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29"/>
  <workbookPr codeName="EstaPasta_de_trabalho" defaultThemeVersion="124226"/>
  <mc:AlternateContent xmlns:mc="http://schemas.openxmlformats.org/markup-compatibility/2006">
    <mc:Choice Requires="x15">
      <x15ac:absPath xmlns:x15ac="http://schemas.microsoft.com/office/spreadsheetml/2010/11/ac" url="C:\Users\marceloaugusto\OneDrive - Tribunal de Justica de Sao Paulo\2023.07.11\PROGRAMAS INTRANET-INTERNET\Cível - Atualização de Débitos Judiciais\"/>
    </mc:Choice>
  </mc:AlternateContent>
  <xr:revisionPtr revIDLastSave="0" documentId="13_ncr:1_{B50C1400-1010-4278-A42C-6CBB3A752FC6}" xr6:coauthVersionLast="47" xr6:coauthVersionMax="47" xr10:uidLastSave="{00000000-0000-0000-0000-000000000000}"/>
  <bookViews>
    <workbookView xWindow="20370" yWindow="-120" windowWidth="20640" windowHeight="11160" xr2:uid="{00000000-000D-0000-FFFF-FFFF00000000}"/>
  </bookViews>
  <sheets>
    <sheet name="CÁLCULO INICIAL" sheetId="2" r:id="rId1"/>
    <sheet name="ÍNDICES" sheetId="4" r:id="rId2"/>
  </sheets>
  <definedNames>
    <definedName name="_xlnm._FilterDatabase" localSheetId="0" hidden="1">'CÁLCULO INICIAL'!$A$34:$AP$38</definedName>
    <definedName name="_xlnm.Print_Area" localSheetId="0">'CÁLCULO INICIAL'!$A$1:$O$3225</definedName>
    <definedName name="_xlnm.Criteria" localSheetId="0">'CÁLCULO INICIAL'!$AB$20:$AB$21</definedName>
    <definedName name="_xlnm.Print_Titles" localSheetId="0">'CÁLCULO INICIAL'!$1:$18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99" i="2" l="1"/>
  <c r="AV38" i="2"/>
  <c r="AW38" i="2"/>
  <c r="AX38" i="2"/>
  <c r="AY38" i="2"/>
  <c r="AZ38" i="2"/>
  <c r="BA38" i="2"/>
  <c r="AU38" i="2"/>
  <c r="AE20" i="2"/>
  <c r="Q37" i="2" s="1"/>
  <c r="C921" i="4" l="1"/>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C806" i="4"/>
  <c r="C805" i="4"/>
  <c r="C804" i="4"/>
  <c r="C803" i="4"/>
  <c r="C802" i="4"/>
  <c r="C801" i="4"/>
  <c r="C800" i="4"/>
  <c r="C799" i="4"/>
  <c r="C798" i="4"/>
  <c r="C797" i="4"/>
  <c r="C796" i="4"/>
  <c r="C795" i="4"/>
  <c r="C794" i="4"/>
  <c r="C793" i="4"/>
  <c r="C792" i="4"/>
  <c r="C791" i="4"/>
  <c r="C790" i="4"/>
  <c r="C789" i="4"/>
  <c r="C788" i="4"/>
  <c r="C787" i="4"/>
  <c r="C786" i="4"/>
  <c r="C785" i="4"/>
  <c r="C784" i="4"/>
  <c r="C783" i="4"/>
  <c r="C782" i="4"/>
  <c r="C781" i="4"/>
  <c r="C780" i="4"/>
  <c r="C779" i="4"/>
  <c r="C778" i="4"/>
  <c r="C777" i="4"/>
  <c r="C776" i="4"/>
  <c r="C775" i="4"/>
  <c r="C774" i="4"/>
  <c r="C773" i="4"/>
  <c r="C772" i="4"/>
  <c r="C771" i="4"/>
  <c r="C770" i="4"/>
  <c r="C769" i="4"/>
  <c r="C768" i="4"/>
  <c r="C767" i="4"/>
  <c r="C766" i="4"/>
  <c r="C765" i="4"/>
  <c r="C764" i="4"/>
  <c r="C763" i="4"/>
  <c r="C762" i="4"/>
  <c r="C761" i="4"/>
  <c r="C760" i="4"/>
  <c r="C759" i="4"/>
  <c r="C758" i="4"/>
  <c r="C757" i="4"/>
  <c r="C756" i="4"/>
  <c r="C755" i="4"/>
  <c r="C754" i="4"/>
  <c r="C753" i="4"/>
  <c r="C752" i="4"/>
  <c r="C751" i="4"/>
  <c r="C750" i="4"/>
  <c r="C749" i="4"/>
  <c r="C748" i="4"/>
  <c r="C747" i="4"/>
  <c r="C746" i="4"/>
  <c r="C745" i="4"/>
  <c r="C744" i="4"/>
  <c r="C743" i="4"/>
  <c r="C742" i="4"/>
  <c r="C741" i="4"/>
  <c r="C740" i="4"/>
  <c r="C739" i="4"/>
  <c r="C738" i="4"/>
  <c r="C737" i="4"/>
  <c r="C736" i="4"/>
  <c r="C735" i="4"/>
  <c r="C734" i="4"/>
  <c r="C733" i="4"/>
  <c r="C732" i="4"/>
  <c r="C731" i="4"/>
  <c r="C730" i="4"/>
  <c r="C729" i="4"/>
  <c r="C728" i="4"/>
  <c r="C727" i="4"/>
  <c r="C726" i="4"/>
  <c r="C725" i="4"/>
  <c r="C724" i="4"/>
  <c r="C723" i="4"/>
  <c r="C722" i="4"/>
  <c r="C721" i="4"/>
  <c r="C720" i="4"/>
  <c r="C719" i="4"/>
  <c r="C718" i="4"/>
  <c r="C717" i="4"/>
  <c r="C716" i="4"/>
  <c r="C715" i="4"/>
  <c r="C714" i="4"/>
  <c r="C713" i="4"/>
  <c r="C712" i="4"/>
  <c r="C711" i="4"/>
  <c r="C710" i="4"/>
  <c r="C709" i="4"/>
  <c r="C708" i="4"/>
  <c r="C672" i="4"/>
  <c r="C673" i="4" s="1"/>
  <c r="C674" i="4" s="1"/>
  <c r="C675" i="4" s="1"/>
  <c r="C676" i="4" s="1"/>
  <c r="C677" i="4" s="1"/>
  <c r="C678" i="4" s="1"/>
  <c r="C679" i="4" s="1"/>
  <c r="C680" i="4" s="1"/>
  <c r="C681" i="4" s="1"/>
  <c r="C682" i="4" s="1"/>
  <c r="C683" i="4" s="1"/>
  <c r="C684" i="4" s="1"/>
  <c r="C685" i="4" s="1"/>
  <c r="C686" i="4" s="1"/>
  <c r="C687" i="4" s="1"/>
  <c r="C688" i="4" s="1"/>
  <c r="C689" i="4" s="1"/>
  <c r="C690" i="4" s="1"/>
  <c r="C691" i="4" s="1"/>
  <c r="C692" i="4" s="1"/>
  <c r="C693" i="4" s="1"/>
  <c r="C694" i="4" s="1"/>
  <c r="C695" i="4" s="1"/>
  <c r="C696" i="4" s="1"/>
  <c r="C697" i="4" s="1"/>
  <c r="C698" i="4" s="1"/>
  <c r="C699" i="4" s="1"/>
  <c r="C700" i="4" s="1"/>
  <c r="C701" i="4" s="1"/>
  <c r="C702" i="4" s="1"/>
  <c r="C703" i="4" s="1"/>
  <c r="C704" i="4" s="1"/>
  <c r="C705" i="4" s="1"/>
  <c r="C706" i="4" s="1"/>
  <c r="C707" i="4" s="1"/>
  <c r="AT36" i="2" l="1"/>
  <c r="AS36" i="2" l="1"/>
  <c r="AR36" i="2" l="1"/>
  <c r="AQ36" i="2" l="1"/>
  <c r="AP36" i="2"/>
  <c r="Q1498" i="2" l="1"/>
  <c r="P1498" i="2"/>
  <c r="Q1497" i="2"/>
  <c r="P1497" i="2"/>
  <c r="M1497" i="2" s="1"/>
  <c r="Q1496" i="2"/>
  <c r="P1496" i="2"/>
  <c r="Q1495" i="2"/>
  <c r="P1495" i="2"/>
  <c r="Q1494" i="2"/>
  <c r="P1494" i="2"/>
  <c r="Q1493" i="2"/>
  <c r="P1493" i="2"/>
  <c r="M1493" i="2" s="1"/>
  <c r="Q1492" i="2"/>
  <c r="P1492" i="2"/>
  <c r="Q1491" i="2"/>
  <c r="P1491" i="2"/>
  <c r="Q1490" i="2"/>
  <c r="P1490" i="2"/>
  <c r="Q1489" i="2"/>
  <c r="P1489" i="2"/>
  <c r="M1489" i="2" s="1"/>
  <c r="Q1488" i="2"/>
  <c r="P1488" i="2"/>
  <c r="Q1487" i="2"/>
  <c r="P1487" i="2"/>
  <c r="M1487" i="2" s="1"/>
  <c r="Q1486" i="2"/>
  <c r="P1486" i="2"/>
  <c r="Q1485" i="2"/>
  <c r="P1485" i="2"/>
  <c r="Q1448" i="2"/>
  <c r="P1448" i="2"/>
  <c r="Q1447" i="2"/>
  <c r="P1447" i="2"/>
  <c r="Q1446" i="2"/>
  <c r="P1446" i="2"/>
  <c r="Q1445" i="2"/>
  <c r="P1445" i="2"/>
  <c r="Q1444" i="2"/>
  <c r="P1444" i="2"/>
  <c r="Q1443" i="2"/>
  <c r="P1443" i="2"/>
  <c r="Q1442" i="2"/>
  <c r="P1442" i="2"/>
  <c r="Q1441" i="2"/>
  <c r="P1441" i="2"/>
  <c r="Q1440" i="2"/>
  <c r="P1440" i="2"/>
  <c r="Q1439" i="2"/>
  <c r="P1439" i="2"/>
  <c r="Q1438" i="2"/>
  <c r="P1438" i="2"/>
  <c r="Q1437" i="2"/>
  <c r="P1437" i="2"/>
  <c r="Q1436" i="2"/>
  <c r="P1436" i="2"/>
  <c r="Q1435" i="2"/>
  <c r="P1435" i="2"/>
  <c r="Q1398" i="2"/>
  <c r="P1398" i="2"/>
  <c r="Q1397" i="2"/>
  <c r="P1397" i="2"/>
  <c r="Q1396" i="2"/>
  <c r="P1396" i="2"/>
  <c r="Q1395" i="2"/>
  <c r="P1395" i="2"/>
  <c r="Q1394" i="2"/>
  <c r="P1394" i="2"/>
  <c r="Q1393" i="2"/>
  <c r="P1393" i="2"/>
  <c r="Q1392" i="2"/>
  <c r="P1392" i="2"/>
  <c r="Q1391" i="2"/>
  <c r="P1391" i="2"/>
  <c r="Q1390" i="2"/>
  <c r="P1390" i="2"/>
  <c r="Q1389" i="2"/>
  <c r="P1389" i="2"/>
  <c r="Q1388" i="2"/>
  <c r="P1388" i="2"/>
  <c r="Q1387" i="2"/>
  <c r="P1387" i="2"/>
  <c r="Q1386" i="2"/>
  <c r="P1386" i="2"/>
  <c r="Q1385" i="2"/>
  <c r="P1385" i="2"/>
  <c r="Q1348" i="2"/>
  <c r="Q1347" i="2"/>
  <c r="Q1346" i="2"/>
  <c r="Q1345" i="2"/>
  <c r="Q1344" i="2"/>
  <c r="Q1343" i="2"/>
  <c r="Q1342" i="2"/>
  <c r="Q1341" i="2"/>
  <c r="Q1340" i="2"/>
  <c r="Q1339" i="2"/>
  <c r="Q1338" i="2"/>
  <c r="Q1337" i="2"/>
  <c r="Q1336" i="2"/>
  <c r="Q1335" i="2"/>
  <c r="P1335" i="2"/>
  <c r="P1348" i="2"/>
  <c r="P1347" i="2"/>
  <c r="P1346" i="2"/>
  <c r="P1345" i="2"/>
  <c r="P1344" i="2"/>
  <c r="P1343" i="2"/>
  <c r="P1342" i="2"/>
  <c r="P1341" i="2"/>
  <c r="P1340" i="2"/>
  <c r="P1339" i="2"/>
  <c r="P1338" i="2"/>
  <c r="P1337" i="2"/>
  <c r="P1336" i="2"/>
  <c r="M1396" i="2" l="1"/>
  <c r="M1398" i="2"/>
  <c r="M1438" i="2"/>
  <c r="M1440" i="2"/>
  <c r="M1442" i="2"/>
  <c r="M1446" i="2"/>
  <c r="M1448" i="2"/>
  <c r="M1494" i="2"/>
  <c r="M1387" i="2"/>
  <c r="M1389" i="2"/>
  <c r="M1385" i="2"/>
  <c r="M1397" i="2"/>
  <c r="M1393" i="2"/>
  <c r="M1490" i="2"/>
  <c r="M1498" i="2"/>
  <c r="M1436" i="2"/>
  <c r="M1386" i="2"/>
  <c r="M1435" i="2"/>
  <c r="M1439" i="2"/>
  <c r="M1444" i="2"/>
  <c r="M1486" i="2"/>
  <c r="M1492" i="2"/>
  <c r="M1388" i="2"/>
  <c r="M1392" i="2"/>
  <c r="M1443" i="2"/>
  <c r="M1447" i="2"/>
  <c r="M1496" i="2"/>
  <c r="M1390" i="2"/>
  <c r="M1395" i="2"/>
  <c r="M1437" i="2"/>
  <c r="M1445" i="2"/>
  <c r="M1491" i="2"/>
  <c r="M1391" i="2"/>
  <c r="M1394" i="2"/>
  <c r="M1441" i="2"/>
  <c r="M1485" i="2"/>
  <c r="M1488" i="2"/>
  <c r="M1495" i="2"/>
  <c r="AO36" i="2"/>
  <c r="Q1475" i="2" l="1"/>
  <c r="R1476" i="2"/>
  <c r="R1426" i="2"/>
  <c r="T1476" i="2" s="1"/>
  <c r="Q1425" i="2"/>
  <c r="N1290" i="2" l="1"/>
  <c r="D1315" i="2" l="1"/>
  <c r="D1311" i="2"/>
  <c r="D1307" i="2"/>
  <c r="D1303" i="2"/>
  <c r="D1299" i="2"/>
  <c r="D1314" i="2"/>
  <c r="D1310" i="2"/>
  <c r="D1306" i="2"/>
  <c r="D1302" i="2"/>
  <c r="D1298" i="2"/>
  <c r="D1317" i="2"/>
  <c r="D1313" i="2"/>
  <c r="D1309" i="2"/>
  <c r="D1305" i="2"/>
  <c r="D1301" i="2"/>
  <c r="D1316" i="2"/>
  <c r="D1312" i="2"/>
  <c r="D1308" i="2"/>
  <c r="D1304" i="2"/>
  <c r="D1300" i="2"/>
  <c r="I1286" i="2"/>
  <c r="D710" i="2" l="1"/>
  <c r="N1323" i="2" l="1"/>
  <c r="C1266" i="2" l="1"/>
  <c r="C1265" i="2"/>
  <c r="C1264" i="2"/>
  <c r="C1263" i="2"/>
  <c r="C1262" i="2"/>
  <c r="C1261" i="2"/>
  <c r="C1260" i="2"/>
  <c r="C1259" i="2"/>
  <c r="C1258" i="2"/>
  <c r="C1257" i="2"/>
  <c r="C1256" i="2"/>
  <c r="C1255" i="2"/>
  <c r="C1254" i="2"/>
  <c r="C1253" i="2"/>
  <c r="C1252" i="2"/>
  <c r="C1251" i="2"/>
  <c r="C1250" i="2"/>
  <c r="C1249" i="2"/>
  <c r="C1248" i="2"/>
  <c r="C1247" i="2"/>
  <c r="C1246" i="2"/>
  <c r="C1245" i="2"/>
  <c r="C1244" i="2"/>
  <c r="C1243" i="2"/>
  <c r="C1242" i="2"/>
  <c r="C1241" i="2"/>
  <c r="C1240" i="2"/>
  <c r="C1239" i="2"/>
  <c r="C1238" i="2"/>
  <c r="C1237" i="2"/>
  <c r="C1236" i="2"/>
  <c r="C1235" i="2"/>
  <c r="C1234" i="2"/>
  <c r="C1233" i="2"/>
  <c r="C1232" i="2"/>
  <c r="C1231" i="2"/>
  <c r="C1230" i="2"/>
  <c r="C1229" i="2"/>
  <c r="C1228" i="2"/>
  <c r="C1227" i="2"/>
  <c r="C1226" i="2"/>
  <c r="C1225" i="2"/>
  <c r="C1223" i="2"/>
  <c r="C1213" i="2"/>
  <c r="C1212" i="2"/>
  <c r="C1211" i="2"/>
  <c r="C1210" i="2"/>
  <c r="C1209" i="2"/>
  <c r="C1208" i="2"/>
  <c r="C1207" i="2"/>
  <c r="C1206" i="2"/>
  <c r="C1205" i="2"/>
  <c r="C1204" i="2"/>
  <c r="C1203" i="2"/>
  <c r="C1202" i="2"/>
  <c r="C1201" i="2"/>
  <c r="C1200" i="2"/>
  <c r="C1199" i="2"/>
  <c r="C1198" i="2"/>
  <c r="C1197" i="2"/>
  <c r="C1196" i="2"/>
  <c r="C1195" i="2"/>
  <c r="C1194" i="2"/>
  <c r="C1193" i="2"/>
  <c r="C1192"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153" i="2"/>
  <c r="C1152" i="2"/>
  <c r="C1151" i="2"/>
  <c r="C1150" i="2"/>
  <c r="C1149" i="2"/>
  <c r="C1148" i="2"/>
  <c r="C1147" i="2"/>
  <c r="C1146" i="2"/>
  <c r="C1145" i="2"/>
  <c r="C1144" i="2"/>
  <c r="C1143" i="2"/>
  <c r="C1142" i="2"/>
  <c r="C1141" i="2"/>
  <c r="C1140" i="2"/>
  <c r="C1139" i="2"/>
  <c r="C1138" i="2"/>
  <c r="C1137" i="2"/>
  <c r="C1136" i="2"/>
  <c r="C1135" i="2"/>
  <c r="C1134" i="2"/>
  <c r="C1133" i="2"/>
  <c r="C1132" i="2"/>
  <c r="C1131" i="2"/>
  <c r="C1130" i="2"/>
  <c r="C1129" i="2"/>
  <c r="C1128" i="2"/>
  <c r="C1127" i="2"/>
  <c r="C1126" i="2"/>
  <c r="C1125" i="2"/>
  <c r="C1124" i="2"/>
  <c r="C1123" i="2"/>
  <c r="C1122" i="2"/>
  <c r="C1121" i="2"/>
  <c r="C1120" i="2"/>
  <c r="C1119" i="2"/>
  <c r="C1118" i="2"/>
  <c r="C1117" i="2"/>
  <c r="C1116" i="2"/>
  <c r="C1115" i="2"/>
  <c r="C1114" i="2"/>
  <c r="C1113" i="2"/>
  <c r="C1112" i="2"/>
  <c r="C1111" i="2"/>
  <c r="C1110" i="2"/>
  <c r="C1109" i="2"/>
  <c r="C1108" i="2"/>
  <c r="C1107" i="2"/>
  <c r="C1106" i="2"/>
  <c r="C1105" i="2"/>
  <c r="C1104" i="2"/>
  <c r="C1103" i="2"/>
  <c r="C1102" i="2"/>
  <c r="C1101" i="2"/>
  <c r="C1100" i="2"/>
  <c r="C1099" i="2"/>
  <c r="C1098" i="2"/>
  <c r="C1097" i="2"/>
  <c r="C1096" i="2"/>
  <c r="C1095" i="2"/>
  <c r="C1094" i="2"/>
  <c r="C1093" i="2"/>
  <c r="C1092" i="2"/>
  <c r="C1091" i="2"/>
  <c r="C1090" i="2"/>
  <c r="C1089" i="2"/>
  <c r="C1088" i="2"/>
  <c r="C1087" i="2"/>
  <c r="C1086" i="2"/>
  <c r="C1085" i="2"/>
  <c r="C1084" i="2"/>
  <c r="C1083" i="2"/>
  <c r="C1082" i="2"/>
  <c r="C1081" i="2"/>
  <c r="C1080" i="2"/>
  <c r="C1079" i="2"/>
  <c r="C1078" i="2"/>
  <c r="C1077" i="2"/>
  <c r="C1076" i="2"/>
  <c r="C1075" i="2"/>
  <c r="C1074" i="2"/>
  <c r="C1073" i="2"/>
  <c r="C1072" i="2"/>
  <c r="C1071" i="2"/>
  <c r="C1070" i="2"/>
  <c r="C1069" i="2"/>
  <c r="C1068" i="2"/>
  <c r="C1067" i="2"/>
  <c r="C1066" i="2"/>
  <c r="C1065" i="2"/>
  <c r="C1064" i="2"/>
  <c r="C1063" i="2"/>
  <c r="C1062" i="2"/>
  <c r="C1061" i="2"/>
  <c r="C1060" i="2"/>
  <c r="C1059" i="2"/>
  <c r="C1058" i="2"/>
  <c r="C1057" i="2"/>
  <c r="C1056" i="2"/>
  <c r="C1055" i="2"/>
  <c r="C1054" i="2"/>
  <c r="C1053" i="2"/>
  <c r="C1052" i="2"/>
  <c r="C1051" i="2"/>
  <c r="C1050" i="2"/>
  <c r="C1049" i="2"/>
  <c r="C1048" i="2"/>
  <c r="C1047" i="2"/>
  <c r="C1046" i="2"/>
  <c r="C1045" i="2"/>
  <c r="C1044" i="2"/>
  <c r="C1043" i="2"/>
  <c r="C1042" i="2"/>
  <c r="C1041" i="2"/>
  <c r="C1040" i="2"/>
  <c r="C1039" i="2"/>
  <c r="C1038" i="2"/>
  <c r="C1037" i="2"/>
  <c r="C1036" i="2"/>
  <c r="C1035" i="2"/>
  <c r="C1034" i="2"/>
  <c r="C1033" i="2"/>
  <c r="C1032" i="2"/>
  <c r="C1031" i="2"/>
  <c r="C1030" i="2"/>
  <c r="C1029" i="2"/>
  <c r="C1028" i="2"/>
  <c r="C1027" i="2"/>
  <c r="C1026" i="2"/>
  <c r="C1025" i="2"/>
  <c r="C1024" i="2"/>
  <c r="C1023" i="2"/>
  <c r="C1022" i="2"/>
  <c r="C1021" i="2"/>
  <c r="C1020" i="2"/>
  <c r="C1019" i="2"/>
  <c r="C1018" i="2"/>
  <c r="C1017" i="2"/>
  <c r="C1016" i="2"/>
  <c r="C1015" i="2"/>
  <c r="C1014" i="2"/>
  <c r="C1013" i="2"/>
  <c r="C1012" i="2"/>
  <c r="C1011" i="2"/>
  <c r="C1010" i="2"/>
  <c r="C1009" i="2"/>
  <c r="C1008" i="2"/>
  <c r="C1007" i="2"/>
  <c r="C1006" i="2"/>
  <c r="C1005" i="2"/>
  <c r="C1004" i="2"/>
  <c r="C1003" i="2"/>
  <c r="C1002" i="2"/>
  <c r="C1001" i="2"/>
  <c r="C1000" i="2"/>
  <c r="C999" i="2"/>
  <c r="C998" i="2"/>
  <c r="C997" i="2"/>
  <c r="C996" i="2"/>
  <c r="C995" i="2"/>
  <c r="C994" i="2"/>
  <c r="C993" i="2"/>
  <c r="C992" i="2"/>
  <c r="C991" i="2"/>
  <c r="C990" i="2"/>
  <c r="C989" i="2"/>
  <c r="C988" i="2"/>
  <c r="C987" i="2"/>
  <c r="C986" i="2"/>
  <c r="C985" i="2"/>
  <c r="C984" i="2"/>
  <c r="C983" i="2"/>
  <c r="C982" i="2"/>
  <c r="C981" i="2"/>
  <c r="C980" i="2"/>
  <c r="C979" i="2"/>
  <c r="C978" i="2"/>
  <c r="C977" i="2"/>
  <c r="C976" i="2"/>
  <c r="C975" i="2"/>
  <c r="C974" i="2"/>
  <c r="C973" i="2"/>
  <c r="C972" i="2"/>
  <c r="C971" i="2"/>
  <c r="C970" i="2"/>
  <c r="C969" i="2"/>
  <c r="C968" i="2"/>
  <c r="C967" i="2"/>
  <c r="C966" i="2"/>
  <c r="C965" i="2"/>
  <c r="C964" i="2"/>
  <c r="C963" i="2"/>
  <c r="C962" i="2"/>
  <c r="C961" i="2"/>
  <c r="C960" i="2"/>
  <c r="C959" i="2"/>
  <c r="C958" i="2"/>
  <c r="C957" i="2"/>
  <c r="C956" i="2"/>
  <c r="C955" i="2"/>
  <c r="C954" i="2"/>
  <c r="C953" i="2"/>
  <c r="C952" i="2"/>
  <c r="C951" i="2"/>
  <c r="C950" i="2"/>
  <c r="C949" i="2"/>
  <c r="C948" i="2"/>
  <c r="C947" i="2"/>
  <c r="C946" i="2"/>
  <c r="C945" i="2"/>
  <c r="C944" i="2"/>
  <c r="C943" i="2"/>
  <c r="C942" i="2"/>
  <c r="C941" i="2"/>
  <c r="C940" i="2"/>
  <c r="C939" i="2"/>
  <c r="C938" i="2"/>
  <c r="C937" i="2"/>
  <c r="C936" i="2"/>
  <c r="C935" i="2"/>
  <c r="C934" i="2"/>
  <c r="C933" i="2"/>
  <c r="C932" i="2"/>
  <c r="C931" i="2"/>
  <c r="C930" i="2"/>
  <c r="C929" i="2"/>
  <c r="C928" i="2"/>
  <c r="C927" i="2"/>
  <c r="C926" i="2"/>
  <c r="C925" i="2"/>
  <c r="C924" i="2"/>
  <c r="C923" i="2"/>
  <c r="C922" i="2"/>
  <c r="C921" i="2"/>
  <c r="C920" i="2"/>
  <c r="C919" i="2"/>
  <c r="C918" i="2"/>
  <c r="C917" i="2"/>
  <c r="C916" i="2"/>
  <c r="C915" i="2"/>
  <c r="C914" i="2"/>
  <c r="C913" i="2"/>
  <c r="C912" i="2"/>
  <c r="C911" i="2"/>
  <c r="C910" i="2"/>
  <c r="C909" i="2"/>
  <c r="C908" i="2"/>
  <c r="C907" i="2"/>
  <c r="C906" i="2"/>
  <c r="C905" i="2"/>
  <c r="C904" i="2"/>
  <c r="C903" i="2"/>
  <c r="C902" i="2"/>
  <c r="C901" i="2"/>
  <c r="C900" i="2"/>
  <c r="C899" i="2"/>
  <c r="C898" i="2"/>
  <c r="C897" i="2"/>
  <c r="C896" i="2"/>
  <c r="C895" i="2"/>
  <c r="C894" i="2"/>
  <c r="C893" i="2"/>
  <c r="C892" i="2"/>
  <c r="C891" i="2"/>
  <c r="C890" i="2"/>
  <c r="C889" i="2"/>
  <c r="C888" i="2"/>
  <c r="C887" i="2"/>
  <c r="C886" i="2"/>
  <c r="C885" i="2"/>
  <c r="C884" i="2"/>
  <c r="C883" i="2"/>
  <c r="C882" i="2"/>
  <c r="C881" i="2"/>
  <c r="C880" i="2"/>
  <c r="C879" i="2"/>
  <c r="C878" i="2"/>
  <c r="C877" i="2"/>
  <c r="C876" i="2"/>
  <c r="C875" i="2"/>
  <c r="C874" i="2"/>
  <c r="C873" i="2"/>
  <c r="C872" i="2"/>
  <c r="C871" i="2"/>
  <c r="C870" i="2"/>
  <c r="C869" i="2"/>
  <c r="C868" i="2"/>
  <c r="C867" i="2"/>
  <c r="C866" i="2"/>
  <c r="C865" i="2"/>
  <c r="C864" i="2"/>
  <c r="C863" i="2"/>
  <c r="C862" i="2"/>
  <c r="C861" i="2"/>
  <c r="C860" i="2"/>
  <c r="C859" i="2"/>
  <c r="C858" i="2"/>
  <c r="C857" i="2"/>
  <c r="C856" i="2"/>
  <c r="C855" i="2"/>
  <c r="C854" i="2"/>
  <c r="C853" i="2"/>
  <c r="C852" i="2"/>
  <c r="C851" i="2"/>
  <c r="C850" i="2"/>
  <c r="C849" i="2"/>
  <c r="C848" i="2"/>
  <c r="C847" i="2"/>
  <c r="C846" i="2"/>
  <c r="C845" i="2"/>
  <c r="C844" i="2"/>
  <c r="C843" i="2"/>
  <c r="C842" i="2"/>
  <c r="C841" i="2"/>
  <c r="C840" i="2"/>
  <c r="C839" i="2"/>
  <c r="C838" i="2"/>
  <c r="C837" i="2"/>
  <c r="C836" i="2"/>
  <c r="C835" i="2"/>
  <c r="C834" i="2"/>
  <c r="C833" i="2"/>
  <c r="C832" i="2"/>
  <c r="C831" i="2"/>
  <c r="C830" i="2"/>
  <c r="C829" i="2"/>
  <c r="C828" i="2"/>
  <c r="C827" i="2"/>
  <c r="C826" i="2"/>
  <c r="C825" i="2"/>
  <c r="C824" i="2"/>
  <c r="C823" i="2"/>
  <c r="C822"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787" i="2"/>
  <c r="C786" i="2"/>
  <c r="C785" i="2"/>
  <c r="C784" i="2"/>
  <c r="C783" i="2"/>
  <c r="C782" i="2"/>
  <c r="C781" i="2"/>
  <c r="C780" i="2"/>
  <c r="C779" i="2"/>
  <c r="C778" i="2"/>
  <c r="C777" i="2"/>
  <c r="C776" i="2"/>
  <c r="C775" i="2"/>
  <c r="C774" i="2"/>
  <c r="C773" i="2"/>
  <c r="C772" i="2"/>
  <c r="C771" i="2"/>
  <c r="C770" i="2"/>
  <c r="C769" i="2"/>
  <c r="C768" i="2"/>
  <c r="C767" i="2"/>
  <c r="C766" i="2"/>
  <c r="C765" i="2"/>
  <c r="C764" i="2"/>
  <c r="C763" i="2"/>
  <c r="C762" i="2"/>
  <c r="C761" i="2"/>
  <c r="C760" i="2"/>
  <c r="C759" i="2"/>
  <c r="C758" i="2"/>
  <c r="C757" i="2"/>
  <c r="C756" i="2"/>
  <c r="C755" i="2"/>
  <c r="C754" i="2"/>
  <c r="C753" i="2"/>
  <c r="C752" i="2"/>
  <c r="C751" i="2"/>
  <c r="C750" i="2"/>
  <c r="C749" i="2"/>
  <c r="C748" i="2"/>
  <c r="C747" i="2"/>
  <c r="C746" i="2"/>
  <c r="C745" i="2"/>
  <c r="C744" i="2"/>
  <c r="C743" i="2"/>
  <c r="C742" i="2"/>
  <c r="C741" i="2"/>
  <c r="C740" i="2"/>
  <c r="C739" i="2"/>
  <c r="C738" i="2"/>
  <c r="C737" i="2"/>
  <c r="C736" i="2"/>
  <c r="C735" i="2"/>
  <c r="C734" i="2"/>
  <c r="C733" i="2"/>
  <c r="C732" i="2"/>
  <c r="C731" i="2"/>
  <c r="C730" i="2"/>
  <c r="C729" i="2"/>
  <c r="C728" i="2"/>
  <c r="C727" i="2"/>
  <c r="C726" i="2"/>
  <c r="C725" i="2"/>
  <c r="C724" i="2"/>
  <c r="C723" i="2"/>
  <c r="C722" i="2"/>
  <c r="C721" i="2"/>
  <c r="C720" i="2"/>
  <c r="C719" i="2"/>
  <c r="C718" i="2"/>
  <c r="C717" i="2"/>
  <c r="C716" i="2"/>
  <c r="C715" i="2"/>
  <c r="C714" i="2"/>
  <c r="C705" i="2"/>
  <c r="C704" i="2"/>
  <c r="C703" i="2"/>
  <c r="C702" i="2"/>
  <c r="C701" i="2"/>
  <c r="C688" i="2"/>
  <c r="C679" i="2"/>
  <c r="C678" i="2"/>
  <c r="C677" i="2"/>
  <c r="C676" i="2"/>
  <c r="C675" i="2"/>
  <c r="C674" i="2"/>
  <c r="C673" i="2"/>
  <c r="C672" i="2"/>
  <c r="C671" i="2"/>
  <c r="C670" i="2"/>
  <c r="C669" i="2"/>
  <c r="C668" i="2"/>
  <c r="C667" i="2"/>
  <c r="C666" i="2"/>
  <c r="C665" i="2"/>
  <c r="C664" i="2"/>
  <c r="C663" i="2"/>
  <c r="C662" i="2"/>
  <c r="C661" i="2"/>
  <c r="C660" i="2"/>
  <c r="C659" i="2"/>
  <c r="C658" i="2"/>
  <c r="C657" i="2"/>
  <c r="C656" i="2"/>
  <c r="C655" i="2"/>
  <c r="C654" i="2"/>
  <c r="C653" i="2"/>
  <c r="C652" i="2"/>
  <c r="C651"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F609" i="2"/>
  <c r="F608" i="2"/>
  <c r="F607" i="2"/>
  <c r="F606" i="2"/>
  <c r="F605" i="2"/>
  <c r="F604" i="2"/>
  <c r="F603" i="2"/>
  <c r="F602" i="2"/>
  <c r="F601" i="2"/>
  <c r="F600" i="2"/>
  <c r="F599" i="2"/>
  <c r="F598" i="2"/>
  <c r="F597" i="2"/>
  <c r="F596" i="2"/>
  <c r="F595" i="2"/>
  <c r="F594" i="2"/>
  <c r="F593" i="2"/>
  <c r="F592" i="2"/>
  <c r="F591" i="2"/>
  <c r="F590" i="2"/>
  <c r="F589" i="2"/>
  <c r="F588" i="2"/>
  <c r="F587" i="2"/>
  <c r="F586" i="2"/>
  <c r="F585" i="2"/>
  <c r="F584" i="2"/>
  <c r="F583" i="2"/>
  <c r="F582" i="2"/>
  <c r="F581" i="2"/>
  <c r="F580" i="2"/>
  <c r="F579" i="2"/>
  <c r="F578" i="2"/>
  <c r="F577" i="2"/>
  <c r="F576" i="2"/>
  <c r="F575" i="2"/>
  <c r="F574" i="2"/>
  <c r="F573" i="2"/>
  <c r="F572" i="2"/>
  <c r="F571" i="2"/>
  <c r="F570" i="2"/>
  <c r="F569" i="2"/>
  <c r="F568" i="2"/>
  <c r="F567" i="2"/>
  <c r="F566" i="2"/>
  <c r="F565" i="2"/>
  <c r="F564" i="2"/>
  <c r="F563" i="2"/>
  <c r="F562" i="2"/>
  <c r="F561" i="2"/>
  <c r="F560" i="2"/>
  <c r="F559" i="2"/>
  <c r="F558" i="2"/>
  <c r="F557" i="2"/>
  <c r="F556" i="2"/>
  <c r="F555" i="2"/>
  <c r="F554" i="2"/>
  <c r="F553" i="2"/>
  <c r="F552" i="2"/>
  <c r="F551" i="2"/>
  <c r="F550" i="2"/>
  <c r="F549" i="2"/>
  <c r="F548" i="2"/>
  <c r="F547" i="2"/>
  <c r="F546" i="2"/>
  <c r="F545" i="2"/>
  <c r="F544" i="2"/>
  <c r="F543" i="2"/>
  <c r="F542" i="2"/>
  <c r="F541" i="2"/>
  <c r="F540" i="2"/>
  <c r="F539" i="2"/>
  <c r="F538" i="2"/>
  <c r="F537" i="2"/>
  <c r="F536" i="2"/>
  <c r="F535" i="2"/>
  <c r="F534" i="2"/>
  <c r="F533" i="2"/>
  <c r="F532" i="2"/>
  <c r="F531" i="2"/>
  <c r="F530" i="2"/>
  <c r="F529" i="2"/>
  <c r="F528" i="2"/>
  <c r="F527" i="2"/>
  <c r="F526" i="2"/>
  <c r="F525" i="2"/>
  <c r="F524" i="2"/>
  <c r="F523" i="2"/>
  <c r="F522" i="2"/>
  <c r="F521" i="2"/>
  <c r="F520" i="2"/>
  <c r="F519" i="2"/>
  <c r="F518" i="2"/>
  <c r="F517" i="2"/>
  <c r="F516" i="2"/>
  <c r="F515" i="2"/>
  <c r="F514" i="2"/>
  <c r="F513" i="2"/>
  <c r="F512" i="2"/>
  <c r="F511" i="2"/>
  <c r="F510" i="2"/>
  <c r="F509" i="2"/>
  <c r="F508" i="2"/>
  <c r="F507" i="2"/>
  <c r="F506" i="2"/>
  <c r="F505" i="2"/>
  <c r="F504" i="2"/>
  <c r="F503" i="2"/>
  <c r="F502" i="2"/>
  <c r="F501" i="2"/>
  <c r="F500" i="2"/>
  <c r="F499" i="2"/>
  <c r="F498" i="2"/>
  <c r="F497" i="2"/>
  <c r="F496" i="2"/>
  <c r="F495" i="2"/>
  <c r="F494" i="2"/>
  <c r="F493" i="2"/>
  <c r="F492" i="2"/>
  <c r="F491" i="2"/>
  <c r="F490" i="2"/>
  <c r="F489" i="2"/>
  <c r="F488" i="2"/>
  <c r="F487" i="2"/>
  <c r="F486" i="2"/>
  <c r="F485" i="2"/>
  <c r="F484" i="2"/>
  <c r="F483" i="2"/>
  <c r="F482" i="2"/>
  <c r="F481" i="2"/>
  <c r="F480" i="2"/>
  <c r="F479" i="2"/>
  <c r="F478" i="2"/>
  <c r="F477" i="2"/>
  <c r="F476" i="2"/>
  <c r="F475" i="2"/>
  <c r="F474" i="2"/>
  <c r="F473" i="2"/>
  <c r="F472" i="2"/>
  <c r="F471" i="2"/>
  <c r="F470" i="2"/>
  <c r="F469" i="2"/>
  <c r="F468" i="2"/>
  <c r="F467" i="2"/>
  <c r="F466" i="2"/>
  <c r="F465" i="2"/>
  <c r="F464" i="2"/>
  <c r="F463" i="2"/>
  <c r="F462" i="2"/>
  <c r="F461" i="2"/>
  <c r="F460" i="2"/>
  <c r="F459" i="2"/>
  <c r="F458" i="2"/>
  <c r="F457" i="2"/>
  <c r="F456" i="2"/>
  <c r="F455" i="2"/>
  <c r="F454" i="2"/>
  <c r="F453" i="2"/>
  <c r="F452" i="2"/>
  <c r="F451" i="2"/>
  <c r="F450" i="2"/>
  <c r="F449" i="2"/>
  <c r="F448" i="2"/>
  <c r="F447" i="2"/>
  <c r="F446" i="2"/>
  <c r="F445" i="2"/>
  <c r="F444" i="2"/>
  <c r="F443" i="2"/>
  <c r="F442" i="2"/>
  <c r="F441" i="2"/>
  <c r="F440" i="2"/>
  <c r="F439" i="2"/>
  <c r="F438" i="2"/>
  <c r="F437" i="2"/>
  <c r="F436" i="2"/>
  <c r="F435" i="2"/>
  <c r="F434" i="2"/>
  <c r="F433" i="2"/>
  <c r="F432" i="2"/>
  <c r="F431" i="2"/>
  <c r="F430" i="2"/>
  <c r="F429" i="2"/>
  <c r="F428" i="2"/>
  <c r="F427" i="2"/>
  <c r="F426" i="2"/>
  <c r="F425" i="2"/>
  <c r="F424" i="2"/>
  <c r="F423" i="2"/>
  <c r="F422" i="2"/>
  <c r="F421" i="2"/>
  <c r="F420" i="2"/>
  <c r="F419" i="2"/>
  <c r="F418" i="2"/>
  <c r="F417" i="2"/>
  <c r="F416" i="2"/>
  <c r="F415" i="2"/>
  <c r="F414" i="2"/>
  <c r="F413" i="2"/>
  <c r="F412" i="2"/>
  <c r="F411" i="2"/>
  <c r="F410" i="2"/>
  <c r="F409" i="2"/>
  <c r="F408" i="2"/>
  <c r="F407" i="2"/>
  <c r="F406" i="2"/>
  <c r="F405" i="2"/>
  <c r="F404" i="2"/>
  <c r="F403" i="2"/>
  <c r="F402" i="2"/>
  <c r="F401" i="2"/>
  <c r="F400" i="2"/>
  <c r="F399" i="2"/>
  <c r="F398" i="2"/>
  <c r="F397" i="2"/>
  <c r="F396" i="2"/>
  <c r="F395" i="2"/>
  <c r="F394" i="2"/>
  <c r="F393" i="2"/>
  <c r="F392" i="2"/>
  <c r="F391" i="2"/>
  <c r="F390" i="2"/>
  <c r="F389" i="2"/>
  <c r="F388" i="2"/>
  <c r="F387" i="2"/>
  <c r="F386" i="2"/>
  <c r="F385" i="2"/>
  <c r="F384" i="2"/>
  <c r="F383" i="2"/>
  <c r="F382" i="2"/>
  <c r="F381" i="2"/>
  <c r="F380" i="2"/>
  <c r="F379" i="2"/>
  <c r="F378" i="2"/>
  <c r="F377" i="2"/>
  <c r="F376" i="2"/>
  <c r="F375" i="2"/>
  <c r="F374" i="2"/>
  <c r="F373" i="2"/>
  <c r="F372" i="2"/>
  <c r="F371" i="2"/>
  <c r="F370" i="2"/>
  <c r="F369" i="2"/>
  <c r="F368" i="2"/>
  <c r="F367" i="2"/>
  <c r="F366" i="2"/>
  <c r="F365" i="2"/>
  <c r="F364" i="2"/>
  <c r="F363" i="2"/>
  <c r="F362" i="2"/>
  <c r="F361" i="2"/>
  <c r="F360" i="2"/>
  <c r="F359" i="2"/>
  <c r="F358" i="2"/>
  <c r="F357" i="2"/>
  <c r="F356" i="2"/>
  <c r="F355" i="2"/>
  <c r="F354" i="2"/>
  <c r="F353" i="2"/>
  <c r="F352" i="2"/>
  <c r="F351" i="2"/>
  <c r="F350" i="2"/>
  <c r="F349" i="2"/>
  <c r="F348" i="2"/>
  <c r="F347" i="2"/>
  <c r="F346" i="2"/>
  <c r="F345" i="2"/>
  <c r="F344" i="2"/>
  <c r="F343" i="2"/>
  <c r="F342" i="2"/>
  <c r="F341" i="2"/>
  <c r="F340" i="2"/>
  <c r="F339" i="2"/>
  <c r="F338" i="2"/>
  <c r="F337" i="2"/>
  <c r="F336" i="2"/>
  <c r="F335" i="2"/>
  <c r="F334" i="2"/>
  <c r="F333" i="2"/>
  <c r="F332" i="2"/>
  <c r="F331" i="2"/>
  <c r="F330" i="2"/>
  <c r="F329" i="2"/>
  <c r="F328" i="2"/>
  <c r="F327" i="2"/>
  <c r="F326" i="2"/>
  <c r="F325" i="2"/>
  <c r="F324" i="2"/>
  <c r="F323" i="2"/>
  <c r="F322" i="2"/>
  <c r="F321" i="2"/>
  <c r="F320" i="2"/>
  <c r="F319" i="2"/>
  <c r="F318" i="2"/>
  <c r="F317" i="2"/>
  <c r="F316" i="2"/>
  <c r="F315" i="2"/>
  <c r="F314" i="2"/>
  <c r="F313" i="2"/>
  <c r="F312" i="2"/>
  <c r="F311" i="2"/>
  <c r="F310" i="2"/>
  <c r="F309" i="2"/>
  <c r="F308" i="2"/>
  <c r="F307" i="2"/>
  <c r="F306" i="2"/>
  <c r="F305" i="2"/>
  <c r="F304" i="2"/>
  <c r="F303" i="2"/>
  <c r="F302" i="2"/>
  <c r="F301" i="2"/>
  <c r="F300" i="2"/>
  <c r="F299" i="2"/>
  <c r="F298" i="2"/>
  <c r="F297" i="2"/>
  <c r="F296" i="2"/>
  <c r="F295" i="2"/>
  <c r="F294" i="2"/>
  <c r="F293" i="2"/>
  <c r="F292" i="2"/>
  <c r="F291" i="2"/>
  <c r="F290" i="2"/>
  <c r="F289" i="2"/>
  <c r="F288" i="2"/>
  <c r="F287" i="2"/>
  <c r="F286" i="2"/>
  <c r="F285" i="2"/>
  <c r="F284" i="2"/>
  <c r="F283" i="2"/>
  <c r="F282" i="2"/>
  <c r="F281" i="2"/>
  <c r="F280" i="2"/>
  <c r="F279" i="2"/>
  <c r="F278" i="2"/>
  <c r="F277" i="2"/>
  <c r="F276" i="2"/>
  <c r="F275" i="2"/>
  <c r="F274" i="2"/>
  <c r="F273" i="2"/>
  <c r="F272" i="2"/>
  <c r="F271" i="2"/>
  <c r="F270" i="2"/>
  <c r="F269" i="2"/>
  <c r="F268" i="2"/>
  <c r="F267" i="2"/>
  <c r="F266" i="2"/>
  <c r="F265" i="2"/>
  <c r="F264" i="2"/>
  <c r="F263" i="2"/>
  <c r="F262" i="2"/>
  <c r="F261" i="2"/>
  <c r="F260" i="2"/>
  <c r="F259" i="2"/>
  <c r="F258" i="2"/>
  <c r="F257" i="2"/>
  <c r="F256" i="2"/>
  <c r="F255" i="2"/>
  <c r="F254" i="2"/>
  <c r="F253" i="2"/>
  <c r="F252" i="2"/>
  <c r="F251" i="2"/>
  <c r="F250" i="2"/>
  <c r="F249" i="2"/>
  <c r="F248" i="2"/>
  <c r="F247" i="2"/>
  <c r="F246" i="2"/>
  <c r="F245" i="2"/>
  <c r="F244" i="2"/>
  <c r="F243" i="2"/>
  <c r="F242" i="2"/>
  <c r="F241" i="2"/>
  <c r="F240" i="2"/>
  <c r="F239" i="2"/>
  <c r="F238" i="2"/>
  <c r="F237" i="2"/>
  <c r="F236" i="2"/>
  <c r="F235" i="2"/>
  <c r="F234" i="2"/>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P22" i="2"/>
  <c r="J1426" i="2" s="1"/>
  <c r="AA15" i="2"/>
  <c r="Z15" i="2"/>
  <c r="Y15" i="2"/>
  <c r="X15" i="2"/>
  <c r="W15" i="2"/>
  <c r="V15" i="2"/>
  <c r="U15" i="2"/>
  <c r="L35" i="2" s="1"/>
  <c r="T15" i="2"/>
  <c r="S15" i="2"/>
  <c r="R15" i="2"/>
  <c r="Q15" i="2"/>
  <c r="P15" i="2"/>
  <c r="J1376" i="2" l="1"/>
  <c r="J1476" i="2"/>
  <c r="T22" i="2"/>
  <c r="J1326" i="2"/>
  <c r="G3222" i="2"/>
  <c r="N1483" i="2"/>
  <c r="F1480" i="2"/>
  <c r="F1473" i="2"/>
  <c r="N1433" i="2"/>
  <c r="F1430" i="2"/>
  <c r="F1423" i="2"/>
  <c r="N1383" i="2"/>
  <c r="F1380" i="2"/>
  <c r="R1376" i="2"/>
  <c r="T1426" i="2" s="1"/>
  <c r="Q1375" i="2"/>
  <c r="B1375" i="2"/>
  <c r="B1425" i="2" s="1"/>
  <c r="F1373" i="2"/>
  <c r="N1371" i="2"/>
  <c r="I1371" i="2"/>
  <c r="K1366" i="2"/>
  <c r="K1367" i="2" s="1"/>
  <c r="A1366" i="2"/>
  <c r="O1333" i="2"/>
  <c r="O1383" i="2" s="1"/>
  <c r="O1433" i="2" s="1"/>
  <c r="O1483" i="2" s="1"/>
  <c r="N1333" i="2"/>
  <c r="P1331" i="2"/>
  <c r="O1379" i="2" s="1"/>
  <c r="P1381" i="2" s="1"/>
  <c r="P1329" i="2"/>
  <c r="A1329" i="2"/>
  <c r="R1326" i="2"/>
  <c r="T1376" i="2" s="1"/>
  <c r="Q1325" i="2"/>
  <c r="A1325" i="2"/>
  <c r="L1324" i="2"/>
  <c r="M1323" i="2"/>
  <c r="F1323" i="2"/>
  <c r="E1323" i="2"/>
  <c r="E1373" i="2" s="1"/>
  <c r="E1423" i="2" s="1"/>
  <c r="E1473" i="2" s="1"/>
  <c r="H1318" i="2"/>
  <c r="A1318" i="2"/>
  <c r="P1317" i="2"/>
  <c r="H1317" i="2"/>
  <c r="P1316" i="2"/>
  <c r="H1316" i="2"/>
  <c r="P1315" i="2"/>
  <c r="Q1315" i="2" s="1"/>
  <c r="AG1315" i="2" s="1"/>
  <c r="H1315" i="2"/>
  <c r="P1314" i="2"/>
  <c r="H1314" i="2"/>
  <c r="P1313" i="2"/>
  <c r="H1313" i="2"/>
  <c r="P1312" i="2"/>
  <c r="H1312" i="2"/>
  <c r="P1311" i="2"/>
  <c r="H1311" i="2"/>
  <c r="P1310" i="2"/>
  <c r="Q1310" i="2" s="1"/>
  <c r="AG1310" i="2" s="1"/>
  <c r="H1310" i="2"/>
  <c r="P1309" i="2"/>
  <c r="H1309" i="2"/>
  <c r="P1308" i="2"/>
  <c r="Q1308" i="2" s="1"/>
  <c r="AG1308" i="2" s="1"/>
  <c r="H1308" i="2"/>
  <c r="P1307" i="2"/>
  <c r="H1307" i="2"/>
  <c r="P1306" i="2"/>
  <c r="Q1306" i="2" s="1"/>
  <c r="H1306" i="2"/>
  <c r="P1305" i="2"/>
  <c r="H1305" i="2"/>
  <c r="P1304" i="2"/>
  <c r="Q1304" i="2" s="1"/>
  <c r="H1304" i="2"/>
  <c r="P1303" i="2"/>
  <c r="H1303" i="2"/>
  <c r="P1302" i="2"/>
  <c r="Q1302" i="2" s="1"/>
  <c r="H1302" i="2"/>
  <c r="P1301" i="2"/>
  <c r="H1301" i="2"/>
  <c r="P1300" i="2"/>
  <c r="Q1300" i="2" s="1"/>
  <c r="H1300" i="2"/>
  <c r="P1299" i="2"/>
  <c r="H1299" i="2"/>
  <c r="C1299" i="2"/>
  <c r="P1298" i="2"/>
  <c r="H1298" i="2"/>
  <c r="P1292" i="2"/>
  <c r="G1290" i="2"/>
  <c r="J1287" i="2"/>
  <c r="R1275" i="2" s="1"/>
  <c r="J1282" i="2"/>
  <c r="A1285" i="2" s="1"/>
  <c r="J1275" i="2"/>
  <c r="A1275" i="2"/>
  <c r="L1271" i="2"/>
  <c r="D1269" i="2"/>
  <c r="D1267" i="2"/>
  <c r="I1266" i="2"/>
  <c r="I1265" i="2"/>
  <c r="I1264" i="2"/>
  <c r="I1263" i="2"/>
  <c r="I1262" i="2"/>
  <c r="I1261" i="2"/>
  <c r="I1260" i="2"/>
  <c r="I1259" i="2"/>
  <c r="I1258" i="2"/>
  <c r="I1257" i="2"/>
  <c r="I1256" i="2"/>
  <c r="I1255" i="2"/>
  <c r="I1254" i="2"/>
  <c r="I1253" i="2"/>
  <c r="I1252" i="2"/>
  <c r="I1251" i="2"/>
  <c r="I1250" i="2"/>
  <c r="I1249" i="2"/>
  <c r="I1248" i="2"/>
  <c r="I1247" i="2"/>
  <c r="I1246" i="2"/>
  <c r="I1245" i="2"/>
  <c r="I1244" i="2"/>
  <c r="I1243" i="2"/>
  <c r="I1242" i="2"/>
  <c r="I1241" i="2"/>
  <c r="I1240" i="2"/>
  <c r="I1239" i="2"/>
  <c r="I1238" i="2"/>
  <c r="I1237" i="2"/>
  <c r="I1236" i="2"/>
  <c r="I1235" i="2"/>
  <c r="I1234" i="2"/>
  <c r="I1233" i="2"/>
  <c r="I1232" i="2"/>
  <c r="I1231" i="2"/>
  <c r="I1230" i="2"/>
  <c r="I1229" i="2"/>
  <c r="I1228" i="2"/>
  <c r="I1227" i="2"/>
  <c r="I1226" i="2"/>
  <c r="I1225" i="2"/>
  <c r="I1224" i="2"/>
  <c r="I1223" i="2"/>
  <c r="I1222" i="2"/>
  <c r="A1216" i="2"/>
  <c r="D1214" i="2"/>
  <c r="I1213" i="2"/>
  <c r="I1212" i="2"/>
  <c r="I1211" i="2"/>
  <c r="I1210" i="2"/>
  <c r="I1209" i="2"/>
  <c r="I1208" i="2"/>
  <c r="I1207" i="2"/>
  <c r="I1206" i="2"/>
  <c r="I1205" i="2"/>
  <c r="I1204" i="2"/>
  <c r="I1203" i="2"/>
  <c r="I1202" i="2"/>
  <c r="I1201" i="2"/>
  <c r="I1200" i="2"/>
  <c r="I1199" i="2"/>
  <c r="I1198" i="2"/>
  <c r="I1197" i="2"/>
  <c r="I1196" i="2"/>
  <c r="I1195" i="2"/>
  <c r="I1194" i="2"/>
  <c r="I1193" i="2"/>
  <c r="I1192" i="2"/>
  <c r="I1191" i="2"/>
  <c r="I1190" i="2"/>
  <c r="I1189" i="2"/>
  <c r="I1188" i="2"/>
  <c r="I1187" i="2"/>
  <c r="I1186" i="2"/>
  <c r="I1185" i="2"/>
  <c r="I1184" i="2"/>
  <c r="I1183" i="2"/>
  <c r="I1182" i="2"/>
  <c r="I1181" i="2"/>
  <c r="I1180" i="2"/>
  <c r="I1179" i="2"/>
  <c r="I1178" i="2"/>
  <c r="I1177" i="2"/>
  <c r="I1176" i="2"/>
  <c r="I1175" i="2"/>
  <c r="I1174" i="2"/>
  <c r="I1173" i="2"/>
  <c r="I1172" i="2"/>
  <c r="I1171" i="2"/>
  <c r="I1170" i="2"/>
  <c r="I1169" i="2"/>
  <c r="I1168" i="2"/>
  <c r="I1167" i="2"/>
  <c r="I1166" i="2"/>
  <c r="I1165" i="2"/>
  <c r="I1164" i="2"/>
  <c r="I1163" i="2"/>
  <c r="I1162" i="2"/>
  <c r="I1161" i="2"/>
  <c r="I1160" i="2"/>
  <c r="I1159" i="2"/>
  <c r="I1158" i="2"/>
  <c r="I1157" i="2"/>
  <c r="I1156" i="2"/>
  <c r="I1155" i="2"/>
  <c r="I1154" i="2"/>
  <c r="I1153" i="2"/>
  <c r="I1152" i="2"/>
  <c r="I1151" i="2"/>
  <c r="I1150" i="2"/>
  <c r="I1149" i="2"/>
  <c r="I1148" i="2"/>
  <c r="I1147" i="2"/>
  <c r="I1146" i="2"/>
  <c r="I1145" i="2"/>
  <c r="I1144" i="2"/>
  <c r="I1143" i="2"/>
  <c r="I1142" i="2"/>
  <c r="I1141" i="2"/>
  <c r="I1140" i="2"/>
  <c r="I1139" i="2"/>
  <c r="I1138" i="2"/>
  <c r="I1137" i="2"/>
  <c r="I1136" i="2"/>
  <c r="I1135" i="2"/>
  <c r="I1134" i="2"/>
  <c r="I1133" i="2"/>
  <c r="I1132" i="2"/>
  <c r="I1131" i="2"/>
  <c r="I1130" i="2"/>
  <c r="I1129" i="2"/>
  <c r="I1128" i="2"/>
  <c r="I1127" i="2"/>
  <c r="I1126" i="2"/>
  <c r="I1125" i="2"/>
  <c r="I1124" i="2"/>
  <c r="I1123" i="2"/>
  <c r="I1122" i="2"/>
  <c r="I1121" i="2"/>
  <c r="I1120" i="2"/>
  <c r="I1119" i="2"/>
  <c r="I1118" i="2"/>
  <c r="I1117" i="2"/>
  <c r="I1116" i="2"/>
  <c r="I1115" i="2"/>
  <c r="I1114" i="2"/>
  <c r="I1113" i="2"/>
  <c r="I1112" i="2"/>
  <c r="I1111" i="2"/>
  <c r="I1110" i="2"/>
  <c r="I1109" i="2"/>
  <c r="I1108" i="2"/>
  <c r="I1107" i="2"/>
  <c r="I1106" i="2"/>
  <c r="I1105" i="2"/>
  <c r="I1104" i="2"/>
  <c r="I1103" i="2"/>
  <c r="I1102" i="2"/>
  <c r="I1101" i="2"/>
  <c r="I1100" i="2"/>
  <c r="I1099" i="2"/>
  <c r="I1098" i="2"/>
  <c r="I1097" i="2"/>
  <c r="I1096" i="2"/>
  <c r="I1095" i="2"/>
  <c r="I1094" i="2"/>
  <c r="I1093" i="2"/>
  <c r="I1092" i="2"/>
  <c r="I1091" i="2"/>
  <c r="I1090" i="2"/>
  <c r="I1089" i="2"/>
  <c r="I1088" i="2"/>
  <c r="I1087" i="2"/>
  <c r="I1086" i="2"/>
  <c r="I1085" i="2"/>
  <c r="I1084" i="2"/>
  <c r="I1083" i="2"/>
  <c r="I1082" i="2"/>
  <c r="I1081" i="2"/>
  <c r="I1080" i="2"/>
  <c r="I1079" i="2"/>
  <c r="I1078" i="2"/>
  <c r="I1077" i="2"/>
  <c r="I1076" i="2"/>
  <c r="I1075" i="2"/>
  <c r="I1074" i="2"/>
  <c r="I1073" i="2"/>
  <c r="I1072" i="2"/>
  <c r="I1071" i="2"/>
  <c r="I1070" i="2"/>
  <c r="I1069" i="2"/>
  <c r="I1068" i="2"/>
  <c r="I1067" i="2"/>
  <c r="I1066" i="2"/>
  <c r="I1065" i="2"/>
  <c r="I1064" i="2"/>
  <c r="I1063" i="2"/>
  <c r="I1062" i="2"/>
  <c r="I1061" i="2"/>
  <c r="I1060" i="2"/>
  <c r="I1059" i="2"/>
  <c r="I1058" i="2"/>
  <c r="I1057" i="2"/>
  <c r="I1056" i="2"/>
  <c r="I1055" i="2"/>
  <c r="I1054" i="2"/>
  <c r="I1053" i="2"/>
  <c r="I1052" i="2"/>
  <c r="I1051" i="2"/>
  <c r="I1050" i="2"/>
  <c r="I1049" i="2"/>
  <c r="I1048" i="2"/>
  <c r="I1047" i="2"/>
  <c r="I1046" i="2"/>
  <c r="I1045" i="2"/>
  <c r="I1044" i="2"/>
  <c r="I1043" i="2"/>
  <c r="I1042" i="2"/>
  <c r="I1041" i="2"/>
  <c r="I1040" i="2"/>
  <c r="I1039" i="2"/>
  <c r="I1038" i="2"/>
  <c r="I1037" i="2"/>
  <c r="I1036" i="2"/>
  <c r="I1035" i="2"/>
  <c r="I1034" i="2"/>
  <c r="I1033" i="2"/>
  <c r="I1032" i="2"/>
  <c r="I1031" i="2"/>
  <c r="I1030" i="2"/>
  <c r="I1029" i="2"/>
  <c r="I1028" i="2"/>
  <c r="I1027" i="2"/>
  <c r="I1026" i="2"/>
  <c r="I1025" i="2"/>
  <c r="I1024" i="2"/>
  <c r="I1023" i="2"/>
  <c r="I1022" i="2"/>
  <c r="I1021" i="2"/>
  <c r="I1020" i="2"/>
  <c r="I1019" i="2"/>
  <c r="I1018" i="2"/>
  <c r="I1017" i="2"/>
  <c r="I1016" i="2"/>
  <c r="I1015" i="2"/>
  <c r="I1014" i="2"/>
  <c r="I1013" i="2"/>
  <c r="I1012" i="2"/>
  <c r="I1011" i="2"/>
  <c r="I1010" i="2"/>
  <c r="I1009" i="2"/>
  <c r="I1008" i="2"/>
  <c r="I1007" i="2"/>
  <c r="I1006" i="2"/>
  <c r="I1005" i="2"/>
  <c r="I1004" i="2"/>
  <c r="I1003" i="2"/>
  <c r="I1002" i="2"/>
  <c r="I1001" i="2"/>
  <c r="I1000" i="2"/>
  <c r="I999" i="2"/>
  <c r="I998" i="2"/>
  <c r="I997" i="2"/>
  <c r="I996" i="2"/>
  <c r="I995" i="2"/>
  <c r="I994" i="2"/>
  <c r="I993" i="2"/>
  <c r="I992" i="2"/>
  <c r="I991" i="2"/>
  <c r="I990" i="2"/>
  <c r="I989" i="2"/>
  <c r="I988" i="2"/>
  <c r="I987" i="2"/>
  <c r="I986" i="2"/>
  <c r="I985" i="2"/>
  <c r="I984" i="2"/>
  <c r="I983" i="2"/>
  <c r="I982" i="2"/>
  <c r="I981" i="2"/>
  <c r="I980" i="2"/>
  <c r="I979" i="2"/>
  <c r="I978" i="2"/>
  <c r="I977" i="2"/>
  <c r="I976" i="2"/>
  <c r="I975" i="2"/>
  <c r="I974" i="2"/>
  <c r="I973" i="2"/>
  <c r="I972" i="2"/>
  <c r="I971" i="2"/>
  <c r="I970" i="2"/>
  <c r="I969" i="2"/>
  <c r="I968" i="2"/>
  <c r="I967" i="2"/>
  <c r="I966" i="2"/>
  <c r="I965" i="2"/>
  <c r="I964" i="2"/>
  <c r="I963" i="2"/>
  <c r="I962" i="2"/>
  <c r="I961" i="2"/>
  <c r="I960" i="2"/>
  <c r="I959" i="2"/>
  <c r="I958" i="2"/>
  <c r="I957" i="2"/>
  <c r="I956" i="2"/>
  <c r="I955" i="2"/>
  <c r="I954" i="2"/>
  <c r="I953" i="2"/>
  <c r="I952" i="2"/>
  <c r="I951" i="2"/>
  <c r="I950" i="2"/>
  <c r="I949" i="2"/>
  <c r="I948" i="2"/>
  <c r="I947" i="2"/>
  <c r="I946" i="2"/>
  <c r="I945" i="2"/>
  <c r="I944" i="2"/>
  <c r="I943" i="2"/>
  <c r="I942" i="2"/>
  <c r="I941" i="2"/>
  <c r="I940" i="2"/>
  <c r="I939" i="2"/>
  <c r="I938" i="2"/>
  <c r="I937" i="2"/>
  <c r="I936" i="2"/>
  <c r="I935" i="2"/>
  <c r="I934" i="2"/>
  <c r="I933" i="2"/>
  <c r="I932" i="2"/>
  <c r="I931" i="2"/>
  <c r="I930" i="2"/>
  <c r="I929" i="2"/>
  <c r="I928" i="2"/>
  <c r="I927" i="2"/>
  <c r="I926" i="2"/>
  <c r="I925" i="2"/>
  <c r="I924" i="2"/>
  <c r="I923" i="2"/>
  <c r="I922" i="2"/>
  <c r="I921" i="2"/>
  <c r="I920" i="2"/>
  <c r="I919" i="2"/>
  <c r="I918" i="2"/>
  <c r="I917" i="2"/>
  <c r="I916" i="2"/>
  <c r="I915" i="2"/>
  <c r="I914" i="2"/>
  <c r="I913" i="2"/>
  <c r="I912" i="2"/>
  <c r="I911" i="2"/>
  <c r="I910" i="2"/>
  <c r="I909" i="2"/>
  <c r="I908" i="2"/>
  <c r="I907" i="2"/>
  <c r="I906" i="2"/>
  <c r="I905" i="2"/>
  <c r="I904" i="2"/>
  <c r="I903" i="2"/>
  <c r="I902" i="2"/>
  <c r="I901" i="2"/>
  <c r="I900" i="2"/>
  <c r="I899" i="2"/>
  <c r="I898" i="2"/>
  <c r="I897" i="2"/>
  <c r="I896" i="2"/>
  <c r="I895" i="2"/>
  <c r="I894" i="2"/>
  <c r="I893" i="2"/>
  <c r="I892" i="2"/>
  <c r="I891" i="2"/>
  <c r="I890" i="2"/>
  <c r="I889" i="2"/>
  <c r="I888" i="2"/>
  <c r="I887" i="2"/>
  <c r="I886" i="2"/>
  <c r="I885" i="2"/>
  <c r="I884" i="2"/>
  <c r="I883" i="2"/>
  <c r="I882" i="2"/>
  <c r="I881" i="2"/>
  <c r="I880" i="2"/>
  <c r="I879" i="2"/>
  <c r="I878" i="2"/>
  <c r="I877" i="2"/>
  <c r="I876" i="2"/>
  <c r="I875" i="2"/>
  <c r="I874" i="2"/>
  <c r="I873" i="2"/>
  <c r="I872" i="2"/>
  <c r="I871" i="2"/>
  <c r="I870" i="2"/>
  <c r="I869" i="2"/>
  <c r="I868" i="2"/>
  <c r="I867" i="2"/>
  <c r="I866" i="2"/>
  <c r="I865" i="2"/>
  <c r="I864" i="2"/>
  <c r="I863" i="2"/>
  <c r="I862" i="2"/>
  <c r="I861" i="2"/>
  <c r="I860" i="2"/>
  <c r="I859" i="2"/>
  <c r="I858" i="2"/>
  <c r="I857" i="2"/>
  <c r="I856" i="2"/>
  <c r="I855" i="2"/>
  <c r="I854" i="2"/>
  <c r="I853" i="2"/>
  <c r="I852" i="2"/>
  <c r="I851" i="2"/>
  <c r="I850" i="2"/>
  <c r="I849" i="2"/>
  <c r="I848" i="2"/>
  <c r="I847" i="2"/>
  <c r="I846" i="2"/>
  <c r="I845" i="2"/>
  <c r="I844" i="2"/>
  <c r="I843" i="2"/>
  <c r="I842" i="2"/>
  <c r="I841" i="2"/>
  <c r="I840" i="2"/>
  <c r="I839" i="2"/>
  <c r="I838" i="2"/>
  <c r="I837" i="2"/>
  <c r="I836" i="2"/>
  <c r="I835" i="2"/>
  <c r="I834" i="2"/>
  <c r="I833" i="2"/>
  <c r="I832" i="2"/>
  <c r="I831" i="2"/>
  <c r="I830" i="2"/>
  <c r="I829" i="2"/>
  <c r="I828" i="2"/>
  <c r="I827" i="2"/>
  <c r="I826" i="2"/>
  <c r="I825" i="2"/>
  <c r="I824" i="2"/>
  <c r="I823" i="2"/>
  <c r="I822" i="2"/>
  <c r="I821" i="2"/>
  <c r="I820" i="2"/>
  <c r="I819" i="2"/>
  <c r="I818" i="2"/>
  <c r="I817" i="2"/>
  <c r="I816" i="2"/>
  <c r="I815" i="2"/>
  <c r="I814" i="2"/>
  <c r="I813" i="2"/>
  <c r="I812" i="2"/>
  <c r="I811" i="2"/>
  <c r="I810" i="2"/>
  <c r="I809" i="2"/>
  <c r="I808" i="2"/>
  <c r="I807" i="2"/>
  <c r="I806" i="2"/>
  <c r="I805" i="2"/>
  <c r="I804" i="2"/>
  <c r="I803" i="2"/>
  <c r="I802" i="2"/>
  <c r="I801" i="2"/>
  <c r="I800" i="2"/>
  <c r="I799" i="2"/>
  <c r="I798" i="2"/>
  <c r="I797" i="2"/>
  <c r="I796" i="2"/>
  <c r="I795" i="2"/>
  <c r="I794" i="2"/>
  <c r="I793" i="2"/>
  <c r="I792" i="2"/>
  <c r="I791" i="2"/>
  <c r="I790" i="2"/>
  <c r="I789" i="2"/>
  <c r="I788" i="2"/>
  <c r="I787" i="2"/>
  <c r="I786" i="2"/>
  <c r="I785" i="2"/>
  <c r="I784" i="2"/>
  <c r="I783" i="2"/>
  <c r="I782" i="2"/>
  <c r="I781" i="2"/>
  <c r="I780" i="2"/>
  <c r="I779" i="2"/>
  <c r="I778" i="2"/>
  <c r="I777" i="2"/>
  <c r="I776" i="2"/>
  <c r="I775" i="2"/>
  <c r="I774" i="2"/>
  <c r="I773" i="2"/>
  <c r="I772" i="2"/>
  <c r="I771" i="2"/>
  <c r="I770" i="2"/>
  <c r="I769" i="2"/>
  <c r="I768" i="2"/>
  <c r="I767" i="2"/>
  <c r="I766" i="2"/>
  <c r="I765" i="2"/>
  <c r="I764" i="2"/>
  <c r="I763" i="2"/>
  <c r="I762" i="2"/>
  <c r="I761" i="2"/>
  <c r="I760" i="2"/>
  <c r="I759" i="2"/>
  <c r="I758" i="2"/>
  <c r="I757" i="2"/>
  <c r="I756" i="2"/>
  <c r="I755" i="2"/>
  <c r="I754" i="2"/>
  <c r="I753" i="2"/>
  <c r="I752" i="2"/>
  <c r="I751" i="2"/>
  <c r="I750" i="2"/>
  <c r="I749" i="2"/>
  <c r="I748" i="2"/>
  <c r="I747" i="2"/>
  <c r="I746" i="2"/>
  <c r="I745" i="2"/>
  <c r="I744" i="2"/>
  <c r="I743" i="2"/>
  <c r="I742" i="2"/>
  <c r="I741" i="2"/>
  <c r="I740" i="2"/>
  <c r="I739" i="2"/>
  <c r="I738" i="2"/>
  <c r="I737" i="2"/>
  <c r="I736" i="2"/>
  <c r="I735" i="2"/>
  <c r="I734" i="2"/>
  <c r="I733" i="2"/>
  <c r="I732" i="2"/>
  <c r="I731" i="2"/>
  <c r="I730" i="2"/>
  <c r="I729" i="2"/>
  <c r="I728" i="2"/>
  <c r="I727" i="2"/>
  <c r="I726" i="2"/>
  <c r="I725" i="2"/>
  <c r="I724" i="2"/>
  <c r="I723" i="2"/>
  <c r="I722" i="2"/>
  <c r="I721" i="2"/>
  <c r="I720" i="2"/>
  <c r="I719" i="2"/>
  <c r="I718" i="2"/>
  <c r="I717" i="2"/>
  <c r="I716" i="2"/>
  <c r="I715" i="2"/>
  <c r="I714" i="2"/>
  <c r="I1214" i="2" s="1"/>
  <c r="N712" i="2"/>
  <c r="P708" i="2"/>
  <c r="J698" i="2"/>
  <c r="I698" i="2"/>
  <c r="D698" i="2"/>
  <c r="B698" i="2"/>
  <c r="A698" i="2"/>
  <c r="J697" i="2"/>
  <c r="I697" i="2"/>
  <c r="D697" i="2"/>
  <c r="B697" i="2"/>
  <c r="A697" i="2"/>
  <c r="J695" i="2"/>
  <c r="I695" i="2"/>
  <c r="D689" i="2"/>
  <c r="A689" i="2"/>
  <c r="I688" i="2"/>
  <c r="L685" i="2"/>
  <c r="D680" i="2"/>
  <c r="A680" i="2"/>
  <c r="I679" i="2"/>
  <c r="J679" i="2" s="1"/>
  <c r="I678" i="2"/>
  <c r="J678" i="2" s="1"/>
  <c r="I677" i="2"/>
  <c r="J677" i="2" s="1"/>
  <c r="I676" i="2"/>
  <c r="J676" i="2" s="1"/>
  <c r="I675" i="2"/>
  <c r="J675" i="2" s="1"/>
  <c r="I674" i="2"/>
  <c r="J674" i="2" s="1"/>
  <c r="I673" i="2"/>
  <c r="J673" i="2" s="1"/>
  <c r="I672" i="2"/>
  <c r="J672" i="2" s="1"/>
  <c r="I671" i="2"/>
  <c r="J671" i="2" s="1"/>
  <c r="I670" i="2"/>
  <c r="J670" i="2" s="1"/>
  <c r="I669" i="2"/>
  <c r="J669" i="2" s="1"/>
  <c r="I668" i="2"/>
  <c r="J668" i="2" s="1"/>
  <c r="I667" i="2"/>
  <c r="J667" i="2" s="1"/>
  <c r="I666" i="2"/>
  <c r="J666" i="2" s="1"/>
  <c r="I665" i="2"/>
  <c r="J665" i="2" s="1"/>
  <c r="I664" i="2"/>
  <c r="J664" i="2" s="1"/>
  <c r="I663" i="2"/>
  <c r="J663" i="2" s="1"/>
  <c r="I662" i="2"/>
  <c r="J662" i="2" s="1"/>
  <c r="I661" i="2"/>
  <c r="J661" i="2" s="1"/>
  <c r="I660" i="2"/>
  <c r="J660" i="2" s="1"/>
  <c r="I659" i="2"/>
  <c r="J659" i="2" s="1"/>
  <c r="I658" i="2"/>
  <c r="J658" i="2" s="1"/>
  <c r="I657" i="2"/>
  <c r="J657" i="2" s="1"/>
  <c r="I656" i="2"/>
  <c r="J656" i="2" s="1"/>
  <c r="I655" i="2"/>
  <c r="J655" i="2" s="1"/>
  <c r="I654" i="2"/>
  <c r="J654" i="2" s="1"/>
  <c r="I653" i="2"/>
  <c r="J653" i="2" s="1"/>
  <c r="I652" i="2"/>
  <c r="J652" i="2" s="1"/>
  <c r="I651" i="2"/>
  <c r="J651" i="2" s="1"/>
  <c r="I650" i="2"/>
  <c r="J650" i="2" s="1"/>
  <c r="I649" i="2"/>
  <c r="J649" i="2" s="1"/>
  <c r="I648" i="2"/>
  <c r="J648" i="2" s="1"/>
  <c r="I647" i="2"/>
  <c r="J647" i="2" s="1"/>
  <c r="I646" i="2"/>
  <c r="J646" i="2" s="1"/>
  <c r="I645" i="2"/>
  <c r="J645" i="2" s="1"/>
  <c r="I644" i="2"/>
  <c r="J644" i="2" s="1"/>
  <c r="I643" i="2"/>
  <c r="J643" i="2" s="1"/>
  <c r="I642" i="2"/>
  <c r="J642" i="2" s="1"/>
  <c r="I641" i="2"/>
  <c r="J641" i="2" s="1"/>
  <c r="I640" i="2"/>
  <c r="J640" i="2" s="1"/>
  <c r="I639" i="2"/>
  <c r="J639" i="2" s="1"/>
  <c r="I638" i="2"/>
  <c r="J638" i="2" s="1"/>
  <c r="I637" i="2"/>
  <c r="J637" i="2" s="1"/>
  <c r="I636" i="2"/>
  <c r="J636" i="2" s="1"/>
  <c r="I635" i="2"/>
  <c r="J635" i="2" s="1"/>
  <c r="I634" i="2"/>
  <c r="J634" i="2" s="1"/>
  <c r="I633" i="2"/>
  <c r="J633" i="2" s="1"/>
  <c r="I632" i="2"/>
  <c r="J632" i="2" s="1"/>
  <c r="I631" i="2"/>
  <c r="J631" i="2" s="1"/>
  <c r="I630" i="2"/>
  <c r="J630" i="2" s="1"/>
  <c r="I629" i="2"/>
  <c r="J629" i="2" s="1"/>
  <c r="I628" i="2"/>
  <c r="J628" i="2" s="1"/>
  <c r="I627" i="2"/>
  <c r="J627" i="2" s="1"/>
  <c r="I626" i="2"/>
  <c r="J626" i="2" s="1"/>
  <c r="I625" i="2"/>
  <c r="J625" i="2" s="1"/>
  <c r="I624" i="2"/>
  <c r="J624" i="2" s="1"/>
  <c r="I623" i="2"/>
  <c r="J623" i="2" s="1"/>
  <c r="I622" i="2"/>
  <c r="J622" i="2" s="1"/>
  <c r="I621" i="2"/>
  <c r="J621" i="2" s="1"/>
  <c r="I620" i="2"/>
  <c r="J620" i="2" s="1"/>
  <c r="I619" i="2"/>
  <c r="J619" i="2" s="1"/>
  <c r="I618" i="2"/>
  <c r="J618" i="2" s="1"/>
  <c r="L615" i="2"/>
  <c r="I614" i="2"/>
  <c r="C613" i="2"/>
  <c r="C683" i="2" s="1"/>
  <c r="G610" i="2"/>
  <c r="K36" i="2" s="1"/>
  <c r="K37" i="2" s="1"/>
  <c r="A610" i="2"/>
  <c r="CQ609" i="2"/>
  <c r="CP609" i="2"/>
  <c r="CO609" i="2"/>
  <c r="CN609" i="2"/>
  <c r="CM609" i="2"/>
  <c r="CL609" i="2"/>
  <c r="CK609" i="2"/>
  <c r="CJ609" i="2"/>
  <c r="CI609" i="2"/>
  <c r="CH609" i="2"/>
  <c r="CG609" i="2"/>
  <c r="CF609" i="2"/>
  <c r="CE609" i="2"/>
  <c r="CD609" i="2"/>
  <c r="CC609" i="2"/>
  <c r="CB609" i="2"/>
  <c r="CA609" i="2"/>
  <c r="BZ609" i="2"/>
  <c r="BY609" i="2"/>
  <c r="BX609" i="2"/>
  <c r="BW609" i="2"/>
  <c r="BV609" i="2"/>
  <c r="BU609" i="2"/>
  <c r="BT609" i="2"/>
  <c r="BS609" i="2"/>
  <c r="BR609" i="2"/>
  <c r="BQ609" i="2"/>
  <c r="BP609" i="2"/>
  <c r="BO609" i="2"/>
  <c r="BN609" i="2"/>
  <c r="BM609" i="2"/>
  <c r="BL609" i="2"/>
  <c r="BK609" i="2"/>
  <c r="BJ609" i="2"/>
  <c r="BI609" i="2"/>
  <c r="BH609" i="2"/>
  <c r="BG609" i="2"/>
  <c r="BF609" i="2"/>
  <c r="CQ608" i="2"/>
  <c r="CP608" i="2"/>
  <c r="CO608" i="2"/>
  <c r="CN608" i="2"/>
  <c r="CM608" i="2"/>
  <c r="CL608" i="2"/>
  <c r="CK608" i="2"/>
  <c r="CJ608" i="2"/>
  <c r="CI608" i="2"/>
  <c r="CH608" i="2"/>
  <c r="CG608" i="2"/>
  <c r="CF608" i="2"/>
  <c r="CE608" i="2"/>
  <c r="CD608" i="2"/>
  <c r="CC608" i="2"/>
  <c r="CB608" i="2"/>
  <c r="CA608" i="2"/>
  <c r="BZ608" i="2"/>
  <c r="BY608" i="2"/>
  <c r="BX608" i="2"/>
  <c r="BW608" i="2"/>
  <c r="BV608" i="2"/>
  <c r="BU608" i="2"/>
  <c r="BT608" i="2"/>
  <c r="BS608" i="2"/>
  <c r="BR608" i="2"/>
  <c r="BQ608" i="2"/>
  <c r="BP608" i="2"/>
  <c r="BO608" i="2"/>
  <c r="BN608" i="2"/>
  <c r="BM608" i="2"/>
  <c r="BL608" i="2"/>
  <c r="BK608" i="2"/>
  <c r="BJ608" i="2"/>
  <c r="BI608" i="2"/>
  <c r="BH608" i="2"/>
  <c r="BG608" i="2"/>
  <c r="BF608" i="2"/>
  <c r="CQ607" i="2"/>
  <c r="CP607" i="2"/>
  <c r="CO607" i="2"/>
  <c r="CN607" i="2"/>
  <c r="CM607" i="2"/>
  <c r="CL607" i="2"/>
  <c r="CK607" i="2"/>
  <c r="CJ607" i="2"/>
  <c r="CI607" i="2"/>
  <c r="CH607" i="2"/>
  <c r="CG607" i="2"/>
  <c r="CF607" i="2"/>
  <c r="CE607" i="2"/>
  <c r="CD607" i="2"/>
  <c r="CC607" i="2"/>
  <c r="CB607" i="2"/>
  <c r="CA607" i="2"/>
  <c r="BZ607" i="2"/>
  <c r="BY607" i="2"/>
  <c r="BX607" i="2"/>
  <c r="BW607" i="2"/>
  <c r="BV607" i="2"/>
  <c r="BU607" i="2"/>
  <c r="BT607" i="2"/>
  <c r="BS607" i="2"/>
  <c r="BR607" i="2"/>
  <c r="BQ607" i="2"/>
  <c r="BP607" i="2"/>
  <c r="BO607" i="2"/>
  <c r="BN607" i="2"/>
  <c r="BM607" i="2"/>
  <c r="BL607" i="2"/>
  <c r="BK607" i="2"/>
  <c r="BJ607" i="2"/>
  <c r="BI607" i="2"/>
  <c r="BH607" i="2"/>
  <c r="BG607" i="2"/>
  <c r="BF607" i="2"/>
  <c r="CQ606" i="2"/>
  <c r="CP606" i="2"/>
  <c r="CO606" i="2"/>
  <c r="CN606" i="2"/>
  <c r="CM606" i="2"/>
  <c r="CL606" i="2"/>
  <c r="CK606" i="2"/>
  <c r="CJ606" i="2"/>
  <c r="CI606" i="2"/>
  <c r="CH606" i="2"/>
  <c r="CG606" i="2"/>
  <c r="CF606" i="2"/>
  <c r="CE606" i="2"/>
  <c r="CD606" i="2"/>
  <c r="CC606" i="2"/>
  <c r="CB606" i="2"/>
  <c r="CA606" i="2"/>
  <c r="BZ606" i="2"/>
  <c r="BY606" i="2"/>
  <c r="BX606" i="2"/>
  <c r="BW606" i="2"/>
  <c r="BV606" i="2"/>
  <c r="BU606" i="2"/>
  <c r="BT606" i="2"/>
  <c r="BS606" i="2"/>
  <c r="BR606" i="2"/>
  <c r="BQ606" i="2"/>
  <c r="BP606" i="2"/>
  <c r="BO606" i="2"/>
  <c r="BN606" i="2"/>
  <c r="BM606" i="2"/>
  <c r="BL606" i="2"/>
  <c r="BK606" i="2"/>
  <c r="BJ606" i="2"/>
  <c r="BI606" i="2"/>
  <c r="BH606" i="2"/>
  <c r="BG606" i="2"/>
  <c r="BF606" i="2"/>
  <c r="CQ605" i="2"/>
  <c r="CP605" i="2"/>
  <c r="CO605" i="2"/>
  <c r="CN605" i="2"/>
  <c r="CM605" i="2"/>
  <c r="CL605" i="2"/>
  <c r="CK605" i="2"/>
  <c r="CJ605" i="2"/>
  <c r="CI605" i="2"/>
  <c r="CH605" i="2"/>
  <c r="CG605" i="2"/>
  <c r="CF605" i="2"/>
  <c r="CE605" i="2"/>
  <c r="CD605" i="2"/>
  <c r="CC605" i="2"/>
  <c r="CB605" i="2"/>
  <c r="CA605" i="2"/>
  <c r="BZ605" i="2"/>
  <c r="BY605" i="2"/>
  <c r="BX605" i="2"/>
  <c r="BW605" i="2"/>
  <c r="BV605" i="2"/>
  <c r="BU605" i="2"/>
  <c r="BT605" i="2"/>
  <c r="BS605" i="2"/>
  <c r="BR605" i="2"/>
  <c r="BQ605" i="2"/>
  <c r="BP605" i="2"/>
  <c r="BO605" i="2"/>
  <c r="BN605" i="2"/>
  <c r="BM605" i="2"/>
  <c r="BL605" i="2"/>
  <c r="BK605" i="2"/>
  <c r="BJ605" i="2"/>
  <c r="BI605" i="2"/>
  <c r="BH605" i="2"/>
  <c r="BG605" i="2"/>
  <c r="BF605" i="2"/>
  <c r="CQ604" i="2"/>
  <c r="CP604" i="2"/>
  <c r="CO604" i="2"/>
  <c r="CN604" i="2"/>
  <c r="CM604" i="2"/>
  <c r="CL604" i="2"/>
  <c r="CK604" i="2"/>
  <c r="CJ604" i="2"/>
  <c r="CI604" i="2"/>
  <c r="CH604" i="2"/>
  <c r="CG604" i="2"/>
  <c r="CF604" i="2"/>
  <c r="CE604" i="2"/>
  <c r="CD604" i="2"/>
  <c r="CC604" i="2"/>
  <c r="CB604" i="2"/>
  <c r="CA604" i="2"/>
  <c r="BZ604" i="2"/>
  <c r="BY604" i="2"/>
  <c r="BX604" i="2"/>
  <c r="BW604" i="2"/>
  <c r="BV604" i="2"/>
  <c r="BU604" i="2"/>
  <c r="BT604" i="2"/>
  <c r="BS604" i="2"/>
  <c r="BR604" i="2"/>
  <c r="BQ604" i="2"/>
  <c r="BP604" i="2"/>
  <c r="BO604" i="2"/>
  <c r="BN604" i="2"/>
  <c r="BM604" i="2"/>
  <c r="BL604" i="2"/>
  <c r="BK604" i="2"/>
  <c r="BJ604" i="2"/>
  <c r="BI604" i="2"/>
  <c r="BH604" i="2"/>
  <c r="BG604" i="2"/>
  <c r="BF604" i="2"/>
  <c r="CQ603" i="2"/>
  <c r="CP603" i="2"/>
  <c r="CO603" i="2"/>
  <c r="CN603" i="2"/>
  <c r="CM603" i="2"/>
  <c r="CL603" i="2"/>
  <c r="CK603" i="2"/>
  <c r="CJ603" i="2"/>
  <c r="CI603" i="2"/>
  <c r="CH603" i="2"/>
  <c r="CG603" i="2"/>
  <c r="CF603" i="2"/>
  <c r="CE603" i="2"/>
  <c r="CD603" i="2"/>
  <c r="CC603" i="2"/>
  <c r="CB603" i="2"/>
  <c r="CA603" i="2"/>
  <c r="BZ603" i="2"/>
  <c r="BY603" i="2"/>
  <c r="BX603" i="2"/>
  <c r="BW603" i="2"/>
  <c r="BV603" i="2"/>
  <c r="BU603" i="2"/>
  <c r="BT603" i="2"/>
  <c r="BS603" i="2"/>
  <c r="BR603" i="2"/>
  <c r="BQ603" i="2"/>
  <c r="BP603" i="2"/>
  <c r="BO603" i="2"/>
  <c r="BN603" i="2"/>
  <c r="BM603" i="2"/>
  <c r="BL603" i="2"/>
  <c r="BK603" i="2"/>
  <c r="BJ603" i="2"/>
  <c r="BI603" i="2"/>
  <c r="BH603" i="2"/>
  <c r="BG603" i="2"/>
  <c r="BF603" i="2"/>
  <c r="CQ602" i="2"/>
  <c r="CP602" i="2"/>
  <c r="CO602" i="2"/>
  <c r="CN602" i="2"/>
  <c r="CM602" i="2"/>
  <c r="CL602" i="2"/>
  <c r="CK602" i="2"/>
  <c r="CJ602" i="2"/>
  <c r="CI602" i="2"/>
  <c r="CH602" i="2"/>
  <c r="CG602" i="2"/>
  <c r="CF602" i="2"/>
  <c r="CE602" i="2"/>
  <c r="CD602" i="2"/>
  <c r="CC602" i="2"/>
  <c r="CB602" i="2"/>
  <c r="CA602" i="2"/>
  <c r="BZ602" i="2"/>
  <c r="BY602" i="2"/>
  <c r="BX602" i="2"/>
  <c r="BW602" i="2"/>
  <c r="BV602" i="2"/>
  <c r="BU602" i="2"/>
  <c r="BT602" i="2"/>
  <c r="BS602" i="2"/>
  <c r="BR602" i="2"/>
  <c r="BQ602" i="2"/>
  <c r="BP602" i="2"/>
  <c r="BO602" i="2"/>
  <c r="BN602" i="2"/>
  <c r="BM602" i="2"/>
  <c r="BL602" i="2"/>
  <c r="BK602" i="2"/>
  <c r="BJ602" i="2"/>
  <c r="BI602" i="2"/>
  <c r="BH602" i="2"/>
  <c r="BG602" i="2"/>
  <c r="BF602" i="2"/>
  <c r="CQ601" i="2"/>
  <c r="CP601" i="2"/>
  <c r="CO601" i="2"/>
  <c r="CN601" i="2"/>
  <c r="CM601" i="2"/>
  <c r="CL601" i="2"/>
  <c r="CK601" i="2"/>
  <c r="CJ601" i="2"/>
  <c r="CI601" i="2"/>
  <c r="CH601" i="2"/>
  <c r="CG601" i="2"/>
  <c r="CF601" i="2"/>
  <c r="CE601" i="2"/>
  <c r="CD601" i="2"/>
  <c r="CC601" i="2"/>
  <c r="CB601" i="2"/>
  <c r="CA601" i="2"/>
  <c r="BZ601" i="2"/>
  <c r="BY601" i="2"/>
  <c r="BX601" i="2"/>
  <c r="BW601" i="2"/>
  <c r="BV601" i="2"/>
  <c r="BU601" i="2"/>
  <c r="BT601" i="2"/>
  <c r="BS601" i="2"/>
  <c r="BR601" i="2"/>
  <c r="BQ601" i="2"/>
  <c r="BP601" i="2"/>
  <c r="BO601" i="2"/>
  <c r="BN601" i="2"/>
  <c r="BM601" i="2"/>
  <c r="BL601" i="2"/>
  <c r="BK601" i="2"/>
  <c r="BJ601" i="2"/>
  <c r="BI601" i="2"/>
  <c r="BH601" i="2"/>
  <c r="BG601" i="2"/>
  <c r="BF601" i="2"/>
  <c r="CQ600" i="2"/>
  <c r="CP600" i="2"/>
  <c r="CO600" i="2"/>
  <c r="CN600" i="2"/>
  <c r="CM600" i="2"/>
  <c r="CL600" i="2"/>
  <c r="CK600" i="2"/>
  <c r="CJ600" i="2"/>
  <c r="CI600" i="2"/>
  <c r="CH600" i="2"/>
  <c r="CG600" i="2"/>
  <c r="CF600" i="2"/>
  <c r="CE600" i="2"/>
  <c r="CD600" i="2"/>
  <c r="CC600" i="2"/>
  <c r="CB600" i="2"/>
  <c r="CA600" i="2"/>
  <c r="BZ600" i="2"/>
  <c r="BY600" i="2"/>
  <c r="BX600" i="2"/>
  <c r="BW600" i="2"/>
  <c r="BV600" i="2"/>
  <c r="BU600" i="2"/>
  <c r="BT600" i="2"/>
  <c r="BS600" i="2"/>
  <c r="BR600" i="2"/>
  <c r="BQ600" i="2"/>
  <c r="BP600" i="2"/>
  <c r="BO600" i="2"/>
  <c r="BN600" i="2"/>
  <c r="BM600" i="2"/>
  <c r="BL600" i="2"/>
  <c r="BK600" i="2"/>
  <c r="BJ600" i="2"/>
  <c r="BI600" i="2"/>
  <c r="BH600" i="2"/>
  <c r="BG600" i="2"/>
  <c r="BF600" i="2"/>
  <c r="CQ599" i="2"/>
  <c r="CP599" i="2"/>
  <c r="CO599" i="2"/>
  <c r="CN599" i="2"/>
  <c r="CM599" i="2"/>
  <c r="CL599" i="2"/>
  <c r="CK599" i="2"/>
  <c r="CJ599" i="2"/>
  <c r="CI599" i="2"/>
  <c r="CH599" i="2"/>
  <c r="CG599" i="2"/>
  <c r="CF599" i="2"/>
  <c r="CE599" i="2"/>
  <c r="CD599" i="2"/>
  <c r="CC599" i="2"/>
  <c r="CB599" i="2"/>
  <c r="CA599" i="2"/>
  <c r="BZ599" i="2"/>
  <c r="BY599" i="2"/>
  <c r="BX599" i="2"/>
  <c r="BW599" i="2"/>
  <c r="BV599" i="2"/>
  <c r="BU599" i="2"/>
  <c r="BT599" i="2"/>
  <c r="BS599" i="2"/>
  <c r="BR599" i="2"/>
  <c r="BQ599" i="2"/>
  <c r="BP599" i="2"/>
  <c r="BO599" i="2"/>
  <c r="BN599" i="2"/>
  <c r="BM599" i="2"/>
  <c r="BL599" i="2"/>
  <c r="BK599" i="2"/>
  <c r="BJ599" i="2"/>
  <c r="BI599" i="2"/>
  <c r="BH599" i="2"/>
  <c r="BG599" i="2"/>
  <c r="BF599" i="2"/>
  <c r="CQ598" i="2"/>
  <c r="CP598" i="2"/>
  <c r="CO598" i="2"/>
  <c r="CN598" i="2"/>
  <c r="CM598" i="2"/>
  <c r="CL598" i="2"/>
  <c r="CK598" i="2"/>
  <c r="CJ598" i="2"/>
  <c r="CI598" i="2"/>
  <c r="CH598" i="2"/>
  <c r="CG598" i="2"/>
  <c r="CF598" i="2"/>
  <c r="CE598" i="2"/>
  <c r="CD598" i="2"/>
  <c r="CC598" i="2"/>
  <c r="CB598" i="2"/>
  <c r="CA598" i="2"/>
  <c r="BZ598" i="2"/>
  <c r="BY598" i="2"/>
  <c r="BX598" i="2"/>
  <c r="BW598" i="2"/>
  <c r="BV598" i="2"/>
  <c r="BU598" i="2"/>
  <c r="BT598" i="2"/>
  <c r="BS598" i="2"/>
  <c r="BR598" i="2"/>
  <c r="BQ598" i="2"/>
  <c r="BP598" i="2"/>
  <c r="BO598" i="2"/>
  <c r="BN598" i="2"/>
  <c r="BM598" i="2"/>
  <c r="BL598" i="2"/>
  <c r="BK598" i="2"/>
  <c r="BJ598" i="2"/>
  <c r="BI598" i="2"/>
  <c r="BH598" i="2"/>
  <c r="BG598" i="2"/>
  <c r="BF598" i="2"/>
  <c r="CQ597" i="2"/>
  <c r="CP597" i="2"/>
  <c r="CO597" i="2"/>
  <c r="CN597" i="2"/>
  <c r="CM597" i="2"/>
  <c r="CL597" i="2"/>
  <c r="CK597" i="2"/>
  <c r="CJ597" i="2"/>
  <c r="CI597" i="2"/>
  <c r="CH597" i="2"/>
  <c r="CG597" i="2"/>
  <c r="CF597" i="2"/>
  <c r="CE597" i="2"/>
  <c r="CD597" i="2"/>
  <c r="CC597" i="2"/>
  <c r="CB597" i="2"/>
  <c r="CA597" i="2"/>
  <c r="BZ597" i="2"/>
  <c r="BY597" i="2"/>
  <c r="BX597" i="2"/>
  <c r="BW597" i="2"/>
  <c r="BV597" i="2"/>
  <c r="BU597" i="2"/>
  <c r="BT597" i="2"/>
  <c r="BS597" i="2"/>
  <c r="BR597" i="2"/>
  <c r="BQ597" i="2"/>
  <c r="BP597" i="2"/>
  <c r="BO597" i="2"/>
  <c r="BN597" i="2"/>
  <c r="BM597" i="2"/>
  <c r="BL597" i="2"/>
  <c r="BK597" i="2"/>
  <c r="BJ597" i="2"/>
  <c r="BI597" i="2"/>
  <c r="BH597" i="2"/>
  <c r="BG597" i="2"/>
  <c r="BF597" i="2"/>
  <c r="CQ596" i="2"/>
  <c r="CP596" i="2"/>
  <c r="CO596" i="2"/>
  <c r="CN596" i="2"/>
  <c r="CM596" i="2"/>
  <c r="CL596" i="2"/>
  <c r="CK596" i="2"/>
  <c r="CJ596" i="2"/>
  <c r="CI596" i="2"/>
  <c r="CH596" i="2"/>
  <c r="CG596" i="2"/>
  <c r="CF596" i="2"/>
  <c r="CE596" i="2"/>
  <c r="CD596" i="2"/>
  <c r="CC596" i="2"/>
  <c r="CB596" i="2"/>
  <c r="CA596" i="2"/>
  <c r="BZ596" i="2"/>
  <c r="BY596" i="2"/>
  <c r="BX596" i="2"/>
  <c r="BW596" i="2"/>
  <c r="BV596" i="2"/>
  <c r="BU596" i="2"/>
  <c r="BT596" i="2"/>
  <c r="BS596" i="2"/>
  <c r="BR596" i="2"/>
  <c r="BQ596" i="2"/>
  <c r="BP596" i="2"/>
  <c r="BO596" i="2"/>
  <c r="BN596" i="2"/>
  <c r="BM596" i="2"/>
  <c r="BL596" i="2"/>
  <c r="BK596" i="2"/>
  <c r="BJ596" i="2"/>
  <c r="BI596" i="2"/>
  <c r="BH596" i="2"/>
  <c r="BG596" i="2"/>
  <c r="BF596" i="2"/>
  <c r="CQ595" i="2"/>
  <c r="CP595" i="2"/>
  <c r="CO595" i="2"/>
  <c r="CN595" i="2"/>
  <c r="CM595" i="2"/>
  <c r="CL595" i="2"/>
  <c r="CK595" i="2"/>
  <c r="CJ595" i="2"/>
  <c r="CI595" i="2"/>
  <c r="CH595" i="2"/>
  <c r="CG595" i="2"/>
  <c r="CF595" i="2"/>
  <c r="CE595" i="2"/>
  <c r="CD595" i="2"/>
  <c r="CC595" i="2"/>
  <c r="CB595" i="2"/>
  <c r="CA595" i="2"/>
  <c r="BZ595" i="2"/>
  <c r="BY595" i="2"/>
  <c r="BX595" i="2"/>
  <c r="BW595" i="2"/>
  <c r="BV595" i="2"/>
  <c r="BU595" i="2"/>
  <c r="BT595" i="2"/>
  <c r="BS595" i="2"/>
  <c r="BR595" i="2"/>
  <c r="BQ595" i="2"/>
  <c r="BP595" i="2"/>
  <c r="BO595" i="2"/>
  <c r="BN595" i="2"/>
  <c r="BM595" i="2"/>
  <c r="BL595" i="2"/>
  <c r="BK595" i="2"/>
  <c r="BJ595" i="2"/>
  <c r="BI595" i="2"/>
  <c r="BH595" i="2"/>
  <c r="BG595" i="2"/>
  <c r="BF595" i="2"/>
  <c r="CQ594" i="2"/>
  <c r="CP594" i="2"/>
  <c r="CO594" i="2"/>
  <c r="CN594" i="2"/>
  <c r="CM594" i="2"/>
  <c r="CL594" i="2"/>
  <c r="CK594" i="2"/>
  <c r="CJ594" i="2"/>
  <c r="CI594" i="2"/>
  <c r="CH594" i="2"/>
  <c r="CG594" i="2"/>
  <c r="CF594" i="2"/>
  <c r="CE594" i="2"/>
  <c r="CD594" i="2"/>
  <c r="CC594" i="2"/>
  <c r="CB594" i="2"/>
  <c r="CA594" i="2"/>
  <c r="BZ594" i="2"/>
  <c r="BY594" i="2"/>
  <c r="BX594" i="2"/>
  <c r="BW594" i="2"/>
  <c r="BV594" i="2"/>
  <c r="BU594" i="2"/>
  <c r="BT594" i="2"/>
  <c r="BS594" i="2"/>
  <c r="BR594" i="2"/>
  <c r="BQ594" i="2"/>
  <c r="BP594" i="2"/>
  <c r="BO594" i="2"/>
  <c r="BN594" i="2"/>
  <c r="BM594" i="2"/>
  <c r="BL594" i="2"/>
  <c r="BK594" i="2"/>
  <c r="BJ594" i="2"/>
  <c r="BI594" i="2"/>
  <c r="BH594" i="2"/>
  <c r="BG594" i="2"/>
  <c r="BF594" i="2"/>
  <c r="CQ593" i="2"/>
  <c r="CP593" i="2"/>
  <c r="CO593" i="2"/>
  <c r="CN593" i="2"/>
  <c r="CM593" i="2"/>
  <c r="CL593" i="2"/>
  <c r="CK593" i="2"/>
  <c r="CJ593" i="2"/>
  <c r="CI593" i="2"/>
  <c r="CH593" i="2"/>
  <c r="CG593" i="2"/>
  <c r="CF593" i="2"/>
  <c r="CE593" i="2"/>
  <c r="CD593" i="2"/>
  <c r="CC593" i="2"/>
  <c r="CB593" i="2"/>
  <c r="CA593" i="2"/>
  <c r="BZ593" i="2"/>
  <c r="BY593" i="2"/>
  <c r="BX593" i="2"/>
  <c r="BW593" i="2"/>
  <c r="BV593" i="2"/>
  <c r="BU593" i="2"/>
  <c r="BT593" i="2"/>
  <c r="BS593" i="2"/>
  <c r="BR593" i="2"/>
  <c r="BQ593" i="2"/>
  <c r="BP593" i="2"/>
  <c r="BO593" i="2"/>
  <c r="BN593" i="2"/>
  <c r="BM593" i="2"/>
  <c r="BL593" i="2"/>
  <c r="BK593" i="2"/>
  <c r="BJ593" i="2"/>
  <c r="BI593" i="2"/>
  <c r="BH593" i="2"/>
  <c r="BG593" i="2"/>
  <c r="BF593" i="2"/>
  <c r="CQ592" i="2"/>
  <c r="CP592" i="2"/>
  <c r="CO592" i="2"/>
  <c r="CN592" i="2"/>
  <c r="CM592" i="2"/>
  <c r="CL592" i="2"/>
  <c r="CK592" i="2"/>
  <c r="CJ592" i="2"/>
  <c r="CI592" i="2"/>
  <c r="CH592" i="2"/>
  <c r="CG592" i="2"/>
  <c r="CF592" i="2"/>
  <c r="CE592" i="2"/>
  <c r="CD592" i="2"/>
  <c r="CC592" i="2"/>
  <c r="CB592" i="2"/>
  <c r="CA592" i="2"/>
  <c r="BZ592" i="2"/>
  <c r="BY592" i="2"/>
  <c r="BX592" i="2"/>
  <c r="BW592" i="2"/>
  <c r="BV592" i="2"/>
  <c r="BU592" i="2"/>
  <c r="BT592" i="2"/>
  <c r="BS592" i="2"/>
  <c r="BR592" i="2"/>
  <c r="BQ592" i="2"/>
  <c r="BP592" i="2"/>
  <c r="BO592" i="2"/>
  <c r="BN592" i="2"/>
  <c r="BM592" i="2"/>
  <c r="BL592" i="2"/>
  <c r="BK592" i="2"/>
  <c r="BJ592" i="2"/>
  <c r="BI592" i="2"/>
  <c r="BH592" i="2"/>
  <c r="BG592" i="2"/>
  <c r="BF592" i="2"/>
  <c r="CQ591" i="2"/>
  <c r="CP591" i="2"/>
  <c r="CO591" i="2"/>
  <c r="CN591" i="2"/>
  <c r="CM591" i="2"/>
  <c r="CL591" i="2"/>
  <c r="CK591" i="2"/>
  <c r="CJ591" i="2"/>
  <c r="CI591" i="2"/>
  <c r="CH591" i="2"/>
  <c r="CG591" i="2"/>
  <c r="CF591" i="2"/>
  <c r="CE591" i="2"/>
  <c r="CD591" i="2"/>
  <c r="CC591" i="2"/>
  <c r="CB591" i="2"/>
  <c r="CA591" i="2"/>
  <c r="BZ591" i="2"/>
  <c r="BY591" i="2"/>
  <c r="BX591" i="2"/>
  <c r="BW591" i="2"/>
  <c r="BV591" i="2"/>
  <c r="BU591" i="2"/>
  <c r="BT591" i="2"/>
  <c r="BS591" i="2"/>
  <c r="BR591" i="2"/>
  <c r="BQ591" i="2"/>
  <c r="BP591" i="2"/>
  <c r="BO591" i="2"/>
  <c r="BN591" i="2"/>
  <c r="BM591" i="2"/>
  <c r="BL591" i="2"/>
  <c r="BK591" i="2"/>
  <c r="BJ591" i="2"/>
  <c r="BI591" i="2"/>
  <c r="BH591" i="2"/>
  <c r="BG591" i="2"/>
  <c r="BF591" i="2"/>
  <c r="CQ590" i="2"/>
  <c r="CP590" i="2"/>
  <c r="CO590" i="2"/>
  <c r="CN590" i="2"/>
  <c r="CM590" i="2"/>
  <c r="CL590" i="2"/>
  <c r="CK590" i="2"/>
  <c r="CJ590" i="2"/>
  <c r="CI590" i="2"/>
  <c r="CH590" i="2"/>
  <c r="CG590" i="2"/>
  <c r="CF590" i="2"/>
  <c r="CE590" i="2"/>
  <c r="CD590" i="2"/>
  <c r="CC590" i="2"/>
  <c r="CB590" i="2"/>
  <c r="CA590" i="2"/>
  <c r="BZ590" i="2"/>
  <c r="BY590" i="2"/>
  <c r="BX590" i="2"/>
  <c r="BW590" i="2"/>
  <c r="BV590" i="2"/>
  <c r="BU590" i="2"/>
  <c r="BT590" i="2"/>
  <c r="BS590" i="2"/>
  <c r="BR590" i="2"/>
  <c r="BQ590" i="2"/>
  <c r="BP590" i="2"/>
  <c r="BO590" i="2"/>
  <c r="BN590" i="2"/>
  <c r="BM590" i="2"/>
  <c r="BL590" i="2"/>
  <c r="BK590" i="2"/>
  <c r="BJ590" i="2"/>
  <c r="BI590" i="2"/>
  <c r="BH590" i="2"/>
  <c r="BG590" i="2"/>
  <c r="BF590" i="2"/>
  <c r="CQ589" i="2"/>
  <c r="CP589" i="2"/>
  <c r="CO589" i="2"/>
  <c r="CN589" i="2"/>
  <c r="CM589" i="2"/>
  <c r="CL589" i="2"/>
  <c r="CK589" i="2"/>
  <c r="CJ589" i="2"/>
  <c r="CI589" i="2"/>
  <c r="CH589" i="2"/>
  <c r="CG589" i="2"/>
  <c r="CF589" i="2"/>
  <c r="CE589" i="2"/>
  <c r="CD589" i="2"/>
  <c r="CC589" i="2"/>
  <c r="CB589" i="2"/>
  <c r="CA589" i="2"/>
  <c r="BZ589" i="2"/>
  <c r="BY589" i="2"/>
  <c r="BX589" i="2"/>
  <c r="BW589" i="2"/>
  <c r="BV589" i="2"/>
  <c r="BU589" i="2"/>
  <c r="BT589" i="2"/>
  <c r="BS589" i="2"/>
  <c r="BR589" i="2"/>
  <c r="BQ589" i="2"/>
  <c r="BP589" i="2"/>
  <c r="BO589" i="2"/>
  <c r="BN589" i="2"/>
  <c r="BM589" i="2"/>
  <c r="BL589" i="2"/>
  <c r="BK589" i="2"/>
  <c r="BJ589" i="2"/>
  <c r="BI589" i="2"/>
  <c r="BH589" i="2"/>
  <c r="BG589" i="2"/>
  <c r="BF589" i="2"/>
  <c r="CQ588" i="2"/>
  <c r="CP588" i="2"/>
  <c r="CO588" i="2"/>
  <c r="CN588" i="2"/>
  <c r="CM588" i="2"/>
  <c r="CL588" i="2"/>
  <c r="CK588" i="2"/>
  <c r="CJ588" i="2"/>
  <c r="CI588" i="2"/>
  <c r="CH588" i="2"/>
  <c r="CG588" i="2"/>
  <c r="CF588" i="2"/>
  <c r="CE588" i="2"/>
  <c r="CD588" i="2"/>
  <c r="CC588" i="2"/>
  <c r="CB588" i="2"/>
  <c r="CA588" i="2"/>
  <c r="BZ588" i="2"/>
  <c r="BY588" i="2"/>
  <c r="BX588" i="2"/>
  <c r="BW588" i="2"/>
  <c r="BV588" i="2"/>
  <c r="BU588" i="2"/>
  <c r="BT588" i="2"/>
  <c r="BS588" i="2"/>
  <c r="BR588" i="2"/>
  <c r="BQ588" i="2"/>
  <c r="BP588" i="2"/>
  <c r="BO588" i="2"/>
  <c r="BN588" i="2"/>
  <c r="BM588" i="2"/>
  <c r="BL588" i="2"/>
  <c r="BK588" i="2"/>
  <c r="BJ588" i="2"/>
  <c r="BI588" i="2"/>
  <c r="BH588" i="2"/>
  <c r="BG588" i="2"/>
  <c r="BF588" i="2"/>
  <c r="CQ587" i="2"/>
  <c r="CP587" i="2"/>
  <c r="CO587" i="2"/>
  <c r="CN587" i="2"/>
  <c r="CM587" i="2"/>
  <c r="CL587" i="2"/>
  <c r="CK587" i="2"/>
  <c r="CJ587" i="2"/>
  <c r="CI587" i="2"/>
  <c r="CH587" i="2"/>
  <c r="CG587" i="2"/>
  <c r="CF587" i="2"/>
  <c r="CE587" i="2"/>
  <c r="CD587" i="2"/>
  <c r="CC587" i="2"/>
  <c r="CB587" i="2"/>
  <c r="CA587" i="2"/>
  <c r="BZ587" i="2"/>
  <c r="BY587" i="2"/>
  <c r="BX587" i="2"/>
  <c r="BW587" i="2"/>
  <c r="BV587" i="2"/>
  <c r="BU587" i="2"/>
  <c r="BT587" i="2"/>
  <c r="BS587" i="2"/>
  <c r="BR587" i="2"/>
  <c r="BQ587" i="2"/>
  <c r="BP587" i="2"/>
  <c r="BO587" i="2"/>
  <c r="BN587" i="2"/>
  <c r="BM587" i="2"/>
  <c r="BL587" i="2"/>
  <c r="BK587" i="2"/>
  <c r="BJ587" i="2"/>
  <c r="BI587" i="2"/>
  <c r="BH587" i="2"/>
  <c r="BG587" i="2"/>
  <c r="BF587" i="2"/>
  <c r="CQ586" i="2"/>
  <c r="CP586" i="2"/>
  <c r="CO586" i="2"/>
  <c r="CN586" i="2"/>
  <c r="CM586" i="2"/>
  <c r="CL586" i="2"/>
  <c r="CK586" i="2"/>
  <c r="CJ586" i="2"/>
  <c r="CI586" i="2"/>
  <c r="CH586" i="2"/>
  <c r="CG586" i="2"/>
  <c r="CF586" i="2"/>
  <c r="CE586" i="2"/>
  <c r="CD586" i="2"/>
  <c r="CC586" i="2"/>
  <c r="CB586" i="2"/>
  <c r="CA586" i="2"/>
  <c r="BZ586" i="2"/>
  <c r="BY586" i="2"/>
  <c r="BX586" i="2"/>
  <c r="BW586" i="2"/>
  <c r="BV586" i="2"/>
  <c r="BU586" i="2"/>
  <c r="BT586" i="2"/>
  <c r="BS586" i="2"/>
  <c r="BR586" i="2"/>
  <c r="BQ586" i="2"/>
  <c r="BP586" i="2"/>
  <c r="BO586" i="2"/>
  <c r="BN586" i="2"/>
  <c r="BM586" i="2"/>
  <c r="BL586" i="2"/>
  <c r="BK586" i="2"/>
  <c r="BJ586" i="2"/>
  <c r="BI586" i="2"/>
  <c r="BH586" i="2"/>
  <c r="BG586" i="2"/>
  <c r="BF586" i="2"/>
  <c r="CQ585" i="2"/>
  <c r="CP585" i="2"/>
  <c r="CO585" i="2"/>
  <c r="CN585" i="2"/>
  <c r="CM585" i="2"/>
  <c r="CL585" i="2"/>
  <c r="CK585" i="2"/>
  <c r="CJ585" i="2"/>
  <c r="CI585" i="2"/>
  <c r="CH585" i="2"/>
  <c r="CG585" i="2"/>
  <c r="CF585" i="2"/>
  <c r="CE585" i="2"/>
  <c r="CD585" i="2"/>
  <c r="CC585" i="2"/>
  <c r="CB585" i="2"/>
  <c r="CA585" i="2"/>
  <c r="BZ585" i="2"/>
  <c r="BY585" i="2"/>
  <c r="BX585" i="2"/>
  <c r="BW585" i="2"/>
  <c r="BV585" i="2"/>
  <c r="BU585" i="2"/>
  <c r="BT585" i="2"/>
  <c r="BS585" i="2"/>
  <c r="BR585" i="2"/>
  <c r="BQ585" i="2"/>
  <c r="BP585" i="2"/>
  <c r="BO585" i="2"/>
  <c r="BN585" i="2"/>
  <c r="BM585" i="2"/>
  <c r="BL585" i="2"/>
  <c r="BK585" i="2"/>
  <c r="BJ585" i="2"/>
  <c r="BI585" i="2"/>
  <c r="BH585" i="2"/>
  <c r="BG585" i="2"/>
  <c r="BF585" i="2"/>
  <c r="CQ584" i="2"/>
  <c r="CP584" i="2"/>
  <c r="CO584" i="2"/>
  <c r="CN584" i="2"/>
  <c r="CM584" i="2"/>
  <c r="CL584" i="2"/>
  <c r="CK584" i="2"/>
  <c r="CJ584" i="2"/>
  <c r="CI584" i="2"/>
  <c r="CH584" i="2"/>
  <c r="CG584" i="2"/>
  <c r="CF584" i="2"/>
  <c r="CE584" i="2"/>
  <c r="CD584" i="2"/>
  <c r="CC584" i="2"/>
  <c r="CB584" i="2"/>
  <c r="CA584" i="2"/>
  <c r="BZ584" i="2"/>
  <c r="BY584" i="2"/>
  <c r="BX584" i="2"/>
  <c r="BW584" i="2"/>
  <c r="BV584" i="2"/>
  <c r="BU584" i="2"/>
  <c r="BT584" i="2"/>
  <c r="BS584" i="2"/>
  <c r="BR584" i="2"/>
  <c r="BQ584" i="2"/>
  <c r="BP584" i="2"/>
  <c r="BO584" i="2"/>
  <c r="BN584" i="2"/>
  <c r="BM584" i="2"/>
  <c r="BL584" i="2"/>
  <c r="BK584" i="2"/>
  <c r="BJ584" i="2"/>
  <c r="BI584" i="2"/>
  <c r="BH584" i="2"/>
  <c r="BG584" i="2"/>
  <c r="BF584" i="2"/>
  <c r="CQ583" i="2"/>
  <c r="CP583" i="2"/>
  <c r="CO583" i="2"/>
  <c r="CN583" i="2"/>
  <c r="CM583" i="2"/>
  <c r="CL583" i="2"/>
  <c r="CK583" i="2"/>
  <c r="CJ583" i="2"/>
  <c r="CI583" i="2"/>
  <c r="CH583" i="2"/>
  <c r="CG583" i="2"/>
  <c r="CF583" i="2"/>
  <c r="CE583" i="2"/>
  <c r="CD583" i="2"/>
  <c r="CC583" i="2"/>
  <c r="CB583" i="2"/>
  <c r="CA583" i="2"/>
  <c r="BZ583" i="2"/>
  <c r="BY583" i="2"/>
  <c r="BX583" i="2"/>
  <c r="BW583" i="2"/>
  <c r="BV583" i="2"/>
  <c r="BU583" i="2"/>
  <c r="BT583" i="2"/>
  <c r="BS583" i="2"/>
  <c r="BR583" i="2"/>
  <c r="BQ583" i="2"/>
  <c r="BP583" i="2"/>
  <c r="BO583" i="2"/>
  <c r="BN583" i="2"/>
  <c r="BM583" i="2"/>
  <c r="BL583" i="2"/>
  <c r="BK583" i="2"/>
  <c r="BJ583" i="2"/>
  <c r="BI583" i="2"/>
  <c r="BH583" i="2"/>
  <c r="BG583" i="2"/>
  <c r="BF583" i="2"/>
  <c r="CQ582" i="2"/>
  <c r="CP582" i="2"/>
  <c r="CO582" i="2"/>
  <c r="CN582" i="2"/>
  <c r="CM582" i="2"/>
  <c r="CL582" i="2"/>
  <c r="CK582" i="2"/>
  <c r="CJ582" i="2"/>
  <c r="CI582" i="2"/>
  <c r="CH582" i="2"/>
  <c r="CG582" i="2"/>
  <c r="CF582" i="2"/>
  <c r="CE582" i="2"/>
  <c r="CD582" i="2"/>
  <c r="CC582" i="2"/>
  <c r="CB582" i="2"/>
  <c r="CA582" i="2"/>
  <c r="BZ582" i="2"/>
  <c r="BY582" i="2"/>
  <c r="BX582" i="2"/>
  <c r="BW582" i="2"/>
  <c r="BV582" i="2"/>
  <c r="BU582" i="2"/>
  <c r="BT582" i="2"/>
  <c r="BS582" i="2"/>
  <c r="BR582" i="2"/>
  <c r="BQ582" i="2"/>
  <c r="BP582" i="2"/>
  <c r="BO582" i="2"/>
  <c r="BN582" i="2"/>
  <c r="BM582" i="2"/>
  <c r="BL582" i="2"/>
  <c r="BK582" i="2"/>
  <c r="BJ582" i="2"/>
  <c r="BI582" i="2"/>
  <c r="BH582" i="2"/>
  <c r="BG582" i="2"/>
  <c r="BF582" i="2"/>
  <c r="CQ581" i="2"/>
  <c r="CP581" i="2"/>
  <c r="CO581" i="2"/>
  <c r="CN581" i="2"/>
  <c r="CM581" i="2"/>
  <c r="CL581" i="2"/>
  <c r="CK581" i="2"/>
  <c r="CJ581" i="2"/>
  <c r="CI581" i="2"/>
  <c r="CH581" i="2"/>
  <c r="CG581" i="2"/>
  <c r="CF581" i="2"/>
  <c r="CE581" i="2"/>
  <c r="CD581" i="2"/>
  <c r="CC581" i="2"/>
  <c r="CB581" i="2"/>
  <c r="CA581" i="2"/>
  <c r="BZ581" i="2"/>
  <c r="BY581" i="2"/>
  <c r="BX581" i="2"/>
  <c r="BW581" i="2"/>
  <c r="BV581" i="2"/>
  <c r="BU581" i="2"/>
  <c r="BT581" i="2"/>
  <c r="BS581" i="2"/>
  <c r="BR581" i="2"/>
  <c r="BQ581" i="2"/>
  <c r="BP581" i="2"/>
  <c r="BO581" i="2"/>
  <c r="BN581" i="2"/>
  <c r="BM581" i="2"/>
  <c r="BL581" i="2"/>
  <c r="BK581" i="2"/>
  <c r="BJ581" i="2"/>
  <c r="BI581" i="2"/>
  <c r="BH581" i="2"/>
  <c r="BG581" i="2"/>
  <c r="BF581" i="2"/>
  <c r="CQ580" i="2"/>
  <c r="CP580" i="2"/>
  <c r="CO580" i="2"/>
  <c r="CN580" i="2"/>
  <c r="CM580" i="2"/>
  <c r="CL580" i="2"/>
  <c r="CK580" i="2"/>
  <c r="CJ580" i="2"/>
  <c r="CI580" i="2"/>
  <c r="CH580" i="2"/>
  <c r="CG580" i="2"/>
  <c r="CF580" i="2"/>
  <c r="CE580" i="2"/>
  <c r="CD580" i="2"/>
  <c r="CC580" i="2"/>
  <c r="CB580" i="2"/>
  <c r="CA580" i="2"/>
  <c r="BZ580" i="2"/>
  <c r="BY580" i="2"/>
  <c r="BX580" i="2"/>
  <c r="BW580" i="2"/>
  <c r="BV580" i="2"/>
  <c r="BU580" i="2"/>
  <c r="BT580" i="2"/>
  <c r="BS580" i="2"/>
  <c r="BR580" i="2"/>
  <c r="BQ580" i="2"/>
  <c r="BP580" i="2"/>
  <c r="BO580" i="2"/>
  <c r="BN580" i="2"/>
  <c r="BM580" i="2"/>
  <c r="BL580" i="2"/>
  <c r="BK580" i="2"/>
  <c r="BJ580" i="2"/>
  <c r="BI580" i="2"/>
  <c r="BH580" i="2"/>
  <c r="BG580" i="2"/>
  <c r="BF580" i="2"/>
  <c r="CQ579" i="2"/>
  <c r="CP579" i="2"/>
  <c r="CO579" i="2"/>
  <c r="CN579" i="2"/>
  <c r="CM579" i="2"/>
  <c r="CL579" i="2"/>
  <c r="CK579" i="2"/>
  <c r="CJ579" i="2"/>
  <c r="CI579" i="2"/>
  <c r="CH579" i="2"/>
  <c r="CG579" i="2"/>
  <c r="CF579" i="2"/>
  <c r="CE579" i="2"/>
  <c r="CD579" i="2"/>
  <c r="CC579" i="2"/>
  <c r="CB579" i="2"/>
  <c r="CA579" i="2"/>
  <c r="BZ579" i="2"/>
  <c r="BY579" i="2"/>
  <c r="BX579" i="2"/>
  <c r="BW579" i="2"/>
  <c r="BV579" i="2"/>
  <c r="BU579" i="2"/>
  <c r="BT579" i="2"/>
  <c r="BS579" i="2"/>
  <c r="BR579" i="2"/>
  <c r="BQ579" i="2"/>
  <c r="BP579" i="2"/>
  <c r="BO579" i="2"/>
  <c r="BN579" i="2"/>
  <c r="BM579" i="2"/>
  <c r="BL579" i="2"/>
  <c r="BK579" i="2"/>
  <c r="BJ579" i="2"/>
  <c r="BI579" i="2"/>
  <c r="BH579" i="2"/>
  <c r="BG579" i="2"/>
  <c r="BF579" i="2"/>
  <c r="CQ578" i="2"/>
  <c r="CP578" i="2"/>
  <c r="CO578" i="2"/>
  <c r="CN578" i="2"/>
  <c r="CM578" i="2"/>
  <c r="CL578" i="2"/>
  <c r="CK578" i="2"/>
  <c r="CJ578" i="2"/>
  <c r="CI578" i="2"/>
  <c r="CH578" i="2"/>
  <c r="CG578" i="2"/>
  <c r="CF578" i="2"/>
  <c r="CE578" i="2"/>
  <c r="CD578" i="2"/>
  <c r="CC578" i="2"/>
  <c r="CB578" i="2"/>
  <c r="CA578" i="2"/>
  <c r="BZ578" i="2"/>
  <c r="BY578" i="2"/>
  <c r="BX578" i="2"/>
  <c r="BW578" i="2"/>
  <c r="BV578" i="2"/>
  <c r="BU578" i="2"/>
  <c r="BT578" i="2"/>
  <c r="BS578" i="2"/>
  <c r="BR578" i="2"/>
  <c r="BQ578" i="2"/>
  <c r="BP578" i="2"/>
  <c r="BO578" i="2"/>
  <c r="BN578" i="2"/>
  <c r="BM578" i="2"/>
  <c r="BL578" i="2"/>
  <c r="BK578" i="2"/>
  <c r="BJ578" i="2"/>
  <c r="BI578" i="2"/>
  <c r="BH578" i="2"/>
  <c r="BG578" i="2"/>
  <c r="BF578" i="2"/>
  <c r="CQ577" i="2"/>
  <c r="CP577" i="2"/>
  <c r="CO577" i="2"/>
  <c r="CN577" i="2"/>
  <c r="CM577" i="2"/>
  <c r="CL577" i="2"/>
  <c r="CK577" i="2"/>
  <c r="CJ577" i="2"/>
  <c r="CI577" i="2"/>
  <c r="CH577" i="2"/>
  <c r="CG577" i="2"/>
  <c r="CF577" i="2"/>
  <c r="CE577" i="2"/>
  <c r="CD577" i="2"/>
  <c r="CC577" i="2"/>
  <c r="CB577" i="2"/>
  <c r="CA577" i="2"/>
  <c r="BZ577" i="2"/>
  <c r="BY577" i="2"/>
  <c r="BX577" i="2"/>
  <c r="BW577" i="2"/>
  <c r="BV577" i="2"/>
  <c r="BU577" i="2"/>
  <c r="BT577" i="2"/>
  <c r="BS577" i="2"/>
  <c r="BR577" i="2"/>
  <c r="BQ577" i="2"/>
  <c r="BP577" i="2"/>
  <c r="BO577" i="2"/>
  <c r="BN577" i="2"/>
  <c r="BM577" i="2"/>
  <c r="BL577" i="2"/>
  <c r="BK577" i="2"/>
  <c r="BJ577" i="2"/>
  <c r="BI577" i="2"/>
  <c r="BH577" i="2"/>
  <c r="BG577" i="2"/>
  <c r="BF577" i="2"/>
  <c r="CQ576" i="2"/>
  <c r="CP576" i="2"/>
  <c r="CO576" i="2"/>
  <c r="CN576" i="2"/>
  <c r="CM576" i="2"/>
  <c r="CL576" i="2"/>
  <c r="CK576" i="2"/>
  <c r="CJ576" i="2"/>
  <c r="CI576" i="2"/>
  <c r="CH576" i="2"/>
  <c r="CG576" i="2"/>
  <c r="CF576" i="2"/>
  <c r="CE576" i="2"/>
  <c r="CD576" i="2"/>
  <c r="CC576" i="2"/>
  <c r="CB576" i="2"/>
  <c r="CA576" i="2"/>
  <c r="BZ576" i="2"/>
  <c r="BY576" i="2"/>
  <c r="BX576" i="2"/>
  <c r="BW576" i="2"/>
  <c r="BV576" i="2"/>
  <c r="BU576" i="2"/>
  <c r="BT576" i="2"/>
  <c r="BS576" i="2"/>
  <c r="BR576" i="2"/>
  <c r="BQ576" i="2"/>
  <c r="BP576" i="2"/>
  <c r="BO576" i="2"/>
  <c r="BN576" i="2"/>
  <c r="BM576" i="2"/>
  <c r="BL576" i="2"/>
  <c r="BK576" i="2"/>
  <c r="BJ576" i="2"/>
  <c r="BI576" i="2"/>
  <c r="BH576" i="2"/>
  <c r="BG576" i="2"/>
  <c r="BF576" i="2"/>
  <c r="CQ575" i="2"/>
  <c r="CP575" i="2"/>
  <c r="CO575" i="2"/>
  <c r="CN575" i="2"/>
  <c r="CM575" i="2"/>
  <c r="CL575" i="2"/>
  <c r="CK575" i="2"/>
  <c r="CJ575" i="2"/>
  <c r="CI575" i="2"/>
  <c r="CH575" i="2"/>
  <c r="CG575" i="2"/>
  <c r="CF575" i="2"/>
  <c r="CE575" i="2"/>
  <c r="CD575" i="2"/>
  <c r="CC575" i="2"/>
  <c r="CB575" i="2"/>
  <c r="CA575" i="2"/>
  <c r="BZ575" i="2"/>
  <c r="BY575" i="2"/>
  <c r="BX575" i="2"/>
  <c r="BW575" i="2"/>
  <c r="BV575" i="2"/>
  <c r="BU575" i="2"/>
  <c r="BT575" i="2"/>
  <c r="BS575" i="2"/>
  <c r="BR575" i="2"/>
  <c r="BQ575" i="2"/>
  <c r="BP575" i="2"/>
  <c r="BO575" i="2"/>
  <c r="BN575" i="2"/>
  <c r="BM575" i="2"/>
  <c r="BL575" i="2"/>
  <c r="BK575" i="2"/>
  <c r="BJ575" i="2"/>
  <c r="BI575" i="2"/>
  <c r="BH575" i="2"/>
  <c r="BG575" i="2"/>
  <c r="BF575" i="2"/>
  <c r="CQ574" i="2"/>
  <c r="CP574" i="2"/>
  <c r="CO574" i="2"/>
  <c r="CN574" i="2"/>
  <c r="CM574" i="2"/>
  <c r="CL574" i="2"/>
  <c r="CK574" i="2"/>
  <c r="CJ574" i="2"/>
  <c r="CI574" i="2"/>
  <c r="CH574" i="2"/>
  <c r="CG574" i="2"/>
  <c r="CF574" i="2"/>
  <c r="CE574" i="2"/>
  <c r="CD574" i="2"/>
  <c r="CC574" i="2"/>
  <c r="CB574" i="2"/>
  <c r="CA574" i="2"/>
  <c r="BZ574" i="2"/>
  <c r="BY574" i="2"/>
  <c r="BX574" i="2"/>
  <c r="BW574" i="2"/>
  <c r="BV574" i="2"/>
  <c r="BU574" i="2"/>
  <c r="BT574" i="2"/>
  <c r="BS574" i="2"/>
  <c r="BR574" i="2"/>
  <c r="BQ574" i="2"/>
  <c r="BP574" i="2"/>
  <c r="BO574" i="2"/>
  <c r="BN574" i="2"/>
  <c r="BM574" i="2"/>
  <c r="BL574" i="2"/>
  <c r="BK574" i="2"/>
  <c r="BJ574" i="2"/>
  <c r="BI574" i="2"/>
  <c r="BH574" i="2"/>
  <c r="BG574" i="2"/>
  <c r="BF574" i="2"/>
  <c r="CQ573" i="2"/>
  <c r="CP573" i="2"/>
  <c r="CO573" i="2"/>
  <c r="CN573" i="2"/>
  <c r="CM573" i="2"/>
  <c r="CL573" i="2"/>
  <c r="CK573" i="2"/>
  <c r="CJ573" i="2"/>
  <c r="CI573" i="2"/>
  <c r="CH573" i="2"/>
  <c r="CG573" i="2"/>
  <c r="CF573" i="2"/>
  <c r="CE573" i="2"/>
  <c r="CD573" i="2"/>
  <c r="CC573" i="2"/>
  <c r="CB573" i="2"/>
  <c r="CA573" i="2"/>
  <c r="BZ573" i="2"/>
  <c r="BY573" i="2"/>
  <c r="BX573" i="2"/>
  <c r="BW573" i="2"/>
  <c r="BV573" i="2"/>
  <c r="BU573" i="2"/>
  <c r="BT573" i="2"/>
  <c r="BS573" i="2"/>
  <c r="BR573" i="2"/>
  <c r="BQ573" i="2"/>
  <c r="BP573" i="2"/>
  <c r="BO573" i="2"/>
  <c r="BN573" i="2"/>
  <c r="BM573" i="2"/>
  <c r="BL573" i="2"/>
  <c r="BK573" i="2"/>
  <c r="BJ573" i="2"/>
  <c r="BI573" i="2"/>
  <c r="BH573" i="2"/>
  <c r="BG573" i="2"/>
  <c r="BF573" i="2"/>
  <c r="CQ572" i="2"/>
  <c r="CP572" i="2"/>
  <c r="CO572" i="2"/>
  <c r="CN572" i="2"/>
  <c r="CM572" i="2"/>
  <c r="CL572" i="2"/>
  <c r="CK572" i="2"/>
  <c r="CJ572" i="2"/>
  <c r="CI572" i="2"/>
  <c r="CH572" i="2"/>
  <c r="CG572" i="2"/>
  <c r="CF572" i="2"/>
  <c r="CE572" i="2"/>
  <c r="CD572" i="2"/>
  <c r="CC572" i="2"/>
  <c r="CB572" i="2"/>
  <c r="CA572" i="2"/>
  <c r="BZ572" i="2"/>
  <c r="BY572" i="2"/>
  <c r="BX572" i="2"/>
  <c r="BW572" i="2"/>
  <c r="BV572" i="2"/>
  <c r="BU572" i="2"/>
  <c r="BT572" i="2"/>
  <c r="BS572" i="2"/>
  <c r="BR572" i="2"/>
  <c r="BQ572" i="2"/>
  <c r="BP572" i="2"/>
  <c r="BO572" i="2"/>
  <c r="BN572" i="2"/>
  <c r="BM572" i="2"/>
  <c r="BL572" i="2"/>
  <c r="BK572" i="2"/>
  <c r="BJ572" i="2"/>
  <c r="BI572" i="2"/>
  <c r="BH572" i="2"/>
  <c r="BG572" i="2"/>
  <c r="BF572" i="2"/>
  <c r="CQ571" i="2"/>
  <c r="CP571" i="2"/>
  <c r="CO571" i="2"/>
  <c r="CN571" i="2"/>
  <c r="CM571" i="2"/>
  <c r="CL571" i="2"/>
  <c r="CK571" i="2"/>
  <c r="CJ571" i="2"/>
  <c r="CI571" i="2"/>
  <c r="CH571" i="2"/>
  <c r="CG571" i="2"/>
  <c r="CF571" i="2"/>
  <c r="CE571" i="2"/>
  <c r="CD571" i="2"/>
  <c r="CC571" i="2"/>
  <c r="CB571" i="2"/>
  <c r="CA571" i="2"/>
  <c r="BZ571" i="2"/>
  <c r="BY571" i="2"/>
  <c r="BX571" i="2"/>
  <c r="BW571" i="2"/>
  <c r="BV571" i="2"/>
  <c r="BU571" i="2"/>
  <c r="BT571" i="2"/>
  <c r="BS571" i="2"/>
  <c r="BR571" i="2"/>
  <c r="BQ571" i="2"/>
  <c r="BP571" i="2"/>
  <c r="BO571" i="2"/>
  <c r="BN571" i="2"/>
  <c r="BM571" i="2"/>
  <c r="BL571" i="2"/>
  <c r="BK571" i="2"/>
  <c r="BJ571" i="2"/>
  <c r="BI571" i="2"/>
  <c r="BH571" i="2"/>
  <c r="BG571" i="2"/>
  <c r="BF571" i="2"/>
  <c r="CQ570" i="2"/>
  <c r="CP570" i="2"/>
  <c r="CO570" i="2"/>
  <c r="CN570" i="2"/>
  <c r="CM570" i="2"/>
  <c r="CL570" i="2"/>
  <c r="CK570" i="2"/>
  <c r="CJ570" i="2"/>
  <c r="CI570" i="2"/>
  <c r="CH570" i="2"/>
  <c r="CG570" i="2"/>
  <c r="CF570" i="2"/>
  <c r="CE570" i="2"/>
  <c r="CD570" i="2"/>
  <c r="CC570" i="2"/>
  <c r="CB570" i="2"/>
  <c r="CA570" i="2"/>
  <c r="BZ570" i="2"/>
  <c r="BY570" i="2"/>
  <c r="BX570" i="2"/>
  <c r="BW570" i="2"/>
  <c r="BV570" i="2"/>
  <c r="BU570" i="2"/>
  <c r="BT570" i="2"/>
  <c r="BS570" i="2"/>
  <c r="BR570" i="2"/>
  <c r="BQ570" i="2"/>
  <c r="BP570" i="2"/>
  <c r="BO570" i="2"/>
  <c r="BN570" i="2"/>
  <c r="BM570" i="2"/>
  <c r="BL570" i="2"/>
  <c r="BK570" i="2"/>
  <c r="BJ570" i="2"/>
  <c r="BI570" i="2"/>
  <c r="BH570" i="2"/>
  <c r="BG570" i="2"/>
  <c r="BF570" i="2"/>
  <c r="CQ569" i="2"/>
  <c r="CP569" i="2"/>
  <c r="CO569" i="2"/>
  <c r="CN569" i="2"/>
  <c r="CM569" i="2"/>
  <c r="CL569" i="2"/>
  <c r="CK569" i="2"/>
  <c r="CJ569" i="2"/>
  <c r="CI569" i="2"/>
  <c r="CH569" i="2"/>
  <c r="CG569" i="2"/>
  <c r="CF569" i="2"/>
  <c r="CE569" i="2"/>
  <c r="CD569" i="2"/>
  <c r="CC569" i="2"/>
  <c r="CB569" i="2"/>
  <c r="CA569" i="2"/>
  <c r="BZ569" i="2"/>
  <c r="BY569" i="2"/>
  <c r="BX569" i="2"/>
  <c r="BW569" i="2"/>
  <c r="BV569" i="2"/>
  <c r="BU569" i="2"/>
  <c r="BT569" i="2"/>
  <c r="BS569" i="2"/>
  <c r="BR569" i="2"/>
  <c r="BQ569" i="2"/>
  <c r="BP569" i="2"/>
  <c r="BO569" i="2"/>
  <c r="BN569" i="2"/>
  <c r="BM569" i="2"/>
  <c r="BL569" i="2"/>
  <c r="BK569" i="2"/>
  <c r="BJ569" i="2"/>
  <c r="BI569" i="2"/>
  <c r="BH569" i="2"/>
  <c r="BG569" i="2"/>
  <c r="BF569" i="2"/>
  <c r="CQ568" i="2"/>
  <c r="CP568" i="2"/>
  <c r="CO568" i="2"/>
  <c r="CN568" i="2"/>
  <c r="CM568" i="2"/>
  <c r="CL568" i="2"/>
  <c r="CK568" i="2"/>
  <c r="CJ568" i="2"/>
  <c r="CI568" i="2"/>
  <c r="CH568" i="2"/>
  <c r="CG568" i="2"/>
  <c r="CF568" i="2"/>
  <c r="CE568" i="2"/>
  <c r="CD568" i="2"/>
  <c r="CC568" i="2"/>
  <c r="CB568" i="2"/>
  <c r="CA568" i="2"/>
  <c r="BZ568" i="2"/>
  <c r="BY568" i="2"/>
  <c r="BX568" i="2"/>
  <c r="BW568" i="2"/>
  <c r="BV568" i="2"/>
  <c r="BU568" i="2"/>
  <c r="BT568" i="2"/>
  <c r="BS568" i="2"/>
  <c r="BR568" i="2"/>
  <c r="BQ568" i="2"/>
  <c r="BP568" i="2"/>
  <c r="BO568" i="2"/>
  <c r="BN568" i="2"/>
  <c r="BM568" i="2"/>
  <c r="BL568" i="2"/>
  <c r="BK568" i="2"/>
  <c r="BJ568" i="2"/>
  <c r="BI568" i="2"/>
  <c r="BH568" i="2"/>
  <c r="BG568" i="2"/>
  <c r="BF568" i="2"/>
  <c r="CQ567" i="2"/>
  <c r="CP567" i="2"/>
  <c r="CO567" i="2"/>
  <c r="CN567" i="2"/>
  <c r="CM567" i="2"/>
  <c r="CL567" i="2"/>
  <c r="CK567" i="2"/>
  <c r="CJ567" i="2"/>
  <c r="CI567" i="2"/>
  <c r="CH567" i="2"/>
  <c r="CG567" i="2"/>
  <c r="CF567" i="2"/>
  <c r="CE567" i="2"/>
  <c r="CD567" i="2"/>
  <c r="CC567" i="2"/>
  <c r="CB567" i="2"/>
  <c r="CA567" i="2"/>
  <c r="BZ567" i="2"/>
  <c r="BY567" i="2"/>
  <c r="BX567" i="2"/>
  <c r="BW567" i="2"/>
  <c r="BV567" i="2"/>
  <c r="BU567" i="2"/>
  <c r="BT567" i="2"/>
  <c r="BS567" i="2"/>
  <c r="BR567" i="2"/>
  <c r="BQ567" i="2"/>
  <c r="BP567" i="2"/>
  <c r="BO567" i="2"/>
  <c r="BN567" i="2"/>
  <c r="BM567" i="2"/>
  <c r="BL567" i="2"/>
  <c r="BK567" i="2"/>
  <c r="BJ567" i="2"/>
  <c r="BI567" i="2"/>
  <c r="BH567" i="2"/>
  <c r="BG567" i="2"/>
  <c r="BF567" i="2"/>
  <c r="CQ566" i="2"/>
  <c r="CP566" i="2"/>
  <c r="CO566" i="2"/>
  <c r="CN566" i="2"/>
  <c r="CM566" i="2"/>
  <c r="CL566" i="2"/>
  <c r="CK566" i="2"/>
  <c r="CJ566" i="2"/>
  <c r="CI566" i="2"/>
  <c r="CH566" i="2"/>
  <c r="CG566" i="2"/>
  <c r="CF566" i="2"/>
  <c r="CE566" i="2"/>
  <c r="CD566" i="2"/>
  <c r="CC566" i="2"/>
  <c r="CB566" i="2"/>
  <c r="CA566" i="2"/>
  <c r="BZ566" i="2"/>
  <c r="BY566" i="2"/>
  <c r="BX566" i="2"/>
  <c r="BW566" i="2"/>
  <c r="BV566" i="2"/>
  <c r="BU566" i="2"/>
  <c r="BT566" i="2"/>
  <c r="BS566" i="2"/>
  <c r="BR566" i="2"/>
  <c r="BQ566" i="2"/>
  <c r="BP566" i="2"/>
  <c r="BO566" i="2"/>
  <c r="BN566" i="2"/>
  <c r="BM566" i="2"/>
  <c r="BL566" i="2"/>
  <c r="BK566" i="2"/>
  <c r="BJ566" i="2"/>
  <c r="BI566" i="2"/>
  <c r="BH566" i="2"/>
  <c r="BG566" i="2"/>
  <c r="BF566" i="2"/>
  <c r="CQ565" i="2"/>
  <c r="CP565" i="2"/>
  <c r="CO565" i="2"/>
  <c r="CN565" i="2"/>
  <c r="CM565" i="2"/>
  <c r="CL565" i="2"/>
  <c r="CK565" i="2"/>
  <c r="CJ565" i="2"/>
  <c r="CI565" i="2"/>
  <c r="CH565" i="2"/>
  <c r="CG565" i="2"/>
  <c r="CF565" i="2"/>
  <c r="CE565" i="2"/>
  <c r="CD565" i="2"/>
  <c r="CC565" i="2"/>
  <c r="CB565" i="2"/>
  <c r="CA565" i="2"/>
  <c r="BZ565" i="2"/>
  <c r="BY565" i="2"/>
  <c r="BX565" i="2"/>
  <c r="BW565" i="2"/>
  <c r="BV565" i="2"/>
  <c r="BU565" i="2"/>
  <c r="BT565" i="2"/>
  <c r="BS565" i="2"/>
  <c r="BR565" i="2"/>
  <c r="BQ565" i="2"/>
  <c r="BP565" i="2"/>
  <c r="BO565" i="2"/>
  <c r="BN565" i="2"/>
  <c r="BM565" i="2"/>
  <c r="BL565" i="2"/>
  <c r="BK565" i="2"/>
  <c r="BJ565" i="2"/>
  <c r="BI565" i="2"/>
  <c r="BH565" i="2"/>
  <c r="BG565" i="2"/>
  <c r="BF565" i="2"/>
  <c r="CQ564" i="2"/>
  <c r="CP564" i="2"/>
  <c r="CO564" i="2"/>
  <c r="CN564" i="2"/>
  <c r="CM564" i="2"/>
  <c r="CL564" i="2"/>
  <c r="CK564" i="2"/>
  <c r="CJ564" i="2"/>
  <c r="CI564" i="2"/>
  <c r="CH564" i="2"/>
  <c r="CG564" i="2"/>
  <c r="CF564" i="2"/>
  <c r="CE564" i="2"/>
  <c r="CD564" i="2"/>
  <c r="CC564" i="2"/>
  <c r="CB564" i="2"/>
  <c r="CA564" i="2"/>
  <c r="BZ564" i="2"/>
  <c r="BY564" i="2"/>
  <c r="BX564" i="2"/>
  <c r="BW564" i="2"/>
  <c r="BV564" i="2"/>
  <c r="BU564" i="2"/>
  <c r="BT564" i="2"/>
  <c r="BS564" i="2"/>
  <c r="BR564" i="2"/>
  <c r="BQ564" i="2"/>
  <c r="BP564" i="2"/>
  <c r="BO564" i="2"/>
  <c r="BN564" i="2"/>
  <c r="BM564" i="2"/>
  <c r="BL564" i="2"/>
  <c r="BK564" i="2"/>
  <c r="BJ564" i="2"/>
  <c r="BI564" i="2"/>
  <c r="BH564" i="2"/>
  <c r="BG564" i="2"/>
  <c r="BF564" i="2"/>
  <c r="CQ563" i="2"/>
  <c r="CP563" i="2"/>
  <c r="CO563" i="2"/>
  <c r="CN563" i="2"/>
  <c r="CM563" i="2"/>
  <c r="CL563" i="2"/>
  <c r="CK563" i="2"/>
  <c r="CJ563" i="2"/>
  <c r="CI563" i="2"/>
  <c r="CH563" i="2"/>
  <c r="CG563" i="2"/>
  <c r="CF563" i="2"/>
  <c r="CE563" i="2"/>
  <c r="CD563" i="2"/>
  <c r="CC563" i="2"/>
  <c r="CB563" i="2"/>
  <c r="CA563" i="2"/>
  <c r="BZ563" i="2"/>
  <c r="BY563" i="2"/>
  <c r="BX563" i="2"/>
  <c r="BW563" i="2"/>
  <c r="BV563" i="2"/>
  <c r="BU563" i="2"/>
  <c r="BT563" i="2"/>
  <c r="BS563" i="2"/>
  <c r="BR563" i="2"/>
  <c r="BQ563" i="2"/>
  <c r="BP563" i="2"/>
  <c r="BO563" i="2"/>
  <c r="BN563" i="2"/>
  <c r="BM563" i="2"/>
  <c r="BL563" i="2"/>
  <c r="BK563" i="2"/>
  <c r="BJ563" i="2"/>
  <c r="BI563" i="2"/>
  <c r="BH563" i="2"/>
  <c r="BG563" i="2"/>
  <c r="BF563" i="2"/>
  <c r="CQ562" i="2"/>
  <c r="CP562" i="2"/>
  <c r="CO562" i="2"/>
  <c r="CN562" i="2"/>
  <c r="CM562" i="2"/>
  <c r="CL562" i="2"/>
  <c r="CK562" i="2"/>
  <c r="CJ562" i="2"/>
  <c r="CI562" i="2"/>
  <c r="CH562" i="2"/>
  <c r="CG562" i="2"/>
  <c r="CF562" i="2"/>
  <c r="CE562" i="2"/>
  <c r="CD562" i="2"/>
  <c r="CC562" i="2"/>
  <c r="CB562" i="2"/>
  <c r="CA562" i="2"/>
  <c r="BZ562" i="2"/>
  <c r="BY562" i="2"/>
  <c r="BX562" i="2"/>
  <c r="BW562" i="2"/>
  <c r="BV562" i="2"/>
  <c r="BU562" i="2"/>
  <c r="BT562" i="2"/>
  <c r="BS562" i="2"/>
  <c r="BR562" i="2"/>
  <c r="BQ562" i="2"/>
  <c r="BP562" i="2"/>
  <c r="BO562" i="2"/>
  <c r="BN562" i="2"/>
  <c r="BM562" i="2"/>
  <c r="BL562" i="2"/>
  <c r="BK562" i="2"/>
  <c r="BJ562" i="2"/>
  <c r="BI562" i="2"/>
  <c r="BH562" i="2"/>
  <c r="BG562" i="2"/>
  <c r="BF562" i="2"/>
  <c r="CQ561" i="2"/>
  <c r="CP561" i="2"/>
  <c r="CO561" i="2"/>
  <c r="CN561" i="2"/>
  <c r="CM561" i="2"/>
  <c r="CL561" i="2"/>
  <c r="CK561" i="2"/>
  <c r="CJ561" i="2"/>
  <c r="CI561" i="2"/>
  <c r="CH561" i="2"/>
  <c r="CG561" i="2"/>
  <c r="CF561" i="2"/>
  <c r="CE561" i="2"/>
  <c r="CD561" i="2"/>
  <c r="CC561" i="2"/>
  <c r="CB561" i="2"/>
  <c r="CA561" i="2"/>
  <c r="BZ561" i="2"/>
  <c r="BY561" i="2"/>
  <c r="BX561" i="2"/>
  <c r="BW561" i="2"/>
  <c r="BV561" i="2"/>
  <c r="BU561" i="2"/>
  <c r="BT561" i="2"/>
  <c r="BS561" i="2"/>
  <c r="BR561" i="2"/>
  <c r="BQ561" i="2"/>
  <c r="BP561" i="2"/>
  <c r="BO561" i="2"/>
  <c r="BN561" i="2"/>
  <c r="BM561" i="2"/>
  <c r="BL561" i="2"/>
  <c r="BK561" i="2"/>
  <c r="BJ561" i="2"/>
  <c r="BI561" i="2"/>
  <c r="BH561" i="2"/>
  <c r="BG561" i="2"/>
  <c r="BF561" i="2"/>
  <c r="CQ560" i="2"/>
  <c r="CP560" i="2"/>
  <c r="CO560" i="2"/>
  <c r="CN560" i="2"/>
  <c r="CM560" i="2"/>
  <c r="CL560" i="2"/>
  <c r="CK560" i="2"/>
  <c r="CJ560" i="2"/>
  <c r="CI560" i="2"/>
  <c r="CH560" i="2"/>
  <c r="CG560" i="2"/>
  <c r="CF560" i="2"/>
  <c r="CE560" i="2"/>
  <c r="CD560" i="2"/>
  <c r="CC560" i="2"/>
  <c r="CB560" i="2"/>
  <c r="CA560" i="2"/>
  <c r="BZ560" i="2"/>
  <c r="BY560" i="2"/>
  <c r="BX560" i="2"/>
  <c r="BW560" i="2"/>
  <c r="BV560" i="2"/>
  <c r="BU560" i="2"/>
  <c r="BT560" i="2"/>
  <c r="BS560" i="2"/>
  <c r="BR560" i="2"/>
  <c r="BQ560" i="2"/>
  <c r="BP560" i="2"/>
  <c r="BO560" i="2"/>
  <c r="BN560" i="2"/>
  <c r="BM560" i="2"/>
  <c r="BL560" i="2"/>
  <c r="BK560" i="2"/>
  <c r="BJ560" i="2"/>
  <c r="BI560" i="2"/>
  <c r="BH560" i="2"/>
  <c r="BG560" i="2"/>
  <c r="BF560" i="2"/>
  <c r="CQ559" i="2"/>
  <c r="CP559" i="2"/>
  <c r="CO559" i="2"/>
  <c r="CN559" i="2"/>
  <c r="CM559" i="2"/>
  <c r="CL559" i="2"/>
  <c r="CK559" i="2"/>
  <c r="CJ559" i="2"/>
  <c r="CI559" i="2"/>
  <c r="CH559" i="2"/>
  <c r="CG559" i="2"/>
  <c r="CF559" i="2"/>
  <c r="CE559" i="2"/>
  <c r="CD559" i="2"/>
  <c r="CC559" i="2"/>
  <c r="CB559" i="2"/>
  <c r="CA559" i="2"/>
  <c r="BZ559" i="2"/>
  <c r="BY559" i="2"/>
  <c r="BX559" i="2"/>
  <c r="BW559" i="2"/>
  <c r="BV559" i="2"/>
  <c r="BU559" i="2"/>
  <c r="BT559" i="2"/>
  <c r="BS559" i="2"/>
  <c r="BR559" i="2"/>
  <c r="BQ559" i="2"/>
  <c r="BP559" i="2"/>
  <c r="BO559" i="2"/>
  <c r="BN559" i="2"/>
  <c r="BM559" i="2"/>
  <c r="BL559" i="2"/>
  <c r="BK559" i="2"/>
  <c r="BJ559" i="2"/>
  <c r="BI559" i="2"/>
  <c r="BH559" i="2"/>
  <c r="BG559" i="2"/>
  <c r="BF559" i="2"/>
  <c r="CQ558" i="2"/>
  <c r="CP558" i="2"/>
  <c r="CO558" i="2"/>
  <c r="CN558" i="2"/>
  <c r="CM558" i="2"/>
  <c r="CL558" i="2"/>
  <c r="CK558" i="2"/>
  <c r="CJ558" i="2"/>
  <c r="CI558" i="2"/>
  <c r="CH558" i="2"/>
  <c r="CG558" i="2"/>
  <c r="CF558" i="2"/>
  <c r="CE558" i="2"/>
  <c r="CD558" i="2"/>
  <c r="CC558" i="2"/>
  <c r="CB558" i="2"/>
  <c r="CA558" i="2"/>
  <c r="BZ558" i="2"/>
  <c r="BY558" i="2"/>
  <c r="BX558" i="2"/>
  <c r="BW558" i="2"/>
  <c r="BV558" i="2"/>
  <c r="BU558" i="2"/>
  <c r="BT558" i="2"/>
  <c r="BS558" i="2"/>
  <c r="BR558" i="2"/>
  <c r="BQ558" i="2"/>
  <c r="BP558" i="2"/>
  <c r="BO558" i="2"/>
  <c r="BN558" i="2"/>
  <c r="BM558" i="2"/>
  <c r="BL558" i="2"/>
  <c r="BK558" i="2"/>
  <c r="BJ558" i="2"/>
  <c r="BI558" i="2"/>
  <c r="BH558" i="2"/>
  <c r="BG558" i="2"/>
  <c r="BF558" i="2"/>
  <c r="CQ557" i="2"/>
  <c r="CP557" i="2"/>
  <c r="CO557" i="2"/>
  <c r="CN557" i="2"/>
  <c r="CM557" i="2"/>
  <c r="CL557" i="2"/>
  <c r="CK557" i="2"/>
  <c r="CJ557" i="2"/>
  <c r="CI557" i="2"/>
  <c r="CH557" i="2"/>
  <c r="CG557" i="2"/>
  <c r="CF557" i="2"/>
  <c r="CE557" i="2"/>
  <c r="CD557" i="2"/>
  <c r="CC557" i="2"/>
  <c r="CB557" i="2"/>
  <c r="CA557" i="2"/>
  <c r="BZ557" i="2"/>
  <c r="BY557" i="2"/>
  <c r="BX557" i="2"/>
  <c r="BW557" i="2"/>
  <c r="BV557" i="2"/>
  <c r="BU557" i="2"/>
  <c r="BT557" i="2"/>
  <c r="BS557" i="2"/>
  <c r="BR557" i="2"/>
  <c r="BQ557" i="2"/>
  <c r="BP557" i="2"/>
  <c r="BO557" i="2"/>
  <c r="BN557" i="2"/>
  <c r="BM557" i="2"/>
  <c r="BL557" i="2"/>
  <c r="BK557" i="2"/>
  <c r="BJ557" i="2"/>
  <c r="BI557" i="2"/>
  <c r="BH557" i="2"/>
  <c r="BG557" i="2"/>
  <c r="BF557" i="2"/>
  <c r="CQ556" i="2"/>
  <c r="CP556" i="2"/>
  <c r="CO556" i="2"/>
  <c r="CN556" i="2"/>
  <c r="CM556" i="2"/>
  <c r="CL556" i="2"/>
  <c r="CK556" i="2"/>
  <c r="CJ556" i="2"/>
  <c r="CI556" i="2"/>
  <c r="CH556" i="2"/>
  <c r="CG556" i="2"/>
  <c r="CF556" i="2"/>
  <c r="CE556" i="2"/>
  <c r="CD556" i="2"/>
  <c r="CC556" i="2"/>
  <c r="CB556" i="2"/>
  <c r="CA556" i="2"/>
  <c r="BZ556" i="2"/>
  <c r="BY556" i="2"/>
  <c r="BX556" i="2"/>
  <c r="BW556" i="2"/>
  <c r="BV556" i="2"/>
  <c r="BU556" i="2"/>
  <c r="BT556" i="2"/>
  <c r="BS556" i="2"/>
  <c r="BR556" i="2"/>
  <c r="BQ556" i="2"/>
  <c r="BP556" i="2"/>
  <c r="BO556" i="2"/>
  <c r="BN556" i="2"/>
  <c r="BM556" i="2"/>
  <c r="BL556" i="2"/>
  <c r="BK556" i="2"/>
  <c r="BJ556" i="2"/>
  <c r="BI556" i="2"/>
  <c r="BH556" i="2"/>
  <c r="BG556" i="2"/>
  <c r="BF556" i="2"/>
  <c r="CQ555" i="2"/>
  <c r="CP555" i="2"/>
  <c r="CO555" i="2"/>
  <c r="CN555" i="2"/>
  <c r="CM555" i="2"/>
  <c r="CL555" i="2"/>
  <c r="CK555" i="2"/>
  <c r="CJ555" i="2"/>
  <c r="CI555" i="2"/>
  <c r="CH555" i="2"/>
  <c r="CG555" i="2"/>
  <c r="CF555" i="2"/>
  <c r="CE555" i="2"/>
  <c r="CD555" i="2"/>
  <c r="CC555" i="2"/>
  <c r="CB555" i="2"/>
  <c r="CA555" i="2"/>
  <c r="BZ555" i="2"/>
  <c r="BY555" i="2"/>
  <c r="BX555" i="2"/>
  <c r="BW555" i="2"/>
  <c r="BV555" i="2"/>
  <c r="BU555" i="2"/>
  <c r="BT555" i="2"/>
  <c r="BS555" i="2"/>
  <c r="BR555" i="2"/>
  <c r="BQ555" i="2"/>
  <c r="BP555" i="2"/>
  <c r="BO555" i="2"/>
  <c r="BN555" i="2"/>
  <c r="BM555" i="2"/>
  <c r="BL555" i="2"/>
  <c r="BK555" i="2"/>
  <c r="BJ555" i="2"/>
  <c r="BI555" i="2"/>
  <c r="BH555" i="2"/>
  <c r="BG555" i="2"/>
  <c r="BF555" i="2"/>
  <c r="CQ554" i="2"/>
  <c r="CP554" i="2"/>
  <c r="CO554" i="2"/>
  <c r="CN554" i="2"/>
  <c r="CM554" i="2"/>
  <c r="CL554" i="2"/>
  <c r="CK554" i="2"/>
  <c r="CJ554" i="2"/>
  <c r="CI554" i="2"/>
  <c r="CH554" i="2"/>
  <c r="CG554" i="2"/>
  <c r="CF554" i="2"/>
  <c r="CE554" i="2"/>
  <c r="CD554" i="2"/>
  <c r="CC554" i="2"/>
  <c r="CB554" i="2"/>
  <c r="CA554" i="2"/>
  <c r="BZ554" i="2"/>
  <c r="BY554" i="2"/>
  <c r="BX554" i="2"/>
  <c r="BW554" i="2"/>
  <c r="BV554" i="2"/>
  <c r="BU554" i="2"/>
  <c r="BT554" i="2"/>
  <c r="BS554" i="2"/>
  <c r="BR554" i="2"/>
  <c r="BQ554" i="2"/>
  <c r="BP554" i="2"/>
  <c r="BO554" i="2"/>
  <c r="BN554" i="2"/>
  <c r="BM554" i="2"/>
  <c r="BL554" i="2"/>
  <c r="BK554" i="2"/>
  <c r="BJ554" i="2"/>
  <c r="BI554" i="2"/>
  <c r="BH554" i="2"/>
  <c r="BG554" i="2"/>
  <c r="BF554" i="2"/>
  <c r="CQ553" i="2"/>
  <c r="CP553" i="2"/>
  <c r="CO553" i="2"/>
  <c r="CN553" i="2"/>
  <c r="CM553" i="2"/>
  <c r="CL553" i="2"/>
  <c r="CK553" i="2"/>
  <c r="CJ553" i="2"/>
  <c r="CI553" i="2"/>
  <c r="CH553" i="2"/>
  <c r="CG553" i="2"/>
  <c r="CF553" i="2"/>
  <c r="CE553" i="2"/>
  <c r="CD553" i="2"/>
  <c r="CC553" i="2"/>
  <c r="CB553" i="2"/>
  <c r="CA553" i="2"/>
  <c r="BZ553" i="2"/>
  <c r="BY553" i="2"/>
  <c r="BX553" i="2"/>
  <c r="BW553" i="2"/>
  <c r="BV553" i="2"/>
  <c r="BU553" i="2"/>
  <c r="BT553" i="2"/>
  <c r="BS553" i="2"/>
  <c r="BR553" i="2"/>
  <c r="BQ553" i="2"/>
  <c r="BP553" i="2"/>
  <c r="BO553" i="2"/>
  <c r="BN553" i="2"/>
  <c r="BM553" i="2"/>
  <c r="BL553" i="2"/>
  <c r="BK553" i="2"/>
  <c r="BJ553" i="2"/>
  <c r="BI553" i="2"/>
  <c r="BH553" i="2"/>
  <c r="BG553" i="2"/>
  <c r="BF553" i="2"/>
  <c r="CQ552" i="2"/>
  <c r="CP552" i="2"/>
  <c r="CO552" i="2"/>
  <c r="CN552" i="2"/>
  <c r="CM552" i="2"/>
  <c r="CL552" i="2"/>
  <c r="CK552" i="2"/>
  <c r="CJ552" i="2"/>
  <c r="CI552" i="2"/>
  <c r="CH552" i="2"/>
  <c r="CG552" i="2"/>
  <c r="CF552" i="2"/>
  <c r="CE552" i="2"/>
  <c r="CD552" i="2"/>
  <c r="CC552" i="2"/>
  <c r="CB552" i="2"/>
  <c r="CA552" i="2"/>
  <c r="BZ552" i="2"/>
  <c r="BY552" i="2"/>
  <c r="BX552" i="2"/>
  <c r="BW552" i="2"/>
  <c r="BV552" i="2"/>
  <c r="BU552" i="2"/>
  <c r="BT552" i="2"/>
  <c r="BS552" i="2"/>
  <c r="BR552" i="2"/>
  <c r="BQ552" i="2"/>
  <c r="BP552" i="2"/>
  <c r="BO552" i="2"/>
  <c r="BN552" i="2"/>
  <c r="BM552" i="2"/>
  <c r="BL552" i="2"/>
  <c r="BK552" i="2"/>
  <c r="BJ552" i="2"/>
  <c r="BI552" i="2"/>
  <c r="BH552" i="2"/>
  <c r="BG552" i="2"/>
  <c r="BF552" i="2"/>
  <c r="CQ551" i="2"/>
  <c r="CP551" i="2"/>
  <c r="CO551" i="2"/>
  <c r="CN551" i="2"/>
  <c r="CM551" i="2"/>
  <c r="CL551" i="2"/>
  <c r="CK551" i="2"/>
  <c r="CJ551" i="2"/>
  <c r="CI551" i="2"/>
  <c r="CH551" i="2"/>
  <c r="CG551" i="2"/>
  <c r="CF551" i="2"/>
  <c r="CE551" i="2"/>
  <c r="CD551" i="2"/>
  <c r="CC551" i="2"/>
  <c r="CB551" i="2"/>
  <c r="CA551" i="2"/>
  <c r="BZ551" i="2"/>
  <c r="BY551" i="2"/>
  <c r="BX551" i="2"/>
  <c r="BW551" i="2"/>
  <c r="BV551" i="2"/>
  <c r="BU551" i="2"/>
  <c r="BT551" i="2"/>
  <c r="BS551" i="2"/>
  <c r="BR551" i="2"/>
  <c r="BQ551" i="2"/>
  <c r="BP551" i="2"/>
  <c r="BO551" i="2"/>
  <c r="BN551" i="2"/>
  <c r="BM551" i="2"/>
  <c r="BL551" i="2"/>
  <c r="BK551" i="2"/>
  <c r="BJ551" i="2"/>
  <c r="BI551" i="2"/>
  <c r="BH551" i="2"/>
  <c r="BG551" i="2"/>
  <c r="BF551" i="2"/>
  <c r="CQ550" i="2"/>
  <c r="CP550" i="2"/>
  <c r="CO550" i="2"/>
  <c r="CN550" i="2"/>
  <c r="CM550" i="2"/>
  <c r="CL550" i="2"/>
  <c r="CK550" i="2"/>
  <c r="CJ550" i="2"/>
  <c r="CI550" i="2"/>
  <c r="CH550" i="2"/>
  <c r="CG550" i="2"/>
  <c r="CF550" i="2"/>
  <c r="CE550" i="2"/>
  <c r="CD550" i="2"/>
  <c r="CC550" i="2"/>
  <c r="CB550" i="2"/>
  <c r="CA550" i="2"/>
  <c r="BZ550" i="2"/>
  <c r="BY550" i="2"/>
  <c r="BX550" i="2"/>
  <c r="BW550" i="2"/>
  <c r="BV550" i="2"/>
  <c r="BU550" i="2"/>
  <c r="BT550" i="2"/>
  <c r="BS550" i="2"/>
  <c r="BR550" i="2"/>
  <c r="BQ550" i="2"/>
  <c r="BP550" i="2"/>
  <c r="BO550" i="2"/>
  <c r="BN550" i="2"/>
  <c r="BM550" i="2"/>
  <c r="BL550" i="2"/>
  <c r="BK550" i="2"/>
  <c r="BJ550" i="2"/>
  <c r="BI550" i="2"/>
  <c r="BH550" i="2"/>
  <c r="BG550" i="2"/>
  <c r="BF550" i="2"/>
  <c r="CQ549" i="2"/>
  <c r="CP549" i="2"/>
  <c r="CO549" i="2"/>
  <c r="CN549" i="2"/>
  <c r="CM549" i="2"/>
  <c r="CL549" i="2"/>
  <c r="CK549" i="2"/>
  <c r="CJ549" i="2"/>
  <c r="CI549" i="2"/>
  <c r="CH549" i="2"/>
  <c r="CG549" i="2"/>
  <c r="CF549" i="2"/>
  <c r="CE549" i="2"/>
  <c r="CD549" i="2"/>
  <c r="CC549" i="2"/>
  <c r="CB549" i="2"/>
  <c r="CA549" i="2"/>
  <c r="BZ549" i="2"/>
  <c r="BY549" i="2"/>
  <c r="BX549" i="2"/>
  <c r="BW549" i="2"/>
  <c r="BV549" i="2"/>
  <c r="BU549" i="2"/>
  <c r="BT549" i="2"/>
  <c r="BS549" i="2"/>
  <c r="BR549" i="2"/>
  <c r="BQ549" i="2"/>
  <c r="BP549" i="2"/>
  <c r="BO549" i="2"/>
  <c r="BN549" i="2"/>
  <c r="BM549" i="2"/>
  <c r="BL549" i="2"/>
  <c r="BK549" i="2"/>
  <c r="BJ549" i="2"/>
  <c r="BI549" i="2"/>
  <c r="BH549" i="2"/>
  <c r="BG549" i="2"/>
  <c r="BF549" i="2"/>
  <c r="CQ548" i="2"/>
  <c r="CP548" i="2"/>
  <c r="CO548" i="2"/>
  <c r="CN548" i="2"/>
  <c r="CM548" i="2"/>
  <c r="CL548" i="2"/>
  <c r="CK548" i="2"/>
  <c r="CJ548" i="2"/>
  <c r="CI548" i="2"/>
  <c r="CH548" i="2"/>
  <c r="CG548" i="2"/>
  <c r="CF548" i="2"/>
  <c r="CE548" i="2"/>
  <c r="CD548" i="2"/>
  <c r="CC548" i="2"/>
  <c r="CB548" i="2"/>
  <c r="CA548" i="2"/>
  <c r="BZ548" i="2"/>
  <c r="BY548" i="2"/>
  <c r="BX548" i="2"/>
  <c r="BW548" i="2"/>
  <c r="BV548" i="2"/>
  <c r="BU548" i="2"/>
  <c r="BT548" i="2"/>
  <c r="BS548" i="2"/>
  <c r="BR548" i="2"/>
  <c r="BQ548" i="2"/>
  <c r="BP548" i="2"/>
  <c r="BO548" i="2"/>
  <c r="BN548" i="2"/>
  <c r="BM548" i="2"/>
  <c r="BL548" i="2"/>
  <c r="BK548" i="2"/>
  <c r="BJ548" i="2"/>
  <c r="BI548" i="2"/>
  <c r="BH548" i="2"/>
  <c r="BG548" i="2"/>
  <c r="BF548" i="2"/>
  <c r="CQ547" i="2"/>
  <c r="CP547" i="2"/>
  <c r="CO547" i="2"/>
  <c r="CN547" i="2"/>
  <c r="CM547" i="2"/>
  <c r="CL547" i="2"/>
  <c r="CK547" i="2"/>
  <c r="CJ547" i="2"/>
  <c r="CI547" i="2"/>
  <c r="CH547" i="2"/>
  <c r="CG547" i="2"/>
  <c r="CF547" i="2"/>
  <c r="CE547" i="2"/>
  <c r="CD547" i="2"/>
  <c r="CC547" i="2"/>
  <c r="CB547" i="2"/>
  <c r="CA547" i="2"/>
  <c r="BZ547" i="2"/>
  <c r="BY547" i="2"/>
  <c r="BX547" i="2"/>
  <c r="BW547" i="2"/>
  <c r="BV547" i="2"/>
  <c r="BU547" i="2"/>
  <c r="BT547" i="2"/>
  <c r="BS547" i="2"/>
  <c r="BR547" i="2"/>
  <c r="BQ547" i="2"/>
  <c r="BP547" i="2"/>
  <c r="BO547" i="2"/>
  <c r="BN547" i="2"/>
  <c r="BM547" i="2"/>
  <c r="BL547" i="2"/>
  <c r="BK547" i="2"/>
  <c r="BJ547" i="2"/>
  <c r="BI547" i="2"/>
  <c r="BH547" i="2"/>
  <c r="BG547" i="2"/>
  <c r="BF547" i="2"/>
  <c r="CQ546" i="2"/>
  <c r="CP546" i="2"/>
  <c r="CO546" i="2"/>
  <c r="CN546" i="2"/>
  <c r="CM546" i="2"/>
  <c r="CL546" i="2"/>
  <c r="CK546" i="2"/>
  <c r="CJ546" i="2"/>
  <c r="CI546" i="2"/>
  <c r="CH546" i="2"/>
  <c r="CG546" i="2"/>
  <c r="CF546" i="2"/>
  <c r="CE546" i="2"/>
  <c r="CD546" i="2"/>
  <c r="CC546" i="2"/>
  <c r="CB546" i="2"/>
  <c r="CA546" i="2"/>
  <c r="BZ546" i="2"/>
  <c r="BY546" i="2"/>
  <c r="BX546" i="2"/>
  <c r="BW546" i="2"/>
  <c r="BV546" i="2"/>
  <c r="BU546" i="2"/>
  <c r="BT546" i="2"/>
  <c r="BS546" i="2"/>
  <c r="BR546" i="2"/>
  <c r="BQ546" i="2"/>
  <c r="BP546" i="2"/>
  <c r="BO546" i="2"/>
  <c r="BN546" i="2"/>
  <c r="BM546" i="2"/>
  <c r="BL546" i="2"/>
  <c r="BK546" i="2"/>
  <c r="BJ546" i="2"/>
  <c r="BI546" i="2"/>
  <c r="BH546" i="2"/>
  <c r="BG546" i="2"/>
  <c r="BF546" i="2"/>
  <c r="CQ545" i="2"/>
  <c r="CP545" i="2"/>
  <c r="CO545" i="2"/>
  <c r="CN545" i="2"/>
  <c r="CM545" i="2"/>
  <c r="CL545" i="2"/>
  <c r="CK545" i="2"/>
  <c r="CJ545" i="2"/>
  <c r="CI545" i="2"/>
  <c r="CH545" i="2"/>
  <c r="CG545" i="2"/>
  <c r="CF545" i="2"/>
  <c r="CE545" i="2"/>
  <c r="CD545" i="2"/>
  <c r="CC545" i="2"/>
  <c r="CB545" i="2"/>
  <c r="CA545" i="2"/>
  <c r="BZ545" i="2"/>
  <c r="BY545" i="2"/>
  <c r="BX545" i="2"/>
  <c r="BW545" i="2"/>
  <c r="BV545" i="2"/>
  <c r="BU545" i="2"/>
  <c r="BT545" i="2"/>
  <c r="BS545" i="2"/>
  <c r="BR545" i="2"/>
  <c r="BQ545" i="2"/>
  <c r="BP545" i="2"/>
  <c r="BO545" i="2"/>
  <c r="BN545" i="2"/>
  <c r="BM545" i="2"/>
  <c r="BL545" i="2"/>
  <c r="BK545" i="2"/>
  <c r="BJ545" i="2"/>
  <c r="BI545" i="2"/>
  <c r="BH545" i="2"/>
  <c r="BG545" i="2"/>
  <c r="BF545" i="2"/>
  <c r="CQ544" i="2"/>
  <c r="CP544" i="2"/>
  <c r="CO544" i="2"/>
  <c r="CN544" i="2"/>
  <c r="CM544" i="2"/>
  <c r="CL544" i="2"/>
  <c r="CK544" i="2"/>
  <c r="CJ544" i="2"/>
  <c r="CI544" i="2"/>
  <c r="CH544" i="2"/>
  <c r="CG544" i="2"/>
  <c r="CF544" i="2"/>
  <c r="CE544" i="2"/>
  <c r="CD544" i="2"/>
  <c r="CC544" i="2"/>
  <c r="CB544" i="2"/>
  <c r="CA544" i="2"/>
  <c r="BZ544" i="2"/>
  <c r="BY544" i="2"/>
  <c r="BX544" i="2"/>
  <c r="BW544" i="2"/>
  <c r="BV544" i="2"/>
  <c r="BU544" i="2"/>
  <c r="BT544" i="2"/>
  <c r="BS544" i="2"/>
  <c r="BR544" i="2"/>
  <c r="BQ544" i="2"/>
  <c r="BP544" i="2"/>
  <c r="BO544" i="2"/>
  <c r="BN544" i="2"/>
  <c r="BM544" i="2"/>
  <c r="BL544" i="2"/>
  <c r="BK544" i="2"/>
  <c r="BJ544" i="2"/>
  <c r="BI544" i="2"/>
  <c r="BH544" i="2"/>
  <c r="BG544" i="2"/>
  <c r="BF544" i="2"/>
  <c r="CQ543" i="2"/>
  <c r="CP543" i="2"/>
  <c r="CO543" i="2"/>
  <c r="CN543" i="2"/>
  <c r="CM543" i="2"/>
  <c r="CL543" i="2"/>
  <c r="CK543" i="2"/>
  <c r="CJ543" i="2"/>
  <c r="CI543" i="2"/>
  <c r="CH543" i="2"/>
  <c r="CG543" i="2"/>
  <c r="CF543" i="2"/>
  <c r="CE543" i="2"/>
  <c r="CD543" i="2"/>
  <c r="CC543" i="2"/>
  <c r="CB543" i="2"/>
  <c r="CA543" i="2"/>
  <c r="BZ543" i="2"/>
  <c r="BY543" i="2"/>
  <c r="BX543" i="2"/>
  <c r="BW543" i="2"/>
  <c r="BV543" i="2"/>
  <c r="BU543" i="2"/>
  <c r="BT543" i="2"/>
  <c r="BS543" i="2"/>
  <c r="BR543" i="2"/>
  <c r="BQ543" i="2"/>
  <c r="BP543" i="2"/>
  <c r="BO543" i="2"/>
  <c r="BN543" i="2"/>
  <c r="BM543" i="2"/>
  <c r="BL543" i="2"/>
  <c r="BK543" i="2"/>
  <c r="BJ543" i="2"/>
  <c r="BI543" i="2"/>
  <c r="BH543" i="2"/>
  <c r="BG543" i="2"/>
  <c r="BF543" i="2"/>
  <c r="CQ542" i="2"/>
  <c r="CP542" i="2"/>
  <c r="CO542" i="2"/>
  <c r="CN542" i="2"/>
  <c r="CM542" i="2"/>
  <c r="CL542" i="2"/>
  <c r="CK542" i="2"/>
  <c r="CJ542" i="2"/>
  <c r="CI542" i="2"/>
  <c r="CH542" i="2"/>
  <c r="CG542" i="2"/>
  <c r="CF542" i="2"/>
  <c r="CE542" i="2"/>
  <c r="CD542" i="2"/>
  <c r="CC542" i="2"/>
  <c r="CB542" i="2"/>
  <c r="CA542" i="2"/>
  <c r="BZ542" i="2"/>
  <c r="BY542" i="2"/>
  <c r="BX542" i="2"/>
  <c r="BW542" i="2"/>
  <c r="BV542" i="2"/>
  <c r="BU542" i="2"/>
  <c r="BT542" i="2"/>
  <c r="BS542" i="2"/>
  <c r="BR542" i="2"/>
  <c r="BQ542" i="2"/>
  <c r="BP542" i="2"/>
  <c r="BO542" i="2"/>
  <c r="BN542" i="2"/>
  <c r="BM542" i="2"/>
  <c r="BL542" i="2"/>
  <c r="BK542" i="2"/>
  <c r="BJ542" i="2"/>
  <c r="BI542" i="2"/>
  <c r="BH542" i="2"/>
  <c r="BG542" i="2"/>
  <c r="BF542" i="2"/>
  <c r="CQ541" i="2"/>
  <c r="CP541" i="2"/>
  <c r="CO541" i="2"/>
  <c r="CN541" i="2"/>
  <c r="CM541" i="2"/>
  <c r="CL541" i="2"/>
  <c r="CK541" i="2"/>
  <c r="CJ541" i="2"/>
  <c r="CI541" i="2"/>
  <c r="CH541" i="2"/>
  <c r="CG541" i="2"/>
  <c r="CF541" i="2"/>
  <c r="CE541" i="2"/>
  <c r="CD541" i="2"/>
  <c r="CC541" i="2"/>
  <c r="CB541" i="2"/>
  <c r="CA541" i="2"/>
  <c r="BZ541" i="2"/>
  <c r="BY541" i="2"/>
  <c r="BX541" i="2"/>
  <c r="BW541" i="2"/>
  <c r="BV541" i="2"/>
  <c r="BU541" i="2"/>
  <c r="BT541" i="2"/>
  <c r="BS541" i="2"/>
  <c r="BR541" i="2"/>
  <c r="BQ541" i="2"/>
  <c r="BP541" i="2"/>
  <c r="BO541" i="2"/>
  <c r="BN541" i="2"/>
  <c r="BM541" i="2"/>
  <c r="BL541" i="2"/>
  <c r="BK541" i="2"/>
  <c r="BJ541" i="2"/>
  <c r="BI541" i="2"/>
  <c r="BH541" i="2"/>
  <c r="BG541" i="2"/>
  <c r="BF541" i="2"/>
  <c r="CQ540" i="2"/>
  <c r="CP540" i="2"/>
  <c r="CO540" i="2"/>
  <c r="CN540" i="2"/>
  <c r="CM540" i="2"/>
  <c r="CL540" i="2"/>
  <c r="CK540" i="2"/>
  <c r="CJ540" i="2"/>
  <c r="CI540" i="2"/>
  <c r="CH540" i="2"/>
  <c r="CG540" i="2"/>
  <c r="CF540" i="2"/>
  <c r="CE540" i="2"/>
  <c r="CD540" i="2"/>
  <c r="CC540" i="2"/>
  <c r="CB540" i="2"/>
  <c r="CA540" i="2"/>
  <c r="BZ540" i="2"/>
  <c r="BY540" i="2"/>
  <c r="BX540" i="2"/>
  <c r="BW540" i="2"/>
  <c r="BV540" i="2"/>
  <c r="BU540" i="2"/>
  <c r="BT540" i="2"/>
  <c r="BS540" i="2"/>
  <c r="BR540" i="2"/>
  <c r="BQ540" i="2"/>
  <c r="BP540" i="2"/>
  <c r="BO540" i="2"/>
  <c r="BN540" i="2"/>
  <c r="BM540" i="2"/>
  <c r="BL540" i="2"/>
  <c r="BK540" i="2"/>
  <c r="BJ540" i="2"/>
  <c r="BI540" i="2"/>
  <c r="BH540" i="2"/>
  <c r="BG540" i="2"/>
  <c r="BF540" i="2"/>
  <c r="CQ539" i="2"/>
  <c r="CP539" i="2"/>
  <c r="CO539" i="2"/>
  <c r="CN539" i="2"/>
  <c r="CM539" i="2"/>
  <c r="CL539" i="2"/>
  <c r="CK539" i="2"/>
  <c r="CJ539" i="2"/>
  <c r="CI539" i="2"/>
  <c r="CH539" i="2"/>
  <c r="CG539" i="2"/>
  <c r="CF539" i="2"/>
  <c r="CE539" i="2"/>
  <c r="CD539" i="2"/>
  <c r="CC539" i="2"/>
  <c r="CB539" i="2"/>
  <c r="CA539" i="2"/>
  <c r="BZ539" i="2"/>
  <c r="BY539" i="2"/>
  <c r="BX539" i="2"/>
  <c r="BW539" i="2"/>
  <c r="BV539" i="2"/>
  <c r="BU539" i="2"/>
  <c r="BT539" i="2"/>
  <c r="BS539" i="2"/>
  <c r="BR539" i="2"/>
  <c r="BQ539" i="2"/>
  <c r="BP539" i="2"/>
  <c r="BO539" i="2"/>
  <c r="BN539" i="2"/>
  <c r="BM539" i="2"/>
  <c r="BL539" i="2"/>
  <c r="BK539" i="2"/>
  <c r="BJ539" i="2"/>
  <c r="BI539" i="2"/>
  <c r="BH539" i="2"/>
  <c r="BG539" i="2"/>
  <c r="BF539" i="2"/>
  <c r="CQ538" i="2"/>
  <c r="CP538" i="2"/>
  <c r="CO538" i="2"/>
  <c r="CN538" i="2"/>
  <c r="CM538" i="2"/>
  <c r="CL538" i="2"/>
  <c r="CK538" i="2"/>
  <c r="CJ538" i="2"/>
  <c r="CI538" i="2"/>
  <c r="CH538" i="2"/>
  <c r="CG538" i="2"/>
  <c r="CF538" i="2"/>
  <c r="CE538" i="2"/>
  <c r="CD538" i="2"/>
  <c r="CC538" i="2"/>
  <c r="CB538" i="2"/>
  <c r="CA538" i="2"/>
  <c r="BZ538" i="2"/>
  <c r="BY538" i="2"/>
  <c r="BX538" i="2"/>
  <c r="BW538" i="2"/>
  <c r="BV538" i="2"/>
  <c r="BU538" i="2"/>
  <c r="BT538" i="2"/>
  <c r="BS538" i="2"/>
  <c r="BR538" i="2"/>
  <c r="BQ538" i="2"/>
  <c r="BP538" i="2"/>
  <c r="BO538" i="2"/>
  <c r="BN538" i="2"/>
  <c r="BM538" i="2"/>
  <c r="BL538" i="2"/>
  <c r="BK538" i="2"/>
  <c r="BJ538" i="2"/>
  <c r="BI538" i="2"/>
  <c r="BH538" i="2"/>
  <c r="BG538" i="2"/>
  <c r="BF538" i="2"/>
  <c r="CQ537" i="2"/>
  <c r="CP537" i="2"/>
  <c r="CO537" i="2"/>
  <c r="CN537" i="2"/>
  <c r="CM537" i="2"/>
  <c r="CL537" i="2"/>
  <c r="CK537" i="2"/>
  <c r="CJ537" i="2"/>
  <c r="CI537" i="2"/>
  <c r="CH537" i="2"/>
  <c r="CG537" i="2"/>
  <c r="CF537" i="2"/>
  <c r="CE537" i="2"/>
  <c r="CD537" i="2"/>
  <c r="CC537" i="2"/>
  <c r="CB537" i="2"/>
  <c r="CA537" i="2"/>
  <c r="BZ537" i="2"/>
  <c r="BY537" i="2"/>
  <c r="BX537" i="2"/>
  <c r="BW537" i="2"/>
  <c r="BV537" i="2"/>
  <c r="BU537" i="2"/>
  <c r="BT537" i="2"/>
  <c r="BS537" i="2"/>
  <c r="BR537" i="2"/>
  <c r="BQ537" i="2"/>
  <c r="BP537" i="2"/>
  <c r="BO537" i="2"/>
  <c r="BN537" i="2"/>
  <c r="BM537" i="2"/>
  <c r="BL537" i="2"/>
  <c r="BK537" i="2"/>
  <c r="BJ537" i="2"/>
  <c r="BI537" i="2"/>
  <c r="BH537" i="2"/>
  <c r="BG537" i="2"/>
  <c r="BF537" i="2"/>
  <c r="CQ536" i="2"/>
  <c r="CP536" i="2"/>
  <c r="CO536" i="2"/>
  <c r="CN536" i="2"/>
  <c r="CM536" i="2"/>
  <c r="CL536" i="2"/>
  <c r="CK536" i="2"/>
  <c r="CJ536" i="2"/>
  <c r="CI536" i="2"/>
  <c r="CH536" i="2"/>
  <c r="CG536" i="2"/>
  <c r="CF536" i="2"/>
  <c r="CE536" i="2"/>
  <c r="CD536" i="2"/>
  <c r="CC536" i="2"/>
  <c r="CB536" i="2"/>
  <c r="CA536" i="2"/>
  <c r="BZ536" i="2"/>
  <c r="BY536" i="2"/>
  <c r="BX536" i="2"/>
  <c r="BW536" i="2"/>
  <c r="BV536" i="2"/>
  <c r="BU536" i="2"/>
  <c r="BT536" i="2"/>
  <c r="BS536" i="2"/>
  <c r="BR536" i="2"/>
  <c r="BQ536" i="2"/>
  <c r="BP536" i="2"/>
  <c r="BO536" i="2"/>
  <c r="BN536" i="2"/>
  <c r="BM536" i="2"/>
  <c r="BL536" i="2"/>
  <c r="BK536" i="2"/>
  <c r="BJ536" i="2"/>
  <c r="BI536" i="2"/>
  <c r="BH536" i="2"/>
  <c r="BG536" i="2"/>
  <c r="BF536" i="2"/>
  <c r="CQ535" i="2"/>
  <c r="CP535" i="2"/>
  <c r="CO535" i="2"/>
  <c r="CN535" i="2"/>
  <c r="CM535" i="2"/>
  <c r="CL535" i="2"/>
  <c r="CK535" i="2"/>
  <c r="CJ535" i="2"/>
  <c r="CI535" i="2"/>
  <c r="CH535" i="2"/>
  <c r="CG535" i="2"/>
  <c r="CF535" i="2"/>
  <c r="CE535" i="2"/>
  <c r="CD535" i="2"/>
  <c r="CC535" i="2"/>
  <c r="CB535" i="2"/>
  <c r="CA535" i="2"/>
  <c r="BZ535" i="2"/>
  <c r="BY535" i="2"/>
  <c r="BX535" i="2"/>
  <c r="BW535" i="2"/>
  <c r="BV535" i="2"/>
  <c r="BU535" i="2"/>
  <c r="BT535" i="2"/>
  <c r="BS535" i="2"/>
  <c r="BR535" i="2"/>
  <c r="BQ535" i="2"/>
  <c r="BP535" i="2"/>
  <c r="BO535" i="2"/>
  <c r="BN535" i="2"/>
  <c r="BM535" i="2"/>
  <c r="BL535" i="2"/>
  <c r="BK535" i="2"/>
  <c r="BJ535" i="2"/>
  <c r="BI535" i="2"/>
  <c r="BH535" i="2"/>
  <c r="BG535" i="2"/>
  <c r="BF535" i="2"/>
  <c r="CQ534" i="2"/>
  <c r="CP534" i="2"/>
  <c r="CO534" i="2"/>
  <c r="CN534" i="2"/>
  <c r="CM534" i="2"/>
  <c r="CL534" i="2"/>
  <c r="CK534" i="2"/>
  <c r="CJ534" i="2"/>
  <c r="CI534" i="2"/>
  <c r="CH534" i="2"/>
  <c r="CG534" i="2"/>
  <c r="CF534" i="2"/>
  <c r="CE534" i="2"/>
  <c r="CD534" i="2"/>
  <c r="CC534" i="2"/>
  <c r="CB534" i="2"/>
  <c r="CA534" i="2"/>
  <c r="BZ534" i="2"/>
  <c r="BY534" i="2"/>
  <c r="BX534" i="2"/>
  <c r="BW534" i="2"/>
  <c r="BV534" i="2"/>
  <c r="BU534" i="2"/>
  <c r="BT534" i="2"/>
  <c r="BS534" i="2"/>
  <c r="BR534" i="2"/>
  <c r="BQ534" i="2"/>
  <c r="BP534" i="2"/>
  <c r="BO534" i="2"/>
  <c r="BN534" i="2"/>
  <c r="BM534" i="2"/>
  <c r="BL534" i="2"/>
  <c r="BK534" i="2"/>
  <c r="BJ534" i="2"/>
  <c r="BI534" i="2"/>
  <c r="BH534" i="2"/>
  <c r="BG534" i="2"/>
  <c r="BF534" i="2"/>
  <c r="CQ533" i="2"/>
  <c r="CP533" i="2"/>
  <c r="CO533" i="2"/>
  <c r="CN533" i="2"/>
  <c r="CM533" i="2"/>
  <c r="CL533" i="2"/>
  <c r="CK533" i="2"/>
  <c r="CJ533" i="2"/>
  <c r="CI533" i="2"/>
  <c r="CH533" i="2"/>
  <c r="CG533" i="2"/>
  <c r="CF533" i="2"/>
  <c r="CE533" i="2"/>
  <c r="CD533" i="2"/>
  <c r="CC533" i="2"/>
  <c r="CB533" i="2"/>
  <c r="CA533" i="2"/>
  <c r="BZ533" i="2"/>
  <c r="BY533" i="2"/>
  <c r="BX533" i="2"/>
  <c r="BW533" i="2"/>
  <c r="BV533" i="2"/>
  <c r="BU533" i="2"/>
  <c r="BT533" i="2"/>
  <c r="BS533" i="2"/>
  <c r="BR533" i="2"/>
  <c r="BQ533" i="2"/>
  <c r="BP533" i="2"/>
  <c r="BO533" i="2"/>
  <c r="BN533" i="2"/>
  <c r="BM533" i="2"/>
  <c r="BL533" i="2"/>
  <c r="BK533" i="2"/>
  <c r="BJ533" i="2"/>
  <c r="BI533" i="2"/>
  <c r="BH533" i="2"/>
  <c r="BG533" i="2"/>
  <c r="BF533" i="2"/>
  <c r="CQ532" i="2"/>
  <c r="CP532" i="2"/>
  <c r="CO532" i="2"/>
  <c r="CN532" i="2"/>
  <c r="CM532" i="2"/>
  <c r="CL532" i="2"/>
  <c r="CK532" i="2"/>
  <c r="CJ532" i="2"/>
  <c r="CI532" i="2"/>
  <c r="CH532" i="2"/>
  <c r="CG532" i="2"/>
  <c r="CF532" i="2"/>
  <c r="CE532" i="2"/>
  <c r="CD532" i="2"/>
  <c r="CC532" i="2"/>
  <c r="CB532" i="2"/>
  <c r="CA532" i="2"/>
  <c r="BZ532" i="2"/>
  <c r="BY532" i="2"/>
  <c r="BX532" i="2"/>
  <c r="BW532" i="2"/>
  <c r="BV532" i="2"/>
  <c r="BU532" i="2"/>
  <c r="BT532" i="2"/>
  <c r="BS532" i="2"/>
  <c r="BR532" i="2"/>
  <c r="BQ532" i="2"/>
  <c r="BP532" i="2"/>
  <c r="BO532" i="2"/>
  <c r="BN532" i="2"/>
  <c r="BM532" i="2"/>
  <c r="BL532" i="2"/>
  <c r="BK532" i="2"/>
  <c r="BJ532" i="2"/>
  <c r="BI532" i="2"/>
  <c r="BH532" i="2"/>
  <c r="BG532" i="2"/>
  <c r="BF532" i="2"/>
  <c r="CQ531" i="2"/>
  <c r="CP531" i="2"/>
  <c r="CO531" i="2"/>
  <c r="CN531" i="2"/>
  <c r="CM531" i="2"/>
  <c r="CL531" i="2"/>
  <c r="CK531" i="2"/>
  <c r="CJ531" i="2"/>
  <c r="CI531" i="2"/>
  <c r="CH531" i="2"/>
  <c r="CG531" i="2"/>
  <c r="CF531" i="2"/>
  <c r="CE531" i="2"/>
  <c r="CD531" i="2"/>
  <c r="CC531" i="2"/>
  <c r="CB531" i="2"/>
  <c r="CA531" i="2"/>
  <c r="BZ531" i="2"/>
  <c r="BY531" i="2"/>
  <c r="BX531" i="2"/>
  <c r="BW531" i="2"/>
  <c r="BV531" i="2"/>
  <c r="BU531" i="2"/>
  <c r="BT531" i="2"/>
  <c r="BS531" i="2"/>
  <c r="BR531" i="2"/>
  <c r="BQ531" i="2"/>
  <c r="BP531" i="2"/>
  <c r="BO531" i="2"/>
  <c r="BN531" i="2"/>
  <c r="BM531" i="2"/>
  <c r="BL531" i="2"/>
  <c r="BK531" i="2"/>
  <c r="BJ531" i="2"/>
  <c r="BI531" i="2"/>
  <c r="BH531" i="2"/>
  <c r="BG531" i="2"/>
  <c r="BF531" i="2"/>
  <c r="CQ530" i="2"/>
  <c r="CP530" i="2"/>
  <c r="CO530" i="2"/>
  <c r="CN530" i="2"/>
  <c r="CM530" i="2"/>
  <c r="CL530" i="2"/>
  <c r="CK530" i="2"/>
  <c r="CJ530" i="2"/>
  <c r="CI530" i="2"/>
  <c r="CH530" i="2"/>
  <c r="CG530" i="2"/>
  <c r="CF530" i="2"/>
  <c r="CE530" i="2"/>
  <c r="CD530" i="2"/>
  <c r="CC530" i="2"/>
  <c r="CB530" i="2"/>
  <c r="CA530" i="2"/>
  <c r="BZ530" i="2"/>
  <c r="BY530" i="2"/>
  <c r="BX530" i="2"/>
  <c r="BW530" i="2"/>
  <c r="BV530" i="2"/>
  <c r="BU530" i="2"/>
  <c r="BT530" i="2"/>
  <c r="BS530" i="2"/>
  <c r="BR530" i="2"/>
  <c r="BQ530" i="2"/>
  <c r="BP530" i="2"/>
  <c r="BO530" i="2"/>
  <c r="BN530" i="2"/>
  <c r="BM530" i="2"/>
  <c r="BL530" i="2"/>
  <c r="BK530" i="2"/>
  <c r="BJ530" i="2"/>
  <c r="BI530" i="2"/>
  <c r="BH530" i="2"/>
  <c r="BG530" i="2"/>
  <c r="BF530" i="2"/>
  <c r="CQ529" i="2"/>
  <c r="CP529" i="2"/>
  <c r="CO529" i="2"/>
  <c r="CN529" i="2"/>
  <c r="CM529" i="2"/>
  <c r="CL529" i="2"/>
  <c r="CK529" i="2"/>
  <c r="CJ529" i="2"/>
  <c r="CI529" i="2"/>
  <c r="CH529" i="2"/>
  <c r="CG529" i="2"/>
  <c r="CF529" i="2"/>
  <c r="CE529" i="2"/>
  <c r="CD529" i="2"/>
  <c r="CC529" i="2"/>
  <c r="CB529" i="2"/>
  <c r="CA529" i="2"/>
  <c r="BZ529" i="2"/>
  <c r="BY529" i="2"/>
  <c r="BX529" i="2"/>
  <c r="BW529" i="2"/>
  <c r="BV529" i="2"/>
  <c r="BU529" i="2"/>
  <c r="BT529" i="2"/>
  <c r="BS529" i="2"/>
  <c r="BR529" i="2"/>
  <c r="BQ529" i="2"/>
  <c r="BP529" i="2"/>
  <c r="BO529" i="2"/>
  <c r="BN529" i="2"/>
  <c r="BM529" i="2"/>
  <c r="BL529" i="2"/>
  <c r="BK529" i="2"/>
  <c r="BJ529" i="2"/>
  <c r="BI529" i="2"/>
  <c r="BH529" i="2"/>
  <c r="BG529" i="2"/>
  <c r="BF529" i="2"/>
  <c r="CQ528" i="2"/>
  <c r="CP528" i="2"/>
  <c r="CO528" i="2"/>
  <c r="CN528" i="2"/>
  <c r="CM528" i="2"/>
  <c r="CL528" i="2"/>
  <c r="CK528" i="2"/>
  <c r="CJ528" i="2"/>
  <c r="CI528" i="2"/>
  <c r="CH528" i="2"/>
  <c r="CG528" i="2"/>
  <c r="CF528" i="2"/>
  <c r="CE528" i="2"/>
  <c r="CD528" i="2"/>
  <c r="CC528" i="2"/>
  <c r="CB528" i="2"/>
  <c r="CA528" i="2"/>
  <c r="BZ528" i="2"/>
  <c r="BY528" i="2"/>
  <c r="BX528" i="2"/>
  <c r="BW528" i="2"/>
  <c r="BV528" i="2"/>
  <c r="BU528" i="2"/>
  <c r="BT528" i="2"/>
  <c r="BS528" i="2"/>
  <c r="BR528" i="2"/>
  <c r="BQ528" i="2"/>
  <c r="BP528" i="2"/>
  <c r="BO528" i="2"/>
  <c r="BN528" i="2"/>
  <c r="BM528" i="2"/>
  <c r="BL528" i="2"/>
  <c r="BK528" i="2"/>
  <c r="BJ528" i="2"/>
  <c r="BI528" i="2"/>
  <c r="BH528" i="2"/>
  <c r="BG528" i="2"/>
  <c r="BF528" i="2"/>
  <c r="CQ527" i="2"/>
  <c r="CP527" i="2"/>
  <c r="CO527" i="2"/>
  <c r="CN527" i="2"/>
  <c r="CM527" i="2"/>
  <c r="CL527" i="2"/>
  <c r="CK527" i="2"/>
  <c r="CJ527" i="2"/>
  <c r="CI527" i="2"/>
  <c r="CH527" i="2"/>
  <c r="CG527" i="2"/>
  <c r="CF527" i="2"/>
  <c r="CE527" i="2"/>
  <c r="CD527" i="2"/>
  <c r="CC527" i="2"/>
  <c r="CB527" i="2"/>
  <c r="CA527" i="2"/>
  <c r="BZ527" i="2"/>
  <c r="BY527" i="2"/>
  <c r="BX527" i="2"/>
  <c r="BW527" i="2"/>
  <c r="BV527" i="2"/>
  <c r="BU527" i="2"/>
  <c r="BT527" i="2"/>
  <c r="BS527" i="2"/>
  <c r="BR527" i="2"/>
  <c r="BQ527" i="2"/>
  <c r="BP527" i="2"/>
  <c r="BO527" i="2"/>
  <c r="BN527" i="2"/>
  <c r="BM527" i="2"/>
  <c r="BL527" i="2"/>
  <c r="BK527" i="2"/>
  <c r="BJ527" i="2"/>
  <c r="BI527" i="2"/>
  <c r="BH527" i="2"/>
  <c r="BG527" i="2"/>
  <c r="BF527" i="2"/>
  <c r="CQ526" i="2"/>
  <c r="CP526" i="2"/>
  <c r="CO526" i="2"/>
  <c r="CN526" i="2"/>
  <c r="CM526" i="2"/>
  <c r="CL526" i="2"/>
  <c r="CK526" i="2"/>
  <c r="CJ526" i="2"/>
  <c r="CI526" i="2"/>
  <c r="CH526" i="2"/>
  <c r="CG526" i="2"/>
  <c r="CF526" i="2"/>
  <c r="CE526" i="2"/>
  <c r="CD526" i="2"/>
  <c r="CC526" i="2"/>
  <c r="CB526" i="2"/>
  <c r="CA526" i="2"/>
  <c r="BZ526" i="2"/>
  <c r="BY526" i="2"/>
  <c r="BX526" i="2"/>
  <c r="BW526" i="2"/>
  <c r="BV526" i="2"/>
  <c r="BU526" i="2"/>
  <c r="BT526" i="2"/>
  <c r="BS526" i="2"/>
  <c r="BR526" i="2"/>
  <c r="BQ526" i="2"/>
  <c r="BP526" i="2"/>
  <c r="BO526" i="2"/>
  <c r="BN526" i="2"/>
  <c r="BM526" i="2"/>
  <c r="BL526" i="2"/>
  <c r="BK526" i="2"/>
  <c r="BJ526" i="2"/>
  <c r="BI526" i="2"/>
  <c r="BH526" i="2"/>
  <c r="BG526" i="2"/>
  <c r="BF526" i="2"/>
  <c r="CQ525" i="2"/>
  <c r="CP525" i="2"/>
  <c r="CO525" i="2"/>
  <c r="CN525" i="2"/>
  <c r="CM525" i="2"/>
  <c r="CL525" i="2"/>
  <c r="CK525" i="2"/>
  <c r="CJ525" i="2"/>
  <c r="CI525" i="2"/>
  <c r="CH525" i="2"/>
  <c r="CG525" i="2"/>
  <c r="CF525" i="2"/>
  <c r="CE525" i="2"/>
  <c r="CD525" i="2"/>
  <c r="CC525" i="2"/>
  <c r="CB525" i="2"/>
  <c r="CA525" i="2"/>
  <c r="BZ525" i="2"/>
  <c r="BY525" i="2"/>
  <c r="BX525" i="2"/>
  <c r="BW525" i="2"/>
  <c r="BV525" i="2"/>
  <c r="BU525" i="2"/>
  <c r="BT525" i="2"/>
  <c r="BS525" i="2"/>
  <c r="BR525" i="2"/>
  <c r="BQ525" i="2"/>
  <c r="BP525" i="2"/>
  <c r="BO525" i="2"/>
  <c r="BN525" i="2"/>
  <c r="BM525" i="2"/>
  <c r="BL525" i="2"/>
  <c r="BK525" i="2"/>
  <c r="BJ525" i="2"/>
  <c r="BI525" i="2"/>
  <c r="BH525" i="2"/>
  <c r="BG525" i="2"/>
  <c r="BF525" i="2"/>
  <c r="CQ524" i="2"/>
  <c r="CP524" i="2"/>
  <c r="CO524" i="2"/>
  <c r="CN524" i="2"/>
  <c r="CM524" i="2"/>
  <c r="CL524" i="2"/>
  <c r="CK524" i="2"/>
  <c r="CJ524" i="2"/>
  <c r="CI524" i="2"/>
  <c r="CH524" i="2"/>
  <c r="CG524" i="2"/>
  <c r="CF524" i="2"/>
  <c r="CE524" i="2"/>
  <c r="CD524" i="2"/>
  <c r="CC524" i="2"/>
  <c r="CB524" i="2"/>
  <c r="CA524" i="2"/>
  <c r="BZ524" i="2"/>
  <c r="BY524" i="2"/>
  <c r="BX524" i="2"/>
  <c r="BW524" i="2"/>
  <c r="BV524" i="2"/>
  <c r="BU524" i="2"/>
  <c r="BT524" i="2"/>
  <c r="BS524" i="2"/>
  <c r="BR524" i="2"/>
  <c r="BQ524" i="2"/>
  <c r="BP524" i="2"/>
  <c r="BO524" i="2"/>
  <c r="BN524" i="2"/>
  <c r="BM524" i="2"/>
  <c r="BL524" i="2"/>
  <c r="BK524" i="2"/>
  <c r="BJ524" i="2"/>
  <c r="BI524" i="2"/>
  <c r="BH524" i="2"/>
  <c r="BG524" i="2"/>
  <c r="BF524" i="2"/>
  <c r="CQ523" i="2"/>
  <c r="CP523" i="2"/>
  <c r="CO523" i="2"/>
  <c r="CN523" i="2"/>
  <c r="CM523" i="2"/>
  <c r="CL523" i="2"/>
  <c r="CK523" i="2"/>
  <c r="CJ523" i="2"/>
  <c r="CI523" i="2"/>
  <c r="CH523" i="2"/>
  <c r="CG523" i="2"/>
  <c r="CF523" i="2"/>
  <c r="CE523" i="2"/>
  <c r="CD523" i="2"/>
  <c r="CC523" i="2"/>
  <c r="CB523" i="2"/>
  <c r="CA523" i="2"/>
  <c r="BZ523" i="2"/>
  <c r="BY523" i="2"/>
  <c r="BX523" i="2"/>
  <c r="BW523" i="2"/>
  <c r="BV523" i="2"/>
  <c r="BU523" i="2"/>
  <c r="BT523" i="2"/>
  <c r="BS523" i="2"/>
  <c r="BR523" i="2"/>
  <c r="BQ523" i="2"/>
  <c r="BP523" i="2"/>
  <c r="BO523" i="2"/>
  <c r="BN523" i="2"/>
  <c r="BM523" i="2"/>
  <c r="BL523" i="2"/>
  <c r="BK523" i="2"/>
  <c r="BJ523" i="2"/>
  <c r="BI523" i="2"/>
  <c r="BH523" i="2"/>
  <c r="BG523" i="2"/>
  <c r="BF523" i="2"/>
  <c r="CQ522" i="2"/>
  <c r="CP522" i="2"/>
  <c r="CO522" i="2"/>
  <c r="CN522" i="2"/>
  <c r="CM522" i="2"/>
  <c r="CL522" i="2"/>
  <c r="CK522" i="2"/>
  <c r="CJ522" i="2"/>
  <c r="CI522" i="2"/>
  <c r="CH522" i="2"/>
  <c r="CG522" i="2"/>
  <c r="CF522" i="2"/>
  <c r="CE522" i="2"/>
  <c r="CD522" i="2"/>
  <c r="CC522" i="2"/>
  <c r="CB522" i="2"/>
  <c r="CA522" i="2"/>
  <c r="BZ522" i="2"/>
  <c r="BY522" i="2"/>
  <c r="BX522" i="2"/>
  <c r="BW522" i="2"/>
  <c r="BV522" i="2"/>
  <c r="BU522" i="2"/>
  <c r="BT522" i="2"/>
  <c r="BS522" i="2"/>
  <c r="BR522" i="2"/>
  <c r="BQ522" i="2"/>
  <c r="BP522" i="2"/>
  <c r="BO522" i="2"/>
  <c r="BN522" i="2"/>
  <c r="BM522" i="2"/>
  <c r="BL522" i="2"/>
  <c r="BK522" i="2"/>
  <c r="BJ522" i="2"/>
  <c r="BI522" i="2"/>
  <c r="BH522" i="2"/>
  <c r="BG522" i="2"/>
  <c r="BF522" i="2"/>
  <c r="CQ521" i="2"/>
  <c r="CP521" i="2"/>
  <c r="CO521" i="2"/>
  <c r="CN521" i="2"/>
  <c r="CM521" i="2"/>
  <c r="CL521" i="2"/>
  <c r="CK521" i="2"/>
  <c r="CJ521" i="2"/>
  <c r="CI521" i="2"/>
  <c r="CH521" i="2"/>
  <c r="CG521" i="2"/>
  <c r="CF521" i="2"/>
  <c r="CE521" i="2"/>
  <c r="CD521" i="2"/>
  <c r="CC521" i="2"/>
  <c r="CB521" i="2"/>
  <c r="CA521" i="2"/>
  <c r="BZ521" i="2"/>
  <c r="BY521" i="2"/>
  <c r="BX521" i="2"/>
  <c r="BW521" i="2"/>
  <c r="BV521" i="2"/>
  <c r="BU521" i="2"/>
  <c r="BT521" i="2"/>
  <c r="BS521" i="2"/>
  <c r="BR521" i="2"/>
  <c r="BQ521" i="2"/>
  <c r="BP521" i="2"/>
  <c r="BO521" i="2"/>
  <c r="BN521" i="2"/>
  <c r="BM521" i="2"/>
  <c r="BL521" i="2"/>
  <c r="BK521" i="2"/>
  <c r="BJ521" i="2"/>
  <c r="BI521" i="2"/>
  <c r="BH521" i="2"/>
  <c r="BG521" i="2"/>
  <c r="BF521" i="2"/>
  <c r="CQ520" i="2"/>
  <c r="CP520" i="2"/>
  <c r="CO520" i="2"/>
  <c r="CN520" i="2"/>
  <c r="CM520" i="2"/>
  <c r="CL520" i="2"/>
  <c r="CK520" i="2"/>
  <c r="CJ520" i="2"/>
  <c r="CI520" i="2"/>
  <c r="CH520" i="2"/>
  <c r="CG520" i="2"/>
  <c r="CF520" i="2"/>
  <c r="CE520" i="2"/>
  <c r="CD520" i="2"/>
  <c r="CC520" i="2"/>
  <c r="CB520" i="2"/>
  <c r="CA520" i="2"/>
  <c r="BZ520" i="2"/>
  <c r="BY520" i="2"/>
  <c r="BX520" i="2"/>
  <c r="BW520" i="2"/>
  <c r="BV520" i="2"/>
  <c r="BU520" i="2"/>
  <c r="BT520" i="2"/>
  <c r="BS520" i="2"/>
  <c r="BR520" i="2"/>
  <c r="BQ520" i="2"/>
  <c r="BP520" i="2"/>
  <c r="BO520" i="2"/>
  <c r="BN520" i="2"/>
  <c r="BM520" i="2"/>
  <c r="BL520" i="2"/>
  <c r="BK520" i="2"/>
  <c r="BJ520" i="2"/>
  <c r="BI520" i="2"/>
  <c r="BH520" i="2"/>
  <c r="BG520" i="2"/>
  <c r="BF520" i="2"/>
  <c r="CQ519" i="2"/>
  <c r="CP519" i="2"/>
  <c r="CO519" i="2"/>
  <c r="CN519" i="2"/>
  <c r="CM519" i="2"/>
  <c r="CL519" i="2"/>
  <c r="CK519" i="2"/>
  <c r="CJ519" i="2"/>
  <c r="CI519" i="2"/>
  <c r="CH519" i="2"/>
  <c r="CG519" i="2"/>
  <c r="CF519" i="2"/>
  <c r="CE519" i="2"/>
  <c r="CD519" i="2"/>
  <c r="CC519" i="2"/>
  <c r="CB519" i="2"/>
  <c r="CA519" i="2"/>
  <c r="BZ519" i="2"/>
  <c r="BY519" i="2"/>
  <c r="BX519" i="2"/>
  <c r="BW519" i="2"/>
  <c r="BV519" i="2"/>
  <c r="BU519" i="2"/>
  <c r="BT519" i="2"/>
  <c r="BS519" i="2"/>
  <c r="BR519" i="2"/>
  <c r="BQ519" i="2"/>
  <c r="BP519" i="2"/>
  <c r="BO519" i="2"/>
  <c r="BN519" i="2"/>
  <c r="BM519" i="2"/>
  <c r="BL519" i="2"/>
  <c r="BK519" i="2"/>
  <c r="BJ519" i="2"/>
  <c r="BI519" i="2"/>
  <c r="BH519" i="2"/>
  <c r="BG519" i="2"/>
  <c r="BF519" i="2"/>
  <c r="CQ518" i="2"/>
  <c r="CP518" i="2"/>
  <c r="CO518" i="2"/>
  <c r="CN518" i="2"/>
  <c r="CM518" i="2"/>
  <c r="CL518" i="2"/>
  <c r="CK518" i="2"/>
  <c r="CJ518" i="2"/>
  <c r="CI518" i="2"/>
  <c r="CH518" i="2"/>
  <c r="CG518" i="2"/>
  <c r="CF518" i="2"/>
  <c r="CE518" i="2"/>
  <c r="CD518" i="2"/>
  <c r="CC518" i="2"/>
  <c r="CB518" i="2"/>
  <c r="CA518" i="2"/>
  <c r="BZ518" i="2"/>
  <c r="BY518" i="2"/>
  <c r="BX518" i="2"/>
  <c r="BW518" i="2"/>
  <c r="BV518" i="2"/>
  <c r="BU518" i="2"/>
  <c r="BT518" i="2"/>
  <c r="BS518" i="2"/>
  <c r="BR518" i="2"/>
  <c r="BQ518" i="2"/>
  <c r="BP518" i="2"/>
  <c r="BO518" i="2"/>
  <c r="BN518" i="2"/>
  <c r="BM518" i="2"/>
  <c r="BL518" i="2"/>
  <c r="BK518" i="2"/>
  <c r="BJ518" i="2"/>
  <c r="BI518" i="2"/>
  <c r="BH518" i="2"/>
  <c r="BG518" i="2"/>
  <c r="BF518" i="2"/>
  <c r="CQ517" i="2"/>
  <c r="CP517" i="2"/>
  <c r="CO517" i="2"/>
  <c r="CN517" i="2"/>
  <c r="CM517" i="2"/>
  <c r="CL517" i="2"/>
  <c r="CK517" i="2"/>
  <c r="CJ517" i="2"/>
  <c r="CI517" i="2"/>
  <c r="CH517" i="2"/>
  <c r="CG517" i="2"/>
  <c r="CF517" i="2"/>
  <c r="CE517" i="2"/>
  <c r="CD517" i="2"/>
  <c r="CC517" i="2"/>
  <c r="CB517" i="2"/>
  <c r="CA517" i="2"/>
  <c r="BZ517" i="2"/>
  <c r="BY517" i="2"/>
  <c r="BX517" i="2"/>
  <c r="BW517" i="2"/>
  <c r="BV517" i="2"/>
  <c r="BU517" i="2"/>
  <c r="BT517" i="2"/>
  <c r="BS517" i="2"/>
  <c r="BR517" i="2"/>
  <c r="BQ517" i="2"/>
  <c r="BP517" i="2"/>
  <c r="BO517" i="2"/>
  <c r="BN517" i="2"/>
  <c r="BM517" i="2"/>
  <c r="BL517" i="2"/>
  <c r="BK517" i="2"/>
  <c r="BJ517" i="2"/>
  <c r="BI517" i="2"/>
  <c r="BH517" i="2"/>
  <c r="BG517" i="2"/>
  <c r="BF517" i="2"/>
  <c r="CQ516" i="2"/>
  <c r="CP516" i="2"/>
  <c r="CO516" i="2"/>
  <c r="CN516" i="2"/>
  <c r="CM516" i="2"/>
  <c r="CL516" i="2"/>
  <c r="CK516" i="2"/>
  <c r="CJ516" i="2"/>
  <c r="CI516" i="2"/>
  <c r="CH516" i="2"/>
  <c r="CG516" i="2"/>
  <c r="CF516" i="2"/>
  <c r="CE516" i="2"/>
  <c r="CD516" i="2"/>
  <c r="CC516" i="2"/>
  <c r="CB516" i="2"/>
  <c r="CA516" i="2"/>
  <c r="BZ516" i="2"/>
  <c r="BY516" i="2"/>
  <c r="BX516" i="2"/>
  <c r="BW516" i="2"/>
  <c r="BV516" i="2"/>
  <c r="BU516" i="2"/>
  <c r="BT516" i="2"/>
  <c r="BS516" i="2"/>
  <c r="BR516" i="2"/>
  <c r="BQ516" i="2"/>
  <c r="BP516" i="2"/>
  <c r="BO516" i="2"/>
  <c r="BN516" i="2"/>
  <c r="BM516" i="2"/>
  <c r="BL516" i="2"/>
  <c r="BK516" i="2"/>
  <c r="BJ516" i="2"/>
  <c r="BI516" i="2"/>
  <c r="BH516" i="2"/>
  <c r="BG516" i="2"/>
  <c r="BF516" i="2"/>
  <c r="CQ515" i="2"/>
  <c r="CP515" i="2"/>
  <c r="CO515" i="2"/>
  <c r="CN515" i="2"/>
  <c r="CM515" i="2"/>
  <c r="CL515" i="2"/>
  <c r="CK515" i="2"/>
  <c r="CJ515" i="2"/>
  <c r="CI515" i="2"/>
  <c r="CH515" i="2"/>
  <c r="CG515" i="2"/>
  <c r="CF515" i="2"/>
  <c r="CE515" i="2"/>
  <c r="CD515" i="2"/>
  <c r="CC515" i="2"/>
  <c r="CB515" i="2"/>
  <c r="CA515" i="2"/>
  <c r="BZ515" i="2"/>
  <c r="BY515" i="2"/>
  <c r="BX515" i="2"/>
  <c r="BW515" i="2"/>
  <c r="BV515" i="2"/>
  <c r="BU515" i="2"/>
  <c r="BT515" i="2"/>
  <c r="BS515" i="2"/>
  <c r="BR515" i="2"/>
  <c r="BQ515" i="2"/>
  <c r="BP515" i="2"/>
  <c r="BO515" i="2"/>
  <c r="BN515" i="2"/>
  <c r="BM515" i="2"/>
  <c r="BL515" i="2"/>
  <c r="BK515" i="2"/>
  <c r="BJ515" i="2"/>
  <c r="BI515" i="2"/>
  <c r="BH515" i="2"/>
  <c r="BG515" i="2"/>
  <c r="BF515" i="2"/>
  <c r="CQ514" i="2"/>
  <c r="CP514" i="2"/>
  <c r="CO514" i="2"/>
  <c r="CN514" i="2"/>
  <c r="CM514" i="2"/>
  <c r="CL514" i="2"/>
  <c r="CK514" i="2"/>
  <c r="CJ514" i="2"/>
  <c r="CI514" i="2"/>
  <c r="CH514" i="2"/>
  <c r="CG514" i="2"/>
  <c r="CF514" i="2"/>
  <c r="CE514" i="2"/>
  <c r="CD514" i="2"/>
  <c r="CC514" i="2"/>
  <c r="CB514" i="2"/>
  <c r="CA514" i="2"/>
  <c r="BZ514" i="2"/>
  <c r="BY514" i="2"/>
  <c r="BX514" i="2"/>
  <c r="BW514" i="2"/>
  <c r="BV514" i="2"/>
  <c r="BU514" i="2"/>
  <c r="BT514" i="2"/>
  <c r="BS514" i="2"/>
  <c r="BR514" i="2"/>
  <c r="BQ514" i="2"/>
  <c r="BP514" i="2"/>
  <c r="BO514" i="2"/>
  <c r="BN514" i="2"/>
  <c r="BM514" i="2"/>
  <c r="BL514" i="2"/>
  <c r="BK514" i="2"/>
  <c r="BJ514" i="2"/>
  <c r="BI514" i="2"/>
  <c r="BH514" i="2"/>
  <c r="BG514" i="2"/>
  <c r="BF514" i="2"/>
  <c r="CQ513" i="2"/>
  <c r="CP513" i="2"/>
  <c r="CO513" i="2"/>
  <c r="CN513" i="2"/>
  <c r="CM513" i="2"/>
  <c r="CL513" i="2"/>
  <c r="CK513" i="2"/>
  <c r="CJ513" i="2"/>
  <c r="CI513" i="2"/>
  <c r="CH513" i="2"/>
  <c r="CG513" i="2"/>
  <c r="CF513" i="2"/>
  <c r="CE513" i="2"/>
  <c r="CD513" i="2"/>
  <c r="CC513" i="2"/>
  <c r="CB513" i="2"/>
  <c r="CA513" i="2"/>
  <c r="BZ513" i="2"/>
  <c r="BY513" i="2"/>
  <c r="BX513" i="2"/>
  <c r="BW513" i="2"/>
  <c r="BV513" i="2"/>
  <c r="BU513" i="2"/>
  <c r="BT513" i="2"/>
  <c r="BS513" i="2"/>
  <c r="BR513" i="2"/>
  <c r="BQ513" i="2"/>
  <c r="BP513" i="2"/>
  <c r="BO513" i="2"/>
  <c r="BN513" i="2"/>
  <c r="BM513" i="2"/>
  <c r="BL513" i="2"/>
  <c r="BK513" i="2"/>
  <c r="BJ513" i="2"/>
  <c r="BI513" i="2"/>
  <c r="BH513" i="2"/>
  <c r="BG513" i="2"/>
  <c r="BF513" i="2"/>
  <c r="CQ512" i="2"/>
  <c r="CP512" i="2"/>
  <c r="CO512" i="2"/>
  <c r="CN512" i="2"/>
  <c r="CM512" i="2"/>
  <c r="CL512" i="2"/>
  <c r="CK512" i="2"/>
  <c r="CJ512" i="2"/>
  <c r="CI512" i="2"/>
  <c r="CH512" i="2"/>
  <c r="CG512" i="2"/>
  <c r="CF512" i="2"/>
  <c r="CE512" i="2"/>
  <c r="CD512" i="2"/>
  <c r="CC512" i="2"/>
  <c r="CB512" i="2"/>
  <c r="CA512" i="2"/>
  <c r="BZ512" i="2"/>
  <c r="BY512" i="2"/>
  <c r="BX512" i="2"/>
  <c r="BW512" i="2"/>
  <c r="BV512" i="2"/>
  <c r="BU512" i="2"/>
  <c r="BT512" i="2"/>
  <c r="BS512" i="2"/>
  <c r="BR512" i="2"/>
  <c r="BQ512" i="2"/>
  <c r="BP512" i="2"/>
  <c r="BO512" i="2"/>
  <c r="BN512" i="2"/>
  <c r="BM512" i="2"/>
  <c r="BL512" i="2"/>
  <c r="BK512" i="2"/>
  <c r="BJ512" i="2"/>
  <c r="BI512" i="2"/>
  <c r="BH512" i="2"/>
  <c r="BG512" i="2"/>
  <c r="BF512" i="2"/>
  <c r="CQ511" i="2"/>
  <c r="CP511" i="2"/>
  <c r="CO511" i="2"/>
  <c r="CN511" i="2"/>
  <c r="CM511" i="2"/>
  <c r="CL511" i="2"/>
  <c r="CK511" i="2"/>
  <c r="CJ511" i="2"/>
  <c r="CI511" i="2"/>
  <c r="CH511" i="2"/>
  <c r="CG511" i="2"/>
  <c r="CF511" i="2"/>
  <c r="CE511" i="2"/>
  <c r="CD511" i="2"/>
  <c r="CC511" i="2"/>
  <c r="CB511" i="2"/>
  <c r="CA511" i="2"/>
  <c r="BZ511" i="2"/>
  <c r="BY511" i="2"/>
  <c r="BX511" i="2"/>
  <c r="BW511" i="2"/>
  <c r="BV511" i="2"/>
  <c r="BU511" i="2"/>
  <c r="BT511" i="2"/>
  <c r="BS511" i="2"/>
  <c r="BR511" i="2"/>
  <c r="BQ511" i="2"/>
  <c r="BP511" i="2"/>
  <c r="BO511" i="2"/>
  <c r="BN511" i="2"/>
  <c r="BM511" i="2"/>
  <c r="BL511" i="2"/>
  <c r="BK511" i="2"/>
  <c r="BJ511" i="2"/>
  <c r="BI511" i="2"/>
  <c r="BH511" i="2"/>
  <c r="BG511" i="2"/>
  <c r="BF511" i="2"/>
  <c r="CQ510" i="2"/>
  <c r="CP510" i="2"/>
  <c r="CO510" i="2"/>
  <c r="CN510" i="2"/>
  <c r="CM510" i="2"/>
  <c r="CL510" i="2"/>
  <c r="CK510" i="2"/>
  <c r="CJ510" i="2"/>
  <c r="CI510" i="2"/>
  <c r="CH510" i="2"/>
  <c r="CG510" i="2"/>
  <c r="CF510" i="2"/>
  <c r="CE510" i="2"/>
  <c r="CD510" i="2"/>
  <c r="CC510" i="2"/>
  <c r="CB510" i="2"/>
  <c r="CA510" i="2"/>
  <c r="BZ510" i="2"/>
  <c r="BY510" i="2"/>
  <c r="BX510" i="2"/>
  <c r="BW510" i="2"/>
  <c r="BV510" i="2"/>
  <c r="BU510" i="2"/>
  <c r="BT510" i="2"/>
  <c r="BS510" i="2"/>
  <c r="BR510" i="2"/>
  <c r="BQ510" i="2"/>
  <c r="BP510" i="2"/>
  <c r="BO510" i="2"/>
  <c r="BN510" i="2"/>
  <c r="BM510" i="2"/>
  <c r="BL510" i="2"/>
  <c r="BK510" i="2"/>
  <c r="BJ510" i="2"/>
  <c r="BI510" i="2"/>
  <c r="BH510" i="2"/>
  <c r="BG510" i="2"/>
  <c r="BF510" i="2"/>
  <c r="CQ509" i="2"/>
  <c r="CP509" i="2"/>
  <c r="CO509" i="2"/>
  <c r="CN509" i="2"/>
  <c r="CM509" i="2"/>
  <c r="CL509" i="2"/>
  <c r="CK509" i="2"/>
  <c r="CJ509" i="2"/>
  <c r="CI509" i="2"/>
  <c r="CH509" i="2"/>
  <c r="CG509" i="2"/>
  <c r="CF509" i="2"/>
  <c r="CE509" i="2"/>
  <c r="CD509" i="2"/>
  <c r="CC509" i="2"/>
  <c r="CB509" i="2"/>
  <c r="CA509" i="2"/>
  <c r="BZ509" i="2"/>
  <c r="BY509" i="2"/>
  <c r="BX509" i="2"/>
  <c r="BW509" i="2"/>
  <c r="BV509" i="2"/>
  <c r="BU509" i="2"/>
  <c r="BT509" i="2"/>
  <c r="BS509" i="2"/>
  <c r="BR509" i="2"/>
  <c r="BQ509" i="2"/>
  <c r="BP509" i="2"/>
  <c r="BO509" i="2"/>
  <c r="BN509" i="2"/>
  <c r="BM509" i="2"/>
  <c r="BL509" i="2"/>
  <c r="BK509" i="2"/>
  <c r="BJ509" i="2"/>
  <c r="BI509" i="2"/>
  <c r="BH509" i="2"/>
  <c r="BG509" i="2"/>
  <c r="BF509" i="2"/>
  <c r="CQ508" i="2"/>
  <c r="CP508" i="2"/>
  <c r="CO508" i="2"/>
  <c r="CN508" i="2"/>
  <c r="CM508" i="2"/>
  <c r="CL508" i="2"/>
  <c r="CK508" i="2"/>
  <c r="CJ508" i="2"/>
  <c r="CI508" i="2"/>
  <c r="CH508" i="2"/>
  <c r="CG508" i="2"/>
  <c r="CF508" i="2"/>
  <c r="CE508" i="2"/>
  <c r="CD508" i="2"/>
  <c r="CC508" i="2"/>
  <c r="CB508" i="2"/>
  <c r="CA508" i="2"/>
  <c r="BZ508" i="2"/>
  <c r="BY508" i="2"/>
  <c r="BX508" i="2"/>
  <c r="BW508" i="2"/>
  <c r="BV508" i="2"/>
  <c r="BU508" i="2"/>
  <c r="BT508" i="2"/>
  <c r="BS508" i="2"/>
  <c r="BR508" i="2"/>
  <c r="BQ508" i="2"/>
  <c r="BP508" i="2"/>
  <c r="BO508" i="2"/>
  <c r="BN508" i="2"/>
  <c r="BM508" i="2"/>
  <c r="BL508" i="2"/>
  <c r="BK508" i="2"/>
  <c r="BJ508" i="2"/>
  <c r="BI508" i="2"/>
  <c r="BH508" i="2"/>
  <c r="BG508" i="2"/>
  <c r="BF508" i="2"/>
  <c r="CQ507" i="2"/>
  <c r="CP507" i="2"/>
  <c r="CO507" i="2"/>
  <c r="CN507" i="2"/>
  <c r="CM507" i="2"/>
  <c r="CL507" i="2"/>
  <c r="CK507" i="2"/>
  <c r="CJ507" i="2"/>
  <c r="CI507" i="2"/>
  <c r="CH507" i="2"/>
  <c r="CG507" i="2"/>
  <c r="CF507" i="2"/>
  <c r="CE507" i="2"/>
  <c r="CD507" i="2"/>
  <c r="CC507" i="2"/>
  <c r="CB507" i="2"/>
  <c r="CA507" i="2"/>
  <c r="BZ507" i="2"/>
  <c r="BY507" i="2"/>
  <c r="BX507" i="2"/>
  <c r="BW507" i="2"/>
  <c r="BV507" i="2"/>
  <c r="BU507" i="2"/>
  <c r="BT507" i="2"/>
  <c r="BS507" i="2"/>
  <c r="BR507" i="2"/>
  <c r="BQ507" i="2"/>
  <c r="BP507" i="2"/>
  <c r="BO507" i="2"/>
  <c r="BN507" i="2"/>
  <c r="BM507" i="2"/>
  <c r="BL507" i="2"/>
  <c r="BK507" i="2"/>
  <c r="BJ507" i="2"/>
  <c r="BI507" i="2"/>
  <c r="BH507" i="2"/>
  <c r="BG507" i="2"/>
  <c r="BF507" i="2"/>
  <c r="CQ506" i="2"/>
  <c r="CP506" i="2"/>
  <c r="CO506" i="2"/>
  <c r="CN506" i="2"/>
  <c r="CM506" i="2"/>
  <c r="CL506" i="2"/>
  <c r="CK506" i="2"/>
  <c r="CJ506" i="2"/>
  <c r="CI506" i="2"/>
  <c r="CH506" i="2"/>
  <c r="CG506" i="2"/>
  <c r="CF506" i="2"/>
  <c r="CE506" i="2"/>
  <c r="CD506" i="2"/>
  <c r="CC506" i="2"/>
  <c r="CB506" i="2"/>
  <c r="CA506" i="2"/>
  <c r="BZ506" i="2"/>
  <c r="BY506" i="2"/>
  <c r="BX506" i="2"/>
  <c r="BW506" i="2"/>
  <c r="BV506" i="2"/>
  <c r="BU506" i="2"/>
  <c r="BT506" i="2"/>
  <c r="BS506" i="2"/>
  <c r="BR506" i="2"/>
  <c r="BQ506" i="2"/>
  <c r="BP506" i="2"/>
  <c r="BO506" i="2"/>
  <c r="BN506" i="2"/>
  <c r="BM506" i="2"/>
  <c r="BL506" i="2"/>
  <c r="BK506" i="2"/>
  <c r="BJ506" i="2"/>
  <c r="BI506" i="2"/>
  <c r="BH506" i="2"/>
  <c r="BG506" i="2"/>
  <c r="BF506" i="2"/>
  <c r="CQ505" i="2"/>
  <c r="CP505" i="2"/>
  <c r="CO505" i="2"/>
  <c r="CN505" i="2"/>
  <c r="CM505" i="2"/>
  <c r="CL505" i="2"/>
  <c r="CK505" i="2"/>
  <c r="CJ505" i="2"/>
  <c r="CI505" i="2"/>
  <c r="CH505" i="2"/>
  <c r="CG505" i="2"/>
  <c r="CF505" i="2"/>
  <c r="CE505" i="2"/>
  <c r="CD505" i="2"/>
  <c r="CC505" i="2"/>
  <c r="CB505" i="2"/>
  <c r="CA505" i="2"/>
  <c r="BZ505" i="2"/>
  <c r="BY505" i="2"/>
  <c r="BX505" i="2"/>
  <c r="BW505" i="2"/>
  <c r="BV505" i="2"/>
  <c r="BU505" i="2"/>
  <c r="BT505" i="2"/>
  <c r="BS505" i="2"/>
  <c r="BR505" i="2"/>
  <c r="BQ505" i="2"/>
  <c r="BP505" i="2"/>
  <c r="BO505" i="2"/>
  <c r="BN505" i="2"/>
  <c r="BM505" i="2"/>
  <c r="BL505" i="2"/>
  <c r="BK505" i="2"/>
  <c r="BJ505" i="2"/>
  <c r="BI505" i="2"/>
  <c r="BH505" i="2"/>
  <c r="BG505" i="2"/>
  <c r="BF505" i="2"/>
  <c r="CQ504" i="2"/>
  <c r="CP504" i="2"/>
  <c r="CO504" i="2"/>
  <c r="CN504" i="2"/>
  <c r="CM504" i="2"/>
  <c r="CL504" i="2"/>
  <c r="CK504" i="2"/>
  <c r="CJ504" i="2"/>
  <c r="CI504" i="2"/>
  <c r="CH504" i="2"/>
  <c r="CG504" i="2"/>
  <c r="CF504" i="2"/>
  <c r="CE504" i="2"/>
  <c r="CD504" i="2"/>
  <c r="CC504" i="2"/>
  <c r="CB504" i="2"/>
  <c r="CA504" i="2"/>
  <c r="BZ504" i="2"/>
  <c r="BY504" i="2"/>
  <c r="BX504" i="2"/>
  <c r="BW504" i="2"/>
  <c r="BV504" i="2"/>
  <c r="BU504" i="2"/>
  <c r="BT504" i="2"/>
  <c r="BS504" i="2"/>
  <c r="BR504" i="2"/>
  <c r="BQ504" i="2"/>
  <c r="BP504" i="2"/>
  <c r="BO504" i="2"/>
  <c r="BN504" i="2"/>
  <c r="BM504" i="2"/>
  <c r="BL504" i="2"/>
  <c r="BK504" i="2"/>
  <c r="BJ504" i="2"/>
  <c r="BI504" i="2"/>
  <c r="BH504" i="2"/>
  <c r="BG504" i="2"/>
  <c r="BF504" i="2"/>
  <c r="CQ503" i="2"/>
  <c r="CP503" i="2"/>
  <c r="CO503" i="2"/>
  <c r="CN503" i="2"/>
  <c r="CM503" i="2"/>
  <c r="CL503" i="2"/>
  <c r="CK503" i="2"/>
  <c r="CJ503" i="2"/>
  <c r="CI503" i="2"/>
  <c r="CH503" i="2"/>
  <c r="CG503" i="2"/>
  <c r="CF503" i="2"/>
  <c r="CE503" i="2"/>
  <c r="CD503" i="2"/>
  <c r="CC503" i="2"/>
  <c r="CB503" i="2"/>
  <c r="CA503" i="2"/>
  <c r="BZ503" i="2"/>
  <c r="BY503" i="2"/>
  <c r="BX503" i="2"/>
  <c r="BW503" i="2"/>
  <c r="BV503" i="2"/>
  <c r="BU503" i="2"/>
  <c r="BT503" i="2"/>
  <c r="BS503" i="2"/>
  <c r="BR503" i="2"/>
  <c r="BQ503" i="2"/>
  <c r="BP503" i="2"/>
  <c r="BO503" i="2"/>
  <c r="BN503" i="2"/>
  <c r="BM503" i="2"/>
  <c r="BL503" i="2"/>
  <c r="BK503" i="2"/>
  <c r="BJ503" i="2"/>
  <c r="BI503" i="2"/>
  <c r="BH503" i="2"/>
  <c r="BG503" i="2"/>
  <c r="BF503" i="2"/>
  <c r="CQ502" i="2"/>
  <c r="CP502" i="2"/>
  <c r="CO502" i="2"/>
  <c r="CN502" i="2"/>
  <c r="CM502" i="2"/>
  <c r="CL502" i="2"/>
  <c r="CK502" i="2"/>
  <c r="CJ502" i="2"/>
  <c r="CI502" i="2"/>
  <c r="CH502" i="2"/>
  <c r="CG502" i="2"/>
  <c r="CF502" i="2"/>
  <c r="CE502" i="2"/>
  <c r="CD502" i="2"/>
  <c r="CC502" i="2"/>
  <c r="CB502" i="2"/>
  <c r="CA502" i="2"/>
  <c r="BZ502" i="2"/>
  <c r="BY502" i="2"/>
  <c r="BX502" i="2"/>
  <c r="BW502" i="2"/>
  <c r="BV502" i="2"/>
  <c r="BU502" i="2"/>
  <c r="BT502" i="2"/>
  <c r="BS502" i="2"/>
  <c r="BR502" i="2"/>
  <c r="BQ502" i="2"/>
  <c r="BP502" i="2"/>
  <c r="BO502" i="2"/>
  <c r="BN502" i="2"/>
  <c r="BM502" i="2"/>
  <c r="BL502" i="2"/>
  <c r="BK502" i="2"/>
  <c r="BJ502" i="2"/>
  <c r="BI502" i="2"/>
  <c r="BH502" i="2"/>
  <c r="BG502" i="2"/>
  <c r="BF502" i="2"/>
  <c r="CQ501" i="2"/>
  <c r="CP501" i="2"/>
  <c r="CO501" i="2"/>
  <c r="CN501" i="2"/>
  <c r="CM501" i="2"/>
  <c r="CL501" i="2"/>
  <c r="CK501" i="2"/>
  <c r="CJ501" i="2"/>
  <c r="CI501" i="2"/>
  <c r="CH501" i="2"/>
  <c r="CG501" i="2"/>
  <c r="CF501" i="2"/>
  <c r="CE501" i="2"/>
  <c r="CD501" i="2"/>
  <c r="CC501" i="2"/>
  <c r="CB501" i="2"/>
  <c r="CA501" i="2"/>
  <c r="BZ501" i="2"/>
  <c r="BY501" i="2"/>
  <c r="BX501" i="2"/>
  <c r="BW501" i="2"/>
  <c r="BV501" i="2"/>
  <c r="BU501" i="2"/>
  <c r="BT501" i="2"/>
  <c r="BS501" i="2"/>
  <c r="BR501" i="2"/>
  <c r="BQ501" i="2"/>
  <c r="BP501" i="2"/>
  <c r="BO501" i="2"/>
  <c r="BN501" i="2"/>
  <c r="BM501" i="2"/>
  <c r="BL501" i="2"/>
  <c r="BK501" i="2"/>
  <c r="BJ501" i="2"/>
  <c r="BI501" i="2"/>
  <c r="BH501" i="2"/>
  <c r="BG501" i="2"/>
  <c r="BF501" i="2"/>
  <c r="CQ500" i="2"/>
  <c r="CP500" i="2"/>
  <c r="CO500" i="2"/>
  <c r="CN500" i="2"/>
  <c r="CM500" i="2"/>
  <c r="CL500" i="2"/>
  <c r="CK500" i="2"/>
  <c r="CJ500" i="2"/>
  <c r="CI500" i="2"/>
  <c r="CH500" i="2"/>
  <c r="CG500" i="2"/>
  <c r="CF500" i="2"/>
  <c r="CE500" i="2"/>
  <c r="CD500" i="2"/>
  <c r="CC500" i="2"/>
  <c r="CB500" i="2"/>
  <c r="CA500" i="2"/>
  <c r="BZ500" i="2"/>
  <c r="BY500" i="2"/>
  <c r="BX500" i="2"/>
  <c r="BW500" i="2"/>
  <c r="BV500" i="2"/>
  <c r="BU500" i="2"/>
  <c r="BT500" i="2"/>
  <c r="BS500" i="2"/>
  <c r="BR500" i="2"/>
  <c r="BQ500" i="2"/>
  <c r="BP500" i="2"/>
  <c r="BO500" i="2"/>
  <c r="BN500" i="2"/>
  <c r="BM500" i="2"/>
  <c r="BL500" i="2"/>
  <c r="BK500" i="2"/>
  <c r="BJ500" i="2"/>
  <c r="BI500" i="2"/>
  <c r="BH500" i="2"/>
  <c r="BG500" i="2"/>
  <c r="BF500" i="2"/>
  <c r="CQ499" i="2"/>
  <c r="CP499" i="2"/>
  <c r="CO499" i="2"/>
  <c r="CN499" i="2"/>
  <c r="CM499" i="2"/>
  <c r="CL499" i="2"/>
  <c r="CK499" i="2"/>
  <c r="CJ499" i="2"/>
  <c r="CI499" i="2"/>
  <c r="CH499" i="2"/>
  <c r="CG499" i="2"/>
  <c r="CF499" i="2"/>
  <c r="CE499" i="2"/>
  <c r="CD499" i="2"/>
  <c r="CC499" i="2"/>
  <c r="CB499" i="2"/>
  <c r="CA499" i="2"/>
  <c r="BZ499" i="2"/>
  <c r="BY499" i="2"/>
  <c r="BX499" i="2"/>
  <c r="BW499" i="2"/>
  <c r="BV499" i="2"/>
  <c r="BU499" i="2"/>
  <c r="BT499" i="2"/>
  <c r="BS499" i="2"/>
  <c r="BR499" i="2"/>
  <c r="BQ499" i="2"/>
  <c r="BP499" i="2"/>
  <c r="BO499" i="2"/>
  <c r="BN499" i="2"/>
  <c r="BM499" i="2"/>
  <c r="BL499" i="2"/>
  <c r="BK499" i="2"/>
  <c r="BJ499" i="2"/>
  <c r="BI499" i="2"/>
  <c r="BH499" i="2"/>
  <c r="BG499" i="2"/>
  <c r="BF499" i="2"/>
  <c r="CQ498" i="2"/>
  <c r="CP498" i="2"/>
  <c r="CO498" i="2"/>
  <c r="CN498" i="2"/>
  <c r="CM498" i="2"/>
  <c r="CL498" i="2"/>
  <c r="CK498" i="2"/>
  <c r="CJ498" i="2"/>
  <c r="CI498" i="2"/>
  <c r="CH498" i="2"/>
  <c r="CG498" i="2"/>
  <c r="CF498" i="2"/>
  <c r="CE498" i="2"/>
  <c r="CD498" i="2"/>
  <c r="CC498" i="2"/>
  <c r="CB498" i="2"/>
  <c r="CA498" i="2"/>
  <c r="BZ498" i="2"/>
  <c r="BY498" i="2"/>
  <c r="BX498" i="2"/>
  <c r="BW498" i="2"/>
  <c r="BV498" i="2"/>
  <c r="BU498" i="2"/>
  <c r="BT498" i="2"/>
  <c r="BS498" i="2"/>
  <c r="BR498" i="2"/>
  <c r="BQ498" i="2"/>
  <c r="BP498" i="2"/>
  <c r="BO498" i="2"/>
  <c r="BN498" i="2"/>
  <c r="BM498" i="2"/>
  <c r="BL498" i="2"/>
  <c r="BK498" i="2"/>
  <c r="BJ498" i="2"/>
  <c r="BI498" i="2"/>
  <c r="BH498" i="2"/>
  <c r="BG498" i="2"/>
  <c r="BF498" i="2"/>
  <c r="CQ497" i="2"/>
  <c r="CP497" i="2"/>
  <c r="CO497" i="2"/>
  <c r="CN497" i="2"/>
  <c r="CM497" i="2"/>
  <c r="CL497" i="2"/>
  <c r="CK497" i="2"/>
  <c r="CJ497" i="2"/>
  <c r="CI497" i="2"/>
  <c r="CH497" i="2"/>
  <c r="CG497" i="2"/>
  <c r="CF497" i="2"/>
  <c r="CE497" i="2"/>
  <c r="CD497" i="2"/>
  <c r="CC497" i="2"/>
  <c r="CB497" i="2"/>
  <c r="CA497" i="2"/>
  <c r="BZ497" i="2"/>
  <c r="BY497" i="2"/>
  <c r="BX497" i="2"/>
  <c r="BW497" i="2"/>
  <c r="BV497" i="2"/>
  <c r="BU497" i="2"/>
  <c r="BT497" i="2"/>
  <c r="BS497" i="2"/>
  <c r="BR497" i="2"/>
  <c r="BQ497" i="2"/>
  <c r="BP497" i="2"/>
  <c r="BO497" i="2"/>
  <c r="BN497" i="2"/>
  <c r="BM497" i="2"/>
  <c r="BL497" i="2"/>
  <c r="BK497" i="2"/>
  <c r="BJ497" i="2"/>
  <c r="BI497" i="2"/>
  <c r="BH497" i="2"/>
  <c r="BG497" i="2"/>
  <c r="BF497" i="2"/>
  <c r="CQ496" i="2"/>
  <c r="CP496" i="2"/>
  <c r="CO496" i="2"/>
  <c r="CN496" i="2"/>
  <c r="CM496" i="2"/>
  <c r="CL496" i="2"/>
  <c r="CK496" i="2"/>
  <c r="CJ496" i="2"/>
  <c r="CI496" i="2"/>
  <c r="CH496" i="2"/>
  <c r="CG496" i="2"/>
  <c r="CF496" i="2"/>
  <c r="CE496" i="2"/>
  <c r="CD496" i="2"/>
  <c r="CC496" i="2"/>
  <c r="CB496" i="2"/>
  <c r="CA496" i="2"/>
  <c r="BZ496" i="2"/>
  <c r="BY496" i="2"/>
  <c r="BX496" i="2"/>
  <c r="BW496" i="2"/>
  <c r="BV496" i="2"/>
  <c r="BU496" i="2"/>
  <c r="BT496" i="2"/>
  <c r="BS496" i="2"/>
  <c r="BR496" i="2"/>
  <c r="BQ496" i="2"/>
  <c r="BP496" i="2"/>
  <c r="BO496" i="2"/>
  <c r="BN496" i="2"/>
  <c r="BM496" i="2"/>
  <c r="BL496" i="2"/>
  <c r="BK496" i="2"/>
  <c r="BJ496" i="2"/>
  <c r="BI496" i="2"/>
  <c r="BH496" i="2"/>
  <c r="BG496" i="2"/>
  <c r="BF496" i="2"/>
  <c r="CQ495" i="2"/>
  <c r="CP495" i="2"/>
  <c r="CO495" i="2"/>
  <c r="CN495" i="2"/>
  <c r="CM495" i="2"/>
  <c r="CL495" i="2"/>
  <c r="CK495" i="2"/>
  <c r="CJ495" i="2"/>
  <c r="CI495" i="2"/>
  <c r="CH495" i="2"/>
  <c r="CG495" i="2"/>
  <c r="CF495" i="2"/>
  <c r="CE495" i="2"/>
  <c r="CD495" i="2"/>
  <c r="CC495" i="2"/>
  <c r="CB495" i="2"/>
  <c r="CA495" i="2"/>
  <c r="BZ495" i="2"/>
  <c r="BY495" i="2"/>
  <c r="BX495" i="2"/>
  <c r="BW495" i="2"/>
  <c r="BV495" i="2"/>
  <c r="BU495" i="2"/>
  <c r="BT495" i="2"/>
  <c r="BS495" i="2"/>
  <c r="BR495" i="2"/>
  <c r="BQ495" i="2"/>
  <c r="BP495" i="2"/>
  <c r="BO495" i="2"/>
  <c r="BN495" i="2"/>
  <c r="BM495" i="2"/>
  <c r="BL495" i="2"/>
  <c r="BK495" i="2"/>
  <c r="BJ495" i="2"/>
  <c r="BI495" i="2"/>
  <c r="BH495" i="2"/>
  <c r="BG495" i="2"/>
  <c r="BF495" i="2"/>
  <c r="CQ494" i="2"/>
  <c r="CP494" i="2"/>
  <c r="CO494" i="2"/>
  <c r="CN494" i="2"/>
  <c r="CM494" i="2"/>
  <c r="CL494" i="2"/>
  <c r="CK494" i="2"/>
  <c r="CJ494" i="2"/>
  <c r="CI494" i="2"/>
  <c r="CH494" i="2"/>
  <c r="CG494" i="2"/>
  <c r="CF494" i="2"/>
  <c r="CE494" i="2"/>
  <c r="CD494" i="2"/>
  <c r="CC494" i="2"/>
  <c r="CB494" i="2"/>
  <c r="CA494" i="2"/>
  <c r="BZ494" i="2"/>
  <c r="BY494" i="2"/>
  <c r="BX494" i="2"/>
  <c r="BW494" i="2"/>
  <c r="BV494" i="2"/>
  <c r="BU494" i="2"/>
  <c r="BT494" i="2"/>
  <c r="BS494" i="2"/>
  <c r="BR494" i="2"/>
  <c r="BQ494" i="2"/>
  <c r="BP494" i="2"/>
  <c r="BO494" i="2"/>
  <c r="BN494" i="2"/>
  <c r="BM494" i="2"/>
  <c r="BL494" i="2"/>
  <c r="BK494" i="2"/>
  <c r="BJ494" i="2"/>
  <c r="BI494" i="2"/>
  <c r="BH494" i="2"/>
  <c r="BG494" i="2"/>
  <c r="BF494" i="2"/>
  <c r="CQ493" i="2"/>
  <c r="CP493" i="2"/>
  <c r="CO493" i="2"/>
  <c r="CN493" i="2"/>
  <c r="CM493" i="2"/>
  <c r="CL493" i="2"/>
  <c r="CK493" i="2"/>
  <c r="CJ493" i="2"/>
  <c r="CI493" i="2"/>
  <c r="CH493" i="2"/>
  <c r="CG493" i="2"/>
  <c r="CF493" i="2"/>
  <c r="CE493" i="2"/>
  <c r="CD493" i="2"/>
  <c r="CC493" i="2"/>
  <c r="CB493" i="2"/>
  <c r="CA493" i="2"/>
  <c r="BZ493" i="2"/>
  <c r="BY493" i="2"/>
  <c r="BX493" i="2"/>
  <c r="BW493" i="2"/>
  <c r="BV493" i="2"/>
  <c r="BU493" i="2"/>
  <c r="BT493" i="2"/>
  <c r="BS493" i="2"/>
  <c r="BR493" i="2"/>
  <c r="BQ493" i="2"/>
  <c r="BP493" i="2"/>
  <c r="BO493" i="2"/>
  <c r="BN493" i="2"/>
  <c r="BM493" i="2"/>
  <c r="BL493" i="2"/>
  <c r="BK493" i="2"/>
  <c r="BJ493" i="2"/>
  <c r="BI493" i="2"/>
  <c r="BH493" i="2"/>
  <c r="BG493" i="2"/>
  <c r="BF493" i="2"/>
  <c r="CQ492" i="2"/>
  <c r="CP492" i="2"/>
  <c r="CO492" i="2"/>
  <c r="CN492" i="2"/>
  <c r="CM492" i="2"/>
  <c r="CL492" i="2"/>
  <c r="CK492" i="2"/>
  <c r="CJ492" i="2"/>
  <c r="CI492" i="2"/>
  <c r="CH492" i="2"/>
  <c r="CG492" i="2"/>
  <c r="CF492" i="2"/>
  <c r="CE492" i="2"/>
  <c r="CD492" i="2"/>
  <c r="CC492" i="2"/>
  <c r="CB492" i="2"/>
  <c r="CA492" i="2"/>
  <c r="BZ492" i="2"/>
  <c r="BY492" i="2"/>
  <c r="BX492" i="2"/>
  <c r="BW492" i="2"/>
  <c r="BV492" i="2"/>
  <c r="BU492" i="2"/>
  <c r="BT492" i="2"/>
  <c r="BS492" i="2"/>
  <c r="BR492" i="2"/>
  <c r="BQ492" i="2"/>
  <c r="BP492" i="2"/>
  <c r="BO492" i="2"/>
  <c r="BN492" i="2"/>
  <c r="BM492" i="2"/>
  <c r="BL492" i="2"/>
  <c r="BK492" i="2"/>
  <c r="BJ492" i="2"/>
  <c r="BI492" i="2"/>
  <c r="BH492" i="2"/>
  <c r="BG492" i="2"/>
  <c r="BF492" i="2"/>
  <c r="CQ491" i="2"/>
  <c r="CP491" i="2"/>
  <c r="CO491" i="2"/>
  <c r="CN491" i="2"/>
  <c r="CM491" i="2"/>
  <c r="CL491" i="2"/>
  <c r="CK491" i="2"/>
  <c r="CJ491" i="2"/>
  <c r="CI491" i="2"/>
  <c r="CH491" i="2"/>
  <c r="CG491" i="2"/>
  <c r="CF491" i="2"/>
  <c r="CE491" i="2"/>
  <c r="CD491" i="2"/>
  <c r="CC491" i="2"/>
  <c r="CB491" i="2"/>
  <c r="CA491" i="2"/>
  <c r="BZ491" i="2"/>
  <c r="BY491" i="2"/>
  <c r="BX491" i="2"/>
  <c r="BW491" i="2"/>
  <c r="BV491" i="2"/>
  <c r="BU491" i="2"/>
  <c r="BT491" i="2"/>
  <c r="BS491" i="2"/>
  <c r="BR491" i="2"/>
  <c r="BQ491" i="2"/>
  <c r="BP491" i="2"/>
  <c r="BO491" i="2"/>
  <c r="BN491" i="2"/>
  <c r="BM491" i="2"/>
  <c r="BL491" i="2"/>
  <c r="BK491" i="2"/>
  <c r="BJ491" i="2"/>
  <c r="BI491" i="2"/>
  <c r="BH491" i="2"/>
  <c r="BG491" i="2"/>
  <c r="BF491" i="2"/>
  <c r="CQ490" i="2"/>
  <c r="CP490" i="2"/>
  <c r="CO490" i="2"/>
  <c r="CN490" i="2"/>
  <c r="CM490" i="2"/>
  <c r="CL490" i="2"/>
  <c r="CK490" i="2"/>
  <c r="CJ490" i="2"/>
  <c r="CI490" i="2"/>
  <c r="CH490" i="2"/>
  <c r="CG490" i="2"/>
  <c r="CF490" i="2"/>
  <c r="CE490" i="2"/>
  <c r="CD490" i="2"/>
  <c r="CC490" i="2"/>
  <c r="CB490" i="2"/>
  <c r="CA490" i="2"/>
  <c r="BZ490" i="2"/>
  <c r="BY490" i="2"/>
  <c r="BX490" i="2"/>
  <c r="BW490" i="2"/>
  <c r="BV490" i="2"/>
  <c r="BU490" i="2"/>
  <c r="BT490" i="2"/>
  <c r="BS490" i="2"/>
  <c r="BR490" i="2"/>
  <c r="BQ490" i="2"/>
  <c r="BP490" i="2"/>
  <c r="BO490" i="2"/>
  <c r="BN490" i="2"/>
  <c r="BM490" i="2"/>
  <c r="BL490" i="2"/>
  <c r="BK490" i="2"/>
  <c r="BJ490" i="2"/>
  <c r="BI490" i="2"/>
  <c r="BH490" i="2"/>
  <c r="BG490" i="2"/>
  <c r="BF490" i="2"/>
  <c r="CQ489" i="2"/>
  <c r="CP489" i="2"/>
  <c r="CO489" i="2"/>
  <c r="CN489" i="2"/>
  <c r="CM489" i="2"/>
  <c r="CL489" i="2"/>
  <c r="CK489" i="2"/>
  <c r="CJ489" i="2"/>
  <c r="CI489" i="2"/>
  <c r="CH489" i="2"/>
  <c r="CG489" i="2"/>
  <c r="CF489" i="2"/>
  <c r="CE489" i="2"/>
  <c r="CD489" i="2"/>
  <c r="CC489" i="2"/>
  <c r="CB489" i="2"/>
  <c r="CA489" i="2"/>
  <c r="BZ489" i="2"/>
  <c r="BY489" i="2"/>
  <c r="BX489" i="2"/>
  <c r="BW489" i="2"/>
  <c r="BV489" i="2"/>
  <c r="BU489" i="2"/>
  <c r="BT489" i="2"/>
  <c r="BS489" i="2"/>
  <c r="BR489" i="2"/>
  <c r="BQ489" i="2"/>
  <c r="BP489" i="2"/>
  <c r="BO489" i="2"/>
  <c r="BN489" i="2"/>
  <c r="BM489" i="2"/>
  <c r="BL489" i="2"/>
  <c r="BK489" i="2"/>
  <c r="BJ489" i="2"/>
  <c r="BI489" i="2"/>
  <c r="BH489" i="2"/>
  <c r="BG489" i="2"/>
  <c r="BF489" i="2"/>
  <c r="CQ488" i="2"/>
  <c r="CP488" i="2"/>
  <c r="CO488" i="2"/>
  <c r="CN488" i="2"/>
  <c r="CM488" i="2"/>
  <c r="CL488" i="2"/>
  <c r="CK488" i="2"/>
  <c r="CJ488" i="2"/>
  <c r="CI488" i="2"/>
  <c r="CH488" i="2"/>
  <c r="CG488" i="2"/>
  <c r="CF488" i="2"/>
  <c r="CE488" i="2"/>
  <c r="CD488" i="2"/>
  <c r="CC488" i="2"/>
  <c r="CB488" i="2"/>
  <c r="CA488" i="2"/>
  <c r="BZ488" i="2"/>
  <c r="BY488" i="2"/>
  <c r="BX488" i="2"/>
  <c r="BW488" i="2"/>
  <c r="BV488" i="2"/>
  <c r="BU488" i="2"/>
  <c r="BT488" i="2"/>
  <c r="BS488" i="2"/>
  <c r="BR488" i="2"/>
  <c r="BQ488" i="2"/>
  <c r="BP488" i="2"/>
  <c r="BO488" i="2"/>
  <c r="BN488" i="2"/>
  <c r="BM488" i="2"/>
  <c r="BL488" i="2"/>
  <c r="BK488" i="2"/>
  <c r="BJ488" i="2"/>
  <c r="BI488" i="2"/>
  <c r="BH488" i="2"/>
  <c r="BG488" i="2"/>
  <c r="BF488" i="2"/>
  <c r="CQ487" i="2"/>
  <c r="CP487" i="2"/>
  <c r="CO487" i="2"/>
  <c r="CN487" i="2"/>
  <c r="CM487" i="2"/>
  <c r="CL487" i="2"/>
  <c r="CK487" i="2"/>
  <c r="CJ487" i="2"/>
  <c r="CI487" i="2"/>
  <c r="CH487" i="2"/>
  <c r="CG487" i="2"/>
  <c r="CF487" i="2"/>
  <c r="CE487" i="2"/>
  <c r="CD487" i="2"/>
  <c r="CC487" i="2"/>
  <c r="CB487" i="2"/>
  <c r="CA487" i="2"/>
  <c r="BZ487" i="2"/>
  <c r="BY487" i="2"/>
  <c r="BX487" i="2"/>
  <c r="BW487" i="2"/>
  <c r="BV487" i="2"/>
  <c r="BU487" i="2"/>
  <c r="BT487" i="2"/>
  <c r="BS487" i="2"/>
  <c r="BR487" i="2"/>
  <c r="BQ487" i="2"/>
  <c r="BP487" i="2"/>
  <c r="BO487" i="2"/>
  <c r="BN487" i="2"/>
  <c r="BM487" i="2"/>
  <c r="BL487" i="2"/>
  <c r="BK487" i="2"/>
  <c r="BJ487" i="2"/>
  <c r="BI487" i="2"/>
  <c r="BH487" i="2"/>
  <c r="BG487" i="2"/>
  <c r="BF487" i="2"/>
  <c r="CQ486" i="2"/>
  <c r="CP486" i="2"/>
  <c r="CO486" i="2"/>
  <c r="CN486" i="2"/>
  <c r="CM486" i="2"/>
  <c r="CL486" i="2"/>
  <c r="CK486" i="2"/>
  <c r="CJ486" i="2"/>
  <c r="CI486" i="2"/>
  <c r="CH486" i="2"/>
  <c r="CG486" i="2"/>
  <c r="CF486" i="2"/>
  <c r="CE486" i="2"/>
  <c r="CD486" i="2"/>
  <c r="CC486" i="2"/>
  <c r="CB486" i="2"/>
  <c r="CA486" i="2"/>
  <c r="BZ486" i="2"/>
  <c r="BY486" i="2"/>
  <c r="BX486" i="2"/>
  <c r="BW486" i="2"/>
  <c r="BV486" i="2"/>
  <c r="BU486" i="2"/>
  <c r="BT486" i="2"/>
  <c r="BS486" i="2"/>
  <c r="BR486" i="2"/>
  <c r="BQ486" i="2"/>
  <c r="BP486" i="2"/>
  <c r="BO486" i="2"/>
  <c r="BN486" i="2"/>
  <c r="BM486" i="2"/>
  <c r="BL486" i="2"/>
  <c r="BK486" i="2"/>
  <c r="BJ486" i="2"/>
  <c r="BI486" i="2"/>
  <c r="BH486" i="2"/>
  <c r="BG486" i="2"/>
  <c r="BF486" i="2"/>
  <c r="CQ485" i="2"/>
  <c r="CP485" i="2"/>
  <c r="CO485" i="2"/>
  <c r="CN485" i="2"/>
  <c r="CM485" i="2"/>
  <c r="CL485" i="2"/>
  <c r="CK485" i="2"/>
  <c r="CJ485" i="2"/>
  <c r="CI485" i="2"/>
  <c r="CH485" i="2"/>
  <c r="CG485" i="2"/>
  <c r="CF485" i="2"/>
  <c r="CE485" i="2"/>
  <c r="CD485" i="2"/>
  <c r="CC485" i="2"/>
  <c r="CB485" i="2"/>
  <c r="CA485" i="2"/>
  <c r="BZ485" i="2"/>
  <c r="BY485" i="2"/>
  <c r="BX485" i="2"/>
  <c r="BW485" i="2"/>
  <c r="BV485" i="2"/>
  <c r="BU485" i="2"/>
  <c r="BT485" i="2"/>
  <c r="BS485" i="2"/>
  <c r="BR485" i="2"/>
  <c r="BQ485" i="2"/>
  <c r="BP485" i="2"/>
  <c r="BO485" i="2"/>
  <c r="BN485" i="2"/>
  <c r="BM485" i="2"/>
  <c r="BL485" i="2"/>
  <c r="BK485" i="2"/>
  <c r="BJ485" i="2"/>
  <c r="BI485" i="2"/>
  <c r="BH485" i="2"/>
  <c r="BG485" i="2"/>
  <c r="BF485" i="2"/>
  <c r="CQ484" i="2"/>
  <c r="CP484" i="2"/>
  <c r="CO484" i="2"/>
  <c r="CN484" i="2"/>
  <c r="CM484" i="2"/>
  <c r="CL484" i="2"/>
  <c r="CK484" i="2"/>
  <c r="CJ484" i="2"/>
  <c r="CI484" i="2"/>
  <c r="CH484" i="2"/>
  <c r="CG484" i="2"/>
  <c r="CF484" i="2"/>
  <c r="CE484" i="2"/>
  <c r="CD484" i="2"/>
  <c r="CC484" i="2"/>
  <c r="CB484" i="2"/>
  <c r="CA484" i="2"/>
  <c r="BZ484" i="2"/>
  <c r="BY484" i="2"/>
  <c r="BX484" i="2"/>
  <c r="BW484" i="2"/>
  <c r="BV484" i="2"/>
  <c r="BU484" i="2"/>
  <c r="BT484" i="2"/>
  <c r="BS484" i="2"/>
  <c r="BR484" i="2"/>
  <c r="BQ484" i="2"/>
  <c r="BP484" i="2"/>
  <c r="BO484" i="2"/>
  <c r="BN484" i="2"/>
  <c r="BM484" i="2"/>
  <c r="BL484" i="2"/>
  <c r="BK484" i="2"/>
  <c r="BJ484" i="2"/>
  <c r="BI484" i="2"/>
  <c r="BH484" i="2"/>
  <c r="BG484" i="2"/>
  <c r="BF484" i="2"/>
  <c r="CQ483" i="2"/>
  <c r="CP483" i="2"/>
  <c r="CO483" i="2"/>
  <c r="CN483" i="2"/>
  <c r="CM483" i="2"/>
  <c r="CL483" i="2"/>
  <c r="CK483" i="2"/>
  <c r="CJ483" i="2"/>
  <c r="CI483" i="2"/>
  <c r="CH483" i="2"/>
  <c r="CG483" i="2"/>
  <c r="CF483" i="2"/>
  <c r="CE483" i="2"/>
  <c r="CD483" i="2"/>
  <c r="CC483" i="2"/>
  <c r="CB483" i="2"/>
  <c r="CA483" i="2"/>
  <c r="BZ483" i="2"/>
  <c r="BY483" i="2"/>
  <c r="BX483" i="2"/>
  <c r="BW483" i="2"/>
  <c r="BV483" i="2"/>
  <c r="BU483" i="2"/>
  <c r="BT483" i="2"/>
  <c r="BS483" i="2"/>
  <c r="BR483" i="2"/>
  <c r="BQ483" i="2"/>
  <c r="BP483" i="2"/>
  <c r="BO483" i="2"/>
  <c r="BN483" i="2"/>
  <c r="BM483" i="2"/>
  <c r="BL483" i="2"/>
  <c r="BK483" i="2"/>
  <c r="BJ483" i="2"/>
  <c r="BI483" i="2"/>
  <c r="BH483" i="2"/>
  <c r="BG483" i="2"/>
  <c r="BF483" i="2"/>
  <c r="CQ482" i="2"/>
  <c r="CP482" i="2"/>
  <c r="CO482" i="2"/>
  <c r="CN482" i="2"/>
  <c r="CM482" i="2"/>
  <c r="CL482" i="2"/>
  <c r="CK482" i="2"/>
  <c r="CJ482" i="2"/>
  <c r="CI482" i="2"/>
  <c r="CH482" i="2"/>
  <c r="CG482" i="2"/>
  <c r="CF482" i="2"/>
  <c r="CE482" i="2"/>
  <c r="CD482" i="2"/>
  <c r="CC482" i="2"/>
  <c r="CB482" i="2"/>
  <c r="CA482" i="2"/>
  <c r="BZ482" i="2"/>
  <c r="BY482" i="2"/>
  <c r="BX482" i="2"/>
  <c r="BW482" i="2"/>
  <c r="BV482" i="2"/>
  <c r="BU482" i="2"/>
  <c r="BT482" i="2"/>
  <c r="BS482" i="2"/>
  <c r="BR482" i="2"/>
  <c r="BQ482" i="2"/>
  <c r="BP482" i="2"/>
  <c r="BO482" i="2"/>
  <c r="BN482" i="2"/>
  <c r="BM482" i="2"/>
  <c r="BL482" i="2"/>
  <c r="BK482" i="2"/>
  <c r="BJ482" i="2"/>
  <c r="BI482" i="2"/>
  <c r="BH482" i="2"/>
  <c r="BG482" i="2"/>
  <c r="BF482" i="2"/>
  <c r="CQ481" i="2"/>
  <c r="CP481" i="2"/>
  <c r="CO481" i="2"/>
  <c r="CN481" i="2"/>
  <c r="CM481" i="2"/>
  <c r="CL481" i="2"/>
  <c r="CK481" i="2"/>
  <c r="CJ481" i="2"/>
  <c r="CI481" i="2"/>
  <c r="CH481" i="2"/>
  <c r="CG481" i="2"/>
  <c r="CF481" i="2"/>
  <c r="CE481" i="2"/>
  <c r="CD481" i="2"/>
  <c r="CC481" i="2"/>
  <c r="CB481" i="2"/>
  <c r="CA481" i="2"/>
  <c r="BZ481" i="2"/>
  <c r="BY481" i="2"/>
  <c r="BX481" i="2"/>
  <c r="BW481" i="2"/>
  <c r="BV481" i="2"/>
  <c r="BU481" i="2"/>
  <c r="BT481" i="2"/>
  <c r="BS481" i="2"/>
  <c r="BR481" i="2"/>
  <c r="BQ481" i="2"/>
  <c r="BP481" i="2"/>
  <c r="BO481" i="2"/>
  <c r="BN481" i="2"/>
  <c r="BM481" i="2"/>
  <c r="BL481" i="2"/>
  <c r="BK481" i="2"/>
  <c r="BJ481" i="2"/>
  <c r="BI481" i="2"/>
  <c r="BH481" i="2"/>
  <c r="BG481" i="2"/>
  <c r="BF481" i="2"/>
  <c r="CQ480" i="2"/>
  <c r="CP480" i="2"/>
  <c r="CO480" i="2"/>
  <c r="CN480" i="2"/>
  <c r="CM480" i="2"/>
  <c r="CL480" i="2"/>
  <c r="CK480" i="2"/>
  <c r="CJ480" i="2"/>
  <c r="CI480" i="2"/>
  <c r="CH480" i="2"/>
  <c r="CG480" i="2"/>
  <c r="CF480" i="2"/>
  <c r="CE480" i="2"/>
  <c r="CD480" i="2"/>
  <c r="CC480" i="2"/>
  <c r="CB480" i="2"/>
  <c r="CA480" i="2"/>
  <c r="BZ480" i="2"/>
  <c r="BY480" i="2"/>
  <c r="BX480" i="2"/>
  <c r="BW480" i="2"/>
  <c r="BV480" i="2"/>
  <c r="BU480" i="2"/>
  <c r="BT480" i="2"/>
  <c r="BS480" i="2"/>
  <c r="BR480" i="2"/>
  <c r="BQ480" i="2"/>
  <c r="BP480" i="2"/>
  <c r="BO480" i="2"/>
  <c r="BN480" i="2"/>
  <c r="BM480" i="2"/>
  <c r="BL480" i="2"/>
  <c r="BK480" i="2"/>
  <c r="BJ480" i="2"/>
  <c r="BI480" i="2"/>
  <c r="BH480" i="2"/>
  <c r="BG480" i="2"/>
  <c r="BF480" i="2"/>
  <c r="CQ479" i="2"/>
  <c r="CP479" i="2"/>
  <c r="CO479" i="2"/>
  <c r="CN479" i="2"/>
  <c r="CM479" i="2"/>
  <c r="CL479" i="2"/>
  <c r="CK479" i="2"/>
  <c r="CJ479" i="2"/>
  <c r="CI479" i="2"/>
  <c r="CH479" i="2"/>
  <c r="CG479" i="2"/>
  <c r="CF479" i="2"/>
  <c r="CE479" i="2"/>
  <c r="CD479" i="2"/>
  <c r="CC479" i="2"/>
  <c r="CB479" i="2"/>
  <c r="CA479" i="2"/>
  <c r="BZ479" i="2"/>
  <c r="BY479" i="2"/>
  <c r="BX479" i="2"/>
  <c r="BW479" i="2"/>
  <c r="BV479" i="2"/>
  <c r="BU479" i="2"/>
  <c r="BT479" i="2"/>
  <c r="BS479" i="2"/>
  <c r="BR479" i="2"/>
  <c r="BQ479" i="2"/>
  <c r="BP479" i="2"/>
  <c r="BO479" i="2"/>
  <c r="BN479" i="2"/>
  <c r="BM479" i="2"/>
  <c r="BL479" i="2"/>
  <c r="BK479" i="2"/>
  <c r="BJ479" i="2"/>
  <c r="BI479" i="2"/>
  <c r="BH479" i="2"/>
  <c r="BG479" i="2"/>
  <c r="BF479" i="2"/>
  <c r="CQ478" i="2"/>
  <c r="CP478" i="2"/>
  <c r="CO478" i="2"/>
  <c r="CN478" i="2"/>
  <c r="CM478" i="2"/>
  <c r="CL478" i="2"/>
  <c r="CK478" i="2"/>
  <c r="CJ478" i="2"/>
  <c r="CI478" i="2"/>
  <c r="CH478" i="2"/>
  <c r="CG478" i="2"/>
  <c r="CF478" i="2"/>
  <c r="CE478" i="2"/>
  <c r="CD478" i="2"/>
  <c r="CC478" i="2"/>
  <c r="CB478" i="2"/>
  <c r="CA478" i="2"/>
  <c r="BZ478" i="2"/>
  <c r="BY478" i="2"/>
  <c r="BX478" i="2"/>
  <c r="BW478" i="2"/>
  <c r="BV478" i="2"/>
  <c r="BU478" i="2"/>
  <c r="BT478" i="2"/>
  <c r="BS478" i="2"/>
  <c r="BR478" i="2"/>
  <c r="BQ478" i="2"/>
  <c r="BP478" i="2"/>
  <c r="BO478" i="2"/>
  <c r="BN478" i="2"/>
  <c r="BM478" i="2"/>
  <c r="BL478" i="2"/>
  <c r="BK478" i="2"/>
  <c r="BJ478" i="2"/>
  <c r="BI478" i="2"/>
  <c r="BH478" i="2"/>
  <c r="BG478" i="2"/>
  <c r="BF478" i="2"/>
  <c r="CQ477" i="2"/>
  <c r="CP477" i="2"/>
  <c r="CO477" i="2"/>
  <c r="CN477" i="2"/>
  <c r="CM477" i="2"/>
  <c r="CL477" i="2"/>
  <c r="CK477" i="2"/>
  <c r="CJ477" i="2"/>
  <c r="CI477" i="2"/>
  <c r="CH477" i="2"/>
  <c r="CG477" i="2"/>
  <c r="CF477" i="2"/>
  <c r="CE477" i="2"/>
  <c r="CD477" i="2"/>
  <c r="CC477" i="2"/>
  <c r="CB477" i="2"/>
  <c r="CA477" i="2"/>
  <c r="BZ477" i="2"/>
  <c r="BY477" i="2"/>
  <c r="BX477" i="2"/>
  <c r="BW477" i="2"/>
  <c r="BV477" i="2"/>
  <c r="BU477" i="2"/>
  <c r="BT477" i="2"/>
  <c r="BS477" i="2"/>
  <c r="BR477" i="2"/>
  <c r="BQ477" i="2"/>
  <c r="BP477" i="2"/>
  <c r="BO477" i="2"/>
  <c r="BN477" i="2"/>
  <c r="BM477" i="2"/>
  <c r="BL477" i="2"/>
  <c r="BK477" i="2"/>
  <c r="BJ477" i="2"/>
  <c r="BI477" i="2"/>
  <c r="BH477" i="2"/>
  <c r="BG477" i="2"/>
  <c r="BF477" i="2"/>
  <c r="CQ476" i="2"/>
  <c r="CP476" i="2"/>
  <c r="CO476" i="2"/>
  <c r="CN476" i="2"/>
  <c r="CM476" i="2"/>
  <c r="CL476" i="2"/>
  <c r="CK476" i="2"/>
  <c r="CJ476" i="2"/>
  <c r="CI476" i="2"/>
  <c r="CH476" i="2"/>
  <c r="CG476" i="2"/>
  <c r="CF476" i="2"/>
  <c r="CE476" i="2"/>
  <c r="CD476" i="2"/>
  <c r="CC476" i="2"/>
  <c r="CB476" i="2"/>
  <c r="CA476" i="2"/>
  <c r="BZ476" i="2"/>
  <c r="BY476" i="2"/>
  <c r="BX476" i="2"/>
  <c r="BW476" i="2"/>
  <c r="BV476" i="2"/>
  <c r="BU476" i="2"/>
  <c r="BT476" i="2"/>
  <c r="BS476" i="2"/>
  <c r="BR476" i="2"/>
  <c r="BQ476" i="2"/>
  <c r="BP476" i="2"/>
  <c r="BO476" i="2"/>
  <c r="BN476" i="2"/>
  <c r="BM476" i="2"/>
  <c r="BL476" i="2"/>
  <c r="BK476" i="2"/>
  <c r="BJ476" i="2"/>
  <c r="BI476" i="2"/>
  <c r="BH476" i="2"/>
  <c r="BG476" i="2"/>
  <c r="BF476" i="2"/>
  <c r="CQ475" i="2"/>
  <c r="CP475" i="2"/>
  <c r="CO475" i="2"/>
  <c r="CN475" i="2"/>
  <c r="CM475" i="2"/>
  <c r="CL475" i="2"/>
  <c r="CK475" i="2"/>
  <c r="CJ475" i="2"/>
  <c r="CI475" i="2"/>
  <c r="CH475" i="2"/>
  <c r="CG475" i="2"/>
  <c r="CF475" i="2"/>
  <c r="CE475" i="2"/>
  <c r="CD475" i="2"/>
  <c r="CC475" i="2"/>
  <c r="CB475" i="2"/>
  <c r="CA475" i="2"/>
  <c r="BZ475" i="2"/>
  <c r="BY475" i="2"/>
  <c r="BX475" i="2"/>
  <c r="BW475" i="2"/>
  <c r="BV475" i="2"/>
  <c r="BU475" i="2"/>
  <c r="BT475" i="2"/>
  <c r="BS475" i="2"/>
  <c r="BR475" i="2"/>
  <c r="BQ475" i="2"/>
  <c r="BP475" i="2"/>
  <c r="BO475" i="2"/>
  <c r="BN475" i="2"/>
  <c r="BM475" i="2"/>
  <c r="BL475" i="2"/>
  <c r="BK475" i="2"/>
  <c r="BJ475" i="2"/>
  <c r="BI475" i="2"/>
  <c r="BH475" i="2"/>
  <c r="BG475" i="2"/>
  <c r="BF475" i="2"/>
  <c r="CQ474" i="2"/>
  <c r="CP474" i="2"/>
  <c r="CO474" i="2"/>
  <c r="CN474" i="2"/>
  <c r="CM474" i="2"/>
  <c r="CL474" i="2"/>
  <c r="CK474" i="2"/>
  <c r="CJ474" i="2"/>
  <c r="CI474" i="2"/>
  <c r="CH474" i="2"/>
  <c r="CG474" i="2"/>
  <c r="CF474" i="2"/>
  <c r="CE474" i="2"/>
  <c r="CD474" i="2"/>
  <c r="CC474" i="2"/>
  <c r="CB474" i="2"/>
  <c r="CA474" i="2"/>
  <c r="BZ474" i="2"/>
  <c r="BY474" i="2"/>
  <c r="BX474" i="2"/>
  <c r="BW474" i="2"/>
  <c r="BV474" i="2"/>
  <c r="BU474" i="2"/>
  <c r="BT474" i="2"/>
  <c r="BS474" i="2"/>
  <c r="BR474" i="2"/>
  <c r="BQ474" i="2"/>
  <c r="BP474" i="2"/>
  <c r="BO474" i="2"/>
  <c r="BN474" i="2"/>
  <c r="BM474" i="2"/>
  <c r="BL474" i="2"/>
  <c r="BK474" i="2"/>
  <c r="BJ474" i="2"/>
  <c r="BI474" i="2"/>
  <c r="BH474" i="2"/>
  <c r="BG474" i="2"/>
  <c r="BF474" i="2"/>
  <c r="CQ473" i="2"/>
  <c r="CP473" i="2"/>
  <c r="CO473" i="2"/>
  <c r="CN473" i="2"/>
  <c r="CM473" i="2"/>
  <c r="CL473" i="2"/>
  <c r="CK473" i="2"/>
  <c r="CJ473" i="2"/>
  <c r="CI473" i="2"/>
  <c r="CH473" i="2"/>
  <c r="CG473" i="2"/>
  <c r="CF473" i="2"/>
  <c r="CE473" i="2"/>
  <c r="CD473" i="2"/>
  <c r="CC473" i="2"/>
  <c r="CB473" i="2"/>
  <c r="CA473" i="2"/>
  <c r="BZ473" i="2"/>
  <c r="BY473" i="2"/>
  <c r="BX473" i="2"/>
  <c r="BW473" i="2"/>
  <c r="BV473" i="2"/>
  <c r="BU473" i="2"/>
  <c r="BT473" i="2"/>
  <c r="BS473" i="2"/>
  <c r="BR473" i="2"/>
  <c r="BQ473" i="2"/>
  <c r="BP473" i="2"/>
  <c r="BO473" i="2"/>
  <c r="BN473" i="2"/>
  <c r="BM473" i="2"/>
  <c r="BL473" i="2"/>
  <c r="BK473" i="2"/>
  <c r="BJ473" i="2"/>
  <c r="BI473" i="2"/>
  <c r="BH473" i="2"/>
  <c r="BG473" i="2"/>
  <c r="BF473" i="2"/>
  <c r="CQ472" i="2"/>
  <c r="CP472" i="2"/>
  <c r="CO472" i="2"/>
  <c r="CN472" i="2"/>
  <c r="CM472" i="2"/>
  <c r="CL472" i="2"/>
  <c r="CK472" i="2"/>
  <c r="CJ472" i="2"/>
  <c r="CI472" i="2"/>
  <c r="CH472" i="2"/>
  <c r="CG472" i="2"/>
  <c r="CF472" i="2"/>
  <c r="CE472" i="2"/>
  <c r="CD472" i="2"/>
  <c r="CC472" i="2"/>
  <c r="CB472" i="2"/>
  <c r="CA472" i="2"/>
  <c r="BZ472" i="2"/>
  <c r="BY472" i="2"/>
  <c r="BX472" i="2"/>
  <c r="BW472" i="2"/>
  <c r="BV472" i="2"/>
  <c r="BU472" i="2"/>
  <c r="BT472" i="2"/>
  <c r="BS472" i="2"/>
  <c r="BR472" i="2"/>
  <c r="BQ472" i="2"/>
  <c r="BP472" i="2"/>
  <c r="BO472" i="2"/>
  <c r="BN472" i="2"/>
  <c r="BM472" i="2"/>
  <c r="BL472" i="2"/>
  <c r="BK472" i="2"/>
  <c r="BJ472" i="2"/>
  <c r="BI472" i="2"/>
  <c r="BH472" i="2"/>
  <c r="BG472" i="2"/>
  <c r="BF472" i="2"/>
  <c r="CQ471" i="2"/>
  <c r="CP471" i="2"/>
  <c r="CO471" i="2"/>
  <c r="CN471" i="2"/>
  <c r="CM471" i="2"/>
  <c r="CL471" i="2"/>
  <c r="CK471" i="2"/>
  <c r="CJ471" i="2"/>
  <c r="CI471" i="2"/>
  <c r="CH471" i="2"/>
  <c r="CG471" i="2"/>
  <c r="CF471" i="2"/>
  <c r="CE471" i="2"/>
  <c r="CD471" i="2"/>
  <c r="CC471" i="2"/>
  <c r="CB471" i="2"/>
  <c r="CA471" i="2"/>
  <c r="BZ471" i="2"/>
  <c r="BY471" i="2"/>
  <c r="BX471" i="2"/>
  <c r="BW471" i="2"/>
  <c r="BV471" i="2"/>
  <c r="BU471" i="2"/>
  <c r="BT471" i="2"/>
  <c r="BS471" i="2"/>
  <c r="BR471" i="2"/>
  <c r="BQ471" i="2"/>
  <c r="BP471" i="2"/>
  <c r="BO471" i="2"/>
  <c r="BN471" i="2"/>
  <c r="BM471" i="2"/>
  <c r="BL471" i="2"/>
  <c r="BK471" i="2"/>
  <c r="BJ471" i="2"/>
  <c r="BI471" i="2"/>
  <c r="BH471" i="2"/>
  <c r="BG471" i="2"/>
  <c r="BF471" i="2"/>
  <c r="CQ470" i="2"/>
  <c r="CP470" i="2"/>
  <c r="CO470" i="2"/>
  <c r="CN470" i="2"/>
  <c r="CM470" i="2"/>
  <c r="CL470" i="2"/>
  <c r="CK470" i="2"/>
  <c r="CJ470" i="2"/>
  <c r="CI470" i="2"/>
  <c r="CH470" i="2"/>
  <c r="CG470" i="2"/>
  <c r="CF470" i="2"/>
  <c r="CE470" i="2"/>
  <c r="CD470" i="2"/>
  <c r="CC470" i="2"/>
  <c r="CB470" i="2"/>
  <c r="CA470" i="2"/>
  <c r="BZ470" i="2"/>
  <c r="BY470" i="2"/>
  <c r="BX470" i="2"/>
  <c r="BW470" i="2"/>
  <c r="BV470" i="2"/>
  <c r="BU470" i="2"/>
  <c r="BT470" i="2"/>
  <c r="BS470" i="2"/>
  <c r="BR470" i="2"/>
  <c r="BQ470" i="2"/>
  <c r="BP470" i="2"/>
  <c r="BO470" i="2"/>
  <c r="BN470" i="2"/>
  <c r="BM470" i="2"/>
  <c r="BL470" i="2"/>
  <c r="BK470" i="2"/>
  <c r="BJ470" i="2"/>
  <c r="BI470" i="2"/>
  <c r="BH470" i="2"/>
  <c r="BG470" i="2"/>
  <c r="BF470" i="2"/>
  <c r="CQ469" i="2"/>
  <c r="CP469" i="2"/>
  <c r="CO469" i="2"/>
  <c r="CN469" i="2"/>
  <c r="CM469" i="2"/>
  <c r="CL469" i="2"/>
  <c r="CK469" i="2"/>
  <c r="CJ469" i="2"/>
  <c r="CI469" i="2"/>
  <c r="CH469" i="2"/>
  <c r="CG469" i="2"/>
  <c r="CF469" i="2"/>
  <c r="CE469" i="2"/>
  <c r="CD469" i="2"/>
  <c r="CC469" i="2"/>
  <c r="CB469" i="2"/>
  <c r="CA469" i="2"/>
  <c r="BZ469" i="2"/>
  <c r="BY469" i="2"/>
  <c r="BX469" i="2"/>
  <c r="BW469" i="2"/>
  <c r="BV469" i="2"/>
  <c r="BU469" i="2"/>
  <c r="BT469" i="2"/>
  <c r="BS469" i="2"/>
  <c r="BR469" i="2"/>
  <c r="BQ469" i="2"/>
  <c r="BP469" i="2"/>
  <c r="BO469" i="2"/>
  <c r="BN469" i="2"/>
  <c r="BM469" i="2"/>
  <c r="BL469" i="2"/>
  <c r="BK469" i="2"/>
  <c r="BJ469" i="2"/>
  <c r="BI469" i="2"/>
  <c r="BH469" i="2"/>
  <c r="BG469" i="2"/>
  <c r="BF469" i="2"/>
  <c r="CQ468" i="2"/>
  <c r="CP468" i="2"/>
  <c r="CO468" i="2"/>
  <c r="CN468" i="2"/>
  <c r="CM468" i="2"/>
  <c r="CL468" i="2"/>
  <c r="CK468" i="2"/>
  <c r="CJ468" i="2"/>
  <c r="CI468" i="2"/>
  <c r="CH468" i="2"/>
  <c r="CG468" i="2"/>
  <c r="CF468" i="2"/>
  <c r="CE468" i="2"/>
  <c r="CD468" i="2"/>
  <c r="CC468" i="2"/>
  <c r="CB468" i="2"/>
  <c r="CA468" i="2"/>
  <c r="BZ468" i="2"/>
  <c r="BY468" i="2"/>
  <c r="BX468" i="2"/>
  <c r="BW468" i="2"/>
  <c r="BV468" i="2"/>
  <c r="BU468" i="2"/>
  <c r="BT468" i="2"/>
  <c r="BS468" i="2"/>
  <c r="BR468" i="2"/>
  <c r="BQ468" i="2"/>
  <c r="BP468" i="2"/>
  <c r="BO468" i="2"/>
  <c r="BN468" i="2"/>
  <c r="BM468" i="2"/>
  <c r="BL468" i="2"/>
  <c r="BK468" i="2"/>
  <c r="BJ468" i="2"/>
  <c r="BI468" i="2"/>
  <c r="BH468" i="2"/>
  <c r="BG468" i="2"/>
  <c r="BF468" i="2"/>
  <c r="CQ467" i="2"/>
  <c r="CP467" i="2"/>
  <c r="CO467" i="2"/>
  <c r="CN467" i="2"/>
  <c r="CM467" i="2"/>
  <c r="CL467" i="2"/>
  <c r="CK467" i="2"/>
  <c r="CJ467" i="2"/>
  <c r="CI467" i="2"/>
  <c r="CH467" i="2"/>
  <c r="CG467" i="2"/>
  <c r="CF467" i="2"/>
  <c r="CE467" i="2"/>
  <c r="CD467" i="2"/>
  <c r="CC467" i="2"/>
  <c r="CB467" i="2"/>
  <c r="CA467" i="2"/>
  <c r="BZ467" i="2"/>
  <c r="BY467" i="2"/>
  <c r="BX467" i="2"/>
  <c r="BW467" i="2"/>
  <c r="BV467" i="2"/>
  <c r="BU467" i="2"/>
  <c r="BT467" i="2"/>
  <c r="BS467" i="2"/>
  <c r="BR467" i="2"/>
  <c r="BQ467" i="2"/>
  <c r="BP467" i="2"/>
  <c r="BO467" i="2"/>
  <c r="BN467" i="2"/>
  <c r="BM467" i="2"/>
  <c r="BL467" i="2"/>
  <c r="BK467" i="2"/>
  <c r="BJ467" i="2"/>
  <c r="BI467" i="2"/>
  <c r="BH467" i="2"/>
  <c r="BG467" i="2"/>
  <c r="BF467" i="2"/>
  <c r="CQ466" i="2"/>
  <c r="CP466" i="2"/>
  <c r="CO466" i="2"/>
  <c r="CN466" i="2"/>
  <c r="CM466" i="2"/>
  <c r="CL466" i="2"/>
  <c r="CK466" i="2"/>
  <c r="CJ466" i="2"/>
  <c r="CI466" i="2"/>
  <c r="CH466" i="2"/>
  <c r="CG466" i="2"/>
  <c r="CF466" i="2"/>
  <c r="CE466" i="2"/>
  <c r="CD466" i="2"/>
  <c r="CC466" i="2"/>
  <c r="CB466" i="2"/>
  <c r="CA466" i="2"/>
  <c r="BZ466" i="2"/>
  <c r="BY466" i="2"/>
  <c r="BX466" i="2"/>
  <c r="BW466" i="2"/>
  <c r="BV466" i="2"/>
  <c r="BU466" i="2"/>
  <c r="BT466" i="2"/>
  <c r="BS466" i="2"/>
  <c r="BR466" i="2"/>
  <c r="BQ466" i="2"/>
  <c r="BP466" i="2"/>
  <c r="BO466" i="2"/>
  <c r="BN466" i="2"/>
  <c r="BM466" i="2"/>
  <c r="BL466" i="2"/>
  <c r="BK466" i="2"/>
  <c r="BJ466" i="2"/>
  <c r="BI466" i="2"/>
  <c r="BH466" i="2"/>
  <c r="BG466" i="2"/>
  <c r="BF466" i="2"/>
  <c r="CQ465" i="2"/>
  <c r="CP465" i="2"/>
  <c r="CO465" i="2"/>
  <c r="CN465" i="2"/>
  <c r="CM465" i="2"/>
  <c r="CL465" i="2"/>
  <c r="CK465" i="2"/>
  <c r="CJ465" i="2"/>
  <c r="CI465" i="2"/>
  <c r="CH465" i="2"/>
  <c r="CG465" i="2"/>
  <c r="CF465" i="2"/>
  <c r="CE465" i="2"/>
  <c r="CD465" i="2"/>
  <c r="CC465" i="2"/>
  <c r="CB465" i="2"/>
  <c r="CA465" i="2"/>
  <c r="BZ465" i="2"/>
  <c r="BY465" i="2"/>
  <c r="BX465" i="2"/>
  <c r="BW465" i="2"/>
  <c r="BV465" i="2"/>
  <c r="BU465" i="2"/>
  <c r="BT465" i="2"/>
  <c r="BS465" i="2"/>
  <c r="BR465" i="2"/>
  <c r="BQ465" i="2"/>
  <c r="BP465" i="2"/>
  <c r="BO465" i="2"/>
  <c r="BN465" i="2"/>
  <c r="BM465" i="2"/>
  <c r="BL465" i="2"/>
  <c r="BK465" i="2"/>
  <c r="BJ465" i="2"/>
  <c r="BI465" i="2"/>
  <c r="BH465" i="2"/>
  <c r="BG465" i="2"/>
  <c r="BF465" i="2"/>
  <c r="CQ464" i="2"/>
  <c r="CP464" i="2"/>
  <c r="CO464" i="2"/>
  <c r="CN464" i="2"/>
  <c r="CM464" i="2"/>
  <c r="CL464" i="2"/>
  <c r="CK464" i="2"/>
  <c r="CJ464" i="2"/>
  <c r="CI464" i="2"/>
  <c r="CH464" i="2"/>
  <c r="CG464" i="2"/>
  <c r="CF464" i="2"/>
  <c r="CE464" i="2"/>
  <c r="CD464" i="2"/>
  <c r="CC464" i="2"/>
  <c r="CB464" i="2"/>
  <c r="CA464" i="2"/>
  <c r="BZ464" i="2"/>
  <c r="BY464" i="2"/>
  <c r="BX464" i="2"/>
  <c r="BW464" i="2"/>
  <c r="BV464" i="2"/>
  <c r="BU464" i="2"/>
  <c r="BT464" i="2"/>
  <c r="BS464" i="2"/>
  <c r="BR464" i="2"/>
  <c r="BQ464" i="2"/>
  <c r="BP464" i="2"/>
  <c r="BO464" i="2"/>
  <c r="BN464" i="2"/>
  <c r="BM464" i="2"/>
  <c r="BL464" i="2"/>
  <c r="BK464" i="2"/>
  <c r="BJ464" i="2"/>
  <c r="BI464" i="2"/>
  <c r="BH464" i="2"/>
  <c r="BG464" i="2"/>
  <c r="BF464" i="2"/>
  <c r="CQ463" i="2"/>
  <c r="CP463" i="2"/>
  <c r="CO463" i="2"/>
  <c r="CN463" i="2"/>
  <c r="CM463" i="2"/>
  <c r="CL463" i="2"/>
  <c r="CK463" i="2"/>
  <c r="CJ463" i="2"/>
  <c r="CI463" i="2"/>
  <c r="CH463" i="2"/>
  <c r="CG463" i="2"/>
  <c r="CF463" i="2"/>
  <c r="CE463" i="2"/>
  <c r="CD463" i="2"/>
  <c r="CC463" i="2"/>
  <c r="CB463" i="2"/>
  <c r="CA463" i="2"/>
  <c r="BZ463" i="2"/>
  <c r="BY463" i="2"/>
  <c r="BX463" i="2"/>
  <c r="BW463" i="2"/>
  <c r="BV463" i="2"/>
  <c r="BU463" i="2"/>
  <c r="BT463" i="2"/>
  <c r="BS463" i="2"/>
  <c r="BR463" i="2"/>
  <c r="BQ463" i="2"/>
  <c r="BP463" i="2"/>
  <c r="BO463" i="2"/>
  <c r="BN463" i="2"/>
  <c r="BM463" i="2"/>
  <c r="BL463" i="2"/>
  <c r="BK463" i="2"/>
  <c r="BJ463" i="2"/>
  <c r="BI463" i="2"/>
  <c r="BH463" i="2"/>
  <c r="BG463" i="2"/>
  <c r="BF463" i="2"/>
  <c r="CQ462" i="2"/>
  <c r="CP462" i="2"/>
  <c r="CO462" i="2"/>
  <c r="CN462" i="2"/>
  <c r="CM462" i="2"/>
  <c r="CL462" i="2"/>
  <c r="CK462" i="2"/>
  <c r="CJ462" i="2"/>
  <c r="CI462" i="2"/>
  <c r="CH462" i="2"/>
  <c r="CG462" i="2"/>
  <c r="CF462" i="2"/>
  <c r="CE462" i="2"/>
  <c r="CD462" i="2"/>
  <c r="CC462" i="2"/>
  <c r="CB462" i="2"/>
  <c r="CA462" i="2"/>
  <c r="BZ462" i="2"/>
  <c r="BY462" i="2"/>
  <c r="BX462" i="2"/>
  <c r="BW462" i="2"/>
  <c r="BV462" i="2"/>
  <c r="BU462" i="2"/>
  <c r="BT462" i="2"/>
  <c r="BS462" i="2"/>
  <c r="BR462" i="2"/>
  <c r="BQ462" i="2"/>
  <c r="BP462" i="2"/>
  <c r="BO462" i="2"/>
  <c r="BN462" i="2"/>
  <c r="BM462" i="2"/>
  <c r="BL462" i="2"/>
  <c r="BK462" i="2"/>
  <c r="BJ462" i="2"/>
  <c r="BI462" i="2"/>
  <c r="BH462" i="2"/>
  <c r="BG462" i="2"/>
  <c r="BF462" i="2"/>
  <c r="CQ461" i="2"/>
  <c r="CP461" i="2"/>
  <c r="CO461" i="2"/>
  <c r="CN461" i="2"/>
  <c r="CM461" i="2"/>
  <c r="CL461" i="2"/>
  <c r="CK461" i="2"/>
  <c r="CJ461" i="2"/>
  <c r="CI461" i="2"/>
  <c r="CH461" i="2"/>
  <c r="CG461" i="2"/>
  <c r="CF461" i="2"/>
  <c r="CE461" i="2"/>
  <c r="CD461" i="2"/>
  <c r="CC461" i="2"/>
  <c r="CB461" i="2"/>
  <c r="CA461" i="2"/>
  <c r="BZ461" i="2"/>
  <c r="BY461" i="2"/>
  <c r="BX461" i="2"/>
  <c r="BW461" i="2"/>
  <c r="BV461" i="2"/>
  <c r="BU461" i="2"/>
  <c r="BT461" i="2"/>
  <c r="BS461" i="2"/>
  <c r="BR461" i="2"/>
  <c r="BQ461" i="2"/>
  <c r="BP461" i="2"/>
  <c r="BO461" i="2"/>
  <c r="BN461" i="2"/>
  <c r="BM461" i="2"/>
  <c r="BL461" i="2"/>
  <c r="BK461" i="2"/>
  <c r="BJ461" i="2"/>
  <c r="BI461" i="2"/>
  <c r="BH461" i="2"/>
  <c r="BG461" i="2"/>
  <c r="BF461" i="2"/>
  <c r="CQ460" i="2"/>
  <c r="CP460" i="2"/>
  <c r="CO460" i="2"/>
  <c r="CN460" i="2"/>
  <c r="CM460" i="2"/>
  <c r="CL460" i="2"/>
  <c r="CK460" i="2"/>
  <c r="CJ460" i="2"/>
  <c r="CI460" i="2"/>
  <c r="CH460" i="2"/>
  <c r="CG460" i="2"/>
  <c r="CF460" i="2"/>
  <c r="CE460" i="2"/>
  <c r="CD460" i="2"/>
  <c r="CC460" i="2"/>
  <c r="CB460" i="2"/>
  <c r="CA460" i="2"/>
  <c r="BZ460" i="2"/>
  <c r="BY460" i="2"/>
  <c r="BX460" i="2"/>
  <c r="BW460" i="2"/>
  <c r="BV460" i="2"/>
  <c r="BU460" i="2"/>
  <c r="BT460" i="2"/>
  <c r="BS460" i="2"/>
  <c r="BR460" i="2"/>
  <c r="BQ460" i="2"/>
  <c r="BP460" i="2"/>
  <c r="BO460" i="2"/>
  <c r="BN460" i="2"/>
  <c r="BM460" i="2"/>
  <c r="BL460" i="2"/>
  <c r="BK460" i="2"/>
  <c r="BJ460" i="2"/>
  <c r="BI460" i="2"/>
  <c r="BH460" i="2"/>
  <c r="BG460" i="2"/>
  <c r="BF460" i="2"/>
  <c r="CQ459" i="2"/>
  <c r="CP459" i="2"/>
  <c r="CO459" i="2"/>
  <c r="CN459" i="2"/>
  <c r="CM459" i="2"/>
  <c r="CL459" i="2"/>
  <c r="CK459" i="2"/>
  <c r="CJ459" i="2"/>
  <c r="CI459" i="2"/>
  <c r="CH459" i="2"/>
  <c r="CG459" i="2"/>
  <c r="CF459" i="2"/>
  <c r="CE459" i="2"/>
  <c r="CD459" i="2"/>
  <c r="CC459" i="2"/>
  <c r="CB459" i="2"/>
  <c r="CA459" i="2"/>
  <c r="BZ459" i="2"/>
  <c r="BY459" i="2"/>
  <c r="BX459" i="2"/>
  <c r="BW459" i="2"/>
  <c r="BV459" i="2"/>
  <c r="BU459" i="2"/>
  <c r="BT459" i="2"/>
  <c r="BS459" i="2"/>
  <c r="BR459" i="2"/>
  <c r="BQ459" i="2"/>
  <c r="BP459" i="2"/>
  <c r="BO459" i="2"/>
  <c r="BN459" i="2"/>
  <c r="BM459" i="2"/>
  <c r="BL459" i="2"/>
  <c r="BK459" i="2"/>
  <c r="BJ459" i="2"/>
  <c r="BI459" i="2"/>
  <c r="BH459" i="2"/>
  <c r="BG459" i="2"/>
  <c r="BF459" i="2"/>
  <c r="CQ458" i="2"/>
  <c r="CP458" i="2"/>
  <c r="CO458" i="2"/>
  <c r="CN458" i="2"/>
  <c r="CM458" i="2"/>
  <c r="CL458" i="2"/>
  <c r="CK458" i="2"/>
  <c r="CJ458" i="2"/>
  <c r="CI458" i="2"/>
  <c r="CH458" i="2"/>
  <c r="CG458" i="2"/>
  <c r="CF458" i="2"/>
  <c r="CE458" i="2"/>
  <c r="CD458" i="2"/>
  <c r="CC458" i="2"/>
  <c r="CB458" i="2"/>
  <c r="CA458" i="2"/>
  <c r="BZ458" i="2"/>
  <c r="BY458" i="2"/>
  <c r="BX458" i="2"/>
  <c r="BW458" i="2"/>
  <c r="BV458" i="2"/>
  <c r="BU458" i="2"/>
  <c r="BT458" i="2"/>
  <c r="BS458" i="2"/>
  <c r="BR458" i="2"/>
  <c r="BQ458" i="2"/>
  <c r="BP458" i="2"/>
  <c r="BO458" i="2"/>
  <c r="BN458" i="2"/>
  <c r="BM458" i="2"/>
  <c r="BL458" i="2"/>
  <c r="BK458" i="2"/>
  <c r="BJ458" i="2"/>
  <c r="BI458" i="2"/>
  <c r="BH458" i="2"/>
  <c r="BG458" i="2"/>
  <c r="BF458" i="2"/>
  <c r="CQ457" i="2"/>
  <c r="CP457" i="2"/>
  <c r="CO457" i="2"/>
  <c r="CN457" i="2"/>
  <c r="CM457" i="2"/>
  <c r="CL457" i="2"/>
  <c r="CK457" i="2"/>
  <c r="CJ457" i="2"/>
  <c r="CI457" i="2"/>
  <c r="CH457" i="2"/>
  <c r="CG457" i="2"/>
  <c r="CF457" i="2"/>
  <c r="CE457" i="2"/>
  <c r="CD457" i="2"/>
  <c r="CC457" i="2"/>
  <c r="CB457" i="2"/>
  <c r="CA457" i="2"/>
  <c r="BZ457" i="2"/>
  <c r="BY457" i="2"/>
  <c r="BX457" i="2"/>
  <c r="BW457" i="2"/>
  <c r="BV457" i="2"/>
  <c r="BU457" i="2"/>
  <c r="BT457" i="2"/>
  <c r="BS457" i="2"/>
  <c r="BR457" i="2"/>
  <c r="BQ457" i="2"/>
  <c r="BP457" i="2"/>
  <c r="BO457" i="2"/>
  <c r="BN457" i="2"/>
  <c r="BM457" i="2"/>
  <c r="BL457" i="2"/>
  <c r="BK457" i="2"/>
  <c r="BJ457" i="2"/>
  <c r="BI457" i="2"/>
  <c r="BH457" i="2"/>
  <c r="BG457" i="2"/>
  <c r="BF457" i="2"/>
  <c r="CQ456" i="2"/>
  <c r="CP456" i="2"/>
  <c r="CO456" i="2"/>
  <c r="CN456" i="2"/>
  <c r="CM456" i="2"/>
  <c r="CL456" i="2"/>
  <c r="CK456" i="2"/>
  <c r="CJ456" i="2"/>
  <c r="CI456" i="2"/>
  <c r="CH456" i="2"/>
  <c r="CG456" i="2"/>
  <c r="CF456" i="2"/>
  <c r="CE456" i="2"/>
  <c r="CD456" i="2"/>
  <c r="CC456" i="2"/>
  <c r="CB456" i="2"/>
  <c r="CA456" i="2"/>
  <c r="BZ456" i="2"/>
  <c r="BY456" i="2"/>
  <c r="BX456" i="2"/>
  <c r="BW456" i="2"/>
  <c r="BV456" i="2"/>
  <c r="BU456" i="2"/>
  <c r="BT456" i="2"/>
  <c r="BS456" i="2"/>
  <c r="BR456" i="2"/>
  <c r="BQ456" i="2"/>
  <c r="BP456" i="2"/>
  <c r="BO456" i="2"/>
  <c r="BN456" i="2"/>
  <c r="BM456" i="2"/>
  <c r="BL456" i="2"/>
  <c r="BK456" i="2"/>
  <c r="BJ456" i="2"/>
  <c r="BI456" i="2"/>
  <c r="BH456" i="2"/>
  <c r="BG456" i="2"/>
  <c r="BF456" i="2"/>
  <c r="CQ455" i="2"/>
  <c r="CP455" i="2"/>
  <c r="CO455" i="2"/>
  <c r="CN455" i="2"/>
  <c r="CM455" i="2"/>
  <c r="CL455" i="2"/>
  <c r="CK455" i="2"/>
  <c r="CJ455" i="2"/>
  <c r="CI455" i="2"/>
  <c r="CH455" i="2"/>
  <c r="CG455" i="2"/>
  <c r="CF455" i="2"/>
  <c r="CE455" i="2"/>
  <c r="CD455" i="2"/>
  <c r="CC455" i="2"/>
  <c r="CB455" i="2"/>
  <c r="CA455" i="2"/>
  <c r="BZ455" i="2"/>
  <c r="BY455" i="2"/>
  <c r="BX455" i="2"/>
  <c r="BW455" i="2"/>
  <c r="BV455" i="2"/>
  <c r="BU455" i="2"/>
  <c r="BT455" i="2"/>
  <c r="BS455" i="2"/>
  <c r="BR455" i="2"/>
  <c r="BQ455" i="2"/>
  <c r="BP455" i="2"/>
  <c r="BO455" i="2"/>
  <c r="BN455" i="2"/>
  <c r="BM455" i="2"/>
  <c r="BL455" i="2"/>
  <c r="BK455" i="2"/>
  <c r="BJ455" i="2"/>
  <c r="BI455" i="2"/>
  <c r="BH455" i="2"/>
  <c r="BG455" i="2"/>
  <c r="BF455" i="2"/>
  <c r="CQ454" i="2"/>
  <c r="CP454" i="2"/>
  <c r="CO454" i="2"/>
  <c r="CN454" i="2"/>
  <c r="CM454" i="2"/>
  <c r="CL454" i="2"/>
  <c r="CK454" i="2"/>
  <c r="CJ454" i="2"/>
  <c r="CI454" i="2"/>
  <c r="CH454" i="2"/>
  <c r="CG454" i="2"/>
  <c r="CF454" i="2"/>
  <c r="CE454" i="2"/>
  <c r="CD454" i="2"/>
  <c r="CC454" i="2"/>
  <c r="CB454" i="2"/>
  <c r="CA454" i="2"/>
  <c r="BZ454" i="2"/>
  <c r="BY454" i="2"/>
  <c r="BX454" i="2"/>
  <c r="BW454" i="2"/>
  <c r="BV454" i="2"/>
  <c r="BU454" i="2"/>
  <c r="BT454" i="2"/>
  <c r="BS454" i="2"/>
  <c r="BR454" i="2"/>
  <c r="BQ454" i="2"/>
  <c r="BP454" i="2"/>
  <c r="BO454" i="2"/>
  <c r="BN454" i="2"/>
  <c r="BM454" i="2"/>
  <c r="BL454" i="2"/>
  <c r="BK454" i="2"/>
  <c r="BJ454" i="2"/>
  <c r="BI454" i="2"/>
  <c r="BH454" i="2"/>
  <c r="BG454" i="2"/>
  <c r="BF454" i="2"/>
  <c r="CQ453" i="2"/>
  <c r="CP453" i="2"/>
  <c r="CO453" i="2"/>
  <c r="CN453" i="2"/>
  <c r="CM453" i="2"/>
  <c r="CL453" i="2"/>
  <c r="CK453" i="2"/>
  <c r="CJ453" i="2"/>
  <c r="CI453" i="2"/>
  <c r="CH453" i="2"/>
  <c r="CG453" i="2"/>
  <c r="CF453" i="2"/>
  <c r="CE453" i="2"/>
  <c r="CD453" i="2"/>
  <c r="CC453" i="2"/>
  <c r="CB453" i="2"/>
  <c r="CA453" i="2"/>
  <c r="BZ453" i="2"/>
  <c r="BY453" i="2"/>
  <c r="BX453" i="2"/>
  <c r="BW453" i="2"/>
  <c r="BV453" i="2"/>
  <c r="BU453" i="2"/>
  <c r="BT453" i="2"/>
  <c r="BS453" i="2"/>
  <c r="BR453" i="2"/>
  <c r="BQ453" i="2"/>
  <c r="BP453" i="2"/>
  <c r="BO453" i="2"/>
  <c r="BN453" i="2"/>
  <c r="BM453" i="2"/>
  <c r="BL453" i="2"/>
  <c r="BK453" i="2"/>
  <c r="BJ453" i="2"/>
  <c r="BI453" i="2"/>
  <c r="BH453" i="2"/>
  <c r="BG453" i="2"/>
  <c r="BF453" i="2"/>
  <c r="CQ452" i="2"/>
  <c r="CP452" i="2"/>
  <c r="CO452" i="2"/>
  <c r="CN452" i="2"/>
  <c r="CM452" i="2"/>
  <c r="CL452" i="2"/>
  <c r="CK452" i="2"/>
  <c r="CJ452" i="2"/>
  <c r="CI452" i="2"/>
  <c r="CH452" i="2"/>
  <c r="CG452" i="2"/>
  <c r="CF452" i="2"/>
  <c r="CE452" i="2"/>
  <c r="CD452" i="2"/>
  <c r="CC452" i="2"/>
  <c r="CB452" i="2"/>
  <c r="CA452" i="2"/>
  <c r="BZ452" i="2"/>
  <c r="BY452" i="2"/>
  <c r="BX452" i="2"/>
  <c r="BW452" i="2"/>
  <c r="BV452" i="2"/>
  <c r="BU452" i="2"/>
  <c r="BT452" i="2"/>
  <c r="BS452" i="2"/>
  <c r="BR452" i="2"/>
  <c r="BQ452" i="2"/>
  <c r="BP452" i="2"/>
  <c r="BO452" i="2"/>
  <c r="BN452" i="2"/>
  <c r="BM452" i="2"/>
  <c r="BL452" i="2"/>
  <c r="BK452" i="2"/>
  <c r="BJ452" i="2"/>
  <c r="BI452" i="2"/>
  <c r="BH452" i="2"/>
  <c r="BG452" i="2"/>
  <c r="BF452" i="2"/>
  <c r="CQ451" i="2"/>
  <c r="CP451" i="2"/>
  <c r="CO451" i="2"/>
  <c r="CN451" i="2"/>
  <c r="CM451" i="2"/>
  <c r="CL451" i="2"/>
  <c r="CK451" i="2"/>
  <c r="CJ451" i="2"/>
  <c r="CI451" i="2"/>
  <c r="CH451" i="2"/>
  <c r="CG451" i="2"/>
  <c r="CF451" i="2"/>
  <c r="CE451" i="2"/>
  <c r="CD451" i="2"/>
  <c r="CC451" i="2"/>
  <c r="CB451" i="2"/>
  <c r="CA451" i="2"/>
  <c r="BZ451" i="2"/>
  <c r="BY451" i="2"/>
  <c r="BX451" i="2"/>
  <c r="BW451" i="2"/>
  <c r="BV451" i="2"/>
  <c r="BU451" i="2"/>
  <c r="BT451" i="2"/>
  <c r="BS451" i="2"/>
  <c r="BR451" i="2"/>
  <c r="BQ451" i="2"/>
  <c r="BP451" i="2"/>
  <c r="BO451" i="2"/>
  <c r="BN451" i="2"/>
  <c r="BM451" i="2"/>
  <c r="BL451" i="2"/>
  <c r="BK451" i="2"/>
  <c r="BJ451" i="2"/>
  <c r="BI451" i="2"/>
  <c r="BH451" i="2"/>
  <c r="BG451" i="2"/>
  <c r="BF451" i="2"/>
  <c r="CQ450" i="2"/>
  <c r="CP450" i="2"/>
  <c r="CO450" i="2"/>
  <c r="CN450" i="2"/>
  <c r="CM450" i="2"/>
  <c r="CL450" i="2"/>
  <c r="CK450" i="2"/>
  <c r="CJ450" i="2"/>
  <c r="CI450" i="2"/>
  <c r="CH450" i="2"/>
  <c r="CG450" i="2"/>
  <c r="CF450" i="2"/>
  <c r="CE450" i="2"/>
  <c r="CD450" i="2"/>
  <c r="CC450" i="2"/>
  <c r="CB450" i="2"/>
  <c r="CA450" i="2"/>
  <c r="BZ450" i="2"/>
  <c r="BY450" i="2"/>
  <c r="BX450" i="2"/>
  <c r="BW450" i="2"/>
  <c r="BV450" i="2"/>
  <c r="BU450" i="2"/>
  <c r="BT450" i="2"/>
  <c r="BS450" i="2"/>
  <c r="BR450" i="2"/>
  <c r="BQ450" i="2"/>
  <c r="BP450" i="2"/>
  <c r="BO450" i="2"/>
  <c r="BN450" i="2"/>
  <c r="BM450" i="2"/>
  <c r="BL450" i="2"/>
  <c r="BK450" i="2"/>
  <c r="BJ450" i="2"/>
  <c r="BI450" i="2"/>
  <c r="BH450" i="2"/>
  <c r="BG450" i="2"/>
  <c r="BF450" i="2"/>
  <c r="CQ449" i="2"/>
  <c r="CP449" i="2"/>
  <c r="CO449" i="2"/>
  <c r="CN449" i="2"/>
  <c r="CM449" i="2"/>
  <c r="CL449" i="2"/>
  <c r="CK449" i="2"/>
  <c r="CJ449" i="2"/>
  <c r="CI449" i="2"/>
  <c r="CH449" i="2"/>
  <c r="CG449" i="2"/>
  <c r="CF449" i="2"/>
  <c r="CE449" i="2"/>
  <c r="CD449" i="2"/>
  <c r="CC449" i="2"/>
  <c r="CB449" i="2"/>
  <c r="CA449" i="2"/>
  <c r="BZ449" i="2"/>
  <c r="BY449" i="2"/>
  <c r="BX449" i="2"/>
  <c r="BW449" i="2"/>
  <c r="BV449" i="2"/>
  <c r="BU449" i="2"/>
  <c r="BT449" i="2"/>
  <c r="BS449" i="2"/>
  <c r="BR449" i="2"/>
  <c r="BQ449" i="2"/>
  <c r="BP449" i="2"/>
  <c r="BO449" i="2"/>
  <c r="BN449" i="2"/>
  <c r="BM449" i="2"/>
  <c r="BL449" i="2"/>
  <c r="BK449" i="2"/>
  <c r="BJ449" i="2"/>
  <c r="BI449" i="2"/>
  <c r="BH449" i="2"/>
  <c r="BG449" i="2"/>
  <c r="BF449" i="2"/>
  <c r="CQ448" i="2"/>
  <c r="CP448" i="2"/>
  <c r="CO448" i="2"/>
  <c r="CN448" i="2"/>
  <c r="CM448" i="2"/>
  <c r="CL448" i="2"/>
  <c r="CK448" i="2"/>
  <c r="CJ448" i="2"/>
  <c r="CI448" i="2"/>
  <c r="CH448" i="2"/>
  <c r="CG448" i="2"/>
  <c r="CF448" i="2"/>
  <c r="CE448" i="2"/>
  <c r="CD448" i="2"/>
  <c r="CC448" i="2"/>
  <c r="CB448" i="2"/>
  <c r="CA448" i="2"/>
  <c r="BZ448" i="2"/>
  <c r="BY448" i="2"/>
  <c r="BX448" i="2"/>
  <c r="BW448" i="2"/>
  <c r="BV448" i="2"/>
  <c r="BU448" i="2"/>
  <c r="BT448" i="2"/>
  <c r="BS448" i="2"/>
  <c r="BR448" i="2"/>
  <c r="BQ448" i="2"/>
  <c r="BP448" i="2"/>
  <c r="BO448" i="2"/>
  <c r="BN448" i="2"/>
  <c r="BM448" i="2"/>
  <c r="BL448" i="2"/>
  <c r="BK448" i="2"/>
  <c r="BJ448" i="2"/>
  <c r="BI448" i="2"/>
  <c r="BH448" i="2"/>
  <c r="BG448" i="2"/>
  <c r="BF448" i="2"/>
  <c r="CQ447" i="2"/>
  <c r="CP447" i="2"/>
  <c r="CO447" i="2"/>
  <c r="CN447" i="2"/>
  <c r="CM447" i="2"/>
  <c r="CL447" i="2"/>
  <c r="CK447" i="2"/>
  <c r="CJ447" i="2"/>
  <c r="CI447" i="2"/>
  <c r="CH447" i="2"/>
  <c r="CG447" i="2"/>
  <c r="CF447" i="2"/>
  <c r="CE447" i="2"/>
  <c r="CD447" i="2"/>
  <c r="CC447" i="2"/>
  <c r="CB447" i="2"/>
  <c r="CA447" i="2"/>
  <c r="BZ447" i="2"/>
  <c r="BY447" i="2"/>
  <c r="BX447" i="2"/>
  <c r="BW447" i="2"/>
  <c r="BV447" i="2"/>
  <c r="BU447" i="2"/>
  <c r="BT447" i="2"/>
  <c r="BS447" i="2"/>
  <c r="BR447" i="2"/>
  <c r="BQ447" i="2"/>
  <c r="BP447" i="2"/>
  <c r="BO447" i="2"/>
  <c r="BN447" i="2"/>
  <c r="BM447" i="2"/>
  <c r="BL447" i="2"/>
  <c r="BK447" i="2"/>
  <c r="BJ447" i="2"/>
  <c r="BI447" i="2"/>
  <c r="BH447" i="2"/>
  <c r="BG447" i="2"/>
  <c r="BF447" i="2"/>
  <c r="CQ446" i="2"/>
  <c r="CP446" i="2"/>
  <c r="CO446" i="2"/>
  <c r="CN446" i="2"/>
  <c r="CM446" i="2"/>
  <c r="CL446" i="2"/>
  <c r="CK446" i="2"/>
  <c r="CJ446" i="2"/>
  <c r="CI446" i="2"/>
  <c r="CH446" i="2"/>
  <c r="CG446" i="2"/>
  <c r="CF446" i="2"/>
  <c r="CE446" i="2"/>
  <c r="CD446" i="2"/>
  <c r="CC446" i="2"/>
  <c r="CB446" i="2"/>
  <c r="CA446" i="2"/>
  <c r="BZ446" i="2"/>
  <c r="BY446" i="2"/>
  <c r="BX446" i="2"/>
  <c r="BW446" i="2"/>
  <c r="BV446" i="2"/>
  <c r="BU446" i="2"/>
  <c r="BT446" i="2"/>
  <c r="BS446" i="2"/>
  <c r="BR446" i="2"/>
  <c r="BQ446" i="2"/>
  <c r="BP446" i="2"/>
  <c r="BO446" i="2"/>
  <c r="BN446" i="2"/>
  <c r="BM446" i="2"/>
  <c r="BL446" i="2"/>
  <c r="BK446" i="2"/>
  <c r="BJ446" i="2"/>
  <c r="BI446" i="2"/>
  <c r="BH446" i="2"/>
  <c r="BG446" i="2"/>
  <c r="BF446" i="2"/>
  <c r="CQ445" i="2"/>
  <c r="CP445" i="2"/>
  <c r="CO445" i="2"/>
  <c r="CN445" i="2"/>
  <c r="CM445" i="2"/>
  <c r="CL445" i="2"/>
  <c r="CK445" i="2"/>
  <c r="CJ445" i="2"/>
  <c r="CI445" i="2"/>
  <c r="CH445" i="2"/>
  <c r="CG445" i="2"/>
  <c r="CF445" i="2"/>
  <c r="CE445" i="2"/>
  <c r="CD445" i="2"/>
  <c r="CC445" i="2"/>
  <c r="CB445" i="2"/>
  <c r="CA445" i="2"/>
  <c r="BZ445" i="2"/>
  <c r="BY445" i="2"/>
  <c r="BX445" i="2"/>
  <c r="BW445" i="2"/>
  <c r="BV445" i="2"/>
  <c r="BU445" i="2"/>
  <c r="BT445" i="2"/>
  <c r="BS445" i="2"/>
  <c r="BR445" i="2"/>
  <c r="BQ445" i="2"/>
  <c r="BP445" i="2"/>
  <c r="BO445" i="2"/>
  <c r="BN445" i="2"/>
  <c r="BM445" i="2"/>
  <c r="BL445" i="2"/>
  <c r="BK445" i="2"/>
  <c r="BJ445" i="2"/>
  <c r="BI445" i="2"/>
  <c r="BH445" i="2"/>
  <c r="BG445" i="2"/>
  <c r="BF445" i="2"/>
  <c r="CQ444" i="2"/>
  <c r="CP444" i="2"/>
  <c r="CO444" i="2"/>
  <c r="CN444" i="2"/>
  <c r="CM444" i="2"/>
  <c r="CL444" i="2"/>
  <c r="CK444" i="2"/>
  <c r="CJ444" i="2"/>
  <c r="CI444" i="2"/>
  <c r="CH444" i="2"/>
  <c r="CG444" i="2"/>
  <c r="CF444" i="2"/>
  <c r="CE444" i="2"/>
  <c r="CD444" i="2"/>
  <c r="CC444" i="2"/>
  <c r="CB444" i="2"/>
  <c r="CA444" i="2"/>
  <c r="BZ444" i="2"/>
  <c r="BY444" i="2"/>
  <c r="BX444" i="2"/>
  <c r="BW444" i="2"/>
  <c r="BV444" i="2"/>
  <c r="BU444" i="2"/>
  <c r="BT444" i="2"/>
  <c r="BS444" i="2"/>
  <c r="BR444" i="2"/>
  <c r="BQ444" i="2"/>
  <c r="BP444" i="2"/>
  <c r="BO444" i="2"/>
  <c r="BN444" i="2"/>
  <c r="BM444" i="2"/>
  <c r="BL444" i="2"/>
  <c r="BK444" i="2"/>
  <c r="BJ444" i="2"/>
  <c r="BI444" i="2"/>
  <c r="BH444" i="2"/>
  <c r="BG444" i="2"/>
  <c r="BF444" i="2"/>
  <c r="CQ443" i="2"/>
  <c r="CP443" i="2"/>
  <c r="CO443" i="2"/>
  <c r="CN443" i="2"/>
  <c r="CM443" i="2"/>
  <c r="CL443" i="2"/>
  <c r="CK443" i="2"/>
  <c r="CJ443" i="2"/>
  <c r="CI443" i="2"/>
  <c r="CH443" i="2"/>
  <c r="CG443" i="2"/>
  <c r="CF443" i="2"/>
  <c r="CE443" i="2"/>
  <c r="CD443" i="2"/>
  <c r="CC443" i="2"/>
  <c r="CB443" i="2"/>
  <c r="CA443" i="2"/>
  <c r="BZ443" i="2"/>
  <c r="BY443" i="2"/>
  <c r="BX443" i="2"/>
  <c r="BW443" i="2"/>
  <c r="BV443" i="2"/>
  <c r="BU443" i="2"/>
  <c r="BT443" i="2"/>
  <c r="BS443" i="2"/>
  <c r="BR443" i="2"/>
  <c r="BQ443" i="2"/>
  <c r="BP443" i="2"/>
  <c r="BO443" i="2"/>
  <c r="BN443" i="2"/>
  <c r="BM443" i="2"/>
  <c r="BL443" i="2"/>
  <c r="BK443" i="2"/>
  <c r="BJ443" i="2"/>
  <c r="BI443" i="2"/>
  <c r="BH443" i="2"/>
  <c r="BG443" i="2"/>
  <c r="BF443" i="2"/>
  <c r="CQ442" i="2"/>
  <c r="CP442" i="2"/>
  <c r="CO442" i="2"/>
  <c r="CN442" i="2"/>
  <c r="CM442" i="2"/>
  <c r="CL442" i="2"/>
  <c r="CK442" i="2"/>
  <c r="CJ442" i="2"/>
  <c r="CI442" i="2"/>
  <c r="CH442" i="2"/>
  <c r="CG442" i="2"/>
  <c r="CF442" i="2"/>
  <c r="CE442" i="2"/>
  <c r="CD442" i="2"/>
  <c r="CC442" i="2"/>
  <c r="CB442" i="2"/>
  <c r="CA442" i="2"/>
  <c r="BZ442" i="2"/>
  <c r="BY442" i="2"/>
  <c r="BX442" i="2"/>
  <c r="BW442" i="2"/>
  <c r="BV442" i="2"/>
  <c r="BU442" i="2"/>
  <c r="BT442" i="2"/>
  <c r="BS442" i="2"/>
  <c r="BR442" i="2"/>
  <c r="BQ442" i="2"/>
  <c r="BP442" i="2"/>
  <c r="BO442" i="2"/>
  <c r="BN442" i="2"/>
  <c r="BM442" i="2"/>
  <c r="BL442" i="2"/>
  <c r="BK442" i="2"/>
  <c r="BJ442" i="2"/>
  <c r="BI442" i="2"/>
  <c r="BH442" i="2"/>
  <c r="BG442" i="2"/>
  <c r="BF442" i="2"/>
  <c r="CQ441" i="2"/>
  <c r="CP441" i="2"/>
  <c r="CO441" i="2"/>
  <c r="CN441" i="2"/>
  <c r="CM441" i="2"/>
  <c r="CL441" i="2"/>
  <c r="CK441" i="2"/>
  <c r="CJ441" i="2"/>
  <c r="CI441" i="2"/>
  <c r="CH441" i="2"/>
  <c r="CG441" i="2"/>
  <c r="CF441" i="2"/>
  <c r="CE441" i="2"/>
  <c r="CD441" i="2"/>
  <c r="CC441" i="2"/>
  <c r="CB441" i="2"/>
  <c r="CA441" i="2"/>
  <c r="BZ441" i="2"/>
  <c r="BY441" i="2"/>
  <c r="BX441" i="2"/>
  <c r="BW441" i="2"/>
  <c r="BV441" i="2"/>
  <c r="BU441" i="2"/>
  <c r="BT441" i="2"/>
  <c r="BS441" i="2"/>
  <c r="BR441" i="2"/>
  <c r="BQ441" i="2"/>
  <c r="BP441" i="2"/>
  <c r="BO441" i="2"/>
  <c r="BN441" i="2"/>
  <c r="BM441" i="2"/>
  <c r="BL441" i="2"/>
  <c r="BK441" i="2"/>
  <c r="BJ441" i="2"/>
  <c r="BI441" i="2"/>
  <c r="BH441" i="2"/>
  <c r="BG441" i="2"/>
  <c r="BF441" i="2"/>
  <c r="CQ440" i="2"/>
  <c r="CP440" i="2"/>
  <c r="CO440" i="2"/>
  <c r="CN440" i="2"/>
  <c r="CM440" i="2"/>
  <c r="CL440" i="2"/>
  <c r="CK440" i="2"/>
  <c r="CJ440" i="2"/>
  <c r="CI440" i="2"/>
  <c r="CH440" i="2"/>
  <c r="CG440" i="2"/>
  <c r="CF440" i="2"/>
  <c r="CE440" i="2"/>
  <c r="CD440" i="2"/>
  <c r="CC440" i="2"/>
  <c r="CB440" i="2"/>
  <c r="CA440" i="2"/>
  <c r="BZ440" i="2"/>
  <c r="BY440" i="2"/>
  <c r="BX440" i="2"/>
  <c r="BW440" i="2"/>
  <c r="BV440" i="2"/>
  <c r="BU440" i="2"/>
  <c r="BT440" i="2"/>
  <c r="BS440" i="2"/>
  <c r="BR440" i="2"/>
  <c r="BQ440" i="2"/>
  <c r="BP440" i="2"/>
  <c r="BO440" i="2"/>
  <c r="BN440" i="2"/>
  <c r="BM440" i="2"/>
  <c r="BL440" i="2"/>
  <c r="BK440" i="2"/>
  <c r="BJ440" i="2"/>
  <c r="BI440" i="2"/>
  <c r="BH440" i="2"/>
  <c r="BG440" i="2"/>
  <c r="BF440" i="2"/>
  <c r="CQ439" i="2"/>
  <c r="CP439" i="2"/>
  <c r="CO439" i="2"/>
  <c r="CN439" i="2"/>
  <c r="CM439" i="2"/>
  <c r="CL439" i="2"/>
  <c r="CK439" i="2"/>
  <c r="CJ439" i="2"/>
  <c r="CI439" i="2"/>
  <c r="CH439" i="2"/>
  <c r="CG439" i="2"/>
  <c r="CF439" i="2"/>
  <c r="CE439" i="2"/>
  <c r="CD439" i="2"/>
  <c r="CC439" i="2"/>
  <c r="CB439" i="2"/>
  <c r="CA439" i="2"/>
  <c r="BZ439" i="2"/>
  <c r="BY439" i="2"/>
  <c r="BX439" i="2"/>
  <c r="BW439" i="2"/>
  <c r="BV439" i="2"/>
  <c r="BU439" i="2"/>
  <c r="BT439" i="2"/>
  <c r="BS439" i="2"/>
  <c r="BR439" i="2"/>
  <c r="BQ439" i="2"/>
  <c r="BP439" i="2"/>
  <c r="BO439" i="2"/>
  <c r="BN439" i="2"/>
  <c r="BM439" i="2"/>
  <c r="BL439" i="2"/>
  <c r="BK439" i="2"/>
  <c r="BJ439" i="2"/>
  <c r="BI439" i="2"/>
  <c r="BH439" i="2"/>
  <c r="BG439" i="2"/>
  <c r="BF439" i="2"/>
  <c r="CQ438" i="2"/>
  <c r="CP438" i="2"/>
  <c r="CO438" i="2"/>
  <c r="CN438" i="2"/>
  <c r="CM438" i="2"/>
  <c r="CL438" i="2"/>
  <c r="CK438" i="2"/>
  <c r="CJ438" i="2"/>
  <c r="CI438" i="2"/>
  <c r="CH438" i="2"/>
  <c r="CG438" i="2"/>
  <c r="CF438" i="2"/>
  <c r="CE438" i="2"/>
  <c r="CD438" i="2"/>
  <c r="CC438" i="2"/>
  <c r="CB438" i="2"/>
  <c r="CA438" i="2"/>
  <c r="BZ438" i="2"/>
  <c r="BY438" i="2"/>
  <c r="BX438" i="2"/>
  <c r="BW438" i="2"/>
  <c r="BV438" i="2"/>
  <c r="BU438" i="2"/>
  <c r="BT438" i="2"/>
  <c r="BS438" i="2"/>
  <c r="BR438" i="2"/>
  <c r="BQ438" i="2"/>
  <c r="BP438" i="2"/>
  <c r="BO438" i="2"/>
  <c r="BN438" i="2"/>
  <c r="BM438" i="2"/>
  <c r="BL438" i="2"/>
  <c r="BK438" i="2"/>
  <c r="BJ438" i="2"/>
  <c r="BI438" i="2"/>
  <c r="BH438" i="2"/>
  <c r="BG438" i="2"/>
  <c r="BF438" i="2"/>
  <c r="CQ437" i="2"/>
  <c r="CP437" i="2"/>
  <c r="CO437" i="2"/>
  <c r="CN437" i="2"/>
  <c r="CM437" i="2"/>
  <c r="CL437" i="2"/>
  <c r="CK437" i="2"/>
  <c r="CJ437" i="2"/>
  <c r="CI437" i="2"/>
  <c r="CH437" i="2"/>
  <c r="CG437" i="2"/>
  <c r="CF437" i="2"/>
  <c r="CE437" i="2"/>
  <c r="CD437" i="2"/>
  <c r="CC437" i="2"/>
  <c r="CB437" i="2"/>
  <c r="CA437" i="2"/>
  <c r="BZ437" i="2"/>
  <c r="BY437" i="2"/>
  <c r="BX437" i="2"/>
  <c r="BW437" i="2"/>
  <c r="BV437" i="2"/>
  <c r="BU437" i="2"/>
  <c r="BT437" i="2"/>
  <c r="BS437" i="2"/>
  <c r="BR437" i="2"/>
  <c r="BQ437" i="2"/>
  <c r="BP437" i="2"/>
  <c r="BO437" i="2"/>
  <c r="BN437" i="2"/>
  <c r="BM437" i="2"/>
  <c r="BL437" i="2"/>
  <c r="BK437" i="2"/>
  <c r="BJ437" i="2"/>
  <c r="BI437" i="2"/>
  <c r="BH437" i="2"/>
  <c r="BG437" i="2"/>
  <c r="BF437" i="2"/>
  <c r="CQ436" i="2"/>
  <c r="CP436" i="2"/>
  <c r="CO436" i="2"/>
  <c r="CN436" i="2"/>
  <c r="CM436" i="2"/>
  <c r="CL436" i="2"/>
  <c r="CK436" i="2"/>
  <c r="CJ436" i="2"/>
  <c r="CI436" i="2"/>
  <c r="CH436" i="2"/>
  <c r="CG436" i="2"/>
  <c r="CF436" i="2"/>
  <c r="CE436" i="2"/>
  <c r="CD436" i="2"/>
  <c r="CC436" i="2"/>
  <c r="CB436" i="2"/>
  <c r="CA436" i="2"/>
  <c r="BZ436" i="2"/>
  <c r="BY436" i="2"/>
  <c r="BX436" i="2"/>
  <c r="BW436" i="2"/>
  <c r="BV436" i="2"/>
  <c r="BU436" i="2"/>
  <c r="BT436" i="2"/>
  <c r="BS436" i="2"/>
  <c r="BR436" i="2"/>
  <c r="BQ436" i="2"/>
  <c r="BP436" i="2"/>
  <c r="BO436" i="2"/>
  <c r="BN436" i="2"/>
  <c r="BM436" i="2"/>
  <c r="BL436" i="2"/>
  <c r="BK436" i="2"/>
  <c r="BJ436" i="2"/>
  <c r="BI436" i="2"/>
  <c r="BH436" i="2"/>
  <c r="BG436" i="2"/>
  <c r="BF436" i="2"/>
  <c r="CQ435" i="2"/>
  <c r="CP435" i="2"/>
  <c r="CO435" i="2"/>
  <c r="CN435" i="2"/>
  <c r="CM435" i="2"/>
  <c r="CL435" i="2"/>
  <c r="CK435" i="2"/>
  <c r="CJ435" i="2"/>
  <c r="CI435" i="2"/>
  <c r="CH435" i="2"/>
  <c r="CG435" i="2"/>
  <c r="CF435" i="2"/>
  <c r="CE435" i="2"/>
  <c r="CD435" i="2"/>
  <c r="CC435" i="2"/>
  <c r="CB435" i="2"/>
  <c r="CA435" i="2"/>
  <c r="BZ435" i="2"/>
  <c r="BY435" i="2"/>
  <c r="BX435" i="2"/>
  <c r="BW435" i="2"/>
  <c r="BV435" i="2"/>
  <c r="BU435" i="2"/>
  <c r="BT435" i="2"/>
  <c r="BS435" i="2"/>
  <c r="BR435" i="2"/>
  <c r="BQ435" i="2"/>
  <c r="BP435" i="2"/>
  <c r="BO435" i="2"/>
  <c r="BN435" i="2"/>
  <c r="BM435" i="2"/>
  <c r="BL435" i="2"/>
  <c r="BK435" i="2"/>
  <c r="BJ435" i="2"/>
  <c r="BI435" i="2"/>
  <c r="BH435" i="2"/>
  <c r="BG435" i="2"/>
  <c r="BF435" i="2"/>
  <c r="CQ434" i="2"/>
  <c r="CP434" i="2"/>
  <c r="CO434" i="2"/>
  <c r="CN434" i="2"/>
  <c r="CM434" i="2"/>
  <c r="CL434" i="2"/>
  <c r="CK434" i="2"/>
  <c r="CJ434" i="2"/>
  <c r="CI434" i="2"/>
  <c r="CH434" i="2"/>
  <c r="CG434" i="2"/>
  <c r="CF434" i="2"/>
  <c r="CE434" i="2"/>
  <c r="CD434" i="2"/>
  <c r="CC434" i="2"/>
  <c r="CB434" i="2"/>
  <c r="CA434" i="2"/>
  <c r="BZ434" i="2"/>
  <c r="BY434" i="2"/>
  <c r="BX434" i="2"/>
  <c r="BW434" i="2"/>
  <c r="BV434" i="2"/>
  <c r="BU434" i="2"/>
  <c r="BT434" i="2"/>
  <c r="BS434" i="2"/>
  <c r="BR434" i="2"/>
  <c r="BQ434" i="2"/>
  <c r="BP434" i="2"/>
  <c r="BO434" i="2"/>
  <c r="BN434" i="2"/>
  <c r="BM434" i="2"/>
  <c r="BL434" i="2"/>
  <c r="BK434" i="2"/>
  <c r="BJ434" i="2"/>
  <c r="BI434" i="2"/>
  <c r="BH434" i="2"/>
  <c r="BG434" i="2"/>
  <c r="BF434" i="2"/>
  <c r="CQ433" i="2"/>
  <c r="CP433" i="2"/>
  <c r="CO433" i="2"/>
  <c r="CN433" i="2"/>
  <c r="CM433" i="2"/>
  <c r="CL433" i="2"/>
  <c r="CK433" i="2"/>
  <c r="CJ433" i="2"/>
  <c r="CI433" i="2"/>
  <c r="CH433" i="2"/>
  <c r="CG433" i="2"/>
  <c r="CF433" i="2"/>
  <c r="CE433" i="2"/>
  <c r="CD433" i="2"/>
  <c r="CC433" i="2"/>
  <c r="CB433" i="2"/>
  <c r="CA433" i="2"/>
  <c r="BZ433" i="2"/>
  <c r="BY433" i="2"/>
  <c r="BX433" i="2"/>
  <c r="BW433" i="2"/>
  <c r="BV433" i="2"/>
  <c r="BU433" i="2"/>
  <c r="BT433" i="2"/>
  <c r="BS433" i="2"/>
  <c r="BR433" i="2"/>
  <c r="BQ433" i="2"/>
  <c r="BP433" i="2"/>
  <c r="BO433" i="2"/>
  <c r="BN433" i="2"/>
  <c r="BM433" i="2"/>
  <c r="BL433" i="2"/>
  <c r="BK433" i="2"/>
  <c r="BJ433" i="2"/>
  <c r="BI433" i="2"/>
  <c r="BH433" i="2"/>
  <c r="BG433" i="2"/>
  <c r="BF433" i="2"/>
  <c r="CQ432" i="2"/>
  <c r="CP432" i="2"/>
  <c r="CO432" i="2"/>
  <c r="CN432" i="2"/>
  <c r="CM432" i="2"/>
  <c r="CL432" i="2"/>
  <c r="CK432" i="2"/>
  <c r="CJ432" i="2"/>
  <c r="CI432" i="2"/>
  <c r="CH432" i="2"/>
  <c r="CG432" i="2"/>
  <c r="CF432" i="2"/>
  <c r="CE432" i="2"/>
  <c r="CD432" i="2"/>
  <c r="CC432" i="2"/>
  <c r="CB432" i="2"/>
  <c r="CA432" i="2"/>
  <c r="BZ432" i="2"/>
  <c r="BY432" i="2"/>
  <c r="BX432" i="2"/>
  <c r="BW432" i="2"/>
  <c r="BV432" i="2"/>
  <c r="BU432" i="2"/>
  <c r="BT432" i="2"/>
  <c r="BS432" i="2"/>
  <c r="BR432" i="2"/>
  <c r="BQ432" i="2"/>
  <c r="BP432" i="2"/>
  <c r="BO432" i="2"/>
  <c r="BN432" i="2"/>
  <c r="BM432" i="2"/>
  <c r="BL432" i="2"/>
  <c r="BK432" i="2"/>
  <c r="BJ432" i="2"/>
  <c r="BI432" i="2"/>
  <c r="BH432" i="2"/>
  <c r="BG432" i="2"/>
  <c r="BF432" i="2"/>
  <c r="CQ431" i="2"/>
  <c r="CP431" i="2"/>
  <c r="CO431" i="2"/>
  <c r="CN431" i="2"/>
  <c r="CM431" i="2"/>
  <c r="CL431" i="2"/>
  <c r="CK431" i="2"/>
  <c r="CJ431" i="2"/>
  <c r="CI431" i="2"/>
  <c r="CH431" i="2"/>
  <c r="CG431" i="2"/>
  <c r="CF431" i="2"/>
  <c r="CE431" i="2"/>
  <c r="CD431" i="2"/>
  <c r="CC431" i="2"/>
  <c r="CB431" i="2"/>
  <c r="CA431" i="2"/>
  <c r="BZ431" i="2"/>
  <c r="BY431" i="2"/>
  <c r="BX431" i="2"/>
  <c r="BW431" i="2"/>
  <c r="BV431" i="2"/>
  <c r="BU431" i="2"/>
  <c r="BT431" i="2"/>
  <c r="BS431" i="2"/>
  <c r="BR431" i="2"/>
  <c r="BQ431" i="2"/>
  <c r="BP431" i="2"/>
  <c r="BO431" i="2"/>
  <c r="BN431" i="2"/>
  <c r="BM431" i="2"/>
  <c r="BL431" i="2"/>
  <c r="BK431" i="2"/>
  <c r="BJ431" i="2"/>
  <c r="BI431" i="2"/>
  <c r="BH431" i="2"/>
  <c r="BG431" i="2"/>
  <c r="BF431" i="2"/>
  <c r="CQ430" i="2"/>
  <c r="CP430" i="2"/>
  <c r="CO430" i="2"/>
  <c r="CN430" i="2"/>
  <c r="CM430" i="2"/>
  <c r="CL430" i="2"/>
  <c r="CK430" i="2"/>
  <c r="CJ430" i="2"/>
  <c r="CI430" i="2"/>
  <c r="CH430" i="2"/>
  <c r="CG430" i="2"/>
  <c r="CF430" i="2"/>
  <c r="CE430" i="2"/>
  <c r="CD430" i="2"/>
  <c r="CC430" i="2"/>
  <c r="CB430" i="2"/>
  <c r="CA430" i="2"/>
  <c r="BZ430" i="2"/>
  <c r="BY430" i="2"/>
  <c r="BX430" i="2"/>
  <c r="BW430" i="2"/>
  <c r="BV430" i="2"/>
  <c r="BU430" i="2"/>
  <c r="BT430" i="2"/>
  <c r="BS430" i="2"/>
  <c r="BR430" i="2"/>
  <c r="BQ430" i="2"/>
  <c r="BP430" i="2"/>
  <c r="BO430" i="2"/>
  <c r="BN430" i="2"/>
  <c r="BM430" i="2"/>
  <c r="BL430" i="2"/>
  <c r="BK430" i="2"/>
  <c r="BJ430" i="2"/>
  <c r="BI430" i="2"/>
  <c r="BH430" i="2"/>
  <c r="BG430" i="2"/>
  <c r="BF430" i="2"/>
  <c r="CQ429" i="2"/>
  <c r="CP429" i="2"/>
  <c r="CO429" i="2"/>
  <c r="CN429" i="2"/>
  <c r="CM429" i="2"/>
  <c r="CL429" i="2"/>
  <c r="CK429" i="2"/>
  <c r="CJ429" i="2"/>
  <c r="CI429" i="2"/>
  <c r="CH429" i="2"/>
  <c r="CG429" i="2"/>
  <c r="CF429" i="2"/>
  <c r="CE429" i="2"/>
  <c r="CD429" i="2"/>
  <c r="CC429" i="2"/>
  <c r="CB429" i="2"/>
  <c r="CA429" i="2"/>
  <c r="BZ429" i="2"/>
  <c r="BY429" i="2"/>
  <c r="BX429" i="2"/>
  <c r="BW429" i="2"/>
  <c r="BV429" i="2"/>
  <c r="BU429" i="2"/>
  <c r="BT429" i="2"/>
  <c r="BS429" i="2"/>
  <c r="BR429" i="2"/>
  <c r="BQ429" i="2"/>
  <c r="BP429" i="2"/>
  <c r="BO429" i="2"/>
  <c r="BN429" i="2"/>
  <c r="BM429" i="2"/>
  <c r="BL429" i="2"/>
  <c r="BK429" i="2"/>
  <c r="BJ429" i="2"/>
  <c r="BI429" i="2"/>
  <c r="BH429" i="2"/>
  <c r="BG429" i="2"/>
  <c r="BF429" i="2"/>
  <c r="CQ428" i="2"/>
  <c r="CP428" i="2"/>
  <c r="CO428" i="2"/>
  <c r="CN428" i="2"/>
  <c r="CM428" i="2"/>
  <c r="CL428" i="2"/>
  <c r="CK428" i="2"/>
  <c r="CJ428" i="2"/>
  <c r="CI428" i="2"/>
  <c r="CH428" i="2"/>
  <c r="CG428" i="2"/>
  <c r="CF428" i="2"/>
  <c r="CE428" i="2"/>
  <c r="CD428" i="2"/>
  <c r="CC428" i="2"/>
  <c r="CB428" i="2"/>
  <c r="CA428" i="2"/>
  <c r="BZ428" i="2"/>
  <c r="BY428" i="2"/>
  <c r="BX428" i="2"/>
  <c r="BW428" i="2"/>
  <c r="BV428" i="2"/>
  <c r="BU428" i="2"/>
  <c r="BT428" i="2"/>
  <c r="BS428" i="2"/>
  <c r="BR428" i="2"/>
  <c r="BQ428" i="2"/>
  <c r="BP428" i="2"/>
  <c r="BO428" i="2"/>
  <c r="BN428" i="2"/>
  <c r="BM428" i="2"/>
  <c r="BL428" i="2"/>
  <c r="BK428" i="2"/>
  <c r="BJ428" i="2"/>
  <c r="BI428" i="2"/>
  <c r="BH428" i="2"/>
  <c r="BG428" i="2"/>
  <c r="BF428" i="2"/>
  <c r="CQ427" i="2"/>
  <c r="CP427" i="2"/>
  <c r="CO427" i="2"/>
  <c r="CN427" i="2"/>
  <c r="CM427" i="2"/>
  <c r="CL427" i="2"/>
  <c r="CK427" i="2"/>
  <c r="CJ427" i="2"/>
  <c r="CI427" i="2"/>
  <c r="CH427" i="2"/>
  <c r="CG427" i="2"/>
  <c r="CF427" i="2"/>
  <c r="CE427" i="2"/>
  <c r="CD427" i="2"/>
  <c r="CC427" i="2"/>
  <c r="CB427" i="2"/>
  <c r="CA427" i="2"/>
  <c r="BZ427" i="2"/>
  <c r="BY427" i="2"/>
  <c r="BX427" i="2"/>
  <c r="BW427" i="2"/>
  <c r="BV427" i="2"/>
  <c r="BU427" i="2"/>
  <c r="BT427" i="2"/>
  <c r="BS427" i="2"/>
  <c r="BR427" i="2"/>
  <c r="BQ427" i="2"/>
  <c r="BP427" i="2"/>
  <c r="BO427" i="2"/>
  <c r="BN427" i="2"/>
  <c r="BM427" i="2"/>
  <c r="BL427" i="2"/>
  <c r="BK427" i="2"/>
  <c r="BJ427" i="2"/>
  <c r="BI427" i="2"/>
  <c r="BH427" i="2"/>
  <c r="BG427" i="2"/>
  <c r="BF427" i="2"/>
  <c r="CQ426" i="2"/>
  <c r="CP426" i="2"/>
  <c r="CO426" i="2"/>
  <c r="CN426" i="2"/>
  <c r="CM426" i="2"/>
  <c r="CL426" i="2"/>
  <c r="CK426" i="2"/>
  <c r="CJ426" i="2"/>
  <c r="CI426" i="2"/>
  <c r="CH426" i="2"/>
  <c r="CG426" i="2"/>
  <c r="CF426" i="2"/>
  <c r="CE426" i="2"/>
  <c r="CD426" i="2"/>
  <c r="CC426" i="2"/>
  <c r="CB426" i="2"/>
  <c r="CA426" i="2"/>
  <c r="BZ426" i="2"/>
  <c r="BY426" i="2"/>
  <c r="BX426" i="2"/>
  <c r="BW426" i="2"/>
  <c r="BV426" i="2"/>
  <c r="BU426" i="2"/>
  <c r="BT426" i="2"/>
  <c r="BS426" i="2"/>
  <c r="BR426" i="2"/>
  <c r="BQ426" i="2"/>
  <c r="BP426" i="2"/>
  <c r="BO426" i="2"/>
  <c r="BN426" i="2"/>
  <c r="BM426" i="2"/>
  <c r="BL426" i="2"/>
  <c r="BK426" i="2"/>
  <c r="BJ426" i="2"/>
  <c r="BI426" i="2"/>
  <c r="BH426" i="2"/>
  <c r="BG426" i="2"/>
  <c r="BF426" i="2"/>
  <c r="CQ425" i="2"/>
  <c r="CP425" i="2"/>
  <c r="CO425" i="2"/>
  <c r="CN425" i="2"/>
  <c r="CM425" i="2"/>
  <c r="CL425" i="2"/>
  <c r="CK425" i="2"/>
  <c r="CJ425" i="2"/>
  <c r="CI425" i="2"/>
  <c r="CH425" i="2"/>
  <c r="CG425" i="2"/>
  <c r="CF425" i="2"/>
  <c r="CE425" i="2"/>
  <c r="CD425" i="2"/>
  <c r="CC425" i="2"/>
  <c r="CB425" i="2"/>
  <c r="CA425" i="2"/>
  <c r="BZ425" i="2"/>
  <c r="BY425" i="2"/>
  <c r="BX425" i="2"/>
  <c r="BW425" i="2"/>
  <c r="BV425" i="2"/>
  <c r="BU425" i="2"/>
  <c r="BT425" i="2"/>
  <c r="BS425" i="2"/>
  <c r="BR425" i="2"/>
  <c r="BQ425" i="2"/>
  <c r="BP425" i="2"/>
  <c r="BO425" i="2"/>
  <c r="BN425" i="2"/>
  <c r="BM425" i="2"/>
  <c r="BL425" i="2"/>
  <c r="BK425" i="2"/>
  <c r="BJ425" i="2"/>
  <c r="BI425" i="2"/>
  <c r="BH425" i="2"/>
  <c r="BG425" i="2"/>
  <c r="BF425" i="2"/>
  <c r="CQ424" i="2"/>
  <c r="CP424" i="2"/>
  <c r="CO424" i="2"/>
  <c r="CN424" i="2"/>
  <c r="CM424" i="2"/>
  <c r="CL424" i="2"/>
  <c r="CK424" i="2"/>
  <c r="CJ424" i="2"/>
  <c r="CI424" i="2"/>
  <c r="CH424" i="2"/>
  <c r="CG424" i="2"/>
  <c r="CF424" i="2"/>
  <c r="CE424" i="2"/>
  <c r="CD424" i="2"/>
  <c r="CC424" i="2"/>
  <c r="CB424" i="2"/>
  <c r="CA424" i="2"/>
  <c r="BZ424" i="2"/>
  <c r="BY424" i="2"/>
  <c r="BX424" i="2"/>
  <c r="BW424" i="2"/>
  <c r="BV424" i="2"/>
  <c r="BU424" i="2"/>
  <c r="BT424" i="2"/>
  <c r="BS424" i="2"/>
  <c r="BR424" i="2"/>
  <c r="BQ424" i="2"/>
  <c r="BP424" i="2"/>
  <c r="BO424" i="2"/>
  <c r="BN424" i="2"/>
  <c r="BM424" i="2"/>
  <c r="BL424" i="2"/>
  <c r="BK424" i="2"/>
  <c r="BJ424" i="2"/>
  <c r="BI424" i="2"/>
  <c r="BH424" i="2"/>
  <c r="BG424" i="2"/>
  <c r="BF424" i="2"/>
  <c r="CQ423" i="2"/>
  <c r="CP423" i="2"/>
  <c r="CO423" i="2"/>
  <c r="CN423" i="2"/>
  <c r="CM423" i="2"/>
  <c r="CL423" i="2"/>
  <c r="CK423" i="2"/>
  <c r="CJ423" i="2"/>
  <c r="CI423" i="2"/>
  <c r="CH423" i="2"/>
  <c r="CG423" i="2"/>
  <c r="CF423" i="2"/>
  <c r="CE423" i="2"/>
  <c r="CD423" i="2"/>
  <c r="CC423" i="2"/>
  <c r="CB423" i="2"/>
  <c r="CA423" i="2"/>
  <c r="BZ423" i="2"/>
  <c r="BY423" i="2"/>
  <c r="BX423" i="2"/>
  <c r="BW423" i="2"/>
  <c r="BV423" i="2"/>
  <c r="BU423" i="2"/>
  <c r="BT423" i="2"/>
  <c r="BS423" i="2"/>
  <c r="BR423" i="2"/>
  <c r="BQ423" i="2"/>
  <c r="BP423" i="2"/>
  <c r="BO423" i="2"/>
  <c r="BN423" i="2"/>
  <c r="BM423" i="2"/>
  <c r="BL423" i="2"/>
  <c r="BK423" i="2"/>
  <c r="BJ423" i="2"/>
  <c r="BI423" i="2"/>
  <c r="BH423" i="2"/>
  <c r="BG423" i="2"/>
  <c r="BF423" i="2"/>
  <c r="CQ422" i="2"/>
  <c r="CP422" i="2"/>
  <c r="CO422" i="2"/>
  <c r="CN422" i="2"/>
  <c r="CM422" i="2"/>
  <c r="CL422" i="2"/>
  <c r="CK422" i="2"/>
  <c r="CJ422" i="2"/>
  <c r="CI422" i="2"/>
  <c r="CH422" i="2"/>
  <c r="CG422" i="2"/>
  <c r="CF422" i="2"/>
  <c r="CE422" i="2"/>
  <c r="CD422" i="2"/>
  <c r="CC422" i="2"/>
  <c r="CB422" i="2"/>
  <c r="CA422" i="2"/>
  <c r="BZ422" i="2"/>
  <c r="BY422" i="2"/>
  <c r="BX422" i="2"/>
  <c r="BW422" i="2"/>
  <c r="BV422" i="2"/>
  <c r="BU422" i="2"/>
  <c r="BT422" i="2"/>
  <c r="BS422" i="2"/>
  <c r="BR422" i="2"/>
  <c r="BQ422" i="2"/>
  <c r="BP422" i="2"/>
  <c r="BO422" i="2"/>
  <c r="BN422" i="2"/>
  <c r="BM422" i="2"/>
  <c r="BL422" i="2"/>
  <c r="BK422" i="2"/>
  <c r="BJ422" i="2"/>
  <c r="BI422" i="2"/>
  <c r="BH422" i="2"/>
  <c r="BG422" i="2"/>
  <c r="BF422" i="2"/>
  <c r="CQ421" i="2"/>
  <c r="CP421" i="2"/>
  <c r="CO421" i="2"/>
  <c r="CN421" i="2"/>
  <c r="CM421" i="2"/>
  <c r="CL421" i="2"/>
  <c r="CK421" i="2"/>
  <c r="CJ421" i="2"/>
  <c r="CI421" i="2"/>
  <c r="CH421" i="2"/>
  <c r="CG421" i="2"/>
  <c r="CF421" i="2"/>
  <c r="CE421" i="2"/>
  <c r="CD421" i="2"/>
  <c r="CC421" i="2"/>
  <c r="CB421" i="2"/>
  <c r="CA421" i="2"/>
  <c r="BZ421" i="2"/>
  <c r="BY421" i="2"/>
  <c r="BX421" i="2"/>
  <c r="BW421" i="2"/>
  <c r="BV421" i="2"/>
  <c r="BU421" i="2"/>
  <c r="BT421" i="2"/>
  <c r="BS421" i="2"/>
  <c r="BR421" i="2"/>
  <c r="BQ421" i="2"/>
  <c r="BP421" i="2"/>
  <c r="BO421" i="2"/>
  <c r="BN421" i="2"/>
  <c r="BM421" i="2"/>
  <c r="BL421" i="2"/>
  <c r="BK421" i="2"/>
  <c r="BJ421" i="2"/>
  <c r="BI421" i="2"/>
  <c r="BH421" i="2"/>
  <c r="BG421" i="2"/>
  <c r="BF421" i="2"/>
  <c r="CQ420" i="2"/>
  <c r="CP420" i="2"/>
  <c r="CO420" i="2"/>
  <c r="CN420" i="2"/>
  <c r="CM420" i="2"/>
  <c r="CL420" i="2"/>
  <c r="CK420" i="2"/>
  <c r="CJ420" i="2"/>
  <c r="CI420" i="2"/>
  <c r="CH420" i="2"/>
  <c r="CG420" i="2"/>
  <c r="CF420" i="2"/>
  <c r="CE420" i="2"/>
  <c r="CD420" i="2"/>
  <c r="CC420" i="2"/>
  <c r="CB420" i="2"/>
  <c r="CA420" i="2"/>
  <c r="BZ420" i="2"/>
  <c r="BY420" i="2"/>
  <c r="BX420" i="2"/>
  <c r="BW420" i="2"/>
  <c r="BV420" i="2"/>
  <c r="BU420" i="2"/>
  <c r="BT420" i="2"/>
  <c r="BS420" i="2"/>
  <c r="BR420" i="2"/>
  <c r="BQ420" i="2"/>
  <c r="BP420" i="2"/>
  <c r="BO420" i="2"/>
  <c r="BN420" i="2"/>
  <c r="BM420" i="2"/>
  <c r="BL420" i="2"/>
  <c r="BK420" i="2"/>
  <c r="BJ420" i="2"/>
  <c r="BI420" i="2"/>
  <c r="BH420" i="2"/>
  <c r="BG420" i="2"/>
  <c r="BF420" i="2"/>
  <c r="CQ419" i="2"/>
  <c r="CP419" i="2"/>
  <c r="CO419" i="2"/>
  <c r="CN419" i="2"/>
  <c r="CM419" i="2"/>
  <c r="CL419" i="2"/>
  <c r="CK419" i="2"/>
  <c r="CJ419" i="2"/>
  <c r="CI419" i="2"/>
  <c r="CH419" i="2"/>
  <c r="CG419" i="2"/>
  <c r="CF419" i="2"/>
  <c r="CE419" i="2"/>
  <c r="CD419" i="2"/>
  <c r="CC419" i="2"/>
  <c r="CB419" i="2"/>
  <c r="CA419" i="2"/>
  <c r="BZ419" i="2"/>
  <c r="BY419" i="2"/>
  <c r="BX419" i="2"/>
  <c r="BW419" i="2"/>
  <c r="BV419" i="2"/>
  <c r="BU419" i="2"/>
  <c r="BT419" i="2"/>
  <c r="BS419" i="2"/>
  <c r="BR419" i="2"/>
  <c r="BQ419" i="2"/>
  <c r="BP419" i="2"/>
  <c r="BO419" i="2"/>
  <c r="BN419" i="2"/>
  <c r="BM419" i="2"/>
  <c r="BL419" i="2"/>
  <c r="BK419" i="2"/>
  <c r="BJ419" i="2"/>
  <c r="BI419" i="2"/>
  <c r="BH419" i="2"/>
  <c r="BG419" i="2"/>
  <c r="BF419" i="2"/>
  <c r="CQ418" i="2"/>
  <c r="CP418" i="2"/>
  <c r="CO418" i="2"/>
  <c r="CN418" i="2"/>
  <c r="CM418" i="2"/>
  <c r="CL418" i="2"/>
  <c r="CK418" i="2"/>
  <c r="CJ418" i="2"/>
  <c r="CI418" i="2"/>
  <c r="CH418" i="2"/>
  <c r="CG418" i="2"/>
  <c r="CF418" i="2"/>
  <c r="CE418" i="2"/>
  <c r="CD418" i="2"/>
  <c r="CC418" i="2"/>
  <c r="CB418" i="2"/>
  <c r="CA418" i="2"/>
  <c r="BZ418" i="2"/>
  <c r="BY418" i="2"/>
  <c r="BX418" i="2"/>
  <c r="BW418" i="2"/>
  <c r="BV418" i="2"/>
  <c r="BU418" i="2"/>
  <c r="BT418" i="2"/>
  <c r="BS418" i="2"/>
  <c r="BR418" i="2"/>
  <c r="BQ418" i="2"/>
  <c r="BP418" i="2"/>
  <c r="BO418" i="2"/>
  <c r="BN418" i="2"/>
  <c r="BM418" i="2"/>
  <c r="BL418" i="2"/>
  <c r="BK418" i="2"/>
  <c r="BJ418" i="2"/>
  <c r="BI418" i="2"/>
  <c r="BH418" i="2"/>
  <c r="BG418" i="2"/>
  <c r="BF418" i="2"/>
  <c r="CQ417" i="2"/>
  <c r="CP417" i="2"/>
  <c r="CO417" i="2"/>
  <c r="CN417" i="2"/>
  <c r="CM417" i="2"/>
  <c r="CL417" i="2"/>
  <c r="CK417" i="2"/>
  <c r="CJ417" i="2"/>
  <c r="CI417" i="2"/>
  <c r="CH417" i="2"/>
  <c r="CG417" i="2"/>
  <c r="CF417" i="2"/>
  <c r="CE417" i="2"/>
  <c r="CD417" i="2"/>
  <c r="CC417" i="2"/>
  <c r="CB417" i="2"/>
  <c r="CA417" i="2"/>
  <c r="BZ417" i="2"/>
  <c r="BY417" i="2"/>
  <c r="BX417" i="2"/>
  <c r="BW417" i="2"/>
  <c r="BV417" i="2"/>
  <c r="BU417" i="2"/>
  <c r="BT417" i="2"/>
  <c r="BS417" i="2"/>
  <c r="BR417" i="2"/>
  <c r="BQ417" i="2"/>
  <c r="BP417" i="2"/>
  <c r="BO417" i="2"/>
  <c r="BN417" i="2"/>
  <c r="BM417" i="2"/>
  <c r="BL417" i="2"/>
  <c r="BK417" i="2"/>
  <c r="BJ417" i="2"/>
  <c r="BI417" i="2"/>
  <c r="BH417" i="2"/>
  <c r="BG417" i="2"/>
  <c r="BF417" i="2"/>
  <c r="CQ416" i="2"/>
  <c r="CP416" i="2"/>
  <c r="CO416" i="2"/>
  <c r="CN416" i="2"/>
  <c r="CM416" i="2"/>
  <c r="CL416" i="2"/>
  <c r="CK416" i="2"/>
  <c r="CJ416" i="2"/>
  <c r="CI416" i="2"/>
  <c r="CH416" i="2"/>
  <c r="CG416" i="2"/>
  <c r="CF416" i="2"/>
  <c r="CE416" i="2"/>
  <c r="CD416" i="2"/>
  <c r="CC416" i="2"/>
  <c r="CB416" i="2"/>
  <c r="CA416" i="2"/>
  <c r="BZ416" i="2"/>
  <c r="BY416" i="2"/>
  <c r="BX416" i="2"/>
  <c r="BW416" i="2"/>
  <c r="BV416" i="2"/>
  <c r="BU416" i="2"/>
  <c r="BT416" i="2"/>
  <c r="BS416" i="2"/>
  <c r="BR416" i="2"/>
  <c r="BQ416" i="2"/>
  <c r="BP416" i="2"/>
  <c r="BO416" i="2"/>
  <c r="BN416" i="2"/>
  <c r="BM416" i="2"/>
  <c r="BL416" i="2"/>
  <c r="BK416" i="2"/>
  <c r="BJ416" i="2"/>
  <c r="BI416" i="2"/>
  <c r="BH416" i="2"/>
  <c r="BG416" i="2"/>
  <c r="BF416" i="2"/>
  <c r="CQ415" i="2"/>
  <c r="CP415" i="2"/>
  <c r="CO415" i="2"/>
  <c r="CN415" i="2"/>
  <c r="CM415" i="2"/>
  <c r="CL415" i="2"/>
  <c r="CK415" i="2"/>
  <c r="CJ415" i="2"/>
  <c r="CI415" i="2"/>
  <c r="CH415" i="2"/>
  <c r="CG415" i="2"/>
  <c r="CF415" i="2"/>
  <c r="CE415" i="2"/>
  <c r="CD415" i="2"/>
  <c r="CC415" i="2"/>
  <c r="CB415" i="2"/>
  <c r="CA415" i="2"/>
  <c r="BZ415" i="2"/>
  <c r="BY415" i="2"/>
  <c r="BX415" i="2"/>
  <c r="BW415" i="2"/>
  <c r="BV415" i="2"/>
  <c r="BU415" i="2"/>
  <c r="BT415" i="2"/>
  <c r="BS415" i="2"/>
  <c r="BR415" i="2"/>
  <c r="BQ415" i="2"/>
  <c r="BP415" i="2"/>
  <c r="BO415" i="2"/>
  <c r="BN415" i="2"/>
  <c r="BM415" i="2"/>
  <c r="BL415" i="2"/>
  <c r="BK415" i="2"/>
  <c r="BJ415" i="2"/>
  <c r="BI415" i="2"/>
  <c r="BH415" i="2"/>
  <c r="BG415" i="2"/>
  <c r="BF415" i="2"/>
  <c r="CQ414" i="2"/>
  <c r="CP414" i="2"/>
  <c r="CO414" i="2"/>
  <c r="CN414" i="2"/>
  <c r="CM414" i="2"/>
  <c r="CL414" i="2"/>
  <c r="CK414" i="2"/>
  <c r="CJ414" i="2"/>
  <c r="CI414" i="2"/>
  <c r="CH414" i="2"/>
  <c r="CG414" i="2"/>
  <c r="CF414" i="2"/>
  <c r="CE414" i="2"/>
  <c r="CD414" i="2"/>
  <c r="CC414" i="2"/>
  <c r="CB414" i="2"/>
  <c r="CA414" i="2"/>
  <c r="BZ414" i="2"/>
  <c r="BY414" i="2"/>
  <c r="BX414" i="2"/>
  <c r="BW414" i="2"/>
  <c r="BV414" i="2"/>
  <c r="BU414" i="2"/>
  <c r="BT414" i="2"/>
  <c r="BS414" i="2"/>
  <c r="BR414" i="2"/>
  <c r="BQ414" i="2"/>
  <c r="BP414" i="2"/>
  <c r="BO414" i="2"/>
  <c r="BN414" i="2"/>
  <c r="BM414" i="2"/>
  <c r="BL414" i="2"/>
  <c r="BK414" i="2"/>
  <c r="BJ414" i="2"/>
  <c r="BI414" i="2"/>
  <c r="BH414" i="2"/>
  <c r="BG414" i="2"/>
  <c r="BF414" i="2"/>
  <c r="CQ413" i="2"/>
  <c r="CP413" i="2"/>
  <c r="CO413" i="2"/>
  <c r="CN413" i="2"/>
  <c r="CM413" i="2"/>
  <c r="CL413" i="2"/>
  <c r="CK413" i="2"/>
  <c r="CJ413" i="2"/>
  <c r="CI413" i="2"/>
  <c r="CH413" i="2"/>
  <c r="CG413" i="2"/>
  <c r="CF413" i="2"/>
  <c r="CE413" i="2"/>
  <c r="CD413" i="2"/>
  <c r="CC413" i="2"/>
  <c r="CB413" i="2"/>
  <c r="CA413" i="2"/>
  <c r="BZ413" i="2"/>
  <c r="BY413" i="2"/>
  <c r="BX413" i="2"/>
  <c r="BW413" i="2"/>
  <c r="BV413" i="2"/>
  <c r="BU413" i="2"/>
  <c r="BT413" i="2"/>
  <c r="BS413" i="2"/>
  <c r="BR413" i="2"/>
  <c r="BQ413" i="2"/>
  <c r="BP413" i="2"/>
  <c r="BO413" i="2"/>
  <c r="BN413" i="2"/>
  <c r="BM413" i="2"/>
  <c r="BL413" i="2"/>
  <c r="BK413" i="2"/>
  <c r="BJ413" i="2"/>
  <c r="BI413" i="2"/>
  <c r="BH413" i="2"/>
  <c r="BG413" i="2"/>
  <c r="BF413" i="2"/>
  <c r="CQ412" i="2"/>
  <c r="CP412" i="2"/>
  <c r="CO412" i="2"/>
  <c r="CN412" i="2"/>
  <c r="CM412" i="2"/>
  <c r="CL412" i="2"/>
  <c r="CK412" i="2"/>
  <c r="CJ412" i="2"/>
  <c r="CI412" i="2"/>
  <c r="CH412" i="2"/>
  <c r="CG412" i="2"/>
  <c r="CF412" i="2"/>
  <c r="CE412" i="2"/>
  <c r="CD412" i="2"/>
  <c r="CC412" i="2"/>
  <c r="CB412" i="2"/>
  <c r="CA412" i="2"/>
  <c r="BZ412" i="2"/>
  <c r="BY412" i="2"/>
  <c r="BX412" i="2"/>
  <c r="BW412" i="2"/>
  <c r="BV412" i="2"/>
  <c r="BU412" i="2"/>
  <c r="BT412" i="2"/>
  <c r="BS412" i="2"/>
  <c r="BR412" i="2"/>
  <c r="BQ412" i="2"/>
  <c r="BP412" i="2"/>
  <c r="BO412" i="2"/>
  <c r="BN412" i="2"/>
  <c r="BM412" i="2"/>
  <c r="BL412" i="2"/>
  <c r="BK412" i="2"/>
  <c r="BJ412" i="2"/>
  <c r="BI412" i="2"/>
  <c r="BH412" i="2"/>
  <c r="BG412" i="2"/>
  <c r="BF412" i="2"/>
  <c r="CQ411" i="2"/>
  <c r="CP411" i="2"/>
  <c r="CO411" i="2"/>
  <c r="CN411" i="2"/>
  <c r="CM411" i="2"/>
  <c r="CL411" i="2"/>
  <c r="CK411" i="2"/>
  <c r="CJ411" i="2"/>
  <c r="CI411" i="2"/>
  <c r="CH411" i="2"/>
  <c r="CG411" i="2"/>
  <c r="CF411" i="2"/>
  <c r="CE411" i="2"/>
  <c r="CD411" i="2"/>
  <c r="CC411" i="2"/>
  <c r="CB411" i="2"/>
  <c r="CA411" i="2"/>
  <c r="BZ411" i="2"/>
  <c r="BY411" i="2"/>
  <c r="BX411" i="2"/>
  <c r="BW411" i="2"/>
  <c r="BV411" i="2"/>
  <c r="BU411" i="2"/>
  <c r="BT411" i="2"/>
  <c r="BS411" i="2"/>
  <c r="BR411" i="2"/>
  <c r="BQ411" i="2"/>
  <c r="BP411" i="2"/>
  <c r="BO411" i="2"/>
  <c r="BN411" i="2"/>
  <c r="BM411" i="2"/>
  <c r="BL411" i="2"/>
  <c r="BK411" i="2"/>
  <c r="BJ411" i="2"/>
  <c r="BI411" i="2"/>
  <c r="BH411" i="2"/>
  <c r="BG411" i="2"/>
  <c r="BF411" i="2"/>
  <c r="CQ410" i="2"/>
  <c r="CP410" i="2"/>
  <c r="CO410" i="2"/>
  <c r="CN410" i="2"/>
  <c r="CM410" i="2"/>
  <c r="CL410" i="2"/>
  <c r="CK410" i="2"/>
  <c r="CJ410" i="2"/>
  <c r="CI410" i="2"/>
  <c r="CH410" i="2"/>
  <c r="CG410" i="2"/>
  <c r="CF410" i="2"/>
  <c r="CE410" i="2"/>
  <c r="CD410" i="2"/>
  <c r="CC410" i="2"/>
  <c r="CB410" i="2"/>
  <c r="CA410" i="2"/>
  <c r="BZ410" i="2"/>
  <c r="BY410" i="2"/>
  <c r="BX410" i="2"/>
  <c r="BW410" i="2"/>
  <c r="BV410" i="2"/>
  <c r="BU410" i="2"/>
  <c r="BT410" i="2"/>
  <c r="BS410" i="2"/>
  <c r="BR410" i="2"/>
  <c r="BQ410" i="2"/>
  <c r="BP410" i="2"/>
  <c r="BO410" i="2"/>
  <c r="BN410" i="2"/>
  <c r="BM410" i="2"/>
  <c r="BL410" i="2"/>
  <c r="BK410" i="2"/>
  <c r="BJ410" i="2"/>
  <c r="BI410" i="2"/>
  <c r="BH410" i="2"/>
  <c r="BG410" i="2"/>
  <c r="BF410" i="2"/>
  <c r="CQ409" i="2"/>
  <c r="CP409" i="2"/>
  <c r="CO409" i="2"/>
  <c r="CN409" i="2"/>
  <c r="CM409" i="2"/>
  <c r="CL409" i="2"/>
  <c r="CK409" i="2"/>
  <c r="CJ409" i="2"/>
  <c r="CI409" i="2"/>
  <c r="CH409" i="2"/>
  <c r="CG409" i="2"/>
  <c r="CF409" i="2"/>
  <c r="CE409" i="2"/>
  <c r="CD409" i="2"/>
  <c r="CC409" i="2"/>
  <c r="CB409" i="2"/>
  <c r="CA409" i="2"/>
  <c r="BZ409" i="2"/>
  <c r="BY409" i="2"/>
  <c r="BX409" i="2"/>
  <c r="BW409" i="2"/>
  <c r="BV409" i="2"/>
  <c r="BU409" i="2"/>
  <c r="BT409" i="2"/>
  <c r="BS409" i="2"/>
  <c r="BR409" i="2"/>
  <c r="BQ409" i="2"/>
  <c r="BP409" i="2"/>
  <c r="BO409" i="2"/>
  <c r="BN409" i="2"/>
  <c r="BM409" i="2"/>
  <c r="BL409" i="2"/>
  <c r="BK409" i="2"/>
  <c r="BJ409" i="2"/>
  <c r="BI409" i="2"/>
  <c r="BH409" i="2"/>
  <c r="BG409" i="2"/>
  <c r="BF409" i="2"/>
  <c r="CQ408" i="2"/>
  <c r="CP408" i="2"/>
  <c r="CO408" i="2"/>
  <c r="CN408" i="2"/>
  <c r="CM408" i="2"/>
  <c r="CL408" i="2"/>
  <c r="CK408" i="2"/>
  <c r="CJ408" i="2"/>
  <c r="CI408" i="2"/>
  <c r="CH408" i="2"/>
  <c r="CG408" i="2"/>
  <c r="CF408" i="2"/>
  <c r="CE408" i="2"/>
  <c r="CD408" i="2"/>
  <c r="CC408" i="2"/>
  <c r="CB408" i="2"/>
  <c r="CA408" i="2"/>
  <c r="BZ408" i="2"/>
  <c r="BY408" i="2"/>
  <c r="BX408" i="2"/>
  <c r="BW408" i="2"/>
  <c r="BV408" i="2"/>
  <c r="BU408" i="2"/>
  <c r="BT408" i="2"/>
  <c r="BS408" i="2"/>
  <c r="BR408" i="2"/>
  <c r="BQ408" i="2"/>
  <c r="BP408" i="2"/>
  <c r="BO408" i="2"/>
  <c r="BN408" i="2"/>
  <c r="BM408" i="2"/>
  <c r="BL408" i="2"/>
  <c r="BK408" i="2"/>
  <c r="BJ408" i="2"/>
  <c r="BI408" i="2"/>
  <c r="BH408" i="2"/>
  <c r="BG408" i="2"/>
  <c r="BF408" i="2"/>
  <c r="CQ407" i="2"/>
  <c r="CP407" i="2"/>
  <c r="CO407" i="2"/>
  <c r="CN407" i="2"/>
  <c r="CM407" i="2"/>
  <c r="CL407" i="2"/>
  <c r="CK407" i="2"/>
  <c r="CJ407" i="2"/>
  <c r="CI407" i="2"/>
  <c r="CH407" i="2"/>
  <c r="CG407" i="2"/>
  <c r="CF407" i="2"/>
  <c r="CE407" i="2"/>
  <c r="CD407" i="2"/>
  <c r="CC407" i="2"/>
  <c r="CB407" i="2"/>
  <c r="CA407" i="2"/>
  <c r="BZ407" i="2"/>
  <c r="BY407" i="2"/>
  <c r="BX407" i="2"/>
  <c r="BW407" i="2"/>
  <c r="BV407" i="2"/>
  <c r="BU407" i="2"/>
  <c r="BT407" i="2"/>
  <c r="BS407" i="2"/>
  <c r="BR407" i="2"/>
  <c r="BQ407" i="2"/>
  <c r="BP407" i="2"/>
  <c r="BO407" i="2"/>
  <c r="BN407" i="2"/>
  <c r="BM407" i="2"/>
  <c r="BL407" i="2"/>
  <c r="BK407" i="2"/>
  <c r="BJ407" i="2"/>
  <c r="BI407" i="2"/>
  <c r="BH407" i="2"/>
  <c r="BG407" i="2"/>
  <c r="BF407" i="2"/>
  <c r="CQ406" i="2"/>
  <c r="CP406" i="2"/>
  <c r="CO406" i="2"/>
  <c r="CN406" i="2"/>
  <c r="CM406" i="2"/>
  <c r="CL406" i="2"/>
  <c r="CK406" i="2"/>
  <c r="CJ406" i="2"/>
  <c r="CI406" i="2"/>
  <c r="CH406" i="2"/>
  <c r="CG406" i="2"/>
  <c r="CF406" i="2"/>
  <c r="CE406" i="2"/>
  <c r="CD406" i="2"/>
  <c r="CC406" i="2"/>
  <c r="CB406" i="2"/>
  <c r="CA406" i="2"/>
  <c r="BZ406" i="2"/>
  <c r="BY406" i="2"/>
  <c r="BX406" i="2"/>
  <c r="BW406" i="2"/>
  <c r="BV406" i="2"/>
  <c r="BU406" i="2"/>
  <c r="BT406" i="2"/>
  <c r="BS406" i="2"/>
  <c r="BR406" i="2"/>
  <c r="BQ406" i="2"/>
  <c r="BP406" i="2"/>
  <c r="BO406" i="2"/>
  <c r="BN406" i="2"/>
  <c r="BM406" i="2"/>
  <c r="BL406" i="2"/>
  <c r="BK406" i="2"/>
  <c r="BJ406" i="2"/>
  <c r="BI406" i="2"/>
  <c r="BH406" i="2"/>
  <c r="BG406" i="2"/>
  <c r="BF406" i="2"/>
  <c r="CQ405" i="2"/>
  <c r="CP405" i="2"/>
  <c r="CO405" i="2"/>
  <c r="CN405" i="2"/>
  <c r="CM405" i="2"/>
  <c r="CL405" i="2"/>
  <c r="CK405" i="2"/>
  <c r="CJ405" i="2"/>
  <c r="CI405" i="2"/>
  <c r="CH405" i="2"/>
  <c r="CG405" i="2"/>
  <c r="CF405" i="2"/>
  <c r="CE405" i="2"/>
  <c r="CD405" i="2"/>
  <c r="CC405" i="2"/>
  <c r="CB405" i="2"/>
  <c r="CA405" i="2"/>
  <c r="BZ405" i="2"/>
  <c r="BY405" i="2"/>
  <c r="BX405" i="2"/>
  <c r="BW405" i="2"/>
  <c r="BV405" i="2"/>
  <c r="BU405" i="2"/>
  <c r="BT405" i="2"/>
  <c r="BS405" i="2"/>
  <c r="BR405" i="2"/>
  <c r="BQ405" i="2"/>
  <c r="BP405" i="2"/>
  <c r="BO405" i="2"/>
  <c r="BN405" i="2"/>
  <c r="BM405" i="2"/>
  <c r="BL405" i="2"/>
  <c r="BK405" i="2"/>
  <c r="BJ405" i="2"/>
  <c r="BI405" i="2"/>
  <c r="BH405" i="2"/>
  <c r="BG405" i="2"/>
  <c r="BF405" i="2"/>
  <c r="CQ404" i="2"/>
  <c r="CP404" i="2"/>
  <c r="CO404" i="2"/>
  <c r="CN404" i="2"/>
  <c r="CM404" i="2"/>
  <c r="CL404" i="2"/>
  <c r="CK404" i="2"/>
  <c r="CJ404" i="2"/>
  <c r="CI404" i="2"/>
  <c r="CH404" i="2"/>
  <c r="CG404" i="2"/>
  <c r="CF404" i="2"/>
  <c r="CE404" i="2"/>
  <c r="CD404" i="2"/>
  <c r="CC404" i="2"/>
  <c r="CB404" i="2"/>
  <c r="CA404" i="2"/>
  <c r="BZ404" i="2"/>
  <c r="BY404" i="2"/>
  <c r="BX404" i="2"/>
  <c r="BW404" i="2"/>
  <c r="BV404" i="2"/>
  <c r="BU404" i="2"/>
  <c r="BT404" i="2"/>
  <c r="BS404" i="2"/>
  <c r="BR404" i="2"/>
  <c r="BQ404" i="2"/>
  <c r="BP404" i="2"/>
  <c r="BO404" i="2"/>
  <c r="BN404" i="2"/>
  <c r="BM404" i="2"/>
  <c r="BL404" i="2"/>
  <c r="BK404" i="2"/>
  <c r="BJ404" i="2"/>
  <c r="BI404" i="2"/>
  <c r="BH404" i="2"/>
  <c r="BG404" i="2"/>
  <c r="BF404" i="2"/>
  <c r="CQ403" i="2"/>
  <c r="CP403" i="2"/>
  <c r="CO403" i="2"/>
  <c r="CN403" i="2"/>
  <c r="CM403" i="2"/>
  <c r="CL403" i="2"/>
  <c r="CK403" i="2"/>
  <c r="CJ403" i="2"/>
  <c r="CI403" i="2"/>
  <c r="CH403" i="2"/>
  <c r="CG403" i="2"/>
  <c r="CF403" i="2"/>
  <c r="CE403" i="2"/>
  <c r="CD403" i="2"/>
  <c r="CC403" i="2"/>
  <c r="CB403" i="2"/>
  <c r="CA403" i="2"/>
  <c r="BZ403" i="2"/>
  <c r="BY403" i="2"/>
  <c r="BX403" i="2"/>
  <c r="BW403" i="2"/>
  <c r="BV403" i="2"/>
  <c r="BU403" i="2"/>
  <c r="BT403" i="2"/>
  <c r="BS403" i="2"/>
  <c r="BR403" i="2"/>
  <c r="BQ403" i="2"/>
  <c r="BP403" i="2"/>
  <c r="BO403" i="2"/>
  <c r="BN403" i="2"/>
  <c r="BM403" i="2"/>
  <c r="BL403" i="2"/>
  <c r="BK403" i="2"/>
  <c r="BJ403" i="2"/>
  <c r="BI403" i="2"/>
  <c r="BH403" i="2"/>
  <c r="BG403" i="2"/>
  <c r="BF403" i="2"/>
  <c r="CQ402" i="2"/>
  <c r="CP402" i="2"/>
  <c r="CO402" i="2"/>
  <c r="CN402" i="2"/>
  <c r="CM402" i="2"/>
  <c r="CL402" i="2"/>
  <c r="CK402" i="2"/>
  <c r="CJ402" i="2"/>
  <c r="CI402" i="2"/>
  <c r="CH402" i="2"/>
  <c r="CG402" i="2"/>
  <c r="CF402" i="2"/>
  <c r="CE402" i="2"/>
  <c r="CD402" i="2"/>
  <c r="CC402" i="2"/>
  <c r="CB402" i="2"/>
  <c r="CA402" i="2"/>
  <c r="BZ402" i="2"/>
  <c r="BY402" i="2"/>
  <c r="BX402" i="2"/>
  <c r="BW402" i="2"/>
  <c r="BV402" i="2"/>
  <c r="BU402" i="2"/>
  <c r="BT402" i="2"/>
  <c r="BS402" i="2"/>
  <c r="BR402" i="2"/>
  <c r="BQ402" i="2"/>
  <c r="BP402" i="2"/>
  <c r="BO402" i="2"/>
  <c r="BN402" i="2"/>
  <c r="BM402" i="2"/>
  <c r="BL402" i="2"/>
  <c r="BK402" i="2"/>
  <c r="BJ402" i="2"/>
  <c r="BI402" i="2"/>
  <c r="BH402" i="2"/>
  <c r="BG402" i="2"/>
  <c r="BF402" i="2"/>
  <c r="CQ401" i="2"/>
  <c r="CP401" i="2"/>
  <c r="CO401" i="2"/>
  <c r="CN401" i="2"/>
  <c r="CM401" i="2"/>
  <c r="CL401" i="2"/>
  <c r="CK401" i="2"/>
  <c r="CJ401" i="2"/>
  <c r="CI401" i="2"/>
  <c r="CH401" i="2"/>
  <c r="CG401" i="2"/>
  <c r="CF401" i="2"/>
  <c r="CE401" i="2"/>
  <c r="CD401" i="2"/>
  <c r="CC401" i="2"/>
  <c r="CB401" i="2"/>
  <c r="CA401" i="2"/>
  <c r="BZ401" i="2"/>
  <c r="BY401" i="2"/>
  <c r="BX401" i="2"/>
  <c r="BW401" i="2"/>
  <c r="BV401" i="2"/>
  <c r="BU401" i="2"/>
  <c r="BT401" i="2"/>
  <c r="BS401" i="2"/>
  <c r="BR401" i="2"/>
  <c r="BQ401" i="2"/>
  <c r="BP401" i="2"/>
  <c r="BO401" i="2"/>
  <c r="BN401" i="2"/>
  <c r="BM401" i="2"/>
  <c r="BL401" i="2"/>
  <c r="BK401" i="2"/>
  <c r="BJ401" i="2"/>
  <c r="BI401" i="2"/>
  <c r="BH401" i="2"/>
  <c r="BG401" i="2"/>
  <c r="BF401" i="2"/>
  <c r="CQ400" i="2"/>
  <c r="CP400" i="2"/>
  <c r="CO400" i="2"/>
  <c r="CN400" i="2"/>
  <c r="CM400" i="2"/>
  <c r="CL400" i="2"/>
  <c r="CK400" i="2"/>
  <c r="CJ400" i="2"/>
  <c r="CI400" i="2"/>
  <c r="CH400" i="2"/>
  <c r="CG400" i="2"/>
  <c r="CF400" i="2"/>
  <c r="CE400" i="2"/>
  <c r="CD400" i="2"/>
  <c r="CC400" i="2"/>
  <c r="CB400" i="2"/>
  <c r="CA400" i="2"/>
  <c r="BZ400" i="2"/>
  <c r="BY400" i="2"/>
  <c r="BX400" i="2"/>
  <c r="BW400" i="2"/>
  <c r="BV400" i="2"/>
  <c r="BU400" i="2"/>
  <c r="BT400" i="2"/>
  <c r="BS400" i="2"/>
  <c r="BR400" i="2"/>
  <c r="BQ400" i="2"/>
  <c r="BP400" i="2"/>
  <c r="BO400" i="2"/>
  <c r="BN400" i="2"/>
  <c r="BM400" i="2"/>
  <c r="BL400" i="2"/>
  <c r="BK400" i="2"/>
  <c r="BJ400" i="2"/>
  <c r="BI400" i="2"/>
  <c r="BH400" i="2"/>
  <c r="BG400" i="2"/>
  <c r="BF400" i="2"/>
  <c r="CQ399" i="2"/>
  <c r="CP399" i="2"/>
  <c r="CO399" i="2"/>
  <c r="CN399" i="2"/>
  <c r="CM399" i="2"/>
  <c r="CL399" i="2"/>
  <c r="CK399" i="2"/>
  <c r="CJ399" i="2"/>
  <c r="CI399" i="2"/>
  <c r="CH399" i="2"/>
  <c r="CG399" i="2"/>
  <c r="CF399" i="2"/>
  <c r="CE399" i="2"/>
  <c r="CD399" i="2"/>
  <c r="CC399" i="2"/>
  <c r="CB399" i="2"/>
  <c r="CA399" i="2"/>
  <c r="BZ399" i="2"/>
  <c r="BY399" i="2"/>
  <c r="BX399" i="2"/>
  <c r="BW399" i="2"/>
  <c r="BV399" i="2"/>
  <c r="BU399" i="2"/>
  <c r="BT399" i="2"/>
  <c r="BS399" i="2"/>
  <c r="BR399" i="2"/>
  <c r="BQ399" i="2"/>
  <c r="BP399" i="2"/>
  <c r="BO399" i="2"/>
  <c r="BN399" i="2"/>
  <c r="BM399" i="2"/>
  <c r="BL399" i="2"/>
  <c r="BK399" i="2"/>
  <c r="BJ399" i="2"/>
  <c r="BI399" i="2"/>
  <c r="BH399" i="2"/>
  <c r="BG399" i="2"/>
  <c r="BF399" i="2"/>
  <c r="CQ398" i="2"/>
  <c r="CP398" i="2"/>
  <c r="CO398" i="2"/>
  <c r="CN398" i="2"/>
  <c r="CM398" i="2"/>
  <c r="CL398" i="2"/>
  <c r="CK398" i="2"/>
  <c r="CJ398" i="2"/>
  <c r="CI398" i="2"/>
  <c r="CH398" i="2"/>
  <c r="CG398" i="2"/>
  <c r="CF398" i="2"/>
  <c r="CE398" i="2"/>
  <c r="CD398" i="2"/>
  <c r="CC398" i="2"/>
  <c r="CB398" i="2"/>
  <c r="CA398" i="2"/>
  <c r="BZ398" i="2"/>
  <c r="BY398" i="2"/>
  <c r="BX398" i="2"/>
  <c r="BW398" i="2"/>
  <c r="BV398" i="2"/>
  <c r="BU398" i="2"/>
  <c r="BT398" i="2"/>
  <c r="BS398" i="2"/>
  <c r="BR398" i="2"/>
  <c r="BQ398" i="2"/>
  <c r="BP398" i="2"/>
  <c r="BO398" i="2"/>
  <c r="BN398" i="2"/>
  <c r="BM398" i="2"/>
  <c r="BL398" i="2"/>
  <c r="BK398" i="2"/>
  <c r="BJ398" i="2"/>
  <c r="BI398" i="2"/>
  <c r="BH398" i="2"/>
  <c r="BG398" i="2"/>
  <c r="BF398" i="2"/>
  <c r="CQ397" i="2"/>
  <c r="CP397" i="2"/>
  <c r="CO397" i="2"/>
  <c r="CN397" i="2"/>
  <c r="CM397" i="2"/>
  <c r="CL397" i="2"/>
  <c r="CK397" i="2"/>
  <c r="CJ397" i="2"/>
  <c r="CI397" i="2"/>
  <c r="CH397" i="2"/>
  <c r="CG397" i="2"/>
  <c r="CF397" i="2"/>
  <c r="CE397" i="2"/>
  <c r="CD397" i="2"/>
  <c r="CC397" i="2"/>
  <c r="CB397" i="2"/>
  <c r="CA397" i="2"/>
  <c r="BZ397" i="2"/>
  <c r="BY397" i="2"/>
  <c r="BX397" i="2"/>
  <c r="BW397" i="2"/>
  <c r="BV397" i="2"/>
  <c r="BU397" i="2"/>
  <c r="BT397" i="2"/>
  <c r="BS397" i="2"/>
  <c r="BR397" i="2"/>
  <c r="BQ397" i="2"/>
  <c r="BP397" i="2"/>
  <c r="BO397" i="2"/>
  <c r="BN397" i="2"/>
  <c r="BM397" i="2"/>
  <c r="BL397" i="2"/>
  <c r="BK397" i="2"/>
  <c r="BJ397" i="2"/>
  <c r="BI397" i="2"/>
  <c r="BH397" i="2"/>
  <c r="BG397" i="2"/>
  <c r="BF397" i="2"/>
  <c r="CQ396" i="2"/>
  <c r="CP396" i="2"/>
  <c r="CO396" i="2"/>
  <c r="CN396" i="2"/>
  <c r="CM396" i="2"/>
  <c r="CL396" i="2"/>
  <c r="CK396" i="2"/>
  <c r="CJ396" i="2"/>
  <c r="CI396" i="2"/>
  <c r="CH396" i="2"/>
  <c r="CG396" i="2"/>
  <c r="CF396" i="2"/>
  <c r="CE396" i="2"/>
  <c r="CD396" i="2"/>
  <c r="CC396" i="2"/>
  <c r="CB396" i="2"/>
  <c r="CA396" i="2"/>
  <c r="BZ396" i="2"/>
  <c r="BY396" i="2"/>
  <c r="BX396" i="2"/>
  <c r="BW396" i="2"/>
  <c r="BV396" i="2"/>
  <c r="BU396" i="2"/>
  <c r="BT396" i="2"/>
  <c r="BS396" i="2"/>
  <c r="BR396" i="2"/>
  <c r="BQ396" i="2"/>
  <c r="BP396" i="2"/>
  <c r="BO396" i="2"/>
  <c r="BN396" i="2"/>
  <c r="BM396" i="2"/>
  <c r="BL396" i="2"/>
  <c r="BK396" i="2"/>
  <c r="BJ396" i="2"/>
  <c r="BI396" i="2"/>
  <c r="BH396" i="2"/>
  <c r="BG396" i="2"/>
  <c r="BF396" i="2"/>
  <c r="CQ395" i="2"/>
  <c r="CP395" i="2"/>
  <c r="CO395" i="2"/>
  <c r="CN395" i="2"/>
  <c r="CM395" i="2"/>
  <c r="CL395" i="2"/>
  <c r="CK395" i="2"/>
  <c r="CJ395" i="2"/>
  <c r="CI395" i="2"/>
  <c r="CH395" i="2"/>
  <c r="CG395" i="2"/>
  <c r="CF395" i="2"/>
  <c r="CE395" i="2"/>
  <c r="CD395" i="2"/>
  <c r="CC395" i="2"/>
  <c r="CB395" i="2"/>
  <c r="CA395" i="2"/>
  <c r="BZ395" i="2"/>
  <c r="BY395" i="2"/>
  <c r="BX395" i="2"/>
  <c r="BW395" i="2"/>
  <c r="BV395" i="2"/>
  <c r="BU395" i="2"/>
  <c r="BT395" i="2"/>
  <c r="BS395" i="2"/>
  <c r="BR395" i="2"/>
  <c r="BQ395" i="2"/>
  <c r="BP395" i="2"/>
  <c r="BO395" i="2"/>
  <c r="BN395" i="2"/>
  <c r="BM395" i="2"/>
  <c r="BL395" i="2"/>
  <c r="BK395" i="2"/>
  <c r="BJ395" i="2"/>
  <c r="BI395" i="2"/>
  <c r="BH395" i="2"/>
  <c r="BG395" i="2"/>
  <c r="BF395" i="2"/>
  <c r="CQ394" i="2"/>
  <c r="CP394" i="2"/>
  <c r="CO394" i="2"/>
  <c r="CN394" i="2"/>
  <c r="CM394" i="2"/>
  <c r="CL394" i="2"/>
  <c r="CK394" i="2"/>
  <c r="CJ394" i="2"/>
  <c r="CI394" i="2"/>
  <c r="CH394" i="2"/>
  <c r="CG394" i="2"/>
  <c r="CF394" i="2"/>
  <c r="CE394" i="2"/>
  <c r="CD394" i="2"/>
  <c r="CC394" i="2"/>
  <c r="CB394" i="2"/>
  <c r="CA394" i="2"/>
  <c r="BZ394" i="2"/>
  <c r="BY394" i="2"/>
  <c r="BX394" i="2"/>
  <c r="BW394" i="2"/>
  <c r="BV394" i="2"/>
  <c r="BU394" i="2"/>
  <c r="BT394" i="2"/>
  <c r="BS394" i="2"/>
  <c r="BR394" i="2"/>
  <c r="BQ394" i="2"/>
  <c r="BP394" i="2"/>
  <c r="BO394" i="2"/>
  <c r="BN394" i="2"/>
  <c r="BM394" i="2"/>
  <c r="BL394" i="2"/>
  <c r="BK394" i="2"/>
  <c r="BJ394" i="2"/>
  <c r="BI394" i="2"/>
  <c r="BH394" i="2"/>
  <c r="BG394" i="2"/>
  <c r="BF394" i="2"/>
  <c r="CQ393" i="2"/>
  <c r="CP393" i="2"/>
  <c r="CO393" i="2"/>
  <c r="CN393" i="2"/>
  <c r="CM393" i="2"/>
  <c r="CL393" i="2"/>
  <c r="CK393" i="2"/>
  <c r="CJ393" i="2"/>
  <c r="CI393" i="2"/>
  <c r="CH393" i="2"/>
  <c r="CG393" i="2"/>
  <c r="CF393" i="2"/>
  <c r="CE393" i="2"/>
  <c r="CD393" i="2"/>
  <c r="CC393" i="2"/>
  <c r="CB393" i="2"/>
  <c r="CA393" i="2"/>
  <c r="BZ393" i="2"/>
  <c r="BY393" i="2"/>
  <c r="BX393" i="2"/>
  <c r="BW393" i="2"/>
  <c r="BV393" i="2"/>
  <c r="BU393" i="2"/>
  <c r="BT393" i="2"/>
  <c r="BS393" i="2"/>
  <c r="BR393" i="2"/>
  <c r="BQ393" i="2"/>
  <c r="BP393" i="2"/>
  <c r="BO393" i="2"/>
  <c r="BN393" i="2"/>
  <c r="BM393" i="2"/>
  <c r="BL393" i="2"/>
  <c r="BK393" i="2"/>
  <c r="BJ393" i="2"/>
  <c r="BI393" i="2"/>
  <c r="BH393" i="2"/>
  <c r="BG393" i="2"/>
  <c r="BF393" i="2"/>
  <c r="CQ392" i="2"/>
  <c r="CP392" i="2"/>
  <c r="CO392" i="2"/>
  <c r="CN392" i="2"/>
  <c r="CM392" i="2"/>
  <c r="CL392" i="2"/>
  <c r="CK392" i="2"/>
  <c r="CJ392" i="2"/>
  <c r="CI392" i="2"/>
  <c r="CH392" i="2"/>
  <c r="CG392" i="2"/>
  <c r="CF392" i="2"/>
  <c r="CE392" i="2"/>
  <c r="CD392" i="2"/>
  <c r="CC392" i="2"/>
  <c r="CB392" i="2"/>
  <c r="CA392" i="2"/>
  <c r="BZ392" i="2"/>
  <c r="BY392" i="2"/>
  <c r="BX392" i="2"/>
  <c r="BW392" i="2"/>
  <c r="BV392" i="2"/>
  <c r="BU392" i="2"/>
  <c r="BT392" i="2"/>
  <c r="BS392" i="2"/>
  <c r="BR392" i="2"/>
  <c r="BQ392" i="2"/>
  <c r="BP392" i="2"/>
  <c r="BO392" i="2"/>
  <c r="BN392" i="2"/>
  <c r="BM392" i="2"/>
  <c r="BL392" i="2"/>
  <c r="BK392" i="2"/>
  <c r="BJ392" i="2"/>
  <c r="BI392" i="2"/>
  <c r="BH392" i="2"/>
  <c r="BG392" i="2"/>
  <c r="BF392" i="2"/>
  <c r="CQ391" i="2"/>
  <c r="CP391" i="2"/>
  <c r="CO391" i="2"/>
  <c r="CN391" i="2"/>
  <c r="CM391" i="2"/>
  <c r="CL391" i="2"/>
  <c r="CK391" i="2"/>
  <c r="CJ391" i="2"/>
  <c r="CI391" i="2"/>
  <c r="CH391" i="2"/>
  <c r="CG391" i="2"/>
  <c r="CF391" i="2"/>
  <c r="CE391" i="2"/>
  <c r="CD391" i="2"/>
  <c r="CC391" i="2"/>
  <c r="CB391" i="2"/>
  <c r="CA391" i="2"/>
  <c r="BZ391" i="2"/>
  <c r="BY391" i="2"/>
  <c r="BX391" i="2"/>
  <c r="BW391" i="2"/>
  <c r="BV391" i="2"/>
  <c r="BU391" i="2"/>
  <c r="BT391" i="2"/>
  <c r="BS391" i="2"/>
  <c r="BR391" i="2"/>
  <c r="BQ391" i="2"/>
  <c r="BP391" i="2"/>
  <c r="BO391" i="2"/>
  <c r="BN391" i="2"/>
  <c r="BM391" i="2"/>
  <c r="BL391" i="2"/>
  <c r="BK391" i="2"/>
  <c r="BJ391" i="2"/>
  <c r="BI391" i="2"/>
  <c r="BH391" i="2"/>
  <c r="BG391" i="2"/>
  <c r="BF391" i="2"/>
  <c r="CQ390" i="2"/>
  <c r="CP390" i="2"/>
  <c r="CO390" i="2"/>
  <c r="CN390" i="2"/>
  <c r="CM390" i="2"/>
  <c r="CL390" i="2"/>
  <c r="CK390" i="2"/>
  <c r="CJ390" i="2"/>
  <c r="CI390" i="2"/>
  <c r="CH390" i="2"/>
  <c r="CG390" i="2"/>
  <c r="CF390" i="2"/>
  <c r="CE390" i="2"/>
  <c r="CD390" i="2"/>
  <c r="CC390" i="2"/>
  <c r="CB390" i="2"/>
  <c r="CA390" i="2"/>
  <c r="BZ390" i="2"/>
  <c r="BY390" i="2"/>
  <c r="BX390" i="2"/>
  <c r="BW390" i="2"/>
  <c r="BV390" i="2"/>
  <c r="BU390" i="2"/>
  <c r="BT390" i="2"/>
  <c r="BS390" i="2"/>
  <c r="BR390" i="2"/>
  <c r="BQ390" i="2"/>
  <c r="BP390" i="2"/>
  <c r="BO390" i="2"/>
  <c r="BN390" i="2"/>
  <c r="BM390" i="2"/>
  <c r="BL390" i="2"/>
  <c r="BK390" i="2"/>
  <c r="BJ390" i="2"/>
  <c r="BI390" i="2"/>
  <c r="BH390" i="2"/>
  <c r="BG390" i="2"/>
  <c r="BF390" i="2"/>
  <c r="CQ389" i="2"/>
  <c r="CP389" i="2"/>
  <c r="CO389" i="2"/>
  <c r="CN389" i="2"/>
  <c r="CM389" i="2"/>
  <c r="CL389" i="2"/>
  <c r="CK389" i="2"/>
  <c r="CJ389" i="2"/>
  <c r="CI389" i="2"/>
  <c r="CH389" i="2"/>
  <c r="CG389" i="2"/>
  <c r="CF389" i="2"/>
  <c r="CE389" i="2"/>
  <c r="CD389" i="2"/>
  <c r="CC389" i="2"/>
  <c r="CB389" i="2"/>
  <c r="CA389" i="2"/>
  <c r="BZ389" i="2"/>
  <c r="BY389" i="2"/>
  <c r="BX389" i="2"/>
  <c r="BW389" i="2"/>
  <c r="BV389" i="2"/>
  <c r="BU389" i="2"/>
  <c r="BT389" i="2"/>
  <c r="BS389" i="2"/>
  <c r="BR389" i="2"/>
  <c r="BQ389" i="2"/>
  <c r="BP389" i="2"/>
  <c r="BO389" i="2"/>
  <c r="BN389" i="2"/>
  <c r="BM389" i="2"/>
  <c r="BL389" i="2"/>
  <c r="BK389" i="2"/>
  <c r="BJ389" i="2"/>
  <c r="BI389" i="2"/>
  <c r="BH389" i="2"/>
  <c r="BG389" i="2"/>
  <c r="BF389" i="2"/>
  <c r="CQ388" i="2"/>
  <c r="CP388" i="2"/>
  <c r="CO388" i="2"/>
  <c r="CN388" i="2"/>
  <c r="CM388" i="2"/>
  <c r="CL388" i="2"/>
  <c r="CK388" i="2"/>
  <c r="CJ388" i="2"/>
  <c r="CI388" i="2"/>
  <c r="CH388" i="2"/>
  <c r="CG388" i="2"/>
  <c r="CF388" i="2"/>
  <c r="CE388" i="2"/>
  <c r="CD388" i="2"/>
  <c r="CC388" i="2"/>
  <c r="CB388" i="2"/>
  <c r="CA388" i="2"/>
  <c r="BZ388" i="2"/>
  <c r="BY388" i="2"/>
  <c r="BX388" i="2"/>
  <c r="BW388" i="2"/>
  <c r="BV388" i="2"/>
  <c r="BU388" i="2"/>
  <c r="BT388" i="2"/>
  <c r="BS388" i="2"/>
  <c r="BR388" i="2"/>
  <c r="BQ388" i="2"/>
  <c r="BP388" i="2"/>
  <c r="BO388" i="2"/>
  <c r="BN388" i="2"/>
  <c r="BM388" i="2"/>
  <c r="BL388" i="2"/>
  <c r="BK388" i="2"/>
  <c r="BJ388" i="2"/>
  <c r="BI388" i="2"/>
  <c r="BH388" i="2"/>
  <c r="BG388" i="2"/>
  <c r="BF388" i="2"/>
  <c r="CQ387" i="2"/>
  <c r="CP387" i="2"/>
  <c r="CO387" i="2"/>
  <c r="CN387" i="2"/>
  <c r="CM387" i="2"/>
  <c r="CL387" i="2"/>
  <c r="CK387" i="2"/>
  <c r="CJ387" i="2"/>
  <c r="CI387" i="2"/>
  <c r="CH387" i="2"/>
  <c r="CG387" i="2"/>
  <c r="CF387" i="2"/>
  <c r="CE387" i="2"/>
  <c r="CD387" i="2"/>
  <c r="CC387" i="2"/>
  <c r="CB387" i="2"/>
  <c r="CA387" i="2"/>
  <c r="BZ387" i="2"/>
  <c r="BY387" i="2"/>
  <c r="BX387" i="2"/>
  <c r="BW387" i="2"/>
  <c r="BV387" i="2"/>
  <c r="BU387" i="2"/>
  <c r="BT387" i="2"/>
  <c r="BS387" i="2"/>
  <c r="BR387" i="2"/>
  <c r="BQ387" i="2"/>
  <c r="BP387" i="2"/>
  <c r="BO387" i="2"/>
  <c r="BN387" i="2"/>
  <c r="BM387" i="2"/>
  <c r="BL387" i="2"/>
  <c r="BK387" i="2"/>
  <c r="BJ387" i="2"/>
  <c r="BI387" i="2"/>
  <c r="BH387" i="2"/>
  <c r="BG387" i="2"/>
  <c r="BF387" i="2"/>
  <c r="CQ386" i="2"/>
  <c r="CP386" i="2"/>
  <c r="CO386" i="2"/>
  <c r="CN386" i="2"/>
  <c r="CM386" i="2"/>
  <c r="CL386" i="2"/>
  <c r="CK386" i="2"/>
  <c r="CJ386" i="2"/>
  <c r="CI386" i="2"/>
  <c r="CH386" i="2"/>
  <c r="CG386" i="2"/>
  <c r="CF386" i="2"/>
  <c r="CE386" i="2"/>
  <c r="CD386" i="2"/>
  <c r="CC386" i="2"/>
  <c r="CB386" i="2"/>
  <c r="CA386" i="2"/>
  <c r="BZ386" i="2"/>
  <c r="BY386" i="2"/>
  <c r="BX386" i="2"/>
  <c r="BW386" i="2"/>
  <c r="BV386" i="2"/>
  <c r="BU386" i="2"/>
  <c r="BT386" i="2"/>
  <c r="BS386" i="2"/>
  <c r="BR386" i="2"/>
  <c r="BQ386" i="2"/>
  <c r="BP386" i="2"/>
  <c r="BO386" i="2"/>
  <c r="BN386" i="2"/>
  <c r="BM386" i="2"/>
  <c r="BL386" i="2"/>
  <c r="BK386" i="2"/>
  <c r="BJ386" i="2"/>
  <c r="BI386" i="2"/>
  <c r="BH386" i="2"/>
  <c r="BG386" i="2"/>
  <c r="BF386" i="2"/>
  <c r="CQ385" i="2"/>
  <c r="CP385" i="2"/>
  <c r="CO385" i="2"/>
  <c r="CN385" i="2"/>
  <c r="CM385" i="2"/>
  <c r="CL385" i="2"/>
  <c r="CK385" i="2"/>
  <c r="CJ385" i="2"/>
  <c r="CI385" i="2"/>
  <c r="CH385" i="2"/>
  <c r="CG385" i="2"/>
  <c r="CF385" i="2"/>
  <c r="CE385" i="2"/>
  <c r="CD385" i="2"/>
  <c r="CC385" i="2"/>
  <c r="CB385" i="2"/>
  <c r="CA385" i="2"/>
  <c r="BZ385" i="2"/>
  <c r="BY385" i="2"/>
  <c r="BX385" i="2"/>
  <c r="BW385" i="2"/>
  <c r="BV385" i="2"/>
  <c r="BU385" i="2"/>
  <c r="BT385" i="2"/>
  <c r="BS385" i="2"/>
  <c r="BR385" i="2"/>
  <c r="BQ385" i="2"/>
  <c r="BP385" i="2"/>
  <c r="BO385" i="2"/>
  <c r="BN385" i="2"/>
  <c r="BM385" i="2"/>
  <c r="BL385" i="2"/>
  <c r="BK385" i="2"/>
  <c r="BJ385" i="2"/>
  <c r="BI385" i="2"/>
  <c r="BH385" i="2"/>
  <c r="BG385" i="2"/>
  <c r="BF385" i="2"/>
  <c r="CQ384" i="2"/>
  <c r="CP384" i="2"/>
  <c r="CO384" i="2"/>
  <c r="CN384" i="2"/>
  <c r="CM384" i="2"/>
  <c r="CL384" i="2"/>
  <c r="CK384" i="2"/>
  <c r="CJ384" i="2"/>
  <c r="CI384" i="2"/>
  <c r="CH384" i="2"/>
  <c r="CG384" i="2"/>
  <c r="CF384" i="2"/>
  <c r="CE384" i="2"/>
  <c r="CD384" i="2"/>
  <c r="CC384" i="2"/>
  <c r="CB384" i="2"/>
  <c r="CA384" i="2"/>
  <c r="BZ384" i="2"/>
  <c r="BY384" i="2"/>
  <c r="BX384" i="2"/>
  <c r="BW384" i="2"/>
  <c r="BV384" i="2"/>
  <c r="BU384" i="2"/>
  <c r="BT384" i="2"/>
  <c r="BS384" i="2"/>
  <c r="BR384" i="2"/>
  <c r="BQ384" i="2"/>
  <c r="BP384" i="2"/>
  <c r="BO384" i="2"/>
  <c r="BN384" i="2"/>
  <c r="BM384" i="2"/>
  <c r="BL384" i="2"/>
  <c r="BK384" i="2"/>
  <c r="BJ384" i="2"/>
  <c r="BI384" i="2"/>
  <c r="BH384" i="2"/>
  <c r="BG384" i="2"/>
  <c r="BF384" i="2"/>
  <c r="CQ383" i="2"/>
  <c r="CP383" i="2"/>
  <c r="CO383" i="2"/>
  <c r="CN383" i="2"/>
  <c r="CM383" i="2"/>
  <c r="CL383" i="2"/>
  <c r="CK383" i="2"/>
  <c r="CJ383" i="2"/>
  <c r="CI383" i="2"/>
  <c r="CH383" i="2"/>
  <c r="CG383" i="2"/>
  <c r="CF383" i="2"/>
  <c r="CE383" i="2"/>
  <c r="CD383" i="2"/>
  <c r="CC383" i="2"/>
  <c r="CB383" i="2"/>
  <c r="CA383" i="2"/>
  <c r="BZ383" i="2"/>
  <c r="BY383" i="2"/>
  <c r="BX383" i="2"/>
  <c r="BW383" i="2"/>
  <c r="BV383" i="2"/>
  <c r="BU383" i="2"/>
  <c r="BT383" i="2"/>
  <c r="BS383" i="2"/>
  <c r="BR383" i="2"/>
  <c r="BQ383" i="2"/>
  <c r="BP383" i="2"/>
  <c r="BO383" i="2"/>
  <c r="BN383" i="2"/>
  <c r="BM383" i="2"/>
  <c r="BL383" i="2"/>
  <c r="BK383" i="2"/>
  <c r="BJ383" i="2"/>
  <c r="BI383" i="2"/>
  <c r="BH383" i="2"/>
  <c r="BG383" i="2"/>
  <c r="BF383" i="2"/>
  <c r="CQ382" i="2"/>
  <c r="CP382" i="2"/>
  <c r="CO382" i="2"/>
  <c r="CN382" i="2"/>
  <c r="CM382" i="2"/>
  <c r="CL382" i="2"/>
  <c r="CK382" i="2"/>
  <c r="CJ382" i="2"/>
  <c r="CI382" i="2"/>
  <c r="CH382" i="2"/>
  <c r="CG382" i="2"/>
  <c r="CF382" i="2"/>
  <c r="CE382" i="2"/>
  <c r="CD382" i="2"/>
  <c r="CC382" i="2"/>
  <c r="CB382" i="2"/>
  <c r="CA382" i="2"/>
  <c r="BZ382" i="2"/>
  <c r="BY382" i="2"/>
  <c r="BX382" i="2"/>
  <c r="BW382" i="2"/>
  <c r="BV382" i="2"/>
  <c r="BU382" i="2"/>
  <c r="BT382" i="2"/>
  <c r="BS382" i="2"/>
  <c r="BR382" i="2"/>
  <c r="BQ382" i="2"/>
  <c r="BP382" i="2"/>
  <c r="BO382" i="2"/>
  <c r="BN382" i="2"/>
  <c r="BM382" i="2"/>
  <c r="BL382" i="2"/>
  <c r="BK382" i="2"/>
  <c r="BJ382" i="2"/>
  <c r="BI382" i="2"/>
  <c r="BH382" i="2"/>
  <c r="BG382" i="2"/>
  <c r="BF382" i="2"/>
  <c r="CQ381" i="2"/>
  <c r="CP381" i="2"/>
  <c r="CO381" i="2"/>
  <c r="CN381" i="2"/>
  <c r="CM381" i="2"/>
  <c r="CL381" i="2"/>
  <c r="CK381" i="2"/>
  <c r="CJ381" i="2"/>
  <c r="CI381" i="2"/>
  <c r="CH381" i="2"/>
  <c r="CG381" i="2"/>
  <c r="CF381" i="2"/>
  <c r="CE381" i="2"/>
  <c r="CD381" i="2"/>
  <c r="CC381" i="2"/>
  <c r="CB381" i="2"/>
  <c r="CA381" i="2"/>
  <c r="BZ381" i="2"/>
  <c r="BY381" i="2"/>
  <c r="BX381" i="2"/>
  <c r="BW381" i="2"/>
  <c r="BV381" i="2"/>
  <c r="BU381" i="2"/>
  <c r="BT381" i="2"/>
  <c r="BS381" i="2"/>
  <c r="BR381" i="2"/>
  <c r="BQ381" i="2"/>
  <c r="BP381" i="2"/>
  <c r="BO381" i="2"/>
  <c r="BN381" i="2"/>
  <c r="BM381" i="2"/>
  <c r="BL381" i="2"/>
  <c r="BK381" i="2"/>
  <c r="BJ381" i="2"/>
  <c r="BI381" i="2"/>
  <c r="BH381" i="2"/>
  <c r="BG381" i="2"/>
  <c r="BF381" i="2"/>
  <c r="CQ380" i="2"/>
  <c r="CP380" i="2"/>
  <c r="CO380" i="2"/>
  <c r="CN380" i="2"/>
  <c r="CM380" i="2"/>
  <c r="CL380" i="2"/>
  <c r="CK380" i="2"/>
  <c r="CJ380" i="2"/>
  <c r="CI380" i="2"/>
  <c r="CH380" i="2"/>
  <c r="CG380" i="2"/>
  <c r="CF380" i="2"/>
  <c r="CE380" i="2"/>
  <c r="CD380" i="2"/>
  <c r="CC380" i="2"/>
  <c r="CB380" i="2"/>
  <c r="CA380" i="2"/>
  <c r="BZ380" i="2"/>
  <c r="BY380" i="2"/>
  <c r="BX380" i="2"/>
  <c r="BW380" i="2"/>
  <c r="BV380" i="2"/>
  <c r="BU380" i="2"/>
  <c r="BT380" i="2"/>
  <c r="BS380" i="2"/>
  <c r="BR380" i="2"/>
  <c r="BQ380" i="2"/>
  <c r="BP380" i="2"/>
  <c r="BO380" i="2"/>
  <c r="BN380" i="2"/>
  <c r="BM380" i="2"/>
  <c r="BL380" i="2"/>
  <c r="BK380" i="2"/>
  <c r="BJ380" i="2"/>
  <c r="BI380" i="2"/>
  <c r="BH380" i="2"/>
  <c r="BG380" i="2"/>
  <c r="BF380" i="2"/>
  <c r="CQ379" i="2"/>
  <c r="CP379" i="2"/>
  <c r="CO379" i="2"/>
  <c r="CN379" i="2"/>
  <c r="CM379" i="2"/>
  <c r="CL379" i="2"/>
  <c r="CK379" i="2"/>
  <c r="CJ379" i="2"/>
  <c r="CI379" i="2"/>
  <c r="CH379" i="2"/>
  <c r="CG379" i="2"/>
  <c r="CF379" i="2"/>
  <c r="CE379" i="2"/>
  <c r="CD379" i="2"/>
  <c r="CC379" i="2"/>
  <c r="CB379" i="2"/>
  <c r="CA379" i="2"/>
  <c r="BZ379" i="2"/>
  <c r="BY379" i="2"/>
  <c r="BX379" i="2"/>
  <c r="BW379" i="2"/>
  <c r="BV379" i="2"/>
  <c r="BU379" i="2"/>
  <c r="BT379" i="2"/>
  <c r="BS379" i="2"/>
  <c r="BR379" i="2"/>
  <c r="BQ379" i="2"/>
  <c r="BP379" i="2"/>
  <c r="BO379" i="2"/>
  <c r="BN379" i="2"/>
  <c r="BM379" i="2"/>
  <c r="BL379" i="2"/>
  <c r="BK379" i="2"/>
  <c r="BJ379" i="2"/>
  <c r="BI379" i="2"/>
  <c r="BH379" i="2"/>
  <c r="BG379" i="2"/>
  <c r="BF379" i="2"/>
  <c r="CQ378" i="2"/>
  <c r="CP378" i="2"/>
  <c r="CO378" i="2"/>
  <c r="CN378" i="2"/>
  <c r="CM378" i="2"/>
  <c r="CL378" i="2"/>
  <c r="CK378" i="2"/>
  <c r="CJ378" i="2"/>
  <c r="CI378" i="2"/>
  <c r="CH378" i="2"/>
  <c r="CG378" i="2"/>
  <c r="CF378" i="2"/>
  <c r="CE378" i="2"/>
  <c r="CD378" i="2"/>
  <c r="CC378" i="2"/>
  <c r="CB378" i="2"/>
  <c r="CA378" i="2"/>
  <c r="BZ378" i="2"/>
  <c r="BY378" i="2"/>
  <c r="BX378" i="2"/>
  <c r="BW378" i="2"/>
  <c r="BV378" i="2"/>
  <c r="BU378" i="2"/>
  <c r="BT378" i="2"/>
  <c r="BS378" i="2"/>
  <c r="BR378" i="2"/>
  <c r="BQ378" i="2"/>
  <c r="BP378" i="2"/>
  <c r="BO378" i="2"/>
  <c r="BN378" i="2"/>
  <c r="BM378" i="2"/>
  <c r="BL378" i="2"/>
  <c r="BK378" i="2"/>
  <c r="BJ378" i="2"/>
  <c r="BI378" i="2"/>
  <c r="BH378" i="2"/>
  <c r="BG378" i="2"/>
  <c r="BF378" i="2"/>
  <c r="CQ377" i="2"/>
  <c r="CP377" i="2"/>
  <c r="CO377" i="2"/>
  <c r="CN377" i="2"/>
  <c r="CM377" i="2"/>
  <c r="CL377" i="2"/>
  <c r="CK377" i="2"/>
  <c r="CJ377" i="2"/>
  <c r="CI377" i="2"/>
  <c r="CH377" i="2"/>
  <c r="CG377" i="2"/>
  <c r="CF377" i="2"/>
  <c r="CE377" i="2"/>
  <c r="CD377" i="2"/>
  <c r="CC377" i="2"/>
  <c r="CB377" i="2"/>
  <c r="CA377" i="2"/>
  <c r="BZ377" i="2"/>
  <c r="BY377" i="2"/>
  <c r="BX377" i="2"/>
  <c r="BW377" i="2"/>
  <c r="BV377" i="2"/>
  <c r="BU377" i="2"/>
  <c r="BT377" i="2"/>
  <c r="BS377" i="2"/>
  <c r="BR377" i="2"/>
  <c r="BQ377" i="2"/>
  <c r="BP377" i="2"/>
  <c r="BO377" i="2"/>
  <c r="BN377" i="2"/>
  <c r="BM377" i="2"/>
  <c r="BL377" i="2"/>
  <c r="BK377" i="2"/>
  <c r="BJ377" i="2"/>
  <c r="BI377" i="2"/>
  <c r="BH377" i="2"/>
  <c r="BG377" i="2"/>
  <c r="BF377" i="2"/>
  <c r="CQ376" i="2"/>
  <c r="CP376" i="2"/>
  <c r="CO376" i="2"/>
  <c r="CN376" i="2"/>
  <c r="CM376" i="2"/>
  <c r="CL376" i="2"/>
  <c r="CK376" i="2"/>
  <c r="CJ376" i="2"/>
  <c r="CI376" i="2"/>
  <c r="CH376" i="2"/>
  <c r="CG376" i="2"/>
  <c r="CF376" i="2"/>
  <c r="CE376" i="2"/>
  <c r="CD376" i="2"/>
  <c r="CC376" i="2"/>
  <c r="CB376" i="2"/>
  <c r="CA376" i="2"/>
  <c r="BZ376" i="2"/>
  <c r="BY376" i="2"/>
  <c r="BX376" i="2"/>
  <c r="BW376" i="2"/>
  <c r="BV376" i="2"/>
  <c r="BU376" i="2"/>
  <c r="BT376" i="2"/>
  <c r="BS376" i="2"/>
  <c r="BR376" i="2"/>
  <c r="BQ376" i="2"/>
  <c r="BP376" i="2"/>
  <c r="BO376" i="2"/>
  <c r="BN376" i="2"/>
  <c r="BM376" i="2"/>
  <c r="BL376" i="2"/>
  <c r="BK376" i="2"/>
  <c r="BJ376" i="2"/>
  <c r="BI376" i="2"/>
  <c r="BH376" i="2"/>
  <c r="BG376" i="2"/>
  <c r="BF376" i="2"/>
  <c r="CQ375" i="2"/>
  <c r="CP375" i="2"/>
  <c r="CO375" i="2"/>
  <c r="CN375" i="2"/>
  <c r="CM375" i="2"/>
  <c r="CL375" i="2"/>
  <c r="CK375" i="2"/>
  <c r="CJ375" i="2"/>
  <c r="CI375" i="2"/>
  <c r="CH375" i="2"/>
  <c r="CG375" i="2"/>
  <c r="CF375" i="2"/>
  <c r="CE375" i="2"/>
  <c r="CD375" i="2"/>
  <c r="CC375" i="2"/>
  <c r="CB375" i="2"/>
  <c r="CA375" i="2"/>
  <c r="BZ375" i="2"/>
  <c r="BY375" i="2"/>
  <c r="BX375" i="2"/>
  <c r="BW375" i="2"/>
  <c r="BV375" i="2"/>
  <c r="BU375" i="2"/>
  <c r="BT375" i="2"/>
  <c r="BS375" i="2"/>
  <c r="BR375" i="2"/>
  <c r="BQ375" i="2"/>
  <c r="BP375" i="2"/>
  <c r="BO375" i="2"/>
  <c r="BN375" i="2"/>
  <c r="BM375" i="2"/>
  <c r="BL375" i="2"/>
  <c r="BK375" i="2"/>
  <c r="BJ375" i="2"/>
  <c r="BI375" i="2"/>
  <c r="BH375" i="2"/>
  <c r="BG375" i="2"/>
  <c r="BF375" i="2"/>
  <c r="CQ374" i="2"/>
  <c r="CP374" i="2"/>
  <c r="CO374" i="2"/>
  <c r="CN374" i="2"/>
  <c r="CM374" i="2"/>
  <c r="CL374" i="2"/>
  <c r="CK374" i="2"/>
  <c r="CJ374" i="2"/>
  <c r="CI374" i="2"/>
  <c r="CH374" i="2"/>
  <c r="CG374" i="2"/>
  <c r="CF374" i="2"/>
  <c r="CE374" i="2"/>
  <c r="CD374" i="2"/>
  <c r="CC374" i="2"/>
  <c r="CB374" i="2"/>
  <c r="CA374" i="2"/>
  <c r="BZ374" i="2"/>
  <c r="BY374" i="2"/>
  <c r="BX374" i="2"/>
  <c r="BW374" i="2"/>
  <c r="BV374" i="2"/>
  <c r="BU374" i="2"/>
  <c r="BT374" i="2"/>
  <c r="BS374" i="2"/>
  <c r="BR374" i="2"/>
  <c r="BQ374" i="2"/>
  <c r="BP374" i="2"/>
  <c r="BO374" i="2"/>
  <c r="BN374" i="2"/>
  <c r="BM374" i="2"/>
  <c r="BL374" i="2"/>
  <c r="BK374" i="2"/>
  <c r="BJ374" i="2"/>
  <c r="BI374" i="2"/>
  <c r="BH374" i="2"/>
  <c r="BG374" i="2"/>
  <c r="BF374" i="2"/>
  <c r="CQ373" i="2"/>
  <c r="CP373" i="2"/>
  <c r="CO373" i="2"/>
  <c r="CN373" i="2"/>
  <c r="CM373" i="2"/>
  <c r="CL373" i="2"/>
  <c r="CK373" i="2"/>
  <c r="CJ373" i="2"/>
  <c r="CI373" i="2"/>
  <c r="CH373" i="2"/>
  <c r="CG373" i="2"/>
  <c r="CF373" i="2"/>
  <c r="CE373" i="2"/>
  <c r="CD373" i="2"/>
  <c r="CC373" i="2"/>
  <c r="CB373" i="2"/>
  <c r="CA373" i="2"/>
  <c r="BZ373" i="2"/>
  <c r="BY373" i="2"/>
  <c r="BX373" i="2"/>
  <c r="BW373" i="2"/>
  <c r="BV373" i="2"/>
  <c r="BU373" i="2"/>
  <c r="BT373" i="2"/>
  <c r="BS373" i="2"/>
  <c r="BR373" i="2"/>
  <c r="BQ373" i="2"/>
  <c r="BP373" i="2"/>
  <c r="BO373" i="2"/>
  <c r="BN373" i="2"/>
  <c r="BM373" i="2"/>
  <c r="BL373" i="2"/>
  <c r="BK373" i="2"/>
  <c r="BJ373" i="2"/>
  <c r="BI373" i="2"/>
  <c r="BH373" i="2"/>
  <c r="BG373" i="2"/>
  <c r="BF373" i="2"/>
  <c r="CQ372" i="2"/>
  <c r="CP372" i="2"/>
  <c r="CO372" i="2"/>
  <c r="CN372" i="2"/>
  <c r="CM372" i="2"/>
  <c r="CL372" i="2"/>
  <c r="CK372" i="2"/>
  <c r="CJ372" i="2"/>
  <c r="CI372" i="2"/>
  <c r="CH372" i="2"/>
  <c r="CG372" i="2"/>
  <c r="CF372" i="2"/>
  <c r="CE372" i="2"/>
  <c r="CD372" i="2"/>
  <c r="CC372" i="2"/>
  <c r="CB372" i="2"/>
  <c r="CA372" i="2"/>
  <c r="BZ372" i="2"/>
  <c r="BY372" i="2"/>
  <c r="BX372" i="2"/>
  <c r="BW372" i="2"/>
  <c r="BV372" i="2"/>
  <c r="BU372" i="2"/>
  <c r="BT372" i="2"/>
  <c r="BS372" i="2"/>
  <c r="BR372" i="2"/>
  <c r="BQ372" i="2"/>
  <c r="BP372" i="2"/>
  <c r="BO372" i="2"/>
  <c r="BN372" i="2"/>
  <c r="BM372" i="2"/>
  <c r="BL372" i="2"/>
  <c r="BK372" i="2"/>
  <c r="BJ372" i="2"/>
  <c r="BI372" i="2"/>
  <c r="BH372" i="2"/>
  <c r="BG372" i="2"/>
  <c r="BF372" i="2"/>
  <c r="CQ371" i="2"/>
  <c r="CP371" i="2"/>
  <c r="CO371" i="2"/>
  <c r="CN371" i="2"/>
  <c r="CM371" i="2"/>
  <c r="CL371" i="2"/>
  <c r="CK371" i="2"/>
  <c r="CJ371" i="2"/>
  <c r="CI371" i="2"/>
  <c r="CH371" i="2"/>
  <c r="CG371" i="2"/>
  <c r="CF371" i="2"/>
  <c r="CE371" i="2"/>
  <c r="CD371" i="2"/>
  <c r="CC371" i="2"/>
  <c r="CB371" i="2"/>
  <c r="CA371" i="2"/>
  <c r="BZ371" i="2"/>
  <c r="BY371" i="2"/>
  <c r="BX371" i="2"/>
  <c r="BW371" i="2"/>
  <c r="BV371" i="2"/>
  <c r="BU371" i="2"/>
  <c r="BT371" i="2"/>
  <c r="BS371" i="2"/>
  <c r="BR371" i="2"/>
  <c r="BQ371" i="2"/>
  <c r="BP371" i="2"/>
  <c r="BO371" i="2"/>
  <c r="BN371" i="2"/>
  <c r="BM371" i="2"/>
  <c r="BL371" i="2"/>
  <c r="BK371" i="2"/>
  <c r="BJ371" i="2"/>
  <c r="BI371" i="2"/>
  <c r="BH371" i="2"/>
  <c r="BG371" i="2"/>
  <c r="BF371" i="2"/>
  <c r="CQ370" i="2"/>
  <c r="CP370" i="2"/>
  <c r="CO370" i="2"/>
  <c r="CN370" i="2"/>
  <c r="CM370" i="2"/>
  <c r="CL370" i="2"/>
  <c r="CK370" i="2"/>
  <c r="CJ370" i="2"/>
  <c r="CI370" i="2"/>
  <c r="CH370" i="2"/>
  <c r="CG370" i="2"/>
  <c r="CF370" i="2"/>
  <c r="CE370" i="2"/>
  <c r="CD370" i="2"/>
  <c r="CC370" i="2"/>
  <c r="CB370" i="2"/>
  <c r="CA370" i="2"/>
  <c r="BZ370" i="2"/>
  <c r="BY370" i="2"/>
  <c r="BX370" i="2"/>
  <c r="BW370" i="2"/>
  <c r="BV370" i="2"/>
  <c r="BU370" i="2"/>
  <c r="BT370" i="2"/>
  <c r="BS370" i="2"/>
  <c r="BR370" i="2"/>
  <c r="BQ370" i="2"/>
  <c r="BP370" i="2"/>
  <c r="BO370" i="2"/>
  <c r="BN370" i="2"/>
  <c r="BM370" i="2"/>
  <c r="BL370" i="2"/>
  <c r="BK370" i="2"/>
  <c r="BJ370" i="2"/>
  <c r="BI370" i="2"/>
  <c r="BH370" i="2"/>
  <c r="BG370" i="2"/>
  <c r="BF370" i="2"/>
  <c r="CQ369" i="2"/>
  <c r="CP369" i="2"/>
  <c r="CO369" i="2"/>
  <c r="CN369" i="2"/>
  <c r="CM369" i="2"/>
  <c r="CL369" i="2"/>
  <c r="CK369" i="2"/>
  <c r="CJ369" i="2"/>
  <c r="CI369" i="2"/>
  <c r="CH369" i="2"/>
  <c r="CG369" i="2"/>
  <c r="CF369" i="2"/>
  <c r="CE369" i="2"/>
  <c r="CD369" i="2"/>
  <c r="CC369" i="2"/>
  <c r="CB369" i="2"/>
  <c r="CA369" i="2"/>
  <c r="BZ369" i="2"/>
  <c r="BY369" i="2"/>
  <c r="BX369" i="2"/>
  <c r="BW369" i="2"/>
  <c r="BV369" i="2"/>
  <c r="BU369" i="2"/>
  <c r="BT369" i="2"/>
  <c r="BS369" i="2"/>
  <c r="BR369" i="2"/>
  <c r="BQ369" i="2"/>
  <c r="BP369" i="2"/>
  <c r="BO369" i="2"/>
  <c r="BN369" i="2"/>
  <c r="BM369" i="2"/>
  <c r="BL369" i="2"/>
  <c r="BK369" i="2"/>
  <c r="BJ369" i="2"/>
  <c r="BI369" i="2"/>
  <c r="BH369" i="2"/>
  <c r="BG369" i="2"/>
  <c r="BF369" i="2"/>
  <c r="CQ368" i="2"/>
  <c r="CP368" i="2"/>
  <c r="CO368" i="2"/>
  <c r="CN368" i="2"/>
  <c r="CM368" i="2"/>
  <c r="CL368" i="2"/>
  <c r="CK368" i="2"/>
  <c r="CJ368" i="2"/>
  <c r="CI368" i="2"/>
  <c r="CH368" i="2"/>
  <c r="CG368" i="2"/>
  <c r="CF368" i="2"/>
  <c r="CE368" i="2"/>
  <c r="CD368" i="2"/>
  <c r="CC368" i="2"/>
  <c r="CB368" i="2"/>
  <c r="CA368" i="2"/>
  <c r="BZ368" i="2"/>
  <c r="BY368" i="2"/>
  <c r="BX368" i="2"/>
  <c r="BW368" i="2"/>
  <c r="BV368" i="2"/>
  <c r="BU368" i="2"/>
  <c r="BT368" i="2"/>
  <c r="BS368" i="2"/>
  <c r="BR368" i="2"/>
  <c r="BQ368" i="2"/>
  <c r="BP368" i="2"/>
  <c r="BO368" i="2"/>
  <c r="BN368" i="2"/>
  <c r="BM368" i="2"/>
  <c r="BL368" i="2"/>
  <c r="BK368" i="2"/>
  <c r="BJ368" i="2"/>
  <c r="BI368" i="2"/>
  <c r="BH368" i="2"/>
  <c r="BG368" i="2"/>
  <c r="BF368" i="2"/>
  <c r="CQ367" i="2"/>
  <c r="CP367" i="2"/>
  <c r="CO367" i="2"/>
  <c r="CN367" i="2"/>
  <c r="CM367" i="2"/>
  <c r="CL367" i="2"/>
  <c r="CK367" i="2"/>
  <c r="CJ367" i="2"/>
  <c r="CI367" i="2"/>
  <c r="CH367" i="2"/>
  <c r="CG367" i="2"/>
  <c r="CF367" i="2"/>
  <c r="CE367" i="2"/>
  <c r="CD367" i="2"/>
  <c r="CC367" i="2"/>
  <c r="CB367" i="2"/>
  <c r="CA367" i="2"/>
  <c r="BZ367" i="2"/>
  <c r="BY367" i="2"/>
  <c r="BX367" i="2"/>
  <c r="BW367" i="2"/>
  <c r="BV367" i="2"/>
  <c r="BU367" i="2"/>
  <c r="BT367" i="2"/>
  <c r="BS367" i="2"/>
  <c r="BR367" i="2"/>
  <c r="BQ367" i="2"/>
  <c r="BP367" i="2"/>
  <c r="BO367" i="2"/>
  <c r="BN367" i="2"/>
  <c r="BM367" i="2"/>
  <c r="BL367" i="2"/>
  <c r="BK367" i="2"/>
  <c r="BJ367" i="2"/>
  <c r="BI367" i="2"/>
  <c r="BH367" i="2"/>
  <c r="BG367" i="2"/>
  <c r="BF367" i="2"/>
  <c r="CQ366" i="2"/>
  <c r="CP366" i="2"/>
  <c r="CO366" i="2"/>
  <c r="CN366" i="2"/>
  <c r="CM366" i="2"/>
  <c r="CL366" i="2"/>
  <c r="CK366" i="2"/>
  <c r="CJ366" i="2"/>
  <c r="CI366" i="2"/>
  <c r="CH366" i="2"/>
  <c r="CG366" i="2"/>
  <c r="CF366" i="2"/>
  <c r="CE366" i="2"/>
  <c r="CD366" i="2"/>
  <c r="CC366" i="2"/>
  <c r="CB366" i="2"/>
  <c r="CA366" i="2"/>
  <c r="BZ366" i="2"/>
  <c r="BY366" i="2"/>
  <c r="BX366" i="2"/>
  <c r="BW366" i="2"/>
  <c r="BV366" i="2"/>
  <c r="BU366" i="2"/>
  <c r="BT366" i="2"/>
  <c r="BS366" i="2"/>
  <c r="BR366" i="2"/>
  <c r="BQ366" i="2"/>
  <c r="BP366" i="2"/>
  <c r="BO366" i="2"/>
  <c r="BN366" i="2"/>
  <c r="BM366" i="2"/>
  <c r="BL366" i="2"/>
  <c r="BK366" i="2"/>
  <c r="BJ366" i="2"/>
  <c r="BI366" i="2"/>
  <c r="BH366" i="2"/>
  <c r="BG366" i="2"/>
  <c r="BF366" i="2"/>
  <c r="CQ365" i="2"/>
  <c r="CP365" i="2"/>
  <c r="CO365" i="2"/>
  <c r="CN365" i="2"/>
  <c r="CM365" i="2"/>
  <c r="CL365" i="2"/>
  <c r="CK365" i="2"/>
  <c r="CJ365" i="2"/>
  <c r="CI365" i="2"/>
  <c r="CH365" i="2"/>
  <c r="CG365" i="2"/>
  <c r="CF365" i="2"/>
  <c r="CE365" i="2"/>
  <c r="CD365" i="2"/>
  <c r="CC365" i="2"/>
  <c r="CB365" i="2"/>
  <c r="CA365" i="2"/>
  <c r="BZ365" i="2"/>
  <c r="BY365" i="2"/>
  <c r="BX365" i="2"/>
  <c r="BW365" i="2"/>
  <c r="BV365" i="2"/>
  <c r="BU365" i="2"/>
  <c r="BT365" i="2"/>
  <c r="BS365" i="2"/>
  <c r="BR365" i="2"/>
  <c r="BQ365" i="2"/>
  <c r="BP365" i="2"/>
  <c r="BO365" i="2"/>
  <c r="BN365" i="2"/>
  <c r="BM365" i="2"/>
  <c r="BL365" i="2"/>
  <c r="BK365" i="2"/>
  <c r="BJ365" i="2"/>
  <c r="BI365" i="2"/>
  <c r="BH365" i="2"/>
  <c r="BG365" i="2"/>
  <c r="BF365" i="2"/>
  <c r="CQ364" i="2"/>
  <c r="CP364" i="2"/>
  <c r="CO364" i="2"/>
  <c r="CN364" i="2"/>
  <c r="CM364" i="2"/>
  <c r="CL364" i="2"/>
  <c r="CK364" i="2"/>
  <c r="CJ364" i="2"/>
  <c r="CI364" i="2"/>
  <c r="CH364" i="2"/>
  <c r="CG364" i="2"/>
  <c r="CF364" i="2"/>
  <c r="CE364" i="2"/>
  <c r="CD364" i="2"/>
  <c r="CC364" i="2"/>
  <c r="CB364" i="2"/>
  <c r="CA364" i="2"/>
  <c r="BZ364" i="2"/>
  <c r="BY364" i="2"/>
  <c r="BX364" i="2"/>
  <c r="BW364" i="2"/>
  <c r="BV364" i="2"/>
  <c r="BU364" i="2"/>
  <c r="BT364" i="2"/>
  <c r="BS364" i="2"/>
  <c r="BR364" i="2"/>
  <c r="BQ364" i="2"/>
  <c r="BP364" i="2"/>
  <c r="BO364" i="2"/>
  <c r="BN364" i="2"/>
  <c r="BM364" i="2"/>
  <c r="BL364" i="2"/>
  <c r="BK364" i="2"/>
  <c r="BJ364" i="2"/>
  <c r="BI364" i="2"/>
  <c r="BH364" i="2"/>
  <c r="BG364" i="2"/>
  <c r="BF364" i="2"/>
  <c r="CQ363" i="2"/>
  <c r="CP363" i="2"/>
  <c r="CO363" i="2"/>
  <c r="CN363" i="2"/>
  <c r="CM363" i="2"/>
  <c r="CL363" i="2"/>
  <c r="CK363" i="2"/>
  <c r="CJ363" i="2"/>
  <c r="CI363" i="2"/>
  <c r="CH363" i="2"/>
  <c r="CG363" i="2"/>
  <c r="CF363" i="2"/>
  <c r="CE363" i="2"/>
  <c r="CD363" i="2"/>
  <c r="CC363" i="2"/>
  <c r="CB363" i="2"/>
  <c r="CA363" i="2"/>
  <c r="BZ363" i="2"/>
  <c r="BY363" i="2"/>
  <c r="BX363" i="2"/>
  <c r="BW363" i="2"/>
  <c r="BV363" i="2"/>
  <c r="BU363" i="2"/>
  <c r="BT363" i="2"/>
  <c r="BS363" i="2"/>
  <c r="BR363" i="2"/>
  <c r="BQ363" i="2"/>
  <c r="BP363" i="2"/>
  <c r="BO363" i="2"/>
  <c r="BN363" i="2"/>
  <c r="BM363" i="2"/>
  <c r="BL363" i="2"/>
  <c r="BK363" i="2"/>
  <c r="BJ363" i="2"/>
  <c r="BI363" i="2"/>
  <c r="BH363" i="2"/>
  <c r="BG363" i="2"/>
  <c r="BF363" i="2"/>
  <c r="CQ362" i="2"/>
  <c r="CP362" i="2"/>
  <c r="CO362" i="2"/>
  <c r="CN362" i="2"/>
  <c r="CM362" i="2"/>
  <c r="CL362" i="2"/>
  <c r="CK362" i="2"/>
  <c r="CJ362" i="2"/>
  <c r="CI362" i="2"/>
  <c r="CH362" i="2"/>
  <c r="CG362" i="2"/>
  <c r="CF362" i="2"/>
  <c r="CE362" i="2"/>
  <c r="CD362" i="2"/>
  <c r="CC362" i="2"/>
  <c r="CB362" i="2"/>
  <c r="CA362" i="2"/>
  <c r="BZ362" i="2"/>
  <c r="BY362" i="2"/>
  <c r="BX362" i="2"/>
  <c r="BW362" i="2"/>
  <c r="BV362" i="2"/>
  <c r="BU362" i="2"/>
  <c r="BT362" i="2"/>
  <c r="BS362" i="2"/>
  <c r="BR362" i="2"/>
  <c r="BQ362" i="2"/>
  <c r="BP362" i="2"/>
  <c r="BO362" i="2"/>
  <c r="BN362" i="2"/>
  <c r="BM362" i="2"/>
  <c r="BL362" i="2"/>
  <c r="BK362" i="2"/>
  <c r="BJ362" i="2"/>
  <c r="BI362" i="2"/>
  <c r="BH362" i="2"/>
  <c r="BG362" i="2"/>
  <c r="BF362" i="2"/>
  <c r="CQ361" i="2"/>
  <c r="CP361" i="2"/>
  <c r="CO361" i="2"/>
  <c r="CN361" i="2"/>
  <c r="CM361" i="2"/>
  <c r="CL361" i="2"/>
  <c r="CK361" i="2"/>
  <c r="CJ361" i="2"/>
  <c r="CI361" i="2"/>
  <c r="CH361" i="2"/>
  <c r="CG361" i="2"/>
  <c r="CF361" i="2"/>
  <c r="CE361" i="2"/>
  <c r="CD361" i="2"/>
  <c r="CC361" i="2"/>
  <c r="CB361" i="2"/>
  <c r="CA361" i="2"/>
  <c r="BZ361" i="2"/>
  <c r="BY361" i="2"/>
  <c r="BX361" i="2"/>
  <c r="BW361" i="2"/>
  <c r="BV361" i="2"/>
  <c r="BU361" i="2"/>
  <c r="BT361" i="2"/>
  <c r="BS361" i="2"/>
  <c r="BR361" i="2"/>
  <c r="BQ361" i="2"/>
  <c r="BP361" i="2"/>
  <c r="BO361" i="2"/>
  <c r="BN361" i="2"/>
  <c r="BM361" i="2"/>
  <c r="BL361" i="2"/>
  <c r="BK361" i="2"/>
  <c r="BJ361" i="2"/>
  <c r="BI361" i="2"/>
  <c r="BH361" i="2"/>
  <c r="BG361" i="2"/>
  <c r="BF361" i="2"/>
  <c r="CQ360" i="2"/>
  <c r="CP360" i="2"/>
  <c r="CO360" i="2"/>
  <c r="CN360" i="2"/>
  <c r="CM360" i="2"/>
  <c r="CL360" i="2"/>
  <c r="CK360" i="2"/>
  <c r="CJ360" i="2"/>
  <c r="CI360" i="2"/>
  <c r="CH360" i="2"/>
  <c r="CG360" i="2"/>
  <c r="CF360" i="2"/>
  <c r="CE360" i="2"/>
  <c r="CD360" i="2"/>
  <c r="CC360" i="2"/>
  <c r="CB360" i="2"/>
  <c r="CA360" i="2"/>
  <c r="BZ360" i="2"/>
  <c r="BY360" i="2"/>
  <c r="BX360" i="2"/>
  <c r="BW360" i="2"/>
  <c r="BV360" i="2"/>
  <c r="BU360" i="2"/>
  <c r="BT360" i="2"/>
  <c r="BS360" i="2"/>
  <c r="BR360" i="2"/>
  <c r="BQ360" i="2"/>
  <c r="BP360" i="2"/>
  <c r="BO360" i="2"/>
  <c r="BN360" i="2"/>
  <c r="BM360" i="2"/>
  <c r="BL360" i="2"/>
  <c r="BK360" i="2"/>
  <c r="BJ360" i="2"/>
  <c r="BI360" i="2"/>
  <c r="BH360" i="2"/>
  <c r="BG360" i="2"/>
  <c r="BF360" i="2"/>
  <c r="CQ359" i="2"/>
  <c r="CP359" i="2"/>
  <c r="CO359" i="2"/>
  <c r="CN359" i="2"/>
  <c r="CM359" i="2"/>
  <c r="CL359" i="2"/>
  <c r="CK359" i="2"/>
  <c r="CJ359" i="2"/>
  <c r="CI359" i="2"/>
  <c r="CH359" i="2"/>
  <c r="CG359" i="2"/>
  <c r="CF359" i="2"/>
  <c r="CE359" i="2"/>
  <c r="CD359" i="2"/>
  <c r="CC359" i="2"/>
  <c r="CB359" i="2"/>
  <c r="CA359" i="2"/>
  <c r="BZ359" i="2"/>
  <c r="BY359" i="2"/>
  <c r="BX359" i="2"/>
  <c r="BW359" i="2"/>
  <c r="BV359" i="2"/>
  <c r="BU359" i="2"/>
  <c r="BT359" i="2"/>
  <c r="BS359" i="2"/>
  <c r="BR359" i="2"/>
  <c r="BQ359" i="2"/>
  <c r="BP359" i="2"/>
  <c r="BO359" i="2"/>
  <c r="BN359" i="2"/>
  <c r="BM359" i="2"/>
  <c r="BL359" i="2"/>
  <c r="BK359" i="2"/>
  <c r="BJ359" i="2"/>
  <c r="BI359" i="2"/>
  <c r="BH359" i="2"/>
  <c r="BG359" i="2"/>
  <c r="BF359" i="2"/>
  <c r="CQ358" i="2"/>
  <c r="CP358" i="2"/>
  <c r="CO358" i="2"/>
  <c r="CN358" i="2"/>
  <c r="CM358" i="2"/>
  <c r="CL358" i="2"/>
  <c r="CK358" i="2"/>
  <c r="CJ358" i="2"/>
  <c r="CI358" i="2"/>
  <c r="CH358" i="2"/>
  <c r="CG358" i="2"/>
  <c r="CF358" i="2"/>
  <c r="CE358" i="2"/>
  <c r="CD358" i="2"/>
  <c r="CC358" i="2"/>
  <c r="CB358" i="2"/>
  <c r="CA358" i="2"/>
  <c r="BZ358" i="2"/>
  <c r="BY358" i="2"/>
  <c r="BX358" i="2"/>
  <c r="BW358" i="2"/>
  <c r="BV358" i="2"/>
  <c r="BU358" i="2"/>
  <c r="BT358" i="2"/>
  <c r="BS358" i="2"/>
  <c r="BR358" i="2"/>
  <c r="BQ358" i="2"/>
  <c r="BP358" i="2"/>
  <c r="BO358" i="2"/>
  <c r="BN358" i="2"/>
  <c r="BM358" i="2"/>
  <c r="BL358" i="2"/>
  <c r="BK358" i="2"/>
  <c r="BJ358" i="2"/>
  <c r="BI358" i="2"/>
  <c r="BH358" i="2"/>
  <c r="BG358" i="2"/>
  <c r="BF358" i="2"/>
  <c r="CQ357" i="2"/>
  <c r="CP357" i="2"/>
  <c r="CO357" i="2"/>
  <c r="CN357" i="2"/>
  <c r="CM357" i="2"/>
  <c r="CL357" i="2"/>
  <c r="CK357" i="2"/>
  <c r="CJ357" i="2"/>
  <c r="CI357" i="2"/>
  <c r="CH357" i="2"/>
  <c r="CG357" i="2"/>
  <c r="CF357" i="2"/>
  <c r="CE357" i="2"/>
  <c r="CD357" i="2"/>
  <c r="CC357" i="2"/>
  <c r="CB357" i="2"/>
  <c r="CA357" i="2"/>
  <c r="BZ357" i="2"/>
  <c r="BY357" i="2"/>
  <c r="BX357" i="2"/>
  <c r="BW357" i="2"/>
  <c r="BV357" i="2"/>
  <c r="BU357" i="2"/>
  <c r="BT357" i="2"/>
  <c r="BS357" i="2"/>
  <c r="BR357" i="2"/>
  <c r="BQ357" i="2"/>
  <c r="BP357" i="2"/>
  <c r="BO357" i="2"/>
  <c r="BN357" i="2"/>
  <c r="BM357" i="2"/>
  <c r="BL357" i="2"/>
  <c r="BK357" i="2"/>
  <c r="BJ357" i="2"/>
  <c r="BI357" i="2"/>
  <c r="BH357" i="2"/>
  <c r="BG357" i="2"/>
  <c r="BF357" i="2"/>
  <c r="CQ356" i="2"/>
  <c r="CP356" i="2"/>
  <c r="CO356" i="2"/>
  <c r="CN356" i="2"/>
  <c r="CM356" i="2"/>
  <c r="CL356" i="2"/>
  <c r="CK356" i="2"/>
  <c r="CJ356" i="2"/>
  <c r="CI356" i="2"/>
  <c r="CH356" i="2"/>
  <c r="CG356" i="2"/>
  <c r="CF356" i="2"/>
  <c r="CE356" i="2"/>
  <c r="CD356" i="2"/>
  <c r="CC356" i="2"/>
  <c r="CB356" i="2"/>
  <c r="CA356" i="2"/>
  <c r="BZ356" i="2"/>
  <c r="BY356" i="2"/>
  <c r="BX356" i="2"/>
  <c r="BW356" i="2"/>
  <c r="BV356" i="2"/>
  <c r="BU356" i="2"/>
  <c r="BT356" i="2"/>
  <c r="BS356" i="2"/>
  <c r="BR356" i="2"/>
  <c r="BQ356" i="2"/>
  <c r="BP356" i="2"/>
  <c r="BO356" i="2"/>
  <c r="BN356" i="2"/>
  <c r="BM356" i="2"/>
  <c r="BL356" i="2"/>
  <c r="BK356" i="2"/>
  <c r="BJ356" i="2"/>
  <c r="BI356" i="2"/>
  <c r="BH356" i="2"/>
  <c r="BG356" i="2"/>
  <c r="BF356" i="2"/>
  <c r="CQ355" i="2"/>
  <c r="CP355" i="2"/>
  <c r="CO355" i="2"/>
  <c r="CN355" i="2"/>
  <c r="CM355" i="2"/>
  <c r="CL355" i="2"/>
  <c r="CK355" i="2"/>
  <c r="CJ355" i="2"/>
  <c r="CI355" i="2"/>
  <c r="CH355" i="2"/>
  <c r="CG355" i="2"/>
  <c r="CF355" i="2"/>
  <c r="CE355" i="2"/>
  <c r="CD355" i="2"/>
  <c r="CC355" i="2"/>
  <c r="CB355" i="2"/>
  <c r="CA355" i="2"/>
  <c r="BZ355" i="2"/>
  <c r="BY355" i="2"/>
  <c r="BX355" i="2"/>
  <c r="BW355" i="2"/>
  <c r="BV355" i="2"/>
  <c r="BU355" i="2"/>
  <c r="BT355" i="2"/>
  <c r="BS355" i="2"/>
  <c r="BR355" i="2"/>
  <c r="BQ355" i="2"/>
  <c r="BP355" i="2"/>
  <c r="BO355" i="2"/>
  <c r="BN355" i="2"/>
  <c r="BM355" i="2"/>
  <c r="BL355" i="2"/>
  <c r="BK355" i="2"/>
  <c r="BJ355" i="2"/>
  <c r="BI355" i="2"/>
  <c r="BH355" i="2"/>
  <c r="BG355" i="2"/>
  <c r="BF355" i="2"/>
  <c r="CQ354" i="2"/>
  <c r="CP354" i="2"/>
  <c r="CO354" i="2"/>
  <c r="CN354" i="2"/>
  <c r="CM354" i="2"/>
  <c r="CL354" i="2"/>
  <c r="CK354" i="2"/>
  <c r="CJ354" i="2"/>
  <c r="CI354" i="2"/>
  <c r="CH354" i="2"/>
  <c r="CG354" i="2"/>
  <c r="CF354" i="2"/>
  <c r="CE354" i="2"/>
  <c r="CD354" i="2"/>
  <c r="CC354" i="2"/>
  <c r="CB354" i="2"/>
  <c r="CA354" i="2"/>
  <c r="BZ354" i="2"/>
  <c r="BY354" i="2"/>
  <c r="BX354" i="2"/>
  <c r="BW354" i="2"/>
  <c r="BV354" i="2"/>
  <c r="BU354" i="2"/>
  <c r="BT354" i="2"/>
  <c r="BS354" i="2"/>
  <c r="BR354" i="2"/>
  <c r="BQ354" i="2"/>
  <c r="BP354" i="2"/>
  <c r="BO354" i="2"/>
  <c r="BN354" i="2"/>
  <c r="BM354" i="2"/>
  <c r="BL354" i="2"/>
  <c r="BK354" i="2"/>
  <c r="BJ354" i="2"/>
  <c r="BI354" i="2"/>
  <c r="BH354" i="2"/>
  <c r="BG354" i="2"/>
  <c r="BF354" i="2"/>
  <c r="CQ353" i="2"/>
  <c r="CP353" i="2"/>
  <c r="CO353" i="2"/>
  <c r="CN353" i="2"/>
  <c r="CM353" i="2"/>
  <c r="CL353" i="2"/>
  <c r="CK353" i="2"/>
  <c r="CJ353" i="2"/>
  <c r="CI353" i="2"/>
  <c r="CH353" i="2"/>
  <c r="CG353" i="2"/>
  <c r="CF353" i="2"/>
  <c r="CE353" i="2"/>
  <c r="CD353" i="2"/>
  <c r="CC353" i="2"/>
  <c r="CB353" i="2"/>
  <c r="CA353" i="2"/>
  <c r="BZ353" i="2"/>
  <c r="BY353" i="2"/>
  <c r="BX353" i="2"/>
  <c r="BW353" i="2"/>
  <c r="BV353" i="2"/>
  <c r="BU353" i="2"/>
  <c r="BT353" i="2"/>
  <c r="BS353" i="2"/>
  <c r="BR353" i="2"/>
  <c r="BQ353" i="2"/>
  <c r="BP353" i="2"/>
  <c r="BO353" i="2"/>
  <c r="BN353" i="2"/>
  <c r="BM353" i="2"/>
  <c r="BL353" i="2"/>
  <c r="BK353" i="2"/>
  <c r="BJ353" i="2"/>
  <c r="BI353" i="2"/>
  <c r="BH353" i="2"/>
  <c r="BG353" i="2"/>
  <c r="BF353" i="2"/>
  <c r="CQ352" i="2"/>
  <c r="CP352" i="2"/>
  <c r="CO352" i="2"/>
  <c r="CN352" i="2"/>
  <c r="CM352" i="2"/>
  <c r="CL352" i="2"/>
  <c r="CK352" i="2"/>
  <c r="CJ352" i="2"/>
  <c r="CI352" i="2"/>
  <c r="CH352" i="2"/>
  <c r="CG352" i="2"/>
  <c r="CF352" i="2"/>
  <c r="CE352" i="2"/>
  <c r="CD352" i="2"/>
  <c r="CC352" i="2"/>
  <c r="CB352" i="2"/>
  <c r="CA352" i="2"/>
  <c r="BZ352" i="2"/>
  <c r="BY352" i="2"/>
  <c r="BX352" i="2"/>
  <c r="BW352" i="2"/>
  <c r="BV352" i="2"/>
  <c r="BU352" i="2"/>
  <c r="BT352" i="2"/>
  <c r="BS352" i="2"/>
  <c r="BR352" i="2"/>
  <c r="BQ352" i="2"/>
  <c r="BP352" i="2"/>
  <c r="BO352" i="2"/>
  <c r="BN352" i="2"/>
  <c r="BM352" i="2"/>
  <c r="BL352" i="2"/>
  <c r="BK352" i="2"/>
  <c r="BJ352" i="2"/>
  <c r="BI352" i="2"/>
  <c r="BH352" i="2"/>
  <c r="BG352" i="2"/>
  <c r="BF352" i="2"/>
  <c r="CQ351" i="2"/>
  <c r="CP351" i="2"/>
  <c r="CO351" i="2"/>
  <c r="CN351" i="2"/>
  <c r="CM351" i="2"/>
  <c r="CL351" i="2"/>
  <c r="CK351" i="2"/>
  <c r="CJ351" i="2"/>
  <c r="CI351" i="2"/>
  <c r="CH351" i="2"/>
  <c r="CG351" i="2"/>
  <c r="CF351" i="2"/>
  <c r="CE351" i="2"/>
  <c r="CD351" i="2"/>
  <c r="CC351" i="2"/>
  <c r="CB351" i="2"/>
  <c r="CA351" i="2"/>
  <c r="BZ351" i="2"/>
  <c r="BY351" i="2"/>
  <c r="BX351" i="2"/>
  <c r="BW351" i="2"/>
  <c r="BV351" i="2"/>
  <c r="BU351" i="2"/>
  <c r="BT351" i="2"/>
  <c r="BS351" i="2"/>
  <c r="BR351" i="2"/>
  <c r="BQ351" i="2"/>
  <c r="BP351" i="2"/>
  <c r="BO351" i="2"/>
  <c r="BN351" i="2"/>
  <c r="BM351" i="2"/>
  <c r="BL351" i="2"/>
  <c r="BK351" i="2"/>
  <c r="BJ351" i="2"/>
  <c r="BI351" i="2"/>
  <c r="BH351" i="2"/>
  <c r="BG351" i="2"/>
  <c r="BF351" i="2"/>
  <c r="CQ350" i="2"/>
  <c r="CP350" i="2"/>
  <c r="CO350" i="2"/>
  <c r="CN350" i="2"/>
  <c r="CM350" i="2"/>
  <c r="CL350" i="2"/>
  <c r="CK350" i="2"/>
  <c r="CJ350" i="2"/>
  <c r="CI350" i="2"/>
  <c r="CH350" i="2"/>
  <c r="CG350" i="2"/>
  <c r="CF350" i="2"/>
  <c r="CE350" i="2"/>
  <c r="CD350" i="2"/>
  <c r="CC350" i="2"/>
  <c r="CB350" i="2"/>
  <c r="CA350" i="2"/>
  <c r="BZ350" i="2"/>
  <c r="BY350" i="2"/>
  <c r="BX350" i="2"/>
  <c r="BW350" i="2"/>
  <c r="BV350" i="2"/>
  <c r="BU350" i="2"/>
  <c r="BT350" i="2"/>
  <c r="BS350" i="2"/>
  <c r="BR350" i="2"/>
  <c r="BQ350" i="2"/>
  <c r="BP350" i="2"/>
  <c r="BO350" i="2"/>
  <c r="BN350" i="2"/>
  <c r="BM350" i="2"/>
  <c r="BL350" i="2"/>
  <c r="BK350" i="2"/>
  <c r="BJ350" i="2"/>
  <c r="BI350" i="2"/>
  <c r="BH350" i="2"/>
  <c r="BG350" i="2"/>
  <c r="BF350" i="2"/>
  <c r="CQ349" i="2"/>
  <c r="CP349" i="2"/>
  <c r="CO349" i="2"/>
  <c r="CN349" i="2"/>
  <c r="CM349" i="2"/>
  <c r="CL349" i="2"/>
  <c r="CK349" i="2"/>
  <c r="CJ349" i="2"/>
  <c r="CI349" i="2"/>
  <c r="CH349" i="2"/>
  <c r="CG349" i="2"/>
  <c r="CF349" i="2"/>
  <c r="CE349" i="2"/>
  <c r="CD349" i="2"/>
  <c r="CC349" i="2"/>
  <c r="CB349" i="2"/>
  <c r="CA349" i="2"/>
  <c r="BZ349" i="2"/>
  <c r="BY349" i="2"/>
  <c r="BX349" i="2"/>
  <c r="BW349" i="2"/>
  <c r="BV349" i="2"/>
  <c r="BU349" i="2"/>
  <c r="BT349" i="2"/>
  <c r="BS349" i="2"/>
  <c r="BR349" i="2"/>
  <c r="BQ349" i="2"/>
  <c r="BP349" i="2"/>
  <c r="BO349" i="2"/>
  <c r="BN349" i="2"/>
  <c r="BM349" i="2"/>
  <c r="BL349" i="2"/>
  <c r="BK349" i="2"/>
  <c r="BJ349" i="2"/>
  <c r="BI349" i="2"/>
  <c r="BH349" i="2"/>
  <c r="BG349" i="2"/>
  <c r="BF349" i="2"/>
  <c r="CQ348" i="2"/>
  <c r="CP348" i="2"/>
  <c r="CO348" i="2"/>
  <c r="CN348" i="2"/>
  <c r="CM348" i="2"/>
  <c r="CL348" i="2"/>
  <c r="CK348" i="2"/>
  <c r="CJ348" i="2"/>
  <c r="CI348" i="2"/>
  <c r="CH348" i="2"/>
  <c r="CG348" i="2"/>
  <c r="CF348" i="2"/>
  <c r="CE348" i="2"/>
  <c r="CD348" i="2"/>
  <c r="CC348" i="2"/>
  <c r="CB348" i="2"/>
  <c r="CA348" i="2"/>
  <c r="BZ348" i="2"/>
  <c r="BY348" i="2"/>
  <c r="BX348" i="2"/>
  <c r="BW348" i="2"/>
  <c r="BV348" i="2"/>
  <c r="BU348" i="2"/>
  <c r="BT348" i="2"/>
  <c r="BS348" i="2"/>
  <c r="BR348" i="2"/>
  <c r="BQ348" i="2"/>
  <c r="BP348" i="2"/>
  <c r="BO348" i="2"/>
  <c r="BN348" i="2"/>
  <c r="BM348" i="2"/>
  <c r="BL348" i="2"/>
  <c r="BK348" i="2"/>
  <c r="BJ348" i="2"/>
  <c r="BI348" i="2"/>
  <c r="BH348" i="2"/>
  <c r="BG348" i="2"/>
  <c r="BF348" i="2"/>
  <c r="CQ347" i="2"/>
  <c r="CP347" i="2"/>
  <c r="CO347" i="2"/>
  <c r="CN347" i="2"/>
  <c r="CM347" i="2"/>
  <c r="CL347" i="2"/>
  <c r="CK347" i="2"/>
  <c r="CJ347" i="2"/>
  <c r="CI347" i="2"/>
  <c r="CH347" i="2"/>
  <c r="CG347" i="2"/>
  <c r="CF347" i="2"/>
  <c r="CE347" i="2"/>
  <c r="CD347" i="2"/>
  <c r="CC347" i="2"/>
  <c r="CB347" i="2"/>
  <c r="CA347" i="2"/>
  <c r="BZ347" i="2"/>
  <c r="BY347" i="2"/>
  <c r="BX347" i="2"/>
  <c r="BW347" i="2"/>
  <c r="BV347" i="2"/>
  <c r="BU347" i="2"/>
  <c r="BT347" i="2"/>
  <c r="BS347" i="2"/>
  <c r="BR347" i="2"/>
  <c r="BQ347" i="2"/>
  <c r="BP347" i="2"/>
  <c r="BO347" i="2"/>
  <c r="BN347" i="2"/>
  <c r="BM347" i="2"/>
  <c r="BL347" i="2"/>
  <c r="BK347" i="2"/>
  <c r="BJ347" i="2"/>
  <c r="BI347" i="2"/>
  <c r="BH347" i="2"/>
  <c r="BG347" i="2"/>
  <c r="BF347" i="2"/>
  <c r="CQ346" i="2"/>
  <c r="CP346" i="2"/>
  <c r="CO346" i="2"/>
  <c r="CN346" i="2"/>
  <c r="CM346" i="2"/>
  <c r="CL346" i="2"/>
  <c r="CK346" i="2"/>
  <c r="CJ346" i="2"/>
  <c r="CI346" i="2"/>
  <c r="CH346" i="2"/>
  <c r="CG346" i="2"/>
  <c r="CF346" i="2"/>
  <c r="CE346" i="2"/>
  <c r="CD346" i="2"/>
  <c r="CC346" i="2"/>
  <c r="CB346" i="2"/>
  <c r="CA346" i="2"/>
  <c r="BZ346" i="2"/>
  <c r="BY346" i="2"/>
  <c r="BX346" i="2"/>
  <c r="BW346" i="2"/>
  <c r="BV346" i="2"/>
  <c r="BU346" i="2"/>
  <c r="BT346" i="2"/>
  <c r="BS346" i="2"/>
  <c r="BR346" i="2"/>
  <c r="BQ346" i="2"/>
  <c r="BP346" i="2"/>
  <c r="BO346" i="2"/>
  <c r="BN346" i="2"/>
  <c r="BM346" i="2"/>
  <c r="BL346" i="2"/>
  <c r="BK346" i="2"/>
  <c r="BJ346" i="2"/>
  <c r="BI346" i="2"/>
  <c r="BH346" i="2"/>
  <c r="BG346" i="2"/>
  <c r="BF346" i="2"/>
  <c r="CQ345" i="2"/>
  <c r="CP345" i="2"/>
  <c r="CO345" i="2"/>
  <c r="CN345" i="2"/>
  <c r="CM345" i="2"/>
  <c r="CL345" i="2"/>
  <c r="CK345" i="2"/>
  <c r="CJ345" i="2"/>
  <c r="CI345" i="2"/>
  <c r="CH345" i="2"/>
  <c r="CG345" i="2"/>
  <c r="CF345" i="2"/>
  <c r="CE345" i="2"/>
  <c r="CD345" i="2"/>
  <c r="CC345" i="2"/>
  <c r="CB345" i="2"/>
  <c r="CA345" i="2"/>
  <c r="BZ345" i="2"/>
  <c r="BY345" i="2"/>
  <c r="BX345" i="2"/>
  <c r="BW345" i="2"/>
  <c r="BV345" i="2"/>
  <c r="BU345" i="2"/>
  <c r="BT345" i="2"/>
  <c r="BS345" i="2"/>
  <c r="BR345" i="2"/>
  <c r="BQ345" i="2"/>
  <c r="BP345" i="2"/>
  <c r="BO345" i="2"/>
  <c r="BN345" i="2"/>
  <c r="BM345" i="2"/>
  <c r="BL345" i="2"/>
  <c r="BK345" i="2"/>
  <c r="BJ345" i="2"/>
  <c r="BI345" i="2"/>
  <c r="BH345" i="2"/>
  <c r="BG345" i="2"/>
  <c r="BF345" i="2"/>
  <c r="CQ344" i="2"/>
  <c r="CP344" i="2"/>
  <c r="CO344" i="2"/>
  <c r="CN344" i="2"/>
  <c r="CM344" i="2"/>
  <c r="CL344" i="2"/>
  <c r="CK344" i="2"/>
  <c r="CJ344" i="2"/>
  <c r="CI344" i="2"/>
  <c r="CH344" i="2"/>
  <c r="CG344" i="2"/>
  <c r="CF344" i="2"/>
  <c r="CE344" i="2"/>
  <c r="CD344" i="2"/>
  <c r="CC344" i="2"/>
  <c r="CB344" i="2"/>
  <c r="CA344" i="2"/>
  <c r="BZ344" i="2"/>
  <c r="BY344" i="2"/>
  <c r="BX344" i="2"/>
  <c r="BW344" i="2"/>
  <c r="BV344" i="2"/>
  <c r="BU344" i="2"/>
  <c r="BT344" i="2"/>
  <c r="BS344" i="2"/>
  <c r="BR344" i="2"/>
  <c r="BQ344" i="2"/>
  <c r="BP344" i="2"/>
  <c r="BO344" i="2"/>
  <c r="BN344" i="2"/>
  <c r="BM344" i="2"/>
  <c r="BL344" i="2"/>
  <c r="BK344" i="2"/>
  <c r="BJ344" i="2"/>
  <c r="BI344" i="2"/>
  <c r="BH344" i="2"/>
  <c r="BG344" i="2"/>
  <c r="BF344" i="2"/>
  <c r="CQ343" i="2"/>
  <c r="CP343" i="2"/>
  <c r="CO343" i="2"/>
  <c r="CN343" i="2"/>
  <c r="CM343" i="2"/>
  <c r="CL343" i="2"/>
  <c r="CK343" i="2"/>
  <c r="CJ343" i="2"/>
  <c r="CI343" i="2"/>
  <c r="CH343" i="2"/>
  <c r="CG343" i="2"/>
  <c r="CF343" i="2"/>
  <c r="CE343" i="2"/>
  <c r="CD343" i="2"/>
  <c r="CC343" i="2"/>
  <c r="CB343" i="2"/>
  <c r="CA343" i="2"/>
  <c r="BZ343" i="2"/>
  <c r="BY343" i="2"/>
  <c r="BX343" i="2"/>
  <c r="BW343" i="2"/>
  <c r="BV343" i="2"/>
  <c r="BU343" i="2"/>
  <c r="BT343" i="2"/>
  <c r="BS343" i="2"/>
  <c r="BR343" i="2"/>
  <c r="BQ343" i="2"/>
  <c r="BP343" i="2"/>
  <c r="BO343" i="2"/>
  <c r="BN343" i="2"/>
  <c r="BM343" i="2"/>
  <c r="BL343" i="2"/>
  <c r="BK343" i="2"/>
  <c r="BJ343" i="2"/>
  <c r="BI343" i="2"/>
  <c r="BH343" i="2"/>
  <c r="BG343" i="2"/>
  <c r="BF343" i="2"/>
  <c r="CQ342" i="2"/>
  <c r="CP342" i="2"/>
  <c r="CO342" i="2"/>
  <c r="CN342" i="2"/>
  <c r="CM342" i="2"/>
  <c r="CL342" i="2"/>
  <c r="CK342" i="2"/>
  <c r="CJ342" i="2"/>
  <c r="CI342" i="2"/>
  <c r="CH342" i="2"/>
  <c r="CG342" i="2"/>
  <c r="CF342" i="2"/>
  <c r="CE342" i="2"/>
  <c r="CD342" i="2"/>
  <c r="CC342" i="2"/>
  <c r="CB342" i="2"/>
  <c r="CA342" i="2"/>
  <c r="BZ342" i="2"/>
  <c r="BY342" i="2"/>
  <c r="BX342" i="2"/>
  <c r="BW342" i="2"/>
  <c r="BV342" i="2"/>
  <c r="BU342" i="2"/>
  <c r="BT342" i="2"/>
  <c r="BS342" i="2"/>
  <c r="BR342" i="2"/>
  <c r="BQ342" i="2"/>
  <c r="BP342" i="2"/>
  <c r="BO342" i="2"/>
  <c r="BN342" i="2"/>
  <c r="BM342" i="2"/>
  <c r="BL342" i="2"/>
  <c r="BK342" i="2"/>
  <c r="BJ342" i="2"/>
  <c r="BI342" i="2"/>
  <c r="BH342" i="2"/>
  <c r="BG342" i="2"/>
  <c r="BF342" i="2"/>
  <c r="CQ341" i="2"/>
  <c r="CP341" i="2"/>
  <c r="CO341" i="2"/>
  <c r="CN341" i="2"/>
  <c r="CM341" i="2"/>
  <c r="CL341" i="2"/>
  <c r="CK341" i="2"/>
  <c r="CJ341" i="2"/>
  <c r="CI341" i="2"/>
  <c r="CH341" i="2"/>
  <c r="CG341" i="2"/>
  <c r="CF341" i="2"/>
  <c r="CE341" i="2"/>
  <c r="CD341" i="2"/>
  <c r="CC341" i="2"/>
  <c r="CB341" i="2"/>
  <c r="CA341" i="2"/>
  <c r="BZ341" i="2"/>
  <c r="BY341" i="2"/>
  <c r="BX341" i="2"/>
  <c r="BW341" i="2"/>
  <c r="BV341" i="2"/>
  <c r="BU341" i="2"/>
  <c r="BT341" i="2"/>
  <c r="BS341" i="2"/>
  <c r="BR341" i="2"/>
  <c r="BQ341" i="2"/>
  <c r="BP341" i="2"/>
  <c r="BO341" i="2"/>
  <c r="BN341" i="2"/>
  <c r="BM341" i="2"/>
  <c r="BL341" i="2"/>
  <c r="BK341" i="2"/>
  <c r="BJ341" i="2"/>
  <c r="BI341" i="2"/>
  <c r="BH341" i="2"/>
  <c r="BG341" i="2"/>
  <c r="BF341" i="2"/>
  <c r="CQ340" i="2"/>
  <c r="CP340" i="2"/>
  <c r="CO340" i="2"/>
  <c r="CN340" i="2"/>
  <c r="CM340" i="2"/>
  <c r="CL340" i="2"/>
  <c r="CK340" i="2"/>
  <c r="CJ340" i="2"/>
  <c r="CI340" i="2"/>
  <c r="CH340" i="2"/>
  <c r="CG340" i="2"/>
  <c r="CF340" i="2"/>
  <c r="CE340" i="2"/>
  <c r="CD340" i="2"/>
  <c r="CC340" i="2"/>
  <c r="CB340" i="2"/>
  <c r="CA340" i="2"/>
  <c r="BZ340" i="2"/>
  <c r="BY340" i="2"/>
  <c r="BX340" i="2"/>
  <c r="BW340" i="2"/>
  <c r="BV340" i="2"/>
  <c r="BU340" i="2"/>
  <c r="BT340" i="2"/>
  <c r="BS340" i="2"/>
  <c r="BR340" i="2"/>
  <c r="BQ340" i="2"/>
  <c r="BP340" i="2"/>
  <c r="BO340" i="2"/>
  <c r="BN340" i="2"/>
  <c r="BM340" i="2"/>
  <c r="BL340" i="2"/>
  <c r="BK340" i="2"/>
  <c r="BJ340" i="2"/>
  <c r="BI340" i="2"/>
  <c r="BH340" i="2"/>
  <c r="BG340" i="2"/>
  <c r="BF340" i="2"/>
  <c r="CQ339" i="2"/>
  <c r="CP339" i="2"/>
  <c r="CO339" i="2"/>
  <c r="CN339" i="2"/>
  <c r="CM339" i="2"/>
  <c r="CL339" i="2"/>
  <c r="CK339" i="2"/>
  <c r="CJ339" i="2"/>
  <c r="CI339" i="2"/>
  <c r="CH339" i="2"/>
  <c r="CG339" i="2"/>
  <c r="CF339" i="2"/>
  <c r="CE339" i="2"/>
  <c r="CD339" i="2"/>
  <c r="CC339" i="2"/>
  <c r="CB339" i="2"/>
  <c r="CA339" i="2"/>
  <c r="BZ339" i="2"/>
  <c r="BY339" i="2"/>
  <c r="BX339" i="2"/>
  <c r="BW339" i="2"/>
  <c r="BV339" i="2"/>
  <c r="BU339" i="2"/>
  <c r="BT339" i="2"/>
  <c r="BS339" i="2"/>
  <c r="BR339" i="2"/>
  <c r="BQ339" i="2"/>
  <c r="BP339" i="2"/>
  <c r="BO339" i="2"/>
  <c r="BN339" i="2"/>
  <c r="BM339" i="2"/>
  <c r="BL339" i="2"/>
  <c r="BK339" i="2"/>
  <c r="BJ339" i="2"/>
  <c r="BI339" i="2"/>
  <c r="BH339" i="2"/>
  <c r="BG339" i="2"/>
  <c r="BF339" i="2"/>
  <c r="CQ338" i="2"/>
  <c r="CP338" i="2"/>
  <c r="CO338" i="2"/>
  <c r="CN338" i="2"/>
  <c r="CM338" i="2"/>
  <c r="CL338" i="2"/>
  <c r="CK338" i="2"/>
  <c r="CJ338" i="2"/>
  <c r="CI338" i="2"/>
  <c r="CH338" i="2"/>
  <c r="CG338" i="2"/>
  <c r="CF338" i="2"/>
  <c r="CE338" i="2"/>
  <c r="CD338" i="2"/>
  <c r="CC338" i="2"/>
  <c r="CB338" i="2"/>
  <c r="CA338" i="2"/>
  <c r="BZ338" i="2"/>
  <c r="BY338" i="2"/>
  <c r="BX338" i="2"/>
  <c r="BW338" i="2"/>
  <c r="BV338" i="2"/>
  <c r="BU338" i="2"/>
  <c r="BT338" i="2"/>
  <c r="BS338" i="2"/>
  <c r="BR338" i="2"/>
  <c r="BQ338" i="2"/>
  <c r="BP338" i="2"/>
  <c r="BO338" i="2"/>
  <c r="BN338" i="2"/>
  <c r="BM338" i="2"/>
  <c r="BL338" i="2"/>
  <c r="BK338" i="2"/>
  <c r="BJ338" i="2"/>
  <c r="BI338" i="2"/>
  <c r="BH338" i="2"/>
  <c r="BG338" i="2"/>
  <c r="BF338" i="2"/>
  <c r="CQ337" i="2"/>
  <c r="CP337" i="2"/>
  <c r="CO337" i="2"/>
  <c r="CN337" i="2"/>
  <c r="CM337" i="2"/>
  <c r="CL337" i="2"/>
  <c r="CK337" i="2"/>
  <c r="CJ337" i="2"/>
  <c r="CI337" i="2"/>
  <c r="CH337" i="2"/>
  <c r="CG337" i="2"/>
  <c r="CF337" i="2"/>
  <c r="CE337" i="2"/>
  <c r="CD337" i="2"/>
  <c r="CC337" i="2"/>
  <c r="CB337" i="2"/>
  <c r="CA337" i="2"/>
  <c r="BZ337" i="2"/>
  <c r="BY337" i="2"/>
  <c r="BX337" i="2"/>
  <c r="BW337" i="2"/>
  <c r="BV337" i="2"/>
  <c r="BU337" i="2"/>
  <c r="BT337" i="2"/>
  <c r="BS337" i="2"/>
  <c r="BR337" i="2"/>
  <c r="BQ337" i="2"/>
  <c r="BP337" i="2"/>
  <c r="BO337" i="2"/>
  <c r="BN337" i="2"/>
  <c r="BM337" i="2"/>
  <c r="BL337" i="2"/>
  <c r="BK337" i="2"/>
  <c r="BJ337" i="2"/>
  <c r="BI337" i="2"/>
  <c r="BH337" i="2"/>
  <c r="BG337" i="2"/>
  <c r="BF337" i="2"/>
  <c r="CQ336" i="2"/>
  <c r="CP336" i="2"/>
  <c r="CO336" i="2"/>
  <c r="CN336" i="2"/>
  <c r="CM336" i="2"/>
  <c r="CL336" i="2"/>
  <c r="CK336" i="2"/>
  <c r="CJ336" i="2"/>
  <c r="CI336" i="2"/>
  <c r="CH336" i="2"/>
  <c r="CG336" i="2"/>
  <c r="CF336" i="2"/>
  <c r="CE336" i="2"/>
  <c r="CD336" i="2"/>
  <c r="CC336" i="2"/>
  <c r="CB336" i="2"/>
  <c r="CA336" i="2"/>
  <c r="BZ336" i="2"/>
  <c r="BY336" i="2"/>
  <c r="BX336" i="2"/>
  <c r="BW336" i="2"/>
  <c r="BV336" i="2"/>
  <c r="BU336" i="2"/>
  <c r="BT336" i="2"/>
  <c r="BS336" i="2"/>
  <c r="BR336" i="2"/>
  <c r="BQ336" i="2"/>
  <c r="BP336" i="2"/>
  <c r="BO336" i="2"/>
  <c r="BN336" i="2"/>
  <c r="BM336" i="2"/>
  <c r="BL336" i="2"/>
  <c r="BK336" i="2"/>
  <c r="BJ336" i="2"/>
  <c r="BI336" i="2"/>
  <c r="BH336" i="2"/>
  <c r="BG336" i="2"/>
  <c r="BF336" i="2"/>
  <c r="CQ335" i="2"/>
  <c r="CP335" i="2"/>
  <c r="CO335" i="2"/>
  <c r="CN335" i="2"/>
  <c r="CM335" i="2"/>
  <c r="CL335" i="2"/>
  <c r="CK335" i="2"/>
  <c r="CJ335" i="2"/>
  <c r="CI335" i="2"/>
  <c r="CH335" i="2"/>
  <c r="CG335" i="2"/>
  <c r="CF335" i="2"/>
  <c r="CE335" i="2"/>
  <c r="CD335" i="2"/>
  <c r="CC335" i="2"/>
  <c r="CB335" i="2"/>
  <c r="CA335" i="2"/>
  <c r="BZ335" i="2"/>
  <c r="BY335" i="2"/>
  <c r="BX335" i="2"/>
  <c r="BW335" i="2"/>
  <c r="BV335" i="2"/>
  <c r="BU335" i="2"/>
  <c r="BT335" i="2"/>
  <c r="BS335" i="2"/>
  <c r="BR335" i="2"/>
  <c r="BQ335" i="2"/>
  <c r="BP335" i="2"/>
  <c r="BO335" i="2"/>
  <c r="BN335" i="2"/>
  <c r="BM335" i="2"/>
  <c r="BL335" i="2"/>
  <c r="BK335" i="2"/>
  <c r="BJ335" i="2"/>
  <c r="BI335" i="2"/>
  <c r="BH335" i="2"/>
  <c r="BG335" i="2"/>
  <c r="BF335" i="2"/>
  <c r="CQ334" i="2"/>
  <c r="CP334" i="2"/>
  <c r="CO334" i="2"/>
  <c r="CN334" i="2"/>
  <c r="CM334" i="2"/>
  <c r="CL334" i="2"/>
  <c r="CK334" i="2"/>
  <c r="CJ334" i="2"/>
  <c r="CI334" i="2"/>
  <c r="CH334" i="2"/>
  <c r="CG334" i="2"/>
  <c r="CF334" i="2"/>
  <c r="CE334" i="2"/>
  <c r="CD334" i="2"/>
  <c r="CC334" i="2"/>
  <c r="CB334" i="2"/>
  <c r="CA334" i="2"/>
  <c r="BZ334" i="2"/>
  <c r="BY334" i="2"/>
  <c r="BX334" i="2"/>
  <c r="BW334" i="2"/>
  <c r="BV334" i="2"/>
  <c r="BU334" i="2"/>
  <c r="BT334" i="2"/>
  <c r="BS334" i="2"/>
  <c r="BR334" i="2"/>
  <c r="BQ334" i="2"/>
  <c r="BP334" i="2"/>
  <c r="BO334" i="2"/>
  <c r="BN334" i="2"/>
  <c r="BM334" i="2"/>
  <c r="BL334" i="2"/>
  <c r="BK334" i="2"/>
  <c r="BJ334" i="2"/>
  <c r="BI334" i="2"/>
  <c r="BH334" i="2"/>
  <c r="BG334" i="2"/>
  <c r="BF334" i="2"/>
  <c r="CQ333" i="2"/>
  <c r="CP333" i="2"/>
  <c r="CO333" i="2"/>
  <c r="CN333" i="2"/>
  <c r="CM333" i="2"/>
  <c r="CL333" i="2"/>
  <c r="CK333" i="2"/>
  <c r="CJ333" i="2"/>
  <c r="CI333" i="2"/>
  <c r="CH333" i="2"/>
  <c r="CG333" i="2"/>
  <c r="CF333" i="2"/>
  <c r="CE333" i="2"/>
  <c r="CD333" i="2"/>
  <c r="CC333" i="2"/>
  <c r="CB333" i="2"/>
  <c r="CA333" i="2"/>
  <c r="BZ333" i="2"/>
  <c r="BY333" i="2"/>
  <c r="BX333" i="2"/>
  <c r="BW333" i="2"/>
  <c r="BV333" i="2"/>
  <c r="BU333" i="2"/>
  <c r="BT333" i="2"/>
  <c r="BS333" i="2"/>
  <c r="BR333" i="2"/>
  <c r="BQ333" i="2"/>
  <c r="BP333" i="2"/>
  <c r="BO333" i="2"/>
  <c r="BN333" i="2"/>
  <c r="BM333" i="2"/>
  <c r="BL333" i="2"/>
  <c r="BK333" i="2"/>
  <c r="BJ333" i="2"/>
  <c r="BI333" i="2"/>
  <c r="BH333" i="2"/>
  <c r="BG333" i="2"/>
  <c r="BF333" i="2"/>
  <c r="CQ332" i="2"/>
  <c r="CP332" i="2"/>
  <c r="CO332" i="2"/>
  <c r="CN332" i="2"/>
  <c r="CM332" i="2"/>
  <c r="CL332" i="2"/>
  <c r="CK332" i="2"/>
  <c r="CJ332" i="2"/>
  <c r="CI332" i="2"/>
  <c r="CH332" i="2"/>
  <c r="CG332" i="2"/>
  <c r="CF332" i="2"/>
  <c r="CE332" i="2"/>
  <c r="CD332" i="2"/>
  <c r="CC332" i="2"/>
  <c r="CB332" i="2"/>
  <c r="CA332" i="2"/>
  <c r="BZ332" i="2"/>
  <c r="BY332" i="2"/>
  <c r="BX332" i="2"/>
  <c r="BW332" i="2"/>
  <c r="BV332" i="2"/>
  <c r="BU332" i="2"/>
  <c r="BT332" i="2"/>
  <c r="BS332" i="2"/>
  <c r="BR332" i="2"/>
  <c r="BQ332" i="2"/>
  <c r="BP332" i="2"/>
  <c r="BO332" i="2"/>
  <c r="BN332" i="2"/>
  <c r="BM332" i="2"/>
  <c r="BL332" i="2"/>
  <c r="BK332" i="2"/>
  <c r="BJ332" i="2"/>
  <c r="BI332" i="2"/>
  <c r="BH332" i="2"/>
  <c r="BG332" i="2"/>
  <c r="BF332" i="2"/>
  <c r="CQ331" i="2"/>
  <c r="CP331" i="2"/>
  <c r="CO331" i="2"/>
  <c r="CN331" i="2"/>
  <c r="CM331" i="2"/>
  <c r="CL331" i="2"/>
  <c r="CK331" i="2"/>
  <c r="CJ331" i="2"/>
  <c r="CI331" i="2"/>
  <c r="CH331" i="2"/>
  <c r="CG331" i="2"/>
  <c r="CF331" i="2"/>
  <c r="CE331" i="2"/>
  <c r="CD331" i="2"/>
  <c r="CC331" i="2"/>
  <c r="CB331" i="2"/>
  <c r="CA331" i="2"/>
  <c r="BZ331" i="2"/>
  <c r="BY331" i="2"/>
  <c r="BX331" i="2"/>
  <c r="BW331" i="2"/>
  <c r="BV331" i="2"/>
  <c r="BU331" i="2"/>
  <c r="BT331" i="2"/>
  <c r="BS331" i="2"/>
  <c r="BR331" i="2"/>
  <c r="BQ331" i="2"/>
  <c r="BP331" i="2"/>
  <c r="BO331" i="2"/>
  <c r="BN331" i="2"/>
  <c r="BM331" i="2"/>
  <c r="BL331" i="2"/>
  <c r="BK331" i="2"/>
  <c r="BJ331" i="2"/>
  <c r="BI331" i="2"/>
  <c r="BH331" i="2"/>
  <c r="BG331" i="2"/>
  <c r="BF331" i="2"/>
  <c r="CQ330" i="2"/>
  <c r="CP330" i="2"/>
  <c r="CO330" i="2"/>
  <c r="CN330" i="2"/>
  <c r="CM330" i="2"/>
  <c r="CL330" i="2"/>
  <c r="CK330" i="2"/>
  <c r="CJ330" i="2"/>
  <c r="CI330" i="2"/>
  <c r="CH330" i="2"/>
  <c r="CG330" i="2"/>
  <c r="CF330" i="2"/>
  <c r="CE330" i="2"/>
  <c r="CD330" i="2"/>
  <c r="CC330" i="2"/>
  <c r="CB330" i="2"/>
  <c r="CA330" i="2"/>
  <c r="BZ330" i="2"/>
  <c r="BY330" i="2"/>
  <c r="BX330" i="2"/>
  <c r="BW330" i="2"/>
  <c r="BV330" i="2"/>
  <c r="BU330" i="2"/>
  <c r="BT330" i="2"/>
  <c r="BS330" i="2"/>
  <c r="BR330" i="2"/>
  <c r="BQ330" i="2"/>
  <c r="BP330" i="2"/>
  <c r="BO330" i="2"/>
  <c r="BN330" i="2"/>
  <c r="BM330" i="2"/>
  <c r="BL330" i="2"/>
  <c r="BK330" i="2"/>
  <c r="BJ330" i="2"/>
  <c r="BI330" i="2"/>
  <c r="BH330" i="2"/>
  <c r="BG330" i="2"/>
  <c r="BF330" i="2"/>
  <c r="CQ329" i="2"/>
  <c r="CP329" i="2"/>
  <c r="CO329" i="2"/>
  <c r="CN329" i="2"/>
  <c r="CM329" i="2"/>
  <c r="CL329" i="2"/>
  <c r="CK329" i="2"/>
  <c r="CJ329" i="2"/>
  <c r="CI329" i="2"/>
  <c r="CH329" i="2"/>
  <c r="CG329" i="2"/>
  <c r="CF329" i="2"/>
  <c r="CE329" i="2"/>
  <c r="CD329" i="2"/>
  <c r="CC329" i="2"/>
  <c r="CB329" i="2"/>
  <c r="CA329" i="2"/>
  <c r="BZ329" i="2"/>
  <c r="BY329" i="2"/>
  <c r="BX329" i="2"/>
  <c r="BW329" i="2"/>
  <c r="BV329" i="2"/>
  <c r="BU329" i="2"/>
  <c r="BT329" i="2"/>
  <c r="BS329" i="2"/>
  <c r="BR329" i="2"/>
  <c r="BQ329" i="2"/>
  <c r="BP329" i="2"/>
  <c r="BO329" i="2"/>
  <c r="BN329" i="2"/>
  <c r="BM329" i="2"/>
  <c r="BL329" i="2"/>
  <c r="BK329" i="2"/>
  <c r="BJ329" i="2"/>
  <c r="BI329" i="2"/>
  <c r="BH329" i="2"/>
  <c r="BG329" i="2"/>
  <c r="BF329" i="2"/>
  <c r="CQ328" i="2"/>
  <c r="CP328" i="2"/>
  <c r="CO328" i="2"/>
  <c r="CN328" i="2"/>
  <c r="CM328" i="2"/>
  <c r="CL328" i="2"/>
  <c r="CK328" i="2"/>
  <c r="CJ328" i="2"/>
  <c r="CI328" i="2"/>
  <c r="CH328" i="2"/>
  <c r="CG328" i="2"/>
  <c r="CF328" i="2"/>
  <c r="CE328" i="2"/>
  <c r="CD328" i="2"/>
  <c r="CC328" i="2"/>
  <c r="CB328" i="2"/>
  <c r="CA328" i="2"/>
  <c r="BZ328" i="2"/>
  <c r="BY328" i="2"/>
  <c r="BX328" i="2"/>
  <c r="BW328" i="2"/>
  <c r="BV328" i="2"/>
  <c r="BU328" i="2"/>
  <c r="BT328" i="2"/>
  <c r="BS328" i="2"/>
  <c r="BR328" i="2"/>
  <c r="BQ328" i="2"/>
  <c r="BP328" i="2"/>
  <c r="BO328" i="2"/>
  <c r="BN328" i="2"/>
  <c r="BM328" i="2"/>
  <c r="BL328" i="2"/>
  <c r="BK328" i="2"/>
  <c r="BJ328" i="2"/>
  <c r="BI328" i="2"/>
  <c r="BH328" i="2"/>
  <c r="BG328" i="2"/>
  <c r="BF328" i="2"/>
  <c r="CQ327" i="2"/>
  <c r="CP327" i="2"/>
  <c r="CO327" i="2"/>
  <c r="CN327" i="2"/>
  <c r="CM327" i="2"/>
  <c r="CL327" i="2"/>
  <c r="CK327" i="2"/>
  <c r="CJ327" i="2"/>
  <c r="CI327" i="2"/>
  <c r="CH327" i="2"/>
  <c r="CG327" i="2"/>
  <c r="CF327" i="2"/>
  <c r="CE327" i="2"/>
  <c r="CD327" i="2"/>
  <c r="CC327" i="2"/>
  <c r="CB327" i="2"/>
  <c r="CA327" i="2"/>
  <c r="BZ327" i="2"/>
  <c r="BY327" i="2"/>
  <c r="BX327" i="2"/>
  <c r="BW327" i="2"/>
  <c r="BV327" i="2"/>
  <c r="BU327" i="2"/>
  <c r="BT327" i="2"/>
  <c r="BS327" i="2"/>
  <c r="BR327" i="2"/>
  <c r="BQ327" i="2"/>
  <c r="BP327" i="2"/>
  <c r="BO327" i="2"/>
  <c r="BN327" i="2"/>
  <c r="BM327" i="2"/>
  <c r="BL327" i="2"/>
  <c r="BK327" i="2"/>
  <c r="BJ327" i="2"/>
  <c r="BI327" i="2"/>
  <c r="BH327" i="2"/>
  <c r="BG327" i="2"/>
  <c r="BF327" i="2"/>
  <c r="CQ326" i="2"/>
  <c r="CP326" i="2"/>
  <c r="CO326" i="2"/>
  <c r="CN326" i="2"/>
  <c r="CM326" i="2"/>
  <c r="CL326" i="2"/>
  <c r="CK326" i="2"/>
  <c r="CJ326" i="2"/>
  <c r="CI326" i="2"/>
  <c r="CH326" i="2"/>
  <c r="CG326" i="2"/>
  <c r="CF326" i="2"/>
  <c r="CE326" i="2"/>
  <c r="CD326" i="2"/>
  <c r="CC326" i="2"/>
  <c r="CB326" i="2"/>
  <c r="CA326" i="2"/>
  <c r="BZ326" i="2"/>
  <c r="BY326" i="2"/>
  <c r="BX326" i="2"/>
  <c r="BW326" i="2"/>
  <c r="BV326" i="2"/>
  <c r="BU326" i="2"/>
  <c r="BT326" i="2"/>
  <c r="BS326" i="2"/>
  <c r="BR326" i="2"/>
  <c r="BQ326" i="2"/>
  <c r="BP326" i="2"/>
  <c r="BO326" i="2"/>
  <c r="BN326" i="2"/>
  <c r="BM326" i="2"/>
  <c r="BL326" i="2"/>
  <c r="BK326" i="2"/>
  <c r="BJ326" i="2"/>
  <c r="BI326" i="2"/>
  <c r="BH326" i="2"/>
  <c r="BG326" i="2"/>
  <c r="BF326" i="2"/>
  <c r="CQ325" i="2"/>
  <c r="CP325" i="2"/>
  <c r="CO325" i="2"/>
  <c r="CN325" i="2"/>
  <c r="CM325" i="2"/>
  <c r="CL325" i="2"/>
  <c r="CK325" i="2"/>
  <c r="CJ325" i="2"/>
  <c r="CI325" i="2"/>
  <c r="CH325" i="2"/>
  <c r="CG325" i="2"/>
  <c r="CF325" i="2"/>
  <c r="CE325" i="2"/>
  <c r="CD325" i="2"/>
  <c r="CC325" i="2"/>
  <c r="CB325" i="2"/>
  <c r="CA325" i="2"/>
  <c r="BZ325" i="2"/>
  <c r="BY325" i="2"/>
  <c r="BX325" i="2"/>
  <c r="BW325" i="2"/>
  <c r="BV325" i="2"/>
  <c r="BU325" i="2"/>
  <c r="BT325" i="2"/>
  <c r="BS325" i="2"/>
  <c r="BR325" i="2"/>
  <c r="BQ325" i="2"/>
  <c r="BP325" i="2"/>
  <c r="BO325" i="2"/>
  <c r="BN325" i="2"/>
  <c r="BM325" i="2"/>
  <c r="BL325" i="2"/>
  <c r="BK325" i="2"/>
  <c r="BJ325" i="2"/>
  <c r="BI325" i="2"/>
  <c r="BH325" i="2"/>
  <c r="BG325" i="2"/>
  <c r="BF325" i="2"/>
  <c r="CQ324" i="2"/>
  <c r="CP324" i="2"/>
  <c r="CO324" i="2"/>
  <c r="CN324" i="2"/>
  <c r="CM324" i="2"/>
  <c r="CL324" i="2"/>
  <c r="CK324" i="2"/>
  <c r="CJ324" i="2"/>
  <c r="CI324" i="2"/>
  <c r="CH324" i="2"/>
  <c r="CG324" i="2"/>
  <c r="CF324" i="2"/>
  <c r="CE324" i="2"/>
  <c r="CD324" i="2"/>
  <c r="CC324" i="2"/>
  <c r="CB324" i="2"/>
  <c r="CA324" i="2"/>
  <c r="BZ324" i="2"/>
  <c r="BY324" i="2"/>
  <c r="BX324" i="2"/>
  <c r="BW324" i="2"/>
  <c r="BV324" i="2"/>
  <c r="BU324" i="2"/>
  <c r="BT324" i="2"/>
  <c r="BS324" i="2"/>
  <c r="BR324" i="2"/>
  <c r="BQ324" i="2"/>
  <c r="BP324" i="2"/>
  <c r="BO324" i="2"/>
  <c r="BN324" i="2"/>
  <c r="BM324" i="2"/>
  <c r="BL324" i="2"/>
  <c r="BK324" i="2"/>
  <c r="BJ324" i="2"/>
  <c r="BI324" i="2"/>
  <c r="BH324" i="2"/>
  <c r="BG324" i="2"/>
  <c r="BF324" i="2"/>
  <c r="CQ323" i="2"/>
  <c r="CP323" i="2"/>
  <c r="CO323" i="2"/>
  <c r="CN323" i="2"/>
  <c r="CM323" i="2"/>
  <c r="CL323" i="2"/>
  <c r="CK323" i="2"/>
  <c r="CJ323" i="2"/>
  <c r="CI323" i="2"/>
  <c r="CH323" i="2"/>
  <c r="CG323" i="2"/>
  <c r="CF323" i="2"/>
  <c r="CE323" i="2"/>
  <c r="CD323" i="2"/>
  <c r="CC323" i="2"/>
  <c r="CB323" i="2"/>
  <c r="CA323" i="2"/>
  <c r="BZ323" i="2"/>
  <c r="BY323" i="2"/>
  <c r="BX323" i="2"/>
  <c r="BW323" i="2"/>
  <c r="BV323" i="2"/>
  <c r="BU323" i="2"/>
  <c r="BT323" i="2"/>
  <c r="BS323" i="2"/>
  <c r="BR323" i="2"/>
  <c r="BQ323" i="2"/>
  <c r="BP323" i="2"/>
  <c r="BO323" i="2"/>
  <c r="BN323" i="2"/>
  <c r="BM323" i="2"/>
  <c r="BL323" i="2"/>
  <c r="BK323" i="2"/>
  <c r="BJ323" i="2"/>
  <c r="BI323" i="2"/>
  <c r="BH323" i="2"/>
  <c r="BG323" i="2"/>
  <c r="BF323" i="2"/>
  <c r="CQ322" i="2"/>
  <c r="CP322" i="2"/>
  <c r="CO322" i="2"/>
  <c r="CN322" i="2"/>
  <c r="CM322" i="2"/>
  <c r="CL322" i="2"/>
  <c r="CK322" i="2"/>
  <c r="CJ322" i="2"/>
  <c r="CI322" i="2"/>
  <c r="CH322" i="2"/>
  <c r="CG322" i="2"/>
  <c r="CF322" i="2"/>
  <c r="CE322" i="2"/>
  <c r="CD322" i="2"/>
  <c r="CC322" i="2"/>
  <c r="CB322" i="2"/>
  <c r="CA322" i="2"/>
  <c r="BZ322" i="2"/>
  <c r="BY322" i="2"/>
  <c r="BX322" i="2"/>
  <c r="BW322" i="2"/>
  <c r="BV322" i="2"/>
  <c r="BU322" i="2"/>
  <c r="BT322" i="2"/>
  <c r="BS322" i="2"/>
  <c r="BR322" i="2"/>
  <c r="BQ322" i="2"/>
  <c r="BP322" i="2"/>
  <c r="BO322" i="2"/>
  <c r="BN322" i="2"/>
  <c r="BM322" i="2"/>
  <c r="BL322" i="2"/>
  <c r="BK322" i="2"/>
  <c r="BJ322" i="2"/>
  <c r="BI322" i="2"/>
  <c r="BH322" i="2"/>
  <c r="BG322" i="2"/>
  <c r="BF322" i="2"/>
  <c r="CQ321" i="2"/>
  <c r="CP321" i="2"/>
  <c r="CO321" i="2"/>
  <c r="CN321" i="2"/>
  <c r="CM321" i="2"/>
  <c r="CL321" i="2"/>
  <c r="CK321" i="2"/>
  <c r="CJ321" i="2"/>
  <c r="CI321" i="2"/>
  <c r="CH321" i="2"/>
  <c r="CG321" i="2"/>
  <c r="CF321" i="2"/>
  <c r="CE321" i="2"/>
  <c r="CD321" i="2"/>
  <c r="CC321" i="2"/>
  <c r="CB321" i="2"/>
  <c r="CA321" i="2"/>
  <c r="BZ321" i="2"/>
  <c r="BY321" i="2"/>
  <c r="BX321" i="2"/>
  <c r="BW321" i="2"/>
  <c r="BV321" i="2"/>
  <c r="BU321" i="2"/>
  <c r="BT321" i="2"/>
  <c r="BS321" i="2"/>
  <c r="BR321" i="2"/>
  <c r="BQ321" i="2"/>
  <c r="BP321" i="2"/>
  <c r="BO321" i="2"/>
  <c r="BN321" i="2"/>
  <c r="BM321" i="2"/>
  <c r="BL321" i="2"/>
  <c r="BK321" i="2"/>
  <c r="BJ321" i="2"/>
  <c r="BI321" i="2"/>
  <c r="BH321" i="2"/>
  <c r="BG321" i="2"/>
  <c r="BF321" i="2"/>
  <c r="CQ320" i="2"/>
  <c r="CP320" i="2"/>
  <c r="CO320" i="2"/>
  <c r="CN320" i="2"/>
  <c r="CM320" i="2"/>
  <c r="CL320" i="2"/>
  <c r="CK320" i="2"/>
  <c r="CJ320" i="2"/>
  <c r="CI320" i="2"/>
  <c r="CH320" i="2"/>
  <c r="CG320" i="2"/>
  <c r="CF320" i="2"/>
  <c r="CE320" i="2"/>
  <c r="CD320" i="2"/>
  <c r="CC320" i="2"/>
  <c r="CB320" i="2"/>
  <c r="CA320" i="2"/>
  <c r="BZ320" i="2"/>
  <c r="BY320" i="2"/>
  <c r="BX320" i="2"/>
  <c r="BW320" i="2"/>
  <c r="BV320" i="2"/>
  <c r="BU320" i="2"/>
  <c r="BT320" i="2"/>
  <c r="BS320" i="2"/>
  <c r="BR320" i="2"/>
  <c r="BQ320" i="2"/>
  <c r="BP320" i="2"/>
  <c r="BO320" i="2"/>
  <c r="BN320" i="2"/>
  <c r="BM320" i="2"/>
  <c r="BL320" i="2"/>
  <c r="BK320" i="2"/>
  <c r="BJ320" i="2"/>
  <c r="BI320" i="2"/>
  <c r="BH320" i="2"/>
  <c r="BG320" i="2"/>
  <c r="BF320" i="2"/>
  <c r="CQ319" i="2"/>
  <c r="CP319" i="2"/>
  <c r="CO319" i="2"/>
  <c r="CN319" i="2"/>
  <c r="CM319" i="2"/>
  <c r="CL319" i="2"/>
  <c r="CK319" i="2"/>
  <c r="CJ319" i="2"/>
  <c r="CI319" i="2"/>
  <c r="CH319" i="2"/>
  <c r="CG319" i="2"/>
  <c r="CF319" i="2"/>
  <c r="CE319" i="2"/>
  <c r="CD319" i="2"/>
  <c r="CC319" i="2"/>
  <c r="CB319" i="2"/>
  <c r="CA319" i="2"/>
  <c r="BZ319" i="2"/>
  <c r="BY319" i="2"/>
  <c r="BX319" i="2"/>
  <c r="BW319" i="2"/>
  <c r="BV319" i="2"/>
  <c r="BU319" i="2"/>
  <c r="BT319" i="2"/>
  <c r="BS319" i="2"/>
  <c r="BR319" i="2"/>
  <c r="BQ319" i="2"/>
  <c r="BP319" i="2"/>
  <c r="BO319" i="2"/>
  <c r="BN319" i="2"/>
  <c r="BM319" i="2"/>
  <c r="BL319" i="2"/>
  <c r="BK319" i="2"/>
  <c r="BJ319" i="2"/>
  <c r="BI319" i="2"/>
  <c r="BH319" i="2"/>
  <c r="BG319" i="2"/>
  <c r="BF319" i="2"/>
  <c r="CQ318" i="2"/>
  <c r="CP318" i="2"/>
  <c r="CO318" i="2"/>
  <c r="CN318" i="2"/>
  <c r="CM318" i="2"/>
  <c r="CL318" i="2"/>
  <c r="CK318" i="2"/>
  <c r="CJ318" i="2"/>
  <c r="CI318" i="2"/>
  <c r="CH318" i="2"/>
  <c r="CG318" i="2"/>
  <c r="CF318" i="2"/>
  <c r="CE318" i="2"/>
  <c r="CD318" i="2"/>
  <c r="CC318" i="2"/>
  <c r="CB318" i="2"/>
  <c r="CA318" i="2"/>
  <c r="BZ318" i="2"/>
  <c r="BY318" i="2"/>
  <c r="BX318" i="2"/>
  <c r="BW318" i="2"/>
  <c r="BV318" i="2"/>
  <c r="BU318" i="2"/>
  <c r="BT318" i="2"/>
  <c r="BS318" i="2"/>
  <c r="BR318" i="2"/>
  <c r="BQ318" i="2"/>
  <c r="BP318" i="2"/>
  <c r="BO318" i="2"/>
  <c r="BN318" i="2"/>
  <c r="BM318" i="2"/>
  <c r="BL318" i="2"/>
  <c r="BK318" i="2"/>
  <c r="BJ318" i="2"/>
  <c r="BI318" i="2"/>
  <c r="BH318" i="2"/>
  <c r="BG318" i="2"/>
  <c r="BF318" i="2"/>
  <c r="CQ317" i="2"/>
  <c r="CP317" i="2"/>
  <c r="CO317" i="2"/>
  <c r="CN317" i="2"/>
  <c r="CM317" i="2"/>
  <c r="CL317" i="2"/>
  <c r="CK317" i="2"/>
  <c r="CJ317" i="2"/>
  <c r="CI317" i="2"/>
  <c r="CH317" i="2"/>
  <c r="CG317" i="2"/>
  <c r="CF317" i="2"/>
  <c r="CE317" i="2"/>
  <c r="CD317" i="2"/>
  <c r="CC317" i="2"/>
  <c r="CB317" i="2"/>
  <c r="CA317" i="2"/>
  <c r="BZ317" i="2"/>
  <c r="BY317" i="2"/>
  <c r="BX317" i="2"/>
  <c r="BW317" i="2"/>
  <c r="BV317" i="2"/>
  <c r="BU317" i="2"/>
  <c r="BT317" i="2"/>
  <c r="BS317" i="2"/>
  <c r="BR317" i="2"/>
  <c r="BQ317" i="2"/>
  <c r="BP317" i="2"/>
  <c r="BO317" i="2"/>
  <c r="BN317" i="2"/>
  <c r="BM317" i="2"/>
  <c r="BL317" i="2"/>
  <c r="BK317" i="2"/>
  <c r="BJ317" i="2"/>
  <c r="BI317" i="2"/>
  <c r="BH317" i="2"/>
  <c r="BG317" i="2"/>
  <c r="BF317" i="2"/>
  <c r="CQ316" i="2"/>
  <c r="CP316" i="2"/>
  <c r="CO316" i="2"/>
  <c r="CN316" i="2"/>
  <c r="CM316" i="2"/>
  <c r="CL316" i="2"/>
  <c r="CK316" i="2"/>
  <c r="CJ316" i="2"/>
  <c r="CI316" i="2"/>
  <c r="CH316" i="2"/>
  <c r="CG316" i="2"/>
  <c r="CF316" i="2"/>
  <c r="CE316" i="2"/>
  <c r="CD316" i="2"/>
  <c r="CC316" i="2"/>
  <c r="CB316" i="2"/>
  <c r="CA316" i="2"/>
  <c r="BZ316" i="2"/>
  <c r="BY316" i="2"/>
  <c r="BX316" i="2"/>
  <c r="BW316" i="2"/>
  <c r="BV316" i="2"/>
  <c r="BU316" i="2"/>
  <c r="BT316" i="2"/>
  <c r="BS316" i="2"/>
  <c r="BR316" i="2"/>
  <c r="BQ316" i="2"/>
  <c r="BP316" i="2"/>
  <c r="BO316" i="2"/>
  <c r="BN316" i="2"/>
  <c r="BM316" i="2"/>
  <c r="BL316" i="2"/>
  <c r="BK316" i="2"/>
  <c r="BJ316" i="2"/>
  <c r="BI316" i="2"/>
  <c r="BH316" i="2"/>
  <c r="BG316" i="2"/>
  <c r="BF316" i="2"/>
  <c r="CQ315" i="2"/>
  <c r="CP315" i="2"/>
  <c r="CO315" i="2"/>
  <c r="CN315" i="2"/>
  <c r="CM315" i="2"/>
  <c r="CL315" i="2"/>
  <c r="CK315" i="2"/>
  <c r="CJ315" i="2"/>
  <c r="CI315" i="2"/>
  <c r="CH315" i="2"/>
  <c r="CG315" i="2"/>
  <c r="CF315" i="2"/>
  <c r="CE315" i="2"/>
  <c r="CD315" i="2"/>
  <c r="CC315" i="2"/>
  <c r="CB315" i="2"/>
  <c r="CA315" i="2"/>
  <c r="BZ315" i="2"/>
  <c r="BY315" i="2"/>
  <c r="BX315" i="2"/>
  <c r="BW315" i="2"/>
  <c r="BV315" i="2"/>
  <c r="BU315" i="2"/>
  <c r="BT315" i="2"/>
  <c r="BS315" i="2"/>
  <c r="BR315" i="2"/>
  <c r="BQ315" i="2"/>
  <c r="BP315" i="2"/>
  <c r="BO315" i="2"/>
  <c r="BN315" i="2"/>
  <c r="BM315" i="2"/>
  <c r="BL315" i="2"/>
  <c r="BK315" i="2"/>
  <c r="BJ315" i="2"/>
  <c r="BI315" i="2"/>
  <c r="BH315" i="2"/>
  <c r="BG315" i="2"/>
  <c r="BF315" i="2"/>
  <c r="CQ314" i="2"/>
  <c r="CP314" i="2"/>
  <c r="CO314" i="2"/>
  <c r="CN314" i="2"/>
  <c r="CM314" i="2"/>
  <c r="CL314" i="2"/>
  <c r="CK314" i="2"/>
  <c r="CJ314" i="2"/>
  <c r="CI314" i="2"/>
  <c r="CH314" i="2"/>
  <c r="CG314" i="2"/>
  <c r="CF314" i="2"/>
  <c r="CE314" i="2"/>
  <c r="CD314" i="2"/>
  <c r="CC314" i="2"/>
  <c r="CB314" i="2"/>
  <c r="CA314" i="2"/>
  <c r="BZ314" i="2"/>
  <c r="BY314" i="2"/>
  <c r="BX314" i="2"/>
  <c r="BW314" i="2"/>
  <c r="BV314" i="2"/>
  <c r="BU314" i="2"/>
  <c r="BT314" i="2"/>
  <c r="BS314" i="2"/>
  <c r="BR314" i="2"/>
  <c r="BQ314" i="2"/>
  <c r="BP314" i="2"/>
  <c r="BO314" i="2"/>
  <c r="BN314" i="2"/>
  <c r="BM314" i="2"/>
  <c r="BL314" i="2"/>
  <c r="BK314" i="2"/>
  <c r="BJ314" i="2"/>
  <c r="BI314" i="2"/>
  <c r="BH314" i="2"/>
  <c r="BG314" i="2"/>
  <c r="BF314" i="2"/>
  <c r="CQ313" i="2"/>
  <c r="CP313" i="2"/>
  <c r="CO313" i="2"/>
  <c r="CN313" i="2"/>
  <c r="CM313" i="2"/>
  <c r="CL313" i="2"/>
  <c r="CK313" i="2"/>
  <c r="CJ313" i="2"/>
  <c r="CI313" i="2"/>
  <c r="CH313" i="2"/>
  <c r="CG313" i="2"/>
  <c r="CF313" i="2"/>
  <c r="CE313" i="2"/>
  <c r="CD313" i="2"/>
  <c r="CC313" i="2"/>
  <c r="CB313" i="2"/>
  <c r="CA313" i="2"/>
  <c r="BZ313" i="2"/>
  <c r="BY313" i="2"/>
  <c r="BX313" i="2"/>
  <c r="BW313" i="2"/>
  <c r="BV313" i="2"/>
  <c r="BU313" i="2"/>
  <c r="BT313" i="2"/>
  <c r="BS313" i="2"/>
  <c r="BR313" i="2"/>
  <c r="BQ313" i="2"/>
  <c r="BP313" i="2"/>
  <c r="BO313" i="2"/>
  <c r="BN313" i="2"/>
  <c r="BM313" i="2"/>
  <c r="BL313" i="2"/>
  <c r="BK313" i="2"/>
  <c r="BJ313" i="2"/>
  <c r="BI313" i="2"/>
  <c r="BH313" i="2"/>
  <c r="BG313" i="2"/>
  <c r="BF313" i="2"/>
  <c r="CQ312" i="2"/>
  <c r="CP312" i="2"/>
  <c r="CO312" i="2"/>
  <c r="CN312" i="2"/>
  <c r="CM312" i="2"/>
  <c r="CL312" i="2"/>
  <c r="CK312" i="2"/>
  <c r="CJ312" i="2"/>
  <c r="CI312" i="2"/>
  <c r="CH312" i="2"/>
  <c r="CG312" i="2"/>
  <c r="CF312" i="2"/>
  <c r="CE312" i="2"/>
  <c r="CD312" i="2"/>
  <c r="CC312" i="2"/>
  <c r="CB312" i="2"/>
  <c r="CA312" i="2"/>
  <c r="BZ312" i="2"/>
  <c r="BY312" i="2"/>
  <c r="BX312" i="2"/>
  <c r="BW312" i="2"/>
  <c r="BV312" i="2"/>
  <c r="BU312" i="2"/>
  <c r="BT312" i="2"/>
  <c r="BS312" i="2"/>
  <c r="BR312" i="2"/>
  <c r="BQ312" i="2"/>
  <c r="BP312" i="2"/>
  <c r="BO312" i="2"/>
  <c r="BN312" i="2"/>
  <c r="BM312" i="2"/>
  <c r="BL312" i="2"/>
  <c r="BK312" i="2"/>
  <c r="BJ312" i="2"/>
  <c r="BI312" i="2"/>
  <c r="BH312" i="2"/>
  <c r="BG312" i="2"/>
  <c r="BF312" i="2"/>
  <c r="CQ311" i="2"/>
  <c r="CP311" i="2"/>
  <c r="CO311" i="2"/>
  <c r="CN311" i="2"/>
  <c r="CM311" i="2"/>
  <c r="CL311" i="2"/>
  <c r="CK311" i="2"/>
  <c r="CJ311" i="2"/>
  <c r="CI311" i="2"/>
  <c r="CH311" i="2"/>
  <c r="CG311" i="2"/>
  <c r="CF311" i="2"/>
  <c r="CE311" i="2"/>
  <c r="CD311" i="2"/>
  <c r="CC311" i="2"/>
  <c r="CB311" i="2"/>
  <c r="CA311" i="2"/>
  <c r="BZ311" i="2"/>
  <c r="BY311" i="2"/>
  <c r="BX311" i="2"/>
  <c r="BW311" i="2"/>
  <c r="BV311" i="2"/>
  <c r="BU311" i="2"/>
  <c r="BT311" i="2"/>
  <c r="BS311" i="2"/>
  <c r="BR311" i="2"/>
  <c r="BQ311" i="2"/>
  <c r="BP311" i="2"/>
  <c r="BO311" i="2"/>
  <c r="BN311" i="2"/>
  <c r="BM311" i="2"/>
  <c r="BL311" i="2"/>
  <c r="BK311" i="2"/>
  <c r="BJ311" i="2"/>
  <c r="BI311" i="2"/>
  <c r="BH311" i="2"/>
  <c r="BG311" i="2"/>
  <c r="BF311" i="2"/>
  <c r="CQ310" i="2"/>
  <c r="CP310" i="2"/>
  <c r="CO310" i="2"/>
  <c r="CN310" i="2"/>
  <c r="CM310" i="2"/>
  <c r="CL310" i="2"/>
  <c r="CK310" i="2"/>
  <c r="CJ310" i="2"/>
  <c r="CI310" i="2"/>
  <c r="CH310" i="2"/>
  <c r="CG310" i="2"/>
  <c r="CF310" i="2"/>
  <c r="CE310" i="2"/>
  <c r="CD310" i="2"/>
  <c r="CC310" i="2"/>
  <c r="CB310" i="2"/>
  <c r="CA310" i="2"/>
  <c r="BZ310" i="2"/>
  <c r="BY310" i="2"/>
  <c r="BX310" i="2"/>
  <c r="BW310" i="2"/>
  <c r="BV310" i="2"/>
  <c r="BU310" i="2"/>
  <c r="BT310" i="2"/>
  <c r="BS310" i="2"/>
  <c r="BR310" i="2"/>
  <c r="BQ310" i="2"/>
  <c r="BP310" i="2"/>
  <c r="BO310" i="2"/>
  <c r="BN310" i="2"/>
  <c r="BM310" i="2"/>
  <c r="BL310" i="2"/>
  <c r="BK310" i="2"/>
  <c r="BJ310" i="2"/>
  <c r="BI310" i="2"/>
  <c r="BH310" i="2"/>
  <c r="BG310" i="2"/>
  <c r="BF310" i="2"/>
  <c r="CQ309" i="2"/>
  <c r="CP309" i="2"/>
  <c r="CO309" i="2"/>
  <c r="CN309" i="2"/>
  <c r="CM309" i="2"/>
  <c r="CL309" i="2"/>
  <c r="CK309" i="2"/>
  <c r="CJ309" i="2"/>
  <c r="CI309" i="2"/>
  <c r="CH309" i="2"/>
  <c r="CG309" i="2"/>
  <c r="CF309" i="2"/>
  <c r="CE309" i="2"/>
  <c r="CD309" i="2"/>
  <c r="CC309" i="2"/>
  <c r="CB309" i="2"/>
  <c r="CA309" i="2"/>
  <c r="BZ309" i="2"/>
  <c r="BY309" i="2"/>
  <c r="BX309" i="2"/>
  <c r="BW309" i="2"/>
  <c r="BV309" i="2"/>
  <c r="BU309" i="2"/>
  <c r="BT309" i="2"/>
  <c r="BS309" i="2"/>
  <c r="BR309" i="2"/>
  <c r="BQ309" i="2"/>
  <c r="BP309" i="2"/>
  <c r="BO309" i="2"/>
  <c r="BN309" i="2"/>
  <c r="BM309" i="2"/>
  <c r="BL309" i="2"/>
  <c r="BK309" i="2"/>
  <c r="BJ309" i="2"/>
  <c r="BI309" i="2"/>
  <c r="BH309" i="2"/>
  <c r="BG309" i="2"/>
  <c r="BF309" i="2"/>
  <c r="CQ308" i="2"/>
  <c r="CP308" i="2"/>
  <c r="CO308" i="2"/>
  <c r="CN308" i="2"/>
  <c r="CM308" i="2"/>
  <c r="CL308" i="2"/>
  <c r="CK308" i="2"/>
  <c r="CJ308" i="2"/>
  <c r="CI308" i="2"/>
  <c r="CH308" i="2"/>
  <c r="CG308" i="2"/>
  <c r="CF308" i="2"/>
  <c r="CE308" i="2"/>
  <c r="CD308" i="2"/>
  <c r="CC308" i="2"/>
  <c r="CB308" i="2"/>
  <c r="CA308" i="2"/>
  <c r="BZ308" i="2"/>
  <c r="BY308" i="2"/>
  <c r="BX308" i="2"/>
  <c r="BW308" i="2"/>
  <c r="BV308" i="2"/>
  <c r="BU308" i="2"/>
  <c r="BT308" i="2"/>
  <c r="BS308" i="2"/>
  <c r="BR308" i="2"/>
  <c r="BQ308" i="2"/>
  <c r="BP308" i="2"/>
  <c r="BO308" i="2"/>
  <c r="BN308" i="2"/>
  <c r="BM308" i="2"/>
  <c r="BL308" i="2"/>
  <c r="BK308" i="2"/>
  <c r="BJ308" i="2"/>
  <c r="BI308" i="2"/>
  <c r="BH308" i="2"/>
  <c r="BG308" i="2"/>
  <c r="BF308" i="2"/>
  <c r="CQ307" i="2"/>
  <c r="CP307" i="2"/>
  <c r="CO307" i="2"/>
  <c r="CN307" i="2"/>
  <c r="CM307" i="2"/>
  <c r="CL307" i="2"/>
  <c r="CK307" i="2"/>
  <c r="CJ307" i="2"/>
  <c r="CI307" i="2"/>
  <c r="CH307" i="2"/>
  <c r="CG307" i="2"/>
  <c r="CF307" i="2"/>
  <c r="CE307" i="2"/>
  <c r="CD307" i="2"/>
  <c r="CC307" i="2"/>
  <c r="CB307" i="2"/>
  <c r="CA307" i="2"/>
  <c r="BZ307" i="2"/>
  <c r="BY307" i="2"/>
  <c r="BX307" i="2"/>
  <c r="BW307" i="2"/>
  <c r="BV307" i="2"/>
  <c r="BU307" i="2"/>
  <c r="BT307" i="2"/>
  <c r="BS307" i="2"/>
  <c r="BR307" i="2"/>
  <c r="BQ307" i="2"/>
  <c r="BP307" i="2"/>
  <c r="BO307" i="2"/>
  <c r="BN307" i="2"/>
  <c r="BM307" i="2"/>
  <c r="BL307" i="2"/>
  <c r="BK307" i="2"/>
  <c r="BJ307" i="2"/>
  <c r="BI307" i="2"/>
  <c r="BH307" i="2"/>
  <c r="BG307" i="2"/>
  <c r="BF307" i="2"/>
  <c r="CQ306" i="2"/>
  <c r="CP306" i="2"/>
  <c r="CO306" i="2"/>
  <c r="CN306" i="2"/>
  <c r="CM306" i="2"/>
  <c r="CL306" i="2"/>
  <c r="CK306" i="2"/>
  <c r="CJ306" i="2"/>
  <c r="CI306" i="2"/>
  <c r="CH306" i="2"/>
  <c r="CG306" i="2"/>
  <c r="CF306" i="2"/>
  <c r="CE306" i="2"/>
  <c r="CD306" i="2"/>
  <c r="CC306" i="2"/>
  <c r="CB306" i="2"/>
  <c r="CA306" i="2"/>
  <c r="BZ306" i="2"/>
  <c r="BY306" i="2"/>
  <c r="BX306" i="2"/>
  <c r="BW306" i="2"/>
  <c r="BV306" i="2"/>
  <c r="BU306" i="2"/>
  <c r="BT306" i="2"/>
  <c r="BS306" i="2"/>
  <c r="BR306" i="2"/>
  <c r="BQ306" i="2"/>
  <c r="BP306" i="2"/>
  <c r="BO306" i="2"/>
  <c r="BN306" i="2"/>
  <c r="BM306" i="2"/>
  <c r="BL306" i="2"/>
  <c r="BK306" i="2"/>
  <c r="BJ306" i="2"/>
  <c r="BI306" i="2"/>
  <c r="BH306" i="2"/>
  <c r="BG306" i="2"/>
  <c r="BF306" i="2"/>
  <c r="CQ305" i="2"/>
  <c r="CP305" i="2"/>
  <c r="CO305" i="2"/>
  <c r="CN305" i="2"/>
  <c r="CM305" i="2"/>
  <c r="CL305" i="2"/>
  <c r="CK305" i="2"/>
  <c r="CJ305" i="2"/>
  <c r="CI305" i="2"/>
  <c r="CH305" i="2"/>
  <c r="CG305" i="2"/>
  <c r="CF305" i="2"/>
  <c r="CE305" i="2"/>
  <c r="CD305" i="2"/>
  <c r="CC305" i="2"/>
  <c r="CB305" i="2"/>
  <c r="CA305" i="2"/>
  <c r="BZ305" i="2"/>
  <c r="BY305" i="2"/>
  <c r="BX305" i="2"/>
  <c r="BW305" i="2"/>
  <c r="BV305" i="2"/>
  <c r="BU305" i="2"/>
  <c r="BT305" i="2"/>
  <c r="BS305" i="2"/>
  <c r="BR305" i="2"/>
  <c r="BQ305" i="2"/>
  <c r="BP305" i="2"/>
  <c r="BO305" i="2"/>
  <c r="BN305" i="2"/>
  <c r="BM305" i="2"/>
  <c r="BL305" i="2"/>
  <c r="BK305" i="2"/>
  <c r="BJ305" i="2"/>
  <c r="BI305" i="2"/>
  <c r="BH305" i="2"/>
  <c r="BG305" i="2"/>
  <c r="BF305" i="2"/>
  <c r="CQ304" i="2"/>
  <c r="CP304" i="2"/>
  <c r="CO304" i="2"/>
  <c r="CN304" i="2"/>
  <c r="CM304" i="2"/>
  <c r="CL304" i="2"/>
  <c r="CK304" i="2"/>
  <c r="CJ304" i="2"/>
  <c r="CI304" i="2"/>
  <c r="CH304" i="2"/>
  <c r="CG304" i="2"/>
  <c r="CF304" i="2"/>
  <c r="CE304" i="2"/>
  <c r="CD304" i="2"/>
  <c r="CC304" i="2"/>
  <c r="CB304" i="2"/>
  <c r="CA304" i="2"/>
  <c r="BZ304" i="2"/>
  <c r="BY304" i="2"/>
  <c r="BX304" i="2"/>
  <c r="BW304" i="2"/>
  <c r="BV304" i="2"/>
  <c r="BU304" i="2"/>
  <c r="BT304" i="2"/>
  <c r="BS304" i="2"/>
  <c r="BR304" i="2"/>
  <c r="BQ304" i="2"/>
  <c r="BP304" i="2"/>
  <c r="BO304" i="2"/>
  <c r="BN304" i="2"/>
  <c r="BM304" i="2"/>
  <c r="BL304" i="2"/>
  <c r="BK304" i="2"/>
  <c r="BJ304" i="2"/>
  <c r="BI304" i="2"/>
  <c r="BH304" i="2"/>
  <c r="BG304" i="2"/>
  <c r="BF304" i="2"/>
  <c r="CQ303" i="2"/>
  <c r="CP303" i="2"/>
  <c r="CO303" i="2"/>
  <c r="CN303" i="2"/>
  <c r="CM303" i="2"/>
  <c r="CL303" i="2"/>
  <c r="CK303" i="2"/>
  <c r="CJ303" i="2"/>
  <c r="CI303" i="2"/>
  <c r="CH303" i="2"/>
  <c r="CG303" i="2"/>
  <c r="CF303" i="2"/>
  <c r="CE303" i="2"/>
  <c r="CD303" i="2"/>
  <c r="CC303" i="2"/>
  <c r="CB303" i="2"/>
  <c r="CA303" i="2"/>
  <c r="BZ303" i="2"/>
  <c r="BY303" i="2"/>
  <c r="BX303" i="2"/>
  <c r="BW303" i="2"/>
  <c r="BV303" i="2"/>
  <c r="BU303" i="2"/>
  <c r="BT303" i="2"/>
  <c r="BS303" i="2"/>
  <c r="BR303" i="2"/>
  <c r="BQ303" i="2"/>
  <c r="BP303" i="2"/>
  <c r="BO303" i="2"/>
  <c r="BN303" i="2"/>
  <c r="BM303" i="2"/>
  <c r="BL303" i="2"/>
  <c r="BK303" i="2"/>
  <c r="BJ303" i="2"/>
  <c r="BI303" i="2"/>
  <c r="BH303" i="2"/>
  <c r="BG303" i="2"/>
  <c r="BF303" i="2"/>
  <c r="CQ302" i="2"/>
  <c r="CP302" i="2"/>
  <c r="CO302" i="2"/>
  <c r="CN302" i="2"/>
  <c r="CM302" i="2"/>
  <c r="CL302" i="2"/>
  <c r="CK302" i="2"/>
  <c r="CJ302" i="2"/>
  <c r="CI302" i="2"/>
  <c r="CH302" i="2"/>
  <c r="CG302" i="2"/>
  <c r="CF302" i="2"/>
  <c r="CE302" i="2"/>
  <c r="CD302" i="2"/>
  <c r="CC302" i="2"/>
  <c r="CB302" i="2"/>
  <c r="CA302" i="2"/>
  <c r="BZ302" i="2"/>
  <c r="BY302" i="2"/>
  <c r="BX302" i="2"/>
  <c r="BW302" i="2"/>
  <c r="BV302" i="2"/>
  <c r="BU302" i="2"/>
  <c r="BT302" i="2"/>
  <c r="BS302" i="2"/>
  <c r="BR302" i="2"/>
  <c r="BQ302" i="2"/>
  <c r="BP302" i="2"/>
  <c r="BO302" i="2"/>
  <c r="BN302" i="2"/>
  <c r="BM302" i="2"/>
  <c r="BL302" i="2"/>
  <c r="BK302" i="2"/>
  <c r="BJ302" i="2"/>
  <c r="BI302" i="2"/>
  <c r="BH302" i="2"/>
  <c r="BG302" i="2"/>
  <c r="BF302" i="2"/>
  <c r="CQ301" i="2"/>
  <c r="CP301" i="2"/>
  <c r="CO301" i="2"/>
  <c r="CN301" i="2"/>
  <c r="CM301" i="2"/>
  <c r="CL301" i="2"/>
  <c r="CK301" i="2"/>
  <c r="CJ301" i="2"/>
  <c r="CI301" i="2"/>
  <c r="CH301" i="2"/>
  <c r="CG301" i="2"/>
  <c r="CF301" i="2"/>
  <c r="CE301" i="2"/>
  <c r="CD301" i="2"/>
  <c r="CC301" i="2"/>
  <c r="CB301" i="2"/>
  <c r="CA301" i="2"/>
  <c r="BZ301" i="2"/>
  <c r="BY301" i="2"/>
  <c r="BX301" i="2"/>
  <c r="BW301" i="2"/>
  <c r="BV301" i="2"/>
  <c r="BU301" i="2"/>
  <c r="BT301" i="2"/>
  <c r="BS301" i="2"/>
  <c r="BR301" i="2"/>
  <c r="BQ301" i="2"/>
  <c r="BP301" i="2"/>
  <c r="BO301" i="2"/>
  <c r="BN301" i="2"/>
  <c r="BM301" i="2"/>
  <c r="BL301" i="2"/>
  <c r="BK301" i="2"/>
  <c r="BJ301" i="2"/>
  <c r="BI301" i="2"/>
  <c r="BH301" i="2"/>
  <c r="BG301" i="2"/>
  <c r="BF301" i="2"/>
  <c r="CQ300" i="2"/>
  <c r="CP300" i="2"/>
  <c r="CO300" i="2"/>
  <c r="CN300" i="2"/>
  <c r="CM300" i="2"/>
  <c r="CL300" i="2"/>
  <c r="CK300" i="2"/>
  <c r="CJ300" i="2"/>
  <c r="CI300" i="2"/>
  <c r="CH300" i="2"/>
  <c r="CG300" i="2"/>
  <c r="CF300" i="2"/>
  <c r="CE300" i="2"/>
  <c r="CD300" i="2"/>
  <c r="CC300" i="2"/>
  <c r="CB300" i="2"/>
  <c r="CA300" i="2"/>
  <c r="BZ300" i="2"/>
  <c r="BY300" i="2"/>
  <c r="BX300" i="2"/>
  <c r="BW300" i="2"/>
  <c r="BV300" i="2"/>
  <c r="BU300" i="2"/>
  <c r="BT300" i="2"/>
  <c r="BS300" i="2"/>
  <c r="BR300" i="2"/>
  <c r="BQ300" i="2"/>
  <c r="BP300" i="2"/>
  <c r="BO300" i="2"/>
  <c r="BN300" i="2"/>
  <c r="BM300" i="2"/>
  <c r="BL300" i="2"/>
  <c r="BK300" i="2"/>
  <c r="BJ300" i="2"/>
  <c r="BI300" i="2"/>
  <c r="BH300" i="2"/>
  <c r="BG300" i="2"/>
  <c r="BF300" i="2"/>
  <c r="CQ299" i="2"/>
  <c r="CP299" i="2"/>
  <c r="CO299" i="2"/>
  <c r="CN299" i="2"/>
  <c r="CM299" i="2"/>
  <c r="CL299" i="2"/>
  <c r="CK299" i="2"/>
  <c r="CJ299" i="2"/>
  <c r="CI299" i="2"/>
  <c r="CH299" i="2"/>
  <c r="CG299" i="2"/>
  <c r="CF299" i="2"/>
  <c r="CE299" i="2"/>
  <c r="CD299" i="2"/>
  <c r="CC299" i="2"/>
  <c r="CB299" i="2"/>
  <c r="CA299" i="2"/>
  <c r="BZ299" i="2"/>
  <c r="BY299" i="2"/>
  <c r="BX299" i="2"/>
  <c r="BW299" i="2"/>
  <c r="BV299" i="2"/>
  <c r="BU299" i="2"/>
  <c r="BT299" i="2"/>
  <c r="BS299" i="2"/>
  <c r="BR299" i="2"/>
  <c r="BQ299" i="2"/>
  <c r="BP299" i="2"/>
  <c r="BO299" i="2"/>
  <c r="BN299" i="2"/>
  <c r="BM299" i="2"/>
  <c r="BL299" i="2"/>
  <c r="BK299" i="2"/>
  <c r="BJ299" i="2"/>
  <c r="BI299" i="2"/>
  <c r="BH299" i="2"/>
  <c r="BG299" i="2"/>
  <c r="BF299" i="2"/>
  <c r="CQ298" i="2"/>
  <c r="CP298" i="2"/>
  <c r="CO298" i="2"/>
  <c r="CN298" i="2"/>
  <c r="CM298" i="2"/>
  <c r="CL298" i="2"/>
  <c r="CK298" i="2"/>
  <c r="CJ298" i="2"/>
  <c r="CI298" i="2"/>
  <c r="CH298" i="2"/>
  <c r="CG298" i="2"/>
  <c r="CF298" i="2"/>
  <c r="CE298" i="2"/>
  <c r="CD298" i="2"/>
  <c r="CC298" i="2"/>
  <c r="CB298" i="2"/>
  <c r="CA298" i="2"/>
  <c r="BZ298" i="2"/>
  <c r="BY298" i="2"/>
  <c r="BX298" i="2"/>
  <c r="BW298" i="2"/>
  <c r="BV298" i="2"/>
  <c r="BU298" i="2"/>
  <c r="BT298" i="2"/>
  <c r="BS298" i="2"/>
  <c r="BR298" i="2"/>
  <c r="BQ298" i="2"/>
  <c r="BP298" i="2"/>
  <c r="BO298" i="2"/>
  <c r="BN298" i="2"/>
  <c r="BM298" i="2"/>
  <c r="BL298" i="2"/>
  <c r="BK298" i="2"/>
  <c r="BJ298" i="2"/>
  <c r="BI298" i="2"/>
  <c r="BH298" i="2"/>
  <c r="BG298" i="2"/>
  <c r="BF298" i="2"/>
  <c r="CQ297" i="2"/>
  <c r="CP297" i="2"/>
  <c r="CO297" i="2"/>
  <c r="CN297" i="2"/>
  <c r="CM297" i="2"/>
  <c r="CL297" i="2"/>
  <c r="CK297" i="2"/>
  <c r="CJ297" i="2"/>
  <c r="CI297" i="2"/>
  <c r="CH297" i="2"/>
  <c r="CG297" i="2"/>
  <c r="CF297" i="2"/>
  <c r="CE297" i="2"/>
  <c r="CD297" i="2"/>
  <c r="CC297" i="2"/>
  <c r="CB297" i="2"/>
  <c r="CA297" i="2"/>
  <c r="BZ297" i="2"/>
  <c r="BY297" i="2"/>
  <c r="BX297" i="2"/>
  <c r="BW297" i="2"/>
  <c r="BV297" i="2"/>
  <c r="BU297" i="2"/>
  <c r="BT297" i="2"/>
  <c r="BS297" i="2"/>
  <c r="BR297" i="2"/>
  <c r="BQ297" i="2"/>
  <c r="BP297" i="2"/>
  <c r="BO297" i="2"/>
  <c r="BN297" i="2"/>
  <c r="BM297" i="2"/>
  <c r="BL297" i="2"/>
  <c r="BK297" i="2"/>
  <c r="BJ297" i="2"/>
  <c r="BI297" i="2"/>
  <c r="BH297" i="2"/>
  <c r="BG297" i="2"/>
  <c r="BF297" i="2"/>
  <c r="CQ296" i="2"/>
  <c r="CP296" i="2"/>
  <c r="CO296" i="2"/>
  <c r="CN296" i="2"/>
  <c r="CM296" i="2"/>
  <c r="CL296" i="2"/>
  <c r="CK296" i="2"/>
  <c r="CJ296" i="2"/>
  <c r="CI296" i="2"/>
  <c r="CH296" i="2"/>
  <c r="CG296" i="2"/>
  <c r="CF296" i="2"/>
  <c r="CE296" i="2"/>
  <c r="CD296" i="2"/>
  <c r="CC296" i="2"/>
  <c r="CB296" i="2"/>
  <c r="CA296" i="2"/>
  <c r="BZ296" i="2"/>
  <c r="BY296" i="2"/>
  <c r="BX296" i="2"/>
  <c r="BW296" i="2"/>
  <c r="BV296" i="2"/>
  <c r="BU296" i="2"/>
  <c r="BT296" i="2"/>
  <c r="BS296" i="2"/>
  <c r="BR296" i="2"/>
  <c r="BQ296" i="2"/>
  <c r="BP296" i="2"/>
  <c r="BO296" i="2"/>
  <c r="BN296" i="2"/>
  <c r="BM296" i="2"/>
  <c r="BL296" i="2"/>
  <c r="BK296" i="2"/>
  <c r="BJ296" i="2"/>
  <c r="BI296" i="2"/>
  <c r="BH296" i="2"/>
  <c r="BG296" i="2"/>
  <c r="BF296" i="2"/>
  <c r="CQ295" i="2"/>
  <c r="CP295" i="2"/>
  <c r="CO295" i="2"/>
  <c r="CN295" i="2"/>
  <c r="CM295" i="2"/>
  <c r="CL295" i="2"/>
  <c r="CK295" i="2"/>
  <c r="CJ295" i="2"/>
  <c r="CI295" i="2"/>
  <c r="CH295" i="2"/>
  <c r="CG295" i="2"/>
  <c r="CF295" i="2"/>
  <c r="CE295" i="2"/>
  <c r="CD295" i="2"/>
  <c r="CC295" i="2"/>
  <c r="CB295" i="2"/>
  <c r="CA295" i="2"/>
  <c r="BZ295" i="2"/>
  <c r="BY295" i="2"/>
  <c r="BX295" i="2"/>
  <c r="BW295" i="2"/>
  <c r="BV295" i="2"/>
  <c r="BU295" i="2"/>
  <c r="BT295" i="2"/>
  <c r="BS295" i="2"/>
  <c r="BR295" i="2"/>
  <c r="BQ295" i="2"/>
  <c r="BP295" i="2"/>
  <c r="BO295" i="2"/>
  <c r="BN295" i="2"/>
  <c r="BM295" i="2"/>
  <c r="BL295" i="2"/>
  <c r="BK295" i="2"/>
  <c r="BJ295" i="2"/>
  <c r="BI295" i="2"/>
  <c r="BH295" i="2"/>
  <c r="BG295" i="2"/>
  <c r="BF295" i="2"/>
  <c r="CQ294" i="2"/>
  <c r="CP294" i="2"/>
  <c r="CO294" i="2"/>
  <c r="CN294" i="2"/>
  <c r="CM294" i="2"/>
  <c r="CL294" i="2"/>
  <c r="CK294" i="2"/>
  <c r="CJ294" i="2"/>
  <c r="CI294" i="2"/>
  <c r="CH294" i="2"/>
  <c r="CG294" i="2"/>
  <c r="CF294" i="2"/>
  <c r="CE294" i="2"/>
  <c r="CD294" i="2"/>
  <c r="CC294" i="2"/>
  <c r="CB294" i="2"/>
  <c r="CA294" i="2"/>
  <c r="BZ294" i="2"/>
  <c r="BY294" i="2"/>
  <c r="BX294" i="2"/>
  <c r="BW294" i="2"/>
  <c r="BV294" i="2"/>
  <c r="BU294" i="2"/>
  <c r="BT294" i="2"/>
  <c r="BS294" i="2"/>
  <c r="BR294" i="2"/>
  <c r="BQ294" i="2"/>
  <c r="BP294" i="2"/>
  <c r="BO294" i="2"/>
  <c r="BN294" i="2"/>
  <c r="BM294" i="2"/>
  <c r="BL294" i="2"/>
  <c r="BK294" i="2"/>
  <c r="BJ294" i="2"/>
  <c r="BI294" i="2"/>
  <c r="BH294" i="2"/>
  <c r="BG294" i="2"/>
  <c r="BF294" i="2"/>
  <c r="CQ293" i="2"/>
  <c r="CP293" i="2"/>
  <c r="CO293" i="2"/>
  <c r="CN293" i="2"/>
  <c r="CM293" i="2"/>
  <c r="CL293" i="2"/>
  <c r="CK293" i="2"/>
  <c r="CJ293" i="2"/>
  <c r="CI293" i="2"/>
  <c r="CH293" i="2"/>
  <c r="CG293" i="2"/>
  <c r="CF293" i="2"/>
  <c r="CE293" i="2"/>
  <c r="CD293" i="2"/>
  <c r="CC293" i="2"/>
  <c r="CB293" i="2"/>
  <c r="CA293" i="2"/>
  <c r="BZ293" i="2"/>
  <c r="BY293" i="2"/>
  <c r="BX293" i="2"/>
  <c r="BW293" i="2"/>
  <c r="BV293" i="2"/>
  <c r="BU293" i="2"/>
  <c r="BT293" i="2"/>
  <c r="BS293" i="2"/>
  <c r="BR293" i="2"/>
  <c r="BQ293" i="2"/>
  <c r="BP293" i="2"/>
  <c r="BO293" i="2"/>
  <c r="BN293" i="2"/>
  <c r="BM293" i="2"/>
  <c r="BL293" i="2"/>
  <c r="BK293" i="2"/>
  <c r="BJ293" i="2"/>
  <c r="BI293" i="2"/>
  <c r="BH293" i="2"/>
  <c r="BG293" i="2"/>
  <c r="BF293" i="2"/>
  <c r="CQ292" i="2"/>
  <c r="CP292" i="2"/>
  <c r="CO292" i="2"/>
  <c r="CN292" i="2"/>
  <c r="CM292" i="2"/>
  <c r="CL292" i="2"/>
  <c r="CK292" i="2"/>
  <c r="CJ292" i="2"/>
  <c r="CI292" i="2"/>
  <c r="CH292" i="2"/>
  <c r="CG292" i="2"/>
  <c r="CF292" i="2"/>
  <c r="CE292" i="2"/>
  <c r="CD292" i="2"/>
  <c r="CC292" i="2"/>
  <c r="CB292" i="2"/>
  <c r="CA292" i="2"/>
  <c r="BZ292" i="2"/>
  <c r="BY292" i="2"/>
  <c r="BX292" i="2"/>
  <c r="BW292" i="2"/>
  <c r="BV292" i="2"/>
  <c r="BU292" i="2"/>
  <c r="BT292" i="2"/>
  <c r="BS292" i="2"/>
  <c r="BR292" i="2"/>
  <c r="BQ292" i="2"/>
  <c r="BP292" i="2"/>
  <c r="BO292" i="2"/>
  <c r="BN292" i="2"/>
  <c r="BM292" i="2"/>
  <c r="BL292" i="2"/>
  <c r="BK292" i="2"/>
  <c r="BJ292" i="2"/>
  <c r="BI292" i="2"/>
  <c r="BH292" i="2"/>
  <c r="BG292" i="2"/>
  <c r="BF292" i="2"/>
  <c r="CQ291" i="2"/>
  <c r="CP291" i="2"/>
  <c r="CO291" i="2"/>
  <c r="CN291" i="2"/>
  <c r="CM291" i="2"/>
  <c r="CL291" i="2"/>
  <c r="CK291" i="2"/>
  <c r="CJ291" i="2"/>
  <c r="CI291" i="2"/>
  <c r="CH291" i="2"/>
  <c r="CG291" i="2"/>
  <c r="CF291" i="2"/>
  <c r="CE291" i="2"/>
  <c r="CD291" i="2"/>
  <c r="CC291" i="2"/>
  <c r="CB291" i="2"/>
  <c r="CA291" i="2"/>
  <c r="BZ291" i="2"/>
  <c r="BY291" i="2"/>
  <c r="BX291" i="2"/>
  <c r="BW291" i="2"/>
  <c r="BV291" i="2"/>
  <c r="BU291" i="2"/>
  <c r="BT291" i="2"/>
  <c r="BS291" i="2"/>
  <c r="BR291" i="2"/>
  <c r="BQ291" i="2"/>
  <c r="BP291" i="2"/>
  <c r="BO291" i="2"/>
  <c r="BN291" i="2"/>
  <c r="BM291" i="2"/>
  <c r="BL291" i="2"/>
  <c r="BK291" i="2"/>
  <c r="BJ291" i="2"/>
  <c r="BI291" i="2"/>
  <c r="BH291" i="2"/>
  <c r="BG291" i="2"/>
  <c r="BF291" i="2"/>
  <c r="CQ290" i="2"/>
  <c r="CP290" i="2"/>
  <c r="CO290" i="2"/>
  <c r="CN290" i="2"/>
  <c r="CM290" i="2"/>
  <c r="CL290" i="2"/>
  <c r="CK290" i="2"/>
  <c r="CJ290" i="2"/>
  <c r="CI290" i="2"/>
  <c r="CH290" i="2"/>
  <c r="CG290" i="2"/>
  <c r="CF290" i="2"/>
  <c r="CE290" i="2"/>
  <c r="CD290" i="2"/>
  <c r="CC290" i="2"/>
  <c r="CB290" i="2"/>
  <c r="CA290" i="2"/>
  <c r="BZ290" i="2"/>
  <c r="BY290" i="2"/>
  <c r="BX290" i="2"/>
  <c r="BW290" i="2"/>
  <c r="BV290" i="2"/>
  <c r="BU290" i="2"/>
  <c r="BT290" i="2"/>
  <c r="BS290" i="2"/>
  <c r="BR290" i="2"/>
  <c r="BQ290" i="2"/>
  <c r="BP290" i="2"/>
  <c r="BO290" i="2"/>
  <c r="BN290" i="2"/>
  <c r="BM290" i="2"/>
  <c r="BL290" i="2"/>
  <c r="BK290" i="2"/>
  <c r="BJ290" i="2"/>
  <c r="BI290" i="2"/>
  <c r="BH290" i="2"/>
  <c r="BG290" i="2"/>
  <c r="BF290" i="2"/>
  <c r="CQ289" i="2"/>
  <c r="CP289" i="2"/>
  <c r="CO289" i="2"/>
  <c r="CN289" i="2"/>
  <c r="CM289" i="2"/>
  <c r="CL289" i="2"/>
  <c r="CK289" i="2"/>
  <c r="CJ289" i="2"/>
  <c r="CI289" i="2"/>
  <c r="CH289" i="2"/>
  <c r="CG289" i="2"/>
  <c r="CF289" i="2"/>
  <c r="CE289" i="2"/>
  <c r="CD289" i="2"/>
  <c r="CC289" i="2"/>
  <c r="CB289" i="2"/>
  <c r="CA289" i="2"/>
  <c r="BZ289" i="2"/>
  <c r="BY289" i="2"/>
  <c r="BX289" i="2"/>
  <c r="BW289" i="2"/>
  <c r="BV289" i="2"/>
  <c r="BU289" i="2"/>
  <c r="BT289" i="2"/>
  <c r="BS289" i="2"/>
  <c r="BR289" i="2"/>
  <c r="BQ289" i="2"/>
  <c r="BP289" i="2"/>
  <c r="BO289" i="2"/>
  <c r="BN289" i="2"/>
  <c r="BM289" i="2"/>
  <c r="BL289" i="2"/>
  <c r="BK289" i="2"/>
  <c r="BJ289" i="2"/>
  <c r="BI289" i="2"/>
  <c r="BH289" i="2"/>
  <c r="BG289" i="2"/>
  <c r="BF289" i="2"/>
  <c r="CQ288" i="2"/>
  <c r="CP288" i="2"/>
  <c r="CO288" i="2"/>
  <c r="CN288" i="2"/>
  <c r="CM288" i="2"/>
  <c r="CL288" i="2"/>
  <c r="CK288" i="2"/>
  <c r="CJ288" i="2"/>
  <c r="CI288" i="2"/>
  <c r="CH288" i="2"/>
  <c r="CG288" i="2"/>
  <c r="CF288" i="2"/>
  <c r="CE288" i="2"/>
  <c r="CD288" i="2"/>
  <c r="CC288" i="2"/>
  <c r="CB288" i="2"/>
  <c r="CA288" i="2"/>
  <c r="BZ288" i="2"/>
  <c r="BY288" i="2"/>
  <c r="BX288" i="2"/>
  <c r="BW288" i="2"/>
  <c r="BV288" i="2"/>
  <c r="BU288" i="2"/>
  <c r="BT288" i="2"/>
  <c r="BS288" i="2"/>
  <c r="BR288" i="2"/>
  <c r="BQ288" i="2"/>
  <c r="BP288" i="2"/>
  <c r="BO288" i="2"/>
  <c r="BN288" i="2"/>
  <c r="BM288" i="2"/>
  <c r="BL288" i="2"/>
  <c r="BK288" i="2"/>
  <c r="BJ288" i="2"/>
  <c r="BI288" i="2"/>
  <c r="BH288" i="2"/>
  <c r="BG288" i="2"/>
  <c r="BF288" i="2"/>
  <c r="CQ287" i="2"/>
  <c r="CP287" i="2"/>
  <c r="CO287" i="2"/>
  <c r="CN287" i="2"/>
  <c r="CM287" i="2"/>
  <c r="CL287" i="2"/>
  <c r="CK287" i="2"/>
  <c r="CJ287" i="2"/>
  <c r="CI287" i="2"/>
  <c r="CH287" i="2"/>
  <c r="CG287" i="2"/>
  <c r="CF287" i="2"/>
  <c r="CE287" i="2"/>
  <c r="CD287" i="2"/>
  <c r="CC287" i="2"/>
  <c r="CB287" i="2"/>
  <c r="CA287" i="2"/>
  <c r="BZ287" i="2"/>
  <c r="BY287" i="2"/>
  <c r="BX287" i="2"/>
  <c r="BW287" i="2"/>
  <c r="BV287" i="2"/>
  <c r="BU287" i="2"/>
  <c r="BT287" i="2"/>
  <c r="BS287" i="2"/>
  <c r="BR287" i="2"/>
  <c r="BQ287" i="2"/>
  <c r="BP287" i="2"/>
  <c r="BO287" i="2"/>
  <c r="BN287" i="2"/>
  <c r="BM287" i="2"/>
  <c r="BL287" i="2"/>
  <c r="BK287" i="2"/>
  <c r="BJ287" i="2"/>
  <c r="BI287" i="2"/>
  <c r="BH287" i="2"/>
  <c r="BG287" i="2"/>
  <c r="BF287" i="2"/>
  <c r="CQ286" i="2"/>
  <c r="CP286" i="2"/>
  <c r="CO286" i="2"/>
  <c r="CN286" i="2"/>
  <c r="CM286" i="2"/>
  <c r="CL286" i="2"/>
  <c r="CK286" i="2"/>
  <c r="CJ286" i="2"/>
  <c r="CI286" i="2"/>
  <c r="CH286" i="2"/>
  <c r="CG286" i="2"/>
  <c r="CF286" i="2"/>
  <c r="CE286" i="2"/>
  <c r="CD286" i="2"/>
  <c r="CC286" i="2"/>
  <c r="CB286" i="2"/>
  <c r="CA286" i="2"/>
  <c r="BZ286" i="2"/>
  <c r="BY286" i="2"/>
  <c r="BX286" i="2"/>
  <c r="BW286" i="2"/>
  <c r="BV286" i="2"/>
  <c r="BU286" i="2"/>
  <c r="BT286" i="2"/>
  <c r="BS286" i="2"/>
  <c r="BR286" i="2"/>
  <c r="BQ286" i="2"/>
  <c r="BP286" i="2"/>
  <c r="BO286" i="2"/>
  <c r="BN286" i="2"/>
  <c r="BM286" i="2"/>
  <c r="BL286" i="2"/>
  <c r="BK286" i="2"/>
  <c r="BJ286" i="2"/>
  <c r="BI286" i="2"/>
  <c r="BH286" i="2"/>
  <c r="BG286" i="2"/>
  <c r="BF286" i="2"/>
  <c r="CQ285" i="2"/>
  <c r="CP285" i="2"/>
  <c r="CO285" i="2"/>
  <c r="CN285" i="2"/>
  <c r="CM285" i="2"/>
  <c r="CL285" i="2"/>
  <c r="CK285" i="2"/>
  <c r="CJ285" i="2"/>
  <c r="CI285" i="2"/>
  <c r="CH285" i="2"/>
  <c r="CG285" i="2"/>
  <c r="CF285" i="2"/>
  <c r="CE285" i="2"/>
  <c r="CD285" i="2"/>
  <c r="CC285" i="2"/>
  <c r="CB285" i="2"/>
  <c r="CA285" i="2"/>
  <c r="BZ285" i="2"/>
  <c r="BY285" i="2"/>
  <c r="BX285" i="2"/>
  <c r="BW285" i="2"/>
  <c r="BV285" i="2"/>
  <c r="BU285" i="2"/>
  <c r="BT285" i="2"/>
  <c r="BS285" i="2"/>
  <c r="BR285" i="2"/>
  <c r="BQ285" i="2"/>
  <c r="BP285" i="2"/>
  <c r="BO285" i="2"/>
  <c r="BN285" i="2"/>
  <c r="BM285" i="2"/>
  <c r="BL285" i="2"/>
  <c r="BK285" i="2"/>
  <c r="BJ285" i="2"/>
  <c r="BI285" i="2"/>
  <c r="BH285" i="2"/>
  <c r="BG285" i="2"/>
  <c r="BF285" i="2"/>
  <c r="CQ284" i="2"/>
  <c r="CP284" i="2"/>
  <c r="CO284" i="2"/>
  <c r="CN284" i="2"/>
  <c r="CM284" i="2"/>
  <c r="CL284" i="2"/>
  <c r="CK284" i="2"/>
  <c r="CJ284" i="2"/>
  <c r="CI284" i="2"/>
  <c r="CH284" i="2"/>
  <c r="CG284" i="2"/>
  <c r="CF284" i="2"/>
  <c r="CE284" i="2"/>
  <c r="CD284" i="2"/>
  <c r="CC284" i="2"/>
  <c r="CB284" i="2"/>
  <c r="CA284" i="2"/>
  <c r="BZ284" i="2"/>
  <c r="BY284" i="2"/>
  <c r="BX284" i="2"/>
  <c r="BW284" i="2"/>
  <c r="BV284" i="2"/>
  <c r="BU284" i="2"/>
  <c r="BT284" i="2"/>
  <c r="BS284" i="2"/>
  <c r="BR284" i="2"/>
  <c r="BQ284" i="2"/>
  <c r="BP284" i="2"/>
  <c r="BO284" i="2"/>
  <c r="BN284" i="2"/>
  <c r="BM284" i="2"/>
  <c r="BL284" i="2"/>
  <c r="BK284" i="2"/>
  <c r="BJ284" i="2"/>
  <c r="BI284" i="2"/>
  <c r="BH284" i="2"/>
  <c r="BG284" i="2"/>
  <c r="BF284" i="2"/>
  <c r="CQ283" i="2"/>
  <c r="CP283" i="2"/>
  <c r="CO283" i="2"/>
  <c r="CN283" i="2"/>
  <c r="CM283" i="2"/>
  <c r="CL283" i="2"/>
  <c r="CK283" i="2"/>
  <c r="CJ283" i="2"/>
  <c r="CI283" i="2"/>
  <c r="CH283" i="2"/>
  <c r="CG283" i="2"/>
  <c r="CF283" i="2"/>
  <c r="CE283" i="2"/>
  <c r="CD283" i="2"/>
  <c r="CC283" i="2"/>
  <c r="CB283" i="2"/>
  <c r="CA283" i="2"/>
  <c r="BZ283" i="2"/>
  <c r="BY283" i="2"/>
  <c r="BX283" i="2"/>
  <c r="BW283" i="2"/>
  <c r="BV283" i="2"/>
  <c r="BU283" i="2"/>
  <c r="BT283" i="2"/>
  <c r="BS283" i="2"/>
  <c r="BR283" i="2"/>
  <c r="BQ283" i="2"/>
  <c r="BP283" i="2"/>
  <c r="BO283" i="2"/>
  <c r="BN283" i="2"/>
  <c r="BM283" i="2"/>
  <c r="BL283" i="2"/>
  <c r="BK283" i="2"/>
  <c r="BJ283" i="2"/>
  <c r="BI283" i="2"/>
  <c r="BH283" i="2"/>
  <c r="BG283" i="2"/>
  <c r="BF283" i="2"/>
  <c r="CQ282" i="2"/>
  <c r="CP282" i="2"/>
  <c r="CO282" i="2"/>
  <c r="CN282" i="2"/>
  <c r="CM282" i="2"/>
  <c r="CL282" i="2"/>
  <c r="CK282" i="2"/>
  <c r="CJ282" i="2"/>
  <c r="CI282" i="2"/>
  <c r="CH282" i="2"/>
  <c r="CG282" i="2"/>
  <c r="CF282" i="2"/>
  <c r="CE282" i="2"/>
  <c r="CD282" i="2"/>
  <c r="CC282" i="2"/>
  <c r="CB282" i="2"/>
  <c r="CA282" i="2"/>
  <c r="BZ282" i="2"/>
  <c r="BY282" i="2"/>
  <c r="BX282" i="2"/>
  <c r="BW282" i="2"/>
  <c r="BV282" i="2"/>
  <c r="BU282" i="2"/>
  <c r="BT282" i="2"/>
  <c r="BS282" i="2"/>
  <c r="BR282" i="2"/>
  <c r="BQ282" i="2"/>
  <c r="BP282" i="2"/>
  <c r="BO282" i="2"/>
  <c r="BN282" i="2"/>
  <c r="BM282" i="2"/>
  <c r="BL282" i="2"/>
  <c r="BK282" i="2"/>
  <c r="BJ282" i="2"/>
  <c r="BI282" i="2"/>
  <c r="BH282" i="2"/>
  <c r="BG282" i="2"/>
  <c r="BF282" i="2"/>
  <c r="CQ281" i="2"/>
  <c r="CP281" i="2"/>
  <c r="CO281" i="2"/>
  <c r="CN281" i="2"/>
  <c r="CM281" i="2"/>
  <c r="CL281" i="2"/>
  <c r="CK281" i="2"/>
  <c r="CJ281" i="2"/>
  <c r="CI281" i="2"/>
  <c r="CH281" i="2"/>
  <c r="CG281" i="2"/>
  <c r="CF281" i="2"/>
  <c r="CE281" i="2"/>
  <c r="CD281" i="2"/>
  <c r="CC281" i="2"/>
  <c r="CB281" i="2"/>
  <c r="CA281" i="2"/>
  <c r="BZ281" i="2"/>
  <c r="BY281" i="2"/>
  <c r="BX281" i="2"/>
  <c r="BW281" i="2"/>
  <c r="BV281" i="2"/>
  <c r="BU281" i="2"/>
  <c r="BT281" i="2"/>
  <c r="BS281" i="2"/>
  <c r="BR281" i="2"/>
  <c r="BQ281" i="2"/>
  <c r="BP281" i="2"/>
  <c r="BO281" i="2"/>
  <c r="BN281" i="2"/>
  <c r="BM281" i="2"/>
  <c r="BL281" i="2"/>
  <c r="BK281" i="2"/>
  <c r="BJ281" i="2"/>
  <c r="BI281" i="2"/>
  <c r="BH281" i="2"/>
  <c r="BG281" i="2"/>
  <c r="BF281" i="2"/>
  <c r="CQ280" i="2"/>
  <c r="CP280" i="2"/>
  <c r="CO280" i="2"/>
  <c r="CN280" i="2"/>
  <c r="CM280" i="2"/>
  <c r="CL280" i="2"/>
  <c r="CK280" i="2"/>
  <c r="CJ280" i="2"/>
  <c r="CI280" i="2"/>
  <c r="CH280" i="2"/>
  <c r="CG280" i="2"/>
  <c r="CF280" i="2"/>
  <c r="CE280" i="2"/>
  <c r="CD280" i="2"/>
  <c r="CC280" i="2"/>
  <c r="CB280" i="2"/>
  <c r="CA280" i="2"/>
  <c r="BZ280" i="2"/>
  <c r="BY280" i="2"/>
  <c r="BX280" i="2"/>
  <c r="BW280" i="2"/>
  <c r="BV280" i="2"/>
  <c r="BU280" i="2"/>
  <c r="BT280" i="2"/>
  <c r="BS280" i="2"/>
  <c r="BR280" i="2"/>
  <c r="BQ280" i="2"/>
  <c r="BP280" i="2"/>
  <c r="BO280" i="2"/>
  <c r="BN280" i="2"/>
  <c r="BM280" i="2"/>
  <c r="BL280" i="2"/>
  <c r="BK280" i="2"/>
  <c r="BJ280" i="2"/>
  <c r="BI280" i="2"/>
  <c r="BH280" i="2"/>
  <c r="BG280" i="2"/>
  <c r="BF280" i="2"/>
  <c r="CQ279" i="2"/>
  <c r="CP279" i="2"/>
  <c r="CO279" i="2"/>
  <c r="CN279" i="2"/>
  <c r="CM279" i="2"/>
  <c r="CL279" i="2"/>
  <c r="CK279" i="2"/>
  <c r="CJ279" i="2"/>
  <c r="CI279" i="2"/>
  <c r="CH279" i="2"/>
  <c r="CG279" i="2"/>
  <c r="CF279" i="2"/>
  <c r="CE279" i="2"/>
  <c r="CD279" i="2"/>
  <c r="CC279" i="2"/>
  <c r="CB279" i="2"/>
  <c r="CA279" i="2"/>
  <c r="BZ279" i="2"/>
  <c r="BY279" i="2"/>
  <c r="BX279" i="2"/>
  <c r="BW279" i="2"/>
  <c r="BV279" i="2"/>
  <c r="BU279" i="2"/>
  <c r="BT279" i="2"/>
  <c r="BS279" i="2"/>
  <c r="BR279" i="2"/>
  <c r="BQ279" i="2"/>
  <c r="BP279" i="2"/>
  <c r="BO279" i="2"/>
  <c r="BN279" i="2"/>
  <c r="BM279" i="2"/>
  <c r="BL279" i="2"/>
  <c r="BK279" i="2"/>
  <c r="BJ279" i="2"/>
  <c r="BI279" i="2"/>
  <c r="BH279" i="2"/>
  <c r="BG279" i="2"/>
  <c r="BF279" i="2"/>
  <c r="CQ278" i="2"/>
  <c r="CP278" i="2"/>
  <c r="CO278" i="2"/>
  <c r="CN278" i="2"/>
  <c r="CM278" i="2"/>
  <c r="CL278" i="2"/>
  <c r="CK278" i="2"/>
  <c r="CJ278" i="2"/>
  <c r="CI278" i="2"/>
  <c r="CH278" i="2"/>
  <c r="CG278" i="2"/>
  <c r="CF278" i="2"/>
  <c r="CE278" i="2"/>
  <c r="CD278" i="2"/>
  <c r="CC278" i="2"/>
  <c r="CB278" i="2"/>
  <c r="CA278" i="2"/>
  <c r="BZ278" i="2"/>
  <c r="BY278" i="2"/>
  <c r="BX278" i="2"/>
  <c r="BW278" i="2"/>
  <c r="BV278" i="2"/>
  <c r="BU278" i="2"/>
  <c r="BT278" i="2"/>
  <c r="BS278" i="2"/>
  <c r="BR278" i="2"/>
  <c r="BQ278" i="2"/>
  <c r="BP278" i="2"/>
  <c r="BO278" i="2"/>
  <c r="BN278" i="2"/>
  <c r="BM278" i="2"/>
  <c r="BL278" i="2"/>
  <c r="BK278" i="2"/>
  <c r="BJ278" i="2"/>
  <c r="BI278" i="2"/>
  <c r="BH278" i="2"/>
  <c r="BG278" i="2"/>
  <c r="BF278" i="2"/>
  <c r="CQ277" i="2"/>
  <c r="CP277" i="2"/>
  <c r="CO277" i="2"/>
  <c r="CN277" i="2"/>
  <c r="CM277" i="2"/>
  <c r="CL277" i="2"/>
  <c r="CK277" i="2"/>
  <c r="CJ277" i="2"/>
  <c r="CI277" i="2"/>
  <c r="CH277" i="2"/>
  <c r="CG277" i="2"/>
  <c r="CF277" i="2"/>
  <c r="CE277" i="2"/>
  <c r="CD277" i="2"/>
  <c r="CC277" i="2"/>
  <c r="CB277" i="2"/>
  <c r="CA277" i="2"/>
  <c r="BZ277" i="2"/>
  <c r="BY277" i="2"/>
  <c r="BX277" i="2"/>
  <c r="BW277" i="2"/>
  <c r="BV277" i="2"/>
  <c r="BU277" i="2"/>
  <c r="BT277" i="2"/>
  <c r="BS277" i="2"/>
  <c r="BR277" i="2"/>
  <c r="BQ277" i="2"/>
  <c r="BP277" i="2"/>
  <c r="BO277" i="2"/>
  <c r="BN277" i="2"/>
  <c r="BM277" i="2"/>
  <c r="BL277" i="2"/>
  <c r="BK277" i="2"/>
  <c r="BJ277" i="2"/>
  <c r="BI277" i="2"/>
  <c r="BH277" i="2"/>
  <c r="BG277" i="2"/>
  <c r="BF277" i="2"/>
  <c r="CQ276" i="2"/>
  <c r="CP276" i="2"/>
  <c r="CO276" i="2"/>
  <c r="CN276" i="2"/>
  <c r="CM276" i="2"/>
  <c r="CL276" i="2"/>
  <c r="CK276" i="2"/>
  <c r="CJ276" i="2"/>
  <c r="CI276" i="2"/>
  <c r="CH276" i="2"/>
  <c r="CG276" i="2"/>
  <c r="CF276" i="2"/>
  <c r="CE276" i="2"/>
  <c r="CD276" i="2"/>
  <c r="CC276" i="2"/>
  <c r="CB276" i="2"/>
  <c r="CA276" i="2"/>
  <c r="BZ276" i="2"/>
  <c r="BY276" i="2"/>
  <c r="BX276" i="2"/>
  <c r="BW276" i="2"/>
  <c r="BV276" i="2"/>
  <c r="BU276" i="2"/>
  <c r="BT276" i="2"/>
  <c r="BS276" i="2"/>
  <c r="BR276" i="2"/>
  <c r="BQ276" i="2"/>
  <c r="BP276" i="2"/>
  <c r="BO276" i="2"/>
  <c r="BN276" i="2"/>
  <c r="BM276" i="2"/>
  <c r="BL276" i="2"/>
  <c r="BK276" i="2"/>
  <c r="BJ276" i="2"/>
  <c r="BI276" i="2"/>
  <c r="BH276" i="2"/>
  <c r="BG276" i="2"/>
  <c r="BF276" i="2"/>
  <c r="CQ275" i="2"/>
  <c r="CP275" i="2"/>
  <c r="CO275" i="2"/>
  <c r="CN275" i="2"/>
  <c r="CM275" i="2"/>
  <c r="CL275" i="2"/>
  <c r="CK275" i="2"/>
  <c r="CJ275" i="2"/>
  <c r="CI275" i="2"/>
  <c r="CH275" i="2"/>
  <c r="CG275" i="2"/>
  <c r="CF275" i="2"/>
  <c r="CE275" i="2"/>
  <c r="CD275" i="2"/>
  <c r="CC275" i="2"/>
  <c r="CB275" i="2"/>
  <c r="CA275" i="2"/>
  <c r="BZ275" i="2"/>
  <c r="BY275" i="2"/>
  <c r="BX275" i="2"/>
  <c r="BW275" i="2"/>
  <c r="BV275" i="2"/>
  <c r="BU275" i="2"/>
  <c r="BT275" i="2"/>
  <c r="BS275" i="2"/>
  <c r="BR275" i="2"/>
  <c r="BQ275" i="2"/>
  <c r="BP275" i="2"/>
  <c r="BO275" i="2"/>
  <c r="BN275" i="2"/>
  <c r="BM275" i="2"/>
  <c r="BL275" i="2"/>
  <c r="BK275" i="2"/>
  <c r="BJ275" i="2"/>
  <c r="BI275" i="2"/>
  <c r="BH275" i="2"/>
  <c r="BG275" i="2"/>
  <c r="BF275" i="2"/>
  <c r="CQ274" i="2"/>
  <c r="CP274" i="2"/>
  <c r="CO274" i="2"/>
  <c r="CN274" i="2"/>
  <c r="CM274" i="2"/>
  <c r="CL274" i="2"/>
  <c r="CK274" i="2"/>
  <c r="CJ274" i="2"/>
  <c r="CI274" i="2"/>
  <c r="CH274" i="2"/>
  <c r="CG274" i="2"/>
  <c r="CF274" i="2"/>
  <c r="CE274" i="2"/>
  <c r="CD274" i="2"/>
  <c r="CC274" i="2"/>
  <c r="CB274" i="2"/>
  <c r="CA274" i="2"/>
  <c r="BZ274" i="2"/>
  <c r="BY274" i="2"/>
  <c r="BX274" i="2"/>
  <c r="BW274" i="2"/>
  <c r="BV274" i="2"/>
  <c r="BU274" i="2"/>
  <c r="BT274" i="2"/>
  <c r="BS274" i="2"/>
  <c r="BR274" i="2"/>
  <c r="BQ274" i="2"/>
  <c r="BP274" i="2"/>
  <c r="BO274" i="2"/>
  <c r="BN274" i="2"/>
  <c r="BM274" i="2"/>
  <c r="BL274" i="2"/>
  <c r="BK274" i="2"/>
  <c r="BJ274" i="2"/>
  <c r="BI274" i="2"/>
  <c r="BH274" i="2"/>
  <c r="BG274" i="2"/>
  <c r="BF274" i="2"/>
  <c r="CQ273" i="2"/>
  <c r="CP273" i="2"/>
  <c r="CO273" i="2"/>
  <c r="CN273" i="2"/>
  <c r="CM273" i="2"/>
  <c r="CL273" i="2"/>
  <c r="CK273" i="2"/>
  <c r="CJ273" i="2"/>
  <c r="CI273" i="2"/>
  <c r="CH273" i="2"/>
  <c r="CG273" i="2"/>
  <c r="CF273" i="2"/>
  <c r="CE273" i="2"/>
  <c r="CD273" i="2"/>
  <c r="CC273" i="2"/>
  <c r="CB273" i="2"/>
  <c r="CA273" i="2"/>
  <c r="BZ273" i="2"/>
  <c r="BY273" i="2"/>
  <c r="BX273" i="2"/>
  <c r="BW273" i="2"/>
  <c r="BV273" i="2"/>
  <c r="BU273" i="2"/>
  <c r="BT273" i="2"/>
  <c r="BS273" i="2"/>
  <c r="BR273" i="2"/>
  <c r="BQ273" i="2"/>
  <c r="BP273" i="2"/>
  <c r="BO273" i="2"/>
  <c r="BN273" i="2"/>
  <c r="BM273" i="2"/>
  <c r="BL273" i="2"/>
  <c r="BK273" i="2"/>
  <c r="BJ273" i="2"/>
  <c r="BI273" i="2"/>
  <c r="BH273" i="2"/>
  <c r="BG273" i="2"/>
  <c r="BF273" i="2"/>
  <c r="CQ272" i="2"/>
  <c r="CP272" i="2"/>
  <c r="CO272" i="2"/>
  <c r="CN272" i="2"/>
  <c r="CM272" i="2"/>
  <c r="CL272" i="2"/>
  <c r="CK272" i="2"/>
  <c r="CJ272" i="2"/>
  <c r="CI272" i="2"/>
  <c r="CH272" i="2"/>
  <c r="CG272" i="2"/>
  <c r="CF272" i="2"/>
  <c r="CE272" i="2"/>
  <c r="CD272" i="2"/>
  <c r="CC272" i="2"/>
  <c r="CB272" i="2"/>
  <c r="CA272" i="2"/>
  <c r="BZ272" i="2"/>
  <c r="BY272" i="2"/>
  <c r="BX272" i="2"/>
  <c r="BW272" i="2"/>
  <c r="BV272" i="2"/>
  <c r="BU272" i="2"/>
  <c r="BT272" i="2"/>
  <c r="BS272" i="2"/>
  <c r="BR272" i="2"/>
  <c r="BQ272" i="2"/>
  <c r="BP272" i="2"/>
  <c r="BO272" i="2"/>
  <c r="BN272" i="2"/>
  <c r="BM272" i="2"/>
  <c r="BL272" i="2"/>
  <c r="BK272" i="2"/>
  <c r="BJ272" i="2"/>
  <c r="BI272" i="2"/>
  <c r="BH272" i="2"/>
  <c r="BG272" i="2"/>
  <c r="BF272" i="2"/>
  <c r="CQ271" i="2"/>
  <c r="CP271" i="2"/>
  <c r="CO271" i="2"/>
  <c r="CN271" i="2"/>
  <c r="CM271" i="2"/>
  <c r="CL271" i="2"/>
  <c r="CK271" i="2"/>
  <c r="CJ271" i="2"/>
  <c r="CI271" i="2"/>
  <c r="CH271" i="2"/>
  <c r="CG271" i="2"/>
  <c r="CF271" i="2"/>
  <c r="CE271" i="2"/>
  <c r="CD271" i="2"/>
  <c r="CC271" i="2"/>
  <c r="CB271" i="2"/>
  <c r="CA271" i="2"/>
  <c r="BZ271" i="2"/>
  <c r="BY271" i="2"/>
  <c r="BX271" i="2"/>
  <c r="BW271" i="2"/>
  <c r="BV271" i="2"/>
  <c r="BU271" i="2"/>
  <c r="BT271" i="2"/>
  <c r="BS271" i="2"/>
  <c r="BR271" i="2"/>
  <c r="BQ271" i="2"/>
  <c r="BP271" i="2"/>
  <c r="BO271" i="2"/>
  <c r="BN271" i="2"/>
  <c r="BM271" i="2"/>
  <c r="BL271" i="2"/>
  <c r="BK271" i="2"/>
  <c r="BJ271" i="2"/>
  <c r="BI271" i="2"/>
  <c r="BH271" i="2"/>
  <c r="BG271" i="2"/>
  <c r="BF271" i="2"/>
  <c r="CQ270" i="2"/>
  <c r="CP270" i="2"/>
  <c r="CO270" i="2"/>
  <c r="CN270" i="2"/>
  <c r="CM270" i="2"/>
  <c r="CL270" i="2"/>
  <c r="CK270" i="2"/>
  <c r="CJ270" i="2"/>
  <c r="CI270" i="2"/>
  <c r="CH270" i="2"/>
  <c r="CG270" i="2"/>
  <c r="CF270" i="2"/>
  <c r="CE270" i="2"/>
  <c r="CD270" i="2"/>
  <c r="CC270" i="2"/>
  <c r="CB270" i="2"/>
  <c r="CA270" i="2"/>
  <c r="BZ270" i="2"/>
  <c r="BY270" i="2"/>
  <c r="BX270" i="2"/>
  <c r="BW270" i="2"/>
  <c r="BV270" i="2"/>
  <c r="BU270" i="2"/>
  <c r="BT270" i="2"/>
  <c r="BS270" i="2"/>
  <c r="BR270" i="2"/>
  <c r="BQ270" i="2"/>
  <c r="BP270" i="2"/>
  <c r="BO270" i="2"/>
  <c r="BN270" i="2"/>
  <c r="BM270" i="2"/>
  <c r="BL270" i="2"/>
  <c r="BK270" i="2"/>
  <c r="BJ270" i="2"/>
  <c r="BI270" i="2"/>
  <c r="BH270" i="2"/>
  <c r="BG270" i="2"/>
  <c r="BF270" i="2"/>
  <c r="CQ269" i="2"/>
  <c r="CP269" i="2"/>
  <c r="CO269" i="2"/>
  <c r="CN269" i="2"/>
  <c r="CM269" i="2"/>
  <c r="CL269" i="2"/>
  <c r="CK269" i="2"/>
  <c r="CJ269" i="2"/>
  <c r="CI269" i="2"/>
  <c r="CH269" i="2"/>
  <c r="CG269" i="2"/>
  <c r="CF269" i="2"/>
  <c r="CE269" i="2"/>
  <c r="CD269" i="2"/>
  <c r="CC269" i="2"/>
  <c r="CB269" i="2"/>
  <c r="CA269" i="2"/>
  <c r="BZ269" i="2"/>
  <c r="BY269" i="2"/>
  <c r="BX269" i="2"/>
  <c r="BW269" i="2"/>
  <c r="BV269" i="2"/>
  <c r="BU269" i="2"/>
  <c r="BT269" i="2"/>
  <c r="BS269" i="2"/>
  <c r="BR269" i="2"/>
  <c r="BQ269" i="2"/>
  <c r="BP269" i="2"/>
  <c r="BO269" i="2"/>
  <c r="BN269" i="2"/>
  <c r="BM269" i="2"/>
  <c r="BL269" i="2"/>
  <c r="BK269" i="2"/>
  <c r="BJ269" i="2"/>
  <c r="BI269" i="2"/>
  <c r="BH269" i="2"/>
  <c r="BG269" i="2"/>
  <c r="BF269" i="2"/>
  <c r="CQ268" i="2"/>
  <c r="CP268" i="2"/>
  <c r="CO268" i="2"/>
  <c r="CN268" i="2"/>
  <c r="CM268" i="2"/>
  <c r="CL268" i="2"/>
  <c r="CK268" i="2"/>
  <c r="CJ268" i="2"/>
  <c r="CI268" i="2"/>
  <c r="CH268" i="2"/>
  <c r="CG268" i="2"/>
  <c r="CF268" i="2"/>
  <c r="CE268" i="2"/>
  <c r="CD268" i="2"/>
  <c r="CC268" i="2"/>
  <c r="CB268" i="2"/>
  <c r="CA268" i="2"/>
  <c r="BZ268" i="2"/>
  <c r="BY268" i="2"/>
  <c r="BX268" i="2"/>
  <c r="BW268" i="2"/>
  <c r="BV268" i="2"/>
  <c r="BU268" i="2"/>
  <c r="BT268" i="2"/>
  <c r="BS268" i="2"/>
  <c r="BR268" i="2"/>
  <c r="BQ268" i="2"/>
  <c r="BP268" i="2"/>
  <c r="BO268" i="2"/>
  <c r="BN268" i="2"/>
  <c r="BM268" i="2"/>
  <c r="BL268" i="2"/>
  <c r="BK268" i="2"/>
  <c r="BJ268" i="2"/>
  <c r="BI268" i="2"/>
  <c r="BH268" i="2"/>
  <c r="BG268" i="2"/>
  <c r="BF268" i="2"/>
  <c r="CQ267" i="2"/>
  <c r="CP267" i="2"/>
  <c r="CO267" i="2"/>
  <c r="CN267" i="2"/>
  <c r="CM267" i="2"/>
  <c r="CL267" i="2"/>
  <c r="CK267" i="2"/>
  <c r="CJ267" i="2"/>
  <c r="CI267" i="2"/>
  <c r="CH267" i="2"/>
  <c r="CG267" i="2"/>
  <c r="CF267" i="2"/>
  <c r="CE267" i="2"/>
  <c r="CD267" i="2"/>
  <c r="CC267" i="2"/>
  <c r="CB267" i="2"/>
  <c r="CA267" i="2"/>
  <c r="BZ267" i="2"/>
  <c r="BY267" i="2"/>
  <c r="BX267" i="2"/>
  <c r="BW267" i="2"/>
  <c r="BV267" i="2"/>
  <c r="BU267" i="2"/>
  <c r="BT267" i="2"/>
  <c r="BS267" i="2"/>
  <c r="BR267" i="2"/>
  <c r="BQ267" i="2"/>
  <c r="BP267" i="2"/>
  <c r="BO267" i="2"/>
  <c r="BN267" i="2"/>
  <c r="BM267" i="2"/>
  <c r="BL267" i="2"/>
  <c r="BK267" i="2"/>
  <c r="BJ267" i="2"/>
  <c r="BI267" i="2"/>
  <c r="BH267" i="2"/>
  <c r="BG267" i="2"/>
  <c r="BF267" i="2"/>
  <c r="CQ266" i="2"/>
  <c r="CP266" i="2"/>
  <c r="CO266" i="2"/>
  <c r="CN266" i="2"/>
  <c r="CM266" i="2"/>
  <c r="CL266" i="2"/>
  <c r="CK266" i="2"/>
  <c r="CJ266" i="2"/>
  <c r="CI266" i="2"/>
  <c r="CH266" i="2"/>
  <c r="CG266" i="2"/>
  <c r="CF266" i="2"/>
  <c r="CE266" i="2"/>
  <c r="CD266" i="2"/>
  <c r="CC266" i="2"/>
  <c r="CB266" i="2"/>
  <c r="CA266" i="2"/>
  <c r="BZ266" i="2"/>
  <c r="BY266" i="2"/>
  <c r="BX266" i="2"/>
  <c r="BW266" i="2"/>
  <c r="BV266" i="2"/>
  <c r="BU266" i="2"/>
  <c r="BT266" i="2"/>
  <c r="BS266" i="2"/>
  <c r="BR266" i="2"/>
  <c r="BQ266" i="2"/>
  <c r="BP266" i="2"/>
  <c r="BO266" i="2"/>
  <c r="BN266" i="2"/>
  <c r="BM266" i="2"/>
  <c r="BL266" i="2"/>
  <c r="BK266" i="2"/>
  <c r="BJ266" i="2"/>
  <c r="BI266" i="2"/>
  <c r="BH266" i="2"/>
  <c r="BG266" i="2"/>
  <c r="BF266" i="2"/>
  <c r="CQ265" i="2"/>
  <c r="CP265" i="2"/>
  <c r="CO265" i="2"/>
  <c r="CN265" i="2"/>
  <c r="CM265" i="2"/>
  <c r="CL265" i="2"/>
  <c r="CK265" i="2"/>
  <c r="CJ265" i="2"/>
  <c r="CI265" i="2"/>
  <c r="CH265" i="2"/>
  <c r="CG265" i="2"/>
  <c r="CF265" i="2"/>
  <c r="CE265" i="2"/>
  <c r="CD265" i="2"/>
  <c r="CC265" i="2"/>
  <c r="CB265" i="2"/>
  <c r="CA265" i="2"/>
  <c r="BZ265" i="2"/>
  <c r="BY265" i="2"/>
  <c r="BX265" i="2"/>
  <c r="BW265" i="2"/>
  <c r="BV265" i="2"/>
  <c r="BU265" i="2"/>
  <c r="BT265" i="2"/>
  <c r="BS265" i="2"/>
  <c r="BR265" i="2"/>
  <c r="BQ265" i="2"/>
  <c r="BP265" i="2"/>
  <c r="BO265" i="2"/>
  <c r="BN265" i="2"/>
  <c r="BM265" i="2"/>
  <c r="BL265" i="2"/>
  <c r="BK265" i="2"/>
  <c r="BJ265" i="2"/>
  <c r="BI265" i="2"/>
  <c r="BH265" i="2"/>
  <c r="BG265" i="2"/>
  <c r="BF265" i="2"/>
  <c r="CQ264" i="2"/>
  <c r="CP264" i="2"/>
  <c r="CO264" i="2"/>
  <c r="CN264" i="2"/>
  <c r="CM264" i="2"/>
  <c r="CL264" i="2"/>
  <c r="CK264" i="2"/>
  <c r="CJ264" i="2"/>
  <c r="CI264" i="2"/>
  <c r="CH264" i="2"/>
  <c r="CG264" i="2"/>
  <c r="CF264" i="2"/>
  <c r="CE264" i="2"/>
  <c r="CD264" i="2"/>
  <c r="CC264" i="2"/>
  <c r="CB264" i="2"/>
  <c r="CA264" i="2"/>
  <c r="BZ264" i="2"/>
  <c r="BY264" i="2"/>
  <c r="BX264" i="2"/>
  <c r="BW264" i="2"/>
  <c r="BV264" i="2"/>
  <c r="BU264" i="2"/>
  <c r="BT264" i="2"/>
  <c r="BS264" i="2"/>
  <c r="BR264" i="2"/>
  <c r="BQ264" i="2"/>
  <c r="BP264" i="2"/>
  <c r="BO264" i="2"/>
  <c r="BN264" i="2"/>
  <c r="BM264" i="2"/>
  <c r="BL264" i="2"/>
  <c r="BK264" i="2"/>
  <c r="BJ264" i="2"/>
  <c r="BI264" i="2"/>
  <c r="BH264" i="2"/>
  <c r="BG264" i="2"/>
  <c r="BF264" i="2"/>
  <c r="CQ263" i="2"/>
  <c r="CP263" i="2"/>
  <c r="CO263" i="2"/>
  <c r="CN263" i="2"/>
  <c r="CM263" i="2"/>
  <c r="CL263" i="2"/>
  <c r="CK263" i="2"/>
  <c r="CJ263" i="2"/>
  <c r="CI263" i="2"/>
  <c r="CH263" i="2"/>
  <c r="CG263" i="2"/>
  <c r="CF263" i="2"/>
  <c r="CE263" i="2"/>
  <c r="CD263" i="2"/>
  <c r="CC263" i="2"/>
  <c r="CB263" i="2"/>
  <c r="CA263" i="2"/>
  <c r="BZ263" i="2"/>
  <c r="BY263" i="2"/>
  <c r="BX263" i="2"/>
  <c r="BW263" i="2"/>
  <c r="BV263" i="2"/>
  <c r="BU263" i="2"/>
  <c r="BT263" i="2"/>
  <c r="BS263" i="2"/>
  <c r="BR263" i="2"/>
  <c r="BQ263" i="2"/>
  <c r="BP263" i="2"/>
  <c r="BO263" i="2"/>
  <c r="BN263" i="2"/>
  <c r="BM263" i="2"/>
  <c r="BL263" i="2"/>
  <c r="BK263" i="2"/>
  <c r="BJ263" i="2"/>
  <c r="BI263" i="2"/>
  <c r="BH263" i="2"/>
  <c r="BG263" i="2"/>
  <c r="BF263" i="2"/>
  <c r="CQ262" i="2"/>
  <c r="CP262" i="2"/>
  <c r="CO262" i="2"/>
  <c r="CN262" i="2"/>
  <c r="CM262" i="2"/>
  <c r="CL262" i="2"/>
  <c r="CK262" i="2"/>
  <c r="CJ262" i="2"/>
  <c r="CI262" i="2"/>
  <c r="CH262" i="2"/>
  <c r="CG262" i="2"/>
  <c r="CF262" i="2"/>
  <c r="CE262" i="2"/>
  <c r="CD262" i="2"/>
  <c r="CC262" i="2"/>
  <c r="CB262" i="2"/>
  <c r="CA262" i="2"/>
  <c r="BZ262" i="2"/>
  <c r="BY262" i="2"/>
  <c r="BX262" i="2"/>
  <c r="BW262" i="2"/>
  <c r="BV262" i="2"/>
  <c r="BU262" i="2"/>
  <c r="BT262" i="2"/>
  <c r="BS262" i="2"/>
  <c r="BR262" i="2"/>
  <c r="BQ262" i="2"/>
  <c r="BP262" i="2"/>
  <c r="BO262" i="2"/>
  <c r="BN262" i="2"/>
  <c r="BM262" i="2"/>
  <c r="BL262" i="2"/>
  <c r="BK262" i="2"/>
  <c r="BJ262" i="2"/>
  <c r="BI262" i="2"/>
  <c r="BH262" i="2"/>
  <c r="BG262" i="2"/>
  <c r="BF262" i="2"/>
  <c r="CQ261" i="2"/>
  <c r="CP261" i="2"/>
  <c r="CO261" i="2"/>
  <c r="CN261" i="2"/>
  <c r="CM261" i="2"/>
  <c r="CL261" i="2"/>
  <c r="CK261" i="2"/>
  <c r="CJ261" i="2"/>
  <c r="CI261" i="2"/>
  <c r="CH261" i="2"/>
  <c r="CG261" i="2"/>
  <c r="CF261" i="2"/>
  <c r="CE261" i="2"/>
  <c r="CD261" i="2"/>
  <c r="CC261" i="2"/>
  <c r="CB261" i="2"/>
  <c r="CA261" i="2"/>
  <c r="BZ261" i="2"/>
  <c r="BY261" i="2"/>
  <c r="BX261" i="2"/>
  <c r="BW261" i="2"/>
  <c r="BV261" i="2"/>
  <c r="BU261" i="2"/>
  <c r="BT261" i="2"/>
  <c r="BS261" i="2"/>
  <c r="BR261" i="2"/>
  <c r="BQ261" i="2"/>
  <c r="BP261" i="2"/>
  <c r="BO261" i="2"/>
  <c r="BN261" i="2"/>
  <c r="BM261" i="2"/>
  <c r="BL261" i="2"/>
  <c r="BK261" i="2"/>
  <c r="BJ261" i="2"/>
  <c r="BI261" i="2"/>
  <c r="BH261" i="2"/>
  <c r="BG261" i="2"/>
  <c r="BF261" i="2"/>
  <c r="CQ260" i="2"/>
  <c r="CP260" i="2"/>
  <c r="CO260" i="2"/>
  <c r="CN260" i="2"/>
  <c r="CM260" i="2"/>
  <c r="CL260" i="2"/>
  <c r="CK260" i="2"/>
  <c r="CJ260" i="2"/>
  <c r="CI260" i="2"/>
  <c r="CH260" i="2"/>
  <c r="CG260" i="2"/>
  <c r="CF260" i="2"/>
  <c r="CE260" i="2"/>
  <c r="CD260" i="2"/>
  <c r="CC260" i="2"/>
  <c r="CB260" i="2"/>
  <c r="CA260" i="2"/>
  <c r="BZ260" i="2"/>
  <c r="BY260" i="2"/>
  <c r="BX260" i="2"/>
  <c r="BW260" i="2"/>
  <c r="BV260" i="2"/>
  <c r="BU260" i="2"/>
  <c r="BT260" i="2"/>
  <c r="BS260" i="2"/>
  <c r="BR260" i="2"/>
  <c r="BQ260" i="2"/>
  <c r="BP260" i="2"/>
  <c r="BO260" i="2"/>
  <c r="BN260" i="2"/>
  <c r="BM260" i="2"/>
  <c r="BL260" i="2"/>
  <c r="BK260" i="2"/>
  <c r="BJ260" i="2"/>
  <c r="BI260" i="2"/>
  <c r="BH260" i="2"/>
  <c r="BG260" i="2"/>
  <c r="BF260" i="2"/>
  <c r="CQ259" i="2"/>
  <c r="CP259" i="2"/>
  <c r="CO259" i="2"/>
  <c r="CN259" i="2"/>
  <c r="CM259" i="2"/>
  <c r="CL259" i="2"/>
  <c r="CK259" i="2"/>
  <c r="CJ259" i="2"/>
  <c r="CI259" i="2"/>
  <c r="CH259" i="2"/>
  <c r="CG259" i="2"/>
  <c r="CF259" i="2"/>
  <c r="CE259" i="2"/>
  <c r="CD259" i="2"/>
  <c r="CC259" i="2"/>
  <c r="CB259" i="2"/>
  <c r="CA259" i="2"/>
  <c r="BZ259" i="2"/>
  <c r="BY259" i="2"/>
  <c r="BX259" i="2"/>
  <c r="BW259" i="2"/>
  <c r="BV259" i="2"/>
  <c r="BU259" i="2"/>
  <c r="BT259" i="2"/>
  <c r="BS259" i="2"/>
  <c r="BR259" i="2"/>
  <c r="BQ259" i="2"/>
  <c r="BP259" i="2"/>
  <c r="BO259" i="2"/>
  <c r="BN259" i="2"/>
  <c r="BM259" i="2"/>
  <c r="BL259" i="2"/>
  <c r="BK259" i="2"/>
  <c r="BJ259" i="2"/>
  <c r="BI259" i="2"/>
  <c r="BH259" i="2"/>
  <c r="BG259" i="2"/>
  <c r="BF259" i="2"/>
  <c r="CQ258" i="2"/>
  <c r="CP258" i="2"/>
  <c r="CO258" i="2"/>
  <c r="CN258" i="2"/>
  <c r="CM258" i="2"/>
  <c r="CL258" i="2"/>
  <c r="CK258" i="2"/>
  <c r="CJ258" i="2"/>
  <c r="CI258" i="2"/>
  <c r="CH258" i="2"/>
  <c r="CG258" i="2"/>
  <c r="CF258" i="2"/>
  <c r="CE258" i="2"/>
  <c r="CD258" i="2"/>
  <c r="CC258" i="2"/>
  <c r="CB258" i="2"/>
  <c r="CA258" i="2"/>
  <c r="BZ258" i="2"/>
  <c r="BY258" i="2"/>
  <c r="BX258" i="2"/>
  <c r="BW258" i="2"/>
  <c r="BV258" i="2"/>
  <c r="BU258" i="2"/>
  <c r="BT258" i="2"/>
  <c r="BS258" i="2"/>
  <c r="BR258" i="2"/>
  <c r="BQ258" i="2"/>
  <c r="BP258" i="2"/>
  <c r="BO258" i="2"/>
  <c r="BN258" i="2"/>
  <c r="BM258" i="2"/>
  <c r="BL258" i="2"/>
  <c r="BK258" i="2"/>
  <c r="BJ258" i="2"/>
  <c r="BI258" i="2"/>
  <c r="BH258" i="2"/>
  <c r="BG258" i="2"/>
  <c r="BF258" i="2"/>
  <c r="CQ257" i="2"/>
  <c r="CP257" i="2"/>
  <c r="CO257" i="2"/>
  <c r="CN257" i="2"/>
  <c r="CM257" i="2"/>
  <c r="CL257" i="2"/>
  <c r="CK257" i="2"/>
  <c r="CJ257" i="2"/>
  <c r="CI257" i="2"/>
  <c r="CH257" i="2"/>
  <c r="CG257" i="2"/>
  <c r="CF257" i="2"/>
  <c r="CE257" i="2"/>
  <c r="CD257" i="2"/>
  <c r="CC257" i="2"/>
  <c r="CB257" i="2"/>
  <c r="CA257" i="2"/>
  <c r="BZ257" i="2"/>
  <c r="BY257" i="2"/>
  <c r="BX257" i="2"/>
  <c r="BW257" i="2"/>
  <c r="BV257" i="2"/>
  <c r="BU257" i="2"/>
  <c r="BT257" i="2"/>
  <c r="BS257" i="2"/>
  <c r="BR257" i="2"/>
  <c r="BQ257" i="2"/>
  <c r="BP257" i="2"/>
  <c r="BO257" i="2"/>
  <c r="BN257" i="2"/>
  <c r="BM257" i="2"/>
  <c r="BL257" i="2"/>
  <c r="BK257" i="2"/>
  <c r="BJ257" i="2"/>
  <c r="BI257" i="2"/>
  <c r="BH257" i="2"/>
  <c r="BG257" i="2"/>
  <c r="BF257" i="2"/>
  <c r="CQ256" i="2"/>
  <c r="CP256" i="2"/>
  <c r="CO256" i="2"/>
  <c r="CN256" i="2"/>
  <c r="CM256" i="2"/>
  <c r="CL256" i="2"/>
  <c r="CK256" i="2"/>
  <c r="CJ256" i="2"/>
  <c r="CI256" i="2"/>
  <c r="CH256" i="2"/>
  <c r="CG256" i="2"/>
  <c r="CF256" i="2"/>
  <c r="CE256" i="2"/>
  <c r="CD256" i="2"/>
  <c r="CC256" i="2"/>
  <c r="CB256" i="2"/>
  <c r="CA256" i="2"/>
  <c r="BZ256" i="2"/>
  <c r="BY256" i="2"/>
  <c r="BX256" i="2"/>
  <c r="BW256" i="2"/>
  <c r="BV256" i="2"/>
  <c r="BU256" i="2"/>
  <c r="BT256" i="2"/>
  <c r="BS256" i="2"/>
  <c r="BR256" i="2"/>
  <c r="BQ256" i="2"/>
  <c r="BP256" i="2"/>
  <c r="BO256" i="2"/>
  <c r="BN256" i="2"/>
  <c r="BM256" i="2"/>
  <c r="BL256" i="2"/>
  <c r="BK256" i="2"/>
  <c r="BJ256" i="2"/>
  <c r="BI256" i="2"/>
  <c r="BH256" i="2"/>
  <c r="BG256" i="2"/>
  <c r="BF256" i="2"/>
  <c r="CQ255" i="2"/>
  <c r="CP255" i="2"/>
  <c r="CO255" i="2"/>
  <c r="CN255" i="2"/>
  <c r="CM255" i="2"/>
  <c r="CL255" i="2"/>
  <c r="CK255" i="2"/>
  <c r="CJ255" i="2"/>
  <c r="CI255" i="2"/>
  <c r="CH255" i="2"/>
  <c r="CG255" i="2"/>
  <c r="CF255" i="2"/>
  <c r="CE255" i="2"/>
  <c r="CD255" i="2"/>
  <c r="CC255" i="2"/>
  <c r="CB255" i="2"/>
  <c r="CA255" i="2"/>
  <c r="BZ255" i="2"/>
  <c r="BY255" i="2"/>
  <c r="BX255" i="2"/>
  <c r="BW255" i="2"/>
  <c r="BV255" i="2"/>
  <c r="BU255" i="2"/>
  <c r="BT255" i="2"/>
  <c r="BS255" i="2"/>
  <c r="BR255" i="2"/>
  <c r="BQ255" i="2"/>
  <c r="BP255" i="2"/>
  <c r="BO255" i="2"/>
  <c r="BN255" i="2"/>
  <c r="BM255" i="2"/>
  <c r="BL255" i="2"/>
  <c r="BK255" i="2"/>
  <c r="BJ255" i="2"/>
  <c r="BI255" i="2"/>
  <c r="BH255" i="2"/>
  <c r="BG255" i="2"/>
  <c r="BF255" i="2"/>
  <c r="CQ254" i="2"/>
  <c r="CP254" i="2"/>
  <c r="CO254" i="2"/>
  <c r="CN254" i="2"/>
  <c r="CM254" i="2"/>
  <c r="CL254" i="2"/>
  <c r="CK254" i="2"/>
  <c r="CJ254" i="2"/>
  <c r="CI254" i="2"/>
  <c r="CH254" i="2"/>
  <c r="CG254" i="2"/>
  <c r="CF254" i="2"/>
  <c r="CE254" i="2"/>
  <c r="CD254" i="2"/>
  <c r="CC254" i="2"/>
  <c r="CB254" i="2"/>
  <c r="CA254" i="2"/>
  <c r="BZ254" i="2"/>
  <c r="BY254" i="2"/>
  <c r="BX254" i="2"/>
  <c r="BW254" i="2"/>
  <c r="BV254" i="2"/>
  <c r="BU254" i="2"/>
  <c r="BT254" i="2"/>
  <c r="BS254" i="2"/>
  <c r="BR254" i="2"/>
  <c r="BQ254" i="2"/>
  <c r="BP254" i="2"/>
  <c r="BO254" i="2"/>
  <c r="BN254" i="2"/>
  <c r="BM254" i="2"/>
  <c r="BL254" i="2"/>
  <c r="BK254" i="2"/>
  <c r="BJ254" i="2"/>
  <c r="BI254" i="2"/>
  <c r="BH254" i="2"/>
  <c r="BG254" i="2"/>
  <c r="BF254" i="2"/>
  <c r="CQ253" i="2"/>
  <c r="CP253" i="2"/>
  <c r="CO253" i="2"/>
  <c r="CN253" i="2"/>
  <c r="CM253" i="2"/>
  <c r="CL253" i="2"/>
  <c r="CK253" i="2"/>
  <c r="CJ253" i="2"/>
  <c r="CI253" i="2"/>
  <c r="CH253" i="2"/>
  <c r="CG253" i="2"/>
  <c r="CF253" i="2"/>
  <c r="CE253" i="2"/>
  <c r="CD253" i="2"/>
  <c r="CC253" i="2"/>
  <c r="CB253" i="2"/>
  <c r="CA253" i="2"/>
  <c r="BZ253" i="2"/>
  <c r="BY253" i="2"/>
  <c r="BX253" i="2"/>
  <c r="BW253" i="2"/>
  <c r="BV253" i="2"/>
  <c r="BU253" i="2"/>
  <c r="BT253" i="2"/>
  <c r="BS253" i="2"/>
  <c r="BR253" i="2"/>
  <c r="BQ253" i="2"/>
  <c r="BP253" i="2"/>
  <c r="BO253" i="2"/>
  <c r="BN253" i="2"/>
  <c r="BM253" i="2"/>
  <c r="BL253" i="2"/>
  <c r="BK253" i="2"/>
  <c r="BJ253" i="2"/>
  <c r="BI253" i="2"/>
  <c r="BH253" i="2"/>
  <c r="BG253" i="2"/>
  <c r="BF253" i="2"/>
  <c r="CQ252" i="2"/>
  <c r="CP252" i="2"/>
  <c r="CO252" i="2"/>
  <c r="CN252" i="2"/>
  <c r="CM252" i="2"/>
  <c r="CL252" i="2"/>
  <c r="CK252" i="2"/>
  <c r="CJ252" i="2"/>
  <c r="CI252" i="2"/>
  <c r="CH252" i="2"/>
  <c r="CG252" i="2"/>
  <c r="CF252" i="2"/>
  <c r="CE252" i="2"/>
  <c r="CD252" i="2"/>
  <c r="CC252" i="2"/>
  <c r="CB252" i="2"/>
  <c r="CA252" i="2"/>
  <c r="BZ252" i="2"/>
  <c r="BY252" i="2"/>
  <c r="BX252" i="2"/>
  <c r="BW252" i="2"/>
  <c r="BV252" i="2"/>
  <c r="BU252" i="2"/>
  <c r="BT252" i="2"/>
  <c r="BS252" i="2"/>
  <c r="BR252" i="2"/>
  <c r="BQ252" i="2"/>
  <c r="BP252" i="2"/>
  <c r="BO252" i="2"/>
  <c r="BN252" i="2"/>
  <c r="BM252" i="2"/>
  <c r="BL252" i="2"/>
  <c r="BK252" i="2"/>
  <c r="BJ252" i="2"/>
  <c r="BI252" i="2"/>
  <c r="BH252" i="2"/>
  <c r="BG252" i="2"/>
  <c r="BF252" i="2"/>
  <c r="CQ251" i="2"/>
  <c r="CP251" i="2"/>
  <c r="CO251" i="2"/>
  <c r="CN251" i="2"/>
  <c r="CM251" i="2"/>
  <c r="CL251" i="2"/>
  <c r="CK251" i="2"/>
  <c r="CJ251" i="2"/>
  <c r="CI251" i="2"/>
  <c r="CH251" i="2"/>
  <c r="CG251" i="2"/>
  <c r="CF251" i="2"/>
  <c r="CE251" i="2"/>
  <c r="CD251" i="2"/>
  <c r="CC251" i="2"/>
  <c r="CB251" i="2"/>
  <c r="CA251" i="2"/>
  <c r="BZ251" i="2"/>
  <c r="BY251" i="2"/>
  <c r="BX251" i="2"/>
  <c r="BW251" i="2"/>
  <c r="BV251" i="2"/>
  <c r="BU251" i="2"/>
  <c r="BT251" i="2"/>
  <c r="BS251" i="2"/>
  <c r="BR251" i="2"/>
  <c r="BQ251" i="2"/>
  <c r="BP251" i="2"/>
  <c r="BO251" i="2"/>
  <c r="BN251" i="2"/>
  <c r="BM251" i="2"/>
  <c r="BL251" i="2"/>
  <c r="BK251" i="2"/>
  <c r="BJ251" i="2"/>
  <c r="BI251" i="2"/>
  <c r="BH251" i="2"/>
  <c r="BG251" i="2"/>
  <c r="BF251" i="2"/>
  <c r="CQ250" i="2"/>
  <c r="CP250" i="2"/>
  <c r="CO250" i="2"/>
  <c r="CN250" i="2"/>
  <c r="CM250" i="2"/>
  <c r="CL250" i="2"/>
  <c r="CK250" i="2"/>
  <c r="CJ250" i="2"/>
  <c r="CI250" i="2"/>
  <c r="CH250" i="2"/>
  <c r="CG250" i="2"/>
  <c r="CF250" i="2"/>
  <c r="CE250" i="2"/>
  <c r="CD250" i="2"/>
  <c r="CC250" i="2"/>
  <c r="CB250" i="2"/>
  <c r="CA250" i="2"/>
  <c r="BZ250" i="2"/>
  <c r="BY250" i="2"/>
  <c r="BX250" i="2"/>
  <c r="BW250" i="2"/>
  <c r="BV250" i="2"/>
  <c r="BU250" i="2"/>
  <c r="BT250" i="2"/>
  <c r="BS250" i="2"/>
  <c r="BR250" i="2"/>
  <c r="BQ250" i="2"/>
  <c r="BP250" i="2"/>
  <c r="BO250" i="2"/>
  <c r="BN250" i="2"/>
  <c r="BM250" i="2"/>
  <c r="BL250" i="2"/>
  <c r="BK250" i="2"/>
  <c r="BJ250" i="2"/>
  <c r="BI250" i="2"/>
  <c r="BH250" i="2"/>
  <c r="BG250" i="2"/>
  <c r="BF250" i="2"/>
  <c r="CQ249" i="2"/>
  <c r="CP249" i="2"/>
  <c r="CO249" i="2"/>
  <c r="CN249" i="2"/>
  <c r="CM249" i="2"/>
  <c r="CL249" i="2"/>
  <c r="CK249" i="2"/>
  <c r="CJ249" i="2"/>
  <c r="CI249" i="2"/>
  <c r="CH249" i="2"/>
  <c r="CG249" i="2"/>
  <c r="CF249" i="2"/>
  <c r="CE249" i="2"/>
  <c r="CD249" i="2"/>
  <c r="CC249" i="2"/>
  <c r="CB249" i="2"/>
  <c r="CA249" i="2"/>
  <c r="BZ249" i="2"/>
  <c r="BY249" i="2"/>
  <c r="BX249" i="2"/>
  <c r="BW249" i="2"/>
  <c r="BV249" i="2"/>
  <c r="BU249" i="2"/>
  <c r="BT249" i="2"/>
  <c r="BS249" i="2"/>
  <c r="BR249" i="2"/>
  <c r="BQ249" i="2"/>
  <c r="BP249" i="2"/>
  <c r="BO249" i="2"/>
  <c r="BN249" i="2"/>
  <c r="BM249" i="2"/>
  <c r="BL249" i="2"/>
  <c r="BK249" i="2"/>
  <c r="BJ249" i="2"/>
  <c r="BI249" i="2"/>
  <c r="BH249" i="2"/>
  <c r="BG249" i="2"/>
  <c r="BF249" i="2"/>
  <c r="CQ248" i="2"/>
  <c r="CP248" i="2"/>
  <c r="CO248" i="2"/>
  <c r="CN248" i="2"/>
  <c r="CM248" i="2"/>
  <c r="CL248" i="2"/>
  <c r="CK248" i="2"/>
  <c r="CJ248" i="2"/>
  <c r="CI248" i="2"/>
  <c r="CH248" i="2"/>
  <c r="CG248" i="2"/>
  <c r="CF248" i="2"/>
  <c r="CE248" i="2"/>
  <c r="CD248" i="2"/>
  <c r="CC248" i="2"/>
  <c r="CB248" i="2"/>
  <c r="CA248" i="2"/>
  <c r="BZ248" i="2"/>
  <c r="BY248" i="2"/>
  <c r="BX248" i="2"/>
  <c r="BW248" i="2"/>
  <c r="BV248" i="2"/>
  <c r="BU248" i="2"/>
  <c r="BT248" i="2"/>
  <c r="BS248" i="2"/>
  <c r="BR248" i="2"/>
  <c r="BQ248" i="2"/>
  <c r="BP248" i="2"/>
  <c r="BO248" i="2"/>
  <c r="BN248" i="2"/>
  <c r="BM248" i="2"/>
  <c r="BL248" i="2"/>
  <c r="BK248" i="2"/>
  <c r="BJ248" i="2"/>
  <c r="BI248" i="2"/>
  <c r="BH248" i="2"/>
  <c r="BG248" i="2"/>
  <c r="BF248" i="2"/>
  <c r="CQ247" i="2"/>
  <c r="CP247" i="2"/>
  <c r="CO247" i="2"/>
  <c r="CN247" i="2"/>
  <c r="CM247" i="2"/>
  <c r="CL247" i="2"/>
  <c r="CK247" i="2"/>
  <c r="CJ247" i="2"/>
  <c r="CI247" i="2"/>
  <c r="CH247" i="2"/>
  <c r="CG247" i="2"/>
  <c r="CF247" i="2"/>
  <c r="CE247" i="2"/>
  <c r="CD247" i="2"/>
  <c r="CC247" i="2"/>
  <c r="CB247" i="2"/>
  <c r="CA247" i="2"/>
  <c r="BZ247" i="2"/>
  <c r="BY247" i="2"/>
  <c r="BX247" i="2"/>
  <c r="BW247" i="2"/>
  <c r="BV247" i="2"/>
  <c r="BU247" i="2"/>
  <c r="BT247" i="2"/>
  <c r="BS247" i="2"/>
  <c r="BR247" i="2"/>
  <c r="BQ247" i="2"/>
  <c r="BP247" i="2"/>
  <c r="BO247" i="2"/>
  <c r="BN247" i="2"/>
  <c r="BM247" i="2"/>
  <c r="BL247" i="2"/>
  <c r="BK247" i="2"/>
  <c r="BJ247" i="2"/>
  <c r="BI247" i="2"/>
  <c r="BH247" i="2"/>
  <c r="BG247" i="2"/>
  <c r="BF247" i="2"/>
  <c r="CQ246" i="2"/>
  <c r="CP246" i="2"/>
  <c r="CO246" i="2"/>
  <c r="CN246" i="2"/>
  <c r="CM246" i="2"/>
  <c r="CL246" i="2"/>
  <c r="CK246" i="2"/>
  <c r="CJ246" i="2"/>
  <c r="CI246" i="2"/>
  <c r="CH246" i="2"/>
  <c r="CG246" i="2"/>
  <c r="CF246" i="2"/>
  <c r="CE246" i="2"/>
  <c r="CD246" i="2"/>
  <c r="CC246" i="2"/>
  <c r="CB246" i="2"/>
  <c r="CA246" i="2"/>
  <c r="BZ246" i="2"/>
  <c r="BY246" i="2"/>
  <c r="BX246" i="2"/>
  <c r="BW246" i="2"/>
  <c r="BV246" i="2"/>
  <c r="BU246" i="2"/>
  <c r="BT246" i="2"/>
  <c r="BS246" i="2"/>
  <c r="BR246" i="2"/>
  <c r="BQ246" i="2"/>
  <c r="BP246" i="2"/>
  <c r="BO246" i="2"/>
  <c r="BN246" i="2"/>
  <c r="BM246" i="2"/>
  <c r="BL246" i="2"/>
  <c r="BK246" i="2"/>
  <c r="BJ246" i="2"/>
  <c r="BI246" i="2"/>
  <c r="BH246" i="2"/>
  <c r="BG246" i="2"/>
  <c r="BF246" i="2"/>
  <c r="CQ245" i="2"/>
  <c r="CP245" i="2"/>
  <c r="CO245" i="2"/>
  <c r="CN245" i="2"/>
  <c r="CM245" i="2"/>
  <c r="CL245" i="2"/>
  <c r="CK245" i="2"/>
  <c r="CJ245" i="2"/>
  <c r="CI245" i="2"/>
  <c r="CH245" i="2"/>
  <c r="CG245" i="2"/>
  <c r="CF245" i="2"/>
  <c r="CE245" i="2"/>
  <c r="CD245" i="2"/>
  <c r="CC245" i="2"/>
  <c r="CB245" i="2"/>
  <c r="CA245" i="2"/>
  <c r="BZ245" i="2"/>
  <c r="BY245" i="2"/>
  <c r="BX245" i="2"/>
  <c r="BW245" i="2"/>
  <c r="BV245" i="2"/>
  <c r="BU245" i="2"/>
  <c r="BT245" i="2"/>
  <c r="BS245" i="2"/>
  <c r="BR245" i="2"/>
  <c r="BQ245" i="2"/>
  <c r="BP245" i="2"/>
  <c r="BO245" i="2"/>
  <c r="BN245" i="2"/>
  <c r="BM245" i="2"/>
  <c r="BL245" i="2"/>
  <c r="BK245" i="2"/>
  <c r="BJ245" i="2"/>
  <c r="BI245" i="2"/>
  <c r="BH245" i="2"/>
  <c r="BG245" i="2"/>
  <c r="BF245" i="2"/>
  <c r="CQ244" i="2"/>
  <c r="CP244" i="2"/>
  <c r="CO244" i="2"/>
  <c r="CN244" i="2"/>
  <c r="CM244" i="2"/>
  <c r="CL244" i="2"/>
  <c r="CK244" i="2"/>
  <c r="CJ244" i="2"/>
  <c r="CI244" i="2"/>
  <c r="CH244" i="2"/>
  <c r="CG244" i="2"/>
  <c r="CF244" i="2"/>
  <c r="CE244" i="2"/>
  <c r="CD244" i="2"/>
  <c r="CC244" i="2"/>
  <c r="CB244" i="2"/>
  <c r="CA244" i="2"/>
  <c r="BZ244" i="2"/>
  <c r="BY244" i="2"/>
  <c r="BX244" i="2"/>
  <c r="BW244" i="2"/>
  <c r="BV244" i="2"/>
  <c r="BU244" i="2"/>
  <c r="BT244" i="2"/>
  <c r="BS244" i="2"/>
  <c r="BR244" i="2"/>
  <c r="BQ244" i="2"/>
  <c r="BP244" i="2"/>
  <c r="BO244" i="2"/>
  <c r="BN244" i="2"/>
  <c r="BM244" i="2"/>
  <c r="BL244" i="2"/>
  <c r="BK244" i="2"/>
  <c r="BJ244" i="2"/>
  <c r="BI244" i="2"/>
  <c r="BH244" i="2"/>
  <c r="BG244" i="2"/>
  <c r="BF244" i="2"/>
  <c r="CQ243" i="2"/>
  <c r="CP243" i="2"/>
  <c r="CO243" i="2"/>
  <c r="CN243" i="2"/>
  <c r="CM243" i="2"/>
  <c r="CL243" i="2"/>
  <c r="CK243" i="2"/>
  <c r="CJ243" i="2"/>
  <c r="CI243" i="2"/>
  <c r="CH243" i="2"/>
  <c r="CG243" i="2"/>
  <c r="CF243" i="2"/>
  <c r="CE243" i="2"/>
  <c r="CD243" i="2"/>
  <c r="CC243" i="2"/>
  <c r="CB243" i="2"/>
  <c r="CA243" i="2"/>
  <c r="BZ243" i="2"/>
  <c r="BY243" i="2"/>
  <c r="BX243" i="2"/>
  <c r="BW243" i="2"/>
  <c r="BV243" i="2"/>
  <c r="BU243" i="2"/>
  <c r="BT243" i="2"/>
  <c r="BS243" i="2"/>
  <c r="BR243" i="2"/>
  <c r="BQ243" i="2"/>
  <c r="BP243" i="2"/>
  <c r="BO243" i="2"/>
  <c r="BN243" i="2"/>
  <c r="BM243" i="2"/>
  <c r="BL243" i="2"/>
  <c r="BK243" i="2"/>
  <c r="BJ243" i="2"/>
  <c r="BI243" i="2"/>
  <c r="BH243" i="2"/>
  <c r="BG243" i="2"/>
  <c r="BF243" i="2"/>
  <c r="CQ242" i="2"/>
  <c r="CP242" i="2"/>
  <c r="CO242" i="2"/>
  <c r="CN242" i="2"/>
  <c r="CM242" i="2"/>
  <c r="CL242" i="2"/>
  <c r="CK242" i="2"/>
  <c r="CJ242" i="2"/>
  <c r="CI242" i="2"/>
  <c r="CH242" i="2"/>
  <c r="CG242" i="2"/>
  <c r="CF242" i="2"/>
  <c r="CE242" i="2"/>
  <c r="CD242" i="2"/>
  <c r="CC242" i="2"/>
  <c r="CB242" i="2"/>
  <c r="CA242" i="2"/>
  <c r="BZ242" i="2"/>
  <c r="BY242" i="2"/>
  <c r="BX242" i="2"/>
  <c r="BW242" i="2"/>
  <c r="BV242" i="2"/>
  <c r="BU242" i="2"/>
  <c r="BT242" i="2"/>
  <c r="BS242" i="2"/>
  <c r="BR242" i="2"/>
  <c r="BQ242" i="2"/>
  <c r="BP242" i="2"/>
  <c r="BO242" i="2"/>
  <c r="BN242" i="2"/>
  <c r="BM242" i="2"/>
  <c r="BL242" i="2"/>
  <c r="BK242" i="2"/>
  <c r="BJ242" i="2"/>
  <c r="BI242" i="2"/>
  <c r="BH242" i="2"/>
  <c r="BG242" i="2"/>
  <c r="BF242" i="2"/>
  <c r="CQ241" i="2"/>
  <c r="CP241" i="2"/>
  <c r="CO241" i="2"/>
  <c r="CN241" i="2"/>
  <c r="CM241" i="2"/>
  <c r="CL241" i="2"/>
  <c r="CK241" i="2"/>
  <c r="CJ241" i="2"/>
  <c r="CI241" i="2"/>
  <c r="CH241" i="2"/>
  <c r="CG241" i="2"/>
  <c r="CF241" i="2"/>
  <c r="CE241" i="2"/>
  <c r="CD241" i="2"/>
  <c r="CC241" i="2"/>
  <c r="CB241" i="2"/>
  <c r="CA241" i="2"/>
  <c r="BZ241" i="2"/>
  <c r="BY241" i="2"/>
  <c r="BX241" i="2"/>
  <c r="BW241" i="2"/>
  <c r="BV241" i="2"/>
  <c r="BU241" i="2"/>
  <c r="BT241" i="2"/>
  <c r="BS241" i="2"/>
  <c r="BR241" i="2"/>
  <c r="BQ241" i="2"/>
  <c r="BP241" i="2"/>
  <c r="BO241" i="2"/>
  <c r="BN241" i="2"/>
  <c r="BM241" i="2"/>
  <c r="BL241" i="2"/>
  <c r="BK241" i="2"/>
  <c r="BJ241" i="2"/>
  <c r="BI241" i="2"/>
  <c r="BH241" i="2"/>
  <c r="BG241" i="2"/>
  <c r="BF241" i="2"/>
  <c r="CQ240" i="2"/>
  <c r="CP240" i="2"/>
  <c r="CO240" i="2"/>
  <c r="CN240" i="2"/>
  <c r="CM240" i="2"/>
  <c r="CL240" i="2"/>
  <c r="CK240" i="2"/>
  <c r="CJ240" i="2"/>
  <c r="CI240" i="2"/>
  <c r="CH240" i="2"/>
  <c r="CG240" i="2"/>
  <c r="CF240" i="2"/>
  <c r="CE240" i="2"/>
  <c r="CD240" i="2"/>
  <c r="CC240" i="2"/>
  <c r="CB240" i="2"/>
  <c r="CA240" i="2"/>
  <c r="BZ240" i="2"/>
  <c r="BY240" i="2"/>
  <c r="BX240" i="2"/>
  <c r="BW240" i="2"/>
  <c r="BV240" i="2"/>
  <c r="BU240" i="2"/>
  <c r="BT240" i="2"/>
  <c r="BS240" i="2"/>
  <c r="BR240" i="2"/>
  <c r="BQ240" i="2"/>
  <c r="BP240" i="2"/>
  <c r="BO240" i="2"/>
  <c r="BN240" i="2"/>
  <c r="BM240" i="2"/>
  <c r="BL240" i="2"/>
  <c r="BK240" i="2"/>
  <c r="BJ240" i="2"/>
  <c r="BI240" i="2"/>
  <c r="BH240" i="2"/>
  <c r="BG240" i="2"/>
  <c r="BF240" i="2"/>
  <c r="CQ239" i="2"/>
  <c r="CP239" i="2"/>
  <c r="CO239" i="2"/>
  <c r="CN239" i="2"/>
  <c r="CM239" i="2"/>
  <c r="CL239" i="2"/>
  <c r="CK239" i="2"/>
  <c r="CJ239" i="2"/>
  <c r="CI239" i="2"/>
  <c r="CH239" i="2"/>
  <c r="CG239" i="2"/>
  <c r="CF239" i="2"/>
  <c r="CE239" i="2"/>
  <c r="CD239" i="2"/>
  <c r="CC239" i="2"/>
  <c r="CB239" i="2"/>
  <c r="CA239" i="2"/>
  <c r="BZ239" i="2"/>
  <c r="BY239" i="2"/>
  <c r="BX239" i="2"/>
  <c r="BW239" i="2"/>
  <c r="BV239" i="2"/>
  <c r="BU239" i="2"/>
  <c r="BT239" i="2"/>
  <c r="BS239" i="2"/>
  <c r="BR239" i="2"/>
  <c r="BQ239" i="2"/>
  <c r="BP239" i="2"/>
  <c r="BO239" i="2"/>
  <c r="BN239" i="2"/>
  <c r="BM239" i="2"/>
  <c r="BL239" i="2"/>
  <c r="BK239" i="2"/>
  <c r="BJ239" i="2"/>
  <c r="BI239" i="2"/>
  <c r="BH239" i="2"/>
  <c r="BG239" i="2"/>
  <c r="BF239" i="2"/>
  <c r="CQ238" i="2"/>
  <c r="CP238" i="2"/>
  <c r="CO238" i="2"/>
  <c r="CN238" i="2"/>
  <c r="CM238" i="2"/>
  <c r="CL238" i="2"/>
  <c r="CK238" i="2"/>
  <c r="CJ238" i="2"/>
  <c r="CI238" i="2"/>
  <c r="CH238" i="2"/>
  <c r="CG238" i="2"/>
  <c r="CF238" i="2"/>
  <c r="CE238" i="2"/>
  <c r="CD238" i="2"/>
  <c r="CC238" i="2"/>
  <c r="CB238" i="2"/>
  <c r="CA238" i="2"/>
  <c r="BZ238" i="2"/>
  <c r="BY238" i="2"/>
  <c r="BX238" i="2"/>
  <c r="BW238" i="2"/>
  <c r="BV238" i="2"/>
  <c r="BU238" i="2"/>
  <c r="BT238" i="2"/>
  <c r="BS238" i="2"/>
  <c r="BR238" i="2"/>
  <c r="BQ238" i="2"/>
  <c r="BP238" i="2"/>
  <c r="BO238" i="2"/>
  <c r="BN238" i="2"/>
  <c r="BM238" i="2"/>
  <c r="BL238" i="2"/>
  <c r="BK238" i="2"/>
  <c r="BJ238" i="2"/>
  <c r="BI238" i="2"/>
  <c r="BH238" i="2"/>
  <c r="BG238" i="2"/>
  <c r="BF238" i="2"/>
  <c r="CQ237" i="2"/>
  <c r="CP237" i="2"/>
  <c r="CO237" i="2"/>
  <c r="CN237" i="2"/>
  <c r="CM237" i="2"/>
  <c r="CL237" i="2"/>
  <c r="CK237" i="2"/>
  <c r="CJ237" i="2"/>
  <c r="CI237" i="2"/>
  <c r="CH237" i="2"/>
  <c r="CG237" i="2"/>
  <c r="CF237" i="2"/>
  <c r="CE237" i="2"/>
  <c r="CD237" i="2"/>
  <c r="CC237" i="2"/>
  <c r="CB237" i="2"/>
  <c r="CA237" i="2"/>
  <c r="BZ237" i="2"/>
  <c r="BY237" i="2"/>
  <c r="BX237" i="2"/>
  <c r="BW237" i="2"/>
  <c r="BV237" i="2"/>
  <c r="BU237" i="2"/>
  <c r="BT237" i="2"/>
  <c r="BS237" i="2"/>
  <c r="BR237" i="2"/>
  <c r="BQ237" i="2"/>
  <c r="BP237" i="2"/>
  <c r="BO237" i="2"/>
  <c r="BN237" i="2"/>
  <c r="BM237" i="2"/>
  <c r="BL237" i="2"/>
  <c r="BK237" i="2"/>
  <c r="BJ237" i="2"/>
  <c r="BI237" i="2"/>
  <c r="BH237" i="2"/>
  <c r="BG237" i="2"/>
  <c r="BF237" i="2"/>
  <c r="CQ236" i="2"/>
  <c r="CP236" i="2"/>
  <c r="CO236" i="2"/>
  <c r="CN236" i="2"/>
  <c r="CM236" i="2"/>
  <c r="CL236" i="2"/>
  <c r="CK236" i="2"/>
  <c r="CJ236" i="2"/>
  <c r="CI236" i="2"/>
  <c r="CH236" i="2"/>
  <c r="CG236" i="2"/>
  <c r="CF236" i="2"/>
  <c r="CE236" i="2"/>
  <c r="CD236" i="2"/>
  <c r="CC236" i="2"/>
  <c r="CB236" i="2"/>
  <c r="CA236" i="2"/>
  <c r="BZ236" i="2"/>
  <c r="BY236" i="2"/>
  <c r="BX236" i="2"/>
  <c r="BW236" i="2"/>
  <c r="BV236" i="2"/>
  <c r="BU236" i="2"/>
  <c r="BT236" i="2"/>
  <c r="BS236" i="2"/>
  <c r="BR236" i="2"/>
  <c r="BQ236" i="2"/>
  <c r="BP236" i="2"/>
  <c r="BO236" i="2"/>
  <c r="BN236" i="2"/>
  <c r="BM236" i="2"/>
  <c r="BL236" i="2"/>
  <c r="BK236" i="2"/>
  <c r="BJ236" i="2"/>
  <c r="BI236" i="2"/>
  <c r="BH236" i="2"/>
  <c r="BG236" i="2"/>
  <c r="BF236" i="2"/>
  <c r="CQ235" i="2"/>
  <c r="CP235" i="2"/>
  <c r="CO235" i="2"/>
  <c r="CN235" i="2"/>
  <c r="CM235" i="2"/>
  <c r="CL235" i="2"/>
  <c r="CK235" i="2"/>
  <c r="CJ235" i="2"/>
  <c r="CI235" i="2"/>
  <c r="CH235" i="2"/>
  <c r="CG235" i="2"/>
  <c r="CF235" i="2"/>
  <c r="CE235" i="2"/>
  <c r="CD235" i="2"/>
  <c r="CC235" i="2"/>
  <c r="CB235" i="2"/>
  <c r="CA235" i="2"/>
  <c r="BZ235" i="2"/>
  <c r="BY235" i="2"/>
  <c r="BX235" i="2"/>
  <c r="BW235" i="2"/>
  <c r="BV235" i="2"/>
  <c r="BU235" i="2"/>
  <c r="BT235" i="2"/>
  <c r="BS235" i="2"/>
  <c r="BR235" i="2"/>
  <c r="BQ235" i="2"/>
  <c r="BP235" i="2"/>
  <c r="BO235" i="2"/>
  <c r="BN235" i="2"/>
  <c r="BM235" i="2"/>
  <c r="BL235" i="2"/>
  <c r="BK235" i="2"/>
  <c r="BJ235" i="2"/>
  <c r="BI235" i="2"/>
  <c r="BH235" i="2"/>
  <c r="BG235" i="2"/>
  <c r="BF235" i="2"/>
  <c r="CQ234" i="2"/>
  <c r="CP234" i="2"/>
  <c r="CO234" i="2"/>
  <c r="CN234" i="2"/>
  <c r="CM234" i="2"/>
  <c r="CL234" i="2"/>
  <c r="CK234" i="2"/>
  <c r="CJ234" i="2"/>
  <c r="CI234" i="2"/>
  <c r="CH234" i="2"/>
  <c r="CG234" i="2"/>
  <c r="CF234" i="2"/>
  <c r="CE234" i="2"/>
  <c r="CD234" i="2"/>
  <c r="CC234" i="2"/>
  <c r="CB234" i="2"/>
  <c r="CA234" i="2"/>
  <c r="BZ234" i="2"/>
  <c r="BY234" i="2"/>
  <c r="BX234" i="2"/>
  <c r="BW234" i="2"/>
  <c r="BV234" i="2"/>
  <c r="BU234" i="2"/>
  <c r="BT234" i="2"/>
  <c r="BS234" i="2"/>
  <c r="BR234" i="2"/>
  <c r="BQ234" i="2"/>
  <c r="BP234" i="2"/>
  <c r="BO234" i="2"/>
  <c r="BN234" i="2"/>
  <c r="BM234" i="2"/>
  <c r="BL234" i="2"/>
  <c r="BK234" i="2"/>
  <c r="BJ234" i="2"/>
  <c r="BI234" i="2"/>
  <c r="BH234" i="2"/>
  <c r="BG234" i="2"/>
  <c r="BF234" i="2"/>
  <c r="CQ233" i="2"/>
  <c r="CP233" i="2"/>
  <c r="CO233" i="2"/>
  <c r="CN233" i="2"/>
  <c r="CM233" i="2"/>
  <c r="CL233" i="2"/>
  <c r="CK233" i="2"/>
  <c r="CJ233" i="2"/>
  <c r="CI233" i="2"/>
  <c r="CH233" i="2"/>
  <c r="CG233" i="2"/>
  <c r="CF233" i="2"/>
  <c r="CE233" i="2"/>
  <c r="CD233" i="2"/>
  <c r="CC233" i="2"/>
  <c r="CB233" i="2"/>
  <c r="CA233" i="2"/>
  <c r="BZ233" i="2"/>
  <c r="BY233" i="2"/>
  <c r="BX233" i="2"/>
  <c r="BW233" i="2"/>
  <c r="BV233" i="2"/>
  <c r="BU233" i="2"/>
  <c r="BT233" i="2"/>
  <c r="BS233" i="2"/>
  <c r="BR233" i="2"/>
  <c r="BQ233" i="2"/>
  <c r="BP233" i="2"/>
  <c r="BO233" i="2"/>
  <c r="BN233" i="2"/>
  <c r="BM233" i="2"/>
  <c r="BL233" i="2"/>
  <c r="BK233" i="2"/>
  <c r="BJ233" i="2"/>
  <c r="BI233" i="2"/>
  <c r="BH233" i="2"/>
  <c r="BG233" i="2"/>
  <c r="BF233" i="2"/>
  <c r="CQ232" i="2"/>
  <c r="CP232" i="2"/>
  <c r="CO232" i="2"/>
  <c r="CN232" i="2"/>
  <c r="CM232" i="2"/>
  <c r="CL232" i="2"/>
  <c r="CK232" i="2"/>
  <c r="CJ232" i="2"/>
  <c r="CI232" i="2"/>
  <c r="CH232" i="2"/>
  <c r="CG232" i="2"/>
  <c r="CF232" i="2"/>
  <c r="CE232" i="2"/>
  <c r="CD232" i="2"/>
  <c r="CC232" i="2"/>
  <c r="CB232" i="2"/>
  <c r="CA232" i="2"/>
  <c r="BZ232" i="2"/>
  <c r="BY232" i="2"/>
  <c r="BX232" i="2"/>
  <c r="BW232" i="2"/>
  <c r="BV232" i="2"/>
  <c r="BU232" i="2"/>
  <c r="BT232" i="2"/>
  <c r="BS232" i="2"/>
  <c r="BR232" i="2"/>
  <c r="BQ232" i="2"/>
  <c r="BP232" i="2"/>
  <c r="BO232" i="2"/>
  <c r="BN232" i="2"/>
  <c r="BM232" i="2"/>
  <c r="BL232" i="2"/>
  <c r="BK232" i="2"/>
  <c r="BJ232" i="2"/>
  <c r="BI232" i="2"/>
  <c r="BH232" i="2"/>
  <c r="BG232" i="2"/>
  <c r="BF232" i="2"/>
  <c r="CQ231" i="2"/>
  <c r="CP231" i="2"/>
  <c r="CO231" i="2"/>
  <c r="CN231" i="2"/>
  <c r="CM231" i="2"/>
  <c r="CL231" i="2"/>
  <c r="CK231" i="2"/>
  <c r="CJ231" i="2"/>
  <c r="CI231" i="2"/>
  <c r="CH231" i="2"/>
  <c r="CG231" i="2"/>
  <c r="CF231" i="2"/>
  <c r="CE231" i="2"/>
  <c r="CD231" i="2"/>
  <c r="CC231" i="2"/>
  <c r="CB231" i="2"/>
  <c r="CA231" i="2"/>
  <c r="BZ231" i="2"/>
  <c r="BY231" i="2"/>
  <c r="BX231" i="2"/>
  <c r="BW231" i="2"/>
  <c r="BV231" i="2"/>
  <c r="BU231" i="2"/>
  <c r="BT231" i="2"/>
  <c r="BS231" i="2"/>
  <c r="BR231" i="2"/>
  <c r="BQ231" i="2"/>
  <c r="BP231" i="2"/>
  <c r="BO231" i="2"/>
  <c r="BN231" i="2"/>
  <c r="BM231" i="2"/>
  <c r="BL231" i="2"/>
  <c r="BK231" i="2"/>
  <c r="BJ231" i="2"/>
  <c r="BI231" i="2"/>
  <c r="BH231" i="2"/>
  <c r="BG231" i="2"/>
  <c r="BF231" i="2"/>
  <c r="CQ230" i="2"/>
  <c r="CP230" i="2"/>
  <c r="CO230" i="2"/>
  <c r="CN230" i="2"/>
  <c r="CM230" i="2"/>
  <c r="CL230" i="2"/>
  <c r="CK230" i="2"/>
  <c r="CJ230" i="2"/>
  <c r="CI230" i="2"/>
  <c r="CH230" i="2"/>
  <c r="CG230" i="2"/>
  <c r="CF230" i="2"/>
  <c r="CE230" i="2"/>
  <c r="CD230" i="2"/>
  <c r="CC230" i="2"/>
  <c r="CB230" i="2"/>
  <c r="CA230" i="2"/>
  <c r="BZ230" i="2"/>
  <c r="BY230" i="2"/>
  <c r="BX230" i="2"/>
  <c r="BW230" i="2"/>
  <c r="BV230" i="2"/>
  <c r="BU230" i="2"/>
  <c r="BT230" i="2"/>
  <c r="BS230" i="2"/>
  <c r="BR230" i="2"/>
  <c r="BQ230" i="2"/>
  <c r="BP230" i="2"/>
  <c r="BO230" i="2"/>
  <c r="BN230" i="2"/>
  <c r="BM230" i="2"/>
  <c r="BL230" i="2"/>
  <c r="BK230" i="2"/>
  <c r="BJ230" i="2"/>
  <c r="BI230" i="2"/>
  <c r="BH230" i="2"/>
  <c r="BG230" i="2"/>
  <c r="BF230" i="2"/>
  <c r="CQ229" i="2"/>
  <c r="CP229" i="2"/>
  <c r="CO229" i="2"/>
  <c r="CN229" i="2"/>
  <c r="CM229" i="2"/>
  <c r="CL229" i="2"/>
  <c r="CK229" i="2"/>
  <c r="CJ229" i="2"/>
  <c r="CI229" i="2"/>
  <c r="CH229" i="2"/>
  <c r="CG229" i="2"/>
  <c r="CF229" i="2"/>
  <c r="CE229" i="2"/>
  <c r="CD229" i="2"/>
  <c r="CC229" i="2"/>
  <c r="CB229" i="2"/>
  <c r="CA229" i="2"/>
  <c r="BZ229" i="2"/>
  <c r="BY229" i="2"/>
  <c r="BX229" i="2"/>
  <c r="BW229" i="2"/>
  <c r="BV229" i="2"/>
  <c r="BU229" i="2"/>
  <c r="BT229" i="2"/>
  <c r="BS229" i="2"/>
  <c r="BR229" i="2"/>
  <c r="BQ229" i="2"/>
  <c r="BP229" i="2"/>
  <c r="BO229" i="2"/>
  <c r="BN229" i="2"/>
  <c r="BM229" i="2"/>
  <c r="BL229" i="2"/>
  <c r="BK229" i="2"/>
  <c r="BJ229" i="2"/>
  <c r="BI229" i="2"/>
  <c r="BH229" i="2"/>
  <c r="BG229" i="2"/>
  <c r="BF229" i="2"/>
  <c r="CQ228" i="2"/>
  <c r="CP228" i="2"/>
  <c r="CO228" i="2"/>
  <c r="CN228" i="2"/>
  <c r="CM228" i="2"/>
  <c r="CL228" i="2"/>
  <c r="CK228" i="2"/>
  <c r="CJ228" i="2"/>
  <c r="CI228" i="2"/>
  <c r="CH228" i="2"/>
  <c r="CG228" i="2"/>
  <c r="CF228" i="2"/>
  <c r="CE228" i="2"/>
  <c r="CD228" i="2"/>
  <c r="CC228" i="2"/>
  <c r="CB228" i="2"/>
  <c r="CA228" i="2"/>
  <c r="BZ228" i="2"/>
  <c r="BY228" i="2"/>
  <c r="BX228" i="2"/>
  <c r="BW228" i="2"/>
  <c r="BV228" i="2"/>
  <c r="BU228" i="2"/>
  <c r="BT228" i="2"/>
  <c r="BS228" i="2"/>
  <c r="BR228" i="2"/>
  <c r="BQ228" i="2"/>
  <c r="BP228" i="2"/>
  <c r="BO228" i="2"/>
  <c r="BN228" i="2"/>
  <c r="BM228" i="2"/>
  <c r="BL228" i="2"/>
  <c r="BK228" i="2"/>
  <c r="BJ228" i="2"/>
  <c r="BI228" i="2"/>
  <c r="BH228" i="2"/>
  <c r="BG228" i="2"/>
  <c r="BF228" i="2"/>
  <c r="CQ227" i="2"/>
  <c r="CP227" i="2"/>
  <c r="CO227" i="2"/>
  <c r="CN227" i="2"/>
  <c r="CM227" i="2"/>
  <c r="CL227" i="2"/>
  <c r="CK227" i="2"/>
  <c r="CJ227" i="2"/>
  <c r="CI227" i="2"/>
  <c r="CH227" i="2"/>
  <c r="CG227" i="2"/>
  <c r="CF227" i="2"/>
  <c r="CE227" i="2"/>
  <c r="CD227" i="2"/>
  <c r="CC227" i="2"/>
  <c r="CB227" i="2"/>
  <c r="CA227" i="2"/>
  <c r="BZ227" i="2"/>
  <c r="BY227" i="2"/>
  <c r="BX227" i="2"/>
  <c r="BW227" i="2"/>
  <c r="BV227" i="2"/>
  <c r="BU227" i="2"/>
  <c r="BT227" i="2"/>
  <c r="BS227" i="2"/>
  <c r="BR227" i="2"/>
  <c r="BQ227" i="2"/>
  <c r="BP227" i="2"/>
  <c r="BO227" i="2"/>
  <c r="BN227" i="2"/>
  <c r="BM227" i="2"/>
  <c r="BL227" i="2"/>
  <c r="BK227" i="2"/>
  <c r="BJ227" i="2"/>
  <c r="BI227" i="2"/>
  <c r="BH227" i="2"/>
  <c r="BG227" i="2"/>
  <c r="BF227" i="2"/>
  <c r="CQ226" i="2"/>
  <c r="CP226" i="2"/>
  <c r="CO226" i="2"/>
  <c r="CN226" i="2"/>
  <c r="CM226" i="2"/>
  <c r="CL226" i="2"/>
  <c r="CK226" i="2"/>
  <c r="CJ226" i="2"/>
  <c r="CI226" i="2"/>
  <c r="CH226" i="2"/>
  <c r="CG226" i="2"/>
  <c r="CF226" i="2"/>
  <c r="CE226" i="2"/>
  <c r="CD226" i="2"/>
  <c r="CC226" i="2"/>
  <c r="CB226" i="2"/>
  <c r="CA226" i="2"/>
  <c r="BZ226" i="2"/>
  <c r="BY226" i="2"/>
  <c r="BX226" i="2"/>
  <c r="BW226" i="2"/>
  <c r="BV226" i="2"/>
  <c r="BU226" i="2"/>
  <c r="BT226" i="2"/>
  <c r="BS226" i="2"/>
  <c r="BR226" i="2"/>
  <c r="BQ226" i="2"/>
  <c r="BP226" i="2"/>
  <c r="BO226" i="2"/>
  <c r="BN226" i="2"/>
  <c r="BM226" i="2"/>
  <c r="BL226" i="2"/>
  <c r="BK226" i="2"/>
  <c r="BJ226" i="2"/>
  <c r="BI226" i="2"/>
  <c r="BH226" i="2"/>
  <c r="BG226" i="2"/>
  <c r="BF226" i="2"/>
  <c r="CQ225" i="2"/>
  <c r="CP225" i="2"/>
  <c r="CO225" i="2"/>
  <c r="CN225" i="2"/>
  <c r="CM225" i="2"/>
  <c r="CL225" i="2"/>
  <c r="CK225" i="2"/>
  <c r="CJ225" i="2"/>
  <c r="CI225" i="2"/>
  <c r="CH225" i="2"/>
  <c r="CG225" i="2"/>
  <c r="CF225" i="2"/>
  <c r="CE225" i="2"/>
  <c r="CD225" i="2"/>
  <c r="CC225" i="2"/>
  <c r="CB225" i="2"/>
  <c r="CA225" i="2"/>
  <c r="BZ225" i="2"/>
  <c r="BY225" i="2"/>
  <c r="BX225" i="2"/>
  <c r="BW225" i="2"/>
  <c r="BV225" i="2"/>
  <c r="BU225" i="2"/>
  <c r="BT225" i="2"/>
  <c r="BS225" i="2"/>
  <c r="BR225" i="2"/>
  <c r="BQ225" i="2"/>
  <c r="BP225" i="2"/>
  <c r="BO225" i="2"/>
  <c r="BN225" i="2"/>
  <c r="BM225" i="2"/>
  <c r="BL225" i="2"/>
  <c r="BK225" i="2"/>
  <c r="BJ225" i="2"/>
  <c r="BI225" i="2"/>
  <c r="BH225" i="2"/>
  <c r="BG225" i="2"/>
  <c r="BF225" i="2"/>
  <c r="CQ224" i="2"/>
  <c r="CP224" i="2"/>
  <c r="CO224" i="2"/>
  <c r="CN224" i="2"/>
  <c r="CM224" i="2"/>
  <c r="CL224" i="2"/>
  <c r="CK224" i="2"/>
  <c r="CJ224" i="2"/>
  <c r="CI224" i="2"/>
  <c r="CH224" i="2"/>
  <c r="CG224" i="2"/>
  <c r="CF224" i="2"/>
  <c r="CE224" i="2"/>
  <c r="CD224" i="2"/>
  <c r="CC224" i="2"/>
  <c r="CB224" i="2"/>
  <c r="CA224" i="2"/>
  <c r="BZ224" i="2"/>
  <c r="BY224" i="2"/>
  <c r="BX224" i="2"/>
  <c r="BW224" i="2"/>
  <c r="BV224" i="2"/>
  <c r="BU224" i="2"/>
  <c r="BT224" i="2"/>
  <c r="BS224" i="2"/>
  <c r="BR224" i="2"/>
  <c r="BQ224" i="2"/>
  <c r="BP224" i="2"/>
  <c r="BO224" i="2"/>
  <c r="BN224" i="2"/>
  <c r="BM224" i="2"/>
  <c r="BL224" i="2"/>
  <c r="BK224" i="2"/>
  <c r="BJ224" i="2"/>
  <c r="BI224" i="2"/>
  <c r="BH224" i="2"/>
  <c r="BG224" i="2"/>
  <c r="BF224" i="2"/>
  <c r="CQ223" i="2"/>
  <c r="CP223" i="2"/>
  <c r="CO223" i="2"/>
  <c r="CN223" i="2"/>
  <c r="CM223" i="2"/>
  <c r="CL223" i="2"/>
  <c r="CK223" i="2"/>
  <c r="CJ223" i="2"/>
  <c r="CI223" i="2"/>
  <c r="CH223" i="2"/>
  <c r="CG223" i="2"/>
  <c r="CF223" i="2"/>
  <c r="CE223" i="2"/>
  <c r="CD223" i="2"/>
  <c r="CC223" i="2"/>
  <c r="CB223" i="2"/>
  <c r="CA223" i="2"/>
  <c r="BZ223" i="2"/>
  <c r="BY223" i="2"/>
  <c r="BX223" i="2"/>
  <c r="BW223" i="2"/>
  <c r="BV223" i="2"/>
  <c r="BU223" i="2"/>
  <c r="BT223" i="2"/>
  <c r="BS223" i="2"/>
  <c r="BR223" i="2"/>
  <c r="BQ223" i="2"/>
  <c r="BP223" i="2"/>
  <c r="BO223" i="2"/>
  <c r="BN223" i="2"/>
  <c r="BM223" i="2"/>
  <c r="BL223" i="2"/>
  <c r="BK223" i="2"/>
  <c r="BJ223" i="2"/>
  <c r="BI223" i="2"/>
  <c r="BH223" i="2"/>
  <c r="BG223" i="2"/>
  <c r="BF223" i="2"/>
  <c r="CQ222" i="2"/>
  <c r="CP222" i="2"/>
  <c r="CO222" i="2"/>
  <c r="CN222" i="2"/>
  <c r="CM222" i="2"/>
  <c r="CL222" i="2"/>
  <c r="CK222" i="2"/>
  <c r="CJ222" i="2"/>
  <c r="CI222" i="2"/>
  <c r="CH222" i="2"/>
  <c r="CG222" i="2"/>
  <c r="CF222" i="2"/>
  <c r="CE222" i="2"/>
  <c r="CD222" i="2"/>
  <c r="CC222" i="2"/>
  <c r="CB222" i="2"/>
  <c r="CA222" i="2"/>
  <c r="BZ222" i="2"/>
  <c r="BY222" i="2"/>
  <c r="BX222" i="2"/>
  <c r="BW222" i="2"/>
  <c r="BV222" i="2"/>
  <c r="BU222" i="2"/>
  <c r="BT222" i="2"/>
  <c r="BS222" i="2"/>
  <c r="BR222" i="2"/>
  <c r="BQ222" i="2"/>
  <c r="BP222" i="2"/>
  <c r="BO222" i="2"/>
  <c r="BN222" i="2"/>
  <c r="BM222" i="2"/>
  <c r="BL222" i="2"/>
  <c r="BK222" i="2"/>
  <c r="BJ222" i="2"/>
  <c r="BI222" i="2"/>
  <c r="BH222" i="2"/>
  <c r="BG222" i="2"/>
  <c r="BF222" i="2"/>
  <c r="CQ221" i="2"/>
  <c r="CP221" i="2"/>
  <c r="CO221" i="2"/>
  <c r="CN221" i="2"/>
  <c r="CM221" i="2"/>
  <c r="CL221" i="2"/>
  <c r="CK221" i="2"/>
  <c r="CJ221" i="2"/>
  <c r="CI221" i="2"/>
  <c r="CH221" i="2"/>
  <c r="CG221" i="2"/>
  <c r="CF221" i="2"/>
  <c r="CE221" i="2"/>
  <c r="CD221" i="2"/>
  <c r="CC221" i="2"/>
  <c r="CB221" i="2"/>
  <c r="CA221" i="2"/>
  <c r="BZ221" i="2"/>
  <c r="BY221" i="2"/>
  <c r="BX221" i="2"/>
  <c r="BW221" i="2"/>
  <c r="BV221" i="2"/>
  <c r="BU221" i="2"/>
  <c r="BT221" i="2"/>
  <c r="BS221" i="2"/>
  <c r="BR221" i="2"/>
  <c r="BQ221" i="2"/>
  <c r="BP221" i="2"/>
  <c r="BO221" i="2"/>
  <c r="BN221" i="2"/>
  <c r="BM221" i="2"/>
  <c r="BL221" i="2"/>
  <c r="BK221" i="2"/>
  <c r="BJ221" i="2"/>
  <c r="BI221" i="2"/>
  <c r="BH221" i="2"/>
  <c r="BG221" i="2"/>
  <c r="BF221" i="2"/>
  <c r="CQ220" i="2"/>
  <c r="CP220" i="2"/>
  <c r="CO220" i="2"/>
  <c r="CN220" i="2"/>
  <c r="CM220" i="2"/>
  <c r="CL220" i="2"/>
  <c r="CK220" i="2"/>
  <c r="CJ220" i="2"/>
  <c r="CI220" i="2"/>
  <c r="CH220" i="2"/>
  <c r="CG220" i="2"/>
  <c r="CF220" i="2"/>
  <c r="CE220" i="2"/>
  <c r="CD220" i="2"/>
  <c r="CC220" i="2"/>
  <c r="CB220" i="2"/>
  <c r="CA220" i="2"/>
  <c r="BZ220" i="2"/>
  <c r="BY220" i="2"/>
  <c r="BX220" i="2"/>
  <c r="BW220" i="2"/>
  <c r="BV220" i="2"/>
  <c r="BU220" i="2"/>
  <c r="BT220" i="2"/>
  <c r="BS220" i="2"/>
  <c r="BR220" i="2"/>
  <c r="BQ220" i="2"/>
  <c r="BP220" i="2"/>
  <c r="BO220" i="2"/>
  <c r="BN220" i="2"/>
  <c r="BM220" i="2"/>
  <c r="BL220" i="2"/>
  <c r="BK220" i="2"/>
  <c r="BJ220" i="2"/>
  <c r="BI220" i="2"/>
  <c r="BH220" i="2"/>
  <c r="BG220" i="2"/>
  <c r="BF220" i="2"/>
  <c r="CQ219" i="2"/>
  <c r="CP219" i="2"/>
  <c r="CO219" i="2"/>
  <c r="CN219" i="2"/>
  <c r="CM219" i="2"/>
  <c r="CL219" i="2"/>
  <c r="CK219" i="2"/>
  <c r="CJ219" i="2"/>
  <c r="CI219" i="2"/>
  <c r="CH219" i="2"/>
  <c r="CG219" i="2"/>
  <c r="CF219" i="2"/>
  <c r="CE219" i="2"/>
  <c r="CD219" i="2"/>
  <c r="CC219" i="2"/>
  <c r="CB219" i="2"/>
  <c r="CA219" i="2"/>
  <c r="BZ219" i="2"/>
  <c r="BY219" i="2"/>
  <c r="BX219" i="2"/>
  <c r="BW219" i="2"/>
  <c r="BV219" i="2"/>
  <c r="BU219" i="2"/>
  <c r="BT219" i="2"/>
  <c r="BS219" i="2"/>
  <c r="BR219" i="2"/>
  <c r="BQ219" i="2"/>
  <c r="BP219" i="2"/>
  <c r="BO219" i="2"/>
  <c r="BN219" i="2"/>
  <c r="BM219" i="2"/>
  <c r="BL219" i="2"/>
  <c r="BK219" i="2"/>
  <c r="BJ219" i="2"/>
  <c r="BI219" i="2"/>
  <c r="BH219" i="2"/>
  <c r="BG219" i="2"/>
  <c r="BF219" i="2"/>
  <c r="CQ218" i="2"/>
  <c r="CP218" i="2"/>
  <c r="CO218" i="2"/>
  <c r="CN218" i="2"/>
  <c r="CM218" i="2"/>
  <c r="CL218" i="2"/>
  <c r="CK218" i="2"/>
  <c r="CJ218" i="2"/>
  <c r="CI218" i="2"/>
  <c r="CH218" i="2"/>
  <c r="CG218" i="2"/>
  <c r="CF218" i="2"/>
  <c r="CE218" i="2"/>
  <c r="CD218" i="2"/>
  <c r="CC218" i="2"/>
  <c r="CB218" i="2"/>
  <c r="CA218" i="2"/>
  <c r="BZ218" i="2"/>
  <c r="BY218" i="2"/>
  <c r="BX218" i="2"/>
  <c r="BW218" i="2"/>
  <c r="BV218" i="2"/>
  <c r="BU218" i="2"/>
  <c r="BT218" i="2"/>
  <c r="BS218" i="2"/>
  <c r="BR218" i="2"/>
  <c r="BQ218" i="2"/>
  <c r="BP218" i="2"/>
  <c r="BO218" i="2"/>
  <c r="BN218" i="2"/>
  <c r="BM218" i="2"/>
  <c r="BL218" i="2"/>
  <c r="BK218" i="2"/>
  <c r="BJ218" i="2"/>
  <c r="BI218" i="2"/>
  <c r="BH218" i="2"/>
  <c r="BG218" i="2"/>
  <c r="BF218" i="2"/>
  <c r="CQ217" i="2"/>
  <c r="CP217" i="2"/>
  <c r="CO217" i="2"/>
  <c r="CN217" i="2"/>
  <c r="CM217" i="2"/>
  <c r="CL217" i="2"/>
  <c r="CK217" i="2"/>
  <c r="CJ217" i="2"/>
  <c r="CI217" i="2"/>
  <c r="CH217" i="2"/>
  <c r="CG217" i="2"/>
  <c r="CF217" i="2"/>
  <c r="CE217" i="2"/>
  <c r="CD217" i="2"/>
  <c r="CC217" i="2"/>
  <c r="CB217" i="2"/>
  <c r="CA217" i="2"/>
  <c r="BZ217" i="2"/>
  <c r="BY217" i="2"/>
  <c r="BX217" i="2"/>
  <c r="BW217" i="2"/>
  <c r="BV217" i="2"/>
  <c r="BU217" i="2"/>
  <c r="BT217" i="2"/>
  <c r="BS217" i="2"/>
  <c r="BR217" i="2"/>
  <c r="BQ217" i="2"/>
  <c r="BP217" i="2"/>
  <c r="BO217" i="2"/>
  <c r="BN217" i="2"/>
  <c r="BM217" i="2"/>
  <c r="BL217" i="2"/>
  <c r="BK217" i="2"/>
  <c r="BJ217" i="2"/>
  <c r="BI217" i="2"/>
  <c r="BH217" i="2"/>
  <c r="BG217" i="2"/>
  <c r="BF217" i="2"/>
  <c r="CQ216" i="2"/>
  <c r="CP216" i="2"/>
  <c r="CO216" i="2"/>
  <c r="CN216" i="2"/>
  <c r="CM216" i="2"/>
  <c r="CL216" i="2"/>
  <c r="CK216" i="2"/>
  <c r="CJ216" i="2"/>
  <c r="CI216" i="2"/>
  <c r="CH216" i="2"/>
  <c r="CG216" i="2"/>
  <c r="CF216" i="2"/>
  <c r="CE216" i="2"/>
  <c r="CD216" i="2"/>
  <c r="CC216" i="2"/>
  <c r="CB216" i="2"/>
  <c r="CA216" i="2"/>
  <c r="BZ216" i="2"/>
  <c r="BY216" i="2"/>
  <c r="BX216" i="2"/>
  <c r="BW216" i="2"/>
  <c r="BV216" i="2"/>
  <c r="BU216" i="2"/>
  <c r="BT216" i="2"/>
  <c r="BS216" i="2"/>
  <c r="BR216" i="2"/>
  <c r="BQ216" i="2"/>
  <c r="BP216" i="2"/>
  <c r="BO216" i="2"/>
  <c r="BN216" i="2"/>
  <c r="BM216" i="2"/>
  <c r="BL216" i="2"/>
  <c r="BK216" i="2"/>
  <c r="BJ216" i="2"/>
  <c r="BI216" i="2"/>
  <c r="BH216" i="2"/>
  <c r="BG216" i="2"/>
  <c r="BF216" i="2"/>
  <c r="CQ215" i="2"/>
  <c r="CP215" i="2"/>
  <c r="CO215" i="2"/>
  <c r="CN215" i="2"/>
  <c r="CM215" i="2"/>
  <c r="CL215" i="2"/>
  <c r="CK215" i="2"/>
  <c r="CJ215" i="2"/>
  <c r="CI215" i="2"/>
  <c r="CH215" i="2"/>
  <c r="CG215" i="2"/>
  <c r="CF215" i="2"/>
  <c r="CE215" i="2"/>
  <c r="CD215" i="2"/>
  <c r="CC215" i="2"/>
  <c r="CB215" i="2"/>
  <c r="CA215" i="2"/>
  <c r="BZ215" i="2"/>
  <c r="BY215" i="2"/>
  <c r="BX215" i="2"/>
  <c r="BW215" i="2"/>
  <c r="BV215" i="2"/>
  <c r="BU215" i="2"/>
  <c r="BT215" i="2"/>
  <c r="BS215" i="2"/>
  <c r="BR215" i="2"/>
  <c r="BQ215" i="2"/>
  <c r="BP215" i="2"/>
  <c r="BO215" i="2"/>
  <c r="BN215" i="2"/>
  <c r="BM215" i="2"/>
  <c r="BL215" i="2"/>
  <c r="BK215" i="2"/>
  <c r="BJ215" i="2"/>
  <c r="BI215" i="2"/>
  <c r="BH215" i="2"/>
  <c r="BG215" i="2"/>
  <c r="BF215" i="2"/>
  <c r="CQ214" i="2"/>
  <c r="CP214" i="2"/>
  <c r="CO214" i="2"/>
  <c r="CN214" i="2"/>
  <c r="CM214" i="2"/>
  <c r="CL214" i="2"/>
  <c r="CK214" i="2"/>
  <c r="CJ214" i="2"/>
  <c r="CI214" i="2"/>
  <c r="CH214" i="2"/>
  <c r="CG214" i="2"/>
  <c r="CF214" i="2"/>
  <c r="CE214" i="2"/>
  <c r="CD214" i="2"/>
  <c r="CC214" i="2"/>
  <c r="CB214" i="2"/>
  <c r="CA214" i="2"/>
  <c r="BZ214" i="2"/>
  <c r="BY214" i="2"/>
  <c r="BX214" i="2"/>
  <c r="BW214" i="2"/>
  <c r="BV214" i="2"/>
  <c r="BU214" i="2"/>
  <c r="BT214" i="2"/>
  <c r="BS214" i="2"/>
  <c r="BR214" i="2"/>
  <c r="BQ214" i="2"/>
  <c r="BP214" i="2"/>
  <c r="BO214" i="2"/>
  <c r="BN214" i="2"/>
  <c r="BM214" i="2"/>
  <c r="BL214" i="2"/>
  <c r="BK214" i="2"/>
  <c r="BJ214" i="2"/>
  <c r="BI214" i="2"/>
  <c r="BH214" i="2"/>
  <c r="BG214" i="2"/>
  <c r="BF214" i="2"/>
  <c r="CQ213" i="2"/>
  <c r="CP213" i="2"/>
  <c r="CO213" i="2"/>
  <c r="CN213" i="2"/>
  <c r="CM213" i="2"/>
  <c r="CL213" i="2"/>
  <c r="CK213" i="2"/>
  <c r="CJ213" i="2"/>
  <c r="CI213" i="2"/>
  <c r="CH213" i="2"/>
  <c r="CG213" i="2"/>
  <c r="CF213" i="2"/>
  <c r="CE213" i="2"/>
  <c r="CD213" i="2"/>
  <c r="CC213" i="2"/>
  <c r="CB213" i="2"/>
  <c r="CA213" i="2"/>
  <c r="BZ213" i="2"/>
  <c r="BY213" i="2"/>
  <c r="BX213" i="2"/>
  <c r="BW213" i="2"/>
  <c r="BV213" i="2"/>
  <c r="BU213" i="2"/>
  <c r="BT213" i="2"/>
  <c r="BS213" i="2"/>
  <c r="BR213" i="2"/>
  <c r="BQ213" i="2"/>
  <c r="BP213" i="2"/>
  <c r="BO213" i="2"/>
  <c r="BN213" i="2"/>
  <c r="BM213" i="2"/>
  <c r="BL213" i="2"/>
  <c r="BK213" i="2"/>
  <c r="BJ213" i="2"/>
  <c r="BI213" i="2"/>
  <c r="BH213" i="2"/>
  <c r="BG213" i="2"/>
  <c r="BF213" i="2"/>
  <c r="CQ212" i="2"/>
  <c r="CP212" i="2"/>
  <c r="CO212" i="2"/>
  <c r="CN212" i="2"/>
  <c r="CM212" i="2"/>
  <c r="CL212" i="2"/>
  <c r="CK212" i="2"/>
  <c r="CJ212" i="2"/>
  <c r="CI212" i="2"/>
  <c r="CH212" i="2"/>
  <c r="CG212" i="2"/>
  <c r="CF212" i="2"/>
  <c r="CE212" i="2"/>
  <c r="CD212" i="2"/>
  <c r="CC212" i="2"/>
  <c r="CB212" i="2"/>
  <c r="CA212" i="2"/>
  <c r="BZ212" i="2"/>
  <c r="BY212" i="2"/>
  <c r="BX212" i="2"/>
  <c r="BW212" i="2"/>
  <c r="BV212" i="2"/>
  <c r="BU212" i="2"/>
  <c r="BT212" i="2"/>
  <c r="BS212" i="2"/>
  <c r="BR212" i="2"/>
  <c r="BQ212" i="2"/>
  <c r="BP212" i="2"/>
  <c r="BO212" i="2"/>
  <c r="BN212" i="2"/>
  <c r="BM212" i="2"/>
  <c r="BL212" i="2"/>
  <c r="BK212" i="2"/>
  <c r="BJ212" i="2"/>
  <c r="BI212" i="2"/>
  <c r="BH212" i="2"/>
  <c r="BG212" i="2"/>
  <c r="BF212" i="2"/>
  <c r="CQ211" i="2"/>
  <c r="CP211" i="2"/>
  <c r="CO211" i="2"/>
  <c r="CN211" i="2"/>
  <c r="CM211" i="2"/>
  <c r="CL211" i="2"/>
  <c r="CK211" i="2"/>
  <c r="CJ211" i="2"/>
  <c r="CI211" i="2"/>
  <c r="CH211" i="2"/>
  <c r="CG211" i="2"/>
  <c r="CF211" i="2"/>
  <c r="CE211" i="2"/>
  <c r="CD211" i="2"/>
  <c r="CC211" i="2"/>
  <c r="CB211" i="2"/>
  <c r="CA211" i="2"/>
  <c r="BZ211" i="2"/>
  <c r="BY211" i="2"/>
  <c r="BX211" i="2"/>
  <c r="BW211" i="2"/>
  <c r="BV211" i="2"/>
  <c r="BU211" i="2"/>
  <c r="BT211" i="2"/>
  <c r="BS211" i="2"/>
  <c r="BR211" i="2"/>
  <c r="BQ211" i="2"/>
  <c r="BP211" i="2"/>
  <c r="BO211" i="2"/>
  <c r="BN211" i="2"/>
  <c r="BM211" i="2"/>
  <c r="BL211" i="2"/>
  <c r="BK211" i="2"/>
  <c r="BJ211" i="2"/>
  <c r="BI211" i="2"/>
  <c r="BH211" i="2"/>
  <c r="BG211" i="2"/>
  <c r="BF211" i="2"/>
  <c r="CQ210" i="2"/>
  <c r="CP210" i="2"/>
  <c r="CO210" i="2"/>
  <c r="CN210" i="2"/>
  <c r="CM210" i="2"/>
  <c r="CL210" i="2"/>
  <c r="CK210" i="2"/>
  <c r="CJ210" i="2"/>
  <c r="CI210" i="2"/>
  <c r="CH210" i="2"/>
  <c r="CG210" i="2"/>
  <c r="CF210" i="2"/>
  <c r="CE210" i="2"/>
  <c r="CD210" i="2"/>
  <c r="CC210" i="2"/>
  <c r="CB210" i="2"/>
  <c r="CA210" i="2"/>
  <c r="BZ210" i="2"/>
  <c r="BY210" i="2"/>
  <c r="BX210" i="2"/>
  <c r="BW210" i="2"/>
  <c r="BV210" i="2"/>
  <c r="BU210" i="2"/>
  <c r="BT210" i="2"/>
  <c r="BS210" i="2"/>
  <c r="BR210" i="2"/>
  <c r="BQ210" i="2"/>
  <c r="BP210" i="2"/>
  <c r="BO210" i="2"/>
  <c r="BN210" i="2"/>
  <c r="BM210" i="2"/>
  <c r="BL210" i="2"/>
  <c r="BK210" i="2"/>
  <c r="BJ210" i="2"/>
  <c r="BI210" i="2"/>
  <c r="BH210" i="2"/>
  <c r="BG210" i="2"/>
  <c r="BF210" i="2"/>
  <c r="CQ209" i="2"/>
  <c r="CP209" i="2"/>
  <c r="CO209" i="2"/>
  <c r="CN209" i="2"/>
  <c r="CM209" i="2"/>
  <c r="CL209" i="2"/>
  <c r="CK209" i="2"/>
  <c r="CJ209" i="2"/>
  <c r="CI209" i="2"/>
  <c r="CH209" i="2"/>
  <c r="CG209" i="2"/>
  <c r="CF209" i="2"/>
  <c r="CE209" i="2"/>
  <c r="CD209" i="2"/>
  <c r="CC209" i="2"/>
  <c r="CB209" i="2"/>
  <c r="CA209" i="2"/>
  <c r="BZ209" i="2"/>
  <c r="BY209" i="2"/>
  <c r="BX209" i="2"/>
  <c r="BW209" i="2"/>
  <c r="BV209" i="2"/>
  <c r="BU209" i="2"/>
  <c r="BT209" i="2"/>
  <c r="BS209" i="2"/>
  <c r="BR209" i="2"/>
  <c r="BQ209" i="2"/>
  <c r="BP209" i="2"/>
  <c r="BO209" i="2"/>
  <c r="BN209" i="2"/>
  <c r="BM209" i="2"/>
  <c r="BL209" i="2"/>
  <c r="BK209" i="2"/>
  <c r="BJ209" i="2"/>
  <c r="BI209" i="2"/>
  <c r="BH209" i="2"/>
  <c r="BG209" i="2"/>
  <c r="BF209" i="2"/>
  <c r="CQ208" i="2"/>
  <c r="CP208" i="2"/>
  <c r="CO208" i="2"/>
  <c r="CN208" i="2"/>
  <c r="CM208" i="2"/>
  <c r="CL208" i="2"/>
  <c r="CK208" i="2"/>
  <c r="CJ208" i="2"/>
  <c r="CI208" i="2"/>
  <c r="CH208" i="2"/>
  <c r="CG208" i="2"/>
  <c r="CF208" i="2"/>
  <c r="CE208" i="2"/>
  <c r="CD208" i="2"/>
  <c r="CC208" i="2"/>
  <c r="CB208" i="2"/>
  <c r="CA208" i="2"/>
  <c r="BZ208" i="2"/>
  <c r="BY208" i="2"/>
  <c r="BX208" i="2"/>
  <c r="BW208" i="2"/>
  <c r="BV208" i="2"/>
  <c r="BU208" i="2"/>
  <c r="BT208" i="2"/>
  <c r="BS208" i="2"/>
  <c r="BR208" i="2"/>
  <c r="BQ208" i="2"/>
  <c r="BP208" i="2"/>
  <c r="BO208" i="2"/>
  <c r="BN208" i="2"/>
  <c r="BM208" i="2"/>
  <c r="BL208" i="2"/>
  <c r="BK208" i="2"/>
  <c r="BJ208" i="2"/>
  <c r="BI208" i="2"/>
  <c r="BH208" i="2"/>
  <c r="BG208" i="2"/>
  <c r="BF208" i="2"/>
  <c r="CQ207" i="2"/>
  <c r="CP207" i="2"/>
  <c r="CO207" i="2"/>
  <c r="CN207" i="2"/>
  <c r="CM207" i="2"/>
  <c r="CL207" i="2"/>
  <c r="CK207" i="2"/>
  <c r="CJ207" i="2"/>
  <c r="CI207" i="2"/>
  <c r="CH207" i="2"/>
  <c r="CG207" i="2"/>
  <c r="CF207" i="2"/>
  <c r="CE207" i="2"/>
  <c r="CD207" i="2"/>
  <c r="CC207" i="2"/>
  <c r="CB207" i="2"/>
  <c r="CA207" i="2"/>
  <c r="BZ207" i="2"/>
  <c r="BY207" i="2"/>
  <c r="BX207" i="2"/>
  <c r="BW207" i="2"/>
  <c r="BV207" i="2"/>
  <c r="BU207" i="2"/>
  <c r="BT207" i="2"/>
  <c r="BS207" i="2"/>
  <c r="BR207" i="2"/>
  <c r="BQ207" i="2"/>
  <c r="BP207" i="2"/>
  <c r="BO207" i="2"/>
  <c r="BN207" i="2"/>
  <c r="BM207" i="2"/>
  <c r="BL207" i="2"/>
  <c r="BK207" i="2"/>
  <c r="BJ207" i="2"/>
  <c r="BI207" i="2"/>
  <c r="BH207" i="2"/>
  <c r="BG207" i="2"/>
  <c r="BF207" i="2"/>
  <c r="CQ206" i="2"/>
  <c r="CP206" i="2"/>
  <c r="CO206" i="2"/>
  <c r="CN206" i="2"/>
  <c r="CM206" i="2"/>
  <c r="CL206" i="2"/>
  <c r="CK206" i="2"/>
  <c r="CJ206" i="2"/>
  <c r="CI206" i="2"/>
  <c r="CH206" i="2"/>
  <c r="CG206" i="2"/>
  <c r="CF206" i="2"/>
  <c r="CE206" i="2"/>
  <c r="CD206" i="2"/>
  <c r="CC206" i="2"/>
  <c r="CB206" i="2"/>
  <c r="CA206" i="2"/>
  <c r="BZ206" i="2"/>
  <c r="BY206" i="2"/>
  <c r="BX206" i="2"/>
  <c r="BW206" i="2"/>
  <c r="BV206" i="2"/>
  <c r="BU206" i="2"/>
  <c r="BT206" i="2"/>
  <c r="BS206" i="2"/>
  <c r="BR206" i="2"/>
  <c r="BQ206" i="2"/>
  <c r="BP206" i="2"/>
  <c r="BO206" i="2"/>
  <c r="BN206" i="2"/>
  <c r="BM206" i="2"/>
  <c r="BL206" i="2"/>
  <c r="BK206" i="2"/>
  <c r="BJ206" i="2"/>
  <c r="BI206" i="2"/>
  <c r="BH206" i="2"/>
  <c r="BG206" i="2"/>
  <c r="BF206" i="2"/>
  <c r="CQ205" i="2"/>
  <c r="CP205" i="2"/>
  <c r="CO205" i="2"/>
  <c r="CN205" i="2"/>
  <c r="CM205" i="2"/>
  <c r="CL205" i="2"/>
  <c r="CK205" i="2"/>
  <c r="CJ205" i="2"/>
  <c r="CI205" i="2"/>
  <c r="CH205" i="2"/>
  <c r="CG205" i="2"/>
  <c r="CF205" i="2"/>
  <c r="CE205" i="2"/>
  <c r="CD205" i="2"/>
  <c r="CC205" i="2"/>
  <c r="CB205" i="2"/>
  <c r="CA205" i="2"/>
  <c r="BZ205" i="2"/>
  <c r="BY205" i="2"/>
  <c r="BX205" i="2"/>
  <c r="BW205" i="2"/>
  <c r="BV205" i="2"/>
  <c r="BU205" i="2"/>
  <c r="BT205" i="2"/>
  <c r="BS205" i="2"/>
  <c r="BR205" i="2"/>
  <c r="BQ205" i="2"/>
  <c r="BP205" i="2"/>
  <c r="BO205" i="2"/>
  <c r="BN205" i="2"/>
  <c r="BM205" i="2"/>
  <c r="BL205" i="2"/>
  <c r="BK205" i="2"/>
  <c r="BJ205" i="2"/>
  <c r="BI205" i="2"/>
  <c r="BH205" i="2"/>
  <c r="BG205" i="2"/>
  <c r="BF205" i="2"/>
  <c r="CQ204" i="2"/>
  <c r="CP204" i="2"/>
  <c r="CO204" i="2"/>
  <c r="CN204" i="2"/>
  <c r="CM204" i="2"/>
  <c r="CL204" i="2"/>
  <c r="CK204" i="2"/>
  <c r="CJ204" i="2"/>
  <c r="CI204" i="2"/>
  <c r="CH204" i="2"/>
  <c r="CG204" i="2"/>
  <c r="CF204" i="2"/>
  <c r="CE204" i="2"/>
  <c r="CD204" i="2"/>
  <c r="CC204" i="2"/>
  <c r="CB204" i="2"/>
  <c r="CA204" i="2"/>
  <c r="BZ204" i="2"/>
  <c r="BY204" i="2"/>
  <c r="BX204" i="2"/>
  <c r="BW204" i="2"/>
  <c r="BV204" i="2"/>
  <c r="BU204" i="2"/>
  <c r="BT204" i="2"/>
  <c r="BS204" i="2"/>
  <c r="BR204" i="2"/>
  <c r="BQ204" i="2"/>
  <c r="BP204" i="2"/>
  <c r="BO204" i="2"/>
  <c r="BN204" i="2"/>
  <c r="BM204" i="2"/>
  <c r="BL204" i="2"/>
  <c r="BK204" i="2"/>
  <c r="BJ204" i="2"/>
  <c r="BI204" i="2"/>
  <c r="BH204" i="2"/>
  <c r="BG204" i="2"/>
  <c r="BF204" i="2"/>
  <c r="CQ203" i="2"/>
  <c r="CP203" i="2"/>
  <c r="CO203" i="2"/>
  <c r="CN203" i="2"/>
  <c r="CM203" i="2"/>
  <c r="CL203" i="2"/>
  <c r="CK203" i="2"/>
  <c r="CJ203" i="2"/>
  <c r="CI203" i="2"/>
  <c r="CH203" i="2"/>
  <c r="CG203" i="2"/>
  <c r="CF203" i="2"/>
  <c r="CE203" i="2"/>
  <c r="CD203" i="2"/>
  <c r="CC203" i="2"/>
  <c r="CB203" i="2"/>
  <c r="CA203" i="2"/>
  <c r="BZ203" i="2"/>
  <c r="BY203" i="2"/>
  <c r="BX203" i="2"/>
  <c r="BW203" i="2"/>
  <c r="BV203" i="2"/>
  <c r="BU203" i="2"/>
  <c r="BT203" i="2"/>
  <c r="BS203" i="2"/>
  <c r="BR203" i="2"/>
  <c r="BQ203" i="2"/>
  <c r="BP203" i="2"/>
  <c r="BO203" i="2"/>
  <c r="BN203" i="2"/>
  <c r="BM203" i="2"/>
  <c r="BL203" i="2"/>
  <c r="BK203" i="2"/>
  <c r="BJ203" i="2"/>
  <c r="BI203" i="2"/>
  <c r="BH203" i="2"/>
  <c r="BG203" i="2"/>
  <c r="BF203" i="2"/>
  <c r="CQ202" i="2"/>
  <c r="CP202" i="2"/>
  <c r="CO202" i="2"/>
  <c r="CN202" i="2"/>
  <c r="CM202" i="2"/>
  <c r="CL202" i="2"/>
  <c r="CK202" i="2"/>
  <c r="CJ202" i="2"/>
  <c r="CI202" i="2"/>
  <c r="CH202" i="2"/>
  <c r="CG202" i="2"/>
  <c r="CF202" i="2"/>
  <c r="CE202" i="2"/>
  <c r="CD202" i="2"/>
  <c r="CC202" i="2"/>
  <c r="CB202" i="2"/>
  <c r="CA202" i="2"/>
  <c r="BZ202" i="2"/>
  <c r="BY202" i="2"/>
  <c r="BX202" i="2"/>
  <c r="BW202" i="2"/>
  <c r="BV202" i="2"/>
  <c r="BU202" i="2"/>
  <c r="BT202" i="2"/>
  <c r="BS202" i="2"/>
  <c r="BR202" i="2"/>
  <c r="BQ202" i="2"/>
  <c r="BP202" i="2"/>
  <c r="BO202" i="2"/>
  <c r="BN202" i="2"/>
  <c r="BM202" i="2"/>
  <c r="BL202" i="2"/>
  <c r="BK202" i="2"/>
  <c r="BJ202" i="2"/>
  <c r="BI202" i="2"/>
  <c r="BH202" i="2"/>
  <c r="BG202" i="2"/>
  <c r="BF202" i="2"/>
  <c r="CQ201" i="2"/>
  <c r="CP201" i="2"/>
  <c r="CO201" i="2"/>
  <c r="CN201" i="2"/>
  <c r="CM201" i="2"/>
  <c r="CL201" i="2"/>
  <c r="CK201" i="2"/>
  <c r="CJ201" i="2"/>
  <c r="CI201" i="2"/>
  <c r="CH201" i="2"/>
  <c r="CG201" i="2"/>
  <c r="CF201" i="2"/>
  <c r="CE201" i="2"/>
  <c r="CD201" i="2"/>
  <c r="CC201" i="2"/>
  <c r="CB201" i="2"/>
  <c r="CA201" i="2"/>
  <c r="BZ201" i="2"/>
  <c r="BY201" i="2"/>
  <c r="BX201" i="2"/>
  <c r="BW201" i="2"/>
  <c r="BV201" i="2"/>
  <c r="BU201" i="2"/>
  <c r="BT201" i="2"/>
  <c r="BS201" i="2"/>
  <c r="BR201" i="2"/>
  <c r="BQ201" i="2"/>
  <c r="BP201" i="2"/>
  <c r="BO201" i="2"/>
  <c r="BN201" i="2"/>
  <c r="BM201" i="2"/>
  <c r="BL201" i="2"/>
  <c r="BK201" i="2"/>
  <c r="BJ201" i="2"/>
  <c r="BI201" i="2"/>
  <c r="BH201" i="2"/>
  <c r="BG201" i="2"/>
  <c r="BF201" i="2"/>
  <c r="CQ200" i="2"/>
  <c r="CP200" i="2"/>
  <c r="CO200" i="2"/>
  <c r="CN200" i="2"/>
  <c r="CM200" i="2"/>
  <c r="CL200" i="2"/>
  <c r="CK200" i="2"/>
  <c r="CJ200" i="2"/>
  <c r="CI200" i="2"/>
  <c r="CH200" i="2"/>
  <c r="CG200" i="2"/>
  <c r="CF200" i="2"/>
  <c r="CE200" i="2"/>
  <c r="CD200" i="2"/>
  <c r="CC200" i="2"/>
  <c r="CB200" i="2"/>
  <c r="CA200" i="2"/>
  <c r="BZ200" i="2"/>
  <c r="BY200" i="2"/>
  <c r="BX200" i="2"/>
  <c r="BW200" i="2"/>
  <c r="BV200" i="2"/>
  <c r="BU200" i="2"/>
  <c r="BT200" i="2"/>
  <c r="BS200" i="2"/>
  <c r="BR200" i="2"/>
  <c r="BQ200" i="2"/>
  <c r="BP200" i="2"/>
  <c r="BO200" i="2"/>
  <c r="BN200" i="2"/>
  <c r="BM200" i="2"/>
  <c r="BL200" i="2"/>
  <c r="BK200" i="2"/>
  <c r="BJ200" i="2"/>
  <c r="BI200" i="2"/>
  <c r="BH200" i="2"/>
  <c r="BG200" i="2"/>
  <c r="BF200" i="2"/>
  <c r="CQ199" i="2"/>
  <c r="CP199" i="2"/>
  <c r="CO199" i="2"/>
  <c r="CN199" i="2"/>
  <c r="CM199" i="2"/>
  <c r="CL199" i="2"/>
  <c r="CK199" i="2"/>
  <c r="CJ199" i="2"/>
  <c r="CI199" i="2"/>
  <c r="CH199" i="2"/>
  <c r="CG199" i="2"/>
  <c r="CF199" i="2"/>
  <c r="CE199" i="2"/>
  <c r="CD199" i="2"/>
  <c r="CC199" i="2"/>
  <c r="CB199" i="2"/>
  <c r="CA199" i="2"/>
  <c r="BZ199" i="2"/>
  <c r="BY199" i="2"/>
  <c r="BX199" i="2"/>
  <c r="BW199" i="2"/>
  <c r="BV199" i="2"/>
  <c r="BU199" i="2"/>
  <c r="BT199" i="2"/>
  <c r="BS199" i="2"/>
  <c r="BR199" i="2"/>
  <c r="BQ199" i="2"/>
  <c r="BP199" i="2"/>
  <c r="BO199" i="2"/>
  <c r="BN199" i="2"/>
  <c r="BM199" i="2"/>
  <c r="BL199" i="2"/>
  <c r="BK199" i="2"/>
  <c r="BJ199" i="2"/>
  <c r="BI199" i="2"/>
  <c r="BH199" i="2"/>
  <c r="BG199" i="2"/>
  <c r="BF199" i="2"/>
  <c r="CQ198" i="2"/>
  <c r="CP198" i="2"/>
  <c r="CO198" i="2"/>
  <c r="CN198" i="2"/>
  <c r="CM198" i="2"/>
  <c r="CL198" i="2"/>
  <c r="CK198" i="2"/>
  <c r="CJ198" i="2"/>
  <c r="CI198" i="2"/>
  <c r="CH198" i="2"/>
  <c r="CG198" i="2"/>
  <c r="CF198" i="2"/>
  <c r="CE198" i="2"/>
  <c r="CD198" i="2"/>
  <c r="CC198" i="2"/>
  <c r="CB198" i="2"/>
  <c r="CA198" i="2"/>
  <c r="BZ198" i="2"/>
  <c r="BY198" i="2"/>
  <c r="BX198" i="2"/>
  <c r="BW198" i="2"/>
  <c r="BV198" i="2"/>
  <c r="BU198" i="2"/>
  <c r="BT198" i="2"/>
  <c r="BS198" i="2"/>
  <c r="BR198" i="2"/>
  <c r="BQ198" i="2"/>
  <c r="BP198" i="2"/>
  <c r="BO198" i="2"/>
  <c r="BN198" i="2"/>
  <c r="BM198" i="2"/>
  <c r="BL198" i="2"/>
  <c r="BK198" i="2"/>
  <c r="BJ198" i="2"/>
  <c r="BI198" i="2"/>
  <c r="BH198" i="2"/>
  <c r="BG198" i="2"/>
  <c r="BF198" i="2"/>
  <c r="CQ197" i="2"/>
  <c r="CP197" i="2"/>
  <c r="CO197" i="2"/>
  <c r="CN197" i="2"/>
  <c r="CM197" i="2"/>
  <c r="CL197" i="2"/>
  <c r="CK197" i="2"/>
  <c r="CJ197" i="2"/>
  <c r="CI197" i="2"/>
  <c r="CH197" i="2"/>
  <c r="CG197" i="2"/>
  <c r="CF197" i="2"/>
  <c r="CE197" i="2"/>
  <c r="CD197" i="2"/>
  <c r="CC197" i="2"/>
  <c r="CB197" i="2"/>
  <c r="CA197" i="2"/>
  <c r="BZ197" i="2"/>
  <c r="BY197" i="2"/>
  <c r="BX197" i="2"/>
  <c r="BW197" i="2"/>
  <c r="BV197" i="2"/>
  <c r="BU197" i="2"/>
  <c r="BT197" i="2"/>
  <c r="BS197" i="2"/>
  <c r="BR197" i="2"/>
  <c r="BQ197" i="2"/>
  <c r="BP197" i="2"/>
  <c r="BO197" i="2"/>
  <c r="BN197" i="2"/>
  <c r="BM197" i="2"/>
  <c r="BL197" i="2"/>
  <c r="BK197" i="2"/>
  <c r="BJ197" i="2"/>
  <c r="BI197" i="2"/>
  <c r="BH197" i="2"/>
  <c r="BG197" i="2"/>
  <c r="BF197" i="2"/>
  <c r="CQ196" i="2"/>
  <c r="CP196" i="2"/>
  <c r="CO196" i="2"/>
  <c r="CN196" i="2"/>
  <c r="CM196" i="2"/>
  <c r="CL196" i="2"/>
  <c r="CK196" i="2"/>
  <c r="CJ196" i="2"/>
  <c r="CI196" i="2"/>
  <c r="CH196" i="2"/>
  <c r="CG196" i="2"/>
  <c r="CF196" i="2"/>
  <c r="CE196" i="2"/>
  <c r="CD196" i="2"/>
  <c r="CC196" i="2"/>
  <c r="CB196" i="2"/>
  <c r="CA196" i="2"/>
  <c r="BZ196" i="2"/>
  <c r="BY196" i="2"/>
  <c r="BX196" i="2"/>
  <c r="BW196" i="2"/>
  <c r="BV196" i="2"/>
  <c r="BU196" i="2"/>
  <c r="BT196" i="2"/>
  <c r="BS196" i="2"/>
  <c r="BR196" i="2"/>
  <c r="BQ196" i="2"/>
  <c r="BP196" i="2"/>
  <c r="BO196" i="2"/>
  <c r="BN196" i="2"/>
  <c r="BM196" i="2"/>
  <c r="BL196" i="2"/>
  <c r="BK196" i="2"/>
  <c r="BJ196" i="2"/>
  <c r="BI196" i="2"/>
  <c r="BH196" i="2"/>
  <c r="BG196" i="2"/>
  <c r="BF196" i="2"/>
  <c r="CQ195" i="2"/>
  <c r="CP195" i="2"/>
  <c r="CO195" i="2"/>
  <c r="CN195" i="2"/>
  <c r="CM195" i="2"/>
  <c r="CL195" i="2"/>
  <c r="CK195" i="2"/>
  <c r="CJ195" i="2"/>
  <c r="CI195" i="2"/>
  <c r="CH195" i="2"/>
  <c r="CG195" i="2"/>
  <c r="CF195" i="2"/>
  <c r="CE195" i="2"/>
  <c r="CD195" i="2"/>
  <c r="CC195" i="2"/>
  <c r="CB195" i="2"/>
  <c r="CA195" i="2"/>
  <c r="BZ195" i="2"/>
  <c r="BY195" i="2"/>
  <c r="BX195" i="2"/>
  <c r="BW195" i="2"/>
  <c r="BV195" i="2"/>
  <c r="BU195" i="2"/>
  <c r="BT195" i="2"/>
  <c r="BS195" i="2"/>
  <c r="BR195" i="2"/>
  <c r="BQ195" i="2"/>
  <c r="BP195" i="2"/>
  <c r="BO195" i="2"/>
  <c r="BN195" i="2"/>
  <c r="BM195" i="2"/>
  <c r="BL195" i="2"/>
  <c r="BK195" i="2"/>
  <c r="BJ195" i="2"/>
  <c r="BI195" i="2"/>
  <c r="BH195" i="2"/>
  <c r="BG195" i="2"/>
  <c r="BF195" i="2"/>
  <c r="CQ194" i="2"/>
  <c r="CP194" i="2"/>
  <c r="CO194" i="2"/>
  <c r="CN194" i="2"/>
  <c r="CM194" i="2"/>
  <c r="CL194" i="2"/>
  <c r="CK194" i="2"/>
  <c r="CJ194" i="2"/>
  <c r="CI194" i="2"/>
  <c r="CH194" i="2"/>
  <c r="CG194" i="2"/>
  <c r="CF194" i="2"/>
  <c r="CE194" i="2"/>
  <c r="CD194" i="2"/>
  <c r="CC194" i="2"/>
  <c r="CB194" i="2"/>
  <c r="CA194" i="2"/>
  <c r="BZ194" i="2"/>
  <c r="BY194" i="2"/>
  <c r="BX194" i="2"/>
  <c r="BW194" i="2"/>
  <c r="BV194" i="2"/>
  <c r="BU194" i="2"/>
  <c r="BT194" i="2"/>
  <c r="BS194" i="2"/>
  <c r="BR194" i="2"/>
  <c r="BQ194" i="2"/>
  <c r="BP194" i="2"/>
  <c r="BO194" i="2"/>
  <c r="BN194" i="2"/>
  <c r="BM194" i="2"/>
  <c r="BL194" i="2"/>
  <c r="BK194" i="2"/>
  <c r="BJ194" i="2"/>
  <c r="BI194" i="2"/>
  <c r="BH194" i="2"/>
  <c r="BG194" i="2"/>
  <c r="BF194" i="2"/>
  <c r="CQ193" i="2"/>
  <c r="CP193" i="2"/>
  <c r="CO193" i="2"/>
  <c r="CN193" i="2"/>
  <c r="CM193" i="2"/>
  <c r="CL193" i="2"/>
  <c r="CK193" i="2"/>
  <c r="CJ193" i="2"/>
  <c r="CI193" i="2"/>
  <c r="CH193" i="2"/>
  <c r="CG193" i="2"/>
  <c r="CF193" i="2"/>
  <c r="CE193" i="2"/>
  <c r="CD193" i="2"/>
  <c r="CC193" i="2"/>
  <c r="CB193" i="2"/>
  <c r="CA193" i="2"/>
  <c r="BZ193" i="2"/>
  <c r="BY193" i="2"/>
  <c r="BX193" i="2"/>
  <c r="BW193" i="2"/>
  <c r="BV193" i="2"/>
  <c r="BU193" i="2"/>
  <c r="BT193" i="2"/>
  <c r="BS193" i="2"/>
  <c r="BR193" i="2"/>
  <c r="BQ193" i="2"/>
  <c r="BP193" i="2"/>
  <c r="BO193" i="2"/>
  <c r="BN193" i="2"/>
  <c r="BM193" i="2"/>
  <c r="BL193" i="2"/>
  <c r="BK193" i="2"/>
  <c r="BJ193" i="2"/>
  <c r="BI193" i="2"/>
  <c r="BH193" i="2"/>
  <c r="BG193" i="2"/>
  <c r="BF193" i="2"/>
  <c r="CQ192" i="2"/>
  <c r="CP192" i="2"/>
  <c r="CO192" i="2"/>
  <c r="CN192" i="2"/>
  <c r="CM192" i="2"/>
  <c r="CL192" i="2"/>
  <c r="CK192" i="2"/>
  <c r="CJ192" i="2"/>
  <c r="CI192" i="2"/>
  <c r="CH192" i="2"/>
  <c r="CG192" i="2"/>
  <c r="CF192" i="2"/>
  <c r="CE192" i="2"/>
  <c r="CD192" i="2"/>
  <c r="CC192" i="2"/>
  <c r="CB192" i="2"/>
  <c r="CA192" i="2"/>
  <c r="BZ192" i="2"/>
  <c r="BY192" i="2"/>
  <c r="BX192" i="2"/>
  <c r="BW192" i="2"/>
  <c r="BV192" i="2"/>
  <c r="BU192" i="2"/>
  <c r="BT192" i="2"/>
  <c r="BS192" i="2"/>
  <c r="BR192" i="2"/>
  <c r="BQ192" i="2"/>
  <c r="BP192" i="2"/>
  <c r="BO192" i="2"/>
  <c r="BN192" i="2"/>
  <c r="BM192" i="2"/>
  <c r="BL192" i="2"/>
  <c r="BK192" i="2"/>
  <c r="BJ192" i="2"/>
  <c r="BI192" i="2"/>
  <c r="BH192" i="2"/>
  <c r="BG192" i="2"/>
  <c r="BF192" i="2"/>
  <c r="CQ191" i="2"/>
  <c r="CP191" i="2"/>
  <c r="CO191" i="2"/>
  <c r="CN191" i="2"/>
  <c r="CM191" i="2"/>
  <c r="CL191" i="2"/>
  <c r="CK191" i="2"/>
  <c r="CJ191" i="2"/>
  <c r="CI191" i="2"/>
  <c r="CH191" i="2"/>
  <c r="CG191" i="2"/>
  <c r="CF191" i="2"/>
  <c r="CE191" i="2"/>
  <c r="CD191" i="2"/>
  <c r="CC191" i="2"/>
  <c r="CB191" i="2"/>
  <c r="CA191" i="2"/>
  <c r="BZ191" i="2"/>
  <c r="BY191" i="2"/>
  <c r="BX191" i="2"/>
  <c r="BW191" i="2"/>
  <c r="BV191" i="2"/>
  <c r="BU191" i="2"/>
  <c r="BT191" i="2"/>
  <c r="BS191" i="2"/>
  <c r="BR191" i="2"/>
  <c r="BQ191" i="2"/>
  <c r="BP191" i="2"/>
  <c r="BO191" i="2"/>
  <c r="BN191" i="2"/>
  <c r="BM191" i="2"/>
  <c r="BL191" i="2"/>
  <c r="BK191" i="2"/>
  <c r="BJ191" i="2"/>
  <c r="BI191" i="2"/>
  <c r="BH191" i="2"/>
  <c r="BG191" i="2"/>
  <c r="BF191" i="2"/>
  <c r="CQ190" i="2"/>
  <c r="CP190" i="2"/>
  <c r="CO190" i="2"/>
  <c r="CN190" i="2"/>
  <c r="CM190" i="2"/>
  <c r="CL190" i="2"/>
  <c r="CK190" i="2"/>
  <c r="CJ190" i="2"/>
  <c r="CI190" i="2"/>
  <c r="CH190" i="2"/>
  <c r="CG190" i="2"/>
  <c r="CF190" i="2"/>
  <c r="CE190" i="2"/>
  <c r="CD190" i="2"/>
  <c r="CC190" i="2"/>
  <c r="CB190" i="2"/>
  <c r="CA190" i="2"/>
  <c r="BZ190" i="2"/>
  <c r="BY190" i="2"/>
  <c r="BX190" i="2"/>
  <c r="BW190" i="2"/>
  <c r="BV190" i="2"/>
  <c r="BU190" i="2"/>
  <c r="BT190" i="2"/>
  <c r="BS190" i="2"/>
  <c r="BR190" i="2"/>
  <c r="BQ190" i="2"/>
  <c r="BP190" i="2"/>
  <c r="BO190" i="2"/>
  <c r="BN190" i="2"/>
  <c r="BM190" i="2"/>
  <c r="BL190" i="2"/>
  <c r="BK190" i="2"/>
  <c r="BJ190" i="2"/>
  <c r="BI190" i="2"/>
  <c r="BH190" i="2"/>
  <c r="BG190" i="2"/>
  <c r="BF190" i="2"/>
  <c r="CQ189" i="2"/>
  <c r="CP189" i="2"/>
  <c r="CO189" i="2"/>
  <c r="CN189" i="2"/>
  <c r="CM189" i="2"/>
  <c r="CL189" i="2"/>
  <c r="CK189" i="2"/>
  <c r="CJ189" i="2"/>
  <c r="CI189" i="2"/>
  <c r="CH189" i="2"/>
  <c r="CG189" i="2"/>
  <c r="CF189" i="2"/>
  <c r="CE189" i="2"/>
  <c r="CD189" i="2"/>
  <c r="CC189" i="2"/>
  <c r="CB189" i="2"/>
  <c r="CA189" i="2"/>
  <c r="BZ189" i="2"/>
  <c r="BY189" i="2"/>
  <c r="BX189" i="2"/>
  <c r="BW189" i="2"/>
  <c r="BV189" i="2"/>
  <c r="BU189" i="2"/>
  <c r="BT189" i="2"/>
  <c r="BS189" i="2"/>
  <c r="BR189" i="2"/>
  <c r="BQ189" i="2"/>
  <c r="BP189" i="2"/>
  <c r="BO189" i="2"/>
  <c r="BN189" i="2"/>
  <c r="BM189" i="2"/>
  <c r="BL189" i="2"/>
  <c r="BK189" i="2"/>
  <c r="BJ189" i="2"/>
  <c r="BI189" i="2"/>
  <c r="BH189" i="2"/>
  <c r="BG189" i="2"/>
  <c r="BF189" i="2"/>
  <c r="CQ188" i="2"/>
  <c r="CP188" i="2"/>
  <c r="CO188" i="2"/>
  <c r="CN188" i="2"/>
  <c r="CM188" i="2"/>
  <c r="CL188" i="2"/>
  <c r="CK188" i="2"/>
  <c r="CJ188" i="2"/>
  <c r="CI188" i="2"/>
  <c r="CH188" i="2"/>
  <c r="CG188" i="2"/>
  <c r="CF188" i="2"/>
  <c r="CE188" i="2"/>
  <c r="CD188" i="2"/>
  <c r="CC188" i="2"/>
  <c r="CB188" i="2"/>
  <c r="CA188" i="2"/>
  <c r="BZ188" i="2"/>
  <c r="BY188" i="2"/>
  <c r="BX188" i="2"/>
  <c r="BW188" i="2"/>
  <c r="BV188" i="2"/>
  <c r="BU188" i="2"/>
  <c r="BT188" i="2"/>
  <c r="BS188" i="2"/>
  <c r="BR188" i="2"/>
  <c r="BQ188" i="2"/>
  <c r="BP188" i="2"/>
  <c r="BO188" i="2"/>
  <c r="BN188" i="2"/>
  <c r="BM188" i="2"/>
  <c r="BL188" i="2"/>
  <c r="BK188" i="2"/>
  <c r="BJ188" i="2"/>
  <c r="BI188" i="2"/>
  <c r="BH188" i="2"/>
  <c r="BG188" i="2"/>
  <c r="BF188" i="2"/>
  <c r="CQ187" i="2"/>
  <c r="CP187" i="2"/>
  <c r="CO187" i="2"/>
  <c r="CN187" i="2"/>
  <c r="CM187" i="2"/>
  <c r="CL187" i="2"/>
  <c r="CK187" i="2"/>
  <c r="CJ187" i="2"/>
  <c r="CI187" i="2"/>
  <c r="CH187" i="2"/>
  <c r="CG187" i="2"/>
  <c r="CF187" i="2"/>
  <c r="CE187" i="2"/>
  <c r="CD187" i="2"/>
  <c r="CC187" i="2"/>
  <c r="CB187" i="2"/>
  <c r="CA187" i="2"/>
  <c r="BZ187" i="2"/>
  <c r="BY187" i="2"/>
  <c r="BX187" i="2"/>
  <c r="BW187" i="2"/>
  <c r="BV187" i="2"/>
  <c r="BU187" i="2"/>
  <c r="BT187" i="2"/>
  <c r="BS187" i="2"/>
  <c r="BR187" i="2"/>
  <c r="BQ187" i="2"/>
  <c r="BP187" i="2"/>
  <c r="BO187" i="2"/>
  <c r="BN187" i="2"/>
  <c r="BM187" i="2"/>
  <c r="BL187" i="2"/>
  <c r="BK187" i="2"/>
  <c r="BJ187" i="2"/>
  <c r="BI187" i="2"/>
  <c r="BH187" i="2"/>
  <c r="BG187" i="2"/>
  <c r="BF187" i="2"/>
  <c r="CQ186" i="2"/>
  <c r="CP186" i="2"/>
  <c r="CO186" i="2"/>
  <c r="CN186" i="2"/>
  <c r="CM186" i="2"/>
  <c r="CL186" i="2"/>
  <c r="CK186" i="2"/>
  <c r="CJ186" i="2"/>
  <c r="CI186" i="2"/>
  <c r="CH186" i="2"/>
  <c r="CG186" i="2"/>
  <c r="CF186" i="2"/>
  <c r="CE186" i="2"/>
  <c r="CD186" i="2"/>
  <c r="CC186" i="2"/>
  <c r="CB186" i="2"/>
  <c r="CA186" i="2"/>
  <c r="BZ186" i="2"/>
  <c r="BY186" i="2"/>
  <c r="BX186" i="2"/>
  <c r="BW186" i="2"/>
  <c r="BV186" i="2"/>
  <c r="BU186" i="2"/>
  <c r="BT186" i="2"/>
  <c r="BS186" i="2"/>
  <c r="BR186" i="2"/>
  <c r="BQ186" i="2"/>
  <c r="BP186" i="2"/>
  <c r="BO186" i="2"/>
  <c r="BN186" i="2"/>
  <c r="BM186" i="2"/>
  <c r="BL186" i="2"/>
  <c r="BK186" i="2"/>
  <c r="BJ186" i="2"/>
  <c r="BI186" i="2"/>
  <c r="BH186" i="2"/>
  <c r="BG186" i="2"/>
  <c r="BF186" i="2"/>
  <c r="CQ185" i="2"/>
  <c r="CP185" i="2"/>
  <c r="CO185" i="2"/>
  <c r="CN185" i="2"/>
  <c r="CM185" i="2"/>
  <c r="CL185" i="2"/>
  <c r="CK185" i="2"/>
  <c r="CJ185" i="2"/>
  <c r="CI185" i="2"/>
  <c r="CH185" i="2"/>
  <c r="CG185" i="2"/>
  <c r="CF185" i="2"/>
  <c r="CE185" i="2"/>
  <c r="CD185" i="2"/>
  <c r="CC185" i="2"/>
  <c r="CB185" i="2"/>
  <c r="CA185" i="2"/>
  <c r="BZ185" i="2"/>
  <c r="BY185" i="2"/>
  <c r="BX185" i="2"/>
  <c r="BW185" i="2"/>
  <c r="BV185" i="2"/>
  <c r="BU185" i="2"/>
  <c r="BT185" i="2"/>
  <c r="BS185" i="2"/>
  <c r="BR185" i="2"/>
  <c r="BQ185" i="2"/>
  <c r="BP185" i="2"/>
  <c r="BO185" i="2"/>
  <c r="BN185" i="2"/>
  <c r="BM185" i="2"/>
  <c r="BL185" i="2"/>
  <c r="BK185" i="2"/>
  <c r="BJ185" i="2"/>
  <c r="BI185" i="2"/>
  <c r="BH185" i="2"/>
  <c r="BG185" i="2"/>
  <c r="BF185" i="2"/>
  <c r="CQ184" i="2"/>
  <c r="CP184" i="2"/>
  <c r="CO184" i="2"/>
  <c r="CN184" i="2"/>
  <c r="CM184" i="2"/>
  <c r="CL184" i="2"/>
  <c r="CK184" i="2"/>
  <c r="CJ184" i="2"/>
  <c r="CI184" i="2"/>
  <c r="CH184" i="2"/>
  <c r="CG184" i="2"/>
  <c r="CF184" i="2"/>
  <c r="CE184" i="2"/>
  <c r="CD184" i="2"/>
  <c r="CC184" i="2"/>
  <c r="CB184" i="2"/>
  <c r="CA184" i="2"/>
  <c r="BZ184" i="2"/>
  <c r="BY184" i="2"/>
  <c r="BX184" i="2"/>
  <c r="BW184" i="2"/>
  <c r="BV184" i="2"/>
  <c r="BU184" i="2"/>
  <c r="BT184" i="2"/>
  <c r="BS184" i="2"/>
  <c r="BR184" i="2"/>
  <c r="BQ184" i="2"/>
  <c r="BP184" i="2"/>
  <c r="BO184" i="2"/>
  <c r="BN184" i="2"/>
  <c r="BM184" i="2"/>
  <c r="BL184" i="2"/>
  <c r="BK184" i="2"/>
  <c r="BJ184" i="2"/>
  <c r="BI184" i="2"/>
  <c r="BH184" i="2"/>
  <c r="BG184" i="2"/>
  <c r="BF184" i="2"/>
  <c r="CQ183" i="2"/>
  <c r="CP183" i="2"/>
  <c r="CO183" i="2"/>
  <c r="CN183" i="2"/>
  <c r="CM183" i="2"/>
  <c r="CL183" i="2"/>
  <c r="CK183" i="2"/>
  <c r="CJ183" i="2"/>
  <c r="CI183" i="2"/>
  <c r="CH183" i="2"/>
  <c r="CG183" i="2"/>
  <c r="CF183" i="2"/>
  <c r="CE183" i="2"/>
  <c r="CD183" i="2"/>
  <c r="CC183" i="2"/>
  <c r="CB183" i="2"/>
  <c r="CA183" i="2"/>
  <c r="BZ183" i="2"/>
  <c r="BY183" i="2"/>
  <c r="BX183" i="2"/>
  <c r="BW183" i="2"/>
  <c r="BV183" i="2"/>
  <c r="BU183" i="2"/>
  <c r="BT183" i="2"/>
  <c r="BS183" i="2"/>
  <c r="BR183" i="2"/>
  <c r="BQ183" i="2"/>
  <c r="BP183" i="2"/>
  <c r="BO183" i="2"/>
  <c r="BN183" i="2"/>
  <c r="BM183" i="2"/>
  <c r="BL183" i="2"/>
  <c r="BK183" i="2"/>
  <c r="BJ183" i="2"/>
  <c r="BI183" i="2"/>
  <c r="BH183" i="2"/>
  <c r="BG183" i="2"/>
  <c r="BF183" i="2"/>
  <c r="CQ182" i="2"/>
  <c r="CP182" i="2"/>
  <c r="CO182" i="2"/>
  <c r="CN182" i="2"/>
  <c r="CM182" i="2"/>
  <c r="CL182" i="2"/>
  <c r="CK182" i="2"/>
  <c r="CJ182" i="2"/>
  <c r="CI182" i="2"/>
  <c r="CH182" i="2"/>
  <c r="CG182" i="2"/>
  <c r="CF182" i="2"/>
  <c r="CE182" i="2"/>
  <c r="CD182" i="2"/>
  <c r="CC182" i="2"/>
  <c r="CB182" i="2"/>
  <c r="CA182" i="2"/>
  <c r="BZ182" i="2"/>
  <c r="BY182" i="2"/>
  <c r="BX182" i="2"/>
  <c r="BW182" i="2"/>
  <c r="BV182" i="2"/>
  <c r="BU182" i="2"/>
  <c r="BT182" i="2"/>
  <c r="BS182" i="2"/>
  <c r="BR182" i="2"/>
  <c r="BQ182" i="2"/>
  <c r="BP182" i="2"/>
  <c r="BO182" i="2"/>
  <c r="BN182" i="2"/>
  <c r="BM182" i="2"/>
  <c r="BL182" i="2"/>
  <c r="BK182" i="2"/>
  <c r="BJ182" i="2"/>
  <c r="BI182" i="2"/>
  <c r="BH182" i="2"/>
  <c r="BG182" i="2"/>
  <c r="BF182" i="2"/>
  <c r="CQ181" i="2"/>
  <c r="CP181" i="2"/>
  <c r="CO181" i="2"/>
  <c r="CN181" i="2"/>
  <c r="CM181" i="2"/>
  <c r="CL181" i="2"/>
  <c r="CK181" i="2"/>
  <c r="CJ181" i="2"/>
  <c r="CI181" i="2"/>
  <c r="CH181" i="2"/>
  <c r="CG181" i="2"/>
  <c r="CF181" i="2"/>
  <c r="CE181" i="2"/>
  <c r="CD181" i="2"/>
  <c r="CC181" i="2"/>
  <c r="CB181" i="2"/>
  <c r="CA181" i="2"/>
  <c r="BZ181" i="2"/>
  <c r="BY181" i="2"/>
  <c r="BX181" i="2"/>
  <c r="BW181" i="2"/>
  <c r="BV181" i="2"/>
  <c r="BU181" i="2"/>
  <c r="BT181" i="2"/>
  <c r="BS181" i="2"/>
  <c r="BR181" i="2"/>
  <c r="BQ181" i="2"/>
  <c r="BP181" i="2"/>
  <c r="BO181" i="2"/>
  <c r="BN181" i="2"/>
  <c r="BM181" i="2"/>
  <c r="BL181" i="2"/>
  <c r="BK181" i="2"/>
  <c r="BJ181" i="2"/>
  <c r="BI181" i="2"/>
  <c r="BH181" i="2"/>
  <c r="BG181" i="2"/>
  <c r="BF181" i="2"/>
  <c r="CQ180" i="2"/>
  <c r="CP180" i="2"/>
  <c r="CO180" i="2"/>
  <c r="CN180" i="2"/>
  <c r="CM180" i="2"/>
  <c r="CL180" i="2"/>
  <c r="CK180" i="2"/>
  <c r="CJ180" i="2"/>
  <c r="CI180" i="2"/>
  <c r="CH180" i="2"/>
  <c r="CG180" i="2"/>
  <c r="CF180" i="2"/>
  <c r="CE180" i="2"/>
  <c r="CD180" i="2"/>
  <c r="CC180" i="2"/>
  <c r="CB180" i="2"/>
  <c r="CA180" i="2"/>
  <c r="BZ180" i="2"/>
  <c r="BY180" i="2"/>
  <c r="BX180" i="2"/>
  <c r="BW180" i="2"/>
  <c r="BV180" i="2"/>
  <c r="BU180" i="2"/>
  <c r="BT180" i="2"/>
  <c r="BS180" i="2"/>
  <c r="BR180" i="2"/>
  <c r="BQ180" i="2"/>
  <c r="BP180" i="2"/>
  <c r="BO180" i="2"/>
  <c r="BN180" i="2"/>
  <c r="BM180" i="2"/>
  <c r="BL180" i="2"/>
  <c r="BK180" i="2"/>
  <c r="BJ180" i="2"/>
  <c r="BI180" i="2"/>
  <c r="BH180" i="2"/>
  <c r="BG180" i="2"/>
  <c r="BF180" i="2"/>
  <c r="CQ179" i="2"/>
  <c r="CP179" i="2"/>
  <c r="CO179" i="2"/>
  <c r="CN179" i="2"/>
  <c r="CM179" i="2"/>
  <c r="CL179" i="2"/>
  <c r="CK179" i="2"/>
  <c r="CJ179" i="2"/>
  <c r="CI179" i="2"/>
  <c r="CH179" i="2"/>
  <c r="CG179" i="2"/>
  <c r="CF179" i="2"/>
  <c r="CE179" i="2"/>
  <c r="CD179" i="2"/>
  <c r="CC179" i="2"/>
  <c r="CB179" i="2"/>
  <c r="CA179" i="2"/>
  <c r="BZ179" i="2"/>
  <c r="BY179" i="2"/>
  <c r="BX179" i="2"/>
  <c r="BW179" i="2"/>
  <c r="BV179" i="2"/>
  <c r="BU179" i="2"/>
  <c r="BT179" i="2"/>
  <c r="BS179" i="2"/>
  <c r="BR179" i="2"/>
  <c r="BQ179" i="2"/>
  <c r="BP179" i="2"/>
  <c r="BO179" i="2"/>
  <c r="BN179" i="2"/>
  <c r="BM179" i="2"/>
  <c r="BL179" i="2"/>
  <c r="BK179" i="2"/>
  <c r="BJ179" i="2"/>
  <c r="BI179" i="2"/>
  <c r="BH179" i="2"/>
  <c r="BG179" i="2"/>
  <c r="BF179" i="2"/>
  <c r="CQ178" i="2"/>
  <c r="CP178" i="2"/>
  <c r="CO178" i="2"/>
  <c r="CN178" i="2"/>
  <c r="CM178" i="2"/>
  <c r="CL178" i="2"/>
  <c r="CK178" i="2"/>
  <c r="CJ178" i="2"/>
  <c r="CI178" i="2"/>
  <c r="CH178" i="2"/>
  <c r="CG178" i="2"/>
  <c r="CF178" i="2"/>
  <c r="CE178" i="2"/>
  <c r="CD178" i="2"/>
  <c r="CC178" i="2"/>
  <c r="CB178" i="2"/>
  <c r="CA178" i="2"/>
  <c r="BZ178" i="2"/>
  <c r="BY178" i="2"/>
  <c r="BX178" i="2"/>
  <c r="BW178" i="2"/>
  <c r="BV178" i="2"/>
  <c r="BU178" i="2"/>
  <c r="BT178" i="2"/>
  <c r="BS178" i="2"/>
  <c r="BR178" i="2"/>
  <c r="BQ178" i="2"/>
  <c r="BP178" i="2"/>
  <c r="BO178" i="2"/>
  <c r="BN178" i="2"/>
  <c r="BM178" i="2"/>
  <c r="BL178" i="2"/>
  <c r="BK178" i="2"/>
  <c r="BJ178" i="2"/>
  <c r="BI178" i="2"/>
  <c r="BH178" i="2"/>
  <c r="BG178" i="2"/>
  <c r="BF178" i="2"/>
  <c r="CQ177" i="2"/>
  <c r="CP177" i="2"/>
  <c r="CO177" i="2"/>
  <c r="CN177" i="2"/>
  <c r="CM177" i="2"/>
  <c r="CL177" i="2"/>
  <c r="CK177" i="2"/>
  <c r="CJ177" i="2"/>
  <c r="CI177" i="2"/>
  <c r="CH177" i="2"/>
  <c r="CG177" i="2"/>
  <c r="CF177" i="2"/>
  <c r="CE177" i="2"/>
  <c r="CD177" i="2"/>
  <c r="CC177" i="2"/>
  <c r="CB177" i="2"/>
  <c r="CA177" i="2"/>
  <c r="BZ177" i="2"/>
  <c r="BY177" i="2"/>
  <c r="BX177" i="2"/>
  <c r="BW177" i="2"/>
  <c r="BV177" i="2"/>
  <c r="BU177" i="2"/>
  <c r="BT177" i="2"/>
  <c r="BS177" i="2"/>
  <c r="BR177" i="2"/>
  <c r="BQ177" i="2"/>
  <c r="BP177" i="2"/>
  <c r="BO177" i="2"/>
  <c r="BN177" i="2"/>
  <c r="BM177" i="2"/>
  <c r="BL177" i="2"/>
  <c r="BK177" i="2"/>
  <c r="BJ177" i="2"/>
  <c r="BI177" i="2"/>
  <c r="BH177" i="2"/>
  <c r="BG177" i="2"/>
  <c r="BF177" i="2"/>
  <c r="CQ176" i="2"/>
  <c r="CP176" i="2"/>
  <c r="CO176" i="2"/>
  <c r="CN176" i="2"/>
  <c r="CM176" i="2"/>
  <c r="CL176" i="2"/>
  <c r="CK176" i="2"/>
  <c r="CJ176" i="2"/>
  <c r="CI176" i="2"/>
  <c r="CH176" i="2"/>
  <c r="CG176" i="2"/>
  <c r="CF176" i="2"/>
  <c r="CE176" i="2"/>
  <c r="CD176" i="2"/>
  <c r="CC176" i="2"/>
  <c r="CB176" i="2"/>
  <c r="CA176" i="2"/>
  <c r="BZ176" i="2"/>
  <c r="BY176" i="2"/>
  <c r="BX176" i="2"/>
  <c r="BW176" i="2"/>
  <c r="BV176" i="2"/>
  <c r="BU176" i="2"/>
  <c r="BT176" i="2"/>
  <c r="BS176" i="2"/>
  <c r="BR176" i="2"/>
  <c r="BQ176" i="2"/>
  <c r="BP176" i="2"/>
  <c r="BO176" i="2"/>
  <c r="BN176" i="2"/>
  <c r="BM176" i="2"/>
  <c r="BL176" i="2"/>
  <c r="BK176" i="2"/>
  <c r="BJ176" i="2"/>
  <c r="BI176" i="2"/>
  <c r="BH176" i="2"/>
  <c r="BG176" i="2"/>
  <c r="BF176" i="2"/>
  <c r="CQ175" i="2"/>
  <c r="CP175" i="2"/>
  <c r="CO175" i="2"/>
  <c r="CN175" i="2"/>
  <c r="CM175" i="2"/>
  <c r="CL175" i="2"/>
  <c r="CK175" i="2"/>
  <c r="CJ175" i="2"/>
  <c r="CI175" i="2"/>
  <c r="CH175" i="2"/>
  <c r="CG175" i="2"/>
  <c r="CF175" i="2"/>
  <c r="CE175" i="2"/>
  <c r="CD175" i="2"/>
  <c r="CC175" i="2"/>
  <c r="CB175" i="2"/>
  <c r="CA175" i="2"/>
  <c r="BZ175" i="2"/>
  <c r="BY175" i="2"/>
  <c r="BX175" i="2"/>
  <c r="BW175" i="2"/>
  <c r="BV175" i="2"/>
  <c r="BU175" i="2"/>
  <c r="BT175" i="2"/>
  <c r="BS175" i="2"/>
  <c r="BR175" i="2"/>
  <c r="BQ175" i="2"/>
  <c r="BP175" i="2"/>
  <c r="BO175" i="2"/>
  <c r="BN175" i="2"/>
  <c r="BM175" i="2"/>
  <c r="BL175" i="2"/>
  <c r="BK175" i="2"/>
  <c r="BJ175" i="2"/>
  <c r="BI175" i="2"/>
  <c r="BH175" i="2"/>
  <c r="BG175" i="2"/>
  <c r="BF175" i="2"/>
  <c r="CQ174" i="2"/>
  <c r="CP174" i="2"/>
  <c r="CO174" i="2"/>
  <c r="CN174" i="2"/>
  <c r="CM174" i="2"/>
  <c r="CL174" i="2"/>
  <c r="CK174" i="2"/>
  <c r="CJ174" i="2"/>
  <c r="CI174" i="2"/>
  <c r="CH174" i="2"/>
  <c r="CG174" i="2"/>
  <c r="CF174" i="2"/>
  <c r="CE174" i="2"/>
  <c r="CD174" i="2"/>
  <c r="CC174" i="2"/>
  <c r="CB174" i="2"/>
  <c r="CA174" i="2"/>
  <c r="BZ174" i="2"/>
  <c r="BY174" i="2"/>
  <c r="BX174" i="2"/>
  <c r="BW174" i="2"/>
  <c r="BV174" i="2"/>
  <c r="BU174" i="2"/>
  <c r="BT174" i="2"/>
  <c r="BS174" i="2"/>
  <c r="BR174" i="2"/>
  <c r="BQ174" i="2"/>
  <c r="BP174" i="2"/>
  <c r="BO174" i="2"/>
  <c r="BN174" i="2"/>
  <c r="BM174" i="2"/>
  <c r="BL174" i="2"/>
  <c r="BK174" i="2"/>
  <c r="BJ174" i="2"/>
  <c r="BI174" i="2"/>
  <c r="BH174" i="2"/>
  <c r="BG174" i="2"/>
  <c r="BF174" i="2"/>
  <c r="CQ173" i="2"/>
  <c r="CP173" i="2"/>
  <c r="CO173" i="2"/>
  <c r="CN173" i="2"/>
  <c r="CM173" i="2"/>
  <c r="CL173" i="2"/>
  <c r="CK173" i="2"/>
  <c r="CJ173" i="2"/>
  <c r="CI173" i="2"/>
  <c r="CH173" i="2"/>
  <c r="CG173" i="2"/>
  <c r="CF173" i="2"/>
  <c r="CE173" i="2"/>
  <c r="CD173" i="2"/>
  <c r="CC173" i="2"/>
  <c r="CB173" i="2"/>
  <c r="CA173" i="2"/>
  <c r="BZ173" i="2"/>
  <c r="BY173" i="2"/>
  <c r="BX173" i="2"/>
  <c r="BW173" i="2"/>
  <c r="BV173" i="2"/>
  <c r="BU173" i="2"/>
  <c r="BT173" i="2"/>
  <c r="BS173" i="2"/>
  <c r="BR173" i="2"/>
  <c r="BQ173" i="2"/>
  <c r="BP173" i="2"/>
  <c r="BO173" i="2"/>
  <c r="BN173" i="2"/>
  <c r="BM173" i="2"/>
  <c r="BL173" i="2"/>
  <c r="BK173" i="2"/>
  <c r="BJ173" i="2"/>
  <c r="BI173" i="2"/>
  <c r="BH173" i="2"/>
  <c r="BG173" i="2"/>
  <c r="BF173" i="2"/>
  <c r="CQ172" i="2"/>
  <c r="CP172" i="2"/>
  <c r="CO172" i="2"/>
  <c r="CN172" i="2"/>
  <c r="CM172" i="2"/>
  <c r="CL172" i="2"/>
  <c r="CK172" i="2"/>
  <c r="CJ172" i="2"/>
  <c r="CI172" i="2"/>
  <c r="CH172" i="2"/>
  <c r="CG172" i="2"/>
  <c r="CF172" i="2"/>
  <c r="CE172" i="2"/>
  <c r="CD172" i="2"/>
  <c r="CC172" i="2"/>
  <c r="CB172" i="2"/>
  <c r="CA172" i="2"/>
  <c r="BZ172" i="2"/>
  <c r="BY172" i="2"/>
  <c r="BX172" i="2"/>
  <c r="BW172" i="2"/>
  <c r="BV172" i="2"/>
  <c r="BU172" i="2"/>
  <c r="BT172" i="2"/>
  <c r="BS172" i="2"/>
  <c r="BR172" i="2"/>
  <c r="BQ172" i="2"/>
  <c r="BP172" i="2"/>
  <c r="BO172" i="2"/>
  <c r="BN172" i="2"/>
  <c r="BM172" i="2"/>
  <c r="BL172" i="2"/>
  <c r="BK172" i="2"/>
  <c r="BJ172" i="2"/>
  <c r="BI172" i="2"/>
  <c r="BH172" i="2"/>
  <c r="BG172" i="2"/>
  <c r="BF172" i="2"/>
  <c r="CQ171" i="2"/>
  <c r="CP171" i="2"/>
  <c r="CO171" i="2"/>
  <c r="CN171" i="2"/>
  <c r="CM171" i="2"/>
  <c r="CL171" i="2"/>
  <c r="CK171" i="2"/>
  <c r="CJ171" i="2"/>
  <c r="CI171" i="2"/>
  <c r="CH171" i="2"/>
  <c r="CG171" i="2"/>
  <c r="CF171" i="2"/>
  <c r="CE171" i="2"/>
  <c r="CD171" i="2"/>
  <c r="CC171" i="2"/>
  <c r="CB171" i="2"/>
  <c r="CA171" i="2"/>
  <c r="BZ171" i="2"/>
  <c r="BY171" i="2"/>
  <c r="BX171" i="2"/>
  <c r="BW171" i="2"/>
  <c r="BV171" i="2"/>
  <c r="BU171" i="2"/>
  <c r="BT171" i="2"/>
  <c r="BS171" i="2"/>
  <c r="BR171" i="2"/>
  <c r="BQ171" i="2"/>
  <c r="BP171" i="2"/>
  <c r="BO171" i="2"/>
  <c r="BN171" i="2"/>
  <c r="BM171" i="2"/>
  <c r="BL171" i="2"/>
  <c r="BK171" i="2"/>
  <c r="BJ171" i="2"/>
  <c r="BI171" i="2"/>
  <c r="BH171" i="2"/>
  <c r="BG171" i="2"/>
  <c r="BF171" i="2"/>
  <c r="CQ170" i="2"/>
  <c r="CP170" i="2"/>
  <c r="CO170" i="2"/>
  <c r="CN170" i="2"/>
  <c r="CM170" i="2"/>
  <c r="CL170" i="2"/>
  <c r="CK170" i="2"/>
  <c r="CJ170" i="2"/>
  <c r="CI170" i="2"/>
  <c r="CH170" i="2"/>
  <c r="CG170" i="2"/>
  <c r="CF170" i="2"/>
  <c r="CE170" i="2"/>
  <c r="CD170" i="2"/>
  <c r="CC170" i="2"/>
  <c r="CB170" i="2"/>
  <c r="CA170" i="2"/>
  <c r="BZ170" i="2"/>
  <c r="BY170" i="2"/>
  <c r="BX170" i="2"/>
  <c r="BW170" i="2"/>
  <c r="BV170" i="2"/>
  <c r="BU170" i="2"/>
  <c r="BT170" i="2"/>
  <c r="BS170" i="2"/>
  <c r="BR170" i="2"/>
  <c r="BQ170" i="2"/>
  <c r="BP170" i="2"/>
  <c r="BO170" i="2"/>
  <c r="BN170" i="2"/>
  <c r="BM170" i="2"/>
  <c r="BL170" i="2"/>
  <c r="BK170" i="2"/>
  <c r="BJ170" i="2"/>
  <c r="BI170" i="2"/>
  <c r="BH170" i="2"/>
  <c r="BG170" i="2"/>
  <c r="BF170" i="2"/>
  <c r="CQ169" i="2"/>
  <c r="CP169" i="2"/>
  <c r="CO169" i="2"/>
  <c r="CN169" i="2"/>
  <c r="CM169" i="2"/>
  <c r="CL169" i="2"/>
  <c r="CK169" i="2"/>
  <c r="CJ169" i="2"/>
  <c r="CI169" i="2"/>
  <c r="CH169" i="2"/>
  <c r="CG169" i="2"/>
  <c r="CF169" i="2"/>
  <c r="CE169" i="2"/>
  <c r="CD169" i="2"/>
  <c r="CC169" i="2"/>
  <c r="CB169" i="2"/>
  <c r="CA169" i="2"/>
  <c r="BZ169" i="2"/>
  <c r="BY169" i="2"/>
  <c r="BX169" i="2"/>
  <c r="BW169" i="2"/>
  <c r="BV169" i="2"/>
  <c r="BU169" i="2"/>
  <c r="BT169" i="2"/>
  <c r="BS169" i="2"/>
  <c r="BR169" i="2"/>
  <c r="BQ169" i="2"/>
  <c r="BP169" i="2"/>
  <c r="BO169" i="2"/>
  <c r="BN169" i="2"/>
  <c r="BM169" i="2"/>
  <c r="BL169" i="2"/>
  <c r="BK169" i="2"/>
  <c r="BJ169" i="2"/>
  <c r="BI169" i="2"/>
  <c r="BH169" i="2"/>
  <c r="BG169" i="2"/>
  <c r="BF169" i="2"/>
  <c r="CQ168" i="2"/>
  <c r="CP168" i="2"/>
  <c r="CO168" i="2"/>
  <c r="CN168" i="2"/>
  <c r="CM168" i="2"/>
  <c r="CL168" i="2"/>
  <c r="CK168" i="2"/>
  <c r="CJ168" i="2"/>
  <c r="CI168" i="2"/>
  <c r="CH168" i="2"/>
  <c r="CG168" i="2"/>
  <c r="CF168" i="2"/>
  <c r="CE168" i="2"/>
  <c r="CD168" i="2"/>
  <c r="CC168" i="2"/>
  <c r="CB168" i="2"/>
  <c r="CA168" i="2"/>
  <c r="BZ168" i="2"/>
  <c r="BY168" i="2"/>
  <c r="BX168" i="2"/>
  <c r="BW168" i="2"/>
  <c r="BV168" i="2"/>
  <c r="BU168" i="2"/>
  <c r="BT168" i="2"/>
  <c r="BS168" i="2"/>
  <c r="BR168" i="2"/>
  <c r="BQ168" i="2"/>
  <c r="BP168" i="2"/>
  <c r="BO168" i="2"/>
  <c r="BN168" i="2"/>
  <c r="BM168" i="2"/>
  <c r="BL168" i="2"/>
  <c r="BK168" i="2"/>
  <c r="BJ168" i="2"/>
  <c r="BI168" i="2"/>
  <c r="BH168" i="2"/>
  <c r="BG168" i="2"/>
  <c r="BF168" i="2"/>
  <c r="CQ167" i="2"/>
  <c r="CP167" i="2"/>
  <c r="CO167" i="2"/>
  <c r="CN167" i="2"/>
  <c r="CM167" i="2"/>
  <c r="CL167" i="2"/>
  <c r="CK167" i="2"/>
  <c r="CJ167" i="2"/>
  <c r="CI167" i="2"/>
  <c r="CH167" i="2"/>
  <c r="CG167" i="2"/>
  <c r="CF167" i="2"/>
  <c r="CE167" i="2"/>
  <c r="CD167" i="2"/>
  <c r="CC167" i="2"/>
  <c r="CB167" i="2"/>
  <c r="CA167" i="2"/>
  <c r="BZ167" i="2"/>
  <c r="BY167" i="2"/>
  <c r="BX167" i="2"/>
  <c r="BW167" i="2"/>
  <c r="BV167" i="2"/>
  <c r="BU167" i="2"/>
  <c r="BT167" i="2"/>
  <c r="BS167" i="2"/>
  <c r="BR167" i="2"/>
  <c r="BQ167" i="2"/>
  <c r="BP167" i="2"/>
  <c r="BO167" i="2"/>
  <c r="BN167" i="2"/>
  <c r="BM167" i="2"/>
  <c r="BL167" i="2"/>
  <c r="BK167" i="2"/>
  <c r="BJ167" i="2"/>
  <c r="BI167" i="2"/>
  <c r="BH167" i="2"/>
  <c r="BG167" i="2"/>
  <c r="BF167" i="2"/>
  <c r="CQ166" i="2"/>
  <c r="CP166" i="2"/>
  <c r="CO166" i="2"/>
  <c r="CN166" i="2"/>
  <c r="CM166" i="2"/>
  <c r="CL166" i="2"/>
  <c r="CK166" i="2"/>
  <c r="CJ166" i="2"/>
  <c r="CI166" i="2"/>
  <c r="CH166" i="2"/>
  <c r="CG166" i="2"/>
  <c r="CF166" i="2"/>
  <c r="CE166" i="2"/>
  <c r="CD166" i="2"/>
  <c r="CC166" i="2"/>
  <c r="CB166" i="2"/>
  <c r="CA166" i="2"/>
  <c r="BZ166" i="2"/>
  <c r="BY166" i="2"/>
  <c r="BX166" i="2"/>
  <c r="BW166" i="2"/>
  <c r="BV166" i="2"/>
  <c r="BU166" i="2"/>
  <c r="BT166" i="2"/>
  <c r="BS166" i="2"/>
  <c r="BR166" i="2"/>
  <c r="BQ166" i="2"/>
  <c r="BP166" i="2"/>
  <c r="BO166" i="2"/>
  <c r="BN166" i="2"/>
  <c r="BM166" i="2"/>
  <c r="BL166" i="2"/>
  <c r="BK166" i="2"/>
  <c r="BJ166" i="2"/>
  <c r="BI166" i="2"/>
  <c r="BH166" i="2"/>
  <c r="BG166" i="2"/>
  <c r="BF166" i="2"/>
  <c r="CQ165" i="2"/>
  <c r="CP165" i="2"/>
  <c r="CO165" i="2"/>
  <c r="CN165" i="2"/>
  <c r="CM165" i="2"/>
  <c r="CL165" i="2"/>
  <c r="CK165" i="2"/>
  <c r="CJ165" i="2"/>
  <c r="CI165" i="2"/>
  <c r="CH165" i="2"/>
  <c r="CG165" i="2"/>
  <c r="CF165" i="2"/>
  <c r="CE165" i="2"/>
  <c r="CD165" i="2"/>
  <c r="CC165" i="2"/>
  <c r="CB165" i="2"/>
  <c r="CA165" i="2"/>
  <c r="BZ165" i="2"/>
  <c r="BY165" i="2"/>
  <c r="BX165" i="2"/>
  <c r="BW165" i="2"/>
  <c r="BV165" i="2"/>
  <c r="BU165" i="2"/>
  <c r="BT165" i="2"/>
  <c r="BS165" i="2"/>
  <c r="BR165" i="2"/>
  <c r="BQ165" i="2"/>
  <c r="BP165" i="2"/>
  <c r="BO165" i="2"/>
  <c r="BN165" i="2"/>
  <c r="BM165" i="2"/>
  <c r="BL165" i="2"/>
  <c r="BK165" i="2"/>
  <c r="BJ165" i="2"/>
  <c r="BI165" i="2"/>
  <c r="BH165" i="2"/>
  <c r="BG165" i="2"/>
  <c r="BF165" i="2"/>
  <c r="CQ164" i="2"/>
  <c r="CP164" i="2"/>
  <c r="CO164" i="2"/>
  <c r="CN164" i="2"/>
  <c r="CM164" i="2"/>
  <c r="CL164" i="2"/>
  <c r="CK164" i="2"/>
  <c r="CJ164" i="2"/>
  <c r="CI164" i="2"/>
  <c r="CH164" i="2"/>
  <c r="CG164" i="2"/>
  <c r="CF164" i="2"/>
  <c r="CE164" i="2"/>
  <c r="CD164" i="2"/>
  <c r="CC164" i="2"/>
  <c r="CB164" i="2"/>
  <c r="CA164" i="2"/>
  <c r="BZ164" i="2"/>
  <c r="BY164" i="2"/>
  <c r="BX164" i="2"/>
  <c r="BW164" i="2"/>
  <c r="BV164" i="2"/>
  <c r="BU164" i="2"/>
  <c r="BT164" i="2"/>
  <c r="BS164" i="2"/>
  <c r="BR164" i="2"/>
  <c r="BQ164" i="2"/>
  <c r="BP164" i="2"/>
  <c r="BO164" i="2"/>
  <c r="BN164" i="2"/>
  <c r="BM164" i="2"/>
  <c r="BL164" i="2"/>
  <c r="BK164" i="2"/>
  <c r="BJ164" i="2"/>
  <c r="BI164" i="2"/>
  <c r="BH164" i="2"/>
  <c r="BG164" i="2"/>
  <c r="BF164" i="2"/>
  <c r="CQ163" i="2"/>
  <c r="CP163" i="2"/>
  <c r="CO163" i="2"/>
  <c r="CN163" i="2"/>
  <c r="CM163" i="2"/>
  <c r="CL163" i="2"/>
  <c r="CK163" i="2"/>
  <c r="CJ163" i="2"/>
  <c r="CI163" i="2"/>
  <c r="CH163" i="2"/>
  <c r="CG163" i="2"/>
  <c r="CF163" i="2"/>
  <c r="CE163" i="2"/>
  <c r="CD163" i="2"/>
  <c r="CC163" i="2"/>
  <c r="CB163" i="2"/>
  <c r="CA163" i="2"/>
  <c r="BZ163" i="2"/>
  <c r="BY163" i="2"/>
  <c r="BX163" i="2"/>
  <c r="BW163" i="2"/>
  <c r="BV163" i="2"/>
  <c r="BU163" i="2"/>
  <c r="BT163" i="2"/>
  <c r="BS163" i="2"/>
  <c r="BR163" i="2"/>
  <c r="BQ163" i="2"/>
  <c r="BP163" i="2"/>
  <c r="BO163" i="2"/>
  <c r="BN163" i="2"/>
  <c r="BM163" i="2"/>
  <c r="BL163" i="2"/>
  <c r="BK163" i="2"/>
  <c r="BJ163" i="2"/>
  <c r="BI163" i="2"/>
  <c r="BH163" i="2"/>
  <c r="BG163" i="2"/>
  <c r="BF163" i="2"/>
  <c r="CQ162" i="2"/>
  <c r="CP162" i="2"/>
  <c r="CO162" i="2"/>
  <c r="CN162" i="2"/>
  <c r="CM162" i="2"/>
  <c r="CL162" i="2"/>
  <c r="CK162" i="2"/>
  <c r="CJ162" i="2"/>
  <c r="CI162" i="2"/>
  <c r="CH162" i="2"/>
  <c r="CG162" i="2"/>
  <c r="CF162" i="2"/>
  <c r="CE162" i="2"/>
  <c r="CD162" i="2"/>
  <c r="CC162" i="2"/>
  <c r="CB162" i="2"/>
  <c r="CA162" i="2"/>
  <c r="BZ162" i="2"/>
  <c r="BY162" i="2"/>
  <c r="BX162" i="2"/>
  <c r="BW162" i="2"/>
  <c r="BV162" i="2"/>
  <c r="BU162" i="2"/>
  <c r="BT162" i="2"/>
  <c r="BS162" i="2"/>
  <c r="BR162" i="2"/>
  <c r="BQ162" i="2"/>
  <c r="BP162" i="2"/>
  <c r="BO162" i="2"/>
  <c r="BN162" i="2"/>
  <c r="BM162" i="2"/>
  <c r="BL162" i="2"/>
  <c r="BK162" i="2"/>
  <c r="BJ162" i="2"/>
  <c r="BI162" i="2"/>
  <c r="BH162" i="2"/>
  <c r="BG162" i="2"/>
  <c r="BF162" i="2"/>
  <c r="CQ161" i="2"/>
  <c r="CP161" i="2"/>
  <c r="CO161" i="2"/>
  <c r="CN161" i="2"/>
  <c r="CM161" i="2"/>
  <c r="CL161" i="2"/>
  <c r="CK161" i="2"/>
  <c r="CJ161" i="2"/>
  <c r="CI161" i="2"/>
  <c r="CH161" i="2"/>
  <c r="CG161" i="2"/>
  <c r="CF161" i="2"/>
  <c r="CE161" i="2"/>
  <c r="CD161" i="2"/>
  <c r="CC161" i="2"/>
  <c r="CB161" i="2"/>
  <c r="CA161" i="2"/>
  <c r="BZ161" i="2"/>
  <c r="BY161" i="2"/>
  <c r="BX161" i="2"/>
  <c r="BW161" i="2"/>
  <c r="BV161" i="2"/>
  <c r="BU161" i="2"/>
  <c r="BT161" i="2"/>
  <c r="BS161" i="2"/>
  <c r="BR161" i="2"/>
  <c r="BQ161" i="2"/>
  <c r="BP161" i="2"/>
  <c r="BO161" i="2"/>
  <c r="BN161" i="2"/>
  <c r="BM161" i="2"/>
  <c r="BL161" i="2"/>
  <c r="BK161" i="2"/>
  <c r="BJ161" i="2"/>
  <c r="BI161" i="2"/>
  <c r="BH161" i="2"/>
  <c r="BG161" i="2"/>
  <c r="BF161" i="2"/>
  <c r="CQ160" i="2"/>
  <c r="CP160" i="2"/>
  <c r="CO160" i="2"/>
  <c r="CN160" i="2"/>
  <c r="CM160" i="2"/>
  <c r="CL160" i="2"/>
  <c r="CK160" i="2"/>
  <c r="CJ160" i="2"/>
  <c r="CI160" i="2"/>
  <c r="CH160" i="2"/>
  <c r="CG160" i="2"/>
  <c r="CF160" i="2"/>
  <c r="CE160" i="2"/>
  <c r="CD160" i="2"/>
  <c r="CC160" i="2"/>
  <c r="CB160" i="2"/>
  <c r="CA160" i="2"/>
  <c r="BZ160" i="2"/>
  <c r="BY160" i="2"/>
  <c r="BX160" i="2"/>
  <c r="BW160" i="2"/>
  <c r="BV160" i="2"/>
  <c r="BU160" i="2"/>
  <c r="BT160" i="2"/>
  <c r="BS160" i="2"/>
  <c r="BR160" i="2"/>
  <c r="BQ160" i="2"/>
  <c r="BP160" i="2"/>
  <c r="BO160" i="2"/>
  <c r="BN160" i="2"/>
  <c r="BM160" i="2"/>
  <c r="BL160" i="2"/>
  <c r="BK160" i="2"/>
  <c r="BJ160" i="2"/>
  <c r="BI160" i="2"/>
  <c r="BH160" i="2"/>
  <c r="BG160" i="2"/>
  <c r="BF160" i="2"/>
  <c r="CQ159" i="2"/>
  <c r="CP159" i="2"/>
  <c r="CO159" i="2"/>
  <c r="CN159" i="2"/>
  <c r="CM159" i="2"/>
  <c r="CL159" i="2"/>
  <c r="CK159" i="2"/>
  <c r="CJ159" i="2"/>
  <c r="CI159" i="2"/>
  <c r="CH159" i="2"/>
  <c r="CG159" i="2"/>
  <c r="CF159" i="2"/>
  <c r="CE159" i="2"/>
  <c r="CD159" i="2"/>
  <c r="CC159" i="2"/>
  <c r="CB159" i="2"/>
  <c r="CA159" i="2"/>
  <c r="BZ159" i="2"/>
  <c r="BY159" i="2"/>
  <c r="BX159" i="2"/>
  <c r="BW159" i="2"/>
  <c r="BV159" i="2"/>
  <c r="BU159" i="2"/>
  <c r="BT159" i="2"/>
  <c r="BS159" i="2"/>
  <c r="BR159" i="2"/>
  <c r="BQ159" i="2"/>
  <c r="BP159" i="2"/>
  <c r="BO159" i="2"/>
  <c r="BN159" i="2"/>
  <c r="BM159" i="2"/>
  <c r="BL159" i="2"/>
  <c r="BK159" i="2"/>
  <c r="BJ159" i="2"/>
  <c r="BI159" i="2"/>
  <c r="BH159" i="2"/>
  <c r="BG159" i="2"/>
  <c r="BF159" i="2"/>
  <c r="CQ158" i="2"/>
  <c r="CP158" i="2"/>
  <c r="CO158" i="2"/>
  <c r="CN158" i="2"/>
  <c r="CM158" i="2"/>
  <c r="CL158" i="2"/>
  <c r="CK158" i="2"/>
  <c r="CJ158" i="2"/>
  <c r="CI158" i="2"/>
  <c r="CH158" i="2"/>
  <c r="CG158" i="2"/>
  <c r="CF158" i="2"/>
  <c r="CE158" i="2"/>
  <c r="CD158" i="2"/>
  <c r="CC158" i="2"/>
  <c r="CB158" i="2"/>
  <c r="CA158" i="2"/>
  <c r="BZ158" i="2"/>
  <c r="BY158" i="2"/>
  <c r="BX158" i="2"/>
  <c r="BW158" i="2"/>
  <c r="BV158" i="2"/>
  <c r="BU158" i="2"/>
  <c r="BT158" i="2"/>
  <c r="BS158" i="2"/>
  <c r="BR158" i="2"/>
  <c r="BQ158" i="2"/>
  <c r="BP158" i="2"/>
  <c r="BO158" i="2"/>
  <c r="BN158" i="2"/>
  <c r="BM158" i="2"/>
  <c r="BL158" i="2"/>
  <c r="BK158" i="2"/>
  <c r="BJ158" i="2"/>
  <c r="BI158" i="2"/>
  <c r="BH158" i="2"/>
  <c r="BG158" i="2"/>
  <c r="BF158" i="2"/>
  <c r="CQ157" i="2"/>
  <c r="CP157" i="2"/>
  <c r="CO157" i="2"/>
  <c r="CN157" i="2"/>
  <c r="CM157" i="2"/>
  <c r="CL157" i="2"/>
  <c r="CK157" i="2"/>
  <c r="CJ157" i="2"/>
  <c r="CI157" i="2"/>
  <c r="CH157" i="2"/>
  <c r="CG157" i="2"/>
  <c r="CF157" i="2"/>
  <c r="CE157" i="2"/>
  <c r="CD157" i="2"/>
  <c r="CC157" i="2"/>
  <c r="CB157" i="2"/>
  <c r="CA157" i="2"/>
  <c r="BZ157" i="2"/>
  <c r="BY157" i="2"/>
  <c r="BX157" i="2"/>
  <c r="BW157" i="2"/>
  <c r="BV157" i="2"/>
  <c r="BU157" i="2"/>
  <c r="BT157" i="2"/>
  <c r="BS157" i="2"/>
  <c r="BR157" i="2"/>
  <c r="BQ157" i="2"/>
  <c r="BP157" i="2"/>
  <c r="BO157" i="2"/>
  <c r="BN157" i="2"/>
  <c r="BM157" i="2"/>
  <c r="BL157" i="2"/>
  <c r="BK157" i="2"/>
  <c r="BJ157" i="2"/>
  <c r="BI157" i="2"/>
  <c r="BH157" i="2"/>
  <c r="BG157" i="2"/>
  <c r="BF157" i="2"/>
  <c r="CQ156" i="2"/>
  <c r="CP156" i="2"/>
  <c r="CO156" i="2"/>
  <c r="CN156" i="2"/>
  <c r="CM156" i="2"/>
  <c r="CL156" i="2"/>
  <c r="CK156" i="2"/>
  <c r="CJ156" i="2"/>
  <c r="CI156" i="2"/>
  <c r="CH156" i="2"/>
  <c r="CG156" i="2"/>
  <c r="CF156" i="2"/>
  <c r="CE156" i="2"/>
  <c r="CD156" i="2"/>
  <c r="CC156" i="2"/>
  <c r="CB156" i="2"/>
  <c r="CA156" i="2"/>
  <c r="BZ156" i="2"/>
  <c r="BY156" i="2"/>
  <c r="BX156" i="2"/>
  <c r="BW156" i="2"/>
  <c r="BV156" i="2"/>
  <c r="BU156" i="2"/>
  <c r="BT156" i="2"/>
  <c r="BS156" i="2"/>
  <c r="BR156" i="2"/>
  <c r="BQ156" i="2"/>
  <c r="BP156" i="2"/>
  <c r="BO156" i="2"/>
  <c r="BN156" i="2"/>
  <c r="BM156" i="2"/>
  <c r="BL156" i="2"/>
  <c r="BK156" i="2"/>
  <c r="BJ156" i="2"/>
  <c r="BI156" i="2"/>
  <c r="BH156" i="2"/>
  <c r="BG156" i="2"/>
  <c r="BF156" i="2"/>
  <c r="CQ155" i="2"/>
  <c r="CP155" i="2"/>
  <c r="CO155" i="2"/>
  <c r="CN155" i="2"/>
  <c r="CM155" i="2"/>
  <c r="CL155" i="2"/>
  <c r="CK155" i="2"/>
  <c r="CJ155" i="2"/>
  <c r="CI155" i="2"/>
  <c r="CH155" i="2"/>
  <c r="CG155" i="2"/>
  <c r="CF155" i="2"/>
  <c r="CE155" i="2"/>
  <c r="CD155" i="2"/>
  <c r="CC155" i="2"/>
  <c r="CB155" i="2"/>
  <c r="CA155" i="2"/>
  <c r="BZ155" i="2"/>
  <c r="BY155" i="2"/>
  <c r="BX155" i="2"/>
  <c r="BW155" i="2"/>
  <c r="BV155" i="2"/>
  <c r="BU155" i="2"/>
  <c r="BT155" i="2"/>
  <c r="BS155" i="2"/>
  <c r="BR155" i="2"/>
  <c r="BQ155" i="2"/>
  <c r="BP155" i="2"/>
  <c r="BO155" i="2"/>
  <c r="BN155" i="2"/>
  <c r="BM155" i="2"/>
  <c r="BL155" i="2"/>
  <c r="BK155" i="2"/>
  <c r="BJ155" i="2"/>
  <c r="BI155" i="2"/>
  <c r="BH155" i="2"/>
  <c r="BG155" i="2"/>
  <c r="BF155" i="2"/>
  <c r="CQ154" i="2"/>
  <c r="CP154" i="2"/>
  <c r="CO154" i="2"/>
  <c r="CN154" i="2"/>
  <c r="CM154" i="2"/>
  <c r="CL154" i="2"/>
  <c r="CK154" i="2"/>
  <c r="CJ154" i="2"/>
  <c r="CI154" i="2"/>
  <c r="CH154" i="2"/>
  <c r="CG154" i="2"/>
  <c r="CF154" i="2"/>
  <c r="CE154" i="2"/>
  <c r="CD154" i="2"/>
  <c r="CC154" i="2"/>
  <c r="CB154" i="2"/>
  <c r="CA154" i="2"/>
  <c r="BZ154" i="2"/>
  <c r="BY154" i="2"/>
  <c r="BX154" i="2"/>
  <c r="BW154" i="2"/>
  <c r="BV154" i="2"/>
  <c r="BU154" i="2"/>
  <c r="BT154" i="2"/>
  <c r="BS154" i="2"/>
  <c r="BR154" i="2"/>
  <c r="BQ154" i="2"/>
  <c r="BP154" i="2"/>
  <c r="BO154" i="2"/>
  <c r="BN154" i="2"/>
  <c r="BM154" i="2"/>
  <c r="BL154" i="2"/>
  <c r="BK154" i="2"/>
  <c r="BJ154" i="2"/>
  <c r="BI154" i="2"/>
  <c r="BH154" i="2"/>
  <c r="BG154" i="2"/>
  <c r="BF154" i="2"/>
  <c r="CQ153" i="2"/>
  <c r="CP153" i="2"/>
  <c r="CO153" i="2"/>
  <c r="CN153" i="2"/>
  <c r="CM153" i="2"/>
  <c r="CL153" i="2"/>
  <c r="CK153" i="2"/>
  <c r="CJ153" i="2"/>
  <c r="CI153" i="2"/>
  <c r="CH153" i="2"/>
  <c r="CG153" i="2"/>
  <c r="CF153" i="2"/>
  <c r="CE153" i="2"/>
  <c r="CD153" i="2"/>
  <c r="CC153" i="2"/>
  <c r="CB153" i="2"/>
  <c r="CA153" i="2"/>
  <c r="BZ153" i="2"/>
  <c r="BY153" i="2"/>
  <c r="BX153" i="2"/>
  <c r="BW153" i="2"/>
  <c r="BV153" i="2"/>
  <c r="BU153" i="2"/>
  <c r="BT153" i="2"/>
  <c r="BS153" i="2"/>
  <c r="BR153" i="2"/>
  <c r="BQ153" i="2"/>
  <c r="BP153" i="2"/>
  <c r="BO153" i="2"/>
  <c r="BN153" i="2"/>
  <c r="BM153" i="2"/>
  <c r="BL153" i="2"/>
  <c r="BK153" i="2"/>
  <c r="BJ153" i="2"/>
  <c r="BI153" i="2"/>
  <c r="BH153" i="2"/>
  <c r="BG153" i="2"/>
  <c r="BF153" i="2"/>
  <c r="CQ152" i="2"/>
  <c r="CP152" i="2"/>
  <c r="CO152" i="2"/>
  <c r="CN152" i="2"/>
  <c r="CM152" i="2"/>
  <c r="CL152" i="2"/>
  <c r="CK152" i="2"/>
  <c r="CJ152" i="2"/>
  <c r="CI152" i="2"/>
  <c r="CH152" i="2"/>
  <c r="CG152" i="2"/>
  <c r="CF152" i="2"/>
  <c r="CE152" i="2"/>
  <c r="CD152" i="2"/>
  <c r="CC152" i="2"/>
  <c r="CB152" i="2"/>
  <c r="CA152" i="2"/>
  <c r="BZ152" i="2"/>
  <c r="BY152" i="2"/>
  <c r="BX152" i="2"/>
  <c r="BW152" i="2"/>
  <c r="BV152" i="2"/>
  <c r="BU152" i="2"/>
  <c r="BT152" i="2"/>
  <c r="BS152" i="2"/>
  <c r="BR152" i="2"/>
  <c r="BQ152" i="2"/>
  <c r="BP152" i="2"/>
  <c r="BO152" i="2"/>
  <c r="BN152" i="2"/>
  <c r="BM152" i="2"/>
  <c r="BL152" i="2"/>
  <c r="BK152" i="2"/>
  <c r="BJ152" i="2"/>
  <c r="BI152" i="2"/>
  <c r="BH152" i="2"/>
  <c r="BG152" i="2"/>
  <c r="BF152" i="2"/>
  <c r="CQ151" i="2"/>
  <c r="CP151" i="2"/>
  <c r="CO151" i="2"/>
  <c r="CN151" i="2"/>
  <c r="CM151" i="2"/>
  <c r="CL151" i="2"/>
  <c r="CK151" i="2"/>
  <c r="CJ151" i="2"/>
  <c r="CI151" i="2"/>
  <c r="CH151" i="2"/>
  <c r="CG151" i="2"/>
  <c r="CF151" i="2"/>
  <c r="CE151" i="2"/>
  <c r="CD151" i="2"/>
  <c r="CC151" i="2"/>
  <c r="CB151" i="2"/>
  <c r="CA151" i="2"/>
  <c r="BZ151" i="2"/>
  <c r="BY151" i="2"/>
  <c r="BX151" i="2"/>
  <c r="BW151" i="2"/>
  <c r="BV151" i="2"/>
  <c r="BU151" i="2"/>
  <c r="BT151" i="2"/>
  <c r="BS151" i="2"/>
  <c r="BR151" i="2"/>
  <c r="BQ151" i="2"/>
  <c r="BP151" i="2"/>
  <c r="BO151" i="2"/>
  <c r="BN151" i="2"/>
  <c r="BM151" i="2"/>
  <c r="BL151" i="2"/>
  <c r="BK151" i="2"/>
  <c r="BJ151" i="2"/>
  <c r="BI151" i="2"/>
  <c r="BH151" i="2"/>
  <c r="BG151" i="2"/>
  <c r="BF151" i="2"/>
  <c r="CQ150" i="2"/>
  <c r="CP150" i="2"/>
  <c r="CO150" i="2"/>
  <c r="CN150" i="2"/>
  <c r="CM150" i="2"/>
  <c r="CL150" i="2"/>
  <c r="CK150" i="2"/>
  <c r="CJ150" i="2"/>
  <c r="CI150" i="2"/>
  <c r="CH150" i="2"/>
  <c r="CG150" i="2"/>
  <c r="CF150" i="2"/>
  <c r="CE150" i="2"/>
  <c r="CD150" i="2"/>
  <c r="CC150" i="2"/>
  <c r="CB150" i="2"/>
  <c r="CA150" i="2"/>
  <c r="BZ150" i="2"/>
  <c r="BY150" i="2"/>
  <c r="BX150" i="2"/>
  <c r="BW150" i="2"/>
  <c r="BV150" i="2"/>
  <c r="BU150" i="2"/>
  <c r="BT150" i="2"/>
  <c r="BS150" i="2"/>
  <c r="BR150" i="2"/>
  <c r="BQ150" i="2"/>
  <c r="BP150" i="2"/>
  <c r="BO150" i="2"/>
  <c r="BN150" i="2"/>
  <c r="BM150" i="2"/>
  <c r="BL150" i="2"/>
  <c r="BK150" i="2"/>
  <c r="BJ150" i="2"/>
  <c r="BI150" i="2"/>
  <c r="BH150" i="2"/>
  <c r="BG150" i="2"/>
  <c r="BF150" i="2"/>
  <c r="CQ149" i="2"/>
  <c r="CP149" i="2"/>
  <c r="CO149" i="2"/>
  <c r="CN149" i="2"/>
  <c r="CM149" i="2"/>
  <c r="CL149" i="2"/>
  <c r="CK149" i="2"/>
  <c r="CJ149" i="2"/>
  <c r="CI149" i="2"/>
  <c r="CH149" i="2"/>
  <c r="CG149" i="2"/>
  <c r="CF149" i="2"/>
  <c r="CE149" i="2"/>
  <c r="CD149" i="2"/>
  <c r="CC149" i="2"/>
  <c r="CB149" i="2"/>
  <c r="CA149" i="2"/>
  <c r="BZ149" i="2"/>
  <c r="BY149" i="2"/>
  <c r="BX149" i="2"/>
  <c r="BW149" i="2"/>
  <c r="BV149" i="2"/>
  <c r="BU149" i="2"/>
  <c r="BT149" i="2"/>
  <c r="BS149" i="2"/>
  <c r="BR149" i="2"/>
  <c r="BQ149" i="2"/>
  <c r="BP149" i="2"/>
  <c r="BO149" i="2"/>
  <c r="BN149" i="2"/>
  <c r="BM149" i="2"/>
  <c r="BL149" i="2"/>
  <c r="BK149" i="2"/>
  <c r="BJ149" i="2"/>
  <c r="BI149" i="2"/>
  <c r="BH149" i="2"/>
  <c r="BG149" i="2"/>
  <c r="BF149" i="2"/>
  <c r="CQ148" i="2"/>
  <c r="CP148" i="2"/>
  <c r="CO148" i="2"/>
  <c r="CN148" i="2"/>
  <c r="CM148" i="2"/>
  <c r="CL148" i="2"/>
  <c r="CK148" i="2"/>
  <c r="CJ148" i="2"/>
  <c r="CI148" i="2"/>
  <c r="CH148" i="2"/>
  <c r="CG148" i="2"/>
  <c r="CF148" i="2"/>
  <c r="CE148" i="2"/>
  <c r="CD148" i="2"/>
  <c r="CC148" i="2"/>
  <c r="CB148" i="2"/>
  <c r="CA148" i="2"/>
  <c r="BZ148" i="2"/>
  <c r="BY148" i="2"/>
  <c r="BX148" i="2"/>
  <c r="BW148" i="2"/>
  <c r="BV148" i="2"/>
  <c r="BU148" i="2"/>
  <c r="BT148" i="2"/>
  <c r="BS148" i="2"/>
  <c r="BR148" i="2"/>
  <c r="BQ148" i="2"/>
  <c r="BP148" i="2"/>
  <c r="BO148" i="2"/>
  <c r="BN148" i="2"/>
  <c r="BM148" i="2"/>
  <c r="BL148" i="2"/>
  <c r="BK148" i="2"/>
  <c r="BJ148" i="2"/>
  <c r="BI148" i="2"/>
  <c r="BH148" i="2"/>
  <c r="BG148" i="2"/>
  <c r="BF148" i="2"/>
  <c r="CQ147" i="2"/>
  <c r="CP147" i="2"/>
  <c r="CO147" i="2"/>
  <c r="CN147" i="2"/>
  <c r="CM147" i="2"/>
  <c r="CL147" i="2"/>
  <c r="CK147" i="2"/>
  <c r="CJ147" i="2"/>
  <c r="CI147" i="2"/>
  <c r="CH147" i="2"/>
  <c r="CG147" i="2"/>
  <c r="CF147" i="2"/>
  <c r="CE147" i="2"/>
  <c r="CD147" i="2"/>
  <c r="CC147" i="2"/>
  <c r="CB147" i="2"/>
  <c r="CA147" i="2"/>
  <c r="BZ147" i="2"/>
  <c r="BY147" i="2"/>
  <c r="BX147" i="2"/>
  <c r="BW147" i="2"/>
  <c r="BV147" i="2"/>
  <c r="BU147" i="2"/>
  <c r="BT147" i="2"/>
  <c r="BS147" i="2"/>
  <c r="BR147" i="2"/>
  <c r="BQ147" i="2"/>
  <c r="BP147" i="2"/>
  <c r="BO147" i="2"/>
  <c r="BN147" i="2"/>
  <c r="BM147" i="2"/>
  <c r="BL147" i="2"/>
  <c r="BK147" i="2"/>
  <c r="BJ147" i="2"/>
  <c r="BI147" i="2"/>
  <c r="BH147" i="2"/>
  <c r="BG147" i="2"/>
  <c r="BF147" i="2"/>
  <c r="CQ146" i="2"/>
  <c r="CP146" i="2"/>
  <c r="CO146" i="2"/>
  <c r="CN146" i="2"/>
  <c r="CM146" i="2"/>
  <c r="CL146" i="2"/>
  <c r="CK146" i="2"/>
  <c r="CJ146" i="2"/>
  <c r="CI146" i="2"/>
  <c r="CH146" i="2"/>
  <c r="CG146" i="2"/>
  <c r="CF146" i="2"/>
  <c r="CE146" i="2"/>
  <c r="CD146" i="2"/>
  <c r="CC146" i="2"/>
  <c r="CB146" i="2"/>
  <c r="CA146" i="2"/>
  <c r="BZ146" i="2"/>
  <c r="BY146" i="2"/>
  <c r="BX146" i="2"/>
  <c r="BW146" i="2"/>
  <c r="BV146" i="2"/>
  <c r="BU146" i="2"/>
  <c r="BT146" i="2"/>
  <c r="BS146" i="2"/>
  <c r="BR146" i="2"/>
  <c r="BQ146" i="2"/>
  <c r="BP146" i="2"/>
  <c r="BO146" i="2"/>
  <c r="BN146" i="2"/>
  <c r="BM146" i="2"/>
  <c r="BL146" i="2"/>
  <c r="BK146" i="2"/>
  <c r="BJ146" i="2"/>
  <c r="BI146" i="2"/>
  <c r="BH146" i="2"/>
  <c r="BG146" i="2"/>
  <c r="BF146" i="2"/>
  <c r="CQ145" i="2"/>
  <c r="CP145" i="2"/>
  <c r="CO145" i="2"/>
  <c r="CN145" i="2"/>
  <c r="CM145" i="2"/>
  <c r="CL145" i="2"/>
  <c r="CK145" i="2"/>
  <c r="CJ145" i="2"/>
  <c r="CI145" i="2"/>
  <c r="CH145" i="2"/>
  <c r="CG145" i="2"/>
  <c r="CF145" i="2"/>
  <c r="CE145" i="2"/>
  <c r="CD145" i="2"/>
  <c r="CC145" i="2"/>
  <c r="CB145" i="2"/>
  <c r="CA145" i="2"/>
  <c r="BZ145" i="2"/>
  <c r="BY145" i="2"/>
  <c r="BX145" i="2"/>
  <c r="BW145" i="2"/>
  <c r="BV145" i="2"/>
  <c r="BU145" i="2"/>
  <c r="BT145" i="2"/>
  <c r="BS145" i="2"/>
  <c r="BR145" i="2"/>
  <c r="BQ145" i="2"/>
  <c r="BP145" i="2"/>
  <c r="BO145" i="2"/>
  <c r="BN145" i="2"/>
  <c r="BM145" i="2"/>
  <c r="BL145" i="2"/>
  <c r="BK145" i="2"/>
  <c r="BJ145" i="2"/>
  <c r="BI145" i="2"/>
  <c r="BH145" i="2"/>
  <c r="BG145" i="2"/>
  <c r="BF145" i="2"/>
  <c r="CQ144" i="2"/>
  <c r="CP144" i="2"/>
  <c r="CO144" i="2"/>
  <c r="CN144" i="2"/>
  <c r="CM144" i="2"/>
  <c r="CL144" i="2"/>
  <c r="CK144" i="2"/>
  <c r="CJ144" i="2"/>
  <c r="CI144" i="2"/>
  <c r="CH144" i="2"/>
  <c r="CG144" i="2"/>
  <c r="CF144" i="2"/>
  <c r="CE144" i="2"/>
  <c r="CD144" i="2"/>
  <c r="CC144" i="2"/>
  <c r="CB144" i="2"/>
  <c r="CA144" i="2"/>
  <c r="BZ144" i="2"/>
  <c r="BY144" i="2"/>
  <c r="BX144" i="2"/>
  <c r="BW144" i="2"/>
  <c r="BV144" i="2"/>
  <c r="BU144" i="2"/>
  <c r="BT144" i="2"/>
  <c r="BS144" i="2"/>
  <c r="BR144" i="2"/>
  <c r="BQ144" i="2"/>
  <c r="BP144" i="2"/>
  <c r="BO144" i="2"/>
  <c r="BN144" i="2"/>
  <c r="BM144" i="2"/>
  <c r="BL144" i="2"/>
  <c r="BK144" i="2"/>
  <c r="BJ144" i="2"/>
  <c r="BI144" i="2"/>
  <c r="BH144" i="2"/>
  <c r="BG144" i="2"/>
  <c r="BF144" i="2"/>
  <c r="CQ143" i="2"/>
  <c r="CP143" i="2"/>
  <c r="CO143" i="2"/>
  <c r="CN143" i="2"/>
  <c r="CM143" i="2"/>
  <c r="CL143" i="2"/>
  <c r="CK143" i="2"/>
  <c r="CJ143" i="2"/>
  <c r="CI143" i="2"/>
  <c r="CH143" i="2"/>
  <c r="CG143" i="2"/>
  <c r="CF143" i="2"/>
  <c r="CE143" i="2"/>
  <c r="CD143" i="2"/>
  <c r="CC143" i="2"/>
  <c r="CB143" i="2"/>
  <c r="CA143" i="2"/>
  <c r="BZ143" i="2"/>
  <c r="BY143" i="2"/>
  <c r="BX143" i="2"/>
  <c r="BW143" i="2"/>
  <c r="BV143" i="2"/>
  <c r="BU143" i="2"/>
  <c r="BT143" i="2"/>
  <c r="BS143" i="2"/>
  <c r="BR143" i="2"/>
  <c r="BQ143" i="2"/>
  <c r="BP143" i="2"/>
  <c r="BO143" i="2"/>
  <c r="BN143" i="2"/>
  <c r="BM143" i="2"/>
  <c r="BL143" i="2"/>
  <c r="BK143" i="2"/>
  <c r="BJ143" i="2"/>
  <c r="BI143" i="2"/>
  <c r="BH143" i="2"/>
  <c r="BG143" i="2"/>
  <c r="BF143" i="2"/>
  <c r="CQ142" i="2"/>
  <c r="CP142" i="2"/>
  <c r="CO142" i="2"/>
  <c r="CN142" i="2"/>
  <c r="CM142" i="2"/>
  <c r="CL142" i="2"/>
  <c r="CK142" i="2"/>
  <c r="CJ142" i="2"/>
  <c r="CI142" i="2"/>
  <c r="CH142" i="2"/>
  <c r="CG142" i="2"/>
  <c r="CF142" i="2"/>
  <c r="CE142" i="2"/>
  <c r="CD142" i="2"/>
  <c r="CC142" i="2"/>
  <c r="CB142" i="2"/>
  <c r="CA142" i="2"/>
  <c r="BZ142" i="2"/>
  <c r="BY142" i="2"/>
  <c r="BX142" i="2"/>
  <c r="BW142" i="2"/>
  <c r="BV142" i="2"/>
  <c r="BU142" i="2"/>
  <c r="BT142" i="2"/>
  <c r="BS142" i="2"/>
  <c r="BR142" i="2"/>
  <c r="BQ142" i="2"/>
  <c r="BP142" i="2"/>
  <c r="BO142" i="2"/>
  <c r="BN142" i="2"/>
  <c r="BM142" i="2"/>
  <c r="BL142" i="2"/>
  <c r="BK142" i="2"/>
  <c r="BJ142" i="2"/>
  <c r="BI142" i="2"/>
  <c r="BH142" i="2"/>
  <c r="BG142" i="2"/>
  <c r="BF142" i="2"/>
  <c r="CQ141" i="2"/>
  <c r="CP141" i="2"/>
  <c r="CO141" i="2"/>
  <c r="CN141" i="2"/>
  <c r="CM141" i="2"/>
  <c r="CL141" i="2"/>
  <c r="CK141" i="2"/>
  <c r="CJ141" i="2"/>
  <c r="CI141" i="2"/>
  <c r="CH141" i="2"/>
  <c r="CG141" i="2"/>
  <c r="CF141" i="2"/>
  <c r="CE141" i="2"/>
  <c r="CD141" i="2"/>
  <c r="CC141" i="2"/>
  <c r="CB141" i="2"/>
  <c r="CA141" i="2"/>
  <c r="BZ141" i="2"/>
  <c r="BY141" i="2"/>
  <c r="BX141" i="2"/>
  <c r="BW141" i="2"/>
  <c r="BV141" i="2"/>
  <c r="BU141" i="2"/>
  <c r="BT141" i="2"/>
  <c r="BS141" i="2"/>
  <c r="BR141" i="2"/>
  <c r="BQ141" i="2"/>
  <c r="BP141" i="2"/>
  <c r="BO141" i="2"/>
  <c r="BN141" i="2"/>
  <c r="BM141" i="2"/>
  <c r="BL141" i="2"/>
  <c r="BK141" i="2"/>
  <c r="BJ141" i="2"/>
  <c r="BI141" i="2"/>
  <c r="BH141" i="2"/>
  <c r="BG141" i="2"/>
  <c r="BF141" i="2"/>
  <c r="CQ140" i="2"/>
  <c r="CP140" i="2"/>
  <c r="CO140" i="2"/>
  <c r="CN140" i="2"/>
  <c r="CM140" i="2"/>
  <c r="CL140" i="2"/>
  <c r="CK140" i="2"/>
  <c r="CJ140" i="2"/>
  <c r="CI140" i="2"/>
  <c r="CH140" i="2"/>
  <c r="CG140" i="2"/>
  <c r="CF140" i="2"/>
  <c r="CE140" i="2"/>
  <c r="CD140" i="2"/>
  <c r="CC140" i="2"/>
  <c r="CB140" i="2"/>
  <c r="CA140" i="2"/>
  <c r="BZ140" i="2"/>
  <c r="BY140" i="2"/>
  <c r="BX140" i="2"/>
  <c r="BW140" i="2"/>
  <c r="BV140" i="2"/>
  <c r="BU140" i="2"/>
  <c r="BT140" i="2"/>
  <c r="BS140" i="2"/>
  <c r="BR140" i="2"/>
  <c r="BQ140" i="2"/>
  <c r="BP140" i="2"/>
  <c r="BO140" i="2"/>
  <c r="BN140" i="2"/>
  <c r="BM140" i="2"/>
  <c r="BL140" i="2"/>
  <c r="BK140" i="2"/>
  <c r="BJ140" i="2"/>
  <c r="BI140" i="2"/>
  <c r="BH140" i="2"/>
  <c r="BG140" i="2"/>
  <c r="BF140" i="2"/>
  <c r="CQ139" i="2"/>
  <c r="CP139" i="2"/>
  <c r="CO139" i="2"/>
  <c r="CN139" i="2"/>
  <c r="CM139" i="2"/>
  <c r="CL139" i="2"/>
  <c r="CK139" i="2"/>
  <c r="CJ139" i="2"/>
  <c r="CI139" i="2"/>
  <c r="CH139" i="2"/>
  <c r="CG139" i="2"/>
  <c r="CF139" i="2"/>
  <c r="CE139" i="2"/>
  <c r="CD139" i="2"/>
  <c r="CC139" i="2"/>
  <c r="CB139" i="2"/>
  <c r="CA139" i="2"/>
  <c r="BZ139" i="2"/>
  <c r="BY139" i="2"/>
  <c r="BX139" i="2"/>
  <c r="BW139" i="2"/>
  <c r="BV139" i="2"/>
  <c r="BU139" i="2"/>
  <c r="BT139" i="2"/>
  <c r="BS139" i="2"/>
  <c r="BR139" i="2"/>
  <c r="BQ139" i="2"/>
  <c r="BP139" i="2"/>
  <c r="BO139" i="2"/>
  <c r="BN139" i="2"/>
  <c r="BM139" i="2"/>
  <c r="BL139" i="2"/>
  <c r="BK139" i="2"/>
  <c r="BJ139" i="2"/>
  <c r="BI139" i="2"/>
  <c r="BH139" i="2"/>
  <c r="BG139" i="2"/>
  <c r="BF139" i="2"/>
  <c r="CQ138" i="2"/>
  <c r="CP138" i="2"/>
  <c r="CO138" i="2"/>
  <c r="CN138" i="2"/>
  <c r="CM138" i="2"/>
  <c r="CL138" i="2"/>
  <c r="CK138" i="2"/>
  <c r="CJ138" i="2"/>
  <c r="CI138" i="2"/>
  <c r="CH138" i="2"/>
  <c r="CG138" i="2"/>
  <c r="CF138" i="2"/>
  <c r="CE138" i="2"/>
  <c r="CD138" i="2"/>
  <c r="CC138" i="2"/>
  <c r="CB138" i="2"/>
  <c r="CA138" i="2"/>
  <c r="BZ138" i="2"/>
  <c r="BY138" i="2"/>
  <c r="BX138" i="2"/>
  <c r="BW138" i="2"/>
  <c r="BV138" i="2"/>
  <c r="BU138" i="2"/>
  <c r="BT138" i="2"/>
  <c r="BS138" i="2"/>
  <c r="BR138" i="2"/>
  <c r="BQ138" i="2"/>
  <c r="BP138" i="2"/>
  <c r="BO138" i="2"/>
  <c r="BN138" i="2"/>
  <c r="BM138" i="2"/>
  <c r="BL138" i="2"/>
  <c r="BK138" i="2"/>
  <c r="BJ138" i="2"/>
  <c r="BI138" i="2"/>
  <c r="BH138" i="2"/>
  <c r="BG138" i="2"/>
  <c r="BF138" i="2"/>
  <c r="CQ137" i="2"/>
  <c r="CP137" i="2"/>
  <c r="CO137" i="2"/>
  <c r="CN137" i="2"/>
  <c r="CM137" i="2"/>
  <c r="CL137" i="2"/>
  <c r="CK137" i="2"/>
  <c r="CJ137" i="2"/>
  <c r="CI137" i="2"/>
  <c r="CH137" i="2"/>
  <c r="CG137" i="2"/>
  <c r="CF137" i="2"/>
  <c r="CE137" i="2"/>
  <c r="CD137" i="2"/>
  <c r="CC137" i="2"/>
  <c r="CB137" i="2"/>
  <c r="CA137" i="2"/>
  <c r="BZ137" i="2"/>
  <c r="BY137" i="2"/>
  <c r="BX137" i="2"/>
  <c r="BW137" i="2"/>
  <c r="BV137" i="2"/>
  <c r="BU137" i="2"/>
  <c r="BT137" i="2"/>
  <c r="BS137" i="2"/>
  <c r="BR137" i="2"/>
  <c r="BQ137" i="2"/>
  <c r="BP137" i="2"/>
  <c r="BO137" i="2"/>
  <c r="BN137" i="2"/>
  <c r="BM137" i="2"/>
  <c r="BL137" i="2"/>
  <c r="BK137" i="2"/>
  <c r="BJ137" i="2"/>
  <c r="BI137" i="2"/>
  <c r="BH137" i="2"/>
  <c r="BG137" i="2"/>
  <c r="BF137" i="2"/>
  <c r="CQ136" i="2"/>
  <c r="CP136" i="2"/>
  <c r="CO136" i="2"/>
  <c r="CN136" i="2"/>
  <c r="CM136" i="2"/>
  <c r="CL136" i="2"/>
  <c r="CK136" i="2"/>
  <c r="CJ136" i="2"/>
  <c r="CI136" i="2"/>
  <c r="CH136" i="2"/>
  <c r="CG136" i="2"/>
  <c r="CF136" i="2"/>
  <c r="CE136" i="2"/>
  <c r="CD136" i="2"/>
  <c r="CC136" i="2"/>
  <c r="CB136" i="2"/>
  <c r="CA136" i="2"/>
  <c r="BZ136" i="2"/>
  <c r="BY136" i="2"/>
  <c r="BX136" i="2"/>
  <c r="BW136" i="2"/>
  <c r="BV136" i="2"/>
  <c r="BU136" i="2"/>
  <c r="BT136" i="2"/>
  <c r="BS136" i="2"/>
  <c r="BR136" i="2"/>
  <c r="BQ136" i="2"/>
  <c r="BP136" i="2"/>
  <c r="BO136" i="2"/>
  <c r="BN136" i="2"/>
  <c r="BM136" i="2"/>
  <c r="BL136" i="2"/>
  <c r="BK136" i="2"/>
  <c r="BJ136" i="2"/>
  <c r="BI136" i="2"/>
  <c r="BH136" i="2"/>
  <c r="BG136" i="2"/>
  <c r="BF136" i="2"/>
  <c r="CQ135" i="2"/>
  <c r="CP135" i="2"/>
  <c r="CO135" i="2"/>
  <c r="CN135" i="2"/>
  <c r="CM135" i="2"/>
  <c r="CL135" i="2"/>
  <c r="CK135" i="2"/>
  <c r="CJ135" i="2"/>
  <c r="CI135" i="2"/>
  <c r="CH135" i="2"/>
  <c r="CG135" i="2"/>
  <c r="CF135" i="2"/>
  <c r="CE135" i="2"/>
  <c r="CD135" i="2"/>
  <c r="CC135" i="2"/>
  <c r="CB135" i="2"/>
  <c r="CA135" i="2"/>
  <c r="BZ135" i="2"/>
  <c r="BY135" i="2"/>
  <c r="BX135" i="2"/>
  <c r="BW135" i="2"/>
  <c r="BV135" i="2"/>
  <c r="BU135" i="2"/>
  <c r="BT135" i="2"/>
  <c r="BS135" i="2"/>
  <c r="BR135" i="2"/>
  <c r="BQ135" i="2"/>
  <c r="BP135" i="2"/>
  <c r="BO135" i="2"/>
  <c r="BN135" i="2"/>
  <c r="BM135" i="2"/>
  <c r="BL135" i="2"/>
  <c r="BK135" i="2"/>
  <c r="BJ135" i="2"/>
  <c r="BI135" i="2"/>
  <c r="BH135" i="2"/>
  <c r="BG135" i="2"/>
  <c r="BF135" i="2"/>
  <c r="CQ134" i="2"/>
  <c r="CP134" i="2"/>
  <c r="CO134" i="2"/>
  <c r="CN134" i="2"/>
  <c r="CM134" i="2"/>
  <c r="CL134" i="2"/>
  <c r="CK134" i="2"/>
  <c r="CJ134" i="2"/>
  <c r="CI134" i="2"/>
  <c r="CH134" i="2"/>
  <c r="CG134" i="2"/>
  <c r="CF134" i="2"/>
  <c r="CE134" i="2"/>
  <c r="CD134" i="2"/>
  <c r="CC134" i="2"/>
  <c r="CB134" i="2"/>
  <c r="CA134" i="2"/>
  <c r="BZ134" i="2"/>
  <c r="BY134" i="2"/>
  <c r="BX134" i="2"/>
  <c r="BW134" i="2"/>
  <c r="BV134" i="2"/>
  <c r="BU134" i="2"/>
  <c r="BT134" i="2"/>
  <c r="BS134" i="2"/>
  <c r="BR134" i="2"/>
  <c r="BQ134" i="2"/>
  <c r="BP134" i="2"/>
  <c r="BO134" i="2"/>
  <c r="BN134" i="2"/>
  <c r="BM134" i="2"/>
  <c r="BL134" i="2"/>
  <c r="BK134" i="2"/>
  <c r="BJ134" i="2"/>
  <c r="BI134" i="2"/>
  <c r="BH134" i="2"/>
  <c r="BG134" i="2"/>
  <c r="BF134" i="2"/>
  <c r="CQ133" i="2"/>
  <c r="CP133" i="2"/>
  <c r="CO133" i="2"/>
  <c r="CN133" i="2"/>
  <c r="CM133" i="2"/>
  <c r="CL133" i="2"/>
  <c r="CK133" i="2"/>
  <c r="CJ133" i="2"/>
  <c r="CI133" i="2"/>
  <c r="CH133" i="2"/>
  <c r="CG133" i="2"/>
  <c r="CF133" i="2"/>
  <c r="CE133" i="2"/>
  <c r="CD133" i="2"/>
  <c r="CC133" i="2"/>
  <c r="CB133" i="2"/>
  <c r="CA133" i="2"/>
  <c r="BZ133" i="2"/>
  <c r="BY133" i="2"/>
  <c r="BX133" i="2"/>
  <c r="BW133" i="2"/>
  <c r="BV133" i="2"/>
  <c r="BU133" i="2"/>
  <c r="BT133" i="2"/>
  <c r="BS133" i="2"/>
  <c r="BR133" i="2"/>
  <c r="BQ133" i="2"/>
  <c r="BP133" i="2"/>
  <c r="BO133" i="2"/>
  <c r="BN133" i="2"/>
  <c r="BM133" i="2"/>
  <c r="BL133" i="2"/>
  <c r="BK133" i="2"/>
  <c r="BJ133" i="2"/>
  <c r="BI133" i="2"/>
  <c r="BH133" i="2"/>
  <c r="BG133" i="2"/>
  <c r="BF133" i="2"/>
  <c r="CQ132" i="2"/>
  <c r="CP132" i="2"/>
  <c r="CO132" i="2"/>
  <c r="CN132" i="2"/>
  <c r="CM132" i="2"/>
  <c r="CL132" i="2"/>
  <c r="CK132" i="2"/>
  <c r="CJ132" i="2"/>
  <c r="CI132" i="2"/>
  <c r="CH132" i="2"/>
  <c r="CG132" i="2"/>
  <c r="CF132" i="2"/>
  <c r="CE132" i="2"/>
  <c r="CD132" i="2"/>
  <c r="CC132" i="2"/>
  <c r="CB132" i="2"/>
  <c r="CA132" i="2"/>
  <c r="BZ132" i="2"/>
  <c r="BY132" i="2"/>
  <c r="BX132" i="2"/>
  <c r="BW132" i="2"/>
  <c r="BV132" i="2"/>
  <c r="BU132" i="2"/>
  <c r="BT132" i="2"/>
  <c r="BS132" i="2"/>
  <c r="BR132" i="2"/>
  <c r="BQ132" i="2"/>
  <c r="BP132" i="2"/>
  <c r="BO132" i="2"/>
  <c r="BN132" i="2"/>
  <c r="BM132" i="2"/>
  <c r="BL132" i="2"/>
  <c r="BK132" i="2"/>
  <c r="BJ132" i="2"/>
  <c r="BI132" i="2"/>
  <c r="BH132" i="2"/>
  <c r="BG132" i="2"/>
  <c r="BF132" i="2"/>
  <c r="CQ131" i="2"/>
  <c r="CP131" i="2"/>
  <c r="CO131" i="2"/>
  <c r="CN131" i="2"/>
  <c r="CM131" i="2"/>
  <c r="CL131" i="2"/>
  <c r="CK131" i="2"/>
  <c r="CJ131" i="2"/>
  <c r="CI131" i="2"/>
  <c r="CH131" i="2"/>
  <c r="CG131" i="2"/>
  <c r="CF131" i="2"/>
  <c r="CE131" i="2"/>
  <c r="CD131" i="2"/>
  <c r="CC131" i="2"/>
  <c r="CB131" i="2"/>
  <c r="CA131" i="2"/>
  <c r="BZ131" i="2"/>
  <c r="BY131" i="2"/>
  <c r="BX131" i="2"/>
  <c r="BW131" i="2"/>
  <c r="BV131" i="2"/>
  <c r="BU131" i="2"/>
  <c r="BT131" i="2"/>
  <c r="BS131" i="2"/>
  <c r="BR131" i="2"/>
  <c r="BQ131" i="2"/>
  <c r="BP131" i="2"/>
  <c r="BO131" i="2"/>
  <c r="BN131" i="2"/>
  <c r="BM131" i="2"/>
  <c r="BL131" i="2"/>
  <c r="BK131" i="2"/>
  <c r="BJ131" i="2"/>
  <c r="BI131" i="2"/>
  <c r="BH131" i="2"/>
  <c r="BG131" i="2"/>
  <c r="BF131" i="2"/>
  <c r="CQ130" i="2"/>
  <c r="CP130" i="2"/>
  <c r="CO130" i="2"/>
  <c r="CN130" i="2"/>
  <c r="CM130" i="2"/>
  <c r="CL130" i="2"/>
  <c r="CK130" i="2"/>
  <c r="CJ130" i="2"/>
  <c r="CI130" i="2"/>
  <c r="CH130" i="2"/>
  <c r="CG130" i="2"/>
  <c r="CF130" i="2"/>
  <c r="CE130" i="2"/>
  <c r="CD130" i="2"/>
  <c r="CC130" i="2"/>
  <c r="CB130" i="2"/>
  <c r="CA130" i="2"/>
  <c r="BZ130" i="2"/>
  <c r="BY130" i="2"/>
  <c r="BX130" i="2"/>
  <c r="BW130" i="2"/>
  <c r="BV130" i="2"/>
  <c r="BU130" i="2"/>
  <c r="BT130" i="2"/>
  <c r="BS130" i="2"/>
  <c r="BR130" i="2"/>
  <c r="BQ130" i="2"/>
  <c r="BP130" i="2"/>
  <c r="BO130" i="2"/>
  <c r="BN130" i="2"/>
  <c r="BM130" i="2"/>
  <c r="BL130" i="2"/>
  <c r="BK130" i="2"/>
  <c r="BJ130" i="2"/>
  <c r="BI130" i="2"/>
  <c r="BH130" i="2"/>
  <c r="BG130" i="2"/>
  <c r="BF130" i="2"/>
  <c r="CQ129" i="2"/>
  <c r="CP129" i="2"/>
  <c r="CO129" i="2"/>
  <c r="CN129" i="2"/>
  <c r="CM129" i="2"/>
  <c r="CL129" i="2"/>
  <c r="CK129" i="2"/>
  <c r="CJ129" i="2"/>
  <c r="CI129" i="2"/>
  <c r="CH129" i="2"/>
  <c r="CG129" i="2"/>
  <c r="CF129" i="2"/>
  <c r="CE129" i="2"/>
  <c r="CD129" i="2"/>
  <c r="CC129" i="2"/>
  <c r="CB129" i="2"/>
  <c r="CA129" i="2"/>
  <c r="BZ129" i="2"/>
  <c r="BY129" i="2"/>
  <c r="BX129" i="2"/>
  <c r="BW129" i="2"/>
  <c r="BV129" i="2"/>
  <c r="BU129" i="2"/>
  <c r="BT129" i="2"/>
  <c r="BS129" i="2"/>
  <c r="BR129" i="2"/>
  <c r="BQ129" i="2"/>
  <c r="BP129" i="2"/>
  <c r="BO129" i="2"/>
  <c r="BN129" i="2"/>
  <c r="BM129" i="2"/>
  <c r="BL129" i="2"/>
  <c r="BK129" i="2"/>
  <c r="BJ129" i="2"/>
  <c r="BI129" i="2"/>
  <c r="BH129" i="2"/>
  <c r="BG129" i="2"/>
  <c r="BF129" i="2"/>
  <c r="CQ128" i="2"/>
  <c r="CP128" i="2"/>
  <c r="CO128" i="2"/>
  <c r="CN128" i="2"/>
  <c r="CM128" i="2"/>
  <c r="CL128" i="2"/>
  <c r="CK128" i="2"/>
  <c r="CJ128" i="2"/>
  <c r="CI128" i="2"/>
  <c r="CH128" i="2"/>
  <c r="CG128" i="2"/>
  <c r="CF128" i="2"/>
  <c r="CE128" i="2"/>
  <c r="CD128" i="2"/>
  <c r="CC128" i="2"/>
  <c r="CB128" i="2"/>
  <c r="CA128" i="2"/>
  <c r="BZ128" i="2"/>
  <c r="BY128" i="2"/>
  <c r="BX128" i="2"/>
  <c r="BW128" i="2"/>
  <c r="BV128" i="2"/>
  <c r="BU128" i="2"/>
  <c r="BT128" i="2"/>
  <c r="BS128" i="2"/>
  <c r="BR128" i="2"/>
  <c r="BQ128" i="2"/>
  <c r="BP128" i="2"/>
  <c r="BO128" i="2"/>
  <c r="BN128" i="2"/>
  <c r="BM128" i="2"/>
  <c r="BL128" i="2"/>
  <c r="BK128" i="2"/>
  <c r="BJ128" i="2"/>
  <c r="BI128" i="2"/>
  <c r="BH128" i="2"/>
  <c r="BG128" i="2"/>
  <c r="BF128" i="2"/>
  <c r="CQ127" i="2"/>
  <c r="CP127" i="2"/>
  <c r="CO127" i="2"/>
  <c r="CN127" i="2"/>
  <c r="CM127" i="2"/>
  <c r="CL127" i="2"/>
  <c r="CK127" i="2"/>
  <c r="CJ127" i="2"/>
  <c r="CI127" i="2"/>
  <c r="CH127" i="2"/>
  <c r="CG127" i="2"/>
  <c r="CF127" i="2"/>
  <c r="CE127" i="2"/>
  <c r="CD127" i="2"/>
  <c r="CC127" i="2"/>
  <c r="CB127" i="2"/>
  <c r="CA127" i="2"/>
  <c r="BZ127" i="2"/>
  <c r="BY127" i="2"/>
  <c r="BX127" i="2"/>
  <c r="BW127" i="2"/>
  <c r="BV127" i="2"/>
  <c r="BU127" i="2"/>
  <c r="BT127" i="2"/>
  <c r="BS127" i="2"/>
  <c r="BR127" i="2"/>
  <c r="BQ127" i="2"/>
  <c r="BP127" i="2"/>
  <c r="BO127" i="2"/>
  <c r="BN127" i="2"/>
  <c r="BM127" i="2"/>
  <c r="BL127" i="2"/>
  <c r="BK127" i="2"/>
  <c r="BJ127" i="2"/>
  <c r="BI127" i="2"/>
  <c r="BH127" i="2"/>
  <c r="BG127" i="2"/>
  <c r="BF127" i="2"/>
  <c r="CQ126" i="2"/>
  <c r="CP126" i="2"/>
  <c r="CO126" i="2"/>
  <c r="CN126" i="2"/>
  <c r="CM126" i="2"/>
  <c r="CL126" i="2"/>
  <c r="CK126" i="2"/>
  <c r="CJ126" i="2"/>
  <c r="CI126" i="2"/>
  <c r="CH126" i="2"/>
  <c r="CG126" i="2"/>
  <c r="CF126" i="2"/>
  <c r="CE126" i="2"/>
  <c r="CD126" i="2"/>
  <c r="CC126" i="2"/>
  <c r="CB126" i="2"/>
  <c r="CA126" i="2"/>
  <c r="BZ126" i="2"/>
  <c r="BY126" i="2"/>
  <c r="BX126" i="2"/>
  <c r="BW126" i="2"/>
  <c r="BV126" i="2"/>
  <c r="BU126" i="2"/>
  <c r="BT126" i="2"/>
  <c r="BS126" i="2"/>
  <c r="BR126" i="2"/>
  <c r="BQ126" i="2"/>
  <c r="BP126" i="2"/>
  <c r="BO126" i="2"/>
  <c r="BN126" i="2"/>
  <c r="BM126" i="2"/>
  <c r="BL126" i="2"/>
  <c r="BK126" i="2"/>
  <c r="BJ126" i="2"/>
  <c r="BI126" i="2"/>
  <c r="BH126" i="2"/>
  <c r="BG126" i="2"/>
  <c r="BF126" i="2"/>
  <c r="CQ125" i="2"/>
  <c r="CP125" i="2"/>
  <c r="CO125" i="2"/>
  <c r="CN125" i="2"/>
  <c r="CM125" i="2"/>
  <c r="CL125" i="2"/>
  <c r="CK125" i="2"/>
  <c r="CJ125" i="2"/>
  <c r="CI125" i="2"/>
  <c r="CH125" i="2"/>
  <c r="CG125" i="2"/>
  <c r="CF125" i="2"/>
  <c r="CE125" i="2"/>
  <c r="CD125" i="2"/>
  <c r="CC125" i="2"/>
  <c r="CB125" i="2"/>
  <c r="CA125" i="2"/>
  <c r="BZ125" i="2"/>
  <c r="BY125" i="2"/>
  <c r="BX125" i="2"/>
  <c r="BW125" i="2"/>
  <c r="BV125" i="2"/>
  <c r="BU125" i="2"/>
  <c r="BT125" i="2"/>
  <c r="BS125" i="2"/>
  <c r="BR125" i="2"/>
  <c r="BQ125" i="2"/>
  <c r="BP125" i="2"/>
  <c r="BO125" i="2"/>
  <c r="BN125" i="2"/>
  <c r="BM125" i="2"/>
  <c r="BL125" i="2"/>
  <c r="BK125" i="2"/>
  <c r="BJ125" i="2"/>
  <c r="BI125" i="2"/>
  <c r="BH125" i="2"/>
  <c r="BG125" i="2"/>
  <c r="BF125" i="2"/>
  <c r="CQ124" i="2"/>
  <c r="CP124" i="2"/>
  <c r="CO124" i="2"/>
  <c r="CN124" i="2"/>
  <c r="CM124" i="2"/>
  <c r="CL124" i="2"/>
  <c r="CK124" i="2"/>
  <c r="CJ124" i="2"/>
  <c r="CI124" i="2"/>
  <c r="CH124" i="2"/>
  <c r="CG124" i="2"/>
  <c r="CF124" i="2"/>
  <c r="CE124" i="2"/>
  <c r="CD124" i="2"/>
  <c r="CC124" i="2"/>
  <c r="CB124" i="2"/>
  <c r="CA124" i="2"/>
  <c r="BZ124" i="2"/>
  <c r="BY124" i="2"/>
  <c r="BX124" i="2"/>
  <c r="BW124" i="2"/>
  <c r="BV124" i="2"/>
  <c r="BU124" i="2"/>
  <c r="BT124" i="2"/>
  <c r="BS124" i="2"/>
  <c r="BR124" i="2"/>
  <c r="BQ124" i="2"/>
  <c r="BP124" i="2"/>
  <c r="BO124" i="2"/>
  <c r="BN124" i="2"/>
  <c r="BM124" i="2"/>
  <c r="BL124" i="2"/>
  <c r="BK124" i="2"/>
  <c r="BJ124" i="2"/>
  <c r="BI124" i="2"/>
  <c r="BH124" i="2"/>
  <c r="BG124" i="2"/>
  <c r="BF124" i="2"/>
  <c r="CQ123" i="2"/>
  <c r="CP123" i="2"/>
  <c r="CO123" i="2"/>
  <c r="CN123" i="2"/>
  <c r="CM123" i="2"/>
  <c r="CL123" i="2"/>
  <c r="CK123" i="2"/>
  <c r="CJ123" i="2"/>
  <c r="CI123" i="2"/>
  <c r="CH123" i="2"/>
  <c r="CG123" i="2"/>
  <c r="CF123" i="2"/>
  <c r="CE123" i="2"/>
  <c r="CD123" i="2"/>
  <c r="CC123" i="2"/>
  <c r="CB123" i="2"/>
  <c r="CA123" i="2"/>
  <c r="BZ123" i="2"/>
  <c r="BY123" i="2"/>
  <c r="BX123" i="2"/>
  <c r="BW123" i="2"/>
  <c r="BV123" i="2"/>
  <c r="BU123" i="2"/>
  <c r="BT123" i="2"/>
  <c r="BS123" i="2"/>
  <c r="BR123" i="2"/>
  <c r="BQ123" i="2"/>
  <c r="BP123" i="2"/>
  <c r="BO123" i="2"/>
  <c r="BN123" i="2"/>
  <c r="BM123" i="2"/>
  <c r="BL123" i="2"/>
  <c r="BK123" i="2"/>
  <c r="BJ123" i="2"/>
  <c r="BI123" i="2"/>
  <c r="BH123" i="2"/>
  <c r="BG123" i="2"/>
  <c r="BF123" i="2"/>
  <c r="CQ122" i="2"/>
  <c r="CP122" i="2"/>
  <c r="CO122" i="2"/>
  <c r="CN122" i="2"/>
  <c r="CM122" i="2"/>
  <c r="CL122" i="2"/>
  <c r="CK122" i="2"/>
  <c r="CJ122" i="2"/>
  <c r="CI122" i="2"/>
  <c r="CH122" i="2"/>
  <c r="CG122" i="2"/>
  <c r="CF122" i="2"/>
  <c r="CE122" i="2"/>
  <c r="CD122" i="2"/>
  <c r="CC122" i="2"/>
  <c r="CB122" i="2"/>
  <c r="CA122" i="2"/>
  <c r="BZ122" i="2"/>
  <c r="BY122" i="2"/>
  <c r="BX122" i="2"/>
  <c r="BW122" i="2"/>
  <c r="BV122" i="2"/>
  <c r="BU122" i="2"/>
  <c r="BT122" i="2"/>
  <c r="BS122" i="2"/>
  <c r="BR122" i="2"/>
  <c r="BQ122" i="2"/>
  <c r="BP122" i="2"/>
  <c r="BO122" i="2"/>
  <c r="BN122" i="2"/>
  <c r="BM122" i="2"/>
  <c r="BL122" i="2"/>
  <c r="BK122" i="2"/>
  <c r="BJ122" i="2"/>
  <c r="BI122" i="2"/>
  <c r="BH122" i="2"/>
  <c r="BG122" i="2"/>
  <c r="BF122" i="2"/>
  <c r="CQ121" i="2"/>
  <c r="CP121" i="2"/>
  <c r="CO121" i="2"/>
  <c r="CN121" i="2"/>
  <c r="CM121" i="2"/>
  <c r="CL121" i="2"/>
  <c r="CK121" i="2"/>
  <c r="CJ121" i="2"/>
  <c r="CI121" i="2"/>
  <c r="CH121" i="2"/>
  <c r="CG121" i="2"/>
  <c r="CF121" i="2"/>
  <c r="CE121" i="2"/>
  <c r="CD121" i="2"/>
  <c r="CC121" i="2"/>
  <c r="CB121" i="2"/>
  <c r="CA121" i="2"/>
  <c r="BZ121" i="2"/>
  <c r="BY121" i="2"/>
  <c r="BX121" i="2"/>
  <c r="BW121" i="2"/>
  <c r="BV121" i="2"/>
  <c r="BU121" i="2"/>
  <c r="BT121" i="2"/>
  <c r="BS121" i="2"/>
  <c r="BR121" i="2"/>
  <c r="BQ121" i="2"/>
  <c r="BP121" i="2"/>
  <c r="BO121" i="2"/>
  <c r="BN121" i="2"/>
  <c r="BM121" i="2"/>
  <c r="BL121" i="2"/>
  <c r="BK121" i="2"/>
  <c r="BJ121" i="2"/>
  <c r="BI121" i="2"/>
  <c r="BH121" i="2"/>
  <c r="BG121" i="2"/>
  <c r="BF121" i="2"/>
  <c r="CQ120" i="2"/>
  <c r="CP120" i="2"/>
  <c r="CO120" i="2"/>
  <c r="CN120" i="2"/>
  <c r="CM120" i="2"/>
  <c r="CL120" i="2"/>
  <c r="CK120" i="2"/>
  <c r="CJ120" i="2"/>
  <c r="CI120" i="2"/>
  <c r="CH120" i="2"/>
  <c r="CG120" i="2"/>
  <c r="CF120" i="2"/>
  <c r="CE120" i="2"/>
  <c r="CD120" i="2"/>
  <c r="CC120" i="2"/>
  <c r="CB120" i="2"/>
  <c r="CA120" i="2"/>
  <c r="BZ120" i="2"/>
  <c r="BY120" i="2"/>
  <c r="BX120" i="2"/>
  <c r="BW120" i="2"/>
  <c r="BV120" i="2"/>
  <c r="BU120" i="2"/>
  <c r="BT120" i="2"/>
  <c r="BS120" i="2"/>
  <c r="BR120" i="2"/>
  <c r="BQ120" i="2"/>
  <c r="BP120" i="2"/>
  <c r="BO120" i="2"/>
  <c r="BN120" i="2"/>
  <c r="BM120" i="2"/>
  <c r="BL120" i="2"/>
  <c r="BK120" i="2"/>
  <c r="BJ120" i="2"/>
  <c r="BI120" i="2"/>
  <c r="BH120" i="2"/>
  <c r="BG120" i="2"/>
  <c r="BF120" i="2"/>
  <c r="CQ119" i="2"/>
  <c r="CP119" i="2"/>
  <c r="CO119" i="2"/>
  <c r="CN119" i="2"/>
  <c r="CM119" i="2"/>
  <c r="CL119" i="2"/>
  <c r="CK119" i="2"/>
  <c r="CJ119" i="2"/>
  <c r="CI119" i="2"/>
  <c r="CH119" i="2"/>
  <c r="CG119" i="2"/>
  <c r="CF119" i="2"/>
  <c r="CE119" i="2"/>
  <c r="CD119" i="2"/>
  <c r="CC119" i="2"/>
  <c r="CB119" i="2"/>
  <c r="CA119" i="2"/>
  <c r="BZ119" i="2"/>
  <c r="BY119" i="2"/>
  <c r="BX119" i="2"/>
  <c r="BW119" i="2"/>
  <c r="BV119" i="2"/>
  <c r="BU119" i="2"/>
  <c r="BT119" i="2"/>
  <c r="BS119" i="2"/>
  <c r="BR119" i="2"/>
  <c r="BQ119" i="2"/>
  <c r="BP119" i="2"/>
  <c r="BO119" i="2"/>
  <c r="BN119" i="2"/>
  <c r="BM119" i="2"/>
  <c r="BL119" i="2"/>
  <c r="BK119" i="2"/>
  <c r="BJ119" i="2"/>
  <c r="BI119" i="2"/>
  <c r="BH119" i="2"/>
  <c r="BG119" i="2"/>
  <c r="BF119" i="2"/>
  <c r="CQ118" i="2"/>
  <c r="CP118" i="2"/>
  <c r="CO118" i="2"/>
  <c r="CN118" i="2"/>
  <c r="CM118" i="2"/>
  <c r="CL118" i="2"/>
  <c r="CK118" i="2"/>
  <c r="CJ118" i="2"/>
  <c r="CI118" i="2"/>
  <c r="CH118" i="2"/>
  <c r="CG118" i="2"/>
  <c r="CF118" i="2"/>
  <c r="CE118" i="2"/>
  <c r="CD118" i="2"/>
  <c r="CC118" i="2"/>
  <c r="CB118" i="2"/>
  <c r="CA118" i="2"/>
  <c r="BZ118" i="2"/>
  <c r="BY118" i="2"/>
  <c r="BX118" i="2"/>
  <c r="BW118" i="2"/>
  <c r="BV118" i="2"/>
  <c r="BU118" i="2"/>
  <c r="BT118" i="2"/>
  <c r="BS118" i="2"/>
  <c r="BR118" i="2"/>
  <c r="BQ118" i="2"/>
  <c r="BP118" i="2"/>
  <c r="BO118" i="2"/>
  <c r="BN118" i="2"/>
  <c r="BM118" i="2"/>
  <c r="BL118" i="2"/>
  <c r="BK118" i="2"/>
  <c r="BJ118" i="2"/>
  <c r="BI118" i="2"/>
  <c r="BH118" i="2"/>
  <c r="BG118" i="2"/>
  <c r="BF118" i="2"/>
  <c r="CQ117" i="2"/>
  <c r="CP117" i="2"/>
  <c r="CO117" i="2"/>
  <c r="CN117" i="2"/>
  <c r="CM117" i="2"/>
  <c r="CL117" i="2"/>
  <c r="CK117" i="2"/>
  <c r="CJ117" i="2"/>
  <c r="CI117" i="2"/>
  <c r="CH117" i="2"/>
  <c r="CG117" i="2"/>
  <c r="CF117" i="2"/>
  <c r="CE117" i="2"/>
  <c r="CD117" i="2"/>
  <c r="CC117" i="2"/>
  <c r="CB117" i="2"/>
  <c r="CA117" i="2"/>
  <c r="BZ117" i="2"/>
  <c r="BY117" i="2"/>
  <c r="BX117" i="2"/>
  <c r="BW117" i="2"/>
  <c r="BV117" i="2"/>
  <c r="BU117" i="2"/>
  <c r="BT117" i="2"/>
  <c r="BS117" i="2"/>
  <c r="BR117" i="2"/>
  <c r="BQ117" i="2"/>
  <c r="BP117" i="2"/>
  <c r="BO117" i="2"/>
  <c r="BN117" i="2"/>
  <c r="BM117" i="2"/>
  <c r="BL117" i="2"/>
  <c r="BK117" i="2"/>
  <c r="BJ117" i="2"/>
  <c r="BI117" i="2"/>
  <c r="BH117" i="2"/>
  <c r="BG117" i="2"/>
  <c r="BF117" i="2"/>
  <c r="CQ116" i="2"/>
  <c r="CP116" i="2"/>
  <c r="CO116" i="2"/>
  <c r="CN116" i="2"/>
  <c r="CM116" i="2"/>
  <c r="CL116" i="2"/>
  <c r="CK116" i="2"/>
  <c r="CJ116" i="2"/>
  <c r="CI116" i="2"/>
  <c r="CH116" i="2"/>
  <c r="CG116" i="2"/>
  <c r="CF116" i="2"/>
  <c r="CE116" i="2"/>
  <c r="CD116" i="2"/>
  <c r="CC116" i="2"/>
  <c r="CB116" i="2"/>
  <c r="CA116" i="2"/>
  <c r="BZ116" i="2"/>
  <c r="BY116" i="2"/>
  <c r="BX116" i="2"/>
  <c r="BW116" i="2"/>
  <c r="BV116" i="2"/>
  <c r="BU116" i="2"/>
  <c r="BT116" i="2"/>
  <c r="BS116" i="2"/>
  <c r="BR116" i="2"/>
  <c r="BQ116" i="2"/>
  <c r="BP116" i="2"/>
  <c r="BO116" i="2"/>
  <c r="BN116" i="2"/>
  <c r="BM116" i="2"/>
  <c r="BL116" i="2"/>
  <c r="BK116" i="2"/>
  <c r="BJ116" i="2"/>
  <c r="BI116" i="2"/>
  <c r="BH116" i="2"/>
  <c r="BG116" i="2"/>
  <c r="BF116" i="2"/>
  <c r="CQ115" i="2"/>
  <c r="CP115" i="2"/>
  <c r="CO115" i="2"/>
  <c r="CN115" i="2"/>
  <c r="CM115" i="2"/>
  <c r="CL115" i="2"/>
  <c r="CK115" i="2"/>
  <c r="CJ115" i="2"/>
  <c r="CI115" i="2"/>
  <c r="CH115" i="2"/>
  <c r="CG115" i="2"/>
  <c r="CF115" i="2"/>
  <c r="CE115" i="2"/>
  <c r="CD115" i="2"/>
  <c r="CC115" i="2"/>
  <c r="CB115" i="2"/>
  <c r="CA115" i="2"/>
  <c r="BZ115" i="2"/>
  <c r="BY115" i="2"/>
  <c r="BX115" i="2"/>
  <c r="BW115" i="2"/>
  <c r="BV115" i="2"/>
  <c r="BU115" i="2"/>
  <c r="BT115" i="2"/>
  <c r="BS115" i="2"/>
  <c r="BR115" i="2"/>
  <c r="BQ115" i="2"/>
  <c r="BP115" i="2"/>
  <c r="BO115" i="2"/>
  <c r="BN115" i="2"/>
  <c r="BM115" i="2"/>
  <c r="BL115" i="2"/>
  <c r="BK115" i="2"/>
  <c r="BJ115" i="2"/>
  <c r="BI115" i="2"/>
  <c r="BH115" i="2"/>
  <c r="BG115" i="2"/>
  <c r="BF115" i="2"/>
  <c r="CQ114" i="2"/>
  <c r="CP114" i="2"/>
  <c r="CO114" i="2"/>
  <c r="CN114" i="2"/>
  <c r="CM114" i="2"/>
  <c r="CL114" i="2"/>
  <c r="CK114" i="2"/>
  <c r="CJ114" i="2"/>
  <c r="CI114" i="2"/>
  <c r="CH114" i="2"/>
  <c r="CG114" i="2"/>
  <c r="CF114" i="2"/>
  <c r="CE114" i="2"/>
  <c r="CD114" i="2"/>
  <c r="CC114" i="2"/>
  <c r="CB114" i="2"/>
  <c r="CA114" i="2"/>
  <c r="BZ114" i="2"/>
  <c r="BY114" i="2"/>
  <c r="BX114" i="2"/>
  <c r="BW114" i="2"/>
  <c r="BV114" i="2"/>
  <c r="BU114" i="2"/>
  <c r="BT114" i="2"/>
  <c r="BS114" i="2"/>
  <c r="BR114" i="2"/>
  <c r="BQ114" i="2"/>
  <c r="BP114" i="2"/>
  <c r="BO114" i="2"/>
  <c r="BN114" i="2"/>
  <c r="BM114" i="2"/>
  <c r="BL114" i="2"/>
  <c r="BK114" i="2"/>
  <c r="BJ114" i="2"/>
  <c r="BI114" i="2"/>
  <c r="BH114" i="2"/>
  <c r="BG114" i="2"/>
  <c r="BF114" i="2"/>
  <c r="CQ113" i="2"/>
  <c r="CP113" i="2"/>
  <c r="CO113" i="2"/>
  <c r="CN113" i="2"/>
  <c r="CM113" i="2"/>
  <c r="CL113" i="2"/>
  <c r="CK113" i="2"/>
  <c r="CJ113" i="2"/>
  <c r="CI113" i="2"/>
  <c r="CH113" i="2"/>
  <c r="CG113" i="2"/>
  <c r="CF113" i="2"/>
  <c r="CE113" i="2"/>
  <c r="CD113" i="2"/>
  <c r="CC113" i="2"/>
  <c r="CB113" i="2"/>
  <c r="CA113" i="2"/>
  <c r="BZ113" i="2"/>
  <c r="BY113" i="2"/>
  <c r="BX113" i="2"/>
  <c r="BW113" i="2"/>
  <c r="BV113" i="2"/>
  <c r="BU113" i="2"/>
  <c r="BT113" i="2"/>
  <c r="BS113" i="2"/>
  <c r="BR113" i="2"/>
  <c r="BQ113" i="2"/>
  <c r="BP113" i="2"/>
  <c r="BO113" i="2"/>
  <c r="BN113" i="2"/>
  <c r="BM113" i="2"/>
  <c r="BL113" i="2"/>
  <c r="BK113" i="2"/>
  <c r="BJ113" i="2"/>
  <c r="BI113" i="2"/>
  <c r="BH113" i="2"/>
  <c r="BG113" i="2"/>
  <c r="BF113" i="2"/>
  <c r="CQ112" i="2"/>
  <c r="CP112" i="2"/>
  <c r="CO112" i="2"/>
  <c r="CN112" i="2"/>
  <c r="CM112" i="2"/>
  <c r="CL112" i="2"/>
  <c r="CK112" i="2"/>
  <c r="CJ112" i="2"/>
  <c r="CI112" i="2"/>
  <c r="CH112" i="2"/>
  <c r="CG112" i="2"/>
  <c r="CF112" i="2"/>
  <c r="CE112" i="2"/>
  <c r="CD112" i="2"/>
  <c r="CC112" i="2"/>
  <c r="CB112" i="2"/>
  <c r="CA112" i="2"/>
  <c r="BZ112" i="2"/>
  <c r="BY112" i="2"/>
  <c r="BX112" i="2"/>
  <c r="BW112" i="2"/>
  <c r="BV112" i="2"/>
  <c r="BU112" i="2"/>
  <c r="BT112" i="2"/>
  <c r="BS112" i="2"/>
  <c r="BR112" i="2"/>
  <c r="BQ112" i="2"/>
  <c r="BP112" i="2"/>
  <c r="BO112" i="2"/>
  <c r="BN112" i="2"/>
  <c r="BM112" i="2"/>
  <c r="BL112" i="2"/>
  <c r="BK112" i="2"/>
  <c r="BJ112" i="2"/>
  <c r="BI112" i="2"/>
  <c r="BH112" i="2"/>
  <c r="BG112" i="2"/>
  <c r="BF112" i="2"/>
  <c r="CQ111" i="2"/>
  <c r="CP111" i="2"/>
  <c r="CO111" i="2"/>
  <c r="CN111" i="2"/>
  <c r="CM111" i="2"/>
  <c r="CL111" i="2"/>
  <c r="CK111" i="2"/>
  <c r="CJ111" i="2"/>
  <c r="CI111" i="2"/>
  <c r="CH111" i="2"/>
  <c r="CG111" i="2"/>
  <c r="CF111" i="2"/>
  <c r="CE111" i="2"/>
  <c r="CD111" i="2"/>
  <c r="CC111" i="2"/>
  <c r="CB111" i="2"/>
  <c r="CA111" i="2"/>
  <c r="BZ111" i="2"/>
  <c r="BY111" i="2"/>
  <c r="BX111" i="2"/>
  <c r="BW111" i="2"/>
  <c r="BV111" i="2"/>
  <c r="BU111" i="2"/>
  <c r="BT111" i="2"/>
  <c r="BS111" i="2"/>
  <c r="BR111" i="2"/>
  <c r="BQ111" i="2"/>
  <c r="BP111" i="2"/>
  <c r="BO111" i="2"/>
  <c r="BN111" i="2"/>
  <c r="BM111" i="2"/>
  <c r="BL111" i="2"/>
  <c r="BK111" i="2"/>
  <c r="BJ111" i="2"/>
  <c r="BI111" i="2"/>
  <c r="BH111" i="2"/>
  <c r="BG111" i="2"/>
  <c r="BF111" i="2"/>
  <c r="CQ110" i="2"/>
  <c r="CP110" i="2"/>
  <c r="CO110" i="2"/>
  <c r="CN110" i="2"/>
  <c r="CM110" i="2"/>
  <c r="CL110" i="2"/>
  <c r="CK110" i="2"/>
  <c r="CJ110" i="2"/>
  <c r="CI110" i="2"/>
  <c r="CH110" i="2"/>
  <c r="CG110" i="2"/>
  <c r="CF110" i="2"/>
  <c r="CE110" i="2"/>
  <c r="CD110" i="2"/>
  <c r="CC110" i="2"/>
  <c r="CB110" i="2"/>
  <c r="CA110" i="2"/>
  <c r="BZ110" i="2"/>
  <c r="BY110" i="2"/>
  <c r="BX110" i="2"/>
  <c r="BW110" i="2"/>
  <c r="BV110" i="2"/>
  <c r="BU110" i="2"/>
  <c r="BT110" i="2"/>
  <c r="BS110" i="2"/>
  <c r="BR110" i="2"/>
  <c r="BQ110" i="2"/>
  <c r="BP110" i="2"/>
  <c r="BO110" i="2"/>
  <c r="BN110" i="2"/>
  <c r="BM110" i="2"/>
  <c r="BL110" i="2"/>
  <c r="BK110" i="2"/>
  <c r="BJ110" i="2"/>
  <c r="BI110" i="2"/>
  <c r="BH110" i="2"/>
  <c r="BG110" i="2"/>
  <c r="BF110" i="2"/>
  <c r="CQ109" i="2"/>
  <c r="CP109" i="2"/>
  <c r="CO109" i="2"/>
  <c r="CN109" i="2"/>
  <c r="CM109" i="2"/>
  <c r="CL109" i="2"/>
  <c r="CK109" i="2"/>
  <c r="CJ109" i="2"/>
  <c r="CI109" i="2"/>
  <c r="CH109" i="2"/>
  <c r="CG109" i="2"/>
  <c r="CF109" i="2"/>
  <c r="CE109" i="2"/>
  <c r="CD109" i="2"/>
  <c r="CC109" i="2"/>
  <c r="CB109" i="2"/>
  <c r="CA109" i="2"/>
  <c r="BZ109" i="2"/>
  <c r="BY109" i="2"/>
  <c r="BX109" i="2"/>
  <c r="BW109" i="2"/>
  <c r="BV109" i="2"/>
  <c r="BU109" i="2"/>
  <c r="BT109" i="2"/>
  <c r="BS109" i="2"/>
  <c r="BR109" i="2"/>
  <c r="BQ109" i="2"/>
  <c r="BP109" i="2"/>
  <c r="BO109" i="2"/>
  <c r="BN109" i="2"/>
  <c r="BM109" i="2"/>
  <c r="BL109" i="2"/>
  <c r="BK109" i="2"/>
  <c r="BJ109" i="2"/>
  <c r="BI109" i="2"/>
  <c r="BH109" i="2"/>
  <c r="BG109" i="2"/>
  <c r="BF109" i="2"/>
  <c r="CQ108" i="2"/>
  <c r="CP108" i="2"/>
  <c r="CO108" i="2"/>
  <c r="CN108" i="2"/>
  <c r="CM108" i="2"/>
  <c r="CL108" i="2"/>
  <c r="CK108" i="2"/>
  <c r="CJ108" i="2"/>
  <c r="CI108" i="2"/>
  <c r="CH108" i="2"/>
  <c r="CG108" i="2"/>
  <c r="CF108" i="2"/>
  <c r="CE108" i="2"/>
  <c r="CD108" i="2"/>
  <c r="CC108" i="2"/>
  <c r="CB108" i="2"/>
  <c r="CA108" i="2"/>
  <c r="BZ108" i="2"/>
  <c r="BY108" i="2"/>
  <c r="BX108" i="2"/>
  <c r="BW108" i="2"/>
  <c r="BV108" i="2"/>
  <c r="BU108" i="2"/>
  <c r="BT108" i="2"/>
  <c r="BS108" i="2"/>
  <c r="BR108" i="2"/>
  <c r="BQ108" i="2"/>
  <c r="BP108" i="2"/>
  <c r="BO108" i="2"/>
  <c r="BN108" i="2"/>
  <c r="BM108" i="2"/>
  <c r="BL108" i="2"/>
  <c r="BK108" i="2"/>
  <c r="BJ108" i="2"/>
  <c r="BI108" i="2"/>
  <c r="BH108" i="2"/>
  <c r="BG108" i="2"/>
  <c r="BF108" i="2"/>
  <c r="CQ107" i="2"/>
  <c r="CP107" i="2"/>
  <c r="CO107" i="2"/>
  <c r="CN107" i="2"/>
  <c r="CM107" i="2"/>
  <c r="CL107" i="2"/>
  <c r="CK107" i="2"/>
  <c r="CJ107" i="2"/>
  <c r="CI107" i="2"/>
  <c r="CH107" i="2"/>
  <c r="CG107" i="2"/>
  <c r="CF107" i="2"/>
  <c r="CE107" i="2"/>
  <c r="CD107" i="2"/>
  <c r="CC107" i="2"/>
  <c r="CB107" i="2"/>
  <c r="CA107" i="2"/>
  <c r="BZ107" i="2"/>
  <c r="BY107" i="2"/>
  <c r="BX107" i="2"/>
  <c r="BW107" i="2"/>
  <c r="BV107" i="2"/>
  <c r="BU107" i="2"/>
  <c r="BT107" i="2"/>
  <c r="BS107" i="2"/>
  <c r="BR107" i="2"/>
  <c r="BQ107" i="2"/>
  <c r="BP107" i="2"/>
  <c r="BO107" i="2"/>
  <c r="BN107" i="2"/>
  <c r="BM107" i="2"/>
  <c r="BL107" i="2"/>
  <c r="BK107" i="2"/>
  <c r="BJ107" i="2"/>
  <c r="BI107" i="2"/>
  <c r="BH107" i="2"/>
  <c r="BG107" i="2"/>
  <c r="BF107" i="2"/>
  <c r="CQ106" i="2"/>
  <c r="CP106" i="2"/>
  <c r="CO106" i="2"/>
  <c r="CN106" i="2"/>
  <c r="CM106" i="2"/>
  <c r="CL106" i="2"/>
  <c r="CK106" i="2"/>
  <c r="CJ106" i="2"/>
  <c r="CI106" i="2"/>
  <c r="CH106" i="2"/>
  <c r="CG106" i="2"/>
  <c r="CF106" i="2"/>
  <c r="CE106" i="2"/>
  <c r="CD106" i="2"/>
  <c r="CC106" i="2"/>
  <c r="CB106" i="2"/>
  <c r="CA106" i="2"/>
  <c r="BZ106" i="2"/>
  <c r="BY106" i="2"/>
  <c r="BX106" i="2"/>
  <c r="BW106" i="2"/>
  <c r="BV106" i="2"/>
  <c r="BU106" i="2"/>
  <c r="BT106" i="2"/>
  <c r="BS106" i="2"/>
  <c r="BR106" i="2"/>
  <c r="BQ106" i="2"/>
  <c r="BP106" i="2"/>
  <c r="BO106" i="2"/>
  <c r="BN106" i="2"/>
  <c r="BM106" i="2"/>
  <c r="BL106" i="2"/>
  <c r="BK106" i="2"/>
  <c r="BJ106" i="2"/>
  <c r="BI106" i="2"/>
  <c r="BH106" i="2"/>
  <c r="BG106" i="2"/>
  <c r="BF106" i="2"/>
  <c r="CQ105" i="2"/>
  <c r="CP105" i="2"/>
  <c r="CO105" i="2"/>
  <c r="CN105" i="2"/>
  <c r="CM105" i="2"/>
  <c r="CL105" i="2"/>
  <c r="CK105" i="2"/>
  <c r="CJ105" i="2"/>
  <c r="CI105" i="2"/>
  <c r="CH105" i="2"/>
  <c r="CG105" i="2"/>
  <c r="CF105" i="2"/>
  <c r="CE105" i="2"/>
  <c r="CD105" i="2"/>
  <c r="CC105" i="2"/>
  <c r="CB105" i="2"/>
  <c r="CA105" i="2"/>
  <c r="BZ105" i="2"/>
  <c r="BY105" i="2"/>
  <c r="BX105" i="2"/>
  <c r="BW105" i="2"/>
  <c r="BV105" i="2"/>
  <c r="BU105" i="2"/>
  <c r="BT105" i="2"/>
  <c r="BS105" i="2"/>
  <c r="BR105" i="2"/>
  <c r="BQ105" i="2"/>
  <c r="BP105" i="2"/>
  <c r="BO105" i="2"/>
  <c r="BN105" i="2"/>
  <c r="BM105" i="2"/>
  <c r="BL105" i="2"/>
  <c r="BK105" i="2"/>
  <c r="BJ105" i="2"/>
  <c r="BI105" i="2"/>
  <c r="BH105" i="2"/>
  <c r="BG105" i="2"/>
  <c r="BF105" i="2"/>
  <c r="CQ104" i="2"/>
  <c r="CP104" i="2"/>
  <c r="CO104" i="2"/>
  <c r="CN104" i="2"/>
  <c r="CM104" i="2"/>
  <c r="CL104" i="2"/>
  <c r="CK104" i="2"/>
  <c r="CJ104" i="2"/>
  <c r="CI104" i="2"/>
  <c r="CH104" i="2"/>
  <c r="CG104" i="2"/>
  <c r="CF104" i="2"/>
  <c r="CE104" i="2"/>
  <c r="CD104" i="2"/>
  <c r="CC104" i="2"/>
  <c r="CB104" i="2"/>
  <c r="CA104" i="2"/>
  <c r="BZ104" i="2"/>
  <c r="BY104" i="2"/>
  <c r="BX104" i="2"/>
  <c r="BW104" i="2"/>
  <c r="BV104" i="2"/>
  <c r="BU104" i="2"/>
  <c r="BT104" i="2"/>
  <c r="BS104" i="2"/>
  <c r="BR104" i="2"/>
  <c r="BQ104" i="2"/>
  <c r="BP104" i="2"/>
  <c r="BO104" i="2"/>
  <c r="BN104" i="2"/>
  <c r="BM104" i="2"/>
  <c r="BL104" i="2"/>
  <c r="BK104" i="2"/>
  <c r="BJ104" i="2"/>
  <c r="BI104" i="2"/>
  <c r="BH104" i="2"/>
  <c r="BG104" i="2"/>
  <c r="BF104" i="2"/>
  <c r="CQ103" i="2"/>
  <c r="CP103" i="2"/>
  <c r="CO103" i="2"/>
  <c r="CN103" i="2"/>
  <c r="CM103" i="2"/>
  <c r="CL103" i="2"/>
  <c r="CK103" i="2"/>
  <c r="CJ103" i="2"/>
  <c r="CI103" i="2"/>
  <c r="CH103" i="2"/>
  <c r="CG103" i="2"/>
  <c r="CF103" i="2"/>
  <c r="CE103" i="2"/>
  <c r="CD103" i="2"/>
  <c r="CC103" i="2"/>
  <c r="CB103" i="2"/>
  <c r="CA103" i="2"/>
  <c r="BZ103" i="2"/>
  <c r="BY103" i="2"/>
  <c r="BX103" i="2"/>
  <c r="BW103" i="2"/>
  <c r="BV103" i="2"/>
  <c r="BU103" i="2"/>
  <c r="BT103" i="2"/>
  <c r="BS103" i="2"/>
  <c r="BR103" i="2"/>
  <c r="BQ103" i="2"/>
  <c r="BP103" i="2"/>
  <c r="BO103" i="2"/>
  <c r="BN103" i="2"/>
  <c r="BM103" i="2"/>
  <c r="BL103" i="2"/>
  <c r="BK103" i="2"/>
  <c r="BJ103" i="2"/>
  <c r="BI103" i="2"/>
  <c r="BH103" i="2"/>
  <c r="BG103" i="2"/>
  <c r="BF103" i="2"/>
  <c r="CQ102" i="2"/>
  <c r="CP102" i="2"/>
  <c r="CO102" i="2"/>
  <c r="CN102" i="2"/>
  <c r="CM102" i="2"/>
  <c r="CL102" i="2"/>
  <c r="CK102" i="2"/>
  <c r="CJ102" i="2"/>
  <c r="CI102" i="2"/>
  <c r="CH102" i="2"/>
  <c r="CG102" i="2"/>
  <c r="CF102" i="2"/>
  <c r="CE102" i="2"/>
  <c r="CD102" i="2"/>
  <c r="CC102" i="2"/>
  <c r="CB102" i="2"/>
  <c r="CA102" i="2"/>
  <c r="BZ102" i="2"/>
  <c r="BY102" i="2"/>
  <c r="BX102" i="2"/>
  <c r="BW102" i="2"/>
  <c r="BV102" i="2"/>
  <c r="BU102" i="2"/>
  <c r="BT102" i="2"/>
  <c r="BS102" i="2"/>
  <c r="BR102" i="2"/>
  <c r="BQ102" i="2"/>
  <c r="BP102" i="2"/>
  <c r="BO102" i="2"/>
  <c r="BN102" i="2"/>
  <c r="BM102" i="2"/>
  <c r="BL102" i="2"/>
  <c r="BK102" i="2"/>
  <c r="BJ102" i="2"/>
  <c r="BI102" i="2"/>
  <c r="BH102" i="2"/>
  <c r="BG102" i="2"/>
  <c r="BF102" i="2"/>
  <c r="CQ101" i="2"/>
  <c r="CP101" i="2"/>
  <c r="CO101" i="2"/>
  <c r="CN101" i="2"/>
  <c r="CM101" i="2"/>
  <c r="CL101" i="2"/>
  <c r="CK101" i="2"/>
  <c r="CJ101" i="2"/>
  <c r="CI101" i="2"/>
  <c r="CH101" i="2"/>
  <c r="CG101" i="2"/>
  <c r="CF101" i="2"/>
  <c r="CE101" i="2"/>
  <c r="CD101" i="2"/>
  <c r="CC101" i="2"/>
  <c r="CB101" i="2"/>
  <c r="CA101" i="2"/>
  <c r="BZ101" i="2"/>
  <c r="BY101" i="2"/>
  <c r="BX101" i="2"/>
  <c r="BW101" i="2"/>
  <c r="BV101" i="2"/>
  <c r="BU101" i="2"/>
  <c r="BT101" i="2"/>
  <c r="BS101" i="2"/>
  <c r="BR101" i="2"/>
  <c r="BQ101" i="2"/>
  <c r="BP101" i="2"/>
  <c r="BO101" i="2"/>
  <c r="BN101" i="2"/>
  <c r="BM101" i="2"/>
  <c r="BL101" i="2"/>
  <c r="BK101" i="2"/>
  <c r="BJ101" i="2"/>
  <c r="BI101" i="2"/>
  <c r="BH101" i="2"/>
  <c r="BG101" i="2"/>
  <c r="BF101" i="2"/>
  <c r="CQ100" i="2"/>
  <c r="CP100" i="2"/>
  <c r="CO100" i="2"/>
  <c r="CN100" i="2"/>
  <c r="CM100" i="2"/>
  <c r="CL100" i="2"/>
  <c r="CK100" i="2"/>
  <c r="CJ100" i="2"/>
  <c r="CI100" i="2"/>
  <c r="CH100" i="2"/>
  <c r="CG100" i="2"/>
  <c r="CF100" i="2"/>
  <c r="CE100" i="2"/>
  <c r="CD100" i="2"/>
  <c r="CC100" i="2"/>
  <c r="CB100" i="2"/>
  <c r="CA100" i="2"/>
  <c r="BZ100" i="2"/>
  <c r="BY100" i="2"/>
  <c r="BX100" i="2"/>
  <c r="BW100" i="2"/>
  <c r="BV100" i="2"/>
  <c r="BU100" i="2"/>
  <c r="BT100" i="2"/>
  <c r="BS100" i="2"/>
  <c r="BR100" i="2"/>
  <c r="BQ100" i="2"/>
  <c r="BP100" i="2"/>
  <c r="BO100" i="2"/>
  <c r="BN100" i="2"/>
  <c r="BM100" i="2"/>
  <c r="BL100" i="2"/>
  <c r="BK100" i="2"/>
  <c r="BJ100" i="2"/>
  <c r="BI100" i="2"/>
  <c r="BH100" i="2"/>
  <c r="BG100" i="2"/>
  <c r="BF100" i="2"/>
  <c r="CQ99" i="2"/>
  <c r="CP99" i="2"/>
  <c r="CO99" i="2"/>
  <c r="CN99" i="2"/>
  <c r="CM99" i="2"/>
  <c r="CL99" i="2"/>
  <c r="CK99" i="2"/>
  <c r="CJ99" i="2"/>
  <c r="CI99" i="2"/>
  <c r="CH99" i="2"/>
  <c r="CG99" i="2"/>
  <c r="CF99" i="2"/>
  <c r="CE99" i="2"/>
  <c r="CD99" i="2"/>
  <c r="CC99" i="2"/>
  <c r="CB99" i="2"/>
  <c r="CA99" i="2"/>
  <c r="BZ99" i="2"/>
  <c r="BY99" i="2"/>
  <c r="BX99" i="2"/>
  <c r="BW99" i="2"/>
  <c r="BV99" i="2"/>
  <c r="BU99" i="2"/>
  <c r="BT99" i="2"/>
  <c r="BS99" i="2"/>
  <c r="BR99" i="2"/>
  <c r="BQ99" i="2"/>
  <c r="BP99" i="2"/>
  <c r="BO99" i="2"/>
  <c r="BN99" i="2"/>
  <c r="BM99" i="2"/>
  <c r="BL99" i="2"/>
  <c r="BK99" i="2"/>
  <c r="BJ99" i="2"/>
  <c r="BI99" i="2"/>
  <c r="BH99" i="2"/>
  <c r="BG99" i="2"/>
  <c r="BF99" i="2"/>
  <c r="CQ98" i="2"/>
  <c r="CP98" i="2"/>
  <c r="CO98" i="2"/>
  <c r="CN98" i="2"/>
  <c r="CM98" i="2"/>
  <c r="CL98" i="2"/>
  <c r="CK98" i="2"/>
  <c r="CJ98" i="2"/>
  <c r="CI98" i="2"/>
  <c r="CH98" i="2"/>
  <c r="CG98" i="2"/>
  <c r="CF98" i="2"/>
  <c r="CE98" i="2"/>
  <c r="CD98" i="2"/>
  <c r="CC98" i="2"/>
  <c r="CB98" i="2"/>
  <c r="CA98" i="2"/>
  <c r="BZ98" i="2"/>
  <c r="BY98" i="2"/>
  <c r="BX98" i="2"/>
  <c r="BW98" i="2"/>
  <c r="BV98" i="2"/>
  <c r="BU98" i="2"/>
  <c r="BT98" i="2"/>
  <c r="BS98" i="2"/>
  <c r="BR98" i="2"/>
  <c r="BQ98" i="2"/>
  <c r="BP98" i="2"/>
  <c r="BO98" i="2"/>
  <c r="BN98" i="2"/>
  <c r="BM98" i="2"/>
  <c r="BL98" i="2"/>
  <c r="BK98" i="2"/>
  <c r="BJ98" i="2"/>
  <c r="BI98" i="2"/>
  <c r="BH98" i="2"/>
  <c r="BG98" i="2"/>
  <c r="BF98" i="2"/>
  <c r="CQ97" i="2"/>
  <c r="CP97" i="2"/>
  <c r="CO97" i="2"/>
  <c r="CN97" i="2"/>
  <c r="CM97" i="2"/>
  <c r="CL97" i="2"/>
  <c r="CK97" i="2"/>
  <c r="CJ97" i="2"/>
  <c r="CI97" i="2"/>
  <c r="CH97" i="2"/>
  <c r="CG97" i="2"/>
  <c r="CF97" i="2"/>
  <c r="CE97" i="2"/>
  <c r="CD97" i="2"/>
  <c r="CC97" i="2"/>
  <c r="CB97" i="2"/>
  <c r="CA97" i="2"/>
  <c r="BZ97" i="2"/>
  <c r="BY97" i="2"/>
  <c r="BX97" i="2"/>
  <c r="BW97" i="2"/>
  <c r="BV97" i="2"/>
  <c r="BU97" i="2"/>
  <c r="BT97" i="2"/>
  <c r="BS97" i="2"/>
  <c r="BR97" i="2"/>
  <c r="BQ97" i="2"/>
  <c r="BP97" i="2"/>
  <c r="BO97" i="2"/>
  <c r="BN97" i="2"/>
  <c r="BM97" i="2"/>
  <c r="BL97" i="2"/>
  <c r="BK97" i="2"/>
  <c r="BJ97" i="2"/>
  <c r="BI97" i="2"/>
  <c r="BH97" i="2"/>
  <c r="BG97" i="2"/>
  <c r="BF97" i="2"/>
  <c r="CQ96" i="2"/>
  <c r="CP96" i="2"/>
  <c r="CO96" i="2"/>
  <c r="CN96" i="2"/>
  <c r="CM96" i="2"/>
  <c r="CL96" i="2"/>
  <c r="CK96" i="2"/>
  <c r="CJ96" i="2"/>
  <c r="CI96" i="2"/>
  <c r="CH96" i="2"/>
  <c r="CG96" i="2"/>
  <c r="CF96" i="2"/>
  <c r="CE96" i="2"/>
  <c r="CD96" i="2"/>
  <c r="CC96" i="2"/>
  <c r="CB96" i="2"/>
  <c r="CA96" i="2"/>
  <c r="BZ96" i="2"/>
  <c r="BY96" i="2"/>
  <c r="BX96" i="2"/>
  <c r="BW96" i="2"/>
  <c r="BV96" i="2"/>
  <c r="BU96" i="2"/>
  <c r="BT96" i="2"/>
  <c r="BS96" i="2"/>
  <c r="BR96" i="2"/>
  <c r="BQ96" i="2"/>
  <c r="BP96" i="2"/>
  <c r="BO96" i="2"/>
  <c r="BN96" i="2"/>
  <c r="BM96" i="2"/>
  <c r="BL96" i="2"/>
  <c r="BK96" i="2"/>
  <c r="BJ96" i="2"/>
  <c r="BI96" i="2"/>
  <c r="BH96" i="2"/>
  <c r="BG96" i="2"/>
  <c r="BF96" i="2"/>
  <c r="CQ95" i="2"/>
  <c r="CP95" i="2"/>
  <c r="CO95" i="2"/>
  <c r="CN95" i="2"/>
  <c r="CM95" i="2"/>
  <c r="CL95" i="2"/>
  <c r="CK95" i="2"/>
  <c r="CJ95" i="2"/>
  <c r="CI95" i="2"/>
  <c r="CH95" i="2"/>
  <c r="CG95" i="2"/>
  <c r="CF95" i="2"/>
  <c r="CE95" i="2"/>
  <c r="CD95" i="2"/>
  <c r="CC95" i="2"/>
  <c r="CB95" i="2"/>
  <c r="CA95" i="2"/>
  <c r="BZ95" i="2"/>
  <c r="BY95" i="2"/>
  <c r="BX95" i="2"/>
  <c r="BW95" i="2"/>
  <c r="BV95" i="2"/>
  <c r="BU95" i="2"/>
  <c r="BT95" i="2"/>
  <c r="BS95" i="2"/>
  <c r="BR95" i="2"/>
  <c r="BQ95" i="2"/>
  <c r="BP95" i="2"/>
  <c r="BO95" i="2"/>
  <c r="BN95" i="2"/>
  <c r="BM95" i="2"/>
  <c r="BL95" i="2"/>
  <c r="BK95" i="2"/>
  <c r="BJ95" i="2"/>
  <c r="BI95" i="2"/>
  <c r="BH95" i="2"/>
  <c r="BG95" i="2"/>
  <c r="BF95" i="2"/>
  <c r="CQ94" i="2"/>
  <c r="CP94" i="2"/>
  <c r="CO94" i="2"/>
  <c r="CN94" i="2"/>
  <c r="CM94" i="2"/>
  <c r="CL94" i="2"/>
  <c r="CK94" i="2"/>
  <c r="CJ94" i="2"/>
  <c r="CI94" i="2"/>
  <c r="CH94" i="2"/>
  <c r="CG94" i="2"/>
  <c r="CF94" i="2"/>
  <c r="CE94" i="2"/>
  <c r="CD94" i="2"/>
  <c r="CC94" i="2"/>
  <c r="CB94" i="2"/>
  <c r="CA94" i="2"/>
  <c r="BZ94" i="2"/>
  <c r="BY94" i="2"/>
  <c r="BX94" i="2"/>
  <c r="BW94" i="2"/>
  <c r="BV94" i="2"/>
  <c r="BU94" i="2"/>
  <c r="BT94" i="2"/>
  <c r="BS94" i="2"/>
  <c r="BR94" i="2"/>
  <c r="BQ94" i="2"/>
  <c r="BP94" i="2"/>
  <c r="BO94" i="2"/>
  <c r="BN94" i="2"/>
  <c r="BM94" i="2"/>
  <c r="BL94" i="2"/>
  <c r="BK94" i="2"/>
  <c r="BJ94" i="2"/>
  <c r="BI94" i="2"/>
  <c r="BH94" i="2"/>
  <c r="BG94" i="2"/>
  <c r="BF94" i="2"/>
  <c r="CQ93" i="2"/>
  <c r="CP93" i="2"/>
  <c r="CO93" i="2"/>
  <c r="CN93" i="2"/>
  <c r="CM93" i="2"/>
  <c r="CL93" i="2"/>
  <c r="CK93" i="2"/>
  <c r="CJ93" i="2"/>
  <c r="CI93" i="2"/>
  <c r="CH93" i="2"/>
  <c r="CG93" i="2"/>
  <c r="CF93" i="2"/>
  <c r="CE93" i="2"/>
  <c r="CD93" i="2"/>
  <c r="CC93" i="2"/>
  <c r="CB93" i="2"/>
  <c r="CA93" i="2"/>
  <c r="BZ93" i="2"/>
  <c r="BY93" i="2"/>
  <c r="BX93" i="2"/>
  <c r="BW93" i="2"/>
  <c r="BV93" i="2"/>
  <c r="BU93" i="2"/>
  <c r="BT93" i="2"/>
  <c r="BS93" i="2"/>
  <c r="BR93" i="2"/>
  <c r="BQ93" i="2"/>
  <c r="BP93" i="2"/>
  <c r="BO93" i="2"/>
  <c r="BN93" i="2"/>
  <c r="BM93" i="2"/>
  <c r="BL93" i="2"/>
  <c r="BK93" i="2"/>
  <c r="BJ93" i="2"/>
  <c r="BI93" i="2"/>
  <c r="BH93" i="2"/>
  <c r="BG93" i="2"/>
  <c r="BF93" i="2"/>
  <c r="CQ92" i="2"/>
  <c r="CP92" i="2"/>
  <c r="CO92" i="2"/>
  <c r="CN92" i="2"/>
  <c r="CM92" i="2"/>
  <c r="CL92" i="2"/>
  <c r="CK92" i="2"/>
  <c r="CJ92" i="2"/>
  <c r="CI92" i="2"/>
  <c r="CH92" i="2"/>
  <c r="CG92" i="2"/>
  <c r="CF92" i="2"/>
  <c r="CE92" i="2"/>
  <c r="CD92" i="2"/>
  <c r="CC92" i="2"/>
  <c r="CB92" i="2"/>
  <c r="CA92" i="2"/>
  <c r="BZ92" i="2"/>
  <c r="BY92" i="2"/>
  <c r="BX92" i="2"/>
  <c r="BW92" i="2"/>
  <c r="BV92" i="2"/>
  <c r="BU92" i="2"/>
  <c r="BT92" i="2"/>
  <c r="BS92" i="2"/>
  <c r="BR92" i="2"/>
  <c r="BQ92" i="2"/>
  <c r="BP92" i="2"/>
  <c r="BO92" i="2"/>
  <c r="BN92" i="2"/>
  <c r="BM92" i="2"/>
  <c r="BL92" i="2"/>
  <c r="BK92" i="2"/>
  <c r="BJ92" i="2"/>
  <c r="BI92" i="2"/>
  <c r="BH92" i="2"/>
  <c r="BG92" i="2"/>
  <c r="BF92" i="2"/>
  <c r="CQ91" i="2"/>
  <c r="CP91" i="2"/>
  <c r="CO91" i="2"/>
  <c r="CN91" i="2"/>
  <c r="CM91" i="2"/>
  <c r="CL91" i="2"/>
  <c r="CK91" i="2"/>
  <c r="CJ91" i="2"/>
  <c r="CI91" i="2"/>
  <c r="CH91" i="2"/>
  <c r="CG91" i="2"/>
  <c r="CF91" i="2"/>
  <c r="CE91" i="2"/>
  <c r="CD91" i="2"/>
  <c r="CC91" i="2"/>
  <c r="CB91" i="2"/>
  <c r="CA91" i="2"/>
  <c r="BZ91" i="2"/>
  <c r="BY91" i="2"/>
  <c r="BX91" i="2"/>
  <c r="BW91" i="2"/>
  <c r="BV91" i="2"/>
  <c r="BU91" i="2"/>
  <c r="BT91" i="2"/>
  <c r="BS91" i="2"/>
  <c r="BR91" i="2"/>
  <c r="BQ91" i="2"/>
  <c r="BP91" i="2"/>
  <c r="BO91" i="2"/>
  <c r="BN91" i="2"/>
  <c r="BM91" i="2"/>
  <c r="BL91" i="2"/>
  <c r="BK91" i="2"/>
  <c r="BJ91" i="2"/>
  <c r="BI91" i="2"/>
  <c r="BH91" i="2"/>
  <c r="BG91" i="2"/>
  <c r="BF91" i="2"/>
  <c r="CQ90" i="2"/>
  <c r="CP90" i="2"/>
  <c r="CO90" i="2"/>
  <c r="CN90" i="2"/>
  <c r="CM90" i="2"/>
  <c r="CL90" i="2"/>
  <c r="CK90" i="2"/>
  <c r="CJ90" i="2"/>
  <c r="CI90" i="2"/>
  <c r="CH90" i="2"/>
  <c r="CG90" i="2"/>
  <c r="CF90" i="2"/>
  <c r="CE90" i="2"/>
  <c r="CD90" i="2"/>
  <c r="CC90" i="2"/>
  <c r="CB90" i="2"/>
  <c r="CA90" i="2"/>
  <c r="BZ90" i="2"/>
  <c r="BY90" i="2"/>
  <c r="BX90" i="2"/>
  <c r="BW90" i="2"/>
  <c r="BV90" i="2"/>
  <c r="BU90" i="2"/>
  <c r="BT90" i="2"/>
  <c r="BS90" i="2"/>
  <c r="BR90" i="2"/>
  <c r="BQ90" i="2"/>
  <c r="BP90" i="2"/>
  <c r="BO90" i="2"/>
  <c r="BN90" i="2"/>
  <c r="BM90" i="2"/>
  <c r="BL90" i="2"/>
  <c r="BK90" i="2"/>
  <c r="BJ90" i="2"/>
  <c r="BI90" i="2"/>
  <c r="BH90" i="2"/>
  <c r="BG90" i="2"/>
  <c r="BF90" i="2"/>
  <c r="CQ89" i="2"/>
  <c r="CP89" i="2"/>
  <c r="CO89" i="2"/>
  <c r="CN89" i="2"/>
  <c r="CM89" i="2"/>
  <c r="CL89" i="2"/>
  <c r="CK89" i="2"/>
  <c r="CJ89" i="2"/>
  <c r="CI89" i="2"/>
  <c r="CH89" i="2"/>
  <c r="CG89" i="2"/>
  <c r="CF89" i="2"/>
  <c r="CE89" i="2"/>
  <c r="CD89" i="2"/>
  <c r="CC89" i="2"/>
  <c r="CB89" i="2"/>
  <c r="CA89" i="2"/>
  <c r="BZ89" i="2"/>
  <c r="BY89" i="2"/>
  <c r="BX89" i="2"/>
  <c r="BW89" i="2"/>
  <c r="BV89" i="2"/>
  <c r="BU89" i="2"/>
  <c r="BT89" i="2"/>
  <c r="BS89" i="2"/>
  <c r="BR89" i="2"/>
  <c r="BQ89" i="2"/>
  <c r="BP89" i="2"/>
  <c r="BO89" i="2"/>
  <c r="BN89" i="2"/>
  <c r="BM89" i="2"/>
  <c r="BL89" i="2"/>
  <c r="BK89" i="2"/>
  <c r="BJ89" i="2"/>
  <c r="BI89" i="2"/>
  <c r="BH89" i="2"/>
  <c r="BG89" i="2"/>
  <c r="BF89" i="2"/>
  <c r="CQ88" i="2"/>
  <c r="CP88" i="2"/>
  <c r="CO88" i="2"/>
  <c r="CN88" i="2"/>
  <c r="CM88" i="2"/>
  <c r="CL88" i="2"/>
  <c r="CK88" i="2"/>
  <c r="CJ88" i="2"/>
  <c r="CI88" i="2"/>
  <c r="CH88" i="2"/>
  <c r="CG88" i="2"/>
  <c r="CF88" i="2"/>
  <c r="CE88" i="2"/>
  <c r="CD88" i="2"/>
  <c r="CC88" i="2"/>
  <c r="CB88" i="2"/>
  <c r="CA88" i="2"/>
  <c r="BZ88" i="2"/>
  <c r="BY88" i="2"/>
  <c r="BX88" i="2"/>
  <c r="BW88" i="2"/>
  <c r="BV88" i="2"/>
  <c r="BU88" i="2"/>
  <c r="BT88" i="2"/>
  <c r="BS88" i="2"/>
  <c r="BR88" i="2"/>
  <c r="BQ88" i="2"/>
  <c r="BP88" i="2"/>
  <c r="BO88" i="2"/>
  <c r="BN88" i="2"/>
  <c r="BM88" i="2"/>
  <c r="BL88" i="2"/>
  <c r="BK88" i="2"/>
  <c r="BJ88" i="2"/>
  <c r="BI88" i="2"/>
  <c r="BH88" i="2"/>
  <c r="BG88" i="2"/>
  <c r="BF88" i="2"/>
  <c r="CQ87" i="2"/>
  <c r="CP87" i="2"/>
  <c r="CO87" i="2"/>
  <c r="CN87" i="2"/>
  <c r="CM87" i="2"/>
  <c r="CL87" i="2"/>
  <c r="CK87" i="2"/>
  <c r="CJ87" i="2"/>
  <c r="CI87" i="2"/>
  <c r="CH87" i="2"/>
  <c r="CG87" i="2"/>
  <c r="CF87" i="2"/>
  <c r="CE87" i="2"/>
  <c r="CD87" i="2"/>
  <c r="CC87" i="2"/>
  <c r="CB87" i="2"/>
  <c r="CA87" i="2"/>
  <c r="BZ87" i="2"/>
  <c r="BY87" i="2"/>
  <c r="BX87" i="2"/>
  <c r="BW87" i="2"/>
  <c r="BV87" i="2"/>
  <c r="BU87" i="2"/>
  <c r="BT87" i="2"/>
  <c r="BS87" i="2"/>
  <c r="BR87" i="2"/>
  <c r="BQ87" i="2"/>
  <c r="BP87" i="2"/>
  <c r="BO87" i="2"/>
  <c r="BN87" i="2"/>
  <c r="BM87" i="2"/>
  <c r="BL87" i="2"/>
  <c r="BK87" i="2"/>
  <c r="BJ87" i="2"/>
  <c r="BI87" i="2"/>
  <c r="BH87" i="2"/>
  <c r="BG87" i="2"/>
  <c r="BF87" i="2"/>
  <c r="CQ86" i="2"/>
  <c r="CP86" i="2"/>
  <c r="CO86" i="2"/>
  <c r="CN86" i="2"/>
  <c r="CM86" i="2"/>
  <c r="CL86" i="2"/>
  <c r="CK86" i="2"/>
  <c r="CJ86" i="2"/>
  <c r="CI86" i="2"/>
  <c r="CH86" i="2"/>
  <c r="CG86" i="2"/>
  <c r="CF86" i="2"/>
  <c r="CE86" i="2"/>
  <c r="CD86" i="2"/>
  <c r="CC86" i="2"/>
  <c r="CB86" i="2"/>
  <c r="CA86" i="2"/>
  <c r="BZ86" i="2"/>
  <c r="BY86" i="2"/>
  <c r="BX86" i="2"/>
  <c r="BW86" i="2"/>
  <c r="BV86" i="2"/>
  <c r="BU86" i="2"/>
  <c r="BT86" i="2"/>
  <c r="BS86" i="2"/>
  <c r="BR86" i="2"/>
  <c r="BQ86" i="2"/>
  <c r="BP86" i="2"/>
  <c r="BO86" i="2"/>
  <c r="BN86" i="2"/>
  <c r="BM86" i="2"/>
  <c r="BL86" i="2"/>
  <c r="BK86" i="2"/>
  <c r="BJ86" i="2"/>
  <c r="BI86" i="2"/>
  <c r="BH86" i="2"/>
  <c r="BG86" i="2"/>
  <c r="BF86" i="2"/>
  <c r="CQ85" i="2"/>
  <c r="CP85" i="2"/>
  <c r="CO85" i="2"/>
  <c r="CN85" i="2"/>
  <c r="CM85" i="2"/>
  <c r="CL85" i="2"/>
  <c r="CK85" i="2"/>
  <c r="CJ85" i="2"/>
  <c r="CI85" i="2"/>
  <c r="CH85" i="2"/>
  <c r="CG85" i="2"/>
  <c r="CF85" i="2"/>
  <c r="CE85" i="2"/>
  <c r="CD85" i="2"/>
  <c r="CC85" i="2"/>
  <c r="CB85" i="2"/>
  <c r="CA85" i="2"/>
  <c r="BZ85" i="2"/>
  <c r="BY85" i="2"/>
  <c r="BX85" i="2"/>
  <c r="BW85" i="2"/>
  <c r="BV85" i="2"/>
  <c r="BU85" i="2"/>
  <c r="BT85" i="2"/>
  <c r="BS85" i="2"/>
  <c r="BR85" i="2"/>
  <c r="BQ85" i="2"/>
  <c r="BP85" i="2"/>
  <c r="BO85" i="2"/>
  <c r="BN85" i="2"/>
  <c r="BM85" i="2"/>
  <c r="BL85" i="2"/>
  <c r="BK85" i="2"/>
  <c r="BJ85" i="2"/>
  <c r="BI85" i="2"/>
  <c r="BH85" i="2"/>
  <c r="BG85" i="2"/>
  <c r="BF85" i="2"/>
  <c r="CQ84" i="2"/>
  <c r="CP84" i="2"/>
  <c r="CO84" i="2"/>
  <c r="CN84" i="2"/>
  <c r="CM84" i="2"/>
  <c r="CL84" i="2"/>
  <c r="CK84" i="2"/>
  <c r="CJ84" i="2"/>
  <c r="CI84" i="2"/>
  <c r="CH84" i="2"/>
  <c r="CG84" i="2"/>
  <c r="CF84" i="2"/>
  <c r="CE84" i="2"/>
  <c r="CD84" i="2"/>
  <c r="CC84" i="2"/>
  <c r="CB84" i="2"/>
  <c r="CA84" i="2"/>
  <c r="BZ84" i="2"/>
  <c r="BY84" i="2"/>
  <c r="BX84" i="2"/>
  <c r="BW84" i="2"/>
  <c r="BV84" i="2"/>
  <c r="BU84" i="2"/>
  <c r="BT84" i="2"/>
  <c r="BS84" i="2"/>
  <c r="BR84" i="2"/>
  <c r="BQ84" i="2"/>
  <c r="BP84" i="2"/>
  <c r="BO84" i="2"/>
  <c r="BN84" i="2"/>
  <c r="BM84" i="2"/>
  <c r="BL84" i="2"/>
  <c r="BK84" i="2"/>
  <c r="BJ84" i="2"/>
  <c r="BI84" i="2"/>
  <c r="BH84" i="2"/>
  <c r="BG84" i="2"/>
  <c r="BF84" i="2"/>
  <c r="CQ83" i="2"/>
  <c r="CP83" i="2"/>
  <c r="CO83" i="2"/>
  <c r="CN83" i="2"/>
  <c r="CM83" i="2"/>
  <c r="CL83" i="2"/>
  <c r="CK83" i="2"/>
  <c r="CJ83" i="2"/>
  <c r="CI83" i="2"/>
  <c r="CH83" i="2"/>
  <c r="CG83" i="2"/>
  <c r="CF83" i="2"/>
  <c r="CE83" i="2"/>
  <c r="CD83" i="2"/>
  <c r="CC83" i="2"/>
  <c r="CB83" i="2"/>
  <c r="CA83" i="2"/>
  <c r="BZ83" i="2"/>
  <c r="BY83" i="2"/>
  <c r="BX83" i="2"/>
  <c r="BW83" i="2"/>
  <c r="BV83" i="2"/>
  <c r="BU83" i="2"/>
  <c r="BT83" i="2"/>
  <c r="BS83" i="2"/>
  <c r="BR83" i="2"/>
  <c r="BQ83" i="2"/>
  <c r="BP83" i="2"/>
  <c r="BO83" i="2"/>
  <c r="BN83" i="2"/>
  <c r="BM83" i="2"/>
  <c r="BL83" i="2"/>
  <c r="BK83" i="2"/>
  <c r="BJ83" i="2"/>
  <c r="BI83" i="2"/>
  <c r="BH83" i="2"/>
  <c r="BG83" i="2"/>
  <c r="BF83" i="2"/>
  <c r="CQ82" i="2"/>
  <c r="CP82" i="2"/>
  <c r="CO82" i="2"/>
  <c r="CN82" i="2"/>
  <c r="CM82" i="2"/>
  <c r="CL82" i="2"/>
  <c r="CK82" i="2"/>
  <c r="CJ82" i="2"/>
  <c r="CI82" i="2"/>
  <c r="CH82" i="2"/>
  <c r="CG82" i="2"/>
  <c r="CF82" i="2"/>
  <c r="CE82" i="2"/>
  <c r="CD82" i="2"/>
  <c r="CC82" i="2"/>
  <c r="CB82" i="2"/>
  <c r="CA82" i="2"/>
  <c r="BZ82" i="2"/>
  <c r="BY82" i="2"/>
  <c r="BX82" i="2"/>
  <c r="BW82" i="2"/>
  <c r="BV82" i="2"/>
  <c r="BU82" i="2"/>
  <c r="BT82" i="2"/>
  <c r="BS82" i="2"/>
  <c r="BR82" i="2"/>
  <c r="BQ82" i="2"/>
  <c r="BP82" i="2"/>
  <c r="BO82" i="2"/>
  <c r="BN82" i="2"/>
  <c r="BM82" i="2"/>
  <c r="BL82" i="2"/>
  <c r="BK82" i="2"/>
  <c r="BJ82" i="2"/>
  <c r="BI82" i="2"/>
  <c r="BH82" i="2"/>
  <c r="BG82" i="2"/>
  <c r="BF82" i="2"/>
  <c r="CQ81" i="2"/>
  <c r="CP81" i="2"/>
  <c r="CO81" i="2"/>
  <c r="CN81" i="2"/>
  <c r="CM81" i="2"/>
  <c r="CL81" i="2"/>
  <c r="CK81" i="2"/>
  <c r="CJ81" i="2"/>
  <c r="CI81" i="2"/>
  <c r="CH81" i="2"/>
  <c r="CG81" i="2"/>
  <c r="CF81" i="2"/>
  <c r="CE81" i="2"/>
  <c r="CD81" i="2"/>
  <c r="CC81" i="2"/>
  <c r="CB81" i="2"/>
  <c r="CA81" i="2"/>
  <c r="BZ81" i="2"/>
  <c r="BY81" i="2"/>
  <c r="BX81" i="2"/>
  <c r="BW81" i="2"/>
  <c r="BV81" i="2"/>
  <c r="BU81" i="2"/>
  <c r="BT81" i="2"/>
  <c r="BS81" i="2"/>
  <c r="BR81" i="2"/>
  <c r="BQ81" i="2"/>
  <c r="BP81" i="2"/>
  <c r="BO81" i="2"/>
  <c r="BN81" i="2"/>
  <c r="BM81" i="2"/>
  <c r="BL81" i="2"/>
  <c r="BK81" i="2"/>
  <c r="BJ81" i="2"/>
  <c r="BI81" i="2"/>
  <c r="BH81" i="2"/>
  <c r="BG81" i="2"/>
  <c r="BF81" i="2"/>
  <c r="CQ80" i="2"/>
  <c r="CP80" i="2"/>
  <c r="CO80" i="2"/>
  <c r="CN80" i="2"/>
  <c r="CM80" i="2"/>
  <c r="CL80" i="2"/>
  <c r="CK80" i="2"/>
  <c r="CJ80" i="2"/>
  <c r="CI80" i="2"/>
  <c r="CH80" i="2"/>
  <c r="CG80" i="2"/>
  <c r="CF80" i="2"/>
  <c r="CE80" i="2"/>
  <c r="CD80" i="2"/>
  <c r="CC80" i="2"/>
  <c r="CB80" i="2"/>
  <c r="CA80" i="2"/>
  <c r="BZ80" i="2"/>
  <c r="BY80" i="2"/>
  <c r="BX80" i="2"/>
  <c r="BW80" i="2"/>
  <c r="BV80" i="2"/>
  <c r="BU80" i="2"/>
  <c r="BT80" i="2"/>
  <c r="BS80" i="2"/>
  <c r="BR80" i="2"/>
  <c r="BQ80" i="2"/>
  <c r="BP80" i="2"/>
  <c r="BO80" i="2"/>
  <c r="BN80" i="2"/>
  <c r="BM80" i="2"/>
  <c r="BL80" i="2"/>
  <c r="BK80" i="2"/>
  <c r="BJ80" i="2"/>
  <c r="BI80" i="2"/>
  <c r="BH80" i="2"/>
  <c r="BG80" i="2"/>
  <c r="BF80" i="2"/>
  <c r="CQ79" i="2"/>
  <c r="CP79" i="2"/>
  <c r="CO79" i="2"/>
  <c r="CN79" i="2"/>
  <c r="CM79" i="2"/>
  <c r="CL79" i="2"/>
  <c r="CK79" i="2"/>
  <c r="CJ79" i="2"/>
  <c r="CI79" i="2"/>
  <c r="CH79" i="2"/>
  <c r="CG79" i="2"/>
  <c r="CF79" i="2"/>
  <c r="CE79" i="2"/>
  <c r="CD79" i="2"/>
  <c r="CC79" i="2"/>
  <c r="CB79" i="2"/>
  <c r="CA79" i="2"/>
  <c r="BZ79" i="2"/>
  <c r="BY79" i="2"/>
  <c r="BX79" i="2"/>
  <c r="BW79" i="2"/>
  <c r="BV79" i="2"/>
  <c r="BU79" i="2"/>
  <c r="BT79" i="2"/>
  <c r="BS79" i="2"/>
  <c r="BR79" i="2"/>
  <c r="BQ79" i="2"/>
  <c r="BP79" i="2"/>
  <c r="BO79" i="2"/>
  <c r="BN79" i="2"/>
  <c r="BM79" i="2"/>
  <c r="BL79" i="2"/>
  <c r="BK79" i="2"/>
  <c r="BJ79" i="2"/>
  <c r="BI79" i="2"/>
  <c r="BH79" i="2"/>
  <c r="BG79" i="2"/>
  <c r="BF79" i="2"/>
  <c r="CQ78" i="2"/>
  <c r="CP78" i="2"/>
  <c r="CO78" i="2"/>
  <c r="CN78" i="2"/>
  <c r="CM78" i="2"/>
  <c r="CL78" i="2"/>
  <c r="CK78" i="2"/>
  <c r="CJ78" i="2"/>
  <c r="CI78" i="2"/>
  <c r="CH78" i="2"/>
  <c r="CG78" i="2"/>
  <c r="CF78" i="2"/>
  <c r="CE78" i="2"/>
  <c r="CD78" i="2"/>
  <c r="CC78" i="2"/>
  <c r="CB78" i="2"/>
  <c r="CA78" i="2"/>
  <c r="BZ78" i="2"/>
  <c r="BY78" i="2"/>
  <c r="BX78" i="2"/>
  <c r="BW78" i="2"/>
  <c r="BV78" i="2"/>
  <c r="BU78" i="2"/>
  <c r="BT78" i="2"/>
  <c r="BS78" i="2"/>
  <c r="BR78" i="2"/>
  <c r="BQ78" i="2"/>
  <c r="BP78" i="2"/>
  <c r="BO78" i="2"/>
  <c r="BN78" i="2"/>
  <c r="BM78" i="2"/>
  <c r="BL78" i="2"/>
  <c r="BK78" i="2"/>
  <c r="BJ78" i="2"/>
  <c r="BI78" i="2"/>
  <c r="BH78" i="2"/>
  <c r="BG78" i="2"/>
  <c r="BF78" i="2"/>
  <c r="CQ77" i="2"/>
  <c r="CP77" i="2"/>
  <c r="CO77" i="2"/>
  <c r="CN77" i="2"/>
  <c r="CM77" i="2"/>
  <c r="CL77" i="2"/>
  <c r="CK77" i="2"/>
  <c r="CJ77" i="2"/>
  <c r="CI77" i="2"/>
  <c r="CH77" i="2"/>
  <c r="CG77" i="2"/>
  <c r="CF77" i="2"/>
  <c r="CE77" i="2"/>
  <c r="CD77" i="2"/>
  <c r="CC77" i="2"/>
  <c r="CB77" i="2"/>
  <c r="CA77" i="2"/>
  <c r="BZ77" i="2"/>
  <c r="BY77" i="2"/>
  <c r="BX77" i="2"/>
  <c r="BW77" i="2"/>
  <c r="BV77" i="2"/>
  <c r="BU77" i="2"/>
  <c r="BT77" i="2"/>
  <c r="BS77" i="2"/>
  <c r="BR77" i="2"/>
  <c r="BQ77" i="2"/>
  <c r="BP77" i="2"/>
  <c r="BO77" i="2"/>
  <c r="BN77" i="2"/>
  <c r="BM77" i="2"/>
  <c r="BL77" i="2"/>
  <c r="BK77" i="2"/>
  <c r="BJ77" i="2"/>
  <c r="BI77" i="2"/>
  <c r="BH77" i="2"/>
  <c r="BG77" i="2"/>
  <c r="BF77" i="2"/>
  <c r="CQ76" i="2"/>
  <c r="CP76" i="2"/>
  <c r="CO76" i="2"/>
  <c r="CN76" i="2"/>
  <c r="CM76" i="2"/>
  <c r="CL76" i="2"/>
  <c r="CK76" i="2"/>
  <c r="CJ76" i="2"/>
  <c r="CI76" i="2"/>
  <c r="CH76" i="2"/>
  <c r="CG76" i="2"/>
  <c r="CF76" i="2"/>
  <c r="CE76" i="2"/>
  <c r="CD76" i="2"/>
  <c r="CC76" i="2"/>
  <c r="CB76" i="2"/>
  <c r="CA76" i="2"/>
  <c r="BZ76" i="2"/>
  <c r="BY76" i="2"/>
  <c r="BX76" i="2"/>
  <c r="BW76" i="2"/>
  <c r="BV76" i="2"/>
  <c r="BU76" i="2"/>
  <c r="BT76" i="2"/>
  <c r="BS76" i="2"/>
  <c r="BR76" i="2"/>
  <c r="BQ76" i="2"/>
  <c r="BP76" i="2"/>
  <c r="BO76" i="2"/>
  <c r="BN76" i="2"/>
  <c r="BM76" i="2"/>
  <c r="BL76" i="2"/>
  <c r="BK76" i="2"/>
  <c r="BJ76" i="2"/>
  <c r="BI76" i="2"/>
  <c r="BH76" i="2"/>
  <c r="BG76" i="2"/>
  <c r="BF76" i="2"/>
  <c r="CQ75" i="2"/>
  <c r="CP75" i="2"/>
  <c r="CO75" i="2"/>
  <c r="CN75" i="2"/>
  <c r="CM75" i="2"/>
  <c r="CL75" i="2"/>
  <c r="CK75" i="2"/>
  <c r="CJ75" i="2"/>
  <c r="CI75" i="2"/>
  <c r="CH75" i="2"/>
  <c r="CG75" i="2"/>
  <c r="CF75" i="2"/>
  <c r="CE75" i="2"/>
  <c r="CD75" i="2"/>
  <c r="CC75" i="2"/>
  <c r="CB75" i="2"/>
  <c r="CA75" i="2"/>
  <c r="BZ75" i="2"/>
  <c r="BY75" i="2"/>
  <c r="BX75" i="2"/>
  <c r="BW75" i="2"/>
  <c r="BV75" i="2"/>
  <c r="BU75" i="2"/>
  <c r="BT75" i="2"/>
  <c r="BS75" i="2"/>
  <c r="BR75" i="2"/>
  <c r="BQ75" i="2"/>
  <c r="BP75" i="2"/>
  <c r="BO75" i="2"/>
  <c r="BN75" i="2"/>
  <c r="BM75" i="2"/>
  <c r="BL75" i="2"/>
  <c r="BK75" i="2"/>
  <c r="BJ75" i="2"/>
  <c r="BI75" i="2"/>
  <c r="BH75" i="2"/>
  <c r="BG75" i="2"/>
  <c r="BF75" i="2"/>
  <c r="CQ74" i="2"/>
  <c r="CP74" i="2"/>
  <c r="CO74" i="2"/>
  <c r="CN74" i="2"/>
  <c r="CM74" i="2"/>
  <c r="CL74" i="2"/>
  <c r="CK74" i="2"/>
  <c r="CJ74" i="2"/>
  <c r="CI74" i="2"/>
  <c r="CH74" i="2"/>
  <c r="CG74" i="2"/>
  <c r="CF74" i="2"/>
  <c r="CE74" i="2"/>
  <c r="CD74" i="2"/>
  <c r="CC74" i="2"/>
  <c r="CB74" i="2"/>
  <c r="CA74" i="2"/>
  <c r="BZ74" i="2"/>
  <c r="BY74" i="2"/>
  <c r="BX74" i="2"/>
  <c r="BW74" i="2"/>
  <c r="BV74" i="2"/>
  <c r="BU74" i="2"/>
  <c r="BT74" i="2"/>
  <c r="BS74" i="2"/>
  <c r="BR74" i="2"/>
  <c r="BQ74" i="2"/>
  <c r="BP74" i="2"/>
  <c r="BO74" i="2"/>
  <c r="BN74" i="2"/>
  <c r="BM74" i="2"/>
  <c r="BL74" i="2"/>
  <c r="BK74" i="2"/>
  <c r="BJ74" i="2"/>
  <c r="BI74" i="2"/>
  <c r="BH74" i="2"/>
  <c r="BG74" i="2"/>
  <c r="BF74" i="2"/>
  <c r="CQ73" i="2"/>
  <c r="CP73" i="2"/>
  <c r="CO73" i="2"/>
  <c r="CN73" i="2"/>
  <c r="CM73" i="2"/>
  <c r="CL73" i="2"/>
  <c r="CK73" i="2"/>
  <c r="CJ73" i="2"/>
  <c r="CI73" i="2"/>
  <c r="CH73" i="2"/>
  <c r="CG73" i="2"/>
  <c r="CF73" i="2"/>
  <c r="CE73" i="2"/>
  <c r="CD73" i="2"/>
  <c r="CC73" i="2"/>
  <c r="CB73" i="2"/>
  <c r="CA73" i="2"/>
  <c r="BZ73" i="2"/>
  <c r="BY73" i="2"/>
  <c r="BX73" i="2"/>
  <c r="BW73" i="2"/>
  <c r="BV73" i="2"/>
  <c r="BU73" i="2"/>
  <c r="BT73" i="2"/>
  <c r="BS73" i="2"/>
  <c r="BR73" i="2"/>
  <c r="BQ73" i="2"/>
  <c r="BP73" i="2"/>
  <c r="BO73" i="2"/>
  <c r="BN73" i="2"/>
  <c r="BM73" i="2"/>
  <c r="BL73" i="2"/>
  <c r="BK73" i="2"/>
  <c r="BJ73" i="2"/>
  <c r="BI73" i="2"/>
  <c r="BH73" i="2"/>
  <c r="BG73" i="2"/>
  <c r="BF73" i="2"/>
  <c r="CQ72" i="2"/>
  <c r="CP72" i="2"/>
  <c r="CO72" i="2"/>
  <c r="CN72" i="2"/>
  <c r="CM72" i="2"/>
  <c r="CL72" i="2"/>
  <c r="CK72" i="2"/>
  <c r="CJ72" i="2"/>
  <c r="CI72" i="2"/>
  <c r="CH72" i="2"/>
  <c r="CG72" i="2"/>
  <c r="CF72" i="2"/>
  <c r="CE72" i="2"/>
  <c r="CD72" i="2"/>
  <c r="CC72" i="2"/>
  <c r="CB72" i="2"/>
  <c r="CA72" i="2"/>
  <c r="BZ72" i="2"/>
  <c r="BY72" i="2"/>
  <c r="BX72" i="2"/>
  <c r="BW72" i="2"/>
  <c r="BV72" i="2"/>
  <c r="BU72" i="2"/>
  <c r="BT72" i="2"/>
  <c r="BS72" i="2"/>
  <c r="BR72" i="2"/>
  <c r="BQ72" i="2"/>
  <c r="BP72" i="2"/>
  <c r="BO72" i="2"/>
  <c r="BN72" i="2"/>
  <c r="BM72" i="2"/>
  <c r="BL72" i="2"/>
  <c r="BK72" i="2"/>
  <c r="BJ72" i="2"/>
  <c r="BI72" i="2"/>
  <c r="BH72" i="2"/>
  <c r="BG72" i="2"/>
  <c r="BF72" i="2"/>
  <c r="CQ71" i="2"/>
  <c r="CP71" i="2"/>
  <c r="CO71" i="2"/>
  <c r="CN71" i="2"/>
  <c r="CM71" i="2"/>
  <c r="CL71" i="2"/>
  <c r="CK71" i="2"/>
  <c r="CJ71" i="2"/>
  <c r="CI71" i="2"/>
  <c r="CH71" i="2"/>
  <c r="CG71" i="2"/>
  <c r="CF71" i="2"/>
  <c r="CE71" i="2"/>
  <c r="CD71" i="2"/>
  <c r="CC71" i="2"/>
  <c r="CB71" i="2"/>
  <c r="CA71" i="2"/>
  <c r="BZ71" i="2"/>
  <c r="BY71" i="2"/>
  <c r="BX71" i="2"/>
  <c r="BW71" i="2"/>
  <c r="BV71" i="2"/>
  <c r="BU71" i="2"/>
  <c r="BT71" i="2"/>
  <c r="BS71" i="2"/>
  <c r="BR71" i="2"/>
  <c r="BQ71" i="2"/>
  <c r="BP71" i="2"/>
  <c r="BO71" i="2"/>
  <c r="BN71" i="2"/>
  <c r="BM71" i="2"/>
  <c r="BL71" i="2"/>
  <c r="BK71" i="2"/>
  <c r="BJ71" i="2"/>
  <c r="BI71" i="2"/>
  <c r="BH71" i="2"/>
  <c r="BG71" i="2"/>
  <c r="BF71" i="2"/>
  <c r="CQ70" i="2"/>
  <c r="CP70" i="2"/>
  <c r="CO70" i="2"/>
  <c r="CN70" i="2"/>
  <c r="CM70" i="2"/>
  <c r="CL70" i="2"/>
  <c r="CK70" i="2"/>
  <c r="CJ70" i="2"/>
  <c r="CI70" i="2"/>
  <c r="CH70" i="2"/>
  <c r="CG70" i="2"/>
  <c r="CF70" i="2"/>
  <c r="CE70" i="2"/>
  <c r="CD70" i="2"/>
  <c r="CC70" i="2"/>
  <c r="CB70" i="2"/>
  <c r="CA70" i="2"/>
  <c r="BZ70" i="2"/>
  <c r="BY70" i="2"/>
  <c r="BX70" i="2"/>
  <c r="BW70" i="2"/>
  <c r="BV70" i="2"/>
  <c r="BU70" i="2"/>
  <c r="BT70" i="2"/>
  <c r="BS70" i="2"/>
  <c r="BR70" i="2"/>
  <c r="BQ70" i="2"/>
  <c r="BP70" i="2"/>
  <c r="BO70" i="2"/>
  <c r="BN70" i="2"/>
  <c r="BM70" i="2"/>
  <c r="BL70" i="2"/>
  <c r="BK70" i="2"/>
  <c r="BJ70" i="2"/>
  <c r="BI70" i="2"/>
  <c r="BH70" i="2"/>
  <c r="BG70" i="2"/>
  <c r="BF70" i="2"/>
  <c r="CQ69" i="2"/>
  <c r="CP69" i="2"/>
  <c r="CO69" i="2"/>
  <c r="CN69" i="2"/>
  <c r="CM69" i="2"/>
  <c r="CL69" i="2"/>
  <c r="CK69" i="2"/>
  <c r="CJ69" i="2"/>
  <c r="CI69" i="2"/>
  <c r="CH69" i="2"/>
  <c r="CG69" i="2"/>
  <c r="CF69" i="2"/>
  <c r="CE69" i="2"/>
  <c r="CD69" i="2"/>
  <c r="CC69" i="2"/>
  <c r="CB69" i="2"/>
  <c r="CA69" i="2"/>
  <c r="BZ69" i="2"/>
  <c r="BY69" i="2"/>
  <c r="BX69" i="2"/>
  <c r="BW69" i="2"/>
  <c r="BV69" i="2"/>
  <c r="BU69" i="2"/>
  <c r="BT69" i="2"/>
  <c r="BS69" i="2"/>
  <c r="BR69" i="2"/>
  <c r="BQ69" i="2"/>
  <c r="BP69" i="2"/>
  <c r="BO69" i="2"/>
  <c r="BN69" i="2"/>
  <c r="BM69" i="2"/>
  <c r="BL69" i="2"/>
  <c r="BK69" i="2"/>
  <c r="BJ69" i="2"/>
  <c r="BI69" i="2"/>
  <c r="BH69" i="2"/>
  <c r="BG69" i="2"/>
  <c r="BF69" i="2"/>
  <c r="CQ68" i="2"/>
  <c r="CP68" i="2"/>
  <c r="CO68" i="2"/>
  <c r="CN68" i="2"/>
  <c r="CM68" i="2"/>
  <c r="CL68" i="2"/>
  <c r="CK68" i="2"/>
  <c r="CJ68" i="2"/>
  <c r="CI68" i="2"/>
  <c r="CH68" i="2"/>
  <c r="CG68" i="2"/>
  <c r="CF68" i="2"/>
  <c r="CE68" i="2"/>
  <c r="CD68" i="2"/>
  <c r="CC68" i="2"/>
  <c r="CB68" i="2"/>
  <c r="CA68" i="2"/>
  <c r="BZ68" i="2"/>
  <c r="BY68" i="2"/>
  <c r="BX68" i="2"/>
  <c r="BW68" i="2"/>
  <c r="BV68" i="2"/>
  <c r="BU68" i="2"/>
  <c r="BT68" i="2"/>
  <c r="BS68" i="2"/>
  <c r="BR68" i="2"/>
  <c r="BQ68" i="2"/>
  <c r="BP68" i="2"/>
  <c r="BO68" i="2"/>
  <c r="BN68" i="2"/>
  <c r="BM68" i="2"/>
  <c r="BL68" i="2"/>
  <c r="BK68" i="2"/>
  <c r="BJ68" i="2"/>
  <c r="BI68" i="2"/>
  <c r="BH68" i="2"/>
  <c r="BG68" i="2"/>
  <c r="BF68" i="2"/>
  <c r="CQ67" i="2"/>
  <c r="CP67" i="2"/>
  <c r="CO67" i="2"/>
  <c r="CN67" i="2"/>
  <c r="CM67" i="2"/>
  <c r="CL67" i="2"/>
  <c r="CK67" i="2"/>
  <c r="CJ67" i="2"/>
  <c r="CI67" i="2"/>
  <c r="CH67" i="2"/>
  <c r="CG67" i="2"/>
  <c r="CF67" i="2"/>
  <c r="CE67" i="2"/>
  <c r="CD67" i="2"/>
  <c r="CC67" i="2"/>
  <c r="CB67" i="2"/>
  <c r="CA67" i="2"/>
  <c r="BZ67" i="2"/>
  <c r="BY67" i="2"/>
  <c r="BX67" i="2"/>
  <c r="BW67" i="2"/>
  <c r="BV67" i="2"/>
  <c r="BU67" i="2"/>
  <c r="BT67" i="2"/>
  <c r="BS67" i="2"/>
  <c r="BR67" i="2"/>
  <c r="BQ67" i="2"/>
  <c r="BP67" i="2"/>
  <c r="BO67" i="2"/>
  <c r="BN67" i="2"/>
  <c r="BM67" i="2"/>
  <c r="BL67" i="2"/>
  <c r="BK67" i="2"/>
  <c r="BJ67" i="2"/>
  <c r="BI67" i="2"/>
  <c r="BH67" i="2"/>
  <c r="BG67" i="2"/>
  <c r="BF67" i="2"/>
  <c r="CQ66" i="2"/>
  <c r="CP66" i="2"/>
  <c r="CO66" i="2"/>
  <c r="CN66" i="2"/>
  <c r="CM66" i="2"/>
  <c r="CL66" i="2"/>
  <c r="CK66" i="2"/>
  <c r="CJ66" i="2"/>
  <c r="CI66" i="2"/>
  <c r="CH66" i="2"/>
  <c r="CG66" i="2"/>
  <c r="CF66" i="2"/>
  <c r="CE66" i="2"/>
  <c r="CD66" i="2"/>
  <c r="CC66" i="2"/>
  <c r="CB66" i="2"/>
  <c r="CA66" i="2"/>
  <c r="BZ66" i="2"/>
  <c r="BY66" i="2"/>
  <c r="BX66" i="2"/>
  <c r="BW66" i="2"/>
  <c r="BV66" i="2"/>
  <c r="BU66" i="2"/>
  <c r="BT66" i="2"/>
  <c r="BS66" i="2"/>
  <c r="BR66" i="2"/>
  <c r="BQ66" i="2"/>
  <c r="BP66" i="2"/>
  <c r="BO66" i="2"/>
  <c r="BN66" i="2"/>
  <c r="BM66" i="2"/>
  <c r="BL66" i="2"/>
  <c r="BK66" i="2"/>
  <c r="BJ66" i="2"/>
  <c r="BI66" i="2"/>
  <c r="BH66" i="2"/>
  <c r="BG66" i="2"/>
  <c r="BF66" i="2"/>
  <c r="CQ65" i="2"/>
  <c r="CP65" i="2"/>
  <c r="CO65" i="2"/>
  <c r="CN65" i="2"/>
  <c r="CM65" i="2"/>
  <c r="CL65" i="2"/>
  <c r="CK65" i="2"/>
  <c r="CJ65" i="2"/>
  <c r="CI65" i="2"/>
  <c r="CH65" i="2"/>
  <c r="CG65" i="2"/>
  <c r="CF65" i="2"/>
  <c r="CE65" i="2"/>
  <c r="CD65" i="2"/>
  <c r="CC65" i="2"/>
  <c r="CB65" i="2"/>
  <c r="CA65" i="2"/>
  <c r="BZ65" i="2"/>
  <c r="BY65" i="2"/>
  <c r="BX65" i="2"/>
  <c r="BW65" i="2"/>
  <c r="BV65" i="2"/>
  <c r="BU65" i="2"/>
  <c r="BT65" i="2"/>
  <c r="BS65" i="2"/>
  <c r="BR65" i="2"/>
  <c r="BQ65" i="2"/>
  <c r="BP65" i="2"/>
  <c r="BO65" i="2"/>
  <c r="BN65" i="2"/>
  <c r="BM65" i="2"/>
  <c r="BL65" i="2"/>
  <c r="BK65" i="2"/>
  <c r="BJ65" i="2"/>
  <c r="BI65" i="2"/>
  <c r="BH65" i="2"/>
  <c r="BG65" i="2"/>
  <c r="BF65" i="2"/>
  <c r="CQ64" i="2"/>
  <c r="CP64" i="2"/>
  <c r="CO64" i="2"/>
  <c r="CN64" i="2"/>
  <c r="CM64" i="2"/>
  <c r="CL64" i="2"/>
  <c r="CK64" i="2"/>
  <c r="CJ64" i="2"/>
  <c r="CI64" i="2"/>
  <c r="CH64" i="2"/>
  <c r="CG64" i="2"/>
  <c r="CF64" i="2"/>
  <c r="CE64" i="2"/>
  <c r="CD64" i="2"/>
  <c r="CC64" i="2"/>
  <c r="CB64" i="2"/>
  <c r="CA64" i="2"/>
  <c r="BZ64" i="2"/>
  <c r="BY64" i="2"/>
  <c r="BX64" i="2"/>
  <c r="BW64" i="2"/>
  <c r="BV64" i="2"/>
  <c r="BU64" i="2"/>
  <c r="BT64" i="2"/>
  <c r="BS64" i="2"/>
  <c r="BR64" i="2"/>
  <c r="BQ64" i="2"/>
  <c r="BP64" i="2"/>
  <c r="BO64" i="2"/>
  <c r="BN64" i="2"/>
  <c r="BM64" i="2"/>
  <c r="BL64" i="2"/>
  <c r="BK64" i="2"/>
  <c r="BJ64" i="2"/>
  <c r="BI64" i="2"/>
  <c r="BH64" i="2"/>
  <c r="BG64" i="2"/>
  <c r="BF64" i="2"/>
  <c r="CQ63" i="2"/>
  <c r="CP63" i="2"/>
  <c r="CO63" i="2"/>
  <c r="CN63" i="2"/>
  <c r="CM63" i="2"/>
  <c r="CL63" i="2"/>
  <c r="CK63" i="2"/>
  <c r="CJ63" i="2"/>
  <c r="CI63" i="2"/>
  <c r="CH63" i="2"/>
  <c r="CG63" i="2"/>
  <c r="CF63" i="2"/>
  <c r="CE63" i="2"/>
  <c r="CD63" i="2"/>
  <c r="CC63" i="2"/>
  <c r="CB63" i="2"/>
  <c r="CA63" i="2"/>
  <c r="BZ63" i="2"/>
  <c r="BY63" i="2"/>
  <c r="BX63" i="2"/>
  <c r="BW63" i="2"/>
  <c r="BV63" i="2"/>
  <c r="BU63" i="2"/>
  <c r="BT63" i="2"/>
  <c r="BS63" i="2"/>
  <c r="BR63" i="2"/>
  <c r="BQ63" i="2"/>
  <c r="BP63" i="2"/>
  <c r="BO63" i="2"/>
  <c r="BN63" i="2"/>
  <c r="BM63" i="2"/>
  <c r="BL63" i="2"/>
  <c r="BK63" i="2"/>
  <c r="BJ63" i="2"/>
  <c r="BI63" i="2"/>
  <c r="BH63" i="2"/>
  <c r="BG63" i="2"/>
  <c r="BF63" i="2"/>
  <c r="CQ62" i="2"/>
  <c r="CP62" i="2"/>
  <c r="CO62" i="2"/>
  <c r="CN62" i="2"/>
  <c r="CM62" i="2"/>
  <c r="CL62" i="2"/>
  <c r="CK62" i="2"/>
  <c r="CJ62" i="2"/>
  <c r="CI62" i="2"/>
  <c r="CH62" i="2"/>
  <c r="CG62" i="2"/>
  <c r="CF62" i="2"/>
  <c r="CE62" i="2"/>
  <c r="CD62" i="2"/>
  <c r="CC62" i="2"/>
  <c r="CB62" i="2"/>
  <c r="CA62" i="2"/>
  <c r="BZ62" i="2"/>
  <c r="BY62" i="2"/>
  <c r="BX62" i="2"/>
  <c r="BW62" i="2"/>
  <c r="BV62" i="2"/>
  <c r="BU62" i="2"/>
  <c r="BT62" i="2"/>
  <c r="BS62" i="2"/>
  <c r="BR62" i="2"/>
  <c r="BQ62" i="2"/>
  <c r="BP62" i="2"/>
  <c r="BO62" i="2"/>
  <c r="BN62" i="2"/>
  <c r="BM62" i="2"/>
  <c r="BL62" i="2"/>
  <c r="BK62" i="2"/>
  <c r="BJ62" i="2"/>
  <c r="BI62" i="2"/>
  <c r="BH62" i="2"/>
  <c r="BG62" i="2"/>
  <c r="BF62" i="2"/>
  <c r="CQ61" i="2"/>
  <c r="CP61" i="2"/>
  <c r="CO61" i="2"/>
  <c r="CN61" i="2"/>
  <c r="CM61" i="2"/>
  <c r="CL61" i="2"/>
  <c r="CK61" i="2"/>
  <c r="CJ61" i="2"/>
  <c r="CI61" i="2"/>
  <c r="CH61" i="2"/>
  <c r="CG61" i="2"/>
  <c r="CF61" i="2"/>
  <c r="CE61" i="2"/>
  <c r="CD61" i="2"/>
  <c r="CC61" i="2"/>
  <c r="CB61" i="2"/>
  <c r="CA61" i="2"/>
  <c r="BZ61" i="2"/>
  <c r="BY61" i="2"/>
  <c r="BX61" i="2"/>
  <c r="BW61" i="2"/>
  <c r="BV61" i="2"/>
  <c r="BU61" i="2"/>
  <c r="BT61" i="2"/>
  <c r="BS61" i="2"/>
  <c r="BR61" i="2"/>
  <c r="BQ61" i="2"/>
  <c r="BP61" i="2"/>
  <c r="BO61" i="2"/>
  <c r="BN61" i="2"/>
  <c r="BM61" i="2"/>
  <c r="BL61" i="2"/>
  <c r="BK61" i="2"/>
  <c r="BJ61" i="2"/>
  <c r="BI61" i="2"/>
  <c r="BH61" i="2"/>
  <c r="BG61" i="2"/>
  <c r="BF61" i="2"/>
  <c r="CQ60" i="2"/>
  <c r="CP60" i="2"/>
  <c r="CO60" i="2"/>
  <c r="CN60" i="2"/>
  <c r="CM60" i="2"/>
  <c r="CL60" i="2"/>
  <c r="CK60" i="2"/>
  <c r="CJ60" i="2"/>
  <c r="CI60" i="2"/>
  <c r="CH60" i="2"/>
  <c r="CG60" i="2"/>
  <c r="CF60" i="2"/>
  <c r="CE60" i="2"/>
  <c r="CD60" i="2"/>
  <c r="CC60" i="2"/>
  <c r="CB60" i="2"/>
  <c r="CA60" i="2"/>
  <c r="BZ60" i="2"/>
  <c r="BY60" i="2"/>
  <c r="BX60" i="2"/>
  <c r="BW60" i="2"/>
  <c r="BV60" i="2"/>
  <c r="BU60" i="2"/>
  <c r="BT60" i="2"/>
  <c r="BS60" i="2"/>
  <c r="BR60" i="2"/>
  <c r="BQ60" i="2"/>
  <c r="BP60" i="2"/>
  <c r="BO60" i="2"/>
  <c r="BN60" i="2"/>
  <c r="BM60" i="2"/>
  <c r="BL60" i="2"/>
  <c r="BK60" i="2"/>
  <c r="BJ60" i="2"/>
  <c r="BI60" i="2"/>
  <c r="BH60" i="2"/>
  <c r="BG60" i="2"/>
  <c r="BF60" i="2"/>
  <c r="CQ59" i="2"/>
  <c r="CP59" i="2"/>
  <c r="CO59" i="2"/>
  <c r="CN59" i="2"/>
  <c r="CM59" i="2"/>
  <c r="CL59" i="2"/>
  <c r="CK59" i="2"/>
  <c r="CJ59" i="2"/>
  <c r="CI59" i="2"/>
  <c r="CH59" i="2"/>
  <c r="CG59" i="2"/>
  <c r="CF59" i="2"/>
  <c r="CE59" i="2"/>
  <c r="CD59" i="2"/>
  <c r="CC59" i="2"/>
  <c r="CB59" i="2"/>
  <c r="CA59" i="2"/>
  <c r="BZ59" i="2"/>
  <c r="BY59" i="2"/>
  <c r="BX59" i="2"/>
  <c r="BW59" i="2"/>
  <c r="BV59" i="2"/>
  <c r="BU59" i="2"/>
  <c r="BT59" i="2"/>
  <c r="BS59" i="2"/>
  <c r="BR59" i="2"/>
  <c r="BQ59" i="2"/>
  <c r="BP59" i="2"/>
  <c r="BO59" i="2"/>
  <c r="BN59" i="2"/>
  <c r="BM59" i="2"/>
  <c r="BL59" i="2"/>
  <c r="BK59" i="2"/>
  <c r="BJ59" i="2"/>
  <c r="BI59" i="2"/>
  <c r="BH59" i="2"/>
  <c r="BG59" i="2"/>
  <c r="BF59" i="2"/>
  <c r="CQ58" i="2"/>
  <c r="CP58" i="2"/>
  <c r="CO58" i="2"/>
  <c r="CN58" i="2"/>
  <c r="CM58" i="2"/>
  <c r="CL58" i="2"/>
  <c r="CK58" i="2"/>
  <c r="CJ58" i="2"/>
  <c r="CI58" i="2"/>
  <c r="CH58" i="2"/>
  <c r="CG58" i="2"/>
  <c r="CF58" i="2"/>
  <c r="CE58" i="2"/>
  <c r="CD58" i="2"/>
  <c r="CC58" i="2"/>
  <c r="CB58" i="2"/>
  <c r="CA58" i="2"/>
  <c r="BZ58" i="2"/>
  <c r="BY58" i="2"/>
  <c r="BX58" i="2"/>
  <c r="BW58" i="2"/>
  <c r="BV58" i="2"/>
  <c r="BU58" i="2"/>
  <c r="BT58" i="2"/>
  <c r="BS58" i="2"/>
  <c r="BR58" i="2"/>
  <c r="BQ58" i="2"/>
  <c r="BP58" i="2"/>
  <c r="BO58" i="2"/>
  <c r="BN58" i="2"/>
  <c r="BM58" i="2"/>
  <c r="BL58" i="2"/>
  <c r="BK58" i="2"/>
  <c r="BJ58" i="2"/>
  <c r="BI58" i="2"/>
  <c r="BH58" i="2"/>
  <c r="BG58" i="2"/>
  <c r="BF58" i="2"/>
  <c r="CQ57" i="2"/>
  <c r="CP57" i="2"/>
  <c r="CO57" i="2"/>
  <c r="CN57" i="2"/>
  <c r="CM57" i="2"/>
  <c r="CL57" i="2"/>
  <c r="CK57" i="2"/>
  <c r="CJ57" i="2"/>
  <c r="CI57" i="2"/>
  <c r="CH57" i="2"/>
  <c r="CG57" i="2"/>
  <c r="CF57" i="2"/>
  <c r="CE57" i="2"/>
  <c r="CD57" i="2"/>
  <c r="CC57" i="2"/>
  <c r="CB57" i="2"/>
  <c r="CA57" i="2"/>
  <c r="BZ57" i="2"/>
  <c r="BY57" i="2"/>
  <c r="BX57" i="2"/>
  <c r="BW57" i="2"/>
  <c r="BV57" i="2"/>
  <c r="BU57" i="2"/>
  <c r="BT57" i="2"/>
  <c r="BS57" i="2"/>
  <c r="BR57" i="2"/>
  <c r="BQ57" i="2"/>
  <c r="BP57" i="2"/>
  <c r="BO57" i="2"/>
  <c r="BN57" i="2"/>
  <c r="BM57" i="2"/>
  <c r="BL57" i="2"/>
  <c r="BK57" i="2"/>
  <c r="BJ57" i="2"/>
  <c r="BI57" i="2"/>
  <c r="BH57" i="2"/>
  <c r="BG57" i="2"/>
  <c r="BF57" i="2"/>
  <c r="CQ56" i="2"/>
  <c r="CP56" i="2"/>
  <c r="CO56" i="2"/>
  <c r="CN56" i="2"/>
  <c r="CM56" i="2"/>
  <c r="CL56" i="2"/>
  <c r="CK56" i="2"/>
  <c r="CJ56" i="2"/>
  <c r="CI56" i="2"/>
  <c r="CH56" i="2"/>
  <c r="CG56" i="2"/>
  <c r="CF56" i="2"/>
  <c r="CE56" i="2"/>
  <c r="CD56" i="2"/>
  <c r="CC56" i="2"/>
  <c r="CB56" i="2"/>
  <c r="CA56" i="2"/>
  <c r="BZ56" i="2"/>
  <c r="BY56" i="2"/>
  <c r="BX56" i="2"/>
  <c r="BW56" i="2"/>
  <c r="BV56" i="2"/>
  <c r="BU56" i="2"/>
  <c r="BT56" i="2"/>
  <c r="BS56" i="2"/>
  <c r="BR56" i="2"/>
  <c r="BQ56" i="2"/>
  <c r="BP56" i="2"/>
  <c r="BO56" i="2"/>
  <c r="BN56" i="2"/>
  <c r="BM56" i="2"/>
  <c r="BL56" i="2"/>
  <c r="BK56" i="2"/>
  <c r="BJ56" i="2"/>
  <c r="BI56" i="2"/>
  <c r="BH56" i="2"/>
  <c r="BG56" i="2"/>
  <c r="BF56" i="2"/>
  <c r="CQ55" i="2"/>
  <c r="CP55" i="2"/>
  <c r="CO55" i="2"/>
  <c r="CN55" i="2"/>
  <c r="CM55" i="2"/>
  <c r="CL55" i="2"/>
  <c r="CK55" i="2"/>
  <c r="CJ55" i="2"/>
  <c r="CI55" i="2"/>
  <c r="CH55" i="2"/>
  <c r="CG55" i="2"/>
  <c r="CF55" i="2"/>
  <c r="CE55" i="2"/>
  <c r="CD55" i="2"/>
  <c r="CC55" i="2"/>
  <c r="CB55" i="2"/>
  <c r="CA55" i="2"/>
  <c r="BZ55" i="2"/>
  <c r="BY55" i="2"/>
  <c r="BX55" i="2"/>
  <c r="BW55" i="2"/>
  <c r="BV55" i="2"/>
  <c r="BU55" i="2"/>
  <c r="BT55" i="2"/>
  <c r="BS55" i="2"/>
  <c r="BR55" i="2"/>
  <c r="BQ55" i="2"/>
  <c r="BP55" i="2"/>
  <c r="BO55" i="2"/>
  <c r="BN55" i="2"/>
  <c r="BM55" i="2"/>
  <c r="BL55" i="2"/>
  <c r="BK55" i="2"/>
  <c r="BJ55" i="2"/>
  <c r="BI55" i="2"/>
  <c r="BH55" i="2"/>
  <c r="BG55" i="2"/>
  <c r="BF55" i="2"/>
  <c r="CQ54" i="2"/>
  <c r="CP54" i="2"/>
  <c r="CO54" i="2"/>
  <c r="CN54" i="2"/>
  <c r="CM54" i="2"/>
  <c r="CL54" i="2"/>
  <c r="CK54" i="2"/>
  <c r="CJ54" i="2"/>
  <c r="CI54" i="2"/>
  <c r="CH54" i="2"/>
  <c r="CG54" i="2"/>
  <c r="CF54" i="2"/>
  <c r="CE54" i="2"/>
  <c r="CD54" i="2"/>
  <c r="CC54" i="2"/>
  <c r="CB54" i="2"/>
  <c r="CA54" i="2"/>
  <c r="BZ54" i="2"/>
  <c r="BY54" i="2"/>
  <c r="BX54" i="2"/>
  <c r="BW54" i="2"/>
  <c r="BV54" i="2"/>
  <c r="BU54" i="2"/>
  <c r="BT54" i="2"/>
  <c r="BS54" i="2"/>
  <c r="BR54" i="2"/>
  <c r="BQ54" i="2"/>
  <c r="BP54" i="2"/>
  <c r="BO54" i="2"/>
  <c r="BN54" i="2"/>
  <c r="BM54" i="2"/>
  <c r="BL54" i="2"/>
  <c r="BK54" i="2"/>
  <c r="BJ54" i="2"/>
  <c r="BI54" i="2"/>
  <c r="BH54" i="2"/>
  <c r="BG54" i="2"/>
  <c r="BF54" i="2"/>
  <c r="CQ53" i="2"/>
  <c r="CP53" i="2"/>
  <c r="CO53" i="2"/>
  <c r="CN53" i="2"/>
  <c r="CM53" i="2"/>
  <c r="CL53" i="2"/>
  <c r="CK53" i="2"/>
  <c r="CJ53" i="2"/>
  <c r="CI53" i="2"/>
  <c r="CH53" i="2"/>
  <c r="CG53" i="2"/>
  <c r="CF53" i="2"/>
  <c r="CE53" i="2"/>
  <c r="CD53" i="2"/>
  <c r="CC53" i="2"/>
  <c r="CB53" i="2"/>
  <c r="CA53" i="2"/>
  <c r="BZ53" i="2"/>
  <c r="BY53" i="2"/>
  <c r="BX53" i="2"/>
  <c r="BW53" i="2"/>
  <c r="BV53" i="2"/>
  <c r="BU53" i="2"/>
  <c r="BT53" i="2"/>
  <c r="BS53" i="2"/>
  <c r="BR53" i="2"/>
  <c r="BQ53" i="2"/>
  <c r="BP53" i="2"/>
  <c r="BO53" i="2"/>
  <c r="BN53" i="2"/>
  <c r="BM53" i="2"/>
  <c r="BL53" i="2"/>
  <c r="BK53" i="2"/>
  <c r="BJ53" i="2"/>
  <c r="BI53" i="2"/>
  <c r="BH53" i="2"/>
  <c r="BG53" i="2"/>
  <c r="BF53" i="2"/>
  <c r="CQ52" i="2"/>
  <c r="CP52" i="2"/>
  <c r="CO52" i="2"/>
  <c r="CN52" i="2"/>
  <c r="CM52" i="2"/>
  <c r="CL52" i="2"/>
  <c r="CK52" i="2"/>
  <c r="CJ52"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CQ51" i="2"/>
  <c r="CP51" i="2"/>
  <c r="CO51" i="2"/>
  <c r="CN51" i="2"/>
  <c r="CM51" i="2"/>
  <c r="CL51" i="2"/>
  <c r="CK51" i="2"/>
  <c r="CJ51" i="2"/>
  <c r="CI51" i="2"/>
  <c r="CH51" i="2"/>
  <c r="CG51" i="2"/>
  <c r="CF51" i="2"/>
  <c r="CE51" i="2"/>
  <c r="CD51" i="2"/>
  <c r="CC51" i="2"/>
  <c r="CB51" i="2"/>
  <c r="CA51" i="2"/>
  <c r="BZ51" i="2"/>
  <c r="BY51" i="2"/>
  <c r="BX51" i="2"/>
  <c r="BW51" i="2"/>
  <c r="BV51" i="2"/>
  <c r="BU51" i="2"/>
  <c r="BT51" i="2"/>
  <c r="BS51" i="2"/>
  <c r="BR51" i="2"/>
  <c r="BQ51" i="2"/>
  <c r="BP51" i="2"/>
  <c r="BO51" i="2"/>
  <c r="BN51" i="2"/>
  <c r="BM51" i="2"/>
  <c r="BL51" i="2"/>
  <c r="BK51" i="2"/>
  <c r="BJ51" i="2"/>
  <c r="BI51" i="2"/>
  <c r="BH51" i="2"/>
  <c r="BG51" i="2"/>
  <c r="BF51" i="2"/>
  <c r="CQ50" i="2"/>
  <c r="CP50" i="2"/>
  <c r="CO50" i="2"/>
  <c r="CN50" i="2"/>
  <c r="CM50" i="2"/>
  <c r="CL50" i="2"/>
  <c r="CK50" i="2"/>
  <c r="CJ50" i="2"/>
  <c r="CI50" i="2"/>
  <c r="CH50" i="2"/>
  <c r="CG50" i="2"/>
  <c r="CF50" i="2"/>
  <c r="CE50" i="2"/>
  <c r="CD50" i="2"/>
  <c r="CC50" i="2"/>
  <c r="CB50" i="2"/>
  <c r="CA50" i="2"/>
  <c r="BZ50" i="2"/>
  <c r="BY50" i="2"/>
  <c r="BX50" i="2"/>
  <c r="BW50" i="2"/>
  <c r="BV50" i="2"/>
  <c r="BU50" i="2"/>
  <c r="BT50" i="2"/>
  <c r="BS50" i="2"/>
  <c r="BR50" i="2"/>
  <c r="BQ50" i="2"/>
  <c r="BP50" i="2"/>
  <c r="BO50" i="2"/>
  <c r="BN50" i="2"/>
  <c r="BM50" i="2"/>
  <c r="BL50" i="2"/>
  <c r="BK50" i="2"/>
  <c r="BJ50" i="2"/>
  <c r="BI50" i="2"/>
  <c r="BH50" i="2"/>
  <c r="BG50" i="2"/>
  <c r="BF50" i="2"/>
  <c r="CQ49" i="2"/>
  <c r="CP49" i="2"/>
  <c r="CO49" i="2"/>
  <c r="CN49" i="2"/>
  <c r="CM49" i="2"/>
  <c r="CL49" i="2"/>
  <c r="CK49" i="2"/>
  <c r="CJ49" i="2"/>
  <c r="CI49" i="2"/>
  <c r="CH49" i="2"/>
  <c r="CG49" i="2"/>
  <c r="CF49" i="2"/>
  <c r="CE49" i="2"/>
  <c r="CD49" i="2"/>
  <c r="CC49" i="2"/>
  <c r="CB49" i="2"/>
  <c r="CA49" i="2"/>
  <c r="BZ49" i="2"/>
  <c r="BY49" i="2"/>
  <c r="BX49" i="2"/>
  <c r="BW49" i="2"/>
  <c r="BV49" i="2"/>
  <c r="BU49" i="2"/>
  <c r="BT49" i="2"/>
  <c r="BS49" i="2"/>
  <c r="BR49" i="2"/>
  <c r="BQ49" i="2"/>
  <c r="BP49" i="2"/>
  <c r="BO49" i="2"/>
  <c r="BN49" i="2"/>
  <c r="BM49" i="2"/>
  <c r="BL49" i="2"/>
  <c r="BK49" i="2"/>
  <c r="BJ49" i="2"/>
  <c r="BI49" i="2"/>
  <c r="BH49" i="2"/>
  <c r="BG49" i="2"/>
  <c r="BF49" i="2"/>
  <c r="CQ48" i="2"/>
  <c r="CP48" i="2"/>
  <c r="CO48" i="2"/>
  <c r="CN48" i="2"/>
  <c r="CM48" i="2"/>
  <c r="CL48" i="2"/>
  <c r="CK48" i="2"/>
  <c r="CJ48" i="2"/>
  <c r="CI48" i="2"/>
  <c r="CH48" i="2"/>
  <c r="CG48" i="2"/>
  <c r="CF48" i="2"/>
  <c r="CE48" i="2"/>
  <c r="CD48" i="2"/>
  <c r="CC48" i="2"/>
  <c r="CB48" i="2"/>
  <c r="CA48" i="2"/>
  <c r="BZ48" i="2"/>
  <c r="BY48" i="2"/>
  <c r="BX48" i="2"/>
  <c r="BW48" i="2"/>
  <c r="BV48" i="2"/>
  <c r="BU48" i="2"/>
  <c r="BT48" i="2"/>
  <c r="BS48" i="2"/>
  <c r="BR48" i="2"/>
  <c r="BQ48" i="2"/>
  <c r="BP48" i="2"/>
  <c r="BO48" i="2"/>
  <c r="BN48" i="2"/>
  <c r="BM48" i="2"/>
  <c r="BL48" i="2"/>
  <c r="BK48" i="2"/>
  <c r="BJ48" i="2"/>
  <c r="BI48" i="2"/>
  <c r="BH48" i="2"/>
  <c r="BG48" i="2"/>
  <c r="BF48"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CQ46" i="2"/>
  <c r="CP46" i="2"/>
  <c r="CO46" i="2"/>
  <c r="CN46" i="2"/>
  <c r="CM46" i="2"/>
  <c r="CL46" i="2"/>
  <c r="CK46" i="2"/>
  <c r="CJ46" i="2"/>
  <c r="CI46" i="2"/>
  <c r="CH46" i="2"/>
  <c r="CG46" i="2"/>
  <c r="CF46" i="2"/>
  <c r="CE46" i="2"/>
  <c r="CD46" i="2"/>
  <c r="CC46" i="2"/>
  <c r="CB46" i="2"/>
  <c r="CA46" i="2"/>
  <c r="BZ46" i="2"/>
  <c r="BY46" i="2"/>
  <c r="BX46" i="2"/>
  <c r="BW46" i="2"/>
  <c r="BV46" i="2"/>
  <c r="BU46" i="2"/>
  <c r="BT46" i="2"/>
  <c r="BS46" i="2"/>
  <c r="BR46" i="2"/>
  <c r="BQ46" i="2"/>
  <c r="BP46" i="2"/>
  <c r="BO46" i="2"/>
  <c r="BN46" i="2"/>
  <c r="BM46" i="2"/>
  <c r="BL46" i="2"/>
  <c r="BK46" i="2"/>
  <c r="BJ46" i="2"/>
  <c r="BI46" i="2"/>
  <c r="BH46" i="2"/>
  <c r="BG46" i="2"/>
  <c r="BF46" i="2"/>
  <c r="CQ45" i="2"/>
  <c r="CP45" i="2"/>
  <c r="CO45" i="2"/>
  <c r="CN45" i="2"/>
  <c r="CM45" i="2"/>
  <c r="CL45" i="2"/>
  <c r="CK45" i="2"/>
  <c r="CJ45" i="2"/>
  <c r="CI45" i="2"/>
  <c r="CH45" i="2"/>
  <c r="CG45" i="2"/>
  <c r="CF45" i="2"/>
  <c r="CE45" i="2"/>
  <c r="CD45" i="2"/>
  <c r="CC45" i="2"/>
  <c r="CB45" i="2"/>
  <c r="CA45" i="2"/>
  <c r="BZ45" i="2"/>
  <c r="BY45" i="2"/>
  <c r="BX45" i="2"/>
  <c r="BW45" i="2"/>
  <c r="BV45" i="2"/>
  <c r="BU45" i="2"/>
  <c r="BT45" i="2"/>
  <c r="BS45" i="2"/>
  <c r="BR45" i="2"/>
  <c r="BQ45" i="2"/>
  <c r="BP45" i="2"/>
  <c r="BO45" i="2"/>
  <c r="BN45" i="2"/>
  <c r="BM45" i="2"/>
  <c r="BL45" i="2"/>
  <c r="BK45" i="2"/>
  <c r="BJ45" i="2"/>
  <c r="BI45" i="2"/>
  <c r="BH45" i="2"/>
  <c r="BG45" i="2"/>
  <c r="BF45" i="2"/>
  <c r="CQ44" i="2"/>
  <c r="CP44" i="2"/>
  <c r="CO44" i="2"/>
  <c r="CN44" i="2"/>
  <c r="CM44" i="2"/>
  <c r="CL44" i="2"/>
  <c r="CK44" i="2"/>
  <c r="CJ44" i="2"/>
  <c r="CI44" i="2"/>
  <c r="CH44" i="2"/>
  <c r="CG44" i="2"/>
  <c r="CF44" i="2"/>
  <c r="CE44" i="2"/>
  <c r="CD44" i="2"/>
  <c r="CC44" i="2"/>
  <c r="CB44" i="2"/>
  <c r="CA44" i="2"/>
  <c r="BZ44" i="2"/>
  <c r="BY44" i="2"/>
  <c r="BX44" i="2"/>
  <c r="BW44" i="2"/>
  <c r="BV44" i="2"/>
  <c r="BU44" i="2"/>
  <c r="BT44" i="2"/>
  <c r="BS44" i="2"/>
  <c r="BR44" i="2"/>
  <c r="BQ44" i="2"/>
  <c r="BP44" i="2"/>
  <c r="BO44" i="2"/>
  <c r="BN44" i="2"/>
  <c r="BM44" i="2"/>
  <c r="BL44" i="2"/>
  <c r="BK44" i="2"/>
  <c r="BJ44" i="2"/>
  <c r="BI44" i="2"/>
  <c r="BH44" i="2"/>
  <c r="BG44" i="2"/>
  <c r="BF44"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CB38" i="2"/>
  <c r="CA38" i="2"/>
  <c r="BZ38" i="2"/>
  <c r="BY38" i="2"/>
  <c r="BX38" i="2"/>
  <c r="BW38" i="2"/>
  <c r="BV38" i="2"/>
  <c r="BU38" i="2"/>
  <c r="BT38" i="2"/>
  <c r="BS38" i="2"/>
  <c r="BR38" i="2"/>
  <c r="BQ38" i="2"/>
  <c r="BP38" i="2"/>
  <c r="BO38" i="2"/>
  <c r="BN38" i="2"/>
  <c r="BM38" i="2"/>
  <c r="BL38" i="2"/>
  <c r="BK38" i="2"/>
  <c r="BJ38" i="2"/>
  <c r="BI38" i="2"/>
  <c r="BH38" i="2"/>
  <c r="BG38" i="2"/>
  <c r="CI38" i="2"/>
  <c r="CH38" i="2"/>
  <c r="CF38" i="2"/>
  <c r="CE38" i="2"/>
  <c r="CD38"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AE35" i="2"/>
  <c r="AF35" i="2" s="1"/>
  <c r="D41" i="2" s="1"/>
  <c r="P612" i="2"/>
  <c r="AD30" i="2"/>
  <c r="AB30" i="2"/>
  <c r="BI28" i="2"/>
  <c r="BI29" i="2" s="1"/>
  <c r="P38" i="2"/>
  <c r="P703" i="2" s="1"/>
  <c r="Q703" i="2" s="1"/>
  <c r="P19" i="2"/>
  <c r="P25" i="2" s="1"/>
  <c r="P17" i="2"/>
  <c r="P20" i="2" s="1"/>
  <c r="BL25" i="2"/>
  <c r="P702" i="2" l="1"/>
  <c r="P618" i="2"/>
  <c r="CL38" i="2"/>
  <c r="P704" i="2"/>
  <c r="BF38" i="2"/>
  <c r="P688" i="2"/>
  <c r="P701" i="2"/>
  <c r="P705" i="2"/>
  <c r="P768" i="2"/>
  <c r="M768" i="2" s="1"/>
  <c r="D40" i="2"/>
  <c r="H40" i="2" s="1"/>
  <c r="G1298" i="2"/>
  <c r="P1427" i="2"/>
  <c r="Q1427" i="2" s="1"/>
  <c r="P1477" i="2"/>
  <c r="Q1477" i="2" s="1"/>
  <c r="O1429" i="2"/>
  <c r="P1379" i="2"/>
  <c r="M1346" i="2"/>
  <c r="M1335" i="2"/>
  <c r="G1299" i="2"/>
  <c r="J37" i="2"/>
  <c r="AE21" i="2" s="1"/>
  <c r="P750" i="2"/>
  <c r="M750" i="2" s="1"/>
  <c r="P718" i="2"/>
  <c r="Z718" i="2" s="1"/>
  <c r="P734" i="2"/>
  <c r="AM734" i="2" s="1"/>
  <c r="P715" i="2"/>
  <c r="P738" i="2"/>
  <c r="M738" i="2" s="1"/>
  <c r="M1284" i="2"/>
  <c r="C1285" i="2" s="1"/>
  <c r="Q1313" i="2"/>
  <c r="AG1313" i="2" s="1"/>
  <c r="P719" i="2"/>
  <c r="AI719" i="2" s="1"/>
  <c r="P722" i="2"/>
  <c r="AB722" i="2" s="1"/>
  <c r="P754" i="2"/>
  <c r="Q1298" i="2"/>
  <c r="S715" i="2"/>
  <c r="X722" i="2"/>
  <c r="P723" i="2"/>
  <c r="AF723" i="2" s="1"/>
  <c r="P726" i="2"/>
  <c r="P742" i="2"/>
  <c r="AV742" i="2" s="1"/>
  <c r="P760" i="2"/>
  <c r="Q1299" i="2"/>
  <c r="AD1299" i="2" s="1"/>
  <c r="Q1303" i="2"/>
  <c r="AB1303" i="2" s="1"/>
  <c r="Q1307" i="2"/>
  <c r="AB1307" i="2" s="1"/>
  <c r="AF1310" i="2"/>
  <c r="Q1311" i="2"/>
  <c r="S1311" i="2" s="1"/>
  <c r="P714" i="2"/>
  <c r="S714" i="2" s="1"/>
  <c r="W719" i="2"/>
  <c r="P730" i="2"/>
  <c r="AE730" i="2" s="1"/>
  <c r="P746" i="2"/>
  <c r="AG746" i="2" s="1"/>
  <c r="P34" i="2"/>
  <c r="Q1301" i="2"/>
  <c r="AE1301" i="2" s="1"/>
  <c r="Q1305" i="2"/>
  <c r="AC1305" i="2" s="1"/>
  <c r="AF1308" i="2"/>
  <c r="Q1309" i="2"/>
  <c r="U1309" i="2" s="1"/>
  <c r="Q1317" i="2"/>
  <c r="AG1317" i="2" s="1"/>
  <c r="P37" i="2"/>
  <c r="AN768" i="2"/>
  <c r="CJ38" i="2"/>
  <c r="D42" i="2"/>
  <c r="P679" i="2"/>
  <c r="P677" i="2"/>
  <c r="Q677" i="2" s="1"/>
  <c r="P675" i="2"/>
  <c r="Q675" i="2" s="1"/>
  <c r="R675" i="2" s="1"/>
  <c r="P673" i="2"/>
  <c r="Q673" i="2" s="1"/>
  <c r="P671" i="2"/>
  <c r="P669" i="2"/>
  <c r="Q669" i="2" s="1"/>
  <c r="P667" i="2"/>
  <c r="Q667" i="2" s="1"/>
  <c r="P665" i="2"/>
  <c r="Q665" i="2" s="1"/>
  <c r="P663" i="2"/>
  <c r="P661" i="2"/>
  <c r="Q661" i="2" s="1"/>
  <c r="P659" i="2"/>
  <c r="Q659" i="2" s="1"/>
  <c r="P657" i="2"/>
  <c r="Q657" i="2" s="1"/>
  <c r="P655" i="2"/>
  <c r="P653" i="2"/>
  <c r="Q653" i="2" s="1"/>
  <c r="P651" i="2"/>
  <c r="Q651" i="2" s="1"/>
  <c r="P649" i="2"/>
  <c r="Q649" i="2" s="1"/>
  <c r="P647" i="2"/>
  <c r="P645" i="2"/>
  <c r="Q645" i="2" s="1"/>
  <c r="P643" i="2"/>
  <c r="Q643" i="2" s="1"/>
  <c r="R643" i="2" s="1"/>
  <c r="P641" i="2"/>
  <c r="Q641" i="2" s="1"/>
  <c r="P639" i="2"/>
  <c r="P637" i="2"/>
  <c r="Q637" i="2" s="1"/>
  <c r="P635" i="2"/>
  <c r="Q635" i="2" s="1"/>
  <c r="P633" i="2"/>
  <c r="Q633" i="2" s="1"/>
  <c r="P631" i="2"/>
  <c r="P629" i="2"/>
  <c r="Q629" i="2" s="1"/>
  <c r="P627" i="2"/>
  <c r="Q627" i="2" s="1"/>
  <c r="P625" i="2"/>
  <c r="Q625" i="2" s="1"/>
  <c r="P623" i="2"/>
  <c r="P621" i="2"/>
  <c r="Q621" i="2" s="1"/>
  <c r="P619" i="2"/>
  <c r="Q619" i="2" s="1"/>
  <c r="P678" i="2"/>
  <c r="Q678" i="2" s="1"/>
  <c r="P674" i="2"/>
  <c r="Q674" i="2" s="1"/>
  <c r="P670" i="2"/>
  <c r="Q670" i="2" s="1"/>
  <c r="P666" i="2"/>
  <c r="Q666" i="2" s="1"/>
  <c r="P662" i="2"/>
  <c r="Q662" i="2" s="1"/>
  <c r="P658" i="2"/>
  <c r="Q658" i="2" s="1"/>
  <c r="P654" i="2"/>
  <c r="Q654" i="2" s="1"/>
  <c r="P650" i="2"/>
  <c r="Q650" i="2" s="1"/>
  <c r="P646" i="2"/>
  <c r="Q646" i="2" s="1"/>
  <c r="P642" i="2"/>
  <c r="Q642" i="2" s="1"/>
  <c r="P638" i="2"/>
  <c r="Q638" i="2" s="1"/>
  <c r="P634" i="2"/>
  <c r="Q634" i="2" s="1"/>
  <c r="P630" i="2"/>
  <c r="Q630" i="2" s="1"/>
  <c r="P626" i="2"/>
  <c r="Q626" i="2" s="1"/>
  <c r="P622" i="2"/>
  <c r="Q622" i="2" s="1"/>
  <c r="Q618" i="2"/>
  <c r="P672" i="2"/>
  <c r="P664" i="2"/>
  <c r="P656" i="2"/>
  <c r="P648" i="2"/>
  <c r="P640" i="2"/>
  <c r="P632" i="2"/>
  <c r="P624" i="2"/>
  <c r="P676" i="2"/>
  <c r="P668" i="2"/>
  <c r="P660" i="2"/>
  <c r="P652" i="2"/>
  <c r="P644" i="2"/>
  <c r="P636" i="2"/>
  <c r="P628" i="2"/>
  <c r="P620" i="2"/>
  <c r="L613" i="2"/>
  <c r="L683" i="2" s="1"/>
  <c r="CC38" i="2"/>
  <c r="CG38" i="2"/>
  <c r="CK38" i="2"/>
  <c r="H41" i="2"/>
  <c r="I689" i="2"/>
  <c r="R703" i="2"/>
  <c r="G696" i="2"/>
  <c r="C709" i="2"/>
  <c r="C1217" i="2" s="1"/>
  <c r="C1321" i="2" s="1"/>
  <c r="Q688" i="2"/>
  <c r="R688" i="2" s="1"/>
  <c r="Q702" i="2"/>
  <c r="I680" i="2"/>
  <c r="J680" i="2"/>
  <c r="Q701" i="2"/>
  <c r="R701" i="2" s="1"/>
  <c r="Q704" i="2"/>
  <c r="R704" i="2" s="1"/>
  <c r="P1212" i="2"/>
  <c r="P1208" i="2"/>
  <c r="AM1208" i="2" s="1"/>
  <c r="P1204" i="2"/>
  <c r="AU1204" i="2" s="1"/>
  <c r="P1213" i="2"/>
  <c r="P1207" i="2"/>
  <c r="P1202" i="2"/>
  <c r="P1199" i="2"/>
  <c r="P1209" i="2"/>
  <c r="P1203" i="2"/>
  <c r="AP1203" i="2" s="1"/>
  <c r="P1198" i="2"/>
  <c r="P1194" i="2"/>
  <c r="AC1194" i="2" s="1"/>
  <c r="P1190" i="2"/>
  <c r="R1207" i="2"/>
  <c r="P1197" i="2"/>
  <c r="AA1197" i="2" s="1"/>
  <c r="P1192" i="2"/>
  <c r="AU1192" i="2" s="1"/>
  <c r="P1186" i="2"/>
  <c r="X1207" i="2"/>
  <c r="P1201" i="2"/>
  <c r="AJ1201" i="2" s="1"/>
  <c r="P1193" i="2"/>
  <c r="X1193" i="2" s="1"/>
  <c r="P1210" i="2"/>
  <c r="AU1210" i="2" s="1"/>
  <c r="AR1207" i="2"/>
  <c r="P1205" i="2"/>
  <c r="P1200" i="2"/>
  <c r="P1195" i="2"/>
  <c r="P1211" i="2"/>
  <c r="AL1211" i="2" s="1"/>
  <c r="P1206" i="2"/>
  <c r="M1206" i="2" s="1"/>
  <c r="P1196" i="2"/>
  <c r="AW1196" i="2" s="1"/>
  <c r="P1191" i="2"/>
  <c r="P1183" i="2"/>
  <c r="P1182" i="2"/>
  <c r="AH1182" i="2" s="1"/>
  <c r="P1178" i="2"/>
  <c r="M1178" i="2" s="1"/>
  <c r="P1174" i="2"/>
  <c r="P1170" i="2"/>
  <c r="P1166" i="2"/>
  <c r="P1188" i="2"/>
  <c r="AJ1188" i="2" s="1"/>
  <c r="P1184" i="2"/>
  <c r="P1181" i="2"/>
  <c r="Z1181" i="2" s="1"/>
  <c r="P1177" i="2"/>
  <c r="P1173" i="2"/>
  <c r="P1169" i="2"/>
  <c r="P1165" i="2"/>
  <c r="W1165" i="2" s="1"/>
  <c r="P1185" i="2"/>
  <c r="T1185" i="2" s="1"/>
  <c r="P1180" i="2"/>
  <c r="W1180" i="2" s="1"/>
  <c r="P1176" i="2"/>
  <c r="AE1176" i="2" s="1"/>
  <c r="P1172" i="2"/>
  <c r="W1172" i="2" s="1"/>
  <c r="P1168" i="2"/>
  <c r="AE1168" i="2" s="1"/>
  <c r="P1164" i="2"/>
  <c r="S1164" i="2" s="1"/>
  <c r="P1160" i="2"/>
  <c r="AI1160" i="2" s="1"/>
  <c r="P1156" i="2"/>
  <c r="AG1156" i="2" s="1"/>
  <c r="P1189" i="2"/>
  <c r="P1187" i="2"/>
  <c r="AC1186" i="2"/>
  <c r="P1179" i="2"/>
  <c r="P1175" i="2"/>
  <c r="M1175" i="2" s="1"/>
  <c r="P1171" i="2"/>
  <c r="AB1171" i="2" s="1"/>
  <c r="P1167" i="2"/>
  <c r="P1163" i="2"/>
  <c r="AC1163" i="2" s="1"/>
  <c r="P1159" i="2"/>
  <c r="AU1159" i="2" s="1"/>
  <c r="P1161" i="2"/>
  <c r="AR1161" i="2" s="1"/>
  <c r="P1152" i="2"/>
  <c r="P1148" i="2"/>
  <c r="Y1148" i="2" s="1"/>
  <c r="P1144" i="2"/>
  <c r="P1140" i="2"/>
  <c r="W1140" i="2" s="1"/>
  <c r="P1136" i="2"/>
  <c r="P1132" i="2"/>
  <c r="AT1132" i="2" s="1"/>
  <c r="P1158" i="2"/>
  <c r="AB1158" i="2" s="1"/>
  <c r="P1155" i="2"/>
  <c r="W1155" i="2" s="1"/>
  <c r="P1151" i="2"/>
  <c r="AI1151" i="2" s="1"/>
  <c r="P1147" i="2"/>
  <c r="P1143" i="2"/>
  <c r="P1139" i="2"/>
  <c r="AQ1139" i="2" s="1"/>
  <c r="P1135" i="2"/>
  <c r="V1135" i="2" s="1"/>
  <c r="P1157" i="2"/>
  <c r="P1154" i="2"/>
  <c r="P1150" i="2"/>
  <c r="AM1150" i="2" s="1"/>
  <c r="P1146" i="2"/>
  <c r="P1142" i="2"/>
  <c r="AM1142" i="2" s="1"/>
  <c r="P1138" i="2"/>
  <c r="M1138" i="2" s="1"/>
  <c r="P1162" i="2"/>
  <c r="M1162" i="2" s="1"/>
  <c r="P1153" i="2"/>
  <c r="AQ1153" i="2" s="1"/>
  <c r="P1149" i="2"/>
  <c r="P1145" i="2"/>
  <c r="P1141" i="2"/>
  <c r="P1137" i="2"/>
  <c r="AS1137" i="2" s="1"/>
  <c r="P1133" i="2"/>
  <c r="Z1133" i="2" s="1"/>
  <c r="P1129" i="2"/>
  <c r="P1134" i="2"/>
  <c r="M1134" i="2" s="1"/>
  <c r="P1130" i="2"/>
  <c r="AN1130" i="2" s="1"/>
  <c r="P1127" i="2"/>
  <c r="P1123" i="2"/>
  <c r="P1119" i="2"/>
  <c r="AG1119" i="2" s="1"/>
  <c r="P1115" i="2"/>
  <c r="AM1115" i="2" s="1"/>
  <c r="P1111" i="2"/>
  <c r="Q1111" i="2" s="1"/>
  <c r="P1107" i="2"/>
  <c r="P1126" i="2"/>
  <c r="P1122" i="2"/>
  <c r="AB1122" i="2" s="1"/>
  <c r="P1118" i="2"/>
  <c r="P1114" i="2"/>
  <c r="AQ1114" i="2" s="1"/>
  <c r="P1110" i="2"/>
  <c r="Z1110" i="2" s="1"/>
  <c r="P1125" i="2"/>
  <c r="P1121" i="2"/>
  <c r="P1117" i="2"/>
  <c r="P1113" i="2"/>
  <c r="P1109" i="2"/>
  <c r="P1105" i="2"/>
  <c r="P1101" i="2"/>
  <c r="AI1101" i="2" s="1"/>
  <c r="P1131" i="2"/>
  <c r="AR1131" i="2" s="1"/>
  <c r="P1128" i="2"/>
  <c r="P1124" i="2"/>
  <c r="M1124" i="2" s="1"/>
  <c r="P1120" i="2"/>
  <c r="AN1120" i="2" s="1"/>
  <c r="P1116" i="2"/>
  <c r="M1116" i="2" s="1"/>
  <c r="P1112" i="2"/>
  <c r="P1108" i="2"/>
  <c r="M1108" i="2" s="1"/>
  <c r="P1104" i="2"/>
  <c r="Y1104" i="2" s="1"/>
  <c r="P1100" i="2"/>
  <c r="P1095" i="2"/>
  <c r="AH1095" i="2" s="1"/>
  <c r="P1091" i="2"/>
  <c r="AT1091" i="2" s="1"/>
  <c r="P1087" i="2"/>
  <c r="P1083" i="2"/>
  <c r="AR1083" i="2" s="1"/>
  <c r="P1099" i="2"/>
  <c r="S1099" i="2" s="1"/>
  <c r="P1098" i="2"/>
  <c r="P1094" i="2"/>
  <c r="P1090" i="2"/>
  <c r="V1090" i="2" s="1"/>
  <c r="P1086" i="2"/>
  <c r="S1086" i="2" s="1"/>
  <c r="P1082" i="2"/>
  <c r="P1078" i="2"/>
  <c r="AS1078" i="2" s="1"/>
  <c r="P1074" i="2"/>
  <c r="AU1074" i="2" s="1"/>
  <c r="P1106" i="2"/>
  <c r="Q1106" i="2" s="1"/>
  <c r="P1103" i="2"/>
  <c r="AM1103" i="2" s="1"/>
  <c r="P1097" i="2"/>
  <c r="P1093" i="2"/>
  <c r="S1093" i="2" s="1"/>
  <c r="P1089" i="2"/>
  <c r="P1085" i="2"/>
  <c r="M1085" i="2" s="1"/>
  <c r="P1081" i="2"/>
  <c r="P1102" i="2"/>
  <c r="M1102" i="2" s="1"/>
  <c r="P1096" i="2"/>
  <c r="M1096" i="2" s="1"/>
  <c r="P1092" i="2"/>
  <c r="AI1092" i="2" s="1"/>
  <c r="P1088" i="2"/>
  <c r="M1088" i="2" s="1"/>
  <c r="P1084" i="2"/>
  <c r="P1080" i="2"/>
  <c r="P1076" i="2"/>
  <c r="AK1076" i="2" s="1"/>
  <c r="P1077" i="2"/>
  <c r="T1077" i="2" s="1"/>
  <c r="P1072" i="2"/>
  <c r="P1068" i="2"/>
  <c r="AD1068" i="2" s="1"/>
  <c r="P1064" i="2"/>
  <c r="M1064" i="2" s="1"/>
  <c r="P1060" i="2"/>
  <c r="AG1060" i="2" s="1"/>
  <c r="P1056" i="2"/>
  <c r="P1052" i="2"/>
  <c r="M1052" i="2" s="1"/>
  <c r="P1048" i="2"/>
  <c r="AC1048" i="2" s="1"/>
  <c r="P1044" i="2"/>
  <c r="P1040" i="2"/>
  <c r="AO1040" i="2" s="1"/>
  <c r="P1036" i="2"/>
  <c r="AJ1036" i="2" s="1"/>
  <c r="P1032" i="2"/>
  <c r="P1028" i="2"/>
  <c r="Y1028" i="2" s="1"/>
  <c r="P1024" i="2"/>
  <c r="AS1024" i="2" s="1"/>
  <c r="P1020" i="2"/>
  <c r="W1020" i="2" s="1"/>
  <c r="P1016" i="2"/>
  <c r="P1079" i="2"/>
  <c r="AL1079" i="2" s="1"/>
  <c r="P1071" i="2"/>
  <c r="P1067" i="2"/>
  <c r="P1063" i="2"/>
  <c r="P1059" i="2"/>
  <c r="W1059" i="2" s="1"/>
  <c r="P1055" i="2"/>
  <c r="P1051" i="2"/>
  <c r="M1051" i="2" s="1"/>
  <c r="W1048" i="2"/>
  <c r="P1047" i="2"/>
  <c r="P1043" i="2"/>
  <c r="P1039" i="2"/>
  <c r="AE1039" i="2" s="1"/>
  <c r="P1035" i="2"/>
  <c r="P1031" i="2"/>
  <c r="M1031" i="2" s="1"/>
  <c r="P1027" i="2"/>
  <c r="P1023" i="2"/>
  <c r="AQ1023" i="2" s="1"/>
  <c r="P1019" i="2"/>
  <c r="W1019" i="2" s="1"/>
  <c r="P1073" i="2"/>
  <c r="P1070" i="2"/>
  <c r="W1070" i="2" s="1"/>
  <c r="P1066" i="2"/>
  <c r="M1066" i="2" s="1"/>
  <c r="P1062" i="2"/>
  <c r="P1058" i="2"/>
  <c r="AI1058" i="2" s="1"/>
  <c r="P1054" i="2"/>
  <c r="AD1052" i="2"/>
  <c r="P1050" i="2"/>
  <c r="S1050" i="2" s="1"/>
  <c r="P1046" i="2"/>
  <c r="P1042" i="2"/>
  <c r="P1038" i="2"/>
  <c r="M1038" i="2" s="1"/>
  <c r="P1034" i="2"/>
  <c r="AI1034" i="2" s="1"/>
  <c r="P1030" i="2"/>
  <c r="AM1030" i="2" s="1"/>
  <c r="P1026" i="2"/>
  <c r="AE1026" i="2" s="1"/>
  <c r="P1022" i="2"/>
  <c r="P1018" i="2"/>
  <c r="S1018" i="2" s="1"/>
  <c r="P1075" i="2"/>
  <c r="M1075" i="2" s="1"/>
  <c r="P1069" i="2"/>
  <c r="M1069" i="2" s="1"/>
  <c r="P1065" i="2"/>
  <c r="M1065" i="2" s="1"/>
  <c r="P1061" i="2"/>
  <c r="M1061" i="2" s="1"/>
  <c r="P1057" i="2"/>
  <c r="Y1057" i="2" s="1"/>
  <c r="P1053" i="2"/>
  <c r="M1053" i="2" s="1"/>
  <c r="P1049" i="2"/>
  <c r="M1049" i="2" s="1"/>
  <c r="P1045" i="2"/>
  <c r="AB1045" i="2" s="1"/>
  <c r="P1041" i="2"/>
  <c r="AN1041" i="2" s="1"/>
  <c r="P1037" i="2"/>
  <c r="AC1037" i="2" s="1"/>
  <c r="P1033" i="2"/>
  <c r="AJ1033" i="2" s="1"/>
  <c r="P1029" i="2"/>
  <c r="AR1029" i="2" s="1"/>
  <c r="P1025" i="2"/>
  <c r="Y1025" i="2" s="1"/>
  <c r="P1021" i="2"/>
  <c r="AR1021" i="2" s="1"/>
  <c r="P1017" i="2"/>
  <c r="AB1017" i="2" s="1"/>
  <c r="P1015" i="2"/>
  <c r="AE1015" i="2" s="1"/>
  <c r="P1012" i="2"/>
  <c r="AM1012" i="2" s="1"/>
  <c r="P1008" i="2"/>
  <c r="AC1008" i="2" s="1"/>
  <c r="P1004" i="2"/>
  <c r="P1000" i="2"/>
  <c r="AE1000" i="2" s="1"/>
  <c r="P996" i="2"/>
  <c r="AS996" i="2" s="1"/>
  <c r="P992" i="2"/>
  <c r="P988" i="2"/>
  <c r="P984" i="2"/>
  <c r="AU984" i="2" s="1"/>
  <c r="P980" i="2"/>
  <c r="AQ980" i="2" s="1"/>
  <c r="P976" i="2"/>
  <c r="AU976" i="2" s="1"/>
  <c r="P972" i="2"/>
  <c r="P968" i="2"/>
  <c r="AC968" i="2" s="1"/>
  <c r="P964" i="2"/>
  <c r="AG964" i="2" s="1"/>
  <c r="P960" i="2"/>
  <c r="AA960" i="2" s="1"/>
  <c r="P956" i="2"/>
  <c r="AK956" i="2" s="1"/>
  <c r="P952" i="2"/>
  <c r="AD952" i="2" s="1"/>
  <c r="P1013" i="2"/>
  <c r="P1010" i="2"/>
  <c r="AI1010" i="2" s="1"/>
  <c r="P1006" i="2"/>
  <c r="AS1006" i="2" s="1"/>
  <c r="P1002" i="2"/>
  <c r="AM1002" i="2" s="1"/>
  <c r="P998" i="2"/>
  <c r="P994" i="2"/>
  <c r="AK994" i="2" s="1"/>
  <c r="P990" i="2"/>
  <c r="P986" i="2"/>
  <c r="P982" i="2"/>
  <c r="AG982" i="2" s="1"/>
  <c r="P978" i="2"/>
  <c r="AW978" i="2" s="1"/>
  <c r="P974" i="2"/>
  <c r="AS974" i="2" s="1"/>
  <c r="P970" i="2"/>
  <c r="M970" i="2" s="1"/>
  <c r="P966" i="2"/>
  <c r="P962" i="2"/>
  <c r="AM962" i="2" s="1"/>
  <c r="P958" i="2"/>
  <c r="AE958" i="2" s="1"/>
  <c r="P954" i="2"/>
  <c r="AA954" i="2" s="1"/>
  <c r="P1014" i="2"/>
  <c r="P1009" i="2"/>
  <c r="AP1009" i="2" s="1"/>
  <c r="P1005" i="2"/>
  <c r="AD1005" i="2" s="1"/>
  <c r="P1001" i="2"/>
  <c r="P997" i="2"/>
  <c r="AO997" i="2" s="1"/>
  <c r="P993" i="2"/>
  <c r="AH993" i="2" s="1"/>
  <c r="P989" i="2"/>
  <c r="P985" i="2"/>
  <c r="V985" i="2" s="1"/>
  <c r="P981" i="2"/>
  <c r="Y981" i="2" s="1"/>
  <c r="P977" i="2"/>
  <c r="P1007" i="2"/>
  <c r="P991" i="2"/>
  <c r="AR991" i="2" s="1"/>
  <c r="P975" i="2"/>
  <c r="P967" i="2"/>
  <c r="AP967" i="2" s="1"/>
  <c r="P959" i="2"/>
  <c r="V959" i="2" s="1"/>
  <c r="P947" i="2"/>
  <c r="AC947" i="2" s="1"/>
  <c r="P943" i="2"/>
  <c r="AT943" i="2" s="1"/>
  <c r="P939" i="2"/>
  <c r="V939" i="2" s="1"/>
  <c r="P935" i="2"/>
  <c r="AM935" i="2" s="1"/>
  <c r="P931" i="2"/>
  <c r="AC931" i="2" s="1"/>
  <c r="P927" i="2"/>
  <c r="AD927" i="2" s="1"/>
  <c r="P923" i="2"/>
  <c r="AS923" i="2" s="1"/>
  <c r="P919" i="2"/>
  <c r="P915" i="2"/>
  <c r="AC915" i="2" s="1"/>
  <c r="P911" i="2"/>
  <c r="AL911" i="2" s="1"/>
  <c r="P907" i="2"/>
  <c r="AP907" i="2" s="1"/>
  <c r="P903" i="2"/>
  <c r="AH903" i="2" s="1"/>
  <c r="P899" i="2"/>
  <c r="AO899" i="2" s="1"/>
  <c r="P895" i="2"/>
  <c r="AT895" i="2" s="1"/>
  <c r="P891" i="2"/>
  <c r="AS891" i="2" s="1"/>
  <c r="P887" i="2"/>
  <c r="R887" i="2" s="1"/>
  <c r="P883" i="2"/>
  <c r="AG883" i="2" s="1"/>
  <c r="P879" i="2"/>
  <c r="Z879" i="2" s="1"/>
  <c r="P875" i="2"/>
  <c r="AC875" i="2" s="1"/>
  <c r="P871" i="2"/>
  <c r="P867" i="2"/>
  <c r="AS867" i="2" s="1"/>
  <c r="P863" i="2"/>
  <c r="AL863" i="2" s="1"/>
  <c r="P859" i="2"/>
  <c r="M859" i="2" s="1"/>
  <c r="P855" i="2"/>
  <c r="P851" i="2"/>
  <c r="AT851" i="2" s="1"/>
  <c r="P1011" i="2"/>
  <c r="AJ1011" i="2" s="1"/>
  <c r="P995" i="2"/>
  <c r="AB995" i="2" s="1"/>
  <c r="P979" i="2"/>
  <c r="AB979" i="2" s="1"/>
  <c r="P969" i="2"/>
  <c r="AJ969" i="2" s="1"/>
  <c r="P961" i="2"/>
  <c r="AR961" i="2" s="1"/>
  <c r="P953" i="2"/>
  <c r="AL953" i="2" s="1"/>
  <c r="P950" i="2"/>
  <c r="P946" i="2"/>
  <c r="AL946" i="2" s="1"/>
  <c r="P942" i="2"/>
  <c r="AR942" i="2" s="1"/>
  <c r="P938" i="2"/>
  <c r="AM938" i="2" s="1"/>
  <c r="P934" i="2"/>
  <c r="AO934" i="2" s="1"/>
  <c r="P930" i="2"/>
  <c r="AD930" i="2" s="1"/>
  <c r="P926" i="2"/>
  <c r="R926" i="2" s="1"/>
  <c r="P922" i="2"/>
  <c r="M922" i="2" s="1"/>
  <c r="P918" i="2"/>
  <c r="AK918" i="2" s="1"/>
  <c r="P999" i="2"/>
  <c r="P983" i="2"/>
  <c r="AR983" i="2" s="1"/>
  <c r="P971" i="2"/>
  <c r="P963" i="2"/>
  <c r="V963" i="2" s="1"/>
  <c r="P955" i="2"/>
  <c r="P951" i="2"/>
  <c r="AE951" i="2" s="1"/>
  <c r="P949" i="2"/>
  <c r="AE949" i="2" s="1"/>
  <c r="P945" i="2"/>
  <c r="W945" i="2" s="1"/>
  <c r="P941" i="2"/>
  <c r="S941" i="2" s="1"/>
  <c r="P937" i="2"/>
  <c r="V937" i="2" s="1"/>
  <c r="P933" i="2"/>
  <c r="P929" i="2"/>
  <c r="W929" i="2" s="1"/>
  <c r="P925" i="2"/>
  <c r="AQ925" i="2" s="1"/>
  <c r="P921" i="2"/>
  <c r="AL921" i="2" s="1"/>
  <c r="P917" i="2"/>
  <c r="AM917" i="2" s="1"/>
  <c r="P913" i="2"/>
  <c r="P909" i="2"/>
  <c r="AC909" i="2" s="1"/>
  <c r="P905" i="2"/>
  <c r="AE905" i="2" s="1"/>
  <c r="P901" i="2"/>
  <c r="W901" i="2" s="1"/>
  <c r="P897" i="2"/>
  <c r="Q897" i="2" s="1"/>
  <c r="P893" i="2"/>
  <c r="U893" i="2" s="1"/>
  <c r="P889" i="2"/>
  <c r="AG889" i="2" s="1"/>
  <c r="P885" i="2"/>
  <c r="AS885" i="2" s="1"/>
  <c r="P881" i="2"/>
  <c r="S881" i="2" s="1"/>
  <c r="P877" i="2"/>
  <c r="U877" i="2" s="1"/>
  <c r="P873" i="2"/>
  <c r="V873" i="2" s="1"/>
  <c r="P869" i="2"/>
  <c r="P865" i="2"/>
  <c r="AG865" i="2" s="1"/>
  <c r="P1003" i="2"/>
  <c r="AE1003" i="2" s="1"/>
  <c r="P987" i="2"/>
  <c r="AU987" i="2" s="1"/>
  <c r="P973" i="2"/>
  <c r="AE973" i="2" s="1"/>
  <c r="P965" i="2"/>
  <c r="AO965" i="2" s="1"/>
  <c r="P957" i="2"/>
  <c r="P948" i="2"/>
  <c r="AU948" i="2" s="1"/>
  <c r="P944" i="2"/>
  <c r="AA944" i="2" s="1"/>
  <c r="P940" i="2"/>
  <c r="AI940" i="2" s="1"/>
  <c r="P936" i="2"/>
  <c r="W936" i="2" s="1"/>
  <c r="P932" i="2"/>
  <c r="AE932" i="2" s="1"/>
  <c r="P916" i="2"/>
  <c r="AU916" i="2" s="1"/>
  <c r="P910" i="2"/>
  <c r="AD910" i="2" s="1"/>
  <c r="P902" i="2"/>
  <c r="AL902" i="2" s="1"/>
  <c r="P894" i="2"/>
  <c r="AR894" i="2" s="1"/>
  <c r="P886" i="2"/>
  <c r="P878" i="2"/>
  <c r="P870" i="2"/>
  <c r="AJ870" i="2" s="1"/>
  <c r="P860" i="2"/>
  <c r="P854" i="2"/>
  <c r="AK854" i="2" s="1"/>
  <c r="P849" i="2"/>
  <c r="AL849" i="2" s="1"/>
  <c r="P844" i="2"/>
  <c r="AA844" i="2" s="1"/>
  <c r="P840" i="2"/>
  <c r="M840" i="2" s="1"/>
  <c r="P836" i="2"/>
  <c r="M836" i="2" s="1"/>
  <c r="P832" i="2"/>
  <c r="M832" i="2" s="1"/>
  <c r="P828" i="2"/>
  <c r="AQ828" i="2" s="1"/>
  <c r="P920" i="2"/>
  <c r="AM920" i="2" s="1"/>
  <c r="P912" i="2"/>
  <c r="AL912" i="2" s="1"/>
  <c r="P904" i="2"/>
  <c r="AB904" i="2" s="1"/>
  <c r="P896" i="2"/>
  <c r="AB896" i="2" s="1"/>
  <c r="P888" i="2"/>
  <c r="AQ888" i="2" s="1"/>
  <c r="P880" i="2"/>
  <c r="AL880" i="2" s="1"/>
  <c r="P872" i="2"/>
  <c r="AJ872" i="2" s="1"/>
  <c r="P861" i="2"/>
  <c r="AC861" i="2" s="1"/>
  <c r="P856" i="2"/>
  <c r="X856" i="2" s="1"/>
  <c r="P850" i="2"/>
  <c r="AC850" i="2" s="1"/>
  <c r="P847" i="2"/>
  <c r="AC847" i="2" s="1"/>
  <c r="P843" i="2"/>
  <c r="M843" i="2" s="1"/>
  <c r="P839" i="2"/>
  <c r="M839" i="2" s="1"/>
  <c r="P835" i="2"/>
  <c r="M835" i="2" s="1"/>
  <c r="P831" i="2"/>
  <c r="M831" i="2" s="1"/>
  <c r="P924" i="2"/>
  <c r="P914" i="2"/>
  <c r="Q907" i="2"/>
  <c r="P906" i="2"/>
  <c r="AD906" i="2" s="1"/>
  <c r="P898" i="2"/>
  <c r="AD898" i="2" s="1"/>
  <c r="P890" i="2"/>
  <c r="AD890" i="2" s="1"/>
  <c r="P882" i="2"/>
  <c r="AL882" i="2" s="1"/>
  <c r="P874" i="2"/>
  <c r="AD874" i="2" s="1"/>
  <c r="P866" i="2"/>
  <c r="AS866" i="2" s="1"/>
  <c r="P862" i="2"/>
  <c r="Y862" i="2" s="1"/>
  <c r="P857" i="2"/>
  <c r="AH857" i="2" s="1"/>
  <c r="P852" i="2"/>
  <c r="AE852" i="2" s="1"/>
  <c r="P846" i="2"/>
  <c r="AQ846" i="2" s="1"/>
  <c r="P842" i="2"/>
  <c r="M842" i="2" s="1"/>
  <c r="P838" i="2"/>
  <c r="M838" i="2" s="1"/>
  <c r="P834" i="2"/>
  <c r="AE834" i="2" s="1"/>
  <c r="P830" i="2"/>
  <c r="M830" i="2" s="1"/>
  <c r="P928" i="2"/>
  <c r="W928" i="2" s="1"/>
  <c r="P908" i="2"/>
  <c r="AI908" i="2" s="1"/>
  <c r="P900" i="2"/>
  <c r="AU900" i="2" s="1"/>
  <c r="P892" i="2"/>
  <c r="P884" i="2"/>
  <c r="AE884" i="2" s="1"/>
  <c r="P876" i="2"/>
  <c r="P868" i="2"/>
  <c r="AU868" i="2" s="1"/>
  <c r="P864" i="2"/>
  <c r="P858" i="2"/>
  <c r="AG858" i="2" s="1"/>
  <c r="P853" i="2"/>
  <c r="AD853" i="2" s="1"/>
  <c r="P848" i="2"/>
  <c r="P845" i="2"/>
  <c r="M845" i="2" s="1"/>
  <c r="P841" i="2"/>
  <c r="AT839" i="2"/>
  <c r="P837" i="2"/>
  <c r="M837" i="2" s="1"/>
  <c r="P833" i="2"/>
  <c r="P829" i="2"/>
  <c r="P822" i="2"/>
  <c r="P818" i="2"/>
  <c r="P814" i="2"/>
  <c r="M814" i="2" s="1"/>
  <c r="P810" i="2"/>
  <c r="P806" i="2"/>
  <c r="P802" i="2"/>
  <c r="AG802" i="2" s="1"/>
  <c r="P798" i="2"/>
  <c r="AI798" i="2" s="1"/>
  <c r="P794" i="2"/>
  <c r="AD794" i="2" s="1"/>
  <c r="P790" i="2"/>
  <c r="P786" i="2"/>
  <c r="V786" i="2" s="1"/>
  <c r="P782" i="2"/>
  <c r="AI782" i="2" s="1"/>
  <c r="P778" i="2"/>
  <c r="M778" i="2" s="1"/>
  <c r="P774" i="2"/>
  <c r="AC774" i="2" s="1"/>
  <c r="P770" i="2"/>
  <c r="AT768" i="2"/>
  <c r="AP768" i="2"/>
  <c r="AL768" i="2"/>
  <c r="AH768" i="2"/>
  <c r="AD768" i="2"/>
  <c r="Z768" i="2"/>
  <c r="V768" i="2"/>
  <c r="R768" i="2"/>
  <c r="P766" i="2"/>
  <c r="AR766" i="2" s="1"/>
  <c r="P762" i="2"/>
  <c r="Y762" i="2" s="1"/>
  <c r="AL760" i="2"/>
  <c r="P758" i="2"/>
  <c r="AR758" i="2" s="1"/>
  <c r="P825" i="2"/>
  <c r="AL825" i="2" s="1"/>
  <c r="P821" i="2"/>
  <c r="AP821" i="2" s="1"/>
  <c r="P817" i="2"/>
  <c r="AE817" i="2" s="1"/>
  <c r="P813" i="2"/>
  <c r="P809" i="2"/>
  <c r="P805" i="2"/>
  <c r="Z805" i="2" s="1"/>
  <c r="P801" i="2"/>
  <c r="AP801" i="2" s="1"/>
  <c r="P797" i="2"/>
  <c r="M797" i="2" s="1"/>
  <c r="P793" i="2"/>
  <c r="AQ793" i="2" s="1"/>
  <c r="P789" i="2"/>
  <c r="M789" i="2" s="1"/>
  <c r="P785" i="2"/>
  <c r="P781" i="2"/>
  <c r="M781" i="2" s="1"/>
  <c r="P777" i="2"/>
  <c r="AL777" i="2" s="1"/>
  <c r="P773" i="2"/>
  <c r="M773" i="2" s="1"/>
  <c r="P826" i="2"/>
  <c r="P824" i="2"/>
  <c r="M824" i="2" s="1"/>
  <c r="P820" i="2"/>
  <c r="M820" i="2" s="1"/>
  <c r="P816" i="2"/>
  <c r="AU816" i="2" s="1"/>
  <c r="P812" i="2"/>
  <c r="W812" i="2" s="1"/>
  <c r="P808" i="2"/>
  <c r="AM808" i="2" s="1"/>
  <c r="P804" i="2"/>
  <c r="X804" i="2" s="1"/>
  <c r="P800" i="2"/>
  <c r="M800" i="2" s="1"/>
  <c r="P796" i="2"/>
  <c r="AE796" i="2" s="1"/>
  <c r="P792" i="2"/>
  <c r="AM792" i="2" s="1"/>
  <c r="P788" i="2"/>
  <c r="AE788" i="2" s="1"/>
  <c r="P784" i="2"/>
  <c r="P780" i="2"/>
  <c r="M780" i="2" s="1"/>
  <c r="P776" i="2"/>
  <c r="W776" i="2" s="1"/>
  <c r="P827" i="2"/>
  <c r="M827" i="2" s="1"/>
  <c r="P823" i="2"/>
  <c r="M823" i="2" s="1"/>
  <c r="P819" i="2"/>
  <c r="M819" i="2" s="1"/>
  <c r="P815" i="2"/>
  <c r="M815" i="2" s="1"/>
  <c r="P811" i="2"/>
  <c r="M811" i="2" s="1"/>
  <c r="P807" i="2"/>
  <c r="M807" i="2" s="1"/>
  <c r="P803" i="2"/>
  <c r="M803" i="2" s="1"/>
  <c r="P799" i="2"/>
  <c r="M799" i="2" s="1"/>
  <c r="P795" i="2"/>
  <c r="M795" i="2" s="1"/>
  <c r="P791" i="2"/>
  <c r="M791" i="2" s="1"/>
  <c r="P787" i="2"/>
  <c r="M787" i="2" s="1"/>
  <c r="P783" i="2"/>
  <c r="M783" i="2" s="1"/>
  <c r="P779" i="2"/>
  <c r="M779" i="2" s="1"/>
  <c r="P775" i="2"/>
  <c r="M775" i="2" s="1"/>
  <c r="P771" i="2"/>
  <c r="AU768" i="2"/>
  <c r="AQ768" i="2"/>
  <c r="AM768" i="2"/>
  <c r="AI768" i="2"/>
  <c r="AE768" i="2"/>
  <c r="AA768" i="2"/>
  <c r="W768" i="2"/>
  <c r="S768" i="2"/>
  <c r="P767" i="2"/>
  <c r="AS767" i="2" s="1"/>
  <c r="W714" i="2"/>
  <c r="AM714" i="2"/>
  <c r="P717" i="2"/>
  <c r="AB717" i="2" s="1"/>
  <c r="P721" i="2"/>
  <c r="AF721" i="2" s="1"/>
  <c r="P725" i="2"/>
  <c r="AB725" i="2" s="1"/>
  <c r="P729" i="2"/>
  <c r="AB729" i="2" s="1"/>
  <c r="P733" i="2"/>
  <c r="AT733" i="2" s="1"/>
  <c r="P737" i="2"/>
  <c r="P741" i="2"/>
  <c r="AF741" i="2" s="1"/>
  <c r="P745" i="2"/>
  <c r="X745" i="2" s="1"/>
  <c r="P749" i="2"/>
  <c r="AB749" i="2" s="1"/>
  <c r="P753" i="2"/>
  <c r="X753" i="2" s="1"/>
  <c r="P761" i="2"/>
  <c r="AF761" i="2" s="1"/>
  <c r="P765" i="2"/>
  <c r="AN765" i="2" s="1"/>
  <c r="U768" i="2"/>
  <c r="AC768" i="2"/>
  <c r="AK768" i="2"/>
  <c r="AS768" i="2"/>
  <c r="X738" i="2"/>
  <c r="T754" i="2"/>
  <c r="X768" i="2"/>
  <c r="AF768" i="2"/>
  <c r="P727" i="2"/>
  <c r="T727" i="2" s="1"/>
  <c r="P731" i="2"/>
  <c r="AF731" i="2" s="1"/>
  <c r="P735" i="2"/>
  <c r="AF735" i="2" s="1"/>
  <c r="P739" i="2"/>
  <c r="T739" i="2" s="1"/>
  <c r="P743" i="2"/>
  <c r="AB743" i="2" s="1"/>
  <c r="P747" i="2"/>
  <c r="T747" i="2" s="1"/>
  <c r="P751" i="2"/>
  <c r="AB751" i="2" s="1"/>
  <c r="P755" i="2"/>
  <c r="T755" i="2" s="1"/>
  <c r="P759" i="2"/>
  <c r="AF759" i="2" s="1"/>
  <c r="P764" i="2"/>
  <c r="AN764" i="2" s="1"/>
  <c r="Q768" i="2"/>
  <c r="Y768" i="2"/>
  <c r="AG768" i="2"/>
  <c r="AO768" i="2"/>
  <c r="P769" i="2"/>
  <c r="Q705" i="2"/>
  <c r="Z714" i="2"/>
  <c r="P716" i="2"/>
  <c r="AV716" i="2" s="1"/>
  <c r="P720" i="2"/>
  <c r="U720" i="2" s="1"/>
  <c r="Z722" i="2"/>
  <c r="P724" i="2"/>
  <c r="AV724" i="2" s="1"/>
  <c r="AH726" i="2"/>
  <c r="P728" i="2"/>
  <c r="Q728" i="2" s="1"/>
  <c r="AH730" i="2"/>
  <c r="P732" i="2"/>
  <c r="AF732" i="2" s="1"/>
  <c r="P736" i="2"/>
  <c r="Q736" i="2" s="1"/>
  <c r="P740" i="2"/>
  <c r="AF740" i="2" s="1"/>
  <c r="P744" i="2"/>
  <c r="Q744" i="2" s="1"/>
  <c r="P748" i="2"/>
  <c r="W748" i="2" s="1"/>
  <c r="P752" i="2"/>
  <c r="Q752" i="2" s="1"/>
  <c r="P756" i="2"/>
  <c r="W756" i="2" s="1"/>
  <c r="P757" i="2"/>
  <c r="AO757" i="2" s="1"/>
  <c r="P763" i="2"/>
  <c r="AB763" i="2" s="1"/>
  <c r="T768" i="2"/>
  <c r="AB768" i="2"/>
  <c r="AJ768" i="2"/>
  <c r="AR768" i="2"/>
  <c r="P772" i="2"/>
  <c r="X772" i="2" s="1"/>
  <c r="AE1300" i="2"/>
  <c r="AA1300" i="2"/>
  <c r="W1300" i="2"/>
  <c r="S1300" i="2"/>
  <c r="AC1300" i="2"/>
  <c r="Y1300" i="2"/>
  <c r="U1300" i="2"/>
  <c r="AG1300" i="2"/>
  <c r="I1267" i="2"/>
  <c r="AE1302" i="2"/>
  <c r="AA1302" i="2"/>
  <c r="W1302" i="2"/>
  <c r="S1302" i="2"/>
  <c r="AC1302" i="2"/>
  <c r="Y1302" i="2"/>
  <c r="U1302" i="2"/>
  <c r="AG1302" i="2"/>
  <c r="AE1306" i="2"/>
  <c r="AA1306" i="2"/>
  <c r="W1306" i="2"/>
  <c r="S1306" i="2"/>
  <c r="AC1306" i="2"/>
  <c r="Y1306" i="2"/>
  <c r="U1306" i="2"/>
  <c r="AG1306" i="2"/>
  <c r="AF1300" i="2"/>
  <c r="AF1302" i="2"/>
  <c r="AF1306" i="2"/>
  <c r="R1300" i="2"/>
  <c r="V1300" i="2"/>
  <c r="Z1300" i="2"/>
  <c r="AD1300" i="2"/>
  <c r="R1302" i="2"/>
  <c r="V1302" i="2"/>
  <c r="Z1302" i="2"/>
  <c r="AD1302" i="2"/>
  <c r="R1304" i="2"/>
  <c r="S1304" i="2" s="1"/>
  <c r="R1306" i="2"/>
  <c r="V1306" i="2"/>
  <c r="Z1306" i="2"/>
  <c r="AD1306" i="2"/>
  <c r="R1308" i="2"/>
  <c r="V1308" i="2"/>
  <c r="Z1308" i="2"/>
  <c r="AD1308" i="2"/>
  <c r="R1310" i="2"/>
  <c r="V1310" i="2"/>
  <c r="Z1310" i="2"/>
  <c r="AD1310" i="2"/>
  <c r="U1315" i="2"/>
  <c r="S1308" i="2"/>
  <c r="W1308" i="2"/>
  <c r="AA1308" i="2"/>
  <c r="AE1308" i="2"/>
  <c r="S1310" i="2"/>
  <c r="W1310" i="2"/>
  <c r="AA1310" i="2"/>
  <c r="AE1310" i="2"/>
  <c r="Y1315" i="2"/>
  <c r="T1300" i="2"/>
  <c r="X1300" i="2"/>
  <c r="AB1300" i="2"/>
  <c r="T1302" i="2"/>
  <c r="X1302" i="2"/>
  <c r="AB1302" i="2"/>
  <c r="T1306" i="2"/>
  <c r="X1306" i="2"/>
  <c r="AB1306" i="2"/>
  <c r="T1308" i="2"/>
  <c r="X1308" i="2"/>
  <c r="AB1308" i="2"/>
  <c r="T1310" i="2"/>
  <c r="X1310" i="2"/>
  <c r="AB1310" i="2"/>
  <c r="Q1312" i="2"/>
  <c r="AF1315" i="2"/>
  <c r="AC1315" i="2"/>
  <c r="U1308" i="2"/>
  <c r="Y1308" i="2"/>
  <c r="AC1308" i="2"/>
  <c r="U1310" i="2"/>
  <c r="Y1310" i="2"/>
  <c r="AC1310" i="2"/>
  <c r="R1315" i="2"/>
  <c r="V1315" i="2"/>
  <c r="Z1315" i="2"/>
  <c r="AD1315" i="2"/>
  <c r="M1326" i="2"/>
  <c r="M1338" i="2"/>
  <c r="M1342" i="2"/>
  <c r="Q1314" i="2"/>
  <c r="AF1314" i="2" s="1"/>
  <c r="S1315" i="2"/>
  <c r="W1315" i="2"/>
  <c r="AA1315" i="2"/>
  <c r="AE1315" i="2"/>
  <c r="Q1316" i="2"/>
  <c r="AG1316" i="2" s="1"/>
  <c r="E1326" i="2"/>
  <c r="P1326" i="2"/>
  <c r="V1326" i="2" s="1"/>
  <c r="M1339" i="2"/>
  <c r="M1343" i="2"/>
  <c r="T1315" i="2"/>
  <c r="X1315" i="2"/>
  <c r="AB1315" i="2"/>
  <c r="P1377" i="2"/>
  <c r="Q1377" i="2" s="1"/>
  <c r="L1330" i="2"/>
  <c r="M1336" i="2"/>
  <c r="M1340" i="2"/>
  <c r="BB1418" i="2"/>
  <c r="BB1417" i="2"/>
  <c r="BB1413" i="2"/>
  <c r="BB1415" i="2"/>
  <c r="BB1412" i="2"/>
  <c r="BB1410" i="2"/>
  <c r="BB1408" i="2"/>
  <c r="BB1406" i="2"/>
  <c r="BB1416" i="2"/>
  <c r="BB1414" i="2"/>
  <c r="BB1411" i="2"/>
  <c r="BB1409" i="2"/>
  <c r="BB1407" i="2"/>
  <c r="BB1405" i="2"/>
  <c r="BB1403" i="2"/>
  <c r="BB1378" i="2"/>
  <c r="BB1373" i="2"/>
  <c r="BB1402" i="2"/>
  <c r="BB1400" i="2"/>
  <c r="BB1398" i="2"/>
  <c r="BB1396" i="2"/>
  <c r="BB1394" i="2"/>
  <c r="BB1392" i="2"/>
  <c r="BB1390" i="2"/>
  <c r="BB1388" i="2"/>
  <c r="BB1386" i="2"/>
  <c r="BB1384" i="2"/>
  <c r="BB1382" i="2"/>
  <c r="BB1380" i="2"/>
  <c r="BB1379" i="2"/>
  <c r="D1373" i="2"/>
  <c r="BB1383" i="2"/>
  <c r="BB1377" i="2"/>
  <c r="BB1375" i="2"/>
  <c r="BB1374" i="2"/>
  <c r="BB1404" i="2"/>
  <c r="BB1401" i="2"/>
  <c r="BB1399" i="2"/>
  <c r="BB1397" i="2"/>
  <c r="BB1395" i="2"/>
  <c r="BB1393" i="2"/>
  <c r="BB1391" i="2"/>
  <c r="BB1389" i="2"/>
  <c r="BB1387" i="2"/>
  <c r="BB1385" i="2"/>
  <c r="BB1381" i="2"/>
  <c r="BB1376" i="2"/>
  <c r="M1348" i="2"/>
  <c r="M1337" i="2"/>
  <c r="M1345" i="2"/>
  <c r="A1379" i="2"/>
  <c r="B1475" i="2"/>
  <c r="A1479" i="2" s="1"/>
  <c r="A1429" i="2"/>
  <c r="AW770" i="2" l="1"/>
  <c r="AU907" i="2"/>
  <c r="AO891" i="2"/>
  <c r="AE875" i="2"/>
  <c r="AE891" i="2"/>
  <c r="Y859" i="2"/>
  <c r="AM875" i="2"/>
  <c r="AG923" i="2"/>
  <c r="AW768" i="2"/>
  <c r="AW998" i="2"/>
  <c r="AW769" i="2"/>
  <c r="AW829" i="2"/>
  <c r="AW1147" i="2"/>
  <c r="AW1191" i="2"/>
  <c r="AD746" i="2"/>
  <c r="AS851" i="2"/>
  <c r="W867" i="2"/>
  <c r="AG844" i="2"/>
  <c r="AV768" i="2"/>
  <c r="CM38" i="2"/>
  <c r="R878" i="2"/>
  <c r="Z930" i="2"/>
  <c r="V851" i="2"/>
  <c r="AG893" i="2"/>
  <c r="AP930" i="2"/>
  <c r="Q899" i="2"/>
  <c r="AW931" i="2"/>
  <c r="AM899" i="2"/>
  <c r="AI867" i="2"/>
  <c r="V766" i="2"/>
  <c r="AO742" i="2"/>
  <c r="Q935" i="2"/>
  <c r="Q719" i="2"/>
  <c r="AU766" i="2"/>
  <c r="AW794" i="2"/>
  <c r="AC889" i="2"/>
  <c r="AO883" i="2"/>
  <c r="AS915" i="2"/>
  <c r="AU964" i="2"/>
  <c r="AQ851" i="2"/>
  <c r="AD742" i="2"/>
  <c r="AT715" i="2"/>
  <c r="AH863" i="2"/>
  <c r="AQ879" i="2"/>
  <c r="S911" i="2"/>
  <c r="AM873" i="2"/>
  <c r="AU889" i="2"/>
  <c r="S1012" i="2"/>
  <c r="AC1317" i="2"/>
  <c r="AG715" i="2"/>
  <c r="AT719" i="2"/>
  <c r="AD715" i="2"/>
  <c r="AW911" i="2"/>
  <c r="Y742" i="2"/>
  <c r="W1317" i="2"/>
  <c r="AG719" i="2"/>
  <c r="Q715" i="2"/>
  <c r="X719" i="2"/>
  <c r="AB742" i="2"/>
  <c r="AM742" i="2"/>
  <c r="AD719" i="2"/>
  <c r="R828" i="2"/>
  <c r="Q844" i="2"/>
  <c r="AK927" i="2"/>
  <c r="AM895" i="2"/>
  <c r="AS897" i="2"/>
  <c r="AM766" i="2"/>
  <c r="AE766" i="2"/>
  <c r="AT766" i="2"/>
  <c r="AC865" i="2"/>
  <c r="U881" i="2"/>
  <c r="AP878" i="2"/>
  <c r="AP839" i="2"/>
  <c r="AA869" i="2"/>
  <c r="Y869" i="2"/>
  <c r="AV746" i="2"/>
  <c r="AE746" i="2"/>
  <c r="T746" i="2"/>
  <c r="AK746" i="2"/>
  <c r="AH746" i="2"/>
  <c r="AQ746" i="2"/>
  <c r="X746" i="2"/>
  <c r="Q746" i="2"/>
  <c r="AW746" i="2"/>
  <c r="AT746" i="2"/>
  <c r="U746" i="2"/>
  <c r="R746" i="2"/>
  <c r="AU746" i="2"/>
  <c r="AJ746" i="2"/>
  <c r="AQ723" i="2"/>
  <c r="AH723" i="2"/>
  <c r="AC723" i="2"/>
  <c r="M723" i="2"/>
  <c r="AT723" i="2"/>
  <c r="AG723" i="2"/>
  <c r="AB723" i="2"/>
  <c r="AS723" i="2"/>
  <c r="R723" i="2"/>
  <c r="AV754" i="2"/>
  <c r="AU754" i="2"/>
  <c r="AF754" i="2"/>
  <c r="AK754" i="2"/>
  <c r="AL754" i="2"/>
  <c r="S754" i="2"/>
  <c r="AJ754" i="2"/>
  <c r="Q754" i="2"/>
  <c r="AW754" i="2"/>
  <c r="R754" i="2"/>
  <c r="AE754" i="2"/>
  <c r="U754" i="2"/>
  <c r="V754" i="2"/>
  <c r="X718" i="2"/>
  <c r="AW718" i="2"/>
  <c r="M718" i="2"/>
  <c r="AA718" i="2"/>
  <c r="AL718" i="2"/>
  <c r="AK718" i="2"/>
  <c r="AE718" i="2"/>
  <c r="AP718" i="2"/>
  <c r="AV718" i="2"/>
  <c r="Y718" i="2"/>
  <c r="AQ718" i="2"/>
  <c r="V718" i="2"/>
  <c r="W765" i="2"/>
  <c r="AH754" i="2"/>
  <c r="AG754" i="2"/>
  <c r="AA746" i="2"/>
  <c r="AD723" i="2"/>
  <c r="AU718" i="2"/>
  <c r="AG901" i="2"/>
  <c r="AW723" i="2"/>
  <c r="AI754" i="2"/>
  <c r="R922" i="2"/>
  <c r="Q723" i="2"/>
  <c r="AL886" i="2"/>
  <c r="R886" i="2"/>
  <c r="AT855" i="2"/>
  <c r="U855" i="2"/>
  <c r="AL871" i="2"/>
  <c r="AS871" i="2"/>
  <c r="AA919" i="2"/>
  <c r="AW919" i="2"/>
  <c r="AC1004" i="2"/>
  <c r="S1004" i="2"/>
  <c r="AS1016" i="2"/>
  <c r="W1016" i="2"/>
  <c r="U718" i="2"/>
  <c r="AH762" i="2"/>
  <c r="Q760" i="2"/>
  <c r="AW730" i="2"/>
  <c r="V839" i="2"/>
  <c r="AD859" i="2"/>
  <c r="AM891" i="2"/>
  <c r="U905" i="2"/>
  <c r="U859" i="2"/>
  <c r="AW875" i="2"/>
  <c r="AG907" i="2"/>
  <c r="S875" i="2"/>
  <c r="AQ960" i="2"/>
  <c r="AC1307" i="2"/>
  <c r="W766" i="2"/>
  <c r="S760" i="2"/>
  <c r="AT742" i="2"/>
  <c r="AW719" i="2"/>
  <c r="AW715" i="2"/>
  <c r="AD766" i="2"/>
  <c r="AG738" i="2"/>
  <c r="X715" i="2"/>
  <c r="Z766" i="2"/>
  <c r="W742" i="2"/>
  <c r="AE722" i="2"/>
  <c r="M719" i="2"/>
  <c r="M715" i="2"/>
  <c r="Z839" i="2"/>
  <c r="AD843" i="2"/>
  <c r="AT859" i="2"/>
  <c r="U873" i="2"/>
  <c r="AG877" i="2"/>
  <c r="AK905" i="2"/>
  <c r="AJ916" i="2"/>
  <c r="AU859" i="2"/>
  <c r="AG891" i="2"/>
  <c r="AM905" i="2"/>
  <c r="AP863" i="2"/>
  <c r="AC962" i="2"/>
  <c r="AN738" i="2"/>
  <c r="Y1311" i="2"/>
  <c r="X1301" i="2"/>
  <c r="AQ887" i="2"/>
  <c r="AI877" i="2"/>
  <c r="AS903" i="2"/>
  <c r="AO919" i="2"/>
  <c r="AP754" i="2"/>
  <c r="Z754" i="2"/>
  <c r="AL746" i="2"/>
  <c r="V746" i="2"/>
  <c r="AK723" i="2"/>
  <c r="U723" i="2"/>
  <c r="AT718" i="2"/>
  <c r="AD718" i="2"/>
  <c r="AP714" i="2"/>
  <c r="AO754" i="2"/>
  <c r="Y754" i="2"/>
  <c r="AO746" i="2"/>
  <c r="Y746" i="2"/>
  <c r="AC726" i="2"/>
  <c r="T723" i="2"/>
  <c r="X754" i="2"/>
  <c r="AB746" i="2"/>
  <c r="AM754" i="2"/>
  <c r="W754" i="2"/>
  <c r="AI746" i="2"/>
  <c r="S746" i="2"/>
  <c r="AL723" i="2"/>
  <c r="V723" i="2"/>
  <c r="AI718" i="2"/>
  <c r="S718" i="2"/>
  <c r="AK828" i="2"/>
  <c r="AT835" i="2"/>
  <c r="S859" i="2"/>
  <c r="AO859" i="2"/>
  <c r="W875" i="2"/>
  <c r="W891" i="2"/>
  <c r="AM907" i="2"/>
  <c r="Q923" i="2"/>
  <c r="AL855" i="2"/>
  <c r="AP859" i="2"/>
  <c r="Q875" i="2"/>
  <c r="AT930" i="2"/>
  <c r="W871" i="2"/>
  <c r="Y958" i="2"/>
  <c r="T718" i="2"/>
  <c r="Q718" i="2"/>
  <c r="AG718" i="2"/>
  <c r="AO718" i="2"/>
  <c r="AN718" i="2"/>
  <c r="AP855" i="2"/>
  <c r="W925" i="2"/>
  <c r="AT840" i="2"/>
  <c r="AC887" i="2"/>
  <c r="AI871" i="2"/>
  <c r="W956" i="2"/>
  <c r="AE1016" i="2"/>
  <c r="AT754" i="2"/>
  <c r="AD754" i="2"/>
  <c r="AP746" i="2"/>
  <c r="Z746" i="2"/>
  <c r="AO723" i="2"/>
  <c r="Y723" i="2"/>
  <c r="AH718" i="2"/>
  <c r="R718" i="2"/>
  <c r="AP770" i="2"/>
  <c r="AS754" i="2"/>
  <c r="AC754" i="2"/>
  <c r="AS746" i="2"/>
  <c r="AC746" i="2"/>
  <c r="X723" i="2"/>
  <c r="AB754" i="2"/>
  <c r="AF746" i="2"/>
  <c r="AQ754" i="2"/>
  <c r="AA754" i="2"/>
  <c r="AM746" i="2"/>
  <c r="W746" i="2"/>
  <c r="AP723" i="2"/>
  <c r="Z723" i="2"/>
  <c r="AM718" i="2"/>
  <c r="W718" i="2"/>
  <c r="U828" i="2"/>
  <c r="AW844" i="2"/>
  <c r="AI859" i="2"/>
  <c r="V860" i="2"/>
  <c r="AU875" i="2"/>
  <c r="AU891" i="2"/>
  <c r="S903" i="2"/>
  <c r="W907" i="2"/>
  <c r="AG909" i="2"/>
  <c r="Q855" i="2"/>
  <c r="Z859" i="2"/>
  <c r="AE881" i="2"/>
  <c r="AW891" i="2"/>
  <c r="AP926" i="2"/>
  <c r="AH855" i="2"/>
  <c r="AM1016" i="2"/>
  <c r="AJ718" i="2"/>
  <c r="AF718" i="2"/>
  <c r="AC718" i="2"/>
  <c r="AS718" i="2"/>
  <c r="AS832" i="2"/>
  <c r="R839" i="2"/>
  <c r="AL839" i="2"/>
  <c r="AW849" i="2"/>
  <c r="Z832" i="2"/>
  <c r="AE865" i="2"/>
  <c r="S891" i="2"/>
  <c r="AI907" i="2"/>
  <c r="AC832" i="2"/>
  <c r="AD839" i="2"/>
  <c r="AB849" i="2"/>
  <c r="AG875" i="2"/>
  <c r="AI893" i="2"/>
  <c r="AW907" i="2"/>
  <c r="U923" i="2"/>
  <c r="Q859" i="2"/>
  <c r="AO923" i="2"/>
  <c r="AM859" i="2"/>
  <c r="AS1010" i="2"/>
  <c r="U1317" i="2"/>
  <c r="AC719" i="2"/>
  <c r="AC715" i="2"/>
  <c r="AK742" i="2"/>
  <c r="X742" i="2"/>
  <c r="AI742" i="2"/>
  <c r="AP719" i="2"/>
  <c r="AS836" i="2"/>
  <c r="AO885" i="2"/>
  <c r="AI911" i="2"/>
  <c r="AQ869" i="2"/>
  <c r="AU911" i="2"/>
  <c r="AS927" i="2"/>
  <c r="Q895" i="2"/>
  <c r="AI1012" i="2"/>
  <c r="AP742" i="2"/>
  <c r="AS715" i="2"/>
  <c r="U742" i="2"/>
  <c r="T715" i="2"/>
  <c r="Z719" i="2"/>
  <c r="AP715" i="2"/>
  <c r="Z715" i="2"/>
  <c r="AM863" i="2"/>
  <c r="AG869" i="2"/>
  <c r="AH894" i="2"/>
  <c r="AB1317" i="2"/>
  <c r="Z1317" i="2"/>
  <c r="Z1301" i="2"/>
  <c r="T1307" i="2"/>
  <c r="AL742" i="2"/>
  <c r="V742" i="2"/>
  <c r="AO719" i="2"/>
  <c r="Y719" i="2"/>
  <c r="AO715" i="2"/>
  <c r="Y715" i="2"/>
  <c r="AW742" i="2"/>
  <c r="AG742" i="2"/>
  <c r="Q742" i="2"/>
  <c r="AF719" i="2"/>
  <c r="AF715" i="2"/>
  <c r="AJ742" i="2"/>
  <c r="T742" i="2"/>
  <c r="AU742" i="2"/>
  <c r="AE742" i="2"/>
  <c r="AL719" i="2"/>
  <c r="V719" i="2"/>
  <c r="AL715" i="2"/>
  <c r="V715" i="2"/>
  <c r="Z835" i="2"/>
  <c r="AG840" i="2"/>
  <c r="AD850" i="2"/>
  <c r="R863" i="2"/>
  <c r="AS863" i="2"/>
  <c r="AO869" i="2"/>
  <c r="AK873" i="2"/>
  <c r="Z878" i="2"/>
  <c r="AA879" i="2"/>
  <c r="AS889" i="2"/>
  <c r="AI895" i="2"/>
  <c r="AU917" i="2"/>
  <c r="S863" i="2"/>
  <c r="AG867" i="2"/>
  <c r="AC879" i="2"/>
  <c r="S885" i="2"/>
  <c r="U895" i="2"/>
  <c r="AW899" i="2"/>
  <c r="AC911" i="2"/>
  <c r="R918" i="2"/>
  <c r="AD851" i="2"/>
  <c r="AS901" i="2"/>
  <c r="Q879" i="2"/>
  <c r="AV715" i="2"/>
  <c r="Z742" i="2"/>
  <c r="AS719" i="2"/>
  <c r="T719" i="2"/>
  <c r="S742" i="2"/>
  <c r="T1317" i="2"/>
  <c r="AE1317" i="2"/>
  <c r="R1317" i="2"/>
  <c r="R1307" i="2"/>
  <c r="AX742" i="2"/>
  <c r="AH742" i="2"/>
  <c r="R742" i="2"/>
  <c r="AK719" i="2"/>
  <c r="U719" i="2"/>
  <c r="AK715" i="2"/>
  <c r="U715" i="2"/>
  <c r="AS742" i="2"/>
  <c r="AC742" i="2"/>
  <c r="AB719" i="2"/>
  <c r="AB715" i="2"/>
  <c r="AF742" i="2"/>
  <c r="AQ742" i="2"/>
  <c r="AA742" i="2"/>
  <c r="AH719" i="2"/>
  <c r="R719" i="2"/>
  <c r="AH715" i="2"/>
  <c r="R715" i="2"/>
  <c r="AH835" i="2"/>
  <c r="AO840" i="2"/>
  <c r="W863" i="2"/>
  <c r="Q869" i="2"/>
  <c r="AW869" i="2"/>
  <c r="AH878" i="2"/>
  <c r="AI879" i="2"/>
  <c r="AM883" i="2"/>
  <c r="Q901" i="2"/>
  <c r="Y915" i="2"/>
  <c r="AT918" i="2"/>
  <c r="W851" i="2"/>
  <c r="AO863" i="2"/>
  <c r="S869" i="2"/>
  <c r="AS911" i="2"/>
  <c r="V863" i="2"/>
  <c r="AG927" i="2"/>
  <c r="AQ719" i="2"/>
  <c r="R813" i="2"/>
  <c r="AO903" i="2"/>
  <c r="AM941" i="2"/>
  <c r="Y857" i="2"/>
  <c r="AQ839" i="2"/>
  <c r="S849" i="2"/>
  <c r="AB878" i="2"/>
  <c r="AW935" i="2"/>
  <c r="AL750" i="2"/>
  <c r="AI733" i="2"/>
  <c r="AG730" i="2"/>
  <c r="AB750" i="2"/>
  <c r="AU738" i="2"/>
  <c r="AI834" i="2"/>
  <c r="Y836" i="2"/>
  <c r="AW836" i="2"/>
  <c r="AP843" i="2"/>
  <c r="Z855" i="2"/>
  <c r="AU855" i="2"/>
  <c r="AS865" i="2"/>
  <c r="AQ871" i="2"/>
  <c r="AC881" i="2"/>
  <c r="Z886" i="2"/>
  <c r="S887" i="2"/>
  <c r="AP894" i="2"/>
  <c r="AJ896" i="2"/>
  <c r="AA903" i="2"/>
  <c r="AR912" i="2"/>
  <c r="AC919" i="2"/>
  <c r="V836" i="2"/>
  <c r="V855" i="2"/>
  <c r="AQ855" i="2"/>
  <c r="AU865" i="2"/>
  <c r="U871" i="2"/>
  <c r="AM881" i="2"/>
  <c r="AK887" i="2"/>
  <c r="W897" i="2"/>
  <c r="U903" i="2"/>
  <c r="AE929" i="2"/>
  <c r="R855" i="2"/>
  <c r="AM855" i="2"/>
  <c r="AE871" i="2"/>
  <c r="Y881" i="2"/>
  <c r="AO913" i="2"/>
  <c r="Y855" i="2"/>
  <c r="Y871" i="2"/>
  <c r="Q887" i="2"/>
  <c r="AC935" i="2"/>
  <c r="AU956" i="2"/>
  <c r="AG958" i="2"/>
  <c r="AM972" i="2"/>
  <c r="AA988" i="2"/>
  <c r="Q1020" i="2"/>
  <c r="AR750" i="2"/>
  <c r="AQ770" i="2"/>
  <c r="R730" i="2"/>
  <c r="Q738" i="2"/>
  <c r="AB730" i="2"/>
  <c r="AQ730" i="2"/>
  <c r="S770" i="2"/>
  <c r="V750" i="2"/>
  <c r="AH738" i="2"/>
  <c r="AS750" i="2"/>
  <c r="Q730" i="2"/>
  <c r="AM750" i="2"/>
  <c r="AE738" i="2"/>
  <c r="AA730" i="2"/>
  <c r="AC836" i="2"/>
  <c r="U840" i="2"/>
  <c r="W854" i="2"/>
  <c r="AE855" i="2"/>
  <c r="S871" i="2"/>
  <c r="AK881" i="2"/>
  <c r="AH886" i="2"/>
  <c r="AA887" i="2"/>
  <c r="AB888" i="2"/>
  <c r="U897" i="2"/>
  <c r="AW901" i="2"/>
  <c r="AI903" i="2"/>
  <c r="U913" i="2"/>
  <c r="AS919" i="2"/>
  <c r="AA929" i="2"/>
  <c r="AL836" i="2"/>
  <c r="AA855" i="2"/>
  <c r="AW855" i="2"/>
  <c r="AK859" i="2"/>
  <c r="AI869" i="2"/>
  <c r="AC871" i="2"/>
  <c r="AO875" i="2"/>
  <c r="AU881" i="2"/>
  <c r="AS887" i="2"/>
  <c r="Q891" i="2"/>
  <c r="AE897" i="2"/>
  <c r="AC903" i="2"/>
  <c r="AO907" i="2"/>
  <c r="W913" i="2"/>
  <c r="Q919" i="2"/>
  <c r="AU929" i="2"/>
  <c r="W855" i="2"/>
  <c r="AS855" i="2"/>
  <c r="AG859" i="2"/>
  <c r="AM871" i="2"/>
  <c r="AA875" i="2"/>
  <c r="AM887" i="2"/>
  <c r="AI891" i="2"/>
  <c r="AE903" i="2"/>
  <c r="AQ907" i="2"/>
  <c r="U919" i="2"/>
  <c r="AD855" i="2"/>
  <c r="AO887" i="2"/>
  <c r="AG935" i="2"/>
  <c r="Q939" i="2"/>
  <c r="V946" i="2"/>
  <c r="AO958" i="2"/>
  <c r="AU972" i="2"/>
  <c r="AQ988" i="2"/>
  <c r="AA1004" i="2"/>
  <c r="AW1020" i="2"/>
  <c r="AH1132" i="2"/>
  <c r="Q722" i="2"/>
  <c r="AS722" i="2"/>
  <c r="AV722" i="2"/>
  <c r="AR719" i="2"/>
  <c r="AN760" i="2"/>
  <c r="AA741" i="2"/>
  <c r="R738" i="2"/>
  <c r="AP722" i="2"/>
  <c r="AM760" i="2"/>
  <c r="AC750" i="2"/>
  <c r="AW738" i="2"/>
  <c r="U760" i="2"/>
  <c r="AE760" i="2"/>
  <c r="W750" i="2"/>
  <c r="AU722" i="2"/>
  <c r="AK818" i="2"/>
  <c r="V760" i="2"/>
  <c r="AG836" i="2"/>
  <c r="V843" i="2"/>
  <c r="AM854" i="2"/>
  <c r="AK855" i="2"/>
  <c r="U865" i="2"/>
  <c r="AA871" i="2"/>
  <c r="AJ880" i="2"/>
  <c r="AS881" i="2"/>
  <c r="AP886" i="2"/>
  <c r="AI887" i="2"/>
  <c r="R894" i="2"/>
  <c r="AK897" i="2"/>
  <c r="AQ903" i="2"/>
  <c r="V926" i="2"/>
  <c r="AQ929" i="2"/>
  <c r="AG855" i="2"/>
  <c r="AK871" i="2"/>
  <c r="W881" i="2"/>
  <c r="U887" i="2"/>
  <c r="AM897" i="2"/>
  <c r="S901" i="2"/>
  <c r="AK903" i="2"/>
  <c r="AG919" i="2"/>
  <c r="AC855" i="2"/>
  <c r="AL859" i="2"/>
  <c r="AK869" i="2"/>
  <c r="AU871" i="2"/>
  <c r="AU887" i="2"/>
  <c r="AM903" i="2"/>
  <c r="AW887" i="2"/>
  <c r="AG903" i="2"/>
  <c r="AS935" i="2"/>
  <c r="Q958" i="2"/>
  <c r="AW958" i="2"/>
  <c r="AS994" i="2"/>
  <c r="AJ1007" i="2"/>
  <c r="Q994" i="2"/>
  <c r="AG1068" i="2"/>
  <c r="AK722" i="2"/>
  <c r="T886" i="2"/>
  <c r="AG871" i="2"/>
  <c r="AH766" i="2"/>
  <c r="AG766" i="2"/>
  <c r="T904" i="2"/>
  <c r="AG1048" i="2"/>
  <c r="AB1305" i="2"/>
  <c r="R762" i="2"/>
  <c r="AI760" i="2"/>
  <c r="AH750" i="2"/>
  <c r="R750" i="2"/>
  <c r="AT738" i="2"/>
  <c r="AD738" i="2"/>
  <c r="AT730" i="2"/>
  <c r="AD730" i="2"/>
  <c r="AL722" i="2"/>
  <c r="V722" i="2"/>
  <c r="AQ762" i="2"/>
  <c r="AG760" i="2"/>
  <c r="AO750" i="2"/>
  <c r="Y750" i="2"/>
  <c r="AS738" i="2"/>
  <c r="AC738" i="2"/>
  <c r="AS730" i="2"/>
  <c r="AC730" i="2"/>
  <c r="AK760" i="2"/>
  <c r="X750" i="2"/>
  <c r="AJ738" i="2"/>
  <c r="T738" i="2"/>
  <c r="X730" i="2"/>
  <c r="AU760" i="2"/>
  <c r="Y760" i="2"/>
  <c r="AI750" i="2"/>
  <c r="S750" i="2"/>
  <c r="AQ738" i="2"/>
  <c r="AA738" i="2"/>
  <c r="AM730" i="2"/>
  <c r="W730" i="2"/>
  <c r="AQ722" i="2"/>
  <c r="AA722" i="2"/>
  <c r="Z760" i="2"/>
  <c r="AP760" i="2"/>
  <c r="Q832" i="2"/>
  <c r="AG832" i="2"/>
  <c r="AW832" i="2"/>
  <c r="AG849" i="2"/>
  <c r="AA851" i="2"/>
  <c r="AW851" i="2"/>
  <c r="AE867" i="2"/>
  <c r="AO877" i="2"/>
  <c r="AU883" i="2"/>
  <c r="AO893" i="2"/>
  <c r="AU899" i="2"/>
  <c r="AW909" i="2"/>
  <c r="AO915" i="2"/>
  <c r="AM925" i="2"/>
  <c r="Y931" i="2"/>
  <c r="AD832" i="2"/>
  <c r="X849" i="2"/>
  <c r="AC851" i="2"/>
  <c r="AX851" i="2"/>
  <c r="AO867" i="2"/>
  <c r="AQ877" i="2"/>
  <c r="Q883" i="2"/>
  <c r="AW883" i="2"/>
  <c r="AQ893" i="2"/>
  <c r="Y899" i="2"/>
  <c r="V922" i="2"/>
  <c r="AA925" i="2"/>
  <c r="AI851" i="2"/>
  <c r="AQ867" i="2"/>
  <c r="AP851" i="2"/>
  <c r="AC883" i="2"/>
  <c r="R938" i="2"/>
  <c r="AI952" i="2"/>
  <c r="AJ722" i="2"/>
  <c r="U722" i="2"/>
  <c r="AV738" i="2"/>
  <c r="AN750" i="2"/>
  <c r="Y1305" i="2"/>
  <c r="AC760" i="2"/>
  <c r="AT750" i="2"/>
  <c r="AD750" i="2"/>
  <c r="AP738" i="2"/>
  <c r="Z738" i="2"/>
  <c r="AP730" i="2"/>
  <c r="Z730" i="2"/>
  <c r="AH722" i="2"/>
  <c r="R722" i="2"/>
  <c r="AW760" i="2"/>
  <c r="AB760" i="2"/>
  <c r="AK750" i="2"/>
  <c r="U750" i="2"/>
  <c r="AO738" i="2"/>
  <c r="Y738" i="2"/>
  <c r="AO730" i="2"/>
  <c r="Y730" i="2"/>
  <c r="AF760" i="2"/>
  <c r="AJ750" i="2"/>
  <c r="T750" i="2"/>
  <c r="AF738" i="2"/>
  <c r="AJ730" i="2"/>
  <c r="T730" i="2"/>
  <c r="AO760" i="2"/>
  <c r="T760" i="2"/>
  <c r="AU750" i="2"/>
  <c r="AE750" i="2"/>
  <c r="AM738" i="2"/>
  <c r="W738" i="2"/>
  <c r="AI730" i="2"/>
  <c r="S730" i="2"/>
  <c r="AM722" i="2"/>
  <c r="W722" i="2"/>
  <c r="AD760" i="2"/>
  <c r="AT760" i="2"/>
  <c r="U832" i="2"/>
  <c r="AK832" i="2"/>
  <c r="Q849" i="2"/>
  <c r="AM849" i="2"/>
  <c r="AG851" i="2"/>
  <c r="AM867" i="2"/>
  <c r="AW877" i="2"/>
  <c r="W883" i="2"/>
  <c r="Q893" i="2"/>
  <c r="AW893" i="2"/>
  <c r="W899" i="2"/>
  <c r="R902" i="2"/>
  <c r="AO931" i="2"/>
  <c r="AP832" i="2"/>
  <c r="AS849" i="2"/>
  <c r="AH851" i="2"/>
  <c r="Q867" i="2"/>
  <c r="AW867" i="2"/>
  <c r="Y883" i="2"/>
  <c r="AG899" i="2"/>
  <c r="AA909" i="2"/>
  <c r="S851" i="2"/>
  <c r="AO851" i="2"/>
  <c r="S867" i="2"/>
  <c r="AQ883" i="2"/>
  <c r="AD934" i="2"/>
  <c r="AK954" i="2"/>
  <c r="AK1132" i="2"/>
  <c r="T722" i="2"/>
  <c r="AC722" i="2"/>
  <c r="AW722" i="2"/>
  <c r="AO722" i="2"/>
  <c r="AR722" i="2"/>
  <c r="AM719" i="2"/>
  <c r="AS762" i="2"/>
  <c r="AS760" i="2"/>
  <c r="X760" i="2"/>
  <c r="AP750" i="2"/>
  <c r="Z750" i="2"/>
  <c r="AL738" i="2"/>
  <c r="V738" i="2"/>
  <c r="AL730" i="2"/>
  <c r="V730" i="2"/>
  <c r="AT722" i="2"/>
  <c r="AD722" i="2"/>
  <c r="AR760" i="2"/>
  <c r="W760" i="2"/>
  <c r="AW750" i="2"/>
  <c r="AG750" i="2"/>
  <c r="Q750" i="2"/>
  <c r="AK738" i="2"/>
  <c r="U738" i="2"/>
  <c r="AK730" i="2"/>
  <c r="U730" i="2"/>
  <c r="AA760" i="2"/>
  <c r="AF750" i="2"/>
  <c r="AB738" i="2"/>
  <c r="AF730" i="2"/>
  <c r="AJ760" i="2"/>
  <c r="AQ750" i="2"/>
  <c r="AA750" i="2"/>
  <c r="AI738" i="2"/>
  <c r="S738" i="2"/>
  <c r="AU730" i="2"/>
  <c r="AI722" i="2"/>
  <c r="S722" i="2"/>
  <c r="R760" i="2"/>
  <c r="AH760" i="2"/>
  <c r="Y832" i="2"/>
  <c r="AO832" i="2"/>
  <c r="W849" i="2"/>
  <c r="AR849" i="2"/>
  <c r="Q851" i="2"/>
  <c r="AL851" i="2"/>
  <c r="AU867" i="2"/>
  <c r="Q877" i="2"/>
  <c r="AB880" i="2"/>
  <c r="AE883" i="2"/>
  <c r="Y893" i="2"/>
  <c r="AE899" i="2"/>
  <c r="Z902" i="2"/>
  <c r="Q909" i="2"/>
  <c r="AT832" i="2"/>
  <c r="R851" i="2"/>
  <c r="AM851" i="2"/>
  <c r="Y867" i="2"/>
  <c r="AA877" i="2"/>
  <c r="Y851" i="2"/>
  <c r="AA867" i="2"/>
  <c r="AS970" i="2"/>
  <c r="T1015" i="2"/>
  <c r="AF722" i="2"/>
  <c r="AG722" i="2"/>
  <c r="AV750" i="2"/>
  <c r="AR738" i="2"/>
  <c r="AN722" i="2"/>
  <c r="AN719" i="2"/>
  <c r="AU719" i="2"/>
  <c r="V1039" i="2"/>
  <c r="W762" i="2"/>
  <c r="AU745" i="2"/>
  <c r="V762" i="2"/>
  <c r="AT831" i="2"/>
  <c r="S834" i="2"/>
  <c r="Y840" i="2"/>
  <c r="AW840" i="2"/>
  <c r="R870" i="2"/>
  <c r="AC873" i="2"/>
  <c r="AR888" i="2"/>
  <c r="AQ895" i="2"/>
  <c r="AS905" i="2"/>
  <c r="AQ911" i="2"/>
  <c r="AD863" i="2"/>
  <c r="T870" i="2"/>
  <c r="AK895" i="2"/>
  <c r="AK911" i="2"/>
  <c r="AH918" i="2"/>
  <c r="Y927" i="2"/>
  <c r="Y849" i="2"/>
  <c r="AG873" i="2"/>
  <c r="W879" i="2"/>
  <c r="W911" i="2"/>
  <c r="AQ921" i="2"/>
  <c r="AG863" i="2"/>
  <c r="AG879" i="2"/>
  <c r="AW895" i="2"/>
  <c r="AP934" i="2"/>
  <c r="Q943" i="2"/>
  <c r="W889" i="2"/>
  <c r="W921" i="2"/>
  <c r="AO927" i="2"/>
  <c r="U863" i="2"/>
  <c r="AM879" i="2"/>
  <c r="Y905" i="2"/>
  <c r="AE911" i="2"/>
  <c r="AQ863" i="2"/>
  <c r="Q911" i="2"/>
  <c r="AT934" i="2"/>
  <c r="AA745" i="2"/>
  <c r="AM762" i="2"/>
  <c r="Q840" i="2"/>
  <c r="AK840" i="2"/>
  <c r="AK889" i="2"/>
  <c r="S895" i="2"/>
  <c r="AC905" i="2"/>
  <c r="AA911" i="2"/>
  <c r="AD918" i="2"/>
  <c r="AI921" i="2"/>
  <c r="U927" i="2"/>
  <c r="Z840" i="2"/>
  <c r="W873" i="2"/>
  <c r="AS879" i="2"/>
  <c r="AE889" i="2"/>
  <c r="W905" i="2"/>
  <c r="U911" i="2"/>
  <c r="AE863" i="2"/>
  <c r="W895" i="2"/>
  <c r="AM911" i="2"/>
  <c r="AC927" i="2"/>
  <c r="AG911" i="2"/>
  <c r="AU921" i="2"/>
  <c r="Z934" i="2"/>
  <c r="AT745" i="2"/>
  <c r="AJ886" i="2"/>
  <c r="T894" i="2"/>
  <c r="AR910" i="2"/>
  <c r="Y865" i="2"/>
  <c r="AO881" i="2"/>
  <c r="V918" i="2"/>
  <c r="S929" i="2"/>
  <c r="AS875" i="2"/>
  <c r="AW879" i="2"/>
  <c r="AG895" i="2"/>
  <c r="Y911" i="2"/>
  <c r="Z918" i="2"/>
  <c r="Q927" i="2"/>
  <c r="R934" i="2"/>
  <c r="AH934" i="2"/>
  <c r="AW939" i="2"/>
  <c r="AK943" i="2"/>
  <c r="AH946" i="2"/>
  <c r="AS978" i="2"/>
  <c r="AC994" i="2"/>
  <c r="AW994" i="2"/>
  <c r="U1052" i="2"/>
  <c r="AD762" i="2"/>
  <c r="AK909" i="2"/>
  <c r="AL918" i="2"/>
  <c r="AK907" i="2"/>
  <c r="AP918" i="2"/>
  <c r="V934" i="2"/>
  <c r="AL934" i="2"/>
  <c r="AO943" i="2"/>
  <c r="AP946" i="2"/>
  <c r="AD1023" i="2"/>
  <c r="AS1036" i="2"/>
  <c r="Q778" i="2"/>
  <c r="AH797" i="2"/>
  <c r="AC810" i="2"/>
  <c r="R766" i="2"/>
  <c r="AG794" i="2"/>
  <c r="AA939" i="2"/>
  <c r="U994" i="2"/>
  <c r="AA873" i="2"/>
  <c r="AT1031" i="2"/>
  <c r="Q1130" i="2"/>
  <c r="AU946" i="2"/>
  <c r="AB959" i="2"/>
  <c r="AP785" i="2"/>
  <c r="AP862" i="2"/>
  <c r="O1479" i="2"/>
  <c r="P1429" i="2"/>
  <c r="P1431" i="2"/>
  <c r="M1341" i="2"/>
  <c r="M1347" i="2"/>
  <c r="M1344" i="2"/>
  <c r="AW774" i="2"/>
  <c r="AL793" i="2"/>
  <c r="Z946" i="2"/>
  <c r="T953" i="2"/>
  <c r="AC958" i="2"/>
  <c r="U988" i="2"/>
  <c r="AI881" i="2"/>
  <c r="R946" i="2"/>
  <c r="R959" i="2"/>
  <c r="V871" i="2"/>
  <c r="W996" i="2"/>
  <c r="AQ964" i="2"/>
  <c r="AM988" i="2"/>
  <c r="AS766" i="2"/>
  <c r="AG778" i="2"/>
  <c r="AS794" i="2"/>
  <c r="AP797" i="2"/>
  <c r="Q810" i="2"/>
  <c r="R825" i="2"/>
  <c r="W840" i="2"/>
  <c r="AP959" i="2"/>
  <c r="R981" i="2"/>
  <c r="AO972" i="2"/>
  <c r="AG994" i="2"/>
  <c r="Q1010" i="2"/>
  <c r="U1010" i="2"/>
  <c r="T1017" i="2"/>
  <c r="R1012" i="2"/>
  <c r="Y1036" i="2"/>
  <c r="Z1039" i="2"/>
  <c r="AC766" i="2"/>
  <c r="AQ797" i="2"/>
  <c r="AL942" i="2"/>
  <c r="AE970" i="2"/>
  <c r="AQ996" i="2"/>
  <c r="AA1012" i="2"/>
  <c r="AC964" i="2"/>
  <c r="AS1020" i="2"/>
  <c r="AH1023" i="2"/>
  <c r="Y1052" i="2"/>
  <c r="Q1060" i="2"/>
  <c r="AT1036" i="2"/>
  <c r="Z1305" i="2"/>
  <c r="U1305" i="2"/>
  <c r="X1305" i="2"/>
  <c r="V1305" i="2"/>
  <c r="AG1305" i="2"/>
  <c r="T1305" i="2"/>
  <c r="R1305" i="2"/>
  <c r="T1304" i="2"/>
  <c r="W1304" i="2" s="1"/>
  <c r="U1304" i="2"/>
  <c r="V1304" i="2"/>
  <c r="U1311" i="2"/>
  <c r="AA769" i="2"/>
  <c r="AC762" i="2"/>
  <c r="AI749" i="2"/>
  <c r="AQ745" i="2"/>
  <c r="AI741" i="2"/>
  <c r="T765" i="2"/>
  <c r="AG762" i="2"/>
  <c r="Z745" i="2"/>
  <c r="AD741" i="2"/>
  <c r="Z781" i="2"/>
  <c r="AH789" i="2"/>
  <c r="AU792" i="2"/>
  <c r="V809" i="2"/>
  <c r="AH828" i="2"/>
  <c r="Q828" i="2"/>
  <c r="AW828" i="2"/>
  <c r="Q836" i="2"/>
  <c r="AO836" i="2"/>
  <c r="U844" i="2"/>
  <c r="AN850" i="2"/>
  <c r="AH854" i="2"/>
  <c r="AL860" i="2"/>
  <c r="AC863" i="2"/>
  <c r="AK865" i="2"/>
  <c r="AS873" i="2"/>
  <c r="S879" i="2"/>
  <c r="AA895" i="2"/>
  <c r="Y901" i="2"/>
  <c r="Y909" i="2"/>
  <c r="AP910" i="2"/>
  <c r="AT836" i="2"/>
  <c r="AI863" i="2"/>
  <c r="W865" i="2"/>
  <c r="AU873" i="2"/>
  <c r="AK879" i="2"/>
  <c r="AS895" i="2"/>
  <c r="AA901" i="2"/>
  <c r="AU905" i="2"/>
  <c r="AI909" i="2"/>
  <c r="AM921" i="2"/>
  <c r="Z863" i="2"/>
  <c r="AU863" i="2"/>
  <c r="AO865" i="2"/>
  <c r="AO873" i="2"/>
  <c r="AU879" i="2"/>
  <c r="AG881" i="2"/>
  <c r="AU895" i="2"/>
  <c r="AG905" i="2"/>
  <c r="Z922" i="2"/>
  <c r="AA863" i="2"/>
  <c r="AW863" i="2"/>
  <c r="AI873" i="2"/>
  <c r="AO879" i="2"/>
  <c r="Y895" i="2"/>
  <c r="W909" i="2"/>
  <c r="Z938" i="2"/>
  <c r="V942" i="2"/>
  <c r="Y943" i="2"/>
  <c r="AO974" i="2"/>
  <c r="Y1006" i="2"/>
  <c r="W922" i="2"/>
  <c r="R935" i="2"/>
  <c r="AU942" i="2"/>
  <c r="AW1016" i="2"/>
  <c r="AP1132" i="2"/>
  <c r="AQ1132" i="2"/>
  <c r="Q774" i="2"/>
  <c r="Q790" i="2"/>
  <c r="R793" i="2"/>
  <c r="W796" i="2"/>
  <c r="S781" i="2"/>
  <c r="AI901" i="2"/>
  <c r="AQ909" i="2"/>
  <c r="AW865" i="2"/>
  <c r="Q873" i="2"/>
  <c r="AW873" i="2"/>
  <c r="AP922" i="2"/>
  <c r="S865" i="2"/>
  <c r="AQ873" i="2"/>
  <c r="AP938" i="2"/>
  <c r="AC751" i="2"/>
  <c r="AI725" i="2"/>
  <c r="AW762" i="2"/>
  <c r="AG774" i="2"/>
  <c r="AK790" i="2"/>
  <c r="Z793" i="2"/>
  <c r="AT774" i="2"/>
  <c r="AA781" i="2"/>
  <c r="AI793" i="2"/>
  <c r="AI790" i="2"/>
  <c r="AG828" i="2"/>
  <c r="AK844" i="2"/>
  <c r="R854" i="2"/>
  <c r="AR854" i="2"/>
  <c r="AH870" i="2"/>
  <c r="AO901" i="2"/>
  <c r="AO909" i="2"/>
  <c r="S921" i="2"/>
  <c r="AH922" i="2"/>
  <c r="AD836" i="2"/>
  <c r="Y863" i="2"/>
  <c r="AT863" i="2"/>
  <c r="AM865" i="2"/>
  <c r="AE873" i="2"/>
  <c r="U879" i="2"/>
  <c r="AC895" i="2"/>
  <c r="AQ901" i="2"/>
  <c r="S909" i="2"/>
  <c r="AL922" i="2"/>
  <c r="AK863" i="2"/>
  <c r="Q865" i="2"/>
  <c r="Y873" i="2"/>
  <c r="AE879" i="2"/>
  <c r="Q881" i="2"/>
  <c r="AW881" i="2"/>
  <c r="AE895" i="2"/>
  <c r="U901" i="2"/>
  <c r="AA921" i="2"/>
  <c r="Q863" i="2"/>
  <c r="S873" i="2"/>
  <c r="Y879" i="2"/>
  <c r="AO895" i="2"/>
  <c r="AE921" i="2"/>
  <c r="AT938" i="2"/>
  <c r="AE941" i="2"/>
  <c r="AT942" i="2"/>
  <c r="AH967" i="2"/>
  <c r="X979" i="2"/>
  <c r="Z919" i="2"/>
  <c r="W938" i="2"/>
  <c r="AA958" i="2"/>
  <c r="AI1030" i="2"/>
  <c r="AS1064" i="2"/>
  <c r="R1083" i="2"/>
  <c r="AI770" i="2"/>
  <c r="AO751" i="2"/>
  <c r="AE745" i="2"/>
  <c r="R770" i="2"/>
  <c r="AL766" i="2"/>
  <c r="AD745" i="2"/>
  <c r="U766" i="2"/>
  <c r="AW766" i="2"/>
  <c r="AK778" i="2"/>
  <c r="V785" i="2"/>
  <c r="Q794" i="2"/>
  <c r="AD831" i="2"/>
  <c r="AC840" i="2"/>
  <c r="AS840" i="2"/>
  <c r="Y877" i="2"/>
  <c r="AR880" i="2"/>
  <c r="U889" i="2"/>
  <c r="Z894" i="2"/>
  <c r="AC897" i="2"/>
  <c r="AH902" i="2"/>
  <c r="AE907" i="2"/>
  <c r="T916" i="2"/>
  <c r="AW923" i="2"/>
  <c r="AL926" i="2"/>
  <c r="AD840" i="2"/>
  <c r="AD854" i="2"/>
  <c r="AE859" i="2"/>
  <c r="Y875" i="2"/>
  <c r="S877" i="2"/>
  <c r="AM889" i="2"/>
  <c r="Y891" i="2"/>
  <c r="AU897" i="2"/>
  <c r="T902" i="2"/>
  <c r="Y907" i="2"/>
  <c r="AN916" i="2"/>
  <c r="AK923" i="2"/>
  <c r="V859" i="2"/>
  <c r="AQ859" i="2"/>
  <c r="AI875" i="2"/>
  <c r="AC877" i="2"/>
  <c r="Y889" i="2"/>
  <c r="AQ891" i="2"/>
  <c r="AO897" i="2"/>
  <c r="AB916" i="2"/>
  <c r="R859" i="2"/>
  <c r="AI897" i="2"/>
  <c r="AO911" i="2"/>
  <c r="AC923" i="2"/>
  <c r="AE937" i="2"/>
  <c r="AG939" i="2"/>
  <c r="AD942" i="2"/>
  <c r="U943" i="2"/>
  <c r="AW943" i="2"/>
  <c r="AC954" i="2"/>
  <c r="AD993" i="2"/>
  <c r="Q1013" i="2"/>
  <c r="Z895" i="2"/>
  <c r="AH939" i="2"/>
  <c r="AW970" i="2"/>
  <c r="AS1012" i="2"/>
  <c r="S1030" i="2"/>
  <c r="AT1024" i="2"/>
  <c r="AO1132" i="2"/>
  <c r="AH773" i="2"/>
  <c r="AP840" i="2"/>
  <c r="Z926" i="2"/>
  <c r="AA859" i="2"/>
  <c r="AW859" i="2"/>
  <c r="AQ875" i="2"/>
  <c r="AW897" i="2"/>
  <c r="S907" i="2"/>
  <c r="Y923" i="2"/>
  <c r="AH859" i="2"/>
  <c r="AK875" i="2"/>
  <c r="AC891" i="2"/>
  <c r="AQ897" i="2"/>
  <c r="AC907" i="2"/>
  <c r="AI937" i="2"/>
  <c r="AK939" i="2"/>
  <c r="AL1013" i="2"/>
  <c r="Z875" i="2"/>
  <c r="AP895" i="2"/>
  <c r="V923" i="2"/>
  <c r="AR967" i="2"/>
  <c r="AI964" i="2"/>
  <c r="W1030" i="2"/>
  <c r="R1031" i="2"/>
  <c r="AE1034" i="2"/>
  <c r="V1156" i="2"/>
  <c r="X916" i="2"/>
  <c r="AM840" i="2"/>
  <c r="U939" i="2"/>
  <c r="AJ953" i="2"/>
  <c r="AH981" i="2"/>
  <c r="AN991" i="2"/>
  <c r="AR718" i="2"/>
  <c r="AB1299" i="2"/>
  <c r="V1311" i="2"/>
  <c r="Y1299" i="2"/>
  <c r="R1311" i="2"/>
  <c r="R1299" i="2"/>
  <c r="AB1311" i="2"/>
  <c r="X1299" i="2"/>
  <c r="AC1299" i="2"/>
  <c r="X1311" i="2"/>
  <c r="R1303" i="2"/>
  <c r="Z1299" i="2"/>
  <c r="AG1311" i="2"/>
  <c r="U1299" i="2"/>
  <c r="T1311" i="2"/>
  <c r="T1299" i="2"/>
  <c r="Z1311" i="2"/>
  <c r="V1299" i="2"/>
  <c r="AC1311" i="2"/>
  <c r="AG1299" i="2"/>
  <c r="AH875" i="2"/>
  <c r="AQ939" i="2"/>
  <c r="AU952" i="2"/>
  <c r="Y1016" i="2"/>
  <c r="AG1032" i="2"/>
  <c r="AS1048" i="2"/>
  <c r="Q1064" i="2"/>
  <c r="AW1064" i="2"/>
  <c r="AG1101" i="2"/>
  <c r="Y751" i="2"/>
  <c r="AQ741" i="2"/>
  <c r="W741" i="2"/>
  <c r="U786" i="2"/>
  <c r="AT786" i="2"/>
  <c r="W842" i="2"/>
  <c r="AU857" i="2"/>
  <c r="AT882" i="2"/>
  <c r="AP902" i="2"/>
  <c r="AL844" i="2"/>
  <c r="AN849" i="2"/>
  <c r="AR886" i="2"/>
  <c r="AB894" i="2"/>
  <c r="AB902" i="2"/>
  <c r="S832" i="2"/>
  <c r="AS869" i="2"/>
  <c r="AA891" i="2"/>
  <c r="AA907" i="2"/>
  <c r="AD926" i="2"/>
  <c r="W859" i="2"/>
  <c r="AS859" i="2"/>
  <c r="U875" i="2"/>
  <c r="AK891" i="2"/>
  <c r="AS907" i="2"/>
  <c r="AU937" i="2"/>
  <c r="Y939" i="2"/>
  <c r="AO939" i="2"/>
  <c r="AG943" i="2"/>
  <c r="Z959" i="2"/>
  <c r="U970" i="2"/>
  <c r="Q998" i="2"/>
  <c r="R907" i="2"/>
  <c r="AO956" i="2"/>
  <c r="AQ1000" i="2"/>
  <c r="S972" i="2"/>
  <c r="S1016" i="2"/>
  <c r="AK1016" i="2"/>
  <c r="AG1016" i="2"/>
  <c r="AC1020" i="2"/>
  <c r="AT1023" i="2"/>
  <c r="AI1026" i="2"/>
  <c r="AK1032" i="2"/>
  <c r="AC1036" i="2"/>
  <c r="AI1038" i="2"/>
  <c r="AL1039" i="2"/>
  <c r="AK1052" i="2"/>
  <c r="AC1064" i="2"/>
  <c r="AL1052" i="2"/>
  <c r="AD1064" i="2"/>
  <c r="Q1083" i="2"/>
  <c r="AE761" i="2"/>
  <c r="AW751" i="2"/>
  <c r="AM741" i="2"/>
  <c r="S741" i="2"/>
  <c r="AS735" i="2"/>
  <c r="AE729" i="2"/>
  <c r="U770" i="2"/>
  <c r="AM832" i="2"/>
  <c r="T849" i="2"/>
  <c r="W917" i="2"/>
  <c r="AT926" i="2"/>
  <c r="AC859" i="2"/>
  <c r="U907" i="2"/>
  <c r="S937" i="2"/>
  <c r="AC939" i="2"/>
  <c r="AS939" i="2"/>
  <c r="AC952" i="2"/>
  <c r="AH959" i="2"/>
  <c r="Q972" i="2"/>
  <c r="AU988" i="2"/>
  <c r="AI956" i="2"/>
  <c r="AS956" i="2"/>
  <c r="AA1016" i="2"/>
  <c r="AG1020" i="2"/>
  <c r="R1023" i="2"/>
  <c r="AU1026" i="2"/>
  <c r="AO1036" i="2"/>
  <c r="AM1038" i="2"/>
  <c r="AP1039" i="2"/>
  <c r="Z1051" i="2"/>
  <c r="AO1052" i="2"/>
  <c r="AG1064" i="2"/>
  <c r="AC1068" i="2"/>
  <c r="AL1064" i="2"/>
  <c r="AW1083" i="2"/>
  <c r="AC1303" i="2"/>
  <c r="W1313" i="2"/>
  <c r="X1309" i="2"/>
  <c r="Z1309" i="2"/>
  <c r="AC1313" i="2"/>
  <c r="U1303" i="2"/>
  <c r="X1303" i="2"/>
  <c r="AC1309" i="2"/>
  <c r="Z1303" i="2"/>
  <c r="U1313" i="2"/>
  <c r="Y966" i="2"/>
  <c r="Q966" i="2"/>
  <c r="V714" i="2"/>
  <c r="AP773" i="2"/>
  <c r="T852" i="2"/>
  <c r="Q885" i="2"/>
  <c r="AW885" i="2"/>
  <c r="AA885" i="2"/>
  <c r="S917" i="2"/>
  <c r="U885" i="2"/>
  <c r="Z951" i="2"/>
  <c r="S905" i="2"/>
  <c r="AU909" i="2"/>
  <c r="U909" i="2"/>
  <c r="AM909" i="2"/>
  <c r="AS909" i="2"/>
  <c r="AE925" i="2"/>
  <c r="AE945" i="2"/>
  <c r="AU945" i="2"/>
  <c r="AM945" i="2"/>
  <c r="Y964" i="2"/>
  <c r="W980" i="2"/>
  <c r="AU926" i="2"/>
  <c r="S926" i="2"/>
  <c r="AH926" i="2"/>
  <c r="AN950" i="2"/>
  <c r="AD950" i="2"/>
  <c r="AA980" i="2"/>
  <c r="AE851" i="2"/>
  <c r="U851" i="2"/>
  <c r="AL867" i="2"/>
  <c r="V867" i="2"/>
  <c r="AL883" i="2"/>
  <c r="AA883" i="2"/>
  <c r="AS883" i="2"/>
  <c r="AT899" i="2"/>
  <c r="AK899" i="2"/>
  <c r="AQ899" i="2"/>
  <c r="AA899" i="2"/>
  <c r="AT915" i="2"/>
  <c r="AW915" i="2"/>
  <c r="AK915" i="2"/>
  <c r="Q915" i="2"/>
  <c r="AD931" i="2"/>
  <c r="AT931" i="2"/>
  <c r="Q931" i="2"/>
  <c r="AL931" i="2"/>
  <c r="AA947" i="2"/>
  <c r="Z947" i="2"/>
  <c r="U947" i="2"/>
  <c r="AS947" i="2"/>
  <c r="AD1078" i="2"/>
  <c r="AA1078" i="2"/>
  <c r="AG1078" i="2"/>
  <c r="S1078" i="2"/>
  <c r="AE933" i="2"/>
  <c r="AM933" i="2"/>
  <c r="AV714" i="2"/>
  <c r="AK714" i="2"/>
  <c r="AC714" i="2"/>
  <c r="R726" i="2"/>
  <c r="AL714" i="2"/>
  <c r="AH758" i="2"/>
  <c r="AI714" i="2"/>
  <c r="AQ773" i="2"/>
  <c r="R910" i="2"/>
  <c r="AA770" i="2"/>
  <c r="AD758" i="2"/>
  <c r="AQ753" i="2"/>
  <c r="AS751" i="2"/>
  <c r="Q751" i="2"/>
  <c r="AM745" i="2"/>
  <c r="W745" i="2"/>
  <c r="AS739" i="2"/>
  <c r="Z734" i="2"/>
  <c r="AK731" i="2"/>
  <c r="AG727" i="2"/>
  <c r="AH714" i="2"/>
  <c r="R714" i="2"/>
  <c r="AH770" i="2"/>
  <c r="R753" i="2"/>
  <c r="AP745" i="2"/>
  <c r="V745" i="2"/>
  <c r="AH741" i="2"/>
  <c r="AL770" i="2"/>
  <c r="AP766" i="2"/>
  <c r="AU714" i="2"/>
  <c r="AE714" i="2"/>
  <c r="Q766" i="2"/>
  <c r="AK766" i="2"/>
  <c r="R773" i="2"/>
  <c r="AC794" i="2"/>
  <c r="AO810" i="2"/>
  <c r="W820" i="2"/>
  <c r="AA830" i="2"/>
  <c r="AQ838" i="2"/>
  <c r="AM842" i="2"/>
  <c r="S850" i="2"/>
  <c r="AO852" i="2"/>
  <c r="AD866" i="2"/>
  <c r="Y885" i="2"/>
  <c r="Z910" i="2"/>
  <c r="AH844" i="2"/>
  <c r="AI885" i="2"/>
  <c r="AB886" i="2"/>
  <c r="T910" i="2"/>
  <c r="AI917" i="2"/>
  <c r="AC867" i="2"/>
  <c r="AK894" i="2"/>
  <c r="AL894" i="2"/>
  <c r="AK931" i="2"/>
  <c r="AK947" i="2"/>
  <c r="W964" i="2"/>
  <c r="Q982" i="2"/>
  <c r="AI996" i="2"/>
  <c r="AR1017" i="2"/>
  <c r="AU877" i="2"/>
  <c r="AS877" i="2"/>
  <c r="AM877" i="2"/>
  <c r="AK877" i="2"/>
  <c r="AL889" i="2"/>
  <c r="AI889" i="2"/>
  <c r="AW889" i="2"/>
  <c r="Q889" i="2"/>
  <c r="AA889" i="2"/>
  <c r="AO889" i="2"/>
  <c r="AA897" i="2"/>
  <c r="AG897" i="2"/>
  <c r="S897" i="2"/>
  <c r="Y897" i="2"/>
  <c r="AT955" i="2"/>
  <c r="AL955" i="2"/>
  <c r="AQ930" i="2"/>
  <c r="V930" i="2"/>
  <c r="AH930" i="2"/>
  <c r="AR855" i="2"/>
  <c r="AO855" i="2"/>
  <c r="S855" i="2"/>
  <c r="AI855" i="2"/>
  <c r="AW871" i="2"/>
  <c r="Q871" i="2"/>
  <c r="AO871" i="2"/>
  <c r="AG887" i="2"/>
  <c r="AE887" i="2"/>
  <c r="AH887" i="2"/>
  <c r="Y887" i="2"/>
  <c r="W887" i="2"/>
  <c r="AO1005" i="2"/>
  <c r="AP1005" i="2"/>
  <c r="Z1005" i="2"/>
  <c r="Z1024" i="2"/>
  <c r="AO1024" i="2"/>
  <c r="AC1024" i="2"/>
  <c r="Y1024" i="2"/>
  <c r="AM1040" i="2"/>
  <c r="AC1040" i="2"/>
  <c r="AD1040" i="2"/>
  <c r="Y1040" i="2"/>
  <c r="AS1040" i="2"/>
  <c r="AE885" i="2"/>
  <c r="AM885" i="2"/>
  <c r="AK885" i="2"/>
  <c r="AC885" i="2"/>
  <c r="AU951" i="2"/>
  <c r="T761" i="2"/>
  <c r="X726" i="2"/>
  <c r="AA726" i="2"/>
  <c r="AO782" i="2"/>
  <c r="AU761" i="2"/>
  <c r="AA753" i="2"/>
  <c r="AI745" i="2"/>
  <c r="S745" i="2"/>
  <c r="AT714" i="2"/>
  <c r="AD714" i="2"/>
  <c r="Z770" i="2"/>
  <c r="AL745" i="2"/>
  <c r="AD770" i="2"/>
  <c r="AQ714" i="2"/>
  <c r="AA714" i="2"/>
  <c r="Z773" i="2"/>
  <c r="Z789" i="2"/>
  <c r="AS802" i="2"/>
  <c r="AI789" i="2"/>
  <c r="AG885" i="2"/>
  <c r="AH910" i="2"/>
  <c r="AE917" i="2"/>
  <c r="AQ885" i="2"/>
  <c r="AB910" i="2"/>
  <c r="AA917" i="2"/>
  <c r="AI865" i="2"/>
  <c r="AM893" i="2"/>
  <c r="AE901" i="2"/>
  <c r="U964" i="2"/>
  <c r="AA964" i="2"/>
  <c r="AW964" i="2"/>
  <c r="Q964" i="2"/>
  <c r="AM964" i="2"/>
  <c r="AS964" i="2"/>
  <c r="S964" i="2"/>
  <c r="AO964" i="2"/>
  <c r="AE964" i="2"/>
  <c r="AK964" i="2"/>
  <c r="AU980" i="2"/>
  <c r="AI980" i="2"/>
  <c r="AM980" i="2"/>
  <c r="S980" i="2"/>
  <c r="AC996" i="2"/>
  <c r="AA996" i="2"/>
  <c r="S996" i="2"/>
  <c r="AM996" i="2"/>
  <c r="AO1012" i="2"/>
  <c r="AU1012" i="2"/>
  <c r="W1012" i="2"/>
  <c r="AC1012" i="2"/>
  <c r="AQ1012" i="2"/>
  <c r="AL1012" i="2"/>
  <c r="AN1046" i="2"/>
  <c r="AI1046" i="2"/>
  <c r="M1054" i="2"/>
  <c r="AE1054" i="2"/>
  <c r="W1054" i="2"/>
  <c r="M1207" i="2"/>
  <c r="AH1207" i="2"/>
  <c r="AU903" i="2"/>
  <c r="AK919" i="2"/>
  <c r="Q903" i="2"/>
  <c r="AW903" i="2"/>
  <c r="U935" i="2"/>
  <c r="AK935" i="2"/>
  <c r="AI968" i="2"/>
  <c r="AC970" i="2"/>
  <c r="AM984" i="2"/>
  <c r="R997" i="2"/>
  <c r="W1000" i="2"/>
  <c r="AT1015" i="2"/>
  <c r="R903" i="2"/>
  <c r="AK952" i="2"/>
  <c r="AM970" i="2"/>
  <c r="AH977" i="2"/>
  <c r="AL1009" i="2"/>
  <c r="S1026" i="2"/>
  <c r="AD1031" i="2"/>
  <c r="AI1050" i="2"/>
  <c r="AK1060" i="2"/>
  <c r="AO1178" i="2"/>
  <c r="W903" i="2"/>
  <c r="Y903" i="2"/>
  <c r="Y919" i="2"/>
  <c r="Y935" i="2"/>
  <c r="AO935" i="2"/>
  <c r="AQ968" i="2"/>
  <c r="AK970" i="2"/>
  <c r="AD977" i="2"/>
  <c r="AH997" i="2"/>
  <c r="AM1000" i="2"/>
  <c r="AM968" i="2"/>
  <c r="AH1031" i="2"/>
  <c r="S1038" i="2"/>
  <c r="AW1060" i="2"/>
  <c r="V931" i="2"/>
  <c r="AA942" i="2"/>
  <c r="AI958" i="2"/>
  <c r="AU970" i="2"/>
  <c r="AW972" i="2"/>
  <c r="AA984" i="2"/>
  <c r="Q970" i="2"/>
  <c r="AQ972" i="2"/>
  <c r="AB1013" i="2"/>
  <c r="AK988" i="2"/>
  <c r="U1020" i="2"/>
  <c r="AK1020" i="2"/>
  <c r="V1031" i="2"/>
  <c r="AL1031" i="2"/>
  <c r="Q1032" i="2"/>
  <c r="AW1032" i="2"/>
  <c r="Q1036" i="2"/>
  <c r="AG1036" i="2"/>
  <c r="AW1036" i="2"/>
  <c r="W1038" i="2"/>
  <c r="AU1038" i="2"/>
  <c r="AD1039" i="2"/>
  <c r="AT1039" i="2"/>
  <c r="Q1048" i="2"/>
  <c r="AW1048" i="2"/>
  <c r="AP1051" i="2"/>
  <c r="AC1052" i="2"/>
  <c r="AS1052" i="2"/>
  <c r="U1064" i="2"/>
  <c r="AK1064" i="2"/>
  <c r="AS1068" i="2"/>
  <c r="AI1078" i="2"/>
  <c r="AH1020" i="2"/>
  <c r="Z1036" i="2"/>
  <c r="AM1051" i="2"/>
  <c r="AT1052" i="2"/>
  <c r="V1064" i="2"/>
  <c r="AP1064" i="2"/>
  <c r="S1052" i="2"/>
  <c r="S1064" i="2"/>
  <c r="AE1078" i="2"/>
  <c r="V1078" i="2"/>
  <c r="Y1083" i="2"/>
  <c r="AL1083" i="2"/>
  <c r="AU1083" i="2"/>
  <c r="AC770" i="2"/>
  <c r="AC786" i="2"/>
  <c r="AW802" i="2"/>
  <c r="AP818" i="2"/>
  <c r="AI942" i="2"/>
  <c r="AG956" i="2"/>
  <c r="AQ958" i="2"/>
  <c r="W970" i="2"/>
  <c r="AE988" i="2"/>
  <c r="AR1013" i="2"/>
  <c r="AA956" i="2"/>
  <c r="AO970" i="2"/>
  <c r="W988" i="2"/>
  <c r="AO988" i="2"/>
  <c r="Y1020" i="2"/>
  <c r="AO1020" i="2"/>
  <c r="Z1031" i="2"/>
  <c r="AP1031" i="2"/>
  <c r="U1032" i="2"/>
  <c r="U1036" i="2"/>
  <c r="AK1036" i="2"/>
  <c r="AE1038" i="2"/>
  <c r="R1039" i="2"/>
  <c r="AH1039" i="2"/>
  <c r="AX1039" i="2"/>
  <c r="S1046" i="2"/>
  <c r="Q1052" i="2"/>
  <c r="AG1052" i="2"/>
  <c r="AW1052" i="2"/>
  <c r="Y1064" i="2"/>
  <c r="AO1064" i="2"/>
  <c r="AQ1078" i="2"/>
  <c r="AH1036" i="2"/>
  <c r="V1052" i="2"/>
  <c r="Z1064" i="2"/>
  <c r="AT1064" i="2"/>
  <c r="U1078" i="2"/>
  <c r="AA1036" i="2"/>
  <c r="AM1064" i="2"/>
  <c r="AP1078" i="2"/>
  <c r="AG1083" i="2"/>
  <c r="S1181" i="2"/>
  <c r="AT761" i="2"/>
  <c r="V729" i="2"/>
  <c r="AS770" i="2"/>
  <c r="AS786" i="2"/>
  <c r="Q802" i="2"/>
  <c r="U818" i="2"/>
  <c r="Q829" i="2"/>
  <c r="AA809" i="2"/>
  <c r="AK829" i="2"/>
  <c r="AE1031" i="2"/>
  <c r="X761" i="2"/>
  <c r="AW786" i="2"/>
  <c r="AC802" i="2"/>
  <c r="Y818" i="2"/>
  <c r="AI821" i="2"/>
  <c r="S949" i="2"/>
  <c r="AC963" i="2"/>
  <c r="AL963" i="2"/>
  <c r="M985" i="2"/>
  <c r="Z985" i="2"/>
  <c r="AL985" i="2"/>
  <c r="AL1001" i="2"/>
  <c r="V1001" i="2"/>
  <c r="AN1014" i="2"/>
  <c r="S1014" i="2"/>
  <c r="AC1014" i="2"/>
  <c r="Y954" i="2"/>
  <c r="AM954" i="2"/>
  <c r="U954" i="2"/>
  <c r="AW954" i="2"/>
  <c r="Q954" i="2"/>
  <c r="AE954" i="2"/>
  <c r="AS954" i="2"/>
  <c r="M1035" i="2"/>
  <c r="AP1035" i="2"/>
  <c r="Z1035" i="2"/>
  <c r="AP1043" i="2"/>
  <c r="Z1043" i="2"/>
  <c r="AP761" i="2"/>
  <c r="S761" i="2"/>
  <c r="AS774" i="2"/>
  <c r="AU780" i="2"/>
  <c r="AC790" i="2"/>
  <c r="AH793" i="2"/>
  <c r="AP831" i="2"/>
  <c r="AU834" i="2"/>
  <c r="AD835" i="2"/>
  <c r="AA838" i="2"/>
  <c r="S842" i="2"/>
  <c r="AL843" i="2"/>
  <c r="X850" i="2"/>
  <c r="AT850" i="2"/>
  <c r="AO857" i="2"/>
  <c r="AP870" i="2"/>
  <c r="AJ888" i="2"/>
  <c r="AB924" i="2"/>
  <c r="AQ831" i="2"/>
  <c r="R836" i="2"/>
  <c r="AH836" i="2"/>
  <c r="AA843" i="2"/>
  <c r="Z850" i="2"/>
  <c r="AB870" i="2"/>
  <c r="AM949" i="2"/>
  <c r="AD963" i="2"/>
  <c r="AO951" i="2"/>
  <c r="AP951" i="2"/>
  <c r="T951" i="2"/>
  <c r="AJ951" i="2"/>
  <c r="W954" i="2"/>
  <c r="AX953" i="2"/>
  <c r="AD985" i="2"/>
  <c r="M875" i="2"/>
  <c r="R875" i="2"/>
  <c r="AP875" i="2"/>
  <c r="AL891" i="2"/>
  <c r="V891" i="2"/>
  <c r="M907" i="2"/>
  <c r="AH907" i="2"/>
  <c r="Z907" i="2"/>
  <c r="M923" i="2"/>
  <c r="AI923" i="2"/>
  <c r="AP923" i="2"/>
  <c r="S923" i="2"/>
  <c r="AH923" i="2"/>
  <c r="M939" i="2"/>
  <c r="AT939" i="2"/>
  <c r="AQ954" i="2"/>
  <c r="M1007" i="2"/>
  <c r="T1007" i="2"/>
  <c r="M977" i="2"/>
  <c r="R977" i="2"/>
  <c r="AL977" i="2"/>
  <c r="AT977" i="2"/>
  <c r="M993" i="2"/>
  <c r="AL993" i="2"/>
  <c r="AT993" i="2"/>
  <c r="AF952" i="2"/>
  <c r="AA952" i="2"/>
  <c r="AM952" i="2"/>
  <c r="Y952" i="2"/>
  <c r="W952" i="2"/>
  <c r="U952" i="2"/>
  <c r="AS952" i="2"/>
  <c r="S952" i="2"/>
  <c r="AQ952" i="2"/>
  <c r="R952" i="2"/>
  <c r="R968" i="2"/>
  <c r="AS968" i="2"/>
  <c r="AA968" i="2"/>
  <c r="AK968" i="2"/>
  <c r="S968" i="2"/>
  <c r="AS984" i="2"/>
  <c r="Q984" i="2"/>
  <c r="AE984" i="2"/>
  <c r="W984" i="2"/>
  <c r="AQ984" i="2"/>
  <c r="M1000" i="2"/>
  <c r="AA1000" i="2"/>
  <c r="AV1015" i="2"/>
  <c r="Z1015" i="2"/>
  <c r="AU1030" i="2"/>
  <c r="AE1030" i="2"/>
  <c r="AQ1030" i="2"/>
  <c r="AA1030" i="2"/>
  <c r="S918" i="2"/>
  <c r="AU954" i="2"/>
  <c r="AI1014" i="2"/>
  <c r="AO926" i="2"/>
  <c r="AI926" i="2"/>
  <c r="AE926" i="2"/>
  <c r="AG954" i="2"/>
  <c r="AB969" i="2"/>
  <c r="T969" i="2"/>
  <c r="AR879" i="2"/>
  <c r="AP879" i="2"/>
  <c r="AF911" i="2"/>
  <c r="V911" i="2"/>
  <c r="AR943" i="2"/>
  <c r="AD943" i="2"/>
  <c r="AS962" i="2"/>
  <c r="AK962" i="2"/>
  <c r="U978" i="2"/>
  <c r="AG978" i="2"/>
  <c r="AC978" i="2"/>
  <c r="Q978" i="2"/>
  <c r="W990" i="2"/>
  <c r="AO990" i="2"/>
  <c r="AC990" i="2"/>
  <c r="Y990" i="2"/>
  <c r="AK1006" i="2"/>
  <c r="AO1006" i="2"/>
  <c r="U1013" i="2"/>
  <c r="V1013" i="2"/>
  <c r="AD956" i="2"/>
  <c r="AC956" i="2"/>
  <c r="S956" i="2"/>
  <c r="Y956" i="2"/>
  <c r="AM956" i="2"/>
  <c r="AT956" i="2"/>
  <c r="U956" i="2"/>
  <c r="AQ956" i="2"/>
  <c r="AW956" i="2"/>
  <c r="Q956" i="2"/>
  <c r="AE956" i="2"/>
  <c r="M972" i="2"/>
  <c r="AS972" i="2"/>
  <c r="AI972" i="2"/>
  <c r="AG972" i="2"/>
  <c r="AE972" i="2"/>
  <c r="U972" i="2"/>
  <c r="AA972" i="2"/>
  <c r="Y972" i="2"/>
  <c r="W972" i="2"/>
  <c r="M988" i="2"/>
  <c r="AT988" i="2"/>
  <c r="AC988" i="2"/>
  <c r="AI988" i="2"/>
  <c r="AS988" i="2"/>
  <c r="Y988" i="2"/>
  <c r="S988" i="2"/>
  <c r="W1004" i="2"/>
  <c r="AU1004" i="2"/>
  <c r="AS1004" i="2"/>
  <c r="AI1004" i="2"/>
  <c r="AE1004" i="2"/>
  <c r="AQ1004" i="2"/>
  <c r="AP1019" i="2"/>
  <c r="Z761" i="2"/>
  <c r="AG751" i="2"/>
  <c r="AC739" i="2"/>
  <c r="Y735" i="2"/>
  <c r="AA733" i="2"/>
  <c r="U731" i="2"/>
  <c r="AA762" i="2"/>
  <c r="AD761" i="2"/>
  <c r="AH753" i="2"/>
  <c r="AH745" i="2"/>
  <c r="R745" i="2"/>
  <c r="AH781" i="2"/>
  <c r="AL785" i="2"/>
  <c r="V793" i="2"/>
  <c r="AP793" i="2"/>
  <c r="AO798" i="2"/>
  <c r="AE804" i="2"/>
  <c r="AP809" i="2"/>
  <c r="AO818" i="2"/>
  <c r="AH821" i="2"/>
  <c r="AG829" i="2"/>
  <c r="R818" i="2"/>
  <c r="Z831" i="2"/>
  <c r="R835" i="2"/>
  <c r="AP835" i="2"/>
  <c r="U836" i="2"/>
  <c r="AK836" i="2"/>
  <c r="AI842" i="2"/>
  <c r="Z843" i="2"/>
  <c r="AT843" i="2"/>
  <c r="AI850" i="2"/>
  <c r="AB854" i="2"/>
  <c r="T857" i="2"/>
  <c r="Z870" i="2"/>
  <c r="T888" i="2"/>
  <c r="S835" i="2"/>
  <c r="Z836" i="2"/>
  <c r="AP836" i="2"/>
  <c r="AI854" i="2"/>
  <c r="Z1001" i="2"/>
  <c r="AA950" i="2"/>
  <c r="V950" i="2"/>
  <c r="AO954" i="2"/>
  <c r="AJ961" i="2"/>
  <c r="T961" i="2"/>
  <c r="M1009" i="2"/>
  <c r="AT1009" i="2"/>
  <c r="AH1009" i="2"/>
  <c r="AD1009" i="2"/>
  <c r="U966" i="2"/>
  <c r="S966" i="2"/>
  <c r="AW966" i="2"/>
  <c r="AG966" i="2"/>
  <c r="AM982" i="2"/>
  <c r="AW982" i="2"/>
  <c r="V1023" i="2"/>
  <c r="AL1023" i="2"/>
  <c r="Q1024" i="2"/>
  <c r="AG1024" i="2"/>
  <c r="AW1024" i="2"/>
  <c r="AO1028" i="2"/>
  <c r="Q1040" i="2"/>
  <c r="AG1040" i="2"/>
  <c r="AW1040" i="2"/>
  <c r="AM1054" i="2"/>
  <c r="U1060" i="2"/>
  <c r="AS1091" i="2"/>
  <c r="AC1140" i="2"/>
  <c r="S1207" i="2"/>
  <c r="T714" i="2"/>
  <c r="AO714" i="2"/>
  <c r="Z1023" i="2"/>
  <c r="AP1023" i="2"/>
  <c r="U1024" i="2"/>
  <c r="AK1024" i="2"/>
  <c r="U1040" i="2"/>
  <c r="AK1040" i="2"/>
  <c r="AU1054" i="2"/>
  <c r="AH1077" i="2"/>
  <c r="Z1028" i="2"/>
  <c r="Z1040" i="2"/>
  <c r="AD1207" i="2"/>
  <c r="Q714" i="2"/>
  <c r="W764" i="2"/>
  <c r="AQ733" i="2"/>
  <c r="W733" i="2"/>
  <c r="S721" i="2"/>
  <c r="AH777" i="2"/>
  <c r="Q988" i="2"/>
  <c r="AG988" i="2"/>
  <c r="AW988" i="2"/>
  <c r="Y1013" i="2"/>
  <c r="V972" i="2"/>
  <c r="AA1038" i="2"/>
  <c r="AQ1038" i="2"/>
  <c r="AA1046" i="2"/>
  <c r="S1054" i="2"/>
  <c r="AI1054" i="2"/>
  <c r="Q1068" i="2"/>
  <c r="AW1068" i="2"/>
  <c r="AA1031" i="2"/>
  <c r="R1036" i="2"/>
  <c r="AP1036" i="2"/>
  <c r="Z1052" i="2"/>
  <c r="AP1052" i="2"/>
  <c r="AK1078" i="2"/>
  <c r="AM1020" i="2"/>
  <c r="AM1078" i="2"/>
  <c r="AK1083" i="2"/>
  <c r="S1085" i="2"/>
  <c r="AW1091" i="2"/>
  <c r="AT1101" i="2"/>
  <c r="V1083" i="2"/>
  <c r="AA1091" i="2"/>
  <c r="AQ1104" i="2"/>
  <c r="AW1111" i="2"/>
  <c r="AS1148" i="2"/>
  <c r="U1164" i="2"/>
  <c r="AM733" i="2"/>
  <c r="S733" i="2"/>
  <c r="Y782" i="2"/>
  <c r="Y798" i="2"/>
  <c r="U814" i="2"/>
  <c r="AM824" i="2"/>
  <c r="AH782" i="2"/>
  <c r="AJ852" i="2"/>
  <c r="AQ1046" i="2"/>
  <c r="AA1054" i="2"/>
  <c r="AQ1054" i="2"/>
  <c r="AI1070" i="2"/>
  <c r="R1020" i="2"/>
  <c r="AA1023" i="2"/>
  <c r="AQ1031" i="2"/>
  <c r="AD1036" i="2"/>
  <c r="R1052" i="2"/>
  <c r="AH1052" i="2"/>
  <c r="AI1036" i="2"/>
  <c r="AI1052" i="2"/>
  <c r="Q1078" i="2"/>
  <c r="AW764" i="2"/>
  <c r="AK758" i="2"/>
  <c r="AA839" i="2"/>
  <c r="BG37" i="2"/>
  <c r="BF37" i="2"/>
  <c r="CJ37" i="2"/>
  <c r="BH37" i="2"/>
  <c r="CF37" i="2"/>
  <c r="BS37" i="2"/>
  <c r="BM37" i="2"/>
  <c r="CC37" i="2"/>
  <c r="BR37" i="2"/>
  <c r="CH37" i="2"/>
  <c r="CQ37" i="2"/>
  <c r="CB37" i="2"/>
  <c r="CM37" i="2"/>
  <c r="BT37" i="2"/>
  <c r="CP37" i="2"/>
  <c r="BQ37" i="2"/>
  <c r="CG37" i="2"/>
  <c r="BV37" i="2"/>
  <c r="CL37" i="2"/>
  <c r="CE37" i="2"/>
  <c r="CA37" i="2"/>
  <c r="BX37" i="2"/>
  <c r="BW37" i="2"/>
  <c r="BL37" i="2"/>
  <c r="BU37" i="2"/>
  <c r="CK37" i="2"/>
  <c r="BJ37" i="2"/>
  <c r="BZ37" i="2"/>
  <c r="BK37" i="2"/>
  <c r="BO37" i="2"/>
  <c r="BP37" i="2"/>
  <c r="CN37" i="2"/>
  <c r="CI37" i="2"/>
  <c r="BI37" i="2"/>
  <c r="BY37" i="2"/>
  <c r="CO37" i="2"/>
  <c r="BN37" i="2"/>
  <c r="CD37" i="2"/>
  <c r="S1070" i="2"/>
  <c r="W1035" i="2"/>
  <c r="AL1040" i="2"/>
  <c r="AQ1028" i="2"/>
  <c r="AG747" i="2"/>
  <c r="AQ789" i="2"/>
  <c r="S813" i="2"/>
  <c r="W1006" i="2"/>
  <c r="AD1013" i="2"/>
  <c r="R1000" i="2"/>
  <c r="AJ1015" i="2"/>
  <c r="AU1039" i="2"/>
  <c r="AT1040" i="2"/>
  <c r="AT1083" i="2"/>
  <c r="AD1159" i="2"/>
  <c r="AA1178" i="2"/>
  <c r="AU1193" i="2"/>
  <c r="C1361" i="2"/>
  <c r="Q747" i="2"/>
  <c r="Q743" i="2"/>
  <c r="AN761" i="2"/>
  <c r="Y766" i="2"/>
  <c r="AO766" i="2"/>
  <c r="U778" i="2"/>
  <c r="AS778" i="2"/>
  <c r="AP781" i="2"/>
  <c r="AP789" i="2"/>
  <c r="U794" i="2"/>
  <c r="AK794" i="2"/>
  <c r="R797" i="2"/>
  <c r="U810" i="2"/>
  <c r="AS810" i="2"/>
  <c r="AP813" i="2"/>
  <c r="AH825" i="2"/>
  <c r="AT778" i="2"/>
  <c r="AI781" i="2"/>
  <c r="S789" i="2"/>
  <c r="S797" i="2"/>
  <c r="V798" i="2"/>
  <c r="W782" i="2"/>
  <c r="AU850" i="2"/>
  <c r="AJ894" i="2"/>
  <c r="AJ910" i="2"/>
  <c r="W832" i="2"/>
  <c r="AO849" i="2"/>
  <c r="AT894" i="2"/>
  <c r="W885" i="2"/>
  <c r="AQ889" i="2"/>
  <c r="W937" i="2"/>
  <c r="AM937" i="2"/>
  <c r="AP919" i="2"/>
  <c r="W926" i="2"/>
  <c r="AM926" i="2"/>
  <c r="AH935" i="2"/>
  <c r="AL981" i="2"/>
  <c r="AP1001" i="2"/>
  <c r="AT1005" i="2"/>
  <c r="AD959" i="2"/>
  <c r="Y970" i="2"/>
  <c r="AK978" i="2"/>
  <c r="AU1000" i="2"/>
  <c r="AG1006" i="2"/>
  <c r="AW1013" i="2"/>
  <c r="AD981" i="2"/>
  <c r="AI978" i="2"/>
  <c r="AO984" i="2"/>
  <c r="AO1013" i="2"/>
  <c r="AB1015" i="2"/>
  <c r="AL952" i="2"/>
  <c r="AL972" i="2"/>
  <c r="AC778" i="2"/>
  <c r="AW778" i="2"/>
  <c r="R781" i="2"/>
  <c r="R789" i="2"/>
  <c r="Y794" i="2"/>
  <c r="AO794" i="2"/>
  <c r="Z797" i="2"/>
  <c r="Y810" i="2"/>
  <c r="AQ781" i="2"/>
  <c r="AA789" i="2"/>
  <c r="AI797" i="2"/>
  <c r="AP810" i="2"/>
  <c r="AL888" i="2"/>
  <c r="AI832" i="2"/>
  <c r="AU849" i="2"/>
  <c r="S889" i="2"/>
  <c r="AA937" i="2"/>
  <c r="AQ937" i="2"/>
  <c r="AA926" i="2"/>
  <c r="AQ926" i="2"/>
  <c r="AU968" i="2"/>
  <c r="AG970" i="2"/>
  <c r="V977" i="2"/>
  <c r="Z981" i="2"/>
  <c r="AW1006" i="2"/>
  <c r="S970" i="2"/>
  <c r="AG1013" i="2"/>
  <c r="AC1000" i="2"/>
  <c r="T1013" i="2"/>
  <c r="AT1013" i="2"/>
  <c r="Z988" i="2"/>
  <c r="AT758" i="2"/>
  <c r="Y758" i="2"/>
  <c r="AU729" i="2"/>
  <c r="W729" i="2"/>
  <c r="AC758" i="2"/>
  <c r="AE758" i="2"/>
  <c r="AC782" i="2"/>
  <c r="AS782" i="2"/>
  <c r="AC798" i="2"/>
  <c r="AS798" i="2"/>
  <c r="AH801" i="2"/>
  <c r="Y814" i="2"/>
  <c r="AP798" i="2"/>
  <c r="AD814" i="2"/>
  <c r="AI954" i="2"/>
  <c r="AD988" i="2"/>
  <c r="AP1028" i="2"/>
  <c r="Y1130" i="2"/>
  <c r="AB1130" i="2"/>
  <c r="V1165" i="2"/>
  <c r="AO758" i="2"/>
  <c r="S758" i="2"/>
  <c r="AK755" i="2"/>
  <c r="AM729" i="2"/>
  <c r="S729" i="2"/>
  <c r="AS758" i="2"/>
  <c r="W758" i="2"/>
  <c r="AL729" i="2"/>
  <c r="AU758" i="2"/>
  <c r="Z758" i="2"/>
  <c r="Q782" i="2"/>
  <c r="AG782" i="2"/>
  <c r="AW782" i="2"/>
  <c r="Q798" i="2"/>
  <c r="AG798" i="2"/>
  <c r="AW798" i="2"/>
  <c r="AK814" i="2"/>
  <c r="S773" i="2"/>
  <c r="AT814" i="2"/>
  <c r="AQ844" i="2"/>
  <c r="AF894" i="2"/>
  <c r="AE1066" i="2"/>
  <c r="Q1091" i="2"/>
  <c r="AC1115" i="2"/>
  <c r="AW1130" i="2"/>
  <c r="S1139" i="2"/>
  <c r="AU1176" i="2"/>
  <c r="AS1182" i="2"/>
  <c r="AH767" i="2"/>
  <c r="AG759" i="2"/>
  <c r="AI758" i="2"/>
  <c r="U755" i="2"/>
  <c r="AI729" i="2"/>
  <c r="Q767" i="2"/>
  <c r="AM758" i="2"/>
  <c r="R758" i="2"/>
  <c r="AH729" i="2"/>
  <c r="AP758" i="2"/>
  <c r="U758" i="2"/>
  <c r="U782" i="2"/>
  <c r="AK782" i="2"/>
  <c r="U798" i="2"/>
  <c r="AK798" i="2"/>
  <c r="AO814" i="2"/>
  <c r="AI773" i="2"/>
  <c r="R782" i="2"/>
  <c r="W798" i="2"/>
  <c r="AL878" i="2"/>
  <c r="S954" i="2"/>
  <c r="AS1115" i="2"/>
  <c r="V988" i="2"/>
  <c r="AL988" i="2"/>
  <c r="AI1040" i="2"/>
  <c r="AD1139" i="2"/>
  <c r="R1155" i="2"/>
  <c r="AM1155" i="2"/>
  <c r="V1181" i="2"/>
  <c r="AU1181" i="2"/>
  <c r="W1182" i="2"/>
  <c r="AA1083" i="2"/>
  <c r="AK1178" i="2"/>
  <c r="X897" i="2"/>
  <c r="R988" i="2"/>
  <c r="AH988" i="2"/>
  <c r="S1040" i="2"/>
  <c r="W1085" i="2"/>
  <c r="AH1001" i="2"/>
  <c r="AL1068" i="2"/>
  <c r="W1036" i="2"/>
  <c r="AQ1036" i="2"/>
  <c r="AA1052" i="2"/>
  <c r="AQ1052" i="2"/>
  <c r="AI1064" i="2"/>
  <c r="AI1068" i="2"/>
  <c r="AO1095" i="2"/>
  <c r="AE1094" i="2"/>
  <c r="AP1110" i="2"/>
  <c r="AH1122" i="2"/>
  <c r="Y1140" i="2"/>
  <c r="AG1161" i="2"/>
  <c r="Y1178" i="2"/>
  <c r="AU1165" i="2"/>
  <c r="R1178" i="2"/>
  <c r="AN1192" i="2"/>
  <c r="AT741" i="2"/>
  <c r="Z741" i="2"/>
  <c r="AC814" i="2"/>
  <c r="AS814" i="2"/>
  <c r="Z817" i="2"/>
  <c r="V782" i="2"/>
  <c r="AL782" i="2"/>
  <c r="Z798" i="2"/>
  <c r="R814" i="2"/>
  <c r="AH814" i="2"/>
  <c r="AM798" i="2"/>
  <c r="AE1052" i="2"/>
  <c r="AU1052" i="2"/>
  <c r="AQ1110" i="2"/>
  <c r="AE1122" i="2"/>
  <c r="AP741" i="2"/>
  <c r="R741" i="2"/>
  <c r="Q814" i="2"/>
  <c r="AG814" i="2"/>
  <c r="AW814" i="2"/>
  <c r="AP817" i="2"/>
  <c r="Z782" i="2"/>
  <c r="AP782" i="2"/>
  <c r="AH798" i="2"/>
  <c r="V814" i="2"/>
  <c r="AL814" i="2"/>
  <c r="W825" i="2"/>
  <c r="AE836" i="2"/>
  <c r="AD782" i="2"/>
  <c r="AT782" i="2"/>
  <c r="R798" i="2"/>
  <c r="AL798" i="2"/>
  <c r="Z814" i="2"/>
  <c r="AP814" i="2"/>
  <c r="S798" i="2"/>
  <c r="W814" i="2"/>
  <c r="R985" i="2"/>
  <c r="AP988" i="2"/>
  <c r="AM1035" i="2"/>
  <c r="S1036" i="2"/>
  <c r="AM1036" i="2"/>
  <c r="W1052" i="2"/>
  <c r="AM1052" i="2"/>
  <c r="W1064" i="2"/>
  <c r="AO1101" i="2"/>
  <c r="AD1110" i="2"/>
  <c r="AD1122" i="2"/>
  <c r="AA1142" i="2"/>
  <c r="AI1165" i="2"/>
  <c r="AN1197" i="2"/>
  <c r="AP733" i="2"/>
  <c r="AE776" i="2"/>
  <c r="W788" i="2"/>
  <c r="AG810" i="2"/>
  <c r="AW810" i="2"/>
  <c r="AM820" i="2"/>
  <c r="Z825" i="2"/>
  <c r="AP825" i="2"/>
  <c r="AD778" i="2"/>
  <c r="AP794" i="2"/>
  <c r="AQ810" i="2"/>
  <c r="AU836" i="2"/>
  <c r="AE854" i="2"/>
  <c r="AI918" i="2"/>
  <c r="AT1001" i="2"/>
  <c r="R1005" i="2"/>
  <c r="Y968" i="2"/>
  <c r="AI970" i="2"/>
  <c r="AO978" i="2"/>
  <c r="AI984" i="2"/>
  <c r="AI1000" i="2"/>
  <c r="S978" i="2"/>
  <c r="AC984" i="2"/>
  <c r="AW984" i="2"/>
  <c r="AS1000" i="2"/>
  <c r="R1015" i="2"/>
  <c r="AP1015" i="2"/>
  <c r="V984" i="2"/>
  <c r="AH1000" i="2"/>
  <c r="AM1085" i="2"/>
  <c r="AD1094" i="2"/>
  <c r="AP1091" i="2"/>
  <c r="AI1138" i="2"/>
  <c r="AJ1197" i="2"/>
  <c r="AV763" i="2"/>
  <c r="T751" i="2"/>
  <c r="Z733" i="2"/>
  <c r="W804" i="2"/>
  <c r="AK810" i="2"/>
  <c r="AU820" i="2"/>
  <c r="AD825" i="2"/>
  <c r="AT825" i="2"/>
  <c r="AL778" i="2"/>
  <c r="AA836" i="2"/>
  <c r="AU854" i="2"/>
  <c r="AM918" i="2"/>
  <c r="AU950" i="2"/>
  <c r="V953" i="2"/>
  <c r="AH1005" i="2"/>
  <c r="AG952" i="2"/>
  <c r="AG968" i="2"/>
  <c r="AQ970" i="2"/>
  <c r="AL1015" i="2"/>
  <c r="AE978" i="2"/>
  <c r="AG984" i="2"/>
  <c r="Q1000" i="2"/>
  <c r="AW1000" i="2"/>
  <c r="W1015" i="2"/>
  <c r="AH952" i="2"/>
  <c r="AL1000" i="2"/>
  <c r="S1015" i="2"/>
  <c r="AV720" i="2"/>
  <c r="AE820" i="2"/>
  <c r="V825" i="2"/>
  <c r="V778" i="2"/>
  <c r="AI778" i="2"/>
  <c r="AQ836" i="2"/>
  <c r="Z854" i="2"/>
  <c r="W918" i="2"/>
  <c r="AD1001" i="2"/>
  <c r="AA970" i="2"/>
  <c r="Y978" i="2"/>
  <c r="S984" i="2"/>
  <c r="S1000" i="2"/>
  <c r="Y984" i="2"/>
  <c r="AG1000" i="2"/>
  <c r="AH1015" i="2"/>
  <c r="V1000" i="2"/>
  <c r="AR1015" i="2"/>
  <c r="AI1085" i="2"/>
  <c r="AD1104" i="2"/>
  <c r="AD1163" i="2"/>
  <c r="AA1194" i="2"/>
  <c r="U1199" i="2"/>
  <c r="AI1194" i="2"/>
  <c r="V1208" i="2"/>
  <c r="AC37" i="2"/>
  <c r="AC1295" i="2" s="1"/>
  <c r="Z683" i="2"/>
  <c r="J683" i="2" s="1"/>
  <c r="L696" i="2"/>
  <c r="Z696" i="2" s="1"/>
  <c r="I696" i="2" s="1"/>
  <c r="L709" i="2"/>
  <c r="L1217" i="2" s="1"/>
  <c r="Z1217" i="2" s="1"/>
  <c r="C1224" i="2" s="1"/>
  <c r="X737" i="2"/>
  <c r="V737" i="2"/>
  <c r="AL737" i="2"/>
  <c r="AC767" i="2"/>
  <c r="M805" i="2"/>
  <c r="AA805" i="2"/>
  <c r="AP805" i="2"/>
  <c r="S805" i="2"/>
  <c r="AH805" i="2"/>
  <c r="AD847" i="2"/>
  <c r="W847" i="2"/>
  <c r="AS847" i="2"/>
  <c r="R847" i="2"/>
  <c r="AP1027" i="2"/>
  <c r="Z1027" i="2"/>
  <c r="AH1047" i="2"/>
  <c r="AU1047" i="2"/>
  <c r="R1047" i="2"/>
  <c r="AA1047" i="2"/>
  <c r="AS1072" i="2"/>
  <c r="Y1072" i="2"/>
  <c r="AM1072" i="2"/>
  <c r="AK1072" i="2"/>
  <c r="U1072" i="2"/>
  <c r="AG1072" i="2"/>
  <c r="AC1072" i="2"/>
  <c r="Q1072" i="2"/>
  <c r="M1146" i="2"/>
  <c r="AE1146" i="2"/>
  <c r="AS1136" i="2"/>
  <c r="Z1136" i="2"/>
  <c r="M726" i="2"/>
  <c r="AN726" i="2"/>
  <c r="AR726" i="2"/>
  <c r="AV726" i="2"/>
  <c r="AE726" i="2"/>
  <c r="AU726" i="2"/>
  <c r="AF726" i="2"/>
  <c r="U726" i="2"/>
  <c r="AK726" i="2"/>
  <c r="S726" i="2"/>
  <c r="AI726" i="2"/>
  <c r="T726" i="2"/>
  <c r="AJ726" i="2"/>
  <c r="Y726" i="2"/>
  <c r="AO726" i="2"/>
  <c r="Z767" i="2"/>
  <c r="AT726" i="2"/>
  <c r="AD726" i="2"/>
  <c r="AW767" i="2"/>
  <c r="AW726" i="2"/>
  <c r="Q726" i="2"/>
  <c r="AF734" i="2"/>
  <c r="AK767" i="2"/>
  <c r="X729" i="2"/>
  <c r="AR729" i="2"/>
  <c r="Z729" i="2"/>
  <c r="AP729" i="2"/>
  <c r="AV729" i="2"/>
  <c r="AD729" i="2"/>
  <c r="AT729" i="2"/>
  <c r="W726" i="2"/>
  <c r="W816" i="2"/>
  <c r="M792" i="2"/>
  <c r="AE792" i="2"/>
  <c r="W792" i="2"/>
  <c r="AM812" i="2"/>
  <c r="AE812" i="2"/>
  <c r="AU826" i="2"/>
  <c r="Y826" i="2"/>
  <c r="M785" i="2"/>
  <c r="AQ785" i="2"/>
  <c r="AH785" i="2"/>
  <c r="S785" i="2"/>
  <c r="Z785" i="2"/>
  <c r="AH847" i="2"/>
  <c r="AT971" i="2"/>
  <c r="V971" i="2"/>
  <c r="AF999" i="2"/>
  <c r="AB999" i="2"/>
  <c r="AR999" i="2"/>
  <c r="AH975" i="2"/>
  <c r="AB975" i="2"/>
  <c r="T975" i="2"/>
  <c r="M1173" i="2"/>
  <c r="AL1173" i="2"/>
  <c r="AM737" i="2"/>
  <c r="Z726" i="2"/>
  <c r="AO767" i="2"/>
  <c r="AS726" i="2"/>
  <c r="AF733" i="2"/>
  <c r="AB733" i="2"/>
  <c r="AD733" i="2"/>
  <c r="AH733" i="2"/>
  <c r="AQ726" i="2"/>
  <c r="AU812" i="2"/>
  <c r="M796" i="2"/>
  <c r="AU796" i="2"/>
  <c r="AM796" i="2"/>
  <c r="S821" i="2"/>
  <c r="Z821" i="2"/>
  <c r="R821" i="2"/>
  <c r="AK770" i="2"/>
  <c r="Q770" i="2"/>
  <c r="AT770" i="2"/>
  <c r="AG770" i="2"/>
  <c r="V770" i="2"/>
  <c r="AQ786" i="2"/>
  <c r="AL786" i="2"/>
  <c r="AK786" i="2"/>
  <c r="Q786" i="2"/>
  <c r="AD786" i="2"/>
  <c r="AG786" i="2"/>
  <c r="AT802" i="2"/>
  <c r="AO802" i="2"/>
  <c r="Y802" i="2"/>
  <c r="Z802" i="2"/>
  <c r="AK802" i="2"/>
  <c r="U802" i="2"/>
  <c r="AQ818" i="2"/>
  <c r="AA818" i="2"/>
  <c r="AH818" i="2"/>
  <c r="AW818" i="2"/>
  <c r="AG818" i="2"/>
  <c r="Q818" i="2"/>
  <c r="Z818" i="2"/>
  <c r="AS818" i="2"/>
  <c r="AC818" i="2"/>
  <c r="AI876" i="2"/>
  <c r="AF876" i="2"/>
  <c r="AC882" i="2"/>
  <c r="AD882" i="2"/>
  <c r="V882" i="2"/>
  <c r="AS898" i="2"/>
  <c r="V898" i="2"/>
  <c r="AI913" i="2"/>
  <c r="AW913" i="2"/>
  <c r="Q913" i="2"/>
  <c r="AA913" i="2"/>
  <c r="AU913" i="2"/>
  <c r="AS913" i="2"/>
  <c r="AM913" i="2"/>
  <c r="AK913" i="2"/>
  <c r="AE913" i="2"/>
  <c r="AC913" i="2"/>
  <c r="M816" i="2"/>
  <c r="AM816" i="2"/>
  <c r="AE816" i="2"/>
  <c r="AS856" i="2"/>
  <c r="AD856" i="2"/>
  <c r="AN856" i="2"/>
  <c r="AE861" i="2"/>
  <c r="X861" i="2"/>
  <c r="AS861" i="2"/>
  <c r="AA872" i="2"/>
  <c r="AD872" i="2"/>
  <c r="T872" i="2"/>
  <c r="AR872" i="2"/>
  <c r="AD1055" i="2"/>
  <c r="M1067" i="2"/>
  <c r="Z1067" i="2"/>
  <c r="AM1067" i="2"/>
  <c r="W1067" i="2"/>
  <c r="AP1067" i="2"/>
  <c r="AC1152" i="2"/>
  <c r="W1152" i="2"/>
  <c r="AE734" i="2"/>
  <c r="W734" i="2"/>
  <c r="Y734" i="2"/>
  <c r="R767" i="2"/>
  <c r="AP726" i="2"/>
  <c r="AP767" i="2"/>
  <c r="AW747" i="2"/>
  <c r="W737" i="2"/>
  <c r="AP734" i="2"/>
  <c r="AQ729" i="2"/>
  <c r="AA729" i="2"/>
  <c r="AL726" i="2"/>
  <c r="V726" i="2"/>
  <c r="AG767" i="2"/>
  <c r="AO734" i="2"/>
  <c r="R733" i="2"/>
  <c r="R729" i="2"/>
  <c r="AG726" i="2"/>
  <c r="AB726" i="2"/>
  <c r="AM726" i="2"/>
  <c r="R785" i="2"/>
  <c r="R805" i="2"/>
  <c r="M776" i="2"/>
  <c r="AU776" i="2"/>
  <c r="AM776" i="2"/>
  <c r="M784" i="2"/>
  <c r="AM784" i="2"/>
  <c r="M788" i="2"/>
  <c r="AU788" i="2"/>
  <c r="AM788" i="2"/>
  <c r="M804" i="2"/>
  <c r="AU804" i="2"/>
  <c r="AM804" i="2"/>
  <c r="AH813" i="2"/>
  <c r="AI813" i="2"/>
  <c r="Z813" i="2"/>
  <c r="AO762" i="2"/>
  <c r="Q762" i="2"/>
  <c r="AL762" i="2"/>
  <c r="S762" i="2"/>
  <c r="AT762" i="2"/>
  <c r="AM774" i="2"/>
  <c r="AD774" i="2"/>
  <c r="AO774" i="2"/>
  <c r="Y774" i="2"/>
  <c r="AK774" i="2"/>
  <c r="U774" i="2"/>
  <c r="S790" i="2"/>
  <c r="AD790" i="2"/>
  <c r="AS790" i="2"/>
  <c r="Y790" i="2"/>
  <c r="AO790" i="2"/>
  <c r="U790" i="2"/>
  <c r="AC856" i="2"/>
  <c r="AI861" i="2"/>
  <c r="AB872" i="2"/>
  <c r="M834" i="2"/>
  <c r="AQ834" i="2"/>
  <c r="AA834" i="2"/>
  <c r="AM834" i="2"/>
  <c r="W834" i="2"/>
  <c r="AL872" i="2"/>
  <c r="AC914" i="2"/>
  <c r="AP914" i="2"/>
  <c r="AC860" i="2"/>
  <c r="Q860" i="2"/>
  <c r="AR860" i="2"/>
  <c r="AJ975" i="2"/>
  <c r="R831" i="2"/>
  <c r="AH831" i="2"/>
  <c r="AA842" i="2"/>
  <c r="AQ842" i="2"/>
  <c r="AE857" i="2"/>
  <c r="AB912" i="2"/>
  <c r="R844" i="2"/>
  <c r="AJ878" i="2"/>
  <c r="AA828" i="2"/>
  <c r="AT878" i="2"/>
  <c r="AL910" i="2"/>
  <c r="AH881" i="2"/>
  <c r="AA881" i="2"/>
  <c r="AQ881" i="2"/>
  <c r="AK893" i="2"/>
  <c r="AS893" i="2"/>
  <c r="W893" i="2"/>
  <c r="AM929" i="2"/>
  <c r="AI929" i="2"/>
  <c r="AU941" i="2"/>
  <c r="W941" i="2"/>
  <c r="AI941" i="2"/>
  <c r="M851" i="2"/>
  <c r="AU851" i="2"/>
  <c r="Z851" i="2"/>
  <c r="AK851" i="2"/>
  <c r="AH867" i="2"/>
  <c r="AK867" i="2"/>
  <c r="R867" i="2"/>
  <c r="U867" i="2"/>
  <c r="V883" i="2"/>
  <c r="U883" i="2"/>
  <c r="AI883" i="2"/>
  <c r="AK883" i="2"/>
  <c r="S883" i="2"/>
  <c r="AC899" i="2"/>
  <c r="AI899" i="2"/>
  <c r="AD899" i="2"/>
  <c r="AS899" i="2"/>
  <c r="S899" i="2"/>
  <c r="AE915" i="2"/>
  <c r="AD915" i="2"/>
  <c r="U915" i="2"/>
  <c r="AG915" i="2"/>
  <c r="M931" i="2"/>
  <c r="AP931" i="2"/>
  <c r="Z931" i="2"/>
  <c r="U931" i="2"/>
  <c r="AG931" i="2"/>
  <c r="AM931" i="2"/>
  <c r="W931" i="2"/>
  <c r="AH931" i="2"/>
  <c r="R931" i="2"/>
  <c r="AS931" i="2"/>
  <c r="AW947" i="2"/>
  <c r="AG947" i="2"/>
  <c r="Q947" i="2"/>
  <c r="AQ947" i="2"/>
  <c r="AP947" i="2"/>
  <c r="AO947" i="2"/>
  <c r="Y947" i="2"/>
  <c r="V831" i="2"/>
  <c r="AL831" i="2"/>
  <c r="AE842" i="2"/>
  <c r="AU842" i="2"/>
  <c r="AJ857" i="2"/>
  <c r="AJ912" i="2"/>
  <c r="AA831" i="2"/>
  <c r="V844" i="2"/>
  <c r="AQ865" i="2"/>
  <c r="AA865" i="2"/>
  <c r="AU949" i="2"/>
  <c r="W949" i="2"/>
  <c r="AI949" i="2"/>
  <c r="AO960" i="2"/>
  <c r="AS960" i="2"/>
  <c r="AI960" i="2"/>
  <c r="AS976" i="2"/>
  <c r="AI976" i="2"/>
  <c r="AU925" i="2"/>
  <c r="AI925" i="2"/>
  <c r="AI933" i="2"/>
  <c r="S933" i="2"/>
  <c r="AH945" i="2"/>
  <c r="AI945" i="2"/>
  <c r="S945" i="2"/>
  <c r="AQ945" i="2"/>
  <c r="AA945" i="2"/>
  <c r="AA930" i="2"/>
  <c r="R930" i="2"/>
  <c r="W974" i="2"/>
  <c r="Y974" i="2"/>
  <c r="AW974" i="2"/>
  <c r="AG974" i="2"/>
  <c r="AC998" i="2"/>
  <c r="W998" i="2"/>
  <c r="AO998" i="2"/>
  <c r="AG998" i="2"/>
  <c r="Y998" i="2"/>
  <c r="AK998" i="2"/>
  <c r="U998" i="2"/>
  <c r="M1010" i="2"/>
  <c r="AQ1010" i="2"/>
  <c r="AA1010" i="2"/>
  <c r="AM1010" i="2"/>
  <c r="W1010" i="2"/>
  <c r="AO1010" i="2"/>
  <c r="AE1010" i="2"/>
  <c r="AC1010" i="2"/>
  <c r="S1010" i="2"/>
  <c r="Y1010" i="2"/>
  <c r="AW1010" i="2"/>
  <c r="AU1010" i="2"/>
  <c r="AK1010" i="2"/>
  <c r="AG1010" i="2"/>
  <c r="R942" i="2"/>
  <c r="AH942" i="2"/>
  <c r="R950" i="2"/>
  <c r="AI950" i="2"/>
  <c r="AR953" i="2"/>
  <c r="AD875" i="2"/>
  <c r="AT875" i="2"/>
  <c r="V907" i="2"/>
  <c r="AL907" i="2"/>
  <c r="R923" i="2"/>
  <c r="AL923" i="2"/>
  <c r="R939" i="2"/>
  <c r="AL939" i="2"/>
  <c r="S942" i="2"/>
  <c r="AQ942" i="2"/>
  <c r="AD953" i="2"/>
  <c r="T959" i="2"/>
  <c r="U982" i="2"/>
  <c r="R993" i="2"/>
  <c r="AU923" i="2"/>
  <c r="AU939" i="2"/>
  <c r="AP981" i="2"/>
  <c r="AT985" i="2"/>
  <c r="Q990" i="2"/>
  <c r="AH985" i="2"/>
  <c r="M1014" i="2"/>
  <c r="AS1014" i="2"/>
  <c r="X1014" i="2"/>
  <c r="M978" i="2"/>
  <c r="AQ978" i="2"/>
  <c r="AA978" i="2"/>
  <c r="AM978" i="2"/>
  <c r="W978" i="2"/>
  <c r="AP964" i="2"/>
  <c r="Z964" i="2"/>
  <c r="M980" i="2"/>
  <c r="AL980" i="2"/>
  <c r="AK980" i="2"/>
  <c r="V980" i="2"/>
  <c r="U980" i="2"/>
  <c r="M996" i="2"/>
  <c r="AL996" i="2"/>
  <c r="AU996" i="2"/>
  <c r="V996" i="2"/>
  <c r="AE996" i="2"/>
  <c r="AH1012" i="2"/>
  <c r="AK1012" i="2"/>
  <c r="U1012" i="2"/>
  <c r="AE1012" i="2"/>
  <c r="V1012" i="2"/>
  <c r="AW1012" i="2"/>
  <c r="AG1012" i="2"/>
  <c r="Q1012" i="2"/>
  <c r="AU1018" i="2"/>
  <c r="M1070" i="2"/>
  <c r="AU1070" i="2"/>
  <c r="AE1070" i="2"/>
  <c r="AQ1070" i="2"/>
  <c r="AA1070" i="2"/>
  <c r="M1019" i="2"/>
  <c r="Z1019" i="2"/>
  <c r="AM1019" i="2"/>
  <c r="AP1059" i="2"/>
  <c r="Z1059" i="2"/>
  <c r="AK1044" i="2"/>
  <c r="Z1044" i="2"/>
  <c r="M1060" i="2"/>
  <c r="AD1060" i="2"/>
  <c r="AS1060" i="2"/>
  <c r="AC1060" i="2"/>
  <c r="AQ1060" i="2"/>
  <c r="V1060" i="2"/>
  <c r="AO1060" i="2"/>
  <c r="Y1060" i="2"/>
  <c r="Y1118" i="2"/>
  <c r="AT1118" i="2"/>
  <c r="AW1107" i="2"/>
  <c r="AC1107" i="2"/>
  <c r="AE1107" i="2"/>
  <c r="AL1123" i="2"/>
  <c r="AC1123" i="2"/>
  <c r="AT1198" i="2"/>
  <c r="AI1198" i="2"/>
  <c r="AP1198" i="2"/>
  <c r="S1198" i="2"/>
  <c r="M1034" i="2"/>
  <c r="S1034" i="2"/>
  <c r="AU1034" i="2"/>
  <c r="X1070" i="2"/>
  <c r="M1016" i="2"/>
  <c r="AP1016" i="2"/>
  <c r="Q1016" i="2"/>
  <c r="AC1016" i="2"/>
  <c r="AQ1016" i="2"/>
  <c r="AO1016" i="2"/>
  <c r="U1016" i="2"/>
  <c r="AI1016" i="2"/>
  <c r="M1032" i="2"/>
  <c r="AT1032" i="2"/>
  <c r="AS1032" i="2"/>
  <c r="AC1032" i="2"/>
  <c r="Z1032" i="2"/>
  <c r="AO1032" i="2"/>
  <c r="Y1032" i="2"/>
  <c r="AL1048" i="2"/>
  <c r="AO1048" i="2"/>
  <c r="Y1048" i="2"/>
  <c r="AK1048" i="2"/>
  <c r="U1048" i="2"/>
  <c r="M1098" i="2"/>
  <c r="AU1098" i="2"/>
  <c r="AE1098" i="2"/>
  <c r="AI1139" i="2"/>
  <c r="AM1139" i="2"/>
  <c r="R1139" i="2"/>
  <c r="AA1139" i="2"/>
  <c r="AP1139" i="2"/>
  <c r="AR1139" i="2"/>
  <c r="W1139" i="2"/>
  <c r="AH1139" i="2"/>
  <c r="AK1159" i="2"/>
  <c r="AP1159" i="2"/>
  <c r="AM1159" i="2"/>
  <c r="AQ1159" i="2"/>
  <c r="AH1159" i="2"/>
  <c r="AE1159" i="2"/>
  <c r="AT1159" i="2"/>
  <c r="X1159" i="2"/>
  <c r="AA1159" i="2"/>
  <c r="R1159" i="2"/>
  <c r="AL1159" i="2"/>
  <c r="AB1172" i="2"/>
  <c r="AQ1172" i="2"/>
  <c r="AI1172" i="2"/>
  <c r="R1186" i="2"/>
  <c r="AO1186" i="2"/>
  <c r="AS1186" i="2"/>
  <c r="Z942" i="2"/>
  <c r="AP942" i="2"/>
  <c r="Z950" i="2"/>
  <c r="AS950" i="2"/>
  <c r="AB953" i="2"/>
  <c r="V875" i="2"/>
  <c r="AL875" i="2"/>
  <c r="AD907" i="2"/>
  <c r="AT907" i="2"/>
  <c r="Z923" i="2"/>
  <c r="AD939" i="2"/>
  <c r="AE942" i="2"/>
  <c r="AT953" i="2"/>
  <c r="AJ959" i="2"/>
  <c r="V981" i="2"/>
  <c r="AP985" i="2"/>
  <c r="AS990" i="2"/>
  <c r="AE923" i="2"/>
  <c r="AE939" i="2"/>
  <c r="AN953" i="2"/>
  <c r="V993" i="2"/>
  <c r="AU978" i="2"/>
  <c r="M1001" i="2"/>
  <c r="R1001" i="2"/>
  <c r="Y1012" i="2"/>
  <c r="AJ1017" i="2"/>
  <c r="M954" i="2"/>
  <c r="M994" i="2"/>
  <c r="AM994" i="2"/>
  <c r="W994" i="2"/>
  <c r="AM1070" i="2"/>
  <c r="AI1042" i="2"/>
  <c r="S1042" i="2"/>
  <c r="AU1050" i="2"/>
  <c r="AE1068" i="2"/>
  <c r="AT1068" i="2"/>
  <c r="Z1068" i="2"/>
  <c r="AO1068" i="2"/>
  <c r="Y1068" i="2"/>
  <c r="AA1068" i="2"/>
  <c r="AP1068" i="2"/>
  <c r="V1068" i="2"/>
  <c r="AK1068" i="2"/>
  <c r="U1068" i="2"/>
  <c r="AE1097" i="2"/>
  <c r="AU1082" i="2"/>
  <c r="V1082" i="2"/>
  <c r="M1090" i="2"/>
  <c r="AE1090" i="2"/>
  <c r="Y1091" i="2"/>
  <c r="AD1101" i="2"/>
  <c r="W1104" i="2"/>
  <c r="R1091" i="2"/>
  <c r="AI1091" i="2"/>
  <c r="R1101" i="2"/>
  <c r="AT1110" i="2"/>
  <c r="AS1140" i="2"/>
  <c r="AH1140" i="2"/>
  <c r="AI1140" i="2"/>
  <c r="AM1180" i="2"/>
  <c r="AO1076" i="2"/>
  <c r="AR1064" i="2"/>
  <c r="AO1091" i="2"/>
  <c r="AL1101" i="2"/>
  <c r="AM1104" i="2"/>
  <c r="Z1091" i="2"/>
  <c r="Y1101" i="2"/>
  <c r="AP1104" i="2"/>
  <c r="AH1101" i="2"/>
  <c r="U1101" i="2"/>
  <c r="AQ1101" i="2"/>
  <c r="R1122" i="2"/>
  <c r="Z1208" i="2"/>
  <c r="AL1208" i="2"/>
  <c r="AP1208" i="2"/>
  <c r="M808" i="2"/>
  <c r="AU808" i="2"/>
  <c r="AE808" i="2"/>
  <c r="W808" i="2"/>
  <c r="AO739" i="2"/>
  <c r="Y739" i="2"/>
  <c r="AW731" i="2"/>
  <c r="AG731" i="2"/>
  <c r="Q731" i="2"/>
  <c r="AW727" i="2"/>
  <c r="AC727" i="2"/>
  <c r="AA725" i="2"/>
  <c r="AQ721" i="2"/>
  <c r="AC771" i="2"/>
  <c r="AR739" i="2"/>
  <c r="AG771" i="2"/>
  <c r="AV741" i="2"/>
  <c r="R777" i="2"/>
  <c r="W780" i="2"/>
  <c r="M774" i="2"/>
  <c r="AQ774" i="2"/>
  <c r="AA774" i="2"/>
  <c r="AH774" i="2"/>
  <c r="R774" i="2"/>
  <c r="AI774" i="2"/>
  <c r="S774" i="2"/>
  <c r="AP774" i="2"/>
  <c r="Z774" i="2"/>
  <c r="AU774" i="2"/>
  <c r="AE774" i="2"/>
  <c r="AL774" i="2"/>
  <c r="V774" i="2"/>
  <c r="M790" i="2"/>
  <c r="AM790" i="2"/>
  <c r="W790" i="2"/>
  <c r="AX790" i="2"/>
  <c r="AH790" i="2"/>
  <c r="R790" i="2"/>
  <c r="AW790" i="2"/>
  <c r="AG790" i="2"/>
  <c r="AU790" i="2"/>
  <c r="AE790" i="2"/>
  <c r="AP790" i="2"/>
  <c r="Z790" i="2"/>
  <c r="AQ790" i="2"/>
  <c r="AA790" i="2"/>
  <c r="AL790" i="2"/>
  <c r="V790" i="2"/>
  <c r="AP806" i="2"/>
  <c r="AK806" i="2"/>
  <c r="W806" i="2"/>
  <c r="R806" i="2"/>
  <c r="U806" i="2"/>
  <c r="AI822" i="2"/>
  <c r="V822" i="2"/>
  <c r="U822" i="2"/>
  <c r="S822" i="2"/>
  <c r="AK822" i="2"/>
  <c r="M777" i="2"/>
  <c r="AI777" i="2"/>
  <c r="S777" i="2"/>
  <c r="AQ777" i="2"/>
  <c r="S801" i="2"/>
  <c r="AX801" i="2"/>
  <c r="Z801" i="2"/>
  <c r="AL801" i="2"/>
  <c r="R801" i="2"/>
  <c r="M833" i="2"/>
  <c r="X833" i="2"/>
  <c r="AR764" i="2"/>
  <c r="AD771" i="2"/>
  <c r="AG764" i="2"/>
  <c r="AK739" i="2"/>
  <c r="U739" i="2"/>
  <c r="AS731" i="2"/>
  <c r="AC731" i="2"/>
  <c r="AS727" i="2"/>
  <c r="Y727" i="2"/>
  <c r="AQ725" i="2"/>
  <c r="W725" i="2"/>
  <c r="AI721" i="2"/>
  <c r="AQ717" i="2"/>
  <c r="AQ764" i="2"/>
  <c r="AD749" i="2"/>
  <c r="AF739" i="2"/>
  <c r="T741" i="2"/>
  <c r="V777" i="2"/>
  <c r="AP777" i="2"/>
  <c r="AE780" i="2"/>
  <c r="W800" i="2"/>
  <c r="AT790" i="2"/>
  <c r="W774" i="2"/>
  <c r="AB764" i="2"/>
  <c r="AW739" i="2"/>
  <c r="AG739" i="2"/>
  <c r="Q739" i="2"/>
  <c r="AO731" i="2"/>
  <c r="Y731" i="2"/>
  <c r="AO727" i="2"/>
  <c r="Q727" i="2"/>
  <c r="AM725" i="2"/>
  <c r="S725" i="2"/>
  <c r="AA721" i="2"/>
  <c r="AA717" i="2"/>
  <c r="AK764" i="2"/>
  <c r="X739" i="2"/>
  <c r="T731" i="2"/>
  <c r="Z777" i="2"/>
  <c r="AM780" i="2"/>
  <c r="V801" i="2"/>
  <c r="AA777" i="2"/>
  <c r="M826" i="2"/>
  <c r="AE826" i="2"/>
  <c r="AO826" i="2"/>
  <c r="T826" i="2"/>
  <c r="AJ826" i="2"/>
  <c r="T862" i="2"/>
  <c r="AN920" i="2"/>
  <c r="AI835" i="2"/>
  <c r="V840" i="2"/>
  <c r="AL840" i="2"/>
  <c r="AQ843" i="2"/>
  <c r="AJ850" i="2"/>
  <c r="AR870" i="2"/>
  <c r="W836" i="2"/>
  <c r="AM836" i="2"/>
  <c r="AE840" i="2"/>
  <c r="AU840" i="2"/>
  <c r="AC869" i="2"/>
  <c r="AL870" i="2"/>
  <c r="AK901" i="2"/>
  <c r="Q905" i="2"/>
  <c r="AW905" i="2"/>
  <c r="AG913" i="2"/>
  <c r="AM901" i="2"/>
  <c r="AA905" i="2"/>
  <c r="AT922" i="2"/>
  <c r="AH938" i="2"/>
  <c r="X995" i="2"/>
  <c r="AN1011" i="2"/>
  <c r="R879" i="2"/>
  <c r="AH879" i="2"/>
  <c r="R895" i="2"/>
  <c r="AH895" i="2"/>
  <c r="AD911" i="2"/>
  <c r="AT911" i="2"/>
  <c r="AM922" i="2"/>
  <c r="V943" i="2"/>
  <c r="AL943" i="2"/>
  <c r="V997" i="2"/>
  <c r="W943" i="2"/>
  <c r="Z862" i="2"/>
  <c r="V866" i="2"/>
  <c r="AM835" i="2"/>
  <c r="W843" i="2"/>
  <c r="T850" i="2"/>
  <c r="AP850" i="2"/>
  <c r="S840" i="2"/>
  <c r="AI840" i="2"/>
  <c r="W869" i="2"/>
  <c r="AQ905" i="2"/>
  <c r="S913" i="2"/>
  <c r="V955" i="2"/>
  <c r="AN995" i="2"/>
  <c r="V879" i="2"/>
  <c r="AL879" i="2"/>
  <c r="V895" i="2"/>
  <c r="AL895" i="2"/>
  <c r="R911" i="2"/>
  <c r="AH911" i="2"/>
  <c r="AQ922" i="2"/>
  <c r="Z943" i="2"/>
  <c r="AP943" i="2"/>
  <c r="AF953" i="2"/>
  <c r="X1142" i="2"/>
  <c r="AU1140" i="2"/>
  <c r="Y1208" i="2"/>
  <c r="AU1068" i="2"/>
  <c r="AB1064" i="2"/>
  <c r="AS1101" i="2"/>
  <c r="S1101" i="2"/>
  <c r="AR1104" i="2"/>
  <c r="AD1118" i="2"/>
  <c r="AS1123" i="2"/>
  <c r="AL1107" i="2"/>
  <c r="V1140" i="2"/>
  <c r="T1175" i="2"/>
  <c r="AI1207" i="2"/>
  <c r="AJ1207" i="2"/>
  <c r="AA797" i="2"/>
  <c r="AQ830" i="2"/>
  <c r="AU862" i="2"/>
  <c r="AN876" i="2"/>
  <c r="X920" i="2"/>
  <c r="AR924" i="2"/>
  <c r="W835" i="2"/>
  <c r="R840" i="2"/>
  <c r="AH840" i="2"/>
  <c r="AM843" i="2"/>
  <c r="AE850" i="2"/>
  <c r="S836" i="2"/>
  <c r="AI836" i="2"/>
  <c r="AA840" i="2"/>
  <c r="AQ840" i="2"/>
  <c r="U869" i="2"/>
  <c r="AC901" i="2"/>
  <c r="AO905" i="2"/>
  <c r="Y913" i="2"/>
  <c r="AD922" i="2"/>
  <c r="AD938" i="2"/>
  <c r="AX938" i="2"/>
  <c r="AC943" i="2"/>
  <c r="AS943" i="2"/>
  <c r="AB944" i="2"/>
  <c r="AX997" i="2"/>
  <c r="X1011" i="2"/>
  <c r="AD879" i="2"/>
  <c r="AT879" i="2"/>
  <c r="AD895" i="2"/>
  <c r="AN897" i="2"/>
  <c r="Z911" i="2"/>
  <c r="AP911" i="2"/>
  <c r="AA922" i="2"/>
  <c r="R943" i="2"/>
  <c r="AH943" i="2"/>
  <c r="AB1011" i="2"/>
  <c r="AT997" i="2"/>
  <c r="X1038" i="2"/>
  <c r="V1173" i="2"/>
  <c r="AE1173" i="2"/>
  <c r="AD1198" i="2"/>
  <c r="M806" i="2"/>
  <c r="AU806" i="2"/>
  <c r="AE806" i="2"/>
  <c r="AL806" i="2"/>
  <c r="V806" i="2"/>
  <c r="AQ806" i="2"/>
  <c r="AA806" i="2"/>
  <c r="M1177" i="2"/>
  <c r="AM1177" i="2"/>
  <c r="AP1177" i="2"/>
  <c r="Z1177" i="2"/>
  <c r="M1170" i="2"/>
  <c r="AH1170" i="2"/>
  <c r="AK1170" i="2"/>
  <c r="AQ1170" i="2"/>
  <c r="R1170" i="2"/>
  <c r="Y1170" i="2"/>
  <c r="AA1170" i="2"/>
  <c r="U1170" i="2"/>
  <c r="AO1170" i="2"/>
  <c r="AW1183" i="2"/>
  <c r="AR1183" i="2"/>
  <c r="AB1183" i="2"/>
  <c r="AR734" i="2"/>
  <c r="V771" i="2"/>
  <c r="AM753" i="2"/>
  <c r="W753" i="2"/>
  <c r="AA749" i="2"/>
  <c r="AI737" i="2"/>
  <c r="S737" i="2"/>
  <c r="AO735" i="2"/>
  <c r="Q735" i="2"/>
  <c r="AL734" i="2"/>
  <c r="V734" i="2"/>
  <c r="AM717" i="2"/>
  <c r="W717" i="2"/>
  <c r="U771" i="2"/>
  <c r="AT753" i="2"/>
  <c r="AD753" i="2"/>
  <c r="AT749" i="2"/>
  <c r="Z749" i="2"/>
  <c r="AH737" i="2"/>
  <c r="R737" i="2"/>
  <c r="AK734" i="2"/>
  <c r="U734" i="2"/>
  <c r="AB734" i="2"/>
  <c r="Y771" i="2"/>
  <c r="AI734" i="2"/>
  <c r="S734" i="2"/>
  <c r="AU784" i="2"/>
  <c r="AE800" i="2"/>
  <c r="Y806" i="2"/>
  <c r="AO806" i="2"/>
  <c r="Z809" i="2"/>
  <c r="X811" i="2"/>
  <c r="AD817" i="2"/>
  <c r="AT817" i="2"/>
  <c r="Y822" i="2"/>
  <c r="AO822" i="2"/>
  <c r="AU824" i="2"/>
  <c r="Z806" i="2"/>
  <c r="AT806" i="2"/>
  <c r="Z822" i="2"/>
  <c r="M793" i="2"/>
  <c r="M801" i="2"/>
  <c r="AA801" i="2"/>
  <c r="X801" i="2"/>
  <c r="AI806" i="2"/>
  <c r="W822" i="2"/>
  <c r="AN825" i="2"/>
  <c r="AM825" i="2"/>
  <c r="AE825" i="2"/>
  <c r="AL794" i="2"/>
  <c r="AA810" i="2"/>
  <c r="AD810" i="2"/>
  <c r="AT810" i="2"/>
  <c r="Z810" i="2"/>
  <c r="X822" i="2"/>
  <c r="M846" i="2"/>
  <c r="AA846" i="2"/>
  <c r="M986" i="2"/>
  <c r="AO986" i="2"/>
  <c r="AU986" i="2"/>
  <c r="Q986" i="2"/>
  <c r="AS986" i="2"/>
  <c r="Y986" i="2"/>
  <c r="AK986" i="2"/>
  <c r="AE986" i="2"/>
  <c r="U986" i="2"/>
  <c r="AI1002" i="2"/>
  <c r="S1002" i="2"/>
  <c r="Q1002" i="2"/>
  <c r="AO1002" i="2"/>
  <c r="AU1002" i="2"/>
  <c r="AE1002" i="2"/>
  <c r="Y1002" i="2"/>
  <c r="AQ1002" i="2"/>
  <c r="AA1002" i="2"/>
  <c r="AW1002" i="2"/>
  <c r="AS1002" i="2"/>
  <c r="AK1002" i="2"/>
  <c r="W1002" i="2"/>
  <c r="U1002" i="2"/>
  <c r="AG1002" i="2"/>
  <c r="AC1002" i="2"/>
  <c r="M1022" i="2"/>
  <c r="AU1022" i="2"/>
  <c r="AE1022" i="2"/>
  <c r="M1143" i="2"/>
  <c r="AE1143" i="2"/>
  <c r="AP1143" i="2"/>
  <c r="R1143" i="2"/>
  <c r="S1143" i="2"/>
  <c r="AL1143" i="2"/>
  <c r="Z1143" i="2"/>
  <c r="V1143" i="2"/>
  <c r="AR1143" i="2"/>
  <c r="AI1143" i="2"/>
  <c r="M809" i="2"/>
  <c r="AQ809" i="2"/>
  <c r="X809" i="2"/>
  <c r="AI809" i="2"/>
  <c r="M1184" i="2"/>
  <c r="AC1184" i="2"/>
  <c r="X1313" i="2"/>
  <c r="Z1313" i="2"/>
  <c r="R1313" i="2"/>
  <c r="AT771" i="2"/>
  <c r="AU765" i="2"/>
  <c r="AI753" i="2"/>
  <c r="S753" i="2"/>
  <c r="AQ749" i="2"/>
  <c r="W749" i="2"/>
  <c r="AU737" i="2"/>
  <c r="AE737" i="2"/>
  <c r="AG735" i="2"/>
  <c r="AH734" i="2"/>
  <c r="R734" i="2"/>
  <c r="AI717" i="2"/>
  <c r="S717" i="2"/>
  <c r="AS771" i="2"/>
  <c r="AR765" i="2"/>
  <c r="AP753" i="2"/>
  <c r="Z753" i="2"/>
  <c r="AR751" i="2"/>
  <c r="AP749" i="2"/>
  <c r="R749" i="2"/>
  <c r="AT737" i="2"/>
  <c r="AD737" i="2"/>
  <c r="AR735" i="2"/>
  <c r="AW734" i="2"/>
  <c r="AG734" i="2"/>
  <c r="Q734" i="2"/>
  <c r="X734" i="2"/>
  <c r="AW771" i="2"/>
  <c r="Q771" i="2"/>
  <c r="AR749" i="2"/>
  <c r="AR741" i="2"/>
  <c r="AU734" i="2"/>
  <c r="AJ729" i="2"/>
  <c r="W784" i="2"/>
  <c r="AM800" i="2"/>
  <c r="AC806" i="2"/>
  <c r="AS806" i="2"/>
  <c r="AB807" i="2"/>
  <c r="AH809" i="2"/>
  <c r="R817" i="2"/>
  <c r="AH817" i="2"/>
  <c r="AC822" i="2"/>
  <c r="AS822" i="2"/>
  <c r="W824" i="2"/>
  <c r="AA773" i="2"/>
  <c r="AA785" i="2"/>
  <c r="S793" i="2"/>
  <c r="V794" i="2"/>
  <c r="AT794" i="2"/>
  <c r="AI801" i="2"/>
  <c r="AD806" i="2"/>
  <c r="V810" i="2"/>
  <c r="AU817" i="2"/>
  <c r="AL822" i="2"/>
  <c r="AU825" i="2"/>
  <c r="S794" i="2"/>
  <c r="AM806" i="2"/>
  <c r="M782" i="2"/>
  <c r="S782" i="2"/>
  <c r="AM782" i="2"/>
  <c r="M798" i="2"/>
  <c r="AU798" i="2"/>
  <c r="AE798" i="2"/>
  <c r="AT798" i="2"/>
  <c r="AD798" i="2"/>
  <c r="X798" i="2"/>
  <c r="AQ798" i="2"/>
  <c r="AA798" i="2"/>
  <c r="AL896" i="2"/>
  <c r="AR896" i="2"/>
  <c r="AA904" i="2"/>
  <c r="AR904" i="2"/>
  <c r="AT904" i="2"/>
  <c r="AJ904" i="2"/>
  <c r="M828" i="2"/>
  <c r="AM828" i="2"/>
  <c r="W828" i="2"/>
  <c r="AS828" i="2"/>
  <c r="AC828" i="2"/>
  <c r="AT828" i="2"/>
  <c r="AP828" i="2"/>
  <c r="AL828" i="2"/>
  <c r="AI828" i="2"/>
  <c r="S828" i="2"/>
  <c r="AO828" i="2"/>
  <c r="Y828" i="2"/>
  <c r="AD828" i="2"/>
  <c r="Z828" i="2"/>
  <c r="V828" i="2"/>
  <c r="AU828" i="2"/>
  <c r="AE828" i="2"/>
  <c r="M844" i="2"/>
  <c r="AM844" i="2"/>
  <c r="W844" i="2"/>
  <c r="AT844" i="2"/>
  <c r="AD844" i="2"/>
  <c r="AS844" i="2"/>
  <c r="AC844" i="2"/>
  <c r="AI844" i="2"/>
  <c r="S844" i="2"/>
  <c r="AP844" i="2"/>
  <c r="Z844" i="2"/>
  <c r="AO844" i="2"/>
  <c r="Y844" i="2"/>
  <c r="AU844" i="2"/>
  <c r="AE844" i="2"/>
  <c r="AI860" i="2"/>
  <c r="AS860" i="2"/>
  <c r="X860" i="2"/>
  <c r="AG860" i="2"/>
  <c r="AN860" i="2"/>
  <c r="R860" i="2"/>
  <c r="AW860" i="2"/>
  <c r="AB860" i="2"/>
  <c r="AJ860" i="2"/>
  <c r="AH860" i="2"/>
  <c r="M1109" i="2"/>
  <c r="AB1109" i="2"/>
  <c r="AI1109" i="2"/>
  <c r="AD1109" i="2"/>
  <c r="X1109" i="2"/>
  <c r="AE1109" i="2"/>
  <c r="AQ1109" i="2"/>
  <c r="AA1109" i="2"/>
  <c r="S1109" i="2"/>
  <c r="AU1109" i="2"/>
  <c r="M822" i="2"/>
  <c r="AU822" i="2"/>
  <c r="AE822" i="2"/>
  <c r="AH822" i="2"/>
  <c r="R822" i="2"/>
  <c r="AQ822" i="2"/>
  <c r="AA822" i="2"/>
  <c r="AT822" i="2"/>
  <c r="AD822" i="2"/>
  <c r="M734" i="2"/>
  <c r="AN734" i="2"/>
  <c r="AV734" i="2"/>
  <c r="V1313" i="2"/>
  <c r="AA1313" i="2"/>
  <c r="AD1313" i="2"/>
  <c r="AE1313" i="2"/>
  <c r="AB1313" i="2"/>
  <c r="S1313" i="2"/>
  <c r="R1298" i="2"/>
  <c r="AL771" i="2"/>
  <c r="AM765" i="2"/>
  <c r="AU753" i="2"/>
  <c r="AE753" i="2"/>
  <c r="AV752" i="2"/>
  <c r="AM749" i="2"/>
  <c r="S749" i="2"/>
  <c r="AO743" i="2"/>
  <c r="AQ737" i="2"/>
  <c r="AA737" i="2"/>
  <c r="AW735" i="2"/>
  <c r="AC735" i="2"/>
  <c r="AT734" i="2"/>
  <c r="AD734" i="2"/>
  <c r="AF724" i="2"/>
  <c r="AU717" i="2"/>
  <c r="AE717" i="2"/>
  <c r="AF716" i="2"/>
  <c r="AK771" i="2"/>
  <c r="AB765" i="2"/>
  <c r="AL753" i="2"/>
  <c r="V753" i="2"/>
  <c r="AF751" i="2"/>
  <c r="AH749" i="2"/>
  <c r="AJ743" i="2"/>
  <c r="AN739" i="2"/>
  <c r="AP737" i="2"/>
  <c r="Z737" i="2"/>
  <c r="AB735" i="2"/>
  <c r="AS734" i="2"/>
  <c r="AC734" i="2"/>
  <c r="AV731" i="2"/>
  <c r="AJ734" i="2"/>
  <c r="T734" i="2"/>
  <c r="AO771" i="2"/>
  <c r="AF749" i="2"/>
  <c r="AJ741" i="2"/>
  <c r="AF737" i="2"/>
  <c r="AQ734" i="2"/>
  <c r="AA734" i="2"/>
  <c r="AR733" i="2"/>
  <c r="AF729" i="2"/>
  <c r="AN717" i="2"/>
  <c r="AE784" i="2"/>
  <c r="AU800" i="2"/>
  <c r="Q806" i="2"/>
  <c r="AG806" i="2"/>
  <c r="AW806" i="2"/>
  <c r="R809" i="2"/>
  <c r="AL809" i="2"/>
  <c r="V817" i="2"/>
  <c r="AL817" i="2"/>
  <c r="Q822" i="2"/>
  <c r="AG822" i="2"/>
  <c r="AW822" i="2"/>
  <c r="AE824" i="2"/>
  <c r="AI785" i="2"/>
  <c r="AA793" i="2"/>
  <c r="Z794" i="2"/>
  <c r="AQ801" i="2"/>
  <c r="AH806" i="2"/>
  <c r="S809" i="2"/>
  <c r="AL810" i="2"/>
  <c r="AP822" i="2"/>
  <c r="S806" i="2"/>
  <c r="AM822" i="2"/>
  <c r="AH1063" i="2"/>
  <c r="AI1063" i="2"/>
  <c r="AD1063" i="2"/>
  <c r="S1063" i="2"/>
  <c r="AT1063" i="2"/>
  <c r="V1063" i="2"/>
  <c r="AL1063" i="2"/>
  <c r="R1063" i="2"/>
  <c r="M1071" i="2"/>
  <c r="AN1071" i="2"/>
  <c r="AQ1071" i="2"/>
  <c r="AA1071" i="2"/>
  <c r="AP1071" i="2"/>
  <c r="Z1071" i="2"/>
  <c r="AM1071" i="2"/>
  <c r="W1071" i="2"/>
  <c r="AL1071" i="2"/>
  <c r="V1071" i="2"/>
  <c r="AI1071" i="2"/>
  <c r="S1071" i="2"/>
  <c r="AH1071" i="2"/>
  <c r="R1071" i="2"/>
  <c r="AU1071" i="2"/>
  <c r="AT1071" i="2"/>
  <c r="AE1071" i="2"/>
  <c r="AD1071" i="2"/>
  <c r="AO989" i="2"/>
  <c r="AP989" i="2"/>
  <c r="Z989" i="2"/>
  <c r="AT989" i="2"/>
  <c r="AQ966" i="2"/>
  <c r="AO966" i="2"/>
  <c r="AM966" i="2"/>
  <c r="AA966" i="2"/>
  <c r="AQ1047" i="2"/>
  <c r="S1047" i="2"/>
  <c r="AT1047" i="2"/>
  <c r="AD1047" i="2"/>
  <c r="AI1047" i="2"/>
  <c r="AP1047" i="2"/>
  <c r="Z1047" i="2"/>
  <c r="AE1047" i="2"/>
  <c r="AL1047" i="2"/>
  <c r="V1047" i="2"/>
  <c r="AT1055" i="2"/>
  <c r="V1055" i="2"/>
  <c r="AL1055" i="2"/>
  <c r="R1055" i="2"/>
  <c r="AH1055" i="2"/>
  <c r="AL1089" i="2"/>
  <c r="AM1089" i="2"/>
  <c r="M1150" i="2"/>
  <c r="AI1150" i="2"/>
  <c r="S1150" i="2"/>
  <c r="AR1150" i="2"/>
  <c r="AU1150" i="2"/>
  <c r="AE1150" i="2"/>
  <c r="AA1150" i="2"/>
  <c r="W1150" i="2"/>
  <c r="X1150" i="2"/>
  <c r="AQ1150" i="2"/>
  <c r="Y852" i="2"/>
  <c r="AT852" i="2"/>
  <c r="AE862" i="2"/>
  <c r="AL866" i="2"/>
  <c r="AL898" i="2"/>
  <c r="R832" i="2"/>
  <c r="AH832" i="2"/>
  <c r="AA835" i="2"/>
  <c r="AQ835" i="2"/>
  <c r="AE843" i="2"/>
  <c r="AU843" i="2"/>
  <c r="AC849" i="2"/>
  <c r="S854" i="2"/>
  <c r="AN854" i="2"/>
  <c r="AR878" i="2"/>
  <c r="S893" i="2"/>
  <c r="AJ902" i="2"/>
  <c r="AA832" i="2"/>
  <c r="AQ832" i="2"/>
  <c r="AE849" i="2"/>
  <c r="AJ854" i="2"/>
  <c r="V878" i="2"/>
  <c r="AC893" i="2"/>
  <c r="AF878" i="2"/>
  <c r="AU893" i="2"/>
  <c r="R971" i="2"/>
  <c r="AL971" i="2"/>
  <c r="AD971" i="2"/>
  <c r="AV979" i="2"/>
  <c r="AN979" i="2"/>
  <c r="AR979" i="2"/>
  <c r="T947" i="2"/>
  <c r="AM947" i="2"/>
  <c r="W947" i="2"/>
  <c r="AL947" i="2"/>
  <c r="V947" i="2"/>
  <c r="AI947" i="2"/>
  <c r="S947" i="2"/>
  <c r="AH947" i="2"/>
  <c r="R947" i="2"/>
  <c r="AN947" i="2"/>
  <c r="AU947" i="2"/>
  <c r="AE947" i="2"/>
  <c r="AT947" i="2"/>
  <c r="AD947" i="2"/>
  <c r="AR960" i="2"/>
  <c r="V960" i="2"/>
  <c r="AE960" i="2"/>
  <c r="AC960" i="2"/>
  <c r="U960" i="2"/>
  <c r="S960" i="2"/>
  <c r="AW960" i="2"/>
  <c r="M976" i="2"/>
  <c r="Y976" i="2"/>
  <c r="S976" i="2"/>
  <c r="AE976" i="2"/>
  <c r="AH976" i="2"/>
  <c r="AA976" i="2"/>
  <c r="AM976" i="2"/>
  <c r="V992" i="2"/>
  <c r="AM992" i="2"/>
  <c r="AI992" i="2"/>
  <c r="AU992" i="2"/>
  <c r="AS992" i="2"/>
  <c r="AQ992" i="2"/>
  <c r="W992" i="2"/>
  <c r="S992" i="2"/>
  <c r="AE992" i="2"/>
  <c r="M1008" i="2"/>
  <c r="AL1008" i="2"/>
  <c r="AI1008" i="2"/>
  <c r="AU1008" i="2"/>
  <c r="W1008" i="2"/>
  <c r="S1008" i="2"/>
  <c r="AE1008" i="2"/>
  <c r="AT1129" i="2"/>
  <c r="AO1129" i="2"/>
  <c r="AG1129" i="2"/>
  <c r="AP1129" i="2"/>
  <c r="U1129" i="2"/>
  <c r="AM814" i="2"/>
  <c r="X790" i="2"/>
  <c r="V835" i="2"/>
  <c r="AL835" i="2"/>
  <c r="R843" i="2"/>
  <c r="AH843" i="2"/>
  <c r="AD852" i="2"/>
  <c r="R856" i="2"/>
  <c r="AJ862" i="2"/>
  <c r="AT866" i="2"/>
  <c r="AT898" i="2"/>
  <c r="Z914" i="2"/>
  <c r="V832" i="2"/>
  <c r="AL832" i="2"/>
  <c r="AE835" i="2"/>
  <c r="AU835" i="2"/>
  <c r="S843" i="2"/>
  <c r="AI843" i="2"/>
  <c r="AI849" i="2"/>
  <c r="X854" i="2"/>
  <c r="AT854" i="2"/>
  <c r="T878" i="2"/>
  <c r="AA893" i="2"/>
  <c r="AR902" i="2"/>
  <c r="AE832" i="2"/>
  <c r="AU832" i="2"/>
  <c r="AJ849" i="2"/>
  <c r="T854" i="2"/>
  <c r="AP854" i="2"/>
  <c r="AD878" i="2"/>
  <c r="AN878" i="2"/>
  <c r="AF969" i="2"/>
  <c r="AR969" i="2"/>
  <c r="AB871" i="2"/>
  <c r="AH871" i="2"/>
  <c r="R871" i="2"/>
  <c r="AT871" i="2"/>
  <c r="AD871" i="2"/>
  <c r="AP871" i="2"/>
  <c r="Z871" i="2"/>
  <c r="AR887" i="2"/>
  <c r="AT887" i="2"/>
  <c r="AD887" i="2"/>
  <c r="AP887" i="2"/>
  <c r="Z887" i="2"/>
  <c r="AL887" i="2"/>
  <c r="V887" i="2"/>
  <c r="AF903" i="2"/>
  <c r="AT903" i="2"/>
  <c r="AD903" i="2"/>
  <c r="AP903" i="2"/>
  <c r="Z903" i="2"/>
  <c r="AL903" i="2"/>
  <c r="V903" i="2"/>
  <c r="AR919" i="2"/>
  <c r="W919" i="2"/>
  <c r="AL919" i="2"/>
  <c r="V919" i="2"/>
  <c r="AQ919" i="2"/>
  <c r="AH919" i="2"/>
  <c r="R919" i="2"/>
  <c r="AM919" i="2"/>
  <c r="AT919" i="2"/>
  <c r="AD919" i="2"/>
  <c r="AF935" i="2"/>
  <c r="AA935" i="2"/>
  <c r="AT935" i="2"/>
  <c r="AD935" i="2"/>
  <c r="W935" i="2"/>
  <c r="AP935" i="2"/>
  <c r="Z935" i="2"/>
  <c r="AQ935" i="2"/>
  <c r="AL935" i="2"/>
  <c r="V935" i="2"/>
  <c r="AA991" i="2"/>
  <c r="AB991" i="2"/>
  <c r="AJ991" i="2"/>
  <c r="T991" i="2"/>
  <c r="M962" i="2"/>
  <c r="AQ962" i="2"/>
  <c r="AE962" i="2"/>
  <c r="AI962" i="2"/>
  <c r="AO962" i="2"/>
  <c r="W962" i="2"/>
  <c r="U962" i="2"/>
  <c r="AG962" i="2"/>
  <c r="AU962" i="2"/>
  <c r="AQ1062" i="2"/>
  <c r="AA1062" i="2"/>
  <c r="V1079" i="2"/>
  <c r="AP1079" i="2"/>
  <c r="Z1079" i="2"/>
  <c r="M1028" i="2"/>
  <c r="AA1028" i="2"/>
  <c r="AL1028" i="2"/>
  <c r="V1028" i="2"/>
  <c r="AK1028" i="2"/>
  <c r="U1028" i="2"/>
  <c r="AH1028" i="2"/>
  <c r="R1028" i="2"/>
  <c r="AW1028" i="2"/>
  <c r="AG1028" i="2"/>
  <c r="Q1028" i="2"/>
  <c r="AT1028" i="2"/>
  <c r="AD1028" i="2"/>
  <c r="AS1028" i="2"/>
  <c r="AC1028" i="2"/>
  <c r="AP1044" i="2"/>
  <c r="AC1044" i="2"/>
  <c r="U1044" i="2"/>
  <c r="AS1044" i="2"/>
  <c r="Z1056" i="2"/>
  <c r="AO1056" i="2"/>
  <c r="AM1056" i="2"/>
  <c r="Y1056" i="2"/>
  <c r="AT1126" i="2"/>
  <c r="AD1126" i="2"/>
  <c r="Z1126" i="2"/>
  <c r="AP1126" i="2"/>
  <c r="AQ1068" i="2"/>
  <c r="S1068" i="2"/>
  <c r="AC1091" i="2"/>
  <c r="AL1078" i="2"/>
  <c r="AO1078" i="2"/>
  <c r="AU1078" i="2"/>
  <c r="AD1086" i="2"/>
  <c r="M1100" i="2"/>
  <c r="R1100" i="2"/>
  <c r="W1100" i="2"/>
  <c r="AI1100" i="2"/>
  <c r="V1100" i="2"/>
  <c r="AT1115" i="2"/>
  <c r="Y1115" i="2"/>
  <c r="Z1115" i="2"/>
  <c r="AW1115" i="2"/>
  <c r="M1130" i="2"/>
  <c r="AS1130" i="2"/>
  <c r="AO1130" i="2"/>
  <c r="AM1130" i="2"/>
  <c r="AK1130" i="2"/>
  <c r="AJ1130" i="2"/>
  <c r="AG1130" i="2"/>
  <c r="U1132" i="2"/>
  <c r="AE1132" i="2"/>
  <c r="S1132" i="2"/>
  <c r="Z1132" i="2"/>
  <c r="W1132" i="2"/>
  <c r="R1132" i="2"/>
  <c r="AU1148" i="2"/>
  <c r="Z1148" i="2"/>
  <c r="AS1161" i="2"/>
  <c r="AJ1161" i="2"/>
  <c r="AO1161" i="2"/>
  <c r="AV760" i="2"/>
  <c r="AJ939" i="2"/>
  <c r="AD964" i="2"/>
  <c r="Z1012" i="2"/>
  <c r="AP1012" i="2"/>
  <c r="Z1013" i="2"/>
  <c r="AJ1012" i="2"/>
  <c r="M1113" i="2"/>
  <c r="AI1113" i="2"/>
  <c r="V1151" i="2"/>
  <c r="M1158" i="2"/>
  <c r="W1158" i="2"/>
  <c r="M1197" i="2"/>
  <c r="T1197" i="2"/>
  <c r="S1197" i="2"/>
  <c r="AF1197" i="2"/>
  <c r="R1197" i="2"/>
  <c r="W1197" i="2"/>
  <c r="AR1197" i="2"/>
  <c r="AQ1197" i="2"/>
  <c r="AV1197" i="2"/>
  <c r="AE1204" i="2"/>
  <c r="AO1204" i="2"/>
  <c r="AC1204" i="2"/>
  <c r="AB1204" i="2"/>
  <c r="AD1204" i="2"/>
  <c r="AG1204" i="2"/>
  <c r="Q1204" i="2"/>
  <c r="AJ985" i="2"/>
  <c r="AJ1013" i="2"/>
  <c r="AD1012" i="2"/>
  <c r="AT1012" i="2"/>
  <c r="M1091" i="2"/>
  <c r="AU1091" i="2"/>
  <c r="S1091" i="2"/>
  <c r="AH1091" i="2"/>
  <c r="AG1091" i="2"/>
  <c r="AQ1091" i="2"/>
  <c r="AD1091" i="2"/>
  <c r="AQ1142" i="2"/>
  <c r="Y1142" i="2"/>
  <c r="AU1142" i="2"/>
  <c r="AM1156" i="2"/>
  <c r="AH1165" i="2"/>
  <c r="AP1173" i="2"/>
  <c r="X1175" i="2"/>
  <c r="AN746" i="2"/>
  <c r="O1284" i="2"/>
  <c r="K1286" i="2"/>
  <c r="AL1090" i="2"/>
  <c r="AU1104" i="2"/>
  <c r="AD1083" i="2"/>
  <c r="AU1090" i="2"/>
  <c r="R1104" i="2"/>
  <c r="AQ1083" i="2"/>
  <c r="AI1104" i="2"/>
  <c r="AN1083" i="2"/>
  <c r="AL1104" i="2"/>
  <c r="AE1101" i="2"/>
  <c r="AN1104" i="2"/>
  <c r="AT1122" i="2"/>
  <c r="AW1123" i="2"/>
  <c r="AL1147" i="2"/>
  <c r="AH1155" i="2"/>
  <c r="AL1140" i="2"/>
  <c r="AS1164" i="2"/>
  <c r="AB1140" i="2"/>
  <c r="AE1164" i="2"/>
  <c r="AP1165" i="2"/>
  <c r="R1173" i="2"/>
  <c r="Z1198" i="2"/>
  <c r="W1198" i="2"/>
  <c r="S1299" i="2"/>
  <c r="AB718" i="2"/>
  <c r="C1354" i="2"/>
  <c r="C1356" i="2"/>
  <c r="C1335" i="2"/>
  <c r="C1341" i="2"/>
  <c r="C1351" i="2"/>
  <c r="C1357" i="2"/>
  <c r="C1338" i="2"/>
  <c r="C1340" i="2"/>
  <c r="S675" i="2"/>
  <c r="C1342" i="2"/>
  <c r="C1358" i="2"/>
  <c r="C1339" i="2"/>
  <c r="C1355" i="2"/>
  <c r="C1344" i="2"/>
  <c r="C1360" i="2"/>
  <c r="C1345" i="2"/>
  <c r="J1430" i="2"/>
  <c r="J1480" i="2"/>
  <c r="J1380" i="2"/>
  <c r="C1346" i="2"/>
  <c r="C1362" i="2"/>
  <c r="C1343" i="2"/>
  <c r="C1359" i="2"/>
  <c r="C1348" i="2"/>
  <c r="C1349" i="2"/>
  <c r="C1350" i="2"/>
  <c r="C1347" i="2"/>
  <c r="C1336" i="2"/>
  <c r="C1352" i="2"/>
  <c r="C1337" i="2"/>
  <c r="C1353" i="2"/>
  <c r="Z35" i="2"/>
  <c r="J35" i="2" s="1"/>
  <c r="Z613" i="2"/>
  <c r="J613" i="2" s="1"/>
  <c r="K622" i="2" s="1"/>
  <c r="S1317" i="2"/>
  <c r="AD1317" i="2"/>
  <c r="V1303" i="2"/>
  <c r="AG1303" i="2"/>
  <c r="AC1301" i="2"/>
  <c r="T1303" i="2"/>
  <c r="Y1317" i="2"/>
  <c r="X1317" i="2"/>
  <c r="AA1317" i="2"/>
  <c r="V1317" i="2"/>
  <c r="Y1303" i="2"/>
  <c r="AL759" i="2"/>
  <c r="AO755" i="2"/>
  <c r="Y755" i="2"/>
  <c r="AK747" i="2"/>
  <c r="U747" i="2"/>
  <c r="AV732" i="2"/>
  <c r="U759" i="2"/>
  <c r="AV747" i="2"/>
  <c r="AB745" i="2"/>
  <c r="AB741" i="2"/>
  <c r="AR737" i="2"/>
  <c r="AF725" i="2"/>
  <c r="AQ805" i="2"/>
  <c r="S778" i="2"/>
  <c r="S814" i="2"/>
  <c r="AI814" i="2"/>
  <c r="X876" i="2"/>
  <c r="X832" i="2"/>
  <c r="AP927" i="2"/>
  <c r="V927" i="2"/>
  <c r="AW927" i="2"/>
  <c r="AL927" i="2"/>
  <c r="W927" i="2"/>
  <c r="AT927" i="2"/>
  <c r="Z927" i="2"/>
  <c r="X967" i="2"/>
  <c r="AD967" i="2"/>
  <c r="AB967" i="2"/>
  <c r="Z967" i="2"/>
  <c r="V967" i="2"/>
  <c r="T967" i="2"/>
  <c r="R967" i="2"/>
  <c r="AL967" i="2"/>
  <c r="AJ967" i="2"/>
  <c r="V905" i="2"/>
  <c r="AI905" i="2"/>
  <c r="AH913" i="2"/>
  <c r="AQ913" i="2"/>
  <c r="AC955" i="2"/>
  <c r="AD955" i="2"/>
  <c r="AF955" i="2"/>
  <c r="AL961" i="2"/>
  <c r="AB961" i="2"/>
  <c r="M867" i="2"/>
  <c r="AT867" i="2"/>
  <c r="AD867" i="2"/>
  <c r="AP867" i="2"/>
  <c r="Z867" i="2"/>
  <c r="M883" i="2"/>
  <c r="AT883" i="2"/>
  <c r="AD883" i="2"/>
  <c r="X883" i="2"/>
  <c r="AP883" i="2"/>
  <c r="Z883" i="2"/>
  <c r="AH883" i="2"/>
  <c r="R883" i="2"/>
  <c r="M899" i="2"/>
  <c r="AL899" i="2"/>
  <c r="V899" i="2"/>
  <c r="U899" i="2"/>
  <c r="AX899" i="2"/>
  <c r="AH899" i="2"/>
  <c r="R899" i="2"/>
  <c r="AP899" i="2"/>
  <c r="Z899" i="2"/>
  <c r="M915" i="2"/>
  <c r="AM915" i="2"/>
  <c r="W915" i="2"/>
  <c r="AL915" i="2"/>
  <c r="V915" i="2"/>
  <c r="AJ915" i="2"/>
  <c r="AI915" i="2"/>
  <c r="S915" i="2"/>
  <c r="AH915" i="2"/>
  <c r="R915" i="2"/>
  <c r="AQ915" i="2"/>
  <c r="AA915" i="2"/>
  <c r="AP915" i="2"/>
  <c r="Z915" i="2"/>
  <c r="AB759" i="2"/>
  <c r="AW755" i="2"/>
  <c r="AG755" i="2"/>
  <c r="Q755" i="2"/>
  <c r="AF752" i="2"/>
  <c r="AS747" i="2"/>
  <c r="AC747" i="2"/>
  <c r="AN728" i="2"/>
  <c r="AP759" i="2"/>
  <c r="AN785" i="2"/>
  <c r="AA814" i="2"/>
  <c r="AQ814" i="2"/>
  <c r="X814" i="2"/>
  <c r="AB836" i="2"/>
  <c r="AB844" i="2"/>
  <c r="AB929" i="2"/>
  <c r="AU933" i="2"/>
  <c r="W933" i="2"/>
  <c r="AU915" i="2"/>
  <c r="T946" i="2"/>
  <c r="AT946" i="2"/>
  <c r="AD946" i="2"/>
  <c r="AE946" i="2"/>
  <c r="AW759" i="2"/>
  <c r="Q759" i="2"/>
  <c r="AS755" i="2"/>
  <c r="AC755" i="2"/>
  <c r="AO747" i="2"/>
  <c r="Y747" i="2"/>
  <c r="AF764" i="2"/>
  <c r="AK759" i="2"/>
  <c r="AJ751" i="2"/>
  <c r="AR727" i="2"/>
  <c r="AJ753" i="2"/>
  <c r="AR745" i="2"/>
  <c r="T729" i="2"/>
  <c r="AR725" i="2"/>
  <c r="T779" i="2"/>
  <c r="AI805" i="2"/>
  <c r="AE814" i="2"/>
  <c r="AU814" i="2"/>
  <c r="X806" i="2"/>
  <c r="T832" i="2"/>
  <c r="AR836" i="2"/>
  <c r="AB983" i="2"/>
  <c r="M930" i="2"/>
  <c r="AI930" i="2"/>
  <c r="S930" i="2"/>
  <c r="AL930" i="2"/>
  <c r="AU930" i="2"/>
  <c r="AE930" i="2"/>
  <c r="AM930" i="2"/>
  <c r="W930" i="2"/>
  <c r="M938" i="2"/>
  <c r="AU938" i="2"/>
  <c r="AE938" i="2"/>
  <c r="AL938" i="2"/>
  <c r="V938" i="2"/>
  <c r="AQ938" i="2"/>
  <c r="AA938" i="2"/>
  <c r="AI938" i="2"/>
  <c r="S938" i="2"/>
  <c r="AT967" i="2"/>
  <c r="M891" i="2"/>
  <c r="X891" i="2"/>
  <c r="AT891" i="2"/>
  <c r="AD891" i="2"/>
  <c r="U891" i="2"/>
  <c r="T891" i="2"/>
  <c r="AP891" i="2"/>
  <c r="Z891" i="2"/>
  <c r="AH891" i="2"/>
  <c r="R891" i="2"/>
  <c r="M1056" i="2"/>
  <c r="AL1056" i="2"/>
  <c r="X1077" i="2"/>
  <c r="V1077" i="2"/>
  <c r="AJ1077" i="2"/>
  <c r="AL1076" i="2"/>
  <c r="AQ1076" i="2"/>
  <c r="AW1103" i="2"/>
  <c r="AQ1103" i="2"/>
  <c r="AF1103" i="2"/>
  <c r="AL1128" i="2"/>
  <c r="AE1128" i="2"/>
  <c r="AU1205" i="2"/>
  <c r="Y1205" i="2"/>
  <c r="Z1205" i="2"/>
  <c r="AS1205" i="2"/>
  <c r="AT1205" i="2"/>
  <c r="M1190" i="2"/>
  <c r="AA1190" i="2"/>
  <c r="Z1190" i="2"/>
  <c r="Y1190" i="2"/>
  <c r="AC1190" i="2"/>
  <c r="X1190" i="2"/>
  <c r="AL1190" i="2"/>
  <c r="AP1190" i="2"/>
  <c r="AI1190" i="2"/>
  <c r="AS1190" i="2"/>
  <c r="Q1190" i="2"/>
  <c r="AU1190" i="2"/>
  <c r="AK1190" i="2"/>
  <c r="AT1190" i="2"/>
  <c r="AW1190" i="2"/>
  <c r="U1190" i="2"/>
  <c r="AD1190" i="2"/>
  <c r="AH1190" i="2"/>
  <c r="Y994" i="2"/>
  <c r="AA1008" i="2"/>
  <c r="AC976" i="2"/>
  <c r="AW976" i="2"/>
  <c r="S986" i="2"/>
  <c r="AI986" i="2"/>
  <c r="Q992" i="2"/>
  <c r="AW992" i="2"/>
  <c r="AA994" i="2"/>
  <c r="AQ994" i="2"/>
  <c r="AG1008" i="2"/>
  <c r="AJ1009" i="2"/>
  <c r="AH960" i="2"/>
  <c r="AL976" i="2"/>
  <c r="S1022" i="2"/>
  <c r="AI1022" i="2"/>
  <c r="Q1044" i="2"/>
  <c r="AG1044" i="2"/>
  <c r="AC1056" i="2"/>
  <c r="AS1056" i="2"/>
  <c r="AI1066" i="2"/>
  <c r="Q1076" i="2"/>
  <c r="AW1076" i="2"/>
  <c r="AP1077" i="2"/>
  <c r="AT1016" i="2"/>
  <c r="AD1032" i="2"/>
  <c r="AT1056" i="2"/>
  <c r="AB1077" i="2"/>
  <c r="AE1044" i="2"/>
  <c r="M1059" i="2"/>
  <c r="AM1059" i="2"/>
  <c r="AD1077" i="2"/>
  <c r="M1036" i="2"/>
  <c r="AU1036" i="2"/>
  <c r="AE1036" i="2"/>
  <c r="AL1036" i="2"/>
  <c r="V1036" i="2"/>
  <c r="M1048" i="2"/>
  <c r="AD1048" i="2"/>
  <c r="M1068" i="2"/>
  <c r="AJ1068" i="2"/>
  <c r="AM1068" i="2"/>
  <c r="W1068" i="2"/>
  <c r="AH1068" i="2"/>
  <c r="R1068" i="2"/>
  <c r="AT1086" i="2"/>
  <c r="AI1086" i="2"/>
  <c r="AN1103" i="2"/>
  <c r="U1174" i="2"/>
  <c r="AA1174" i="2"/>
  <c r="AS1174" i="2"/>
  <c r="W1190" i="2"/>
  <c r="AE922" i="2"/>
  <c r="AU922" i="2"/>
  <c r="S934" i="2"/>
  <c r="V969" i="2"/>
  <c r="X975" i="2"/>
  <c r="X1007" i="2"/>
  <c r="AR1011" i="2"/>
  <c r="W923" i="2"/>
  <c r="AM923" i="2"/>
  <c r="S939" i="2"/>
  <c r="AI939" i="2"/>
  <c r="Q962" i="2"/>
  <c r="AW962" i="2"/>
  <c r="AR975" i="2"/>
  <c r="AM1008" i="2"/>
  <c r="S962" i="2"/>
  <c r="AQ976" i="2"/>
  <c r="AG986" i="2"/>
  <c r="AO994" i="2"/>
  <c r="AQ1008" i="2"/>
  <c r="AG976" i="2"/>
  <c r="W986" i="2"/>
  <c r="AM986" i="2"/>
  <c r="AC992" i="2"/>
  <c r="AE994" i="2"/>
  <c r="AU994" i="2"/>
  <c r="AS1008" i="2"/>
  <c r="AL960" i="2"/>
  <c r="R976" i="2"/>
  <c r="W1022" i="2"/>
  <c r="AM1022" i="2"/>
  <c r="Q1056" i="2"/>
  <c r="AG1056" i="2"/>
  <c r="AW1056" i="2"/>
  <c r="AU1066" i="2"/>
  <c r="Y1076" i="2"/>
  <c r="R1077" i="2"/>
  <c r="Z1016" i="2"/>
  <c r="AL1032" i="2"/>
  <c r="S1076" i="2"/>
  <c r="AR1077" i="2"/>
  <c r="AM1032" i="2"/>
  <c r="AU1044" i="2"/>
  <c r="AL1077" i="2"/>
  <c r="AO1072" i="2"/>
  <c r="AD1072" i="2"/>
  <c r="W1103" i="2"/>
  <c r="AD1111" i="2"/>
  <c r="AG1111" i="2"/>
  <c r="AE1127" i="2"/>
  <c r="AW1127" i="2"/>
  <c r="AG1127" i="2"/>
  <c r="AC1202" i="2"/>
  <c r="AE1202" i="2"/>
  <c r="AI1202" i="2"/>
  <c r="AT963" i="2"/>
  <c r="S922" i="2"/>
  <c r="AI922" i="2"/>
  <c r="AD923" i="2"/>
  <c r="AT923" i="2"/>
  <c r="AI934" i="2"/>
  <c r="AB937" i="2"/>
  <c r="Z939" i="2"/>
  <c r="AP939" i="2"/>
  <c r="AN975" i="2"/>
  <c r="AN1007" i="2"/>
  <c r="R1009" i="2"/>
  <c r="AA923" i="2"/>
  <c r="AQ923" i="2"/>
  <c r="AF926" i="2"/>
  <c r="W939" i="2"/>
  <c r="AM939" i="2"/>
  <c r="W960" i="2"/>
  <c r="Y962" i="2"/>
  <c r="W976" i="2"/>
  <c r="AC986" i="2"/>
  <c r="V1009" i="2"/>
  <c r="Q960" i="2"/>
  <c r="AA962" i="2"/>
  <c r="AW986" i="2"/>
  <c r="AA992" i="2"/>
  <c r="Z1009" i="2"/>
  <c r="Q976" i="2"/>
  <c r="AO976" i="2"/>
  <c r="AA986" i="2"/>
  <c r="AQ986" i="2"/>
  <c r="AG992" i="2"/>
  <c r="S994" i="2"/>
  <c r="AI994" i="2"/>
  <c r="Q1008" i="2"/>
  <c r="AW1008" i="2"/>
  <c r="R960" i="2"/>
  <c r="V976" i="2"/>
  <c r="R1008" i="2"/>
  <c r="AA1022" i="2"/>
  <c r="AQ1022" i="2"/>
  <c r="Y1044" i="2"/>
  <c r="AO1044" i="2"/>
  <c r="U1056" i="2"/>
  <c r="AK1056" i="2"/>
  <c r="S1066" i="2"/>
  <c r="AG1076" i="2"/>
  <c r="Z1077" i="2"/>
  <c r="AD1016" i="2"/>
  <c r="V1032" i="2"/>
  <c r="AP1032" i="2"/>
  <c r="X1054" i="2"/>
  <c r="M1047" i="2"/>
  <c r="AN1047" i="2"/>
  <c r="AM1047" i="2"/>
  <c r="W1047" i="2"/>
  <c r="S1072" i="2"/>
  <c r="AT1077" i="2"/>
  <c r="M1040" i="2"/>
  <c r="W1040" i="2"/>
  <c r="AP1040" i="2"/>
  <c r="V1040" i="2"/>
  <c r="AE1076" i="2"/>
  <c r="AE1103" i="2"/>
  <c r="AR1078" i="2"/>
  <c r="AT1078" i="2"/>
  <c r="Z1078" i="2"/>
  <c r="AW1078" i="2"/>
  <c r="W1078" i="2"/>
  <c r="AC1078" i="2"/>
  <c r="M1094" i="2"/>
  <c r="S1156" i="2"/>
  <c r="Z1156" i="2"/>
  <c r="AS1156" i="2"/>
  <c r="AG1190" i="2"/>
  <c r="M1203" i="2"/>
  <c r="AA1203" i="2"/>
  <c r="AJ1203" i="2"/>
  <c r="AT1203" i="2"/>
  <c r="AE1203" i="2"/>
  <c r="S1203" i="2"/>
  <c r="X1203" i="2"/>
  <c r="AU1203" i="2"/>
  <c r="AF1203" i="2"/>
  <c r="AD1203" i="2"/>
  <c r="Z1203" i="2"/>
  <c r="U1083" i="2"/>
  <c r="AO1083" i="2"/>
  <c r="U1091" i="2"/>
  <c r="AK1091" i="2"/>
  <c r="V1098" i="2"/>
  <c r="V1101" i="2"/>
  <c r="AH1083" i="2"/>
  <c r="V1091" i="2"/>
  <c r="AL1091" i="2"/>
  <c r="Q1101" i="2"/>
  <c r="AW1101" i="2"/>
  <c r="AE1083" i="2"/>
  <c r="AE1091" i="2"/>
  <c r="AP1101" i="2"/>
  <c r="Z1118" i="2"/>
  <c r="Y1123" i="2"/>
  <c r="Y1129" i="2"/>
  <c r="AX1129" i="2"/>
  <c r="AE1115" i="2"/>
  <c r="AD1115" i="2"/>
  <c r="Z1139" i="2"/>
  <c r="AT1139" i="2"/>
  <c r="AK1140" i="2"/>
  <c r="W1142" i="2"/>
  <c r="AS1152" i="2"/>
  <c r="R1140" i="2"/>
  <c r="AP1140" i="2"/>
  <c r="AO1164" i="2"/>
  <c r="X1165" i="2"/>
  <c r="AM1165" i="2"/>
  <c r="S1165" i="2"/>
  <c r="Z1165" i="2"/>
  <c r="AE1165" i="2"/>
  <c r="AL1165" i="2"/>
  <c r="R1165" i="2"/>
  <c r="AW1204" i="2"/>
  <c r="Y1195" i="2"/>
  <c r="AJ1195" i="2"/>
  <c r="AV1195" i="2"/>
  <c r="AF1193" i="2"/>
  <c r="AE1193" i="2"/>
  <c r="AI1193" i="2"/>
  <c r="W1204" i="2"/>
  <c r="Q655" i="2"/>
  <c r="R655" i="2" s="1"/>
  <c r="AV719" i="2"/>
  <c r="AJ715" i="2"/>
  <c r="AI715" i="2"/>
  <c r="AA715" i="2"/>
  <c r="AQ715" i="2"/>
  <c r="AM715" i="2"/>
  <c r="AR715" i="2"/>
  <c r="AE715" i="2"/>
  <c r="AU715" i="2"/>
  <c r="AN715" i="2"/>
  <c r="M1101" i="2"/>
  <c r="X1101" i="2"/>
  <c r="M1142" i="2"/>
  <c r="AI1142" i="2"/>
  <c r="S1142" i="2"/>
  <c r="AU1164" i="2"/>
  <c r="AA1164" i="2"/>
  <c r="Y1164" i="2"/>
  <c r="AI1164" i="2"/>
  <c r="AI1168" i="2"/>
  <c r="S1168" i="2"/>
  <c r="M1169" i="2"/>
  <c r="W1169" i="2"/>
  <c r="Z1169" i="2"/>
  <c r="AG1182" i="2"/>
  <c r="AW714" i="2"/>
  <c r="AG714" i="2"/>
  <c r="AF714" i="2"/>
  <c r="U714" i="2"/>
  <c r="AJ714" i="2"/>
  <c r="AD1303" i="2"/>
  <c r="W1303" i="2"/>
  <c r="M742" i="2"/>
  <c r="AR742" i="2"/>
  <c r="Z1101" i="2"/>
  <c r="AC1101" i="2"/>
  <c r="AA1101" i="2"/>
  <c r="AU1101" i="2"/>
  <c r="AP1118" i="2"/>
  <c r="AB1101" i="2"/>
  <c r="AC1129" i="2"/>
  <c r="R1129" i="2"/>
  <c r="AW1129" i="2"/>
  <c r="Q1129" i="2"/>
  <c r="AE1142" i="2"/>
  <c r="AK1164" i="2"/>
  <c r="T1142" i="2"/>
  <c r="M1139" i="2"/>
  <c r="X1139" i="2"/>
  <c r="AU1139" i="2"/>
  <c r="AE1139" i="2"/>
  <c r="AL1139" i="2"/>
  <c r="V1139" i="2"/>
  <c r="AO1139" i="2"/>
  <c r="M1140" i="2"/>
  <c r="X1140" i="2"/>
  <c r="AE1140" i="2"/>
  <c r="Z1140" i="2"/>
  <c r="AO1140" i="2"/>
  <c r="U1140" i="2"/>
  <c r="AN1140" i="2"/>
  <c r="AM1140" i="2"/>
  <c r="S1140" i="2"/>
  <c r="AG1164" i="2"/>
  <c r="AQ1164" i="2"/>
  <c r="AP1169" i="2"/>
  <c r="U1182" i="2"/>
  <c r="AM1169" i="2"/>
  <c r="V1172" i="2"/>
  <c r="AA1172" i="2"/>
  <c r="T1172" i="2"/>
  <c r="AM1172" i="2"/>
  <c r="S1172" i="2"/>
  <c r="AN1204" i="2"/>
  <c r="Z1204" i="2"/>
  <c r="AI1204" i="2"/>
  <c r="AM1204" i="2"/>
  <c r="T1204" i="2"/>
  <c r="AK1204" i="2"/>
  <c r="S1204" i="2"/>
  <c r="AH1204" i="2"/>
  <c r="AQ1204" i="2"/>
  <c r="R1204" i="2"/>
  <c r="AL1204" i="2"/>
  <c r="W715" i="2"/>
  <c r="AH1143" i="2"/>
  <c r="V1159" i="2"/>
  <c r="Y1161" i="2"/>
  <c r="AL1163" i="2"/>
  <c r="AU1143" i="2"/>
  <c r="W1159" i="2"/>
  <c r="T1161" i="2"/>
  <c r="Z1159" i="2"/>
  <c r="AI1159" i="2"/>
  <c r="AR1159" i="2"/>
  <c r="W1177" i="2"/>
  <c r="AE1184" i="2"/>
  <c r="AK763" i="2"/>
  <c r="X752" i="2"/>
  <c r="AF728" i="2"/>
  <c r="AN755" i="2"/>
  <c r="AJ747" i="2"/>
  <c r="AV735" i="2"/>
  <c r="T735" i="2"/>
  <c r="AF727" i="2"/>
  <c r="T749" i="2"/>
  <c r="AV745" i="2"/>
  <c r="T745" i="2"/>
  <c r="T737" i="2"/>
  <c r="AV733" i="2"/>
  <c r="T733" i="2"/>
  <c r="T725" i="2"/>
  <c r="AJ717" i="2"/>
  <c r="AN771" i="2"/>
  <c r="T791" i="2"/>
  <c r="X795" i="2"/>
  <c r="AB811" i="2"/>
  <c r="AD802" i="2"/>
  <c r="M812" i="2"/>
  <c r="AN812" i="2"/>
  <c r="S802" i="2"/>
  <c r="M825" i="2"/>
  <c r="X825" i="2"/>
  <c r="AQ825" i="2"/>
  <c r="AA825" i="2"/>
  <c r="AI825" i="2"/>
  <c r="S825" i="2"/>
  <c r="M794" i="2"/>
  <c r="AQ794" i="2"/>
  <c r="AA794" i="2"/>
  <c r="M829" i="2"/>
  <c r="Y829" i="2"/>
  <c r="U829" i="2"/>
  <c r="AF747" i="2"/>
  <c r="AF717" i="2"/>
  <c r="AL802" i="2"/>
  <c r="AI802" i="2"/>
  <c r="M813" i="2"/>
  <c r="AQ813" i="2"/>
  <c r="AA813" i="2"/>
  <c r="M786" i="2"/>
  <c r="AI786" i="2"/>
  <c r="M818" i="2"/>
  <c r="S818" i="2"/>
  <c r="AT818" i="2"/>
  <c r="AD818" i="2"/>
  <c r="AI818" i="2"/>
  <c r="AL818" i="2"/>
  <c r="V818" i="2"/>
  <c r="AM848" i="2"/>
  <c r="AV848" i="2"/>
  <c r="Z848" i="2"/>
  <c r="AL757" i="2"/>
  <c r="AN752" i="2"/>
  <c r="AV744" i="2"/>
  <c r="AV728" i="2"/>
  <c r="AV751" i="2"/>
  <c r="AV739" i="2"/>
  <c r="AB739" i="2"/>
  <c r="AJ735" i="2"/>
  <c r="AJ749" i="2"/>
  <c r="AJ745" i="2"/>
  <c r="AJ737" i="2"/>
  <c r="AJ733" i="2"/>
  <c r="AJ725" i="2"/>
  <c r="AV717" i="2"/>
  <c r="X717" i="2"/>
  <c r="AN779" i="2"/>
  <c r="T811" i="2"/>
  <c r="V802" i="2"/>
  <c r="AP802" i="2"/>
  <c r="AI794" i="2"/>
  <c r="M821" i="2"/>
  <c r="AA821" i="2"/>
  <c r="AQ821" i="2"/>
  <c r="M810" i="2"/>
  <c r="S810" i="2"/>
  <c r="AI810" i="2"/>
  <c r="M817" i="2"/>
  <c r="S817" i="2"/>
  <c r="AI817" i="2"/>
  <c r="M802" i="2"/>
  <c r="AA802" i="2"/>
  <c r="AQ802" i="2"/>
  <c r="M841" i="2"/>
  <c r="AN841" i="2"/>
  <c r="X841" i="2"/>
  <c r="AQ778" i="2"/>
  <c r="AN801" i="2"/>
  <c r="X758" i="2"/>
  <c r="AN790" i="2"/>
  <c r="AN798" i="2"/>
  <c r="AN806" i="2"/>
  <c r="AN814" i="2"/>
  <c r="AN822" i="2"/>
  <c r="AN833" i="2"/>
  <c r="V872" i="2"/>
  <c r="AD888" i="2"/>
  <c r="AL904" i="2"/>
  <c r="AD860" i="2"/>
  <c r="X940" i="2"/>
  <c r="X965" i="2"/>
  <c r="X873" i="2"/>
  <c r="AE918" i="2"/>
  <c r="AU918" i="2"/>
  <c r="X921" i="2"/>
  <c r="X929" i="2"/>
  <c r="AE934" i="2"/>
  <c r="AU934" i="2"/>
  <c r="X937" i="2"/>
  <c r="AA946" i="2"/>
  <c r="AQ946" i="2"/>
  <c r="AV951" i="2"/>
  <c r="X955" i="2"/>
  <c r="AT969" i="2"/>
  <c r="S931" i="2"/>
  <c r="AI931" i="2"/>
  <c r="AQ943" i="2"/>
  <c r="AV1011" i="2"/>
  <c r="AR871" i="2"/>
  <c r="X947" i="2"/>
  <c r="AK972" i="2"/>
  <c r="AE980" i="2"/>
  <c r="Q980" i="2"/>
  <c r="AG980" i="2"/>
  <c r="AW980" i="2"/>
  <c r="Y996" i="2"/>
  <c r="AO996" i="2"/>
  <c r="AJ1001" i="2"/>
  <c r="Y1004" i="2"/>
  <c r="AO1004" i="2"/>
  <c r="X954" i="2"/>
  <c r="AP956" i="2"/>
  <c r="R972" i="2"/>
  <c r="AH972" i="2"/>
  <c r="R980" i="2"/>
  <c r="AH980" i="2"/>
  <c r="R996" i="2"/>
  <c r="AH996" i="2"/>
  <c r="V1004" i="2"/>
  <c r="AH1008" i="2"/>
  <c r="X1010" i="2"/>
  <c r="AD1015" i="2"/>
  <c r="X1012" i="2"/>
  <c r="M1045" i="2"/>
  <c r="AR1045" i="2"/>
  <c r="M1043" i="2"/>
  <c r="W1043" i="2"/>
  <c r="M1055" i="2"/>
  <c r="AP1055" i="2"/>
  <c r="Z1055" i="2"/>
  <c r="AU1055" i="2"/>
  <c r="AE1055" i="2"/>
  <c r="M1063" i="2"/>
  <c r="AU1063" i="2"/>
  <c r="AE1063" i="2"/>
  <c r="AP1063" i="2"/>
  <c r="Z1063" i="2"/>
  <c r="AQ1063" i="2"/>
  <c r="AA1063" i="2"/>
  <c r="AN1063" i="2"/>
  <c r="AM1063" i="2"/>
  <c r="W1063" i="2"/>
  <c r="AH1099" i="2"/>
  <c r="AJ1099" i="2"/>
  <c r="AQ1099" i="2"/>
  <c r="AE1099" i="2"/>
  <c r="AD1099" i="2"/>
  <c r="Z1099" i="2"/>
  <c r="X1099" i="2"/>
  <c r="M1095" i="2"/>
  <c r="R1095" i="2"/>
  <c r="Y1095" i="2"/>
  <c r="AI1095" i="2"/>
  <c r="AW1117" i="2"/>
  <c r="AA1117" i="2"/>
  <c r="S1135" i="2"/>
  <c r="AP1135" i="2"/>
  <c r="M1018" i="2"/>
  <c r="AR1018" i="2"/>
  <c r="M1080" i="2"/>
  <c r="AK1080" i="2"/>
  <c r="Q1080" i="2"/>
  <c r="M1081" i="2"/>
  <c r="Y1081" i="2"/>
  <c r="AB1081" i="2"/>
  <c r="AQ1081" i="2"/>
  <c r="AA1081" i="2"/>
  <c r="AL1081" i="2"/>
  <c r="X1081" i="2"/>
  <c r="AM1081" i="2"/>
  <c r="W1081" i="2"/>
  <c r="T1081" i="2"/>
  <c r="AI1081" i="2"/>
  <c r="S1081" i="2"/>
  <c r="AO1081" i="2"/>
  <c r="M1112" i="2"/>
  <c r="AS1112" i="2"/>
  <c r="AA1112" i="2"/>
  <c r="AB1112" i="2"/>
  <c r="X1112" i="2"/>
  <c r="AI1166" i="2"/>
  <c r="AT1166" i="2"/>
  <c r="R1166" i="2"/>
  <c r="AS1166" i="2"/>
  <c r="U1166" i="2"/>
  <c r="S1166" i="2"/>
  <c r="AP1166" i="2"/>
  <c r="AK1166" i="2"/>
  <c r="Q1166" i="2"/>
  <c r="AN1166" i="2"/>
  <c r="AQ1166" i="2"/>
  <c r="AD1166" i="2"/>
  <c r="AG1166" i="2"/>
  <c r="AM1166" i="2"/>
  <c r="Z1166" i="2"/>
  <c r="AC1166" i="2"/>
  <c r="AJ1209" i="2"/>
  <c r="AD1209" i="2"/>
  <c r="AC1209" i="2"/>
  <c r="AS1209" i="2"/>
  <c r="AH1212" i="2"/>
  <c r="AI1212" i="2"/>
  <c r="AQ1212" i="2"/>
  <c r="Y1212" i="2"/>
  <c r="V1212" i="2"/>
  <c r="U1212" i="2"/>
  <c r="S1212" i="2"/>
  <c r="AT1212" i="2"/>
  <c r="AA778" i="2"/>
  <c r="X892" i="2"/>
  <c r="AF908" i="2"/>
  <c r="U852" i="2"/>
  <c r="V862" i="2"/>
  <c r="AT888" i="2"/>
  <c r="V904" i="2"/>
  <c r="AB920" i="2"/>
  <c r="T860" i="2"/>
  <c r="AO860" i="2"/>
  <c r="AF888" i="2"/>
  <c r="AF904" i="2"/>
  <c r="AF860" i="2"/>
  <c r="W934" i="2"/>
  <c r="AM934" i="2"/>
  <c r="S946" i="2"/>
  <c r="AI946" i="2"/>
  <c r="AD969" i="2"/>
  <c r="AA931" i="2"/>
  <c r="AQ931" i="2"/>
  <c r="AA943" i="2"/>
  <c r="AB1007" i="2"/>
  <c r="AJ875" i="2"/>
  <c r="V989" i="2"/>
  <c r="AF1007" i="2"/>
  <c r="Y980" i="2"/>
  <c r="AO980" i="2"/>
  <c r="Q996" i="2"/>
  <c r="AG996" i="2"/>
  <c r="AW996" i="2"/>
  <c r="Q1004" i="2"/>
  <c r="AG1004" i="2"/>
  <c r="AW1004" i="2"/>
  <c r="Z956" i="2"/>
  <c r="Z972" i="2"/>
  <c r="AP972" i="2"/>
  <c r="Z980" i="2"/>
  <c r="AP980" i="2"/>
  <c r="Z996" i="2"/>
  <c r="AP996" i="2"/>
  <c r="X972" i="2"/>
  <c r="T996" i="2"/>
  <c r="AE1018" i="2"/>
  <c r="M1050" i="2"/>
  <c r="AE1050" i="2"/>
  <c r="AR1073" i="2"/>
  <c r="AT1073" i="2"/>
  <c r="V1073" i="2"/>
  <c r="M1023" i="2"/>
  <c r="AM1023" i="2"/>
  <c r="W1023" i="2"/>
  <c r="AB1023" i="2"/>
  <c r="AI1023" i="2"/>
  <c r="S1023" i="2"/>
  <c r="T1023" i="2"/>
  <c r="AU1023" i="2"/>
  <c r="AE1023" i="2"/>
  <c r="M1039" i="2"/>
  <c r="AQ1039" i="2"/>
  <c r="AA1039" i="2"/>
  <c r="AN1039" i="2"/>
  <c r="AM1039" i="2"/>
  <c r="W1039" i="2"/>
  <c r="AB1039" i="2"/>
  <c r="AI1039" i="2"/>
  <c r="S1039" i="2"/>
  <c r="M1020" i="2"/>
  <c r="AI1020" i="2"/>
  <c r="S1020" i="2"/>
  <c r="AT1020" i="2"/>
  <c r="AD1020" i="2"/>
  <c r="AJ1020" i="2"/>
  <c r="AU1020" i="2"/>
  <c r="AE1020" i="2"/>
  <c r="AP1020" i="2"/>
  <c r="Z1020" i="2"/>
  <c r="T1020" i="2"/>
  <c r="AQ1020" i="2"/>
  <c r="AA1020" i="2"/>
  <c r="AL1020" i="2"/>
  <c r="V1020" i="2"/>
  <c r="M1044" i="2"/>
  <c r="AQ1044" i="2"/>
  <c r="AA1044" i="2"/>
  <c r="AL1044" i="2"/>
  <c r="V1044" i="2"/>
  <c r="AW1044" i="2"/>
  <c r="AM1044" i="2"/>
  <c r="W1044" i="2"/>
  <c r="AH1044" i="2"/>
  <c r="R1044" i="2"/>
  <c r="AI1044" i="2"/>
  <c r="S1044" i="2"/>
  <c r="AT1044" i="2"/>
  <c r="AD1044" i="2"/>
  <c r="AE1081" i="2"/>
  <c r="S1095" i="2"/>
  <c r="AI1087" i="2"/>
  <c r="AO1087" i="2"/>
  <c r="Y1087" i="2"/>
  <c r="AH1087" i="2"/>
  <c r="M1107" i="2"/>
  <c r="AB1107" i="2"/>
  <c r="AD1107" i="2"/>
  <c r="X1107" i="2"/>
  <c r="AT1107" i="2"/>
  <c r="Z1107" i="2"/>
  <c r="V1107" i="2"/>
  <c r="AS1107" i="2"/>
  <c r="Y1107" i="2"/>
  <c r="AI1107" i="2"/>
  <c r="AQ1107" i="2"/>
  <c r="AM1107" i="2"/>
  <c r="AO1107" i="2"/>
  <c r="Q1107" i="2"/>
  <c r="S1107" i="2"/>
  <c r="AA1107" i="2"/>
  <c r="W1107" i="2"/>
  <c r="AP1107" i="2"/>
  <c r="AG1107" i="2"/>
  <c r="AU1107" i="2"/>
  <c r="AE1119" i="2"/>
  <c r="AT1119" i="2"/>
  <c r="AN908" i="2"/>
  <c r="AF852" i="2"/>
  <c r="AF862" i="2"/>
  <c r="AT872" i="2"/>
  <c r="V888" i="2"/>
  <c r="AD904" i="2"/>
  <c r="AR920" i="2"/>
  <c r="Y860" i="2"/>
  <c r="AT860" i="2"/>
  <c r="AN888" i="2"/>
  <c r="AB828" i="2"/>
  <c r="AN832" i="2"/>
  <c r="T940" i="2"/>
  <c r="AA918" i="2"/>
  <c r="AQ918" i="2"/>
  <c r="AA934" i="2"/>
  <c r="AQ934" i="2"/>
  <c r="W946" i="2"/>
  <c r="AM946" i="2"/>
  <c r="AL969" i="2"/>
  <c r="AE931" i="2"/>
  <c r="AU931" i="2"/>
  <c r="AM943" i="2"/>
  <c r="AR1007" i="2"/>
  <c r="AC972" i="2"/>
  <c r="AL989" i="2"/>
  <c r="AM1004" i="2"/>
  <c r="AV1007" i="2"/>
  <c r="AC980" i="2"/>
  <c r="AS980" i="2"/>
  <c r="AR981" i="2"/>
  <c r="U996" i="2"/>
  <c r="AK996" i="2"/>
  <c r="U1004" i="2"/>
  <c r="AK1004" i="2"/>
  <c r="T954" i="2"/>
  <c r="AD972" i="2"/>
  <c r="AT972" i="2"/>
  <c r="AD980" i="2"/>
  <c r="AT980" i="2"/>
  <c r="AD996" i="2"/>
  <c r="AT996" i="2"/>
  <c r="V1008" i="2"/>
  <c r="X1015" i="2"/>
  <c r="AJ972" i="2"/>
  <c r="X996" i="2"/>
  <c r="AI1018" i="2"/>
  <c r="X1049" i="2"/>
  <c r="M1027" i="2"/>
  <c r="AM1027" i="2"/>
  <c r="W1027" i="2"/>
  <c r="M1024" i="2"/>
  <c r="AM1024" i="2"/>
  <c r="AP1024" i="2"/>
  <c r="V1024" i="2"/>
  <c r="AL1024" i="2"/>
  <c r="AD1024" i="2"/>
  <c r="AU1081" i="2"/>
  <c r="M1074" i="2"/>
  <c r="W1074" i="2"/>
  <c r="S1074" i="2"/>
  <c r="AG1074" i="2"/>
  <c r="M1086" i="2"/>
  <c r="AS1086" i="2"/>
  <c r="AU1086" i="2"/>
  <c r="AE1086" i="2"/>
  <c r="AP1086" i="2"/>
  <c r="Z1086" i="2"/>
  <c r="AO1086" i="2"/>
  <c r="AB1086" i="2"/>
  <c r="AQ1086" i="2"/>
  <c r="AA1086" i="2"/>
  <c r="AL1086" i="2"/>
  <c r="V1086" i="2"/>
  <c r="X1086" i="2"/>
  <c r="AM1086" i="2"/>
  <c r="W1086" i="2"/>
  <c r="AH1086" i="2"/>
  <c r="R1086" i="2"/>
  <c r="AU1114" i="2"/>
  <c r="AH1114" i="2"/>
  <c r="AW1166" i="2"/>
  <c r="AL1102" i="2"/>
  <c r="M1120" i="2"/>
  <c r="AD1120" i="2"/>
  <c r="Y1120" i="2"/>
  <c r="S1126" i="2"/>
  <c r="AG1126" i="2"/>
  <c r="AJ1126" i="2"/>
  <c r="AU1126" i="2"/>
  <c r="AM1123" i="2"/>
  <c r="AE1123" i="2"/>
  <c r="AI1156" i="2"/>
  <c r="R1156" i="2"/>
  <c r="Y1156" i="2"/>
  <c r="AT1156" i="2"/>
  <c r="AK1156" i="2"/>
  <c r="AE1156" i="2"/>
  <c r="AL1156" i="2"/>
  <c r="AC1156" i="2"/>
  <c r="AR1156" i="2"/>
  <c r="AU1156" i="2"/>
  <c r="W1156" i="2"/>
  <c r="AP1156" i="2"/>
  <c r="AO1156" i="2"/>
  <c r="AD1156" i="2"/>
  <c r="U1156" i="2"/>
  <c r="T1071" i="2"/>
  <c r="AT1079" i="2"/>
  <c r="AB1085" i="2"/>
  <c r="Y1102" i="2"/>
  <c r="Q1085" i="2"/>
  <c r="X1091" i="2"/>
  <c r="AS1102" i="2"/>
  <c r="X1120" i="2"/>
  <c r="AN1131" i="2"/>
  <c r="AE1126" i="2"/>
  <c r="AQ1131" i="2"/>
  <c r="AC1110" i="2"/>
  <c r="AA1110" i="2"/>
  <c r="AB1126" i="2"/>
  <c r="M1111" i="2"/>
  <c r="AU1111" i="2"/>
  <c r="AE1111" i="2"/>
  <c r="AT1111" i="2"/>
  <c r="AJ1129" i="2"/>
  <c r="X1129" i="2"/>
  <c r="AH1129" i="2"/>
  <c r="T1129" i="2"/>
  <c r="AS1129" i="2"/>
  <c r="Z1129" i="2"/>
  <c r="AK1155" i="2"/>
  <c r="AI1155" i="2"/>
  <c r="S1155" i="2"/>
  <c r="AT1155" i="2"/>
  <c r="AD1155" i="2"/>
  <c r="AR1155" i="2"/>
  <c r="AU1155" i="2"/>
  <c r="AE1155" i="2"/>
  <c r="AP1155" i="2"/>
  <c r="Z1155" i="2"/>
  <c r="X1155" i="2"/>
  <c r="AQ1155" i="2"/>
  <c r="AA1155" i="2"/>
  <c r="AL1155" i="2"/>
  <c r="V1155" i="2"/>
  <c r="M1132" i="2"/>
  <c r="AN1132" i="2"/>
  <c r="AC1132" i="2"/>
  <c r="AL1132" i="2"/>
  <c r="AI1132" i="2"/>
  <c r="AB1132" i="2"/>
  <c r="AS1132" i="2"/>
  <c r="Y1132" i="2"/>
  <c r="AM1132" i="2"/>
  <c r="V1132" i="2"/>
  <c r="AA1132" i="2"/>
  <c r="X1132" i="2"/>
  <c r="M1148" i="2"/>
  <c r="AE1148" i="2"/>
  <c r="AO1148" i="2"/>
  <c r="U1148" i="2"/>
  <c r="W1148" i="2"/>
  <c r="AK1148" i="2"/>
  <c r="AH1148" i="2"/>
  <c r="AC1148" i="2"/>
  <c r="AR1180" i="2"/>
  <c r="AI1180" i="2"/>
  <c r="S1180" i="2"/>
  <c r="AB1180" i="2"/>
  <c r="AU1180" i="2"/>
  <c r="AE1180" i="2"/>
  <c r="X1180" i="2"/>
  <c r="AQ1180" i="2"/>
  <c r="AA1180" i="2"/>
  <c r="AP1174" i="2"/>
  <c r="AK1174" i="2"/>
  <c r="Q1174" i="2"/>
  <c r="AH1174" i="2"/>
  <c r="AG1174" i="2"/>
  <c r="R1174" i="2"/>
  <c r="AW1174" i="2"/>
  <c r="AC1174" i="2"/>
  <c r="Q1192" i="2"/>
  <c r="AW1192" i="2"/>
  <c r="AB1192" i="2"/>
  <c r="AU1194" i="2"/>
  <c r="Y1194" i="2"/>
  <c r="W1194" i="2"/>
  <c r="V1194" i="2"/>
  <c r="AK1194" i="2"/>
  <c r="AW1194" i="2"/>
  <c r="Q1194" i="2"/>
  <c r="T1194" i="2"/>
  <c r="Z1194" i="2"/>
  <c r="AO1194" i="2"/>
  <c r="AH1194" i="2"/>
  <c r="AQ1194" i="2"/>
  <c r="U1038" i="2"/>
  <c r="AB1047" i="2"/>
  <c r="AB1071" i="2"/>
  <c r="AR1040" i="2"/>
  <c r="AJ1052" i="2"/>
  <c r="X1068" i="2"/>
  <c r="AI1077" i="2"/>
  <c r="AC1079" i="2"/>
  <c r="X1092" i="2"/>
  <c r="AN1102" i="2"/>
  <c r="AR1085" i="2"/>
  <c r="U1092" i="2"/>
  <c r="M1103" i="2"/>
  <c r="R1103" i="2"/>
  <c r="AG1085" i="2"/>
  <c r="W1091" i="2"/>
  <c r="AM1091" i="2"/>
  <c r="AI1103" i="2"/>
  <c r="T1106" i="2"/>
  <c r="AB1091" i="2"/>
  <c r="AB1103" i="2"/>
  <c r="AB1120" i="2"/>
  <c r="AD1123" i="2"/>
  <c r="AI1126" i="2"/>
  <c r="AJ1110" i="2"/>
  <c r="AA1122" i="2"/>
  <c r="AU1122" i="2"/>
  <c r="AR1122" i="2"/>
  <c r="AQ1122" i="2"/>
  <c r="AL1129" i="2"/>
  <c r="M1136" i="2"/>
  <c r="AC1136" i="2"/>
  <c r="AM1136" i="2"/>
  <c r="W1136" i="2"/>
  <c r="AP1136" i="2"/>
  <c r="AR1179" i="2"/>
  <c r="AB1179" i="2"/>
  <c r="M1185" i="2"/>
  <c r="AF1185" i="2"/>
  <c r="AJ1185" i="2"/>
  <c r="S1213" i="2"/>
  <c r="AC1213" i="2"/>
  <c r="AL1213" i="2"/>
  <c r="V1213" i="2"/>
  <c r="AB1213" i="2"/>
  <c r="M730" i="2"/>
  <c r="AV730" i="2"/>
  <c r="AN730" i="2"/>
  <c r="AR730" i="2"/>
  <c r="S723" i="2"/>
  <c r="AM723" i="2"/>
  <c r="AN723" i="2"/>
  <c r="AI723" i="2"/>
  <c r="AU723" i="2"/>
  <c r="AR723" i="2"/>
  <c r="AV723" i="2"/>
  <c r="M754" i="2"/>
  <c r="AN754" i="2"/>
  <c r="AR754" i="2"/>
  <c r="AK1175" i="2"/>
  <c r="AN1165" i="2"/>
  <c r="U1172" i="2"/>
  <c r="R1175" i="2"/>
  <c r="AW1203" i="2"/>
  <c r="AN1101" i="2"/>
  <c r="AN1109" i="2"/>
  <c r="AS1109" i="2"/>
  <c r="AB1142" i="2"/>
  <c r="AS1142" i="2"/>
  <c r="V1142" i="2"/>
  <c r="AB1175" i="2"/>
  <c r="AR1172" i="2"/>
  <c r="AO1175" i="2"/>
  <c r="AK1172" i="2"/>
  <c r="AL1175" i="2"/>
  <c r="Q1165" i="2"/>
  <c r="AK1197" i="2"/>
  <c r="R1203" i="2"/>
  <c r="AW1109" i="2"/>
  <c r="AR1142" i="2"/>
  <c r="AI1147" i="2"/>
  <c r="AR1175" i="2"/>
  <c r="AD1197" i="2"/>
  <c r="V1307" i="2"/>
  <c r="AG1309" i="2"/>
  <c r="AG1307" i="2"/>
  <c r="AG1301" i="2"/>
  <c r="AB1309" i="2"/>
  <c r="X1307" i="2"/>
  <c r="AB1301" i="2"/>
  <c r="V1309" i="2"/>
  <c r="V1301" i="2"/>
  <c r="Y1309" i="2"/>
  <c r="Y1307" i="2"/>
  <c r="Y1301" i="2"/>
  <c r="T1309" i="2"/>
  <c r="T1301" i="2"/>
  <c r="W1299" i="2"/>
  <c r="AE1303" i="2"/>
  <c r="R1309" i="2"/>
  <c r="Z1307" i="2"/>
  <c r="R1301" i="2"/>
  <c r="U1307" i="2"/>
  <c r="U1301" i="2"/>
  <c r="X1316" i="2"/>
  <c r="T763" i="2"/>
  <c r="R739" i="2"/>
  <c r="AR819" i="2"/>
  <c r="AN774" i="2"/>
  <c r="AV858" i="2"/>
  <c r="AN892" i="2"/>
  <c r="AN872" i="2"/>
  <c r="AA849" i="2"/>
  <c r="AA854" i="2"/>
  <c r="AR940" i="2"/>
  <c r="X948" i="2"/>
  <c r="AV1003" i="2"/>
  <c r="AN881" i="2"/>
  <c r="AV999" i="2"/>
  <c r="AF918" i="2"/>
  <c r="AB926" i="2"/>
  <c r="AJ930" i="2"/>
  <c r="X946" i="2"/>
  <c r="X953" i="2"/>
  <c r="AF1011" i="2"/>
  <c r="AF871" i="2"/>
  <c r="X875" i="2"/>
  <c r="T883" i="2"/>
  <c r="AP977" i="2"/>
  <c r="X985" i="2"/>
  <c r="AF989" i="2"/>
  <c r="X1001" i="2"/>
  <c r="X1009" i="2"/>
  <c r="M968" i="2"/>
  <c r="AL968" i="2"/>
  <c r="AH968" i="2"/>
  <c r="AR968" i="2"/>
  <c r="V968" i="2"/>
  <c r="M992" i="2"/>
  <c r="R992" i="2"/>
  <c r="AR992" i="2"/>
  <c r="AL992" i="2"/>
  <c r="AB992" i="2"/>
  <c r="AH992" i="2"/>
  <c r="AO1017" i="2"/>
  <c r="AN1017" i="2"/>
  <c r="AC1316" i="2"/>
  <c r="AC1314" i="2"/>
  <c r="AB1314" i="2"/>
  <c r="AF763" i="2"/>
  <c r="AV757" i="2"/>
  <c r="AF756" i="2"/>
  <c r="X744" i="2"/>
  <c r="AV740" i="2"/>
  <c r="AN720" i="2"/>
  <c r="AF755" i="2"/>
  <c r="AF753" i="2"/>
  <c r="T717" i="2"/>
  <c r="T775" i="2"/>
  <c r="T787" i="2"/>
  <c r="AB795" i="2"/>
  <c r="T819" i="2"/>
  <c r="U826" i="2"/>
  <c r="X777" i="2"/>
  <c r="AV849" i="2"/>
  <c r="AV854" i="2"/>
  <c r="AN948" i="2"/>
  <c r="M1002" i="2"/>
  <c r="T1002" i="2"/>
  <c r="M956" i="2"/>
  <c r="AL956" i="2"/>
  <c r="V956" i="2"/>
  <c r="AH956" i="2"/>
  <c r="R956" i="2"/>
  <c r="M1004" i="2"/>
  <c r="AH1004" i="2"/>
  <c r="R1004" i="2"/>
  <c r="AT1004" i="2"/>
  <c r="AD1004" i="2"/>
  <c r="AP1004" i="2"/>
  <c r="Z1004" i="2"/>
  <c r="Y1316" i="2"/>
  <c r="Y1314" i="2"/>
  <c r="AF1316" i="2"/>
  <c r="X1314" i="2"/>
  <c r="Z763" i="2"/>
  <c r="AF720" i="2"/>
  <c r="AV755" i="2"/>
  <c r="AB755" i="2"/>
  <c r="AJ731" i="2"/>
  <c r="AR772" i="2"/>
  <c r="AQ761" i="2"/>
  <c r="AV753" i="2"/>
  <c r="AB753" i="2"/>
  <c r="AB775" i="2"/>
  <c r="T783" i="2"/>
  <c r="AR795" i="2"/>
  <c r="T803" i="2"/>
  <c r="X819" i="2"/>
  <c r="X796" i="2"/>
  <c r="AN777" i="2"/>
  <c r="X793" i="2"/>
  <c r="AF898" i="2"/>
  <c r="AT914" i="2"/>
  <c r="AF924" i="2"/>
  <c r="T920" i="2"/>
  <c r="AB936" i="2"/>
  <c r="AR948" i="2"/>
  <c r="AN945" i="2"/>
  <c r="X918" i="2"/>
  <c r="X969" i="2"/>
  <c r="AF979" i="2"/>
  <c r="X899" i="2"/>
  <c r="AJ931" i="2"/>
  <c r="T977" i="2"/>
  <c r="R991" i="2"/>
  <c r="AB997" i="2"/>
  <c r="AB1005" i="2"/>
  <c r="M984" i="2"/>
  <c r="R984" i="2"/>
  <c r="AR984" i="2"/>
  <c r="AL984" i="2"/>
  <c r="AB984" i="2"/>
  <c r="AH984" i="2"/>
  <c r="U1316" i="2"/>
  <c r="U1314" i="2"/>
  <c r="AB1316" i="2"/>
  <c r="AG1314" i="2"/>
  <c r="AP763" i="2"/>
  <c r="U763" i="2"/>
  <c r="AA757" i="2"/>
  <c r="AV736" i="2"/>
  <c r="X720" i="2"/>
  <c r="AR755" i="2"/>
  <c r="X755" i="2"/>
  <c r="AJ727" i="2"/>
  <c r="AR763" i="2"/>
  <c r="R755" i="2"/>
  <c r="AR753" i="2"/>
  <c r="T753" i="2"/>
  <c r="AV749" i="2"/>
  <c r="AF745" i="2"/>
  <c r="AV737" i="2"/>
  <c r="AB737" i="2"/>
  <c r="AV725" i="2"/>
  <c r="AR717" i="2"/>
  <c r="T771" i="2"/>
  <c r="AB783" i="2"/>
  <c r="AB791" i="2"/>
  <c r="T795" i="2"/>
  <c r="T807" i="2"/>
  <c r="AR811" i="2"/>
  <c r="AB819" i="2"/>
  <c r="AN804" i="2"/>
  <c r="X812" i="2"/>
  <c r="X820" i="2"/>
  <c r="X785" i="2"/>
  <c r="AN793" i="2"/>
  <c r="AN809" i="2"/>
  <c r="AN758" i="2"/>
  <c r="X766" i="2"/>
  <c r="X774" i="2"/>
  <c r="AA858" i="2"/>
  <c r="AF892" i="2"/>
  <c r="AV928" i="2"/>
  <c r="AF866" i="2"/>
  <c r="AV924" i="2"/>
  <c r="X835" i="2"/>
  <c r="AF872" i="2"/>
  <c r="AR832" i="2"/>
  <c r="U849" i="2"/>
  <c r="V854" i="2"/>
  <c r="AR936" i="2"/>
  <c r="AB940" i="2"/>
  <c r="T948" i="2"/>
  <c r="AF1003" i="2"/>
  <c r="X881" i="2"/>
  <c r="AV971" i="2"/>
  <c r="AB918" i="2"/>
  <c r="AJ851" i="2"/>
  <c r="AJ859" i="2"/>
  <c r="T875" i="2"/>
  <c r="AJ899" i="2"/>
  <c r="AR911" i="2"/>
  <c r="Z977" i="2"/>
  <c r="X977" i="2"/>
  <c r="T985" i="2"/>
  <c r="AB989" i="2"/>
  <c r="V991" i="2"/>
  <c r="AF997" i="2"/>
  <c r="T1001" i="2"/>
  <c r="AF1005" i="2"/>
  <c r="T1009" i="2"/>
  <c r="AL1004" i="2"/>
  <c r="X1017" i="2"/>
  <c r="M964" i="2"/>
  <c r="AL964" i="2"/>
  <c r="V964" i="2"/>
  <c r="X964" i="2"/>
  <c r="AH964" i="2"/>
  <c r="R964" i="2"/>
  <c r="T964" i="2"/>
  <c r="AT964" i="2"/>
  <c r="AO1049" i="2"/>
  <c r="AO1065" i="2"/>
  <c r="AO1094" i="2"/>
  <c r="AC1117" i="2"/>
  <c r="M1145" i="2"/>
  <c r="AI1145" i="2"/>
  <c r="M1149" i="2"/>
  <c r="AI1149" i="2"/>
  <c r="AK1153" i="2"/>
  <c r="V1145" i="2"/>
  <c r="AL1130" i="2"/>
  <c r="V1146" i="2"/>
  <c r="AS1158" i="2"/>
  <c r="M1200" i="2"/>
  <c r="AS1200" i="2"/>
  <c r="U1200" i="2"/>
  <c r="Q1200" i="2"/>
  <c r="X1200" i="2"/>
  <c r="AM1200" i="2"/>
  <c r="P40" i="2"/>
  <c r="Q40" i="2" s="1"/>
  <c r="P41" i="2"/>
  <c r="X1033" i="2"/>
  <c r="AB1069" i="2"/>
  <c r="X1022" i="2"/>
  <c r="AU1031" i="2"/>
  <c r="AM1043" i="2"/>
  <c r="S1055" i="2"/>
  <c r="AI1055" i="2"/>
  <c r="U1022" i="2"/>
  <c r="T1031" i="2"/>
  <c r="S1032" i="2"/>
  <c r="AI1048" i="2"/>
  <c r="T1055" i="2"/>
  <c r="U1070" i="2"/>
  <c r="W1072" i="2"/>
  <c r="AS1076" i="2"/>
  <c r="AB1032" i="2"/>
  <c r="AB1048" i="2"/>
  <c r="U1063" i="2"/>
  <c r="AM1076" i="2"/>
  <c r="X1076" i="2"/>
  <c r="X1084" i="2"/>
  <c r="W1089" i="2"/>
  <c r="AQ1089" i="2"/>
  <c r="AH1094" i="2"/>
  <c r="X1089" i="2"/>
  <c r="AI1094" i="2"/>
  <c r="AO1102" i="2"/>
  <c r="AG1077" i="2"/>
  <c r="AS1089" i="2"/>
  <c r="X1094" i="2"/>
  <c r="AP1081" i="2"/>
  <c r="AD1085" i="2"/>
  <c r="AS1094" i="2"/>
  <c r="Q1103" i="2"/>
  <c r="AT1114" i="2"/>
  <c r="AE1117" i="2"/>
  <c r="AW1119" i="2"/>
  <c r="AP1099" i="2"/>
  <c r="AD1103" i="2"/>
  <c r="AN1117" i="2"/>
  <c r="AM1128" i="2"/>
  <c r="AB1114" i="2"/>
  <c r="AP1120" i="2"/>
  <c r="AW1114" i="2"/>
  <c r="AA1120" i="2"/>
  <c r="S1130" i="2"/>
  <c r="AU1130" i="2"/>
  <c r="AJ1137" i="2"/>
  <c r="AU1138" i="2"/>
  <c r="X1145" i="2"/>
  <c r="AI1146" i="2"/>
  <c r="AB1149" i="2"/>
  <c r="AP1151" i="2"/>
  <c r="AR1158" i="2"/>
  <c r="AR1138" i="2"/>
  <c r="AC1149" i="2"/>
  <c r="AE1158" i="2"/>
  <c r="AC1138" i="2"/>
  <c r="AP1145" i="2"/>
  <c r="AN1158" i="2"/>
  <c r="M1152" i="2"/>
  <c r="AM1152" i="2"/>
  <c r="M1181" i="2"/>
  <c r="AK1181" i="2"/>
  <c r="AB1181" i="2"/>
  <c r="AI1181" i="2"/>
  <c r="AG1181" i="2"/>
  <c r="AM1181" i="2"/>
  <c r="AH1181" i="2"/>
  <c r="AN1181" i="2"/>
  <c r="AE1181" i="2"/>
  <c r="X1181" i="2"/>
  <c r="W1181" i="2"/>
  <c r="T1200" i="2"/>
  <c r="Q623" i="2"/>
  <c r="R623" i="2" s="1"/>
  <c r="Q631" i="2"/>
  <c r="R631" i="2" s="1"/>
  <c r="Q639" i="2"/>
  <c r="R639" i="2" s="1"/>
  <c r="Q647" i="2"/>
  <c r="R647" i="2" s="1"/>
  <c r="Q663" i="2"/>
  <c r="R663" i="2" s="1"/>
  <c r="Q671" i="2"/>
  <c r="R671" i="2" s="1"/>
  <c r="Q679" i="2"/>
  <c r="R679" i="2" s="1"/>
  <c r="T970" i="2"/>
  <c r="AF960" i="2"/>
  <c r="AR1008" i="2"/>
  <c r="AB1029" i="2"/>
  <c r="X1041" i="2"/>
  <c r="AB1053" i="2"/>
  <c r="AB1061" i="2"/>
  <c r="X1065" i="2"/>
  <c r="S1031" i="2"/>
  <c r="AI1031" i="2"/>
  <c r="AR1034" i="2"/>
  <c r="V1048" i="2"/>
  <c r="AP1048" i="2"/>
  <c r="AR1050" i="2"/>
  <c r="AC1053" i="2"/>
  <c r="W1055" i="2"/>
  <c r="AM1055" i="2"/>
  <c r="AL1060" i="2"/>
  <c r="AR1066" i="2"/>
  <c r="AC1069" i="2"/>
  <c r="V1072" i="2"/>
  <c r="AU1072" i="2"/>
  <c r="AA1076" i="2"/>
  <c r="AN1023" i="2"/>
  <c r="AB1031" i="2"/>
  <c r="W1032" i="2"/>
  <c r="AM1048" i="2"/>
  <c r="U1054" i="2"/>
  <c r="AB1055" i="2"/>
  <c r="T1063" i="2"/>
  <c r="AI1072" i="2"/>
  <c r="U1076" i="2"/>
  <c r="AB1016" i="2"/>
  <c r="U1031" i="2"/>
  <c r="AO1039" i="2"/>
  <c r="X1044" i="2"/>
  <c r="Y1055" i="2"/>
  <c r="AK1074" i="2"/>
  <c r="AU1076" i="2"/>
  <c r="V1074" i="2"/>
  <c r="AJ1076" i="2"/>
  <c r="AJ1084" i="2"/>
  <c r="AA1089" i="2"/>
  <c r="AU1089" i="2"/>
  <c r="R1094" i="2"/>
  <c r="AL1094" i="2"/>
  <c r="X1102" i="2"/>
  <c r="AN1081" i="2"/>
  <c r="AB1089" i="2"/>
  <c r="S1094" i="2"/>
  <c r="AM1094" i="2"/>
  <c r="AW1102" i="2"/>
  <c r="AS1081" i="2"/>
  <c r="AW1085" i="2"/>
  <c r="AN1086" i="2"/>
  <c r="AB1094" i="2"/>
  <c r="T1102" i="2"/>
  <c r="AT1085" i="2"/>
  <c r="AN1091" i="2"/>
  <c r="U1103" i="2"/>
  <c r="AN1112" i="2"/>
  <c r="R1114" i="2"/>
  <c r="AU1117" i="2"/>
  <c r="AI1121" i="2"/>
  <c r="AD1128" i="2"/>
  <c r="W1102" i="2"/>
  <c r="AC1112" i="2"/>
  <c r="AA1114" i="2"/>
  <c r="AA1118" i="2"/>
  <c r="AO1120" i="2"/>
  <c r="AR1130" i="2"/>
  <c r="Q1109" i="2"/>
  <c r="AD1112" i="2"/>
  <c r="AR1114" i="2"/>
  <c r="AJ1118" i="2"/>
  <c r="U1130" i="2"/>
  <c r="AT1109" i="2"/>
  <c r="AW1122" i="2"/>
  <c r="AI1128" i="2"/>
  <c r="X1130" i="2"/>
  <c r="W1130" i="2"/>
  <c r="S1138" i="2"/>
  <c r="AR1145" i="2"/>
  <c r="AU1146" i="2"/>
  <c r="AR1149" i="2"/>
  <c r="Y1137" i="2"/>
  <c r="AN1142" i="2"/>
  <c r="AC1145" i="2"/>
  <c r="R1148" i="2"/>
  <c r="AL1148" i="2"/>
  <c r="Z1152" i="2"/>
  <c r="AU1158" i="2"/>
  <c r="AI1148" i="2"/>
  <c r="AP1149" i="2"/>
  <c r="AE1137" i="2"/>
  <c r="AT1142" i="2"/>
  <c r="AB1148" i="2"/>
  <c r="AG1155" i="2"/>
  <c r="M1161" i="2"/>
  <c r="AP1161" i="2"/>
  <c r="U1161" i="2"/>
  <c r="AB1163" i="2"/>
  <c r="AL1181" i="2"/>
  <c r="T1156" i="2"/>
  <c r="AQ1156" i="2"/>
  <c r="AA1156" i="2"/>
  <c r="AH1156" i="2"/>
  <c r="AW1156" i="2"/>
  <c r="Q1156" i="2"/>
  <c r="AJ1156" i="2"/>
  <c r="T1164" i="2"/>
  <c r="AM1164" i="2"/>
  <c r="W1164" i="2"/>
  <c r="Q1164" i="2"/>
  <c r="AC1164" i="2"/>
  <c r="AW1164" i="2"/>
  <c r="M1182" i="2"/>
  <c r="AA1182" i="2"/>
  <c r="AP1182" i="2"/>
  <c r="R1182" i="2"/>
  <c r="S1182" i="2"/>
  <c r="AD1182" i="2"/>
  <c r="AK1182" i="2"/>
  <c r="Q1182" i="2"/>
  <c r="AQ1182" i="2"/>
  <c r="Z1182" i="2"/>
  <c r="X1182" i="2"/>
  <c r="AM1182" i="2"/>
  <c r="AT1182" i="2"/>
  <c r="AW1182" i="2"/>
  <c r="AC1182" i="2"/>
  <c r="AC1200" i="2"/>
  <c r="AH1200" i="2"/>
  <c r="X970" i="2"/>
  <c r="T1010" i="2"/>
  <c r="AB952" i="2"/>
  <c r="T972" i="2"/>
  <c r="AR1061" i="2"/>
  <c r="W1031" i="2"/>
  <c r="AM1031" i="2"/>
  <c r="Z1048" i="2"/>
  <c r="AT1048" i="2"/>
  <c r="W1051" i="2"/>
  <c r="AA1055" i="2"/>
  <c r="AQ1055" i="2"/>
  <c r="AT1060" i="2"/>
  <c r="Z1072" i="2"/>
  <c r="AI1076" i="2"/>
  <c r="AN1031" i="2"/>
  <c r="AI1032" i="2"/>
  <c r="T1039" i="2"/>
  <c r="T1047" i="2"/>
  <c r="S1048" i="2"/>
  <c r="AN1055" i="2"/>
  <c r="AA1060" i="2"/>
  <c r="AB1063" i="2"/>
  <c r="AC1076" i="2"/>
  <c r="Y1023" i="2"/>
  <c r="T1036" i="2"/>
  <c r="AK1047" i="2"/>
  <c r="T1052" i="2"/>
  <c r="T1068" i="2"/>
  <c r="AO1071" i="2"/>
  <c r="W1076" i="2"/>
  <c r="AL1074" i="2"/>
  <c r="AE1089" i="2"/>
  <c r="V1094" i="2"/>
  <c r="AT1094" i="2"/>
  <c r="AF1102" i="2"/>
  <c r="AB1106" i="2"/>
  <c r="AR1081" i="2"/>
  <c r="AJ1089" i="2"/>
  <c r="W1094" i="2"/>
  <c r="AU1094" i="2"/>
  <c r="V1081" i="2"/>
  <c r="Y1086" i="2"/>
  <c r="W1092" i="2"/>
  <c r="Z1102" i="2"/>
  <c r="AG1103" i="2"/>
  <c r="S1113" i="2"/>
  <c r="AD1114" i="2"/>
  <c r="AI1102" i="2"/>
  <c r="AO1112" i="2"/>
  <c r="AE1114" i="2"/>
  <c r="AQ1118" i="2"/>
  <c r="AS1120" i="2"/>
  <c r="T1130" i="2"/>
  <c r="AC1109" i="2"/>
  <c r="AP1112" i="2"/>
  <c r="AC1130" i="2"/>
  <c r="R1117" i="2"/>
  <c r="AF1130" i="2"/>
  <c r="AE1130" i="2"/>
  <c r="AP1131" i="2"/>
  <c r="AE1138" i="2"/>
  <c r="M1141" i="2"/>
  <c r="S1141" i="2"/>
  <c r="S1146" i="2"/>
  <c r="T1158" i="2"/>
  <c r="V1148" i="2"/>
  <c r="AP1148" i="2"/>
  <c r="AP1152" i="2"/>
  <c r="Z1163" i="2"/>
  <c r="S1148" i="2"/>
  <c r="AM1148" i="2"/>
  <c r="AK1150" i="2"/>
  <c r="U1139" i="2"/>
  <c r="AD1150" i="2"/>
  <c r="R1163" i="2"/>
  <c r="M1179" i="2"/>
  <c r="V1179" i="2"/>
  <c r="AS1179" i="2"/>
  <c r="AC1179" i="2"/>
  <c r="R1181" i="2"/>
  <c r="AP1181" i="2"/>
  <c r="AP1187" i="2"/>
  <c r="AF1187" i="2"/>
  <c r="X1156" i="2"/>
  <c r="AJ1164" i="2"/>
  <c r="M1176" i="2"/>
  <c r="AB1176" i="2"/>
  <c r="AI1176" i="2"/>
  <c r="AO1176" i="2"/>
  <c r="M1186" i="2"/>
  <c r="AA1186" i="2"/>
  <c r="AU1186" i="2"/>
  <c r="S1186" i="2"/>
  <c r="AW1186" i="2"/>
  <c r="AE1186" i="2"/>
  <c r="Y1186" i="2"/>
  <c r="AM1186" i="2"/>
  <c r="Z1186" i="2"/>
  <c r="AT1186" i="2"/>
  <c r="W1186" i="2"/>
  <c r="M1172" i="2"/>
  <c r="AP1172" i="2"/>
  <c r="Q1172" i="2"/>
  <c r="AN1172" i="2"/>
  <c r="AQ1178" i="2"/>
  <c r="R1185" i="2"/>
  <c r="M1188" i="2"/>
  <c r="AK1188" i="2"/>
  <c r="M1166" i="2"/>
  <c r="AB1166" i="2"/>
  <c r="AA1166" i="2"/>
  <c r="M1174" i="2"/>
  <c r="M1205" i="2"/>
  <c r="AJ1205" i="2"/>
  <c r="M1193" i="2"/>
  <c r="T1193" i="2"/>
  <c r="AT1193" i="2"/>
  <c r="S1193" i="2"/>
  <c r="M1202" i="2"/>
  <c r="AR1202" i="2"/>
  <c r="S1202" i="2"/>
  <c r="AW1202" i="2"/>
  <c r="M1208" i="2"/>
  <c r="R1208" i="2"/>
  <c r="AS714" i="2"/>
  <c r="M714" i="2"/>
  <c r="Y714" i="2"/>
  <c r="AN714" i="2"/>
  <c r="AR714" i="2"/>
  <c r="AD1307" i="2"/>
  <c r="W1307" i="2"/>
  <c r="AA1307" i="2"/>
  <c r="S1307" i="2"/>
  <c r="M1183" i="2"/>
  <c r="AS1183" i="2"/>
  <c r="M1195" i="2"/>
  <c r="AU1195" i="2"/>
  <c r="AF1195" i="2"/>
  <c r="AD1195" i="2"/>
  <c r="Q1195" i="2"/>
  <c r="M1198" i="2"/>
  <c r="AB1198" i="2"/>
  <c r="AU1198" i="2"/>
  <c r="AL1198" i="2"/>
  <c r="AQ1198" i="2"/>
  <c r="M1209" i="2"/>
  <c r="AP1209" i="2"/>
  <c r="R1209" i="2"/>
  <c r="AT1209" i="2"/>
  <c r="X1209" i="2"/>
  <c r="AO1209" i="2"/>
  <c r="AQ1209" i="2"/>
  <c r="M746" i="2"/>
  <c r="AR746" i="2"/>
  <c r="M760" i="2"/>
  <c r="AQ760" i="2"/>
  <c r="M722" i="2"/>
  <c r="Y722" i="2"/>
  <c r="AE1172" i="2"/>
  <c r="AU1172" i="2"/>
  <c r="Z1173" i="2"/>
  <c r="AN1175" i="2"/>
  <c r="U1178" i="2"/>
  <c r="V1183" i="2"/>
  <c r="AP1185" i="2"/>
  <c r="AC1159" i="2"/>
  <c r="AH1166" i="2"/>
  <c r="X1172" i="2"/>
  <c r="AD1174" i="2"/>
  <c r="U1175" i="2"/>
  <c r="AH1178" i="2"/>
  <c r="M1180" i="2"/>
  <c r="Y1180" i="2"/>
  <c r="X1183" i="2"/>
  <c r="M1165" i="2"/>
  <c r="U1165" i="2"/>
  <c r="AB1165" i="2"/>
  <c r="W1166" i="2"/>
  <c r="AG1172" i="2"/>
  <c r="AI1174" i="2"/>
  <c r="AW1180" i="2"/>
  <c r="AW1165" i="2"/>
  <c r="AM1192" i="2"/>
  <c r="AN1193" i="2"/>
  <c r="AT1195" i="2"/>
  <c r="AH1198" i="2"/>
  <c r="AM1202" i="2"/>
  <c r="AK1208" i="2"/>
  <c r="Z1193" i="2"/>
  <c r="Z1195" i="2"/>
  <c r="AK1205" i="2"/>
  <c r="AW1208" i="2"/>
  <c r="V1195" i="2"/>
  <c r="AE1208" i="2"/>
  <c r="AR1193" i="2"/>
  <c r="AE1198" i="2"/>
  <c r="AP1205" i="2"/>
  <c r="AN1209" i="2"/>
  <c r="M1194" i="2"/>
  <c r="AE1194" i="2"/>
  <c r="AT1194" i="2"/>
  <c r="S1194" i="2"/>
  <c r="AS1194" i="2"/>
  <c r="AL1194" i="2"/>
  <c r="X1198" i="2"/>
  <c r="AL1205" i="2"/>
  <c r="U1209" i="2"/>
  <c r="AT1208" i="2"/>
  <c r="M1204" i="2"/>
  <c r="X1204" i="2"/>
  <c r="AP1204" i="2"/>
  <c r="U1204" i="2"/>
  <c r="AT1204" i="2"/>
  <c r="Y1204" i="2"/>
  <c r="AS1204" i="2"/>
  <c r="V1204" i="2"/>
  <c r="AA1204" i="2"/>
  <c r="AR1204" i="2"/>
  <c r="AJ719" i="2"/>
  <c r="AA719" i="2"/>
  <c r="AN742" i="2"/>
  <c r="AF1301" i="2"/>
  <c r="S719" i="2"/>
  <c r="AA1299" i="2"/>
  <c r="AE719" i="2"/>
  <c r="AF1313" i="2"/>
  <c r="Y1313" i="2"/>
  <c r="T1313" i="2"/>
  <c r="Z37" i="2"/>
  <c r="Z1295" i="2" s="1"/>
  <c r="Y37" i="2"/>
  <c r="Y1295" i="2" s="1"/>
  <c r="AT37" i="2"/>
  <c r="AP37" i="2"/>
  <c r="AP1295" i="2" s="1"/>
  <c r="AD37" i="2"/>
  <c r="AD1295" i="2" s="1"/>
  <c r="AL37" i="2"/>
  <c r="AL1295" i="2" s="1"/>
  <c r="V37" i="2"/>
  <c r="V1295" i="2" s="1"/>
  <c r="AS37" i="2"/>
  <c r="AX37" i="2"/>
  <c r="AH37" i="2"/>
  <c r="AH1295" i="2" s="1"/>
  <c r="AO37" i="2"/>
  <c r="AO1295" i="2" s="1"/>
  <c r="AT772" i="2"/>
  <c r="AM772" i="2"/>
  <c r="AE772" i="2"/>
  <c r="W772" i="2"/>
  <c r="AU772" i="2"/>
  <c r="AB772" i="2"/>
  <c r="AG743" i="2"/>
  <c r="AN736" i="2"/>
  <c r="AO763" i="2"/>
  <c r="Z747" i="2"/>
  <c r="AT747" i="2"/>
  <c r="AD747" i="2"/>
  <c r="AH747" i="2"/>
  <c r="AF743" i="2"/>
  <c r="Z731" i="2"/>
  <c r="AT731" i="2"/>
  <c r="AD731" i="2"/>
  <c r="AH731" i="2"/>
  <c r="AW765" i="2"/>
  <c r="R765" i="2"/>
  <c r="AP765" i="2"/>
  <c r="X765" i="2"/>
  <c r="AH765" i="2"/>
  <c r="Z765" i="2"/>
  <c r="AV765" i="2"/>
  <c r="AP747" i="2"/>
  <c r="R743" i="2"/>
  <c r="AP731" i="2"/>
  <c r="R727" i="2"/>
  <c r="AG763" i="2"/>
  <c r="V763" i="2"/>
  <c r="AW763" i="2"/>
  <c r="AV748" i="2"/>
  <c r="AN744" i="2"/>
  <c r="AW743" i="2"/>
  <c r="AC743" i="2"/>
  <c r="AF736" i="2"/>
  <c r="X728" i="2"/>
  <c r="AV769" i="2"/>
  <c r="U764" i="2"/>
  <c r="AJ763" i="2"/>
  <c r="AH759" i="2"/>
  <c r="AJ755" i="2"/>
  <c r="Z751" i="2"/>
  <c r="AH751" i="2"/>
  <c r="AP751" i="2"/>
  <c r="AR747" i="2"/>
  <c r="AB747" i="2"/>
  <c r="AV743" i="2"/>
  <c r="AJ739" i="2"/>
  <c r="Z735" i="2"/>
  <c r="AH735" i="2"/>
  <c r="AP735" i="2"/>
  <c r="AR731" i="2"/>
  <c r="AB731" i="2"/>
  <c r="AV727" i="2"/>
  <c r="AB769" i="2"/>
  <c r="AO761" i="2"/>
  <c r="V761" i="2"/>
  <c r="AL761" i="2"/>
  <c r="AS759" i="2"/>
  <c r="R747" i="2"/>
  <c r="R731" i="2"/>
  <c r="Z743" i="2"/>
  <c r="AH743" i="2"/>
  <c r="AP743" i="2"/>
  <c r="AN772" i="2"/>
  <c r="AQ769" i="2"/>
  <c r="AV756" i="2"/>
  <c r="AF748" i="2"/>
  <c r="AF744" i="2"/>
  <c r="AS743" i="2"/>
  <c r="Y743" i="2"/>
  <c r="X736" i="2"/>
  <c r="AJ772" i="2"/>
  <c r="AF769" i="2"/>
  <c r="AL764" i="2"/>
  <c r="AC764" i="2"/>
  <c r="AD763" i="2"/>
  <c r="Z755" i="2"/>
  <c r="AT755" i="2"/>
  <c r="AD755" i="2"/>
  <c r="AH755" i="2"/>
  <c r="AN747" i="2"/>
  <c r="X747" i="2"/>
  <c r="AR743" i="2"/>
  <c r="T743" i="2"/>
  <c r="Z739" i="2"/>
  <c r="AT739" i="2"/>
  <c r="AD739" i="2"/>
  <c r="AH739" i="2"/>
  <c r="AN731" i="2"/>
  <c r="X731" i="2"/>
  <c r="Z727" i="2"/>
  <c r="AH727" i="2"/>
  <c r="AP727" i="2"/>
  <c r="AB727" i="2"/>
  <c r="S764" i="2"/>
  <c r="X759" i="2"/>
  <c r="AP755" i="2"/>
  <c r="R751" i="2"/>
  <c r="AP739" i="2"/>
  <c r="R735" i="2"/>
  <c r="AN753" i="2"/>
  <c r="AN745" i="2"/>
  <c r="AN737" i="2"/>
  <c r="AN729" i="2"/>
  <c r="AV721" i="2"/>
  <c r="AB767" i="2"/>
  <c r="AB771" i="2"/>
  <c r="AR775" i="2"/>
  <c r="AB779" i="2"/>
  <c r="AR783" i="2"/>
  <c r="AB787" i="2"/>
  <c r="AR791" i="2"/>
  <c r="AN795" i="2"/>
  <c r="AB799" i="2"/>
  <c r="AB803" i="2"/>
  <c r="AR807" i="2"/>
  <c r="AN811" i="2"/>
  <c r="AB815" i="2"/>
  <c r="AN819" i="2"/>
  <c r="AB823" i="2"/>
  <c r="AO775" i="2"/>
  <c r="Q779" i="2"/>
  <c r="AW779" i="2"/>
  <c r="AG783" i="2"/>
  <c r="AO787" i="2"/>
  <c r="AN788" i="2"/>
  <c r="Y791" i="2"/>
  <c r="Q795" i="2"/>
  <c r="AW795" i="2"/>
  <c r="AG799" i="2"/>
  <c r="Y803" i="2"/>
  <c r="AO807" i="2"/>
  <c r="AG811" i="2"/>
  <c r="Q815" i="2"/>
  <c r="AW815" i="2"/>
  <c r="AA817" i="2"/>
  <c r="AQ817" i="2"/>
  <c r="Q819" i="2"/>
  <c r="AW819" i="2"/>
  <c r="AG823" i="2"/>
  <c r="AF826" i="2"/>
  <c r="V779" i="2"/>
  <c r="AE782" i="2"/>
  <c r="AU782" i="2"/>
  <c r="AA786" i="2"/>
  <c r="V787" i="2"/>
  <c r="V795" i="2"/>
  <c r="V803" i="2"/>
  <c r="V811" i="2"/>
  <c r="AL815" i="2"/>
  <c r="AN817" i="2"/>
  <c r="AM826" i="2"/>
  <c r="AA779" i="2"/>
  <c r="AN782" i="2"/>
  <c r="AV853" i="2"/>
  <c r="AN868" i="2"/>
  <c r="AN884" i="2"/>
  <c r="AN900" i="2"/>
  <c r="X908" i="2"/>
  <c r="AG833" i="2"/>
  <c r="AN834" i="2"/>
  <c r="AG841" i="2"/>
  <c r="AN842" i="2"/>
  <c r="AF857" i="2"/>
  <c r="AH892" i="2"/>
  <c r="R900" i="2"/>
  <c r="AW834" i="2"/>
  <c r="AG842" i="2"/>
  <c r="AN843" i="2"/>
  <c r="AV850" i="2"/>
  <c r="Q852" i="2"/>
  <c r="AH866" i="2"/>
  <c r="AH882" i="2"/>
  <c r="AD894" i="2"/>
  <c r="V910" i="2"/>
  <c r="AJ832" i="2"/>
  <c r="U835" i="2"/>
  <c r="X840" i="2"/>
  <c r="AR840" i="2"/>
  <c r="AQ849" i="2"/>
  <c r="AR850" i="2"/>
  <c r="AQ854" i="2"/>
  <c r="AH904" i="2"/>
  <c r="AN910" i="2"/>
  <c r="AV916" i="2"/>
  <c r="X932" i="2"/>
  <c r="AR932" i="2"/>
  <c r="AN940" i="2"/>
  <c r="AJ948" i="2"/>
  <c r="AN965" i="2"/>
  <c r="AB865" i="2"/>
  <c r="AN889" i="2"/>
  <c r="AB905" i="2"/>
  <c r="AB913" i="2"/>
  <c r="Y916" i="2"/>
  <c r="AN921" i="2"/>
  <c r="AR929" i="2"/>
  <c r="AO932" i="2"/>
  <c r="AR937" i="2"/>
  <c r="AO940" i="2"/>
  <c r="AB945" i="2"/>
  <c r="AF951" i="2"/>
  <c r="AF971" i="2"/>
  <c r="M999" i="2"/>
  <c r="W999" i="2"/>
  <c r="AH999" i="2"/>
  <c r="AN999" i="2"/>
  <c r="AQ999" i="2"/>
  <c r="V999" i="2"/>
  <c r="AM999" i="2"/>
  <c r="R999" i="2"/>
  <c r="AA999" i="2"/>
  <c r="AL999" i="2"/>
  <c r="AG921" i="2"/>
  <c r="AJ922" i="2"/>
  <c r="X930" i="2"/>
  <c r="Q937" i="2"/>
  <c r="X938" i="2"/>
  <c r="M946" i="2"/>
  <c r="AW946" i="2"/>
  <c r="AN946" i="2"/>
  <c r="R955" i="2"/>
  <c r="M969" i="2"/>
  <c r="AA969" i="2"/>
  <c r="AW969" i="2"/>
  <c r="Q969" i="2"/>
  <c r="R969" i="2"/>
  <c r="W969" i="2"/>
  <c r="AS969" i="2"/>
  <c r="AQ969" i="2"/>
  <c r="AG969" i="2"/>
  <c r="AM969" i="2"/>
  <c r="AC969" i="2"/>
  <c r="Z969" i="2"/>
  <c r="M979" i="2"/>
  <c r="AU979" i="2"/>
  <c r="Z979" i="2"/>
  <c r="AJ979" i="2"/>
  <c r="AI979" i="2"/>
  <c r="AS979" i="2"/>
  <c r="AE979" i="2"/>
  <c r="AP979" i="2"/>
  <c r="AC979" i="2"/>
  <c r="S979" i="2"/>
  <c r="AD979" i="2"/>
  <c r="X851" i="2"/>
  <c r="X859" i="2"/>
  <c r="AJ867" i="2"/>
  <c r="AN883" i="2"/>
  <c r="AN891" i="2"/>
  <c r="T899" i="2"/>
  <c r="AR903" i="2"/>
  <c r="AJ907" i="2"/>
  <c r="X915" i="2"/>
  <c r="U918" i="2"/>
  <c r="Q922" i="2"/>
  <c r="AW922" i="2"/>
  <c r="AJ923" i="2"/>
  <c r="AS930" i="2"/>
  <c r="X931" i="2"/>
  <c r="AK934" i="2"/>
  <c r="AR935" i="2"/>
  <c r="AS938" i="2"/>
  <c r="X939" i="2"/>
  <c r="AO942" i="2"/>
  <c r="Q946" i="2"/>
  <c r="M947" i="2"/>
  <c r="AJ947" i="2"/>
  <c r="AO959" i="2"/>
  <c r="AQ959" i="2"/>
  <c r="V975" i="2"/>
  <c r="AJ767" i="2"/>
  <c r="AJ771" i="2"/>
  <c r="AJ779" i="2"/>
  <c r="AJ787" i="2"/>
  <c r="AJ799" i="2"/>
  <c r="AJ803" i="2"/>
  <c r="AJ815" i="2"/>
  <c r="AJ823" i="2"/>
  <c r="Q775" i="2"/>
  <c r="AW775" i="2"/>
  <c r="Y779" i="2"/>
  <c r="AO783" i="2"/>
  <c r="Q787" i="2"/>
  <c r="AW787" i="2"/>
  <c r="AG791" i="2"/>
  <c r="Y795" i="2"/>
  <c r="AO799" i="2"/>
  <c r="AG803" i="2"/>
  <c r="Q807" i="2"/>
  <c r="AW807" i="2"/>
  <c r="AO811" i="2"/>
  <c r="Y815" i="2"/>
  <c r="Y819" i="2"/>
  <c r="AO823" i="2"/>
  <c r="AQ826" i="2"/>
  <c r="AD779" i="2"/>
  <c r="AD787" i="2"/>
  <c r="AD795" i="2"/>
  <c r="AD803" i="2"/>
  <c r="AD811" i="2"/>
  <c r="AT815" i="2"/>
  <c r="AQ779" i="2"/>
  <c r="AW833" i="2"/>
  <c r="AW841" i="2"/>
  <c r="AG853" i="2"/>
  <c r="AQ857" i="2"/>
  <c r="AH876" i="2"/>
  <c r="R884" i="2"/>
  <c r="T928" i="2"/>
  <c r="AW842" i="2"/>
  <c r="AL852" i="2"/>
  <c r="Q857" i="2"/>
  <c r="AJ892" i="2"/>
  <c r="AH898" i="2"/>
  <c r="AK835" i="2"/>
  <c r="AB840" i="2"/>
  <c r="AB932" i="2"/>
  <c r="AN865" i="2"/>
  <c r="AN905" i="2"/>
  <c r="AN913" i="2"/>
  <c r="AO916" i="2"/>
  <c r="AR921" i="2"/>
  <c r="Y948" i="2"/>
  <c r="Z965" i="2"/>
  <c r="AN922" i="2"/>
  <c r="AS929" i="2"/>
  <c r="AW937" i="2"/>
  <c r="AJ938" i="2"/>
  <c r="Z955" i="2"/>
  <c r="AN867" i="2"/>
  <c r="AN907" i="2"/>
  <c r="AC922" i="2"/>
  <c r="AN923" i="2"/>
  <c r="Q930" i="2"/>
  <c r="AW930" i="2"/>
  <c r="Q938" i="2"/>
  <c r="AW938" i="2"/>
  <c r="AC946" i="2"/>
  <c r="T1011" i="2"/>
  <c r="AR767" i="2"/>
  <c r="AN787" i="2"/>
  <c r="AR799" i="2"/>
  <c r="AN803" i="2"/>
  <c r="AR815" i="2"/>
  <c r="AR823" i="2"/>
  <c r="Y775" i="2"/>
  <c r="AG779" i="2"/>
  <c r="X780" i="2"/>
  <c r="Q783" i="2"/>
  <c r="AW783" i="2"/>
  <c r="Y787" i="2"/>
  <c r="AO791" i="2"/>
  <c r="AG795" i="2"/>
  <c r="Q799" i="2"/>
  <c r="AW799" i="2"/>
  <c r="AO803" i="2"/>
  <c r="Y807" i="2"/>
  <c r="Q811" i="2"/>
  <c r="AW811" i="2"/>
  <c r="AG815" i="2"/>
  <c r="AG819" i="2"/>
  <c r="Q823" i="2"/>
  <c r="AW823" i="2"/>
  <c r="AV826" i="2"/>
  <c r="V775" i="2"/>
  <c r="AL779" i="2"/>
  <c r="V783" i="2"/>
  <c r="AL787" i="2"/>
  <c r="V791" i="2"/>
  <c r="AL795" i="2"/>
  <c r="V799" i="2"/>
  <c r="AL803" i="2"/>
  <c r="V807" i="2"/>
  <c r="AL811" i="2"/>
  <c r="V815" i="2"/>
  <c r="AD819" i="2"/>
  <c r="V823" i="2"/>
  <c r="AA771" i="2"/>
  <c r="AA787" i="2"/>
  <c r="AG848" i="2"/>
  <c r="R868" i="2"/>
  <c r="Q834" i="2"/>
  <c r="AM857" i="2"/>
  <c r="R862" i="2"/>
  <c r="AJ908" i="2"/>
  <c r="AJ840" i="2"/>
  <c r="U843" i="2"/>
  <c r="AJ932" i="2"/>
  <c r="AA878" i="2"/>
  <c r="AR905" i="2"/>
  <c r="AR913" i="2"/>
  <c r="AR945" i="2"/>
  <c r="AO948" i="2"/>
  <c r="AN963" i="2"/>
  <c r="AE971" i="2"/>
  <c r="AJ971" i="2"/>
  <c r="T922" i="2"/>
  <c r="AN930" i="2"/>
  <c r="AF934" i="2"/>
  <c r="AN938" i="2"/>
  <c r="AH963" i="2"/>
  <c r="Z971" i="2"/>
  <c r="AN851" i="2"/>
  <c r="AN859" i="2"/>
  <c r="T867" i="2"/>
  <c r="AF879" i="2"/>
  <c r="AB903" i="2"/>
  <c r="T907" i="2"/>
  <c r="AN915" i="2"/>
  <c r="AG922" i="2"/>
  <c r="T923" i="2"/>
  <c r="AC930" i="2"/>
  <c r="AN931" i="2"/>
  <c r="AB935" i="2"/>
  <c r="AC938" i="2"/>
  <c r="AN939" i="2"/>
  <c r="AF943" i="2"/>
  <c r="AG946" i="2"/>
  <c r="M975" i="2"/>
  <c r="AK975" i="2"/>
  <c r="AQ975" i="2"/>
  <c r="AL975" i="2"/>
  <c r="AV975" i="2"/>
  <c r="Y975" i="2"/>
  <c r="AM975" i="2"/>
  <c r="U975" i="2"/>
  <c r="AA975" i="2"/>
  <c r="AO975" i="2"/>
  <c r="W975" i="2"/>
  <c r="R975" i="2"/>
  <c r="T979" i="2"/>
  <c r="AT979" i="2"/>
  <c r="T767" i="2"/>
  <c r="X771" i="2"/>
  <c r="AR771" i="2"/>
  <c r="AJ775" i="2"/>
  <c r="X779" i="2"/>
  <c r="AR779" i="2"/>
  <c r="AJ783" i="2"/>
  <c r="X787" i="2"/>
  <c r="AR787" i="2"/>
  <c r="AJ791" i="2"/>
  <c r="AJ795" i="2"/>
  <c r="T799" i="2"/>
  <c r="X803" i="2"/>
  <c r="AR803" i="2"/>
  <c r="AJ807" i="2"/>
  <c r="AJ811" i="2"/>
  <c r="T815" i="2"/>
  <c r="AJ819" i="2"/>
  <c r="T823" i="2"/>
  <c r="AG775" i="2"/>
  <c r="AO779" i="2"/>
  <c r="AN780" i="2"/>
  <c r="Y783" i="2"/>
  <c r="AG787" i="2"/>
  <c r="X788" i="2"/>
  <c r="Q791" i="2"/>
  <c r="AW791" i="2"/>
  <c r="AO795" i="2"/>
  <c r="AN796" i="2"/>
  <c r="Y799" i="2"/>
  <c r="Q803" i="2"/>
  <c r="AW803" i="2"/>
  <c r="AG807" i="2"/>
  <c r="Y811" i="2"/>
  <c r="AO815" i="2"/>
  <c r="W817" i="2"/>
  <c r="AM817" i="2"/>
  <c r="AO819" i="2"/>
  <c r="AN820" i="2"/>
  <c r="Y823" i="2"/>
  <c r="AA826" i="2"/>
  <c r="AL775" i="2"/>
  <c r="AT779" i="2"/>
  <c r="AA782" i="2"/>
  <c r="AQ782" i="2"/>
  <c r="AL783" i="2"/>
  <c r="S786" i="2"/>
  <c r="AT787" i="2"/>
  <c r="AL791" i="2"/>
  <c r="AT795" i="2"/>
  <c r="AL799" i="2"/>
  <c r="AT803" i="2"/>
  <c r="AL807" i="2"/>
  <c r="AT811" i="2"/>
  <c r="AD815" i="2"/>
  <c r="X817" i="2"/>
  <c r="AT819" i="2"/>
  <c r="AL823" i="2"/>
  <c r="Q826" i="2"/>
  <c r="AN766" i="2"/>
  <c r="AQ771" i="2"/>
  <c r="X782" i="2"/>
  <c r="AQ787" i="2"/>
  <c r="AA853" i="2"/>
  <c r="X868" i="2"/>
  <c r="X884" i="2"/>
  <c r="X900" i="2"/>
  <c r="Q833" i="2"/>
  <c r="X834" i="2"/>
  <c r="Q841" i="2"/>
  <c r="X842" i="2"/>
  <c r="AP852" i="2"/>
  <c r="U857" i="2"/>
  <c r="AH858" i="2"/>
  <c r="AQ862" i="2"/>
  <c r="AF882" i="2"/>
  <c r="AH908" i="2"/>
  <c r="AG834" i="2"/>
  <c r="AN835" i="2"/>
  <c r="Q842" i="2"/>
  <c r="X843" i="2"/>
  <c r="AA850" i="2"/>
  <c r="AM862" i="2"/>
  <c r="V894" i="2"/>
  <c r="AN904" i="2"/>
  <c r="AT910" i="2"/>
  <c r="AR916" i="2"/>
  <c r="AR828" i="2"/>
  <c r="AB832" i="2"/>
  <c r="T840" i="2"/>
  <c r="AN840" i="2"/>
  <c r="AK843" i="2"/>
  <c r="AR844" i="2"/>
  <c r="AF849" i="2"/>
  <c r="W850" i="2"/>
  <c r="AF854" i="2"/>
  <c r="AH872" i="2"/>
  <c r="AH888" i="2"/>
  <c r="AN894" i="2"/>
  <c r="AF910" i="2"/>
  <c r="AF916" i="2"/>
  <c r="T932" i="2"/>
  <c r="AN932" i="2"/>
  <c r="AJ940" i="2"/>
  <c r="AR944" i="2"/>
  <c r="AB948" i="2"/>
  <c r="AN957" i="2"/>
  <c r="AF965" i="2"/>
  <c r="AN973" i="2"/>
  <c r="X865" i="2"/>
  <c r="AN873" i="2"/>
  <c r="X889" i="2"/>
  <c r="X905" i="2"/>
  <c r="X913" i="2"/>
  <c r="AB921" i="2"/>
  <c r="AN929" i="2"/>
  <c r="Y932" i="2"/>
  <c r="AN937" i="2"/>
  <c r="Y940" i="2"/>
  <c r="X945" i="2"/>
  <c r="AA951" i="2"/>
  <c r="AV955" i="2"/>
  <c r="AV963" i="2"/>
  <c r="X971" i="2"/>
  <c r="AV918" i="2"/>
  <c r="X922" i="2"/>
  <c r="AR926" i="2"/>
  <c r="T930" i="2"/>
  <c r="AR934" i="2"/>
  <c r="T938" i="2"/>
  <c r="AC945" i="2"/>
  <c r="AJ946" i="2"/>
  <c r="M953" i="2"/>
  <c r="AM953" i="2"/>
  <c r="AW953" i="2"/>
  <c r="Q953" i="2"/>
  <c r="AA953" i="2"/>
  <c r="AS953" i="2"/>
  <c r="W953" i="2"/>
  <c r="AG953" i="2"/>
  <c r="AQ953" i="2"/>
  <c r="AC953" i="2"/>
  <c r="R953" i="2"/>
  <c r="AN969" i="2"/>
  <c r="AE995" i="2"/>
  <c r="AT995" i="2"/>
  <c r="M1011" i="2"/>
  <c r="AE1011" i="2"/>
  <c r="AD1011" i="2"/>
  <c r="S1011" i="2"/>
  <c r="Z1011" i="2"/>
  <c r="AU1011" i="2"/>
  <c r="AT1011" i="2"/>
  <c r="AI1011" i="2"/>
  <c r="AP1011" i="2"/>
  <c r="T851" i="2"/>
  <c r="T859" i="2"/>
  <c r="X867" i="2"/>
  <c r="AN875" i="2"/>
  <c r="AJ883" i="2"/>
  <c r="AJ891" i="2"/>
  <c r="AN899" i="2"/>
  <c r="X907" i="2"/>
  <c r="T915" i="2"/>
  <c r="AS922" i="2"/>
  <c r="X923" i="2"/>
  <c r="Y926" i="2"/>
  <c r="AG930" i="2"/>
  <c r="T931" i="2"/>
  <c r="AG938" i="2"/>
  <c r="T939" i="2"/>
  <c r="AS946" i="2"/>
  <c r="Z953" i="2"/>
  <c r="M967" i="2"/>
  <c r="Y967" i="2"/>
  <c r="AA967" i="2"/>
  <c r="AF967" i="2"/>
  <c r="U967" i="2"/>
  <c r="W967" i="2"/>
  <c r="AO967" i="2"/>
  <c r="AQ967" i="2"/>
  <c r="AK967" i="2"/>
  <c r="AM967" i="2"/>
  <c r="AN967" i="2"/>
  <c r="AF975" i="2"/>
  <c r="AP993" i="2"/>
  <c r="AN977" i="2"/>
  <c r="X993" i="2"/>
  <c r="AL1007" i="2"/>
  <c r="AA1014" i="2"/>
  <c r="AN954" i="2"/>
  <c r="X962" i="2"/>
  <c r="AN970" i="2"/>
  <c r="AS977" i="2"/>
  <c r="X978" i="2"/>
  <c r="AS985" i="2"/>
  <c r="X986" i="2"/>
  <c r="AS993" i="2"/>
  <c r="X994" i="2"/>
  <c r="Q1001" i="2"/>
  <c r="AW1001" i="2"/>
  <c r="AJ1002" i="2"/>
  <c r="Y1005" i="2"/>
  <c r="AM1007" i="2"/>
  <c r="AC1009" i="2"/>
  <c r="AN1010" i="2"/>
  <c r="M1013" i="2"/>
  <c r="AU1013" i="2"/>
  <c r="AE1013" i="2"/>
  <c r="AV1013" i="2"/>
  <c r="AW1014" i="2"/>
  <c r="AR952" i="2"/>
  <c r="AL954" i="2"/>
  <c r="X956" i="2"/>
  <c r="V962" i="2"/>
  <c r="AN964" i="2"/>
  <c r="AB968" i="2"/>
  <c r="AH970" i="2"/>
  <c r="AR976" i="2"/>
  <c r="V978" i="2"/>
  <c r="X980" i="2"/>
  <c r="AM985" i="2"/>
  <c r="AL986" i="2"/>
  <c r="X988" i="2"/>
  <c r="AA993" i="2"/>
  <c r="V994" i="2"/>
  <c r="AN996" i="2"/>
  <c r="AR1000" i="2"/>
  <c r="AQ1001" i="2"/>
  <c r="AL1002" i="2"/>
  <c r="X1004" i="2"/>
  <c r="U1007" i="2"/>
  <c r="AB1008" i="2"/>
  <c r="AM1009" i="2"/>
  <c r="AH1010" i="2"/>
  <c r="T1012" i="2"/>
  <c r="T1014" i="2"/>
  <c r="AA1015" i="2"/>
  <c r="AF1017" i="2"/>
  <c r="AB1021" i="2"/>
  <c r="X1025" i="2"/>
  <c r="M1033" i="2"/>
  <c r="AT1033" i="2"/>
  <c r="AK1033" i="2"/>
  <c r="AH1033" i="2"/>
  <c r="Y1033" i="2"/>
  <c r="AM1033" i="2"/>
  <c r="AD1033" i="2"/>
  <c r="U1033" i="2"/>
  <c r="W1033" i="2"/>
  <c r="R1033" i="2"/>
  <c r="AN1033" i="2"/>
  <c r="AB1037" i="2"/>
  <c r="AN1057" i="2"/>
  <c r="M1042" i="2"/>
  <c r="R1042" i="2"/>
  <c r="Y1042" i="2"/>
  <c r="AE1042" i="2"/>
  <c r="AR1042" i="2"/>
  <c r="AB1042" i="2"/>
  <c r="AU1042" i="2"/>
  <c r="AH1042" i="2"/>
  <c r="AO1042" i="2"/>
  <c r="M1046" i="2"/>
  <c r="AG1046" i="2"/>
  <c r="AJ1046" i="2"/>
  <c r="AM1046" i="2"/>
  <c r="W1046" i="2"/>
  <c r="U1046" i="2"/>
  <c r="X1046" i="2"/>
  <c r="AP1046" i="2"/>
  <c r="AW1046" i="2"/>
  <c r="Q1046" i="2"/>
  <c r="T1046" i="2"/>
  <c r="AU1046" i="2"/>
  <c r="AE1046" i="2"/>
  <c r="Z1046" i="2"/>
  <c r="AK1046" i="2"/>
  <c r="AJ993" i="2"/>
  <c r="R1007" i="2"/>
  <c r="AQ1014" i="2"/>
  <c r="AJ962" i="2"/>
  <c r="Q977" i="2"/>
  <c r="AW977" i="2"/>
  <c r="AJ978" i="2"/>
  <c r="Q985" i="2"/>
  <c r="AW985" i="2"/>
  <c r="AJ986" i="2"/>
  <c r="Y989" i="2"/>
  <c r="Q993" i="2"/>
  <c r="AW993" i="2"/>
  <c r="AJ994" i="2"/>
  <c r="Y997" i="2"/>
  <c r="AC1001" i="2"/>
  <c r="AN1002" i="2"/>
  <c r="AQ1007" i="2"/>
  <c r="AG1009" i="2"/>
  <c r="W1014" i="2"/>
  <c r="R954" i="2"/>
  <c r="AJ956" i="2"/>
  <c r="AH962" i="2"/>
  <c r="AL970" i="2"/>
  <c r="W977" i="2"/>
  <c r="AH978" i="2"/>
  <c r="AJ980" i="2"/>
  <c r="R986" i="2"/>
  <c r="AJ988" i="2"/>
  <c r="AM993" i="2"/>
  <c r="AH994" i="2"/>
  <c r="W1001" i="2"/>
  <c r="R1002" i="2"/>
  <c r="AJ1004" i="2"/>
  <c r="AK1007" i="2"/>
  <c r="AQ1009" i="2"/>
  <c r="AL1010" i="2"/>
  <c r="R1013" i="2"/>
  <c r="AO1014" i="2"/>
  <c r="AV1017" i="2"/>
  <c r="AJ1025" i="2"/>
  <c r="M1029" i="2"/>
  <c r="V1029" i="2"/>
  <c r="AS1029" i="2"/>
  <c r="AC1029" i="2"/>
  <c r="AL1029" i="2"/>
  <c r="T1033" i="2"/>
  <c r="M1041" i="2"/>
  <c r="AD1041" i="2"/>
  <c r="U1041" i="2"/>
  <c r="AJ1041" i="2"/>
  <c r="AM1041" i="2"/>
  <c r="R1041" i="2"/>
  <c r="AO1041" i="2"/>
  <c r="W1041" i="2"/>
  <c r="AT1041" i="2"/>
  <c r="AK1041" i="2"/>
  <c r="T1041" i="2"/>
  <c r="AH1041" i="2"/>
  <c r="AN993" i="2"/>
  <c r="V1007" i="2"/>
  <c r="AV1014" i="2"/>
  <c r="AN962" i="2"/>
  <c r="AC977" i="2"/>
  <c r="AN978" i="2"/>
  <c r="AC985" i="2"/>
  <c r="AN986" i="2"/>
  <c r="AC993" i="2"/>
  <c r="AN994" i="2"/>
  <c r="AG1001" i="2"/>
  <c r="W1007" i="2"/>
  <c r="AS1009" i="2"/>
  <c r="AB1014" i="2"/>
  <c r="V954" i="2"/>
  <c r="AN956" i="2"/>
  <c r="AL962" i="2"/>
  <c r="R970" i="2"/>
  <c r="AM977" i="2"/>
  <c r="AL978" i="2"/>
  <c r="AN980" i="2"/>
  <c r="V986" i="2"/>
  <c r="AN988" i="2"/>
  <c r="AQ993" i="2"/>
  <c r="AL994" i="2"/>
  <c r="AA1001" i="2"/>
  <c r="V1002" i="2"/>
  <c r="AN1004" i="2"/>
  <c r="W1009" i="2"/>
  <c r="R1010" i="2"/>
  <c r="AH1013" i="2"/>
  <c r="M1015" i="2"/>
  <c r="AU1015" i="2"/>
  <c r="AI1015" i="2"/>
  <c r="AK1015" i="2"/>
  <c r="U1015" i="2"/>
  <c r="M1025" i="2"/>
  <c r="W1025" i="2"/>
  <c r="AD1025" i="2"/>
  <c r="U1025" i="2"/>
  <c r="R1025" i="2"/>
  <c r="AO1025" i="2"/>
  <c r="AT1025" i="2"/>
  <c r="AK1025" i="2"/>
  <c r="AM1025" i="2"/>
  <c r="AH1025" i="2"/>
  <c r="AN1025" i="2"/>
  <c r="M1026" i="2"/>
  <c r="Y1026" i="2"/>
  <c r="AH1026" i="2"/>
  <c r="AR1026" i="2"/>
  <c r="R1026" i="2"/>
  <c r="AB1026" i="2"/>
  <c r="AO1026" i="2"/>
  <c r="M1030" i="2"/>
  <c r="AP1030" i="2"/>
  <c r="AG1030" i="2"/>
  <c r="AJ1030" i="2"/>
  <c r="Z1030" i="2"/>
  <c r="U1030" i="2"/>
  <c r="X1030" i="2"/>
  <c r="AW1030" i="2"/>
  <c r="Q1030" i="2"/>
  <c r="T1030" i="2"/>
  <c r="AK1030" i="2"/>
  <c r="M1062" i="2"/>
  <c r="AP1062" i="2"/>
  <c r="AG1062" i="2"/>
  <c r="AJ1062" i="2"/>
  <c r="AM1062" i="2"/>
  <c r="W1062" i="2"/>
  <c r="Z1062" i="2"/>
  <c r="U1062" i="2"/>
  <c r="X1062" i="2"/>
  <c r="AI1062" i="2"/>
  <c r="S1062" i="2"/>
  <c r="AW1062" i="2"/>
  <c r="Q1062" i="2"/>
  <c r="T1062" i="2"/>
  <c r="AU1062" i="2"/>
  <c r="AE1062" i="2"/>
  <c r="AK1062" i="2"/>
  <c r="Z993" i="2"/>
  <c r="AJ977" i="2"/>
  <c r="AN985" i="2"/>
  <c r="AR989" i="2"/>
  <c r="AH991" i="2"/>
  <c r="T993" i="2"/>
  <c r="AR997" i="2"/>
  <c r="AN1001" i="2"/>
  <c r="AR1005" i="2"/>
  <c r="AH1007" i="2"/>
  <c r="AN1009" i="2"/>
  <c r="U1014" i="2"/>
  <c r="AJ954" i="2"/>
  <c r="T962" i="2"/>
  <c r="AJ970" i="2"/>
  <c r="AG977" i="2"/>
  <c r="T978" i="2"/>
  <c r="AG985" i="2"/>
  <c r="T986" i="2"/>
  <c r="AQ991" i="2"/>
  <c r="AG993" i="2"/>
  <c r="T994" i="2"/>
  <c r="AS1001" i="2"/>
  <c r="X1002" i="2"/>
  <c r="AA1007" i="2"/>
  <c r="Q1009" i="2"/>
  <c r="AW1009" i="2"/>
  <c r="AJ1010" i="2"/>
  <c r="AP1013" i="2"/>
  <c r="AR1014" i="2"/>
  <c r="AH954" i="2"/>
  <c r="T956" i="2"/>
  <c r="R962" i="2"/>
  <c r="AJ964" i="2"/>
  <c r="V970" i="2"/>
  <c r="AN972" i="2"/>
  <c r="AB976" i="2"/>
  <c r="R978" i="2"/>
  <c r="T980" i="2"/>
  <c r="W985" i="2"/>
  <c r="AH986" i="2"/>
  <c r="T988" i="2"/>
  <c r="W993" i="2"/>
  <c r="R994" i="2"/>
  <c r="AJ996" i="2"/>
  <c r="AB1000" i="2"/>
  <c r="AM1001" i="2"/>
  <c r="AH1002" i="2"/>
  <c r="T1004" i="2"/>
  <c r="AA1009" i="2"/>
  <c r="V1010" i="2"/>
  <c r="M1012" i="2"/>
  <c r="AN1012" i="2"/>
  <c r="AN1013" i="2"/>
  <c r="V1015" i="2"/>
  <c r="M1017" i="2"/>
  <c r="AM1017" i="2"/>
  <c r="AT1017" i="2"/>
  <c r="AK1017" i="2"/>
  <c r="W1017" i="2"/>
  <c r="AH1017" i="2"/>
  <c r="Y1017" i="2"/>
  <c r="AD1017" i="2"/>
  <c r="U1017" i="2"/>
  <c r="AX1017" i="2"/>
  <c r="R1017" i="2"/>
  <c r="M1021" i="2"/>
  <c r="AL1021" i="2"/>
  <c r="V1021" i="2"/>
  <c r="AS1021" i="2"/>
  <c r="T1025" i="2"/>
  <c r="M1037" i="2"/>
  <c r="AR1037" i="2"/>
  <c r="AL1037" i="2"/>
  <c r="V1037" i="2"/>
  <c r="AS1037" i="2"/>
  <c r="M1057" i="2"/>
  <c r="W1057" i="2"/>
  <c r="AD1057" i="2"/>
  <c r="U1057" i="2"/>
  <c r="AJ1057" i="2"/>
  <c r="R1057" i="2"/>
  <c r="AO1057" i="2"/>
  <c r="X1057" i="2"/>
  <c r="AT1057" i="2"/>
  <c r="AK1057" i="2"/>
  <c r="T1057" i="2"/>
  <c r="AM1057" i="2"/>
  <c r="AH1057" i="2"/>
  <c r="AC1021" i="2"/>
  <c r="AN1030" i="2"/>
  <c r="AO1033" i="2"/>
  <c r="Y1041" i="2"/>
  <c r="M1058" i="2"/>
  <c r="Y1058" i="2"/>
  <c r="AE1058" i="2"/>
  <c r="AH1058" i="2"/>
  <c r="AR1058" i="2"/>
  <c r="S1058" i="2"/>
  <c r="R1058" i="2"/>
  <c r="AB1058" i="2"/>
  <c r="AU1058" i="2"/>
  <c r="AO1058" i="2"/>
  <c r="AN1062" i="2"/>
  <c r="AL1045" i="2"/>
  <c r="R1049" i="2"/>
  <c r="AL1061" i="2"/>
  <c r="R1065" i="2"/>
  <c r="AR1075" i="2"/>
  <c r="R1018" i="2"/>
  <c r="AN1028" i="2"/>
  <c r="AP1038" i="2"/>
  <c r="R1050" i="2"/>
  <c r="AN1060" i="2"/>
  <c r="W1065" i="2"/>
  <c r="AX1066" i="2"/>
  <c r="AP1070" i="2"/>
  <c r="AA1073" i="2"/>
  <c r="M1093" i="2"/>
  <c r="AW1093" i="2"/>
  <c r="AB1093" i="2"/>
  <c r="AM1093" i="2"/>
  <c r="M1097" i="2"/>
  <c r="V1097" i="2"/>
  <c r="Y1097" i="2"/>
  <c r="AP1097" i="2"/>
  <c r="AS1097" i="2"/>
  <c r="AR1097" i="2"/>
  <c r="X1097" i="2"/>
  <c r="AQ1097" i="2"/>
  <c r="AA1097" i="2"/>
  <c r="AN1097" i="2"/>
  <c r="AG1093" i="2"/>
  <c r="AO1097" i="2"/>
  <c r="AL1097" i="2"/>
  <c r="M1105" i="2"/>
  <c r="AI1105" i="2"/>
  <c r="AW1105" i="2"/>
  <c r="V1105" i="2"/>
  <c r="S1105" i="2"/>
  <c r="Q1105" i="2"/>
  <c r="U1105" i="2"/>
  <c r="M1125" i="2"/>
  <c r="R1125" i="2"/>
  <c r="AS1125" i="2"/>
  <c r="AN1125" i="2"/>
  <c r="AQ1125" i="2"/>
  <c r="S1125" i="2"/>
  <c r="AT1125" i="2"/>
  <c r="AG1125" i="2"/>
  <c r="AB1125" i="2"/>
  <c r="AI1125" i="2"/>
  <c r="AW1125" i="2"/>
  <c r="AD1125" i="2"/>
  <c r="M1167" i="2"/>
  <c r="AM1167" i="2"/>
  <c r="S1167" i="2"/>
  <c r="AL1167" i="2"/>
  <c r="R1167" i="2"/>
  <c r="AS1167" i="2"/>
  <c r="Y1167" i="2"/>
  <c r="AB1167" i="2"/>
  <c r="AI1167" i="2"/>
  <c r="AH1167" i="2"/>
  <c r="AO1167" i="2"/>
  <c r="U1167" i="2"/>
  <c r="AA1167" i="2"/>
  <c r="AQ1167" i="2"/>
  <c r="W1167" i="2"/>
  <c r="AT1167" i="2"/>
  <c r="V1167" i="2"/>
  <c r="AC1167" i="2"/>
  <c r="AJ1167" i="2"/>
  <c r="X1167" i="2"/>
  <c r="AR1167" i="2"/>
  <c r="T1167" i="2"/>
  <c r="AK1167" i="2"/>
  <c r="AN1167" i="2"/>
  <c r="AD1167" i="2"/>
  <c r="AJ1049" i="2"/>
  <c r="AJ1065" i="2"/>
  <c r="AJ1022" i="2"/>
  <c r="AJ1038" i="2"/>
  <c r="U1049" i="2"/>
  <c r="AS1053" i="2"/>
  <c r="AJ1054" i="2"/>
  <c r="V1056" i="2"/>
  <c r="AP1056" i="2"/>
  <c r="R1060" i="2"/>
  <c r="AH1060" i="2"/>
  <c r="U1065" i="2"/>
  <c r="AS1069" i="2"/>
  <c r="AJ1070" i="2"/>
  <c r="Z1075" i="2"/>
  <c r="Y1018" i="2"/>
  <c r="AG1022" i="2"/>
  <c r="AJ1023" i="2"/>
  <c r="S1024" i="2"/>
  <c r="AE1028" i="2"/>
  <c r="AU1028" i="2"/>
  <c r="X1031" i="2"/>
  <c r="AR1031" i="2"/>
  <c r="Y1034" i="2"/>
  <c r="AG1038" i="2"/>
  <c r="AJ1039" i="2"/>
  <c r="X1047" i="2"/>
  <c r="AR1047" i="2"/>
  <c r="AD1049" i="2"/>
  <c r="Y1050" i="2"/>
  <c r="V1053" i="2"/>
  <c r="AG1054" i="2"/>
  <c r="AJ1055" i="2"/>
  <c r="S1056" i="2"/>
  <c r="AE1060" i="2"/>
  <c r="AU1060" i="2"/>
  <c r="X1063" i="2"/>
  <c r="AR1063" i="2"/>
  <c r="AD1065" i="2"/>
  <c r="Y1066" i="2"/>
  <c r="V1069" i="2"/>
  <c r="AG1070" i="2"/>
  <c r="AJ1071" i="2"/>
  <c r="Z1073" i="2"/>
  <c r="AR1016" i="2"/>
  <c r="AH1018" i="2"/>
  <c r="X1020" i="2"/>
  <c r="Z1022" i="2"/>
  <c r="AK1023" i="2"/>
  <c r="AB1024" i="2"/>
  <c r="T1028" i="2"/>
  <c r="Y1031" i="2"/>
  <c r="AN1036" i="2"/>
  <c r="U1039" i="2"/>
  <c r="AJ1044" i="2"/>
  <c r="AO1047" i="2"/>
  <c r="AR1048" i="2"/>
  <c r="AH1050" i="2"/>
  <c r="X1052" i="2"/>
  <c r="Z1054" i="2"/>
  <c r="AK1055" i="2"/>
  <c r="AB1056" i="2"/>
  <c r="T1060" i="2"/>
  <c r="Y1063" i="2"/>
  <c r="AM1065" i="2"/>
  <c r="AN1068" i="2"/>
  <c r="U1071" i="2"/>
  <c r="AF1077" i="2"/>
  <c r="AB1076" i="2"/>
  <c r="S1077" i="2"/>
  <c r="AO1079" i="2"/>
  <c r="M1084" i="2"/>
  <c r="W1084" i="2"/>
  <c r="V1084" i="2"/>
  <c r="S1084" i="2"/>
  <c r="AP1084" i="2"/>
  <c r="Y1084" i="2"/>
  <c r="AN1084" i="2"/>
  <c r="T1084" i="2"/>
  <c r="AR1084" i="2"/>
  <c r="AJ1092" i="2"/>
  <c r="W1093" i="2"/>
  <c r="AI1097" i="2"/>
  <c r="U1084" i="2"/>
  <c r="Y1092" i="2"/>
  <c r="AR1093" i="2"/>
  <c r="T1097" i="2"/>
  <c r="Z1076" i="2"/>
  <c r="M1082" i="2"/>
  <c r="AE1082" i="2"/>
  <c r="AL1082" i="2"/>
  <c r="AO1089" i="2"/>
  <c r="V1092" i="2"/>
  <c r="M1087" i="2"/>
  <c r="S1087" i="2"/>
  <c r="R1087" i="2"/>
  <c r="AA1125" i="2"/>
  <c r="AM1110" i="2"/>
  <c r="AR1117" i="2"/>
  <c r="AU1118" i="2"/>
  <c r="X1125" i="2"/>
  <c r="M1126" i="2"/>
  <c r="AS1126" i="2"/>
  <c r="Y1126" i="2"/>
  <c r="AW1126" i="2"/>
  <c r="Q1126" i="2"/>
  <c r="AR1126" i="2"/>
  <c r="X1126" i="2"/>
  <c r="AQ1126" i="2"/>
  <c r="AA1126" i="2"/>
  <c r="AL1126" i="2"/>
  <c r="V1126" i="2"/>
  <c r="AO1126" i="2"/>
  <c r="AN1126" i="2"/>
  <c r="T1126" i="2"/>
  <c r="AM1126" i="2"/>
  <c r="W1126" i="2"/>
  <c r="AH1126" i="2"/>
  <c r="R1126" i="2"/>
  <c r="AC1126" i="2"/>
  <c r="M1133" i="2"/>
  <c r="AP1133" i="2"/>
  <c r="R1133" i="2"/>
  <c r="AR1133" i="2"/>
  <c r="AI1133" i="2"/>
  <c r="AB1133" i="2"/>
  <c r="AW1133" i="2"/>
  <c r="AS1133" i="2"/>
  <c r="AO1133" i="2"/>
  <c r="S1133" i="2"/>
  <c r="AG1133" i="2"/>
  <c r="AD1133" i="2"/>
  <c r="AC1133" i="2"/>
  <c r="M1154" i="2"/>
  <c r="V1154" i="2"/>
  <c r="AU1154" i="2"/>
  <c r="AR1154" i="2"/>
  <c r="AI1154" i="2"/>
  <c r="AS1154" i="2"/>
  <c r="AB1154" i="2"/>
  <c r="AE1154" i="2"/>
  <c r="AC1154" i="2"/>
  <c r="S1154" i="2"/>
  <c r="AL1154" i="2"/>
  <c r="AN1049" i="2"/>
  <c r="AN1065" i="2"/>
  <c r="AN1022" i="2"/>
  <c r="AN1038" i="2"/>
  <c r="AC1045" i="2"/>
  <c r="Y1049" i="2"/>
  <c r="AN1054" i="2"/>
  <c r="AC1061" i="2"/>
  <c r="Y1065" i="2"/>
  <c r="AN1070" i="2"/>
  <c r="M1073" i="2"/>
  <c r="AQ1073" i="2"/>
  <c r="AO1018" i="2"/>
  <c r="AK1022" i="2"/>
  <c r="W1024" i="2"/>
  <c r="S1028" i="2"/>
  <c r="AI1028" i="2"/>
  <c r="AO1034" i="2"/>
  <c r="AK1038" i="2"/>
  <c r="AH1049" i="2"/>
  <c r="AO1050" i="2"/>
  <c r="AL1053" i="2"/>
  <c r="AK1054" i="2"/>
  <c r="W1056" i="2"/>
  <c r="S1060" i="2"/>
  <c r="AI1060" i="2"/>
  <c r="AH1065" i="2"/>
  <c r="AO1066" i="2"/>
  <c r="AL1069" i="2"/>
  <c r="AK1070" i="2"/>
  <c r="M1079" i="2"/>
  <c r="AF1079" i="2"/>
  <c r="AI1079" i="2"/>
  <c r="S1079" i="2"/>
  <c r="AS1079" i="2"/>
  <c r="R1079" i="2"/>
  <c r="AP1022" i="2"/>
  <c r="AO1023" i="2"/>
  <c r="AR1024" i="2"/>
  <c r="X1028" i="2"/>
  <c r="AK1031" i="2"/>
  <c r="R1034" i="2"/>
  <c r="Y1039" i="2"/>
  <c r="AN1044" i="2"/>
  <c r="U1047" i="2"/>
  <c r="W1049" i="2"/>
  <c r="AP1054" i="2"/>
  <c r="AO1055" i="2"/>
  <c r="AR1056" i="2"/>
  <c r="X1060" i="2"/>
  <c r="AK1063" i="2"/>
  <c r="R1066" i="2"/>
  <c r="Y1071" i="2"/>
  <c r="M1072" i="2"/>
  <c r="AT1072" i="2"/>
  <c r="M1092" i="2"/>
  <c r="S1092" i="2"/>
  <c r="AP1092" i="2"/>
  <c r="AM1092" i="2"/>
  <c r="AL1092" i="2"/>
  <c r="AK1092" i="2"/>
  <c r="AB1092" i="2"/>
  <c r="AN1092" i="2"/>
  <c r="AI1093" i="2"/>
  <c r="S1097" i="2"/>
  <c r="AM1097" i="2"/>
  <c r="R1105" i="2"/>
  <c r="AK1084" i="2"/>
  <c r="AO1092" i="2"/>
  <c r="AB1097" i="2"/>
  <c r="Y1073" i="2"/>
  <c r="M1078" i="2"/>
  <c r="AB1078" i="2"/>
  <c r="X1078" i="2"/>
  <c r="AH1078" i="2"/>
  <c r="R1078" i="2"/>
  <c r="Y1078" i="2"/>
  <c r="Z1084" i="2"/>
  <c r="Z1092" i="2"/>
  <c r="M1099" i="2"/>
  <c r="Y1099" i="2"/>
  <c r="AB1099" i="2"/>
  <c r="AS1099" i="2"/>
  <c r="AF1099" i="2"/>
  <c r="AR1099" i="2"/>
  <c r="T1099" i="2"/>
  <c r="AI1099" i="2"/>
  <c r="AI1084" i="2"/>
  <c r="AD1093" i="2"/>
  <c r="AC1099" i="2"/>
  <c r="AE1125" i="2"/>
  <c r="M1121" i="2"/>
  <c r="S1121" i="2"/>
  <c r="AR1125" i="2"/>
  <c r="M1110" i="2"/>
  <c r="AG1110" i="2"/>
  <c r="AW1110" i="2"/>
  <c r="Y1110" i="2"/>
  <c r="AR1110" i="2"/>
  <c r="X1110" i="2"/>
  <c r="AI1110" i="2"/>
  <c r="S1110" i="2"/>
  <c r="AL1110" i="2"/>
  <c r="V1110" i="2"/>
  <c r="AS1110" i="2"/>
  <c r="Q1110" i="2"/>
  <c r="AN1110" i="2"/>
  <c r="T1110" i="2"/>
  <c r="AU1110" i="2"/>
  <c r="AE1110" i="2"/>
  <c r="AH1110" i="2"/>
  <c r="R1110" i="2"/>
  <c r="M1118" i="2"/>
  <c r="AW1118" i="2"/>
  <c r="AC1118" i="2"/>
  <c r="AS1118" i="2"/>
  <c r="Q1118" i="2"/>
  <c r="AR1118" i="2"/>
  <c r="X1118" i="2"/>
  <c r="AM1118" i="2"/>
  <c r="W1118" i="2"/>
  <c r="AL1118" i="2"/>
  <c r="V1118" i="2"/>
  <c r="AO1118" i="2"/>
  <c r="AN1118" i="2"/>
  <c r="T1118" i="2"/>
  <c r="AI1118" i="2"/>
  <c r="S1118" i="2"/>
  <c r="AX1118" i="2"/>
  <c r="AH1118" i="2"/>
  <c r="R1118" i="2"/>
  <c r="Q1125" i="2"/>
  <c r="AO1110" i="2"/>
  <c r="M1115" i="2"/>
  <c r="AB1115" i="2"/>
  <c r="AN1115" i="2"/>
  <c r="AU1115" i="2"/>
  <c r="AA1115" i="2"/>
  <c r="AP1115" i="2"/>
  <c r="V1115" i="2"/>
  <c r="AO1115" i="2"/>
  <c r="Q1115" i="2"/>
  <c r="X1115" i="2"/>
  <c r="AQ1115" i="2"/>
  <c r="W1115" i="2"/>
  <c r="AL1115" i="2"/>
  <c r="AG1115" i="2"/>
  <c r="AG1118" i="2"/>
  <c r="M1123" i="2"/>
  <c r="X1123" i="2"/>
  <c r="AN1123" i="2"/>
  <c r="AU1123" i="2"/>
  <c r="AA1123" i="2"/>
  <c r="AT1123" i="2"/>
  <c r="Z1123" i="2"/>
  <c r="AO1123" i="2"/>
  <c r="Q1123" i="2"/>
  <c r="AB1123" i="2"/>
  <c r="AQ1123" i="2"/>
  <c r="W1123" i="2"/>
  <c r="AP1123" i="2"/>
  <c r="V1123" i="2"/>
  <c r="AG1123" i="2"/>
  <c r="M1153" i="2"/>
  <c r="AI1153" i="2"/>
  <c r="Z1153" i="2"/>
  <c r="AC1153" i="2"/>
  <c r="AB1153" i="2"/>
  <c r="AE1153" i="2"/>
  <c r="AP1153" i="2"/>
  <c r="V1153" i="2"/>
  <c r="AS1153" i="2"/>
  <c r="Y1153" i="2"/>
  <c r="AR1153" i="2"/>
  <c r="X1153" i="2"/>
  <c r="AU1153" i="2"/>
  <c r="AA1153" i="2"/>
  <c r="AL1153" i="2"/>
  <c r="R1153" i="2"/>
  <c r="AO1153" i="2"/>
  <c r="U1153" i="2"/>
  <c r="AN1153" i="2"/>
  <c r="T1153" i="2"/>
  <c r="S1153" i="2"/>
  <c r="AH1153" i="2"/>
  <c r="M1147" i="2"/>
  <c r="AO1147" i="2"/>
  <c r="U1147" i="2"/>
  <c r="AB1147" i="2"/>
  <c r="AU1147" i="2"/>
  <c r="AE1147" i="2"/>
  <c r="AH1147" i="2"/>
  <c r="R1147" i="2"/>
  <c r="AK1147" i="2"/>
  <c r="Q1147" i="2"/>
  <c r="AR1147" i="2"/>
  <c r="X1147" i="2"/>
  <c r="AQ1147" i="2"/>
  <c r="AA1147" i="2"/>
  <c r="AT1147" i="2"/>
  <c r="AD1147" i="2"/>
  <c r="AG1147" i="2"/>
  <c r="AN1147" i="2"/>
  <c r="T1147" i="2"/>
  <c r="AM1147" i="2"/>
  <c r="W1147" i="2"/>
  <c r="AP1147" i="2"/>
  <c r="Z1147" i="2"/>
  <c r="Y1147" i="2"/>
  <c r="S1147" i="2"/>
  <c r="V1147" i="2"/>
  <c r="M1144" i="2"/>
  <c r="AM1144" i="2"/>
  <c r="W1144" i="2"/>
  <c r="AP1144" i="2"/>
  <c r="AS1144" i="2"/>
  <c r="Z1144" i="2"/>
  <c r="AC1144" i="2"/>
  <c r="M1160" i="2"/>
  <c r="AR1160" i="2"/>
  <c r="AE1160" i="2"/>
  <c r="AC1160" i="2"/>
  <c r="AO1160" i="2"/>
  <c r="S1160" i="2"/>
  <c r="U1160" i="2"/>
  <c r="AP1160" i="2"/>
  <c r="AG1160" i="2"/>
  <c r="AB1160" i="2"/>
  <c r="AU1160" i="2"/>
  <c r="AT1160" i="2"/>
  <c r="Z1160" i="2"/>
  <c r="Q1160" i="2"/>
  <c r="V1160" i="2"/>
  <c r="AK1160" i="2"/>
  <c r="R1160" i="2"/>
  <c r="AW1160" i="2"/>
  <c r="T1049" i="2"/>
  <c r="AR1053" i="2"/>
  <c r="T1065" i="2"/>
  <c r="AR1069" i="2"/>
  <c r="AN1075" i="2"/>
  <c r="AB1018" i="2"/>
  <c r="T1022" i="2"/>
  <c r="AB1034" i="2"/>
  <c r="T1038" i="2"/>
  <c r="AS1045" i="2"/>
  <c r="AK1049" i="2"/>
  <c r="AB1050" i="2"/>
  <c r="T1054" i="2"/>
  <c r="AD1056" i="2"/>
  <c r="Z1060" i="2"/>
  <c r="AP1060" i="2"/>
  <c r="AS1061" i="2"/>
  <c r="AK1065" i="2"/>
  <c r="AB1066" i="2"/>
  <c r="T1070" i="2"/>
  <c r="AN1073" i="2"/>
  <c r="Q1022" i="2"/>
  <c r="AW1022" i="2"/>
  <c r="X1023" i="2"/>
  <c r="AR1023" i="2"/>
  <c r="AI1024" i="2"/>
  <c r="W1028" i="2"/>
  <c r="AM1028" i="2"/>
  <c r="AJ1031" i="2"/>
  <c r="Q1038" i="2"/>
  <c r="AW1038" i="2"/>
  <c r="X1039" i="2"/>
  <c r="AR1039" i="2"/>
  <c r="V1045" i="2"/>
  <c r="AJ1047" i="2"/>
  <c r="AT1049" i="2"/>
  <c r="Q1054" i="2"/>
  <c r="AW1054" i="2"/>
  <c r="X1055" i="2"/>
  <c r="AR1055" i="2"/>
  <c r="AI1056" i="2"/>
  <c r="W1060" i="2"/>
  <c r="AM1060" i="2"/>
  <c r="V1061" i="2"/>
  <c r="AJ1063" i="2"/>
  <c r="AT1065" i="2"/>
  <c r="Q1070" i="2"/>
  <c r="AW1070" i="2"/>
  <c r="X1071" i="2"/>
  <c r="AR1071" i="2"/>
  <c r="AD1079" i="2"/>
  <c r="AN1020" i="2"/>
  <c r="U1023" i="2"/>
  <c r="AJ1028" i="2"/>
  <c r="AO1031" i="2"/>
  <c r="AR1032" i="2"/>
  <c r="AH1034" i="2"/>
  <c r="X1036" i="2"/>
  <c r="Z1038" i="2"/>
  <c r="AK1039" i="2"/>
  <c r="AB1040" i="2"/>
  <c r="T1044" i="2"/>
  <c r="Y1047" i="2"/>
  <c r="AM1049" i="2"/>
  <c r="AN1052" i="2"/>
  <c r="U1055" i="2"/>
  <c r="AJ1060" i="2"/>
  <c r="AO1063" i="2"/>
  <c r="AH1066" i="2"/>
  <c r="Z1070" i="2"/>
  <c r="AK1071" i="2"/>
  <c r="AB1072" i="2"/>
  <c r="M1077" i="2"/>
  <c r="AW1077" i="2"/>
  <c r="Q1077" i="2"/>
  <c r="AK1077" i="2"/>
  <c r="W1077" i="2"/>
  <c r="AV1072" i="2"/>
  <c r="M1076" i="2"/>
  <c r="V1076" i="2"/>
  <c r="AP1076" i="2"/>
  <c r="AN1076" i="2"/>
  <c r="T1076" i="2"/>
  <c r="AR1076" i="2"/>
  <c r="AM1077" i="2"/>
  <c r="Y1079" i="2"/>
  <c r="AB1084" i="2"/>
  <c r="T1092" i="2"/>
  <c r="AR1092" i="2"/>
  <c r="W1097" i="2"/>
  <c r="AU1097" i="2"/>
  <c r="AO1084" i="2"/>
  <c r="M1089" i="2"/>
  <c r="Z1089" i="2"/>
  <c r="AC1089" i="2"/>
  <c r="V1089" i="2"/>
  <c r="Y1089" i="2"/>
  <c r="AN1089" i="2"/>
  <c r="T1089" i="2"/>
  <c r="AI1089" i="2"/>
  <c r="S1089" i="2"/>
  <c r="AR1089" i="2"/>
  <c r="AJ1097" i="2"/>
  <c r="M1106" i="2"/>
  <c r="AQ1106" i="2"/>
  <c r="AW1106" i="2"/>
  <c r="AA1106" i="2"/>
  <c r="AT1106" i="2"/>
  <c r="AO1073" i="2"/>
  <c r="U1077" i="2"/>
  <c r="AN1078" i="2"/>
  <c r="AL1084" i="2"/>
  <c r="Q1093" i="2"/>
  <c r="AC1097" i="2"/>
  <c r="AA1099" i="2"/>
  <c r="AV1079" i="2"/>
  <c r="M1083" i="2"/>
  <c r="AB1083" i="2"/>
  <c r="AM1083" i="2"/>
  <c r="W1083" i="2"/>
  <c r="X1083" i="2"/>
  <c r="AI1083" i="2"/>
  <c r="S1083" i="2"/>
  <c r="AP1083" i="2"/>
  <c r="Z1083" i="2"/>
  <c r="AS1083" i="2"/>
  <c r="AC1083" i="2"/>
  <c r="AM1084" i="2"/>
  <c r="AP1089" i="2"/>
  <c r="AT1093" i="2"/>
  <c r="Z1097" i="2"/>
  <c r="AO1099" i="2"/>
  <c r="M1104" i="2"/>
  <c r="AO1104" i="2"/>
  <c r="AB1104" i="2"/>
  <c r="V1104" i="2"/>
  <c r="AA1104" i="2"/>
  <c r="AH1104" i="2"/>
  <c r="AC1104" i="2"/>
  <c r="X1104" i="2"/>
  <c r="S1104" i="2"/>
  <c r="Z1104" i="2"/>
  <c r="AE1104" i="2"/>
  <c r="AD1106" i="2"/>
  <c r="AU1125" i="2"/>
  <c r="AL1099" i="2"/>
  <c r="AS1104" i="2"/>
  <c r="W1110" i="2"/>
  <c r="M1117" i="2"/>
  <c r="AD1117" i="2"/>
  <c r="AS1117" i="2"/>
  <c r="AB1117" i="2"/>
  <c r="AQ1117" i="2"/>
  <c r="S1117" i="2"/>
  <c r="AT1117" i="2"/>
  <c r="AG1117" i="2"/>
  <c r="X1117" i="2"/>
  <c r="AI1117" i="2"/>
  <c r="AE1118" i="2"/>
  <c r="AB1110" i="2"/>
  <c r="Q1117" i="2"/>
  <c r="AB1118" i="2"/>
  <c r="AC1125" i="2"/>
  <c r="AG1106" i="2"/>
  <c r="AR1115" i="2"/>
  <c r="M1119" i="2"/>
  <c r="AD1119" i="2"/>
  <c r="Q1119" i="2"/>
  <c r="AU1119" i="2"/>
  <c r="AR1123" i="2"/>
  <c r="M1127" i="2"/>
  <c r="AT1127" i="2"/>
  <c r="Q1127" i="2"/>
  <c r="AU1127" i="2"/>
  <c r="AD1127" i="2"/>
  <c r="AJ1153" i="2"/>
  <c r="AJ1147" i="2"/>
  <c r="M1189" i="2"/>
  <c r="AK1189" i="2"/>
  <c r="AG1189" i="2"/>
  <c r="U1189" i="2"/>
  <c r="AA1189" i="2"/>
  <c r="AH1189" i="2"/>
  <c r="AE1189" i="2"/>
  <c r="Z1189" i="2"/>
  <c r="AB1189" i="2"/>
  <c r="AT1189" i="2"/>
  <c r="R1189" i="2"/>
  <c r="AU1189" i="2"/>
  <c r="AP1189" i="2"/>
  <c r="AN1189" i="2"/>
  <c r="Q1189" i="2"/>
  <c r="AQ1189" i="2"/>
  <c r="AD1189" i="2"/>
  <c r="AR1189" i="2"/>
  <c r="X1189" i="2"/>
  <c r="T1189" i="2"/>
  <c r="AV1189" i="2"/>
  <c r="AF1189" i="2"/>
  <c r="Z1094" i="2"/>
  <c r="AP1094" i="2"/>
  <c r="AL1098" i="2"/>
  <c r="AJ1081" i="2"/>
  <c r="AA1094" i="2"/>
  <c r="AQ1094" i="2"/>
  <c r="Q1102" i="2"/>
  <c r="AC1081" i="2"/>
  <c r="AR1086" i="2"/>
  <c r="AN1094" i="2"/>
  <c r="AR1102" i="2"/>
  <c r="Z1081" i="2"/>
  <c r="AC1086" i="2"/>
  <c r="AR1091" i="2"/>
  <c r="Y1094" i="2"/>
  <c r="AJ1103" i="2"/>
  <c r="AP1102" i="2"/>
  <c r="AK1103" i="2"/>
  <c r="AR1112" i="2"/>
  <c r="AR1120" i="2"/>
  <c r="M1128" i="2"/>
  <c r="AS1128" i="2"/>
  <c r="AV1128" i="2"/>
  <c r="AR1101" i="2"/>
  <c r="AM1102" i="2"/>
  <c r="AH1103" i="2"/>
  <c r="AR1109" i="2"/>
  <c r="Y1112" i="2"/>
  <c r="AC1120" i="2"/>
  <c r="AG1109" i="2"/>
  <c r="AT1112" i="2"/>
  <c r="AT1120" i="2"/>
  <c r="AK1129" i="2"/>
  <c r="AN1107" i="2"/>
  <c r="AQ1112" i="2"/>
  <c r="AQ1120" i="2"/>
  <c r="AD1129" i="2"/>
  <c r="AC1128" i="2"/>
  <c r="M1137" i="2"/>
  <c r="AU1137" i="2"/>
  <c r="AA1137" i="2"/>
  <c r="Z1137" i="2"/>
  <c r="AO1137" i="2"/>
  <c r="U1137" i="2"/>
  <c r="AB1137" i="2"/>
  <c r="AQ1137" i="2"/>
  <c r="S1137" i="2"/>
  <c r="AP1137" i="2"/>
  <c r="V1137" i="2"/>
  <c r="AK1137" i="2"/>
  <c r="AR1137" i="2"/>
  <c r="X1137" i="2"/>
  <c r="AI1137" i="2"/>
  <c r="AL1137" i="2"/>
  <c r="R1137" i="2"/>
  <c r="AC1137" i="2"/>
  <c r="AN1137" i="2"/>
  <c r="T1137" i="2"/>
  <c r="AH1137" i="2"/>
  <c r="AF1128" i="2"/>
  <c r="AR1094" i="2"/>
  <c r="AC1094" i="2"/>
  <c r="AK1102" i="2"/>
  <c r="V1102" i="2"/>
  <c r="M1131" i="2"/>
  <c r="Z1131" i="2"/>
  <c r="W1131" i="2"/>
  <c r="S1102" i="2"/>
  <c r="AT1103" i="2"/>
  <c r="Z1112" i="2"/>
  <c r="M1114" i="2"/>
  <c r="AG1114" i="2"/>
  <c r="Z1120" i="2"/>
  <c r="M1122" i="2"/>
  <c r="Q1122" i="2"/>
  <c r="AH1128" i="2"/>
  <c r="AR1107" i="2"/>
  <c r="Q1114" i="2"/>
  <c r="AG1122" i="2"/>
  <c r="M1129" i="2"/>
  <c r="AU1129" i="2"/>
  <c r="AA1129" i="2"/>
  <c r="AB1129" i="2"/>
  <c r="V1129" i="2"/>
  <c r="AQ1129" i="2"/>
  <c r="S1129" i="2"/>
  <c r="AR1129" i="2"/>
  <c r="AI1129" i="2"/>
  <c r="AN1129" i="2"/>
  <c r="M1157" i="2"/>
  <c r="U1157" i="2"/>
  <c r="M1135" i="2"/>
  <c r="Y1135" i="2"/>
  <c r="AU1135" i="2"/>
  <c r="AL1135" i="2"/>
  <c r="R1135" i="2"/>
  <c r="AR1135" i="2"/>
  <c r="AI1135" i="2"/>
  <c r="AH1135" i="2"/>
  <c r="AB1135" i="2"/>
  <c r="AE1135" i="2"/>
  <c r="Z1135" i="2"/>
  <c r="M1151" i="2"/>
  <c r="AE1151" i="2"/>
  <c r="AL1151" i="2"/>
  <c r="R1151" i="2"/>
  <c r="AO1151" i="2"/>
  <c r="AR1151" i="2"/>
  <c r="S1151" i="2"/>
  <c r="AH1151" i="2"/>
  <c r="Y1151" i="2"/>
  <c r="AB1151" i="2"/>
  <c r="AU1151" i="2"/>
  <c r="Z1151" i="2"/>
  <c r="AE1129" i="2"/>
  <c r="AO1135" i="2"/>
  <c r="AB1145" i="2"/>
  <c r="AC1141" i="2"/>
  <c r="AK1145" i="2"/>
  <c r="AS1149" i="2"/>
  <c r="AB1150" i="2"/>
  <c r="AS1138" i="2"/>
  <c r="AB1139" i="2"/>
  <c r="Z1141" i="2"/>
  <c r="AC1142" i="2"/>
  <c r="Z1145" i="2"/>
  <c r="U1150" i="2"/>
  <c r="AO1150" i="2"/>
  <c r="AB1155" i="2"/>
  <c r="V1130" i="2"/>
  <c r="AP1130" i="2"/>
  <c r="V1138" i="2"/>
  <c r="Y1139" i="2"/>
  <c r="AW1139" i="2"/>
  <c r="AI1141" i="2"/>
  <c r="AD1142" i="2"/>
  <c r="S1145" i="2"/>
  <c r="AQ1145" i="2"/>
  <c r="AL1146" i="2"/>
  <c r="AN1148" i="2"/>
  <c r="AH1150" i="2"/>
  <c r="Q1155" i="2"/>
  <c r="AA1158" i="2"/>
  <c r="Q1158" i="2"/>
  <c r="AW1158" i="2"/>
  <c r="AB1159" i="2"/>
  <c r="M1163" i="2"/>
  <c r="AS1163" i="2"/>
  <c r="M1171" i="2"/>
  <c r="V1171" i="2"/>
  <c r="AS1171" i="2"/>
  <c r="AL1171" i="2"/>
  <c r="Z1158" i="2"/>
  <c r="M1164" i="2"/>
  <c r="AT1164" i="2"/>
  <c r="Z1164" i="2"/>
  <c r="AB1164" i="2"/>
  <c r="AP1164" i="2"/>
  <c r="V1164" i="2"/>
  <c r="AR1164" i="2"/>
  <c r="AL1164" i="2"/>
  <c r="AD1164" i="2"/>
  <c r="AN1164" i="2"/>
  <c r="M1168" i="2"/>
  <c r="AT1168" i="2"/>
  <c r="AO1168" i="2"/>
  <c r="AR1168" i="2"/>
  <c r="AU1168" i="2"/>
  <c r="AD1168" i="2"/>
  <c r="Y1168" i="2"/>
  <c r="AB1168" i="2"/>
  <c r="AB1141" i="2"/>
  <c r="AJ1145" i="2"/>
  <c r="AS1141" i="2"/>
  <c r="U1145" i="2"/>
  <c r="AO1145" i="2"/>
  <c r="AB1146" i="2"/>
  <c r="AJ1150" i="2"/>
  <c r="AJ1139" i="2"/>
  <c r="AP1141" i="2"/>
  <c r="AK1142" i="2"/>
  <c r="AH1145" i="2"/>
  <c r="AC1146" i="2"/>
  <c r="Y1150" i="2"/>
  <c r="AS1150" i="2"/>
  <c r="M1155" i="2"/>
  <c r="AJ1155" i="2"/>
  <c r="Z1130" i="2"/>
  <c r="AT1130" i="2"/>
  <c r="AL1138" i="2"/>
  <c r="AG1139" i="2"/>
  <c r="AH1142" i="2"/>
  <c r="Y1143" i="2"/>
  <c r="AA1145" i="2"/>
  <c r="AU1145" i="2"/>
  <c r="AR1148" i="2"/>
  <c r="R1150" i="2"/>
  <c r="AL1150" i="2"/>
  <c r="U1155" i="2"/>
  <c r="AO1155" i="2"/>
  <c r="AI1158" i="2"/>
  <c r="AC1158" i="2"/>
  <c r="M1159" i="2"/>
  <c r="AS1159" i="2"/>
  <c r="Y1159" i="2"/>
  <c r="AJ1159" i="2"/>
  <c r="M1187" i="2"/>
  <c r="AU1187" i="2"/>
  <c r="AQ1187" i="2"/>
  <c r="AE1187" i="2"/>
  <c r="AA1187" i="2"/>
  <c r="Y1187" i="2"/>
  <c r="R1187" i="2"/>
  <c r="AB1187" i="2"/>
  <c r="Z1187" i="2"/>
  <c r="AW1187" i="2"/>
  <c r="T1187" i="2"/>
  <c r="AN1187" i="2"/>
  <c r="V1187" i="2"/>
  <c r="AR1187" i="2"/>
  <c r="AO1187" i="2"/>
  <c r="AH1187" i="2"/>
  <c r="AJ1187" i="2"/>
  <c r="AC1187" i="2"/>
  <c r="AG1187" i="2"/>
  <c r="AP1158" i="2"/>
  <c r="AO1159" i="2"/>
  <c r="W1161" i="2"/>
  <c r="AS1187" i="2"/>
  <c r="AI1130" i="2"/>
  <c r="AR1141" i="2"/>
  <c r="T1145" i="2"/>
  <c r="AN1145" i="2"/>
  <c r="AB1138" i="2"/>
  <c r="AJ1142" i="2"/>
  <c r="Y1145" i="2"/>
  <c r="AS1145" i="2"/>
  <c r="AR1146" i="2"/>
  <c r="T1150" i="2"/>
  <c r="AN1150" i="2"/>
  <c r="T1139" i="2"/>
  <c r="AN1139" i="2"/>
  <c r="U1142" i="2"/>
  <c r="AO1142" i="2"/>
  <c r="AB1143" i="2"/>
  <c r="R1145" i="2"/>
  <c r="AL1145" i="2"/>
  <c r="AS1146" i="2"/>
  <c r="Z1149" i="2"/>
  <c r="AC1150" i="2"/>
  <c r="T1155" i="2"/>
  <c r="AN1155" i="2"/>
  <c r="AF1158" i="2"/>
  <c r="AD1130" i="2"/>
  <c r="AR1132" i="2"/>
  <c r="Q1139" i="2"/>
  <c r="AK1139" i="2"/>
  <c r="AR1140" i="2"/>
  <c r="R1142" i="2"/>
  <c r="AL1142" i="2"/>
  <c r="AO1143" i="2"/>
  <c r="AE1145" i="2"/>
  <c r="X1148" i="2"/>
  <c r="S1149" i="2"/>
  <c r="V1150" i="2"/>
  <c r="AT1150" i="2"/>
  <c r="Y1155" i="2"/>
  <c r="AW1155" i="2"/>
  <c r="S1159" i="2"/>
  <c r="AN1161" i="2"/>
  <c r="AG1158" i="2"/>
  <c r="T1159" i="2"/>
  <c r="AN1159" i="2"/>
  <c r="Z1161" i="2"/>
  <c r="AR1163" i="2"/>
  <c r="AR1171" i="2"/>
  <c r="U1187" i="2"/>
  <c r="M1156" i="2"/>
  <c r="AB1156" i="2"/>
  <c r="AN1156" i="2"/>
  <c r="U1159" i="2"/>
  <c r="AM1161" i="2"/>
  <c r="X1164" i="2"/>
  <c r="AC1171" i="2"/>
  <c r="W1173" i="2"/>
  <c r="AU1173" i="2"/>
  <c r="AN1173" i="2"/>
  <c r="AH1175" i="2"/>
  <c r="Y1176" i="2"/>
  <c r="U1180" i="2"/>
  <c r="AO1180" i="2"/>
  <c r="AL1172" i="2"/>
  <c r="U1173" i="2"/>
  <c r="AN1174" i="2"/>
  <c r="AA1175" i="2"/>
  <c r="V1180" i="2"/>
  <c r="AP1180" i="2"/>
  <c r="AR1182" i="2"/>
  <c r="M1199" i="2"/>
  <c r="W1199" i="2"/>
  <c r="AG1199" i="2"/>
  <c r="R1199" i="2"/>
  <c r="Y1199" i="2"/>
  <c r="AL1199" i="2"/>
  <c r="AD1199" i="2"/>
  <c r="AC1199" i="2"/>
  <c r="S643" i="2"/>
  <c r="T643" i="2" s="1"/>
  <c r="U643" i="2" s="1"/>
  <c r="AD1309" i="2"/>
  <c r="S1309" i="2"/>
  <c r="AE1309" i="2"/>
  <c r="W1309" i="2"/>
  <c r="AF1309" i="2"/>
  <c r="AA1309" i="2"/>
  <c r="AR1173" i="2"/>
  <c r="AG1173" i="2"/>
  <c r="AR1174" i="2"/>
  <c r="AI1175" i="2"/>
  <c r="AD1176" i="2"/>
  <c r="Z1180" i="2"/>
  <c r="AT1180" i="2"/>
  <c r="M1191" i="2"/>
  <c r="AO1191" i="2"/>
  <c r="AN1191" i="2"/>
  <c r="AG1191" i="2"/>
  <c r="T1191" i="2"/>
  <c r="X1191" i="2"/>
  <c r="AM1191" i="2"/>
  <c r="R1191" i="2"/>
  <c r="AV1191" i="2"/>
  <c r="M1196" i="2"/>
  <c r="T1196" i="2"/>
  <c r="X1196" i="2"/>
  <c r="AG1196" i="2"/>
  <c r="AP1196" i="2"/>
  <c r="AB1196" i="2"/>
  <c r="Z1196" i="2"/>
  <c r="AS1196" i="2"/>
  <c r="AA1196" i="2"/>
  <c r="AC1196" i="2"/>
  <c r="M1213" i="2"/>
  <c r="AU1213" i="2"/>
  <c r="AI1213" i="2"/>
  <c r="AF1213" i="2"/>
  <c r="AT1213" i="2"/>
  <c r="Y1213" i="2"/>
  <c r="R1213" i="2"/>
  <c r="AE1213" i="2"/>
  <c r="Z1213" i="2"/>
  <c r="AO1213" i="2"/>
  <c r="T1213" i="2"/>
  <c r="AS1213" i="2"/>
  <c r="AR1213" i="2"/>
  <c r="AV1213" i="2"/>
  <c r="W1213" i="2"/>
  <c r="AW1213" i="2"/>
  <c r="U1213" i="2"/>
  <c r="AJ1213" i="2"/>
  <c r="AH1213" i="2"/>
  <c r="AG1213" i="2"/>
  <c r="AN1213" i="2"/>
  <c r="Q1213" i="2"/>
  <c r="AM1213" i="2"/>
  <c r="AI1173" i="2"/>
  <c r="Y1175" i="2"/>
  <c r="AS1175" i="2"/>
  <c r="AR1176" i="2"/>
  <c r="AJ1180" i="2"/>
  <c r="AO1172" i="2"/>
  <c r="X1173" i="2"/>
  <c r="S1174" i="2"/>
  <c r="AM1174" i="2"/>
  <c r="V1175" i="2"/>
  <c r="AT1175" i="2"/>
  <c r="AL1179" i="2"/>
  <c r="AG1180" i="2"/>
  <c r="AM1185" i="2"/>
  <c r="AG1165" i="2"/>
  <c r="AR1166" i="2"/>
  <c r="Z1172" i="2"/>
  <c r="AT1172" i="2"/>
  <c r="AK1173" i="2"/>
  <c r="X1174" i="2"/>
  <c r="S1175" i="2"/>
  <c r="AM1175" i="2"/>
  <c r="AT1176" i="2"/>
  <c r="AD1180" i="2"/>
  <c r="Q1181" i="2"/>
  <c r="AW1181" i="2"/>
  <c r="AB1182" i="2"/>
  <c r="X1185" i="2"/>
  <c r="Z1191" i="2"/>
  <c r="AF1196" i="2"/>
  <c r="M1210" i="2"/>
  <c r="AO1210" i="2"/>
  <c r="AV1210" i="2"/>
  <c r="AJ1210" i="2"/>
  <c r="AS1191" i="2"/>
  <c r="M1201" i="2"/>
  <c r="W1201" i="2"/>
  <c r="AN1201" i="2"/>
  <c r="AR1201" i="2"/>
  <c r="AO1196" i="2"/>
  <c r="W1191" i="2"/>
  <c r="AD1213" i="2"/>
  <c r="AP1213" i="2"/>
  <c r="M1212" i="2"/>
  <c r="AB1212" i="2"/>
  <c r="AC1212" i="2"/>
  <c r="AL1212" i="2"/>
  <c r="Q1212" i="2"/>
  <c r="AR1212" i="2"/>
  <c r="X1212" i="2"/>
  <c r="AS1212" i="2"/>
  <c r="W1212" i="2"/>
  <c r="AG1212" i="2"/>
  <c r="AP1212" i="2"/>
  <c r="AO1212" i="2"/>
  <c r="AU1212" i="2"/>
  <c r="AN1212" i="2"/>
  <c r="T1212" i="2"/>
  <c r="AM1212" i="2"/>
  <c r="R1212" i="2"/>
  <c r="AW1212" i="2"/>
  <c r="AA1212" i="2"/>
  <c r="AE1212" i="2"/>
  <c r="AD1212" i="2"/>
  <c r="AK1212" i="2"/>
  <c r="R619" i="2"/>
  <c r="S619" i="2" s="1"/>
  <c r="T619" i="2" s="1"/>
  <c r="R627" i="2"/>
  <c r="S627" i="2" s="1"/>
  <c r="R635" i="2"/>
  <c r="S635" i="2" s="1"/>
  <c r="T635" i="2" s="1"/>
  <c r="R651" i="2"/>
  <c r="S651" i="2" s="1"/>
  <c r="T651" i="2" s="1"/>
  <c r="R659" i="2"/>
  <c r="S659" i="2" s="1"/>
  <c r="T659" i="2" s="1"/>
  <c r="U659" i="2" s="1"/>
  <c r="R667" i="2"/>
  <c r="S667" i="2" s="1"/>
  <c r="T667" i="2" s="1"/>
  <c r="AH1173" i="2"/>
  <c r="AJ1175" i="2"/>
  <c r="S1176" i="2"/>
  <c r="AJ1172" i="2"/>
  <c r="S1173" i="2"/>
  <c r="AM1173" i="2"/>
  <c r="Z1174" i="2"/>
  <c r="AT1174" i="2"/>
  <c r="AC1175" i="2"/>
  <c r="T1180" i="2"/>
  <c r="AN1180" i="2"/>
  <c r="AR1165" i="2"/>
  <c r="Y1172" i="2"/>
  <c r="AW1172" i="2"/>
  <c r="AB1173" i="2"/>
  <c r="W1174" i="2"/>
  <c r="AQ1174" i="2"/>
  <c r="AD1175" i="2"/>
  <c r="Q1180" i="2"/>
  <c r="AK1180" i="2"/>
  <c r="AR1181" i="2"/>
  <c r="AI1182" i="2"/>
  <c r="AJ1183" i="2"/>
  <c r="AK1165" i="2"/>
  <c r="X1166" i="2"/>
  <c r="AD1172" i="2"/>
  <c r="Q1173" i="2"/>
  <c r="AW1173" i="2"/>
  <c r="AB1174" i="2"/>
  <c r="W1175" i="2"/>
  <c r="AQ1175" i="2"/>
  <c r="AL1180" i="2"/>
  <c r="U1181" i="2"/>
  <c r="AN1182" i="2"/>
  <c r="AT1185" i="2"/>
  <c r="AF1191" i="2"/>
  <c r="AV1196" i="2"/>
  <c r="M1211" i="2"/>
  <c r="AW1211" i="2"/>
  <c r="T1211" i="2"/>
  <c r="AH1211" i="2"/>
  <c r="AQ1211" i="2"/>
  <c r="AG1211" i="2"/>
  <c r="R1211" i="2"/>
  <c r="Q1211" i="2"/>
  <c r="AD1211" i="2"/>
  <c r="AV1211" i="2"/>
  <c r="AB1191" i="2"/>
  <c r="AE1201" i="2"/>
  <c r="Z1212" i="2"/>
  <c r="M1192" i="2"/>
  <c r="AH1192" i="2"/>
  <c r="AJ1192" i="2"/>
  <c r="AI1192" i="2"/>
  <c r="R1192" i="2"/>
  <c r="AQ1192" i="2"/>
  <c r="AE1192" i="2"/>
  <c r="X1192" i="2"/>
  <c r="U1192" i="2"/>
  <c r="Y1192" i="2"/>
  <c r="AS1192" i="2"/>
  <c r="S1192" i="2"/>
  <c r="AG1192" i="2"/>
  <c r="X1213" i="2"/>
  <c r="AX1192" i="2"/>
  <c r="AM1199" i="2"/>
  <c r="AP1211" i="2"/>
  <c r="AJ1212" i="2"/>
  <c r="AD1305" i="2"/>
  <c r="S1305" i="2"/>
  <c r="W1305" i="2"/>
  <c r="AE1305" i="2"/>
  <c r="AF1305" i="2"/>
  <c r="AA1305" i="2"/>
  <c r="AD1311" i="2"/>
  <c r="AF1311" i="2"/>
  <c r="AA1311" i="2"/>
  <c r="AE1311" i="2"/>
  <c r="W1311" i="2"/>
  <c r="AK1200" i="2"/>
  <c r="AP1193" i="2"/>
  <c r="AF1200" i="2"/>
  <c r="AV1205" i="2"/>
  <c r="AV1193" i="2"/>
  <c r="AL1195" i="2"/>
  <c r="Y1200" i="2"/>
  <c r="T1205" i="2"/>
  <c r="AJ1200" i="2"/>
  <c r="AB1190" i="2"/>
  <c r="AC1193" i="2"/>
  <c r="AJ1194" i="2"/>
  <c r="AN1198" i="2"/>
  <c r="R1200" i="2"/>
  <c r="AL1200" i="2"/>
  <c r="AV1203" i="2"/>
  <c r="Q1205" i="2"/>
  <c r="AR1205" i="2"/>
  <c r="AT1197" i="2"/>
  <c r="W1200" i="2"/>
  <c r="AQ1200" i="2"/>
  <c r="AM1203" i="2"/>
  <c r="X1205" i="2"/>
  <c r="AB1209" i="2"/>
  <c r="AJ1204" i="2"/>
  <c r="S1205" i="2"/>
  <c r="X714" i="2"/>
  <c r="AB714" i="2"/>
  <c r="AJ723" i="2"/>
  <c r="W723" i="2"/>
  <c r="AA723" i="2"/>
  <c r="AN1200" i="2"/>
  <c r="AR1195" i="2"/>
  <c r="AG1200" i="2"/>
  <c r="AD1205" i="2"/>
  <c r="AH1195" i="2"/>
  <c r="AR1200" i="2"/>
  <c r="AN1190" i="2"/>
  <c r="AS1193" i="2"/>
  <c r="AR1198" i="2"/>
  <c r="V1200" i="2"/>
  <c r="AT1200" i="2"/>
  <c r="V1205" i="2"/>
  <c r="AW1205" i="2"/>
  <c r="Y1198" i="2"/>
  <c r="AA1200" i="2"/>
  <c r="AU1200" i="2"/>
  <c r="AC1205" i="2"/>
  <c r="AW1209" i="2"/>
  <c r="Q1203" i="2"/>
  <c r="AE1205" i="2"/>
  <c r="AG37" i="2"/>
  <c r="AG1295" i="2" s="1"/>
  <c r="S1303" i="2"/>
  <c r="AE1307" i="2"/>
  <c r="AE1299" i="2"/>
  <c r="AF1307" i="2"/>
  <c r="AF1299" i="2"/>
  <c r="AA1193" i="2"/>
  <c r="AW1200" i="2"/>
  <c r="AO1205" i="2"/>
  <c r="W1193" i="2"/>
  <c r="U1205" i="2"/>
  <c r="AR1190" i="2"/>
  <c r="AE1195" i="2"/>
  <c r="U1197" i="2"/>
  <c r="AD1200" i="2"/>
  <c r="AB1205" i="2"/>
  <c r="AO1198" i="2"/>
  <c r="AE1200" i="2"/>
  <c r="AH1205" i="2"/>
  <c r="AG1203" i="2"/>
  <c r="AI1205" i="2"/>
  <c r="AA1209" i="2"/>
  <c r="AW37" i="2"/>
  <c r="AD1301" i="2"/>
  <c r="S1301" i="2"/>
  <c r="AF1317" i="2"/>
  <c r="AA1301" i="2"/>
  <c r="AA1303" i="2"/>
  <c r="W1301" i="2"/>
  <c r="AE723" i="2"/>
  <c r="AF1303" i="2"/>
  <c r="K1417" i="2"/>
  <c r="A1375" i="2"/>
  <c r="M1373" i="2"/>
  <c r="A1373" i="2"/>
  <c r="A1417" i="2" s="1"/>
  <c r="D1371" i="2"/>
  <c r="AB1312" i="2"/>
  <c r="W1312" i="2"/>
  <c r="R1312" i="2"/>
  <c r="AE1312" i="2"/>
  <c r="Z1312" i="2"/>
  <c r="T1312" i="2"/>
  <c r="AL740" i="2"/>
  <c r="AH740" i="2"/>
  <c r="AD740" i="2"/>
  <c r="Z740" i="2"/>
  <c r="V740" i="2"/>
  <c r="R740" i="2"/>
  <c r="M740" i="2"/>
  <c r="AP740" i="2"/>
  <c r="AT740" i="2"/>
  <c r="AL732" i="2"/>
  <c r="AH732" i="2"/>
  <c r="AD732" i="2"/>
  <c r="Z732" i="2"/>
  <c r="V732" i="2"/>
  <c r="R732" i="2"/>
  <c r="M732" i="2"/>
  <c r="AT732" i="2"/>
  <c r="AP732" i="2"/>
  <c r="AI724" i="2"/>
  <c r="AE724" i="2"/>
  <c r="AA724" i="2"/>
  <c r="W724" i="2"/>
  <c r="S724" i="2"/>
  <c r="Z724" i="2"/>
  <c r="AL724" i="2"/>
  <c r="V724" i="2"/>
  <c r="AH724" i="2"/>
  <c r="R724" i="2"/>
  <c r="AD724" i="2"/>
  <c r="M724" i="2"/>
  <c r="AQ724" i="2"/>
  <c r="AM724" i="2"/>
  <c r="AX724" i="2"/>
  <c r="AT724" i="2"/>
  <c r="AU724" i="2"/>
  <c r="AP724" i="2"/>
  <c r="AI716" i="2"/>
  <c r="AE716" i="2"/>
  <c r="AA716" i="2"/>
  <c r="W716" i="2"/>
  <c r="S716" i="2"/>
  <c r="Z716" i="2"/>
  <c r="AL716" i="2"/>
  <c r="V716" i="2"/>
  <c r="AH716" i="2"/>
  <c r="R716" i="2"/>
  <c r="M716" i="2"/>
  <c r="AD716" i="2"/>
  <c r="AX716" i="2"/>
  <c r="AT716" i="2"/>
  <c r="AU716" i="2"/>
  <c r="AP716" i="2"/>
  <c r="AQ716" i="2"/>
  <c r="AM716" i="2"/>
  <c r="T757" i="2"/>
  <c r="W740" i="2"/>
  <c r="W732" i="2"/>
  <c r="AU728" i="2"/>
  <c r="W757" i="2"/>
  <c r="U752" i="2"/>
  <c r="U744" i="2"/>
  <c r="U736" i="2"/>
  <c r="AS724" i="2"/>
  <c r="AL721" i="2"/>
  <c r="AH721" i="2"/>
  <c r="AD721" i="2"/>
  <c r="Z721" i="2"/>
  <c r="V721" i="2"/>
  <c r="R721" i="2"/>
  <c r="M721" i="2"/>
  <c r="Y721" i="2"/>
  <c r="AK721" i="2"/>
  <c r="U721" i="2"/>
  <c r="AG721" i="2"/>
  <c r="Q721" i="2"/>
  <c r="AC721" i="2"/>
  <c r="AO721" i="2"/>
  <c r="AS721" i="2"/>
  <c r="AP721" i="2"/>
  <c r="AT721" i="2"/>
  <c r="AW721" i="2"/>
  <c r="AO720" i="2"/>
  <c r="Y720" i="2"/>
  <c r="AK716" i="2"/>
  <c r="U716" i="2"/>
  <c r="R769" i="2"/>
  <c r="AH769" i="2"/>
  <c r="AR827" i="2"/>
  <c r="AF776" i="2"/>
  <c r="AV776" i="2"/>
  <c r="AF784" i="2"/>
  <c r="AV784" i="2"/>
  <c r="AF792" i="2"/>
  <c r="AV792" i="2"/>
  <c r="AF800" i="2"/>
  <c r="AV800" i="2"/>
  <c r="AF808" i="2"/>
  <c r="AV808" i="2"/>
  <c r="AF816" i="2"/>
  <c r="AV816" i="2"/>
  <c r="AF824" i="2"/>
  <c r="AV824" i="2"/>
  <c r="W827" i="2"/>
  <c r="Y772" i="2"/>
  <c r="AO772" i="2"/>
  <c r="AF773" i="2"/>
  <c r="AV773" i="2"/>
  <c r="Q776" i="2"/>
  <c r="AG776" i="2"/>
  <c r="AW776" i="2"/>
  <c r="Y780" i="2"/>
  <c r="AO780" i="2"/>
  <c r="AF781" i="2"/>
  <c r="AV781" i="2"/>
  <c r="Q784" i="2"/>
  <c r="AG784" i="2"/>
  <c r="AW784" i="2"/>
  <c r="Y788" i="2"/>
  <c r="AO788" i="2"/>
  <c r="AF789" i="2"/>
  <c r="AV789" i="2"/>
  <c r="Q792" i="2"/>
  <c r="AG792" i="2"/>
  <c r="AW792" i="2"/>
  <c r="Y796" i="2"/>
  <c r="AO796" i="2"/>
  <c r="AF797" i="2"/>
  <c r="AV797" i="2"/>
  <c r="Q800" i="2"/>
  <c r="AG800" i="2"/>
  <c r="AW800" i="2"/>
  <c r="Y804" i="2"/>
  <c r="AO804" i="2"/>
  <c r="AF805" i="2"/>
  <c r="AV805" i="2"/>
  <c r="Q808" i="2"/>
  <c r="AG808" i="2"/>
  <c r="AW808" i="2"/>
  <c r="Y812" i="2"/>
  <c r="AO812" i="2"/>
  <c r="AF813" i="2"/>
  <c r="AV813" i="2"/>
  <c r="Q816" i="2"/>
  <c r="AG816" i="2"/>
  <c r="AW816" i="2"/>
  <c r="Y820" i="2"/>
  <c r="AO820" i="2"/>
  <c r="AF821" i="2"/>
  <c r="AV821" i="2"/>
  <c r="Q824" i="2"/>
  <c r="AG824" i="2"/>
  <c r="AW824" i="2"/>
  <c r="X827" i="2"/>
  <c r="Q757" i="2"/>
  <c r="AG757" i="2"/>
  <c r="AW757" i="2"/>
  <c r="S759" i="2"/>
  <c r="AI759" i="2"/>
  <c r="Y761" i="2"/>
  <c r="AK762" i="2"/>
  <c r="AE762" i="2"/>
  <c r="Z762" i="2"/>
  <c r="U762" i="2"/>
  <c r="M762" i="2"/>
  <c r="AP762" i="2"/>
  <c r="AU762" i="2"/>
  <c r="AF762" i="2"/>
  <c r="AV762" i="2"/>
  <c r="AA763" i="2"/>
  <c r="AQ763" i="2"/>
  <c r="V764" i="2"/>
  <c r="Q765" i="2"/>
  <c r="AG765" i="2"/>
  <c r="S767" i="2"/>
  <c r="AI767" i="2"/>
  <c r="Y769" i="2"/>
  <c r="AO769" i="2"/>
  <c r="AE770" i="2"/>
  <c r="W770" i="2"/>
  <c r="M770" i="2"/>
  <c r="AU770" i="2"/>
  <c r="AM770" i="2"/>
  <c r="AF770" i="2"/>
  <c r="AV770" i="2"/>
  <c r="V772" i="2"/>
  <c r="AL772" i="2"/>
  <c r="Q773" i="2"/>
  <c r="AG773" i="2"/>
  <c r="AW773" i="2"/>
  <c r="S775" i="2"/>
  <c r="AI775" i="2"/>
  <c r="AD776" i="2"/>
  <c r="AT776" i="2"/>
  <c r="Y777" i="2"/>
  <c r="AO777" i="2"/>
  <c r="AF778" i="2"/>
  <c r="AV778" i="2"/>
  <c r="V780" i="2"/>
  <c r="AL780" i="2"/>
  <c r="Q781" i="2"/>
  <c r="AG781" i="2"/>
  <c r="AW781" i="2"/>
  <c r="S783" i="2"/>
  <c r="AI783" i="2"/>
  <c r="AD784" i="2"/>
  <c r="AT784" i="2"/>
  <c r="Y785" i="2"/>
  <c r="AO785" i="2"/>
  <c r="AF786" i="2"/>
  <c r="AV786" i="2"/>
  <c r="V788" i="2"/>
  <c r="AL788" i="2"/>
  <c r="Q789" i="2"/>
  <c r="AG789" i="2"/>
  <c r="AW789" i="2"/>
  <c r="S791" i="2"/>
  <c r="AI791" i="2"/>
  <c r="AD792" i="2"/>
  <c r="AT792" i="2"/>
  <c r="Y793" i="2"/>
  <c r="AO793" i="2"/>
  <c r="AF794" i="2"/>
  <c r="AV794" i="2"/>
  <c r="AA795" i="2"/>
  <c r="AQ795" i="2"/>
  <c r="V796" i="2"/>
  <c r="AL796" i="2"/>
  <c r="Q797" i="2"/>
  <c r="AG797" i="2"/>
  <c r="AW797" i="2"/>
  <c r="S799" i="2"/>
  <c r="AI799" i="2"/>
  <c r="AD800" i="2"/>
  <c r="AT800" i="2"/>
  <c r="Y801" i="2"/>
  <c r="AO801" i="2"/>
  <c r="AF802" i="2"/>
  <c r="AV802" i="2"/>
  <c r="AA803" i="2"/>
  <c r="AQ803" i="2"/>
  <c r="V804" i="2"/>
  <c r="AL804" i="2"/>
  <c r="Q805" i="2"/>
  <c r="AG805" i="2"/>
  <c r="AW805" i="2"/>
  <c r="S807" i="2"/>
  <c r="AI807" i="2"/>
  <c r="AD808" i="2"/>
  <c r="AT808" i="2"/>
  <c r="Y809" i="2"/>
  <c r="AO809" i="2"/>
  <c r="AF810" i="2"/>
  <c r="AV810" i="2"/>
  <c r="AA811" i="2"/>
  <c r="AQ811" i="2"/>
  <c r="V812" i="2"/>
  <c r="AL812" i="2"/>
  <c r="Q813" i="2"/>
  <c r="AG813" i="2"/>
  <c r="AW813" i="2"/>
  <c r="S815" i="2"/>
  <c r="AI815" i="2"/>
  <c r="AD816" i="2"/>
  <c r="AT816" i="2"/>
  <c r="Y817" i="2"/>
  <c r="AO817" i="2"/>
  <c r="AF818" i="2"/>
  <c r="AV818" i="2"/>
  <c r="AA819" i="2"/>
  <c r="AQ819" i="2"/>
  <c r="V820" i="2"/>
  <c r="AL820" i="2"/>
  <c r="Q821" i="2"/>
  <c r="AG821" i="2"/>
  <c r="AW821" i="2"/>
  <c r="S823" i="2"/>
  <c r="AI823" i="2"/>
  <c r="AD824" i="2"/>
  <c r="AT824" i="2"/>
  <c r="Y825" i="2"/>
  <c r="AO825" i="2"/>
  <c r="X826" i="2"/>
  <c r="AS826" i="2"/>
  <c r="AI827" i="2"/>
  <c r="AD827" i="2"/>
  <c r="AT827" i="2"/>
  <c r="AF829" i="2"/>
  <c r="AV829" i="2"/>
  <c r="AF837" i="2"/>
  <c r="AV837" i="2"/>
  <c r="AF845" i="2"/>
  <c r="AV845" i="2"/>
  <c r="M864" i="2"/>
  <c r="AI864" i="2"/>
  <c r="S864" i="2"/>
  <c r="AU864" i="2"/>
  <c r="AE864" i="2"/>
  <c r="AK864" i="2"/>
  <c r="AF830" i="2"/>
  <c r="AV830" i="2"/>
  <c r="Y837" i="2"/>
  <c r="AO837" i="2"/>
  <c r="AF838" i="2"/>
  <c r="AV838" i="2"/>
  <c r="Y845" i="2"/>
  <c r="AO845" i="2"/>
  <c r="AF846" i="2"/>
  <c r="AV846" i="2"/>
  <c r="V864" i="2"/>
  <c r="AR864" i="2"/>
  <c r="M874" i="2"/>
  <c r="AO874" i="2"/>
  <c r="Y874" i="2"/>
  <c r="AK874" i="2"/>
  <c r="U874" i="2"/>
  <c r="AV874" i="2"/>
  <c r="M890" i="2"/>
  <c r="AO890" i="2"/>
  <c r="Y890" i="2"/>
  <c r="AK890" i="2"/>
  <c r="U890" i="2"/>
  <c r="AV890" i="2"/>
  <c r="M906" i="2"/>
  <c r="AO906" i="2"/>
  <c r="Y906" i="2"/>
  <c r="AK906" i="2"/>
  <c r="U906" i="2"/>
  <c r="AV906" i="2"/>
  <c r="AD829" i="2"/>
  <c r="AT829" i="2"/>
  <c r="Y830" i="2"/>
  <c r="AO830" i="2"/>
  <c r="AF831" i="2"/>
  <c r="AV831" i="2"/>
  <c r="V833" i="2"/>
  <c r="AL833" i="2"/>
  <c r="AD837" i="2"/>
  <c r="AT837" i="2"/>
  <c r="Y838" i="2"/>
  <c r="AO838" i="2"/>
  <c r="AF839" i="2"/>
  <c r="AV839" i="2"/>
  <c r="V841" i="2"/>
  <c r="AL841" i="2"/>
  <c r="AD845" i="2"/>
  <c r="AT845" i="2"/>
  <c r="Y846" i="2"/>
  <c r="AO846" i="2"/>
  <c r="M847" i="2"/>
  <c r="AN847" i="2"/>
  <c r="X847" i="2"/>
  <c r="AJ847" i="2"/>
  <c r="T847" i="2"/>
  <c r="AK847" i="2"/>
  <c r="R848" i="2"/>
  <c r="AN848" i="2"/>
  <c r="X853" i="2"/>
  <c r="AS853" i="2"/>
  <c r="M856" i="2"/>
  <c r="AI856" i="2"/>
  <c r="S856" i="2"/>
  <c r="AU856" i="2"/>
  <c r="AE856" i="2"/>
  <c r="AK856" i="2"/>
  <c r="X858" i="2"/>
  <c r="AT858" i="2"/>
  <c r="M861" i="2"/>
  <c r="AL861" i="2"/>
  <c r="V861" i="2"/>
  <c r="AH861" i="2"/>
  <c r="R861" i="2"/>
  <c r="AK861" i="2"/>
  <c r="AC864" i="2"/>
  <c r="T868" i="2"/>
  <c r="R874" i="2"/>
  <c r="AJ876" i="2"/>
  <c r="M880" i="2"/>
  <c r="AI880" i="2"/>
  <c r="S880" i="2"/>
  <c r="AU880" i="2"/>
  <c r="AE880" i="2"/>
  <c r="AV880" i="2"/>
  <c r="T884" i="2"/>
  <c r="R890" i="2"/>
  <c r="M896" i="2"/>
  <c r="AI896" i="2"/>
  <c r="S896" i="2"/>
  <c r="AU896" i="2"/>
  <c r="AE896" i="2"/>
  <c r="AV896" i="2"/>
  <c r="T900" i="2"/>
  <c r="R906" i="2"/>
  <c r="M912" i="2"/>
  <c r="AI912" i="2"/>
  <c r="S912" i="2"/>
  <c r="AU912" i="2"/>
  <c r="AE912" i="2"/>
  <c r="AV912" i="2"/>
  <c r="AN928" i="2"/>
  <c r="Z826" i="2"/>
  <c r="AP826" i="2"/>
  <c r="U827" i="2"/>
  <c r="AK827" i="2"/>
  <c r="W829" i="2"/>
  <c r="AM829" i="2"/>
  <c r="R830" i="2"/>
  <c r="AH830" i="2"/>
  <c r="AC831" i="2"/>
  <c r="AS831" i="2"/>
  <c r="AE833" i="2"/>
  <c r="AU833" i="2"/>
  <c r="Z834" i="2"/>
  <c r="AP834" i="2"/>
  <c r="W837" i="2"/>
  <c r="AM837" i="2"/>
  <c r="R838" i="2"/>
  <c r="AH838" i="2"/>
  <c r="AC839" i="2"/>
  <c r="AS839" i="2"/>
  <c r="AE841" i="2"/>
  <c r="AU841" i="2"/>
  <c r="Z842" i="2"/>
  <c r="AP842" i="2"/>
  <c r="W845" i="2"/>
  <c r="AM845" i="2"/>
  <c r="R846" i="2"/>
  <c r="AH846" i="2"/>
  <c r="AG847" i="2"/>
  <c r="T848" i="2"/>
  <c r="AO848" i="2"/>
  <c r="AH852" i="2"/>
  <c r="T853" i="2"/>
  <c r="AO853" i="2"/>
  <c r="AG856" i="2"/>
  <c r="S857" i="2"/>
  <c r="AN857" i="2"/>
  <c r="Z858" i="2"/>
  <c r="AU858" i="2"/>
  <c r="AG861" i="2"/>
  <c r="S862" i="2"/>
  <c r="AN862" i="2"/>
  <c r="AD864" i="2"/>
  <c r="AJ866" i="2"/>
  <c r="V868" i="2"/>
  <c r="M870" i="2"/>
  <c r="AW870" i="2"/>
  <c r="AG870" i="2"/>
  <c r="Q870" i="2"/>
  <c r="AS870" i="2"/>
  <c r="AC870" i="2"/>
  <c r="AV870" i="2"/>
  <c r="T874" i="2"/>
  <c r="AL876" i="2"/>
  <c r="R880" i="2"/>
  <c r="AJ882" i="2"/>
  <c r="V884" i="2"/>
  <c r="M886" i="2"/>
  <c r="AW886" i="2"/>
  <c r="AG886" i="2"/>
  <c r="Q886" i="2"/>
  <c r="AS886" i="2"/>
  <c r="AC886" i="2"/>
  <c r="AV886" i="2"/>
  <c r="T890" i="2"/>
  <c r="AL892" i="2"/>
  <c r="R896" i="2"/>
  <c r="AJ898" i="2"/>
  <c r="V900" i="2"/>
  <c r="M902" i="2"/>
  <c r="AW902" i="2"/>
  <c r="AG902" i="2"/>
  <c r="Q902" i="2"/>
  <c r="AS902" i="2"/>
  <c r="AC902" i="2"/>
  <c r="AV902" i="2"/>
  <c r="T906" i="2"/>
  <c r="AL908" i="2"/>
  <c r="R912" i="2"/>
  <c r="AB928" i="2"/>
  <c r="S866" i="2"/>
  <c r="AI866" i="2"/>
  <c r="Y868" i="2"/>
  <c r="AO868" i="2"/>
  <c r="M869" i="2"/>
  <c r="AL869" i="2"/>
  <c r="V869" i="2"/>
  <c r="AH869" i="2"/>
  <c r="R869" i="2"/>
  <c r="AF869" i="2"/>
  <c r="AV869" i="2"/>
  <c r="AA870" i="2"/>
  <c r="AQ870" i="2"/>
  <c r="Q872" i="2"/>
  <c r="AG872" i="2"/>
  <c r="AW872" i="2"/>
  <c r="S874" i="2"/>
  <c r="AI874" i="2"/>
  <c r="Y876" i="2"/>
  <c r="AO876" i="2"/>
  <c r="M877" i="2"/>
  <c r="AL877" i="2"/>
  <c r="V877" i="2"/>
  <c r="AH877" i="2"/>
  <c r="R877" i="2"/>
  <c r="AF877" i="2"/>
  <c r="AV877" i="2"/>
  <c r="AQ878" i="2"/>
  <c r="Q880" i="2"/>
  <c r="AG880" i="2"/>
  <c r="AW880" i="2"/>
  <c r="S882" i="2"/>
  <c r="AI882" i="2"/>
  <c r="Y884" i="2"/>
  <c r="AO884" i="2"/>
  <c r="M885" i="2"/>
  <c r="AL885" i="2"/>
  <c r="V885" i="2"/>
  <c r="AH885" i="2"/>
  <c r="R885" i="2"/>
  <c r="AF885" i="2"/>
  <c r="AV885" i="2"/>
  <c r="AA886" i="2"/>
  <c r="AQ886" i="2"/>
  <c r="Q888" i="2"/>
  <c r="AG888" i="2"/>
  <c r="AW888" i="2"/>
  <c r="S890" i="2"/>
  <c r="AI890" i="2"/>
  <c r="Y892" i="2"/>
  <c r="AO892" i="2"/>
  <c r="M893" i="2"/>
  <c r="AL893" i="2"/>
  <c r="V893" i="2"/>
  <c r="AH893" i="2"/>
  <c r="R893" i="2"/>
  <c r="AF893" i="2"/>
  <c r="AV893" i="2"/>
  <c r="AA894" i="2"/>
  <c r="AQ894" i="2"/>
  <c r="Q896" i="2"/>
  <c r="AG896" i="2"/>
  <c r="AW896" i="2"/>
  <c r="S898" i="2"/>
  <c r="AI898" i="2"/>
  <c r="Y900" i="2"/>
  <c r="AO900" i="2"/>
  <c r="M901" i="2"/>
  <c r="AL901" i="2"/>
  <c r="V901" i="2"/>
  <c r="AH901" i="2"/>
  <c r="R901" i="2"/>
  <c r="AF901" i="2"/>
  <c r="AV901" i="2"/>
  <c r="AA902" i="2"/>
  <c r="AQ902" i="2"/>
  <c r="Q904" i="2"/>
  <c r="AG904" i="2"/>
  <c r="AW904" i="2"/>
  <c r="S906" i="2"/>
  <c r="AI906" i="2"/>
  <c r="Y908" i="2"/>
  <c r="AO908" i="2"/>
  <c r="M909" i="2"/>
  <c r="AL909" i="2"/>
  <c r="V909" i="2"/>
  <c r="AH909" i="2"/>
  <c r="R909" i="2"/>
  <c r="AF909" i="2"/>
  <c r="AV909" i="2"/>
  <c r="AA910" i="2"/>
  <c r="AQ910" i="2"/>
  <c r="Q912" i="2"/>
  <c r="AG912" i="2"/>
  <c r="AW912" i="2"/>
  <c r="S914" i="2"/>
  <c r="AI914" i="2"/>
  <c r="M917" i="2"/>
  <c r="AL917" i="2"/>
  <c r="V917" i="2"/>
  <c r="AH917" i="2"/>
  <c r="R917" i="2"/>
  <c r="AS917" i="2"/>
  <c r="AC917" i="2"/>
  <c r="AF917" i="2"/>
  <c r="AV917" i="2"/>
  <c r="Q920" i="2"/>
  <c r="AG920" i="2"/>
  <c r="AW920" i="2"/>
  <c r="Y924" i="2"/>
  <c r="AO924" i="2"/>
  <c r="M925" i="2"/>
  <c r="AL925" i="2"/>
  <c r="V925" i="2"/>
  <c r="AW925" i="2"/>
  <c r="AG925" i="2"/>
  <c r="Q925" i="2"/>
  <c r="AH925" i="2"/>
  <c r="R925" i="2"/>
  <c r="AS925" i="2"/>
  <c r="AC925" i="2"/>
  <c r="AF925" i="2"/>
  <c r="AV925" i="2"/>
  <c r="Q928" i="2"/>
  <c r="AG928" i="2"/>
  <c r="AW928" i="2"/>
  <c r="M933" i="2"/>
  <c r="AL933" i="2"/>
  <c r="V933" i="2"/>
  <c r="AW933" i="2"/>
  <c r="AG933" i="2"/>
  <c r="Q933" i="2"/>
  <c r="AH933" i="2"/>
  <c r="R933" i="2"/>
  <c r="AS933" i="2"/>
  <c r="AC933" i="2"/>
  <c r="AF933" i="2"/>
  <c r="AV933" i="2"/>
  <c r="Q936" i="2"/>
  <c r="AG936" i="2"/>
  <c r="AW936" i="2"/>
  <c r="M941" i="2"/>
  <c r="AL941" i="2"/>
  <c r="V941" i="2"/>
  <c r="AW941" i="2"/>
  <c r="AG941" i="2"/>
  <c r="Q941" i="2"/>
  <c r="AH941" i="2"/>
  <c r="R941" i="2"/>
  <c r="AS941" i="2"/>
  <c r="AC941" i="2"/>
  <c r="AF941" i="2"/>
  <c r="AV941" i="2"/>
  <c r="Q944" i="2"/>
  <c r="AG944" i="2"/>
  <c r="AW944" i="2"/>
  <c r="M949" i="2"/>
  <c r="AL949" i="2"/>
  <c r="V949" i="2"/>
  <c r="AW949" i="2"/>
  <c r="AG949" i="2"/>
  <c r="Q949" i="2"/>
  <c r="AH949" i="2"/>
  <c r="R949" i="2"/>
  <c r="AS949" i="2"/>
  <c r="AC949" i="2"/>
  <c r="AF949" i="2"/>
  <c r="AV949" i="2"/>
  <c r="R957" i="2"/>
  <c r="R973" i="2"/>
  <c r="M983" i="2"/>
  <c r="AK983" i="2"/>
  <c r="U983" i="2"/>
  <c r="AW983" i="2"/>
  <c r="AG983" i="2"/>
  <c r="Q983" i="2"/>
  <c r="AI983" i="2"/>
  <c r="S983" i="2"/>
  <c r="AT983" i="2"/>
  <c r="AD983" i="2"/>
  <c r="AS983" i="2"/>
  <c r="AC983" i="2"/>
  <c r="AU983" i="2"/>
  <c r="AE983" i="2"/>
  <c r="AP983" i="2"/>
  <c r="Z983" i="2"/>
  <c r="AN983" i="2"/>
  <c r="AV983" i="2"/>
  <c r="AO983" i="2"/>
  <c r="Y983" i="2"/>
  <c r="T987" i="2"/>
  <c r="AJ914" i="2"/>
  <c r="AL916" i="2"/>
  <c r="U917" i="2"/>
  <c r="AO917" i="2"/>
  <c r="AL920" i="2"/>
  <c r="AP924" i="2"/>
  <c r="AK925" i="2"/>
  <c r="R928" i="2"/>
  <c r="AT932" i="2"/>
  <c r="AO933" i="2"/>
  <c r="V936" i="2"/>
  <c r="Z940" i="2"/>
  <c r="U941" i="2"/>
  <c r="AH944" i="2"/>
  <c r="AD948" i="2"/>
  <c r="Y949" i="2"/>
  <c r="M950" i="2"/>
  <c r="AL950" i="2"/>
  <c r="AG950" i="2"/>
  <c r="Q950" i="2"/>
  <c r="AQ950" i="2"/>
  <c r="X950" i="2"/>
  <c r="AH950" i="2"/>
  <c r="AW950" i="2"/>
  <c r="AC950" i="2"/>
  <c r="AK950" i="2"/>
  <c r="T950" i="2"/>
  <c r="AJ957" i="2"/>
  <c r="M961" i="2"/>
  <c r="AI961" i="2"/>
  <c r="S961" i="2"/>
  <c r="AO961" i="2"/>
  <c r="Y961" i="2"/>
  <c r="Z961" i="2"/>
  <c r="AN961" i="2"/>
  <c r="AU961" i="2"/>
  <c r="AE961" i="2"/>
  <c r="AK961" i="2"/>
  <c r="U961" i="2"/>
  <c r="R961" i="2"/>
  <c r="AF961" i="2"/>
  <c r="AD961" i="2"/>
  <c r="AB965" i="2"/>
  <c r="AJ973" i="2"/>
  <c r="T983" i="2"/>
  <c r="X987" i="2"/>
  <c r="AF847" i="2"/>
  <c r="AA848" i="2"/>
  <c r="V849" i="2"/>
  <c r="Q850" i="2"/>
  <c r="AW850" i="2"/>
  <c r="Z853" i="2"/>
  <c r="U854" i="2"/>
  <c r="AM856" i="2"/>
  <c r="AC858" i="2"/>
  <c r="AD861" i="2"/>
  <c r="M863" i="2"/>
  <c r="AN863" i="2"/>
  <c r="X863" i="2"/>
  <c r="AJ863" i="2"/>
  <c r="T863" i="2"/>
  <c r="AV863" i="2"/>
  <c r="AQ864" i="2"/>
  <c r="AL865" i="2"/>
  <c r="AG866" i="2"/>
  <c r="AP869" i="2"/>
  <c r="AK870" i="2"/>
  <c r="W872" i="2"/>
  <c r="R873" i="2"/>
  <c r="AS874" i="2"/>
  <c r="S876" i="2"/>
  <c r="AT877" i="2"/>
  <c r="AO878" i="2"/>
  <c r="AA880" i="2"/>
  <c r="V881" i="2"/>
  <c r="Q882" i="2"/>
  <c r="AW882" i="2"/>
  <c r="Z885" i="2"/>
  <c r="U886" i="2"/>
  <c r="AM888" i="2"/>
  <c r="AH889" i="2"/>
  <c r="AC890" i="2"/>
  <c r="AI892" i="2"/>
  <c r="AD893" i="2"/>
  <c r="Y894" i="2"/>
  <c r="M895" i="2"/>
  <c r="AN895" i="2"/>
  <c r="X895" i="2"/>
  <c r="AJ895" i="2"/>
  <c r="T895" i="2"/>
  <c r="AV895" i="2"/>
  <c r="AQ896" i="2"/>
  <c r="AL897" i="2"/>
  <c r="AG898" i="2"/>
  <c r="AP901" i="2"/>
  <c r="AK902" i="2"/>
  <c r="W904" i="2"/>
  <c r="R905" i="2"/>
  <c r="AS906" i="2"/>
  <c r="S908" i="2"/>
  <c r="AT909" i="2"/>
  <c r="AO910" i="2"/>
  <c r="AA912" i="2"/>
  <c r="V913" i="2"/>
  <c r="Q914" i="2"/>
  <c r="AW914" i="2"/>
  <c r="AE916" i="2"/>
  <c r="Z917" i="2"/>
  <c r="AH921" i="2"/>
  <c r="AI924" i="2"/>
  <c r="AD925" i="2"/>
  <c r="M927" i="2"/>
  <c r="AN927" i="2"/>
  <c r="X927" i="2"/>
  <c r="AI927" i="2"/>
  <c r="S927" i="2"/>
  <c r="AJ927" i="2"/>
  <c r="T927" i="2"/>
  <c r="AU927" i="2"/>
  <c r="AE927" i="2"/>
  <c r="AV927" i="2"/>
  <c r="AQ928" i="2"/>
  <c r="AL929" i="2"/>
  <c r="AU932" i="2"/>
  <c r="AP933" i="2"/>
  <c r="R937" i="2"/>
  <c r="S940" i="2"/>
  <c r="AT941" i="2"/>
  <c r="V945" i="2"/>
  <c r="AE948" i="2"/>
  <c r="Z949" i="2"/>
  <c r="U950" i="2"/>
  <c r="X951" i="2"/>
  <c r="AP961" i="2"/>
  <c r="AD973" i="2"/>
  <c r="AB987" i="2"/>
  <c r="AH983" i="2"/>
  <c r="AT987" i="2"/>
  <c r="AT1003" i="2"/>
  <c r="AU955" i="2"/>
  <c r="Y957" i="2"/>
  <c r="M958" i="2"/>
  <c r="AL958" i="2"/>
  <c r="V958" i="2"/>
  <c r="AN958" i="2"/>
  <c r="X958" i="2"/>
  <c r="AU958" i="2"/>
  <c r="U958" i="2"/>
  <c r="AH958" i="2"/>
  <c r="R958" i="2"/>
  <c r="AJ958" i="2"/>
  <c r="T958" i="2"/>
  <c r="AM958" i="2"/>
  <c r="AS958" i="2"/>
  <c r="S958" i="2"/>
  <c r="AV958" i="2"/>
  <c r="AG961" i="2"/>
  <c r="AU963" i="2"/>
  <c r="Y965" i="2"/>
  <c r="M966" i="2"/>
  <c r="AL966" i="2"/>
  <c r="V966" i="2"/>
  <c r="AN966" i="2"/>
  <c r="X966" i="2"/>
  <c r="AE966" i="2"/>
  <c r="AK966" i="2"/>
  <c r="AH966" i="2"/>
  <c r="R966" i="2"/>
  <c r="AJ966" i="2"/>
  <c r="T966" i="2"/>
  <c r="W966" i="2"/>
  <c r="AC966" i="2"/>
  <c r="AI966" i="2"/>
  <c r="AT966" i="2"/>
  <c r="AD966" i="2"/>
  <c r="AV966" i="2"/>
  <c r="AU971" i="2"/>
  <c r="Y973" i="2"/>
  <c r="M974" i="2"/>
  <c r="AP974" i="2"/>
  <c r="Z974" i="2"/>
  <c r="AL974" i="2"/>
  <c r="V974" i="2"/>
  <c r="AN974" i="2"/>
  <c r="X974" i="2"/>
  <c r="AI974" i="2"/>
  <c r="S974" i="2"/>
  <c r="Q974" i="2"/>
  <c r="AH974" i="2"/>
  <c r="R974" i="2"/>
  <c r="AJ974" i="2"/>
  <c r="T974" i="2"/>
  <c r="AU974" i="2"/>
  <c r="AE974" i="2"/>
  <c r="AC974" i="2"/>
  <c r="AT974" i="2"/>
  <c r="AD974" i="2"/>
  <c r="AV974" i="2"/>
  <c r="M982" i="2"/>
  <c r="AP982" i="2"/>
  <c r="Z982" i="2"/>
  <c r="AL982" i="2"/>
  <c r="V982" i="2"/>
  <c r="AN982" i="2"/>
  <c r="X982" i="2"/>
  <c r="AI982" i="2"/>
  <c r="S982" i="2"/>
  <c r="AC982" i="2"/>
  <c r="AO982" i="2"/>
  <c r="AH982" i="2"/>
  <c r="R982" i="2"/>
  <c r="AJ982" i="2"/>
  <c r="T982" i="2"/>
  <c r="AU982" i="2"/>
  <c r="AE982" i="2"/>
  <c r="Y982" i="2"/>
  <c r="AK982" i="2"/>
  <c r="AT982" i="2"/>
  <c r="AD982" i="2"/>
  <c r="AV982" i="2"/>
  <c r="AQ983" i="2"/>
  <c r="M990" i="2"/>
  <c r="AP990" i="2"/>
  <c r="Z990" i="2"/>
  <c r="AL990" i="2"/>
  <c r="V990" i="2"/>
  <c r="AN990" i="2"/>
  <c r="X990" i="2"/>
  <c r="AI990" i="2"/>
  <c r="S990" i="2"/>
  <c r="AK990" i="2"/>
  <c r="AW990" i="2"/>
  <c r="AH990" i="2"/>
  <c r="R990" i="2"/>
  <c r="AJ990" i="2"/>
  <c r="T990" i="2"/>
  <c r="AU990" i="2"/>
  <c r="AE990" i="2"/>
  <c r="U990" i="2"/>
  <c r="AG990" i="2"/>
  <c r="AT990" i="2"/>
  <c r="AD990" i="2"/>
  <c r="AV990" i="2"/>
  <c r="AU995" i="2"/>
  <c r="M998" i="2"/>
  <c r="AP998" i="2"/>
  <c r="Z998" i="2"/>
  <c r="AL998" i="2"/>
  <c r="V998" i="2"/>
  <c r="AN998" i="2"/>
  <c r="X998" i="2"/>
  <c r="AI998" i="2"/>
  <c r="S998" i="2"/>
  <c r="AH998" i="2"/>
  <c r="R998" i="2"/>
  <c r="AJ998" i="2"/>
  <c r="T998" i="2"/>
  <c r="AU998" i="2"/>
  <c r="AE998" i="2"/>
  <c r="AS998" i="2"/>
  <c r="AT998" i="2"/>
  <c r="AD998" i="2"/>
  <c r="AV998" i="2"/>
  <c r="AU1003" i="2"/>
  <c r="M1006" i="2"/>
  <c r="AP1006" i="2"/>
  <c r="Z1006" i="2"/>
  <c r="AL1006" i="2"/>
  <c r="V1006" i="2"/>
  <c r="AN1006" i="2"/>
  <c r="X1006" i="2"/>
  <c r="AI1006" i="2"/>
  <c r="S1006" i="2"/>
  <c r="Q1006" i="2"/>
  <c r="AH1006" i="2"/>
  <c r="R1006" i="2"/>
  <c r="AJ1006" i="2"/>
  <c r="T1006" i="2"/>
  <c r="AU1006" i="2"/>
  <c r="AE1006" i="2"/>
  <c r="AC1006" i="2"/>
  <c r="AT1006" i="2"/>
  <c r="AD1006" i="2"/>
  <c r="AV1006" i="2"/>
  <c r="AP950" i="2"/>
  <c r="AK951" i="2"/>
  <c r="AS955" i="2"/>
  <c r="S957" i="2"/>
  <c r="AT958" i="2"/>
  <c r="AA961" i="2"/>
  <c r="Q963" i="2"/>
  <c r="AW963" i="2"/>
  <c r="AU965" i="2"/>
  <c r="AC971" i="2"/>
  <c r="J1359" i="2"/>
  <c r="K1359" i="2" s="1"/>
  <c r="J1355" i="2"/>
  <c r="K1355" i="2" s="1"/>
  <c r="J1351" i="2"/>
  <c r="K1351" i="2" s="1"/>
  <c r="J1347" i="2"/>
  <c r="K1347" i="2" s="1"/>
  <c r="J1362" i="2"/>
  <c r="K1362" i="2" s="1"/>
  <c r="J1358" i="2"/>
  <c r="K1358" i="2" s="1"/>
  <c r="J1354" i="2"/>
  <c r="K1354" i="2" s="1"/>
  <c r="J1350" i="2"/>
  <c r="K1350" i="2" s="1"/>
  <c r="J1361" i="2"/>
  <c r="K1361" i="2" s="1"/>
  <c r="J1360" i="2"/>
  <c r="K1360" i="2" s="1"/>
  <c r="J1356" i="2"/>
  <c r="K1356" i="2" s="1"/>
  <c r="J1352" i="2"/>
  <c r="K1352" i="2" s="1"/>
  <c r="J1343" i="2"/>
  <c r="K1343" i="2" s="1"/>
  <c r="J1339" i="2"/>
  <c r="K1339" i="2" s="1"/>
  <c r="J1335" i="2"/>
  <c r="K1335" i="2" s="1"/>
  <c r="C1331" i="2"/>
  <c r="J1357" i="2"/>
  <c r="K1357" i="2" s="1"/>
  <c r="J1346" i="2"/>
  <c r="K1346" i="2" s="1"/>
  <c r="J1342" i="2"/>
  <c r="K1342" i="2" s="1"/>
  <c r="J1338" i="2"/>
  <c r="K1338" i="2" s="1"/>
  <c r="J1353" i="2"/>
  <c r="K1353" i="2" s="1"/>
  <c r="J1348" i="2"/>
  <c r="K1348" i="2" s="1"/>
  <c r="J1345" i="2"/>
  <c r="K1345" i="2" s="1"/>
  <c r="J1341" i="2"/>
  <c r="K1341" i="2" s="1"/>
  <c r="J1337" i="2"/>
  <c r="K1337" i="2" s="1"/>
  <c r="P1334" i="2"/>
  <c r="L1380" i="2" s="1"/>
  <c r="C1332" i="2"/>
  <c r="J1349" i="2"/>
  <c r="K1349" i="2" s="1"/>
  <c r="J1344" i="2"/>
  <c r="K1344" i="2" s="1"/>
  <c r="J1340" i="2"/>
  <c r="K1340" i="2" s="1"/>
  <c r="J1336" i="2"/>
  <c r="K1336" i="2" s="1"/>
  <c r="L1334" i="2"/>
  <c r="AG1312" i="2"/>
  <c r="AL756" i="2"/>
  <c r="AH756" i="2"/>
  <c r="AD756" i="2"/>
  <c r="Z756" i="2"/>
  <c r="V756" i="2"/>
  <c r="R756" i="2"/>
  <c r="M756" i="2"/>
  <c r="AP756" i="2"/>
  <c r="AT756" i="2"/>
  <c r="AL748" i="2"/>
  <c r="AH748" i="2"/>
  <c r="AD748" i="2"/>
  <c r="Z748" i="2"/>
  <c r="V748" i="2"/>
  <c r="R748" i="2"/>
  <c r="M748" i="2"/>
  <c r="AT748" i="2"/>
  <c r="AP748" i="2"/>
  <c r="R705" i="2"/>
  <c r="AP757" i="2"/>
  <c r="AM756" i="2"/>
  <c r="AU752" i="2"/>
  <c r="AE752" i="2"/>
  <c r="AM748" i="2"/>
  <c r="AU744" i="2"/>
  <c r="AE744" i="2"/>
  <c r="AM740" i="2"/>
  <c r="AU736" i="2"/>
  <c r="AE736" i="2"/>
  <c r="AM732" i="2"/>
  <c r="AE728" i="2"/>
  <c r="AR757" i="2"/>
  <c r="AS756" i="2"/>
  <c r="AC756" i="2"/>
  <c r="AK752" i="2"/>
  <c r="AS748" i="2"/>
  <c r="AC748" i="2"/>
  <c r="AK744" i="2"/>
  <c r="AS740" i="2"/>
  <c r="AC740" i="2"/>
  <c r="AK736" i="2"/>
  <c r="AS732" i="2"/>
  <c r="AC732" i="2"/>
  <c r="AK728" i="2"/>
  <c r="U728" i="2"/>
  <c r="AC724" i="2"/>
  <c r="AF1312" i="2"/>
  <c r="U1312" i="2"/>
  <c r="S769" i="2"/>
  <c r="AQ757" i="2"/>
  <c r="V757" i="2"/>
  <c r="AR756" i="2"/>
  <c r="AB756" i="2"/>
  <c r="AJ752" i="2"/>
  <c r="T752" i="2"/>
  <c r="AR748" i="2"/>
  <c r="AB748" i="2"/>
  <c r="AJ744" i="2"/>
  <c r="T744" i="2"/>
  <c r="AR740" i="2"/>
  <c r="AB740" i="2"/>
  <c r="AJ736" i="2"/>
  <c r="T736" i="2"/>
  <c r="AR732" i="2"/>
  <c r="AB732" i="2"/>
  <c r="AJ728" i="2"/>
  <c r="T728" i="2"/>
  <c r="AR724" i="2"/>
  <c r="AB724" i="2"/>
  <c r="AU721" i="2"/>
  <c r="AE721" i="2"/>
  <c r="AJ720" i="2"/>
  <c r="T720" i="2"/>
  <c r="AR716" i="2"/>
  <c r="AB716" i="2"/>
  <c r="X769" i="2"/>
  <c r="M764" i="2"/>
  <c r="AJ764" i="2"/>
  <c r="AE764" i="2"/>
  <c r="Y764" i="2"/>
  <c r="T764" i="2"/>
  <c r="AU764" i="2"/>
  <c r="AO764" i="2"/>
  <c r="AJ759" i="2"/>
  <c r="AD759" i="2"/>
  <c r="Y759" i="2"/>
  <c r="T759" i="2"/>
  <c r="M759" i="2"/>
  <c r="AT759" i="2"/>
  <c r="AO759" i="2"/>
  <c r="AJ757" i="2"/>
  <c r="AI756" i="2"/>
  <c r="S756" i="2"/>
  <c r="AQ752" i="2"/>
  <c r="AA752" i="2"/>
  <c r="AI751" i="2"/>
  <c r="AE751" i="2"/>
  <c r="AA751" i="2"/>
  <c r="W751" i="2"/>
  <c r="S751" i="2"/>
  <c r="M751" i="2"/>
  <c r="AQ751" i="2"/>
  <c r="AU751" i="2"/>
  <c r="AM751" i="2"/>
  <c r="AI748" i="2"/>
  <c r="S748" i="2"/>
  <c r="AQ744" i="2"/>
  <c r="AA744" i="2"/>
  <c r="AI743" i="2"/>
  <c r="AE743" i="2"/>
  <c r="AA743" i="2"/>
  <c r="W743" i="2"/>
  <c r="S743" i="2"/>
  <c r="M743" i="2"/>
  <c r="AU743" i="2"/>
  <c r="AM743" i="2"/>
  <c r="AQ743" i="2"/>
  <c r="AI740" i="2"/>
  <c r="S740" i="2"/>
  <c r="AQ736" i="2"/>
  <c r="AA736" i="2"/>
  <c r="AI735" i="2"/>
  <c r="AE735" i="2"/>
  <c r="AA735" i="2"/>
  <c r="W735" i="2"/>
  <c r="S735" i="2"/>
  <c r="M735" i="2"/>
  <c r="AQ735" i="2"/>
  <c r="AU735" i="2"/>
  <c r="AM735" i="2"/>
  <c r="AI732" i="2"/>
  <c r="S732" i="2"/>
  <c r="AQ728" i="2"/>
  <c r="AA728" i="2"/>
  <c r="AI727" i="2"/>
  <c r="AE727" i="2"/>
  <c r="AA727" i="2"/>
  <c r="W727" i="2"/>
  <c r="S727" i="2"/>
  <c r="M727" i="2"/>
  <c r="AU727" i="2"/>
  <c r="AM727" i="2"/>
  <c r="AQ727" i="2"/>
  <c r="T769" i="2"/>
  <c r="M765" i="2"/>
  <c r="AI765" i="2"/>
  <c r="AA765" i="2"/>
  <c r="S765" i="2"/>
  <c r="AQ765" i="2"/>
  <c r="AI764" i="2"/>
  <c r="M761" i="2"/>
  <c r="AH761" i="2"/>
  <c r="AB761" i="2"/>
  <c r="W761" i="2"/>
  <c r="R761" i="2"/>
  <c r="AM761" i="2"/>
  <c r="AR761" i="2"/>
  <c r="AC759" i="2"/>
  <c r="AM757" i="2"/>
  <c r="R757" i="2"/>
  <c r="AO756" i="2"/>
  <c r="Y756" i="2"/>
  <c r="AW752" i="2"/>
  <c r="AG752" i="2"/>
  <c r="AL751" i="2"/>
  <c r="V751" i="2"/>
  <c r="M749" i="2"/>
  <c r="AK749" i="2"/>
  <c r="AG749" i="2"/>
  <c r="AC749" i="2"/>
  <c r="Y749" i="2"/>
  <c r="U749" i="2"/>
  <c r="Q749" i="2"/>
  <c r="AO749" i="2"/>
  <c r="AW749" i="2"/>
  <c r="AS749" i="2"/>
  <c r="AO748" i="2"/>
  <c r="Y748" i="2"/>
  <c r="AW744" i="2"/>
  <c r="AG744" i="2"/>
  <c r="AL743" i="2"/>
  <c r="V743" i="2"/>
  <c r="M741" i="2"/>
  <c r="AK741" i="2"/>
  <c r="AG741" i="2"/>
  <c r="AC741" i="2"/>
  <c r="Y741" i="2"/>
  <c r="U741" i="2"/>
  <c r="Q741" i="2"/>
  <c r="AW741" i="2"/>
  <c r="AS741" i="2"/>
  <c r="AO741" i="2"/>
  <c r="AO740" i="2"/>
  <c r="Y740" i="2"/>
  <c r="AW736" i="2"/>
  <c r="AG736" i="2"/>
  <c r="AL735" i="2"/>
  <c r="V735" i="2"/>
  <c r="M733" i="2"/>
  <c r="AK733" i="2"/>
  <c r="AG733" i="2"/>
  <c r="AC733" i="2"/>
  <c r="Y733" i="2"/>
  <c r="U733" i="2"/>
  <c r="Q733" i="2"/>
  <c r="AO733" i="2"/>
  <c r="AW733" i="2"/>
  <c r="AS733" i="2"/>
  <c r="AO732" i="2"/>
  <c r="Y732" i="2"/>
  <c r="AW728" i="2"/>
  <c r="AG728" i="2"/>
  <c r="AL727" i="2"/>
  <c r="V727" i="2"/>
  <c r="AL725" i="2"/>
  <c r="AH725" i="2"/>
  <c r="AD725" i="2"/>
  <c r="Z725" i="2"/>
  <c r="V725" i="2"/>
  <c r="R725" i="2"/>
  <c r="M725" i="2"/>
  <c r="AK725" i="2"/>
  <c r="AG725" i="2"/>
  <c r="AC725" i="2"/>
  <c r="Y725" i="2"/>
  <c r="U725" i="2"/>
  <c r="Q725" i="2"/>
  <c r="AW725" i="2"/>
  <c r="AP725" i="2"/>
  <c r="AT725" i="2"/>
  <c r="AS725" i="2"/>
  <c r="AO725" i="2"/>
  <c r="AO724" i="2"/>
  <c r="Y724" i="2"/>
  <c r="AR721" i="2"/>
  <c r="AB721" i="2"/>
  <c r="AK720" i="2"/>
  <c r="AW716" i="2"/>
  <c r="AG716" i="2"/>
  <c r="Q716" i="2"/>
  <c r="AD765" i="2"/>
  <c r="AT765" i="2"/>
  <c r="AL767" i="2"/>
  <c r="AD767" i="2"/>
  <c r="V767" i="2"/>
  <c r="M767" i="2"/>
  <c r="AT767" i="2"/>
  <c r="AF767" i="2"/>
  <c r="AV767" i="2"/>
  <c r="V769" i="2"/>
  <c r="AL769" i="2"/>
  <c r="S772" i="2"/>
  <c r="AI772" i="2"/>
  <c r="AD773" i="2"/>
  <c r="AT773" i="2"/>
  <c r="AF775" i="2"/>
  <c r="AV775" i="2"/>
  <c r="AA776" i="2"/>
  <c r="AQ776" i="2"/>
  <c r="S780" i="2"/>
  <c r="AI780" i="2"/>
  <c r="AD781" i="2"/>
  <c r="AT781" i="2"/>
  <c r="AF783" i="2"/>
  <c r="AV783" i="2"/>
  <c r="AA784" i="2"/>
  <c r="AQ784" i="2"/>
  <c r="S788" i="2"/>
  <c r="AI788" i="2"/>
  <c r="AD789" i="2"/>
  <c r="AT789" i="2"/>
  <c r="AF791" i="2"/>
  <c r="AV791" i="2"/>
  <c r="AA792" i="2"/>
  <c r="AQ792" i="2"/>
  <c r="S796" i="2"/>
  <c r="AI796" i="2"/>
  <c r="AD797" i="2"/>
  <c r="AT797" i="2"/>
  <c r="AF799" i="2"/>
  <c r="AV799" i="2"/>
  <c r="AA800" i="2"/>
  <c r="AQ800" i="2"/>
  <c r="S804" i="2"/>
  <c r="AI804" i="2"/>
  <c r="AD805" i="2"/>
  <c r="AT805" i="2"/>
  <c r="AF807" i="2"/>
  <c r="AV807" i="2"/>
  <c r="AA808" i="2"/>
  <c r="AQ808" i="2"/>
  <c r="S812" i="2"/>
  <c r="AI812" i="2"/>
  <c r="AD813" i="2"/>
  <c r="AT813" i="2"/>
  <c r="AF815" i="2"/>
  <c r="AV815" i="2"/>
  <c r="AA816" i="2"/>
  <c r="AQ816" i="2"/>
  <c r="S820" i="2"/>
  <c r="AI820" i="2"/>
  <c r="AD821" i="2"/>
  <c r="AT821" i="2"/>
  <c r="AF823" i="2"/>
  <c r="AV823" i="2"/>
  <c r="AA824" i="2"/>
  <c r="AQ824" i="2"/>
  <c r="V827" i="2"/>
  <c r="W773" i="2"/>
  <c r="AM773" i="2"/>
  <c r="AC775" i="2"/>
  <c r="AS775" i="2"/>
  <c r="T776" i="2"/>
  <c r="AJ776" i="2"/>
  <c r="AE777" i="2"/>
  <c r="AU777" i="2"/>
  <c r="Z778" i="2"/>
  <c r="AP778" i="2"/>
  <c r="U779" i="2"/>
  <c r="AK779" i="2"/>
  <c r="AB780" i="2"/>
  <c r="AR780" i="2"/>
  <c r="W781" i="2"/>
  <c r="AM781" i="2"/>
  <c r="AC783" i="2"/>
  <c r="AS783" i="2"/>
  <c r="T784" i="2"/>
  <c r="AJ784" i="2"/>
  <c r="AE785" i="2"/>
  <c r="AU785" i="2"/>
  <c r="Z786" i="2"/>
  <c r="AP786" i="2"/>
  <c r="U787" i="2"/>
  <c r="AK787" i="2"/>
  <c r="AB788" i="2"/>
  <c r="AR788" i="2"/>
  <c r="W789" i="2"/>
  <c r="AM789" i="2"/>
  <c r="AC791" i="2"/>
  <c r="AS791" i="2"/>
  <c r="T792" i="2"/>
  <c r="AJ792" i="2"/>
  <c r="AE793" i="2"/>
  <c r="AU793" i="2"/>
  <c r="U795" i="2"/>
  <c r="AK795" i="2"/>
  <c r="AB796" i="2"/>
  <c r="AR796" i="2"/>
  <c r="W797" i="2"/>
  <c r="AM797" i="2"/>
  <c r="AC799" i="2"/>
  <c r="AS799" i="2"/>
  <c r="T800" i="2"/>
  <c r="AJ800" i="2"/>
  <c r="AE801" i="2"/>
  <c r="AU801" i="2"/>
  <c r="U803" i="2"/>
  <c r="AK803" i="2"/>
  <c r="AB804" i="2"/>
  <c r="AR804" i="2"/>
  <c r="W805" i="2"/>
  <c r="AM805" i="2"/>
  <c r="AC807" i="2"/>
  <c r="AS807" i="2"/>
  <c r="T808" i="2"/>
  <c r="AJ808" i="2"/>
  <c r="AE809" i="2"/>
  <c r="AU809" i="2"/>
  <c r="U811" i="2"/>
  <c r="AK811" i="2"/>
  <c r="AB812" i="2"/>
  <c r="AR812" i="2"/>
  <c r="W813" i="2"/>
  <c r="AM813" i="2"/>
  <c r="AC815" i="2"/>
  <c r="AS815" i="2"/>
  <c r="T816" i="2"/>
  <c r="AJ816" i="2"/>
  <c r="U819" i="2"/>
  <c r="AK819" i="2"/>
  <c r="AB820" i="2"/>
  <c r="AR820" i="2"/>
  <c r="W821" i="2"/>
  <c r="AM821" i="2"/>
  <c r="AC823" i="2"/>
  <c r="AS823" i="2"/>
  <c r="T824" i="2"/>
  <c r="AJ824" i="2"/>
  <c r="AE827" i="2"/>
  <c r="AC772" i="2"/>
  <c r="AS772" i="2"/>
  <c r="T773" i="2"/>
  <c r="AJ773" i="2"/>
  <c r="Z775" i="2"/>
  <c r="AP775" i="2"/>
  <c r="U776" i="2"/>
  <c r="AK776" i="2"/>
  <c r="AB777" i="2"/>
  <c r="AR777" i="2"/>
  <c r="W778" i="2"/>
  <c r="AM778" i="2"/>
  <c r="R779" i="2"/>
  <c r="AH779" i="2"/>
  <c r="AC780" i="2"/>
  <c r="AS780" i="2"/>
  <c r="T781" i="2"/>
  <c r="AJ781" i="2"/>
  <c r="Z783" i="2"/>
  <c r="AP783" i="2"/>
  <c r="U784" i="2"/>
  <c r="AK784" i="2"/>
  <c r="AB785" i="2"/>
  <c r="AR785" i="2"/>
  <c r="W786" i="2"/>
  <c r="AM786" i="2"/>
  <c r="R787" i="2"/>
  <c r="AH787" i="2"/>
  <c r="AC788" i="2"/>
  <c r="AS788" i="2"/>
  <c r="T789" i="2"/>
  <c r="AJ789" i="2"/>
  <c r="Z791" i="2"/>
  <c r="AP791" i="2"/>
  <c r="U792" i="2"/>
  <c r="AK792" i="2"/>
  <c r="AB793" i="2"/>
  <c r="AR793" i="2"/>
  <c r="W794" i="2"/>
  <c r="AM794" i="2"/>
  <c r="R795" i="2"/>
  <c r="AH795" i="2"/>
  <c r="AC796" i="2"/>
  <c r="AS796" i="2"/>
  <c r="T797" i="2"/>
  <c r="AJ797" i="2"/>
  <c r="Z799" i="2"/>
  <c r="AP799" i="2"/>
  <c r="U800" i="2"/>
  <c r="AK800" i="2"/>
  <c r="AB801" i="2"/>
  <c r="AR801" i="2"/>
  <c r="W802" i="2"/>
  <c r="AM802" i="2"/>
  <c r="R803" i="2"/>
  <c r="AH803" i="2"/>
  <c r="AC804" i="2"/>
  <c r="AS804" i="2"/>
  <c r="T805" i="2"/>
  <c r="AJ805" i="2"/>
  <c r="Z807" i="2"/>
  <c r="AP807" i="2"/>
  <c r="U808" i="2"/>
  <c r="AK808" i="2"/>
  <c r="AB809" i="2"/>
  <c r="AR809" i="2"/>
  <c r="W810" i="2"/>
  <c r="AM810" i="2"/>
  <c r="R811" i="2"/>
  <c r="AH811" i="2"/>
  <c r="AC812" i="2"/>
  <c r="AS812" i="2"/>
  <c r="T813" i="2"/>
  <c r="AJ813" i="2"/>
  <c r="Z815" i="2"/>
  <c r="AP815" i="2"/>
  <c r="U816" i="2"/>
  <c r="AK816" i="2"/>
  <c r="AB817" i="2"/>
  <c r="AR817" i="2"/>
  <c r="W818" i="2"/>
  <c r="AM818" i="2"/>
  <c r="R819" i="2"/>
  <c r="AH819" i="2"/>
  <c r="AC820" i="2"/>
  <c r="AS820" i="2"/>
  <c r="T821" i="2"/>
  <c r="AJ821" i="2"/>
  <c r="Z823" i="2"/>
  <c r="AP823" i="2"/>
  <c r="U824" i="2"/>
  <c r="AK824" i="2"/>
  <c r="AB825" i="2"/>
  <c r="AR825" i="2"/>
  <c r="W826" i="2"/>
  <c r="AR826" i="2"/>
  <c r="AF827" i="2"/>
  <c r="U757" i="2"/>
  <c r="AK757" i="2"/>
  <c r="AB758" i="2"/>
  <c r="W759" i="2"/>
  <c r="AM759" i="2"/>
  <c r="AC761" i="2"/>
  <c r="AS761" i="2"/>
  <c r="T762" i="2"/>
  <c r="AJ762" i="2"/>
  <c r="AE763" i="2"/>
  <c r="AU763" i="2"/>
  <c r="Z764" i="2"/>
  <c r="AP764" i="2"/>
  <c r="U765" i="2"/>
  <c r="AK765" i="2"/>
  <c r="AB766" i="2"/>
  <c r="W767" i="2"/>
  <c r="AM767" i="2"/>
  <c r="AC769" i="2"/>
  <c r="AS769" i="2"/>
  <c r="T770" i="2"/>
  <c r="AJ770" i="2"/>
  <c r="AE771" i="2"/>
  <c r="AU771" i="2"/>
  <c r="Z772" i="2"/>
  <c r="AP772" i="2"/>
  <c r="U773" i="2"/>
  <c r="AK773" i="2"/>
  <c r="AB774" i="2"/>
  <c r="AR774" i="2"/>
  <c r="W775" i="2"/>
  <c r="AM775" i="2"/>
  <c r="R776" i="2"/>
  <c r="AH776" i="2"/>
  <c r="AC777" i="2"/>
  <c r="AS777" i="2"/>
  <c r="T778" i="2"/>
  <c r="AJ778" i="2"/>
  <c r="AE779" i="2"/>
  <c r="AU779" i="2"/>
  <c r="Z780" i="2"/>
  <c r="AP780" i="2"/>
  <c r="U781" i="2"/>
  <c r="AK781" i="2"/>
  <c r="AB782" i="2"/>
  <c r="AR782" i="2"/>
  <c r="W783" i="2"/>
  <c r="AM783" i="2"/>
  <c r="R784" i="2"/>
  <c r="AH784" i="2"/>
  <c r="AC785" i="2"/>
  <c r="AS785" i="2"/>
  <c r="T786" i="2"/>
  <c r="AJ786" i="2"/>
  <c r="AE787" i="2"/>
  <c r="AU787" i="2"/>
  <c r="Z788" i="2"/>
  <c r="AP788" i="2"/>
  <c r="U789" i="2"/>
  <c r="AK789" i="2"/>
  <c r="AB790" i="2"/>
  <c r="AR790" i="2"/>
  <c r="W791" i="2"/>
  <c r="AM791" i="2"/>
  <c r="R792" i="2"/>
  <c r="AH792" i="2"/>
  <c r="AC793" i="2"/>
  <c r="AS793" i="2"/>
  <c r="T794" i="2"/>
  <c r="AJ794" i="2"/>
  <c r="AE795" i="2"/>
  <c r="AU795" i="2"/>
  <c r="Z796" i="2"/>
  <c r="AP796" i="2"/>
  <c r="U797" i="2"/>
  <c r="AK797" i="2"/>
  <c r="AB798" i="2"/>
  <c r="AR798" i="2"/>
  <c r="W799" i="2"/>
  <c r="AM799" i="2"/>
  <c r="R800" i="2"/>
  <c r="AH800" i="2"/>
  <c r="AC801" i="2"/>
  <c r="AS801" i="2"/>
  <c r="T802" i="2"/>
  <c r="AJ802" i="2"/>
  <c r="AE803" i="2"/>
  <c r="AU803" i="2"/>
  <c r="Z804" i="2"/>
  <c r="AP804" i="2"/>
  <c r="U805" i="2"/>
  <c r="AK805" i="2"/>
  <c r="AB806" i="2"/>
  <c r="AR806" i="2"/>
  <c r="W807" i="2"/>
  <c r="AM807" i="2"/>
  <c r="R808" i="2"/>
  <c r="AH808" i="2"/>
  <c r="AC809" i="2"/>
  <c r="AS809" i="2"/>
  <c r="T810" i="2"/>
  <c r="AJ810" i="2"/>
  <c r="AE811" i="2"/>
  <c r="AU811" i="2"/>
  <c r="Z812" i="2"/>
  <c r="AP812" i="2"/>
  <c r="U813" i="2"/>
  <c r="AK813" i="2"/>
  <c r="AB814" i="2"/>
  <c r="AR814" i="2"/>
  <c r="W815" i="2"/>
  <c r="AM815" i="2"/>
  <c r="R816" i="2"/>
  <c r="AH816" i="2"/>
  <c r="AC817" i="2"/>
  <c r="AS817" i="2"/>
  <c r="T818" i="2"/>
  <c r="AJ818" i="2"/>
  <c r="AE819" i="2"/>
  <c r="AU819" i="2"/>
  <c r="Z820" i="2"/>
  <c r="AP820" i="2"/>
  <c r="U821" i="2"/>
  <c r="AK821" i="2"/>
  <c r="AB822" i="2"/>
  <c r="AR822" i="2"/>
  <c r="W823" i="2"/>
  <c r="AM823" i="2"/>
  <c r="R824" i="2"/>
  <c r="AH824" i="2"/>
  <c r="AC825" i="2"/>
  <c r="AS825" i="2"/>
  <c r="AC826" i="2"/>
  <c r="AQ827" i="2"/>
  <c r="AC829" i="2"/>
  <c r="AH827" i="2"/>
  <c r="T829" i="2"/>
  <c r="AJ829" i="2"/>
  <c r="AE830" i="2"/>
  <c r="AU830" i="2"/>
  <c r="AB833" i="2"/>
  <c r="AR833" i="2"/>
  <c r="T837" i="2"/>
  <c r="AJ837" i="2"/>
  <c r="AE838" i="2"/>
  <c r="AU838" i="2"/>
  <c r="AB841" i="2"/>
  <c r="AR841" i="2"/>
  <c r="T845" i="2"/>
  <c r="AJ845" i="2"/>
  <c r="AE846" i="2"/>
  <c r="AU846" i="2"/>
  <c r="AF848" i="2"/>
  <c r="AF853" i="2"/>
  <c r="AF858" i="2"/>
  <c r="U864" i="2"/>
  <c r="AP864" i="2"/>
  <c r="M868" i="2"/>
  <c r="AQ868" i="2"/>
  <c r="AA868" i="2"/>
  <c r="AM868" i="2"/>
  <c r="W868" i="2"/>
  <c r="AV868" i="2"/>
  <c r="AL874" i="2"/>
  <c r="M884" i="2"/>
  <c r="AQ884" i="2"/>
  <c r="AA884" i="2"/>
  <c r="AM884" i="2"/>
  <c r="W884" i="2"/>
  <c r="AV884" i="2"/>
  <c r="AL890" i="2"/>
  <c r="M900" i="2"/>
  <c r="AQ900" i="2"/>
  <c r="AA900" i="2"/>
  <c r="AM900" i="2"/>
  <c r="W900" i="2"/>
  <c r="AV900" i="2"/>
  <c r="AL906" i="2"/>
  <c r="T830" i="2"/>
  <c r="AJ830" i="2"/>
  <c r="AE831" i="2"/>
  <c r="AU831" i="2"/>
  <c r="U833" i="2"/>
  <c r="AK833" i="2"/>
  <c r="AB834" i="2"/>
  <c r="AR834" i="2"/>
  <c r="AC837" i="2"/>
  <c r="AS837" i="2"/>
  <c r="T838" i="2"/>
  <c r="AJ838" i="2"/>
  <c r="AE839" i="2"/>
  <c r="AU839" i="2"/>
  <c r="U841" i="2"/>
  <c r="AK841" i="2"/>
  <c r="AB842" i="2"/>
  <c r="AR842" i="2"/>
  <c r="AC845" i="2"/>
  <c r="AS845" i="2"/>
  <c r="T846" i="2"/>
  <c r="AJ846" i="2"/>
  <c r="AI847" i="2"/>
  <c r="Q848" i="2"/>
  <c r="AL848" i="2"/>
  <c r="M852" i="2"/>
  <c r="AQ852" i="2"/>
  <c r="AA852" i="2"/>
  <c r="AM852" i="2"/>
  <c r="W852" i="2"/>
  <c r="AK852" i="2"/>
  <c r="Q853" i="2"/>
  <c r="AM853" i="2"/>
  <c r="AJ856" i="2"/>
  <c r="M857" i="2"/>
  <c r="AT857" i="2"/>
  <c r="AD857" i="2"/>
  <c r="AP857" i="2"/>
  <c r="Z857" i="2"/>
  <c r="AK857" i="2"/>
  <c r="R858" i="2"/>
  <c r="AM858" i="2"/>
  <c r="AJ861" i="2"/>
  <c r="M862" i="2"/>
  <c r="AW862" i="2"/>
  <c r="AG862" i="2"/>
  <c r="Q862" i="2"/>
  <c r="AS862" i="2"/>
  <c r="AC862" i="2"/>
  <c r="AL862" i="2"/>
  <c r="AB864" i="2"/>
  <c r="AW864" i="2"/>
  <c r="AN866" i="2"/>
  <c r="Z868" i="2"/>
  <c r="X874" i="2"/>
  <c r="AP876" i="2"/>
  <c r="AT880" i="2"/>
  <c r="AN882" i="2"/>
  <c r="Z884" i="2"/>
  <c r="X890" i="2"/>
  <c r="AP892" i="2"/>
  <c r="AT896" i="2"/>
  <c r="AN898" i="2"/>
  <c r="Z900" i="2"/>
  <c r="X906" i="2"/>
  <c r="AP908" i="2"/>
  <c r="AT912" i="2"/>
  <c r="AJ928" i="2"/>
  <c r="R829" i="2"/>
  <c r="AH829" i="2"/>
  <c r="AC830" i="2"/>
  <c r="AS830" i="2"/>
  <c r="T831" i="2"/>
  <c r="AJ831" i="2"/>
  <c r="Z833" i="2"/>
  <c r="AP833" i="2"/>
  <c r="U834" i="2"/>
  <c r="AK834" i="2"/>
  <c r="AB835" i="2"/>
  <c r="AR835" i="2"/>
  <c r="R837" i="2"/>
  <c r="AH837" i="2"/>
  <c r="AX837" i="2"/>
  <c r="AC838" i="2"/>
  <c r="AS838" i="2"/>
  <c r="T839" i="2"/>
  <c r="AJ839" i="2"/>
  <c r="Z841" i="2"/>
  <c r="AP841" i="2"/>
  <c r="U842" i="2"/>
  <c r="AK842" i="2"/>
  <c r="AB843" i="2"/>
  <c r="AR843" i="2"/>
  <c r="R845" i="2"/>
  <c r="AH845" i="2"/>
  <c r="AC846" i="2"/>
  <c r="AS846" i="2"/>
  <c r="U847" i="2"/>
  <c r="AP847" i="2"/>
  <c r="X848" i="2"/>
  <c r="AS848" i="2"/>
  <c r="AF850" i="2"/>
  <c r="V852" i="2"/>
  <c r="AR852" i="2"/>
  <c r="AC853" i="2"/>
  <c r="U856" i="2"/>
  <c r="AP856" i="2"/>
  <c r="W857" i="2"/>
  <c r="AR857" i="2"/>
  <c r="AD858" i="2"/>
  <c r="U861" i="2"/>
  <c r="AQ861" i="2"/>
  <c r="W862" i="2"/>
  <c r="AR862" i="2"/>
  <c r="AH864" i="2"/>
  <c r="AP866" i="2"/>
  <c r="AB868" i="2"/>
  <c r="AT870" i="2"/>
  <c r="Z874" i="2"/>
  <c r="AR876" i="2"/>
  <c r="X880" i="2"/>
  <c r="AP882" i="2"/>
  <c r="AB884" i="2"/>
  <c r="AT886" i="2"/>
  <c r="Z890" i="2"/>
  <c r="AR892" i="2"/>
  <c r="X896" i="2"/>
  <c r="AP898" i="2"/>
  <c r="AB900" i="2"/>
  <c r="AT902" i="2"/>
  <c r="Z906" i="2"/>
  <c r="AR908" i="2"/>
  <c r="X912" i="2"/>
  <c r="M920" i="2"/>
  <c r="AI920" i="2"/>
  <c r="S920" i="2"/>
  <c r="AT920" i="2"/>
  <c r="AD920" i="2"/>
  <c r="AU920" i="2"/>
  <c r="AE920" i="2"/>
  <c r="AP920" i="2"/>
  <c r="Z920" i="2"/>
  <c r="AD826" i="2"/>
  <c r="AT826" i="2"/>
  <c r="Y827" i="2"/>
  <c r="AO827" i="2"/>
  <c r="AF828" i="2"/>
  <c r="AV828" i="2"/>
  <c r="AA829" i="2"/>
  <c r="AQ829" i="2"/>
  <c r="V830" i="2"/>
  <c r="AL830" i="2"/>
  <c r="Q831" i="2"/>
  <c r="AG831" i="2"/>
  <c r="AW831" i="2"/>
  <c r="S833" i="2"/>
  <c r="AI833" i="2"/>
  <c r="AD834" i="2"/>
  <c r="AT834" i="2"/>
  <c r="Y835" i="2"/>
  <c r="AO835" i="2"/>
  <c r="AF836" i="2"/>
  <c r="AV836" i="2"/>
  <c r="AA837" i="2"/>
  <c r="AQ837" i="2"/>
  <c r="V838" i="2"/>
  <c r="AL838" i="2"/>
  <c r="Q839" i="2"/>
  <c r="AG839" i="2"/>
  <c r="AW839" i="2"/>
  <c r="S841" i="2"/>
  <c r="AI841" i="2"/>
  <c r="AD842" i="2"/>
  <c r="AT842" i="2"/>
  <c r="Y843" i="2"/>
  <c r="AO843" i="2"/>
  <c r="AF844" i="2"/>
  <c r="AV844" i="2"/>
  <c r="AA845" i="2"/>
  <c r="AQ845" i="2"/>
  <c r="V846" i="2"/>
  <c r="AL846" i="2"/>
  <c r="Q847" i="2"/>
  <c r="AL847" i="2"/>
  <c r="Y848" i="2"/>
  <c r="AT848" i="2"/>
  <c r="AB850" i="2"/>
  <c r="R852" i="2"/>
  <c r="AN852" i="2"/>
  <c r="Y853" i="2"/>
  <c r="AU853" i="2"/>
  <c r="Q856" i="2"/>
  <c r="AL856" i="2"/>
  <c r="X857" i="2"/>
  <c r="AS857" i="2"/>
  <c r="AE858" i="2"/>
  <c r="M860" i="2"/>
  <c r="AQ860" i="2"/>
  <c r="AA860" i="2"/>
  <c r="AM860" i="2"/>
  <c r="W860" i="2"/>
  <c r="AK860" i="2"/>
  <c r="Q861" i="2"/>
  <c r="AM861" i="2"/>
  <c r="X862" i="2"/>
  <c r="AT862" i="2"/>
  <c r="AJ864" i="2"/>
  <c r="AR866" i="2"/>
  <c r="AD868" i="2"/>
  <c r="AE869" i="2"/>
  <c r="X870" i="2"/>
  <c r="AP872" i="2"/>
  <c r="AB874" i="2"/>
  <c r="AT876" i="2"/>
  <c r="Z880" i="2"/>
  <c r="AR882" i="2"/>
  <c r="AD884" i="2"/>
  <c r="X886" i="2"/>
  <c r="AP888" i="2"/>
  <c r="AB890" i="2"/>
  <c r="AT892" i="2"/>
  <c r="Z896" i="2"/>
  <c r="AR898" i="2"/>
  <c r="AD900" i="2"/>
  <c r="X902" i="2"/>
  <c r="AP904" i="2"/>
  <c r="AB906" i="2"/>
  <c r="AT908" i="2"/>
  <c r="Z912" i="2"/>
  <c r="AJ920" i="2"/>
  <c r="X924" i="2"/>
  <c r="AR928" i="2"/>
  <c r="M936" i="2"/>
  <c r="AI936" i="2"/>
  <c r="S936" i="2"/>
  <c r="AT936" i="2"/>
  <c r="AD936" i="2"/>
  <c r="AU936" i="2"/>
  <c r="AE936" i="2"/>
  <c r="AP936" i="2"/>
  <c r="Z936" i="2"/>
  <c r="AF936" i="2"/>
  <c r="AV936" i="2"/>
  <c r="M944" i="2"/>
  <c r="AI944" i="2"/>
  <c r="S944" i="2"/>
  <c r="AT944" i="2"/>
  <c r="AD944" i="2"/>
  <c r="AU944" i="2"/>
  <c r="AE944" i="2"/>
  <c r="AP944" i="2"/>
  <c r="Z944" i="2"/>
  <c r="AF944" i="2"/>
  <c r="AV944" i="2"/>
  <c r="M957" i="2"/>
  <c r="AQ957" i="2"/>
  <c r="AA957" i="2"/>
  <c r="AW957" i="2"/>
  <c r="AG957" i="2"/>
  <c r="Q957" i="2"/>
  <c r="AT957" i="2"/>
  <c r="AB957" i="2"/>
  <c r="AM957" i="2"/>
  <c r="W957" i="2"/>
  <c r="AS957" i="2"/>
  <c r="AC957" i="2"/>
  <c r="AL957" i="2"/>
  <c r="T957" i="2"/>
  <c r="Z957" i="2"/>
  <c r="AV957" i="2"/>
  <c r="M973" i="2"/>
  <c r="AQ973" i="2"/>
  <c r="AA973" i="2"/>
  <c r="AW973" i="2"/>
  <c r="AG973" i="2"/>
  <c r="Q973" i="2"/>
  <c r="AT973" i="2"/>
  <c r="AB973" i="2"/>
  <c r="AM973" i="2"/>
  <c r="W973" i="2"/>
  <c r="AS973" i="2"/>
  <c r="AC973" i="2"/>
  <c r="AL973" i="2"/>
  <c r="T973" i="2"/>
  <c r="Z973" i="2"/>
  <c r="AI973" i="2"/>
  <c r="S973" i="2"/>
  <c r="AV973" i="2"/>
  <c r="M987" i="2"/>
  <c r="AS987" i="2"/>
  <c r="AC987" i="2"/>
  <c r="AO987" i="2"/>
  <c r="Y987" i="2"/>
  <c r="AQ987" i="2"/>
  <c r="AA987" i="2"/>
  <c r="AL987" i="2"/>
  <c r="V987" i="2"/>
  <c r="AK987" i="2"/>
  <c r="U987" i="2"/>
  <c r="AM987" i="2"/>
  <c r="W987" i="2"/>
  <c r="AH987" i="2"/>
  <c r="R987" i="2"/>
  <c r="AN987" i="2"/>
  <c r="AJ987" i="2"/>
  <c r="AW987" i="2"/>
  <c r="AG987" i="2"/>
  <c r="Q987" i="2"/>
  <c r="AR865" i="2"/>
  <c r="W866" i="2"/>
  <c r="AM866" i="2"/>
  <c r="AC868" i="2"/>
  <c r="AS868" i="2"/>
  <c r="T869" i="2"/>
  <c r="AJ869" i="2"/>
  <c r="AE870" i="2"/>
  <c r="AU870" i="2"/>
  <c r="U872" i="2"/>
  <c r="AK872" i="2"/>
  <c r="AB873" i="2"/>
  <c r="AR873" i="2"/>
  <c r="W874" i="2"/>
  <c r="AM874" i="2"/>
  <c r="AC876" i="2"/>
  <c r="AS876" i="2"/>
  <c r="T877" i="2"/>
  <c r="AJ877" i="2"/>
  <c r="AE878" i="2"/>
  <c r="AU878" i="2"/>
  <c r="U880" i="2"/>
  <c r="AK880" i="2"/>
  <c r="AB881" i="2"/>
  <c r="AR881" i="2"/>
  <c r="W882" i="2"/>
  <c r="AM882" i="2"/>
  <c r="AC884" i="2"/>
  <c r="AS884" i="2"/>
  <c r="T885" i="2"/>
  <c r="AJ885" i="2"/>
  <c r="AE886" i="2"/>
  <c r="AU886" i="2"/>
  <c r="U888" i="2"/>
  <c r="AK888" i="2"/>
  <c r="AB889" i="2"/>
  <c r="AR889" i="2"/>
  <c r="W890" i="2"/>
  <c r="AM890" i="2"/>
  <c r="AC892" i="2"/>
  <c r="AS892" i="2"/>
  <c r="T893" i="2"/>
  <c r="AJ893" i="2"/>
  <c r="AE894" i="2"/>
  <c r="AU894" i="2"/>
  <c r="U896" i="2"/>
  <c r="AK896" i="2"/>
  <c r="AB897" i="2"/>
  <c r="AR897" i="2"/>
  <c r="W898" i="2"/>
  <c r="AM898" i="2"/>
  <c r="AC900" i="2"/>
  <c r="AS900" i="2"/>
  <c r="T901" i="2"/>
  <c r="AJ901" i="2"/>
  <c r="AE902" i="2"/>
  <c r="AU902" i="2"/>
  <c r="U904" i="2"/>
  <c r="AK904" i="2"/>
  <c r="W906" i="2"/>
  <c r="AM906" i="2"/>
  <c r="AC908" i="2"/>
  <c r="AS908" i="2"/>
  <c r="T909" i="2"/>
  <c r="AJ909" i="2"/>
  <c r="AE910" i="2"/>
  <c r="AU910" i="2"/>
  <c r="U912" i="2"/>
  <c r="AK912" i="2"/>
  <c r="W914" i="2"/>
  <c r="AM914" i="2"/>
  <c r="AC916" i="2"/>
  <c r="AS916" i="2"/>
  <c r="T917" i="2"/>
  <c r="AJ917" i="2"/>
  <c r="U920" i="2"/>
  <c r="AK920" i="2"/>
  <c r="AC924" i="2"/>
  <c r="AS924" i="2"/>
  <c r="T925" i="2"/>
  <c r="AJ925" i="2"/>
  <c r="U928" i="2"/>
  <c r="AK928" i="2"/>
  <c r="AC932" i="2"/>
  <c r="AS932" i="2"/>
  <c r="T933" i="2"/>
  <c r="AJ933" i="2"/>
  <c r="U936" i="2"/>
  <c r="AK936" i="2"/>
  <c r="AC940" i="2"/>
  <c r="AS940" i="2"/>
  <c r="T941" i="2"/>
  <c r="AJ941" i="2"/>
  <c r="U944" i="2"/>
  <c r="AK944" i="2"/>
  <c r="AC948" i="2"/>
  <c r="AS948" i="2"/>
  <c r="T949" i="2"/>
  <c r="AJ949" i="2"/>
  <c r="AE950" i="2"/>
  <c r="AH957" i="2"/>
  <c r="AT961" i="2"/>
  <c r="AH965" i="2"/>
  <c r="AH973" i="2"/>
  <c r="AF983" i="2"/>
  <c r="T1003" i="2"/>
  <c r="T914" i="2"/>
  <c r="AN914" i="2"/>
  <c r="V916" i="2"/>
  <c r="AP916" i="2"/>
  <c r="Y917" i="2"/>
  <c r="AW917" i="2"/>
  <c r="R920" i="2"/>
  <c r="AS921" i="2"/>
  <c r="AT924" i="2"/>
  <c r="AO925" i="2"/>
  <c r="AA927" i="2"/>
  <c r="V928" i="2"/>
  <c r="Q929" i="2"/>
  <c r="AW929" i="2"/>
  <c r="Z932" i="2"/>
  <c r="U933" i="2"/>
  <c r="AH936" i="2"/>
  <c r="AC937" i="2"/>
  <c r="AD940" i="2"/>
  <c r="Y941" i="2"/>
  <c r="M942" i="2"/>
  <c r="AW942" i="2"/>
  <c r="AG942" i="2"/>
  <c r="Q942" i="2"/>
  <c r="AN942" i="2"/>
  <c r="X942" i="2"/>
  <c r="AS942" i="2"/>
  <c r="AC942" i="2"/>
  <c r="AJ942" i="2"/>
  <c r="T942" i="2"/>
  <c r="AV942" i="2"/>
  <c r="AL944" i="2"/>
  <c r="AG945" i="2"/>
  <c r="AP948" i="2"/>
  <c r="AK949" i="2"/>
  <c r="AB950" i="2"/>
  <c r="AB951" i="2"/>
  <c r="AR957" i="2"/>
  <c r="X961" i="2"/>
  <c r="AP963" i="2"/>
  <c r="AR973" i="2"/>
  <c r="AJ983" i="2"/>
  <c r="AR847" i="2"/>
  <c r="AH849" i="2"/>
  <c r="AI852" i="2"/>
  <c r="Y854" i="2"/>
  <c r="M855" i="2"/>
  <c r="AN855" i="2"/>
  <c r="X855" i="2"/>
  <c r="AJ855" i="2"/>
  <c r="T855" i="2"/>
  <c r="AV855" i="2"/>
  <c r="AQ856" i="2"/>
  <c r="AL857" i="2"/>
  <c r="AU860" i="2"/>
  <c r="AP861" i="2"/>
  <c r="AK862" i="2"/>
  <c r="AB863" i="2"/>
  <c r="W864" i="2"/>
  <c r="R865" i="2"/>
  <c r="S868" i="2"/>
  <c r="AT869" i="2"/>
  <c r="AO870" i="2"/>
  <c r="Q874" i="2"/>
  <c r="AW874" i="2"/>
  <c r="AE876" i="2"/>
  <c r="Z877" i="2"/>
  <c r="U878" i="2"/>
  <c r="AM880" i="2"/>
  <c r="AI884" i="2"/>
  <c r="AD885" i="2"/>
  <c r="Y886" i="2"/>
  <c r="M887" i="2"/>
  <c r="AN887" i="2"/>
  <c r="X887" i="2"/>
  <c r="AJ887" i="2"/>
  <c r="T887" i="2"/>
  <c r="AV887" i="2"/>
  <c r="AG890" i="2"/>
  <c r="AU892" i="2"/>
  <c r="AP893" i="2"/>
  <c r="AB895" i="2"/>
  <c r="W896" i="2"/>
  <c r="R897" i="2"/>
  <c r="S900" i="2"/>
  <c r="AT901" i="2"/>
  <c r="AO902" i="2"/>
  <c r="Q906" i="2"/>
  <c r="AW906" i="2"/>
  <c r="AE908" i="2"/>
  <c r="Z909" i="2"/>
  <c r="U910" i="2"/>
  <c r="AM912" i="2"/>
  <c r="AI916" i="2"/>
  <c r="AD917" i="2"/>
  <c r="Y918" i="2"/>
  <c r="M919" i="2"/>
  <c r="AN919" i="2"/>
  <c r="X919" i="2"/>
  <c r="AI919" i="2"/>
  <c r="S919" i="2"/>
  <c r="AJ919" i="2"/>
  <c r="T919" i="2"/>
  <c r="AU919" i="2"/>
  <c r="AE919" i="2"/>
  <c r="AV919" i="2"/>
  <c r="AQ920" i="2"/>
  <c r="AU924" i="2"/>
  <c r="AP925" i="2"/>
  <c r="AK926" i="2"/>
  <c r="AB927" i="2"/>
  <c r="R929" i="2"/>
  <c r="S932" i="2"/>
  <c r="AT933" i="2"/>
  <c r="AA936" i="2"/>
  <c r="AE940" i="2"/>
  <c r="Z941" i="2"/>
  <c r="U942" i="2"/>
  <c r="AM944" i="2"/>
  <c r="AI948" i="2"/>
  <c r="AD949" i="2"/>
  <c r="Y950" i="2"/>
  <c r="AD951" i="2"/>
  <c r="V957" i="2"/>
  <c r="M959" i="2"/>
  <c r="AW959" i="2"/>
  <c r="AG959" i="2"/>
  <c r="Q959" i="2"/>
  <c r="AI959" i="2"/>
  <c r="S959" i="2"/>
  <c r="AN959" i="2"/>
  <c r="AT959" i="2"/>
  <c r="AS959" i="2"/>
  <c r="AC959" i="2"/>
  <c r="AU959" i="2"/>
  <c r="AE959" i="2"/>
  <c r="AF959" i="2"/>
  <c r="AL959" i="2"/>
  <c r="AR959" i="2"/>
  <c r="AU966" i="2"/>
  <c r="AR971" i="2"/>
  <c r="U974" i="2"/>
  <c r="AS982" i="2"/>
  <c r="AR987" i="2"/>
  <c r="AA974" i="2"/>
  <c r="M981" i="2"/>
  <c r="AU981" i="2"/>
  <c r="AE981" i="2"/>
  <c r="AQ981" i="2"/>
  <c r="AA981" i="2"/>
  <c r="AW981" i="2"/>
  <c r="AG981" i="2"/>
  <c r="Q981" i="2"/>
  <c r="AN981" i="2"/>
  <c r="X981" i="2"/>
  <c r="AM981" i="2"/>
  <c r="W981" i="2"/>
  <c r="AS981" i="2"/>
  <c r="AC981" i="2"/>
  <c r="AJ981" i="2"/>
  <c r="T981" i="2"/>
  <c r="AT981" i="2"/>
  <c r="AI981" i="2"/>
  <c r="S981" i="2"/>
  <c r="AV981" i="2"/>
  <c r="AQ982" i="2"/>
  <c r="AL983" i="2"/>
  <c r="Z987" i="2"/>
  <c r="AA990" i="2"/>
  <c r="Z995" i="2"/>
  <c r="AA998" i="2"/>
  <c r="Z1003" i="2"/>
  <c r="AA1006" i="2"/>
  <c r="S955" i="2"/>
  <c r="AK957" i="2"/>
  <c r="AB958" i="2"/>
  <c r="W959" i="2"/>
  <c r="AS961" i="2"/>
  <c r="S963" i="2"/>
  <c r="AK965" i="2"/>
  <c r="AB966" i="2"/>
  <c r="S971" i="2"/>
  <c r="AK973" i="2"/>
  <c r="AB974" i="2"/>
  <c r="AK981" i="2"/>
  <c r="AB982" i="2"/>
  <c r="W983" i="2"/>
  <c r="S987" i="2"/>
  <c r="AK989" i="2"/>
  <c r="AB990" i="2"/>
  <c r="W991" i="2"/>
  <c r="S995" i="2"/>
  <c r="AK997" i="2"/>
  <c r="AB998" i="2"/>
  <c r="S1003" i="2"/>
  <c r="AK1005" i="2"/>
  <c r="AB1006" i="2"/>
  <c r="AT950" i="2"/>
  <c r="Q955" i="2"/>
  <c r="AW955" i="2"/>
  <c r="AE957" i="2"/>
  <c r="Z958" i="2"/>
  <c r="U959" i="2"/>
  <c r="AM961" i="2"/>
  <c r="Z966" i="2"/>
  <c r="AS971" i="2"/>
  <c r="AU973" i="2"/>
  <c r="AB827" i="2"/>
  <c r="X776" i="2"/>
  <c r="AN776" i="2"/>
  <c r="AF780" i="2"/>
  <c r="AV780" i="2"/>
  <c r="X784" i="2"/>
  <c r="AN784" i="2"/>
  <c r="AF788" i="2"/>
  <c r="AV788" i="2"/>
  <c r="X792" i="2"/>
  <c r="AN792" i="2"/>
  <c r="AF796" i="2"/>
  <c r="AV796" i="2"/>
  <c r="X800" i="2"/>
  <c r="AN800" i="2"/>
  <c r="AF804" i="2"/>
  <c r="AV804" i="2"/>
  <c r="X808" i="2"/>
  <c r="AN808" i="2"/>
  <c r="AF812" i="2"/>
  <c r="AV812" i="2"/>
  <c r="X816" i="2"/>
  <c r="AN816" i="2"/>
  <c r="AF820" i="2"/>
  <c r="AV820" i="2"/>
  <c r="X824" i="2"/>
  <c r="AN824" i="2"/>
  <c r="AM827" i="2"/>
  <c r="AG772" i="2"/>
  <c r="AW772" i="2"/>
  <c r="X773" i="2"/>
  <c r="AN773" i="2"/>
  <c r="AD775" i="2"/>
  <c r="AT775" i="2"/>
  <c r="Y776" i="2"/>
  <c r="AO776" i="2"/>
  <c r="AF777" i="2"/>
  <c r="AV777" i="2"/>
  <c r="Q780" i="2"/>
  <c r="AG780" i="2"/>
  <c r="AW780" i="2"/>
  <c r="X781" i="2"/>
  <c r="AN781" i="2"/>
  <c r="AD783" i="2"/>
  <c r="AT783" i="2"/>
  <c r="Y784" i="2"/>
  <c r="AO784" i="2"/>
  <c r="AF785" i="2"/>
  <c r="AV785" i="2"/>
  <c r="Q788" i="2"/>
  <c r="AG788" i="2"/>
  <c r="AW788" i="2"/>
  <c r="X789" i="2"/>
  <c r="AN789" i="2"/>
  <c r="AD791" i="2"/>
  <c r="AT791" i="2"/>
  <c r="Y792" i="2"/>
  <c r="AO792" i="2"/>
  <c r="AF793" i="2"/>
  <c r="AV793" i="2"/>
  <c r="Q796" i="2"/>
  <c r="AG796" i="2"/>
  <c r="AW796" i="2"/>
  <c r="X797" i="2"/>
  <c r="AN797" i="2"/>
  <c r="AD799" i="2"/>
  <c r="AT799" i="2"/>
  <c r="Y800" i="2"/>
  <c r="AO800" i="2"/>
  <c r="AF801" i="2"/>
  <c r="AV801" i="2"/>
  <c r="Q804" i="2"/>
  <c r="AG804" i="2"/>
  <c r="AW804" i="2"/>
  <c r="X805" i="2"/>
  <c r="AN805" i="2"/>
  <c r="AD807" i="2"/>
  <c r="AT807" i="2"/>
  <c r="Y808" i="2"/>
  <c r="AO808" i="2"/>
  <c r="AF809" i="2"/>
  <c r="AV809" i="2"/>
  <c r="Q812" i="2"/>
  <c r="AG812" i="2"/>
  <c r="AW812" i="2"/>
  <c r="X813" i="2"/>
  <c r="AN813" i="2"/>
  <c r="Y816" i="2"/>
  <c r="AO816" i="2"/>
  <c r="AF817" i="2"/>
  <c r="AV817" i="2"/>
  <c r="V819" i="2"/>
  <c r="AL819" i="2"/>
  <c r="Q820" i="2"/>
  <c r="AG820" i="2"/>
  <c r="AW820" i="2"/>
  <c r="X821" i="2"/>
  <c r="AN821" i="2"/>
  <c r="AD823" i="2"/>
  <c r="AT823" i="2"/>
  <c r="Y824" i="2"/>
  <c r="AO824" i="2"/>
  <c r="AF825" i="2"/>
  <c r="AV825" i="2"/>
  <c r="AB826" i="2"/>
  <c r="AW826" i="2"/>
  <c r="AN827" i="2"/>
  <c r="Y757" i="2"/>
  <c r="M758" i="2"/>
  <c r="AL758" i="2"/>
  <c r="AG758" i="2"/>
  <c r="AA758" i="2"/>
  <c r="V758" i="2"/>
  <c r="Q758" i="2"/>
  <c r="AW758" i="2"/>
  <c r="AQ758" i="2"/>
  <c r="AF758" i="2"/>
  <c r="AV758" i="2"/>
  <c r="AA759" i="2"/>
  <c r="AQ759" i="2"/>
  <c r="Q761" i="2"/>
  <c r="AG761" i="2"/>
  <c r="AW761" i="2"/>
  <c r="X762" i="2"/>
  <c r="AN762" i="2"/>
  <c r="S763" i="2"/>
  <c r="AI763" i="2"/>
  <c r="AD764" i="2"/>
  <c r="AT764" i="2"/>
  <c r="Y765" i="2"/>
  <c r="AO765" i="2"/>
  <c r="M766" i="2"/>
  <c r="AI766" i="2"/>
  <c r="AA766" i="2"/>
  <c r="S766" i="2"/>
  <c r="AQ766" i="2"/>
  <c r="AF766" i="2"/>
  <c r="AV766" i="2"/>
  <c r="AA767" i="2"/>
  <c r="AQ767" i="2"/>
  <c r="Q769" i="2"/>
  <c r="AG769" i="2"/>
  <c r="X770" i="2"/>
  <c r="AN770" i="2"/>
  <c r="S771" i="2"/>
  <c r="AI771" i="2"/>
  <c r="AD772" i="2"/>
  <c r="Y773" i="2"/>
  <c r="AO773" i="2"/>
  <c r="AF774" i="2"/>
  <c r="AV774" i="2"/>
  <c r="AA775" i="2"/>
  <c r="AQ775" i="2"/>
  <c r="V776" i="2"/>
  <c r="AL776" i="2"/>
  <c r="Q777" i="2"/>
  <c r="AG777" i="2"/>
  <c r="AW777" i="2"/>
  <c r="X778" i="2"/>
  <c r="AN778" i="2"/>
  <c r="S779" i="2"/>
  <c r="AI779" i="2"/>
  <c r="AD780" i="2"/>
  <c r="AT780" i="2"/>
  <c r="Y781" i="2"/>
  <c r="AO781" i="2"/>
  <c r="AF782" i="2"/>
  <c r="AV782" i="2"/>
  <c r="AA783" i="2"/>
  <c r="AQ783" i="2"/>
  <c r="V784" i="2"/>
  <c r="AL784" i="2"/>
  <c r="Q785" i="2"/>
  <c r="AG785" i="2"/>
  <c r="AW785" i="2"/>
  <c r="X786" i="2"/>
  <c r="AN786" i="2"/>
  <c r="S787" i="2"/>
  <c r="AI787" i="2"/>
  <c r="AD788" i="2"/>
  <c r="AT788" i="2"/>
  <c r="Y789" i="2"/>
  <c r="AO789" i="2"/>
  <c r="AF790" i="2"/>
  <c r="AV790" i="2"/>
  <c r="AA791" i="2"/>
  <c r="AQ791" i="2"/>
  <c r="V792" i="2"/>
  <c r="AL792" i="2"/>
  <c r="Q793" i="2"/>
  <c r="AG793" i="2"/>
  <c r="AW793" i="2"/>
  <c r="X794" i="2"/>
  <c r="AN794" i="2"/>
  <c r="S795" i="2"/>
  <c r="AI795" i="2"/>
  <c r="AD796" i="2"/>
  <c r="AT796" i="2"/>
  <c r="Y797" i="2"/>
  <c r="AO797" i="2"/>
  <c r="AF798" i="2"/>
  <c r="AV798" i="2"/>
  <c r="AA799" i="2"/>
  <c r="AQ799" i="2"/>
  <c r="V800" i="2"/>
  <c r="AL800" i="2"/>
  <c r="Q801" i="2"/>
  <c r="AG801" i="2"/>
  <c r="AW801" i="2"/>
  <c r="X802" i="2"/>
  <c r="AN802" i="2"/>
  <c r="S803" i="2"/>
  <c r="AI803" i="2"/>
  <c r="AD804" i="2"/>
  <c r="AT804" i="2"/>
  <c r="Y805" i="2"/>
  <c r="AO805" i="2"/>
  <c r="AF806" i="2"/>
  <c r="AV806" i="2"/>
  <c r="AA807" i="2"/>
  <c r="AQ807" i="2"/>
  <c r="V808" i="2"/>
  <c r="AL808" i="2"/>
  <c r="Q809" i="2"/>
  <c r="AG809" i="2"/>
  <c r="AW809" i="2"/>
  <c r="X810" i="2"/>
  <c r="AN810" i="2"/>
  <c r="S811" i="2"/>
  <c r="AI811" i="2"/>
  <c r="AD812" i="2"/>
  <c r="AT812" i="2"/>
  <c r="Y813" i="2"/>
  <c r="AO813" i="2"/>
  <c r="AF814" i="2"/>
  <c r="AV814" i="2"/>
  <c r="AA815" i="2"/>
  <c r="AQ815" i="2"/>
  <c r="V816" i="2"/>
  <c r="AL816" i="2"/>
  <c r="Q817" i="2"/>
  <c r="AG817" i="2"/>
  <c r="AW817" i="2"/>
  <c r="X818" i="2"/>
  <c r="AN818" i="2"/>
  <c r="S819" i="2"/>
  <c r="AI819" i="2"/>
  <c r="AD820" i="2"/>
  <c r="AT820" i="2"/>
  <c r="Y821" i="2"/>
  <c r="AO821" i="2"/>
  <c r="AF822" i="2"/>
  <c r="AV822" i="2"/>
  <c r="AA823" i="2"/>
  <c r="AQ823" i="2"/>
  <c r="V824" i="2"/>
  <c r="AL824" i="2"/>
  <c r="Q825" i="2"/>
  <c r="AG825" i="2"/>
  <c r="AW825" i="2"/>
  <c r="AI826" i="2"/>
  <c r="T827" i="2"/>
  <c r="AS829" i="2"/>
  <c r="AL827" i="2"/>
  <c r="X829" i="2"/>
  <c r="AN829" i="2"/>
  <c r="S830" i="2"/>
  <c r="AI830" i="2"/>
  <c r="AF833" i="2"/>
  <c r="AV833" i="2"/>
  <c r="X837" i="2"/>
  <c r="AN837" i="2"/>
  <c r="S838" i="2"/>
  <c r="AI838" i="2"/>
  <c r="AF841" i="2"/>
  <c r="AV841" i="2"/>
  <c r="X845" i="2"/>
  <c r="AN845" i="2"/>
  <c r="S846" i="2"/>
  <c r="AI846" i="2"/>
  <c r="M848" i="2"/>
  <c r="AI848" i="2"/>
  <c r="S848" i="2"/>
  <c r="AU848" i="2"/>
  <c r="AE848" i="2"/>
  <c r="AK848" i="2"/>
  <c r="M853" i="2"/>
  <c r="AL853" i="2"/>
  <c r="V853" i="2"/>
  <c r="AX853" i="2"/>
  <c r="AH853" i="2"/>
  <c r="R853" i="2"/>
  <c r="AK853" i="2"/>
  <c r="M858" i="2"/>
  <c r="AO858" i="2"/>
  <c r="Y858" i="2"/>
  <c r="AK858" i="2"/>
  <c r="U858" i="2"/>
  <c r="AL858" i="2"/>
  <c r="Z864" i="2"/>
  <c r="AV864" i="2"/>
  <c r="AT874" i="2"/>
  <c r="AT890" i="2"/>
  <c r="AT906" i="2"/>
  <c r="M928" i="2"/>
  <c r="AI928" i="2"/>
  <c r="S928" i="2"/>
  <c r="AT928" i="2"/>
  <c r="AD928" i="2"/>
  <c r="AU928" i="2"/>
  <c r="AE928" i="2"/>
  <c r="AP928" i="2"/>
  <c r="Z928" i="2"/>
  <c r="X830" i="2"/>
  <c r="AN830" i="2"/>
  <c r="S831" i="2"/>
  <c r="AI831" i="2"/>
  <c r="Y833" i="2"/>
  <c r="AO833" i="2"/>
  <c r="AF834" i="2"/>
  <c r="AV834" i="2"/>
  <c r="Q837" i="2"/>
  <c r="AG837" i="2"/>
  <c r="AW837" i="2"/>
  <c r="X838" i="2"/>
  <c r="AN838" i="2"/>
  <c r="S839" i="2"/>
  <c r="AI839" i="2"/>
  <c r="Y841" i="2"/>
  <c r="AO841" i="2"/>
  <c r="AF842" i="2"/>
  <c r="AV842" i="2"/>
  <c r="Q845" i="2"/>
  <c r="AG845" i="2"/>
  <c r="AW845" i="2"/>
  <c r="X846" i="2"/>
  <c r="AN846" i="2"/>
  <c r="S847" i="2"/>
  <c r="AO847" i="2"/>
  <c r="V848" i="2"/>
  <c r="AR848" i="2"/>
  <c r="W853" i="2"/>
  <c r="AR853" i="2"/>
  <c r="T856" i="2"/>
  <c r="AO856" i="2"/>
  <c r="W858" i="2"/>
  <c r="AR858" i="2"/>
  <c r="T861" i="2"/>
  <c r="AO861" i="2"/>
  <c r="AG864" i="2"/>
  <c r="M866" i="2"/>
  <c r="AO866" i="2"/>
  <c r="Y866" i="2"/>
  <c r="AK866" i="2"/>
  <c r="U866" i="2"/>
  <c r="AV866" i="2"/>
  <c r="AH868" i="2"/>
  <c r="AF874" i="2"/>
  <c r="R876" i="2"/>
  <c r="V880" i="2"/>
  <c r="M882" i="2"/>
  <c r="AO882" i="2"/>
  <c r="Y882" i="2"/>
  <c r="AK882" i="2"/>
  <c r="U882" i="2"/>
  <c r="AV882" i="2"/>
  <c r="AH884" i="2"/>
  <c r="AF890" i="2"/>
  <c r="R892" i="2"/>
  <c r="V896" i="2"/>
  <c r="M898" i="2"/>
  <c r="AO898" i="2"/>
  <c r="Y898" i="2"/>
  <c r="AK898" i="2"/>
  <c r="U898" i="2"/>
  <c r="AV898" i="2"/>
  <c r="AH900" i="2"/>
  <c r="AF906" i="2"/>
  <c r="R908" i="2"/>
  <c r="V912" i="2"/>
  <c r="M914" i="2"/>
  <c r="AO914" i="2"/>
  <c r="Y914" i="2"/>
  <c r="AK914" i="2"/>
  <c r="U914" i="2"/>
  <c r="AR914" i="2"/>
  <c r="AB914" i="2"/>
  <c r="V829" i="2"/>
  <c r="AL829" i="2"/>
  <c r="Q830" i="2"/>
  <c r="AG830" i="2"/>
  <c r="AW830" i="2"/>
  <c r="X831" i="2"/>
  <c r="AN831" i="2"/>
  <c r="AD833" i="2"/>
  <c r="AT833" i="2"/>
  <c r="Y834" i="2"/>
  <c r="AO834" i="2"/>
  <c r="AF835" i="2"/>
  <c r="AV835" i="2"/>
  <c r="V837" i="2"/>
  <c r="AL837" i="2"/>
  <c r="Q838" i="2"/>
  <c r="AG838" i="2"/>
  <c r="AW838" i="2"/>
  <c r="X839" i="2"/>
  <c r="AN839" i="2"/>
  <c r="AD841" i="2"/>
  <c r="AT841" i="2"/>
  <c r="Y842" i="2"/>
  <c r="AO842" i="2"/>
  <c r="AF843" i="2"/>
  <c r="AV843" i="2"/>
  <c r="V845" i="2"/>
  <c r="AL845" i="2"/>
  <c r="Q846" i="2"/>
  <c r="AG846" i="2"/>
  <c r="AW846" i="2"/>
  <c r="Z847" i="2"/>
  <c r="AU847" i="2"/>
  <c r="AC848" i="2"/>
  <c r="M850" i="2"/>
  <c r="AO850" i="2"/>
  <c r="Y850" i="2"/>
  <c r="AK850" i="2"/>
  <c r="U850" i="2"/>
  <c r="AL850" i="2"/>
  <c r="AB852" i="2"/>
  <c r="AW852" i="2"/>
  <c r="AI853" i="2"/>
  <c r="Z856" i="2"/>
  <c r="AV856" i="2"/>
  <c r="AB857" i="2"/>
  <c r="AW857" i="2"/>
  <c r="AI858" i="2"/>
  <c r="AA861" i="2"/>
  <c r="AV861" i="2"/>
  <c r="AB862" i="2"/>
  <c r="R864" i="2"/>
  <c r="AN864" i="2"/>
  <c r="R866" i="2"/>
  <c r="AJ868" i="2"/>
  <c r="V870" i="2"/>
  <c r="M872" i="2"/>
  <c r="AI872" i="2"/>
  <c r="S872" i="2"/>
  <c r="AU872" i="2"/>
  <c r="AE872" i="2"/>
  <c r="AV872" i="2"/>
  <c r="AH874" i="2"/>
  <c r="T876" i="2"/>
  <c r="AF880" i="2"/>
  <c r="R882" i="2"/>
  <c r="AJ884" i="2"/>
  <c r="V886" i="2"/>
  <c r="M888" i="2"/>
  <c r="AI888" i="2"/>
  <c r="S888" i="2"/>
  <c r="AU888" i="2"/>
  <c r="AE888" i="2"/>
  <c r="AV888" i="2"/>
  <c r="AH890" i="2"/>
  <c r="T892" i="2"/>
  <c r="AF896" i="2"/>
  <c r="R898" i="2"/>
  <c r="AJ900" i="2"/>
  <c r="V902" i="2"/>
  <c r="M904" i="2"/>
  <c r="AI904" i="2"/>
  <c r="S904" i="2"/>
  <c r="AU904" i="2"/>
  <c r="AE904" i="2"/>
  <c r="AV904" i="2"/>
  <c r="AH906" i="2"/>
  <c r="T908" i="2"/>
  <c r="AF912" i="2"/>
  <c r="R914" i="2"/>
  <c r="AF920" i="2"/>
  <c r="T924" i="2"/>
  <c r="R826" i="2"/>
  <c r="AH826" i="2"/>
  <c r="AC827" i="2"/>
  <c r="AS827" i="2"/>
  <c r="T828" i="2"/>
  <c r="AJ828" i="2"/>
  <c r="AE829" i="2"/>
  <c r="AU829" i="2"/>
  <c r="Z830" i="2"/>
  <c r="AP830" i="2"/>
  <c r="U831" i="2"/>
  <c r="AK831" i="2"/>
  <c r="W833" i="2"/>
  <c r="AM833" i="2"/>
  <c r="R834" i="2"/>
  <c r="AH834" i="2"/>
  <c r="AC835" i="2"/>
  <c r="AS835" i="2"/>
  <c r="T836" i="2"/>
  <c r="AJ836" i="2"/>
  <c r="AE837" i="2"/>
  <c r="AU837" i="2"/>
  <c r="Z838" i="2"/>
  <c r="AP838" i="2"/>
  <c r="U839" i="2"/>
  <c r="AK839" i="2"/>
  <c r="W841" i="2"/>
  <c r="AM841" i="2"/>
  <c r="R842" i="2"/>
  <c r="AH842" i="2"/>
  <c r="AC843" i="2"/>
  <c r="AS843" i="2"/>
  <c r="T844" i="2"/>
  <c r="AJ844" i="2"/>
  <c r="AE845" i="2"/>
  <c r="AU845" i="2"/>
  <c r="Z846" i="2"/>
  <c r="AP846" i="2"/>
  <c r="V847" i="2"/>
  <c r="AQ847" i="2"/>
  <c r="AD848" i="2"/>
  <c r="AH850" i="2"/>
  <c r="X852" i="2"/>
  <c r="AS852" i="2"/>
  <c r="AE853" i="2"/>
  <c r="V856" i="2"/>
  <c r="AR856" i="2"/>
  <c r="AC857" i="2"/>
  <c r="AJ858" i="2"/>
  <c r="U860" i="2"/>
  <c r="AP860" i="2"/>
  <c r="W861" i="2"/>
  <c r="AR861" i="2"/>
  <c r="AD862" i="2"/>
  <c r="T864" i="2"/>
  <c r="AO864" i="2"/>
  <c r="T866" i="2"/>
  <c r="AL868" i="2"/>
  <c r="AM869" i="2"/>
  <c r="AF870" i="2"/>
  <c r="R872" i="2"/>
  <c r="AJ874" i="2"/>
  <c r="V876" i="2"/>
  <c r="W877" i="2"/>
  <c r="M878" i="2"/>
  <c r="AW878" i="2"/>
  <c r="AG878" i="2"/>
  <c r="Q878" i="2"/>
  <c r="AS878" i="2"/>
  <c r="AC878" i="2"/>
  <c r="AV878" i="2"/>
  <c r="AH880" i="2"/>
  <c r="T882" i="2"/>
  <c r="AL884" i="2"/>
  <c r="AF886" i="2"/>
  <c r="R888" i="2"/>
  <c r="AJ890" i="2"/>
  <c r="V892" i="2"/>
  <c r="M894" i="2"/>
  <c r="AW894" i="2"/>
  <c r="AG894" i="2"/>
  <c r="Q894" i="2"/>
  <c r="AS894" i="2"/>
  <c r="AC894" i="2"/>
  <c r="AV894" i="2"/>
  <c r="AH896" i="2"/>
  <c r="T898" i="2"/>
  <c r="AL900" i="2"/>
  <c r="AF902" i="2"/>
  <c r="R904" i="2"/>
  <c r="AJ906" i="2"/>
  <c r="V908" i="2"/>
  <c r="M910" i="2"/>
  <c r="AW910" i="2"/>
  <c r="AG910" i="2"/>
  <c r="Q910" i="2"/>
  <c r="AS910" i="2"/>
  <c r="AC910" i="2"/>
  <c r="AV910" i="2"/>
  <c r="AH912" i="2"/>
  <c r="V914" i="2"/>
  <c r="AN924" i="2"/>
  <c r="T936" i="2"/>
  <c r="AJ936" i="2"/>
  <c r="T944" i="2"/>
  <c r="AJ944" i="2"/>
  <c r="X957" i="2"/>
  <c r="X973" i="2"/>
  <c r="AF987" i="2"/>
  <c r="M865" i="2"/>
  <c r="AT865" i="2"/>
  <c r="AD865" i="2"/>
  <c r="AP865" i="2"/>
  <c r="Z865" i="2"/>
  <c r="AF865" i="2"/>
  <c r="AV865" i="2"/>
  <c r="AA866" i="2"/>
  <c r="AQ866" i="2"/>
  <c r="Q868" i="2"/>
  <c r="AG868" i="2"/>
  <c r="AW868" i="2"/>
  <c r="X869" i="2"/>
  <c r="AN869" i="2"/>
  <c r="S870" i="2"/>
  <c r="AI870" i="2"/>
  <c r="Y872" i="2"/>
  <c r="AO872" i="2"/>
  <c r="M873" i="2"/>
  <c r="AT873" i="2"/>
  <c r="AD873" i="2"/>
  <c r="AP873" i="2"/>
  <c r="Z873" i="2"/>
  <c r="AF873" i="2"/>
  <c r="AV873" i="2"/>
  <c r="AA874" i="2"/>
  <c r="AQ874" i="2"/>
  <c r="Q876" i="2"/>
  <c r="AG876" i="2"/>
  <c r="AW876" i="2"/>
  <c r="X877" i="2"/>
  <c r="AN877" i="2"/>
  <c r="S878" i="2"/>
  <c r="AI878" i="2"/>
  <c r="Y880" i="2"/>
  <c r="AO880" i="2"/>
  <c r="M881" i="2"/>
  <c r="AT881" i="2"/>
  <c r="AD881" i="2"/>
  <c r="AP881" i="2"/>
  <c r="Z881" i="2"/>
  <c r="AF881" i="2"/>
  <c r="AV881" i="2"/>
  <c r="AA882" i="2"/>
  <c r="AQ882" i="2"/>
  <c r="Q884" i="2"/>
  <c r="AG884" i="2"/>
  <c r="AW884" i="2"/>
  <c r="X885" i="2"/>
  <c r="AN885" i="2"/>
  <c r="S886" i="2"/>
  <c r="AI886" i="2"/>
  <c r="Y888" i="2"/>
  <c r="AO888" i="2"/>
  <c r="M889" i="2"/>
  <c r="AT889" i="2"/>
  <c r="AD889" i="2"/>
  <c r="AP889" i="2"/>
  <c r="Z889" i="2"/>
  <c r="AF889" i="2"/>
  <c r="AV889" i="2"/>
  <c r="AA890" i="2"/>
  <c r="AQ890" i="2"/>
  <c r="Q892" i="2"/>
  <c r="AG892" i="2"/>
  <c r="AW892" i="2"/>
  <c r="X893" i="2"/>
  <c r="AN893" i="2"/>
  <c r="S894" i="2"/>
  <c r="AI894" i="2"/>
  <c r="Y896" i="2"/>
  <c r="AO896" i="2"/>
  <c r="M897" i="2"/>
  <c r="AT897" i="2"/>
  <c r="AD897" i="2"/>
  <c r="AP897" i="2"/>
  <c r="Z897" i="2"/>
  <c r="AF897" i="2"/>
  <c r="AV897" i="2"/>
  <c r="AA898" i="2"/>
  <c r="AQ898" i="2"/>
  <c r="Q900" i="2"/>
  <c r="AG900" i="2"/>
  <c r="AW900" i="2"/>
  <c r="X901" i="2"/>
  <c r="AN901" i="2"/>
  <c r="S902" i="2"/>
  <c r="AI902" i="2"/>
  <c r="Y904" i="2"/>
  <c r="AO904" i="2"/>
  <c r="M905" i="2"/>
  <c r="AT905" i="2"/>
  <c r="AD905" i="2"/>
  <c r="AP905" i="2"/>
  <c r="Z905" i="2"/>
  <c r="AF905" i="2"/>
  <c r="AV905" i="2"/>
  <c r="AA906" i="2"/>
  <c r="AQ906" i="2"/>
  <c r="Q908" i="2"/>
  <c r="AG908" i="2"/>
  <c r="AW908" i="2"/>
  <c r="X909" i="2"/>
  <c r="AN909" i="2"/>
  <c r="S910" i="2"/>
  <c r="AI910" i="2"/>
  <c r="Y912" i="2"/>
  <c r="AO912" i="2"/>
  <c r="M913" i="2"/>
  <c r="AT913" i="2"/>
  <c r="AD913" i="2"/>
  <c r="AP913" i="2"/>
  <c r="Z913" i="2"/>
  <c r="AF913" i="2"/>
  <c r="AV913" i="2"/>
  <c r="AA914" i="2"/>
  <c r="AQ914" i="2"/>
  <c r="Q916" i="2"/>
  <c r="AG916" i="2"/>
  <c r="AW916" i="2"/>
  <c r="X917" i="2"/>
  <c r="AN917" i="2"/>
  <c r="Y920" i="2"/>
  <c r="AO920" i="2"/>
  <c r="M921" i="2"/>
  <c r="AT921" i="2"/>
  <c r="AD921" i="2"/>
  <c r="AO921" i="2"/>
  <c r="Y921" i="2"/>
  <c r="AP921" i="2"/>
  <c r="Z921" i="2"/>
  <c r="AK921" i="2"/>
  <c r="U921" i="2"/>
  <c r="AF921" i="2"/>
  <c r="AV921" i="2"/>
  <c r="Q924" i="2"/>
  <c r="AG924" i="2"/>
  <c r="AW924" i="2"/>
  <c r="X925" i="2"/>
  <c r="AN925" i="2"/>
  <c r="Y928" i="2"/>
  <c r="AO928" i="2"/>
  <c r="M929" i="2"/>
  <c r="AT929" i="2"/>
  <c r="AD929" i="2"/>
  <c r="AO929" i="2"/>
  <c r="Y929" i="2"/>
  <c r="AP929" i="2"/>
  <c r="Z929" i="2"/>
  <c r="AK929" i="2"/>
  <c r="U929" i="2"/>
  <c r="AF929" i="2"/>
  <c r="AV929" i="2"/>
  <c r="Q932" i="2"/>
  <c r="AG932" i="2"/>
  <c r="AW932" i="2"/>
  <c r="X933" i="2"/>
  <c r="AN933" i="2"/>
  <c r="Y936" i="2"/>
  <c r="AO936" i="2"/>
  <c r="M937" i="2"/>
  <c r="AT937" i="2"/>
  <c r="AD937" i="2"/>
  <c r="AO937" i="2"/>
  <c r="Y937" i="2"/>
  <c r="AP937" i="2"/>
  <c r="Z937" i="2"/>
  <c r="AK937" i="2"/>
  <c r="U937" i="2"/>
  <c r="AF937" i="2"/>
  <c r="AV937" i="2"/>
  <c r="Q940" i="2"/>
  <c r="AG940" i="2"/>
  <c r="AW940" i="2"/>
  <c r="X941" i="2"/>
  <c r="AN941" i="2"/>
  <c r="Y944" i="2"/>
  <c r="AO944" i="2"/>
  <c r="M945" i="2"/>
  <c r="AT945" i="2"/>
  <c r="AD945" i="2"/>
  <c r="AO945" i="2"/>
  <c r="Y945" i="2"/>
  <c r="AP945" i="2"/>
  <c r="Z945" i="2"/>
  <c r="AK945" i="2"/>
  <c r="U945" i="2"/>
  <c r="AF945" i="2"/>
  <c r="AV945" i="2"/>
  <c r="Q948" i="2"/>
  <c r="AG948" i="2"/>
  <c r="AW948" i="2"/>
  <c r="X949" i="2"/>
  <c r="AN949" i="2"/>
  <c r="S950" i="2"/>
  <c r="AJ950" i="2"/>
  <c r="M951" i="2"/>
  <c r="AW951" i="2"/>
  <c r="AG951" i="2"/>
  <c r="Q951" i="2"/>
  <c r="AN951" i="2"/>
  <c r="S951" i="2"/>
  <c r="AR951" i="2"/>
  <c r="W951" i="2"/>
  <c r="AS951" i="2"/>
  <c r="AC951" i="2"/>
  <c r="AI951" i="2"/>
  <c r="AM951" i="2"/>
  <c r="R951" i="2"/>
  <c r="AL951" i="2"/>
  <c r="AP957" i="2"/>
  <c r="M963" i="2"/>
  <c r="AO963" i="2"/>
  <c r="Y963" i="2"/>
  <c r="AQ963" i="2"/>
  <c r="AA963" i="2"/>
  <c r="AR963" i="2"/>
  <c r="Z963" i="2"/>
  <c r="AK963" i="2"/>
  <c r="U963" i="2"/>
  <c r="AM963" i="2"/>
  <c r="W963" i="2"/>
  <c r="AJ963" i="2"/>
  <c r="AX963" i="2"/>
  <c r="R963" i="2"/>
  <c r="X963" i="2"/>
  <c r="AP973" i="2"/>
  <c r="AJ1003" i="2"/>
  <c r="X914" i="2"/>
  <c r="AV914" i="2"/>
  <c r="Z916" i="2"/>
  <c r="AT916" i="2"/>
  <c r="AG917" i="2"/>
  <c r="V920" i="2"/>
  <c r="Q921" i="2"/>
  <c r="AW921" i="2"/>
  <c r="Z924" i="2"/>
  <c r="U925" i="2"/>
  <c r="AM927" i="2"/>
  <c r="AH928" i="2"/>
  <c r="AC929" i="2"/>
  <c r="AD932" i="2"/>
  <c r="Y933" i="2"/>
  <c r="M934" i="2"/>
  <c r="AW934" i="2"/>
  <c r="AG934" i="2"/>
  <c r="Q934" i="2"/>
  <c r="AN934" i="2"/>
  <c r="X934" i="2"/>
  <c r="AS934" i="2"/>
  <c r="AC934" i="2"/>
  <c r="AJ934" i="2"/>
  <c r="T934" i="2"/>
  <c r="AV934" i="2"/>
  <c r="AL936" i="2"/>
  <c r="AG937" i="2"/>
  <c r="AP940" i="2"/>
  <c r="AK941" i="2"/>
  <c r="AB942" i="2"/>
  <c r="R944" i="2"/>
  <c r="AS945" i="2"/>
  <c r="AT948" i="2"/>
  <c r="AO949" i="2"/>
  <c r="AF950" i="2"/>
  <c r="AH951" i="2"/>
  <c r="AV961" i="2"/>
  <c r="AV847" i="2"/>
  <c r="AQ848" i="2"/>
  <c r="AG850" i="2"/>
  <c r="AU852" i="2"/>
  <c r="AP853" i="2"/>
  <c r="AB855" i="2"/>
  <c r="W856" i="2"/>
  <c r="R857" i="2"/>
  <c r="AS858" i="2"/>
  <c r="S860" i="2"/>
  <c r="AT861" i="2"/>
  <c r="AO862" i="2"/>
  <c r="AF863" i="2"/>
  <c r="AA864" i="2"/>
  <c r="V865" i="2"/>
  <c r="Q866" i="2"/>
  <c r="AW866" i="2"/>
  <c r="AE868" i="2"/>
  <c r="Z869" i="2"/>
  <c r="U870" i="2"/>
  <c r="AM872" i="2"/>
  <c r="AH873" i="2"/>
  <c r="AC874" i="2"/>
  <c r="AD877" i="2"/>
  <c r="Y878" i="2"/>
  <c r="M879" i="2"/>
  <c r="AN879" i="2"/>
  <c r="X879" i="2"/>
  <c r="AJ879" i="2"/>
  <c r="T879" i="2"/>
  <c r="AV879" i="2"/>
  <c r="AQ880" i="2"/>
  <c r="AL881" i="2"/>
  <c r="AG882" i="2"/>
  <c r="AU884" i="2"/>
  <c r="AP885" i="2"/>
  <c r="AK886" i="2"/>
  <c r="AB887" i="2"/>
  <c r="W888" i="2"/>
  <c r="R889" i="2"/>
  <c r="AS890" i="2"/>
  <c r="S892" i="2"/>
  <c r="AT893" i="2"/>
  <c r="AO894" i="2"/>
  <c r="AF895" i="2"/>
  <c r="AA896" i="2"/>
  <c r="V897" i="2"/>
  <c r="Q898" i="2"/>
  <c r="AW898" i="2"/>
  <c r="AE900" i="2"/>
  <c r="Z901" i="2"/>
  <c r="U902" i="2"/>
  <c r="AM904" i="2"/>
  <c r="AH905" i="2"/>
  <c r="AC906" i="2"/>
  <c r="AD909" i="2"/>
  <c r="Y910" i="2"/>
  <c r="M911" i="2"/>
  <c r="AN911" i="2"/>
  <c r="X911" i="2"/>
  <c r="AJ911" i="2"/>
  <c r="T911" i="2"/>
  <c r="AV911" i="2"/>
  <c r="AQ912" i="2"/>
  <c r="AL913" i="2"/>
  <c r="AG914" i="2"/>
  <c r="AP917" i="2"/>
  <c r="AB919" i="2"/>
  <c r="W920" i="2"/>
  <c r="R921" i="2"/>
  <c r="S924" i="2"/>
  <c r="AT925" i="2"/>
  <c r="AF927" i="2"/>
  <c r="AA928" i="2"/>
  <c r="V929" i="2"/>
  <c r="Z933" i="2"/>
  <c r="U934" i="2"/>
  <c r="AM936" i="2"/>
  <c r="AH937" i="2"/>
  <c r="AD941" i="2"/>
  <c r="Y942" i="2"/>
  <c r="M943" i="2"/>
  <c r="AN943" i="2"/>
  <c r="X943" i="2"/>
  <c r="AI943" i="2"/>
  <c r="S943" i="2"/>
  <c r="AJ943" i="2"/>
  <c r="T943" i="2"/>
  <c r="AU943" i="2"/>
  <c r="AE943" i="2"/>
  <c r="AV943" i="2"/>
  <c r="AQ944" i="2"/>
  <c r="AL945" i="2"/>
  <c r="AP949" i="2"/>
  <c r="AM950" i="2"/>
  <c r="AT951" i="2"/>
  <c r="AJ955" i="2"/>
  <c r="AD957" i="2"/>
  <c r="X959" i="2"/>
  <c r="T963" i="2"/>
  <c r="AL965" i="2"/>
  <c r="AK974" i="2"/>
  <c r="X983" i="2"/>
  <c r="AM974" i="2"/>
  <c r="AB981" i="2"/>
  <c r="W982" i="2"/>
  <c r="R983" i="2"/>
  <c r="AD987" i="2"/>
  <c r="AM990" i="2"/>
  <c r="AD995" i="2"/>
  <c r="AM998" i="2"/>
  <c r="AD1003" i="2"/>
  <c r="AM1006" i="2"/>
  <c r="AE955" i="2"/>
  <c r="AO957" i="2"/>
  <c r="AF958" i="2"/>
  <c r="AA959" i="2"/>
  <c r="Q961" i="2"/>
  <c r="AW961" i="2"/>
  <c r="AE963" i="2"/>
  <c r="AF966" i="2"/>
  <c r="AO973" i="2"/>
  <c r="AF974" i="2"/>
  <c r="AO981" i="2"/>
  <c r="AF982" i="2"/>
  <c r="AA983" i="2"/>
  <c r="AE987" i="2"/>
  <c r="AF990" i="2"/>
  <c r="AF998" i="2"/>
  <c r="AF1006" i="2"/>
  <c r="U951" i="2"/>
  <c r="AI957" i="2"/>
  <c r="AD958" i="2"/>
  <c r="Y959" i="2"/>
  <c r="M960" i="2"/>
  <c r="AN960" i="2"/>
  <c r="X960" i="2"/>
  <c r="AT960" i="2"/>
  <c r="AD960" i="2"/>
  <c r="AG960" i="2"/>
  <c r="AU960" i="2"/>
  <c r="AJ960" i="2"/>
  <c r="T960" i="2"/>
  <c r="AP960" i="2"/>
  <c r="Z960" i="2"/>
  <c r="Y960" i="2"/>
  <c r="AM960" i="2"/>
  <c r="AK960" i="2"/>
  <c r="AV960" i="2"/>
  <c r="AQ961" i="2"/>
  <c r="AG963" i="2"/>
  <c r="AP966" i="2"/>
  <c r="L1374" i="2"/>
  <c r="J1377" i="2" s="1"/>
  <c r="AA1312" i="2"/>
  <c r="Y1312" i="2"/>
  <c r="X1312" i="2"/>
  <c r="AD1312" i="2"/>
  <c r="AI757" i="2"/>
  <c r="AD757" i="2"/>
  <c r="X757" i="2"/>
  <c r="S757" i="2"/>
  <c r="M757" i="2"/>
  <c r="AN757" i="2"/>
  <c r="AT757" i="2"/>
  <c r="AN756" i="2"/>
  <c r="X756" i="2"/>
  <c r="AL752" i="2"/>
  <c r="AH752" i="2"/>
  <c r="AD752" i="2"/>
  <c r="Z752" i="2"/>
  <c r="V752" i="2"/>
  <c r="R752" i="2"/>
  <c r="M752" i="2"/>
  <c r="AT752" i="2"/>
  <c r="AP752" i="2"/>
  <c r="AN748" i="2"/>
  <c r="X748" i="2"/>
  <c r="AL744" i="2"/>
  <c r="AH744" i="2"/>
  <c r="AD744" i="2"/>
  <c r="Z744" i="2"/>
  <c r="V744" i="2"/>
  <c r="R744" i="2"/>
  <c r="M744" i="2"/>
  <c r="AP744" i="2"/>
  <c r="AT744" i="2"/>
  <c r="AN740" i="2"/>
  <c r="X740" i="2"/>
  <c r="AL736" i="2"/>
  <c r="AH736" i="2"/>
  <c r="AD736" i="2"/>
  <c r="Z736" i="2"/>
  <c r="V736" i="2"/>
  <c r="R736" i="2"/>
  <c r="M736" i="2"/>
  <c r="AT736" i="2"/>
  <c r="AP736" i="2"/>
  <c r="AN732" i="2"/>
  <c r="X732" i="2"/>
  <c r="AL728" i="2"/>
  <c r="AH728" i="2"/>
  <c r="AD728" i="2"/>
  <c r="Z728" i="2"/>
  <c r="V728" i="2"/>
  <c r="R728" i="2"/>
  <c r="M728" i="2"/>
  <c r="AP728" i="2"/>
  <c r="AT728" i="2"/>
  <c r="AN724" i="2"/>
  <c r="X724" i="2"/>
  <c r="AI720" i="2"/>
  <c r="AE720" i="2"/>
  <c r="AA720" i="2"/>
  <c r="W720" i="2"/>
  <c r="S720" i="2"/>
  <c r="Z720" i="2"/>
  <c r="AL720" i="2"/>
  <c r="V720" i="2"/>
  <c r="AH720" i="2"/>
  <c r="R720" i="2"/>
  <c r="AD720" i="2"/>
  <c r="M720" i="2"/>
  <c r="AU720" i="2"/>
  <c r="AP720" i="2"/>
  <c r="AQ720" i="2"/>
  <c r="AM720" i="2"/>
  <c r="AT720" i="2"/>
  <c r="AN716" i="2"/>
  <c r="X716" i="2"/>
  <c r="M769" i="2"/>
  <c r="AE769" i="2"/>
  <c r="W769" i="2"/>
  <c r="AM769" i="2"/>
  <c r="AU769" i="2"/>
  <c r="AE757" i="2"/>
  <c r="AU756" i="2"/>
  <c r="AE756" i="2"/>
  <c r="AM752" i="2"/>
  <c r="W752" i="2"/>
  <c r="AU748" i="2"/>
  <c r="AE748" i="2"/>
  <c r="AM744" i="2"/>
  <c r="W744" i="2"/>
  <c r="AU740" i="2"/>
  <c r="AE740" i="2"/>
  <c r="AM736" i="2"/>
  <c r="W736" i="2"/>
  <c r="AU732" i="2"/>
  <c r="AE732" i="2"/>
  <c r="AM728" i="2"/>
  <c r="W728" i="2"/>
  <c r="AR769" i="2"/>
  <c r="AH757" i="2"/>
  <c r="AK756" i="2"/>
  <c r="U756" i="2"/>
  <c r="AS752" i="2"/>
  <c r="AC752" i="2"/>
  <c r="AK748" i="2"/>
  <c r="U748" i="2"/>
  <c r="AS744" i="2"/>
  <c r="AC744" i="2"/>
  <c r="AK740" i="2"/>
  <c r="U740" i="2"/>
  <c r="AS736" i="2"/>
  <c r="AC736" i="2"/>
  <c r="AK732" i="2"/>
  <c r="U732" i="2"/>
  <c r="AS728" i="2"/>
  <c r="AC728" i="2"/>
  <c r="AK724" i="2"/>
  <c r="U724" i="2"/>
  <c r="AN721" i="2"/>
  <c r="X721" i="2"/>
  <c r="AW720" i="2"/>
  <c r="AG720" i="2"/>
  <c r="Q720" i="2"/>
  <c r="AS716" i="2"/>
  <c r="AC716" i="2"/>
  <c r="Z769" i="2"/>
  <c r="AP769" i="2"/>
  <c r="AE1316" i="2"/>
  <c r="AA1316" i="2"/>
  <c r="W1316" i="2"/>
  <c r="S1316" i="2"/>
  <c r="AD1316" i="2"/>
  <c r="Z1316" i="2"/>
  <c r="V1316" i="2"/>
  <c r="R1316" i="2"/>
  <c r="AD1314" i="2"/>
  <c r="Z1314" i="2"/>
  <c r="W1314" i="2"/>
  <c r="V1314" i="2"/>
  <c r="AE1314" i="2"/>
  <c r="S1314" i="2"/>
  <c r="AA1314" i="2"/>
  <c r="R1314" i="2"/>
  <c r="T1316" i="2"/>
  <c r="T1314" i="2"/>
  <c r="V1312" i="2"/>
  <c r="AC1312" i="2"/>
  <c r="S1312" i="2"/>
  <c r="M772" i="2"/>
  <c r="AF772" i="2"/>
  <c r="T772" i="2"/>
  <c r="AV772" i="2"/>
  <c r="AI769" i="2"/>
  <c r="AE765" i="2"/>
  <c r="AM764" i="2"/>
  <c r="Q764" i="2"/>
  <c r="M763" i="2"/>
  <c r="AH763" i="2"/>
  <c r="AC763" i="2"/>
  <c r="X763" i="2"/>
  <c r="R763" i="2"/>
  <c r="AN763" i="2"/>
  <c r="AS763" i="2"/>
  <c r="AJ761" i="2"/>
  <c r="AR759" i="2"/>
  <c r="V759" i="2"/>
  <c r="AF757" i="2"/>
  <c r="AJ756" i="2"/>
  <c r="T756" i="2"/>
  <c r="AR752" i="2"/>
  <c r="AB752" i="2"/>
  <c r="AK751" i="2"/>
  <c r="U751" i="2"/>
  <c r="AU749" i="2"/>
  <c r="AE749" i="2"/>
  <c r="AJ748" i="2"/>
  <c r="T748" i="2"/>
  <c r="AR744" i="2"/>
  <c r="AB744" i="2"/>
  <c r="AK743" i="2"/>
  <c r="U743" i="2"/>
  <c r="AU741" i="2"/>
  <c r="AE741" i="2"/>
  <c r="AJ740" i="2"/>
  <c r="T740" i="2"/>
  <c r="AR736" i="2"/>
  <c r="AB736" i="2"/>
  <c r="AK735" i="2"/>
  <c r="U735" i="2"/>
  <c r="AU733" i="2"/>
  <c r="AE733" i="2"/>
  <c r="AJ732" i="2"/>
  <c r="T732" i="2"/>
  <c r="AR728" i="2"/>
  <c r="AB728" i="2"/>
  <c r="AK727" i="2"/>
  <c r="U727" i="2"/>
  <c r="AU725" i="2"/>
  <c r="AE725" i="2"/>
  <c r="AJ724" i="2"/>
  <c r="T724" i="2"/>
  <c r="AM721" i="2"/>
  <c r="W721" i="2"/>
  <c r="AR720" i="2"/>
  <c r="AB720" i="2"/>
  <c r="AJ716" i="2"/>
  <c r="T716" i="2"/>
  <c r="U772" i="2"/>
  <c r="AN769" i="2"/>
  <c r="Y767" i="2"/>
  <c r="AJ765" i="2"/>
  <c r="AV764" i="2"/>
  <c r="AA764" i="2"/>
  <c r="AT763" i="2"/>
  <c r="Y763" i="2"/>
  <c r="AI761" i="2"/>
  <c r="AV759" i="2"/>
  <c r="Z759" i="2"/>
  <c r="AU757" i="2"/>
  <c r="Z757" i="2"/>
  <c r="AQ756" i="2"/>
  <c r="AA756" i="2"/>
  <c r="AI755" i="2"/>
  <c r="AE755" i="2"/>
  <c r="AA755" i="2"/>
  <c r="W755" i="2"/>
  <c r="S755" i="2"/>
  <c r="M755" i="2"/>
  <c r="AU755" i="2"/>
  <c r="AM755" i="2"/>
  <c r="AQ755" i="2"/>
  <c r="AI752" i="2"/>
  <c r="S752" i="2"/>
  <c r="AN751" i="2"/>
  <c r="X751" i="2"/>
  <c r="AL749" i="2"/>
  <c r="V749" i="2"/>
  <c r="AQ748" i="2"/>
  <c r="AA748" i="2"/>
  <c r="AI747" i="2"/>
  <c r="AE747" i="2"/>
  <c r="AA747" i="2"/>
  <c r="W747" i="2"/>
  <c r="S747" i="2"/>
  <c r="M747" i="2"/>
  <c r="AU747" i="2"/>
  <c r="AM747" i="2"/>
  <c r="AQ747" i="2"/>
  <c r="AI744" i="2"/>
  <c r="S744" i="2"/>
  <c r="AN743" i="2"/>
  <c r="X743" i="2"/>
  <c r="AL741" i="2"/>
  <c r="V741" i="2"/>
  <c r="AQ740" i="2"/>
  <c r="AA740" i="2"/>
  <c r="AI739" i="2"/>
  <c r="AE739" i="2"/>
  <c r="AA739" i="2"/>
  <c r="W739" i="2"/>
  <c r="S739" i="2"/>
  <c r="M739" i="2"/>
  <c r="AU739" i="2"/>
  <c r="AM739" i="2"/>
  <c r="AQ739" i="2"/>
  <c r="AI736" i="2"/>
  <c r="S736" i="2"/>
  <c r="AN735" i="2"/>
  <c r="X735" i="2"/>
  <c r="AL733" i="2"/>
  <c r="V733" i="2"/>
  <c r="AQ732" i="2"/>
  <c r="AA732" i="2"/>
  <c r="AI731" i="2"/>
  <c r="AE731" i="2"/>
  <c r="AA731" i="2"/>
  <c r="W731" i="2"/>
  <c r="S731" i="2"/>
  <c r="M731" i="2"/>
  <c r="AU731" i="2"/>
  <c r="AM731" i="2"/>
  <c r="AQ731" i="2"/>
  <c r="AI728" i="2"/>
  <c r="S728" i="2"/>
  <c r="AN727" i="2"/>
  <c r="X727" i="2"/>
  <c r="Q772" i="2"/>
  <c r="AJ769" i="2"/>
  <c r="U767" i="2"/>
  <c r="AF765" i="2"/>
  <c r="AS764" i="2"/>
  <c r="X764" i="2"/>
  <c r="AL763" i="2"/>
  <c r="Q763" i="2"/>
  <c r="AI762" i="2"/>
  <c r="AV761" i="2"/>
  <c r="AA761" i="2"/>
  <c r="AN759" i="2"/>
  <c r="R759" i="2"/>
  <c r="AB757" i="2"/>
  <c r="AW756" i="2"/>
  <c r="AG756" i="2"/>
  <c r="Q756" i="2"/>
  <c r="AL755" i="2"/>
  <c r="V755" i="2"/>
  <c r="M753" i="2"/>
  <c r="AK753" i="2"/>
  <c r="AG753" i="2"/>
  <c r="AC753" i="2"/>
  <c r="Y753" i="2"/>
  <c r="U753" i="2"/>
  <c r="Q753" i="2"/>
  <c r="AW753" i="2"/>
  <c r="AS753" i="2"/>
  <c r="AO753" i="2"/>
  <c r="AO752" i="2"/>
  <c r="Y752" i="2"/>
  <c r="AT751" i="2"/>
  <c r="AD751" i="2"/>
  <c r="AN749" i="2"/>
  <c r="X749" i="2"/>
  <c r="AW748" i="2"/>
  <c r="AG748" i="2"/>
  <c r="Q748" i="2"/>
  <c r="AL747" i="2"/>
  <c r="V747" i="2"/>
  <c r="M745" i="2"/>
  <c r="AK745" i="2"/>
  <c r="AG745" i="2"/>
  <c r="AC745" i="2"/>
  <c r="Y745" i="2"/>
  <c r="U745" i="2"/>
  <c r="Q745" i="2"/>
  <c r="AS745" i="2"/>
  <c r="AO745" i="2"/>
  <c r="AW745" i="2"/>
  <c r="AO744" i="2"/>
  <c r="Y744" i="2"/>
  <c r="AT743" i="2"/>
  <c r="AD743" i="2"/>
  <c r="AN741" i="2"/>
  <c r="X741" i="2"/>
  <c r="AW740" i="2"/>
  <c r="AG740" i="2"/>
  <c r="Q740" i="2"/>
  <c r="AL739" i="2"/>
  <c r="V739" i="2"/>
  <c r="M737" i="2"/>
  <c r="AK737" i="2"/>
  <c r="AG737" i="2"/>
  <c r="AC737" i="2"/>
  <c r="Y737" i="2"/>
  <c r="U737" i="2"/>
  <c r="Q737" i="2"/>
  <c r="AW737" i="2"/>
  <c r="AS737" i="2"/>
  <c r="AO737" i="2"/>
  <c r="AO736" i="2"/>
  <c r="Y736" i="2"/>
  <c r="AT735" i="2"/>
  <c r="AD735" i="2"/>
  <c r="AN733" i="2"/>
  <c r="X733" i="2"/>
  <c r="AW732" i="2"/>
  <c r="AG732" i="2"/>
  <c r="Q732" i="2"/>
  <c r="AL731" i="2"/>
  <c r="V731" i="2"/>
  <c r="M729" i="2"/>
  <c r="AK729" i="2"/>
  <c r="AG729" i="2"/>
  <c r="AC729" i="2"/>
  <c r="Y729" i="2"/>
  <c r="U729" i="2"/>
  <c r="Q729" i="2"/>
  <c r="AS729" i="2"/>
  <c r="AO729" i="2"/>
  <c r="AW729" i="2"/>
  <c r="AO728" i="2"/>
  <c r="Y728" i="2"/>
  <c r="AT727" i="2"/>
  <c r="AD727" i="2"/>
  <c r="AN725" i="2"/>
  <c r="X725" i="2"/>
  <c r="AW724" i="2"/>
  <c r="AG724" i="2"/>
  <c r="Q724" i="2"/>
  <c r="AJ721" i="2"/>
  <c r="T721" i="2"/>
  <c r="AS720" i="2"/>
  <c r="AC720" i="2"/>
  <c r="AL717" i="2"/>
  <c r="AH717" i="2"/>
  <c r="AD717" i="2"/>
  <c r="Z717" i="2"/>
  <c r="V717" i="2"/>
  <c r="R717" i="2"/>
  <c r="M717" i="2"/>
  <c r="Y717" i="2"/>
  <c r="AK717" i="2"/>
  <c r="U717" i="2"/>
  <c r="AG717" i="2"/>
  <c r="Q717" i="2"/>
  <c r="AC717" i="2"/>
  <c r="AW717" i="2"/>
  <c r="AO717" i="2"/>
  <c r="AS717" i="2"/>
  <c r="AP717" i="2"/>
  <c r="AT717" i="2"/>
  <c r="AO716" i="2"/>
  <c r="Y716" i="2"/>
  <c r="V765" i="2"/>
  <c r="AL765" i="2"/>
  <c r="X767" i="2"/>
  <c r="AN767" i="2"/>
  <c r="AD769" i="2"/>
  <c r="AT769" i="2"/>
  <c r="Y770" i="2"/>
  <c r="AO770" i="2"/>
  <c r="M771" i="2"/>
  <c r="AH771" i="2"/>
  <c r="Z771" i="2"/>
  <c r="R771" i="2"/>
  <c r="AP771" i="2"/>
  <c r="AF771" i="2"/>
  <c r="AV771" i="2"/>
  <c r="AA772" i="2"/>
  <c r="AQ772" i="2"/>
  <c r="V773" i="2"/>
  <c r="AL773" i="2"/>
  <c r="X775" i="2"/>
  <c r="AN775" i="2"/>
  <c r="S776" i="2"/>
  <c r="AI776" i="2"/>
  <c r="AD777" i="2"/>
  <c r="AT777" i="2"/>
  <c r="Y778" i="2"/>
  <c r="AO778" i="2"/>
  <c r="AF779" i="2"/>
  <c r="AV779" i="2"/>
  <c r="AA780" i="2"/>
  <c r="AQ780" i="2"/>
  <c r="V781" i="2"/>
  <c r="AL781" i="2"/>
  <c r="X783" i="2"/>
  <c r="AN783" i="2"/>
  <c r="S784" i="2"/>
  <c r="AI784" i="2"/>
  <c r="AD785" i="2"/>
  <c r="AT785" i="2"/>
  <c r="Y786" i="2"/>
  <c r="AO786" i="2"/>
  <c r="AF787" i="2"/>
  <c r="AV787" i="2"/>
  <c r="AA788" i="2"/>
  <c r="AQ788" i="2"/>
  <c r="V789" i="2"/>
  <c r="AL789" i="2"/>
  <c r="X791" i="2"/>
  <c r="AN791" i="2"/>
  <c r="S792" i="2"/>
  <c r="AI792" i="2"/>
  <c r="AD793" i="2"/>
  <c r="AT793" i="2"/>
  <c r="AF795" i="2"/>
  <c r="AV795" i="2"/>
  <c r="AA796" i="2"/>
  <c r="AQ796" i="2"/>
  <c r="V797" i="2"/>
  <c r="AL797" i="2"/>
  <c r="X799" i="2"/>
  <c r="AN799" i="2"/>
  <c r="S800" i="2"/>
  <c r="AI800" i="2"/>
  <c r="AD801" i="2"/>
  <c r="AT801" i="2"/>
  <c r="AF803" i="2"/>
  <c r="AV803" i="2"/>
  <c r="AA804" i="2"/>
  <c r="AQ804" i="2"/>
  <c r="V805" i="2"/>
  <c r="AL805" i="2"/>
  <c r="X807" i="2"/>
  <c r="AN807" i="2"/>
  <c r="S808" i="2"/>
  <c r="AI808" i="2"/>
  <c r="AD809" i="2"/>
  <c r="AT809" i="2"/>
  <c r="AF811" i="2"/>
  <c r="AV811" i="2"/>
  <c r="AA812" i="2"/>
  <c r="AQ812" i="2"/>
  <c r="V813" i="2"/>
  <c r="AL813" i="2"/>
  <c r="X815" i="2"/>
  <c r="AN815" i="2"/>
  <c r="S816" i="2"/>
  <c r="AI816" i="2"/>
  <c r="AF819" i="2"/>
  <c r="AV819" i="2"/>
  <c r="AA820" i="2"/>
  <c r="AQ820" i="2"/>
  <c r="V821" i="2"/>
  <c r="AL821" i="2"/>
  <c r="X823" i="2"/>
  <c r="AN823" i="2"/>
  <c r="S824" i="2"/>
  <c r="AI824" i="2"/>
  <c r="AJ827" i="2"/>
  <c r="AE773" i="2"/>
  <c r="AU773" i="2"/>
  <c r="U775" i="2"/>
  <c r="AK775" i="2"/>
  <c r="AB776" i="2"/>
  <c r="AR776" i="2"/>
  <c r="W777" i="2"/>
  <c r="AM777" i="2"/>
  <c r="R778" i="2"/>
  <c r="AH778" i="2"/>
  <c r="AX778" i="2"/>
  <c r="AC779" i="2"/>
  <c r="AS779" i="2"/>
  <c r="T780" i="2"/>
  <c r="AJ780" i="2"/>
  <c r="AE781" i="2"/>
  <c r="AU781" i="2"/>
  <c r="U783" i="2"/>
  <c r="AK783" i="2"/>
  <c r="AB784" i="2"/>
  <c r="AR784" i="2"/>
  <c r="W785" i="2"/>
  <c r="AM785" i="2"/>
  <c r="R786" i="2"/>
  <c r="AH786" i="2"/>
  <c r="AC787" i="2"/>
  <c r="AS787" i="2"/>
  <c r="T788" i="2"/>
  <c r="AJ788" i="2"/>
  <c r="AE789" i="2"/>
  <c r="AU789" i="2"/>
  <c r="U791" i="2"/>
  <c r="AK791" i="2"/>
  <c r="AB792" i="2"/>
  <c r="AR792" i="2"/>
  <c r="W793" i="2"/>
  <c r="AM793" i="2"/>
  <c r="R794" i="2"/>
  <c r="AH794" i="2"/>
  <c r="AC795" i="2"/>
  <c r="AS795" i="2"/>
  <c r="T796" i="2"/>
  <c r="AJ796" i="2"/>
  <c r="AE797" i="2"/>
  <c r="AU797" i="2"/>
  <c r="U799" i="2"/>
  <c r="AK799" i="2"/>
  <c r="AB800" i="2"/>
  <c r="AR800" i="2"/>
  <c r="W801" i="2"/>
  <c r="AM801" i="2"/>
  <c r="R802" i="2"/>
  <c r="AH802" i="2"/>
  <c r="AC803" i="2"/>
  <c r="AS803" i="2"/>
  <c r="T804" i="2"/>
  <c r="AJ804" i="2"/>
  <c r="AE805" i="2"/>
  <c r="AU805" i="2"/>
  <c r="U807" i="2"/>
  <c r="AK807" i="2"/>
  <c r="AB808" i="2"/>
  <c r="AR808" i="2"/>
  <c r="W809" i="2"/>
  <c r="AM809" i="2"/>
  <c r="R810" i="2"/>
  <c r="AH810" i="2"/>
  <c r="AX810" i="2"/>
  <c r="AC811" i="2"/>
  <c r="AS811" i="2"/>
  <c r="T812" i="2"/>
  <c r="AJ812" i="2"/>
  <c r="AE813" i="2"/>
  <c r="AU813" i="2"/>
  <c r="U815" i="2"/>
  <c r="AK815" i="2"/>
  <c r="AB816" i="2"/>
  <c r="AR816" i="2"/>
  <c r="AC819" i="2"/>
  <c r="AS819" i="2"/>
  <c r="T820" i="2"/>
  <c r="AJ820" i="2"/>
  <c r="AE821" i="2"/>
  <c r="AU821" i="2"/>
  <c r="U823" i="2"/>
  <c r="AK823" i="2"/>
  <c r="AB824" i="2"/>
  <c r="AR824" i="2"/>
  <c r="AK826" i="2"/>
  <c r="R827" i="2"/>
  <c r="AU827" i="2"/>
  <c r="AK772" i="2"/>
  <c r="AB773" i="2"/>
  <c r="AR773" i="2"/>
  <c r="R775" i="2"/>
  <c r="AH775" i="2"/>
  <c r="AC776" i="2"/>
  <c r="AS776" i="2"/>
  <c r="T777" i="2"/>
  <c r="AJ777" i="2"/>
  <c r="AE778" i="2"/>
  <c r="AU778" i="2"/>
  <c r="Z779" i="2"/>
  <c r="AP779" i="2"/>
  <c r="U780" i="2"/>
  <c r="AK780" i="2"/>
  <c r="AB781" i="2"/>
  <c r="AR781" i="2"/>
  <c r="R783" i="2"/>
  <c r="AH783" i="2"/>
  <c r="AX783" i="2"/>
  <c r="AC784" i="2"/>
  <c r="AS784" i="2"/>
  <c r="T785" i="2"/>
  <c r="AJ785" i="2"/>
  <c r="AE786" i="2"/>
  <c r="AU786" i="2"/>
  <c r="Z787" i="2"/>
  <c r="AP787" i="2"/>
  <c r="U788" i="2"/>
  <c r="AK788" i="2"/>
  <c r="AB789" i="2"/>
  <c r="AR789" i="2"/>
  <c r="R791" i="2"/>
  <c r="AH791" i="2"/>
  <c r="AC792" i="2"/>
  <c r="AS792" i="2"/>
  <c r="T793" i="2"/>
  <c r="AJ793" i="2"/>
  <c r="AE794" i="2"/>
  <c r="AU794" i="2"/>
  <c r="Z795" i="2"/>
  <c r="AP795" i="2"/>
  <c r="U796" i="2"/>
  <c r="AK796" i="2"/>
  <c r="AB797" i="2"/>
  <c r="AR797" i="2"/>
  <c r="R799" i="2"/>
  <c r="AH799" i="2"/>
  <c r="AC800" i="2"/>
  <c r="AS800" i="2"/>
  <c r="T801" i="2"/>
  <c r="AJ801" i="2"/>
  <c r="AE802" i="2"/>
  <c r="AU802" i="2"/>
  <c r="Z803" i="2"/>
  <c r="AP803" i="2"/>
  <c r="U804" i="2"/>
  <c r="AK804" i="2"/>
  <c r="AB805" i="2"/>
  <c r="AR805" i="2"/>
  <c r="R807" i="2"/>
  <c r="AH807" i="2"/>
  <c r="AC808" i="2"/>
  <c r="AS808" i="2"/>
  <c r="T809" i="2"/>
  <c r="AJ809" i="2"/>
  <c r="AE810" i="2"/>
  <c r="AU810" i="2"/>
  <c r="Z811" i="2"/>
  <c r="AP811" i="2"/>
  <c r="U812" i="2"/>
  <c r="AK812" i="2"/>
  <c r="AB813" i="2"/>
  <c r="AR813" i="2"/>
  <c r="R815" i="2"/>
  <c r="AH815" i="2"/>
  <c r="AX815" i="2"/>
  <c r="AC816" i="2"/>
  <c r="AS816" i="2"/>
  <c r="T817" i="2"/>
  <c r="AJ817" i="2"/>
  <c r="AE818" i="2"/>
  <c r="AU818" i="2"/>
  <c r="Z819" i="2"/>
  <c r="AP819" i="2"/>
  <c r="U820" i="2"/>
  <c r="AK820" i="2"/>
  <c r="AB821" i="2"/>
  <c r="AR821" i="2"/>
  <c r="R823" i="2"/>
  <c r="AH823" i="2"/>
  <c r="AC824" i="2"/>
  <c r="AS824" i="2"/>
  <c r="T825" i="2"/>
  <c r="AJ825" i="2"/>
  <c r="AG826" i="2"/>
  <c r="S827" i="2"/>
  <c r="AV827" i="2"/>
  <c r="AO829" i="2"/>
  <c r="AC757" i="2"/>
  <c r="AS757" i="2"/>
  <c r="T758" i="2"/>
  <c r="AJ758" i="2"/>
  <c r="AE759" i="2"/>
  <c r="AU759" i="2"/>
  <c r="U761" i="2"/>
  <c r="AK761" i="2"/>
  <c r="AB762" i="2"/>
  <c r="AR762" i="2"/>
  <c r="W763" i="2"/>
  <c r="AM763" i="2"/>
  <c r="R764" i="2"/>
  <c r="AH764" i="2"/>
  <c r="AC765" i="2"/>
  <c r="AS765" i="2"/>
  <c r="T766" i="2"/>
  <c r="AJ766" i="2"/>
  <c r="AE767" i="2"/>
  <c r="AU767" i="2"/>
  <c r="U769" i="2"/>
  <c r="AK769" i="2"/>
  <c r="AB770" i="2"/>
  <c r="AR770" i="2"/>
  <c r="W771" i="2"/>
  <c r="AM771" i="2"/>
  <c r="R772" i="2"/>
  <c r="AH772" i="2"/>
  <c r="AC773" i="2"/>
  <c r="AS773" i="2"/>
  <c r="T774" i="2"/>
  <c r="AJ774" i="2"/>
  <c r="AE775" i="2"/>
  <c r="AU775" i="2"/>
  <c r="Z776" i="2"/>
  <c r="AP776" i="2"/>
  <c r="U777" i="2"/>
  <c r="AK777" i="2"/>
  <c r="AB778" i="2"/>
  <c r="AR778" i="2"/>
  <c r="W779" i="2"/>
  <c r="AM779" i="2"/>
  <c r="R780" i="2"/>
  <c r="AH780" i="2"/>
  <c r="AC781" i="2"/>
  <c r="AS781" i="2"/>
  <c r="T782" i="2"/>
  <c r="AJ782" i="2"/>
  <c r="AE783" i="2"/>
  <c r="AU783" i="2"/>
  <c r="Z784" i="2"/>
  <c r="AP784" i="2"/>
  <c r="U785" i="2"/>
  <c r="AK785" i="2"/>
  <c r="AB786" i="2"/>
  <c r="AR786" i="2"/>
  <c r="W787" i="2"/>
  <c r="AM787" i="2"/>
  <c r="R788" i="2"/>
  <c r="AH788" i="2"/>
  <c r="AC789" i="2"/>
  <c r="AS789" i="2"/>
  <c r="T790" i="2"/>
  <c r="AJ790" i="2"/>
  <c r="AE791" i="2"/>
  <c r="AU791" i="2"/>
  <c r="Z792" i="2"/>
  <c r="AP792" i="2"/>
  <c r="U793" i="2"/>
  <c r="AK793" i="2"/>
  <c r="AB794" i="2"/>
  <c r="AR794" i="2"/>
  <c r="W795" i="2"/>
  <c r="AM795" i="2"/>
  <c r="R796" i="2"/>
  <c r="AH796" i="2"/>
  <c r="AX796" i="2"/>
  <c r="AC797" i="2"/>
  <c r="AS797" i="2"/>
  <c r="T798" i="2"/>
  <c r="AJ798" i="2"/>
  <c r="AE799" i="2"/>
  <c r="AU799" i="2"/>
  <c r="Z800" i="2"/>
  <c r="AP800" i="2"/>
  <c r="U801" i="2"/>
  <c r="AK801" i="2"/>
  <c r="AB802" i="2"/>
  <c r="AR802" i="2"/>
  <c r="W803" i="2"/>
  <c r="AM803" i="2"/>
  <c r="R804" i="2"/>
  <c r="AH804" i="2"/>
  <c r="AC805" i="2"/>
  <c r="AS805" i="2"/>
  <c r="T806" i="2"/>
  <c r="AJ806" i="2"/>
  <c r="AE807" i="2"/>
  <c r="AU807" i="2"/>
  <c r="Z808" i="2"/>
  <c r="AP808" i="2"/>
  <c r="U809" i="2"/>
  <c r="AK809" i="2"/>
  <c r="AB810" i="2"/>
  <c r="AR810" i="2"/>
  <c r="W811" i="2"/>
  <c r="AM811" i="2"/>
  <c r="R812" i="2"/>
  <c r="AH812" i="2"/>
  <c r="AC813" i="2"/>
  <c r="AS813" i="2"/>
  <c r="T814" i="2"/>
  <c r="AJ814" i="2"/>
  <c r="AE815" i="2"/>
  <c r="AU815" i="2"/>
  <c r="Z816" i="2"/>
  <c r="AP816" i="2"/>
  <c r="U817" i="2"/>
  <c r="AK817" i="2"/>
  <c r="AB818" i="2"/>
  <c r="AR818" i="2"/>
  <c r="W819" i="2"/>
  <c r="AM819" i="2"/>
  <c r="R820" i="2"/>
  <c r="AH820" i="2"/>
  <c r="AC821" i="2"/>
  <c r="AS821" i="2"/>
  <c r="T822" i="2"/>
  <c r="AJ822" i="2"/>
  <c r="AE823" i="2"/>
  <c r="AU823" i="2"/>
  <c r="Z824" i="2"/>
  <c r="AP824" i="2"/>
  <c r="U825" i="2"/>
  <c r="AK825" i="2"/>
  <c r="S826" i="2"/>
  <c r="AN826" i="2"/>
  <c r="AA827" i="2"/>
  <c r="Z827" i="2"/>
  <c r="AP827" i="2"/>
  <c r="AB829" i="2"/>
  <c r="AR829" i="2"/>
  <c r="W830" i="2"/>
  <c r="AM830" i="2"/>
  <c r="T833" i="2"/>
  <c r="AJ833" i="2"/>
  <c r="AB837" i="2"/>
  <c r="AR837" i="2"/>
  <c r="W838" i="2"/>
  <c r="AM838" i="2"/>
  <c r="AH839" i="2"/>
  <c r="T841" i="2"/>
  <c r="AJ841" i="2"/>
  <c r="AB845" i="2"/>
  <c r="AR845" i="2"/>
  <c r="W846" i="2"/>
  <c r="AM846" i="2"/>
  <c r="AM847" i="2"/>
  <c r="U848" i="2"/>
  <c r="AP848" i="2"/>
  <c r="U853" i="2"/>
  <c r="AQ853" i="2"/>
  <c r="AH856" i="2"/>
  <c r="V858" i="2"/>
  <c r="AQ858" i="2"/>
  <c r="S861" i="2"/>
  <c r="AN861" i="2"/>
  <c r="AF864" i="2"/>
  <c r="AF868" i="2"/>
  <c r="V874" i="2"/>
  <c r="M876" i="2"/>
  <c r="AQ876" i="2"/>
  <c r="AA876" i="2"/>
  <c r="AM876" i="2"/>
  <c r="W876" i="2"/>
  <c r="AV876" i="2"/>
  <c r="T880" i="2"/>
  <c r="AF884" i="2"/>
  <c r="V890" i="2"/>
  <c r="M892" i="2"/>
  <c r="AQ892" i="2"/>
  <c r="AA892" i="2"/>
  <c r="AM892" i="2"/>
  <c r="W892" i="2"/>
  <c r="AV892" i="2"/>
  <c r="T896" i="2"/>
  <c r="AF900" i="2"/>
  <c r="V906" i="2"/>
  <c r="M908" i="2"/>
  <c r="AQ908" i="2"/>
  <c r="AA908" i="2"/>
  <c r="AM908" i="2"/>
  <c r="W908" i="2"/>
  <c r="AV908" i="2"/>
  <c r="T912" i="2"/>
  <c r="AF928" i="2"/>
  <c r="AB830" i="2"/>
  <c r="AR830" i="2"/>
  <c r="W831" i="2"/>
  <c r="AM831" i="2"/>
  <c r="AC833" i="2"/>
  <c r="AS833" i="2"/>
  <c r="T834" i="2"/>
  <c r="AJ834" i="2"/>
  <c r="U837" i="2"/>
  <c r="AK837" i="2"/>
  <c r="AB838" i="2"/>
  <c r="AR838" i="2"/>
  <c r="W839" i="2"/>
  <c r="AM839" i="2"/>
  <c r="AC841" i="2"/>
  <c r="AS841" i="2"/>
  <c r="T842" i="2"/>
  <c r="AJ842" i="2"/>
  <c r="U845" i="2"/>
  <c r="AK845" i="2"/>
  <c r="AB846" i="2"/>
  <c r="AR846" i="2"/>
  <c r="Y847" i="2"/>
  <c r="AT847" i="2"/>
  <c r="AB848" i="2"/>
  <c r="AW848" i="2"/>
  <c r="Z852" i="2"/>
  <c r="AV852" i="2"/>
  <c r="AB853" i="2"/>
  <c r="AW853" i="2"/>
  <c r="Y856" i="2"/>
  <c r="AT856" i="2"/>
  <c r="AA857" i="2"/>
  <c r="AV857" i="2"/>
  <c r="AB858" i="2"/>
  <c r="AX858" i="2"/>
  <c r="Y861" i="2"/>
  <c r="AU861" i="2"/>
  <c r="AA862" i="2"/>
  <c r="AV862" i="2"/>
  <c r="Q864" i="2"/>
  <c r="AL864" i="2"/>
  <c r="X866" i="2"/>
  <c r="AP868" i="2"/>
  <c r="AN874" i="2"/>
  <c r="Z876" i="2"/>
  <c r="AD880" i="2"/>
  <c r="X882" i="2"/>
  <c r="AP884" i="2"/>
  <c r="AN890" i="2"/>
  <c r="Z892" i="2"/>
  <c r="AD896" i="2"/>
  <c r="X898" i="2"/>
  <c r="AP900" i="2"/>
  <c r="AN906" i="2"/>
  <c r="Z908" i="2"/>
  <c r="AD912" i="2"/>
  <c r="AD914" i="2"/>
  <c r="M924" i="2"/>
  <c r="AQ924" i="2"/>
  <c r="AA924" i="2"/>
  <c r="AL924" i="2"/>
  <c r="V924" i="2"/>
  <c r="AM924" i="2"/>
  <c r="W924" i="2"/>
  <c r="AH924" i="2"/>
  <c r="R924" i="2"/>
  <c r="Z829" i="2"/>
  <c r="AP829" i="2"/>
  <c r="U830" i="2"/>
  <c r="AK830" i="2"/>
  <c r="AB831" i="2"/>
  <c r="AR831" i="2"/>
  <c r="R833" i="2"/>
  <c r="AH833" i="2"/>
  <c r="AC834" i="2"/>
  <c r="AS834" i="2"/>
  <c r="T835" i="2"/>
  <c r="AJ835" i="2"/>
  <c r="Z837" i="2"/>
  <c r="AP837" i="2"/>
  <c r="U838" i="2"/>
  <c r="AK838" i="2"/>
  <c r="AB839" i="2"/>
  <c r="AR839" i="2"/>
  <c r="R841" i="2"/>
  <c r="AH841" i="2"/>
  <c r="AC842" i="2"/>
  <c r="AS842" i="2"/>
  <c r="T843" i="2"/>
  <c r="AJ843" i="2"/>
  <c r="Z845" i="2"/>
  <c r="AP845" i="2"/>
  <c r="U846" i="2"/>
  <c r="AK846" i="2"/>
  <c r="AE847" i="2"/>
  <c r="AH848" i="2"/>
  <c r="V850" i="2"/>
  <c r="AQ850" i="2"/>
  <c r="AG852" i="2"/>
  <c r="S853" i="2"/>
  <c r="AN853" i="2"/>
  <c r="AF856" i="2"/>
  <c r="AG857" i="2"/>
  <c r="S858" i="2"/>
  <c r="AN858" i="2"/>
  <c r="AF861" i="2"/>
  <c r="AH862" i="2"/>
  <c r="X864" i="2"/>
  <c r="AS864" i="2"/>
  <c r="Z866" i="2"/>
  <c r="AR868" i="2"/>
  <c r="AD870" i="2"/>
  <c r="X872" i="2"/>
  <c r="AP874" i="2"/>
  <c r="AB876" i="2"/>
  <c r="AN880" i="2"/>
  <c r="Z882" i="2"/>
  <c r="AR884" i="2"/>
  <c r="AD886" i="2"/>
  <c r="X888" i="2"/>
  <c r="AP890" i="2"/>
  <c r="AB892" i="2"/>
  <c r="AN896" i="2"/>
  <c r="Z898" i="2"/>
  <c r="AR900" i="2"/>
  <c r="AD902" i="2"/>
  <c r="X904" i="2"/>
  <c r="AP906" i="2"/>
  <c r="AB908" i="2"/>
  <c r="AN912" i="2"/>
  <c r="AH914" i="2"/>
  <c r="AV920" i="2"/>
  <c r="AJ924" i="2"/>
  <c r="X928" i="2"/>
  <c r="V826" i="2"/>
  <c r="AL826" i="2"/>
  <c r="Q827" i="2"/>
  <c r="AG827" i="2"/>
  <c r="AW827" i="2"/>
  <c r="X828" i="2"/>
  <c r="AN828" i="2"/>
  <c r="S829" i="2"/>
  <c r="AI829" i="2"/>
  <c r="AD830" i="2"/>
  <c r="AT830" i="2"/>
  <c r="Y831" i="2"/>
  <c r="AO831" i="2"/>
  <c r="AF832" i="2"/>
  <c r="AV832" i="2"/>
  <c r="AA833" i="2"/>
  <c r="AQ833" i="2"/>
  <c r="V834" i="2"/>
  <c r="AL834" i="2"/>
  <c r="Q835" i="2"/>
  <c r="AG835" i="2"/>
  <c r="AW835" i="2"/>
  <c r="X836" i="2"/>
  <c r="AN836" i="2"/>
  <c r="S837" i="2"/>
  <c r="AI837" i="2"/>
  <c r="AD838" i="2"/>
  <c r="AT838" i="2"/>
  <c r="Y839" i="2"/>
  <c r="AO839" i="2"/>
  <c r="AF840" i="2"/>
  <c r="AV840" i="2"/>
  <c r="AA841" i="2"/>
  <c r="AQ841" i="2"/>
  <c r="V842" i="2"/>
  <c r="AL842" i="2"/>
  <c r="Q843" i="2"/>
  <c r="AG843" i="2"/>
  <c r="AW843" i="2"/>
  <c r="X844" i="2"/>
  <c r="AN844" i="2"/>
  <c r="S845" i="2"/>
  <c r="AI845" i="2"/>
  <c r="AD846" i="2"/>
  <c r="AT846" i="2"/>
  <c r="AA847" i="2"/>
  <c r="AW847" i="2"/>
  <c r="AJ848" i="2"/>
  <c r="M849" i="2"/>
  <c r="AT849" i="2"/>
  <c r="AD849" i="2"/>
  <c r="AP849" i="2"/>
  <c r="Z849" i="2"/>
  <c r="AK849" i="2"/>
  <c r="R850" i="2"/>
  <c r="AM850" i="2"/>
  <c r="AC852" i="2"/>
  <c r="AX852" i="2"/>
  <c r="AJ853" i="2"/>
  <c r="M854" i="2"/>
  <c r="AW854" i="2"/>
  <c r="AG854" i="2"/>
  <c r="Q854" i="2"/>
  <c r="AS854" i="2"/>
  <c r="AC854" i="2"/>
  <c r="AL854" i="2"/>
  <c r="AB856" i="2"/>
  <c r="AW856" i="2"/>
  <c r="AI857" i="2"/>
  <c r="T858" i="2"/>
  <c r="AP858" i="2"/>
  <c r="Z860" i="2"/>
  <c r="AV860" i="2"/>
  <c r="AB861" i="2"/>
  <c r="AW861" i="2"/>
  <c r="AI862" i="2"/>
  <c r="Y864" i="2"/>
  <c r="AT864" i="2"/>
  <c r="AB866" i="2"/>
  <c r="AT868" i="2"/>
  <c r="AU869" i="2"/>
  <c r="AN870" i="2"/>
  <c r="Z872" i="2"/>
  <c r="AR874" i="2"/>
  <c r="AD876" i="2"/>
  <c r="AE877" i="2"/>
  <c r="X878" i="2"/>
  <c r="AP880" i="2"/>
  <c r="AB882" i="2"/>
  <c r="AT884" i="2"/>
  <c r="AU885" i="2"/>
  <c r="AN886" i="2"/>
  <c r="Z888" i="2"/>
  <c r="AR890" i="2"/>
  <c r="AD892" i="2"/>
  <c r="AE893" i="2"/>
  <c r="X894" i="2"/>
  <c r="AP896" i="2"/>
  <c r="AB898" i="2"/>
  <c r="AT900" i="2"/>
  <c r="AU901" i="2"/>
  <c r="AN902" i="2"/>
  <c r="Z904" i="2"/>
  <c r="AR906" i="2"/>
  <c r="AD908" i="2"/>
  <c r="AE909" i="2"/>
  <c r="X910" i="2"/>
  <c r="AP912" i="2"/>
  <c r="AL914" i="2"/>
  <c r="M916" i="2"/>
  <c r="AQ916" i="2"/>
  <c r="AA916" i="2"/>
  <c r="AM916" i="2"/>
  <c r="W916" i="2"/>
  <c r="AH916" i="2"/>
  <c r="R916" i="2"/>
  <c r="AQ917" i="2"/>
  <c r="S925" i="2"/>
  <c r="M932" i="2"/>
  <c r="AQ932" i="2"/>
  <c r="AA932" i="2"/>
  <c r="AL932" i="2"/>
  <c r="V932" i="2"/>
  <c r="AM932" i="2"/>
  <c r="W932" i="2"/>
  <c r="AH932" i="2"/>
  <c r="R932" i="2"/>
  <c r="AF932" i="2"/>
  <c r="AV932" i="2"/>
  <c r="AA933" i="2"/>
  <c r="AQ933" i="2"/>
  <c r="X936" i="2"/>
  <c r="AN936" i="2"/>
  <c r="M940" i="2"/>
  <c r="AQ940" i="2"/>
  <c r="AA940" i="2"/>
  <c r="AL940" i="2"/>
  <c r="V940" i="2"/>
  <c r="AM940" i="2"/>
  <c r="W940" i="2"/>
  <c r="AH940" i="2"/>
  <c r="R940" i="2"/>
  <c r="AF940" i="2"/>
  <c r="AV940" i="2"/>
  <c r="AA941" i="2"/>
  <c r="AQ941" i="2"/>
  <c r="X944" i="2"/>
  <c r="AN944" i="2"/>
  <c r="M948" i="2"/>
  <c r="AQ948" i="2"/>
  <c r="AA948" i="2"/>
  <c r="AL948" i="2"/>
  <c r="V948" i="2"/>
  <c r="AM948" i="2"/>
  <c r="W948" i="2"/>
  <c r="AH948" i="2"/>
  <c r="R948" i="2"/>
  <c r="AF948" i="2"/>
  <c r="AV948" i="2"/>
  <c r="AA949" i="2"/>
  <c r="AQ949" i="2"/>
  <c r="AF957" i="2"/>
  <c r="M965" i="2"/>
  <c r="AQ965" i="2"/>
  <c r="AA965" i="2"/>
  <c r="AW965" i="2"/>
  <c r="AG965" i="2"/>
  <c r="Q965" i="2"/>
  <c r="AD965" i="2"/>
  <c r="AR965" i="2"/>
  <c r="AM965" i="2"/>
  <c r="W965" i="2"/>
  <c r="AS965" i="2"/>
  <c r="AC965" i="2"/>
  <c r="V965" i="2"/>
  <c r="AJ965" i="2"/>
  <c r="AP965" i="2"/>
  <c r="AI965" i="2"/>
  <c r="S965" i="2"/>
  <c r="AV965" i="2"/>
  <c r="AF973" i="2"/>
  <c r="AV987" i="2"/>
  <c r="M1003" i="2"/>
  <c r="AS1003" i="2"/>
  <c r="AC1003" i="2"/>
  <c r="AO1003" i="2"/>
  <c r="Y1003" i="2"/>
  <c r="AQ1003" i="2"/>
  <c r="AA1003" i="2"/>
  <c r="AL1003" i="2"/>
  <c r="V1003" i="2"/>
  <c r="AR1003" i="2"/>
  <c r="X1003" i="2"/>
  <c r="AK1003" i="2"/>
  <c r="U1003" i="2"/>
  <c r="AM1003" i="2"/>
  <c r="W1003" i="2"/>
  <c r="AX1003" i="2"/>
  <c r="AH1003" i="2"/>
  <c r="R1003" i="2"/>
  <c r="AB1003" i="2"/>
  <c r="AW1003" i="2"/>
  <c r="AG1003" i="2"/>
  <c r="Q1003" i="2"/>
  <c r="T865" i="2"/>
  <c r="AJ865" i="2"/>
  <c r="AE866" i="2"/>
  <c r="AU866" i="2"/>
  <c r="U868" i="2"/>
  <c r="AK868" i="2"/>
  <c r="AB869" i="2"/>
  <c r="AR869" i="2"/>
  <c r="W870" i="2"/>
  <c r="AM870" i="2"/>
  <c r="AC872" i="2"/>
  <c r="AS872" i="2"/>
  <c r="T873" i="2"/>
  <c r="AJ873" i="2"/>
  <c r="AE874" i="2"/>
  <c r="AU874" i="2"/>
  <c r="U876" i="2"/>
  <c r="AK876" i="2"/>
  <c r="AB877" i="2"/>
  <c r="AR877" i="2"/>
  <c r="W878" i="2"/>
  <c r="AM878" i="2"/>
  <c r="AC880" i="2"/>
  <c r="AS880" i="2"/>
  <c r="T881" i="2"/>
  <c r="AJ881" i="2"/>
  <c r="AE882" i="2"/>
  <c r="AU882" i="2"/>
  <c r="U884" i="2"/>
  <c r="AK884" i="2"/>
  <c r="AB885" i="2"/>
  <c r="AR885" i="2"/>
  <c r="W886" i="2"/>
  <c r="AM886" i="2"/>
  <c r="AC888" i="2"/>
  <c r="AS888" i="2"/>
  <c r="T889" i="2"/>
  <c r="AJ889" i="2"/>
  <c r="AE890" i="2"/>
  <c r="AU890" i="2"/>
  <c r="U892" i="2"/>
  <c r="AK892" i="2"/>
  <c r="AB893" i="2"/>
  <c r="AR893" i="2"/>
  <c r="W894" i="2"/>
  <c r="AM894" i="2"/>
  <c r="AC896" i="2"/>
  <c r="AS896" i="2"/>
  <c r="T897" i="2"/>
  <c r="AJ897" i="2"/>
  <c r="AE898" i="2"/>
  <c r="AU898" i="2"/>
  <c r="U900" i="2"/>
  <c r="AK900" i="2"/>
  <c r="AB901" i="2"/>
  <c r="AR901" i="2"/>
  <c r="W902" i="2"/>
  <c r="AM902" i="2"/>
  <c r="AC904" i="2"/>
  <c r="AS904" i="2"/>
  <c r="T905" i="2"/>
  <c r="AJ905" i="2"/>
  <c r="AE906" i="2"/>
  <c r="AU906" i="2"/>
  <c r="U908" i="2"/>
  <c r="AK908" i="2"/>
  <c r="AB909" i="2"/>
  <c r="AR909" i="2"/>
  <c r="W910" i="2"/>
  <c r="AM910" i="2"/>
  <c r="AC912" i="2"/>
  <c r="AS912" i="2"/>
  <c r="T913" i="2"/>
  <c r="AJ913" i="2"/>
  <c r="AE914" i="2"/>
  <c r="AU914" i="2"/>
  <c r="U916" i="2"/>
  <c r="AK916" i="2"/>
  <c r="AB917" i="2"/>
  <c r="AR917" i="2"/>
  <c r="AC920" i="2"/>
  <c r="AS920" i="2"/>
  <c r="T921" i="2"/>
  <c r="AJ921" i="2"/>
  <c r="U924" i="2"/>
  <c r="AK924" i="2"/>
  <c r="AB925" i="2"/>
  <c r="AR925" i="2"/>
  <c r="R927" i="2"/>
  <c r="AH927" i="2"/>
  <c r="AC928" i="2"/>
  <c r="AS928" i="2"/>
  <c r="T929" i="2"/>
  <c r="AJ929" i="2"/>
  <c r="U932" i="2"/>
  <c r="AK932" i="2"/>
  <c r="AB933" i="2"/>
  <c r="AR933" i="2"/>
  <c r="AC936" i="2"/>
  <c r="AS936" i="2"/>
  <c r="T937" i="2"/>
  <c r="AJ937" i="2"/>
  <c r="U940" i="2"/>
  <c r="AK940" i="2"/>
  <c r="AB941" i="2"/>
  <c r="AR941" i="2"/>
  <c r="W942" i="2"/>
  <c r="AM942" i="2"/>
  <c r="AC944" i="2"/>
  <c r="AS944" i="2"/>
  <c r="T945" i="2"/>
  <c r="AJ945" i="2"/>
  <c r="U948" i="2"/>
  <c r="AK948" i="2"/>
  <c r="AB949" i="2"/>
  <c r="AR949" i="2"/>
  <c r="W950" i="2"/>
  <c r="AO950" i="2"/>
  <c r="V951" i="2"/>
  <c r="AQ951" i="2"/>
  <c r="M955" i="2"/>
  <c r="AO955" i="2"/>
  <c r="Y955" i="2"/>
  <c r="AQ955" i="2"/>
  <c r="AA955" i="2"/>
  <c r="AB955" i="2"/>
  <c r="AP955" i="2"/>
  <c r="AK955" i="2"/>
  <c r="U955" i="2"/>
  <c r="AM955" i="2"/>
  <c r="W955" i="2"/>
  <c r="T955" i="2"/>
  <c r="AH955" i="2"/>
  <c r="AN955" i="2"/>
  <c r="V961" i="2"/>
  <c r="AF963" i="2"/>
  <c r="R965" i="2"/>
  <c r="M971" i="2"/>
  <c r="AO971" i="2"/>
  <c r="Y971" i="2"/>
  <c r="AQ971" i="2"/>
  <c r="AA971" i="2"/>
  <c r="AB971" i="2"/>
  <c r="AP971" i="2"/>
  <c r="AK971" i="2"/>
  <c r="U971" i="2"/>
  <c r="AM971" i="2"/>
  <c r="W971" i="2"/>
  <c r="T971" i="2"/>
  <c r="AH971" i="2"/>
  <c r="AN971" i="2"/>
  <c r="AW971" i="2"/>
  <c r="AG971" i="2"/>
  <c r="Q971" i="2"/>
  <c r="AF914" i="2"/>
  <c r="AD916" i="2"/>
  <c r="Q917" i="2"/>
  <c r="AK917" i="2"/>
  <c r="M918" i="2"/>
  <c r="AW918" i="2"/>
  <c r="AG918" i="2"/>
  <c r="Q918" i="2"/>
  <c r="AN918" i="2"/>
  <c r="AS918" i="2"/>
  <c r="AC918" i="2"/>
  <c r="AJ918" i="2"/>
  <c r="T918" i="2"/>
  <c r="AR918" i="2"/>
  <c r="AH920" i="2"/>
  <c r="AC921" i="2"/>
  <c r="AD924" i="2"/>
  <c r="Y925" i="2"/>
  <c r="M926" i="2"/>
  <c r="AW926" i="2"/>
  <c r="AG926" i="2"/>
  <c r="Q926" i="2"/>
  <c r="AN926" i="2"/>
  <c r="X926" i="2"/>
  <c r="AS926" i="2"/>
  <c r="AC926" i="2"/>
  <c r="AJ926" i="2"/>
  <c r="T926" i="2"/>
  <c r="AV926" i="2"/>
  <c r="AQ927" i="2"/>
  <c r="AL928" i="2"/>
  <c r="AG929" i="2"/>
  <c r="AP932" i="2"/>
  <c r="AK933" i="2"/>
  <c r="AB934" i="2"/>
  <c r="R936" i="2"/>
  <c r="AX936" i="2"/>
  <c r="AS937" i="2"/>
  <c r="AT940" i="2"/>
  <c r="AO941" i="2"/>
  <c r="AF942" i="2"/>
  <c r="V944" i="2"/>
  <c r="Q945" i="2"/>
  <c r="AW945" i="2"/>
  <c r="Z948" i="2"/>
  <c r="U949" i="2"/>
  <c r="AV950" i="2"/>
  <c r="AK958" i="2"/>
  <c r="T965" i="2"/>
  <c r="AS966" i="2"/>
  <c r="M995" i="2"/>
  <c r="AS995" i="2"/>
  <c r="AC995" i="2"/>
  <c r="AO995" i="2"/>
  <c r="Y995" i="2"/>
  <c r="AQ995" i="2"/>
  <c r="AA995" i="2"/>
  <c r="AL995" i="2"/>
  <c r="V995" i="2"/>
  <c r="AJ995" i="2"/>
  <c r="AV995" i="2"/>
  <c r="AK995" i="2"/>
  <c r="U995" i="2"/>
  <c r="AM995" i="2"/>
  <c r="W995" i="2"/>
  <c r="AH995" i="2"/>
  <c r="R995" i="2"/>
  <c r="T995" i="2"/>
  <c r="AF995" i="2"/>
  <c r="AR995" i="2"/>
  <c r="AW995" i="2"/>
  <c r="AG995" i="2"/>
  <c r="Q995" i="2"/>
  <c r="AN1003" i="2"/>
  <c r="AB847" i="2"/>
  <c r="W848" i="2"/>
  <c r="R849" i="2"/>
  <c r="AS850" i="2"/>
  <c r="S852" i="2"/>
  <c r="AT853" i="2"/>
  <c r="AO854" i="2"/>
  <c r="AF855" i="2"/>
  <c r="AA856" i="2"/>
  <c r="V857" i="2"/>
  <c r="Q858" i="2"/>
  <c r="AW858" i="2"/>
  <c r="AE860" i="2"/>
  <c r="Z861" i="2"/>
  <c r="U862" i="2"/>
  <c r="AR863" i="2"/>
  <c r="AM864" i="2"/>
  <c r="AH865" i="2"/>
  <c r="AC866" i="2"/>
  <c r="AI868" i="2"/>
  <c r="AD869" i="2"/>
  <c r="Y870" i="2"/>
  <c r="M871" i="2"/>
  <c r="AN871" i="2"/>
  <c r="X871" i="2"/>
  <c r="AJ871" i="2"/>
  <c r="T871" i="2"/>
  <c r="AV871" i="2"/>
  <c r="AQ872" i="2"/>
  <c r="AL873" i="2"/>
  <c r="AG874" i="2"/>
  <c r="AU876" i="2"/>
  <c r="AP877" i="2"/>
  <c r="AK878" i="2"/>
  <c r="AB879" i="2"/>
  <c r="W880" i="2"/>
  <c r="R881" i="2"/>
  <c r="AS882" i="2"/>
  <c r="S884" i="2"/>
  <c r="AT885" i="2"/>
  <c r="AO886" i="2"/>
  <c r="AF887" i="2"/>
  <c r="AA888" i="2"/>
  <c r="V889" i="2"/>
  <c r="Q890" i="2"/>
  <c r="AW890" i="2"/>
  <c r="AE892" i="2"/>
  <c r="Z893" i="2"/>
  <c r="U894" i="2"/>
  <c r="AR895" i="2"/>
  <c r="AM896" i="2"/>
  <c r="AH897" i="2"/>
  <c r="AC898" i="2"/>
  <c r="AI900" i="2"/>
  <c r="AD901" i="2"/>
  <c r="Y902" i="2"/>
  <c r="M903" i="2"/>
  <c r="AN903" i="2"/>
  <c r="X903" i="2"/>
  <c r="AJ903" i="2"/>
  <c r="T903" i="2"/>
  <c r="AV903" i="2"/>
  <c r="AQ904" i="2"/>
  <c r="AL905" i="2"/>
  <c r="AG906" i="2"/>
  <c r="AU908" i="2"/>
  <c r="AP909" i="2"/>
  <c r="AK910" i="2"/>
  <c r="AB911" i="2"/>
  <c r="W912" i="2"/>
  <c r="R913" i="2"/>
  <c r="AS914" i="2"/>
  <c r="S916" i="2"/>
  <c r="AT917" i="2"/>
  <c r="AO918" i="2"/>
  <c r="AF919" i="2"/>
  <c r="AA920" i="2"/>
  <c r="V921" i="2"/>
  <c r="AE924" i="2"/>
  <c r="Z925" i="2"/>
  <c r="U926" i="2"/>
  <c r="AR927" i="2"/>
  <c r="AM928" i="2"/>
  <c r="AH929" i="2"/>
  <c r="AI932" i="2"/>
  <c r="AD933" i="2"/>
  <c r="Y934" i="2"/>
  <c r="M935" i="2"/>
  <c r="AN935" i="2"/>
  <c r="X935" i="2"/>
  <c r="AI935" i="2"/>
  <c r="S935" i="2"/>
  <c r="AJ935" i="2"/>
  <c r="T935" i="2"/>
  <c r="AU935" i="2"/>
  <c r="AE935" i="2"/>
  <c r="AV935" i="2"/>
  <c r="AQ936" i="2"/>
  <c r="AL937" i="2"/>
  <c r="AU940" i="2"/>
  <c r="AP941" i="2"/>
  <c r="AK942" i="2"/>
  <c r="AB943" i="2"/>
  <c r="W944" i="2"/>
  <c r="R945" i="2"/>
  <c r="AX945" i="2"/>
  <c r="S948" i="2"/>
  <c r="AT949" i="2"/>
  <c r="AR950" i="2"/>
  <c r="AR955" i="2"/>
  <c r="W958" i="2"/>
  <c r="AV959" i="2"/>
  <c r="AH961" i="2"/>
  <c r="AB963" i="2"/>
  <c r="AT965" i="2"/>
  <c r="V973" i="2"/>
  <c r="M991" i="2"/>
  <c r="AK991" i="2"/>
  <c r="U991" i="2"/>
  <c r="AW991" i="2"/>
  <c r="AG991" i="2"/>
  <c r="Q991" i="2"/>
  <c r="AI991" i="2"/>
  <c r="S991" i="2"/>
  <c r="AT991" i="2"/>
  <c r="AD991" i="2"/>
  <c r="AV991" i="2"/>
  <c r="AS991" i="2"/>
  <c r="AC991" i="2"/>
  <c r="AU991" i="2"/>
  <c r="AE991" i="2"/>
  <c r="AP991" i="2"/>
  <c r="Z991" i="2"/>
  <c r="AF991" i="2"/>
  <c r="X991" i="2"/>
  <c r="AO991" i="2"/>
  <c r="Y991" i="2"/>
  <c r="U1006" i="2"/>
  <c r="AQ974" i="2"/>
  <c r="AF981" i="2"/>
  <c r="AA982" i="2"/>
  <c r="V983" i="2"/>
  <c r="AP987" i="2"/>
  <c r="M989" i="2"/>
  <c r="AU989" i="2"/>
  <c r="AE989" i="2"/>
  <c r="AQ989" i="2"/>
  <c r="AA989" i="2"/>
  <c r="AW989" i="2"/>
  <c r="AG989" i="2"/>
  <c r="Q989" i="2"/>
  <c r="AN989" i="2"/>
  <c r="X989" i="2"/>
  <c r="AH989" i="2"/>
  <c r="AM989" i="2"/>
  <c r="W989" i="2"/>
  <c r="AS989" i="2"/>
  <c r="AC989" i="2"/>
  <c r="AJ989" i="2"/>
  <c r="T989" i="2"/>
  <c r="R989" i="2"/>
  <c r="AD989" i="2"/>
  <c r="AI989" i="2"/>
  <c r="S989" i="2"/>
  <c r="AV989" i="2"/>
  <c r="AQ990" i="2"/>
  <c r="AL991" i="2"/>
  <c r="AP995" i="2"/>
  <c r="M997" i="2"/>
  <c r="AU997" i="2"/>
  <c r="AE997" i="2"/>
  <c r="AQ997" i="2"/>
  <c r="AA997" i="2"/>
  <c r="AW997" i="2"/>
  <c r="AG997" i="2"/>
  <c r="Q997" i="2"/>
  <c r="AN997" i="2"/>
  <c r="X997" i="2"/>
  <c r="AD997" i="2"/>
  <c r="AP997" i="2"/>
  <c r="AM997" i="2"/>
  <c r="W997" i="2"/>
  <c r="AS997" i="2"/>
  <c r="AC997" i="2"/>
  <c r="AJ997" i="2"/>
  <c r="T997" i="2"/>
  <c r="Z997" i="2"/>
  <c r="AL997" i="2"/>
  <c r="AI997" i="2"/>
  <c r="S997" i="2"/>
  <c r="AV997" i="2"/>
  <c r="AQ998" i="2"/>
  <c r="AP1003" i="2"/>
  <c r="M1005" i="2"/>
  <c r="AU1005" i="2"/>
  <c r="AE1005" i="2"/>
  <c r="AQ1005" i="2"/>
  <c r="AA1005" i="2"/>
  <c r="AW1005" i="2"/>
  <c r="AG1005" i="2"/>
  <c r="Q1005" i="2"/>
  <c r="AN1005" i="2"/>
  <c r="X1005" i="2"/>
  <c r="AL1005" i="2"/>
  <c r="AM1005" i="2"/>
  <c r="W1005" i="2"/>
  <c r="AS1005" i="2"/>
  <c r="AC1005" i="2"/>
  <c r="AJ1005" i="2"/>
  <c r="T1005" i="2"/>
  <c r="V1005" i="2"/>
  <c r="AI1005" i="2"/>
  <c r="S1005" i="2"/>
  <c r="AV1005" i="2"/>
  <c r="AQ1006" i="2"/>
  <c r="AI955" i="2"/>
  <c r="U957" i="2"/>
  <c r="AR958" i="2"/>
  <c r="AM959" i="2"/>
  <c r="AC961" i="2"/>
  <c r="AI963" i="2"/>
  <c r="U965" i="2"/>
  <c r="AR966" i="2"/>
  <c r="AI971" i="2"/>
  <c r="U973" i="2"/>
  <c r="AR974" i="2"/>
  <c r="U981" i="2"/>
  <c r="AR982" i="2"/>
  <c r="AM983" i="2"/>
  <c r="AI987" i="2"/>
  <c r="U989" i="2"/>
  <c r="AR990" i="2"/>
  <c r="AM991" i="2"/>
  <c r="AI995" i="2"/>
  <c r="U997" i="2"/>
  <c r="AR998" i="2"/>
  <c r="AI1003" i="2"/>
  <c r="U1005" i="2"/>
  <c r="AR1006" i="2"/>
  <c r="Y951" i="2"/>
  <c r="M952" i="2"/>
  <c r="AN952" i="2"/>
  <c r="X952" i="2"/>
  <c r="AT952" i="2"/>
  <c r="AW952" i="2"/>
  <c r="V952" i="2"/>
  <c r="AE952" i="2"/>
  <c r="AJ952" i="2"/>
  <c r="T952" i="2"/>
  <c r="AP952" i="2"/>
  <c r="AO952" i="2"/>
  <c r="Q952" i="2"/>
  <c r="Z952" i="2"/>
  <c r="AV952" i="2"/>
  <c r="AG955" i="2"/>
  <c r="AU957" i="2"/>
  <c r="AP958" i="2"/>
  <c r="AK959" i="2"/>
  <c r="AB960" i="2"/>
  <c r="W961" i="2"/>
  <c r="AS963" i="2"/>
  <c r="AE965" i="2"/>
  <c r="AF968" i="2"/>
  <c r="AV968" i="2"/>
  <c r="AF976" i="2"/>
  <c r="AV976" i="2"/>
  <c r="AA977" i="2"/>
  <c r="AQ977" i="2"/>
  <c r="Q979" i="2"/>
  <c r="AG979" i="2"/>
  <c r="AW979" i="2"/>
  <c r="AF984" i="2"/>
  <c r="AV984" i="2"/>
  <c r="AA985" i="2"/>
  <c r="AQ985" i="2"/>
  <c r="AF992" i="2"/>
  <c r="AV992" i="2"/>
  <c r="Y999" i="2"/>
  <c r="AO999" i="2"/>
  <c r="AF1000" i="2"/>
  <c r="AV1000" i="2"/>
  <c r="Y1007" i="2"/>
  <c r="AO1007" i="2"/>
  <c r="AF1008" i="2"/>
  <c r="AV1008" i="2"/>
  <c r="Q1011" i="2"/>
  <c r="AG1011" i="2"/>
  <c r="AW1011" i="2"/>
  <c r="Y1014" i="2"/>
  <c r="AU1014" i="2"/>
  <c r="AD1019" i="2"/>
  <c r="AT1019" i="2"/>
  <c r="AF1021" i="2"/>
  <c r="AV1021" i="2"/>
  <c r="AD1027" i="2"/>
  <c r="AT1027" i="2"/>
  <c r="AF1029" i="2"/>
  <c r="AV1029" i="2"/>
  <c r="AD1035" i="2"/>
  <c r="AT1035" i="2"/>
  <c r="AF1037" i="2"/>
  <c r="AV1037" i="2"/>
  <c r="AD1043" i="2"/>
  <c r="AT1043" i="2"/>
  <c r="AF1045" i="2"/>
  <c r="AV1045" i="2"/>
  <c r="AD1051" i="2"/>
  <c r="AT1051" i="2"/>
  <c r="AF1053" i="2"/>
  <c r="AV1053" i="2"/>
  <c r="AD1059" i="2"/>
  <c r="AT1059" i="2"/>
  <c r="AF1061" i="2"/>
  <c r="AV1061" i="2"/>
  <c r="AD1067" i="2"/>
  <c r="AT1067" i="2"/>
  <c r="AF1069" i="2"/>
  <c r="AV1069" i="2"/>
  <c r="AV1075" i="2"/>
  <c r="AF1018" i="2"/>
  <c r="AV1018" i="2"/>
  <c r="AA1019" i="2"/>
  <c r="AQ1019" i="2"/>
  <c r="Q1021" i="2"/>
  <c r="AG1021" i="2"/>
  <c r="AW1021" i="2"/>
  <c r="AF1026" i="2"/>
  <c r="AV1026" i="2"/>
  <c r="AA1027" i="2"/>
  <c r="AQ1027" i="2"/>
  <c r="Q1029" i="2"/>
  <c r="AG1029" i="2"/>
  <c r="AW1029" i="2"/>
  <c r="AF1034" i="2"/>
  <c r="AV1034" i="2"/>
  <c r="AA1035" i="2"/>
  <c r="AQ1035" i="2"/>
  <c r="Q1037" i="2"/>
  <c r="AG1037" i="2"/>
  <c r="AW1037" i="2"/>
  <c r="AF1042" i="2"/>
  <c r="AV1042" i="2"/>
  <c r="AA1043" i="2"/>
  <c r="AQ1043" i="2"/>
  <c r="Q1045" i="2"/>
  <c r="AG1045" i="2"/>
  <c r="AW1045" i="2"/>
  <c r="AF1050" i="2"/>
  <c r="AV1050" i="2"/>
  <c r="AA1051" i="2"/>
  <c r="AQ1051" i="2"/>
  <c r="Q1053" i="2"/>
  <c r="AG1053" i="2"/>
  <c r="AW1053" i="2"/>
  <c r="AF1058" i="2"/>
  <c r="AV1058" i="2"/>
  <c r="AA1059" i="2"/>
  <c r="AQ1059" i="2"/>
  <c r="Q1061" i="2"/>
  <c r="AG1061" i="2"/>
  <c r="AW1061" i="2"/>
  <c r="AF1066" i="2"/>
  <c r="AV1066" i="2"/>
  <c r="AA1067" i="2"/>
  <c r="AQ1067" i="2"/>
  <c r="Q1069" i="2"/>
  <c r="AG1069" i="2"/>
  <c r="AW1069" i="2"/>
  <c r="AV1073" i="2"/>
  <c r="AO1074" i="2"/>
  <c r="AH1075" i="2"/>
  <c r="Y1080" i="2"/>
  <c r="AC1018" i="2"/>
  <c r="AS1018" i="2"/>
  <c r="T1019" i="2"/>
  <c r="AJ1019" i="2"/>
  <c r="Z1021" i="2"/>
  <c r="AP1021" i="2"/>
  <c r="AC1026" i="2"/>
  <c r="AS1026" i="2"/>
  <c r="T1027" i="2"/>
  <c r="AJ1027" i="2"/>
  <c r="Z1029" i="2"/>
  <c r="AP1029" i="2"/>
  <c r="AC1034" i="2"/>
  <c r="AS1034" i="2"/>
  <c r="T1035" i="2"/>
  <c r="AJ1035" i="2"/>
  <c r="Z1037" i="2"/>
  <c r="AP1037" i="2"/>
  <c r="AC1042" i="2"/>
  <c r="AS1042" i="2"/>
  <c r="T1043" i="2"/>
  <c r="AJ1043" i="2"/>
  <c r="Z1045" i="2"/>
  <c r="AP1045" i="2"/>
  <c r="AC1050" i="2"/>
  <c r="AS1050" i="2"/>
  <c r="T1051" i="2"/>
  <c r="AJ1051" i="2"/>
  <c r="Z1053" i="2"/>
  <c r="AP1053" i="2"/>
  <c r="AC1058" i="2"/>
  <c r="AS1058" i="2"/>
  <c r="T1059" i="2"/>
  <c r="AJ1059" i="2"/>
  <c r="Z1061" i="2"/>
  <c r="AP1061" i="2"/>
  <c r="AC1066" i="2"/>
  <c r="AS1066" i="2"/>
  <c r="T1067" i="2"/>
  <c r="AJ1067" i="2"/>
  <c r="Z1069" i="2"/>
  <c r="AP1069" i="2"/>
  <c r="AH1073" i="2"/>
  <c r="AA1074" i="2"/>
  <c r="T1075" i="2"/>
  <c r="S1013" i="2"/>
  <c r="AI1013" i="2"/>
  <c r="AD1014" i="2"/>
  <c r="AT1014" i="2"/>
  <c r="Y1015" i="2"/>
  <c r="AO1015" i="2"/>
  <c r="AF1016" i="2"/>
  <c r="AV1016" i="2"/>
  <c r="AA1017" i="2"/>
  <c r="AQ1017" i="2"/>
  <c r="V1018" i="2"/>
  <c r="AL1018" i="2"/>
  <c r="Q1019" i="2"/>
  <c r="AG1019" i="2"/>
  <c r="AW1019" i="2"/>
  <c r="S1021" i="2"/>
  <c r="AI1021" i="2"/>
  <c r="AD1022" i="2"/>
  <c r="AT1022" i="2"/>
  <c r="AF1024" i="2"/>
  <c r="AV1024" i="2"/>
  <c r="AA1025" i="2"/>
  <c r="AQ1025" i="2"/>
  <c r="V1026" i="2"/>
  <c r="AL1026" i="2"/>
  <c r="Q1027" i="2"/>
  <c r="AG1027" i="2"/>
  <c r="AW1027" i="2"/>
  <c r="S1029" i="2"/>
  <c r="AI1029" i="2"/>
  <c r="AD1030" i="2"/>
  <c r="AT1030" i="2"/>
  <c r="AF1032" i="2"/>
  <c r="AV1032" i="2"/>
  <c r="AA1033" i="2"/>
  <c r="AQ1033" i="2"/>
  <c r="V1034" i="2"/>
  <c r="AL1034" i="2"/>
  <c r="Q1035" i="2"/>
  <c r="AG1035" i="2"/>
  <c r="AW1035" i="2"/>
  <c r="S1037" i="2"/>
  <c r="AI1037" i="2"/>
  <c r="AD1038" i="2"/>
  <c r="AT1038" i="2"/>
  <c r="AF1040" i="2"/>
  <c r="AV1040" i="2"/>
  <c r="AA1041" i="2"/>
  <c r="AQ1041" i="2"/>
  <c r="V1042" i="2"/>
  <c r="AL1042" i="2"/>
  <c r="Q1043" i="2"/>
  <c r="AG1043" i="2"/>
  <c r="AW1043" i="2"/>
  <c r="S1045" i="2"/>
  <c r="AI1045" i="2"/>
  <c r="AD1046" i="2"/>
  <c r="AT1046" i="2"/>
  <c r="AF1048" i="2"/>
  <c r="AV1048" i="2"/>
  <c r="AA1049" i="2"/>
  <c r="AQ1049" i="2"/>
  <c r="V1050" i="2"/>
  <c r="AL1050" i="2"/>
  <c r="Q1051" i="2"/>
  <c r="AG1051" i="2"/>
  <c r="AW1051" i="2"/>
  <c r="S1053" i="2"/>
  <c r="AI1053" i="2"/>
  <c r="AD1054" i="2"/>
  <c r="AT1054" i="2"/>
  <c r="AF1056" i="2"/>
  <c r="AV1056" i="2"/>
  <c r="AA1057" i="2"/>
  <c r="AQ1057" i="2"/>
  <c r="V1058" i="2"/>
  <c r="AL1058" i="2"/>
  <c r="Q1059" i="2"/>
  <c r="AG1059" i="2"/>
  <c r="AW1059" i="2"/>
  <c r="S1061" i="2"/>
  <c r="AI1061" i="2"/>
  <c r="AD1062" i="2"/>
  <c r="AT1062" i="2"/>
  <c r="AF1064" i="2"/>
  <c r="AV1064" i="2"/>
  <c r="AA1065" i="2"/>
  <c r="AQ1065" i="2"/>
  <c r="V1066" i="2"/>
  <c r="AL1066" i="2"/>
  <c r="Q1067" i="2"/>
  <c r="AG1067" i="2"/>
  <c r="AW1067" i="2"/>
  <c r="S1069" i="2"/>
  <c r="AI1069" i="2"/>
  <c r="AD1070" i="2"/>
  <c r="AT1070" i="2"/>
  <c r="AF1072" i="2"/>
  <c r="T1073" i="2"/>
  <c r="AS1074" i="2"/>
  <c r="AL1075" i="2"/>
  <c r="AG1080" i="2"/>
  <c r="AE1073" i="2"/>
  <c r="AU1073" i="2"/>
  <c r="Z1074" i="2"/>
  <c r="AP1074" i="2"/>
  <c r="U1075" i="2"/>
  <c r="AK1075" i="2"/>
  <c r="T1080" i="2"/>
  <c r="AJ1080" i="2"/>
  <c r="Z1082" i="2"/>
  <c r="AP1082" i="2"/>
  <c r="AC1087" i="2"/>
  <c r="AS1087" i="2"/>
  <c r="T1088" i="2"/>
  <c r="AJ1088" i="2"/>
  <c r="Z1090" i="2"/>
  <c r="AP1090" i="2"/>
  <c r="AC1095" i="2"/>
  <c r="AS1095" i="2"/>
  <c r="T1096" i="2"/>
  <c r="AJ1096" i="2"/>
  <c r="Z1098" i="2"/>
  <c r="AP1098" i="2"/>
  <c r="AQ1100" i="2"/>
  <c r="Z1105" i="2"/>
  <c r="AW1080" i="2"/>
  <c r="S1082" i="2"/>
  <c r="AI1082" i="2"/>
  <c r="AF1085" i="2"/>
  <c r="AV1085" i="2"/>
  <c r="V1087" i="2"/>
  <c r="AL1087" i="2"/>
  <c r="Q1088" i="2"/>
  <c r="AG1088" i="2"/>
  <c r="AW1088" i="2"/>
  <c r="S1090" i="2"/>
  <c r="AI1090" i="2"/>
  <c r="AF1093" i="2"/>
  <c r="AV1093" i="2"/>
  <c r="V1095" i="2"/>
  <c r="AL1095" i="2"/>
  <c r="Q1096" i="2"/>
  <c r="AG1096" i="2"/>
  <c r="AW1096" i="2"/>
  <c r="S1098" i="2"/>
  <c r="AI1098" i="2"/>
  <c r="AD1100" i="2"/>
  <c r="AC1105" i="2"/>
  <c r="AC1073" i="2"/>
  <c r="AS1073" i="2"/>
  <c r="T1074" i="2"/>
  <c r="AJ1074" i="2"/>
  <c r="AE1075" i="2"/>
  <c r="AU1075" i="2"/>
  <c r="W1079" i="2"/>
  <c r="AM1079" i="2"/>
  <c r="R1080" i="2"/>
  <c r="AH1080" i="2"/>
  <c r="T1082" i="2"/>
  <c r="AJ1082" i="2"/>
  <c r="U1085" i="2"/>
  <c r="AK1085" i="2"/>
  <c r="W1087" i="2"/>
  <c r="AM1087" i="2"/>
  <c r="R1088" i="2"/>
  <c r="AH1088" i="2"/>
  <c r="T1090" i="2"/>
  <c r="AJ1090" i="2"/>
  <c r="U1093" i="2"/>
  <c r="AK1093" i="2"/>
  <c r="W1095" i="2"/>
  <c r="AM1095" i="2"/>
  <c r="R1096" i="2"/>
  <c r="AH1096" i="2"/>
  <c r="T1098" i="2"/>
  <c r="AJ1098" i="2"/>
  <c r="AE1100" i="2"/>
  <c r="AD1105" i="2"/>
  <c r="AJ1106" i="2"/>
  <c r="T1079" i="2"/>
  <c r="AJ1079" i="2"/>
  <c r="AE1080" i="2"/>
  <c r="AU1080" i="2"/>
  <c r="U1082" i="2"/>
  <c r="AK1082" i="2"/>
  <c r="R1085" i="2"/>
  <c r="AH1085" i="2"/>
  <c r="T1087" i="2"/>
  <c r="AJ1087" i="2"/>
  <c r="AE1088" i="2"/>
  <c r="AU1088" i="2"/>
  <c r="U1090" i="2"/>
  <c r="AK1090" i="2"/>
  <c r="R1093" i="2"/>
  <c r="AH1093" i="2"/>
  <c r="T1095" i="2"/>
  <c r="AJ1095" i="2"/>
  <c r="AE1096" i="2"/>
  <c r="AU1096" i="2"/>
  <c r="U1098" i="2"/>
  <c r="AK1098" i="2"/>
  <c r="Z1100" i="2"/>
  <c r="Y1105" i="2"/>
  <c r="X1106" i="2"/>
  <c r="T1100" i="2"/>
  <c r="AJ1100" i="2"/>
  <c r="W1105" i="2"/>
  <c r="AM1105" i="2"/>
  <c r="R1106" i="2"/>
  <c r="AH1106" i="2"/>
  <c r="T1108" i="2"/>
  <c r="AJ1108" i="2"/>
  <c r="U1111" i="2"/>
  <c r="AK1111" i="2"/>
  <c r="W1113" i="2"/>
  <c r="AM1113" i="2"/>
  <c r="T1116" i="2"/>
  <c r="AJ1116" i="2"/>
  <c r="U1119" i="2"/>
  <c r="AK1119" i="2"/>
  <c r="W1121" i="2"/>
  <c r="AM1121" i="2"/>
  <c r="T1124" i="2"/>
  <c r="AJ1124" i="2"/>
  <c r="U1127" i="2"/>
  <c r="AK1127" i="2"/>
  <c r="AV1131" i="2"/>
  <c r="U1100" i="2"/>
  <c r="AK1100" i="2"/>
  <c r="T1105" i="2"/>
  <c r="AJ1105" i="2"/>
  <c r="AE1106" i="2"/>
  <c r="AU1106" i="2"/>
  <c r="U1108" i="2"/>
  <c r="AK1108" i="2"/>
  <c r="R1111" i="2"/>
  <c r="AH1111" i="2"/>
  <c r="T1113" i="2"/>
  <c r="AJ1113" i="2"/>
  <c r="U1116" i="2"/>
  <c r="AK1116" i="2"/>
  <c r="R1119" i="2"/>
  <c r="AH1119" i="2"/>
  <c r="T1121" i="2"/>
  <c r="AJ1121" i="2"/>
  <c r="U1124" i="2"/>
  <c r="AK1124" i="2"/>
  <c r="R1127" i="2"/>
  <c r="AH1127" i="2"/>
  <c r="AX1127" i="2"/>
  <c r="S1131" i="2"/>
  <c r="V1108" i="2"/>
  <c r="AL1108" i="2"/>
  <c r="S1111" i="2"/>
  <c r="AI1111" i="2"/>
  <c r="Y1113" i="2"/>
  <c r="AO1113" i="2"/>
  <c r="AF1114" i="2"/>
  <c r="AV1114" i="2"/>
  <c r="V1116" i="2"/>
  <c r="AL1116" i="2"/>
  <c r="S1119" i="2"/>
  <c r="AI1119" i="2"/>
  <c r="Y1121" i="2"/>
  <c r="AO1121" i="2"/>
  <c r="AF1122" i="2"/>
  <c r="AV1122" i="2"/>
  <c r="V1124" i="2"/>
  <c r="AL1124" i="2"/>
  <c r="S1127" i="2"/>
  <c r="AI1127" i="2"/>
  <c r="AP1128" i="2"/>
  <c r="T1131" i="2"/>
  <c r="U1106" i="2"/>
  <c r="AK1106" i="2"/>
  <c r="W1108" i="2"/>
  <c r="AM1108" i="2"/>
  <c r="R1109" i="2"/>
  <c r="AH1109" i="2"/>
  <c r="T1111" i="2"/>
  <c r="AJ1111" i="2"/>
  <c r="AE1112" i="2"/>
  <c r="AU1112" i="2"/>
  <c r="Z1113" i="2"/>
  <c r="AP1113" i="2"/>
  <c r="U1114" i="2"/>
  <c r="AK1114" i="2"/>
  <c r="W1116" i="2"/>
  <c r="AM1116" i="2"/>
  <c r="AH1117" i="2"/>
  <c r="T1119" i="2"/>
  <c r="AJ1119" i="2"/>
  <c r="AE1120" i="2"/>
  <c r="AU1120" i="2"/>
  <c r="Z1121" i="2"/>
  <c r="AP1121" i="2"/>
  <c r="U1122" i="2"/>
  <c r="AK1122" i="2"/>
  <c r="W1124" i="2"/>
  <c r="AM1124" i="2"/>
  <c r="AH1125" i="2"/>
  <c r="T1127" i="2"/>
  <c r="AJ1127" i="2"/>
  <c r="AQ1128" i="2"/>
  <c r="AE1131" i="2"/>
  <c r="AF1134" i="2"/>
  <c r="AG1128" i="2"/>
  <c r="AW1128" i="2"/>
  <c r="AD1131" i="2"/>
  <c r="AT1131" i="2"/>
  <c r="AF1133" i="2"/>
  <c r="AV1133" i="2"/>
  <c r="AA1134" i="2"/>
  <c r="AQ1134" i="2"/>
  <c r="Q1136" i="2"/>
  <c r="AG1136" i="2"/>
  <c r="AW1136" i="2"/>
  <c r="AF1141" i="2"/>
  <c r="AV1141" i="2"/>
  <c r="Q1144" i="2"/>
  <c r="AG1144" i="2"/>
  <c r="AW1144" i="2"/>
  <c r="AF1149" i="2"/>
  <c r="AV1149" i="2"/>
  <c r="Q1152" i="2"/>
  <c r="AG1152" i="2"/>
  <c r="AW1152" i="2"/>
  <c r="AC1157" i="2"/>
  <c r="X1162" i="2"/>
  <c r="AD1136" i="2"/>
  <c r="AT1136" i="2"/>
  <c r="AF1138" i="2"/>
  <c r="AV1138" i="2"/>
  <c r="Q1141" i="2"/>
  <c r="AG1141" i="2"/>
  <c r="AW1141" i="2"/>
  <c r="AD1144" i="2"/>
  <c r="AT1144" i="2"/>
  <c r="AF1146" i="2"/>
  <c r="AV1146" i="2"/>
  <c r="Q1149" i="2"/>
  <c r="AG1149" i="2"/>
  <c r="AW1149" i="2"/>
  <c r="AD1152" i="2"/>
  <c r="AT1152" i="2"/>
  <c r="AF1154" i="2"/>
  <c r="AV1154" i="2"/>
  <c r="X1157" i="2"/>
  <c r="AQ1162" i="2"/>
  <c r="AT1133" i="2"/>
  <c r="Y1134" i="2"/>
  <c r="AO1134" i="2"/>
  <c r="AF1135" i="2"/>
  <c r="AV1135" i="2"/>
  <c r="AA1136" i="2"/>
  <c r="AQ1136" i="2"/>
  <c r="Q1138" i="2"/>
  <c r="AG1138" i="2"/>
  <c r="AW1138" i="2"/>
  <c r="AD1141" i="2"/>
  <c r="AT1141" i="2"/>
  <c r="AF1143" i="2"/>
  <c r="AV1143" i="2"/>
  <c r="AA1144" i="2"/>
  <c r="AQ1144" i="2"/>
  <c r="Q1146" i="2"/>
  <c r="AG1146" i="2"/>
  <c r="AW1146" i="2"/>
  <c r="AD1149" i="2"/>
  <c r="AT1149" i="2"/>
  <c r="AF1151" i="2"/>
  <c r="AV1151" i="2"/>
  <c r="AA1152" i="2"/>
  <c r="AQ1152" i="2"/>
  <c r="Q1154" i="2"/>
  <c r="AG1154" i="2"/>
  <c r="AW1154" i="2"/>
  <c r="Q1157" i="2"/>
  <c r="AW1157" i="2"/>
  <c r="T1128" i="2"/>
  <c r="AJ1128" i="2"/>
  <c r="U1131" i="2"/>
  <c r="AK1131" i="2"/>
  <c r="W1133" i="2"/>
  <c r="AM1133" i="2"/>
  <c r="R1134" i="2"/>
  <c r="AH1134" i="2"/>
  <c r="AC1135" i="2"/>
  <c r="AS1135" i="2"/>
  <c r="T1136" i="2"/>
  <c r="AJ1136" i="2"/>
  <c r="Z1138" i="2"/>
  <c r="AP1138" i="2"/>
  <c r="W1141" i="2"/>
  <c r="AM1141" i="2"/>
  <c r="AC1143" i="2"/>
  <c r="AS1143" i="2"/>
  <c r="T1144" i="2"/>
  <c r="AJ1144" i="2"/>
  <c r="Z1146" i="2"/>
  <c r="AP1146" i="2"/>
  <c r="W1149" i="2"/>
  <c r="AM1149" i="2"/>
  <c r="AC1151" i="2"/>
  <c r="AS1151" i="2"/>
  <c r="T1152" i="2"/>
  <c r="AJ1152" i="2"/>
  <c r="Z1154" i="2"/>
  <c r="AP1154" i="2"/>
  <c r="AR1157" i="2"/>
  <c r="AV1161" i="2"/>
  <c r="V1157" i="2"/>
  <c r="AL1157" i="2"/>
  <c r="AD1161" i="2"/>
  <c r="AT1161" i="2"/>
  <c r="Y1162" i="2"/>
  <c r="AO1162" i="2"/>
  <c r="AF1163" i="2"/>
  <c r="AV1163" i="2"/>
  <c r="AD1169" i="2"/>
  <c r="AT1169" i="2"/>
  <c r="AF1171" i="2"/>
  <c r="AV1171" i="2"/>
  <c r="AD1177" i="2"/>
  <c r="AT1177" i="2"/>
  <c r="AF1179" i="2"/>
  <c r="AV1179" i="2"/>
  <c r="AI1184" i="2"/>
  <c r="AR1188" i="2"/>
  <c r="S1157" i="2"/>
  <c r="AI1157" i="2"/>
  <c r="AD1158" i="2"/>
  <c r="AT1158" i="2"/>
  <c r="AF1160" i="2"/>
  <c r="AV1160" i="2"/>
  <c r="AA1161" i="2"/>
  <c r="AQ1161" i="2"/>
  <c r="V1162" i="2"/>
  <c r="AL1162" i="2"/>
  <c r="Q1163" i="2"/>
  <c r="AG1163" i="2"/>
  <c r="AW1163" i="2"/>
  <c r="AF1168" i="2"/>
  <c r="AV1168" i="2"/>
  <c r="AA1169" i="2"/>
  <c r="AQ1169" i="2"/>
  <c r="V1170" i="2"/>
  <c r="AL1170" i="2"/>
  <c r="Q1171" i="2"/>
  <c r="AG1171" i="2"/>
  <c r="AW1171" i="2"/>
  <c r="AF1176" i="2"/>
  <c r="AV1176" i="2"/>
  <c r="AA1177" i="2"/>
  <c r="AQ1177" i="2"/>
  <c r="V1178" i="2"/>
  <c r="AL1178" i="2"/>
  <c r="Q1179" i="2"/>
  <c r="AG1179" i="2"/>
  <c r="AW1179" i="2"/>
  <c r="AC1183" i="2"/>
  <c r="AX1183" i="2"/>
  <c r="AJ1184" i="2"/>
  <c r="AL1185" i="2"/>
  <c r="AS1188" i="2"/>
  <c r="AC1168" i="2"/>
  <c r="AS1168" i="2"/>
  <c r="T1169" i="2"/>
  <c r="AJ1169" i="2"/>
  <c r="AE1170" i="2"/>
  <c r="AU1170" i="2"/>
  <c r="Z1171" i="2"/>
  <c r="AP1171" i="2"/>
  <c r="AC1176" i="2"/>
  <c r="AS1176" i="2"/>
  <c r="T1177" i="2"/>
  <c r="AJ1177" i="2"/>
  <c r="AE1178" i="2"/>
  <c r="AU1178" i="2"/>
  <c r="Z1179" i="2"/>
  <c r="AP1179" i="2"/>
  <c r="T1183" i="2"/>
  <c r="AO1183" i="2"/>
  <c r="U1184" i="2"/>
  <c r="AQ1184" i="2"/>
  <c r="W1185" i="2"/>
  <c r="AR1185" i="2"/>
  <c r="X1188" i="2"/>
  <c r="AJ1162" i="2"/>
  <c r="AE1163" i="2"/>
  <c r="AU1163" i="2"/>
  <c r="R1168" i="2"/>
  <c r="AH1168" i="2"/>
  <c r="AX1168" i="2"/>
  <c r="AC1169" i="2"/>
  <c r="AS1169" i="2"/>
  <c r="T1170" i="2"/>
  <c r="AJ1170" i="2"/>
  <c r="AE1171" i="2"/>
  <c r="AU1171" i="2"/>
  <c r="R1176" i="2"/>
  <c r="AH1176" i="2"/>
  <c r="AC1177" i="2"/>
  <c r="AS1177" i="2"/>
  <c r="T1178" i="2"/>
  <c r="AJ1178" i="2"/>
  <c r="AE1179" i="2"/>
  <c r="AU1179" i="2"/>
  <c r="U1183" i="2"/>
  <c r="AP1183" i="2"/>
  <c r="W1184" i="2"/>
  <c r="AR1184" i="2"/>
  <c r="AD1185" i="2"/>
  <c r="AG1186" i="2"/>
  <c r="AG1188" i="2"/>
  <c r="S1188" i="2"/>
  <c r="AI1188" i="2"/>
  <c r="AA1206" i="2"/>
  <c r="AM1206" i="2"/>
  <c r="AW1201" i="2"/>
  <c r="AF1206" i="2"/>
  <c r="W1183" i="2"/>
  <c r="AM1183" i="2"/>
  <c r="R1184" i="2"/>
  <c r="AH1184" i="2"/>
  <c r="AC1185" i="2"/>
  <c r="AS1185" i="2"/>
  <c r="T1186" i="2"/>
  <c r="AJ1186" i="2"/>
  <c r="Z1188" i="2"/>
  <c r="AP1188" i="2"/>
  <c r="AI1201" i="2"/>
  <c r="AF1210" i="2"/>
  <c r="AC1201" i="2"/>
  <c r="AS1201" i="2"/>
  <c r="AC1206" i="2"/>
  <c r="W1210" i="2"/>
  <c r="AR1210" i="2"/>
  <c r="AF1199" i="2"/>
  <c r="AV1199" i="2"/>
  <c r="V1201" i="2"/>
  <c r="AL1201" i="2"/>
  <c r="AK1202" i="2"/>
  <c r="AJ1206" i="2"/>
  <c r="AL1207" i="2"/>
  <c r="AI1210" i="2"/>
  <c r="V1202" i="2"/>
  <c r="AL1202" i="2"/>
  <c r="AD1206" i="2"/>
  <c r="AT1206" i="2"/>
  <c r="Y1207" i="2"/>
  <c r="AO1207" i="2"/>
  <c r="AF1208" i="2"/>
  <c r="AV1208" i="2"/>
  <c r="V1210" i="2"/>
  <c r="AL1210" i="2"/>
  <c r="L1293" i="2"/>
  <c r="Z1293" i="2" s="1"/>
  <c r="C36" i="2"/>
  <c r="I35" i="2"/>
  <c r="I42" i="2"/>
  <c r="I41" i="2"/>
  <c r="I40" i="2"/>
  <c r="F37" i="2"/>
  <c r="C37" i="2"/>
  <c r="F36" i="2"/>
  <c r="R618" i="2"/>
  <c r="S618" i="2" s="1"/>
  <c r="R626" i="2"/>
  <c r="S626" i="2" s="1"/>
  <c r="R634" i="2"/>
  <c r="S634" i="2" s="1"/>
  <c r="R642" i="2"/>
  <c r="S642" i="2" s="1"/>
  <c r="R650" i="2"/>
  <c r="S650" i="2" s="1"/>
  <c r="R658" i="2"/>
  <c r="S658" i="2" s="1"/>
  <c r="R666" i="2"/>
  <c r="S666" i="2" s="1"/>
  <c r="R674" i="2"/>
  <c r="S674" i="2" s="1"/>
  <c r="AQ37" i="2"/>
  <c r="AA37" i="2"/>
  <c r="AA1295" i="2" s="1"/>
  <c r="R37" i="2"/>
  <c r="R1295" i="2" s="1"/>
  <c r="T37" i="2"/>
  <c r="T1295" i="2" s="1"/>
  <c r="AU37" i="2"/>
  <c r="AE37" i="2"/>
  <c r="AE1295" i="2" s="1"/>
  <c r="S37" i="2"/>
  <c r="S1295" i="2" s="1"/>
  <c r="AV37" i="2"/>
  <c r="AN37" i="2"/>
  <c r="AN1295" i="2" s="1"/>
  <c r="AF37" i="2"/>
  <c r="AF1295" i="2" s="1"/>
  <c r="X37" i="2"/>
  <c r="X1295" i="2" s="1"/>
  <c r="AY37" i="2"/>
  <c r="AI37" i="2"/>
  <c r="AI1295" i="2" s="1"/>
  <c r="AZ37" i="2"/>
  <c r="AR37" i="2"/>
  <c r="AJ37" i="2"/>
  <c r="AJ1295" i="2" s="1"/>
  <c r="AB37" i="2"/>
  <c r="AB1295" i="2" s="1"/>
  <c r="AM37" i="2"/>
  <c r="AM1295" i="2" s="1"/>
  <c r="W37" i="2"/>
  <c r="W1295" i="2" s="1"/>
  <c r="U968" i="2"/>
  <c r="AB922" i="2"/>
  <c r="AR922" i="2"/>
  <c r="AB930" i="2"/>
  <c r="AR930" i="2"/>
  <c r="AB938" i="2"/>
  <c r="AR938" i="2"/>
  <c r="AB946" i="2"/>
  <c r="AR946" i="2"/>
  <c r="AV953" i="2"/>
  <c r="W968" i="2"/>
  <c r="AV969" i="2"/>
  <c r="T999" i="2"/>
  <c r="AB851" i="2"/>
  <c r="AR851" i="2"/>
  <c r="AB859" i="2"/>
  <c r="AR859" i="2"/>
  <c r="AB867" i="2"/>
  <c r="AR867" i="2"/>
  <c r="AB875" i="2"/>
  <c r="AR875" i="2"/>
  <c r="AB883" i="2"/>
  <c r="AR883" i="2"/>
  <c r="AB891" i="2"/>
  <c r="AR891" i="2"/>
  <c r="AB899" i="2"/>
  <c r="AR899" i="2"/>
  <c r="AB907" i="2"/>
  <c r="AR907" i="2"/>
  <c r="AB915" i="2"/>
  <c r="AR915" i="2"/>
  <c r="U922" i="2"/>
  <c r="AK922" i="2"/>
  <c r="AB923" i="2"/>
  <c r="AR923" i="2"/>
  <c r="U930" i="2"/>
  <c r="AK930" i="2"/>
  <c r="AB931" i="2"/>
  <c r="AR931" i="2"/>
  <c r="U938" i="2"/>
  <c r="AK938" i="2"/>
  <c r="AB939" i="2"/>
  <c r="AR939" i="2"/>
  <c r="U946" i="2"/>
  <c r="AK946" i="2"/>
  <c r="AB947" i="2"/>
  <c r="AR947" i="2"/>
  <c r="AH953" i="2"/>
  <c r="AV967" i="2"/>
  <c r="AO968" i="2"/>
  <c r="AH969" i="2"/>
  <c r="Z975" i="2"/>
  <c r="AP975" i="2"/>
  <c r="U976" i="2"/>
  <c r="AK976" i="2"/>
  <c r="AB977" i="2"/>
  <c r="AR977" i="2"/>
  <c r="R979" i="2"/>
  <c r="AH979" i="2"/>
  <c r="AX979" i="2"/>
  <c r="U984" i="2"/>
  <c r="AK984" i="2"/>
  <c r="AB985" i="2"/>
  <c r="AR985" i="2"/>
  <c r="U992" i="2"/>
  <c r="AK992" i="2"/>
  <c r="AB993" i="2"/>
  <c r="AR993" i="2"/>
  <c r="Z999" i="2"/>
  <c r="AP999" i="2"/>
  <c r="U1000" i="2"/>
  <c r="AK1000" i="2"/>
  <c r="AB1001" i="2"/>
  <c r="AR1001" i="2"/>
  <c r="Z1007" i="2"/>
  <c r="AP1007" i="2"/>
  <c r="U1008" i="2"/>
  <c r="AK1008" i="2"/>
  <c r="AB1009" i="2"/>
  <c r="AR1009" i="2"/>
  <c r="R1011" i="2"/>
  <c r="AH1011" i="2"/>
  <c r="AF1014" i="2"/>
  <c r="U953" i="2"/>
  <c r="AK953" i="2"/>
  <c r="AB954" i="2"/>
  <c r="AR954" i="2"/>
  <c r="AB962" i="2"/>
  <c r="AR962" i="2"/>
  <c r="AE967" i="2"/>
  <c r="AU967" i="2"/>
  <c r="Z968" i="2"/>
  <c r="AP968" i="2"/>
  <c r="U969" i="2"/>
  <c r="AK969" i="2"/>
  <c r="AB970" i="2"/>
  <c r="AR970" i="2"/>
  <c r="AE975" i="2"/>
  <c r="AU975" i="2"/>
  <c r="Z976" i="2"/>
  <c r="AP976" i="2"/>
  <c r="U977" i="2"/>
  <c r="AK977" i="2"/>
  <c r="AB978" i="2"/>
  <c r="AR978" i="2"/>
  <c r="W979" i="2"/>
  <c r="AM979" i="2"/>
  <c r="Z984" i="2"/>
  <c r="AP984" i="2"/>
  <c r="U985" i="2"/>
  <c r="AK985" i="2"/>
  <c r="AB986" i="2"/>
  <c r="AR986" i="2"/>
  <c r="Z992" i="2"/>
  <c r="AP992" i="2"/>
  <c r="U993" i="2"/>
  <c r="AK993" i="2"/>
  <c r="AB994" i="2"/>
  <c r="AR994" i="2"/>
  <c r="AE999" i="2"/>
  <c r="AU999" i="2"/>
  <c r="Z1000" i="2"/>
  <c r="AP1000" i="2"/>
  <c r="U1001" i="2"/>
  <c r="AK1001" i="2"/>
  <c r="AB1002" i="2"/>
  <c r="AR1002" i="2"/>
  <c r="AE1007" i="2"/>
  <c r="AU1007" i="2"/>
  <c r="Z1008" i="2"/>
  <c r="AP1008" i="2"/>
  <c r="U1009" i="2"/>
  <c r="AK1009" i="2"/>
  <c r="AB1010" i="2"/>
  <c r="AR1010" i="2"/>
  <c r="W1011" i="2"/>
  <c r="AM1011" i="2"/>
  <c r="AF1013" i="2"/>
  <c r="AG1014" i="2"/>
  <c r="AE953" i="2"/>
  <c r="AU953" i="2"/>
  <c r="Z954" i="2"/>
  <c r="AP954" i="2"/>
  <c r="AB956" i="2"/>
  <c r="AR956" i="2"/>
  <c r="Z962" i="2"/>
  <c r="AP962" i="2"/>
  <c r="AB964" i="2"/>
  <c r="AR964" i="2"/>
  <c r="AC967" i="2"/>
  <c r="AS967" i="2"/>
  <c r="T968" i="2"/>
  <c r="AJ968" i="2"/>
  <c r="AE969" i="2"/>
  <c r="AU969" i="2"/>
  <c r="Z970" i="2"/>
  <c r="AP970" i="2"/>
  <c r="AB972" i="2"/>
  <c r="AR972" i="2"/>
  <c r="AC975" i="2"/>
  <c r="AS975" i="2"/>
  <c r="T976" i="2"/>
  <c r="AJ976" i="2"/>
  <c r="AE977" i="2"/>
  <c r="AU977" i="2"/>
  <c r="Z978" i="2"/>
  <c r="AP978" i="2"/>
  <c r="U979" i="2"/>
  <c r="AK979" i="2"/>
  <c r="AB980" i="2"/>
  <c r="AR980" i="2"/>
  <c r="T984" i="2"/>
  <c r="AJ984" i="2"/>
  <c r="AE985" i="2"/>
  <c r="AU985" i="2"/>
  <c r="Z986" i="2"/>
  <c r="AP986" i="2"/>
  <c r="AB988" i="2"/>
  <c r="AR988" i="2"/>
  <c r="T992" i="2"/>
  <c r="AJ992" i="2"/>
  <c r="AE993" i="2"/>
  <c r="AU993" i="2"/>
  <c r="Z994" i="2"/>
  <c r="AP994" i="2"/>
  <c r="AB996" i="2"/>
  <c r="AR996" i="2"/>
  <c r="AC999" i="2"/>
  <c r="AS999" i="2"/>
  <c r="T1000" i="2"/>
  <c r="AJ1000" i="2"/>
  <c r="AE1001" i="2"/>
  <c r="AU1001" i="2"/>
  <c r="Z1002" i="2"/>
  <c r="AP1002" i="2"/>
  <c r="AB1004" i="2"/>
  <c r="AR1004" i="2"/>
  <c r="AC1007" i="2"/>
  <c r="AS1007" i="2"/>
  <c r="T1008" i="2"/>
  <c r="AJ1008" i="2"/>
  <c r="AE1009" i="2"/>
  <c r="AU1009" i="2"/>
  <c r="Z1010" i="2"/>
  <c r="AP1010" i="2"/>
  <c r="U1011" i="2"/>
  <c r="AK1011" i="2"/>
  <c r="AB1012" i="2"/>
  <c r="AR1012" i="2"/>
  <c r="X1013" i="2"/>
  <c r="AS1013" i="2"/>
  <c r="AE1014" i="2"/>
  <c r="AF1015" i="2"/>
  <c r="W1018" i="2"/>
  <c r="AM1018" i="2"/>
  <c r="R1019" i="2"/>
  <c r="AH1019" i="2"/>
  <c r="T1021" i="2"/>
  <c r="AJ1021" i="2"/>
  <c r="AB1025" i="2"/>
  <c r="AR1025" i="2"/>
  <c r="W1026" i="2"/>
  <c r="AM1026" i="2"/>
  <c r="R1027" i="2"/>
  <c r="AH1027" i="2"/>
  <c r="AX1027" i="2"/>
  <c r="T1029" i="2"/>
  <c r="AJ1029" i="2"/>
  <c r="AB1033" i="2"/>
  <c r="AR1033" i="2"/>
  <c r="W1034" i="2"/>
  <c r="AM1034" i="2"/>
  <c r="R1035" i="2"/>
  <c r="AH1035" i="2"/>
  <c r="T1037" i="2"/>
  <c r="AJ1037" i="2"/>
  <c r="AB1041" i="2"/>
  <c r="AR1041" i="2"/>
  <c r="W1042" i="2"/>
  <c r="AM1042" i="2"/>
  <c r="R1043" i="2"/>
  <c r="AH1043" i="2"/>
  <c r="T1045" i="2"/>
  <c r="AJ1045" i="2"/>
  <c r="AB1049" i="2"/>
  <c r="AR1049" i="2"/>
  <c r="W1050" i="2"/>
  <c r="AM1050" i="2"/>
  <c r="R1051" i="2"/>
  <c r="AH1051" i="2"/>
  <c r="T1053" i="2"/>
  <c r="AJ1053" i="2"/>
  <c r="AB1057" i="2"/>
  <c r="AR1057" i="2"/>
  <c r="W1058" i="2"/>
  <c r="AM1058" i="2"/>
  <c r="R1059" i="2"/>
  <c r="AH1059" i="2"/>
  <c r="AX1059" i="2"/>
  <c r="T1061" i="2"/>
  <c r="AJ1061" i="2"/>
  <c r="AB1065" i="2"/>
  <c r="AR1065" i="2"/>
  <c r="W1066" i="2"/>
  <c r="AM1066" i="2"/>
  <c r="R1067" i="2"/>
  <c r="AH1067" i="2"/>
  <c r="T1069" i="2"/>
  <c r="AJ1069" i="2"/>
  <c r="AD1073" i="2"/>
  <c r="AE1074" i="2"/>
  <c r="X1075" i="2"/>
  <c r="AM1015" i="2"/>
  <c r="R1016" i="2"/>
  <c r="AH1016" i="2"/>
  <c r="AC1017" i="2"/>
  <c r="AS1017" i="2"/>
  <c r="T1018" i="2"/>
  <c r="AJ1018" i="2"/>
  <c r="AE1019" i="2"/>
  <c r="AU1019" i="2"/>
  <c r="U1021" i="2"/>
  <c r="AK1021" i="2"/>
  <c r="AB1022" i="2"/>
  <c r="AR1022" i="2"/>
  <c r="R1024" i="2"/>
  <c r="AH1024" i="2"/>
  <c r="AC1025" i="2"/>
  <c r="AS1025" i="2"/>
  <c r="T1026" i="2"/>
  <c r="AJ1026" i="2"/>
  <c r="AE1027" i="2"/>
  <c r="AU1027" i="2"/>
  <c r="U1029" i="2"/>
  <c r="AK1029" i="2"/>
  <c r="AB1030" i="2"/>
  <c r="AR1030" i="2"/>
  <c r="R1032" i="2"/>
  <c r="AH1032" i="2"/>
  <c r="AX1032" i="2"/>
  <c r="AC1033" i="2"/>
  <c r="AS1033" i="2"/>
  <c r="T1034" i="2"/>
  <c r="AJ1034" i="2"/>
  <c r="AE1035" i="2"/>
  <c r="AU1035" i="2"/>
  <c r="U1037" i="2"/>
  <c r="AK1037" i="2"/>
  <c r="AB1038" i="2"/>
  <c r="AR1038" i="2"/>
  <c r="R1040" i="2"/>
  <c r="AH1040" i="2"/>
  <c r="AC1041" i="2"/>
  <c r="AS1041" i="2"/>
  <c r="T1042" i="2"/>
  <c r="AJ1042" i="2"/>
  <c r="AE1043" i="2"/>
  <c r="AU1043" i="2"/>
  <c r="U1045" i="2"/>
  <c r="AK1045" i="2"/>
  <c r="AB1046" i="2"/>
  <c r="AR1046" i="2"/>
  <c r="R1048" i="2"/>
  <c r="AH1048" i="2"/>
  <c r="AC1049" i="2"/>
  <c r="AS1049" i="2"/>
  <c r="T1050" i="2"/>
  <c r="AJ1050" i="2"/>
  <c r="AE1051" i="2"/>
  <c r="AU1051" i="2"/>
  <c r="U1053" i="2"/>
  <c r="AK1053" i="2"/>
  <c r="AB1054" i="2"/>
  <c r="AR1054" i="2"/>
  <c r="R1056" i="2"/>
  <c r="AH1056" i="2"/>
  <c r="AC1057" i="2"/>
  <c r="AS1057" i="2"/>
  <c r="T1058" i="2"/>
  <c r="AJ1058" i="2"/>
  <c r="AE1059" i="2"/>
  <c r="AU1059" i="2"/>
  <c r="U1061" i="2"/>
  <c r="AK1061" i="2"/>
  <c r="AB1062" i="2"/>
  <c r="AR1062" i="2"/>
  <c r="R1064" i="2"/>
  <c r="AH1064" i="2"/>
  <c r="AX1064" i="2"/>
  <c r="AC1065" i="2"/>
  <c r="AS1065" i="2"/>
  <c r="T1066" i="2"/>
  <c r="AJ1066" i="2"/>
  <c r="AE1067" i="2"/>
  <c r="AU1067" i="2"/>
  <c r="U1069" i="2"/>
  <c r="AK1069" i="2"/>
  <c r="AB1070" i="2"/>
  <c r="AR1070" i="2"/>
  <c r="R1072" i="2"/>
  <c r="AH1072" i="2"/>
  <c r="X1073" i="2"/>
  <c r="Q1074" i="2"/>
  <c r="AW1074" i="2"/>
  <c r="AP1075" i="2"/>
  <c r="AO1080" i="2"/>
  <c r="V1017" i="2"/>
  <c r="AL1017" i="2"/>
  <c r="Q1018" i="2"/>
  <c r="AG1018" i="2"/>
  <c r="AW1018" i="2"/>
  <c r="X1019" i="2"/>
  <c r="AN1019" i="2"/>
  <c r="AD1021" i="2"/>
  <c r="AT1021" i="2"/>
  <c r="Y1022" i="2"/>
  <c r="AO1022" i="2"/>
  <c r="AF1023" i="2"/>
  <c r="AV1023" i="2"/>
  <c r="AA1024" i="2"/>
  <c r="AQ1024" i="2"/>
  <c r="V1025" i="2"/>
  <c r="AL1025" i="2"/>
  <c r="Q1026" i="2"/>
  <c r="AG1026" i="2"/>
  <c r="AW1026" i="2"/>
  <c r="X1027" i="2"/>
  <c r="AN1027" i="2"/>
  <c r="AD1029" i="2"/>
  <c r="AT1029" i="2"/>
  <c r="Y1030" i="2"/>
  <c r="AO1030" i="2"/>
  <c r="AF1031" i="2"/>
  <c r="AV1031" i="2"/>
  <c r="AA1032" i="2"/>
  <c r="AQ1032" i="2"/>
  <c r="V1033" i="2"/>
  <c r="AL1033" i="2"/>
  <c r="Q1034" i="2"/>
  <c r="AG1034" i="2"/>
  <c r="AW1034" i="2"/>
  <c r="X1035" i="2"/>
  <c r="AN1035" i="2"/>
  <c r="AD1037" i="2"/>
  <c r="AT1037" i="2"/>
  <c r="Y1038" i="2"/>
  <c r="AO1038" i="2"/>
  <c r="AF1039" i="2"/>
  <c r="AV1039" i="2"/>
  <c r="AA1040" i="2"/>
  <c r="AQ1040" i="2"/>
  <c r="V1041" i="2"/>
  <c r="AL1041" i="2"/>
  <c r="Q1042" i="2"/>
  <c r="AG1042" i="2"/>
  <c r="AW1042" i="2"/>
  <c r="X1043" i="2"/>
  <c r="AN1043" i="2"/>
  <c r="AD1045" i="2"/>
  <c r="AT1045" i="2"/>
  <c r="Y1046" i="2"/>
  <c r="AO1046" i="2"/>
  <c r="AF1047" i="2"/>
  <c r="AV1047" i="2"/>
  <c r="AA1048" i="2"/>
  <c r="AQ1048" i="2"/>
  <c r="V1049" i="2"/>
  <c r="AL1049" i="2"/>
  <c r="Q1050" i="2"/>
  <c r="AG1050" i="2"/>
  <c r="AW1050" i="2"/>
  <c r="X1051" i="2"/>
  <c r="AN1051" i="2"/>
  <c r="AD1053" i="2"/>
  <c r="AT1053" i="2"/>
  <c r="Y1054" i="2"/>
  <c r="AO1054" i="2"/>
  <c r="AF1055" i="2"/>
  <c r="AV1055" i="2"/>
  <c r="AA1056" i="2"/>
  <c r="AQ1056" i="2"/>
  <c r="V1057" i="2"/>
  <c r="AL1057" i="2"/>
  <c r="Q1058" i="2"/>
  <c r="AG1058" i="2"/>
  <c r="AW1058" i="2"/>
  <c r="X1059" i="2"/>
  <c r="AN1059" i="2"/>
  <c r="AD1061" i="2"/>
  <c r="AT1061" i="2"/>
  <c r="Y1062" i="2"/>
  <c r="AO1062" i="2"/>
  <c r="AF1063" i="2"/>
  <c r="AV1063" i="2"/>
  <c r="AA1064" i="2"/>
  <c r="AQ1064" i="2"/>
  <c r="V1065" i="2"/>
  <c r="AL1065" i="2"/>
  <c r="Q1066" i="2"/>
  <c r="AG1066" i="2"/>
  <c r="AW1066" i="2"/>
  <c r="X1067" i="2"/>
  <c r="AN1067" i="2"/>
  <c r="AD1069" i="2"/>
  <c r="AT1069" i="2"/>
  <c r="Y1070" i="2"/>
  <c r="AO1070" i="2"/>
  <c r="AF1071" i="2"/>
  <c r="AV1071" i="2"/>
  <c r="AA1072" i="2"/>
  <c r="AW1072" i="2"/>
  <c r="AP1073" i="2"/>
  <c r="AI1074" i="2"/>
  <c r="AB1075" i="2"/>
  <c r="AC1080" i="2"/>
  <c r="W1013" i="2"/>
  <c r="AM1013" i="2"/>
  <c r="R1014" i="2"/>
  <c r="AH1014" i="2"/>
  <c r="AC1015" i="2"/>
  <c r="AS1015" i="2"/>
  <c r="T1016" i="2"/>
  <c r="AJ1016" i="2"/>
  <c r="AE1017" i="2"/>
  <c r="AU1017" i="2"/>
  <c r="Z1018" i="2"/>
  <c r="AP1018" i="2"/>
  <c r="U1019" i="2"/>
  <c r="AK1019" i="2"/>
  <c r="AB1020" i="2"/>
  <c r="AR1020" i="2"/>
  <c r="W1021" i="2"/>
  <c r="AM1021" i="2"/>
  <c r="R1022" i="2"/>
  <c r="AH1022" i="2"/>
  <c r="AX1022" i="2"/>
  <c r="AC1023" i="2"/>
  <c r="AS1023" i="2"/>
  <c r="T1024" i="2"/>
  <c r="AJ1024" i="2"/>
  <c r="AE1025" i="2"/>
  <c r="AU1025" i="2"/>
  <c r="Z1026" i="2"/>
  <c r="AP1026" i="2"/>
  <c r="U1027" i="2"/>
  <c r="AK1027" i="2"/>
  <c r="AB1028" i="2"/>
  <c r="AR1028" i="2"/>
  <c r="W1029" i="2"/>
  <c r="AM1029" i="2"/>
  <c r="R1030" i="2"/>
  <c r="AH1030" i="2"/>
  <c r="AC1031" i="2"/>
  <c r="AS1031" i="2"/>
  <c r="T1032" i="2"/>
  <c r="AJ1032" i="2"/>
  <c r="AE1033" i="2"/>
  <c r="AU1033" i="2"/>
  <c r="Z1034" i="2"/>
  <c r="AP1034" i="2"/>
  <c r="U1035" i="2"/>
  <c r="AK1035" i="2"/>
  <c r="AB1036" i="2"/>
  <c r="AR1036" i="2"/>
  <c r="W1037" i="2"/>
  <c r="AM1037" i="2"/>
  <c r="R1038" i="2"/>
  <c r="AH1038" i="2"/>
  <c r="AC1039" i="2"/>
  <c r="AS1039" i="2"/>
  <c r="T1040" i="2"/>
  <c r="AJ1040" i="2"/>
  <c r="AE1041" i="2"/>
  <c r="AU1041" i="2"/>
  <c r="Z1042" i="2"/>
  <c r="AP1042" i="2"/>
  <c r="U1043" i="2"/>
  <c r="AK1043" i="2"/>
  <c r="AB1044" i="2"/>
  <c r="AR1044" i="2"/>
  <c r="W1045" i="2"/>
  <c r="AM1045" i="2"/>
  <c r="R1046" i="2"/>
  <c r="AH1046" i="2"/>
  <c r="AC1047" i="2"/>
  <c r="AS1047" i="2"/>
  <c r="T1048" i="2"/>
  <c r="AJ1048" i="2"/>
  <c r="AE1049" i="2"/>
  <c r="AU1049" i="2"/>
  <c r="Z1050" i="2"/>
  <c r="AP1050" i="2"/>
  <c r="U1051" i="2"/>
  <c r="AK1051" i="2"/>
  <c r="AB1052" i="2"/>
  <c r="AR1052" i="2"/>
  <c r="W1053" i="2"/>
  <c r="AM1053" i="2"/>
  <c r="R1054" i="2"/>
  <c r="AH1054" i="2"/>
  <c r="AX1054" i="2"/>
  <c r="AC1055" i="2"/>
  <c r="AS1055" i="2"/>
  <c r="T1056" i="2"/>
  <c r="AJ1056" i="2"/>
  <c r="AE1057" i="2"/>
  <c r="AU1057" i="2"/>
  <c r="Z1058" i="2"/>
  <c r="AP1058" i="2"/>
  <c r="U1059" i="2"/>
  <c r="AK1059" i="2"/>
  <c r="AB1060" i="2"/>
  <c r="AR1060" i="2"/>
  <c r="W1061" i="2"/>
  <c r="AM1061" i="2"/>
  <c r="R1062" i="2"/>
  <c r="AH1062" i="2"/>
  <c r="AC1063" i="2"/>
  <c r="AS1063" i="2"/>
  <c r="T1064" i="2"/>
  <c r="AJ1064" i="2"/>
  <c r="AE1065" i="2"/>
  <c r="AU1065" i="2"/>
  <c r="Z1066" i="2"/>
  <c r="AP1066" i="2"/>
  <c r="U1067" i="2"/>
  <c r="AK1067" i="2"/>
  <c r="AB1068" i="2"/>
  <c r="AR1068" i="2"/>
  <c r="W1069" i="2"/>
  <c r="AM1069" i="2"/>
  <c r="R1070" i="2"/>
  <c r="AH1070" i="2"/>
  <c r="AC1071" i="2"/>
  <c r="AS1071" i="2"/>
  <c r="T1072" i="2"/>
  <c r="AJ1072" i="2"/>
  <c r="AB1073" i="2"/>
  <c r="U1074" i="2"/>
  <c r="AT1075" i="2"/>
  <c r="AN1077" i="2"/>
  <c r="AH1079" i="2"/>
  <c r="AN1072" i="2"/>
  <c r="S1073" i="2"/>
  <c r="AI1073" i="2"/>
  <c r="AD1074" i="2"/>
  <c r="AT1074" i="2"/>
  <c r="Y1075" i="2"/>
  <c r="AO1075" i="2"/>
  <c r="AF1076" i="2"/>
  <c r="AV1076" i="2"/>
  <c r="AA1077" i="2"/>
  <c r="AQ1077" i="2"/>
  <c r="Q1079" i="2"/>
  <c r="AG1079" i="2"/>
  <c r="AW1079" i="2"/>
  <c r="X1080" i="2"/>
  <c r="AN1080" i="2"/>
  <c r="AD1082" i="2"/>
  <c r="AT1082" i="2"/>
  <c r="AF1084" i="2"/>
  <c r="AV1084" i="2"/>
  <c r="AA1085" i="2"/>
  <c r="AQ1085" i="2"/>
  <c r="Q1087" i="2"/>
  <c r="AG1087" i="2"/>
  <c r="AW1087" i="2"/>
  <c r="X1088" i="2"/>
  <c r="AN1088" i="2"/>
  <c r="AD1090" i="2"/>
  <c r="AT1090" i="2"/>
  <c r="AF1092" i="2"/>
  <c r="AV1092" i="2"/>
  <c r="AA1093" i="2"/>
  <c r="AQ1093" i="2"/>
  <c r="Q1095" i="2"/>
  <c r="AG1095" i="2"/>
  <c r="AW1095" i="2"/>
  <c r="X1096" i="2"/>
  <c r="AN1096" i="2"/>
  <c r="AD1098" i="2"/>
  <c r="AT1098" i="2"/>
  <c r="S1100" i="2"/>
  <c r="AH1105" i="2"/>
  <c r="AR1106" i="2"/>
  <c r="W1082" i="2"/>
  <c r="AM1082" i="2"/>
  <c r="AC1084" i="2"/>
  <c r="AS1084" i="2"/>
  <c r="T1085" i="2"/>
  <c r="AJ1085" i="2"/>
  <c r="Z1087" i="2"/>
  <c r="AP1087" i="2"/>
  <c r="U1088" i="2"/>
  <c r="AK1088" i="2"/>
  <c r="W1090" i="2"/>
  <c r="AM1090" i="2"/>
  <c r="AC1092" i="2"/>
  <c r="AS1092" i="2"/>
  <c r="T1093" i="2"/>
  <c r="AJ1093" i="2"/>
  <c r="Z1095" i="2"/>
  <c r="AP1095" i="2"/>
  <c r="U1096" i="2"/>
  <c r="AK1096" i="2"/>
  <c r="W1098" i="2"/>
  <c r="AM1098" i="2"/>
  <c r="AL1100" i="2"/>
  <c r="AV1103" i="2"/>
  <c r="AK1105" i="2"/>
  <c r="AF1106" i="2"/>
  <c r="AL1072" i="2"/>
  <c r="Q1073" i="2"/>
  <c r="AG1073" i="2"/>
  <c r="AW1073" i="2"/>
  <c r="X1074" i="2"/>
  <c r="AN1074" i="2"/>
  <c r="S1075" i="2"/>
  <c r="AI1075" i="2"/>
  <c r="AD1076" i="2"/>
  <c r="AT1076" i="2"/>
  <c r="Y1077" i="2"/>
  <c r="AO1077" i="2"/>
  <c r="AF1078" i="2"/>
  <c r="AV1078" i="2"/>
  <c r="AA1079" i="2"/>
  <c r="AQ1079" i="2"/>
  <c r="V1080" i="2"/>
  <c r="AL1080" i="2"/>
  <c r="Q1081" i="2"/>
  <c r="AG1081" i="2"/>
  <c r="AW1081" i="2"/>
  <c r="X1082" i="2"/>
  <c r="AN1082" i="2"/>
  <c r="AD1084" i="2"/>
  <c r="AT1084" i="2"/>
  <c r="Y1085" i="2"/>
  <c r="AO1085" i="2"/>
  <c r="AF1086" i="2"/>
  <c r="AV1086" i="2"/>
  <c r="AA1087" i="2"/>
  <c r="AQ1087" i="2"/>
  <c r="V1088" i="2"/>
  <c r="AL1088" i="2"/>
  <c r="Q1089" i="2"/>
  <c r="AG1089" i="2"/>
  <c r="AW1089" i="2"/>
  <c r="X1090" i="2"/>
  <c r="AN1090" i="2"/>
  <c r="AD1092" i="2"/>
  <c r="AT1092" i="2"/>
  <c r="Y1093" i="2"/>
  <c r="AO1093" i="2"/>
  <c r="AF1094" i="2"/>
  <c r="AV1094" i="2"/>
  <c r="AA1095" i="2"/>
  <c r="AQ1095" i="2"/>
  <c r="V1096" i="2"/>
  <c r="AL1096" i="2"/>
  <c r="Q1097" i="2"/>
  <c r="AG1097" i="2"/>
  <c r="AW1097" i="2"/>
  <c r="X1098" i="2"/>
  <c r="AN1098" i="2"/>
  <c r="AM1099" i="2"/>
  <c r="AM1100" i="2"/>
  <c r="AB1102" i="2"/>
  <c r="S1103" i="2"/>
  <c r="AL1105" i="2"/>
  <c r="X1079" i="2"/>
  <c r="AN1079" i="2"/>
  <c r="S1080" i="2"/>
  <c r="AI1080" i="2"/>
  <c r="AD1081" i="2"/>
  <c r="AT1081" i="2"/>
  <c r="Y1082" i="2"/>
  <c r="AO1082" i="2"/>
  <c r="AF1083" i="2"/>
  <c r="AV1083" i="2"/>
  <c r="AA1084" i="2"/>
  <c r="AQ1084" i="2"/>
  <c r="V1085" i="2"/>
  <c r="AL1085" i="2"/>
  <c r="Q1086" i="2"/>
  <c r="AG1086" i="2"/>
  <c r="AW1086" i="2"/>
  <c r="X1087" i="2"/>
  <c r="AN1087" i="2"/>
  <c r="S1088" i="2"/>
  <c r="AI1088" i="2"/>
  <c r="AD1089" i="2"/>
  <c r="AT1089" i="2"/>
  <c r="Y1090" i="2"/>
  <c r="AO1090" i="2"/>
  <c r="AF1091" i="2"/>
  <c r="AV1091" i="2"/>
  <c r="AA1092" i="2"/>
  <c r="AQ1092" i="2"/>
  <c r="V1093" i="2"/>
  <c r="AL1093" i="2"/>
  <c r="Q1094" i="2"/>
  <c r="AG1094" i="2"/>
  <c r="AW1094" i="2"/>
  <c r="X1095" i="2"/>
  <c r="AN1095" i="2"/>
  <c r="S1096" i="2"/>
  <c r="AI1096" i="2"/>
  <c r="AD1097" i="2"/>
  <c r="AT1097" i="2"/>
  <c r="Y1098" i="2"/>
  <c r="AO1098" i="2"/>
  <c r="R1099" i="2"/>
  <c r="AN1099" i="2"/>
  <c r="AH1100" i="2"/>
  <c r="U1102" i="2"/>
  <c r="AR1103" i="2"/>
  <c r="AG1105" i="2"/>
  <c r="AN1106" i="2"/>
  <c r="Q1099" i="2"/>
  <c r="AG1099" i="2"/>
  <c r="AW1099" i="2"/>
  <c r="X1100" i="2"/>
  <c r="AN1100" i="2"/>
  <c r="AD1102" i="2"/>
  <c r="AT1102" i="2"/>
  <c r="Y1103" i="2"/>
  <c r="AO1103" i="2"/>
  <c r="AF1104" i="2"/>
  <c r="AV1104" i="2"/>
  <c r="AA1105" i="2"/>
  <c r="AQ1105" i="2"/>
  <c r="V1106" i="2"/>
  <c r="AL1106" i="2"/>
  <c r="X1108" i="2"/>
  <c r="AN1108" i="2"/>
  <c r="Y1111" i="2"/>
  <c r="AO1111" i="2"/>
  <c r="AF1112" i="2"/>
  <c r="AV1112" i="2"/>
  <c r="AA1113" i="2"/>
  <c r="AQ1113" i="2"/>
  <c r="V1114" i="2"/>
  <c r="AL1114" i="2"/>
  <c r="X1116" i="2"/>
  <c r="AN1116" i="2"/>
  <c r="Y1119" i="2"/>
  <c r="AO1119" i="2"/>
  <c r="AF1120" i="2"/>
  <c r="AV1120" i="2"/>
  <c r="AA1121" i="2"/>
  <c r="AQ1121" i="2"/>
  <c r="V1122" i="2"/>
  <c r="AL1122" i="2"/>
  <c r="X1124" i="2"/>
  <c r="AN1124" i="2"/>
  <c r="Y1127" i="2"/>
  <c r="AO1127" i="2"/>
  <c r="AT1128" i="2"/>
  <c r="X1131" i="2"/>
  <c r="T1134" i="2"/>
  <c r="AT1099" i="2"/>
  <c r="Y1100" i="2"/>
  <c r="AO1100" i="2"/>
  <c r="AF1101" i="2"/>
  <c r="AV1101" i="2"/>
  <c r="AA1102" i="2"/>
  <c r="AQ1102" i="2"/>
  <c r="V1103" i="2"/>
  <c r="AL1103" i="2"/>
  <c r="Q1104" i="2"/>
  <c r="AG1104" i="2"/>
  <c r="AW1104" i="2"/>
  <c r="X1105" i="2"/>
  <c r="AN1105" i="2"/>
  <c r="S1106" i="2"/>
  <c r="AI1106" i="2"/>
  <c r="Y1108" i="2"/>
  <c r="AO1108" i="2"/>
  <c r="AF1109" i="2"/>
  <c r="AV1109" i="2"/>
  <c r="V1111" i="2"/>
  <c r="AL1111" i="2"/>
  <c r="Q1112" i="2"/>
  <c r="AG1112" i="2"/>
  <c r="AW1112" i="2"/>
  <c r="X1113" i="2"/>
  <c r="AN1113" i="2"/>
  <c r="S1114" i="2"/>
  <c r="AI1114" i="2"/>
  <c r="Y1116" i="2"/>
  <c r="AO1116" i="2"/>
  <c r="AF1117" i="2"/>
  <c r="AV1117" i="2"/>
  <c r="V1119" i="2"/>
  <c r="AL1119" i="2"/>
  <c r="Q1120" i="2"/>
  <c r="AG1120" i="2"/>
  <c r="AW1120" i="2"/>
  <c r="X1121" i="2"/>
  <c r="AN1121" i="2"/>
  <c r="S1122" i="2"/>
  <c r="AI1122" i="2"/>
  <c r="Y1124" i="2"/>
  <c r="AO1124" i="2"/>
  <c r="AF1125" i="2"/>
  <c r="AV1125" i="2"/>
  <c r="V1127" i="2"/>
  <c r="AL1127" i="2"/>
  <c r="Q1128" i="2"/>
  <c r="AU1128" i="2"/>
  <c r="AA1131" i="2"/>
  <c r="X1134" i="2"/>
  <c r="Z1108" i="2"/>
  <c r="AP1108" i="2"/>
  <c r="U1109" i="2"/>
  <c r="AK1109" i="2"/>
  <c r="W1111" i="2"/>
  <c r="AM1111" i="2"/>
  <c r="R1112" i="2"/>
  <c r="AH1112" i="2"/>
  <c r="AC1113" i="2"/>
  <c r="AS1113" i="2"/>
  <c r="T1114" i="2"/>
  <c r="AJ1114" i="2"/>
  <c r="Z1116" i="2"/>
  <c r="AP1116" i="2"/>
  <c r="U1117" i="2"/>
  <c r="AK1117" i="2"/>
  <c r="W1119" i="2"/>
  <c r="AM1119" i="2"/>
  <c r="R1120" i="2"/>
  <c r="AH1120" i="2"/>
  <c r="AC1121" i="2"/>
  <c r="AS1121" i="2"/>
  <c r="T1122" i="2"/>
  <c r="AJ1122" i="2"/>
  <c r="Z1124" i="2"/>
  <c r="AP1124" i="2"/>
  <c r="U1125" i="2"/>
  <c r="AK1125" i="2"/>
  <c r="W1127" i="2"/>
  <c r="AM1127" i="2"/>
  <c r="R1128" i="2"/>
  <c r="AB1131" i="2"/>
  <c r="Q1133" i="2"/>
  <c r="AB1134" i="2"/>
  <c r="Y1106" i="2"/>
  <c r="AO1106" i="2"/>
  <c r="AF1107" i="2"/>
  <c r="AV1107" i="2"/>
  <c r="AA1108" i="2"/>
  <c r="AQ1108" i="2"/>
  <c r="V1109" i="2"/>
  <c r="AL1109" i="2"/>
  <c r="X1111" i="2"/>
  <c r="AN1111" i="2"/>
  <c r="S1112" i="2"/>
  <c r="AI1112" i="2"/>
  <c r="AD1113" i="2"/>
  <c r="AT1113" i="2"/>
  <c r="Y1114" i="2"/>
  <c r="AO1114" i="2"/>
  <c r="AF1115" i="2"/>
  <c r="AV1115" i="2"/>
  <c r="AA1116" i="2"/>
  <c r="AQ1116" i="2"/>
  <c r="V1117" i="2"/>
  <c r="AL1117" i="2"/>
  <c r="X1119" i="2"/>
  <c r="AN1119" i="2"/>
  <c r="S1120" i="2"/>
  <c r="AI1120" i="2"/>
  <c r="AD1121" i="2"/>
  <c r="AT1121" i="2"/>
  <c r="Y1122" i="2"/>
  <c r="AO1122" i="2"/>
  <c r="AF1123" i="2"/>
  <c r="AV1123" i="2"/>
  <c r="AA1124" i="2"/>
  <c r="AQ1124" i="2"/>
  <c r="V1125" i="2"/>
  <c r="AL1125" i="2"/>
  <c r="X1127" i="2"/>
  <c r="AN1127" i="2"/>
  <c r="S1128" i="2"/>
  <c r="AM1131" i="2"/>
  <c r="AK1133" i="2"/>
  <c r="U1128" i="2"/>
  <c r="AK1128" i="2"/>
  <c r="R1131" i="2"/>
  <c r="AH1131" i="2"/>
  <c r="AX1131" i="2"/>
  <c r="T1133" i="2"/>
  <c r="AJ1133" i="2"/>
  <c r="AE1134" i="2"/>
  <c r="AU1134" i="2"/>
  <c r="U1136" i="2"/>
  <c r="AK1136" i="2"/>
  <c r="W1138" i="2"/>
  <c r="AM1138" i="2"/>
  <c r="T1141" i="2"/>
  <c r="AJ1141" i="2"/>
  <c r="U1144" i="2"/>
  <c r="AK1144" i="2"/>
  <c r="W1146" i="2"/>
  <c r="AM1146" i="2"/>
  <c r="T1149" i="2"/>
  <c r="AJ1149" i="2"/>
  <c r="U1152" i="2"/>
  <c r="AK1152" i="2"/>
  <c r="W1154" i="2"/>
  <c r="AM1154" i="2"/>
  <c r="AK1157" i="2"/>
  <c r="AM1162" i="2"/>
  <c r="W1135" i="2"/>
  <c r="AM1135" i="2"/>
  <c r="R1136" i="2"/>
  <c r="AH1136" i="2"/>
  <c r="T1138" i="2"/>
  <c r="AJ1138" i="2"/>
  <c r="U1141" i="2"/>
  <c r="AK1141" i="2"/>
  <c r="W1143" i="2"/>
  <c r="AM1143" i="2"/>
  <c r="R1144" i="2"/>
  <c r="AH1144" i="2"/>
  <c r="AX1144" i="2"/>
  <c r="T1146" i="2"/>
  <c r="AJ1146" i="2"/>
  <c r="U1149" i="2"/>
  <c r="AK1149" i="2"/>
  <c r="W1151" i="2"/>
  <c r="AM1151" i="2"/>
  <c r="R1152" i="2"/>
  <c r="AH1152" i="2"/>
  <c r="T1154" i="2"/>
  <c r="AJ1154" i="2"/>
  <c r="AF1157" i="2"/>
  <c r="AH1133" i="2"/>
  <c r="AC1134" i="2"/>
  <c r="AS1134" i="2"/>
  <c r="T1135" i="2"/>
  <c r="AJ1135" i="2"/>
  <c r="AE1136" i="2"/>
  <c r="AU1136" i="2"/>
  <c r="U1138" i="2"/>
  <c r="AK1138" i="2"/>
  <c r="R1141" i="2"/>
  <c r="AH1141" i="2"/>
  <c r="T1143" i="2"/>
  <c r="AJ1143" i="2"/>
  <c r="AE1144" i="2"/>
  <c r="AU1144" i="2"/>
  <c r="U1146" i="2"/>
  <c r="AK1146" i="2"/>
  <c r="R1149" i="2"/>
  <c r="AH1149" i="2"/>
  <c r="T1151" i="2"/>
  <c r="AJ1151" i="2"/>
  <c r="AE1152" i="2"/>
  <c r="AU1152" i="2"/>
  <c r="U1154" i="2"/>
  <c r="AK1154" i="2"/>
  <c r="Y1157" i="2"/>
  <c r="AV1158" i="2"/>
  <c r="AC1161" i="2"/>
  <c r="T1162" i="2"/>
  <c r="AT1163" i="2"/>
  <c r="X1128" i="2"/>
  <c r="AN1128" i="2"/>
  <c r="Y1131" i="2"/>
  <c r="AO1131" i="2"/>
  <c r="AF1132" i="2"/>
  <c r="AV1132" i="2"/>
  <c r="AA1133" i="2"/>
  <c r="AQ1133" i="2"/>
  <c r="V1134" i="2"/>
  <c r="AL1134" i="2"/>
  <c r="Q1135" i="2"/>
  <c r="AG1135" i="2"/>
  <c r="AW1135" i="2"/>
  <c r="X1136" i="2"/>
  <c r="AN1136" i="2"/>
  <c r="AD1138" i="2"/>
  <c r="AT1138" i="2"/>
  <c r="AF1140" i="2"/>
  <c r="AV1140" i="2"/>
  <c r="AA1141" i="2"/>
  <c r="AQ1141" i="2"/>
  <c r="Q1143" i="2"/>
  <c r="AG1143" i="2"/>
  <c r="AW1143" i="2"/>
  <c r="X1144" i="2"/>
  <c r="AN1144" i="2"/>
  <c r="AD1146" i="2"/>
  <c r="AT1146" i="2"/>
  <c r="AF1148" i="2"/>
  <c r="AV1148" i="2"/>
  <c r="AA1149" i="2"/>
  <c r="AQ1149" i="2"/>
  <c r="Q1151" i="2"/>
  <c r="AG1151" i="2"/>
  <c r="AW1151" i="2"/>
  <c r="X1152" i="2"/>
  <c r="AN1152" i="2"/>
  <c r="AD1154" i="2"/>
  <c r="AT1154" i="2"/>
  <c r="T1157" i="2"/>
  <c r="AQ1158" i="2"/>
  <c r="AD1160" i="2"/>
  <c r="X1161" i="2"/>
  <c r="W1162" i="2"/>
  <c r="AH1163" i="2"/>
  <c r="Z1157" i="2"/>
  <c r="AP1157" i="2"/>
  <c r="U1158" i="2"/>
  <c r="AK1158" i="2"/>
  <c r="W1160" i="2"/>
  <c r="AM1160" i="2"/>
  <c r="R1161" i="2"/>
  <c r="AH1161" i="2"/>
  <c r="AC1162" i="2"/>
  <c r="AS1162" i="2"/>
  <c r="T1163" i="2"/>
  <c r="AJ1163" i="2"/>
  <c r="W1168" i="2"/>
  <c r="AM1168" i="2"/>
  <c r="R1169" i="2"/>
  <c r="AH1169" i="2"/>
  <c r="AX1169" i="2"/>
  <c r="AC1170" i="2"/>
  <c r="AS1170" i="2"/>
  <c r="T1171" i="2"/>
  <c r="AJ1171" i="2"/>
  <c r="W1176" i="2"/>
  <c r="AM1176" i="2"/>
  <c r="R1177" i="2"/>
  <c r="AH1177" i="2"/>
  <c r="AC1178" i="2"/>
  <c r="AS1178" i="2"/>
  <c r="T1179" i="2"/>
  <c r="AJ1179" i="2"/>
  <c r="AG1183" i="2"/>
  <c r="S1184" i="2"/>
  <c r="AN1184" i="2"/>
  <c r="Z1185" i="2"/>
  <c r="AU1185" i="2"/>
  <c r="T1188" i="2"/>
  <c r="W1157" i="2"/>
  <c r="AM1157" i="2"/>
  <c r="R1158" i="2"/>
  <c r="AH1158" i="2"/>
  <c r="AX1158" i="2"/>
  <c r="T1160" i="2"/>
  <c r="AJ1160" i="2"/>
  <c r="AE1161" i="2"/>
  <c r="AU1161" i="2"/>
  <c r="Z1162" i="2"/>
  <c r="AP1162" i="2"/>
  <c r="U1163" i="2"/>
  <c r="AK1163" i="2"/>
  <c r="T1168" i="2"/>
  <c r="AJ1168" i="2"/>
  <c r="AE1169" i="2"/>
  <c r="AU1169" i="2"/>
  <c r="Z1170" i="2"/>
  <c r="AP1170" i="2"/>
  <c r="U1171" i="2"/>
  <c r="AK1171" i="2"/>
  <c r="T1176" i="2"/>
  <c r="AJ1176" i="2"/>
  <c r="AE1177" i="2"/>
  <c r="AU1177" i="2"/>
  <c r="Z1178" i="2"/>
  <c r="AP1178" i="2"/>
  <c r="U1179" i="2"/>
  <c r="AK1179" i="2"/>
  <c r="AH1183" i="2"/>
  <c r="T1184" i="2"/>
  <c r="AO1184" i="2"/>
  <c r="V1185" i="2"/>
  <c r="AQ1185" i="2"/>
  <c r="AD1186" i="2"/>
  <c r="U1188" i="2"/>
  <c r="AF1165" i="2"/>
  <c r="AV1165" i="2"/>
  <c r="Q1168" i="2"/>
  <c r="AG1168" i="2"/>
  <c r="AW1168" i="2"/>
  <c r="X1169" i="2"/>
  <c r="AN1169" i="2"/>
  <c r="S1170" i="2"/>
  <c r="AI1170" i="2"/>
  <c r="AD1171" i="2"/>
  <c r="AT1171" i="2"/>
  <c r="AF1173" i="2"/>
  <c r="AV1173" i="2"/>
  <c r="Q1176" i="2"/>
  <c r="AG1176" i="2"/>
  <c r="AW1176" i="2"/>
  <c r="X1177" i="2"/>
  <c r="AN1177" i="2"/>
  <c r="S1178" i="2"/>
  <c r="AI1178" i="2"/>
  <c r="AD1179" i="2"/>
  <c r="AT1179" i="2"/>
  <c r="AF1181" i="2"/>
  <c r="AV1181" i="2"/>
  <c r="Y1183" i="2"/>
  <c r="AT1183" i="2"/>
  <c r="AA1184" i="2"/>
  <c r="AV1184" i="2"/>
  <c r="AB1185" i="2"/>
  <c r="AK1186" i="2"/>
  <c r="AF1188" i="2"/>
  <c r="AN1162" i="2"/>
  <c r="S1163" i="2"/>
  <c r="AI1163" i="2"/>
  <c r="Y1165" i="2"/>
  <c r="AO1165" i="2"/>
  <c r="AF1166" i="2"/>
  <c r="AV1166" i="2"/>
  <c r="V1168" i="2"/>
  <c r="AL1168" i="2"/>
  <c r="Q1169" i="2"/>
  <c r="AG1169" i="2"/>
  <c r="AW1169" i="2"/>
  <c r="X1170" i="2"/>
  <c r="AN1170" i="2"/>
  <c r="S1171" i="2"/>
  <c r="AI1171" i="2"/>
  <c r="Y1173" i="2"/>
  <c r="AO1173" i="2"/>
  <c r="AF1174" i="2"/>
  <c r="AV1174" i="2"/>
  <c r="V1176" i="2"/>
  <c r="AL1176" i="2"/>
  <c r="Q1177" i="2"/>
  <c r="AG1177" i="2"/>
  <c r="AW1177" i="2"/>
  <c r="X1178" i="2"/>
  <c r="AN1178" i="2"/>
  <c r="S1179" i="2"/>
  <c r="AI1179" i="2"/>
  <c r="Y1181" i="2"/>
  <c r="AO1181" i="2"/>
  <c r="AF1182" i="2"/>
  <c r="AV1182" i="2"/>
  <c r="Z1183" i="2"/>
  <c r="AV1183" i="2"/>
  <c r="AB1184" i="2"/>
  <c r="AW1184" i="2"/>
  <c r="AI1185" i="2"/>
  <c r="Q1186" i="2"/>
  <c r="AL1186" i="2"/>
  <c r="AO1188" i="2"/>
  <c r="W1188" i="2"/>
  <c r="AM1188" i="2"/>
  <c r="AK1191" i="2"/>
  <c r="AK1196" i="2"/>
  <c r="AK1199" i="2"/>
  <c r="T1201" i="2"/>
  <c r="Q1202" i="2"/>
  <c r="AK1206" i="2"/>
  <c r="AN1207" i="2"/>
  <c r="AU1208" i="2"/>
  <c r="S1189" i="2"/>
  <c r="AI1189" i="2"/>
  <c r="Q1191" i="2"/>
  <c r="AL1191" i="2"/>
  <c r="AK1195" i="2"/>
  <c r="Q1196" i="2"/>
  <c r="AM1196" i="2"/>
  <c r="AT1199" i="2"/>
  <c r="AM1201" i="2"/>
  <c r="AN1202" i="2"/>
  <c r="AW1206" i="2"/>
  <c r="Q1208" i="2"/>
  <c r="AA1210" i="2"/>
  <c r="AB1211" i="2"/>
  <c r="AC1191" i="2"/>
  <c r="AL1193" i="2"/>
  <c r="AB1195" i="2"/>
  <c r="AW1195" i="2"/>
  <c r="AI1196" i="2"/>
  <c r="AO1199" i="2"/>
  <c r="X1201" i="2"/>
  <c r="W1202" i="2"/>
  <c r="AQ1206" i="2"/>
  <c r="AT1207" i="2"/>
  <c r="T1210" i="2"/>
  <c r="V1211" i="2"/>
  <c r="AA1183" i="2"/>
  <c r="AQ1183" i="2"/>
  <c r="V1184" i="2"/>
  <c r="AL1184" i="2"/>
  <c r="Q1185" i="2"/>
  <c r="AG1185" i="2"/>
  <c r="AW1185" i="2"/>
  <c r="X1186" i="2"/>
  <c r="AN1186" i="2"/>
  <c r="S1187" i="2"/>
  <c r="AI1187" i="2"/>
  <c r="AD1188" i="2"/>
  <c r="AT1188" i="2"/>
  <c r="Y1189" i="2"/>
  <c r="AO1189" i="2"/>
  <c r="Y1191" i="2"/>
  <c r="AT1191" i="2"/>
  <c r="AA1192" i="2"/>
  <c r="AV1192" i="2"/>
  <c r="AB1193" i="2"/>
  <c r="R1195" i="2"/>
  <c r="AN1195" i="2"/>
  <c r="Y1196" i="2"/>
  <c r="AU1196" i="2"/>
  <c r="AE1197" i="2"/>
  <c r="Z1199" i="2"/>
  <c r="AQ1201" i="2"/>
  <c r="AS1202" i="2"/>
  <c r="W1206" i="2"/>
  <c r="AB1207" i="2"/>
  <c r="AG1208" i="2"/>
  <c r="AQ1210" i="2"/>
  <c r="AR1211" i="2"/>
  <c r="AF1190" i="2"/>
  <c r="AV1190" i="2"/>
  <c r="AA1191" i="2"/>
  <c r="AQ1191" i="2"/>
  <c r="V1192" i="2"/>
  <c r="AL1192" i="2"/>
  <c r="Q1193" i="2"/>
  <c r="AG1193" i="2"/>
  <c r="AW1193" i="2"/>
  <c r="X1194" i="2"/>
  <c r="AN1194" i="2"/>
  <c r="S1195" i="2"/>
  <c r="AI1195" i="2"/>
  <c r="AD1196" i="2"/>
  <c r="AT1196" i="2"/>
  <c r="Y1197" i="2"/>
  <c r="AO1197" i="2"/>
  <c r="AF1198" i="2"/>
  <c r="AV1198" i="2"/>
  <c r="AA1199" i="2"/>
  <c r="AQ1199" i="2"/>
  <c r="Q1201" i="2"/>
  <c r="AG1201" i="2"/>
  <c r="AJ1202" i="2"/>
  <c r="AL1203" i="2"/>
  <c r="AI1206" i="2"/>
  <c r="T1207" i="2"/>
  <c r="AP1207" i="2"/>
  <c r="W1208" i="2"/>
  <c r="AS1208" i="2"/>
  <c r="Z1209" i="2"/>
  <c r="AV1209" i="2"/>
  <c r="AB1210" i="2"/>
  <c r="AW1210" i="2"/>
  <c r="AI1211" i="2"/>
  <c r="AH1197" i="2"/>
  <c r="AC1198" i="2"/>
  <c r="AS1198" i="2"/>
  <c r="T1199" i="2"/>
  <c r="AJ1199" i="2"/>
  <c r="Z1201" i="2"/>
  <c r="AP1201" i="2"/>
  <c r="U1202" i="2"/>
  <c r="AQ1202" i="2"/>
  <c r="W1203" i="2"/>
  <c r="AR1203" i="2"/>
  <c r="T1206" i="2"/>
  <c r="AO1206" i="2"/>
  <c r="V1207" i="2"/>
  <c r="AQ1207" i="2"/>
  <c r="AD1208" i="2"/>
  <c r="AG1209" i="2"/>
  <c r="S1210" i="2"/>
  <c r="AN1210" i="2"/>
  <c r="Z1211" i="2"/>
  <c r="AU1211" i="2"/>
  <c r="AU1201" i="2"/>
  <c r="Z1202" i="2"/>
  <c r="AP1202" i="2"/>
  <c r="U1203" i="2"/>
  <c r="AK1203" i="2"/>
  <c r="W1205" i="2"/>
  <c r="AM1205" i="2"/>
  <c r="R1206" i="2"/>
  <c r="AH1206" i="2"/>
  <c r="AC1207" i="2"/>
  <c r="AS1207" i="2"/>
  <c r="T1208" i="2"/>
  <c r="AJ1208" i="2"/>
  <c r="AE1209" i="2"/>
  <c r="AU1209" i="2"/>
  <c r="Z1210" i="2"/>
  <c r="AP1210" i="2"/>
  <c r="U1211" i="2"/>
  <c r="AK1211" i="2"/>
  <c r="S704" i="2"/>
  <c r="T704" i="2" s="1"/>
  <c r="U704" i="2" s="1"/>
  <c r="R621" i="2"/>
  <c r="R625" i="2"/>
  <c r="R629" i="2"/>
  <c r="S629" i="2" s="1"/>
  <c r="R633" i="2"/>
  <c r="S633" i="2" s="1"/>
  <c r="T633" i="2" s="1"/>
  <c r="R637" i="2"/>
  <c r="R641" i="2"/>
  <c r="R645" i="2"/>
  <c r="S645" i="2" s="1"/>
  <c r="R649" i="2"/>
  <c r="S649" i="2" s="1"/>
  <c r="T649" i="2" s="1"/>
  <c r="R653" i="2"/>
  <c r="R657" i="2"/>
  <c r="R661" i="2"/>
  <c r="S661" i="2" s="1"/>
  <c r="R665" i="2"/>
  <c r="S665" i="2" s="1"/>
  <c r="R669" i="2"/>
  <c r="R673" i="2"/>
  <c r="R677" i="2"/>
  <c r="S677" i="2" s="1"/>
  <c r="AF922" i="2"/>
  <c r="AV922" i="2"/>
  <c r="AF930" i="2"/>
  <c r="AV930" i="2"/>
  <c r="AF938" i="2"/>
  <c r="AV938" i="2"/>
  <c r="AF946" i="2"/>
  <c r="AV946" i="2"/>
  <c r="AE968" i="2"/>
  <c r="AJ999" i="2"/>
  <c r="AF851" i="2"/>
  <c r="AV851" i="2"/>
  <c r="AF859" i="2"/>
  <c r="AV859" i="2"/>
  <c r="AF867" i="2"/>
  <c r="AV867" i="2"/>
  <c r="AF875" i="2"/>
  <c r="AV875" i="2"/>
  <c r="AF883" i="2"/>
  <c r="AV883" i="2"/>
  <c r="AF891" i="2"/>
  <c r="AV891" i="2"/>
  <c r="AF899" i="2"/>
  <c r="AV899" i="2"/>
  <c r="AF907" i="2"/>
  <c r="AV907" i="2"/>
  <c r="AF915" i="2"/>
  <c r="AV915" i="2"/>
  <c r="Y922" i="2"/>
  <c r="AO922" i="2"/>
  <c r="AF923" i="2"/>
  <c r="AV923" i="2"/>
  <c r="Y930" i="2"/>
  <c r="AO930" i="2"/>
  <c r="AF931" i="2"/>
  <c r="AV931" i="2"/>
  <c r="Y938" i="2"/>
  <c r="AO938" i="2"/>
  <c r="AF939" i="2"/>
  <c r="AV939" i="2"/>
  <c r="Y946" i="2"/>
  <c r="AO946" i="2"/>
  <c r="AF947" i="2"/>
  <c r="AV947" i="2"/>
  <c r="AP953" i="2"/>
  <c r="Q968" i="2"/>
  <c r="AW968" i="2"/>
  <c r="AP969" i="2"/>
  <c r="X999" i="2"/>
  <c r="AD975" i="2"/>
  <c r="AT975" i="2"/>
  <c r="AF977" i="2"/>
  <c r="AV977" i="2"/>
  <c r="V979" i="2"/>
  <c r="AL979" i="2"/>
  <c r="AF985" i="2"/>
  <c r="AV985" i="2"/>
  <c r="Y992" i="2"/>
  <c r="AO992" i="2"/>
  <c r="AF993" i="2"/>
  <c r="AV993" i="2"/>
  <c r="AD999" i="2"/>
  <c r="AT999" i="2"/>
  <c r="Y1000" i="2"/>
  <c r="AO1000" i="2"/>
  <c r="AF1001" i="2"/>
  <c r="AV1001" i="2"/>
  <c r="AD1007" i="2"/>
  <c r="AT1007" i="2"/>
  <c r="Y1008" i="2"/>
  <c r="AO1008" i="2"/>
  <c r="AF1009" i="2"/>
  <c r="AV1009" i="2"/>
  <c r="V1011" i="2"/>
  <c r="AL1011" i="2"/>
  <c r="AK1014" i="2"/>
  <c r="Y953" i="2"/>
  <c r="AO953" i="2"/>
  <c r="AF954" i="2"/>
  <c r="AV954" i="2"/>
  <c r="AF962" i="2"/>
  <c r="AV962" i="2"/>
  <c r="S967" i="2"/>
  <c r="AI967" i="2"/>
  <c r="AD968" i="2"/>
  <c r="AT968" i="2"/>
  <c r="Y969" i="2"/>
  <c r="AO969" i="2"/>
  <c r="AF970" i="2"/>
  <c r="AV970" i="2"/>
  <c r="S975" i="2"/>
  <c r="AI975" i="2"/>
  <c r="AD976" i="2"/>
  <c r="AT976" i="2"/>
  <c r="Y977" i="2"/>
  <c r="AO977" i="2"/>
  <c r="AF978" i="2"/>
  <c r="AV978" i="2"/>
  <c r="AA979" i="2"/>
  <c r="AQ979" i="2"/>
  <c r="AD984" i="2"/>
  <c r="AT984" i="2"/>
  <c r="Y985" i="2"/>
  <c r="AO985" i="2"/>
  <c r="AF986" i="2"/>
  <c r="AV986" i="2"/>
  <c r="AD992" i="2"/>
  <c r="AT992" i="2"/>
  <c r="Y993" i="2"/>
  <c r="AO993" i="2"/>
  <c r="AF994" i="2"/>
  <c r="AV994" i="2"/>
  <c r="S999" i="2"/>
  <c r="AI999" i="2"/>
  <c r="AD1000" i="2"/>
  <c r="AT1000" i="2"/>
  <c r="Y1001" i="2"/>
  <c r="AO1001" i="2"/>
  <c r="AF1002" i="2"/>
  <c r="AV1002" i="2"/>
  <c r="S1007" i="2"/>
  <c r="AI1007" i="2"/>
  <c r="AD1008" i="2"/>
  <c r="AT1008" i="2"/>
  <c r="Y1009" i="2"/>
  <c r="AO1009" i="2"/>
  <c r="AF1010" i="2"/>
  <c r="AV1010" i="2"/>
  <c r="AA1011" i="2"/>
  <c r="AQ1011" i="2"/>
  <c r="AK1013" i="2"/>
  <c r="Q1014" i="2"/>
  <c r="AM1014" i="2"/>
  <c r="S953" i="2"/>
  <c r="AI953" i="2"/>
  <c r="AD954" i="2"/>
  <c r="AT954" i="2"/>
  <c r="AF956" i="2"/>
  <c r="AV956" i="2"/>
  <c r="AD962" i="2"/>
  <c r="AT962" i="2"/>
  <c r="AF964" i="2"/>
  <c r="AV964" i="2"/>
  <c r="Q967" i="2"/>
  <c r="AG967" i="2"/>
  <c r="AW967" i="2"/>
  <c r="X968" i="2"/>
  <c r="AN968" i="2"/>
  <c r="S969" i="2"/>
  <c r="AI969" i="2"/>
  <c r="AD970" i="2"/>
  <c r="AT970" i="2"/>
  <c r="AF972" i="2"/>
  <c r="AV972" i="2"/>
  <c r="Q975" i="2"/>
  <c r="AG975" i="2"/>
  <c r="AW975" i="2"/>
  <c r="X976" i="2"/>
  <c r="AN976" i="2"/>
  <c r="S977" i="2"/>
  <c r="AI977" i="2"/>
  <c r="AD978" i="2"/>
  <c r="AT978" i="2"/>
  <c r="Y979" i="2"/>
  <c r="AO979" i="2"/>
  <c r="AF980" i="2"/>
  <c r="AV980" i="2"/>
  <c r="X984" i="2"/>
  <c r="AN984" i="2"/>
  <c r="S985" i="2"/>
  <c r="AI985" i="2"/>
  <c r="AD986" i="2"/>
  <c r="AT986" i="2"/>
  <c r="AF988" i="2"/>
  <c r="AV988" i="2"/>
  <c r="X992" i="2"/>
  <c r="AN992" i="2"/>
  <c r="S993" i="2"/>
  <c r="AI993" i="2"/>
  <c r="AD994" i="2"/>
  <c r="AT994" i="2"/>
  <c r="AF996" i="2"/>
  <c r="AV996" i="2"/>
  <c r="Q999" i="2"/>
  <c r="AG999" i="2"/>
  <c r="AW999" i="2"/>
  <c r="X1000" i="2"/>
  <c r="AN1000" i="2"/>
  <c r="S1001" i="2"/>
  <c r="AI1001" i="2"/>
  <c r="AD1002" i="2"/>
  <c r="AT1002" i="2"/>
  <c r="AF1004" i="2"/>
  <c r="AV1004" i="2"/>
  <c r="Q1007" i="2"/>
  <c r="AG1007" i="2"/>
  <c r="AW1007" i="2"/>
  <c r="X1008" i="2"/>
  <c r="AN1008" i="2"/>
  <c r="S1009" i="2"/>
  <c r="AI1009" i="2"/>
  <c r="AD1010" i="2"/>
  <c r="AT1010" i="2"/>
  <c r="Y1011" i="2"/>
  <c r="AO1011" i="2"/>
  <c r="AF1012" i="2"/>
  <c r="AV1012" i="2"/>
  <c r="AC1013" i="2"/>
  <c r="AJ1014" i="2"/>
  <c r="AN1015" i="2"/>
  <c r="AA1018" i="2"/>
  <c r="AQ1018" i="2"/>
  <c r="V1019" i="2"/>
  <c r="AL1019" i="2"/>
  <c r="X1021" i="2"/>
  <c r="AN1021" i="2"/>
  <c r="AF1025" i="2"/>
  <c r="AV1025" i="2"/>
  <c r="AA1026" i="2"/>
  <c r="AQ1026" i="2"/>
  <c r="V1027" i="2"/>
  <c r="AL1027" i="2"/>
  <c r="X1029" i="2"/>
  <c r="AN1029" i="2"/>
  <c r="AF1033" i="2"/>
  <c r="AV1033" i="2"/>
  <c r="AA1034" i="2"/>
  <c r="AQ1034" i="2"/>
  <c r="V1035" i="2"/>
  <c r="AL1035" i="2"/>
  <c r="X1037" i="2"/>
  <c r="AN1037" i="2"/>
  <c r="AF1041" i="2"/>
  <c r="AV1041" i="2"/>
  <c r="AA1042" i="2"/>
  <c r="AQ1042" i="2"/>
  <c r="V1043" i="2"/>
  <c r="AL1043" i="2"/>
  <c r="X1045" i="2"/>
  <c r="AN1045" i="2"/>
  <c r="AF1049" i="2"/>
  <c r="AV1049" i="2"/>
  <c r="AA1050" i="2"/>
  <c r="AQ1050" i="2"/>
  <c r="V1051" i="2"/>
  <c r="AL1051" i="2"/>
  <c r="X1053" i="2"/>
  <c r="AN1053" i="2"/>
  <c r="AF1057" i="2"/>
  <c r="AV1057" i="2"/>
  <c r="AA1058" i="2"/>
  <c r="AQ1058" i="2"/>
  <c r="V1059" i="2"/>
  <c r="AL1059" i="2"/>
  <c r="X1061" i="2"/>
  <c r="AN1061" i="2"/>
  <c r="AF1065" i="2"/>
  <c r="AV1065" i="2"/>
  <c r="AA1066" i="2"/>
  <c r="AQ1066" i="2"/>
  <c r="V1067" i="2"/>
  <c r="AL1067" i="2"/>
  <c r="X1069" i="2"/>
  <c r="AN1069" i="2"/>
  <c r="AL1073" i="2"/>
  <c r="AM1074" i="2"/>
  <c r="AF1075" i="2"/>
  <c r="U1080" i="2"/>
  <c r="AQ1015" i="2"/>
  <c r="V1016" i="2"/>
  <c r="AL1016" i="2"/>
  <c r="Q1017" i="2"/>
  <c r="AG1017" i="2"/>
  <c r="AW1017" i="2"/>
  <c r="X1018" i="2"/>
  <c r="AN1018" i="2"/>
  <c r="S1019" i="2"/>
  <c r="AI1019" i="2"/>
  <c r="Y1021" i="2"/>
  <c r="AO1021" i="2"/>
  <c r="AF1022" i="2"/>
  <c r="AV1022" i="2"/>
  <c r="Q1025" i="2"/>
  <c r="AG1025" i="2"/>
  <c r="AW1025" i="2"/>
  <c r="X1026" i="2"/>
  <c r="AN1026" i="2"/>
  <c r="S1027" i="2"/>
  <c r="AI1027" i="2"/>
  <c r="Y1029" i="2"/>
  <c r="AO1029" i="2"/>
  <c r="AF1030" i="2"/>
  <c r="AV1030" i="2"/>
  <c r="Q1033" i="2"/>
  <c r="AG1033" i="2"/>
  <c r="AW1033" i="2"/>
  <c r="X1034" i="2"/>
  <c r="AN1034" i="2"/>
  <c r="S1035" i="2"/>
  <c r="AI1035" i="2"/>
  <c r="Y1037" i="2"/>
  <c r="AO1037" i="2"/>
  <c r="AF1038" i="2"/>
  <c r="AV1038" i="2"/>
  <c r="Q1041" i="2"/>
  <c r="AG1041" i="2"/>
  <c r="AW1041" i="2"/>
  <c r="X1042" i="2"/>
  <c r="AN1042" i="2"/>
  <c r="S1043" i="2"/>
  <c r="AI1043" i="2"/>
  <c r="Y1045" i="2"/>
  <c r="AO1045" i="2"/>
  <c r="AF1046" i="2"/>
  <c r="AV1046" i="2"/>
  <c r="Q1049" i="2"/>
  <c r="AG1049" i="2"/>
  <c r="AW1049" i="2"/>
  <c r="X1050" i="2"/>
  <c r="AN1050" i="2"/>
  <c r="S1051" i="2"/>
  <c r="AI1051" i="2"/>
  <c r="Y1053" i="2"/>
  <c r="AO1053" i="2"/>
  <c r="AF1054" i="2"/>
  <c r="AV1054" i="2"/>
  <c r="Q1057" i="2"/>
  <c r="AG1057" i="2"/>
  <c r="AW1057" i="2"/>
  <c r="X1058" i="2"/>
  <c r="AN1058" i="2"/>
  <c r="S1059" i="2"/>
  <c r="AI1059" i="2"/>
  <c r="Y1061" i="2"/>
  <c r="AO1061" i="2"/>
  <c r="AF1062" i="2"/>
  <c r="AV1062" i="2"/>
  <c r="Q1065" i="2"/>
  <c r="AG1065" i="2"/>
  <c r="AW1065" i="2"/>
  <c r="X1066" i="2"/>
  <c r="AN1066" i="2"/>
  <c r="S1067" i="2"/>
  <c r="AI1067" i="2"/>
  <c r="Y1069" i="2"/>
  <c r="AO1069" i="2"/>
  <c r="AF1070" i="2"/>
  <c r="AV1070" i="2"/>
  <c r="AF1073" i="2"/>
  <c r="Y1074" i="2"/>
  <c r="R1075" i="2"/>
  <c r="AU1016" i="2"/>
  <c r="Z1017" i="2"/>
  <c r="AP1017" i="2"/>
  <c r="U1018" i="2"/>
  <c r="AK1018" i="2"/>
  <c r="AB1019" i="2"/>
  <c r="AR1019" i="2"/>
  <c r="R1021" i="2"/>
  <c r="AH1021" i="2"/>
  <c r="AX1021" i="2"/>
  <c r="AC1022" i="2"/>
  <c r="AS1022" i="2"/>
  <c r="AE1024" i="2"/>
  <c r="AU1024" i="2"/>
  <c r="Z1025" i="2"/>
  <c r="AP1025" i="2"/>
  <c r="U1026" i="2"/>
  <c r="AK1026" i="2"/>
  <c r="AB1027" i="2"/>
  <c r="AR1027" i="2"/>
  <c r="R1029" i="2"/>
  <c r="AH1029" i="2"/>
  <c r="AC1030" i="2"/>
  <c r="AS1030" i="2"/>
  <c r="AE1032" i="2"/>
  <c r="AU1032" i="2"/>
  <c r="Z1033" i="2"/>
  <c r="AP1033" i="2"/>
  <c r="U1034" i="2"/>
  <c r="AK1034" i="2"/>
  <c r="AB1035" i="2"/>
  <c r="AR1035" i="2"/>
  <c r="R1037" i="2"/>
  <c r="AH1037" i="2"/>
  <c r="AC1038" i="2"/>
  <c r="AS1038" i="2"/>
  <c r="AE1040" i="2"/>
  <c r="AU1040" i="2"/>
  <c r="Z1041" i="2"/>
  <c r="AP1041" i="2"/>
  <c r="U1042" i="2"/>
  <c r="AK1042" i="2"/>
  <c r="AB1043" i="2"/>
  <c r="AR1043" i="2"/>
  <c r="R1045" i="2"/>
  <c r="AH1045" i="2"/>
  <c r="AC1046" i="2"/>
  <c r="AS1046" i="2"/>
  <c r="AE1048" i="2"/>
  <c r="AU1048" i="2"/>
  <c r="Z1049" i="2"/>
  <c r="AP1049" i="2"/>
  <c r="U1050" i="2"/>
  <c r="AK1050" i="2"/>
  <c r="AB1051" i="2"/>
  <c r="AR1051" i="2"/>
  <c r="R1053" i="2"/>
  <c r="AH1053" i="2"/>
  <c r="AX1053" i="2"/>
  <c r="AC1054" i="2"/>
  <c r="AS1054" i="2"/>
  <c r="AE1056" i="2"/>
  <c r="AU1056" i="2"/>
  <c r="Z1057" i="2"/>
  <c r="AP1057" i="2"/>
  <c r="U1058" i="2"/>
  <c r="AK1058" i="2"/>
  <c r="AB1059" i="2"/>
  <c r="AR1059" i="2"/>
  <c r="R1061" i="2"/>
  <c r="AH1061" i="2"/>
  <c r="AC1062" i="2"/>
  <c r="AS1062" i="2"/>
  <c r="AE1064" i="2"/>
  <c r="AU1064" i="2"/>
  <c r="Z1065" i="2"/>
  <c r="AP1065" i="2"/>
  <c r="U1066" i="2"/>
  <c r="AK1066" i="2"/>
  <c r="AB1067" i="2"/>
  <c r="AR1067" i="2"/>
  <c r="R1069" i="2"/>
  <c r="AH1069" i="2"/>
  <c r="AC1070" i="2"/>
  <c r="AS1070" i="2"/>
  <c r="AE1072" i="2"/>
  <c r="R1073" i="2"/>
  <c r="AQ1074" i="2"/>
  <c r="AJ1075" i="2"/>
  <c r="AS1080" i="2"/>
  <c r="AA1013" i="2"/>
  <c r="AQ1013" i="2"/>
  <c r="V1014" i="2"/>
  <c r="AL1014" i="2"/>
  <c r="Q1015" i="2"/>
  <c r="AG1015" i="2"/>
  <c r="AW1015" i="2"/>
  <c r="X1016" i="2"/>
  <c r="AN1016" i="2"/>
  <c r="S1017" i="2"/>
  <c r="AI1017" i="2"/>
  <c r="AD1018" i="2"/>
  <c r="AT1018" i="2"/>
  <c r="Y1019" i="2"/>
  <c r="AO1019" i="2"/>
  <c r="AF1020" i="2"/>
  <c r="AV1020" i="2"/>
  <c r="AA1021" i="2"/>
  <c r="AQ1021" i="2"/>
  <c r="V1022" i="2"/>
  <c r="AL1022" i="2"/>
  <c r="Q1023" i="2"/>
  <c r="AG1023" i="2"/>
  <c r="AW1023" i="2"/>
  <c r="X1024" i="2"/>
  <c r="AN1024" i="2"/>
  <c r="S1025" i="2"/>
  <c r="AI1025" i="2"/>
  <c r="AD1026" i="2"/>
  <c r="AT1026" i="2"/>
  <c r="Y1027" i="2"/>
  <c r="AO1027" i="2"/>
  <c r="AF1028" i="2"/>
  <c r="AV1028" i="2"/>
  <c r="AA1029" i="2"/>
  <c r="AQ1029" i="2"/>
  <c r="V1030" i="2"/>
  <c r="AL1030" i="2"/>
  <c r="Q1031" i="2"/>
  <c r="AG1031" i="2"/>
  <c r="AW1031" i="2"/>
  <c r="X1032" i="2"/>
  <c r="AN1032" i="2"/>
  <c r="S1033" i="2"/>
  <c r="AI1033" i="2"/>
  <c r="AD1034" i="2"/>
  <c r="AT1034" i="2"/>
  <c r="Y1035" i="2"/>
  <c r="AO1035" i="2"/>
  <c r="AF1036" i="2"/>
  <c r="AV1036" i="2"/>
  <c r="AA1037" i="2"/>
  <c r="AQ1037" i="2"/>
  <c r="V1038" i="2"/>
  <c r="AL1038" i="2"/>
  <c r="Q1039" i="2"/>
  <c r="AG1039" i="2"/>
  <c r="AW1039" i="2"/>
  <c r="X1040" i="2"/>
  <c r="AN1040" i="2"/>
  <c r="S1041" i="2"/>
  <c r="AI1041" i="2"/>
  <c r="AD1042" i="2"/>
  <c r="AT1042" i="2"/>
  <c r="Y1043" i="2"/>
  <c r="AO1043" i="2"/>
  <c r="AF1044" i="2"/>
  <c r="AV1044" i="2"/>
  <c r="AA1045" i="2"/>
  <c r="AQ1045" i="2"/>
  <c r="V1046" i="2"/>
  <c r="AL1046" i="2"/>
  <c r="Q1047" i="2"/>
  <c r="AG1047" i="2"/>
  <c r="AW1047" i="2"/>
  <c r="X1048" i="2"/>
  <c r="AN1048" i="2"/>
  <c r="S1049" i="2"/>
  <c r="AI1049" i="2"/>
  <c r="AD1050" i="2"/>
  <c r="AT1050" i="2"/>
  <c r="Y1051" i="2"/>
  <c r="AO1051" i="2"/>
  <c r="AF1052" i="2"/>
  <c r="AV1052" i="2"/>
  <c r="AA1053" i="2"/>
  <c r="AQ1053" i="2"/>
  <c r="V1054" i="2"/>
  <c r="AL1054" i="2"/>
  <c r="Q1055" i="2"/>
  <c r="AG1055" i="2"/>
  <c r="AW1055" i="2"/>
  <c r="X1056" i="2"/>
  <c r="AN1056" i="2"/>
  <c r="S1057" i="2"/>
  <c r="AI1057" i="2"/>
  <c r="AD1058" i="2"/>
  <c r="AT1058" i="2"/>
  <c r="Y1059" i="2"/>
  <c r="AO1059" i="2"/>
  <c r="AF1060" i="2"/>
  <c r="AV1060" i="2"/>
  <c r="AA1061" i="2"/>
  <c r="AQ1061" i="2"/>
  <c r="V1062" i="2"/>
  <c r="AL1062" i="2"/>
  <c r="Q1063" i="2"/>
  <c r="AG1063" i="2"/>
  <c r="AW1063" i="2"/>
  <c r="X1064" i="2"/>
  <c r="AN1064" i="2"/>
  <c r="S1065" i="2"/>
  <c r="AI1065" i="2"/>
  <c r="AD1066" i="2"/>
  <c r="AT1066" i="2"/>
  <c r="Y1067" i="2"/>
  <c r="AO1067" i="2"/>
  <c r="AF1068" i="2"/>
  <c r="AV1068" i="2"/>
  <c r="AA1069" i="2"/>
  <c r="AQ1069" i="2"/>
  <c r="V1070" i="2"/>
  <c r="AL1070" i="2"/>
  <c r="Q1071" i="2"/>
  <c r="AG1071" i="2"/>
  <c r="AW1071" i="2"/>
  <c r="X1072" i="2"/>
  <c r="AQ1072" i="2"/>
  <c r="AJ1073" i="2"/>
  <c r="AC1074" i="2"/>
  <c r="V1075" i="2"/>
  <c r="AV1077" i="2"/>
  <c r="AR1072" i="2"/>
  <c r="W1073" i="2"/>
  <c r="AM1073" i="2"/>
  <c r="R1074" i="2"/>
  <c r="AH1074" i="2"/>
  <c r="AC1075" i="2"/>
  <c r="AS1075" i="2"/>
  <c r="AE1077" i="2"/>
  <c r="AU1077" i="2"/>
  <c r="U1079" i="2"/>
  <c r="AK1079" i="2"/>
  <c r="AB1080" i="2"/>
  <c r="AR1080" i="2"/>
  <c r="R1082" i="2"/>
  <c r="AH1082" i="2"/>
  <c r="AX1082" i="2"/>
  <c r="AE1085" i="2"/>
  <c r="AU1085" i="2"/>
  <c r="U1087" i="2"/>
  <c r="AK1087" i="2"/>
  <c r="AB1088" i="2"/>
  <c r="AR1088" i="2"/>
  <c r="R1090" i="2"/>
  <c r="AH1090" i="2"/>
  <c r="AE1093" i="2"/>
  <c r="AU1093" i="2"/>
  <c r="U1095" i="2"/>
  <c r="AK1095" i="2"/>
  <c r="AB1096" i="2"/>
  <c r="AR1096" i="2"/>
  <c r="R1098" i="2"/>
  <c r="AH1098" i="2"/>
  <c r="AA1100" i="2"/>
  <c r="AV1102" i="2"/>
  <c r="AU1103" i="2"/>
  <c r="AP1105" i="2"/>
  <c r="AF1081" i="2"/>
  <c r="AV1081" i="2"/>
  <c r="AA1082" i="2"/>
  <c r="AQ1082" i="2"/>
  <c r="Q1084" i="2"/>
  <c r="AG1084" i="2"/>
  <c r="AW1084" i="2"/>
  <c r="X1085" i="2"/>
  <c r="AN1085" i="2"/>
  <c r="AD1087" i="2"/>
  <c r="AT1087" i="2"/>
  <c r="Y1088" i="2"/>
  <c r="AO1088" i="2"/>
  <c r="AF1089" i="2"/>
  <c r="AV1089" i="2"/>
  <c r="AA1090" i="2"/>
  <c r="AQ1090" i="2"/>
  <c r="Q1092" i="2"/>
  <c r="AG1092" i="2"/>
  <c r="AW1092" i="2"/>
  <c r="X1093" i="2"/>
  <c r="AN1093" i="2"/>
  <c r="AD1095" i="2"/>
  <c r="AT1095" i="2"/>
  <c r="Y1096" i="2"/>
  <c r="AO1096" i="2"/>
  <c r="AF1097" i="2"/>
  <c r="AV1097" i="2"/>
  <c r="AA1098" i="2"/>
  <c r="AQ1098" i="2"/>
  <c r="AT1100" i="2"/>
  <c r="AG1102" i="2"/>
  <c r="X1103" i="2"/>
  <c r="AS1105" i="2"/>
  <c r="AV1106" i="2"/>
  <c r="AP1072" i="2"/>
  <c r="U1073" i="2"/>
  <c r="AK1073" i="2"/>
  <c r="AB1074" i="2"/>
  <c r="AR1074" i="2"/>
  <c r="W1075" i="2"/>
  <c r="AM1075" i="2"/>
  <c r="R1076" i="2"/>
  <c r="AH1076" i="2"/>
  <c r="AC1077" i="2"/>
  <c r="AS1077" i="2"/>
  <c r="T1078" i="2"/>
  <c r="AJ1078" i="2"/>
  <c r="AE1079" i="2"/>
  <c r="AU1079" i="2"/>
  <c r="Z1080" i="2"/>
  <c r="AP1080" i="2"/>
  <c r="U1081" i="2"/>
  <c r="AK1081" i="2"/>
  <c r="AB1082" i="2"/>
  <c r="AR1082" i="2"/>
  <c r="R1084" i="2"/>
  <c r="AH1084" i="2"/>
  <c r="AC1085" i="2"/>
  <c r="AS1085" i="2"/>
  <c r="T1086" i="2"/>
  <c r="AJ1086" i="2"/>
  <c r="AE1087" i="2"/>
  <c r="AU1087" i="2"/>
  <c r="Z1088" i="2"/>
  <c r="AP1088" i="2"/>
  <c r="U1089" i="2"/>
  <c r="AK1089" i="2"/>
  <c r="AB1090" i="2"/>
  <c r="AR1090" i="2"/>
  <c r="R1092" i="2"/>
  <c r="AH1092" i="2"/>
  <c r="AC1093" i="2"/>
  <c r="AS1093" i="2"/>
  <c r="T1094" i="2"/>
  <c r="AJ1094" i="2"/>
  <c r="AE1095" i="2"/>
  <c r="AU1095" i="2"/>
  <c r="Z1096" i="2"/>
  <c r="AP1096" i="2"/>
  <c r="U1097" i="2"/>
  <c r="AK1097" i="2"/>
  <c r="AB1098" i="2"/>
  <c r="AR1098" i="2"/>
  <c r="V1099" i="2"/>
  <c r="AU1099" i="2"/>
  <c r="AU1100" i="2"/>
  <c r="AJ1102" i="2"/>
  <c r="AA1103" i="2"/>
  <c r="AT1105" i="2"/>
  <c r="AB1079" i="2"/>
  <c r="AR1079" i="2"/>
  <c r="W1080" i="2"/>
  <c r="AM1080" i="2"/>
  <c r="R1081" i="2"/>
  <c r="AH1081" i="2"/>
  <c r="AC1082" i="2"/>
  <c r="AS1082" i="2"/>
  <c r="T1083" i="2"/>
  <c r="AJ1083" i="2"/>
  <c r="AE1084" i="2"/>
  <c r="AU1084" i="2"/>
  <c r="Z1085" i="2"/>
  <c r="AP1085" i="2"/>
  <c r="U1086" i="2"/>
  <c r="AK1086" i="2"/>
  <c r="AB1087" i="2"/>
  <c r="AR1087" i="2"/>
  <c r="W1088" i="2"/>
  <c r="AM1088" i="2"/>
  <c r="R1089" i="2"/>
  <c r="AH1089" i="2"/>
  <c r="AC1090" i="2"/>
  <c r="AS1090" i="2"/>
  <c r="T1091" i="2"/>
  <c r="AJ1091" i="2"/>
  <c r="AE1092" i="2"/>
  <c r="AU1092" i="2"/>
  <c r="Z1093" i="2"/>
  <c r="AP1093" i="2"/>
  <c r="U1094" i="2"/>
  <c r="AK1094" i="2"/>
  <c r="AB1095" i="2"/>
  <c r="AR1095" i="2"/>
  <c r="W1096" i="2"/>
  <c r="AM1096" i="2"/>
  <c r="R1097" i="2"/>
  <c r="AH1097" i="2"/>
  <c r="AX1097" i="2"/>
  <c r="AC1098" i="2"/>
  <c r="AS1098" i="2"/>
  <c r="W1099" i="2"/>
  <c r="AV1099" i="2"/>
  <c r="AP1100" i="2"/>
  <c r="AK1101" i="2"/>
  <c r="AC1102" i="2"/>
  <c r="T1103" i="2"/>
  <c r="AT1104" i="2"/>
  <c r="AO1105" i="2"/>
  <c r="U1099" i="2"/>
  <c r="AK1099" i="2"/>
  <c r="AB1100" i="2"/>
  <c r="AR1100" i="2"/>
  <c r="W1101" i="2"/>
  <c r="AM1101" i="2"/>
  <c r="R1102" i="2"/>
  <c r="AH1102" i="2"/>
  <c r="AC1103" i="2"/>
  <c r="AS1103" i="2"/>
  <c r="T1104" i="2"/>
  <c r="AJ1104" i="2"/>
  <c r="AE1105" i="2"/>
  <c r="AU1105" i="2"/>
  <c r="Z1106" i="2"/>
  <c r="AP1106" i="2"/>
  <c r="U1107" i="2"/>
  <c r="AK1107" i="2"/>
  <c r="AB1108" i="2"/>
  <c r="AR1108" i="2"/>
  <c r="W1109" i="2"/>
  <c r="AM1109" i="2"/>
  <c r="AC1111" i="2"/>
  <c r="AS1111" i="2"/>
  <c r="T1112" i="2"/>
  <c r="AJ1112" i="2"/>
  <c r="AE1113" i="2"/>
  <c r="AU1113" i="2"/>
  <c r="Z1114" i="2"/>
  <c r="AP1114" i="2"/>
  <c r="U1115" i="2"/>
  <c r="AK1115" i="2"/>
  <c r="AB1116" i="2"/>
  <c r="AR1116" i="2"/>
  <c r="W1117" i="2"/>
  <c r="AM1117" i="2"/>
  <c r="AC1119" i="2"/>
  <c r="AS1119" i="2"/>
  <c r="T1120" i="2"/>
  <c r="AJ1120" i="2"/>
  <c r="AE1121" i="2"/>
  <c r="AU1121" i="2"/>
  <c r="Z1122" i="2"/>
  <c r="AP1122" i="2"/>
  <c r="U1123" i="2"/>
  <c r="AK1123" i="2"/>
  <c r="AB1124" i="2"/>
  <c r="AR1124" i="2"/>
  <c r="W1125" i="2"/>
  <c r="AM1125" i="2"/>
  <c r="AC1127" i="2"/>
  <c r="AS1127" i="2"/>
  <c r="V1128" i="2"/>
  <c r="AF1131" i="2"/>
  <c r="U1133" i="2"/>
  <c r="AJ1134" i="2"/>
  <c r="AX1099" i="2"/>
  <c r="AC1100" i="2"/>
  <c r="AS1100" i="2"/>
  <c r="T1101" i="2"/>
  <c r="AJ1101" i="2"/>
  <c r="AE1102" i="2"/>
  <c r="AU1102" i="2"/>
  <c r="Z1103" i="2"/>
  <c r="AP1103" i="2"/>
  <c r="U1104" i="2"/>
  <c r="AK1104" i="2"/>
  <c r="AB1105" i="2"/>
  <c r="AR1105" i="2"/>
  <c r="W1106" i="2"/>
  <c r="AM1106" i="2"/>
  <c r="R1107" i="2"/>
  <c r="AH1107" i="2"/>
  <c r="AC1108" i="2"/>
  <c r="AS1108" i="2"/>
  <c r="T1109" i="2"/>
  <c r="AJ1109" i="2"/>
  <c r="Z1111" i="2"/>
  <c r="AP1111" i="2"/>
  <c r="U1112" i="2"/>
  <c r="AK1112" i="2"/>
  <c r="AB1113" i="2"/>
  <c r="AR1113" i="2"/>
  <c r="W1114" i="2"/>
  <c r="AM1114" i="2"/>
  <c r="R1115" i="2"/>
  <c r="AH1115" i="2"/>
  <c r="AX1115" i="2"/>
  <c r="AC1116" i="2"/>
  <c r="AS1116" i="2"/>
  <c r="T1117" i="2"/>
  <c r="AJ1117" i="2"/>
  <c r="Z1119" i="2"/>
  <c r="AP1119" i="2"/>
  <c r="U1120" i="2"/>
  <c r="AK1120" i="2"/>
  <c r="AB1121" i="2"/>
  <c r="AR1121" i="2"/>
  <c r="W1122" i="2"/>
  <c r="AM1122" i="2"/>
  <c r="R1123" i="2"/>
  <c r="AH1123" i="2"/>
  <c r="AC1124" i="2"/>
  <c r="AS1124" i="2"/>
  <c r="T1125" i="2"/>
  <c r="AJ1125" i="2"/>
  <c r="Z1127" i="2"/>
  <c r="AP1127" i="2"/>
  <c r="W1128" i="2"/>
  <c r="AI1131" i="2"/>
  <c r="V1133" i="2"/>
  <c r="AN1134" i="2"/>
  <c r="AD1108" i="2"/>
  <c r="AT1108" i="2"/>
  <c r="Y1109" i="2"/>
  <c r="AO1109" i="2"/>
  <c r="AF1110" i="2"/>
  <c r="AV1110" i="2"/>
  <c r="AA1111" i="2"/>
  <c r="AQ1111" i="2"/>
  <c r="V1112" i="2"/>
  <c r="AL1112" i="2"/>
  <c r="Q1113" i="2"/>
  <c r="AG1113" i="2"/>
  <c r="AW1113" i="2"/>
  <c r="X1114" i="2"/>
  <c r="AN1114" i="2"/>
  <c r="S1115" i="2"/>
  <c r="AI1115" i="2"/>
  <c r="AD1116" i="2"/>
  <c r="AT1116" i="2"/>
  <c r="Y1117" i="2"/>
  <c r="AO1117" i="2"/>
  <c r="AF1118" i="2"/>
  <c r="AV1118" i="2"/>
  <c r="AA1119" i="2"/>
  <c r="AQ1119" i="2"/>
  <c r="V1120" i="2"/>
  <c r="AL1120" i="2"/>
  <c r="Q1121" i="2"/>
  <c r="AG1121" i="2"/>
  <c r="AW1121" i="2"/>
  <c r="X1122" i="2"/>
  <c r="AN1122" i="2"/>
  <c r="S1123" i="2"/>
  <c r="AI1123" i="2"/>
  <c r="AD1124" i="2"/>
  <c r="AT1124" i="2"/>
  <c r="Y1125" i="2"/>
  <c r="AO1125" i="2"/>
  <c r="AF1126" i="2"/>
  <c r="AV1126" i="2"/>
  <c r="AA1127" i="2"/>
  <c r="AQ1127" i="2"/>
  <c r="Z1128" i="2"/>
  <c r="AJ1131" i="2"/>
  <c r="AD1132" i="2"/>
  <c r="Y1133" i="2"/>
  <c r="AR1134" i="2"/>
  <c r="AC1106" i="2"/>
  <c r="AS1106" i="2"/>
  <c r="T1107" i="2"/>
  <c r="AJ1107" i="2"/>
  <c r="AE1108" i="2"/>
  <c r="AU1108" i="2"/>
  <c r="Z1109" i="2"/>
  <c r="AP1109" i="2"/>
  <c r="U1110" i="2"/>
  <c r="AK1110" i="2"/>
  <c r="AB1111" i="2"/>
  <c r="AR1111" i="2"/>
  <c r="W1112" i="2"/>
  <c r="AM1112" i="2"/>
  <c r="R1113" i="2"/>
  <c r="AH1113" i="2"/>
  <c r="AC1114" i="2"/>
  <c r="AS1114" i="2"/>
  <c r="T1115" i="2"/>
  <c r="AJ1115" i="2"/>
  <c r="AE1116" i="2"/>
  <c r="AU1116" i="2"/>
  <c r="Z1117" i="2"/>
  <c r="AP1117" i="2"/>
  <c r="U1118" i="2"/>
  <c r="AK1118" i="2"/>
  <c r="AB1119" i="2"/>
  <c r="AR1119" i="2"/>
  <c r="W1120" i="2"/>
  <c r="AM1120" i="2"/>
  <c r="R1121" i="2"/>
  <c r="AH1121" i="2"/>
  <c r="AC1122" i="2"/>
  <c r="AS1122" i="2"/>
  <c r="T1123" i="2"/>
  <c r="AJ1123" i="2"/>
  <c r="AE1124" i="2"/>
  <c r="AU1124" i="2"/>
  <c r="Z1125" i="2"/>
  <c r="AP1125" i="2"/>
  <c r="U1126" i="2"/>
  <c r="AK1126" i="2"/>
  <c r="AB1127" i="2"/>
  <c r="AR1127" i="2"/>
  <c r="AA1128" i="2"/>
  <c r="AV1130" i="2"/>
  <c r="AU1131" i="2"/>
  <c r="AU1132" i="2"/>
  <c r="Y1128" i="2"/>
  <c r="AO1128" i="2"/>
  <c r="AF1129" i="2"/>
  <c r="AV1129" i="2"/>
  <c r="AA1130" i="2"/>
  <c r="AQ1130" i="2"/>
  <c r="V1131" i="2"/>
  <c r="AL1131" i="2"/>
  <c r="Q1132" i="2"/>
  <c r="AG1132" i="2"/>
  <c r="AW1132" i="2"/>
  <c r="X1133" i="2"/>
  <c r="AN1133" i="2"/>
  <c r="S1134" i="2"/>
  <c r="AI1134" i="2"/>
  <c r="AD1135" i="2"/>
  <c r="AT1135" i="2"/>
  <c r="Y1136" i="2"/>
  <c r="AO1136" i="2"/>
  <c r="AF1137" i="2"/>
  <c r="AV1137" i="2"/>
  <c r="AA1138" i="2"/>
  <c r="AQ1138" i="2"/>
  <c r="Q1140" i="2"/>
  <c r="AG1140" i="2"/>
  <c r="AW1140" i="2"/>
  <c r="X1141" i="2"/>
  <c r="AN1141" i="2"/>
  <c r="AD1143" i="2"/>
  <c r="AT1143" i="2"/>
  <c r="Y1144" i="2"/>
  <c r="AO1144" i="2"/>
  <c r="AF1145" i="2"/>
  <c r="AV1145" i="2"/>
  <c r="AA1146" i="2"/>
  <c r="AQ1146" i="2"/>
  <c r="Q1148" i="2"/>
  <c r="AG1148" i="2"/>
  <c r="AW1148" i="2"/>
  <c r="X1149" i="2"/>
  <c r="AN1149" i="2"/>
  <c r="AD1151" i="2"/>
  <c r="AT1151" i="2"/>
  <c r="Y1152" i="2"/>
  <c r="AO1152" i="2"/>
  <c r="AF1153" i="2"/>
  <c r="AV1153" i="2"/>
  <c r="AA1154" i="2"/>
  <c r="AQ1154" i="2"/>
  <c r="AS1157" i="2"/>
  <c r="AJ1158" i="2"/>
  <c r="Y1160" i="2"/>
  <c r="Q1161" i="2"/>
  <c r="AW1161" i="2"/>
  <c r="V1163" i="2"/>
  <c r="AV1134" i="2"/>
  <c r="AA1135" i="2"/>
  <c r="AQ1135" i="2"/>
  <c r="V1136" i="2"/>
  <c r="AL1136" i="2"/>
  <c r="Q1137" i="2"/>
  <c r="AG1137" i="2"/>
  <c r="AW1137" i="2"/>
  <c r="X1138" i="2"/>
  <c r="AN1138" i="2"/>
  <c r="AD1140" i="2"/>
  <c r="AT1140" i="2"/>
  <c r="Y1141" i="2"/>
  <c r="AO1141" i="2"/>
  <c r="AF1142" i="2"/>
  <c r="AV1142" i="2"/>
  <c r="AA1143" i="2"/>
  <c r="AQ1143" i="2"/>
  <c r="V1144" i="2"/>
  <c r="AL1144" i="2"/>
  <c r="Q1145" i="2"/>
  <c r="AG1145" i="2"/>
  <c r="AW1145" i="2"/>
  <c r="X1146" i="2"/>
  <c r="AN1146" i="2"/>
  <c r="AD1148" i="2"/>
  <c r="AT1148" i="2"/>
  <c r="Y1149" i="2"/>
  <c r="AO1149" i="2"/>
  <c r="AF1150" i="2"/>
  <c r="AV1150" i="2"/>
  <c r="AA1151" i="2"/>
  <c r="AQ1151" i="2"/>
  <c r="V1152" i="2"/>
  <c r="AL1152" i="2"/>
  <c r="Q1153" i="2"/>
  <c r="AG1153" i="2"/>
  <c r="AW1153" i="2"/>
  <c r="X1154" i="2"/>
  <c r="AN1154" i="2"/>
  <c r="AN1157" i="2"/>
  <c r="AM1158" i="2"/>
  <c r="AH1160" i="2"/>
  <c r="AB1161" i="2"/>
  <c r="S1162" i="2"/>
  <c r="AP1163" i="2"/>
  <c r="AL1133" i="2"/>
  <c r="Q1134" i="2"/>
  <c r="AG1134" i="2"/>
  <c r="AW1134" i="2"/>
  <c r="X1135" i="2"/>
  <c r="AN1135" i="2"/>
  <c r="S1136" i="2"/>
  <c r="AI1136" i="2"/>
  <c r="AD1137" i="2"/>
  <c r="AT1137" i="2"/>
  <c r="Y1138" i="2"/>
  <c r="AO1138" i="2"/>
  <c r="AF1139" i="2"/>
  <c r="AV1139" i="2"/>
  <c r="AA1140" i="2"/>
  <c r="AQ1140" i="2"/>
  <c r="V1141" i="2"/>
  <c r="AL1141" i="2"/>
  <c r="Q1142" i="2"/>
  <c r="AG1142" i="2"/>
  <c r="AW1142" i="2"/>
  <c r="X1143" i="2"/>
  <c r="AN1143" i="2"/>
  <c r="S1144" i="2"/>
  <c r="AI1144" i="2"/>
  <c r="AD1145" i="2"/>
  <c r="AT1145" i="2"/>
  <c r="Y1146" i="2"/>
  <c r="AO1146" i="2"/>
  <c r="AF1147" i="2"/>
  <c r="AV1147" i="2"/>
  <c r="AA1148" i="2"/>
  <c r="AQ1148" i="2"/>
  <c r="V1149" i="2"/>
  <c r="AL1149" i="2"/>
  <c r="Q1150" i="2"/>
  <c r="AG1150" i="2"/>
  <c r="AW1150" i="2"/>
  <c r="X1151" i="2"/>
  <c r="AN1151" i="2"/>
  <c r="S1152" i="2"/>
  <c r="AI1152" i="2"/>
  <c r="AD1153" i="2"/>
  <c r="AT1153" i="2"/>
  <c r="Y1154" i="2"/>
  <c r="AO1154" i="2"/>
  <c r="AF1155" i="2"/>
  <c r="AV1155" i="2"/>
  <c r="AG1157" i="2"/>
  <c r="X1158" i="2"/>
  <c r="AS1160" i="2"/>
  <c r="AK1161" i="2"/>
  <c r="AE1162" i="2"/>
  <c r="AB1128" i="2"/>
  <c r="AR1128" i="2"/>
  <c r="W1129" i="2"/>
  <c r="AM1129" i="2"/>
  <c r="R1130" i="2"/>
  <c r="AH1130" i="2"/>
  <c r="AC1131" i="2"/>
  <c r="AS1131" i="2"/>
  <c r="T1132" i="2"/>
  <c r="AJ1132" i="2"/>
  <c r="AE1133" i="2"/>
  <c r="AU1133" i="2"/>
  <c r="Z1134" i="2"/>
  <c r="AP1134" i="2"/>
  <c r="U1135" i="2"/>
  <c r="AK1135" i="2"/>
  <c r="AB1136" i="2"/>
  <c r="AR1136" i="2"/>
  <c r="W1137" i="2"/>
  <c r="AM1137" i="2"/>
  <c r="R1138" i="2"/>
  <c r="AH1138" i="2"/>
  <c r="AX1138" i="2"/>
  <c r="AC1139" i="2"/>
  <c r="AS1139" i="2"/>
  <c r="T1140" i="2"/>
  <c r="AJ1140" i="2"/>
  <c r="AE1141" i="2"/>
  <c r="AU1141" i="2"/>
  <c r="Z1142" i="2"/>
  <c r="AP1142" i="2"/>
  <c r="U1143" i="2"/>
  <c r="AK1143" i="2"/>
  <c r="AB1144" i="2"/>
  <c r="AR1144" i="2"/>
  <c r="W1145" i="2"/>
  <c r="AM1145" i="2"/>
  <c r="R1146" i="2"/>
  <c r="AH1146" i="2"/>
  <c r="AC1147" i="2"/>
  <c r="AS1147" i="2"/>
  <c r="T1148" i="2"/>
  <c r="AJ1148" i="2"/>
  <c r="AE1149" i="2"/>
  <c r="AU1149" i="2"/>
  <c r="Z1150" i="2"/>
  <c r="AP1150" i="2"/>
  <c r="U1151" i="2"/>
  <c r="AK1151" i="2"/>
  <c r="AB1152" i="2"/>
  <c r="AR1152" i="2"/>
  <c r="W1153" i="2"/>
  <c r="AM1153" i="2"/>
  <c r="R1154" i="2"/>
  <c r="AH1154" i="2"/>
  <c r="AC1155" i="2"/>
  <c r="AS1155" i="2"/>
  <c r="AB1157" i="2"/>
  <c r="S1158" i="2"/>
  <c r="AL1160" i="2"/>
  <c r="AF1161" i="2"/>
  <c r="AI1162" i="2"/>
  <c r="AD1157" i="2"/>
  <c r="AT1157" i="2"/>
  <c r="Y1158" i="2"/>
  <c r="AO1158" i="2"/>
  <c r="AF1159" i="2"/>
  <c r="AV1159" i="2"/>
  <c r="AA1160" i="2"/>
  <c r="AQ1160" i="2"/>
  <c r="V1161" i="2"/>
  <c r="AL1161" i="2"/>
  <c r="Q1162" i="2"/>
  <c r="AG1162" i="2"/>
  <c r="AW1162" i="2"/>
  <c r="X1163" i="2"/>
  <c r="AN1163" i="2"/>
  <c r="AD1165" i="2"/>
  <c r="AT1165" i="2"/>
  <c r="Y1166" i="2"/>
  <c r="AO1166" i="2"/>
  <c r="AF1167" i="2"/>
  <c r="AV1167" i="2"/>
  <c r="AA1168" i="2"/>
  <c r="AQ1168" i="2"/>
  <c r="V1169" i="2"/>
  <c r="AL1169" i="2"/>
  <c r="Q1170" i="2"/>
  <c r="AG1170" i="2"/>
  <c r="AW1170" i="2"/>
  <c r="X1171" i="2"/>
  <c r="AN1171" i="2"/>
  <c r="AD1173" i="2"/>
  <c r="AT1173" i="2"/>
  <c r="Y1174" i="2"/>
  <c r="AO1174" i="2"/>
  <c r="AF1175" i="2"/>
  <c r="AV1175" i="2"/>
  <c r="AA1176" i="2"/>
  <c r="AQ1176" i="2"/>
  <c r="V1177" i="2"/>
  <c r="AL1177" i="2"/>
  <c r="Q1178" i="2"/>
  <c r="AG1178" i="2"/>
  <c r="AW1178" i="2"/>
  <c r="X1179" i="2"/>
  <c r="AN1179" i="2"/>
  <c r="AD1181" i="2"/>
  <c r="AT1181" i="2"/>
  <c r="Y1182" i="2"/>
  <c r="AO1182" i="2"/>
  <c r="Q1183" i="2"/>
  <c r="AL1183" i="2"/>
  <c r="X1184" i="2"/>
  <c r="AS1184" i="2"/>
  <c r="AE1185" i="2"/>
  <c r="AH1186" i="2"/>
  <c r="AK1187" i="2"/>
  <c r="AB1188" i="2"/>
  <c r="AF1156" i="2"/>
  <c r="AV1156" i="2"/>
  <c r="AA1157" i="2"/>
  <c r="AQ1157" i="2"/>
  <c r="V1158" i="2"/>
  <c r="AL1158" i="2"/>
  <c r="Q1159" i="2"/>
  <c r="AG1159" i="2"/>
  <c r="AW1159" i="2"/>
  <c r="X1160" i="2"/>
  <c r="AN1160" i="2"/>
  <c r="S1161" i="2"/>
  <c r="AI1161" i="2"/>
  <c r="AD1162" i="2"/>
  <c r="AT1162" i="2"/>
  <c r="Y1163" i="2"/>
  <c r="AO1163" i="2"/>
  <c r="AF1164" i="2"/>
  <c r="AV1164" i="2"/>
  <c r="AA1165" i="2"/>
  <c r="AQ1165" i="2"/>
  <c r="V1166" i="2"/>
  <c r="AL1166" i="2"/>
  <c r="Q1167" i="2"/>
  <c r="AG1167" i="2"/>
  <c r="AW1167" i="2"/>
  <c r="X1168" i="2"/>
  <c r="AN1168" i="2"/>
  <c r="S1169" i="2"/>
  <c r="AI1169" i="2"/>
  <c r="AD1170" i="2"/>
  <c r="AT1170" i="2"/>
  <c r="Y1171" i="2"/>
  <c r="AO1171" i="2"/>
  <c r="AF1172" i="2"/>
  <c r="AV1172" i="2"/>
  <c r="AA1173" i="2"/>
  <c r="AQ1173" i="2"/>
  <c r="V1174" i="2"/>
  <c r="AL1174" i="2"/>
  <c r="Q1175" i="2"/>
  <c r="AG1175" i="2"/>
  <c r="AW1175" i="2"/>
  <c r="X1176" i="2"/>
  <c r="AN1176" i="2"/>
  <c r="S1177" i="2"/>
  <c r="AI1177" i="2"/>
  <c r="AD1178" i="2"/>
  <c r="AT1178" i="2"/>
  <c r="Y1179" i="2"/>
  <c r="AO1179" i="2"/>
  <c r="AF1180" i="2"/>
  <c r="AV1180" i="2"/>
  <c r="AA1181" i="2"/>
  <c r="AQ1181" i="2"/>
  <c r="V1182" i="2"/>
  <c r="AL1182" i="2"/>
  <c r="R1183" i="2"/>
  <c r="AN1183" i="2"/>
  <c r="Y1184" i="2"/>
  <c r="AU1184" i="2"/>
  <c r="AA1185" i="2"/>
  <c r="AV1185" i="2"/>
  <c r="AI1186" i="2"/>
  <c r="Q1187" i="2"/>
  <c r="AL1187" i="2"/>
  <c r="AC1188" i="2"/>
  <c r="AJ1189" i="2"/>
  <c r="T1165" i="2"/>
  <c r="AJ1165" i="2"/>
  <c r="AE1166" i="2"/>
  <c r="AU1166" i="2"/>
  <c r="Z1167" i="2"/>
  <c r="AP1167" i="2"/>
  <c r="U1168" i="2"/>
  <c r="AK1168" i="2"/>
  <c r="AB1169" i="2"/>
  <c r="AR1169" i="2"/>
  <c r="W1170" i="2"/>
  <c r="AM1170" i="2"/>
  <c r="R1171" i="2"/>
  <c r="AH1171" i="2"/>
  <c r="AC1172" i="2"/>
  <c r="AS1172" i="2"/>
  <c r="T1173" i="2"/>
  <c r="AJ1173" i="2"/>
  <c r="AE1174" i="2"/>
  <c r="AU1174" i="2"/>
  <c r="Z1175" i="2"/>
  <c r="AP1175" i="2"/>
  <c r="U1176" i="2"/>
  <c r="AK1176" i="2"/>
  <c r="AB1177" i="2"/>
  <c r="AR1177" i="2"/>
  <c r="W1178" i="2"/>
  <c r="AM1178" i="2"/>
  <c r="R1179" i="2"/>
  <c r="AH1179" i="2"/>
  <c r="AC1180" i="2"/>
  <c r="AS1180" i="2"/>
  <c r="T1181" i="2"/>
  <c r="AJ1181" i="2"/>
  <c r="AE1182" i="2"/>
  <c r="AU1182" i="2"/>
  <c r="AD1183" i="2"/>
  <c r="AF1184" i="2"/>
  <c r="AH1185" i="2"/>
  <c r="U1186" i="2"/>
  <c r="AP1186" i="2"/>
  <c r="X1187" i="2"/>
  <c r="AT1187" i="2"/>
  <c r="AN1188" i="2"/>
  <c r="AB1162" i="2"/>
  <c r="AR1162" i="2"/>
  <c r="W1163" i="2"/>
  <c r="AM1163" i="2"/>
  <c r="R1164" i="2"/>
  <c r="AH1164" i="2"/>
  <c r="AX1164" i="2"/>
  <c r="AC1165" i="2"/>
  <c r="AS1165" i="2"/>
  <c r="T1166" i="2"/>
  <c r="AJ1166" i="2"/>
  <c r="AE1167" i="2"/>
  <c r="AU1167" i="2"/>
  <c r="Z1168" i="2"/>
  <c r="AP1168" i="2"/>
  <c r="U1169" i="2"/>
  <c r="AK1169" i="2"/>
  <c r="AB1170" i="2"/>
  <c r="AR1170" i="2"/>
  <c r="W1171" i="2"/>
  <c r="AM1171" i="2"/>
  <c r="R1172" i="2"/>
  <c r="AH1172" i="2"/>
  <c r="AC1173" i="2"/>
  <c r="AS1173" i="2"/>
  <c r="T1174" i="2"/>
  <c r="AJ1174" i="2"/>
  <c r="AE1175" i="2"/>
  <c r="AU1175" i="2"/>
  <c r="Z1176" i="2"/>
  <c r="AP1176" i="2"/>
  <c r="U1177" i="2"/>
  <c r="AK1177" i="2"/>
  <c r="AB1178" i="2"/>
  <c r="AR1178" i="2"/>
  <c r="W1179" i="2"/>
  <c r="AM1179" i="2"/>
  <c r="R1180" i="2"/>
  <c r="AH1180" i="2"/>
  <c r="AC1181" i="2"/>
  <c r="AS1181" i="2"/>
  <c r="T1182" i="2"/>
  <c r="AJ1182" i="2"/>
  <c r="AF1183" i="2"/>
  <c r="AG1184" i="2"/>
  <c r="S1185" i="2"/>
  <c r="AN1185" i="2"/>
  <c r="V1186" i="2"/>
  <c r="AQ1186" i="2"/>
  <c r="AD1187" i="2"/>
  <c r="Q1188" i="2"/>
  <c r="AW1188" i="2"/>
  <c r="AV1187" i="2"/>
  <c r="AA1188" i="2"/>
  <c r="AQ1188" i="2"/>
  <c r="V1189" i="2"/>
  <c r="AL1189" i="2"/>
  <c r="R1190" i="2"/>
  <c r="AM1190" i="2"/>
  <c r="U1191" i="2"/>
  <c r="AP1191" i="2"/>
  <c r="W1192" i="2"/>
  <c r="AR1192" i="2"/>
  <c r="AD1193" i="2"/>
  <c r="AG1194" i="2"/>
  <c r="T1195" i="2"/>
  <c r="AO1195" i="2"/>
  <c r="U1196" i="2"/>
  <c r="AQ1196" i="2"/>
  <c r="X1197" i="2"/>
  <c r="R1198" i="2"/>
  <c r="AS1199" i="2"/>
  <c r="AB1201" i="2"/>
  <c r="AB1202" i="2"/>
  <c r="AI1203" i="2"/>
  <c r="AV1206" i="2"/>
  <c r="T1209" i="2"/>
  <c r="Y1210" i="2"/>
  <c r="AA1211" i="2"/>
  <c r="W1189" i="2"/>
  <c r="AM1189" i="2"/>
  <c r="S1190" i="2"/>
  <c r="AO1190" i="2"/>
  <c r="V1191" i="2"/>
  <c r="AR1191" i="2"/>
  <c r="AC1192" i="2"/>
  <c r="AJ1193" i="2"/>
  <c r="R1194" i="2"/>
  <c r="AM1194" i="2"/>
  <c r="U1195" i="2"/>
  <c r="AP1195" i="2"/>
  <c r="W1196" i="2"/>
  <c r="AR1196" i="2"/>
  <c r="AI1197" i="2"/>
  <c r="AA1198" i="2"/>
  <c r="V1199" i="2"/>
  <c r="AV1200" i="2"/>
  <c r="AV1201" i="2"/>
  <c r="Q1206" i="2"/>
  <c r="W1207" i="2"/>
  <c r="AA1208" i="2"/>
  <c r="AH1209" i="2"/>
  <c r="AK1210" i="2"/>
  <c r="AM1211" i="2"/>
  <c r="AE1190" i="2"/>
  <c r="AH1191" i="2"/>
  <c r="T1192" i="2"/>
  <c r="AO1192" i="2"/>
  <c r="V1193" i="2"/>
  <c r="AQ1193" i="2"/>
  <c r="AD1194" i="2"/>
  <c r="AG1195" i="2"/>
  <c r="S1196" i="2"/>
  <c r="AN1196" i="2"/>
  <c r="AB1197" i="2"/>
  <c r="V1198" i="2"/>
  <c r="Q1199" i="2"/>
  <c r="AW1199" i="2"/>
  <c r="AO1200" i="2"/>
  <c r="AF1201" i="2"/>
  <c r="AG1202" i="2"/>
  <c r="AN1203" i="2"/>
  <c r="U1208" i="2"/>
  <c r="Y1209" i="2"/>
  <c r="AE1210" i="2"/>
  <c r="AF1211" i="2"/>
  <c r="AE1183" i="2"/>
  <c r="AU1183" i="2"/>
  <c r="Z1184" i="2"/>
  <c r="AP1184" i="2"/>
  <c r="U1185" i="2"/>
  <c r="AK1185" i="2"/>
  <c r="AB1186" i="2"/>
  <c r="AR1186" i="2"/>
  <c r="W1187" i="2"/>
  <c r="AM1187" i="2"/>
  <c r="R1188" i="2"/>
  <c r="AH1188" i="2"/>
  <c r="AC1189" i="2"/>
  <c r="AS1189" i="2"/>
  <c r="V1190" i="2"/>
  <c r="AQ1190" i="2"/>
  <c r="AD1191" i="2"/>
  <c r="AF1192" i="2"/>
  <c r="AH1193" i="2"/>
  <c r="U1194" i="2"/>
  <c r="AP1194" i="2"/>
  <c r="X1195" i="2"/>
  <c r="AS1195" i="2"/>
  <c r="AE1196" i="2"/>
  <c r="AM1197" i="2"/>
  <c r="AM1198" i="2"/>
  <c r="AH1199" i="2"/>
  <c r="AB1200" i="2"/>
  <c r="S1201" i="2"/>
  <c r="T1203" i="2"/>
  <c r="AF1205" i="2"/>
  <c r="AG1206" i="2"/>
  <c r="AM1207" i="2"/>
  <c r="AQ1208" i="2"/>
  <c r="T1190" i="2"/>
  <c r="AJ1190" i="2"/>
  <c r="AE1191" i="2"/>
  <c r="AU1191" i="2"/>
  <c r="Z1192" i="2"/>
  <c r="AP1192" i="2"/>
  <c r="U1193" i="2"/>
  <c r="AK1193" i="2"/>
  <c r="AB1194" i="2"/>
  <c r="AR1194" i="2"/>
  <c r="W1195" i="2"/>
  <c r="AM1195" i="2"/>
  <c r="R1196" i="2"/>
  <c r="AH1196" i="2"/>
  <c r="AC1197" i="2"/>
  <c r="AS1197" i="2"/>
  <c r="T1198" i="2"/>
  <c r="AJ1198" i="2"/>
  <c r="AE1199" i="2"/>
  <c r="AU1199" i="2"/>
  <c r="Z1200" i="2"/>
  <c r="AP1200" i="2"/>
  <c r="U1201" i="2"/>
  <c r="AK1201" i="2"/>
  <c r="T1202" i="2"/>
  <c r="AO1202" i="2"/>
  <c r="V1203" i="2"/>
  <c r="AQ1203" i="2"/>
  <c r="AG1205" i="2"/>
  <c r="S1206" i="2"/>
  <c r="AN1206" i="2"/>
  <c r="Z1207" i="2"/>
  <c r="AU1207" i="2"/>
  <c r="AC1208" i="2"/>
  <c r="AF1209" i="2"/>
  <c r="AG1210" i="2"/>
  <c r="S1211" i="2"/>
  <c r="AN1211" i="2"/>
  <c r="V1197" i="2"/>
  <c r="AL1197" i="2"/>
  <c r="Q1198" i="2"/>
  <c r="AG1198" i="2"/>
  <c r="AW1198" i="2"/>
  <c r="X1199" i="2"/>
  <c r="AN1199" i="2"/>
  <c r="S1200" i="2"/>
  <c r="AI1200" i="2"/>
  <c r="AD1201" i="2"/>
  <c r="AT1201" i="2"/>
  <c r="AA1202" i="2"/>
  <c r="AV1202" i="2"/>
  <c r="AB1203" i="2"/>
  <c r="R1205" i="2"/>
  <c r="AN1205" i="2"/>
  <c r="Y1206" i="2"/>
  <c r="AU1206" i="2"/>
  <c r="AA1207" i="2"/>
  <c r="AV1207" i="2"/>
  <c r="AI1208" i="2"/>
  <c r="Q1209" i="2"/>
  <c r="AL1209" i="2"/>
  <c r="X1210" i="2"/>
  <c r="AS1210" i="2"/>
  <c r="AE1211" i="2"/>
  <c r="AK1213" i="2"/>
  <c r="AD1202" i="2"/>
  <c r="AT1202" i="2"/>
  <c r="Y1203" i="2"/>
  <c r="AO1203" i="2"/>
  <c r="AF1204" i="2"/>
  <c r="AV1204" i="2"/>
  <c r="AA1205" i="2"/>
  <c r="AQ1205" i="2"/>
  <c r="V1206" i="2"/>
  <c r="AL1206" i="2"/>
  <c r="Q1207" i="2"/>
  <c r="AG1207" i="2"/>
  <c r="AW1207" i="2"/>
  <c r="X1208" i="2"/>
  <c r="AN1208" i="2"/>
  <c r="S1209" i="2"/>
  <c r="AI1209" i="2"/>
  <c r="AD1210" i="2"/>
  <c r="AT1210" i="2"/>
  <c r="Y1211" i="2"/>
  <c r="AO1211" i="2"/>
  <c r="AF1212" i="2"/>
  <c r="AV1212" i="2"/>
  <c r="AA1213" i="2"/>
  <c r="AQ1213" i="2"/>
  <c r="S701" i="2"/>
  <c r="R702" i="2"/>
  <c r="S688" i="2"/>
  <c r="S703" i="2"/>
  <c r="Q620" i="2"/>
  <c r="R620" i="2" s="1"/>
  <c r="Q624" i="2"/>
  <c r="Q628" i="2"/>
  <c r="R628" i="2" s="1"/>
  <c r="Q632" i="2"/>
  <c r="Q636" i="2"/>
  <c r="Q640" i="2"/>
  <c r="Q644" i="2"/>
  <c r="R644" i="2" s="1"/>
  <c r="Q648" i="2"/>
  <c r="Q652" i="2"/>
  <c r="R652" i="2" s="1"/>
  <c r="Q656" i="2"/>
  <c r="Q660" i="2"/>
  <c r="R660" i="2" s="1"/>
  <c r="Q664" i="2"/>
  <c r="Q668" i="2"/>
  <c r="Q672" i="2"/>
  <c r="Q676" i="2"/>
  <c r="R622" i="2"/>
  <c r="R630" i="2"/>
  <c r="R638" i="2"/>
  <c r="R646" i="2"/>
  <c r="R654" i="2"/>
  <c r="R662" i="2"/>
  <c r="R670" i="2"/>
  <c r="T675" i="2"/>
  <c r="U675" i="2" s="1"/>
  <c r="R678" i="2"/>
  <c r="C685" i="2"/>
  <c r="I683" i="2"/>
  <c r="C684" i="2"/>
  <c r="B43" i="2"/>
  <c r="D43" i="2" s="1"/>
  <c r="P42" i="2"/>
  <c r="Q42" i="2" s="1"/>
  <c r="U999" i="2"/>
  <c r="AK999" i="2"/>
  <c r="AC1011" i="2"/>
  <c r="AS1011" i="2"/>
  <c r="AF1019" i="2"/>
  <c r="AV1019" i="2"/>
  <c r="AF1027" i="2"/>
  <c r="AV1027" i="2"/>
  <c r="AF1035" i="2"/>
  <c r="AV1035" i="2"/>
  <c r="AF1043" i="2"/>
  <c r="AV1043" i="2"/>
  <c r="AF1051" i="2"/>
  <c r="AV1051" i="2"/>
  <c r="AF1059" i="2"/>
  <c r="AV1059" i="2"/>
  <c r="AF1067" i="2"/>
  <c r="AV1067" i="2"/>
  <c r="Z1014" i="2"/>
  <c r="AP1014" i="2"/>
  <c r="AC1019" i="2"/>
  <c r="AS1019" i="2"/>
  <c r="AE1021" i="2"/>
  <c r="AU1021" i="2"/>
  <c r="AC1027" i="2"/>
  <c r="AS1027" i="2"/>
  <c r="AE1029" i="2"/>
  <c r="AU1029" i="2"/>
  <c r="AC1035" i="2"/>
  <c r="AS1035" i="2"/>
  <c r="AE1037" i="2"/>
  <c r="AU1037" i="2"/>
  <c r="AC1043" i="2"/>
  <c r="AS1043" i="2"/>
  <c r="AE1045" i="2"/>
  <c r="AU1045" i="2"/>
  <c r="AC1051" i="2"/>
  <c r="AS1051" i="2"/>
  <c r="AE1053" i="2"/>
  <c r="AU1053" i="2"/>
  <c r="AC1059" i="2"/>
  <c r="AS1059" i="2"/>
  <c r="AE1061" i="2"/>
  <c r="AU1061" i="2"/>
  <c r="AC1067" i="2"/>
  <c r="AS1067" i="2"/>
  <c r="AE1069" i="2"/>
  <c r="AU1069" i="2"/>
  <c r="AD1075" i="2"/>
  <c r="Q1075" i="2"/>
  <c r="AG1075" i="2"/>
  <c r="AW1075" i="2"/>
  <c r="AF1080" i="2"/>
  <c r="AV1080" i="2"/>
  <c r="AF1088" i="2"/>
  <c r="AV1088" i="2"/>
  <c r="AF1096" i="2"/>
  <c r="AV1096" i="2"/>
  <c r="AC1088" i="2"/>
  <c r="AS1088" i="2"/>
  <c r="AC1096" i="2"/>
  <c r="AS1096" i="2"/>
  <c r="AF1074" i="2"/>
  <c r="AV1074" i="2"/>
  <c r="AA1075" i="2"/>
  <c r="AQ1075" i="2"/>
  <c r="AD1080" i="2"/>
  <c r="AT1080" i="2"/>
  <c r="AF1082" i="2"/>
  <c r="AV1082" i="2"/>
  <c r="AD1088" i="2"/>
  <c r="AT1088" i="2"/>
  <c r="AF1090" i="2"/>
  <c r="AV1090" i="2"/>
  <c r="AD1096" i="2"/>
  <c r="AT1096" i="2"/>
  <c r="AF1098" i="2"/>
  <c r="AV1098" i="2"/>
  <c r="AA1080" i="2"/>
  <c r="AQ1080" i="2"/>
  <c r="Q1082" i="2"/>
  <c r="AG1082" i="2"/>
  <c r="AW1082" i="2"/>
  <c r="AF1087" i="2"/>
  <c r="AV1087" i="2"/>
  <c r="AA1088" i="2"/>
  <c r="AQ1088" i="2"/>
  <c r="Q1090" i="2"/>
  <c r="AG1090" i="2"/>
  <c r="AW1090" i="2"/>
  <c r="AF1095" i="2"/>
  <c r="AV1095" i="2"/>
  <c r="AA1096" i="2"/>
  <c r="AQ1096" i="2"/>
  <c r="Q1098" i="2"/>
  <c r="AG1098" i="2"/>
  <c r="AW1098" i="2"/>
  <c r="AF1100" i="2"/>
  <c r="AV1100" i="2"/>
  <c r="AF1108" i="2"/>
  <c r="AV1108" i="2"/>
  <c r="AF1116" i="2"/>
  <c r="AV1116" i="2"/>
  <c r="AF1124" i="2"/>
  <c r="AV1124" i="2"/>
  <c r="Q1100" i="2"/>
  <c r="AG1100" i="2"/>
  <c r="AW1100" i="2"/>
  <c r="AF1105" i="2"/>
  <c r="AV1105" i="2"/>
  <c r="Q1108" i="2"/>
  <c r="AG1108" i="2"/>
  <c r="AW1108" i="2"/>
  <c r="AF1113" i="2"/>
  <c r="AV1113" i="2"/>
  <c r="Q1116" i="2"/>
  <c r="AG1116" i="2"/>
  <c r="AW1116" i="2"/>
  <c r="AF1121" i="2"/>
  <c r="AV1121" i="2"/>
  <c r="Q1124" i="2"/>
  <c r="AG1124" i="2"/>
  <c r="AW1124" i="2"/>
  <c r="R1108" i="2"/>
  <c r="AH1108" i="2"/>
  <c r="U1113" i="2"/>
  <c r="AK1113" i="2"/>
  <c r="R1116" i="2"/>
  <c r="AH1116" i="2"/>
  <c r="U1121" i="2"/>
  <c r="AK1121" i="2"/>
  <c r="R1124" i="2"/>
  <c r="AH1124" i="2"/>
  <c r="AX1124" i="2"/>
  <c r="S1108" i="2"/>
  <c r="AI1108" i="2"/>
  <c r="AF1111" i="2"/>
  <c r="AV1111" i="2"/>
  <c r="V1113" i="2"/>
  <c r="AL1113" i="2"/>
  <c r="S1116" i="2"/>
  <c r="AI1116" i="2"/>
  <c r="AF1119" i="2"/>
  <c r="AV1119" i="2"/>
  <c r="V1121" i="2"/>
  <c r="AL1121" i="2"/>
  <c r="S1124" i="2"/>
  <c r="AI1124" i="2"/>
  <c r="AF1127" i="2"/>
  <c r="AV1127" i="2"/>
  <c r="W1134" i="2"/>
  <c r="AM1134" i="2"/>
  <c r="AV1157" i="2"/>
  <c r="AA1162" i="2"/>
  <c r="U1134" i="2"/>
  <c r="AK1134" i="2"/>
  <c r="AO1157" i="2"/>
  <c r="AU1162" i="2"/>
  <c r="Q1131" i="2"/>
  <c r="AG1131" i="2"/>
  <c r="AW1131" i="2"/>
  <c r="AD1134" i="2"/>
  <c r="AT1134" i="2"/>
  <c r="AF1136" i="2"/>
  <c r="AV1136" i="2"/>
  <c r="AF1144" i="2"/>
  <c r="AV1144" i="2"/>
  <c r="AF1152" i="2"/>
  <c r="AV1152" i="2"/>
  <c r="AJ1157" i="2"/>
  <c r="R1157" i="2"/>
  <c r="AH1157" i="2"/>
  <c r="U1162" i="2"/>
  <c r="AK1162" i="2"/>
  <c r="AE1157" i="2"/>
  <c r="AU1157" i="2"/>
  <c r="R1162" i="2"/>
  <c r="AH1162" i="2"/>
  <c r="AF1169" i="2"/>
  <c r="AV1169" i="2"/>
  <c r="AF1177" i="2"/>
  <c r="AV1177" i="2"/>
  <c r="AK1184" i="2"/>
  <c r="AV1188" i="2"/>
  <c r="AF1162" i="2"/>
  <c r="AV1162" i="2"/>
  <c r="AA1163" i="2"/>
  <c r="AQ1163" i="2"/>
  <c r="Y1169" i="2"/>
  <c r="AO1169" i="2"/>
  <c r="AF1170" i="2"/>
  <c r="AV1170" i="2"/>
  <c r="AA1171" i="2"/>
  <c r="AQ1171" i="2"/>
  <c r="Y1177" i="2"/>
  <c r="AO1177" i="2"/>
  <c r="AF1178" i="2"/>
  <c r="AV1178" i="2"/>
  <c r="AA1179" i="2"/>
  <c r="AQ1179" i="2"/>
  <c r="AK1183" i="2"/>
  <c r="Q1184" i="2"/>
  <c r="AM1184" i="2"/>
  <c r="Y1188" i="2"/>
  <c r="AE1188" i="2"/>
  <c r="AU1188" i="2"/>
  <c r="AB1206" i="2"/>
  <c r="U1206" i="2"/>
  <c r="S1183" i="2"/>
  <c r="AI1183" i="2"/>
  <c r="AD1184" i="2"/>
  <c r="AT1184" i="2"/>
  <c r="Y1185" i="2"/>
  <c r="AO1185" i="2"/>
  <c r="AF1186" i="2"/>
  <c r="AV1186" i="2"/>
  <c r="V1188" i="2"/>
  <c r="AL1188" i="2"/>
  <c r="AW1189" i="2"/>
  <c r="AJ1191" i="2"/>
  <c r="AK1192" i="2"/>
  <c r="R1193" i="2"/>
  <c r="AM1193" i="2"/>
  <c r="AC1195" i="2"/>
  <c r="AJ1196" i="2"/>
  <c r="AU1197" i="2"/>
  <c r="AP1199" i="2"/>
  <c r="AA1201" i="2"/>
  <c r="X1202" i="2"/>
  <c r="AR1206" i="2"/>
  <c r="AX1207" i="2"/>
  <c r="U1210" i="2"/>
  <c r="W1211" i="2"/>
  <c r="S1191" i="2"/>
  <c r="AI1191" i="2"/>
  <c r="AD1192" i="2"/>
  <c r="AT1192" i="2"/>
  <c r="Y1193" i="2"/>
  <c r="AO1193" i="2"/>
  <c r="AF1194" i="2"/>
  <c r="AV1194" i="2"/>
  <c r="AA1195" i="2"/>
  <c r="AQ1195" i="2"/>
  <c r="V1196" i="2"/>
  <c r="AL1196" i="2"/>
  <c r="Q1197" i="2"/>
  <c r="AG1197" i="2"/>
  <c r="AW1197" i="2"/>
  <c r="S1199" i="2"/>
  <c r="AI1199" i="2"/>
  <c r="Y1201" i="2"/>
  <c r="AO1201" i="2"/>
  <c r="Y1202" i="2"/>
  <c r="AU1202" i="2"/>
  <c r="X1206" i="2"/>
  <c r="AS1206" i="2"/>
  <c r="AE1207" i="2"/>
  <c r="AH1208" i="2"/>
  <c r="AK1209" i="2"/>
  <c r="Q1210" i="2"/>
  <c r="AM1210" i="2"/>
  <c r="X1211" i="2"/>
  <c r="AT1211" i="2"/>
  <c r="Z1197" i="2"/>
  <c r="AP1197" i="2"/>
  <c r="U1198" i="2"/>
  <c r="AK1198" i="2"/>
  <c r="AB1199" i="2"/>
  <c r="AR1199" i="2"/>
  <c r="R1201" i="2"/>
  <c r="AH1201" i="2"/>
  <c r="AF1202" i="2"/>
  <c r="AH1203" i="2"/>
  <c r="AE1206" i="2"/>
  <c r="AF1207" i="2"/>
  <c r="S1208" i="2"/>
  <c r="AO1208" i="2"/>
  <c r="V1209" i="2"/>
  <c r="AR1209" i="2"/>
  <c r="AC1210" i="2"/>
  <c r="AJ1211" i="2"/>
  <c r="R1202" i="2"/>
  <c r="AH1202" i="2"/>
  <c r="AC1203" i="2"/>
  <c r="AS1203" i="2"/>
  <c r="Z1206" i="2"/>
  <c r="AP1206" i="2"/>
  <c r="U1207" i="2"/>
  <c r="AK1207" i="2"/>
  <c r="AB1208" i="2"/>
  <c r="AR1208" i="2"/>
  <c r="W1209" i="2"/>
  <c r="AM1209" i="2"/>
  <c r="R1210" i="2"/>
  <c r="AH1210" i="2"/>
  <c r="AC1211" i="2"/>
  <c r="AS1211" i="2"/>
  <c r="C615" i="2"/>
  <c r="I613" i="2"/>
  <c r="C614" i="2"/>
  <c r="BA37" i="2"/>
  <c r="AK37" i="2"/>
  <c r="AK1295" i="2" s="1"/>
  <c r="U37" i="2"/>
  <c r="U1295" i="2" s="1"/>
  <c r="AX813" i="2" l="1"/>
  <c r="AX746" i="2"/>
  <c r="AX715" i="2"/>
  <c r="AX738" i="2"/>
  <c r="AX766" i="2"/>
  <c r="AX1023" i="2"/>
  <c r="AX926" i="2"/>
  <c r="AX910" i="2"/>
  <c r="AX714" i="2"/>
  <c r="AX887" i="2"/>
  <c r="AX1083" i="2"/>
  <c r="AX1001" i="2"/>
  <c r="AX836" i="2"/>
  <c r="AX1181" i="2"/>
  <c r="AX1052" i="2"/>
  <c r="AX797" i="2"/>
  <c r="AX789" i="2"/>
  <c r="AX1155" i="2"/>
  <c r="AX814" i="2"/>
  <c r="AX785" i="2"/>
  <c r="AX867" i="2"/>
  <c r="AX931" i="2"/>
  <c r="AX923" i="2"/>
  <c r="AX749" i="2"/>
  <c r="AX777" i="2"/>
  <c r="AX806" i="2"/>
  <c r="AX1063" i="2"/>
  <c r="AX1173" i="2"/>
  <c r="AX967" i="2"/>
  <c r="AX883" i="2"/>
  <c r="AX915" i="2"/>
  <c r="AX1008" i="2"/>
  <c r="AX1174" i="2"/>
  <c r="AX1140" i="2"/>
  <c r="AX1086" i="2"/>
  <c r="AX964" i="2"/>
  <c r="AX731" i="2"/>
  <c r="AX735" i="2"/>
  <c r="AX884" i="2"/>
  <c r="AX969" i="2"/>
  <c r="AX991" i="2"/>
  <c r="AX1033" i="2"/>
  <c r="AX1007" i="2"/>
  <c r="AX954" i="2"/>
  <c r="AX986" i="2"/>
  <c r="AX970" i="2"/>
  <c r="AX1025" i="2"/>
  <c r="AX1057" i="2"/>
  <c r="AX1060" i="2"/>
  <c r="AX1110" i="2"/>
  <c r="AX1153" i="2"/>
  <c r="AX1137" i="2"/>
  <c r="AX1145" i="2"/>
  <c r="AX1211" i="2"/>
  <c r="AX890" i="2"/>
  <c r="AX838" i="2"/>
  <c r="AX896" i="2"/>
  <c r="AX893" i="2"/>
  <c r="AX950" i="2"/>
  <c r="AX937" i="2"/>
  <c r="AX761" i="2"/>
  <c r="AX787" i="2"/>
  <c r="AX819" i="2"/>
  <c r="AX776" i="2"/>
  <c r="AX808" i="2"/>
  <c r="AX845" i="2"/>
  <c r="AX987" i="2"/>
  <c r="AX892" i="2"/>
  <c r="AX862" i="2"/>
  <c r="AX866" i="2"/>
  <c r="AX904" i="2"/>
  <c r="AX719" i="2"/>
  <c r="AX730" i="2"/>
  <c r="AX855" i="2"/>
  <c r="AX922" i="2"/>
  <c r="AX870" i="2"/>
  <c r="AX918" i="2"/>
  <c r="AX946" i="2"/>
  <c r="AX981" i="2"/>
  <c r="AX985" i="2"/>
  <c r="AX1020" i="2"/>
  <c r="AX1036" i="2"/>
  <c r="AX1000" i="2"/>
  <c r="AX825" i="2"/>
  <c r="AX798" i="2"/>
  <c r="AX1015" i="2"/>
  <c r="AX952" i="2"/>
  <c r="AX847" i="2"/>
  <c r="AX767" i="2"/>
  <c r="AX733" i="2"/>
  <c r="AX1055" i="2"/>
  <c r="AX930" i="2"/>
  <c r="AX942" i="2"/>
  <c r="AX993" i="2"/>
  <c r="AX774" i="2"/>
  <c r="AX911" i="2"/>
  <c r="AX809" i="2"/>
  <c r="AX734" i="2"/>
  <c r="AX989" i="2"/>
  <c r="AX832" i="2"/>
  <c r="AX947" i="2"/>
  <c r="AX919" i="2"/>
  <c r="AX1028" i="2"/>
  <c r="AX1190" i="2"/>
  <c r="AX1165" i="2"/>
  <c r="AX996" i="2"/>
  <c r="AX1095" i="2"/>
  <c r="AX1087" i="2"/>
  <c r="AX1148" i="2"/>
  <c r="AX1150" i="2"/>
  <c r="AX956" i="2"/>
  <c r="AX1004" i="2"/>
  <c r="AX968" i="2"/>
  <c r="AX1114" i="2"/>
  <c r="AX1204" i="2"/>
  <c r="AX743" i="2"/>
  <c r="AX755" i="2"/>
  <c r="AX914" i="2"/>
  <c r="AX868" i="2"/>
  <c r="AX1010" i="2"/>
  <c r="AX1026" i="2"/>
  <c r="AX962" i="2"/>
  <c r="AX1100" i="2"/>
  <c r="AX1135" i="2"/>
  <c r="AX1187" i="2"/>
  <c r="AX1199" i="2"/>
  <c r="AX1205" i="2"/>
  <c r="AX1200" i="2"/>
  <c r="AX740" i="2"/>
  <c r="AX906" i="2"/>
  <c r="AX830" i="2"/>
  <c r="AX912" i="2"/>
  <c r="AX901" i="2"/>
  <c r="AX917" i="2"/>
  <c r="AX928" i="2"/>
  <c r="AX873" i="2"/>
  <c r="AX974" i="2"/>
  <c r="AX998" i="2"/>
  <c r="AX756" i="2"/>
  <c r="AX759" i="2"/>
  <c r="AX779" i="2"/>
  <c r="AX811" i="2"/>
  <c r="AX784" i="2"/>
  <c r="AX816" i="2"/>
  <c r="AX827" i="2"/>
  <c r="AX850" i="2"/>
  <c r="AX920" i="2"/>
  <c r="AX876" i="2"/>
  <c r="AX882" i="2"/>
  <c r="AX842" i="2"/>
  <c r="AX872" i="2"/>
  <c r="AX888" i="2"/>
  <c r="AX944" i="2"/>
  <c r="AX857" i="2"/>
  <c r="AX921" i="2"/>
  <c r="AX754" i="2"/>
  <c r="AX886" i="2"/>
  <c r="AX878" i="2"/>
  <c r="AX894" i="2"/>
  <c r="AX750" i="2"/>
  <c r="AX722" i="2"/>
  <c r="AX907" i="2"/>
  <c r="AX934" i="2"/>
  <c r="AX903" i="2"/>
  <c r="AX753" i="2"/>
  <c r="AX859" i="2"/>
  <c r="AX875" i="2"/>
  <c r="AX1009" i="2"/>
  <c r="AX741" i="2"/>
  <c r="AX781" i="2"/>
  <c r="AX935" i="2"/>
  <c r="AX758" i="2"/>
  <c r="AX1178" i="2"/>
  <c r="AX1104" i="2"/>
  <c r="AX821" i="2"/>
  <c r="AX729" i="2"/>
  <c r="AX844" i="2"/>
  <c r="AX1139" i="2"/>
  <c r="AX939" i="2"/>
  <c r="AX1122" i="2"/>
  <c r="AX895" i="2"/>
  <c r="AX840" i="2"/>
  <c r="AX943" i="2"/>
  <c r="AX1143" i="2"/>
  <c r="AX817" i="2"/>
  <c r="AX843" i="2"/>
  <c r="AX929" i="2"/>
  <c r="AX1068" i="2"/>
  <c r="AX976" i="2"/>
  <c r="AX1094" i="2"/>
  <c r="AX980" i="2"/>
  <c r="AX1044" i="2"/>
  <c r="AX1166" i="2"/>
  <c r="AX1156" i="2"/>
  <c r="AX1132" i="2"/>
  <c r="AX1194" i="2"/>
  <c r="AX727" i="2"/>
  <c r="AX984" i="2"/>
  <c r="AX1103" i="2"/>
  <c r="AX1182" i="2"/>
  <c r="AX747" i="2"/>
  <c r="AX751" i="2"/>
  <c r="AX739" i="2"/>
  <c r="AX999" i="2"/>
  <c r="AX900" i="2"/>
  <c r="AX975" i="2"/>
  <c r="AX1042" i="2"/>
  <c r="AX1002" i="2"/>
  <c r="AX1041" i="2"/>
  <c r="AX994" i="2"/>
  <c r="AX1058" i="2"/>
  <c r="AX1065" i="2"/>
  <c r="AX1034" i="2"/>
  <c r="AX1105" i="2"/>
  <c r="AX1050" i="2"/>
  <c r="AX1189" i="2"/>
  <c r="AX1151" i="2"/>
  <c r="AX1213" i="2"/>
  <c r="AX1212" i="2"/>
  <c r="AX732" i="2"/>
  <c r="AX721" i="2"/>
  <c r="AX861" i="2"/>
  <c r="AX874" i="2"/>
  <c r="AX869" i="2"/>
  <c r="AX909" i="2"/>
  <c r="AX961" i="2"/>
  <c r="AX966" i="2"/>
  <c r="AX748" i="2"/>
  <c r="AX725" i="2"/>
  <c r="AX803" i="2"/>
  <c r="AX792" i="2"/>
  <c r="AX824" i="2"/>
  <c r="AX829" i="2"/>
  <c r="AX848" i="2"/>
  <c r="AX898" i="2"/>
  <c r="AX834" i="2"/>
  <c r="AX965" i="2"/>
  <c r="AX889" i="2"/>
  <c r="AX752" i="2"/>
  <c r="AX736" i="2"/>
  <c r="AX1157" i="2"/>
  <c r="AX1116" i="2"/>
  <c r="AX1188" i="2"/>
  <c r="AX1198" i="2"/>
  <c r="AX1179" i="2"/>
  <c r="AX1130" i="2"/>
  <c r="AX1123" i="2"/>
  <c r="AX1102" i="2"/>
  <c r="AX1089" i="2"/>
  <c r="AX1076" i="2"/>
  <c r="AX1079" i="2"/>
  <c r="AX1073" i="2"/>
  <c r="AX1045" i="2"/>
  <c r="AX1206" i="2"/>
  <c r="AX1201" i="2"/>
  <c r="AX1161" i="2"/>
  <c r="AX1136" i="2"/>
  <c r="AX1128" i="2"/>
  <c r="AX1120" i="2"/>
  <c r="AX1046" i="2"/>
  <c r="AX1014" i="2"/>
  <c r="AX1056" i="2"/>
  <c r="AX1024" i="2"/>
  <c r="AX1051" i="2"/>
  <c r="AX1019" i="2"/>
  <c r="AX1011" i="2"/>
  <c r="AX1096" i="2"/>
  <c r="AX849" i="2"/>
  <c r="AX951" i="2"/>
  <c r="AX973" i="2"/>
  <c r="AX839" i="2"/>
  <c r="AX831" i="2"/>
  <c r="AX820" i="2"/>
  <c r="AX788" i="2"/>
  <c r="AX823" i="2"/>
  <c r="AX791" i="2"/>
  <c r="AX786" i="2"/>
  <c r="AX771" i="2"/>
  <c r="AX717" i="2"/>
  <c r="AX763" i="2"/>
  <c r="AX983" i="2"/>
  <c r="AX795" i="2"/>
  <c r="AX990" i="2"/>
  <c r="AX982" i="2"/>
  <c r="AX769" i="2"/>
  <c r="AX1160" i="2"/>
  <c r="AX1147" i="2"/>
  <c r="AX1167" i="2"/>
  <c r="AX971" i="2"/>
  <c r="AX1091" i="2"/>
  <c r="AX879" i="2"/>
  <c r="AX1012" i="2"/>
  <c r="AX854" i="2"/>
  <c r="AX745" i="2"/>
  <c r="AX770" i="2"/>
  <c r="AX1210" i="2"/>
  <c r="AX1208" i="2"/>
  <c r="AX1209" i="2"/>
  <c r="AX1180" i="2"/>
  <c r="AX1171" i="2"/>
  <c r="AX1163" i="2"/>
  <c r="AX1154" i="2"/>
  <c r="AX1121" i="2"/>
  <c r="AX1081" i="2"/>
  <c r="AX1084" i="2"/>
  <c r="AX1098" i="2"/>
  <c r="AX1069" i="2"/>
  <c r="AX1037" i="2"/>
  <c r="AX1075" i="2"/>
  <c r="AX1013" i="2"/>
  <c r="AX1193" i="2"/>
  <c r="AX1191" i="2"/>
  <c r="AX1149" i="2"/>
  <c r="AX1133" i="2"/>
  <c r="AX1112" i="2"/>
  <c r="AX1070" i="2"/>
  <c r="AX1038" i="2"/>
  <c r="AX1048" i="2"/>
  <c r="AX1016" i="2"/>
  <c r="AX1043" i="2"/>
  <c r="AX1125" i="2"/>
  <c r="AX1117" i="2"/>
  <c r="AX1109" i="2"/>
  <c r="AX1111" i="2"/>
  <c r="AX1106" i="2"/>
  <c r="AX1093" i="2"/>
  <c r="AX1088" i="2"/>
  <c r="AX1072" i="2"/>
  <c r="AX1005" i="2"/>
  <c r="AX881" i="2"/>
  <c r="AX995" i="2"/>
  <c r="AX957" i="2"/>
  <c r="AX841" i="2"/>
  <c r="AX924" i="2"/>
  <c r="AX812" i="2"/>
  <c r="AX780" i="2"/>
  <c r="AX764" i="2"/>
  <c r="AX799" i="2"/>
  <c r="AX794" i="2"/>
  <c r="AX744" i="2"/>
  <c r="AX955" i="2"/>
  <c r="AX908" i="2"/>
  <c r="AX1006" i="2"/>
  <c r="AX905" i="2"/>
  <c r="AX949" i="2"/>
  <c r="AX941" i="2"/>
  <c r="AX933" i="2"/>
  <c r="AX925" i="2"/>
  <c r="AX885" i="2"/>
  <c r="AX877" i="2"/>
  <c r="AX864" i="2"/>
  <c r="AX1018" i="2"/>
  <c r="AX1126" i="2"/>
  <c r="AX1049" i="2"/>
  <c r="AX972" i="2"/>
  <c r="AX891" i="2"/>
  <c r="AX822" i="2"/>
  <c r="AX737" i="2"/>
  <c r="AX856" i="2"/>
  <c r="AX805" i="2"/>
  <c r="AX1047" i="2"/>
  <c r="AX782" i="2"/>
  <c r="AX1101" i="2"/>
  <c r="AX959" i="2"/>
  <c r="AX863" i="2"/>
  <c r="AX793" i="2"/>
  <c r="AX762" i="2"/>
  <c r="AX1031" i="2"/>
  <c r="AX1162" i="2"/>
  <c r="AX1108" i="2"/>
  <c r="AX1202" i="2"/>
  <c r="AX1195" i="2"/>
  <c r="AX1203" i="2"/>
  <c r="AX1196" i="2"/>
  <c r="AX1172" i="2"/>
  <c r="AX1146" i="2"/>
  <c r="AX1113" i="2"/>
  <c r="AX1107" i="2"/>
  <c r="AX1092" i="2"/>
  <c r="AX1090" i="2"/>
  <c r="AX1074" i="2"/>
  <c r="AX1061" i="2"/>
  <c r="AX1029" i="2"/>
  <c r="AX1197" i="2"/>
  <c r="AX1185" i="2"/>
  <c r="AX1177" i="2"/>
  <c r="AX1141" i="2"/>
  <c r="AX1152" i="2"/>
  <c r="AX1062" i="2"/>
  <c r="AX1030" i="2"/>
  <c r="AX1040" i="2"/>
  <c r="AX1067" i="2"/>
  <c r="AX1035" i="2"/>
  <c r="AX1184" i="2"/>
  <c r="AX1176" i="2"/>
  <c r="AX1134" i="2"/>
  <c r="AX1119" i="2"/>
  <c r="AX1085" i="2"/>
  <c r="AX1080" i="2"/>
  <c r="AX913" i="2"/>
  <c r="AX927" i="2"/>
  <c r="AX948" i="2"/>
  <c r="AX940" i="2"/>
  <c r="AX932" i="2"/>
  <c r="AX916" i="2"/>
  <c r="AX833" i="2"/>
  <c r="AX804" i="2"/>
  <c r="AX772" i="2"/>
  <c r="AX807" i="2"/>
  <c r="AX775" i="2"/>
  <c r="AX802" i="2"/>
  <c r="AX757" i="2"/>
  <c r="AX720" i="2"/>
  <c r="AX728" i="2"/>
  <c r="AX826" i="2"/>
  <c r="AX800" i="2"/>
  <c r="AX958" i="2"/>
  <c r="AX880" i="2"/>
  <c r="AX846" i="2"/>
  <c r="AX1175" i="2"/>
  <c r="AX1142" i="2"/>
  <c r="AX1078" i="2"/>
  <c r="AX978" i="2"/>
  <c r="AX765" i="2"/>
  <c r="AX1186" i="2"/>
  <c r="AX992" i="2"/>
  <c r="AX960" i="2"/>
  <c r="AX1077" i="2"/>
  <c r="AX871" i="2"/>
  <c r="AX1071" i="2"/>
  <c r="AX865" i="2"/>
  <c r="AX835" i="2"/>
  <c r="AX897" i="2"/>
  <c r="AX773" i="2"/>
  <c r="AX718" i="2"/>
  <c r="AX723" i="2"/>
  <c r="AX760" i="2"/>
  <c r="AX1170" i="2"/>
  <c r="AX726" i="2"/>
  <c r="AX988" i="2"/>
  <c r="AX902" i="2"/>
  <c r="AX860" i="2"/>
  <c r="AX977" i="2"/>
  <c r="AX828" i="2"/>
  <c r="CN38" i="2"/>
  <c r="AX1159" i="2"/>
  <c r="AX768" i="2"/>
  <c r="AX818" i="2"/>
  <c r="Z709" i="2"/>
  <c r="J709" i="2" s="1"/>
  <c r="J1200" i="2" s="1"/>
  <c r="K1200" i="2" s="1"/>
  <c r="J688" i="2"/>
  <c r="K688" i="2" s="1"/>
  <c r="K618" i="2"/>
  <c r="K679" i="2"/>
  <c r="K675" i="2"/>
  <c r="K671" i="2"/>
  <c r="K667" i="2"/>
  <c r="K663" i="2"/>
  <c r="K659" i="2"/>
  <c r="K655" i="2"/>
  <c r="K651" i="2"/>
  <c r="K647" i="2"/>
  <c r="K643" i="2"/>
  <c r="K639" i="2"/>
  <c r="K635" i="2"/>
  <c r="K631" i="2"/>
  <c r="K627" i="2"/>
  <c r="K623" i="2"/>
  <c r="K619" i="2"/>
  <c r="K678" i="2"/>
  <c r="K674" i="2"/>
  <c r="K670" i="2"/>
  <c r="K666" i="2"/>
  <c r="K662" i="2"/>
  <c r="K658" i="2"/>
  <c r="K654" i="2"/>
  <c r="K650" i="2"/>
  <c r="K646" i="2"/>
  <c r="K642" i="2"/>
  <c r="K638" i="2"/>
  <c r="K634" i="2"/>
  <c r="K630" i="2"/>
  <c r="K626" i="2"/>
  <c r="K677" i="2"/>
  <c r="K673" i="2"/>
  <c r="K669" i="2"/>
  <c r="K665" i="2"/>
  <c r="K661" i="2"/>
  <c r="K657" i="2"/>
  <c r="K653" i="2"/>
  <c r="K649" i="2"/>
  <c r="K645" i="2"/>
  <c r="K641" i="2"/>
  <c r="K637" i="2"/>
  <c r="K633" i="2"/>
  <c r="K629" i="2"/>
  <c r="K625" i="2"/>
  <c r="K621" i="2"/>
  <c r="K676" i="2"/>
  <c r="K672" i="2"/>
  <c r="K668" i="2"/>
  <c r="K664" i="2"/>
  <c r="K660" i="2"/>
  <c r="K656" i="2"/>
  <c r="K652" i="2"/>
  <c r="K648" i="2"/>
  <c r="K644" i="2"/>
  <c r="K640" i="2"/>
  <c r="K636" i="2"/>
  <c r="K632" i="2"/>
  <c r="K628" i="2"/>
  <c r="K624" i="2"/>
  <c r="K620" i="2"/>
  <c r="P1479" i="2"/>
  <c r="P1481" i="2"/>
  <c r="L1335" i="2"/>
  <c r="X1304" i="2"/>
  <c r="D1293" i="2"/>
  <c r="S1298" i="2"/>
  <c r="J1217" i="2"/>
  <c r="J1254" i="2" s="1"/>
  <c r="K1254" i="2" s="1"/>
  <c r="C1222" i="2"/>
  <c r="R40" i="2"/>
  <c r="S40" i="2" s="1"/>
  <c r="C1397" i="2"/>
  <c r="C1412" i="2"/>
  <c r="C1396" i="2"/>
  <c r="C1407" i="2"/>
  <c r="C1391" i="2"/>
  <c r="C1402" i="2"/>
  <c r="C1386" i="2"/>
  <c r="C1409" i="2"/>
  <c r="C1393" i="2"/>
  <c r="C1408" i="2"/>
  <c r="C1392" i="2"/>
  <c r="C1403" i="2"/>
  <c r="C1387" i="2"/>
  <c r="C1398" i="2"/>
  <c r="C1405" i="2"/>
  <c r="C1389" i="2"/>
  <c r="C1404" i="2"/>
  <c r="C1388" i="2"/>
  <c r="C1399" i="2"/>
  <c r="C1410" i="2"/>
  <c r="C1394" i="2"/>
  <c r="C1400" i="2"/>
  <c r="C1401" i="2"/>
  <c r="C1385" i="2"/>
  <c r="C1411" i="2"/>
  <c r="C1395" i="2"/>
  <c r="C1406" i="2"/>
  <c r="C1390" i="2"/>
  <c r="C43" i="2"/>
  <c r="K43" i="2" s="1"/>
  <c r="I705" i="2"/>
  <c r="I703" i="2"/>
  <c r="I701" i="2"/>
  <c r="I704" i="2"/>
  <c r="I702" i="2"/>
  <c r="J1314" i="2"/>
  <c r="J1310" i="2"/>
  <c r="J1306" i="2"/>
  <c r="J1302" i="2"/>
  <c r="J1298" i="2"/>
  <c r="J1317" i="2"/>
  <c r="J1313" i="2"/>
  <c r="J1309" i="2"/>
  <c r="J1305" i="2"/>
  <c r="J1301" i="2"/>
  <c r="J1316" i="2"/>
  <c r="J1312" i="2"/>
  <c r="J1308" i="2"/>
  <c r="J1304" i="2"/>
  <c r="J1300" i="2"/>
  <c r="J1315" i="2"/>
  <c r="J1311" i="2"/>
  <c r="J1307" i="2"/>
  <c r="J1303" i="2"/>
  <c r="J1299" i="2"/>
  <c r="C41" i="2"/>
  <c r="K41" i="2" s="1"/>
  <c r="J696" i="2"/>
  <c r="J705" i="2" s="1"/>
  <c r="C42" i="2"/>
  <c r="K42" i="2" s="1"/>
  <c r="C40" i="2"/>
  <c r="J40" i="2" s="1"/>
  <c r="S655" i="2"/>
  <c r="T655" i="2" s="1"/>
  <c r="S623" i="2"/>
  <c r="T623" i="2" s="1"/>
  <c r="S671" i="2"/>
  <c r="S631" i="2"/>
  <c r="T631" i="2" s="1"/>
  <c r="S663" i="2"/>
  <c r="T663" i="2" s="1"/>
  <c r="U663" i="2" s="1"/>
  <c r="T627" i="2"/>
  <c r="U627" i="2" s="1"/>
  <c r="V627" i="2" s="1"/>
  <c r="W627" i="2" s="1"/>
  <c r="S647" i="2"/>
  <c r="T647" i="2" s="1"/>
  <c r="S679" i="2"/>
  <c r="T679" i="2" s="1"/>
  <c r="S639" i="2"/>
  <c r="Q41" i="2"/>
  <c r="T665" i="2"/>
  <c r="U665" i="2" s="1"/>
  <c r="V665" i="2" s="1"/>
  <c r="L1343" i="2"/>
  <c r="L1341" i="2"/>
  <c r="L1337" i="2"/>
  <c r="L1336" i="2"/>
  <c r="L1345" i="2"/>
  <c r="R676" i="2"/>
  <c r="S676" i="2" s="1"/>
  <c r="S644" i="2"/>
  <c r="T644" i="2" s="1"/>
  <c r="T658" i="2"/>
  <c r="U658" i="2" s="1"/>
  <c r="L1339" i="2"/>
  <c r="R668" i="2"/>
  <c r="S668" i="2" s="1"/>
  <c r="R636" i="2"/>
  <c r="S636" i="2" s="1"/>
  <c r="S660" i="2"/>
  <c r="T660" i="2" s="1"/>
  <c r="U667" i="2"/>
  <c r="U651" i="2"/>
  <c r="U619" i="2"/>
  <c r="B44" i="2"/>
  <c r="D44" i="2" s="1"/>
  <c r="P43" i="2"/>
  <c r="Q43" i="2" s="1"/>
  <c r="J43" i="2"/>
  <c r="S654" i="2"/>
  <c r="T654" i="2" s="1"/>
  <c r="S622" i="2"/>
  <c r="T622" i="2" s="1"/>
  <c r="S638" i="2"/>
  <c r="T638" i="2" s="1"/>
  <c r="H42" i="2"/>
  <c r="S670" i="2"/>
  <c r="T670" i="2" s="1"/>
  <c r="T677" i="2"/>
  <c r="U677" i="2" s="1"/>
  <c r="R656" i="2"/>
  <c r="T645" i="2"/>
  <c r="U645" i="2" s="1"/>
  <c r="R624" i="2"/>
  <c r="U633" i="2"/>
  <c r="V633" i="2" s="1"/>
  <c r="S702" i="2"/>
  <c r="S669" i="2"/>
  <c r="S653" i="2"/>
  <c r="S637" i="2"/>
  <c r="S621" i="2"/>
  <c r="T674" i="2"/>
  <c r="U674" i="2" s="1"/>
  <c r="V674" i="2" s="1"/>
  <c r="T642" i="2"/>
  <c r="U642" i="2" s="1"/>
  <c r="V642" i="2" s="1"/>
  <c r="T626" i="2"/>
  <c r="U626" i="2" s="1"/>
  <c r="J42" i="2"/>
  <c r="P1376" i="2"/>
  <c r="V1376" i="2" s="1"/>
  <c r="L1342" i="2"/>
  <c r="L1347" i="2"/>
  <c r="K1363" i="2"/>
  <c r="L1348" i="2"/>
  <c r="BB1465" i="2"/>
  <c r="BB1462" i="2"/>
  <c r="BB1460" i="2"/>
  <c r="BB1458" i="2"/>
  <c r="BB1466" i="2"/>
  <c r="BB1464" i="2"/>
  <c r="BB1461" i="2"/>
  <c r="BB1459" i="2"/>
  <c r="BB1468" i="2"/>
  <c r="BB1457" i="2"/>
  <c r="BB1428" i="2"/>
  <c r="BB1423" i="2"/>
  <c r="D1423" i="2"/>
  <c r="BB1456" i="2"/>
  <c r="BB1454" i="2"/>
  <c r="BB1452" i="2"/>
  <c r="BB1450" i="2"/>
  <c r="BB1448" i="2"/>
  <c r="BB1446" i="2"/>
  <c r="BB1444" i="2"/>
  <c r="BB1442" i="2"/>
  <c r="BB1440" i="2"/>
  <c r="BB1438" i="2"/>
  <c r="BB1436" i="2"/>
  <c r="BB1434" i="2"/>
  <c r="BB1432" i="2"/>
  <c r="BB1430" i="2"/>
  <c r="BB1429" i="2"/>
  <c r="BB1467" i="2"/>
  <c r="BB1463" i="2"/>
  <c r="BB1433" i="2"/>
  <c r="BB1427" i="2"/>
  <c r="BB1425" i="2"/>
  <c r="BB1424" i="2"/>
  <c r="BB1455" i="2"/>
  <c r="BB1453" i="2"/>
  <c r="BB1451" i="2"/>
  <c r="BB1449" i="2"/>
  <c r="BB1447" i="2"/>
  <c r="BB1445" i="2"/>
  <c r="BB1443" i="2"/>
  <c r="BB1441" i="2"/>
  <c r="BB1439" i="2"/>
  <c r="BB1437" i="2"/>
  <c r="BB1435" i="2"/>
  <c r="BB1431" i="2"/>
  <c r="BB1426" i="2"/>
  <c r="R42" i="2"/>
  <c r="S662" i="2"/>
  <c r="T662" i="2" s="1"/>
  <c r="S630" i="2"/>
  <c r="T703" i="2"/>
  <c r="T701" i="2"/>
  <c r="T661" i="2"/>
  <c r="R648" i="2"/>
  <c r="S648" i="2" s="1"/>
  <c r="T648" i="2" s="1"/>
  <c r="T629" i="2"/>
  <c r="U629" i="2" s="1"/>
  <c r="V675" i="2"/>
  <c r="S673" i="2"/>
  <c r="V659" i="2"/>
  <c r="S657" i="2"/>
  <c r="V643" i="2"/>
  <c r="S641" i="2"/>
  <c r="S625" i="2"/>
  <c r="T618" i="2"/>
  <c r="I43" i="2"/>
  <c r="L1338" i="2"/>
  <c r="S646" i="2"/>
  <c r="R664" i="2"/>
  <c r="R632" i="2"/>
  <c r="S652" i="2"/>
  <c r="S620" i="2"/>
  <c r="U649" i="2"/>
  <c r="V704" i="2"/>
  <c r="Q1324" i="2"/>
  <c r="Q1295" i="2"/>
  <c r="T666" i="2"/>
  <c r="T650" i="2"/>
  <c r="T634" i="2"/>
  <c r="S705" i="2"/>
  <c r="J1412" i="2"/>
  <c r="K1412" i="2" s="1"/>
  <c r="J1410" i="2"/>
  <c r="K1410" i="2" s="1"/>
  <c r="J1408" i="2"/>
  <c r="K1408" i="2" s="1"/>
  <c r="J1406" i="2"/>
  <c r="K1406" i="2" s="1"/>
  <c r="L1430" i="2"/>
  <c r="J1411" i="2"/>
  <c r="K1411" i="2" s="1"/>
  <c r="J1409" i="2"/>
  <c r="K1409" i="2" s="1"/>
  <c r="J1407" i="2"/>
  <c r="K1407" i="2" s="1"/>
  <c r="J1405" i="2"/>
  <c r="K1405" i="2" s="1"/>
  <c r="C1381" i="2"/>
  <c r="J1402" i="2"/>
  <c r="K1402" i="2" s="1"/>
  <c r="J1400" i="2"/>
  <c r="K1400" i="2" s="1"/>
  <c r="J1398" i="2"/>
  <c r="K1398" i="2" s="1"/>
  <c r="L1398" i="2" s="1"/>
  <c r="J1396" i="2"/>
  <c r="K1396" i="2" s="1"/>
  <c r="L1396" i="2" s="1"/>
  <c r="J1394" i="2"/>
  <c r="K1394" i="2" s="1"/>
  <c r="L1394" i="2" s="1"/>
  <c r="J1392" i="2"/>
  <c r="K1392" i="2" s="1"/>
  <c r="L1392" i="2" s="1"/>
  <c r="J1390" i="2"/>
  <c r="K1390" i="2" s="1"/>
  <c r="L1390" i="2" s="1"/>
  <c r="J1388" i="2"/>
  <c r="K1388" i="2" s="1"/>
  <c r="L1388" i="2" s="1"/>
  <c r="J1386" i="2"/>
  <c r="K1386" i="2" s="1"/>
  <c r="L1386" i="2" s="1"/>
  <c r="J1404" i="2"/>
  <c r="K1404" i="2" s="1"/>
  <c r="C1382" i="2"/>
  <c r="J1403" i="2"/>
  <c r="K1403" i="2" s="1"/>
  <c r="J1401" i="2"/>
  <c r="K1401" i="2" s="1"/>
  <c r="J1399" i="2"/>
  <c r="K1399" i="2" s="1"/>
  <c r="J1397" i="2"/>
  <c r="K1397" i="2" s="1"/>
  <c r="L1397" i="2" s="1"/>
  <c r="J1395" i="2"/>
  <c r="K1395" i="2" s="1"/>
  <c r="J1393" i="2"/>
  <c r="K1393" i="2" s="1"/>
  <c r="L1393" i="2" s="1"/>
  <c r="J1391" i="2"/>
  <c r="K1391" i="2" s="1"/>
  <c r="J1389" i="2"/>
  <c r="K1389" i="2" s="1"/>
  <c r="L1389" i="2" s="1"/>
  <c r="J1387" i="2"/>
  <c r="K1387" i="2" s="1"/>
  <c r="J1385" i="2"/>
  <c r="K1385" i="2" s="1"/>
  <c r="L1385" i="2" s="1"/>
  <c r="L1344" i="2"/>
  <c r="S678" i="2"/>
  <c r="S628" i="2"/>
  <c r="U635" i="2"/>
  <c r="T688" i="2"/>
  <c r="R672" i="2"/>
  <c r="R640" i="2"/>
  <c r="P1324" i="2"/>
  <c r="P1295" i="2"/>
  <c r="L1346" i="2"/>
  <c r="L1340" i="2"/>
  <c r="AY859" i="2" l="1"/>
  <c r="AY822" i="2"/>
  <c r="AY768" i="2"/>
  <c r="CO38" i="2"/>
  <c r="AY1078" i="2"/>
  <c r="AY771" i="2"/>
  <c r="AY924" i="2"/>
  <c r="AY746" i="2"/>
  <c r="AY750" i="2"/>
  <c r="AY867" i="2"/>
  <c r="AY832" i="2"/>
  <c r="AY873" i="2"/>
  <c r="AY907" i="2"/>
  <c r="AY1030" i="2"/>
  <c r="AY941" i="2"/>
  <c r="AY937" i="2"/>
  <c r="AY834" i="2"/>
  <c r="AY835" i="2"/>
  <c r="AY980" i="2"/>
  <c r="AY926" i="2"/>
  <c r="AY865" i="2"/>
  <c r="AY1012" i="2"/>
  <c r="AY949" i="2"/>
  <c r="AY761" i="2"/>
  <c r="AY956" i="2"/>
  <c r="AY781" i="2"/>
  <c r="AY1064" i="2"/>
  <c r="AY1164" i="2"/>
  <c r="AY889" i="2"/>
  <c r="AY1052" i="2"/>
  <c r="AY1000" i="2"/>
  <c r="AY767" i="2"/>
  <c r="AY726" i="2"/>
  <c r="AY813" i="2"/>
  <c r="AY899" i="2"/>
  <c r="AY1107" i="2"/>
  <c r="AY1034" i="2"/>
  <c r="AY1139" i="2"/>
  <c r="AY1050" i="2"/>
  <c r="AY913" i="2"/>
  <c r="AY1168" i="2"/>
  <c r="AY957" i="2"/>
  <c r="AY1121" i="2"/>
  <c r="AY718" i="2"/>
  <c r="AY996" i="2"/>
  <c r="AY895" i="2"/>
  <c r="AY901" i="2"/>
  <c r="AY887" i="2"/>
  <c r="AY875" i="2"/>
  <c r="AY738" i="2"/>
  <c r="AY722" i="2"/>
  <c r="AY854" i="2"/>
  <c r="AY877" i="2"/>
  <c r="AY925" i="2"/>
  <c r="AY897" i="2"/>
  <c r="AY917" i="2"/>
  <c r="AY964" i="2"/>
  <c r="AY1026" i="2"/>
  <c r="AY1036" i="2"/>
  <c r="AY733" i="2"/>
  <c r="AY968" i="2"/>
  <c r="AY978" i="2"/>
  <c r="AY1054" i="2"/>
  <c r="AY797" i="2"/>
  <c r="AY789" i="2"/>
  <c r="AY1101" i="2"/>
  <c r="AY798" i="2"/>
  <c r="AY1173" i="2"/>
  <c r="AY861" i="2"/>
  <c r="AY725" i="2"/>
  <c r="AY774" i="2"/>
  <c r="AY1094" i="2"/>
  <c r="AY785" i="2"/>
  <c r="AY972" i="2"/>
  <c r="AY1125" i="2"/>
  <c r="AY809" i="2"/>
  <c r="AY903" i="2"/>
  <c r="AY770" i="2"/>
  <c r="AY911" i="2"/>
  <c r="AY869" i="2"/>
  <c r="AY850" i="2"/>
  <c r="AY871" i="2"/>
  <c r="AY885" i="2"/>
  <c r="AY719" i="2"/>
  <c r="AY863" i="2"/>
  <c r="AY929" i="2"/>
  <c r="AY879" i="2"/>
  <c r="AY741" i="2"/>
  <c r="AY1132" i="2"/>
  <c r="AY1099" i="2"/>
  <c r="AY1070" i="2"/>
  <c r="AY758" i="2"/>
  <c r="AY773" i="2"/>
  <c r="AY714" i="2"/>
  <c r="AY745" i="2"/>
  <c r="AY934" i="2"/>
  <c r="AY954" i="2"/>
  <c r="AY729" i="2"/>
  <c r="AY762" i="2"/>
  <c r="AY842" i="2"/>
  <c r="AY952" i="2"/>
  <c r="AY1004" i="2"/>
  <c r="AY821" i="2"/>
  <c r="AY970" i="2"/>
  <c r="AY1038" i="2"/>
  <c r="AY923" i="2"/>
  <c r="AY1040" i="2"/>
  <c r="AY778" i="2"/>
  <c r="AY805" i="2"/>
  <c r="AY802" i="2"/>
  <c r="AY847" i="2"/>
  <c r="AY883" i="2"/>
  <c r="AY945" i="2"/>
  <c r="AY1010" i="2"/>
  <c r="AY1018" i="2"/>
  <c r="AY1068" i="2"/>
  <c r="AY1097" i="2"/>
  <c r="AY892" i="2"/>
  <c r="AY1087" i="2"/>
  <c r="AY1042" i="2"/>
  <c r="AY754" i="2"/>
  <c r="AY742" i="2"/>
  <c r="AY851" i="2"/>
  <c r="AY855" i="2"/>
  <c r="AY760" i="2"/>
  <c r="AY730" i="2"/>
  <c r="AY988" i="2"/>
  <c r="AY921" i="2"/>
  <c r="AY881" i="2"/>
  <c r="AY909" i="2"/>
  <c r="AY891" i="2"/>
  <c r="AY905" i="2"/>
  <c r="AY1046" i="2"/>
  <c r="AY1014" i="2"/>
  <c r="AY721" i="2"/>
  <c r="AY790" i="2"/>
  <c r="AY918" i="2"/>
  <c r="AY950" i="2"/>
  <c r="AY1085" i="2"/>
  <c r="AY984" i="2"/>
  <c r="AY933" i="2"/>
  <c r="AY942" i="2"/>
  <c r="AY777" i="2"/>
  <c r="AY801" i="2"/>
  <c r="AY840" i="2"/>
  <c r="AY836" i="2"/>
  <c r="AY749" i="2"/>
  <c r="AY794" i="2"/>
  <c r="AY893" i="2"/>
  <c r="AY1197" i="2"/>
  <c r="AY1184" i="2"/>
  <c r="AY782" i="2"/>
  <c r="AY806" i="2"/>
  <c r="AY976" i="2"/>
  <c r="AY1008" i="2"/>
  <c r="AY843" i="2"/>
  <c r="AY1086" i="2"/>
  <c r="AY930" i="2"/>
  <c r="AY1190" i="2"/>
  <c r="AY1077" i="2"/>
  <c r="AY939" i="2"/>
  <c r="AY715" i="2"/>
  <c r="AY1172" i="2"/>
  <c r="AY1204" i="2"/>
  <c r="AY931" i="2"/>
  <c r="AY1095" i="2"/>
  <c r="AY1023" i="2"/>
  <c r="AY1044" i="2"/>
  <c r="AY1155" i="2"/>
  <c r="AY1148" i="2"/>
  <c r="AY1055" i="2"/>
  <c r="AY1032" i="2"/>
  <c r="AY1181" i="2"/>
  <c r="AY1129" i="2"/>
  <c r="AY1174" i="2"/>
  <c r="AY1198" i="2"/>
  <c r="AY764" i="2"/>
  <c r="AY786" i="2"/>
  <c r="AY1015" i="2"/>
  <c r="AY737" i="2"/>
  <c r="AY734" i="2"/>
  <c r="AY793" i="2"/>
  <c r="AY1002" i="2"/>
  <c r="AY1143" i="2"/>
  <c r="AY717" i="2"/>
  <c r="AY828" i="2"/>
  <c r="AY966" i="2"/>
  <c r="AY947" i="2"/>
  <c r="AY960" i="2"/>
  <c r="AY1079" i="2"/>
  <c r="AY915" i="2"/>
  <c r="AY1076" i="2"/>
  <c r="AY1165" i="2"/>
  <c r="AY1140" i="2"/>
  <c r="AY1135" i="2"/>
  <c r="AY1039" i="2"/>
  <c r="AY1126" i="2"/>
  <c r="AY1156" i="2"/>
  <c r="AY1180" i="2"/>
  <c r="AY723" i="2"/>
  <c r="AY1031" i="2"/>
  <c r="AY1138" i="2"/>
  <c r="AY1182" i="2"/>
  <c r="AY1048" i="2"/>
  <c r="AY1166" i="2"/>
  <c r="AY753" i="2"/>
  <c r="AY844" i="2"/>
  <c r="AY1109" i="2"/>
  <c r="AY1063" i="2"/>
  <c r="AY1071" i="2"/>
  <c r="AY1047" i="2"/>
  <c r="AY1150" i="2"/>
  <c r="AY849" i="2"/>
  <c r="AY992" i="2"/>
  <c r="AY814" i="2"/>
  <c r="AY922" i="2"/>
  <c r="AY994" i="2"/>
  <c r="AY1066" i="2"/>
  <c r="AY1203" i="2"/>
  <c r="AY1091" i="2"/>
  <c r="AY1142" i="2"/>
  <c r="AY1113" i="2"/>
  <c r="AY1020" i="2"/>
  <c r="AY1146" i="2"/>
  <c r="AY759" i="2"/>
  <c r="AY979" i="2"/>
  <c r="AY962" i="2"/>
  <c r="AY1016" i="2"/>
  <c r="AY1081" i="2"/>
  <c r="AY1074" i="2"/>
  <c r="AY1072" i="2"/>
  <c r="AY1058" i="2"/>
  <c r="AY1133" i="2"/>
  <c r="AY1093" i="2"/>
  <c r="AY1083" i="2"/>
  <c r="AY1104" i="2"/>
  <c r="AY1102" i="2"/>
  <c r="AY1141" i="2"/>
  <c r="AY1145" i="2"/>
  <c r="AY1159" i="2"/>
  <c r="AY783" i="2"/>
  <c r="AY896" i="2"/>
  <c r="AY890" i="2"/>
  <c r="AY906" i="2"/>
  <c r="AY983" i="2"/>
  <c r="AY974" i="2"/>
  <c r="AY982" i="2"/>
  <c r="AY998" i="2"/>
  <c r="AY756" i="2"/>
  <c r="AY751" i="2"/>
  <c r="AY772" i="2"/>
  <c r="AY804" i="2"/>
  <c r="AY986" i="2"/>
  <c r="AY1022" i="2"/>
  <c r="AY810" i="2"/>
  <c r="AY817" i="2"/>
  <c r="AY1024" i="2"/>
  <c r="AY1056" i="2"/>
  <c r="AY1154" i="2"/>
  <c r="AY1028" i="2"/>
  <c r="AY1092" i="2"/>
  <c r="AY1110" i="2"/>
  <c r="AY1118" i="2"/>
  <c r="AY1176" i="2"/>
  <c r="AY880" i="2"/>
  <c r="AY874" i="2"/>
  <c r="AY946" i="2"/>
  <c r="AY1130" i="2"/>
  <c r="AY1117" i="2"/>
  <c r="AY763" i="2"/>
  <c r="AY1062" i="2"/>
  <c r="AY1084" i="2"/>
  <c r="AY1105" i="2"/>
  <c r="AY1196" i="2"/>
  <c r="AY1212" i="2"/>
  <c r="AY724" i="2"/>
  <c r="AY775" i="2"/>
  <c r="AY791" i="2"/>
  <c r="AY799" i="2"/>
  <c r="AY807" i="2"/>
  <c r="AY815" i="2"/>
  <c r="AY823" i="2"/>
  <c r="AY856" i="2"/>
  <c r="AY882" i="2"/>
  <c r="AY898" i="2"/>
  <c r="AY914" i="2"/>
  <c r="AY961" i="2"/>
  <c r="AY876" i="2"/>
  <c r="AY927" i="2"/>
  <c r="AY940" i="2"/>
  <c r="AY958" i="2"/>
  <c r="AY990" i="2"/>
  <c r="AY740" i="2"/>
  <c r="AY735" i="2"/>
  <c r="AY788" i="2"/>
  <c r="AY820" i="2"/>
  <c r="AY920" i="2"/>
  <c r="AY938" i="2"/>
  <c r="AY818" i="2"/>
  <c r="AY1011" i="2"/>
  <c r="AY1167" i="2"/>
  <c r="AY1147" i="2"/>
  <c r="AY1060" i="2"/>
  <c r="AY1153" i="2"/>
  <c r="AY1160" i="2"/>
  <c r="AY1089" i="2"/>
  <c r="AY1137" i="2"/>
  <c r="AY1149" i="2"/>
  <c r="AY1205" i="2"/>
  <c r="AY769" i="2"/>
  <c r="AY743" i="2"/>
  <c r="AY727" i="2"/>
  <c r="AY812" i="2"/>
  <c r="AY858" i="2"/>
  <c r="AY973" i="2"/>
  <c r="AY919" i="2"/>
  <c r="AY932" i="2"/>
  <c r="AY963" i="2"/>
  <c r="AY971" i="2"/>
  <c r="AY995" i="2"/>
  <c r="AY1003" i="2"/>
  <c r="AY846" i="2"/>
  <c r="AY928" i="2"/>
  <c r="AY904" i="2"/>
  <c r="AY894" i="2"/>
  <c r="AY728" i="2"/>
  <c r="AY816" i="2"/>
  <c r="AY837" i="2"/>
  <c r="AY935" i="2"/>
  <c r="AY1029" i="2"/>
  <c r="AY1045" i="2"/>
  <c r="AY1061" i="2"/>
  <c r="AY1131" i="2"/>
  <c r="AY1157" i="2"/>
  <c r="AY1073" i="2"/>
  <c r="AY1088" i="2"/>
  <c r="AY1171" i="2"/>
  <c r="AY1208" i="2"/>
  <c r="AY953" i="2"/>
  <c r="AY969" i="2"/>
  <c r="AY977" i="2"/>
  <c r="AY993" i="2"/>
  <c r="AY1001" i="2"/>
  <c r="AY1009" i="2"/>
  <c r="AY1025" i="2"/>
  <c r="AY1041" i="2"/>
  <c r="AY1057" i="2"/>
  <c r="AY1175" i="2"/>
  <c r="AY1211" i="2"/>
  <c r="AY716" i="2"/>
  <c r="AY866" i="2"/>
  <c r="AY908" i="2"/>
  <c r="AY825" i="2"/>
  <c r="AY833" i="2"/>
  <c r="AY841" i="2"/>
  <c r="AY936" i="2"/>
  <c r="AY944" i="2"/>
  <c r="AY900" i="2"/>
  <c r="AY959" i="2"/>
  <c r="AY981" i="2"/>
  <c r="AY766" i="2"/>
  <c r="AY779" i="2"/>
  <c r="AY795" i="2"/>
  <c r="AY811" i="2"/>
  <c r="AY838" i="2"/>
  <c r="AY831" i="2"/>
  <c r="AY839" i="2"/>
  <c r="AY888" i="2"/>
  <c r="AY886" i="2"/>
  <c r="AY860" i="2"/>
  <c r="AY747" i="2"/>
  <c r="AY739" i="2"/>
  <c r="AY736" i="2"/>
  <c r="AY792" i="2"/>
  <c r="AY965" i="2"/>
  <c r="AY852" i="2"/>
  <c r="AY916" i="2"/>
  <c r="AY991" i="2"/>
  <c r="AY1005" i="2"/>
  <c r="AY1090" i="2"/>
  <c r="AY1111" i="2"/>
  <c r="AY1185" i="2"/>
  <c r="AY1075" i="2"/>
  <c r="AY1106" i="2"/>
  <c r="AY1122" i="2"/>
  <c r="AY1120" i="2"/>
  <c r="AY1187" i="2"/>
  <c r="AY967" i="2"/>
  <c r="AY999" i="2"/>
  <c r="AY1123" i="2"/>
  <c r="AY864" i="2"/>
  <c r="AY912" i="2"/>
  <c r="AY748" i="2"/>
  <c r="AY732" i="2"/>
  <c r="AY780" i="2"/>
  <c r="AY826" i="2"/>
  <c r="AY853" i="2"/>
  <c r="AY955" i="2"/>
  <c r="AY830" i="2"/>
  <c r="AY848" i="2"/>
  <c r="AY872" i="2"/>
  <c r="AY862" i="2"/>
  <c r="AY878" i="2"/>
  <c r="AY910" i="2"/>
  <c r="AY757" i="2"/>
  <c r="AY744" i="2"/>
  <c r="AY784" i="2"/>
  <c r="AY800" i="2"/>
  <c r="AY829" i="2"/>
  <c r="AY845" i="2"/>
  <c r="AY951" i="2"/>
  <c r="AY1013" i="2"/>
  <c r="AY1021" i="2"/>
  <c r="AY1037" i="2"/>
  <c r="AY1053" i="2"/>
  <c r="AY1069" i="2"/>
  <c r="AY1119" i="2"/>
  <c r="AY1188" i="2"/>
  <c r="AY1206" i="2"/>
  <c r="AY1080" i="2"/>
  <c r="AY1096" i="2"/>
  <c r="AY1112" i="2"/>
  <c r="AY1170" i="2"/>
  <c r="AY1178" i="2"/>
  <c r="AY1163" i="2"/>
  <c r="AY1179" i="2"/>
  <c r="AY1195" i="2"/>
  <c r="AY975" i="2"/>
  <c r="AY1007" i="2"/>
  <c r="AY1017" i="2"/>
  <c r="AY1033" i="2"/>
  <c r="AY1049" i="2"/>
  <c r="AY1065" i="2"/>
  <c r="AY765" i="2"/>
  <c r="AY803" i="2"/>
  <c r="AY755" i="2"/>
  <c r="AY752" i="2"/>
  <c r="AY731" i="2"/>
  <c r="AY776" i="2"/>
  <c r="AY824" i="2"/>
  <c r="AY1114" i="2"/>
  <c r="AY1189" i="2"/>
  <c r="AY1019" i="2"/>
  <c r="AY1027" i="2"/>
  <c r="AY1035" i="2"/>
  <c r="AY1043" i="2"/>
  <c r="AY1051" i="2"/>
  <c r="AY1059" i="2"/>
  <c r="AY1067" i="2"/>
  <c r="AY1144" i="2"/>
  <c r="AY1161" i="2"/>
  <c r="AY1177" i="2"/>
  <c r="AY1192" i="2"/>
  <c r="AY1194" i="2"/>
  <c r="AY1209" i="2"/>
  <c r="AY1116" i="2"/>
  <c r="AY1162" i="2"/>
  <c r="AY1183" i="2"/>
  <c r="AY943" i="2"/>
  <c r="AY884" i="2"/>
  <c r="AY1100" i="2"/>
  <c r="AY985" i="2"/>
  <c r="AY1151" i="2"/>
  <c r="AY796" i="2"/>
  <c r="AY868" i="2"/>
  <c r="AY787" i="2"/>
  <c r="AY870" i="2"/>
  <c r="AY808" i="2"/>
  <c r="AY1098" i="2"/>
  <c r="AY1103" i="2"/>
  <c r="AY1128" i="2"/>
  <c r="AY1186" i="2"/>
  <c r="AY1115" i="2"/>
  <c r="AY1158" i="2"/>
  <c r="AY1207" i="2"/>
  <c r="AY1202" i="2"/>
  <c r="AY1200" i="2"/>
  <c r="AY1213" i="2"/>
  <c r="AY1108" i="2"/>
  <c r="AY827" i="2"/>
  <c r="AY857" i="2"/>
  <c r="AY1134" i="2"/>
  <c r="AY1191" i="2"/>
  <c r="AY1199" i="2"/>
  <c r="AY1210" i="2"/>
  <c r="AY1006" i="2"/>
  <c r="AY987" i="2"/>
  <c r="AY902" i="2"/>
  <c r="AY720" i="2"/>
  <c r="AY948" i="2"/>
  <c r="AY997" i="2"/>
  <c r="AY1082" i="2"/>
  <c r="AY1127" i="2"/>
  <c r="AY1136" i="2"/>
  <c r="AY1152" i="2"/>
  <c r="AY1169" i="2"/>
  <c r="AY1201" i="2"/>
  <c r="AY819" i="2"/>
  <c r="AY989" i="2"/>
  <c r="AY1193" i="2"/>
  <c r="AY1124" i="2"/>
  <c r="J1165" i="2"/>
  <c r="K1165" i="2" s="1"/>
  <c r="L1165" i="2" s="1"/>
  <c r="O1165" i="2" s="1"/>
  <c r="J774" i="2"/>
  <c r="K774" i="2" s="1"/>
  <c r="L774" i="2" s="1"/>
  <c r="O774" i="2" s="1"/>
  <c r="J1122" i="2"/>
  <c r="K1122" i="2" s="1"/>
  <c r="L1122" i="2" s="1"/>
  <c r="O1122" i="2" s="1"/>
  <c r="J991" i="2"/>
  <c r="K991" i="2" s="1"/>
  <c r="L991" i="2" s="1"/>
  <c r="O991" i="2" s="1"/>
  <c r="J832" i="2"/>
  <c r="K832" i="2" s="1"/>
  <c r="L832" i="2" s="1"/>
  <c r="O832" i="2" s="1"/>
  <c r="J1171" i="2"/>
  <c r="K1171" i="2" s="1"/>
  <c r="L1171" i="2" s="1"/>
  <c r="O1171" i="2" s="1"/>
  <c r="J1017" i="2"/>
  <c r="K1017" i="2" s="1"/>
  <c r="L1017" i="2" s="1"/>
  <c r="O1017" i="2" s="1"/>
  <c r="J896" i="2"/>
  <c r="K896" i="2" s="1"/>
  <c r="L896" i="2" s="1"/>
  <c r="O896" i="2" s="1"/>
  <c r="J864" i="2"/>
  <c r="K864" i="2" s="1"/>
  <c r="L864" i="2" s="1"/>
  <c r="O864" i="2" s="1"/>
  <c r="J1185" i="2"/>
  <c r="K1185" i="2" s="1"/>
  <c r="L1185" i="2" s="1"/>
  <c r="O1185" i="2" s="1"/>
  <c r="J1153" i="2"/>
  <c r="K1153" i="2" s="1"/>
  <c r="L1153" i="2" s="1"/>
  <c r="O1153" i="2" s="1"/>
  <c r="J1033" i="2"/>
  <c r="K1033" i="2" s="1"/>
  <c r="L1033" i="2" s="1"/>
  <c r="O1033" i="2" s="1"/>
  <c r="J890" i="2"/>
  <c r="K890" i="2" s="1"/>
  <c r="L890" i="2" s="1"/>
  <c r="O890" i="2" s="1"/>
  <c r="J1167" i="2"/>
  <c r="K1167" i="2" s="1"/>
  <c r="L1167" i="2" s="1"/>
  <c r="O1167" i="2" s="1"/>
  <c r="J837" i="2"/>
  <c r="K837" i="2" s="1"/>
  <c r="L837" i="2" s="1"/>
  <c r="O837" i="2" s="1"/>
  <c r="J754" i="2"/>
  <c r="K754" i="2" s="1"/>
  <c r="L754" i="2" s="1"/>
  <c r="O754" i="2" s="1"/>
  <c r="J817" i="2"/>
  <c r="K817" i="2" s="1"/>
  <c r="L817" i="2" s="1"/>
  <c r="O817" i="2" s="1"/>
  <c r="J1004" i="2"/>
  <c r="K1004" i="2" s="1"/>
  <c r="L1004" i="2" s="1"/>
  <c r="O1004" i="2" s="1"/>
  <c r="J962" i="2"/>
  <c r="K962" i="2" s="1"/>
  <c r="L962" i="2" s="1"/>
  <c r="O962" i="2" s="1"/>
  <c r="J1060" i="2"/>
  <c r="K1060" i="2" s="1"/>
  <c r="L1060" i="2" s="1"/>
  <c r="O1060" i="2" s="1"/>
  <c r="J1131" i="2"/>
  <c r="K1131" i="2" s="1"/>
  <c r="L1131" i="2" s="1"/>
  <c r="O1131" i="2" s="1"/>
  <c r="J1174" i="2"/>
  <c r="K1174" i="2" s="1"/>
  <c r="L1174" i="2" s="1"/>
  <c r="O1174" i="2" s="1"/>
  <c r="J1145" i="2"/>
  <c r="K1145" i="2" s="1"/>
  <c r="L1145" i="2" s="1"/>
  <c r="O1145" i="2" s="1"/>
  <c r="J1061" i="2"/>
  <c r="K1061" i="2" s="1"/>
  <c r="L1061" i="2" s="1"/>
  <c r="O1061" i="2" s="1"/>
  <c r="J995" i="2"/>
  <c r="K995" i="2" s="1"/>
  <c r="L995" i="2" s="1"/>
  <c r="O995" i="2" s="1"/>
  <c r="J951" i="2"/>
  <c r="K951" i="2" s="1"/>
  <c r="L951" i="2" s="1"/>
  <c r="O951" i="2" s="1"/>
  <c r="J823" i="2"/>
  <c r="K823" i="2" s="1"/>
  <c r="L823" i="2" s="1"/>
  <c r="O823" i="2" s="1"/>
  <c r="J1208" i="2"/>
  <c r="K1208" i="2" s="1"/>
  <c r="L1208" i="2" s="1"/>
  <c r="O1208" i="2" s="1"/>
  <c r="J1148" i="2"/>
  <c r="K1148" i="2" s="1"/>
  <c r="L1148" i="2" s="1"/>
  <c r="O1148" i="2" s="1"/>
  <c r="J1121" i="2"/>
  <c r="K1121" i="2" s="1"/>
  <c r="L1121" i="2" s="1"/>
  <c r="O1121" i="2" s="1"/>
  <c r="J1069" i="2"/>
  <c r="K1069" i="2" s="1"/>
  <c r="L1069" i="2" s="1"/>
  <c r="O1069" i="2" s="1"/>
  <c r="J1021" i="2"/>
  <c r="K1021" i="2" s="1"/>
  <c r="L1021" i="2" s="1"/>
  <c r="O1021" i="2" s="1"/>
  <c r="J965" i="2"/>
  <c r="K965" i="2" s="1"/>
  <c r="L965" i="2" s="1"/>
  <c r="O965" i="2" s="1"/>
  <c r="J932" i="2"/>
  <c r="K932" i="2" s="1"/>
  <c r="L932" i="2" s="1"/>
  <c r="O932" i="2" s="1"/>
  <c r="J902" i="2"/>
  <c r="K902" i="2" s="1"/>
  <c r="L902" i="2" s="1"/>
  <c r="O902" i="2" s="1"/>
  <c r="J859" i="2"/>
  <c r="K859" i="2" s="1"/>
  <c r="L859" i="2" s="1"/>
  <c r="O859" i="2" s="1"/>
  <c r="J791" i="2"/>
  <c r="K791" i="2" s="1"/>
  <c r="L791" i="2" s="1"/>
  <c r="O791" i="2" s="1"/>
  <c r="J1168" i="2"/>
  <c r="K1168" i="2" s="1"/>
  <c r="L1168" i="2" s="1"/>
  <c r="O1168" i="2" s="1"/>
  <c r="J1161" i="2"/>
  <c r="K1161" i="2" s="1"/>
  <c r="L1161" i="2" s="1"/>
  <c r="O1161" i="2" s="1"/>
  <c r="J1128" i="2"/>
  <c r="K1128" i="2" s="1"/>
  <c r="L1128" i="2" s="1"/>
  <c r="O1128" i="2" s="1"/>
  <c r="J1079" i="2"/>
  <c r="K1079" i="2" s="1"/>
  <c r="L1079" i="2" s="1"/>
  <c r="O1079" i="2" s="1"/>
  <c r="J1067" i="2"/>
  <c r="K1067" i="2" s="1"/>
  <c r="L1067" i="2" s="1"/>
  <c r="O1067" i="2" s="1"/>
  <c r="J1019" i="2"/>
  <c r="K1019" i="2" s="1"/>
  <c r="L1019" i="2" s="1"/>
  <c r="O1019" i="2" s="1"/>
  <c r="J985" i="2"/>
  <c r="K985" i="2" s="1"/>
  <c r="L985" i="2" s="1"/>
  <c r="O985" i="2" s="1"/>
  <c r="J860" i="2"/>
  <c r="K860" i="2" s="1"/>
  <c r="L860" i="2" s="1"/>
  <c r="O860" i="2" s="1"/>
  <c r="J908" i="2"/>
  <c r="K908" i="2" s="1"/>
  <c r="L908" i="2" s="1"/>
  <c r="O908" i="2" s="1"/>
  <c r="J844" i="2"/>
  <c r="K844" i="2" s="1"/>
  <c r="L844" i="2" s="1"/>
  <c r="O844" i="2" s="1"/>
  <c r="J771" i="2"/>
  <c r="K771" i="2" s="1"/>
  <c r="L771" i="2" s="1"/>
  <c r="O771" i="2" s="1"/>
  <c r="J1212" i="2"/>
  <c r="K1212" i="2" s="1"/>
  <c r="L1212" i="2" s="1"/>
  <c r="O1212" i="2" s="1"/>
  <c r="J1177" i="2"/>
  <c r="K1177" i="2" s="1"/>
  <c r="L1177" i="2" s="1"/>
  <c r="O1177" i="2" s="1"/>
  <c r="J1137" i="2"/>
  <c r="K1137" i="2" s="1"/>
  <c r="L1137" i="2" s="1"/>
  <c r="O1137" i="2" s="1"/>
  <c r="J1083" i="2"/>
  <c r="K1083" i="2" s="1"/>
  <c r="L1083" i="2" s="1"/>
  <c r="O1083" i="2" s="1"/>
  <c r="J1009" i="2"/>
  <c r="K1009" i="2" s="1"/>
  <c r="L1009" i="2" s="1"/>
  <c r="O1009" i="2" s="1"/>
  <c r="J918" i="2"/>
  <c r="K918" i="2" s="1"/>
  <c r="L918" i="2" s="1"/>
  <c r="O918" i="2" s="1"/>
  <c r="J868" i="2"/>
  <c r="K868" i="2" s="1"/>
  <c r="L868" i="2" s="1"/>
  <c r="O868" i="2" s="1"/>
  <c r="J815" i="2"/>
  <c r="K815" i="2" s="1"/>
  <c r="L815" i="2" s="1"/>
  <c r="O815" i="2" s="1"/>
  <c r="J1124" i="2"/>
  <c r="K1124" i="2" s="1"/>
  <c r="L1124" i="2" s="1"/>
  <c r="O1124" i="2" s="1"/>
  <c r="J967" i="2"/>
  <c r="K967" i="2" s="1"/>
  <c r="L967" i="2" s="1"/>
  <c r="O967" i="2" s="1"/>
  <c r="J779" i="2"/>
  <c r="K779" i="2" s="1"/>
  <c r="L779" i="2" s="1"/>
  <c r="O779" i="2" s="1"/>
  <c r="J745" i="2"/>
  <c r="K745" i="2" s="1"/>
  <c r="L745" i="2" s="1"/>
  <c r="O745" i="2" s="1"/>
  <c r="J743" i="2"/>
  <c r="K743" i="2" s="1"/>
  <c r="L743" i="2" s="1"/>
  <c r="O743" i="2" s="1"/>
  <c r="J812" i="2"/>
  <c r="K812" i="2" s="1"/>
  <c r="L812" i="2" s="1"/>
  <c r="O812" i="2" s="1"/>
  <c r="J810" i="2"/>
  <c r="K810" i="2" s="1"/>
  <c r="L810" i="2" s="1"/>
  <c r="O810" i="2" s="1"/>
  <c r="J843" i="2"/>
  <c r="K843" i="2" s="1"/>
  <c r="L843" i="2" s="1"/>
  <c r="O843" i="2" s="1"/>
  <c r="J865" i="2"/>
  <c r="K865" i="2" s="1"/>
  <c r="L865" i="2" s="1"/>
  <c r="O865" i="2" s="1"/>
  <c r="J915" i="2"/>
  <c r="K915" i="2" s="1"/>
  <c r="L915" i="2" s="1"/>
  <c r="O915" i="2" s="1"/>
  <c r="J978" i="2"/>
  <c r="K978" i="2" s="1"/>
  <c r="L978" i="2" s="1"/>
  <c r="O978" i="2" s="1"/>
  <c r="J1058" i="2"/>
  <c r="K1058" i="2" s="1"/>
  <c r="L1058" i="2" s="1"/>
  <c r="O1058" i="2" s="1"/>
  <c r="J1082" i="2"/>
  <c r="K1082" i="2" s="1"/>
  <c r="L1082" i="2" s="1"/>
  <c r="O1082" i="2" s="1"/>
  <c r="J1134" i="2"/>
  <c r="K1134" i="2" s="1"/>
  <c r="L1134" i="2" s="1"/>
  <c r="O1134" i="2" s="1"/>
  <c r="J1194" i="2"/>
  <c r="K1194" i="2" s="1"/>
  <c r="L1194" i="2" s="1"/>
  <c r="O1194" i="2" s="1"/>
  <c r="J963" i="2"/>
  <c r="K963" i="2" s="1"/>
  <c r="L963" i="2" s="1"/>
  <c r="O963" i="2" s="1"/>
  <c r="J1203" i="2"/>
  <c r="K1203" i="2" s="1"/>
  <c r="L1203" i="2" s="1"/>
  <c r="O1203" i="2" s="1"/>
  <c r="J1077" i="2"/>
  <c r="K1077" i="2" s="1"/>
  <c r="L1077" i="2" s="1"/>
  <c r="O1077" i="2" s="1"/>
  <c r="J948" i="2"/>
  <c r="K948" i="2" s="1"/>
  <c r="L948" i="2" s="1"/>
  <c r="O948" i="2" s="1"/>
  <c r="J1186" i="2"/>
  <c r="K1186" i="2" s="1"/>
  <c r="L1186" i="2" s="1"/>
  <c r="O1186" i="2" s="1"/>
  <c r="J1117" i="2"/>
  <c r="K1117" i="2" s="1"/>
  <c r="L1117" i="2" s="1"/>
  <c r="O1117" i="2" s="1"/>
  <c r="J955" i="2"/>
  <c r="K955" i="2" s="1"/>
  <c r="L955" i="2" s="1"/>
  <c r="O955" i="2" s="1"/>
  <c r="J898" i="2"/>
  <c r="K898" i="2" s="1"/>
  <c r="L898" i="2" s="1"/>
  <c r="O898" i="2" s="1"/>
  <c r="J714" i="2"/>
  <c r="J1214" i="2" s="1"/>
  <c r="J1099" i="2"/>
  <c r="K1099" i="2" s="1"/>
  <c r="L1099" i="2" s="1"/>
  <c r="O1099" i="2" s="1"/>
  <c r="J1011" i="2"/>
  <c r="K1011" i="2" s="1"/>
  <c r="L1011" i="2" s="1"/>
  <c r="O1011" i="2" s="1"/>
  <c r="J782" i="2"/>
  <c r="K782" i="2" s="1"/>
  <c r="L782" i="2" s="1"/>
  <c r="O782" i="2" s="1"/>
  <c r="J969" i="2"/>
  <c r="K969" i="2" s="1"/>
  <c r="L969" i="2" s="1"/>
  <c r="O969" i="2" s="1"/>
  <c r="J770" i="2"/>
  <c r="K770" i="2" s="1"/>
  <c r="L770" i="2" s="1"/>
  <c r="O770" i="2" s="1"/>
  <c r="J792" i="2"/>
  <c r="K792" i="2" s="1"/>
  <c r="L792" i="2" s="1"/>
  <c r="O792" i="2" s="1"/>
  <c r="J903" i="2"/>
  <c r="K903" i="2" s="1"/>
  <c r="L903" i="2" s="1"/>
  <c r="O903" i="2" s="1"/>
  <c r="J1038" i="2"/>
  <c r="K1038" i="2" s="1"/>
  <c r="L1038" i="2" s="1"/>
  <c r="O1038" i="2" s="1"/>
  <c r="J1156" i="2"/>
  <c r="K1156" i="2" s="1"/>
  <c r="L1156" i="2" s="1"/>
  <c r="O1156" i="2" s="1"/>
  <c r="J1112" i="2"/>
  <c r="K1112" i="2" s="1"/>
  <c r="L1112" i="2" s="1"/>
  <c r="O1112" i="2" s="1"/>
  <c r="J1037" i="2"/>
  <c r="K1037" i="2" s="1"/>
  <c r="L1037" i="2" s="1"/>
  <c r="O1037" i="2" s="1"/>
  <c r="J904" i="2"/>
  <c r="K904" i="2" s="1"/>
  <c r="L904" i="2" s="1"/>
  <c r="O904" i="2" s="1"/>
  <c r="J763" i="2"/>
  <c r="K763" i="2" s="1"/>
  <c r="L763" i="2" s="1"/>
  <c r="O763" i="2" s="1"/>
  <c r="J775" i="2"/>
  <c r="K775" i="2" s="1"/>
  <c r="L775" i="2" s="1"/>
  <c r="O775" i="2" s="1"/>
  <c r="J1172" i="2"/>
  <c r="K1172" i="2" s="1"/>
  <c r="L1172" i="2" s="1"/>
  <c r="O1172" i="2" s="1"/>
  <c r="J1129" i="2"/>
  <c r="K1129" i="2" s="1"/>
  <c r="L1129" i="2" s="1"/>
  <c r="O1129" i="2" s="1"/>
  <c r="J1105" i="2"/>
  <c r="K1105" i="2" s="1"/>
  <c r="L1105" i="2" s="1"/>
  <c r="O1105" i="2" s="1"/>
  <c r="J1053" i="2"/>
  <c r="K1053" i="2" s="1"/>
  <c r="L1053" i="2" s="1"/>
  <c r="O1053" i="2" s="1"/>
  <c r="J961" i="2"/>
  <c r="K961" i="2" s="1"/>
  <c r="L961" i="2" s="1"/>
  <c r="O961" i="2" s="1"/>
  <c r="J959" i="2"/>
  <c r="K959" i="2" s="1"/>
  <c r="L959" i="2" s="1"/>
  <c r="O959" i="2" s="1"/>
  <c r="J906" i="2"/>
  <c r="K906" i="2" s="1"/>
  <c r="L906" i="2" s="1"/>
  <c r="O906" i="2" s="1"/>
  <c r="J870" i="2"/>
  <c r="K870" i="2" s="1"/>
  <c r="L870" i="2" s="1"/>
  <c r="O870" i="2" s="1"/>
  <c r="J833" i="2"/>
  <c r="K833" i="2" s="1"/>
  <c r="L833" i="2" s="1"/>
  <c r="O833" i="2" s="1"/>
  <c r="J1199" i="2"/>
  <c r="K1199" i="2" s="1"/>
  <c r="L1199" i="2" s="1"/>
  <c r="O1199" i="2" s="1"/>
  <c r="J1160" i="2"/>
  <c r="K1160" i="2" s="1"/>
  <c r="L1160" i="2" s="1"/>
  <c r="O1160" i="2" s="1"/>
  <c r="J1144" i="2"/>
  <c r="K1144" i="2" s="1"/>
  <c r="L1144" i="2" s="1"/>
  <c r="O1144" i="2" s="1"/>
  <c r="J1120" i="2"/>
  <c r="K1120" i="2" s="1"/>
  <c r="L1120" i="2" s="1"/>
  <c r="O1120" i="2" s="1"/>
  <c r="J1075" i="2"/>
  <c r="K1075" i="2" s="1"/>
  <c r="L1075" i="2" s="1"/>
  <c r="O1075" i="2" s="1"/>
  <c r="J1051" i="2"/>
  <c r="K1051" i="2" s="1"/>
  <c r="L1051" i="2" s="1"/>
  <c r="O1051" i="2" s="1"/>
  <c r="J983" i="2"/>
  <c r="K983" i="2" s="1"/>
  <c r="L983" i="2" s="1"/>
  <c r="O983" i="2" s="1"/>
  <c r="J957" i="2"/>
  <c r="K957" i="2" s="1"/>
  <c r="L957" i="2" s="1"/>
  <c r="O957" i="2" s="1"/>
  <c r="J938" i="2"/>
  <c r="K938" i="2" s="1"/>
  <c r="L938" i="2" s="1"/>
  <c r="O938" i="2" s="1"/>
  <c r="J876" i="2"/>
  <c r="K876" i="2" s="1"/>
  <c r="L876" i="2" s="1"/>
  <c r="O876" i="2" s="1"/>
  <c r="J829" i="2"/>
  <c r="K829" i="2" s="1"/>
  <c r="L829" i="2" s="1"/>
  <c r="O829" i="2" s="1"/>
  <c r="J803" i="2"/>
  <c r="K803" i="2" s="1"/>
  <c r="L803" i="2" s="1"/>
  <c r="O803" i="2" s="1"/>
  <c r="J1197" i="2"/>
  <c r="K1197" i="2" s="1"/>
  <c r="L1197" i="2" s="1"/>
  <c r="O1197" i="2" s="1"/>
  <c r="J1169" i="2"/>
  <c r="K1169" i="2" s="1"/>
  <c r="L1169" i="2" s="1"/>
  <c r="O1169" i="2" s="1"/>
  <c r="J1118" i="2"/>
  <c r="K1118" i="2" s="1"/>
  <c r="L1118" i="2" s="1"/>
  <c r="O1118" i="2" s="1"/>
  <c r="J1065" i="2"/>
  <c r="K1065" i="2" s="1"/>
  <c r="L1065" i="2" s="1"/>
  <c r="O1065" i="2" s="1"/>
  <c r="J1015" i="2"/>
  <c r="K1015" i="2" s="1"/>
  <c r="L1015" i="2" s="1"/>
  <c r="O1015" i="2" s="1"/>
  <c r="J952" i="2"/>
  <c r="K952" i="2" s="1"/>
  <c r="L952" i="2" s="1"/>
  <c r="O952" i="2" s="1"/>
  <c r="J886" i="2"/>
  <c r="K886" i="2" s="1"/>
  <c r="L886" i="2" s="1"/>
  <c r="O886" i="2" s="1"/>
  <c r="J1205" i="2"/>
  <c r="K1205" i="2" s="1"/>
  <c r="L1205" i="2" s="1"/>
  <c r="O1205" i="2" s="1"/>
  <c r="J1089" i="2"/>
  <c r="K1089" i="2" s="1"/>
  <c r="L1089" i="2" s="1"/>
  <c r="O1089" i="2" s="1"/>
  <c r="J934" i="2"/>
  <c r="K934" i="2" s="1"/>
  <c r="L934" i="2" s="1"/>
  <c r="O934" i="2" s="1"/>
  <c r="J748" i="2"/>
  <c r="K748" i="2" s="1"/>
  <c r="L748" i="2" s="1"/>
  <c r="O748" i="2" s="1"/>
  <c r="J744" i="2"/>
  <c r="K744" i="2" s="1"/>
  <c r="L744" i="2" s="1"/>
  <c r="O744" i="2" s="1"/>
  <c r="J760" i="2"/>
  <c r="K760" i="2" s="1"/>
  <c r="L760" i="2" s="1"/>
  <c r="O760" i="2" s="1"/>
  <c r="J773" i="2"/>
  <c r="K773" i="2" s="1"/>
  <c r="L773" i="2" s="1"/>
  <c r="O773" i="2" s="1"/>
  <c r="J838" i="2"/>
  <c r="K838" i="2" s="1"/>
  <c r="L838" i="2" s="1"/>
  <c r="O838" i="2" s="1"/>
  <c r="J869" i="2"/>
  <c r="K869" i="2" s="1"/>
  <c r="L869" i="2" s="1"/>
  <c r="O869" i="2" s="1"/>
  <c r="J905" i="2"/>
  <c r="K905" i="2" s="1"/>
  <c r="L905" i="2" s="1"/>
  <c r="O905" i="2" s="1"/>
  <c r="J939" i="2"/>
  <c r="K939" i="2" s="1"/>
  <c r="L939" i="2" s="1"/>
  <c r="O939" i="2" s="1"/>
  <c r="J998" i="2"/>
  <c r="K998" i="2" s="1"/>
  <c r="L998" i="2" s="1"/>
  <c r="O998" i="2" s="1"/>
  <c r="J1076" i="2"/>
  <c r="K1076" i="2" s="1"/>
  <c r="L1076" i="2" s="1"/>
  <c r="O1076" i="2" s="1"/>
  <c r="J1103" i="2"/>
  <c r="K1103" i="2" s="1"/>
  <c r="L1103" i="2" s="1"/>
  <c r="O1103" i="2" s="1"/>
  <c r="J1154" i="2"/>
  <c r="K1154" i="2" s="1"/>
  <c r="L1154" i="2" s="1"/>
  <c r="O1154" i="2" s="1"/>
  <c r="J1204" i="2"/>
  <c r="K1204" i="2" s="1"/>
  <c r="L1204" i="2" s="1"/>
  <c r="O1204" i="2" s="1"/>
  <c r="J1087" i="2"/>
  <c r="K1087" i="2" s="1"/>
  <c r="L1087" i="2" s="1"/>
  <c r="O1087" i="2" s="1"/>
  <c r="J874" i="2"/>
  <c r="K874" i="2" s="1"/>
  <c r="L874" i="2" s="1"/>
  <c r="O874" i="2" s="1"/>
  <c r="J1173" i="2"/>
  <c r="K1173" i="2" s="1"/>
  <c r="L1173" i="2" s="1"/>
  <c r="O1173" i="2" s="1"/>
  <c r="J1029" i="2"/>
  <c r="K1029" i="2" s="1"/>
  <c r="L1029" i="2" s="1"/>
  <c r="O1029" i="2" s="1"/>
  <c r="J884" i="2"/>
  <c r="K884" i="2" s="1"/>
  <c r="L884" i="2" s="1"/>
  <c r="O884" i="2" s="1"/>
  <c r="J807" i="2"/>
  <c r="K807" i="2" s="1"/>
  <c r="L807" i="2" s="1"/>
  <c r="O807" i="2" s="1"/>
  <c r="J1141" i="2"/>
  <c r="K1141" i="2" s="1"/>
  <c r="L1141" i="2" s="1"/>
  <c r="O1141" i="2" s="1"/>
  <c r="J1035" i="2"/>
  <c r="K1035" i="2" s="1"/>
  <c r="L1035" i="2" s="1"/>
  <c r="O1035" i="2" s="1"/>
  <c r="J786" i="2"/>
  <c r="K786" i="2" s="1"/>
  <c r="L786" i="2" s="1"/>
  <c r="O786" i="2" s="1"/>
  <c r="J891" i="2"/>
  <c r="K891" i="2" s="1"/>
  <c r="L891" i="2" s="1"/>
  <c r="O891" i="2" s="1"/>
  <c r="J1181" i="2"/>
  <c r="K1181" i="2" s="1"/>
  <c r="L1181" i="2" s="1"/>
  <c r="O1181" i="2" s="1"/>
  <c r="J1073" i="2"/>
  <c r="K1073" i="2" s="1"/>
  <c r="L1073" i="2" s="1"/>
  <c r="O1073" i="2" s="1"/>
  <c r="J993" i="2"/>
  <c r="K993" i="2" s="1"/>
  <c r="L993" i="2" s="1"/>
  <c r="O993" i="2" s="1"/>
  <c r="J940" i="2"/>
  <c r="K940" i="2" s="1"/>
  <c r="L940" i="2" s="1"/>
  <c r="O940" i="2" s="1"/>
  <c r="J790" i="2"/>
  <c r="K790" i="2" s="1"/>
  <c r="L790" i="2" s="1"/>
  <c r="O790" i="2" s="1"/>
  <c r="J1213" i="2"/>
  <c r="K1213" i="2" s="1"/>
  <c r="L1213" i="2" s="1"/>
  <c r="O1213" i="2" s="1"/>
  <c r="J1163" i="2"/>
  <c r="K1163" i="2" s="1"/>
  <c r="L1163" i="2" s="1"/>
  <c r="O1163" i="2" s="1"/>
  <c r="J1132" i="2"/>
  <c r="K1132" i="2" s="1"/>
  <c r="L1132" i="2" s="1"/>
  <c r="O1132" i="2" s="1"/>
  <c r="J1095" i="2"/>
  <c r="K1095" i="2" s="1"/>
  <c r="L1095" i="2" s="1"/>
  <c r="O1095" i="2" s="1"/>
  <c r="J1045" i="2"/>
  <c r="K1045" i="2" s="1"/>
  <c r="L1045" i="2" s="1"/>
  <c r="O1045" i="2" s="1"/>
  <c r="J997" i="2"/>
  <c r="K997" i="2" s="1"/>
  <c r="L997" i="2" s="1"/>
  <c r="O997" i="2" s="1"/>
  <c r="J872" i="2"/>
  <c r="K872" i="2" s="1"/>
  <c r="L872" i="2" s="1"/>
  <c r="O872" i="2" s="1"/>
  <c r="J916" i="2"/>
  <c r="K916" i="2" s="1"/>
  <c r="L916" i="2" s="1"/>
  <c r="O916" i="2" s="1"/>
  <c r="J850" i="2"/>
  <c r="K850" i="2" s="1"/>
  <c r="L850" i="2" s="1"/>
  <c r="O850" i="2" s="1"/>
  <c r="J767" i="2"/>
  <c r="K767" i="2" s="1"/>
  <c r="L767" i="2" s="1"/>
  <c r="O767" i="2" s="1"/>
  <c r="J1198" i="2"/>
  <c r="K1198" i="2" s="1"/>
  <c r="L1198" i="2" s="1"/>
  <c r="O1198" i="2" s="1"/>
  <c r="J1179" i="2"/>
  <c r="K1179" i="2" s="1"/>
  <c r="L1179" i="2" s="1"/>
  <c r="O1179" i="2" s="1"/>
  <c r="J1159" i="2"/>
  <c r="K1159" i="2" s="1"/>
  <c r="L1159" i="2" s="1"/>
  <c r="O1159" i="2" s="1"/>
  <c r="J1101" i="2"/>
  <c r="K1101" i="2" s="1"/>
  <c r="L1101" i="2" s="1"/>
  <c r="O1101" i="2" s="1"/>
  <c r="J1085" i="2"/>
  <c r="K1085" i="2" s="1"/>
  <c r="L1085" i="2" s="1"/>
  <c r="O1085" i="2" s="1"/>
  <c r="J1043" i="2"/>
  <c r="K1043" i="2" s="1"/>
  <c r="L1043" i="2" s="1"/>
  <c r="O1043" i="2" s="1"/>
  <c r="J953" i="2"/>
  <c r="K953" i="2" s="1"/>
  <c r="L953" i="2" s="1"/>
  <c r="O953" i="2" s="1"/>
  <c r="J924" i="2"/>
  <c r="K924" i="2" s="1"/>
  <c r="L924" i="2" s="1"/>
  <c r="O924" i="2" s="1"/>
  <c r="J928" i="2"/>
  <c r="K928" i="2" s="1"/>
  <c r="L928" i="2" s="1"/>
  <c r="O928" i="2" s="1"/>
  <c r="J930" i="2"/>
  <c r="K930" i="2" s="1"/>
  <c r="L930" i="2" s="1"/>
  <c r="O930" i="2" s="1"/>
  <c r="J802" i="2"/>
  <c r="K802" i="2" s="1"/>
  <c r="L802" i="2" s="1"/>
  <c r="O802" i="2" s="1"/>
  <c r="J787" i="2"/>
  <c r="K787" i="2" s="1"/>
  <c r="L787" i="2" s="1"/>
  <c r="O787" i="2" s="1"/>
  <c r="J1180" i="2"/>
  <c r="K1180" i="2" s="1"/>
  <c r="L1180" i="2" s="1"/>
  <c r="O1180" i="2" s="1"/>
  <c r="J1140" i="2"/>
  <c r="K1140" i="2" s="1"/>
  <c r="L1140" i="2" s="1"/>
  <c r="O1140" i="2" s="1"/>
  <c r="J1113" i="2"/>
  <c r="K1113" i="2" s="1"/>
  <c r="L1113" i="2" s="1"/>
  <c r="O1113" i="2" s="1"/>
  <c r="J1049" i="2"/>
  <c r="K1049" i="2" s="1"/>
  <c r="L1049" i="2" s="1"/>
  <c r="O1049" i="2" s="1"/>
  <c r="J1007" i="2"/>
  <c r="K1007" i="2" s="1"/>
  <c r="L1007" i="2" s="1"/>
  <c r="O1007" i="2" s="1"/>
  <c r="J936" i="2"/>
  <c r="K936" i="2" s="1"/>
  <c r="L936" i="2" s="1"/>
  <c r="O936" i="2" s="1"/>
  <c r="J828" i="2"/>
  <c r="K828" i="2" s="1"/>
  <c r="L828" i="2" s="1"/>
  <c r="O828" i="2" s="1"/>
  <c r="J1187" i="2"/>
  <c r="K1187" i="2" s="1"/>
  <c r="L1187" i="2" s="1"/>
  <c r="O1187" i="2" s="1"/>
  <c r="J1047" i="2"/>
  <c r="K1047" i="2" s="1"/>
  <c r="L1047" i="2" s="1"/>
  <c r="O1047" i="2" s="1"/>
  <c r="J852" i="2"/>
  <c r="K852" i="2" s="1"/>
  <c r="L852" i="2" s="1"/>
  <c r="O852" i="2" s="1"/>
  <c r="J762" i="2"/>
  <c r="K762" i="2" s="1"/>
  <c r="L762" i="2" s="1"/>
  <c r="O762" i="2" s="1"/>
  <c r="J719" i="2"/>
  <c r="K719" i="2" s="1"/>
  <c r="L719" i="2" s="1"/>
  <c r="O719" i="2" s="1"/>
  <c r="J768" i="2"/>
  <c r="K768" i="2" s="1"/>
  <c r="L768" i="2" s="1"/>
  <c r="O768" i="2" s="1"/>
  <c r="J797" i="2"/>
  <c r="K797" i="2" s="1"/>
  <c r="L797" i="2" s="1"/>
  <c r="O797" i="2" s="1"/>
  <c r="J858" i="2"/>
  <c r="K858" i="2" s="1"/>
  <c r="L858" i="2" s="1"/>
  <c r="O858" i="2" s="1"/>
  <c r="J909" i="2"/>
  <c r="K909" i="2" s="1"/>
  <c r="L909" i="2" s="1"/>
  <c r="O909" i="2" s="1"/>
  <c r="J945" i="2"/>
  <c r="K945" i="2" s="1"/>
  <c r="L945" i="2" s="1"/>
  <c r="O945" i="2" s="1"/>
  <c r="J972" i="2"/>
  <c r="K972" i="2" s="1"/>
  <c r="L972" i="2" s="1"/>
  <c r="O972" i="2" s="1"/>
  <c r="J1016" i="2"/>
  <c r="K1016" i="2" s="1"/>
  <c r="L1016" i="2" s="1"/>
  <c r="O1016" i="2" s="1"/>
  <c r="J1040" i="2"/>
  <c r="K1040" i="2" s="1"/>
  <c r="L1040" i="2" s="1"/>
  <c r="O1040" i="2" s="1"/>
  <c r="J1096" i="2"/>
  <c r="K1096" i="2" s="1"/>
  <c r="L1096" i="2" s="1"/>
  <c r="O1096" i="2" s="1"/>
  <c r="J1151" i="2"/>
  <c r="K1151" i="2" s="1"/>
  <c r="L1151" i="2" s="1"/>
  <c r="O1151" i="2" s="1"/>
  <c r="T40" i="2"/>
  <c r="U40" i="2" s="1"/>
  <c r="K705" i="2"/>
  <c r="O705" i="2"/>
  <c r="J701" i="2"/>
  <c r="J702" i="2"/>
  <c r="J703" i="2" s="1"/>
  <c r="J1201" i="2"/>
  <c r="K1201" i="2" s="1"/>
  <c r="L1201" i="2" s="1"/>
  <c r="O1201" i="2" s="1"/>
  <c r="J1193" i="2"/>
  <c r="K1193" i="2" s="1"/>
  <c r="L1193" i="2" s="1"/>
  <c r="O1193" i="2" s="1"/>
  <c r="J1188" i="2"/>
  <c r="K1188" i="2" s="1"/>
  <c r="L1188" i="2" s="1"/>
  <c r="O1188" i="2" s="1"/>
  <c r="J1166" i="2"/>
  <c r="K1166" i="2" s="1"/>
  <c r="L1166" i="2" s="1"/>
  <c r="O1166" i="2" s="1"/>
  <c r="J1147" i="2"/>
  <c r="K1147" i="2" s="1"/>
  <c r="L1147" i="2" s="1"/>
  <c r="O1147" i="2" s="1"/>
  <c r="J1150" i="2"/>
  <c r="K1150" i="2" s="1"/>
  <c r="L1150" i="2" s="1"/>
  <c r="O1150" i="2" s="1"/>
  <c r="J1123" i="2"/>
  <c r="K1123" i="2" s="1"/>
  <c r="L1123" i="2" s="1"/>
  <c r="O1123" i="2" s="1"/>
  <c r="J1114" i="2"/>
  <c r="K1114" i="2" s="1"/>
  <c r="L1114" i="2" s="1"/>
  <c r="O1114" i="2" s="1"/>
  <c r="J1092" i="2"/>
  <c r="K1092" i="2" s="1"/>
  <c r="L1092" i="2" s="1"/>
  <c r="O1092" i="2" s="1"/>
  <c r="J1098" i="2"/>
  <c r="K1098" i="2" s="1"/>
  <c r="L1098" i="2" s="1"/>
  <c r="O1098" i="2" s="1"/>
  <c r="J1074" i="2"/>
  <c r="K1074" i="2" s="1"/>
  <c r="L1074" i="2" s="1"/>
  <c r="O1074" i="2" s="1"/>
  <c r="J1056" i="2"/>
  <c r="K1056" i="2" s="1"/>
  <c r="L1056" i="2" s="1"/>
  <c r="O1056" i="2" s="1"/>
  <c r="J1032" i="2"/>
  <c r="K1032" i="2" s="1"/>
  <c r="L1032" i="2" s="1"/>
  <c r="O1032" i="2" s="1"/>
  <c r="J1078" i="2"/>
  <c r="K1078" i="2" s="1"/>
  <c r="L1078" i="2" s="1"/>
  <c r="O1078" i="2" s="1"/>
  <c r="J1054" i="2"/>
  <c r="K1054" i="2" s="1"/>
  <c r="L1054" i="2" s="1"/>
  <c r="O1054" i="2" s="1"/>
  <c r="J1030" i="2"/>
  <c r="K1030" i="2" s="1"/>
  <c r="L1030" i="2" s="1"/>
  <c r="O1030" i="2" s="1"/>
  <c r="J1014" i="2"/>
  <c r="K1014" i="2" s="1"/>
  <c r="L1014" i="2" s="1"/>
  <c r="O1014" i="2" s="1"/>
  <c r="J994" i="2"/>
  <c r="K994" i="2" s="1"/>
  <c r="L994" i="2" s="1"/>
  <c r="O994" i="2" s="1"/>
  <c r="J1008" i="2"/>
  <c r="K1008" i="2" s="1"/>
  <c r="L1008" i="2" s="1"/>
  <c r="O1008" i="2" s="1"/>
  <c r="J954" i="2"/>
  <c r="K954" i="2" s="1"/>
  <c r="L954" i="2" s="1"/>
  <c r="O954" i="2" s="1"/>
  <c r="J964" i="2"/>
  <c r="K964" i="2" s="1"/>
  <c r="L964" i="2" s="1"/>
  <c r="O964" i="2" s="1"/>
  <c r="J931" i="2"/>
  <c r="K931" i="2" s="1"/>
  <c r="L931" i="2" s="1"/>
  <c r="O931" i="2" s="1"/>
  <c r="J1000" i="2"/>
  <c r="K1000" i="2" s="1"/>
  <c r="L1000" i="2" s="1"/>
  <c r="O1000" i="2" s="1"/>
  <c r="J988" i="2"/>
  <c r="K988" i="2" s="1"/>
  <c r="L988" i="2" s="1"/>
  <c r="O988" i="2" s="1"/>
  <c r="J937" i="2"/>
  <c r="K937" i="2" s="1"/>
  <c r="L937" i="2" s="1"/>
  <c r="O937" i="2" s="1"/>
  <c r="J897" i="2"/>
  <c r="K897" i="2" s="1"/>
  <c r="L897" i="2" s="1"/>
  <c r="O897" i="2" s="1"/>
  <c r="J849" i="2"/>
  <c r="K849" i="2" s="1"/>
  <c r="L849" i="2" s="1"/>
  <c r="O849" i="2" s="1"/>
  <c r="J875" i="2"/>
  <c r="K875" i="2" s="1"/>
  <c r="L875" i="2" s="1"/>
  <c r="O875" i="2" s="1"/>
  <c r="J901" i="2"/>
  <c r="K901" i="2" s="1"/>
  <c r="L901" i="2" s="1"/>
  <c r="O901" i="2" s="1"/>
  <c r="J862" i="2"/>
  <c r="K862" i="2" s="1"/>
  <c r="L862" i="2" s="1"/>
  <c r="O862" i="2" s="1"/>
  <c r="J835" i="2"/>
  <c r="K835" i="2" s="1"/>
  <c r="L835" i="2" s="1"/>
  <c r="O835" i="2" s="1"/>
  <c r="J895" i="2"/>
  <c r="K895" i="2" s="1"/>
  <c r="L895" i="2" s="1"/>
  <c r="O895" i="2" s="1"/>
  <c r="J853" i="2"/>
  <c r="K853" i="2" s="1"/>
  <c r="L853" i="2" s="1"/>
  <c r="O853" i="2" s="1"/>
  <c r="J830" i="2"/>
  <c r="K830" i="2" s="1"/>
  <c r="L830" i="2" s="1"/>
  <c r="O830" i="2" s="1"/>
  <c r="J806" i="2"/>
  <c r="K806" i="2" s="1"/>
  <c r="L806" i="2" s="1"/>
  <c r="O806" i="2" s="1"/>
  <c r="J813" i="2"/>
  <c r="K813" i="2" s="1"/>
  <c r="L813" i="2" s="1"/>
  <c r="O813" i="2" s="1"/>
  <c r="J789" i="2"/>
  <c r="K789" i="2" s="1"/>
  <c r="L789" i="2" s="1"/>
  <c r="O789" i="2" s="1"/>
  <c r="J827" i="2"/>
  <c r="K827" i="2" s="1"/>
  <c r="L827" i="2" s="1"/>
  <c r="O827" i="2" s="1"/>
  <c r="J808" i="2"/>
  <c r="K808" i="2" s="1"/>
  <c r="L808" i="2" s="1"/>
  <c r="O808" i="2" s="1"/>
  <c r="J784" i="2"/>
  <c r="K784" i="2" s="1"/>
  <c r="L784" i="2" s="1"/>
  <c r="O784" i="2" s="1"/>
  <c r="J769" i="2"/>
  <c r="K769" i="2" s="1"/>
  <c r="L769" i="2" s="1"/>
  <c r="O769" i="2" s="1"/>
  <c r="J758" i="2"/>
  <c r="K758" i="2" s="1"/>
  <c r="L758" i="2" s="1"/>
  <c r="O758" i="2" s="1"/>
  <c r="J735" i="2"/>
  <c r="K735" i="2" s="1"/>
  <c r="L735" i="2" s="1"/>
  <c r="O735" i="2" s="1"/>
  <c r="J750" i="2"/>
  <c r="K750" i="2" s="1"/>
  <c r="L750" i="2" s="1"/>
  <c r="O750" i="2" s="1"/>
  <c r="J715" i="2"/>
  <c r="K715" i="2" s="1"/>
  <c r="L715" i="2" s="1"/>
  <c r="O715" i="2" s="1"/>
  <c r="J757" i="2"/>
  <c r="K757" i="2" s="1"/>
  <c r="L757" i="2" s="1"/>
  <c r="O757" i="2" s="1"/>
  <c r="J733" i="2"/>
  <c r="K733" i="2" s="1"/>
  <c r="L733" i="2" s="1"/>
  <c r="O733" i="2" s="1"/>
  <c r="J729" i="2"/>
  <c r="K729" i="2" s="1"/>
  <c r="L729" i="2" s="1"/>
  <c r="O729" i="2" s="1"/>
  <c r="J736" i="2"/>
  <c r="K736" i="2" s="1"/>
  <c r="L736" i="2" s="1"/>
  <c r="O736" i="2" s="1"/>
  <c r="J716" i="2"/>
  <c r="K716" i="2" s="1"/>
  <c r="L716" i="2" s="1"/>
  <c r="O716" i="2" s="1"/>
  <c r="J795" i="2"/>
  <c r="K795" i="2" s="1"/>
  <c r="L795" i="2" s="1"/>
  <c r="O795" i="2" s="1"/>
  <c r="J836" i="2"/>
  <c r="K836" i="2" s="1"/>
  <c r="L836" i="2" s="1"/>
  <c r="O836" i="2" s="1"/>
  <c r="J892" i="2"/>
  <c r="K892" i="2" s="1"/>
  <c r="L892" i="2" s="1"/>
  <c r="O892" i="2" s="1"/>
  <c r="J942" i="2"/>
  <c r="K942" i="2" s="1"/>
  <c r="L942" i="2" s="1"/>
  <c r="O942" i="2" s="1"/>
  <c r="J973" i="2"/>
  <c r="K973" i="2" s="1"/>
  <c r="L973" i="2" s="1"/>
  <c r="O973" i="2" s="1"/>
  <c r="J999" i="2"/>
  <c r="K999" i="2" s="1"/>
  <c r="L999" i="2" s="1"/>
  <c r="O999" i="2" s="1"/>
  <c r="J1055" i="2"/>
  <c r="K1055" i="2" s="1"/>
  <c r="L1055" i="2" s="1"/>
  <c r="O1055" i="2" s="1"/>
  <c r="J1100" i="2"/>
  <c r="K1100" i="2" s="1"/>
  <c r="L1100" i="2" s="1"/>
  <c r="O1100" i="2" s="1"/>
  <c r="J1130" i="2"/>
  <c r="K1130" i="2" s="1"/>
  <c r="L1130" i="2" s="1"/>
  <c r="O1130" i="2" s="1"/>
  <c r="J1175" i="2"/>
  <c r="K1175" i="2" s="1"/>
  <c r="L1175" i="2" s="1"/>
  <c r="O1175" i="2" s="1"/>
  <c r="J1195" i="2"/>
  <c r="K1195" i="2" s="1"/>
  <c r="L1195" i="2" s="1"/>
  <c r="O1195" i="2" s="1"/>
  <c r="J759" i="2"/>
  <c r="K759" i="2" s="1"/>
  <c r="L759" i="2" s="1"/>
  <c r="O759" i="2" s="1"/>
  <c r="J840" i="2"/>
  <c r="K840" i="2" s="1"/>
  <c r="L840" i="2" s="1"/>
  <c r="O840" i="2" s="1"/>
  <c r="J856" i="2"/>
  <c r="K856" i="2" s="1"/>
  <c r="L856" i="2" s="1"/>
  <c r="O856" i="2" s="1"/>
  <c r="J944" i="2"/>
  <c r="K944" i="2" s="1"/>
  <c r="L944" i="2" s="1"/>
  <c r="O944" i="2" s="1"/>
  <c r="J979" i="2"/>
  <c r="K979" i="2" s="1"/>
  <c r="L979" i="2" s="1"/>
  <c r="O979" i="2" s="1"/>
  <c r="J981" i="2"/>
  <c r="K981" i="2" s="1"/>
  <c r="L981" i="2" s="1"/>
  <c r="O981" i="2" s="1"/>
  <c r="J1025" i="2"/>
  <c r="K1025" i="2" s="1"/>
  <c r="L1025" i="2" s="1"/>
  <c r="O1025" i="2" s="1"/>
  <c r="J1057" i="2"/>
  <c r="K1057" i="2" s="1"/>
  <c r="L1057" i="2" s="1"/>
  <c r="O1057" i="2" s="1"/>
  <c r="J1091" i="2"/>
  <c r="K1091" i="2" s="1"/>
  <c r="L1091" i="2" s="1"/>
  <c r="O1091" i="2" s="1"/>
  <c r="J1108" i="2"/>
  <c r="K1108" i="2" s="1"/>
  <c r="L1108" i="2" s="1"/>
  <c r="O1108" i="2" s="1"/>
  <c r="J1207" i="2"/>
  <c r="K1207" i="2" s="1"/>
  <c r="L1207" i="2" s="1"/>
  <c r="O1207" i="2" s="1"/>
  <c r="J1192" i="2"/>
  <c r="K1192" i="2" s="1"/>
  <c r="L1192" i="2" s="1"/>
  <c r="O1192" i="2" s="1"/>
  <c r="J1190" i="2"/>
  <c r="K1190" i="2" s="1"/>
  <c r="L1190" i="2" s="1"/>
  <c r="O1190" i="2" s="1"/>
  <c r="J1182" i="2"/>
  <c r="K1182" i="2" s="1"/>
  <c r="L1182" i="2" s="1"/>
  <c r="O1182" i="2" s="1"/>
  <c r="J1158" i="2"/>
  <c r="K1158" i="2" s="1"/>
  <c r="L1158" i="2" s="1"/>
  <c r="O1158" i="2" s="1"/>
  <c r="J1143" i="2"/>
  <c r="K1143" i="2" s="1"/>
  <c r="L1143" i="2" s="1"/>
  <c r="O1143" i="2" s="1"/>
  <c r="J1142" i="2"/>
  <c r="K1142" i="2" s="1"/>
  <c r="L1142" i="2" s="1"/>
  <c r="O1142" i="2" s="1"/>
  <c r="J1119" i="2"/>
  <c r="K1119" i="2" s="1"/>
  <c r="L1119" i="2" s="1"/>
  <c r="O1119" i="2" s="1"/>
  <c r="J1110" i="2"/>
  <c r="K1110" i="2" s="1"/>
  <c r="L1110" i="2" s="1"/>
  <c r="O1110" i="2" s="1"/>
  <c r="J1084" i="2"/>
  <c r="K1084" i="2" s="1"/>
  <c r="L1084" i="2" s="1"/>
  <c r="O1084" i="2" s="1"/>
  <c r="J1094" i="2"/>
  <c r="K1094" i="2" s="1"/>
  <c r="L1094" i="2" s="1"/>
  <c r="O1094" i="2" s="1"/>
  <c r="J1072" i="2"/>
  <c r="K1072" i="2" s="1"/>
  <c r="L1072" i="2" s="1"/>
  <c r="O1072" i="2" s="1"/>
  <c r="J1048" i="2"/>
  <c r="K1048" i="2" s="1"/>
  <c r="L1048" i="2" s="1"/>
  <c r="O1048" i="2" s="1"/>
  <c r="J1028" i="2"/>
  <c r="K1028" i="2" s="1"/>
  <c r="L1028" i="2" s="1"/>
  <c r="O1028" i="2" s="1"/>
  <c r="J1070" i="2"/>
  <c r="K1070" i="2" s="1"/>
  <c r="L1070" i="2" s="1"/>
  <c r="O1070" i="2" s="1"/>
  <c r="J1046" i="2"/>
  <c r="K1046" i="2" s="1"/>
  <c r="L1046" i="2" s="1"/>
  <c r="O1046" i="2" s="1"/>
  <c r="J1026" i="2"/>
  <c r="K1026" i="2" s="1"/>
  <c r="L1026" i="2" s="1"/>
  <c r="O1026" i="2" s="1"/>
  <c r="J1010" i="2"/>
  <c r="K1010" i="2" s="1"/>
  <c r="L1010" i="2" s="1"/>
  <c r="O1010" i="2" s="1"/>
  <c r="J986" i="2"/>
  <c r="K986" i="2" s="1"/>
  <c r="L986" i="2" s="1"/>
  <c r="O986" i="2" s="1"/>
  <c r="J992" i="2"/>
  <c r="K992" i="2" s="1"/>
  <c r="L992" i="2" s="1"/>
  <c r="O992" i="2" s="1"/>
  <c r="J1012" i="2"/>
  <c r="K1012" i="2" s="1"/>
  <c r="L1012" i="2" s="1"/>
  <c r="O1012" i="2" s="1"/>
  <c r="J947" i="2"/>
  <c r="K947" i="2" s="1"/>
  <c r="L947" i="2" s="1"/>
  <c r="O947" i="2" s="1"/>
  <c r="J927" i="2"/>
  <c r="K927" i="2" s="1"/>
  <c r="L927" i="2" s="1"/>
  <c r="O927" i="2" s="1"/>
  <c r="J984" i="2"/>
  <c r="K984" i="2" s="1"/>
  <c r="L984" i="2" s="1"/>
  <c r="O984" i="2" s="1"/>
  <c r="J960" i="2"/>
  <c r="K960" i="2" s="1"/>
  <c r="L960" i="2" s="1"/>
  <c r="O960" i="2" s="1"/>
  <c r="J933" i="2"/>
  <c r="K933" i="2" s="1"/>
  <c r="L933" i="2" s="1"/>
  <c r="O933" i="2" s="1"/>
  <c r="J889" i="2"/>
  <c r="K889" i="2" s="1"/>
  <c r="L889" i="2" s="1"/>
  <c r="O889" i="2" s="1"/>
  <c r="J907" i="2"/>
  <c r="K907" i="2" s="1"/>
  <c r="L907" i="2" s="1"/>
  <c r="O907" i="2" s="1"/>
  <c r="J867" i="2"/>
  <c r="K867" i="2" s="1"/>
  <c r="L867" i="2" s="1"/>
  <c r="O867" i="2" s="1"/>
  <c r="J893" i="2"/>
  <c r="K893" i="2" s="1"/>
  <c r="L893" i="2" s="1"/>
  <c r="O893" i="2" s="1"/>
  <c r="J855" i="2"/>
  <c r="K855" i="2" s="1"/>
  <c r="L855" i="2" s="1"/>
  <c r="O855" i="2" s="1"/>
  <c r="J831" i="2"/>
  <c r="K831" i="2" s="1"/>
  <c r="L831" i="2" s="1"/>
  <c r="O831" i="2" s="1"/>
  <c r="J887" i="2"/>
  <c r="K887" i="2" s="1"/>
  <c r="L887" i="2" s="1"/>
  <c r="O887" i="2" s="1"/>
  <c r="J846" i="2"/>
  <c r="K846" i="2" s="1"/>
  <c r="L846" i="2" s="1"/>
  <c r="O846" i="2" s="1"/>
  <c r="J822" i="2"/>
  <c r="K822" i="2" s="1"/>
  <c r="L822" i="2" s="1"/>
  <c r="O822" i="2" s="1"/>
  <c r="J826" i="2"/>
  <c r="K826" i="2" s="1"/>
  <c r="L826" i="2" s="1"/>
  <c r="O826" i="2" s="1"/>
  <c r="J805" i="2"/>
  <c r="K805" i="2" s="1"/>
  <c r="L805" i="2" s="1"/>
  <c r="O805" i="2" s="1"/>
  <c r="J785" i="2"/>
  <c r="K785" i="2" s="1"/>
  <c r="L785" i="2" s="1"/>
  <c r="O785" i="2" s="1"/>
  <c r="J824" i="2"/>
  <c r="K824" i="2" s="1"/>
  <c r="L824" i="2" s="1"/>
  <c r="O824" i="2" s="1"/>
  <c r="J800" i="2"/>
  <c r="K800" i="2" s="1"/>
  <c r="L800" i="2" s="1"/>
  <c r="O800" i="2" s="1"/>
  <c r="J780" i="2"/>
  <c r="K780" i="2" s="1"/>
  <c r="L780" i="2" s="1"/>
  <c r="O780" i="2" s="1"/>
  <c r="J764" i="2"/>
  <c r="K764" i="2" s="1"/>
  <c r="L764" i="2" s="1"/>
  <c r="O764" i="2" s="1"/>
  <c r="J751" i="2"/>
  <c r="K751" i="2" s="1"/>
  <c r="L751" i="2" s="1"/>
  <c r="O751" i="2" s="1"/>
  <c r="J731" i="2"/>
  <c r="K731" i="2" s="1"/>
  <c r="L731" i="2" s="1"/>
  <c r="O731" i="2" s="1"/>
  <c r="J746" i="2"/>
  <c r="K746" i="2" s="1"/>
  <c r="L746" i="2" s="1"/>
  <c r="O746" i="2" s="1"/>
  <c r="J756" i="2"/>
  <c r="K756" i="2" s="1"/>
  <c r="L756" i="2" s="1"/>
  <c r="O756" i="2" s="1"/>
  <c r="J717" i="2"/>
  <c r="K717" i="2" s="1"/>
  <c r="L717" i="2" s="1"/>
  <c r="O717" i="2" s="1"/>
  <c r="J728" i="2"/>
  <c r="K728" i="2" s="1"/>
  <c r="L728" i="2" s="1"/>
  <c r="O728" i="2" s="1"/>
  <c r="J740" i="2"/>
  <c r="K740" i="2" s="1"/>
  <c r="L740" i="2" s="1"/>
  <c r="O740" i="2" s="1"/>
  <c r="J718" i="2"/>
  <c r="K718" i="2" s="1"/>
  <c r="L718" i="2" s="1"/>
  <c r="O718" i="2" s="1"/>
  <c r="J720" i="2"/>
  <c r="K720" i="2" s="1"/>
  <c r="L720" i="2" s="1"/>
  <c r="O720" i="2" s="1"/>
  <c r="J778" i="2"/>
  <c r="K778" i="2" s="1"/>
  <c r="L778" i="2" s="1"/>
  <c r="O778" i="2" s="1"/>
  <c r="J854" i="2"/>
  <c r="K854" i="2" s="1"/>
  <c r="L854" i="2" s="1"/>
  <c r="O854" i="2" s="1"/>
  <c r="J926" i="2"/>
  <c r="K926" i="2" s="1"/>
  <c r="L926" i="2" s="1"/>
  <c r="O926" i="2" s="1"/>
  <c r="J880" i="2"/>
  <c r="K880" i="2" s="1"/>
  <c r="L880" i="2" s="1"/>
  <c r="O880" i="2" s="1"/>
  <c r="J1001" i="2"/>
  <c r="K1001" i="2" s="1"/>
  <c r="L1001" i="2" s="1"/>
  <c r="O1001" i="2" s="1"/>
  <c r="J1023" i="2"/>
  <c r="K1023" i="2" s="1"/>
  <c r="L1023" i="2" s="1"/>
  <c r="O1023" i="2" s="1"/>
  <c r="J1071" i="2"/>
  <c r="K1071" i="2" s="1"/>
  <c r="L1071" i="2" s="1"/>
  <c r="O1071" i="2" s="1"/>
  <c r="J1109" i="2"/>
  <c r="K1109" i="2" s="1"/>
  <c r="L1109" i="2" s="1"/>
  <c r="O1109" i="2" s="1"/>
  <c r="J1149" i="2"/>
  <c r="K1149" i="2" s="1"/>
  <c r="L1149" i="2" s="1"/>
  <c r="O1149" i="2" s="1"/>
  <c r="J1164" i="2"/>
  <c r="K1164" i="2" s="1"/>
  <c r="L1164" i="2" s="1"/>
  <c r="O1164" i="2" s="1"/>
  <c r="J1202" i="2"/>
  <c r="K1202" i="2" s="1"/>
  <c r="L1202" i="2" s="1"/>
  <c r="O1202" i="2" s="1"/>
  <c r="J1211" i="2"/>
  <c r="K1211" i="2" s="1"/>
  <c r="L1211" i="2" s="1"/>
  <c r="O1211" i="2" s="1"/>
  <c r="J1196" i="2"/>
  <c r="K1196" i="2" s="1"/>
  <c r="L1196" i="2" s="1"/>
  <c r="O1196" i="2" s="1"/>
  <c r="J1178" i="2"/>
  <c r="K1178" i="2" s="1"/>
  <c r="L1178" i="2" s="1"/>
  <c r="O1178" i="2" s="1"/>
  <c r="J1162" i="2"/>
  <c r="K1162" i="2" s="1"/>
  <c r="L1162" i="2" s="1"/>
  <c r="O1162" i="2" s="1"/>
  <c r="J1135" i="2"/>
  <c r="K1135" i="2" s="1"/>
  <c r="L1135" i="2" s="1"/>
  <c r="O1135" i="2" s="1"/>
  <c r="J1138" i="2"/>
  <c r="K1138" i="2" s="1"/>
  <c r="L1138" i="2" s="1"/>
  <c r="O1138" i="2" s="1"/>
  <c r="J1115" i="2"/>
  <c r="K1115" i="2" s="1"/>
  <c r="L1115" i="2" s="1"/>
  <c r="O1115" i="2" s="1"/>
  <c r="J1102" i="2"/>
  <c r="K1102" i="2" s="1"/>
  <c r="L1102" i="2" s="1"/>
  <c r="O1102" i="2" s="1"/>
  <c r="J1080" i="2"/>
  <c r="K1080" i="2" s="1"/>
  <c r="L1080" i="2" s="1"/>
  <c r="O1080" i="2" s="1"/>
  <c r="J1090" i="2"/>
  <c r="K1090" i="2" s="1"/>
  <c r="L1090" i="2" s="1"/>
  <c r="O1090" i="2" s="1"/>
  <c r="J1064" i="2"/>
  <c r="K1064" i="2" s="1"/>
  <c r="L1064" i="2" s="1"/>
  <c r="O1064" i="2" s="1"/>
  <c r="J1044" i="2"/>
  <c r="K1044" i="2" s="1"/>
  <c r="L1044" i="2" s="1"/>
  <c r="O1044" i="2" s="1"/>
  <c r="J1024" i="2"/>
  <c r="K1024" i="2" s="1"/>
  <c r="L1024" i="2" s="1"/>
  <c r="O1024" i="2" s="1"/>
  <c r="J1062" i="2"/>
  <c r="K1062" i="2" s="1"/>
  <c r="L1062" i="2" s="1"/>
  <c r="O1062" i="2" s="1"/>
  <c r="J1042" i="2"/>
  <c r="K1042" i="2" s="1"/>
  <c r="L1042" i="2" s="1"/>
  <c r="O1042" i="2" s="1"/>
  <c r="J1022" i="2"/>
  <c r="K1022" i="2" s="1"/>
  <c r="L1022" i="2" s="1"/>
  <c r="O1022" i="2" s="1"/>
  <c r="J1002" i="2"/>
  <c r="K1002" i="2" s="1"/>
  <c r="L1002" i="2" s="1"/>
  <c r="O1002" i="2" s="1"/>
  <c r="J982" i="2"/>
  <c r="K982" i="2" s="1"/>
  <c r="L982" i="2" s="1"/>
  <c r="O982" i="2" s="1"/>
  <c r="J976" i="2"/>
  <c r="K976" i="2" s="1"/>
  <c r="L976" i="2" s="1"/>
  <c r="O976" i="2" s="1"/>
  <c r="J980" i="2"/>
  <c r="K980" i="2" s="1"/>
  <c r="L980" i="2" s="1"/>
  <c r="O980" i="2" s="1"/>
  <c r="J943" i="2"/>
  <c r="K943" i="2" s="1"/>
  <c r="L943" i="2" s="1"/>
  <c r="O943" i="2" s="1"/>
  <c r="J923" i="2"/>
  <c r="K923" i="2" s="1"/>
  <c r="L923" i="2" s="1"/>
  <c r="O923" i="2" s="1"/>
  <c r="J958" i="2"/>
  <c r="K958" i="2" s="1"/>
  <c r="L958" i="2" s="1"/>
  <c r="O958" i="2" s="1"/>
  <c r="J949" i="2"/>
  <c r="K949" i="2" s="1"/>
  <c r="L949" i="2" s="1"/>
  <c r="O949" i="2" s="1"/>
  <c r="J917" i="2"/>
  <c r="K917" i="2" s="1"/>
  <c r="L917" i="2" s="1"/>
  <c r="O917" i="2" s="1"/>
  <c r="J873" i="2"/>
  <c r="K873" i="2" s="1"/>
  <c r="L873" i="2" s="1"/>
  <c r="O873" i="2" s="1"/>
  <c r="J899" i="2"/>
  <c r="K899" i="2" s="1"/>
  <c r="L899" i="2" s="1"/>
  <c r="O899" i="2" s="1"/>
  <c r="J861" i="2"/>
  <c r="K861" i="2" s="1"/>
  <c r="L861" i="2" s="1"/>
  <c r="O861" i="2" s="1"/>
  <c r="J877" i="2"/>
  <c r="K877" i="2" s="1"/>
  <c r="L877" i="2" s="1"/>
  <c r="O877" i="2" s="1"/>
  <c r="J847" i="2"/>
  <c r="K847" i="2" s="1"/>
  <c r="L847" i="2" s="1"/>
  <c r="O847" i="2" s="1"/>
  <c r="J929" i="2"/>
  <c r="K929" i="2" s="1"/>
  <c r="L929" i="2" s="1"/>
  <c r="O929" i="2" s="1"/>
  <c r="J871" i="2"/>
  <c r="K871" i="2" s="1"/>
  <c r="L871" i="2" s="1"/>
  <c r="O871" i="2" s="1"/>
  <c r="J842" i="2"/>
  <c r="K842" i="2" s="1"/>
  <c r="L842" i="2" s="1"/>
  <c r="O842" i="2" s="1"/>
  <c r="J818" i="2"/>
  <c r="K818" i="2" s="1"/>
  <c r="L818" i="2" s="1"/>
  <c r="O818" i="2" s="1"/>
  <c r="J821" i="2"/>
  <c r="K821" i="2" s="1"/>
  <c r="L821" i="2" s="1"/>
  <c r="O821" i="2" s="1"/>
  <c r="J801" i="2"/>
  <c r="K801" i="2" s="1"/>
  <c r="L801" i="2" s="1"/>
  <c r="O801" i="2" s="1"/>
  <c r="J781" i="2"/>
  <c r="K781" i="2" s="1"/>
  <c r="L781" i="2" s="1"/>
  <c r="O781" i="2" s="1"/>
  <c r="J816" i="2"/>
  <c r="K816" i="2" s="1"/>
  <c r="L816" i="2" s="1"/>
  <c r="O816" i="2" s="1"/>
  <c r="J796" i="2"/>
  <c r="K796" i="2" s="1"/>
  <c r="L796" i="2" s="1"/>
  <c r="O796" i="2" s="1"/>
  <c r="J776" i="2"/>
  <c r="K776" i="2" s="1"/>
  <c r="L776" i="2" s="1"/>
  <c r="O776" i="2" s="1"/>
  <c r="J765" i="2"/>
  <c r="K765" i="2" s="1"/>
  <c r="L765" i="2" s="1"/>
  <c r="O765" i="2" s="1"/>
  <c r="J747" i="2"/>
  <c r="K747" i="2" s="1"/>
  <c r="L747" i="2" s="1"/>
  <c r="O747" i="2" s="1"/>
  <c r="J727" i="2"/>
  <c r="K727" i="2" s="1"/>
  <c r="L727" i="2" s="1"/>
  <c r="O727" i="2" s="1"/>
  <c r="J723" i="2"/>
  <c r="K723" i="2" s="1"/>
  <c r="L723" i="2" s="1"/>
  <c r="O723" i="2" s="1"/>
  <c r="J722" i="2"/>
  <c r="K722" i="2" s="1"/>
  <c r="L722" i="2" s="1"/>
  <c r="O722" i="2" s="1"/>
  <c r="J721" i="2"/>
  <c r="K721" i="2" s="1"/>
  <c r="L721" i="2" s="1"/>
  <c r="O721" i="2" s="1"/>
  <c r="J734" i="2"/>
  <c r="K734" i="2" s="1"/>
  <c r="L734" i="2" s="1"/>
  <c r="O734" i="2" s="1"/>
  <c r="J730" i="2"/>
  <c r="K730" i="2" s="1"/>
  <c r="L730" i="2" s="1"/>
  <c r="O730" i="2" s="1"/>
  <c r="J749" i="2"/>
  <c r="K749" i="2" s="1"/>
  <c r="L749" i="2" s="1"/>
  <c r="O749" i="2" s="1"/>
  <c r="J738" i="2"/>
  <c r="K738" i="2" s="1"/>
  <c r="L738" i="2" s="1"/>
  <c r="O738" i="2" s="1"/>
  <c r="J794" i="2"/>
  <c r="K794" i="2" s="1"/>
  <c r="L794" i="2" s="1"/>
  <c r="O794" i="2" s="1"/>
  <c r="J878" i="2"/>
  <c r="K878" i="2" s="1"/>
  <c r="L878" i="2" s="1"/>
  <c r="O878" i="2" s="1"/>
  <c r="J914" i="2"/>
  <c r="K914" i="2" s="1"/>
  <c r="L914" i="2" s="1"/>
  <c r="O914" i="2" s="1"/>
  <c r="J912" i="2"/>
  <c r="K912" i="2" s="1"/>
  <c r="L912" i="2" s="1"/>
  <c r="O912" i="2" s="1"/>
  <c r="J971" i="2"/>
  <c r="K971" i="2" s="1"/>
  <c r="L971" i="2" s="1"/>
  <c r="O971" i="2" s="1"/>
  <c r="J1039" i="2"/>
  <c r="K1039" i="2" s="1"/>
  <c r="L1039" i="2" s="1"/>
  <c r="O1039" i="2" s="1"/>
  <c r="J1081" i="2"/>
  <c r="K1081" i="2" s="1"/>
  <c r="L1081" i="2" s="1"/>
  <c r="O1081" i="2" s="1"/>
  <c r="J1125" i="2"/>
  <c r="K1125" i="2" s="1"/>
  <c r="L1125" i="2" s="1"/>
  <c r="O1125" i="2" s="1"/>
  <c r="J1152" i="2"/>
  <c r="K1152" i="2" s="1"/>
  <c r="L1152" i="2" s="1"/>
  <c r="O1152" i="2" s="1"/>
  <c r="J1176" i="2"/>
  <c r="K1176" i="2" s="1"/>
  <c r="L1176" i="2" s="1"/>
  <c r="O1176" i="2" s="1"/>
  <c r="J783" i="2"/>
  <c r="K783" i="2" s="1"/>
  <c r="L783" i="2" s="1"/>
  <c r="O783" i="2" s="1"/>
  <c r="J841" i="2"/>
  <c r="K841" i="2" s="1"/>
  <c r="L841" i="2" s="1"/>
  <c r="O841" i="2" s="1"/>
  <c r="J920" i="2"/>
  <c r="K920" i="2" s="1"/>
  <c r="L920" i="2" s="1"/>
  <c r="O920" i="2" s="1"/>
  <c r="J922" i="2"/>
  <c r="K922" i="2" s="1"/>
  <c r="L922" i="2" s="1"/>
  <c r="O922" i="2" s="1"/>
  <c r="J888" i="2"/>
  <c r="K888" i="2" s="1"/>
  <c r="L888" i="2" s="1"/>
  <c r="O888" i="2" s="1"/>
  <c r="J975" i="2"/>
  <c r="K975" i="2" s="1"/>
  <c r="L975" i="2" s="1"/>
  <c r="O975" i="2" s="1"/>
  <c r="J977" i="2"/>
  <c r="K977" i="2" s="1"/>
  <c r="L977" i="2" s="1"/>
  <c r="O977" i="2" s="1"/>
  <c r="J1041" i="2"/>
  <c r="K1041" i="2" s="1"/>
  <c r="L1041" i="2" s="1"/>
  <c r="O1041" i="2" s="1"/>
  <c r="J1013" i="2"/>
  <c r="K1013" i="2" s="1"/>
  <c r="L1013" i="2" s="1"/>
  <c r="O1013" i="2" s="1"/>
  <c r="J1104" i="2"/>
  <c r="K1104" i="2" s="1"/>
  <c r="L1104" i="2" s="1"/>
  <c r="O1104" i="2" s="1"/>
  <c r="J1126" i="2"/>
  <c r="K1126" i="2" s="1"/>
  <c r="L1126" i="2" s="1"/>
  <c r="O1126" i="2" s="1"/>
  <c r="J1133" i="2"/>
  <c r="K1133" i="2" s="1"/>
  <c r="L1133" i="2" s="1"/>
  <c r="O1133" i="2" s="1"/>
  <c r="J1157" i="2"/>
  <c r="K1157" i="2" s="1"/>
  <c r="L1157" i="2" s="1"/>
  <c r="O1157" i="2" s="1"/>
  <c r="J1209" i="2"/>
  <c r="K1209" i="2" s="1"/>
  <c r="L1209" i="2" s="1"/>
  <c r="O1209" i="2" s="1"/>
  <c r="J819" i="2"/>
  <c r="K819" i="2" s="1"/>
  <c r="L819" i="2" s="1"/>
  <c r="O819" i="2" s="1"/>
  <c r="J845" i="2"/>
  <c r="K845" i="2" s="1"/>
  <c r="L845" i="2" s="1"/>
  <c r="O845" i="2" s="1"/>
  <c r="J894" i="2"/>
  <c r="K894" i="2" s="1"/>
  <c r="L894" i="2" s="1"/>
  <c r="O894" i="2" s="1"/>
  <c r="J866" i="2"/>
  <c r="K866" i="2" s="1"/>
  <c r="L866" i="2" s="1"/>
  <c r="O866" i="2" s="1"/>
  <c r="J946" i="2"/>
  <c r="K946" i="2" s="1"/>
  <c r="L946" i="2" s="1"/>
  <c r="O946" i="2" s="1"/>
  <c r="J989" i="2"/>
  <c r="K989" i="2" s="1"/>
  <c r="L989" i="2" s="1"/>
  <c r="O989" i="2" s="1"/>
  <c r="J987" i="2"/>
  <c r="K987" i="2" s="1"/>
  <c r="L987" i="2" s="1"/>
  <c r="O987" i="2" s="1"/>
  <c r="J1027" i="2"/>
  <c r="K1027" i="2" s="1"/>
  <c r="L1027" i="2" s="1"/>
  <c r="O1027" i="2" s="1"/>
  <c r="J1059" i="2"/>
  <c r="K1059" i="2" s="1"/>
  <c r="L1059" i="2" s="1"/>
  <c r="O1059" i="2" s="1"/>
  <c r="J1093" i="2"/>
  <c r="K1093" i="2" s="1"/>
  <c r="L1093" i="2" s="1"/>
  <c r="O1093" i="2" s="1"/>
  <c r="J41" i="2"/>
  <c r="J1210" i="2"/>
  <c r="K1210" i="2" s="1"/>
  <c r="L1210" i="2" s="1"/>
  <c r="O1210" i="2" s="1"/>
  <c r="J1206" i="2"/>
  <c r="K1206" i="2" s="1"/>
  <c r="L1206" i="2" s="1"/>
  <c r="O1206" i="2" s="1"/>
  <c r="J1189" i="2"/>
  <c r="K1189" i="2" s="1"/>
  <c r="L1189" i="2" s="1"/>
  <c r="O1189" i="2" s="1"/>
  <c r="J1184" i="2"/>
  <c r="K1184" i="2" s="1"/>
  <c r="L1184" i="2" s="1"/>
  <c r="O1184" i="2" s="1"/>
  <c r="J1170" i="2"/>
  <c r="K1170" i="2" s="1"/>
  <c r="L1170" i="2" s="1"/>
  <c r="O1170" i="2" s="1"/>
  <c r="J1155" i="2"/>
  <c r="K1155" i="2" s="1"/>
  <c r="L1155" i="2" s="1"/>
  <c r="O1155" i="2" s="1"/>
  <c r="J1139" i="2"/>
  <c r="K1139" i="2" s="1"/>
  <c r="L1139" i="2" s="1"/>
  <c r="O1139" i="2" s="1"/>
  <c r="J1146" i="2"/>
  <c r="K1146" i="2" s="1"/>
  <c r="L1146" i="2" s="1"/>
  <c r="O1146" i="2" s="1"/>
  <c r="J1127" i="2"/>
  <c r="K1127" i="2" s="1"/>
  <c r="L1127" i="2" s="1"/>
  <c r="O1127" i="2" s="1"/>
  <c r="J1111" i="2"/>
  <c r="K1111" i="2" s="1"/>
  <c r="L1111" i="2" s="1"/>
  <c r="O1111" i="2" s="1"/>
  <c r="J1106" i="2"/>
  <c r="K1106" i="2" s="1"/>
  <c r="L1106" i="2" s="1"/>
  <c r="O1106" i="2" s="1"/>
  <c r="J1088" i="2"/>
  <c r="K1088" i="2" s="1"/>
  <c r="L1088" i="2" s="1"/>
  <c r="O1088" i="2" s="1"/>
  <c r="J1107" i="2"/>
  <c r="K1107" i="2" s="1"/>
  <c r="L1107" i="2" s="1"/>
  <c r="O1107" i="2" s="1"/>
  <c r="J1086" i="2"/>
  <c r="K1086" i="2" s="1"/>
  <c r="L1086" i="2" s="1"/>
  <c r="O1086" i="2" s="1"/>
  <c r="J1068" i="2"/>
  <c r="K1068" i="2" s="1"/>
  <c r="L1068" i="2" s="1"/>
  <c r="O1068" i="2" s="1"/>
  <c r="J1052" i="2"/>
  <c r="K1052" i="2" s="1"/>
  <c r="L1052" i="2" s="1"/>
  <c r="O1052" i="2" s="1"/>
  <c r="J1036" i="2"/>
  <c r="K1036" i="2" s="1"/>
  <c r="L1036" i="2" s="1"/>
  <c r="O1036" i="2" s="1"/>
  <c r="J1020" i="2"/>
  <c r="K1020" i="2" s="1"/>
  <c r="L1020" i="2" s="1"/>
  <c r="O1020" i="2" s="1"/>
  <c r="J1066" i="2"/>
  <c r="K1066" i="2" s="1"/>
  <c r="L1066" i="2" s="1"/>
  <c r="O1066" i="2" s="1"/>
  <c r="J1050" i="2"/>
  <c r="K1050" i="2" s="1"/>
  <c r="L1050" i="2" s="1"/>
  <c r="O1050" i="2" s="1"/>
  <c r="J1034" i="2"/>
  <c r="K1034" i="2" s="1"/>
  <c r="L1034" i="2" s="1"/>
  <c r="O1034" i="2" s="1"/>
  <c r="J1018" i="2"/>
  <c r="K1018" i="2" s="1"/>
  <c r="L1018" i="2" s="1"/>
  <c r="O1018" i="2" s="1"/>
  <c r="J1006" i="2"/>
  <c r="K1006" i="2" s="1"/>
  <c r="L1006" i="2" s="1"/>
  <c r="O1006" i="2" s="1"/>
  <c r="J990" i="2"/>
  <c r="K990" i="2" s="1"/>
  <c r="L990" i="2" s="1"/>
  <c r="O990" i="2" s="1"/>
  <c r="J974" i="2"/>
  <c r="K974" i="2" s="1"/>
  <c r="L974" i="2" s="1"/>
  <c r="O974" i="2" s="1"/>
  <c r="J970" i="2"/>
  <c r="K970" i="2" s="1"/>
  <c r="L970" i="2" s="1"/>
  <c r="O970" i="2" s="1"/>
  <c r="J996" i="2"/>
  <c r="K996" i="2" s="1"/>
  <c r="L996" i="2" s="1"/>
  <c r="O996" i="2" s="1"/>
  <c r="J956" i="2"/>
  <c r="K956" i="2" s="1"/>
  <c r="L956" i="2" s="1"/>
  <c r="O956" i="2" s="1"/>
  <c r="J935" i="2"/>
  <c r="K935" i="2" s="1"/>
  <c r="L935" i="2" s="1"/>
  <c r="O935" i="2" s="1"/>
  <c r="J919" i="2"/>
  <c r="K919" i="2" s="1"/>
  <c r="L919" i="2" s="1"/>
  <c r="O919" i="2" s="1"/>
  <c r="J966" i="2"/>
  <c r="K966" i="2" s="1"/>
  <c r="L966" i="2" s="1"/>
  <c r="O966" i="2" s="1"/>
  <c r="J968" i="2"/>
  <c r="K968" i="2" s="1"/>
  <c r="L968" i="2" s="1"/>
  <c r="O968" i="2" s="1"/>
  <c r="J941" i="2"/>
  <c r="K941" i="2" s="1"/>
  <c r="L941" i="2" s="1"/>
  <c r="O941" i="2" s="1"/>
  <c r="J913" i="2"/>
  <c r="K913" i="2" s="1"/>
  <c r="L913" i="2" s="1"/>
  <c r="O913" i="2" s="1"/>
  <c r="J881" i="2"/>
  <c r="K881" i="2" s="1"/>
  <c r="L881" i="2" s="1"/>
  <c r="O881" i="2" s="1"/>
  <c r="J921" i="2"/>
  <c r="K921" i="2" s="1"/>
  <c r="L921" i="2" s="1"/>
  <c r="O921" i="2" s="1"/>
  <c r="J883" i="2"/>
  <c r="K883" i="2" s="1"/>
  <c r="L883" i="2" s="1"/>
  <c r="O883" i="2" s="1"/>
  <c r="J925" i="2"/>
  <c r="K925" i="2" s="1"/>
  <c r="L925" i="2" s="1"/>
  <c r="O925" i="2" s="1"/>
  <c r="J885" i="2"/>
  <c r="K885" i="2" s="1"/>
  <c r="L885" i="2" s="1"/>
  <c r="O885" i="2" s="1"/>
  <c r="J857" i="2"/>
  <c r="K857" i="2" s="1"/>
  <c r="L857" i="2" s="1"/>
  <c r="O857" i="2" s="1"/>
  <c r="J839" i="2"/>
  <c r="K839" i="2" s="1"/>
  <c r="L839" i="2" s="1"/>
  <c r="O839" i="2" s="1"/>
  <c r="J911" i="2"/>
  <c r="K911" i="2" s="1"/>
  <c r="L911" i="2" s="1"/>
  <c r="O911" i="2" s="1"/>
  <c r="J879" i="2"/>
  <c r="K879" i="2" s="1"/>
  <c r="L879" i="2" s="1"/>
  <c r="O879" i="2" s="1"/>
  <c r="J851" i="2"/>
  <c r="K851" i="2" s="1"/>
  <c r="L851" i="2" s="1"/>
  <c r="O851" i="2" s="1"/>
  <c r="J834" i="2"/>
  <c r="K834" i="2" s="1"/>
  <c r="L834" i="2" s="1"/>
  <c r="O834" i="2" s="1"/>
  <c r="J814" i="2"/>
  <c r="K814" i="2" s="1"/>
  <c r="L814" i="2" s="1"/>
  <c r="O814" i="2" s="1"/>
  <c r="J825" i="2"/>
  <c r="K825" i="2" s="1"/>
  <c r="L825" i="2" s="1"/>
  <c r="O825" i="2" s="1"/>
  <c r="J809" i="2"/>
  <c r="K809" i="2" s="1"/>
  <c r="L809" i="2" s="1"/>
  <c r="O809" i="2" s="1"/>
  <c r="J793" i="2"/>
  <c r="K793" i="2" s="1"/>
  <c r="L793" i="2" s="1"/>
  <c r="O793" i="2" s="1"/>
  <c r="J777" i="2"/>
  <c r="K777" i="2" s="1"/>
  <c r="L777" i="2" s="1"/>
  <c r="O777" i="2" s="1"/>
  <c r="J820" i="2"/>
  <c r="K820" i="2" s="1"/>
  <c r="L820" i="2" s="1"/>
  <c r="O820" i="2" s="1"/>
  <c r="J804" i="2"/>
  <c r="K804" i="2" s="1"/>
  <c r="L804" i="2" s="1"/>
  <c r="O804" i="2" s="1"/>
  <c r="J788" i="2"/>
  <c r="K788" i="2" s="1"/>
  <c r="L788" i="2" s="1"/>
  <c r="O788" i="2" s="1"/>
  <c r="J772" i="2"/>
  <c r="K772" i="2" s="1"/>
  <c r="L772" i="2" s="1"/>
  <c r="O772" i="2" s="1"/>
  <c r="J766" i="2"/>
  <c r="K766" i="2" s="1"/>
  <c r="L766" i="2" s="1"/>
  <c r="O766" i="2" s="1"/>
  <c r="J755" i="2"/>
  <c r="K755" i="2" s="1"/>
  <c r="L755" i="2" s="1"/>
  <c r="O755" i="2" s="1"/>
  <c r="J739" i="2"/>
  <c r="K739" i="2" s="1"/>
  <c r="L739" i="2" s="1"/>
  <c r="O739" i="2" s="1"/>
  <c r="J761" i="2"/>
  <c r="K761" i="2" s="1"/>
  <c r="L761" i="2" s="1"/>
  <c r="O761" i="2" s="1"/>
  <c r="J742" i="2"/>
  <c r="K742" i="2" s="1"/>
  <c r="L742" i="2" s="1"/>
  <c r="O742" i="2" s="1"/>
  <c r="J726" i="2"/>
  <c r="K726" i="2" s="1"/>
  <c r="L726" i="2" s="1"/>
  <c r="O726" i="2" s="1"/>
  <c r="J732" i="2"/>
  <c r="K732" i="2" s="1"/>
  <c r="L732" i="2" s="1"/>
  <c r="O732" i="2" s="1"/>
  <c r="J725" i="2"/>
  <c r="K725" i="2" s="1"/>
  <c r="L725" i="2" s="1"/>
  <c r="O725" i="2" s="1"/>
  <c r="J753" i="2"/>
  <c r="K753" i="2" s="1"/>
  <c r="L753" i="2" s="1"/>
  <c r="O753" i="2" s="1"/>
  <c r="J752" i="2"/>
  <c r="K752" i="2" s="1"/>
  <c r="L752" i="2" s="1"/>
  <c r="O752" i="2" s="1"/>
  <c r="J741" i="2"/>
  <c r="K741" i="2" s="1"/>
  <c r="L741" i="2" s="1"/>
  <c r="O741" i="2" s="1"/>
  <c r="J737" i="2"/>
  <c r="K737" i="2" s="1"/>
  <c r="L737" i="2" s="1"/>
  <c r="O737" i="2" s="1"/>
  <c r="J724" i="2"/>
  <c r="K724" i="2" s="1"/>
  <c r="L724" i="2" s="1"/>
  <c r="O724" i="2" s="1"/>
  <c r="J811" i="2"/>
  <c r="K811" i="2" s="1"/>
  <c r="L811" i="2" s="1"/>
  <c r="O811" i="2" s="1"/>
  <c r="J863" i="2"/>
  <c r="K863" i="2" s="1"/>
  <c r="L863" i="2" s="1"/>
  <c r="O863" i="2" s="1"/>
  <c r="J910" i="2"/>
  <c r="K910" i="2" s="1"/>
  <c r="L910" i="2" s="1"/>
  <c r="O910" i="2" s="1"/>
  <c r="J882" i="2"/>
  <c r="K882" i="2" s="1"/>
  <c r="L882" i="2" s="1"/>
  <c r="O882" i="2" s="1"/>
  <c r="J950" i="2"/>
  <c r="K950" i="2" s="1"/>
  <c r="L950" i="2" s="1"/>
  <c r="O950" i="2" s="1"/>
  <c r="J1005" i="2"/>
  <c r="K1005" i="2" s="1"/>
  <c r="L1005" i="2" s="1"/>
  <c r="O1005" i="2" s="1"/>
  <c r="J1003" i="2"/>
  <c r="K1003" i="2" s="1"/>
  <c r="L1003" i="2" s="1"/>
  <c r="O1003" i="2" s="1"/>
  <c r="J1031" i="2"/>
  <c r="K1031" i="2" s="1"/>
  <c r="L1031" i="2" s="1"/>
  <c r="O1031" i="2" s="1"/>
  <c r="J1063" i="2"/>
  <c r="K1063" i="2" s="1"/>
  <c r="L1063" i="2" s="1"/>
  <c r="O1063" i="2" s="1"/>
  <c r="J1097" i="2"/>
  <c r="K1097" i="2" s="1"/>
  <c r="L1097" i="2" s="1"/>
  <c r="O1097" i="2" s="1"/>
  <c r="J1116" i="2"/>
  <c r="K1116" i="2" s="1"/>
  <c r="L1116" i="2" s="1"/>
  <c r="O1116" i="2" s="1"/>
  <c r="J1136" i="2"/>
  <c r="K1136" i="2" s="1"/>
  <c r="L1136" i="2" s="1"/>
  <c r="O1136" i="2" s="1"/>
  <c r="J1183" i="2"/>
  <c r="K1183" i="2" s="1"/>
  <c r="L1183" i="2" s="1"/>
  <c r="O1183" i="2" s="1"/>
  <c r="J1191" i="2"/>
  <c r="K1191" i="2" s="1"/>
  <c r="L1191" i="2" s="1"/>
  <c r="O1191" i="2" s="1"/>
  <c r="J799" i="2"/>
  <c r="K799" i="2" s="1"/>
  <c r="L799" i="2" s="1"/>
  <c r="O799" i="2" s="1"/>
  <c r="J798" i="2"/>
  <c r="K798" i="2" s="1"/>
  <c r="L798" i="2" s="1"/>
  <c r="O798" i="2" s="1"/>
  <c r="J848" i="2"/>
  <c r="K848" i="2" s="1"/>
  <c r="L848" i="2" s="1"/>
  <c r="O848" i="2" s="1"/>
  <c r="J900" i="2"/>
  <c r="K900" i="2" s="1"/>
  <c r="L900" i="2" s="1"/>
  <c r="O900" i="2" s="1"/>
  <c r="J689" i="2"/>
  <c r="N1397" i="2"/>
  <c r="O1397" i="2" s="1"/>
  <c r="N1389" i="2"/>
  <c r="O1389" i="2" s="1"/>
  <c r="N1398" i="2"/>
  <c r="O1398" i="2" s="1"/>
  <c r="N1392" i="2"/>
  <c r="O1392" i="2" s="1"/>
  <c r="N1393" i="2"/>
  <c r="O1393" i="2" s="1"/>
  <c r="N1386" i="2"/>
  <c r="O1386" i="2" s="1"/>
  <c r="N1394" i="2"/>
  <c r="O1394" i="2" s="1"/>
  <c r="N1390" i="2"/>
  <c r="O1390" i="2" s="1"/>
  <c r="N1385" i="2"/>
  <c r="O1385" i="2" s="1"/>
  <c r="N1388" i="2"/>
  <c r="O1388" i="2" s="1"/>
  <c r="N1396" i="2"/>
  <c r="O1396" i="2" s="1"/>
  <c r="Y1304" i="2"/>
  <c r="T1298" i="2"/>
  <c r="J1238" i="2"/>
  <c r="K1238" i="2" s="1"/>
  <c r="J1262" i="2"/>
  <c r="K1262" i="2" s="1"/>
  <c r="J1232" i="2"/>
  <c r="K1232" i="2" s="1"/>
  <c r="J1244" i="2"/>
  <c r="K1244" i="2" s="1"/>
  <c r="J1245" i="2"/>
  <c r="K1245" i="2" s="1"/>
  <c r="J1227" i="2"/>
  <c r="K1227" i="2" s="1"/>
  <c r="J1225" i="2"/>
  <c r="K1225" i="2" s="1"/>
  <c r="J1233" i="2"/>
  <c r="K1233" i="2" s="1"/>
  <c r="J1261" i="2"/>
  <c r="K1261" i="2" s="1"/>
  <c r="J1258" i="2"/>
  <c r="K1258" i="2" s="1"/>
  <c r="J1256" i="2"/>
  <c r="K1256" i="2" s="1"/>
  <c r="J1229" i="2"/>
  <c r="K1229" i="2" s="1"/>
  <c r="J1240" i="2"/>
  <c r="K1240" i="2" s="1"/>
  <c r="J1236" i="2"/>
  <c r="K1236" i="2" s="1"/>
  <c r="J1237" i="2"/>
  <c r="K1237" i="2" s="1"/>
  <c r="J1226" i="2"/>
  <c r="K1226" i="2" s="1"/>
  <c r="J1241" i="2"/>
  <c r="K1241" i="2" s="1"/>
  <c r="J1255" i="2"/>
  <c r="K1255" i="2" s="1"/>
  <c r="J1257" i="2"/>
  <c r="K1257" i="2" s="1"/>
  <c r="J1250" i="2"/>
  <c r="K1250" i="2" s="1"/>
  <c r="J1265" i="2"/>
  <c r="K1265" i="2" s="1"/>
  <c r="J1263" i="2"/>
  <c r="K1263" i="2" s="1"/>
  <c r="J1266" i="2"/>
  <c r="K1266" i="2" s="1"/>
  <c r="J1234" i="2"/>
  <c r="K1234" i="2" s="1"/>
  <c r="J1252" i="2"/>
  <c r="K1252" i="2" s="1"/>
  <c r="J1249" i="2"/>
  <c r="K1249" i="2" s="1"/>
  <c r="J1228" i="2"/>
  <c r="K1228" i="2" s="1"/>
  <c r="J1243" i="2"/>
  <c r="K1243" i="2" s="1"/>
  <c r="J1264" i="2"/>
  <c r="K1264" i="2" s="1"/>
  <c r="J1242" i="2"/>
  <c r="K1242" i="2" s="1"/>
  <c r="J1253" i="2"/>
  <c r="K1253" i="2" s="1"/>
  <c r="J1223" i="2"/>
  <c r="K1223" i="2" s="1"/>
  <c r="J1224" i="2"/>
  <c r="K1224" i="2" s="1"/>
  <c r="J1231" i="2"/>
  <c r="K1231" i="2" s="1"/>
  <c r="J1251" i="2"/>
  <c r="K1251" i="2" s="1"/>
  <c r="J1248" i="2"/>
  <c r="K1248" i="2" s="1"/>
  <c r="J1247" i="2"/>
  <c r="K1247" i="2" s="1"/>
  <c r="J1235" i="2"/>
  <c r="K1235" i="2" s="1"/>
  <c r="J1260" i="2"/>
  <c r="K1260" i="2" s="1"/>
  <c r="J1230" i="2"/>
  <c r="K1230" i="2" s="1"/>
  <c r="J1239" i="2"/>
  <c r="K1239" i="2" s="1"/>
  <c r="J1259" i="2"/>
  <c r="K1259" i="2" s="1"/>
  <c r="J1246" i="2"/>
  <c r="K1246" i="2" s="1"/>
  <c r="J1222" i="2"/>
  <c r="K1222" i="2" s="1"/>
  <c r="K40" i="2"/>
  <c r="N1346" i="2"/>
  <c r="O1346" i="2" s="1"/>
  <c r="N1337" i="2"/>
  <c r="O1337" i="2" s="1"/>
  <c r="N1344" i="2"/>
  <c r="O1344" i="2" s="1"/>
  <c r="N1338" i="2"/>
  <c r="O1338" i="2" s="1"/>
  <c r="N1347" i="2"/>
  <c r="O1347" i="2" s="1"/>
  <c r="N1341" i="2"/>
  <c r="O1341" i="2" s="1"/>
  <c r="N1339" i="2"/>
  <c r="O1339" i="2" s="1"/>
  <c r="N1345" i="2"/>
  <c r="O1345" i="2" s="1"/>
  <c r="N1343" i="2"/>
  <c r="O1343" i="2" s="1"/>
  <c r="N1340" i="2"/>
  <c r="O1340" i="2" s="1"/>
  <c r="N1342" i="2"/>
  <c r="O1342" i="2" s="1"/>
  <c r="N1348" i="2"/>
  <c r="O1348" i="2" s="1"/>
  <c r="N1336" i="2"/>
  <c r="O1336" i="2" s="1"/>
  <c r="N1335" i="2"/>
  <c r="O1335" i="2" s="1"/>
  <c r="C1449" i="2"/>
  <c r="C1452" i="2"/>
  <c r="C1436" i="2"/>
  <c r="C1455" i="2"/>
  <c r="C1439" i="2"/>
  <c r="C1450" i="2"/>
  <c r="C1461" i="2"/>
  <c r="C1445" i="2"/>
  <c r="C1448" i="2"/>
  <c r="C1451" i="2"/>
  <c r="C1435" i="2"/>
  <c r="C1462" i="2"/>
  <c r="C1446" i="2"/>
  <c r="C1453" i="2"/>
  <c r="C1459" i="2"/>
  <c r="C1454" i="2"/>
  <c r="C1457" i="2"/>
  <c r="C1441" i="2"/>
  <c r="C1460" i="2"/>
  <c r="C1444" i="2"/>
  <c r="C1447" i="2"/>
  <c r="C1458" i="2"/>
  <c r="C1442" i="2"/>
  <c r="C1437" i="2"/>
  <c r="C1456" i="2"/>
  <c r="C1440" i="2"/>
  <c r="C1443" i="2"/>
  <c r="C1438" i="2"/>
  <c r="C44" i="2"/>
  <c r="K44" i="2" s="1"/>
  <c r="U655" i="2"/>
  <c r="V655" i="2" s="1"/>
  <c r="T639" i="2"/>
  <c r="U623" i="2"/>
  <c r="V623" i="2" s="1"/>
  <c r="W623" i="2" s="1"/>
  <c r="U647" i="2"/>
  <c r="V647" i="2" s="1"/>
  <c r="T671" i="2"/>
  <c r="U671" i="2" s="1"/>
  <c r="U679" i="2"/>
  <c r="V679" i="2" s="1"/>
  <c r="U631" i="2"/>
  <c r="R41" i="2"/>
  <c r="T676" i="2"/>
  <c r="U676" i="2" s="1"/>
  <c r="L1363" i="2"/>
  <c r="V663" i="2"/>
  <c r="W663" i="2" s="1"/>
  <c r="V629" i="2"/>
  <c r="W629" i="2" s="1"/>
  <c r="X629" i="2" s="1"/>
  <c r="S672" i="2"/>
  <c r="T672" i="2" s="1"/>
  <c r="K1413" i="2"/>
  <c r="U638" i="2"/>
  <c r="V638" i="2" s="1"/>
  <c r="T668" i="2"/>
  <c r="T625" i="2"/>
  <c r="U701" i="2"/>
  <c r="V701" i="2" s="1"/>
  <c r="L1424" i="2"/>
  <c r="T637" i="2"/>
  <c r="T636" i="2"/>
  <c r="U661" i="2"/>
  <c r="S624" i="2"/>
  <c r="T624" i="2" s="1"/>
  <c r="V677" i="2"/>
  <c r="W677" i="2" s="1"/>
  <c r="S42" i="2"/>
  <c r="T42" i="2" s="1"/>
  <c r="U42" i="2" s="1"/>
  <c r="H43" i="2"/>
  <c r="V619" i="2"/>
  <c r="V667" i="2"/>
  <c r="W667" i="2" s="1"/>
  <c r="X667" i="2" s="1"/>
  <c r="T678" i="2"/>
  <c r="U622" i="2"/>
  <c r="V622" i="2" s="1"/>
  <c r="W622" i="2" s="1"/>
  <c r="T673" i="2"/>
  <c r="T705" i="2"/>
  <c r="W642" i="2"/>
  <c r="T621" i="2"/>
  <c r="U621" i="2" s="1"/>
  <c r="T669" i="2"/>
  <c r="U669" i="2" s="1"/>
  <c r="V626" i="2"/>
  <c r="S656" i="2"/>
  <c r="U660" i="2"/>
  <c r="V660" i="2" s="1"/>
  <c r="V645" i="2"/>
  <c r="W633" i="2"/>
  <c r="W665" i="2"/>
  <c r="B45" i="2"/>
  <c r="P44" i="2"/>
  <c r="I44" i="2"/>
  <c r="U618" i="2"/>
  <c r="L1200" i="2"/>
  <c r="O1200" i="2" s="1"/>
  <c r="K689" i="2"/>
  <c r="S640" i="2"/>
  <c r="T640" i="2" s="1"/>
  <c r="U688" i="2"/>
  <c r="U650" i="2"/>
  <c r="V650" i="2" s="1"/>
  <c r="U670" i="2"/>
  <c r="V670" i="2" s="1"/>
  <c r="W670" i="2" s="1"/>
  <c r="V649" i="2"/>
  <c r="T630" i="2"/>
  <c r="U630" i="2" s="1"/>
  <c r="S632" i="2"/>
  <c r="T652" i="2"/>
  <c r="T657" i="2"/>
  <c r="W659" i="2"/>
  <c r="X659" i="2" s="1"/>
  <c r="Y659" i="2" s="1"/>
  <c r="W643" i="2"/>
  <c r="W674" i="2"/>
  <c r="T653" i="2"/>
  <c r="T702" i="2"/>
  <c r="T620" i="2"/>
  <c r="V658" i="2"/>
  <c r="V651" i="2"/>
  <c r="T646" i="2"/>
  <c r="U646" i="2" s="1"/>
  <c r="V635" i="2"/>
  <c r="L1387" i="2"/>
  <c r="L1391" i="2"/>
  <c r="L1395" i="2"/>
  <c r="J1462" i="2"/>
  <c r="K1462" i="2" s="1"/>
  <c r="J1460" i="2"/>
  <c r="K1460" i="2" s="1"/>
  <c r="J1458" i="2"/>
  <c r="K1458" i="2" s="1"/>
  <c r="L1480" i="2"/>
  <c r="J1461" i="2"/>
  <c r="K1461" i="2" s="1"/>
  <c r="J1459" i="2"/>
  <c r="K1459" i="2" s="1"/>
  <c r="C1431" i="2"/>
  <c r="J1456" i="2"/>
  <c r="K1456" i="2" s="1"/>
  <c r="J1454" i="2"/>
  <c r="K1454" i="2" s="1"/>
  <c r="J1452" i="2"/>
  <c r="K1452" i="2" s="1"/>
  <c r="J1450" i="2"/>
  <c r="K1450" i="2" s="1"/>
  <c r="J1448" i="2"/>
  <c r="K1448" i="2" s="1"/>
  <c r="L1448" i="2" s="1"/>
  <c r="J1446" i="2"/>
  <c r="K1446" i="2" s="1"/>
  <c r="L1446" i="2" s="1"/>
  <c r="J1444" i="2"/>
  <c r="K1444" i="2" s="1"/>
  <c r="L1444" i="2" s="1"/>
  <c r="J1442" i="2"/>
  <c r="K1442" i="2" s="1"/>
  <c r="L1442" i="2" s="1"/>
  <c r="J1440" i="2"/>
  <c r="K1440" i="2" s="1"/>
  <c r="L1440" i="2" s="1"/>
  <c r="J1438" i="2"/>
  <c r="K1438" i="2" s="1"/>
  <c r="L1438" i="2" s="1"/>
  <c r="J1436" i="2"/>
  <c r="K1436" i="2" s="1"/>
  <c r="L1436" i="2" s="1"/>
  <c r="C1432" i="2"/>
  <c r="J1457" i="2"/>
  <c r="K1457" i="2" s="1"/>
  <c r="J1455" i="2"/>
  <c r="K1455" i="2" s="1"/>
  <c r="J1453" i="2"/>
  <c r="K1453" i="2" s="1"/>
  <c r="J1451" i="2"/>
  <c r="K1451" i="2" s="1"/>
  <c r="J1449" i="2"/>
  <c r="K1449" i="2" s="1"/>
  <c r="J1447" i="2"/>
  <c r="K1447" i="2" s="1"/>
  <c r="J1445" i="2"/>
  <c r="K1445" i="2" s="1"/>
  <c r="L1445" i="2" s="1"/>
  <c r="J1443" i="2"/>
  <c r="J1441" i="2"/>
  <c r="K1441" i="2" s="1"/>
  <c r="L1441" i="2" s="1"/>
  <c r="J1439" i="2"/>
  <c r="K1439" i="2" s="1"/>
  <c r="J1437" i="2"/>
  <c r="K1437" i="2" s="1"/>
  <c r="L1437" i="2" s="1"/>
  <c r="J1435" i="2"/>
  <c r="K1435" i="2" s="1"/>
  <c r="U634" i="2"/>
  <c r="U654" i="2"/>
  <c r="S664" i="2"/>
  <c r="T641" i="2"/>
  <c r="U703" i="2"/>
  <c r="K1467" i="2"/>
  <c r="A1425" i="2"/>
  <c r="M1423" i="2"/>
  <c r="A1423" i="2"/>
  <c r="A1467" i="2" s="1"/>
  <c r="W675" i="2"/>
  <c r="X675" i="2" s="1"/>
  <c r="T628" i="2"/>
  <c r="W704" i="2"/>
  <c r="U648" i="2"/>
  <c r="U644" i="2"/>
  <c r="U662" i="2"/>
  <c r="X627" i="2"/>
  <c r="R43" i="2"/>
  <c r="U666" i="2"/>
  <c r="V666" i="2" s="1"/>
  <c r="W666" i="2" s="1"/>
  <c r="K680" i="2"/>
  <c r="CP38" i="2" l="1"/>
  <c r="AZ768" i="2"/>
  <c r="AZ738" i="2"/>
  <c r="AZ718" i="2"/>
  <c r="AZ714" i="2"/>
  <c r="AZ951" i="2"/>
  <c r="AZ1161" i="2"/>
  <c r="AZ856" i="2"/>
  <c r="AZ954" i="2"/>
  <c r="AZ870" i="2"/>
  <c r="AZ850" i="2"/>
  <c r="AZ715" i="2"/>
  <c r="AZ1007" i="2"/>
  <c r="AZ1084" i="2"/>
  <c r="AZ894" i="2"/>
  <c r="AZ886" i="2"/>
  <c r="AZ953" i="2"/>
  <c r="AZ761" i="2"/>
  <c r="AZ975" i="2"/>
  <c r="AZ940" i="2"/>
  <c r="AZ1013" i="2"/>
  <c r="AZ1195" i="2"/>
  <c r="AZ916" i="2"/>
  <c r="AZ904" i="2"/>
  <c r="AZ746" i="2"/>
  <c r="AZ902" i="2"/>
  <c r="AZ910" i="2"/>
  <c r="AZ888" i="2"/>
  <c r="AZ872" i="2"/>
  <c r="AZ1052" i="2"/>
  <c r="AZ760" i="2"/>
  <c r="AZ750" i="2"/>
  <c r="AZ722" i="2"/>
  <c r="AZ959" i="2"/>
  <c r="AZ991" i="2"/>
  <c r="AZ854" i="2"/>
  <c r="AZ741" i="2"/>
  <c r="AZ751" i="2"/>
  <c r="AZ726" i="2"/>
  <c r="AZ857" i="2"/>
  <c r="AZ826" i="2"/>
  <c r="AZ729" i="2"/>
  <c r="AZ862" i="2"/>
  <c r="AZ883" i="2"/>
  <c r="AZ765" i="2"/>
  <c r="AZ783" i="2"/>
  <c r="AZ733" i="2"/>
  <c r="AZ753" i="2"/>
  <c r="AZ849" i="2"/>
  <c r="AZ852" i="2"/>
  <c r="AZ969" i="2"/>
  <c r="AZ1175" i="2"/>
  <c r="AZ961" i="2"/>
  <c r="AZ745" i="2"/>
  <c r="AZ946" i="2"/>
  <c r="AZ1126" i="2"/>
  <c r="AZ730" i="2"/>
  <c r="AZ1017" i="2"/>
  <c r="AZ819" i="2"/>
  <c r="AZ1089" i="2"/>
  <c r="AZ1063" i="2"/>
  <c r="AZ996" i="2"/>
  <c r="AZ1047" i="2"/>
  <c r="AZ1193" i="2"/>
  <c r="AZ1172" i="2"/>
  <c r="AZ1204" i="2"/>
  <c r="AZ743" i="2"/>
  <c r="AZ755" i="2"/>
  <c r="AZ739" i="2"/>
  <c r="AZ932" i="2"/>
  <c r="AZ867" i="2"/>
  <c r="AZ907" i="2"/>
  <c r="AZ923" i="2"/>
  <c r="AZ832" i="2"/>
  <c r="AZ938" i="2"/>
  <c r="AZ939" i="2"/>
  <c r="AZ1041" i="2"/>
  <c r="AZ1062" i="2"/>
  <c r="AZ962" i="2"/>
  <c r="AZ978" i="2"/>
  <c r="AZ980" i="2"/>
  <c r="AZ988" i="2"/>
  <c r="AZ731" i="2"/>
  <c r="AZ734" i="2"/>
  <c r="AZ878" i="2"/>
  <c r="AZ967" i="2"/>
  <c r="AZ725" i="2"/>
  <c r="AZ1010" i="2"/>
  <c r="AZ1203" i="2"/>
  <c r="AZ1142" i="2"/>
  <c r="AZ825" i="2"/>
  <c r="AZ791" i="2"/>
  <c r="AZ861" i="2"/>
  <c r="AZ1020" i="2"/>
  <c r="AZ723" i="2"/>
  <c r="AZ754" i="2"/>
  <c r="AZ735" i="2"/>
  <c r="AZ1158" i="2"/>
  <c r="AZ1076" i="2"/>
  <c r="AZ742" i="2"/>
  <c r="AZ772" i="2"/>
  <c r="AZ787" i="2"/>
  <c r="AZ1197" i="2"/>
  <c r="AZ1036" i="2"/>
  <c r="AZ1077" i="2"/>
  <c r="AZ811" i="2"/>
  <c r="AZ747" i="2"/>
  <c r="AZ727" i="2"/>
  <c r="AZ860" i="2"/>
  <c r="AZ1209" i="2"/>
  <c r="AZ1081" i="2"/>
  <c r="AZ970" i="2"/>
  <c r="AZ977" i="2"/>
  <c r="AZ807" i="2"/>
  <c r="AZ985" i="2"/>
  <c r="AZ763" i="2"/>
  <c r="AZ775" i="2"/>
  <c r="AZ795" i="2"/>
  <c r="AZ1031" i="2"/>
  <c r="AZ1071" i="2"/>
  <c r="AZ1130" i="2"/>
  <c r="AZ1180" i="2"/>
  <c r="AZ779" i="2"/>
  <c r="AZ803" i="2"/>
  <c r="AZ840" i="2"/>
  <c r="AZ823" i="2"/>
  <c r="AZ948" i="2"/>
  <c r="AZ1046" i="2"/>
  <c r="AZ1030" i="2"/>
  <c r="AZ1202" i="2"/>
  <c r="AZ1015" i="2"/>
  <c r="AZ1002" i="2"/>
  <c r="AZ947" i="2"/>
  <c r="AZ924" i="2"/>
  <c r="AZ767" i="2"/>
  <c r="AZ799" i="2"/>
  <c r="AZ930" i="2"/>
  <c r="AZ1009" i="2"/>
  <c r="AZ1033" i="2"/>
  <c r="AZ1025" i="2"/>
  <c r="AZ1097" i="2"/>
  <c r="AZ1118" i="2"/>
  <c r="AZ1147" i="2"/>
  <c r="AZ1189" i="2"/>
  <c r="AZ1187" i="2"/>
  <c r="AZ1192" i="2"/>
  <c r="AZ1200" i="2"/>
  <c r="AZ868" i="2"/>
  <c r="AZ884" i="2"/>
  <c r="AZ874" i="2"/>
  <c r="AZ906" i="2"/>
  <c r="AZ983" i="2"/>
  <c r="AZ863" i="2"/>
  <c r="AZ982" i="2"/>
  <c r="AZ744" i="2"/>
  <c r="AZ769" i="2"/>
  <c r="AZ797" i="2"/>
  <c r="AZ762" i="2"/>
  <c r="AZ794" i="2"/>
  <c r="AZ845" i="2"/>
  <c r="AZ973" i="2"/>
  <c r="AZ869" i="2"/>
  <c r="AZ717" i="2"/>
  <c r="AZ771" i="2"/>
  <c r="AZ922" i="2"/>
  <c r="AZ859" i="2"/>
  <c r="AZ915" i="2"/>
  <c r="AZ993" i="2"/>
  <c r="AZ1167" i="2"/>
  <c r="AZ1060" i="2"/>
  <c r="AZ1153" i="2"/>
  <c r="AZ1099" i="2"/>
  <c r="AZ1137" i="2"/>
  <c r="AZ1164" i="2"/>
  <c r="AZ1194" i="2"/>
  <c r="AZ847" i="2"/>
  <c r="AZ864" i="2"/>
  <c r="AZ749" i="2"/>
  <c r="AZ737" i="2"/>
  <c r="AZ1055" i="2"/>
  <c r="AZ1102" i="2"/>
  <c r="AZ999" i="2"/>
  <c r="AZ875" i="2"/>
  <c r="AZ899" i="2"/>
  <c r="AZ815" i="2"/>
  <c r="AZ1001" i="2"/>
  <c r="AZ972" i="2"/>
  <c r="AZ956" i="2"/>
  <c r="AZ1057" i="2"/>
  <c r="AZ1065" i="2"/>
  <c r="AZ1038" i="2"/>
  <c r="AZ1145" i="2"/>
  <c r="AZ1139" i="2"/>
  <c r="AZ1159" i="2"/>
  <c r="AZ1155" i="2"/>
  <c r="AZ1213" i="2"/>
  <c r="AZ890" i="2"/>
  <c r="AZ963" i="2"/>
  <c r="AZ966" i="2"/>
  <c r="AZ990" i="2"/>
  <c r="AZ998" i="2"/>
  <c r="AZ1006" i="2"/>
  <c r="AZ728" i="2"/>
  <c r="AZ827" i="2"/>
  <c r="AZ781" i="2"/>
  <c r="AZ813" i="2"/>
  <c r="AZ778" i="2"/>
  <c r="AZ810" i="2"/>
  <c r="AZ829" i="2"/>
  <c r="AZ839" i="2"/>
  <c r="AZ719" i="2"/>
  <c r="AZ891" i="2"/>
  <c r="AZ964" i="2"/>
  <c r="AZ1039" i="2"/>
  <c r="AZ1068" i="2"/>
  <c r="AZ1023" i="2"/>
  <c r="AZ851" i="2"/>
  <c r="AZ931" i="2"/>
  <c r="AZ986" i="2"/>
  <c r="AZ994" i="2"/>
  <c r="AZ1004" i="2"/>
  <c r="AZ1012" i="2"/>
  <c r="AZ1028" i="2"/>
  <c r="AZ1110" i="2"/>
  <c r="AZ1092" i="2"/>
  <c r="AZ1049" i="2"/>
  <c r="AZ1022" i="2"/>
  <c r="AZ1054" i="2"/>
  <c r="AZ1070" i="2"/>
  <c r="AZ1044" i="2"/>
  <c r="AZ792" i="2"/>
  <c r="AZ773" i="2"/>
  <c r="AZ789" i="2"/>
  <c r="AZ805" i="2"/>
  <c r="AZ821" i="2"/>
  <c r="AZ830" i="2"/>
  <c r="AZ831" i="2"/>
  <c r="AZ965" i="2"/>
  <c r="AZ928" i="2"/>
  <c r="AZ908" i="2"/>
  <c r="AZ828" i="2"/>
  <c r="AZ882" i="2"/>
  <c r="AZ898" i="2"/>
  <c r="AZ920" i="2"/>
  <c r="AZ936" i="2"/>
  <c r="AZ934" i="2"/>
  <c r="AZ911" i="2"/>
  <c r="AZ756" i="2"/>
  <c r="AZ740" i="2"/>
  <c r="AZ724" i="2"/>
  <c r="AZ721" i="2"/>
  <c r="AZ804" i="2"/>
  <c r="AZ785" i="2"/>
  <c r="AZ817" i="2"/>
  <c r="AZ774" i="2"/>
  <c r="AZ806" i="2"/>
  <c r="AZ880" i="2"/>
  <c r="AZ912" i="2"/>
  <c r="AZ843" i="2"/>
  <c r="AZ865" i="2"/>
  <c r="AZ881" i="2"/>
  <c r="AZ897" i="2"/>
  <c r="AZ913" i="2"/>
  <c r="AZ921" i="2"/>
  <c r="AZ1005" i="2"/>
  <c r="AZ1043" i="2"/>
  <c r="AZ1088" i="2"/>
  <c r="AZ1090" i="2"/>
  <c r="AZ1087" i="2"/>
  <c r="AZ1105" i="2"/>
  <c r="AZ1121" i="2"/>
  <c r="AZ1128" i="2"/>
  <c r="AZ1177" i="2"/>
  <c r="AZ1188" i="2"/>
  <c r="AZ1210" i="2"/>
  <c r="AZ979" i="2"/>
  <c r="AZ1042" i="2"/>
  <c r="AZ1032" i="2"/>
  <c r="AZ1064" i="2"/>
  <c r="AZ1141" i="2"/>
  <c r="AZ1149" i="2"/>
  <c r="AZ1143" i="2"/>
  <c r="AZ1171" i="2"/>
  <c r="AZ1199" i="2"/>
  <c r="AZ1086" i="2"/>
  <c r="AZ1083" i="2"/>
  <c r="AZ1212" i="2"/>
  <c r="AZ1184" i="2"/>
  <c r="AZ784" i="2"/>
  <c r="AZ800" i="2"/>
  <c r="AZ770" i="2"/>
  <c r="AZ786" i="2"/>
  <c r="AZ802" i="2"/>
  <c r="AZ818" i="2"/>
  <c r="AZ957" i="2"/>
  <c r="AZ877" i="2"/>
  <c r="AZ893" i="2"/>
  <c r="AZ950" i="2"/>
  <c r="AZ981" i="2"/>
  <c r="AZ892" i="2"/>
  <c r="AZ836" i="2"/>
  <c r="AZ879" i="2"/>
  <c r="AZ995" i="2"/>
  <c r="AZ780" i="2"/>
  <c r="AZ812" i="2"/>
  <c r="AZ820" i="2"/>
  <c r="AZ793" i="2"/>
  <c r="AZ798" i="2"/>
  <c r="AZ833" i="2"/>
  <c r="AZ835" i="2"/>
  <c r="AZ929" i="2"/>
  <c r="AZ955" i="2"/>
  <c r="AZ971" i="2"/>
  <c r="AZ1003" i="2"/>
  <c r="AZ903" i="2"/>
  <c r="AZ952" i="2"/>
  <c r="AZ1035" i="2"/>
  <c r="AZ1067" i="2"/>
  <c r="AZ1080" i="2"/>
  <c r="AZ1082" i="2"/>
  <c r="AZ1079" i="2"/>
  <c r="AZ1111" i="2"/>
  <c r="AZ1127" i="2"/>
  <c r="AZ1136" i="2"/>
  <c r="AZ1162" i="2"/>
  <c r="AZ1178" i="2"/>
  <c r="AZ1011" i="2"/>
  <c r="AZ1008" i="2"/>
  <c r="AZ1029" i="2"/>
  <c r="AZ1045" i="2"/>
  <c r="AZ1061" i="2"/>
  <c r="AZ1034" i="2"/>
  <c r="AZ1066" i="2"/>
  <c r="AZ1024" i="2"/>
  <c r="AZ1056" i="2"/>
  <c r="AZ1085" i="2"/>
  <c r="AZ1093" i="2"/>
  <c r="AZ1106" i="2"/>
  <c r="AZ1122" i="2"/>
  <c r="AZ1154" i="2"/>
  <c r="AZ1135" i="2"/>
  <c r="AZ1160" i="2"/>
  <c r="AZ1176" i="2"/>
  <c r="AZ1208" i="2"/>
  <c r="AZ1094" i="2"/>
  <c r="AZ1109" i="2"/>
  <c r="AZ1123" i="2"/>
  <c r="AZ1132" i="2"/>
  <c r="AZ1185" i="2"/>
  <c r="AZ1150" i="2"/>
  <c r="AZ1156" i="2"/>
  <c r="AZ900" i="2"/>
  <c r="AZ927" i="2"/>
  <c r="AZ974" i="2"/>
  <c r="AZ752" i="2"/>
  <c r="AZ720" i="2"/>
  <c r="AZ764" i="2"/>
  <c r="AZ759" i="2"/>
  <c r="AZ776" i="2"/>
  <c r="AZ808" i="2"/>
  <c r="AZ824" i="2"/>
  <c r="AZ846" i="2"/>
  <c r="AZ855" i="2"/>
  <c r="AZ887" i="2"/>
  <c r="AZ876" i="2"/>
  <c r="AZ844" i="2"/>
  <c r="AZ848" i="2"/>
  <c r="AZ866" i="2"/>
  <c r="AZ943" i="2"/>
  <c r="AZ960" i="2"/>
  <c r="AZ748" i="2"/>
  <c r="AZ732" i="2"/>
  <c r="AZ788" i="2"/>
  <c r="AZ801" i="2"/>
  <c r="AZ758" i="2"/>
  <c r="AZ790" i="2"/>
  <c r="AZ822" i="2"/>
  <c r="AZ841" i="2"/>
  <c r="AZ896" i="2"/>
  <c r="AZ873" i="2"/>
  <c r="AZ889" i="2"/>
  <c r="AZ905" i="2"/>
  <c r="AZ918" i="2"/>
  <c r="AZ926" i="2"/>
  <c r="AZ989" i="2"/>
  <c r="AZ997" i="2"/>
  <c r="AZ1027" i="2"/>
  <c r="AZ1059" i="2"/>
  <c r="AZ1100" i="2"/>
  <c r="AZ1108" i="2"/>
  <c r="AZ1116" i="2"/>
  <c r="AZ1124" i="2"/>
  <c r="AZ1131" i="2"/>
  <c r="AZ1144" i="2"/>
  <c r="AZ1186" i="2"/>
  <c r="AZ976" i="2"/>
  <c r="AZ984" i="2"/>
  <c r="AZ1000" i="2"/>
  <c r="AZ1014" i="2"/>
  <c r="AZ1026" i="2"/>
  <c r="AZ1058" i="2"/>
  <c r="AZ1016" i="2"/>
  <c r="AZ1048" i="2"/>
  <c r="AZ1114" i="2"/>
  <c r="AZ1133" i="2"/>
  <c r="AZ1146" i="2"/>
  <c r="AZ1157" i="2"/>
  <c r="AZ1163" i="2"/>
  <c r="AZ1179" i="2"/>
  <c r="AZ1103" i="2"/>
  <c r="AZ1101" i="2"/>
  <c r="AZ1117" i="2"/>
  <c r="AZ1115" i="2"/>
  <c r="AZ925" i="2"/>
  <c r="AZ987" i="2"/>
  <c r="AZ716" i="2"/>
  <c r="AZ796" i="2"/>
  <c r="AZ777" i="2"/>
  <c r="AZ782" i="2"/>
  <c r="AZ842" i="2"/>
  <c r="AZ914" i="2"/>
  <c r="AZ1169" i="2"/>
  <c r="AZ968" i="2"/>
  <c r="AZ1037" i="2"/>
  <c r="AZ1050" i="2"/>
  <c r="AZ1168" i="2"/>
  <c r="AZ1078" i="2"/>
  <c r="AZ1112" i="2"/>
  <c r="AZ1107" i="2"/>
  <c r="AZ1165" i="2"/>
  <c r="AZ1182" i="2"/>
  <c r="AZ1205" i="2"/>
  <c r="AZ1211" i="2"/>
  <c r="AZ1134" i="2"/>
  <c r="AZ1206" i="2"/>
  <c r="AZ871" i="2"/>
  <c r="AZ1053" i="2"/>
  <c r="AZ1040" i="2"/>
  <c r="AZ1091" i="2"/>
  <c r="AZ1120" i="2"/>
  <c r="AZ1129" i="2"/>
  <c r="AZ895" i="2"/>
  <c r="AZ838" i="2"/>
  <c r="AZ858" i="2"/>
  <c r="AZ917" i="2"/>
  <c r="AZ949" i="2"/>
  <c r="AZ944" i="2"/>
  <c r="AZ834" i="2"/>
  <c r="AZ1075" i="2"/>
  <c r="AZ1073" i="2"/>
  <c r="AZ1072" i="2"/>
  <c r="AZ1074" i="2"/>
  <c r="AZ1152" i="2"/>
  <c r="AZ992" i="2"/>
  <c r="AZ1021" i="2"/>
  <c r="AZ1138" i="2"/>
  <c r="AZ1151" i="2"/>
  <c r="AZ1104" i="2"/>
  <c r="AZ1125" i="2"/>
  <c r="AZ1174" i="2"/>
  <c r="AZ1191" i="2"/>
  <c r="AZ1198" i="2"/>
  <c r="AZ958" i="2"/>
  <c r="AZ736" i="2"/>
  <c r="AZ853" i="2"/>
  <c r="AZ1051" i="2"/>
  <c r="AZ1113" i="2"/>
  <c r="AZ1201" i="2"/>
  <c r="AZ837" i="2"/>
  <c r="AZ885" i="2"/>
  <c r="AZ909" i="2"/>
  <c r="AZ941" i="2"/>
  <c r="AZ919" i="2"/>
  <c r="AZ757" i="2"/>
  <c r="AZ809" i="2"/>
  <c r="AZ766" i="2"/>
  <c r="AZ814" i="2"/>
  <c r="AZ945" i="2"/>
  <c r="AZ935" i="2"/>
  <c r="AZ1019" i="2"/>
  <c r="AZ1096" i="2"/>
  <c r="AZ1098" i="2"/>
  <c r="AZ1095" i="2"/>
  <c r="AZ1119" i="2"/>
  <c r="AZ1170" i="2"/>
  <c r="AZ1069" i="2"/>
  <c r="AZ1018" i="2"/>
  <c r="AZ1148" i="2"/>
  <c r="AZ1181" i="2"/>
  <c r="AZ1183" i="2"/>
  <c r="AZ1166" i="2"/>
  <c r="AZ1196" i="2"/>
  <c r="AZ1190" i="2"/>
  <c r="AZ816" i="2"/>
  <c r="AZ901" i="2"/>
  <c r="AZ933" i="2"/>
  <c r="AZ942" i="2"/>
  <c r="AZ937" i="2"/>
  <c r="AZ1140" i="2"/>
  <c r="AZ1173" i="2"/>
  <c r="AZ1207" i="2"/>
  <c r="K714" i="2"/>
  <c r="K1214" i="2" s="1"/>
  <c r="O703" i="2"/>
  <c r="K703" i="2"/>
  <c r="J704" i="2"/>
  <c r="O702" i="2"/>
  <c r="K702" i="2"/>
  <c r="N1441" i="2"/>
  <c r="O1441" i="2" s="1"/>
  <c r="N1440" i="2"/>
  <c r="O1440" i="2" s="1"/>
  <c r="N1448" i="2"/>
  <c r="O1448" i="2" s="1"/>
  <c r="N1442" i="2"/>
  <c r="O1442" i="2" s="1"/>
  <c r="N1437" i="2"/>
  <c r="O1437" i="2" s="1"/>
  <c r="N1445" i="2"/>
  <c r="O1445" i="2" s="1"/>
  <c r="N1436" i="2"/>
  <c r="O1436" i="2" s="1"/>
  <c r="N1444" i="2"/>
  <c r="O1444" i="2" s="1"/>
  <c r="N1438" i="2"/>
  <c r="O1438" i="2" s="1"/>
  <c r="N1446" i="2"/>
  <c r="O1446" i="2" s="1"/>
  <c r="N1395" i="2"/>
  <c r="O1395" i="2" s="1"/>
  <c r="N1391" i="2"/>
  <c r="O1391" i="2" s="1"/>
  <c r="N1387" i="2"/>
  <c r="O1387" i="2" s="1"/>
  <c r="J1427" i="2"/>
  <c r="P1426" i="2"/>
  <c r="V1426" i="2" s="1"/>
  <c r="Z1304" i="2"/>
  <c r="U1298" i="2"/>
  <c r="K1267" i="2"/>
  <c r="K1274" i="2"/>
  <c r="C1497" i="2"/>
  <c r="C1508" i="2"/>
  <c r="C1492" i="2"/>
  <c r="C1511" i="2"/>
  <c r="C1495" i="2"/>
  <c r="C1502" i="2"/>
  <c r="C1486" i="2"/>
  <c r="C1499" i="2"/>
  <c r="C1509" i="2"/>
  <c r="C1493" i="2"/>
  <c r="C1504" i="2"/>
  <c r="C1488" i="2"/>
  <c r="C1507" i="2"/>
  <c r="C1491" i="2"/>
  <c r="C1498" i="2"/>
  <c r="C1485" i="2"/>
  <c r="C1506" i="2"/>
  <c r="C1505" i="2"/>
  <c r="C1489" i="2"/>
  <c r="C1500" i="2"/>
  <c r="C1503" i="2"/>
  <c r="C1487" i="2"/>
  <c r="C1510" i="2"/>
  <c r="C1494" i="2"/>
  <c r="C1501" i="2"/>
  <c r="C1512" i="2"/>
  <c r="C1496" i="2"/>
  <c r="C1490" i="2"/>
  <c r="D45" i="2"/>
  <c r="C45" i="2"/>
  <c r="K1443" i="2"/>
  <c r="K1463" i="2" s="1"/>
  <c r="W655" i="2"/>
  <c r="X655" i="2" s="1"/>
  <c r="Y655" i="2" s="1"/>
  <c r="J44" i="2"/>
  <c r="U639" i="2"/>
  <c r="V671" i="2"/>
  <c r="V631" i="2"/>
  <c r="W647" i="2"/>
  <c r="X647" i="2" s="1"/>
  <c r="U624" i="2"/>
  <c r="V624" i="2" s="1"/>
  <c r="W624" i="2" s="1"/>
  <c r="U637" i="2"/>
  <c r="V637" i="2" s="1"/>
  <c r="S41" i="2"/>
  <c r="W679" i="2"/>
  <c r="V676" i="2"/>
  <c r="W676" i="2" s="1"/>
  <c r="X676" i="2" s="1"/>
  <c r="X663" i="2"/>
  <c r="Y663" i="2" s="1"/>
  <c r="N1363" i="2"/>
  <c r="V646" i="2"/>
  <c r="W646" i="2" s="1"/>
  <c r="U628" i="2"/>
  <c r="V628" i="2" s="1"/>
  <c r="U653" i="2"/>
  <c r="V662" i="2"/>
  <c r="Z659" i="2"/>
  <c r="AA659" i="2" s="1"/>
  <c r="V40" i="2"/>
  <c r="W40" i="2" s="1"/>
  <c r="X40" i="2" s="1"/>
  <c r="W650" i="2"/>
  <c r="H44" i="2"/>
  <c r="X665" i="2"/>
  <c r="Y665" i="2" s="1"/>
  <c r="W660" i="2"/>
  <c r="V621" i="2"/>
  <c r="W621" i="2" s="1"/>
  <c r="X642" i="2"/>
  <c r="Y642" i="2" s="1"/>
  <c r="U640" i="2"/>
  <c r="V640" i="2" s="1"/>
  <c r="Y675" i="2"/>
  <c r="Z675" i="2" s="1"/>
  <c r="V42" i="2"/>
  <c r="T632" i="2"/>
  <c r="U632" i="2" s="1"/>
  <c r="U705" i="2"/>
  <c r="V654" i="2"/>
  <c r="W654" i="2" s="1"/>
  <c r="V634" i="2"/>
  <c r="S43" i="2"/>
  <c r="C1481" i="2"/>
  <c r="J1512" i="2"/>
  <c r="K1512" i="2" s="1"/>
  <c r="J1510" i="2"/>
  <c r="K1510" i="2" s="1"/>
  <c r="J1508" i="2"/>
  <c r="K1508" i="2" s="1"/>
  <c r="J1506" i="2"/>
  <c r="K1506" i="2" s="1"/>
  <c r="J1504" i="2"/>
  <c r="K1504" i="2" s="1"/>
  <c r="J1502" i="2"/>
  <c r="K1502" i="2" s="1"/>
  <c r="J1500" i="2"/>
  <c r="K1500" i="2" s="1"/>
  <c r="J1498" i="2"/>
  <c r="K1498" i="2" s="1"/>
  <c r="L1498" i="2" s="1"/>
  <c r="J1496" i="2"/>
  <c r="K1496" i="2" s="1"/>
  <c r="L1496" i="2" s="1"/>
  <c r="J1494" i="2"/>
  <c r="K1494" i="2" s="1"/>
  <c r="L1494" i="2" s="1"/>
  <c r="J1492" i="2"/>
  <c r="K1492" i="2" s="1"/>
  <c r="L1492" i="2" s="1"/>
  <c r="J1490" i="2"/>
  <c r="K1490" i="2" s="1"/>
  <c r="L1490" i="2" s="1"/>
  <c r="J1488" i="2"/>
  <c r="K1488" i="2" s="1"/>
  <c r="L1488" i="2" s="1"/>
  <c r="J1486" i="2"/>
  <c r="K1486" i="2" s="1"/>
  <c r="L1486" i="2" s="1"/>
  <c r="C1482" i="2"/>
  <c r="J1511" i="2"/>
  <c r="K1511" i="2" s="1"/>
  <c r="J1509" i="2"/>
  <c r="K1509" i="2" s="1"/>
  <c r="J1507" i="2"/>
  <c r="K1507" i="2" s="1"/>
  <c r="J1505" i="2"/>
  <c r="K1505" i="2" s="1"/>
  <c r="J1503" i="2"/>
  <c r="K1503" i="2" s="1"/>
  <c r="J1501" i="2"/>
  <c r="K1501" i="2" s="1"/>
  <c r="J1499" i="2"/>
  <c r="K1499" i="2" s="1"/>
  <c r="J1497" i="2"/>
  <c r="K1497" i="2" s="1"/>
  <c r="J1495" i="2"/>
  <c r="K1495" i="2" s="1"/>
  <c r="J1493" i="2"/>
  <c r="K1493" i="2" s="1"/>
  <c r="J1491" i="2"/>
  <c r="K1491" i="2" s="1"/>
  <c r="J1489" i="2"/>
  <c r="K1489" i="2" s="1"/>
  <c r="J1487" i="2"/>
  <c r="K1487" i="2" s="1"/>
  <c r="J1485" i="2"/>
  <c r="K1485" i="2" s="1"/>
  <c r="X704" i="2"/>
  <c r="Y704" i="2" s="1"/>
  <c r="Q44" i="2"/>
  <c r="B46" i="2"/>
  <c r="P45" i="2"/>
  <c r="Q45" i="2" s="1"/>
  <c r="I45" i="2"/>
  <c r="X677" i="2"/>
  <c r="Y677" i="2" s="1"/>
  <c r="Z677" i="2" s="1"/>
  <c r="T656" i="2"/>
  <c r="V669" i="2"/>
  <c r="X643" i="2"/>
  <c r="W619" i="2"/>
  <c r="U672" i="2"/>
  <c r="V672" i="2" s="1"/>
  <c r="W635" i="2"/>
  <c r="V618" i="2"/>
  <c r="W618" i="2" s="1"/>
  <c r="X618" i="2" s="1"/>
  <c r="W645" i="2"/>
  <c r="X674" i="2"/>
  <c r="X670" i="2"/>
  <c r="Y670" i="2" s="1"/>
  <c r="X666" i="2"/>
  <c r="X622" i="2"/>
  <c r="Y622" i="2" s="1"/>
  <c r="BB1518" i="2"/>
  <c r="BB1517" i="2"/>
  <c r="BB1513" i="2"/>
  <c r="BB1478" i="2"/>
  <c r="BB1515" i="2"/>
  <c r="BB1512" i="2"/>
  <c r="BB1510" i="2"/>
  <c r="BB1508" i="2"/>
  <c r="BB1506" i="2"/>
  <c r="BB1504" i="2"/>
  <c r="BB1502" i="2"/>
  <c r="BB1500" i="2"/>
  <c r="BB1498" i="2"/>
  <c r="BB1496" i="2"/>
  <c r="BB1494" i="2"/>
  <c r="BB1492" i="2"/>
  <c r="BB1490" i="2"/>
  <c r="BB1488" i="2"/>
  <c r="BB1486" i="2"/>
  <c r="BB1484" i="2"/>
  <c r="BB1482" i="2"/>
  <c r="BB1480" i="2"/>
  <c r="BB1479" i="2"/>
  <c r="BB1483" i="2"/>
  <c r="BB1477" i="2"/>
  <c r="BB1475" i="2"/>
  <c r="BB1516" i="2"/>
  <c r="BB1514" i="2"/>
  <c r="BB1511" i="2"/>
  <c r="BB1509" i="2"/>
  <c r="BB1507" i="2"/>
  <c r="BB1505" i="2"/>
  <c r="BB1503" i="2"/>
  <c r="BB1501" i="2"/>
  <c r="BB1499" i="2"/>
  <c r="BB1497" i="2"/>
  <c r="BB1495" i="2"/>
  <c r="BB1493" i="2"/>
  <c r="BB1491" i="2"/>
  <c r="BB1489" i="2"/>
  <c r="BB1487" i="2"/>
  <c r="BB1485" i="2"/>
  <c r="BB1481" i="2"/>
  <c r="BB1476" i="2"/>
  <c r="BB1473" i="2"/>
  <c r="D1473" i="2"/>
  <c r="BB1474" i="2"/>
  <c r="U641" i="2"/>
  <c r="L1435" i="2"/>
  <c r="L1439" i="2"/>
  <c r="L1447" i="2"/>
  <c r="W651" i="2"/>
  <c r="U702" i="2"/>
  <c r="U657" i="2"/>
  <c r="U652" i="2"/>
  <c r="V652" i="2" s="1"/>
  <c r="Y627" i="2"/>
  <c r="W626" i="2"/>
  <c r="X626" i="2" s="1"/>
  <c r="O1363" i="2"/>
  <c r="V630" i="2"/>
  <c r="Y629" i="2"/>
  <c r="Z629" i="2" s="1"/>
  <c r="U673" i="2"/>
  <c r="L1413" i="2"/>
  <c r="V661" i="2"/>
  <c r="T664" i="2"/>
  <c r="U664" i="2" s="1"/>
  <c r="W701" i="2"/>
  <c r="U625" i="2"/>
  <c r="U668" i="2"/>
  <c r="V688" i="2"/>
  <c r="V648" i="2"/>
  <c r="W658" i="2"/>
  <c r="W649" i="2"/>
  <c r="V644" i="2"/>
  <c r="U620" i="2"/>
  <c r="X633" i="2"/>
  <c r="Y633" i="2" s="1"/>
  <c r="V703" i="2"/>
  <c r="W638" i="2"/>
  <c r="Y667" i="2"/>
  <c r="T43" i="2"/>
  <c r="U678" i="2"/>
  <c r="X623" i="2"/>
  <c r="U636" i="2"/>
  <c r="CQ38" i="2" l="1"/>
  <c r="BA768" i="2"/>
  <c r="BA1199" i="2"/>
  <c r="BA913" i="2"/>
  <c r="BA1032" i="2"/>
  <c r="BA806" i="2"/>
  <c r="BA1072" i="2"/>
  <c r="BA869" i="2"/>
  <c r="BA754" i="2"/>
  <c r="BA723" i="2"/>
  <c r="BA840" i="2"/>
  <c r="BA970" i="2"/>
  <c r="BA715" i="2"/>
  <c r="BA895" i="2"/>
  <c r="BA897" i="2"/>
  <c r="BA865" i="2"/>
  <c r="BA750" i="2"/>
  <c r="BA832" i="2"/>
  <c r="BA738" i="2"/>
  <c r="BA927" i="2"/>
  <c r="BA863" i="2"/>
  <c r="BA911" i="2"/>
  <c r="BA947" i="2"/>
  <c r="BA814" i="2"/>
  <c r="BA980" i="2"/>
  <c r="BA935" i="2"/>
  <c r="BA818" i="2"/>
  <c r="BA1036" i="2"/>
  <c r="BA952" i="2"/>
  <c r="BA1004" i="2"/>
  <c r="BA836" i="2"/>
  <c r="BA798" i="2"/>
  <c r="BA1161" i="2"/>
  <c r="BA770" i="2"/>
  <c r="BA786" i="2"/>
  <c r="BA1012" i="2"/>
  <c r="BA1194" i="2"/>
  <c r="BA742" i="2"/>
  <c r="BA905" i="2"/>
  <c r="BA719" i="2"/>
  <c r="BA873" i="2"/>
  <c r="BA844" i="2"/>
  <c r="BA939" i="2"/>
  <c r="BA972" i="2"/>
  <c r="BA909" i="2"/>
  <c r="BA778" i="2"/>
  <c r="BA901" i="2"/>
  <c r="BA1064" i="2"/>
  <c r="BA954" i="2"/>
  <c r="BA956" i="2"/>
  <c r="BA982" i="2"/>
  <c r="BA755" i="2"/>
  <c r="BA782" i="2"/>
  <c r="BA759" i="2"/>
  <c r="BA726" i="2"/>
  <c r="BA774" i="2"/>
  <c r="BA931" i="2"/>
  <c r="BA998" i="2"/>
  <c r="BA1010" i="2"/>
  <c r="BA1186" i="2"/>
  <c r="BA739" i="2"/>
  <c r="BA810" i="2"/>
  <c r="BA1157" i="2"/>
  <c r="BA746" i="2"/>
  <c r="BA718" i="2"/>
  <c r="BA766" i="2"/>
  <c r="BA871" i="2"/>
  <c r="BA923" i="2"/>
  <c r="BA851" i="2"/>
  <c r="BA1083" i="2"/>
  <c r="BA859" i="2"/>
  <c r="BA877" i="2"/>
  <c r="BA875" i="2"/>
  <c r="BA943" i="2"/>
  <c r="BA907" i="2"/>
  <c r="BA1024" i="2"/>
  <c r="BA885" i="2"/>
  <c r="BA964" i="2"/>
  <c r="BA1020" i="2"/>
  <c r="BA988" i="2"/>
  <c r="BA1060" i="2"/>
  <c r="BA1040" i="2"/>
  <c r="BA978" i="2"/>
  <c r="BA758" i="2"/>
  <c r="BA910" i="2"/>
  <c r="BA883" i="2"/>
  <c r="BA1016" i="2"/>
  <c r="BA1140" i="2"/>
  <c r="BA1170" i="2"/>
  <c r="BA878" i="2"/>
  <c r="BA790" i="2"/>
  <c r="BA881" i="2"/>
  <c r="BA828" i="2"/>
  <c r="BA903" i="2"/>
  <c r="BA855" i="2"/>
  <c r="BA887" i="2"/>
  <c r="BA730" i="2"/>
  <c r="BA1052" i="2"/>
  <c r="BA879" i="2"/>
  <c r="BA889" i="2"/>
  <c r="BA1078" i="2"/>
  <c r="BA731" i="2"/>
  <c r="BA893" i="2"/>
  <c r="BA919" i="2"/>
  <c r="BA794" i="2"/>
  <c r="BA802" i="2"/>
  <c r="BA867" i="2"/>
  <c r="BA1048" i="2"/>
  <c r="BA1068" i="2"/>
  <c r="BA822" i="2"/>
  <c r="BA962" i="2"/>
  <c r="BA899" i="2"/>
  <c r="BA915" i="2"/>
  <c r="BA734" i="2"/>
  <c r="BA960" i="2"/>
  <c r="BA747" i="2"/>
  <c r="BA994" i="2"/>
  <c r="BA1056" i="2"/>
  <c r="BA1091" i="2"/>
  <c r="BA1101" i="2"/>
  <c r="BA1166" i="2"/>
  <c r="BA860" i="2"/>
  <c r="BA1156" i="2"/>
  <c r="BA1076" i="2"/>
  <c r="BA1145" i="2"/>
  <c r="BA1172" i="2"/>
  <c r="BA843" i="2"/>
  <c r="BA1033" i="2"/>
  <c r="BA1046" i="2"/>
  <c r="BA1007" i="2"/>
  <c r="BA1062" i="2"/>
  <c r="BA986" i="2"/>
  <c r="BA1002" i="2"/>
  <c r="BA966" i="2"/>
  <c r="BA1028" i="2"/>
  <c r="BA760" i="2"/>
  <c r="BA1077" i="2"/>
  <c r="BA1132" i="2"/>
  <c r="BA763" i="2"/>
  <c r="BA1200" i="2"/>
  <c r="BA1038" i="2"/>
  <c r="BA1103" i="2"/>
  <c r="BA1070" i="2"/>
  <c r="BA1130" i="2"/>
  <c r="BA1031" i="2"/>
  <c r="BA771" i="2"/>
  <c r="BA1044" i="2"/>
  <c r="BA1182" i="2"/>
  <c r="BA1204" i="2"/>
  <c r="BA996" i="2"/>
  <c r="BA1129" i="2"/>
  <c r="BA1148" i="2"/>
  <c r="BA1174" i="2"/>
  <c r="BA1084" i="2"/>
  <c r="BA1063" i="2"/>
  <c r="BA1054" i="2"/>
  <c r="BA722" i="2"/>
  <c r="BA1178" i="2"/>
  <c r="BA835" i="2"/>
  <c r="BA1041" i="2"/>
  <c r="BA1025" i="2"/>
  <c r="BA1165" i="2"/>
  <c r="BA849" i="2"/>
  <c r="BA857" i="2"/>
  <c r="BA967" i="2"/>
  <c r="BA1049" i="2"/>
  <c r="BA1047" i="2"/>
  <c r="BA1055" i="2"/>
  <c r="BA1173" i="2"/>
  <c r="BA1196" i="2"/>
  <c r="BA1175" i="2"/>
  <c r="BA721" i="2"/>
  <c r="BA874" i="2"/>
  <c r="BA958" i="2"/>
  <c r="BA974" i="2"/>
  <c r="BA725" i="2"/>
  <c r="BA779" i="2"/>
  <c r="BA787" i="2"/>
  <c r="BA803" i="2"/>
  <c r="BA792" i="2"/>
  <c r="BA824" i="2"/>
  <c r="BA757" i="2"/>
  <c r="BA789" i="2"/>
  <c r="BA821" i="2"/>
  <c r="BA848" i="2"/>
  <c r="BA834" i="2"/>
  <c r="BA987" i="2"/>
  <c r="BA764" i="2"/>
  <c r="BA1015" i="2"/>
  <c r="BA1057" i="2"/>
  <c r="BA1105" i="2"/>
  <c r="BA1167" i="2"/>
  <c r="BA1065" i="2"/>
  <c r="BA1023" i="2"/>
  <c r="BA1137" i="2"/>
  <c r="BA1142" i="2"/>
  <c r="BA1164" i="2"/>
  <c r="BA1155" i="2"/>
  <c r="BA1187" i="2"/>
  <c r="BA1212" i="2"/>
  <c r="BA752" i="2"/>
  <c r="BA736" i="2"/>
  <c r="BA852" i="2"/>
  <c r="BA918" i="2"/>
  <c r="BA975" i="2"/>
  <c r="BA1030" i="2"/>
  <c r="BA1071" i="2"/>
  <c r="BA1180" i="2"/>
  <c r="BA762" i="2"/>
  <c r="BA906" i="2"/>
  <c r="BA827" i="2"/>
  <c r="BA983" i="2"/>
  <c r="BA720" i="2"/>
  <c r="BA795" i="2"/>
  <c r="BA811" i="2"/>
  <c r="BA819" i="2"/>
  <c r="BA776" i="2"/>
  <c r="BA808" i="2"/>
  <c r="BA773" i="2"/>
  <c r="BA805" i="2"/>
  <c r="BA853" i="2"/>
  <c r="BA833" i="2"/>
  <c r="BA841" i="2"/>
  <c r="BA891" i="2"/>
  <c r="BA714" i="2"/>
  <c r="BA1022" i="2"/>
  <c r="BA826" i="2"/>
  <c r="BA1017" i="2"/>
  <c r="BA1039" i="2"/>
  <c r="BA1153" i="2"/>
  <c r="BA1147" i="2"/>
  <c r="BA1160" i="2"/>
  <c r="BA1092" i="2"/>
  <c r="BA1139" i="2"/>
  <c r="BA1195" i="2"/>
  <c r="BA1205" i="2"/>
  <c r="BA1197" i="2"/>
  <c r="BA744" i="2"/>
  <c r="BA941" i="2"/>
  <c r="BA950" i="2"/>
  <c r="BA784" i="2"/>
  <c r="BA800" i="2"/>
  <c r="BA816" i="2"/>
  <c r="BA872" i="2"/>
  <c r="BA888" i="2"/>
  <c r="BA904" i="2"/>
  <c r="BA912" i="2"/>
  <c r="BA839" i="2"/>
  <c r="BA921" i="2"/>
  <c r="BA917" i="2"/>
  <c r="BA870" i="2"/>
  <c r="BA990" i="2"/>
  <c r="BA748" i="2"/>
  <c r="BA745" i="2"/>
  <c r="BA729" i="2"/>
  <c r="BA799" i="2"/>
  <c r="BA796" i="2"/>
  <c r="BA769" i="2"/>
  <c r="BA801" i="2"/>
  <c r="BA861" i="2"/>
  <c r="BA932" i="2"/>
  <c r="BA955" i="2"/>
  <c r="BA971" i="2"/>
  <c r="BA995" i="2"/>
  <c r="BA862" i="2"/>
  <c r="BA957" i="2"/>
  <c r="BA1085" i="2"/>
  <c r="BA1098" i="2"/>
  <c r="BA1114" i="2"/>
  <c r="BA938" i="2"/>
  <c r="BA1014" i="2"/>
  <c r="BA985" i="2"/>
  <c r="BA1001" i="2"/>
  <c r="BA1011" i="2"/>
  <c r="BA1021" i="2"/>
  <c r="BA1053" i="2"/>
  <c r="BA1027" i="2"/>
  <c r="BA1059" i="2"/>
  <c r="BA1109" i="2"/>
  <c r="BA1128" i="2"/>
  <c r="BA1154" i="2"/>
  <c r="BA1158" i="2"/>
  <c r="BA1163" i="2"/>
  <c r="BA1179" i="2"/>
  <c r="BA1211" i="2"/>
  <c r="BA1097" i="2"/>
  <c r="BA1126" i="2"/>
  <c r="BA1150" i="2"/>
  <c r="BA1191" i="2"/>
  <c r="BA1181" i="2"/>
  <c r="BA890" i="2"/>
  <c r="BA854" i="2"/>
  <c r="BA886" i="2"/>
  <c r="BA749" i="2"/>
  <c r="BA741" i="2"/>
  <c r="BA765" i="2"/>
  <c r="BA781" i="2"/>
  <c r="BA797" i="2"/>
  <c r="BA813" i="2"/>
  <c r="BA959" i="2"/>
  <c r="BA945" i="2"/>
  <c r="BA740" i="2"/>
  <c r="BA751" i="2"/>
  <c r="BA735" i="2"/>
  <c r="BA775" i="2"/>
  <c r="BA807" i="2"/>
  <c r="BA772" i="2"/>
  <c r="BA804" i="2"/>
  <c r="BA825" i="2"/>
  <c r="BA793" i="2"/>
  <c r="BA846" i="2"/>
  <c r="BA868" i="2"/>
  <c r="BA884" i="2"/>
  <c r="BA900" i="2"/>
  <c r="BA916" i="2"/>
  <c r="BA981" i="2"/>
  <c r="BA1090" i="2"/>
  <c r="BA1111" i="2"/>
  <c r="BA1119" i="2"/>
  <c r="BA1127" i="2"/>
  <c r="BA1100" i="2"/>
  <c r="BA1108" i="2"/>
  <c r="BA1106" i="2"/>
  <c r="BA968" i="2"/>
  <c r="BA946" i="2"/>
  <c r="BA1008" i="2"/>
  <c r="BA1009" i="2"/>
  <c r="BA979" i="2"/>
  <c r="BA1045" i="2"/>
  <c r="BA1019" i="2"/>
  <c r="BA1051" i="2"/>
  <c r="BA1074" i="2"/>
  <c r="BA1149" i="2"/>
  <c r="BA1146" i="2"/>
  <c r="BA1188" i="2"/>
  <c r="BA1018" i="2"/>
  <c r="BA1034" i="2"/>
  <c r="BA1050" i="2"/>
  <c r="BA1066" i="2"/>
  <c r="BA1087" i="2"/>
  <c r="BA1104" i="2"/>
  <c r="BA1118" i="2"/>
  <c r="BA1189" i="2"/>
  <c r="BA1159" i="2"/>
  <c r="BA716" i="2"/>
  <c r="BA1006" i="2"/>
  <c r="BA842" i="2"/>
  <c r="BA880" i="2"/>
  <c r="BA896" i="2"/>
  <c r="BA920" i="2"/>
  <c r="BA928" i="2"/>
  <c r="BA936" i="2"/>
  <c r="BA944" i="2"/>
  <c r="BA933" i="2"/>
  <c r="BA942" i="2"/>
  <c r="BA858" i="2"/>
  <c r="BA937" i="2"/>
  <c r="BA925" i="2"/>
  <c r="BA732" i="2"/>
  <c r="BA783" i="2"/>
  <c r="BA815" i="2"/>
  <c r="BA823" i="2"/>
  <c r="BA780" i="2"/>
  <c r="BA812" i="2"/>
  <c r="BA785" i="2"/>
  <c r="BA817" i="2"/>
  <c r="BA864" i="2"/>
  <c r="BA829" i="2"/>
  <c r="BA837" i="2"/>
  <c r="BA845" i="2"/>
  <c r="BA838" i="2"/>
  <c r="BA1003" i="2"/>
  <c r="BA940" i="2"/>
  <c r="BA948" i="2"/>
  <c r="BA894" i="2"/>
  <c r="BA926" i="2"/>
  <c r="BA965" i="2"/>
  <c r="BA973" i="2"/>
  <c r="BA989" i="2"/>
  <c r="BA1075" i="2"/>
  <c r="BA1082" i="2"/>
  <c r="BA1116" i="2"/>
  <c r="BA1122" i="2"/>
  <c r="BA922" i="2"/>
  <c r="BA976" i="2"/>
  <c r="BA984" i="2"/>
  <c r="BA1000" i="2"/>
  <c r="BA969" i="2"/>
  <c r="BA1037" i="2"/>
  <c r="BA1069" i="2"/>
  <c r="BA1043" i="2"/>
  <c r="BA1080" i="2"/>
  <c r="BA1088" i="2"/>
  <c r="BA1096" i="2"/>
  <c r="BA1125" i="2"/>
  <c r="BA1141" i="2"/>
  <c r="BA1138" i="2"/>
  <c r="BA1171" i="2"/>
  <c r="BA1081" i="2"/>
  <c r="BA1094" i="2"/>
  <c r="BA1107" i="2"/>
  <c r="BA1115" i="2"/>
  <c r="BA1123" i="2"/>
  <c r="BA1112" i="2"/>
  <c r="BA1110" i="2"/>
  <c r="BA929" i="2"/>
  <c r="BA902" i="2"/>
  <c r="BA951" i="2"/>
  <c r="BA743" i="2"/>
  <c r="BA717" i="2"/>
  <c r="BA791" i="2"/>
  <c r="BA820" i="2"/>
  <c r="BA777" i="2"/>
  <c r="BA908" i="2"/>
  <c r="BA953" i="2"/>
  <c r="BA1013" i="2"/>
  <c r="BA1029" i="2"/>
  <c r="BA1208" i="2"/>
  <c r="BA1203" i="2"/>
  <c r="BA1095" i="2"/>
  <c r="BA1073" i="2"/>
  <c r="BA1184" i="2"/>
  <c r="BA1177" i="2"/>
  <c r="BA1185" i="2"/>
  <c r="BA1201" i="2"/>
  <c r="BA1209" i="2"/>
  <c r="BA934" i="2"/>
  <c r="BA847" i="2"/>
  <c r="BA997" i="2"/>
  <c r="BA992" i="2"/>
  <c r="BA1026" i="2"/>
  <c r="BA1213" i="2"/>
  <c r="BA727" i="2"/>
  <c r="BA924" i="2"/>
  <c r="BA991" i="2"/>
  <c r="BA1124" i="2"/>
  <c r="BA930" i="2"/>
  <c r="BA1067" i="2"/>
  <c r="BA1102" i="2"/>
  <c r="BA1117" i="2"/>
  <c r="BA1152" i="2"/>
  <c r="BA1058" i="2"/>
  <c r="BA1079" i="2"/>
  <c r="BA1099" i="2"/>
  <c r="BA1120" i="2"/>
  <c r="BA1151" i="2"/>
  <c r="BA1169" i="2"/>
  <c r="BA1190" i="2"/>
  <c r="BA1206" i="2"/>
  <c r="BA1193" i="2"/>
  <c r="BA1113" i="2"/>
  <c r="BA1134" i="2"/>
  <c r="BA1202" i="2"/>
  <c r="BA961" i="2"/>
  <c r="BA898" i="2"/>
  <c r="BA831" i="2"/>
  <c r="BA724" i="2"/>
  <c r="BA830" i="2"/>
  <c r="BA856" i="2"/>
  <c r="BA892" i="2"/>
  <c r="BA1005" i="2"/>
  <c r="BA1035" i="2"/>
  <c r="BA1086" i="2"/>
  <c r="BA1133" i="2"/>
  <c r="BA1192" i="2"/>
  <c r="BA1210" i="2"/>
  <c r="BA1121" i="2"/>
  <c r="BA733" i="2"/>
  <c r="BA850" i="2"/>
  <c r="BA963" i="2"/>
  <c r="BA756" i="2"/>
  <c r="BA737" i="2"/>
  <c r="BA788" i="2"/>
  <c r="BA761" i="2"/>
  <c r="BA809" i="2"/>
  <c r="BA876" i="2"/>
  <c r="BA949" i="2"/>
  <c r="BA1093" i="2"/>
  <c r="BA993" i="2"/>
  <c r="BA1061" i="2"/>
  <c r="BA1144" i="2"/>
  <c r="BA1042" i="2"/>
  <c r="BA1089" i="2"/>
  <c r="BA1143" i="2"/>
  <c r="BA1176" i="2"/>
  <c r="BA1183" i="2"/>
  <c r="BA999" i="2"/>
  <c r="BA1162" i="2"/>
  <c r="BA1198" i="2"/>
  <c r="BA1207" i="2"/>
  <c r="BA728" i="2"/>
  <c r="BA866" i="2"/>
  <c r="BA882" i="2"/>
  <c r="BA914" i="2"/>
  <c r="BA767" i="2"/>
  <c r="BA753" i="2"/>
  <c r="BA1131" i="2"/>
  <c r="BA977" i="2"/>
  <c r="BA1136" i="2"/>
  <c r="BA1135" i="2"/>
  <c r="BA1168" i="2"/>
  <c r="L714" i="2"/>
  <c r="L1214" i="2" s="1"/>
  <c r="O704" i="2"/>
  <c r="K704" i="2"/>
  <c r="J706" i="2"/>
  <c r="N1490" i="2"/>
  <c r="O1490" i="2" s="1"/>
  <c r="N1498" i="2"/>
  <c r="O1498" i="2" s="1"/>
  <c r="N1492" i="2"/>
  <c r="O1492" i="2" s="1"/>
  <c r="N1486" i="2"/>
  <c r="O1486" i="2" s="1"/>
  <c r="N1494" i="2"/>
  <c r="O1494" i="2" s="1"/>
  <c r="N1488" i="2"/>
  <c r="O1488" i="2" s="1"/>
  <c r="N1496" i="2"/>
  <c r="O1496" i="2" s="1"/>
  <c r="N1447" i="2"/>
  <c r="O1447" i="2" s="1"/>
  <c r="N1439" i="2"/>
  <c r="O1439" i="2" s="1"/>
  <c r="N1435" i="2"/>
  <c r="O1435" i="2" s="1"/>
  <c r="AA1304" i="2"/>
  <c r="AB1304" i="2"/>
  <c r="V1298" i="2"/>
  <c r="W1298" i="2" s="1"/>
  <c r="K45" i="2"/>
  <c r="N1413" i="2"/>
  <c r="L1443" i="2"/>
  <c r="D46" i="2"/>
  <c r="C46" i="2"/>
  <c r="O1364" i="2"/>
  <c r="AA675" i="2"/>
  <c r="AB675" i="2" s="1"/>
  <c r="J45" i="2"/>
  <c r="V639" i="2"/>
  <c r="W639" i="2" s="1"/>
  <c r="W637" i="2"/>
  <c r="X637" i="2" s="1"/>
  <c r="Y637" i="2" s="1"/>
  <c r="X679" i="2"/>
  <c r="Y679" i="2" s="1"/>
  <c r="T41" i="2"/>
  <c r="W671" i="2"/>
  <c r="Y647" i="2"/>
  <c r="Z647" i="2" s="1"/>
  <c r="W631" i="2"/>
  <c r="O1413" i="2"/>
  <c r="Z663" i="2"/>
  <c r="AA663" i="2" s="1"/>
  <c r="X646" i="2"/>
  <c r="Y646" i="2" s="1"/>
  <c r="Z646" i="2" s="1"/>
  <c r="Z665" i="2"/>
  <c r="AA665" i="2" s="1"/>
  <c r="AB665" i="2" s="1"/>
  <c r="AC665" i="2" s="1"/>
  <c r="AA677" i="2"/>
  <c r="AB677" i="2" s="1"/>
  <c r="Z670" i="2"/>
  <c r="AA670" i="2" s="1"/>
  <c r="AB670" i="2" s="1"/>
  <c r="X619" i="2"/>
  <c r="Y619" i="2" s="1"/>
  <c r="Y643" i="2"/>
  <c r="Z643" i="2" s="1"/>
  <c r="AA643" i="2" s="1"/>
  <c r="AB643" i="2" s="1"/>
  <c r="AC643" i="2" s="1"/>
  <c r="AD643" i="2" s="1"/>
  <c r="AE643" i="2" s="1"/>
  <c r="AF643" i="2" s="1"/>
  <c r="AG643" i="2" s="1"/>
  <c r="AH643" i="2" s="1"/>
  <c r="AI643" i="2" s="1"/>
  <c r="AJ643" i="2" s="1"/>
  <c r="AK643" i="2" s="1"/>
  <c r="AL643" i="2" s="1"/>
  <c r="AM643" i="2" s="1"/>
  <c r="AN643" i="2" s="1"/>
  <c r="AO643" i="2" s="1"/>
  <c r="AP643" i="2" s="1"/>
  <c r="AQ643" i="2" s="1"/>
  <c r="AR643" i="2" s="1"/>
  <c r="AS643" i="2" s="1"/>
  <c r="AT643" i="2" s="1"/>
  <c r="Y623" i="2"/>
  <c r="Z623" i="2" s="1"/>
  <c r="AA623" i="2" s="1"/>
  <c r="AB623" i="2" s="1"/>
  <c r="Y618" i="2"/>
  <c r="Y40" i="2"/>
  <c r="Z40" i="2" s="1"/>
  <c r="AA40" i="2" s="1"/>
  <c r="AB40" i="2" s="1"/>
  <c r="AC40" i="2" s="1"/>
  <c r="V702" i="2"/>
  <c r="V641" i="2"/>
  <c r="W641" i="2" s="1"/>
  <c r="X645" i="2"/>
  <c r="U656" i="2"/>
  <c r="V656" i="2" s="1"/>
  <c r="R45" i="2"/>
  <c r="B47" i="2"/>
  <c r="P46" i="2"/>
  <c r="Q46" i="2" s="1"/>
  <c r="I46" i="2"/>
  <c r="W703" i="2"/>
  <c r="K1513" i="2"/>
  <c r="L1485" i="2"/>
  <c r="L1489" i="2"/>
  <c r="L1493" i="2"/>
  <c r="L1497" i="2"/>
  <c r="AC670" i="2"/>
  <c r="AD670" i="2" s="1"/>
  <c r="AE670" i="2" s="1"/>
  <c r="AF670" i="2" s="1"/>
  <c r="AG670" i="2" s="1"/>
  <c r="AH670" i="2" s="1"/>
  <c r="AI670" i="2" s="1"/>
  <c r="AJ670" i="2" s="1"/>
  <c r="AK670" i="2" s="1"/>
  <c r="AL670" i="2" s="1"/>
  <c r="AM670" i="2" s="1"/>
  <c r="AN670" i="2" s="1"/>
  <c r="AO670" i="2" s="1"/>
  <c r="AP670" i="2" s="1"/>
  <c r="AQ670" i="2" s="1"/>
  <c r="AR670" i="2" s="1"/>
  <c r="AS670" i="2" s="1"/>
  <c r="AT670" i="2" s="1"/>
  <c r="AU670" i="2" s="1"/>
  <c r="AV670" i="2" s="1"/>
  <c r="AW670" i="2" s="1"/>
  <c r="AX670" i="2" s="1"/>
  <c r="AY670" i="2" s="1"/>
  <c r="AZ670" i="2" s="1"/>
  <c r="BA670" i="2" s="1"/>
  <c r="M670" i="2" s="1"/>
  <c r="V705" i="2"/>
  <c r="L1474" i="2"/>
  <c r="Z622" i="2"/>
  <c r="AA629" i="2"/>
  <c r="AB629" i="2" s="1"/>
  <c r="AC629" i="2" s="1"/>
  <c r="AD629" i="2" s="1"/>
  <c r="AE629" i="2" s="1"/>
  <c r="AF629" i="2" s="1"/>
  <c r="AG629" i="2" s="1"/>
  <c r="AH629" i="2" s="1"/>
  <c r="AI629" i="2" s="1"/>
  <c r="AJ629" i="2" s="1"/>
  <c r="X650" i="2"/>
  <c r="Z667" i="2"/>
  <c r="AA667" i="2" s="1"/>
  <c r="AB667" i="2" s="1"/>
  <c r="AC667" i="2" s="1"/>
  <c r="AD667" i="2" s="1"/>
  <c r="Y676" i="2"/>
  <c r="Z676" i="2" s="1"/>
  <c r="AA676" i="2" s="1"/>
  <c r="AB676" i="2" s="1"/>
  <c r="AC676" i="2" s="1"/>
  <c r="AD676" i="2" s="1"/>
  <c r="V668" i="2"/>
  <c r="X701" i="2"/>
  <c r="W661" i="2"/>
  <c r="V673" i="2"/>
  <c r="W630" i="2"/>
  <c r="X630" i="2" s="1"/>
  <c r="Z704" i="2"/>
  <c r="AA704" i="2" s="1"/>
  <c r="AB704" i="2" s="1"/>
  <c r="AC704" i="2" s="1"/>
  <c r="AD704" i="2" s="1"/>
  <c r="Z627" i="2"/>
  <c r="AA627" i="2" s="1"/>
  <c r="H45" i="2"/>
  <c r="V678" i="2"/>
  <c r="Z633" i="2"/>
  <c r="W644" i="2"/>
  <c r="V625" i="2"/>
  <c r="W669" i="2"/>
  <c r="Y626" i="2"/>
  <c r="V664" i="2"/>
  <c r="W664" i="2" s="1"/>
  <c r="V657" i="2"/>
  <c r="X651" i="2"/>
  <c r="Y674" i="2"/>
  <c r="X658" i="2"/>
  <c r="Y658" i="2" s="1"/>
  <c r="Z658" i="2" s="1"/>
  <c r="AA658" i="2" s="1"/>
  <c r="AB658" i="2" s="1"/>
  <c r="AC658" i="2" s="1"/>
  <c r="AD658" i="2" s="1"/>
  <c r="AE658" i="2" s="1"/>
  <c r="AF658" i="2" s="1"/>
  <c r="AG658" i="2" s="1"/>
  <c r="AH658" i="2" s="1"/>
  <c r="AI658" i="2" s="1"/>
  <c r="AJ658" i="2" s="1"/>
  <c r="AK658" i="2" s="1"/>
  <c r="AL658" i="2" s="1"/>
  <c r="W648" i="2"/>
  <c r="U43" i="2"/>
  <c r="V43" i="2" s="1"/>
  <c r="W634" i="2"/>
  <c r="V636" i="2"/>
  <c r="X654" i="2"/>
  <c r="W640" i="2"/>
  <c r="X640" i="2" s="1"/>
  <c r="Y640" i="2" s="1"/>
  <c r="Y666" i="2"/>
  <c r="X635" i="2"/>
  <c r="L1487" i="2"/>
  <c r="L1491" i="2"/>
  <c r="L1495" i="2"/>
  <c r="W672" i="2"/>
  <c r="V632" i="2"/>
  <c r="R44" i="2"/>
  <c r="S44" i="2" s="1"/>
  <c r="AB659" i="2"/>
  <c r="AC659" i="2" s="1"/>
  <c r="AD659" i="2" s="1"/>
  <c r="AE659" i="2" s="1"/>
  <c r="AF659" i="2" s="1"/>
  <c r="AG659" i="2" s="1"/>
  <c r="AH659" i="2" s="1"/>
  <c r="AI659" i="2" s="1"/>
  <c r="AJ659" i="2" s="1"/>
  <c r="AK659" i="2" s="1"/>
  <c r="AL659" i="2" s="1"/>
  <c r="AM659" i="2" s="1"/>
  <c r="AN659" i="2" s="1"/>
  <c r="AO659" i="2" s="1"/>
  <c r="AP659" i="2" s="1"/>
  <c r="AQ659" i="2" s="1"/>
  <c r="AR659" i="2" s="1"/>
  <c r="AS659" i="2" s="1"/>
  <c r="AT659" i="2" s="1"/>
  <c r="AU659" i="2" s="1"/>
  <c r="AV659" i="2" s="1"/>
  <c r="AW659" i="2" s="1"/>
  <c r="AX659" i="2" s="1"/>
  <c r="AY659" i="2" s="1"/>
  <c r="AZ659" i="2" s="1"/>
  <c r="BA659" i="2" s="1"/>
  <c r="M659" i="2" s="1"/>
  <c r="W662" i="2"/>
  <c r="V620" i="2"/>
  <c r="W620" i="2" s="1"/>
  <c r="X620" i="2" s="1"/>
  <c r="Y620" i="2" s="1"/>
  <c r="Z620" i="2" s="1"/>
  <c r="AA620" i="2" s="1"/>
  <c r="AB620" i="2" s="1"/>
  <c r="AC620" i="2" s="1"/>
  <c r="AD620" i="2" s="1"/>
  <c r="AE620" i="2" s="1"/>
  <c r="AF620" i="2" s="1"/>
  <c r="AG620" i="2" s="1"/>
  <c r="AH620" i="2" s="1"/>
  <c r="AI620" i="2" s="1"/>
  <c r="AJ620" i="2" s="1"/>
  <c r="AK620" i="2" s="1"/>
  <c r="AL620" i="2" s="1"/>
  <c r="AM620" i="2" s="1"/>
  <c r="AN620" i="2" s="1"/>
  <c r="AO620" i="2" s="1"/>
  <c r="AP620" i="2" s="1"/>
  <c r="AQ620" i="2" s="1"/>
  <c r="AR620" i="2" s="1"/>
  <c r="AS620" i="2" s="1"/>
  <c r="AT620" i="2" s="1"/>
  <c r="AU620" i="2" s="1"/>
  <c r="AV620" i="2" s="1"/>
  <c r="AW620" i="2" s="1"/>
  <c r="AX620" i="2" s="1"/>
  <c r="AY620" i="2" s="1"/>
  <c r="AZ620" i="2" s="1"/>
  <c r="BA620" i="2" s="1"/>
  <c r="M620" i="2" s="1"/>
  <c r="W688" i="2"/>
  <c r="W652" i="2"/>
  <c r="K1517" i="2"/>
  <c r="A1475" i="2"/>
  <c r="M1473" i="2"/>
  <c r="A1473" i="2"/>
  <c r="A1517" i="2" s="1"/>
  <c r="Z655" i="2"/>
  <c r="AA655" i="2" s="1"/>
  <c r="S45" i="2"/>
  <c r="X649" i="2"/>
  <c r="Y649" i="2" s="1"/>
  <c r="X638" i="2"/>
  <c r="W628" i="2"/>
  <c r="X624" i="2"/>
  <c r="Z642" i="2"/>
  <c r="X621" i="2"/>
  <c r="V653" i="2"/>
  <c r="W653" i="2" s="1"/>
  <c r="W42" i="2"/>
  <c r="X660" i="2"/>
  <c r="Y660" i="2" s="1"/>
  <c r="O714" i="2" l="1"/>
  <c r="O1214" i="2" s="1"/>
  <c r="K1273" i="2" s="1"/>
  <c r="N1493" i="2"/>
  <c r="O1493" i="2" s="1"/>
  <c r="N1491" i="2"/>
  <c r="O1491" i="2" s="1"/>
  <c r="N1489" i="2"/>
  <c r="O1489" i="2" s="1"/>
  <c r="N1487" i="2"/>
  <c r="O1487" i="2" s="1"/>
  <c r="N1485" i="2"/>
  <c r="O1485" i="2" s="1"/>
  <c r="N1495" i="2"/>
  <c r="O1495" i="2" s="1"/>
  <c r="N1497" i="2"/>
  <c r="O1497" i="2" s="1"/>
  <c r="N1443" i="2"/>
  <c r="O1443" i="2" s="1"/>
  <c r="O1463" i="2" s="1"/>
  <c r="J1477" i="2"/>
  <c r="P1476" i="2"/>
  <c r="V1476" i="2" s="1"/>
  <c r="AD1304" i="2"/>
  <c r="AE1304" i="2" s="1"/>
  <c r="AF1304" i="2" s="1"/>
  <c r="AC1304" i="2"/>
  <c r="X1298" i="2"/>
  <c r="Y1298" i="2" s="1"/>
  <c r="K46" i="2"/>
  <c r="O1415" i="2"/>
  <c r="L1463" i="2"/>
  <c r="D47" i="2"/>
  <c r="C47" i="2"/>
  <c r="J46" i="2"/>
  <c r="Z679" i="2"/>
  <c r="AA679" i="2" s="1"/>
  <c r="AB679" i="2" s="1"/>
  <c r="AC679" i="2" s="1"/>
  <c r="AD679" i="2" s="1"/>
  <c r="AE679" i="2" s="1"/>
  <c r="AF679" i="2" s="1"/>
  <c r="AG679" i="2" s="1"/>
  <c r="AH679" i="2" s="1"/>
  <c r="X639" i="2"/>
  <c r="AA647" i="2"/>
  <c r="AB647" i="2" s="1"/>
  <c r="AC647" i="2" s="1"/>
  <c r="AD647" i="2" s="1"/>
  <c r="AE647" i="2" s="1"/>
  <c r="AF647" i="2" s="1"/>
  <c r="AG647" i="2" s="1"/>
  <c r="AH647" i="2" s="1"/>
  <c r="X631" i="2"/>
  <c r="Y631" i="2" s="1"/>
  <c r="Z631" i="2" s="1"/>
  <c r="U41" i="2"/>
  <c r="V41" i="2" s="1"/>
  <c r="X671" i="2"/>
  <c r="AB663" i="2"/>
  <c r="AC663" i="2" s="1"/>
  <c r="AC677" i="2"/>
  <c r="AD677" i="2" s="1"/>
  <c r="Z649" i="2"/>
  <c r="AA649" i="2" s="1"/>
  <c r="AB649" i="2" s="1"/>
  <c r="AC649" i="2" s="1"/>
  <c r="AD649" i="2" s="1"/>
  <c r="AE649" i="2" s="1"/>
  <c r="Y635" i="2"/>
  <c r="Z635" i="2" s="1"/>
  <c r="AA635" i="2" s="1"/>
  <c r="AB635" i="2" s="1"/>
  <c r="AC635" i="2" s="1"/>
  <c r="AD635" i="2" s="1"/>
  <c r="AE635" i="2" s="1"/>
  <c r="AF635" i="2" s="1"/>
  <c r="AG635" i="2" s="1"/>
  <c r="AH635" i="2" s="1"/>
  <c r="AI635" i="2" s="1"/>
  <c r="AJ635" i="2" s="1"/>
  <c r="AK635" i="2" s="1"/>
  <c r="AL635" i="2" s="1"/>
  <c r="AM635" i="2" s="1"/>
  <c r="AN635" i="2" s="1"/>
  <c r="AO635" i="2" s="1"/>
  <c r="AP635" i="2" s="1"/>
  <c r="AQ635" i="2" s="1"/>
  <c r="AR635" i="2" s="1"/>
  <c r="AS635" i="2" s="1"/>
  <c r="AT635" i="2" s="1"/>
  <c r="AU635" i="2" s="1"/>
  <c r="AV635" i="2" s="1"/>
  <c r="AW635" i="2" s="1"/>
  <c r="AX635" i="2" s="1"/>
  <c r="AY635" i="2" s="1"/>
  <c r="AZ635" i="2" s="1"/>
  <c r="BA635" i="2" s="1"/>
  <c r="M635" i="2" s="1"/>
  <c r="AK629" i="2"/>
  <c r="AL629" i="2" s="1"/>
  <c r="AM629" i="2" s="1"/>
  <c r="AN629" i="2" s="1"/>
  <c r="L620" i="2"/>
  <c r="N620" i="2" s="1"/>
  <c r="O620" i="2" s="1"/>
  <c r="AD665" i="2"/>
  <c r="AE665" i="2" s="1"/>
  <c r="Z640" i="2"/>
  <c r="AA640" i="2" s="1"/>
  <c r="AB640" i="2" s="1"/>
  <c r="AC640" i="2" s="1"/>
  <c r="AD640" i="2" s="1"/>
  <c r="AE640" i="2" s="1"/>
  <c r="AF640" i="2" s="1"/>
  <c r="AG640" i="2" s="1"/>
  <c r="AH640" i="2" s="1"/>
  <c r="AI640" i="2" s="1"/>
  <c r="AJ640" i="2" s="1"/>
  <c r="AK640" i="2" s="1"/>
  <c r="AL640" i="2" s="1"/>
  <c r="AM640" i="2" s="1"/>
  <c r="AN640" i="2" s="1"/>
  <c r="AO640" i="2" s="1"/>
  <c r="AP640" i="2" s="1"/>
  <c r="AQ640" i="2" s="1"/>
  <c r="AR640" i="2" s="1"/>
  <c r="AS640" i="2" s="1"/>
  <c r="AT640" i="2" s="1"/>
  <c r="AU640" i="2" s="1"/>
  <c r="AV640" i="2" s="1"/>
  <c r="AW640" i="2" s="1"/>
  <c r="AX640" i="2" s="1"/>
  <c r="AY640" i="2" s="1"/>
  <c r="AZ640" i="2" s="1"/>
  <c r="BA640" i="2" s="1"/>
  <c r="X664" i="2"/>
  <c r="Y664" i="2" s="1"/>
  <c r="Z664" i="2" s="1"/>
  <c r="AA664" i="2" s="1"/>
  <c r="AB664" i="2" s="1"/>
  <c r="AC664" i="2" s="1"/>
  <c r="AD664" i="2" s="1"/>
  <c r="AE664" i="2" s="1"/>
  <c r="AF664" i="2" s="1"/>
  <c r="AG664" i="2" s="1"/>
  <c r="AH664" i="2" s="1"/>
  <c r="AI664" i="2" s="1"/>
  <c r="AJ664" i="2" s="1"/>
  <c r="AK664" i="2" s="1"/>
  <c r="AL664" i="2" s="1"/>
  <c r="AM664" i="2" s="1"/>
  <c r="AN664" i="2" s="1"/>
  <c r="AO664" i="2" s="1"/>
  <c r="AP664" i="2" s="1"/>
  <c r="AQ664" i="2" s="1"/>
  <c r="AR664" i="2" s="1"/>
  <c r="AS664" i="2" s="1"/>
  <c r="AT664" i="2" s="1"/>
  <c r="AU664" i="2" s="1"/>
  <c r="AV664" i="2" s="1"/>
  <c r="AW664" i="2" s="1"/>
  <c r="AX664" i="2" s="1"/>
  <c r="AY664" i="2" s="1"/>
  <c r="AZ664" i="2" s="1"/>
  <c r="BA664" i="2" s="1"/>
  <c r="AB655" i="2"/>
  <c r="AC655" i="2" s="1"/>
  <c r="AD655" i="2" s="1"/>
  <c r="AE655" i="2" s="1"/>
  <c r="AB627" i="2"/>
  <c r="AC627" i="2" s="1"/>
  <c r="L670" i="2"/>
  <c r="N670" i="2" s="1"/>
  <c r="O670" i="2" s="1"/>
  <c r="AO629" i="2"/>
  <c r="AA642" i="2"/>
  <c r="X42" i="2"/>
  <c r="X628" i="2"/>
  <c r="Y628" i="2" s="1"/>
  <c r="Z628" i="2" s="1"/>
  <c r="AA628" i="2" s="1"/>
  <c r="AB628" i="2" s="1"/>
  <c r="AC628" i="2" s="1"/>
  <c r="AD628" i="2" s="1"/>
  <c r="AE628" i="2" s="1"/>
  <c r="AF628" i="2" s="1"/>
  <c r="AG628" i="2" s="1"/>
  <c r="AH628" i="2" s="1"/>
  <c r="AI628" i="2" s="1"/>
  <c r="AJ628" i="2" s="1"/>
  <c r="AK628" i="2" s="1"/>
  <c r="AL628" i="2" s="1"/>
  <c r="AM628" i="2" s="1"/>
  <c r="AN628" i="2" s="1"/>
  <c r="AO628" i="2" s="1"/>
  <c r="AP628" i="2" s="1"/>
  <c r="AQ628" i="2" s="1"/>
  <c r="AR628" i="2" s="1"/>
  <c r="AS628" i="2" s="1"/>
  <c r="AT628" i="2" s="1"/>
  <c r="AU628" i="2" s="1"/>
  <c r="AV628" i="2" s="1"/>
  <c r="AW628" i="2" s="1"/>
  <c r="AX628" i="2" s="1"/>
  <c r="AY628" i="2" s="1"/>
  <c r="AZ628" i="2" s="1"/>
  <c r="BA628" i="2" s="1"/>
  <c r="Y638" i="2"/>
  <c r="Z666" i="2"/>
  <c r="AA666" i="2" s="1"/>
  <c r="X669" i="2"/>
  <c r="Y669" i="2" s="1"/>
  <c r="W636" i="2"/>
  <c r="W43" i="2"/>
  <c r="X43" i="2" s="1"/>
  <c r="Y43" i="2" s="1"/>
  <c r="AC675" i="2"/>
  <c r="AD675" i="2" s="1"/>
  <c r="AE675" i="2" s="1"/>
  <c r="AF675" i="2" s="1"/>
  <c r="AG675" i="2" s="1"/>
  <c r="AH675" i="2" s="1"/>
  <c r="AI675" i="2" s="1"/>
  <c r="AJ675" i="2" s="1"/>
  <c r="AK675" i="2" s="1"/>
  <c r="AL675" i="2" s="1"/>
  <c r="AM675" i="2" s="1"/>
  <c r="AN675" i="2" s="1"/>
  <c r="AO675" i="2" s="1"/>
  <c r="AP675" i="2" s="1"/>
  <c r="AQ675" i="2" s="1"/>
  <c r="AR675" i="2" s="1"/>
  <c r="AS675" i="2" s="1"/>
  <c r="AT675" i="2" s="1"/>
  <c r="AU675" i="2" s="1"/>
  <c r="AV675" i="2" s="1"/>
  <c r="AW675" i="2" s="1"/>
  <c r="AX675" i="2" s="1"/>
  <c r="AY675" i="2" s="1"/>
  <c r="AZ675" i="2" s="1"/>
  <c r="BA675" i="2" s="1"/>
  <c r="M675" i="2" s="1"/>
  <c r="X648" i="2"/>
  <c r="W657" i="2"/>
  <c r="X657" i="2" s="1"/>
  <c r="Y657" i="2" s="1"/>
  <c r="Z657" i="2" s="1"/>
  <c r="AA657" i="2" s="1"/>
  <c r="AB657" i="2" s="1"/>
  <c r="AC657" i="2" s="1"/>
  <c r="AD657" i="2" s="1"/>
  <c r="W673" i="2"/>
  <c r="AE676" i="2"/>
  <c r="AF676" i="2" s="1"/>
  <c r="AG676" i="2" s="1"/>
  <c r="AH676" i="2" s="1"/>
  <c r="AI676" i="2" s="1"/>
  <c r="AJ676" i="2" s="1"/>
  <c r="AK676" i="2" s="1"/>
  <c r="AL676" i="2" s="1"/>
  <c r="AM676" i="2" s="1"/>
  <c r="AN676" i="2" s="1"/>
  <c r="AA633" i="2"/>
  <c r="AB633" i="2" s="1"/>
  <c r="AC633" i="2" s="1"/>
  <c r="AD633" i="2" s="1"/>
  <c r="Y650" i="2"/>
  <c r="L1513" i="2"/>
  <c r="AE704" i="2"/>
  <c r="AF704" i="2" s="1"/>
  <c r="AG704" i="2" s="1"/>
  <c r="AH704" i="2" s="1"/>
  <c r="AI704" i="2" s="1"/>
  <c r="AJ704" i="2" s="1"/>
  <c r="AK704" i="2" s="1"/>
  <c r="AL704" i="2" s="1"/>
  <c r="AM704" i="2" s="1"/>
  <c r="AN704" i="2" s="1"/>
  <c r="AO704" i="2" s="1"/>
  <c r="AP704" i="2" s="1"/>
  <c r="AQ704" i="2" s="1"/>
  <c r="AR704" i="2" s="1"/>
  <c r="AS704" i="2" s="1"/>
  <c r="AT704" i="2" s="1"/>
  <c r="AU704" i="2" s="1"/>
  <c r="AV704" i="2" s="1"/>
  <c r="AW704" i="2" s="1"/>
  <c r="AX704" i="2" s="1"/>
  <c r="AY704" i="2" s="1"/>
  <c r="AZ704" i="2" s="1"/>
  <c r="BA704" i="2" s="1"/>
  <c r="H46" i="2"/>
  <c r="T45" i="2"/>
  <c r="W702" i="2"/>
  <c r="Y630" i="2"/>
  <c r="Z630" i="2" s="1"/>
  <c r="AA630" i="2" s="1"/>
  <c r="AB630" i="2" s="1"/>
  <c r="Z660" i="2"/>
  <c r="AA660" i="2" s="1"/>
  <c r="AB660" i="2" s="1"/>
  <c r="AC660" i="2" s="1"/>
  <c r="AD660" i="2" s="1"/>
  <c r="AE660" i="2" s="1"/>
  <c r="AF660" i="2" s="1"/>
  <c r="AG660" i="2" s="1"/>
  <c r="AH660" i="2" s="1"/>
  <c r="AI660" i="2" s="1"/>
  <c r="AJ660" i="2" s="1"/>
  <c r="AK660" i="2" s="1"/>
  <c r="AL660" i="2" s="1"/>
  <c r="AM660" i="2" s="1"/>
  <c r="AN660" i="2" s="1"/>
  <c r="AO660" i="2" s="1"/>
  <c r="AP660" i="2" s="1"/>
  <c r="AQ660" i="2" s="1"/>
  <c r="AR660" i="2" s="1"/>
  <c r="AS660" i="2" s="1"/>
  <c r="AT660" i="2" s="1"/>
  <c r="AU660" i="2" s="1"/>
  <c r="AV660" i="2" s="1"/>
  <c r="AW660" i="2" s="1"/>
  <c r="AX660" i="2" s="1"/>
  <c r="AY660" i="2" s="1"/>
  <c r="AZ660" i="2" s="1"/>
  <c r="BA660" i="2" s="1"/>
  <c r="M660" i="2" s="1"/>
  <c r="X653" i="2"/>
  <c r="Y621" i="2"/>
  <c r="Z619" i="2"/>
  <c r="AA619" i="2" s="1"/>
  <c r="AB619" i="2" s="1"/>
  <c r="AC619" i="2" s="1"/>
  <c r="AD619" i="2" s="1"/>
  <c r="AE619" i="2" s="1"/>
  <c r="AF619" i="2" s="1"/>
  <c r="AG619" i="2" s="1"/>
  <c r="AH619" i="2" s="1"/>
  <c r="AI619" i="2" s="1"/>
  <c r="AJ619" i="2" s="1"/>
  <c r="AK619" i="2" s="1"/>
  <c r="AL619" i="2" s="1"/>
  <c r="AM619" i="2" s="1"/>
  <c r="AN619" i="2" s="1"/>
  <c r="AO619" i="2" s="1"/>
  <c r="AP619" i="2" s="1"/>
  <c r="AQ619" i="2" s="1"/>
  <c r="AR619" i="2" s="1"/>
  <c r="AS619" i="2" s="1"/>
  <c r="AT619" i="2" s="1"/>
  <c r="AU619" i="2" s="1"/>
  <c r="AV619" i="2" s="1"/>
  <c r="AW619" i="2" s="1"/>
  <c r="AX619" i="2" s="1"/>
  <c r="AY619" i="2" s="1"/>
  <c r="AZ619" i="2" s="1"/>
  <c r="BA619" i="2" s="1"/>
  <c r="M619" i="2" s="1"/>
  <c r="X641" i="2"/>
  <c r="X662" i="2"/>
  <c r="Y662" i="2" s="1"/>
  <c r="Z662" i="2" s="1"/>
  <c r="AA662" i="2" s="1"/>
  <c r="AB662" i="2" s="1"/>
  <c r="AC662" i="2" s="1"/>
  <c r="AD662" i="2" s="1"/>
  <c r="AE662" i="2" s="1"/>
  <c r="AF662" i="2" s="1"/>
  <c r="AG662" i="2" s="1"/>
  <c r="AH662" i="2" s="1"/>
  <c r="AI662" i="2" s="1"/>
  <c r="AJ662" i="2" s="1"/>
  <c r="AK662" i="2" s="1"/>
  <c r="AL662" i="2" s="1"/>
  <c r="AM662" i="2" s="1"/>
  <c r="AN662" i="2" s="1"/>
  <c r="AO662" i="2" s="1"/>
  <c r="AP662" i="2" s="1"/>
  <c r="AQ662" i="2" s="1"/>
  <c r="AR662" i="2" s="1"/>
  <c r="AS662" i="2" s="1"/>
  <c r="AT662" i="2" s="1"/>
  <c r="AU662" i="2" s="1"/>
  <c r="AV662" i="2" s="1"/>
  <c r="AW662" i="2" s="1"/>
  <c r="AX662" i="2" s="1"/>
  <c r="AY662" i="2" s="1"/>
  <c r="AZ662" i="2" s="1"/>
  <c r="BA662" i="2" s="1"/>
  <c r="M662" i="2" s="1"/>
  <c r="W632" i="2"/>
  <c r="T44" i="2"/>
  <c r="Z674" i="2"/>
  <c r="AA674" i="2" s="1"/>
  <c r="AB674" i="2" s="1"/>
  <c r="AC674" i="2" s="1"/>
  <c r="AD674" i="2" s="1"/>
  <c r="AE674" i="2" s="1"/>
  <c r="AF674" i="2" s="1"/>
  <c r="AG674" i="2" s="1"/>
  <c r="AH674" i="2" s="1"/>
  <c r="AI674" i="2" s="1"/>
  <c r="AJ674" i="2" s="1"/>
  <c r="AK674" i="2" s="1"/>
  <c r="AL674" i="2" s="1"/>
  <c r="AM674" i="2" s="1"/>
  <c r="AN674" i="2" s="1"/>
  <c r="AO674" i="2" s="1"/>
  <c r="AP674" i="2" s="1"/>
  <c r="AQ674" i="2" s="1"/>
  <c r="AR674" i="2" s="1"/>
  <c r="AS674" i="2" s="1"/>
  <c r="AT674" i="2" s="1"/>
  <c r="AU674" i="2" s="1"/>
  <c r="AV674" i="2" s="1"/>
  <c r="W625" i="2"/>
  <c r="X625" i="2" s="1"/>
  <c r="Y625" i="2" s="1"/>
  <c r="X644" i="2"/>
  <c r="Y644" i="2" s="1"/>
  <c r="Z644" i="2" s="1"/>
  <c r="AA644" i="2" s="1"/>
  <c r="AB644" i="2" s="1"/>
  <c r="AC644" i="2" s="1"/>
  <c r="AD644" i="2" s="1"/>
  <c r="AE644" i="2" s="1"/>
  <c r="AF644" i="2" s="1"/>
  <c r="AG644" i="2" s="1"/>
  <c r="AH644" i="2" s="1"/>
  <c r="AI644" i="2" s="1"/>
  <c r="AJ644" i="2" s="1"/>
  <c r="AK644" i="2" s="1"/>
  <c r="AL644" i="2" s="1"/>
  <c r="AM644" i="2" s="1"/>
  <c r="AN644" i="2" s="1"/>
  <c r="AO644" i="2" s="1"/>
  <c r="AP644" i="2" s="1"/>
  <c r="AQ644" i="2" s="1"/>
  <c r="AR644" i="2" s="1"/>
  <c r="AS644" i="2" s="1"/>
  <c r="AT644" i="2" s="1"/>
  <c r="AU644" i="2" s="1"/>
  <c r="AV644" i="2" s="1"/>
  <c r="AW644" i="2" s="1"/>
  <c r="AX644" i="2" s="1"/>
  <c r="AY644" i="2" s="1"/>
  <c r="AZ644" i="2" s="1"/>
  <c r="BA644" i="2" s="1"/>
  <c r="Z626" i="2"/>
  <c r="AA646" i="2"/>
  <c r="X688" i="2"/>
  <c r="AA622" i="2"/>
  <c r="W705" i="2"/>
  <c r="X705" i="2" s="1"/>
  <c r="W668" i="2"/>
  <c r="X668" i="2" s="1"/>
  <c r="Z618" i="2"/>
  <c r="AU643" i="2"/>
  <c r="AV643" i="2" s="1"/>
  <c r="AW643" i="2" s="1"/>
  <c r="AX643" i="2" s="1"/>
  <c r="AY643" i="2" s="1"/>
  <c r="AZ643" i="2" s="1"/>
  <c r="BA643" i="2" s="1"/>
  <c r="M643" i="2" s="1"/>
  <c r="Y624" i="2"/>
  <c r="X652" i="2"/>
  <c r="Y652" i="2" s="1"/>
  <c r="Z652" i="2" s="1"/>
  <c r="AA652" i="2" s="1"/>
  <c r="AB652" i="2" s="1"/>
  <c r="AC652" i="2" s="1"/>
  <c r="AD652" i="2" s="1"/>
  <c r="AE652" i="2" s="1"/>
  <c r="AF652" i="2" s="1"/>
  <c r="AG652" i="2" s="1"/>
  <c r="AH652" i="2" s="1"/>
  <c r="AI652" i="2" s="1"/>
  <c r="AJ652" i="2" s="1"/>
  <c r="AK652" i="2" s="1"/>
  <c r="AL652" i="2" s="1"/>
  <c r="AM652" i="2" s="1"/>
  <c r="AN652" i="2" s="1"/>
  <c r="AO652" i="2" s="1"/>
  <c r="AP652" i="2" s="1"/>
  <c r="AQ652" i="2" s="1"/>
  <c r="AR652" i="2" s="1"/>
  <c r="AS652" i="2" s="1"/>
  <c r="AT652" i="2" s="1"/>
  <c r="AU652" i="2" s="1"/>
  <c r="AV652" i="2" s="1"/>
  <c r="AW652" i="2" s="1"/>
  <c r="AX652" i="2" s="1"/>
  <c r="AY652" i="2" s="1"/>
  <c r="AZ652" i="2" s="1"/>
  <c r="BA652" i="2" s="1"/>
  <c r="M652" i="2" s="1"/>
  <c r="L659" i="2"/>
  <c r="N659" i="2" s="1"/>
  <c r="O659" i="2" s="1"/>
  <c r="AD40" i="2"/>
  <c r="AE40" i="2" s="1"/>
  <c r="AF40" i="2" s="1"/>
  <c r="AG40" i="2" s="1"/>
  <c r="AH40" i="2" s="1"/>
  <c r="AI40" i="2" s="1"/>
  <c r="AJ40" i="2" s="1"/>
  <c r="AK40" i="2" s="1"/>
  <c r="AL40" i="2" s="1"/>
  <c r="AM40" i="2" s="1"/>
  <c r="AN40" i="2" s="1"/>
  <c r="AO40" i="2" s="1"/>
  <c r="AP40" i="2" s="1"/>
  <c r="AQ40" i="2" s="1"/>
  <c r="AR40" i="2" s="1"/>
  <c r="AS40" i="2" s="1"/>
  <c r="AT40" i="2" s="1"/>
  <c r="AU40" i="2" s="1"/>
  <c r="AV40" i="2" s="1"/>
  <c r="AW40" i="2" s="1"/>
  <c r="AX40" i="2" s="1"/>
  <c r="AY40" i="2" s="1"/>
  <c r="AZ40" i="2" s="1"/>
  <c r="BA40" i="2" s="1"/>
  <c r="M40" i="2" s="1"/>
  <c r="Y654" i="2"/>
  <c r="Y42" i="2"/>
  <c r="Z42" i="2" s="1"/>
  <c r="X634" i="2"/>
  <c r="Y651" i="2"/>
  <c r="Z651" i="2" s="1"/>
  <c r="AA651" i="2" s="1"/>
  <c r="AB651" i="2" s="1"/>
  <c r="AC651" i="2" s="1"/>
  <c r="AD651" i="2" s="1"/>
  <c r="AE651" i="2" s="1"/>
  <c r="AF651" i="2" s="1"/>
  <c r="AG651" i="2" s="1"/>
  <c r="AH651" i="2" s="1"/>
  <c r="AI651" i="2" s="1"/>
  <c r="AJ651" i="2" s="1"/>
  <c r="AK651" i="2" s="1"/>
  <c r="AL651" i="2" s="1"/>
  <c r="AM651" i="2" s="1"/>
  <c r="AN651" i="2" s="1"/>
  <c r="AO651" i="2" s="1"/>
  <c r="AP651" i="2" s="1"/>
  <c r="AQ651" i="2" s="1"/>
  <c r="AR651" i="2" s="1"/>
  <c r="AS651" i="2" s="1"/>
  <c r="AT651" i="2" s="1"/>
  <c r="AU651" i="2" s="1"/>
  <c r="AV651" i="2" s="1"/>
  <c r="AW651" i="2" s="1"/>
  <c r="AX651" i="2" s="1"/>
  <c r="X661" i="2"/>
  <c r="Y701" i="2"/>
  <c r="X703" i="2"/>
  <c r="Z637" i="2"/>
  <c r="Y645" i="2"/>
  <c r="AM658" i="2"/>
  <c r="AN658" i="2" s="1"/>
  <c r="AO658" i="2" s="1"/>
  <c r="AP658" i="2" s="1"/>
  <c r="AQ658" i="2" s="1"/>
  <c r="AR658" i="2" s="1"/>
  <c r="AS658" i="2" s="1"/>
  <c r="U44" i="2"/>
  <c r="X672" i="2"/>
  <c r="Y672" i="2" s="1"/>
  <c r="Z672" i="2" s="1"/>
  <c r="AA672" i="2" s="1"/>
  <c r="AB672" i="2" s="1"/>
  <c r="AC672" i="2" s="1"/>
  <c r="AD672" i="2" s="1"/>
  <c r="AE672" i="2" s="1"/>
  <c r="AF672" i="2" s="1"/>
  <c r="AG672" i="2" s="1"/>
  <c r="AH672" i="2" s="1"/>
  <c r="AI672" i="2" s="1"/>
  <c r="AJ672" i="2" s="1"/>
  <c r="AK672" i="2" s="1"/>
  <c r="AL672" i="2" s="1"/>
  <c r="AM672" i="2" s="1"/>
  <c r="AN672" i="2" s="1"/>
  <c r="AO672" i="2" s="1"/>
  <c r="AP672" i="2" s="1"/>
  <c r="AQ672" i="2" s="1"/>
  <c r="AR672" i="2" s="1"/>
  <c r="AS672" i="2" s="1"/>
  <c r="AT672" i="2" s="1"/>
  <c r="AU672" i="2" s="1"/>
  <c r="AV672" i="2" s="1"/>
  <c r="AW672" i="2" s="1"/>
  <c r="AX672" i="2" s="1"/>
  <c r="AY672" i="2" s="1"/>
  <c r="AZ672" i="2" s="1"/>
  <c r="BA672" i="2" s="1"/>
  <c r="AE667" i="2"/>
  <c r="AF667" i="2" s="1"/>
  <c r="AG667" i="2" s="1"/>
  <c r="AH667" i="2" s="1"/>
  <c r="AI667" i="2" s="1"/>
  <c r="AJ667" i="2" s="1"/>
  <c r="AK667" i="2" s="1"/>
  <c r="AL667" i="2" s="1"/>
  <c r="AM667" i="2" s="1"/>
  <c r="AN667" i="2" s="1"/>
  <c r="AO667" i="2" s="1"/>
  <c r="AP667" i="2" s="1"/>
  <c r="AQ667" i="2" s="1"/>
  <c r="AR667" i="2" s="1"/>
  <c r="AS667" i="2" s="1"/>
  <c r="AT667" i="2" s="1"/>
  <c r="R46" i="2"/>
  <c r="B48" i="2"/>
  <c r="P47" i="2"/>
  <c r="I47" i="2"/>
  <c r="W656" i="2"/>
  <c r="X656" i="2" s="1"/>
  <c r="W678" i="2"/>
  <c r="AC623" i="2"/>
  <c r="AD623" i="2" s="1"/>
  <c r="AD627" i="2" l="1"/>
  <c r="AE627" i="2" s="1"/>
  <c r="AF627" i="2" s="1"/>
  <c r="AG627" i="2" s="1"/>
  <c r="AH627" i="2" s="1"/>
  <c r="AI627" i="2" s="1"/>
  <c r="AJ627" i="2" s="1"/>
  <c r="AK627" i="2" s="1"/>
  <c r="AL627" i="2" s="1"/>
  <c r="AM627" i="2" s="1"/>
  <c r="AN627" i="2" s="1"/>
  <c r="AO627" i="2" s="1"/>
  <c r="AP627" i="2" s="1"/>
  <c r="AQ627" i="2" s="1"/>
  <c r="AR627" i="2" s="1"/>
  <c r="AS627" i="2" s="1"/>
  <c r="AT627" i="2" s="1"/>
  <c r="AU627" i="2" s="1"/>
  <c r="AV627" i="2" s="1"/>
  <c r="AW627" i="2" s="1"/>
  <c r="AX627" i="2" s="1"/>
  <c r="AY627" i="2" s="1"/>
  <c r="AZ627" i="2" s="1"/>
  <c r="BA627" i="2" s="1"/>
  <c r="AF649" i="2"/>
  <c r="AG649" i="2" s="1"/>
  <c r="AH649" i="2" s="1"/>
  <c r="AI649" i="2" s="1"/>
  <c r="AJ649" i="2" s="1"/>
  <c r="AK649" i="2" s="1"/>
  <c r="AL649" i="2" s="1"/>
  <c r="AM649" i="2" s="1"/>
  <c r="AN649" i="2" s="1"/>
  <c r="AO649" i="2" s="1"/>
  <c r="AP649" i="2" s="1"/>
  <c r="AQ649" i="2" s="1"/>
  <c r="AR649" i="2" s="1"/>
  <c r="AS649" i="2" s="1"/>
  <c r="AT649" i="2" s="1"/>
  <c r="AU649" i="2" s="1"/>
  <c r="AV649" i="2" s="1"/>
  <c r="AW649" i="2" s="1"/>
  <c r="AX649" i="2" s="1"/>
  <c r="AY649" i="2" s="1"/>
  <c r="AZ649" i="2" s="1"/>
  <c r="BA649" i="2" s="1"/>
  <c r="Z1298" i="2"/>
  <c r="K47" i="2"/>
  <c r="AB666" i="2"/>
  <c r="AC666" i="2" s="1"/>
  <c r="AD666" i="2" s="1"/>
  <c r="AE666" i="2" s="1"/>
  <c r="AF666" i="2" s="1"/>
  <c r="AG666" i="2" s="1"/>
  <c r="AH666" i="2" s="1"/>
  <c r="AI666" i="2" s="1"/>
  <c r="AJ666" i="2" s="1"/>
  <c r="AK666" i="2" s="1"/>
  <c r="AL666" i="2" s="1"/>
  <c r="AM666" i="2" s="1"/>
  <c r="N1463" i="2"/>
  <c r="O1465" i="2" s="1"/>
  <c r="D48" i="2"/>
  <c r="C48" i="2"/>
  <c r="AE633" i="2"/>
  <c r="AF633" i="2" s="1"/>
  <c r="AG633" i="2" s="1"/>
  <c r="AH633" i="2" s="1"/>
  <c r="AI633" i="2" s="1"/>
  <c r="AJ633" i="2" s="1"/>
  <c r="AK633" i="2" s="1"/>
  <c r="AL633" i="2" s="1"/>
  <c r="AM633" i="2" s="1"/>
  <c r="AN633" i="2" s="1"/>
  <c r="AO633" i="2" s="1"/>
  <c r="AP633" i="2" s="1"/>
  <c r="AQ633" i="2" s="1"/>
  <c r="AR633" i="2" s="1"/>
  <c r="AS633" i="2" s="1"/>
  <c r="AT633" i="2" s="1"/>
  <c r="AU633" i="2" s="1"/>
  <c r="AV633" i="2" s="1"/>
  <c r="AW633" i="2" s="1"/>
  <c r="AX633" i="2" s="1"/>
  <c r="AY633" i="2" s="1"/>
  <c r="AZ633" i="2" s="1"/>
  <c r="BA633" i="2" s="1"/>
  <c r="Y639" i="2"/>
  <c r="Z639" i="2" s="1"/>
  <c r="AU667" i="2"/>
  <c r="AV667" i="2" s="1"/>
  <c r="AW667" i="2" s="1"/>
  <c r="AX667" i="2" s="1"/>
  <c r="AY667" i="2" s="1"/>
  <c r="AZ667" i="2" s="1"/>
  <c r="BA667" i="2" s="1"/>
  <c r="AI679" i="2"/>
  <c r="AJ679" i="2" s="1"/>
  <c r="AK679" i="2" s="1"/>
  <c r="AL679" i="2" s="1"/>
  <c r="AM679" i="2" s="1"/>
  <c r="AN679" i="2" s="1"/>
  <c r="AO679" i="2" s="1"/>
  <c r="AP679" i="2" s="1"/>
  <c r="AQ679" i="2" s="1"/>
  <c r="AR679" i="2" s="1"/>
  <c r="AS679" i="2" s="1"/>
  <c r="AT679" i="2" s="1"/>
  <c r="AU679" i="2" s="1"/>
  <c r="AV679" i="2" s="1"/>
  <c r="AW679" i="2" s="1"/>
  <c r="AX679" i="2" s="1"/>
  <c r="AY679" i="2" s="1"/>
  <c r="AZ679" i="2" s="1"/>
  <c r="BA679" i="2" s="1"/>
  <c r="M679" i="2" s="1"/>
  <c r="Y671" i="2"/>
  <c r="Z671" i="2" s="1"/>
  <c r="AE623" i="2"/>
  <c r="AF623" i="2" s="1"/>
  <c r="AG623" i="2" s="1"/>
  <c r="AH623" i="2" s="1"/>
  <c r="AI623" i="2" s="1"/>
  <c r="AJ623" i="2" s="1"/>
  <c r="AK623" i="2" s="1"/>
  <c r="AL623" i="2" s="1"/>
  <c r="AM623" i="2" s="1"/>
  <c r="AN623" i="2" s="1"/>
  <c r="AO623" i="2" s="1"/>
  <c r="AP623" i="2" s="1"/>
  <c r="AQ623" i="2" s="1"/>
  <c r="AR623" i="2" s="1"/>
  <c r="AS623" i="2" s="1"/>
  <c r="AT623" i="2" s="1"/>
  <c r="AU623" i="2" s="1"/>
  <c r="AV623" i="2" s="1"/>
  <c r="AW623" i="2" s="1"/>
  <c r="AX623" i="2" s="1"/>
  <c r="AY623" i="2" s="1"/>
  <c r="AZ623" i="2" s="1"/>
  <c r="BA623" i="2" s="1"/>
  <c r="AA631" i="2"/>
  <c r="AB631" i="2" s="1"/>
  <c r="AI647" i="2"/>
  <c r="AN666" i="2"/>
  <c r="AO666" i="2" s="1"/>
  <c r="AP666" i="2" s="1"/>
  <c r="W41" i="2"/>
  <c r="X41" i="2" s="1"/>
  <c r="AF665" i="2"/>
  <c r="AG665" i="2" s="1"/>
  <c r="AH665" i="2" s="1"/>
  <c r="AI665" i="2" s="1"/>
  <c r="AJ665" i="2" s="1"/>
  <c r="AK665" i="2" s="1"/>
  <c r="AL665" i="2" s="1"/>
  <c r="AM665" i="2" s="1"/>
  <c r="AN665" i="2" s="1"/>
  <c r="AO665" i="2" s="1"/>
  <c r="AP665" i="2" s="1"/>
  <c r="AQ665" i="2" s="1"/>
  <c r="AR665" i="2" s="1"/>
  <c r="AS665" i="2" s="1"/>
  <c r="AT665" i="2" s="1"/>
  <c r="AU665" i="2" s="1"/>
  <c r="AV665" i="2" s="1"/>
  <c r="AW665" i="2" s="1"/>
  <c r="AX665" i="2" s="1"/>
  <c r="AY665" i="2" s="1"/>
  <c r="AZ665" i="2" s="1"/>
  <c r="BA665" i="2" s="1"/>
  <c r="M665" i="2" s="1"/>
  <c r="Y656" i="2"/>
  <c r="Z656" i="2" s="1"/>
  <c r="AA656" i="2" s="1"/>
  <c r="AB656" i="2" s="1"/>
  <c r="AC656" i="2" s="1"/>
  <c r="AD656" i="2" s="1"/>
  <c r="AE656" i="2" s="1"/>
  <c r="AF656" i="2" s="1"/>
  <c r="AG656" i="2" s="1"/>
  <c r="AH656" i="2" s="1"/>
  <c r="AI656" i="2" s="1"/>
  <c r="AJ656" i="2" s="1"/>
  <c r="AK656" i="2" s="1"/>
  <c r="AL656" i="2" s="1"/>
  <c r="AM656" i="2" s="1"/>
  <c r="AN656" i="2" s="1"/>
  <c r="AO656" i="2" s="1"/>
  <c r="AP656" i="2" s="1"/>
  <c r="AQ656" i="2" s="1"/>
  <c r="AR656" i="2" s="1"/>
  <c r="AS656" i="2" s="1"/>
  <c r="AT656" i="2" s="1"/>
  <c r="AU656" i="2" s="1"/>
  <c r="AV656" i="2" s="1"/>
  <c r="AW656" i="2" s="1"/>
  <c r="AX656" i="2" s="1"/>
  <c r="AY656" i="2" s="1"/>
  <c r="J47" i="2"/>
  <c r="N1513" i="2"/>
  <c r="AD663" i="2"/>
  <c r="AE663" i="2" s="1"/>
  <c r="AF663" i="2" s="1"/>
  <c r="AG663" i="2" s="1"/>
  <c r="AH663" i="2" s="1"/>
  <c r="AI663" i="2" s="1"/>
  <c r="AJ663" i="2" s="1"/>
  <c r="AK663" i="2" s="1"/>
  <c r="AL663" i="2" s="1"/>
  <c r="AM663" i="2" s="1"/>
  <c r="AN663" i="2" s="1"/>
  <c r="AO663" i="2" s="1"/>
  <c r="AP663" i="2" s="1"/>
  <c r="AQ663" i="2" s="1"/>
  <c r="AR663" i="2" s="1"/>
  <c r="AS663" i="2" s="1"/>
  <c r="AT663" i="2" s="1"/>
  <c r="AU663" i="2" s="1"/>
  <c r="AV663" i="2" s="1"/>
  <c r="AW663" i="2" s="1"/>
  <c r="AX663" i="2" s="1"/>
  <c r="AY663" i="2" s="1"/>
  <c r="AZ663" i="2" s="1"/>
  <c r="BA663" i="2" s="1"/>
  <c r="L635" i="2"/>
  <c r="N635" i="2" s="1"/>
  <c r="O635" i="2" s="1"/>
  <c r="AO676" i="2"/>
  <c r="AP629" i="2"/>
  <c r="AQ629" i="2" s="1"/>
  <c r="AR629" i="2" s="1"/>
  <c r="AS629" i="2" s="1"/>
  <c r="AT629" i="2" s="1"/>
  <c r="AU629" i="2" s="1"/>
  <c r="AV629" i="2" s="1"/>
  <c r="AW629" i="2" s="1"/>
  <c r="AX629" i="2" s="1"/>
  <c r="AY629" i="2" s="1"/>
  <c r="AZ629" i="2" s="1"/>
  <c r="BA629" i="2" s="1"/>
  <c r="AF655" i="2"/>
  <c r="AG655" i="2" s="1"/>
  <c r="AH655" i="2" s="1"/>
  <c r="AI655" i="2" s="1"/>
  <c r="AJ655" i="2" s="1"/>
  <c r="AK655" i="2" s="1"/>
  <c r="AL655" i="2" s="1"/>
  <c r="AM655" i="2" s="1"/>
  <c r="AN655" i="2" s="1"/>
  <c r="AO655" i="2" s="1"/>
  <c r="AP655" i="2" s="1"/>
  <c r="AQ655" i="2" s="1"/>
  <c r="AR655" i="2" s="1"/>
  <c r="AS655" i="2" s="1"/>
  <c r="AT655" i="2" s="1"/>
  <c r="AU655" i="2" s="1"/>
  <c r="AV655" i="2" s="1"/>
  <c r="AW655" i="2" s="1"/>
  <c r="AX655" i="2" s="1"/>
  <c r="AY655" i="2" s="1"/>
  <c r="AZ655" i="2" s="1"/>
  <c r="BA655" i="2" s="1"/>
  <c r="M655" i="2" s="1"/>
  <c r="AE677" i="2"/>
  <c r="AA42" i="2"/>
  <c r="AB42" i="2" s="1"/>
  <c r="AC42" i="2" s="1"/>
  <c r="AD42" i="2" s="1"/>
  <c r="AE42" i="2" s="1"/>
  <c r="AF42" i="2" s="1"/>
  <c r="AG42" i="2" s="1"/>
  <c r="AH42" i="2" s="1"/>
  <c r="AI42" i="2" s="1"/>
  <c r="AJ42" i="2" s="1"/>
  <c r="AK42" i="2" s="1"/>
  <c r="AL42" i="2" s="1"/>
  <c r="AM42" i="2" s="1"/>
  <c r="AN42" i="2" s="1"/>
  <c r="AO42" i="2" s="1"/>
  <c r="AP42" i="2" s="1"/>
  <c r="AQ42" i="2" s="1"/>
  <c r="AR42" i="2" s="1"/>
  <c r="AS42" i="2" s="1"/>
  <c r="AT42" i="2" s="1"/>
  <c r="AU42" i="2" s="1"/>
  <c r="AV42" i="2" s="1"/>
  <c r="AW42" i="2" s="1"/>
  <c r="AX42" i="2" s="1"/>
  <c r="AY42" i="2" s="1"/>
  <c r="AZ42" i="2" s="1"/>
  <c r="BA42" i="2" s="1"/>
  <c r="M628" i="2"/>
  <c r="L628" i="2"/>
  <c r="N628" i="2" s="1"/>
  <c r="O628" i="2" s="1"/>
  <c r="M640" i="2"/>
  <c r="L640" i="2"/>
  <c r="N640" i="2" s="1"/>
  <c r="O640" i="2" s="1"/>
  <c r="M649" i="2"/>
  <c r="Y705" i="2"/>
  <c r="Z705" i="2" s="1"/>
  <c r="AA705" i="2" s="1"/>
  <c r="AB705" i="2" s="1"/>
  <c r="AC705" i="2" s="1"/>
  <c r="AD705" i="2" s="1"/>
  <c r="AE705" i="2" s="1"/>
  <c r="AF705" i="2" s="1"/>
  <c r="AG705" i="2" s="1"/>
  <c r="AH705" i="2" s="1"/>
  <c r="M644" i="2"/>
  <c r="L644" i="2"/>
  <c r="N644" i="2" s="1"/>
  <c r="O644" i="2" s="1"/>
  <c r="M704" i="2"/>
  <c r="N704" i="2"/>
  <c r="AT658" i="2"/>
  <c r="AU658" i="2" s="1"/>
  <c r="AV658" i="2" s="1"/>
  <c r="AW658" i="2" s="1"/>
  <c r="AX658" i="2" s="1"/>
  <c r="AY658" i="2" s="1"/>
  <c r="AZ658" i="2" s="1"/>
  <c r="BA658" i="2" s="1"/>
  <c r="M658" i="2" s="1"/>
  <c r="L672" i="2"/>
  <c r="N672" i="2" s="1"/>
  <c r="O672" i="2" s="1"/>
  <c r="M672" i="2"/>
  <c r="AC630" i="2"/>
  <c r="AD630" i="2" s="1"/>
  <c r="AE630" i="2" s="1"/>
  <c r="AF630" i="2" s="1"/>
  <c r="AG630" i="2" s="1"/>
  <c r="AH630" i="2" s="1"/>
  <c r="AI630" i="2" s="1"/>
  <c r="AJ630" i="2" s="1"/>
  <c r="AK630" i="2" s="1"/>
  <c r="AL630" i="2" s="1"/>
  <c r="AM630" i="2" s="1"/>
  <c r="AN630" i="2" s="1"/>
  <c r="AO630" i="2" s="1"/>
  <c r="AP630" i="2" s="1"/>
  <c r="AQ630" i="2" s="1"/>
  <c r="AR630" i="2" s="1"/>
  <c r="AS630" i="2" s="1"/>
  <c r="AT630" i="2" s="1"/>
  <c r="AU630" i="2" s="1"/>
  <c r="AV630" i="2" s="1"/>
  <c r="AW630" i="2" s="1"/>
  <c r="AX630" i="2" s="1"/>
  <c r="AY630" i="2" s="1"/>
  <c r="AZ630" i="2" s="1"/>
  <c r="BA630" i="2" s="1"/>
  <c r="M630" i="2" s="1"/>
  <c r="M627" i="2"/>
  <c r="L627" i="2"/>
  <c r="N627" i="2" s="1"/>
  <c r="O627" i="2" s="1"/>
  <c r="M664" i="2"/>
  <c r="L664" i="2"/>
  <c r="N664" i="2" s="1"/>
  <c r="O664" i="2" s="1"/>
  <c r="Q47" i="2"/>
  <c r="AE657" i="2"/>
  <c r="AF657" i="2" s="1"/>
  <c r="AG657" i="2" s="1"/>
  <c r="AH657" i="2" s="1"/>
  <c r="AI657" i="2" s="1"/>
  <c r="AJ657" i="2" s="1"/>
  <c r="Z701" i="2"/>
  <c r="L660" i="2"/>
  <c r="N660" i="2" s="1"/>
  <c r="O660" i="2" s="1"/>
  <c r="L619" i="2"/>
  <c r="N619" i="2" s="1"/>
  <c r="O619" i="2" s="1"/>
  <c r="Z625" i="2"/>
  <c r="Z669" i="2"/>
  <c r="AA669" i="2" s="1"/>
  <c r="AB669" i="2" s="1"/>
  <c r="AC669" i="2" s="1"/>
  <c r="AD669" i="2" s="1"/>
  <c r="AE669" i="2" s="1"/>
  <c r="AF669" i="2" s="1"/>
  <c r="AG669" i="2" s="1"/>
  <c r="AH669" i="2" s="1"/>
  <c r="AI669" i="2" s="1"/>
  <c r="AJ669" i="2" s="1"/>
  <c r="Z650" i="2"/>
  <c r="AA650" i="2" s="1"/>
  <c r="AB650" i="2" s="1"/>
  <c r="U45" i="2"/>
  <c r="B49" i="2"/>
  <c r="P48" i="2"/>
  <c r="Q48" i="2" s="1"/>
  <c r="I48" i="2"/>
  <c r="Y703" i="2"/>
  <c r="Z624" i="2"/>
  <c r="AA624" i="2" s="1"/>
  <c r="AB624" i="2" s="1"/>
  <c r="AC624" i="2" s="1"/>
  <c r="AD624" i="2" s="1"/>
  <c r="AE624" i="2" s="1"/>
  <c r="AF624" i="2" s="1"/>
  <c r="AG624" i="2" s="1"/>
  <c r="AH624" i="2" s="1"/>
  <c r="AI624" i="2" s="1"/>
  <c r="AJ624" i="2" s="1"/>
  <c r="AK624" i="2" s="1"/>
  <c r="AL624" i="2" s="1"/>
  <c r="AM624" i="2" s="1"/>
  <c r="AN624" i="2" s="1"/>
  <c r="AO624" i="2" s="1"/>
  <c r="AP624" i="2" s="1"/>
  <c r="AQ624" i="2" s="1"/>
  <c r="AR624" i="2" s="1"/>
  <c r="AS624" i="2" s="1"/>
  <c r="AT624" i="2" s="1"/>
  <c r="AU624" i="2" s="1"/>
  <c r="AV624" i="2" s="1"/>
  <c r="AW624" i="2" s="1"/>
  <c r="AX624" i="2" s="1"/>
  <c r="AY624" i="2" s="1"/>
  <c r="AZ624" i="2" s="1"/>
  <c r="BA624" i="2" s="1"/>
  <c r="M624" i="2" s="1"/>
  <c r="AA626" i="2"/>
  <c r="AB626" i="2" s="1"/>
  <c r="AC626" i="2" s="1"/>
  <c r="AW674" i="2"/>
  <c r="AX674" i="2" s="1"/>
  <c r="AY674" i="2" s="1"/>
  <c r="AZ674" i="2" s="1"/>
  <c r="BA674" i="2" s="1"/>
  <c r="M674" i="2" s="1"/>
  <c r="Z621" i="2"/>
  <c r="AA621" i="2" s="1"/>
  <c r="AB621" i="2" s="1"/>
  <c r="AC621" i="2" s="1"/>
  <c r="AD621" i="2" s="1"/>
  <c r="AE621" i="2" s="1"/>
  <c r="AF621" i="2" s="1"/>
  <c r="AG621" i="2" s="1"/>
  <c r="AH621" i="2" s="1"/>
  <c r="AI621" i="2" s="1"/>
  <c r="AJ621" i="2" s="1"/>
  <c r="AK621" i="2" s="1"/>
  <c r="AL621" i="2" s="1"/>
  <c r="AM621" i="2" s="1"/>
  <c r="AN621" i="2" s="1"/>
  <c r="AO621" i="2" s="1"/>
  <c r="AP621" i="2" s="1"/>
  <c r="AQ621" i="2" s="1"/>
  <c r="AR621" i="2" s="1"/>
  <c r="AS621" i="2" s="1"/>
  <c r="AT621" i="2" s="1"/>
  <c r="AU621" i="2" s="1"/>
  <c r="AV621" i="2" s="1"/>
  <c r="AW621" i="2" s="1"/>
  <c r="Z43" i="2"/>
  <c r="AA43" i="2" s="1"/>
  <c r="AB43" i="2" s="1"/>
  <c r="AC43" i="2" s="1"/>
  <c r="AD43" i="2" s="1"/>
  <c r="AE43" i="2" s="1"/>
  <c r="AF43" i="2" s="1"/>
  <c r="L643" i="2"/>
  <c r="N643" i="2" s="1"/>
  <c r="O643" i="2" s="1"/>
  <c r="Y648" i="2"/>
  <c r="Z648" i="2" s="1"/>
  <c r="AA648" i="2" s="1"/>
  <c r="AB648" i="2" s="1"/>
  <c r="AC648" i="2" s="1"/>
  <c r="AD648" i="2" s="1"/>
  <c r="AE648" i="2" s="1"/>
  <c r="AF648" i="2" s="1"/>
  <c r="AG648" i="2" s="1"/>
  <c r="AH648" i="2" s="1"/>
  <c r="AI648" i="2" s="1"/>
  <c r="AJ648" i="2" s="1"/>
  <c r="AK648" i="2" s="1"/>
  <c r="AL648" i="2" s="1"/>
  <c r="AM648" i="2" s="1"/>
  <c r="AN648" i="2" s="1"/>
  <c r="AO648" i="2" s="1"/>
  <c r="AP648" i="2" s="1"/>
  <c r="AQ648" i="2" s="1"/>
  <c r="AR648" i="2" s="1"/>
  <c r="AS648" i="2" s="1"/>
  <c r="AT648" i="2" s="1"/>
  <c r="AU648" i="2" s="1"/>
  <c r="AV648" i="2" s="1"/>
  <c r="AW648" i="2" s="1"/>
  <c r="AX648" i="2" s="1"/>
  <c r="AY648" i="2" s="1"/>
  <c r="AZ648" i="2" s="1"/>
  <c r="BA648" i="2" s="1"/>
  <c r="M648" i="2" s="1"/>
  <c r="L40" i="2"/>
  <c r="S46" i="2"/>
  <c r="Z645" i="2"/>
  <c r="Y661" i="2"/>
  <c r="Z661" i="2" s="1"/>
  <c r="AA661" i="2" s="1"/>
  <c r="AB661" i="2" s="1"/>
  <c r="AC661" i="2" s="1"/>
  <c r="AD661" i="2" s="1"/>
  <c r="AE661" i="2" s="1"/>
  <c r="AF661" i="2" s="1"/>
  <c r="AG661" i="2" s="1"/>
  <c r="AH661" i="2" s="1"/>
  <c r="AI661" i="2" s="1"/>
  <c r="AJ661" i="2" s="1"/>
  <c r="X678" i="2"/>
  <c r="Y678" i="2" s="1"/>
  <c r="Z678" i="2" s="1"/>
  <c r="AA678" i="2" s="1"/>
  <c r="AB678" i="2" s="1"/>
  <c r="AC678" i="2" s="1"/>
  <c r="AD678" i="2" s="1"/>
  <c r="AE678" i="2" s="1"/>
  <c r="AF678" i="2" s="1"/>
  <c r="AG678" i="2" s="1"/>
  <c r="AH678" i="2" s="1"/>
  <c r="AI678" i="2" s="1"/>
  <c r="AJ678" i="2" s="1"/>
  <c r="AK678" i="2" s="1"/>
  <c r="AL678" i="2" s="1"/>
  <c r="AM678" i="2" s="1"/>
  <c r="AN678" i="2" s="1"/>
  <c r="AO678" i="2" s="1"/>
  <c r="AP678" i="2" s="1"/>
  <c r="AQ678" i="2" s="1"/>
  <c r="AR678" i="2" s="1"/>
  <c r="AS678" i="2" s="1"/>
  <c r="AT678" i="2" s="1"/>
  <c r="AU678" i="2" s="1"/>
  <c r="AV678" i="2" s="1"/>
  <c r="AW678" i="2" s="1"/>
  <c r="AX678" i="2" s="1"/>
  <c r="AY678" i="2" s="1"/>
  <c r="AZ678" i="2" s="1"/>
  <c r="BA678" i="2" s="1"/>
  <c r="Y634" i="2"/>
  <c r="Z634" i="2" s="1"/>
  <c r="AA634" i="2" s="1"/>
  <c r="AB634" i="2" s="1"/>
  <c r="AC634" i="2" s="1"/>
  <c r="AD634" i="2" s="1"/>
  <c r="AE634" i="2" s="1"/>
  <c r="AF634" i="2" s="1"/>
  <c r="AG634" i="2" s="1"/>
  <c r="AH634" i="2" s="1"/>
  <c r="AI634" i="2" s="1"/>
  <c r="AJ634" i="2" s="1"/>
  <c r="AK634" i="2" s="1"/>
  <c r="AL634" i="2" s="1"/>
  <c r="AM634" i="2" s="1"/>
  <c r="AN634" i="2" s="1"/>
  <c r="AO634" i="2" s="1"/>
  <c r="AP634" i="2" s="1"/>
  <c r="AQ634" i="2" s="1"/>
  <c r="AR634" i="2" s="1"/>
  <c r="AS634" i="2" s="1"/>
  <c r="AT634" i="2" s="1"/>
  <c r="AU634" i="2" s="1"/>
  <c r="AV634" i="2" s="1"/>
  <c r="AW634" i="2" s="1"/>
  <c r="AX634" i="2" s="1"/>
  <c r="AY634" i="2" s="1"/>
  <c r="AZ634" i="2" s="1"/>
  <c r="BA634" i="2" s="1"/>
  <c r="M634" i="2" s="1"/>
  <c r="Z654" i="2"/>
  <c r="AA654" i="2" s="1"/>
  <c r="AB654" i="2" s="1"/>
  <c r="AC654" i="2" s="1"/>
  <c r="AD654" i="2" s="1"/>
  <c r="AE654" i="2" s="1"/>
  <c r="AF654" i="2" s="1"/>
  <c r="AG654" i="2" s="1"/>
  <c r="AH654" i="2" s="1"/>
  <c r="AI654" i="2" s="1"/>
  <c r="AJ654" i="2" s="1"/>
  <c r="AK654" i="2" s="1"/>
  <c r="AL654" i="2" s="1"/>
  <c r="AM654" i="2" s="1"/>
  <c r="AN654" i="2" s="1"/>
  <c r="AO654" i="2" s="1"/>
  <c r="AP654" i="2" s="1"/>
  <c r="AQ654" i="2" s="1"/>
  <c r="AR654" i="2" s="1"/>
  <c r="AS654" i="2" s="1"/>
  <c r="AT654" i="2" s="1"/>
  <c r="AU654" i="2" s="1"/>
  <c r="AV654" i="2" s="1"/>
  <c r="AW654" i="2" s="1"/>
  <c r="AX654" i="2" s="1"/>
  <c r="AB646" i="2"/>
  <c r="X632" i="2"/>
  <c r="Y632" i="2" s="1"/>
  <c r="Z632" i="2" s="1"/>
  <c r="AA632" i="2" s="1"/>
  <c r="AB632" i="2" s="1"/>
  <c r="AC632" i="2" s="1"/>
  <c r="AD632" i="2" s="1"/>
  <c r="AE632" i="2" s="1"/>
  <c r="AF632" i="2" s="1"/>
  <c r="AG632" i="2" s="1"/>
  <c r="AH632" i="2" s="1"/>
  <c r="AI632" i="2" s="1"/>
  <c r="AJ632" i="2" s="1"/>
  <c r="AK632" i="2" s="1"/>
  <c r="AL632" i="2" s="1"/>
  <c r="AM632" i="2" s="1"/>
  <c r="AN632" i="2" s="1"/>
  <c r="AO632" i="2" s="1"/>
  <c r="AP632" i="2" s="1"/>
  <c r="AQ632" i="2" s="1"/>
  <c r="AR632" i="2" s="1"/>
  <c r="AS632" i="2" s="1"/>
  <c r="AT632" i="2" s="1"/>
  <c r="AU632" i="2" s="1"/>
  <c r="AV632" i="2" s="1"/>
  <c r="AW632" i="2" s="1"/>
  <c r="AX632" i="2" s="1"/>
  <c r="AY632" i="2" s="1"/>
  <c r="AZ632" i="2" s="1"/>
  <c r="BA632" i="2" s="1"/>
  <c r="M632" i="2" s="1"/>
  <c r="Y688" i="2"/>
  <c r="Z688" i="2" s="1"/>
  <c r="AA688" i="2" s="1"/>
  <c r="AB688" i="2" s="1"/>
  <c r="AC688" i="2" s="1"/>
  <c r="AD688" i="2" s="1"/>
  <c r="AE688" i="2" s="1"/>
  <c r="AF688" i="2" s="1"/>
  <c r="AG688" i="2" s="1"/>
  <c r="AH688" i="2" s="1"/>
  <c r="AI688" i="2" s="1"/>
  <c r="AJ688" i="2" s="1"/>
  <c r="AK688" i="2" s="1"/>
  <c r="AL688" i="2" s="1"/>
  <c r="AM688" i="2" s="1"/>
  <c r="AN688" i="2" s="1"/>
  <c r="AO688" i="2" s="1"/>
  <c r="AP688" i="2" s="1"/>
  <c r="AQ688" i="2" s="1"/>
  <c r="AR688" i="2" s="1"/>
  <c r="AS688" i="2" s="1"/>
  <c r="AT688" i="2" s="1"/>
  <c r="AU688" i="2" s="1"/>
  <c r="AV688" i="2" s="1"/>
  <c r="AW688" i="2" s="1"/>
  <c r="AX688" i="2" s="1"/>
  <c r="AY688" i="2" s="1"/>
  <c r="AZ688" i="2" s="1"/>
  <c r="BA688" i="2" s="1"/>
  <c r="Y653" i="2"/>
  <c r="Z653" i="2" s="1"/>
  <c r="AA653" i="2" s="1"/>
  <c r="AB653" i="2" s="1"/>
  <c r="AC653" i="2" s="1"/>
  <c r="AD653" i="2" s="1"/>
  <c r="AE653" i="2" s="1"/>
  <c r="AF653" i="2" s="1"/>
  <c r="AG653" i="2" s="1"/>
  <c r="AH653" i="2" s="1"/>
  <c r="AI653" i="2" s="1"/>
  <c r="AJ653" i="2" s="1"/>
  <c r="AK653" i="2" s="1"/>
  <c r="AL653" i="2" s="1"/>
  <c r="AM653" i="2" s="1"/>
  <c r="X702" i="2"/>
  <c r="X673" i="2"/>
  <c r="L675" i="2"/>
  <c r="N675" i="2" s="1"/>
  <c r="O675" i="2" s="1"/>
  <c r="X636" i="2"/>
  <c r="Z638" i="2"/>
  <c r="AA638" i="2" s="1"/>
  <c r="AB638" i="2" s="1"/>
  <c r="AC638" i="2" s="1"/>
  <c r="AD638" i="2" s="1"/>
  <c r="AE638" i="2" s="1"/>
  <c r="AF638" i="2" s="1"/>
  <c r="AG638" i="2" s="1"/>
  <c r="AH638" i="2" s="1"/>
  <c r="AI638" i="2" s="1"/>
  <c r="AJ638" i="2" s="1"/>
  <c r="AK638" i="2" s="1"/>
  <c r="AL638" i="2" s="1"/>
  <c r="AM638" i="2" s="1"/>
  <c r="AN638" i="2" s="1"/>
  <c r="AO638" i="2" s="1"/>
  <c r="AP638" i="2" s="1"/>
  <c r="AQ638" i="2" s="1"/>
  <c r="AR638" i="2" s="1"/>
  <c r="AS638" i="2" s="1"/>
  <c r="AT638" i="2" s="1"/>
  <c r="AU638" i="2" s="1"/>
  <c r="AV638" i="2" s="1"/>
  <c r="AW638" i="2" s="1"/>
  <c r="AX638" i="2" s="1"/>
  <c r="AY638" i="2" s="1"/>
  <c r="AZ638" i="2" s="1"/>
  <c r="BA638" i="2" s="1"/>
  <c r="M638" i="2" s="1"/>
  <c r="AB642" i="2"/>
  <c r="AC642" i="2" s="1"/>
  <c r="AD642" i="2" s="1"/>
  <c r="AE642" i="2" s="1"/>
  <c r="L652" i="2"/>
  <c r="N652" i="2" s="1"/>
  <c r="O652" i="2" s="1"/>
  <c r="H47" i="2"/>
  <c r="AA637" i="2"/>
  <c r="AY651" i="2"/>
  <c r="AZ651" i="2" s="1"/>
  <c r="BA651" i="2" s="1"/>
  <c r="M651" i="2" s="1"/>
  <c r="AA618" i="2"/>
  <c r="Y668" i="2"/>
  <c r="AB622" i="2"/>
  <c r="AC622" i="2" s="1"/>
  <c r="AD622" i="2" s="1"/>
  <c r="AE622" i="2" s="1"/>
  <c r="AF622" i="2" s="1"/>
  <c r="AG622" i="2" s="1"/>
  <c r="AH622" i="2" s="1"/>
  <c r="AI622" i="2" s="1"/>
  <c r="AJ622" i="2" s="1"/>
  <c r="AK622" i="2" s="1"/>
  <c r="AL622" i="2" s="1"/>
  <c r="AM622" i="2" s="1"/>
  <c r="AN622" i="2" s="1"/>
  <c r="AO622" i="2" s="1"/>
  <c r="AP622" i="2" s="1"/>
  <c r="AQ622" i="2" s="1"/>
  <c r="AR622" i="2" s="1"/>
  <c r="AS622" i="2" s="1"/>
  <c r="AT622" i="2" s="1"/>
  <c r="AU622" i="2" s="1"/>
  <c r="AV622" i="2" s="1"/>
  <c r="AW622" i="2" s="1"/>
  <c r="AX622" i="2" s="1"/>
  <c r="AY622" i="2" s="1"/>
  <c r="AZ622" i="2" s="1"/>
  <c r="BA622" i="2" s="1"/>
  <c r="M622" i="2" s="1"/>
  <c r="L662" i="2"/>
  <c r="N662" i="2" s="1"/>
  <c r="O662" i="2" s="1"/>
  <c r="O1513" i="2"/>
  <c r="V44" i="2"/>
  <c r="Y641" i="2"/>
  <c r="Z641" i="2" s="1"/>
  <c r="AA641" i="2" s="1"/>
  <c r="AB641" i="2" s="1"/>
  <c r="AC641" i="2" s="1"/>
  <c r="AD641" i="2" s="1"/>
  <c r="AE641" i="2" s="1"/>
  <c r="AF641" i="2" s="1"/>
  <c r="AG641" i="2" s="1"/>
  <c r="AH641" i="2" s="1"/>
  <c r="AI641" i="2" s="1"/>
  <c r="AJ641" i="2" s="1"/>
  <c r="AK641" i="2" s="1"/>
  <c r="AL641" i="2" s="1"/>
  <c r="AM641" i="2" s="1"/>
  <c r="AN641" i="2" s="1"/>
  <c r="AO641" i="2" s="1"/>
  <c r="AP641" i="2" s="1"/>
  <c r="L649" i="2" l="1"/>
  <c r="N649" i="2" s="1"/>
  <c r="O649" i="2" s="1"/>
  <c r="L667" i="2"/>
  <c r="N667" i="2" s="1"/>
  <c r="O667" i="2" s="1"/>
  <c r="M667" i="2"/>
  <c r="M629" i="2"/>
  <c r="AA1298" i="2"/>
  <c r="AB1298" i="2" s="1"/>
  <c r="K48" i="2"/>
  <c r="AZ656" i="2"/>
  <c r="BA656" i="2" s="1"/>
  <c r="M656" i="2" s="1"/>
  <c r="L674" i="2"/>
  <c r="N674" i="2" s="1"/>
  <c r="O674" i="2" s="1"/>
  <c r="AI705" i="2"/>
  <c r="AJ705" i="2" s="1"/>
  <c r="AK705" i="2" s="1"/>
  <c r="AL705" i="2" s="1"/>
  <c r="AM705" i="2" s="1"/>
  <c r="AN705" i="2" s="1"/>
  <c r="AO705" i="2" s="1"/>
  <c r="AP705" i="2" s="1"/>
  <c r="AQ705" i="2" s="1"/>
  <c r="AR705" i="2" s="1"/>
  <c r="AS705" i="2" s="1"/>
  <c r="AT705" i="2" s="1"/>
  <c r="AU705" i="2" s="1"/>
  <c r="AV705" i="2" s="1"/>
  <c r="AW705" i="2" s="1"/>
  <c r="AX705" i="2" s="1"/>
  <c r="AY705" i="2" s="1"/>
  <c r="AZ705" i="2" s="1"/>
  <c r="BA705" i="2" s="1"/>
  <c r="AQ666" i="2"/>
  <c r="AR666" i="2" s="1"/>
  <c r="AS666" i="2" s="1"/>
  <c r="AT666" i="2" s="1"/>
  <c r="AU666" i="2" s="1"/>
  <c r="AV666" i="2" s="1"/>
  <c r="AW666" i="2" s="1"/>
  <c r="AX666" i="2" s="1"/>
  <c r="AY666" i="2" s="1"/>
  <c r="AZ666" i="2" s="1"/>
  <c r="BA666" i="2" s="1"/>
  <c r="M666" i="2" s="1"/>
  <c r="AK669" i="2"/>
  <c r="AL669" i="2" s="1"/>
  <c r="AM669" i="2" s="1"/>
  <c r="AN669" i="2" s="1"/>
  <c r="AO669" i="2" s="1"/>
  <c r="AP669" i="2" s="1"/>
  <c r="AQ669" i="2" s="1"/>
  <c r="AR669" i="2" s="1"/>
  <c r="AS669" i="2" s="1"/>
  <c r="AT669" i="2" s="1"/>
  <c r="AU669" i="2" s="1"/>
  <c r="AV669" i="2" s="1"/>
  <c r="AW669" i="2" s="1"/>
  <c r="AX669" i="2" s="1"/>
  <c r="AY669" i="2" s="1"/>
  <c r="AZ669" i="2" s="1"/>
  <c r="BA669" i="2" s="1"/>
  <c r="L665" i="2"/>
  <c r="N665" i="2" s="1"/>
  <c r="O665" i="2" s="1"/>
  <c r="L655" i="2"/>
  <c r="N655" i="2" s="1"/>
  <c r="O655" i="2" s="1"/>
  <c r="AC650" i="2"/>
  <c r="AD650" i="2" s="1"/>
  <c r="AE650" i="2" s="1"/>
  <c r="AF650" i="2" s="1"/>
  <c r="AG650" i="2" s="1"/>
  <c r="AH650" i="2" s="1"/>
  <c r="AI650" i="2" s="1"/>
  <c r="AJ650" i="2" s="1"/>
  <c r="AK650" i="2" s="1"/>
  <c r="AL650" i="2" s="1"/>
  <c r="AM650" i="2" s="1"/>
  <c r="AN650" i="2" s="1"/>
  <c r="AO650" i="2" s="1"/>
  <c r="AP650" i="2" s="1"/>
  <c r="AQ650" i="2" s="1"/>
  <c r="AR650" i="2" s="1"/>
  <c r="AS650" i="2" s="1"/>
  <c r="AT650" i="2" s="1"/>
  <c r="AU650" i="2" s="1"/>
  <c r="AV650" i="2" s="1"/>
  <c r="AW650" i="2" s="1"/>
  <c r="AX650" i="2" s="1"/>
  <c r="AY650" i="2" s="1"/>
  <c r="AZ650" i="2" s="1"/>
  <c r="BA650" i="2" s="1"/>
  <c r="M650" i="2" s="1"/>
  <c r="O1515" i="2"/>
  <c r="D49" i="2"/>
  <c r="C49" i="2"/>
  <c r="AA639" i="2"/>
  <c r="AB639" i="2" s="1"/>
  <c r="AC639" i="2" s="1"/>
  <c r="AD639" i="2" s="1"/>
  <c r="AE639" i="2" s="1"/>
  <c r="AF639" i="2" s="1"/>
  <c r="AG639" i="2" s="1"/>
  <c r="AH639" i="2" s="1"/>
  <c r="AI639" i="2" s="1"/>
  <c r="AJ639" i="2" s="1"/>
  <c r="AK639" i="2" s="1"/>
  <c r="AL639" i="2" s="1"/>
  <c r="AM639" i="2" s="1"/>
  <c r="AN639" i="2" s="1"/>
  <c r="AO639" i="2" s="1"/>
  <c r="AP639" i="2" s="1"/>
  <c r="AQ639" i="2" s="1"/>
  <c r="AR639" i="2" s="1"/>
  <c r="AS639" i="2" s="1"/>
  <c r="AT639" i="2" s="1"/>
  <c r="AU639" i="2" s="1"/>
  <c r="AV639" i="2" s="1"/>
  <c r="AW639" i="2" s="1"/>
  <c r="AX639" i="2" s="1"/>
  <c r="AY639" i="2" s="1"/>
  <c r="AZ639" i="2" s="1"/>
  <c r="BA639" i="2" s="1"/>
  <c r="M639" i="2" s="1"/>
  <c r="AN653" i="2"/>
  <c r="AO653" i="2" s="1"/>
  <c r="AC631" i="2"/>
  <c r="AD631" i="2" s="1"/>
  <c r="AE631" i="2" s="1"/>
  <c r="AF631" i="2" s="1"/>
  <c r="AG631" i="2" s="1"/>
  <c r="AH631" i="2" s="1"/>
  <c r="AI631" i="2" s="1"/>
  <c r="AJ631" i="2" s="1"/>
  <c r="AK631" i="2" s="1"/>
  <c r="AL631" i="2" s="1"/>
  <c r="AM631" i="2" s="1"/>
  <c r="AN631" i="2" s="1"/>
  <c r="AO631" i="2" s="1"/>
  <c r="AP631" i="2" s="1"/>
  <c r="AQ631" i="2" s="1"/>
  <c r="AR631" i="2" s="1"/>
  <c r="AS631" i="2" s="1"/>
  <c r="AT631" i="2" s="1"/>
  <c r="AU631" i="2" s="1"/>
  <c r="AV631" i="2" s="1"/>
  <c r="AW631" i="2" s="1"/>
  <c r="AQ641" i="2"/>
  <c r="AR641" i="2" s="1"/>
  <c r="AS641" i="2" s="1"/>
  <c r="AT641" i="2" s="1"/>
  <c r="AU641" i="2" s="1"/>
  <c r="AV641" i="2" s="1"/>
  <c r="AW641" i="2" s="1"/>
  <c r="AX641" i="2" s="1"/>
  <c r="AY641" i="2" s="1"/>
  <c r="AZ641" i="2" s="1"/>
  <c r="BA641" i="2" s="1"/>
  <c r="L679" i="2"/>
  <c r="N679" i="2" s="1"/>
  <c r="O679" i="2" s="1"/>
  <c r="AF642" i="2"/>
  <c r="AG642" i="2" s="1"/>
  <c r="AH642" i="2" s="1"/>
  <c r="AI642" i="2" s="1"/>
  <c r="AJ642" i="2" s="1"/>
  <c r="AK642" i="2" s="1"/>
  <c r="AL642" i="2" s="1"/>
  <c r="AM642" i="2" s="1"/>
  <c r="AN642" i="2" s="1"/>
  <c r="AO642" i="2" s="1"/>
  <c r="AP642" i="2" s="1"/>
  <c r="AQ642" i="2" s="1"/>
  <c r="AR642" i="2" s="1"/>
  <c r="AS642" i="2" s="1"/>
  <c r="AT642" i="2" s="1"/>
  <c r="AU642" i="2" s="1"/>
  <c r="AV642" i="2" s="1"/>
  <c r="AW642" i="2" s="1"/>
  <c r="AX642" i="2" s="1"/>
  <c r="AY642" i="2" s="1"/>
  <c r="AZ642" i="2" s="1"/>
  <c r="BA642" i="2" s="1"/>
  <c r="M642" i="2" s="1"/>
  <c r="M623" i="2"/>
  <c r="AX621" i="2"/>
  <c r="AY621" i="2" s="1"/>
  <c r="AZ621" i="2" s="1"/>
  <c r="BA621" i="2" s="1"/>
  <c r="M621" i="2" s="1"/>
  <c r="L623" i="2"/>
  <c r="N623" i="2" s="1"/>
  <c r="O623" i="2" s="1"/>
  <c r="AJ647" i="2"/>
  <c r="AK647" i="2" s="1"/>
  <c r="AL647" i="2" s="1"/>
  <c r="AM647" i="2" s="1"/>
  <c r="AN647" i="2" s="1"/>
  <c r="AO647" i="2" s="1"/>
  <c r="AP647" i="2" s="1"/>
  <c r="AQ647" i="2" s="1"/>
  <c r="AR647" i="2" s="1"/>
  <c r="AS647" i="2" s="1"/>
  <c r="AT647" i="2" s="1"/>
  <c r="AU647" i="2" s="1"/>
  <c r="AV647" i="2" s="1"/>
  <c r="AW647" i="2" s="1"/>
  <c r="AX647" i="2" s="1"/>
  <c r="AY647" i="2" s="1"/>
  <c r="AZ647" i="2" s="1"/>
  <c r="BA647" i="2" s="1"/>
  <c r="M647" i="2" s="1"/>
  <c r="Y41" i="2"/>
  <c r="L658" i="2"/>
  <c r="N658" i="2" s="1"/>
  <c r="O658" i="2" s="1"/>
  <c r="L629" i="2"/>
  <c r="N629" i="2" s="1"/>
  <c r="O629" i="2" s="1"/>
  <c r="AA671" i="2"/>
  <c r="J48" i="2"/>
  <c r="AY654" i="2"/>
  <c r="AZ654" i="2" s="1"/>
  <c r="BA654" i="2" s="1"/>
  <c r="AD626" i="2"/>
  <c r="AE626" i="2" s="1"/>
  <c r="AF626" i="2" s="1"/>
  <c r="AG626" i="2" s="1"/>
  <c r="AH626" i="2" s="1"/>
  <c r="AI626" i="2" s="1"/>
  <c r="AJ626" i="2" s="1"/>
  <c r="AK626" i="2" s="1"/>
  <c r="AL626" i="2" s="1"/>
  <c r="AM626" i="2" s="1"/>
  <c r="AP676" i="2"/>
  <c r="AQ676" i="2" s="1"/>
  <c r="AR676" i="2" s="1"/>
  <c r="AS676" i="2" s="1"/>
  <c r="AT676" i="2" s="1"/>
  <c r="AU676" i="2" s="1"/>
  <c r="AV676" i="2" s="1"/>
  <c r="AW676" i="2" s="1"/>
  <c r="AX676" i="2" s="1"/>
  <c r="AY676" i="2" s="1"/>
  <c r="AZ676" i="2" s="1"/>
  <c r="BA676" i="2" s="1"/>
  <c r="M676" i="2" s="1"/>
  <c r="L622" i="2"/>
  <c r="N622" i="2" s="1"/>
  <c r="O622" i="2" s="1"/>
  <c r="AK657" i="2"/>
  <c r="AL657" i="2" s="1"/>
  <c r="AM657" i="2" s="1"/>
  <c r="AN657" i="2" s="1"/>
  <c r="AO657" i="2" s="1"/>
  <c r="AP657" i="2" s="1"/>
  <c r="AQ657" i="2" s="1"/>
  <c r="AR657" i="2" s="1"/>
  <c r="AS657" i="2" s="1"/>
  <c r="AT657" i="2" s="1"/>
  <c r="AU657" i="2" s="1"/>
  <c r="AV657" i="2" s="1"/>
  <c r="AW657" i="2" s="1"/>
  <c r="AX657" i="2" s="1"/>
  <c r="AY657" i="2" s="1"/>
  <c r="AZ657" i="2" s="1"/>
  <c r="BA657" i="2" s="1"/>
  <c r="L638" i="2"/>
  <c r="N638" i="2" s="1"/>
  <c r="O638" i="2" s="1"/>
  <c r="AF677" i="2"/>
  <c r="M688" i="2"/>
  <c r="L688" i="2"/>
  <c r="M678" i="2"/>
  <c r="L678" i="2"/>
  <c r="N678" i="2" s="1"/>
  <c r="O678" i="2" s="1"/>
  <c r="M663" i="2"/>
  <c r="L663" i="2"/>
  <c r="N663" i="2" s="1"/>
  <c r="O663" i="2" s="1"/>
  <c r="L633" i="2"/>
  <c r="N633" i="2" s="1"/>
  <c r="O633" i="2" s="1"/>
  <c r="M633" i="2"/>
  <c r="M42" i="2"/>
  <c r="L42" i="2"/>
  <c r="Y673" i="2"/>
  <c r="Z673" i="2" s="1"/>
  <c r="AA673" i="2" s="1"/>
  <c r="AB673" i="2" s="1"/>
  <c r="AC673" i="2" s="1"/>
  <c r="AD673" i="2" s="1"/>
  <c r="AE673" i="2" s="1"/>
  <c r="AF673" i="2" s="1"/>
  <c r="AG673" i="2" s="1"/>
  <c r="AH673" i="2" s="1"/>
  <c r="AI673" i="2" s="1"/>
  <c r="AJ673" i="2" s="1"/>
  <c r="AK673" i="2" s="1"/>
  <c r="AL673" i="2" s="1"/>
  <c r="AM673" i="2" s="1"/>
  <c r="AN673" i="2" s="1"/>
  <c r="AO673" i="2" s="1"/>
  <c r="AP673" i="2" s="1"/>
  <c r="AQ673" i="2" s="1"/>
  <c r="AR673" i="2" s="1"/>
  <c r="AS673" i="2" s="1"/>
  <c r="AT673" i="2" s="1"/>
  <c r="AU673" i="2" s="1"/>
  <c r="AV673" i="2" s="1"/>
  <c r="AW673" i="2" s="1"/>
  <c r="AX673" i="2" s="1"/>
  <c r="AY673" i="2" s="1"/>
  <c r="AZ673" i="2" s="1"/>
  <c r="BA673" i="2" s="1"/>
  <c r="Y702" i="2"/>
  <c r="Z702" i="2" s="1"/>
  <c r="L634" i="2"/>
  <c r="N634" i="2" s="1"/>
  <c r="O634" i="2" s="1"/>
  <c r="T46" i="2"/>
  <c r="Z703" i="2"/>
  <c r="AA703" i="2" s="1"/>
  <c r="AB703" i="2" s="1"/>
  <c r="AC703" i="2" s="1"/>
  <c r="AD703" i="2" s="1"/>
  <c r="AE703" i="2" s="1"/>
  <c r="AF703" i="2" s="1"/>
  <c r="AG703" i="2" s="1"/>
  <c r="AH703" i="2" s="1"/>
  <c r="AI703" i="2" s="1"/>
  <c r="AJ703" i="2" s="1"/>
  <c r="AK703" i="2" s="1"/>
  <c r="AL703" i="2" s="1"/>
  <c r="AM703" i="2" s="1"/>
  <c r="AN703" i="2" s="1"/>
  <c r="AO703" i="2" s="1"/>
  <c r="AP703" i="2" s="1"/>
  <c r="AQ703" i="2" s="1"/>
  <c r="AR703" i="2" s="1"/>
  <c r="AS703" i="2" s="1"/>
  <c r="AT703" i="2" s="1"/>
  <c r="AU703" i="2" s="1"/>
  <c r="AV703" i="2" s="1"/>
  <c r="AW703" i="2" s="1"/>
  <c r="AX703" i="2" s="1"/>
  <c r="AY703" i="2" s="1"/>
  <c r="AZ703" i="2" s="1"/>
  <c r="BA703" i="2" s="1"/>
  <c r="M703" i="2" s="1"/>
  <c r="AG43" i="2"/>
  <c r="AH43" i="2" s="1"/>
  <c r="AI43" i="2" s="1"/>
  <c r="AJ43" i="2" s="1"/>
  <c r="AK43" i="2" s="1"/>
  <c r="AL43" i="2" s="1"/>
  <c r="AM43" i="2" s="1"/>
  <c r="AN43" i="2" s="1"/>
  <c r="AO43" i="2" s="1"/>
  <c r="AP43" i="2" s="1"/>
  <c r="AQ43" i="2" s="1"/>
  <c r="AR43" i="2" s="1"/>
  <c r="AS43" i="2" s="1"/>
  <c r="Z668" i="2"/>
  <c r="AA668" i="2" s="1"/>
  <c r="AB668" i="2" s="1"/>
  <c r="AC668" i="2" s="1"/>
  <c r="AD668" i="2" s="1"/>
  <c r="AE668" i="2" s="1"/>
  <c r="AF668" i="2" s="1"/>
  <c r="AG668" i="2" s="1"/>
  <c r="AH668" i="2" s="1"/>
  <c r="AI668" i="2" s="1"/>
  <c r="AJ668" i="2" s="1"/>
  <c r="AK668" i="2" s="1"/>
  <c r="AL668" i="2" s="1"/>
  <c r="AM668" i="2" s="1"/>
  <c r="AN668" i="2" s="1"/>
  <c r="AO668" i="2" s="1"/>
  <c r="AP668" i="2" s="1"/>
  <c r="AQ668" i="2" s="1"/>
  <c r="AR668" i="2" s="1"/>
  <c r="AS668" i="2" s="1"/>
  <c r="AT668" i="2" s="1"/>
  <c r="AU668" i="2" s="1"/>
  <c r="AV668" i="2" s="1"/>
  <c r="AW668" i="2" s="1"/>
  <c r="AX668" i="2" s="1"/>
  <c r="AY668" i="2" s="1"/>
  <c r="AZ668" i="2" s="1"/>
  <c r="BA668" i="2" s="1"/>
  <c r="M668" i="2" s="1"/>
  <c r="AB637" i="2"/>
  <c r="AC637" i="2" s="1"/>
  <c r="AD637" i="2" s="1"/>
  <c r="AE637" i="2" s="1"/>
  <c r="AF637" i="2" s="1"/>
  <c r="AG637" i="2" s="1"/>
  <c r="AH637" i="2" s="1"/>
  <c r="AI637" i="2" s="1"/>
  <c r="AJ637" i="2" s="1"/>
  <c r="AK637" i="2" s="1"/>
  <c r="AL637" i="2" s="1"/>
  <c r="AM637" i="2" s="1"/>
  <c r="AN637" i="2" s="1"/>
  <c r="AO637" i="2" s="1"/>
  <c r="AP637" i="2" s="1"/>
  <c r="AQ637" i="2" s="1"/>
  <c r="AR637" i="2" s="1"/>
  <c r="AS637" i="2" s="1"/>
  <c r="AT637" i="2" s="1"/>
  <c r="AU637" i="2" s="1"/>
  <c r="AV637" i="2" s="1"/>
  <c r="AW637" i="2" s="1"/>
  <c r="AX637" i="2" s="1"/>
  <c r="AY637" i="2" s="1"/>
  <c r="AZ637" i="2" s="1"/>
  <c r="BA637" i="2" s="1"/>
  <c r="M637" i="2" s="1"/>
  <c r="L632" i="2"/>
  <c r="N632" i="2" s="1"/>
  <c r="O632" i="2" s="1"/>
  <c r="AC646" i="2"/>
  <c r="AD646" i="2" s="1"/>
  <c r="AE646" i="2" s="1"/>
  <c r="AF646" i="2" s="1"/>
  <c r="AG646" i="2" s="1"/>
  <c r="AH646" i="2" s="1"/>
  <c r="AI646" i="2" s="1"/>
  <c r="AJ646" i="2" s="1"/>
  <c r="AK646" i="2" s="1"/>
  <c r="AL646" i="2" s="1"/>
  <c r="AM646" i="2" s="1"/>
  <c r="AN646" i="2" s="1"/>
  <c r="AO646" i="2" s="1"/>
  <c r="AP646" i="2" s="1"/>
  <c r="AQ646" i="2" s="1"/>
  <c r="AR646" i="2" s="1"/>
  <c r="AS646" i="2" s="1"/>
  <c r="AT646" i="2" s="1"/>
  <c r="AU646" i="2" s="1"/>
  <c r="AV646" i="2" s="1"/>
  <c r="AW646" i="2" s="1"/>
  <c r="AX646" i="2" s="1"/>
  <c r="AY646" i="2" s="1"/>
  <c r="AZ646" i="2" s="1"/>
  <c r="BA646" i="2" s="1"/>
  <c r="M646" i="2" s="1"/>
  <c r="U46" i="2"/>
  <c r="V46" i="2" s="1"/>
  <c r="B50" i="2"/>
  <c r="P49" i="2"/>
  <c r="Q49" i="2" s="1"/>
  <c r="I49" i="2"/>
  <c r="AK661" i="2"/>
  <c r="N40" i="2"/>
  <c r="O40" i="2" s="1"/>
  <c r="L648" i="2"/>
  <c r="N648" i="2" s="1"/>
  <c r="O648" i="2" s="1"/>
  <c r="L624" i="2"/>
  <c r="N624" i="2" s="1"/>
  <c r="O624" i="2" s="1"/>
  <c r="V45" i="2"/>
  <c r="AB618" i="2"/>
  <c r="L651" i="2"/>
  <c r="N651" i="2" s="1"/>
  <c r="O651" i="2" s="1"/>
  <c r="Y636" i="2"/>
  <c r="Z636" i="2" s="1"/>
  <c r="AA636" i="2" s="1"/>
  <c r="AB636" i="2" s="1"/>
  <c r="AC636" i="2" s="1"/>
  <c r="AD636" i="2" s="1"/>
  <c r="AE636" i="2" s="1"/>
  <c r="AF636" i="2" s="1"/>
  <c r="AG636" i="2" s="1"/>
  <c r="AH636" i="2" s="1"/>
  <c r="AI636" i="2" s="1"/>
  <c r="AA645" i="2"/>
  <c r="R48" i="2"/>
  <c r="H48" i="2"/>
  <c r="AA625" i="2"/>
  <c r="AB625" i="2" s="1"/>
  <c r="AC625" i="2" s="1"/>
  <c r="AD625" i="2" s="1"/>
  <c r="AE625" i="2" s="1"/>
  <c r="AF625" i="2" s="1"/>
  <c r="AG625" i="2" s="1"/>
  <c r="AH625" i="2" s="1"/>
  <c r="AI625" i="2" s="1"/>
  <c r="AJ625" i="2" s="1"/>
  <c r="AK625" i="2" s="1"/>
  <c r="AL625" i="2" s="1"/>
  <c r="AM625" i="2" s="1"/>
  <c r="AN625" i="2" s="1"/>
  <c r="AO625" i="2" s="1"/>
  <c r="AP625" i="2" s="1"/>
  <c r="AQ625" i="2" s="1"/>
  <c r="AR625" i="2" s="1"/>
  <c r="AS625" i="2" s="1"/>
  <c r="AT625" i="2" s="1"/>
  <c r="AU625" i="2" s="1"/>
  <c r="AV625" i="2" s="1"/>
  <c r="AW625" i="2" s="1"/>
  <c r="AX625" i="2" s="1"/>
  <c r="AY625" i="2" s="1"/>
  <c r="AZ625" i="2" s="1"/>
  <c r="BA625" i="2" s="1"/>
  <c r="AA701" i="2"/>
  <c r="AB701" i="2" s="1"/>
  <c r="AC701" i="2" s="1"/>
  <c r="AD701" i="2" s="1"/>
  <c r="AE701" i="2" s="1"/>
  <c r="AF701" i="2" s="1"/>
  <c r="AG701" i="2" s="1"/>
  <c r="AH701" i="2" s="1"/>
  <c r="AI701" i="2" s="1"/>
  <c r="AJ701" i="2" s="1"/>
  <c r="AK701" i="2" s="1"/>
  <c r="AL701" i="2" s="1"/>
  <c r="AM701" i="2" s="1"/>
  <c r="AN701" i="2" s="1"/>
  <c r="AO701" i="2" s="1"/>
  <c r="AP701" i="2" s="1"/>
  <c r="AQ701" i="2" s="1"/>
  <c r="AR701" i="2" s="1"/>
  <c r="AS701" i="2" s="1"/>
  <c r="AT701" i="2" s="1"/>
  <c r="AU701" i="2" s="1"/>
  <c r="AV701" i="2" s="1"/>
  <c r="AW701" i="2" s="1"/>
  <c r="AX701" i="2" s="1"/>
  <c r="AY701" i="2" s="1"/>
  <c r="AZ701" i="2" s="1"/>
  <c r="BA701" i="2" s="1"/>
  <c r="W44" i="2"/>
  <c r="X44" i="2" s="1"/>
  <c r="Y44" i="2" s="1"/>
  <c r="Z44" i="2" s="1"/>
  <c r="AA44" i="2" s="1"/>
  <c r="AB44" i="2" s="1"/>
  <c r="AC44" i="2" s="1"/>
  <c r="AD44" i="2" s="1"/>
  <c r="AE44" i="2" s="1"/>
  <c r="R47" i="2"/>
  <c r="L630" i="2"/>
  <c r="N630" i="2" s="1"/>
  <c r="O630" i="2" s="1"/>
  <c r="M705" i="2"/>
  <c r="L656" i="2" l="1"/>
  <c r="N656" i="2" s="1"/>
  <c r="O656" i="2" s="1"/>
  <c r="L642" i="2"/>
  <c r="N642" i="2" s="1"/>
  <c r="O642" i="2" s="1"/>
  <c r="L669" i="2"/>
  <c r="N669" i="2" s="1"/>
  <c r="O669" i="2" s="1"/>
  <c r="AC1298" i="2"/>
  <c r="AD1298" i="2" s="1"/>
  <c r="AE1298" i="2" s="1"/>
  <c r="AF1298" i="2" s="1"/>
  <c r="K49" i="2"/>
  <c r="M669" i="2"/>
  <c r="N705" i="2"/>
  <c r="M641" i="2"/>
  <c r="L666" i="2"/>
  <c r="N666" i="2" s="1"/>
  <c r="O666" i="2" s="1"/>
  <c r="M654" i="2"/>
  <c r="L650" i="2"/>
  <c r="N650" i="2" s="1"/>
  <c r="O650" i="2" s="1"/>
  <c r="AP653" i="2"/>
  <c r="AQ653" i="2" s="1"/>
  <c r="AR653" i="2" s="1"/>
  <c r="AS653" i="2" s="1"/>
  <c r="AT653" i="2" s="1"/>
  <c r="AU653" i="2" s="1"/>
  <c r="AV653" i="2" s="1"/>
  <c r="AW653" i="2" s="1"/>
  <c r="AX653" i="2" s="1"/>
  <c r="AY653" i="2" s="1"/>
  <c r="AZ653" i="2" s="1"/>
  <c r="BA653" i="2" s="1"/>
  <c r="L654" i="2"/>
  <c r="N654" i="2" s="1"/>
  <c r="O654" i="2" s="1"/>
  <c r="D50" i="2"/>
  <c r="C50" i="2"/>
  <c r="L641" i="2"/>
  <c r="N641" i="2" s="1"/>
  <c r="O641" i="2" s="1"/>
  <c r="L639" i="2"/>
  <c r="N639" i="2" s="1"/>
  <c r="O639" i="2" s="1"/>
  <c r="AT43" i="2"/>
  <c r="AU43" i="2" s="1"/>
  <c r="AV43" i="2" s="1"/>
  <c r="AW43" i="2" s="1"/>
  <c r="AX43" i="2" s="1"/>
  <c r="AY43" i="2" s="1"/>
  <c r="AZ43" i="2" s="1"/>
  <c r="BA43" i="2" s="1"/>
  <c r="R49" i="2"/>
  <c r="AX631" i="2"/>
  <c r="Z41" i="2"/>
  <c r="AA41" i="2" s="1"/>
  <c r="AB41" i="2" s="1"/>
  <c r="AC41" i="2" s="1"/>
  <c r="AD41" i="2" s="1"/>
  <c r="AE41" i="2" s="1"/>
  <c r="AF41" i="2" s="1"/>
  <c r="AG41" i="2" s="1"/>
  <c r="AH41" i="2" s="1"/>
  <c r="AI41" i="2" s="1"/>
  <c r="AJ41" i="2" s="1"/>
  <c r="AK41" i="2" s="1"/>
  <c r="AL41" i="2" s="1"/>
  <c r="AM41" i="2" s="1"/>
  <c r="AN41" i="2" s="1"/>
  <c r="AO41" i="2" s="1"/>
  <c r="AP41" i="2" s="1"/>
  <c r="AQ41" i="2" s="1"/>
  <c r="AR41" i="2" s="1"/>
  <c r="AS41" i="2" s="1"/>
  <c r="AT41" i="2" s="1"/>
  <c r="AU41" i="2" s="1"/>
  <c r="AV41" i="2" s="1"/>
  <c r="AW41" i="2" s="1"/>
  <c r="AX41" i="2" s="1"/>
  <c r="AY41" i="2" s="1"/>
  <c r="AZ41" i="2" s="1"/>
  <c r="BA41" i="2" s="1"/>
  <c r="M41" i="2" s="1"/>
  <c r="L647" i="2"/>
  <c r="N647" i="2" s="1"/>
  <c r="O647" i="2" s="1"/>
  <c r="AB671" i="2"/>
  <c r="AC671" i="2" s="1"/>
  <c r="AD671" i="2" s="1"/>
  <c r="AE671" i="2" s="1"/>
  <c r="AF671" i="2" s="1"/>
  <c r="AG671" i="2" s="1"/>
  <c r="AH671" i="2" s="1"/>
  <c r="AI671" i="2" s="1"/>
  <c r="AJ671" i="2" s="1"/>
  <c r="AK671" i="2" s="1"/>
  <c r="AL671" i="2" s="1"/>
  <c r="L621" i="2"/>
  <c r="N621" i="2" s="1"/>
  <c r="O621" i="2" s="1"/>
  <c r="AJ636" i="2"/>
  <c r="AK636" i="2" s="1"/>
  <c r="AL636" i="2" s="1"/>
  <c r="AM636" i="2" s="1"/>
  <c r="AN636" i="2" s="1"/>
  <c r="AO636" i="2" s="1"/>
  <c r="AP636" i="2" s="1"/>
  <c r="AQ636" i="2" s="1"/>
  <c r="AR636" i="2" s="1"/>
  <c r="AS636" i="2" s="1"/>
  <c r="AT636" i="2" s="1"/>
  <c r="AU636" i="2" s="1"/>
  <c r="AV636" i="2" s="1"/>
  <c r="AW636" i="2" s="1"/>
  <c r="AX636" i="2" s="1"/>
  <c r="AY636" i="2" s="1"/>
  <c r="AZ636" i="2" s="1"/>
  <c r="BA636" i="2" s="1"/>
  <c r="M636" i="2" s="1"/>
  <c r="L668" i="2"/>
  <c r="N668" i="2" s="1"/>
  <c r="O668" i="2" s="1"/>
  <c r="AA702" i="2"/>
  <c r="AB702" i="2" s="1"/>
  <c r="AC702" i="2" s="1"/>
  <c r="AD702" i="2" s="1"/>
  <c r="AE702" i="2" s="1"/>
  <c r="AF702" i="2" s="1"/>
  <c r="AG702" i="2" s="1"/>
  <c r="AH702" i="2" s="1"/>
  <c r="AI702" i="2" s="1"/>
  <c r="AJ702" i="2" s="1"/>
  <c r="AK702" i="2" s="1"/>
  <c r="AL702" i="2" s="1"/>
  <c r="AM702" i="2" s="1"/>
  <c r="AN702" i="2" s="1"/>
  <c r="AO702" i="2" s="1"/>
  <c r="AP702" i="2" s="1"/>
  <c r="AQ702" i="2" s="1"/>
  <c r="AR702" i="2" s="1"/>
  <c r="AS702" i="2" s="1"/>
  <c r="AT702" i="2" s="1"/>
  <c r="AU702" i="2" s="1"/>
  <c r="AV702" i="2" s="1"/>
  <c r="AW702" i="2" s="1"/>
  <c r="AX702" i="2" s="1"/>
  <c r="AY702" i="2" s="1"/>
  <c r="AZ702" i="2" s="1"/>
  <c r="BA702" i="2" s="1"/>
  <c r="AG677" i="2"/>
  <c r="L657" i="2"/>
  <c r="N657" i="2" s="1"/>
  <c r="O657" i="2" s="1"/>
  <c r="L676" i="2"/>
  <c r="N676" i="2" s="1"/>
  <c r="O676" i="2" s="1"/>
  <c r="L637" i="2"/>
  <c r="N637" i="2" s="1"/>
  <c r="O637" i="2" s="1"/>
  <c r="M657" i="2"/>
  <c r="AN626" i="2"/>
  <c r="W46" i="2"/>
  <c r="X46" i="2" s="1"/>
  <c r="Y46" i="2" s="1"/>
  <c r="M625" i="2"/>
  <c r="L625" i="2"/>
  <c r="N625" i="2" s="1"/>
  <c r="O625" i="2" s="1"/>
  <c r="M673" i="2"/>
  <c r="L673" i="2"/>
  <c r="N673" i="2" s="1"/>
  <c r="O673" i="2" s="1"/>
  <c r="H49" i="2"/>
  <c r="B51" i="2"/>
  <c r="P50" i="2"/>
  <c r="Q50" i="2" s="1"/>
  <c r="I50" i="2"/>
  <c r="N42" i="2"/>
  <c r="O42" i="2" s="1"/>
  <c r="AB645" i="2"/>
  <c r="AC645" i="2" s="1"/>
  <c r="AD645" i="2" s="1"/>
  <c r="AE645" i="2" s="1"/>
  <c r="AF645" i="2" s="1"/>
  <c r="AG645" i="2" s="1"/>
  <c r="AH645" i="2" s="1"/>
  <c r="AI645" i="2" s="1"/>
  <c r="AJ645" i="2" s="1"/>
  <c r="AK645" i="2" s="1"/>
  <c r="AL645" i="2" s="1"/>
  <c r="AM645" i="2" s="1"/>
  <c r="AN645" i="2" s="1"/>
  <c r="AO645" i="2" s="1"/>
  <c r="AP645" i="2" s="1"/>
  <c r="AQ645" i="2" s="1"/>
  <c r="AR645" i="2" s="1"/>
  <c r="AS645" i="2" s="1"/>
  <c r="AT645" i="2" s="1"/>
  <c r="AU645" i="2" s="1"/>
  <c r="AV645" i="2" s="1"/>
  <c r="AW645" i="2" s="1"/>
  <c r="AX645" i="2" s="1"/>
  <c r="AY645" i="2" s="1"/>
  <c r="AZ645" i="2" s="1"/>
  <c r="BA645" i="2" s="1"/>
  <c r="M645" i="2" s="1"/>
  <c r="W45" i="2"/>
  <c r="N703" i="2"/>
  <c r="L689" i="2"/>
  <c r="O688" i="2"/>
  <c r="O689" i="2" s="1"/>
  <c r="AF44" i="2"/>
  <c r="AG44" i="2" s="1"/>
  <c r="AH44" i="2" s="1"/>
  <c r="AI44" i="2" s="1"/>
  <c r="AJ44" i="2" s="1"/>
  <c r="AK44" i="2" s="1"/>
  <c r="AL44" i="2" s="1"/>
  <c r="AM44" i="2" s="1"/>
  <c r="AN44" i="2" s="1"/>
  <c r="AO44" i="2" s="1"/>
  <c r="AP44" i="2" s="1"/>
  <c r="AQ44" i="2" s="1"/>
  <c r="AR44" i="2" s="1"/>
  <c r="AS44" i="2" s="1"/>
  <c r="AT44" i="2" s="1"/>
  <c r="AU44" i="2" s="1"/>
  <c r="AV44" i="2" s="1"/>
  <c r="AW44" i="2" s="1"/>
  <c r="AX44" i="2" s="1"/>
  <c r="AY44" i="2" s="1"/>
  <c r="AZ44" i="2" s="1"/>
  <c r="BA44" i="2" s="1"/>
  <c r="AC618" i="2"/>
  <c r="AD618" i="2" s="1"/>
  <c r="AE618" i="2" s="1"/>
  <c r="AF618" i="2" s="1"/>
  <c r="AG618" i="2" s="1"/>
  <c r="AH618" i="2" s="1"/>
  <c r="AI618" i="2" s="1"/>
  <c r="AJ618" i="2" s="1"/>
  <c r="AK618" i="2" s="1"/>
  <c r="AL618" i="2" s="1"/>
  <c r="AM618" i="2" s="1"/>
  <c r="AN618" i="2" s="1"/>
  <c r="AO618" i="2" s="1"/>
  <c r="AP618" i="2" s="1"/>
  <c r="AQ618" i="2" s="1"/>
  <c r="AR618" i="2" s="1"/>
  <c r="AS618" i="2" s="1"/>
  <c r="AT618" i="2" s="1"/>
  <c r="AU618" i="2" s="1"/>
  <c r="AV618" i="2" s="1"/>
  <c r="AW618" i="2" s="1"/>
  <c r="AX618" i="2" s="1"/>
  <c r="AY618" i="2" s="1"/>
  <c r="AZ618" i="2" s="1"/>
  <c r="BA618" i="2" s="1"/>
  <c r="M618" i="2" s="1"/>
  <c r="S48" i="2"/>
  <c r="AL661" i="2"/>
  <c r="AM661" i="2" s="1"/>
  <c r="AN661" i="2" s="1"/>
  <c r="AO661" i="2" s="1"/>
  <c r="AP661" i="2" s="1"/>
  <c r="AQ661" i="2" s="1"/>
  <c r="AR661" i="2" s="1"/>
  <c r="AS661" i="2" s="1"/>
  <c r="AT661" i="2" s="1"/>
  <c r="AU661" i="2" s="1"/>
  <c r="AV661" i="2" s="1"/>
  <c r="AW661" i="2" s="1"/>
  <c r="AX661" i="2" s="1"/>
  <c r="AY661" i="2" s="1"/>
  <c r="AZ661" i="2" s="1"/>
  <c r="BA661" i="2" s="1"/>
  <c r="M661" i="2" s="1"/>
  <c r="J49" i="2"/>
  <c r="S49" i="2"/>
  <c r="L646" i="2"/>
  <c r="N646" i="2" s="1"/>
  <c r="O646" i="2" s="1"/>
  <c r="S47" i="2"/>
  <c r="T49" i="2"/>
  <c r="N702" i="2" l="1"/>
  <c r="K50" i="2"/>
  <c r="L645" i="2"/>
  <c r="N645" i="2" s="1"/>
  <c r="O645" i="2" s="1"/>
  <c r="M653" i="2"/>
  <c r="L636" i="2"/>
  <c r="N636" i="2" s="1"/>
  <c r="O636" i="2" s="1"/>
  <c r="L653" i="2"/>
  <c r="N653" i="2" s="1"/>
  <c r="O653" i="2" s="1"/>
  <c r="D51" i="2"/>
  <c r="C51" i="2"/>
  <c r="J50" i="2"/>
  <c r="M43" i="2"/>
  <c r="L661" i="2"/>
  <c r="N661" i="2" s="1"/>
  <c r="O661" i="2" s="1"/>
  <c r="L43" i="2"/>
  <c r="N43" i="2" s="1"/>
  <c r="AM671" i="2"/>
  <c r="AY631" i="2"/>
  <c r="AZ631" i="2" s="1"/>
  <c r="BA631" i="2" s="1"/>
  <c r="L41" i="2"/>
  <c r="N41" i="2" s="1"/>
  <c r="O41" i="2" s="1"/>
  <c r="AH677" i="2"/>
  <c r="AI677" i="2" s="1"/>
  <c r="AJ677" i="2" s="1"/>
  <c r="AK677" i="2" s="1"/>
  <c r="AL677" i="2" s="1"/>
  <c r="AM677" i="2" s="1"/>
  <c r="AN677" i="2" s="1"/>
  <c r="AO677" i="2" s="1"/>
  <c r="AP677" i="2" s="1"/>
  <c r="M702" i="2"/>
  <c r="AO626" i="2"/>
  <c r="AP626" i="2" s="1"/>
  <c r="AQ626" i="2" s="1"/>
  <c r="AR626" i="2" s="1"/>
  <c r="AS626" i="2" s="1"/>
  <c r="AT626" i="2" s="1"/>
  <c r="AU626" i="2" s="1"/>
  <c r="AV626" i="2" s="1"/>
  <c r="AW626" i="2" s="1"/>
  <c r="AX626" i="2" s="1"/>
  <c r="AY626" i="2" s="1"/>
  <c r="AZ626" i="2" s="1"/>
  <c r="BA626" i="2" s="1"/>
  <c r="R50" i="2"/>
  <c r="S50" i="2" s="1"/>
  <c r="L44" i="2"/>
  <c r="M44" i="2"/>
  <c r="L618" i="2"/>
  <c r="H50" i="2"/>
  <c r="X45" i="2"/>
  <c r="Z46" i="2"/>
  <c r="T48" i="2"/>
  <c r="U49" i="2"/>
  <c r="B52" i="2"/>
  <c r="P51" i="2"/>
  <c r="Q51" i="2" s="1"/>
  <c r="J51" i="2"/>
  <c r="I51" i="2"/>
  <c r="T47" i="2"/>
  <c r="K51" i="2" l="1"/>
  <c r="C52" i="2"/>
  <c r="D52" i="2"/>
  <c r="L631" i="2"/>
  <c r="N631" i="2" s="1"/>
  <c r="O631" i="2" s="1"/>
  <c r="M631" i="2"/>
  <c r="U47" i="2"/>
  <c r="V47" i="2" s="1"/>
  <c r="W47" i="2" s="1"/>
  <c r="AN671" i="2"/>
  <c r="L626" i="2"/>
  <c r="N626" i="2" s="1"/>
  <c r="O626" i="2" s="1"/>
  <c r="AQ677" i="2"/>
  <c r="M626" i="2"/>
  <c r="T50" i="2"/>
  <c r="U50" i="2" s="1"/>
  <c r="B53" i="2"/>
  <c r="P52" i="2"/>
  <c r="M52" i="2" s="1"/>
  <c r="I52" i="2"/>
  <c r="J52" i="2"/>
  <c r="Y45" i="2"/>
  <c r="N44" i="2"/>
  <c r="O44" i="2" s="1"/>
  <c r="R51" i="2"/>
  <c r="N618" i="2"/>
  <c r="V49" i="2"/>
  <c r="H51" i="2"/>
  <c r="O43" i="2"/>
  <c r="U48" i="2"/>
  <c r="AA46" i="2"/>
  <c r="AB46" i="2" s="1"/>
  <c r="AC46" i="2" s="1"/>
  <c r="AD46" i="2" s="1"/>
  <c r="AE46" i="2" s="1"/>
  <c r="AF46" i="2" s="1"/>
  <c r="AG46" i="2" s="1"/>
  <c r="AH46" i="2" s="1"/>
  <c r="AI46" i="2" s="1"/>
  <c r="AJ46" i="2" s="1"/>
  <c r="AK46" i="2" s="1"/>
  <c r="AL46" i="2" s="1"/>
  <c r="AM46" i="2" s="1"/>
  <c r="AN46" i="2" s="1"/>
  <c r="AO46" i="2" s="1"/>
  <c r="AP46" i="2" s="1"/>
  <c r="AQ46" i="2" s="1"/>
  <c r="AR46" i="2" s="1"/>
  <c r="AS46" i="2" s="1"/>
  <c r="AT46" i="2" s="1"/>
  <c r="AU46" i="2" s="1"/>
  <c r="AV46" i="2" s="1"/>
  <c r="AW46" i="2" s="1"/>
  <c r="AX46" i="2" s="1"/>
  <c r="AY46" i="2" s="1"/>
  <c r="AZ46" i="2" s="1"/>
  <c r="BA46" i="2" s="1"/>
  <c r="K52" i="2" l="1"/>
  <c r="AQ52" i="2"/>
  <c r="AG52" i="2"/>
  <c r="AC52" i="2"/>
  <c r="AK52" i="2"/>
  <c r="U52" i="2"/>
  <c r="Z52" i="2"/>
  <c r="AW52" i="2"/>
  <c r="AH52" i="2"/>
  <c r="BA52" i="2"/>
  <c r="AP52" i="2"/>
  <c r="AM52" i="2"/>
  <c r="S52" i="2"/>
  <c r="AU52" i="2"/>
  <c r="R52" i="2"/>
  <c r="Q52" i="2"/>
  <c r="AA52" i="2"/>
  <c r="W52" i="2"/>
  <c r="AS52" i="2"/>
  <c r="Y52" i="2"/>
  <c r="D53" i="2"/>
  <c r="C53" i="2"/>
  <c r="AL52" i="2"/>
  <c r="AX52" i="2"/>
  <c r="V52" i="2"/>
  <c r="AD52" i="2"/>
  <c r="AO671" i="2"/>
  <c r="V50" i="2"/>
  <c r="AO52" i="2"/>
  <c r="AR677" i="2"/>
  <c r="AS677" i="2" s="1"/>
  <c r="AT677" i="2" s="1"/>
  <c r="AU677" i="2" s="1"/>
  <c r="AV677" i="2" s="1"/>
  <c r="AW677" i="2" s="1"/>
  <c r="AX677" i="2" s="1"/>
  <c r="AY677" i="2" s="1"/>
  <c r="AZ677" i="2" s="1"/>
  <c r="BA677" i="2" s="1"/>
  <c r="M677" i="2" s="1"/>
  <c r="M46" i="2"/>
  <c r="L46" i="2"/>
  <c r="V48" i="2"/>
  <c r="W48" i="2" s="1"/>
  <c r="X48" i="2" s="1"/>
  <c r="X47" i="2"/>
  <c r="Y47" i="2" s="1"/>
  <c r="Z47" i="2" s="1"/>
  <c r="AA47" i="2" s="1"/>
  <c r="AB47" i="2" s="1"/>
  <c r="AC47" i="2" s="1"/>
  <c r="H52" i="2"/>
  <c r="AT52" i="2"/>
  <c r="T52" i="2"/>
  <c r="AJ52" i="2"/>
  <c r="AZ52" i="2"/>
  <c r="W49" i="2"/>
  <c r="O618" i="2"/>
  <c r="AY52" i="2"/>
  <c r="X52" i="2"/>
  <c r="AN52" i="2"/>
  <c r="B54" i="2"/>
  <c r="P53" i="2"/>
  <c r="M53" i="2" s="1"/>
  <c r="I53" i="2"/>
  <c r="J53" i="2"/>
  <c r="S51" i="2"/>
  <c r="Z45" i="2"/>
  <c r="AA45" i="2" s="1"/>
  <c r="AB45" i="2" s="1"/>
  <c r="AC45" i="2" s="1"/>
  <c r="AD45" i="2" s="1"/>
  <c r="AE45" i="2" s="1"/>
  <c r="AF45" i="2" s="1"/>
  <c r="AG45" i="2" s="1"/>
  <c r="AH45" i="2" s="1"/>
  <c r="AI45" i="2" s="1"/>
  <c r="AJ45" i="2" s="1"/>
  <c r="AK45" i="2" s="1"/>
  <c r="AL45" i="2" s="1"/>
  <c r="AM45" i="2" s="1"/>
  <c r="AN45" i="2" s="1"/>
  <c r="AO45" i="2" s="1"/>
  <c r="AP45" i="2" s="1"/>
  <c r="AQ45" i="2" s="1"/>
  <c r="AR45" i="2" s="1"/>
  <c r="AS45" i="2" s="1"/>
  <c r="AT45" i="2" s="1"/>
  <c r="AU45" i="2" s="1"/>
  <c r="AV45" i="2" s="1"/>
  <c r="AW45" i="2" s="1"/>
  <c r="AX45" i="2" s="1"/>
  <c r="AY45" i="2" s="1"/>
  <c r="AZ45" i="2" s="1"/>
  <c r="BA45" i="2" s="1"/>
  <c r="AI52" i="2"/>
  <c r="AE52" i="2"/>
  <c r="AB52" i="2"/>
  <c r="AR52" i="2"/>
  <c r="W50" i="2"/>
  <c r="AF52" i="2"/>
  <c r="AV52" i="2"/>
  <c r="AX53" i="2" l="1"/>
  <c r="S53" i="2"/>
  <c r="V53" i="2"/>
  <c r="AD53" i="2"/>
  <c r="Q53" i="2"/>
  <c r="K53" i="2"/>
  <c r="AQ53" i="2"/>
  <c r="W53" i="2"/>
  <c r="AT53" i="2"/>
  <c r="AC53" i="2"/>
  <c r="AM53" i="2"/>
  <c r="AY53" i="2"/>
  <c r="R53" i="2"/>
  <c r="AL53" i="2"/>
  <c r="Y53" i="2"/>
  <c r="AW53" i="2"/>
  <c r="AS53" i="2"/>
  <c r="AO53" i="2"/>
  <c r="Z53" i="2"/>
  <c r="AP53" i="2"/>
  <c r="AU53" i="2"/>
  <c r="AH53" i="2"/>
  <c r="AA53" i="2"/>
  <c r="D54" i="2"/>
  <c r="C54" i="2"/>
  <c r="AP671" i="2"/>
  <c r="AQ671" i="2" s="1"/>
  <c r="AR671" i="2" s="1"/>
  <c r="AS671" i="2" s="1"/>
  <c r="AT671" i="2" s="1"/>
  <c r="AU671" i="2" s="1"/>
  <c r="AV671" i="2" s="1"/>
  <c r="AW671" i="2" s="1"/>
  <c r="AX671" i="2" s="1"/>
  <c r="AY671" i="2" s="1"/>
  <c r="AZ671" i="2" s="1"/>
  <c r="BA671" i="2" s="1"/>
  <c r="L671" i="2" s="1"/>
  <c r="N671" i="2" s="1"/>
  <c r="O671" i="2" s="1"/>
  <c r="AB53" i="2"/>
  <c r="L677" i="2"/>
  <c r="AI53" i="2"/>
  <c r="AG53" i="2"/>
  <c r="U53" i="2"/>
  <c r="M45" i="2"/>
  <c r="L45" i="2"/>
  <c r="AF53" i="2"/>
  <c r="AV53" i="2"/>
  <c r="L52" i="2"/>
  <c r="T51" i="2"/>
  <c r="AE53" i="2"/>
  <c r="BA53" i="2"/>
  <c r="T53" i="2"/>
  <c r="AJ53" i="2"/>
  <c r="AZ53" i="2"/>
  <c r="AK53" i="2"/>
  <c r="H53" i="2"/>
  <c r="X53" i="2"/>
  <c r="AN53" i="2"/>
  <c r="B55" i="2"/>
  <c r="P54" i="2"/>
  <c r="M54" i="2" s="1"/>
  <c r="I54" i="2"/>
  <c r="J54" i="2"/>
  <c r="X50" i="2"/>
  <c r="N46" i="2"/>
  <c r="O46" i="2" s="1"/>
  <c r="AR53" i="2"/>
  <c r="AD47" i="2"/>
  <c r="AE47" i="2" s="1"/>
  <c r="AF47" i="2" s="1"/>
  <c r="AG47" i="2" s="1"/>
  <c r="AH47" i="2" s="1"/>
  <c r="AI47" i="2" s="1"/>
  <c r="AJ47" i="2" s="1"/>
  <c r="AK47" i="2" s="1"/>
  <c r="AL47" i="2" s="1"/>
  <c r="AM47" i="2" s="1"/>
  <c r="AN47" i="2" s="1"/>
  <c r="AO47" i="2" s="1"/>
  <c r="AP47" i="2" s="1"/>
  <c r="AQ47" i="2" s="1"/>
  <c r="AR47" i="2" s="1"/>
  <c r="AS47" i="2" s="1"/>
  <c r="AT47" i="2" s="1"/>
  <c r="AU47" i="2" s="1"/>
  <c r="AV47" i="2" s="1"/>
  <c r="AW47" i="2" s="1"/>
  <c r="AX47" i="2" s="1"/>
  <c r="AY47" i="2" s="1"/>
  <c r="AZ47" i="2" s="1"/>
  <c r="BA47" i="2" s="1"/>
  <c r="X49" i="2"/>
  <c r="Y48" i="2"/>
  <c r="K54" i="2" l="1"/>
  <c r="D55" i="2"/>
  <c r="C55" i="2"/>
  <c r="AX54" i="2"/>
  <c r="Q54" i="2"/>
  <c r="AK54" i="2"/>
  <c r="AS54" i="2"/>
  <c r="AT54" i="2"/>
  <c r="BA54" i="2"/>
  <c r="AG54" i="2"/>
  <c r="Y54" i="2"/>
  <c r="W54" i="2"/>
  <c r="AL54" i="2"/>
  <c r="AH54" i="2"/>
  <c r="AE54" i="2"/>
  <c r="AM54" i="2"/>
  <c r="M671" i="2"/>
  <c r="N52" i="2"/>
  <c r="O52" i="2" s="1"/>
  <c r="N677" i="2"/>
  <c r="L680" i="2"/>
  <c r="Y50" i="2"/>
  <c r="Z50" i="2" s="1"/>
  <c r="AA50" i="2" s="1"/>
  <c r="AB50" i="2" s="1"/>
  <c r="AC50" i="2" s="1"/>
  <c r="AD50" i="2" s="1"/>
  <c r="AE50" i="2" s="1"/>
  <c r="AF50" i="2" s="1"/>
  <c r="AG50" i="2" s="1"/>
  <c r="AH50" i="2" s="1"/>
  <c r="AI50" i="2" s="1"/>
  <c r="AC54" i="2"/>
  <c r="R54" i="2"/>
  <c r="AD54" i="2"/>
  <c r="Z54" i="2"/>
  <c r="AU54" i="2"/>
  <c r="AY54" i="2"/>
  <c r="AA54" i="2"/>
  <c r="AW54" i="2"/>
  <c r="X54" i="2"/>
  <c r="AN54" i="2"/>
  <c r="B56" i="2"/>
  <c r="P55" i="2"/>
  <c r="M55" i="2" s="1"/>
  <c r="J55" i="2"/>
  <c r="I55" i="2"/>
  <c r="L47" i="2"/>
  <c r="M47" i="2"/>
  <c r="H54" i="2"/>
  <c r="AB54" i="2"/>
  <c r="AR54" i="2"/>
  <c r="Z48" i="2"/>
  <c r="AA48" i="2" s="1"/>
  <c r="AB48" i="2" s="1"/>
  <c r="AC48" i="2" s="1"/>
  <c r="AD48" i="2" s="1"/>
  <c r="AE48" i="2" s="1"/>
  <c r="AF48" i="2" s="1"/>
  <c r="AG48" i="2" s="1"/>
  <c r="AH48" i="2" s="1"/>
  <c r="AI48" i="2" s="1"/>
  <c r="AJ48" i="2" s="1"/>
  <c r="AK48" i="2" s="1"/>
  <c r="AL48" i="2" s="1"/>
  <c r="AM48" i="2" s="1"/>
  <c r="AN48" i="2" s="1"/>
  <c r="AO48" i="2" s="1"/>
  <c r="AP48" i="2" s="1"/>
  <c r="AQ48" i="2" s="1"/>
  <c r="AR48" i="2" s="1"/>
  <c r="AS48" i="2" s="1"/>
  <c r="AT48" i="2" s="1"/>
  <c r="AU48" i="2" s="1"/>
  <c r="AV48" i="2" s="1"/>
  <c r="AW48" i="2" s="1"/>
  <c r="AX48" i="2" s="1"/>
  <c r="AY48" i="2" s="1"/>
  <c r="AZ48" i="2" s="1"/>
  <c r="BA48" i="2" s="1"/>
  <c r="AF54" i="2"/>
  <c r="AV54" i="2"/>
  <c r="U51" i="2"/>
  <c r="N45" i="2"/>
  <c r="Y49" i="2"/>
  <c r="AO54" i="2"/>
  <c r="S54" i="2"/>
  <c r="U54" i="2"/>
  <c r="AP54" i="2"/>
  <c r="AI54" i="2"/>
  <c r="V54" i="2"/>
  <c r="AQ54" i="2"/>
  <c r="T54" i="2"/>
  <c r="AJ54" i="2"/>
  <c r="AZ54" i="2"/>
  <c r="L53" i="2"/>
  <c r="N53" i="2" s="1"/>
  <c r="O53" i="2" s="1"/>
  <c r="K55" i="2" l="1"/>
  <c r="Z55" i="2"/>
  <c r="V55" i="2"/>
  <c r="C56" i="2"/>
  <c r="D56" i="2"/>
  <c r="AQ55" i="2"/>
  <c r="U55" i="2"/>
  <c r="AE55" i="2"/>
  <c r="AD55" i="2"/>
  <c r="AP55" i="2"/>
  <c r="AK55" i="2"/>
  <c r="AA55" i="2"/>
  <c r="AW55" i="2"/>
  <c r="AU55" i="2"/>
  <c r="AY55" i="2"/>
  <c r="S55" i="2"/>
  <c r="AG55" i="2"/>
  <c r="Y55" i="2"/>
  <c r="R55" i="2"/>
  <c r="AI55" i="2"/>
  <c r="Q55" i="2"/>
  <c r="AL55" i="2"/>
  <c r="AT55" i="2"/>
  <c r="W55" i="2"/>
  <c r="AM55" i="2"/>
  <c r="AS55" i="2"/>
  <c r="T55" i="2"/>
  <c r="O677" i="2"/>
  <c r="O680" i="2" s="1"/>
  <c r="N680" i="2"/>
  <c r="L48" i="2"/>
  <c r="M48" i="2"/>
  <c r="N47" i="2"/>
  <c r="O47" i="2" s="1"/>
  <c r="H55" i="2"/>
  <c r="BA55" i="2"/>
  <c r="AH55" i="2"/>
  <c r="AO55" i="2"/>
  <c r="AB55" i="2"/>
  <c r="AR55" i="2"/>
  <c r="O45" i="2"/>
  <c r="V51" i="2"/>
  <c r="L54" i="2"/>
  <c r="N54" i="2" s="1"/>
  <c r="AF55" i="2"/>
  <c r="AV55" i="2"/>
  <c r="AJ50" i="2"/>
  <c r="AK50" i="2" s="1"/>
  <c r="AL50" i="2" s="1"/>
  <c r="AM50" i="2" s="1"/>
  <c r="AN50" i="2" s="1"/>
  <c r="AO50" i="2" s="1"/>
  <c r="AP50" i="2" s="1"/>
  <c r="AQ50" i="2" s="1"/>
  <c r="AR50" i="2" s="1"/>
  <c r="AS50" i="2" s="1"/>
  <c r="AT50" i="2" s="1"/>
  <c r="AU50" i="2" s="1"/>
  <c r="AV50" i="2" s="1"/>
  <c r="AW50" i="2" s="1"/>
  <c r="AX50" i="2" s="1"/>
  <c r="AY50" i="2" s="1"/>
  <c r="AZ50" i="2" s="1"/>
  <c r="BA50" i="2" s="1"/>
  <c r="AJ55" i="2"/>
  <c r="AZ55" i="2"/>
  <c r="Z49" i="2"/>
  <c r="AC55" i="2"/>
  <c r="AX55" i="2"/>
  <c r="X55" i="2"/>
  <c r="AN55" i="2"/>
  <c r="B57" i="2"/>
  <c r="P56" i="2"/>
  <c r="M56" i="2" s="1"/>
  <c r="I56" i="2"/>
  <c r="J56" i="2"/>
  <c r="K56" i="2" l="1"/>
  <c r="AA56" i="2"/>
  <c r="AW56" i="2"/>
  <c r="D57" i="2"/>
  <c r="C57" i="2"/>
  <c r="Z56" i="2"/>
  <c r="AP56" i="2"/>
  <c r="AU56" i="2"/>
  <c r="W56" i="2"/>
  <c r="AH56" i="2"/>
  <c r="AG56" i="2"/>
  <c r="AX56" i="2"/>
  <c r="Q56" i="2"/>
  <c r="U56" i="2"/>
  <c r="AQ56" i="2"/>
  <c r="AE56" i="2"/>
  <c r="V56" i="2"/>
  <c r="AC56" i="2"/>
  <c r="BA56" i="2"/>
  <c r="Y56" i="2"/>
  <c r="R56" i="2"/>
  <c r="AM56" i="2"/>
  <c r="S56" i="2"/>
  <c r="AS56" i="2"/>
  <c r="AL56" i="2"/>
  <c r="AT56" i="2"/>
  <c r="AO56" i="2"/>
  <c r="M50" i="2"/>
  <c r="L50" i="2"/>
  <c r="AI56" i="2"/>
  <c r="AK56" i="2"/>
  <c r="AB56" i="2"/>
  <c r="AR56" i="2"/>
  <c r="AA49" i="2"/>
  <c r="AB49" i="2" s="1"/>
  <c r="AC49" i="2" s="1"/>
  <c r="AD49" i="2" s="1"/>
  <c r="AE49" i="2" s="1"/>
  <c r="AF49" i="2" s="1"/>
  <c r="AG49" i="2" s="1"/>
  <c r="AH49" i="2" s="1"/>
  <c r="AI49" i="2" s="1"/>
  <c r="AJ49" i="2" s="1"/>
  <c r="AK49" i="2" s="1"/>
  <c r="AL49" i="2" s="1"/>
  <c r="AM49" i="2" s="1"/>
  <c r="AN49" i="2" s="1"/>
  <c r="AO49" i="2" s="1"/>
  <c r="AP49" i="2" s="1"/>
  <c r="AQ49" i="2" s="1"/>
  <c r="AR49" i="2" s="1"/>
  <c r="AS49" i="2" s="1"/>
  <c r="AT49" i="2" s="1"/>
  <c r="AU49" i="2" s="1"/>
  <c r="AV49" i="2" s="1"/>
  <c r="AW49" i="2" s="1"/>
  <c r="AX49" i="2" s="1"/>
  <c r="AY49" i="2" s="1"/>
  <c r="AZ49" i="2" s="1"/>
  <c r="BA49" i="2" s="1"/>
  <c r="AF56" i="2"/>
  <c r="AV56" i="2"/>
  <c r="O54" i="2"/>
  <c r="W51" i="2"/>
  <c r="X51" i="2" s="1"/>
  <c r="Y51" i="2" s="1"/>
  <c r="Z51" i="2" s="1"/>
  <c r="AA51" i="2" s="1"/>
  <c r="AB51" i="2" s="1"/>
  <c r="AC51" i="2" s="1"/>
  <c r="AD51" i="2" s="1"/>
  <c r="AE51" i="2" s="1"/>
  <c r="AF51" i="2" s="1"/>
  <c r="AG51" i="2" s="1"/>
  <c r="AH51" i="2" s="1"/>
  <c r="AI51" i="2" s="1"/>
  <c r="AJ51" i="2" s="1"/>
  <c r="AK51" i="2" s="1"/>
  <c r="AL51" i="2" s="1"/>
  <c r="AM51" i="2" s="1"/>
  <c r="AN51" i="2" s="1"/>
  <c r="AO51" i="2" s="1"/>
  <c r="AP51" i="2" s="1"/>
  <c r="AQ51" i="2" s="1"/>
  <c r="AR51" i="2" s="1"/>
  <c r="AS51" i="2" s="1"/>
  <c r="AT51" i="2" s="1"/>
  <c r="AU51" i="2" s="1"/>
  <c r="AV51" i="2" s="1"/>
  <c r="AW51" i="2" s="1"/>
  <c r="AX51" i="2" s="1"/>
  <c r="AY51" i="2" s="1"/>
  <c r="AZ51" i="2" s="1"/>
  <c r="BA51" i="2" s="1"/>
  <c r="T56" i="2"/>
  <c r="AJ56" i="2"/>
  <c r="AZ56" i="2"/>
  <c r="L55" i="2"/>
  <c r="H56" i="2"/>
  <c r="AD56" i="2"/>
  <c r="AY56" i="2"/>
  <c r="X56" i="2"/>
  <c r="AN56" i="2"/>
  <c r="B58" i="2"/>
  <c r="P57" i="2"/>
  <c r="M57" i="2" s="1"/>
  <c r="J57" i="2"/>
  <c r="I57" i="2"/>
  <c r="N48" i="2"/>
  <c r="O48" i="2" s="1"/>
  <c r="K57" i="2" l="1"/>
  <c r="D58" i="2"/>
  <c r="C58" i="2"/>
  <c r="AM57" i="2"/>
  <c r="AH57" i="2"/>
  <c r="AU57" i="2"/>
  <c r="AC57" i="2"/>
  <c r="AI57" i="2"/>
  <c r="Z57" i="2"/>
  <c r="M49" i="2"/>
  <c r="L49" i="2"/>
  <c r="M51" i="2"/>
  <c r="L51" i="2"/>
  <c r="AX57" i="2"/>
  <c r="S57" i="2"/>
  <c r="AO57" i="2"/>
  <c r="AG57" i="2"/>
  <c r="AS57" i="2"/>
  <c r="AE57" i="2"/>
  <c r="BA57" i="2"/>
  <c r="T57" i="2"/>
  <c r="AJ57" i="2"/>
  <c r="AZ57" i="2"/>
  <c r="AA57" i="2"/>
  <c r="Q57" i="2"/>
  <c r="Y57" i="2"/>
  <c r="AT57" i="2"/>
  <c r="AW57" i="2"/>
  <c r="AK57" i="2"/>
  <c r="V57" i="2"/>
  <c r="X57" i="2"/>
  <c r="AN57" i="2"/>
  <c r="B59" i="2"/>
  <c r="P58" i="2"/>
  <c r="M58" i="2" s="1"/>
  <c r="J58" i="2"/>
  <c r="I58" i="2"/>
  <c r="N55" i="2"/>
  <c r="O55" i="2" s="1"/>
  <c r="N50" i="2"/>
  <c r="O50" i="2" s="1"/>
  <c r="W57" i="2"/>
  <c r="AL57" i="2"/>
  <c r="AD57" i="2"/>
  <c r="AY57" i="2"/>
  <c r="R57" i="2"/>
  <c r="U57" i="2"/>
  <c r="AP57" i="2"/>
  <c r="AQ57" i="2"/>
  <c r="AB57" i="2"/>
  <c r="AR57" i="2"/>
  <c r="L56" i="2"/>
  <c r="N56" i="2" s="1"/>
  <c r="H57" i="2"/>
  <c r="AF57" i="2"/>
  <c r="AV57" i="2"/>
  <c r="R58" i="2" l="1"/>
  <c r="K58" i="2"/>
  <c r="AI58" i="2"/>
  <c r="AX58" i="2"/>
  <c r="Y58" i="2"/>
  <c r="U58" i="2"/>
  <c r="W58" i="2"/>
  <c r="AM58" i="2"/>
  <c r="AT58" i="2"/>
  <c r="AY58" i="2"/>
  <c r="S58" i="2"/>
  <c r="AU58" i="2"/>
  <c r="AK58" i="2"/>
  <c r="V58" i="2"/>
  <c r="AC58" i="2"/>
  <c r="D59" i="2"/>
  <c r="C59" i="2"/>
  <c r="Z58" i="2"/>
  <c r="AO58" i="2"/>
  <c r="AP58" i="2"/>
  <c r="AD58" i="2"/>
  <c r="AQ58" i="2"/>
  <c r="AE58" i="2"/>
  <c r="BA58" i="2"/>
  <c r="AG58" i="2"/>
  <c r="Q58" i="2"/>
  <c r="AL58" i="2"/>
  <c r="AS58" i="2"/>
  <c r="AB58" i="2"/>
  <c r="AR58" i="2"/>
  <c r="AF58" i="2"/>
  <c r="AV58" i="2"/>
  <c r="O56" i="2"/>
  <c r="AA58" i="2"/>
  <c r="AW58" i="2"/>
  <c r="T58" i="2"/>
  <c r="AJ58" i="2"/>
  <c r="AZ58" i="2"/>
  <c r="N49" i="2"/>
  <c r="O49" i="2" s="1"/>
  <c r="L57" i="2"/>
  <c r="H58" i="2"/>
  <c r="AH58" i="2"/>
  <c r="X58" i="2"/>
  <c r="AN58" i="2"/>
  <c r="B60" i="2"/>
  <c r="P59" i="2"/>
  <c r="M59" i="2" s="1"/>
  <c r="I59" i="2"/>
  <c r="J59" i="2"/>
  <c r="N51" i="2"/>
  <c r="O51" i="2" s="1"/>
  <c r="K59" i="2" l="1"/>
  <c r="Q59" i="2"/>
  <c r="AY59" i="2"/>
  <c r="AE59" i="2"/>
  <c r="AU59" i="2"/>
  <c r="C60" i="2"/>
  <c r="D60" i="2"/>
  <c r="AT59" i="2"/>
  <c r="U59" i="2"/>
  <c r="V59" i="2"/>
  <c r="S59" i="2"/>
  <c r="AP59" i="2"/>
  <c r="AQ59" i="2"/>
  <c r="AS59" i="2"/>
  <c r="AL59" i="2"/>
  <c r="AK59" i="2"/>
  <c r="AI59" i="2"/>
  <c r="AA59" i="2"/>
  <c r="AW59" i="2"/>
  <c r="R59" i="2"/>
  <c r="AG59" i="2"/>
  <c r="Y59" i="2"/>
  <c r="W59" i="2"/>
  <c r="Z59" i="2"/>
  <c r="AC59" i="2"/>
  <c r="AM59" i="2"/>
  <c r="AO59" i="2"/>
  <c r="AB59" i="2"/>
  <c r="AR59" i="2"/>
  <c r="AF59" i="2"/>
  <c r="AV59" i="2"/>
  <c r="AX59" i="2"/>
  <c r="T59" i="2"/>
  <c r="AJ59" i="2"/>
  <c r="AZ59" i="2"/>
  <c r="N57" i="2"/>
  <c r="O57" i="2" s="1"/>
  <c r="H59" i="2"/>
  <c r="BA59" i="2"/>
  <c r="AH59" i="2"/>
  <c r="AD59" i="2"/>
  <c r="X59" i="2"/>
  <c r="AN59" i="2"/>
  <c r="B61" i="2"/>
  <c r="P60" i="2"/>
  <c r="M60" i="2" s="1"/>
  <c r="J60" i="2"/>
  <c r="I60" i="2"/>
  <c r="L58" i="2"/>
  <c r="N58" i="2" s="1"/>
  <c r="O58" i="2" s="1"/>
  <c r="K60" i="2" l="1"/>
  <c r="Q60" i="2"/>
  <c r="AP60" i="2"/>
  <c r="Z60" i="2"/>
  <c r="AE60" i="2"/>
  <c r="AW60" i="2"/>
  <c r="AH60" i="2"/>
  <c r="AU60" i="2"/>
  <c r="AQ60" i="2"/>
  <c r="AX60" i="2"/>
  <c r="D61" i="2"/>
  <c r="C61" i="2"/>
  <c r="AL60" i="2"/>
  <c r="AC60" i="2"/>
  <c r="AO60" i="2"/>
  <c r="V60" i="2"/>
  <c r="R60" i="2"/>
  <c r="AM60" i="2"/>
  <c r="S60" i="2"/>
  <c r="AG60" i="2"/>
  <c r="W60" i="2"/>
  <c r="AS60" i="2"/>
  <c r="AD60" i="2"/>
  <c r="U60" i="2"/>
  <c r="Y60" i="2"/>
  <c r="AT60" i="2"/>
  <c r="X60" i="2"/>
  <c r="AK60" i="2"/>
  <c r="AB60" i="2"/>
  <c r="AA60" i="2"/>
  <c r="AI60" i="2"/>
  <c r="BA60" i="2"/>
  <c r="AN60" i="2"/>
  <c r="B62" i="2"/>
  <c r="P61" i="2"/>
  <c r="M61" i="2" s="1"/>
  <c r="I61" i="2"/>
  <c r="J61" i="2"/>
  <c r="AR60" i="2"/>
  <c r="H60" i="2"/>
  <c r="AF60" i="2"/>
  <c r="AV60" i="2"/>
  <c r="L59" i="2"/>
  <c r="N59" i="2" s="1"/>
  <c r="AY60" i="2"/>
  <c r="T60" i="2"/>
  <c r="AJ60" i="2"/>
  <c r="AZ60" i="2"/>
  <c r="K61" i="2" l="1"/>
  <c r="AX61" i="2"/>
  <c r="S61" i="2"/>
  <c r="D62" i="2"/>
  <c r="C62" i="2"/>
  <c r="AG61" i="2"/>
  <c r="AO61" i="2"/>
  <c r="AA61" i="2"/>
  <c r="AQ61" i="2"/>
  <c r="R61" i="2"/>
  <c r="W61" i="2"/>
  <c r="Y61" i="2"/>
  <c r="AT61" i="2"/>
  <c r="AW61" i="2"/>
  <c r="U61" i="2"/>
  <c r="AM61" i="2"/>
  <c r="AH61" i="2"/>
  <c r="AD61" i="2"/>
  <c r="AY61" i="2"/>
  <c r="AC61" i="2"/>
  <c r="Z61" i="2"/>
  <c r="AI61" i="2"/>
  <c r="V61" i="2"/>
  <c r="AS61" i="2"/>
  <c r="AE61" i="2"/>
  <c r="AK61" i="2"/>
  <c r="T61" i="2"/>
  <c r="AP61" i="2"/>
  <c r="AU61" i="2"/>
  <c r="O59" i="2"/>
  <c r="BA61" i="2"/>
  <c r="Q61" i="2"/>
  <c r="AL61" i="2"/>
  <c r="AB61" i="2"/>
  <c r="AR61" i="2"/>
  <c r="AF61" i="2"/>
  <c r="AV61" i="2"/>
  <c r="L60" i="2"/>
  <c r="H61" i="2"/>
  <c r="AJ61" i="2"/>
  <c r="AZ61" i="2"/>
  <c r="X61" i="2"/>
  <c r="AN61" i="2"/>
  <c r="B63" i="2"/>
  <c r="P62" i="2"/>
  <c r="M62" i="2" s="1"/>
  <c r="I62" i="2"/>
  <c r="J62" i="2"/>
  <c r="K62" i="2" l="1"/>
  <c r="AS62" i="2"/>
  <c r="AO62" i="2"/>
  <c r="AD62" i="2"/>
  <c r="W62" i="2"/>
  <c r="R62" i="2"/>
  <c r="AI62" i="2"/>
  <c r="AU62" i="2"/>
  <c r="AM62" i="2"/>
  <c r="D63" i="2"/>
  <c r="C63" i="2"/>
  <c r="Z62" i="2"/>
  <c r="S62" i="2"/>
  <c r="U62" i="2"/>
  <c r="Y62" i="2"/>
  <c r="AT62" i="2"/>
  <c r="AK62" i="2"/>
  <c r="AG62" i="2"/>
  <c r="AE62" i="2"/>
  <c r="BA62" i="2"/>
  <c r="Q62" i="2"/>
  <c r="AP62" i="2"/>
  <c r="AY62" i="2"/>
  <c r="AL62" i="2"/>
  <c r="V62" i="2"/>
  <c r="AQ62" i="2"/>
  <c r="AA62" i="2"/>
  <c r="AW62" i="2"/>
  <c r="AC62" i="2"/>
  <c r="H62" i="2"/>
  <c r="T62" i="2"/>
  <c r="AJ62" i="2"/>
  <c r="AZ62" i="2"/>
  <c r="AH62" i="2"/>
  <c r="X62" i="2"/>
  <c r="AN62" i="2"/>
  <c r="B64" i="2"/>
  <c r="P63" i="2"/>
  <c r="M63" i="2" s="1"/>
  <c r="I63" i="2"/>
  <c r="J63" i="2"/>
  <c r="N60" i="2"/>
  <c r="O60" i="2" s="1"/>
  <c r="AX62" i="2"/>
  <c r="AB62" i="2"/>
  <c r="AR62" i="2"/>
  <c r="L61" i="2"/>
  <c r="AF62" i="2"/>
  <c r="AV62" i="2"/>
  <c r="K63" i="2" l="1"/>
  <c r="AP63" i="2"/>
  <c r="C64" i="2"/>
  <c r="D64" i="2"/>
  <c r="AQ63" i="2"/>
  <c r="V63" i="2"/>
  <c r="AX63" i="2"/>
  <c r="U63" i="2"/>
  <c r="AI63" i="2"/>
  <c r="AC63" i="2"/>
  <c r="AF63" i="2"/>
  <c r="AV63" i="2"/>
  <c r="AK63" i="2"/>
  <c r="AA63" i="2"/>
  <c r="AW63" i="2"/>
  <c r="BA63" i="2"/>
  <c r="AH63" i="2"/>
  <c r="S63" i="2"/>
  <c r="AO63" i="2"/>
  <c r="T63" i="2"/>
  <c r="AJ63" i="2"/>
  <c r="AZ63" i="2"/>
  <c r="L62" i="2"/>
  <c r="N62" i="2" s="1"/>
  <c r="N61" i="2"/>
  <c r="O61" i="2" s="1"/>
  <c r="AE63" i="2"/>
  <c r="H63" i="2"/>
  <c r="AG63" i="2"/>
  <c r="R63" i="2"/>
  <c r="AM63" i="2"/>
  <c r="Y63" i="2"/>
  <c r="AT63" i="2"/>
  <c r="X63" i="2"/>
  <c r="AN63" i="2"/>
  <c r="B65" i="2"/>
  <c r="P64" i="2"/>
  <c r="M64" i="2" s="1"/>
  <c r="J64" i="2"/>
  <c r="I64" i="2"/>
  <c r="AU63" i="2"/>
  <c r="Q63" i="2"/>
  <c r="AL63" i="2"/>
  <c r="Z63" i="2"/>
  <c r="W63" i="2"/>
  <c r="AS63" i="2"/>
  <c r="AD63" i="2"/>
  <c r="AY63" i="2"/>
  <c r="AB63" i="2"/>
  <c r="AR63" i="2"/>
  <c r="K64" i="2" l="1"/>
  <c r="AL64" i="2"/>
  <c r="AC64" i="2"/>
  <c r="AA64" i="2"/>
  <c r="R64" i="2"/>
  <c r="V64" i="2"/>
  <c r="AQ64" i="2"/>
  <c r="AH64" i="2"/>
  <c r="U64" i="2"/>
  <c r="W64" i="2"/>
  <c r="Z64" i="2"/>
  <c r="D65" i="2"/>
  <c r="C65" i="2"/>
  <c r="AM64" i="2"/>
  <c r="S64" i="2"/>
  <c r="AS64" i="2"/>
  <c r="Y64" i="2"/>
  <c r="AT64" i="2"/>
  <c r="Q64" i="2"/>
  <c r="AX64" i="2"/>
  <c r="AW64" i="2"/>
  <c r="AO64" i="2"/>
  <c r="AK64" i="2"/>
  <c r="AG64" i="2"/>
  <c r="AD64" i="2"/>
  <c r="AE64" i="2"/>
  <c r="H64" i="2"/>
  <c r="AI64" i="2"/>
  <c r="AU64" i="2"/>
  <c r="X64" i="2"/>
  <c r="AN64" i="2"/>
  <c r="B66" i="2"/>
  <c r="P65" i="2"/>
  <c r="M65" i="2" s="1"/>
  <c r="I65" i="2"/>
  <c r="J65" i="2"/>
  <c r="L63" i="2"/>
  <c r="BA64" i="2"/>
  <c r="AB64" i="2"/>
  <c r="AR64" i="2"/>
  <c r="O62" i="2"/>
  <c r="AF64" i="2"/>
  <c r="AV64" i="2"/>
  <c r="AY64" i="2"/>
  <c r="AP64" i="2"/>
  <c r="T64" i="2"/>
  <c r="AJ64" i="2"/>
  <c r="AZ64" i="2"/>
  <c r="K65" i="2" l="1"/>
  <c r="AM65" i="2"/>
  <c r="AY65" i="2"/>
  <c r="AD65" i="2"/>
  <c r="AE65" i="2"/>
  <c r="S65" i="2"/>
  <c r="AH65" i="2"/>
  <c r="AC65" i="2"/>
  <c r="AO65" i="2"/>
  <c r="AP65" i="2"/>
  <c r="U65" i="2"/>
  <c r="W65" i="2"/>
  <c r="Y65" i="2"/>
  <c r="AT65" i="2"/>
  <c r="AX65" i="2"/>
  <c r="AK65" i="2"/>
  <c r="V65" i="2"/>
  <c r="AS65" i="2"/>
  <c r="AI65" i="2"/>
  <c r="R65" i="2"/>
  <c r="Z65" i="2"/>
  <c r="AU65" i="2"/>
  <c r="D66" i="2"/>
  <c r="C66" i="2"/>
  <c r="BA65" i="2"/>
  <c r="Q65" i="2"/>
  <c r="AG65" i="2"/>
  <c r="AW65" i="2"/>
  <c r="AA65" i="2"/>
  <c r="N63" i="2"/>
  <c r="O63" i="2" s="1"/>
  <c r="AL65" i="2"/>
  <c r="T65" i="2"/>
  <c r="AJ65" i="2"/>
  <c r="AZ65" i="2"/>
  <c r="AQ65" i="2"/>
  <c r="X65" i="2"/>
  <c r="AN65" i="2"/>
  <c r="B67" i="2"/>
  <c r="P66" i="2"/>
  <c r="M66" i="2" s="1"/>
  <c r="J66" i="2"/>
  <c r="I66" i="2"/>
  <c r="AB65" i="2"/>
  <c r="AR65" i="2"/>
  <c r="L64" i="2"/>
  <c r="N64" i="2" s="1"/>
  <c r="H65" i="2"/>
  <c r="AF65" i="2"/>
  <c r="AV65" i="2"/>
  <c r="K66" i="2" l="1"/>
  <c r="S66" i="2"/>
  <c r="U66" i="2"/>
  <c r="AA66" i="2"/>
  <c r="D67" i="2"/>
  <c r="C67" i="2"/>
  <c r="AP66" i="2"/>
  <c r="AW66" i="2"/>
  <c r="AT66" i="2"/>
  <c r="AH66" i="2"/>
  <c r="AI66" i="2"/>
  <c r="AO66" i="2"/>
  <c r="AE66" i="2"/>
  <c r="BA66" i="2"/>
  <c r="Q66" i="2"/>
  <c r="AL66" i="2"/>
  <c r="W66" i="2"/>
  <c r="AS66" i="2"/>
  <c r="AY66" i="2"/>
  <c r="AK66" i="2"/>
  <c r="Y66" i="2"/>
  <c r="V66" i="2"/>
  <c r="AQ66" i="2"/>
  <c r="AC66" i="2"/>
  <c r="AX66" i="2"/>
  <c r="AD66" i="2"/>
  <c r="Z66" i="2"/>
  <c r="AU66" i="2"/>
  <c r="AG66" i="2"/>
  <c r="R66" i="2"/>
  <c r="AM66" i="2"/>
  <c r="L65" i="2"/>
  <c r="O64" i="2"/>
  <c r="H66" i="2"/>
  <c r="T66" i="2"/>
  <c r="AJ66" i="2"/>
  <c r="AZ66" i="2"/>
  <c r="X66" i="2"/>
  <c r="AN66" i="2"/>
  <c r="B68" i="2"/>
  <c r="P67" i="2"/>
  <c r="M67" i="2" s="1"/>
  <c r="I67" i="2"/>
  <c r="J67" i="2"/>
  <c r="AB66" i="2"/>
  <c r="AR66" i="2"/>
  <c r="AF66" i="2"/>
  <c r="AV66" i="2"/>
  <c r="K67" i="2" l="1"/>
  <c r="AU67" i="2"/>
  <c r="AA67" i="2"/>
  <c r="AW67" i="2"/>
  <c r="U67" i="2"/>
  <c r="R67" i="2"/>
  <c r="C68" i="2"/>
  <c r="D68" i="2"/>
  <c r="AP67" i="2"/>
  <c r="AG67" i="2"/>
  <c r="Z67" i="2"/>
  <c r="W67" i="2"/>
  <c r="AD67" i="2"/>
  <c r="AX67" i="2"/>
  <c r="Q67" i="2"/>
  <c r="AL67" i="2"/>
  <c r="AK67" i="2"/>
  <c r="AC67" i="2"/>
  <c r="AI67" i="2"/>
  <c r="AE67" i="2"/>
  <c r="V67" i="2"/>
  <c r="AQ67" i="2"/>
  <c r="BA67" i="2"/>
  <c r="AS67" i="2"/>
  <c r="AY67" i="2"/>
  <c r="AM67" i="2"/>
  <c r="Y67" i="2"/>
  <c r="AT67" i="2"/>
  <c r="X67" i="2"/>
  <c r="AN67" i="2"/>
  <c r="B69" i="2"/>
  <c r="P68" i="2"/>
  <c r="M68" i="2" s="1"/>
  <c r="I68" i="2"/>
  <c r="J68" i="2"/>
  <c r="H67" i="2"/>
  <c r="AB67" i="2"/>
  <c r="AR67" i="2"/>
  <c r="AF67" i="2"/>
  <c r="AV67" i="2"/>
  <c r="L66" i="2"/>
  <c r="N66" i="2" s="1"/>
  <c r="N65" i="2"/>
  <c r="O65" i="2" s="1"/>
  <c r="AH67" i="2"/>
  <c r="S67" i="2"/>
  <c r="AO67" i="2"/>
  <c r="T67" i="2"/>
  <c r="AJ67" i="2"/>
  <c r="AZ67" i="2"/>
  <c r="K68" i="2" l="1"/>
  <c r="AW68" i="2"/>
  <c r="AA68" i="2"/>
  <c r="Q68" i="2"/>
  <c r="W68" i="2"/>
  <c r="V68" i="2"/>
  <c r="AH68" i="2"/>
  <c r="AG68" i="2"/>
  <c r="AC68" i="2"/>
  <c r="AD68" i="2"/>
  <c r="AL68" i="2"/>
  <c r="R68" i="2"/>
  <c r="AX68" i="2"/>
  <c r="Y68" i="2"/>
  <c r="AM68" i="2"/>
  <c r="AQ68" i="2"/>
  <c r="AI68" i="2"/>
  <c r="AS68" i="2"/>
  <c r="S68" i="2"/>
  <c r="AO68" i="2"/>
  <c r="AT68" i="2"/>
  <c r="AY68" i="2"/>
  <c r="D69" i="2"/>
  <c r="C69" i="2"/>
  <c r="Z68" i="2"/>
  <c r="U68" i="2"/>
  <c r="AE68" i="2"/>
  <c r="BA68" i="2"/>
  <c r="AK68" i="2"/>
  <c r="O66" i="2"/>
  <c r="AP68" i="2"/>
  <c r="T68" i="2"/>
  <c r="AJ68" i="2"/>
  <c r="AZ68" i="2"/>
  <c r="L67" i="2"/>
  <c r="N67" i="2" s="1"/>
  <c r="H68" i="2"/>
  <c r="AU68" i="2"/>
  <c r="X68" i="2"/>
  <c r="AN68" i="2"/>
  <c r="B70" i="2"/>
  <c r="P69" i="2"/>
  <c r="M69" i="2" s="1"/>
  <c r="I69" i="2"/>
  <c r="J69" i="2"/>
  <c r="AB68" i="2"/>
  <c r="AR68" i="2"/>
  <c r="AF68" i="2"/>
  <c r="AV68" i="2"/>
  <c r="K69" i="2" l="1"/>
  <c r="AG69" i="2"/>
  <c r="AS69" i="2"/>
  <c r="D70" i="2"/>
  <c r="C70" i="2"/>
  <c r="AT69" i="2"/>
  <c r="AK69" i="2"/>
  <c r="AV69" i="2"/>
  <c r="Y69" i="2"/>
  <c r="W69" i="2"/>
  <c r="AD69" i="2"/>
  <c r="AY69" i="2"/>
  <c r="U69" i="2"/>
  <c r="AP69" i="2"/>
  <c r="Q69" i="2"/>
  <c r="AL69" i="2"/>
  <c r="T69" i="2"/>
  <c r="AJ69" i="2"/>
  <c r="AZ69" i="2"/>
  <c r="O67" i="2"/>
  <c r="AF69" i="2"/>
  <c r="R69" i="2"/>
  <c r="AM69" i="2"/>
  <c r="AI69" i="2"/>
  <c r="AC69" i="2"/>
  <c r="Z69" i="2"/>
  <c r="AU69" i="2"/>
  <c r="V69" i="2"/>
  <c r="AQ69" i="2"/>
  <c r="X69" i="2"/>
  <c r="AN69" i="2"/>
  <c r="B71" i="2"/>
  <c r="P70" i="2"/>
  <c r="M70" i="2" s="1"/>
  <c r="J70" i="2"/>
  <c r="I70" i="2"/>
  <c r="L68" i="2"/>
  <c r="H69" i="2"/>
  <c r="AH69" i="2"/>
  <c r="S69" i="2"/>
  <c r="AO69" i="2"/>
  <c r="AX69" i="2"/>
  <c r="AE69" i="2"/>
  <c r="BA69" i="2"/>
  <c r="AA69" i="2"/>
  <c r="AW69" i="2"/>
  <c r="AB69" i="2"/>
  <c r="AR69" i="2"/>
  <c r="K70" i="2" l="1"/>
  <c r="AQ70" i="2"/>
  <c r="AO70" i="2"/>
  <c r="AK70" i="2"/>
  <c r="D71" i="2"/>
  <c r="C71" i="2"/>
  <c r="AD70" i="2"/>
  <c r="AC70" i="2"/>
  <c r="V70" i="2"/>
  <c r="U70" i="2"/>
  <c r="AY70" i="2"/>
  <c r="AH70" i="2"/>
  <c r="S70" i="2"/>
  <c r="AP70" i="2"/>
  <c r="AA70" i="2"/>
  <c r="AW70" i="2"/>
  <c r="T70" i="2"/>
  <c r="AI70" i="2"/>
  <c r="Z70" i="2"/>
  <c r="AU70" i="2"/>
  <c r="AG70" i="2"/>
  <c r="R70" i="2"/>
  <c r="AM70" i="2"/>
  <c r="AJ70" i="2"/>
  <c r="Y70" i="2"/>
  <c r="AT70" i="2"/>
  <c r="AE70" i="2"/>
  <c r="BA70" i="2"/>
  <c r="Q70" i="2"/>
  <c r="AL70" i="2"/>
  <c r="W70" i="2"/>
  <c r="AX70" i="2"/>
  <c r="AZ70" i="2"/>
  <c r="N68" i="2"/>
  <c r="O68" i="2" s="1"/>
  <c r="AS70" i="2"/>
  <c r="X70" i="2"/>
  <c r="AN70" i="2"/>
  <c r="B72" i="2"/>
  <c r="P71" i="2"/>
  <c r="M71" i="2" s="1"/>
  <c r="J71" i="2"/>
  <c r="I71" i="2"/>
  <c r="L69" i="2"/>
  <c r="AB70" i="2"/>
  <c r="AR70" i="2"/>
  <c r="H70" i="2"/>
  <c r="AF70" i="2"/>
  <c r="AV70" i="2"/>
  <c r="K71" i="2" l="1"/>
  <c r="C72" i="2"/>
  <c r="D72" i="2"/>
  <c r="AL71" i="2"/>
  <c r="AP71" i="2"/>
  <c r="AK71" i="2"/>
  <c r="Q71" i="2"/>
  <c r="AX71" i="2"/>
  <c r="AI71" i="2"/>
  <c r="AC71" i="2"/>
  <c r="L70" i="2"/>
  <c r="N70" i="2" s="1"/>
  <c r="AE71" i="2"/>
  <c r="V71" i="2"/>
  <c r="AQ71" i="2"/>
  <c r="BA71" i="2"/>
  <c r="AH71" i="2"/>
  <c r="S71" i="2"/>
  <c r="AO71" i="2"/>
  <c r="T71" i="2"/>
  <c r="AJ71" i="2"/>
  <c r="AZ71" i="2"/>
  <c r="AV71" i="2"/>
  <c r="N69" i="2"/>
  <c r="O69" i="2" s="1"/>
  <c r="AU71" i="2"/>
  <c r="AA71" i="2"/>
  <c r="AW71" i="2"/>
  <c r="R71" i="2"/>
  <c r="AM71" i="2"/>
  <c r="Y71" i="2"/>
  <c r="AT71" i="2"/>
  <c r="X71" i="2"/>
  <c r="AN71" i="2"/>
  <c r="B73" i="2"/>
  <c r="P72" i="2"/>
  <c r="M72" i="2" s="1"/>
  <c r="I72" i="2"/>
  <c r="J72" i="2"/>
  <c r="AF71" i="2"/>
  <c r="U71" i="2"/>
  <c r="H71" i="2"/>
  <c r="AG71" i="2"/>
  <c r="Z71" i="2"/>
  <c r="W71" i="2"/>
  <c r="AS71" i="2"/>
  <c r="AD71" i="2"/>
  <c r="AY71" i="2"/>
  <c r="AB71" i="2"/>
  <c r="AR71" i="2"/>
  <c r="K72" i="2" l="1"/>
  <c r="D73" i="2"/>
  <c r="C73" i="2"/>
  <c r="AW72" i="2"/>
  <c r="AG72" i="2"/>
  <c r="AH72" i="2"/>
  <c r="AK72" i="2"/>
  <c r="AL72" i="2"/>
  <c r="AI72" i="2"/>
  <c r="L71" i="2"/>
  <c r="N71" i="2" s="1"/>
  <c r="AF72" i="2"/>
  <c r="AV72" i="2"/>
  <c r="Q72" i="2"/>
  <c r="R72" i="2"/>
  <c r="AM72" i="2"/>
  <c r="S72" i="2"/>
  <c r="AO72" i="2"/>
  <c r="U72" i="2"/>
  <c r="AP72" i="2"/>
  <c r="T72" i="2"/>
  <c r="AJ72" i="2"/>
  <c r="AZ72" i="2"/>
  <c r="O70" i="2"/>
  <c r="H72" i="2"/>
  <c r="AA72" i="2"/>
  <c r="W72" i="2"/>
  <c r="AS72" i="2"/>
  <c r="Y72" i="2"/>
  <c r="AT72" i="2"/>
  <c r="Z72" i="2"/>
  <c r="AU72" i="2"/>
  <c r="X72" i="2"/>
  <c r="AN72" i="2"/>
  <c r="B74" i="2"/>
  <c r="P73" i="2"/>
  <c r="M73" i="2" s="1"/>
  <c r="J73" i="2"/>
  <c r="I73" i="2"/>
  <c r="V72" i="2"/>
  <c r="AQ72" i="2"/>
  <c r="AC72" i="2"/>
  <c r="AX72" i="2"/>
  <c r="AD72" i="2"/>
  <c r="AY72" i="2"/>
  <c r="AE72" i="2"/>
  <c r="BA72" i="2"/>
  <c r="AB72" i="2"/>
  <c r="AR72" i="2"/>
  <c r="K73" i="2" l="1"/>
  <c r="AI73" i="2"/>
  <c r="Z73" i="2"/>
  <c r="AM73" i="2"/>
  <c r="Y73" i="2"/>
  <c r="W73" i="2"/>
  <c r="AT73" i="2"/>
  <c r="AX73" i="2"/>
  <c r="AC73" i="2"/>
  <c r="R73" i="2"/>
  <c r="AH73" i="2"/>
  <c r="AD73" i="2"/>
  <c r="AY73" i="2"/>
  <c r="AU73" i="2"/>
  <c r="AS73" i="2"/>
  <c r="S73" i="2"/>
  <c r="AO73" i="2"/>
  <c r="U73" i="2"/>
  <c r="D74" i="2"/>
  <c r="C74" i="2"/>
  <c r="AK73" i="2"/>
  <c r="AG73" i="2"/>
  <c r="AE73" i="2"/>
  <c r="BA73" i="2"/>
  <c r="AL73" i="2"/>
  <c r="AP73" i="2"/>
  <c r="Q73" i="2"/>
  <c r="V73" i="2"/>
  <c r="AQ73" i="2"/>
  <c r="X73" i="2"/>
  <c r="AN73" i="2"/>
  <c r="B75" i="2"/>
  <c r="P74" i="2"/>
  <c r="M74" i="2" s="1"/>
  <c r="I74" i="2"/>
  <c r="J74" i="2"/>
  <c r="AA73" i="2"/>
  <c r="AW73" i="2"/>
  <c r="AB73" i="2"/>
  <c r="AR73" i="2"/>
  <c r="H73" i="2"/>
  <c r="AF73" i="2"/>
  <c r="AV73" i="2"/>
  <c r="L72" i="2"/>
  <c r="N72" i="2" s="1"/>
  <c r="O71" i="2"/>
  <c r="T73" i="2"/>
  <c r="AJ73" i="2"/>
  <c r="AZ73" i="2"/>
  <c r="K74" i="2" l="1"/>
  <c r="U74" i="2"/>
  <c r="AT74" i="2"/>
  <c r="V74" i="2"/>
  <c r="AE74" i="2"/>
  <c r="AO74" i="2"/>
  <c r="AP74" i="2"/>
  <c r="AG74" i="2"/>
  <c r="AI74" i="2"/>
  <c r="BA74" i="2"/>
  <c r="AW74" i="2"/>
  <c r="S74" i="2"/>
  <c r="Z74" i="2"/>
  <c r="AU74" i="2"/>
  <c r="Q74" i="2"/>
  <c r="AQ74" i="2"/>
  <c r="Y74" i="2"/>
  <c r="AY74" i="2"/>
  <c r="AK74" i="2"/>
  <c r="AD74" i="2"/>
  <c r="AA74" i="2"/>
  <c r="AM74" i="2"/>
  <c r="D75" i="2"/>
  <c r="C75" i="2"/>
  <c r="R74" i="2"/>
  <c r="AH74" i="2"/>
  <c r="O72" i="2"/>
  <c r="AC74" i="2"/>
  <c r="AX74" i="2"/>
  <c r="AB74" i="2"/>
  <c r="AR74" i="2"/>
  <c r="AF74" i="2"/>
  <c r="AV74" i="2"/>
  <c r="H74" i="2"/>
  <c r="T74" i="2"/>
  <c r="AJ74" i="2"/>
  <c r="AZ74" i="2"/>
  <c r="L73" i="2"/>
  <c r="AL74" i="2"/>
  <c r="W74" i="2"/>
  <c r="AS74" i="2"/>
  <c r="X74" i="2"/>
  <c r="AN74" i="2"/>
  <c r="B76" i="2"/>
  <c r="P75" i="2"/>
  <c r="M75" i="2" s="1"/>
  <c r="I75" i="2"/>
  <c r="J75" i="2"/>
  <c r="K75" i="2" l="1"/>
  <c r="U75" i="2"/>
  <c r="AX75" i="2"/>
  <c r="AG75" i="2"/>
  <c r="AK75" i="2"/>
  <c r="C76" i="2"/>
  <c r="D76" i="2"/>
  <c r="AL75" i="2"/>
  <c r="S75" i="2"/>
  <c r="AU75" i="2"/>
  <c r="BA75" i="2"/>
  <c r="AE75" i="2"/>
  <c r="V75" i="2"/>
  <c r="AQ75" i="2"/>
  <c r="AC75" i="2"/>
  <c r="AI75" i="2"/>
  <c r="Q75" i="2"/>
  <c r="AP75" i="2"/>
  <c r="AA75" i="2"/>
  <c r="Z75" i="2"/>
  <c r="AH75" i="2"/>
  <c r="AO75" i="2"/>
  <c r="H75" i="2"/>
  <c r="W75" i="2"/>
  <c r="AS75" i="2"/>
  <c r="AD75" i="2"/>
  <c r="AY75" i="2"/>
  <c r="AB75" i="2"/>
  <c r="AR75" i="2"/>
  <c r="AF75" i="2"/>
  <c r="AV75" i="2"/>
  <c r="T75" i="2"/>
  <c r="AJ75" i="2"/>
  <c r="AZ75" i="2"/>
  <c r="N73" i="2"/>
  <c r="O73" i="2" s="1"/>
  <c r="AW75" i="2"/>
  <c r="R75" i="2"/>
  <c r="AM75" i="2"/>
  <c r="Y75" i="2"/>
  <c r="AT75" i="2"/>
  <c r="X75" i="2"/>
  <c r="AN75" i="2"/>
  <c r="B77" i="2"/>
  <c r="P76" i="2"/>
  <c r="M76" i="2" s="1"/>
  <c r="I76" i="2"/>
  <c r="J76" i="2"/>
  <c r="L74" i="2"/>
  <c r="N74" i="2" s="1"/>
  <c r="K76" i="2" l="1"/>
  <c r="AH76" i="2"/>
  <c r="Q76" i="2"/>
  <c r="V76" i="2"/>
  <c r="AD76" i="2"/>
  <c r="AW76" i="2"/>
  <c r="Z76" i="2"/>
  <c r="AQ76" i="2"/>
  <c r="R76" i="2"/>
  <c r="AM76" i="2"/>
  <c r="AL76" i="2"/>
  <c r="AO76" i="2"/>
  <c r="AE76" i="2"/>
  <c r="AA76" i="2"/>
  <c r="W76" i="2"/>
  <c r="AS76" i="2"/>
  <c r="S76" i="2"/>
  <c r="AT76" i="2"/>
  <c r="AK76" i="2"/>
  <c r="AG76" i="2"/>
  <c r="AC76" i="2"/>
  <c r="AX76" i="2"/>
  <c r="Y76" i="2"/>
  <c r="AY76" i="2"/>
  <c r="AU76" i="2"/>
  <c r="AI76" i="2"/>
  <c r="U76" i="2"/>
  <c r="AP76" i="2"/>
  <c r="AB76" i="2"/>
  <c r="X76" i="2"/>
  <c r="D77" i="2"/>
  <c r="C77" i="2"/>
  <c r="BA76" i="2"/>
  <c r="T76" i="2"/>
  <c r="O74" i="2"/>
  <c r="AN76" i="2"/>
  <c r="AR76" i="2"/>
  <c r="H76" i="2"/>
  <c r="AJ76" i="2"/>
  <c r="AZ76" i="2"/>
  <c r="B78" i="2"/>
  <c r="P77" i="2"/>
  <c r="M77" i="2" s="1"/>
  <c r="I77" i="2"/>
  <c r="J77" i="2"/>
  <c r="L75" i="2"/>
  <c r="AF76" i="2"/>
  <c r="AV76" i="2"/>
  <c r="K77" i="2" l="1"/>
  <c r="W77" i="2"/>
  <c r="Y77" i="2"/>
  <c r="U77" i="2"/>
  <c r="AX77" i="2"/>
  <c r="AT77" i="2"/>
  <c r="AP77" i="2"/>
  <c r="AH77" i="2"/>
  <c r="AC77" i="2"/>
  <c r="AG77" i="2"/>
  <c r="AM77" i="2"/>
  <c r="AI77" i="2"/>
  <c r="AE77" i="2"/>
  <c r="R77" i="2"/>
  <c r="AD77" i="2"/>
  <c r="AY77" i="2"/>
  <c r="Z77" i="2"/>
  <c r="BA77" i="2"/>
  <c r="D78" i="2"/>
  <c r="C78" i="2"/>
  <c r="S77" i="2"/>
  <c r="AO77" i="2"/>
  <c r="AS77" i="2"/>
  <c r="AK77" i="2"/>
  <c r="AL77" i="2"/>
  <c r="Q77" i="2"/>
  <c r="N75" i="2"/>
  <c r="O75" i="2" s="1"/>
  <c r="AA77" i="2"/>
  <c r="AW77" i="2"/>
  <c r="AB77" i="2"/>
  <c r="AR77" i="2"/>
  <c r="H77" i="2"/>
  <c r="AF77" i="2"/>
  <c r="AV77" i="2"/>
  <c r="T77" i="2"/>
  <c r="AJ77" i="2"/>
  <c r="AZ77" i="2"/>
  <c r="L76" i="2"/>
  <c r="AU77" i="2"/>
  <c r="V77" i="2"/>
  <c r="AQ77" i="2"/>
  <c r="X77" i="2"/>
  <c r="AN77" i="2"/>
  <c r="B79" i="2"/>
  <c r="P78" i="2"/>
  <c r="M78" i="2" s="1"/>
  <c r="J78" i="2"/>
  <c r="I78" i="2"/>
  <c r="K78" i="2" l="1"/>
  <c r="AO78" i="2"/>
  <c r="AE78" i="2"/>
  <c r="AD78" i="2"/>
  <c r="Y78" i="2"/>
  <c r="AK78" i="2"/>
  <c r="D79" i="2"/>
  <c r="C79" i="2"/>
  <c r="AY78" i="2"/>
  <c r="AQ78" i="2"/>
  <c r="S78" i="2"/>
  <c r="U78" i="2"/>
  <c r="AP78" i="2"/>
  <c r="Q78" i="2"/>
  <c r="AI78" i="2"/>
  <c r="Z78" i="2"/>
  <c r="BA78" i="2"/>
  <c r="V78" i="2"/>
  <c r="AL78" i="2"/>
  <c r="AU78" i="2"/>
  <c r="AG78" i="2"/>
  <c r="W78" i="2"/>
  <c r="AH78" i="2"/>
  <c r="AT78" i="2"/>
  <c r="AA78" i="2"/>
  <c r="AW78" i="2"/>
  <c r="T78" i="2"/>
  <c r="AM78" i="2"/>
  <c r="AJ78" i="2"/>
  <c r="R78" i="2"/>
  <c r="AS78" i="2"/>
  <c r="N76" i="2"/>
  <c r="O76" i="2" s="1"/>
  <c r="AF78" i="2"/>
  <c r="AV78" i="2"/>
  <c r="L77" i="2"/>
  <c r="H78" i="2"/>
  <c r="AZ78" i="2"/>
  <c r="X78" i="2"/>
  <c r="AN78" i="2"/>
  <c r="B80" i="2"/>
  <c r="P79" i="2"/>
  <c r="M79" i="2" s="1"/>
  <c r="I79" i="2"/>
  <c r="J79" i="2"/>
  <c r="AC78" i="2"/>
  <c r="AX78" i="2"/>
  <c r="AB78" i="2"/>
  <c r="AR78" i="2"/>
  <c r="K79" i="2" l="1"/>
  <c r="V79" i="2"/>
  <c r="BA79" i="2"/>
  <c r="AL79" i="2"/>
  <c r="AC79" i="2"/>
  <c r="U79" i="2"/>
  <c r="AK79" i="2"/>
  <c r="AQ79" i="2"/>
  <c r="AH79" i="2"/>
  <c r="Q79" i="2"/>
  <c r="AP79" i="2"/>
  <c r="AY79" i="2"/>
  <c r="AE79" i="2"/>
  <c r="AG79" i="2"/>
  <c r="Z79" i="2"/>
  <c r="W79" i="2"/>
  <c r="Y79" i="2"/>
  <c r="AU79" i="2"/>
  <c r="AA79" i="2"/>
  <c r="AW79" i="2"/>
  <c r="R79" i="2"/>
  <c r="AX79" i="2"/>
  <c r="AS79" i="2"/>
  <c r="AI79" i="2"/>
  <c r="AM79" i="2"/>
  <c r="AD79" i="2"/>
  <c r="C80" i="2"/>
  <c r="D80" i="2"/>
  <c r="AB79" i="2"/>
  <c r="S79" i="2"/>
  <c r="AO79" i="2"/>
  <c r="AT79" i="2"/>
  <c r="T79" i="2"/>
  <c r="AJ79" i="2"/>
  <c r="AZ79" i="2"/>
  <c r="N77" i="2"/>
  <c r="O77" i="2" s="1"/>
  <c r="X79" i="2"/>
  <c r="AN79" i="2"/>
  <c r="B81" i="2"/>
  <c r="P80" i="2"/>
  <c r="M80" i="2" s="1"/>
  <c r="J80" i="2"/>
  <c r="I80" i="2"/>
  <c r="L78" i="2"/>
  <c r="N78" i="2" s="1"/>
  <c r="H79" i="2"/>
  <c r="AR79" i="2"/>
  <c r="AF79" i="2"/>
  <c r="AV79" i="2"/>
  <c r="K80" i="2" l="1"/>
  <c r="AQ80" i="2"/>
  <c r="AS80" i="2"/>
  <c r="AW80" i="2"/>
  <c r="W80" i="2"/>
  <c r="AA80" i="2"/>
  <c r="R80" i="2"/>
  <c r="S80" i="2"/>
  <c r="Q80" i="2"/>
  <c r="AM80" i="2"/>
  <c r="AL80" i="2"/>
  <c r="AH80" i="2"/>
  <c r="V80" i="2"/>
  <c r="AD80" i="2"/>
  <c r="AI80" i="2"/>
  <c r="AG80" i="2"/>
  <c r="AC80" i="2"/>
  <c r="AX80" i="2"/>
  <c r="Y80" i="2"/>
  <c r="D81" i="2"/>
  <c r="C81" i="2"/>
  <c r="AE80" i="2"/>
  <c r="AY80" i="2"/>
  <c r="AK80" i="2"/>
  <c r="BA80" i="2"/>
  <c r="O78" i="2"/>
  <c r="H80" i="2"/>
  <c r="AT80" i="2"/>
  <c r="Z80" i="2"/>
  <c r="AU80" i="2"/>
  <c r="X80" i="2"/>
  <c r="AN80" i="2"/>
  <c r="B82" i="2"/>
  <c r="P81" i="2"/>
  <c r="M81" i="2" s="1"/>
  <c r="I81" i="2"/>
  <c r="J81" i="2"/>
  <c r="AB80" i="2"/>
  <c r="AR80" i="2"/>
  <c r="AF80" i="2"/>
  <c r="AV80" i="2"/>
  <c r="L79" i="2"/>
  <c r="N79" i="2" s="1"/>
  <c r="AO80" i="2"/>
  <c r="U80" i="2"/>
  <c r="AP80" i="2"/>
  <c r="T80" i="2"/>
  <c r="AJ80" i="2"/>
  <c r="AZ80" i="2"/>
  <c r="K81" i="2" l="1"/>
  <c r="C82" i="2"/>
  <c r="D82" i="2"/>
  <c r="W81" i="2"/>
  <c r="Y81" i="2"/>
  <c r="AT81" i="2"/>
  <c r="AK81" i="2"/>
  <c r="AH81" i="2"/>
  <c r="AD81" i="2"/>
  <c r="AY81" i="2"/>
  <c r="U81" i="2"/>
  <c r="AP81" i="2"/>
  <c r="AA81" i="2"/>
  <c r="O79" i="2"/>
  <c r="AC81" i="2"/>
  <c r="AS81" i="2"/>
  <c r="AI81" i="2"/>
  <c r="R81" i="2"/>
  <c r="Z81" i="2"/>
  <c r="AU81" i="2"/>
  <c r="AG81" i="2"/>
  <c r="AX81" i="2"/>
  <c r="S81" i="2"/>
  <c r="AO81" i="2"/>
  <c r="AM81" i="2"/>
  <c r="AE81" i="2"/>
  <c r="BA81" i="2"/>
  <c r="AW81" i="2"/>
  <c r="V81" i="2"/>
  <c r="AQ81" i="2"/>
  <c r="X81" i="2"/>
  <c r="AN81" i="2"/>
  <c r="B83" i="2"/>
  <c r="P82" i="2"/>
  <c r="M82" i="2" s="1"/>
  <c r="I82" i="2"/>
  <c r="J82" i="2"/>
  <c r="AB81" i="2"/>
  <c r="AR81" i="2"/>
  <c r="H81" i="2"/>
  <c r="AF81" i="2"/>
  <c r="AV81" i="2"/>
  <c r="L80" i="2"/>
  <c r="N80" i="2" s="1"/>
  <c r="O80" i="2" s="1"/>
  <c r="Q81" i="2"/>
  <c r="AL81" i="2"/>
  <c r="T81" i="2"/>
  <c r="AJ81" i="2"/>
  <c r="AZ81" i="2"/>
  <c r="K82" i="2" l="1"/>
  <c r="AD82" i="2"/>
  <c r="BA82" i="2"/>
  <c r="U82" i="2"/>
  <c r="AQ82" i="2"/>
  <c r="AT82" i="2"/>
  <c r="Y82" i="2"/>
  <c r="AY82" i="2"/>
  <c r="V82" i="2"/>
  <c r="D83" i="2"/>
  <c r="C83" i="2"/>
  <c r="AK82" i="2"/>
  <c r="Q82" i="2"/>
  <c r="AM82" i="2"/>
  <c r="S82" i="2"/>
  <c r="AE82" i="2"/>
  <c r="AW82" i="2"/>
  <c r="AP82" i="2"/>
  <c r="AO82" i="2"/>
  <c r="AA82" i="2"/>
  <c r="R82" i="2"/>
  <c r="AI82" i="2"/>
  <c r="Z82" i="2"/>
  <c r="AU82" i="2"/>
  <c r="AG82" i="2"/>
  <c r="AH82" i="2"/>
  <c r="AC82" i="2"/>
  <c r="AX82" i="2"/>
  <c r="AB82" i="2"/>
  <c r="AR82" i="2"/>
  <c r="AF82" i="2"/>
  <c r="AV82" i="2"/>
  <c r="L81" i="2"/>
  <c r="H82" i="2"/>
  <c r="T82" i="2"/>
  <c r="AJ82" i="2"/>
  <c r="AZ82" i="2"/>
  <c r="AL82" i="2"/>
  <c r="W82" i="2"/>
  <c r="AS82" i="2"/>
  <c r="X82" i="2"/>
  <c r="AN82" i="2"/>
  <c r="B84" i="2"/>
  <c r="P83" i="2"/>
  <c r="M83" i="2" s="1"/>
  <c r="J83" i="2"/>
  <c r="I83" i="2"/>
  <c r="K83" i="2" l="1"/>
  <c r="C84" i="2"/>
  <c r="D84" i="2"/>
  <c r="AU83" i="2"/>
  <c r="AA83" i="2"/>
  <c r="AW83" i="2"/>
  <c r="R83" i="2"/>
  <c r="AS83" i="2"/>
  <c r="AE83" i="2"/>
  <c r="AG83" i="2"/>
  <c r="Z83" i="2"/>
  <c r="W83" i="2"/>
  <c r="AX83" i="2"/>
  <c r="U83" i="2"/>
  <c r="Q83" i="2"/>
  <c r="AL83" i="2"/>
  <c r="AP83" i="2"/>
  <c r="AC83" i="2"/>
  <c r="AD83" i="2"/>
  <c r="AK83" i="2"/>
  <c r="V83" i="2"/>
  <c r="AQ83" i="2"/>
  <c r="BA83" i="2"/>
  <c r="AH83" i="2"/>
  <c r="AI83" i="2"/>
  <c r="AM83" i="2"/>
  <c r="Y83" i="2"/>
  <c r="AT83" i="2"/>
  <c r="X83" i="2"/>
  <c r="AN83" i="2"/>
  <c r="B85" i="2"/>
  <c r="P84" i="2"/>
  <c r="M84" i="2" s="1"/>
  <c r="I84" i="2"/>
  <c r="J84" i="2"/>
  <c r="N81" i="2"/>
  <c r="O81" i="2" s="1"/>
  <c r="H83" i="2"/>
  <c r="AY83" i="2"/>
  <c r="AB83" i="2"/>
  <c r="AR83" i="2"/>
  <c r="L82" i="2"/>
  <c r="N82" i="2" s="1"/>
  <c r="AF83" i="2"/>
  <c r="AV83" i="2"/>
  <c r="S83" i="2"/>
  <c r="AO83" i="2"/>
  <c r="T83" i="2"/>
  <c r="AJ83" i="2"/>
  <c r="AZ83" i="2"/>
  <c r="K84" i="2" l="1"/>
  <c r="AS84" i="2"/>
  <c r="AK84" i="2"/>
  <c r="D85" i="2"/>
  <c r="C85" i="2"/>
  <c r="AW84" i="2"/>
  <c r="AQ84" i="2"/>
  <c r="AI84" i="2"/>
  <c r="W84" i="2"/>
  <c r="AR84" i="2"/>
  <c r="Q84" i="2"/>
  <c r="AC84" i="2"/>
  <c r="AX84" i="2"/>
  <c r="S84" i="2"/>
  <c r="AO84" i="2"/>
  <c r="U84" i="2"/>
  <c r="AP84" i="2"/>
  <c r="T84" i="2"/>
  <c r="AG84" i="2"/>
  <c r="AH84" i="2"/>
  <c r="AA84" i="2"/>
  <c r="Y84" i="2"/>
  <c r="AT84" i="2"/>
  <c r="Z84" i="2"/>
  <c r="AU84" i="2"/>
  <c r="X84" i="2"/>
  <c r="V84" i="2"/>
  <c r="R84" i="2"/>
  <c r="AM84" i="2"/>
  <c r="AL84" i="2"/>
  <c r="AD84" i="2"/>
  <c r="AY84" i="2"/>
  <c r="AE84" i="2"/>
  <c r="BA84" i="2"/>
  <c r="AB84" i="2"/>
  <c r="O82" i="2"/>
  <c r="L83" i="2"/>
  <c r="N83" i="2" s="1"/>
  <c r="AJ84" i="2"/>
  <c r="AZ84" i="2"/>
  <c r="H84" i="2"/>
  <c r="AN84" i="2"/>
  <c r="B86" i="2"/>
  <c r="P85" i="2"/>
  <c r="M85" i="2" s="1"/>
  <c r="I85" i="2"/>
  <c r="J85" i="2"/>
  <c r="AF84" i="2"/>
  <c r="AV84" i="2"/>
  <c r="K85" i="2" l="1"/>
  <c r="AS85" i="2"/>
  <c r="Y85" i="2"/>
  <c r="R85" i="2"/>
  <c r="AE85" i="2"/>
  <c r="AM85" i="2"/>
  <c r="S85" i="2"/>
  <c r="BA85" i="2"/>
  <c r="W85" i="2"/>
  <c r="AO85" i="2"/>
  <c r="AH85" i="2"/>
  <c r="AX85" i="2"/>
  <c r="AC85" i="2"/>
  <c r="C86" i="2"/>
  <c r="D86" i="2"/>
  <c r="AD85" i="2"/>
  <c r="AY85" i="2"/>
  <c r="AK85" i="2"/>
  <c r="AI85" i="2"/>
  <c r="AA85" i="2"/>
  <c r="Z85" i="2"/>
  <c r="AU85" i="2"/>
  <c r="V85" i="2"/>
  <c r="AT85" i="2"/>
  <c r="U85" i="2"/>
  <c r="AP85" i="2"/>
  <c r="Q85" i="2"/>
  <c r="AQ85" i="2"/>
  <c r="AW85" i="2"/>
  <c r="AG85" i="2"/>
  <c r="AB85" i="2"/>
  <c r="H85" i="2"/>
  <c r="AF85" i="2"/>
  <c r="AV85" i="2"/>
  <c r="L84" i="2"/>
  <c r="AL85" i="2"/>
  <c r="T85" i="2"/>
  <c r="AJ85" i="2"/>
  <c r="AZ85" i="2"/>
  <c r="O83" i="2"/>
  <c r="X85" i="2"/>
  <c r="AN85" i="2"/>
  <c r="B87" i="2"/>
  <c r="P86" i="2"/>
  <c r="AR86" i="2" s="1"/>
  <c r="J86" i="2"/>
  <c r="I86" i="2"/>
  <c r="AR85" i="2"/>
  <c r="K86" i="2" l="1"/>
  <c r="AE86" i="2"/>
  <c r="AD86" i="2"/>
  <c r="S86" i="2"/>
  <c r="AY86" i="2"/>
  <c r="Y86" i="2"/>
  <c r="AO86" i="2"/>
  <c r="U86" i="2"/>
  <c r="AT86" i="2"/>
  <c r="AI86" i="2"/>
  <c r="AK86" i="2"/>
  <c r="Z86" i="2"/>
  <c r="BA86" i="2"/>
  <c r="AG86" i="2"/>
  <c r="AP86" i="2"/>
  <c r="AA86" i="2"/>
  <c r="D87" i="2"/>
  <c r="C87" i="2"/>
  <c r="AU86" i="2"/>
  <c r="AL86" i="2"/>
  <c r="Q86" i="2"/>
  <c r="AS86" i="2"/>
  <c r="V86" i="2"/>
  <c r="R86" i="2"/>
  <c r="W86" i="2"/>
  <c r="AQ86" i="2"/>
  <c r="AC86" i="2"/>
  <c r="X86" i="2"/>
  <c r="AW86" i="2"/>
  <c r="AH86" i="2"/>
  <c r="H86" i="2"/>
  <c r="AM86" i="2"/>
  <c r="T86" i="2"/>
  <c r="AJ86" i="2"/>
  <c r="AZ86" i="2"/>
  <c r="AN86" i="2"/>
  <c r="B88" i="2"/>
  <c r="P87" i="2"/>
  <c r="M87" i="2" s="1"/>
  <c r="J87" i="2"/>
  <c r="I87" i="2"/>
  <c r="AX86" i="2"/>
  <c r="AB86" i="2"/>
  <c r="N84" i="2"/>
  <c r="O84" i="2" s="1"/>
  <c r="L85" i="2"/>
  <c r="M86" i="2"/>
  <c r="AF86" i="2"/>
  <c r="AV86" i="2"/>
  <c r="K87" i="2" l="1"/>
  <c r="AP87" i="2"/>
  <c r="AW87" i="2"/>
  <c r="AU87" i="2"/>
  <c r="U87" i="2"/>
  <c r="AA87" i="2"/>
  <c r="W87" i="2"/>
  <c r="AK87" i="2"/>
  <c r="Q87" i="2"/>
  <c r="Z87" i="2"/>
  <c r="AL87" i="2"/>
  <c r="AH87" i="2"/>
  <c r="V87" i="2"/>
  <c r="AQ87" i="2"/>
  <c r="R87" i="2"/>
  <c r="AX87" i="2"/>
  <c r="BA87" i="2"/>
  <c r="AG87" i="2"/>
  <c r="AE87" i="2"/>
  <c r="AC87" i="2"/>
  <c r="C88" i="2"/>
  <c r="D88" i="2"/>
  <c r="S87" i="2"/>
  <c r="AS87" i="2"/>
  <c r="AD87" i="2"/>
  <c r="AI87" i="2"/>
  <c r="AM87" i="2"/>
  <c r="Y87" i="2"/>
  <c r="N85" i="2"/>
  <c r="O85" i="2" s="1"/>
  <c r="AY87" i="2"/>
  <c r="AB87" i="2"/>
  <c r="AR87" i="2"/>
  <c r="H87" i="2"/>
  <c r="AF87" i="2"/>
  <c r="AV87" i="2"/>
  <c r="L86" i="2"/>
  <c r="AO87" i="2"/>
  <c r="T87" i="2"/>
  <c r="AJ87" i="2"/>
  <c r="AZ87" i="2"/>
  <c r="AT87" i="2"/>
  <c r="X87" i="2"/>
  <c r="AN87" i="2"/>
  <c r="B89" i="2"/>
  <c r="P88" i="2"/>
  <c r="M88" i="2" s="1"/>
  <c r="I88" i="2"/>
  <c r="J88" i="2"/>
  <c r="K88" i="2" l="1"/>
  <c r="Q88" i="2"/>
  <c r="AC88" i="2"/>
  <c r="AI88" i="2"/>
  <c r="AX88" i="2"/>
  <c r="D89" i="2"/>
  <c r="C89" i="2"/>
  <c r="V88" i="2"/>
  <c r="AG88" i="2"/>
  <c r="AH88" i="2"/>
  <c r="AQ88" i="2"/>
  <c r="AO88" i="2"/>
  <c r="AL88" i="2"/>
  <c r="AM88" i="2"/>
  <c r="S88" i="2"/>
  <c r="R88" i="2"/>
  <c r="AW88" i="2"/>
  <c r="W88" i="2"/>
  <c r="AS88" i="2"/>
  <c r="Y88" i="2"/>
  <c r="Z88" i="2"/>
  <c r="X88" i="2"/>
  <c r="AT88" i="2"/>
  <c r="AK88" i="2"/>
  <c r="AN88" i="2"/>
  <c r="AA88" i="2"/>
  <c r="AD88" i="2"/>
  <c r="AY88" i="2"/>
  <c r="AU88" i="2"/>
  <c r="B90" i="2"/>
  <c r="P89" i="2"/>
  <c r="M89" i="2" s="1"/>
  <c r="J89" i="2"/>
  <c r="I89" i="2"/>
  <c r="H88" i="2"/>
  <c r="AE88" i="2"/>
  <c r="BA88" i="2"/>
  <c r="AB88" i="2"/>
  <c r="AR88" i="2"/>
  <c r="N86" i="2"/>
  <c r="O86" i="2" s="1"/>
  <c r="L87" i="2"/>
  <c r="AF88" i="2"/>
  <c r="AV88" i="2"/>
  <c r="U88" i="2"/>
  <c r="AP88" i="2"/>
  <c r="T88" i="2"/>
  <c r="AJ88" i="2"/>
  <c r="AZ88" i="2"/>
  <c r="K89" i="2" l="1"/>
  <c r="AI89" i="2"/>
  <c r="R89" i="2"/>
  <c r="Q89" i="2"/>
  <c r="U89" i="2"/>
  <c r="AC89" i="2"/>
  <c r="AP89" i="2"/>
  <c r="C90" i="2"/>
  <c r="D90" i="2"/>
  <c r="W89" i="2"/>
  <c r="S89" i="2"/>
  <c r="AO89" i="2"/>
  <c r="AH89" i="2"/>
  <c r="Z89" i="2"/>
  <c r="AU89" i="2"/>
  <c r="V89" i="2"/>
  <c r="AM89" i="2"/>
  <c r="Y89" i="2"/>
  <c r="AT89" i="2"/>
  <c r="AS89" i="2"/>
  <c r="AE89" i="2"/>
  <c r="BA89" i="2"/>
  <c r="AG89" i="2"/>
  <c r="AX89" i="2"/>
  <c r="AD89" i="2"/>
  <c r="AY89" i="2"/>
  <c r="AK89" i="2"/>
  <c r="AL89" i="2"/>
  <c r="AA89" i="2"/>
  <c r="T89" i="2"/>
  <c r="X89" i="2"/>
  <c r="AQ89" i="2"/>
  <c r="AJ89" i="2"/>
  <c r="L88" i="2"/>
  <c r="N87" i="2"/>
  <c r="O87" i="2" s="1"/>
  <c r="H89" i="2"/>
  <c r="AF89" i="2"/>
  <c r="AV89" i="2"/>
  <c r="AZ89" i="2"/>
  <c r="AN89" i="2"/>
  <c r="B91" i="2"/>
  <c r="P90" i="2"/>
  <c r="M90" i="2" s="1"/>
  <c r="J90" i="2"/>
  <c r="I90" i="2"/>
  <c r="AW89" i="2"/>
  <c r="AB89" i="2"/>
  <c r="AR89" i="2"/>
  <c r="K90" i="2" l="1"/>
  <c r="AO90" i="2"/>
  <c r="Q90" i="2"/>
  <c r="AI90" i="2"/>
  <c r="D91" i="2"/>
  <c r="C91" i="2"/>
  <c r="AU90" i="2"/>
  <c r="AD90" i="2"/>
  <c r="AE90" i="2"/>
  <c r="Y90" i="2"/>
  <c r="AG90" i="2"/>
  <c r="AK90" i="2"/>
  <c r="AL90" i="2"/>
  <c r="AY90" i="2"/>
  <c r="Z90" i="2"/>
  <c r="BA90" i="2"/>
  <c r="V90" i="2"/>
  <c r="S90" i="2"/>
  <c r="U90" i="2"/>
  <c r="AP90" i="2"/>
  <c r="AT90" i="2"/>
  <c r="AA90" i="2"/>
  <c r="AW90" i="2"/>
  <c r="AH90" i="2"/>
  <c r="AM90" i="2"/>
  <c r="R90" i="2"/>
  <c r="AQ90" i="2"/>
  <c r="AC90" i="2"/>
  <c r="AX90" i="2"/>
  <c r="W90" i="2"/>
  <c r="AS90" i="2"/>
  <c r="T90" i="2"/>
  <c r="X90" i="2"/>
  <c r="AB90" i="2"/>
  <c r="AJ90" i="2"/>
  <c r="AR90" i="2"/>
  <c r="AN90" i="2"/>
  <c r="B92" i="2"/>
  <c r="P91" i="2"/>
  <c r="M91" i="2" s="1"/>
  <c r="I91" i="2"/>
  <c r="J91" i="2"/>
  <c r="L89" i="2"/>
  <c r="N89" i="2" s="1"/>
  <c r="O89" i="2" s="1"/>
  <c r="N88" i="2"/>
  <c r="O88" i="2" s="1"/>
  <c r="AF90" i="2"/>
  <c r="AV90" i="2"/>
  <c r="H90" i="2"/>
  <c r="AZ90" i="2"/>
  <c r="K91" i="2" l="1"/>
  <c r="Z91" i="2"/>
  <c r="AL91" i="2"/>
  <c r="V91" i="2"/>
  <c r="AU91" i="2"/>
  <c r="AW91" i="2"/>
  <c r="Q91" i="2"/>
  <c r="AC91" i="2"/>
  <c r="AP91" i="2"/>
  <c r="AG91" i="2"/>
  <c r="R91" i="2"/>
  <c r="Y91" i="2"/>
  <c r="AM91" i="2"/>
  <c r="AE91" i="2"/>
  <c r="AA91" i="2"/>
  <c r="AK91" i="2"/>
  <c r="AX91" i="2"/>
  <c r="U91" i="2"/>
  <c r="W91" i="2"/>
  <c r="AS91" i="2"/>
  <c r="AD91" i="2"/>
  <c r="AQ91" i="2"/>
  <c r="BA91" i="2"/>
  <c r="AH91" i="2"/>
  <c r="S91" i="2"/>
  <c r="C92" i="2"/>
  <c r="D92" i="2"/>
  <c r="AI91" i="2"/>
  <c r="AO91" i="2"/>
  <c r="AT91" i="2"/>
  <c r="X91" i="2"/>
  <c r="AY91" i="2"/>
  <c r="AB91" i="2"/>
  <c r="AR91" i="2"/>
  <c r="T91" i="2"/>
  <c r="AJ91" i="2"/>
  <c r="AZ91" i="2"/>
  <c r="H91" i="2"/>
  <c r="AN91" i="2"/>
  <c r="B93" i="2"/>
  <c r="P92" i="2"/>
  <c r="M92" i="2" s="1"/>
  <c r="I92" i="2"/>
  <c r="J92" i="2"/>
  <c r="L90" i="2"/>
  <c r="N90" i="2" s="1"/>
  <c r="O90" i="2" s="1"/>
  <c r="AF91" i="2"/>
  <c r="AV91" i="2"/>
  <c r="K92" i="2" l="1"/>
  <c r="D93" i="2"/>
  <c r="C93" i="2"/>
  <c r="AX92" i="2"/>
  <c r="S92" i="2"/>
  <c r="V92" i="2"/>
  <c r="AO92" i="2"/>
  <c r="AC92" i="2"/>
  <c r="Z92" i="2"/>
  <c r="AL92" i="2"/>
  <c r="AH92" i="2"/>
  <c r="Q92" i="2"/>
  <c r="Y92" i="2"/>
  <c r="AT92" i="2"/>
  <c r="AE92" i="2"/>
  <c r="AW92" i="2"/>
  <c r="R92" i="2"/>
  <c r="AM92" i="2"/>
  <c r="AA92" i="2"/>
  <c r="AD92" i="2"/>
  <c r="AY92" i="2"/>
  <c r="AK92" i="2"/>
  <c r="AG92" i="2"/>
  <c r="W92" i="2"/>
  <c r="AS92" i="2"/>
  <c r="AQ92" i="2"/>
  <c r="AI92" i="2"/>
  <c r="BA92" i="2"/>
  <c r="U92" i="2"/>
  <c r="AP92" i="2"/>
  <c r="AU92" i="2"/>
  <c r="X92" i="2"/>
  <c r="AB92" i="2"/>
  <c r="H92" i="2"/>
  <c r="AF92" i="2"/>
  <c r="AV92" i="2"/>
  <c r="L91" i="2"/>
  <c r="N91" i="2" s="1"/>
  <c r="T92" i="2"/>
  <c r="AJ92" i="2"/>
  <c r="AZ92" i="2"/>
  <c r="AN92" i="2"/>
  <c r="B94" i="2"/>
  <c r="P93" i="2"/>
  <c r="M93" i="2" s="1"/>
  <c r="I93" i="2"/>
  <c r="J93" i="2"/>
  <c r="AR92" i="2"/>
  <c r="K93" i="2" l="1"/>
  <c r="AH93" i="2"/>
  <c r="AX93" i="2"/>
  <c r="AW93" i="2"/>
  <c r="AD93" i="2"/>
  <c r="AM93" i="2"/>
  <c r="S93" i="2"/>
  <c r="Z93" i="2"/>
  <c r="W93" i="2"/>
  <c r="AI93" i="2"/>
  <c r="U93" i="2"/>
  <c r="AY93" i="2"/>
  <c r="R93" i="2"/>
  <c r="Y93" i="2"/>
  <c r="AC93" i="2"/>
  <c r="AK93" i="2"/>
  <c r="C94" i="2"/>
  <c r="D94" i="2"/>
  <c r="AL93" i="2"/>
  <c r="AO93" i="2"/>
  <c r="AT93" i="2"/>
  <c r="AE93" i="2"/>
  <c r="AA93" i="2"/>
  <c r="AP93" i="2"/>
  <c r="V93" i="2"/>
  <c r="BA93" i="2"/>
  <c r="Q93" i="2"/>
  <c r="AS93" i="2"/>
  <c r="AB93" i="2"/>
  <c r="AU93" i="2"/>
  <c r="X93" i="2"/>
  <c r="AN93" i="2"/>
  <c r="B95" i="2"/>
  <c r="P94" i="2"/>
  <c r="M94" i="2" s="1"/>
  <c r="J94" i="2"/>
  <c r="I94" i="2"/>
  <c r="AR93" i="2"/>
  <c r="AF93" i="2"/>
  <c r="AV93" i="2"/>
  <c r="O91" i="2"/>
  <c r="L92" i="2"/>
  <c r="N92" i="2" s="1"/>
  <c r="O92" i="2" s="1"/>
  <c r="H93" i="2"/>
  <c r="AG93" i="2"/>
  <c r="AQ93" i="2"/>
  <c r="T93" i="2"/>
  <c r="AJ93" i="2"/>
  <c r="AZ93" i="2"/>
  <c r="AG94" i="2" l="1"/>
  <c r="K94" i="2"/>
  <c r="AH94" i="2"/>
  <c r="AD94" i="2"/>
  <c r="AC94" i="2"/>
  <c r="AT94" i="2"/>
  <c r="AO94" i="2"/>
  <c r="AL94" i="2"/>
  <c r="AP94" i="2"/>
  <c r="AK94" i="2"/>
  <c r="Q94" i="2"/>
  <c r="AW94" i="2"/>
  <c r="R94" i="2"/>
  <c r="AX94" i="2"/>
  <c r="S94" i="2"/>
  <c r="Y94" i="2"/>
  <c r="V94" i="2"/>
  <c r="Z94" i="2"/>
  <c r="U94" i="2"/>
  <c r="AA94" i="2"/>
  <c r="AS94" i="2"/>
  <c r="AE94" i="2"/>
  <c r="BA94" i="2"/>
  <c r="AQ94" i="2"/>
  <c r="D95" i="2"/>
  <c r="C95" i="2"/>
  <c r="AI94" i="2"/>
  <c r="AN94" i="2"/>
  <c r="W94" i="2"/>
  <c r="AM94" i="2"/>
  <c r="AU94" i="2"/>
  <c r="AY94" i="2"/>
  <c r="X94" i="2"/>
  <c r="B96" i="2"/>
  <c r="P95" i="2"/>
  <c r="M95" i="2" s="1"/>
  <c r="I95" i="2"/>
  <c r="J95" i="2"/>
  <c r="L93" i="2"/>
  <c r="N93" i="2" s="1"/>
  <c r="AB94" i="2"/>
  <c r="AR94" i="2"/>
  <c r="AF94" i="2"/>
  <c r="AV94" i="2"/>
  <c r="H94" i="2"/>
  <c r="T94" i="2"/>
  <c r="AJ94" i="2"/>
  <c r="AZ94" i="2"/>
  <c r="K95" i="2" l="1"/>
  <c r="Y95" i="2"/>
  <c r="AI95" i="2"/>
  <c r="AD95" i="2"/>
  <c r="C96" i="2"/>
  <c r="D96" i="2"/>
  <c r="AP95" i="2"/>
  <c r="AC95" i="2"/>
  <c r="S95" i="2"/>
  <c r="R95" i="2"/>
  <c r="AG95" i="2"/>
  <c r="AK95" i="2"/>
  <c r="W95" i="2"/>
  <c r="AM95" i="2"/>
  <c r="T95" i="2"/>
  <c r="AT95" i="2"/>
  <c r="AO95" i="2"/>
  <c r="Z95" i="2"/>
  <c r="AS95" i="2"/>
  <c r="AA95" i="2"/>
  <c r="AQ95" i="2"/>
  <c r="AL95" i="2"/>
  <c r="AX95" i="2"/>
  <c r="V95" i="2"/>
  <c r="Q95" i="2"/>
  <c r="AW95" i="2"/>
  <c r="AH95" i="2"/>
  <c r="U95" i="2"/>
  <c r="BA95" i="2"/>
  <c r="AE95" i="2"/>
  <c r="AU95" i="2"/>
  <c r="L94" i="2"/>
  <c r="O93" i="2"/>
  <c r="AY95" i="2"/>
  <c r="AB95" i="2"/>
  <c r="AR95" i="2"/>
  <c r="AF95" i="2"/>
  <c r="AV95" i="2"/>
  <c r="H95" i="2"/>
  <c r="AJ95" i="2"/>
  <c r="AZ95" i="2"/>
  <c r="X95" i="2"/>
  <c r="AN95" i="2"/>
  <c r="B97" i="2"/>
  <c r="P96" i="2"/>
  <c r="M96" i="2" s="1"/>
  <c r="I96" i="2"/>
  <c r="J96" i="2"/>
  <c r="K96" i="2" l="1"/>
  <c r="AT96" i="2"/>
  <c r="AO96" i="2"/>
  <c r="D97" i="2"/>
  <c r="C97" i="2"/>
  <c r="Z96" i="2"/>
  <c r="AS96" i="2"/>
  <c r="AH96" i="2"/>
  <c r="U96" i="2"/>
  <c r="S96" i="2"/>
  <c r="V96" i="2"/>
  <c r="AW96" i="2"/>
  <c r="AD96" i="2"/>
  <c r="Y96" i="2"/>
  <c r="AP96" i="2"/>
  <c r="AC96" i="2"/>
  <c r="AA96" i="2"/>
  <c r="Q96" i="2"/>
  <c r="AL96" i="2"/>
  <c r="AG96" i="2"/>
  <c r="R96" i="2"/>
  <c r="AX96" i="2"/>
  <c r="AK96" i="2"/>
  <c r="AI96" i="2"/>
  <c r="W96" i="2"/>
  <c r="AQ96" i="2"/>
  <c r="BA96" i="2"/>
  <c r="AE96" i="2"/>
  <c r="AM96" i="2"/>
  <c r="T96" i="2"/>
  <c r="AB96" i="2"/>
  <c r="AY96" i="2"/>
  <c r="AU96" i="2"/>
  <c r="X96" i="2"/>
  <c r="AN96" i="2"/>
  <c r="B98" i="2"/>
  <c r="P97" i="2"/>
  <c r="M97" i="2" s="1"/>
  <c r="I97" i="2"/>
  <c r="J97" i="2"/>
  <c r="AR96" i="2"/>
  <c r="L95" i="2"/>
  <c r="N95" i="2" s="1"/>
  <c r="O95" i="2" s="1"/>
  <c r="AF96" i="2"/>
  <c r="AV96" i="2"/>
  <c r="N94" i="2"/>
  <c r="O94" i="2" s="1"/>
  <c r="H96" i="2"/>
  <c r="AJ96" i="2"/>
  <c r="AZ96" i="2"/>
  <c r="K97" i="2" l="1"/>
  <c r="Y97" i="2"/>
  <c r="AX97" i="2"/>
  <c r="AG97" i="2"/>
  <c r="C98" i="2"/>
  <c r="D98" i="2"/>
  <c r="AP97" i="2"/>
  <c r="AL97" i="2"/>
  <c r="R97" i="2"/>
  <c r="AC97" i="2"/>
  <c r="AM97" i="2"/>
  <c r="AD97" i="2"/>
  <c r="AK97" i="2"/>
  <c r="W97" i="2"/>
  <c r="AT97" i="2"/>
  <c r="AO97" i="2"/>
  <c r="Z97" i="2"/>
  <c r="AS97" i="2"/>
  <c r="AA97" i="2"/>
  <c r="AQ97" i="2"/>
  <c r="X97" i="2"/>
  <c r="V97" i="2"/>
  <c r="Q97" i="2"/>
  <c r="AW97" i="2"/>
  <c r="AH97" i="2"/>
  <c r="U97" i="2"/>
  <c r="BA97" i="2"/>
  <c r="AE97" i="2"/>
  <c r="AU97" i="2"/>
  <c r="AB97" i="2"/>
  <c r="S97" i="2"/>
  <c r="AI97" i="2"/>
  <c r="AY97" i="2"/>
  <c r="AR97" i="2"/>
  <c r="L96" i="2"/>
  <c r="AF97" i="2"/>
  <c r="AV97" i="2"/>
  <c r="H97" i="2"/>
  <c r="T97" i="2"/>
  <c r="AJ97" i="2"/>
  <c r="AZ97" i="2"/>
  <c r="AN97" i="2"/>
  <c r="B99" i="2"/>
  <c r="P98" i="2"/>
  <c r="M98" i="2" s="1"/>
  <c r="J98" i="2"/>
  <c r="I98" i="2"/>
  <c r="K98" i="2" l="1"/>
  <c r="AT98" i="2"/>
  <c r="U98" i="2"/>
  <c r="D99" i="2"/>
  <c r="C99" i="2"/>
  <c r="AS98" i="2"/>
  <c r="AH98" i="2"/>
  <c r="BA98" i="2"/>
  <c r="Z98" i="2"/>
  <c r="AO98" i="2"/>
  <c r="V98" i="2"/>
  <c r="AW98" i="2"/>
  <c r="AE98" i="2"/>
  <c r="Q98" i="2"/>
  <c r="AA98" i="2"/>
  <c r="AQ98" i="2"/>
  <c r="AD98" i="2"/>
  <c r="Y98" i="2"/>
  <c r="AP98" i="2"/>
  <c r="AC98" i="2"/>
  <c r="S98" i="2"/>
  <c r="AI98" i="2"/>
  <c r="T98" i="2"/>
  <c r="AL98" i="2"/>
  <c r="AG98" i="2"/>
  <c r="R98" i="2"/>
  <c r="AX98" i="2"/>
  <c r="AK98" i="2"/>
  <c r="W98" i="2"/>
  <c r="AM98" i="2"/>
  <c r="AU98" i="2"/>
  <c r="X98" i="2"/>
  <c r="AY98" i="2"/>
  <c r="AN98" i="2"/>
  <c r="B100" i="2"/>
  <c r="P99" i="2"/>
  <c r="M99" i="2" s="1"/>
  <c r="I99" i="2"/>
  <c r="J99" i="2"/>
  <c r="AB98" i="2"/>
  <c r="AR98" i="2"/>
  <c r="L97" i="2"/>
  <c r="N97" i="2" s="1"/>
  <c r="O97" i="2" s="1"/>
  <c r="AF98" i="2"/>
  <c r="AV98" i="2"/>
  <c r="N96" i="2"/>
  <c r="O96" i="2" s="1"/>
  <c r="H98" i="2"/>
  <c r="AJ98" i="2"/>
  <c r="AZ98" i="2"/>
  <c r="K99" i="2" l="1"/>
  <c r="Q99" i="2"/>
  <c r="AW99" i="2"/>
  <c r="S99" i="2"/>
  <c r="V99" i="2"/>
  <c r="U99" i="2"/>
  <c r="AH99" i="2"/>
  <c r="C100" i="2"/>
  <c r="D100" i="2"/>
  <c r="AD99" i="2"/>
  <c r="Y99" i="2"/>
  <c r="AP99" i="2"/>
  <c r="AC99" i="2"/>
  <c r="W99" i="2"/>
  <c r="AL99" i="2"/>
  <c r="AG99" i="2"/>
  <c r="R99" i="2"/>
  <c r="AX99" i="2"/>
  <c r="AK99" i="2"/>
  <c r="AA99" i="2"/>
  <c r="AT99" i="2"/>
  <c r="AO99" i="2"/>
  <c r="Z99" i="2"/>
  <c r="AS99" i="2"/>
  <c r="AQ99" i="2"/>
  <c r="AI99" i="2"/>
  <c r="BA99" i="2"/>
  <c r="AE99" i="2"/>
  <c r="AM99" i="2"/>
  <c r="T99" i="2"/>
  <c r="X99" i="2"/>
  <c r="AU99" i="2"/>
  <c r="AJ99" i="2"/>
  <c r="L98" i="2"/>
  <c r="AF99" i="2"/>
  <c r="AV99" i="2"/>
  <c r="H99" i="2"/>
  <c r="AZ99" i="2"/>
  <c r="AN99" i="2"/>
  <c r="B101" i="2"/>
  <c r="P100" i="2"/>
  <c r="M100" i="2" s="1"/>
  <c r="I100" i="2"/>
  <c r="J100" i="2"/>
  <c r="AY99" i="2"/>
  <c r="AB99" i="2"/>
  <c r="AR99" i="2"/>
  <c r="K100" i="2" l="1"/>
  <c r="AO100" i="2"/>
  <c r="AX100" i="2"/>
  <c r="AT100" i="2"/>
  <c r="Y100" i="2"/>
  <c r="R100" i="2"/>
  <c r="AL100" i="2"/>
  <c r="AG100" i="2"/>
  <c r="Z100" i="2"/>
  <c r="AY100" i="2"/>
  <c r="V100" i="2"/>
  <c r="Q100" i="2"/>
  <c r="AW100" i="2"/>
  <c r="AK100" i="2"/>
  <c r="D101" i="2"/>
  <c r="C101" i="2"/>
  <c r="AD100" i="2"/>
  <c r="AA100" i="2"/>
  <c r="AP100" i="2"/>
  <c r="AS100" i="2"/>
  <c r="W100" i="2"/>
  <c r="AH100" i="2"/>
  <c r="U100" i="2"/>
  <c r="BA100" i="2"/>
  <c r="AE100" i="2"/>
  <c r="AC100" i="2"/>
  <c r="S100" i="2"/>
  <c r="AI100" i="2"/>
  <c r="AU100" i="2"/>
  <c r="AM100" i="2"/>
  <c r="AF100" i="2"/>
  <c r="AV100" i="2"/>
  <c r="H100" i="2"/>
  <c r="AQ100" i="2"/>
  <c r="T100" i="2"/>
  <c r="AJ100" i="2"/>
  <c r="AZ100" i="2"/>
  <c r="L99" i="2"/>
  <c r="X100" i="2"/>
  <c r="AN100" i="2"/>
  <c r="B102" i="2"/>
  <c r="P101" i="2"/>
  <c r="M101" i="2" s="1"/>
  <c r="I101" i="2"/>
  <c r="J101" i="2"/>
  <c r="N98" i="2"/>
  <c r="O98" i="2" s="1"/>
  <c r="AB100" i="2"/>
  <c r="AR100" i="2"/>
  <c r="K101" i="2" l="1"/>
  <c r="C102" i="2"/>
  <c r="D102" i="2"/>
  <c r="Q101" i="2"/>
  <c r="AW101" i="2"/>
  <c r="BA101" i="2"/>
  <c r="V101" i="2"/>
  <c r="AH101" i="2"/>
  <c r="AE101" i="2"/>
  <c r="U101" i="2"/>
  <c r="Y101" i="2"/>
  <c r="AP101" i="2"/>
  <c r="AC101" i="2"/>
  <c r="S101" i="2"/>
  <c r="AI101" i="2"/>
  <c r="AJ101" i="2"/>
  <c r="AD101" i="2"/>
  <c r="AL101" i="2"/>
  <c r="AG101" i="2"/>
  <c r="R101" i="2"/>
  <c r="AX101" i="2"/>
  <c r="AK101" i="2"/>
  <c r="W101" i="2"/>
  <c r="AQ101" i="2"/>
  <c r="AT101" i="2"/>
  <c r="AO101" i="2"/>
  <c r="Z101" i="2"/>
  <c r="AS101" i="2"/>
  <c r="AA101" i="2"/>
  <c r="AY101" i="2"/>
  <c r="AZ101" i="2"/>
  <c r="AM101" i="2"/>
  <c r="T101" i="2"/>
  <c r="AU101" i="2"/>
  <c r="X101" i="2"/>
  <c r="AN101" i="2"/>
  <c r="B103" i="2"/>
  <c r="P102" i="2"/>
  <c r="M102" i="2" s="1"/>
  <c r="J102" i="2"/>
  <c r="I102" i="2"/>
  <c r="N99" i="2"/>
  <c r="O99" i="2" s="1"/>
  <c r="H101" i="2"/>
  <c r="AB101" i="2"/>
  <c r="AR101" i="2"/>
  <c r="AF101" i="2"/>
  <c r="AV101" i="2"/>
  <c r="L100" i="2"/>
  <c r="N100" i="2" s="1"/>
  <c r="O100" i="2" s="1"/>
  <c r="K102" i="2" l="1"/>
  <c r="AL102" i="2"/>
  <c r="D103" i="2"/>
  <c r="C103" i="2"/>
  <c r="AG102" i="2"/>
  <c r="R102" i="2"/>
  <c r="AC102" i="2"/>
  <c r="AT102" i="2"/>
  <c r="AO102" i="2"/>
  <c r="AP102" i="2"/>
  <c r="AK102" i="2"/>
  <c r="V102" i="2"/>
  <c r="Q102" i="2"/>
  <c r="AW102" i="2"/>
  <c r="AX102" i="2"/>
  <c r="S102" i="2"/>
  <c r="AD102" i="2"/>
  <c r="Y102" i="2"/>
  <c r="AI102" i="2"/>
  <c r="W102" i="2"/>
  <c r="AM102" i="2"/>
  <c r="T102" i="2"/>
  <c r="Z102" i="2"/>
  <c r="AS102" i="2"/>
  <c r="AA102" i="2"/>
  <c r="AQ102" i="2"/>
  <c r="AB102" i="2"/>
  <c r="AH102" i="2"/>
  <c r="U102" i="2"/>
  <c r="BA102" i="2"/>
  <c r="AE102" i="2"/>
  <c r="AY102" i="2"/>
  <c r="AR102" i="2"/>
  <c r="AF102" i="2"/>
  <c r="AV102" i="2"/>
  <c r="L101" i="2"/>
  <c r="H102" i="2"/>
  <c r="AJ102" i="2"/>
  <c r="AZ102" i="2"/>
  <c r="AU102" i="2"/>
  <c r="X102" i="2"/>
  <c r="AN102" i="2"/>
  <c r="B104" i="2"/>
  <c r="P103" i="2"/>
  <c r="M103" i="2" s="1"/>
  <c r="I103" i="2"/>
  <c r="J103" i="2"/>
  <c r="K103" i="2" l="1"/>
  <c r="AT103" i="2"/>
  <c r="C104" i="2"/>
  <c r="D104" i="2"/>
  <c r="V103" i="2"/>
  <c r="R103" i="2"/>
  <c r="AD103" i="2"/>
  <c r="Y103" i="2"/>
  <c r="AX103" i="2"/>
  <c r="Q103" i="2"/>
  <c r="AL103" i="2"/>
  <c r="AG103" i="2"/>
  <c r="AO103" i="2"/>
  <c r="Z103" i="2"/>
  <c r="W103" i="2"/>
  <c r="AW103" i="2"/>
  <c r="AH103" i="2"/>
  <c r="AA103" i="2"/>
  <c r="T103" i="2"/>
  <c r="AP103" i="2"/>
  <c r="AS103" i="2"/>
  <c r="AQ103" i="2"/>
  <c r="AK103" i="2"/>
  <c r="AM103" i="2"/>
  <c r="AC103" i="2"/>
  <c r="S103" i="2"/>
  <c r="AI103" i="2"/>
  <c r="AY103" i="2"/>
  <c r="AB103" i="2"/>
  <c r="AR103" i="2"/>
  <c r="U103" i="2"/>
  <c r="BA103" i="2"/>
  <c r="AE103" i="2"/>
  <c r="AU103" i="2"/>
  <c r="X103" i="2"/>
  <c r="N101" i="2"/>
  <c r="O101" i="2" s="1"/>
  <c r="AF103" i="2"/>
  <c r="AV103" i="2"/>
  <c r="L102" i="2"/>
  <c r="N102" i="2" s="1"/>
  <c r="H103" i="2"/>
  <c r="AJ103" i="2"/>
  <c r="AZ103" i="2"/>
  <c r="AN103" i="2"/>
  <c r="B105" i="2"/>
  <c r="P104" i="2"/>
  <c r="M104" i="2" s="1"/>
  <c r="I104" i="2"/>
  <c r="J104" i="2"/>
  <c r="K104" i="2" l="1"/>
  <c r="D105" i="2"/>
  <c r="C105" i="2"/>
  <c r="AG104" i="2"/>
  <c r="R104" i="2"/>
  <c r="AL104" i="2"/>
  <c r="AS104" i="2"/>
  <c r="AX104" i="2"/>
  <c r="AT104" i="2"/>
  <c r="AO104" i="2"/>
  <c r="Z104" i="2"/>
  <c r="S104" i="2"/>
  <c r="AW104" i="2"/>
  <c r="AH104" i="2"/>
  <c r="U104" i="2"/>
  <c r="W104" i="2"/>
  <c r="V104" i="2"/>
  <c r="Q104" i="2"/>
  <c r="AD104" i="2"/>
  <c r="Y104" i="2"/>
  <c r="AP104" i="2"/>
  <c r="AC104" i="2"/>
  <c r="AQ104" i="2"/>
  <c r="AM104" i="2"/>
  <c r="AJ104" i="2"/>
  <c r="AZ104" i="2"/>
  <c r="AK104" i="2"/>
  <c r="AA104" i="2"/>
  <c r="T104" i="2"/>
  <c r="O102" i="2"/>
  <c r="H104" i="2"/>
  <c r="BA104" i="2"/>
  <c r="AE104" i="2"/>
  <c r="AU104" i="2"/>
  <c r="X104" i="2"/>
  <c r="AN104" i="2"/>
  <c r="B106" i="2"/>
  <c r="P105" i="2"/>
  <c r="M105" i="2" s="1"/>
  <c r="I105" i="2"/>
  <c r="J105" i="2"/>
  <c r="L103" i="2"/>
  <c r="AI104" i="2"/>
  <c r="AY104" i="2"/>
  <c r="AB104" i="2"/>
  <c r="AR104" i="2"/>
  <c r="AF104" i="2"/>
  <c r="AV104" i="2"/>
  <c r="K105" i="2" l="1"/>
  <c r="Y105" i="2"/>
  <c r="C106" i="2"/>
  <c r="D106" i="2"/>
  <c r="AG105" i="2"/>
  <c r="AC105" i="2"/>
  <c r="S105" i="2"/>
  <c r="AD105" i="2"/>
  <c r="AP105" i="2"/>
  <c r="AI105" i="2"/>
  <c r="AX105" i="2"/>
  <c r="AK105" i="2"/>
  <c r="W105" i="2"/>
  <c r="AM105" i="2"/>
  <c r="X105" i="2"/>
  <c r="R105" i="2"/>
  <c r="AT105" i="2"/>
  <c r="AO105" i="2"/>
  <c r="Z105" i="2"/>
  <c r="AS105" i="2"/>
  <c r="AA105" i="2"/>
  <c r="AQ105" i="2"/>
  <c r="AL105" i="2"/>
  <c r="V105" i="2"/>
  <c r="Q105" i="2"/>
  <c r="AW105" i="2"/>
  <c r="AH105" i="2"/>
  <c r="U105" i="2"/>
  <c r="BA105" i="2"/>
  <c r="AE105" i="2"/>
  <c r="AU105" i="2"/>
  <c r="AN105" i="2"/>
  <c r="N103" i="2"/>
  <c r="O103" i="2" s="1"/>
  <c r="AY105" i="2"/>
  <c r="AB105" i="2"/>
  <c r="AR105" i="2"/>
  <c r="AF105" i="2"/>
  <c r="AV105" i="2"/>
  <c r="L104" i="2"/>
  <c r="B107" i="2"/>
  <c r="P106" i="2"/>
  <c r="M106" i="2" s="1"/>
  <c r="J106" i="2"/>
  <c r="I106" i="2"/>
  <c r="H105" i="2"/>
  <c r="T105" i="2"/>
  <c r="AJ105" i="2"/>
  <c r="AZ105" i="2"/>
  <c r="K106" i="2" l="1"/>
  <c r="AD106" i="2"/>
  <c r="Y106" i="2"/>
  <c r="R106" i="2"/>
  <c r="AL106" i="2"/>
  <c r="AG106" i="2"/>
  <c r="Z106" i="2"/>
  <c r="AC106" i="2"/>
  <c r="D107" i="2"/>
  <c r="C107" i="2"/>
  <c r="AT106" i="2"/>
  <c r="AH106" i="2"/>
  <c r="BA106" i="2"/>
  <c r="U106" i="2"/>
  <c r="AO106" i="2"/>
  <c r="V106" i="2"/>
  <c r="Q106" i="2"/>
  <c r="AW106" i="2"/>
  <c r="AP106" i="2"/>
  <c r="AE106" i="2"/>
  <c r="S106" i="2"/>
  <c r="AI106" i="2"/>
  <c r="AX106" i="2"/>
  <c r="AK106" i="2"/>
  <c r="W106" i="2"/>
  <c r="AQ106" i="2"/>
  <c r="AS106" i="2"/>
  <c r="AA106" i="2"/>
  <c r="AU106" i="2"/>
  <c r="AM106" i="2"/>
  <c r="X106" i="2"/>
  <c r="AN106" i="2"/>
  <c r="AY106" i="2"/>
  <c r="AB106" i="2"/>
  <c r="AR106" i="2"/>
  <c r="B108" i="2"/>
  <c r="P107" i="2"/>
  <c r="M107" i="2" s="1"/>
  <c r="I107" i="2"/>
  <c r="J107" i="2"/>
  <c r="AF106" i="2"/>
  <c r="AV106" i="2"/>
  <c r="N104" i="2"/>
  <c r="O104" i="2" s="1"/>
  <c r="L105" i="2"/>
  <c r="N105" i="2" s="1"/>
  <c r="H106" i="2"/>
  <c r="T106" i="2"/>
  <c r="AJ106" i="2"/>
  <c r="AZ106" i="2"/>
  <c r="K107" i="2" l="1"/>
  <c r="C108" i="2"/>
  <c r="D108" i="2"/>
  <c r="AL107" i="2"/>
  <c r="AG107" i="2"/>
  <c r="AA107" i="2"/>
  <c r="AX107" i="2"/>
  <c r="AK107" i="2"/>
  <c r="R107" i="2"/>
  <c r="W107" i="2"/>
  <c r="AT107" i="2"/>
  <c r="Z107" i="2"/>
  <c r="V107" i="2"/>
  <c r="Q107" i="2"/>
  <c r="AW107" i="2"/>
  <c r="AH107" i="2"/>
  <c r="U107" i="2"/>
  <c r="BA107" i="2"/>
  <c r="AE107" i="2"/>
  <c r="AO107" i="2"/>
  <c r="AS107" i="2"/>
  <c r="AD107" i="2"/>
  <c r="Y107" i="2"/>
  <c r="AP107" i="2"/>
  <c r="AC107" i="2"/>
  <c r="S107" i="2"/>
  <c r="AI107" i="2"/>
  <c r="AM107" i="2"/>
  <c r="T107" i="2"/>
  <c r="O105" i="2"/>
  <c r="AQ107" i="2"/>
  <c r="AB107" i="2"/>
  <c r="AY107" i="2"/>
  <c r="AU107" i="2"/>
  <c r="X107" i="2"/>
  <c r="AN107" i="2"/>
  <c r="B109" i="2"/>
  <c r="P108" i="2"/>
  <c r="M108" i="2" s="1"/>
  <c r="I108" i="2"/>
  <c r="J108" i="2"/>
  <c r="AR107" i="2"/>
  <c r="L106" i="2"/>
  <c r="N106" i="2" s="1"/>
  <c r="AF107" i="2"/>
  <c r="AV107" i="2"/>
  <c r="H107" i="2"/>
  <c r="AJ107" i="2"/>
  <c r="AZ107" i="2"/>
  <c r="K108" i="2" l="1"/>
  <c r="AL108" i="2"/>
  <c r="R108" i="2"/>
  <c r="D109" i="2"/>
  <c r="C109" i="2"/>
  <c r="AT108" i="2"/>
  <c r="AX108" i="2"/>
  <c r="W108" i="2"/>
  <c r="AO108" i="2"/>
  <c r="AS108" i="2"/>
  <c r="V108" i="2"/>
  <c r="Q108" i="2"/>
  <c r="AW108" i="2"/>
  <c r="AH108" i="2"/>
  <c r="U108" i="2"/>
  <c r="BA108" i="2"/>
  <c r="AM108" i="2"/>
  <c r="AG108" i="2"/>
  <c r="AK108" i="2"/>
  <c r="Z108" i="2"/>
  <c r="AI108" i="2"/>
  <c r="AD108" i="2"/>
  <c r="Y108" i="2"/>
  <c r="AP108" i="2"/>
  <c r="AC108" i="2"/>
  <c r="S108" i="2"/>
  <c r="AY108" i="2"/>
  <c r="O106" i="2"/>
  <c r="AE108" i="2"/>
  <c r="AU108" i="2"/>
  <c r="X108" i="2"/>
  <c r="AN108" i="2"/>
  <c r="B110" i="2"/>
  <c r="P109" i="2"/>
  <c r="M109" i="2" s="1"/>
  <c r="I109" i="2"/>
  <c r="J109" i="2"/>
  <c r="AB108" i="2"/>
  <c r="AR108" i="2"/>
  <c r="L107" i="2"/>
  <c r="AF108" i="2"/>
  <c r="AV108" i="2"/>
  <c r="H108" i="2"/>
  <c r="AA108" i="2"/>
  <c r="AQ108" i="2"/>
  <c r="T108" i="2"/>
  <c r="AJ108" i="2"/>
  <c r="AZ108" i="2"/>
  <c r="K109" i="2" l="1"/>
  <c r="Y109" i="2"/>
  <c r="C110" i="2"/>
  <c r="D110" i="2"/>
  <c r="AD109" i="2"/>
  <c r="AC109" i="2"/>
  <c r="S109" i="2"/>
  <c r="AP109" i="2"/>
  <c r="AI109" i="2"/>
  <c r="R109" i="2"/>
  <c r="W109" i="2"/>
  <c r="AO109" i="2"/>
  <c r="AS109" i="2"/>
  <c r="AA109" i="2"/>
  <c r="AQ109" i="2"/>
  <c r="AL109" i="2"/>
  <c r="AG109" i="2"/>
  <c r="AX109" i="2"/>
  <c r="AK109" i="2"/>
  <c r="AM109" i="2"/>
  <c r="AT109" i="2"/>
  <c r="Z109" i="2"/>
  <c r="V109" i="2"/>
  <c r="Q109" i="2"/>
  <c r="AW109" i="2"/>
  <c r="AH109" i="2"/>
  <c r="U109" i="2"/>
  <c r="BA109" i="2"/>
  <c r="AE109" i="2"/>
  <c r="AU109" i="2"/>
  <c r="AY109" i="2"/>
  <c r="N107" i="2"/>
  <c r="O107" i="2" s="1"/>
  <c r="AF109" i="2"/>
  <c r="AV109" i="2"/>
  <c r="L108" i="2"/>
  <c r="H109" i="2"/>
  <c r="T109" i="2"/>
  <c r="AJ109" i="2"/>
  <c r="AZ109" i="2"/>
  <c r="X109" i="2"/>
  <c r="AN109" i="2"/>
  <c r="B111" i="2"/>
  <c r="P110" i="2"/>
  <c r="M110" i="2" s="1"/>
  <c r="J110" i="2"/>
  <c r="I110" i="2"/>
  <c r="AB109" i="2"/>
  <c r="AR109" i="2"/>
  <c r="K110" i="2" l="1"/>
  <c r="AL110" i="2"/>
  <c r="AO110" i="2"/>
  <c r="AK110" i="2"/>
  <c r="Q110" i="2"/>
  <c r="S110" i="2"/>
  <c r="V110" i="2"/>
  <c r="D111" i="2"/>
  <c r="C111" i="2"/>
  <c r="AC110" i="2"/>
  <c r="AG110" i="2"/>
  <c r="BA110" i="2"/>
  <c r="Z110" i="2"/>
  <c r="AP110" i="2"/>
  <c r="W110" i="2"/>
  <c r="AS110" i="2"/>
  <c r="AW110" i="2"/>
  <c r="AD110" i="2"/>
  <c r="AT110" i="2"/>
  <c r="AA110" i="2"/>
  <c r="Y110" i="2"/>
  <c r="U110" i="2"/>
  <c r="R110" i="2"/>
  <c r="AH110" i="2"/>
  <c r="AX110" i="2"/>
  <c r="AE110" i="2"/>
  <c r="AI110" i="2"/>
  <c r="AM110" i="2"/>
  <c r="AY110" i="2"/>
  <c r="AQ110" i="2"/>
  <c r="X110" i="2"/>
  <c r="AU110" i="2"/>
  <c r="AB110" i="2"/>
  <c r="AR110" i="2"/>
  <c r="AJ110" i="2"/>
  <c r="T110" i="2"/>
  <c r="AN110" i="2"/>
  <c r="H110" i="2"/>
  <c r="AZ110" i="2"/>
  <c r="B112" i="2"/>
  <c r="P111" i="2"/>
  <c r="M111" i="2" s="1"/>
  <c r="J111" i="2"/>
  <c r="I111" i="2"/>
  <c r="N108" i="2"/>
  <c r="O108" i="2" s="1"/>
  <c r="AF110" i="2"/>
  <c r="AV110" i="2"/>
  <c r="L109" i="2"/>
  <c r="N109" i="2" s="1"/>
  <c r="O109" i="2" s="1"/>
  <c r="K111" i="2" l="1"/>
  <c r="AS111" i="2"/>
  <c r="V111" i="2"/>
  <c r="U111" i="2"/>
  <c r="AL111" i="2"/>
  <c r="Y111" i="2"/>
  <c r="Q111" i="2"/>
  <c r="AK111" i="2"/>
  <c r="Z111" i="2"/>
  <c r="AP111" i="2"/>
  <c r="AO111" i="2"/>
  <c r="AG111" i="2"/>
  <c r="BA111" i="2"/>
  <c r="AD111" i="2"/>
  <c r="AT111" i="2"/>
  <c r="AC111" i="2"/>
  <c r="AW111" i="2"/>
  <c r="R111" i="2"/>
  <c r="AH111" i="2"/>
  <c r="S111" i="2"/>
  <c r="W111" i="2"/>
  <c r="C112" i="2"/>
  <c r="D112" i="2"/>
  <c r="AA111" i="2"/>
  <c r="AM111" i="2"/>
  <c r="AQ111" i="2"/>
  <c r="AI111" i="2"/>
  <c r="AY111" i="2"/>
  <c r="AB111" i="2"/>
  <c r="AR111" i="2"/>
  <c r="AF111" i="2"/>
  <c r="AV111" i="2"/>
  <c r="L110" i="2"/>
  <c r="H111" i="2"/>
  <c r="T111" i="2"/>
  <c r="AJ111" i="2"/>
  <c r="AZ111" i="2"/>
  <c r="AX111" i="2"/>
  <c r="AE111" i="2"/>
  <c r="AU111" i="2"/>
  <c r="X111" i="2"/>
  <c r="AN111" i="2"/>
  <c r="B113" i="2"/>
  <c r="P112" i="2"/>
  <c r="M112" i="2" s="1"/>
  <c r="J112" i="2"/>
  <c r="I112" i="2"/>
  <c r="K112" i="2" l="1"/>
  <c r="D113" i="2"/>
  <c r="C113" i="2"/>
  <c r="Y112" i="2"/>
  <c r="R112" i="2"/>
  <c r="AH112" i="2"/>
  <c r="U112" i="2"/>
  <c r="AX112" i="2"/>
  <c r="Q112" i="2"/>
  <c r="V112" i="2"/>
  <c r="S112" i="2"/>
  <c r="AC112" i="2"/>
  <c r="AG112" i="2"/>
  <c r="BA112" i="2"/>
  <c r="Z112" i="2"/>
  <c r="AP112" i="2"/>
  <c r="W112" i="2"/>
  <c r="AO112" i="2"/>
  <c r="AK112" i="2"/>
  <c r="AL112" i="2"/>
  <c r="AS112" i="2"/>
  <c r="AW112" i="2"/>
  <c r="AD112" i="2"/>
  <c r="AT112" i="2"/>
  <c r="AA112" i="2"/>
  <c r="AI112" i="2"/>
  <c r="AM112" i="2"/>
  <c r="AE112" i="2"/>
  <c r="AU112" i="2"/>
  <c r="X112" i="2"/>
  <c r="AN112" i="2"/>
  <c r="B114" i="2"/>
  <c r="P113" i="2"/>
  <c r="M113" i="2" s="1"/>
  <c r="I113" i="2"/>
  <c r="J113" i="2"/>
  <c r="N110" i="2"/>
  <c r="O110" i="2" s="1"/>
  <c r="AY112" i="2"/>
  <c r="AB112" i="2"/>
  <c r="AR112" i="2"/>
  <c r="L111" i="2"/>
  <c r="AF112" i="2"/>
  <c r="AV112" i="2"/>
  <c r="H112" i="2"/>
  <c r="AQ112" i="2"/>
  <c r="T112" i="2"/>
  <c r="AJ112" i="2"/>
  <c r="AZ112" i="2"/>
  <c r="K113" i="2" l="1"/>
  <c r="C114" i="2"/>
  <c r="D114" i="2"/>
  <c r="AT113" i="2"/>
  <c r="AW113" i="2"/>
  <c r="AA113" i="2"/>
  <c r="AS113" i="2"/>
  <c r="AD113" i="2"/>
  <c r="Y113" i="2"/>
  <c r="U113" i="2"/>
  <c r="R113" i="2"/>
  <c r="AH113" i="2"/>
  <c r="AX113" i="2"/>
  <c r="AE113" i="2"/>
  <c r="AO113" i="2"/>
  <c r="Q113" i="2"/>
  <c r="AK113" i="2"/>
  <c r="V113" i="2"/>
  <c r="AL113" i="2"/>
  <c r="S113" i="2"/>
  <c r="AI113" i="2"/>
  <c r="AC113" i="2"/>
  <c r="AG113" i="2"/>
  <c r="BA113" i="2"/>
  <c r="Z113" i="2"/>
  <c r="AP113" i="2"/>
  <c r="W113" i="2"/>
  <c r="AU113" i="2"/>
  <c r="AQ113" i="2"/>
  <c r="X113" i="2"/>
  <c r="AJ113" i="2"/>
  <c r="AM113" i="2"/>
  <c r="T113" i="2"/>
  <c r="AF113" i="2"/>
  <c r="AV113" i="2"/>
  <c r="L112" i="2"/>
  <c r="N112" i="2" s="1"/>
  <c r="H113" i="2"/>
  <c r="AZ113" i="2"/>
  <c r="N111" i="2"/>
  <c r="O111" i="2" s="1"/>
  <c r="AN113" i="2"/>
  <c r="B115" i="2"/>
  <c r="P114" i="2"/>
  <c r="M114" i="2" s="1"/>
  <c r="J114" i="2"/>
  <c r="I114" i="2"/>
  <c r="AY113" i="2"/>
  <c r="AB113" i="2"/>
  <c r="AR113" i="2"/>
  <c r="AW114" i="2" l="1"/>
  <c r="K114" i="2"/>
  <c r="D115" i="2"/>
  <c r="C115" i="2"/>
  <c r="AS114" i="2"/>
  <c r="U114" i="2"/>
  <c r="AO114" i="2"/>
  <c r="Q114" i="2"/>
  <c r="AK114" i="2"/>
  <c r="Z114" i="2"/>
  <c r="Y114" i="2"/>
  <c r="V114" i="2"/>
  <c r="AC114" i="2"/>
  <c r="AG114" i="2"/>
  <c r="BA114" i="2"/>
  <c r="S114" i="2"/>
  <c r="AP114" i="2"/>
  <c r="AD114" i="2"/>
  <c r="AM114" i="2"/>
  <c r="W114" i="2"/>
  <c r="R114" i="2"/>
  <c r="AL114" i="2"/>
  <c r="AI114" i="2"/>
  <c r="AH114" i="2"/>
  <c r="AX114" i="2"/>
  <c r="AE114" i="2"/>
  <c r="AU114" i="2"/>
  <c r="X114" i="2"/>
  <c r="AN114" i="2"/>
  <c r="B116" i="2"/>
  <c r="P115" i="2"/>
  <c r="M115" i="2" s="1"/>
  <c r="J115" i="2"/>
  <c r="I115" i="2"/>
  <c r="L113" i="2"/>
  <c r="N113" i="2" s="1"/>
  <c r="O113" i="2" s="1"/>
  <c r="O112" i="2"/>
  <c r="AY114" i="2"/>
  <c r="AB114" i="2"/>
  <c r="AR114" i="2"/>
  <c r="AF114" i="2"/>
  <c r="AV114" i="2"/>
  <c r="H114" i="2"/>
  <c r="AT114" i="2"/>
  <c r="AA114" i="2"/>
  <c r="AQ114" i="2"/>
  <c r="T114" i="2"/>
  <c r="AJ114" i="2"/>
  <c r="AZ114" i="2"/>
  <c r="K115" i="2" l="1"/>
  <c r="U115" i="2"/>
  <c r="AO115" i="2"/>
  <c r="AD115" i="2"/>
  <c r="R115" i="2"/>
  <c r="Q115" i="2"/>
  <c r="AL115" i="2"/>
  <c r="AS115" i="2"/>
  <c r="AK115" i="2"/>
  <c r="AH115" i="2"/>
  <c r="C116" i="2"/>
  <c r="D116" i="2"/>
  <c r="Y115" i="2"/>
  <c r="AW115" i="2"/>
  <c r="V115" i="2"/>
  <c r="S115" i="2"/>
  <c r="AX115" i="2"/>
  <c r="AT115" i="2"/>
  <c r="AI115" i="2"/>
  <c r="AM115" i="2"/>
  <c r="AC115" i="2"/>
  <c r="AG115" i="2"/>
  <c r="BA115" i="2"/>
  <c r="Z115" i="2"/>
  <c r="AP115" i="2"/>
  <c r="W115" i="2"/>
  <c r="L114" i="2"/>
  <c r="H115" i="2"/>
  <c r="AA115" i="2"/>
  <c r="AQ115" i="2"/>
  <c r="T115" i="2"/>
  <c r="AJ115" i="2"/>
  <c r="AZ115" i="2"/>
  <c r="AE115" i="2"/>
  <c r="AU115" i="2"/>
  <c r="X115" i="2"/>
  <c r="AN115" i="2"/>
  <c r="B117" i="2"/>
  <c r="P116" i="2"/>
  <c r="M116" i="2" s="1"/>
  <c r="J116" i="2"/>
  <c r="I116" i="2"/>
  <c r="AY115" i="2"/>
  <c r="AB115" i="2"/>
  <c r="AR115" i="2"/>
  <c r="AF115" i="2"/>
  <c r="AV115" i="2"/>
  <c r="K116" i="2" l="1"/>
  <c r="AO116" i="2"/>
  <c r="D117" i="2"/>
  <c r="C117" i="2"/>
  <c r="Z116" i="2"/>
  <c r="AG116" i="2"/>
  <c r="AC116" i="2"/>
  <c r="AP116" i="2"/>
  <c r="BA116" i="2"/>
  <c r="W116" i="2"/>
  <c r="AK116" i="2"/>
  <c r="Q116" i="2"/>
  <c r="AM116" i="2"/>
  <c r="AS116" i="2"/>
  <c r="AW116" i="2"/>
  <c r="AD116" i="2"/>
  <c r="AT116" i="2"/>
  <c r="AA116" i="2"/>
  <c r="AQ116" i="2"/>
  <c r="T116" i="2"/>
  <c r="Y116" i="2"/>
  <c r="U116" i="2"/>
  <c r="R116" i="2"/>
  <c r="AH116" i="2"/>
  <c r="AX116" i="2"/>
  <c r="AE116" i="2"/>
  <c r="AU116" i="2"/>
  <c r="X116" i="2"/>
  <c r="V116" i="2"/>
  <c r="AL116" i="2"/>
  <c r="S116" i="2"/>
  <c r="AI116" i="2"/>
  <c r="AY116" i="2"/>
  <c r="H116" i="2"/>
  <c r="AJ116" i="2"/>
  <c r="AZ116" i="2"/>
  <c r="AN116" i="2"/>
  <c r="B118" i="2"/>
  <c r="P117" i="2"/>
  <c r="M117" i="2" s="1"/>
  <c r="I117" i="2"/>
  <c r="J117" i="2"/>
  <c r="AB116" i="2"/>
  <c r="AR116" i="2"/>
  <c r="N114" i="2"/>
  <c r="O114" i="2" s="1"/>
  <c r="AF116" i="2"/>
  <c r="AV116" i="2"/>
  <c r="L115" i="2"/>
  <c r="K117" i="2" l="1"/>
  <c r="AG117" i="2"/>
  <c r="AK117" i="2"/>
  <c r="AO117" i="2"/>
  <c r="AC117" i="2"/>
  <c r="C118" i="2"/>
  <c r="D118" i="2"/>
  <c r="W117" i="2"/>
  <c r="BA117" i="2"/>
  <c r="Q117" i="2"/>
  <c r="AP117" i="2"/>
  <c r="V117" i="2"/>
  <c r="Z117" i="2"/>
  <c r="AL117" i="2"/>
  <c r="AM117" i="2"/>
  <c r="S117" i="2"/>
  <c r="AS117" i="2"/>
  <c r="AW117" i="2"/>
  <c r="AD117" i="2"/>
  <c r="AT117" i="2"/>
  <c r="AA117" i="2"/>
  <c r="AQ117" i="2"/>
  <c r="T117" i="2"/>
  <c r="Y117" i="2"/>
  <c r="U117" i="2"/>
  <c r="R117" i="2"/>
  <c r="AH117" i="2"/>
  <c r="AX117" i="2"/>
  <c r="AE117" i="2"/>
  <c r="AU117" i="2"/>
  <c r="AI117" i="2"/>
  <c r="AY117" i="2"/>
  <c r="H117" i="2"/>
  <c r="AJ117" i="2"/>
  <c r="AZ117" i="2"/>
  <c r="N115" i="2"/>
  <c r="O115" i="2" s="1"/>
  <c r="X117" i="2"/>
  <c r="AN117" i="2"/>
  <c r="B119" i="2"/>
  <c r="P118" i="2"/>
  <c r="M118" i="2" s="1"/>
  <c r="J118" i="2"/>
  <c r="I118" i="2"/>
  <c r="L116" i="2"/>
  <c r="N116" i="2" s="1"/>
  <c r="AB117" i="2"/>
  <c r="AR117" i="2"/>
  <c r="AF117" i="2"/>
  <c r="AV117" i="2"/>
  <c r="K118" i="2" l="1"/>
  <c r="D119" i="2"/>
  <c r="C119" i="2"/>
  <c r="U118" i="2"/>
  <c r="Y118" i="2"/>
  <c r="R118" i="2"/>
  <c r="AL118" i="2"/>
  <c r="AO118" i="2"/>
  <c r="AK118" i="2"/>
  <c r="AP118" i="2"/>
  <c r="AC118" i="2"/>
  <c r="AG118" i="2"/>
  <c r="BA118" i="2"/>
  <c r="Z118" i="2"/>
  <c r="AT118" i="2"/>
  <c r="Q118" i="2"/>
  <c r="V118" i="2"/>
  <c r="AS118" i="2"/>
  <c r="AW118" i="2"/>
  <c r="AD118" i="2"/>
  <c r="W118" i="2"/>
  <c r="AA118" i="2"/>
  <c r="AM118" i="2"/>
  <c r="AQ118" i="2"/>
  <c r="O116" i="2"/>
  <c r="S118" i="2"/>
  <c r="AI118" i="2"/>
  <c r="AY118" i="2"/>
  <c r="AB118" i="2"/>
  <c r="AR118" i="2"/>
  <c r="AF118" i="2"/>
  <c r="AV118" i="2"/>
  <c r="L117" i="2"/>
  <c r="H118" i="2"/>
  <c r="T118" i="2"/>
  <c r="AJ118" i="2"/>
  <c r="AZ118" i="2"/>
  <c r="AH118" i="2"/>
  <c r="AX118" i="2"/>
  <c r="AE118" i="2"/>
  <c r="AU118" i="2"/>
  <c r="X118" i="2"/>
  <c r="AN118" i="2"/>
  <c r="B120" i="2"/>
  <c r="P119" i="2"/>
  <c r="M119" i="2" s="1"/>
  <c r="J119" i="2"/>
  <c r="I119" i="2"/>
  <c r="K119" i="2" l="1"/>
  <c r="C120" i="2"/>
  <c r="D120" i="2"/>
  <c r="Y119" i="2"/>
  <c r="R119" i="2"/>
  <c r="U119" i="2"/>
  <c r="AH119" i="2"/>
  <c r="AX119" i="2"/>
  <c r="AE119" i="2"/>
  <c r="AO119" i="2"/>
  <c r="AK119" i="2"/>
  <c r="AL119" i="2"/>
  <c r="AI119" i="2"/>
  <c r="X119" i="2"/>
  <c r="AC119" i="2"/>
  <c r="AG119" i="2"/>
  <c r="BA119" i="2"/>
  <c r="Z119" i="2"/>
  <c r="AP119" i="2"/>
  <c r="W119" i="2"/>
  <c r="AM119" i="2"/>
  <c r="Q119" i="2"/>
  <c r="V119" i="2"/>
  <c r="S119" i="2"/>
  <c r="AS119" i="2"/>
  <c r="AW119" i="2"/>
  <c r="AD119" i="2"/>
  <c r="AT119" i="2"/>
  <c r="AA119" i="2"/>
  <c r="AU119" i="2"/>
  <c r="H119" i="2"/>
  <c r="AQ119" i="2"/>
  <c r="T119" i="2"/>
  <c r="AJ119" i="2"/>
  <c r="AZ119" i="2"/>
  <c r="AN119" i="2"/>
  <c r="B121" i="2"/>
  <c r="P120" i="2"/>
  <c r="M120" i="2" s="1"/>
  <c r="J120" i="2"/>
  <c r="I120" i="2"/>
  <c r="AY119" i="2"/>
  <c r="AB119" i="2"/>
  <c r="AR119" i="2"/>
  <c r="N117" i="2"/>
  <c r="O117" i="2" s="1"/>
  <c r="AF119" i="2"/>
  <c r="AV119" i="2"/>
  <c r="L118" i="2"/>
  <c r="S120" i="2" l="1"/>
  <c r="K120" i="2"/>
  <c r="D121" i="2"/>
  <c r="C121" i="2"/>
  <c r="U120" i="2"/>
  <c r="Y120" i="2"/>
  <c r="V120" i="2"/>
  <c r="AO120" i="2"/>
  <c r="AK120" i="2"/>
  <c r="AH120" i="2"/>
  <c r="AE120" i="2"/>
  <c r="AL120" i="2"/>
  <c r="AI120" i="2"/>
  <c r="Q120" i="2"/>
  <c r="R120" i="2"/>
  <c r="AX120" i="2"/>
  <c r="AY120" i="2"/>
  <c r="AC120" i="2"/>
  <c r="AG120" i="2"/>
  <c r="BA120" i="2"/>
  <c r="Z120" i="2"/>
  <c r="AP120" i="2"/>
  <c r="W120" i="2"/>
  <c r="AM120" i="2"/>
  <c r="T120" i="2"/>
  <c r="AS120" i="2"/>
  <c r="AW120" i="2"/>
  <c r="AD120" i="2"/>
  <c r="AT120" i="2"/>
  <c r="AA120" i="2"/>
  <c r="AQ120" i="2"/>
  <c r="AB120" i="2"/>
  <c r="AR120" i="2"/>
  <c r="N118" i="2"/>
  <c r="O118" i="2" s="1"/>
  <c r="AF120" i="2"/>
  <c r="AV120" i="2"/>
  <c r="L119" i="2"/>
  <c r="H120" i="2"/>
  <c r="AJ120" i="2"/>
  <c r="AZ120" i="2"/>
  <c r="AU120" i="2"/>
  <c r="X120" i="2"/>
  <c r="AN120" i="2"/>
  <c r="B122" i="2"/>
  <c r="P121" i="2"/>
  <c r="M121" i="2" s="1"/>
  <c r="I121" i="2"/>
  <c r="J121" i="2"/>
  <c r="K121" i="2" l="1"/>
  <c r="U121" i="2"/>
  <c r="C122" i="2"/>
  <c r="D122" i="2"/>
  <c r="Z121" i="2"/>
  <c r="AD121" i="2"/>
  <c r="BA121" i="2"/>
  <c r="AT121" i="2"/>
  <c r="AS121" i="2"/>
  <c r="AX121" i="2"/>
  <c r="Y121" i="2"/>
  <c r="AG121" i="2"/>
  <c r="AH121" i="2"/>
  <c r="W121" i="2"/>
  <c r="AC121" i="2"/>
  <c r="AW121" i="2"/>
  <c r="R121" i="2"/>
  <c r="AP121" i="2"/>
  <c r="AE121" i="2"/>
  <c r="AM121" i="2"/>
  <c r="AO121" i="2"/>
  <c r="Q121" i="2"/>
  <c r="AK121" i="2"/>
  <c r="V121" i="2"/>
  <c r="AL121" i="2"/>
  <c r="S121" i="2"/>
  <c r="AU121" i="2"/>
  <c r="AI121" i="2"/>
  <c r="AY121" i="2"/>
  <c r="AB121" i="2"/>
  <c r="AR121" i="2"/>
  <c r="N119" i="2"/>
  <c r="O119" i="2" s="1"/>
  <c r="AF121" i="2"/>
  <c r="AV121" i="2"/>
  <c r="L120" i="2"/>
  <c r="H121" i="2"/>
  <c r="AA121" i="2"/>
  <c r="AQ121" i="2"/>
  <c r="T121" i="2"/>
  <c r="AJ121" i="2"/>
  <c r="AZ121" i="2"/>
  <c r="X121" i="2"/>
  <c r="AN121" i="2"/>
  <c r="B123" i="2"/>
  <c r="P122" i="2"/>
  <c r="M122" i="2" s="1"/>
  <c r="J122" i="2"/>
  <c r="I122" i="2"/>
  <c r="K122" i="2" l="1"/>
  <c r="D123" i="2"/>
  <c r="C123" i="2"/>
  <c r="AW122" i="2"/>
  <c r="AS122" i="2"/>
  <c r="V122" i="2"/>
  <c r="AT122" i="2"/>
  <c r="AK122" i="2"/>
  <c r="Q122" i="2"/>
  <c r="BA122" i="2"/>
  <c r="AM122" i="2"/>
  <c r="Y122" i="2"/>
  <c r="Z122" i="2"/>
  <c r="W122" i="2"/>
  <c r="AO122" i="2"/>
  <c r="AD122" i="2"/>
  <c r="AC122" i="2"/>
  <c r="AG122" i="2"/>
  <c r="AP122" i="2"/>
  <c r="AQ122" i="2"/>
  <c r="AA122" i="2"/>
  <c r="AL122" i="2"/>
  <c r="S122" i="2"/>
  <c r="AI122" i="2"/>
  <c r="AY122" i="2"/>
  <c r="AB122" i="2"/>
  <c r="AR122" i="2"/>
  <c r="AF122" i="2"/>
  <c r="AV122" i="2"/>
  <c r="T122" i="2"/>
  <c r="AJ122" i="2"/>
  <c r="AZ122" i="2"/>
  <c r="N120" i="2"/>
  <c r="O120" i="2" s="1"/>
  <c r="H122" i="2"/>
  <c r="U122" i="2"/>
  <c r="R122" i="2"/>
  <c r="AH122" i="2"/>
  <c r="AX122" i="2"/>
  <c r="AE122" i="2"/>
  <c r="AU122" i="2"/>
  <c r="X122" i="2"/>
  <c r="AN122" i="2"/>
  <c r="B124" i="2"/>
  <c r="P123" i="2"/>
  <c r="M123" i="2" s="1"/>
  <c r="J123" i="2"/>
  <c r="I123" i="2"/>
  <c r="L121" i="2"/>
  <c r="K123" i="2" l="1"/>
  <c r="AO123" i="2"/>
  <c r="D124" i="2"/>
  <c r="C124" i="2"/>
  <c r="Q123" i="2"/>
  <c r="Y123" i="2"/>
  <c r="AK123" i="2"/>
  <c r="V123" i="2"/>
  <c r="AL123" i="2"/>
  <c r="AC123" i="2"/>
  <c r="AS123" i="2"/>
  <c r="AW123" i="2"/>
  <c r="AD123" i="2"/>
  <c r="AT123" i="2"/>
  <c r="AA123" i="2"/>
  <c r="U123" i="2"/>
  <c r="R123" i="2"/>
  <c r="AH123" i="2"/>
  <c r="AX123" i="2"/>
  <c r="AI123" i="2"/>
  <c r="S123" i="2"/>
  <c r="AG123" i="2"/>
  <c r="BA123" i="2"/>
  <c r="Z123" i="2"/>
  <c r="AP123" i="2"/>
  <c r="W123" i="2"/>
  <c r="T123" i="2"/>
  <c r="AQ123" i="2"/>
  <c r="AM123" i="2"/>
  <c r="N121" i="2"/>
  <c r="O121" i="2" s="1"/>
  <c r="AE123" i="2"/>
  <c r="AU123" i="2"/>
  <c r="X123" i="2"/>
  <c r="AN123" i="2"/>
  <c r="B125" i="2"/>
  <c r="P124" i="2"/>
  <c r="M124" i="2" s="1"/>
  <c r="J124" i="2"/>
  <c r="I124" i="2"/>
  <c r="H123" i="2"/>
  <c r="AY123" i="2"/>
  <c r="AB123" i="2"/>
  <c r="AR123" i="2"/>
  <c r="L122" i="2"/>
  <c r="AF123" i="2"/>
  <c r="AV123" i="2"/>
  <c r="AJ123" i="2"/>
  <c r="AZ123" i="2"/>
  <c r="K124" i="2" l="1"/>
  <c r="AD124" i="2"/>
  <c r="AS124" i="2"/>
  <c r="C125" i="2"/>
  <c r="D125" i="2"/>
  <c r="AW124" i="2"/>
  <c r="AA124" i="2"/>
  <c r="AT124" i="2"/>
  <c r="Y124" i="2"/>
  <c r="U124" i="2"/>
  <c r="R124" i="2"/>
  <c r="AH124" i="2"/>
  <c r="AX124" i="2"/>
  <c r="AI124" i="2"/>
  <c r="AO124" i="2"/>
  <c r="Q124" i="2"/>
  <c r="AK124" i="2"/>
  <c r="V124" i="2"/>
  <c r="AL124" i="2"/>
  <c r="S124" i="2"/>
  <c r="AM124" i="2"/>
  <c r="AC124" i="2"/>
  <c r="AG124" i="2"/>
  <c r="BA124" i="2"/>
  <c r="Z124" i="2"/>
  <c r="AP124" i="2"/>
  <c r="W124" i="2"/>
  <c r="AY124" i="2"/>
  <c r="N122" i="2"/>
  <c r="O122" i="2" s="1"/>
  <c r="H124" i="2"/>
  <c r="AQ124" i="2"/>
  <c r="T124" i="2"/>
  <c r="AJ124" i="2"/>
  <c r="AZ124" i="2"/>
  <c r="L123" i="2"/>
  <c r="AE124" i="2"/>
  <c r="AU124" i="2"/>
  <c r="X124" i="2"/>
  <c r="AN124" i="2"/>
  <c r="B126" i="2"/>
  <c r="P125" i="2"/>
  <c r="M125" i="2" s="1"/>
  <c r="I125" i="2"/>
  <c r="J125" i="2"/>
  <c r="AB124" i="2"/>
  <c r="AR124" i="2"/>
  <c r="AF124" i="2"/>
  <c r="AV124" i="2"/>
  <c r="K125" i="2" l="1"/>
  <c r="AC125" i="2"/>
  <c r="BA125" i="2"/>
  <c r="AG125" i="2"/>
  <c r="AP125" i="2"/>
  <c r="W125" i="2"/>
  <c r="D126" i="2"/>
  <c r="C126" i="2"/>
  <c r="Z125" i="2"/>
  <c r="AS125" i="2"/>
  <c r="AW125" i="2"/>
  <c r="AD125" i="2"/>
  <c r="AT125" i="2"/>
  <c r="AA125" i="2"/>
  <c r="Y125" i="2"/>
  <c r="U125" i="2"/>
  <c r="R125" i="2"/>
  <c r="AH125" i="2"/>
  <c r="AX125" i="2"/>
  <c r="AM125" i="2"/>
  <c r="AO125" i="2"/>
  <c r="Q125" i="2"/>
  <c r="AK125" i="2"/>
  <c r="V125" i="2"/>
  <c r="AL125" i="2"/>
  <c r="S125" i="2"/>
  <c r="AQ125" i="2"/>
  <c r="AE125" i="2"/>
  <c r="AU125" i="2"/>
  <c r="X125" i="2"/>
  <c r="AN125" i="2"/>
  <c r="B127" i="2"/>
  <c r="P126" i="2"/>
  <c r="M126" i="2" s="1"/>
  <c r="J126" i="2"/>
  <c r="I126" i="2"/>
  <c r="L124" i="2"/>
  <c r="AI125" i="2"/>
  <c r="AY125" i="2"/>
  <c r="AB125" i="2"/>
  <c r="AR125" i="2"/>
  <c r="AF125" i="2"/>
  <c r="AV125" i="2"/>
  <c r="N123" i="2"/>
  <c r="O123" i="2" s="1"/>
  <c r="H125" i="2"/>
  <c r="T125" i="2"/>
  <c r="AJ125" i="2"/>
  <c r="AZ125" i="2"/>
  <c r="K126" i="2" l="1"/>
  <c r="Y126" i="2"/>
  <c r="AK126" i="2"/>
  <c r="Q126" i="2"/>
  <c r="AH126" i="2"/>
  <c r="AO126" i="2"/>
  <c r="AG126" i="2"/>
  <c r="BA126" i="2"/>
  <c r="AT126" i="2"/>
  <c r="AW126" i="2"/>
  <c r="R126" i="2"/>
  <c r="AX126" i="2"/>
  <c r="AC126" i="2"/>
  <c r="AS126" i="2"/>
  <c r="U126" i="2"/>
  <c r="AD126" i="2"/>
  <c r="AA126" i="2"/>
  <c r="D127" i="2"/>
  <c r="C127" i="2"/>
  <c r="V126" i="2"/>
  <c r="AL126" i="2"/>
  <c r="S126" i="2"/>
  <c r="Z126" i="2"/>
  <c r="AP126" i="2"/>
  <c r="W126" i="2"/>
  <c r="T126" i="2"/>
  <c r="AQ126" i="2"/>
  <c r="AM126" i="2"/>
  <c r="AI126" i="2"/>
  <c r="AY126" i="2"/>
  <c r="AE126" i="2"/>
  <c r="AU126" i="2"/>
  <c r="L125" i="2"/>
  <c r="AF126" i="2"/>
  <c r="AV126" i="2"/>
  <c r="H126" i="2"/>
  <c r="AJ126" i="2"/>
  <c r="AZ126" i="2"/>
  <c r="N124" i="2"/>
  <c r="O124" i="2" s="1"/>
  <c r="X126" i="2"/>
  <c r="AN126" i="2"/>
  <c r="B128" i="2"/>
  <c r="P127" i="2"/>
  <c r="M127" i="2" s="1"/>
  <c r="J127" i="2"/>
  <c r="I127" i="2"/>
  <c r="AB126" i="2"/>
  <c r="AR126" i="2"/>
  <c r="V127" i="2" l="1"/>
  <c r="K127" i="2"/>
  <c r="U127" i="2"/>
  <c r="AS127" i="2"/>
  <c r="AO127" i="2"/>
  <c r="BA127" i="2"/>
  <c r="AG127" i="2"/>
  <c r="AL127" i="2"/>
  <c r="AC127" i="2"/>
  <c r="AW127" i="2"/>
  <c r="R127" i="2"/>
  <c r="W127" i="2"/>
  <c r="Y127" i="2"/>
  <c r="Q127" i="2"/>
  <c r="AK127" i="2"/>
  <c r="AH127" i="2"/>
  <c r="D128" i="2"/>
  <c r="C128" i="2"/>
  <c r="Z127" i="2"/>
  <c r="AP127" i="2"/>
  <c r="AD127" i="2"/>
  <c r="S127" i="2"/>
  <c r="AQ127" i="2"/>
  <c r="AX127" i="2"/>
  <c r="AE127" i="2"/>
  <c r="AT127" i="2"/>
  <c r="AA127" i="2"/>
  <c r="AI127" i="2"/>
  <c r="AB127" i="2"/>
  <c r="AY127" i="2"/>
  <c r="AM127" i="2"/>
  <c r="T127" i="2"/>
  <c r="AF127" i="2"/>
  <c r="AV127" i="2"/>
  <c r="L126" i="2"/>
  <c r="N126" i="2" s="1"/>
  <c r="H127" i="2"/>
  <c r="AJ127" i="2"/>
  <c r="AZ127" i="2"/>
  <c r="N125" i="2"/>
  <c r="O125" i="2" s="1"/>
  <c r="AU127" i="2"/>
  <c r="X127" i="2"/>
  <c r="AN127" i="2"/>
  <c r="B129" i="2"/>
  <c r="P128" i="2"/>
  <c r="M128" i="2" s="1"/>
  <c r="J128" i="2"/>
  <c r="I128" i="2"/>
  <c r="AR127" i="2"/>
  <c r="K128" i="2" l="1"/>
  <c r="U128" i="2"/>
  <c r="AC128" i="2"/>
  <c r="AH128" i="2"/>
  <c r="AG128" i="2"/>
  <c r="AS128" i="2"/>
  <c r="R128" i="2"/>
  <c r="C129" i="2"/>
  <c r="D129" i="2"/>
  <c r="Y128" i="2"/>
  <c r="AW128" i="2"/>
  <c r="S128" i="2"/>
  <c r="BA128" i="2"/>
  <c r="Z128" i="2"/>
  <c r="AP128" i="2"/>
  <c r="AI128" i="2"/>
  <c r="AD128" i="2"/>
  <c r="AX128" i="2"/>
  <c r="AY128" i="2"/>
  <c r="AO128" i="2"/>
  <c r="Q128" i="2"/>
  <c r="AK128" i="2"/>
  <c r="V128" i="2"/>
  <c r="AL128" i="2"/>
  <c r="AE128" i="2"/>
  <c r="AT128" i="2"/>
  <c r="AA128" i="2"/>
  <c r="AQ128" i="2"/>
  <c r="W128" i="2"/>
  <c r="AM128" i="2"/>
  <c r="AB128" i="2"/>
  <c r="AU128" i="2"/>
  <c r="H128" i="2"/>
  <c r="T128" i="2"/>
  <c r="AJ128" i="2"/>
  <c r="AZ128" i="2"/>
  <c r="L127" i="2"/>
  <c r="O126" i="2"/>
  <c r="X128" i="2"/>
  <c r="AN128" i="2"/>
  <c r="B130" i="2"/>
  <c r="P129" i="2"/>
  <c r="M129" i="2" s="1"/>
  <c r="I129" i="2"/>
  <c r="J129" i="2"/>
  <c r="AR128" i="2"/>
  <c r="AF128" i="2"/>
  <c r="AV128" i="2"/>
  <c r="K129" i="2" l="1"/>
  <c r="AC129" i="2"/>
  <c r="AG129" i="2"/>
  <c r="Y129" i="2"/>
  <c r="U129" i="2"/>
  <c r="AO129" i="2"/>
  <c r="V129" i="2"/>
  <c r="R129" i="2"/>
  <c r="D130" i="2"/>
  <c r="C130" i="2"/>
  <c r="Q129" i="2"/>
  <c r="AP129" i="2"/>
  <c r="AK129" i="2"/>
  <c r="AL129" i="2"/>
  <c r="AH129" i="2"/>
  <c r="AI129" i="2"/>
  <c r="BA129" i="2"/>
  <c r="Z129" i="2"/>
  <c r="W129" i="2"/>
  <c r="AS129" i="2"/>
  <c r="AW129" i="2"/>
  <c r="AD129" i="2"/>
  <c r="AT129" i="2"/>
  <c r="S129" i="2"/>
  <c r="AY129" i="2"/>
  <c r="AX129" i="2"/>
  <c r="AM129" i="2"/>
  <c r="AB129" i="2"/>
  <c r="N127" i="2"/>
  <c r="O127" i="2" s="1"/>
  <c r="AE129" i="2"/>
  <c r="AU129" i="2"/>
  <c r="X129" i="2"/>
  <c r="AN129" i="2"/>
  <c r="B131" i="2"/>
  <c r="P130" i="2"/>
  <c r="M130" i="2" s="1"/>
  <c r="J130" i="2"/>
  <c r="I130" i="2"/>
  <c r="AR129" i="2"/>
  <c r="AF129" i="2"/>
  <c r="AV129" i="2"/>
  <c r="L128" i="2"/>
  <c r="N128" i="2" s="1"/>
  <c r="H129" i="2"/>
  <c r="AA129" i="2"/>
  <c r="AQ129" i="2"/>
  <c r="T129" i="2"/>
  <c r="AJ129" i="2"/>
  <c r="AZ129" i="2"/>
  <c r="K130" i="2" l="1"/>
  <c r="AC130" i="2"/>
  <c r="BA130" i="2"/>
  <c r="R130" i="2"/>
  <c r="W130" i="2"/>
  <c r="D131" i="2"/>
  <c r="C131" i="2"/>
  <c r="AG130" i="2"/>
  <c r="Z130" i="2"/>
  <c r="AP130" i="2"/>
  <c r="AS130" i="2"/>
  <c r="AW130" i="2"/>
  <c r="AD130" i="2"/>
  <c r="AT130" i="2"/>
  <c r="AA130" i="2"/>
  <c r="AH130" i="2"/>
  <c r="AX130" i="2"/>
  <c r="AM130" i="2"/>
  <c r="Y130" i="2"/>
  <c r="U130" i="2"/>
  <c r="AO130" i="2"/>
  <c r="Q130" i="2"/>
  <c r="AK130" i="2"/>
  <c r="V130" i="2"/>
  <c r="AL130" i="2"/>
  <c r="S130" i="2"/>
  <c r="AQ130" i="2"/>
  <c r="O128" i="2"/>
  <c r="AI130" i="2"/>
  <c r="AY130" i="2"/>
  <c r="AB130" i="2"/>
  <c r="AR130" i="2"/>
  <c r="AF130" i="2"/>
  <c r="AV130" i="2"/>
  <c r="L129" i="2"/>
  <c r="H130" i="2"/>
  <c r="T130" i="2"/>
  <c r="AJ130" i="2"/>
  <c r="AZ130" i="2"/>
  <c r="AE130" i="2"/>
  <c r="AU130" i="2"/>
  <c r="X130" i="2"/>
  <c r="AN130" i="2"/>
  <c r="B132" i="2"/>
  <c r="P131" i="2"/>
  <c r="M131" i="2" s="1"/>
  <c r="J131" i="2"/>
  <c r="I131" i="2"/>
  <c r="K131" i="2" l="1"/>
  <c r="D132" i="2"/>
  <c r="C132" i="2"/>
  <c r="AO131" i="2"/>
  <c r="V131" i="2"/>
  <c r="Q131" i="2"/>
  <c r="AK131" i="2"/>
  <c r="AG131" i="2"/>
  <c r="Z131" i="2"/>
  <c r="AS131" i="2"/>
  <c r="AW131" i="2"/>
  <c r="AD131" i="2"/>
  <c r="AC131" i="2"/>
  <c r="BA131" i="2"/>
  <c r="Y131" i="2"/>
  <c r="U131" i="2"/>
  <c r="R131" i="2"/>
  <c r="AP131" i="2"/>
  <c r="S131" i="2"/>
  <c r="AT131" i="2"/>
  <c r="AM131" i="2"/>
  <c r="AL131" i="2"/>
  <c r="W131" i="2"/>
  <c r="AI131" i="2"/>
  <c r="H131" i="2"/>
  <c r="AA131" i="2"/>
  <c r="AQ131" i="2"/>
  <c r="T131" i="2"/>
  <c r="AJ131" i="2"/>
  <c r="AZ131" i="2"/>
  <c r="N129" i="2"/>
  <c r="O129" i="2" s="1"/>
  <c r="AH131" i="2"/>
  <c r="AX131" i="2"/>
  <c r="AE131" i="2"/>
  <c r="AU131" i="2"/>
  <c r="X131" i="2"/>
  <c r="AN131" i="2"/>
  <c r="B133" i="2"/>
  <c r="P132" i="2"/>
  <c r="M132" i="2" s="1"/>
  <c r="J132" i="2"/>
  <c r="I132" i="2"/>
  <c r="L130" i="2"/>
  <c r="AY131" i="2"/>
  <c r="AB131" i="2"/>
  <c r="AR131" i="2"/>
  <c r="AF131" i="2"/>
  <c r="AV131" i="2"/>
  <c r="K132" i="2" l="1"/>
  <c r="AK132" i="2"/>
  <c r="Z132" i="2"/>
  <c r="AL132" i="2"/>
  <c r="BA132" i="2"/>
  <c r="C133" i="2"/>
  <c r="D133" i="2"/>
  <c r="AC132" i="2"/>
  <c r="AO132" i="2"/>
  <c r="AG132" i="2"/>
  <c r="V132" i="2"/>
  <c r="S132" i="2"/>
  <c r="W132" i="2"/>
  <c r="Q132" i="2"/>
  <c r="AP132" i="2"/>
  <c r="AS132" i="2"/>
  <c r="AW132" i="2"/>
  <c r="AD132" i="2"/>
  <c r="AT132" i="2"/>
  <c r="AA132" i="2"/>
  <c r="Y132" i="2"/>
  <c r="U132" i="2"/>
  <c r="R132" i="2"/>
  <c r="AH132" i="2"/>
  <c r="AX132" i="2"/>
  <c r="AM132" i="2"/>
  <c r="AQ132" i="2"/>
  <c r="N130" i="2"/>
  <c r="O130" i="2" s="1"/>
  <c r="AE132" i="2"/>
  <c r="AU132" i="2"/>
  <c r="X132" i="2"/>
  <c r="AN132" i="2"/>
  <c r="B134" i="2"/>
  <c r="P133" i="2"/>
  <c r="M133" i="2" s="1"/>
  <c r="I133" i="2"/>
  <c r="J133" i="2"/>
  <c r="AI132" i="2"/>
  <c r="AY132" i="2"/>
  <c r="AB132" i="2"/>
  <c r="AR132" i="2"/>
  <c r="L131" i="2"/>
  <c r="N131" i="2" s="1"/>
  <c r="O131" i="2" s="1"/>
  <c r="AF132" i="2"/>
  <c r="AV132" i="2"/>
  <c r="H132" i="2"/>
  <c r="T132" i="2"/>
  <c r="AJ132" i="2"/>
  <c r="AZ132" i="2"/>
  <c r="K133" i="2" l="1"/>
  <c r="Y133" i="2"/>
  <c r="AL133" i="2"/>
  <c r="Q133" i="2"/>
  <c r="AK133" i="2"/>
  <c r="AO133" i="2"/>
  <c r="R133" i="2"/>
  <c r="AC133" i="2"/>
  <c r="AW133" i="2"/>
  <c r="V133" i="2"/>
  <c r="W133" i="2"/>
  <c r="AG133" i="2"/>
  <c r="S133" i="2"/>
  <c r="AS133" i="2"/>
  <c r="U133" i="2"/>
  <c r="AH133" i="2"/>
  <c r="AY133" i="2"/>
  <c r="D134" i="2"/>
  <c r="C134" i="2"/>
  <c r="AD133" i="2"/>
  <c r="AX133" i="2"/>
  <c r="AM133" i="2"/>
  <c r="BA133" i="2"/>
  <c r="Z133" i="2"/>
  <c r="AP133" i="2"/>
  <c r="AI133" i="2"/>
  <c r="AE133" i="2"/>
  <c r="AU133" i="2"/>
  <c r="AT133" i="2"/>
  <c r="AA133" i="2"/>
  <c r="AQ133" i="2"/>
  <c r="AB133" i="2"/>
  <c r="AN133" i="2"/>
  <c r="T133" i="2"/>
  <c r="X133" i="2"/>
  <c r="L132" i="2"/>
  <c r="H133" i="2"/>
  <c r="AJ133" i="2"/>
  <c r="AZ133" i="2"/>
  <c r="B135" i="2"/>
  <c r="P134" i="2"/>
  <c r="M134" i="2" s="1"/>
  <c r="J134" i="2"/>
  <c r="I134" i="2"/>
  <c r="AR133" i="2"/>
  <c r="AF133" i="2"/>
  <c r="AV133" i="2"/>
  <c r="Y134" i="2" l="1"/>
  <c r="K134" i="2"/>
  <c r="AK134" i="2"/>
  <c r="AC134" i="2"/>
  <c r="R134" i="2"/>
  <c r="AW134" i="2"/>
  <c r="AP134" i="2"/>
  <c r="Q134" i="2"/>
  <c r="Z134" i="2"/>
  <c r="AO134" i="2"/>
  <c r="AG134" i="2"/>
  <c r="BA134" i="2"/>
  <c r="AD134" i="2"/>
  <c r="D135" i="2"/>
  <c r="C135" i="2"/>
  <c r="AS134" i="2"/>
  <c r="U134" i="2"/>
  <c r="V134" i="2"/>
  <c r="S134" i="2"/>
  <c r="AL134" i="2"/>
  <c r="AM134" i="2"/>
  <c r="AH134" i="2"/>
  <c r="W134" i="2"/>
  <c r="AY134" i="2"/>
  <c r="AI134" i="2"/>
  <c r="AX134" i="2"/>
  <c r="AE134" i="2"/>
  <c r="AU134" i="2"/>
  <c r="X134" i="2"/>
  <c r="AN134" i="2"/>
  <c r="B136" i="2"/>
  <c r="P135" i="2"/>
  <c r="M135" i="2" s="1"/>
  <c r="J135" i="2"/>
  <c r="I135" i="2"/>
  <c r="AB134" i="2"/>
  <c r="AR134" i="2"/>
  <c r="AF134" i="2"/>
  <c r="AV134" i="2"/>
  <c r="N132" i="2"/>
  <c r="O132" i="2" s="1"/>
  <c r="H134" i="2"/>
  <c r="AT134" i="2"/>
  <c r="AA134" i="2"/>
  <c r="AQ134" i="2"/>
  <c r="T134" i="2"/>
  <c r="AJ134" i="2"/>
  <c r="AZ134" i="2"/>
  <c r="L133" i="2"/>
  <c r="K135" i="2" l="1"/>
  <c r="AD135" i="2"/>
  <c r="AS135" i="2"/>
  <c r="AW135" i="2"/>
  <c r="AG135" i="2"/>
  <c r="AH135" i="2"/>
  <c r="AC135" i="2"/>
  <c r="BA135" i="2"/>
  <c r="D136" i="2"/>
  <c r="C136" i="2"/>
  <c r="Y135" i="2"/>
  <c r="U135" i="2"/>
  <c r="R135" i="2"/>
  <c r="AL135" i="2"/>
  <c r="AO135" i="2"/>
  <c r="Q135" i="2"/>
  <c r="AK135" i="2"/>
  <c r="V135" i="2"/>
  <c r="AI135" i="2"/>
  <c r="Z135" i="2"/>
  <c r="AX135" i="2"/>
  <c r="S135" i="2"/>
  <c r="AP135" i="2"/>
  <c r="AA135" i="2"/>
  <c r="AT135" i="2"/>
  <c r="AE135" i="2"/>
  <c r="W135" i="2"/>
  <c r="AM135" i="2"/>
  <c r="AQ135" i="2"/>
  <c r="AB135" i="2"/>
  <c r="AY135" i="2"/>
  <c r="AU135" i="2"/>
  <c r="AJ135" i="2"/>
  <c r="T135" i="2"/>
  <c r="AZ135" i="2"/>
  <c r="H135" i="2"/>
  <c r="N133" i="2"/>
  <c r="O133" i="2" s="1"/>
  <c r="L134" i="2"/>
  <c r="X135" i="2"/>
  <c r="AN135" i="2"/>
  <c r="B137" i="2"/>
  <c r="P136" i="2"/>
  <c r="M136" i="2" s="1"/>
  <c r="J136" i="2"/>
  <c r="I136" i="2"/>
  <c r="AR135" i="2"/>
  <c r="AF135" i="2"/>
  <c r="AV135" i="2"/>
  <c r="K136" i="2" l="1"/>
  <c r="Q136" i="2"/>
  <c r="C137" i="2"/>
  <c r="D137" i="2"/>
  <c r="AO136" i="2"/>
  <c r="V136" i="2"/>
  <c r="U136" i="2"/>
  <c r="Y136" i="2"/>
  <c r="AK136" i="2"/>
  <c r="AC136" i="2"/>
  <c r="AG136" i="2"/>
  <c r="BA136" i="2"/>
  <c r="AS136" i="2"/>
  <c r="AW136" i="2"/>
  <c r="T136" i="2"/>
  <c r="Z136" i="2"/>
  <c r="AL136" i="2"/>
  <c r="R136" i="2"/>
  <c r="AP136" i="2"/>
  <c r="AD136" i="2"/>
  <c r="AT136" i="2"/>
  <c r="AH136" i="2"/>
  <c r="AX136" i="2"/>
  <c r="S136" i="2"/>
  <c r="W136" i="2"/>
  <c r="AA136" i="2"/>
  <c r="AI136" i="2"/>
  <c r="AQ136" i="2"/>
  <c r="AM136" i="2"/>
  <c r="AF136" i="2"/>
  <c r="AV136" i="2"/>
  <c r="H136" i="2"/>
  <c r="AJ136" i="2"/>
  <c r="AZ136" i="2"/>
  <c r="L135" i="2"/>
  <c r="N135" i="2" s="1"/>
  <c r="AE136" i="2"/>
  <c r="AU136" i="2"/>
  <c r="X136" i="2"/>
  <c r="AN136" i="2"/>
  <c r="B138" i="2"/>
  <c r="P137" i="2"/>
  <c r="M137" i="2" s="1"/>
  <c r="I137" i="2"/>
  <c r="J137" i="2"/>
  <c r="N134" i="2"/>
  <c r="O134" i="2" s="1"/>
  <c r="AY136" i="2"/>
  <c r="AB136" i="2"/>
  <c r="AR136" i="2"/>
  <c r="K137" i="2" l="1"/>
  <c r="AO137" i="2"/>
  <c r="Q137" i="2"/>
  <c r="AG137" i="2"/>
  <c r="BA137" i="2"/>
  <c r="AC137" i="2"/>
  <c r="AD137" i="2"/>
  <c r="D138" i="2"/>
  <c r="C138" i="2"/>
  <c r="AS137" i="2"/>
  <c r="AW137" i="2"/>
  <c r="V137" i="2"/>
  <c r="AT137" i="2"/>
  <c r="AP137" i="2"/>
  <c r="Y137" i="2"/>
  <c r="AK137" i="2"/>
  <c r="Z137" i="2"/>
  <c r="AM137" i="2"/>
  <c r="AL137" i="2"/>
  <c r="AE137" i="2"/>
  <c r="U137" i="2"/>
  <c r="R137" i="2"/>
  <c r="AH137" i="2"/>
  <c r="S137" i="2"/>
  <c r="W137" i="2"/>
  <c r="AY137" i="2"/>
  <c r="AX137" i="2"/>
  <c r="AI137" i="2"/>
  <c r="AB137" i="2"/>
  <c r="H137" i="2"/>
  <c r="AA137" i="2"/>
  <c r="AQ137" i="2"/>
  <c r="T137" i="2"/>
  <c r="AJ137" i="2"/>
  <c r="AZ137" i="2"/>
  <c r="O135" i="2"/>
  <c r="AU137" i="2"/>
  <c r="X137" i="2"/>
  <c r="AN137" i="2"/>
  <c r="B139" i="2"/>
  <c r="P138" i="2"/>
  <c r="M138" i="2" s="1"/>
  <c r="J138" i="2"/>
  <c r="I138" i="2"/>
  <c r="AR137" i="2"/>
  <c r="AF137" i="2"/>
  <c r="AV137" i="2"/>
  <c r="L136" i="2"/>
  <c r="K138" i="2" l="1"/>
  <c r="Q138" i="2"/>
  <c r="AL138" i="2"/>
  <c r="AT138" i="2"/>
  <c r="BA138" i="2"/>
  <c r="W138" i="2"/>
  <c r="AW138" i="2"/>
  <c r="AC138" i="2"/>
  <c r="Z138" i="2"/>
  <c r="AM138" i="2"/>
  <c r="AS138" i="2"/>
  <c r="AK138" i="2"/>
  <c r="AD138" i="2"/>
  <c r="S138" i="2"/>
  <c r="AQ138" i="2"/>
  <c r="AO138" i="2"/>
  <c r="AG138" i="2"/>
  <c r="V138" i="2"/>
  <c r="AP138" i="2"/>
  <c r="AA138" i="2"/>
  <c r="D139" i="2"/>
  <c r="C139" i="2"/>
  <c r="Y138" i="2"/>
  <c r="U138" i="2"/>
  <c r="R138" i="2"/>
  <c r="AH138" i="2"/>
  <c r="AX138" i="2"/>
  <c r="AI138" i="2"/>
  <c r="N136" i="2"/>
  <c r="O136" i="2" s="1"/>
  <c r="AE138" i="2"/>
  <c r="AU138" i="2"/>
  <c r="X138" i="2"/>
  <c r="AN138" i="2"/>
  <c r="B140" i="2"/>
  <c r="P139" i="2"/>
  <c r="M139" i="2" s="1"/>
  <c r="J139" i="2"/>
  <c r="I139" i="2"/>
  <c r="AY138" i="2"/>
  <c r="AB138" i="2"/>
  <c r="AR138" i="2"/>
  <c r="AF138" i="2"/>
  <c r="AV138" i="2"/>
  <c r="L137" i="2"/>
  <c r="N137" i="2" s="1"/>
  <c r="H138" i="2"/>
  <c r="T138" i="2"/>
  <c r="AJ138" i="2"/>
  <c r="AZ138" i="2"/>
  <c r="K139" i="2" l="1"/>
  <c r="Q139" i="2"/>
  <c r="AL139" i="2"/>
  <c r="AO139" i="2"/>
  <c r="D140" i="2"/>
  <c r="C140" i="2"/>
  <c r="AK139" i="2"/>
  <c r="S139" i="2"/>
  <c r="V139" i="2"/>
  <c r="AI139" i="2"/>
  <c r="AC139" i="2"/>
  <c r="AG139" i="2"/>
  <c r="BA139" i="2"/>
  <c r="Z139" i="2"/>
  <c r="AP139" i="2"/>
  <c r="W139" i="2"/>
  <c r="AM139" i="2"/>
  <c r="T139" i="2"/>
  <c r="AS139" i="2"/>
  <c r="AW139" i="2"/>
  <c r="AD139" i="2"/>
  <c r="AT139" i="2"/>
  <c r="AA139" i="2"/>
  <c r="AQ139" i="2"/>
  <c r="Y139" i="2"/>
  <c r="U139" i="2"/>
  <c r="R139" i="2"/>
  <c r="AH139" i="2"/>
  <c r="AX139" i="2"/>
  <c r="AE139" i="2"/>
  <c r="AY139" i="2"/>
  <c r="AR139" i="2"/>
  <c r="O137" i="2"/>
  <c r="AU139" i="2"/>
  <c r="AB139" i="2"/>
  <c r="AF139" i="2"/>
  <c r="AV139" i="2"/>
  <c r="H139" i="2"/>
  <c r="AJ139" i="2"/>
  <c r="AZ139" i="2"/>
  <c r="L138" i="2"/>
  <c r="X139" i="2"/>
  <c r="AN139" i="2"/>
  <c r="B141" i="2"/>
  <c r="P140" i="2"/>
  <c r="M140" i="2" s="1"/>
  <c r="J140" i="2"/>
  <c r="I140" i="2"/>
  <c r="K140" i="2" l="1"/>
  <c r="AW140" i="2"/>
  <c r="AO140" i="2"/>
  <c r="AC140" i="2"/>
  <c r="BA140" i="2"/>
  <c r="AS140" i="2"/>
  <c r="AH140" i="2"/>
  <c r="AG140" i="2"/>
  <c r="AT140" i="2"/>
  <c r="C141" i="2"/>
  <c r="D141" i="2"/>
  <c r="Q140" i="2"/>
  <c r="AK140" i="2"/>
  <c r="AD140" i="2"/>
  <c r="AA140" i="2"/>
  <c r="AE140" i="2"/>
  <c r="Y140" i="2"/>
  <c r="U140" i="2"/>
  <c r="R140" i="2"/>
  <c r="AX140" i="2"/>
  <c r="Z140" i="2"/>
  <c r="AP140" i="2"/>
  <c r="W140" i="2"/>
  <c r="AQ140" i="2"/>
  <c r="AN140" i="2"/>
  <c r="AU140" i="2"/>
  <c r="V140" i="2"/>
  <c r="AL140" i="2"/>
  <c r="S140" i="2"/>
  <c r="AM140" i="2"/>
  <c r="X140" i="2"/>
  <c r="N138" i="2"/>
  <c r="O138" i="2" s="1"/>
  <c r="T140" i="2"/>
  <c r="AI140" i="2"/>
  <c r="AY140" i="2"/>
  <c r="AB140" i="2"/>
  <c r="AR140" i="2"/>
  <c r="AF140" i="2"/>
  <c r="AV140" i="2"/>
  <c r="B142" i="2"/>
  <c r="P141" i="2"/>
  <c r="M141" i="2" s="1"/>
  <c r="I141" i="2"/>
  <c r="J141" i="2"/>
  <c r="L139" i="2"/>
  <c r="H140" i="2"/>
  <c r="AJ140" i="2"/>
  <c r="AZ140" i="2"/>
  <c r="K141" i="2" l="1"/>
  <c r="AO141" i="2"/>
  <c r="D142" i="2"/>
  <c r="C142" i="2"/>
  <c r="AS141" i="2"/>
  <c r="AK141" i="2"/>
  <c r="V141" i="2"/>
  <c r="Q141" i="2"/>
  <c r="S141" i="2"/>
  <c r="AW141" i="2"/>
  <c r="AL141" i="2"/>
  <c r="AI141" i="2"/>
  <c r="AT141" i="2"/>
  <c r="Y141" i="2"/>
  <c r="U141" i="2"/>
  <c r="R141" i="2"/>
  <c r="AH141" i="2"/>
  <c r="AX141" i="2"/>
  <c r="AE141" i="2"/>
  <c r="AU141" i="2"/>
  <c r="AC141" i="2"/>
  <c r="AG141" i="2"/>
  <c r="BA141" i="2"/>
  <c r="Z141" i="2"/>
  <c r="AP141" i="2"/>
  <c r="W141" i="2"/>
  <c r="AM141" i="2"/>
  <c r="T141" i="2"/>
  <c r="AD141" i="2"/>
  <c r="AA141" i="2"/>
  <c r="AQ141" i="2"/>
  <c r="AJ141" i="2"/>
  <c r="AY141" i="2"/>
  <c r="AZ141" i="2"/>
  <c r="H141" i="2"/>
  <c r="N139" i="2"/>
  <c r="O139" i="2" s="1"/>
  <c r="X141" i="2"/>
  <c r="AN141" i="2"/>
  <c r="B143" i="2"/>
  <c r="P142" i="2"/>
  <c r="M142" i="2" s="1"/>
  <c r="J142" i="2"/>
  <c r="I142" i="2"/>
  <c r="AB141" i="2"/>
  <c r="AR141" i="2"/>
  <c r="L140" i="2"/>
  <c r="N140" i="2" s="1"/>
  <c r="O140" i="2" s="1"/>
  <c r="AF141" i="2"/>
  <c r="AV141" i="2"/>
  <c r="K142" i="2" l="1"/>
  <c r="AO142" i="2"/>
  <c r="AC142" i="2"/>
  <c r="Q142" i="2"/>
  <c r="Z142" i="2"/>
  <c r="AG142" i="2"/>
  <c r="AK142" i="2"/>
  <c r="V142" i="2"/>
  <c r="AL142" i="2"/>
  <c r="S142" i="2"/>
  <c r="W142" i="2"/>
  <c r="BA142" i="2"/>
  <c r="AP142" i="2"/>
  <c r="D143" i="2"/>
  <c r="C143" i="2"/>
  <c r="AI142" i="2"/>
  <c r="AS142" i="2"/>
  <c r="AW142" i="2"/>
  <c r="AD142" i="2"/>
  <c r="AT142" i="2"/>
  <c r="AA142" i="2"/>
  <c r="Y142" i="2"/>
  <c r="U142" i="2"/>
  <c r="R142" i="2"/>
  <c r="AH142" i="2"/>
  <c r="AX142" i="2"/>
  <c r="AE142" i="2"/>
  <c r="AQ142" i="2"/>
  <c r="AY142" i="2"/>
  <c r="AM142" i="2"/>
  <c r="AR142" i="2"/>
  <c r="T142" i="2"/>
  <c r="AZ142" i="2"/>
  <c r="AB142" i="2"/>
  <c r="AJ142" i="2"/>
  <c r="AU142" i="2"/>
  <c r="X142" i="2"/>
  <c r="AN142" i="2"/>
  <c r="B144" i="2"/>
  <c r="P143" i="2"/>
  <c r="M143" i="2" s="1"/>
  <c r="J143" i="2"/>
  <c r="I143" i="2"/>
  <c r="L141" i="2"/>
  <c r="N141" i="2" s="1"/>
  <c r="H142" i="2"/>
  <c r="AF142" i="2"/>
  <c r="AV142" i="2"/>
  <c r="K143" i="2" l="1"/>
  <c r="U143" i="2"/>
  <c r="D144" i="2"/>
  <c r="C144" i="2"/>
  <c r="Y143" i="2"/>
  <c r="AC143" i="2"/>
  <c r="BA143" i="2"/>
  <c r="AG143" i="2"/>
  <c r="AP143" i="2"/>
  <c r="R143" i="2"/>
  <c r="Z143" i="2"/>
  <c r="AS143" i="2"/>
  <c r="AW143" i="2"/>
  <c r="AD143" i="2"/>
  <c r="AT143" i="2"/>
  <c r="AH143" i="2"/>
  <c r="AX143" i="2"/>
  <c r="AO143" i="2"/>
  <c r="Q143" i="2"/>
  <c r="AK143" i="2"/>
  <c r="V143" i="2"/>
  <c r="AL143" i="2"/>
  <c r="W143" i="2"/>
  <c r="AM143" i="2"/>
  <c r="AA143" i="2"/>
  <c r="AQ143" i="2"/>
  <c r="X143" i="2"/>
  <c r="AE143" i="2"/>
  <c r="AU143" i="2"/>
  <c r="AN143" i="2"/>
  <c r="S143" i="2"/>
  <c r="AI143" i="2"/>
  <c r="AY143" i="2"/>
  <c r="O141" i="2"/>
  <c r="B145" i="2"/>
  <c r="P144" i="2"/>
  <c r="M144" i="2" s="1"/>
  <c r="J144" i="2"/>
  <c r="I144" i="2"/>
  <c r="L142" i="2"/>
  <c r="N142" i="2" s="1"/>
  <c r="O142" i="2" s="1"/>
  <c r="AB143" i="2"/>
  <c r="AR143" i="2"/>
  <c r="AF143" i="2"/>
  <c r="AV143" i="2"/>
  <c r="H143" i="2"/>
  <c r="T143" i="2"/>
  <c r="AJ143" i="2"/>
  <c r="AZ143" i="2"/>
  <c r="K144" i="2" l="1"/>
  <c r="AP144" i="2"/>
  <c r="C145" i="2"/>
  <c r="D145" i="2"/>
  <c r="AC144" i="2"/>
  <c r="Q144" i="2"/>
  <c r="AO144" i="2"/>
  <c r="AG144" i="2"/>
  <c r="S144" i="2"/>
  <c r="V144" i="2"/>
  <c r="AK144" i="2"/>
  <c r="Z144" i="2"/>
  <c r="W144" i="2"/>
  <c r="BA144" i="2"/>
  <c r="AL144" i="2"/>
  <c r="AI144" i="2"/>
  <c r="AB144" i="2"/>
  <c r="AM144" i="2"/>
  <c r="AY144" i="2"/>
  <c r="L143" i="2"/>
  <c r="AR144" i="2"/>
  <c r="AF144" i="2"/>
  <c r="AV144" i="2"/>
  <c r="AS144" i="2"/>
  <c r="H144" i="2"/>
  <c r="AD144" i="2"/>
  <c r="AT144" i="2"/>
  <c r="AA144" i="2"/>
  <c r="AQ144" i="2"/>
  <c r="T144" i="2"/>
  <c r="AJ144" i="2"/>
  <c r="AZ144" i="2"/>
  <c r="AW144" i="2"/>
  <c r="Y144" i="2"/>
  <c r="U144" i="2"/>
  <c r="R144" i="2"/>
  <c r="AH144" i="2"/>
  <c r="AX144" i="2"/>
  <c r="AE144" i="2"/>
  <c r="AU144" i="2"/>
  <c r="X144" i="2"/>
  <c r="AN144" i="2"/>
  <c r="B146" i="2"/>
  <c r="P145" i="2"/>
  <c r="M145" i="2" s="1"/>
  <c r="I145" i="2"/>
  <c r="J145" i="2"/>
  <c r="K145" i="2" l="1"/>
  <c r="Y145" i="2"/>
  <c r="Q145" i="2"/>
  <c r="D146" i="2"/>
  <c r="C146" i="2"/>
  <c r="AO145" i="2"/>
  <c r="V145" i="2"/>
  <c r="AG145" i="2"/>
  <c r="AC145" i="2"/>
  <c r="AK145" i="2"/>
  <c r="AH145" i="2"/>
  <c r="BA145" i="2"/>
  <c r="AA145" i="2"/>
  <c r="U145" i="2"/>
  <c r="R145" i="2"/>
  <c r="W145" i="2"/>
  <c r="AS145" i="2"/>
  <c r="AW145" i="2"/>
  <c r="AL145" i="2"/>
  <c r="AD145" i="2"/>
  <c r="AT145" i="2"/>
  <c r="AQ145" i="2"/>
  <c r="Z145" i="2"/>
  <c r="AP145" i="2"/>
  <c r="AM145" i="2"/>
  <c r="S145" i="2"/>
  <c r="AI145" i="2"/>
  <c r="AY145" i="2"/>
  <c r="AR145" i="2"/>
  <c r="T145" i="2"/>
  <c r="AX145" i="2"/>
  <c r="AE145" i="2"/>
  <c r="AU145" i="2"/>
  <c r="AB145" i="2"/>
  <c r="AN145" i="2"/>
  <c r="X145" i="2"/>
  <c r="H145" i="2"/>
  <c r="AJ145" i="2"/>
  <c r="AZ145" i="2"/>
  <c r="B147" i="2"/>
  <c r="P146" i="2"/>
  <c r="M146" i="2" s="1"/>
  <c r="J146" i="2"/>
  <c r="I146" i="2"/>
  <c r="N143" i="2"/>
  <c r="O143" i="2" s="1"/>
  <c r="AF145" i="2"/>
  <c r="AV145" i="2"/>
  <c r="L144" i="2"/>
  <c r="N144" i="2" s="1"/>
  <c r="K146" i="2" l="1"/>
  <c r="AK146" i="2"/>
  <c r="AL146" i="2"/>
  <c r="AC146" i="2"/>
  <c r="Q146" i="2"/>
  <c r="AY146" i="2"/>
  <c r="BA146" i="2"/>
  <c r="AP146" i="2"/>
  <c r="Y146" i="2"/>
  <c r="AG146" i="2"/>
  <c r="V146" i="2"/>
  <c r="S146" i="2"/>
  <c r="D147" i="2"/>
  <c r="C147" i="2"/>
  <c r="AO146" i="2"/>
  <c r="U146" i="2"/>
  <c r="Z146" i="2"/>
  <c r="W146" i="2"/>
  <c r="AS146" i="2"/>
  <c r="AW146" i="2"/>
  <c r="AD146" i="2"/>
  <c r="AT146" i="2"/>
  <c r="AI146" i="2"/>
  <c r="R146" i="2"/>
  <c r="AH146" i="2"/>
  <c r="AX146" i="2"/>
  <c r="AM146" i="2"/>
  <c r="AA146" i="2"/>
  <c r="AQ146" i="2"/>
  <c r="AE146" i="2"/>
  <c r="AU146" i="2"/>
  <c r="O144" i="2"/>
  <c r="AF146" i="2"/>
  <c r="AV146" i="2"/>
  <c r="H146" i="2"/>
  <c r="T146" i="2"/>
  <c r="AJ146" i="2"/>
  <c r="AZ146" i="2"/>
  <c r="L145" i="2"/>
  <c r="X146" i="2"/>
  <c r="AN146" i="2"/>
  <c r="B148" i="2"/>
  <c r="P147" i="2"/>
  <c r="M147" i="2" s="1"/>
  <c r="J147" i="2"/>
  <c r="I147" i="2"/>
  <c r="AB146" i="2"/>
  <c r="AR146" i="2"/>
  <c r="Y147" i="2" l="1"/>
  <c r="K147" i="2"/>
  <c r="AK147" i="2"/>
  <c r="AS147" i="2"/>
  <c r="AC147" i="2"/>
  <c r="AP147" i="2"/>
  <c r="Q147" i="2"/>
  <c r="AW147" i="2"/>
  <c r="R147" i="2"/>
  <c r="AD147" i="2"/>
  <c r="AO147" i="2"/>
  <c r="AG147" i="2"/>
  <c r="BA147" i="2"/>
  <c r="AH147" i="2"/>
  <c r="D148" i="2"/>
  <c r="C148" i="2"/>
  <c r="U147" i="2"/>
  <c r="V147" i="2"/>
  <c r="AA147" i="2"/>
  <c r="S147" i="2"/>
  <c r="Z147" i="2"/>
  <c r="AT147" i="2"/>
  <c r="AL147" i="2"/>
  <c r="W147" i="2"/>
  <c r="AU147" i="2"/>
  <c r="AX147" i="2"/>
  <c r="AE147" i="2"/>
  <c r="AM147" i="2"/>
  <c r="AI147" i="2"/>
  <c r="AY147" i="2"/>
  <c r="AQ147" i="2"/>
  <c r="T147" i="2"/>
  <c r="AJ147" i="2"/>
  <c r="AF147" i="2"/>
  <c r="AV147" i="2"/>
  <c r="H147" i="2"/>
  <c r="AZ147" i="2"/>
  <c r="X147" i="2"/>
  <c r="AN147" i="2"/>
  <c r="B149" i="2"/>
  <c r="P148" i="2"/>
  <c r="M148" i="2" s="1"/>
  <c r="J148" i="2"/>
  <c r="I148" i="2"/>
  <c r="N145" i="2"/>
  <c r="O145" i="2" s="1"/>
  <c r="AB147" i="2"/>
  <c r="AR147" i="2"/>
  <c r="L146" i="2"/>
  <c r="K148" i="2" l="1"/>
  <c r="AS148" i="2"/>
  <c r="AO148" i="2"/>
  <c r="C149" i="2"/>
  <c r="D149" i="2"/>
  <c r="AK148" i="2"/>
  <c r="Q148" i="2"/>
  <c r="V148" i="2"/>
  <c r="AW148" i="2"/>
  <c r="AL148" i="2"/>
  <c r="S148" i="2"/>
  <c r="AC148" i="2"/>
  <c r="AG148" i="2"/>
  <c r="BA148" i="2"/>
  <c r="AH148" i="2"/>
  <c r="AM148" i="2"/>
  <c r="Y148" i="2"/>
  <c r="U148" i="2"/>
  <c r="R148" i="2"/>
  <c r="AX148" i="2"/>
  <c r="AD148" i="2"/>
  <c r="AT148" i="2"/>
  <c r="AE148" i="2"/>
  <c r="Z148" i="2"/>
  <c r="AP148" i="2"/>
  <c r="W148" i="2"/>
  <c r="AA148" i="2"/>
  <c r="AQ148" i="2"/>
  <c r="AI148" i="2"/>
  <c r="T148" i="2"/>
  <c r="N146" i="2"/>
  <c r="O146" i="2" s="1"/>
  <c r="AY148" i="2"/>
  <c r="AB148" i="2"/>
  <c r="AR148" i="2"/>
  <c r="AF148" i="2"/>
  <c r="AV148" i="2"/>
  <c r="H148" i="2"/>
  <c r="AJ148" i="2"/>
  <c r="AZ148" i="2"/>
  <c r="AU148" i="2"/>
  <c r="X148" i="2"/>
  <c r="AN148" i="2"/>
  <c r="B150" i="2"/>
  <c r="P149" i="2"/>
  <c r="M149" i="2" s="1"/>
  <c r="I149" i="2"/>
  <c r="J149" i="2"/>
  <c r="L147" i="2"/>
  <c r="K149" i="2" l="1"/>
  <c r="D150" i="2"/>
  <c r="C150" i="2"/>
  <c r="AC149" i="2"/>
  <c r="AD149" i="2"/>
  <c r="AG149" i="2"/>
  <c r="BA149" i="2"/>
  <c r="AP149" i="2"/>
  <c r="W149" i="2"/>
  <c r="Z149" i="2"/>
  <c r="AM149" i="2"/>
  <c r="AT149" i="2"/>
  <c r="AA149" i="2"/>
  <c r="AQ149" i="2"/>
  <c r="T149" i="2"/>
  <c r="AJ149" i="2"/>
  <c r="AZ149" i="2"/>
  <c r="AF149" i="2"/>
  <c r="AV149" i="2"/>
  <c r="L148" i="2"/>
  <c r="AS149" i="2"/>
  <c r="H149" i="2"/>
  <c r="N147" i="2"/>
  <c r="O147" i="2" s="1"/>
  <c r="Y149" i="2"/>
  <c r="U149" i="2"/>
  <c r="R149" i="2"/>
  <c r="AH149" i="2"/>
  <c r="AX149" i="2"/>
  <c r="AE149" i="2"/>
  <c r="AU149" i="2"/>
  <c r="X149" i="2"/>
  <c r="AN149" i="2"/>
  <c r="B151" i="2"/>
  <c r="P150" i="2"/>
  <c r="M150" i="2" s="1"/>
  <c r="J150" i="2"/>
  <c r="I150" i="2"/>
  <c r="AW149" i="2"/>
  <c r="AO149" i="2"/>
  <c r="Q149" i="2"/>
  <c r="AK149" i="2"/>
  <c r="V149" i="2"/>
  <c r="AL149" i="2"/>
  <c r="S149" i="2"/>
  <c r="AI149" i="2"/>
  <c r="AY149" i="2"/>
  <c r="AB149" i="2"/>
  <c r="AR149" i="2"/>
  <c r="K150" i="2" l="1"/>
  <c r="Q150" i="2"/>
  <c r="Y150" i="2"/>
  <c r="U150" i="2"/>
  <c r="S150" i="2"/>
  <c r="AS150" i="2"/>
  <c r="AH150" i="2"/>
  <c r="AO150" i="2"/>
  <c r="V150" i="2"/>
  <c r="R150" i="2"/>
  <c r="AX150" i="2"/>
  <c r="AC150" i="2"/>
  <c r="AK150" i="2"/>
  <c r="AL150" i="2"/>
  <c r="D151" i="2"/>
  <c r="C151" i="2"/>
  <c r="AW150" i="2"/>
  <c r="AD150" i="2"/>
  <c r="AT150" i="2"/>
  <c r="AI150" i="2"/>
  <c r="AM150" i="2"/>
  <c r="AG150" i="2"/>
  <c r="BA150" i="2"/>
  <c r="Z150" i="2"/>
  <c r="AP150" i="2"/>
  <c r="W150" i="2"/>
  <c r="T150" i="2"/>
  <c r="AA150" i="2"/>
  <c r="AY150" i="2"/>
  <c r="AJ150" i="2"/>
  <c r="AQ150" i="2"/>
  <c r="AB150" i="2"/>
  <c r="AF150" i="2"/>
  <c r="AV150" i="2"/>
  <c r="H150" i="2"/>
  <c r="AZ150" i="2"/>
  <c r="L149" i="2"/>
  <c r="N148" i="2"/>
  <c r="O148" i="2" s="1"/>
  <c r="AE150" i="2"/>
  <c r="AU150" i="2"/>
  <c r="X150" i="2"/>
  <c r="AN150" i="2"/>
  <c r="B152" i="2"/>
  <c r="P151" i="2"/>
  <c r="M151" i="2" s="1"/>
  <c r="J151" i="2"/>
  <c r="I151" i="2"/>
  <c r="AR150" i="2"/>
  <c r="K151" i="2" l="1"/>
  <c r="Y151" i="2"/>
  <c r="D152" i="2"/>
  <c r="C152" i="2"/>
  <c r="AD151" i="2"/>
  <c r="U151" i="2"/>
  <c r="AS151" i="2"/>
  <c r="AW151" i="2"/>
  <c r="AT151" i="2"/>
  <c r="R151" i="2"/>
  <c r="AH151" i="2"/>
  <c r="AX151" i="2"/>
  <c r="AO151" i="2"/>
  <c r="Q151" i="2"/>
  <c r="AK151" i="2"/>
  <c r="V151" i="2"/>
  <c r="AL151" i="2"/>
  <c r="S151" i="2"/>
  <c r="AC151" i="2"/>
  <c r="AG151" i="2"/>
  <c r="BA151" i="2"/>
  <c r="Z151" i="2"/>
  <c r="AP151" i="2"/>
  <c r="W151" i="2"/>
  <c r="AE151" i="2"/>
  <c r="AM151" i="2"/>
  <c r="H151" i="2"/>
  <c r="AA151" i="2"/>
  <c r="AQ151" i="2"/>
  <c r="T151" i="2"/>
  <c r="AJ151" i="2"/>
  <c r="AZ151" i="2"/>
  <c r="N149" i="2"/>
  <c r="O149" i="2" s="1"/>
  <c r="AU151" i="2"/>
  <c r="X151" i="2"/>
  <c r="AN151" i="2"/>
  <c r="B153" i="2"/>
  <c r="P152" i="2"/>
  <c r="M152" i="2" s="1"/>
  <c r="J152" i="2"/>
  <c r="I152" i="2"/>
  <c r="AI151" i="2"/>
  <c r="AY151" i="2"/>
  <c r="AB151" i="2"/>
  <c r="AR151" i="2"/>
  <c r="AF151" i="2"/>
  <c r="AV151" i="2"/>
  <c r="L150" i="2"/>
  <c r="N150" i="2" s="1"/>
  <c r="O150" i="2" s="1"/>
  <c r="AS152" i="2" l="1"/>
  <c r="K152" i="2"/>
  <c r="AY152" i="2"/>
  <c r="AC152" i="2"/>
  <c r="R152" i="2"/>
  <c r="BA152" i="2"/>
  <c r="AO152" i="2"/>
  <c r="AW152" i="2"/>
  <c r="AH152" i="2"/>
  <c r="Y152" i="2"/>
  <c r="AG152" i="2"/>
  <c r="AD152" i="2"/>
  <c r="Q152" i="2"/>
  <c r="AK152" i="2"/>
  <c r="Z152" i="2"/>
  <c r="W152" i="2"/>
  <c r="U152" i="2"/>
  <c r="V152" i="2"/>
  <c r="S152" i="2"/>
  <c r="C153" i="2"/>
  <c r="D153" i="2"/>
  <c r="AL152" i="2"/>
  <c r="AI152" i="2"/>
  <c r="AP152" i="2"/>
  <c r="AM152" i="2"/>
  <c r="AT152" i="2"/>
  <c r="AA152" i="2"/>
  <c r="AQ152" i="2"/>
  <c r="AX152" i="2"/>
  <c r="AE152" i="2"/>
  <c r="AU152" i="2"/>
  <c r="T152" i="2"/>
  <c r="AB152" i="2"/>
  <c r="AR152" i="2"/>
  <c r="AF152" i="2"/>
  <c r="AV152" i="2"/>
  <c r="L151" i="2"/>
  <c r="H152" i="2"/>
  <c r="AJ152" i="2"/>
  <c r="AZ152" i="2"/>
  <c r="X152" i="2"/>
  <c r="AN152" i="2"/>
  <c r="B154" i="2"/>
  <c r="P153" i="2"/>
  <c r="M153" i="2" s="1"/>
  <c r="I153" i="2"/>
  <c r="J153" i="2"/>
  <c r="K153" i="2" l="1"/>
  <c r="D154" i="2"/>
  <c r="C154" i="2"/>
  <c r="AG153" i="2"/>
  <c r="AC153" i="2"/>
  <c r="AM153" i="2"/>
  <c r="Z153" i="2"/>
  <c r="BA153" i="2"/>
  <c r="W153" i="2"/>
  <c r="AP153" i="2"/>
  <c r="AV153" i="2"/>
  <c r="AF153" i="2"/>
  <c r="AS153" i="2"/>
  <c r="AW153" i="2"/>
  <c r="H153" i="2"/>
  <c r="AD153" i="2"/>
  <c r="AT153" i="2"/>
  <c r="AA153" i="2"/>
  <c r="AQ153" i="2"/>
  <c r="T153" i="2"/>
  <c r="AJ153" i="2"/>
  <c r="AZ153" i="2"/>
  <c r="Y153" i="2"/>
  <c r="U153" i="2"/>
  <c r="R153" i="2"/>
  <c r="AH153" i="2"/>
  <c r="AX153" i="2"/>
  <c r="AE153" i="2"/>
  <c r="AU153" i="2"/>
  <c r="X153" i="2"/>
  <c r="AN153" i="2"/>
  <c r="B155" i="2"/>
  <c r="P154" i="2"/>
  <c r="M154" i="2" s="1"/>
  <c r="J154" i="2"/>
  <c r="I154" i="2"/>
  <c r="N151" i="2"/>
  <c r="O151" i="2" s="1"/>
  <c r="AO153" i="2"/>
  <c r="Q153" i="2"/>
  <c r="AK153" i="2"/>
  <c r="V153" i="2"/>
  <c r="AL153" i="2"/>
  <c r="S153" i="2"/>
  <c r="AI153" i="2"/>
  <c r="AY153" i="2"/>
  <c r="AB153" i="2"/>
  <c r="AR153" i="2"/>
  <c r="L152" i="2"/>
  <c r="K154" i="2" l="1"/>
  <c r="D155" i="2"/>
  <c r="C155" i="2"/>
  <c r="Z154" i="2"/>
  <c r="AW154" i="2"/>
  <c r="AG154" i="2"/>
  <c r="AD154" i="2"/>
  <c r="AC154" i="2"/>
  <c r="AM154" i="2"/>
  <c r="AS154" i="2"/>
  <c r="BA154" i="2"/>
  <c r="AP154" i="2"/>
  <c r="S154" i="2"/>
  <c r="AO154" i="2"/>
  <c r="Q154" i="2"/>
  <c r="AK154" i="2"/>
  <c r="V154" i="2"/>
  <c r="AL154" i="2"/>
  <c r="AI154" i="2"/>
  <c r="Y154" i="2"/>
  <c r="U154" i="2"/>
  <c r="R154" i="2"/>
  <c r="AH154" i="2"/>
  <c r="W154" i="2"/>
  <c r="AY154" i="2"/>
  <c r="AX154" i="2"/>
  <c r="AE154" i="2"/>
  <c r="AU154" i="2"/>
  <c r="AB154" i="2"/>
  <c r="AR154" i="2"/>
  <c r="AT154" i="2"/>
  <c r="AA154" i="2"/>
  <c r="AQ154" i="2"/>
  <c r="T154" i="2"/>
  <c r="AN154" i="2"/>
  <c r="X154" i="2"/>
  <c r="H154" i="2"/>
  <c r="AJ154" i="2"/>
  <c r="AZ154" i="2"/>
  <c r="B156" i="2"/>
  <c r="P155" i="2"/>
  <c r="M155" i="2" s="1"/>
  <c r="J155" i="2"/>
  <c r="I155" i="2"/>
  <c r="L153" i="2"/>
  <c r="N152" i="2"/>
  <c r="O152" i="2" s="1"/>
  <c r="AF154" i="2"/>
  <c r="AV154" i="2"/>
  <c r="K155" i="2" l="1"/>
  <c r="U155" i="2"/>
  <c r="AC155" i="2"/>
  <c r="BA155" i="2"/>
  <c r="AS155" i="2"/>
  <c r="AG155" i="2"/>
  <c r="AH155" i="2"/>
  <c r="Y155" i="2"/>
  <c r="AW155" i="2"/>
  <c r="AP155" i="2"/>
  <c r="D156" i="2"/>
  <c r="C156" i="2"/>
  <c r="R155" i="2"/>
  <c r="AX155" i="2"/>
  <c r="Z155" i="2"/>
  <c r="W155" i="2"/>
  <c r="AD155" i="2"/>
  <c r="AT155" i="2"/>
  <c r="AI155" i="2"/>
  <c r="AO155" i="2"/>
  <c r="Q155" i="2"/>
  <c r="AK155" i="2"/>
  <c r="V155" i="2"/>
  <c r="AL155" i="2"/>
  <c r="S155" i="2"/>
  <c r="AA155" i="2"/>
  <c r="AQ155" i="2"/>
  <c r="AJ155" i="2"/>
  <c r="AE155" i="2"/>
  <c r="AU155" i="2"/>
  <c r="AM155" i="2"/>
  <c r="T155" i="2"/>
  <c r="AF155" i="2"/>
  <c r="AV155" i="2"/>
  <c r="H155" i="2"/>
  <c r="AZ155" i="2"/>
  <c r="L154" i="2"/>
  <c r="N153" i="2"/>
  <c r="O153" i="2" s="1"/>
  <c r="X155" i="2"/>
  <c r="AN155" i="2"/>
  <c r="B157" i="2"/>
  <c r="P156" i="2"/>
  <c r="M156" i="2" s="1"/>
  <c r="J156" i="2"/>
  <c r="I156" i="2"/>
  <c r="AY155" i="2"/>
  <c r="AB155" i="2"/>
  <c r="AR155" i="2"/>
  <c r="K156" i="2" l="1"/>
  <c r="C157" i="2"/>
  <c r="D157" i="2"/>
  <c r="Y156" i="2"/>
  <c r="R156" i="2"/>
  <c r="Q156" i="2"/>
  <c r="AO156" i="2"/>
  <c r="AK156" i="2"/>
  <c r="AX156" i="2"/>
  <c r="U156" i="2"/>
  <c r="AH156" i="2"/>
  <c r="V156" i="2"/>
  <c r="S156" i="2"/>
  <c r="AL156" i="2"/>
  <c r="AI156" i="2"/>
  <c r="BA156" i="2"/>
  <c r="AC156" i="2"/>
  <c r="AG156" i="2"/>
  <c r="Z156" i="2"/>
  <c r="AP156" i="2"/>
  <c r="W156" i="2"/>
  <c r="AB156" i="2"/>
  <c r="AS156" i="2"/>
  <c r="AW156" i="2"/>
  <c r="AD156" i="2"/>
  <c r="AT156" i="2"/>
  <c r="AE156" i="2"/>
  <c r="AA156" i="2"/>
  <c r="AY156" i="2"/>
  <c r="AM156" i="2"/>
  <c r="AQ156" i="2"/>
  <c r="AR156" i="2"/>
  <c r="N154" i="2"/>
  <c r="O154" i="2" s="1"/>
  <c r="AF156" i="2"/>
  <c r="AV156" i="2"/>
  <c r="H156" i="2"/>
  <c r="T156" i="2"/>
  <c r="AJ156" i="2"/>
  <c r="AZ156" i="2"/>
  <c r="AU156" i="2"/>
  <c r="X156" i="2"/>
  <c r="AN156" i="2"/>
  <c r="B158" i="2"/>
  <c r="P157" i="2"/>
  <c r="M157" i="2" s="1"/>
  <c r="I157" i="2"/>
  <c r="J157" i="2"/>
  <c r="L155" i="2"/>
  <c r="N155" i="2" s="1"/>
  <c r="O155" i="2" s="1"/>
  <c r="K157" i="2" l="1"/>
  <c r="AG157" i="2"/>
  <c r="AO157" i="2"/>
  <c r="AK157" i="2"/>
  <c r="D158" i="2"/>
  <c r="C158" i="2"/>
  <c r="BA157" i="2"/>
  <c r="AC157" i="2"/>
  <c r="Q157" i="2"/>
  <c r="Z157" i="2"/>
  <c r="V157" i="2"/>
  <c r="Y157" i="2"/>
  <c r="U157" i="2"/>
  <c r="R157" i="2"/>
  <c r="AL157" i="2"/>
  <c r="AS157" i="2"/>
  <c r="AW157" i="2"/>
  <c r="AH157" i="2"/>
  <c r="AD157" i="2"/>
  <c r="AP157" i="2"/>
  <c r="AT157" i="2"/>
  <c r="AI157" i="2"/>
  <c r="AM157" i="2"/>
  <c r="S157" i="2"/>
  <c r="W157" i="2"/>
  <c r="H157" i="2"/>
  <c r="AA157" i="2"/>
  <c r="AQ157" i="2"/>
  <c r="T157" i="2"/>
  <c r="AJ157" i="2"/>
  <c r="AZ157" i="2"/>
  <c r="L156" i="2"/>
  <c r="N156" i="2" s="1"/>
  <c r="AX157" i="2"/>
  <c r="AE157" i="2"/>
  <c r="AU157" i="2"/>
  <c r="X157" i="2"/>
  <c r="AN157" i="2"/>
  <c r="B159" i="2"/>
  <c r="P158" i="2"/>
  <c r="M158" i="2" s="1"/>
  <c r="J158" i="2"/>
  <c r="I158" i="2"/>
  <c r="AY157" i="2"/>
  <c r="AB157" i="2"/>
  <c r="AR157" i="2"/>
  <c r="AF157" i="2"/>
  <c r="AV157" i="2"/>
  <c r="K158" i="2" l="1"/>
  <c r="Y158" i="2"/>
  <c r="S158" i="2"/>
  <c r="D159" i="2"/>
  <c r="C159" i="2"/>
  <c r="AW158" i="2"/>
  <c r="U158" i="2"/>
  <c r="AH158" i="2"/>
  <c r="AS158" i="2"/>
  <c r="R158" i="2"/>
  <c r="AO158" i="2"/>
  <c r="Q158" i="2"/>
  <c r="AK158" i="2"/>
  <c r="V158" i="2"/>
  <c r="AL158" i="2"/>
  <c r="AA158" i="2"/>
  <c r="AC158" i="2"/>
  <c r="AG158" i="2"/>
  <c r="BA158" i="2"/>
  <c r="Z158" i="2"/>
  <c r="AT158" i="2"/>
  <c r="AE158" i="2"/>
  <c r="AD158" i="2"/>
  <c r="AX158" i="2"/>
  <c r="AI158" i="2"/>
  <c r="AQ158" i="2"/>
  <c r="AP158" i="2"/>
  <c r="W158" i="2"/>
  <c r="AM158" i="2"/>
  <c r="AY158" i="2"/>
  <c r="AJ158" i="2"/>
  <c r="T158" i="2"/>
  <c r="AB158" i="2"/>
  <c r="AU158" i="2"/>
  <c r="X158" i="2"/>
  <c r="AN158" i="2"/>
  <c r="B160" i="2"/>
  <c r="P159" i="2"/>
  <c r="M159" i="2" s="1"/>
  <c r="J159" i="2"/>
  <c r="I159" i="2"/>
  <c r="O156" i="2"/>
  <c r="AR158" i="2"/>
  <c r="AF158" i="2"/>
  <c r="AV158" i="2"/>
  <c r="L157" i="2"/>
  <c r="H158" i="2"/>
  <c r="AZ158" i="2"/>
  <c r="K159" i="2" l="1"/>
  <c r="V159" i="2"/>
  <c r="AO159" i="2"/>
  <c r="Q159" i="2"/>
  <c r="AX159" i="2"/>
  <c r="D160" i="2"/>
  <c r="C160" i="2"/>
  <c r="U159" i="2"/>
  <c r="S159" i="2"/>
  <c r="Y159" i="2"/>
  <c r="R159" i="2"/>
  <c r="AY159" i="2"/>
  <c r="AK159" i="2"/>
  <c r="AH159" i="2"/>
  <c r="AE159" i="2"/>
  <c r="AL159" i="2"/>
  <c r="AI159" i="2"/>
  <c r="AS159" i="2"/>
  <c r="AW159" i="2"/>
  <c r="AD159" i="2"/>
  <c r="AT159" i="2"/>
  <c r="AA159" i="2"/>
  <c r="AQ159" i="2"/>
  <c r="AB159" i="2"/>
  <c r="AC159" i="2"/>
  <c r="AG159" i="2"/>
  <c r="BA159" i="2"/>
  <c r="Z159" i="2"/>
  <c r="AP159" i="2"/>
  <c r="W159" i="2"/>
  <c r="AM159" i="2"/>
  <c r="T159" i="2"/>
  <c r="AJ159" i="2"/>
  <c r="N157" i="2"/>
  <c r="O157" i="2" s="1"/>
  <c r="AU159" i="2"/>
  <c r="X159" i="2"/>
  <c r="AN159" i="2"/>
  <c r="B161" i="2"/>
  <c r="P160" i="2"/>
  <c r="M160" i="2" s="1"/>
  <c r="J160" i="2"/>
  <c r="I160" i="2"/>
  <c r="AR159" i="2"/>
  <c r="L158" i="2"/>
  <c r="N158" i="2" s="1"/>
  <c r="AF159" i="2"/>
  <c r="AV159" i="2"/>
  <c r="H159" i="2"/>
  <c r="AZ159" i="2"/>
  <c r="K160" i="2" l="1"/>
  <c r="AS160" i="2"/>
  <c r="AL160" i="2"/>
  <c r="U160" i="2"/>
  <c r="V160" i="2"/>
  <c r="S160" i="2"/>
  <c r="Y160" i="2"/>
  <c r="Q160" i="2"/>
  <c r="AK160" i="2"/>
  <c r="Z160" i="2"/>
  <c r="AP160" i="2"/>
  <c r="W160" i="2"/>
  <c r="C161" i="2"/>
  <c r="D161" i="2"/>
  <c r="AG160" i="2"/>
  <c r="AD160" i="2"/>
  <c r="AT160" i="2"/>
  <c r="AE160" i="2"/>
  <c r="AO160" i="2"/>
  <c r="BA160" i="2"/>
  <c r="AC160" i="2"/>
  <c r="AW160" i="2"/>
  <c r="R160" i="2"/>
  <c r="AH160" i="2"/>
  <c r="AX160" i="2"/>
  <c r="AI160" i="2"/>
  <c r="T160" i="2"/>
  <c r="AM160" i="2"/>
  <c r="AY160" i="2"/>
  <c r="O158" i="2"/>
  <c r="AA160" i="2"/>
  <c r="AQ160" i="2"/>
  <c r="L159" i="2"/>
  <c r="AF160" i="2"/>
  <c r="AV160" i="2"/>
  <c r="H160" i="2"/>
  <c r="AJ160" i="2"/>
  <c r="AZ160" i="2"/>
  <c r="AU160" i="2"/>
  <c r="X160" i="2"/>
  <c r="AN160" i="2"/>
  <c r="B162" i="2"/>
  <c r="P161" i="2"/>
  <c r="M161" i="2" s="1"/>
  <c r="I161" i="2"/>
  <c r="J161" i="2"/>
  <c r="AB160" i="2"/>
  <c r="AR160" i="2"/>
  <c r="K161" i="2" l="1"/>
  <c r="D162" i="2"/>
  <c r="C162" i="2"/>
  <c r="U161" i="2"/>
  <c r="Y161" i="2"/>
  <c r="R161" i="2"/>
  <c r="AH161" i="2"/>
  <c r="W161" i="2"/>
  <c r="AO161" i="2"/>
  <c r="AK161" i="2"/>
  <c r="AL161" i="2"/>
  <c r="AC161" i="2"/>
  <c r="AG161" i="2"/>
  <c r="BA161" i="2"/>
  <c r="Z161" i="2"/>
  <c r="AP161" i="2"/>
  <c r="AM161" i="2"/>
  <c r="Q161" i="2"/>
  <c r="V161" i="2"/>
  <c r="AA161" i="2"/>
  <c r="AS161" i="2"/>
  <c r="AW161" i="2"/>
  <c r="AD161" i="2"/>
  <c r="AT161" i="2"/>
  <c r="AQ161" i="2"/>
  <c r="S161" i="2"/>
  <c r="AI161" i="2"/>
  <c r="AY161" i="2"/>
  <c r="AB161" i="2"/>
  <c r="AR161" i="2"/>
  <c r="AF161" i="2"/>
  <c r="AV161" i="2"/>
  <c r="L160" i="2"/>
  <c r="H161" i="2"/>
  <c r="T161" i="2"/>
  <c r="AJ161" i="2"/>
  <c r="AZ161" i="2"/>
  <c r="N159" i="2"/>
  <c r="O159" i="2" s="1"/>
  <c r="AX161" i="2"/>
  <c r="AE161" i="2"/>
  <c r="AU161" i="2"/>
  <c r="X161" i="2"/>
  <c r="AN161" i="2"/>
  <c r="B163" i="2"/>
  <c r="P162" i="2"/>
  <c r="M162" i="2" s="1"/>
  <c r="J162" i="2"/>
  <c r="I162" i="2"/>
  <c r="K162" i="2" l="1"/>
  <c r="D163" i="2"/>
  <c r="C163" i="2"/>
  <c r="Q162" i="2"/>
  <c r="AP162" i="2"/>
  <c r="V162" i="2"/>
  <c r="AO162" i="2"/>
  <c r="AG162" i="2"/>
  <c r="S162" i="2"/>
  <c r="AC162" i="2"/>
  <c r="AY162" i="2"/>
  <c r="BA162" i="2"/>
  <c r="AL162" i="2"/>
  <c r="AI162" i="2"/>
  <c r="AK162" i="2"/>
  <c r="Z162" i="2"/>
  <c r="W162" i="2"/>
  <c r="AM162" i="2"/>
  <c r="AS162" i="2"/>
  <c r="AW162" i="2"/>
  <c r="AD162" i="2"/>
  <c r="AT162" i="2"/>
  <c r="AA162" i="2"/>
  <c r="AQ162" i="2"/>
  <c r="AB162" i="2"/>
  <c r="Y162" i="2"/>
  <c r="U162" i="2"/>
  <c r="R162" i="2"/>
  <c r="AH162" i="2"/>
  <c r="AX162" i="2"/>
  <c r="AE162" i="2"/>
  <c r="AU162" i="2"/>
  <c r="H162" i="2"/>
  <c r="T162" i="2"/>
  <c r="AJ162" i="2"/>
  <c r="AZ162" i="2"/>
  <c r="X162" i="2"/>
  <c r="AN162" i="2"/>
  <c r="B164" i="2"/>
  <c r="P163" i="2"/>
  <c r="M163" i="2" s="1"/>
  <c r="J163" i="2"/>
  <c r="I163" i="2"/>
  <c r="AR162" i="2"/>
  <c r="N160" i="2"/>
  <c r="O160" i="2" s="1"/>
  <c r="AF162" i="2"/>
  <c r="AV162" i="2"/>
  <c r="L161" i="2"/>
  <c r="N161" i="2" s="1"/>
  <c r="R163" i="2" l="1"/>
  <c r="AC163" i="2"/>
  <c r="AW163" i="2"/>
  <c r="K163" i="2"/>
  <c r="AS163" i="2"/>
  <c r="U163" i="2"/>
  <c r="V163" i="2"/>
  <c r="Y163" i="2"/>
  <c r="Q163" i="2"/>
  <c r="AK163" i="2"/>
  <c r="AH163" i="2"/>
  <c r="AO163" i="2"/>
  <c r="AG163" i="2"/>
  <c r="BA163" i="2"/>
  <c r="AP163" i="2"/>
  <c r="D164" i="2"/>
  <c r="C164" i="2"/>
  <c r="Z163" i="2"/>
  <c r="AT163" i="2"/>
  <c r="AD163" i="2"/>
  <c r="AA163" i="2"/>
  <c r="AE163" i="2"/>
  <c r="T163" i="2"/>
  <c r="W163" i="2"/>
  <c r="AQ163" i="2"/>
  <c r="AX163" i="2"/>
  <c r="AM163" i="2"/>
  <c r="AU163" i="2"/>
  <c r="AL163" i="2"/>
  <c r="S163" i="2"/>
  <c r="AI163" i="2"/>
  <c r="AY163" i="2"/>
  <c r="O161" i="2"/>
  <c r="AB163" i="2"/>
  <c r="AR163" i="2"/>
  <c r="AF163" i="2"/>
  <c r="AV163" i="2"/>
  <c r="L162" i="2"/>
  <c r="H163" i="2"/>
  <c r="AJ163" i="2"/>
  <c r="AZ163" i="2"/>
  <c r="X163" i="2"/>
  <c r="AN163" i="2"/>
  <c r="B165" i="2"/>
  <c r="P164" i="2"/>
  <c r="M164" i="2" s="1"/>
  <c r="J164" i="2"/>
  <c r="I164" i="2"/>
  <c r="K164" i="2" l="1"/>
  <c r="Y164" i="2"/>
  <c r="C165" i="2"/>
  <c r="D165" i="2"/>
  <c r="R164" i="2"/>
  <c r="AE164" i="2"/>
  <c r="AH164" i="2"/>
  <c r="U164" i="2"/>
  <c r="AX164" i="2"/>
  <c r="AO164" i="2"/>
  <c r="Q164" i="2"/>
  <c r="AK164" i="2"/>
  <c r="V164" i="2"/>
  <c r="AL164" i="2"/>
  <c r="S164" i="2"/>
  <c r="AI164" i="2"/>
  <c r="T164" i="2"/>
  <c r="AC164" i="2"/>
  <c r="AG164" i="2"/>
  <c r="BA164" i="2"/>
  <c r="Z164" i="2"/>
  <c r="AP164" i="2"/>
  <c r="W164" i="2"/>
  <c r="AM164" i="2"/>
  <c r="AS164" i="2"/>
  <c r="AW164" i="2"/>
  <c r="AD164" i="2"/>
  <c r="AT164" i="2"/>
  <c r="AA164" i="2"/>
  <c r="AQ164" i="2"/>
  <c r="N162" i="2"/>
  <c r="O162" i="2" s="1"/>
  <c r="AU164" i="2"/>
  <c r="H164" i="2"/>
  <c r="AJ164" i="2"/>
  <c r="AZ164" i="2"/>
  <c r="X164" i="2"/>
  <c r="AN164" i="2"/>
  <c r="B166" i="2"/>
  <c r="P165" i="2"/>
  <c r="M165" i="2" s="1"/>
  <c r="I165" i="2"/>
  <c r="J165" i="2"/>
  <c r="AY164" i="2"/>
  <c r="AB164" i="2"/>
  <c r="AR164" i="2"/>
  <c r="L163" i="2"/>
  <c r="AF164" i="2"/>
  <c r="AV164" i="2"/>
  <c r="K165" i="2" l="1"/>
  <c r="D166" i="2"/>
  <c r="C166" i="2"/>
  <c r="AO165" i="2"/>
  <c r="AK165" i="2"/>
  <c r="V165" i="2"/>
  <c r="Q165" i="2"/>
  <c r="AL165" i="2"/>
  <c r="Z165" i="2"/>
  <c r="AP165" i="2"/>
  <c r="W165" i="2"/>
  <c r="AB165" i="2"/>
  <c r="AC165" i="2"/>
  <c r="BA165" i="2"/>
  <c r="AS165" i="2"/>
  <c r="AW165" i="2"/>
  <c r="AD165" i="2"/>
  <c r="AT165" i="2"/>
  <c r="AI165" i="2"/>
  <c r="S165" i="2"/>
  <c r="AG165" i="2"/>
  <c r="Y165" i="2"/>
  <c r="U165" i="2"/>
  <c r="R165" i="2"/>
  <c r="AH165" i="2"/>
  <c r="AX165" i="2"/>
  <c r="AM165" i="2"/>
  <c r="AE165" i="2"/>
  <c r="AU165" i="2"/>
  <c r="AA165" i="2"/>
  <c r="AQ165" i="2"/>
  <c r="X165" i="2"/>
  <c r="AY165" i="2"/>
  <c r="H165" i="2"/>
  <c r="T165" i="2"/>
  <c r="AJ165" i="2"/>
  <c r="AZ165" i="2"/>
  <c r="AN165" i="2"/>
  <c r="B167" i="2"/>
  <c r="P166" i="2"/>
  <c r="M166" i="2" s="1"/>
  <c r="J166" i="2"/>
  <c r="I166" i="2"/>
  <c r="N163" i="2"/>
  <c r="O163" i="2" s="1"/>
  <c r="AR165" i="2"/>
  <c r="L164" i="2"/>
  <c r="AF165" i="2"/>
  <c r="AV165" i="2"/>
  <c r="K166" i="2" l="1"/>
  <c r="AS166" i="2"/>
  <c r="U166" i="2"/>
  <c r="Y166" i="2"/>
  <c r="Q166" i="2"/>
  <c r="AK166" i="2"/>
  <c r="AG166" i="2"/>
  <c r="BA166" i="2"/>
  <c r="AO166" i="2"/>
  <c r="AC166" i="2"/>
  <c r="AW166" i="2"/>
  <c r="R166" i="2"/>
  <c r="V166" i="2"/>
  <c r="AH166" i="2"/>
  <c r="Z166" i="2"/>
  <c r="D167" i="2"/>
  <c r="C167" i="2"/>
  <c r="AD166" i="2"/>
  <c r="AT166" i="2"/>
  <c r="AX166" i="2"/>
  <c r="AP166" i="2"/>
  <c r="W166" i="2"/>
  <c r="AI166" i="2"/>
  <c r="AL166" i="2"/>
  <c r="S166" i="2"/>
  <c r="AM166" i="2"/>
  <c r="AY166" i="2"/>
  <c r="N164" i="2"/>
  <c r="O164" i="2" s="1"/>
  <c r="AE166" i="2"/>
  <c r="AU166" i="2"/>
  <c r="X166" i="2"/>
  <c r="AN166" i="2"/>
  <c r="B168" i="2"/>
  <c r="P167" i="2"/>
  <c r="M167" i="2" s="1"/>
  <c r="J167" i="2"/>
  <c r="I167" i="2"/>
  <c r="AB166" i="2"/>
  <c r="AR166" i="2"/>
  <c r="L165" i="2"/>
  <c r="N165" i="2" s="1"/>
  <c r="AF166" i="2"/>
  <c r="AV166" i="2"/>
  <c r="H166" i="2"/>
  <c r="AA166" i="2"/>
  <c r="AQ166" i="2"/>
  <c r="T166" i="2"/>
  <c r="AJ166" i="2"/>
  <c r="AZ166" i="2"/>
  <c r="K167" i="2" l="1"/>
  <c r="AS167" i="2"/>
  <c r="BA167" i="2"/>
  <c r="D168" i="2"/>
  <c r="C168" i="2"/>
  <c r="AG167" i="2"/>
  <c r="AH167" i="2"/>
  <c r="AC167" i="2"/>
  <c r="AW167" i="2"/>
  <c r="AL167" i="2"/>
  <c r="AU167" i="2"/>
  <c r="Y167" i="2"/>
  <c r="U167" i="2"/>
  <c r="R167" i="2"/>
  <c r="AX167" i="2"/>
  <c r="AO167" i="2"/>
  <c r="Q167" i="2"/>
  <c r="AK167" i="2"/>
  <c r="V167" i="2"/>
  <c r="S167" i="2"/>
  <c r="AD167" i="2"/>
  <c r="AT167" i="2"/>
  <c r="AI167" i="2"/>
  <c r="Z167" i="2"/>
  <c r="AP167" i="2"/>
  <c r="AE167" i="2"/>
  <c r="AA167" i="2"/>
  <c r="AQ167" i="2"/>
  <c r="O165" i="2"/>
  <c r="W167" i="2"/>
  <c r="AM167" i="2"/>
  <c r="T167" i="2"/>
  <c r="H167" i="2"/>
  <c r="AJ167" i="2"/>
  <c r="AZ167" i="2"/>
  <c r="X167" i="2"/>
  <c r="AN167" i="2"/>
  <c r="B169" i="2"/>
  <c r="P168" i="2"/>
  <c r="M168" i="2" s="1"/>
  <c r="J168" i="2"/>
  <c r="I168" i="2"/>
  <c r="L166" i="2"/>
  <c r="N166" i="2" s="1"/>
  <c r="O166" i="2" s="1"/>
  <c r="AY167" i="2"/>
  <c r="AB167" i="2"/>
  <c r="AR167" i="2"/>
  <c r="AF167" i="2"/>
  <c r="AV167" i="2"/>
  <c r="K168" i="2" l="1"/>
  <c r="AG168" i="2"/>
  <c r="AC168" i="2"/>
  <c r="AP168" i="2"/>
  <c r="BA168" i="2"/>
  <c r="Z168" i="2"/>
  <c r="W168" i="2"/>
  <c r="C169" i="2"/>
  <c r="D169" i="2"/>
  <c r="AS168" i="2"/>
  <c r="AW168" i="2"/>
  <c r="AD168" i="2"/>
  <c r="AT168" i="2"/>
  <c r="AA168" i="2"/>
  <c r="AB168" i="2"/>
  <c r="Y168" i="2"/>
  <c r="U168" i="2"/>
  <c r="R168" i="2"/>
  <c r="AH168" i="2"/>
  <c r="AX168" i="2"/>
  <c r="AM168" i="2"/>
  <c r="AO168" i="2"/>
  <c r="Q168" i="2"/>
  <c r="AK168" i="2"/>
  <c r="V168" i="2"/>
  <c r="AL168" i="2"/>
  <c r="S168" i="2"/>
  <c r="AQ168" i="2"/>
  <c r="AI168" i="2"/>
  <c r="AY168" i="2"/>
  <c r="AE168" i="2"/>
  <c r="AU168" i="2"/>
  <c r="X168" i="2"/>
  <c r="H168" i="2"/>
  <c r="T168" i="2"/>
  <c r="AJ168" i="2"/>
  <c r="AZ168" i="2"/>
  <c r="AN168" i="2"/>
  <c r="B170" i="2"/>
  <c r="P169" i="2"/>
  <c r="M169" i="2" s="1"/>
  <c r="I169" i="2"/>
  <c r="J169" i="2"/>
  <c r="AR168" i="2"/>
  <c r="L167" i="2"/>
  <c r="N167" i="2" s="1"/>
  <c r="O167" i="2" s="1"/>
  <c r="AF168" i="2"/>
  <c r="AV168" i="2"/>
  <c r="K169" i="2" l="1"/>
  <c r="Y169" i="2"/>
  <c r="Q169" i="2"/>
  <c r="V169" i="2"/>
  <c r="AO169" i="2"/>
  <c r="AG169" i="2"/>
  <c r="Z169" i="2"/>
  <c r="AC169" i="2"/>
  <c r="U169" i="2"/>
  <c r="AL169" i="2"/>
  <c r="AS169" i="2"/>
  <c r="AK169" i="2"/>
  <c r="AP169" i="2"/>
  <c r="AW169" i="2"/>
  <c r="R169" i="2"/>
  <c r="AH169" i="2"/>
  <c r="S169" i="2"/>
  <c r="BA169" i="2"/>
  <c r="AD169" i="2"/>
  <c r="AT169" i="2"/>
  <c r="AX169" i="2"/>
  <c r="D170" i="2"/>
  <c r="C170" i="2"/>
  <c r="W169" i="2"/>
  <c r="AM169" i="2"/>
  <c r="AA169" i="2"/>
  <c r="AQ169" i="2"/>
  <c r="AI169" i="2"/>
  <c r="AY169" i="2"/>
  <c r="X169" i="2"/>
  <c r="AE169" i="2"/>
  <c r="AU169" i="2"/>
  <c r="AB169" i="2"/>
  <c r="H169" i="2"/>
  <c r="T169" i="2"/>
  <c r="AJ169" i="2"/>
  <c r="AZ169" i="2"/>
  <c r="AN169" i="2"/>
  <c r="B171" i="2"/>
  <c r="P170" i="2"/>
  <c r="M170" i="2" s="1"/>
  <c r="J170" i="2"/>
  <c r="I170" i="2"/>
  <c r="AR169" i="2"/>
  <c r="L168" i="2"/>
  <c r="N168" i="2" s="1"/>
  <c r="O168" i="2" s="1"/>
  <c r="AF169" i="2"/>
  <c r="AV169" i="2"/>
  <c r="K170" i="2" l="1"/>
  <c r="Q170" i="2"/>
  <c r="AW170" i="2"/>
  <c r="AK170" i="2"/>
  <c r="Y170" i="2"/>
  <c r="AC170" i="2"/>
  <c r="R170" i="2"/>
  <c r="AO170" i="2"/>
  <c r="AG170" i="2"/>
  <c r="BA170" i="2"/>
  <c r="AS170" i="2"/>
  <c r="U170" i="2"/>
  <c r="V170" i="2"/>
  <c r="Z170" i="2"/>
  <c r="AH170" i="2"/>
  <c r="AA170" i="2"/>
  <c r="AL170" i="2"/>
  <c r="AD170" i="2"/>
  <c r="AT170" i="2"/>
  <c r="D171" i="2"/>
  <c r="C171" i="2"/>
  <c r="AP170" i="2"/>
  <c r="X170" i="2"/>
  <c r="W170" i="2"/>
  <c r="AX170" i="2"/>
  <c r="AI170" i="2"/>
  <c r="S170" i="2"/>
  <c r="AM170" i="2"/>
  <c r="AQ170" i="2"/>
  <c r="AY170" i="2"/>
  <c r="AE170" i="2"/>
  <c r="AU170" i="2"/>
  <c r="AB170" i="2"/>
  <c r="H170" i="2"/>
  <c r="T170" i="2"/>
  <c r="AJ170" i="2"/>
  <c r="AZ170" i="2"/>
  <c r="AN170" i="2"/>
  <c r="B172" i="2"/>
  <c r="P171" i="2"/>
  <c r="M171" i="2" s="1"/>
  <c r="J171" i="2"/>
  <c r="I171" i="2"/>
  <c r="AR170" i="2"/>
  <c r="L169" i="2"/>
  <c r="AF170" i="2"/>
  <c r="AV170" i="2"/>
  <c r="K171" i="2" l="1"/>
  <c r="AO171" i="2"/>
  <c r="Q171" i="2"/>
  <c r="AK171" i="2"/>
  <c r="D172" i="2"/>
  <c r="C172" i="2"/>
  <c r="V171" i="2"/>
  <c r="AL171" i="2"/>
  <c r="AS171" i="2"/>
  <c r="S171" i="2"/>
  <c r="AI171" i="2"/>
  <c r="AC171" i="2"/>
  <c r="AG171" i="2"/>
  <c r="BA171" i="2"/>
  <c r="Z171" i="2"/>
  <c r="AP171" i="2"/>
  <c r="W171" i="2"/>
  <c r="AM171" i="2"/>
  <c r="T171" i="2"/>
  <c r="AW171" i="2"/>
  <c r="AD171" i="2"/>
  <c r="AT171" i="2"/>
  <c r="AA171" i="2"/>
  <c r="AQ171" i="2"/>
  <c r="AJ171" i="2"/>
  <c r="N169" i="2"/>
  <c r="O169" i="2" s="1"/>
  <c r="Y171" i="2"/>
  <c r="U171" i="2"/>
  <c r="R171" i="2"/>
  <c r="AH171" i="2"/>
  <c r="AX171" i="2"/>
  <c r="AE171" i="2"/>
  <c r="AY171" i="2"/>
  <c r="AZ171" i="2"/>
  <c r="H171" i="2"/>
  <c r="AU171" i="2"/>
  <c r="X171" i="2"/>
  <c r="AN171" i="2"/>
  <c r="B173" i="2"/>
  <c r="P172" i="2"/>
  <c r="M172" i="2" s="1"/>
  <c r="J172" i="2"/>
  <c r="I172" i="2"/>
  <c r="AB171" i="2"/>
  <c r="AR171" i="2"/>
  <c r="L170" i="2"/>
  <c r="N170" i="2" s="1"/>
  <c r="O170" i="2" s="1"/>
  <c r="AF171" i="2"/>
  <c r="AV171" i="2"/>
  <c r="K172" i="2" l="1"/>
  <c r="AK172" i="2"/>
  <c r="Y172" i="2"/>
  <c r="Z172" i="2"/>
  <c r="AC172" i="2"/>
  <c r="AO172" i="2"/>
  <c r="R172" i="2"/>
  <c r="C173" i="2"/>
  <c r="D173" i="2"/>
  <c r="U172" i="2"/>
  <c r="AX172" i="2"/>
  <c r="AG172" i="2"/>
  <c r="AP172" i="2"/>
  <c r="AM172" i="2"/>
  <c r="W172" i="2"/>
  <c r="Q172" i="2"/>
  <c r="BA172" i="2"/>
  <c r="AH172" i="2"/>
  <c r="AE172" i="2"/>
  <c r="V172" i="2"/>
  <c r="AL172" i="2"/>
  <c r="S172" i="2"/>
  <c r="AI172" i="2"/>
  <c r="X172" i="2"/>
  <c r="AJ172" i="2"/>
  <c r="AS172" i="2"/>
  <c r="AW172" i="2"/>
  <c r="AD172" i="2"/>
  <c r="AT172" i="2"/>
  <c r="AA172" i="2"/>
  <c r="AQ172" i="2"/>
  <c r="AU172" i="2"/>
  <c r="T172" i="2"/>
  <c r="AF172" i="2"/>
  <c r="AV172" i="2"/>
  <c r="H172" i="2"/>
  <c r="AZ172" i="2"/>
  <c r="AN172" i="2"/>
  <c r="B174" i="2"/>
  <c r="P173" i="2"/>
  <c r="M173" i="2" s="1"/>
  <c r="I173" i="2"/>
  <c r="J173" i="2"/>
  <c r="L171" i="2"/>
  <c r="N171" i="2" s="1"/>
  <c r="O171" i="2" s="1"/>
  <c r="AY172" i="2"/>
  <c r="AB172" i="2"/>
  <c r="AR172" i="2"/>
  <c r="K173" i="2" l="1"/>
  <c r="Y173" i="2"/>
  <c r="AO173" i="2"/>
  <c r="AQ173" i="2"/>
  <c r="AG173" i="2"/>
  <c r="V173" i="2"/>
  <c r="U173" i="2"/>
  <c r="Q173" i="2"/>
  <c r="BA173" i="2"/>
  <c r="AT173" i="2"/>
  <c r="Z173" i="2"/>
  <c r="AC173" i="2"/>
  <c r="AK173" i="2"/>
  <c r="AP173" i="2"/>
  <c r="D174" i="2"/>
  <c r="C174" i="2"/>
  <c r="R173" i="2"/>
  <c r="AH173" i="2"/>
  <c r="AE173" i="2"/>
  <c r="AS173" i="2"/>
  <c r="AW173" i="2"/>
  <c r="AD173" i="2"/>
  <c r="AX173" i="2"/>
  <c r="AA173" i="2"/>
  <c r="W173" i="2"/>
  <c r="AM173" i="2"/>
  <c r="AL173" i="2"/>
  <c r="S173" i="2"/>
  <c r="AI173" i="2"/>
  <c r="X173" i="2"/>
  <c r="AY173" i="2"/>
  <c r="AR173" i="2"/>
  <c r="AU173" i="2"/>
  <c r="AB173" i="2"/>
  <c r="H173" i="2"/>
  <c r="T173" i="2"/>
  <c r="AJ173" i="2"/>
  <c r="AZ173" i="2"/>
  <c r="L172" i="2"/>
  <c r="AN173" i="2"/>
  <c r="B175" i="2"/>
  <c r="P174" i="2"/>
  <c r="M174" i="2" s="1"/>
  <c r="J174" i="2"/>
  <c r="I174" i="2"/>
  <c r="AF173" i="2"/>
  <c r="AV173" i="2"/>
  <c r="K174" i="2" l="1"/>
  <c r="AS174" i="2"/>
  <c r="AC174" i="2"/>
  <c r="D175" i="2"/>
  <c r="C175" i="2"/>
  <c r="AW174" i="2"/>
  <c r="AG174" i="2"/>
  <c r="AD174" i="2"/>
  <c r="Z174" i="2"/>
  <c r="AA174" i="2"/>
  <c r="BA174" i="2"/>
  <c r="AT174" i="2"/>
  <c r="Y174" i="2"/>
  <c r="U174" i="2"/>
  <c r="R174" i="2"/>
  <c r="AH174" i="2"/>
  <c r="AX174" i="2"/>
  <c r="AE174" i="2"/>
  <c r="T174" i="2"/>
  <c r="AO174" i="2"/>
  <c r="Q174" i="2"/>
  <c r="AK174" i="2"/>
  <c r="V174" i="2"/>
  <c r="AL174" i="2"/>
  <c r="S174" i="2"/>
  <c r="AI174" i="2"/>
  <c r="AJ174" i="2"/>
  <c r="AP174" i="2"/>
  <c r="W174" i="2"/>
  <c r="AM174" i="2"/>
  <c r="AQ174" i="2"/>
  <c r="N172" i="2"/>
  <c r="O172" i="2" s="1"/>
  <c r="AU174" i="2"/>
  <c r="AF174" i="2"/>
  <c r="AV174" i="2"/>
  <c r="H174" i="2"/>
  <c r="AZ174" i="2"/>
  <c r="X174" i="2"/>
  <c r="AN174" i="2"/>
  <c r="B176" i="2"/>
  <c r="P175" i="2"/>
  <c r="M175" i="2" s="1"/>
  <c r="J175" i="2"/>
  <c r="I175" i="2"/>
  <c r="L173" i="2"/>
  <c r="N173" i="2" s="1"/>
  <c r="O173" i="2" s="1"/>
  <c r="AY174" i="2"/>
  <c r="AB174" i="2"/>
  <c r="AR174" i="2"/>
  <c r="K175" i="2" l="1"/>
  <c r="AS175" i="2"/>
  <c r="U175" i="2"/>
  <c r="V175" i="2"/>
  <c r="AL175" i="2"/>
  <c r="Q175" i="2"/>
  <c r="Z175" i="2"/>
  <c r="AP175" i="2"/>
  <c r="AO175" i="2"/>
  <c r="AG175" i="2"/>
  <c r="BA175" i="2"/>
  <c r="AD175" i="2"/>
  <c r="W175" i="2"/>
  <c r="Y175" i="2"/>
  <c r="AK175" i="2"/>
  <c r="AC175" i="2"/>
  <c r="AW175" i="2"/>
  <c r="R175" i="2"/>
  <c r="AH175" i="2"/>
  <c r="AA175" i="2"/>
  <c r="D176" i="2"/>
  <c r="C176" i="2"/>
  <c r="AT175" i="2"/>
  <c r="AX175" i="2"/>
  <c r="S175" i="2"/>
  <c r="AI175" i="2"/>
  <c r="AM175" i="2"/>
  <c r="AE175" i="2"/>
  <c r="AU175" i="2"/>
  <c r="AN175" i="2"/>
  <c r="X175" i="2"/>
  <c r="L174" i="2"/>
  <c r="AY175" i="2"/>
  <c r="AB175" i="2"/>
  <c r="AR175" i="2"/>
  <c r="B177" i="2"/>
  <c r="P176" i="2"/>
  <c r="M176" i="2" s="1"/>
  <c r="J176" i="2"/>
  <c r="I176" i="2"/>
  <c r="AF175" i="2"/>
  <c r="AV175" i="2"/>
  <c r="H175" i="2"/>
  <c r="AQ175" i="2"/>
  <c r="T175" i="2"/>
  <c r="AJ175" i="2"/>
  <c r="AZ175" i="2"/>
  <c r="K176" i="2" l="1"/>
  <c r="V176" i="2"/>
  <c r="AL176" i="2"/>
  <c r="AS176" i="2"/>
  <c r="U176" i="2"/>
  <c r="Q176" i="2"/>
  <c r="Z176" i="2"/>
  <c r="AP176" i="2"/>
  <c r="AO176" i="2"/>
  <c r="AG176" i="2"/>
  <c r="BA176" i="2"/>
  <c r="AD176" i="2"/>
  <c r="AT176" i="2"/>
  <c r="Y176" i="2"/>
  <c r="AK176" i="2"/>
  <c r="AC176" i="2"/>
  <c r="AW176" i="2"/>
  <c r="R176" i="2"/>
  <c r="AH176" i="2"/>
  <c r="AE176" i="2"/>
  <c r="AA176" i="2"/>
  <c r="C177" i="2"/>
  <c r="D177" i="2"/>
  <c r="AX176" i="2"/>
  <c r="AJ176" i="2"/>
  <c r="W176" i="2"/>
  <c r="AM176" i="2"/>
  <c r="S176" i="2"/>
  <c r="AI176" i="2"/>
  <c r="AQ176" i="2"/>
  <c r="T176" i="2"/>
  <c r="AZ176" i="2"/>
  <c r="AU176" i="2"/>
  <c r="X176" i="2"/>
  <c r="AN176" i="2"/>
  <c r="B178" i="2"/>
  <c r="P177" i="2"/>
  <c r="M177" i="2" s="1"/>
  <c r="I177" i="2"/>
  <c r="J177" i="2"/>
  <c r="H176" i="2"/>
  <c r="AY176" i="2"/>
  <c r="AB176" i="2"/>
  <c r="AR176" i="2"/>
  <c r="N174" i="2"/>
  <c r="O174" i="2" s="1"/>
  <c r="L175" i="2"/>
  <c r="AF176" i="2"/>
  <c r="AV176" i="2"/>
  <c r="K177" i="2" l="1"/>
  <c r="AO177" i="2"/>
  <c r="AG177" i="2"/>
  <c r="Q177" i="2"/>
  <c r="Y177" i="2"/>
  <c r="AK177" i="2"/>
  <c r="BA177" i="2"/>
  <c r="Z177" i="2"/>
  <c r="AD177" i="2"/>
  <c r="AP177" i="2"/>
  <c r="AT177" i="2"/>
  <c r="AC177" i="2"/>
  <c r="AW177" i="2"/>
  <c r="R177" i="2"/>
  <c r="AH177" i="2"/>
  <c r="AX177" i="2"/>
  <c r="D178" i="2"/>
  <c r="C178" i="2"/>
  <c r="AS177" i="2"/>
  <c r="U177" i="2"/>
  <c r="V177" i="2"/>
  <c r="AL177" i="2"/>
  <c r="S177" i="2"/>
  <c r="AE177" i="2"/>
  <c r="AI177" i="2"/>
  <c r="AR177" i="2"/>
  <c r="AA177" i="2"/>
  <c r="AQ177" i="2"/>
  <c r="W177" i="2"/>
  <c r="AM177" i="2"/>
  <c r="AY177" i="2"/>
  <c r="AB177" i="2"/>
  <c r="N175" i="2"/>
  <c r="O175" i="2" s="1"/>
  <c r="AF177" i="2"/>
  <c r="AV177" i="2"/>
  <c r="H177" i="2"/>
  <c r="T177" i="2"/>
  <c r="AJ177" i="2"/>
  <c r="AZ177" i="2"/>
  <c r="L176" i="2"/>
  <c r="AU177" i="2"/>
  <c r="X177" i="2"/>
  <c r="AN177" i="2"/>
  <c r="B179" i="2"/>
  <c r="P178" i="2"/>
  <c r="M178" i="2" s="1"/>
  <c r="J178" i="2"/>
  <c r="I178" i="2"/>
  <c r="K178" i="2" l="1"/>
  <c r="AG178" i="2"/>
  <c r="D179" i="2"/>
  <c r="C179" i="2"/>
  <c r="AS178" i="2"/>
  <c r="BA178" i="2"/>
  <c r="AC178" i="2"/>
  <c r="AW178" i="2"/>
  <c r="W178" i="2"/>
  <c r="AL178" i="2"/>
  <c r="Z178" i="2"/>
  <c r="Y178" i="2"/>
  <c r="U178" i="2"/>
  <c r="R178" i="2"/>
  <c r="AP178" i="2"/>
  <c r="AO178" i="2"/>
  <c r="Q178" i="2"/>
  <c r="AK178" i="2"/>
  <c r="V178" i="2"/>
  <c r="S178" i="2"/>
  <c r="AD178" i="2"/>
  <c r="AT178" i="2"/>
  <c r="AI178" i="2"/>
  <c r="AH178" i="2"/>
  <c r="AX178" i="2"/>
  <c r="AM178" i="2"/>
  <c r="AY178" i="2"/>
  <c r="AE178" i="2"/>
  <c r="AU178" i="2"/>
  <c r="AN178" i="2"/>
  <c r="AA178" i="2"/>
  <c r="AQ178" i="2"/>
  <c r="X178" i="2"/>
  <c r="AR178" i="2"/>
  <c r="AB178" i="2"/>
  <c r="N176" i="2"/>
  <c r="O176" i="2" s="1"/>
  <c r="AF178" i="2"/>
  <c r="AV178" i="2"/>
  <c r="L177" i="2"/>
  <c r="B180" i="2"/>
  <c r="P179" i="2"/>
  <c r="M179" i="2" s="1"/>
  <c r="J179" i="2"/>
  <c r="I179" i="2"/>
  <c r="H178" i="2"/>
  <c r="T178" i="2"/>
  <c r="AJ178" i="2"/>
  <c r="AZ178" i="2"/>
  <c r="AK179" i="2" l="1"/>
  <c r="Y179" i="2"/>
  <c r="K179" i="2"/>
  <c r="AO179" i="2"/>
  <c r="BA179" i="2"/>
  <c r="Q179" i="2"/>
  <c r="AP179" i="2"/>
  <c r="AG179" i="2"/>
  <c r="AY179" i="2"/>
  <c r="AD179" i="2"/>
  <c r="AC179" i="2"/>
  <c r="AW179" i="2"/>
  <c r="R179" i="2"/>
  <c r="AT179" i="2"/>
  <c r="AS179" i="2"/>
  <c r="U179" i="2"/>
  <c r="V179" i="2"/>
  <c r="AI179" i="2"/>
  <c r="D180" i="2"/>
  <c r="C180" i="2"/>
  <c r="Z179" i="2"/>
  <c r="AA179" i="2"/>
  <c r="AH179" i="2"/>
  <c r="S179" i="2"/>
  <c r="AM179" i="2"/>
  <c r="X179" i="2"/>
  <c r="AL179" i="2"/>
  <c r="W179" i="2"/>
  <c r="AQ179" i="2"/>
  <c r="AX179" i="2"/>
  <c r="AE179" i="2"/>
  <c r="AU179" i="2"/>
  <c r="AB179" i="2"/>
  <c r="AN179" i="2"/>
  <c r="AR179" i="2"/>
  <c r="L178" i="2"/>
  <c r="AF179" i="2"/>
  <c r="AV179" i="2"/>
  <c r="N177" i="2"/>
  <c r="O177" i="2" s="1"/>
  <c r="B181" i="2"/>
  <c r="P180" i="2"/>
  <c r="M180" i="2" s="1"/>
  <c r="J180" i="2"/>
  <c r="I180" i="2"/>
  <c r="H179" i="2"/>
  <c r="T179" i="2"/>
  <c r="AJ179" i="2"/>
  <c r="AZ179" i="2"/>
  <c r="K180" i="2" l="1"/>
  <c r="AO180" i="2"/>
  <c r="Q180" i="2"/>
  <c r="AM180" i="2"/>
  <c r="AG180" i="2"/>
  <c r="C181" i="2"/>
  <c r="D181" i="2"/>
  <c r="Z180" i="2"/>
  <c r="AC180" i="2"/>
  <c r="AK180" i="2"/>
  <c r="AP180" i="2"/>
  <c r="BA180" i="2"/>
  <c r="W180" i="2"/>
  <c r="AS180" i="2"/>
  <c r="AW180" i="2"/>
  <c r="AD180" i="2"/>
  <c r="AT180" i="2"/>
  <c r="AA180" i="2"/>
  <c r="AQ180" i="2"/>
  <c r="T180" i="2"/>
  <c r="N178" i="2"/>
  <c r="O178" i="2" s="1"/>
  <c r="Y180" i="2"/>
  <c r="U180" i="2"/>
  <c r="R180" i="2"/>
  <c r="AH180" i="2"/>
  <c r="AX180" i="2"/>
  <c r="AE180" i="2"/>
  <c r="AU180" i="2"/>
  <c r="AB180" i="2"/>
  <c r="V180" i="2"/>
  <c r="AL180" i="2"/>
  <c r="S180" i="2"/>
  <c r="AI180" i="2"/>
  <c r="AY180" i="2"/>
  <c r="AR180" i="2"/>
  <c r="AF180" i="2"/>
  <c r="AV180" i="2"/>
  <c r="H180" i="2"/>
  <c r="AJ180" i="2"/>
  <c r="AZ180" i="2"/>
  <c r="L179" i="2"/>
  <c r="X180" i="2"/>
  <c r="AN180" i="2"/>
  <c r="B182" i="2"/>
  <c r="P181" i="2"/>
  <c r="M181" i="2" s="1"/>
  <c r="I181" i="2"/>
  <c r="J181" i="2"/>
  <c r="K181" i="2" l="1"/>
  <c r="AC181" i="2"/>
  <c r="AW181" i="2"/>
  <c r="AK181" i="2"/>
  <c r="D182" i="2"/>
  <c r="C182" i="2"/>
  <c r="AG181" i="2"/>
  <c r="Z181" i="2"/>
  <c r="AS181" i="2"/>
  <c r="V181" i="2"/>
  <c r="AL181" i="2"/>
  <c r="AP181" i="2"/>
  <c r="AO181" i="2"/>
  <c r="Q181" i="2"/>
  <c r="BA181" i="2"/>
  <c r="AD181" i="2"/>
  <c r="Y181" i="2"/>
  <c r="U181" i="2"/>
  <c r="R181" i="2"/>
  <c r="AH181" i="2"/>
  <c r="W181" i="2"/>
  <c r="AT181" i="2"/>
  <c r="AM181" i="2"/>
  <c r="S181" i="2"/>
  <c r="AQ181" i="2"/>
  <c r="AA181" i="2"/>
  <c r="AX181" i="2"/>
  <c r="AE181" i="2"/>
  <c r="AU181" i="2"/>
  <c r="X181" i="2"/>
  <c r="AN181" i="2"/>
  <c r="B183" i="2"/>
  <c r="P182" i="2"/>
  <c r="M182" i="2" s="1"/>
  <c r="J182" i="2"/>
  <c r="I182" i="2"/>
  <c r="N179" i="2"/>
  <c r="O179" i="2" s="1"/>
  <c r="L180" i="2"/>
  <c r="AI181" i="2"/>
  <c r="AY181" i="2"/>
  <c r="AB181" i="2"/>
  <c r="AR181" i="2"/>
  <c r="AF181" i="2"/>
  <c r="AV181" i="2"/>
  <c r="H181" i="2"/>
  <c r="T181" i="2"/>
  <c r="AJ181" i="2"/>
  <c r="AZ181" i="2"/>
  <c r="K182" i="2" l="1"/>
  <c r="AG182" i="2"/>
  <c r="Z182" i="2"/>
  <c r="D183" i="2"/>
  <c r="C183" i="2"/>
  <c r="AS182" i="2"/>
  <c r="BA182" i="2"/>
  <c r="AT182" i="2"/>
  <c r="AC182" i="2"/>
  <c r="AW182" i="2"/>
  <c r="AD182" i="2"/>
  <c r="AE182" i="2"/>
  <c r="AP182" i="2"/>
  <c r="R182" i="2"/>
  <c r="AH182" i="2"/>
  <c r="AX182" i="2"/>
  <c r="Y182" i="2"/>
  <c r="U182" i="2"/>
  <c r="AO182" i="2"/>
  <c r="Q182" i="2"/>
  <c r="AK182" i="2"/>
  <c r="V182" i="2"/>
  <c r="AL182" i="2"/>
  <c r="AA182" i="2"/>
  <c r="S182" i="2"/>
  <c r="AM182" i="2"/>
  <c r="W182" i="2"/>
  <c r="AU182" i="2"/>
  <c r="N180" i="2"/>
  <c r="O180" i="2" s="1"/>
  <c r="H182" i="2"/>
  <c r="AQ182" i="2"/>
  <c r="T182" i="2"/>
  <c r="AJ182" i="2"/>
  <c r="AZ182" i="2"/>
  <c r="X182" i="2"/>
  <c r="AN182" i="2"/>
  <c r="B184" i="2"/>
  <c r="P183" i="2"/>
  <c r="M183" i="2" s="1"/>
  <c r="J183" i="2"/>
  <c r="I183" i="2"/>
  <c r="AI182" i="2"/>
  <c r="AY182" i="2"/>
  <c r="AB182" i="2"/>
  <c r="AR182" i="2"/>
  <c r="L181" i="2"/>
  <c r="AF182" i="2"/>
  <c r="AV182" i="2"/>
  <c r="K183" i="2" l="1"/>
  <c r="AT183" i="2"/>
  <c r="AW183" i="2"/>
  <c r="D184" i="2"/>
  <c r="C184" i="2"/>
  <c r="AS183" i="2"/>
  <c r="AD183" i="2"/>
  <c r="AO183" i="2"/>
  <c r="V183" i="2"/>
  <c r="AL183" i="2"/>
  <c r="S183" i="2"/>
  <c r="Q183" i="2"/>
  <c r="AK183" i="2"/>
  <c r="AC183" i="2"/>
  <c r="AG183" i="2"/>
  <c r="BA183" i="2"/>
  <c r="Z183" i="2"/>
  <c r="AP183" i="2"/>
  <c r="W183" i="2"/>
  <c r="Y183" i="2"/>
  <c r="U183" i="2"/>
  <c r="R183" i="2"/>
  <c r="AH183" i="2"/>
  <c r="AX183" i="2"/>
  <c r="AM183" i="2"/>
  <c r="AA183" i="2"/>
  <c r="AE183" i="2"/>
  <c r="AQ183" i="2"/>
  <c r="AI183" i="2"/>
  <c r="H183" i="2"/>
  <c r="T183" i="2"/>
  <c r="AJ183" i="2"/>
  <c r="AZ183" i="2"/>
  <c r="L182" i="2"/>
  <c r="N181" i="2"/>
  <c r="O181" i="2" s="1"/>
  <c r="AU183" i="2"/>
  <c r="X183" i="2"/>
  <c r="AN183" i="2"/>
  <c r="B185" i="2"/>
  <c r="P184" i="2"/>
  <c r="M184" i="2" s="1"/>
  <c r="J184" i="2"/>
  <c r="I184" i="2"/>
  <c r="AY183" i="2"/>
  <c r="AB183" i="2"/>
  <c r="AR183" i="2"/>
  <c r="AF183" i="2"/>
  <c r="AV183" i="2"/>
  <c r="K184" i="2" l="1"/>
  <c r="U184" i="2"/>
  <c r="AH184" i="2"/>
  <c r="Y184" i="2"/>
  <c r="AX184" i="2"/>
  <c r="R184" i="2"/>
  <c r="C185" i="2"/>
  <c r="D185" i="2"/>
  <c r="AE184" i="2"/>
  <c r="AC184" i="2"/>
  <c r="AG184" i="2"/>
  <c r="BA184" i="2"/>
  <c r="Z184" i="2"/>
  <c r="AP184" i="2"/>
  <c r="W184" i="2"/>
  <c r="AM184" i="2"/>
  <c r="AS184" i="2"/>
  <c r="AW184" i="2"/>
  <c r="AD184" i="2"/>
  <c r="AT184" i="2"/>
  <c r="AA184" i="2"/>
  <c r="AQ184" i="2"/>
  <c r="AO184" i="2"/>
  <c r="Q184" i="2"/>
  <c r="AK184" i="2"/>
  <c r="V184" i="2"/>
  <c r="AL184" i="2"/>
  <c r="S184" i="2"/>
  <c r="AI184" i="2"/>
  <c r="AU184" i="2"/>
  <c r="T184" i="2"/>
  <c r="AF184" i="2"/>
  <c r="AV184" i="2"/>
  <c r="N182" i="2"/>
  <c r="O182" i="2" s="1"/>
  <c r="H184" i="2"/>
  <c r="AJ184" i="2"/>
  <c r="AZ184" i="2"/>
  <c r="L183" i="2"/>
  <c r="X184" i="2"/>
  <c r="AN184" i="2"/>
  <c r="B186" i="2"/>
  <c r="P185" i="2"/>
  <c r="M185" i="2" s="1"/>
  <c r="I185" i="2"/>
  <c r="J185" i="2"/>
  <c r="AY184" i="2"/>
  <c r="AB184" i="2"/>
  <c r="AR184" i="2"/>
  <c r="K185" i="2" l="1"/>
  <c r="Y185" i="2"/>
  <c r="AW185" i="2"/>
  <c r="AS185" i="2"/>
  <c r="AT185" i="2"/>
  <c r="U185" i="2"/>
  <c r="Z185" i="2"/>
  <c r="D186" i="2"/>
  <c r="C186" i="2"/>
  <c r="AO185" i="2"/>
  <c r="Q185" i="2"/>
  <c r="AK185" i="2"/>
  <c r="AD185" i="2"/>
  <c r="AC185" i="2"/>
  <c r="AG185" i="2"/>
  <c r="BA185" i="2"/>
  <c r="AP185" i="2"/>
  <c r="V185" i="2"/>
  <c r="AL185" i="2"/>
  <c r="S185" i="2"/>
  <c r="R185" i="2"/>
  <c r="AH185" i="2"/>
  <c r="AX185" i="2"/>
  <c r="T185" i="2"/>
  <c r="AM185" i="2"/>
  <c r="AE185" i="2"/>
  <c r="AA185" i="2"/>
  <c r="AU185" i="2"/>
  <c r="W185" i="2"/>
  <c r="AQ185" i="2"/>
  <c r="AF185" i="2"/>
  <c r="AV185" i="2"/>
  <c r="H185" i="2"/>
  <c r="AJ185" i="2"/>
  <c r="AZ185" i="2"/>
  <c r="X185" i="2"/>
  <c r="AN185" i="2"/>
  <c r="B187" i="2"/>
  <c r="P186" i="2"/>
  <c r="M186" i="2" s="1"/>
  <c r="J186" i="2"/>
  <c r="I186" i="2"/>
  <c r="N183" i="2"/>
  <c r="O183" i="2" s="1"/>
  <c r="L184" i="2"/>
  <c r="N184" i="2" s="1"/>
  <c r="AI185" i="2"/>
  <c r="AY185" i="2"/>
  <c r="AB185" i="2"/>
  <c r="AR185" i="2"/>
  <c r="K186" i="2" l="1"/>
  <c r="Y186" i="2"/>
  <c r="AC186" i="2"/>
  <c r="AK186" i="2"/>
  <c r="R186" i="2"/>
  <c r="AW186" i="2"/>
  <c r="AX186" i="2"/>
  <c r="Q186" i="2"/>
  <c r="AH186" i="2"/>
  <c r="AO186" i="2"/>
  <c r="AG186" i="2"/>
  <c r="BA186" i="2"/>
  <c r="AP186" i="2"/>
  <c r="D187" i="2"/>
  <c r="C187" i="2"/>
  <c r="AS186" i="2"/>
  <c r="U186" i="2"/>
  <c r="Z186" i="2"/>
  <c r="W186" i="2"/>
  <c r="AI186" i="2"/>
  <c r="V186" i="2"/>
  <c r="AL186" i="2"/>
  <c r="S186" i="2"/>
  <c r="AQ186" i="2"/>
  <c r="AD186" i="2"/>
  <c r="AT186" i="2"/>
  <c r="AA186" i="2"/>
  <c r="AE186" i="2"/>
  <c r="AY186" i="2"/>
  <c r="AM186" i="2"/>
  <c r="T186" i="2"/>
  <c r="O184" i="2"/>
  <c r="AU186" i="2"/>
  <c r="X186" i="2"/>
  <c r="AB186" i="2"/>
  <c r="AN186" i="2"/>
  <c r="AF186" i="2"/>
  <c r="AV186" i="2"/>
  <c r="H186" i="2"/>
  <c r="AJ186" i="2"/>
  <c r="AZ186" i="2"/>
  <c r="B188" i="2"/>
  <c r="P187" i="2"/>
  <c r="M187" i="2" s="1"/>
  <c r="J187" i="2"/>
  <c r="I187" i="2"/>
  <c r="AR186" i="2"/>
  <c r="L185" i="2"/>
  <c r="K187" i="2" l="1"/>
  <c r="AG187" i="2"/>
  <c r="Z187" i="2"/>
  <c r="S187" i="2"/>
  <c r="BA187" i="2"/>
  <c r="D188" i="2"/>
  <c r="C188" i="2"/>
  <c r="AC187" i="2"/>
  <c r="AD187" i="2"/>
  <c r="W187" i="2"/>
  <c r="AW187" i="2"/>
  <c r="Y187" i="2"/>
  <c r="U187" i="2"/>
  <c r="R187" i="2"/>
  <c r="AL187" i="2"/>
  <c r="AI187" i="2"/>
  <c r="AS187" i="2"/>
  <c r="AO187" i="2"/>
  <c r="Q187" i="2"/>
  <c r="AK187" i="2"/>
  <c r="V187" i="2"/>
  <c r="AP187" i="2"/>
  <c r="AM187" i="2"/>
  <c r="N185" i="2"/>
  <c r="O185" i="2" s="1"/>
  <c r="H187" i="2"/>
  <c r="AT187" i="2"/>
  <c r="AA187" i="2"/>
  <c r="AQ187" i="2"/>
  <c r="T187" i="2"/>
  <c r="AJ187" i="2"/>
  <c r="AZ187" i="2"/>
  <c r="L186" i="2"/>
  <c r="AH187" i="2"/>
  <c r="AX187" i="2"/>
  <c r="AE187" i="2"/>
  <c r="AU187" i="2"/>
  <c r="X187" i="2"/>
  <c r="AN187" i="2"/>
  <c r="B189" i="2"/>
  <c r="P188" i="2"/>
  <c r="M188" i="2" s="1"/>
  <c r="J188" i="2"/>
  <c r="I188" i="2"/>
  <c r="AY187" i="2"/>
  <c r="AB187" i="2"/>
  <c r="AR187" i="2"/>
  <c r="AF187" i="2"/>
  <c r="AV187" i="2"/>
  <c r="K188" i="2" l="1"/>
  <c r="AC188" i="2"/>
  <c r="AS188" i="2"/>
  <c r="AO188" i="2"/>
  <c r="Y188" i="2"/>
  <c r="AG188" i="2"/>
  <c r="AW188" i="2"/>
  <c r="Q188" i="2"/>
  <c r="Z188" i="2"/>
  <c r="AD188" i="2"/>
  <c r="BA188" i="2"/>
  <c r="C189" i="2"/>
  <c r="D189" i="2"/>
  <c r="U188" i="2"/>
  <c r="R188" i="2"/>
  <c r="AP188" i="2"/>
  <c r="AK188" i="2"/>
  <c r="V188" i="2"/>
  <c r="AT188" i="2"/>
  <c r="W188" i="2"/>
  <c r="AA188" i="2"/>
  <c r="AM188" i="2"/>
  <c r="AQ188" i="2"/>
  <c r="H188" i="2"/>
  <c r="AH188" i="2"/>
  <c r="AX188" i="2"/>
  <c r="AE188" i="2"/>
  <c r="AU188" i="2"/>
  <c r="X188" i="2"/>
  <c r="AN188" i="2"/>
  <c r="B190" i="2"/>
  <c r="P189" i="2"/>
  <c r="M189" i="2" s="1"/>
  <c r="I189" i="2"/>
  <c r="J189" i="2"/>
  <c r="N186" i="2"/>
  <c r="O186" i="2" s="1"/>
  <c r="L187" i="2"/>
  <c r="AL188" i="2"/>
  <c r="S188" i="2"/>
  <c r="AI188" i="2"/>
  <c r="AY188" i="2"/>
  <c r="AB188" i="2"/>
  <c r="AR188" i="2"/>
  <c r="AF188" i="2"/>
  <c r="AV188" i="2"/>
  <c r="T188" i="2"/>
  <c r="AJ188" i="2"/>
  <c r="AZ188" i="2"/>
  <c r="K189" i="2" l="1"/>
  <c r="AG189" i="2"/>
  <c r="Z189" i="2"/>
  <c r="AC189" i="2"/>
  <c r="W189" i="2"/>
  <c r="BA189" i="2"/>
  <c r="Q189" i="2"/>
  <c r="V189" i="2"/>
  <c r="AQ189" i="2"/>
  <c r="AO189" i="2"/>
  <c r="AK189" i="2"/>
  <c r="AL189" i="2"/>
  <c r="AP189" i="2"/>
  <c r="D190" i="2"/>
  <c r="C190" i="2"/>
  <c r="S189" i="2"/>
  <c r="AS189" i="2"/>
  <c r="AW189" i="2"/>
  <c r="AD189" i="2"/>
  <c r="AT189" i="2"/>
  <c r="AA189" i="2"/>
  <c r="Y189" i="2"/>
  <c r="U189" i="2"/>
  <c r="R189" i="2"/>
  <c r="AH189" i="2"/>
  <c r="AX189" i="2"/>
  <c r="AM189" i="2"/>
  <c r="AE189" i="2"/>
  <c r="AI189" i="2"/>
  <c r="AF189" i="2"/>
  <c r="AV189" i="2"/>
  <c r="N187" i="2"/>
  <c r="O187" i="2" s="1"/>
  <c r="H189" i="2"/>
  <c r="T189" i="2"/>
  <c r="AJ189" i="2"/>
  <c r="AZ189" i="2"/>
  <c r="L188" i="2"/>
  <c r="AU189" i="2"/>
  <c r="X189" i="2"/>
  <c r="AN189" i="2"/>
  <c r="B191" i="2"/>
  <c r="P190" i="2"/>
  <c r="M190" i="2" s="1"/>
  <c r="J190" i="2"/>
  <c r="I190" i="2"/>
  <c r="AY189" i="2"/>
  <c r="AB189" i="2"/>
  <c r="AR189" i="2"/>
  <c r="K190" i="2" l="1"/>
  <c r="AS190" i="2"/>
  <c r="U190" i="2"/>
  <c r="AO190" i="2"/>
  <c r="BA190" i="2"/>
  <c r="Z190" i="2"/>
  <c r="AG190" i="2"/>
  <c r="S190" i="2"/>
  <c r="Y190" i="2"/>
  <c r="Q190" i="2"/>
  <c r="AK190" i="2"/>
  <c r="AH190" i="2"/>
  <c r="AC190" i="2"/>
  <c r="AW190" i="2"/>
  <c r="V190" i="2"/>
  <c r="W190" i="2"/>
  <c r="D191" i="2"/>
  <c r="C191" i="2"/>
  <c r="AP190" i="2"/>
  <c r="AM190" i="2"/>
  <c r="R190" i="2"/>
  <c r="AL190" i="2"/>
  <c r="AI190" i="2"/>
  <c r="AX190" i="2"/>
  <c r="AE190" i="2"/>
  <c r="AY190" i="2"/>
  <c r="AD190" i="2"/>
  <c r="AT190" i="2"/>
  <c r="AA190" i="2"/>
  <c r="AU190" i="2"/>
  <c r="X190" i="2"/>
  <c r="AN190" i="2"/>
  <c r="B192" i="2"/>
  <c r="P191" i="2"/>
  <c r="M191" i="2" s="1"/>
  <c r="J191" i="2"/>
  <c r="I191" i="2"/>
  <c r="AB190" i="2"/>
  <c r="AR190" i="2"/>
  <c r="N188" i="2"/>
  <c r="O188" i="2" s="1"/>
  <c r="AF190" i="2"/>
  <c r="AV190" i="2"/>
  <c r="L189" i="2"/>
  <c r="N189" i="2" s="1"/>
  <c r="H190" i="2"/>
  <c r="AQ190" i="2"/>
  <c r="T190" i="2"/>
  <c r="AJ190" i="2"/>
  <c r="AZ190" i="2"/>
  <c r="K191" i="2" l="1"/>
  <c r="AG191" i="2"/>
  <c r="D192" i="2"/>
  <c r="C192" i="2"/>
  <c r="BA191" i="2"/>
  <c r="AC191" i="2"/>
  <c r="W191" i="2"/>
  <c r="Z191" i="2"/>
  <c r="AP191" i="2"/>
  <c r="AS191" i="2"/>
  <c r="AW191" i="2"/>
  <c r="AD191" i="2"/>
  <c r="AT191" i="2"/>
  <c r="AA191" i="2"/>
  <c r="Y191" i="2"/>
  <c r="U191" i="2"/>
  <c r="R191" i="2"/>
  <c r="AH191" i="2"/>
  <c r="AX191" i="2"/>
  <c r="AI191" i="2"/>
  <c r="AO191" i="2"/>
  <c r="Q191" i="2"/>
  <c r="AK191" i="2"/>
  <c r="V191" i="2"/>
  <c r="AL191" i="2"/>
  <c r="S191" i="2"/>
  <c r="AM191" i="2"/>
  <c r="L190" i="2"/>
  <c r="O189" i="2"/>
  <c r="AE191" i="2"/>
  <c r="AU191" i="2"/>
  <c r="X191" i="2"/>
  <c r="AN191" i="2"/>
  <c r="B193" i="2"/>
  <c r="P192" i="2"/>
  <c r="M192" i="2" s="1"/>
  <c r="J192" i="2"/>
  <c r="I192" i="2"/>
  <c r="AY191" i="2"/>
  <c r="AB191" i="2"/>
  <c r="AR191" i="2"/>
  <c r="AF191" i="2"/>
  <c r="AV191" i="2"/>
  <c r="H191" i="2"/>
  <c r="AQ191" i="2"/>
  <c r="T191" i="2"/>
  <c r="AJ191" i="2"/>
  <c r="AZ191" i="2"/>
  <c r="K192" i="2" l="1"/>
  <c r="AK192" i="2"/>
  <c r="AO192" i="2"/>
  <c r="Q192" i="2"/>
  <c r="C193" i="2"/>
  <c r="D193" i="2"/>
  <c r="AL192" i="2"/>
  <c r="V192" i="2"/>
  <c r="AC192" i="2"/>
  <c r="AG192" i="2"/>
  <c r="BA192" i="2"/>
  <c r="Z192" i="2"/>
  <c r="AP192" i="2"/>
  <c r="AS192" i="2"/>
  <c r="AW192" i="2"/>
  <c r="AD192" i="2"/>
  <c r="S192" i="2"/>
  <c r="Y192" i="2"/>
  <c r="U192" i="2"/>
  <c r="R192" i="2"/>
  <c r="AH192" i="2"/>
  <c r="W192" i="2"/>
  <c r="AT192" i="2"/>
  <c r="AA192" i="2"/>
  <c r="AX192" i="2"/>
  <c r="AE192" i="2"/>
  <c r="AI192" i="2"/>
  <c r="AM192" i="2"/>
  <c r="AQ192" i="2"/>
  <c r="AY192" i="2"/>
  <c r="AB192" i="2"/>
  <c r="AR192" i="2"/>
  <c r="AF192" i="2"/>
  <c r="AV192" i="2"/>
  <c r="L191" i="2"/>
  <c r="N191" i="2" s="1"/>
  <c r="O191" i="2" s="1"/>
  <c r="H192" i="2"/>
  <c r="T192" i="2"/>
  <c r="AJ192" i="2"/>
  <c r="AZ192" i="2"/>
  <c r="N190" i="2"/>
  <c r="O190" i="2" s="1"/>
  <c r="AU192" i="2"/>
  <c r="X192" i="2"/>
  <c r="AN192" i="2"/>
  <c r="B194" i="2"/>
  <c r="P193" i="2"/>
  <c r="M193" i="2" s="1"/>
  <c r="I193" i="2"/>
  <c r="J193" i="2"/>
  <c r="AO193" i="2" l="1"/>
  <c r="AW193" i="2"/>
  <c r="K193" i="2"/>
  <c r="AC193" i="2"/>
  <c r="BA193" i="2"/>
  <c r="Q193" i="2"/>
  <c r="AD193" i="2"/>
  <c r="AG193" i="2"/>
  <c r="AP193" i="2"/>
  <c r="V193" i="2"/>
  <c r="AQ193" i="2"/>
  <c r="AS193" i="2"/>
  <c r="AK193" i="2"/>
  <c r="AL193" i="2"/>
  <c r="D194" i="2"/>
  <c r="C194" i="2"/>
  <c r="Z193" i="2"/>
  <c r="AT193" i="2"/>
  <c r="W193" i="2"/>
  <c r="AA193" i="2"/>
  <c r="Y193" i="2"/>
  <c r="U193" i="2"/>
  <c r="R193" i="2"/>
  <c r="AH193" i="2"/>
  <c r="AX193" i="2"/>
  <c r="AI193" i="2"/>
  <c r="S193" i="2"/>
  <c r="AM193" i="2"/>
  <c r="AE193" i="2"/>
  <c r="AU193" i="2"/>
  <c r="AB193" i="2"/>
  <c r="AY193" i="2"/>
  <c r="T193" i="2"/>
  <c r="H193" i="2"/>
  <c r="AJ193" i="2"/>
  <c r="AZ193" i="2"/>
  <c r="X193" i="2"/>
  <c r="AN193" i="2"/>
  <c r="B195" i="2"/>
  <c r="P194" i="2"/>
  <c r="M194" i="2" s="1"/>
  <c r="J194" i="2"/>
  <c r="I194" i="2"/>
  <c r="L192" i="2"/>
  <c r="N192" i="2" s="1"/>
  <c r="O192" i="2" s="1"/>
  <c r="AR193" i="2"/>
  <c r="AF193" i="2"/>
  <c r="AV193" i="2"/>
  <c r="K194" i="2" l="1"/>
  <c r="AO194" i="2"/>
  <c r="AC194" i="2"/>
  <c r="Y194" i="2"/>
  <c r="AW194" i="2"/>
  <c r="AD194" i="2"/>
  <c r="Q194" i="2"/>
  <c r="AK194" i="2"/>
  <c r="R194" i="2"/>
  <c r="AG194" i="2"/>
  <c r="BA194" i="2"/>
  <c r="AL194" i="2"/>
  <c r="AS194" i="2"/>
  <c r="U194" i="2"/>
  <c r="V194" i="2"/>
  <c r="D195" i="2"/>
  <c r="C195" i="2"/>
  <c r="Z194" i="2"/>
  <c r="AP194" i="2"/>
  <c r="AT194" i="2"/>
  <c r="AH194" i="2"/>
  <c r="AA194" i="2"/>
  <c r="W194" i="2"/>
  <c r="AX194" i="2"/>
  <c r="AI194" i="2"/>
  <c r="S194" i="2"/>
  <c r="AY194" i="2"/>
  <c r="AM194" i="2"/>
  <c r="H194" i="2"/>
  <c r="AQ194" i="2"/>
  <c r="T194" i="2"/>
  <c r="AJ194" i="2"/>
  <c r="AZ194" i="2"/>
  <c r="AE194" i="2"/>
  <c r="AU194" i="2"/>
  <c r="X194" i="2"/>
  <c r="AN194" i="2"/>
  <c r="B196" i="2"/>
  <c r="P195" i="2"/>
  <c r="M195" i="2" s="1"/>
  <c r="J195" i="2"/>
  <c r="I195" i="2"/>
  <c r="AB194" i="2"/>
  <c r="AR194" i="2"/>
  <c r="L193" i="2"/>
  <c r="N193" i="2" s="1"/>
  <c r="AF194" i="2"/>
  <c r="AV194" i="2"/>
  <c r="K195" i="2" l="1"/>
  <c r="AC195" i="2"/>
  <c r="AW195" i="2"/>
  <c r="Q195" i="2"/>
  <c r="Y195" i="2"/>
  <c r="AK195" i="2"/>
  <c r="AO195" i="2"/>
  <c r="AG195" i="2"/>
  <c r="BA195" i="2"/>
  <c r="D196" i="2"/>
  <c r="C196" i="2"/>
  <c r="AD195" i="2"/>
  <c r="AS195" i="2"/>
  <c r="U195" i="2"/>
  <c r="AT195" i="2"/>
  <c r="V195" i="2"/>
  <c r="AA195" i="2"/>
  <c r="AL195" i="2"/>
  <c r="Z195" i="2"/>
  <c r="AP195" i="2"/>
  <c r="AE195" i="2"/>
  <c r="R195" i="2"/>
  <c r="AH195" i="2"/>
  <c r="AX195" i="2"/>
  <c r="S195" i="2"/>
  <c r="AI195" i="2"/>
  <c r="W195" i="2"/>
  <c r="AM195" i="2"/>
  <c r="AY195" i="2"/>
  <c r="AU195" i="2"/>
  <c r="AQ195" i="2"/>
  <c r="T195" i="2"/>
  <c r="O193" i="2"/>
  <c r="H195" i="2"/>
  <c r="AJ195" i="2"/>
  <c r="AZ195" i="2"/>
  <c r="X195" i="2"/>
  <c r="AN195" i="2"/>
  <c r="B197" i="2"/>
  <c r="P196" i="2"/>
  <c r="M196" i="2" s="1"/>
  <c r="J196" i="2"/>
  <c r="I196" i="2"/>
  <c r="AB195" i="2"/>
  <c r="AR195" i="2"/>
  <c r="L194" i="2"/>
  <c r="AF195" i="2"/>
  <c r="AV195" i="2"/>
  <c r="K196" i="2" l="1"/>
  <c r="Y196" i="2"/>
  <c r="AD196" i="2"/>
  <c r="AC196" i="2"/>
  <c r="AK196" i="2"/>
  <c r="AW196" i="2"/>
  <c r="AA196" i="2"/>
  <c r="Q196" i="2"/>
  <c r="AT196" i="2"/>
  <c r="AS196" i="2"/>
  <c r="U196" i="2"/>
  <c r="AH196" i="2"/>
  <c r="AE196" i="2"/>
  <c r="AO196" i="2"/>
  <c r="AG196" i="2"/>
  <c r="R196" i="2"/>
  <c r="AX196" i="2"/>
  <c r="C197" i="2"/>
  <c r="D197" i="2"/>
  <c r="V196" i="2"/>
  <c r="AL196" i="2"/>
  <c r="S196" i="2"/>
  <c r="AI196" i="2"/>
  <c r="BA196" i="2"/>
  <c r="Z196" i="2"/>
  <c r="AP196" i="2"/>
  <c r="W196" i="2"/>
  <c r="AQ196" i="2"/>
  <c r="AM196" i="2"/>
  <c r="AU196" i="2"/>
  <c r="AY196" i="2"/>
  <c r="X196" i="2"/>
  <c r="AN196" i="2"/>
  <c r="B198" i="2"/>
  <c r="P197" i="2"/>
  <c r="M197" i="2" s="1"/>
  <c r="I197" i="2"/>
  <c r="J197" i="2"/>
  <c r="AB196" i="2"/>
  <c r="AR196" i="2"/>
  <c r="L195" i="2"/>
  <c r="N194" i="2"/>
  <c r="O194" i="2" s="1"/>
  <c r="AF196" i="2"/>
  <c r="AV196" i="2"/>
  <c r="H196" i="2"/>
  <c r="T196" i="2"/>
  <c r="AJ196" i="2"/>
  <c r="AZ196" i="2"/>
  <c r="K197" i="2" l="1"/>
  <c r="Y197" i="2"/>
  <c r="AW197" i="2"/>
  <c r="AD197" i="2"/>
  <c r="AS197" i="2"/>
  <c r="AC197" i="2"/>
  <c r="R197" i="2"/>
  <c r="AO197" i="2"/>
  <c r="U197" i="2"/>
  <c r="D198" i="2"/>
  <c r="C198" i="2"/>
  <c r="AT197" i="2"/>
  <c r="AH197" i="2"/>
  <c r="AX197" i="2"/>
  <c r="AA197" i="2"/>
  <c r="AE197" i="2"/>
  <c r="Q197" i="2"/>
  <c r="AK197" i="2"/>
  <c r="V197" i="2"/>
  <c r="AL197" i="2"/>
  <c r="S197" i="2"/>
  <c r="AI197" i="2"/>
  <c r="AG197" i="2"/>
  <c r="BA197" i="2"/>
  <c r="Z197" i="2"/>
  <c r="AP197" i="2"/>
  <c r="W197" i="2"/>
  <c r="AM197" i="2"/>
  <c r="L196" i="2"/>
  <c r="AU197" i="2"/>
  <c r="X197" i="2"/>
  <c r="AN197" i="2"/>
  <c r="B199" i="2"/>
  <c r="P198" i="2"/>
  <c r="M198" i="2" s="1"/>
  <c r="J198" i="2"/>
  <c r="I198" i="2"/>
  <c r="AY197" i="2"/>
  <c r="AB197" i="2"/>
  <c r="AR197" i="2"/>
  <c r="N195" i="2"/>
  <c r="O195" i="2" s="1"/>
  <c r="AF197" i="2"/>
  <c r="AV197" i="2"/>
  <c r="H197" i="2"/>
  <c r="AQ197" i="2"/>
  <c r="T197" i="2"/>
  <c r="AJ197" i="2"/>
  <c r="AZ197" i="2"/>
  <c r="K198" i="2" l="1"/>
  <c r="Y198" i="2"/>
  <c r="U198" i="2"/>
  <c r="R198" i="2"/>
  <c r="AD198" i="2"/>
  <c r="AC198" i="2"/>
  <c r="Q198" i="2"/>
  <c r="AL198" i="2"/>
  <c r="AS198" i="2"/>
  <c r="AK198" i="2"/>
  <c r="AH198" i="2"/>
  <c r="D199" i="2"/>
  <c r="C199" i="2"/>
  <c r="AO198" i="2"/>
  <c r="AW198" i="2"/>
  <c r="V198" i="2"/>
  <c r="AA198" i="2"/>
  <c r="AG198" i="2"/>
  <c r="BA198" i="2"/>
  <c r="Z198" i="2"/>
  <c r="AP198" i="2"/>
  <c r="W198" i="2"/>
  <c r="AT198" i="2"/>
  <c r="AM198" i="2"/>
  <c r="AX198" i="2"/>
  <c r="AQ198" i="2"/>
  <c r="S198" i="2"/>
  <c r="AI198" i="2"/>
  <c r="AY198" i="2"/>
  <c r="AE198" i="2"/>
  <c r="AU198" i="2"/>
  <c r="T198" i="2"/>
  <c r="X198" i="2"/>
  <c r="AN198" i="2"/>
  <c r="B200" i="2"/>
  <c r="P199" i="2"/>
  <c r="M199" i="2" s="1"/>
  <c r="J199" i="2"/>
  <c r="I199" i="2"/>
  <c r="AB198" i="2"/>
  <c r="AR198" i="2"/>
  <c r="N196" i="2"/>
  <c r="O196" i="2" s="1"/>
  <c r="L197" i="2"/>
  <c r="N197" i="2" s="1"/>
  <c r="O197" i="2" s="1"/>
  <c r="AF198" i="2"/>
  <c r="AV198" i="2"/>
  <c r="H198" i="2"/>
  <c r="AJ198" i="2"/>
  <c r="AZ198" i="2"/>
  <c r="K199" i="2" l="1"/>
  <c r="AG199" i="2"/>
  <c r="AW199" i="2"/>
  <c r="Z199" i="2"/>
  <c r="AC199" i="2"/>
  <c r="AD199" i="2"/>
  <c r="AM199" i="2"/>
  <c r="D200" i="2"/>
  <c r="C200" i="2"/>
  <c r="AS199" i="2"/>
  <c r="AP199" i="2"/>
  <c r="BA199" i="2"/>
  <c r="AT199" i="2"/>
  <c r="Y199" i="2"/>
  <c r="U199" i="2"/>
  <c r="R199" i="2"/>
  <c r="AH199" i="2"/>
  <c r="W199" i="2"/>
  <c r="AO199" i="2"/>
  <c r="Q199" i="2"/>
  <c r="AK199" i="2"/>
  <c r="V199" i="2"/>
  <c r="AL199" i="2"/>
  <c r="AA199" i="2"/>
  <c r="S199" i="2"/>
  <c r="AI199" i="2"/>
  <c r="AX199" i="2"/>
  <c r="AE199" i="2"/>
  <c r="L198" i="2"/>
  <c r="AU199" i="2"/>
  <c r="X199" i="2"/>
  <c r="AN199" i="2"/>
  <c r="B201" i="2"/>
  <c r="P200" i="2"/>
  <c r="M200" i="2" s="1"/>
  <c r="J200" i="2"/>
  <c r="I200" i="2"/>
  <c r="AY199" i="2"/>
  <c r="AB199" i="2"/>
  <c r="AR199" i="2"/>
  <c r="AF199" i="2"/>
  <c r="AV199" i="2"/>
  <c r="H199" i="2"/>
  <c r="AQ199" i="2"/>
  <c r="T199" i="2"/>
  <c r="AJ199" i="2"/>
  <c r="AZ199" i="2"/>
  <c r="AS200" i="2" l="1"/>
  <c r="K200" i="2"/>
  <c r="AX200" i="2"/>
  <c r="U200" i="2"/>
  <c r="V200" i="2"/>
  <c r="Y200" i="2"/>
  <c r="Q200" i="2"/>
  <c r="AK200" i="2"/>
  <c r="Z200" i="2"/>
  <c r="W200" i="2"/>
  <c r="AO200" i="2"/>
  <c r="AG200" i="2"/>
  <c r="BA200" i="2"/>
  <c r="AH200" i="2"/>
  <c r="AE200" i="2"/>
  <c r="AC200" i="2"/>
  <c r="AW200" i="2"/>
  <c r="R200" i="2"/>
  <c r="AP200" i="2"/>
  <c r="AM200" i="2"/>
  <c r="AL200" i="2"/>
  <c r="S200" i="2"/>
  <c r="AI200" i="2"/>
  <c r="AY200" i="2"/>
  <c r="AD200" i="2"/>
  <c r="AT200" i="2"/>
  <c r="AA200" i="2"/>
  <c r="AQ200" i="2"/>
  <c r="C201" i="2"/>
  <c r="D201" i="2"/>
  <c r="AU200" i="2"/>
  <c r="T200" i="2"/>
  <c r="L199" i="2"/>
  <c r="H200" i="2"/>
  <c r="AJ200" i="2"/>
  <c r="AZ200" i="2"/>
  <c r="X200" i="2"/>
  <c r="AN200" i="2"/>
  <c r="B202" i="2"/>
  <c r="P201" i="2"/>
  <c r="M201" i="2" s="1"/>
  <c r="I201" i="2"/>
  <c r="J201" i="2"/>
  <c r="AB200" i="2"/>
  <c r="AR200" i="2"/>
  <c r="N198" i="2"/>
  <c r="O198" i="2" s="1"/>
  <c r="AF200" i="2"/>
  <c r="AV200" i="2"/>
  <c r="K201" i="2" l="1"/>
  <c r="AO201" i="2"/>
  <c r="AS201" i="2"/>
  <c r="AG201" i="2"/>
  <c r="U201" i="2"/>
  <c r="BA201" i="2"/>
  <c r="V201" i="2"/>
  <c r="AD201" i="2"/>
  <c r="AC201" i="2"/>
  <c r="AW201" i="2"/>
  <c r="R201" i="2"/>
  <c r="AH201" i="2"/>
  <c r="D202" i="2"/>
  <c r="C202" i="2"/>
  <c r="AP201" i="2"/>
  <c r="Y201" i="2"/>
  <c r="Q201" i="2"/>
  <c r="AK201" i="2"/>
  <c r="Z201" i="2"/>
  <c r="AA201" i="2"/>
  <c r="AX201" i="2"/>
  <c r="AT201" i="2"/>
  <c r="AE201" i="2"/>
  <c r="AL201" i="2"/>
  <c r="S201" i="2"/>
  <c r="W201" i="2"/>
  <c r="AM201" i="2"/>
  <c r="AQ201" i="2"/>
  <c r="AI201" i="2"/>
  <c r="AU201" i="2"/>
  <c r="AY201" i="2"/>
  <c r="T201" i="2"/>
  <c r="X201" i="2"/>
  <c r="AN201" i="2"/>
  <c r="N199" i="2"/>
  <c r="O199" i="2" s="1"/>
  <c r="H201" i="2"/>
  <c r="AJ201" i="2"/>
  <c r="AZ201" i="2"/>
  <c r="B203" i="2"/>
  <c r="P202" i="2"/>
  <c r="M202" i="2" s="1"/>
  <c r="J202" i="2"/>
  <c r="I202" i="2"/>
  <c r="AB201" i="2"/>
  <c r="AR201" i="2"/>
  <c r="L200" i="2"/>
  <c r="AF201" i="2"/>
  <c r="AV201" i="2"/>
  <c r="K202" i="2" l="1"/>
  <c r="D203" i="2"/>
  <c r="C203" i="2"/>
  <c r="AW202" i="2"/>
  <c r="AS202" i="2"/>
  <c r="AD202" i="2"/>
  <c r="AT202" i="2"/>
  <c r="Y202" i="2"/>
  <c r="U202" i="2"/>
  <c r="R202" i="2"/>
  <c r="AH202" i="2"/>
  <c r="S202" i="2"/>
  <c r="AO202" i="2"/>
  <c r="Q202" i="2"/>
  <c r="AK202" i="2"/>
  <c r="V202" i="2"/>
  <c r="AL202" i="2"/>
  <c r="W202" i="2"/>
  <c r="AC202" i="2"/>
  <c r="AG202" i="2"/>
  <c r="BA202" i="2"/>
  <c r="Z202" i="2"/>
  <c r="AP202" i="2"/>
  <c r="AA202" i="2"/>
  <c r="AQ202" i="2"/>
  <c r="N200" i="2"/>
  <c r="O200" i="2" s="1"/>
  <c r="AM202" i="2"/>
  <c r="AI202" i="2"/>
  <c r="AY202" i="2"/>
  <c r="AB202" i="2"/>
  <c r="AR202" i="2"/>
  <c r="AF202" i="2"/>
  <c r="AV202" i="2"/>
  <c r="H202" i="2"/>
  <c r="T202" i="2"/>
  <c r="AJ202" i="2"/>
  <c r="AZ202" i="2"/>
  <c r="L201" i="2"/>
  <c r="N201" i="2" s="1"/>
  <c r="AX202" i="2"/>
  <c r="AE202" i="2"/>
  <c r="AU202" i="2"/>
  <c r="X202" i="2"/>
  <c r="AN202" i="2"/>
  <c r="B204" i="2"/>
  <c r="P203" i="2"/>
  <c r="M203" i="2" s="1"/>
  <c r="J203" i="2"/>
  <c r="I203" i="2"/>
  <c r="K203" i="2" l="1"/>
  <c r="Q203" i="2"/>
  <c r="AO203" i="2"/>
  <c r="D204" i="2"/>
  <c r="C204" i="2"/>
  <c r="W203" i="2"/>
  <c r="AG203" i="2"/>
  <c r="AC203" i="2"/>
  <c r="AK203" i="2"/>
  <c r="Y203" i="2"/>
  <c r="U203" i="2"/>
  <c r="Z203" i="2"/>
  <c r="AS203" i="2"/>
  <c r="AW203" i="2"/>
  <c r="V203" i="2"/>
  <c r="BA203" i="2"/>
  <c r="AP203" i="2"/>
  <c r="S203" i="2"/>
  <c r="AM203" i="2"/>
  <c r="AL203" i="2"/>
  <c r="AI203" i="2"/>
  <c r="R203" i="2"/>
  <c r="AH203" i="2"/>
  <c r="AX203" i="2"/>
  <c r="AE203" i="2"/>
  <c r="AU203" i="2"/>
  <c r="X203" i="2"/>
  <c r="AN203" i="2"/>
  <c r="B205" i="2"/>
  <c r="P204" i="2"/>
  <c r="M204" i="2" s="1"/>
  <c r="J204" i="2"/>
  <c r="I204" i="2"/>
  <c r="O201" i="2"/>
  <c r="L202" i="2"/>
  <c r="N202" i="2" s="1"/>
  <c r="AY203" i="2"/>
  <c r="AB203" i="2"/>
  <c r="AR203" i="2"/>
  <c r="AF203" i="2"/>
  <c r="AV203" i="2"/>
  <c r="H203" i="2"/>
  <c r="AD203" i="2"/>
  <c r="AT203" i="2"/>
  <c r="AA203" i="2"/>
  <c r="AQ203" i="2"/>
  <c r="T203" i="2"/>
  <c r="AJ203" i="2"/>
  <c r="AZ203" i="2"/>
  <c r="K204" i="2" l="1"/>
  <c r="Y204" i="2"/>
  <c r="AK204" i="2"/>
  <c r="U204" i="2"/>
  <c r="AL204" i="2"/>
  <c r="AO204" i="2"/>
  <c r="R204" i="2"/>
  <c r="Q204" i="2"/>
  <c r="V204" i="2"/>
  <c r="C205" i="2"/>
  <c r="D205" i="2"/>
  <c r="AC204" i="2"/>
  <c r="AG204" i="2"/>
  <c r="BA204" i="2"/>
  <c r="Z204" i="2"/>
  <c r="AP204" i="2"/>
  <c r="AS204" i="2"/>
  <c r="AW204" i="2"/>
  <c r="AD204" i="2"/>
  <c r="AT204" i="2"/>
  <c r="AH204" i="2"/>
  <c r="W204" i="2"/>
  <c r="AX204" i="2"/>
  <c r="AQ204" i="2"/>
  <c r="AA204" i="2"/>
  <c r="AM204" i="2"/>
  <c r="O202" i="2"/>
  <c r="AE204" i="2"/>
  <c r="AU204" i="2"/>
  <c r="X204" i="2"/>
  <c r="AN204" i="2"/>
  <c r="B206" i="2"/>
  <c r="P205" i="2"/>
  <c r="M205" i="2" s="1"/>
  <c r="I205" i="2"/>
  <c r="J205" i="2"/>
  <c r="S204" i="2"/>
  <c r="AI204" i="2"/>
  <c r="AY204" i="2"/>
  <c r="AB204" i="2"/>
  <c r="AR204" i="2"/>
  <c r="AF204" i="2"/>
  <c r="AV204" i="2"/>
  <c r="L203" i="2"/>
  <c r="N203" i="2" s="1"/>
  <c r="H204" i="2"/>
  <c r="T204" i="2"/>
  <c r="AJ204" i="2"/>
  <c r="AZ204" i="2"/>
  <c r="K205" i="2" l="1"/>
  <c r="AS205" i="2"/>
  <c r="D206" i="2"/>
  <c r="C206" i="2"/>
  <c r="Y205" i="2"/>
  <c r="AW205" i="2"/>
  <c r="AO205" i="2"/>
  <c r="Q205" i="2"/>
  <c r="V205" i="2"/>
  <c r="AL205" i="2"/>
  <c r="AI205" i="2"/>
  <c r="AK205" i="2"/>
  <c r="S205" i="2"/>
  <c r="AN205" i="2"/>
  <c r="AC205" i="2"/>
  <c r="AG205" i="2"/>
  <c r="BA205" i="2"/>
  <c r="Z205" i="2"/>
  <c r="AP205" i="2"/>
  <c r="W205" i="2"/>
  <c r="AM205" i="2"/>
  <c r="T205" i="2"/>
  <c r="AZ205" i="2"/>
  <c r="AD205" i="2"/>
  <c r="AT205" i="2"/>
  <c r="AA205" i="2"/>
  <c r="AQ205" i="2"/>
  <c r="X205" i="2"/>
  <c r="U205" i="2"/>
  <c r="R205" i="2"/>
  <c r="AH205" i="2"/>
  <c r="AX205" i="2"/>
  <c r="AE205" i="2"/>
  <c r="AU205" i="2"/>
  <c r="AJ205" i="2"/>
  <c r="L204" i="2"/>
  <c r="O203" i="2"/>
  <c r="AF205" i="2"/>
  <c r="AV205" i="2"/>
  <c r="H205" i="2"/>
  <c r="B207" i="2"/>
  <c r="P206" i="2"/>
  <c r="M206" i="2" s="1"/>
  <c r="J206" i="2"/>
  <c r="I206" i="2"/>
  <c r="AY205" i="2"/>
  <c r="AB205" i="2"/>
  <c r="AR205" i="2"/>
  <c r="K206" i="2" l="1"/>
  <c r="AC206" i="2"/>
  <c r="AG206" i="2"/>
  <c r="AO206" i="2"/>
  <c r="AK206" i="2"/>
  <c r="D207" i="2"/>
  <c r="C207" i="2"/>
  <c r="BA206" i="2"/>
  <c r="Q206" i="2"/>
  <c r="V206" i="2"/>
  <c r="AT206" i="2"/>
  <c r="Z206" i="2"/>
  <c r="AS206" i="2"/>
  <c r="AW206" i="2"/>
  <c r="AD206" i="2"/>
  <c r="Y206" i="2"/>
  <c r="U206" i="2"/>
  <c r="R206" i="2"/>
  <c r="AL206" i="2"/>
  <c r="AP206" i="2"/>
  <c r="AH206" i="2"/>
  <c r="W206" i="2"/>
  <c r="AA206" i="2"/>
  <c r="AM206" i="2"/>
  <c r="T206" i="2"/>
  <c r="AQ206" i="2"/>
  <c r="S206" i="2"/>
  <c r="AI206" i="2"/>
  <c r="AY206" i="2"/>
  <c r="AB206" i="2"/>
  <c r="AR206" i="2"/>
  <c r="L205" i="2"/>
  <c r="AF206" i="2"/>
  <c r="AV206" i="2"/>
  <c r="AJ206" i="2"/>
  <c r="AZ206" i="2"/>
  <c r="N204" i="2"/>
  <c r="O204" i="2" s="1"/>
  <c r="H206" i="2"/>
  <c r="AX206" i="2"/>
  <c r="AE206" i="2"/>
  <c r="AU206" i="2"/>
  <c r="X206" i="2"/>
  <c r="AN206" i="2"/>
  <c r="B208" i="2"/>
  <c r="P207" i="2"/>
  <c r="M207" i="2" s="1"/>
  <c r="J207" i="2"/>
  <c r="I207" i="2"/>
  <c r="K207" i="2" l="1"/>
  <c r="AK207" i="2"/>
  <c r="V207" i="2"/>
  <c r="Q207" i="2"/>
  <c r="D208" i="2"/>
  <c r="C208" i="2"/>
  <c r="AI207" i="2"/>
  <c r="AO207" i="2"/>
  <c r="AL207" i="2"/>
  <c r="S207" i="2"/>
  <c r="AC207" i="2"/>
  <c r="AG207" i="2"/>
  <c r="BA207" i="2"/>
  <c r="Z207" i="2"/>
  <c r="AP207" i="2"/>
  <c r="W207" i="2"/>
  <c r="AM207" i="2"/>
  <c r="T207" i="2"/>
  <c r="N205" i="2"/>
  <c r="O205" i="2" s="1"/>
  <c r="AS207" i="2"/>
  <c r="AW207" i="2"/>
  <c r="AD207" i="2"/>
  <c r="AT207" i="2"/>
  <c r="AA207" i="2"/>
  <c r="AQ207" i="2"/>
  <c r="X207" i="2"/>
  <c r="Y207" i="2"/>
  <c r="U207" i="2"/>
  <c r="R207" i="2"/>
  <c r="AH207" i="2"/>
  <c r="AX207" i="2"/>
  <c r="AE207" i="2"/>
  <c r="AU207" i="2"/>
  <c r="AF207" i="2"/>
  <c r="AV207" i="2"/>
  <c r="L206" i="2"/>
  <c r="H207" i="2"/>
  <c r="AJ207" i="2"/>
  <c r="AZ207" i="2"/>
  <c r="AN207" i="2"/>
  <c r="B209" i="2"/>
  <c r="P208" i="2"/>
  <c r="M208" i="2" s="1"/>
  <c r="J208" i="2"/>
  <c r="I208" i="2"/>
  <c r="AY207" i="2"/>
  <c r="AB207" i="2"/>
  <c r="AR207" i="2"/>
  <c r="K208" i="2" l="1"/>
  <c r="AK208" i="2"/>
  <c r="AC208" i="2"/>
  <c r="U208" i="2"/>
  <c r="C209" i="2"/>
  <c r="D209" i="2"/>
  <c r="V208" i="2"/>
  <c r="AS208" i="2"/>
  <c r="AH208" i="2"/>
  <c r="Y208" i="2"/>
  <c r="AL208" i="2"/>
  <c r="AO208" i="2"/>
  <c r="Q208" i="2"/>
  <c r="R208" i="2"/>
  <c r="AI208" i="2"/>
  <c r="AX208" i="2"/>
  <c r="S208" i="2"/>
  <c r="AG208" i="2"/>
  <c r="BA208" i="2"/>
  <c r="Z208" i="2"/>
  <c r="AP208" i="2"/>
  <c r="W208" i="2"/>
  <c r="AW208" i="2"/>
  <c r="AD208" i="2"/>
  <c r="AT208" i="2"/>
  <c r="AE208" i="2"/>
  <c r="AA208" i="2"/>
  <c r="AY208" i="2"/>
  <c r="AM208" i="2"/>
  <c r="AQ208" i="2"/>
  <c r="AB208" i="2"/>
  <c r="AU208" i="2"/>
  <c r="H208" i="2"/>
  <c r="T208" i="2"/>
  <c r="AJ208" i="2"/>
  <c r="AZ208" i="2"/>
  <c r="N206" i="2"/>
  <c r="O206" i="2" s="1"/>
  <c r="X208" i="2"/>
  <c r="AN208" i="2"/>
  <c r="B210" i="2"/>
  <c r="P209" i="2"/>
  <c r="M209" i="2" s="1"/>
  <c r="I209" i="2"/>
  <c r="J209" i="2"/>
  <c r="L207" i="2"/>
  <c r="N207" i="2" s="1"/>
  <c r="O207" i="2" s="1"/>
  <c r="AR208" i="2"/>
  <c r="AF208" i="2"/>
  <c r="AV208" i="2"/>
  <c r="K209" i="2" l="1"/>
  <c r="AC209" i="2"/>
  <c r="W209" i="2"/>
  <c r="D210" i="2"/>
  <c r="C210" i="2"/>
  <c r="AG209" i="2"/>
  <c r="Z209" i="2"/>
  <c r="BA209" i="2"/>
  <c r="AM209" i="2"/>
  <c r="AP209" i="2"/>
  <c r="AS209" i="2"/>
  <c r="AW209" i="2"/>
  <c r="AD209" i="2"/>
  <c r="AT209" i="2"/>
  <c r="AA209" i="2"/>
  <c r="AQ209" i="2"/>
  <c r="Y209" i="2"/>
  <c r="U209" i="2"/>
  <c r="R209" i="2"/>
  <c r="AH209" i="2"/>
  <c r="AX209" i="2"/>
  <c r="AE209" i="2"/>
  <c r="AU209" i="2"/>
  <c r="AO209" i="2"/>
  <c r="Q209" i="2"/>
  <c r="AK209" i="2"/>
  <c r="V209" i="2"/>
  <c r="AL209" i="2"/>
  <c r="S209" i="2"/>
  <c r="AI209" i="2"/>
  <c r="AY209" i="2"/>
  <c r="AF209" i="2"/>
  <c r="AV209" i="2"/>
  <c r="H209" i="2"/>
  <c r="T209" i="2"/>
  <c r="AJ209" i="2"/>
  <c r="AZ209" i="2"/>
  <c r="L208" i="2"/>
  <c r="N208" i="2" s="1"/>
  <c r="X209" i="2"/>
  <c r="AN209" i="2"/>
  <c r="B211" i="2"/>
  <c r="P210" i="2"/>
  <c r="M210" i="2" s="1"/>
  <c r="J210" i="2"/>
  <c r="I210" i="2"/>
  <c r="AB209" i="2"/>
  <c r="AR209" i="2"/>
  <c r="K210" i="2" l="1"/>
  <c r="D211" i="2"/>
  <c r="C211" i="2"/>
  <c r="AO210" i="2"/>
  <c r="AW210" i="2"/>
  <c r="AC210" i="2"/>
  <c r="Y210" i="2"/>
  <c r="AG210" i="2"/>
  <c r="V210" i="2"/>
  <c r="AS210" i="2"/>
  <c r="U210" i="2"/>
  <c r="Q210" i="2"/>
  <c r="AK210" i="2"/>
  <c r="AD210" i="2"/>
  <c r="R210" i="2"/>
  <c r="AL210" i="2"/>
  <c r="BA210" i="2"/>
  <c r="Z210" i="2"/>
  <c r="W210" i="2"/>
  <c r="AM210" i="2"/>
  <c r="AP210" i="2"/>
  <c r="AT210" i="2"/>
  <c r="AH210" i="2"/>
  <c r="AX210" i="2"/>
  <c r="AQ210" i="2"/>
  <c r="AA210" i="2"/>
  <c r="T210" i="2"/>
  <c r="H210" i="2"/>
  <c r="S210" i="2"/>
  <c r="AI210" i="2"/>
  <c r="AY210" i="2"/>
  <c r="AB210" i="2"/>
  <c r="AR210" i="2"/>
  <c r="O208" i="2"/>
  <c r="L209" i="2"/>
  <c r="AF210" i="2"/>
  <c r="AV210" i="2"/>
  <c r="AJ210" i="2"/>
  <c r="AZ210" i="2"/>
  <c r="AE210" i="2"/>
  <c r="AU210" i="2"/>
  <c r="X210" i="2"/>
  <c r="AN210" i="2"/>
  <c r="B212" i="2"/>
  <c r="P211" i="2"/>
  <c r="M211" i="2" s="1"/>
  <c r="J211" i="2"/>
  <c r="I211" i="2"/>
  <c r="K211" i="2" l="1"/>
  <c r="AO211" i="2"/>
  <c r="AS211" i="2"/>
  <c r="AC211" i="2"/>
  <c r="AW211" i="2"/>
  <c r="D212" i="2"/>
  <c r="C212" i="2"/>
  <c r="AD211" i="2"/>
  <c r="Q211" i="2"/>
  <c r="AX211" i="2"/>
  <c r="AG211" i="2"/>
  <c r="Z211" i="2"/>
  <c r="AY211" i="2"/>
  <c r="BA211" i="2"/>
  <c r="AT211" i="2"/>
  <c r="Y211" i="2"/>
  <c r="U211" i="2"/>
  <c r="R211" i="2"/>
  <c r="AH211" i="2"/>
  <c r="AA211" i="2"/>
  <c r="AK211" i="2"/>
  <c r="V211" i="2"/>
  <c r="AL211" i="2"/>
  <c r="AE211" i="2"/>
  <c r="AP211" i="2"/>
  <c r="W211" i="2"/>
  <c r="AM211" i="2"/>
  <c r="S211" i="2"/>
  <c r="AI211" i="2"/>
  <c r="X211" i="2"/>
  <c r="AU211" i="2"/>
  <c r="AN211" i="2"/>
  <c r="B213" i="2"/>
  <c r="P212" i="2"/>
  <c r="M212" i="2" s="1"/>
  <c r="J212" i="2"/>
  <c r="I212" i="2"/>
  <c r="AB211" i="2"/>
  <c r="AR211" i="2"/>
  <c r="AF211" i="2"/>
  <c r="AV211" i="2"/>
  <c r="N209" i="2"/>
  <c r="O209" i="2" s="1"/>
  <c r="L210" i="2"/>
  <c r="N210" i="2" s="1"/>
  <c r="O210" i="2" s="1"/>
  <c r="H211" i="2"/>
  <c r="AQ211" i="2"/>
  <c r="T211" i="2"/>
  <c r="AJ211" i="2"/>
  <c r="AZ211" i="2"/>
  <c r="K212" i="2" l="1"/>
  <c r="AG212" i="2"/>
  <c r="AO212" i="2"/>
  <c r="R212" i="2"/>
  <c r="U212" i="2"/>
  <c r="AS212" i="2"/>
  <c r="AH212" i="2"/>
  <c r="Y212" i="2"/>
  <c r="Q212" i="2"/>
  <c r="AK212" i="2"/>
  <c r="AL212" i="2"/>
  <c r="AX212" i="2"/>
  <c r="AC212" i="2"/>
  <c r="AW212" i="2"/>
  <c r="V212" i="2"/>
  <c r="S212" i="2"/>
  <c r="BA212" i="2"/>
  <c r="AD212" i="2"/>
  <c r="AT212" i="2"/>
  <c r="AI212" i="2"/>
  <c r="Z212" i="2"/>
  <c r="AP212" i="2"/>
  <c r="W212" i="2"/>
  <c r="C213" i="2"/>
  <c r="D213" i="2"/>
  <c r="AB212" i="2"/>
  <c r="AM212" i="2"/>
  <c r="AE212" i="2"/>
  <c r="AU212" i="2"/>
  <c r="AA212" i="2"/>
  <c r="AQ212" i="2"/>
  <c r="AY212" i="2"/>
  <c r="X212" i="2"/>
  <c r="H212" i="2"/>
  <c r="T212" i="2"/>
  <c r="AJ212" i="2"/>
  <c r="AZ212" i="2"/>
  <c r="L211" i="2"/>
  <c r="N211" i="2" s="1"/>
  <c r="AN212" i="2"/>
  <c r="B214" i="2"/>
  <c r="P213" i="2"/>
  <c r="M213" i="2" s="1"/>
  <c r="I213" i="2"/>
  <c r="J213" i="2"/>
  <c r="AR212" i="2"/>
  <c r="AF212" i="2"/>
  <c r="AV212" i="2"/>
  <c r="K213" i="2" l="1"/>
  <c r="D214" i="2"/>
  <c r="C214" i="2"/>
  <c r="AO213" i="2"/>
  <c r="AH213" i="2"/>
  <c r="AK213" i="2"/>
  <c r="AL213" i="2"/>
  <c r="AZ213" i="2"/>
  <c r="Q213" i="2"/>
  <c r="R213" i="2"/>
  <c r="S213" i="2"/>
  <c r="Y213" i="2"/>
  <c r="U213" i="2"/>
  <c r="V213" i="2"/>
  <c r="AQ213" i="2"/>
  <c r="W213" i="2"/>
  <c r="AG213" i="2"/>
  <c r="BA213" i="2"/>
  <c r="Z213" i="2"/>
  <c r="AP213" i="2"/>
  <c r="AA213" i="2"/>
  <c r="T213" i="2"/>
  <c r="AC213" i="2"/>
  <c r="AS213" i="2"/>
  <c r="AW213" i="2"/>
  <c r="AD213" i="2"/>
  <c r="AT213" i="2"/>
  <c r="AM213" i="2"/>
  <c r="AJ213" i="2"/>
  <c r="O211" i="2"/>
  <c r="AF213" i="2"/>
  <c r="AV213" i="2"/>
  <c r="H213" i="2"/>
  <c r="AX213" i="2"/>
  <c r="AE213" i="2"/>
  <c r="AU213" i="2"/>
  <c r="X213" i="2"/>
  <c r="AN213" i="2"/>
  <c r="B215" i="2"/>
  <c r="P214" i="2"/>
  <c r="M214" i="2" s="1"/>
  <c r="J214" i="2"/>
  <c r="I214" i="2"/>
  <c r="L212" i="2"/>
  <c r="AI213" i="2"/>
  <c r="AY213" i="2"/>
  <c r="AB213" i="2"/>
  <c r="AR213" i="2"/>
  <c r="K214" i="2" l="1"/>
  <c r="D215" i="2"/>
  <c r="C215" i="2"/>
  <c r="AG214" i="2"/>
  <c r="W214" i="2"/>
  <c r="BA214" i="2"/>
  <c r="AC214" i="2"/>
  <c r="Z214" i="2"/>
  <c r="AM214" i="2"/>
  <c r="AP214" i="2"/>
  <c r="AV214" i="2"/>
  <c r="L213" i="2"/>
  <c r="N213" i="2" s="1"/>
  <c r="AS214" i="2"/>
  <c r="AW214" i="2"/>
  <c r="H214" i="2"/>
  <c r="AD214" i="2"/>
  <c r="AT214" i="2"/>
  <c r="AA214" i="2"/>
  <c r="AQ214" i="2"/>
  <c r="T214" i="2"/>
  <c r="AJ214" i="2"/>
  <c r="AZ214" i="2"/>
  <c r="AF214" i="2"/>
  <c r="N212" i="2"/>
  <c r="O212" i="2" s="1"/>
  <c r="Y214" i="2"/>
  <c r="U214" i="2"/>
  <c r="R214" i="2"/>
  <c r="AH214" i="2"/>
  <c r="AX214" i="2"/>
  <c r="AE214" i="2"/>
  <c r="AU214" i="2"/>
  <c r="X214" i="2"/>
  <c r="AN214" i="2"/>
  <c r="B216" i="2"/>
  <c r="P215" i="2"/>
  <c r="M215" i="2" s="1"/>
  <c r="J215" i="2"/>
  <c r="I215" i="2"/>
  <c r="AO214" i="2"/>
  <c r="Q214" i="2"/>
  <c r="AK214" i="2"/>
  <c r="V214" i="2"/>
  <c r="AL214" i="2"/>
  <c r="S214" i="2"/>
  <c r="AI214" i="2"/>
  <c r="AY214" i="2"/>
  <c r="AB214" i="2"/>
  <c r="AR214" i="2"/>
  <c r="K215" i="2" l="1"/>
  <c r="D216" i="2"/>
  <c r="C216" i="2"/>
  <c r="Y215" i="2"/>
  <c r="R215" i="2"/>
  <c r="AH215" i="2"/>
  <c r="U215" i="2"/>
  <c r="AX215" i="2"/>
  <c r="AE215" i="2"/>
  <c r="AO215" i="2"/>
  <c r="AK215" i="2"/>
  <c r="AL215" i="2"/>
  <c r="AI215" i="2"/>
  <c r="X215" i="2"/>
  <c r="AC215" i="2"/>
  <c r="AG215" i="2"/>
  <c r="Z215" i="2"/>
  <c r="W215" i="2"/>
  <c r="Q215" i="2"/>
  <c r="V215" i="2"/>
  <c r="S215" i="2"/>
  <c r="BA215" i="2"/>
  <c r="AP215" i="2"/>
  <c r="AM215" i="2"/>
  <c r="AN215" i="2"/>
  <c r="AS215" i="2"/>
  <c r="AW215" i="2"/>
  <c r="AD215" i="2"/>
  <c r="AT215" i="2"/>
  <c r="AA215" i="2"/>
  <c r="AU215" i="2"/>
  <c r="O213" i="2"/>
  <c r="B217" i="2"/>
  <c r="P216" i="2"/>
  <c r="M216" i="2" s="1"/>
  <c r="J216" i="2"/>
  <c r="I216" i="2"/>
  <c r="AY215" i="2"/>
  <c r="AB215" i="2"/>
  <c r="AR215" i="2"/>
  <c r="AF215" i="2"/>
  <c r="AV215" i="2"/>
  <c r="H215" i="2"/>
  <c r="AQ215" i="2"/>
  <c r="T215" i="2"/>
  <c r="AJ215" i="2"/>
  <c r="AZ215" i="2"/>
  <c r="L214" i="2"/>
  <c r="K216" i="2" l="1"/>
  <c r="AW216" i="2"/>
  <c r="AO216" i="2"/>
  <c r="V216" i="2"/>
  <c r="Y216" i="2"/>
  <c r="AK216" i="2"/>
  <c r="AS216" i="2"/>
  <c r="AT216" i="2"/>
  <c r="U216" i="2"/>
  <c r="AD216" i="2"/>
  <c r="Q216" i="2"/>
  <c r="R216" i="2"/>
  <c r="S216" i="2"/>
  <c r="C217" i="2"/>
  <c r="D217" i="2"/>
  <c r="AI216" i="2"/>
  <c r="AX216" i="2"/>
  <c r="AQ216" i="2"/>
  <c r="AH216" i="2"/>
  <c r="AE216" i="2"/>
  <c r="AL216" i="2"/>
  <c r="AA216" i="2"/>
  <c r="AU216" i="2"/>
  <c r="AC216" i="2"/>
  <c r="AG216" i="2"/>
  <c r="BA216" i="2"/>
  <c r="Z216" i="2"/>
  <c r="AP216" i="2"/>
  <c r="W216" i="2"/>
  <c r="AM216" i="2"/>
  <c r="AJ216" i="2"/>
  <c r="AY216" i="2"/>
  <c r="N214" i="2"/>
  <c r="O214" i="2" s="1"/>
  <c r="AR216" i="2"/>
  <c r="T216" i="2"/>
  <c r="AB216" i="2"/>
  <c r="AF216" i="2"/>
  <c r="AV216" i="2"/>
  <c r="L215" i="2"/>
  <c r="N215" i="2" s="1"/>
  <c r="H216" i="2"/>
  <c r="AZ216" i="2"/>
  <c r="X216" i="2"/>
  <c r="AN216" i="2"/>
  <c r="B218" i="2"/>
  <c r="P217" i="2"/>
  <c r="M217" i="2" s="1"/>
  <c r="I217" i="2"/>
  <c r="J217" i="2"/>
  <c r="S217" i="2" l="1"/>
  <c r="K217" i="2"/>
  <c r="Q217" i="2"/>
  <c r="AK217" i="2"/>
  <c r="AO217" i="2"/>
  <c r="AL217" i="2"/>
  <c r="V217" i="2"/>
  <c r="D218" i="2"/>
  <c r="C218" i="2"/>
  <c r="AC217" i="2"/>
  <c r="AG217" i="2"/>
  <c r="BA217" i="2"/>
  <c r="Z217" i="2"/>
  <c r="AP217" i="2"/>
  <c r="W217" i="2"/>
  <c r="AJ217" i="2"/>
  <c r="AS217" i="2"/>
  <c r="AW217" i="2"/>
  <c r="AD217" i="2"/>
  <c r="AT217" i="2"/>
  <c r="AA217" i="2"/>
  <c r="Y217" i="2"/>
  <c r="U217" i="2"/>
  <c r="R217" i="2"/>
  <c r="AH217" i="2"/>
  <c r="AX217" i="2"/>
  <c r="AI217" i="2"/>
  <c r="AZ217" i="2"/>
  <c r="AM217" i="2"/>
  <c r="AQ217" i="2"/>
  <c r="T217" i="2"/>
  <c r="O215" i="2"/>
  <c r="AE217" i="2"/>
  <c r="AU217" i="2"/>
  <c r="X217" i="2"/>
  <c r="AN217" i="2"/>
  <c r="B219" i="2"/>
  <c r="P218" i="2"/>
  <c r="M218" i="2" s="1"/>
  <c r="J218" i="2"/>
  <c r="I218" i="2"/>
  <c r="L216" i="2"/>
  <c r="AY217" i="2"/>
  <c r="AB217" i="2"/>
  <c r="AR217" i="2"/>
  <c r="H217" i="2"/>
  <c r="AF217" i="2"/>
  <c r="AV217" i="2"/>
  <c r="K218" i="2" l="1"/>
  <c r="AO218" i="2"/>
  <c r="Q218" i="2"/>
  <c r="Y218" i="2"/>
  <c r="AK218" i="2"/>
  <c r="AL218" i="2"/>
  <c r="BA218" i="2"/>
  <c r="U218" i="2"/>
  <c r="R218" i="2"/>
  <c r="AG218" i="2"/>
  <c r="AW218" i="2"/>
  <c r="Z218" i="2"/>
  <c r="W218" i="2"/>
  <c r="AP218" i="2"/>
  <c r="D219" i="2"/>
  <c r="C219" i="2"/>
  <c r="AC218" i="2"/>
  <c r="AS218" i="2"/>
  <c r="V218" i="2"/>
  <c r="S218" i="2"/>
  <c r="AM218" i="2"/>
  <c r="AH218" i="2"/>
  <c r="AX218" i="2"/>
  <c r="AE218" i="2"/>
  <c r="AD218" i="2"/>
  <c r="AT218" i="2"/>
  <c r="AA218" i="2"/>
  <c r="AU218" i="2"/>
  <c r="AR218" i="2"/>
  <c r="AI218" i="2"/>
  <c r="AY218" i="2"/>
  <c r="AQ218" i="2"/>
  <c r="AB218" i="2"/>
  <c r="N216" i="2"/>
  <c r="O216" i="2" s="1"/>
  <c r="L217" i="2"/>
  <c r="AF218" i="2"/>
  <c r="AV218" i="2"/>
  <c r="H218" i="2"/>
  <c r="T218" i="2"/>
  <c r="AJ218" i="2"/>
  <c r="AZ218" i="2"/>
  <c r="X218" i="2"/>
  <c r="AN218" i="2"/>
  <c r="B220" i="2"/>
  <c r="P219" i="2"/>
  <c r="M219" i="2" s="1"/>
  <c r="J219" i="2"/>
  <c r="I219" i="2"/>
  <c r="K219" i="2" l="1"/>
  <c r="AG219" i="2"/>
  <c r="Z219" i="2"/>
  <c r="AW219" i="2"/>
  <c r="Q219" i="2"/>
  <c r="AT219" i="2"/>
  <c r="AK219" i="2"/>
  <c r="AD219" i="2"/>
  <c r="U219" i="2"/>
  <c r="BA219" i="2"/>
  <c r="AX219" i="2"/>
  <c r="AC219" i="2"/>
  <c r="AS219" i="2"/>
  <c r="V219" i="2"/>
  <c r="AP219" i="2"/>
  <c r="AE219" i="2"/>
  <c r="AQ219" i="2"/>
  <c r="Y219" i="2"/>
  <c r="AO219" i="2"/>
  <c r="R219" i="2"/>
  <c r="AH219" i="2"/>
  <c r="W219" i="2"/>
  <c r="AA219" i="2"/>
  <c r="D220" i="2"/>
  <c r="C220" i="2"/>
  <c r="AU219" i="2"/>
  <c r="AM219" i="2"/>
  <c r="X219" i="2"/>
  <c r="AB219" i="2"/>
  <c r="AL219" i="2"/>
  <c r="S219" i="2"/>
  <c r="AI219" i="2"/>
  <c r="AY219" i="2"/>
  <c r="AR219" i="2"/>
  <c r="AF219" i="2"/>
  <c r="AV219" i="2"/>
  <c r="L218" i="2"/>
  <c r="N218" i="2" s="1"/>
  <c r="H219" i="2"/>
  <c r="T219" i="2"/>
  <c r="AJ219" i="2"/>
  <c r="AZ219" i="2"/>
  <c r="N217" i="2"/>
  <c r="O217" i="2" s="1"/>
  <c r="AN219" i="2"/>
  <c r="B221" i="2"/>
  <c r="P220" i="2"/>
  <c r="M220" i="2" s="1"/>
  <c r="J220" i="2"/>
  <c r="I220" i="2"/>
  <c r="K220" i="2" l="1"/>
  <c r="Y220" i="2"/>
  <c r="AG220" i="2"/>
  <c r="Q220" i="2"/>
  <c r="AD220" i="2"/>
  <c r="AS220" i="2"/>
  <c r="U220" i="2"/>
  <c r="AO220" i="2"/>
  <c r="AL220" i="2"/>
  <c r="AC220" i="2"/>
  <c r="AW220" i="2"/>
  <c r="C221" i="2"/>
  <c r="D221" i="2"/>
  <c r="S220" i="2"/>
  <c r="R220" i="2"/>
  <c r="AI220" i="2"/>
  <c r="AH220" i="2"/>
  <c r="AE220" i="2"/>
  <c r="V220" i="2"/>
  <c r="AX220" i="2"/>
  <c r="AU220" i="2"/>
  <c r="AT220" i="2"/>
  <c r="AA220" i="2"/>
  <c r="AQ220" i="2"/>
  <c r="AK220" i="2"/>
  <c r="BA220" i="2"/>
  <c r="Z220" i="2"/>
  <c r="AP220" i="2"/>
  <c r="W220" i="2"/>
  <c r="AM220" i="2"/>
  <c r="T220" i="2"/>
  <c r="X220" i="2"/>
  <c r="AY220" i="2"/>
  <c r="AB220" i="2"/>
  <c r="AN220" i="2"/>
  <c r="AF220" i="2"/>
  <c r="AV220" i="2"/>
  <c r="L219" i="2"/>
  <c r="O218" i="2"/>
  <c r="H220" i="2"/>
  <c r="AJ220" i="2"/>
  <c r="AZ220" i="2"/>
  <c r="B222" i="2"/>
  <c r="P221" i="2"/>
  <c r="M221" i="2" s="1"/>
  <c r="J221" i="2"/>
  <c r="I221" i="2"/>
  <c r="AR220" i="2"/>
  <c r="K221" i="2" l="1"/>
  <c r="BA221" i="2"/>
  <c r="U221" i="2"/>
  <c r="AP221" i="2"/>
  <c r="AK221" i="2"/>
  <c r="W221" i="2"/>
  <c r="Z221" i="2"/>
  <c r="D222" i="2"/>
  <c r="C222" i="2"/>
  <c r="Y221" i="2"/>
  <c r="AO221" i="2"/>
  <c r="AD221" i="2"/>
  <c r="AT221" i="2"/>
  <c r="AE221" i="2"/>
  <c r="AC221" i="2"/>
  <c r="AS221" i="2"/>
  <c r="R221" i="2"/>
  <c r="AH221" i="2"/>
  <c r="AX221" i="2"/>
  <c r="AI221" i="2"/>
  <c r="Q221" i="2"/>
  <c r="AG221" i="2"/>
  <c r="AW221" i="2"/>
  <c r="V221" i="2"/>
  <c r="AL221" i="2"/>
  <c r="S221" i="2"/>
  <c r="AU221" i="2"/>
  <c r="AM221" i="2"/>
  <c r="AB221" i="2"/>
  <c r="AA221" i="2"/>
  <c r="AQ221" i="2"/>
  <c r="AY221" i="2"/>
  <c r="H221" i="2"/>
  <c r="T221" i="2"/>
  <c r="AJ221" i="2"/>
  <c r="AZ221" i="2"/>
  <c r="L220" i="2"/>
  <c r="N219" i="2"/>
  <c r="O219" i="2" s="1"/>
  <c r="X221" i="2"/>
  <c r="AN221" i="2"/>
  <c r="B223" i="2"/>
  <c r="P222" i="2"/>
  <c r="M222" i="2" s="1"/>
  <c r="J222" i="2"/>
  <c r="I222" i="2"/>
  <c r="AR221" i="2"/>
  <c r="AF221" i="2"/>
  <c r="AV221" i="2"/>
  <c r="K222" i="2" l="1"/>
  <c r="AH222" i="2"/>
  <c r="AO222" i="2"/>
  <c r="V222" i="2"/>
  <c r="AC222" i="2"/>
  <c r="S222" i="2"/>
  <c r="AS222" i="2"/>
  <c r="AL222" i="2"/>
  <c r="Y222" i="2"/>
  <c r="R222" i="2"/>
  <c r="AX222" i="2"/>
  <c r="D223" i="2"/>
  <c r="C223" i="2"/>
  <c r="Q222" i="2"/>
  <c r="AG222" i="2"/>
  <c r="AW222" i="2"/>
  <c r="Z222" i="2"/>
  <c r="AP222" i="2"/>
  <c r="W222" i="2"/>
  <c r="U222" i="2"/>
  <c r="AK222" i="2"/>
  <c r="BA222" i="2"/>
  <c r="AD222" i="2"/>
  <c r="AT222" i="2"/>
  <c r="AA222" i="2"/>
  <c r="AE222" i="2"/>
  <c r="AI222" i="2"/>
  <c r="AM222" i="2"/>
  <c r="X222" i="2"/>
  <c r="AQ222" i="2"/>
  <c r="AU222" i="2"/>
  <c r="T222" i="2"/>
  <c r="AJ222" i="2"/>
  <c r="AY222" i="2"/>
  <c r="AB222" i="2"/>
  <c r="AR222" i="2"/>
  <c r="N220" i="2"/>
  <c r="O220" i="2" s="1"/>
  <c r="AF222" i="2"/>
  <c r="AV222" i="2"/>
  <c r="L221" i="2"/>
  <c r="H222" i="2"/>
  <c r="AZ222" i="2"/>
  <c r="AN222" i="2"/>
  <c r="B224" i="2"/>
  <c r="P223" i="2"/>
  <c r="M223" i="2" s="1"/>
  <c r="J223" i="2"/>
  <c r="I223" i="2"/>
  <c r="AW223" i="2" l="1"/>
  <c r="K223" i="2"/>
  <c r="Q223" i="2"/>
  <c r="AL223" i="2"/>
  <c r="V223" i="2"/>
  <c r="AG223" i="2"/>
  <c r="AE223" i="2"/>
  <c r="AS223" i="2"/>
  <c r="AH223" i="2"/>
  <c r="AI223" i="2"/>
  <c r="AC223" i="2"/>
  <c r="R223" i="2"/>
  <c r="AX223" i="2"/>
  <c r="S223" i="2"/>
  <c r="D224" i="2"/>
  <c r="C224" i="2"/>
  <c r="AU223" i="2"/>
  <c r="U223" i="2"/>
  <c r="AK223" i="2"/>
  <c r="BA223" i="2"/>
  <c r="Z223" i="2"/>
  <c r="AP223" i="2"/>
  <c r="W223" i="2"/>
  <c r="AM223" i="2"/>
  <c r="Y223" i="2"/>
  <c r="AO223" i="2"/>
  <c r="AD223" i="2"/>
  <c r="AT223" i="2"/>
  <c r="AA223" i="2"/>
  <c r="AQ223" i="2"/>
  <c r="T223" i="2"/>
  <c r="AB223" i="2"/>
  <c r="AY223" i="2"/>
  <c r="AR223" i="2"/>
  <c r="AF223" i="2"/>
  <c r="AV223" i="2"/>
  <c r="N221" i="2"/>
  <c r="O221" i="2" s="1"/>
  <c r="H223" i="2"/>
  <c r="AJ223" i="2"/>
  <c r="AZ223" i="2"/>
  <c r="L222" i="2"/>
  <c r="X223" i="2"/>
  <c r="AN223" i="2"/>
  <c r="B225" i="2"/>
  <c r="P224" i="2"/>
  <c r="M224" i="2" s="1"/>
  <c r="J224" i="2"/>
  <c r="I224" i="2"/>
  <c r="K224" i="2" l="1"/>
  <c r="AG224" i="2"/>
  <c r="Q224" i="2"/>
  <c r="BA224" i="2"/>
  <c r="AC224" i="2"/>
  <c r="U224" i="2"/>
  <c r="AK224" i="2"/>
  <c r="Y224" i="2"/>
  <c r="AS224" i="2"/>
  <c r="R224" i="2"/>
  <c r="Z224" i="2"/>
  <c r="AH224" i="2"/>
  <c r="C225" i="2"/>
  <c r="D225" i="2"/>
  <c r="S224" i="2"/>
  <c r="AW224" i="2"/>
  <c r="V224" i="2"/>
  <c r="AL224" i="2"/>
  <c r="AO224" i="2"/>
  <c r="AD224" i="2"/>
  <c r="AE224" i="2"/>
  <c r="AP224" i="2"/>
  <c r="AI224" i="2"/>
  <c r="AX224" i="2"/>
  <c r="AU224" i="2"/>
  <c r="AT224" i="2"/>
  <c r="AA224" i="2"/>
  <c r="AQ224" i="2"/>
  <c r="W224" i="2"/>
  <c r="AM224" i="2"/>
  <c r="T224" i="2"/>
  <c r="H224" i="2"/>
  <c r="AJ224" i="2"/>
  <c r="AZ224" i="2"/>
  <c r="X224" i="2"/>
  <c r="AN224" i="2"/>
  <c r="B226" i="2"/>
  <c r="P225" i="2"/>
  <c r="M225" i="2" s="1"/>
  <c r="J225" i="2"/>
  <c r="I225" i="2"/>
  <c r="N222" i="2"/>
  <c r="O222" i="2" s="1"/>
  <c r="L223" i="2"/>
  <c r="N223" i="2" s="1"/>
  <c r="AY224" i="2"/>
  <c r="AB224" i="2"/>
  <c r="AR224" i="2"/>
  <c r="AF224" i="2"/>
  <c r="AV224" i="2"/>
  <c r="K225" i="2" l="1"/>
  <c r="U225" i="2"/>
  <c r="Z225" i="2"/>
  <c r="AK225" i="2"/>
  <c r="D226" i="2"/>
  <c r="C226" i="2"/>
  <c r="BA225" i="2"/>
  <c r="AP225" i="2"/>
  <c r="Y225" i="2"/>
  <c r="AO225" i="2"/>
  <c r="AD225" i="2"/>
  <c r="AT225" i="2"/>
  <c r="AC225" i="2"/>
  <c r="AS225" i="2"/>
  <c r="R225" i="2"/>
  <c r="AH225" i="2"/>
  <c r="AX225" i="2"/>
  <c r="Q225" i="2"/>
  <c r="AG225" i="2"/>
  <c r="AW225" i="2"/>
  <c r="V225" i="2"/>
  <c r="AL225" i="2"/>
  <c r="AI225" i="2"/>
  <c r="S225" i="2"/>
  <c r="W225" i="2"/>
  <c r="AM225" i="2"/>
  <c r="AY225" i="2"/>
  <c r="O223" i="2"/>
  <c r="AE225" i="2"/>
  <c r="AU225" i="2"/>
  <c r="X225" i="2"/>
  <c r="AN225" i="2"/>
  <c r="B227" i="2"/>
  <c r="P226" i="2"/>
  <c r="M226" i="2" s="1"/>
  <c r="J226" i="2"/>
  <c r="I226" i="2"/>
  <c r="AB225" i="2"/>
  <c r="AR225" i="2"/>
  <c r="L224" i="2"/>
  <c r="N224" i="2" s="1"/>
  <c r="O224" i="2" s="1"/>
  <c r="AF225" i="2"/>
  <c r="AV225" i="2"/>
  <c r="H225" i="2"/>
  <c r="AA225" i="2"/>
  <c r="AQ225" i="2"/>
  <c r="T225" i="2"/>
  <c r="AJ225" i="2"/>
  <c r="AZ225" i="2"/>
  <c r="AW226" i="2" l="1"/>
  <c r="AC226" i="2"/>
  <c r="K226" i="2"/>
  <c r="AK226" i="2"/>
  <c r="Z226" i="2"/>
  <c r="AX226" i="2"/>
  <c r="U226" i="2"/>
  <c r="R226" i="2"/>
  <c r="AL226" i="2"/>
  <c r="W226" i="2"/>
  <c r="Q226" i="2"/>
  <c r="AG226" i="2"/>
  <c r="BA226" i="2"/>
  <c r="AH226" i="2"/>
  <c r="S226" i="2"/>
  <c r="Y226" i="2"/>
  <c r="AS226" i="2"/>
  <c r="V226" i="2"/>
  <c r="AP226" i="2"/>
  <c r="AM226" i="2"/>
  <c r="D227" i="2"/>
  <c r="C227" i="2"/>
  <c r="AO226" i="2"/>
  <c r="AD226" i="2"/>
  <c r="AT226" i="2"/>
  <c r="AA226" i="2"/>
  <c r="AE226" i="2"/>
  <c r="AI226" i="2"/>
  <c r="AU226" i="2"/>
  <c r="AJ226" i="2"/>
  <c r="T226" i="2"/>
  <c r="AQ226" i="2"/>
  <c r="X226" i="2"/>
  <c r="AF226" i="2"/>
  <c r="AV226" i="2"/>
  <c r="H226" i="2"/>
  <c r="AZ226" i="2"/>
  <c r="AN226" i="2"/>
  <c r="B228" i="2"/>
  <c r="P227" i="2"/>
  <c r="M227" i="2" s="1"/>
  <c r="J227" i="2"/>
  <c r="I227" i="2"/>
  <c r="L225" i="2"/>
  <c r="N225" i="2" s="1"/>
  <c r="O225" i="2" s="1"/>
  <c r="AY226" i="2"/>
  <c r="AB226" i="2"/>
  <c r="AR226" i="2"/>
  <c r="K227" i="2" l="1"/>
  <c r="Y227" i="2"/>
  <c r="AG227" i="2"/>
  <c r="Q227" i="2"/>
  <c r="AC227" i="2"/>
  <c r="D228" i="2"/>
  <c r="C228" i="2"/>
  <c r="U227" i="2"/>
  <c r="AK227" i="2"/>
  <c r="AW227" i="2"/>
  <c r="AL227" i="2"/>
  <c r="V227" i="2"/>
  <c r="AO227" i="2"/>
  <c r="AD227" i="2"/>
  <c r="BA227" i="2"/>
  <c r="Z227" i="2"/>
  <c r="AT227" i="2"/>
  <c r="AS227" i="2"/>
  <c r="R227" i="2"/>
  <c r="AH227" i="2"/>
  <c r="AM227" i="2"/>
  <c r="W227" i="2"/>
  <c r="AP227" i="2"/>
  <c r="AI227" i="2"/>
  <c r="S227" i="2"/>
  <c r="AY227" i="2"/>
  <c r="H227" i="2"/>
  <c r="AA227" i="2"/>
  <c r="AQ227" i="2"/>
  <c r="T227" i="2"/>
  <c r="AJ227" i="2"/>
  <c r="AZ227" i="2"/>
  <c r="L226" i="2"/>
  <c r="N226" i="2" s="1"/>
  <c r="AX227" i="2"/>
  <c r="AE227" i="2"/>
  <c r="AU227" i="2"/>
  <c r="X227" i="2"/>
  <c r="AN227" i="2"/>
  <c r="B229" i="2"/>
  <c r="P228" i="2"/>
  <c r="M228" i="2" s="1"/>
  <c r="J228" i="2"/>
  <c r="I228" i="2"/>
  <c r="AB227" i="2"/>
  <c r="AR227" i="2"/>
  <c r="AF227" i="2"/>
  <c r="AV227" i="2"/>
  <c r="AS228" i="2" l="1"/>
  <c r="K228" i="2"/>
  <c r="AC228" i="2"/>
  <c r="Y228" i="2"/>
  <c r="W228" i="2"/>
  <c r="AO228" i="2"/>
  <c r="R228" i="2"/>
  <c r="C229" i="2"/>
  <c r="D229" i="2"/>
  <c r="Q228" i="2"/>
  <c r="AG228" i="2"/>
  <c r="AW228" i="2"/>
  <c r="V228" i="2"/>
  <c r="U228" i="2"/>
  <c r="AK228" i="2"/>
  <c r="BA228" i="2"/>
  <c r="AD228" i="2"/>
  <c r="Z228" i="2"/>
  <c r="AL228" i="2"/>
  <c r="S228" i="2"/>
  <c r="AY228" i="2"/>
  <c r="AI228" i="2"/>
  <c r="AP228" i="2"/>
  <c r="AM228" i="2"/>
  <c r="AH228" i="2"/>
  <c r="AX228" i="2"/>
  <c r="AE228" i="2"/>
  <c r="AU228" i="2"/>
  <c r="X228" i="2"/>
  <c r="AN228" i="2"/>
  <c r="B230" i="2"/>
  <c r="P229" i="2"/>
  <c r="M229" i="2" s="1"/>
  <c r="J229" i="2"/>
  <c r="I229" i="2"/>
  <c r="O226" i="2"/>
  <c r="AB228" i="2"/>
  <c r="AR228" i="2"/>
  <c r="AF228" i="2"/>
  <c r="AV228" i="2"/>
  <c r="L227" i="2"/>
  <c r="N227" i="2" s="1"/>
  <c r="O227" i="2" s="1"/>
  <c r="H228" i="2"/>
  <c r="AT228" i="2"/>
  <c r="AA228" i="2"/>
  <c r="AQ228" i="2"/>
  <c r="T228" i="2"/>
  <c r="AJ228" i="2"/>
  <c r="AZ228" i="2"/>
  <c r="AS229" i="2" l="1"/>
  <c r="K229" i="2"/>
  <c r="AC229" i="2"/>
  <c r="AK229" i="2"/>
  <c r="U229" i="2"/>
  <c r="Z229" i="2"/>
  <c r="Q229" i="2"/>
  <c r="AG229" i="2"/>
  <c r="R229" i="2"/>
  <c r="Y229" i="2"/>
  <c r="AO229" i="2"/>
  <c r="AT229" i="2"/>
  <c r="BA229" i="2"/>
  <c r="AP229" i="2"/>
  <c r="AW229" i="2"/>
  <c r="AD229" i="2"/>
  <c r="D230" i="2"/>
  <c r="C230" i="2"/>
  <c r="V229" i="2"/>
  <c r="AL229" i="2"/>
  <c r="S229" i="2"/>
  <c r="AH229" i="2"/>
  <c r="AX229" i="2"/>
  <c r="AI229" i="2"/>
  <c r="AU229" i="2"/>
  <c r="AE229" i="2"/>
  <c r="W229" i="2"/>
  <c r="AM229" i="2"/>
  <c r="T229" i="2"/>
  <c r="AA229" i="2"/>
  <c r="AQ229" i="2"/>
  <c r="X229" i="2"/>
  <c r="AR229" i="2"/>
  <c r="AY229" i="2"/>
  <c r="AB229" i="2"/>
  <c r="H229" i="2"/>
  <c r="AJ229" i="2"/>
  <c r="AZ229" i="2"/>
  <c r="L228" i="2"/>
  <c r="AN229" i="2"/>
  <c r="B231" i="2"/>
  <c r="P230" i="2"/>
  <c r="M230" i="2" s="1"/>
  <c r="J230" i="2"/>
  <c r="I230" i="2"/>
  <c r="AF229" i="2"/>
  <c r="AV229" i="2"/>
  <c r="K230" i="2" l="1"/>
  <c r="AW230" i="2"/>
  <c r="AC230" i="2"/>
  <c r="D231" i="2"/>
  <c r="C231" i="2"/>
  <c r="Q230" i="2"/>
  <c r="U230" i="2"/>
  <c r="AO230" i="2"/>
  <c r="Z230" i="2"/>
  <c r="AG230" i="2"/>
  <c r="Y230" i="2"/>
  <c r="AS230" i="2"/>
  <c r="AL230" i="2"/>
  <c r="AK230" i="2"/>
  <c r="BA230" i="2"/>
  <c r="AD230" i="2"/>
  <c r="V230" i="2"/>
  <c r="W230" i="2"/>
  <c r="AA230" i="2"/>
  <c r="AT230" i="2"/>
  <c r="AQ230" i="2"/>
  <c r="AP230" i="2"/>
  <c r="AM230" i="2"/>
  <c r="S230" i="2"/>
  <c r="AI230" i="2"/>
  <c r="AY230" i="2"/>
  <c r="AB230" i="2"/>
  <c r="AR230" i="2"/>
  <c r="AF230" i="2"/>
  <c r="AV230" i="2"/>
  <c r="T230" i="2"/>
  <c r="AJ230" i="2"/>
  <c r="AZ230" i="2"/>
  <c r="N228" i="2"/>
  <c r="O228" i="2" s="1"/>
  <c r="L229" i="2"/>
  <c r="H230" i="2"/>
  <c r="R230" i="2"/>
  <c r="AH230" i="2"/>
  <c r="AX230" i="2"/>
  <c r="AE230" i="2"/>
  <c r="AU230" i="2"/>
  <c r="X230" i="2"/>
  <c r="AN230" i="2"/>
  <c r="B232" i="2"/>
  <c r="P231" i="2"/>
  <c r="M231" i="2" s="1"/>
  <c r="J231" i="2"/>
  <c r="I231" i="2"/>
  <c r="K231" i="2" l="1"/>
  <c r="Y231" i="2"/>
  <c r="AO231" i="2"/>
  <c r="AW231" i="2"/>
  <c r="U231" i="2"/>
  <c r="AA231" i="2"/>
  <c r="BA231" i="2"/>
  <c r="D232" i="2"/>
  <c r="C232" i="2"/>
  <c r="AC231" i="2"/>
  <c r="Q231" i="2"/>
  <c r="AG231" i="2"/>
  <c r="V231" i="2"/>
  <c r="AK231" i="2"/>
  <c r="Z231" i="2"/>
  <c r="W231" i="2"/>
  <c r="AD231" i="2"/>
  <c r="AT231" i="2"/>
  <c r="AQ231" i="2"/>
  <c r="AP231" i="2"/>
  <c r="AM231" i="2"/>
  <c r="AL231" i="2"/>
  <c r="S231" i="2"/>
  <c r="AI231" i="2"/>
  <c r="AY231" i="2"/>
  <c r="AB231" i="2"/>
  <c r="AR231" i="2"/>
  <c r="AF231" i="2"/>
  <c r="AV231" i="2"/>
  <c r="T231" i="2"/>
  <c r="AJ231" i="2"/>
  <c r="AZ231" i="2"/>
  <c r="N229" i="2"/>
  <c r="O229" i="2" s="1"/>
  <c r="H231" i="2"/>
  <c r="AS231" i="2"/>
  <c r="R231" i="2"/>
  <c r="AH231" i="2"/>
  <c r="AX231" i="2"/>
  <c r="AE231" i="2"/>
  <c r="AU231" i="2"/>
  <c r="X231" i="2"/>
  <c r="AN231" i="2"/>
  <c r="B233" i="2"/>
  <c r="P232" i="2"/>
  <c r="M232" i="2" s="1"/>
  <c r="J232" i="2"/>
  <c r="I232" i="2"/>
  <c r="L230" i="2"/>
  <c r="N230" i="2" s="1"/>
  <c r="O230" i="2" s="1"/>
  <c r="K232" i="2" l="1"/>
  <c r="Q232" i="2"/>
  <c r="AK232" i="2"/>
  <c r="U232" i="2"/>
  <c r="AG232" i="2"/>
  <c r="BA232" i="2"/>
  <c r="Y232" i="2"/>
  <c r="AS232" i="2"/>
  <c r="C233" i="2"/>
  <c r="D233" i="2"/>
  <c r="AC232" i="2"/>
  <c r="AW232" i="2"/>
  <c r="AO232" i="2"/>
  <c r="AL232" i="2"/>
  <c r="V232" i="2"/>
  <c r="Z232" i="2"/>
  <c r="AP232" i="2"/>
  <c r="AD232" i="2"/>
  <c r="S232" i="2"/>
  <c r="R232" i="2"/>
  <c r="AH232" i="2"/>
  <c r="W232" i="2"/>
  <c r="AM232" i="2"/>
  <c r="AI232" i="2"/>
  <c r="AY232" i="2"/>
  <c r="AX232" i="2"/>
  <c r="AE232" i="2"/>
  <c r="AU232" i="2"/>
  <c r="X232" i="2"/>
  <c r="AN232" i="2"/>
  <c r="B234" i="2"/>
  <c r="P233" i="2"/>
  <c r="M233" i="2" s="1"/>
  <c r="J233" i="2"/>
  <c r="I233" i="2"/>
  <c r="AB232" i="2"/>
  <c r="AR232" i="2"/>
  <c r="L231" i="2"/>
  <c r="N231" i="2" s="1"/>
  <c r="O231" i="2" s="1"/>
  <c r="AF232" i="2"/>
  <c r="AV232" i="2"/>
  <c r="H232" i="2"/>
  <c r="AT232" i="2"/>
  <c r="AA232" i="2"/>
  <c r="AQ232" i="2"/>
  <c r="T232" i="2"/>
  <c r="AJ232" i="2"/>
  <c r="AZ232" i="2"/>
  <c r="K233" i="2" l="1"/>
  <c r="Y233" i="2"/>
  <c r="Q233" i="2"/>
  <c r="U233" i="2"/>
  <c r="Z233" i="2"/>
  <c r="AG233" i="2"/>
  <c r="AW233" i="2"/>
  <c r="AO233" i="2"/>
  <c r="AH233" i="2"/>
  <c r="R233" i="2"/>
  <c r="AC233" i="2"/>
  <c r="AS233" i="2"/>
  <c r="V233" i="2"/>
  <c r="AL233" i="2"/>
  <c r="AK233" i="2"/>
  <c r="BA233" i="2"/>
  <c r="AD233" i="2"/>
  <c r="AP233" i="2"/>
  <c r="AT233" i="2"/>
  <c r="S233" i="2"/>
  <c r="AX233" i="2"/>
  <c r="D234" i="2"/>
  <c r="C234" i="2"/>
  <c r="AE233" i="2"/>
  <c r="W233" i="2"/>
  <c r="AA233" i="2"/>
  <c r="T233" i="2"/>
  <c r="AI233" i="2"/>
  <c r="AM233" i="2"/>
  <c r="AU233" i="2"/>
  <c r="AJ233" i="2"/>
  <c r="AQ233" i="2"/>
  <c r="X233" i="2"/>
  <c r="AF233" i="2"/>
  <c r="AV233" i="2"/>
  <c r="H233" i="2"/>
  <c r="AZ233" i="2"/>
  <c r="AN233" i="2"/>
  <c r="B235" i="2"/>
  <c r="P234" i="2"/>
  <c r="M234" i="2" s="1"/>
  <c r="J234" i="2"/>
  <c r="I234" i="2"/>
  <c r="L232" i="2"/>
  <c r="N232" i="2" s="1"/>
  <c r="O232" i="2" s="1"/>
  <c r="AY233" i="2"/>
  <c r="AB233" i="2"/>
  <c r="AR233" i="2"/>
  <c r="K234" i="2" l="1"/>
  <c r="U234" i="2"/>
  <c r="AC234" i="2"/>
  <c r="R234" i="2"/>
  <c r="AK234" i="2"/>
  <c r="Q234" i="2"/>
  <c r="AS234" i="2"/>
  <c r="AL234" i="2"/>
  <c r="W234" i="2"/>
  <c r="AD234" i="2"/>
  <c r="AG234" i="2"/>
  <c r="BA234" i="2"/>
  <c r="AH234" i="2"/>
  <c r="AM234" i="2"/>
  <c r="Y234" i="2"/>
  <c r="AO234" i="2"/>
  <c r="V234" i="2"/>
  <c r="AX234" i="2"/>
  <c r="S234" i="2"/>
  <c r="AY234" i="2"/>
  <c r="AW234" i="2"/>
  <c r="Z234" i="2"/>
  <c r="AP234" i="2"/>
  <c r="AI234" i="2"/>
  <c r="D235" i="2"/>
  <c r="C235" i="2"/>
  <c r="AE234" i="2"/>
  <c r="AU234" i="2"/>
  <c r="AT234" i="2"/>
  <c r="AA234" i="2"/>
  <c r="AQ234" i="2"/>
  <c r="AB234" i="2"/>
  <c r="H234" i="2"/>
  <c r="T234" i="2"/>
  <c r="AJ234" i="2"/>
  <c r="AZ234" i="2"/>
  <c r="L233" i="2"/>
  <c r="X234" i="2"/>
  <c r="AN234" i="2"/>
  <c r="B236" i="2"/>
  <c r="P235" i="2"/>
  <c r="M235" i="2" s="1"/>
  <c r="J235" i="2"/>
  <c r="I235" i="2"/>
  <c r="AR234" i="2"/>
  <c r="AF234" i="2"/>
  <c r="AV234" i="2"/>
  <c r="K235" i="2" l="1"/>
  <c r="Q235" i="2"/>
  <c r="AC235" i="2"/>
  <c r="AS235" i="2"/>
  <c r="Y235" i="2"/>
  <c r="AL235" i="2"/>
  <c r="AG235" i="2"/>
  <c r="AW235" i="2"/>
  <c r="W235" i="2"/>
  <c r="R235" i="2"/>
  <c r="U235" i="2"/>
  <c r="AO235" i="2"/>
  <c r="V235" i="2"/>
  <c r="D236" i="2"/>
  <c r="C236" i="2"/>
  <c r="AH235" i="2"/>
  <c r="AK235" i="2"/>
  <c r="BA235" i="2"/>
  <c r="Z235" i="2"/>
  <c r="AP235" i="2"/>
  <c r="AD235" i="2"/>
  <c r="AX235" i="2"/>
  <c r="AT235" i="2"/>
  <c r="AQ235" i="2"/>
  <c r="AA235" i="2"/>
  <c r="AE235" i="2"/>
  <c r="AU235" i="2"/>
  <c r="S235" i="2"/>
  <c r="AM235" i="2"/>
  <c r="AN235" i="2"/>
  <c r="T235" i="2"/>
  <c r="N233" i="2"/>
  <c r="O233" i="2" s="1"/>
  <c r="X235" i="2"/>
  <c r="AI235" i="2"/>
  <c r="AY235" i="2"/>
  <c r="AB235" i="2"/>
  <c r="H235" i="2"/>
  <c r="AJ235" i="2"/>
  <c r="AZ235" i="2"/>
  <c r="B237" i="2"/>
  <c r="P236" i="2"/>
  <c r="M236" i="2" s="1"/>
  <c r="J236" i="2"/>
  <c r="I236" i="2"/>
  <c r="AR235" i="2"/>
  <c r="L234" i="2"/>
  <c r="AF235" i="2"/>
  <c r="AV235" i="2"/>
  <c r="K236" i="2" l="1"/>
  <c r="C237" i="2"/>
  <c r="D237" i="2"/>
  <c r="AH236" i="2"/>
  <c r="Y236" i="2"/>
  <c r="AO236" i="2"/>
  <c r="AC236" i="2"/>
  <c r="AS236" i="2"/>
  <c r="R236" i="2"/>
  <c r="AL236" i="2"/>
  <c r="Q236" i="2"/>
  <c r="AG236" i="2"/>
  <c r="AW236" i="2"/>
  <c r="V236" i="2"/>
  <c r="AT236" i="2"/>
  <c r="U236" i="2"/>
  <c r="AK236" i="2"/>
  <c r="BA236" i="2"/>
  <c r="Z236" i="2"/>
  <c r="W236" i="2"/>
  <c r="AQ236" i="2"/>
  <c r="AD236" i="2"/>
  <c r="S236" i="2"/>
  <c r="AM236" i="2"/>
  <c r="AP236" i="2"/>
  <c r="AA236" i="2"/>
  <c r="AI236" i="2"/>
  <c r="AY236" i="2"/>
  <c r="AB236" i="2"/>
  <c r="AR236" i="2"/>
  <c r="AF236" i="2"/>
  <c r="AV236" i="2"/>
  <c r="H236" i="2"/>
  <c r="T236" i="2"/>
  <c r="AJ236" i="2"/>
  <c r="AZ236" i="2"/>
  <c r="L235" i="2"/>
  <c r="N234" i="2"/>
  <c r="O234" i="2" s="1"/>
  <c r="AX236" i="2"/>
  <c r="AE236" i="2"/>
  <c r="AU236" i="2"/>
  <c r="X236" i="2"/>
  <c r="AN236" i="2"/>
  <c r="B238" i="2"/>
  <c r="P237" i="2"/>
  <c r="M237" i="2" s="1"/>
  <c r="J237" i="2"/>
  <c r="I237" i="2"/>
  <c r="K237" i="2" l="1"/>
  <c r="D238" i="2"/>
  <c r="C238" i="2"/>
  <c r="Z237" i="2"/>
  <c r="AC237" i="2"/>
  <c r="AS237" i="2"/>
  <c r="Q237" i="2"/>
  <c r="AG237" i="2"/>
  <c r="AW237" i="2"/>
  <c r="AD237" i="2"/>
  <c r="U237" i="2"/>
  <c r="AK237" i="2"/>
  <c r="BA237" i="2"/>
  <c r="AP237" i="2"/>
  <c r="Y237" i="2"/>
  <c r="AO237" i="2"/>
  <c r="AA237" i="2"/>
  <c r="W237" i="2"/>
  <c r="V237" i="2"/>
  <c r="AT237" i="2"/>
  <c r="AL237" i="2"/>
  <c r="S237" i="2"/>
  <c r="AM237" i="2"/>
  <c r="T237" i="2"/>
  <c r="R237" i="2"/>
  <c r="AH237" i="2"/>
  <c r="AX237" i="2"/>
  <c r="AE237" i="2"/>
  <c r="AQ237" i="2"/>
  <c r="AU237" i="2"/>
  <c r="AF237" i="2"/>
  <c r="AV237" i="2"/>
  <c r="H237" i="2"/>
  <c r="AJ237" i="2"/>
  <c r="AZ237" i="2"/>
  <c r="X237" i="2"/>
  <c r="AN237" i="2"/>
  <c r="B239" i="2"/>
  <c r="P238" i="2"/>
  <c r="M238" i="2" s="1"/>
  <c r="J238" i="2"/>
  <c r="I238" i="2"/>
  <c r="N235" i="2"/>
  <c r="O235" i="2" s="1"/>
  <c r="AI237" i="2"/>
  <c r="AY237" i="2"/>
  <c r="AB237" i="2"/>
  <c r="AR237" i="2"/>
  <c r="L236" i="2"/>
  <c r="N236" i="2" s="1"/>
  <c r="O236" i="2" s="1"/>
  <c r="K238" i="2" l="1"/>
  <c r="V238" i="2"/>
  <c r="Y238" i="2"/>
  <c r="AG238" i="2"/>
  <c r="Q238" i="2"/>
  <c r="AO238" i="2"/>
  <c r="AH238" i="2"/>
  <c r="AS238" i="2"/>
  <c r="AC238" i="2"/>
  <c r="AW238" i="2"/>
  <c r="R238" i="2"/>
  <c r="U238" i="2"/>
  <c r="AK238" i="2"/>
  <c r="BA238" i="2"/>
  <c r="AD238" i="2"/>
  <c r="AX238" i="2"/>
  <c r="AL238" i="2"/>
  <c r="Z238" i="2"/>
  <c r="AP238" i="2"/>
  <c r="W238" i="2"/>
  <c r="D239" i="2"/>
  <c r="C239" i="2"/>
  <c r="AT238" i="2"/>
  <c r="S238" i="2"/>
  <c r="AM238" i="2"/>
  <c r="AI238" i="2"/>
  <c r="AE238" i="2"/>
  <c r="AU238" i="2"/>
  <c r="AJ238" i="2"/>
  <c r="AN238" i="2"/>
  <c r="T238" i="2"/>
  <c r="AA238" i="2"/>
  <c r="AQ238" i="2"/>
  <c r="X238" i="2"/>
  <c r="AF238" i="2"/>
  <c r="AV238" i="2"/>
  <c r="H238" i="2"/>
  <c r="AZ238" i="2"/>
  <c r="B240" i="2"/>
  <c r="P239" i="2"/>
  <c r="M239" i="2" s="1"/>
  <c r="J239" i="2"/>
  <c r="I239" i="2"/>
  <c r="AY238" i="2"/>
  <c r="AB238" i="2"/>
  <c r="AR238" i="2"/>
  <c r="L237" i="2"/>
  <c r="N237" i="2" s="1"/>
  <c r="K239" i="2" l="1"/>
  <c r="U239" i="2"/>
  <c r="AC239" i="2"/>
  <c r="AK239" i="2"/>
  <c r="Y239" i="2"/>
  <c r="AO239" i="2"/>
  <c r="R239" i="2"/>
  <c r="AH239" i="2"/>
  <c r="AS239" i="2"/>
  <c r="Q239" i="2"/>
  <c r="AG239" i="2"/>
  <c r="AW239" i="2"/>
  <c r="AL239" i="2"/>
  <c r="BA239" i="2"/>
  <c r="Z239" i="2"/>
  <c r="S239" i="2"/>
  <c r="V239" i="2"/>
  <c r="AP239" i="2"/>
  <c r="D240" i="2"/>
  <c r="C240" i="2"/>
  <c r="AY239" i="2"/>
  <c r="W239" i="2"/>
  <c r="AX239" i="2"/>
  <c r="AM239" i="2"/>
  <c r="AD239" i="2"/>
  <c r="AT239" i="2"/>
  <c r="AI239" i="2"/>
  <c r="AA239" i="2"/>
  <c r="AQ239" i="2"/>
  <c r="AE239" i="2"/>
  <c r="AU239" i="2"/>
  <c r="X239" i="2"/>
  <c r="T239" i="2"/>
  <c r="O237" i="2"/>
  <c r="AF239" i="2"/>
  <c r="AV239" i="2"/>
  <c r="L238" i="2"/>
  <c r="N238" i="2" s="1"/>
  <c r="H239" i="2"/>
  <c r="AJ239" i="2"/>
  <c r="AZ239" i="2"/>
  <c r="AN239" i="2"/>
  <c r="B241" i="2"/>
  <c r="P240" i="2"/>
  <c r="M240" i="2" s="1"/>
  <c r="J240" i="2"/>
  <c r="I240" i="2"/>
  <c r="AB239" i="2"/>
  <c r="AR239" i="2"/>
  <c r="Q240" i="2" l="1"/>
  <c r="W240" i="2"/>
  <c r="K240" i="2"/>
  <c r="AK240" i="2"/>
  <c r="BA240" i="2"/>
  <c r="AO240" i="2"/>
  <c r="C241" i="2"/>
  <c r="D241" i="2"/>
  <c r="U240" i="2"/>
  <c r="Y240" i="2"/>
  <c r="AC240" i="2"/>
  <c r="AS240" i="2"/>
  <c r="R240" i="2"/>
  <c r="AG240" i="2"/>
  <c r="AW240" i="2"/>
  <c r="V240" i="2"/>
  <c r="Z240" i="2"/>
  <c r="AP240" i="2"/>
  <c r="S240" i="2"/>
  <c r="AM240" i="2"/>
  <c r="AL240" i="2"/>
  <c r="AI240" i="2"/>
  <c r="AH240" i="2"/>
  <c r="AX240" i="2"/>
  <c r="AE240" i="2"/>
  <c r="AU240" i="2"/>
  <c r="X240" i="2"/>
  <c r="AN240" i="2"/>
  <c r="B242" i="2"/>
  <c r="P241" i="2"/>
  <c r="M241" i="2" s="1"/>
  <c r="J241" i="2"/>
  <c r="I241" i="2"/>
  <c r="L239" i="2"/>
  <c r="N239" i="2" s="1"/>
  <c r="O239" i="2" s="1"/>
  <c r="O238" i="2"/>
  <c r="AY240" i="2"/>
  <c r="AB240" i="2"/>
  <c r="AR240" i="2"/>
  <c r="AF240" i="2"/>
  <c r="AV240" i="2"/>
  <c r="H240" i="2"/>
  <c r="AD240" i="2"/>
  <c r="AT240" i="2"/>
  <c r="AA240" i="2"/>
  <c r="AQ240" i="2"/>
  <c r="T240" i="2"/>
  <c r="AJ240" i="2"/>
  <c r="AZ240" i="2"/>
  <c r="K241" i="2" l="1"/>
  <c r="U241" i="2"/>
  <c r="AW241" i="2"/>
  <c r="AC241" i="2"/>
  <c r="AG241" i="2"/>
  <c r="V241" i="2"/>
  <c r="Q241" i="2"/>
  <c r="AS241" i="2"/>
  <c r="AP241" i="2"/>
  <c r="R241" i="2"/>
  <c r="D242" i="2"/>
  <c r="C242" i="2"/>
  <c r="Y241" i="2"/>
  <c r="AO241" i="2"/>
  <c r="AL241" i="2"/>
  <c r="AK241" i="2"/>
  <c r="BA241" i="2"/>
  <c r="Z241" i="2"/>
  <c r="AD241" i="2"/>
  <c r="AT241" i="2"/>
  <c r="AH241" i="2"/>
  <c r="W241" i="2"/>
  <c r="AA241" i="2"/>
  <c r="S241" i="2"/>
  <c r="AQ241" i="2"/>
  <c r="X241" i="2"/>
  <c r="AX241" i="2"/>
  <c r="AM241" i="2"/>
  <c r="AE241" i="2"/>
  <c r="AU241" i="2"/>
  <c r="AB241" i="2"/>
  <c r="AI241" i="2"/>
  <c r="AY241" i="2"/>
  <c r="L240" i="2"/>
  <c r="H241" i="2"/>
  <c r="T241" i="2"/>
  <c r="AJ241" i="2"/>
  <c r="AZ241" i="2"/>
  <c r="AN241" i="2"/>
  <c r="B243" i="2"/>
  <c r="P242" i="2"/>
  <c r="M242" i="2" s="1"/>
  <c r="J242" i="2"/>
  <c r="I242" i="2"/>
  <c r="AR241" i="2"/>
  <c r="AF241" i="2"/>
  <c r="AV241" i="2"/>
  <c r="K242" i="2" l="1"/>
  <c r="D243" i="2"/>
  <c r="C243" i="2"/>
  <c r="BA242" i="2"/>
  <c r="U242" i="2"/>
  <c r="AG242" i="2"/>
  <c r="AK242" i="2"/>
  <c r="V242" i="2"/>
  <c r="Q242" i="2"/>
  <c r="AW242" i="2"/>
  <c r="Z242" i="2"/>
  <c r="AX242" i="2"/>
  <c r="AL242" i="2"/>
  <c r="AC242" i="2"/>
  <c r="AS242" i="2"/>
  <c r="R242" i="2"/>
  <c r="AH242" i="2"/>
  <c r="AI242" i="2"/>
  <c r="Y242" i="2"/>
  <c r="AO242" i="2"/>
  <c r="AD242" i="2"/>
  <c r="S242" i="2"/>
  <c r="AE242" i="2"/>
  <c r="AT242" i="2"/>
  <c r="AA242" i="2"/>
  <c r="AQ242" i="2"/>
  <c r="X242" i="2"/>
  <c r="AU242" i="2"/>
  <c r="AJ242" i="2"/>
  <c r="AN242" i="2"/>
  <c r="AP242" i="2"/>
  <c r="W242" i="2"/>
  <c r="AM242" i="2"/>
  <c r="T242" i="2"/>
  <c r="AF242" i="2"/>
  <c r="AV242" i="2"/>
  <c r="H242" i="2"/>
  <c r="AZ242" i="2"/>
  <c r="B244" i="2"/>
  <c r="P243" i="2"/>
  <c r="M243" i="2" s="1"/>
  <c r="J243" i="2"/>
  <c r="I243" i="2"/>
  <c r="N240" i="2"/>
  <c r="O240" i="2" s="1"/>
  <c r="AY242" i="2"/>
  <c r="AB242" i="2"/>
  <c r="AR242" i="2"/>
  <c r="L241" i="2"/>
  <c r="N241" i="2" s="1"/>
  <c r="O241" i="2" s="1"/>
  <c r="K243" i="2" l="1"/>
  <c r="AK243" i="2"/>
  <c r="U243" i="2"/>
  <c r="BA243" i="2"/>
  <c r="AP243" i="2"/>
  <c r="D244" i="2"/>
  <c r="C244" i="2"/>
  <c r="Z243" i="2"/>
  <c r="Y243" i="2"/>
  <c r="AO243" i="2"/>
  <c r="AD243" i="2"/>
  <c r="AT243" i="2"/>
  <c r="AC243" i="2"/>
  <c r="AS243" i="2"/>
  <c r="R243" i="2"/>
  <c r="AH243" i="2"/>
  <c r="W243" i="2"/>
  <c r="Q243" i="2"/>
  <c r="AG243" i="2"/>
  <c r="AW243" i="2"/>
  <c r="V243" i="2"/>
  <c r="AL243" i="2"/>
  <c r="AA243" i="2"/>
  <c r="S243" i="2"/>
  <c r="AQ243" i="2"/>
  <c r="AX243" i="2"/>
  <c r="AM243" i="2"/>
  <c r="AI243" i="2"/>
  <c r="AY243" i="2"/>
  <c r="AB243" i="2"/>
  <c r="AN243" i="2"/>
  <c r="T243" i="2"/>
  <c r="AR243" i="2"/>
  <c r="AE243" i="2"/>
  <c r="AU243" i="2"/>
  <c r="X243" i="2"/>
  <c r="H243" i="2"/>
  <c r="AJ243" i="2"/>
  <c r="AZ243" i="2"/>
  <c r="B245" i="2"/>
  <c r="P244" i="2"/>
  <c r="M244" i="2" s="1"/>
  <c r="J244" i="2"/>
  <c r="I244" i="2"/>
  <c r="AF243" i="2"/>
  <c r="AV243" i="2"/>
  <c r="L242" i="2"/>
  <c r="K244" i="2" l="1"/>
  <c r="U244" i="2"/>
  <c r="C245" i="2"/>
  <c r="D245" i="2"/>
  <c r="AO244" i="2"/>
  <c r="Q244" i="2"/>
  <c r="AK244" i="2"/>
  <c r="AT244" i="2"/>
  <c r="BA244" i="2"/>
  <c r="Y244" i="2"/>
  <c r="AG244" i="2"/>
  <c r="AC244" i="2"/>
  <c r="AS244" i="2"/>
  <c r="V244" i="2"/>
  <c r="AW244" i="2"/>
  <c r="AD244" i="2"/>
  <c r="Z244" i="2"/>
  <c r="S244" i="2"/>
  <c r="R244" i="2"/>
  <c r="AH244" i="2"/>
  <c r="AP244" i="2"/>
  <c r="AA244" i="2"/>
  <c r="AL244" i="2"/>
  <c r="W244" i="2"/>
  <c r="AQ244" i="2"/>
  <c r="N242" i="2"/>
  <c r="O242" i="2" s="1"/>
  <c r="AM244" i="2"/>
  <c r="AI244" i="2"/>
  <c r="AY244" i="2"/>
  <c r="AB244" i="2"/>
  <c r="AR244" i="2"/>
  <c r="AF244" i="2"/>
  <c r="AV244" i="2"/>
  <c r="T244" i="2"/>
  <c r="AJ244" i="2"/>
  <c r="AZ244" i="2"/>
  <c r="L243" i="2"/>
  <c r="H244" i="2"/>
  <c r="AX244" i="2"/>
  <c r="AE244" i="2"/>
  <c r="AU244" i="2"/>
  <c r="X244" i="2"/>
  <c r="AN244" i="2"/>
  <c r="B246" i="2"/>
  <c r="P245" i="2"/>
  <c r="M245" i="2" s="1"/>
  <c r="J245" i="2"/>
  <c r="I245" i="2"/>
  <c r="K245" i="2" l="1"/>
  <c r="Q245" i="2"/>
  <c r="AW245" i="2"/>
  <c r="AC245" i="2"/>
  <c r="V245" i="2"/>
  <c r="AG245" i="2"/>
  <c r="AH245" i="2"/>
  <c r="AS245" i="2"/>
  <c r="S245" i="2"/>
  <c r="U245" i="2"/>
  <c r="AK245" i="2"/>
  <c r="BA245" i="2"/>
  <c r="AL245" i="2"/>
  <c r="Y245" i="2"/>
  <c r="AO245" i="2"/>
  <c r="R245" i="2"/>
  <c r="AX245" i="2"/>
  <c r="D246" i="2"/>
  <c r="C246" i="2"/>
  <c r="AD245" i="2"/>
  <c r="AT245" i="2"/>
  <c r="AI245" i="2"/>
  <c r="Z245" i="2"/>
  <c r="AP245" i="2"/>
  <c r="W245" i="2"/>
  <c r="AY245" i="2"/>
  <c r="AM245" i="2"/>
  <c r="N243" i="2"/>
  <c r="O243" i="2" s="1"/>
  <c r="AE245" i="2"/>
  <c r="AU245" i="2"/>
  <c r="X245" i="2"/>
  <c r="AN245" i="2"/>
  <c r="B247" i="2"/>
  <c r="P246" i="2"/>
  <c r="M246" i="2" s="1"/>
  <c r="J246" i="2"/>
  <c r="I246" i="2"/>
  <c r="AB245" i="2"/>
  <c r="AR245" i="2"/>
  <c r="AF245" i="2"/>
  <c r="AV245" i="2"/>
  <c r="L244" i="2"/>
  <c r="N244" i="2" s="1"/>
  <c r="H245" i="2"/>
  <c r="AA245" i="2"/>
  <c r="AQ245" i="2"/>
  <c r="T245" i="2"/>
  <c r="AJ245" i="2"/>
  <c r="AZ245" i="2"/>
  <c r="K246" i="2" l="1"/>
  <c r="AK246" i="2"/>
  <c r="U246" i="2"/>
  <c r="BA246" i="2"/>
  <c r="AS246" i="2"/>
  <c r="AC246" i="2"/>
  <c r="V246" i="2"/>
  <c r="Y246" i="2"/>
  <c r="AO246" i="2"/>
  <c r="R246" i="2"/>
  <c r="D247" i="2"/>
  <c r="C247" i="2"/>
  <c r="Q246" i="2"/>
  <c r="AG246" i="2"/>
  <c r="AW246" i="2"/>
  <c r="AD246" i="2"/>
  <c r="Z246" i="2"/>
  <c r="AX246" i="2"/>
  <c r="AH246" i="2"/>
  <c r="AT246" i="2"/>
  <c r="AP246" i="2"/>
  <c r="W246" i="2"/>
  <c r="AL246" i="2"/>
  <c r="S246" i="2"/>
  <c r="AQ246" i="2"/>
  <c r="AM246" i="2"/>
  <c r="AA246" i="2"/>
  <c r="T246" i="2"/>
  <c r="L245" i="2"/>
  <c r="O244" i="2"/>
  <c r="AI246" i="2"/>
  <c r="AY246" i="2"/>
  <c r="AB246" i="2"/>
  <c r="AR246" i="2"/>
  <c r="AF246" i="2"/>
  <c r="AV246" i="2"/>
  <c r="H246" i="2"/>
  <c r="AJ246" i="2"/>
  <c r="AZ246" i="2"/>
  <c r="AE246" i="2"/>
  <c r="AU246" i="2"/>
  <c r="X246" i="2"/>
  <c r="AN246" i="2"/>
  <c r="B248" i="2"/>
  <c r="P247" i="2"/>
  <c r="M247" i="2" s="1"/>
  <c r="J247" i="2"/>
  <c r="I247" i="2"/>
  <c r="K247" i="2" l="1"/>
  <c r="Q247" i="2"/>
  <c r="AG247" i="2"/>
  <c r="U247" i="2"/>
  <c r="AW247" i="2"/>
  <c r="AC247" i="2"/>
  <c r="AM247" i="2"/>
  <c r="AK247" i="2"/>
  <c r="D248" i="2"/>
  <c r="C248" i="2"/>
  <c r="AS247" i="2"/>
  <c r="Z247" i="2"/>
  <c r="Y247" i="2"/>
  <c r="AO247" i="2"/>
  <c r="R247" i="2"/>
  <c r="AL247" i="2"/>
  <c r="BA247" i="2"/>
  <c r="AD247" i="2"/>
  <c r="AT247" i="2"/>
  <c r="V247" i="2"/>
  <c r="AP247" i="2"/>
  <c r="AA247" i="2"/>
  <c r="AH247" i="2"/>
  <c r="W247" i="2"/>
  <c r="S247" i="2"/>
  <c r="AI247" i="2"/>
  <c r="AY247" i="2"/>
  <c r="AB247" i="2"/>
  <c r="AN247" i="2"/>
  <c r="AQ247" i="2"/>
  <c r="T247" i="2"/>
  <c r="AR247" i="2"/>
  <c r="AX247" i="2"/>
  <c r="AE247" i="2"/>
  <c r="AU247" i="2"/>
  <c r="X247" i="2"/>
  <c r="H247" i="2"/>
  <c r="AJ247" i="2"/>
  <c r="AZ247" i="2"/>
  <c r="L246" i="2"/>
  <c r="B249" i="2"/>
  <c r="P248" i="2"/>
  <c r="M248" i="2" s="1"/>
  <c r="J248" i="2"/>
  <c r="I248" i="2"/>
  <c r="N245" i="2"/>
  <c r="O245" i="2" s="1"/>
  <c r="AF247" i="2"/>
  <c r="AV247" i="2"/>
  <c r="K248" i="2" l="1"/>
  <c r="U248" i="2"/>
  <c r="AW248" i="2"/>
  <c r="C249" i="2"/>
  <c r="D249" i="2"/>
  <c r="AC248" i="2"/>
  <c r="Q248" i="2"/>
  <c r="AG248" i="2"/>
  <c r="AO248" i="2"/>
  <c r="V248" i="2"/>
  <c r="Y248" i="2"/>
  <c r="AS248" i="2"/>
  <c r="AH248" i="2"/>
  <c r="AL248" i="2"/>
  <c r="R248" i="2"/>
  <c r="AA248" i="2"/>
  <c r="AK248" i="2"/>
  <c r="BA248" i="2"/>
  <c r="Z248" i="2"/>
  <c r="AP248" i="2"/>
  <c r="AD248" i="2"/>
  <c r="W248" i="2"/>
  <c r="S248" i="2"/>
  <c r="AM248" i="2"/>
  <c r="AT248" i="2"/>
  <c r="AI248" i="2"/>
  <c r="AY248" i="2"/>
  <c r="AB248" i="2"/>
  <c r="AR248" i="2"/>
  <c r="AF248" i="2"/>
  <c r="AV248" i="2"/>
  <c r="N246" i="2"/>
  <c r="O246" i="2" s="1"/>
  <c r="L247" i="2"/>
  <c r="N247" i="2" s="1"/>
  <c r="O247" i="2" s="1"/>
  <c r="H248" i="2"/>
  <c r="AQ248" i="2"/>
  <c r="T248" i="2"/>
  <c r="AJ248" i="2"/>
  <c r="AZ248" i="2"/>
  <c r="AX248" i="2"/>
  <c r="AE248" i="2"/>
  <c r="AU248" i="2"/>
  <c r="X248" i="2"/>
  <c r="AN248" i="2"/>
  <c r="B250" i="2"/>
  <c r="P249" i="2"/>
  <c r="M249" i="2" s="1"/>
  <c r="J249" i="2"/>
  <c r="I249" i="2"/>
  <c r="K249" i="2" l="1"/>
  <c r="AK249" i="2"/>
  <c r="D250" i="2"/>
  <c r="C250" i="2"/>
  <c r="Z249" i="2"/>
  <c r="U249" i="2"/>
  <c r="AP249" i="2"/>
  <c r="BA249" i="2"/>
  <c r="W249" i="2"/>
  <c r="AM249" i="2"/>
  <c r="AV249" i="2"/>
  <c r="L248" i="2"/>
  <c r="Y249" i="2"/>
  <c r="AO249" i="2"/>
  <c r="H249" i="2"/>
  <c r="AD249" i="2"/>
  <c r="AT249" i="2"/>
  <c r="AA249" i="2"/>
  <c r="AQ249" i="2"/>
  <c r="T249" i="2"/>
  <c r="AJ249" i="2"/>
  <c r="AZ249" i="2"/>
  <c r="AF249" i="2"/>
  <c r="AC249" i="2"/>
  <c r="AS249" i="2"/>
  <c r="R249" i="2"/>
  <c r="AH249" i="2"/>
  <c r="AX249" i="2"/>
  <c r="AE249" i="2"/>
  <c r="AU249" i="2"/>
  <c r="X249" i="2"/>
  <c r="AN249" i="2"/>
  <c r="B251" i="2"/>
  <c r="P250" i="2"/>
  <c r="M250" i="2" s="1"/>
  <c r="J250" i="2"/>
  <c r="I250" i="2"/>
  <c r="Q249" i="2"/>
  <c r="AG249" i="2"/>
  <c r="AW249" i="2"/>
  <c r="V249" i="2"/>
  <c r="AL249" i="2"/>
  <c r="S249" i="2"/>
  <c r="AI249" i="2"/>
  <c r="AY249" i="2"/>
  <c r="AB249" i="2"/>
  <c r="AR249" i="2"/>
  <c r="K250" i="2" l="1"/>
  <c r="U250" i="2"/>
  <c r="AK250" i="2"/>
  <c r="D251" i="2"/>
  <c r="C251" i="2"/>
  <c r="Z250" i="2"/>
  <c r="AP250" i="2"/>
  <c r="AM250" i="2"/>
  <c r="BA250" i="2"/>
  <c r="W250" i="2"/>
  <c r="Y250" i="2"/>
  <c r="AO250" i="2"/>
  <c r="H250" i="2"/>
  <c r="AD250" i="2"/>
  <c r="AT250" i="2"/>
  <c r="AA250" i="2"/>
  <c r="AQ250" i="2"/>
  <c r="T250" i="2"/>
  <c r="AJ250" i="2"/>
  <c r="AZ250" i="2"/>
  <c r="N248" i="2"/>
  <c r="O248" i="2" s="1"/>
  <c r="AV250" i="2"/>
  <c r="L249" i="2"/>
  <c r="AC250" i="2"/>
  <c r="AS250" i="2"/>
  <c r="R250" i="2"/>
  <c r="AH250" i="2"/>
  <c r="AX250" i="2"/>
  <c r="AE250" i="2"/>
  <c r="AU250" i="2"/>
  <c r="X250" i="2"/>
  <c r="AN250" i="2"/>
  <c r="B252" i="2"/>
  <c r="P251" i="2"/>
  <c r="M251" i="2" s="1"/>
  <c r="J251" i="2"/>
  <c r="I251" i="2"/>
  <c r="AF250" i="2"/>
  <c r="Q250" i="2"/>
  <c r="AG250" i="2"/>
  <c r="AW250" i="2"/>
  <c r="V250" i="2"/>
  <c r="AL250" i="2"/>
  <c r="S250" i="2"/>
  <c r="AI250" i="2"/>
  <c r="AY250" i="2"/>
  <c r="AB250" i="2"/>
  <c r="AR250" i="2"/>
  <c r="K251" i="2" l="1"/>
  <c r="Q251" i="2"/>
  <c r="BA251" i="2"/>
  <c r="AC251" i="2"/>
  <c r="U251" i="2"/>
  <c r="AT251" i="2"/>
  <c r="AS251" i="2"/>
  <c r="V251" i="2"/>
  <c r="AK251" i="2"/>
  <c r="AD251" i="2"/>
  <c r="Y251" i="2"/>
  <c r="AO251" i="2"/>
  <c r="R251" i="2"/>
  <c r="AH251" i="2"/>
  <c r="S251" i="2"/>
  <c r="D252" i="2"/>
  <c r="C252" i="2"/>
  <c r="AL251" i="2"/>
  <c r="W251" i="2"/>
  <c r="AG251" i="2"/>
  <c r="AW251" i="2"/>
  <c r="Z251" i="2"/>
  <c r="AP251" i="2"/>
  <c r="AA251" i="2"/>
  <c r="T251" i="2"/>
  <c r="AX251" i="2"/>
  <c r="AQ251" i="2"/>
  <c r="AM251" i="2"/>
  <c r="AJ251" i="2"/>
  <c r="AZ251" i="2"/>
  <c r="N249" i="2"/>
  <c r="O249" i="2" s="1"/>
  <c r="H251" i="2"/>
  <c r="AE251" i="2"/>
  <c r="AU251" i="2"/>
  <c r="X251" i="2"/>
  <c r="AN251" i="2"/>
  <c r="B253" i="2"/>
  <c r="P252" i="2"/>
  <c r="M252" i="2" s="1"/>
  <c r="J252" i="2"/>
  <c r="I252" i="2"/>
  <c r="AI251" i="2"/>
  <c r="AY251" i="2"/>
  <c r="AB251" i="2"/>
  <c r="AR251" i="2"/>
  <c r="AF251" i="2"/>
  <c r="AV251" i="2"/>
  <c r="L250" i="2"/>
  <c r="N250" i="2" s="1"/>
  <c r="O250" i="2" s="1"/>
  <c r="K252" i="2" l="1"/>
  <c r="Y252" i="2"/>
  <c r="AC252" i="2"/>
  <c r="AS252" i="2"/>
  <c r="C253" i="2"/>
  <c r="D253" i="2"/>
  <c r="AG252" i="2"/>
  <c r="Q252" i="2"/>
  <c r="BA252" i="2"/>
  <c r="U252" i="2"/>
  <c r="AK252" i="2"/>
  <c r="AD252" i="2"/>
  <c r="AO252" i="2"/>
  <c r="AW252" i="2"/>
  <c r="Z252" i="2"/>
  <c r="AT252" i="2"/>
  <c r="AH252" i="2"/>
  <c r="R252" i="2"/>
  <c r="AP252" i="2"/>
  <c r="V252" i="2"/>
  <c r="AL252" i="2"/>
  <c r="W252" i="2"/>
  <c r="AY252" i="2"/>
  <c r="AA252" i="2"/>
  <c r="S252" i="2"/>
  <c r="AI252" i="2"/>
  <c r="AX252" i="2"/>
  <c r="AE252" i="2"/>
  <c r="AM252" i="2"/>
  <c r="T252" i="2"/>
  <c r="AQ252" i="2"/>
  <c r="AJ252" i="2"/>
  <c r="AZ252" i="2"/>
  <c r="AU252" i="2"/>
  <c r="X252" i="2"/>
  <c r="AN252" i="2"/>
  <c r="B254" i="2"/>
  <c r="P253" i="2"/>
  <c r="M253" i="2" s="1"/>
  <c r="J253" i="2"/>
  <c r="I253" i="2"/>
  <c r="H252" i="2"/>
  <c r="AB252" i="2"/>
  <c r="AR252" i="2"/>
  <c r="L251" i="2"/>
  <c r="N251" i="2" s="1"/>
  <c r="AF252" i="2"/>
  <c r="AV252" i="2"/>
  <c r="K253" i="2" l="1"/>
  <c r="AK253" i="2"/>
  <c r="U253" i="2"/>
  <c r="BA253" i="2"/>
  <c r="AD253" i="2"/>
  <c r="S253" i="2"/>
  <c r="Y253" i="2"/>
  <c r="AO253" i="2"/>
  <c r="R253" i="2"/>
  <c r="AH253" i="2"/>
  <c r="AE253" i="2"/>
  <c r="AC253" i="2"/>
  <c r="V253" i="2"/>
  <c r="AL253" i="2"/>
  <c r="AI253" i="2"/>
  <c r="AS253" i="2"/>
  <c r="Q253" i="2"/>
  <c r="AG253" i="2"/>
  <c r="AW253" i="2"/>
  <c r="Z253" i="2"/>
  <c r="AX253" i="2"/>
  <c r="AU253" i="2"/>
  <c r="D254" i="2"/>
  <c r="C254" i="2"/>
  <c r="AT253" i="2"/>
  <c r="AA253" i="2"/>
  <c r="AQ253" i="2"/>
  <c r="AP253" i="2"/>
  <c r="W253" i="2"/>
  <c r="AM253" i="2"/>
  <c r="T253" i="2"/>
  <c r="X253" i="2"/>
  <c r="O251" i="2"/>
  <c r="AN253" i="2"/>
  <c r="B255" i="2"/>
  <c r="P254" i="2"/>
  <c r="M254" i="2" s="1"/>
  <c r="J254" i="2"/>
  <c r="I254" i="2"/>
  <c r="AY253" i="2"/>
  <c r="AB253" i="2"/>
  <c r="AR253" i="2"/>
  <c r="AF253" i="2"/>
  <c r="AV253" i="2"/>
  <c r="L252" i="2"/>
  <c r="H253" i="2"/>
  <c r="AJ253" i="2"/>
  <c r="AZ253" i="2"/>
  <c r="K254" i="2" l="1"/>
  <c r="AC254" i="2"/>
  <c r="D255" i="2"/>
  <c r="C255" i="2"/>
  <c r="AS254" i="2"/>
  <c r="R254" i="2"/>
  <c r="Q254" i="2"/>
  <c r="AG254" i="2"/>
  <c r="AW254" i="2"/>
  <c r="V254" i="2"/>
  <c r="U254" i="2"/>
  <c r="BA254" i="2"/>
  <c r="AD254" i="2"/>
  <c r="AK254" i="2"/>
  <c r="Y254" i="2"/>
  <c r="AO254" i="2"/>
  <c r="AL254" i="2"/>
  <c r="S254" i="2"/>
  <c r="Z254" i="2"/>
  <c r="AT254" i="2"/>
  <c r="AH254" i="2"/>
  <c r="AA254" i="2"/>
  <c r="AP254" i="2"/>
  <c r="W254" i="2"/>
  <c r="AX254" i="2"/>
  <c r="AM254" i="2"/>
  <c r="AQ254" i="2"/>
  <c r="AI254" i="2"/>
  <c r="AY254" i="2"/>
  <c r="AB254" i="2"/>
  <c r="AR254" i="2"/>
  <c r="AF254" i="2"/>
  <c r="AV254" i="2"/>
  <c r="N252" i="2"/>
  <c r="O252" i="2" s="1"/>
  <c r="H254" i="2"/>
  <c r="T254" i="2"/>
  <c r="AJ254" i="2"/>
  <c r="AZ254" i="2"/>
  <c r="L253" i="2"/>
  <c r="AE254" i="2"/>
  <c r="AU254" i="2"/>
  <c r="X254" i="2"/>
  <c r="AN254" i="2"/>
  <c r="B256" i="2"/>
  <c r="P255" i="2"/>
  <c r="M255" i="2" s="1"/>
  <c r="J255" i="2"/>
  <c r="I255" i="2"/>
  <c r="K255" i="2" l="1"/>
  <c r="AK255" i="2"/>
  <c r="D256" i="2"/>
  <c r="C256" i="2"/>
  <c r="BA255" i="2"/>
  <c r="U255" i="2"/>
  <c r="AD255" i="2"/>
  <c r="W255" i="2"/>
  <c r="Y255" i="2"/>
  <c r="AO255" i="2"/>
  <c r="AL255" i="2"/>
  <c r="AA255" i="2"/>
  <c r="AS255" i="2"/>
  <c r="AP255" i="2"/>
  <c r="AM255" i="2"/>
  <c r="AC255" i="2"/>
  <c r="V255" i="2"/>
  <c r="Q255" i="2"/>
  <c r="AG255" i="2"/>
  <c r="AW255" i="2"/>
  <c r="Z255" i="2"/>
  <c r="AT255" i="2"/>
  <c r="AQ255" i="2"/>
  <c r="N253" i="2"/>
  <c r="O253" i="2" s="1"/>
  <c r="S255" i="2"/>
  <c r="AI255" i="2"/>
  <c r="AY255" i="2"/>
  <c r="AB255" i="2"/>
  <c r="AR255" i="2"/>
  <c r="AF255" i="2"/>
  <c r="AV255" i="2"/>
  <c r="H255" i="2"/>
  <c r="T255" i="2"/>
  <c r="AJ255" i="2"/>
  <c r="AZ255" i="2"/>
  <c r="L254" i="2"/>
  <c r="R255" i="2"/>
  <c r="AH255" i="2"/>
  <c r="AX255" i="2"/>
  <c r="AE255" i="2"/>
  <c r="AU255" i="2"/>
  <c r="X255" i="2"/>
  <c r="AN255" i="2"/>
  <c r="B257" i="2"/>
  <c r="P256" i="2"/>
  <c r="M256" i="2" s="1"/>
  <c r="J256" i="2"/>
  <c r="I256" i="2"/>
  <c r="K256" i="2" l="1"/>
  <c r="C257" i="2"/>
  <c r="D257" i="2"/>
  <c r="AL256" i="2"/>
  <c r="AG256" i="2"/>
  <c r="AW256" i="2"/>
  <c r="S256" i="2"/>
  <c r="Q256" i="2"/>
  <c r="V256" i="2"/>
  <c r="AQ256" i="2"/>
  <c r="AI256" i="2"/>
  <c r="Y256" i="2"/>
  <c r="AO256" i="2"/>
  <c r="AD256" i="2"/>
  <c r="AT256" i="2"/>
  <c r="AA256" i="2"/>
  <c r="AC256" i="2"/>
  <c r="AS256" i="2"/>
  <c r="R256" i="2"/>
  <c r="AH256" i="2"/>
  <c r="AX256" i="2"/>
  <c r="AE256" i="2"/>
  <c r="AU256" i="2"/>
  <c r="U256" i="2"/>
  <c r="AK256" i="2"/>
  <c r="BA256" i="2"/>
  <c r="Z256" i="2"/>
  <c r="AP256" i="2"/>
  <c r="W256" i="2"/>
  <c r="AM256" i="2"/>
  <c r="X256" i="2"/>
  <c r="AB256" i="2"/>
  <c r="AR256" i="2"/>
  <c r="AY256" i="2"/>
  <c r="AN256" i="2"/>
  <c r="H256" i="2"/>
  <c r="T256" i="2"/>
  <c r="AJ256" i="2"/>
  <c r="AZ256" i="2"/>
  <c r="B258" i="2"/>
  <c r="P257" i="2"/>
  <c r="M257" i="2" s="1"/>
  <c r="J257" i="2"/>
  <c r="I257" i="2"/>
  <c r="N254" i="2"/>
  <c r="O254" i="2" s="1"/>
  <c r="AF256" i="2"/>
  <c r="AV256" i="2"/>
  <c r="L255" i="2"/>
  <c r="K257" i="2" l="1"/>
  <c r="AS257" i="2"/>
  <c r="D258" i="2"/>
  <c r="C258" i="2"/>
  <c r="AY257" i="2"/>
  <c r="AD257" i="2"/>
  <c r="AO257" i="2"/>
  <c r="AH257" i="2"/>
  <c r="Y257" i="2"/>
  <c r="AX257" i="2"/>
  <c r="AC257" i="2"/>
  <c r="R257" i="2"/>
  <c r="S257" i="2"/>
  <c r="Q257" i="2"/>
  <c r="AG257" i="2"/>
  <c r="AW257" i="2"/>
  <c r="V257" i="2"/>
  <c r="AL257" i="2"/>
  <c r="AE257" i="2"/>
  <c r="U257" i="2"/>
  <c r="AK257" i="2"/>
  <c r="BA257" i="2"/>
  <c r="Z257" i="2"/>
  <c r="AT257" i="2"/>
  <c r="AI257" i="2"/>
  <c r="AA257" i="2"/>
  <c r="AQ257" i="2"/>
  <c r="N255" i="2"/>
  <c r="O255" i="2" s="1"/>
  <c r="AP257" i="2"/>
  <c r="W257" i="2"/>
  <c r="AM257" i="2"/>
  <c r="H257" i="2"/>
  <c r="T257" i="2"/>
  <c r="AJ257" i="2"/>
  <c r="AZ257" i="2"/>
  <c r="AU257" i="2"/>
  <c r="X257" i="2"/>
  <c r="AN257" i="2"/>
  <c r="B259" i="2"/>
  <c r="P258" i="2"/>
  <c r="M258" i="2" s="1"/>
  <c r="J258" i="2"/>
  <c r="I258" i="2"/>
  <c r="L256" i="2"/>
  <c r="N256" i="2" s="1"/>
  <c r="AB257" i="2"/>
  <c r="AR257" i="2"/>
  <c r="AF257" i="2"/>
  <c r="AV257" i="2"/>
  <c r="K258" i="2" l="1"/>
  <c r="D259" i="2"/>
  <c r="C259" i="2"/>
  <c r="AC258" i="2"/>
  <c r="AG258" i="2"/>
  <c r="AS258" i="2"/>
  <c r="AL258" i="2"/>
  <c r="V258" i="2"/>
  <c r="Q258" i="2"/>
  <c r="AW258" i="2"/>
  <c r="W258" i="2"/>
  <c r="U258" i="2"/>
  <c r="AK258" i="2"/>
  <c r="BA258" i="2"/>
  <c r="Z258" i="2"/>
  <c r="AP258" i="2"/>
  <c r="AA258" i="2"/>
  <c r="Y258" i="2"/>
  <c r="AO258" i="2"/>
  <c r="AD258" i="2"/>
  <c r="AT258" i="2"/>
  <c r="AM258" i="2"/>
  <c r="R258" i="2"/>
  <c r="AH258" i="2"/>
  <c r="S258" i="2"/>
  <c r="AQ258" i="2"/>
  <c r="O256" i="2"/>
  <c r="AI258" i="2"/>
  <c r="AY258" i="2"/>
  <c r="AB258" i="2"/>
  <c r="AR258" i="2"/>
  <c r="AF258" i="2"/>
  <c r="AV258" i="2"/>
  <c r="H258" i="2"/>
  <c r="T258" i="2"/>
  <c r="AJ258" i="2"/>
  <c r="AZ258" i="2"/>
  <c r="L257" i="2"/>
  <c r="AX258" i="2"/>
  <c r="AE258" i="2"/>
  <c r="AU258" i="2"/>
  <c r="X258" i="2"/>
  <c r="AN258" i="2"/>
  <c r="B260" i="2"/>
  <c r="P259" i="2"/>
  <c r="M259" i="2" s="1"/>
  <c r="J259" i="2"/>
  <c r="I259" i="2"/>
  <c r="K259" i="2" l="1"/>
  <c r="AO259" i="2"/>
  <c r="D260" i="2"/>
  <c r="C260" i="2"/>
  <c r="AW259" i="2"/>
  <c r="AC259" i="2"/>
  <c r="Z259" i="2"/>
  <c r="Q259" i="2"/>
  <c r="Y259" i="2"/>
  <c r="AS259" i="2"/>
  <c r="W259" i="2"/>
  <c r="AG259" i="2"/>
  <c r="U259" i="2"/>
  <c r="AK259" i="2"/>
  <c r="V259" i="2"/>
  <c r="AA259" i="2"/>
  <c r="BA259" i="2"/>
  <c r="AD259" i="2"/>
  <c r="AT259" i="2"/>
  <c r="AQ259" i="2"/>
  <c r="AP259" i="2"/>
  <c r="AM259" i="2"/>
  <c r="AL259" i="2"/>
  <c r="S259" i="2"/>
  <c r="AI259" i="2"/>
  <c r="AY259" i="2"/>
  <c r="AB259" i="2"/>
  <c r="AR259" i="2"/>
  <c r="AF259" i="2"/>
  <c r="AV259" i="2"/>
  <c r="T259" i="2"/>
  <c r="AJ259" i="2"/>
  <c r="AZ259" i="2"/>
  <c r="N257" i="2"/>
  <c r="O257" i="2" s="1"/>
  <c r="H259" i="2"/>
  <c r="R259" i="2"/>
  <c r="AH259" i="2"/>
  <c r="AX259" i="2"/>
  <c r="AE259" i="2"/>
  <c r="AU259" i="2"/>
  <c r="X259" i="2"/>
  <c r="AN259" i="2"/>
  <c r="B261" i="2"/>
  <c r="P260" i="2"/>
  <c r="M260" i="2" s="1"/>
  <c r="J260" i="2"/>
  <c r="I260" i="2"/>
  <c r="L258" i="2"/>
  <c r="N258" i="2" s="1"/>
  <c r="O258" i="2" s="1"/>
  <c r="K260" i="2" l="1"/>
  <c r="AS260" i="2"/>
  <c r="R260" i="2"/>
  <c r="C261" i="2"/>
  <c r="D261" i="2"/>
  <c r="AC260" i="2"/>
  <c r="AH260" i="2"/>
  <c r="AX260" i="2"/>
  <c r="AE260" i="2"/>
  <c r="Q260" i="2"/>
  <c r="AG260" i="2"/>
  <c r="AL260" i="2"/>
  <c r="AI260" i="2"/>
  <c r="U260" i="2"/>
  <c r="AK260" i="2"/>
  <c r="BA260" i="2"/>
  <c r="Z260" i="2"/>
  <c r="AP260" i="2"/>
  <c r="W260" i="2"/>
  <c r="AM260" i="2"/>
  <c r="AW260" i="2"/>
  <c r="V260" i="2"/>
  <c r="S260" i="2"/>
  <c r="X260" i="2"/>
  <c r="Y260" i="2"/>
  <c r="AO260" i="2"/>
  <c r="AD260" i="2"/>
  <c r="AT260" i="2"/>
  <c r="AA260" i="2"/>
  <c r="AQ260" i="2"/>
  <c r="AU260" i="2"/>
  <c r="AB260" i="2"/>
  <c r="AY260" i="2"/>
  <c r="AN260" i="2"/>
  <c r="AR260" i="2"/>
  <c r="H260" i="2"/>
  <c r="T260" i="2"/>
  <c r="AJ260" i="2"/>
  <c r="AZ260" i="2"/>
  <c r="B262" i="2"/>
  <c r="P261" i="2"/>
  <c r="M261" i="2" s="1"/>
  <c r="J261" i="2"/>
  <c r="I261" i="2"/>
  <c r="L259" i="2"/>
  <c r="AF260" i="2"/>
  <c r="AV260" i="2"/>
  <c r="K261" i="2" l="1"/>
  <c r="Q261" i="2"/>
  <c r="AC261" i="2"/>
  <c r="AG261" i="2"/>
  <c r="S261" i="2"/>
  <c r="U261" i="2"/>
  <c r="AK261" i="2"/>
  <c r="Y261" i="2"/>
  <c r="AS261" i="2"/>
  <c r="D262" i="2"/>
  <c r="C262" i="2"/>
  <c r="AL261" i="2"/>
  <c r="V261" i="2"/>
  <c r="AO261" i="2"/>
  <c r="R261" i="2"/>
  <c r="AX261" i="2"/>
  <c r="AW261" i="2"/>
  <c r="AH261" i="2"/>
  <c r="AI261" i="2"/>
  <c r="BA261" i="2"/>
  <c r="Z261" i="2"/>
  <c r="AP261" i="2"/>
  <c r="W261" i="2"/>
  <c r="AD261" i="2"/>
  <c r="AT261" i="2"/>
  <c r="AE261" i="2"/>
  <c r="AM261" i="2"/>
  <c r="T261" i="2"/>
  <c r="AA261" i="2"/>
  <c r="AQ261" i="2"/>
  <c r="AU261" i="2"/>
  <c r="AJ261" i="2"/>
  <c r="X261" i="2"/>
  <c r="AF261" i="2"/>
  <c r="AV261" i="2"/>
  <c r="H261" i="2"/>
  <c r="AZ261" i="2"/>
  <c r="AN261" i="2"/>
  <c r="B263" i="2"/>
  <c r="P262" i="2"/>
  <c r="M262" i="2" s="1"/>
  <c r="J262" i="2"/>
  <c r="I262" i="2"/>
  <c r="L260" i="2"/>
  <c r="N259" i="2"/>
  <c r="O259" i="2" s="1"/>
  <c r="AY261" i="2"/>
  <c r="AB261" i="2"/>
  <c r="AR261" i="2"/>
  <c r="K262" i="2" l="1"/>
  <c r="AC262" i="2"/>
  <c r="AS262" i="2"/>
  <c r="V262" i="2"/>
  <c r="Q262" i="2"/>
  <c r="AG262" i="2"/>
  <c r="AW262" i="2"/>
  <c r="Z262" i="2"/>
  <c r="AK262" i="2"/>
  <c r="AL262" i="2"/>
  <c r="U262" i="2"/>
  <c r="BA262" i="2"/>
  <c r="Y262" i="2"/>
  <c r="AO262" i="2"/>
  <c r="R262" i="2"/>
  <c r="AP262" i="2"/>
  <c r="AD262" i="2"/>
  <c r="AX262" i="2"/>
  <c r="AH262" i="2"/>
  <c r="W262" i="2"/>
  <c r="D263" i="2"/>
  <c r="C263" i="2"/>
  <c r="AT262" i="2"/>
  <c r="AE262" i="2"/>
  <c r="AY262" i="2"/>
  <c r="AA262" i="2"/>
  <c r="AM262" i="2"/>
  <c r="S262" i="2"/>
  <c r="AI262" i="2"/>
  <c r="N260" i="2"/>
  <c r="O260" i="2" s="1"/>
  <c r="AU262" i="2"/>
  <c r="X262" i="2"/>
  <c r="AN262" i="2"/>
  <c r="B264" i="2"/>
  <c r="P263" i="2"/>
  <c r="M263" i="2" s="1"/>
  <c r="J263" i="2"/>
  <c r="I263" i="2"/>
  <c r="AB262" i="2"/>
  <c r="AR262" i="2"/>
  <c r="AF262" i="2"/>
  <c r="AV262" i="2"/>
  <c r="H262" i="2"/>
  <c r="AQ262" i="2"/>
  <c r="T262" i="2"/>
  <c r="AJ262" i="2"/>
  <c r="AZ262" i="2"/>
  <c r="L261" i="2"/>
  <c r="N261" i="2" s="1"/>
  <c r="K263" i="2" l="1"/>
  <c r="AS263" i="2"/>
  <c r="AH263" i="2"/>
  <c r="AC263" i="2"/>
  <c r="AX263" i="2"/>
  <c r="R263" i="2"/>
  <c r="D264" i="2"/>
  <c r="C264" i="2"/>
  <c r="AE263" i="2"/>
  <c r="Q263" i="2"/>
  <c r="AG263" i="2"/>
  <c r="AW263" i="2"/>
  <c r="V263" i="2"/>
  <c r="AL263" i="2"/>
  <c r="S263" i="2"/>
  <c r="AI263" i="2"/>
  <c r="AJ263" i="2"/>
  <c r="U263" i="2"/>
  <c r="AK263" i="2"/>
  <c r="BA263" i="2"/>
  <c r="Z263" i="2"/>
  <c r="AP263" i="2"/>
  <c r="W263" i="2"/>
  <c r="AM263" i="2"/>
  <c r="Y263" i="2"/>
  <c r="AO263" i="2"/>
  <c r="AD263" i="2"/>
  <c r="AT263" i="2"/>
  <c r="AA263" i="2"/>
  <c r="AQ263" i="2"/>
  <c r="AU263" i="2"/>
  <c r="O261" i="2"/>
  <c r="T263" i="2"/>
  <c r="AF263" i="2"/>
  <c r="AV263" i="2"/>
  <c r="H263" i="2"/>
  <c r="AZ263" i="2"/>
  <c r="X263" i="2"/>
  <c r="AN263" i="2"/>
  <c r="B265" i="2"/>
  <c r="P264" i="2"/>
  <c r="M264" i="2" s="1"/>
  <c r="J264" i="2"/>
  <c r="I264" i="2"/>
  <c r="L262" i="2"/>
  <c r="N262" i="2" s="1"/>
  <c r="O262" i="2" s="1"/>
  <c r="AY263" i="2"/>
  <c r="AB263" i="2"/>
  <c r="AR263" i="2"/>
  <c r="K264" i="2" l="1"/>
  <c r="AK264" i="2"/>
  <c r="U264" i="2"/>
  <c r="Y264" i="2"/>
  <c r="AC264" i="2"/>
  <c r="AO264" i="2"/>
  <c r="BA264" i="2"/>
  <c r="C265" i="2"/>
  <c r="D265" i="2"/>
  <c r="AS264" i="2"/>
  <c r="Z264" i="2"/>
  <c r="AP264" i="2"/>
  <c r="R264" i="2"/>
  <c r="AD264" i="2"/>
  <c r="AH264" i="2"/>
  <c r="S264" i="2"/>
  <c r="AM264" i="2"/>
  <c r="AT264" i="2"/>
  <c r="AI264" i="2"/>
  <c r="Q264" i="2"/>
  <c r="AG264" i="2"/>
  <c r="AW264" i="2"/>
  <c r="V264" i="2"/>
  <c r="AL264" i="2"/>
  <c r="W264" i="2"/>
  <c r="AX264" i="2"/>
  <c r="AE264" i="2"/>
  <c r="AU264" i="2"/>
  <c r="X264" i="2"/>
  <c r="AN264" i="2"/>
  <c r="B266" i="2"/>
  <c r="P265" i="2"/>
  <c r="M265" i="2" s="1"/>
  <c r="J265" i="2"/>
  <c r="I265" i="2"/>
  <c r="L263" i="2"/>
  <c r="AY264" i="2"/>
  <c r="AB264" i="2"/>
  <c r="AR264" i="2"/>
  <c r="AF264" i="2"/>
  <c r="AV264" i="2"/>
  <c r="H264" i="2"/>
  <c r="AA264" i="2"/>
  <c r="AQ264" i="2"/>
  <c r="T264" i="2"/>
  <c r="AJ264" i="2"/>
  <c r="AZ264" i="2"/>
  <c r="BA265" i="2" l="1"/>
  <c r="K265" i="2"/>
  <c r="U265" i="2"/>
  <c r="AC265" i="2"/>
  <c r="AP265" i="2"/>
  <c r="R265" i="2"/>
  <c r="AS265" i="2"/>
  <c r="AH265" i="2"/>
  <c r="AE265" i="2"/>
  <c r="AX265" i="2"/>
  <c r="AK265" i="2"/>
  <c r="Z265" i="2"/>
  <c r="W265" i="2"/>
  <c r="D266" i="2"/>
  <c r="C266" i="2"/>
  <c r="AU265" i="2"/>
  <c r="AM265" i="2"/>
  <c r="Q265" i="2"/>
  <c r="AG265" i="2"/>
  <c r="AW265" i="2"/>
  <c r="V265" i="2"/>
  <c r="AL265" i="2"/>
  <c r="S265" i="2"/>
  <c r="AI265" i="2"/>
  <c r="AY265" i="2"/>
  <c r="Y265" i="2"/>
  <c r="AO265" i="2"/>
  <c r="AD265" i="2"/>
  <c r="AT265" i="2"/>
  <c r="AA265" i="2"/>
  <c r="AQ265" i="2"/>
  <c r="AF265" i="2"/>
  <c r="AV265" i="2"/>
  <c r="H265" i="2"/>
  <c r="T265" i="2"/>
  <c r="AJ265" i="2"/>
  <c r="AZ265" i="2"/>
  <c r="L264" i="2"/>
  <c r="N263" i="2"/>
  <c r="O263" i="2" s="1"/>
  <c r="X265" i="2"/>
  <c r="AN265" i="2"/>
  <c r="B267" i="2"/>
  <c r="P266" i="2"/>
  <c r="M266" i="2" s="1"/>
  <c r="J266" i="2"/>
  <c r="I266" i="2"/>
  <c r="AB265" i="2"/>
  <c r="AR265" i="2"/>
  <c r="K266" i="2" l="1"/>
  <c r="AC266" i="2"/>
  <c r="Q266" i="2"/>
  <c r="U266" i="2"/>
  <c r="Z266" i="2"/>
  <c r="AG266" i="2"/>
  <c r="AW266" i="2"/>
  <c r="AS266" i="2"/>
  <c r="V266" i="2"/>
  <c r="AI266" i="2"/>
  <c r="BA266" i="2"/>
  <c r="AK266" i="2"/>
  <c r="AH266" i="2"/>
  <c r="Y266" i="2"/>
  <c r="AO266" i="2"/>
  <c r="R266" i="2"/>
  <c r="AL266" i="2"/>
  <c r="AX266" i="2"/>
  <c r="S266" i="2"/>
  <c r="D267" i="2"/>
  <c r="C267" i="2"/>
  <c r="AE266" i="2"/>
  <c r="AD266" i="2"/>
  <c r="AT266" i="2"/>
  <c r="AA266" i="2"/>
  <c r="AQ266" i="2"/>
  <c r="AY266" i="2"/>
  <c r="AP266" i="2"/>
  <c r="W266" i="2"/>
  <c r="AM266" i="2"/>
  <c r="AB266" i="2"/>
  <c r="AU266" i="2"/>
  <c r="T266" i="2"/>
  <c r="X266" i="2"/>
  <c r="AN266" i="2"/>
  <c r="H266" i="2"/>
  <c r="AJ266" i="2"/>
  <c r="AZ266" i="2"/>
  <c r="B268" i="2"/>
  <c r="P267" i="2"/>
  <c r="M267" i="2" s="1"/>
  <c r="J267" i="2"/>
  <c r="I267" i="2"/>
  <c r="AR266" i="2"/>
  <c r="N264" i="2"/>
  <c r="O264" i="2" s="1"/>
  <c r="AF266" i="2"/>
  <c r="AV266" i="2"/>
  <c r="L265" i="2"/>
  <c r="K267" i="2" l="1"/>
  <c r="AS267" i="2"/>
  <c r="Z267" i="2"/>
  <c r="AC267" i="2"/>
  <c r="AG267" i="2"/>
  <c r="AD267" i="2"/>
  <c r="U267" i="2"/>
  <c r="AK267" i="2"/>
  <c r="BA267" i="2"/>
  <c r="AT267" i="2"/>
  <c r="Q267" i="2"/>
  <c r="AW267" i="2"/>
  <c r="Y267" i="2"/>
  <c r="AO267" i="2"/>
  <c r="V267" i="2"/>
  <c r="AA267" i="2"/>
  <c r="AL267" i="2"/>
  <c r="D268" i="2"/>
  <c r="C268" i="2"/>
  <c r="AP267" i="2"/>
  <c r="AE267" i="2"/>
  <c r="R267" i="2"/>
  <c r="AH267" i="2"/>
  <c r="S267" i="2"/>
  <c r="AX267" i="2"/>
  <c r="AQ267" i="2"/>
  <c r="AI267" i="2"/>
  <c r="T267" i="2"/>
  <c r="W267" i="2"/>
  <c r="AM267" i="2"/>
  <c r="AF267" i="2"/>
  <c r="AV267" i="2"/>
  <c r="H267" i="2"/>
  <c r="AJ267" i="2"/>
  <c r="AZ267" i="2"/>
  <c r="L266" i="2"/>
  <c r="N266" i="2" s="1"/>
  <c r="N265" i="2"/>
  <c r="O265" i="2" s="1"/>
  <c r="AU267" i="2"/>
  <c r="X267" i="2"/>
  <c r="AN267" i="2"/>
  <c r="B269" i="2"/>
  <c r="P268" i="2"/>
  <c r="M268" i="2" s="1"/>
  <c r="J268" i="2"/>
  <c r="I268" i="2"/>
  <c r="AY267" i="2"/>
  <c r="AB267" i="2"/>
  <c r="AR267" i="2"/>
  <c r="K268" i="2" l="1"/>
  <c r="Q268" i="2"/>
  <c r="AK268" i="2"/>
  <c r="AW268" i="2"/>
  <c r="AG268" i="2"/>
  <c r="AL268" i="2"/>
  <c r="U268" i="2"/>
  <c r="BA268" i="2"/>
  <c r="Z268" i="2"/>
  <c r="D269" i="2"/>
  <c r="C269" i="2"/>
  <c r="S268" i="2"/>
  <c r="AI268" i="2"/>
  <c r="AB268" i="2"/>
  <c r="V268" i="2"/>
  <c r="W268" i="2"/>
  <c r="AP268" i="2"/>
  <c r="AM268" i="2"/>
  <c r="AY268" i="2"/>
  <c r="AJ268" i="2"/>
  <c r="Y268" i="2"/>
  <c r="AO268" i="2"/>
  <c r="AD268" i="2"/>
  <c r="AT268" i="2"/>
  <c r="AA268" i="2"/>
  <c r="AQ268" i="2"/>
  <c r="T268" i="2"/>
  <c r="AN268" i="2"/>
  <c r="AC268" i="2"/>
  <c r="AS268" i="2"/>
  <c r="R268" i="2"/>
  <c r="AH268" i="2"/>
  <c r="AX268" i="2"/>
  <c r="AE268" i="2"/>
  <c r="AU268" i="2"/>
  <c r="X268" i="2"/>
  <c r="AR268" i="2"/>
  <c r="AZ268" i="2"/>
  <c r="O266" i="2"/>
  <c r="B270" i="2"/>
  <c r="P269" i="2"/>
  <c r="M269" i="2" s="1"/>
  <c r="J269" i="2"/>
  <c r="I269" i="2"/>
  <c r="H268" i="2"/>
  <c r="AF268" i="2"/>
  <c r="AV268" i="2"/>
  <c r="L267" i="2"/>
  <c r="N267" i="2" s="1"/>
  <c r="O267" i="2" s="1"/>
  <c r="K269" i="2" l="1"/>
  <c r="U269" i="2"/>
  <c r="AG269" i="2"/>
  <c r="D270" i="2"/>
  <c r="C270" i="2"/>
  <c r="AK269" i="2"/>
  <c r="Q269" i="2"/>
  <c r="AW269" i="2"/>
  <c r="BA269" i="2"/>
  <c r="AL269" i="2"/>
  <c r="AM269" i="2"/>
  <c r="Z269" i="2"/>
  <c r="AP269" i="2"/>
  <c r="V269" i="2"/>
  <c r="W269" i="2"/>
  <c r="Y269" i="2"/>
  <c r="AO269" i="2"/>
  <c r="AD269" i="2"/>
  <c r="AT269" i="2"/>
  <c r="AA269" i="2"/>
  <c r="AQ269" i="2"/>
  <c r="X269" i="2"/>
  <c r="AC269" i="2"/>
  <c r="AS269" i="2"/>
  <c r="R269" i="2"/>
  <c r="AH269" i="2"/>
  <c r="AX269" i="2"/>
  <c r="AE269" i="2"/>
  <c r="AU269" i="2"/>
  <c r="AB269" i="2"/>
  <c r="S269" i="2"/>
  <c r="AI269" i="2"/>
  <c r="AY269" i="2"/>
  <c r="H269" i="2"/>
  <c r="T269" i="2"/>
  <c r="AJ269" i="2"/>
  <c r="AZ269" i="2"/>
  <c r="L268" i="2"/>
  <c r="N268" i="2" s="1"/>
  <c r="AN269" i="2"/>
  <c r="B271" i="2"/>
  <c r="P270" i="2"/>
  <c r="M270" i="2" s="1"/>
  <c r="J270" i="2"/>
  <c r="I270" i="2"/>
  <c r="AR269" i="2"/>
  <c r="AF269" i="2"/>
  <c r="AV269" i="2"/>
  <c r="K270" i="2" l="1"/>
  <c r="U270" i="2"/>
  <c r="AO270" i="2"/>
  <c r="Y270" i="2"/>
  <c r="AS270" i="2"/>
  <c r="AC270" i="2"/>
  <c r="Z270" i="2"/>
  <c r="AK270" i="2"/>
  <c r="AT270" i="2"/>
  <c r="BA270" i="2"/>
  <c r="Q270" i="2"/>
  <c r="AG270" i="2"/>
  <c r="AW270" i="2"/>
  <c r="AD270" i="2"/>
  <c r="C271" i="2"/>
  <c r="D271" i="2"/>
  <c r="V270" i="2"/>
  <c r="AI270" i="2"/>
  <c r="AP270" i="2"/>
  <c r="AL270" i="2"/>
  <c r="S270" i="2"/>
  <c r="R270" i="2"/>
  <c r="AH270" i="2"/>
  <c r="AX270" i="2"/>
  <c r="W270" i="2"/>
  <c r="AJ270" i="2"/>
  <c r="AA270" i="2"/>
  <c r="AM270" i="2"/>
  <c r="AQ270" i="2"/>
  <c r="AE270" i="2"/>
  <c r="AU270" i="2"/>
  <c r="T270" i="2"/>
  <c r="O268" i="2"/>
  <c r="AF270" i="2"/>
  <c r="AV270" i="2"/>
  <c r="H270" i="2"/>
  <c r="AZ270" i="2"/>
  <c r="X270" i="2"/>
  <c r="AN270" i="2"/>
  <c r="B272" i="2"/>
  <c r="P271" i="2"/>
  <c r="M271" i="2" s="1"/>
  <c r="J271" i="2"/>
  <c r="I271" i="2"/>
  <c r="L269" i="2"/>
  <c r="N269" i="2" s="1"/>
  <c r="O269" i="2" s="1"/>
  <c r="AY270" i="2"/>
  <c r="AB270" i="2"/>
  <c r="AR270" i="2"/>
  <c r="K271" i="2" l="1"/>
  <c r="U271" i="2"/>
  <c r="AK271" i="2"/>
  <c r="AC271" i="2"/>
  <c r="Y271" i="2"/>
  <c r="AO271" i="2"/>
  <c r="AS271" i="2"/>
  <c r="Q271" i="2"/>
  <c r="AG271" i="2"/>
  <c r="BA271" i="2"/>
  <c r="D272" i="2"/>
  <c r="C272" i="2"/>
  <c r="AD271" i="2"/>
  <c r="R271" i="2"/>
  <c r="Z271" i="2"/>
  <c r="AP271" i="2"/>
  <c r="AH271" i="2"/>
  <c r="AW271" i="2"/>
  <c r="V271" i="2"/>
  <c r="AL271" i="2"/>
  <c r="AM271" i="2"/>
  <c r="S271" i="2"/>
  <c r="W271" i="2"/>
  <c r="AI271" i="2"/>
  <c r="AX271" i="2"/>
  <c r="AE271" i="2"/>
  <c r="AU271" i="2"/>
  <c r="X271" i="2"/>
  <c r="AN271" i="2"/>
  <c r="B273" i="2"/>
  <c r="P272" i="2"/>
  <c r="M272" i="2" s="1"/>
  <c r="J272" i="2"/>
  <c r="I272" i="2"/>
  <c r="L270" i="2"/>
  <c r="AY271" i="2"/>
  <c r="AB271" i="2"/>
  <c r="AR271" i="2"/>
  <c r="AF271" i="2"/>
  <c r="AV271" i="2"/>
  <c r="H271" i="2"/>
  <c r="AT271" i="2"/>
  <c r="AA271" i="2"/>
  <c r="AQ271" i="2"/>
  <c r="T271" i="2"/>
  <c r="AJ271" i="2"/>
  <c r="AZ271" i="2"/>
  <c r="K272" i="2" l="1"/>
  <c r="Q272" i="2"/>
  <c r="U272" i="2"/>
  <c r="AG272" i="2"/>
  <c r="AC272" i="2"/>
  <c r="AS272" i="2"/>
  <c r="AD272" i="2"/>
  <c r="AH272" i="2"/>
  <c r="AW272" i="2"/>
  <c r="Y272" i="2"/>
  <c r="AO272" i="2"/>
  <c r="R272" i="2"/>
  <c r="AX272" i="2"/>
  <c r="AK272" i="2"/>
  <c r="BA272" i="2"/>
  <c r="AT272" i="2"/>
  <c r="C273" i="2"/>
  <c r="D273" i="2"/>
  <c r="Z272" i="2"/>
  <c r="AP272" i="2"/>
  <c r="W272" i="2"/>
  <c r="AE272" i="2"/>
  <c r="V272" i="2"/>
  <c r="AL272" i="2"/>
  <c r="S272" i="2"/>
  <c r="AA272" i="2"/>
  <c r="AI272" i="2"/>
  <c r="AM272" i="2"/>
  <c r="X272" i="2"/>
  <c r="AQ272" i="2"/>
  <c r="AU272" i="2"/>
  <c r="AJ272" i="2"/>
  <c r="T272" i="2"/>
  <c r="AF272" i="2"/>
  <c r="AV272" i="2"/>
  <c r="H272" i="2"/>
  <c r="AZ272" i="2"/>
  <c r="N270" i="2"/>
  <c r="O270" i="2" s="1"/>
  <c r="AN272" i="2"/>
  <c r="B274" i="2"/>
  <c r="P273" i="2"/>
  <c r="M273" i="2" s="1"/>
  <c r="J273" i="2"/>
  <c r="I273" i="2"/>
  <c r="L271" i="2"/>
  <c r="AY272" i="2"/>
  <c r="AB272" i="2"/>
  <c r="AR272" i="2"/>
  <c r="K273" i="2" l="1"/>
  <c r="AS273" i="2"/>
  <c r="Q273" i="2"/>
  <c r="Y273" i="2"/>
  <c r="AW273" i="2"/>
  <c r="AC273" i="2"/>
  <c r="R273" i="2"/>
  <c r="AG273" i="2"/>
  <c r="AH273" i="2"/>
  <c r="AP273" i="2"/>
  <c r="AO273" i="2"/>
  <c r="Z273" i="2"/>
  <c r="U273" i="2"/>
  <c r="AK273" i="2"/>
  <c r="BA273" i="2"/>
  <c r="AD273" i="2"/>
  <c r="AT273" i="2"/>
  <c r="AX273" i="2"/>
  <c r="V273" i="2"/>
  <c r="AL273" i="2"/>
  <c r="AM273" i="2"/>
  <c r="W273" i="2"/>
  <c r="D274" i="2"/>
  <c r="C274" i="2"/>
  <c r="S273" i="2"/>
  <c r="AA273" i="2"/>
  <c r="AE273" i="2"/>
  <c r="AI273" i="2"/>
  <c r="T273" i="2"/>
  <c r="AQ273" i="2"/>
  <c r="AB273" i="2"/>
  <c r="AY273" i="2"/>
  <c r="N271" i="2"/>
  <c r="O271" i="2" s="1"/>
  <c r="AR273" i="2"/>
  <c r="AF273" i="2"/>
  <c r="AV273" i="2"/>
  <c r="H273" i="2"/>
  <c r="AJ273" i="2"/>
  <c r="AZ273" i="2"/>
  <c r="AU273" i="2"/>
  <c r="X273" i="2"/>
  <c r="AN273" i="2"/>
  <c r="B275" i="2"/>
  <c r="P274" i="2"/>
  <c r="M274" i="2" s="1"/>
  <c r="J274" i="2"/>
  <c r="I274" i="2"/>
  <c r="L272" i="2"/>
  <c r="K274" i="2" l="1"/>
  <c r="C275" i="2"/>
  <c r="D275" i="2"/>
  <c r="AK274" i="2"/>
  <c r="U274" i="2"/>
  <c r="Z274" i="2"/>
  <c r="AP274" i="2"/>
  <c r="BA274" i="2"/>
  <c r="W274" i="2"/>
  <c r="AM274" i="2"/>
  <c r="Y274" i="2"/>
  <c r="AT274" i="2"/>
  <c r="AA274" i="2"/>
  <c r="AQ274" i="2"/>
  <c r="T274" i="2"/>
  <c r="AO274" i="2"/>
  <c r="AD274" i="2"/>
  <c r="AC274" i="2"/>
  <c r="AS274" i="2"/>
  <c r="R274" i="2"/>
  <c r="AH274" i="2"/>
  <c r="AX274" i="2"/>
  <c r="AE274" i="2"/>
  <c r="AU274" i="2"/>
  <c r="X274" i="2"/>
  <c r="Q274" i="2"/>
  <c r="AG274" i="2"/>
  <c r="AW274" i="2"/>
  <c r="V274" i="2"/>
  <c r="AL274" i="2"/>
  <c r="S274" i="2"/>
  <c r="AI274" i="2"/>
  <c r="AY274" i="2"/>
  <c r="AF274" i="2"/>
  <c r="AV274" i="2"/>
  <c r="L273" i="2"/>
  <c r="N273" i="2" s="1"/>
  <c r="H274" i="2"/>
  <c r="AJ274" i="2"/>
  <c r="AZ274" i="2"/>
  <c r="AN274" i="2"/>
  <c r="B276" i="2"/>
  <c r="P275" i="2"/>
  <c r="M275" i="2" s="1"/>
  <c r="J275" i="2"/>
  <c r="I275" i="2"/>
  <c r="N272" i="2"/>
  <c r="O272" i="2" s="1"/>
  <c r="AB274" i="2"/>
  <c r="AR274" i="2"/>
  <c r="AD275" i="2" l="1"/>
  <c r="K275" i="2"/>
  <c r="Y275" i="2"/>
  <c r="AW275" i="2"/>
  <c r="AC275" i="2"/>
  <c r="D276" i="2"/>
  <c r="C276" i="2"/>
  <c r="Q275" i="2"/>
  <c r="AG275" i="2"/>
  <c r="BA275" i="2"/>
  <c r="AP275" i="2"/>
  <c r="U275" i="2"/>
  <c r="AK275" i="2"/>
  <c r="W275" i="2"/>
  <c r="AO275" i="2"/>
  <c r="Z275" i="2"/>
  <c r="AM275" i="2"/>
  <c r="V275" i="2"/>
  <c r="AT275" i="2"/>
  <c r="AS275" i="2"/>
  <c r="R275" i="2"/>
  <c r="AL275" i="2"/>
  <c r="AA275" i="2"/>
  <c r="AH275" i="2"/>
  <c r="AX275" i="2"/>
  <c r="AE275" i="2"/>
  <c r="AU275" i="2"/>
  <c r="X275" i="2"/>
  <c r="AN275" i="2"/>
  <c r="B277" i="2"/>
  <c r="P276" i="2"/>
  <c r="M276" i="2" s="1"/>
  <c r="J276" i="2"/>
  <c r="I276" i="2"/>
  <c r="L274" i="2"/>
  <c r="N274" i="2" s="1"/>
  <c r="O274" i="2" s="1"/>
  <c r="O273" i="2"/>
  <c r="S275" i="2"/>
  <c r="AI275" i="2"/>
  <c r="AY275" i="2"/>
  <c r="AB275" i="2"/>
  <c r="AR275" i="2"/>
  <c r="AF275" i="2"/>
  <c r="AV275" i="2"/>
  <c r="H275" i="2"/>
  <c r="AQ275" i="2"/>
  <c r="T275" i="2"/>
  <c r="AJ275" i="2"/>
  <c r="AZ275" i="2"/>
  <c r="K276" i="2" l="1"/>
  <c r="C277" i="2"/>
  <c r="D277" i="2"/>
  <c r="AG276" i="2"/>
  <c r="Q276" i="2"/>
  <c r="S276" i="2"/>
  <c r="AW276" i="2"/>
  <c r="V276" i="2"/>
  <c r="AL276" i="2"/>
  <c r="U276" i="2"/>
  <c r="AK276" i="2"/>
  <c r="BA276" i="2"/>
  <c r="Z276" i="2"/>
  <c r="AP276" i="2"/>
  <c r="W276" i="2"/>
  <c r="Y276" i="2"/>
  <c r="AO276" i="2"/>
  <c r="AD276" i="2"/>
  <c r="AT276" i="2"/>
  <c r="AI276" i="2"/>
  <c r="AC276" i="2"/>
  <c r="AS276" i="2"/>
  <c r="R276" i="2"/>
  <c r="AH276" i="2"/>
  <c r="AX276" i="2"/>
  <c r="AM276" i="2"/>
  <c r="H276" i="2"/>
  <c r="AA276" i="2"/>
  <c r="AQ276" i="2"/>
  <c r="T276" i="2"/>
  <c r="AJ276" i="2"/>
  <c r="AZ276" i="2"/>
  <c r="AE276" i="2"/>
  <c r="AU276" i="2"/>
  <c r="X276" i="2"/>
  <c r="AN276" i="2"/>
  <c r="B278" i="2"/>
  <c r="P277" i="2"/>
  <c r="M277" i="2" s="1"/>
  <c r="J277" i="2"/>
  <c r="I277" i="2"/>
  <c r="L275" i="2"/>
  <c r="AY276" i="2"/>
  <c r="AB276" i="2"/>
  <c r="AR276" i="2"/>
  <c r="AF276" i="2"/>
  <c r="AV276" i="2"/>
  <c r="K277" i="2" l="1"/>
  <c r="D278" i="2"/>
  <c r="C278" i="2"/>
  <c r="Q277" i="2"/>
  <c r="V277" i="2"/>
  <c r="AG277" i="2"/>
  <c r="AL277" i="2"/>
  <c r="AW277" i="2"/>
  <c r="W277" i="2"/>
  <c r="U277" i="2"/>
  <c r="AK277" i="2"/>
  <c r="BA277" i="2"/>
  <c r="Z277" i="2"/>
  <c r="AP277" i="2"/>
  <c r="AA277" i="2"/>
  <c r="Y277" i="2"/>
  <c r="AO277" i="2"/>
  <c r="AD277" i="2"/>
  <c r="AT277" i="2"/>
  <c r="AM277" i="2"/>
  <c r="AC277" i="2"/>
  <c r="AS277" i="2"/>
  <c r="R277" i="2"/>
  <c r="AH277" i="2"/>
  <c r="S277" i="2"/>
  <c r="AQ277" i="2"/>
  <c r="T277" i="2"/>
  <c r="AI277" i="2"/>
  <c r="AY277" i="2"/>
  <c r="AX277" i="2"/>
  <c r="AE277" i="2"/>
  <c r="AU277" i="2"/>
  <c r="AB277" i="2"/>
  <c r="N275" i="2"/>
  <c r="O275" i="2" s="1"/>
  <c r="X277" i="2"/>
  <c r="AN277" i="2"/>
  <c r="B279" i="2"/>
  <c r="P278" i="2"/>
  <c r="M278" i="2" s="1"/>
  <c r="J278" i="2"/>
  <c r="I278" i="2"/>
  <c r="AR277" i="2"/>
  <c r="AF277" i="2"/>
  <c r="AV277" i="2"/>
  <c r="L276" i="2"/>
  <c r="H277" i="2"/>
  <c r="AJ277" i="2"/>
  <c r="AZ277" i="2"/>
  <c r="K278" i="2" l="1"/>
  <c r="AS278" i="2"/>
  <c r="AC278" i="2"/>
  <c r="C279" i="2"/>
  <c r="D279" i="2"/>
  <c r="V278" i="2"/>
  <c r="Q278" i="2"/>
  <c r="AW278" i="2"/>
  <c r="AH278" i="2"/>
  <c r="AG278" i="2"/>
  <c r="R278" i="2"/>
  <c r="S278" i="2"/>
  <c r="AL278" i="2"/>
  <c r="AX278" i="2"/>
  <c r="AM278" i="2"/>
  <c r="U278" i="2"/>
  <c r="AK278" i="2"/>
  <c r="BA278" i="2"/>
  <c r="Z278" i="2"/>
  <c r="AP278" i="2"/>
  <c r="W278" i="2"/>
  <c r="Y278" i="2"/>
  <c r="AO278" i="2"/>
  <c r="AD278" i="2"/>
  <c r="AT278" i="2"/>
  <c r="AI278" i="2"/>
  <c r="AE278" i="2"/>
  <c r="AU278" i="2"/>
  <c r="AA278" i="2"/>
  <c r="AQ278" i="2"/>
  <c r="T278" i="2"/>
  <c r="N276" i="2"/>
  <c r="O276" i="2" s="1"/>
  <c r="AY278" i="2"/>
  <c r="AB278" i="2"/>
  <c r="AR278" i="2"/>
  <c r="L277" i="2"/>
  <c r="AF278" i="2"/>
  <c r="AV278" i="2"/>
  <c r="H278" i="2"/>
  <c r="AJ278" i="2"/>
  <c r="AZ278" i="2"/>
  <c r="X278" i="2"/>
  <c r="AN278" i="2"/>
  <c r="B280" i="2"/>
  <c r="P279" i="2"/>
  <c r="M279" i="2" s="1"/>
  <c r="J279" i="2"/>
  <c r="I279" i="2"/>
  <c r="K279" i="2" l="1"/>
  <c r="U279" i="2"/>
  <c r="BA279" i="2"/>
  <c r="D280" i="2"/>
  <c r="C280" i="2"/>
  <c r="AP279" i="2"/>
  <c r="AT279" i="2"/>
  <c r="AK279" i="2"/>
  <c r="Z279" i="2"/>
  <c r="W279" i="2"/>
  <c r="Y279" i="2"/>
  <c r="AO279" i="2"/>
  <c r="AD279" i="2"/>
  <c r="AA279" i="2"/>
  <c r="AU279" i="2"/>
  <c r="AC279" i="2"/>
  <c r="AS279" i="2"/>
  <c r="R279" i="2"/>
  <c r="AH279" i="2"/>
  <c r="AX279" i="2"/>
  <c r="AE279" i="2"/>
  <c r="Q279" i="2"/>
  <c r="AG279" i="2"/>
  <c r="AW279" i="2"/>
  <c r="V279" i="2"/>
  <c r="AL279" i="2"/>
  <c r="S279" i="2"/>
  <c r="AI279" i="2"/>
  <c r="AM279" i="2"/>
  <c r="T279" i="2"/>
  <c r="AQ279" i="2"/>
  <c r="AY279" i="2"/>
  <c r="AB279" i="2"/>
  <c r="AR279" i="2"/>
  <c r="L278" i="2"/>
  <c r="AF279" i="2"/>
  <c r="AV279" i="2"/>
  <c r="N277" i="2"/>
  <c r="O277" i="2" s="1"/>
  <c r="H279" i="2"/>
  <c r="AJ279" i="2"/>
  <c r="AZ279" i="2"/>
  <c r="X279" i="2"/>
  <c r="AN279" i="2"/>
  <c r="B281" i="2"/>
  <c r="P280" i="2"/>
  <c r="M280" i="2" s="1"/>
  <c r="J280" i="2"/>
  <c r="I280" i="2"/>
  <c r="K280" i="2" l="1"/>
  <c r="Y280" i="2"/>
  <c r="Q280" i="2"/>
  <c r="V280" i="2"/>
  <c r="AG280" i="2"/>
  <c r="C281" i="2"/>
  <c r="D281" i="2"/>
  <c r="AO280" i="2"/>
  <c r="AW280" i="2"/>
  <c r="AC280" i="2"/>
  <c r="AS280" i="2"/>
  <c r="R280" i="2"/>
  <c r="U280" i="2"/>
  <c r="AK280" i="2"/>
  <c r="BA280" i="2"/>
  <c r="Z280" i="2"/>
  <c r="AL280" i="2"/>
  <c r="AP280" i="2"/>
  <c r="AY280" i="2"/>
  <c r="S280" i="2"/>
  <c r="W280" i="2"/>
  <c r="AI280" i="2"/>
  <c r="AB280" i="2"/>
  <c r="AM280" i="2"/>
  <c r="AR280" i="2"/>
  <c r="L279" i="2"/>
  <c r="AF280" i="2"/>
  <c r="AV280" i="2"/>
  <c r="H280" i="2"/>
  <c r="AD280" i="2"/>
  <c r="AT280" i="2"/>
  <c r="AA280" i="2"/>
  <c r="AQ280" i="2"/>
  <c r="T280" i="2"/>
  <c r="AJ280" i="2"/>
  <c r="AZ280" i="2"/>
  <c r="N278" i="2"/>
  <c r="O278" i="2" s="1"/>
  <c r="AH280" i="2"/>
  <c r="AX280" i="2"/>
  <c r="AE280" i="2"/>
  <c r="AU280" i="2"/>
  <c r="X280" i="2"/>
  <c r="AN280" i="2"/>
  <c r="B282" i="2"/>
  <c r="P281" i="2"/>
  <c r="M281" i="2" s="1"/>
  <c r="J281" i="2"/>
  <c r="I281" i="2"/>
  <c r="K281" i="2" l="1"/>
  <c r="Q281" i="2"/>
  <c r="AK281" i="2"/>
  <c r="U281" i="2"/>
  <c r="AC281" i="2"/>
  <c r="Y281" i="2"/>
  <c r="D282" i="2"/>
  <c r="C282" i="2"/>
  <c r="AS281" i="2"/>
  <c r="AO281" i="2"/>
  <c r="AG281" i="2"/>
  <c r="AW281" i="2"/>
  <c r="R281" i="2"/>
  <c r="V281" i="2"/>
  <c r="AD281" i="2"/>
  <c r="S281" i="2"/>
  <c r="BA281" i="2"/>
  <c r="Z281" i="2"/>
  <c r="AH281" i="2"/>
  <c r="AT281" i="2"/>
  <c r="AL281" i="2"/>
  <c r="AI281" i="2"/>
  <c r="AP281" i="2"/>
  <c r="AM281" i="2"/>
  <c r="W281" i="2"/>
  <c r="H281" i="2"/>
  <c r="AA281" i="2"/>
  <c r="AQ281" i="2"/>
  <c r="T281" i="2"/>
  <c r="AJ281" i="2"/>
  <c r="AZ281" i="2"/>
  <c r="L280" i="2"/>
  <c r="AX281" i="2"/>
  <c r="AE281" i="2"/>
  <c r="AU281" i="2"/>
  <c r="X281" i="2"/>
  <c r="AN281" i="2"/>
  <c r="B283" i="2"/>
  <c r="P282" i="2"/>
  <c r="M282" i="2" s="1"/>
  <c r="J282" i="2"/>
  <c r="I282" i="2"/>
  <c r="N279" i="2"/>
  <c r="O279" i="2" s="1"/>
  <c r="AY281" i="2"/>
  <c r="AB281" i="2"/>
  <c r="AR281" i="2"/>
  <c r="AF281" i="2"/>
  <c r="AV281" i="2"/>
  <c r="K282" i="2" l="1"/>
  <c r="Y282" i="2"/>
  <c r="U282" i="2"/>
  <c r="AT282" i="2"/>
  <c r="AO282" i="2"/>
  <c r="BA282" i="2"/>
  <c r="C283" i="2"/>
  <c r="D283" i="2"/>
  <c r="AP282" i="2"/>
  <c r="AK282" i="2"/>
  <c r="Z282" i="2"/>
  <c r="W282" i="2"/>
  <c r="AD282" i="2"/>
  <c r="AY282" i="2"/>
  <c r="AA282" i="2"/>
  <c r="AC282" i="2"/>
  <c r="AS282" i="2"/>
  <c r="R282" i="2"/>
  <c r="AH282" i="2"/>
  <c r="AX282" i="2"/>
  <c r="AI282" i="2"/>
  <c r="AR282" i="2"/>
  <c r="Q282" i="2"/>
  <c r="AG282" i="2"/>
  <c r="AW282" i="2"/>
  <c r="V282" i="2"/>
  <c r="AL282" i="2"/>
  <c r="S282" i="2"/>
  <c r="AQ282" i="2"/>
  <c r="AM282" i="2"/>
  <c r="AB282" i="2"/>
  <c r="AF282" i="2"/>
  <c r="AV282" i="2"/>
  <c r="L281" i="2"/>
  <c r="N281" i="2" s="1"/>
  <c r="H282" i="2"/>
  <c r="T282" i="2"/>
  <c r="AJ282" i="2"/>
  <c r="AZ282" i="2"/>
  <c r="N280" i="2"/>
  <c r="O280" i="2" s="1"/>
  <c r="AE282" i="2"/>
  <c r="AU282" i="2"/>
  <c r="X282" i="2"/>
  <c r="AN282" i="2"/>
  <c r="B284" i="2"/>
  <c r="P283" i="2"/>
  <c r="M283" i="2" s="1"/>
  <c r="J283" i="2"/>
  <c r="I283" i="2"/>
  <c r="K283" i="2" l="1"/>
  <c r="AC283" i="2"/>
  <c r="AS283" i="2"/>
  <c r="AO283" i="2"/>
  <c r="AB283" i="2"/>
  <c r="D284" i="2"/>
  <c r="C284" i="2"/>
  <c r="Y283" i="2"/>
  <c r="R283" i="2"/>
  <c r="V283" i="2"/>
  <c r="U283" i="2"/>
  <c r="AK283" i="2"/>
  <c r="AP283" i="2"/>
  <c r="Q283" i="2"/>
  <c r="AG283" i="2"/>
  <c r="AW283" i="2"/>
  <c r="AL283" i="2"/>
  <c r="BA283" i="2"/>
  <c r="Z283" i="2"/>
  <c r="S283" i="2"/>
  <c r="AD283" i="2"/>
  <c r="AI283" i="2"/>
  <c r="W283" i="2"/>
  <c r="AT283" i="2"/>
  <c r="AM283" i="2"/>
  <c r="AY283" i="2"/>
  <c r="AR283" i="2"/>
  <c r="L282" i="2"/>
  <c r="O281" i="2"/>
  <c r="AF283" i="2"/>
  <c r="AV283" i="2"/>
  <c r="H283" i="2"/>
  <c r="AA283" i="2"/>
  <c r="AQ283" i="2"/>
  <c r="T283" i="2"/>
  <c r="AJ283" i="2"/>
  <c r="AZ283" i="2"/>
  <c r="AH283" i="2"/>
  <c r="AX283" i="2"/>
  <c r="AE283" i="2"/>
  <c r="AU283" i="2"/>
  <c r="X283" i="2"/>
  <c r="AN283" i="2"/>
  <c r="B285" i="2"/>
  <c r="P284" i="2"/>
  <c r="M284" i="2" s="1"/>
  <c r="J284" i="2"/>
  <c r="I284" i="2"/>
  <c r="K284" i="2" l="1"/>
  <c r="Q284" i="2"/>
  <c r="BA284" i="2"/>
  <c r="AC284" i="2"/>
  <c r="AS284" i="2"/>
  <c r="AG284" i="2"/>
  <c r="V284" i="2"/>
  <c r="Y284" i="2"/>
  <c r="AW284" i="2"/>
  <c r="C285" i="2"/>
  <c r="D285" i="2"/>
  <c r="U284" i="2"/>
  <c r="AK284" i="2"/>
  <c r="Z284" i="2"/>
  <c r="AO284" i="2"/>
  <c r="R284" i="2"/>
  <c r="AL284" i="2"/>
  <c r="AP284" i="2"/>
  <c r="S284" i="2"/>
  <c r="AH284" i="2"/>
  <c r="AX284" i="2"/>
  <c r="AM284" i="2"/>
  <c r="W284" i="2"/>
  <c r="AD284" i="2"/>
  <c r="AT284" i="2"/>
  <c r="AE284" i="2"/>
  <c r="AI284" i="2"/>
  <c r="AY284" i="2"/>
  <c r="AB284" i="2"/>
  <c r="AR284" i="2"/>
  <c r="AF284" i="2"/>
  <c r="AV284" i="2"/>
  <c r="N282" i="2"/>
  <c r="O282" i="2" s="1"/>
  <c r="H284" i="2"/>
  <c r="AA284" i="2"/>
  <c r="AQ284" i="2"/>
  <c r="T284" i="2"/>
  <c r="AJ284" i="2"/>
  <c r="AZ284" i="2"/>
  <c r="AU284" i="2"/>
  <c r="X284" i="2"/>
  <c r="AN284" i="2"/>
  <c r="B286" i="2"/>
  <c r="P285" i="2"/>
  <c r="M285" i="2" s="1"/>
  <c r="J285" i="2"/>
  <c r="I285" i="2"/>
  <c r="L283" i="2"/>
  <c r="K285" i="2" l="1"/>
  <c r="AC285" i="2"/>
  <c r="AK285" i="2"/>
  <c r="AS285" i="2"/>
  <c r="U285" i="2"/>
  <c r="Z285" i="2"/>
  <c r="BA285" i="2"/>
  <c r="Q285" i="2"/>
  <c r="AG285" i="2"/>
  <c r="AW285" i="2"/>
  <c r="AL285" i="2"/>
  <c r="Y285" i="2"/>
  <c r="AO285" i="2"/>
  <c r="R285" i="2"/>
  <c r="V285" i="2"/>
  <c r="D286" i="2"/>
  <c r="C286" i="2"/>
  <c r="AD285" i="2"/>
  <c r="AH285" i="2"/>
  <c r="S285" i="2"/>
  <c r="AP285" i="2"/>
  <c r="AT285" i="2"/>
  <c r="AA285" i="2"/>
  <c r="AX285" i="2"/>
  <c r="AI285" i="2"/>
  <c r="W285" i="2"/>
  <c r="AZ285" i="2"/>
  <c r="AE285" i="2"/>
  <c r="AM285" i="2"/>
  <c r="AQ285" i="2"/>
  <c r="T285" i="2"/>
  <c r="AJ285" i="2"/>
  <c r="N283" i="2"/>
  <c r="O283" i="2" s="1"/>
  <c r="AU285" i="2"/>
  <c r="X285" i="2"/>
  <c r="AN285" i="2"/>
  <c r="B287" i="2"/>
  <c r="P286" i="2"/>
  <c r="M286" i="2" s="1"/>
  <c r="J286" i="2"/>
  <c r="I286" i="2"/>
  <c r="H285" i="2"/>
  <c r="AY285" i="2"/>
  <c r="AB285" i="2"/>
  <c r="AR285" i="2"/>
  <c r="L284" i="2"/>
  <c r="AF285" i="2"/>
  <c r="AV285" i="2"/>
  <c r="K286" i="2" l="1"/>
  <c r="U286" i="2"/>
  <c r="C287" i="2"/>
  <c r="D287" i="2"/>
  <c r="AK286" i="2"/>
  <c r="BA286" i="2"/>
  <c r="Z286" i="2"/>
  <c r="W286" i="2"/>
  <c r="AM286" i="2"/>
  <c r="AP286" i="2"/>
  <c r="AF286" i="2"/>
  <c r="AV286" i="2"/>
  <c r="N284" i="2"/>
  <c r="O284" i="2" s="1"/>
  <c r="Y286" i="2"/>
  <c r="AO286" i="2"/>
  <c r="H286" i="2"/>
  <c r="AD286" i="2"/>
  <c r="AT286" i="2"/>
  <c r="AA286" i="2"/>
  <c r="AQ286" i="2"/>
  <c r="T286" i="2"/>
  <c r="AJ286" i="2"/>
  <c r="AZ286" i="2"/>
  <c r="L285" i="2"/>
  <c r="N285" i="2" s="1"/>
  <c r="O285" i="2" s="1"/>
  <c r="AC286" i="2"/>
  <c r="AS286" i="2"/>
  <c r="R286" i="2"/>
  <c r="AH286" i="2"/>
  <c r="AX286" i="2"/>
  <c r="AE286" i="2"/>
  <c r="AU286" i="2"/>
  <c r="X286" i="2"/>
  <c r="AN286" i="2"/>
  <c r="B288" i="2"/>
  <c r="P287" i="2"/>
  <c r="M287" i="2" s="1"/>
  <c r="J287" i="2"/>
  <c r="I287" i="2"/>
  <c r="Q286" i="2"/>
  <c r="AG286" i="2"/>
  <c r="AW286" i="2"/>
  <c r="V286" i="2"/>
  <c r="AL286" i="2"/>
  <c r="S286" i="2"/>
  <c r="AI286" i="2"/>
  <c r="AY286" i="2"/>
  <c r="AB286" i="2"/>
  <c r="AR286" i="2"/>
  <c r="K287" i="2" l="1"/>
  <c r="Y287" i="2"/>
  <c r="D288" i="2"/>
  <c r="C288" i="2"/>
  <c r="AG287" i="2"/>
  <c r="AW287" i="2"/>
  <c r="Q287" i="2"/>
  <c r="AK287" i="2"/>
  <c r="V287" i="2"/>
  <c r="U287" i="2"/>
  <c r="AO287" i="2"/>
  <c r="AL287" i="2"/>
  <c r="AC287" i="2"/>
  <c r="AS287" i="2"/>
  <c r="AD287" i="2"/>
  <c r="W287" i="2"/>
  <c r="BA287" i="2"/>
  <c r="Z287" i="2"/>
  <c r="AP287" i="2"/>
  <c r="AA287" i="2"/>
  <c r="T287" i="2"/>
  <c r="AT287" i="2"/>
  <c r="AI287" i="2"/>
  <c r="R287" i="2"/>
  <c r="AH287" i="2"/>
  <c r="S287" i="2"/>
  <c r="AM287" i="2"/>
  <c r="AX287" i="2"/>
  <c r="AE287" i="2"/>
  <c r="AU287" i="2"/>
  <c r="AN287" i="2"/>
  <c r="AQ287" i="2"/>
  <c r="X287" i="2"/>
  <c r="AY287" i="2"/>
  <c r="AB287" i="2"/>
  <c r="AR287" i="2"/>
  <c r="L286" i="2"/>
  <c r="N286" i="2" s="1"/>
  <c r="O286" i="2" s="1"/>
  <c r="AF287" i="2"/>
  <c r="AV287" i="2"/>
  <c r="B289" i="2"/>
  <c r="P288" i="2"/>
  <c r="M288" i="2" s="1"/>
  <c r="J288" i="2"/>
  <c r="I288" i="2"/>
  <c r="H287" i="2"/>
  <c r="AJ287" i="2"/>
  <c r="AZ287" i="2"/>
  <c r="K288" i="2" l="1"/>
  <c r="U288" i="2"/>
  <c r="Y288" i="2"/>
  <c r="Z288" i="2"/>
  <c r="R288" i="2"/>
  <c r="AK288" i="2"/>
  <c r="AC288" i="2"/>
  <c r="AH288" i="2"/>
  <c r="AS288" i="2"/>
  <c r="W288" i="2"/>
  <c r="C289" i="2"/>
  <c r="D289" i="2"/>
  <c r="BA288" i="2"/>
  <c r="AP288" i="2"/>
  <c r="Q288" i="2"/>
  <c r="AG288" i="2"/>
  <c r="AW288" i="2"/>
  <c r="V288" i="2"/>
  <c r="AL288" i="2"/>
  <c r="AM288" i="2"/>
  <c r="AO288" i="2"/>
  <c r="AD288" i="2"/>
  <c r="S288" i="2"/>
  <c r="AR288" i="2"/>
  <c r="AI288" i="2"/>
  <c r="AT288" i="2"/>
  <c r="AA288" i="2"/>
  <c r="AQ288" i="2"/>
  <c r="AX288" i="2"/>
  <c r="AE288" i="2"/>
  <c r="AY288" i="2"/>
  <c r="AU288" i="2"/>
  <c r="T288" i="2"/>
  <c r="AB288" i="2"/>
  <c r="AF288" i="2"/>
  <c r="AV288" i="2"/>
  <c r="H288" i="2"/>
  <c r="AJ288" i="2"/>
  <c r="AZ288" i="2"/>
  <c r="L287" i="2"/>
  <c r="X288" i="2"/>
  <c r="AN288" i="2"/>
  <c r="P289" i="2"/>
  <c r="M289" i="2" s="1"/>
  <c r="B290" i="2"/>
  <c r="J289" i="2"/>
  <c r="I289" i="2"/>
  <c r="K289" i="2" l="1"/>
  <c r="D290" i="2"/>
  <c r="C290" i="2"/>
  <c r="AI289" i="2"/>
  <c r="T289" i="2"/>
  <c r="AO289" i="2"/>
  <c r="AG289" i="2"/>
  <c r="N287" i="2"/>
  <c r="O287" i="2" s="1"/>
  <c r="H289" i="2"/>
  <c r="AK289" i="2"/>
  <c r="AX289" i="2"/>
  <c r="L288" i="2"/>
  <c r="Q289" i="2"/>
  <c r="AM289" i="2"/>
  <c r="S289" i="2"/>
  <c r="AN289" i="2"/>
  <c r="Y289" i="2"/>
  <c r="AU289" i="2"/>
  <c r="U289" i="2"/>
  <c r="AQ289" i="2"/>
  <c r="V289" i="2"/>
  <c r="AL289" i="2"/>
  <c r="AH289" i="2"/>
  <c r="W289" i="2"/>
  <c r="AR289" i="2"/>
  <c r="X289" i="2"/>
  <c r="AS289" i="2"/>
  <c r="AE289" i="2"/>
  <c r="AZ289" i="2"/>
  <c r="AA289" i="2"/>
  <c r="AV289" i="2"/>
  <c r="Z289" i="2"/>
  <c r="AP289" i="2"/>
  <c r="R289" i="2"/>
  <c r="AB289" i="2"/>
  <c r="AW289" i="2"/>
  <c r="AC289" i="2"/>
  <c r="AY289" i="2"/>
  <c r="AJ289" i="2"/>
  <c r="P290" i="2"/>
  <c r="M290" i="2" s="1"/>
  <c r="B291" i="2"/>
  <c r="J290" i="2"/>
  <c r="I290" i="2"/>
  <c r="AF289" i="2"/>
  <c r="BA289" i="2"/>
  <c r="AD289" i="2"/>
  <c r="AT289" i="2"/>
  <c r="K290" i="2" l="1"/>
  <c r="AG290" i="2"/>
  <c r="AW290" i="2"/>
  <c r="AN290" i="2"/>
  <c r="S290" i="2"/>
  <c r="Y290" i="2"/>
  <c r="T290" i="2"/>
  <c r="AB290" i="2"/>
  <c r="AI290" i="2"/>
  <c r="AO290" i="2"/>
  <c r="AU290" i="2"/>
  <c r="C291" i="2"/>
  <c r="D291" i="2"/>
  <c r="AK290" i="2"/>
  <c r="AT290" i="2"/>
  <c r="AD290" i="2"/>
  <c r="Q290" i="2"/>
  <c r="AS290" i="2"/>
  <c r="AZ290" i="2"/>
  <c r="AQ290" i="2"/>
  <c r="R290" i="2"/>
  <c r="AH290" i="2"/>
  <c r="AX290" i="2"/>
  <c r="H290" i="2"/>
  <c r="AM290" i="2"/>
  <c r="X290" i="2"/>
  <c r="AE290" i="2"/>
  <c r="U290" i="2"/>
  <c r="W290" i="2"/>
  <c r="AR290" i="2"/>
  <c r="AC290" i="2"/>
  <c r="AY290" i="2"/>
  <c r="AJ290" i="2"/>
  <c r="P291" i="2"/>
  <c r="M291" i="2" s="1"/>
  <c r="B292" i="2"/>
  <c r="J291" i="2"/>
  <c r="I291" i="2"/>
  <c r="AA290" i="2"/>
  <c r="AV290" i="2"/>
  <c r="V290" i="2"/>
  <c r="AL290" i="2"/>
  <c r="N288" i="2"/>
  <c r="O288" i="2" s="1"/>
  <c r="L289" i="2"/>
  <c r="N289" i="2" s="1"/>
  <c r="O289" i="2" s="1"/>
  <c r="AF290" i="2"/>
  <c r="BA290" i="2"/>
  <c r="Z290" i="2"/>
  <c r="AP290" i="2"/>
  <c r="K291" i="2" l="1"/>
  <c r="Y291" i="2"/>
  <c r="AM291" i="2"/>
  <c r="Q291" i="2"/>
  <c r="AI291" i="2"/>
  <c r="AW291" i="2"/>
  <c r="AB291" i="2"/>
  <c r="AS291" i="2"/>
  <c r="X291" i="2"/>
  <c r="AG291" i="2"/>
  <c r="S291" i="2"/>
  <c r="AN291" i="2"/>
  <c r="AE291" i="2"/>
  <c r="AU291" i="2"/>
  <c r="W291" i="2"/>
  <c r="AR291" i="2"/>
  <c r="AC291" i="2"/>
  <c r="T291" i="2"/>
  <c r="D292" i="2"/>
  <c r="C292" i="2"/>
  <c r="AQ291" i="2"/>
  <c r="AY291" i="2"/>
  <c r="AJ291" i="2"/>
  <c r="V291" i="2"/>
  <c r="AZ291" i="2"/>
  <c r="AA291" i="2"/>
  <c r="U291" i="2"/>
  <c r="R291" i="2"/>
  <c r="AV291" i="2"/>
  <c r="AK291" i="2"/>
  <c r="H291" i="2"/>
  <c r="AD291" i="2"/>
  <c r="AT291" i="2"/>
  <c r="AH291" i="2"/>
  <c r="AX291" i="2"/>
  <c r="P292" i="2"/>
  <c r="M292" i="2" s="1"/>
  <c r="B293" i="2"/>
  <c r="J292" i="2"/>
  <c r="I292" i="2"/>
  <c r="AL291" i="2"/>
  <c r="AO291" i="2"/>
  <c r="AF291" i="2"/>
  <c r="BA291" i="2"/>
  <c r="Z291" i="2"/>
  <c r="AP291" i="2"/>
  <c r="L290" i="2"/>
  <c r="N290" i="2" s="1"/>
  <c r="Q292" i="2" l="1"/>
  <c r="S292" i="2"/>
  <c r="AC292" i="2"/>
  <c r="K292" i="2"/>
  <c r="AM292" i="2"/>
  <c r="AB292" i="2"/>
  <c r="AU292" i="2"/>
  <c r="AG292" i="2"/>
  <c r="X292" i="2"/>
  <c r="W292" i="2"/>
  <c r="AR292" i="2"/>
  <c r="AN292" i="2"/>
  <c r="AY292" i="2"/>
  <c r="C293" i="2"/>
  <c r="D293" i="2"/>
  <c r="AW292" i="2"/>
  <c r="AI292" i="2"/>
  <c r="T292" i="2"/>
  <c r="AS292" i="2"/>
  <c r="AZ292" i="2"/>
  <c r="Y292" i="2"/>
  <c r="AE292" i="2"/>
  <c r="AF292" i="2"/>
  <c r="AO292" i="2"/>
  <c r="AJ292" i="2"/>
  <c r="AV292" i="2"/>
  <c r="AA292" i="2"/>
  <c r="U292" i="2"/>
  <c r="AQ292" i="2"/>
  <c r="R292" i="2"/>
  <c r="AH292" i="2"/>
  <c r="AX292" i="2"/>
  <c r="P293" i="2"/>
  <c r="M293" i="2" s="1"/>
  <c r="B294" i="2"/>
  <c r="J293" i="2"/>
  <c r="I293" i="2"/>
  <c r="V292" i="2"/>
  <c r="AL292" i="2"/>
  <c r="L291" i="2"/>
  <c r="N291" i="2" s="1"/>
  <c r="O290" i="2"/>
  <c r="BA292" i="2"/>
  <c r="Z292" i="2"/>
  <c r="AP292" i="2"/>
  <c r="AK292" i="2"/>
  <c r="H292" i="2"/>
  <c r="AD292" i="2"/>
  <c r="AT292" i="2"/>
  <c r="K293" i="2" l="1"/>
  <c r="AG293" i="2"/>
  <c r="S293" i="2"/>
  <c r="AS293" i="2"/>
  <c r="Q293" i="2"/>
  <c r="AM293" i="2"/>
  <c r="X293" i="2"/>
  <c r="Y293" i="2"/>
  <c r="W293" i="2"/>
  <c r="AR293" i="2"/>
  <c r="AI293" i="2"/>
  <c r="AU293" i="2"/>
  <c r="AB293" i="2"/>
  <c r="AW293" i="2"/>
  <c r="AN293" i="2"/>
  <c r="AZ293" i="2"/>
  <c r="D294" i="2"/>
  <c r="C294" i="2"/>
  <c r="AE293" i="2"/>
  <c r="U293" i="2"/>
  <c r="L292" i="2"/>
  <c r="N292" i="2" s="1"/>
  <c r="O291" i="2"/>
  <c r="T293" i="2"/>
  <c r="AO293" i="2"/>
  <c r="AF293" i="2"/>
  <c r="BA293" i="2"/>
  <c r="Z293" i="2"/>
  <c r="AP293" i="2"/>
  <c r="AK293" i="2"/>
  <c r="H293" i="2"/>
  <c r="AD293" i="2"/>
  <c r="AT293" i="2"/>
  <c r="AQ293" i="2"/>
  <c r="R293" i="2"/>
  <c r="AH293" i="2"/>
  <c r="AX293" i="2"/>
  <c r="AC293" i="2"/>
  <c r="AY293" i="2"/>
  <c r="AJ293" i="2"/>
  <c r="P294" i="2"/>
  <c r="M294" i="2" s="1"/>
  <c r="B295" i="2"/>
  <c r="J294" i="2"/>
  <c r="I294" i="2"/>
  <c r="AA293" i="2"/>
  <c r="AV293" i="2"/>
  <c r="V293" i="2"/>
  <c r="AL293" i="2"/>
  <c r="K294" i="2" l="1"/>
  <c r="Q294" i="2"/>
  <c r="X294" i="2"/>
  <c r="AE294" i="2"/>
  <c r="D295" i="2"/>
  <c r="C295" i="2"/>
  <c r="W294" i="2"/>
  <c r="AC294" i="2"/>
  <c r="AU294" i="2"/>
  <c r="AM294" i="2"/>
  <c r="AS294" i="2"/>
  <c r="AR294" i="2"/>
  <c r="AY294" i="2"/>
  <c r="AB294" i="2"/>
  <c r="AW294" i="2"/>
  <c r="AI294" i="2"/>
  <c r="T294" i="2"/>
  <c r="AZ294" i="2"/>
  <c r="U294" i="2"/>
  <c r="AG294" i="2"/>
  <c r="S294" i="2"/>
  <c r="AN294" i="2"/>
  <c r="Y294" i="2"/>
  <c r="AQ294" i="2"/>
  <c r="AO294" i="2"/>
  <c r="AH294" i="2"/>
  <c r="AJ294" i="2"/>
  <c r="AA294" i="2"/>
  <c r="R294" i="2"/>
  <c r="AV294" i="2"/>
  <c r="AK294" i="2"/>
  <c r="H294" i="2"/>
  <c r="AD294" i="2"/>
  <c r="AT294" i="2"/>
  <c r="AX294" i="2"/>
  <c r="P295" i="2"/>
  <c r="M295" i="2" s="1"/>
  <c r="B296" i="2"/>
  <c r="J295" i="2"/>
  <c r="I295" i="2"/>
  <c r="V294" i="2"/>
  <c r="AL294" i="2"/>
  <c r="O292" i="2"/>
  <c r="AF294" i="2"/>
  <c r="BA294" i="2"/>
  <c r="Z294" i="2"/>
  <c r="AP294" i="2"/>
  <c r="L293" i="2"/>
  <c r="N293" i="2" s="1"/>
  <c r="K295" i="2" l="1"/>
  <c r="C296" i="2"/>
  <c r="D296" i="2"/>
  <c r="AR295" i="2"/>
  <c r="Y295" i="2"/>
  <c r="AG295" i="2"/>
  <c r="AU295" i="2"/>
  <c r="S295" i="2"/>
  <c r="AN295" i="2"/>
  <c r="Q295" i="2"/>
  <c r="AM295" i="2"/>
  <c r="X295" i="2"/>
  <c r="AS295" i="2"/>
  <c r="AE295" i="2"/>
  <c r="AZ295" i="2"/>
  <c r="AQ295" i="2"/>
  <c r="AC295" i="2"/>
  <c r="AY295" i="2"/>
  <c r="AJ295" i="2"/>
  <c r="W295" i="2"/>
  <c r="AB295" i="2"/>
  <c r="AW295" i="2"/>
  <c r="AI295" i="2"/>
  <c r="T295" i="2"/>
  <c r="AO295" i="2"/>
  <c r="U295" i="2"/>
  <c r="AA295" i="2"/>
  <c r="AK295" i="2"/>
  <c r="H295" i="2"/>
  <c r="AD295" i="2"/>
  <c r="AT295" i="2"/>
  <c r="R295" i="2"/>
  <c r="AH295" i="2"/>
  <c r="AX295" i="2"/>
  <c r="L294" i="2"/>
  <c r="N294" i="2" s="1"/>
  <c r="O293" i="2"/>
  <c r="P296" i="2"/>
  <c r="M296" i="2" s="1"/>
  <c r="B297" i="2"/>
  <c r="J296" i="2"/>
  <c r="I296" i="2"/>
  <c r="AV295" i="2"/>
  <c r="V295" i="2"/>
  <c r="AL295" i="2"/>
  <c r="AF295" i="2"/>
  <c r="BA295" i="2"/>
  <c r="Z295" i="2"/>
  <c r="AP295" i="2"/>
  <c r="K296" i="2" l="1"/>
  <c r="D297" i="2"/>
  <c r="C297" i="2"/>
  <c r="Q296" i="2"/>
  <c r="AM296" i="2"/>
  <c r="X296" i="2"/>
  <c r="AS296" i="2"/>
  <c r="AE296" i="2"/>
  <c r="W296" i="2"/>
  <c r="AC296" i="2"/>
  <c r="AY296" i="2"/>
  <c r="AO296" i="2"/>
  <c r="AB296" i="2"/>
  <c r="AW296" i="2"/>
  <c r="AI296" i="2"/>
  <c r="T296" i="2"/>
  <c r="AU296" i="2"/>
  <c r="AF296" i="2"/>
  <c r="AR296" i="2"/>
  <c r="AG296" i="2"/>
  <c r="S296" i="2"/>
  <c r="AN296" i="2"/>
  <c r="Y296" i="2"/>
  <c r="AJ296" i="2"/>
  <c r="P297" i="2"/>
  <c r="M297" i="2" s="1"/>
  <c r="B298" i="2"/>
  <c r="J297" i="2"/>
  <c r="I297" i="2"/>
  <c r="AA296" i="2"/>
  <c r="AV296" i="2"/>
  <c r="V296" i="2"/>
  <c r="AL296" i="2"/>
  <c r="BA296" i="2"/>
  <c r="Z296" i="2"/>
  <c r="AP296" i="2"/>
  <c r="L295" i="2"/>
  <c r="N295" i="2" s="1"/>
  <c r="O295" i="2" s="1"/>
  <c r="AK296" i="2"/>
  <c r="H296" i="2"/>
  <c r="AD296" i="2"/>
  <c r="AT296" i="2"/>
  <c r="O294" i="2"/>
  <c r="AZ296" i="2"/>
  <c r="U296" i="2"/>
  <c r="AQ296" i="2"/>
  <c r="R296" i="2"/>
  <c r="AH296" i="2"/>
  <c r="AX296" i="2"/>
  <c r="K297" i="2" l="1"/>
  <c r="W297" i="2"/>
  <c r="AR297" i="2"/>
  <c r="AC297" i="2"/>
  <c r="AY297" i="2"/>
  <c r="D298" i="2"/>
  <c r="C298" i="2"/>
  <c r="AB297" i="2"/>
  <c r="AI297" i="2"/>
  <c r="AW297" i="2"/>
  <c r="AE297" i="2"/>
  <c r="AG297" i="2"/>
  <c r="S297" i="2"/>
  <c r="AN297" i="2"/>
  <c r="AJ297" i="2"/>
  <c r="Q297" i="2"/>
  <c r="AM297" i="2"/>
  <c r="X297" i="2"/>
  <c r="AS297" i="2"/>
  <c r="T297" i="2"/>
  <c r="AU297" i="2"/>
  <c r="Y297" i="2"/>
  <c r="L296" i="2"/>
  <c r="N296" i="2" s="1"/>
  <c r="AO297" i="2"/>
  <c r="AF297" i="2"/>
  <c r="BA297" i="2"/>
  <c r="Z297" i="2"/>
  <c r="AP297" i="2"/>
  <c r="AK297" i="2"/>
  <c r="H297" i="2"/>
  <c r="AD297" i="2"/>
  <c r="AT297" i="2"/>
  <c r="AZ297" i="2"/>
  <c r="U297" i="2"/>
  <c r="AQ297" i="2"/>
  <c r="R297" i="2"/>
  <c r="AH297" i="2"/>
  <c r="AX297" i="2"/>
  <c r="P298" i="2"/>
  <c r="M298" i="2" s="1"/>
  <c r="B299" i="2"/>
  <c r="J298" i="2"/>
  <c r="I298" i="2"/>
  <c r="AA297" i="2"/>
  <c r="AV297" i="2"/>
  <c r="V297" i="2"/>
  <c r="AL297" i="2"/>
  <c r="K298" i="2" l="1"/>
  <c r="D299" i="2"/>
  <c r="C299" i="2"/>
  <c r="S298" i="2"/>
  <c r="AG298" i="2"/>
  <c r="Y298" i="2"/>
  <c r="AN298" i="2"/>
  <c r="AU298" i="2"/>
  <c r="BA298" i="2"/>
  <c r="Q298" i="2"/>
  <c r="AM298" i="2"/>
  <c r="X298" i="2"/>
  <c r="AS298" i="2"/>
  <c r="AE298" i="2"/>
  <c r="AZ298" i="2"/>
  <c r="AA298" i="2"/>
  <c r="W298" i="2"/>
  <c r="AR298" i="2"/>
  <c r="AC298" i="2"/>
  <c r="AY298" i="2"/>
  <c r="AJ298" i="2"/>
  <c r="AF298" i="2"/>
  <c r="V298" i="2"/>
  <c r="AB298" i="2"/>
  <c r="AW298" i="2"/>
  <c r="AI298" i="2"/>
  <c r="T298" i="2"/>
  <c r="AO298" i="2"/>
  <c r="AV298" i="2"/>
  <c r="U298" i="2"/>
  <c r="AQ298" i="2"/>
  <c r="R298" i="2"/>
  <c r="AH298" i="2"/>
  <c r="AX298" i="2"/>
  <c r="P299" i="2"/>
  <c r="M299" i="2" s="1"/>
  <c r="B300" i="2"/>
  <c r="J299" i="2"/>
  <c r="I299" i="2"/>
  <c r="AL298" i="2"/>
  <c r="L297" i="2"/>
  <c r="N297" i="2" s="1"/>
  <c r="Z298" i="2"/>
  <c r="AP298" i="2"/>
  <c r="O296" i="2"/>
  <c r="AK298" i="2"/>
  <c r="H298" i="2"/>
  <c r="AD298" i="2"/>
  <c r="AT298" i="2"/>
  <c r="K299" i="2" l="1"/>
  <c r="C300" i="2"/>
  <c r="D300" i="2"/>
  <c r="AN299" i="2"/>
  <c r="AU299" i="2"/>
  <c r="W299" i="2"/>
  <c r="AR299" i="2"/>
  <c r="AB299" i="2"/>
  <c r="AW299" i="2"/>
  <c r="AS299" i="2"/>
  <c r="AZ299" i="2"/>
  <c r="O297" i="2"/>
  <c r="AG299" i="2"/>
  <c r="S299" i="2"/>
  <c r="Y299" i="2"/>
  <c r="Q299" i="2"/>
  <c r="AM299" i="2"/>
  <c r="X299" i="2"/>
  <c r="AE299" i="2"/>
  <c r="AI299" i="2"/>
  <c r="T299" i="2"/>
  <c r="AO299" i="2"/>
  <c r="AF299" i="2"/>
  <c r="BA299" i="2"/>
  <c r="Z299" i="2"/>
  <c r="AP299" i="2"/>
  <c r="AK299" i="2"/>
  <c r="H299" i="2"/>
  <c r="AD299" i="2"/>
  <c r="AT299" i="2"/>
  <c r="U299" i="2"/>
  <c r="AQ299" i="2"/>
  <c r="R299" i="2"/>
  <c r="AH299" i="2"/>
  <c r="AX299" i="2"/>
  <c r="L298" i="2"/>
  <c r="N298" i="2" s="1"/>
  <c r="O298" i="2" s="1"/>
  <c r="AC299" i="2"/>
  <c r="AY299" i="2"/>
  <c r="AJ299" i="2"/>
  <c r="P300" i="2"/>
  <c r="M300" i="2" s="1"/>
  <c r="B301" i="2"/>
  <c r="J300" i="2"/>
  <c r="I300" i="2"/>
  <c r="AA299" i="2"/>
  <c r="AV299" i="2"/>
  <c r="V299" i="2"/>
  <c r="AL299" i="2"/>
  <c r="K300" i="2" l="1"/>
  <c r="AG300" i="2"/>
  <c r="S300" i="2"/>
  <c r="D301" i="2"/>
  <c r="C301" i="2"/>
  <c r="AN300" i="2"/>
  <c r="AE300" i="2"/>
  <c r="Q300" i="2"/>
  <c r="AM300" i="2"/>
  <c r="X300" i="2"/>
  <c r="AS300" i="2"/>
  <c r="AO300" i="2"/>
  <c r="W300" i="2"/>
  <c r="AC300" i="2"/>
  <c r="V300" i="2"/>
  <c r="AR300" i="2"/>
  <c r="AY300" i="2"/>
  <c r="AB300" i="2"/>
  <c r="AW300" i="2"/>
  <c r="AI300" i="2"/>
  <c r="T300" i="2"/>
  <c r="AU300" i="2"/>
  <c r="AF300" i="2"/>
  <c r="Y300" i="2"/>
  <c r="AV300" i="2"/>
  <c r="Z300" i="2"/>
  <c r="AZ300" i="2"/>
  <c r="U300" i="2"/>
  <c r="BA300" i="2"/>
  <c r="AJ300" i="2"/>
  <c r="AA300" i="2"/>
  <c r="AQ300" i="2"/>
  <c r="R300" i="2"/>
  <c r="AH300" i="2"/>
  <c r="AX300" i="2"/>
  <c r="P301" i="2"/>
  <c r="M301" i="2" s="1"/>
  <c r="B302" i="2"/>
  <c r="J301" i="2"/>
  <c r="I301" i="2"/>
  <c r="AL300" i="2"/>
  <c r="AP300" i="2"/>
  <c r="L299" i="2"/>
  <c r="N299" i="2" s="1"/>
  <c r="O299" i="2" s="1"/>
  <c r="AK300" i="2"/>
  <c r="H300" i="2"/>
  <c r="AD300" i="2"/>
  <c r="AT300" i="2"/>
  <c r="K301" i="2" l="1"/>
  <c r="AG301" i="2"/>
  <c r="Y301" i="2"/>
  <c r="S301" i="2"/>
  <c r="D302" i="2"/>
  <c r="C302" i="2"/>
  <c r="AM301" i="2"/>
  <c r="AO301" i="2"/>
  <c r="W301" i="2"/>
  <c r="AR301" i="2"/>
  <c r="AC301" i="2"/>
  <c r="Q301" i="2"/>
  <c r="X301" i="2"/>
  <c r="AB301" i="2"/>
  <c r="AW301" i="2"/>
  <c r="AI301" i="2"/>
  <c r="AU301" i="2"/>
  <c r="AN301" i="2"/>
  <c r="T301" i="2"/>
  <c r="AY301" i="2"/>
  <c r="AJ301" i="2"/>
  <c r="P302" i="2"/>
  <c r="M302" i="2" s="1"/>
  <c r="B303" i="2"/>
  <c r="J302" i="2"/>
  <c r="I302" i="2"/>
  <c r="AA301" i="2"/>
  <c r="AV301" i="2"/>
  <c r="V301" i="2"/>
  <c r="AL301" i="2"/>
  <c r="L300" i="2"/>
  <c r="N300" i="2" s="1"/>
  <c r="O300" i="2" s="1"/>
  <c r="AF301" i="2"/>
  <c r="BA301" i="2"/>
  <c r="Z301" i="2"/>
  <c r="AP301" i="2"/>
  <c r="AK301" i="2"/>
  <c r="H301" i="2"/>
  <c r="AD301" i="2"/>
  <c r="AT301" i="2"/>
  <c r="AS301" i="2"/>
  <c r="AE301" i="2"/>
  <c r="AZ301" i="2"/>
  <c r="U301" i="2"/>
  <c r="AQ301" i="2"/>
  <c r="R301" i="2"/>
  <c r="AH301" i="2"/>
  <c r="AX301" i="2"/>
  <c r="W302" i="2" l="1"/>
  <c r="AR302" i="2"/>
  <c r="K302" i="2"/>
  <c r="Y302" i="2"/>
  <c r="S302" i="2"/>
  <c r="AG302" i="2"/>
  <c r="Q302" i="2"/>
  <c r="AM302" i="2"/>
  <c r="AN302" i="2"/>
  <c r="AB302" i="2"/>
  <c r="AW302" i="2"/>
  <c r="AY302" i="2"/>
  <c r="AC302" i="2"/>
  <c r="D303" i="2"/>
  <c r="C303" i="2"/>
  <c r="X302" i="2"/>
  <c r="AS302" i="2"/>
  <c r="AU302" i="2"/>
  <c r="AI302" i="2"/>
  <c r="T302" i="2"/>
  <c r="AZ302" i="2"/>
  <c r="AE302" i="2"/>
  <c r="AO302" i="2"/>
  <c r="U302" i="2"/>
  <c r="AJ302" i="2"/>
  <c r="AA302" i="2"/>
  <c r="AQ302" i="2"/>
  <c r="AV302" i="2"/>
  <c r="L301" i="2"/>
  <c r="N301" i="2" s="1"/>
  <c r="AK302" i="2"/>
  <c r="H302" i="2"/>
  <c r="AD302" i="2"/>
  <c r="AT302" i="2"/>
  <c r="R302" i="2"/>
  <c r="AH302" i="2"/>
  <c r="AX302" i="2"/>
  <c r="P303" i="2"/>
  <c r="M303" i="2" s="1"/>
  <c r="B304" i="2"/>
  <c r="J303" i="2"/>
  <c r="I303" i="2"/>
  <c r="V302" i="2"/>
  <c r="AL302" i="2"/>
  <c r="AF302" i="2"/>
  <c r="BA302" i="2"/>
  <c r="Z302" i="2"/>
  <c r="AP302" i="2"/>
  <c r="K303" i="2" l="1"/>
  <c r="W303" i="2"/>
  <c r="AW303" i="2"/>
  <c r="AI303" i="2"/>
  <c r="T303" i="2"/>
  <c r="AB303" i="2"/>
  <c r="AG303" i="2"/>
  <c r="AU303" i="2"/>
  <c r="S303" i="2"/>
  <c r="Y303" i="2"/>
  <c r="Q303" i="2"/>
  <c r="AR303" i="2"/>
  <c r="AN303" i="2"/>
  <c r="C304" i="2"/>
  <c r="D304" i="2"/>
  <c r="AC303" i="2"/>
  <c r="AY303" i="2"/>
  <c r="AO303" i="2"/>
  <c r="V303" i="2"/>
  <c r="AZ303" i="2"/>
  <c r="AF303" i="2"/>
  <c r="AM303" i="2"/>
  <c r="X303" i="2"/>
  <c r="AS303" i="2"/>
  <c r="AE303" i="2"/>
  <c r="AV303" i="2"/>
  <c r="U303" i="2"/>
  <c r="BA303" i="2"/>
  <c r="AJ303" i="2"/>
  <c r="AA303" i="2"/>
  <c r="AQ303" i="2"/>
  <c r="R303" i="2"/>
  <c r="AH303" i="2"/>
  <c r="AX303" i="2"/>
  <c r="P304" i="2"/>
  <c r="M304" i="2" s="1"/>
  <c r="B305" i="2"/>
  <c r="J304" i="2"/>
  <c r="I304" i="2"/>
  <c r="AL303" i="2"/>
  <c r="Z303" i="2"/>
  <c r="AP303" i="2"/>
  <c r="L302" i="2"/>
  <c r="O301" i="2"/>
  <c r="AK303" i="2"/>
  <c r="H303" i="2"/>
  <c r="AD303" i="2"/>
  <c r="AT303" i="2"/>
  <c r="K304" i="2" l="1"/>
  <c r="AI304" i="2"/>
  <c r="AB304" i="2"/>
  <c r="X304" i="2"/>
  <c r="Q304" i="2"/>
  <c r="AW304" i="2"/>
  <c r="AM304" i="2"/>
  <c r="Y304" i="2"/>
  <c r="W304" i="2"/>
  <c r="AR304" i="2"/>
  <c r="AC304" i="2"/>
  <c r="D305" i="2"/>
  <c r="C305" i="2"/>
  <c r="AG304" i="2"/>
  <c r="S304" i="2"/>
  <c r="AN304" i="2"/>
  <c r="AO304" i="2"/>
  <c r="T304" i="2"/>
  <c r="AU304" i="2"/>
  <c r="N302" i="2"/>
  <c r="O302" i="2" s="1"/>
  <c r="L303" i="2"/>
  <c r="N303" i="2" s="1"/>
  <c r="AY304" i="2"/>
  <c r="AJ304" i="2"/>
  <c r="P305" i="2"/>
  <c r="M305" i="2" s="1"/>
  <c r="B306" i="2"/>
  <c r="J305" i="2"/>
  <c r="I305" i="2"/>
  <c r="AA304" i="2"/>
  <c r="AV304" i="2"/>
  <c r="V304" i="2"/>
  <c r="AL304" i="2"/>
  <c r="AF304" i="2"/>
  <c r="BA304" i="2"/>
  <c r="Z304" i="2"/>
  <c r="AP304" i="2"/>
  <c r="AK304" i="2"/>
  <c r="H304" i="2"/>
  <c r="AD304" i="2"/>
  <c r="AT304" i="2"/>
  <c r="AS304" i="2"/>
  <c r="AE304" i="2"/>
  <c r="AZ304" i="2"/>
  <c r="U304" i="2"/>
  <c r="AQ304" i="2"/>
  <c r="R304" i="2"/>
  <c r="AH304" i="2"/>
  <c r="AX304" i="2"/>
  <c r="K305" i="2" l="1"/>
  <c r="AG305" i="2"/>
  <c r="W305" i="2"/>
  <c r="D306" i="2"/>
  <c r="C306" i="2"/>
  <c r="Q305" i="2"/>
  <c r="AR305" i="2"/>
  <c r="AB305" i="2"/>
  <c r="AM305" i="2"/>
  <c r="AS305" i="2"/>
  <c r="AW305" i="2"/>
  <c r="AE305" i="2"/>
  <c r="AN305" i="2"/>
  <c r="X305" i="2"/>
  <c r="AU305" i="2"/>
  <c r="AZ305" i="2"/>
  <c r="S305" i="2"/>
  <c r="Y305" i="2"/>
  <c r="L304" i="2"/>
  <c r="N304" i="2" s="1"/>
  <c r="AI305" i="2"/>
  <c r="T305" i="2"/>
  <c r="AO305" i="2"/>
  <c r="AF305" i="2"/>
  <c r="BA305" i="2"/>
  <c r="Z305" i="2"/>
  <c r="AP305" i="2"/>
  <c r="AK305" i="2"/>
  <c r="H305" i="2"/>
  <c r="AD305" i="2"/>
  <c r="AT305" i="2"/>
  <c r="U305" i="2"/>
  <c r="AQ305" i="2"/>
  <c r="R305" i="2"/>
  <c r="AH305" i="2"/>
  <c r="AX305" i="2"/>
  <c r="O303" i="2"/>
  <c r="AC305" i="2"/>
  <c r="AY305" i="2"/>
  <c r="AJ305" i="2"/>
  <c r="P306" i="2"/>
  <c r="M306" i="2" s="1"/>
  <c r="B307" i="2"/>
  <c r="J306" i="2"/>
  <c r="I306" i="2"/>
  <c r="AA305" i="2"/>
  <c r="AV305" i="2"/>
  <c r="V305" i="2"/>
  <c r="AL305" i="2"/>
  <c r="K306" i="2" l="1"/>
  <c r="D307" i="2"/>
  <c r="C307" i="2"/>
  <c r="AR306" i="2"/>
  <c r="AI306" i="2"/>
  <c r="W306" i="2"/>
  <c r="AO306" i="2"/>
  <c r="AB306" i="2"/>
  <c r="AW306" i="2"/>
  <c r="AN306" i="2"/>
  <c r="AU306" i="2"/>
  <c r="AF306" i="2"/>
  <c r="AG306" i="2"/>
  <c r="S306" i="2"/>
  <c r="T306" i="2"/>
  <c r="Q306" i="2"/>
  <c r="AM306" i="2"/>
  <c r="X306" i="2"/>
  <c r="Y306" i="2"/>
  <c r="AC306" i="2"/>
  <c r="AY306" i="2"/>
  <c r="AJ306" i="2"/>
  <c r="P307" i="2"/>
  <c r="M307" i="2" s="1"/>
  <c r="B308" i="2"/>
  <c r="J307" i="2"/>
  <c r="I307" i="2"/>
  <c r="AA306" i="2"/>
  <c r="AV306" i="2"/>
  <c r="V306" i="2"/>
  <c r="AL306" i="2"/>
  <c r="BA306" i="2"/>
  <c r="Z306" i="2"/>
  <c r="AP306" i="2"/>
  <c r="AK306" i="2"/>
  <c r="H306" i="2"/>
  <c r="AD306" i="2"/>
  <c r="AT306" i="2"/>
  <c r="O304" i="2"/>
  <c r="AS306" i="2"/>
  <c r="AE306" i="2"/>
  <c r="AZ306" i="2"/>
  <c r="U306" i="2"/>
  <c r="AQ306" i="2"/>
  <c r="R306" i="2"/>
  <c r="AH306" i="2"/>
  <c r="AX306" i="2"/>
  <c r="L305" i="2"/>
  <c r="AM307" i="2" l="1"/>
  <c r="W307" i="2"/>
  <c r="Q307" i="2"/>
  <c r="AR307" i="2"/>
  <c r="AG307" i="2"/>
  <c r="AB307" i="2"/>
  <c r="AW307" i="2"/>
  <c r="X307" i="2"/>
  <c r="S307" i="2"/>
  <c r="K307" i="2"/>
  <c r="AI307" i="2"/>
  <c r="AC307" i="2"/>
  <c r="AO307" i="2"/>
  <c r="AY307" i="2"/>
  <c r="C308" i="2"/>
  <c r="D308" i="2"/>
  <c r="AN307" i="2"/>
  <c r="AU307" i="2"/>
  <c r="T307" i="2"/>
  <c r="AS307" i="2"/>
  <c r="AE307" i="2"/>
  <c r="Y307" i="2"/>
  <c r="AZ307" i="2"/>
  <c r="AV307" i="2"/>
  <c r="AJ307" i="2"/>
  <c r="AF307" i="2"/>
  <c r="AA307" i="2"/>
  <c r="BA307" i="2"/>
  <c r="N305" i="2"/>
  <c r="O305" i="2" s="1"/>
  <c r="L306" i="2"/>
  <c r="U307" i="2"/>
  <c r="AQ307" i="2"/>
  <c r="R307" i="2"/>
  <c r="AH307" i="2"/>
  <c r="AX307" i="2"/>
  <c r="P308" i="2"/>
  <c r="M308" i="2" s="1"/>
  <c r="B309" i="2"/>
  <c r="J308" i="2"/>
  <c r="I308" i="2"/>
  <c r="V307" i="2"/>
  <c r="AL307" i="2"/>
  <c r="Z307" i="2"/>
  <c r="AP307" i="2"/>
  <c r="AK307" i="2"/>
  <c r="H307" i="2"/>
  <c r="AD307" i="2"/>
  <c r="AT307" i="2"/>
  <c r="K308" i="2" l="1"/>
  <c r="AS308" i="2"/>
  <c r="Q308" i="2"/>
  <c r="AB308" i="2"/>
  <c r="AW308" i="2"/>
  <c r="W308" i="2"/>
  <c r="S308" i="2"/>
  <c r="AG308" i="2"/>
  <c r="AI308" i="2"/>
  <c r="AR308" i="2"/>
  <c r="AC308" i="2"/>
  <c r="Y308" i="2"/>
  <c r="AM308" i="2"/>
  <c r="X308" i="2"/>
  <c r="AY308" i="2"/>
  <c r="D309" i="2"/>
  <c r="C309" i="2"/>
  <c r="AN308" i="2"/>
  <c r="AO308" i="2"/>
  <c r="AU308" i="2"/>
  <c r="T308" i="2"/>
  <c r="AE308" i="2"/>
  <c r="AJ308" i="2"/>
  <c r="AA308" i="2"/>
  <c r="AQ308" i="2"/>
  <c r="AZ308" i="2"/>
  <c r="U308" i="2"/>
  <c r="AV308" i="2"/>
  <c r="N306" i="2"/>
  <c r="O306" i="2" s="1"/>
  <c r="L307" i="2"/>
  <c r="N307" i="2" s="1"/>
  <c r="AK308" i="2"/>
  <c r="H308" i="2"/>
  <c r="AD308" i="2"/>
  <c r="AT308" i="2"/>
  <c r="R308" i="2"/>
  <c r="AH308" i="2"/>
  <c r="AX308" i="2"/>
  <c r="P309" i="2"/>
  <c r="M309" i="2" s="1"/>
  <c r="B310" i="2"/>
  <c r="J309" i="2"/>
  <c r="I309" i="2"/>
  <c r="V308" i="2"/>
  <c r="AL308" i="2"/>
  <c r="AF308" i="2"/>
  <c r="BA308" i="2"/>
  <c r="Z308" i="2"/>
  <c r="AP308" i="2"/>
  <c r="W309" i="2" l="1"/>
  <c r="AR309" i="2"/>
  <c r="AB309" i="2"/>
  <c r="X309" i="2"/>
  <c r="K309" i="2"/>
  <c r="AC309" i="2"/>
  <c r="AG309" i="2"/>
  <c r="Q309" i="2"/>
  <c r="AM309" i="2"/>
  <c r="T309" i="2"/>
  <c r="AW309" i="2"/>
  <c r="AI309" i="2"/>
  <c r="AE309" i="2"/>
  <c r="S309" i="2"/>
  <c r="AN309" i="2"/>
  <c r="Y309" i="2"/>
  <c r="AS309" i="2"/>
  <c r="AY309" i="2"/>
  <c r="AJ309" i="2"/>
  <c r="D310" i="2"/>
  <c r="C310" i="2"/>
  <c r="AO309" i="2"/>
  <c r="AU309" i="2"/>
  <c r="AZ309" i="2"/>
  <c r="R309" i="2"/>
  <c r="U309" i="2"/>
  <c r="AH309" i="2"/>
  <c r="AQ309" i="2"/>
  <c r="AX309" i="2"/>
  <c r="P310" i="2"/>
  <c r="M310" i="2" s="1"/>
  <c r="B311" i="2"/>
  <c r="J310" i="2"/>
  <c r="I310" i="2"/>
  <c r="AA309" i="2"/>
  <c r="AV309" i="2"/>
  <c r="V309" i="2"/>
  <c r="AL309" i="2"/>
  <c r="AF309" i="2"/>
  <c r="BA309" i="2"/>
  <c r="Z309" i="2"/>
  <c r="AP309" i="2"/>
  <c r="L308" i="2"/>
  <c r="N308" i="2" s="1"/>
  <c r="O307" i="2"/>
  <c r="AK309" i="2"/>
  <c r="H309" i="2"/>
  <c r="AD309" i="2"/>
  <c r="AT309" i="2"/>
  <c r="Q310" i="2" l="1"/>
  <c r="AB310" i="2"/>
  <c r="AW310" i="2"/>
  <c r="AM310" i="2"/>
  <c r="AG310" i="2"/>
  <c r="W310" i="2"/>
  <c r="AR310" i="2"/>
  <c r="S310" i="2"/>
  <c r="K310" i="2"/>
  <c r="AC310" i="2"/>
  <c r="AU310" i="2"/>
  <c r="AS310" i="2"/>
  <c r="X310" i="2"/>
  <c r="D311" i="2"/>
  <c r="C311" i="2"/>
  <c r="AN310" i="2"/>
  <c r="AI310" i="2"/>
  <c r="AZ310" i="2"/>
  <c r="Y310" i="2"/>
  <c r="AE310" i="2"/>
  <c r="O308" i="2"/>
  <c r="AY310" i="2"/>
  <c r="AJ310" i="2"/>
  <c r="P311" i="2"/>
  <c r="M311" i="2" s="1"/>
  <c r="B312" i="2"/>
  <c r="J311" i="2"/>
  <c r="I311" i="2"/>
  <c r="AA310" i="2"/>
  <c r="AV310" i="2"/>
  <c r="V310" i="2"/>
  <c r="AL310" i="2"/>
  <c r="L309" i="2"/>
  <c r="N309" i="2" s="1"/>
  <c r="T310" i="2"/>
  <c r="AO310" i="2"/>
  <c r="AF310" i="2"/>
  <c r="BA310" i="2"/>
  <c r="Z310" i="2"/>
  <c r="AP310" i="2"/>
  <c r="AK310" i="2"/>
  <c r="H310" i="2"/>
  <c r="AD310" i="2"/>
  <c r="AT310" i="2"/>
  <c r="U310" i="2"/>
  <c r="AQ310" i="2"/>
  <c r="R310" i="2"/>
  <c r="AH310" i="2"/>
  <c r="AX310" i="2"/>
  <c r="K311" i="2" l="1"/>
  <c r="Q311" i="2"/>
  <c r="W311" i="2"/>
  <c r="AB311" i="2"/>
  <c r="AM311" i="2"/>
  <c r="AG311" i="2"/>
  <c r="AR311" i="2"/>
  <c r="X311" i="2"/>
  <c r="AS311" i="2"/>
  <c r="S311" i="2"/>
  <c r="AN311" i="2"/>
  <c r="AW311" i="2"/>
  <c r="AI311" i="2"/>
  <c r="AC311" i="2"/>
  <c r="AY311" i="2"/>
  <c r="C312" i="2"/>
  <c r="D312" i="2"/>
  <c r="AO311" i="2"/>
  <c r="AU311" i="2"/>
  <c r="T311" i="2"/>
  <c r="Y311" i="2"/>
  <c r="AF311" i="2"/>
  <c r="O309" i="2"/>
  <c r="AE311" i="2"/>
  <c r="AZ311" i="2"/>
  <c r="U311" i="2"/>
  <c r="AQ311" i="2"/>
  <c r="R311" i="2"/>
  <c r="AH311" i="2"/>
  <c r="AX311" i="2"/>
  <c r="L310" i="2"/>
  <c r="N310" i="2" s="1"/>
  <c r="AJ311" i="2"/>
  <c r="P312" i="2"/>
  <c r="M312" i="2" s="1"/>
  <c r="B313" i="2"/>
  <c r="J312" i="2"/>
  <c r="I312" i="2"/>
  <c r="AA311" i="2"/>
  <c r="AV311" i="2"/>
  <c r="V311" i="2"/>
  <c r="AL311" i="2"/>
  <c r="BA311" i="2"/>
  <c r="Z311" i="2"/>
  <c r="AP311" i="2"/>
  <c r="AK311" i="2"/>
  <c r="H311" i="2"/>
  <c r="AD311" i="2"/>
  <c r="AT311" i="2"/>
  <c r="X312" i="2" l="1"/>
  <c r="K312" i="2"/>
  <c r="Q312" i="2"/>
  <c r="AM312" i="2"/>
  <c r="AG312" i="2"/>
  <c r="AN312" i="2"/>
  <c r="AS312" i="2"/>
  <c r="S312" i="2"/>
  <c r="AB312" i="2"/>
  <c r="AW312" i="2"/>
  <c r="AI312" i="2"/>
  <c r="AE312" i="2"/>
  <c r="W312" i="2"/>
  <c r="AR312" i="2"/>
  <c r="AC312" i="2"/>
  <c r="Y312" i="2"/>
  <c r="T312" i="2"/>
  <c r="AZ312" i="2"/>
  <c r="AY312" i="2"/>
  <c r="AU312" i="2"/>
  <c r="D313" i="2"/>
  <c r="C313" i="2"/>
  <c r="AO312" i="2"/>
  <c r="AJ312" i="2"/>
  <c r="P313" i="2"/>
  <c r="M313" i="2" s="1"/>
  <c r="B314" i="2"/>
  <c r="J313" i="2"/>
  <c r="I313" i="2"/>
  <c r="AA312" i="2"/>
  <c r="AV312" i="2"/>
  <c r="V312" i="2"/>
  <c r="AL312" i="2"/>
  <c r="AF312" i="2"/>
  <c r="BA312" i="2"/>
  <c r="Z312" i="2"/>
  <c r="AP312" i="2"/>
  <c r="AK312" i="2"/>
  <c r="H312" i="2"/>
  <c r="AD312" i="2"/>
  <c r="AT312" i="2"/>
  <c r="O310" i="2"/>
  <c r="L311" i="2"/>
  <c r="N311" i="2" s="1"/>
  <c r="U312" i="2"/>
  <c r="AQ312" i="2"/>
  <c r="R312" i="2"/>
  <c r="AH312" i="2"/>
  <c r="AX312" i="2"/>
  <c r="K313" i="2" l="1"/>
  <c r="D314" i="2"/>
  <c r="C314" i="2"/>
  <c r="AC313" i="2"/>
  <c r="AY313" i="2"/>
  <c r="Q313" i="2"/>
  <c r="W313" i="2"/>
  <c r="AR313" i="2"/>
  <c r="AB313" i="2"/>
  <c r="AW313" i="2"/>
  <c r="AI313" i="2"/>
  <c r="T313" i="2"/>
  <c r="AU313" i="2"/>
  <c r="AO313" i="2"/>
  <c r="AG313" i="2"/>
  <c r="S313" i="2"/>
  <c r="AN313" i="2"/>
  <c r="Y313" i="2"/>
  <c r="AM313" i="2"/>
  <c r="X313" i="2"/>
  <c r="AS313" i="2"/>
  <c r="AE313" i="2"/>
  <c r="AJ313" i="2"/>
  <c r="AZ313" i="2"/>
  <c r="P314" i="2"/>
  <c r="M314" i="2" s="1"/>
  <c r="B315" i="2"/>
  <c r="J314" i="2"/>
  <c r="I314" i="2"/>
  <c r="AA313" i="2"/>
  <c r="AV313" i="2"/>
  <c r="V313" i="2"/>
  <c r="AL313" i="2"/>
  <c r="O311" i="2"/>
  <c r="AF313" i="2"/>
  <c r="BA313" i="2"/>
  <c r="Z313" i="2"/>
  <c r="AP313" i="2"/>
  <c r="L312" i="2"/>
  <c r="N312" i="2" s="1"/>
  <c r="O312" i="2" s="1"/>
  <c r="AK313" i="2"/>
  <c r="H313" i="2"/>
  <c r="AD313" i="2"/>
  <c r="AT313" i="2"/>
  <c r="U313" i="2"/>
  <c r="AQ313" i="2"/>
  <c r="R313" i="2"/>
  <c r="AH313" i="2"/>
  <c r="AX313" i="2"/>
  <c r="K314" i="2" l="1"/>
  <c r="D315" i="2"/>
  <c r="C315" i="2"/>
  <c r="AR314" i="2"/>
  <c r="W314" i="2"/>
  <c r="AC314" i="2"/>
  <c r="Y314" i="2"/>
  <c r="AB314" i="2"/>
  <c r="AW314" i="2"/>
  <c r="AI314" i="2"/>
  <c r="AU314" i="2"/>
  <c r="AG314" i="2"/>
  <c r="S314" i="2"/>
  <c r="AN314" i="2"/>
  <c r="Q314" i="2"/>
  <c r="AM314" i="2"/>
  <c r="X314" i="2"/>
  <c r="AS314" i="2"/>
  <c r="AZ314" i="2"/>
  <c r="U314" i="2"/>
  <c r="AE314" i="2"/>
  <c r="AY314" i="2"/>
  <c r="AJ314" i="2"/>
  <c r="P315" i="2"/>
  <c r="M315" i="2" s="1"/>
  <c r="B316" i="2"/>
  <c r="J315" i="2"/>
  <c r="I315" i="2"/>
  <c r="AA314" i="2"/>
  <c r="AV314" i="2"/>
  <c r="V314" i="2"/>
  <c r="AL314" i="2"/>
  <c r="T314" i="2"/>
  <c r="AO314" i="2"/>
  <c r="AF314" i="2"/>
  <c r="BA314" i="2"/>
  <c r="Z314" i="2"/>
  <c r="AP314" i="2"/>
  <c r="L313" i="2"/>
  <c r="AK314" i="2"/>
  <c r="H314" i="2"/>
  <c r="AD314" i="2"/>
  <c r="AT314" i="2"/>
  <c r="AQ314" i="2"/>
  <c r="R314" i="2"/>
  <c r="AH314" i="2"/>
  <c r="AX314" i="2"/>
  <c r="K315" i="2" l="1"/>
  <c r="S315" i="2"/>
  <c r="AG315" i="2"/>
  <c r="AU315" i="2"/>
  <c r="AW315" i="2"/>
  <c r="C316" i="2"/>
  <c r="D316" i="2"/>
  <c r="AB315" i="2"/>
  <c r="AE315" i="2"/>
  <c r="Q315" i="2"/>
  <c r="AM315" i="2"/>
  <c r="AI315" i="2"/>
  <c r="W315" i="2"/>
  <c r="AR315" i="2"/>
  <c r="AN315" i="2"/>
  <c r="AC315" i="2"/>
  <c r="Y315" i="2"/>
  <c r="X315" i="2"/>
  <c r="AS315" i="2"/>
  <c r="AZ315" i="2"/>
  <c r="AY315" i="2"/>
  <c r="AJ315" i="2"/>
  <c r="T315" i="2"/>
  <c r="AO315" i="2"/>
  <c r="N313" i="2"/>
  <c r="O313" i="2" s="1"/>
  <c r="AK315" i="2"/>
  <c r="H315" i="2"/>
  <c r="AD315" i="2"/>
  <c r="AT315" i="2"/>
  <c r="U315" i="2"/>
  <c r="AQ315" i="2"/>
  <c r="R315" i="2"/>
  <c r="AH315" i="2"/>
  <c r="AX315" i="2"/>
  <c r="P316" i="2"/>
  <c r="M316" i="2" s="1"/>
  <c r="B317" i="2"/>
  <c r="J316" i="2"/>
  <c r="I316" i="2"/>
  <c r="AA315" i="2"/>
  <c r="AV315" i="2"/>
  <c r="V315" i="2"/>
  <c r="AL315" i="2"/>
  <c r="L314" i="2"/>
  <c r="AF315" i="2"/>
  <c r="BA315" i="2"/>
  <c r="Z315" i="2"/>
  <c r="AP315" i="2"/>
  <c r="K316" i="2" l="1"/>
  <c r="AB316" i="2"/>
  <c r="Q316" i="2"/>
  <c r="W316" i="2"/>
  <c r="AG316" i="2"/>
  <c r="AR316" i="2"/>
  <c r="AC316" i="2"/>
  <c r="S316" i="2"/>
  <c r="D317" i="2"/>
  <c r="C317" i="2"/>
  <c r="AM316" i="2"/>
  <c r="X316" i="2"/>
  <c r="AW316" i="2"/>
  <c r="Y316" i="2"/>
  <c r="AN316" i="2"/>
  <c r="AS316" i="2"/>
  <c r="AJ316" i="2"/>
  <c r="AY316" i="2"/>
  <c r="AO316" i="2"/>
  <c r="AI316" i="2"/>
  <c r="T316" i="2"/>
  <c r="AU316" i="2"/>
  <c r="AE316" i="2"/>
  <c r="N314" i="2"/>
  <c r="O314" i="2" s="1"/>
  <c r="P317" i="2"/>
  <c r="M317" i="2" s="1"/>
  <c r="B318" i="2"/>
  <c r="J317" i="2"/>
  <c r="I317" i="2"/>
  <c r="AA316" i="2"/>
  <c r="AV316" i="2"/>
  <c r="V316" i="2"/>
  <c r="AL316" i="2"/>
  <c r="AF316" i="2"/>
  <c r="BA316" i="2"/>
  <c r="Z316" i="2"/>
  <c r="AP316" i="2"/>
  <c r="AK316" i="2"/>
  <c r="H316" i="2"/>
  <c r="AD316" i="2"/>
  <c r="AT316" i="2"/>
  <c r="AZ316" i="2"/>
  <c r="U316" i="2"/>
  <c r="AQ316" i="2"/>
  <c r="R316" i="2"/>
  <c r="AH316" i="2"/>
  <c r="AX316" i="2"/>
  <c r="L315" i="2"/>
  <c r="K317" i="2" l="1"/>
  <c r="X317" i="2"/>
  <c r="Q317" i="2"/>
  <c r="D318" i="2"/>
  <c r="C318" i="2"/>
  <c r="W317" i="2"/>
  <c r="Y317" i="2"/>
  <c r="AM317" i="2"/>
  <c r="AR317" i="2"/>
  <c r="AI317" i="2"/>
  <c r="AO317" i="2"/>
  <c r="AB317" i="2"/>
  <c r="AW317" i="2"/>
  <c r="AN317" i="2"/>
  <c r="AG317" i="2"/>
  <c r="S317" i="2"/>
  <c r="AS317" i="2"/>
  <c r="AU317" i="2"/>
  <c r="AF317" i="2"/>
  <c r="N315" i="2"/>
  <c r="O315" i="2" s="1"/>
  <c r="T317" i="2"/>
  <c r="BA317" i="2"/>
  <c r="Z317" i="2"/>
  <c r="AK317" i="2"/>
  <c r="H317" i="2"/>
  <c r="AD317" i="2"/>
  <c r="AT317" i="2"/>
  <c r="AE317" i="2"/>
  <c r="AZ317" i="2"/>
  <c r="U317" i="2"/>
  <c r="AQ317" i="2"/>
  <c r="R317" i="2"/>
  <c r="AH317" i="2"/>
  <c r="AX317" i="2"/>
  <c r="L316" i="2"/>
  <c r="N316" i="2" s="1"/>
  <c r="AC317" i="2"/>
  <c r="AY317" i="2"/>
  <c r="AJ317" i="2"/>
  <c r="P318" i="2"/>
  <c r="M318" i="2" s="1"/>
  <c r="B319" i="2"/>
  <c r="J318" i="2"/>
  <c r="I318" i="2"/>
  <c r="AA317" i="2"/>
  <c r="AV317" i="2"/>
  <c r="V317" i="2"/>
  <c r="AL317" i="2"/>
  <c r="AP317" i="2"/>
  <c r="K318" i="2" l="1"/>
  <c r="D319" i="2"/>
  <c r="C319" i="2"/>
  <c r="T318" i="2"/>
  <c r="AB318" i="2"/>
  <c r="AU318" i="2"/>
  <c r="AW318" i="2"/>
  <c r="AI318" i="2"/>
  <c r="AG318" i="2"/>
  <c r="S318" i="2"/>
  <c r="AN318" i="2"/>
  <c r="Y318" i="2"/>
  <c r="AZ318" i="2"/>
  <c r="Q318" i="2"/>
  <c r="AM318" i="2"/>
  <c r="X318" i="2"/>
  <c r="AS318" i="2"/>
  <c r="AE318" i="2"/>
  <c r="W318" i="2"/>
  <c r="AR318" i="2"/>
  <c r="AC318" i="2"/>
  <c r="AY318" i="2"/>
  <c r="AO318" i="2"/>
  <c r="AK318" i="2"/>
  <c r="H318" i="2"/>
  <c r="AD318" i="2"/>
  <c r="AT318" i="2"/>
  <c r="U318" i="2"/>
  <c r="AQ318" i="2"/>
  <c r="R318" i="2"/>
  <c r="AH318" i="2"/>
  <c r="AX318" i="2"/>
  <c r="L317" i="2"/>
  <c r="N317" i="2" s="1"/>
  <c r="AJ318" i="2"/>
  <c r="P319" i="2"/>
  <c r="M319" i="2" s="1"/>
  <c r="B320" i="2"/>
  <c r="J319" i="2"/>
  <c r="I319" i="2"/>
  <c r="AA318" i="2"/>
  <c r="AV318" i="2"/>
  <c r="V318" i="2"/>
  <c r="AL318" i="2"/>
  <c r="O316" i="2"/>
  <c r="AF318" i="2"/>
  <c r="BA318" i="2"/>
  <c r="Z318" i="2"/>
  <c r="AP318" i="2"/>
  <c r="K319" i="2" l="1"/>
  <c r="AG319" i="2"/>
  <c r="S319" i="2"/>
  <c r="AB319" i="2"/>
  <c r="AI319" i="2"/>
  <c r="C320" i="2"/>
  <c r="D320" i="2"/>
  <c r="W319" i="2"/>
  <c r="AW319" i="2"/>
  <c r="AR319" i="2"/>
  <c r="T319" i="2"/>
  <c r="AY319" i="2"/>
  <c r="AC319" i="2"/>
  <c r="AO319" i="2"/>
  <c r="AU319" i="2"/>
  <c r="AN319" i="2"/>
  <c r="Y319" i="2"/>
  <c r="Q319" i="2"/>
  <c r="AM319" i="2"/>
  <c r="X319" i="2"/>
  <c r="AS319" i="2"/>
  <c r="AE319" i="2"/>
  <c r="AJ319" i="2"/>
  <c r="AZ319" i="2"/>
  <c r="AK319" i="2"/>
  <c r="H319" i="2"/>
  <c r="AD319" i="2"/>
  <c r="AT319" i="2"/>
  <c r="O317" i="2"/>
  <c r="U319" i="2"/>
  <c r="AQ319" i="2"/>
  <c r="R319" i="2"/>
  <c r="AH319" i="2"/>
  <c r="AX319" i="2"/>
  <c r="L318" i="2"/>
  <c r="N318" i="2" s="1"/>
  <c r="P320" i="2"/>
  <c r="M320" i="2" s="1"/>
  <c r="B321" i="2"/>
  <c r="J320" i="2"/>
  <c r="I320" i="2"/>
  <c r="AA319" i="2"/>
  <c r="AV319" i="2"/>
  <c r="V319" i="2"/>
  <c r="AL319" i="2"/>
  <c r="AF319" i="2"/>
  <c r="BA319" i="2"/>
  <c r="Z319" i="2"/>
  <c r="AP319" i="2"/>
  <c r="K320" i="2" l="1"/>
  <c r="AM320" i="2"/>
  <c r="AC320" i="2"/>
  <c r="W320" i="2"/>
  <c r="T320" i="2"/>
  <c r="AG320" i="2"/>
  <c r="D321" i="2"/>
  <c r="C321" i="2"/>
  <c r="Q320" i="2"/>
  <c r="AR320" i="2"/>
  <c r="AE320" i="2"/>
  <c r="X320" i="2"/>
  <c r="AB320" i="2"/>
  <c r="AW320" i="2"/>
  <c r="AI320" i="2"/>
  <c r="AU320" i="2"/>
  <c r="S320" i="2"/>
  <c r="AS320" i="2"/>
  <c r="AF320" i="2"/>
  <c r="Z320" i="2"/>
  <c r="AY320" i="2"/>
  <c r="AO320" i="2"/>
  <c r="AQ320" i="2"/>
  <c r="AX320" i="2"/>
  <c r="AN320" i="2"/>
  <c r="Y320" i="2"/>
  <c r="AZ320" i="2"/>
  <c r="U320" i="2"/>
  <c r="R320" i="2"/>
  <c r="O318" i="2"/>
  <c r="BA320" i="2"/>
  <c r="AH320" i="2"/>
  <c r="AK320" i="2"/>
  <c r="H320" i="2"/>
  <c r="AD320" i="2"/>
  <c r="AT320" i="2"/>
  <c r="L319" i="2"/>
  <c r="N319" i="2" s="1"/>
  <c r="AJ320" i="2"/>
  <c r="P321" i="2"/>
  <c r="M321" i="2" s="1"/>
  <c r="B322" i="2"/>
  <c r="J321" i="2"/>
  <c r="I321" i="2"/>
  <c r="AA320" i="2"/>
  <c r="AV320" i="2"/>
  <c r="V320" i="2"/>
  <c r="AL320" i="2"/>
  <c r="AP320" i="2"/>
  <c r="Q321" i="2" l="1"/>
  <c r="K321" i="2"/>
  <c r="AM321" i="2"/>
  <c r="T321" i="2"/>
  <c r="AG321" i="2"/>
  <c r="AB321" i="2"/>
  <c r="AU321" i="2"/>
  <c r="D322" i="2"/>
  <c r="C322" i="2"/>
  <c r="W321" i="2"/>
  <c r="S321" i="2"/>
  <c r="AC321" i="2"/>
  <c r="AW321" i="2"/>
  <c r="AY321" i="2"/>
  <c r="AR321" i="2"/>
  <c r="AI321" i="2"/>
  <c r="X321" i="2"/>
  <c r="AS321" i="2"/>
  <c r="AE321" i="2"/>
  <c r="AO321" i="2"/>
  <c r="AN321" i="2"/>
  <c r="Y321" i="2"/>
  <c r="AZ321" i="2"/>
  <c r="AJ321" i="2"/>
  <c r="AA321" i="2"/>
  <c r="AF321" i="2"/>
  <c r="V321" i="2"/>
  <c r="AQ321" i="2"/>
  <c r="U321" i="2"/>
  <c r="AV321" i="2"/>
  <c r="BA321" i="2"/>
  <c r="Z321" i="2"/>
  <c r="AP321" i="2"/>
  <c r="AK321" i="2"/>
  <c r="H321" i="2"/>
  <c r="AD321" i="2"/>
  <c r="AT321" i="2"/>
  <c r="O319" i="2"/>
  <c r="L320" i="2"/>
  <c r="N320" i="2" s="1"/>
  <c r="R321" i="2"/>
  <c r="AH321" i="2"/>
  <c r="AX321" i="2"/>
  <c r="B323" i="2"/>
  <c r="P322" i="2"/>
  <c r="M322" i="2" s="1"/>
  <c r="J322" i="2"/>
  <c r="I322" i="2"/>
  <c r="AL321" i="2"/>
  <c r="K322" i="2" l="1"/>
  <c r="AY322" i="2"/>
  <c r="W322" i="2"/>
  <c r="AG322" i="2"/>
  <c r="AI322" i="2"/>
  <c r="Q322" i="2"/>
  <c r="AR322" i="2"/>
  <c r="BA322" i="2"/>
  <c r="AB322" i="2"/>
  <c r="S322" i="2"/>
  <c r="D323" i="2"/>
  <c r="C323" i="2"/>
  <c r="Y322" i="2"/>
  <c r="AM322" i="2"/>
  <c r="AC322" i="2"/>
  <c r="AN322" i="2"/>
  <c r="T322" i="2"/>
  <c r="AU322" i="2"/>
  <c r="X322" i="2"/>
  <c r="AS322" i="2"/>
  <c r="AJ322" i="2"/>
  <c r="AO322" i="2"/>
  <c r="U322" i="2"/>
  <c r="AF322" i="2"/>
  <c r="AE322" i="2"/>
  <c r="AW322" i="2"/>
  <c r="AQ322" i="2"/>
  <c r="AA322" i="2"/>
  <c r="AV322" i="2"/>
  <c r="R322" i="2"/>
  <c r="AH322" i="2"/>
  <c r="AX322" i="2"/>
  <c r="AK322" i="2"/>
  <c r="AZ322" i="2"/>
  <c r="V322" i="2"/>
  <c r="AL322" i="2"/>
  <c r="O320" i="2"/>
  <c r="B324" i="2"/>
  <c r="P323" i="2"/>
  <c r="M323" i="2" s="1"/>
  <c r="J323" i="2"/>
  <c r="I323" i="2"/>
  <c r="Z322" i="2"/>
  <c r="AP322" i="2"/>
  <c r="L321" i="2"/>
  <c r="N321" i="2" s="1"/>
  <c r="O321" i="2" s="1"/>
  <c r="H322" i="2"/>
  <c r="AD322" i="2"/>
  <c r="AT322" i="2"/>
  <c r="K323" i="2" l="1"/>
  <c r="C324" i="2"/>
  <c r="D324" i="2"/>
  <c r="AK323" i="2"/>
  <c r="AC323" i="2"/>
  <c r="AE323" i="2"/>
  <c r="W323" i="2"/>
  <c r="U323" i="2"/>
  <c r="BA323" i="2"/>
  <c r="AW323" i="2"/>
  <c r="AS323" i="2"/>
  <c r="AG323" i="2"/>
  <c r="AM323" i="2"/>
  <c r="AA323" i="2"/>
  <c r="AN323" i="2"/>
  <c r="AP323" i="2"/>
  <c r="Q323" i="2"/>
  <c r="AQ323" i="2"/>
  <c r="X323" i="2"/>
  <c r="Z323" i="2"/>
  <c r="L322" i="2"/>
  <c r="N322" i="2" s="1"/>
  <c r="Y323" i="2"/>
  <c r="S323" i="2"/>
  <c r="AY323" i="2"/>
  <c r="AB323" i="2"/>
  <c r="AR323" i="2"/>
  <c r="H323" i="2"/>
  <c r="AD323" i="2"/>
  <c r="AT323" i="2"/>
  <c r="B325" i="2"/>
  <c r="P324" i="2"/>
  <c r="M324" i="2" s="1"/>
  <c r="J324" i="2"/>
  <c r="I324" i="2"/>
  <c r="AF323" i="2"/>
  <c r="AV323" i="2"/>
  <c r="R323" i="2"/>
  <c r="AH323" i="2"/>
  <c r="AX323" i="2"/>
  <c r="AU323" i="2"/>
  <c r="AO323" i="2"/>
  <c r="AI323" i="2"/>
  <c r="T323" i="2"/>
  <c r="AJ323" i="2"/>
  <c r="AZ323" i="2"/>
  <c r="V323" i="2"/>
  <c r="AL323" i="2"/>
  <c r="K324" i="2" l="1"/>
  <c r="D325" i="2"/>
  <c r="C325" i="2"/>
  <c r="AU324" i="2"/>
  <c r="AO324" i="2"/>
  <c r="U324" i="2"/>
  <c r="AI324" i="2"/>
  <c r="W324" i="2"/>
  <c r="Q324" i="2"/>
  <c r="AW324" i="2"/>
  <c r="AQ324" i="2"/>
  <c r="AC324" i="2"/>
  <c r="T324" i="2"/>
  <c r="AE324" i="2"/>
  <c r="Y324" i="2"/>
  <c r="S324" i="2"/>
  <c r="AY324" i="2"/>
  <c r="AK324" i="2"/>
  <c r="AB324" i="2"/>
  <c r="AM324" i="2"/>
  <c r="AG324" i="2"/>
  <c r="AA324" i="2"/>
  <c r="BA324" i="2"/>
  <c r="AJ324" i="2"/>
  <c r="V324" i="2"/>
  <c r="AZ324" i="2"/>
  <c r="AL324" i="2"/>
  <c r="AS324" i="2"/>
  <c r="X324" i="2"/>
  <c r="AN324" i="2"/>
  <c r="B326" i="2"/>
  <c r="P325" i="2"/>
  <c r="M325" i="2" s="1"/>
  <c r="J325" i="2"/>
  <c r="I325" i="2"/>
  <c r="Z324" i="2"/>
  <c r="AP324" i="2"/>
  <c r="AR324" i="2"/>
  <c r="H324" i="2"/>
  <c r="AD324" i="2"/>
  <c r="AT324" i="2"/>
  <c r="L323" i="2"/>
  <c r="N323" i="2" s="1"/>
  <c r="O322" i="2"/>
  <c r="AF324" i="2"/>
  <c r="AV324" i="2"/>
  <c r="R324" i="2"/>
  <c r="AH324" i="2"/>
  <c r="AX324" i="2"/>
  <c r="K325" i="2" l="1"/>
  <c r="D326" i="2"/>
  <c r="C326" i="2"/>
  <c r="W325" i="2"/>
  <c r="AW325" i="2"/>
  <c r="AQ325" i="2"/>
  <c r="Q325" i="2"/>
  <c r="AC325" i="2"/>
  <c r="AV325" i="2"/>
  <c r="AH325" i="2"/>
  <c r="AX325" i="2"/>
  <c r="O323" i="2"/>
  <c r="L324" i="2"/>
  <c r="N324" i="2" s="1"/>
  <c r="Y325" i="2"/>
  <c r="S325" i="2"/>
  <c r="AY325" i="2"/>
  <c r="AK325" i="2"/>
  <c r="AE325" i="2"/>
  <c r="T325" i="2"/>
  <c r="AJ325" i="2"/>
  <c r="AZ325" i="2"/>
  <c r="V325" i="2"/>
  <c r="AL325" i="2"/>
  <c r="R325" i="2"/>
  <c r="AG325" i="2"/>
  <c r="AA325" i="2"/>
  <c r="AS325" i="2"/>
  <c r="AM325" i="2"/>
  <c r="X325" i="2"/>
  <c r="AN325" i="2"/>
  <c r="B327" i="2"/>
  <c r="P326" i="2"/>
  <c r="M326" i="2" s="1"/>
  <c r="J326" i="2"/>
  <c r="I326" i="2"/>
  <c r="Z325" i="2"/>
  <c r="AP325" i="2"/>
  <c r="AF325" i="2"/>
  <c r="AO325" i="2"/>
  <c r="AI325" i="2"/>
  <c r="U325" i="2"/>
  <c r="BA325" i="2"/>
  <c r="AU325" i="2"/>
  <c r="AB325" i="2"/>
  <c r="AR325" i="2"/>
  <c r="H325" i="2"/>
  <c r="AD325" i="2"/>
  <c r="AT325" i="2"/>
  <c r="K326" i="2" l="1"/>
  <c r="D327" i="2"/>
  <c r="C327" i="2"/>
  <c r="AQ326" i="2"/>
  <c r="T326" i="2"/>
  <c r="S326" i="2"/>
  <c r="AA326" i="2"/>
  <c r="AI326" i="2"/>
  <c r="AU326" i="2"/>
  <c r="AM326" i="2"/>
  <c r="AG326" i="2"/>
  <c r="AE326" i="2"/>
  <c r="AY326" i="2"/>
  <c r="AJ326" i="2"/>
  <c r="AR326" i="2"/>
  <c r="AW326" i="2"/>
  <c r="AB326" i="2"/>
  <c r="Q326" i="2"/>
  <c r="V326" i="2"/>
  <c r="AL326" i="2"/>
  <c r="L325" i="2"/>
  <c r="N325" i="2" s="1"/>
  <c r="AF326" i="2"/>
  <c r="AV326" i="2"/>
  <c r="U326" i="2"/>
  <c r="AK326" i="2"/>
  <c r="BA326" i="2"/>
  <c r="Z326" i="2"/>
  <c r="AP326" i="2"/>
  <c r="AZ326" i="2"/>
  <c r="Y326" i="2"/>
  <c r="AO326" i="2"/>
  <c r="H326" i="2"/>
  <c r="AD326" i="2"/>
  <c r="AT326" i="2"/>
  <c r="O324" i="2"/>
  <c r="W326" i="2"/>
  <c r="X326" i="2"/>
  <c r="AN326" i="2"/>
  <c r="B328" i="2"/>
  <c r="P327" i="2"/>
  <c r="M327" i="2" s="1"/>
  <c r="I327" i="2"/>
  <c r="J327" i="2"/>
  <c r="AC326" i="2"/>
  <c r="AS326" i="2"/>
  <c r="R326" i="2"/>
  <c r="AH326" i="2"/>
  <c r="AX326" i="2"/>
  <c r="K327" i="2" l="1"/>
  <c r="C328" i="2"/>
  <c r="D328" i="2"/>
  <c r="AE327" i="2"/>
  <c r="S327" i="2"/>
  <c r="W327" i="2"/>
  <c r="AM327" i="2"/>
  <c r="AY327" i="2"/>
  <c r="AQ327" i="2"/>
  <c r="X327" i="2"/>
  <c r="AJ327" i="2"/>
  <c r="AI327" i="2"/>
  <c r="AA327" i="2"/>
  <c r="T327" i="2"/>
  <c r="AN327" i="2"/>
  <c r="U327" i="2"/>
  <c r="AZ327" i="2"/>
  <c r="Y327" i="2"/>
  <c r="Z327" i="2"/>
  <c r="AK327" i="2"/>
  <c r="AP327" i="2"/>
  <c r="BA327" i="2"/>
  <c r="B329" i="2"/>
  <c r="P328" i="2"/>
  <c r="M328" i="2" s="1"/>
  <c r="I328" i="2"/>
  <c r="J328" i="2"/>
  <c r="AO327" i="2"/>
  <c r="H327" i="2"/>
  <c r="AD327" i="2"/>
  <c r="AT327" i="2"/>
  <c r="L326" i="2"/>
  <c r="N326" i="2" s="1"/>
  <c r="AU327" i="2"/>
  <c r="AB327" i="2"/>
  <c r="AR327" i="2"/>
  <c r="AC327" i="2"/>
  <c r="AS327" i="2"/>
  <c r="R327" i="2"/>
  <c r="AH327" i="2"/>
  <c r="AX327" i="2"/>
  <c r="O325" i="2"/>
  <c r="AF327" i="2"/>
  <c r="AV327" i="2"/>
  <c r="Q327" i="2"/>
  <c r="AG327" i="2"/>
  <c r="AW327" i="2"/>
  <c r="V327" i="2"/>
  <c r="AL327" i="2"/>
  <c r="K328" i="2" l="1"/>
  <c r="D329" i="2"/>
  <c r="C329" i="2"/>
  <c r="S328" i="2"/>
  <c r="AA328" i="2"/>
  <c r="AI328" i="2"/>
  <c r="AQ328" i="2"/>
  <c r="X328" i="2"/>
  <c r="AE328" i="2"/>
  <c r="AY328" i="2"/>
  <c r="AU328" i="2"/>
  <c r="W328" i="2"/>
  <c r="AM328" i="2"/>
  <c r="O326" i="2"/>
  <c r="AB328" i="2"/>
  <c r="AF328" i="2"/>
  <c r="AV328" i="2"/>
  <c r="Q328" i="2"/>
  <c r="AG328" i="2"/>
  <c r="AW328" i="2"/>
  <c r="V328" i="2"/>
  <c r="AL328" i="2"/>
  <c r="T328" i="2"/>
  <c r="AJ328" i="2"/>
  <c r="AZ328" i="2"/>
  <c r="U328" i="2"/>
  <c r="AK328" i="2"/>
  <c r="BA328" i="2"/>
  <c r="Z328" i="2"/>
  <c r="AP328" i="2"/>
  <c r="L327" i="2"/>
  <c r="AN328" i="2"/>
  <c r="B330" i="2"/>
  <c r="P329" i="2"/>
  <c r="M329" i="2" s="1"/>
  <c r="I329" i="2"/>
  <c r="J329" i="2"/>
  <c r="Y328" i="2"/>
  <c r="AO328" i="2"/>
  <c r="H328" i="2"/>
  <c r="AD328" i="2"/>
  <c r="AT328" i="2"/>
  <c r="AR328" i="2"/>
  <c r="AC328" i="2"/>
  <c r="AS328" i="2"/>
  <c r="R328" i="2"/>
  <c r="AH328" i="2"/>
  <c r="AX328" i="2"/>
  <c r="K329" i="2" l="1"/>
  <c r="D330" i="2"/>
  <c r="C330" i="2"/>
  <c r="AQ329" i="2"/>
  <c r="AI329" i="2"/>
  <c r="AA329" i="2"/>
  <c r="S329" i="2"/>
  <c r="AM329" i="2"/>
  <c r="AU329" i="2"/>
  <c r="AB329" i="2"/>
  <c r="AR329" i="2"/>
  <c r="AC329" i="2"/>
  <c r="AS329" i="2"/>
  <c r="R329" i="2"/>
  <c r="AH329" i="2"/>
  <c r="AX329" i="2"/>
  <c r="N327" i="2"/>
  <c r="O327" i="2" s="1"/>
  <c r="AF329" i="2"/>
  <c r="AV329" i="2"/>
  <c r="Q329" i="2"/>
  <c r="AG329" i="2"/>
  <c r="AW329" i="2"/>
  <c r="V329" i="2"/>
  <c r="AL329" i="2"/>
  <c r="AJ329" i="2"/>
  <c r="AZ329" i="2"/>
  <c r="U329" i="2"/>
  <c r="AK329" i="2"/>
  <c r="BA329" i="2"/>
  <c r="Z329" i="2"/>
  <c r="AP329" i="2"/>
  <c r="L328" i="2"/>
  <c r="AY329" i="2"/>
  <c r="T329" i="2"/>
  <c r="W329" i="2"/>
  <c r="AE329" i="2"/>
  <c r="X329" i="2"/>
  <c r="AN329" i="2"/>
  <c r="B331" i="2"/>
  <c r="P330" i="2"/>
  <c r="M330" i="2" s="1"/>
  <c r="J330" i="2"/>
  <c r="I330" i="2"/>
  <c r="Y329" i="2"/>
  <c r="AO329" i="2"/>
  <c r="H329" i="2"/>
  <c r="AD329" i="2"/>
  <c r="AT329" i="2"/>
  <c r="K330" i="2" l="1"/>
  <c r="D331" i="2"/>
  <c r="C331" i="2"/>
  <c r="AQ330" i="2"/>
  <c r="N328" i="2"/>
  <c r="O328" i="2" s="1"/>
  <c r="L329" i="2"/>
  <c r="N329" i="2" s="1"/>
  <c r="AA330" i="2"/>
  <c r="S330" i="2"/>
  <c r="AM330" i="2"/>
  <c r="AB330" i="2"/>
  <c r="AR330" i="2"/>
  <c r="AC330" i="2"/>
  <c r="AS330" i="2"/>
  <c r="R330" i="2"/>
  <c r="AH330" i="2"/>
  <c r="AX330" i="2"/>
  <c r="AF330" i="2"/>
  <c r="AV330" i="2"/>
  <c r="Q330" i="2"/>
  <c r="AG330" i="2"/>
  <c r="AW330" i="2"/>
  <c r="V330" i="2"/>
  <c r="AL330" i="2"/>
  <c r="AY330" i="2"/>
  <c r="AJ330" i="2"/>
  <c r="U330" i="2"/>
  <c r="AK330" i="2"/>
  <c r="BA330" i="2"/>
  <c r="Z330" i="2"/>
  <c r="AP330" i="2"/>
  <c r="AI330" i="2"/>
  <c r="AE330" i="2"/>
  <c r="T330" i="2"/>
  <c r="AZ330" i="2"/>
  <c r="AU330" i="2"/>
  <c r="W330" i="2"/>
  <c r="X330" i="2"/>
  <c r="AN330" i="2"/>
  <c r="B332" i="2"/>
  <c r="P331" i="2"/>
  <c r="M331" i="2" s="1"/>
  <c r="I331" i="2"/>
  <c r="J331" i="2"/>
  <c r="Y330" i="2"/>
  <c r="AO330" i="2"/>
  <c r="H330" i="2"/>
  <c r="AD330" i="2"/>
  <c r="AT330" i="2"/>
  <c r="K331" i="2" l="1"/>
  <c r="C332" i="2"/>
  <c r="D332" i="2"/>
  <c r="AA331" i="2"/>
  <c r="AI331" i="2"/>
  <c r="S331" i="2"/>
  <c r="AM331" i="2"/>
  <c r="AU331" i="2"/>
  <c r="AB331" i="2"/>
  <c r="AR331" i="2"/>
  <c r="AC331" i="2"/>
  <c r="AS331" i="2"/>
  <c r="R331" i="2"/>
  <c r="AH331" i="2"/>
  <c r="AX331" i="2"/>
  <c r="AF331" i="2"/>
  <c r="AV331" i="2"/>
  <c r="Q331" i="2"/>
  <c r="AG331" i="2"/>
  <c r="AW331" i="2"/>
  <c r="V331" i="2"/>
  <c r="AL331" i="2"/>
  <c r="AQ331" i="2"/>
  <c r="AJ331" i="2"/>
  <c r="AZ331" i="2"/>
  <c r="U331" i="2"/>
  <c r="AK331" i="2"/>
  <c r="BA331" i="2"/>
  <c r="Z331" i="2"/>
  <c r="AP331" i="2"/>
  <c r="O329" i="2"/>
  <c r="L330" i="2"/>
  <c r="N330" i="2" s="1"/>
  <c r="AY331" i="2"/>
  <c r="T331" i="2"/>
  <c r="W331" i="2"/>
  <c r="AE331" i="2"/>
  <c r="X331" i="2"/>
  <c r="AN331" i="2"/>
  <c r="B333" i="2"/>
  <c r="P332" i="2"/>
  <c r="M332" i="2" s="1"/>
  <c r="I332" i="2"/>
  <c r="J332" i="2"/>
  <c r="Y331" i="2"/>
  <c r="AO331" i="2"/>
  <c r="H331" i="2"/>
  <c r="AD331" i="2"/>
  <c r="AT331" i="2"/>
  <c r="K332" i="2" l="1"/>
  <c r="D333" i="2"/>
  <c r="C333" i="2"/>
  <c r="AQ332" i="2"/>
  <c r="O330" i="2"/>
  <c r="AI332" i="2"/>
  <c r="L331" i="2"/>
  <c r="N331" i="2" s="1"/>
  <c r="AA332" i="2"/>
  <c r="S332" i="2"/>
  <c r="AM332" i="2"/>
  <c r="AB332" i="2"/>
  <c r="AR332" i="2"/>
  <c r="AC332" i="2"/>
  <c r="AS332" i="2"/>
  <c r="R332" i="2"/>
  <c r="AH332" i="2"/>
  <c r="AX332" i="2"/>
  <c r="AF332" i="2"/>
  <c r="AV332" i="2"/>
  <c r="Q332" i="2"/>
  <c r="AG332" i="2"/>
  <c r="AW332" i="2"/>
  <c r="V332" i="2"/>
  <c r="AL332" i="2"/>
  <c r="T332" i="2"/>
  <c r="AZ332" i="2"/>
  <c r="U332" i="2"/>
  <c r="AK332" i="2"/>
  <c r="BA332" i="2"/>
  <c r="Z332" i="2"/>
  <c r="AP332" i="2"/>
  <c r="AE332" i="2"/>
  <c r="AY332" i="2"/>
  <c r="AJ332" i="2"/>
  <c r="AU332" i="2"/>
  <c r="W332" i="2"/>
  <c r="X332" i="2"/>
  <c r="AN332" i="2"/>
  <c r="B334" i="2"/>
  <c r="P333" i="2"/>
  <c r="M333" i="2" s="1"/>
  <c r="I333" i="2"/>
  <c r="J333" i="2"/>
  <c r="Y332" i="2"/>
  <c r="AO332" i="2"/>
  <c r="H332" i="2"/>
  <c r="AD332" i="2"/>
  <c r="AT332" i="2"/>
  <c r="K333" i="2" l="1"/>
  <c r="D334" i="2"/>
  <c r="C334" i="2"/>
  <c r="AE333" i="2"/>
  <c r="AI333" i="2"/>
  <c r="AA333" i="2"/>
  <c r="W333" i="2"/>
  <c r="S333" i="2"/>
  <c r="AM333" i="2"/>
  <c r="AU333" i="2"/>
  <c r="AB333" i="2"/>
  <c r="AR333" i="2"/>
  <c r="AC333" i="2"/>
  <c r="AS333" i="2"/>
  <c r="R333" i="2"/>
  <c r="AH333" i="2"/>
  <c r="AX333" i="2"/>
  <c r="AF333" i="2"/>
  <c r="AV333" i="2"/>
  <c r="Q333" i="2"/>
  <c r="AG333" i="2"/>
  <c r="AW333" i="2"/>
  <c r="V333" i="2"/>
  <c r="AL333" i="2"/>
  <c r="O331" i="2"/>
  <c r="L332" i="2"/>
  <c r="AY333" i="2"/>
  <c r="AQ333" i="2"/>
  <c r="T333" i="2"/>
  <c r="AJ333" i="2"/>
  <c r="AZ333" i="2"/>
  <c r="U333" i="2"/>
  <c r="AK333" i="2"/>
  <c r="BA333" i="2"/>
  <c r="Z333" i="2"/>
  <c r="AP333" i="2"/>
  <c r="X333" i="2"/>
  <c r="AN333" i="2"/>
  <c r="B335" i="2"/>
  <c r="P334" i="2"/>
  <c r="M334" i="2" s="1"/>
  <c r="J334" i="2"/>
  <c r="I334" i="2"/>
  <c r="Y333" i="2"/>
  <c r="AO333" i="2"/>
  <c r="H333" i="2"/>
  <c r="AD333" i="2"/>
  <c r="AT333" i="2"/>
  <c r="K334" i="2" l="1"/>
  <c r="D335" i="2"/>
  <c r="C335" i="2"/>
  <c r="AZ334" i="2"/>
  <c r="AQ334" i="2"/>
  <c r="AY334" i="2"/>
  <c r="AE334" i="2"/>
  <c r="T334" i="2"/>
  <c r="AI334" i="2"/>
  <c r="AJ334" i="2"/>
  <c r="U334" i="2"/>
  <c r="Z334" i="2"/>
  <c r="AK334" i="2"/>
  <c r="BA334" i="2"/>
  <c r="N332" i="2"/>
  <c r="O332" i="2" s="1"/>
  <c r="AP334" i="2"/>
  <c r="L333" i="2"/>
  <c r="N333" i="2" s="1"/>
  <c r="AU334" i="2"/>
  <c r="W334" i="2"/>
  <c r="X334" i="2"/>
  <c r="AN334" i="2"/>
  <c r="B336" i="2"/>
  <c r="P335" i="2"/>
  <c r="M335" i="2" s="1"/>
  <c r="I335" i="2"/>
  <c r="J335" i="2"/>
  <c r="Y334" i="2"/>
  <c r="AO334" i="2"/>
  <c r="H334" i="2"/>
  <c r="AD334" i="2"/>
  <c r="AT334" i="2"/>
  <c r="AA334" i="2"/>
  <c r="S334" i="2"/>
  <c r="AM334" i="2"/>
  <c r="AB334" i="2"/>
  <c r="AR334" i="2"/>
  <c r="AC334" i="2"/>
  <c r="AS334" i="2"/>
  <c r="R334" i="2"/>
  <c r="AH334" i="2"/>
  <c r="AX334" i="2"/>
  <c r="AF334" i="2"/>
  <c r="AV334" i="2"/>
  <c r="Q334" i="2"/>
  <c r="AG334" i="2"/>
  <c r="AW334" i="2"/>
  <c r="V334" i="2"/>
  <c r="AL334" i="2"/>
  <c r="K335" i="2" l="1"/>
  <c r="C336" i="2"/>
  <c r="D336" i="2"/>
  <c r="AA335" i="2"/>
  <c r="AI335" i="2"/>
  <c r="AF335" i="2"/>
  <c r="AV335" i="2"/>
  <c r="Q335" i="2"/>
  <c r="AG335" i="2"/>
  <c r="AW335" i="2"/>
  <c r="V335" i="2"/>
  <c r="AL335" i="2"/>
  <c r="L334" i="2"/>
  <c r="AY335" i="2"/>
  <c r="AQ335" i="2"/>
  <c r="T335" i="2"/>
  <c r="AJ335" i="2"/>
  <c r="AZ335" i="2"/>
  <c r="U335" i="2"/>
  <c r="AK335" i="2"/>
  <c r="BA335" i="2"/>
  <c r="Z335" i="2"/>
  <c r="AP335" i="2"/>
  <c r="O333" i="2"/>
  <c r="W335" i="2"/>
  <c r="AE335" i="2"/>
  <c r="X335" i="2"/>
  <c r="AN335" i="2"/>
  <c r="B337" i="2"/>
  <c r="P336" i="2"/>
  <c r="M336" i="2" s="1"/>
  <c r="I336" i="2"/>
  <c r="J336" i="2"/>
  <c r="Y335" i="2"/>
  <c r="AO335" i="2"/>
  <c r="H335" i="2"/>
  <c r="AD335" i="2"/>
  <c r="AT335" i="2"/>
  <c r="S335" i="2"/>
  <c r="AM335" i="2"/>
  <c r="AU335" i="2"/>
  <c r="AB335" i="2"/>
  <c r="AR335" i="2"/>
  <c r="AC335" i="2"/>
  <c r="AS335" i="2"/>
  <c r="R335" i="2"/>
  <c r="AH335" i="2"/>
  <c r="AX335" i="2"/>
  <c r="K336" i="2" l="1"/>
  <c r="D337" i="2"/>
  <c r="C337" i="2"/>
  <c r="AA336" i="2"/>
  <c r="S336" i="2"/>
  <c r="AQ336" i="2"/>
  <c r="AI336" i="2"/>
  <c r="AU336" i="2"/>
  <c r="W336" i="2"/>
  <c r="AM336" i="2"/>
  <c r="AE336" i="2"/>
  <c r="AY336" i="2"/>
  <c r="X336" i="2"/>
  <c r="AB336" i="2"/>
  <c r="AN336" i="2"/>
  <c r="Y336" i="2"/>
  <c r="T336" i="2"/>
  <c r="AR336" i="2"/>
  <c r="AC336" i="2"/>
  <c r="AO336" i="2"/>
  <c r="AS336" i="2"/>
  <c r="L335" i="2"/>
  <c r="N335" i="2" s="1"/>
  <c r="AJ336" i="2"/>
  <c r="AZ336" i="2"/>
  <c r="U336" i="2"/>
  <c r="AK336" i="2"/>
  <c r="BA336" i="2"/>
  <c r="Z336" i="2"/>
  <c r="AP336" i="2"/>
  <c r="N334" i="2"/>
  <c r="O334" i="2" s="1"/>
  <c r="B338" i="2"/>
  <c r="P337" i="2"/>
  <c r="M337" i="2" s="1"/>
  <c r="I337" i="2"/>
  <c r="J337" i="2"/>
  <c r="H336" i="2"/>
  <c r="AD336" i="2"/>
  <c r="AT336" i="2"/>
  <c r="R336" i="2"/>
  <c r="AH336" i="2"/>
  <c r="AX336" i="2"/>
  <c r="AF336" i="2"/>
  <c r="AV336" i="2"/>
  <c r="Q336" i="2"/>
  <c r="AG336" i="2"/>
  <c r="AW336" i="2"/>
  <c r="V336" i="2"/>
  <c r="AL336" i="2"/>
  <c r="K337" i="2" l="1"/>
  <c r="D338" i="2"/>
  <c r="C338" i="2"/>
  <c r="AI337" i="2"/>
  <c r="AY337" i="2"/>
  <c r="S337" i="2"/>
  <c r="X337" i="2"/>
  <c r="AM337" i="2"/>
  <c r="AA337" i="2"/>
  <c r="AQ337" i="2"/>
  <c r="AU337" i="2"/>
  <c r="AN337" i="2"/>
  <c r="W337" i="2"/>
  <c r="AE337" i="2"/>
  <c r="AB337" i="2"/>
  <c r="AF337" i="2"/>
  <c r="AV337" i="2"/>
  <c r="Q337" i="2"/>
  <c r="AG337" i="2"/>
  <c r="AW337" i="2"/>
  <c r="V337" i="2"/>
  <c r="AL337" i="2"/>
  <c r="T337" i="2"/>
  <c r="AJ337" i="2"/>
  <c r="AZ337" i="2"/>
  <c r="U337" i="2"/>
  <c r="AK337" i="2"/>
  <c r="BA337" i="2"/>
  <c r="Z337" i="2"/>
  <c r="AP337" i="2"/>
  <c r="O335" i="2"/>
  <c r="B339" i="2"/>
  <c r="P338" i="2"/>
  <c r="M338" i="2" s="1"/>
  <c r="J338" i="2"/>
  <c r="I338" i="2"/>
  <c r="Y337" i="2"/>
  <c r="AO337" i="2"/>
  <c r="H337" i="2"/>
  <c r="AD337" i="2"/>
  <c r="AT337" i="2"/>
  <c r="L336" i="2"/>
  <c r="N336" i="2" s="1"/>
  <c r="AR337" i="2"/>
  <c r="AC337" i="2"/>
  <c r="AS337" i="2"/>
  <c r="R337" i="2"/>
  <c r="AH337" i="2"/>
  <c r="AX337" i="2"/>
  <c r="K338" i="2" l="1"/>
  <c r="D339" i="2"/>
  <c r="C339" i="2"/>
  <c r="AQ338" i="2"/>
  <c r="S338" i="2"/>
  <c r="AI338" i="2"/>
  <c r="AA338" i="2"/>
  <c r="AM338" i="2"/>
  <c r="AU338" i="2"/>
  <c r="W338" i="2"/>
  <c r="AB338" i="2"/>
  <c r="AN338" i="2"/>
  <c r="AE338" i="2"/>
  <c r="AY338" i="2"/>
  <c r="X338" i="2"/>
  <c r="O336" i="2"/>
  <c r="AR338" i="2"/>
  <c r="AF338" i="2"/>
  <c r="AV338" i="2"/>
  <c r="Q338" i="2"/>
  <c r="AG338" i="2"/>
  <c r="AW338" i="2"/>
  <c r="V338" i="2"/>
  <c r="AL338" i="2"/>
  <c r="L337" i="2"/>
  <c r="T338" i="2"/>
  <c r="AJ338" i="2"/>
  <c r="AZ338" i="2"/>
  <c r="U338" i="2"/>
  <c r="AK338" i="2"/>
  <c r="BA338" i="2"/>
  <c r="Z338" i="2"/>
  <c r="AP338" i="2"/>
  <c r="B340" i="2"/>
  <c r="P339" i="2"/>
  <c r="M339" i="2" s="1"/>
  <c r="I339" i="2"/>
  <c r="J339" i="2"/>
  <c r="Y338" i="2"/>
  <c r="AO338" i="2"/>
  <c r="H338" i="2"/>
  <c r="AD338" i="2"/>
  <c r="AT338" i="2"/>
  <c r="AC338" i="2"/>
  <c r="AS338" i="2"/>
  <c r="R338" i="2"/>
  <c r="AH338" i="2"/>
  <c r="AX338" i="2"/>
  <c r="K339" i="2" l="1"/>
  <c r="C340" i="2"/>
  <c r="D340" i="2"/>
  <c r="S339" i="2"/>
  <c r="AM339" i="2"/>
  <c r="AA339" i="2"/>
  <c r="AI339" i="2"/>
  <c r="W339" i="2"/>
  <c r="AE339" i="2"/>
  <c r="X339" i="2"/>
  <c r="AN339" i="2"/>
  <c r="B341" i="2"/>
  <c r="P340" i="2"/>
  <c r="M340" i="2" s="1"/>
  <c r="I340" i="2"/>
  <c r="J340" i="2"/>
  <c r="Y339" i="2"/>
  <c r="AO339" i="2"/>
  <c r="H339" i="2"/>
  <c r="AD339" i="2"/>
  <c r="AT339" i="2"/>
  <c r="N337" i="2"/>
  <c r="O337" i="2" s="1"/>
  <c r="AU339" i="2"/>
  <c r="AB339" i="2"/>
  <c r="AR339" i="2"/>
  <c r="AC339" i="2"/>
  <c r="AS339" i="2"/>
  <c r="R339" i="2"/>
  <c r="AH339" i="2"/>
  <c r="AX339" i="2"/>
  <c r="AF339" i="2"/>
  <c r="AV339" i="2"/>
  <c r="Q339" i="2"/>
  <c r="AG339" i="2"/>
  <c r="AW339" i="2"/>
  <c r="V339" i="2"/>
  <c r="AL339" i="2"/>
  <c r="L338" i="2"/>
  <c r="AY339" i="2"/>
  <c r="AQ339" i="2"/>
  <c r="T339" i="2"/>
  <c r="AJ339" i="2"/>
  <c r="AZ339" i="2"/>
  <c r="U339" i="2"/>
  <c r="AK339" i="2"/>
  <c r="BA339" i="2"/>
  <c r="Z339" i="2"/>
  <c r="AP339" i="2"/>
  <c r="K340" i="2" l="1"/>
  <c r="D341" i="2"/>
  <c r="C341" i="2"/>
  <c r="AN340" i="2"/>
  <c r="AA340" i="2"/>
  <c r="AQ340" i="2"/>
  <c r="S340" i="2"/>
  <c r="AI340" i="2"/>
  <c r="AM340" i="2"/>
  <c r="AR340" i="2"/>
  <c r="AE340" i="2"/>
  <c r="AY340" i="2"/>
  <c r="X340" i="2"/>
  <c r="N338" i="2"/>
  <c r="O338" i="2" s="1"/>
  <c r="AU340" i="2"/>
  <c r="W340" i="2"/>
  <c r="AB340" i="2"/>
  <c r="L339" i="2"/>
  <c r="N339" i="2" s="1"/>
  <c r="T340" i="2"/>
  <c r="AJ340" i="2"/>
  <c r="AZ340" i="2"/>
  <c r="U340" i="2"/>
  <c r="AK340" i="2"/>
  <c r="BA340" i="2"/>
  <c r="Z340" i="2"/>
  <c r="AP340" i="2"/>
  <c r="B342" i="2"/>
  <c r="P341" i="2"/>
  <c r="M341" i="2" s="1"/>
  <c r="I341" i="2"/>
  <c r="J341" i="2"/>
  <c r="Y340" i="2"/>
  <c r="AO340" i="2"/>
  <c r="H340" i="2"/>
  <c r="AD340" i="2"/>
  <c r="AT340" i="2"/>
  <c r="AC340" i="2"/>
  <c r="AS340" i="2"/>
  <c r="R340" i="2"/>
  <c r="AH340" i="2"/>
  <c r="AX340" i="2"/>
  <c r="AF340" i="2"/>
  <c r="AV340" i="2"/>
  <c r="Q340" i="2"/>
  <c r="AG340" i="2"/>
  <c r="AW340" i="2"/>
  <c r="V340" i="2"/>
  <c r="AL340" i="2"/>
  <c r="K341" i="2" l="1"/>
  <c r="D342" i="2"/>
  <c r="C342" i="2"/>
  <c r="AI341" i="2"/>
  <c r="AA341" i="2"/>
  <c r="AM341" i="2"/>
  <c r="AB341" i="2"/>
  <c r="AC341" i="2"/>
  <c r="AH341" i="2"/>
  <c r="AR341" i="2"/>
  <c r="AS341" i="2"/>
  <c r="AX341" i="2"/>
  <c r="S341" i="2"/>
  <c r="AU341" i="2"/>
  <c r="R341" i="2"/>
  <c r="AF341" i="2"/>
  <c r="AV341" i="2"/>
  <c r="Q341" i="2"/>
  <c r="AG341" i="2"/>
  <c r="AW341" i="2"/>
  <c r="V341" i="2"/>
  <c r="AL341" i="2"/>
  <c r="L340" i="2"/>
  <c r="AY341" i="2"/>
  <c r="AQ341" i="2"/>
  <c r="T341" i="2"/>
  <c r="AJ341" i="2"/>
  <c r="AZ341" i="2"/>
  <c r="U341" i="2"/>
  <c r="AK341" i="2"/>
  <c r="BA341" i="2"/>
  <c r="Z341" i="2"/>
  <c r="AP341" i="2"/>
  <c r="O339" i="2"/>
  <c r="W341" i="2"/>
  <c r="AE341" i="2"/>
  <c r="X341" i="2"/>
  <c r="AN341" i="2"/>
  <c r="B343" i="2"/>
  <c r="P342" i="2"/>
  <c r="M342" i="2" s="1"/>
  <c r="J342" i="2"/>
  <c r="I342" i="2"/>
  <c r="Y341" i="2"/>
  <c r="AO341" i="2"/>
  <c r="H341" i="2"/>
  <c r="AD341" i="2"/>
  <c r="AT341" i="2"/>
  <c r="K342" i="2" l="1"/>
  <c r="AA342" i="2"/>
  <c r="AU342" i="2"/>
  <c r="D343" i="2"/>
  <c r="C343" i="2"/>
  <c r="AN342" i="2"/>
  <c r="S342" i="2"/>
  <c r="AI342" i="2"/>
  <c r="AQ342" i="2"/>
  <c r="AM342" i="2"/>
  <c r="AE342" i="2"/>
  <c r="AY342" i="2"/>
  <c r="T342" i="2"/>
  <c r="W342" i="2"/>
  <c r="X342" i="2"/>
  <c r="Y342" i="2"/>
  <c r="AR342" i="2"/>
  <c r="AC342" i="2"/>
  <c r="AB342" i="2"/>
  <c r="AO342" i="2"/>
  <c r="AJ342" i="2"/>
  <c r="AS342" i="2"/>
  <c r="L341" i="2"/>
  <c r="N341" i="2" s="1"/>
  <c r="AZ342" i="2"/>
  <c r="U342" i="2"/>
  <c r="AK342" i="2"/>
  <c r="BA342" i="2"/>
  <c r="Z342" i="2"/>
  <c r="AP342" i="2"/>
  <c r="N340" i="2"/>
  <c r="O340" i="2" s="1"/>
  <c r="B344" i="2"/>
  <c r="P343" i="2"/>
  <c r="M343" i="2" s="1"/>
  <c r="I343" i="2"/>
  <c r="J343" i="2"/>
  <c r="H342" i="2"/>
  <c r="AD342" i="2"/>
  <c r="AT342" i="2"/>
  <c r="R342" i="2"/>
  <c r="AH342" i="2"/>
  <c r="AX342" i="2"/>
  <c r="AF342" i="2"/>
  <c r="AV342" i="2"/>
  <c r="Q342" i="2"/>
  <c r="AG342" i="2"/>
  <c r="AW342" i="2"/>
  <c r="V342" i="2"/>
  <c r="AL342" i="2"/>
  <c r="K343" i="2" l="1"/>
  <c r="C344" i="2"/>
  <c r="D344" i="2"/>
  <c r="AQ343" i="2"/>
  <c r="AY343" i="2"/>
  <c r="AI343" i="2"/>
  <c r="AA343" i="2"/>
  <c r="L342" i="2"/>
  <c r="N342" i="2" s="1"/>
  <c r="S343" i="2"/>
  <c r="AM343" i="2"/>
  <c r="AU343" i="2"/>
  <c r="AB343" i="2"/>
  <c r="AR343" i="2"/>
  <c r="AC343" i="2"/>
  <c r="AS343" i="2"/>
  <c r="R343" i="2"/>
  <c r="AH343" i="2"/>
  <c r="AX343" i="2"/>
  <c r="AF343" i="2"/>
  <c r="AV343" i="2"/>
  <c r="Q343" i="2"/>
  <c r="AG343" i="2"/>
  <c r="AW343" i="2"/>
  <c r="V343" i="2"/>
  <c r="AL343" i="2"/>
  <c r="O341" i="2"/>
  <c r="T343" i="2"/>
  <c r="AJ343" i="2"/>
  <c r="AZ343" i="2"/>
  <c r="U343" i="2"/>
  <c r="AK343" i="2"/>
  <c r="BA343" i="2"/>
  <c r="Z343" i="2"/>
  <c r="AP343" i="2"/>
  <c r="W343" i="2"/>
  <c r="AE343" i="2"/>
  <c r="X343" i="2"/>
  <c r="AN343" i="2"/>
  <c r="B345" i="2"/>
  <c r="P344" i="2"/>
  <c r="M344" i="2" s="1"/>
  <c r="I344" i="2"/>
  <c r="J344" i="2"/>
  <c r="Y343" i="2"/>
  <c r="AO343" i="2"/>
  <c r="H343" i="2"/>
  <c r="AD343" i="2"/>
  <c r="AT343" i="2"/>
  <c r="K344" i="2" l="1"/>
  <c r="D345" i="2"/>
  <c r="C345" i="2"/>
  <c r="AY344" i="2"/>
  <c r="AQ344" i="2"/>
  <c r="AI344" i="2"/>
  <c r="AE344" i="2"/>
  <c r="AA344" i="2"/>
  <c r="S344" i="2"/>
  <c r="AM344" i="2"/>
  <c r="AN344" i="2"/>
  <c r="Y344" i="2"/>
  <c r="AR344" i="2"/>
  <c r="AC344" i="2"/>
  <c r="X344" i="2"/>
  <c r="AO344" i="2"/>
  <c r="AU344" i="2"/>
  <c r="W344" i="2"/>
  <c r="AB344" i="2"/>
  <c r="L343" i="2"/>
  <c r="N343" i="2" s="1"/>
  <c r="T344" i="2"/>
  <c r="AJ344" i="2"/>
  <c r="AZ344" i="2"/>
  <c r="U344" i="2"/>
  <c r="AK344" i="2"/>
  <c r="BA344" i="2"/>
  <c r="Z344" i="2"/>
  <c r="AP344" i="2"/>
  <c r="B346" i="2"/>
  <c r="P345" i="2"/>
  <c r="M345" i="2" s="1"/>
  <c r="I345" i="2"/>
  <c r="J345" i="2"/>
  <c r="H344" i="2"/>
  <c r="AD344" i="2"/>
  <c r="AT344" i="2"/>
  <c r="AS344" i="2"/>
  <c r="R344" i="2"/>
  <c r="AH344" i="2"/>
  <c r="AX344" i="2"/>
  <c r="O342" i="2"/>
  <c r="AF344" i="2"/>
  <c r="AV344" i="2"/>
  <c r="Q344" i="2"/>
  <c r="AG344" i="2"/>
  <c r="AW344" i="2"/>
  <c r="V344" i="2"/>
  <c r="AL344" i="2"/>
  <c r="K345" i="2" l="1"/>
  <c r="D346" i="2"/>
  <c r="C346" i="2"/>
  <c r="W345" i="2"/>
  <c r="AQ345" i="2"/>
  <c r="AY345" i="2"/>
  <c r="AZ345" i="2"/>
  <c r="AI345" i="2"/>
  <c r="AA345" i="2"/>
  <c r="AB345" i="2"/>
  <c r="S345" i="2"/>
  <c r="AM345" i="2"/>
  <c r="T345" i="2"/>
  <c r="AU345" i="2"/>
  <c r="AJ345" i="2"/>
  <c r="R345" i="2"/>
  <c r="AR345" i="2"/>
  <c r="AC345" i="2"/>
  <c r="AH345" i="2"/>
  <c r="AS345" i="2"/>
  <c r="AX345" i="2"/>
  <c r="AF345" i="2"/>
  <c r="AV345" i="2"/>
  <c r="Q345" i="2"/>
  <c r="AG345" i="2"/>
  <c r="AW345" i="2"/>
  <c r="V345" i="2"/>
  <c r="AL345" i="2"/>
  <c r="U345" i="2"/>
  <c r="AK345" i="2"/>
  <c r="BA345" i="2"/>
  <c r="Z345" i="2"/>
  <c r="AP345" i="2"/>
  <c r="O343" i="2"/>
  <c r="L344" i="2"/>
  <c r="N344" i="2" s="1"/>
  <c r="AE345" i="2"/>
  <c r="X345" i="2"/>
  <c r="AN345" i="2"/>
  <c r="B347" i="2"/>
  <c r="P346" i="2"/>
  <c r="M346" i="2" s="1"/>
  <c r="J346" i="2"/>
  <c r="I346" i="2"/>
  <c r="Y345" i="2"/>
  <c r="AO345" i="2"/>
  <c r="H345" i="2"/>
  <c r="AD345" i="2"/>
  <c r="AT345" i="2"/>
  <c r="K346" i="2" l="1"/>
  <c r="D347" i="2"/>
  <c r="C347" i="2"/>
  <c r="T346" i="2"/>
  <c r="AA346" i="2"/>
  <c r="AU346" i="2"/>
  <c r="S346" i="2"/>
  <c r="AI346" i="2"/>
  <c r="AQ346" i="2"/>
  <c r="AM346" i="2"/>
  <c r="AE346" i="2"/>
  <c r="AY346" i="2"/>
  <c r="AB346" i="2"/>
  <c r="AR346" i="2"/>
  <c r="AC346" i="2"/>
  <c r="AS346" i="2"/>
  <c r="R346" i="2"/>
  <c r="AH346" i="2"/>
  <c r="AX346" i="2"/>
  <c r="AF346" i="2"/>
  <c r="AV346" i="2"/>
  <c r="Q346" i="2"/>
  <c r="AG346" i="2"/>
  <c r="AW346" i="2"/>
  <c r="V346" i="2"/>
  <c r="AL346" i="2"/>
  <c r="O344" i="2"/>
  <c r="AJ346" i="2"/>
  <c r="AZ346" i="2"/>
  <c r="U346" i="2"/>
  <c r="AK346" i="2"/>
  <c r="BA346" i="2"/>
  <c r="Z346" i="2"/>
  <c r="AP346" i="2"/>
  <c r="L345" i="2"/>
  <c r="N345" i="2" s="1"/>
  <c r="W346" i="2"/>
  <c r="X346" i="2"/>
  <c r="AN346" i="2"/>
  <c r="B348" i="2"/>
  <c r="P347" i="2"/>
  <c r="M347" i="2" s="1"/>
  <c r="I347" i="2"/>
  <c r="J347" i="2"/>
  <c r="Y346" i="2"/>
  <c r="AO346" i="2"/>
  <c r="H346" i="2"/>
  <c r="AD346" i="2"/>
  <c r="AT346" i="2"/>
  <c r="K347" i="2" l="1"/>
  <c r="C348" i="2"/>
  <c r="D348" i="2"/>
  <c r="AI347" i="2"/>
  <c r="AA347" i="2"/>
  <c r="AE347" i="2"/>
  <c r="W347" i="2"/>
  <c r="S347" i="2"/>
  <c r="AM347" i="2"/>
  <c r="AU347" i="2"/>
  <c r="AB347" i="2"/>
  <c r="AN347" i="2"/>
  <c r="Y347" i="2"/>
  <c r="AY347" i="2"/>
  <c r="AQ347" i="2"/>
  <c r="T347" i="2"/>
  <c r="AR347" i="2"/>
  <c r="AC347" i="2"/>
  <c r="X347" i="2"/>
  <c r="AF347" i="2"/>
  <c r="AV347" i="2"/>
  <c r="Q347" i="2"/>
  <c r="AG347" i="2"/>
  <c r="AW347" i="2"/>
  <c r="V347" i="2"/>
  <c r="AL347" i="2"/>
  <c r="O345" i="2"/>
  <c r="L346" i="2"/>
  <c r="N346" i="2" s="1"/>
  <c r="AJ347" i="2"/>
  <c r="AZ347" i="2"/>
  <c r="U347" i="2"/>
  <c r="AK347" i="2"/>
  <c r="BA347" i="2"/>
  <c r="Z347" i="2"/>
  <c r="AP347" i="2"/>
  <c r="B349" i="2"/>
  <c r="P348" i="2"/>
  <c r="M348" i="2" s="1"/>
  <c r="I348" i="2"/>
  <c r="J348" i="2"/>
  <c r="AO347" i="2"/>
  <c r="H347" i="2"/>
  <c r="AD347" i="2"/>
  <c r="AT347" i="2"/>
  <c r="AS347" i="2"/>
  <c r="R347" i="2"/>
  <c r="AH347" i="2"/>
  <c r="AX347" i="2"/>
  <c r="K348" i="2" l="1"/>
  <c r="AQ348" i="2"/>
  <c r="D349" i="2"/>
  <c r="C349" i="2"/>
  <c r="S348" i="2"/>
  <c r="AI348" i="2"/>
  <c r="AA348" i="2"/>
  <c r="AM348" i="2"/>
  <c r="AJ348" i="2"/>
  <c r="AR348" i="2"/>
  <c r="U348" i="2"/>
  <c r="AE348" i="2"/>
  <c r="AY348" i="2"/>
  <c r="T348" i="2"/>
  <c r="AZ348" i="2"/>
  <c r="AC348" i="2"/>
  <c r="AU348" i="2"/>
  <c r="W348" i="2"/>
  <c r="AB348" i="2"/>
  <c r="L347" i="2"/>
  <c r="N347" i="2" s="1"/>
  <c r="X348" i="2"/>
  <c r="AN348" i="2"/>
  <c r="B350" i="2"/>
  <c r="P349" i="2"/>
  <c r="M349" i="2" s="1"/>
  <c r="I349" i="2"/>
  <c r="J349" i="2"/>
  <c r="Y348" i="2"/>
  <c r="AO348" i="2"/>
  <c r="H348" i="2"/>
  <c r="AD348" i="2"/>
  <c r="AT348" i="2"/>
  <c r="AS348" i="2"/>
  <c r="R348" i="2"/>
  <c r="AH348" i="2"/>
  <c r="AX348" i="2"/>
  <c r="AF348" i="2"/>
  <c r="AV348" i="2"/>
  <c r="Q348" i="2"/>
  <c r="AG348" i="2"/>
  <c r="AW348" i="2"/>
  <c r="V348" i="2"/>
  <c r="AL348" i="2"/>
  <c r="O346" i="2"/>
  <c r="AK348" i="2"/>
  <c r="BA348" i="2"/>
  <c r="Z348" i="2"/>
  <c r="AP348" i="2"/>
  <c r="K349" i="2" l="1"/>
  <c r="D350" i="2"/>
  <c r="C350" i="2"/>
  <c r="AI349" i="2"/>
  <c r="AA349" i="2"/>
  <c r="W349" i="2"/>
  <c r="AY349" i="2"/>
  <c r="AQ349" i="2"/>
  <c r="T349" i="2"/>
  <c r="AZ349" i="2"/>
  <c r="AK349" i="2"/>
  <c r="AE349" i="2"/>
  <c r="AB349" i="2"/>
  <c r="S349" i="2"/>
  <c r="AM349" i="2"/>
  <c r="AU349" i="2"/>
  <c r="AJ349" i="2"/>
  <c r="AR349" i="2"/>
  <c r="U349" i="2"/>
  <c r="L348" i="2"/>
  <c r="N348" i="2" s="1"/>
  <c r="BA349" i="2"/>
  <c r="Z349" i="2"/>
  <c r="AP349" i="2"/>
  <c r="X349" i="2"/>
  <c r="AN349" i="2"/>
  <c r="B351" i="2"/>
  <c r="P350" i="2"/>
  <c r="M350" i="2" s="1"/>
  <c r="J350" i="2"/>
  <c r="I350" i="2"/>
  <c r="Y349" i="2"/>
  <c r="AO349" i="2"/>
  <c r="H349" i="2"/>
  <c r="AD349" i="2"/>
  <c r="AT349" i="2"/>
  <c r="AC349" i="2"/>
  <c r="AS349" i="2"/>
  <c r="R349" i="2"/>
  <c r="AH349" i="2"/>
  <c r="AX349" i="2"/>
  <c r="O347" i="2"/>
  <c r="AF349" i="2"/>
  <c r="AV349" i="2"/>
  <c r="Q349" i="2"/>
  <c r="AG349" i="2"/>
  <c r="AW349" i="2"/>
  <c r="V349" i="2"/>
  <c r="AL349" i="2"/>
  <c r="AA350" i="2" l="1"/>
  <c r="K350" i="2"/>
  <c r="AQ350" i="2"/>
  <c r="D351" i="2"/>
  <c r="C351" i="2"/>
  <c r="AM350" i="2"/>
  <c r="S350" i="2"/>
  <c r="AI350" i="2"/>
  <c r="AU350" i="2"/>
  <c r="W350" i="2"/>
  <c r="AB350" i="2"/>
  <c r="AE350" i="2"/>
  <c r="AY350" i="2"/>
  <c r="X350" i="2"/>
  <c r="AF350" i="2"/>
  <c r="AV350" i="2"/>
  <c r="Q350" i="2"/>
  <c r="AG350" i="2"/>
  <c r="AW350" i="2"/>
  <c r="V350" i="2"/>
  <c r="AL350" i="2"/>
  <c r="L349" i="2"/>
  <c r="T350" i="2"/>
  <c r="AJ350" i="2"/>
  <c r="AZ350" i="2"/>
  <c r="U350" i="2"/>
  <c r="AK350" i="2"/>
  <c r="BA350" i="2"/>
  <c r="Z350" i="2"/>
  <c r="AP350" i="2"/>
  <c r="AN350" i="2"/>
  <c r="B352" i="2"/>
  <c r="P351" i="2"/>
  <c r="M351" i="2" s="1"/>
  <c r="I351" i="2"/>
  <c r="J351" i="2"/>
  <c r="Y350" i="2"/>
  <c r="AO350" i="2"/>
  <c r="H350" i="2"/>
  <c r="AD350" i="2"/>
  <c r="AT350" i="2"/>
  <c r="O348" i="2"/>
  <c r="AR350" i="2"/>
  <c r="AC350" i="2"/>
  <c r="AS350" i="2"/>
  <c r="R350" i="2"/>
  <c r="AH350" i="2"/>
  <c r="AX350" i="2"/>
  <c r="K351" i="2" l="1"/>
  <c r="W351" i="2"/>
  <c r="S351" i="2"/>
  <c r="C352" i="2"/>
  <c r="D352" i="2"/>
  <c r="AM351" i="2"/>
  <c r="AE351" i="2"/>
  <c r="AY351" i="2"/>
  <c r="AQ351" i="2"/>
  <c r="X351" i="2"/>
  <c r="AZ351" i="2"/>
  <c r="AI351" i="2"/>
  <c r="AA351" i="2"/>
  <c r="T351" i="2"/>
  <c r="AJ351" i="2"/>
  <c r="AN351" i="2"/>
  <c r="U351" i="2"/>
  <c r="L350" i="2"/>
  <c r="N350" i="2" s="1"/>
  <c r="O350" i="2" s="1"/>
  <c r="AU351" i="2"/>
  <c r="AB351" i="2"/>
  <c r="AR351" i="2"/>
  <c r="AC351" i="2"/>
  <c r="AS351" i="2"/>
  <c r="R351" i="2"/>
  <c r="AH351" i="2"/>
  <c r="AX351" i="2"/>
  <c r="N349" i="2"/>
  <c r="O349" i="2" s="1"/>
  <c r="AF351" i="2"/>
  <c r="AV351" i="2"/>
  <c r="Q351" i="2"/>
  <c r="AG351" i="2"/>
  <c r="AW351" i="2"/>
  <c r="V351" i="2"/>
  <c r="AL351" i="2"/>
  <c r="AK351" i="2"/>
  <c r="BA351" i="2"/>
  <c r="Z351" i="2"/>
  <c r="AP351" i="2"/>
  <c r="B353" i="2"/>
  <c r="P352" i="2"/>
  <c r="M352" i="2" s="1"/>
  <c r="I352" i="2"/>
  <c r="J352" i="2"/>
  <c r="Y351" i="2"/>
  <c r="AO351" i="2"/>
  <c r="H351" i="2"/>
  <c r="AD351" i="2"/>
  <c r="AT351" i="2"/>
  <c r="K352" i="2" l="1"/>
  <c r="D353" i="2"/>
  <c r="C353" i="2"/>
  <c r="AU352" i="2"/>
  <c r="S352" i="2"/>
  <c r="AI352" i="2"/>
  <c r="AB352" i="2"/>
  <c r="AA352" i="2"/>
  <c r="T352" i="2"/>
  <c r="AQ352" i="2"/>
  <c r="AE352" i="2"/>
  <c r="AY352" i="2"/>
  <c r="AZ352" i="2"/>
  <c r="AM352" i="2"/>
  <c r="AJ352" i="2"/>
  <c r="AC352" i="2"/>
  <c r="AK352" i="2"/>
  <c r="BA352" i="2"/>
  <c r="AR352" i="2"/>
  <c r="U352" i="2"/>
  <c r="Z352" i="2"/>
  <c r="AF352" i="2"/>
  <c r="AV352" i="2"/>
  <c r="Q352" i="2"/>
  <c r="AG352" i="2"/>
  <c r="AW352" i="2"/>
  <c r="V352" i="2"/>
  <c r="AL352" i="2"/>
  <c r="AP352" i="2"/>
  <c r="W352" i="2"/>
  <c r="X352" i="2"/>
  <c r="AN352" i="2"/>
  <c r="B354" i="2"/>
  <c r="P353" i="2"/>
  <c r="M353" i="2" s="1"/>
  <c r="I353" i="2"/>
  <c r="J353" i="2"/>
  <c r="Y352" i="2"/>
  <c r="AO352" i="2"/>
  <c r="H352" i="2"/>
  <c r="AD352" i="2"/>
  <c r="AT352" i="2"/>
  <c r="L351" i="2"/>
  <c r="N351" i="2" s="1"/>
  <c r="AS352" i="2"/>
  <c r="R352" i="2"/>
  <c r="AH352" i="2"/>
  <c r="AX352" i="2"/>
  <c r="K353" i="2" l="1"/>
  <c r="D354" i="2"/>
  <c r="C354" i="2"/>
  <c r="S353" i="2"/>
  <c r="W353" i="2"/>
  <c r="AM353" i="2"/>
  <c r="AI353" i="2"/>
  <c r="AA353" i="2"/>
  <c r="T353" i="2"/>
  <c r="AZ353" i="2"/>
  <c r="O351" i="2"/>
  <c r="AY353" i="2"/>
  <c r="AQ353" i="2"/>
  <c r="X353" i="2"/>
  <c r="AE353" i="2"/>
  <c r="AJ353" i="2"/>
  <c r="AN353" i="2"/>
  <c r="AU353" i="2"/>
  <c r="AB353" i="2"/>
  <c r="AR353" i="2"/>
  <c r="AC353" i="2"/>
  <c r="AS353" i="2"/>
  <c r="R353" i="2"/>
  <c r="AH353" i="2"/>
  <c r="AX353" i="2"/>
  <c r="AF353" i="2"/>
  <c r="AV353" i="2"/>
  <c r="Q353" i="2"/>
  <c r="AG353" i="2"/>
  <c r="AW353" i="2"/>
  <c r="V353" i="2"/>
  <c r="AL353" i="2"/>
  <c r="L352" i="2"/>
  <c r="U353" i="2"/>
  <c r="AK353" i="2"/>
  <c r="BA353" i="2"/>
  <c r="Z353" i="2"/>
  <c r="AP353" i="2"/>
  <c r="B355" i="2"/>
  <c r="P354" i="2"/>
  <c r="M354" i="2" s="1"/>
  <c r="J354" i="2"/>
  <c r="I354" i="2"/>
  <c r="Y353" i="2"/>
  <c r="AO353" i="2"/>
  <c r="H353" i="2"/>
  <c r="AD353" i="2"/>
  <c r="AT353" i="2"/>
  <c r="K354" i="2" l="1"/>
  <c r="D355" i="2"/>
  <c r="C355" i="2"/>
  <c r="AA354" i="2"/>
  <c r="AQ354" i="2"/>
  <c r="S354" i="2"/>
  <c r="AI354" i="2"/>
  <c r="AU354" i="2"/>
  <c r="AM354" i="2"/>
  <c r="AZ354" i="2"/>
  <c r="T354" i="2"/>
  <c r="AE354" i="2"/>
  <c r="AY354" i="2"/>
  <c r="AJ354" i="2"/>
  <c r="W354" i="2"/>
  <c r="X354" i="2"/>
  <c r="AN354" i="2"/>
  <c r="U354" i="2"/>
  <c r="AB354" i="2"/>
  <c r="AR354" i="2"/>
  <c r="AC354" i="2"/>
  <c r="AS354" i="2"/>
  <c r="R354" i="2"/>
  <c r="AH354" i="2"/>
  <c r="AX354" i="2"/>
  <c r="N352" i="2"/>
  <c r="O352" i="2" s="1"/>
  <c r="AF354" i="2"/>
  <c r="AV354" i="2"/>
  <c r="Q354" i="2"/>
  <c r="AG354" i="2"/>
  <c r="AW354" i="2"/>
  <c r="V354" i="2"/>
  <c r="AL354" i="2"/>
  <c r="AK354" i="2"/>
  <c r="BA354" i="2"/>
  <c r="Z354" i="2"/>
  <c r="AP354" i="2"/>
  <c r="L353" i="2"/>
  <c r="N353" i="2" s="1"/>
  <c r="B356" i="2"/>
  <c r="P355" i="2"/>
  <c r="M355" i="2" s="1"/>
  <c r="I355" i="2"/>
  <c r="J355" i="2"/>
  <c r="Y354" i="2"/>
  <c r="AO354" i="2"/>
  <c r="H354" i="2"/>
  <c r="AD354" i="2"/>
  <c r="AT354" i="2"/>
  <c r="K355" i="2" l="1"/>
  <c r="C356" i="2"/>
  <c r="D356" i="2"/>
  <c r="AI355" i="2"/>
  <c r="W355" i="2"/>
  <c r="AF355" i="2"/>
  <c r="AA355" i="2"/>
  <c r="S355" i="2"/>
  <c r="AM355" i="2"/>
  <c r="AU355" i="2"/>
  <c r="AB355" i="2"/>
  <c r="AR355" i="2"/>
  <c r="AC355" i="2"/>
  <c r="AS355" i="2"/>
  <c r="R355" i="2"/>
  <c r="AH355" i="2"/>
  <c r="AX355" i="2"/>
  <c r="AV355" i="2"/>
  <c r="Q355" i="2"/>
  <c r="AG355" i="2"/>
  <c r="AW355" i="2"/>
  <c r="V355" i="2"/>
  <c r="AL355" i="2"/>
  <c r="L354" i="2"/>
  <c r="N354" i="2" s="1"/>
  <c r="AY355" i="2"/>
  <c r="AQ355" i="2"/>
  <c r="T355" i="2"/>
  <c r="AJ355" i="2"/>
  <c r="AZ355" i="2"/>
  <c r="U355" i="2"/>
  <c r="AK355" i="2"/>
  <c r="BA355" i="2"/>
  <c r="Z355" i="2"/>
  <c r="AP355" i="2"/>
  <c r="O353" i="2"/>
  <c r="AE355" i="2"/>
  <c r="X355" i="2"/>
  <c r="AN355" i="2"/>
  <c r="B357" i="2"/>
  <c r="P356" i="2"/>
  <c r="M356" i="2" s="1"/>
  <c r="I356" i="2"/>
  <c r="J356" i="2"/>
  <c r="Y355" i="2"/>
  <c r="AO355" i="2"/>
  <c r="H355" i="2"/>
  <c r="AD355" i="2"/>
  <c r="AT355" i="2"/>
  <c r="K356" i="2" l="1"/>
  <c r="D357" i="2"/>
  <c r="C357" i="2"/>
  <c r="AI356" i="2"/>
  <c r="AQ356" i="2"/>
  <c r="AU356" i="2"/>
  <c r="W356" i="2"/>
  <c r="L355" i="2"/>
  <c r="N355" i="2" s="1"/>
  <c r="AE356" i="2"/>
  <c r="AY356" i="2"/>
  <c r="T356" i="2"/>
  <c r="AJ356" i="2"/>
  <c r="AZ356" i="2"/>
  <c r="U356" i="2"/>
  <c r="AK356" i="2"/>
  <c r="BA356" i="2"/>
  <c r="Z356" i="2"/>
  <c r="AP356" i="2"/>
  <c r="X356" i="2"/>
  <c r="B358" i="2"/>
  <c r="P357" i="2"/>
  <c r="M357" i="2" s="1"/>
  <c r="I357" i="2"/>
  <c r="J357" i="2"/>
  <c r="Y356" i="2"/>
  <c r="AO356" i="2"/>
  <c r="H356" i="2"/>
  <c r="AD356" i="2"/>
  <c r="AT356" i="2"/>
  <c r="AN356" i="2"/>
  <c r="AA356" i="2"/>
  <c r="S356" i="2"/>
  <c r="AM356" i="2"/>
  <c r="AB356" i="2"/>
  <c r="AR356" i="2"/>
  <c r="AC356" i="2"/>
  <c r="AS356" i="2"/>
  <c r="R356" i="2"/>
  <c r="AH356" i="2"/>
  <c r="AX356" i="2"/>
  <c r="O354" i="2"/>
  <c r="AF356" i="2"/>
  <c r="AV356" i="2"/>
  <c r="Q356" i="2"/>
  <c r="AG356" i="2"/>
  <c r="AW356" i="2"/>
  <c r="V356" i="2"/>
  <c r="AL356" i="2"/>
  <c r="K357" i="2" l="1"/>
  <c r="AI357" i="2"/>
  <c r="AY357" i="2"/>
  <c r="AA357" i="2"/>
  <c r="D358" i="2"/>
  <c r="C358" i="2"/>
  <c r="W357" i="2"/>
  <c r="S357" i="2"/>
  <c r="AM357" i="2"/>
  <c r="AQ357" i="2"/>
  <c r="AE357" i="2"/>
  <c r="AU357" i="2"/>
  <c r="X357" i="2"/>
  <c r="AN357" i="2"/>
  <c r="B359" i="2"/>
  <c r="P358" i="2"/>
  <c r="M358" i="2" s="1"/>
  <c r="J358" i="2"/>
  <c r="I358" i="2"/>
  <c r="Y357" i="2"/>
  <c r="AO357" i="2"/>
  <c r="H357" i="2"/>
  <c r="AD357" i="2"/>
  <c r="AT357" i="2"/>
  <c r="AB357" i="2"/>
  <c r="AR357" i="2"/>
  <c r="AC357" i="2"/>
  <c r="AS357" i="2"/>
  <c r="R357" i="2"/>
  <c r="AH357" i="2"/>
  <c r="AX357" i="2"/>
  <c r="AF357" i="2"/>
  <c r="AV357" i="2"/>
  <c r="Q357" i="2"/>
  <c r="AG357" i="2"/>
  <c r="AW357" i="2"/>
  <c r="V357" i="2"/>
  <c r="AL357" i="2"/>
  <c r="O355" i="2"/>
  <c r="L356" i="2"/>
  <c r="T357" i="2"/>
  <c r="AJ357" i="2"/>
  <c r="AZ357" i="2"/>
  <c r="U357" i="2"/>
  <c r="AK357" i="2"/>
  <c r="BA357" i="2"/>
  <c r="Z357" i="2"/>
  <c r="AP357" i="2"/>
  <c r="K358" i="2" l="1"/>
  <c r="D359" i="2"/>
  <c r="C359" i="2"/>
  <c r="AA358" i="2"/>
  <c r="AQ358" i="2"/>
  <c r="AI358" i="2"/>
  <c r="S358" i="2"/>
  <c r="N356" i="2"/>
  <c r="O356" i="2" s="1"/>
  <c r="AU358" i="2"/>
  <c r="W358" i="2"/>
  <c r="X358" i="2"/>
  <c r="AN358" i="2"/>
  <c r="B360" i="2"/>
  <c r="P359" i="2"/>
  <c r="M359" i="2" s="1"/>
  <c r="I359" i="2"/>
  <c r="J359" i="2"/>
  <c r="Y358" i="2"/>
  <c r="AO358" i="2"/>
  <c r="H358" i="2"/>
  <c r="AD358" i="2"/>
  <c r="AT358" i="2"/>
  <c r="AM358" i="2"/>
  <c r="AB358" i="2"/>
  <c r="AR358" i="2"/>
  <c r="AC358" i="2"/>
  <c r="AS358" i="2"/>
  <c r="R358" i="2"/>
  <c r="AH358" i="2"/>
  <c r="AX358" i="2"/>
  <c r="AF358" i="2"/>
  <c r="AV358" i="2"/>
  <c r="Q358" i="2"/>
  <c r="AG358" i="2"/>
  <c r="AW358" i="2"/>
  <c r="V358" i="2"/>
  <c r="AL358" i="2"/>
  <c r="L357" i="2"/>
  <c r="N357" i="2" s="1"/>
  <c r="AE358" i="2"/>
  <c r="AY358" i="2"/>
  <c r="T358" i="2"/>
  <c r="AJ358" i="2"/>
  <c r="AZ358" i="2"/>
  <c r="U358" i="2"/>
  <c r="AK358" i="2"/>
  <c r="BA358" i="2"/>
  <c r="Z358" i="2"/>
  <c r="AP358" i="2"/>
  <c r="K359" i="2" l="1"/>
  <c r="C360" i="2"/>
  <c r="D360" i="2"/>
  <c r="AA359" i="2"/>
  <c r="AI359" i="2"/>
  <c r="AV359" i="2"/>
  <c r="V359" i="2"/>
  <c r="L358" i="2"/>
  <c r="N358" i="2" s="1"/>
  <c r="O358" i="2" s="1"/>
  <c r="AY359" i="2"/>
  <c r="AQ359" i="2"/>
  <c r="T359" i="2"/>
  <c r="AJ359" i="2"/>
  <c r="AZ359" i="2"/>
  <c r="U359" i="2"/>
  <c r="AK359" i="2"/>
  <c r="BA359" i="2"/>
  <c r="Z359" i="2"/>
  <c r="AP359" i="2"/>
  <c r="Q359" i="2"/>
  <c r="AW359" i="2"/>
  <c r="AL359" i="2"/>
  <c r="O357" i="2"/>
  <c r="W359" i="2"/>
  <c r="AE359" i="2"/>
  <c r="X359" i="2"/>
  <c r="AN359" i="2"/>
  <c r="B361" i="2"/>
  <c r="P360" i="2"/>
  <c r="M360" i="2" s="1"/>
  <c r="I360" i="2"/>
  <c r="J360" i="2"/>
  <c r="Y359" i="2"/>
  <c r="AO359" i="2"/>
  <c r="H359" i="2"/>
  <c r="AD359" i="2"/>
  <c r="AT359" i="2"/>
  <c r="AF359" i="2"/>
  <c r="AG359" i="2"/>
  <c r="S359" i="2"/>
  <c r="AM359" i="2"/>
  <c r="AU359" i="2"/>
  <c r="AB359" i="2"/>
  <c r="AR359" i="2"/>
  <c r="AC359" i="2"/>
  <c r="AS359" i="2"/>
  <c r="R359" i="2"/>
  <c r="AH359" i="2"/>
  <c r="AX359" i="2"/>
  <c r="K360" i="2" l="1"/>
  <c r="D361" i="2"/>
  <c r="C361" i="2"/>
  <c r="AE360" i="2"/>
  <c r="S360" i="2"/>
  <c r="X360" i="2"/>
  <c r="AA360" i="2"/>
  <c r="AI360" i="2"/>
  <c r="AQ360" i="2"/>
  <c r="W360" i="2"/>
  <c r="AU360" i="2"/>
  <c r="AM360" i="2"/>
  <c r="AH360" i="2"/>
  <c r="AC360" i="2"/>
  <c r="AB360" i="2"/>
  <c r="AR360" i="2"/>
  <c r="AS360" i="2"/>
  <c r="AX360" i="2"/>
  <c r="AY360" i="2"/>
  <c r="T360" i="2"/>
  <c r="R360" i="2"/>
  <c r="AF360" i="2"/>
  <c r="AV360" i="2"/>
  <c r="Q360" i="2"/>
  <c r="AG360" i="2"/>
  <c r="AW360" i="2"/>
  <c r="V360" i="2"/>
  <c r="AL360" i="2"/>
  <c r="L359" i="2"/>
  <c r="AJ360" i="2"/>
  <c r="AZ360" i="2"/>
  <c r="U360" i="2"/>
  <c r="AK360" i="2"/>
  <c r="BA360" i="2"/>
  <c r="Z360" i="2"/>
  <c r="AP360" i="2"/>
  <c r="AN360" i="2"/>
  <c r="B362" i="2"/>
  <c r="P361" i="2"/>
  <c r="M361" i="2" s="1"/>
  <c r="I361" i="2"/>
  <c r="J361" i="2"/>
  <c r="Y360" i="2"/>
  <c r="AO360" i="2"/>
  <c r="H360" i="2"/>
  <c r="AD360" i="2"/>
  <c r="AT360" i="2"/>
  <c r="K361" i="2" l="1"/>
  <c r="D362" i="2"/>
  <c r="C362" i="2"/>
  <c r="S361" i="2"/>
  <c r="W361" i="2"/>
  <c r="AM361" i="2"/>
  <c r="X361" i="2"/>
  <c r="AI361" i="2"/>
  <c r="AA361" i="2"/>
  <c r="AY361" i="2"/>
  <c r="AQ361" i="2"/>
  <c r="AE361" i="2"/>
  <c r="AJ361" i="2"/>
  <c r="Y361" i="2"/>
  <c r="AT361" i="2"/>
  <c r="AN361" i="2"/>
  <c r="AO361" i="2"/>
  <c r="T361" i="2"/>
  <c r="N359" i="2"/>
  <c r="O359" i="2" s="1"/>
  <c r="AD361" i="2"/>
  <c r="H361" i="2"/>
  <c r="AU361" i="2"/>
  <c r="AB361" i="2"/>
  <c r="AR361" i="2"/>
  <c r="AC361" i="2"/>
  <c r="AS361" i="2"/>
  <c r="R361" i="2"/>
  <c r="AH361" i="2"/>
  <c r="AX361" i="2"/>
  <c r="AF361" i="2"/>
  <c r="AV361" i="2"/>
  <c r="Q361" i="2"/>
  <c r="AG361" i="2"/>
  <c r="AW361" i="2"/>
  <c r="V361" i="2"/>
  <c r="AL361" i="2"/>
  <c r="B363" i="2"/>
  <c r="P362" i="2"/>
  <c r="M362" i="2" s="1"/>
  <c r="J362" i="2"/>
  <c r="I362" i="2"/>
  <c r="L360" i="2"/>
  <c r="N360" i="2" s="1"/>
  <c r="AZ361" i="2"/>
  <c r="U361" i="2"/>
  <c r="AK361" i="2"/>
  <c r="BA361" i="2"/>
  <c r="Z361" i="2"/>
  <c r="AP361" i="2"/>
  <c r="K362" i="2" l="1"/>
  <c r="D363" i="2"/>
  <c r="C363" i="2"/>
  <c r="AQ362" i="2"/>
  <c r="AE362" i="2"/>
  <c r="AY362" i="2"/>
  <c r="AZ362" i="2"/>
  <c r="Z362" i="2"/>
  <c r="T362" i="2"/>
  <c r="AI362" i="2"/>
  <c r="AJ362" i="2"/>
  <c r="U362" i="2"/>
  <c r="AK362" i="2"/>
  <c r="AP362" i="2"/>
  <c r="O360" i="2"/>
  <c r="BA362" i="2"/>
  <c r="AU362" i="2"/>
  <c r="W362" i="2"/>
  <c r="X362" i="2"/>
  <c r="AN362" i="2"/>
  <c r="B364" i="2"/>
  <c r="P363" i="2"/>
  <c r="M363" i="2" s="1"/>
  <c r="I363" i="2"/>
  <c r="J363" i="2"/>
  <c r="Y362" i="2"/>
  <c r="AO362" i="2"/>
  <c r="H362" i="2"/>
  <c r="AD362" i="2"/>
  <c r="AT362" i="2"/>
  <c r="AA362" i="2"/>
  <c r="S362" i="2"/>
  <c r="AM362" i="2"/>
  <c r="AB362" i="2"/>
  <c r="AR362" i="2"/>
  <c r="AC362" i="2"/>
  <c r="AS362" i="2"/>
  <c r="R362" i="2"/>
  <c r="AH362" i="2"/>
  <c r="AX362" i="2"/>
  <c r="L361" i="2"/>
  <c r="N361" i="2" s="1"/>
  <c r="O361" i="2" s="1"/>
  <c r="AF362" i="2"/>
  <c r="AV362" i="2"/>
  <c r="Q362" i="2"/>
  <c r="AG362" i="2"/>
  <c r="AW362" i="2"/>
  <c r="V362" i="2"/>
  <c r="AL362" i="2"/>
  <c r="K363" i="2" l="1"/>
  <c r="C364" i="2"/>
  <c r="D364" i="2"/>
  <c r="AI363" i="2"/>
  <c r="AA363" i="2"/>
  <c r="AV363" i="2"/>
  <c r="AG363" i="2"/>
  <c r="V363" i="2"/>
  <c r="AL363" i="2"/>
  <c r="L362" i="2"/>
  <c r="N362" i="2" s="1"/>
  <c r="AY363" i="2"/>
  <c r="AQ363" i="2"/>
  <c r="T363" i="2"/>
  <c r="AJ363" i="2"/>
  <c r="AZ363" i="2"/>
  <c r="U363" i="2"/>
  <c r="AK363" i="2"/>
  <c r="BA363" i="2"/>
  <c r="Z363" i="2"/>
  <c r="AP363" i="2"/>
  <c r="AF363" i="2"/>
  <c r="Q363" i="2"/>
  <c r="AW363" i="2"/>
  <c r="W363" i="2"/>
  <c r="AE363" i="2"/>
  <c r="X363" i="2"/>
  <c r="AN363" i="2"/>
  <c r="B365" i="2"/>
  <c r="P364" i="2"/>
  <c r="M364" i="2" s="1"/>
  <c r="I364" i="2"/>
  <c r="J364" i="2"/>
  <c r="Y363" i="2"/>
  <c r="AO363" i="2"/>
  <c r="H363" i="2"/>
  <c r="AD363" i="2"/>
  <c r="AT363" i="2"/>
  <c r="S363" i="2"/>
  <c r="AM363" i="2"/>
  <c r="AU363" i="2"/>
  <c r="AB363" i="2"/>
  <c r="AR363" i="2"/>
  <c r="AC363" i="2"/>
  <c r="AS363" i="2"/>
  <c r="R363" i="2"/>
  <c r="AH363" i="2"/>
  <c r="AX363" i="2"/>
  <c r="K364" i="2" l="1"/>
  <c r="D365" i="2"/>
  <c r="C365" i="2"/>
  <c r="AI364" i="2"/>
  <c r="AQ364" i="2"/>
  <c r="AF364" i="2"/>
  <c r="AV364" i="2"/>
  <c r="Q364" i="2"/>
  <c r="AG364" i="2"/>
  <c r="AW364" i="2"/>
  <c r="V364" i="2"/>
  <c r="AL364" i="2"/>
  <c r="L363" i="2"/>
  <c r="AE364" i="2"/>
  <c r="AY364" i="2"/>
  <c r="T364" i="2"/>
  <c r="AJ364" i="2"/>
  <c r="AZ364" i="2"/>
  <c r="U364" i="2"/>
  <c r="AK364" i="2"/>
  <c r="BA364" i="2"/>
  <c r="Z364" i="2"/>
  <c r="AP364" i="2"/>
  <c r="AU364" i="2"/>
  <c r="W364" i="2"/>
  <c r="X364" i="2"/>
  <c r="AN364" i="2"/>
  <c r="B366" i="2"/>
  <c r="P365" i="2"/>
  <c r="M365" i="2" s="1"/>
  <c r="I365" i="2"/>
  <c r="J365" i="2"/>
  <c r="Y364" i="2"/>
  <c r="AO364" i="2"/>
  <c r="H364" i="2"/>
  <c r="AD364" i="2"/>
  <c r="AT364" i="2"/>
  <c r="O362" i="2"/>
  <c r="AA364" i="2"/>
  <c r="S364" i="2"/>
  <c r="AM364" i="2"/>
  <c r="AB364" i="2"/>
  <c r="AR364" i="2"/>
  <c r="AC364" i="2"/>
  <c r="AS364" i="2"/>
  <c r="R364" i="2"/>
  <c r="AH364" i="2"/>
  <c r="AX364" i="2"/>
  <c r="K365" i="2" l="1"/>
  <c r="D366" i="2"/>
  <c r="C366" i="2"/>
  <c r="AI365" i="2"/>
  <c r="AY365" i="2"/>
  <c r="AM365" i="2"/>
  <c r="S365" i="2"/>
  <c r="AQ365" i="2"/>
  <c r="X365" i="2"/>
  <c r="W365" i="2"/>
  <c r="AE365" i="2"/>
  <c r="AJ365" i="2"/>
  <c r="AA365" i="2"/>
  <c r="T365" i="2"/>
  <c r="AZ365" i="2"/>
  <c r="Y365" i="2"/>
  <c r="AN365" i="2"/>
  <c r="U365" i="2"/>
  <c r="AF365" i="2"/>
  <c r="AV365" i="2"/>
  <c r="Q365" i="2"/>
  <c r="AG365" i="2"/>
  <c r="AW365" i="2"/>
  <c r="V365" i="2"/>
  <c r="AL365" i="2"/>
  <c r="N363" i="2"/>
  <c r="O363" i="2" s="1"/>
  <c r="L364" i="2"/>
  <c r="N364" i="2" s="1"/>
  <c r="AK365" i="2"/>
  <c r="BA365" i="2"/>
  <c r="Z365" i="2"/>
  <c r="AP365" i="2"/>
  <c r="B367" i="2"/>
  <c r="P366" i="2"/>
  <c r="M366" i="2" s="1"/>
  <c r="J366" i="2"/>
  <c r="I366" i="2"/>
  <c r="AO365" i="2"/>
  <c r="H365" i="2"/>
  <c r="AD365" i="2"/>
  <c r="AT365" i="2"/>
  <c r="AU365" i="2"/>
  <c r="AB365" i="2"/>
  <c r="AR365" i="2"/>
  <c r="AC365" i="2"/>
  <c r="AS365" i="2"/>
  <c r="R365" i="2"/>
  <c r="AH365" i="2"/>
  <c r="AX365" i="2"/>
  <c r="K366" i="2" l="1"/>
  <c r="D367" i="2"/>
  <c r="C367" i="2"/>
  <c r="AE366" i="2"/>
  <c r="AU366" i="2"/>
  <c r="AA366" i="2"/>
  <c r="AI366" i="2"/>
  <c r="AQ366" i="2"/>
  <c r="AY366" i="2"/>
  <c r="AF366" i="2"/>
  <c r="AV366" i="2"/>
  <c r="Q366" i="2"/>
  <c r="AG366" i="2"/>
  <c r="AW366" i="2"/>
  <c r="V366" i="2"/>
  <c r="AL366" i="2"/>
  <c r="T366" i="2"/>
  <c r="AJ366" i="2"/>
  <c r="AZ366" i="2"/>
  <c r="U366" i="2"/>
  <c r="AK366" i="2"/>
  <c r="BA366" i="2"/>
  <c r="Z366" i="2"/>
  <c r="AP366" i="2"/>
  <c r="O364" i="2"/>
  <c r="L365" i="2"/>
  <c r="N365" i="2" s="1"/>
  <c r="W366" i="2"/>
  <c r="X366" i="2"/>
  <c r="AN366" i="2"/>
  <c r="B368" i="2"/>
  <c r="P367" i="2"/>
  <c r="M367" i="2" s="1"/>
  <c r="I367" i="2"/>
  <c r="J367" i="2"/>
  <c r="Y366" i="2"/>
  <c r="AO366" i="2"/>
  <c r="H366" i="2"/>
  <c r="AD366" i="2"/>
  <c r="AT366" i="2"/>
  <c r="S366" i="2"/>
  <c r="AM366" i="2"/>
  <c r="AB366" i="2"/>
  <c r="AR366" i="2"/>
  <c r="AC366" i="2"/>
  <c r="AS366" i="2"/>
  <c r="R366" i="2"/>
  <c r="AH366" i="2"/>
  <c r="AX366" i="2"/>
  <c r="K367" i="2" l="1"/>
  <c r="C368" i="2"/>
  <c r="D368" i="2"/>
  <c r="AI367" i="2"/>
  <c r="AM367" i="2"/>
  <c r="AA367" i="2"/>
  <c r="S367" i="2"/>
  <c r="AU367" i="2"/>
  <c r="W367" i="2"/>
  <c r="AE367" i="2"/>
  <c r="X367" i="2"/>
  <c r="AN367" i="2"/>
  <c r="B369" i="2"/>
  <c r="P368" i="2"/>
  <c r="M368" i="2" s="1"/>
  <c r="I368" i="2"/>
  <c r="J368" i="2"/>
  <c r="Y367" i="2"/>
  <c r="AO367" i="2"/>
  <c r="H367" i="2"/>
  <c r="AD367" i="2"/>
  <c r="AT367" i="2"/>
  <c r="AB367" i="2"/>
  <c r="AR367" i="2"/>
  <c r="AC367" i="2"/>
  <c r="AS367" i="2"/>
  <c r="R367" i="2"/>
  <c r="AH367" i="2"/>
  <c r="AX367" i="2"/>
  <c r="AF367" i="2"/>
  <c r="AV367" i="2"/>
  <c r="Q367" i="2"/>
  <c r="AG367" i="2"/>
  <c r="AW367" i="2"/>
  <c r="V367" i="2"/>
  <c r="AL367" i="2"/>
  <c r="O365" i="2"/>
  <c r="L366" i="2"/>
  <c r="N366" i="2" s="1"/>
  <c r="AY367" i="2"/>
  <c r="AQ367" i="2"/>
  <c r="T367" i="2"/>
  <c r="AJ367" i="2"/>
  <c r="AZ367" i="2"/>
  <c r="U367" i="2"/>
  <c r="AK367" i="2"/>
  <c r="BA367" i="2"/>
  <c r="Z367" i="2"/>
  <c r="AP367" i="2"/>
  <c r="K368" i="2" l="1"/>
  <c r="D369" i="2"/>
  <c r="C369" i="2"/>
  <c r="AA368" i="2"/>
  <c r="S368" i="2"/>
  <c r="AQ368" i="2"/>
  <c r="AI368" i="2"/>
  <c r="T368" i="2"/>
  <c r="AE368" i="2"/>
  <c r="AY368" i="2"/>
  <c r="X368" i="2"/>
  <c r="AU368" i="2"/>
  <c r="W368" i="2"/>
  <c r="AF368" i="2"/>
  <c r="AV368" i="2"/>
  <c r="Q368" i="2"/>
  <c r="AG368" i="2"/>
  <c r="AW368" i="2"/>
  <c r="V368" i="2"/>
  <c r="AL368" i="2"/>
  <c r="L367" i="2"/>
  <c r="AJ368" i="2"/>
  <c r="AZ368" i="2"/>
  <c r="U368" i="2"/>
  <c r="AK368" i="2"/>
  <c r="BA368" i="2"/>
  <c r="Z368" i="2"/>
  <c r="AP368" i="2"/>
  <c r="O366" i="2"/>
  <c r="AN368" i="2"/>
  <c r="B370" i="2"/>
  <c r="P369" i="2"/>
  <c r="M369" i="2" s="1"/>
  <c r="I369" i="2"/>
  <c r="J369" i="2"/>
  <c r="Y368" i="2"/>
  <c r="AO368" i="2"/>
  <c r="H368" i="2"/>
  <c r="AD368" i="2"/>
  <c r="AT368" i="2"/>
  <c r="AM368" i="2"/>
  <c r="AB368" i="2"/>
  <c r="AR368" i="2"/>
  <c r="AC368" i="2"/>
  <c r="AS368" i="2"/>
  <c r="R368" i="2"/>
  <c r="AH368" i="2"/>
  <c r="AX368" i="2"/>
  <c r="K369" i="2" l="1"/>
  <c r="D370" i="2"/>
  <c r="C370" i="2"/>
  <c r="S369" i="2"/>
  <c r="AI369" i="2"/>
  <c r="AM369" i="2"/>
  <c r="AA369" i="2"/>
  <c r="AY369" i="2"/>
  <c r="AQ369" i="2"/>
  <c r="W369" i="2"/>
  <c r="AU369" i="2"/>
  <c r="T369" i="2"/>
  <c r="AB369" i="2"/>
  <c r="AR369" i="2"/>
  <c r="AC369" i="2"/>
  <c r="AS369" i="2"/>
  <c r="R369" i="2"/>
  <c r="AH369" i="2"/>
  <c r="AX369" i="2"/>
  <c r="N367" i="2"/>
  <c r="O367" i="2" s="1"/>
  <c r="AF369" i="2"/>
  <c r="AV369" i="2"/>
  <c r="Q369" i="2"/>
  <c r="AG369" i="2"/>
  <c r="AW369" i="2"/>
  <c r="V369" i="2"/>
  <c r="AL369" i="2"/>
  <c r="L368" i="2"/>
  <c r="N368" i="2" s="1"/>
  <c r="AJ369" i="2"/>
  <c r="AZ369" i="2"/>
  <c r="U369" i="2"/>
  <c r="AK369" i="2"/>
  <c r="BA369" i="2"/>
  <c r="Z369" i="2"/>
  <c r="AP369" i="2"/>
  <c r="AE369" i="2"/>
  <c r="X369" i="2"/>
  <c r="AN369" i="2"/>
  <c r="B371" i="2"/>
  <c r="P370" i="2"/>
  <c r="M370" i="2" s="1"/>
  <c r="J370" i="2"/>
  <c r="I370" i="2"/>
  <c r="Y369" i="2"/>
  <c r="AO369" i="2"/>
  <c r="H369" i="2"/>
  <c r="AD369" i="2"/>
  <c r="AT369" i="2"/>
  <c r="K370" i="2" l="1"/>
  <c r="D371" i="2"/>
  <c r="C371" i="2"/>
  <c r="AQ370" i="2"/>
  <c r="W370" i="2"/>
  <c r="AI370" i="2"/>
  <c r="AU370" i="2"/>
  <c r="L369" i="2"/>
  <c r="N369" i="2" s="1"/>
  <c r="AE370" i="2"/>
  <c r="AY370" i="2"/>
  <c r="T370" i="2"/>
  <c r="AJ370" i="2"/>
  <c r="AZ370" i="2"/>
  <c r="U370" i="2"/>
  <c r="AK370" i="2"/>
  <c r="BA370" i="2"/>
  <c r="Z370" i="2"/>
  <c r="AP370" i="2"/>
  <c r="X370" i="2"/>
  <c r="AN370" i="2"/>
  <c r="B372" i="2"/>
  <c r="P371" i="2"/>
  <c r="M371" i="2" s="1"/>
  <c r="I371" i="2"/>
  <c r="J371" i="2"/>
  <c r="Y370" i="2"/>
  <c r="AO370" i="2"/>
  <c r="H370" i="2"/>
  <c r="AD370" i="2"/>
  <c r="AT370" i="2"/>
  <c r="AA370" i="2"/>
  <c r="S370" i="2"/>
  <c r="AM370" i="2"/>
  <c r="AB370" i="2"/>
  <c r="AR370" i="2"/>
  <c r="AC370" i="2"/>
  <c r="AS370" i="2"/>
  <c r="R370" i="2"/>
  <c r="AH370" i="2"/>
  <c r="AX370" i="2"/>
  <c r="O368" i="2"/>
  <c r="AF370" i="2"/>
  <c r="AV370" i="2"/>
  <c r="Q370" i="2"/>
  <c r="AG370" i="2"/>
  <c r="AW370" i="2"/>
  <c r="V370" i="2"/>
  <c r="AL370" i="2"/>
  <c r="K371" i="2" l="1"/>
  <c r="C372" i="2"/>
  <c r="D372" i="2"/>
  <c r="T371" i="2"/>
  <c r="S371" i="2"/>
  <c r="AY371" i="2"/>
  <c r="AI371" i="2"/>
  <c r="AA371" i="2"/>
  <c r="AQ371" i="2"/>
  <c r="W371" i="2"/>
  <c r="AE371" i="2"/>
  <c r="X371" i="2"/>
  <c r="AM371" i="2"/>
  <c r="AU371" i="2"/>
  <c r="AJ371" i="2"/>
  <c r="AN371" i="2"/>
  <c r="AZ371" i="2"/>
  <c r="AB371" i="2"/>
  <c r="AR371" i="2"/>
  <c r="AC371" i="2"/>
  <c r="AS371" i="2"/>
  <c r="R371" i="2"/>
  <c r="AH371" i="2"/>
  <c r="AX371" i="2"/>
  <c r="AF371" i="2"/>
  <c r="AV371" i="2"/>
  <c r="Q371" i="2"/>
  <c r="AG371" i="2"/>
  <c r="AW371" i="2"/>
  <c r="V371" i="2"/>
  <c r="AL371" i="2"/>
  <c r="L370" i="2"/>
  <c r="N370" i="2" s="1"/>
  <c r="U371" i="2"/>
  <c r="AK371" i="2"/>
  <c r="BA371" i="2"/>
  <c r="Z371" i="2"/>
  <c r="AP371" i="2"/>
  <c r="O369" i="2"/>
  <c r="B373" i="2"/>
  <c r="P372" i="2"/>
  <c r="M372" i="2" s="1"/>
  <c r="I372" i="2"/>
  <c r="J372" i="2"/>
  <c r="Y371" i="2"/>
  <c r="AO371" i="2"/>
  <c r="H371" i="2"/>
  <c r="AD371" i="2"/>
  <c r="AT371" i="2"/>
  <c r="K372" i="2" l="1"/>
  <c r="D373" i="2"/>
  <c r="C373" i="2"/>
  <c r="AU372" i="2"/>
  <c r="S372" i="2"/>
  <c r="AA372" i="2"/>
  <c r="AQ372" i="2"/>
  <c r="AI372" i="2"/>
  <c r="T372" i="2"/>
  <c r="AE372" i="2"/>
  <c r="AY372" i="2"/>
  <c r="X372" i="2"/>
  <c r="W372" i="2"/>
  <c r="AZ372" i="2"/>
  <c r="AJ372" i="2"/>
  <c r="AN372" i="2"/>
  <c r="AM372" i="2"/>
  <c r="AB372" i="2"/>
  <c r="AR372" i="2"/>
  <c r="AC372" i="2"/>
  <c r="AS372" i="2"/>
  <c r="R372" i="2"/>
  <c r="AH372" i="2"/>
  <c r="AX372" i="2"/>
  <c r="O370" i="2"/>
  <c r="L371" i="2"/>
  <c r="N371" i="2" s="1"/>
  <c r="AF372" i="2"/>
  <c r="AV372" i="2"/>
  <c r="Q372" i="2"/>
  <c r="AG372" i="2"/>
  <c r="AW372" i="2"/>
  <c r="V372" i="2"/>
  <c r="AL372" i="2"/>
  <c r="U372" i="2"/>
  <c r="AK372" i="2"/>
  <c r="BA372" i="2"/>
  <c r="Z372" i="2"/>
  <c r="AP372" i="2"/>
  <c r="B374" i="2"/>
  <c r="P373" i="2"/>
  <c r="M373" i="2" s="1"/>
  <c r="I373" i="2"/>
  <c r="J373" i="2"/>
  <c r="Y372" i="2"/>
  <c r="AO372" i="2"/>
  <c r="H372" i="2"/>
  <c r="AD372" i="2"/>
  <c r="AT372" i="2"/>
  <c r="K373" i="2" l="1"/>
  <c r="W373" i="2"/>
  <c r="AB373" i="2"/>
  <c r="AM373" i="2"/>
  <c r="AI373" i="2"/>
  <c r="AA373" i="2"/>
  <c r="D374" i="2"/>
  <c r="C374" i="2"/>
  <c r="S373" i="2"/>
  <c r="AY373" i="2"/>
  <c r="AQ373" i="2"/>
  <c r="AE373" i="2"/>
  <c r="AU373" i="2"/>
  <c r="T373" i="2"/>
  <c r="AJ373" i="2"/>
  <c r="AZ373" i="2"/>
  <c r="AR373" i="2"/>
  <c r="AF373" i="2"/>
  <c r="AV373" i="2"/>
  <c r="Q373" i="2"/>
  <c r="AG373" i="2"/>
  <c r="AW373" i="2"/>
  <c r="V373" i="2"/>
  <c r="AL373" i="2"/>
  <c r="U373" i="2"/>
  <c r="AK373" i="2"/>
  <c r="BA373" i="2"/>
  <c r="Z373" i="2"/>
  <c r="AP373" i="2"/>
  <c r="O371" i="2"/>
  <c r="L372" i="2"/>
  <c r="N372" i="2" s="1"/>
  <c r="X373" i="2"/>
  <c r="AN373" i="2"/>
  <c r="B375" i="2"/>
  <c r="P374" i="2"/>
  <c r="M374" i="2" s="1"/>
  <c r="J374" i="2"/>
  <c r="I374" i="2"/>
  <c r="Y373" i="2"/>
  <c r="AO373" i="2"/>
  <c r="H373" i="2"/>
  <c r="AD373" i="2"/>
  <c r="AT373" i="2"/>
  <c r="AC373" i="2"/>
  <c r="AS373" i="2"/>
  <c r="R373" i="2"/>
  <c r="AH373" i="2"/>
  <c r="AX373" i="2"/>
  <c r="K374" i="2" l="1"/>
  <c r="D375" i="2"/>
  <c r="C375" i="2"/>
  <c r="AA374" i="2"/>
  <c r="AI374" i="2"/>
  <c r="AQ374" i="2"/>
  <c r="O372" i="2"/>
  <c r="AU374" i="2"/>
  <c r="W374" i="2"/>
  <c r="X374" i="2"/>
  <c r="AN374" i="2"/>
  <c r="B376" i="2"/>
  <c r="P375" i="2"/>
  <c r="M375" i="2" s="1"/>
  <c r="I375" i="2"/>
  <c r="J375" i="2"/>
  <c r="Y374" i="2"/>
  <c r="AO374" i="2"/>
  <c r="H374" i="2"/>
  <c r="AD374" i="2"/>
  <c r="AT374" i="2"/>
  <c r="S374" i="2"/>
  <c r="AM374" i="2"/>
  <c r="AB374" i="2"/>
  <c r="AR374" i="2"/>
  <c r="AC374" i="2"/>
  <c r="AS374" i="2"/>
  <c r="R374" i="2"/>
  <c r="AH374" i="2"/>
  <c r="AX374" i="2"/>
  <c r="AF374" i="2"/>
  <c r="AV374" i="2"/>
  <c r="Q374" i="2"/>
  <c r="AG374" i="2"/>
  <c r="AW374" i="2"/>
  <c r="V374" i="2"/>
  <c r="AL374" i="2"/>
  <c r="L373" i="2"/>
  <c r="N373" i="2" s="1"/>
  <c r="AE374" i="2"/>
  <c r="AY374" i="2"/>
  <c r="T374" i="2"/>
  <c r="AJ374" i="2"/>
  <c r="AZ374" i="2"/>
  <c r="U374" i="2"/>
  <c r="AK374" i="2"/>
  <c r="BA374" i="2"/>
  <c r="Z374" i="2"/>
  <c r="AP374" i="2"/>
  <c r="K375" i="2" l="1"/>
  <c r="C376" i="2"/>
  <c r="D376" i="2"/>
  <c r="AY375" i="2"/>
  <c r="AM375" i="2"/>
  <c r="S375" i="2"/>
  <c r="AA375" i="2"/>
  <c r="AI375" i="2"/>
  <c r="AQ375" i="2"/>
  <c r="AU375" i="2"/>
  <c r="W375" i="2"/>
  <c r="AE375" i="2"/>
  <c r="AF375" i="2"/>
  <c r="AV375" i="2"/>
  <c r="Q375" i="2"/>
  <c r="AG375" i="2"/>
  <c r="AW375" i="2"/>
  <c r="V375" i="2"/>
  <c r="AL375" i="2"/>
  <c r="O373" i="2"/>
  <c r="L374" i="2"/>
  <c r="N374" i="2" s="1"/>
  <c r="T375" i="2"/>
  <c r="AJ375" i="2"/>
  <c r="AZ375" i="2"/>
  <c r="U375" i="2"/>
  <c r="AK375" i="2"/>
  <c r="BA375" i="2"/>
  <c r="Z375" i="2"/>
  <c r="AP375" i="2"/>
  <c r="X375" i="2"/>
  <c r="AN375" i="2"/>
  <c r="B377" i="2"/>
  <c r="P376" i="2"/>
  <c r="M376" i="2" s="1"/>
  <c r="I376" i="2"/>
  <c r="J376" i="2"/>
  <c r="Y375" i="2"/>
  <c r="AO375" i="2"/>
  <c r="H375" i="2"/>
  <c r="AD375" i="2"/>
  <c r="AT375" i="2"/>
  <c r="AB375" i="2"/>
  <c r="AR375" i="2"/>
  <c r="AC375" i="2"/>
  <c r="AS375" i="2"/>
  <c r="R375" i="2"/>
  <c r="AH375" i="2"/>
  <c r="AX375" i="2"/>
  <c r="K376" i="2" l="1"/>
  <c r="D377" i="2"/>
  <c r="C377" i="2"/>
  <c r="AQ376" i="2"/>
  <c r="AE376" i="2"/>
  <c r="AY376" i="2"/>
  <c r="S376" i="2"/>
  <c r="X376" i="2"/>
  <c r="AA376" i="2"/>
  <c r="AI376" i="2"/>
  <c r="AM376" i="2"/>
  <c r="AU376" i="2"/>
  <c r="W376" i="2"/>
  <c r="L375" i="2"/>
  <c r="N375" i="2" s="1"/>
  <c r="T376" i="2"/>
  <c r="AJ376" i="2"/>
  <c r="AZ376" i="2"/>
  <c r="U376" i="2"/>
  <c r="AK376" i="2"/>
  <c r="BA376" i="2"/>
  <c r="Z376" i="2"/>
  <c r="AP376" i="2"/>
  <c r="AN376" i="2"/>
  <c r="B378" i="2"/>
  <c r="P377" i="2"/>
  <c r="M377" i="2" s="1"/>
  <c r="I377" i="2"/>
  <c r="J377" i="2"/>
  <c r="Y376" i="2"/>
  <c r="AO376" i="2"/>
  <c r="H376" i="2"/>
  <c r="AD376" i="2"/>
  <c r="AT376" i="2"/>
  <c r="AB376" i="2"/>
  <c r="AR376" i="2"/>
  <c r="AC376" i="2"/>
  <c r="AS376" i="2"/>
  <c r="R376" i="2"/>
  <c r="AH376" i="2"/>
  <c r="AX376" i="2"/>
  <c r="O374" i="2"/>
  <c r="AF376" i="2"/>
  <c r="AV376" i="2"/>
  <c r="Q376" i="2"/>
  <c r="AG376" i="2"/>
  <c r="AW376" i="2"/>
  <c r="V376" i="2"/>
  <c r="AL376" i="2"/>
  <c r="K377" i="2" l="1"/>
  <c r="D378" i="2"/>
  <c r="C378" i="2"/>
  <c r="W377" i="2"/>
  <c r="AI377" i="2"/>
  <c r="S377" i="2"/>
  <c r="AM377" i="2"/>
  <c r="AA377" i="2"/>
  <c r="AY377" i="2"/>
  <c r="AQ377" i="2"/>
  <c r="AU377" i="2"/>
  <c r="AN377" i="2"/>
  <c r="AE377" i="2"/>
  <c r="AB377" i="2"/>
  <c r="AR377" i="2"/>
  <c r="X377" i="2"/>
  <c r="O375" i="2"/>
  <c r="AF377" i="2"/>
  <c r="AV377" i="2"/>
  <c r="Q377" i="2"/>
  <c r="AG377" i="2"/>
  <c r="AW377" i="2"/>
  <c r="V377" i="2"/>
  <c r="AL377" i="2"/>
  <c r="L376" i="2"/>
  <c r="T377" i="2"/>
  <c r="AJ377" i="2"/>
  <c r="AZ377" i="2"/>
  <c r="U377" i="2"/>
  <c r="AK377" i="2"/>
  <c r="BA377" i="2"/>
  <c r="Z377" i="2"/>
  <c r="AP377" i="2"/>
  <c r="B379" i="2"/>
  <c r="P378" i="2"/>
  <c r="M378" i="2" s="1"/>
  <c r="J378" i="2"/>
  <c r="I378" i="2"/>
  <c r="Y377" i="2"/>
  <c r="AO377" i="2"/>
  <c r="H377" i="2"/>
  <c r="AD377" i="2"/>
  <c r="AT377" i="2"/>
  <c r="AC377" i="2"/>
  <c r="AS377" i="2"/>
  <c r="R377" i="2"/>
  <c r="AH377" i="2"/>
  <c r="AX377" i="2"/>
  <c r="K378" i="2" l="1"/>
  <c r="D379" i="2"/>
  <c r="C379" i="2"/>
  <c r="AY378" i="2"/>
  <c r="AQ378" i="2"/>
  <c r="AI378" i="2"/>
  <c r="L377" i="2"/>
  <c r="N377" i="2" s="1"/>
  <c r="AE378" i="2"/>
  <c r="AU378" i="2"/>
  <c r="W378" i="2"/>
  <c r="X378" i="2"/>
  <c r="AN378" i="2"/>
  <c r="B380" i="2"/>
  <c r="P379" i="2"/>
  <c r="M379" i="2" s="1"/>
  <c r="I379" i="2"/>
  <c r="J379" i="2"/>
  <c r="Y378" i="2"/>
  <c r="AO378" i="2"/>
  <c r="H378" i="2"/>
  <c r="AD378" i="2"/>
  <c r="AT378" i="2"/>
  <c r="N376" i="2"/>
  <c r="O376" i="2" s="1"/>
  <c r="AA378" i="2"/>
  <c r="S378" i="2"/>
  <c r="AM378" i="2"/>
  <c r="AB378" i="2"/>
  <c r="AR378" i="2"/>
  <c r="AC378" i="2"/>
  <c r="AS378" i="2"/>
  <c r="R378" i="2"/>
  <c r="AH378" i="2"/>
  <c r="AX378" i="2"/>
  <c r="AF378" i="2"/>
  <c r="AV378" i="2"/>
  <c r="Q378" i="2"/>
  <c r="AG378" i="2"/>
  <c r="AW378" i="2"/>
  <c r="V378" i="2"/>
  <c r="AL378" i="2"/>
  <c r="T378" i="2"/>
  <c r="AJ378" i="2"/>
  <c r="AZ378" i="2"/>
  <c r="U378" i="2"/>
  <c r="AK378" i="2"/>
  <c r="BA378" i="2"/>
  <c r="Z378" i="2"/>
  <c r="AP378" i="2"/>
  <c r="K379" i="2" l="1"/>
  <c r="AI379" i="2"/>
  <c r="S379" i="2"/>
  <c r="AY379" i="2"/>
  <c r="C380" i="2"/>
  <c r="D380" i="2"/>
  <c r="AA379" i="2"/>
  <c r="AQ379" i="2"/>
  <c r="AM379" i="2"/>
  <c r="AU379" i="2"/>
  <c r="AB379" i="2"/>
  <c r="AN379" i="2"/>
  <c r="T379" i="2"/>
  <c r="AR379" i="2"/>
  <c r="W379" i="2"/>
  <c r="AE379" i="2"/>
  <c r="X379" i="2"/>
  <c r="L378" i="2"/>
  <c r="N378" i="2" s="1"/>
  <c r="AJ379" i="2"/>
  <c r="AZ379" i="2"/>
  <c r="U379" i="2"/>
  <c r="AK379" i="2"/>
  <c r="BA379" i="2"/>
  <c r="Z379" i="2"/>
  <c r="AP379" i="2"/>
  <c r="B381" i="2"/>
  <c r="P380" i="2"/>
  <c r="M380" i="2" s="1"/>
  <c r="I380" i="2"/>
  <c r="J380" i="2"/>
  <c r="Y379" i="2"/>
  <c r="AO379" i="2"/>
  <c r="H379" i="2"/>
  <c r="AD379" i="2"/>
  <c r="AT379" i="2"/>
  <c r="O377" i="2"/>
  <c r="AC379" i="2"/>
  <c r="AS379" i="2"/>
  <c r="R379" i="2"/>
  <c r="AH379" i="2"/>
  <c r="AX379" i="2"/>
  <c r="AF379" i="2"/>
  <c r="AV379" i="2"/>
  <c r="Q379" i="2"/>
  <c r="AG379" i="2"/>
  <c r="AW379" i="2"/>
  <c r="V379" i="2"/>
  <c r="AL379" i="2"/>
  <c r="K380" i="2" l="1"/>
  <c r="D381" i="2"/>
  <c r="C381" i="2"/>
  <c r="AA380" i="2"/>
  <c r="AQ380" i="2"/>
  <c r="AI380" i="2"/>
  <c r="AM380" i="2"/>
  <c r="S380" i="2"/>
  <c r="AU380" i="2"/>
  <c r="W380" i="2"/>
  <c r="X380" i="2"/>
  <c r="AN380" i="2"/>
  <c r="B382" i="2"/>
  <c r="P381" i="2"/>
  <c r="M381" i="2" s="1"/>
  <c r="I381" i="2"/>
  <c r="J381" i="2"/>
  <c r="Y380" i="2"/>
  <c r="AO380" i="2"/>
  <c r="H380" i="2"/>
  <c r="AD380" i="2"/>
  <c r="AT380" i="2"/>
  <c r="AB380" i="2"/>
  <c r="AR380" i="2"/>
  <c r="AC380" i="2"/>
  <c r="AS380" i="2"/>
  <c r="R380" i="2"/>
  <c r="AH380" i="2"/>
  <c r="AX380" i="2"/>
  <c r="AF380" i="2"/>
  <c r="AV380" i="2"/>
  <c r="Q380" i="2"/>
  <c r="AG380" i="2"/>
  <c r="AW380" i="2"/>
  <c r="V380" i="2"/>
  <c r="AL380" i="2"/>
  <c r="O378" i="2"/>
  <c r="L379" i="2"/>
  <c r="AE380" i="2"/>
  <c r="AY380" i="2"/>
  <c r="T380" i="2"/>
  <c r="AJ380" i="2"/>
  <c r="AZ380" i="2"/>
  <c r="U380" i="2"/>
  <c r="AK380" i="2"/>
  <c r="BA380" i="2"/>
  <c r="Z380" i="2"/>
  <c r="AP380" i="2"/>
  <c r="K381" i="2" l="1"/>
  <c r="D382" i="2"/>
  <c r="C382" i="2"/>
  <c r="AM381" i="2"/>
  <c r="AY381" i="2"/>
  <c r="S381" i="2"/>
  <c r="AB381" i="2"/>
  <c r="AI381" i="2"/>
  <c r="AU381" i="2"/>
  <c r="AC381" i="2"/>
  <c r="N379" i="2"/>
  <c r="O379" i="2" s="1"/>
  <c r="AA381" i="2"/>
  <c r="AR381" i="2"/>
  <c r="AF381" i="2"/>
  <c r="AV381" i="2"/>
  <c r="Q381" i="2"/>
  <c r="AG381" i="2"/>
  <c r="AW381" i="2"/>
  <c r="V381" i="2"/>
  <c r="AL381" i="2"/>
  <c r="L380" i="2"/>
  <c r="AQ381" i="2"/>
  <c r="T381" i="2"/>
  <c r="AJ381" i="2"/>
  <c r="AZ381" i="2"/>
  <c r="U381" i="2"/>
  <c r="AK381" i="2"/>
  <c r="BA381" i="2"/>
  <c r="Z381" i="2"/>
  <c r="AP381" i="2"/>
  <c r="W381" i="2"/>
  <c r="AE381" i="2"/>
  <c r="X381" i="2"/>
  <c r="AN381" i="2"/>
  <c r="B383" i="2"/>
  <c r="P382" i="2"/>
  <c r="M382" i="2" s="1"/>
  <c r="J382" i="2"/>
  <c r="I382" i="2"/>
  <c r="Y381" i="2"/>
  <c r="AO381" i="2"/>
  <c r="H381" i="2"/>
  <c r="AD381" i="2"/>
  <c r="AT381" i="2"/>
  <c r="AS381" i="2"/>
  <c r="R381" i="2"/>
  <c r="AH381" i="2"/>
  <c r="AX381" i="2"/>
  <c r="K382" i="2" l="1"/>
  <c r="D383" i="2"/>
  <c r="C383" i="2"/>
  <c r="AQ382" i="2"/>
  <c r="AA382" i="2"/>
  <c r="S382" i="2"/>
  <c r="AI382" i="2"/>
  <c r="AE382" i="2"/>
  <c r="AY382" i="2"/>
  <c r="X382" i="2"/>
  <c r="AU382" i="2"/>
  <c r="W382" i="2"/>
  <c r="AJ382" i="2"/>
  <c r="AN382" i="2"/>
  <c r="U382" i="2"/>
  <c r="T382" i="2"/>
  <c r="AZ382" i="2"/>
  <c r="L381" i="2"/>
  <c r="N381" i="2" s="1"/>
  <c r="AM382" i="2"/>
  <c r="AB382" i="2"/>
  <c r="AR382" i="2"/>
  <c r="AC382" i="2"/>
  <c r="AS382" i="2"/>
  <c r="R382" i="2"/>
  <c r="AH382" i="2"/>
  <c r="AX382" i="2"/>
  <c r="N380" i="2"/>
  <c r="O380" i="2" s="1"/>
  <c r="AF382" i="2"/>
  <c r="AV382" i="2"/>
  <c r="Q382" i="2"/>
  <c r="AG382" i="2"/>
  <c r="AW382" i="2"/>
  <c r="V382" i="2"/>
  <c r="AL382" i="2"/>
  <c r="AK382" i="2"/>
  <c r="BA382" i="2"/>
  <c r="Z382" i="2"/>
  <c r="AP382" i="2"/>
  <c r="B384" i="2"/>
  <c r="P383" i="2"/>
  <c r="M383" i="2" s="1"/>
  <c r="I383" i="2"/>
  <c r="J383" i="2"/>
  <c r="Y382" i="2"/>
  <c r="AO382" i="2"/>
  <c r="H382" i="2"/>
  <c r="AD382" i="2"/>
  <c r="AT382" i="2"/>
  <c r="K383" i="2" l="1"/>
  <c r="C384" i="2"/>
  <c r="D384" i="2"/>
  <c r="AA383" i="2"/>
  <c r="W383" i="2"/>
  <c r="AI383" i="2"/>
  <c r="S383" i="2"/>
  <c r="AM383" i="2"/>
  <c r="AU383" i="2"/>
  <c r="AN383" i="2"/>
  <c r="AR383" i="2"/>
  <c r="AY383" i="2"/>
  <c r="AQ383" i="2"/>
  <c r="X383" i="2"/>
  <c r="AE383" i="2"/>
  <c r="AB383" i="2"/>
  <c r="AF383" i="2"/>
  <c r="AV383" i="2"/>
  <c r="Q383" i="2"/>
  <c r="AG383" i="2"/>
  <c r="AW383" i="2"/>
  <c r="V383" i="2"/>
  <c r="AL383" i="2"/>
  <c r="L382" i="2"/>
  <c r="T383" i="2"/>
  <c r="AJ383" i="2"/>
  <c r="AZ383" i="2"/>
  <c r="U383" i="2"/>
  <c r="AK383" i="2"/>
  <c r="BA383" i="2"/>
  <c r="Z383" i="2"/>
  <c r="AP383" i="2"/>
  <c r="O381" i="2"/>
  <c r="B385" i="2"/>
  <c r="P384" i="2"/>
  <c r="M384" i="2" s="1"/>
  <c r="I384" i="2"/>
  <c r="J384" i="2"/>
  <c r="Y383" i="2"/>
  <c r="AO383" i="2"/>
  <c r="H383" i="2"/>
  <c r="AD383" i="2"/>
  <c r="AT383" i="2"/>
  <c r="AC383" i="2"/>
  <c r="AS383" i="2"/>
  <c r="R383" i="2"/>
  <c r="AH383" i="2"/>
  <c r="AX383" i="2"/>
  <c r="K384" i="2" l="1"/>
  <c r="D385" i="2"/>
  <c r="C385" i="2"/>
  <c r="AQ384" i="2"/>
  <c r="S384" i="2"/>
  <c r="AI384" i="2"/>
  <c r="AA384" i="2"/>
  <c r="AM384" i="2"/>
  <c r="AE384" i="2"/>
  <c r="AY384" i="2"/>
  <c r="T384" i="2"/>
  <c r="AZ384" i="2"/>
  <c r="AU384" i="2"/>
  <c r="W384" i="2"/>
  <c r="X384" i="2"/>
  <c r="AJ384" i="2"/>
  <c r="AN384" i="2"/>
  <c r="U384" i="2"/>
  <c r="L383" i="2"/>
  <c r="N383" i="2" s="1"/>
  <c r="AB384" i="2"/>
  <c r="AR384" i="2"/>
  <c r="AC384" i="2"/>
  <c r="AS384" i="2"/>
  <c r="R384" i="2"/>
  <c r="AH384" i="2"/>
  <c r="AX384" i="2"/>
  <c r="N382" i="2"/>
  <c r="O382" i="2" s="1"/>
  <c r="AF384" i="2"/>
  <c r="AV384" i="2"/>
  <c r="Q384" i="2"/>
  <c r="AG384" i="2"/>
  <c r="AW384" i="2"/>
  <c r="V384" i="2"/>
  <c r="AL384" i="2"/>
  <c r="AK384" i="2"/>
  <c r="BA384" i="2"/>
  <c r="Z384" i="2"/>
  <c r="AP384" i="2"/>
  <c r="B386" i="2"/>
  <c r="P385" i="2"/>
  <c r="M385" i="2" s="1"/>
  <c r="I385" i="2"/>
  <c r="J385" i="2"/>
  <c r="Y384" i="2"/>
  <c r="AO384" i="2"/>
  <c r="H384" i="2"/>
  <c r="AD384" i="2"/>
  <c r="AT384" i="2"/>
  <c r="K385" i="2" l="1"/>
  <c r="AM385" i="2"/>
  <c r="D386" i="2"/>
  <c r="C386" i="2"/>
  <c r="S385" i="2"/>
  <c r="AI385" i="2"/>
  <c r="AA385" i="2"/>
  <c r="X385" i="2"/>
  <c r="AY385" i="2"/>
  <c r="AQ385" i="2"/>
  <c r="AN385" i="2"/>
  <c r="W385" i="2"/>
  <c r="AE385" i="2"/>
  <c r="AU385" i="2"/>
  <c r="AB385" i="2"/>
  <c r="AR385" i="2"/>
  <c r="AC385" i="2"/>
  <c r="AS385" i="2"/>
  <c r="R385" i="2"/>
  <c r="AH385" i="2"/>
  <c r="AX385" i="2"/>
  <c r="AF385" i="2"/>
  <c r="AV385" i="2"/>
  <c r="Q385" i="2"/>
  <c r="AG385" i="2"/>
  <c r="AW385" i="2"/>
  <c r="V385" i="2"/>
  <c r="AL385" i="2"/>
  <c r="O383" i="2"/>
  <c r="L384" i="2"/>
  <c r="N384" i="2" s="1"/>
  <c r="O384" i="2" s="1"/>
  <c r="T385" i="2"/>
  <c r="AJ385" i="2"/>
  <c r="AZ385" i="2"/>
  <c r="U385" i="2"/>
  <c r="AK385" i="2"/>
  <c r="BA385" i="2"/>
  <c r="Z385" i="2"/>
  <c r="AP385" i="2"/>
  <c r="B387" i="2"/>
  <c r="P386" i="2"/>
  <c r="M386" i="2" s="1"/>
  <c r="J386" i="2"/>
  <c r="I386" i="2"/>
  <c r="Y385" i="2"/>
  <c r="AO385" i="2"/>
  <c r="H385" i="2"/>
  <c r="AD385" i="2"/>
  <c r="AT385" i="2"/>
  <c r="K386" i="2" l="1"/>
  <c r="D387" i="2"/>
  <c r="C387" i="2"/>
  <c r="AU386" i="2"/>
  <c r="AN386" i="2"/>
  <c r="AA386" i="2"/>
  <c r="AI386" i="2"/>
  <c r="T386" i="2"/>
  <c r="AZ386" i="2"/>
  <c r="Y386" i="2"/>
  <c r="AQ386" i="2"/>
  <c r="AY386" i="2"/>
  <c r="X386" i="2"/>
  <c r="AE386" i="2"/>
  <c r="W386" i="2"/>
  <c r="AJ386" i="2"/>
  <c r="S386" i="2"/>
  <c r="AM386" i="2"/>
  <c r="AB386" i="2"/>
  <c r="AR386" i="2"/>
  <c r="AC386" i="2"/>
  <c r="AS386" i="2"/>
  <c r="R386" i="2"/>
  <c r="AH386" i="2"/>
  <c r="AX386" i="2"/>
  <c r="L385" i="2"/>
  <c r="N385" i="2" s="1"/>
  <c r="AF386" i="2"/>
  <c r="AV386" i="2"/>
  <c r="Q386" i="2"/>
  <c r="AG386" i="2"/>
  <c r="AW386" i="2"/>
  <c r="V386" i="2"/>
  <c r="AL386" i="2"/>
  <c r="U386" i="2"/>
  <c r="AK386" i="2"/>
  <c r="BA386" i="2"/>
  <c r="Z386" i="2"/>
  <c r="AP386" i="2"/>
  <c r="B388" i="2"/>
  <c r="P387" i="2"/>
  <c r="M387" i="2" s="1"/>
  <c r="I387" i="2"/>
  <c r="J387" i="2"/>
  <c r="AO386" i="2"/>
  <c r="H386" i="2"/>
  <c r="AD386" i="2"/>
  <c r="AT386" i="2"/>
  <c r="K387" i="2" l="1"/>
  <c r="C388" i="2"/>
  <c r="D388" i="2"/>
  <c r="AA387" i="2"/>
  <c r="AI387" i="2"/>
  <c r="AR387" i="2"/>
  <c r="AY387" i="2"/>
  <c r="AQ387" i="2"/>
  <c r="T387" i="2"/>
  <c r="AZ387" i="2"/>
  <c r="W387" i="2"/>
  <c r="AB387" i="2"/>
  <c r="AC387" i="2"/>
  <c r="AE387" i="2"/>
  <c r="S387" i="2"/>
  <c r="AM387" i="2"/>
  <c r="AU387" i="2"/>
  <c r="AJ387" i="2"/>
  <c r="AF387" i="2"/>
  <c r="AV387" i="2"/>
  <c r="Q387" i="2"/>
  <c r="AG387" i="2"/>
  <c r="AW387" i="2"/>
  <c r="V387" i="2"/>
  <c r="AL387" i="2"/>
  <c r="U387" i="2"/>
  <c r="AK387" i="2"/>
  <c r="BA387" i="2"/>
  <c r="Z387" i="2"/>
  <c r="AP387" i="2"/>
  <c r="O385" i="2"/>
  <c r="L386" i="2"/>
  <c r="N386" i="2" s="1"/>
  <c r="X387" i="2"/>
  <c r="AN387" i="2"/>
  <c r="B389" i="2"/>
  <c r="P388" i="2"/>
  <c r="M388" i="2" s="1"/>
  <c r="I388" i="2"/>
  <c r="J388" i="2"/>
  <c r="Y387" i="2"/>
  <c r="AO387" i="2"/>
  <c r="H387" i="2"/>
  <c r="AD387" i="2"/>
  <c r="AT387" i="2"/>
  <c r="AS387" i="2"/>
  <c r="R387" i="2"/>
  <c r="AH387" i="2"/>
  <c r="AX387" i="2"/>
  <c r="K388" i="2" l="1"/>
  <c r="AA388" i="2"/>
  <c r="D389" i="2"/>
  <c r="C389" i="2"/>
  <c r="AE388" i="2"/>
  <c r="AI388" i="2"/>
  <c r="AQ388" i="2"/>
  <c r="W388" i="2"/>
  <c r="AU388" i="2"/>
  <c r="AY388" i="2"/>
  <c r="X388" i="2"/>
  <c r="AN388" i="2"/>
  <c r="B390" i="2"/>
  <c r="P389" i="2"/>
  <c r="M389" i="2" s="1"/>
  <c r="I389" i="2"/>
  <c r="J389" i="2"/>
  <c r="Y388" i="2"/>
  <c r="AO388" i="2"/>
  <c r="H388" i="2"/>
  <c r="AD388" i="2"/>
  <c r="AT388" i="2"/>
  <c r="S388" i="2"/>
  <c r="AM388" i="2"/>
  <c r="AB388" i="2"/>
  <c r="AR388" i="2"/>
  <c r="AC388" i="2"/>
  <c r="AS388" i="2"/>
  <c r="R388" i="2"/>
  <c r="AH388" i="2"/>
  <c r="AX388" i="2"/>
  <c r="O386" i="2"/>
  <c r="AF388" i="2"/>
  <c r="AV388" i="2"/>
  <c r="Q388" i="2"/>
  <c r="AG388" i="2"/>
  <c r="AW388" i="2"/>
  <c r="V388" i="2"/>
  <c r="AL388" i="2"/>
  <c r="L387" i="2"/>
  <c r="N387" i="2" s="1"/>
  <c r="T388" i="2"/>
  <c r="AJ388" i="2"/>
  <c r="AZ388" i="2"/>
  <c r="U388" i="2"/>
  <c r="AK388" i="2"/>
  <c r="BA388" i="2"/>
  <c r="Z388" i="2"/>
  <c r="AP388" i="2"/>
  <c r="K389" i="2" l="1"/>
  <c r="D390" i="2"/>
  <c r="C390" i="2"/>
  <c r="AA389" i="2"/>
  <c r="S389" i="2"/>
  <c r="AI389" i="2"/>
  <c r="AM389" i="2"/>
  <c r="AY389" i="2"/>
  <c r="W389" i="2"/>
  <c r="AE389" i="2"/>
  <c r="X389" i="2"/>
  <c r="AN389" i="2"/>
  <c r="B391" i="2"/>
  <c r="P390" i="2"/>
  <c r="M390" i="2" s="1"/>
  <c r="J390" i="2"/>
  <c r="I390" i="2"/>
  <c r="Y389" i="2"/>
  <c r="AO389" i="2"/>
  <c r="H389" i="2"/>
  <c r="AD389" i="2"/>
  <c r="AT389" i="2"/>
  <c r="AU389" i="2"/>
  <c r="AB389" i="2"/>
  <c r="AR389" i="2"/>
  <c r="AC389" i="2"/>
  <c r="AS389" i="2"/>
  <c r="R389" i="2"/>
  <c r="AH389" i="2"/>
  <c r="AX389" i="2"/>
  <c r="O387" i="2"/>
  <c r="AF389" i="2"/>
  <c r="AV389" i="2"/>
  <c r="Q389" i="2"/>
  <c r="AG389" i="2"/>
  <c r="AW389" i="2"/>
  <c r="V389" i="2"/>
  <c r="AL389" i="2"/>
  <c r="L388" i="2"/>
  <c r="N388" i="2" s="1"/>
  <c r="AQ389" i="2"/>
  <c r="T389" i="2"/>
  <c r="AJ389" i="2"/>
  <c r="AZ389" i="2"/>
  <c r="U389" i="2"/>
  <c r="AK389" i="2"/>
  <c r="BA389" i="2"/>
  <c r="Z389" i="2"/>
  <c r="AP389" i="2"/>
  <c r="K390" i="2" l="1"/>
  <c r="D391" i="2"/>
  <c r="C391" i="2"/>
  <c r="AA390" i="2"/>
  <c r="AI390" i="2"/>
  <c r="AQ390" i="2"/>
  <c r="AY390" i="2"/>
  <c r="AU390" i="2"/>
  <c r="AE390" i="2"/>
  <c r="W390" i="2"/>
  <c r="S390" i="2"/>
  <c r="AM390" i="2"/>
  <c r="AB390" i="2"/>
  <c r="AR390" i="2"/>
  <c r="AC390" i="2"/>
  <c r="AS390" i="2"/>
  <c r="R390" i="2"/>
  <c r="AH390" i="2"/>
  <c r="AX390" i="2"/>
  <c r="AF390" i="2"/>
  <c r="AV390" i="2"/>
  <c r="Q390" i="2"/>
  <c r="AG390" i="2"/>
  <c r="AW390" i="2"/>
  <c r="V390" i="2"/>
  <c r="AL390" i="2"/>
  <c r="O388" i="2"/>
  <c r="L389" i="2"/>
  <c r="N389" i="2" s="1"/>
  <c r="T390" i="2"/>
  <c r="AJ390" i="2"/>
  <c r="AZ390" i="2"/>
  <c r="U390" i="2"/>
  <c r="AK390" i="2"/>
  <c r="BA390" i="2"/>
  <c r="Z390" i="2"/>
  <c r="AP390" i="2"/>
  <c r="X390" i="2"/>
  <c r="AN390" i="2"/>
  <c r="B392" i="2"/>
  <c r="P391" i="2"/>
  <c r="M391" i="2" s="1"/>
  <c r="I391" i="2"/>
  <c r="J391" i="2"/>
  <c r="Y390" i="2"/>
  <c r="AO390" i="2"/>
  <c r="H390" i="2"/>
  <c r="AD390" i="2"/>
  <c r="AT390" i="2"/>
  <c r="K391" i="2" l="1"/>
  <c r="C392" i="2"/>
  <c r="D392" i="2"/>
  <c r="S391" i="2"/>
  <c r="AA391" i="2"/>
  <c r="AI391" i="2"/>
  <c r="AY391" i="2"/>
  <c r="W391" i="2"/>
  <c r="AE391" i="2"/>
  <c r="X391" i="2"/>
  <c r="AN391" i="2"/>
  <c r="B393" i="2"/>
  <c r="P392" i="2"/>
  <c r="M392" i="2" s="1"/>
  <c r="I392" i="2"/>
  <c r="J392" i="2"/>
  <c r="Y391" i="2"/>
  <c r="AO391" i="2"/>
  <c r="H391" i="2"/>
  <c r="AD391" i="2"/>
  <c r="AT391" i="2"/>
  <c r="AM391" i="2"/>
  <c r="AU391" i="2"/>
  <c r="AB391" i="2"/>
  <c r="AR391" i="2"/>
  <c r="AC391" i="2"/>
  <c r="AS391" i="2"/>
  <c r="R391" i="2"/>
  <c r="AH391" i="2"/>
  <c r="AX391" i="2"/>
  <c r="O389" i="2"/>
  <c r="AF391" i="2"/>
  <c r="AV391" i="2"/>
  <c r="Q391" i="2"/>
  <c r="AG391" i="2"/>
  <c r="AW391" i="2"/>
  <c r="V391" i="2"/>
  <c r="AL391" i="2"/>
  <c r="L390" i="2"/>
  <c r="N390" i="2" s="1"/>
  <c r="AQ391" i="2"/>
  <c r="T391" i="2"/>
  <c r="AJ391" i="2"/>
  <c r="AZ391" i="2"/>
  <c r="U391" i="2"/>
  <c r="AK391" i="2"/>
  <c r="BA391" i="2"/>
  <c r="Z391" i="2"/>
  <c r="AP391" i="2"/>
  <c r="K392" i="2" l="1"/>
  <c r="AA392" i="2"/>
  <c r="S392" i="2"/>
  <c r="AU392" i="2"/>
  <c r="D393" i="2"/>
  <c r="C393" i="2"/>
  <c r="AE392" i="2"/>
  <c r="AM392" i="2"/>
  <c r="AQ392" i="2"/>
  <c r="AI392" i="2"/>
  <c r="T392" i="2"/>
  <c r="AY392" i="2"/>
  <c r="W392" i="2"/>
  <c r="X392" i="2"/>
  <c r="AN392" i="2"/>
  <c r="B394" i="2"/>
  <c r="P393" i="2"/>
  <c r="M393" i="2" s="1"/>
  <c r="I393" i="2"/>
  <c r="J393" i="2"/>
  <c r="Y392" i="2"/>
  <c r="AO392" i="2"/>
  <c r="H392" i="2"/>
  <c r="AD392" i="2"/>
  <c r="AT392" i="2"/>
  <c r="AB392" i="2"/>
  <c r="AR392" i="2"/>
  <c r="AC392" i="2"/>
  <c r="AS392" i="2"/>
  <c r="R392" i="2"/>
  <c r="AH392" i="2"/>
  <c r="AX392" i="2"/>
  <c r="O390" i="2"/>
  <c r="AF392" i="2"/>
  <c r="AV392" i="2"/>
  <c r="Q392" i="2"/>
  <c r="AG392" i="2"/>
  <c r="AW392" i="2"/>
  <c r="V392" i="2"/>
  <c r="AL392" i="2"/>
  <c r="L391" i="2"/>
  <c r="AJ392" i="2"/>
  <c r="AZ392" i="2"/>
  <c r="U392" i="2"/>
  <c r="AK392" i="2"/>
  <c r="BA392" i="2"/>
  <c r="Z392" i="2"/>
  <c r="AP392" i="2"/>
  <c r="K393" i="2" l="1"/>
  <c r="D394" i="2"/>
  <c r="C394" i="2"/>
  <c r="W393" i="2"/>
  <c r="AI393" i="2"/>
  <c r="S393" i="2"/>
  <c r="AM393" i="2"/>
  <c r="AA393" i="2"/>
  <c r="AY393" i="2"/>
  <c r="AQ393" i="2"/>
  <c r="N391" i="2"/>
  <c r="O391" i="2" s="1"/>
  <c r="AU393" i="2"/>
  <c r="AB393" i="2"/>
  <c r="AR393" i="2"/>
  <c r="AC393" i="2"/>
  <c r="AS393" i="2"/>
  <c r="R393" i="2"/>
  <c r="AH393" i="2"/>
  <c r="AX393" i="2"/>
  <c r="AF393" i="2"/>
  <c r="AV393" i="2"/>
  <c r="Q393" i="2"/>
  <c r="AG393" i="2"/>
  <c r="AW393" i="2"/>
  <c r="V393" i="2"/>
  <c r="AL393" i="2"/>
  <c r="L392" i="2"/>
  <c r="T393" i="2"/>
  <c r="AJ393" i="2"/>
  <c r="AZ393" i="2"/>
  <c r="U393" i="2"/>
  <c r="AK393" i="2"/>
  <c r="BA393" i="2"/>
  <c r="Z393" i="2"/>
  <c r="AP393" i="2"/>
  <c r="AE393" i="2"/>
  <c r="X393" i="2"/>
  <c r="AN393" i="2"/>
  <c r="B395" i="2"/>
  <c r="P394" i="2"/>
  <c r="M394" i="2" s="1"/>
  <c r="J394" i="2"/>
  <c r="I394" i="2"/>
  <c r="Y393" i="2"/>
  <c r="AO393" i="2"/>
  <c r="H393" i="2"/>
  <c r="AD393" i="2"/>
  <c r="AT393" i="2"/>
  <c r="K394" i="2" l="1"/>
  <c r="D395" i="2"/>
  <c r="C395" i="2"/>
  <c r="AQ394" i="2"/>
  <c r="W394" i="2"/>
  <c r="AK394" i="2"/>
  <c r="X394" i="2"/>
  <c r="AU394" i="2"/>
  <c r="AI394" i="2"/>
  <c r="AA394" i="2"/>
  <c r="S394" i="2"/>
  <c r="AM394" i="2"/>
  <c r="AJ394" i="2"/>
  <c r="AO394" i="2"/>
  <c r="AN394" i="2"/>
  <c r="U394" i="2"/>
  <c r="AE394" i="2"/>
  <c r="AY394" i="2"/>
  <c r="T394" i="2"/>
  <c r="AZ394" i="2"/>
  <c r="Y394" i="2"/>
  <c r="N392" i="2"/>
  <c r="O392" i="2" s="1"/>
  <c r="AB394" i="2"/>
  <c r="AR394" i="2"/>
  <c r="AC394" i="2"/>
  <c r="AS394" i="2"/>
  <c r="R394" i="2"/>
  <c r="AH394" i="2"/>
  <c r="AX394" i="2"/>
  <c r="L393" i="2"/>
  <c r="AF394" i="2"/>
  <c r="AV394" i="2"/>
  <c r="Q394" i="2"/>
  <c r="AG394" i="2"/>
  <c r="AW394" i="2"/>
  <c r="V394" i="2"/>
  <c r="AL394" i="2"/>
  <c r="BA394" i="2"/>
  <c r="Z394" i="2"/>
  <c r="AP394" i="2"/>
  <c r="B396" i="2"/>
  <c r="P395" i="2"/>
  <c r="M395" i="2" s="1"/>
  <c r="I395" i="2"/>
  <c r="J395" i="2"/>
  <c r="H394" i="2"/>
  <c r="AD394" i="2"/>
  <c r="AT394" i="2"/>
  <c r="K395" i="2" l="1"/>
  <c r="C396" i="2"/>
  <c r="D396" i="2"/>
  <c r="AI395" i="2"/>
  <c r="AA395" i="2"/>
  <c r="N393" i="2"/>
  <c r="O393" i="2" s="1"/>
  <c r="AV395" i="2"/>
  <c r="AW395" i="2"/>
  <c r="AQ395" i="2"/>
  <c r="T395" i="2"/>
  <c r="AJ395" i="2"/>
  <c r="AZ395" i="2"/>
  <c r="U395" i="2"/>
  <c r="AK395" i="2"/>
  <c r="BA395" i="2"/>
  <c r="Z395" i="2"/>
  <c r="AP395" i="2"/>
  <c r="AG395" i="2"/>
  <c r="AL395" i="2"/>
  <c r="AY395" i="2"/>
  <c r="W395" i="2"/>
  <c r="AE395" i="2"/>
  <c r="X395" i="2"/>
  <c r="AN395" i="2"/>
  <c r="B397" i="2"/>
  <c r="P396" i="2"/>
  <c r="M396" i="2" s="1"/>
  <c r="I396" i="2"/>
  <c r="J396" i="2"/>
  <c r="Y395" i="2"/>
  <c r="AO395" i="2"/>
  <c r="H395" i="2"/>
  <c r="AD395" i="2"/>
  <c r="AT395" i="2"/>
  <c r="AF395" i="2"/>
  <c r="Q395" i="2"/>
  <c r="V395" i="2"/>
  <c r="L394" i="2"/>
  <c r="N394" i="2" s="1"/>
  <c r="O394" i="2" s="1"/>
  <c r="S395" i="2"/>
  <c r="AM395" i="2"/>
  <c r="AU395" i="2"/>
  <c r="AB395" i="2"/>
  <c r="AR395" i="2"/>
  <c r="AC395" i="2"/>
  <c r="AS395" i="2"/>
  <c r="R395" i="2"/>
  <c r="AH395" i="2"/>
  <c r="AX395" i="2"/>
  <c r="K396" i="2" l="1"/>
  <c r="D397" i="2"/>
  <c r="C397" i="2"/>
  <c r="AA396" i="2"/>
  <c r="AU396" i="2"/>
  <c r="AQ396" i="2"/>
  <c r="AE396" i="2"/>
  <c r="S396" i="2"/>
  <c r="AY396" i="2"/>
  <c r="AN396" i="2"/>
  <c r="AO396" i="2"/>
  <c r="W396" i="2"/>
  <c r="AD396" i="2"/>
  <c r="AI396" i="2"/>
  <c r="X396" i="2"/>
  <c r="Y396" i="2"/>
  <c r="AT396" i="2"/>
  <c r="AM396" i="2"/>
  <c r="AB396" i="2"/>
  <c r="AR396" i="2"/>
  <c r="AC396" i="2"/>
  <c r="AS396" i="2"/>
  <c r="R396" i="2"/>
  <c r="AH396" i="2"/>
  <c r="AX396" i="2"/>
  <c r="B398" i="2"/>
  <c r="P397" i="2"/>
  <c r="M397" i="2" s="1"/>
  <c r="I397" i="2"/>
  <c r="J397" i="2"/>
  <c r="AF396" i="2"/>
  <c r="AV396" i="2"/>
  <c r="Q396" i="2"/>
  <c r="AG396" i="2"/>
  <c r="AW396" i="2"/>
  <c r="V396" i="2"/>
  <c r="AL396" i="2"/>
  <c r="H396" i="2"/>
  <c r="L395" i="2"/>
  <c r="N395" i="2" s="1"/>
  <c r="T396" i="2"/>
  <c r="AJ396" i="2"/>
  <c r="AZ396" i="2"/>
  <c r="U396" i="2"/>
  <c r="AK396" i="2"/>
  <c r="BA396" i="2"/>
  <c r="Z396" i="2"/>
  <c r="AP396" i="2"/>
  <c r="K397" i="2" l="1"/>
  <c r="D398" i="2"/>
  <c r="C398" i="2"/>
  <c r="AI397" i="2"/>
  <c r="AA397" i="2"/>
  <c r="O395" i="2"/>
  <c r="Q397" i="2"/>
  <c r="AW397" i="2"/>
  <c r="AY397" i="2"/>
  <c r="AQ397" i="2"/>
  <c r="T397" i="2"/>
  <c r="AJ397" i="2"/>
  <c r="AZ397" i="2"/>
  <c r="U397" i="2"/>
  <c r="AK397" i="2"/>
  <c r="BA397" i="2"/>
  <c r="Z397" i="2"/>
  <c r="AP397" i="2"/>
  <c r="AV397" i="2"/>
  <c r="V397" i="2"/>
  <c r="W397" i="2"/>
  <c r="AE397" i="2"/>
  <c r="X397" i="2"/>
  <c r="AN397" i="2"/>
  <c r="B399" i="2"/>
  <c r="P398" i="2"/>
  <c r="M398" i="2" s="1"/>
  <c r="J398" i="2"/>
  <c r="I398" i="2"/>
  <c r="Y397" i="2"/>
  <c r="AO397" i="2"/>
  <c r="H397" i="2"/>
  <c r="AD397" i="2"/>
  <c r="AT397" i="2"/>
  <c r="L396" i="2"/>
  <c r="N396" i="2" s="1"/>
  <c r="O396" i="2" s="1"/>
  <c r="AF397" i="2"/>
  <c r="AG397" i="2"/>
  <c r="AL397" i="2"/>
  <c r="S397" i="2"/>
  <c r="AM397" i="2"/>
  <c r="AU397" i="2"/>
  <c r="AB397" i="2"/>
  <c r="AR397" i="2"/>
  <c r="AC397" i="2"/>
  <c r="AS397" i="2"/>
  <c r="R397" i="2"/>
  <c r="AH397" i="2"/>
  <c r="AX397" i="2"/>
  <c r="K398" i="2" l="1"/>
  <c r="D399" i="2"/>
  <c r="C399" i="2"/>
  <c r="AU398" i="2"/>
  <c r="AY398" i="2"/>
  <c r="AQ398" i="2"/>
  <c r="AZ398" i="2"/>
  <c r="AE398" i="2"/>
  <c r="W398" i="2"/>
  <c r="AI398" i="2"/>
  <c r="T398" i="2"/>
  <c r="AO398" i="2"/>
  <c r="X398" i="2"/>
  <c r="AA398" i="2"/>
  <c r="S398" i="2"/>
  <c r="AM398" i="2"/>
  <c r="AJ398" i="2"/>
  <c r="AD398" i="2"/>
  <c r="AN398" i="2"/>
  <c r="Y398" i="2"/>
  <c r="AT398" i="2"/>
  <c r="AB398" i="2"/>
  <c r="AR398" i="2"/>
  <c r="AC398" i="2"/>
  <c r="AS398" i="2"/>
  <c r="R398" i="2"/>
  <c r="AH398" i="2"/>
  <c r="AX398" i="2"/>
  <c r="AF398" i="2"/>
  <c r="AV398" i="2"/>
  <c r="Q398" i="2"/>
  <c r="AG398" i="2"/>
  <c r="AW398" i="2"/>
  <c r="V398" i="2"/>
  <c r="AL398" i="2"/>
  <c r="B400" i="2"/>
  <c r="P399" i="2"/>
  <c r="M399" i="2" s="1"/>
  <c r="I399" i="2"/>
  <c r="J399" i="2"/>
  <c r="H398" i="2"/>
  <c r="L397" i="2"/>
  <c r="N397" i="2" s="1"/>
  <c r="U398" i="2"/>
  <c r="AK398" i="2"/>
  <c r="BA398" i="2"/>
  <c r="Z398" i="2"/>
  <c r="AP398" i="2"/>
  <c r="K399" i="2" l="1"/>
  <c r="C400" i="2"/>
  <c r="D400" i="2"/>
  <c r="S399" i="2"/>
  <c r="W399" i="2"/>
  <c r="AM399" i="2"/>
  <c r="O397" i="2"/>
  <c r="AY399" i="2"/>
  <c r="AQ399" i="2"/>
  <c r="AN399" i="2"/>
  <c r="AO399" i="2"/>
  <c r="AE399" i="2"/>
  <c r="AD399" i="2"/>
  <c r="AI399" i="2"/>
  <c r="AA399" i="2"/>
  <c r="X399" i="2"/>
  <c r="Y399" i="2"/>
  <c r="AT399" i="2"/>
  <c r="L398" i="2"/>
  <c r="N398" i="2" s="1"/>
  <c r="AU399" i="2"/>
  <c r="AB399" i="2"/>
  <c r="AR399" i="2"/>
  <c r="AC399" i="2"/>
  <c r="AS399" i="2"/>
  <c r="R399" i="2"/>
  <c r="AH399" i="2"/>
  <c r="AX399" i="2"/>
  <c r="AF399" i="2"/>
  <c r="AV399" i="2"/>
  <c r="Q399" i="2"/>
  <c r="AG399" i="2"/>
  <c r="AW399" i="2"/>
  <c r="V399" i="2"/>
  <c r="AL399" i="2"/>
  <c r="B401" i="2"/>
  <c r="P400" i="2"/>
  <c r="M400" i="2" s="1"/>
  <c r="I400" i="2"/>
  <c r="J400" i="2"/>
  <c r="H399" i="2"/>
  <c r="T399" i="2"/>
  <c r="AJ399" i="2"/>
  <c r="AZ399" i="2"/>
  <c r="U399" i="2"/>
  <c r="AK399" i="2"/>
  <c r="BA399" i="2"/>
  <c r="Z399" i="2"/>
  <c r="AP399" i="2"/>
  <c r="K400" i="2" l="1"/>
  <c r="AE400" i="2"/>
  <c r="S400" i="2"/>
  <c r="AA400" i="2"/>
  <c r="D401" i="2"/>
  <c r="C401" i="2"/>
  <c r="AU400" i="2"/>
  <c r="W400" i="2"/>
  <c r="AQ400" i="2"/>
  <c r="AI400" i="2"/>
  <c r="AY400" i="2"/>
  <c r="X400" i="2"/>
  <c r="AB400" i="2"/>
  <c r="AM400" i="2"/>
  <c r="AN400" i="2"/>
  <c r="B402" i="2"/>
  <c r="P401" i="2"/>
  <c r="M401" i="2" s="1"/>
  <c r="I401" i="2"/>
  <c r="J401" i="2"/>
  <c r="Y400" i="2"/>
  <c r="AO400" i="2"/>
  <c r="H400" i="2"/>
  <c r="AD400" i="2"/>
  <c r="AT400" i="2"/>
  <c r="L399" i="2"/>
  <c r="AR400" i="2"/>
  <c r="AC400" i="2"/>
  <c r="AS400" i="2"/>
  <c r="R400" i="2"/>
  <c r="AH400" i="2"/>
  <c r="AX400" i="2"/>
  <c r="AF400" i="2"/>
  <c r="AV400" i="2"/>
  <c r="Q400" i="2"/>
  <c r="AG400" i="2"/>
  <c r="AW400" i="2"/>
  <c r="V400" i="2"/>
  <c r="AL400" i="2"/>
  <c r="O398" i="2"/>
  <c r="T400" i="2"/>
  <c r="AJ400" i="2"/>
  <c r="AZ400" i="2"/>
  <c r="U400" i="2"/>
  <c r="AK400" i="2"/>
  <c r="BA400" i="2"/>
  <c r="Z400" i="2"/>
  <c r="AP400" i="2"/>
  <c r="K401" i="2" l="1"/>
  <c r="D402" i="2"/>
  <c r="C402" i="2"/>
  <c r="W401" i="2"/>
  <c r="AQ401" i="2"/>
  <c r="AA401" i="2"/>
  <c r="AM401" i="2"/>
  <c r="S401" i="2"/>
  <c r="AI401" i="2"/>
  <c r="AY401" i="2"/>
  <c r="AB401" i="2"/>
  <c r="AN401" i="2"/>
  <c r="Y401" i="2"/>
  <c r="T401" i="2"/>
  <c r="AR401" i="2"/>
  <c r="N399" i="2"/>
  <c r="O399" i="2" s="1"/>
  <c r="AE401" i="2"/>
  <c r="AU401" i="2"/>
  <c r="X401" i="2"/>
  <c r="L400" i="2"/>
  <c r="N400" i="2" s="1"/>
  <c r="AJ401" i="2"/>
  <c r="AZ401" i="2"/>
  <c r="U401" i="2"/>
  <c r="AK401" i="2"/>
  <c r="BA401" i="2"/>
  <c r="Z401" i="2"/>
  <c r="AP401" i="2"/>
  <c r="B403" i="2"/>
  <c r="P402" i="2"/>
  <c r="M402" i="2" s="1"/>
  <c r="J402" i="2"/>
  <c r="I402" i="2"/>
  <c r="AO401" i="2"/>
  <c r="H401" i="2"/>
  <c r="AD401" i="2"/>
  <c r="AT401" i="2"/>
  <c r="AC401" i="2"/>
  <c r="AS401" i="2"/>
  <c r="R401" i="2"/>
  <c r="AH401" i="2"/>
  <c r="AX401" i="2"/>
  <c r="AF401" i="2"/>
  <c r="AV401" i="2"/>
  <c r="Q401" i="2"/>
  <c r="AG401" i="2"/>
  <c r="AW401" i="2"/>
  <c r="V401" i="2"/>
  <c r="AL401" i="2"/>
  <c r="K402" i="2" l="1"/>
  <c r="D403" i="2"/>
  <c r="C403" i="2"/>
  <c r="AM402" i="2"/>
  <c r="W402" i="2"/>
  <c r="AQ402" i="2"/>
  <c r="AA402" i="2"/>
  <c r="AE402" i="2"/>
  <c r="AU402" i="2"/>
  <c r="S402" i="2"/>
  <c r="AI402" i="2"/>
  <c r="AY402" i="2"/>
  <c r="L401" i="2"/>
  <c r="N401" i="2" s="1"/>
  <c r="X402" i="2"/>
  <c r="AN402" i="2"/>
  <c r="B404" i="2"/>
  <c r="P403" i="2"/>
  <c r="M403" i="2" s="1"/>
  <c r="I403" i="2"/>
  <c r="J403" i="2"/>
  <c r="Y402" i="2"/>
  <c r="AO402" i="2"/>
  <c r="H402" i="2"/>
  <c r="AD402" i="2"/>
  <c r="AT402" i="2"/>
  <c r="AB402" i="2"/>
  <c r="AR402" i="2"/>
  <c r="AC402" i="2"/>
  <c r="AS402" i="2"/>
  <c r="R402" i="2"/>
  <c r="AH402" i="2"/>
  <c r="AX402" i="2"/>
  <c r="AF402" i="2"/>
  <c r="AV402" i="2"/>
  <c r="Q402" i="2"/>
  <c r="AG402" i="2"/>
  <c r="AW402" i="2"/>
  <c r="V402" i="2"/>
  <c r="AL402" i="2"/>
  <c r="O400" i="2"/>
  <c r="T402" i="2"/>
  <c r="AJ402" i="2"/>
  <c r="AZ402" i="2"/>
  <c r="U402" i="2"/>
  <c r="AK402" i="2"/>
  <c r="BA402" i="2"/>
  <c r="Z402" i="2"/>
  <c r="AP402" i="2"/>
  <c r="K403" i="2" l="1"/>
  <c r="S403" i="2"/>
  <c r="C404" i="2"/>
  <c r="D404" i="2"/>
  <c r="W403" i="2"/>
  <c r="AM403" i="2"/>
  <c r="AI403" i="2"/>
  <c r="L402" i="2"/>
  <c r="N402" i="2" s="1"/>
  <c r="AA403" i="2"/>
  <c r="AQ403" i="2"/>
  <c r="T403" i="2"/>
  <c r="AJ403" i="2"/>
  <c r="AZ403" i="2"/>
  <c r="U403" i="2"/>
  <c r="AK403" i="2"/>
  <c r="BA403" i="2"/>
  <c r="Z403" i="2"/>
  <c r="AP403" i="2"/>
  <c r="AE403" i="2"/>
  <c r="AU403" i="2"/>
  <c r="X403" i="2"/>
  <c r="AN403" i="2"/>
  <c r="B405" i="2"/>
  <c r="P404" i="2"/>
  <c r="M404" i="2" s="1"/>
  <c r="I404" i="2"/>
  <c r="J404" i="2"/>
  <c r="Y403" i="2"/>
  <c r="AO403" i="2"/>
  <c r="H403" i="2"/>
  <c r="AD403" i="2"/>
  <c r="AT403" i="2"/>
  <c r="AY403" i="2"/>
  <c r="AB403" i="2"/>
  <c r="AR403" i="2"/>
  <c r="AC403" i="2"/>
  <c r="AS403" i="2"/>
  <c r="R403" i="2"/>
  <c r="AH403" i="2"/>
  <c r="AX403" i="2"/>
  <c r="O401" i="2"/>
  <c r="AF403" i="2"/>
  <c r="AV403" i="2"/>
  <c r="Q403" i="2"/>
  <c r="AG403" i="2"/>
  <c r="AW403" i="2"/>
  <c r="V403" i="2"/>
  <c r="AL403" i="2"/>
  <c r="K404" i="2" l="1"/>
  <c r="D405" i="2"/>
  <c r="C405" i="2"/>
  <c r="AA404" i="2"/>
  <c r="S404" i="2"/>
  <c r="AM404" i="2"/>
  <c r="W404" i="2"/>
  <c r="AQ404" i="2"/>
  <c r="AE404" i="2"/>
  <c r="L403" i="2"/>
  <c r="N403" i="2" s="1"/>
  <c r="T404" i="2"/>
  <c r="AJ404" i="2"/>
  <c r="AZ404" i="2"/>
  <c r="U404" i="2"/>
  <c r="AK404" i="2"/>
  <c r="BA404" i="2"/>
  <c r="Z404" i="2"/>
  <c r="AP404" i="2"/>
  <c r="AU404" i="2"/>
  <c r="X404" i="2"/>
  <c r="AN404" i="2"/>
  <c r="B406" i="2"/>
  <c r="P405" i="2"/>
  <c r="M405" i="2" s="1"/>
  <c r="I405" i="2"/>
  <c r="J405" i="2"/>
  <c r="Y404" i="2"/>
  <c r="AO404" i="2"/>
  <c r="H404" i="2"/>
  <c r="AD404" i="2"/>
  <c r="AT404" i="2"/>
  <c r="AI404" i="2"/>
  <c r="AY404" i="2"/>
  <c r="AB404" i="2"/>
  <c r="AR404" i="2"/>
  <c r="AC404" i="2"/>
  <c r="AS404" i="2"/>
  <c r="R404" i="2"/>
  <c r="AH404" i="2"/>
  <c r="AX404" i="2"/>
  <c r="O402" i="2"/>
  <c r="AF404" i="2"/>
  <c r="AV404" i="2"/>
  <c r="Q404" i="2"/>
  <c r="AG404" i="2"/>
  <c r="AW404" i="2"/>
  <c r="V404" i="2"/>
  <c r="AL404" i="2"/>
  <c r="W405" i="2" l="1"/>
  <c r="AA405" i="2"/>
  <c r="AY405" i="2"/>
  <c r="K405" i="2"/>
  <c r="S405" i="2"/>
  <c r="AI405" i="2"/>
  <c r="AE405" i="2"/>
  <c r="D406" i="2"/>
  <c r="C406" i="2"/>
  <c r="AM405" i="2"/>
  <c r="AQ405" i="2"/>
  <c r="AU405" i="2"/>
  <c r="X405" i="2"/>
  <c r="AN405" i="2"/>
  <c r="B407" i="2"/>
  <c r="P406" i="2"/>
  <c r="M406" i="2" s="1"/>
  <c r="J406" i="2"/>
  <c r="I406" i="2"/>
  <c r="Y405" i="2"/>
  <c r="AO405" i="2"/>
  <c r="H405" i="2"/>
  <c r="AD405" i="2"/>
  <c r="AT405" i="2"/>
  <c r="AB405" i="2"/>
  <c r="AR405" i="2"/>
  <c r="AC405" i="2"/>
  <c r="AS405" i="2"/>
  <c r="R405" i="2"/>
  <c r="AH405" i="2"/>
  <c r="AX405" i="2"/>
  <c r="AF405" i="2"/>
  <c r="AV405" i="2"/>
  <c r="Q405" i="2"/>
  <c r="AG405" i="2"/>
  <c r="AW405" i="2"/>
  <c r="V405" i="2"/>
  <c r="AL405" i="2"/>
  <c r="O403" i="2"/>
  <c r="L404" i="2"/>
  <c r="N404" i="2" s="1"/>
  <c r="T405" i="2"/>
  <c r="AJ405" i="2"/>
  <c r="AZ405" i="2"/>
  <c r="U405" i="2"/>
  <c r="AK405" i="2"/>
  <c r="BA405" i="2"/>
  <c r="Z405" i="2"/>
  <c r="AP405" i="2"/>
  <c r="K406" i="2" l="1"/>
  <c r="D407" i="2"/>
  <c r="C407" i="2"/>
  <c r="W406" i="2"/>
  <c r="AM406" i="2"/>
  <c r="AA406" i="2"/>
  <c r="AQ406" i="2"/>
  <c r="X406" i="2"/>
  <c r="AE406" i="2"/>
  <c r="AU406" i="2"/>
  <c r="AN406" i="2"/>
  <c r="S406" i="2"/>
  <c r="AI406" i="2"/>
  <c r="AY406" i="2"/>
  <c r="O404" i="2"/>
  <c r="B408" i="2"/>
  <c r="P407" i="2"/>
  <c r="M407" i="2" s="1"/>
  <c r="I407" i="2"/>
  <c r="J407" i="2"/>
  <c r="Y406" i="2"/>
  <c r="AO406" i="2"/>
  <c r="H406" i="2"/>
  <c r="AD406" i="2"/>
  <c r="AT406" i="2"/>
  <c r="AB406" i="2"/>
  <c r="AR406" i="2"/>
  <c r="AC406" i="2"/>
  <c r="AS406" i="2"/>
  <c r="R406" i="2"/>
  <c r="AH406" i="2"/>
  <c r="AX406" i="2"/>
  <c r="AF406" i="2"/>
  <c r="AV406" i="2"/>
  <c r="Q406" i="2"/>
  <c r="AG406" i="2"/>
  <c r="AW406" i="2"/>
  <c r="V406" i="2"/>
  <c r="AL406" i="2"/>
  <c r="L405" i="2"/>
  <c r="T406" i="2"/>
  <c r="AJ406" i="2"/>
  <c r="AZ406" i="2"/>
  <c r="U406" i="2"/>
  <c r="AK406" i="2"/>
  <c r="BA406" i="2"/>
  <c r="Z406" i="2"/>
  <c r="AP406" i="2"/>
  <c r="K407" i="2" l="1"/>
  <c r="W407" i="2"/>
  <c r="C408" i="2"/>
  <c r="D408" i="2"/>
  <c r="AI407" i="2"/>
  <c r="AM407" i="2"/>
  <c r="S407" i="2"/>
  <c r="AY407" i="2"/>
  <c r="AE407" i="2"/>
  <c r="AU407" i="2"/>
  <c r="X407" i="2"/>
  <c r="AJ407" i="2"/>
  <c r="AN407" i="2"/>
  <c r="AA407" i="2"/>
  <c r="AQ407" i="2"/>
  <c r="T407" i="2"/>
  <c r="AZ407" i="2"/>
  <c r="N405" i="2"/>
  <c r="O405" i="2" s="1"/>
  <c r="AF407" i="2"/>
  <c r="AV407" i="2"/>
  <c r="Q407" i="2"/>
  <c r="AG407" i="2"/>
  <c r="AW407" i="2"/>
  <c r="V407" i="2"/>
  <c r="AL407" i="2"/>
  <c r="L406" i="2"/>
  <c r="N406" i="2" s="1"/>
  <c r="U407" i="2"/>
  <c r="AK407" i="2"/>
  <c r="BA407" i="2"/>
  <c r="Z407" i="2"/>
  <c r="AP407" i="2"/>
  <c r="B409" i="2"/>
  <c r="P408" i="2"/>
  <c r="M408" i="2" s="1"/>
  <c r="I408" i="2"/>
  <c r="J408" i="2"/>
  <c r="Y407" i="2"/>
  <c r="AO407" i="2"/>
  <c r="H407" i="2"/>
  <c r="AD407" i="2"/>
  <c r="AT407" i="2"/>
  <c r="AB407" i="2"/>
  <c r="AR407" i="2"/>
  <c r="AC407" i="2"/>
  <c r="AS407" i="2"/>
  <c r="R407" i="2"/>
  <c r="AH407" i="2"/>
  <c r="AX407" i="2"/>
  <c r="K408" i="2" l="1"/>
  <c r="D409" i="2"/>
  <c r="C409" i="2"/>
  <c r="S408" i="2"/>
  <c r="W408" i="2"/>
  <c r="AM408" i="2"/>
  <c r="AI408" i="2"/>
  <c r="L407" i="2"/>
  <c r="N407" i="2" s="1"/>
  <c r="AA408" i="2"/>
  <c r="AQ408" i="2"/>
  <c r="T408" i="2"/>
  <c r="AJ408" i="2"/>
  <c r="AZ408" i="2"/>
  <c r="U408" i="2"/>
  <c r="AK408" i="2"/>
  <c r="BA408" i="2"/>
  <c r="Z408" i="2"/>
  <c r="AP408" i="2"/>
  <c r="AE408" i="2"/>
  <c r="AU408" i="2"/>
  <c r="X408" i="2"/>
  <c r="AN408" i="2"/>
  <c r="B410" i="2"/>
  <c r="P409" i="2"/>
  <c r="M409" i="2" s="1"/>
  <c r="I409" i="2"/>
  <c r="J409" i="2"/>
  <c r="Y408" i="2"/>
  <c r="AO408" i="2"/>
  <c r="H408" i="2"/>
  <c r="AD408" i="2"/>
  <c r="AT408" i="2"/>
  <c r="O406" i="2"/>
  <c r="AY408" i="2"/>
  <c r="AB408" i="2"/>
  <c r="AR408" i="2"/>
  <c r="AC408" i="2"/>
  <c r="AS408" i="2"/>
  <c r="R408" i="2"/>
  <c r="AH408" i="2"/>
  <c r="AX408" i="2"/>
  <c r="AF408" i="2"/>
  <c r="AV408" i="2"/>
  <c r="Q408" i="2"/>
  <c r="AG408" i="2"/>
  <c r="AW408" i="2"/>
  <c r="V408" i="2"/>
  <c r="AL408" i="2"/>
  <c r="K409" i="2" l="1"/>
  <c r="S409" i="2"/>
  <c r="D410" i="2"/>
  <c r="C410" i="2"/>
  <c r="W409" i="2"/>
  <c r="AA409" i="2"/>
  <c r="AE409" i="2"/>
  <c r="AM409" i="2"/>
  <c r="AU409" i="2"/>
  <c r="L408" i="2"/>
  <c r="N408" i="2" s="1"/>
  <c r="AQ409" i="2"/>
  <c r="T409" i="2"/>
  <c r="AJ409" i="2"/>
  <c r="AZ409" i="2"/>
  <c r="U409" i="2"/>
  <c r="AK409" i="2"/>
  <c r="BA409" i="2"/>
  <c r="Z409" i="2"/>
  <c r="AP409" i="2"/>
  <c r="X409" i="2"/>
  <c r="AN409" i="2"/>
  <c r="B411" i="2"/>
  <c r="P410" i="2"/>
  <c r="M410" i="2" s="1"/>
  <c r="J410" i="2"/>
  <c r="I410" i="2"/>
  <c r="Y409" i="2"/>
  <c r="AO409" i="2"/>
  <c r="H409" i="2"/>
  <c r="AD409" i="2"/>
  <c r="AT409" i="2"/>
  <c r="AI409" i="2"/>
  <c r="AY409" i="2"/>
  <c r="AB409" i="2"/>
  <c r="AR409" i="2"/>
  <c r="AC409" i="2"/>
  <c r="AS409" i="2"/>
  <c r="R409" i="2"/>
  <c r="AH409" i="2"/>
  <c r="AX409" i="2"/>
  <c r="O407" i="2"/>
  <c r="AF409" i="2"/>
  <c r="AV409" i="2"/>
  <c r="Q409" i="2"/>
  <c r="AG409" i="2"/>
  <c r="AW409" i="2"/>
  <c r="V409" i="2"/>
  <c r="AL409" i="2"/>
  <c r="K410" i="2" l="1"/>
  <c r="W410" i="2"/>
  <c r="D411" i="2"/>
  <c r="C411" i="2"/>
  <c r="AA410" i="2"/>
  <c r="AM410" i="2"/>
  <c r="AQ410" i="2"/>
  <c r="AE410" i="2"/>
  <c r="AU410" i="2"/>
  <c r="X410" i="2"/>
  <c r="AN410" i="2"/>
  <c r="B412" i="2"/>
  <c r="P411" i="2"/>
  <c r="M411" i="2" s="1"/>
  <c r="I411" i="2"/>
  <c r="J411" i="2"/>
  <c r="Y410" i="2"/>
  <c r="AO410" i="2"/>
  <c r="H410" i="2"/>
  <c r="AD410" i="2"/>
  <c r="AT410" i="2"/>
  <c r="S410" i="2"/>
  <c r="AI410" i="2"/>
  <c r="AY410" i="2"/>
  <c r="AB410" i="2"/>
  <c r="AR410" i="2"/>
  <c r="AC410" i="2"/>
  <c r="AS410" i="2"/>
  <c r="R410" i="2"/>
  <c r="AH410" i="2"/>
  <c r="AX410" i="2"/>
  <c r="AF410" i="2"/>
  <c r="AV410" i="2"/>
  <c r="Q410" i="2"/>
  <c r="AG410" i="2"/>
  <c r="AW410" i="2"/>
  <c r="V410" i="2"/>
  <c r="AL410" i="2"/>
  <c r="O408" i="2"/>
  <c r="L409" i="2"/>
  <c r="T410" i="2"/>
  <c r="AJ410" i="2"/>
  <c r="AZ410" i="2"/>
  <c r="U410" i="2"/>
  <c r="AK410" i="2"/>
  <c r="BA410" i="2"/>
  <c r="Z410" i="2"/>
  <c r="AP410" i="2"/>
  <c r="K411" i="2" l="1"/>
  <c r="S411" i="2"/>
  <c r="AA411" i="2"/>
  <c r="AE411" i="2"/>
  <c r="W411" i="2"/>
  <c r="AM411" i="2"/>
  <c r="C412" i="2"/>
  <c r="D412" i="2"/>
  <c r="AI411" i="2"/>
  <c r="X411" i="2"/>
  <c r="AQ411" i="2"/>
  <c r="AU411" i="2"/>
  <c r="AJ411" i="2"/>
  <c r="T411" i="2"/>
  <c r="AZ411" i="2"/>
  <c r="AN411" i="2"/>
  <c r="N409" i="2"/>
  <c r="O409" i="2" s="1"/>
  <c r="AF411" i="2"/>
  <c r="AV411" i="2"/>
  <c r="Q411" i="2"/>
  <c r="AG411" i="2"/>
  <c r="AW411" i="2"/>
  <c r="V411" i="2"/>
  <c r="AL411" i="2"/>
  <c r="L410" i="2"/>
  <c r="N410" i="2" s="1"/>
  <c r="U411" i="2"/>
  <c r="AK411" i="2"/>
  <c r="BA411" i="2"/>
  <c r="Z411" i="2"/>
  <c r="AP411" i="2"/>
  <c r="B413" i="2"/>
  <c r="P412" i="2"/>
  <c r="M412" i="2" s="1"/>
  <c r="I412" i="2"/>
  <c r="J412" i="2"/>
  <c r="Y411" i="2"/>
  <c r="AO411" i="2"/>
  <c r="H411" i="2"/>
  <c r="AD411" i="2"/>
  <c r="AT411" i="2"/>
  <c r="AY411" i="2"/>
  <c r="AB411" i="2"/>
  <c r="AR411" i="2"/>
  <c r="AC411" i="2"/>
  <c r="AS411" i="2"/>
  <c r="R411" i="2"/>
  <c r="AH411" i="2"/>
  <c r="AX411" i="2"/>
  <c r="K412" i="2" l="1"/>
  <c r="D413" i="2"/>
  <c r="C413" i="2"/>
  <c r="AM412" i="2"/>
  <c r="AE412" i="2"/>
  <c r="W412" i="2"/>
  <c r="L411" i="2"/>
  <c r="N411" i="2" s="1"/>
  <c r="AA412" i="2"/>
  <c r="AQ412" i="2"/>
  <c r="T412" i="2"/>
  <c r="AJ412" i="2"/>
  <c r="AZ412" i="2"/>
  <c r="U412" i="2"/>
  <c r="AK412" i="2"/>
  <c r="BA412" i="2"/>
  <c r="Z412" i="2"/>
  <c r="AP412" i="2"/>
  <c r="AU412" i="2"/>
  <c r="X412" i="2"/>
  <c r="AN412" i="2"/>
  <c r="B414" i="2"/>
  <c r="P413" i="2"/>
  <c r="M413" i="2" s="1"/>
  <c r="I413" i="2"/>
  <c r="J413" i="2"/>
  <c r="Y412" i="2"/>
  <c r="AO412" i="2"/>
  <c r="H412" i="2"/>
  <c r="AD412" i="2"/>
  <c r="AT412" i="2"/>
  <c r="O410" i="2"/>
  <c r="S412" i="2"/>
  <c r="AI412" i="2"/>
  <c r="AY412" i="2"/>
  <c r="AB412" i="2"/>
  <c r="AR412" i="2"/>
  <c r="AC412" i="2"/>
  <c r="AS412" i="2"/>
  <c r="R412" i="2"/>
  <c r="AH412" i="2"/>
  <c r="AX412" i="2"/>
  <c r="AF412" i="2"/>
  <c r="AV412" i="2"/>
  <c r="Q412" i="2"/>
  <c r="AG412" i="2"/>
  <c r="AW412" i="2"/>
  <c r="V412" i="2"/>
  <c r="AL412" i="2"/>
  <c r="K413" i="2" l="1"/>
  <c r="D414" i="2"/>
  <c r="C414" i="2"/>
  <c r="AM413" i="2"/>
  <c r="S413" i="2"/>
  <c r="AI413" i="2"/>
  <c r="W413" i="2"/>
  <c r="AF413" i="2"/>
  <c r="AV413" i="2"/>
  <c r="Q413" i="2"/>
  <c r="AG413" i="2"/>
  <c r="AW413" i="2"/>
  <c r="V413" i="2"/>
  <c r="AL413" i="2"/>
  <c r="L412" i="2"/>
  <c r="AA413" i="2"/>
  <c r="AQ413" i="2"/>
  <c r="T413" i="2"/>
  <c r="AJ413" i="2"/>
  <c r="AZ413" i="2"/>
  <c r="U413" i="2"/>
  <c r="AK413" i="2"/>
  <c r="BA413" i="2"/>
  <c r="Z413" i="2"/>
  <c r="AP413" i="2"/>
  <c r="AE413" i="2"/>
  <c r="AU413" i="2"/>
  <c r="X413" i="2"/>
  <c r="AN413" i="2"/>
  <c r="B415" i="2"/>
  <c r="P414" i="2"/>
  <c r="M414" i="2" s="1"/>
  <c r="J414" i="2"/>
  <c r="I414" i="2"/>
  <c r="Y413" i="2"/>
  <c r="AO413" i="2"/>
  <c r="H413" i="2"/>
  <c r="AD413" i="2"/>
  <c r="AT413" i="2"/>
  <c r="O411" i="2"/>
  <c r="AY413" i="2"/>
  <c r="AB413" i="2"/>
  <c r="AR413" i="2"/>
  <c r="AC413" i="2"/>
  <c r="AS413" i="2"/>
  <c r="R413" i="2"/>
  <c r="AH413" i="2"/>
  <c r="AX413" i="2"/>
  <c r="K414" i="2" l="1"/>
  <c r="D415" i="2"/>
  <c r="C415" i="2"/>
  <c r="W414" i="2"/>
  <c r="AE414" i="2"/>
  <c r="AM414" i="2"/>
  <c r="S414" i="2"/>
  <c r="AU414" i="2"/>
  <c r="AI414" i="2"/>
  <c r="AY414" i="2"/>
  <c r="AN414" i="2"/>
  <c r="AR414" i="2"/>
  <c r="AA414" i="2"/>
  <c r="AQ414" i="2"/>
  <c r="X414" i="2"/>
  <c r="AB414" i="2"/>
  <c r="AF414" i="2"/>
  <c r="AV414" i="2"/>
  <c r="Q414" i="2"/>
  <c r="AG414" i="2"/>
  <c r="AW414" i="2"/>
  <c r="V414" i="2"/>
  <c r="AL414" i="2"/>
  <c r="N412" i="2"/>
  <c r="O412" i="2" s="1"/>
  <c r="L413" i="2"/>
  <c r="N413" i="2" s="1"/>
  <c r="T414" i="2"/>
  <c r="AJ414" i="2"/>
  <c r="AZ414" i="2"/>
  <c r="U414" i="2"/>
  <c r="AK414" i="2"/>
  <c r="BA414" i="2"/>
  <c r="Z414" i="2"/>
  <c r="AP414" i="2"/>
  <c r="B416" i="2"/>
  <c r="P415" i="2"/>
  <c r="M415" i="2" s="1"/>
  <c r="I415" i="2"/>
  <c r="J415" i="2"/>
  <c r="Y414" i="2"/>
  <c r="AO414" i="2"/>
  <c r="H414" i="2"/>
  <c r="AD414" i="2"/>
  <c r="AT414" i="2"/>
  <c r="AC414" i="2"/>
  <c r="AS414" i="2"/>
  <c r="R414" i="2"/>
  <c r="AH414" i="2"/>
  <c r="AX414" i="2"/>
  <c r="K415" i="2" l="1"/>
  <c r="C416" i="2"/>
  <c r="D416" i="2"/>
  <c r="S415" i="2"/>
  <c r="AI415" i="2"/>
  <c r="AM415" i="2"/>
  <c r="X415" i="2"/>
  <c r="AA415" i="2"/>
  <c r="AU415" i="2"/>
  <c r="AN415" i="2"/>
  <c r="W415" i="2"/>
  <c r="AE415" i="2"/>
  <c r="AY415" i="2"/>
  <c r="AB415" i="2"/>
  <c r="AF415" i="2"/>
  <c r="AV415" i="2"/>
  <c r="Q415" i="2"/>
  <c r="AG415" i="2"/>
  <c r="AW415" i="2"/>
  <c r="V415" i="2"/>
  <c r="AL415" i="2"/>
  <c r="L414" i="2"/>
  <c r="AQ415" i="2"/>
  <c r="T415" i="2"/>
  <c r="AJ415" i="2"/>
  <c r="AZ415" i="2"/>
  <c r="U415" i="2"/>
  <c r="AK415" i="2"/>
  <c r="BA415" i="2"/>
  <c r="Z415" i="2"/>
  <c r="AP415" i="2"/>
  <c r="O413" i="2"/>
  <c r="B417" i="2"/>
  <c r="P416" i="2"/>
  <c r="M416" i="2" s="1"/>
  <c r="I416" i="2"/>
  <c r="J416" i="2"/>
  <c r="Y415" i="2"/>
  <c r="AO415" i="2"/>
  <c r="H415" i="2"/>
  <c r="AD415" i="2"/>
  <c r="AT415" i="2"/>
  <c r="AR415" i="2"/>
  <c r="AC415" i="2"/>
  <c r="AS415" i="2"/>
  <c r="R415" i="2"/>
  <c r="AH415" i="2"/>
  <c r="AX415" i="2"/>
  <c r="K416" i="2" l="1"/>
  <c r="D417" i="2"/>
  <c r="C417" i="2"/>
  <c r="S416" i="2"/>
  <c r="AY416" i="2"/>
  <c r="W416" i="2"/>
  <c r="AI416" i="2"/>
  <c r="AB416" i="2"/>
  <c r="AM416" i="2"/>
  <c r="N414" i="2"/>
  <c r="O414" i="2" s="1"/>
  <c r="AV416" i="2"/>
  <c r="V416" i="2"/>
  <c r="Q416" i="2"/>
  <c r="AW416" i="2"/>
  <c r="L415" i="2"/>
  <c r="N415" i="2" s="1"/>
  <c r="AA416" i="2"/>
  <c r="AQ416" i="2"/>
  <c r="T416" i="2"/>
  <c r="AJ416" i="2"/>
  <c r="AZ416" i="2"/>
  <c r="U416" i="2"/>
  <c r="AK416" i="2"/>
  <c r="BA416" i="2"/>
  <c r="Z416" i="2"/>
  <c r="AP416" i="2"/>
  <c r="AF416" i="2"/>
  <c r="AG416" i="2"/>
  <c r="AL416" i="2"/>
  <c r="AE416" i="2"/>
  <c r="AU416" i="2"/>
  <c r="X416" i="2"/>
  <c r="AN416" i="2"/>
  <c r="B418" i="2"/>
  <c r="P417" i="2"/>
  <c r="M417" i="2" s="1"/>
  <c r="I417" i="2"/>
  <c r="J417" i="2"/>
  <c r="Y416" i="2"/>
  <c r="AO416" i="2"/>
  <c r="H416" i="2"/>
  <c r="AD416" i="2"/>
  <c r="AT416" i="2"/>
  <c r="AR416" i="2"/>
  <c r="AC416" i="2"/>
  <c r="AS416" i="2"/>
  <c r="R416" i="2"/>
  <c r="AH416" i="2"/>
  <c r="AX416" i="2"/>
  <c r="K417" i="2" l="1"/>
  <c r="S417" i="2"/>
  <c r="AE417" i="2"/>
  <c r="D418" i="2"/>
  <c r="C418" i="2"/>
  <c r="AI417" i="2"/>
  <c r="W417" i="2"/>
  <c r="AM417" i="2"/>
  <c r="AA417" i="2"/>
  <c r="AQ417" i="2"/>
  <c r="AU417" i="2"/>
  <c r="X417" i="2"/>
  <c r="AB417" i="2"/>
  <c r="AY417" i="2"/>
  <c r="AN417" i="2"/>
  <c r="AR417" i="2"/>
  <c r="AF417" i="2"/>
  <c r="AV417" i="2"/>
  <c r="Q417" i="2"/>
  <c r="AG417" i="2"/>
  <c r="AW417" i="2"/>
  <c r="V417" i="2"/>
  <c r="AL417" i="2"/>
  <c r="L416" i="2"/>
  <c r="T417" i="2"/>
  <c r="AJ417" i="2"/>
  <c r="AZ417" i="2"/>
  <c r="U417" i="2"/>
  <c r="AK417" i="2"/>
  <c r="BA417" i="2"/>
  <c r="Z417" i="2"/>
  <c r="AP417" i="2"/>
  <c r="B419" i="2"/>
  <c r="P418" i="2"/>
  <c r="M418" i="2" s="1"/>
  <c r="J418" i="2"/>
  <c r="I418" i="2"/>
  <c r="Y417" i="2"/>
  <c r="AO417" i="2"/>
  <c r="H417" i="2"/>
  <c r="AD417" i="2"/>
  <c r="AT417" i="2"/>
  <c r="O415" i="2"/>
  <c r="AC417" i="2"/>
  <c r="AS417" i="2"/>
  <c r="R417" i="2"/>
  <c r="AH417" i="2"/>
  <c r="AX417" i="2"/>
  <c r="K418" i="2" l="1"/>
  <c r="D419" i="2"/>
  <c r="C419" i="2"/>
  <c r="S418" i="2"/>
  <c r="W418" i="2"/>
  <c r="AM418" i="2"/>
  <c r="AI418" i="2"/>
  <c r="AE418" i="2"/>
  <c r="AU418" i="2"/>
  <c r="X418" i="2"/>
  <c r="AN418" i="2"/>
  <c r="B420" i="2"/>
  <c r="P419" i="2"/>
  <c r="M419" i="2" s="1"/>
  <c r="I419" i="2"/>
  <c r="J419" i="2"/>
  <c r="Y418" i="2"/>
  <c r="AO418" i="2"/>
  <c r="H418" i="2"/>
  <c r="AD418" i="2"/>
  <c r="AT418" i="2"/>
  <c r="N416" i="2"/>
  <c r="O416" i="2" s="1"/>
  <c r="AY418" i="2"/>
  <c r="AB418" i="2"/>
  <c r="AR418" i="2"/>
  <c r="AC418" i="2"/>
  <c r="AS418" i="2"/>
  <c r="R418" i="2"/>
  <c r="AH418" i="2"/>
  <c r="AX418" i="2"/>
  <c r="AF418" i="2"/>
  <c r="AV418" i="2"/>
  <c r="Q418" i="2"/>
  <c r="AG418" i="2"/>
  <c r="AW418" i="2"/>
  <c r="V418" i="2"/>
  <c r="AL418" i="2"/>
  <c r="L417" i="2"/>
  <c r="N417" i="2" s="1"/>
  <c r="AA418" i="2"/>
  <c r="AQ418" i="2"/>
  <c r="T418" i="2"/>
  <c r="AJ418" i="2"/>
  <c r="AZ418" i="2"/>
  <c r="U418" i="2"/>
  <c r="AK418" i="2"/>
  <c r="BA418" i="2"/>
  <c r="Z418" i="2"/>
  <c r="AP418" i="2"/>
  <c r="K419" i="2" l="1"/>
  <c r="C420" i="2"/>
  <c r="D420" i="2"/>
  <c r="AU419" i="2"/>
  <c r="W419" i="2"/>
  <c r="AM419" i="2"/>
  <c r="AE419" i="2"/>
  <c r="O417" i="2"/>
  <c r="L418" i="2"/>
  <c r="N418" i="2" s="1"/>
  <c r="AA419" i="2"/>
  <c r="AQ419" i="2"/>
  <c r="T419" i="2"/>
  <c r="AJ419" i="2"/>
  <c r="AZ419" i="2"/>
  <c r="U419" i="2"/>
  <c r="AK419" i="2"/>
  <c r="BA419" i="2"/>
  <c r="Z419" i="2"/>
  <c r="AP419" i="2"/>
  <c r="X419" i="2"/>
  <c r="AN419" i="2"/>
  <c r="B421" i="2"/>
  <c r="P420" i="2"/>
  <c r="M420" i="2" s="1"/>
  <c r="I420" i="2"/>
  <c r="J420" i="2"/>
  <c r="Y419" i="2"/>
  <c r="AO419" i="2"/>
  <c r="H419" i="2"/>
  <c r="AD419" i="2"/>
  <c r="AT419" i="2"/>
  <c r="S419" i="2"/>
  <c r="AI419" i="2"/>
  <c r="AY419" i="2"/>
  <c r="AB419" i="2"/>
  <c r="AR419" i="2"/>
  <c r="AC419" i="2"/>
  <c r="AS419" i="2"/>
  <c r="R419" i="2"/>
  <c r="AH419" i="2"/>
  <c r="AX419" i="2"/>
  <c r="AF419" i="2"/>
  <c r="AV419" i="2"/>
  <c r="Q419" i="2"/>
  <c r="AG419" i="2"/>
  <c r="AW419" i="2"/>
  <c r="V419" i="2"/>
  <c r="AL419" i="2"/>
  <c r="K420" i="2" l="1"/>
  <c r="S420" i="2"/>
  <c r="AA420" i="2"/>
  <c r="AM420" i="2"/>
  <c r="W420" i="2"/>
  <c r="AQ420" i="2"/>
  <c r="AE420" i="2"/>
  <c r="AJ420" i="2"/>
  <c r="AI420" i="2"/>
  <c r="T420" i="2"/>
  <c r="D421" i="2"/>
  <c r="C421" i="2"/>
  <c r="AU420" i="2"/>
  <c r="X420" i="2"/>
  <c r="AZ420" i="2"/>
  <c r="AN420" i="2"/>
  <c r="AF420" i="2"/>
  <c r="AV420" i="2"/>
  <c r="Q420" i="2"/>
  <c r="AG420" i="2"/>
  <c r="AW420" i="2"/>
  <c r="V420" i="2"/>
  <c r="AL420" i="2"/>
  <c r="L419" i="2"/>
  <c r="U420" i="2"/>
  <c r="AK420" i="2"/>
  <c r="BA420" i="2"/>
  <c r="Z420" i="2"/>
  <c r="AP420" i="2"/>
  <c r="O418" i="2"/>
  <c r="B422" i="2"/>
  <c r="P421" i="2"/>
  <c r="M421" i="2" s="1"/>
  <c r="I421" i="2"/>
  <c r="J421" i="2"/>
  <c r="Y420" i="2"/>
  <c r="AO420" i="2"/>
  <c r="H420" i="2"/>
  <c r="AD420" i="2"/>
  <c r="AT420" i="2"/>
  <c r="AY420" i="2"/>
  <c r="AB420" i="2"/>
  <c r="AR420" i="2"/>
  <c r="AC420" i="2"/>
  <c r="AS420" i="2"/>
  <c r="R420" i="2"/>
  <c r="AH420" i="2"/>
  <c r="AX420" i="2"/>
  <c r="K421" i="2" l="1"/>
  <c r="D422" i="2"/>
  <c r="C422" i="2"/>
  <c r="AI421" i="2"/>
  <c r="AE421" i="2"/>
  <c r="S421" i="2"/>
  <c r="W421" i="2"/>
  <c r="AM421" i="2"/>
  <c r="AA421" i="2"/>
  <c r="AQ421" i="2"/>
  <c r="AB421" i="2"/>
  <c r="AU421" i="2"/>
  <c r="AN421" i="2"/>
  <c r="AY421" i="2"/>
  <c r="AR421" i="2"/>
  <c r="X421" i="2"/>
  <c r="AF421" i="2"/>
  <c r="AV421" i="2"/>
  <c r="Q421" i="2"/>
  <c r="AG421" i="2"/>
  <c r="AW421" i="2"/>
  <c r="V421" i="2"/>
  <c r="AL421" i="2"/>
  <c r="N419" i="2"/>
  <c r="O419" i="2" s="1"/>
  <c r="L420" i="2"/>
  <c r="N420" i="2" s="1"/>
  <c r="T421" i="2"/>
  <c r="AJ421" i="2"/>
  <c r="AZ421" i="2"/>
  <c r="U421" i="2"/>
  <c r="AK421" i="2"/>
  <c r="BA421" i="2"/>
  <c r="Z421" i="2"/>
  <c r="AP421" i="2"/>
  <c r="B423" i="2"/>
  <c r="P422" i="2"/>
  <c r="M422" i="2" s="1"/>
  <c r="J422" i="2"/>
  <c r="I422" i="2"/>
  <c r="Y421" i="2"/>
  <c r="AO421" i="2"/>
  <c r="H421" i="2"/>
  <c r="AD421" i="2"/>
  <c r="AT421" i="2"/>
  <c r="AC421" i="2"/>
  <c r="AS421" i="2"/>
  <c r="R421" i="2"/>
  <c r="AH421" i="2"/>
  <c r="AX421" i="2"/>
  <c r="K422" i="2" l="1"/>
  <c r="D423" i="2"/>
  <c r="C423" i="2"/>
  <c r="S422" i="2"/>
  <c r="AN422" i="2"/>
  <c r="AE422" i="2"/>
  <c r="AI422" i="2"/>
  <c r="AY422" i="2"/>
  <c r="AA422" i="2"/>
  <c r="AU422" i="2"/>
  <c r="AB422" i="2"/>
  <c r="W422" i="2"/>
  <c r="AM422" i="2"/>
  <c r="X422" i="2"/>
  <c r="AF422" i="2"/>
  <c r="AV422" i="2"/>
  <c r="Q422" i="2"/>
  <c r="AG422" i="2"/>
  <c r="AW422" i="2"/>
  <c r="V422" i="2"/>
  <c r="AL422" i="2"/>
  <c r="L421" i="2"/>
  <c r="AQ422" i="2"/>
  <c r="T422" i="2"/>
  <c r="AJ422" i="2"/>
  <c r="AZ422" i="2"/>
  <c r="U422" i="2"/>
  <c r="AK422" i="2"/>
  <c r="BA422" i="2"/>
  <c r="Z422" i="2"/>
  <c r="AP422" i="2"/>
  <c r="O420" i="2"/>
  <c r="B424" i="2"/>
  <c r="P423" i="2"/>
  <c r="M423" i="2" s="1"/>
  <c r="I423" i="2"/>
  <c r="J423" i="2"/>
  <c r="Y422" i="2"/>
  <c r="AO422" i="2"/>
  <c r="H422" i="2"/>
  <c r="AD422" i="2"/>
  <c r="AT422" i="2"/>
  <c r="AR422" i="2"/>
  <c r="AC422" i="2"/>
  <c r="AS422" i="2"/>
  <c r="R422" i="2"/>
  <c r="AH422" i="2"/>
  <c r="AX422" i="2"/>
  <c r="K423" i="2" l="1"/>
  <c r="C424" i="2"/>
  <c r="D424" i="2"/>
  <c r="AE423" i="2"/>
  <c r="W423" i="2"/>
  <c r="AM423" i="2"/>
  <c r="AA423" i="2"/>
  <c r="AQ423" i="2"/>
  <c r="S423" i="2"/>
  <c r="AI423" i="2"/>
  <c r="X423" i="2"/>
  <c r="AU423" i="2"/>
  <c r="AB423" i="2"/>
  <c r="AY423" i="2"/>
  <c r="AN423" i="2"/>
  <c r="AR423" i="2"/>
  <c r="AF423" i="2"/>
  <c r="AV423" i="2"/>
  <c r="Q423" i="2"/>
  <c r="AG423" i="2"/>
  <c r="AW423" i="2"/>
  <c r="V423" i="2"/>
  <c r="AL423" i="2"/>
  <c r="N421" i="2"/>
  <c r="O421" i="2" s="1"/>
  <c r="L422" i="2"/>
  <c r="T423" i="2"/>
  <c r="AJ423" i="2"/>
  <c r="AZ423" i="2"/>
  <c r="U423" i="2"/>
  <c r="AK423" i="2"/>
  <c r="BA423" i="2"/>
  <c r="Z423" i="2"/>
  <c r="AP423" i="2"/>
  <c r="B425" i="2"/>
  <c r="P424" i="2"/>
  <c r="M424" i="2" s="1"/>
  <c r="I424" i="2"/>
  <c r="J424" i="2"/>
  <c r="Y423" i="2"/>
  <c r="AO423" i="2"/>
  <c r="H423" i="2"/>
  <c r="AD423" i="2"/>
  <c r="AT423" i="2"/>
  <c r="AC423" i="2"/>
  <c r="AS423" i="2"/>
  <c r="R423" i="2"/>
  <c r="AH423" i="2"/>
  <c r="AX423" i="2"/>
  <c r="K424" i="2" l="1"/>
  <c r="D425" i="2"/>
  <c r="C425" i="2"/>
  <c r="S424" i="2"/>
  <c r="T424" i="2"/>
  <c r="AE424" i="2"/>
  <c r="AM424" i="2"/>
  <c r="W424" i="2"/>
  <c r="AQ424" i="2"/>
  <c r="AJ424" i="2"/>
  <c r="AA424" i="2"/>
  <c r="AU424" i="2"/>
  <c r="X424" i="2"/>
  <c r="AN424" i="2"/>
  <c r="AZ424" i="2"/>
  <c r="N422" i="2"/>
  <c r="O422" i="2" s="1"/>
  <c r="L423" i="2"/>
  <c r="N423" i="2" s="1"/>
  <c r="AF424" i="2"/>
  <c r="AV424" i="2"/>
  <c r="Q424" i="2"/>
  <c r="AG424" i="2"/>
  <c r="AW424" i="2"/>
  <c r="V424" i="2"/>
  <c r="AL424" i="2"/>
  <c r="U424" i="2"/>
  <c r="AK424" i="2"/>
  <c r="BA424" i="2"/>
  <c r="Z424" i="2"/>
  <c r="AP424" i="2"/>
  <c r="B426" i="2"/>
  <c r="P425" i="2"/>
  <c r="M425" i="2" s="1"/>
  <c r="I425" i="2"/>
  <c r="J425" i="2"/>
  <c r="Y424" i="2"/>
  <c r="AO424" i="2"/>
  <c r="H424" i="2"/>
  <c r="AD424" i="2"/>
  <c r="AT424" i="2"/>
  <c r="AI424" i="2"/>
  <c r="AY424" i="2"/>
  <c r="AB424" i="2"/>
  <c r="AR424" i="2"/>
  <c r="AC424" i="2"/>
  <c r="AS424" i="2"/>
  <c r="R424" i="2"/>
  <c r="AH424" i="2"/>
  <c r="AX424" i="2"/>
  <c r="K425" i="2" l="1"/>
  <c r="D426" i="2"/>
  <c r="C426" i="2"/>
  <c r="W425" i="2"/>
  <c r="AE425" i="2"/>
  <c r="AM425" i="2"/>
  <c r="S425" i="2"/>
  <c r="AI425" i="2"/>
  <c r="AY425" i="2"/>
  <c r="AB425" i="2"/>
  <c r="AR425" i="2"/>
  <c r="AC425" i="2"/>
  <c r="AS425" i="2"/>
  <c r="R425" i="2"/>
  <c r="AH425" i="2"/>
  <c r="AX425" i="2"/>
  <c r="AF425" i="2"/>
  <c r="AV425" i="2"/>
  <c r="Q425" i="2"/>
  <c r="AG425" i="2"/>
  <c r="AW425" i="2"/>
  <c r="V425" i="2"/>
  <c r="AL425" i="2"/>
  <c r="L424" i="2"/>
  <c r="N424" i="2" s="1"/>
  <c r="AA425" i="2"/>
  <c r="AQ425" i="2"/>
  <c r="T425" i="2"/>
  <c r="AJ425" i="2"/>
  <c r="AZ425" i="2"/>
  <c r="U425" i="2"/>
  <c r="AK425" i="2"/>
  <c r="BA425" i="2"/>
  <c r="Z425" i="2"/>
  <c r="AP425" i="2"/>
  <c r="O423" i="2"/>
  <c r="AU425" i="2"/>
  <c r="X425" i="2"/>
  <c r="AN425" i="2"/>
  <c r="B427" i="2"/>
  <c r="P426" i="2"/>
  <c r="M426" i="2" s="1"/>
  <c r="J426" i="2"/>
  <c r="I426" i="2"/>
  <c r="Y425" i="2"/>
  <c r="AO425" i="2"/>
  <c r="H425" i="2"/>
  <c r="AD425" i="2"/>
  <c r="AT425" i="2"/>
  <c r="K426" i="2" l="1"/>
  <c r="D427" i="2"/>
  <c r="C427" i="2"/>
  <c r="AM426" i="2"/>
  <c r="W426" i="2"/>
  <c r="O424" i="2"/>
  <c r="L425" i="2"/>
  <c r="N425" i="2" s="1"/>
  <c r="AQ426" i="2"/>
  <c r="AE426" i="2"/>
  <c r="AU426" i="2"/>
  <c r="X426" i="2"/>
  <c r="AN426" i="2"/>
  <c r="B428" i="2"/>
  <c r="P427" i="2"/>
  <c r="M427" i="2" s="1"/>
  <c r="I427" i="2"/>
  <c r="J427" i="2"/>
  <c r="Y426" i="2"/>
  <c r="AO426" i="2"/>
  <c r="H426" i="2"/>
  <c r="AD426" i="2"/>
  <c r="AT426" i="2"/>
  <c r="T426" i="2"/>
  <c r="S426" i="2"/>
  <c r="AI426" i="2"/>
  <c r="AY426" i="2"/>
  <c r="AB426" i="2"/>
  <c r="AR426" i="2"/>
  <c r="AC426" i="2"/>
  <c r="AS426" i="2"/>
  <c r="R426" i="2"/>
  <c r="AH426" i="2"/>
  <c r="AX426" i="2"/>
  <c r="AF426" i="2"/>
  <c r="AV426" i="2"/>
  <c r="Q426" i="2"/>
  <c r="AG426" i="2"/>
  <c r="AW426" i="2"/>
  <c r="V426" i="2"/>
  <c r="AL426" i="2"/>
  <c r="AA426" i="2"/>
  <c r="AJ426" i="2"/>
  <c r="AZ426" i="2"/>
  <c r="U426" i="2"/>
  <c r="AK426" i="2"/>
  <c r="BA426" i="2"/>
  <c r="Z426" i="2"/>
  <c r="AP426" i="2"/>
  <c r="K427" i="2" l="1"/>
  <c r="C428" i="2"/>
  <c r="D428" i="2"/>
  <c r="AM427" i="2"/>
  <c r="W427" i="2"/>
  <c r="AF427" i="2"/>
  <c r="AV427" i="2"/>
  <c r="Q427" i="2"/>
  <c r="AG427" i="2"/>
  <c r="AW427" i="2"/>
  <c r="V427" i="2"/>
  <c r="AL427" i="2"/>
  <c r="L426" i="2"/>
  <c r="AA427" i="2"/>
  <c r="AQ427" i="2"/>
  <c r="T427" i="2"/>
  <c r="AJ427" i="2"/>
  <c r="AZ427" i="2"/>
  <c r="U427" i="2"/>
  <c r="AK427" i="2"/>
  <c r="BA427" i="2"/>
  <c r="Z427" i="2"/>
  <c r="AP427" i="2"/>
  <c r="AE427" i="2"/>
  <c r="AU427" i="2"/>
  <c r="X427" i="2"/>
  <c r="AN427" i="2"/>
  <c r="B429" i="2"/>
  <c r="P428" i="2"/>
  <c r="M428" i="2" s="1"/>
  <c r="I428" i="2"/>
  <c r="J428" i="2"/>
  <c r="Y427" i="2"/>
  <c r="AO427" i="2"/>
  <c r="H427" i="2"/>
  <c r="AD427" i="2"/>
  <c r="AT427" i="2"/>
  <c r="O425" i="2"/>
  <c r="S427" i="2"/>
  <c r="AI427" i="2"/>
  <c r="AY427" i="2"/>
  <c r="AB427" i="2"/>
  <c r="AR427" i="2"/>
  <c r="AC427" i="2"/>
  <c r="AS427" i="2"/>
  <c r="R427" i="2"/>
  <c r="AH427" i="2"/>
  <c r="AX427" i="2"/>
  <c r="K428" i="2" l="1"/>
  <c r="D429" i="2"/>
  <c r="C429" i="2"/>
  <c r="AE428" i="2"/>
  <c r="W428" i="2"/>
  <c r="AQ428" i="2"/>
  <c r="AA428" i="2"/>
  <c r="AU428" i="2"/>
  <c r="AJ428" i="2"/>
  <c r="AN428" i="2"/>
  <c r="U428" i="2"/>
  <c r="S428" i="2"/>
  <c r="AM428" i="2"/>
  <c r="T428" i="2"/>
  <c r="AZ428" i="2"/>
  <c r="Y428" i="2"/>
  <c r="X428" i="2"/>
  <c r="L427" i="2"/>
  <c r="N427" i="2" s="1"/>
  <c r="AF428" i="2"/>
  <c r="AV428" i="2"/>
  <c r="Q428" i="2"/>
  <c r="AG428" i="2"/>
  <c r="AW428" i="2"/>
  <c r="V428" i="2"/>
  <c r="AL428" i="2"/>
  <c r="N426" i="2"/>
  <c r="O426" i="2" s="1"/>
  <c r="AK428" i="2"/>
  <c r="BA428" i="2"/>
  <c r="Z428" i="2"/>
  <c r="AP428" i="2"/>
  <c r="B430" i="2"/>
  <c r="P429" i="2"/>
  <c r="M429" i="2" s="1"/>
  <c r="I429" i="2"/>
  <c r="J429" i="2"/>
  <c r="AO428" i="2"/>
  <c r="H428" i="2"/>
  <c r="AD428" i="2"/>
  <c r="AT428" i="2"/>
  <c r="AI428" i="2"/>
  <c r="AY428" i="2"/>
  <c r="AB428" i="2"/>
  <c r="AR428" i="2"/>
  <c r="AC428" i="2"/>
  <c r="AS428" i="2"/>
  <c r="R428" i="2"/>
  <c r="AH428" i="2"/>
  <c r="AX428" i="2"/>
  <c r="K429" i="2" l="1"/>
  <c r="D430" i="2"/>
  <c r="C430" i="2"/>
  <c r="AE429" i="2"/>
  <c r="S429" i="2"/>
  <c r="AA429" i="2"/>
  <c r="AM429" i="2"/>
  <c r="T429" i="2"/>
  <c r="AZ429" i="2"/>
  <c r="W429" i="2"/>
  <c r="AQ429" i="2"/>
  <c r="X429" i="2"/>
  <c r="AU429" i="2"/>
  <c r="AJ429" i="2"/>
  <c r="AN429" i="2"/>
  <c r="AF429" i="2"/>
  <c r="AV429" i="2"/>
  <c r="Q429" i="2"/>
  <c r="AG429" i="2"/>
  <c r="AW429" i="2"/>
  <c r="V429" i="2"/>
  <c r="AL429" i="2"/>
  <c r="U429" i="2"/>
  <c r="AK429" i="2"/>
  <c r="BA429" i="2"/>
  <c r="Z429" i="2"/>
  <c r="AP429" i="2"/>
  <c r="O427" i="2"/>
  <c r="B431" i="2"/>
  <c r="P430" i="2"/>
  <c r="M430" i="2" s="1"/>
  <c r="J430" i="2"/>
  <c r="I430" i="2"/>
  <c r="Y429" i="2"/>
  <c r="AO429" i="2"/>
  <c r="H429" i="2"/>
  <c r="AD429" i="2"/>
  <c r="AT429" i="2"/>
  <c r="L428" i="2"/>
  <c r="N428" i="2" s="1"/>
  <c r="AI429" i="2"/>
  <c r="AY429" i="2"/>
  <c r="AB429" i="2"/>
  <c r="AR429" i="2"/>
  <c r="AC429" i="2"/>
  <c r="AS429" i="2"/>
  <c r="R429" i="2"/>
  <c r="AH429" i="2"/>
  <c r="AX429" i="2"/>
  <c r="K430" i="2" l="1"/>
  <c r="D431" i="2"/>
  <c r="C431" i="2"/>
  <c r="W430" i="2"/>
  <c r="AQ430" i="2"/>
  <c r="AM430" i="2"/>
  <c r="AA430" i="2"/>
  <c r="AE430" i="2"/>
  <c r="AU430" i="2"/>
  <c r="AB430" i="2"/>
  <c r="S430" i="2"/>
  <c r="AI430" i="2"/>
  <c r="AY430" i="2"/>
  <c r="AN430" i="2"/>
  <c r="AC430" i="2"/>
  <c r="AR430" i="2"/>
  <c r="O428" i="2"/>
  <c r="X430" i="2"/>
  <c r="L429" i="2"/>
  <c r="N429" i="2" s="1"/>
  <c r="T430" i="2"/>
  <c r="AJ430" i="2"/>
  <c r="AZ430" i="2"/>
  <c r="U430" i="2"/>
  <c r="AK430" i="2"/>
  <c r="BA430" i="2"/>
  <c r="Z430" i="2"/>
  <c r="AP430" i="2"/>
  <c r="B432" i="2"/>
  <c r="P431" i="2"/>
  <c r="M431" i="2" s="1"/>
  <c r="I431" i="2"/>
  <c r="J431" i="2"/>
  <c r="Y430" i="2"/>
  <c r="AO430" i="2"/>
  <c r="H430" i="2"/>
  <c r="AD430" i="2"/>
  <c r="AT430" i="2"/>
  <c r="AS430" i="2"/>
  <c r="R430" i="2"/>
  <c r="AH430" i="2"/>
  <c r="AX430" i="2"/>
  <c r="AF430" i="2"/>
  <c r="AV430" i="2"/>
  <c r="Q430" i="2"/>
  <c r="AG430" i="2"/>
  <c r="AW430" i="2"/>
  <c r="V430" i="2"/>
  <c r="AL430" i="2"/>
  <c r="K431" i="2" l="1"/>
  <c r="C432" i="2"/>
  <c r="D432" i="2"/>
  <c r="AA431" i="2"/>
  <c r="AI431" i="2"/>
  <c r="S431" i="2"/>
  <c r="W431" i="2"/>
  <c r="AM431" i="2"/>
  <c r="X431" i="2"/>
  <c r="AU431" i="2"/>
  <c r="AB431" i="2"/>
  <c r="R431" i="2"/>
  <c r="AE431" i="2"/>
  <c r="AY431" i="2"/>
  <c r="AN431" i="2"/>
  <c r="AC431" i="2"/>
  <c r="AH431" i="2"/>
  <c r="AR431" i="2"/>
  <c r="AS431" i="2"/>
  <c r="AX431" i="2"/>
  <c r="AF431" i="2"/>
  <c r="AV431" i="2"/>
  <c r="Q431" i="2"/>
  <c r="AG431" i="2"/>
  <c r="AW431" i="2"/>
  <c r="V431" i="2"/>
  <c r="AL431" i="2"/>
  <c r="L430" i="2"/>
  <c r="AQ431" i="2"/>
  <c r="T431" i="2"/>
  <c r="AJ431" i="2"/>
  <c r="AZ431" i="2"/>
  <c r="U431" i="2"/>
  <c r="AK431" i="2"/>
  <c r="BA431" i="2"/>
  <c r="Z431" i="2"/>
  <c r="AP431" i="2"/>
  <c r="O429" i="2"/>
  <c r="B433" i="2"/>
  <c r="P432" i="2"/>
  <c r="M432" i="2" s="1"/>
  <c r="I432" i="2"/>
  <c r="J432" i="2"/>
  <c r="Y431" i="2"/>
  <c r="AO431" i="2"/>
  <c r="H431" i="2"/>
  <c r="AD431" i="2"/>
  <c r="AT431" i="2"/>
  <c r="K432" i="2" l="1"/>
  <c r="D433" i="2"/>
  <c r="C433" i="2"/>
  <c r="AM432" i="2"/>
  <c r="W432" i="2"/>
  <c r="N430" i="2"/>
  <c r="O430" i="2" s="1"/>
  <c r="AV432" i="2"/>
  <c r="AW432" i="2"/>
  <c r="L431" i="2"/>
  <c r="N431" i="2" s="1"/>
  <c r="O431" i="2" s="1"/>
  <c r="AA432" i="2"/>
  <c r="AQ432" i="2"/>
  <c r="T432" i="2"/>
  <c r="AJ432" i="2"/>
  <c r="AZ432" i="2"/>
  <c r="U432" i="2"/>
  <c r="AK432" i="2"/>
  <c r="BA432" i="2"/>
  <c r="Z432" i="2"/>
  <c r="AP432" i="2"/>
  <c r="Q432" i="2"/>
  <c r="V432" i="2"/>
  <c r="AE432" i="2"/>
  <c r="AU432" i="2"/>
  <c r="X432" i="2"/>
  <c r="AN432" i="2"/>
  <c r="B434" i="2"/>
  <c r="P433" i="2"/>
  <c r="M433" i="2" s="1"/>
  <c r="I433" i="2"/>
  <c r="J433" i="2"/>
  <c r="Y432" i="2"/>
  <c r="AO432" i="2"/>
  <c r="H432" i="2"/>
  <c r="AD432" i="2"/>
  <c r="AT432" i="2"/>
  <c r="AF432" i="2"/>
  <c r="AG432" i="2"/>
  <c r="AL432" i="2"/>
  <c r="S432" i="2"/>
  <c r="AI432" i="2"/>
  <c r="AY432" i="2"/>
  <c r="AB432" i="2"/>
  <c r="AR432" i="2"/>
  <c r="AC432" i="2"/>
  <c r="AS432" i="2"/>
  <c r="R432" i="2"/>
  <c r="AH432" i="2"/>
  <c r="AX432" i="2"/>
  <c r="K433" i="2" l="1"/>
  <c r="D434" i="2"/>
  <c r="C434" i="2"/>
  <c r="AA433" i="2"/>
  <c r="AM433" i="2"/>
  <c r="S433" i="2"/>
  <c r="AJ433" i="2"/>
  <c r="AI433" i="2"/>
  <c r="W433" i="2"/>
  <c r="AQ433" i="2"/>
  <c r="Z433" i="2"/>
  <c r="T433" i="2"/>
  <c r="U433" i="2"/>
  <c r="AZ433" i="2"/>
  <c r="AK433" i="2"/>
  <c r="AP433" i="2"/>
  <c r="BA433" i="2"/>
  <c r="AE433" i="2"/>
  <c r="AU433" i="2"/>
  <c r="X433" i="2"/>
  <c r="AN433" i="2"/>
  <c r="B435" i="2"/>
  <c r="P434" i="2"/>
  <c r="M434" i="2" s="1"/>
  <c r="J434" i="2"/>
  <c r="I434" i="2"/>
  <c r="Y433" i="2"/>
  <c r="AO433" i="2"/>
  <c r="H433" i="2"/>
  <c r="AD433" i="2"/>
  <c r="AT433" i="2"/>
  <c r="L432" i="2"/>
  <c r="AY433" i="2"/>
  <c r="AB433" i="2"/>
  <c r="AR433" i="2"/>
  <c r="AC433" i="2"/>
  <c r="AS433" i="2"/>
  <c r="R433" i="2"/>
  <c r="AH433" i="2"/>
  <c r="AX433" i="2"/>
  <c r="AF433" i="2"/>
  <c r="AV433" i="2"/>
  <c r="Q433" i="2"/>
  <c r="AG433" i="2"/>
  <c r="AW433" i="2"/>
  <c r="V433" i="2"/>
  <c r="AL433" i="2"/>
  <c r="K434" i="2" l="1"/>
  <c r="D435" i="2"/>
  <c r="C435" i="2"/>
  <c r="W434" i="2"/>
  <c r="AA434" i="2"/>
  <c r="AQ434" i="2"/>
  <c r="AM434" i="2"/>
  <c r="AF434" i="2"/>
  <c r="AV434" i="2"/>
  <c r="Q434" i="2"/>
  <c r="AG434" i="2"/>
  <c r="AW434" i="2"/>
  <c r="V434" i="2"/>
  <c r="AL434" i="2"/>
  <c r="L433" i="2"/>
  <c r="N433" i="2" s="1"/>
  <c r="T434" i="2"/>
  <c r="AJ434" i="2"/>
  <c r="AZ434" i="2"/>
  <c r="U434" i="2"/>
  <c r="AK434" i="2"/>
  <c r="BA434" i="2"/>
  <c r="Z434" i="2"/>
  <c r="AP434" i="2"/>
  <c r="N432" i="2"/>
  <c r="O432" i="2" s="1"/>
  <c r="AE434" i="2"/>
  <c r="AU434" i="2"/>
  <c r="X434" i="2"/>
  <c r="AN434" i="2"/>
  <c r="B436" i="2"/>
  <c r="P435" i="2"/>
  <c r="M435" i="2" s="1"/>
  <c r="I435" i="2"/>
  <c r="J435" i="2"/>
  <c r="Y434" i="2"/>
  <c r="AO434" i="2"/>
  <c r="H434" i="2"/>
  <c r="AD434" i="2"/>
  <c r="AT434" i="2"/>
  <c r="S434" i="2"/>
  <c r="AI434" i="2"/>
  <c r="AY434" i="2"/>
  <c r="AB434" i="2"/>
  <c r="AR434" i="2"/>
  <c r="AC434" i="2"/>
  <c r="AS434" i="2"/>
  <c r="R434" i="2"/>
  <c r="AH434" i="2"/>
  <c r="AX434" i="2"/>
  <c r="K435" i="2" l="1"/>
  <c r="C436" i="2"/>
  <c r="D436" i="2"/>
  <c r="W435" i="2"/>
  <c r="S435" i="2"/>
  <c r="AI435" i="2"/>
  <c r="T435" i="2"/>
  <c r="AM435" i="2"/>
  <c r="AA435" i="2"/>
  <c r="AQ435" i="2"/>
  <c r="X435" i="2"/>
  <c r="AE435" i="2"/>
  <c r="AU435" i="2"/>
  <c r="AZ435" i="2"/>
  <c r="AN435" i="2"/>
  <c r="U435" i="2"/>
  <c r="AJ435" i="2"/>
  <c r="L434" i="2"/>
  <c r="N434" i="2" s="1"/>
  <c r="AF435" i="2"/>
  <c r="AV435" i="2"/>
  <c r="Q435" i="2"/>
  <c r="AG435" i="2"/>
  <c r="AW435" i="2"/>
  <c r="V435" i="2"/>
  <c r="AL435" i="2"/>
  <c r="AK435" i="2"/>
  <c r="BA435" i="2"/>
  <c r="Z435" i="2"/>
  <c r="AP435" i="2"/>
  <c r="B437" i="2"/>
  <c r="P436" i="2"/>
  <c r="M436" i="2" s="1"/>
  <c r="I436" i="2"/>
  <c r="J436" i="2"/>
  <c r="Y435" i="2"/>
  <c r="AO435" i="2"/>
  <c r="H435" i="2"/>
  <c r="AD435" i="2"/>
  <c r="AT435" i="2"/>
  <c r="O433" i="2"/>
  <c r="AY435" i="2"/>
  <c r="AB435" i="2"/>
  <c r="AR435" i="2"/>
  <c r="AC435" i="2"/>
  <c r="AS435" i="2"/>
  <c r="R435" i="2"/>
  <c r="AH435" i="2"/>
  <c r="AX435" i="2"/>
  <c r="K436" i="2" l="1"/>
  <c r="D437" i="2"/>
  <c r="C437" i="2"/>
  <c r="AA436" i="2"/>
  <c r="W436" i="2"/>
  <c r="AQ436" i="2"/>
  <c r="AM436" i="2"/>
  <c r="L435" i="2"/>
  <c r="N435" i="2" s="1"/>
  <c r="AE436" i="2"/>
  <c r="AU436" i="2"/>
  <c r="X436" i="2"/>
  <c r="AN436" i="2"/>
  <c r="B438" i="2"/>
  <c r="P437" i="2"/>
  <c r="M437" i="2" s="1"/>
  <c r="I437" i="2"/>
  <c r="J437" i="2"/>
  <c r="Y436" i="2"/>
  <c r="AO436" i="2"/>
  <c r="H436" i="2"/>
  <c r="AD436" i="2"/>
  <c r="AT436" i="2"/>
  <c r="S436" i="2"/>
  <c r="AI436" i="2"/>
  <c r="AY436" i="2"/>
  <c r="AB436" i="2"/>
  <c r="AR436" i="2"/>
  <c r="AC436" i="2"/>
  <c r="AS436" i="2"/>
  <c r="R436" i="2"/>
  <c r="AH436" i="2"/>
  <c r="AX436" i="2"/>
  <c r="AF436" i="2"/>
  <c r="AV436" i="2"/>
  <c r="Q436" i="2"/>
  <c r="AG436" i="2"/>
  <c r="AW436" i="2"/>
  <c r="V436" i="2"/>
  <c r="AL436" i="2"/>
  <c r="O434" i="2"/>
  <c r="T436" i="2"/>
  <c r="AJ436" i="2"/>
  <c r="AZ436" i="2"/>
  <c r="U436" i="2"/>
  <c r="AK436" i="2"/>
  <c r="BA436" i="2"/>
  <c r="Z436" i="2"/>
  <c r="AP436" i="2"/>
  <c r="K437" i="2" l="1"/>
  <c r="D438" i="2"/>
  <c r="C438" i="2"/>
  <c r="AM437" i="2"/>
  <c r="W437" i="2"/>
  <c r="AA437" i="2"/>
  <c r="S437" i="2"/>
  <c r="AI437" i="2"/>
  <c r="AY437" i="2"/>
  <c r="AB437" i="2"/>
  <c r="AR437" i="2"/>
  <c r="AC437" i="2"/>
  <c r="AS437" i="2"/>
  <c r="R437" i="2"/>
  <c r="AH437" i="2"/>
  <c r="AX437" i="2"/>
  <c r="AF437" i="2"/>
  <c r="AV437" i="2"/>
  <c r="Q437" i="2"/>
  <c r="AG437" i="2"/>
  <c r="AW437" i="2"/>
  <c r="V437" i="2"/>
  <c r="AL437" i="2"/>
  <c r="L436" i="2"/>
  <c r="N436" i="2" s="1"/>
  <c r="AQ437" i="2"/>
  <c r="T437" i="2"/>
  <c r="AJ437" i="2"/>
  <c r="AZ437" i="2"/>
  <c r="U437" i="2"/>
  <c r="AK437" i="2"/>
  <c r="BA437" i="2"/>
  <c r="Z437" i="2"/>
  <c r="AP437" i="2"/>
  <c r="O435" i="2"/>
  <c r="AE437" i="2"/>
  <c r="AU437" i="2"/>
  <c r="X437" i="2"/>
  <c r="AN437" i="2"/>
  <c r="B439" i="2"/>
  <c r="P438" i="2"/>
  <c r="M438" i="2" s="1"/>
  <c r="J438" i="2"/>
  <c r="I438" i="2"/>
  <c r="Y437" i="2"/>
  <c r="AO437" i="2"/>
  <c r="H437" i="2"/>
  <c r="AD437" i="2"/>
  <c r="AT437" i="2"/>
  <c r="K438" i="2" l="1"/>
  <c r="D439" i="2"/>
  <c r="C439" i="2"/>
  <c r="W438" i="2"/>
  <c r="AA438" i="2"/>
  <c r="AQ438" i="2"/>
  <c r="AM438" i="2"/>
  <c r="T438" i="2"/>
  <c r="AE438" i="2"/>
  <c r="AU438" i="2"/>
  <c r="X438" i="2"/>
  <c r="AN438" i="2"/>
  <c r="B440" i="2"/>
  <c r="P439" i="2"/>
  <c r="M439" i="2" s="1"/>
  <c r="I439" i="2"/>
  <c r="J439" i="2"/>
  <c r="Y438" i="2"/>
  <c r="AO438" i="2"/>
  <c r="H438" i="2"/>
  <c r="AD438" i="2"/>
  <c r="AT438" i="2"/>
  <c r="S438" i="2"/>
  <c r="AI438" i="2"/>
  <c r="AY438" i="2"/>
  <c r="AB438" i="2"/>
  <c r="AR438" i="2"/>
  <c r="AC438" i="2"/>
  <c r="AS438" i="2"/>
  <c r="R438" i="2"/>
  <c r="AH438" i="2"/>
  <c r="AX438" i="2"/>
  <c r="O436" i="2"/>
  <c r="AF438" i="2"/>
  <c r="AV438" i="2"/>
  <c r="Q438" i="2"/>
  <c r="AG438" i="2"/>
  <c r="AW438" i="2"/>
  <c r="V438" i="2"/>
  <c r="AL438" i="2"/>
  <c r="L437" i="2"/>
  <c r="N437" i="2" s="1"/>
  <c r="AJ438" i="2"/>
  <c r="AZ438" i="2"/>
  <c r="U438" i="2"/>
  <c r="AK438" i="2"/>
  <c r="BA438" i="2"/>
  <c r="Z438" i="2"/>
  <c r="AP438" i="2"/>
  <c r="K439" i="2" l="1"/>
  <c r="D440" i="2"/>
  <c r="C440" i="2"/>
  <c r="S439" i="2"/>
  <c r="W439" i="2"/>
  <c r="AI439" i="2"/>
  <c r="AM439" i="2"/>
  <c r="O437" i="2"/>
  <c r="L438" i="2"/>
  <c r="N438" i="2" s="1"/>
  <c r="AA439" i="2"/>
  <c r="AQ439" i="2"/>
  <c r="T439" i="2"/>
  <c r="AJ439" i="2"/>
  <c r="AZ439" i="2"/>
  <c r="U439" i="2"/>
  <c r="AK439" i="2"/>
  <c r="BA439" i="2"/>
  <c r="Z439" i="2"/>
  <c r="AP439" i="2"/>
  <c r="AE439" i="2"/>
  <c r="AU439" i="2"/>
  <c r="X439" i="2"/>
  <c r="AN439" i="2"/>
  <c r="B441" i="2"/>
  <c r="P440" i="2"/>
  <c r="M440" i="2" s="1"/>
  <c r="I440" i="2"/>
  <c r="J440" i="2"/>
  <c r="Y439" i="2"/>
  <c r="AO439" i="2"/>
  <c r="H439" i="2"/>
  <c r="AD439" i="2"/>
  <c r="AT439" i="2"/>
  <c r="AY439" i="2"/>
  <c r="AB439" i="2"/>
  <c r="AR439" i="2"/>
  <c r="AC439" i="2"/>
  <c r="AS439" i="2"/>
  <c r="R439" i="2"/>
  <c r="AH439" i="2"/>
  <c r="AX439" i="2"/>
  <c r="AF439" i="2"/>
  <c r="AV439" i="2"/>
  <c r="Q439" i="2"/>
  <c r="AG439" i="2"/>
  <c r="AW439" i="2"/>
  <c r="V439" i="2"/>
  <c r="AL439" i="2"/>
  <c r="K440" i="2" l="1"/>
  <c r="C441" i="2"/>
  <c r="D441" i="2"/>
  <c r="W440" i="2"/>
  <c r="AA440" i="2"/>
  <c r="AE440" i="2"/>
  <c r="S440" i="2"/>
  <c r="AI440" i="2"/>
  <c r="AM440" i="2"/>
  <c r="AQ440" i="2"/>
  <c r="AU440" i="2"/>
  <c r="T440" i="2"/>
  <c r="L439" i="2"/>
  <c r="N439" i="2" s="1"/>
  <c r="AJ440" i="2"/>
  <c r="AZ440" i="2"/>
  <c r="U440" i="2"/>
  <c r="AK440" i="2"/>
  <c r="BA440" i="2"/>
  <c r="Z440" i="2"/>
  <c r="AP440" i="2"/>
  <c r="X440" i="2"/>
  <c r="AN440" i="2"/>
  <c r="B442" i="2"/>
  <c r="P441" i="2"/>
  <c r="M441" i="2" s="1"/>
  <c r="I441" i="2"/>
  <c r="J441" i="2"/>
  <c r="Y440" i="2"/>
  <c r="AO440" i="2"/>
  <c r="H440" i="2"/>
  <c r="AD440" i="2"/>
  <c r="AT440" i="2"/>
  <c r="AY440" i="2"/>
  <c r="AB440" i="2"/>
  <c r="AR440" i="2"/>
  <c r="AC440" i="2"/>
  <c r="AS440" i="2"/>
  <c r="R440" i="2"/>
  <c r="AH440" i="2"/>
  <c r="AX440" i="2"/>
  <c r="O438" i="2"/>
  <c r="AF440" i="2"/>
  <c r="AV440" i="2"/>
  <c r="Q440" i="2"/>
  <c r="AG440" i="2"/>
  <c r="AW440" i="2"/>
  <c r="V440" i="2"/>
  <c r="AL440" i="2"/>
  <c r="K441" i="2" l="1"/>
  <c r="D442" i="2"/>
  <c r="C442" i="2"/>
  <c r="AI441" i="2"/>
  <c r="W441" i="2"/>
  <c r="S441" i="2"/>
  <c r="AQ441" i="2"/>
  <c r="AA441" i="2"/>
  <c r="AE441" i="2"/>
  <c r="AY441" i="2"/>
  <c r="AJ441" i="2"/>
  <c r="AR441" i="2"/>
  <c r="AM441" i="2"/>
  <c r="T441" i="2"/>
  <c r="AZ441" i="2"/>
  <c r="AB441" i="2"/>
  <c r="AF441" i="2"/>
  <c r="AV441" i="2"/>
  <c r="Q441" i="2"/>
  <c r="AG441" i="2"/>
  <c r="AW441" i="2"/>
  <c r="V441" i="2"/>
  <c r="AL441" i="2"/>
  <c r="L440" i="2"/>
  <c r="U441" i="2"/>
  <c r="AK441" i="2"/>
  <c r="BA441" i="2"/>
  <c r="Z441" i="2"/>
  <c r="AP441" i="2"/>
  <c r="AU441" i="2"/>
  <c r="X441" i="2"/>
  <c r="AN441" i="2"/>
  <c r="B443" i="2"/>
  <c r="P442" i="2"/>
  <c r="M442" i="2" s="1"/>
  <c r="J442" i="2"/>
  <c r="I442" i="2"/>
  <c r="Y441" i="2"/>
  <c r="AO441" i="2"/>
  <c r="H441" i="2"/>
  <c r="AD441" i="2"/>
  <c r="AT441" i="2"/>
  <c r="O439" i="2"/>
  <c r="AC441" i="2"/>
  <c r="AS441" i="2"/>
  <c r="R441" i="2"/>
  <c r="AH441" i="2"/>
  <c r="AX441" i="2"/>
  <c r="K442" i="2" l="1"/>
  <c r="D443" i="2"/>
  <c r="C443" i="2"/>
  <c r="W442" i="2"/>
  <c r="S442" i="2"/>
  <c r="AM442" i="2"/>
  <c r="AI442" i="2"/>
  <c r="AE442" i="2"/>
  <c r="AU442" i="2"/>
  <c r="X442" i="2"/>
  <c r="AN442" i="2"/>
  <c r="B444" i="2"/>
  <c r="P443" i="2"/>
  <c r="M443" i="2" s="1"/>
  <c r="I443" i="2"/>
  <c r="J443" i="2"/>
  <c r="Y442" i="2"/>
  <c r="AO442" i="2"/>
  <c r="H442" i="2"/>
  <c r="AD442" i="2"/>
  <c r="AT442" i="2"/>
  <c r="N440" i="2"/>
  <c r="O440" i="2" s="1"/>
  <c r="AY442" i="2"/>
  <c r="AB442" i="2"/>
  <c r="AR442" i="2"/>
  <c r="AC442" i="2"/>
  <c r="AS442" i="2"/>
  <c r="R442" i="2"/>
  <c r="AH442" i="2"/>
  <c r="AX442" i="2"/>
  <c r="AF442" i="2"/>
  <c r="AV442" i="2"/>
  <c r="Q442" i="2"/>
  <c r="AG442" i="2"/>
  <c r="AW442" i="2"/>
  <c r="V442" i="2"/>
  <c r="AL442" i="2"/>
  <c r="L441" i="2"/>
  <c r="N441" i="2" s="1"/>
  <c r="AA442" i="2"/>
  <c r="AQ442" i="2"/>
  <c r="T442" i="2"/>
  <c r="AJ442" i="2"/>
  <c r="AZ442" i="2"/>
  <c r="U442" i="2"/>
  <c r="AK442" i="2"/>
  <c r="BA442" i="2"/>
  <c r="Z442" i="2"/>
  <c r="AP442" i="2"/>
  <c r="K443" i="2" l="1"/>
  <c r="D444" i="2"/>
  <c r="C444" i="2"/>
  <c r="W443" i="2"/>
  <c r="AE443" i="2"/>
  <c r="S443" i="2"/>
  <c r="AI443" i="2"/>
  <c r="X443" i="2"/>
  <c r="AM443" i="2"/>
  <c r="AA443" i="2"/>
  <c r="AQ443" i="2"/>
  <c r="AU443" i="2"/>
  <c r="AB443" i="2"/>
  <c r="AY443" i="2"/>
  <c r="O441" i="2"/>
  <c r="L442" i="2"/>
  <c r="N442" i="2" s="1"/>
  <c r="T443" i="2"/>
  <c r="AJ443" i="2"/>
  <c r="AZ443" i="2"/>
  <c r="U443" i="2"/>
  <c r="AK443" i="2"/>
  <c r="BA443" i="2"/>
  <c r="Z443" i="2"/>
  <c r="AP443" i="2"/>
  <c r="AN443" i="2"/>
  <c r="B445" i="2"/>
  <c r="P444" i="2"/>
  <c r="M444" i="2" s="1"/>
  <c r="I444" i="2"/>
  <c r="J444" i="2"/>
  <c r="Y443" i="2"/>
  <c r="AO443" i="2"/>
  <c r="H443" i="2"/>
  <c r="AD443" i="2"/>
  <c r="AT443" i="2"/>
  <c r="AR443" i="2"/>
  <c r="AC443" i="2"/>
  <c r="AS443" i="2"/>
  <c r="R443" i="2"/>
  <c r="AH443" i="2"/>
  <c r="AX443" i="2"/>
  <c r="AF443" i="2"/>
  <c r="AV443" i="2"/>
  <c r="Q443" i="2"/>
  <c r="AG443" i="2"/>
  <c r="AW443" i="2"/>
  <c r="V443" i="2"/>
  <c r="AL443" i="2"/>
  <c r="K444" i="2" l="1"/>
  <c r="C445" i="2"/>
  <c r="D445" i="2"/>
  <c r="S444" i="2"/>
  <c r="W444" i="2"/>
  <c r="AI444" i="2"/>
  <c r="AM444" i="2"/>
  <c r="L443" i="2"/>
  <c r="N443" i="2" s="1"/>
  <c r="AA444" i="2"/>
  <c r="AQ444" i="2"/>
  <c r="T444" i="2"/>
  <c r="AJ444" i="2"/>
  <c r="AZ444" i="2"/>
  <c r="U444" i="2"/>
  <c r="AK444" i="2"/>
  <c r="BA444" i="2"/>
  <c r="Z444" i="2"/>
  <c r="AP444" i="2"/>
  <c r="AE444" i="2"/>
  <c r="AU444" i="2"/>
  <c r="X444" i="2"/>
  <c r="AN444" i="2"/>
  <c r="B446" i="2"/>
  <c r="P445" i="2"/>
  <c r="M445" i="2" s="1"/>
  <c r="I445" i="2"/>
  <c r="J445" i="2"/>
  <c r="Y444" i="2"/>
  <c r="AO444" i="2"/>
  <c r="H444" i="2"/>
  <c r="AD444" i="2"/>
  <c r="AT444" i="2"/>
  <c r="O442" i="2"/>
  <c r="AY444" i="2"/>
  <c r="AB444" i="2"/>
  <c r="AR444" i="2"/>
  <c r="AC444" i="2"/>
  <c r="AS444" i="2"/>
  <c r="R444" i="2"/>
  <c r="AH444" i="2"/>
  <c r="AX444" i="2"/>
  <c r="AF444" i="2"/>
  <c r="AV444" i="2"/>
  <c r="Q444" i="2"/>
  <c r="AG444" i="2"/>
  <c r="AW444" i="2"/>
  <c r="V444" i="2"/>
  <c r="AL444" i="2"/>
  <c r="K445" i="2" l="1"/>
  <c r="D446" i="2"/>
  <c r="C446" i="2"/>
  <c r="AM445" i="2"/>
  <c r="S445" i="2"/>
  <c r="AI445" i="2"/>
  <c r="W445" i="2"/>
  <c r="L444" i="2"/>
  <c r="N444" i="2" s="1"/>
  <c r="AA445" i="2"/>
  <c r="AQ445" i="2"/>
  <c r="T445" i="2"/>
  <c r="AJ445" i="2"/>
  <c r="AZ445" i="2"/>
  <c r="U445" i="2"/>
  <c r="AK445" i="2"/>
  <c r="BA445" i="2"/>
  <c r="Z445" i="2"/>
  <c r="AP445" i="2"/>
  <c r="AE445" i="2"/>
  <c r="AU445" i="2"/>
  <c r="X445" i="2"/>
  <c r="AN445" i="2"/>
  <c r="B447" i="2"/>
  <c r="P446" i="2"/>
  <c r="M446" i="2" s="1"/>
  <c r="J446" i="2"/>
  <c r="I446" i="2"/>
  <c r="Y445" i="2"/>
  <c r="AO445" i="2"/>
  <c r="H445" i="2"/>
  <c r="AD445" i="2"/>
  <c r="AT445" i="2"/>
  <c r="AY445" i="2"/>
  <c r="AB445" i="2"/>
  <c r="AR445" i="2"/>
  <c r="AC445" i="2"/>
  <c r="AS445" i="2"/>
  <c r="R445" i="2"/>
  <c r="AH445" i="2"/>
  <c r="AX445" i="2"/>
  <c r="O443" i="2"/>
  <c r="AF445" i="2"/>
  <c r="AV445" i="2"/>
  <c r="Q445" i="2"/>
  <c r="AG445" i="2"/>
  <c r="AW445" i="2"/>
  <c r="V445" i="2"/>
  <c r="AL445" i="2"/>
  <c r="K446" i="2" l="1"/>
  <c r="D447" i="2"/>
  <c r="C447" i="2"/>
  <c r="S446" i="2"/>
  <c r="AM446" i="2"/>
  <c r="W446" i="2"/>
  <c r="AI446" i="2"/>
  <c r="L445" i="2"/>
  <c r="N445" i="2" s="1"/>
  <c r="AA446" i="2"/>
  <c r="AQ446" i="2"/>
  <c r="T446" i="2"/>
  <c r="AJ446" i="2"/>
  <c r="AZ446" i="2"/>
  <c r="U446" i="2"/>
  <c r="AK446" i="2"/>
  <c r="BA446" i="2"/>
  <c r="Z446" i="2"/>
  <c r="AP446" i="2"/>
  <c r="AE446" i="2"/>
  <c r="AU446" i="2"/>
  <c r="X446" i="2"/>
  <c r="AN446" i="2"/>
  <c r="B448" i="2"/>
  <c r="P447" i="2"/>
  <c r="M447" i="2" s="1"/>
  <c r="I447" i="2"/>
  <c r="J447" i="2"/>
  <c r="Y446" i="2"/>
  <c r="AO446" i="2"/>
  <c r="H446" i="2"/>
  <c r="AD446" i="2"/>
  <c r="AT446" i="2"/>
  <c r="AY446" i="2"/>
  <c r="AB446" i="2"/>
  <c r="AR446" i="2"/>
  <c r="AC446" i="2"/>
  <c r="AS446" i="2"/>
  <c r="R446" i="2"/>
  <c r="AH446" i="2"/>
  <c r="AX446" i="2"/>
  <c r="O444" i="2"/>
  <c r="AF446" i="2"/>
  <c r="AV446" i="2"/>
  <c r="Q446" i="2"/>
  <c r="AG446" i="2"/>
  <c r="AW446" i="2"/>
  <c r="V446" i="2"/>
  <c r="AL446" i="2"/>
  <c r="K447" i="2" l="1"/>
  <c r="D448" i="2"/>
  <c r="C448" i="2"/>
  <c r="AM447" i="2"/>
  <c r="W447" i="2"/>
  <c r="AA447" i="2"/>
  <c r="X447" i="2"/>
  <c r="S447" i="2"/>
  <c r="AQ447" i="2"/>
  <c r="Y447" i="2"/>
  <c r="AE447" i="2"/>
  <c r="AU447" i="2"/>
  <c r="AN447" i="2"/>
  <c r="AI447" i="2"/>
  <c r="AY447" i="2"/>
  <c r="AB447" i="2"/>
  <c r="AR447" i="2"/>
  <c r="L446" i="2"/>
  <c r="N446" i="2" s="1"/>
  <c r="T447" i="2"/>
  <c r="AJ447" i="2"/>
  <c r="AZ447" i="2"/>
  <c r="U447" i="2"/>
  <c r="AK447" i="2"/>
  <c r="BA447" i="2"/>
  <c r="Z447" i="2"/>
  <c r="AP447" i="2"/>
  <c r="B449" i="2"/>
  <c r="P448" i="2"/>
  <c r="M448" i="2" s="1"/>
  <c r="I448" i="2"/>
  <c r="J448" i="2"/>
  <c r="AO447" i="2"/>
  <c r="H447" i="2"/>
  <c r="AD447" i="2"/>
  <c r="AT447" i="2"/>
  <c r="AC447" i="2"/>
  <c r="AS447" i="2"/>
  <c r="R447" i="2"/>
  <c r="AH447" i="2"/>
  <c r="AX447" i="2"/>
  <c r="O445" i="2"/>
  <c r="AF447" i="2"/>
  <c r="AV447" i="2"/>
  <c r="Q447" i="2"/>
  <c r="AG447" i="2"/>
  <c r="AW447" i="2"/>
  <c r="V447" i="2"/>
  <c r="AL447" i="2"/>
  <c r="K448" i="2" l="1"/>
  <c r="C449" i="2"/>
  <c r="D449" i="2"/>
  <c r="W448" i="2"/>
  <c r="AE448" i="2"/>
  <c r="AM448" i="2"/>
  <c r="S448" i="2"/>
  <c r="AI448" i="2"/>
  <c r="AY448" i="2"/>
  <c r="AJ448" i="2"/>
  <c r="AN448" i="2"/>
  <c r="AA448" i="2"/>
  <c r="AQ448" i="2"/>
  <c r="T448" i="2"/>
  <c r="AU448" i="2"/>
  <c r="X448" i="2"/>
  <c r="AB448" i="2"/>
  <c r="AR448" i="2"/>
  <c r="AC448" i="2"/>
  <c r="AS448" i="2"/>
  <c r="R448" i="2"/>
  <c r="AH448" i="2"/>
  <c r="AX448" i="2"/>
  <c r="AF448" i="2"/>
  <c r="AV448" i="2"/>
  <c r="Q448" i="2"/>
  <c r="AG448" i="2"/>
  <c r="AW448" i="2"/>
  <c r="V448" i="2"/>
  <c r="AL448" i="2"/>
  <c r="AZ448" i="2"/>
  <c r="U448" i="2"/>
  <c r="AK448" i="2"/>
  <c r="BA448" i="2"/>
  <c r="Z448" i="2"/>
  <c r="AP448" i="2"/>
  <c r="O446" i="2"/>
  <c r="L447" i="2"/>
  <c r="N447" i="2" s="1"/>
  <c r="B450" i="2"/>
  <c r="P449" i="2"/>
  <c r="M449" i="2" s="1"/>
  <c r="I449" i="2"/>
  <c r="J449" i="2"/>
  <c r="Y448" i="2"/>
  <c r="AO448" i="2"/>
  <c r="H448" i="2"/>
  <c r="AD448" i="2"/>
  <c r="AT448" i="2"/>
  <c r="K449" i="2" l="1"/>
  <c r="D450" i="2"/>
  <c r="C450" i="2"/>
  <c r="AM449" i="2"/>
  <c r="W449" i="2"/>
  <c r="S449" i="2"/>
  <c r="AI449" i="2"/>
  <c r="AY449" i="2"/>
  <c r="AQ449" i="2"/>
  <c r="AA449" i="2"/>
  <c r="AE449" i="2"/>
  <c r="AU449" i="2"/>
  <c r="AR449" i="2"/>
  <c r="X449" i="2"/>
  <c r="AB449" i="2"/>
  <c r="AN449" i="2"/>
  <c r="AF449" i="2"/>
  <c r="AV449" i="2"/>
  <c r="Q449" i="2"/>
  <c r="AG449" i="2"/>
  <c r="AW449" i="2"/>
  <c r="V449" i="2"/>
  <c r="AL449" i="2"/>
  <c r="L448" i="2"/>
  <c r="T449" i="2"/>
  <c r="AJ449" i="2"/>
  <c r="AZ449" i="2"/>
  <c r="U449" i="2"/>
  <c r="AK449" i="2"/>
  <c r="BA449" i="2"/>
  <c r="Z449" i="2"/>
  <c r="AP449" i="2"/>
  <c r="O447" i="2"/>
  <c r="B451" i="2"/>
  <c r="P450" i="2"/>
  <c r="M450" i="2" s="1"/>
  <c r="J450" i="2"/>
  <c r="I450" i="2"/>
  <c r="Y449" i="2"/>
  <c r="AO449" i="2"/>
  <c r="H449" i="2"/>
  <c r="AD449" i="2"/>
  <c r="AT449" i="2"/>
  <c r="AC449" i="2"/>
  <c r="AS449" i="2"/>
  <c r="R449" i="2"/>
  <c r="AH449" i="2"/>
  <c r="AX449" i="2"/>
  <c r="W450" i="2" l="1"/>
  <c r="K450" i="2"/>
  <c r="D451" i="2"/>
  <c r="C451" i="2"/>
  <c r="AA450" i="2"/>
  <c r="T450" i="2"/>
  <c r="AM450" i="2"/>
  <c r="AQ450" i="2"/>
  <c r="S450" i="2"/>
  <c r="AI450" i="2"/>
  <c r="AY450" i="2"/>
  <c r="AJ450" i="2"/>
  <c r="AN450" i="2"/>
  <c r="U450" i="2"/>
  <c r="AZ450" i="2"/>
  <c r="AE450" i="2"/>
  <c r="AU450" i="2"/>
  <c r="X450" i="2"/>
  <c r="L449" i="2"/>
  <c r="N449" i="2" s="1"/>
  <c r="AB450" i="2"/>
  <c r="AR450" i="2"/>
  <c r="AC450" i="2"/>
  <c r="AS450" i="2"/>
  <c r="R450" i="2"/>
  <c r="AH450" i="2"/>
  <c r="AX450" i="2"/>
  <c r="N448" i="2"/>
  <c r="O448" i="2" s="1"/>
  <c r="AF450" i="2"/>
  <c r="AV450" i="2"/>
  <c r="Q450" i="2"/>
  <c r="AG450" i="2"/>
  <c r="AW450" i="2"/>
  <c r="V450" i="2"/>
  <c r="AL450" i="2"/>
  <c r="AK450" i="2"/>
  <c r="BA450" i="2"/>
  <c r="Z450" i="2"/>
  <c r="AP450" i="2"/>
  <c r="B452" i="2"/>
  <c r="P451" i="2"/>
  <c r="M451" i="2" s="1"/>
  <c r="I451" i="2"/>
  <c r="J451" i="2"/>
  <c r="Y450" i="2"/>
  <c r="AO450" i="2"/>
  <c r="H450" i="2"/>
  <c r="AD450" i="2"/>
  <c r="AT450" i="2"/>
  <c r="K451" i="2" l="1"/>
  <c r="AE451" i="2"/>
  <c r="D452" i="2"/>
  <c r="C452" i="2"/>
  <c r="S451" i="2"/>
  <c r="AM451" i="2"/>
  <c r="T451" i="2"/>
  <c r="AQ451" i="2"/>
  <c r="W451" i="2"/>
  <c r="X451" i="2"/>
  <c r="AA451" i="2"/>
  <c r="AU451" i="2"/>
  <c r="AI451" i="2"/>
  <c r="AY451" i="2"/>
  <c r="AJ451" i="2"/>
  <c r="AN451" i="2"/>
  <c r="AZ451" i="2"/>
  <c r="AB451" i="2"/>
  <c r="AR451" i="2"/>
  <c r="AC451" i="2"/>
  <c r="AS451" i="2"/>
  <c r="R451" i="2"/>
  <c r="AH451" i="2"/>
  <c r="AX451" i="2"/>
  <c r="AF451" i="2"/>
  <c r="AV451" i="2"/>
  <c r="Q451" i="2"/>
  <c r="AG451" i="2"/>
  <c r="AW451" i="2"/>
  <c r="V451" i="2"/>
  <c r="AL451" i="2"/>
  <c r="O449" i="2"/>
  <c r="L450" i="2"/>
  <c r="N450" i="2" s="1"/>
  <c r="O450" i="2" s="1"/>
  <c r="U451" i="2"/>
  <c r="AK451" i="2"/>
  <c r="BA451" i="2"/>
  <c r="Z451" i="2"/>
  <c r="AP451" i="2"/>
  <c r="B453" i="2"/>
  <c r="P452" i="2"/>
  <c r="M452" i="2" s="1"/>
  <c r="I452" i="2"/>
  <c r="J452" i="2"/>
  <c r="Y451" i="2"/>
  <c r="AO451" i="2"/>
  <c r="H451" i="2"/>
  <c r="AD451" i="2"/>
  <c r="AT451" i="2"/>
  <c r="K452" i="2" l="1"/>
  <c r="C453" i="2"/>
  <c r="D453" i="2"/>
  <c r="AM452" i="2"/>
  <c r="W452" i="2"/>
  <c r="AE452" i="2"/>
  <c r="S452" i="2"/>
  <c r="AI452" i="2"/>
  <c r="AY452" i="2"/>
  <c r="AB452" i="2"/>
  <c r="AR452" i="2"/>
  <c r="AC452" i="2"/>
  <c r="AS452" i="2"/>
  <c r="R452" i="2"/>
  <c r="AH452" i="2"/>
  <c r="AX452" i="2"/>
  <c r="AF452" i="2"/>
  <c r="AV452" i="2"/>
  <c r="Q452" i="2"/>
  <c r="AG452" i="2"/>
  <c r="AW452" i="2"/>
  <c r="V452" i="2"/>
  <c r="AL452" i="2"/>
  <c r="L451" i="2"/>
  <c r="N451" i="2" s="1"/>
  <c r="AA452" i="2"/>
  <c r="AQ452" i="2"/>
  <c r="T452" i="2"/>
  <c r="AJ452" i="2"/>
  <c r="AZ452" i="2"/>
  <c r="U452" i="2"/>
  <c r="AK452" i="2"/>
  <c r="BA452" i="2"/>
  <c r="Z452" i="2"/>
  <c r="AP452" i="2"/>
  <c r="AU452" i="2"/>
  <c r="X452" i="2"/>
  <c r="AN452" i="2"/>
  <c r="B454" i="2"/>
  <c r="P453" i="2"/>
  <c r="M453" i="2" s="1"/>
  <c r="I453" i="2"/>
  <c r="J453" i="2"/>
  <c r="Y452" i="2"/>
  <c r="AO452" i="2"/>
  <c r="H452" i="2"/>
  <c r="AD452" i="2"/>
  <c r="AT452" i="2"/>
  <c r="K453" i="2" l="1"/>
  <c r="AM453" i="2"/>
  <c r="D454" i="2"/>
  <c r="C454" i="2"/>
  <c r="W453" i="2"/>
  <c r="L452" i="2"/>
  <c r="N452" i="2" s="1"/>
  <c r="AA453" i="2"/>
  <c r="AQ453" i="2"/>
  <c r="T453" i="2"/>
  <c r="AJ453" i="2"/>
  <c r="AZ453" i="2"/>
  <c r="U453" i="2"/>
  <c r="AK453" i="2"/>
  <c r="BA453" i="2"/>
  <c r="Z453" i="2"/>
  <c r="AP453" i="2"/>
  <c r="AE453" i="2"/>
  <c r="AU453" i="2"/>
  <c r="X453" i="2"/>
  <c r="AN453" i="2"/>
  <c r="B455" i="2"/>
  <c r="P454" i="2"/>
  <c r="M454" i="2" s="1"/>
  <c r="J454" i="2"/>
  <c r="I454" i="2"/>
  <c r="Y453" i="2"/>
  <c r="AO453" i="2"/>
  <c r="H453" i="2"/>
  <c r="AD453" i="2"/>
  <c r="AT453" i="2"/>
  <c r="O451" i="2"/>
  <c r="S453" i="2"/>
  <c r="AI453" i="2"/>
  <c r="AY453" i="2"/>
  <c r="AB453" i="2"/>
  <c r="AR453" i="2"/>
  <c r="AC453" i="2"/>
  <c r="AS453" i="2"/>
  <c r="R453" i="2"/>
  <c r="AH453" i="2"/>
  <c r="AX453" i="2"/>
  <c r="AF453" i="2"/>
  <c r="AV453" i="2"/>
  <c r="Q453" i="2"/>
  <c r="AG453" i="2"/>
  <c r="AW453" i="2"/>
  <c r="V453" i="2"/>
  <c r="AL453" i="2"/>
  <c r="K454" i="2" l="1"/>
  <c r="W454" i="2"/>
  <c r="AU454" i="2"/>
  <c r="D455" i="2"/>
  <c r="C455" i="2"/>
  <c r="AA454" i="2"/>
  <c r="AE454" i="2"/>
  <c r="S454" i="2"/>
  <c r="AI454" i="2"/>
  <c r="AQ454" i="2"/>
  <c r="X454" i="2"/>
  <c r="AM454" i="2"/>
  <c r="T454" i="2"/>
  <c r="Y454" i="2"/>
  <c r="AN454" i="2"/>
  <c r="L453" i="2"/>
  <c r="N453" i="2" s="1"/>
  <c r="AJ454" i="2"/>
  <c r="AZ454" i="2"/>
  <c r="U454" i="2"/>
  <c r="AK454" i="2"/>
  <c r="BA454" i="2"/>
  <c r="Z454" i="2"/>
  <c r="AP454" i="2"/>
  <c r="B456" i="2"/>
  <c r="P455" i="2"/>
  <c r="M455" i="2" s="1"/>
  <c r="I455" i="2"/>
  <c r="J455" i="2"/>
  <c r="AO454" i="2"/>
  <c r="H454" i="2"/>
  <c r="AD454" i="2"/>
  <c r="AT454" i="2"/>
  <c r="AY454" i="2"/>
  <c r="AB454" i="2"/>
  <c r="AR454" i="2"/>
  <c r="AC454" i="2"/>
  <c r="AS454" i="2"/>
  <c r="R454" i="2"/>
  <c r="AH454" i="2"/>
  <c r="AX454" i="2"/>
  <c r="O452" i="2"/>
  <c r="AF454" i="2"/>
  <c r="AV454" i="2"/>
  <c r="Q454" i="2"/>
  <c r="AG454" i="2"/>
  <c r="AW454" i="2"/>
  <c r="V454" i="2"/>
  <c r="AL454" i="2"/>
  <c r="K455" i="2" l="1"/>
  <c r="D456" i="2"/>
  <c r="C456" i="2"/>
  <c r="AM455" i="2"/>
  <c r="W455" i="2"/>
  <c r="AQ455" i="2"/>
  <c r="AA455" i="2"/>
  <c r="T455" i="2"/>
  <c r="L454" i="2"/>
  <c r="N454" i="2" s="1"/>
  <c r="AE455" i="2"/>
  <c r="AU455" i="2"/>
  <c r="X455" i="2"/>
  <c r="AN455" i="2"/>
  <c r="B457" i="2"/>
  <c r="P456" i="2"/>
  <c r="M456" i="2" s="1"/>
  <c r="I456" i="2"/>
  <c r="J456" i="2"/>
  <c r="Y455" i="2"/>
  <c r="AO455" i="2"/>
  <c r="H455" i="2"/>
  <c r="AD455" i="2"/>
  <c r="AT455" i="2"/>
  <c r="S455" i="2"/>
  <c r="AI455" i="2"/>
  <c r="AY455" i="2"/>
  <c r="AB455" i="2"/>
  <c r="AR455" i="2"/>
  <c r="AC455" i="2"/>
  <c r="AS455" i="2"/>
  <c r="R455" i="2"/>
  <c r="AH455" i="2"/>
  <c r="AX455" i="2"/>
  <c r="AF455" i="2"/>
  <c r="AV455" i="2"/>
  <c r="Q455" i="2"/>
  <c r="AG455" i="2"/>
  <c r="AW455" i="2"/>
  <c r="V455" i="2"/>
  <c r="AL455" i="2"/>
  <c r="O453" i="2"/>
  <c r="AJ455" i="2"/>
  <c r="AZ455" i="2"/>
  <c r="U455" i="2"/>
  <c r="AK455" i="2"/>
  <c r="BA455" i="2"/>
  <c r="Z455" i="2"/>
  <c r="AP455" i="2"/>
  <c r="K456" i="2" l="1"/>
  <c r="C457" i="2"/>
  <c r="D457" i="2"/>
  <c r="W456" i="2"/>
  <c r="AA456" i="2"/>
  <c r="AQ456" i="2"/>
  <c r="AM456" i="2"/>
  <c r="S456" i="2"/>
  <c r="AI456" i="2"/>
  <c r="AY456" i="2"/>
  <c r="AB456" i="2"/>
  <c r="AR456" i="2"/>
  <c r="AC456" i="2"/>
  <c r="AS456" i="2"/>
  <c r="R456" i="2"/>
  <c r="AH456" i="2"/>
  <c r="AX456" i="2"/>
  <c r="AF456" i="2"/>
  <c r="AV456" i="2"/>
  <c r="Q456" i="2"/>
  <c r="AG456" i="2"/>
  <c r="AW456" i="2"/>
  <c r="V456" i="2"/>
  <c r="AL456" i="2"/>
  <c r="L455" i="2"/>
  <c r="N455" i="2" s="1"/>
  <c r="T456" i="2"/>
  <c r="AJ456" i="2"/>
  <c r="AZ456" i="2"/>
  <c r="U456" i="2"/>
  <c r="AK456" i="2"/>
  <c r="BA456" i="2"/>
  <c r="Z456" i="2"/>
  <c r="AP456" i="2"/>
  <c r="O454" i="2"/>
  <c r="AE456" i="2"/>
  <c r="AU456" i="2"/>
  <c r="X456" i="2"/>
  <c r="AN456" i="2"/>
  <c r="B458" i="2"/>
  <c r="P457" i="2"/>
  <c r="M457" i="2" s="1"/>
  <c r="I457" i="2"/>
  <c r="J457" i="2"/>
  <c r="Y456" i="2"/>
  <c r="AO456" i="2"/>
  <c r="H456" i="2"/>
  <c r="AD456" i="2"/>
  <c r="AT456" i="2"/>
  <c r="K457" i="2" l="1"/>
  <c r="D458" i="2"/>
  <c r="C458" i="2"/>
  <c r="AA457" i="2"/>
  <c r="AE457" i="2"/>
  <c r="W457" i="2"/>
  <c r="AQ457" i="2"/>
  <c r="S457" i="2"/>
  <c r="AI457" i="2"/>
  <c r="AM457" i="2"/>
  <c r="AJ457" i="2"/>
  <c r="T457" i="2"/>
  <c r="L456" i="2"/>
  <c r="N456" i="2" s="1"/>
  <c r="AZ457" i="2"/>
  <c r="U457" i="2"/>
  <c r="AK457" i="2"/>
  <c r="BA457" i="2"/>
  <c r="Z457" i="2"/>
  <c r="AP457" i="2"/>
  <c r="AU457" i="2"/>
  <c r="X457" i="2"/>
  <c r="AN457" i="2"/>
  <c r="B459" i="2"/>
  <c r="P458" i="2"/>
  <c r="M458" i="2" s="1"/>
  <c r="J458" i="2"/>
  <c r="I458" i="2"/>
  <c r="Y457" i="2"/>
  <c r="AO457" i="2"/>
  <c r="H457" i="2"/>
  <c r="AD457" i="2"/>
  <c r="AT457" i="2"/>
  <c r="O455" i="2"/>
  <c r="AY457" i="2"/>
  <c r="AB457" i="2"/>
  <c r="AR457" i="2"/>
  <c r="AC457" i="2"/>
  <c r="AS457" i="2"/>
  <c r="R457" i="2"/>
  <c r="AH457" i="2"/>
  <c r="AX457" i="2"/>
  <c r="AF457" i="2"/>
  <c r="AV457" i="2"/>
  <c r="Q457" i="2"/>
  <c r="AG457" i="2"/>
  <c r="AW457" i="2"/>
  <c r="V457" i="2"/>
  <c r="AL457" i="2"/>
  <c r="K458" i="2" l="1"/>
  <c r="D459" i="2"/>
  <c r="C459" i="2"/>
  <c r="W458" i="2"/>
  <c r="AM458" i="2"/>
  <c r="AF458" i="2"/>
  <c r="AV458" i="2"/>
  <c r="Q458" i="2"/>
  <c r="AG458" i="2"/>
  <c r="AW458" i="2"/>
  <c r="V458" i="2"/>
  <c r="AL458" i="2"/>
  <c r="L457" i="2"/>
  <c r="AA458" i="2"/>
  <c r="AQ458" i="2"/>
  <c r="T458" i="2"/>
  <c r="AJ458" i="2"/>
  <c r="AZ458" i="2"/>
  <c r="U458" i="2"/>
  <c r="AK458" i="2"/>
  <c r="BA458" i="2"/>
  <c r="Z458" i="2"/>
  <c r="AP458" i="2"/>
  <c r="AE458" i="2"/>
  <c r="AU458" i="2"/>
  <c r="X458" i="2"/>
  <c r="AN458" i="2"/>
  <c r="B460" i="2"/>
  <c r="P459" i="2"/>
  <c r="M459" i="2" s="1"/>
  <c r="I459" i="2"/>
  <c r="J459" i="2"/>
  <c r="Y458" i="2"/>
  <c r="AO458" i="2"/>
  <c r="H458" i="2"/>
  <c r="AD458" i="2"/>
  <c r="AT458" i="2"/>
  <c r="O456" i="2"/>
  <c r="S458" i="2"/>
  <c r="AI458" i="2"/>
  <c r="AY458" i="2"/>
  <c r="AB458" i="2"/>
  <c r="AR458" i="2"/>
  <c r="AC458" i="2"/>
  <c r="AS458" i="2"/>
  <c r="R458" i="2"/>
  <c r="AH458" i="2"/>
  <c r="AX458" i="2"/>
  <c r="K459" i="2" l="1"/>
  <c r="D460" i="2"/>
  <c r="C460" i="2"/>
  <c r="AM459" i="2"/>
  <c r="W459" i="2"/>
  <c r="S459" i="2"/>
  <c r="AI459" i="2"/>
  <c r="AY459" i="2"/>
  <c r="AJ459" i="2"/>
  <c r="AR459" i="2"/>
  <c r="AA459" i="2"/>
  <c r="AQ459" i="2"/>
  <c r="T459" i="2"/>
  <c r="AZ459" i="2"/>
  <c r="AE459" i="2"/>
  <c r="AU459" i="2"/>
  <c r="AB459" i="2"/>
  <c r="AF459" i="2"/>
  <c r="AV459" i="2"/>
  <c r="Q459" i="2"/>
  <c r="AG459" i="2"/>
  <c r="AW459" i="2"/>
  <c r="V459" i="2"/>
  <c r="AL459" i="2"/>
  <c r="N457" i="2"/>
  <c r="O457" i="2" s="1"/>
  <c r="U459" i="2"/>
  <c r="AK459" i="2"/>
  <c r="BA459" i="2"/>
  <c r="Z459" i="2"/>
  <c r="AP459" i="2"/>
  <c r="L458" i="2"/>
  <c r="N458" i="2" s="1"/>
  <c r="X459" i="2"/>
  <c r="AN459" i="2"/>
  <c r="B461" i="2"/>
  <c r="P460" i="2"/>
  <c r="M460" i="2" s="1"/>
  <c r="I460" i="2"/>
  <c r="J460" i="2"/>
  <c r="Y459" i="2"/>
  <c r="AO459" i="2"/>
  <c r="H459" i="2"/>
  <c r="AD459" i="2"/>
  <c r="AT459" i="2"/>
  <c r="AC459" i="2"/>
  <c r="AS459" i="2"/>
  <c r="R459" i="2"/>
  <c r="AH459" i="2"/>
  <c r="AX459" i="2"/>
  <c r="K460" i="2" l="1"/>
  <c r="C461" i="2"/>
  <c r="D461" i="2"/>
  <c r="S460" i="2"/>
  <c r="AI460" i="2"/>
  <c r="AY460" i="2"/>
  <c r="W460" i="2"/>
  <c r="AF460" i="2"/>
  <c r="AM460" i="2"/>
  <c r="O458" i="2"/>
  <c r="AB460" i="2"/>
  <c r="AR460" i="2"/>
  <c r="AC460" i="2"/>
  <c r="AS460" i="2"/>
  <c r="R460" i="2"/>
  <c r="AH460" i="2"/>
  <c r="AX460" i="2"/>
  <c r="AV460" i="2"/>
  <c r="Q460" i="2"/>
  <c r="AG460" i="2"/>
  <c r="AW460" i="2"/>
  <c r="V460" i="2"/>
  <c r="AL460" i="2"/>
  <c r="L459" i="2"/>
  <c r="N459" i="2" s="1"/>
  <c r="AA460" i="2"/>
  <c r="AQ460" i="2"/>
  <c r="T460" i="2"/>
  <c r="AJ460" i="2"/>
  <c r="AZ460" i="2"/>
  <c r="U460" i="2"/>
  <c r="AK460" i="2"/>
  <c r="BA460" i="2"/>
  <c r="Z460" i="2"/>
  <c r="AP460" i="2"/>
  <c r="AE460" i="2"/>
  <c r="AU460" i="2"/>
  <c r="X460" i="2"/>
  <c r="AN460" i="2"/>
  <c r="B462" i="2"/>
  <c r="P461" i="2"/>
  <c r="M461" i="2" s="1"/>
  <c r="I461" i="2"/>
  <c r="J461" i="2"/>
  <c r="Y460" i="2"/>
  <c r="AO460" i="2"/>
  <c r="H460" i="2"/>
  <c r="AD460" i="2"/>
  <c r="AT460" i="2"/>
  <c r="K461" i="2" l="1"/>
  <c r="AM461" i="2"/>
  <c r="D462" i="2"/>
  <c r="C462" i="2"/>
  <c r="AE461" i="2"/>
  <c r="S461" i="2"/>
  <c r="AA461" i="2"/>
  <c r="AU461" i="2"/>
  <c r="T461" i="2"/>
  <c r="W461" i="2"/>
  <c r="AQ461" i="2"/>
  <c r="AI461" i="2"/>
  <c r="AY461" i="2"/>
  <c r="AJ461" i="2"/>
  <c r="AR461" i="2"/>
  <c r="U461" i="2"/>
  <c r="AZ461" i="2"/>
  <c r="AB461" i="2"/>
  <c r="L460" i="2"/>
  <c r="N460" i="2" s="1"/>
  <c r="X461" i="2"/>
  <c r="AN461" i="2"/>
  <c r="B463" i="2"/>
  <c r="P462" i="2"/>
  <c r="M462" i="2" s="1"/>
  <c r="J462" i="2"/>
  <c r="I462" i="2"/>
  <c r="Y461" i="2"/>
  <c r="AO461" i="2"/>
  <c r="H461" i="2"/>
  <c r="AD461" i="2"/>
  <c r="AT461" i="2"/>
  <c r="AC461" i="2"/>
  <c r="AS461" i="2"/>
  <c r="R461" i="2"/>
  <c r="AH461" i="2"/>
  <c r="AX461" i="2"/>
  <c r="O459" i="2"/>
  <c r="AF461" i="2"/>
  <c r="AV461" i="2"/>
  <c r="Q461" i="2"/>
  <c r="AG461" i="2"/>
  <c r="AW461" i="2"/>
  <c r="V461" i="2"/>
  <c r="AL461" i="2"/>
  <c r="AK461" i="2"/>
  <c r="BA461" i="2"/>
  <c r="Z461" i="2"/>
  <c r="AP461" i="2"/>
  <c r="K462" i="2" l="1"/>
  <c r="D463" i="2"/>
  <c r="C463" i="2"/>
  <c r="AE462" i="2"/>
  <c r="AM462" i="2"/>
  <c r="W462" i="2"/>
  <c r="L461" i="2"/>
  <c r="N461" i="2" s="1"/>
  <c r="AA462" i="2"/>
  <c r="AQ462" i="2"/>
  <c r="T462" i="2"/>
  <c r="AJ462" i="2"/>
  <c r="AZ462" i="2"/>
  <c r="U462" i="2"/>
  <c r="AK462" i="2"/>
  <c r="BA462" i="2"/>
  <c r="Z462" i="2"/>
  <c r="AP462" i="2"/>
  <c r="AU462" i="2"/>
  <c r="X462" i="2"/>
  <c r="AN462" i="2"/>
  <c r="B464" i="2"/>
  <c r="P463" i="2"/>
  <c r="M463" i="2" s="1"/>
  <c r="I463" i="2"/>
  <c r="J463" i="2"/>
  <c r="Y462" i="2"/>
  <c r="AO462" i="2"/>
  <c r="H462" i="2"/>
  <c r="AD462" i="2"/>
  <c r="AT462" i="2"/>
  <c r="S462" i="2"/>
  <c r="AI462" i="2"/>
  <c r="AY462" i="2"/>
  <c r="AB462" i="2"/>
  <c r="AR462" i="2"/>
  <c r="AC462" i="2"/>
  <c r="AS462" i="2"/>
  <c r="R462" i="2"/>
  <c r="AH462" i="2"/>
  <c r="AX462" i="2"/>
  <c r="O460" i="2"/>
  <c r="AF462" i="2"/>
  <c r="AV462" i="2"/>
  <c r="Q462" i="2"/>
  <c r="AG462" i="2"/>
  <c r="AW462" i="2"/>
  <c r="V462" i="2"/>
  <c r="AL462" i="2"/>
  <c r="K463" i="2" l="1"/>
  <c r="W463" i="2"/>
  <c r="S463" i="2"/>
  <c r="AE463" i="2"/>
  <c r="AA463" i="2"/>
  <c r="AI463" i="2"/>
  <c r="AQ463" i="2"/>
  <c r="D464" i="2"/>
  <c r="C464" i="2"/>
  <c r="AU463" i="2"/>
  <c r="AM463" i="2"/>
  <c r="X463" i="2"/>
  <c r="AJ463" i="2"/>
  <c r="AN463" i="2"/>
  <c r="U463" i="2"/>
  <c r="T463" i="2"/>
  <c r="AZ463" i="2"/>
  <c r="AF463" i="2"/>
  <c r="AV463" i="2"/>
  <c r="Q463" i="2"/>
  <c r="AG463" i="2"/>
  <c r="AW463" i="2"/>
  <c r="V463" i="2"/>
  <c r="AL463" i="2"/>
  <c r="L462" i="2"/>
  <c r="AK463" i="2"/>
  <c r="BA463" i="2"/>
  <c r="Z463" i="2"/>
  <c r="AP463" i="2"/>
  <c r="B465" i="2"/>
  <c r="P464" i="2"/>
  <c r="M464" i="2" s="1"/>
  <c r="I464" i="2"/>
  <c r="J464" i="2"/>
  <c r="Y463" i="2"/>
  <c r="AO463" i="2"/>
  <c r="H463" i="2"/>
  <c r="AD463" i="2"/>
  <c r="AT463" i="2"/>
  <c r="O461" i="2"/>
  <c r="AY463" i="2"/>
  <c r="AB463" i="2"/>
  <c r="AR463" i="2"/>
  <c r="AC463" i="2"/>
  <c r="AS463" i="2"/>
  <c r="R463" i="2"/>
  <c r="AH463" i="2"/>
  <c r="AX463" i="2"/>
  <c r="K464" i="2" l="1"/>
  <c r="C465" i="2"/>
  <c r="D465" i="2"/>
  <c r="AB464" i="2"/>
  <c r="S464" i="2"/>
  <c r="W464" i="2"/>
  <c r="AY464" i="2"/>
  <c r="AC464" i="2"/>
  <c r="AI464" i="2"/>
  <c r="AH464" i="2"/>
  <c r="R464" i="2"/>
  <c r="AR464" i="2"/>
  <c r="AS464" i="2"/>
  <c r="AX464" i="2"/>
  <c r="AF464" i="2"/>
  <c r="AV464" i="2"/>
  <c r="AW464" i="2"/>
  <c r="AE464" i="2"/>
  <c r="AU464" i="2"/>
  <c r="X464" i="2"/>
  <c r="AN464" i="2"/>
  <c r="B466" i="2"/>
  <c r="P465" i="2"/>
  <c r="M465" i="2" s="1"/>
  <c r="I465" i="2"/>
  <c r="J465" i="2"/>
  <c r="Y464" i="2"/>
  <c r="AO464" i="2"/>
  <c r="H464" i="2"/>
  <c r="AD464" i="2"/>
  <c r="AT464" i="2"/>
  <c r="N462" i="2"/>
  <c r="O462" i="2" s="1"/>
  <c r="AG464" i="2"/>
  <c r="V464" i="2"/>
  <c r="AL464" i="2"/>
  <c r="AM464" i="2"/>
  <c r="Q464" i="2"/>
  <c r="L463" i="2"/>
  <c r="N463" i="2" s="1"/>
  <c r="O463" i="2" s="1"/>
  <c r="AA464" i="2"/>
  <c r="AQ464" i="2"/>
  <c r="T464" i="2"/>
  <c r="AJ464" i="2"/>
  <c r="AZ464" i="2"/>
  <c r="U464" i="2"/>
  <c r="AK464" i="2"/>
  <c r="BA464" i="2"/>
  <c r="Z464" i="2"/>
  <c r="AP464" i="2"/>
  <c r="K465" i="2" l="1"/>
  <c r="D466" i="2"/>
  <c r="C466" i="2"/>
  <c r="W465" i="2"/>
  <c r="Q465" i="2"/>
  <c r="AW465" i="2"/>
  <c r="V465" i="2"/>
  <c r="L464" i="2"/>
  <c r="N464" i="2" s="1"/>
  <c r="AA465" i="2"/>
  <c r="AQ465" i="2"/>
  <c r="T465" i="2"/>
  <c r="AJ465" i="2"/>
  <c r="AZ465" i="2"/>
  <c r="U465" i="2"/>
  <c r="AK465" i="2"/>
  <c r="BA465" i="2"/>
  <c r="Z465" i="2"/>
  <c r="AP465" i="2"/>
  <c r="AM465" i="2"/>
  <c r="AV465" i="2"/>
  <c r="AG465" i="2"/>
  <c r="AL465" i="2"/>
  <c r="AE465" i="2"/>
  <c r="AU465" i="2"/>
  <c r="X465" i="2"/>
  <c r="AN465" i="2"/>
  <c r="B467" i="2"/>
  <c r="P466" i="2"/>
  <c r="M466" i="2" s="1"/>
  <c r="J466" i="2"/>
  <c r="I466" i="2"/>
  <c r="Y465" i="2"/>
  <c r="AO465" i="2"/>
  <c r="H465" i="2"/>
  <c r="AD465" i="2"/>
  <c r="AT465" i="2"/>
  <c r="AF465" i="2"/>
  <c r="S465" i="2"/>
  <c r="AI465" i="2"/>
  <c r="AY465" i="2"/>
  <c r="AB465" i="2"/>
  <c r="AR465" i="2"/>
  <c r="AC465" i="2"/>
  <c r="AS465" i="2"/>
  <c r="R465" i="2"/>
  <c r="AH465" i="2"/>
  <c r="AX465" i="2"/>
  <c r="K466" i="2" l="1"/>
  <c r="D467" i="2"/>
  <c r="C467" i="2"/>
  <c r="AM466" i="2"/>
  <c r="W466" i="2"/>
  <c r="O464" i="2"/>
  <c r="Q466" i="2"/>
  <c r="AW466" i="2"/>
  <c r="AL466" i="2"/>
  <c r="L465" i="2"/>
  <c r="AA466" i="2"/>
  <c r="AQ466" i="2"/>
  <c r="T466" i="2"/>
  <c r="AJ466" i="2"/>
  <c r="AZ466" i="2"/>
  <c r="U466" i="2"/>
  <c r="AK466" i="2"/>
  <c r="BA466" i="2"/>
  <c r="Z466" i="2"/>
  <c r="AP466" i="2"/>
  <c r="AF466" i="2"/>
  <c r="AV466" i="2"/>
  <c r="AG466" i="2"/>
  <c r="V466" i="2"/>
  <c r="AE466" i="2"/>
  <c r="AU466" i="2"/>
  <c r="X466" i="2"/>
  <c r="AN466" i="2"/>
  <c r="B468" i="2"/>
  <c r="P467" i="2"/>
  <c r="M467" i="2" s="1"/>
  <c r="I467" i="2"/>
  <c r="J467" i="2"/>
  <c r="Y466" i="2"/>
  <c r="AO466" i="2"/>
  <c r="H466" i="2"/>
  <c r="AD466" i="2"/>
  <c r="AT466" i="2"/>
  <c r="S466" i="2"/>
  <c r="AI466" i="2"/>
  <c r="AY466" i="2"/>
  <c r="AB466" i="2"/>
  <c r="AR466" i="2"/>
  <c r="AC466" i="2"/>
  <c r="AS466" i="2"/>
  <c r="R466" i="2"/>
  <c r="AH466" i="2"/>
  <c r="AX466" i="2"/>
  <c r="K467" i="2" l="1"/>
  <c r="D468" i="2"/>
  <c r="C468" i="2"/>
  <c r="W467" i="2"/>
  <c r="AM467" i="2"/>
  <c r="N465" i="2"/>
  <c r="O465" i="2" s="1"/>
  <c r="AF467" i="2"/>
  <c r="V467" i="2"/>
  <c r="L466" i="2"/>
  <c r="N466" i="2" s="1"/>
  <c r="O466" i="2" s="1"/>
  <c r="AA467" i="2"/>
  <c r="AQ467" i="2"/>
  <c r="T467" i="2"/>
  <c r="AJ467" i="2"/>
  <c r="AZ467" i="2"/>
  <c r="U467" i="2"/>
  <c r="AK467" i="2"/>
  <c r="BA467" i="2"/>
  <c r="Z467" i="2"/>
  <c r="AP467" i="2"/>
  <c r="AV467" i="2"/>
  <c r="AG467" i="2"/>
  <c r="AL467" i="2"/>
  <c r="AE467" i="2"/>
  <c r="AU467" i="2"/>
  <c r="X467" i="2"/>
  <c r="AN467" i="2"/>
  <c r="B469" i="2"/>
  <c r="P468" i="2"/>
  <c r="M468" i="2" s="1"/>
  <c r="I468" i="2"/>
  <c r="J468" i="2"/>
  <c r="Y467" i="2"/>
  <c r="AO467" i="2"/>
  <c r="H467" i="2"/>
  <c r="AD467" i="2"/>
  <c r="AT467" i="2"/>
  <c r="Q467" i="2"/>
  <c r="AW467" i="2"/>
  <c r="S467" i="2"/>
  <c r="AI467" i="2"/>
  <c r="AY467" i="2"/>
  <c r="AB467" i="2"/>
  <c r="AR467" i="2"/>
  <c r="AC467" i="2"/>
  <c r="AS467" i="2"/>
  <c r="R467" i="2"/>
  <c r="AH467" i="2"/>
  <c r="AX467" i="2"/>
  <c r="K468" i="2" l="1"/>
  <c r="C469" i="2"/>
  <c r="D469" i="2"/>
  <c r="AM468" i="2"/>
  <c r="W468" i="2"/>
  <c r="AA468" i="2"/>
  <c r="AN468" i="2"/>
  <c r="U468" i="2"/>
  <c r="AD468" i="2"/>
  <c r="AQ468" i="2"/>
  <c r="T468" i="2"/>
  <c r="AZ468" i="2"/>
  <c r="Y468" i="2"/>
  <c r="AT468" i="2"/>
  <c r="AE468" i="2"/>
  <c r="AU468" i="2"/>
  <c r="X468" i="2"/>
  <c r="AO468" i="2"/>
  <c r="S468" i="2"/>
  <c r="AI468" i="2"/>
  <c r="AY468" i="2"/>
  <c r="AJ468" i="2"/>
  <c r="B470" i="2"/>
  <c r="P469" i="2"/>
  <c r="M469" i="2" s="1"/>
  <c r="I469" i="2"/>
  <c r="J469" i="2"/>
  <c r="AB468" i="2"/>
  <c r="AR468" i="2"/>
  <c r="AC468" i="2"/>
  <c r="AS468" i="2"/>
  <c r="R468" i="2"/>
  <c r="AH468" i="2"/>
  <c r="AX468" i="2"/>
  <c r="H468" i="2"/>
  <c r="AF468" i="2"/>
  <c r="AV468" i="2"/>
  <c r="Q468" i="2"/>
  <c r="AG468" i="2"/>
  <c r="AW468" i="2"/>
  <c r="V468" i="2"/>
  <c r="AL468" i="2"/>
  <c r="L467" i="2"/>
  <c r="N467" i="2" s="1"/>
  <c r="O467" i="2" s="1"/>
  <c r="AK468" i="2"/>
  <c r="BA468" i="2"/>
  <c r="Z468" i="2"/>
  <c r="AP468" i="2"/>
  <c r="K469" i="2" l="1"/>
  <c r="D470" i="2"/>
  <c r="C470" i="2"/>
  <c r="AE469" i="2"/>
  <c r="AA469" i="2"/>
  <c r="S469" i="2"/>
  <c r="W469" i="2"/>
  <c r="AM469" i="2"/>
  <c r="AQ469" i="2"/>
  <c r="T469" i="2"/>
  <c r="AU469" i="2"/>
  <c r="AJ469" i="2"/>
  <c r="AI469" i="2"/>
  <c r="AY469" i="2"/>
  <c r="AR469" i="2"/>
  <c r="AB469" i="2"/>
  <c r="L468" i="2"/>
  <c r="N468" i="2" s="1"/>
  <c r="AF469" i="2"/>
  <c r="AV469" i="2"/>
  <c r="Q469" i="2"/>
  <c r="AG469" i="2"/>
  <c r="AW469" i="2"/>
  <c r="V469" i="2"/>
  <c r="AL469" i="2"/>
  <c r="AZ469" i="2"/>
  <c r="U469" i="2"/>
  <c r="AK469" i="2"/>
  <c r="BA469" i="2"/>
  <c r="Z469" i="2"/>
  <c r="AP469" i="2"/>
  <c r="X469" i="2"/>
  <c r="AN469" i="2"/>
  <c r="B471" i="2"/>
  <c r="P470" i="2"/>
  <c r="M470" i="2" s="1"/>
  <c r="J470" i="2"/>
  <c r="I470" i="2"/>
  <c r="Y469" i="2"/>
  <c r="AO469" i="2"/>
  <c r="H469" i="2"/>
  <c r="AD469" i="2"/>
  <c r="AT469" i="2"/>
  <c r="AC469" i="2"/>
  <c r="AS469" i="2"/>
  <c r="R469" i="2"/>
  <c r="AH469" i="2"/>
  <c r="AX469" i="2"/>
  <c r="K470" i="2" l="1"/>
  <c r="D471" i="2"/>
  <c r="C471" i="2"/>
  <c r="S470" i="2"/>
  <c r="AM470" i="2"/>
  <c r="AA470" i="2"/>
  <c r="W470" i="2"/>
  <c r="AE470" i="2"/>
  <c r="AU470" i="2"/>
  <c r="AI470" i="2"/>
  <c r="AY470" i="2"/>
  <c r="AQ470" i="2"/>
  <c r="AB470" i="2"/>
  <c r="AJ470" i="2"/>
  <c r="AR470" i="2"/>
  <c r="U470" i="2"/>
  <c r="T470" i="2"/>
  <c r="AZ470" i="2"/>
  <c r="L469" i="2"/>
  <c r="N469" i="2" s="1"/>
  <c r="X470" i="2"/>
  <c r="AN470" i="2"/>
  <c r="B472" i="2"/>
  <c r="P471" i="2"/>
  <c r="M471" i="2" s="1"/>
  <c r="I471" i="2"/>
  <c r="J471" i="2"/>
  <c r="Y470" i="2"/>
  <c r="AO470" i="2"/>
  <c r="H470" i="2"/>
  <c r="AD470" i="2"/>
  <c r="AT470" i="2"/>
  <c r="AC470" i="2"/>
  <c r="AS470" i="2"/>
  <c r="R470" i="2"/>
  <c r="AH470" i="2"/>
  <c r="AX470" i="2"/>
  <c r="AF470" i="2"/>
  <c r="AV470" i="2"/>
  <c r="Q470" i="2"/>
  <c r="AG470" i="2"/>
  <c r="AW470" i="2"/>
  <c r="V470" i="2"/>
  <c r="AL470" i="2"/>
  <c r="O468" i="2"/>
  <c r="AK470" i="2"/>
  <c r="BA470" i="2"/>
  <c r="Z470" i="2"/>
  <c r="AP470" i="2"/>
  <c r="K471" i="2" l="1"/>
  <c r="AA471" i="2"/>
  <c r="AI471" i="2"/>
  <c r="S471" i="2"/>
  <c r="D472" i="2"/>
  <c r="C472" i="2"/>
  <c r="AY471" i="2"/>
  <c r="AM471" i="2"/>
  <c r="AB471" i="2"/>
  <c r="W471" i="2"/>
  <c r="AQ471" i="2"/>
  <c r="AE471" i="2"/>
  <c r="AU471" i="2"/>
  <c r="X471" i="2"/>
  <c r="AN471" i="2"/>
  <c r="AR471" i="2"/>
  <c r="L470" i="2"/>
  <c r="N470" i="2" s="1"/>
  <c r="T471" i="2"/>
  <c r="AJ471" i="2"/>
  <c r="AZ471" i="2"/>
  <c r="U471" i="2"/>
  <c r="AK471" i="2"/>
  <c r="BA471" i="2"/>
  <c r="Z471" i="2"/>
  <c r="AP471" i="2"/>
  <c r="B473" i="2"/>
  <c r="P472" i="2"/>
  <c r="M472" i="2" s="1"/>
  <c r="I472" i="2"/>
  <c r="J472" i="2"/>
  <c r="Y471" i="2"/>
  <c r="AO471" i="2"/>
  <c r="H471" i="2"/>
  <c r="AD471" i="2"/>
  <c r="AT471" i="2"/>
  <c r="AC471" i="2"/>
  <c r="AS471" i="2"/>
  <c r="R471" i="2"/>
  <c r="AH471" i="2"/>
  <c r="AX471" i="2"/>
  <c r="O469" i="2"/>
  <c r="AF471" i="2"/>
  <c r="AV471" i="2"/>
  <c r="Q471" i="2"/>
  <c r="AG471" i="2"/>
  <c r="AW471" i="2"/>
  <c r="V471" i="2"/>
  <c r="AL471" i="2"/>
  <c r="K472" i="2" l="1"/>
  <c r="C473" i="2"/>
  <c r="D473" i="2"/>
  <c r="S472" i="2"/>
  <c r="AI472" i="2"/>
  <c r="W472" i="2"/>
  <c r="AM472" i="2"/>
  <c r="T472" i="2"/>
  <c r="AA472" i="2"/>
  <c r="AQ472" i="2"/>
  <c r="AZ472" i="2"/>
  <c r="AE472" i="2"/>
  <c r="AU472" i="2"/>
  <c r="AY472" i="2"/>
  <c r="AJ472" i="2"/>
  <c r="AN472" i="2"/>
  <c r="X472" i="2"/>
  <c r="AB472" i="2"/>
  <c r="AR472" i="2"/>
  <c r="AC472" i="2"/>
  <c r="AS472" i="2"/>
  <c r="R472" i="2"/>
  <c r="AH472" i="2"/>
  <c r="AX472" i="2"/>
  <c r="AF472" i="2"/>
  <c r="AV472" i="2"/>
  <c r="Q472" i="2"/>
  <c r="AG472" i="2"/>
  <c r="AW472" i="2"/>
  <c r="V472" i="2"/>
  <c r="AL472" i="2"/>
  <c r="L471" i="2"/>
  <c r="N471" i="2" s="1"/>
  <c r="U472" i="2"/>
  <c r="AK472" i="2"/>
  <c r="BA472" i="2"/>
  <c r="Z472" i="2"/>
  <c r="AP472" i="2"/>
  <c r="O470" i="2"/>
  <c r="B474" i="2"/>
  <c r="P473" i="2"/>
  <c r="M473" i="2" s="1"/>
  <c r="I473" i="2"/>
  <c r="J473" i="2"/>
  <c r="Y472" i="2"/>
  <c r="AO472" i="2"/>
  <c r="H472" i="2"/>
  <c r="AD472" i="2"/>
  <c r="AT472" i="2"/>
  <c r="K473" i="2" l="1"/>
  <c r="D474" i="2"/>
  <c r="C474" i="2"/>
  <c r="AQ473" i="2"/>
  <c r="AE473" i="2"/>
  <c r="W473" i="2"/>
  <c r="AA473" i="2"/>
  <c r="AM473" i="2"/>
  <c r="AZ473" i="2"/>
  <c r="S473" i="2"/>
  <c r="AI473" i="2"/>
  <c r="T473" i="2"/>
  <c r="X473" i="2"/>
  <c r="Y473" i="2"/>
  <c r="AN473" i="2"/>
  <c r="U473" i="2"/>
  <c r="AU473" i="2"/>
  <c r="AJ473" i="2"/>
  <c r="AY473" i="2"/>
  <c r="AB473" i="2"/>
  <c r="AR473" i="2"/>
  <c r="AC473" i="2"/>
  <c r="AS473" i="2"/>
  <c r="R473" i="2"/>
  <c r="AH473" i="2"/>
  <c r="AX473" i="2"/>
  <c r="O471" i="2"/>
  <c r="AF473" i="2"/>
  <c r="AV473" i="2"/>
  <c r="Q473" i="2"/>
  <c r="AG473" i="2"/>
  <c r="AW473" i="2"/>
  <c r="V473" i="2"/>
  <c r="AL473" i="2"/>
  <c r="L472" i="2"/>
  <c r="N472" i="2" s="1"/>
  <c r="AK473" i="2"/>
  <c r="BA473" i="2"/>
  <c r="Z473" i="2"/>
  <c r="AP473" i="2"/>
  <c r="B475" i="2"/>
  <c r="P474" i="2"/>
  <c r="M474" i="2" s="1"/>
  <c r="J474" i="2"/>
  <c r="I474" i="2"/>
  <c r="AO473" i="2"/>
  <c r="H473" i="2"/>
  <c r="AD473" i="2"/>
  <c r="AT473" i="2"/>
  <c r="K474" i="2" l="1"/>
  <c r="D475" i="2"/>
  <c r="C475" i="2"/>
  <c r="AE474" i="2"/>
  <c r="S474" i="2"/>
  <c r="AU474" i="2"/>
  <c r="AI474" i="2"/>
  <c r="AZ474" i="2"/>
  <c r="W474" i="2"/>
  <c r="AM474" i="2"/>
  <c r="T474" i="2"/>
  <c r="AA474" i="2"/>
  <c r="AQ474" i="2"/>
  <c r="AJ474" i="2"/>
  <c r="X474" i="2"/>
  <c r="AN474" i="2"/>
  <c r="L473" i="2"/>
  <c r="N473" i="2" s="1"/>
  <c r="AY474" i="2"/>
  <c r="AB474" i="2"/>
  <c r="AR474" i="2"/>
  <c r="AC474" i="2"/>
  <c r="AS474" i="2"/>
  <c r="R474" i="2"/>
  <c r="AH474" i="2"/>
  <c r="AX474" i="2"/>
  <c r="AF474" i="2"/>
  <c r="AV474" i="2"/>
  <c r="Q474" i="2"/>
  <c r="AG474" i="2"/>
  <c r="AW474" i="2"/>
  <c r="V474" i="2"/>
  <c r="AL474" i="2"/>
  <c r="U474" i="2"/>
  <c r="AK474" i="2"/>
  <c r="BA474" i="2"/>
  <c r="Z474" i="2"/>
  <c r="AP474" i="2"/>
  <c r="O472" i="2"/>
  <c r="B476" i="2"/>
  <c r="P475" i="2"/>
  <c r="M475" i="2" s="1"/>
  <c r="I475" i="2"/>
  <c r="J475" i="2"/>
  <c r="Y474" i="2"/>
  <c r="AO474" i="2"/>
  <c r="H474" i="2"/>
  <c r="AD474" i="2"/>
  <c r="AT474" i="2"/>
  <c r="K475" i="2" l="1"/>
  <c r="D476" i="2"/>
  <c r="C476" i="2"/>
  <c r="AU475" i="2"/>
  <c r="W475" i="2"/>
  <c r="AE475" i="2"/>
  <c r="AM475" i="2"/>
  <c r="S475" i="2"/>
  <c r="AI475" i="2"/>
  <c r="AY475" i="2"/>
  <c r="AA475" i="2"/>
  <c r="AQ475" i="2"/>
  <c r="AB475" i="2"/>
  <c r="AR475" i="2"/>
  <c r="X475" i="2"/>
  <c r="AN475" i="2"/>
  <c r="AF475" i="2"/>
  <c r="AV475" i="2"/>
  <c r="Q475" i="2"/>
  <c r="AG475" i="2"/>
  <c r="AW475" i="2"/>
  <c r="V475" i="2"/>
  <c r="AL475" i="2"/>
  <c r="L474" i="2"/>
  <c r="T475" i="2"/>
  <c r="AJ475" i="2"/>
  <c r="AZ475" i="2"/>
  <c r="U475" i="2"/>
  <c r="AK475" i="2"/>
  <c r="BA475" i="2"/>
  <c r="Z475" i="2"/>
  <c r="AP475" i="2"/>
  <c r="B477" i="2"/>
  <c r="P476" i="2"/>
  <c r="M476" i="2" s="1"/>
  <c r="I476" i="2"/>
  <c r="J476" i="2"/>
  <c r="Y475" i="2"/>
  <c r="AO475" i="2"/>
  <c r="H475" i="2"/>
  <c r="AD475" i="2"/>
  <c r="AT475" i="2"/>
  <c r="O473" i="2"/>
  <c r="AC475" i="2"/>
  <c r="AS475" i="2"/>
  <c r="R475" i="2"/>
  <c r="AH475" i="2"/>
  <c r="AX475" i="2"/>
  <c r="K476" i="2" l="1"/>
  <c r="C477" i="2"/>
  <c r="D477" i="2"/>
  <c r="AM476" i="2"/>
  <c r="W476" i="2"/>
  <c r="AA476" i="2"/>
  <c r="AE476" i="2"/>
  <c r="AU476" i="2"/>
  <c r="X476" i="2"/>
  <c r="AN476" i="2"/>
  <c r="B478" i="2"/>
  <c r="P477" i="2"/>
  <c r="M477" i="2" s="1"/>
  <c r="I477" i="2"/>
  <c r="J477" i="2"/>
  <c r="Y476" i="2"/>
  <c r="AO476" i="2"/>
  <c r="H476" i="2"/>
  <c r="AD476" i="2"/>
  <c r="AT476" i="2"/>
  <c r="N474" i="2"/>
  <c r="O474" i="2" s="1"/>
  <c r="L475" i="2"/>
  <c r="S476" i="2"/>
  <c r="AI476" i="2"/>
  <c r="AY476" i="2"/>
  <c r="AB476" i="2"/>
  <c r="AR476" i="2"/>
  <c r="AC476" i="2"/>
  <c r="AS476" i="2"/>
  <c r="R476" i="2"/>
  <c r="AH476" i="2"/>
  <c r="AX476" i="2"/>
  <c r="AF476" i="2"/>
  <c r="AV476" i="2"/>
  <c r="Q476" i="2"/>
  <c r="AG476" i="2"/>
  <c r="AW476" i="2"/>
  <c r="V476" i="2"/>
  <c r="AL476" i="2"/>
  <c r="AQ476" i="2"/>
  <c r="T476" i="2"/>
  <c r="AJ476" i="2"/>
  <c r="AZ476" i="2"/>
  <c r="U476" i="2"/>
  <c r="AK476" i="2"/>
  <c r="BA476" i="2"/>
  <c r="Z476" i="2"/>
  <c r="AP476" i="2"/>
  <c r="K477" i="2" l="1"/>
  <c r="W477" i="2"/>
  <c r="D478" i="2"/>
  <c r="C478" i="2"/>
  <c r="S477" i="2"/>
  <c r="AQ477" i="2"/>
  <c r="AA477" i="2"/>
  <c r="AM477" i="2"/>
  <c r="AI477" i="2"/>
  <c r="AY477" i="2"/>
  <c r="AE477" i="2"/>
  <c r="AU477" i="2"/>
  <c r="AN477" i="2"/>
  <c r="AR477" i="2"/>
  <c r="X477" i="2"/>
  <c r="AB477" i="2"/>
  <c r="N475" i="2"/>
  <c r="O475" i="2" s="1"/>
  <c r="L476" i="2"/>
  <c r="T477" i="2"/>
  <c r="AJ477" i="2"/>
  <c r="AZ477" i="2"/>
  <c r="U477" i="2"/>
  <c r="AK477" i="2"/>
  <c r="BA477" i="2"/>
  <c r="Z477" i="2"/>
  <c r="AP477" i="2"/>
  <c r="B479" i="2"/>
  <c r="P478" i="2"/>
  <c r="M478" i="2" s="1"/>
  <c r="J478" i="2"/>
  <c r="I478" i="2"/>
  <c r="Y477" i="2"/>
  <c r="AO477" i="2"/>
  <c r="H477" i="2"/>
  <c r="AD477" i="2"/>
  <c r="AT477" i="2"/>
  <c r="AC477" i="2"/>
  <c r="AS477" i="2"/>
  <c r="R477" i="2"/>
  <c r="AH477" i="2"/>
  <c r="AX477" i="2"/>
  <c r="AF477" i="2"/>
  <c r="AV477" i="2"/>
  <c r="Q477" i="2"/>
  <c r="AG477" i="2"/>
  <c r="AW477" i="2"/>
  <c r="V477" i="2"/>
  <c r="AL477" i="2"/>
  <c r="K478" i="2" l="1"/>
  <c r="D479" i="2"/>
  <c r="C479" i="2"/>
  <c r="AE478" i="2"/>
  <c r="AB478" i="2"/>
  <c r="AA478" i="2"/>
  <c r="W478" i="2"/>
  <c r="AM478" i="2"/>
  <c r="S478" i="2"/>
  <c r="AI478" i="2"/>
  <c r="AU478" i="2"/>
  <c r="AY478" i="2"/>
  <c r="AN478" i="2"/>
  <c r="AR478" i="2"/>
  <c r="AQ478" i="2"/>
  <c r="X478" i="2"/>
  <c r="N476" i="2"/>
  <c r="O476" i="2" s="1"/>
  <c r="L477" i="2"/>
  <c r="N477" i="2" s="1"/>
  <c r="T478" i="2"/>
  <c r="AJ478" i="2"/>
  <c r="AZ478" i="2"/>
  <c r="U478" i="2"/>
  <c r="AK478" i="2"/>
  <c r="BA478" i="2"/>
  <c r="Z478" i="2"/>
  <c r="AP478" i="2"/>
  <c r="B480" i="2"/>
  <c r="P479" i="2"/>
  <c r="M479" i="2" s="1"/>
  <c r="I479" i="2"/>
  <c r="J479" i="2"/>
  <c r="Y478" i="2"/>
  <c r="AO478" i="2"/>
  <c r="H478" i="2"/>
  <c r="AD478" i="2"/>
  <c r="AT478" i="2"/>
  <c r="AC478" i="2"/>
  <c r="AS478" i="2"/>
  <c r="R478" i="2"/>
  <c r="AH478" i="2"/>
  <c r="AX478" i="2"/>
  <c r="AF478" i="2"/>
  <c r="AV478" i="2"/>
  <c r="Q478" i="2"/>
  <c r="AG478" i="2"/>
  <c r="AW478" i="2"/>
  <c r="V478" i="2"/>
  <c r="AL478" i="2"/>
  <c r="K479" i="2" l="1"/>
  <c r="D480" i="2"/>
  <c r="C480" i="2"/>
  <c r="W479" i="2"/>
  <c r="AA479" i="2"/>
  <c r="AM479" i="2"/>
  <c r="S479" i="2"/>
  <c r="AI479" i="2"/>
  <c r="AY479" i="2"/>
  <c r="AB479" i="2"/>
  <c r="AR479" i="2"/>
  <c r="AC479" i="2"/>
  <c r="AS479" i="2"/>
  <c r="R479" i="2"/>
  <c r="AH479" i="2"/>
  <c r="AX479" i="2"/>
  <c r="AF479" i="2"/>
  <c r="AV479" i="2"/>
  <c r="Q479" i="2"/>
  <c r="AG479" i="2"/>
  <c r="AW479" i="2"/>
  <c r="V479" i="2"/>
  <c r="AL479" i="2"/>
  <c r="L478" i="2"/>
  <c r="N478" i="2" s="1"/>
  <c r="O478" i="2" s="1"/>
  <c r="AQ479" i="2"/>
  <c r="T479" i="2"/>
  <c r="AJ479" i="2"/>
  <c r="AZ479" i="2"/>
  <c r="U479" i="2"/>
  <c r="AK479" i="2"/>
  <c r="BA479" i="2"/>
  <c r="Z479" i="2"/>
  <c r="AP479" i="2"/>
  <c r="O477" i="2"/>
  <c r="AE479" i="2"/>
  <c r="AU479" i="2"/>
  <c r="X479" i="2"/>
  <c r="AN479" i="2"/>
  <c r="B481" i="2"/>
  <c r="P480" i="2"/>
  <c r="M480" i="2" s="1"/>
  <c r="I480" i="2"/>
  <c r="J480" i="2"/>
  <c r="Y479" i="2"/>
  <c r="AO479" i="2"/>
  <c r="H479" i="2"/>
  <c r="AD479" i="2"/>
  <c r="AT479" i="2"/>
  <c r="K480" i="2" l="1"/>
  <c r="C481" i="2"/>
  <c r="D481" i="2"/>
  <c r="W480" i="2"/>
  <c r="AI480" i="2"/>
  <c r="AM480" i="2"/>
  <c r="S480" i="2"/>
  <c r="AY480" i="2"/>
  <c r="AF480" i="2"/>
  <c r="AE480" i="2"/>
  <c r="AU480" i="2"/>
  <c r="X480" i="2"/>
  <c r="AN480" i="2"/>
  <c r="B482" i="2"/>
  <c r="P481" i="2"/>
  <c r="M481" i="2" s="1"/>
  <c r="I481" i="2"/>
  <c r="J481" i="2"/>
  <c r="Y480" i="2"/>
  <c r="AO480" i="2"/>
  <c r="H480" i="2"/>
  <c r="AD480" i="2"/>
  <c r="AT480" i="2"/>
  <c r="AB480" i="2"/>
  <c r="AR480" i="2"/>
  <c r="AC480" i="2"/>
  <c r="AS480" i="2"/>
  <c r="R480" i="2"/>
  <c r="AH480" i="2"/>
  <c r="AX480" i="2"/>
  <c r="AV480" i="2"/>
  <c r="Q480" i="2"/>
  <c r="AG480" i="2"/>
  <c r="AW480" i="2"/>
  <c r="V480" i="2"/>
  <c r="AL480" i="2"/>
  <c r="L479" i="2"/>
  <c r="AA480" i="2"/>
  <c r="AQ480" i="2"/>
  <c r="T480" i="2"/>
  <c r="AJ480" i="2"/>
  <c r="AZ480" i="2"/>
  <c r="U480" i="2"/>
  <c r="AK480" i="2"/>
  <c r="BA480" i="2"/>
  <c r="Z480" i="2"/>
  <c r="AP480" i="2"/>
  <c r="K481" i="2" l="1"/>
  <c r="D482" i="2"/>
  <c r="C482" i="2"/>
  <c r="S481" i="2"/>
  <c r="AI481" i="2"/>
  <c r="W481" i="2"/>
  <c r="AM481" i="2"/>
  <c r="T481" i="2"/>
  <c r="AA481" i="2"/>
  <c r="AQ481" i="2"/>
  <c r="X481" i="2"/>
  <c r="AE481" i="2"/>
  <c r="AU481" i="2"/>
  <c r="AN481" i="2"/>
  <c r="N479" i="2"/>
  <c r="O479" i="2" s="1"/>
  <c r="L480" i="2"/>
  <c r="AJ481" i="2"/>
  <c r="AZ481" i="2"/>
  <c r="U481" i="2"/>
  <c r="AK481" i="2"/>
  <c r="BA481" i="2"/>
  <c r="Z481" i="2"/>
  <c r="AP481" i="2"/>
  <c r="B483" i="2"/>
  <c r="P482" i="2"/>
  <c r="M482" i="2" s="1"/>
  <c r="J482" i="2"/>
  <c r="I482" i="2"/>
  <c r="Y481" i="2"/>
  <c r="AO481" i="2"/>
  <c r="H481" i="2"/>
  <c r="AD481" i="2"/>
  <c r="AT481" i="2"/>
  <c r="AY481" i="2"/>
  <c r="AB481" i="2"/>
  <c r="AR481" i="2"/>
  <c r="AC481" i="2"/>
  <c r="AS481" i="2"/>
  <c r="R481" i="2"/>
  <c r="AH481" i="2"/>
  <c r="AX481" i="2"/>
  <c r="AF481" i="2"/>
  <c r="AV481" i="2"/>
  <c r="Q481" i="2"/>
  <c r="AG481" i="2"/>
  <c r="AW481" i="2"/>
  <c r="V481" i="2"/>
  <c r="AL481" i="2"/>
  <c r="K482" i="2" l="1"/>
  <c r="D483" i="2"/>
  <c r="C483" i="2"/>
  <c r="S482" i="2"/>
  <c r="AA482" i="2"/>
  <c r="W482" i="2"/>
  <c r="AI482" i="2"/>
  <c r="AQ482" i="2"/>
  <c r="X482" i="2"/>
  <c r="AM482" i="2"/>
  <c r="AE482" i="2"/>
  <c r="AU482" i="2"/>
  <c r="AJ482" i="2"/>
  <c r="N480" i="2"/>
  <c r="O480" i="2" s="1"/>
  <c r="AN482" i="2"/>
  <c r="U482" i="2"/>
  <c r="T482" i="2"/>
  <c r="AZ482" i="2"/>
  <c r="Y482" i="2"/>
  <c r="AF482" i="2"/>
  <c r="AV482" i="2"/>
  <c r="Q482" i="2"/>
  <c r="AG482" i="2"/>
  <c r="AW482" i="2"/>
  <c r="V482" i="2"/>
  <c r="AL482" i="2"/>
  <c r="L481" i="2"/>
  <c r="AK482" i="2"/>
  <c r="BA482" i="2"/>
  <c r="Z482" i="2"/>
  <c r="AP482" i="2"/>
  <c r="B484" i="2"/>
  <c r="P483" i="2"/>
  <c r="M483" i="2" s="1"/>
  <c r="I483" i="2"/>
  <c r="J483" i="2"/>
  <c r="AO482" i="2"/>
  <c r="H482" i="2"/>
  <c r="AD482" i="2"/>
  <c r="AT482" i="2"/>
  <c r="AY482" i="2"/>
  <c r="AB482" i="2"/>
  <c r="AR482" i="2"/>
  <c r="AC482" i="2"/>
  <c r="AS482" i="2"/>
  <c r="R482" i="2"/>
  <c r="AH482" i="2"/>
  <c r="AX482" i="2"/>
  <c r="K483" i="2" l="1"/>
  <c r="D484" i="2"/>
  <c r="C484" i="2"/>
  <c r="W483" i="2"/>
  <c r="AI483" i="2"/>
  <c r="S483" i="2"/>
  <c r="L482" i="2"/>
  <c r="N482" i="2" s="1"/>
  <c r="AE483" i="2"/>
  <c r="AU483" i="2"/>
  <c r="X483" i="2"/>
  <c r="AN483" i="2"/>
  <c r="B485" i="2"/>
  <c r="P484" i="2"/>
  <c r="M484" i="2" s="1"/>
  <c r="I484" i="2"/>
  <c r="J484" i="2"/>
  <c r="Y483" i="2"/>
  <c r="AO483" i="2"/>
  <c r="H483" i="2"/>
  <c r="AD483" i="2"/>
  <c r="AT483" i="2"/>
  <c r="N481" i="2"/>
  <c r="O481" i="2" s="1"/>
  <c r="AY483" i="2"/>
  <c r="AB483" i="2"/>
  <c r="AR483" i="2"/>
  <c r="AC483" i="2"/>
  <c r="AS483" i="2"/>
  <c r="R483" i="2"/>
  <c r="AH483" i="2"/>
  <c r="AX483" i="2"/>
  <c r="AF483" i="2"/>
  <c r="AV483" i="2"/>
  <c r="Q483" i="2"/>
  <c r="AG483" i="2"/>
  <c r="AW483" i="2"/>
  <c r="V483" i="2"/>
  <c r="AL483" i="2"/>
  <c r="AM483" i="2"/>
  <c r="AA483" i="2"/>
  <c r="AQ483" i="2"/>
  <c r="T483" i="2"/>
  <c r="AJ483" i="2"/>
  <c r="AZ483" i="2"/>
  <c r="U483" i="2"/>
  <c r="AK483" i="2"/>
  <c r="BA483" i="2"/>
  <c r="Z483" i="2"/>
  <c r="AP483" i="2"/>
  <c r="K484" i="2" l="1"/>
  <c r="C485" i="2"/>
  <c r="D485" i="2"/>
  <c r="W484" i="2"/>
  <c r="AA484" i="2"/>
  <c r="AU484" i="2"/>
  <c r="AE484" i="2"/>
  <c r="S484" i="2"/>
  <c r="AM484" i="2"/>
  <c r="AB484" i="2"/>
  <c r="AI484" i="2"/>
  <c r="X484" i="2"/>
  <c r="AY484" i="2"/>
  <c r="AF484" i="2"/>
  <c r="AV484" i="2"/>
  <c r="Q484" i="2"/>
  <c r="AG484" i="2"/>
  <c r="AW484" i="2"/>
  <c r="V484" i="2"/>
  <c r="AL484" i="2"/>
  <c r="L483" i="2"/>
  <c r="AQ484" i="2"/>
  <c r="T484" i="2"/>
  <c r="AJ484" i="2"/>
  <c r="AZ484" i="2"/>
  <c r="U484" i="2"/>
  <c r="AK484" i="2"/>
  <c r="BA484" i="2"/>
  <c r="Z484" i="2"/>
  <c r="AP484" i="2"/>
  <c r="O482" i="2"/>
  <c r="AN484" i="2"/>
  <c r="B486" i="2"/>
  <c r="P485" i="2"/>
  <c r="M485" i="2" s="1"/>
  <c r="I485" i="2"/>
  <c r="J485" i="2"/>
  <c r="Y484" i="2"/>
  <c r="AO484" i="2"/>
  <c r="H484" i="2"/>
  <c r="AD484" i="2"/>
  <c r="AT484" i="2"/>
  <c r="AR484" i="2"/>
  <c r="AC484" i="2"/>
  <c r="AS484" i="2"/>
  <c r="R484" i="2"/>
  <c r="AH484" i="2"/>
  <c r="AX484" i="2"/>
  <c r="K485" i="2" l="1"/>
  <c r="D486" i="2"/>
  <c r="C486" i="2"/>
  <c r="AA485" i="2"/>
  <c r="S485" i="2"/>
  <c r="AQ485" i="2"/>
  <c r="W485" i="2"/>
  <c r="T485" i="2"/>
  <c r="AM485" i="2"/>
  <c r="AE485" i="2"/>
  <c r="AU485" i="2"/>
  <c r="AI485" i="2"/>
  <c r="AY485" i="2"/>
  <c r="L484" i="2"/>
  <c r="N484" i="2" s="1"/>
  <c r="AJ485" i="2"/>
  <c r="AZ485" i="2"/>
  <c r="U485" i="2"/>
  <c r="AK485" i="2"/>
  <c r="BA485" i="2"/>
  <c r="Z485" i="2"/>
  <c r="AP485" i="2"/>
  <c r="N483" i="2"/>
  <c r="O483" i="2" s="1"/>
  <c r="X485" i="2"/>
  <c r="AN485" i="2"/>
  <c r="B487" i="2"/>
  <c r="P486" i="2"/>
  <c r="M486" i="2" s="1"/>
  <c r="J486" i="2"/>
  <c r="I486" i="2"/>
  <c r="Y485" i="2"/>
  <c r="AO485" i="2"/>
  <c r="H485" i="2"/>
  <c r="AD485" i="2"/>
  <c r="AT485" i="2"/>
  <c r="AB485" i="2"/>
  <c r="AR485" i="2"/>
  <c r="AC485" i="2"/>
  <c r="AS485" i="2"/>
  <c r="R485" i="2"/>
  <c r="AH485" i="2"/>
  <c r="AX485" i="2"/>
  <c r="AF485" i="2"/>
  <c r="AV485" i="2"/>
  <c r="Q485" i="2"/>
  <c r="AG485" i="2"/>
  <c r="AW485" i="2"/>
  <c r="V485" i="2"/>
  <c r="AL485" i="2"/>
  <c r="K486" i="2" l="1"/>
  <c r="D487" i="2"/>
  <c r="C487" i="2"/>
  <c r="W486" i="2"/>
  <c r="AI486" i="2"/>
  <c r="S486" i="2"/>
  <c r="AM486" i="2"/>
  <c r="AE486" i="2"/>
  <c r="AU486" i="2"/>
  <c r="X486" i="2"/>
  <c r="AN486" i="2"/>
  <c r="B488" i="2"/>
  <c r="P487" i="2"/>
  <c r="M487" i="2" s="1"/>
  <c r="I487" i="2"/>
  <c r="J487" i="2"/>
  <c r="Y486" i="2"/>
  <c r="AO486" i="2"/>
  <c r="H486" i="2"/>
  <c r="AD486" i="2"/>
  <c r="AT486" i="2"/>
  <c r="AY486" i="2"/>
  <c r="AB486" i="2"/>
  <c r="AR486" i="2"/>
  <c r="AC486" i="2"/>
  <c r="AS486" i="2"/>
  <c r="R486" i="2"/>
  <c r="AH486" i="2"/>
  <c r="AX486" i="2"/>
  <c r="O484" i="2"/>
  <c r="AF486" i="2"/>
  <c r="AV486" i="2"/>
  <c r="Q486" i="2"/>
  <c r="AG486" i="2"/>
  <c r="AW486" i="2"/>
  <c r="V486" i="2"/>
  <c r="AL486" i="2"/>
  <c r="L485" i="2"/>
  <c r="N485" i="2" s="1"/>
  <c r="O485" i="2" s="1"/>
  <c r="AA486" i="2"/>
  <c r="AQ486" i="2"/>
  <c r="T486" i="2"/>
  <c r="AJ486" i="2"/>
  <c r="AZ486" i="2"/>
  <c r="U486" i="2"/>
  <c r="AK486" i="2"/>
  <c r="BA486" i="2"/>
  <c r="Z486" i="2"/>
  <c r="AP486" i="2"/>
  <c r="K487" i="2" l="1"/>
  <c r="D488" i="2"/>
  <c r="C488" i="2"/>
  <c r="AA487" i="2"/>
  <c r="AE487" i="2"/>
  <c r="T487" i="2"/>
  <c r="S487" i="2"/>
  <c r="AI487" i="2"/>
  <c r="W487" i="2"/>
  <c r="AM487" i="2"/>
  <c r="AB487" i="2"/>
  <c r="AQ487" i="2"/>
  <c r="AZ487" i="2"/>
  <c r="AY487" i="2"/>
  <c r="AJ487" i="2"/>
  <c r="AR487" i="2"/>
  <c r="AF487" i="2"/>
  <c r="AV487" i="2"/>
  <c r="Q487" i="2"/>
  <c r="AG487" i="2"/>
  <c r="AW487" i="2"/>
  <c r="V487" i="2"/>
  <c r="AL487" i="2"/>
  <c r="L486" i="2"/>
  <c r="U487" i="2"/>
  <c r="AK487" i="2"/>
  <c r="BA487" i="2"/>
  <c r="Z487" i="2"/>
  <c r="AP487" i="2"/>
  <c r="AU487" i="2"/>
  <c r="X487" i="2"/>
  <c r="AN487" i="2"/>
  <c r="B489" i="2"/>
  <c r="P488" i="2"/>
  <c r="M488" i="2" s="1"/>
  <c r="I488" i="2"/>
  <c r="J488" i="2"/>
  <c r="Y487" i="2"/>
  <c r="AO487" i="2"/>
  <c r="H487" i="2"/>
  <c r="AD487" i="2"/>
  <c r="AT487" i="2"/>
  <c r="AC487" i="2"/>
  <c r="AS487" i="2"/>
  <c r="R487" i="2"/>
  <c r="AH487" i="2"/>
  <c r="AX487" i="2"/>
  <c r="K488" i="2" l="1"/>
  <c r="C489" i="2"/>
  <c r="D489" i="2"/>
  <c r="S488" i="2"/>
  <c r="AI488" i="2"/>
  <c r="AR488" i="2"/>
  <c r="W488" i="2"/>
  <c r="AM488" i="2"/>
  <c r="T488" i="2"/>
  <c r="AZ488" i="2"/>
  <c r="AA488" i="2"/>
  <c r="AQ488" i="2"/>
  <c r="AB488" i="2"/>
  <c r="AE488" i="2"/>
  <c r="AY488" i="2"/>
  <c r="AJ488" i="2"/>
  <c r="AU488" i="2"/>
  <c r="X488" i="2"/>
  <c r="AN488" i="2"/>
  <c r="B490" i="2"/>
  <c r="P489" i="2"/>
  <c r="M489" i="2" s="1"/>
  <c r="I489" i="2"/>
  <c r="J489" i="2"/>
  <c r="Y488" i="2"/>
  <c r="AO488" i="2"/>
  <c r="H488" i="2"/>
  <c r="AD488" i="2"/>
  <c r="AT488" i="2"/>
  <c r="N486" i="2"/>
  <c r="O486" i="2" s="1"/>
  <c r="AC488" i="2"/>
  <c r="AS488" i="2"/>
  <c r="R488" i="2"/>
  <c r="AH488" i="2"/>
  <c r="AX488" i="2"/>
  <c r="AF488" i="2"/>
  <c r="AV488" i="2"/>
  <c r="Q488" i="2"/>
  <c r="AG488" i="2"/>
  <c r="AW488" i="2"/>
  <c r="V488" i="2"/>
  <c r="AL488" i="2"/>
  <c r="L487" i="2"/>
  <c r="N487" i="2" s="1"/>
  <c r="U488" i="2"/>
  <c r="AK488" i="2"/>
  <c r="BA488" i="2"/>
  <c r="Z488" i="2"/>
  <c r="AP488" i="2"/>
  <c r="K489" i="2" l="1"/>
  <c r="D490" i="2"/>
  <c r="C490" i="2"/>
  <c r="AI489" i="2"/>
  <c r="AM489" i="2"/>
  <c r="W489" i="2"/>
  <c r="S489" i="2"/>
  <c r="AY489" i="2"/>
  <c r="AE489" i="2"/>
  <c r="AU489" i="2"/>
  <c r="AN489" i="2"/>
  <c r="AA489" i="2"/>
  <c r="AQ489" i="2"/>
  <c r="AB489" i="2"/>
  <c r="X489" i="2"/>
  <c r="O487" i="2"/>
  <c r="AF489" i="2"/>
  <c r="AV489" i="2"/>
  <c r="Q489" i="2"/>
  <c r="AG489" i="2"/>
  <c r="AW489" i="2"/>
  <c r="V489" i="2"/>
  <c r="AL489" i="2"/>
  <c r="L488" i="2"/>
  <c r="N488" i="2" s="1"/>
  <c r="T489" i="2"/>
  <c r="AJ489" i="2"/>
  <c r="AZ489" i="2"/>
  <c r="U489" i="2"/>
  <c r="AK489" i="2"/>
  <c r="BA489" i="2"/>
  <c r="Z489" i="2"/>
  <c r="AP489" i="2"/>
  <c r="B491" i="2"/>
  <c r="P490" i="2"/>
  <c r="M490" i="2" s="1"/>
  <c r="J490" i="2"/>
  <c r="I490" i="2"/>
  <c r="Y489" i="2"/>
  <c r="AO489" i="2"/>
  <c r="H489" i="2"/>
  <c r="AD489" i="2"/>
  <c r="AT489" i="2"/>
  <c r="AR489" i="2"/>
  <c r="AC489" i="2"/>
  <c r="AS489" i="2"/>
  <c r="R489" i="2"/>
  <c r="AH489" i="2"/>
  <c r="AX489" i="2"/>
  <c r="K490" i="2" l="1"/>
  <c r="D491" i="2"/>
  <c r="C491" i="2"/>
  <c r="W490" i="2"/>
  <c r="AE490" i="2"/>
  <c r="AA490" i="2"/>
  <c r="S490" i="2"/>
  <c r="AI490" i="2"/>
  <c r="AM490" i="2"/>
  <c r="AQ490" i="2"/>
  <c r="T490" i="2"/>
  <c r="X490" i="2"/>
  <c r="AU490" i="2"/>
  <c r="AJ490" i="2"/>
  <c r="AZ490" i="2"/>
  <c r="AY490" i="2"/>
  <c r="AB490" i="2"/>
  <c r="AR490" i="2"/>
  <c r="AC490" i="2"/>
  <c r="AS490" i="2"/>
  <c r="R490" i="2"/>
  <c r="AH490" i="2"/>
  <c r="AX490" i="2"/>
  <c r="AF490" i="2"/>
  <c r="AV490" i="2"/>
  <c r="Q490" i="2"/>
  <c r="AG490" i="2"/>
  <c r="AW490" i="2"/>
  <c r="V490" i="2"/>
  <c r="AL490" i="2"/>
  <c r="L489" i="2"/>
  <c r="U490" i="2"/>
  <c r="AK490" i="2"/>
  <c r="BA490" i="2"/>
  <c r="Z490" i="2"/>
  <c r="AP490" i="2"/>
  <c r="O488" i="2"/>
  <c r="AN490" i="2"/>
  <c r="B492" i="2"/>
  <c r="P491" i="2"/>
  <c r="M491" i="2" s="1"/>
  <c r="I491" i="2"/>
  <c r="J491" i="2"/>
  <c r="Y490" i="2"/>
  <c r="AO490" i="2"/>
  <c r="H490" i="2"/>
  <c r="AD490" i="2"/>
  <c r="AT490" i="2"/>
  <c r="K491" i="2" l="1"/>
  <c r="D492" i="2"/>
  <c r="C492" i="2"/>
  <c r="W491" i="2"/>
  <c r="AY491" i="2"/>
  <c r="S491" i="2"/>
  <c r="AI491" i="2"/>
  <c r="AM491" i="2"/>
  <c r="L490" i="2"/>
  <c r="N490" i="2" s="1"/>
  <c r="AA491" i="2"/>
  <c r="AQ491" i="2"/>
  <c r="T491" i="2"/>
  <c r="AJ491" i="2"/>
  <c r="AZ491" i="2"/>
  <c r="U491" i="2"/>
  <c r="AK491" i="2"/>
  <c r="BA491" i="2"/>
  <c r="Z491" i="2"/>
  <c r="AP491" i="2"/>
  <c r="N489" i="2"/>
  <c r="O489" i="2" s="1"/>
  <c r="AE491" i="2"/>
  <c r="AU491" i="2"/>
  <c r="X491" i="2"/>
  <c r="AN491" i="2"/>
  <c r="B493" i="2"/>
  <c r="P492" i="2"/>
  <c r="M492" i="2" s="1"/>
  <c r="I492" i="2"/>
  <c r="J492" i="2"/>
  <c r="Y491" i="2"/>
  <c r="AO491" i="2"/>
  <c r="H491" i="2"/>
  <c r="AD491" i="2"/>
  <c r="AT491" i="2"/>
  <c r="AB491" i="2"/>
  <c r="AR491" i="2"/>
  <c r="AC491" i="2"/>
  <c r="AS491" i="2"/>
  <c r="R491" i="2"/>
  <c r="AH491" i="2"/>
  <c r="AX491" i="2"/>
  <c r="AF491" i="2"/>
  <c r="AV491" i="2"/>
  <c r="Q491" i="2"/>
  <c r="AG491" i="2"/>
  <c r="AW491" i="2"/>
  <c r="V491" i="2"/>
  <c r="AL491" i="2"/>
  <c r="K492" i="2" l="1"/>
  <c r="AA492" i="2"/>
  <c r="W492" i="2"/>
  <c r="C493" i="2"/>
  <c r="D493" i="2"/>
  <c r="AY492" i="2"/>
  <c r="AE492" i="2"/>
  <c r="S492" i="2"/>
  <c r="AI492" i="2"/>
  <c r="AM492" i="2"/>
  <c r="AU492" i="2"/>
  <c r="AQ492" i="2"/>
  <c r="X492" i="2"/>
  <c r="AJ492" i="2"/>
  <c r="T492" i="2"/>
  <c r="AZ492" i="2"/>
  <c r="AN492" i="2"/>
  <c r="AB492" i="2"/>
  <c r="AR492" i="2"/>
  <c r="AC492" i="2"/>
  <c r="AS492" i="2"/>
  <c r="R492" i="2"/>
  <c r="AH492" i="2"/>
  <c r="AX492" i="2"/>
  <c r="AF492" i="2"/>
  <c r="AV492" i="2"/>
  <c r="Q492" i="2"/>
  <c r="AG492" i="2"/>
  <c r="AW492" i="2"/>
  <c r="V492" i="2"/>
  <c r="AL492" i="2"/>
  <c r="O490" i="2"/>
  <c r="L491" i="2"/>
  <c r="U492" i="2"/>
  <c r="AK492" i="2"/>
  <c r="BA492" i="2"/>
  <c r="Z492" i="2"/>
  <c r="AP492" i="2"/>
  <c r="B494" i="2"/>
  <c r="P493" i="2"/>
  <c r="M493" i="2" s="1"/>
  <c r="I493" i="2"/>
  <c r="J493" i="2"/>
  <c r="Y492" i="2"/>
  <c r="AO492" i="2"/>
  <c r="H492" i="2"/>
  <c r="AD492" i="2"/>
  <c r="AT492" i="2"/>
  <c r="K493" i="2" l="1"/>
  <c r="AY493" i="2"/>
  <c r="D494" i="2"/>
  <c r="C494" i="2"/>
  <c r="S493" i="2"/>
  <c r="AE493" i="2"/>
  <c r="AI493" i="2"/>
  <c r="W493" i="2"/>
  <c r="AM493" i="2"/>
  <c r="T493" i="2"/>
  <c r="AA493" i="2"/>
  <c r="AQ493" i="2"/>
  <c r="AB493" i="2"/>
  <c r="AR493" i="2"/>
  <c r="AC493" i="2"/>
  <c r="AS493" i="2"/>
  <c r="R493" i="2"/>
  <c r="AH493" i="2"/>
  <c r="AX493" i="2"/>
  <c r="N491" i="2"/>
  <c r="O491" i="2" s="1"/>
  <c r="AF493" i="2"/>
  <c r="AV493" i="2"/>
  <c r="Q493" i="2"/>
  <c r="AG493" i="2"/>
  <c r="AW493" i="2"/>
  <c r="V493" i="2"/>
  <c r="AL493" i="2"/>
  <c r="L492" i="2"/>
  <c r="N492" i="2" s="1"/>
  <c r="AJ493" i="2"/>
  <c r="AZ493" i="2"/>
  <c r="U493" i="2"/>
  <c r="AK493" i="2"/>
  <c r="BA493" i="2"/>
  <c r="Z493" i="2"/>
  <c r="AP493" i="2"/>
  <c r="AU493" i="2"/>
  <c r="X493" i="2"/>
  <c r="AN493" i="2"/>
  <c r="B495" i="2"/>
  <c r="P494" i="2"/>
  <c r="M494" i="2" s="1"/>
  <c r="J494" i="2"/>
  <c r="I494" i="2"/>
  <c r="Y493" i="2"/>
  <c r="AO493" i="2"/>
  <c r="H493" i="2"/>
  <c r="AD493" i="2"/>
  <c r="AT493" i="2"/>
  <c r="K494" i="2" l="1"/>
  <c r="D495" i="2"/>
  <c r="C495" i="2"/>
  <c r="W494" i="2"/>
  <c r="AM494" i="2"/>
  <c r="AU494" i="2"/>
  <c r="AE494" i="2"/>
  <c r="L493" i="2"/>
  <c r="N493" i="2" s="1"/>
  <c r="AA494" i="2"/>
  <c r="AQ494" i="2"/>
  <c r="T494" i="2"/>
  <c r="AJ494" i="2"/>
  <c r="AZ494" i="2"/>
  <c r="U494" i="2"/>
  <c r="AK494" i="2"/>
  <c r="BA494" i="2"/>
  <c r="Z494" i="2"/>
  <c r="AP494" i="2"/>
  <c r="X494" i="2"/>
  <c r="AN494" i="2"/>
  <c r="B496" i="2"/>
  <c r="P495" i="2"/>
  <c r="M495" i="2" s="1"/>
  <c r="I495" i="2"/>
  <c r="J495" i="2"/>
  <c r="Y494" i="2"/>
  <c r="AO494" i="2"/>
  <c r="H494" i="2"/>
  <c r="AD494" i="2"/>
  <c r="AT494" i="2"/>
  <c r="S494" i="2"/>
  <c r="AI494" i="2"/>
  <c r="AY494" i="2"/>
  <c r="AB494" i="2"/>
  <c r="AR494" i="2"/>
  <c r="AC494" i="2"/>
  <c r="AS494" i="2"/>
  <c r="R494" i="2"/>
  <c r="AH494" i="2"/>
  <c r="AX494" i="2"/>
  <c r="O492" i="2"/>
  <c r="AF494" i="2"/>
  <c r="AV494" i="2"/>
  <c r="Q494" i="2"/>
  <c r="AG494" i="2"/>
  <c r="AW494" i="2"/>
  <c r="V494" i="2"/>
  <c r="AL494" i="2"/>
  <c r="K495" i="2" l="1"/>
  <c r="D496" i="2"/>
  <c r="C496" i="2"/>
  <c r="AM495" i="2"/>
  <c r="AA495" i="2"/>
  <c r="W495" i="2"/>
  <c r="S495" i="2"/>
  <c r="AI495" i="2"/>
  <c r="AY495" i="2"/>
  <c r="AB495" i="2"/>
  <c r="AR495" i="2"/>
  <c r="AC495" i="2"/>
  <c r="AS495" i="2"/>
  <c r="R495" i="2"/>
  <c r="AH495" i="2"/>
  <c r="AX495" i="2"/>
  <c r="AF495" i="2"/>
  <c r="AV495" i="2"/>
  <c r="Q495" i="2"/>
  <c r="AG495" i="2"/>
  <c r="AW495" i="2"/>
  <c r="V495" i="2"/>
  <c r="AL495" i="2"/>
  <c r="L494" i="2"/>
  <c r="N494" i="2" s="1"/>
  <c r="O494" i="2" s="1"/>
  <c r="AQ495" i="2"/>
  <c r="T495" i="2"/>
  <c r="AJ495" i="2"/>
  <c r="AZ495" i="2"/>
  <c r="U495" i="2"/>
  <c r="AK495" i="2"/>
  <c r="BA495" i="2"/>
  <c r="Z495" i="2"/>
  <c r="AP495" i="2"/>
  <c r="O493" i="2"/>
  <c r="AE495" i="2"/>
  <c r="AU495" i="2"/>
  <c r="X495" i="2"/>
  <c r="AN495" i="2"/>
  <c r="B497" i="2"/>
  <c r="P496" i="2"/>
  <c r="M496" i="2" s="1"/>
  <c r="I496" i="2"/>
  <c r="J496" i="2"/>
  <c r="Y495" i="2"/>
  <c r="AO495" i="2"/>
  <c r="H495" i="2"/>
  <c r="AD495" i="2"/>
  <c r="AT495" i="2"/>
  <c r="K496" i="2" l="1"/>
  <c r="C497" i="2"/>
  <c r="D497" i="2"/>
  <c r="W496" i="2"/>
  <c r="AI496" i="2"/>
  <c r="AM496" i="2"/>
  <c r="S496" i="2"/>
  <c r="AY496" i="2"/>
  <c r="AV496" i="2"/>
  <c r="AE496" i="2"/>
  <c r="AU496" i="2"/>
  <c r="X496" i="2"/>
  <c r="AN496" i="2"/>
  <c r="B498" i="2"/>
  <c r="P497" i="2"/>
  <c r="M497" i="2" s="1"/>
  <c r="I497" i="2"/>
  <c r="J497" i="2"/>
  <c r="Y496" i="2"/>
  <c r="AO496" i="2"/>
  <c r="H496" i="2"/>
  <c r="AD496" i="2"/>
  <c r="AT496" i="2"/>
  <c r="AB496" i="2"/>
  <c r="AR496" i="2"/>
  <c r="AC496" i="2"/>
  <c r="AS496" i="2"/>
  <c r="R496" i="2"/>
  <c r="AH496" i="2"/>
  <c r="AX496" i="2"/>
  <c r="AG496" i="2"/>
  <c r="AW496" i="2"/>
  <c r="V496" i="2"/>
  <c r="AL496" i="2"/>
  <c r="AF496" i="2"/>
  <c r="Q496" i="2"/>
  <c r="L495" i="2"/>
  <c r="AA496" i="2"/>
  <c r="AQ496" i="2"/>
  <c r="T496" i="2"/>
  <c r="AJ496" i="2"/>
  <c r="AZ496" i="2"/>
  <c r="U496" i="2"/>
  <c r="AK496" i="2"/>
  <c r="BA496" i="2"/>
  <c r="Z496" i="2"/>
  <c r="AP496" i="2"/>
  <c r="K497" i="2" l="1"/>
  <c r="D498" i="2"/>
  <c r="C498" i="2"/>
  <c r="S497" i="2"/>
  <c r="W497" i="2"/>
  <c r="AI497" i="2"/>
  <c r="AM497" i="2"/>
  <c r="N495" i="2"/>
  <c r="O495" i="2" s="1"/>
  <c r="L496" i="2"/>
  <c r="AA497" i="2"/>
  <c r="AQ497" i="2"/>
  <c r="T497" i="2"/>
  <c r="AJ497" i="2"/>
  <c r="AZ497" i="2"/>
  <c r="U497" i="2"/>
  <c r="AK497" i="2"/>
  <c r="BA497" i="2"/>
  <c r="Z497" i="2"/>
  <c r="AP497" i="2"/>
  <c r="AE497" i="2"/>
  <c r="AU497" i="2"/>
  <c r="X497" i="2"/>
  <c r="AN497" i="2"/>
  <c r="B499" i="2"/>
  <c r="P498" i="2"/>
  <c r="M498" i="2" s="1"/>
  <c r="J498" i="2"/>
  <c r="I498" i="2"/>
  <c r="Y497" i="2"/>
  <c r="AO497" i="2"/>
  <c r="H497" i="2"/>
  <c r="AD497" i="2"/>
  <c r="AT497" i="2"/>
  <c r="AY497" i="2"/>
  <c r="AB497" i="2"/>
  <c r="AR497" i="2"/>
  <c r="AC497" i="2"/>
  <c r="AS497" i="2"/>
  <c r="R497" i="2"/>
  <c r="AH497" i="2"/>
  <c r="AX497" i="2"/>
  <c r="AF497" i="2"/>
  <c r="AV497" i="2"/>
  <c r="Q497" i="2"/>
  <c r="AG497" i="2"/>
  <c r="AW497" i="2"/>
  <c r="V497" i="2"/>
  <c r="AL497" i="2"/>
  <c r="K498" i="2" l="1"/>
  <c r="D499" i="2"/>
  <c r="C499" i="2"/>
  <c r="W498" i="2"/>
  <c r="AA498" i="2"/>
  <c r="AQ498" i="2"/>
  <c r="AM498" i="2"/>
  <c r="N496" i="2"/>
  <c r="O496" i="2" s="1"/>
  <c r="L497" i="2"/>
  <c r="N497" i="2" s="1"/>
  <c r="S498" i="2"/>
  <c r="AI498" i="2"/>
  <c r="AY498" i="2"/>
  <c r="AB498" i="2"/>
  <c r="AR498" i="2"/>
  <c r="AC498" i="2"/>
  <c r="AS498" i="2"/>
  <c r="R498" i="2"/>
  <c r="AH498" i="2"/>
  <c r="AX498" i="2"/>
  <c r="AF498" i="2"/>
  <c r="AV498" i="2"/>
  <c r="Q498" i="2"/>
  <c r="AG498" i="2"/>
  <c r="AW498" i="2"/>
  <c r="V498" i="2"/>
  <c r="AL498" i="2"/>
  <c r="T498" i="2"/>
  <c r="AJ498" i="2"/>
  <c r="AZ498" i="2"/>
  <c r="U498" i="2"/>
  <c r="AK498" i="2"/>
  <c r="BA498" i="2"/>
  <c r="Z498" i="2"/>
  <c r="AP498" i="2"/>
  <c r="AE498" i="2"/>
  <c r="AU498" i="2"/>
  <c r="X498" i="2"/>
  <c r="AN498" i="2"/>
  <c r="B500" i="2"/>
  <c r="P499" i="2"/>
  <c r="M499" i="2" s="1"/>
  <c r="I499" i="2"/>
  <c r="J499" i="2"/>
  <c r="Y498" i="2"/>
  <c r="AO498" i="2"/>
  <c r="H498" i="2"/>
  <c r="AD498" i="2"/>
  <c r="AT498" i="2"/>
  <c r="K499" i="2" l="1"/>
  <c r="D500" i="2"/>
  <c r="C500" i="2"/>
  <c r="S499" i="2"/>
  <c r="AU499" i="2"/>
  <c r="AE499" i="2"/>
  <c r="AI499" i="2"/>
  <c r="AA499" i="2"/>
  <c r="AQ499" i="2"/>
  <c r="AB499" i="2"/>
  <c r="W499" i="2"/>
  <c r="AM499" i="2"/>
  <c r="X499" i="2"/>
  <c r="AR499" i="2"/>
  <c r="AY499" i="2"/>
  <c r="AN499" i="2"/>
  <c r="AF499" i="2"/>
  <c r="AV499" i="2"/>
  <c r="Q499" i="2"/>
  <c r="AG499" i="2"/>
  <c r="AW499" i="2"/>
  <c r="V499" i="2"/>
  <c r="AL499" i="2"/>
  <c r="L498" i="2"/>
  <c r="T499" i="2"/>
  <c r="AJ499" i="2"/>
  <c r="AZ499" i="2"/>
  <c r="U499" i="2"/>
  <c r="AK499" i="2"/>
  <c r="BA499" i="2"/>
  <c r="Z499" i="2"/>
  <c r="AP499" i="2"/>
  <c r="B501" i="2"/>
  <c r="P500" i="2"/>
  <c r="M500" i="2" s="1"/>
  <c r="I500" i="2"/>
  <c r="J500" i="2"/>
  <c r="Y499" i="2"/>
  <c r="AO499" i="2"/>
  <c r="H499" i="2"/>
  <c r="AD499" i="2"/>
  <c r="AT499" i="2"/>
  <c r="O497" i="2"/>
  <c r="AC499" i="2"/>
  <c r="AS499" i="2"/>
  <c r="R499" i="2"/>
  <c r="AH499" i="2"/>
  <c r="AX499" i="2"/>
  <c r="K500" i="2" l="1"/>
  <c r="C501" i="2"/>
  <c r="D501" i="2"/>
  <c r="AA500" i="2"/>
  <c r="AE500" i="2"/>
  <c r="X500" i="2"/>
  <c r="W500" i="2"/>
  <c r="AU500" i="2"/>
  <c r="Y500" i="2"/>
  <c r="AM500" i="2"/>
  <c r="AN500" i="2"/>
  <c r="AO500" i="2"/>
  <c r="AD500" i="2"/>
  <c r="AT500" i="2"/>
  <c r="N498" i="2"/>
  <c r="O498" i="2" s="1"/>
  <c r="H500" i="2"/>
  <c r="S500" i="2"/>
  <c r="AI500" i="2"/>
  <c r="AY500" i="2"/>
  <c r="AB500" i="2"/>
  <c r="AR500" i="2"/>
  <c r="AC500" i="2"/>
  <c r="AS500" i="2"/>
  <c r="R500" i="2"/>
  <c r="AH500" i="2"/>
  <c r="AX500" i="2"/>
  <c r="B502" i="2"/>
  <c r="P501" i="2"/>
  <c r="M501" i="2" s="1"/>
  <c r="I501" i="2"/>
  <c r="J501" i="2"/>
  <c r="AF500" i="2"/>
  <c r="AV500" i="2"/>
  <c r="Q500" i="2"/>
  <c r="AG500" i="2"/>
  <c r="AW500" i="2"/>
  <c r="V500" i="2"/>
  <c r="AL500" i="2"/>
  <c r="L499" i="2"/>
  <c r="N499" i="2" s="1"/>
  <c r="O499" i="2" s="1"/>
  <c r="AQ500" i="2"/>
  <c r="T500" i="2"/>
  <c r="AJ500" i="2"/>
  <c r="AZ500" i="2"/>
  <c r="U500" i="2"/>
  <c r="AK500" i="2"/>
  <c r="BA500" i="2"/>
  <c r="Z500" i="2"/>
  <c r="AP500" i="2"/>
  <c r="K501" i="2" l="1"/>
  <c r="D502" i="2"/>
  <c r="C502" i="2"/>
  <c r="W501" i="2"/>
  <c r="AM501" i="2"/>
  <c r="AV501" i="2"/>
  <c r="AG501" i="2"/>
  <c r="V501" i="2"/>
  <c r="AA501" i="2"/>
  <c r="AQ501" i="2"/>
  <c r="T501" i="2"/>
  <c r="AJ501" i="2"/>
  <c r="AZ501" i="2"/>
  <c r="U501" i="2"/>
  <c r="AK501" i="2"/>
  <c r="BA501" i="2"/>
  <c r="Z501" i="2"/>
  <c r="AP501" i="2"/>
  <c r="AF501" i="2"/>
  <c r="Q501" i="2"/>
  <c r="AW501" i="2"/>
  <c r="AL501" i="2"/>
  <c r="AE501" i="2"/>
  <c r="AU501" i="2"/>
  <c r="X501" i="2"/>
  <c r="AN501" i="2"/>
  <c r="B503" i="2"/>
  <c r="P502" i="2"/>
  <c r="M502" i="2" s="1"/>
  <c r="J502" i="2"/>
  <c r="I502" i="2"/>
  <c r="Y501" i="2"/>
  <c r="AO501" i="2"/>
  <c r="H501" i="2"/>
  <c r="AD501" i="2"/>
  <c r="AT501" i="2"/>
  <c r="L500" i="2"/>
  <c r="N500" i="2" s="1"/>
  <c r="O500" i="2" s="1"/>
  <c r="S501" i="2"/>
  <c r="AI501" i="2"/>
  <c r="AY501" i="2"/>
  <c r="AB501" i="2"/>
  <c r="AR501" i="2"/>
  <c r="AC501" i="2"/>
  <c r="AS501" i="2"/>
  <c r="R501" i="2"/>
  <c r="AH501" i="2"/>
  <c r="AX501" i="2"/>
  <c r="K502" i="2" l="1"/>
  <c r="D503" i="2"/>
  <c r="C503" i="2"/>
  <c r="AB502" i="2"/>
  <c r="L501" i="2"/>
  <c r="N501" i="2" s="1"/>
  <c r="AI502" i="2"/>
  <c r="AF502" i="2"/>
  <c r="AQ502" i="2"/>
  <c r="AH502" i="2"/>
  <c r="T502" i="2"/>
  <c r="AN502" i="2"/>
  <c r="U502" i="2"/>
  <c r="AP502" i="2"/>
  <c r="R502" i="2"/>
  <c r="AL502" i="2"/>
  <c r="AC502" i="2"/>
  <c r="AS502" i="2"/>
  <c r="AU502" i="2"/>
  <c r="AJ502" i="2"/>
  <c r="Y502" i="2"/>
  <c r="S502" i="2"/>
  <c r="AM502" i="2"/>
  <c r="X502" i="2"/>
  <c r="AV502" i="2"/>
  <c r="Z502" i="2"/>
  <c r="AX502" i="2"/>
  <c r="V502" i="2"/>
  <c r="AR502" i="2"/>
  <c r="AG502" i="2"/>
  <c r="AW502" i="2"/>
  <c r="AY502" i="2"/>
  <c r="Q502" i="2"/>
  <c r="H502" i="2"/>
  <c r="AO502" i="2"/>
  <c r="W502" i="2"/>
  <c r="AT502" i="2"/>
  <c r="AD502" i="2"/>
  <c r="AE502" i="2"/>
  <c r="B504" i="2"/>
  <c r="P503" i="2"/>
  <c r="M503" i="2" s="1"/>
  <c r="I503" i="2"/>
  <c r="J503" i="2"/>
  <c r="AA502" i="2"/>
  <c r="AZ502" i="2"/>
  <c r="AK502" i="2"/>
  <c r="BA502" i="2"/>
  <c r="K503" i="2" l="1"/>
  <c r="D504" i="2"/>
  <c r="C504" i="2"/>
  <c r="AL503" i="2"/>
  <c r="Q503" i="2"/>
  <c r="AQ503" i="2"/>
  <c r="AG503" i="2"/>
  <c r="AF503" i="2"/>
  <c r="AJ503" i="2"/>
  <c r="AW503" i="2"/>
  <c r="V503" i="2"/>
  <c r="Z503" i="2"/>
  <c r="AA503" i="2"/>
  <c r="B505" i="2"/>
  <c r="P504" i="2"/>
  <c r="M504" i="2" s="1"/>
  <c r="I504" i="2"/>
  <c r="J504" i="2"/>
  <c r="L502" i="2"/>
  <c r="N502" i="2" s="1"/>
  <c r="AT503" i="2"/>
  <c r="AN503" i="2"/>
  <c r="AH503" i="2"/>
  <c r="H503" i="2"/>
  <c r="AR503" i="2"/>
  <c r="U503" i="2"/>
  <c r="AK503" i="2"/>
  <c r="BA503" i="2"/>
  <c r="AE503" i="2"/>
  <c r="AU503" i="2"/>
  <c r="AP503" i="2"/>
  <c r="T503" i="2"/>
  <c r="AZ503" i="2"/>
  <c r="Y503" i="2"/>
  <c r="AO503" i="2"/>
  <c r="S503" i="2"/>
  <c r="AI503" i="2"/>
  <c r="AY503" i="2"/>
  <c r="O501" i="2"/>
  <c r="AV503" i="2"/>
  <c r="AD503" i="2"/>
  <c r="X503" i="2"/>
  <c r="R503" i="2"/>
  <c r="AX503" i="2"/>
  <c r="AB503" i="2"/>
  <c r="AC503" i="2"/>
  <c r="AS503" i="2"/>
  <c r="W503" i="2"/>
  <c r="AM503" i="2"/>
  <c r="K504" i="2" l="1"/>
  <c r="C505" i="2"/>
  <c r="D505" i="2"/>
  <c r="AD504" i="2"/>
  <c r="O502" i="2"/>
  <c r="V504" i="2"/>
  <c r="R504" i="2"/>
  <c r="AB504" i="2"/>
  <c r="W504" i="2"/>
  <c r="AX504" i="2"/>
  <c r="AM504" i="2"/>
  <c r="AC504" i="2"/>
  <c r="X504" i="2"/>
  <c r="AS504" i="2"/>
  <c r="L503" i="2"/>
  <c r="AL504" i="2"/>
  <c r="AF504" i="2"/>
  <c r="Z504" i="2"/>
  <c r="B506" i="2"/>
  <c r="P505" i="2"/>
  <c r="M505" i="2" s="1"/>
  <c r="I505" i="2"/>
  <c r="J505" i="2"/>
  <c r="AJ504" i="2"/>
  <c r="Q504" i="2"/>
  <c r="AG504" i="2"/>
  <c r="AW504" i="2"/>
  <c r="AA504" i="2"/>
  <c r="AQ504" i="2"/>
  <c r="AT504" i="2"/>
  <c r="AN504" i="2"/>
  <c r="AH504" i="2"/>
  <c r="H504" i="2"/>
  <c r="AR504" i="2"/>
  <c r="U504" i="2"/>
  <c r="AK504" i="2"/>
  <c r="BA504" i="2"/>
  <c r="AE504" i="2"/>
  <c r="AU504" i="2"/>
  <c r="AV504" i="2"/>
  <c r="AP504" i="2"/>
  <c r="T504" i="2"/>
  <c r="AZ504" i="2"/>
  <c r="Y504" i="2"/>
  <c r="AO504" i="2"/>
  <c r="S504" i="2"/>
  <c r="AI504" i="2"/>
  <c r="AY504" i="2"/>
  <c r="K505" i="2" l="1"/>
  <c r="D506" i="2"/>
  <c r="C506" i="2"/>
  <c r="AT505" i="2"/>
  <c r="V505" i="2"/>
  <c r="AH505" i="2"/>
  <c r="AE505" i="2"/>
  <c r="U505" i="2"/>
  <c r="AU505" i="2"/>
  <c r="AK505" i="2"/>
  <c r="AN505" i="2"/>
  <c r="AR505" i="2"/>
  <c r="BA505" i="2"/>
  <c r="L504" i="2"/>
  <c r="AP505" i="2"/>
  <c r="AZ505" i="2"/>
  <c r="S505" i="2"/>
  <c r="AI505" i="2"/>
  <c r="AY505" i="2"/>
  <c r="H505" i="2"/>
  <c r="AV505" i="2"/>
  <c r="Y505" i="2"/>
  <c r="AD505" i="2"/>
  <c r="X505" i="2"/>
  <c r="R505" i="2"/>
  <c r="AX505" i="2"/>
  <c r="AB505" i="2"/>
  <c r="AC505" i="2"/>
  <c r="AS505" i="2"/>
  <c r="W505" i="2"/>
  <c r="AM505" i="2"/>
  <c r="N503" i="2"/>
  <c r="O503" i="2" s="1"/>
  <c r="T505" i="2"/>
  <c r="AO505" i="2"/>
  <c r="AL505" i="2"/>
  <c r="AF505" i="2"/>
  <c r="Z505" i="2"/>
  <c r="B507" i="2"/>
  <c r="P506" i="2"/>
  <c r="M506" i="2" s="1"/>
  <c r="I506" i="2"/>
  <c r="J506" i="2"/>
  <c r="AJ505" i="2"/>
  <c r="Q505" i="2"/>
  <c r="AG505" i="2"/>
  <c r="AW505" i="2"/>
  <c r="AA505" i="2"/>
  <c r="AQ505" i="2"/>
  <c r="K506" i="2" l="1"/>
  <c r="D507" i="2"/>
  <c r="C507" i="2"/>
  <c r="X506" i="2"/>
  <c r="AD506" i="2"/>
  <c r="V506" i="2"/>
  <c r="R506" i="2"/>
  <c r="AX506" i="2"/>
  <c r="AB506" i="2"/>
  <c r="AC506" i="2"/>
  <c r="AS506" i="2"/>
  <c r="W506" i="2"/>
  <c r="AM506" i="2"/>
  <c r="AL506" i="2"/>
  <c r="AF506" i="2"/>
  <c r="Z506" i="2"/>
  <c r="B508" i="2"/>
  <c r="P507" i="2"/>
  <c r="M507" i="2" s="1"/>
  <c r="I507" i="2"/>
  <c r="J507" i="2"/>
  <c r="AJ506" i="2"/>
  <c r="Q506" i="2"/>
  <c r="AG506" i="2"/>
  <c r="AW506" i="2"/>
  <c r="AA506" i="2"/>
  <c r="AQ506" i="2"/>
  <c r="L505" i="2"/>
  <c r="N504" i="2"/>
  <c r="O504" i="2" s="1"/>
  <c r="AT506" i="2"/>
  <c r="AN506" i="2"/>
  <c r="AH506" i="2"/>
  <c r="H506" i="2"/>
  <c r="AR506" i="2"/>
  <c r="U506" i="2"/>
  <c r="AK506" i="2"/>
  <c r="BA506" i="2"/>
  <c r="AE506" i="2"/>
  <c r="AU506" i="2"/>
  <c r="AV506" i="2"/>
  <c r="AP506" i="2"/>
  <c r="T506" i="2"/>
  <c r="AZ506" i="2"/>
  <c r="Y506" i="2"/>
  <c r="AO506" i="2"/>
  <c r="S506" i="2"/>
  <c r="AI506" i="2"/>
  <c r="AY506" i="2"/>
  <c r="K507" i="2" l="1"/>
  <c r="D508" i="2"/>
  <c r="C508" i="2"/>
  <c r="AT507" i="2"/>
  <c r="R507" i="2"/>
  <c r="V507" i="2"/>
  <c r="AD507" i="2"/>
  <c r="X507" i="2"/>
  <c r="AL507" i="2"/>
  <c r="AN507" i="2"/>
  <c r="AX507" i="2"/>
  <c r="AH507" i="2"/>
  <c r="AV507" i="2"/>
  <c r="AP507" i="2"/>
  <c r="T507" i="2"/>
  <c r="AZ507" i="2"/>
  <c r="Y507" i="2"/>
  <c r="AO507" i="2"/>
  <c r="S507" i="2"/>
  <c r="AI507" i="2"/>
  <c r="AY507" i="2"/>
  <c r="AB507" i="2"/>
  <c r="AC507" i="2"/>
  <c r="AS507" i="2"/>
  <c r="W507" i="2"/>
  <c r="AM507" i="2"/>
  <c r="N505" i="2"/>
  <c r="O505" i="2" s="1"/>
  <c r="AF507" i="2"/>
  <c r="Z507" i="2"/>
  <c r="B509" i="2"/>
  <c r="P508" i="2"/>
  <c r="M508" i="2" s="1"/>
  <c r="I508" i="2"/>
  <c r="J508" i="2"/>
  <c r="AJ507" i="2"/>
  <c r="Q507" i="2"/>
  <c r="AG507" i="2"/>
  <c r="AW507" i="2"/>
  <c r="AA507" i="2"/>
  <c r="AQ507" i="2"/>
  <c r="L506" i="2"/>
  <c r="N506" i="2" s="1"/>
  <c r="H507" i="2"/>
  <c r="AR507" i="2"/>
  <c r="U507" i="2"/>
  <c r="AK507" i="2"/>
  <c r="BA507" i="2"/>
  <c r="AE507" i="2"/>
  <c r="AU507" i="2"/>
  <c r="K508" i="2" l="1"/>
  <c r="C509" i="2"/>
  <c r="D509" i="2"/>
  <c r="V508" i="2"/>
  <c r="L507" i="2"/>
  <c r="O506" i="2"/>
  <c r="AT508" i="2"/>
  <c r="AN508" i="2"/>
  <c r="AH508" i="2"/>
  <c r="H508" i="2"/>
  <c r="AR508" i="2"/>
  <c r="U508" i="2"/>
  <c r="AK508" i="2"/>
  <c r="BA508" i="2"/>
  <c r="AE508" i="2"/>
  <c r="AU508" i="2"/>
  <c r="AV508" i="2"/>
  <c r="AP508" i="2"/>
  <c r="T508" i="2"/>
  <c r="AZ508" i="2"/>
  <c r="Y508" i="2"/>
  <c r="AO508" i="2"/>
  <c r="S508" i="2"/>
  <c r="AI508" i="2"/>
  <c r="AY508" i="2"/>
  <c r="AD508" i="2"/>
  <c r="X508" i="2"/>
  <c r="R508" i="2"/>
  <c r="AX508" i="2"/>
  <c r="AB508" i="2"/>
  <c r="AC508" i="2"/>
  <c r="AS508" i="2"/>
  <c r="W508" i="2"/>
  <c r="AM508" i="2"/>
  <c r="AL508" i="2"/>
  <c r="AF508" i="2"/>
  <c r="Z508" i="2"/>
  <c r="B510" i="2"/>
  <c r="P509" i="2"/>
  <c r="M509" i="2" s="1"/>
  <c r="I509" i="2"/>
  <c r="J509" i="2"/>
  <c r="AJ508" i="2"/>
  <c r="Q508" i="2"/>
  <c r="AG508" i="2"/>
  <c r="AW508" i="2"/>
  <c r="AA508" i="2"/>
  <c r="AQ508" i="2"/>
  <c r="K509" i="2" l="1"/>
  <c r="D510" i="2"/>
  <c r="C510" i="2"/>
  <c r="AT509" i="2"/>
  <c r="V509" i="2"/>
  <c r="AD509" i="2"/>
  <c r="X509" i="2"/>
  <c r="R509" i="2"/>
  <c r="AX509" i="2"/>
  <c r="AB509" i="2"/>
  <c r="AC509" i="2"/>
  <c r="AS509" i="2"/>
  <c r="W509" i="2"/>
  <c r="AM509" i="2"/>
  <c r="AL509" i="2"/>
  <c r="AF509" i="2"/>
  <c r="Z509" i="2"/>
  <c r="B511" i="2"/>
  <c r="P510" i="2"/>
  <c r="M510" i="2" s="1"/>
  <c r="I510" i="2"/>
  <c r="J510" i="2"/>
  <c r="AJ509" i="2"/>
  <c r="Q509" i="2"/>
  <c r="AG509" i="2"/>
  <c r="AW509" i="2"/>
  <c r="AA509" i="2"/>
  <c r="AQ509" i="2"/>
  <c r="AN509" i="2"/>
  <c r="AH509" i="2"/>
  <c r="H509" i="2"/>
  <c r="AR509" i="2"/>
  <c r="U509" i="2"/>
  <c r="AK509" i="2"/>
  <c r="BA509" i="2"/>
  <c r="AE509" i="2"/>
  <c r="AU509" i="2"/>
  <c r="N507" i="2"/>
  <c r="O507" i="2" s="1"/>
  <c r="AV509" i="2"/>
  <c r="AP509" i="2"/>
  <c r="T509" i="2"/>
  <c r="AZ509" i="2"/>
  <c r="Y509" i="2"/>
  <c r="AO509" i="2"/>
  <c r="S509" i="2"/>
  <c r="AI509" i="2"/>
  <c r="AY509" i="2"/>
  <c r="L508" i="2"/>
  <c r="K510" i="2" l="1"/>
  <c r="D511" i="2"/>
  <c r="C511" i="2"/>
  <c r="V510" i="2"/>
  <c r="AD510" i="2"/>
  <c r="Z510" i="2"/>
  <c r="Q510" i="2"/>
  <c r="AL510" i="2"/>
  <c r="AT510" i="2"/>
  <c r="AF510" i="2"/>
  <c r="AJ510" i="2"/>
  <c r="AW510" i="2"/>
  <c r="AA510" i="2"/>
  <c r="N508" i="2"/>
  <c r="O508" i="2" s="1"/>
  <c r="AG510" i="2"/>
  <c r="AN510" i="2"/>
  <c r="AH510" i="2"/>
  <c r="H510" i="2"/>
  <c r="AR510" i="2"/>
  <c r="U510" i="2"/>
  <c r="AK510" i="2"/>
  <c r="BA510" i="2"/>
  <c r="AE510" i="2"/>
  <c r="AU510" i="2"/>
  <c r="L509" i="2"/>
  <c r="AV510" i="2"/>
  <c r="AP510" i="2"/>
  <c r="T510" i="2"/>
  <c r="AZ510" i="2"/>
  <c r="Y510" i="2"/>
  <c r="AO510" i="2"/>
  <c r="S510" i="2"/>
  <c r="AI510" i="2"/>
  <c r="AY510" i="2"/>
  <c r="X510" i="2"/>
  <c r="R510" i="2"/>
  <c r="AX510" i="2"/>
  <c r="AB510" i="2"/>
  <c r="AC510" i="2"/>
  <c r="AS510" i="2"/>
  <c r="W510" i="2"/>
  <c r="AM510" i="2"/>
  <c r="B512" i="2"/>
  <c r="P511" i="2"/>
  <c r="M511" i="2" s="1"/>
  <c r="I511" i="2"/>
  <c r="J511" i="2"/>
  <c r="AQ510" i="2"/>
  <c r="K511" i="2" l="1"/>
  <c r="D512" i="2"/>
  <c r="C512" i="2"/>
  <c r="V511" i="2"/>
  <c r="X511" i="2"/>
  <c r="AT511" i="2"/>
  <c r="R511" i="2"/>
  <c r="Q511" i="2"/>
  <c r="Z511" i="2"/>
  <c r="AB511" i="2"/>
  <c r="AX511" i="2"/>
  <c r="AJ511" i="2"/>
  <c r="AD511" i="2"/>
  <c r="AL511" i="2"/>
  <c r="AF511" i="2"/>
  <c r="AN511" i="2"/>
  <c r="AH511" i="2"/>
  <c r="H511" i="2"/>
  <c r="AR511" i="2"/>
  <c r="U511" i="2"/>
  <c r="AK511" i="2"/>
  <c r="BA511" i="2"/>
  <c r="AE511" i="2"/>
  <c r="AU511" i="2"/>
  <c r="N509" i="2"/>
  <c r="O509" i="2" s="1"/>
  <c r="L510" i="2"/>
  <c r="B513" i="2"/>
  <c r="P512" i="2"/>
  <c r="M512" i="2" s="1"/>
  <c r="I512" i="2"/>
  <c r="J512" i="2"/>
  <c r="AV511" i="2"/>
  <c r="AP511" i="2"/>
  <c r="T511" i="2"/>
  <c r="AZ511" i="2"/>
  <c r="Y511" i="2"/>
  <c r="AO511" i="2"/>
  <c r="S511" i="2"/>
  <c r="AI511" i="2"/>
  <c r="AY511" i="2"/>
  <c r="AC511" i="2"/>
  <c r="AS511" i="2"/>
  <c r="W511" i="2"/>
  <c r="AM511" i="2"/>
  <c r="AG511" i="2"/>
  <c r="AW511" i="2"/>
  <c r="AA511" i="2"/>
  <c r="AQ511" i="2"/>
  <c r="K512" i="2" l="1"/>
  <c r="C513" i="2"/>
  <c r="D513" i="2"/>
  <c r="AF512" i="2"/>
  <c r="V512" i="2"/>
  <c r="AD512" i="2"/>
  <c r="AL512" i="2"/>
  <c r="AN512" i="2"/>
  <c r="AT512" i="2"/>
  <c r="X512" i="2"/>
  <c r="AH512" i="2"/>
  <c r="Z512" i="2"/>
  <c r="AJ512" i="2"/>
  <c r="AV512" i="2"/>
  <c r="AP512" i="2"/>
  <c r="T512" i="2"/>
  <c r="AZ512" i="2"/>
  <c r="Y512" i="2"/>
  <c r="AO512" i="2"/>
  <c r="S512" i="2"/>
  <c r="AI512" i="2"/>
  <c r="AY512" i="2"/>
  <c r="R512" i="2"/>
  <c r="AX512" i="2"/>
  <c r="AB512" i="2"/>
  <c r="AC512" i="2"/>
  <c r="AS512" i="2"/>
  <c r="W512" i="2"/>
  <c r="AM512" i="2"/>
  <c r="B514" i="2"/>
  <c r="P513" i="2"/>
  <c r="M513" i="2" s="1"/>
  <c r="I513" i="2"/>
  <c r="J513" i="2"/>
  <c r="Q512" i="2"/>
  <c r="AG512" i="2"/>
  <c r="AW512" i="2"/>
  <c r="AA512" i="2"/>
  <c r="AQ512" i="2"/>
  <c r="N510" i="2"/>
  <c r="O510" i="2" s="1"/>
  <c r="H512" i="2"/>
  <c r="AR512" i="2"/>
  <c r="U512" i="2"/>
  <c r="AK512" i="2"/>
  <c r="BA512" i="2"/>
  <c r="AE512" i="2"/>
  <c r="AU512" i="2"/>
  <c r="L511" i="2"/>
  <c r="K513" i="2" l="1"/>
  <c r="D514" i="2"/>
  <c r="C514" i="2"/>
  <c r="V513" i="2"/>
  <c r="N511" i="2"/>
  <c r="O511" i="2" s="1"/>
  <c r="L512" i="2"/>
  <c r="AL513" i="2"/>
  <c r="AF513" i="2"/>
  <c r="Z513" i="2"/>
  <c r="B515" i="2"/>
  <c r="P514" i="2"/>
  <c r="M514" i="2" s="1"/>
  <c r="I514" i="2"/>
  <c r="J514" i="2"/>
  <c r="AJ513" i="2"/>
  <c r="Q513" i="2"/>
  <c r="AG513" i="2"/>
  <c r="AW513" i="2"/>
  <c r="AA513" i="2"/>
  <c r="AQ513" i="2"/>
  <c r="AT513" i="2"/>
  <c r="AN513" i="2"/>
  <c r="AH513" i="2"/>
  <c r="H513" i="2"/>
  <c r="AR513" i="2"/>
  <c r="U513" i="2"/>
  <c r="AK513" i="2"/>
  <c r="BA513" i="2"/>
  <c r="AE513" i="2"/>
  <c r="AU513" i="2"/>
  <c r="AV513" i="2"/>
  <c r="AP513" i="2"/>
  <c r="T513" i="2"/>
  <c r="AZ513" i="2"/>
  <c r="Y513" i="2"/>
  <c r="AO513" i="2"/>
  <c r="S513" i="2"/>
  <c r="AI513" i="2"/>
  <c r="AY513" i="2"/>
  <c r="AD513" i="2"/>
  <c r="X513" i="2"/>
  <c r="R513" i="2"/>
  <c r="AX513" i="2"/>
  <c r="AB513" i="2"/>
  <c r="AC513" i="2"/>
  <c r="AS513" i="2"/>
  <c r="W513" i="2"/>
  <c r="AM513" i="2"/>
  <c r="K514" i="2" l="1"/>
  <c r="D515" i="2"/>
  <c r="C515" i="2"/>
  <c r="V514" i="2"/>
  <c r="AT514" i="2"/>
  <c r="AD514" i="2"/>
  <c r="X514" i="2"/>
  <c r="R514" i="2"/>
  <c r="AX514" i="2"/>
  <c r="AB514" i="2"/>
  <c r="AC514" i="2"/>
  <c r="AS514" i="2"/>
  <c r="W514" i="2"/>
  <c r="AM514" i="2"/>
  <c r="N512" i="2"/>
  <c r="O512" i="2" s="1"/>
  <c r="AL514" i="2"/>
  <c r="AF514" i="2"/>
  <c r="Z514" i="2"/>
  <c r="B516" i="2"/>
  <c r="P515" i="2"/>
  <c r="M515" i="2" s="1"/>
  <c r="I515" i="2"/>
  <c r="J515" i="2"/>
  <c r="AJ514" i="2"/>
  <c r="Q514" i="2"/>
  <c r="AG514" i="2"/>
  <c r="AW514" i="2"/>
  <c r="AA514" i="2"/>
  <c r="AQ514" i="2"/>
  <c r="L513" i="2"/>
  <c r="N513" i="2" s="1"/>
  <c r="AN514" i="2"/>
  <c r="AH514" i="2"/>
  <c r="H514" i="2"/>
  <c r="AR514" i="2"/>
  <c r="U514" i="2"/>
  <c r="AK514" i="2"/>
  <c r="BA514" i="2"/>
  <c r="AE514" i="2"/>
  <c r="AU514" i="2"/>
  <c r="AV514" i="2"/>
  <c r="AP514" i="2"/>
  <c r="T514" i="2"/>
  <c r="AZ514" i="2"/>
  <c r="Y514" i="2"/>
  <c r="AO514" i="2"/>
  <c r="S514" i="2"/>
  <c r="AI514" i="2"/>
  <c r="AY514" i="2"/>
  <c r="K515" i="2" l="1"/>
  <c r="D516" i="2"/>
  <c r="C516" i="2"/>
  <c r="AD515" i="2"/>
  <c r="V515" i="2"/>
  <c r="L514" i="2"/>
  <c r="O513" i="2"/>
  <c r="AT515" i="2"/>
  <c r="AN515" i="2"/>
  <c r="AH515" i="2"/>
  <c r="H515" i="2"/>
  <c r="AR515" i="2"/>
  <c r="U515" i="2"/>
  <c r="AK515" i="2"/>
  <c r="BA515" i="2"/>
  <c r="AE515" i="2"/>
  <c r="AU515" i="2"/>
  <c r="AV515" i="2"/>
  <c r="AP515" i="2"/>
  <c r="T515" i="2"/>
  <c r="AZ515" i="2"/>
  <c r="Y515" i="2"/>
  <c r="AO515" i="2"/>
  <c r="S515" i="2"/>
  <c r="AI515" i="2"/>
  <c r="AY515" i="2"/>
  <c r="X515" i="2"/>
  <c r="R515" i="2"/>
  <c r="AX515" i="2"/>
  <c r="AB515" i="2"/>
  <c r="AC515" i="2"/>
  <c r="AS515" i="2"/>
  <c r="W515" i="2"/>
  <c r="AM515" i="2"/>
  <c r="AL515" i="2"/>
  <c r="AF515" i="2"/>
  <c r="Z515" i="2"/>
  <c r="B517" i="2"/>
  <c r="P516" i="2"/>
  <c r="M516" i="2" s="1"/>
  <c r="I516" i="2"/>
  <c r="J516" i="2"/>
  <c r="AJ515" i="2"/>
  <c r="Q515" i="2"/>
  <c r="AG515" i="2"/>
  <c r="AW515" i="2"/>
  <c r="AA515" i="2"/>
  <c r="AQ515" i="2"/>
  <c r="K516" i="2" l="1"/>
  <c r="C517" i="2"/>
  <c r="D517" i="2"/>
  <c r="R516" i="2"/>
  <c r="V516" i="2"/>
  <c r="AT516" i="2"/>
  <c r="AL516" i="2"/>
  <c r="AN516" i="2"/>
  <c r="AB516" i="2"/>
  <c r="AH516" i="2"/>
  <c r="AD516" i="2"/>
  <c r="X516" i="2"/>
  <c r="AX516" i="2"/>
  <c r="AR516" i="2"/>
  <c r="AV516" i="2"/>
  <c r="AP516" i="2"/>
  <c r="T516" i="2"/>
  <c r="AZ516" i="2"/>
  <c r="Y516" i="2"/>
  <c r="AO516" i="2"/>
  <c r="S516" i="2"/>
  <c r="AI516" i="2"/>
  <c r="AY516" i="2"/>
  <c r="AC516" i="2"/>
  <c r="AS516" i="2"/>
  <c r="W516" i="2"/>
  <c r="AM516" i="2"/>
  <c r="AF516" i="2"/>
  <c r="Z516" i="2"/>
  <c r="B518" i="2"/>
  <c r="P517" i="2"/>
  <c r="M517" i="2" s="1"/>
  <c r="I517" i="2"/>
  <c r="J517" i="2"/>
  <c r="AJ516" i="2"/>
  <c r="Q516" i="2"/>
  <c r="AG516" i="2"/>
  <c r="AW516" i="2"/>
  <c r="AA516" i="2"/>
  <c r="AQ516" i="2"/>
  <c r="N514" i="2"/>
  <c r="O514" i="2" s="1"/>
  <c r="H516" i="2"/>
  <c r="U516" i="2"/>
  <c r="AK516" i="2"/>
  <c r="BA516" i="2"/>
  <c r="AE516" i="2"/>
  <c r="AU516" i="2"/>
  <c r="L515" i="2"/>
  <c r="N515" i="2" s="1"/>
  <c r="O515" i="2" s="1"/>
  <c r="K517" i="2" l="1"/>
  <c r="D518" i="2"/>
  <c r="C518" i="2"/>
  <c r="AL517" i="2"/>
  <c r="V517" i="2"/>
  <c r="AN517" i="2"/>
  <c r="AD517" i="2"/>
  <c r="AJ517" i="2"/>
  <c r="Z517" i="2"/>
  <c r="AT517" i="2"/>
  <c r="AF517" i="2"/>
  <c r="AH517" i="2"/>
  <c r="AR517" i="2"/>
  <c r="L516" i="2"/>
  <c r="X517" i="2"/>
  <c r="R517" i="2"/>
  <c r="AX517" i="2"/>
  <c r="AB517" i="2"/>
  <c r="AC517" i="2"/>
  <c r="AS517" i="2"/>
  <c r="W517" i="2"/>
  <c r="AM517" i="2"/>
  <c r="B519" i="2"/>
  <c r="P518" i="2"/>
  <c r="M518" i="2" s="1"/>
  <c r="I518" i="2"/>
  <c r="J518" i="2"/>
  <c r="Q517" i="2"/>
  <c r="AG517" i="2"/>
  <c r="AW517" i="2"/>
  <c r="AA517" i="2"/>
  <c r="AQ517" i="2"/>
  <c r="H517" i="2"/>
  <c r="U517" i="2"/>
  <c r="AK517" i="2"/>
  <c r="BA517" i="2"/>
  <c r="AE517" i="2"/>
  <c r="AU517" i="2"/>
  <c r="AV517" i="2"/>
  <c r="AP517" i="2"/>
  <c r="T517" i="2"/>
  <c r="AZ517" i="2"/>
  <c r="Y517" i="2"/>
  <c r="AO517" i="2"/>
  <c r="S517" i="2"/>
  <c r="AI517" i="2"/>
  <c r="AY517" i="2"/>
  <c r="K518" i="2" l="1"/>
  <c r="D519" i="2"/>
  <c r="C519" i="2"/>
  <c r="X518" i="2"/>
  <c r="V518" i="2"/>
  <c r="AN518" i="2"/>
  <c r="AD518" i="2"/>
  <c r="AH518" i="2"/>
  <c r="AT518" i="2"/>
  <c r="R518" i="2"/>
  <c r="AV518" i="2"/>
  <c r="AP518" i="2"/>
  <c r="T518" i="2"/>
  <c r="AZ518" i="2"/>
  <c r="Y518" i="2"/>
  <c r="AO518" i="2"/>
  <c r="S518" i="2"/>
  <c r="AI518" i="2"/>
  <c r="AY518" i="2"/>
  <c r="AX518" i="2"/>
  <c r="AB518" i="2"/>
  <c r="AC518" i="2"/>
  <c r="AS518" i="2"/>
  <c r="W518" i="2"/>
  <c r="AM518" i="2"/>
  <c r="AL518" i="2"/>
  <c r="AF518" i="2"/>
  <c r="Z518" i="2"/>
  <c r="B520" i="2"/>
  <c r="P519" i="2"/>
  <c r="M519" i="2" s="1"/>
  <c r="I519" i="2"/>
  <c r="J519" i="2"/>
  <c r="AJ518" i="2"/>
  <c r="Q518" i="2"/>
  <c r="AG518" i="2"/>
  <c r="AW518" i="2"/>
  <c r="AA518" i="2"/>
  <c r="AQ518" i="2"/>
  <c r="N516" i="2"/>
  <c r="O516" i="2" s="1"/>
  <c r="L517" i="2"/>
  <c r="H518" i="2"/>
  <c r="AR518" i="2"/>
  <c r="U518" i="2"/>
  <c r="AK518" i="2"/>
  <c r="BA518" i="2"/>
  <c r="AE518" i="2"/>
  <c r="AU518" i="2"/>
  <c r="K519" i="2" l="1"/>
  <c r="D520" i="2"/>
  <c r="C520" i="2"/>
  <c r="V519" i="2"/>
  <c r="AV519" i="2"/>
  <c r="AP519" i="2"/>
  <c r="T519" i="2"/>
  <c r="AZ519" i="2"/>
  <c r="Y519" i="2"/>
  <c r="AO519" i="2"/>
  <c r="S519" i="2"/>
  <c r="AI519" i="2"/>
  <c r="AY519" i="2"/>
  <c r="N517" i="2"/>
  <c r="O517" i="2" s="1"/>
  <c r="AD519" i="2"/>
  <c r="X519" i="2"/>
  <c r="R519" i="2"/>
  <c r="AX519" i="2"/>
  <c r="AB519" i="2"/>
  <c r="AC519" i="2"/>
  <c r="AS519" i="2"/>
  <c r="W519" i="2"/>
  <c r="AM519" i="2"/>
  <c r="L518" i="2"/>
  <c r="AL519" i="2"/>
  <c r="AF519" i="2"/>
  <c r="Z519" i="2"/>
  <c r="B521" i="2"/>
  <c r="P520" i="2"/>
  <c r="M520" i="2" s="1"/>
  <c r="I520" i="2"/>
  <c r="J520" i="2"/>
  <c r="AJ519" i="2"/>
  <c r="Q519" i="2"/>
  <c r="AG519" i="2"/>
  <c r="AW519" i="2"/>
  <c r="AA519" i="2"/>
  <c r="AQ519" i="2"/>
  <c r="AT519" i="2"/>
  <c r="AN519" i="2"/>
  <c r="AH519" i="2"/>
  <c r="H519" i="2"/>
  <c r="AR519" i="2"/>
  <c r="U519" i="2"/>
  <c r="AK519" i="2"/>
  <c r="BA519" i="2"/>
  <c r="AE519" i="2"/>
  <c r="AU519" i="2"/>
  <c r="K520" i="2" l="1"/>
  <c r="C521" i="2"/>
  <c r="D521" i="2"/>
  <c r="T520" i="2"/>
  <c r="S520" i="2"/>
  <c r="L519" i="2"/>
  <c r="N519" i="2" s="1"/>
  <c r="AT520" i="2"/>
  <c r="AN520" i="2"/>
  <c r="AH520" i="2"/>
  <c r="H520" i="2"/>
  <c r="AR520" i="2"/>
  <c r="U520" i="2"/>
  <c r="AK520" i="2"/>
  <c r="BA520" i="2"/>
  <c r="AE520" i="2"/>
  <c r="AU520" i="2"/>
  <c r="AV520" i="2"/>
  <c r="Y520" i="2"/>
  <c r="AY520" i="2"/>
  <c r="AP520" i="2"/>
  <c r="AO520" i="2"/>
  <c r="R520" i="2"/>
  <c r="AC520" i="2"/>
  <c r="AS520" i="2"/>
  <c r="W520" i="2"/>
  <c r="AM520" i="2"/>
  <c r="N518" i="2"/>
  <c r="O518" i="2" s="1"/>
  <c r="V520" i="2"/>
  <c r="AZ520" i="2"/>
  <c r="AI520" i="2"/>
  <c r="AD520" i="2"/>
  <c r="X520" i="2"/>
  <c r="AX520" i="2"/>
  <c r="AB520" i="2"/>
  <c r="AL520" i="2"/>
  <c r="AF520" i="2"/>
  <c r="Z520" i="2"/>
  <c r="B522" i="2"/>
  <c r="P521" i="2"/>
  <c r="M521" i="2" s="1"/>
  <c r="I521" i="2"/>
  <c r="J521" i="2"/>
  <c r="AJ520" i="2"/>
  <c r="Q520" i="2"/>
  <c r="AG520" i="2"/>
  <c r="AW520" i="2"/>
  <c r="AA520" i="2"/>
  <c r="AQ520" i="2"/>
  <c r="K521" i="2" l="1"/>
  <c r="D522" i="2"/>
  <c r="C522" i="2"/>
  <c r="AT521" i="2"/>
  <c r="Z521" i="2"/>
  <c r="AN521" i="2"/>
  <c r="Y521" i="2"/>
  <c r="AV521" i="2"/>
  <c r="X521" i="2"/>
  <c r="AB521" i="2"/>
  <c r="V521" i="2"/>
  <c r="AD521" i="2"/>
  <c r="AX521" i="2"/>
  <c r="AF521" i="2"/>
  <c r="H521" i="2"/>
  <c r="R521" i="2"/>
  <c r="T521" i="2"/>
  <c r="AJ521" i="2"/>
  <c r="AZ521" i="2"/>
  <c r="U521" i="2"/>
  <c r="AK521" i="2"/>
  <c r="BA521" i="2"/>
  <c r="AE521" i="2"/>
  <c r="AU521" i="2"/>
  <c r="O519" i="2"/>
  <c r="B523" i="2"/>
  <c r="P522" i="2"/>
  <c r="M522" i="2" s="1"/>
  <c r="I522" i="2"/>
  <c r="J522" i="2"/>
  <c r="AO521" i="2"/>
  <c r="S521" i="2"/>
  <c r="AI521" i="2"/>
  <c r="AY521" i="2"/>
  <c r="L520" i="2"/>
  <c r="AH521" i="2"/>
  <c r="AL521" i="2"/>
  <c r="AP521" i="2"/>
  <c r="AR521" i="2"/>
  <c r="AC521" i="2"/>
  <c r="AS521" i="2"/>
  <c r="W521" i="2"/>
  <c r="AM521" i="2"/>
  <c r="Q521" i="2"/>
  <c r="AG521" i="2"/>
  <c r="AW521" i="2"/>
  <c r="AA521" i="2"/>
  <c r="AQ521" i="2"/>
  <c r="K522" i="2" l="1"/>
  <c r="D523" i="2"/>
  <c r="C523" i="2"/>
  <c r="V522" i="2"/>
  <c r="Z522" i="2"/>
  <c r="N520" i="2"/>
  <c r="O520" i="2" s="1"/>
  <c r="AH522" i="2"/>
  <c r="R522" i="2"/>
  <c r="AL522" i="2"/>
  <c r="AT522" i="2"/>
  <c r="AB522" i="2"/>
  <c r="AR522" i="2"/>
  <c r="AC522" i="2"/>
  <c r="AS522" i="2"/>
  <c r="W522" i="2"/>
  <c r="AM522" i="2"/>
  <c r="AF522" i="2"/>
  <c r="AV522" i="2"/>
  <c r="Q522" i="2"/>
  <c r="AG522" i="2"/>
  <c r="AW522" i="2"/>
  <c r="AA522" i="2"/>
  <c r="AQ522" i="2"/>
  <c r="AX522" i="2"/>
  <c r="AP522" i="2"/>
  <c r="T522" i="2"/>
  <c r="AJ522" i="2"/>
  <c r="AZ522" i="2"/>
  <c r="U522" i="2"/>
  <c r="AK522" i="2"/>
  <c r="BA522" i="2"/>
  <c r="AE522" i="2"/>
  <c r="AU522" i="2"/>
  <c r="L521" i="2"/>
  <c r="N521" i="2" s="1"/>
  <c r="O521" i="2" s="1"/>
  <c r="H522" i="2"/>
  <c r="AD522" i="2"/>
  <c r="X522" i="2"/>
  <c r="AN522" i="2"/>
  <c r="B524" i="2"/>
  <c r="P523" i="2"/>
  <c r="M523" i="2" s="1"/>
  <c r="J523" i="2"/>
  <c r="I523" i="2"/>
  <c r="Y522" i="2"/>
  <c r="AO522" i="2"/>
  <c r="S522" i="2"/>
  <c r="AI522" i="2"/>
  <c r="AY522" i="2"/>
  <c r="K523" i="2" l="1"/>
  <c r="D524" i="2"/>
  <c r="C524" i="2"/>
  <c r="V523" i="2"/>
  <c r="Z523" i="2"/>
  <c r="AJ523" i="2"/>
  <c r="AD523" i="2"/>
  <c r="R523" i="2"/>
  <c r="AL523" i="2"/>
  <c r="X523" i="2"/>
  <c r="AP523" i="2"/>
  <c r="AH523" i="2"/>
  <c r="T523" i="2"/>
  <c r="AZ523" i="2"/>
  <c r="AK523" i="2"/>
  <c r="BA523" i="2"/>
  <c r="AN523" i="2"/>
  <c r="U523" i="2"/>
  <c r="AE523" i="2"/>
  <c r="AU523" i="2"/>
  <c r="B525" i="2"/>
  <c r="P524" i="2"/>
  <c r="M524" i="2" s="1"/>
  <c r="J524" i="2"/>
  <c r="I524" i="2"/>
  <c r="Y523" i="2"/>
  <c r="AO523" i="2"/>
  <c r="S523" i="2"/>
  <c r="AI523" i="2"/>
  <c r="AY523" i="2"/>
  <c r="L522" i="2"/>
  <c r="N522" i="2" s="1"/>
  <c r="O522" i="2" s="1"/>
  <c r="AT523" i="2"/>
  <c r="AX523" i="2"/>
  <c r="AB523" i="2"/>
  <c r="AR523" i="2"/>
  <c r="AC523" i="2"/>
  <c r="AS523" i="2"/>
  <c r="W523" i="2"/>
  <c r="AM523" i="2"/>
  <c r="H523" i="2"/>
  <c r="AF523" i="2"/>
  <c r="AV523" i="2"/>
  <c r="Q523" i="2"/>
  <c r="AG523" i="2"/>
  <c r="AW523" i="2"/>
  <c r="AA523" i="2"/>
  <c r="AQ523" i="2"/>
  <c r="K524" i="2" l="1"/>
  <c r="C525" i="2"/>
  <c r="D525" i="2"/>
  <c r="AD524" i="2"/>
  <c r="AX524" i="2"/>
  <c r="AT524" i="2"/>
  <c r="AP524" i="2"/>
  <c r="AH524" i="2"/>
  <c r="R524" i="2"/>
  <c r="AL524" i="2"/>
  <c r="AN524" i="2"/>
  <c r="AR524" i="2"/>
  <c r="X524" i="2"/>
  <c r="Z524" i="2"/>
  <c r="V524" i="2"/>
  <c r="AB524" i="2"/>
  <c r="T524" i="2"/>
  <c r="AJ524" i="2"/>
  <c r="AZ524" i="2"/>
  <c r="U524" i="2"/>
  <c r="AK524" i="2"/>
  <c r="BA524" i="2"/>
  <c r="AE524" i="2"/>
  <c r="AU524" i="2"/>
  <c r="H524" i="2"/>
  <c r="B526" i="2"/>
  <c r="P525" i="2"/>
  <c r="M525" i="2" s="1"/>
  <c r="I525" i="2"/>
  <c r="J525" i="2"/>
  <c r="Y524" i="2"/>
  <c r="AO524" i="2"/>
  <c r="S524" i="2"/>
  <c r="AI524" i="2"/>
  <c r="AY524" i="2"/>
  <c r="AC524" i="2"/>
  <c r="AS524" i="2"/>
  <c r="W524" i="2"/>
  <c r="AM524" i="2"/>
  <c r="L523" i="2"/>
  <c r="AF524" i="2"/>
  <c r="AV524" i="2"/>
  <c r="Q524" i="2"/>
  <c r="AG524" i="2"/>
  <c r="AW524" i="2"/>
  <c r="AA524" i="2"/>
  <c r="AQ524" i="2"/>
  <c r="K525" i="2" l="1"/>
  <c r="D526" i="2"/>
  <c r="C526" i="2"/>
  <c r="AD525" i="2"/>
  <c r="AH525" i="2"/>
  <c r="V525" i="2"/>
  <c r="N523" i="2"/>
  <c r="O523" i="2" s="1"/>
  <c r="R525" i="2"/>
  <c r="AL525" i="2"/>
  <c r="T525" i="2"/>
  <c r="AJ525" i="2"/>
  <c r="AZ525" i="2"/>
  <c r="U525" i="2"/>
  <c r="AK525" i="2"/>
  <c r="BA525" i="2"/>
  <c r="AE525" i="2"/>
  <c r="AU525" i="2"/>
  <c r="Z525" i="2"/>
  <c r="X525" i="2"/>
  <c r="AN525" i="2"/>
  <c r="B527" i="2"/>
  <c r="P526" i="2"/>
  <c r="M526" i="2" s="1"/>
  <c r="J526" i="2"/>
  <c r="I526" i="2"/>
  <c r="Y525" i="2"/>
  <c r="AO525" i="2"/>
  <c r="S525" i="2"/>
  <c r="AI525" i="2"/>
  <c r="AY525" i="2"/>
  <c r="AT525" i="2"/>
  <c r="AX525" i="2"/>
  <c r="AP525" i="2"/>
  <c r="AB525" i="2"/>
  <c r="AR525" i="2"/>
  <c r="AC525" i="2"/>
  <c r="AS525" i="2"/>
  <c r="W525" i="2"/>
  <c r="AM525" i="2"/>
  <c r="L524" i="2"/>
  <c r="N524" i="2" s="1"/>
  <c r="O524" i="2" s="1"/>
  <c r="H525" i="2"/>
  <c r="AF525" i="2"/>
  <c r="AV525" i="2"/>
  <c r="Q525" i="2"/>
  <c r="AG525" i="2"/>
  <c r="AW525" i="2"/>
  <c r="AA525" i="2"/>
  <c r="AQ525" i="2"/>
  <c r="K526" i="2" l="1"/>
  <c r="D527" i="2"/>
  <c r="C527" i="2"/>
  <c r="AH526" i="2"/>
  <c r="AX526" i="2"/>
  <c r="AP526" i="2"/>
  <c r="Z526" i="2"/>
  <c r="H526" i="2"/>
  <c r="V526" i="2"/>
  <c r="AD526" i="2"/>
  <c r="X526" i="2"/>
  <c r="AN526" i="2"/>
  <c r="B528" i="2"/>
  <c r="P527" i="2"/>
  <c r="M527" i="2" s="1"/>
  <c r="J527" i="2"/>
  <c r="I527" i="2"/>
  <c r="Y526" i="2"/>
  <c r="AO526" i="2"/>
  <c r="S526" i="2"/>
  <c r="AI526" i="2"/>
  <c r="AY526" i="2"/>
  <c r="L525" i="2"/>
  <c r="R526" i="2"/>
  <c r="AL526" i="2"/>
  <c r="AT526" i="2"/>
  <c r="AB526" i="2"/>
  <c r="AR526" i="2"/>
  <c r="AC526" i="2"/>
  <c r="AS526" i="2"/>
  <c r="W526" i="2"/>
  <c r="AM526" i="2"/>
  <c r="AF526" i="2"/>
  <c r="AV526" i="2"/>
  <c r="Q526" i="2"/>
  <c r="AG526" i="2"/>
  <c r="AW526" i="2"/>
  <c r="AA526" i="2"/>
  <c r="AQ526" i="2"/>
  <c r="T526" i="2"/>
  <c r="AJ526" i="2"/>
  <c r="AZ526" i="2"/>
  <c r="U526" i="2"/>
  <c r="AK526" i="2"/>
  <c r="BA526" i="2"/>
  <c r="AE526" i="2"/>
  <c r="AU526" i="2"/>
  <c r="K527" i="2" l="1"/>
  <c r="V527" i="2"/>
  <c r="D528" i="2"/>
  <c r="C528" i="2"/>
  <c r="AD527" i="2"/>
  <c r="AT527" i="2"/>
  <c r="Z527" i="2"/>
  <c r="AL527" i="2"/>
  <c r="AP527" i="2"/>
  <c r="R527" i="2"/>
  <c r="T527" i="2"/>
  <c r="X527" i="2"/>
  <c r="AZ527" i="2"/>
  <c r="AN527" i="2"/>
  <c r="U527" i="2"/>
  <c r="AI527" i="2"/>
  <c r="Y527" i="2"/>
  <c r="AY527" i="2"/>
  <c r="N525" i="2"/>
  <c r="O525" i="2" s="1"/>
  <c r="AO527" i="2"/>
  <c r="AH527" i="2"/>
  <c r="AJ527" i="2"/>
  <c r="S527" i="2"/>
  <c r="AK527" i="2"/>
  <c r="BA527" i="2"/>
  <c r="AE527" i="2"/>
  <c r="AU527" i="2"/>
  <c r="B529" i="2"/>
  <c r="P528" i="2"/>
  <c r="M528" i="2" s="1"/>
  <c r="I528" i="2"/>
  <c r="J528" i="2"/>
  <c r="AX527" i="2"/>
  <c r="AB527" i="2"/>
  <c r="AR527" i="2"/>
  <c r="AC527" i="2"/>
  <c r="AS527" i="2"/>
  <c r="W527" i="2"/>
  <c r="AM527" i="2"/>
  <c r="L526" i="2"/>
  <c r="H527" i="2"/>
  <c r="AF527" i="2"/>
  <c r="AV527" i="2"/>
  <c r="Q527" i="2"/>
  <c r="AG527" i="2"/>
  <c r="AW527" i="2"/>
  <c r="AA527" i="2"/>
  <c r="AQ527" i="2"/>
  <c r="K528" i="2" l="1"/>
  <c r="C529" i="2"/>
  <c r="D529" i="2"/>
  <c r="AP528" i="2"/>
  <c r="R528" i="2"/>
  <c r="Z528" i="2"/>
  <c r="V528" i="2"/>
  <c r="AT528" i="2"/>
  <c r="AX528" i="2"/>
  <c r="X528" i="2"/>
  <c r="AJ528" i="2"/>
  <c r="AN528" i="2"/>
  <c r="AD528" i="2"/>
  <c r="AH528" i="2"/>
  <c r="T528" i="2"/>
  <c r="N526" i="2"/>
  <c r="O526" i="2" s="1"/>
  <c r="AL528" i="2"/>
  <c r="AB528" i="2"/>
  <c r="AR528" i="2"/>
  <c r="AC528" i="2"/>
  <c r="AS528" i="2"/>
  <c r="W528" i="2"/>
  <c r="AM528" i="2"/>
  <c r="L527" i="2"/>
  <c r="AF528" i="2"/>
  <c r="AV528" i="2"/>
  <c r="Q528" i="2"/>
  <c r="AG528" i="2"/>
  <c r="AW528" i="2"/>
  <c r="AA528" i="2"/>
  <c r="AQ528" i="2"/>
  <c r="AZ528" i="2"/>
  <c r="U528" i="2"/>
  <c r="AK528" i="2"/>
  <c r="BA528" i="2"/>
  <c r="AE528" i="2"/>
  <c r="AU528" i="2"/>
  <c r="H528" i="2"/>
  <c r="B530" i="2"/>
  <c r="P529" i="2"/>
  <c r="M529" i="2" s="1"/>
  <c r="I529" i="2"/>
  <c r="J529" i="2"/>
  <c r="Y528" i="2"/>
  <c r="AO528" i="2"/>
  <c r="S528" i="2"/>
  <c r="AI528" i="2"/>
  <c r="AY528" i="2"/>
  <c r="K529" i="2" l="1"/>
  <c r="D530" i="2"/>
  <c r="C530" i="2"/>
  <c r="AT529" i="2"/>
  <c r="AP529" i="2"/>
  <c r="AX529" i="2"/>
  <c r="V529" i="2"/>
  <c r="AB529" i="2"/>
  <c r="N527" i="2"/>
  <c r="O527" i="2" s="1"/>
  <c r="AD529" i="2"/>
  <c r="AH529" i="2"/>
  <c r="Z529" i="2"/>
  <c r="X529" i="2"/>
  <c r="AN529" i="2"/>
  <c r="B531" i="2"/>
  <c r="P530" i="2"/>
  <c r="M530" i="2" s="1"/>
  <c r="J530" i="2"/>
  <c r="I530" i="2"/>
  <c r="Y529" i="2"/>
  <c r="AO529" i="2"/>
  <c r="S529" i="2"/>
  <c r="AI529" i="2"/>
  <c r="AY529" i="2"/>
  <c r="AR529" i="2"/>
  <c r="AC529" i="2"/>
  <c r="AS529" i="2"/>
  <c r="W529" i="2"/>
  <c r="AM529" i="2"/>
  <c r="L528" i="2"/>
  <c r="N528" i="2" s="1"/>
  <c r="O528" i="2" s="1"/>
  <c r="AF529" i="2"/>
  <c r="AV529" i="2"/>
  <c r="Q529" i="2"/>
  <c r="AG529" i="2"/>
  <c r="AW529" i="2"/>
  <c r="AA529" i="2"/>
  <c r="AQ529" i="2"/>
  <c r="H529" i="2"/>
  <c r="R529" i="2"/>
  <c r="AL529" i="2"/>
  <c r="T529" i="2"/>
  <c r="AJ529" i="2"/>
  <c r="AZ529" i="2"/>
  <c r="U529" i="2"/>
  <c r="AK529" i="2"/>
  <c r="BA529" i="2"/>
  <c r="AE529" i="2"/>
  <c r="AU529" i="2"/>
  <c r="K530" i="2" l="1"/>
  <c r="D531" i="2"/>
  <c r="C531" i="2"/>
  <c r="R530" i="2"/>
  <c r="AH530" i="2"/>
  <c r="AL530" i="2"/>
  <c r="V530" i="2"/>
  <c r="AD530" i="2"/>
  <c r="AJ530" i="2"/>
  <c r="AN530" i="2"/>
  <c r="Z530" i="2"/>
  <c r="T530" i="2"/>
  <c r="AZ530" i="2"/>
  <c r="AX530" i="2"/>
  <c r="AP530" i="2"/>
  <c r="X530" i="2"/>
  <c r="AF530" i="2"/>
  <c r="AV530" i="2"/>
  <c r="Q530" i="2"/>
  <c r="AG530" i="2"/>
  <c r="AW530" i="2"/>
  <c r="AA530" i="2"/>
  <c r="AQ530" i="2"/>
  <c r="U530" i="2"/>
  <c r="AK530" i="2"/>
  <c r="BA530" i="2"/>
  <c r="AE530" i="2"/>
  <c r="AU530" i="2"/>
  <c r="H530" i="2"/>
  <c r="B532" i="2"/>
  <c r="P531" i="2"/>
  <c r="M531" i="2" s="1"/>
  <c r="I531" i="2"/>
  <c r="J531" i="2"/>
  <c r="Y530" i="2"/>
  <c r="AO530" i="2"/>
  <c r="S530" i="2"/>
  <c r="AI530" i="2"/>
  <c r="AY530" i="2"/>
  <c r="L529" i="2"/>
  <c r="AT530" i="2"/>
  <c r="AB530" i="2"/>
  <c r="AR530" i="2"/>
  <c r="AC530" i="2"/>
  <c r="AS530" i="2"/>
  <c r="W530" i="2"/>
  <c r="AM530" i="2"/>
  <c r="K531" i="2" l="1"/>
  <c r="D532" i="2"/>
  <c r="C532" i="2"/>
  <c r="AL531" i="2"/>
  <c r="AT531" i="2"/>
  <c r="Z531" i="2"/>
  <c r="T531" i="2"/>
  <c r="AP531" i="2"/>
  <c r="R531" i="2"/>
  <c r="AJ531" i="2"/>
  <c r="V531" i="2"/>
  <c r="AD531" i="2"/>
  <c r="AH531" i="2"/>
  <c r="N529" i="2"/>
  <c r="O529" i="2" s="1"/>
  <c r="AZ531" i="2"/>
  <c r="U531" i="2"/>
  <c r="AK531" i="2"/>
  <c r="BA531" i="2"/>
  <c r="AE531" i="2"/>
  <c r="AU531" i="2"/>
  <c r="X531" i="2"/>
  <c r="AN531" i="2"/>
  <c r="B533" i="2"/>
  <c r="P532" i="2"/>
  <c r="M532" i="2" s="1"/>
  <c r="I532" i="2"/>
  <c r="J532" i="2"/>
  <c r="Y531" i="2"/>
  <c r="AO531" i="2"/>
  <c r="S531" i="2"/>
  <c r="AI531" i="2"/>
  <c r="AY531" i="2"/>
  <c r="AX531" i="2"/>
  <c r="AB531" i="2"/>
  <c r="AR531" i="2"/>
  <c r="AC531" i="2"/>
  <c r="AS531" i="2"/>
  <c r="W531" i="2"/>
  <c r="AM531" i="2"/>
  <c r="L530" i="2"/>
  <c r="H531" i="2"/>
  <c r="AF531" i="2"/>
  <c r="AV531" i="2"/>
  <c r="Q531" i="2"/>
  <c r="AG531" i="2"/>
  <c r="AW531" i="2"/>
  <c r="AA531" i="2"/>
  <c r="AQ531" i="2"/>
  <c r="K532" i="2" l="1"/>
  <c r="C533" i="2"/>
  <c r="D533" i="2"/>
  <c r="AP532" i="2"/>
  <c r="R532" i="2"/>
  <c r="Z532" i="2"/>
  <c r="V532" i="2"/>
  <c r="AT532" i="2"/>
  <c r="AX532" i="2"/>
  <c r="X532" i="2"/>
  <c r="AJ532" i="2"/>
  <c r="AN532" i="2"/>
  <c r="AD532" i="2"/>
  <c r="AH532" i="2"/>
  <c r="T532" i="2"/>
  <c r="AZ532" i="2"/>
  <c r="N530" i="2"/>
  <c r="O530" i="2" s="1"/>
  <c r="L531" i="2"/>
  <c r="N531" i="2" s="1"/>
  <c r="AL532" i="2"/>
  <c r="AB532" i="2"/>
  <c r="AR532" i="2"/>
  <c r="AC532" i="2"/>
  <c r="AS532" i="2"/>
  <c r="W532" i="2"/>
  <c r="AM532" i="2"/>
  <c r="AF532" i="2"/>
  <c r="AV532" i="2"/>
  <c r="Q532" i="2"/>
  <c r="AG532" i="2"/>
  <c r="AW532" i="2"/>
  <c r="AA532" i="2"/>
  <c r="AQ532" i="2"/>
  <c r="U532" i="2"/>
  <c r="AK532" i="2"/>
  <c r="BA532" i="2"/>
  <c r="AE532" i="2"/>
  <c r="AU532" i="2"/>
  <c r="H532" i="2"/>
  <c r="B534" i="2"/>
  <c r="P533" i="2"/>
  <c r="M533" i="2" s="1"/>
  <c r="I533" i="2"/>
  <c r="J533" i="2"/>
  <c r="Y532" i="2"/>
  <c r="AO532" i="2"/>
  <c r="S532" i="2"/>
  <c r="AI532" i="2"/>
  <c r="AY532" i="2"/>
  <c r="K533" i="2" l="1"/>
  <c r="D534" i="2"/>
  <c r="C534" i="2"/>
  <c r="AD533" i="2"/>
  <c r="AL533" i="2"/>
  <c r="AH533" i="2"/>
  <c r="V533" i="2"/>
  <c r="R533" i="2"/>
  <c r="Z533" i="2"/>
  <c r="AB533" i="2"/>
  <c r="Y533" i="2"/>
  <c r="AT533" i="2"/>
  <c r="AX533" i="2"/>
  <c r="AP533" i="2"/>
  <c r="AN533" i="2"/>
  <c r="X533" i="2"/>
  <c r="O531" i="2"/>
  <c r="AR533" i="2"/>
  <c r="T533" i="2"/>
  <c r="AJ533" i="2"/>
  <c r="AZ533" i="2"/>
  <c r="U533" i="2"/>
  <c r="AK533" i="2"/>
  <c r="BA533" i="2"/>
  <c r="AE533" i="2"/>
  <c r="AU533" i="2"/>
  <c r="B535" i="2"/>
  <c r="P534" i="2"/>
  <c r="M534" i="2" s="1"/>
  <c r="J534" i="2"/>
  <c r="I534" i="2"/>
  <c r="AO533" i="2"/>
  <c r="S533" i="2"/>
  <c r="AI533" i="2"/>
  <c r="AY533" i="2"/>
  <c r="AC533" i="2"/>
  <c r="AS533" i="2"/>
  <c r="W533" i="2"/>
  <c r="AM533" i="2"/>
  <c r="L532" i="2"/>
  <c r="H533" i="2"/>
  <c r="AF533" i="2"/>
  <c r="AV533" i="2"/>
  <c r="Q533" i="2"/>
  <c r="AG533" i="2"/>
  <c r="AW533" i="2"/>
  <c r="AA533" i="2"/>
  <c r="AQ533" i="2"/>
  <c r="K534" i="2" l="1"/>
  <c r="D535" i="2"/>
  <c r="C535" i="2"/>
  <c r="N532" i="2"/>
  <c r="O532" i="2" s="1"/>
  <c r="L533" i="2"/>
  <c r="T534" i="2"/>
  <c r="AJ534" i="2"/>
  <c r="AZ534" i="2"/>
  <c r="U534" i="2"/>
  <c r="AK534" i="2"/>
  <c r="BA534" i="2"/>
  <c r="Z534" i="2"/>
  <c r="AP534" i="2"/>
  <c r="W534" i="2"/>
  <c r="AM534" i="2"/>
  <c r="X534" i="2"/>
  <c r="AN534" i="2"/>
  <c r="B536" i="2"/>
  <c r="P535" i="2"/>
  <c r="M535" i="2" s="1"/>
  <c r="J535" i="2"/>
  <c r="I535" i="2"/>
  <c r="Y534" i="2"/>
  <c r="AO534" i="2"/>
  <c r="H534" i="2"/>
  <c r="AD534" i="2"/>
  <c r="AT534" i="2"/>
  <c r="AA534" i="2"/>
  <c r="AQ534" i="2"/>
  <c r="AB534" i="2"/>
  <c r="AR534" i="2"/>
  <c r="AC534" i="2"/>
  <c r="AS534" i="2"/>
  <c r="R534" i="2"/>
  <c r="AH534" i="2"/>
  <c r="AX534" i="2"/>
  <c r="AE534" i="2"/>
  <c r="AU534" i="2"/>
  <c r="AF534" i="2"/>
  <c r="AV534" i="2"/>
  <c r="Q534" i="2"/>
  <c r="AG534" i="2"/>
  <c r="AW534" i="2"/>
  <c r="V534" i="2"/>
  <c r="AL534" i="2"/>
  <c r="S534" i="2"/>
  <c r="AI534" i="2"/>
  <c r="AY534" i="2"/>
  <c r="K535" i="2" l="1"/>
  <c r="D536" i="2"/>
  <c r="C536" i="2"/>
  <c r="T535" i="2"/>
  <c r="AF535" i="2"/>
  <c r="AV535" i="2"/>
  <c r="Q535" i="2"/>
  <c r="AG535" i="2"/>
  <c r="AW535" i="2"/>
  <c r="V535" i="2"/>
  <c r="AL535" i="2"/>
  <c r="S535" i="2"/>
  <c r="AI535" i="2"/>
  <c r="AY535" i="2"/>
  <c r="AJ535" i="2"/>
  <c r="AZ535" i="2"/>
  <c r="U535" i="2"/>
  <c r="AK535" i="2"/>
  <c r="BA535" i="2"/>
  <c r="Z535" i="2"/>
  <c r="AP535" i="2"/>
  <c r="W535" i="2"/>
  <c r="AM535" i="2"/>
  <c r="L534" i="2"/>
  <c r="X535" i="2"/>
  <c r="AN535" i="2"/>
  <c r="B537" i="2"/>
  <c r="P536" i="2"/>
  <c r="M536" i="2" s="1"/>
  <c r="J536" i="2"/>
  <c r="I536" i="2"/>
  <c r="Y535" i="2"/>
  <c r="AO535" i="2"/>
  <c r="H535" i="2"/>
  <c r="AD535" i="2"/>
  <c r="AT535" i="2"/>
  <c r="AA535" i="2"/>
  <c r="AQ535" i="2"/>
  <c r="N533" i="2"/>
  <c r="O533" i="2" s="1"/>
  <c r="AB535" i="2"/>
  <c r="AR535" i="2"/>
  <c r="AC535" i="2"/>
  <c r="AS535" i="2"/>
  <c r="R535" i="2"/>
  <c r="AH535" i="2"/>
  <c r="AX535" i="2"/>
  <c r="AE535" i="2"/>
  <c r="AU535" i="2"/>
  <c r="K536" i="2" l="1"/>
  <c r="C537" i="2"/>
  <c r="D537" i="2"/>
  <c r="AN536" i="2"/>
  <c r="AO536" i="2"/>
  <c r="AA536" i="2"/>
  <c r="AQ536" i="2"/>
  <c r="AD536" i="2"/>
  <c r="X536" i="2"/>
  <c r="Y536" i="2"/>
  <c r="AT536" i="2"/>
  <c r="H536" i="2"/>
  <c r="AB536" i="2"/>
  <c r="AR536" i="2"/>
  <c r="AC536" i="2"/>
  <c r="AS536" i="2"/>
  <c r="R536" i="2"/>
  <c r="AH536" i="2"/>
  <c r="AX536" i="2"/>
  <c r="AE536" i="2"/>
  <c r="AU536" i="2"/>
  <c r="B538" i="2"/>
  <c r="P537" i="2"/>
  <c r="M537" i="2" s="1"/>
  <c r="J537" i="2"/>
  <c r="I537" i="2"/>
  <c r="AF536" i="2"/>
  <c r="AV536" i="2"/>
  <c r="Q536" i="2"/>
  <c r="AG536" i="2"/>
  <c r="AW536" i="2"/>
  <c r="V536" i="2"/>
  <c r="AL536" i="2"/>
  <c r="S536" i="2"/>
  <c r="AI536" i="2"/>
  <c r="AY536" i="2"/>
  <c r="N534" i="2"/>
  <c r="O534" i="2" s="1"/>
  <c r="L535" i="2"/>
  <c r="N535" i="2" s="1"/>
  <c r="T536" i="2"/>
  <c r="AJ536" i="2"/>
  <c r="AZ536" i="2"/>
  <c r="U536" i="2"/>
  <c r="AK536" i="2"/>
  <c r="BA536" i="2"/>
  <c r="Z536" i="2"/>
  <c r="AP536" i="2"/>
  <c r="W536" i="2"/>
  <c r="AM536" i="2"/>
  <c r="K537" i="2" l="1"/>
  <c r="D538" i="2"/>
  <c r="C538" i="2"/>
  <c r="AZ537" i="2"/>
  <c r="AJ537" i="2"/>
  <c r="U537" i="2"/>
  <c r="AP537" i="2"/>
  <c r="AK537" i="2"/>
  <c r="T537" i="2"/>
  <c r="Z537" i="2"/>
  <c r="O535" i="2"/>
  <c r="AM537" i="2"/>
  <c r="BA537" i="2"/>
  <c r="W537" i="2"/>
  <c r="X537" i="2"/>
  <c r="AN537" i="2"/>
  <c r="B539" i="2"/>
  <c r="P538" i="2"/>
  <c r="M538" i="2" s="1"/>
  <c r="J538" i="2"/>
  <c r="I538" i="2"/>
  <c r="Y537" i="2"/>
  <c r="AO537" i="2"/>
  <c r="H537" i="2"/>
  <c r="AD537" i="2"/>
  <c r="AT537" i="2"/>
  <c r="AA537" i="2"/>
  <c r="AQ537" i="2"/>
  <c r="L536" i="2"/>
  <c r="AB537" i="2"/>
  <c r="AR537" i="2"/>
  <c r="AC537" i="2"/>
  <c r="AS537" i="2"/>
  <c r="R537" i="2"/>
  <c r="AH537" i="2"/>
  <c r="AX537" i="2"/>
  <c r="AE537" i="2"/>
  <c r="AU537" i="2"/>
  <c r="AF537" i="2"/>
  <c r="AV537" i="2"/>
  <c r="Q537" i="2"/>
  <c r="AG537" i="2"/>
  <c r="AW537" i="2"/>
  <c r="V537" i="2"/>
  <c r="AL537" i="2"/>
  <c r="S537" i="2"/>
  <c r="AI537" i="2"/>
  <c r="AY537" i="2"/>
  <c r="K538" i="2" l="1"/>
  <c r="D539" i="2"/>
  <c r="C539" i="2"/>
  <c r="T538" i="2"/>
  <c r="AH538" i="2"/>
  <c r="AC538" i="2"/>
  <c r="AB538" i="2"/>
  <c r="R538" i="2"/>
  <c r="AE538" i="2"/>
  <c r="AU538" i="2"/>
  <c r="AR538" i="2"/>
  <c r="AS538" i="2"/>
  <c r="AX538" i="2"/>
  <c r="N536" i="2"/>
  <c r="O536" i="2" s="1"/>
  <c r="AF538" i="2"/>
  <c r="AV538" i="2"/>
  <c r="Q538" i="2"/>
  <c r="AG538" i="2"/>
  <c r="AW538" i="2"/>
  <c r="V538" i="2"/>
  <c r="AL538" i="2"/>
  <c r="S538" i="2"/>
  <c r="AI538" i="2"/>
  <c r="AY538" i="2"/>
  <c r="AJ538" i="2"/>
  <c r="AZ538" i="2"/>
  <c r="U538" i="2"/>
  <c r="AK538" i="2"/>
  <c r="BA538" i="2"/>
  <c r="Z538" i="2"/>
  <c r="AP538" i="2"/>
  <c r="W538" i="2"/>
  <c r="AM538" i="2"/>
  <c r="L537" i="2"/>
  <c r="X538" i="2"/>
  <c r="AN538" i="2"/>
  <c r="B540" i="2"/>
  <c r="P539" i="2"/>
  <c r="M539" i="2" s="1"/>
  <c r="J539" i="2"/>
  <c r="I539" i="2"/>
  <c r="Y538" i="2"/>
  <c r="AO538" i="2"/>
  <c r="H538" i="2"/>
  <c r="AD538" i="2"/>
  <c r="AT538" i="2"/>
  <c r="AA538" i="2"/>
  <c r="AQ538" i="2"/>
  <c r="K539" i="2" l="1"/>
  <c r="D540" i="2"/>
  <c r="C540" i="2"/>
  <c r="AB539" i="2"/>
  <c r="AC539" i="2"/>
  <c r="AH539" i="2"/>
  <c r="AR539" i="2"/>
  <c r="AS539" i="2"/>
  <c r="AX539" i="2"/>
  <c r="AE539" i="2"/>
  <c r="X539" i="2"/>
  <c r="R539" i="2"/>
  <c r="AU539" i="2"/>
  <c r="AF539" i="2"/>
  <c r="AV539" i="2"/>
  <c r="Q539" i="2"/>
  <c r="AG539" i="2"/>
  <c r="AW539" i="2"/>
  <c r="V539" i="2"/>
  <c r="AL539" i="2"/>
  <c r="S539" i="2"/>
  <c r="AI539" i="2"/>
  <c r="AY539" i="2"/>
  <c r="N537" i="2"/>
  <c r="O537" i="2" s="1"/>
  <c r="T539" i="2"/>
  <c r="AJ539" i="2"/>
  <c r="AZ539" i="2"/>
  <c r="U539" i="2"/>
  <c r="AK539" i="2"/>
  <c r="BA539" i="2"/>
  <c r="Z539" i="2"/>
  <c r="AP539" i="2"/>
  <c r="W539" i="2"/>
  <c r="AM539" i="2"/>
  <c r="L538" i="2"/>
  <c r="N538" i="2" s="1"/>
  <c r="AN539" i="2"/>
  <c r="B541" i="2"/>
  <c r="P540" i="2"/>
  <c r="M540" i="2" s="1"/>
  <c r="J540" i="2"/>
  <c r="I540" i="2"/>
  <c r="Y539" i="2"/>
  <c r="AO539" i="2"/>
  <c r="H539" i="2"/>
  <c r="AD539" i="2"/>
  <c r="AT539" i="2"/>
  <c r="AA539" i="2"/>
  <c r="AQ539" i="2"/>
  <c r="K540" i="2" l="1"/>
  <c r="C541" i="2"/>
  <c r="D541" i="2"/>
  <c r="AN540" i="2"/>
  <c r="R540" i="2"/>
  <c r="AH540" i="2"/>
  <c r="AB540" i="2"/>
  <c r="AC540" i="2"/>
  <c r="X540" i="2"/>
  <c r="AE540" i="2"/>
  <c r="AU540" i="2"/>
  <c r="AR540" i="2"/>
  <c r="AS540" i="2"/>
  <c r="AX540" i="2"/>
  <c r="O538" i="2"/>
  <c r="AF540" i="2"/>
  <c r="AV540" i="2"/>
  <c r="Q540" i="2"/>
  <c r="AG540" i="2"/>
  <c r="AW540" i="2"/>
  <c r="V540" i="2"/>
  <c r="AL540" i="2"/>
  <c r="S540" i="2"/>
  <c r="AI540" i="2"/>
  <c r="AY540" i="2"/>
  <c r="T540" i="2"/>
  <c r="AJ540" i="2"/>
  <c r="AZ540" i="2"/>
  <c r="U540" i="2"/>
  <c r="AK540" i="2"/>
  <c r="BA540" i="2"/>
  <c r="Z540" i="2"/>
  <c r="AP540" i="2"/>
  <c r="W540" i="2"/>
  <c r="AM540" i="2"/>
  <c r="L539" i="2"/>
  <c r="B542" i="2"/>
  <c r="P541" i="2"/>
  <c r="M541" i="2" s="1"/>
  <c r="J541" i="2"/>
  <c r="I541" i="2"/>
  <c r="Y540" i="2"/>
  <c r="AO540" i="2"/>
  <c r="H540" i="2"/>
  <c r="AD540" i="2"/>
  <c r="AT540" i="2"/>
  <c r="AA540" i="2"/>
  <c r="AQ540" i="2"/>
  <c r="K541" i="2" l="1"/>
  <c r="D542" i="2"/>
  <c r="C542" i="2"/>
  <c r="AZ541" i="2"/>
  <c r="T541" i="2"/>
  <c r="X541" i="2"/>
  <c r="AN541" i="2"/>
  <c r="U541" i="2"/>
  <c r="Y541" i="2"/>
  <c r="AK541" i="2"/>
  <c r="AJ541" i="2"/>
  <c r="AF541" i="2"/>
  <c r="AV541" i="2"/>
  <c r="Q541" i="2"/>
  <c r="AG541" i="2"/>
  <c r="AW541" i="2"/>
  <c r="V541" i="2"/>
  <c r="AL541" i="2"/>
  <c r="S541" i="2"/>
  <c r="AI541" i="2"/>
  <c r="AY541" i="2"/>
  <c r="BA541" i="2"/>
  <c r="Z541" i="2"/>
  <c r="AP541" i="2"/>
  <c r="W541" i="2"/>
  <c r="AM541" i="2"/>
  <c r="AO541" i="2"/>
  <c r="H541" i="2"/>
  <c r="AD541" i="2"/>
  <c r="AT541" i="2"/>
  <c r="AA541" i="2"/>
  <c r="AQ541" i="2"/>
  <c r="N539" i="2"/>
  <c r="O539" i="2" s="1"/>
  <c r="L540" i="2"/>
  <c r="B543" i="2"/>
  <c r="P542" i="2"/>
  <c r="M542" i="2" s="1"/>
  <c r="J542" i="2"/>
  <c r="I542" i="2"/>
  <c r="AB541" i="2"/>
  <c r="AR541" i="2"/>
  <c r="AC541" i="2"/>
  <c r="AS541" i="2"/>
  <c r="R541" i="2"/>
  <c r="AH541" i="2"/>
  <c r="AX541" i="2"/>
  <c r="AE541" i="2"/>
  <c r="AU541" i="2"/>
  <c r="K542" i="2" l="1"/>
  <c r="D543" i="2"/>
  <c r="C543" i="2"/>
  <c r="AJ542" i="2"/>
  <c r="T542" i="2"/>
  <c r="X542" i="2"/>
  <c r="AZ542" i="2"/>
  <c r="Y542" i="2"/>
  <c r="AK542" i="2"/>
  <c r="AN542" i="2"/>
  <c r="U542" i="2"/>
  <c r="AF542" i="2"/>
  <c r="AV542" i="2"/>
  <c r="Q542" i="2"/>
  <c r="AG542" i="2"/>
  <c r="AW542" i="2"/>
  <c r="V542" i="2"/>
  <c r="AL542" i="2"/>
  <c r="S542" i="2"/>
  <c r="AI542" i="2"/>
  <c r="AY542" i="2"/>
  <c r="BA542" i="2"/>
  <c r="Z542" i="2"/>
  <c r="AP542" i="2"/>
  <c r="W542" i="2"/>
  <c r="AM542" i="2"/>
  <c r="L541" i="2"/>
  <c r="AO542" i="2"/>
  <c r="H542" i="2"/>
  <c r="AD542" i="2"/>
  <c r="AT542" i="2"/>
  <c r="AA542" i="2"/>
  <c r="AQ542" i="2"/>
  <c r="N540" i="2"/>
  <c r="O540" i="2" s="1"/>
  <c r="B544" i="2"/>
  <c r="P543" i="2"/>
  <c r="M543" i="2" s="1"/>
  <c r="J543" i="2"/>
  <c r="I543" i="2"/>
  <c r="AB542" i="2"/>
  <c r="AR542" i="2"/>
  <c r="AC542" i="2"/>
  <c r="AS542" i="2"/>
  <c r="R542" i="2"/>
  <c r="AH542" i="2"/>
  <c r="AX542" i="2"/>
  <c r="AE542" i="2"/>
  <c r="AU542" i="2"/>
  <c r="K543" i="2" l="1"/>
  <c r="AB543" i="2"/>
  <c r="D544" i="2"/>
  <c r="C544" i="2"/>
  <c r="AJ543" i="2"/>
  <c r="AR543" i="2"/>
  <c r="U543" i="2"/>
  <c r="T543" i="2"/>
  <c r="AZ543" i="2"/>
  <c r="AK543" i="2"/>
  <c r="AF543" i="2"/>
  <c r="AV543" i="2"/>
  <c r="Q543" i="2"/>
  <c r="AG543" i="2"/>
  <c r="AW543" i="2"/>
  <c r="V543" i="2"/>
  <c r="AL543" i="2"/>
  <c r="S543" i="2"/>
  <c r="AI543" i="2"/>
  <c r="AY543" i="2"/>
  <c r="BA543" i="2"/>
  <c r="Z543" i="2"/>
  <c r="AP543" i="2"/>
  <c r="W543" i="2"/>
  <c r="AM543" i="2"/>
  <c r="X543" i="2"/>
  <c r="AN543" i="2"/>
  <c r="B545" i="2"/>
  <c r="P544" i="2"/>
  <c r="M544" i="2" s="1"/>
  <c r="J544" i="2"/>
  <c r="I544" i="2"/>
  <c r="Y543" i="2"/>
  <c r="AO543" i="2"/>
  <c r="H543" i="2"/>
  <c r="AD543" i="2"/>
  <c r="AT543" i="2"/>
  <c r="AA543" i="2"/>
  <c r="AQ543" i="2"/>
  <c r="L542" i="2"/>
  <c r="N542" i="2" s="1"/>
  <c r="N541" i="2"/>
  <c r="O541" i="2" s="1"/>
  <c r="AC543" i="2"/>
  <c r="AS543" i="2"/>
  <c r="R543" i="2"/>
  <c r="AH543" i="2"/>
  <c r="AX543" i="2"/>
  <c r="AE543" i="2"/>
  <c r="AU543" i="2"/>
  <c r="K544" i="2" l="1"/>
  <c r="C545" i="2"/>
  <c r="D545" i="2"/>
  <c r="T544" i="2"/>
  <c r="X544" i="2"/>
  <c r="AZ544" i="2"/>
  <c r="O542" i="2"/>
  <c r="AN544" i="2"/>
  <c r="U544" i="2"/>
  <c r="AJ544" i="2"/>
  <c r="AB544" i="2"/>
  <c r="AR544" i="2"/>
  <c r="AC544" i="2"/>
  <c r="AS544" i="2"/>
  <c r="R544" i="2"/>
  <c r="AH544" i="2"/>
  <c r="AX544" i="2"/>
  <c r="AE544" i="2"/>
  <c r="AU544" i="2"/>
  <c r="AF544" i="2"/>
  <c r="AV544" i="2"/>
  <c r="Q544" i="2"/>
  <c r="AG544" i="2"/>
  <c r="AW544" i="2"/>
  <c r="V544" i="2"/>
  <c r="AL544" i="2"/>
  <c r="S544" i="2"/>
  <c r="AI544" i="2"/>
  <c r="AY544" i="2"/>
  <c r="AK544" i="2"/>
  <c r="BA544" i="2"/>
  <c r="Z544" i="2"/>
  <c r="AP544" i="2"/>
  <c r="W544" i="2"/>
  <c r="AM544" i="2"/>
  <c r="L543" i="2"/>
  <c r="B546" i="2"/>
  <c r="P545" i="2"/>
  <c r="M545" i="2" s="1"/>
  <c r="J545" i="2"/>
  <c r="I545" i="2"/>
  <c r="Y544" i="2"/>
  <c r="AO544" i="2"/>
  <c r="H544" i="2"/>
  <c r="AD544" i="2"/>
  <c r="AT544" i="2"/>
  <c r="AA544" i="2"/>
  <c r="AQ544" i="2"/>
  <c r="K545" i="2" l="1"/>
  <c r="D546" i="2"/>
  <c r="C546" i="2"/>
  <c r="AF545" i="2"/>
  <c r="T545" i="2"/>
  <c r="AJ545" i="2"/>
  <c r="AZ545" i="2"/>
  <c r="U545" i="2"/>
  <c r="AK545" i="2"/>
  <c r="BA545" i="2"/>
  <c r="Z545" i="2"/>
  <c r="AP545" i="2"/>
  <c r="W545" i="2"/>
  <c r="AM545" i="2"/>
  <c r="L544" i="2"/>
  <c r="N544" i="2" s="1"/>
  <c r="X545" i="2"/>
  <c r="AN545" i="2"/>
  <c r="B547" i="2"/>
  <c r="P546" i="2"/>
  <c r="M546" i="2" s="1"/>
  <c r="J546" i="2"/>
  <c r="I546" i="2"/>
  <c r="Y545" i="2"/>
  <c r="AO545" i="2"/>
  <c r="H545" i="2"/>
  <c r="AD545" i="2"/>
  <c r="AT545" i="2"/>
  <c r="AA545" i="2"/>
  <c r="AQ545" i="2"/>
  <c r="N543" i="2"/>
  <c r="O543" i="2" s="1"/>
  <c r="AB545" i="2"/>
  <c r="AR545" i="2"/>
  <c r="AC545" i="2"/>
  <c r="AS545" i="2"/>
  <c r="R545" i="2"/>
  <c r="AH545" i="2"/>
  <c r="AX545" i="2"/>
  <c r="AE545" i="2"/>
  <c r="AU545" i="2"/>
  <c r="AV545" i="2"/>
  <c r="Q545" i="2"/>
  <c r="AG545" i="2"/>
  <c r="AW545" i="2"/>
  <c r="V545" i="2"/>
  <c r="AL545" i="2"/>
  <c r="S545" i="2"/>
  <c r="AI545" i="2"/>
  <c r="AY545" i="2"/>
  <c r="K546" i="2" l="1"/>
  <c r="D547" i="2"/>
  <c r="C547" i="2"/>
  <c r="O544" i="2"/>
  <c r="L545" i="2"/>
  <c r="X546" i="2"/>
  <c r="AN546" i="2"/>
  <c r="B548" i="2"/>
  <c r="P547" i="2"/>
  <c r="M547" i="2" s="1"/>
  <c r="J547" i="2"/>
  <c r="I547" i="2"/>
  <c r="Y546" i="2"/>
  <c r="AO546" i="2"/>
  <c r="H546" i="2"/>
  <c r="AD546" i="2"/>
  <c r="AT546" i="2"/>
  <c r="AA546" i="2"/>
  <c r="AQ546" i="2"/>
  <c r="AB546" i="2"/>
  <c r="AR546" i="2"/>
  <c r="AC546" i="2"/>
  <c r="AS546" i="2"/>
  <c r="R546" i="2"/>
  <c r="AH546" i="2"/>
  <c r="AX546" i="2"/>
  <c r="AE546" i="2"/>
  <c r="AU546" i="2"/>
  <c r="AF546" i="2"/>
  <c r="AV546" i="2"/>
  <c r="Q546" i="2"/>
  <c r="AG546" i="2"/>
  <c r="AW546" i="2"/>
  <c r="V546" i="2"/>
  <c r="AL546" i="2"/>
  <c r="S546" i="2"/>
  <c r="AI546" i="2"/>
  <c r="AY546" i="2"/>
  <c r="T546" i="2"/>
  <c r="AJ546" i="2"/>
  <c r="AZ546" i="2"/>
  <c r="U546" i="2"/>
  <c r="AK546" i="2"/>
  <c r="BA546" i="2"/>
  <c r="Z546" i="2"/>
  <c r="AP546" i="2"/>
  <c r="W546" i="2"/>
  <c r="AM546" i="2"/>
  <c r="K547" i="2" l="1"/>
  <c r="D548" i="2"/>
  <c r="C548" i="2"/>
  <c r="AJ547" i="2"/>
  <c r="T547" i="2"/>
  <c r="AB547" i="2"/>
  <c r="AZ547" i="2"/>
  <c r="AR547" i="2"/>
  <c r="L546" i="2"/>
  <c r="X547" i="2"/>
  <c r="AN547" i="2"/>
  <c r="B549" i="2"/>
  <c r="P548" i="2"/>
  <c r="M548" i="2" s="1"/>
  <c r="J548" i="2"/>
  <c r="I548" i="2"/>
  <c r="Y547" i="2"/>
  <c r="AO547" i="2"/>
  <c r="H547" i="2"/>
  <c r="AD547" i="2"/>
  <c r="AT547" i="2"/>
  <c r="AA547" i="2"/>
  <c r="AQ547" i="2"/>
  <c r="AC547" i="2"/>
  <c r="AS547" i="2"/>
  <c r="R547" i="2"/>
  <c r="AH547" i="2"/>
  <c r="AX547" i="2"/>
  <c r="AE547" i="2"/>
  <c r="AU547" i="2"/>
  <c r="AF547" i="2"/>
  <c r="AV547" i="2"/>
  <c r="Q547" i="2"/>
  <c r="AG547" i="2"/>
  <c r="AW547" i="2"/>
  <c r="V547" i="2"/>
  <c r="AL547" i="2"/>
  <c r="S547" i="2"/>
  <c r="AI547" i="2"/>
  <c r="AY547" i="2"/>
  <c r="N545" i="2"/>
  <c r="O545" i="2" s="1"/>
  <c r="U547" i="2"/>
  <c r="AK547" i="2"/>
  <c r="BA547" i="2"/>
  <c r="Z547" i="2"/>
  <c r="AP547" i="2"/>
  <c r="W547" i="2"/>
  <c r="AM547" i="2"/>
  <c r="K548" i="2" l="1"/>
  <c r="C549" i="2"/>
  <c r="D549" i="2"/>
  <c r="AB548" i="2"/>
  <c r="AR548" i="2"/>
  <c r="AC548" i="2"/>
  <c r="AS548" i="2"/>
  <c r="R548" i="2"/>
  <c r="AH548" i="2"/>
  <c r="AX548" i="2"/>
  <c r="AE548" i="2"/>
  <c r="AU548" i="2"/>
  <c r="AF548" i="2"/>
  <c r="AV548" i="2"/>
  <c r="Q548" i="2"/>
  <c r="AG548" i="2"/>
  <c r="AW548" i="2"/>
  <c r="V548" i="2"/>
  <c r="AL548" i="2"/>
  <c r="S548" i="2"/>
  <c r="AI548" i="2"/>
  <c r="AY548" i="2"/>
  <c r="N546" i="2"/>
  <c r="O546" i="2" s="1"/>
  <c r="T548" i="2"/>
  <c r="AJ548" i="2"/>
  <c r="AZ548" i="2"/>
  <c r="U548" i="2"/>
  <c r="AK548" i="2"/>
  <c r="BA548" i="2"/>
  <c r="Z548" i="2"/>
  <c r="AP548" i="2"/>
  <c r="W548" i="2"/>
  <c r="AM548" i="2"/>
  <c r="L547" i="2"/>
  <c r="N547" i="2" s="1"/>
  <c r="X548" i="2"/>
  <c r="AN548" i="2"/>
  <c r="P549" i="2"/>
  <c r="M549" i="2" s="1"/>
  <c r="B550" i="2"/>
  <c r="J549" i="2"/>
  <c r="I549" i="2"/>
  <c r="Y548" i="2"/>
  <c r="AO548" i="2"/>
  <c r="H548" i="2"/>
  <c r="AD548" i="2"/>
  <c r="AT548" i="2"/>
  <c r="AA548" i="2"/>
  <c r="AQ548" i="2"/>
  <c r="K549" i="2" l="1"/>
  <c r="AR549" i="2"/>
  <c r="D550" i="2"/>
  <c r="C550" i="2"/>
  <c r="AD549" i="2"/>
  <c r="W549" i="2"/>
  <c r="R549" i="2"/>
  <c r="AM549" i="2"/>
  <c r="S549" i="2"/>
  <c r="AY549" i="2"/>
  <c r="AJ549" i="2"/>
  <c r="AB549" i="2"/>
  <c r="AX549" i="2"/>
  <c r="AI549" i="2"/>
  <c r="AA549" i="2"/>
  <c r="AH549" i="2"/>
  <c r="AN549" i="2"/>
  <c r="Z549" i="2"/>
  <c r="O547" i="2"/>
  <c r="AU549" i="2"/>
  <c r="X549" i="2"/>
  <c r="AT549" i="2"/>
  <c r="T549" i="2"/>
  <c r="AP549" i="2"/>
  <c r="V549" i="2"/>
  <c r="AQ549" i="2"/>
  <c r="Y549" i="2"/>
  <c r="AO549" i="2"/>
  <c r="L548" i="2"/>
  <c r="AV549" i="2"/>
  <c r="AC549" i="2"/>
  <c r="AS549" i="2"/>
  <c r="P550" i="2"/>
  <c r="M550" i="2" s="1"/>
  <c r="B551" i="2"/>
  <c r="I550" i="2"/>
  <c r="J550" i="2"/>
  <c r="AE549" i="2"/>
  <c r="AZ549" i="2"/>
  <c r="AF549" i="2"/>
  <c r="Q549" i="2"/>
  <c r="AG549" i="2"/>
  <c r="AW549" i="2"/>
  <c r="H549" i="2"/>
  <c r="AL549" i="2"/>
  <c r="U549" i="2"/>
  <c r="AK549" i="2"/>
  <c r="BA549" i="2"/>
  <c r="K550" i="2" l="1"/>
  <c r="D551" i="2"/>
  <c r="C551" i="2"/>
  <c r="S550" i="2"/>
  <c r="X550" i="2"/>
  <c r="T550" i="2"/>
  <c r="Z550" i="2"/>
  <c r="AN550" i="2"/>
  <c r="AT550" i="2"/>
  <c r="AD550" i="2"/>
  <c r="AY550" i="2"/>
  <c r="AP550" i="2"/>
  <c r="V550" i="2"/>
  <c r="AI550" i="2"/>
  <c r="AU550" i="2"/>
  <c r="AJ550" i="2"/>
  <c r="AQ550" i="2"/>
  <c r="AE550" i="2"/>
  <c r="AZ550" i="2"/>
  <c r="AA550" i="2"/>
  <c r="L549" i="2"/>
  <c r="B552" i="2"/>
  <c r="P551" i="2"/>
  <c r="M551" i="2" s="1"/>
  <c r="I551" i="2"/>
  <c r="J551" i="2"/>
  <c r="H550" i="2"/>
  <c r="AF550" i="2"/>
  <c r="R550" i="2"/>
  <c r="AM550" i="2"/>
  <c r="Q550" i="2"/>
  <c r="AG550" i="2"/>
  <c r="AW550" i="2"/>
  <c r="AL550" i="2"/>
  <c r="W550" i="2"/>
  <c r="AR550" i="2"/>
  <c r="U550" i="2"/>
  <c r="AK550" i="2"/>
  <c r="BA550" i="2"/>
  <c r="AB550" i="2"/>
  <c r="AX550" i="2"/>
  <c r="Y550" i="2"/>
  <c r="AO550" i="2"/>
  <c r="N548" i="2"/>
  <c r="O548" i="2" s="1"/>
  <c r="AV550" i="2"/>
  <c r="AH550" i="2"/>
  <c r="AC550" i="2"/>
  <c r="AS550" i="2"/>
  <c r="K551" i="2" l="1"/>
  <c r="AJ551" i="2"/>
  <c r="T551" i="2"/>
  <c r="D552" i="2"/>
  <c r="C552" i="2"/>
  <c r="AP551" i="2"/>
  <c r="V551" i="2"/>
  <c r="Z551" i="2"/>
  <c r="AU551" i="2"/>
  <c r="AE551" i="2"/>
  <c r="AZ551" i="2"/>
  <c r="AA551" i="2"/>
  <c r="AH551" i="2"/>
  <c r="AV551" i="2"/>
  <c r="R551" i="2"/>
  <c r="AF551" i="2"/>
  <c r="AM551" i="2"/>
  <c r="AQ551" i="2"/>
  <c r="AB551" i="2"/>
  <c r="AX551" i="2"/>
  <c r="AI551" i="2"/>
  <c r="B553" i="2"/>
  <c r="P552" i="2"/>
  <c r="M552" i="2" s="1"/>
  <c r="I552" i="2"/>
  <c r="J552" i="2"/>
  <c r="Y551" i="2"/>
  <c r="AO551" i="2"/>
  <c r="S551" i="2"/>
  <c r="AN551" i="2"/>
  <c r="AC551" i="2"/>
  <c r="AS551" i="2"/>
  <c r="N549" i="2"/>
  <c r="O549" i="2" s="1"/>
  <c r="H551" i="2"/>
  <c r="X551" i="2"/>
  <c r="AT551" i="2"/>
  <c r="Q551" i="2"/>
  <c r="AG551" i="2"/>
  <c r="AW551" i="2"/>
  <c r="L550" i="2"/>
  <c r="AL551" i="2"/>
  <c r="W551" i="2"/>
  <c r="AR551" i="2"/>
  <c r="AD551" i="2"/>
  <c r="AY551" i="2"/>
  <c r="U551" i="2"/>
  <c r="AK551" i="2"/>
  <c r="BA551" i="2"/>
  <c r="K552" i="2" l="1"/>
  <c r="C553" i="2"/>
  <c r="D553" i="2"/>
  <c r="L551" i="2"/>
  <c r="N551" i="2" s="1"/>
  <c r="N550" i="2"/>
  <c r="O550" i="2" s="1"/>
  <c r="V552" i="2"/>
  <c r="AQ552" i="2"/>
  <c r="AB552" i="2"/>
  <c r="AX552" i="2"/>
  <c r="AI552" i="2"/>
  <c r="P553" i="2"/>
  <c r="M553" i="2" s="1"/>
  <c r="B554" i="2"/>
  <c r="J553" i="2"/>
  <c r="I553" i="2"/>
  <c r="AJ552" i="2"/>
  <c r="AC552" i="2"/>
  <c r="AS552" i="2"/>
  <c r="AA552" i="2"/>
  <c r="AV552" i="2"/>
  <c r="AH552" i="2"/>
  <c r="S552" i="2"/>
  <c r="AN552" i="2"/>
  <c r="T552" i="2"/>
  <c r="AP552" i="2"/>
  <c r="Q552" i="2"/>
  <c r="AG552" i="2"/>
  <c r="AW552" i="2"/>
  <c r="H552" i="2"/>
  <c r="AF552" i="2"/>
  <c r="R552" i="2"/>
  <c r="AM552" i="2"/>
  <c r="X552" i="2"/>
  <c r="AT552" i="2"/>
  <c r="Z552" i="2"/>
  <c r="AU552" i="2"/>
  <c r="U552" i="2"/>
  <c r="AK552" i="2"/>
  <c r="BA552" i="2"/>
  <c r="AL552" i="2"/>
  <c r="W552" i="2"/>
  <c r="AR552" i="2"/>
  <c r="AD552" i="2"/>
  <c r="AY552" i="2"/>
  <c r="AE552" i="2"/>
  <c r="AZ552" i="2"/>
  <c r="Y552" i="2"/>
  <c r="AO552" i="2"/>
  <c r="K553" i="2" l="1"/>
  <c r="R553" i="2"/>
  <c r="AH553" i="2"/>
  <c r="W553" i="2"/>
  <c r="AR553" i="2"/>
  <c r="AB553" i="2"/>
  <c r="AM553" i="2"/>
  <c r="AD553" i="2"/>
  <c r="S553" i="2"/>
  <c r="X553" i="2"/>
  <c r="AN553" i="2"/>
  <c r="AX553" i="2"/>
  <c r="AI553" i="2"/>
  <c r="AT553" i="2"/>
  <c r="D554" i="2"/>
  <c r="C554" i="2"/>
  <c r="Z553" i="2"/>
  <c r="AP553" i="2"/>
  <c r="T553" i="2"/>
  <c r="AU553" i="2"/>
  <c r="AZ553" i="2"/>
  <c r="AY553" i="2"/>
  <c r="AE553" i="2"/>
  <c r="V553" i="2"/>
  <c r="AA553" i="2"/>
  <c r="AQ553" i="2"/>
  <c r="AV553" i="2"/>
  <c r="L552" i="2"/>
  <c r="AL553" i="2"/>
  <c r="Q553" i="2"/>
  <c r="AG553" i="2"/>
  <c r="AW553" i="2"/>
  <c r="U553" i="2"/>
  <c r="AK553" i="2"/>
  <c r="BA553" i="2"/>
  <c r="O551" i="2"/>
  <c r="Y553" i="2"/>
  <c r="AO553" i="2"/>
  <c r="P554" i="2"/>
  <c r="M554" i="2" s="1"/>
  <c r="B555" i="2"/>
  <c r="J554" i="2"/>
  <c r="I554" i="2"/>
  <c r="AJ553" i="2"/>
  <c r="H553" i="2"/>
  <c r="AF553" i="2"/>
  <c r="AC553" i="2"/>
  <c r="AS553" i="2"/>
  <c r="K554" i="2" l="1"/>
  <c r="X554" i="2"/>
  <c r="D555" i="2"/>
  <c r="C555" i="2"/>
  <c r="T554" i="2"/>
  <c r="AN554" i="2"/>
  <c r="AT554" i="2"/>
  <c r="AU554" i="2"/>
  <c r="Z554" i="2"/>
  <c r="S554" i="2"/>
  <c r="AP554" i="2"/>
  <c r="AD554" i="2"/>
  <c r="AY554" i="2"/>
  <c r="AE554" i="2"/>
  <c r="AZ554" i="2"/>
  <c r="AA554" i="2"/>
  <c r="AV554" i="2"/>
  <c r="AH554" i="2"/>
  <c r="AC554" i="2"/>
  <c r="AS554" i="2"/>
  <c r="L553" i="2"/>
  <c r="AI554" i="2"/>
  <c r="B556" i="2"/>
  <c r="P555" i="2"/>
  <c r="M555" i="2" s="1"/>
  <c r="I555" i="2"/>
  <c r="J555" i="2"/>
  <c r="AJ554" i="2"/>
  <c r="H554" i="2"/>
  <c r="AF554" i="2"/>
  <c r="R554" i="2"/>
  <c r="AM554" i="2"/>
  <c r="Q554" i="2"/>
  <c r="AG554" i="2"/>
  <c r="AW554" i="2"/>
  <c r="AL554" i="2"/>
  <c r="W554" i="2"/>
  <c r="AR554" i="2"/>
  <c r="U554" i="2"/>
  <c r="AK554" i="2"/>
  <c r="BA554" i="2"/>
  <c r="N552" i="2"/>
  <c r="O552" i="2" s="1"/>
  <c r="V554" i="2"/>
  <c r="AQ554" i="2"/>
  <c r="AB554" i="2"/>
  <c r="AX554" i="2"/>
  <c r="Y554" i="2"/>
  <c r="AO554" i="2"/>
  <c r="K555" i="2" l="1"/>
  <c r="D556" i="2"/>
  <c r="C556" i="2"/>
  <c r="Z555" i="2"/>
  <c r="AM555" i="2"/>
  <c r="AJ555" i="2"/>
  <c r="AZ555" i="2"/>
  <c r="T555" i="2"/>
  <c r="AP555" i="2"/>
  <c r="AF555" i="2"/>
  <c r="AE555" i="2"/>
  <c r="AV555" i="2"/>
  <c r="X555" i="2"/>
  <c r="Q555" i="2"/>
  <c r="R555" i="2"/>
  <c r="AT555" i="2"/>
  <c r="AG555" i="2"/>
  <c r="N553" i="2"/>
  <c r="O553" i="2" s="1"/>
  <c r="AU555" i="2"/>
  <c r="AA555" i="2"/>
  <c r="AH555" i="2"/>
  <c r="AW555" i="2"/>
  <c r="L554" i="2"/>
  <c r="H555" i="2"/>
  <c r="AL555" i="2"/>
  <c r="W555" i="2"/>
  <c r="AR555" i="2"/>
  <c r="AD555" i="2"/>
  <c r="AY555" i="2"/>
  <c r="U555" i="2"/>
  <c r="AK555" i="2"/>
  <c r="BA555" i="2"/>
  <c r="V555" i="2"/>
  <c r="AQ555" i="2"/>
  <c r="AB555" i="2"/>
  <c r="AX555" i="2"/>
  <c r="AI555" i="2"/>
  <c r="B557" i="2"/>
  <c r="P556" i="2"/>
  <c r="M556" i="2" s="1"/>
  <c r="I556" i="2"/>
  <c r="J556" i="2"/>
  <c r="Y555" i="2"/>
  <c r="AO555" i="2"/>
  <c r="S555" i="2"/>
  <c r="AN555" i="2"/>
  <c r="AC555" i="2"/>
  <c r="AS555" i="2"/>
  <c r="K556" i="2" l="1"/>
  <c r="C557" i="2"/>
  <c r="D557" i="2"/>
  <c r="AA556" i="2"/>
  <c r="AV556" i="2"/>
  <c r="AH556" i="2"/>
  <c r="S556" i="2"/>
  <c r="AN556" i="2"/>
  <c r="T556" i="2"/>
  <c r="AP556" i="2"/>
  <c r="Q556" i="2"/>
  <c r="AG556" i="2"/>
  <c r="AW556" i="2"/>
  <c r="H556" i="2"/>
  <c r="AF556" i="2"/>
  <c r="R556" i="2"/>
  <c r="AM556" i="2"/>
  <c r="X556" i="2"/>
  <c r="AT556" i="2"/>
  <c r="Z556" i="2"/>
  <c r="AU556" i="2"/>
  <c r="U556" i="2"/>
  <c r="AK556" i="2"/>
  <c r="BA556" i="2"/>
  <c r="AL556" i="2"/>
  <c r="W556" i="2"/>
  <c r="AR556" i="2"/>
  <c r="AD556" i="2"/>
  <c r="AY556" i="2"/>
  <c r="AE556" i="2"/>
  <c r="AZ556" i="2"/>
  <c r="Y556" i="2"/>
  <c r="AO556" i="2"/>
  <c r="N554" i="2"/>
  <c r="O554" i="2" s="1"/>
  <c r="V556" i="2"/>
  <c r="AQ556" i="2"/>
  <c r="AB556" i="2"/>
  <c r="AX556" i="2"/>
  <c r="AI556" i="2"/>
  <c r="P557" i="2"/>
  <c r="M557" i="2" s="1"/>
  <c r="B558" i="2"/>
  <c r="J557" i="2"/>
  <c r="I557" i="2"/>
  <c r="AJ556" i="2"/>
  <c r="AC556" i="2"/>
  <c r="AS556" i="2"/>
  <c r="L555" i="2"/>
  <c r="N555" i="2" s="1"/>
  <c r="K557" i="2" l="1"/>
  <c r="W557" i="2"/>
  <c r="AR557" i="2"/>
  <c r="AD557" i="2"/>
  <c r="AH557" i="2"/>
  <c r="AT557" i="2"/>
  <c r="AB557" i="2"/>
  <c r="R557" i="2"/>
  <c r="AM557" i="2"/>
  <c r="AY557" i="2"/>
  <c r="AX557" i="2"/>
  <c r="S557" i="2"/>
  <c r="X557" i="2"/>
  <c r="D558" i="2"/>
  <c r="C558" i="2"/>
  <c r="Z557" i="2"/>
  <c r="AE557" i="2"/>
  <c r="AN557" i="2"/>
  <c r="T557" i="2"/>
  <c r="AI557" i="2"/>
  <c r="AP557" i="2"/>
  <c r="AQ557" i="2"/>
  <c r="AZ557" i="2"/>
  <c r="Y557" i="2"/>
  <c r="AV557" i="2"/>
  <c r="AK557" i="2"/>
  <c r="AU557" i="2"/>
  <c r="V557" i="2"/>
  <c r="AO557" i="2"/>
  <c r="AA557" i="2"/>
  <c r="U557" i="2"/>
  <c r="AL557" i="2"/>
  <c r="Q557" i="2"/>
  <c r="AG557" i="2"/>
  <c r="AW557" i="2"/>
  <c r="BA557" i="2"/>
  <c r="O555" i="2"/>
  <c r="P558" i="2"/>
  <c r="M558" i="2" s="1"/>
  <c r="B559" i="2"/>
  <c r="J558" i="2"/>
  <c r="I558" i="2"/>
  <c r="AJ557" i="2"/>
  <c r="H557" i="2"/>
  <c r="AF557" i="2"/>
  <c r="AC557" i="2"/>
  <c r="AS557" i="2"/>
  <c r="L556" i="2"/>
  <c r="N556" i="2" s="1"/>
  <c r="K558" i="2" l="1"/>
  <c r="X558" i="2"/>
  <c r="S558" i="2"/>
  <c r="D559" i="2"/>
  <c r="C559" i="2"/>
  <c r="AY558" i="2"/>
  <c r="AN558" i="2"/>
  <c r="AE558" i="2"/>
  <c r="AD558" i="2"/>
  <c r="T558" i="2"/>
  <c r="AP558" i="2"/>
  <c r="O556" i="2"/>
  <c r="AZ558" i="2"/>
  <c r="L557" i="2"/>
  <c r="AI558" i="2"/>
  <c r="B560" i="2"/>
  <c r="P559" i="2"/>
  <c r="M559" i="2" s="1"/>
  <c r="I559" i="2"/>
  <c r="J559" i="2"/>
  <c r="AJ558" i="2"/>
  <c r="H558" i="2"/>
  <c r="AF558" i="2"/>
  <c r="R558" i="2"/>
  <c r="AM558" i="2"/>
  <c r="Q558" i="2"/>
  <c r="AG558" i="2"/>
  <c r="AW558" i="2"/>
  <c r="AL558" i="2"/>
  <c r="W558" i="2"/>
  <c r="AR558" i="2"/>
  <c r="U558" i="2"/>
  <c r="AK558" i="2"/>
  <c r="BA558" i="2"/>
  <c r="AT558" i="2"/>
  <c r="Z558" i="2"/>
  <c r="AU558" i="2"/>
  <c r="V558" i="2"/>
  <c r="AQ558" i="2"/>
  <c r="AB558" i="2"/>
  <c r="AX558" i="2"/>
  <c r="Y558" i="2"/>
  <c r="AO558" i="2"/>
  <c r="AA558" i="2"/>
  <c r="AV558" i="2"/>
  <c r="AH558" i="2"/>
  <c r="AC558" i="2"/>
  <c r="AS558" i="2"/>
  <c r="K559" i="2" l="1"/>
  <c r="Z559" i="2"/>
  <c r="AE559" i="2"/>
  <c r="AU559" i="2"/>
  <c r="AJ559" i="2"/>
  <c r="AA559" i="2"/>
  <c r="T559" i="2"/>
  <c r="AP559" i="2"/>
  <c r="AF559" i="2"/>
  <c r="AZ559" i="2"/>
  <c r="D560" i="2"/>
  <c r="C560" i="2"/>
  <c r="AH559" i="2"/>
  <c r="AM559" i="2"/>
  <c r="AV559" i="2"/>
  <c r="R559" i="2"/>
  <c r="V559" i="2"/>
  <c r="AQ559" i="2"/>
  <c r="AB559" i="2"/>
  <c r="AX559" i="2"/>
  <c r="AI559" i="2"/>
  <c r="B561" i="2"/>
  <c r="P560" i="2"/>
  <c r="M560" i="2" s="1"/>
  <c r="I560" i="2"/>
  <c r="J560" i="2"/>
  <c r="Y559" i="2"/>
  <c r="AO559" i="2"/>
  <c r="S559" i="2"/>
  <c r="AN559" i="2"/>
  <c r="AC559" i="2"/>
  <c r="AS559" i="2"/>
  <c r="L558" i="2"/>
  <c r="N558" i="2" s="1"/>
  <c r="H559" i="2"/>
  <c r="X559" i="2"/>
  <c r="AT559" i="2"/>
  <c r="Q559" i="2"/>
  <c r="AG559" i="2"/>
  <c r="AW559" i="2"/>
  <c r="N557" i="2"/>
  <c r="O557" i="2" s="1"/>
  <c r="AL559" i="2"/>
  <c r="W559" i="2"/>
  <c r="AR559" i="2"/>
  <c r="AD559" i="2"/>
  <c r="AY559" i="2"/>
  <c r="U559" i="2"/>
  <c r="AK559" i="2"/>
  <c r="BA559" i="2"/>
  <c r="K560" i="2" l="1"/>
  <c r="C561" i="2"/>
  <c r="D561" i="2"/>
  <c r="L559" i="2"/>
  <c r="N559" i="2" s="1"/>
  <c r="O558" i="2"/>
  <c r="AA560" i="2"/>
  <c r="AV560" i="2"/>
  <c r="AH560" i="2"/>
  <c r="S560" i="2"/>
  <c r="AN560" i="2"/>
  <c r="T560" i="2"/>
  <c r="AP560" i="2"/>
  <c r="Q560" i="2"/>
  <c r="AG560" i="2"/>
  <c r="AW560" i="2"/>
  <c r="H560" i="2"/>
  <c r="AF560" i="2"/>
  <c r="R560" i="2"/>
  <c r="AM560" i="2"/>
  <c r="X560" i="2"/>
  <c r="AT560" i="2"/>
  <c r="Z560" i="2"/>
  <c r="AU560" i="2"/>
  <c r="U560" i="2"/>
  <c r="AK560" i="2"/>
  <c r="BA560" i="2"/>
  <c r="AL560" i="2"/>
  <c r="W560" i="2"/>
  <c r="AR560" i="2"/>
  <c r="AD560" i="2"/>
  <c r="AY560" i="2"/>
  <c r="AE560" i="2"/>
  <c r="AZ560" i="2"/>
  <c r="Y560" i="2"/>
  <c r="AO560" i="2"/>
  <c r="V560" i="2"/>
  <c r="AQ560" i="2"/>
  <c r="AB560" i="2"/>
  <c r="AX560" i="2"/>
  <c r="AI560" i="2"/>
  <c r="P561" i="2"/>
  <c r="M561" i="2" s="1"/>
  <c r="B562" i="2"/>
  <c r="I561" i="2"/>
  <c r="J561" i="2"/>
  <c r="AJ560" i="2"/>
  <c r="AC560" i="2"/>
  <c r="AS560" i="2"/>
  <c r="K561" i="2" l="1"/>
  <c r="D562" i="2"/>
  <c r="C562" i="2"/>
  <c r="S561" i="2"/>
  <c r="T561" i="2"/>
  <c r="AB561" i="2"/>
  <c r="AH561" i="2"/>
  <c r="AI561" i="2"/>
  <c r="AJ561" i="2"/>
  <c r="R561" i="2"/>
  <c r="AM561" i="2"/>
  <c r="AN561" i="2"/>
  <c r="AP561" i="2"/>
  <c r="W561" i="2"/>
  <c r="AX561" i="2"/>
  <c r="AR561" i="2"/>
  <c r="AD561" i="2"/>
  <c r="AY561" i="2"/>
  <c r="AE561" i="2"/>
  <c r="AZ561" i="2"/>
  <c r="AA561" i="2"/>
  <c r="AV561" i="2"/>
  <c r="Y561" i="2"/>
  <c r="AO561" i="2"/>
  <c r="L560" i="2"/>
  <c r="N560" i="2" s="1"/>
  <c r="P562" i="2"/>
  <c r="M562" i="2" s="1"/>
  <c r="B563" i="2"/>
  <c r="I562" i="2"/>
  <c r="J562" i="2"/>
  <c r="H561" i="2"/>
  <c r="AF561" i="2"/>
  <c r="AC561" i="2"/>
  <c r="AS561" i="2"/>
  <c r="AL561" i="2"/>
  <c r="Q561" i="2"/>
  <c r="AG561" i="2"/>
  <c r="AW561" i="2"/>
  <c r="O559" i="2"/>
  <c r="X561" i="2"/>
  <c r="AT561" i="2"/>
  <c r="Z561" i="2"/>
  <c r="AU561" i="2"/>
  <c r="V561" i="2"/>
  <c r="AQ561" i="2"/>
  <c r="U561" i="2"/>
  <c r="AK561" i="2"/>
  <c r="BA561" i="2"/>
  <c r="K562" i="2" l="1"/>
  <c r="D563" i="2"/>
  <c r="C563" i="2"/>
  <c r="S562" i="2"/>
  <c r="T562" i="2"/>
  <c r="AI562" i="2"/>
  <c r="AJ562" i="2"/>
  <c r="AD562" i="2"/>
  <c r="AF562" i="2"/>
  <c r="AN562" i="2"/>
  <c r="AP562" i="2"/>
  <c r="AV562" i="2"/>
  <c r="X562" i="2"/>
  <c r="AT562" i="2"/>
  <c r="Z562" i="2"/>
  <c r="AU562" i="2"/>
  <c r="V562" i="2"/>
  <c r="R562" i="2"/>
  <c r="O560" i="2"/>
  <c r="AY562" i="2"/>
  <c r="AE562" i="2"/>
  <c r="AZ562" i="2"/>
  <c r="AA562" i="2"/>
  <c r="AQ562" i="2"/>
  <c r="AB562" i="2"/>
  <c r="AX562" i="2"/>
  <c r="Y562" i="2"/>
  <c r="AO562" i="2"/>
  <c r="AH562" i="2"/>
  <c r="AC562" i="2"/>
  <c r="AS562" i="2"/>
  <c r="B564" i="2"/>
  <c r="P563" i="2"/>
  <c r="M563" i="2" s="1"/>
  <c r="J563" i="2"/>
  <c r="I563" i="2"/>
  <c r="H562" i="2"/>
  <c r="AM562" i="2"/>
  <c r="Q562" i="2"/>
  <c r="AG562" i="2"/>
  <c r="AW562" i="2"/>
  <c r="L561" i="2"/>
  <c r="N561" i="2" s="1"/>
  <c r="O561" i="2" s="1"/>
  <c r="AL562" i="2"/>
  <c r="W562" i="2"/>
  <c r="AR562" i="2"/>
  <c r="U562" i="2"/>
  <c r="AK562" i="2"/>
  <c r="BA562" i="2"/>
  <c r="K563" i="2" l="1"/>
  <c r="D564" i="2"/>
  <c r="C564" i="2"/>
  <c r="Z563" i="2"/>
  <c r="AE563" i="2"/>
  <c r="T563" i="2"/>
  <c r="AU563" i="2"/>
  <c r="AP563" i="2"/>
  <c r="AZ563" i="2"/>
  <c r="AV563" i="2"/>
  <c r="AJ563" i="2"/>
  <c r="AF563" i="2"/>
  <c r="AH563" i="2"/>
  <c r="AA563" i="2"/>
  <c r="AM563" i="2"/>
  <c r="R563" i="2"/>
  <c r="V563" i="2"/>
  <c r="AQ563" i="2"/>
  <c r="AB563" i="2"/>
  <c r="AX563" i="2"/>
  <c r="AI563" i="2"/>
  <c r="B565" i="2"/>
  <c r="P564" i="2"/>
  <c r="M564" i="2" s="1"/>
  <c r="I564" i="2"/>
  <c r="J564" i="2"/>
  <c r="Y563" i="2"/>
  <c r="AO563" i="2"/>
  <c r="S563" i="2"/>
  <c r="AN563" i="2"/>
  <c r="AC563" i="2"/>
  <c r="AS563" i="2"/>
  <c r="H563" i="2"/>
  <c r="X563" i="2"/>
  <c r="AT563" i="2"/>
  <c r="Q563" i="2"/>
  <c r="AG563" i="2"/>
  <c r="AW563" i="2"/>
  <c r="L562" i="2"/>
  <c r="N562" i="2" s="1"/>
  <c r="O562" i="2" s="1"/>
  <c r="AL563" i="2"/>
  <c r="W563" i="2"/>
  <c r="AR563" i="2"/>
  <c r="AD563" i="2"/>
  <c r="AY563" i="2"/>
  <c r="U563" i="2"/>
  <c r="AK563" i="2"/>
  <c r="BA563" i="2"/>
  <c r="K564" i="2" l="1"/>
  <c r="C565" i="2"/>
  <c r="D565" i="2"/>
  <c r="AM564" i="2"/>
  <c r="AF564" i="2"/>
  <c r="AV564" i="2"/>
  <c r="S564" i="2"/>
  <c r="R564" i="2"/>
  <c r="X564" i="2"/>
  <c r="AA564" i="2"/>
  <c r="AH564" i="2"/>
  <c r="L563" i="2"/>
  <c r="N563" i="2" s="1"/>
  <c r="V564" i="2"/>
  <c r="AQ564" i="2"/>
  <c r="AB564" i="2"/>
  <c r="AX564" i="2"/>
  <c r="AI564" i="2"/>
  <c r="P565" i="2"/>
  <c r="M565" i="2" s="1"/>
  <c r="B566" i="2"/>
  <c r="J565" i="2"/>
  <c r="I565" i="2"/>
  <c r="AJ564" i="2"/>
  <c r="AC564" i="2"/>
  <c r="AS564" i="2"/>
  <c r="AN564" i="2"/>
  <c r="T564" i="2"/>
  <c r="AP564" i="2"/>
  <c r="Q564" i="2"/>
  <c r="AG564" i="2"/>
  <c r="AW564" i="2"/>
  <c r="H564" i="2"/>
  <c r="AT564" i="2"/>
  <c r="Z564" i="2"/>
  <c r="AU564" i="2"/>
  <c r="U564" i="2"/>
  <c r="AK564" i="2"/>
  <c r="BA564" i="2"/>
  <c r="AL564" i="2"/>
  <c r="W564" i="2"/>
  <c r="AR564" i="2"/>
  <c r="AD564" i="2"/>
  <c r="AY564" i="2"/>
  <c r="AE564" i="2"/>
  <c r="AZ564" i="2"/>
  <c r="Y564" i="2"/>
  <c r="AO564" i="2"/>
  <c r="AM565" i="2" l="1"/>
  <c r="K565" i="2"/>
  <c r="X565" i="2"/>
  <c r="AT565" i="2"/>
  <c r="R565" i="2"/>
  <c r="D566" i="2"/>
  <c r="C566" i="2"/>
  <c r="W565" i="2"/>
  <c r="AR565" i="2"/>
  <c r="AD565" i="2"/>
  <c r="AY565" i="2"/>
  <c r="AB565" i="2"/>
  <c r="AX565" i="2"/>
  <c r="AI565" i="2"/>
  <c r="AH565" i="2"/>
  <c r="S565" i="2"/>
  <c r="AN565" i="2"/>
  <c r="T565" i="2"/>
  <c r="AE565" i="2"/>
  <c r="Z565" i="2"/>
  <c r="AJ565" i="2"/>
  <c r="AQ565" i="2"/>
  <c r="AP565" i="2"/>
  <c r="AZ565" i="2"/>
  <c r="AF565" i="2"/>
  <c r="AU565" i="2"/>
  <c r="V565" i="2"/>
  <c r="U565" i="2"/>
  <c r="AA565" i="2"/>
  <c r="AV565" i="2"/>
  <c r="Y565" i="2"/>
  <c r="AO565" i="2"/>
  <c r="P566" i="2"/>
  <c r="M566" i="2" s="1"/>
  <c r="B567" i="2"/>
  <c r="I566" i="2"/>
  <c r="J566" i="2"/>
  <c r="H565" i="2"/>
  <c r="AC565" i="2"/>
  <c r="AS565" i="2"/>
  <c r="L564" i="2"/>
  <c r="N564" i="2" s="1"/>
  <c r="AL565" i="2"/>
  <c r="Q565" i="2"/>
  <c r="AG565" i="2"/>
  <c r="AW565" i="2"/>
  <c r="O563" i="2"/>
  <c r="AK565" i="2"/>
  <c r="BA565" i="2"/>
  <c r="K566" i="2" l="1"/>
  <c r="X566" i="2"/>
  <c r="AN566" i="2"/>
  <c r="AT566" i="2"/>
  <c r="S566" i="2"/>
  <c r="D567" i="2"/>
  <c r="C567" i="2"/>
  <c r="T566" i="2"/>
  <c r="Z566" i="2"/>
  <c r="AD566" i="2"/>
  <c r="AY566" i="2"/>
  <c r="AE566" i="2"/>
  <c r="AI566" i="2"/>
  <c r="AJ566" i="2"/>
  <c r="AP566" i="2"/>
  <c r="AZ566" i="2"/>
  <c r="AF566" i="2"/>
  <c r="R566" i="2"/>
  <c r="AU566" i="2"/>
  <c r="AA566" i="2"/>
  <c r="O564" i="2"/>
  <c r="V566" i="2"/>
  <c r="AQ566" i="2"/>
  <c r="AB566" i="2"/>
  <c r="AX566" i="2"/>
  <c r="Y566" i="2"/>
  <c r="AO566" i="2"/>
  <c r="AV566" i="2"/>
  <c r="AH566" i="2"/>
  <c r="AC566" i="2"/>
  <c r="AS566" i="2"/>
  <c r="B568" i="2"/>
  <c r="P567" i="2"/>
  <c r="M567" i="2" s="1"/>
  <c r="I567" i="2"/>
  <c r="J567" i="2"/>
  <c r="H566" i="2"/>
  <c r="AM566" i="2"/>
  <c r="Q566" i="2"/>
  <c r="AG566" i="2"/>
  <c r="AW566" i="2"/>
  <c r="L565" i="2"/>
  <c r="AL566" i="2"/>
  <c r="W566" i="2"/>
  <c r="AR566" i="2"/>
  <c r="U566" i="2"/>
  <c r="AK566" i="2"/>
  <c r="BA566" i="2"/>
  <c r="K567" i="2" l="1"/>
  <c r="D568" i="2"/>
  <c r="C568" i="2"/>
  <c r="AM567" i="2"/>
  <c r="T567" i="2"/>
  <c r="Z567" i="2"/>
  <c r="AU567" i="2"/>
  <c r="AA567" i="2"/>
  <c r="X567" i="2"/>
  <c r="AP567" i="2"/>
  <c r="N565" i="2"/>
  <c r="O565" i="2" s="1"/>
  <c r="AE567" i="2"/>
  <c r="AZ567" i="2"/>
  <c r="AF567" i="2"/>
  <c r="AJ567" i="2"/>
  <c r="R567" i="2"/>
  <c r="L566" i="2"/>
  <c r="AL567" i="2"/>
  <c r="W567" i="2"/>
  <c r="AR567" i="2"/>
  <c r="AD567" i="2"/>
  <c r="AY567" i="2"/>
  <c r="U567" i="2"/>
  <c r="AK567" i="2"/>
  <c r="BA567" i="2"/>
  <c r="V567" i="2"/>
  <c r="AQ567" i="2"/>
  <c r="AB567" i="2"/>
  <c r="AX567" i="2"/>
  <c r="AI567" i="2"/>
  <c r="B569" i="2"/>
  <c r="P568" i="2"/>
  <c r="M568" i="2" s="1"/>
  <c r="I568" i="2"/>
  <c r="J568" i="2"/>
  <c r="Y567" i="2"/>
  <c r="AO567" i="2"/>
  <c r="AV567" i="2"/>
  <c r="AH567" i="2"/>
  <c r="S567" i="2"/>
  <c r="AN567" i="2"/>
  <c r="AC567" i="2"/>
  <c r="AS567" i="2"/>
  <c r="H567" i="2"/>
  <c r="AT567" i="2"/>
  <c r="Q567" i="2"/>
  <c r="AG567" i="2"/>
  <c r="AW567" i="2"/>
  <c r="K568" i="2" l="1"/>
  <c r="C569" i="2"/>
  <c r="D569" i="2"/>
  <c r="V568" i="2"/>
  <c r="AA568" i="2"/>
  <c r="AX568" i="2"/>
  <c r="AQ568" i="2"/>
  <c r="AI568" i="2"/>
  <c r="AB568" i="2"/>
  <c r="AN568" i="2"/>
  <c r="AH568" i="2"/>
  <c r="AV568" i="2"/>
  <c r="S568" i="2"/>
  <c r="AL568" i="2"/>
  <c r="W568" i="2"/>
  <c r="AR568" i="2"/>
  <c r="AD568" i="2"/>
  <c r="AY568" i="2"/>
  <c r="AE568" i="2"/>
  <c r="AZ568" i="2"/>
  <c r="Y568" i="2"/>
  <c r="AO568" i="2"/>
  <c r="P569" i="2"/>
  <c r="M569" i="2" s="1"/>
  <c r="B570" i="2"/>
  <c r="J569" i="2"/>
  <c r="I569" i="2"/>
  <c r="AJ568" i="2"/>
  <c r="AC568" i="2"/>
  <c r="AS568" i="2"/>
  <c r="T568" i="2"/>
  <c r="AP568" i="2"/>
  <c r="Q568" i="2"/>
  <c r="AG568" i="2"/>
  <c r="AW568" i="2"/>
  <c r="N566" i="2"/>
  <c r="O566" i="2" s="1"/>
  <c r="L567" i="2"/>
  <c r="N567" i="2" s="1"/>
  <c r="H568" i="2"/>
  <c r="AF568" i="2"/>
  <c r="R568" i="2"/>
  <c r="AM568" i="2"/>
  <c r="X568" i="2"/>
  <c r="AT568" i="2"/>
  <c r="Z568" i="2"/>
  <c r="AU568" i="2"/>
  <c r="U568" i="2"/>
  <c r="AK568" i="2"/>
  <c r="BA568" i="2"/>
  <c r="K569" i="2" l="1"/>
  <c r="S569" i="2"/>
  <c r="AX569" i="2"/>
  <c r="T569" i="2"/>
  <c r="D570" i="2"/>
  <c r="C570" i="2"/>
  <c r="AB569" i="2"/>
  <c r="AI569" i="2"/>
  <c r="AJ569" i="2"/>
  <c r="AH569" i="2"/>
  <c r="AN569" i="2"/>
  <c r="AP569" i="2"/>
  <c r="R569" i="2"/>
  <c r="AM569" i="2"/>
  <c r="X569" i="2"/>
  <c r="AT569" i="2"/>
  <c r="Z569" i="2"/>
  <c r="AU569" i="2"/>
  <c r="V569" i="2"/>
  <c r="W569" i="2"/>
  <c r="AR569" i="2"/>
  <c r="AD569" i="2"/>
  <c r="AY569" i="2"/>
  <c r="AE569" i="2"/>
  <c r="AZ569" i="2"/>
  <c r="AA569" i="2"/>
  <c r="AQ569" i="2"/>
  <c r="AV569" i="2"/>
  <c r="AL569" i="2"/>
  <c r="Q569" i="2"/>
  <c r="AG569" i="2"/>
  <c r="AW569" i="2"/>
  <c r="P570" i="2"/>
  <c r="M570" i="2" s="1"/>
  <c r="B571" i="2"/>
  <c r="J570" i="2"/>
  <c r="I570" i="2"/>
  <c r="O567" i="2"/>
  <c r="L568" i="2"/>
  <c r="U569" i="2"/>
  <c r="AK569" i="2"/>
  <c r="BA569" i="2"/>
  <c r="Y569" i="2"/>
  <c r="AO569" i="2"/>
  <c r="H569" i="2"/>
  <c r="AF569" i="2"/>
  <c r="AC569" i="2"/>
  <c r="AS569" i="2"/>
  <c r="K570" i="2" l="1"/>
  <c r="D571" i="2"/>
  <c r="C571" i="2"/>
  <c r="AD570" i="2"/>
  <c r="AI570" i="2"/>
  <c r="AE570" i="2"/>
  <c r="AN570" i="2"/>
  <c r="AJ570" i="2"/>
  <c r="S570" i="2"/>
  <c r="X570" i="2"/>
  <c r="AY570" i="2"/>
  <c r="T570" i="2"/>
  <c r="AP570" i="2"/>
  <c r="V570" i="2"/>
  <c r="AT570" i="2"/>
  <c r="Z570" i="2"/>
  <c r="AU570" i="2"/>
  <c r="AQ570" i="2"/>
  <c r="AB570" i="2"/>
  <c r="AX570" i="2"/>
  <c r="Y570" i="2"/>
  <c r="AO570" i="2"/>
  <c r="AZ570" i="2"/>
  <c r="AA570" i="2"/>
  <c r="AV570" i="2"/>
  <c r="AH570" i="2"/>
  <c r="AC570" i="2"/>
  <c r="AS570" i="2"/>
  <c r="L569" i="2"/>
  <c r="N568" i="2"/>
  <c r="O568" i="2" s="1"/>
  <c r="B572" i="2"/>
  <c r="P571" i="2"/>
  <c r="M571" i="2" s="1"/>
  <c r="I571" i="2"/>
  <c r="J571" i="2"/>
  <c r="H570" i="2"/>
  <c r="AF570" i="2"/>
  <c r="R570" i="2"/>
  <c r="AM570" i="2"/>
  <c r="Q570" i="2"/>
  <c r="AG570" i="2"/>
  <c r="AW570" i="2"/>
  <c r="AL570" i="2"/>
  <c r="W570" i="2"/>
  <c r="AR570" i="2"/>
  <c r="U570" i="2"/>
  <c r="AK570" i="2"/>
  <c r="BA570" i="2"/>
  <c r="K571" i="2" l="1"/>
  <c r="D572" i="2"/>
  <c r="C572" i="2"/>
  <c r="T571" i="2"/>
  <c r="AP571" i="2"/>
  <c r="Z571" i="2"/>
  <c r="V571" i="2"/>
  <c r="Y571" i="2"/>
  <c r="AE571" i="2"/>
  <c r="AZ571" i="2"/>
  <c r="AF571" i="2"/>
  <c r="AI571" i="2"/>
  <c r="AO571" i="2"/>
  <c r="AB571" i="2"/>
  <c r="AU571" i="2"/>
  <c r="AX571" i="2"/>
  <c r="AJ571" i="2"/>
  <c r="AQ571" i="2"/>
  <c r="B573" i="2"/>
  <c r="P572" i="2"/>
  <c r="M572" i="2" s="1"/>
  <c r="I572" i="2"/>
  <c r="J572" i="2"/>
  <c r="AA571" i="2"/>
  <c r="AV571" i="2"/>
  <c r="AH571" i="2"/>
  <c r="S571" i="2"/>
  <c r="AN571" i="2"/>
  <c r="AC571" i="2"/>
  <c r="AS571" i="2"/>
  <c r="H571" i="2"/>
  <c r="R571" i="2"/>
  <c r="AM571" i="2"/>
  <c r="X571" i="2"/>
  <c r="AT571" i="2"/>
  <c r="Q571" i="2"/>
  <c r="AG571" i="2"/>
  <c r="AW571" i="2"/>
  <c r="N569" i="2"/>
  <c r="O569" i="2" s="1"/>
  <c r="L570" i="2"/>
  <c r="AL571" i="2"/>
  <c r="W571" i="2"/>
  <c r="AR571" i="2"/>
  <c r="AD571" i="2"/>
  <c r="AY571" i="2"/>
  <c r="U571" i="2"/>
  <c r="AK571" i="2"/>
  <c r="BA571" i="2"/>
  <c r="K572" i="2" l="1"/>
  <c r="C573" i="2"/>
  <c r="D573" i="2"/>
  <c r="AX572" i="2"/>
  <c r="V572" i="2"/>
  <c r="AI572" i="2"/>
  <c r="AC572" i="2"/>
  <c r="AQ572" i="2"/>
  <c r="AS572" i="2"/>
  <c r="AB572" i="2"/>
  <c r="AJ572" i="2"/>
  <c r="P573" i="2"/>
  <c r="M573" i="2" s="1"/>
  <c r="B574" i="2"/>
  <c r="J573" i="2"/>
  <c r="I573" i="2"/>
  <c r="N570" i="2"/>
  <c r="O570" i="2" s="1"/>
  <c r="AA572" i="2"/>
  <c r="AV572" i="2"/>
  <c r="AH572" i="2"/>
  <c r="S572" i="2"/>
  <c r="AN572" i="2"/>
  <c r="T572" i="2"/>
  <c r="AP572" i="2"/>
  <c r="Q572" i="2"/>
  <c r="AG572" i="2"/>
  <c r="AW572" i="2"/>
  <c r="H572" i="2"/>
  <c r="AF572" i="2"/>
  <c r="R572" i="2"/>
  <c r="AM572" i="2"/>
  <c r="X572" i="2"/>
  <c r="AT572" i="2"/>
  <c r="Z572" i="2"/>
  <c r="AU572" i="2"/>
  <c r="U572" i="2"/>
  <c r="AK572" i="2"/>
  <c r="BA572" i="2"/>
  <c r="L571" i="2"/>
  <c r="N571" i="2" s="1"/>
  <c r="O571" i="2" s="1"/>
  <c r="AL572" i="2"/>
  <c r="W572" i="2"/>
  <c r="AR572" i="2"/>
  <c r="AD572" i="2"/>
  <c r="AY572" i="2"/>
  <c r="AE572" i="2"/>
  <c r="AZ572" i="2"/>
  <c r="Y572" i="2"/>
  <c r="AO572" i="2"/>
  <c r="K573" i="2" l="1"/>
  <c r="R573" i="2"/>
  <c r="AN573" i="2"/>
  <c r="AM573" i="2"/>
  <c r="AR573" i="2"/>
  <c r="AT573" i="2"/>
  <c r="AH573" i="2"/>
  <c r="X573" i="2"/>
  <c r="W573" i="2"/>
  <c r="S573" i="2"/>
  <c r="AY573" i="2"/>
  <c r="AU573" i="2"/>
  <c r="AD573" i="2"/>
  <c r="D574" i="2"/>
  <c r="C574" i="2"/>
  <c r="Z573" i="2"/>
  <c r="T573" i="2"/>
  <c r="AP573" i="2"/>
  <c r="AZ573" i="2"/>
  <c r="AE573" i="2"/>
  <c r="AF573" i="2"/>
  <c r="AB573" i="2"/>
  <c r="AX573" i="2"/>
  <c r="AI573" i="2"/>
  <c r="AJ573" i="2"/>
  <c r="AC573" i="2"/>
  <c r="AS573" i="2"/>
  <c r="AL573" i="2"/>
  <c r="Q573" i="2"/>
  <c r="AG573" i="2"/>
  <c r="AW573" i="2"/>
  <c r="P574" i="2"/>
  <c r="M574" i="2" s="1"/>
  <c r="B575" i="2"/>
  <c r="J574" i="2"/>
  <c r="I574" i="2"/>
  <c r="H573" i="2"/>
  <c r="V573" i="2"/>
  <c r="AQ573" i="2"/>
  <c r="U573" i="2"/>
  <c r="AK573" i="2"/>
  <c r="BA573" i="2"/>
  <c r="L572" i="2"/>
  <c r="N572" i="2" s="1"/>
  <c r="AA573" i="2"/>
  <c r="AV573" i="2"/>
  <c r="Y573" i="2"/>
  <c r="AO573" i="2"/>
  <c r="K574" i="2" l="1"/>
  <c r="D575" i="2"/>
  <c r="C575" i="2"/>
  <c r="AI574" i="2"/>
  <c r="X574" i="2"/>
  <c r="AQ574" i="2"/>
  <c r="S574" i="2"/>
  <c r="Z574" i="2"/>
  <c r="AT574" i="2"/>
  <c r="AN574" i="2"/>
  <c r="AP574" i="2"/>
  <c r="AD574" i="2"/>
  <c r="AU574" i="2"/>
  <c r="T574" i="2"/>
  <c r="Y574" i="2"/>
  <c r="AB574" i="2"/>
  <c r="AO574" i="2"/>
  <c r="AX574" i="2"/>
  <c r="O572" i="2"/>
  <c r="V574" i="2"/>
  <c r="AY574" i="2"/>
  <c r="AE574" i="2"/>
  <c r="AZ574" i="2"/>
  <c r="AA574" i="2"/>
  <c r="AV574" i="2"/>
  <c r="AH574" i="2"/>
  <c r="AC574" i="2"/>
  <c r="AS574" i="2"/>
  <c r="B576" i="2"/>
  <c r="P575" i="2"/>
  <c r="M575" i="2" s="1"/>
  <c r="I575" i="2"/>
  <c r="J575" i="2"/>
  <c r="AJ574" i="2"/>
  <c r="H574" i="2"/>
  <c r="AF574" i="2"/>
  <c r="R574" i="2"/>
  <c r="AM574" i="2"/>
  <c r="Q574" i="2"/>
  <c r="AG574" i="2"/>
  <c r="AW574" i="2"/>
  <c r="L573" i="2"/>
  <c r="N573" i="2" s="1"/>
  <c r="O573" i="2" s="1"/>
  <c r="AL574" i="2"/>
  <c r="W574" i="2"/>
  <c r="AR574" i="2"/>
  <c r="U574" i="2"/>
  <c r="AK574" i="2"/>
  <c r="BA574" i="2"/>
  <c r="K575" i="2" l="1"/>
  <c r="D576" i="2"/>
  <c r="C576" i="2"/>
  <c r="T575" i="2"/>
  <c r="AP575" i="2"/>
  <c r="AI575" i="2"/>
  <c r="Z575" i="2"/>
  <c r="V575" i="2"/>
  <c r="AB575" i="2"/>
  <c r="AX575" i="2"/>
  <c r="Y575" i="2"/>
  <c r="AO575" i="2"/>
  <c r="AU575" i="2"/>
  <c r="AQ575" i="2"/>
  <c r="AE575" i="2"/>
  <c r="AZ575" i="2"/>
  <c r="AA575" i="2"/>
  <c r="AV575" i="2"/>
  <c r="AH575" i="2"/>
  <c r="S575" i="2"/>
  <c r="AN575" i="2"/>
  <c r="AC575" i="2"/>
  <c r="AS575" i="2"/>
  <c r="B577" i="2"/>
  <c r="P576" i="2"/>
  <c r="M576" i="2" s="1"/>
  <c r="I576" i="2"/>
  <c r="J576" i="2"/>
  <c r="L574" i="2"/>
  <c r="AJ575" i="2"/>
  <c r="H575" i="2"/>
  <c r="AF575" i="2"/>
  <c r="R575" i="2"/>
  <c r="AM575" i="2"/>
  <c r="X575" i="2"/>
  <c r="AT575" i="2"/>
  <c r="Q575" i="2"/>
  <c r="AG575" i="2"/>
  <c r="AW575" i="2"/>
  <c r="AL575" i="2"/>
  <c r="W575" i="2"/>
  <c r="AR575" i="2"/>
  <c r="AD575" i="2"/>
  <c r="AY575" i="2"/>
  <c r="U575" i="2"/>
  <c r="AK575" i="2"/>
  <c r="BA575" i="2"/>
  <c r="K576" i="2" l="1"/>
  <c r="C577" i="2"/>
  <c r="D577" i="2"/>
  <c r="AM576" i="2"/>
  <c r="AC576" i="2"/>
  <c r="AT576" i="2"/>
  <c r="V576" i="2"/>
  <c r="AV576" i="2"/>
  <c r="AA576" i="2"/>
  <c r="R576" i="2"/>
  <c r="AX576" i="2"/>
  <c r="AS576" i="2"/>
  <c r="AF576" i="2"/>
  <c r="AB576" i="2"/>
  <c r="X576" i="2"/>
  <c r="AJ576" i="2"/>
  <c r="AQ576" i="2"/>
  <c r="AH576" i="2"/>
  <c r="AI576" i="2"/>
  <c r="S576" i="2"/>
  <c r="AN576" i="2"/>
  <c r="T576" i="2"/>
  <c r="AP576" i="2"/>
  <c r="Q576" i="2"/>
  <c r="AG576" i="2"/>
  <c r="AW576" i="2"/>
  <c r="L575" i="2"/>
  <c r="N575" i="2" s="1"/>
  <c r="Z576" i="2"/>
  <c r="AU576" i="2"/>
  <c r="U576" i="2"/>
  <c r="AK576" i="2"/>
  <c r="BA576" i="2"/>
  <c r="P577" i="2"/>
  <c r="M577" i="2" s="1"/>
  <c r="B578" i="2"/>
  <c r="I577" i="2"/>
  <c r="J577" i="2"/>
  <c r="N574" i="2"/>
  <c r="O574" i="2" s="1"/>
  <c r="H576" i="2"/>
  <c r="AL576" i="2"/>
  <c r="W576" i="2"/>
  <c r="AR576" i="2"/>
  <c r="AD576" i="2"/>
  <c r="AY576" i="2"/>
  <c r="AE576" i="2"/>
  <c r="AZ576" i="2"/>
  <c r="Y576" i="2"/>
  <c r="AO576" i="2"/>
  <c r="K577" i="2" l="1"/>
  <c r="AR577" i="2"/>
  <c r="D578" i="2"/>
  <c r="C578" i="2"/>
  <c r="AI577" i="2"/>
  <c r="R577" i="2"/>
  <c r="W577" i="2"/>
  <c r="Z577" i="2"/>
  <c r="AB577" i="2"/>
  <c r="X577" i="2"/>
  <c r="AY577" i="2"/>
  <c r="AU577" i="2"/>
  <c r="AM577" i="2"/>
  <c r="AD577" i="2"/>
  <c r="AX577" i="2"/>
  <c r="AT577" i="2"/>
  <c r="AP577" i="2"/>
  <c r="AH577" i="2"/>
  <c r="S577" i="2"/>
  <c r="AN577" i="2"/>
  <c r="T577" i="2"/>
  <c r="L576" i="2"/>
  <c r="AE577" i="2"/>
  <c r="AZ577" i="2"/>
  <c r="AA577" i="2"/>
  <c r="AV577" i="2"/>
  <c r="Y577" i="2"/>
  <c r="AO577" i="2"/>
  <c r="P578" i="2"/>
  <c r="M578" i="2" s="1"/>
  <c r="B579" i="2"/>
  <c r="I578" i="2"/>
  <c r="J578" i="2"/>
  <c r="AJ577" i="2"/>
  <c r="H577" i="2"/>
  <c r="AF577" i="2"/>
  <c r="AC577" i="2"/>
  <c r="AS577" i="2"/>
  <c r="AL577" i="2"/>
  <c r="Q577" i="2"/>
  <c r="AG577" i="2"/>
  <c r="AW577" i="2"/>
  <c r="O575" i="2"/>
  <c r="V577" i="2"/>
  <c r="AQ577" i="2"/>
  <c r="U577" i="2"/>
  <c r="AK577" i="2"/>
  <c r="BA577" i="2"/>
  <c r="K578" i="2" l="1"/>
  <c r="AI578" i="2"/>
  <c r="D579" i="2"/>
  <c r="C579" i="2"/>
  <c r="AY578" i="2"/>
  <c r="AD578" i="2"/>
  <c r="AE578" i="2"/>
  <c r="AJ578" i="2"/>
  <c r="S578" i="2"/>
  <c r="AN578" i="2"/>
  <c r="T578" i="2"/>
  <c r="AP578" i="2"/>
  <c r="AF578" i="2"/>
  <c r="X578" i="2"/>
  <c r="AT578" i="2"/>
  <c r="Z578" i="2"/>
  <c r="AZ578" i="2"/>
  <c r="AQ578" i="2"/>
  <c r="AU578" i="2"/>
  <c r="V578" i="2"/>
  <c r="R578" i="2"/>
  <c r="AA578" i="2"/>
  <c r="AV578" i="2"/>
  <c r="AH578" i="2"/>
  <c r="AC578" i="2"/>
  <c r="AS578" i="2"/>
  <c r="L577" i="2"/>
  <c r="B580" i="2"/>
  <c r="P579" i="2"/>
  <c r="M579" i="2" s="1"/>
  <c r="J579" i="2"/>
  <c r="I579" i="2"/>
  <c r="H578" i="2"/>
  <c r="AM578" i="2"/>
  <c r="Q578" i="2"/>
  <c r="AG578" i="2"/>
  <c r="AW578" i="2"/>
  <c r="AL578" i="2"/>
  <c r="W578" i="2"/>
  <c r="AR578" i="2"/>
  <c r="U578" i="2"/>
  <c r="AK578" i="2"/>
  <c r="BA578" i="2"/>
  <c r="N576" i="2"/>
  <c r="O576" i="2" s="1"/>
  <c r="AB578" i="2"/>
  <c r="AX578" i="2"/>
  <c r="Y578" i="2"/>
  <c r="AO578" i="2"/>
  <c r="K579" i="2" l="1"/>
  <c r="D580" i="2"/>
  <c r="C580" i="2"/>
  <c r="T579" i="2"/>
  <c r="AP579" i="2"/>
  <c r="Z579" i="2"/>
  <c r="AU579" i="2"/>
  <c r="V579" i="2"/>
  <c r="AJ579" i="2"/>
  <c r="AQ579" i="2"/>
  <c r="AV579" i="2"/>
  <c r="AB579" i="2"/>
  <c r="AE579" i="2"/>
  <c r="AZ579" i="2"/>
  <c r="AA579" i="2"/>
  <c r="AH579" i="2"/>
  <c r="N577" i="2"/>
  <c r="O577" i="2" s="1"/>
  <c r="S579" i="2"/>
  <c r="AN579" i="2"/>
  <c r="AC579" i="2"/>
  <c r="AS579" i="2"/>
  <c r="H579" i="2"/>
  <c r="AF579" i="2"/>
  <c r="R579" i="2"/>
  <c r="AM579" i="2"/>
  <c r="X579" i="2"/>
  <c r="AT579" i="2"/>
  <c r="Q579" i="2"/>
  <c r="AG579" i="2"/>
  <c r="AW579" i="2"/>
  <c r="L578" i="2"/>
  <c r="AL579" i="2"/>
  <c r="W579" i="2"/>
  <c r="AR579" i="2"/>
  <c r="AD579" i="2"/>
  <c r="AY579" i="2"/>
  <c r="U579" i="2"/>
  <c r="AK579" i="2"/>
  <c r="BA579" i="2"/>
  <c r="AX579" i="2"/>
  <c r="AI579" i="2"/>
  <c r="B581" i="2"/>
  <c r="P580" i="2"/>
  <c r="M580" i="2" s="1"/>
  <c r="I580" i="2"/>
  <c r="J580" i="2"/>
  <c r="Y579" i="2"/>
  <c r="AO579" i="2"/>
  <c r="K580" i="2" l="1"/>
  <c r="C581" i="2"/>
  <c r="D581" i="2"/>
  <c r="AA580" i="2"/>
  <c r="AF580" i="2"/>
  <c r="AV580" i="2"/>
  <c r="V580" i="2"/>
  <c r="AH580" i="2"/>
  <c r="AQ580" i="2"/>
  <c r="H580" i="2"/>
  <c r="R580" i="2"/>
  <c r="AM580" i="2"/>
  <c r="X580" i="2"/>
  <c r="AT580" i="2"/>
  <c r="Z580" i="2"/>
  <c r="AU580" i="2"/>
  <c r="U580" i="2"/>
  <c r="AK580" i="2"/>
  <c r="BA580" i="2"/>
  <c r="N578" i="2"/>
  <c r="O578" i="2" s="1"/>
  <c r="AL580" i="2"/>
  <c r="W580" i="2"/>
  <c r="AR580" i="2"/>
  <c r="AD580" i="2"/>
  <c r="AY580" i="2"/>
  <c r="AE580" i="2"/>
  <c r="AZ580" i="2"/>
  <c r="Y580" i="2"/>
  <c r="AO580" i="2"/>
  <c r="AB580" i="2"/>
  <c r="AX580" i="2"/>
  <c r="AI580" i="2"/>
  <c r="P581" i="2"/>
  <c r="M581" i="2" s="1"/>
  <c r="B582" i="2"/>
  <c r="J581" i="2"/>
  <c r="I581" i="2"/>
  <c r="AJ580" i="2"/>
  <c r="AC580" i="2"/>
  <c r="AS580" i="2"/>
  <c r="L579" i="2"/>
  <c r="S580" i="2"/>
  <c r="AN580" i="2"/>
  <c r="T580" i="2"/>
  <c r="AP580" i="2"/>
  <c r="Q580" i="2"/>
  <c r="AG580" i="2"/>
  <c r="AW580" i="2"/>
  <c r="K581" i="2" l="1"/>
  <c r="AM581" i="2"/>
  <c r="D582" i="2"/>
  <c r="C582" i="2"/>
  <c r="R581" i="2"/>
  <c r="AX581" i="2"/>
  <c r="T581" i="2"/>
  <c r="W581" i="2"/>
  <c r="X581" i="2"/>
  <c r="Z581" i="2"/>
  <c r="AH581" i="2"/>
  <c r="AN581" i="2"/>
  <c r="AT581" i="2"/>
  <c r="AP581" i="2"/>
  <c r="AA581" i="2"/>
  <c r="AB581" i="2"/>
  <c r="S581" i="2"/>
  <c r="AU581" i="2"/>
  <c r="AR581" i="2"/>
  <c r="AD581" i="2"/>
  <c r="AY581" i="2"/>
  <c r="AE581" i="2"/>
  <c r="AZ581" i="2"/>
  <c r="AQ581" i="2"/>
  <c r="AI581" i="2"/>
  <c r="AJ581" i="2"/>
  <c r="AV581" i="2"/>
  <c r="V581" i="2"/>
  <c r="U581" i="2"/>
  <c r="N579" i="2"/>
  <c r="O579" i="2" s="1"/>
  <c r="P582" i="2"/>
  <c r="M582" i="2" s="1"/>
  <c r="B583" i="2"/>
  <c r="I582" i="2"/>
  <c r="J582" i="2"/>
  <c r="H581" i="2"/>
  <c r="AF581" i="2"/>
  <c r="AC581" i="2"/>
  <c r="AS581" i="2"/>
  <c r="AL581" i="2"/>
  <c r="Q581" i="2"/>
  <c r="AG581" i="2"/>
  <c r="AW581" i="2"/>
  <c r="L580" i="2"/>
  <c r="N580" i="2" s="1"/>
  <c r="O580" i="2" s="1"/>
  <c r="AK581" i="2"/>
  <c r="BA581" i="2"/>
  <c r="Y581" i="2"/>
  <c r="AO581" i="2"/>
  <c r="K582" i="2" l="1"/>
  <c r="D583" i="2"/>
  <c r="C583" i="2"/>
  <c r="X582" i="2"/>
  <c r="T582" i="2"/>
  <c r="AT582" i="2"/>
  <c r="AP582" i="2"/>
  <c r="S582" i="2"/>
  <c r="AN582" i="2"/>
  <c r="Z582" i="2"/>
  <c r="L581" i="2"/>
  <c r="AI582" i="2"/>
  <c r="B584" i="2"/>
  <c r="P583" i="2"/>
  <c r="M583" i="2" s="1"/>
  <c r="I583" i="2"/>
  <c r="J583" i="2"/>
  <c r="AJ582" i="2"/>
  <c r="H582" i="2"/>
  <c r="AF582" i="2"/>
  <c r="R582" i="2"/>
  <c r="AM582" i="2"/>
  <c r="Q582" i="2"/>
  <c r="AG582" i="2"/>
  <c r="AW582" i="2"/>
  <c r="AL582" i="2"/>
  <c r="W582" i="2"/>
  <c r="AR582" i="2"/>
  <c r="U582" i="2"/>
  <c r="AK582" i="2"/>
  <c r="BA582" i="2"/>
  <c r="AU582" i="2"/>
  <c r="V582" i="2"/>
  <c r="AQ582" i="2"/>
  <c r="AB582" i="2"/>
  <c r="AX582" i="2"/>
  <c r="Y582" i="2"/>
  <c r="AO582" i="2"/>
  <c r="AD582" i="2"/>
  <c r="AY582" i="2"/>
  <c r="AE582" i="2"/>
  <c r="AZ582" i="2"/>
  <c r="AA582" i="2"/>
  <c r="AV582" i="2"/>
  <c r="AH582" i="2"/>
  <c r="AC582" i="2"/>
  <c r="AS582" i="2"/>
  <c r="K583" i="2" l="1"/>
  <c r="D584" i="2"/>
  <c r="C584" i="2"/>
  <c r="T583" i="2"/>
  <c r="AE583" i="2"/>
  <c r="AZ583" i="2"/>
  <c r="AP583" i="2"/>
  <c r="Z583" i="2"/>
  <c r="AU583" i="2"/>
  <c r="V583" i="2"/>
  <c r="AQ583" i="2"/>
  <c r="AB583" i="2"/>
  <c r="AX583" i="2"/>
  <c r="AI583" i="2"/>
  <c r="B585" i="2"/>
  <c r="P584" i="2"/>
  <c r="M584" i="2" s="1"/>
  <c r="I584" i="2"/>
  <c r="J584" i="2"/>
  <c r="Y583" i="2"/>
  <c r="AO583" i="2"/>
  <c r="AA583" i="2"/>
  <c r="AV583" i="2"/>
  <c r="AH583" i="2"/>
  <c r="S583" i="2"/>
  <c r="AN583" i="2"/>
  <c r="AC583" i="2"/>
  <c r="AS583" i="2"/>
  <c r="L582" i="2"/>
  <c r="AJ583" i="2"/>
  <c r="H583" i="2"/>
  <c r="AF583" i="2"/>
  <c r="R583" i="2"/>
  <c r="AM583" i="2"/>
  <c r="X583" i="2"/>
  <c r="AT583" i="2"/>
  <c r="Q583" i="2"/>
  <c r="AG583" i="2"/>
  <c r="AW583" i="2"/>
  <c r="N581" i="2"/>
  <c r="O581" i="2" s="1"/>
  <c r="AL583" i="2"/>
  <c r="W583" i="2"/>
  <c r="AR583" i="2"/>
  <c r="AD583" i="2"/>
  <c r="AY583" i="2"/>
  <c r="U583" i="2"/>
  <c r="AK583" i="2"/>
  <c r="BA583" i="2"/>
  <c r="K584" i="2" l="1"/>
  <c r="C585" i="2"/>
  <c r="D585" i="2"/>
  <c r="V584" i="2"/>
  <c r="AB584" i="2"/>
  <c r="AA584" i="2"/>
  <c r="AH584" i="2"/>
  <c r="N582" i="2"/>
  <c r="O582" i="2" s="1"/>
  <c r="AQ584" i="2"/>
  <c r="S584" i="2"/>
  <c r="AV584" i="2"/>
  <c r="AL584" i="2"/>
  <c r="W584" i="2"/>
  <c r="AR584" i="2"/>
  <c r="AD584" i="2"/>
  <c r="AY584" i="2"/>
  <c r="AE584" i="2"/>
  <c r="AZ584" i="2"/>
  <c r="Y584" i="2"/>
  <c r="AO584" i="2"/>
  <c r="AX584" i="2"/>
  <c r="AI584" i="2"/>
  <c r="P585" i="2"/>
  <c r="M585" i="2" s="1"/>
  <c r="B586" i="2"/>
  <c r="J585" i="2"/>
  <c r="I585" i="2"/>
  <c r="AJ584" i="2"/>
  <c r="AC584" i="2"/>
  <c r="AS584" i="2"/>
  <c r="L583" i="2"/>
  <c r="AN584" i="2"/>
  <c r="T584" i="2"/>
  <c r="AP584" i="2"/>
  <c r="Q584" i="2"/>
  <c r="AG584" i="2"/>
  <c r="AW584" i="2"/>
  <c r="H584" i="2"/>
  <c r="AF584" i="2"/>
  <c r="R584" i="2"/>
  <c r="AM584" i="2"/>
  <c r="X584" i="2"/>
  <c r="AT584" i="2"/>
  <c r="Z584" i="2"/>
  <c r="AU584" i="2"/>
  <c r="U584" i="2"/>
  <c r="AK584" i="2"/>
  <c r="BA584" i="2"/>
  <c r="K585" i="2" l="1"/>
  <c r="AD585" i="2"/>
  <c r="AM585" i="2"/>
  <c r="D586" i="2"/>
  <c r="C586" i="2"/>
  <c r="R585" i="2"/>
  <c r="AI585" i="2"/>
  <c r="AH585" i="2"/>
  <c r="W585" i="2"/>
  <c r="AR585" i="2"/>
  <c r="AY585" i="2"/>
  <c r="AB585" i="2"/>
  <c r="AX585" i="2"/>
  <c r="S585" i="2"/>
  <c r="AN585" i="2"/>
  <c r="T585" i="2"/>
  <c r="X585" i="2"/>
  <c r="AT585" i="2"/>
  <c r="AJ585" i="2"/>
  <c r="AP585" i="2"/>
  <c r="N583" i="2"/>
  <c r="O583" i="2" s="1"/>
  <c r="L584" i="2"/>
  <c r="Z585" i="2"/>
  <c r="AU585" i="2"/>
  <c r="V585" i="2"/>
  <c r="AQ585" i="2"/>
  <c r="U585" i="2"/>
  <c r="AK585" i="2"/>
  <c r="BA585" i="2"/>
  <c r="AE585" i="2"/>
  <c r="AZ585" i="2"/>
  <c r="AA585" i="2"/>
  <c r="AV585" i="2"/>
  <c r="Y585" i="2"/>
  <c r="AO585" i="2"/>
  <c r="P586" i="2"/>
  <c r="M586" i="2" s="1"/>
  <c r="B587" i="2"/>
  <c r="J586" i="2"/>
  <c r="I586" i="2"/>
  <c r="H585" i="2"/>
  <c r="AF585" i="2"/>
  <c r="AC585" i="2"/>
  <c r="AS585" i="2"/>
  <c r="AL585" i="2"/>
  <c r="Q585" i="2"/>
  <c r="AG585" i="2"/>
  <c r="AW585" i="2"/>
  <c r="K586" i="2" l="1"/>
  <c r="AD586" i="2"/>
  <c r="D587" i="2"/>
  <c r="C587" i="2"/>
  <c r="AI586" i="2"/>
  <c r="T586" i="2"/>
  <c r="S586" i="2"/>
  <c r="AN586" i="2"/>
  <c r="AP586" i="2"/>
  <c r="X586" i="2"/>
  <c r="AT586" i="2"/>
  <c r="AJ586" i="2"/>
  <c r="L585" i="2"/>
  <c r="Z586" i="2"/>
  <c r="AU586" i="2"/>
  <c r="V586" i="2"/>
  <c r="AQ586" i="2"/>
  <c r="AB586" i="2"/>
  <c r="AX586" i="2"/>
  <c r="Y586" i="2"/>
  <c r="AO586" i="2"/>
  <c r="AY586" i="2"/>
  <c r="AE586" i="2"/>
  <c r="AZ586" i="2"/>
  <c r="AA586" i="2"/>
  <c r="AV586" i="2"/>
  <c r="AH586" i="2"/>
  <c r="AC586" i="2"/>
  <c r="AS586" i="2"/>
  <c r="B588" i="2"/>
  <c r="P587" i="2"/>
  <c r="M587" i="2" s="1"/>
  <c r="I587" i="2"/>
  <c r="J587" i="2"/>
  <c r="H586" i="2"/>
  <c r="AF586" i="2"/>
  <c r="R586" i="2"/>
  <c r="AM586" i="2"/>
  <c r="Q586" i="2"/>
  <c r="AG586" i="2"/>
  <c r="AW586" i="2"/>
  <c r="N584" i="2"/>
  <c r="O584" i="2" s="1"/>
  <c r="AL586" i="2"/>
  <c r="W586" i="2"/>
  <c r="AR586" i="2"/>
  <c r="U586" i="2"/>
  <c r="AK586" i="2"/>
  <c r="BA586" i="2"/>
  <c r="K587" i="2" l="1"/>
  <c r="AJ587" i="2"/>
  <c r="D588" i="2"/>
  <c r="C588" i="2"/>
  <c r="AZ587" i="2"/>
  <c r="AR587" i="2"/>
  <c r="T587" i="2"/>
  <c r="AB587" i="2"/>
  <c r="H587" i="2"/>
  <c r="AM587" i="2"/>
  <c r="AF587" i="2"/>
  <c r="AA587" i="2"/>
  <c r="B589" i="2"/>
  <c r="P588" i="2"/>
  <c r="M588" i="2" s="1"/>
  <c r="I588" i="2"/>
  <c r="J588" i="2"/>
  <c r="Y587" i="2"/>
  <c r="AO587" i="2"/>
  <c r="V587" i="2"/>
  <c r="AL587" i="2"/>
  <c r="AU587" i="2"/>
  <c r="AN587" i="2"/>
  <c r="AI587" i="2"/>
  <c r="AC587" i="2"/>
  <c r="AS587" i="2"/>
  <c r="Z587" i="2"/>
  <c r="AP587" i="2"/>
  <c r="N585" i="2"/>
  <c r="O585" i="2" s="1"/>
  <c r="W587" i="2"/>
  <c r="R587" i="2"/>
  <c r="AV587" i="2"/>
  <c r="AQ587" i="2"/>
  <c r="Q587" i="2"/>
  <c r="AG587" i="2"/>
  <c r="AW587" i="2"/>
  <c r="AD587" i="2"/>
  <c r="AT587" i="2"/>
  <c r="L586" i="2"/>
  <c r="AE587" i="2"/>
  <c r="X587" i="2"/>
  <c r="S587" i="2"/>
  <c r="AY587" i="2"/>
  <c r="U587" i="2"/>
  <c r="AK587" i="2"/>
  <c r="BA587" i="2"/>
  <c r="AH587" i="2"/>
  <c r="AX587" i="2"/>
  <c r="K588" i="2" l="1"/>
  <c r="C589" i="2"/>
  <c r="D589" i="2"/>
  <c r="W588" i="2"/>
  <c r="N586" i="2"/>
  <c r="O586" i="2" s="1"/>
  <c r="AU588" i="2"/>
  <c r="AN588" i="2"/>
  <c r="AI588" i="2"/>
  <c r="T588" i="2"/>
  <c r="AZ588" i="2"/>
  <c r="Y588" i="2"/>
  <c r="AO588" i="2"/>
  <c r="H588" i="2"/>
  <c r="AD588" i="2"/>
  <c r="AT588" i="2"/>
  <c r="AV588" i="2"/>
  <c r="AQ588" i="2"/>
  <c r="AB588" i="2"/>
  <c r="AC588" i="2"/>
  <c r="AS588" i="2"/>
  <c r="R588" i="2"/>
  <c r="AH588" i="2"/>
  <c r="AX588" i="2"/>
  <c r="L587" i="2"/>
  <c r="N587" i="2" s="1"/>
  <c r="AE588" i="2"/>
  <c r="X588" i="2"/>
  <c r="S588" i="2"/>
  <c r="AY588" i="2"/>
  <c r="AJ588" i="2"/>
  <c r="Q588" i="2"/>
  <c r="AG588" i="2"/>
  <c r="AW588" i="2"/>
  <c r="V588" i="2"/>
  <c r="AL588" i="2"/>
  <c r="AM588" i="2"/>
  <c r="AF588" i="2"/>
  <c r="AA588" i="2"/>
  <c r="B590" i="2"/>
  <c r="P589" i="2"/>
  <c r="M589" i="2" s="1"/>
  <c r="J589" i="2"/>
  <c r="I589" i="2"/>
  <c r="AR588" i="2"/>
  <c r="U588" i="2"/>
  <c r="AK588" i="2"/>
  <c r="BA588" i="2"/>
  <c r="Z588" i="2"/>
  <c r="AP588" i="2"/>
  <c r="K589" i="2" l="1"/>
  <c r="D590" i="2"/>
  <c r="C590" i="2"/>
  <c r="AN589" i="2"/>
  <c r="X589" i="2"/>
  <c r="AF589" i="2"/>
  <c r="AY589" i="2"/>
  <c r="S589" i="2"/>
  <c r="T589" i="2"/>
  <c r="AI589" i="2"/>
  <c r="AJ589" i="2"/>
  <c r="AZ589" i="2"/>
  <c r="AE589" i="2"/>
  <c r="AA589" i="2"/>
  <c r="P590" i="2"/>
  <c r="M590" i="2" s="1"/>
  <c r="B591" i="2"/>
  <c r="J590" i="2"/>
  <c r="I590" i="2"/>
  <c r="AR589" i="2"/>
  <c r="AM589" i="2"/>
  <c r="U589" i="2"/>
  <c r="AK589" i="2"/>
  <c r="BA589" i="2"/>
  <c r="Z589" i="2"/>
  <c r="AP589" i="2"/>
  <c r="AU589" i="2"/>
  <c r="Y589" i="2"/>
  <c r="AO589" i="2"/>
  <c r="H589" i="2"/>
  <c r="AD589" i="2"/>
  <c r="AT589" i="2"/>
  <c r="O587" i="2"/>
  <c r="L588" i="2"/>
  <c r="AV589" i="2"/>
  <c r="AQ589" i="2"/>
  <c r="AB589" i="2"/>
  <c r="W589" i="2"/>
  <c r="AC589" i="2"/>
  <c r="AS589" i="2"/>
  <c r="R589" i="2"/>
  <c r="AH589" i="2"/>
  <c r="AX589" i="2"/>
  <c r="Q589" i="2"/>
  <c r="AG589" i="2"/>
  <c r="AW589" i="2"/>
  <c r="V589" i="2"/>
  <c r="AL589" i="2"/>
  <c r="K590" i="2" l="1"/>
  <c r="D591" i="2"/>
  <c r="C591" i="2"/>
  <c r="AI590" i="2"/>
  <c r="AB590" i="2"/>
  <c r="S590" i="2"/>
  <c r="AE590" i="2"/>
  <c r="AQ590" i="2"/>
  <c r="AJ590" i="2"/>
  <c r="AY590" i="2"/>
  <c r="W590" i="2"/>
  <c r="N588" i="2"/>
  <c r="O588" i="2" s="1"/>
  <c r="L589" i="2"/>
  <c r="T590" i="2"/>
  <c r="AZ590" i="2"/>
  <c r="AU590" i="2"/>
  <c r="AN590" i="2"/>
  <c r="U590" i="2"/>
  <c r="AK590" i="2"/>
  <c r="BA590" i="2"/>
  <c r="Z590" i="2"/>
  <c r="AP590" i="2"/>
  <c r="AV590" i="2"/>
  <c r="Y590" i="2"/>
  <c r="AO590" i="2"/>
  <c r="H590" i="2"/>
  <c r="AD590" i="2"/>
  <c r="AT590" i="2"/>
  <c r="X590" i="2"/>
  <c r="AC590" i="2"/>
  <c r="AS590" i="2"/>
  <c r="R590" i="2"/>
  <c r="AH590" i="2"/>
  <c r="AX590" i="2"/>
  <c r="AA590" i="2"/>
  <c r="B592" i="2"/>
  <c r="P591" i="2"/>
  <c r="M591" i="2" s="1"/>
  <c r="I591" i="2"/>
  <c r="J591" i="2"/>
  <c r="AR590" i="2"/>
  <c r="AM590" i="2"/>
  <c r="AF590" i="2"/>
  <c r="Q590" i="2"/>
  <c r="AG590" i="2"/>
  <c r="AW590" i="2"/>
  <c r="V590" i="2"/>
  <c r="AL590" i="2"/>
  <c r="K591" i="2" l="1"/>
  <c r="D592" i="2"/>
  <c r="C592" i="2"/>
  <c r="AZ591" i="2"/>
  <c r="T591" i="2"/>
  <c r="AJ591" i="2"/>
  <c r="AB591" i="2"/>
  <c r="W591" i="2"/>
  <c r="X591" i="2"/>
  <c r="AY591" i="2"/>
  <c r="Y591" i="2"/>
  <c r="AE591" i="2"/>
  <c r="AF591" i="2"/>
  <c r="AR591" i="2"/>
  <c r="AM591" i="2"/>
  <c r="S591" i="2"/>
  <c r="N589" i="2"/>
  <c r="O589" i="2" s="1"/>
  <c r="AA591" i="2"/>
  <c r="U591" i="2"/>
  <c r="AV591" i="2"/>
  <c r="AQ591" i="2"/>
  <c r="Q591" i="2"/>
  <c r="AG591" i="2"/>
  <c r="AW591" i="2"/>
  <c r="V591" i="2"/>
  <c r="AL591" i="2"/>
  <c r="AK591" i="2"/>
  <c r="BA591" i="2"/>
  <c r="Z591" i="2"/>
  <c r="AP591" i="2"/>
  <c r="L590" i="2"/>
  <c r="N590" i="2" s="1"/>
  <c r="O590" i="2" s="1"/>
  <c r="B593" i="2"/>
  <c r="P592" i="2"/>
  <c r="M592" i="2" s="1"/>
  <c r="I592" i="2"/>
  <c r="J592" i="2"/>
  <c r="AO591" i="2"/>
  <c r="H591" i="2"/>
  <c r="AD591" i="2"/>
  <c r="AT591" i="2"/>
  <c r="AU591" i="2"/>
  <c r="AN591" i="2"/>
  <c r="AI591" i="2"/>
  <c r="AC591" i="2"/>
  <c r="AS591" i="2"/>
  <c r="R591" i="2"/>
  <c r="AH591" i="2"/>
  <c r="AX591" i="2"/>
  <c r="K592" i="2" l="1"/>
  <c r="C593" i="2"/>
  <c r="D593" i="2"/>
  <c r="W592" i="2"/>
  <c r="L591" i="2"/>
  <c r="N591" i="2" s="1"/>
  <c r="AU592" i="2"/>
  <c r="AN592" i="2"/>
  <c r="AI592" i="2"/>
  <c r="T592" i="2"/>
  <c r="AZ592" i="2"/>
  <c r="Y592" i="2"/>
  <c r="AO592" i="2"/>
  <c r="H592" i="2"/>
  <c r="AD592" i="2"/>
  <c r="AT592" i="2"/>
  <c r="AV592" i="2"/>
  <c r="AQ592" i="2"/>
  <c r="AB592" i="2"/>
  <c r="AC592" i="2"/>
  <c r="AS592" i="2"/>
  <c r="R592" i="2"/>
  <c r="AH592" i="2"/>
  <c r="AX592" i="2"/>
  <c r="AE592" i="2"/>
  <c r="X592" i="2"/>
  <c r="S592" i="2"/>
  <c r="AY592" i="2"/>
  <c r="AJ592" i="2"/>
  <c r="Q592" i="2"/>
  <c r="AG592" i="2"/>
  <c r="AW592" i="2"/>
  <c r="V592" i="2"/>
  <c r="AL592" i="2"/>
  <c r="AM592" i="2"/>
  <c r="AF592" i="2"/>
  <c r="AA592" i="2"/>
  <c r="B594" i="2"/>
  <c r="P593" i="2"/>
  <c r="M593" i="2" s="1"/>
  <c r="J593" i="2"/>
  <c r="I593" i="2"/>
  <c r="AR592" i="2"/>
  <c r="U592" i="2"/>
  <c r="AK592" i="2"/>
  <c r="BA592" i="2"/>
  <c r="Z592" i="2"/>
  <c r="AP592" i="2"/>
  <c r="K593" i="2" l="1"/>
  <c r="D594" i="2"/>
  <c r="C594" i="2"/>
  <c r="X593" i="2"/>
  <c r="AY593" i="2"/>
  <c r="AJ593" i="2"/>
  <c r="S593" i="2"/>
  <c r="AE593" i="2"/>
  <c r="AA593" i="2"/>
  <c r="AR593" i="2"/>
  <c r="AF593" i="2"/>
  <c r="AM593" i="2"/>
  <c r="AV593" i="2"/>
  <c r="AQ593" i="2"/>
  <c r="AB593" i="2"/>
  <c r="W593" i="2"/>
  <c r="AC593" i="2"/>
  <c r="AS593" i="2"/>
  <c r="R593" i="2"/>
  <c r="AH593" i="2"/>
  <c r="AX593" i="2"/>
  <c r="L592" i="2"/>
  <c r="N592" i="2" s="1"/>
  <c r="Q593" i="2"/>
  <c r="AG593" i="2"/>
  <c r="AW593" i="2"/>
  <c r="V593" i="2"/>
  <c r="AL593" i="2"/>
  <c r="P594" i="2"/>
  <c r="M594" i="2" s="1"/>
  <c r="B595" i="2"/>
  <c r="J594" i="2"/>
  <c r="I594" i="2"/>
  <c r="U593" i="2"/>
  <c r="AK593" i="2"/>
  <c r="BA593" i="2"/>
  <c r="Z593" i="2"/>
  <c r="AP593" i="2"/>
  <c r="O591" i="2"/>
  <c r="AN593" i="2"/>
  <c r="AI593" i="2"/>
  <c r="T593" i="2"/>
  <c r="AZ593" i="2"/>
  <c r="AU593" i="2"/>
  <c r="Y593" i="2"/>
  <c r="AO593" i="2"/>
  <c r="H593" i="2"/>
  <c r="AD593" i="2"/>
  <c r="AT593" i="2"/>
  <c r="K594" i="2" l="1"/>
  <c r="AQ594" i="2"/>
  <c r="AI594" i="2"/>
  <c r="AF594" i="2"/>
  <c r="D595" i="2"/>
  <c r="C595" i="2"/>
  <c r="AR594" i="2"/>
  <c r="AB594" i="2"/>
  <c r="AA594" i="2"/>
  <c r="AM594" i="2"/>
  <c r="S594" i="2"/>
  <c r="AY594" i="2"/>
  <c r="W594" i="2"/>
  <c r="T594" i="2"/>
  <c r="AZ594" i="2"/>
  <c r="AU594" i="2"/>
  <c r="AN594" i="2"/>
  <c r="U594" i="2"/>
  <c r="AK594" i="2"/>
  <c r="BA594" i="2"/>
  <c r="Z594" i="2"/>
  <c r="AP594" i="2"/>
  <c r="L593" i="2"/>
  <c r="N593" i="2" s="1"/>
  <c r="O593" i="2" s="1"/>
  <c r="AV594" i="2"/>
  <c r="Y594" i="2"/>
  <c r="AO594" i="2"/>
  <c r="H594" i="2"/>
  <c r="AD594" i="2"/>
  <c r="AT594" i="2"/>
  <c r="O592" i="2"/>
  <c r="AJ594" i="2"/>
  <c r="AE594" i="2"/>
  <c r="X594" i="2"/>
  <c r="AC594" i="2"/>
  <c r="AS594" i="2"/>
  <c r="R594" i="2"/>
  <c r="AH594" i="2"/>
  <c r="AX594" i="2"/>
  <c r="B596" i="2"/>
  <c r="P595" i="2"/>
  <c r="M595" i="2" s="1"/>
  <c r="I595" i="2"/>
  <c r="J595" i="2"/>
  <c r="Q594" i="2"/>
  <c r="AG594" i="2"/>
  <c r="AW594" i="2"/>
  <c r="V594" i="2"/>
  <c r="AL594" i="2"/>
  <c r="K595" i="2" l="1"/>
  <c r="D596" i="2"/>
  <c r="C596" i="2"/>
  <c r="T595" i="2"/>
  <c r="AZ595" i="2"/>
  <c r="AB595" i="2"/>
  <c r="W595" i="2"/>
  <c r="X595" i="2"/>
  <c r="AJ595" i="2"/>
  <c r="AE595" i="2"/>
  <c r="S595" i="2"/>
  <c r="AC595" i="2"/>
  <c r="AR595" i="2"/>
  <c r="AU595" i="2"/>
  <c r="AY595" i="2"/>
  <c r="AM595" i="2"/>
  <c r="AN595" i="2"/>
  <c r="AI595" i="2"/>
  <c r="U595" i="2"/>
  <c r="AV595" i="2"/>
  <c r="AQ595" i="2"/>
  <c r="Q595" i="2"/>
  <c r="AG595" i="2"/>
  <c r="AW595" i="2"/>
  <c r="V595" i="2"/>
  <c r="AL595" i="2"/>
  <c r="AK595" i="2"/>
  <c r="BA595" i="2"/>
  <c r="Z595" i="2"/>
  <c r="AP595" i="2"/>
  <c r="AF595" i="2"/>
  <c r="AA595" i="2"/>
  <c r="B597" i="2"/>
  <c r="P596" i="2"/>
  <c r="M596" i="2" s="1"/>
  <c r="I596" i="2"/>
  <c r="J596" i="2"/>
  <c r="Y595" i="2"/>
  <c r="AO595" i="2"/>
  <c r="H595" i="2"/>
  <c r="AD595" i="2"/>
  <c r="AT595" i="2"/>
  <c r="AS595" i="2"/>
  <c r="R595" i="2"/>
  <c r="AH595" i="2"/>
  <c r="AX595" i="2"/>
  <c r="L594" i="2"/>
  <c r="K596" i="2" l="1"/>
  <c r="C597" i="2"/>
  <c r="D597" i="2"/>
  <c r="AN596" i="2"/>
  <c r="AU596" i="2"/>
  <c r="N594" i="2"/>
  <c r="O594" i="2" s="1"/>
  <c r="W596" i="2"/>
  <c r="AI596" i="2"/>
  <c r="L595" i="2"/>
  <c r="N595" i="2" s="1"/>
  <c r="AM596" i="2"/>
  <c r="AF596" i="2"/>
  <c r="AA596" i="2"/>
  <c r="B598" i="2"/>
  <c r="P597" i="2"/>
  <c r="M597" i="2" s="1"/>
  <c r="J597" i="2"/>
  <c r="I597" i="2"/>
  <c r="AR596" i="2"/>
  <c r="U596" i="2"/>
  <c r="AK596" i="2"/>
  <c r="BA596" i="2"/>
  <c r="Z596" i="2"/>
  <c r="AP596" i="2"/>
  <c r="T596" i="2"/>
  <c r="AZ596" i="2"/>
  <c r="Y596" i="2"/>
  <c r="AO596" i="2"/>
  <c r="H596" i="2"/>
  <c r="AD596" i="2"/>
  <c r="AT596" i="2"/>
  <c r="AV596" i="2"/>
  <c r="AQ596" i="2"/>
  <c r="AB596" i="2"/>
  <c r="AC596" i="2"/>
  <c r="AS596" i="2"/>
  <c r="R596" i="2"/>
  <c r="AH596" i="2"/>
  <c r="AX596" i="2"/>
  <c r="AE596" i="2"/>
  <c r="X596" i="2"/>
  <c r="S596" i="2"/>
  <c r="AY596" i="2"/>
  <c r="AJ596" i="2"/>
  <c r="Q596" i="2"/>
  <c r="AG596" i="2"/>
  <c r="AW596" i="2"/>
  <c r="V596" i="2"/>
  <c r="AL596" i="2"/>
  <c r="K597" i="2" l="1"/>
  <c r="D598" i="2"/>
  <c r="C598" i="2"/>
  <c r="AN597" i="2"/>
  <c r="AI597" i="2"/>
  <c r="T597" i="2"/>
  <c r="AZ597" i="2"/>
  <c r="AU597" i="2"/>
  <c r="Y597" i="2"/>
  <c r="AO597" i="2"/>
  <c r="H597" i="2"/>
  <c r="AD597" i="2"/>
  <c r="AT597" i="2"/>
  <c r="AV597" i="2"/>
  <c r="AQ597" i="2"/>
  <c r="AB597" i="2"/>
  <c r="W597" i="2"/>
  <c r="AC597" i="2"/>
  <c r="AS597" i="2"/>
  <c r="R597" i="2"/>
  <c r="AH597" i="2"/>
  <c r="AX597" i="2"/>
  <c r="X597" i="2"/>
  <c r="S597" i="2"/>
  <c r="AY597" i="2"/>
  <c r="AJ597" i="2"/>
  <c r="AE597" i="2"/>
  <c r="Q597" i="2"/>
  <c r="AG597" i="2"/>
  <c r="AW597" i="2"/>
  <c r="V597" i="2"/>
  <c r="AL597" i="2"/>
  <c r="O595" i="2"/>
  <c r="L596" i="2"/>
  <c r="AF597" i="2"/>
  <c r="AA597" i="2"/>
  <c r="P598" i="2"/>
  <c r="M598" i="2" s="1"/>
  <c r="B599" i="2"/>
  <c r="J598" i="2"/>
  <c r="I598" i="2"/>
  <c r="AR597" i="2"/>
  <c r="AM597" i="2"/>
  <c r="U597" i="2"/>
  <c r="AK597" i="2"/>
  <c r="BA597" i="2"/>
  <c r="Z597" i="2"/>
  <c r="AP597" i="2"/>
  <c r="K598" i="2" l="1"/>
  <c r="AY598" i="2"/>
  <c r="D599" i="2"/>
  <c r="C599" i="2"/>
  <c r="W598" i="2"/>
  <c r="S598" i="2"/>
  <c r="AB598" i="2"/>
  <c r="AQ598" i="2"/>
  <c r="AJ598" i="2"/>
  <c r="AA598" i="2"/>
  <c r="B600" i="2"/>
  <c r="P599" i="2"/>
  <c r="M599" i="2" s="1"/>
  <c r="I599" i="2"/>
  <c r="J599" i="2"/>
  <c r="AR598" i="2"/>
  <c r="AM598" i="2"/>
  <c r="AF598" i="2"/>
  <c r="Q598" i="2"/>
  <c r="AG598" i="2"/>
  <c r="AW598" i="2"/>
  <c r="V598" i="2"/>
  <c r="AL598" i="2"/>
  <c r="N596" i="2"/>
  <c r="O596" i="2" s="1"/>
  <c r="AI598" i="2"/>
  <c r="T598" i="2"/>
  <c r="AZ598" i="2"/>
  <c r="AU598" i="2"/>
  <c r="AN598" i="2"/>
  <c r="U598" i="2"/>
  <c r="AK598" i="2"/>
  <c r="BA598" i="2"/>
  <c r="Z598" i="2"/>
  <c r="AP598" i="2"/>
  <c r="AV598" i="2"/>
  <c r="Y598" i="2"/>
  <c r="AO598" i="2"/>
  <c r="H598" i="2"/>
  <c r="AD598" i="2"/>
  <c r="AT598" i="2"/>
  <c r="AE598" i="2"/>
  <c r="X598" i="2"/>
  <c r="AC598" i="2"/>
  <c r="AS598" i="2"/>
  <c r="R598" i="2"/>
  <c r="AH598" i="2"/>
  <c r="AX598" i="2"/>
  <c r="L597" i="2"/>
  <c r="N597" i="2" s="1"/>
  <c r="K599" i="2" l="1"/>
  <c r="D600" i="2"/>
  <c r="C600" i="2"/>
  <c r="T599" i="2"/>
  <c r="AB599" i="2"/>
  <c r="AZ599" i="2"/>
  <c r="O597" i="2"/>
  <c r="W599" i="2"/>
  <c r="AR599" i="2"/>
  <c r="AM599" i="2"/>
  <c r="AF599" i="2"/>
  <c r="AA599" i="2"/>
  <c r="B601" i="2"/>
  <c r="P600" i="2"/>
  <c r="M600" i="2" s="1"/>
  <c r="I600" i="2"/>
  <c r="J600" i="2"/>
  <c r="Y599" i="2"/>
  <c r="AO599" i="2"/>
  <c r="H599" i="2"/>
  <c r="AD599" i="2"/>
  <c r="AT599" i="2"/>
  <c r="AU599" i="2"/>
  <c r="AN599" i="2"/>
  <c r="AI599" i="2"/>
  <c r="AC599" i="2"/>
  <c r="AS599" i="2"/>
  <c r="R599" i="2"/>
  <c r="AH599" i="2"/>
  <c r="AX599" i="2"/>
  <c r="AV599" i="2"/>
  <c r="AQ599" i="2"/>
  <c r="Q599" i="2"/>
  <c r="AG599" i="2"/>
  <c r="AW599" i="2"/>
  <c r="V599" i="2"/>
  <c r="AL599" i="2"/>
  <c r="L598" i="2"/>
  <c r="N598" i="2" s="1"/>
  <c r="O598" i="2" s="1"/>
  <c r="AJ599" i="2"/>
  <c r="AE599" i="2"/>
  <c r="X599" i="2"/>
  <c r="S599" i="2"/>
  <c r="AY599" i="2"/>
  <c r="U599" i="2"/>
  <c r="AK599" i="2"/>
  <c r="BA599" i="2"/>
  <c r="Z599" i="2"/>
  <c r="AP599" i="2"/>
  <c r="K600" i="2" l="1"/>
  <c r="C601" i="2"/>
  <c r="D601" i="2"/>
  <c r="W600" i="2"/>
  <c r="AU600" i="2"/>
  <c r="AE600" i="2"/>
  <c r="X600" i="2"/>
  <c r="S600" i="2"/>
  <c r="AY600" i="2"/>
  <c r="AJ600" i="2"/>
  <c r="Q600" i="2"/>
  <c r="AG600" i="2"/>
  <c r="AW600" i="2"/>
  <c r="V600" i="2"/>
  <c r="AL600" i="2"/>
  <c r="L599" i="2"/>
  <c r="N599" i="2" s="1"/>
  <c r="AM600" i="2"/>
  <c r="AF600" i="2"/>
  <c r="AA600" i="2"/>
  <c r="B602" i="2"/>
  <c r="P601" i="2"/>
  <c r="M601" i="2" s="1"/>
  <c r="J601" i="2"/>
  <c r="I601" i="2"/>
  <c r="AR600" i="2"/>
  <c r="U600" i="2"/>
  <c r="AK600" i="2"/>
  <c r="BA600" i="2"/>
  <c r="Z600" i="2"/>
  <c r="AP600" i="2"/>
  <c r="AN600" i="2"/>
  <c r="AI600" i="2"/>
  <c r="T600" i="2"/>
  <c r="AZ600" i="2"/>
  <c r="Y600" i="2"/>
  <c r="AO600" i="2"/>
  <c r="H600" i="2"/>
  <c r="AD600" i="2"/>
  <c r="AT600" i="2"/>
  <c r="AV600" i="2"/>
  <c r="AQ600" i="2"/>
  <c r="AB600" i="2"/>
  <c r="AC600" i="2"/>
  <c r="AS600" i="2"/>
  <c r="R600" i="2"/>
  <c r="AH600" i="2"/>
  <c r="AX600" i="2"/>
  <c r="K601" i="2" l="1"/>
  <c r="D602" i="2"/>
  <c r="C602" i="2"/>
  <c r="AF601" i="2"/>
  <c r="AN601" i="2"/>
  <c r="T601" i="2"/>
  <c r="AA601" i="2"/>
  <c r="AR601" i="2"/>
  <c r="AI601" i="2"/>
  <c r="AZ601" i="2"/>
  <c r="X601" i="2"/>
  <c r="S601" i="2"/>
  <c r="AY601" i="2"/>
  <c r="AJ601" i="2"/>
  <c r="AE601" i="2"/>
  <c r="Q601" i="2"/>
  <c r="AG601" i="2"/>
  <c r="AW601" i="2"/>
  <c r="V601" i="2"/>
  <c r="AL601" i="2"/>
  <c r="O599" i="2"/>
  <c r="P602" i="2"/>
  <c r="M602" i="2" s="1"/>
  <c r="B603" i="2"/>
  <c r="J602" i="2"/>
  <c r="I602" i="2"/>
  <c r="AM601" i="2"/>
  <c r="U601" i="2"/>
  <c r="AK601" i="2"/>
  <c r="BA601" i="2"/>
  <c r="Z601" i="2"/>
  <c r="AP601" i="2"/>
  <c r="AU601" i="2"/>
  <c r="Y601" i="2"/>
  <c r="AO601" i="2"/>
  <c r="H601" i="2"/>
  <c r="AD601" i="2"/>
  <c r="AT601" i="2"/>
  <c r="L600" i="2"/>
  <c r="AV601" i="2"/>
  <c r="AQ601" i="2"/>
  <c r="AB601" i="2"/>
  <c r="W601" i="2"/>
  <c r="AC601" i="2"/>
  <c r="AS601" i="2"/>
  <c r="R601" i="2"/>
  <c r="AH601" i="2"/>
  <c r="AX601" i="2"/>
  <c r="K602" i="2" l="1"/>
  <c r="AI602" i="2"/>
  <c r="D603" i="2"/>
  <c r="C603" i="2"/>
  <c r="T602" i="2"/>
  <c r="AA602" i="2"/>
  <c r="AR602" i="2"/>
  <c r="AZ602" i="2"/>
  <c r="AM602" i="2"/>
  <c r="AQ602" i="2"/>
  <c r="AB602" i="2"/>
  <c r="W602" i="2"/>
  <c r="AF602" i="2"/>
  <c r="S602" i="2"/>
  <c r="AY602" i="2"/>
  <c r="AJ602" i="2"/>
  <c r="AE602" i="2"/>
  <c r="AN602" i="2"/>
  <c r="AU602" i="2"/>
  <c r="AK602" i="2"/>
  <c r="Q602" i="2"/>
  <c r="U602" i="2"/>
  <c r="AG602" i="2"/>
  <c r="N600" i="2"/>
  <c r="O600" i="2" s="1"/>
  <c r="X602" i="2"/>
  <c r="AC602" i="2"/>
  <c r="AS602" i="2"/>
  <c r="R602" i="2"/>
  <c r="AH602" i="2"/>
  <c r="AX602" i="2"/>
  <c r="B604" i="2"/>
  <c r="P603" i="2"/>
  <c r="M603" i="2" s="1"/>
  <c r="I603" i="2"/>
  <c r="J603" i="2"/>
  <c r="AW602" i="2"/>
  <c r="V602" i="2"/>
  <c r="AL602" i="2"/>
  <c r="BA602" i="2"/>
  <c r="Z602" i="2"/>
  <c r="AP602" i="2"/>
  <c r="L601" i="2"/>
  <c r="N601" i="2" s="1"/>
  <c r="AV602" i="2"/>
  <c r="Y602" i="2"/>
  <c r="AO602" i="2"/>
  <c r="H602" i="2"/>
  <c r="AD602" i="2"/>
  <c r="AT602" i="2"/>
  <c r="K603" i="2" l="1"/>
  <c r="D604" i="2"/>
  <c r="C604" i="2"/>
  <c r="AR603" i="2"/>
  <c r="AZ603" i="2"/>
  <c r="T603" i="2"/>
  <c r="AN603" i="2"/>
  <c r="AB603" i="2"/>
  <c r="W603" i="2"/>
  <c r="AJ603" i="2"/>
  <c r="AM603" i="2"/>
  <c r="AU603" i="2"/>
  <c r="AI603" i="2"/>
  <c r="O601" i="2"/>
  <c r="AE603" i="2"/>
  <c r="AF603" i="2"/>
  <c r="AV603" i="2"/>
  <c r="AQ603" i="2"/>
  <c r="Q603" i="2"/>
  <c r="AG603" i="2"/>
  <c r="AW603" i="2"/>
  <c r="V603" i="2"/>
  <c r="AL603" i="2"/>
  <c r="L602" i="2"/>
  <c r="X603" i="2"/>
  <c r="S603" i="2"/>
  <c r="AY603" i="2"/>
  <c r="U603" i="2"/>
  <c r="AK603" i="2"/>
  <c r="BA603" i="2"/>
  <c r="Z603" i="2"/>
  <c r="AP603" i="2"/>
  <c r="AA603" i="2"/>
  <c r="B605" i="2"/>
  <c r="P604" i="2"/>
  <c r="M604" i="2" s="1"/>
  <c r="I604" i="2"/>
  <c r="J604" i="2"/>
  <c r="Y603" i="2"/>
  <c r="AO603" i="2"/>
  <c r="H603" i="2"/>
  <c r="AD603" i="2"/>
  <c r="AT603" i="2"/>
  <c r="AC603" i="2"/>
  <c r="AS603" i="2"/>
  <c r="R603" i="2"/>
  <c r="AH603" i="2"/>
  <c r="AX603" i="2"/>
  <c r="K604" i="2" l="1"/>
  <c r="C605" i="2"/>
  <c r="D605" i="2"/>
  <c r="W604" i="2"/>
  <c r="AM604" i="2"/>
  <c r="AF604" i="2"/>
  <c r="AU604" i="2"/>
  <c r="S604" i="2"/>
  <c r="AJ604" i="2"/>
  <c r="U604" i="2"/>
  <c r="AA604" i="2"/>
  <c r="AR604" i="2"/>
  <c r="AE604" i="2"/>
  <c r="X604" i="2"/>
  <c r="AY604" i="2"/>
  <c r="Q604" i="2"/>
  <c r="AV604" i="2"/>
  <c r="AQ604" i="2"/>
  <c r="AB604" i="2"/>
  <c r="AC604" i="2"/>
  <c r="AS604" i="2"/>
  <c r="R604" i="2"/>
  <c r="AH604" i="2"/>
  <c r="AX604" i="2"/>
  <c r="N602" i="2"/>
  <c r="O602" i="2" s="1"/>
  <c r="AG604" i="2"/>
  <c r="AW604" i="2"/>
  <c r="V604" i="2"/>
  <c r="AL604" i="2"/>
  <c r="B606" i="2"/>
  <c r="P605" i="2"/>
  <c r="M605" i="2" s="1"/>
  <c r="J605" i="2"/>
  <c r="I605" i="2"/>
  <c r="AK604" i="2"/>
  <c r="BA604" i="2"/>
  <c r="Z604" i="2"/>
  <c r="AP604" i="2"/>
  <c r="L603" i="2"/>
  <c r="N603" i="2" s="1"/>
  <c r="O603" i="2" s="1"/>
  <c r="AN604" i="2"/>
  <c r="AI604" i="2"/>
  <c r="T604" i="2"/>
  <c r="AZ604" i="2"/>
  <c r="Y604" i="2"/>
  <c r="AO604" i="2"/>
  <c r="H604" i="2"/>
  <c r="AD604" i="2"/>
  <c r="AT604" i="2"/>
  <c r="K605" i="2" l="1"/>
  <c r="D606" i="2"/>
  <c r="C606" i="2"/>
  <c r="X605" i="2"/>
  <c r="L604" i="2"/>
  <c r="N604" i="2" s="1"/>
  <c r="AN605" i="2"/>
  <c r="AI605" i="2"/>
  <c r="T605" i="2"/>
  <c r="AZ605" i="2"/>
  <c r="AU605" i="2"/>
  <c r="Y605" i="2"/>
  <c r="AO605" i="2"/>
  <c r="H605" i="2"/>
  <c r="AD605" i="2"/>
  <c r="AT605" i="2"/>
  <c r="AV605" i="2"/>
  <c r="AQ605" i="2"/>
  <c r="AB605" i="2"/>
  <c r="W605" i="2"/>
  <c r="AC605" i="2"/>
  <c r="AS605" i="2"/>
  <c r="R605" i="2"/>
  <c r="AH605" i="2"/>
  <c r="AX605" i="2"/>
  <c r="S605" i="2"/>
  <c r="AY605" i="2"/>
  <c r="AJ605" i="2"/>
  <c r="AE605" i="2"/>
  <c r="Q605" i="2"/>
  <c r="AG605" i="2"/>
  <c r="AW605" i="2"/>
  <c r="V605" i="2"/>
  <c r="AL605" i="2"/>
  <c r="AF605" i="2"/>
  <c r="AA605" i="2"/>
  <c r="P606" i="2"/>
  <c r="M606" i="2" s="1"/>
  <c r="B607" i="2"/>
  <c r="J606" i="2"/>
  <c r="I606" i="2"/>
  <c r="AR605" i="2"/>
  <c r="AM605" i="2"/>
  <c r="U605" i="2"/>
  <c r="AK605" i="2"/>
  <c r="BA605" i="2"/>
  <c r="Z605" i="2"/>
  <c r="AP605" i="2"/>
  <c r="K606" i="2" l="1"/>
  <c r="D607" i="2"/>
  <c r="C607" i="2"/>
  <c r="AB606" i="2"/>
  <c r="AR606" i="2"/>
  <c r="AQ606" i="2"/>
  <c r="W606" i="2"/>
  <c r="AA606" i="2"/>
  <c r="AM606" i="2"/>
  <c r="S606" i="2"/>
  <c r="AY606" i="2"/>
  <c r="AJ606" i="2"/>
  <c r="AE606" i="2"/>
  <c r="U606" i="2"/>
  <c r="AI606" i="2"/>
  <c r="T606" i="2"/>
  <c r="AZ606" i="2"/>
  <c r="AU606" i="2"/>
  <c r="AK606" i="2"/>
  <c r="AF606" i="2"/>
  <c r="Q606" i="2"/>
  <c r="AW606" i="2"/>
  <c r="BA606" i="2"/>
  <c r="AN606" i="2"/>
  <c r="AG606" i="2"/>
  <c r="X606" i="2"/>
  <c r="AC606" i="2"/>
  <c r="AS606" i="2"/>
  <c r="R606" i="2"/>
  <c r="AH606" i="2"/>
  <c r="AX606" i="2"/>
  <c r="B608" i="2"/>
  <c r="P607" i="2"/>
  <c r="M607" i="2" s="1"/>
  <c r="I607" i="2"/>
  <c r="J607" i="2"/>
  <c r="V606" i="2"/>
  <c r="AL606" i="2"/>
  <c r="O604" i="2"/>
  <c r="Z606" i="2"/>
  <c r="AP606" i="2"/>
  <c r="AV606" i="2"/>
  <c r="Y606" i="2"/>
  <c r="AO606" i="2"/>
  <c r="H606" i="2"/>
  <c r="AD606" i="2"/>
  <c r="AT606" i="2"/>
  <c r="L605" i="2"/>
  <c r="N605" i="2" s="1"/>
  <c r="K607" i="2" l="1"/>
  <c r="D608" i="2"/>
  <c r="C608" i="2"/>
  <c r="AR607" i="2"/>
  <c r="AB607" i="2"/>
  <c r="AE607" i="2"/>
  <c r="T607" i="2"/>
  <c r="W607" i="2"/>
  <c r="AF607" i="2"/>
  <c r="Y607" i="2"/>
  <c r="AT607" i="2"/>
  <c r="AA607" i="2"/>
  <c r="AO607" i="2"/>
  <c r="AJ607" i="2"/>
  <c r="AM607" i="2"/>
  <c r="AD607" i="2"/>
  <c r="P608" i="2"/>
  <c r="M608" i="2" s="1"/>
  <c r="B609" i="2"/>
  <c r="J608" i="2"/>
  <c r="I608" i="2"/>
  <c r="H607" i="2"/>
  <c r="O605" i="2"/>
  <c r="L606" i="2"/>
  <c r="N606" i="2" s="1"/>
  <c r="O606" i="2" s="1"/>
  <c r="AZ607" i="2"/>
  <c r="AU607" i="2"/>
  <c r="AN607" i="2"/>
  <c r="AI607" i="2"/>
  <c r="AC607" i="2"/>
  <c r="AS607" i="2"/>
  <c r="R607" i="2"/>
  <c r="AH607" i="2"/>
  <c r="AX607" i="2"/>
  <c r="AV607" i="2"/>
  <c r="AQ607" i="2"/>
  <c r="Q607" i="2"/>
  <c r="AG607" i="2"/>
  <c r="AW607" i="2"/>
  <c r="V607" i="2"/>
  <c r="AL607" i="2"/>
  <c r="X607" i="2"/>
  <c r="S607" i="2"/>
  <c r="AY607" i="2"/>
  <c r="U607" i="2"/>
  <c r="AK607" i="2"/>
  <c r="BA607" i="2"/>
  <c r="Z607" i="2"/>
  <c r="AP607" i="2"/>
  <c r="K608" i="2" l="1"/>
  <c r="C609" i="2"/>
  <c r="D609" i="2"/>
  <c r="AJ608" i="2"/>
  <c r="AN608" i="2"/>
  <c r="AP608" i="2"/>
  <c r="Z608" i="2"/>
  <c r="AY608" i="2"/>
  <c r="AU608" i="2"/>
  <c r="AE608" i="2"/>
  <c r="AD608" i="2"/>
  <c r="T608" i="2"/>
  <c r="X608" i="2"/>
  <c r="S608" i="2"/>
  <c r="AZ608" i="2"/>
  <c r="AI608" i="2"/>
  <c r="AQ608" i="2"/>
  <c r="Y608" i="2"/>
  <c r="AB608" i="2"/>
  <c r="AO608" i="2"/>
  <c r="AX608" i="2"/>
  <c r="V608" i="2"/>
  <c r="AT608" i="2"/>
  <c r="AA608" i="2"/>
  <c r="AV608" i="2"/>
  <c r="AH608" i="2"/>
  <c r="AC608" i="2"/>
  <c r="AS608" i="2"/>
  <c r="P609" i="2"/>
  <c r="M609" i="2" s="1"/>
  <c r="I609" i="2"/>
  <c r="J609" i="2"/>
  <c r="J610" i="2" s="1"/>
  <c r="H608" i="2"/>
  <c r="AF608" i="2"/>
  <c r="R608" i="2"/>
  <c r="AM608" i="2"/>
  <c r="Q608" i="2"/>
  <c r="AG608" i="2"/>
  <c r="AW608" i="2"/>
  <c r="L607" i="2"/>
  <c r="N607" i="2" s="1"/>
  <c r="AL608" i="2"/>
  <c r="W608" i="2"/>
  <c r="AR608" i="2"/>
  <c r="U608" i="2"/>
  <c r="AK608" i="2"/>
  <c r="BA608" i="2"/>
  <c r="K609" i="2" l="1"/>
  <c r="AZ609" i="2"/>
  <c r="AP609" i="2"/>
  <c r="AU609" i="2"/>
  <c r="AG609" i="2"/>
  <c r="S609" i="2"/>
  <c r="AH609" i="2"/>
  <c r="Q609" i="2"/>
  <c r="AN609" i="2"/>
  <c r="AW609" i="2"/>
  <c r="AQ609" i="2"/>
  <c r="AV609" i="2"/>
  <c r="H609" i="2"/>
  <c r="D610" i="2"/>
  <c r="R609" i="2"/>
  <c r="AM609" i="2"/>
  <c r="X609" i="2"/>
  <c r="AT609" i="2"/>
  <c r="U609" i="2"/>
  <c r="AK609" i="2"/>
  <c r="BA609" i="2"/>
  <c r="O607" i="2"/>
  <c r="L608" i="2"/>
  <c r="T609" i="2"/>
  <c r="V609" i="2"/>
  <c r="Z609" i="2"/>
  <c r="AA609" i="2"/>
  <c r="W609" i="2"/>
  <c r="AR609" i="2"/>
  <c r="AD609" i="2"/>
  <c r="AY609" i="2"/>
  <c r="Y609" i="2"/>
  <c r="AO609" i="2"/>
  <c r="AE609" i="2"/>
  <c r="AF609" i="2"/>
  <c r="AJ609" i="2"/>
  <c r="AL609" i="2"/>
  <c r="AB609" i="2"/>
  <c r="AX609" i="2"/>
  <c r="AI609" i="2"/>
  <c r="AC609" i="2"/>
  <c r="AS609" i="2"/>
  <c r="N608" i="2" l="1"/>
  <c r="O608" i="2" s="1"/>
  <c r="L609" i="2"/>
  <c r="N609" i="2" s="1"/>
  <c r="AB26" i="2"/>
  <c r="K610" i="2"/>
  <c r="N610" i="2" l="1"/>
  <c r="N692" i="2" s="1"/>
  <c r="AC26" i="2" s="1"/>
  <c r="O609" i="2"/>
  <c r="O610" i="2" s="1"/>
  <c r="O692" i="2" s="1"/>
  <c r="K701" i="2" s="1"/>
  <c r="K692" i="2"/>
  <c r="L610" i="2"/>
  <c r="AD26" i="2"/>
  <c r="L692" i="2" l="1"/>
  <c r="K1271" i="2"/>
  <c r="K1270" i="2"/>
  <c r="I1285" i="2" s="1"/>
  <c r="N701" i="2"/>
  <c r="N706" i="2" s="1"/>
  <c r="K706" i="2"/>
  <c r="M701" i="2"/>
  <c r="O701" i="2" l="1"/>
  <c r="O706" i="2" s="1"/>
  <c r="K1272" i="2" s="1"/>
  <c r="K1275" i="2" l="1"/>
  <c r="K1280" i="2" s="1"/>
  <c r="K1281" i="2" l="1"/>
  <c r="K1282" i="2" s="1"/>
  <c r="I1284" i="2" l="1"/>
  <c r="K1285" i="2"/>
  <c r="N1285" i="2" s="1"/>
  <c r="M1286" i="2" s="1"/>
  <c r="K1287" i="2"/>
  <c r="O1287" i="2" l="1"/>
  <c r="B1298" i="2"/>
  <c r="I1287" i="2"/>
  <c r="B1299" i="2" l="1"/>
  <c r="B1300" i="2" l="1"/>
  <c r="C1300" i="2" l="1"/>
  <c r="G1300" i="2" s="1"/>
  <c r="B1301" i="2"/>
  <c r="B1302" i="2" l="1"/>
  <c r="C1301" i="2"/>
  <c r="G1301" i="2" s="1"/>
  <c r="B1303" i="2" l="1"/>
  <c r="C1302" i="2"/>
  <c r="G1302" i="2" s="1"/>
  <c r="B1304" i="2" l="1"/>
  <c r="C1303" i="2"/>
  <c r="G1303" i="2" s="1"/>
  <c r="C1304" i="2" l="1"/>
  <c r="G1304" i="2" s="1"/>
  <c r="B1305" i="2"/>
  <c r="C1305" i="2" l="1"/>
  <c r="G1305" i="2" s="1"/>
  <c r="B1306" i="2"/>
  <c r="C1306" i="2" l="1"/>
  <c r="G1306" i="2" s="1"/>
  <c r="B1307" i="2"/>
  <c r="C1307" i="2" l="1"/>
  <c r="G1307" i="2" s="1"/>
  <c r="B1308" i="2"/>
  <c r="C1308" i="2" l="1"/>
  <c r="G1308" i="2" s="1"/>
  <c r="B1309" i="2"/>
  <c r="C1309" i="2" l="1"/>
  <c r="G1309" i="2" s="1"/>
  <c r="B1310" i="2"/>
  <c r="C1310" i="2" l="1"/>
  <c r="G1310" i="2" s="1"/>
  <c r="B1311" i="2"/>
  <c r="B1312" i="2" l="1"/>
  <c r="C1311" i="2"/>
  <c r="G1311" i="2" s="1"/>
  <c r="C1312" i="2" l="1"/>
  <c r="G1312" i="2" s="1"/>
  <c r="B1313" i="2"/>
  <c r="C1313" i="2" l="1"/>
  <c r="G1313" i="2" s="1"/>
  <c r="B1314" i="2"/>
  <c r="C1314" i="2" l="1"/>
  <c r="G1314" i="2" s="1"/>
  <c r="B1315" i="2"/>
  <c r="C1315" i="2" l="1"/>
  <c r="G1315" i="2" s="1"/>
  <c r="B1316" i="2"/>
  <c r="C1316" i="2" l="1"/>
  <c r="G1316" i="2" s="1"/>
  <c r="B1317" i="2"/>
  <c r="C1317" i="2" l="1"/>
  <c r="G1317" i="2" s="1"/>
  <c r="B1318" i="2"/>
  <c r="T1326" i="2"/>
  <c r="P1327" i="2" s="1"/>
  <c r="Q1327" i="2" s="1"/>
  <c r="D1330" i="2"/>
  <c r="J1368" i="2"/>
  <c r="J1371" i="2" s="1"/>
  <c r="I1376" i="2" s="1"/>
  <c r="I1377" i="2" s="1"/>
  <c r="J1293" i="2"/>
  <c r="AG1296" i="2"/>
  <c r="M1303" i="2" l="1"/>
  <c r="M1304" i="2"/>
  <c r="M1301" i="2"/>
  <c r="M1302" i="2"/>
  <c r="M1299" i="2"/>
  <c r="M1300" i="2"/>
  <c r="L1317" i="2"/>
  <c r="M1298" i="2"/>
  <c r="M1317" i="2"/>
  <c r="M1305" i="2"/>
  <c r="M1306" i="2"/>
  <c r="M1307" i="2"/>
  <c r="M1308" i="2"/>
  <c r="M1309" i="2"/>
  <c r="M1310" i="2"/>
  <c r="M1311" i="2"/>
  <c r="M1312" i="2"/>
  <c r="M1313" i="2"/>
  <c r="M1314" i="2"/>
  <c r="M1315" i="2"/>
  <c r="M1316" i="2"/>
  <c r="AG1298" i="2"/>
  <c r="AG1304" i="2"/>
  <c r="L1298" i="2"/>
  <c r="L1299" i="2"/>
  <c r="L1300" i="2"/>
  <c r="L1301" i="2"/>
  <c r="L1302" i="2"/>
  <c r="L1303" i="2"/>
  <c r="L1305" i="2"/>
  <c r="L1304" i="2"/>
  <c r="L1306" i="2"/>
  <c r="L1307" i="2"/>
  <c r="L1308" i="2"/>
  <c r="L1309" i="2"/>
  <c r="L1310" i="2"/>
  <c r="L1311" i="2"/>
  <c r="L1312" i="2"/>
  <c r="L1313" i="2"/>
  <c r="L1314" i="2"/>
  <c r="L1315" i="2"/>
  <c r="L1316" i="2"/>
  <c r="J1330" i="2"/>
  <c r="O1298" i="2" l="1"/>
  <c r="M1318" i="2"/>
  <c r="O1301" i="2"/>
  <c r="O1309" i="2"/>
  <c r="O1300" i="2"/>
  <c r="O1308" i="2"/>
  <c r="O1302" i="2"/>
  <c r="O1315" i="2"/>
  <c r="O1311" i="2"/>
  <c r="O1307" i="2"/>
  <c r="O1303" i="2"/>
  <c r="O1317" i="2"/>
  <c r="O1313" i="2"/>
  <c r="O1305" i="2"/>
  <c r="O1316" i="2"/>
  <c r="O1312" i="2"/>
  <c r="O1304" i="2"/>
  <c r="O1314" i="2"/>
  <c r="O1310" i="2"/>
  <c r="O1306" i="2"/>
  <c r="N1318" i="2" l="1"/>
  <c r="L1318" i="2"/>
  <c r="O1299" i="2" l="1"/>
  <c r="O1318" i="2" s="1"/>
  <c r="K1320" i="2" s="1"/>
  <c r="D1327" i="2" s="1"/>
  <c r="M1327" i="2" l="1"/>
  <c r="I1326" i="2"/>
  <c r="I1327" i="2" s="1"/>
  <c r="J1327" i="2"/>
  <c r="K1327" i="2" l="1"/>
  <c r="L1327" i="2" s="1"/>
  <c r="O1328" i="2" s="1"/>
  <c r="K1365" i="2" s="1"/>
  <c r="K1368" i="2" s="1"/>
  <c r="K1370" i="2" l="1"/>
  <c r="I1368" i="2"/>
  <c r="K1369" i="2"/>
  <c r="K1371" i="2" l="1"/>
  <c r="D1377" i="2" s="1"/>
  <c r="J1418" i="2" l="1"/>
  <c r="J1421" i="2" s="1"/>
  <c r="I1426" i="2" s="1"/>
  <c r="I1427" i="2" s="1"/>
  <c r="K1377" i="2"/>
  <c r="L1377" i="2" s="1"/>
  <c r="O1378" i="2" s="1"/>
  <c r="K1416" i="2" s="1"/>
  <c r="K1418" i="2" s="1"/>
  <c r="I1418" i="2" s="1"/>
  <c r="M1377" i="2"/>
  <c r="K1421" i="2" l="1"/>
  <c r="D1427" i="2" s="1"/>
  <c r="J1468" i="2" l="1"/>
  <c r="J1471" i="2" s="1"/>
  <c r="I1476" i="2" s="1"/>
  <c r="I1477" i="2" s="1"/>
  <c r="M1427" i="2"/>
  <c r="K1427" i="2"/>
  <c r="L1427" i="2" s="1"/>
  <c r="O1428" i="2" s="1"/>
  <c r="K1466" i="2" s="1"/>
  <c r="K1468" i="2" s="1"/>
  <c r="I1468" i="2" s="1"/>
  <c r="K1471" i="2" l="1"/>
  <c r="D1477" i="2" s="1"/>
  <c r="M1477" i="2" l="1"/>
  <c r="J2320" i="2"/>
  <c r="J1518" i="2"/>
  <c r="K1477" i="2"/>
  <c r="L1477" i="2" s="1"/>
  <c r="O1478" i="2" s="1"/>
  <c r="K1516" i="2" s="1"/>
  <c r="K1518" i="2" s="1"/>
  <c r="I1518"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D19" authorId="0" shapeId="0" xr:uid="{00000000-0006-0000-0000-000001000000}">
      <text>
        <r>
          <rPr>
            <b/>
            <sz val="9"/>
            <color indexed="81"/>
            <rFont val="Times New Roman"/>
            <family val="1"/>
          </rPr>
          <t>Insira data anterior ou igual à do primeiro depósito judicial efetuado para fins de liquidação, se houver algum.</t>
        </r>
      </text>
    </comment>
  </commentList>
</comments>
</file>

<file path=xl/sharedStrings.xml><?xml version="1.0" encoding="utf-8"?>
<sst xmlns="http://schemas.openxmlformats.org/spreadsheetml/2006/main" count="1443" uniqueCount="220">
  <si>
    <t>https://www.suportesistemastjsp.com.br/</t>
  </si>
  <si>
    <t>MEMÓRIA DE CÁLCULO</t>
  </si>
  <si>
    <t xml:space="preserve">R. decisão de fls. </t>
  </si>
  <si>
    <t>.8.26.0053 (Ctrl. /) – Embargos</t>
  </si>
  <si>
    <t>0006550-80.2018</t>
  </si>
  <si>
    <t>ª Vara da</t>
  </si>
  <si>
    <t>Distrato</t>
  </si>
  <si>
    <t>Duplo clique abaixo para selecionar:-</t>
  </si>
  <si>
    <t>CÍVEL?</t>
  </si>
  <si>
    <t>TABELA PRÁTICA - INPC</t>
  </si>
  <si>
    <t>Atualizar parcelas até:</t>
  </si>
  <si>
    <t>Juros (dê um clique abaixo para acessar opções):</t>
  </si>
  <si>
    <t>Digite % de juros:</t>
  </si>
  <si>
    <t>Opções-Tabela</t>
  </si>
  <si>
    <t>Opções-Juros</t>
  </si>
  <si>
    <t>Opções-Selic</t>
  </si>
  <si>
    <t>30/360 USA</t>
  </si>
  <si>
    <t>12%ªª até 26/8/1; poup.</t>
  </si>
  <si>
    <t>Tipo de Cálculo</t>
  </si>
  <si>
    <t>Jrs. antes da parcela</t>
  </si>
  <si>
    <t>Fixados (% a.a.):-</t>
  </si>
  <si>
    <t>Juros a 70% da meta Selic, se esta for &lt;= 8,5% a.a., desde 05/12</t>
  </si>
  <si>
    <t>Real/Real</t>
  </si>
  <si>
    <t>TABELA:</t>
  </si>
  <si>
    <t>CÍVEL / PENAL</t>
  </si>
  <si>
    <t xml:space="preserve">Sim </t>
  </si>
  <si>
    <t>CC/02 (6%ªª até 10/1/3; 12%ªª)</t>
  </si>
  <si>
    <t>-</t>
  </si>
  <si>
    <t>Real/360</t>
  </si>
  <si>
    <t>"CÍVEL / PENAL" ou "FAZENDÁRIO", cf. réu:</t>
  </si>
  <si>
    <t>ÍNDICE..................:</t>
  </si>
  <si>
    <t>FAZENDÁRIO</t>
  </si>
  <si>
    <t>Não</t>
  </si>
  <si>
    <t>CC/02 até 29/6/9; poup.</t>
  </si>
  <si>
    <t>Real/365</t>
  </si>
  <si>
    <t>mês seguinte</t>
  </si>
  <si>
    <t>próprio mês</t>
  </si>
  <si>
    <t>12%ªª até 29/6/9; poup.</t>
  </si>
  <si>
    <t>30/360 EU</t>
  </si>
  <si>
    <t>Lei 12.703/12</t>
  </si>
  <si>
    <t>Juros da poupança</t>
  </si>
  <si>
    <t>Em caso de dúvida, acesse roteiro ou solicite atendimento em https://www.suportesistemastjsp.com.br/</t>
  </si>
  <si>
    <t>ATUALIZAR</t>
  </si>
  <si>
    <t>Salário Mínimo</t>
  </si>
  <si>
    <t>PRINCIPAL:-</t>
  </si>
  <si>
    <t>MULTA:-</t>
  </si>
  <si>
    <t>JUROS:-</t>
  </si>
  <si>
    <t>12%ªª até 26/8/1; 6%ªª até 29/6/9; poup.</t>
  </si>
  <si>
    <t>Dias-Juros sobre atraso</t>
  </si>
  <si>
    <t>ROTEIRO DE USO: CLIQUE AQUI OU ACESSE NA MESMA PÁGINA DA PLANILHA</t>
  </si>
  <si>
    <t>NÃO ATUALIZAR</t>
  </si>
  <si>
    <t>UFESP</t>
  </si>
  <si>
    <t>VALORES:</t>
  </si>
  <si>
    <t>moeda nacional</t>
  </si>
  <si>
    <t>com 13º</t>
  </si>
  <si>
    <t>AUTORA: ANA AMARA</t>
  </si>
  <si>
    <t>sem 13º</t>
  </si>
  <si>
    <t>HON. FIXOS:</t>
  </si>
  <si>
    <t>JRS. SOBRE HON. FIXOS:-</t>
  </si>
  <si>
    <t xml:space="preserve">Decisões: fls. </t>
  </si>
  <si>
    <t>RÉU: JOSÉ ALCEU</t>
  </si>
  <si>
    <t>PRINCIPAL, JUROS, MULTA CONTRATUAL</t>
  </si>
  <si>
    <t>Juros antes da parcela (inverte opção)</t>
  </si>
  <si>
    <t>sobre principal</t>
  </si>
  <si>
    <t>s/ principal e juros</t>
  </si>
  <si>
    <t>Início dos juros pode preceder parcela?</t>
  </si>
  <si>
    <t>FATOR:</t>
  </si>
  <si>
    <t>Índices de correção do:</t>
  </si>
  <si>
    <t>Incidência de juros contratuais por atraso do pgto:</t>
  </si>
  <si>
    <t>Correção pela:</t>
  </si>
  <si>
    <t>Fl.</t>
  </si>
  <si>
    <t>Data de</t>
  </si>
  <si>
    <t>Valor Original</t>
  </si>
  <si>
    <t>Data de pgto.</t>
  </si>
  <si>
    <t>Valor pago</t>
  </si>
  <si>
    <t>Anos</t>
  </si>
  <si>
    <t>Jrs. Atualiz.</t>
  </si>
  <si>
    <t>Juros de Mora</t>
  </si>
  <si>
    <t>Multa</t>
  </si>
  <si>
    <t>Total</t>
  </si>
  <si>
    <t>:::::</t>
  </si>
  <si>
    <t>Vencimento</t>
  </si>
  <si>
    <t>::::::::::</t>
  </si>
  <si>
    <t>(antes de ir</t>
  </si>
  <si>
    <t>(antes do ingresso</t>
  </si>
  <si>
    <t>juros até vencimento</t>
  </si>
  <si>
    <t>juros até</t>
  </si>
  <si>
    <t>:::::::::::::::::</t>
  </si>
  <si>
    <t>***</t>
  </si>
  <si>
    <t>a juízo)</t>
  </si>
  <si>
    <t>em juízo)</t>
  </si>
  <si>
    <t>data-base</t>
  </si>
  <si>
    <t>Data</t>
  </si>
  <si>
    <t xml:space="preserve">Valor </t>
  </si>
  <si>
    <t xml:space="preserve">Diferença / </t>
  </si>
  <si>
    <t>Juros desde</t>
  </si>
  <si>
    <t>:::::::::::</t>
  </si>
  <si>
    <t>sem atualização</t>
  </si>
  <si>
    <t>Corrigido</t>
  </si>
  <si>
    <t>Principal</t>
  </si>
  <si>
    <t>juros</t>
  </si>
  <si>
    <t>Totais:</t>
  </si>
  <si>
    <t>Valor</t>
  </si>
  <si>
    <t>Indenização</t>
  </si>
  <si>
    <t>a atualizar</t>
  </si>
  <si>
    <t>TOTAL:-</t>
  </si>
  <si>
    <t>HONORÁRIOS ADVOCATÍCIOS (CLIQUE ABAIXO)</t>
  </si>
  <si>
    <t>EM PERCENTUAL DA CONDENAÇÃO</t>
  </si>
  <si>
    <t>Valor da Condenação</t>
  </si>
  <si>
    <t>EM PERCENTUAL DO VALOR DA CAUSA</t>
  </si>
  <si>
    <t>Valor da Causa</t>
  </si>
  <si>
    <t>Base:</t>
  </si>
  <si>
    <t>ARBITRADOS EM VALOR FIXO</t>
  </si>
  <si>
    <t>Proveito Econômico</t>
  </si>
  <si>
    <t>$</t>
  </si>
  <si>
    <t>Honorários</t>
  </si>
  <si>
    <t>Percentual</t>
  </si>
  <si>
    <t>TOTAL</t>
  </si>
  <si>
    <t>CONFORME ART. 85, § 3º, DO CPC/2015</t>
  </si>
  <si>
    <t>:::::::::</t>
  </si>
  <si>
    <t>0</t>
  </si>
  <si>
    <t>sobre faixa</t>
  </si>
  <si>
    <t>HONORÁRIOS: NUNCA SE LIMITAM AQUI JUROS AO TERMO INICIAL DA ATUALIZAÇÃO MONETÁRIA</t>
  </si>
  <si>
    <t>HONORÁRIOS</t>
  </si>
  <si>
    <t>MULTA FIXA OU DIÁRIA, SE HOUVER:-</t>
  </si>
  <si>
    <t>Índice Final:</t>
  </si>
  <si>
    <t>ÍNDICE</t>
  </si>
  <si>
    <t>Valor Corrigido</t>
  </si>
  <si>
    <t>Multa Fixa</t>
  </si>
  <si>
    <t>inicial</t>
  </si>
  <si>
    <t>a adimplir</t>
  </si>
  <si>
    <t>::::::::::::::::::::::</t>
  </si>
  <si>
    <t>Despesas</t>
  </si>
  <si>
    <t>TOTAIS:</t>
  </si>
  <si>
    <t>Principal + Multa Contratual .....:</t>
  </si>
  <si>
    <t>INCLUIR</t>
  </si>
  <si>
    <t>Juros............................................:</t>
  </si>
  <si>
    <t>NÃO INCLUIR</t>
  </si>
  <si>
    <t>Honorários ..................................:</t>
  </si>
  <si>
    <t>Multa Fixa....................................:</t>
  </si>
  <si>
    <t>Despesas / Custas Processuais ....:</t>
  </si>
  <si>
    <t>Total Corrigido para ........:</t>
  </si>
  <si>
    <t>juros até:</t>
  </si>
  <si>
    <t>Aplicar % dos Honorários/Multa da Execução/Cumprimento de Sentença sobre:</t>
  </si>
  <si>
    <t>1. Total do crédito; 2. Principal; 3. Honorários</t>
  </si>
  <si>
    <t>Honorários Advocatícios (art.523, §1º do NCPC), se couber:</t>
  </si>
  <si>
    <t>Multa Moratória (art.523, §1º do NCPC), se couber:</t>
  </si>
  <si>
    <t>Subtotal:</t>
  </si>
  <si>
    <t>Taxa Judiciária (entre 5 e 3.000 UFESPs, se couber):</t>
  </si>
  <si>
    <t>Cálcular Taxa em:</t>
  </si>
  <si>
    <t>UFESP:</t>
  </si>
  <si>
    <t>V. Pago (Taxa):</t>
  </si>
  <si>
    <t>Data Pgto. (Taxa):</t>
  </si>
  <si>
    <t xml:space="preserve">Obs.: Débito Judicial + Taxa Judiciária = </t>
  </si>
  <si>
    <t>DEFERIU-SE O PARCELAMENTO?</t>
  </si>
  <si>
    <t>(CPC/2015, art. 916, caput)</t>
  </si>
  <si>
    <t>ATUALIZAR DIFERENÇAS ATÉ:-</t>
  </si>
  <si>
    <t>Obs.:</t>
  </si>
  <si>
    <t>Entrada:</t>
  </si>
  <si>
    <t>Valor da Parcela</t>
  </si>
  <si>
    <t>Vencimento da</t>
  </si>
  <si>
    <t>Data do</t>
  </si>
  <si>
    <t>Diferença</t>
  </si>
  <si>
    <t>Juros</t>
  </si>
  <si>
    <t>sem correção</t>
  </si>
  <si>
    <t>Parcela</t>
  </si>
  <si>
    <t>Pagamento</t>
  </si>
  <si>
    <t>no pagamento</t>
  </si>
  <si>
    <t>Pago</t>
  </si>
  <si>
    <t>Atualizada</t>
  </si>
  <si>
    <t>até pagamento,</t>
  </si>
  <si>
    <t>até pagamento</t>
  </si>
  <si>
    <t>atualizados</t>
  </si>
  <si>
    <t>123</t>
  </si>
  <si>
    <t>Clique ao lado para selecionar:</t>
  </si>
  <si>
    <t>Saldo Remanescente:</t>
  </si>
  <si>
    <t>Com a multa de 10% do art. 916, §5º, II:</t>
  </si>
  <si>
    <t>HÁ DEPÓSITO NOS AUTOS?</t>
  </si>
  <si>
    <t>VALOR:-</t>
  </si>
  <si>
    <t>Saldo Anterior</t>
  </si>
  <si>
    <t>CORREÇÃO</t>
  </si>
  <si>
    <t>juros desde:</t>
  </si>
  <si>
    <t>TOTAL I:</t>
  </si>
  <si>
    <t>Atualizar até:-</t>
  </si>
  <si>
    <t>Índice final:</t>
  </si>
  <si>
    <t>Descrição</t>
  </si>
  <si>
    <t>ou Despesa</t>
  </si>
  <si>
    <t>Contratual</t>
  </si>
  <si>
    <t>*********************************************************</t>
  </si>
  <si>
    <t>TOTAL II:</t>
  </si>
  <si>
    <t>SALDO ANTERIOR + PARCELAS/DESPESAS (TOTAIS I + II):</t>
  </si>
  <si>
    <t>Honor. Advoc. (art.523, §2º do NCPC), se couber:</t>
  </si>
  <si>
    <t>Multa de Mora (art.523, §2º do NCPC), se couber:</t>
  </si>
  <si>
    <t>HÁ MAIS OUTRO DEPÓSITO?</t>
  </si>
  <si>
    <t>Anos Jrs.</t>
  </si>
  <si>
    <t>COMPETE RESTITUIR AO SUCUMBENTE:</t>
  </si>
  <si>
    <t>do saldo do último depósito</t>
  </si>
  <si>
    <t>SELIC</t>
  </si>
  <si>
    <t>SELIC - TRIBUTOS</t>
  </si>
  <si>
    <t>TABELA IPC (FIPE)</t>
  </si>
  <si>
    <t>TABELA IGP-M (FGV)</t>
  </si>
  <si>
    <t>Tabela INCC (FGV)</t>
  </si>
  <si>
    <t>Tabela IGP-DI (FGV)</t>
  </si>
  <si>
    <t>INPC+IPCA (com IPCA desde jul./09)</t>
  </si>
  <si>
    <t>IPCA-E</t>
  </si>
  <si>
    <t>Tabela EC nº 113/2021</t>
  </si>
  <si>
    <t>RES. CNJ 303/2019</t>
  </si>
  <si>
    <t>Antiga Modulada (TR até mar./2015, IPCA-E, Selic)</t>
  </si>
  <si>
    <t>Tabela Prática Fazendas (TR desde jul./09)</t>
  </si>
  <si>
    <t>próprio mês; BC SGS 4390</t>
  </si>
  <si>
    <t>moeda</t>
  </si>
  <si>
    <t>valor</t>
  </si>
  <si>
    <t>Data-base (:)</t>
  </si>
  <si>
    <t>NÃO PREENCHER</t>
  </si>
  <si>
    <t>Cr$</t>
  </si>
  <si>
    <t>NCr$</t>
  </si>
  <si>
    <t>Cz$</t>
  </si>
  <si>
    <t>NCz$</t>
  </si>
  <si>
    <t>CR$</t>
  </si>
  <si>
    <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</si>
</sst>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164" formatCode="#,##0.000000"/>
    <numFmt numFmtId="165" formatCode="&quot;São Paulo, &quot;dd&quot; de &quot;mmmm&quot; de &quot;yyyy\."/>
    <numFmt numFmtId="166" formatCode="mm/yyyy"/>
    <numFmt numFmtId="167" formatCode="_(* #,##0.00_);_(* \(#,##0.00\);_(* &quot;-&quot;??_);_(@_)"/>
    <numFmt numFmtId="168" formatCode="0.000000"/>
    <numFmt numFmtId="169" formatCode="0\ &quot;dias&quot;"/>
    <numFmt numFmtId="170" formatCode="mmm/yyyy"/>
    <numFmt numFmtId="171" formatCode="dd/mmm/yyyy"/>
    <numFmt numFmtId="172" formatCode="0&quot;º&quot;"/>
    <numFmt numFmtId="173" formatCode="0.0%"/>
    <numFmt numFmtId="174" formatCode="&quot;Proc. nº&quot;\ @"/>
    <numFmt numFmtId="175" formatCode="&quot;Atualização da conta de fls.: &quot;@"/>
    <numFmt numFmtId="176" formatCode="&quot;R. despacho de fls.: &quot;@"/>
    <numFmt numFmtId="177" formatCode="&quot;Retificação da conta de fls.: &quot;@"/>
    <numFmt numFmtId="178" formatCode="0.000%"/>
    <numFmt numFmtId="179" formatCode="&quot;(fls. &quot;@&quot;):&quot;"/>
    <numFmt numFmtId="180" formatCode="_([$€]* #,##0.00_);_([$€]* \(#,##0.00\);_([$€]* &quot;-&quot;??_);_(@_)"/>
    <numFmt numFmtId="181" formatCode="0.0000%"/>
    <numFmt numFmtId="182" formatCode="&quot;(fls. &quot;@&quot;)&quot;"/>
    <numFmt numFmtId="183" formatCode="dd/mm/yy;@"/>
    <numFmt numFmtId="184" formatCode="&quot;ATUALIZAÇÃO DO SALDO ATÉ A DATA DO &quot;##&quot;º DEPÓSITO&quot;"/>
    <numFmt numFmtId="185" formatCode="&quot;Índice - &quot;mmm/yy"/>
    <numFmt numFmtId="186" formatCode="##&quot;.&quot;"/>
    <numFmt numFmtId="187" formatCode="&quot;(decisão - fls. &quot;@&quot;):&quot;"/>
    <numFmt numFmtId="188" formatCode="&quot;Índice Inicial: &quot;#,##0.000000"/>
    <numFmt numFmtId="189" formatCode="&quot;Índice Final: &quot;#,##0.000000"/>
    <numFmt numFmtId="190" formatCode="&quot;&quot;"/>
    <numFmt numFmtId="191" formatCode="&quot;desde &quot;##&quot;º dia de mora&quot;"/>
    <numFmt numFmtId="192" formatCode="0%&quot; a.a.&quot;"/>
    <numFmt numFmtId="193" formatCode="&quot;De &quot;dd/mm/yyyy"/>
    <numFmt numFmtId="194" formatCode="&quot;a &quot;dd/mm/yyyy"/>
    <numFmt numFmtId="195" formatCode="##&quot; dias&quot;"/>
    <numFmt numFmtId="196" formatCode="&quot;ENTRADA MAIS &quot;##&quot; PARCELAS&quot;"/>
    <numFmt numFmtId="197" formatCode="&quot;Jrs. após vencim.&quot;"/>
    <numFmt numFmtId="198" formatCode="&quot;R$&quot;\ #,##0.00"/>
    <numFmt numFmtId="199" formatCode="&quot;DÉBITOS APÓS FIM DO PRAZO PARA LIQUIDAR E ANTERIORES AO &quot;##&quot;º DEPÓSITO&quot;"/>
    <numFmt numFmtId="200" formatCode="&quot;SUBTRAIR DEPÓSITO DE FL. &quot;##"/>
    <numFmt numFmtId="201" formatCode="&quot;DÉBITOS IMEDIATAMENTE ANTERIORES AO &quot;##&quot;º DEPÓSITO&quot;"/>
    <numFmt numFmtId="202" formatCode="&quot;Pgto. atualizado: &quot;#,##0.00"/>
    <numFmt numFmtId="203" formatCode="&quot;Índice (Data do Pgto.): &quot;#,##0.000000"/>
    <numFmt numFmtId="204" formatCode="&quot;Resta a quitar: &quot;#,##0.00&quot; (não integra saldo ao autor)&quot;"/>
    <numFmt numFmtId="205" formatCode="&quot;Jrs. desde consolidação: &quot;#,##0.00"/>
    <numFmt numFmtId="206" formatCode="&quot; Taxa Judiciária: &quot;#,##0.00"/>
    <numFmt numFmtId="207" formatCode="&quot;Base mais Correção e Juros: &quot;#,##0.00"/>
    <numFmt numFmtId="208" formatCode="&quot;Base de Cálculo (V. Condenação ou Pedido): &quot;#,##0.00"/>
    <numFmt numFmtId="209" formatCode="&quot;Índ. Inicial: &quot;#,##0.000000"/>
    <numFmt numFmtId="210" formatCode="&quot;Índ. Final: &quot;#,##0.000000"/>
    <numFmt numFmtId="211" formatCode="&quot;Entrada (fl. &quot;@&quot;):&quot;"/>
  </numFmts>
  <fonts count="51" x14ac:knownFonts="1">
    <font>
      <sz val="10"/>
      <name val="Arial"/>
      <family val="2"/>
    </font>
    <font>
      <sz val="10"/>
      <name val="Arial"/>
      <family val="2"/>
    </font>
    <font>
      <sz val="8"/>
      <name val="Arial"/>
      <family val="2"/>
    </font>
    <font>
      <sz val="9"/>
      <name val="Arial"/>
      <family val="2"/>
    </font>
    <font>
      <sz val="8"/>
      <name val="Times New Roman"/>
      <family val="1"/>
    </font>
    <font>
      <b/>
      <sz val="8"/>
      <name val="Times New Roman"/>
      <family val="1"/>
    </font>
    <font>
      <sz val="10"/>
      <name val="Times New Roman"/>
      <family val="1"/>
    </font>
    <font>
      <u/>
      <sz val="10"/>
      <color indexed="12"/>
      <name val="Arial"/>
      <family val="2"/>
    </font>
    <font>
      <sz val="10"/>
      <name val="Arial"/>
      <family val="2"/>
    </font>
    <font>
      <b/>
      <sz val="9"/>
      <name val="Times New Roman"/>
      <family val="1"/>
    </font>
    <font>
      <sz val="9"/>
      <name val="Times New Roman"/>
      <family val="1"/>
    </font>
    <font>
      <b/>
      <sz val="8"/>
      <color indexed="32"/>
      <name val="Times New Roman"/>
      <family val="1"/>
    </font>
    <font>
      <b/>
      <sz val="9"/>
      <color indexed="18"/>
      <name val="Times New Roman"/>
      <family val="1"/>
    </font>
    <font>
      <sz val="9"/>
      <color indexed="18"/>
      <name val="Times New Roman"/>
      <family val="1"/>
    </font>
    <font>
      <i/>
      <sz val="8"/>
      <name val="Times New Roman"/>
      <family val="1"/>
    </font>
    <font>
      <sz val="10"/>
      <name val="Arial"/>
      <family val="2"/>
    </font>
    <font>
      <sz val="10"/>
      <color rgb="FF000000"/>
      <name val="Times New Roman"/>
      <family val="1"/>
    </font>
    <font>
      <sz val="8"/>
      <color rgb="FFFF0000"/>
      <name val="Times New Roman"/>
      <family val="1"/>
    </font>
    <font>
      <b/>
      <sz val="8"/>
      <color rgb="FFFF0000"/>
      <name val="Times New Roman"/>
      <family val="1"/>
    </font>
    <font>
      <b/>
      <i/>
      <sz val="8"/>
      <color rgb="FFFF0000"/>
      <name val="Times New Roman"/>
      <family val="1"/>
    </font>
    <font>
      <b/>
      <sz val="9"/>
      <color indexed="81"/>
      <name val="Times New Roman"/>
      <family val="1"/>
    </font>
    <font>
      <b/>
      <i/>
      <sz val="8"/>
      <name val="Times New Roman"/>
      <family val="1"/>
    </font>
    <font>
      <b/>
      <sz val="9"/>
      <color theme="0"/>
      <name val="Times New Roman"/>
      <family val="1"/>
    </font>
    <font>
      <u/>
      <sz val="10"/>
      <color theme="10"/>
      <name val="Arial"/>
      <family val="2"/>
    </font>
    <font>
      <sz val="8"/>
      <color theme="9" tint="0.59999389629810485"/>
      <name val="Times New Roman"/>
      <family val="1"/>
    </font>
    <font>
      <b/>
      <sz val="8"/>
      <color theme="9" tint="0.59999389629810485"/>
      <name val="Times New Roman"/>
      <family val="1"/>
    </font>
    <font>
      <b/>
      <i/>
      <sz val="8"/>
      <color theme="9" tint="0.59999389629810485"/>
      <name val="Times New Roman"/>
      <family val="1"/>
    </font>
    <font>
      <i/>
      <sz val="8"/>
      <color theme="9" tint="0.59999389629810485"/>
      <name val="Times New Roman"/>
      <family val="1"/>
    </font>
    <font>
      <b/>
      <i/>
      <sz val="12"/>
      <name val="Times New Roman"/>
      <family val="1"/>
    </font>
    <font>
      <b/>
      <i/>
      <sz val="10"/>
      <name val="Times New Roman"/>
      <family val="1"/>
    </font>
    <font>
      <u/>
      <sz val="8"/>
      <name val="Times New Roman"/>
      <family val="1"/>
    </font>
    <font>
      <u/>
      <sz val="8"/>
      <color theme="9" tint="0.59999389629810485"/>
      <name val="Times New Roman"/>
      <family val="1"/>
    </font>
    <font>
      <b/>
      <i/>
      <u/>
      <sz val="8"/>
      <color rgb="FFFF0000"/>
      <name val="Times New Roman"/>
      <family val="1"/>
    </font>
    <font>
      <sz val="8"/>
      <name val="Bahnschrift SemiLight Condensed"/>
      <family val="2"/>
    </font>
    <font>
      <b/>
      <sz val="8"/>
      <color theme="0"/>
      <name val="Times New Roman"/>
      <family val="1"/>
    </font>
    <font>
      <b/>
      <sz val="10"/>
      <name val="Times New Roman"/>
      <family val="1"/>
    </font>
    <font>
      <sz val="10"/>
      <color theme="9" tint="0.59999389629810485"/>
      <name val="Times New Roman"/>
      <family val="1"/>
    </font>
    <font>
      <i/>
      <sz val="9"/>
      <name val="Times New Roman"/>
      <family val="1"/>
    </font>
    <font>
      <sz val="11"/>
      <name val="Times New Roman"/>
      <family val="1"/>
    </font>
    <font>
      <sz val="8"/>
      <color theme="0"/>
      <name val="Times New Roman"/>
      <family val="1"/>
    </font>
    <font>
      <b/>
      <i/>
      <sz val="8"/>
      <color theme="0"/>
      <name val="Times New Roman"/>
      <family val="1"/>
    </font>
    <font>
      <sz val="1"/>
      <color theme="0"/>
      <name val="Times New Roman"/>
      <family val="1"/>
    </font>
    <font>
      <b/>
      <sz val="1"/>
      <color theme="0"/>
      <name val="Times New Roman"/>
      <family val="1"/>
    </font>
    <font>
      <b/>
      <i/>
      <sz val="1"/>
      <color theme="0"/>
      <name val="Times New Roman"/>
      <family val="1"/>
    </font>
    <font>
      <i/>
      <sz val="10"/>
      <name val="Times New Roman"/>
      <family val="1"/>
    </font>
    <font>
      <b/>
      <sz val="9"/>
      <color rgb="FFFF0000"/>
      <name val="Times New Roman"/>
      <family val="1"/>
    </font>
    <font>
      <b/>
      <i/>
      <sz val="10"/>
      <color theme="0"/>
      <name val="Times New Roman"/>
      <family val="1"/>
    </font>
    <font>
      <sz val="8"/>
      <name val="Bahnschrift Light Condensed"/>
      <family val="2"/>
    </font>
    <font>
      <sz val="7.5"/>
      <name val="Times New Roman"/>
      <family val="1"/>
    </font>
    <font>
      <u/>
      <sz val="8"/>
      <color rgb="FFFF0000"/>
      <name val="Arial"/>
      <family val="2"/>
    </font>
    <font>
      <sz val="10"/>
      <name val="Arial"/>
      <family val="2"/>
    </font>
  </fonts>
  <fills count="10">
    <fill>
      <patternFill patternType="none"/>
    </fill>
    <fill>
      <patternFill patternType="gray125"/>
    </fill>
    <fill>
      <patternFill patternType="solid">
        <fgColor indexed="42"/>
        <bgColor indexed="64"/>
      </patternFill>
    </fill>
    <fill>
      <patternFill patternType="solid">
        <fgColor rgb="FFCCFFCC"/>
        <bgColor indexed="64"/>
      </patternFill>
    </fill>
    <fill>
      <patternFill patternType="solid">
        <fgColor theme="0" tint="-0.249977111117893"/>
        <bgColor indexed="64"/>
      </patternFill>
    </fill>
    <fill>
      <patternFill patternType="solid">
        <fgColor theme="0"/>
        <bgColor indexed="64"/>
      </patternFill>
    </fill>
    <fill>
      <patternFill patternType="solid">
        <fgColor theme="9"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3499862666707357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bottom/>
      <diagonal/>
    </border>
    <border>
      <left/>
      <right style="thin">
        <color indexed="64"/>
      </right>
      <top/>
      <bottom/>
      <diagonal/>
    </border>
    <border>
      <left style="thin">
        <color indexed="64"/>
      </left>
      <right style="thin">
        <color indexed="64"/>
      </right>
      <top/>
      <bottom/>
      <diagonal/>
    </border>
  </borders>
  <cellStyleXfs count="14">
    <xf numFmtId="0" fontId="0" fillId="0" borderId="0"/>
    <xf numFmtId="180" fontId="1" fillId="0" borderId="0" applyFont="0" applyFill="0" applyBorder="0" applyAlignment="0" applyProtection="0"/>
    <xf numFmtId="0" fontId="7" fillId="0" borderId="0" applyNumberFormat="0" applyFill="0" applyBorder="0" applyAlignment="0" applyProtection="0">
      <alignment vertical="top"/>
      <protection locked="0"/>
    </xf>
    <xf numFmtId="0" fontId="8" fillId="0" borderId="0"/>
    <xf numFmtId="0" fontId="1" fillId="0" borderId="0"/>
    <xf numFmtId="0" fontId="16" fillId="0" borderId="0"/>
    <xf numFmtId="0" fontId="15" fillId="0" borderId="0"/>
    <xf numFmtId="167" fontId="1" fillId="0" borderId="0" applyFont="0" applyFill="0" applyBorder="0" applyAlignment="0" applyProtection="0"/>
    <xf numFmtId="167" fontId="8" fillId="0" borderId="0" applyFont="0" applyFill="0" applyBorder="0" applyAlignment="0" applyProtection="0"/>
    <xf numFmtId="0" fontId="23" fillId="0" borderId="0" applyNumberFormat="0" applyFill="0" applyBorder="0" applyAlignment="0" applyProtection="0"/>
    <xf numFmtId="9" fontId="1" fillId="0" borderId="0" applyFont="0" applyFill="0" applyBorder="0" applyAlignment="0" applyProtection="0"/>
    <xf numFmtId="0" fontId="1" fillId="0" borderId="0"/>
    <xf numFmtId="167" fontId="1" fillId="0" borderId="0" applyFont="0" applyFill="0" applyBorder="0" applyAlignment="0" applyProtection="0"/>
    <xf numFmtId="0" fontId="50" fillId="0" borderId="0"/>
  </cellStyleXfs>
  <cellXfs count="641">
    <xf numFmtId="0" fontId="0" fillId="0" borderId="0" xfId="0"/>
    <xf numFmtId="4" fontId="1" fillId="0" borderId="0" xfId="0" applyNumberFormat="1" applyFont="1" applyProtection="1">
      <protection hidden="1"/>
    </xf>
    <xf numFmtId="0" fontId="2" fillId="0" borderId="0" xfId="0" applyFont="1" applyAlignment="1" applyProtection="1">
      <alignment horizontal="right"/>
      <protection hidden="1"/>
    </xf>
    <xf numFmtId="0" fontId="5" fillId="0" borderId="1" xfId="0" quotePrefix="1" applyFont="1" applyBorder="1" applyAlignment="1" applyProtection="1">
      <alignment horizontal="center"/>
      <protection hidden="1"/>
    </xf>
    <xf numFmtId="0" fontId="5" fillId="0" borderId="1" xfId="0" applyFont="1" applyBorder="1" applyAlignment="1" applyProtection="1">
      <alignment horizontal="center"/>
      <protection hidden="1"/>
    </xf>
    <xf numFmtId="4" fontId="4" fillId="0" borderId="1" xfId="0" applyNumberFormat="1" applyFont="1" applyBorder="1" applyAlignment="1" applyProtection="1">
      <alignment horizontal="center"/>
      <protection hidden="1"/>
    </xf>
    <xf numFmtId="0" fontId="4" fillId="0" borderId="1" xfId="0" quotePrefix="1" applyFont="1" applyBorder="1" applyAlignment="1" applyProtection="1">
      <alignment horizontal="center"/>
      <protection hidden="1"/>
    </xf>
    <xf numFmtId="164" fontId="4" fillId="0" borderId="1" xfId="0" applyNumberFormat="1" applyFont="1" applyBorder="1" applyAlignment="1" applyProtection="1">
      <alignment horizontal="center"/>
      <protection hidden="1"/>
    </xf>
    <xf numFmtId="4" fontId="4" fillId="0" borderId="3" xfId="0" applyNumberFormat="1" applyFont="1" applyBorder="1" applyAlignment="1" applyProtection="1">
      <alignment horizontal="center"/>
      <protection hidden="1"/>
    </xf>
    <xf numFmtId="164" fontId="4" fillId="0" borderId="5" xfId="0" applyNumberFormat="1" applyFont="1" applyBorder="1" applyAlignment="1" applyProtection="1">
      <alignment horizontal="center"/>
      <protection hidden="1"/>
    </xf>
    <xf numFmtId="0" fontId="1" fillId="0" borderId="0" xfId="0" applyFont="1" applyAlignment="1" applyProtection="1">
      <alignment horizontal="center"/>
      <protection hidden="1"/>
    </xf>
    <xf numFmtId="4" fontId="1" fillId="0" borderId="0" xfId="0" applyNumberFormat="1" applyFont="1" applyAlignment="1" applyProtection="1">
      <alignment horizontal="center"/>
      <protection hidden="1"/>
    </xf>
    <xf numFmtId="164" fontId="4" fillId="0" borderId="8" xfId="0" applyNumberFormat="1" applyFont="1" applyBorder="1" applyAlignment="1" applyProtection="1">
      <alignment horizontal="center"/>
      <protection hidden="1"/>
    </xf>
    <xf numFmtId="164" fontId="2" fillId="0" borderId="0" xfId="0" applyNumberFormat="1" applyFont="1" applyAlignment="1" applyProtection="1">
      <alignment horizontal="center"/>
      <protection hidden="1"/>
    </xf>
    <xf numFmtId="4" fontId="5" fillId="0" borderId="1" xfId="0" quotePrefix="1" applyNumberFormat="1" applyFont="1" applyBorder="1" applyAlignment="1" applyProtection="1">
      <alignment horizontal="center"/>
      <protection hidden="1"/>
    </xf>
    <xf numFmtId="1" fontId="17" fillId="0" borderId="0" xfId="0" applyNumberFormat="1" applyFont="1" applyAlignment="1" applyProtection="1">
      <alignment horizontal="center"/>
      <protection hidden="1"/>
    </xf>
    <xf numFmtId="4" fontId="5" fillId="0" borderId="9" xfId="0" applyNumberFormat="1" applyFont="1" applyBorder="1" applyAlignment="1" applyProtection="1">
      <alignment horizontal="center"/>
      <protection hidden="1"/>
    </xf>
    <xf numFmtId="14" fontId="4" fillId="0" borderId="0" xfId="0" applyNumberFormat="1" applyFont="1" applyAlignment="1" applyProtection="1">
      <alignment horizontal="center"/>
      <protection hidden="1"/>
    </xf>
    <xf numFmtId="3" fontId="14" fillId="0" borderId="0" xfId="0" applyNumberFormat="1" applyFont="1" applyAlignment="1" applyProtection="1">
      <alignment horizontal="center"/>
      <protection hidden="1"/>
    </xf>
    <xf numFmtId="4" fontId="5" fillId="0" borderId="0" xfId="0" applyNumberFormat="1" applyFont="1" applyAlignment="1" applyProtection="1">
      <alignment horizontal="center"/>
      <protection hidden="1"/>
    </xf>
    <xf numFmtId="4" fontId="4" fillId="0" borderId="4" xfId="0" applyNumberFormat="1" applyFont="1" applyBorder="1" applyAlignment="1" applyProtection="1">
      <alignment horizontal="center"/>
      <protection hidden="1"/>
    </xf>
    <xf numFmtId="0" fontId="5" fillId="0" borderId="0" xfId="0" quotePrefix="1" applyFont="1" applyAlignment="1" applyProtection="1">
      <alignment horizontal="center"/>
      <protection hidden="1"/>
    </xf>
    <xf numFmtId="164" fontId="10" fillId="0" borderId="0" xfId="0" applyNumberFormat="1" applyFont="1" applyAlignment="1" applyProtection="1">
      <alignment horizontal="right"/>
      <protection locked="0"/>
    </xf>
    <xf numFmtId="0" fontId="0" fillId="4" borderId="0" xfId="0" applyFill="1"/>
    <xf numFmtId="17" fontId="9" fillId="0" borderId="0" xfId="0" applyNumberFormat="1" applyFont="1" applyAlignment="1" applyProtection="1">
      <alignment horizontal="right"/>
      <protection locked="0"/>
    </xf>
    <xf numFmtId="0" fontId="0" fillId="0" borderId="0" xfId="0" applyProtection="1">
      <protection locked="0"/>
    </xf>
    <xf numFmtId="182" fontId="4" fillId="3" borderId="1" xfId="0" applyNumberFormat="1" applyFont="1" applyFill="1" applyBorder="1" applyAlignment="1" applyProtection="1">
      <alignment horizontal="center"/>
      <protection locked="0"/>
    </xf>
    <xf numFmtId="179" fontId="4" fillId="3" borderId="1" xfId="0" applyNumberFormat="1" applyFont="1" applyFill="1" applyBorder="1" applyAlignment="1" applyProtection="1">
      <alignment horizontal="center"/>
      <protection locked="0"/>
    </xf>
    <xf numFmtId="179" fontId="4" fillId="3" borderId="3" xfId="0" applyNumberFormat="1" applyFont="1" applyFill="1" applyBorder="1" applyAlignment="1" applyProtection="1">
      <alignment horizontal="center"/>
      <protection locked="0"/>
    </xf>
    <xf numFmtId="164" fontId="4" fillId="0" borderId="1" xfId="7" applyNumberFormat="1" applyFont="1" applyFill="1" applyBorder="1" applyAlignment="1" applyProtection="1">
      <alignment horizontal="center"/>
      <protection hidden="1"/>
    </xf>
    <xf numFmtId="181" fontId="5" fillId="3" borderId="1" xfId="0" quotePrefix="1" applyNumberFormat="1" applyFont="1" applyFill="1" applyBorder="1" applyAlignment="1" applyProtection="1">
      <alignment horizontal="center"/>
      <protection locked="0"/>
    </xf>
    <xf numFmtId="187" fontId="4" fillId="3" borderId="13" xfId="0" applyNumberFormat="1" applyFont="1" applyFill="1" applyBorder="1" applyAlignment="1" applyProtection="1">
      <alignment horizontal="center"/>
      <protection locked="0"/>
    </xf>
    <xf numFmtId="0" fontId="0" fillId="0" borderId="0" xfId="0" applyAlignment="1">
      <alignment wrapText="1"/>
    </xf>
    <xf numFmtId="0" fontId="12" fillId="0" borderId="0" xfId="0" applyFont="1" applyAlignment="1">
      <alignment horizontal="right"/>
    </xf>
    <xf numFmtId="0" fontId="10" fillId="0" borderId="0" xfId="0" applyFont="1"/>
    <xf numFmtId="0" fontId="9" fillId="0" borderId="0" xfId="0" applyFont="1" applyAlignment="1">
      <alignment horizontal="right"/>
    </xf>
    <xf numFmtId="0" fontId="12" fillId="0" borderId="14" xfId="0" applyFont="1" applyBorder="1" applyAlignment="1">
      <alignment horizontal="right"/>
    </xf>
    <xf numFmtId="0" fontId="9" fillId="0" borderId="0" xfId="0" applyFont="1" applyAlignment="1">
      <alignment horizontal="center"/>
    </xf>
    <xf numFmtId="164" fontId="9" fillId="0" borderId="0" xfId="0" applyNumberFormat="1" applyFont="1" applyAlignment="1">
      <alignment horizontal="center" wrapText="1"/>
    </xf>
    <xf numFmtId="164" fontId="9" fillId="0" borderId="0" xfId="0" applyNumberFormat="1" applyFont="1" applyAlignment="1">
      <alignment horizontal="center"/>
    </xf>
    <xf numFmtId="0" fontId="12" fillId="0" borderId="15" xfId="0" applyFont="1" applyBorder="1" applyAlignment="1">
      <alignment horizontal="right"/>
    </xf>
    <xf numFmtId="0" fontId="12" fillId="0" borderId="15" xfId="0" quotePrefix="1" applyFont="1" applyBorder="1" applyAlignment="1">
      <alignment horizontal="center"/>
    </xf>
    <xf numFmtId="0" fontId="12" fillId="0" borderId="0" xfId="0" quotePrefix="1" applyFont="1" applyAlignment="1">
      <alignment horizontal="center"/>
    </xf>
    <xf numFmtId="0" fontId="10" fillId="0" borderId="13" xfId="0" applyFont="1" applyBorder="1" applyAlignment="1">
      <alignment horizontal="center"/>
    </xf>
    <xf numFmtId="0" fontId="9" fillId="0" borderId="16" xfId="0" applyFont="1" applyBorder="1" applyAlignment="1">
      <alignment horizontal="center"/>
    </xf>
    <xf numFmtId="0" fontId="13" fillId="0" borderId="15" xfId="0" quotePrefix="1" applyFont="1" applyBorder="1" applyAlignment="1">
      <alignment horizontal="center"/>
    </xf>
    <xf numFmtId="0" fontId="13" fillId="0" borderId="18" xfId="0" quotePrefix="1" applyFont="1" applyBorder="1" applyAlignment="1">
      <alignment horizontal="center"/>
    </xf>
    <xf numFmtId="164" fontId="9" fillId="0" borderId="12" xfId="0" quotePrefix="1" applyNumberFormat="1" applyFont="1" applyBorder="1" applyAlignment="1">
      <alignment horizontal="center"/>
    </xf>
    <xf numFmtId="0" fontId="10" fillId="0" borderId="17" xfId="0" quotePrefix="1" applyFont="1" applyBorder="1" applyAlignment="1">
      <alignment horizontal="center"/>
    </xf>
    <xf numFmtId="17" fontId="12" fillId="0" borderId="15" xfId="0" applyNumberFormat="1" applyFont="1" applyBorder="1" applyAlignment="1">
      <alignment horizontal="right"/>
    </xf>
    <xf numFmtId="17" fontId="12" fillId="0" borderId="18" xfId="0" applyNumberFormat="1" applyFont="1" applyBorder="1" applyAlignment="1">
      <alignment horizontal="right"/>
    </xf>
    <xf numFmtId="17" fontId="9" fillId="0" borderId="0" xfId="0" applyNumberFormat="1" applyFont="1" applyAlignment="1">
      <alignment horizontal="right"/>
    </xf>
    <xf numFmtId="17" fontId="12" fillId="0" borderId="0" xfId="0" applyNumberFormat="1" applyFont="1" applyAlignment="1">
      <alignment horizontal="right"/>
    </xf>
    <xf numFmtId="164" fontId="9" fillId="0" borderId="0" xfId="0" quotePrefix="1" applyNumberFormat="1" applyFont="1" applyAlignment="1">
      <alignment horizontal="right"/>
    </xf>
    <xf numFmtId="164" fontId="10" fillId="0" borderId="0" xfId="0" quotePrefix="1" applyNumberFormat="1" applyFont="1" applyAlignment="1">
      <alignment horizontal="right"/>
    </xf>
    <xf numFmtId="164" fontId="10" fillId="0" borderId="0" xfId="0" applyNumberFormat="1" applyFont="1" applyAlignment="1">
      <alignment horizontal="right"/>
    </xf>
    <xf numFmtId="17" fontId="11" fillId="4" borderId="0" xfId="0" applyNumberFormat="1" applyFont="1" applyFill="1" applyAlignment="1">
      <alignment horizontal="right"/>
    </xf>
    <xf numFmtId="181" fontId="5" fillId="5" borderId="1" xfId="0" quotePrefix="1" applyNumberFormat="1" applyFont="1" applyFill="1" applyBorder="1" applyAlignment="1" applyProtection="1">
      <alignment horizontal="center"/>
      <protection hidden="1"/>
    </xf>
    <xf numFmtId="4" fontId="5" fillId="0" borderId="12" xfId="0" applyNumberFormat="1" applyFont="1" applyBorder="1" applyAlignment="1" applyProtection="1">
      <alignment horizontal="center"/>
      <protection hidden="1"/>
    </xf>
    <xf numFmtId="171" fontId="5" fillId="3" borderId="1" xfId="0" applyNumberFormat="1" applyFont="1" applyFill="1" applyBorder="1" applyAlignment="1" applyProtection="1">
      <alignment horizontal="center"/>
      <protection locked="0" hidden="1"/>
    </xf>
    <xf numFmtId="164" fontId="5" fillId="3" borderId="3" xfId="0" applyNumberFormat="1" applyFont="1" applyFill="1" applyBorder="1" applyAlignment="1" applyProtection="1">
      <alignment horizontal="center"/>
      <protection locked="0"/>
    </xf>
    <xf numFmtId="4" fontId="4" fillId="0" borderId="1" xfId="0" applyNumberFormat="1" applyFont="1" applyBorder="1" applyAlignment="1" applyProtection="1">
      <alignment horizontal="center" vertical="center"/>
      <protection hidden="1"/>
    </xf>
    <xf numFmtId="4" fontId="5" fillId="0" borderId="1" xfId="0" applyNumberFormat="1" applyFont="1" applyBorder="1" applyAlignment="1" applyProtection="1">
      <alignment horizontal="center"/>
      <protection hidden="1"/>
    </xf>
    <xf numFmtId="164" fontId="5" fillId="0" borderId="1" xfId="0" applyNumberFormat="1" applyFont="1" applyBorder="1" applyAlignment="1" applyProtection="1">
      <alignment horizontal="center"/>
      <protection hidden="1"/>
    </xf>
    <xf numFmtId="164" fontId="4" fillId="0" borderId="1" xfId="0" applyNumberFormat="1" applyFont="1" applyBorder="1" applyAlignment="1" applyProtection="1">
      <alignment horizontal="center" vertical="center"/>
      <protection hidden="1"/>
    </xf>
    <xf numFmtId="164" fontId="14" fillId="0" borderId="0" xfId="0" applyNumberFormat="1" applyFont="1" applyAlignment="1" applyProtection="1">
      <alignment horizontal="center"/>
      <protection hidden="1"/>
    </xf>
    <xf numFmtId="164" fontId="5" fillId="0" borderId="9" xfId="0" applyNumberFormat="1" applyFont="1" applyBorder="1" applyAlignment="1" applyProtection="1">
      <alignment horizontal="center"/>
      <protection hidden="1"/>
    </xf>
    <xf numFmtId="164" fontId="5" fillId="0" borderId="0" xfId="0" applyNumberFormat="1" applyFont="1" applyAlignment="1" applyProtection="1">
      <alignment horizontal="center"/>
      <protection hidden="1"/>
    </xf>
    <xf numFmtId="164" fontId="4" fillId="0" borderId="0" xfId="0" applyNumberFormat="1" applyFont="1" applyAlignment="1" applyProtection="1">
      <alignment horizontal="center"/>
      <protection hidden="1"/>
    </xf>
    <xf numFmtId="164" fontId="4" fillId="0" borderId="0" xfId="0" applyNumberFormat="1" applyFont="1" applyAlignment="1" applyProtection="1">
      <alignment horizontal="center" vertical="center"/>
      <protection hidden="1"/>
    </xf>
    <xf numFmtId="164" fontId="4" fillId="0" borderId="5" xfId="0" applyNumberFormat="1" applyFont="1" applyBorder="1" applyAlignment="1" applyProtection="1">
      <alignment horizontal="right"/>
      <protection hidden="1"/>
    </xf>
    <xf numFmtId="164" fontId="17" fillId="0" borderId="0" xfId="0" applyNumberFormat="1" applyFont="1" applyAlignment="1" applyProtection="1">
      <alignment horizontal="center"/>
      <protection hidden="1"/>
    </xf>
    <xf numFmtId="164" fontId="4" fillId="0" borderId="7" xfId="0" applyNumberFormat="1" applyFont="1" applyBorder="1" applyAlignment="1" applyProtection="1">
      <alignment horizontal="right"/>
      <protection hidden="1"/>
    </xf>
    <xf numFmtId="164" fontId="21" fillId="0" borderId="0" xfId="0" applyNumberFormat="1" applyFont="1" applyAlignment="1" applyProtection="1">
      <alignment horizontal="right"/>
      <protection hidden="1"/>
    </xf>
    <xf numFmtId="164" fontId="21" fillId="0" borderId="0" xfId="0" quotePrefix="1" applyNumberFormat="1" applyFont="1" applyAlignment="1" applyProtection="1">
      <alignment horizontal="right"/>
      <protection hidden="1"/>
    </xf>
    <xf numFmtId="164" fontId="14" fillId="0" borderId="0" xfId="0" applyNumberFormat="1" applyFont="1" applyAlignment="1" applyProtection="1">
      <alignment horizontal="center"/>
      <protection locked="0"/>
    </xf>
    <xf numFmtId="164" fontId="4" fillId="0" borderId="5" xfId="0" applyNumberFormat="1" applyFont="1" applyBorder="1" applyAlignment="1" applyProtection="1">
      <alignment horizontal="center" vertical="center"/>
      <protection hidden="1"/>
    </xf>
    <xf numFmtId="164" fontId="4" fillId="0" borderId="0" xfId="7" applyNumberFormat="1" applyFont="1" applyFill="1" applyAlignment="1" applyProtection="1">
      <alignment horizontal="right"/>
      <protection hidden="1"/>
    </xf>
    <xf numFmtId="164" fontId="4" fillId="0" borderId="2" xfId="0" applyNumberFormat="1" applyFont="1" applyBorder="1" applyAlignment="1" applyProtection="1">
      <alignment horizontal="center"/>
      <protection hidden="1"/>
    </xf>
    <xf numFmtId="164" fontId="21" fillId="0" borderId="19" xfId="0" applyNumberFormat="1" applyFont="1" applyBorder="1" applyAlignment="1" applyProtection="1">
      <alignment horizontal="center"/>
      <protection hidden="1"/>
    </xf>
    <xf numFmtId="164" fontId="21" fillId="0" borderId="0" xfId="0" applyNumberFormat="1" applyFont="1" applyAlignment="1" applyProtection="1">
      <alignment horizontal="center"/>
      <protection hidden="1"/>
    </xf>
    <xf numFmtId="4" fontId="3" fillId="0" borderId="0" xfId="0" applyNumberFormat="1" applyFont="1" applyAlignment="1" applyProtection="1">
      <alignment horizontal="center"/>
      <protection hidden="1"/>
    </xf>
    <xf numFmtId="4" fontId="14" fillId="0" borderId="1" xfId="0" applyNumberFormat="1" applyFont="1" applyBorder="1" applyAlignment="1" applyProtection="1">
      <alignment horizontal="center" vertical="center"/>
      <protection hidden="1"/>
    </xf>
    <xf numFmtId="164" fontId="14" fillId="0" borderId="10" xfId="0" applyNumberFormat="1" applyFont="1" applyBorder="1" applyAlignment="1" applyProtection="1">
      <alignment horizontal="right"/>
      <protection hidden="1"/>
    </xf>
    <xf numFmtId="0" fontId="22" fillId="0" borderId="15" xfId="0" applyFont="1" applyBorder="1" applyAlignment="1">
      <alignment horizontal="right"/>
    </xf>
    <xf numFmtId="0" fontId="22" fillId="0" borderId="0" xfId="0" applyFont="1" applyAlignment="1">
      <alignment horizontal="right"/>
    </xf>
    <xf numFmtId="0" fontId="22" fillId="0" borderId="0" xfId="0" applyFont="1" applyAlignment="1">
      <alignment horizontal="center"/>
    </xf>
    <xf numFmtId="0" fontId="4" fillId="0" borderId="0" xfId="0" applyFont="1" applyAlignment="1" applyProtection="1">
      <alignment horizontal="center"/>
      <protection hidden="1"/>
    </xf>
    <xf numFmtId="4" fontId="4" fillId="0" borderId="0" xfId="0" applyNumberFormat="1" applyFont="1" applyAlignment="1" applyProtection="1">
      <alignment horizontal="center"/>
      <protection hidden="1"/>
    </xf>
    <xf numFmtId="0" fontId="24" fillId="6" borderId="0" xfId="0" applyFont="1" applyFill="1" applyAlignment="1" applyProtection="1">
      <alignment horizontal="center"/>
      <protection hidden="1"/>
    </xf>
    <xf numFmtId="0" fontId="24" fillId="0" borderId="0" xfId="0" applyFont="1" applyAlignment="1" applyProtection="1">
      <alignment horizontal="center"/>
      <protection hidden="1"/>
    </xf>
    <xf numFmtId="49" fontId="5" fillId="0" borderId="0" xfId="0" applyNumberFormat="1" applyFont="1" applyAlignment="1">
      <alignment horizontal="center"/>
    </xf>
    <xf numFmtId="49" fontId="25" fillId="6" borderId="0" xfId="0" applyNumberFormat="1" applyFont="1" applyFill="1" applyAlignment="1">
      <alignment horizontal="center"/>
    </xf>
    <xf numFmtId="164" fontId="5" fillId="0" borderId="0" xfId="0" applyNumberFormat="1" applyFont="1" applyAlignment="1">
      <alignment horizontal="center"/>
    </xf>
    <xf numFmtId="49" fontId="21" fillId="0" borderId="0" xfId="0" applyNumberFormat="1" applyFont="1" applyAlignment="1">
      <alignment horizontal="center"/>
    </xf>
    <xf numFmtId="49" fontId="26" fillId="6" borderId="0" xfId="0" applyNumberFormat="1" applyFont="1" applyFill="1" applyAlignment="1">
      <alignment horizontal="center"/>
    </xf>
    <xf numFmtId="164" fontId="21" fillId="0" borderId="0" xfId="0" applyNumberFormat="1" applyFont="1" applyAlignment="1">
      <alignment horizontal="center"/>
    </xf>
    <xf numFmtId="49" fontId="14" fillId="0" borderId="0" xfId="0" applyNumberFormat="1" applyFont="1" applyAlignment="1" applyProtection="1">
      <alignment horizontal="center"/>
      <protection locked="0"/>
    </xf>
    <xf numFmtId="49" fontId="27" fillId="6" borderId="0" xfId="0" applyNumberFormat="1" applyFont="1" applyFill="1" applyAlignment="1" applyProtection="1">
      <alignment horizontal="center"/>
      <protection locked="0"/>
    </xf>
    <xf numFmtId="0" fontId="24" fillId="6" borderId="0" xfId="0" applyFont="1" applyFill="1" applyAlignment="1" applyProtection="1">
      <alignment horizontal="center" vertical="center"/>
      <protection hidden="1"/>
    </xf>
    <xf numFmtId="175" fontId="14" fillId="0" borderId="0" xfId="0" applyNumberFormat="1" applyFont="1" applyAlignment="1" applyProtection="1">
      <alignment horizontal="center" vertical="center"/>
      <protection locked="0"/>
    </xf>
    <xf numFmtId="175" fontId="27" fillId="6" borderId="0" xfId="0" applyNumberFormat="1" applyFont="1" applyFill="1" applyAlignment="1" applyProtection="1">
      <alignment horizontal="center" vertical="center"/>
      <protection locked="0"/>
    </xf>
    <xf numFmtId="164" fontId="14" fillId="0" borderId="0" xfId="0" applyNumberFormat="1" applyFont="1" applyAlignment="1" applyProtection="1">
      <alignment horizontal="center" vertical="center"/>
      <protection locked="0"/>
    </xf>
    <xf numFmtId="172" fontId="4" fillId="0" borderId="0" xfId="0" applyNumberFormat="1" applyFont="1" applyAlignment="1" applyProtection="1">
      <alignment horizontal="center" vertical="center"/>
      <protection hidden="1"/>
    </xf>
    <xf numFmtId="4" fontId="4" fillId="0" borderId="0" xfId="0" applyNumberFormat="1" applyFont="1" applyAlignment="1" applyProtection="1">
      <alignment horizontal="center" vertical="center"/>
      <protection hidden="1"/>
    </xf>
    <xf numFmtId="0" fontId="4" fillId="0" borderId="0" xfId="0" applyFont="1" applyAlignment="1" applyProtection="1">
      <alignment horizontal="center" vertical="center"/>
      <protection hidden="1"/>
    </xf>
    <xf numFmtId="49" fontId="4" fillId="0" borderId="0" xfId="0" applyNumberFormat="1" applyFont="1" applyAlignment="1" applyProtection="1">
      <alignment horizontal="center" vertical="center"/>
      <protection hidden="1"/>
    </xf>
    <xf numFmtId="49" fontId="30" fillId="0" borderId="0" xfId="0" applyNumberFormat="1" applyFont="1" applyAlignment="1" applyProtection="1">
      <alignment horizontal="center" vertical="center"/>
      <protection hidden="1"/>
    </xf>
    <xf numFmtId="49" fontId="31" fillId="6" borderId="0" xfId="0" applyNumberFormat="1" applyFont="1" applyFill="1" applyAlignment="1" applyProtection="1">
      <alignment horizontal="center" vertical="center"/>
      <protection hidden="1"/>
    </xf>
    <xf numFmtId="171" fontId="5" fillId="3" borderId="1" xfId="0" applyNumberFormat="1" applyFont="1" applyFill="1" applyBorder="1" applyAlignment="1" applyProtection="1">
      <alignment horizontal="center" vertical="center"/>
      <protection locked="0" hidden="1"/>
    </xf>
    <xf numFmtId="0" fontId="14" fillId="0" borderId="0" xfId="0" applyFont="1" applyAlignment="1" applyProtection="1">
      <alignment horizontal="left" vertical="center"/>
      <protection hidden="1"/>
    </xf>
    <xf numFmtId="0" fontId="14" fillId="0" borderId="0" xfId="0" applyFont="1" applyAlignment="1" applyProtection="1">
      <alignment horizontal="center" vertical="center"/>
      <protection hidden="1"/>
    </xf>
    <xf numFmtId="0" fontId="26" fillId="6" borderId="0" xfId="0" applyFont="1" applyFill="1" applyAlignment="1" applyProtection="1">
      <alignment horizontal="center"/>
      <protection hidden="1"/>
    </xf>
    <xf numFmtId="0" fontId="24" fillId="0" borderId="0" xfId="0" applyFont="1" applyAlignment="1" applyProtection="1">
      <alignment horizontal="center" vertical="center"/>
      <protection hidden="1"/>
    </xf>
    <xf numFmtId="173" fontId="5" fillId="3" borderId="0" xfId="0" applyNumberFormat="1" applyFont="1" applyFill="1" applyAlignment="1" applyProtection="1">
      <alignment horizontal="center" vertical="center"/>
      <protection locked="0"/>
    </xf>
    <xf numFmtId="4" fontId="5" fillId="3" borderId="1" xfId="0" applyNumberFormat="1" applyFont="1" applyFill="1" applyBorder="1" applyAlignment="1" applyProtection="1">
      <alignment horizontal="center" vertical="center"/>
      <protection locked="0"/>
    </xf>
    <xf numFmtId="0" fontId="27" fillId="6" borderId="0" xfId="0" applyFont="1" applyFill="1" applyAlignment="1" applyProtection="1">
      <alignment horizontal="center" vertical="center"/>
      <protection hidden="1"/>
    </xf>
    <xf numFmtId="4" fontId="25" fillId="6" borderId="0" xfId="0" applyNumberFormat="1" applyFont="1" applyFill="1" applyAlignment="1" applyProtection="1">
      <alignment horizontal="center"/>
      <protection hidden="1"/>
    </xf>
    <xf numFmtId="4" fontId="24" fillId="6" borderId="0" xfId="0" applyNumberFormat="1" applyFont="1" applyFill="1" applyAlignment="1" applyProtection="1">
      <alignment horizontal="center"/>
      <protection hidden="1"/>
    </xf>
    <xf numFmtId="186" fontId="14" fillId="0" borderId="0" xfId="0" applyNumberFormat="1" applyFont="1" applyAlignment="1" applyProtection="1">
      <alignment horizontal="center"/>
      <protection hidden="1"/>
    </xf>
    <xf numFmtId="4" fontId="26" fillId="6" borderId="0" xfId="0" applyNumberFormat="1" applyFont="1" applyFill="1" applyAlignment="1" applyProtection="1">
      <alignment horizontal="center"/>
      <protection hidden="1"/>
    </xf>
    <xf numFmtId="0" fontId="19" fillId="0" borderId="0" xfId="0" quotePrefix="1" applyFont="1" applyAlignment="1" applyProtection="1">
      <alignment horizontal="center"/>
      <protection hidden="1"/>
    </xf>
    <xf numFmtId="0" fontId="5" fillId="0" borderId="0" xfId="0" applyFont="1" applyAlignment="1" applyProtection="1">
      <alignment horizontal="center" vertical="center"/>
      <protection hidden="1"/>
    </xf>
    <xf numFmtId="17" fontId="4" fillId="0" borderId="0" xfId="0" applyNumberFormat="1" applyFont="1" applyAlignment="1" applyProtection="1">
      <alignment horizontal="center"/>
      <protection hidden="1"/>
    </xf>
    <xf numFmtId="0" fontId="14" fillId="0" borderId="4" xfId="0" applyFont="1" applyBorder="1" applyAlignment="1" applyProtection="1">
      <alignment horizontal="center" vertical="center"/>
      <protection hidden="1"/>
    </xf>
    <xf numFmtId="0" fontId="5" fillId="0" borderId="1" xfId="0" applyFont="1" applyBorder="1" applyAlignment="1" applyProtection="1">
      <alignment horizontal="center" vertical="center"/>
      <protection locked="0"/>
    </xf>
    <xf numFmtId="3" fontId="14" fillId="0" borderId="1" xfId="0" applyNumberFormat="1" applyFont="1" applyBorder="1" applyAlignment="1" applyProtection="1">
      <alignment horizontal="right"/>
      <protection hidden="1"/>
    </xf>
    <xf numFmtId="183" fontId="5" fillId="2" borderId="1" xfId="0" applyNumberFormat="1" applyFont="1" applyFill="1" applyBorder="1" applyAlignment="1" applyProtection="1">
      <alignment horizontal="center"/>
      <protection locked="0" hidden="1"/>
    </xf>
    <xf numFmtId="0" fontId="14" fillId="0" borderId="5" xfId="0" applyFont="1" applyBorder="1" applyAlignment="1" applyProtection="1">
      <alignment horizontal="right" vertical="center"/>
      <protection hidden="1"/>
    </xf>
    <xf numFmtId="0" fontId="14" fillId="0" borderId="5" xfId="0" applyFont="1" applyBorder="1" applyAlignment="1" applyProtection="1">
      <alignment horizontal="center" vertical="center"/>
      <protection hidden="1"/>
    </xf>
    <xf numFmtId="4" fontId="25" fillId="6" borderId="5" xfId="0" applyNumberFormat="1" applyFont="1" applyFill="1" applyBorder="1" applyAlignment="1" applyProtection="1">
      <alignment horizontal="center" vertical="center"/>
      <protection locked="0"/>
    </xf>
    <xf numFmtId="164" fontId="14" fillId="0" borderId="2" xfId="0" applyNumberFormat="1" applyFont="1" applyBorder="1" applyAlignment="1" applyProtection="1">
      <alignment horizontal="left" vertical="center"/>
      <protection hidden="1"/>
    </xf>
    <xf numFmtId="0" fontId="14" fillId="0" borderId="2" xfId="0" applyFont="1" applyBorder="1" applyAlignment="1" applyProtection="1">
      <alignment horizontal="center" vertical="center"/>
      <protection hidden="1"/>
    </xf>
    <xf numFmtId="4" fontId="5" fillId="0" borderId="1" xfId="0" applyNumberFormat="1" applyFont="1" applyBorder="1" applyAlignment="1" applyProtection="1">
      <alignment horizontal="center" vertical="center"/>
      <protection hidden="1"/>
    </xf>
    <xf numFmtId="4" fontId="25" fillId="6" borderId="1" xfId="0" applyNumberFormat="1" applyFont="1" applyFill="1" applyBorder="1" applyAlignment="1" applyProtection="1">
      <alignment horizontal="center" vertical="center"/>
      <protection hidden="1"/>
    </xf>
    <xf numFmtId="4" fontId="5" fillId="0" borderId="4" xfId="0" quotePrefix="1" applyNumberFormat="1" applyFont="1" applyBorder="1" applyAlignment="1" applyProtection="1">
      <alignment horizontal="center"/>
      <protection hidden="1"/>
    </xf>
    <xf numFmtId="4" fontId="33" fillId="3" borderId="4" xfId="0" applyNumberFormat="1" applyFont="1" applyFill="1" applyBorder="1" applyAlignment="1" applyProtection="1">
      <alignment horizontal="center"/>
      <protection locked="0" hidden="1"/>
    </xf>
    <xf numFmtId="171" fontId="5" fillId="3" borderId="1" xfId="0" applyNumberFormat="1" applyFont="1" applyFill="1" applyBorder="1" applyAlignment="1" applyProtection="1">
      <alignment horizontal="center"/>
      <protection locked="0"/>
    </xf>
    <xf numFmtId="4" fontId="4" fillId="3" borderId="4" xfId="0" applyNumberFormat="1" applyFont="1" applyFill="1" applyBorder="1" applyAlignment="1" applyProtection="1">
      <alignment horizontal="center"/>
      <protection locked="0" hidden="1"/>
    </xf>
    <xf numFmtId="17" fontId="14" fillId="3" borderId="3" xfId="0" applyNumberFormat="1" applyFont="1" applyFill="1" applyBorder="1" applyAlignment="1" applyProtection="1">
      <alignment horizontal="center"/>
      <protection locked="0"/>
    </xf>
    <xf numFmtId="4" fontId="5" fillId="3" borderId="3" xfId="0" applyNumberFormat="1" applyFont="1" applyFill="1" applyBorder="1" applyAlignment="1" applyProtection="1">
      <alignment horizontal="center"/>
      <protection locked="0" hidden="1"/>
    </xf>
    <xf numFmtId="191" fontId="33" fillId="3" borderId="1" xfId="0" applyNumberFormat="1" applyFont="1" applyFill="1" applyBorder="1" applyAlignment="1" applyProtection="1">
      <alignment horizontal="center"/>
      <protection locked="0" hidden="1"/>
    </xf>
    <xf numFmtId="192" fontId="4" fillId="3" borderId="4" xfId="0" applyNumberFormat="1" applyFont="1" applyFill="1" applyBorder="1" applyAlignment="1" applyProtection="1">
      <alignment horizontal="center"/>
      <protection locked="0" hidden="1"/>
    </xf>
    <xf numFmtId="181" fontId="5" fillId="3" borderId="4" xfId="0" quotePrefix="1" applyNumberFormat="1" applyFont="1" applyFill="1" applyBorder="1" applyAlignment="1" applyProtection="1">
      <alignment horizontal="center"/>
      <protection locked="0"/>
    </xf>
    <xf numFmtId="181" fontId="34" fillId="5" borderId="1" xfId="0" quotePrefix="1" applyNumberFormat="1" applyFont="1" applyFill="1" applyBorder="1" applyAlignment="1" applyProtection="1">
      <alignment horizontal="center"/>
      <protection hidden="1"/>
    </xf>
    <xf numFmtId="14" fontId="24" fillId="6" borderId="0" xfId="0" applyNumberFormat="1" applyFont="1" applyFill="1" applyAlignment="1" applyProtection="1">
      <alignment horizontal="center"/>
      <protection hidden="1"/>
    </xf>
    <xf numFmtId="0" fontId="4" fillId="0" borderId="4" xfId="0" applyFont="1" applyBorder="1" applyAlignment="1" applyProtection="1">
      <alignment horizontal="center" vertical="center"/>
      <protection hidden="1"/>
    </xf>
    <xf numFmtId="17" fontId="14" fillId="0" borderId="5" xfId="0" applyNumberFormat="1" applyFont="1" applyBorder="1" applyAlignment="1" applyProtection="1">
      <alignment horizontal="center"/>
      <protection hidden="1"/>
    </xf>
    <xf numFmtId="4" fontId="4" fillId="0" borderId="5" xfId="0" applyNumberFormat="1" applyFont="1" applyBorder="1" applyAlignment="1" applyProtection="1">
      <alignment horizontal="center"/>
      <protection hidden="1"/>
    </xf>
    <xf numFmtId="4" fontId="24" fillId="6" borderId="5" xfId="0" applyNumberFormat="1" applyFont="1" applyFill="1" applyBorder="1" applyAlignment="1" applyProtection="1">
      <alignment horizontal="center"/>
      <protection hidden="1"/>
    </xf>
    <xf numFmtId="4" fontId="4" fillId="0" borderId="2" xfId="0" applyNumberFormat="1" applyFont="1" applyBorder="1" applyAlignment="1" applyProtection="1">
      <alignment horizontal="center"/>
      <protection hidden="1"/>
    </xf>
    <xf numFmtId="0" fontId="4" fillId="0" borderId="1" xfId="0" applyFont="1" applyBorder="1" applyAlignment="1" applyProtection="1">
      <alignment horizontal="center"/>
      <protection hidden="1"/>
    </xf>
    <xf numFmtId="0" fontId="4" fillId="3" borderId="1" xfId="0" applyFont="1" applyFill="1" applyBorder="1" applyAlignment="1" applyProtection="1">
      <alignment horizontal="center" vertical="center"/>
      <protection locked="0" hidden="1"/>
    </xf>
    <xf numFmtId="14" fontId="4" fillId="3" borderId="1" xfId="0" applyNumberFormat="1" applyFont="1" applyFill="1" applyBorder="1" applyAlignment="1" applyProtection="1">
      <alignment horizontal="center"/>
      <protection locked="0" hidden="1"/>
    </xf>
    <xf numFmtId="4" fontId="4" fillId="3" borderId="1" xfId="0" applyNumberFormat="1" applyFont="1" applyFill="1" applyBorder="1" applyAlignment="1" applyProtection="1">
      <alignment horizontal="center"/>
      <protection locked="0" hidden="1"/>
    </xf>
    <xf numFmtId="4" fontId="4" fillId="3" borderId="1" xfId="0" applyNumberFormat="1" applyFont="1" applyFill="1" applyBorder="1" applyAlignment="1" applyProtection="1">
      <alignment horizontal="center"/>
      <protection locked="0"/>
    </xf>
    <xf numFmtId="4" fontId="24" fillId="6" borderId="1" xfId="0" applyNumberFormat="1" applyFont="1" applyFill="1" applyBorder="1" applyAlignment="1">
      <alignment horizontal="center"/>
    </xf>
    <xf numFmtId="14" fontId="5" fillId="0" borderId="1" xfId="0" applyNumberFormat="1" applyFont="1" applyBorder="1" applyAlignment="1" applyProtection="1">
      <alignment horizontal="center"/>
      <protection hidden="1"/>
    </xf>
    <xf numFmtId="4" fontId="14" fillId="0" borderId="1" xfId="0" applyNumberFormat="1" applyFont="1" applyBorder="1" applyAlignment="1" applyProtection="1">
      <alignment horizontal="center"/>
      <protection hidden="1"/>
    </xf>
    <xf numFmtId="14" fontId="14" fillId="0" borderId="1" xfId="0" applyNumberFormat="1" applyFont="1" applyBorder="1" applyAlignment="1" applyProtection="1">
      <alignment horizontal="center"/>
      <protection hidden="1"/>
    </xf>
    <xf numFmtId="4" fontId="27" fillId="6" borderId="1" xfId="0" applyNumberFormat="1" applyFont="1" applyFill="1" applyBorder="1" applyAlignment="1" applyProtection="1">
      <alignment horizontal="center"/>
      <protection hidden="1"/>
    </xf>
    <xf numFmtId="4" fontId="21" fillId="0" borderId="1" xfId="0" applyNumberFormat="1" applyFont="1" applyBorder="1" applyAlignment="1" applyProtection="1">
      <alignment horizontal="center"/>
      <protection hidden="1"/>
    </xf>
    <xf numFmtId="4" fontId="21" fillId="0" borderId="4" xfId="0" applyNumberFormat="1" applyFont="1" applyBorder="1" applyAlignment="1" applyProtection="1">
      <alignment horizontal="center"/>
      <protection hidden="1"/>
    </xf>
    <xf numFmtId="164" fontId="21" fillId="0" borderId="1" xfId="0" applyNumberFormat="1" applyFont="1" applyBorder="1" applyAlignment="1" applyProtection="1">
      <alignment horizontal="center"/>
      <protection hidden="1"/>
    </xf>
    <xf numFmtId="4" fontId="14" fillId="0" borderId="0" xfId="0" applyNumberFormat="1" applyFont="1" applyAlignment="1" applyProtection="1">
      <alignment horizontal="center"/>
      <protection hidden="1"/>
    </xf>
    <xf numFmtId="0" fontId="5" fillId="0" borderId="5" xfId="0" applyFont="1" applyBorder="1" applyAlignment="1" applyProtection="1">
      <alignment horizontal="center" vertical="center"/>
      <protection locked="0"/>
    </xf>
    <xf numFmtId="3" fontId="14" fillId="0" borderId="8" xfId="0" applyNumberFormat="1" applyFont="1" applyBorder="1" applyAlignment="1" applyProtection="1">
      <alignment horizontal="right"/>
      <protection hidden="1"/>
    </xf>
    <xf numFmtId="183" fontId="5" fillId="2" borderId="4" xfId="0" applyNumberFormat="1" applyFont="1" applyFill="1" applyBorder="1" applyAlignment="1" applyProtection="1">
      <alignment horizontal="center"/>
      <protection locked="0" hidden="1"/>
    </xf>
    <xf numFmtId="0" fontId="27" fillId="6" borderId="5" xfId="0" applyFont="1" applyFill="1" applyBorder="1" applyAlignment="1" applyProtection="1">
      <alignment horizontal="center" vertical="center"/>
      <protection hidden="1"/>
    </xf>
    <xf numFmtId="164" fontId="14" fillId="0" borderId="5" xfId="0" applyNumberFormat="1" applyFont="1" applyBorder="1" applyAlignment="1" applyProtection="1">
      <alignment horizontal="left" vertical="center"/>
      <protection hidden="1"/>
    </xf>
    <xf numFmtId="0" fontId="14" fillId="0" borderId="8" xfId="0" applyFont="1" applyBorder="1" applyAlignment="1" applyProtection="1">
      <alignment horizontal="center" vertical="center"/>
      <protection hidden="1"/>
    </xf>
    <xf numFmtId="4" fontId="25" fillId="6" borderId="1" xfId="0" applyNumberFormat="1" applyFont="1" applyFill="1" applyBorder="1" applyAlignment="1" applyProtection="1">
      <alignment horizontal="center"/>
      <protection hidden="1"/>
    </xf>
    <xf numFmtId="0" fontId="4" fillId="0" borderId="1" xfId="0" applyFont="1" applyBorder="1" applyAlignment="1" applyProtection="1">
      <alignment horizontal="center" vertical="center"/>
      <protection hidden="1"/>
    </xf>
    <xf numFmtId="17" fontId="14" fillId="0" borderId="1" xfId="0" applyNumberFormat="1" applyFont="1" applyBorder="1" applyAlignment="1" applyProtection="1">
      <alignment horizontal="center"/>
      <protection hidden="1"/>
    </xf>
    <xf numFmtId="4" fontId="5" fillId="0" borderId="3" xfId="0" applyNumberFormat="1" applyFont="1" applyBorder="1" applyAlignment="1" applyProtection="1">
      <alignment horizontal="center"/>
      <protection hidden="1"/>
    </xf>
    <xf numFmtId="4" fontId="25" fillId="6" borderId="3" xfId="0" applyNumberFormat="1" applyFont="1" applyFill="1" applyBorder="1" applyAlignment="1" applyProtection="1">
      <alignment horizontal="center"/>
      <protection hidden="1"/>
    </xf>
    <xf numFmtId="181" fontId="34" fillId="5" borderId="4" xfId="0" quotePrefix="1" applyNumberFormat="1" applyFont="1" applyFill="1" applyBorder="1" applyAlignment="1" applyProtection="1">
      <alignment horizontal="center"/>
      <protection hidden="1"/>
    </xf>
    <xf numFmtId="0" fontId="4" fillId="3" borderId="1" xfId="0" applyFont="1" applyFill="1" applyBorder="1" applyAlignment="1" applyProtection="1">
      <alignment horizontal="center" vertical="center"/>
      <protection locked="0"/>
    </xf>
    <xf numFmtId="14" fontId="4" fillId="3" borderId="1" xfId="0" applyNumberFormat="1" applyFont="1" applyFill="1" applyBorder="1" applyAlignment="1" applyProtection="1">
      <alignment horizontal="center"/>
      <protection locked="0"/>
    </xf>
    <xf numFmtId="14" fontId="4" fillId="0" borderId="1" xfId="0" applyNumberFormat="1" applyFont="1" applyBorder="1" applyAlignment="1" applyProtection="1">
      <alignment horizontal="center"/>
      <protection locked="0"/>
    </xf>
    <xf numFmtId="4" fontId="4" fillId="0" borderId="1" xfId="0" applyNumberFormat="1" applyFont="1" applyBorder="1" applyAlignment="1" applyProtection="1">
      <alignment horizontal="center"/>
      <protection locked="0"/>
    </xf>
    <xf numFmtId="4" fontId="24" fillId="6" borderId="1" xfId="0" applyNumberFormat="1" applyFont="1" applyFill="1" applyBorder="1" applyAlignment="1" applyProtection="1">
      <alignment horizontal="center"/>
      <protection locked="0"/>
    </xf>
    <xf numFmtId="4" fontId="4" fillId="0" borderId="1" xfId="0" applyNumberFormat="1" applyFont="1" applyBorder="1" applyAlignment="1">
      <alignment horizontal="center"/>
    </xf>
    <xf numFmtId="168" fontId="4" fillId="0" borderId="1" xfId="0" applyNumberFormat="1" applyFont="1" applyBorder="1" applyAlignment="1" applyProtection="1">
      <alignment horizontal="center" vertical="center"/>
      <protection hidden="1"/>
    </xf>
    <xf numFmtId="14" fontId="4" fillId="0" borderId="0" xfId="0" applyNumberFormat="1" applyFont="1" applyAlignment="1" applyProtection="1">
      <alignment horizontal="center"/>
      <protection locked="0" hidden="1"/>
    </xf>
    <xf numFmtId="4" fontId="4" fillId="0" borderId="0" xfId="0" applyNumberFormat="1" applyFont="1" applyAlignment="1" applyProtection="1">
      <alignment horizontal="center"/>
      <protection locked="0" hidden="1"/>
    </xf>
    <xf numFmtId="164" fontId="24" fillId="6" borderId="0" xfId="0" applyNumberFormat="1" applyFont="1" applyFill="1" applyAlignment="1" applyProtection="1">
      <alignment horizontal="center"/>
      <protection hidden="1"/>
    </xf>
    <xf numFmtId="169" fontId="4" fillId="0" borderId="0" xfId="0" applyNumberFormat="1" applyFont="1" applyAlignment="1" applyProtection="1">
      <alignment horizontal="center" vertical="center"/>
      <protection hidden="1"/>
    </xf>
    <xf numFmtId="0" fontId="14" fillId="0" borderId="1" xfId="0" applyFont="1" applyBorder="1" applyAlignment="1" applyProtection="1">
      <alignment horizontal="center" vertical="center"/>
      <protection hidden="1"/>
    </xf>
    <xf numFmtId="0" fontId="27" fillId="6" borderId="1" xfId="0" applyFont="1" applyFill="1" applyBorder="1" applyAlignment="1" applyProtection="1">
      <alignment horizontal="center" vertical="center"/>
      <protection hidden="1"/>
    </xf>
    <xf numFmtId="164" fontId="14" fillId="0" borderId="1" xfId="0" applyNumberFormat="1" applyFont="1" applyBorder="1" applyAlignment="1" applyProtection="1">
      <alignment horizontal="left" vertical="center"/>
      <protection hidden="1"/>
    </xf>
    <xf numFmtId="4" fontId="24" fillId="6" borderId="1" xfId="0" applyNumberFormat="1" applyFont="1" applyFill="1" applyBorder="1" applyAlignment="1" applyProtection="1">
      <alignment horizontal="center"/>
      <protection hidden="1"/>
    </xf>
    <xf numFmtId="164" fontId="5" fillId="0" borderId="1" xfId="0" applyNumberFormat="1" applyFont="1" applyBorder="1" applyAlignment="1" applyProtection="1">
      <alignment horizontal="center" vertical="center"/>
      <protection hidden="1"/>
    </xf>
    <xf numFmtId="4" fontId="5" fillId="0" borderId="1" xfId="0" applyNumberFormat="1" applyFont="1" applyBorder="1" applyAlignment="1" applyProtection="1">
      <alignment horizontal="center"/>
      <protection locked="0" hidden="1"/>
    </xf>
    <xf numFmtId="4" fontId="4" fillId="0" borderId="1" xfId="0" applyNumberFormat="1" applyFont="1" applyBorder="1" applyAlignment="1" applyProtection="1">
      <alignment horizontal="center"/>
      <protection locked="0" hidden="1"/>
    </xf>
    <xf numFmtId="4" fontId="24" fillId="6" borderId="1" xfId="0" applyNumberFormat="1" applyFont="1" applyFill="1" applyBorder="1" applyAlignment="1" applyProtection="1">
      <alignment horizontal="center"/>
      <protection locked="0" hidden="1"/>
    </xf>
    <xf numFmtId="0" fontId="17" fillId="0" borderId="1" xfId="0" applyFont="1" applyBorder="1" applyAlignment="1" applyProtection="1">
      <alignment horizontal="center"/>
      <protection hidden="1"/>
    </xf>
    <xf numFmtId="49" fontId="10" fillId="0" borderId="0" xfId="0" applyNumberFormat="1" applyFont="1" applyAlignment="1" applyProtection="1">
      <alignment horizontal="center"/>
      <protection hidden="1"/>
    </xf>
    <xf numFmtId="4" fontId="10" fillId="0" borderId="0" xfId="0" applyNumberFormat="1" applyFont="1" applyProtection="1">
      <protection hidden="1"/>
    </xf>
    <xf numFmtId="168" fontId="10" fillId="0" borderId="0" xfId="0" applyNumberFormat="1" applyFont="1" applyAlignment="1" applyProtection="1">
      <alignment horizontal="center"/>
      <protection hidden="1"/>
    </xf>
    <xf numFmtId="164" fontId="10" fillId="0" borderId="0" xfId="7" applyNumberFormat="1" applyFont="1" applyFill="1" applyAlignment="1" applyProtection="1">
      <alignment horizontal="center"/>
      <protection hidden="1"/>
    </xf>
    <xf numFmtId="164" fontId="10" fillId="0" borderId="0" xfId="7" applyNumberFormat="1" applyFont="1" applyFill="1" applyAlignment="1" applyProtection="1">
      <alignment horizontal="right"/>
      <protection hidden="1"/>
    </xf>
    <xf numFmtId="1" fontId="5" fillId="0" borderId="0" xfId="0" applyNumberFormat="1" applyFont="1" applyAlignment="1" applyProtection="1">
      <alignment horizontal="center"/>
      <protection hidden="1"/>
    </xf>
    <xf numFmtId="0" fontId="10" fillId="0" borderId="0" xfId="0" applyFont="1" applyAlignment="1" applyProtection="1">
      <alignment horizontal="center"/>
      <protection hidden="1"/>
    </xf>
    <xf numFmtId="0" fontId="6" fillId="0" borderId="1" xfId="0" applyFont="1" applyBorder="1" applyProtection="1">
      <protection hidden="1"/>
    </xf>
    <xf numFmtId="0" fontId="27" fillId="6" borderId="4" xfId="0" applyFont="1" applyFill="1" applyBorder="1" applyAlignment="1" applyProtection="1">
      <alignment horizontal="center" vertical="center"/>
      <protection hidden="1"/>
    </xf>
    <xf numFmtId="0" fontId="14" fillId="0" borderId="3" xfId="0" applyFont="1" applyBorder="1" applyAlignment="1" applyProtection="1">
      <alignment horizontal="center"/>
      <protection hidden="1"/>
    </xf>
    <xf numFmtId="0" fontId="6" fillId="0" borderId="0" xfId="0" applyFont="1" applyAlignment="1" applyProtection="1">
      <alignment horizontal="center"/>
      <protection hidden="1"/>
    </xf>
    <xf numFmtId="0" fontId="6" fillId="0" borderId="0" xfId="0" applyFont="1" applyProtection="1">
      <protection hidden="1"/>
    </xf>
    <xf numFmtId="49" fontId="37" fillId="0" borderId="4" xfId="0" applyNumberFormat="1" applyFont="1" applyBorder="1" applyAlignment="1" applyProtection="1">
      <alignment vertical="center"/>
      <protection hidden="1"/>
    </xf>
    <xf numFmtId="0" fontId="14" fillId="0" borderId="4" xfId="0" applyFont="1" applyBorder="1" applyAlignment="1" applyProtection="1">
      <alignment horizontal="right" vertical="center"/>
      <protection hidden="1"/>
    </xf>
    <xf numFmtId="0" fontId="4" fillId="0" borderId="1" xfId="0" applyFont="1" applyBorder="1" applyProtection="1">
      <protection hidden="1"/>
    </xf>
    <xf numFmtId="0" fontId="14" fillId="0" borderId="1" xfId="0" applyFont="1" applyBorder="1" applyAlignment="1" applyProtection="1">
      <alignment horizontal="right"/>
      <protection hidden="1"/>
    </xf>
    <xf numFmtId="0" fontId="5" fillId="3" borderId="1" xfId="0" applyFont="1" applyFill="1" applyBorder="1" applyAlignment="1" applyProtection="1">
      <alignment horizontal="center"/>
      <protection locked="0" hidden="1"/>
    </xf>
    <xf numFmtId="164" fontId="14" fillId="0" borderId="9" xfId="0" applyNumberFormat="1" applyFont="1" applyBorder="1" applyAlignment="1" applyProtection="1">
      <alignment horizontal="center" vertical="center"/>
      <protection hidden="1"/>
    </xf>
    <xf numFmtId="0" fontId="37" fillId="0" borderId="8" xfId="0" applyFont="1" applyBorder="1" applyAlignment="1" applyProtection="1">
      <alignment horizontal="center" vertical="center"/>
      <protection hidden="1"/>
    </xf>
    <xf numFmtId="0" fontId="24" fillId="6" borderId="1" xfId="0" applyFont="1" applyFill="1" applyBorder="1" applyAlignment="1" applyProtection="1">
      <alignment horizontal="center" vertical="center"/>
      <protection hidden="1"/>
    </xf>
    <xf numFmtId="49" fontId="5" fillId="0" borderId="1" xfId="0" applyNumberFormat="1" applyFont="1" applyBorder="1" applyAlignment="1" applyProtection="1">
      <alignment horizontal="center"/>
      <protection hidden="1"/>
    </xf>
    <xf numFmtId="49" fontId="4" fillId="0" borderId="1" xfId="0" applyNumberFormat="1" applyFont="1" applyBorder="1" applyAlignment="1" applyProtection="1">
      <alignment horizontal="center"/>
      <protection hidden="1"/>
    </xf>
    <xf numFmtId="49" fontId="4" fillId="0" borderId="1" xfId="0" applyNumberFormat="1" applyFont="1" applyBorder="1" applyAlignment="1" applyProtection="1">
      <alignment horizontal="center" vertical="center"/>
      <protection hidden="1"/>
    </xf>
    <xf numFmtId="0" fontId="4" fillId="0" borderId="1" xfId="0" applyFont="1" applyBorder="1" applyAlignment="1" applyProtection="1">
      <alignment horizontal="right"/>
      <protection hidden="1"/>
    </xf>
    <xf numFmtId="4" fontId="6" fillId="0" borderId="1" xfId="0" applyNumberFormat="1" applyFont="1" applyBorder="1" applyAlignment="1" applyProtection="1">
      <alignment horizontal="center"/>
      <protection hidden="1"/>
    </xf>
    <xf numFmtId="0" fontId="10" fillId="0" borderId="1" xfId="0" applyFont="1" applyBorder="1" applyAlignment="1" applyProtection="1">
      <alignment horizontal="center"/>
      <protection hidden="1"/>
    </xf>
    <xf numFmtId="0" fontId="4" fillId="0" borderId="8" xfId="0" applyFont="1" applyBorder="1" applyProtection="1">
      <protection hidden="1"/>
    </xf>
    <xf numFmtId="4" fontId="38" fillId="0" borderId="1" xfId="0" applyNumberFormat="1" applyFont="1" applyBorder="1" applyAlignment="1" applyProtection="1">
      <alignment horizontal="center"/>
      <protection hidden="1"/>
    </xf>
    <xf numFmtId="49" fontId="4" fillId="3" borderId="9" xfId="0" applyNumberFormat="1" applyFont="1" applyFill="1" applyBorder="1" applyAlignment="1" applyProtection="1">
      <alignment horizontal="center" vertical="center"/>
      <protection locked="0"/>
    </xf>
    <xf numFmtId="168" fontId="4" fillId="0" borderId="0" xfId="0" applyNumberFormat="1" applyFont="1" applyAlignment="1" applyProtection="1">
      <alignment horizontal="center"/>
      <protection hidden="1"/>
    </xf>
    <xf numFmtId="168" fontId="24" fillId="6" borderId="0" xfId="0" applyNumberFormat="1" applyFont="1" applyFill="1" applyAlignment="1" applyProtection="1">
      <alignment horizontal="center"/>
      <protection hidden="1"/>
    </xf>
    <xf numFmtId="164" fontId="4" fillId="0" borderId="0" xfId="7" applyNumberFormat="1" applyFont="1" applyFill="1" applyAlignment="1" applyProtection="1">
      <alignment horizontal="center"/>
      <protection hidden="1"/>
    </xf>
    <xf numFmtId="0" fontId="14" fillId="0" borderId="12" xfId="0" applyFont="1" applyBorder="1" applyAlignment="1" applyProtection="1">
      <alignment horizontal="center" vertical="center"/>
      <protection hidden="1"/>
    </xf>
    <xf numFmtId="193" fontId="4" fillId="3" borderId="1" xfId="0" applyNumberFormat="1" applyFont="1" applyFill="1" applyBorder="1" applyAlignment="1" applyProtection="1">
      <alignment horizontal="center" vertical="center"/>
      <protection locked="0"/>
    </xf>
    <xf numFmtId="14" fontId="4" fillId="3" borderId="3" xfId="0" applyNumberFormat="1" applyFont="1" applyFill="1" applyBorder="1" applyAlignment="1" applyProtection="1">
      <alignment horizontal="center"/>
      <protection locked="0"/>
    </xf>
    <xf numFmtId="194" fontId="4" fillId="3" borderId="1" xfId="0" applyNumberFormat="1" applyFont="1" applyFill="1" applyBorder="1" applyAlignment="1" applyProtection="1">
      <alignment horizontal="center" vertical="center"/>
      <protection locked="0"/>
    </xf>
    <xf numFmtId="195" fontId="4" fillId="0" borderId="1" xfId="0" applyNumberFormat="1" applyFont="1" applyBorder="1" applyAlignment="1" applyProtection="1">
      <alignment horizontal="center"/>
      <protection hidden="1"/>
    </xf>
    <xf numFmtId="0" fontId="39" fillId="0" borderId="1" xfId="0" applyFont="1" applyBorder="1" applyAlignment="1" applyProtection="1">
      <alignment horizontal="center"/>
      <protection hidden="1"/>
    </xf>
    <xf numFmtId="0" fontId="4" fillId="3" borderId="9" xfId="0" applyFont="1" applyFill="1" applyBorder="1" applyAlignment="1" applyProtection="1">
      <alignment horizontal="center" vertical="center"/>
      <protection locked="0"/>
    </xf>
    <xf numFmtId="170" fontId="4" fillId="3" borderId="1" xfId="0" applyNumberFormat="1" applyFont="1" applyFill="1" applyBorder="1" applyAlignment="1" applyProtection="1">
      <alignment horizontal="center"/>
      <protection locked="0"/>
    </xf>
    <xf numFmtId="4" fontId="27" fillId="6" borderId="0" xfId="0" applyNumberFormat="1" applyFont="1" applyFill="1" applyAlignment="1" applyProtection="1">
      <alignment horizontal="center"/>
      <protection hidden="1"/>
    </xf>
    <xf numFmtId="0" fontId="14" fillId="0" borderId="10" xfId="0" applyFont="1" applyBorder="1" applyAlignment="1" applyProtection="1">
      <alignment horizontal="center" vertical="center"/>
      <protection hidden="1"/>
    </xf>
    <xf numFmtId="0" fontId="27" fillId="6" borderId="10" xfId="0" applyFont="1" applyFill="1" applyBorder="1" applyAlignment="1" applyProtection="1">
      <alignment horizontal="center" vertical="center"/>
      <protection hidden="1"/>
    </xf>
    <xf numFmtId="4" fontId="4" fillId="0" borderId="8" xfId="0" applyNumberFormat="1" applyFont="1" applyBorder="1" applyAlignment="1" applyProtection="1">
      <alignment horizontal="center"/>
      <protection hidden="1"/>
    </xf>
    <xf numFmtId="4" fontId="24" fillId="6" borderId="0" xfId="0" applyNumberFormat="1" applyFont="1" applyFill="1" applyAlignment="1" applyProtection="1">
      <alignment horizontal="center"/>
      <protection locked="0"/>
    </xf>
    <xf numFmtId="4" fontId="21" fillId="0" borderId="0" xfId="0" applyNumberFormat="1" applyFont="1" applyAlignment="1" applyProtection="1">
      <alignment horizontal="center"/>
      <protection hidden="1"/>
    </xf>
    <xf numFmtId="4" fontId="5" fillId="0" borderId="0" xfId="0" applyNumberFormat="1" applyFont="1" applyAlignment="1" applyProtection="1">
      <alignment horizontal="center"/>
      <protection locked="0" hidden="1"/>
    </xf>
    <xf numFmtId="168" fontId="4" fillId="0" borderId="0" xfId="0" applyNumberFormat="1" applyFont="1" applyAlignment="1" applyProtection="1">
      <alignment horizontal="center" vertical="center"/>
      <protection hidden="1"/>
    </xf>
    <xf numFmtId="4" fontId="24" fillId="6" borderId="0" xfId="0" applyNumberFormat="1" applyFont="1" applyFill="1" applyAlignment="1" applyProtection="1">
      <alignment horizontal="center"/>
      <protection locked="0" hidden="1"/>
    </xf>
    <xf numFmtId="0" fontId="4" fillId="3" borderId="11" xfId="0" applyFont="1" applyFill="1" applyBorder="1" applyAlignment="1" applyProtection="1">
      <alignment horizontal="center"/>
      <protection locked="0" hidden="1"/>
    </xf>
    <xf numFmtId="0" fontId="4" fillId="3" borderId="0" xfId="0" applyFont="1" applyFill="1" applyAlignment="1" applyProtection="1">
      <alignment horizontal="center"/>
      <protection locked="0" hidden="1"/>
    </xf>
    <xf numFmtId="0" fontId="24" fillId="6" borderId="0" xfId="0" applyFont="1" applyFill="1" applyAlignment="1" applyProtection="1">
      <alignment horizontal="center"/>
      <protection locked="0" hidden="1"/>
    </xf>
    <xf numFmtId="169" fontId="14" fillId="3" borderId="0" xfId="0" applyNumberFormat="1" applyFont="1" applyFill="1" applyAlignment="1" applyProtection="1">
      <alignment horizontal="center" vertical="center"/>
      <protection locked="0" hidden="1"/>
    </xf>
    <xf numFmtId="1" fontId="4" fillId="0" borderId="0" xfId="0" applyNumberFormat="1" applyFont="1" applyAlignment="1" applyProtection="1">
      <alignment horizontal="center"/>
      <protection hidden="1"/>
    </xf>
    <xf numFmtId="4" fontId="21" fillId="3" borderId="0" xfId="0" applyNumberFormat="1" applyFont="1" applyFill="1" applyAlignment="1" applyProtection="1">
      <alignment horizontal="center"/>
      <protection locked="0" hidden="1"/>
    </xf>
    <xf numFmtId="4" fontId="4" fillId="0" borderId="19"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169" fontId="4" fillId="0" borderId="0" xfId="0" applyNumberFormat="1" applyFont="1" applyAlignment="1" applyProtection="1">
      <alignment horizontal="center"/>
      <protection hidden="1"/>
    </xf>
    <xf numFmtId="4" fontId="14" fillId="0" borderId="0" xfId="0" quotePrefix="1" applyNumberFormat="1" applyFont="1" applyAlignment="1" applyProtection="1">
      <alignment horizontal="center"/>
      <protection hidden="1"/>
    </xf>
    <xf numFmtId="4" fontId="40" fillId="0" borderId="0" xfId="0" applyNumberFormat="1" applyFont="1" applyAlignment="1" applyProtection="1">
      <alignment horizontal="center"/>
      <protection locked="0" hidden="1"/>
    </xf>
    <xf numFmtId="168" fontId="4" fillId="0" borderId="11" xfId="0" applyNumberFormat="1" applyFont="1" applyBorder="1" applyAlignment="1" applyProtection="1">
      <alignment horizontal="center"/>
      <protection hidden="1"/>
    </xf>
    <xf numFmtId="164" fontId="4" fillId="0" borderId="0" xfId="7" applyNumberFormat="1" applyFont="1" applyFill="1" applyBorder="1" applyAlignment="1" applyProtection="1">
      <alignment horizontal="center"/>
      <protection hidden="1"/>
    </xf>
    <xf numFmtId="164" fontId="24" fillId="6" borderId="0" xfId="7" applyNumberFormat="1" applyFont="1" applyFill="1" applyBorder="1" applyAlignment="1" applyProtection="1">
      <alignment horizontal="center"/>
      <protection hidden="1"/>
    </xf>
    <xf numFmtId="9" fontId="14" fillId="0" borderId="0" xfId="0" quotePrefix="1" applyNumberFormat="1" applyFont="1" applyAlignment="1" applyProtection="1">
      <alignment horizontal="center"/>
      <protection hidden="1"/>
    </xf>
    <xf numFmtId="9" fontId="14" fillId="0" borderId="0" xfId="0" applyNumberFormat="1" applyFont="1" applyAlignment="1" applyProtection="1">
      <alignment horizontal="center"/>
      <protection hidden="1"/>
    </xf>
    <xf numFmtId="9" fontId="5" fillId="0" borderId="0" xfId="0" applyNumberFormat="1" applyFont="1" applyAlignment="1" applyProtection="1">
      <alignment horizontal="center"/>
      <protection hidden="1"/>
    </xf>
    <xf numFmtId="190" fontId="39" fillId="0" borderId="0" xfId="0" applyNumberFormat="1" applyFont="1" applyAlignment="1" applyProtection="1">
      <alignment horizontal="center"/>
      <protection hidden="1"/>
    </xf>
    <xf numFmtId="0" fontId="4" fillId="0" borderId="6" xfId="0" applyFont="1" applyBorder="1" applyAlignment="1" applyProtection="1">
      <alignment horizontal="center"/>
      <protection hidden="1"/>
    </xf>
    <xf numFmtId="0" fontId="4" fillId="0" borderId="2" xfId="0" applyFont="1" applyBorder="1" applyAlignment="1" applyProtection="1">
      <alignment horizontal="center"/>
      <protection hidden="1"/>
    </xf>
    <xf numFmtId="164" fontId="24" fillId="6" borderId="2" xfId="0" applyNumberFormat="1" applyFont="1" applyFill="1" applyBorder="1" applyAlignment="1" applyProtection="1">
      <alignment horizontal="center"/>
      <protection hidden="1"/>
    </xf>
    <xf numFmtId="9" fontId="21" fillId="0" borderId="2" xfId="0" applyNumberFormat="1" applyFont="1" applyBorder="1" applyAlignment="1" applyProtection="1">
      <alignment horizontal="right"/>
      <protection hidden="1"/>
    </xf>
    <xf numFmtId="166" fontId="5" fillId="0" borderId="2" xfId="0" applyNumberFormat="1" applyFont="1" applyBorder="1" applyAlignment="1" applyProtection="1">
      <alignment horizontal="center"/>
      <protection hidden="1"/>
    </xf>
    <xf numFmtId="9" fontId="21" fillId="0" borderId="0" xfId="0" applyNumberFormat="1" applyFont="1" applyAlignment="1" applyProtection="1">
      <alignment horizontal="center"/>
      <protection hidden="1"/>
    </xf>
    <xf numFmtId="0" fontId="21" fillId="0" borderId="0" xfId="0" applyFont="1" applyAlignment="1" applyProtection="1">
      <alignment horizontal="center"/>
      <protection hidden="1"/>
    </xf>
    <xf numFmtId="10" fontId="21" fillId="0" borderId="0" xfId="0" applyNumberFormat="1" applyFont="1" applyAlignment="1" applyProtection="1">
      <alignment horizontal="center" vertical="center"/>
      <protection hidden="1"/>
    </xf>
    <xf numFmtId="0" fontId="4" fillId="0" borderId="7" xfId="0" applyFont="1" applyBorder="1" applyAlignment="1" applyProtection="1">
      <alignment horizontal="center"/>
      <protection hidden="1"/>
    </xf>
    <xf numFmtId="4" fontId="4" fillId="0" borderId="10" xfId="0" applyNumberFormat="1" applyFont="1" applyBorder="1" applyAlignment="1" applyProtection="1">
      <alignment horizontal="center"/>
      <protection hidden="1"/>
    </xf>
    <xf numFmtId="0" fontId="4" fillId="0" borderId="10" xfId="0" applyFont="1" applyBorder="1" applyAlignment="1" applyProtection="1">
      <alignment horizontal="center"/>
      <protection hidden="1"/>
    </xf>
    <xf numFmtId="0" fontId="24" fillId="6" borderId="10" xfId="0" applyFont="1" applyFill="1" applyBorder="1" applyAlignment="1" applyProtection="1">
      <alignment horizontal="center"/>
      <protection hidden="1"/>
    </xf>
    <xf numFmtId="9" fontId="21" fillId="0" borderId="10" xfId="0" applyNumberFormat="1" applyFont="1" applyBorder="1" applyAlignment="1" applyProtection="1">
      <alignment horizontal="center"/>
      <protection hidden="1"/>
    </xf>
    <xf numFmtId="164" fontId="21" fillId="0" borderId="13" xfId="0" applyNumberFormat="1" applyFont="1" applyBorder="1" applyAlignment="1" applyProtection="1">
      <alignment horizontal="center"/>
      <protection hidden="1"/>
    </xf>
    <xf numFmtId="49" fontId="4" fillId="0" borderId="0" xfId="0" applyNumberFormat="1" applyFont="1" applyAlignment="1" applyProtection="1">
      <alignment horizontal="center"/>
      <protection hidden="1"/>
    </xf>
    <xf numFmtId="169" fontId="14" fillId="0" borderId="0" xfId="0" applyNumberFormat="1" applyFont="1" applyAlignment="1" applyProtection="1">
      <alignment horizontal="right" vertical="center"/>
      <protection hidden="1"/>
    </xf>
    <xf numFmtId="10" fontId="21" fillId="3" borderId="0" xfId="0" applyNumberFormat="1" applyFont="1" applyFill="1" applyAlignment="1" applyProtection="1">
      <alignment horizontal="center" vertical="center"/>
      <protection locked="0"/>
    </xf>
    <xf numFmtId="164" fontId="4" fillId="0" borderId="19" xfId="0" applyNumberFormat="1" applyFont="1" applyBorder="1" applyAlignment="1" applyProtection="1">
      <alignment horizontal="center"/>
      <protection hidden="1"/>
    </xf>
    <xf numFmtId="49" fontId="4" fillId="0" borderId="2" xfId="0" applyNumberFormat="1" applyFont="1" applyBorder="1" applyAlignment="1" applyProtection="1">
      <alignment horizontal="center"/>
      <protection hidden="1"/>
    </xf>
    <xf numFmtId="0" fontId="24" fillId="6" borderId="2" xfId="0" applyFont="1" applyFill="1" applyBorder="1" applyAlignment="1" applyProtection="1">
      <alignment horizontal="center"/>
      <protection hidden="1"/>
    </xf>
    <xf numFmtId="10" fontId="21" fillId="0" borderId="2" xfId="0" applyNumberFormat="1" applyFont="1" applyBorder="1" applyAlignment="1" applyProtection="1">
      <alignment horizontal="right" vertical="center"/>
      <protection hidden="1"/>
    </xf>
    <xf numFmtId="166" fontId="5" fillId="0" borderId="2" xfId="0" applyNumberFormat="1" applyFont="1" applyBorder="1" applyAlignment="1" applyProtection="1">
      <alignment horizontal="center" vertical="center"/>
      <protection hidden="1"/>
    </xf>
    <xf numFmtId="4" fontId="5" fillId="0" borderId="5" xfId="0" applyNumberFormat="1" applyFont="1" applyBorder="1" applyAlignment="1" applyProtection="1">
      <alignment horizontal="center" vertical="center"/>
      <protection hidden="1"/>
    </xf>
    <xf numFmtId="9" fontId="5" fillId="0" borderId="2" xfId="0" applyNumberFormat="1" applyFont="1" applyBorder="1" applyAlignment="1" applyProtection="1">
      <alignment horizontal="center"/>
      <protection hidden="1"/>
    </xf>
    <xf numFmtId="164" fontId="4" fillId="0" borderId="12" xfId="0" applyNumberFormat="1" applyFont="1" applyBorder="1" applyAlignment="1" applyProtection="1">
      <alignment horizontal="center"/>
      <protection hidden="1"/>
    </xf>
    <xf numFmtId="49" fontId="4" fillId="0" borderId="0" xfId="0" applyNumberFormat="1" applyFont="1" applyAlignment="1">
      <alignment horizontal="center"/>
    </xf>
    <xf numFmtId="166" fontId="5" fillId="0" borderId="0" xfId="0" applyNumberFormat="1" applyFont="1" applyAlignment="1" applyProtection="1">
      <alignment horizontal="center" vertical="center"/>
      <protection hidden="1"/>
    </xf>
    <xf numFmtId="4" fontId="5" fillId="0" borderId="0" xfId="0" applyNumberFormat="1" applyFont="1" applyAlignment="1" applyProtection="1">
      <alignment horizontal="center" vertical="center"/>
      <protection hidden="1"/>
    </xf>
    <xf numFmtId="9" fontId="5" fillId="0" borderId="0" xfId="0" applyNumberFormat="1" applyFont="1" applyAlignment="1" applyProtection="1">
      <alignment horizontal="center"/>
      <protection locked="0"/>
    </xf>
    <xf numFmtId="49" fontId="4" fillId="0" borderId="10" xfId="0" applyNumberFormat="1" applyFont="1" applyBorder="1" applyAlignment="1" applyProtection="1">
      <alignment horizontal="center"/>
      <protection hidden="1"/>
    </xf>
    <xf numFmtId="169" fontId="14" fillId="0" borderId="10" xfId="0" applyNumberFormat="1" applyFont="1" applyBorder="1" applyAlignment="1" applyProtection="1">
      <alignment horizontal="right" vertical="center"/>
      <protection hidden="1"/>
    </xf>
    <xf numFmtId="10" fontId="21" fillId="3" borderId="10" xfId="0" applyNumberFormat="1" applyFont="1" applyFill="1" applyBorder="1" applyAlignment="1" applyProtection="1">
      <alignment horizontal="center" vertical="center"/>
      <protection locked="0"/>
    </xf>
    <xf numFmtId="49" fontId="24" fillId="6" borderId="0" xfId="0" applyNumberFormat="1" applyFont="1" applyFill="1" applyAlignment="1">
      <alignment horizontal="center"/>
    </xf>
    <xf numFmtId="10" fontId="21" fillId="0" borderId="0" xfId="0" applyNumberFormat="1" applyFont="1" applyAlignment="1" applyProtection="1">
      <alignment horizontal="right" vertical="center"/>
      <protection hidden="1"/>
    </xf>
    <xf numFmtId="0" fontId="21" fillId="0" borderId="0" xfId="0" applyFont="1" applyAlignment="1" applyProtection="1">
      <alignment horizontal="right"/>
      <protection hidden="1"/>
    </xf>
    <xf numFmtId="0" fontId="14" fillId="0" borderId="0" xfId="0" quotePrefix="1" applyFont="1" applyAlignment="1" applyProtection="1">
      <alignment horizontal="left"/>
      <protection hidden="1"/>
    </xf>
    <xf numFmtId="0" fontId="18" fillId="0" borderId="0" xfId="0" applyFont="1" applyAlignment="1">
      <alignment horizontal="right"/>
    </xf>
    <xf numFmtId="14" fontId="5" fillId="3" borderId="1" xfId="0" applyNumberFormat="1" applyFont="1" applyFill="1" applyBorder="1" applyAlignment="1" applyProtection="1">
      <alignment horizontal="center"/>
      <protection locked="0" hidden="1"/>
    </xf>
    <xf numFmtId="0" fontId="21" fillId="0" borderId="5" xfId="0" applyFont="1" applyBorder="1" applyAlignment="1" applyProtection="1">
      <alignment horizontal="right" vertical="center"/>
      <protection hidden="1"/>
    </xf>
    <xf numFmtId="9" fontId="5" fillId="3" borderId="1" xfId="0" applyNumberFormat="1" applyFont="1" applyFill="1" applyBorder="1" applyAlignment="1" applyProtection="1">
      <alignment horizontal="center" vertical="center"/>
      <protection locked="0"/>
    </xf>
    <xf numFmtId="0" fontId="25" fillId="6" borderId="1" xfId="0" quotePrefix="1" applyFont="1" applyFill="1" applyBorder="1" applyAlignment="1" applyProtection="1">
      <alignment horizontal="center"/>
      <protection hidden="1"/>
    </xf>
    <xf numFmtId="164" fontId="5" fillId="0" borderId="4" xfId="0" applyNumberFormat="1" applyFont="1" applyBorder="1" applyAlignment="1" applyProtection="1">
      <alignment horizontal="center"/>
      <protection hidden="1"/>
    </xf>
    <xf numFmtId="197" fontId="5" fillId="0" borderId="1" xfId="0" applyNumberFormat="1" applyFont="1" applyBorder="1" applyAlignment="1" applyProtection="1">
      <alignment horizontal="center"/>
      <protection hidden="1"/>
    </xf>
    <xf numFmtId="164" fontId="4" fillId="0" borderId="4" xfId="0" applyNumberFormat="1" applyFont="1" applyBorder="1" applyAlignment="1" applyProtection="1">
      <alignment horizontal="center"/>
      <protection hidden="1"/>
    </xf>
    <xf numFmtId="0" fontId="27" fillId="6" borderId="1" xfId="0" applyFont="1" applyFill="1" applyBorder="1" applyAlignment="1" applyProtection="1">
      <alignment horizontal="center"/>
      <protection hidden="1"/>
    </xf>
    <xf numFmtId="0" fontId="4" fillId="0" borderId="4" xfId="0" applyFont="1" applyBorder="1" applyAlignment="1" applyProtection="1">
      <alignment horizontal="center"/>
      <protection hidden="1"/>
    </xf>
    <xf numFmtId="14" fontId="24" fillId="6" borderId="1" xfId="0" applyNumberFormat="1" applyFont="1" applyFill="1" applyBorder="1" applyAlignment="1" applyProtection="1">
      <alignment horizontal="center"/>
      <protection locked="0" hidden="1"/>
    </xf>
    <xf numFmtId="168" fontId="4" fillId="0" borderId="4" xfId="0" applyNumberFormat="1" applyFont="1" applyBorder="1" applyAlignment="1" applyProtection="1">
      <alignment horizontal="center" vertical="center"/>
      <protection hidden="1"/>
    </xf>
    <xf numFmtId="4" fontId="21" fillId="0" borderId="1" xfId="0" applyNumberFormat="1" applyFont="1" applyBorder="1" applyAlignment="1" applyProtection="1">
      <alignment horizontal="center"/>
      <protection locked="0" hidden="1"/>
    </xf>
    <xf numFmtId="0" fontId="5" fillId="0" borderId="0" xfId="4" applyFont="1" applyAlignment="1" applyProtection="1">
      <alignment horizontal="center"/>
      <protection hidden="1"/>
    </xf>
    <xf numFmtId="4" fontId="5" fillId="0" borderId="0" xfId="4" applyNumberFormat="1" applyFont="1" applyAlignment="1" applyProtection="1">
      <alignment horizontal="center"/>
      <protection hidden="1"/>
    </xf>
    <xf numFmtId="4" fontId="5" fillId="0" borderId="0" xfId="4" applyNumberFormat="1" applyFont="1" applyAlignment="1" applyProtection="1">
      <alignment horizontal="center"/>
      <protection locked="0" hidden="1"/>
    </xf>
    <xf numFmtId="164" fontId="5" fillId="0" borderId="0" xfId="7" applyNumberFormat="1" applyFont="1" applyFill="1" applyBorder="1" applyAlignment="1" applyProtection="1">
      <alignment horizontal="center"/>
      <protection hidden="1"/>
    </xf>
    <xf numFmtId="4" fontId="21" fillId="0" borderId="0" xfId="4" applyNumberFormat="1" applyFont="1" applyAlignment="1" applyProtection="1">
      <alignment horizontal="center"/>
      <protection hidden="1"/>
    </xf>
    <xf numFmtId="0" fontId="4" fillId="6" borderId="0" xfId="4" applyFont="1" applyFill="1" applyAlignment="1" applyProtection="1">
      <alignment horizontal="center"/>
      <protection hidden="1"/>
    </xf>
    <xf numFmtId="168" fontId="4" fillId="0" borderId="0" xfId="4" applyNumberFormat="1" applyFont="1" applyAlignment="1" applyProtection="1">
      <alignment horizontal="center" vertical="center"/>
      <protection hidden="1"/>
    </xf>
    <xf numFmtId="4" fontId="21" fillId="0" borderId="0" xfId="4" applyNumberFormat="1" applyFont="1" applyAlignment="1" applyProtection="1">
      <alignment horizontal="center"/>
      <protection locked="0" hidden="1"/>
    </xf>
    <xf numFmtId="168" fontId="18" fillId="0" borderId="0" xfId="4" applyNumberFormat="1" applyFont="1" applyAlignment="1" applyProtection="1">
      <alignment horizontal="right" vertical="center"/>
      <protection hidden="1"/>
    </xf>
    <xf numFmtId="4" fontId="21" fillId="0" borderId="1" xfId="4" applyNumberFormat="1" applyFont="1" applyBorder="1" applyAlignment="1" applyProtection="1">
      <alignment horizontal="center"/>
      <protection hidden="1"/>
    </xf>
    <xf numFmtId="0" fontId="4" fillId="0" borderId="0" xfId="4" applyFont="1" applyAlignment="1" applyProtection="1">
      <alignment horizontal="center"/>
      <protection hidden="1"/>
    </xf>
    <xf numFmtId="0" fontId="14" fillId="0" borderId="0" xfId="0" applyFont="1" applyAlignment="1" applyProtection="1">
      <alignment horizontal="right" vertical="center"/>
      <protection hidden="1"/>
    </xf>
    <xf numFmtId="9" fontId="35" fillId="0" borderId="0" xfId="0" applyNumberFormat="1" applyFont="1" applyAlignment="1" applyProtection="1">
      <alignment horizontal="center"/>
      <protection locked="0"/>
    </xf>
    <xf numFmtId="170" fontId="4" fillId="0" borderId="0" xfId="0" applyNumberFormat="1" applyFont="1" applyAlignment="1" applyProtection="1">
      <alignment horizontal="center"/>
      <protection hidden="1"/>
    </xf>
    <xf numFmtId="183" fontId="39" fillId="0" borderId="0" xfId="0" applyNumberFormat="1" applyFont="1" applyAlignment="1" applyProtection="1">
      <alignment horizontal="center"/>
      <protection hidden="1"/>
    </xf>
    <xf numFmtId="184" fontId="39" fillId="0" borderId="0" xfId="0" applyNumberFormat="1" applyFont="1" applyAlignment="1" applyProtection="1">
      <alignment horizontal="center"/>
      <protection hidden="1"/>
    </xf>
    <xf numFmtId="0" fontId="14" fillId="0" borderId="0" xfId="0" applyFont="1" applyAlignment="1" applyProtection="1">
      <alignment horizontal="left"/>
      <protection hidden="1"/>
    </xf>
    <xf numFmtId="183" fontId="24" fillId="6" borderId="0" xfId="0" applyNumberFormat="1" applyFont="1" applyFill="1" applyAlignment="1" applyProtection="1">
      <alignment horizontal="center"/>
      <protection hidden="1"/>
    </xf>
    <xf numFmtId="198" fontId="4" fillId="3" borderId="1" xfId="0" applyNumberFormat="1" applyFont="1" applyFill="1" applyBorder="1" applyAlignment="1" applyProtection="1">
      <alignment horizontal="center" vertical="center"/>
      <protection locked="0" hidden="1"/>
    </xf>
    <xf numFmtId="14" fontId="4" fillId="3" borderId="3" xfId="0" applyNumberFormat="1" applyFont="1" applyFill="1" applyBorder="1" applyAlignment="1" applyProtection="1">
      <alignment horizontal="center"/>
      <protection locked="0" hidden="1"/>
    </xf>
    <xf numFmtId="183" fontId="40" fillId="0" borderId="0" xfId="0" applyNumberFormat="1" applyFont="1" applyAlignment="1" applyProtection="1">
      <alignment horizontal="center"/>
      <protection hidden="1"/>
    </xf>
    <xf numFmtId="184" fontId="21" fillId="0" borderId="0" xfId="0" applyNumberFormat="1" applyFont="1" applyProtection="1">
      <protection hidden="1"/>
    </xf>
    <xf numFmtId="4" fontId="14" fillId="0" borderId="9" xfId="0" applyNumberFormat="1" applyFont="1" applyBorder="1" applyAlignment="1" applyProtection="1">
      <alignment horizontal="center"/>
      <protection hidden="1"/>
    </xf>
    <xf numFmtId="4" fontId="34" fillId="0" borderId="0" xfId="0" applyNumberFormat="1" applyFont="1" applyAlignment="1" applyProtection="1">
      <alignment horizontal="center"/>
      <protection hidden="1"/>
    </xf>
    <xf numFmtId="4" fontId="14" fillId="0" borderId="0" xfId="0" applyNumberFormat="1" applyFont="1" applyAlignment="1" applyProtection="1">
      <alignment horizontal="center" vertical="center"/>
      <protection hidden="1"/>
    </xf>
    <xf numFmtId="4" fontId="25" fillId="6" borderId="9" xfId="0" applyNumberFormat="1" applyFont="1" applyFill="1" applyBorder="1" applyAlignment="1" applyProtection="1">
      <alignment horizontal="right"/>
      <protection hidden="1"/>
    </xf>
    <xf numFmtId="185" fontId="14" fillId="0" borderId="9" xfId="0" applyNumberFormat="1" applyFont="1" applyBorder="1" applyAlignment="1" applyProtection="1">
      <alignment horizontal="center"/>
      <protection hidden="1"/>
    </xf>
    <xf numFmtId="164" fontId="14" fillId="0" borderId="9" xfId="0" applyNumberFormat="1" applyFont="1" applyBorder="1" applyAlignment="1" applyProtection="1">
      <alignment horizontal="center"/>
      <protection hidden="1"/>
    </xf>
    <xf numFmtId="170" fontId="39" fillId="0" borderId="0" xfId="0" applyNumberFormat="1" applyFont="1" applyAlignment="1" applyProtection="1">
      <alignment horizontal="center" vertical="center"/>
      <protection hidden="1"/>
    </xf>
    <xf numFmtId="0" fontId="4" fillId="0" borderId="0" xfId="0" applyFont="1" applyAlignment="1" applyProtection="1">
      <alignment horizontal="center" vertical="top"/>
      <protection hidden="1"/>
    </xf>
    <xf numFmtId="170" fontId="4" fillId="0" borderId="0" xfId="0" applyNumberFormat="1" applyFont="1" applyAlignment="1" applyProtection="1">
      <alignment horizontal="center" vertical="top"/>
      <protection hidden="1"/>
    </xf>
    <xf numFmtId="168" fontId="4" fillId="0" borderId="0" xfId="0" applyNumberFormat="1" applyFont="1" applyAlignment="1" applyProtection="1">
      <alignment horizontal="center" vertical="top"/>
      <protection hidden="1"/>
    </xf>
    <xf numFmtId="14" fontId="39" fillId="0" borderId="0" xfId="0" applyNumberFormat="1" applyFont="1" applyAlignment="1" applyProtection="1">
      <alignment horizontal="center" vertical="top"/>
      <protection hidden="1"/>
    </xf>
    <xf numFmtId="4" fontId="14" fillId="0" borderId="0" xfId="0" applyNumberFormat="1" applyFont="1" applyAlignment="1" applyProtection="1">
      <alignment horizontal="center" vertical="top"/>
      <protection hidden="1"/>
    </xf>
    <xf numFmtId="4" fontId="25" fillId="6" borderId="0" xfId="0" applyNumberFormat="1" applyFont="1" applyFill="1" applyAlignment="1" applyProtection="1">
      <alignment horizontal="center" vertical="top"/>
      <protection hidden="1"/>
    </xf>
    <xf numFmtId="164" fontId="4" fillId="0" borderId="0" xfId="7" applyNumberFormat="1" applyFont="1" applyFill="1" applyBorder="1" applyAlignment="1" applyProtection="1">
      <alignment horizontal="center" vertical="top"/>
      <protection hidden="1"/>
    </xf>
    <xf numFmtId="4" fontId="5" fillId="0" borderId="0" xfId="0" applyNumberFormat="1" applyFont="1" applyAlignment="1" applyProtection="1">
      <alignment horizontal="center" vertical="top"/>
      <protection hidden="1"/>
    </xf>
    <xf numFmtId="164" fontId="4" fillId="0" borderId="0" xfId="0" applyNumberFormat="1" applyFont="1" applyAlignment="1" applyProtection="1">
      <alignment horizontal="center" vertical="top"/>
      <protection hidden="1"/>
    </xf>
    <xf numFmtId="4" fontId="21" fillId="0" borderId="0" xfId="0" applyNumberFormat="1" applyFont="1" applyAlignment="1" applyProtection="1">
      <alignment horizontal="center" vertical="top"/>
      <protection hidden="1"/>
    </xf>
    <xf numFmtId="164" fontId="14" fillId="0" borderId="1" xfId="0" applyNumberFormat="1" applyFont="1" applyBorder="1" applyAlignment="1" applyProtection="1">
      <alignment horizontal="left"/>
      <protection hidden="1"/>
    </xf>
    <xf numFmtId="170" fontId="14" fillId="0" borderId="0" xfId="0" applyNumberFormat="1" applyFont="1" applyAlignment="1" applyProtection="1">
      <alignment horizontal="center"/>
      <protection hidden="1"/>
    </xf>
    <xf numFmtId="4" fontId="5" fillId="0" borderId="0" xfId="0" applyNumberFormat="1" applyFont="1" applyAlignment="1" applyProtection="1">
      <alignment horizontal="right" indent="1"/>
      <protection hidden="1"/>
    </xf>
    <xf numFmtId="164" fontId="14" fillId="0" borderId="0" xfId="7" applyNumberFormat="1" applyFont="1" applyFill="1" applyBorder="1" applyAlignment="1" applyProtection="1">
      <alignment horizontal="left"/>
      <protection hidden="1"/>
    </xf>
    <xf numFmtId="0" fontId="5" fillId="0" borderId="4" xfId="0" applyFont="1" applyBorder="1" applyAlignment="1" applyProtection="1">
      <alignment horizontal="center"/>
      <protection hidden="1"/>
    </xf>
    <xf numFmtId="0" fontId="4" fillId="0" borderId="9" xfId="0" applyFont="1" applyBorder="1" applyAlignment="1" applyProtection="1">
      <alignment horizontal="center" vertical="center"/>
      <protection hidden="1"/>
    </xf>
    <xf numFmtId="181" fontId="5" fillId="3" borderId="1" xfId="0" quotePrefix="1" applyNumberFormat="1" applyFont="1" applyFill="1" applyBorder="1" applyAlignment="1" applyProtection="1">
      <alignment horizontal="center"/>
      <protection locked="0" hidden="1"/>
    </xf>
    <xf numFmtId="4" fontId="5" fillId="0" borderId="11" xfId="0" applyNumberFormat="1" applyFont="1" applyBorder="1" applyAlignment="1" applyProtection="1">
      <alignment horizontal="center"/>
      <protection hidden="1"/>
    </xf>
    <xf numFmtId="164" fontId="4" fillId="0" borderId="19" xfId="7" applyNumberFormat="1" applyFont="1" applyFill="1" applyBorder="1" applyAlignment="1" applyProtection="1">
      <alignment horizontal="center"/>
      <protection hidden="1"/>
    </xf>
    <xf numFmtId="4" fontId="4" fillId="4" borderId="1" xfId="0" applyNumberFormat="1" applyFont="1" applyFill="1" applyBorder="1" applyAlignment="1" applyProtection="1">
      <alignment horizontal="center"/>
      <protection hidden="1"/>
    </xf>
    <xf numFmtId="164" fontId="4" fillId="4" borderId="1" xfId="0" applyNumberFormat="1" applyFont="1" applyFill="1" applyBorder="1" applyAlignment="1" applyProtection="1">
      <alignment horizontal="center" vertical="center"/>
      <protection hidden="1"/>
    </xf>
    <xf numFmtId="4" fontId="14" fillId="0" borderId="6" xfId="0" applyNumberFormat="1" applyFont="1" applyBorder="1" applyAlignment="1" applyProtection="1">
      <alignment horizontal="left"/>
      <protection hidden="1"/>
    </xf>
    <xf numFmtId="4" fontId="14" fillId="0" borderId="2" xfId="0" applyNumberFormat="1" applyFont="1" applyBorder="1" applyAlignment="1" applyProtection="1">
      <alignment horizontal="left"/>
      <protection hidden="1"/>
    </xf>
    <xf numFmtId="164" fontId="14" fillId="0" borderId="2" xfId="7" applyNumberFormat="1" applyFont="1" applyFill="1" applyBorder="1" applyAlignment="1" applyProtection="1">
      <alignment horizontal="left"/>
      <protection hidden="1"/>
    </xf>
    <xf numFmtId="164" fontId="27" fillId="6" borderId="2" xfId="7" applyNumberFormat="1" applyFont="1" applyFill="1" applyBorder="1" applyAlignment="1" applyProtection="1">
      <alignment horizontal="left"/>
      <protection hidden="1"/>
    </xf>
    <xf numFmtId="164" fontId="14" fillId="0" borderId="12" xfId="7" applyNumberFormat="1" applyFont="1" applyFill="1" applyBorder="1" applyAlignment="1" applyProtection="1">
      <alignment horizontal="left"/>
      <protection hidden="1"/>
    </xf>
    <xf numFmtId="4" fontId="21" fillId="0" borderId="1" xfId="0" applyNumberFormat="1" applyFont="1" applyBorder="1" applyAlignment="1" applyProtection="1">
      <alignment horizontal="center" vertical="center"/>
      <protection hidden="1"/>
    </xf>
    <xf numFmtId="2" fontId="21" fillId="0" borderId="1" xfId="0" applyNumberFormat="1" applyFont="1" applyBorder="1" applyAlignment="1" applyProtection="1">
      <alignment horizontal="center" vertical="center"/>
      <protection hidden="1"/>
    </xf>
    <xf numFmtId="2" fontId="21" fillId="0" borderId="0" xfId="0" applyNumberFormat="1" applyFont="1" applyAlignment="1" applyProtection="1">
      <alignment horizontal="center" vertical="center"/>
      <protection hidden="1"/>
    </xf>
    <xf numFmtId="4" fontId="4" fillId="0" borderId="0" xfId="0" applyNumberFormat="1" applyFont="1" applyAlignment="1" applyProtection="1">
      <alignment horizontal="center" vertical="top"/>
      <protection hidden="1"/>
    </xf>
    <xf numFmtId="164" fontId="24" fillId="6" borderId="0" xfId="7" applyNumberFormat="1" applyFont="1" applyFill="1" applyBorder="1" applyAlignment="1" applyProtection="1">
      <alignment horizontal="center" vertical="top"/>
      <protection hidden="1"/>
    </xf>
    <xf numFmtId="164" fontId="21" fillId="0" borderId="0" xfId="7" applyNumberFormat="1" applyFont="1" applyFill="1" applyBorder="1" applyAlignment="1" applyProtection="1">
      <alignment horizontal="right" vertical="top"/>
      <protection hidden="1"/>
    </xf>
    <xf numFmtId="14" fontId="4" fillId="0" borderId="0" xfId="0" applyNumberFormat="1" applyFont="1" applyAlignment="1" applyProtection="1">
      <alignment horizontal="center" vertical="top"/>
      <protection hidden="1"/>
    </xf>
    <xf numFmtId="183" fontId="39" fillId="0" borderId="0" xfId="0" applyNumberFormat="1" applyFont="1" applyAlignment="1" applyProtection="1">
      <alignment horizontal="center" vertical="top"/>
      <protection hidden="1"/>
    </xf>
    <xf numFmtId="164" fontId="5" fillId="0" borderId="0" xfId="7" applyNumberFormat="1" applyFont="1" applyFill="1" applyBorder="1" applyAlignment="1" applyProtection="1">
      <alignment horizontal="center" vertical="top"/>
      <protection hidden="1"/>
    </xf>
    <xf numFmtId="10" fontId="21" fillId="0" borderId="0" xfId="0" applyNumberFormat="1" applyFont="1" applyAlignment="1" applyProtection="1">
      <alignment horizontal="right" vertical="top"/>
      <protection hidden="1"/>
    </xf>
    <xf numFmtId="14" fontId="5" fillId="0" borderId="0" xfId="0" applyNumberFormat="1" applyFont="1" applyAlignment="1" applyProtection="1">
      <alignment horizontal="center" vertical="top"/>
      <protection hidden="1"/>
    </xf>
    <xf numFmtId="4" fontId="21" fillId="0" borderId="10" xfId="0" applyNumberFormat="1" applyFont="1" applyBorder="1" applyAlignment="1" applyProtection="1">
      <alignment horizontal="center" vertical="top"/>
      <protection hidden="1"/>
    </xf>
    <xf numFmtId="49" fontId="4" fillId="0" borderId="10" xfId="0" applyNumberFormat="1" applyFont="1" applyBorder="1" applyAlignment="1">
      <alignment horizontal="center"/>
    </xf>
    <xf numFmtId="4" fontId="4" fillId="0" borderId="10" xfId="0" applyNumberFormat="1" applyFont="1" applyBorder="1" applyAlignment="1" applyProtection="1">
      <alignment horizontal="center" vertical="center"/>
      <protection hidden="1"/>
    </xf>
    <xf numFmtId="9" fontId="5" fillId="0" borderId="10" xfId="0" applyNumberFormat="1" applyFont="1" applyBorder="1" applyAlignment="1" applyProtection="1">
      <alignment horizontal="center"/>
      <protection hidden="1"/>
    </xf>
    <xf numFmtId="164" fontId="4" fillId="0" borderId="13" xfId="0" applyNumberFormat="1" applyFont="1" applyBorder="1" applyAlignment="1" applyProtection="1">
      <alignment horizontal="center"/>
      <protection hidden="1"/>
    </xf>
    <xf numFmtId="49" fontId="4" fillId="0" borderId="2" xfId="0" applyNumberFormat="1" applyFont="1" applyBorder="1" applyAlignment="1">
      <alignment horizontal="center"/>
    </xf>
    <xf numFmtId="183" fontId="39" fillId="0" borderId="2" xfId="0" applyNumberFormat="1" applyFont="1" applyBorder="1" applyAlignment="1" applyProtection="1">
      <alignment horizontal="center"/>
      <protection hidden="1"/>
    </xf>
    <xf numFmtId="4" fontId="5" fillId="0" borderId="2" xfId="0" applyNumberFormat="1" applyFont="1" applyBorder="1" applyAlignment="1" applyProtection="1">
      <alignment horizontal="center" vertical="center"/>
      <protection hidden="1"/>
    </xf>
    <xf numFmtId="14" fontId="39" fillId="0" borderId="0" xfId="0" applyNumberFormat="1" applyFont="1" applyAlignment="1" applyProtection="1">
      <alignment horizontal="center"/>
      <protection hidden="1"/>
    </xf>
    <xf numFmtId="4" fontId="4" fillId="3" borderId="1" xfId="0" applyNumberFormat="1" applyFont="1" applyFill="1" applyBorder="1" applyAlignment="1" applyProtection="1">
      <alignment horizontal="center" vertical="center"/>
      <protection locked="0" hidden="1"/>
    </xf>
    <xf numFmtId="4" fontId="40" fillId="0" borderId="0" xfId="0" applyNumberFormat="1" applyFont="1" applyAlignment="1" applyProtection="1">
      <alignment horizontal="center"/>
      <protection hidden="1"/>
    </xf>
    <xf numFmtId="170" fontId="41" fillId="0" borderId="0" xfId="0" applyNumberFormat="1" applyFont="1" applyAlignment="1" applyProtection="1">
      <alignment horizontal="center" vertical="center"/>
      <protection hidden="1"/>
    </xf>
    <xf numFmtId="0" fontId="14" fillId="0" borderId="1" xfId="0" applyFont="1" applyBorder="1" applyAlignment="1" applyProtection="1">
      <alignment horizontal="left"/>
      <protection hidden="1"/>
    </xf>
    <xf numFmtId="183" fontId="5" fillId="0" borderId="1" xfId="0" applyNumberFormat="1" applyFont="1" applyBorder="1" applyAlignment="1" applyProtection="1">
      <alignment horizontal="center"/>
      <protection hidden="1"/>
    </xf>
    <xf numFmtId="164" fontId="4" fillId="0" borderId="0" xfId="7" applyNumberFormat="1" applyFont="1" applyFill="1" applyBorder="1" applyAlignment="1" applyProtection="1">
      <alignment horizontal="left"/>
      <protection hidden="1"/>
    </xf>
    <xf numFmtId="4" fontId="14" fillId="0" borderId="8" xfId="0" applyNumberFormat="1" applyFont="1" applyBorder="1" applyAlignment="1" applyProtection="1">
      <alignment horizontal="center"/>
      <protection hidden="1"/>
    </xf>
    <xf numFmtId="170" fontId="4" fillId="0" borderId="0" xfId="0" applyNumberFormat="1" applyFont="1" applyAlignment="1" applyProtection="1">
      <alignment horizontal="center" vertical="center"/>
      <protection hidden="1"/>
    </xf>
    <xf numFmtId="164" fontId="4" fillId="0" borderId="0" xfId="7" applyNumberFormat="1" applyFont="1" applyFill="1" applyBorder="1" applyAlignment="1" applyProtection="1">
      <alignment horizontal="right"/>
      <protection hidden="1"/>
    </xf>
    <xf numFmtId="164" fontId="24" fillId="6" borderId="0" xfId="7" applyNumberFormat="1" applyFont="1" applyFill="1" applyBorder="1" applyAlignment="1" applyProtection="1">
      <alignment horizontal="right"/>
      <protection hidden="1"/>
    </xf>
    <xf numFmtId="164" fontId="21" fillId="0" borderId="0" xfId="7" applyNumberFormat="1" applyFont="1" applyFill="1" applyBorder="1" applyAlignment="1" applyProtection="1">
      <alignment horizontal="right"/>
      <protection hidden="1"/>
    </xf>
    <xf numFmtId="14" fontId="5" fillId="0" borderId="0" xfId="0" applyNumberFormat="1" applyFont="1" applyAlignment="1" applyProtection="1">
      <alignment horizontal="center"/>
      <protection hidden="1"/>
    </xf>
    <xf numFmtId="4" fontId="21" fillId="0" borderId="10" xfId="0" applyNumberFormat="1" applyFont="1" applyBorder="1" applyAlignment="1" applyProtection="1">
      <alignment horizontal="center"/>
      <protection hidden="1"/>
    </xf>
    <xf numFmtId="166" fontId="42" fillId="0" borderId="0" xfId="0" applyNumberFormat="1" applyFont="1" applyAlignment="1" applyProtection="1">
      <alignment horizontal="center" vertical="center"/>
      <protection hidden="1"/>
    </xf>
    <xf numFmtId="4" fontId="42" fillId="0" borderId="0" xfId="0" applyNumberFormat="1" applyFont="1" applyAlignment="1" applyProtection="1">
      <alignment horizontal="center" vertical="center"/>
      <protection hidden="1"/>
    </xf>
    <xf numFmtId="0" fontId="43" fillId="0" borderId="0" xfId="0" applyFont="1" applyAlignment="1" applyProtection="1">
      <alignment horizontal="center"/>
      <protection hidden="1"/>
    </xf>
    <xf numFmtId="4" fontId="42" fillId="0" borderId="0" xfId="0" applyNumberFormat="1" applyFont="1" applyAlignment="1" applyProtection="1">
      <alignment horizontal="center"/>
      <protection hidden="1"/>
    </xf>
    <xf numFmtId="183" fontId="5" fillId="5" borderId="1" xfId="0" applyNumberFormat="1" applyFont="1" applyFill="1" applyBorder="1" applyAlignment="1" applyProtection="1">
      <alignment horizontal="center"/>
      <protection hidden="1"/>
    </xf>
    <xf numFmtId="1" fontId="4" fillId="0" borderId="1" xfId="0" applyNumberFormat="1" applyFont="1" applyBorder="1" applyAlignment="1" applyProtection="1">
      <alignment horizontal="center"/>
      <protection hidden="1"/>
    </xf>
    <xf numFmtId="4" fontId="4" fillId="9" borderId="1" xfId="0" applyNumberFormat="1" applyFont="1" applyFill="1" applyBorder="1" applyAlignment="1" applyProtection="1">
      <alignment horizontal="center"/>
      <protection hidden="1"/>
    </xf>
    <xf numFmtId="164" fontId="4" fillId="9" borderId="1" xfId="0" applyNumberFormat="1" applyFont="1" applyFill="1" applyBorder="1" applyAlignment="1" applyProtection="1">
      <alignment horizontal="center" vertical="center"/>
      <protection hidden="1"/>
    </xf>
    <xf numFmtId="4" fontId="6" fillId="0" borderId="0" xfId="0" applyNumberFormat="1" applyFont="1" applyAlignment="1" applyProtection="1">
      <alignment horizontal="center"/>
      <protection hidden="1"/>
    </xf>
    <xf numFmtId="0" fontId="36" fillId="0" borderId="0" xfId="0" applyFont="1" applyAlignment="1" applyProtection="1">
      <alignment horizontal="center"/>
      <protection hidden="1"/>
    </xf>
    <xf numFmtId="4" fontId="10" fillId="0" borderId="0" xfId="0" applyNumberFormat="1" applyFont="1" applyAlignment="1" applyProtection="1">
      <alignment horizontal="center"/>
      <protection hidden="1"/>
    </xf>
    <xf numFmtId="165" fontId="37" fillId="0" borderId="0" xfId="0" applyNumberFormat="1" applyFont="1" applyAlignment="1" applyProtection="1">
      <alignment horizontal="center"/>
      <protection locked="0"/>
    </xf>
    <xf numFmtId="0" fontId="44" fillId="0" borderId="0" xfId="0" applyFont="1" applyAlignment="1" applyProtection="1">
      <alignment horizontal="center"/>
      <protection locked="0"/>
    </xf>
    <xf numFmtId="10" fontId="0" fillId="0" borderId="0" xfId="0" applyNumberFormat="1"/>
    <xf numFmtId="10" fontId="12" fillId="0" borderId="0" xfId="0" applyNumberFormat="1" applyFont="1" applyAlignment="1">
      <alignment horizontal="right"/>
    </xf>
    <xf numFmtId="10" fontId="9" fillId="0" borderId="0" xfId="0" applyNumberFormat="1" applyFont="1" applyAlignment="1">
      <alignment horizontal="center"/>
    </xf>
    <xf numFmtId="10" fontId="10" fillId="0" borderId="13" xfId="0" applyNumberFormat="1" applyFont="1" applyBorder="1" applyAlignment="1">
      <alignment horizontal="center"/>
    </xf>
    <xf numFmtId="0" fontId="9" fillId="0" borderId="3" xfId="0" quotePrefix="1" applyFont="1" applyBorder="1" applyAlignment="1">
      <alignment horizontal="center"/>
    </xf>
    <xf numFmtId="10" fontId="9" fillId="0" borderId="9" xfId="0" quotePrefix="1" applyNumberFormat="1" applyFont="1" applyBorder="1" applyAlignment="1">
      <alignment horizontal="center"/>
    </xf>
    <xf numFmtId="0" fontId="45" fillId="0" borderId="9" xfId="0" quotePrefix="1" applyFont="1" applyBorder="1" applyAlignment="1">
      <alignment horizontal="center"/>
    </xf>
    <xf numFmtId="164" fontId="40" fillId="0" borderId="0" xfId="0" applyNumberFormat="1" applyFont="1" applyAlignment="1" applyProtection="1">
      <alignment horizontal="right"/>
      <protection hidden="1"/>
    </xf>
    <xf numFmtId="4" fontId="46" fillId="0" borderId="0" xfId="0" applyNumberFormat="1" applyFont="1" applyAlignment="1" applyProtection="1">
      <alignment horizontal="center"/>
      <protection hidden="1"/>
    </xf>
    <xf numFmtId="4" fontId="46" fillId="0" borderId="0" xfId="0" applyNumberFormat="1" applyFont="1" applyProtection="1">
      <protection hidden="1"/>
    </xf>
    <xf numFmtId="4" fontId="21" fillId="0" borderId="9" xfId="0" applyNumberFormat="1" applyFont="1" applyBorder="1" applyAlignment="1" applyProtection="1">
      <alignment horizontal="center"/>
      <protection hidden="1"/>
    </xf>
    <xf numFmtId="4" fontId="4" fillId="0" borderId="9" xfId="0" applyNumberFormat="1" applyFont="1" applyBorder="1" applyAlignment="1" applyProtection="1">
      <alignment horizontal="center"/>
      <protection hidden="1"/>
    </xf>
    <xf numFmtId="49" fontId="5" fillId="0" borderId="4" xfId="0" applyNumberFormat="1" applyFont="1" applyBorder="1" applyAlignment="1" applyProtection="1">
      <alignment horizontal="center"/>
      <protection hidden="1"/>
    </xf>
    <xf numFmtId="0" fontId="5" fillId="0" borderId="1" xfId="0" applyFont="1" applyBorder="1" applyAlignment="1" applyProtection="1">
      <alignment horizontal="left"/>
      <protection hidden="1"/>
    </xf>
    <xf numFmtId="0" fontId="14" fillId="0" borderId="0" xfId="0" applyFont="1" applyAlignment="1" applyProtection="1">
      <alignment horizontal="right"/>
      <protection hidden="1"/>
    </xf>
    <xf numFmtId="10" fontId="12" fillId="0" borderId="18" xfId="0" applyNumberFormat="1" applyFont="1" applyBorder="1" applyAlignment="1" applyProtection="1">
      <alignment horizontal="right"/>
      <protection locked="0"/>
    </xf>
    <xf numFmtId="17" fontId="12" fillId="0" borderId="18" xfId="0" applyNumberFormat="1" applyFont="1" applyBorder="1" applyAlignment="1" applyProtection="1">
      <alignment horizontal="right"/>
      <protection locked="0"/>
    </xf>
    <xf numFmtId="4" fontId="5" fillId="3" borderId="2" xfId="0" applyNumberFormat="1" applyFont="1" applyFill="1" applyBorder="1" applyAlignment="1" applyProtection="1">
      <alignment horizontal="center"/>
      <protection locked="0" hidden="1"/>
    </xf>
    <xf numFmtId="4" fontId="14" fillId="0" borderId="10" xfId="0" applyNumberFormat="1" applyFont="1" applyBorder="1" applyAlignment="1" applyProtection="1">
      <alignment horizontal="right" vertical="center"/>
      <protection hidden="1"/>
    </xf>
    <xf numFmtId="0" fontId="5" fillId="0" borderId="2" xfId="0" applyFont="1" applyBorder="1" applyAlignment="1" applyProtection="1">
      <alignment horizontal="right"/>
      <protection hidden="1"/>
    </xf>
    <xf numFmtId="14" fontId="5" fillId="3" borderId="10" xfId="0" applyNumberFormat="1" applyFont="1" applyFill="1" applyBorder="1" applyAlignment="1" applyProtection="1">
      <alignment horizontal="center"/>
      <protection locked="0" hidden="1"/>
    </xf>
    <xf numFmtId="0" fontId="5" fillId="0" borderId="6" xfId="0" applyFont="1" applyBorder="1" applyAlignment="1" applyProtection="1">
      <alignment horizontal="center"/>
      <protection hidden="1"/>
    </xf>
    <xf numFmtId="14" fontId="5" fillId="3" borderId="2" xfId="0" applyNumberFormat="1" applyFont="1" applyFill="1" applyBorder="1" applyAlignment="1" applyProtection="1">
      <alignment horizontal="center"/>
      <protection locked="0" hidden="1"/>
    </xf>
    <xf numFmtId="169" fontId="14" fillId="0" borderId="7" xfId="0" applyNumberFormat="1" applyFont="1" applyBorder="1" applyAlignment="1" applyProtection="1">
      <alignment horizontal="left" vertical="center" indent="1"/>
      <protection hidden="1"/>
    </xf>
    <xf numFmtId="10" fontId="21" fillId="0" borderId="0" xfId="0" applyNumberFormat="1" applyFont="1" applyAlignment="1" applyProtection="1">
      <alignment horizontal="right"/>
      <protection hidden="1"/>
    </xf>
    <xf numFmtId="166" fontId="5" fillId="0" borderId="0" xfId="0" applyNumberFormat="1" applyFont="1" applyAlignment="1" applyProtection="1">
      <alignment horizontal="center"/>
      <protection hidden="1"/>
    </xf>
    <xf numFmtId="4" fontId="14" fillId="0" borderId="0" xfId="0" applyNumberFormat="1" applyFont="1" applyAlignment="1" applyProtection="1">
      <alignment horizontal="left"/>
      <protection hidden="1"/>
    </xf>
    <xf numFmtId="4" fontId="4" fillId="0" borderId="13" xfId="0" applyNumberFormat="1" applyFont="1" applyBorder="1" applyAlignment="1" applyProtection="1">
      <alignment horizontal="left"/>
      <protection hidden="1"/>
    </xf>
    <xf numFmtId="209" fontId="14" fillId="0" borderId="5" xfId="0" applyNumberFormat="1" applyFont="1" applyBorder="1" applyAlignment="1" applyProtection="1">
      <alignment horizontal="center" vertical="center"/>
      <protection hidden="1"/>
    </xf>
    <xf numFmtId="210" fontId="14" fillId="0" borderId="5" xfId="0" applyNumberFormat="1" applyFont="1" applyBorder="1" applyAlignment="1" applyProtection="1">
      <alignment horizontal="left" vertical="center"/>
      <protection hidden="1"/>
    </xf>
    <xf numFmtId="211" fontId="47" fillId="3" borderId="1" xfId="0" applyNumberFormat="1" applyFont="1" applyFill="1" applyBorder="1" applyAlignment="1" applyProtection="1">
      <alignment horizontal="center" vertical="center"/>
      <protection locked="0"/>
    </xf>
    <xf numFmtId="1" fontId="4" fillId="6" borderId="0" xfId="0" applyNumberFormat="1" applyFont="1" applyFill="1" applyAlignment="1" applyProtection="1">
      <alignment horizontal="center"/>
      <protection hidden="1"/>
    </xf>
    <xf numFmtId="0" fontId="4" fillId="6" borderId="0" xfId="0" applyFont="1" applyFill="1" applyAlignment="1" applyProtection="1">
      <alignment horizontal="center"/>
      <protection hidden="1"/>
    </xf>
    <xf numFmtId="0" fontId="4" fillId="7" borderId="0" xfId="0" applyFont="1" applyFill="1" applyAlignment="1" applyProtection="1">
      <alignment horizontal="center"/>
      <protection hidden="1"/>
    </xf>
    <xf numFmtId="49" fontId="5" fillId="6" borderId="0" xfId="0" applyNumberFormat="1" applyFont="1" applyFill="1" applyAlignment="1" applyProtection="1">
      <alignment horizontal="center"/>
      <protection hidden="1"/>
    </xf>
    <xf numFmtId="49" fontId="21" fillId="6" borderId="0" xfId="0" applyNumberFormat="1" applyFont="1" applyFill="1" applyAlignment="1" applyProtection="1">
      <alignment horizontal="center"/>
      <protection hidden="1"/>
    </xf>
    <xf numFmtId="49" fontId="14" fillId="6" borderId="0" xfId="0" applyNumberFormat="1" applyFont="1" applyFill="1" applyAlignment="1" applyProtection="1">
      <alignment horizontal="center"/>
      <protection hidden="1"/>
    </xf>
    <xf numFmtId="4" fontId="21" fillId="6" borderId="0" xfId="0" applyNumberFormat="1" applyFont="1" applyFill="1" applyAlignment="1" applyProtection="1">
      <alignment horizontal="center" vertical="center"/>
      <protection hidden="1"/>
    </xf>
    <xf numFmtId="0" fontId="4" fillId="6" borderId="0" xfId="0" applyFont="1" applyFill="1" applyAlignment="1" applyProtection="1">
      <alignment horizontal="center" vertical="center"/>
      <protection hidden="1"/>
    </xf>
    <xf numFmtId="0" fontId="4" fillId="7" borderId="0" xfId="0" applyFont="1" applyFill="1" applyAlignment="1" applyProtection="1">
      <alignment horizontal="center" vertical="center"/>
      <protection hidden="1"/>
    </xf>
    <xf numFmtId="176" fontId="14" fillId="6" borderId="0" xfId="0" applyNumberFormat="1" applyFont="1" applyFill="1" applyAlignment="1" applyProtection="1">
      <alignment horizontal="center" vertical="center"/>
      <protection hidden="1"/>
    </xf>
    <xf numFmtId="177" fontId="14" fillId="6" borderId="0" xfId="0" applyNumberFormat="1" applyFont="1" applyFill="1" applyAlignment="1" applyProtection="1">
      <alignment horizontal="center" vertical="center"/>
      <protection hidden="1"/>
    </xf>
    <xf numFmtId="175" fontId="14" fillId="6" borderId="0" xfId="0" applyNumberFormat="1" applyFont="1" applyFill="1" applyAlignment="1" applyProtection="1">
      <alignment horizontal="center" vertical="center"/>
      <protection hidden="1"/>
    </xf>
    <xf numFmtId="4" fontId="4" fillId="6" borderId="0" xfId="0" applyNumberFormat="1" applyFont="1" applyFill="1" applyAlignment="1" applyProtection="1">
      <alignment horizontal="center" vertical="center"/>
      <protection hidden="1"/>
    </xf>
    <xf numFmtId="0" fontId="5" fillId="6" borderId="0" xfId="0" applyFont="1" applyFill="1" applyAlignment="1" applyProtection="1">
      <alignment horizontal="center" wrapText="1"/>
      <protection hidden="1"/>
    </xf>
    <xf numFmtId="4" fontId="5" fillId="6" borderId="0" xfId="0" applyNumberFormat="1" applyFont="1" applyFill="1" applyAlignment="1" applyProtection="1">
      <alignment horizontal="center" vertical="center"/>
      <protection hidden="1"/>
    </xf>
    <xf numFmtId="4" fontId="5" fillId="3" borderId="0" xfId="0" applyNumberFormat="1" applyFont="1" applyFill="1" applyAlignment="1" applyProtection="1">
      <alignment horizontal="center" vertical="center"/>
      <protection locked="0"/>
    </xf>
    <xf numFmtId="183" fontId="5" fillId="6" borderId="0" xfId="0" applyNumberFormat="1" applyFont="1" applyFill="1" applyAlignment="1" applyProtection="1">
      <alignment horizontal="center"/>
      <protection hidden="1"/>
    </xf>
    <xf numFmtId="0" fontId="21" fillId="6" borderId="0" xfId="0" applyFont="1" applyFill="1" applyAlignment="1" applyProtection="1">
      <alignment horizontal="center"/>
      <protection hidden="1"/>
    </xf>
    <xf numFmtId="1" fontId="5" fillId="6" borderId="0" xfId="0" applyNumberFormat="1" applyFont="1" applyFill="1" applyAlignment="1" applyProtection="1">
      <alignment horizontal="center"/>
      <protection hidden="1"/>
    </xf>
    <xf numFmtId="0" fontId="21" fillId="6" borderId="0" xfId="0" applyFont="1" applyFill="1" applyAlignment="1" applyProtection="1">
      <alignment horizontal="right" vertical="center"/>
      <protection hidden="1"/>
    </xf>
    <xf numFmtId="172" fontId="4" fillId="6" borderId="0" xfId="0" applyNumberFormat="1" applyFont="1" applyFill="1" applyAlignment="1" applyProtection="1">
      <alignment horizontal="center" vertical="center"/>
      <protection hidden="1"/>
    </xf>
    <xf numFmtId="0" fontId="14" fillId="6" borderId="0" xfId="0" applyFont="1" applyFill="1" applyAlignment="1" applyProtection="1">
      <alignment horizontal="center" vertical="center"/>
      <protection hidden="1"/>
    </xf>
    <xf numFmtId="168" fontId="4" fillId="6" borderId="0" xfId="0" applyNumberFormat="1" applyFont="1" applyFill="1" applyAlignment="1" applyProtection="1">
      <alignment horizontal="center" vertical="center"/>
      <protection hidden="1"/>
    </xf>
    <xf numFmtId="4" fontId="4" fillId="6" borderId="0" xfId="0" applyNumberFormat="1" applyFont="1" applyFill="1" applyAlignment="1" applyProtection="1">
      <alignment horizontal="center"/>
      <protection hidden="1"/>
    </xf>
    <xf numFmtId="4" fontId="5" fillId="6" borderId="0" xfId="0" quotePrefix="1" applyNumberFormat="1" applyFont="1" applyFill="1" applyAlignment="1" applyProtection="1">
      <alignment horizontal="center"/>
      <protection hidden="1"/>
    </xf>
    <xf numFmtId="0" fontId="5" fillId="6" borderId="0" xfId="0" applyFont="1" applyFill="1" applyAlignment="1" applyProtection="1">
      <alignment horizontal="left"/>
      <protection hidden="1"/>
    </xf>
    <xf numFmtId="0" fontId="4" fillId="6" borderId="0" xfId="0" quotePrefix="1" applyFont="1" applyFill="1" applyAlignment="1" applyProtection="1">
      <alignment horizontal="center" vertical="center"/>
      <protection hidden="1"/>
    </xf>
    <xf numFmtId="4" fontId="21" fillId="6" borderId="0" xfId="0" applyNumberFormat="1" applyFont="1" applyFill="1" applyAlignment="1" applyProtection="1">
      <alignment horizontal="center"/>
      <protection hidden="1"/>
    </xf>
    <xf numFmtId="14" fontId="4" fillId="6" borderId="0" xfId="0" applyNumberFormat="1" applyFont="1" applyFill="1" applyAlignment="1" applyProtection="1">
      <alignment horizontal="center" vertical="center"/>
      <protection hidden="1"/>
    </xf>
    <xf numFmtId="2" fontId="4" fillId="6" borderId="0" xfId="0" applyNumberFormat="1" applyFont="1" applyFill="1" applyAlignment="1" applyProtection="1">
      <alignment horizontal="center" vertical="center"/>
      <protection hidden="1"/>
    </xf>
    <xf numFmtId="4" fontId="4" fillId="6" borderId="0" xfId="0" applyNumberFormat="1" applyFont="1" applyFill="1" applyAlignment="1" applyProtection="1">
      <alignment horizontal="left" vertical="center"/>
      <protection hidden="1"/>
    </xf>
    <xf numFmtId="178" fontId="5" fillId="8" borderId="20" xfId="0" applyNumberFormat="1" applyFont="1" applyFill="1" applyBorder="1" applyAlignment="1" applyProtection="1">
      <alignment horizontal="center" vertical="center"/>
      <protection hidden="1"/>
    </xf>
    <xf numFmtId="178" fontId="5" fillId="8" borderId="19" xfId="0" applyNumberFormat="1" applyFont="1" applyFill="1" applyBorder="1" applyAlignment="1" applyProtection="1">
      <alignment horizontal="center" vertical="center"/>
      <protection hidden="1"/>
    </xf>
    <xf numFmtId="178" fontId="5" fillId="8" borderId="19" xfId="0" applyNumberFormat="1" applyFont="1" applyFill="1" applyBorder="1" applyAlignment="1" applyProtection="1">
      <alignment horizontal="center" vertical="center"/>
      <protection locked="0"/>
    </xf>
    <xf numFmtId="178" fontId="4" fillId="6" borderId="0" xfId="0" applyNumberFormat="1" applyFont="1" applyFill="1" applyAlignment="1" applyProtection="1">
      <alignment horizontal="center"/>
      <protection hidden="1"/>
    </xf>
    <xf numFmtId="14" fontId="4" fillId="6" borderId="0" xfId="0" applyNumberFormat="1" applyFont="1" applyFill="1" applyAlignment="1" applyProtection="1">
      <alignment horizontal="center"/>
      <protection hidden="1"/>
    </xf>
    <xf numFmtId="14" fontId="5" fillId="8" borderId="20" xfId="0" applyNumberFormat="1" applyFont="1" applyFill="1" applyBorder="1" applyAlignment="1" applyProtection="1">
      <alignment horizontal="center"/>
      <protection hidden="1"/>
    </xf>
    <xf numFmtId="14" fontId="5" fillId="8" borderId="20" xfId="0" applyNumberFormat="1" applyFont="1" applyFill="1" applyBorder="1" applyAlignment="1" applyProtection="1">
      <alignment horizontal="center"/>
      <protection locked="0" hidden="1"/>
    </xf>
    <xf numFmtId="169" fontId="4" fillId="6" borderId="0" xfId="0" applyNumberFormat="1" applyFont="1" applyFill="1" applyAlignment="1" applyProtection="1">
      <alignment horizontal="center" vertical="center"/>
      <protection hidden="1"/>
    </xf>
    <xf numFmtId="0" fontId="10" fillId="6" borderId="0" xfId="0" applyFont="1" applyFill="1" applyProtection="1">
      <protection hidden="1"/>
    </xf>
    <xf numFmtId="0" fontId="10" fillId="7" borderId="0" xfId="0" applyFont="1" applyFill="1" applyProtection="1">
      <protection hidden="1"/>
    </xf>
    <xf numFmtId="0" fontId="6" fillId="6" borderId="0" xfId="0" applyFont="1" applyFill="1" applyProtection="1">
      <protection hidden="1"/>
    </xf>
    <xf numFmtId="4" fontId="6" fillId="6" borderId="0" xfId="0" applyNumberFormat="1" applyFont="1" applyFill="1" applyAlignment="1" applyProtection="1">
      <alignment horizontal="center" vertical="center"/>
      <protection hidden="1"/>
    </xf>
    <xf numFmtId="0" fontId="6" fillId="7" borderId="0" xfId="0" applyFont="1" applyFill="1" applyProtection="1">
      <protection hidden="1"/>
    </xf>
    <xf numFmtId="0" fontId="4" fillId="6" borderId="0" xfId="0" applyFont="1" applyFill="1" applyProtection="1">
      <protection hidden="1"/>
    </xf>
    <xf numFmtId="0" fontId="4" fillId="6" borderId="1" xfId="0" applyFont="1" applyFill="1" applyBorder="1" applyAlignment="1" applyProtection="1">
      <alignment horizontal="center" vertical="center"/>
      <protection hidden="1"/>
    </xf>
    <xf numFmtId="0" fontId="4" fillId="7" borderId="0" xfId="0" applyFont="1" applyFill="1" applyProtection="1">
      <protection hidden="1"/>
    </xf>
    <xf numFmtId="0" fontId="4" fillId="6" borderId="0" xfId="0" applyFont="1" applyFill="1" applyAlignment="1" applyProtection="1">
      <alignment vertical="center"/>
      <protection hidden="1"/>
    </xf>
    <xf numFmtId="1" fontId="6" fillId="6" borderId="0" xfId="0" applyNumberFormat="1" applyFont="1" applyFill="1" applyAlignment="1" applyProtection="1">
      <alignment horizontal="center"/>
      <protection hidden="1"/>
    </xf>
    <xf numFmtId="178" fontId="48" fillId="6" borderId="0" xfId="0" applyNumberFormat="1" applyFont="1" applyFill="1" applyAlignment="1" applyProtection="1">
      <alignment horizontal="center"/>
      <protection hidden="1"/>
    </xf>
    <xf numFmtId="14" fontId="4" fillId="6" borderId="11" xfId="0" applyNumberFormat="1" applyFont="1" applyFill="1" applyBorder="1" applyAlignment="1" applyProtection="1">
      <alignment horizontal="left"/>
      <protection hidden="1"/>
    </xf>
    <xf numFmtId="14" fontId="4" fillId="6" borderId="0" xfId="0" applyNumberFormat="1" applyFont="1" applyFill="1" applyAlignment="1" applyProtection="1">
      <alignment horizontal="left"/>
      <protection hidden="1"/>
    </xf>
    <xf numFmtId="14" fontId="4" fillId="6" borderId="0" xfId="0" applyNumberFormat="1" applyFont="1" applyFill="1" applyAlignment="1" applyProtection="1">
      <alignment horizontal="right"/>
      <protection hidden="1"/>
    </xf>
    <xf numFmtId="0" fontId="4" fillId="6" borderId="0" xfId="0" applyFont="1" applyFill="1" applyAlignment="1" applyProtection="1">
      <alignment horizontal="right"/>
      <protection hidden="1"/>
    </xf>
    <xf numFmtId="4" fontId="6" fillId="6" borderId="0" xfId="0" applyNumberFormat="1" applyFont="1" applyFill="1" applyProtection="1">
      <protection hidden="1"/>
    </xf>
    <xf numFmtId="1" fontId="4" fillId="6" borderId="0" xfId="0" applyNumberFormat="1" applyFont="1" applyFill="1" applyAlignment="1" applyProtection="1">
      <alignment horizontal="center" vertical="center"/>
      <protection hidden="1"/>
    </xf>
    <xf numFmtId="166" fontId="4" fillId="6" borderId="0" xfId="0" applyNumberFormat="1" applyFont="1" applyFill="1" applyAlignment="1" applyProtection="1">
      <alignment horizontal="center"/>
      <protection hidden="1"/>
    </xf>
    <xf numFmtId="166" fontId="5" fillId="6" borderId="0" xfId="0" applyNumberFormat="1" applyFont="1" applyFill="1" applyAlignment="1" applyProtection="1">
      <alignment horizontal="center"/>
      <protection hidden="1"/>
    </xf>
    <xf numFmtId="14" fontId="4" fillId="6" borderId="0" xfId="4" applyNumberFormat="1" applyFont="1" applyFill="1" applyAlignment="1" applyProtection="1">
      <alignment horizontal="center"/>
      <protection hidden="1"/>
    </xf>
    <xf numFmtId="0" fontId="4" fillId="7" borderId="0" xfId="4" applyFont="1" applyFill="1" applyAlignment="1" applyProtection="1">
      <alignment horizontal="center"/>
      <protection hidden="1"/>
    </xf>
    <xf numFmtId="14" fontId="5" fillId="6" borderId="0" xfId="4" applyNumberFormat="1" applyFont="1" applyFill="1" applyAlignment="1" applyProtection="1">
      <alignment horizontal="left"/>
      <protection hidden="1"/>
    </xf>
    <xf numFmtId="0" fontId="4" fillId="6" borderId="0" xfId="0" applyFont="1" applyFill="1" applyAlignment="1" applyProtection="1">
      <alignment horizontal="left"/>
      <protection hidden="1"/>
    </xf>
    <xf numFmtId="1" fontId="4" fillId="6" borderId="0" xfId="0" applyNumberFormat="1" applyFont="1" applyFill="1" applyAlignment="1" applyProtection="1">
      <alignment horizontal="left"/>
      <protection hidden="1"/>
    </xf>
    <xf numFmtId="171" fontId="4" fillId="6" borderId="0" xfId="0" applyNumberFormat="1" applyFont="1" applyFill="1" applyAlignment="1" applyProtection="1">
      <alignment horizontal="center"/>
      <protection hidden="1"/>
    </xf>
    <xf numFmtId="183" fontId="4" fillId="7" borderId="0" xfId="0" applyNumberFormat="1" applyFont="1" applyFill="1" applyAlignment="1" applyProtection="1">
      <alignment horizontal="center"/>
      <protection hidden="1"/>
    </xf>
    <xf numFmtId="0" fontId="4" fillId="6" borderId="0" xfId="0" applyFont="1" applyFill="1" applyAlignment="1" applyProtection="1">
      <alignment horizontal="center" vertical="top"/>
      <protection hidden="1"/>
    </xf>
    <xf numFmtId="0" fontId="4" fillId="7" borderId="0" xfId="0" applyFont="1" applyFill="1" applyAlignment="1" applyProtection="1">
      <alignment horizontal="center" vertical="top"/>
      <protection hidden="1"/>
    </xf>
    <xf numFmtId="183" fontId="4" fillId="6" borderId="0" xfId="0" applyNumberFormat="1" applyFont="1" applyFill="1" applyAlignment="1" applyProtection="1">
      <alignment horizontal="center"/>
      <protection hidden="1"/>
    </xf>
    <xf numFmtId="4" fontId="21" fillId="6" borderId="0" xfId="0" applyNumberFormat="1" applyFont="1" applyFill="1" applyAlignment="1" applyProtection="1">
      <alignment horizontal="left"/>
      <protection hidden="1"/>
    </xf>
    <xf numFmtId="183" fontId="4" fillId="6" borderId="0" xfId="0" applyNumberFormat="1" applyFont="1" applyFill="1" applyAlignment="1" applyProtection="1">
      <alignment horizontal="center" vertical="top"/>
      <protection hidden="1"/>
    </xf>
    <xf numFmtId="183" fontId="4" fillId="7" borderId="0" xfId="0" applyNumberFormat="1" applyFont="1" applyFill="1" applyAlignment="1" applyProtection="1">
      <alignment horizontal="center" vertical="top"/>
      <protection hidden="1"/>
    </xf>
    <xf numFmtId="1" fontId="4" fillId="6" borderId="0" xfId="0" applyNumberFormat="1" applyFont="1" applyFill="1" applyAlignment="1" applyProtection="1">
      <alignment horizontal="left" vertical="center"/>
      <protection hidden="1"/>
    </xf>
    <xf numFmtId="0" fontId="4" fillId="9" borderId="0" xfId="0" applyFont="1" applyFill="1" applyAlignment="1" applyProtection="1">
      <alignment horizontal="center"/>
      <protection hidden="1"/>
    </xf>
    <xf numFmtId="183" fontId="4" fillId="9" borderId="0" xfId="0" applyNumberFormat="1" applyFont="1" applyFill="1" applyAlignment="1" applyProtection="1">
      <alignment horizontal="center"/>
      <protection hidden="1"/>
    </xf>
    <xf numFmtId="4" fontId="0" fillId="0" borderId="0" xfId="0" applyNumberFormat="1" applyProtection="1">
      <protection hidden="1"/>
    </xf>
    <xf numFmtId="1" fontId="0" fillId="0" borderId="0" xfId="0" applyNumberFormat="1" applyAlignment="1" applyProtection="1">
      <alignment horizontal="center"/>
      <protection hidden="1"/>
    </xf>
    <xf numFmtId="0" fontId="0" fillId="0" borderId="0" xfId="0" applyProtection="1">
      <protection hidden="1"/>
    </xf>
    <xf numFmtId="181" fontId="5" fillId="0" borderId="1" xfId="0" quotePrefix="1" applyNumberFormat="1" applyFont="1" applyBorder="1" applyAlignment="1" applyProtection="1">
      <alignment horizontal="center"/>
      <protection hidden="1"/>
    </xf>
    <xf numFmtId="10" fontId="12" fillId="0" borderId="18" xfId="0" applyNumberFormat="1" applyFont="1" applyBorder="1" applyAlignment="1">
      <alignment horizontal="right"/>
    </xf>
    <xf numFmtId="4" fontId="5" fillId="0" borderId="4" xfId="0" applyNumberFormat="1" applyFont="1" applyBorder="1" applyAlignment="1" applyProtection="1">
      <alignment horizontal="center"/>
      <protection hidden="1"/>
    </xf>
    <xf numFmtId="4" fontId="5" fillId="0" borderId="8" xfId="0" applyNumberFormat="1" applyFont="1" applyBorder="1" applyAlignment="1" applyProtection="1">
      <alignment horizontal="center"/>
      <protection hidden="1"/>
    </xf>
    <xf numFmtId="4" fontId="5" fillId="0" borderId="5" xfId="0" applyNumberFormat="1" applyFont="1" applyBorder="1" applyAlignment="1" applyProtection="1">
      <alignment horizontal="center"/>
      <protection hidden="1"/>
    </xf>
    <xf numFmtId="200" fontId="21" fillId="3" borderId="0" xfId="7" applyNumberFormat="1" applyFont="1" applyFill="1" applyBorder="1" applyAlignment="1" applyProtection="1">
      <alignment horizontal="right" vertical="top"/>
      <protection locked="0" hidden="1"/>
    </xf>
    <xf numFmtId="0" fontId="5" fillId="3" borderId="1" xfId="0" applyFont="1" applyFill="1" applyBorder="1" applyAlignment="1" applyProtection="1">
      <alignment horizontal="center" vertical="center"/>
      <protection locked="0" hidden="1"/>
    </xf>
    <xf numFmtId="4" fontId="5" fillId="6" borderId="0" xfId="0" applyNumberFormat="1" applyFont="1" applyFill="1" applyAlignment="1" applyProtection="1">
      <alignment horizontal="center"/>
      <protection hidden="1"/>
    </xf>
    <xf numFmtId="0" fontId="21" fillId="6" borderId="0" xfId="0" applyFont="1" applyFill="1" applyAlignment="1" applyProtection="1">
      <alignment horizontal="center" vertical="center"/>
      <protection hidden="1"/>
    </xf>
    <xf numFmtId="0" fontId="5" fillId="6" borderId="0" xfId="0" applyFont="1" applyFill="1" applyAlignment="1" applyProtection="1">
      <alignment horizontal="center" vertical="center"/>
      <protection hidden="1"/>
    </xf>
    <xf numFmtId="164" fontId="10" fillId="0" borderId="0" xfId="12" applyNumberFormat="1" applyFont="1" applyFill="1" applyBorder="1" applyAlignment="1" applyProtection="1">
      <alignment horizontal="right"/>
    </xf>
    <xf numFmtId="10" fontId="12" fillId="0" borderId="18" xfId="0" applyNumberFormat="1" applyFont="1" applyBorder="1" applyAlignment="1" applyProtection="1">
      <alignment horizontal="right"/>
      <protection hidden="1"/>
    </xf>
    <xf numFmtId="49" fontId="23" fillId="0" borderId="0" xfId="9" applyNumberFormat="1" applyFill="1" applyAlignment="1" applyProtection="1">
      <alignment horizontal="right"/>
    </xf>
    <xf numFmtId="0" fontId="9" fillId="0" borderId="0" xfId="0" applyFont="1" applyAlignment="1" applyProtection="1">
      <alignment horizontal="center"/>
      <protection locked="0"/>
    </xf>
    <xf numFmtId="164" fontId="9" fillId="0" borderId="0" xfId="0" applyNumberFormat="1" applyFont="1" applyAlignment="1" applyProtection="1">
      <alignment horizontal="center" wrapText="1"/>
      <protection locked="0"/>
    </xf>
    <xf numFmtId="0" fontId="22" fillId="0" borderId="0" xfId="0" applyFont="1" applyAlignment="1" applyProtection="1">
      <alignment horizontal="center"/>
      <protection locked="0"/>
    </xf>
    <xf numFmtId="0" fontId="10" fillId="0" borderId="13" xfId="0" applyFont="1" applyBorder="1" applyAlignment="1" applyProtection="1">
      <alignment horizontal="center"/>
      <protection locked="0"/>
    </xf>
    <xf numFmtId="0" fontId="10" fillId="0" borderId="10" xfId="0" applyFont="1" applyBorder="1" applyAlignment="1" applyProtection="1">
      <alignment horizontal="center"/>
      <protection locked="0"/>
    </xf>
    <xf numFmtId="0" fontId="10" fillId="0" borderId="3" xfId="0" applyFont="1" applyBorder="1" applyAlignment="1" applyProtection="1">
      <alignment horizontal="center"/>
      <protection locked="0"/>
    </xf>
    <xf numFmtId="164" fontId="9" fillId="0" borderId="12" xfId="0" quotePrefix="1" applyNumberFormat="1" applyFont="1" applyBorder="1" applyAlignment="1" applyProtection="1">
      <alignment horizontal="center"/>
      <protection locked="0"/>
    </xf>
    <xf numFmtId="164" fontId="9" fillId="0" borderId="2" xfId="0" quotePrefix="1" applyNumberFormat="1" applyFont="1" applyBorder="1" applyAlignment="1" applyProtection="1">
      <alignment horizontal="center"/>
      <protection locked="0"/>
    </xf>
    <xf numFmtId="164" fontId="9" fillId="0" borderId="9" xfId="0" quotePrefix="1" applyNumberFormat="1" applyFont="1" applyBorder="1" applyAlignment="1" applyProtection="1">
      <alignment horizontal="center"/>
      <protection locked="0"/>
    </xf>
    <xf numFmtId="164" fontId="10" fillId="0" borderId="0" xfId="7" applyNumberFormat="1" applyFont="1" applyFill="1" applyBorder="1" applyAlignment="1" applyProtection="1">
      <alignment horizontal="right"/>
      <protection locked="0"/>
    </xf>
    <xf numFmtId="164" fontId="9" fillId="0" borderId="0" xfId="0" quotePrefix="1" applyNumberFormat="1" applyFont="1" applyAlignment="1" applyProtection="1">
      <alignment horizontal="right"/>
      <protection locked="0"/>
    </xf>
    <xf numFmtId="164" fontId="9" fillId="0" borderId="0" xfId="0" applyNumberFormat="1" applyFont="1" applyAlignment="1" applyProtection="1">
      <alignment horizontal="right"/>
      <protection locked="0"/>
    </xf>
    <xf numFmtId="164" fontId="10" fillId="0" borderId="0" xfId="0" quotePrefix="1" applyNumberFormat="1" applyFont="1" applyAlignment="1" applyProtection="1">
      <alignment horizontal="right"/>
      <protection locked="0"/>
    </xf>
    <xf numFmtId="164" fontId="10" fillId="0" borderId="0" xfId="0" applyNumberFormat="1" applyFont="1" applyProtection="1">
      <protection locked="0"/>
    </xf>
    <xf numFmtId="164" fontId="10" fillId="0" borderId="0" xfId="4" applyNumberFormat="1" applyFont="1" applyAlignment="1" applyProtection="1">
      <alignment horizontal="right"/>
      <protection locked="0"/>
    </xf>
    <xf numFmtId="164" fontId="10" fillId="0" borderId="0" xfId="0" applyNumberFormat="1" applyFont="1" applyAlignment="1" applyProtection="1">
      <alignment horizontal="right"/>
      <protection locked="0" hidden="1"/>
    </xf>
    <xf numFmtId="0" fontId="44" fillId="3" borderId="0" xfId="0" applyFont="1" applyFill="1" applyAlignment="1" applyProtection="1">
      <alignment horizontal="center"/>
      <protection locked="0"/>
    </xf>
    <xf numFmtId="4" fontId="14" fillId="3" borderId="1" xfId="0" applyNumberFormat="1" applyFont="1" applyFill="1" applyBorder="1" applyAlignment="1" applyProtection="1">
      <alignment horizontal="left"/>
      <protection locked="0"/>
    </xf>
    <xf numFmtId="4" fontId="5" fillId="0" borderId="4" xfId="0" applyNumberFormat="1" applyFont="1" applyBorder="1" applyAlignment="1" applyProtection="1">
      <alignment horizontal="center"/>
      <protection hidden="1"/>
    </xf>
    <xf numFmtId="4" fontId="5" fillId="0" borderId="8" xfId="0" applyNumberFormat="1" applyFont="1" applyBorder="1" applyAlignment="1" applyProtection="1">
      <alignment horizontal="center"/>
      <protection hidden="1"/>
    </xf>
    <xf numFmtId="200" fontId="21" fillId="3" borderId="0" xfId="7" applyNumberFormat="1" applyFont="1" applyFill="1" applyBorder="1" applyAlignment="1" applyProtection="1">
      <alignment horizontal="right"/>
      <protection locked="0" hidden="1"/>
    </xf>
    <xf numFmtId="165" fontId="37" fillId="3" borderId="0" xfId="0" applyNumberFormat="1" applyFont="1" applyFill="1" applyAlignment="1" applyProtection="1">
      <alignment horizontal="center"/>
      <protection locked="0" hidden="1"/>
    </xf>
    <xf numFmtId="201" fontId="5" fillId="0" borderId="0" xfId="0" applyNumberFormat="1" applyFont="1" applyAlignment="1" applyProtection="1">
      <alignment horizontal="left"/>
      <protection hidden="1"/>
    </xf>
    <xf numFmtId="1" fontId="5" fillId="0" borderId="1" xfId="0" applyNumberFormat="1" applyFont="1" applyBorder="1" applyAlignment="1" applyProtection="1">
      <alignment horizontal="center" vertical="center"/>
      <protection hidden="1"/>
    </xf>
    <xf numFmtId="0" fontId="5" fillId="0" borderId="1" xfId="0" applyFont="1" applyBorder="1" applyAlignment="1" applyProtection="1">
      <alignment horizontal="center" vertical="center"/>
      <protection hidden="1"/>
    </xf>
    <xf numFmtId="4" fontId="5" fillId="0" borderId="10" xfId="0" applyNumberFormat="1" applyFont="1" applyBorder="1" applyAlignment="1" applyProtection="1">
      <alignment horizontal="center" vertical="center" wrapText="1"/>
      <protection hidden="1"/>
    </xf>
    <xf numFmtId="4" fontId="5" fillId="0" borderId="13" xfId="0" applyNumberFormat="1" applyFont="1" applyBorder="1" applyAlignment="1" applyProtection="1">
      <alignment horizontal="center" vertical="center" wrapText="1"/>
      <protection hidden="1"/>
    </xf>
    <xf numFmtId="4" fontId="5" fillId="0" borderId="2" xfId="0" applyNumberFormat="1" applyFont="1" applyBorder="1" applyAlignment="1" applyProtection="1">
      <alignment horizontal="center" vertical="center" wrapText="1"/>
      <protection hidden="1"/>
    </xf>
    <xf numFmtId="4" fontId="5" fillId="0" borderId="12" xfId="0" applyNumberFormat="1" applyFont="1" applyBorder="1" applyAlignment="1" applyProtection="1">
      <alignment horizontal="center" vertical="center" wrapText="1"/>
      <protection hidden="1"/>
    </xf>
    <xf numFmtId="4" fontId="5" fillId="0" borderId="5" xfId="0" applyNumberFormat="1" applyFont="1" applyBorder="1" applyAlignment="1" applyProtection="1">
      <alignment horizontal="center"/>
      <protection hidden="1"/>
    </xf>
    <xf numFmtId="184" fontId="21" fillId="0" borderId="1" xfId="0" applyNumberFormat="1" applyFont="1" applyBorder="1" applyAlignment="1" applyProtection="1">
      <alignment horizontal="center"/>
      <protection hidden="1"/>
    </xf>
    <xf numFmtId="4" fontId="14" fillId="3" borderId="4" xfId="0" applyNumberFormat="1" applyFont="1" applyFill="1" applyBorder="1" applyAlignment="1" applyProtection="1">
      <alignment horizontal="left"/>
      <protection locked="0"/>
    </xf>
    <xf numFmtId="4" fontId="14" fillId="3" borderId="5" xfId="0" applyNumberFormat="1" applyFont="1" applyFill="1" applyBorder="1" applyAlignment="1" applyProtection="1">
      <alignment horizontal="left"/>
      <protection locked="0"/>
    </xf>
    <xf numFmtId="4" fontId="14" fillId="3" borderId="8" xfId="0" applyNumberFormat="1" applyFont="1" applyFill="1" applyBorder="1" applyAlignment="1" applyProtection="1">
      <alignment horizontal="left"/>
      <protection locked="0"/>
    </xf>
    <xf numFmtId="200" fontId="21" fillId="3" borderId="0" xfId="7" applyNumberFormat="1" applyFont="1" applyFill="1" applyBorder="1" applyAlignment="1" applyProtection="1">
      <alignment horizontal="right" vertical="top"/>
      <protection locked="0" hidden="1"/>
    </xf>
    <xf numFmtId="199" fontId="5" fillId="0" borderId="0" xfId="0" applyNumberFormat="1" applyFont="1" applyAlignment="1" applyProtection="1">
      <alignment horizontal="left"/>
      <protection hidden="1"/>
    </xf>
    <xf numFmtId="0" fontId="5" fillId="3" borderId="1" xfId="0" applyFont="1" applyFill="1" applyBorder="1" applyAlignment="1" applyProtection="1">
      <alignment horizontal="center" vertical="center"/>
      <protection locked="0" hidden="1"/>
    </xf>
    <xf numFmtId="4" fontId="21" fillId="3" borderId="4" xfId="4" applyNumberFormat="1" applyFont="1" applyFill="1" applyBorder="1" applyAlignment="1" applyProtection="1">
      <alignment horizontal="right"/>
      <protection locked="0"/>
    </xf>
    <xf numFmtId="4" fontId="21" fillId="3" borderId="8" xfId="4" applyNumberFormat="1" applyFont="1" applyFill="1" applyBorder="1" applyAlignment="1" applyProtection="1">
      <alignment horizontal="right"/>
      <protection locked="0"/>
    </xf>
    <xf numFmtId="168" fontId="5" fillId="3" borderId="4" xfId="0" applyNumberFormat="1" applyFont="1" applyFill="1" applyBorder="1" applyAlignment="1" applyProtection="1">
      <alignment horizontal="center"/>
      <protection locked="0" hidden="1"/>
    </xf>
    <xf numFmtId="168" fontId="5" fillId="3" borderId="5" xfId="0" applyNumberFormat="1" applyFont="1" applyFill="1" applyBorder="1" applyAlignment="1" applyProtection="1">
      <alignment horizontal="center"/>
      <protection locked="0" hidden="1"/>
    </xf>
    <xf numFmtId="168" fontId="5" fillId="3" borderId="8" xfId="0" applyNumberFormat="1" applyFont="1" applyFill="1" applyBorder="1" applyAlignment="1" applyProtection="1">
      <alignment horizontal="center"/>
      <protection locked="0" hidden="1"/>
    </xf>
    <xf numFmtId="188" fontId="14" fillId="0" borderId="11" xfId="0" applyNumberFormat="1" applyFont="1" applyBorder="1" applyAlignment="1" applyProtection="1">
      <alignment horizontal="center"/>
      <protection hidden="1"/>
    </xf>
    <xf numFmtId="188" fontId="14" fillId="0" borderId="0" xfId="0" applyNumberFormat="1" applyFont="1" applyAlignment="1" applyProtection="1">
      <alignment horizontal="center"/>
      <protection hidden="1"/>
    </xf>
    <xf numFmtId="189" fontId="14" fillId="0" borderId="0" xfId="0" applyNumberFormat="1" applyFont="1" applyAlignment="1" applyProtection="1">
      <alignment horizontal="center"/>
      <protection hidden="1"/>
    </xf>
    <xf numFmtId="196" fontId="21" fillId="3" borderId="4" xfId="0" applyNumberFormat="1" applyFont="1" applyFill="1" applyBorder="1" applyAlignment="1" applyProtection="1">
      <alignment horizontal="center" vertical="center"/>
      <protection locked="0" hidden="1"/>
    </xf>
    <xf numFmtId="196" fontId="21" fillId="3" borderId="8" xfId="0" applyNumberFormat="1" applyFont="1" applyFill="1" applyBorder="1" applyAlignment="1" applyProtection="1">
      <alignment horizontal="center" vertical="center"/>
      <protection locked="0" hidden="1"/>
    </xf>
    <xf numFmtId="205" fontId="14" fillId="0" borderId="0" xfId="0" applyNumberFormat="1" applyFont="1" applyAlignment="1" applyProtection="1">
      <alignment horizontal="center"/>
      <protection hidden="1"/>
    </xf>
    <xf numFmtId="203" fontId="14" fillId="0" borderId="2" xfId="0" applyNumberFormat="1" applyFont="1" applyBorder="1" applyAlignment="1" applyProtection="1">
      <alignment horizontal="center"/>
      <protection hidden="1"/>
    </xf>
    <xf numFmtId="202" fontId="14" fillId="0" borderId="2" xfId="0" applyNumberFormat="1" applyFont="1" applyBorder="1" applyAlignment="1" applyProtection="1">
      <alignment horizontal="right"/>
      <protection hidden="1"/>
    </xf>
    <xf numFmtId="204" fontId="21" fillId="0" borderId="2" xfId="0" applyNumberFormat="1" applyFont="1" applyBorder="1" applyAlignment="1" applyProtection="1">
      <alignment horizontal="center"/>
      <protection hidden="1"/>
    </xf>
    <xf numFmtId="204" fontId="21" fillId="0" borderId="12" xfId="0" applyNumberFormat="1" applyFont="1" applyBorder="1" applyAlignment="1" applyProtection="1">
      <alignment horizontal="center"/>
      <protection hidden="1"/>
    </xf>
    <xf numFmtId="206" fontId="14" fillId="0" borderId="0" xfId="0" applyNumberFormat="1" applyFont="1" applyAlignment="1" applyProtection="1">
      <alignment horizontal="center"/>
      <protection hidden="1"/>
    </xf>
    <xf numFmtId="206" fontId="14" fillId="0" borderId="19" xfId="0" applyNumberFormat="1" applyFont="1" applyBorder="1" applyAlignment="1" applyProtection="1">
      <alignment horizontal="center"/>
      <protection hidden="1"/>
    </xf>
    <xf numFmtId="207" fontId="14" fillId="0" borderId="0" xfId="0" applyNumberFormat="1" applyFont="1" applyAlignment="1" applyProtection="1">
      <alignment horizontal="center"/>
      <protection hidden="1"/>
    </xf>
    <xf numFmtId="208" fontId="14" fillId="0" borderId="10" xfId="0" applyNumberFormat="1" applyFont="1" applyBorder="1" applyAlignment="1" applyProtection="1">
      <alignment horizontal="left" indent="1"/>
      <protection hidden="1"/>
    </xf>
    <xf numFmtId="0" fontId="18" fillId="3" borderId="4" xfId="0" quotePrefix="1" applyFont="1" applyFill="1" applyBorder="1" applyAlignment="1" applyProtection="1">
      <alignment horizontal="left" vertical="center"/>
      <protection locked="0"/>
    </xf>
    <xf numFmtId="0" fontId="18" fillId="3" borderId="5" xfId="0" quotePrefix="1" applyFont="1" applyFill="1" applyBorder="1" applyAlignment="1" applyProtection="1">
      <alignment horizontal="left" vertical="center"/>
      <protection locked="0"/>
    </xf>
    <xf numFmtId="0" fontId="18" fillId="3" borderId="8" xfId="0" quotePrefix="1" applyFont="1" applyFill="1" applyBorder="1" applyAlignment="1" applyProtection="1">
      <alignment horizontal="left" vertical="center"/>
      <protection locked="0"/>
    </xf>
    <xf numFmtId="0" fontId="5" fillId="3" borderId="6" xfId="0" applyFont="1" applyFill="1" applyBorder="1" applyAlignment="1" applyProtection="1">
      <alignment horizontal="center" vertical="center"/>
      <protection locked="0" hidden="1"/>
    </xf>
    <xf numFmtId="0" fontId="5" fillId="3" borderId="2" xfId="0" applyFont="1" applyFill="1" applyBorder="1" applyAlignment="1" applyProtection="1">
      <alignment horizontal="center" vertical="center"/>
      <protection locked="0" hidden="1"/>
    </xf>
    <xf numFmtId="0" fontId="5" fillId="3" borderId="12" xfId="0" applyFont="1" applyFill="1" applyBorder="1" applyAlignment="1" applyProtection="1">
      <alignment horizontal="center" vertical="center"/>
      <protection locked="0" hidden="1"/>
    </xf>
    <xf numFmtId="17" fontId="5" fillId="3" borderId="1" xfId="0" applyNumberFormat="1" applyFont="1" applyFill="1" applyBorder="1" applyAlignment="1" applyProtection="1">
      <alignment horizontal="center"/>
      <protection locked="0" hidden="1"/>
    </xf>
    <xf numFmtId="0" fontId="5" fillId="3" borderId="4" xfId="0" applyFont="1" applyFill="1" applyBorder="1" applyAlignment="1" applyProtection="1">
      <alignment horizontal="center" vertical="center"/>
      <protection locked="0" hidden="1"/>
    </xf>
    <xf numFmtId="0" fontId="5" fillId="3" borderId="5" xfId="0" applyFont="1" applyFill="1" applyBorder="1" applyAlignment="1" applyProtection="1">
      <alignment horizontal="center" vertical="center"/>
      <protection locked="0" hidden="1"/>
    </xf>
    <xf numFmtId="0" fontId="5" fillId="3" borderId="8" xfId="0" applyFont="1" applyFill="1" applyBorder="1" applyAlignment="1" applyProtection="1">
      <alignment horizontal="center" vertical="center"/>
      <protection locked="0" hidden="1"/>
    </xf>
    <xf numFmtId="0" fontId="32" fillId="3" borderId="0" xfId="0" quotePrefix="1" applyFont="1" applyFill="1" applyAlignment="1" applyProtection="1">
      <alignment horizontal="left"/>
      <protection locked="0"/>
    </xf>
    <xf numFmtId="0" fontId="14" fillId="3" borderId="0" xfId="0" applyFont="1" applyFill="1" applyAlignment="1" applyProtection="1">
      <alignment horizontal="left" vertical="center"/>
      <protection locked="0"/>
    </xf>
    <xf numFmtId="4" fontId="5" fillId="6" borderId="0" xfId="0" applyNumberFormat="1" applyFont="1" applyFill="1" applyAlignment="1" applyProtection="1">
      <alignment horizontal="center"/>
      <protection hidden="1"/>
    </xf>
    <xf numFmtId="17" fontId="5" fillId="3" borderId="1" xfId="0" applyNumberFormat="1" applyFont="1" applyFill="1" applyBorder="1" applyAlignment="1" applyProtection="1">
      <alignment horizontal="center"/>
      <protection locked="0"/>
    </xf>
    <xf numFmtId="4" fontId="5" fillId="0" borderId="3" xfId="0" applyNumberFormat="1" applyFont="1" applyBorder="1" applyAlignment="1" applyProtection="1">
      <alignment horizontal="center" vertical="center" wrapText="1"/>
      <protection hidden="1"/>
    </xf>
    <xf numFmtId="4" fontId="5" fillId="0" borderId="20" xfId="0" applyNumberFormat="1" applyFont="1" applyBorder="1" applyAlignment="1" applyProtection="1">
      <alignment horizontal="center" vertical="center" wrapText="1"/>
      <protection hidden="1"/>
    </xf>
    <xf numFmtId="4" fontId="5" fillId="0" borderId="9" xfId="0" applyNumberFormat="1" applyFont="1" applyBorder="1" applyAlignment="1" applyProtection="1">
      <alignment horizontal="center" vertical="center" wrapText="1"/>
      <protection hidden="1"/>
    </xf>
    <xf numFmtId="0" fontId="18" fillId="3" borderId="1" xfId="0" quotePrefix="1" applyFont="1" applyFill="1" applyBorder="1" applyAlignment="1" applyProtection="1">
      <alignment horizontal="center" vertical="center"/>
      <protection locked="0"/>
    </xf>
    <xf numFmtId="0" fontId="18" fillId="3" borderId="1" xfId="0" applyFont="1" applyFill="1" applyBorder="1" applyAlignment="1" applyProtection="1">
      <alignment horizontal="center" vertical="center"/>
      <protection locked="0"/>
    </xf>
    <xf numFmtId="17" fontId="35" fillId="3" borderId="2" xfId="0" applyNumberFormat="1" applyFont="1" applyFill="1" applyBorder="1" applyAlignment="1" applyProtection="1">
      <alignment horizontal="left"/>
      <protection locked="0"/>
    </xf>
    <xf numFmtId="17" fontId="35" fillId="3" borderId="0" xfId="0" applyNumberFormat="1" applyFont="1" applyFill="1" applyAlignment="1" applyProtection="1">
      <alignment horizontal="left"/>
      <protection locked="0"/>
    </xf>
    <xf numFmtId="17" fontId="35" fillId="3" borderId="4" xfId="0" applyNumberFormat="1" applyFont="1" applyFill="1" applyBorder="1" applyAlignment="1" applyProtection="1">
      <alignment horizontal="center"/>
      <protection locked="0"/>
    </xf>
    <xf numFmtId="17" fontId="35" fillId="3" borderId="5" xfId="0" applyNumberFormat="1" applyFont="1" applyFill="1" applyBorder="1" applyAlignment="1" applyProtection="1">
      <alignment horizontal="center"/>
      <protection locked="0"/>
    </xf>
    <xf numFmtId="0" fontId="37" fillId="3" borderId="4" xfId="0" applyFont="1" applyFill="1" applyBorder="1" applyAlignment="1" applyProtection="1">
      <alignment horizontal="center" vertical="center"/>
      <protection locked="0"/>
    </xf>
    <xf numFmtId="0" fontId="37" fillId="3" borderId="8" xfId="0" applyFont="1" applyFill="1" applyBorder="1" applyAlignment="1" applyProtection="1">
      <alignment horizontal="center" vertical="center"/>
      <protection locked="0"/>
    </xf>
    <xf numFmtId="0" fontId="4" fillId="6" borderId="0" xfId="0" applyFont="1" applyFill="1" applyAlignment="1" applyProtection="1">
      <alignment horizontal="center" vertical="center"/>
      <protection hidden="1"/>
    </xf>
    <xf numFmtId="0" fontId="49" fillId="3" borderId="0" xfId="9" quotePrefix="1" applyFont="1" applyFill="1" applyBorder="1" applyAlignment="1" applyProtection="1">
      <alignment horizontal="left"/>
      <protection locked="0"/>
    </xf>
    <xf numFmtId="0" fontId="18" fillId="3" borderId="4" xfId="0" applyFont="1" applyFill="1" applyBorder="1" applyAlignment="1" applyProtection="1">
      <alignment horizontal="center" vertical="center"/>
      <protection locked="0"/>
    </xf>
    <xf numFmtId="0" fontId="18" fillId="3" borderId="4" xfId="0" quotePrefix="1" applyFont="1" applyFill="1" applyBorder="1" applyAlignment="1" applyProtection="1">
      <alignment horizontal="center" vertical="center"/>
      <protection locked="0"/>
    </xf>
    <xf numFmtId="0" fontId="18" fillId="3" borderId="5" xfId="0" applyFont="1" applyFill="1" applyBorder="1" applyAlignment="1" applyProtection="1">
      <alignment horizontal="center" vertical="center"/>
      <protection locked="0"/>
    </xf>
    <xf numFmtId="0" fontId="18" fillId="3" borderId="8" xfId="0" applyFont="1" applyFill="1" applyBorder="1" applyAlignment="1" applyProtection="1">
      <alignment horizontal="center" vertical="center"/>
      <protection locked="0"/>
    </xf>
    <xf numFmtId="17" fontId="5" fillId="3" borderId="4" xfId="0" applyNumberFormat="1" applyFont="1" applyFill="1" applyBorder="1" applyAlignment="1" applyProtection="1">
      <alignment horizontal="center"/>
      <protection locked="0"/>
    </xf>
    <xf numFmtId="17" fontId="5" fillId="3" borderId="5" xfId="0" applyNumberFormat="1" applyFont="1" applyFill="1" applyBorder="1" applyAlignment="1" applyProtection="1">
      <alignment horizontal="center"/>
      <protection locked="0"/>
    </xf>
    <xf numFmtId="0" fontId="21" fillId="3" borderId="0" xfId="0" applyFont="1" applyFill="1" applyAlignment="1" applyProtection="1">
      <alignment horizontal="center"/>
      <protection locked="0" hidden="1"/>
    </xf>
    <xf numFmtId="0" fontId="4" fillId="3" borderId="0" xfId="0" applyFont="1" applyFill="1" applyAlignment="1" applyProtection="1">
      <alignment horizontal="left" vertical="center"/>
      <protection locked="0"/>
    </xf>
    <xf numFmtId="172" fontId="21" fillId="3" borderId="4" xfId="0" applyNumberFormat="1" applyFont="1" applyFill="1" applyBorder="1" applyAlignment="1" applyProtection="1">
      <alignment horizontal="center" vertical="center"/>
      <protection locked="0"/>
    </xf>
    <xf numFmtId="172" fontId="21" fillId="3" borderId="8" xfId="0" applyNumberFormat="1" applyFont="1" applyFill="1" applyBorder="1" applyAlignment="1" applyProtection="1">
      <alignment horizontal="center" vertical="center"/>
      <protection locked="0"/>
    </xf>
    <xf numFmtId="0" fontId="29" fillId="3" borderId="0" xfId="0" applyFont="1" applyFill="1" applyAlignment="1" applyProtection="1">
      <alignment vertical="center"/>
      <protection locked="0"/>
    </xf>
    <xf numFmtId="0" fontId="21" fillId="6" borderId="0" xfId="0" applyFont="1" applyFill="1" applyAlignment="1" applyProtection="1">
      <alignment horizontal="center" vertical="center"/>
      <protection hidden="1"/>
    </xf>
    <xf numFmtId="0" fontId="5" fillId="6" borderId="0" xfId="0" applyFont="1" applyFill="1" applyAlignment="1" applyProtection="1">
      <alignment horizontal="center" vertical="center"/>
      <protection hidden="1"/>
    </xf>
    <xf numFmtId="1" fontId="5" fillId="3" borderId="1" xfId="0" applyNumberFormat="1" applyFont="1" applyFill="1" applyBorder="1" applyAlignment="1" applyProtection="1">
      <alignment horizontal="right" indent="1"/>
      <protection locked="0" hidden="1"/>
    </xf>
    <xf numFmtId="0" fontId="14" fillId="0" borderId="4" xfId="0" applyFont="1" applyBorder="1" applyAlignment="1" applyProtection="1">
      <alignment horizontal="center"/>
      <protection hidden="1"/>
    </xf>
    <xf numFmtId="0" fontId="14" fillId="0" borderId="5" xfId="0" applyFont="1" applyBorder="1" applyAlignment="1" applyProtection="1">
      <alignment horizontal="center"/>
      <protection hidden="1"/>
    </xf>
    <xf numFmtId="0" fontId="14" fillId="0" borderId="8" xfId="0" applyFont="1" applyBorder="1" applyAlignment="1" applyProtection="1">
      <alignment horizontal="center"/>
      <protection hidden="1"/>
    </xf>
    <xf numFmtId="0" fontId="28" fillId="3" borderId="0" xfId="0" applyFont="1" applyFill="1" applyAlignment="1" applyProtection="1">
      <alignment horizontal="center" vertical="center"/>
      <protection locked="0"/>
    </xf>
    <xf numFmtId="0" fontId="14" fillId="3" borderId="0" xfId="0" applyFont="1" applyFill="1" applyAlignment="1" applyProtection="1">
      <alignment horizontal="center" vertical="center"/>
      <protection locked="0"/>
    </xf>
    <xf numFmtId="174" fontId="29" fillId="3" borderId="0" xfId="0" applyNumberFormat="1" applyFont="1" applyFill="1" applyAlignment="1" applyProtection="1">
      <alignment vertical="center"/>
      <protection locked="0"/>
    </xf>
    <xf numFmtId="0" fontId="5" fillId="3" borderId="4" xfId="0"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protection locked="0"/>
    </xf>
    <xf numFmtId="0" fontId="5" fillId="3" borderId="8" xfId="0" applyFont="1" applyFill="1" applyBorder="1" applyAlignment="1" applyProtection="1">
      <alignment horizontal="center" vertical="center"/>
      <protection locked="0"/>
    </xf>
  </cellXfs>
  <cellStyles count="14">
    <cellStyle name="Euro" xfId="1" xr:uid="{00000000-0005-0000-0000-000000000000}"/>
    <cellStyle name="Hiperlink" xfId="9" builtinId="8"/>
    <cellStyle name="Hyperlink" xfId="2" xr:uid="{00000000-0005-0000-0000-000002000000}"/>
    <cellStyle name="Normal" xfId="0" builtinId="0"/>
    <cellStyle name="Normal 2" xfId="3" xr:uid="{00000000-0005-0000-0000-000004000000}"/>
    <cellStyle name="Normal 2 2" xfId="4" xr:uid="{00000000-0005-0000-0000-000005000000}"/>
    <cellStyle name="Normal 3" xfId="5" xr:uid="{00000000-0005-0000-0000-000006000000}"/>
    <cellStyle name="Normal 4" xfId="6" xr:uid="{00000000-0005-0000-0000-000007000000}"/>
    <cellStyle name="Normal 4 2" xfId="11" xr:uid="{00000000-0005-0000-0000-000008000000}"/>
    <cellStyle name="Normal 5" xfId="13" xr:uid="{F89D1F49-D765-4E1B-9C89-6B3AD7C63BB4}"/>
    <cellStyle name="Porcentagem 2" xfId="10" xr:uid="{00000000-0005-0000-0000-000009000000}"/>
    <cellStyle name="Vírgula" xfId="7" builtinId="3"/>
    <cellStyle name="Vírgula 2" xfId="8" xr:uid="{00000000-0005-0000-0000-00000B000000}"/>
    <cellStyle name="Vírgula 2 2" xfId="12" xr:uid="{00000000-0005-0000-0000-00000C000000}"/>
  </cellStyles>
  <dxfs count="33">
    <dxf>
      <font>
        <color theme="0"/>
      </font>
      <numFmt numFmtId="0" formatCode="General"/>
      <fill>
        <patternFill>
          <bgColor theme="0"/>
        </patternFill>
      </fill>
      <border>
        <left/>
        <right/>
        <top/>
        <bottom/>
        <vertical/>
        <horizontal/>
      </border>
    </dxf>
    <dxf>
      <font>
        <color theme="0"/>
      </font>
      <numFmt numFmtId="0" formatCode="General"/>
      <fill>
        <patternFill>
          <bgColor theme="0"/>
        </patternFill>
      </fill>
      <border>
        <left/>
        <right/>
        <top/>
        <bottom/>
        <vertical/>
        <horizontal/>
      </border>
    </dxf>
    <dxf>
      <font>
        <color theme="0"/>
      </font>
      <numFmt numFmtId="0" formatCode="General"/>
      <fill>
        <patternFill>
          <bgColor theme="0"/>
        </patternFill>
      </fill>
      <border>
        <left/>
        <right/>
        <top/>
        <bottom/>
        <vertical/>
        <horizontal/>
      </border>
    </dxf>
    <dxf>
      <font>
        <color theme="0"/>
      </font>
      <numFmt numFmtId="0" formatCode="General"/>
      <fill>
        <patternFill>
          <bgColor theme="0"/>
        </patternFill>
      </fill>
      <border>
        <left/>
        <right/>
        <top/>
        <bottom/>
        <vertical/>
        <horizontal/>
      </border>
    </dxf>
    <dxf>
      <font>
        <color theme="0"/>
      </font>
      <numFmt numFmtId="190" formatCode="&quot;&quot;"/>
    </dxf>
    <dxf>
      <font>
        <color theme="0"/>
      </font>
      <fill>
        <patternFill>
          <bgColor theme="0"/>
        </patternFill>
      </fill>
      <border>
        <vertical/>
        <horizontal/>
      </border>
    </dxf>
    <dxf>
      <font>
        <color theme="0"/>
      </font>
      <numFmt numFmtId="190" formatCode="&quot;&quot;"/>
      <fill>
        <patternFill>
          <bgColor theme="0"/>
        </patternFill>
      </fill>
    </dxf>
    <dxf>
      <font>
        <color theme="0"/>
      </font>
      <numFmt numFmtId="190" formatCode="&quot;&quot;"/>
      <fill>
        <patternFill>
          <bgColor theme="0"/>
        </patternFill>
      </fill>
    </dxf>
    <dxf>
      <font>
        <color theme="0"/>
      </font>
      <numFmt numFmtId="190" formatCode="&quot;&quot;"/>
      <fill>
        <patternFill>
          <bgColor theme="0"/>
        </patternFill>
      </fill>
      <border>
        <left/>
        <right/>
        <top/>
        <bottom/>
        <vertical/>
        <horizontal/>
      </border>
    </dxf>
    <dxf>
      <font>
        <color theme="0"/>
      </font>
      <fill>
        <patternFill>
          <bgColor theme="0"/>
        </patternFill>
      </fill>
    </dxf>
    <dxf>
      <font>
        <color theme="0"/>
      </font>
      <numFmt numFmtId="190" formatCode="&quot;&quot;"/>
      <fill>
        <patternFill>
          <bgColor theme="0"/>
        </patternFill>
      </fill>
    </dxf>
    <dxf>
      <font>
        <color theme="0"/>
      </font>
      <fill>
        <patternFill>
          <bgColor theme="0"/>
        </patternFill>
      </fill>
      <border>
        <vertical/>
        <horizontal/>
      </border>
    </dxf>
    <dxf>
      <font>
        <color theme="0"/>
      </font>
      <fill>
        <patternFill>
          <bgColor theme="0"/>
        </patternFill>
      </fill>
    </dxf>
    <dxf>
      <font>
        <color theme="0"/>
      </font>
      <numFmt numFmtId="0" formatCode="General"/>
      <fill>
        <patternFill>
          <bgColor theme="0"/>
        </patternFill>
      </fill>
    </dxf>
    <dxf>
      <font>
        <color theme="0"/>
      </font>
      <fill>
        <patternFill>
          <bgColor theme="0"/>
        </patternFill>
      </fill>
      <border>
        <left/>
        <right/>
        <top/>
        <bottom/>
        <vertical/>
        <horizontal/>
      </border>
    </dxf>
    <dxf>
      <font>
        <color auto="1"/>
      </font>
      <numFmt numFmtId="0" formatCode="General"/>
    </dxf>
    <dxf>
      <font>
        <color theme="0"/>
      </font>
      <numFmt numFmtId="190" formatCode="&quot;&quot;"/>
      <fill>
        <patternFill>
          <bgColor theme="0"/>
        </patternFill>
      </fill>
      <border>
        <right/>
        <top/>
        <bottom/>
        <vertical/>
        <horizontal/>
      </border>
    </dxf>
    <dxf>
      <numFmt numFmtId="212" formatCode="##&quot; PARCELAS IGUAIS&quot;"/>
    </dxf>
    <dxf>
      <font>
        <color theme="0"/>
      </font>
    </dxf>
    <dxf>
      <font>
        <color theme="0"/>
      </font>
      <numFmt numFmtId="190" formatCode="&quot;&quot;"/>
      <fill>
        <patternFill>
          <bgColor theme="0"/>
        </patternFill>
      </fill>
    </dxf>
    <dxf>
      <numFmt numFmtId="14" formatCode="0.00%"/>
    </dxf>
    <dxf>
      <font>
        <color theme="0"/>
      </font>
      <numFmt numFmtId="0" formatCode="General"/>
      <fill>
        <patternFill>
          <bgColor theme="0"/>
        </patternFill>
      </fill>
      <border>
        <left/>
        <right/>
        <top/>
        <bottom/>
      </border>
    </dxf>
    <dxf>
      <font>
        <color theme="0"/>
      </font>
      <fill>
        <patternFill>
          <bgColor theme="0"/>
        </patternFill>
      </fill>
    </dxf>
    <dxf>
      <numFmt numFmtId="14" formatCode="0.00%"/>
    </dxf>
    <dxf>
      <numFmt numFmtId="213" formatCode="&quot;DÉBITOS APÓS FIM DO PRAZO PARA LIQUIDAR E ANTERIORES AO TERMO FINAL&quot;"/>
    </dxf>
    <dxf>
      <font>
        <color theme="0"/>
      </font>
      <numFmt numFmtId="0" formatCode="General"/>
      <fill>
        <patternFill>
          <bgColor theme="0"/>
        </patternFill>
      </fill>
      <border>
        <left/>
        <right/>
        <top/>
        <bottom/>
        <vertical/>
        <horizontal/>
      </border>
    </dxf>
    <dxf>
      <font>
        <color theme="0"/>
      </font>
      <numFmt numFmtId="0" formatCode="General"/>
      <fill>
        <patternFill>
          <bgColor theme="0"/>
        </patternFill>
      </fill>
      <border>
        <left/>
        <right/>
        <top/>
        <bottom/>
        <vertical/>
        <horizontal/>
      </border>
    </dxf>
    <dxf>
      <font>
        <color theme="0"/>
      </font>
      <numFmt numFmtId="190" formatCode="&quot;&quot;"/>
      <fill>
        <patternFill>
          <bgColor theme="0"/>
        </patternFill>
      </fill>
    </dxf>
    <dxf>
      <font>
        <color theme="0"/>
      </font>
      <fill>
        <patternFill>
          <bgColor theme="0"/>
        </patternFill>
      </fill>
    </dxf>
    <dxf>
      <font>
        <color theme="0"/>
      </font>
      <numFmt numFmtId="190" formatCode="&quot;&quot;"/>
      <fill>
        <patternFill>
          <bgColor theme="0"/>
        </patternFill>
      </fill>
    </dxf>
    <dxf>
      <font>
        <color theme="0"/>
      </font>
      <numFmt numFmtId="190" formatCode="&quot;&quot;"/>
      <fill>
        <patternFill>
          <bgColor theme="0"/>
        </patternFill>
      </fill>
    </dxf>
    <dxf>
      <font>
        <color theme="0"/>
      </font>
      <numFmt numFmtId="190" formatCode="&quot;&quot;"/>
      <fill>
        <patternFill>
          <bgColor theme="0"/>
        </patternFill>
      </fill>
    </dxf>
    <dxf>
      <numFmt numFmtId="214" formatCode="##&quot; PARCELAS&quot;"/>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256761</xdr:colOff>
      <xdr:row>4</xdr:row>
      <xdr:rowOff>124380</xdr:rowOff>
    </xdr:to>
    <xdr:pic>
      <xdr:nvPicPr>
        <xdr:cNvPr id="5" name="Imagem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64935" y="0"/>
          <a:ext cx="1374913" cy="7869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suportesistemastjsp.com.br/" TargetMode="External"/><Relationship Id="rId7" Type="http://schemas.openxmlformats.org/officeDocument/2006/relationships/comments" Target="../comments1.xml"/><Relationship Id="rId2" Type="http://schemas.openxmlformats.org/officeDocument/2006/relationships/hyperlink" Target="https://api.tjsp.jus.br/Handlers/Handler/FileFetch.ashx?codigo=136012" TargetMode="External"/><Relationship Id="rId1" Type="http://schemas.openxmlformats.org/officeDocument/2006/relationships/hyperlink" Target="mailto:spi.planilhacalculos@tjsp.jus.br"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DL3225"/>
  <sheetViews>
    <sheetView tabSelected="1" zoomScale="115" zoomScaleNormal="115" workbookViewId="0"/>
  </sheetViews>
  <sheetFormatPr defaultColWidth="0" defaultRowHeight="12.75" x14ac:dyDescent="0.2"/>
  <cols>
    <col min="1" max="1" width="10.7109375" style="2" customWidth="1"/>
    <col min="2" max="2" width="10.7109375" style="1" customWidth="1"/>
    <col min="3" max="3" width="14.7109375" style="1" customWidth="1"/>
    <col min="4" max="4" width="15.7109375" style="10" customWidth="1"/>
    <col min="5" max="8" width="13.7109375" style="10" hidden="1" customWidth="1"/>
    <col min="9" max="9" width="13.7109375" style="13" customWidth="1"/>
    <col min="10" max="10" width="16.7109375" style="11" customWidth="1"/>
    <col min="11" max="11" width="15.7109375" style="1" customWidth="1"/>
    <col min="12" max="12" width="14.7109375" style="81" customWidth="1"/>
    <col min="13" max="13" width="10.7109375" style="11" customWidth="1"/>
    <col min="14" max="14" width="14.7109375" style="68" customWidth="1"/>
    <col min="15" max="15" width="15.7109375" style="1" customWidth="1"/>
    <col min="16" max="16" width="12.5703125" style="519" hidden="1" customWidth="1"/>
    <col min="17" max="23" width="11.7109375" style="520" hidden="1" customWidth="1"/>
    <col min="24" max="32" width="11.7109375" style="521" hidden="1" customWidth="1"/>
    <col min="33" max="33" width="11" style="521" hidden="1" customWidth="1"/>
    <col min="34" max="38" width="11.7109375" style="521" hidden="1" customWidth="1"/>
    <col min="39" max="16384" width="11.42578125" style="521" hidden="1"/>
  </cols>
  <sheetData>
    <row r="1" spans="1:54" s="446" customFormat="1" ht="12.95" customHeight="1" x14ac:dyDescent="0.2">
      <c r="A1" s="87"/>
      <c r="B1" s="88"/>
      <c r="C1" s="88"/>
      <c r="D1" s="87"/>
      <c r="E1" s="87"/>
      <c r="F1" s="87"/>
      <c r="G1" s="87"/>
      <c r="H1" s="89"/>
      <c r="I1" s="87"/>
      <c r="J1" s="88"/>
      <c r="K1" s="88"/>
      <c r="L1" s="88"/>
      <c r="M1" s="68"/>
      <c r="N1" s="88"/>
      <c r="O1" s="88"/>
      <c r="P1" s="445"/>
      <c r="Q1" s="445"/>
      <c r="R1" s="445"/>
      <c r="S1" s="445"/>
      <c r="T1" s="445"/>
      <c r="U1" s="445"/>
      <c r="V1" s="445"/>
      <c r="BB1" s="447"/>
    </row>
    <row r="2" spans="1:54" s="446" customFormat="1" ht="12.95" customHeight="1" x14ac:dyDescent="0.2">
      <c r="A2" s="87"/>
      <c r="B2" s="88"/>
      <c r="C2" s="88"/>
      <c r="D2" s="87"/>
      <c r="E2" s="87"/>
      <c r="F2" s="87"/>
      <c r="G2" s="87"/>
      <c r="H2" s="89"/>
      <c r="I2" s="87"/>
      <c r="J2" s="88"/>
      <c r="K2" s="88"/>
      <c r="L2" s="88"/>
      <c r="M2" s="68"/>
      <c r="N2" s="88"/>
      <c r="O2" s="88"/>
      <c r="P2" s="445"/>
      <c r="Q2" s="445"/>
      <c r="R2" s="445"/>
      <c r="S2" s="445"/>
      <c r="T2" s="445"/>
      <c r="U2" s="445"/>
      <c r="V2" s="445"/>
      <c r="BB2" s="447"/>
    </row>
    <row r="3" spans="1:54" s="446" customFormat="1" ht="12.95" customHeight="1" x14ac:dyDescent="0.2">
      <c r="A3" s="87"/>
      <c r="B3" s="88"/>
      <c r="C3" s="88"/>
      <c r="D3" s="87"/>
      <c r="E3" s="87"/>
      <c r="F3" s="87"/>
      <c r="G3" s="87"/>
      <c r="H3" s="89"/>
      <c r="I3" s="87"/>
      <c r="J3" s="88"/>
      <c r="K3" s="88"/>
      <c r="L3" s="88"/>
      <c r="M3" s="68"/>
      <c r="N3" s="88"/>
      <c r="O3" s="88"/>
      <c r="P3" s="445"/>
      <c r="Q3" s="445"/>
      <c r="R3" s="445"/>
      <c r="S3" s="445"/>
      <c r="T3" s="445"/>
      <c r="U3" s="445"/>
      <c r="V3" s="445"/>
      <c r="BB3" s="447"/>
    </row>
    <row r="4" spans="1:54" s="446" customFormat="1" ht="12.95" customHeight="1" x14ac:dyDescent="0.2">
      <c r="A4" s="87"/>
      <c r="B4" s="88"/>
      <c r="C4" s="88"/>
      <c r="D4" s="87"/>
      <c r="E4" s="87"/>
      <c r="F4" s="87"/>
      <c r="G4" s="87"/>
      <c r="H4" s="89"/>
      <c r="I4" s="87"/>
      <c r="J4" s="88"/>
      <c r="K4" s="88"/>
      <c r="L4" s="88"/>
      <c r="M4" s="68"/>
      <c r="N4" s="88"/>
      <c r="O4" s="88"/>
      <c r="P4" s="445"/>
      <c r="Q4" s="445"/>
      <c r="R4" s="445"/>
      <c r="S4" s="445"/>
      <c r="T4" s="445"/>
      <c r="U4" s="445"/>
      <c r="V4" s="445"/>
      <c r="BB4" s="447"/>
    </row>
    <row r="5" spans="1:54" s="446" customFormat="1" ht="12.95" customHeight="1" x14ac:dyDescent="0.2">
      <c r="A5" s="90"/>
      <c r="B5" s="91"/>
      <c r="C5" s="91"/>
      <c r="D5" s="91"/>
      <c r="E5" s="91"/>
      <c r="F5" s="91"/>
      <c r="G5" s="91"/>
      <c r="H5" s="92"/>
      <c r="I5" s="91"/>
      <c r="J5" s="91"/>
      <c r="K5" s="91"/>
      <c r="L5" s="91"/>
      <c r="M5" s="93"/>
      <c r="N5" s="91"/>
      <c r="O5" s="534" t="s">
        <v>0</v>
      </c>
      <c r="P5" s="448"/>
      <c r="Q5" s="448"/>
      <c r="R5" s="448"/>
      <c r="S5" s="448"/>
      <c r="T5" s="448"/>
      <c r="U5" s="448"/>
      <c r="V5" s="448"/>
      <c r="W5" s="448"/>
      <c r="X5" s="448"/>
      <c r="Y5" s="448"/>
      <c r="Z5" s="448"/>
      <c r="BB5" s="447"/>
    </row>
    <row r="6" spans="1:54" s="446" customFormat="1" ht="12.75" hidden="1" customHeight="1" x14ac:dyDescent="0.2">
      <c r="A6" s="94"/>
      <c r="B6" s="94"/>
      <c r="C6" s="94"/>
      <c r="D6" s="94"/>
      <c r="E6" s="94"/>
      <c r="F6" s="94"/>
      <c r="G6" s="94"/>
      <c r="H6" s="95"/>
      <c r="I6" s="94"/>
      <c r="J6" s="94"/>
      <c r="K6" s="94"/>
      <c r="L6" s="94"/>
      <c r="M6" s="96"/>
      <c r="N6" s="94"/>
      <c r="O6" s="94"/>
      <c r="P6" s="449"/>
      <c r="Q6" s="449"/>
      <c r="R6" s="449"/>
      <c r="S6" s="449"/>
      <c r="T6" s="449"/>
      <c r="U6" s="449"/>
      <c r="V6" s="449"/>
      <c r="W6" s="449"/>
      <c r="X6" s="449"/>
      <c r="Y6" s="449"/>
      <c r="Z6" s="449"/>
      <c r="BB6" s="447"/>
    </row>
    <row r="7" spans="1:54" s="446" customFormat="1" ht="12.75" hidden="1" customHeight="1" x14ac:dyDescent="0.2">
      <c r="A7" s="97"/>
      <c r="B7" s="97"/>
      <c r="C7" s="97"/>
      <c r="D7" s="97"/>
      <c r="E7" s="97"/>
      <c r="F7" s="97"/>
      <c r="G7" s="97"/>
      <c r="H7" s="98"/>
      <c r="I7" s="97"/>
      <c r="J7" s="97"/>
      <c r="K7" s="97"/>
      <c r="L7" s="97"/>
      <c r="M7" s="75"/>
      <c r="N7" s="97"/>
      <c r="O7" s="97"/>
      <c r="P7" s="450"/>
      <c r="Q7" s="450"/>
      <c r="R7" s="450"/>
      <c r="S7" s="450"/>
      <c r="T7" s="450"/>
      <c r="U7" s="450"/>
      <c r="V7" s="450"/>
      <c r="W7" s="450"/>
      <c r="X7" s="450"/>
      <c r="Y7" s="450"/>
      <c r="Z7" s="450"/>
      <c r="BB7" s="447"/>
    </row>
    <row r="8" spans="1:54" s="446" customFormat="1" ht="12.75" hidden="1" customHeight="1" x14ac:dyDescent="0.2">
      <c r="A8" s="97"/>
      <c r="B8" s="97"/>
      <c r="C8" s="97"/>
      <c r="D8" s="97"/>
      <c r="E8" s="97"/>
      <c r="F8" s="97"/>
      <c r="G8" s="97"/>
      <c r="H8" s="98"/>
      <c r="I8" s="97"/>
      <c r="J8" s="97"/>
      <c r="K8" s="97"/>
      <c r="L8" s="97"/>
      <c r="M8" s="75"/>
      <c r="N8" s="97"/>
      <c r="O8" s="97"/>
      <c r="P8" s="450"/>
      <c r="Q8" s="450"/>
      <c r="R8" s="450"/>
      <c r="S8" s="450"/>
      <c r="T8" s="450"/>
      <c r="U8" s="450"/>
      <c r="V8" s="450"/>
      <c r="W8" s="450"/>
      <c r="X8" s="450"/>
      <c r="Y8" s="450"/>
      <c r="BB8" s="447"/>
    </row>
    <row r="9" spans="1:54" s="446" customFormat="1" ht="12.95" hidden="1" customHeight="1" x14ac:dyDescent="0.2">
      <c r="A9" s="97"/>
      <c r="B9" s="97"/>
      <c r="C9" s="97"/>
      <c r="D9" s="97"/>
      <c r="E9" s="97"/>
      <c r="F9" s="97"/>
      <c r="G9" s="97"/>
      <c r="H9" s="98"/>
      <c r="I9" s="97"/>
      <c r="J9" s="97"/>
      <c r="K9" s="97"/>
      <c r="L9" s="97"/>
      <c r="M9" s="75"/>
      <c r="N9" s="97"/>
      <c r="O9" s="97"/>
      <c r="P9" s="450"/>
      <c r="Q9" s="450"/>
      <c r="R9" s="450"/>
      <c r="S9" s="450"/>
      <c r="T9" s="450"/>
      <c r="U9" s="450"/>
      <c r="V9" s="450"/>
      <c r="W9" s="450"/>
      <c r="X9" s="450"/>
      <c r="Y9" s="450"/>
      <c r="BB9" s="447"/>
    </row>
    <row r="10" spans="1:54" s="452" customFormat="1" ht="15" customHeight="1" x14ac:dyDescent="0.2">
      <c r="A10" s="635" t="s">
        <v>1</v>
      </c>
      <c r="B10" s="635"/>
      <c r="C10" s="635"/>
      <c r="D10" s="635"/>
      <c r="E10" s="635"/>
      <c r="F10" s="635"/>
      <c r="G10" s="635"/>
      <c r="H10" s="635"/>
      <c r="I10" s="635"/>
      <c r="J10" s="635"/>
      <c r="K10" s="635"/>
      <c r="L10" s="635"/>
      <c r="M10" s="635"/>
      <c r="N10" s="635"/>
      <c r="O10" s="635"/>
      <c r="P10" s="451"/>
      <c r="Q10" s="451"/>
      <c r="R10" s="451"/>
      <c r="S10" s="451"/>
      <c r="T10" s="451"/>
      <c r="U10" s="451"/>
      <c r="V10" s="451"/>
      <c r="W10" s="451"/>
      <c r="X10" s="451"/>
      <c r="Y10" s="451"/>
      <c r="Z10" s="451"/>
      <c r="BB10" s="453"/>
    </row>
    <row r="11" spans="1:54" s="452" customFormat="1" ht="12" customHeight="1" x14ac:dyDescent="0.2">
      <c r="A11" s="636" t="s">
        <v>2</v>
      </c>
      <c r="B11" s="636"/>
      <c r="C11" s="636"/>
      <c r="D11" s="636"/>
      <c r="E11" s="636"/>
      <c r="F11" s="636"/>
      <c r="G11" s="636"/>
      <c r="H11" s="636"/>
      <c r="I11" s="636"/>
      <c r="J11" s="636"/>
      <c r="K11" s="636"/>
      <c r="L11" s="636"/>
      <c r="M11" s="636"/>
      <c r="N11" s="636"/>
      <c r="O11" s="636"/>
      <c r="P11" s="451"/>
      <c r="Q11" s="451"/>
      <c r="R11" s="451"/>
      <c r="S11" s="451"/>
      <c r="T11" s="451"/>
      <c r="U11" s="451"/>
      <c r="V11" s="451"/>
      <c r="W11" s="454"/>
      <c r="X11" s="454"/>
      <c r="Y11" s="454"/>
      <c r="Z11" s="454"/>
      <c r="BB11" s="453"/>
    </row>
    <row r="12" spans="1:54" s="452" customFormat="1" ht="12" customHeight="1" x14ac:dyDescent="0.2">
      <c r="A12" s="636"/>
      <c r="B12" s="636"/>
      <c r="C12" s="636"/>
      <c r="D12" s="636"/>
      <c r="E12" s="636"/>
      <c r="F12" s="636"/>
      <c r="G12" s="636"/>
      <c r="H12" s="636"/>
      <c r="I12" s="636"/>
      <c r="J12" s="636"/>
      <c r="K12" s="636"/>
      <c r="L12" s="636"/>
      <c r="M12" s="636"/>
      <c r="N12" s="636"/>
      <c r="O12" s="636"/>
      <c r="P12" s="451"/>
      <c r="Q12" s="451"/>
      <c r="R12" s="451"/>
      <c r="S12" s="451"/>
      <c r="T12" s="451"/>
      <c r="U12" s="451"/>
      <c r="V12" s="451"/>
      <c r="W12" s="455"/>
      <c r="X12" s="455"/>
      <c r="Y12" s="455"/>
      <c r="Z12" s="455"/>
      <c r="AA12" s="455"/>
      <c r="BB12" s="453"/>
    </row>
    <row r="13" spans="1:54" s="452" customFormat="1" ht="12.95" hidden="1" customHeight="1" x14ac:dyDescent="0.2">
      <c r="A13" s="100"/>
      <c r="B13" s="100"/>
      <c r="C13" s="100"/>
      <c r="D13" s="100"/>
      <c r="E13" s="100"/>
      <c r="F13" s="100"/>
      <c r="G13" s="100"/>
      <c r="H13" s="101"/>
      <c r="I13" s="100"/>
      <c r="J13" s="100"/>
      <c r="K13" s="100"/>
      <c r="L13" s="100"/>
      <c r="M13" s="102"/>
      <c r="N13" s="100"/>
      <c r="O13" s="100"/>
      <c r="P13" s="456"/>
      <c r="Q13" s="456"/>
      <c r="R13" s="456"/>
      <c r="S13" s="456"/>
      <c r="T13" s="456"/>
      <c r="U13" s="456"/>
      <c r="V13" s="456"/>
      <c r="W13" s="456"/>
      <c r="X13" s="456"/>
      <c r="Y13" s="456"/>
      <c r="BB13" s="453"/>
    </row>
    <row r="14" spans="1:54" s="452" customFormat="1" ht="6" customHeight="1" x14ac:dyDescent="0.2">
      <c r="A14" s="103"/>
      <c r="B14" s="104"/>
      <c r="C14" s="104"/>
      <c r="D14" s="105"/>
      <c r="E14" s="105"/>
      <c r="F14" s="105"/>
      <c r="G14" s="105"/>
      <c r="H14" s="99"/>
      <c r="I14" s="105"/>
      <c r="J14" s="104"/>
      <c r="K14" s="104"/>
      <c r="L14" s="104"/>
      <c r="M14" s="69"/>
      <c r="N14" s="104"/>
      <c r="O14" s="104"/>
      <c r="P14" s="457"/>
      <c r="Q14" s="457"/>
      <c r="R14" s="457"/>
      <c r="S14" s="457"/>
      <c r="T14" s="457"/>
      <c r="U14" s="457"/>
      <c r="V14" s="457"/>
      <c r="BB14" s="453"/>
    </row>
    <row r="15" spans="1:54" s="452" customFormat="1" ht="15" customHeight="1" x14ac:dyDescent="0.15">
      <c r="A15" s="637" t="s">
        <v>3</v>
      </c>
      <c r="B15" s="637"/>
      <c r="C15" s="637"/>
      <c r="D15" s="637"/>
      <c r="E15" s="637"/>
      <c r="F15" s="637"/>
      <c r="G15" s="637"/>
      <c r="H15" s="637"/>
      <c r="I15" s="637"/>
      <c r="J15" s="637"/>
      <c r="K15" s="637"/>
      <c r="L15" s="637"/>
      <c r="M15" s="637"/>
      <c r="N15" s="637"/>
      <c r="O15" s="637"/>
      <c r="P15" s="458" t="str">
        <f>ÍNDICES!C3</f>
        <v>SELIC - TRIBUTOS</v>
      </c>
      <c r="Q15" s="458" t="str">
        <f>ÍNDICES!J3</f>
        <v>TABELA IPC (FIPE)</v>
      </c>
      <c r="R15" s="458" t="str">
        <f>ÍNDICES!K3</f>
        <v>TABELA IGP-M (FGV)</v>
      </c>
      <c r="S15" s="458" t="str">
        <f>ÍNDICES!L3</f>
        <v>Tabela INCC (FGV)</v>
      </c>
      <c r="T15" s="458" t="str">
        <f>ÍNDICES!M3</f>
        <v>Tabela IGP-DI (FGV)</v>
      </c>
      <c r="U15" s="458" t="str">
        <f>ÍNDICES!N3</f>
        <v>TABELA PRÁTICA - INPC</v>
      </c>
      <c r="V15" s="458" t="str">
        <f>ÍNDICES!O3</f>
        <v>INPC+IPCA (com IPCA desde jul./09)</v>
      </c>
      <c r="W15" s="458" t="str">
        <f>ÍNDICES!P3</f>
        <v>IPCA-E</v>
      </c>
      <c r="X15" s="458" t="str">
        <f>ÍNDICES!Q3</f>
        <v>Tabela EC nº 113/2021</v>
      </c>
      <c r="Y15" s="458" t="str">
        <f>ÍNDICES!R3</f>
        <v>RES. CNJ 303/2019</v>
      </c>
      <c r="Z15" s="458" t="str">
        <f>ÍNDICES!S3</f>
        <v>Antiga Modulada (TR até mar./2015, IPCA-E, Selic)</v>
      </c>
      <c r="AA15" s="458" t="str">
        <f>ÍNDICES!T3</f>
        <v>Tabela Prática Fazendas (TR desde jul./09)</v>
      </c>
      <c r="BB15" s="453"/>
    </row>
    <row r="16" spans="1:54" s="452" customFormat="1" ht="15" customHeight="1" x14ac:dyDescent="0.2">
      <c r="A16" s="637" t="s">
        <v>4</v>
      </c>
      <c r="B16" s="637"/>
      <c r="C16" s="637"/>
      <c r="D16" s="637"/>
      <c r="E16" s="637"/>
      <c r="F16" s="637"/>
      <c r="G16" s="637"/>
      <c r="H16" s="637"/>
      <c r="I16" s="637"/>
      <c r="J16" s="637"/>
      <c r="K16" s="637"/>
      <c r="L16" s="637"/>
      <c r="M16" s="637"/>
      <c r="N16" s="637"/>
      <c r="O16" s="637"/>
      <c r="P16" s="457"/>
      <c r="Q16" s="457"/>
      <c r="R16" s="457"/>
      <c r="S16" s="457"/>
      <c r="T16" s="457"/>
      <c r="U16" s="457"/>
      <c r="V16" s="457"/>
      <c r="BB16" s="453"/>
    </row>
    <row r="17" spans="1:64" s="452" customFormat="1" ht="15" customHeight="1" x14ac:dyDescent="0.2">
      <c r="A17" s="628" t="s">
        <v>5</v>
      </c>
      <c r="B17" s="628"/>
      <c r="C17" s="628"/>
      <c r="D17" s="628"/>
      <c r="E17" s="628"/>
      <c r="F17" s="628"/>
      <c r="G17" s="628"/>
      <c r="H17" s="628"/>
      <c r="I17" s="628"/>
      <c r="J17" s="628"/>
      <c r="K17" s="628"/>
      <c r="L17" s="628"/>
      <c r="M17" s="628"/>
      <c r="N17" s="628"/>
      <c r="O17" s="628"/>
      <c r="P17" s="459" t="str">
        <f>O20</f>
        <v>30/360 USA</v>
      </c>
      <c r="Q17" s="459" t="s">
        <v>6</v>
      </c>
      <c r="R17" s="460"/>
      <c r="S17" s="459"/>
      <c r="T17" s="459"/>
      <c r="U17" s="459"/>
      <c r="V17" s="459"/>
      <c r="Z17" s="629" t="s">
        <v>7</v>
      </c>
      <c r="AA17" s="629"/>
      <c r="AB17" s="629"/>
      <c r="BB17" s="453"/>
    </row>
    <row r="18" spans="1:64" s="452" customFormat="1" ht="12" customHeight="1" x14ac:dyDescent="0.2">
      <c r="A18" s="106"/>
      <c r="B18" s="106"/>
      <c r="C18" s="106"/>
      <c r="D18" s="107"/>
      <c r="E18" s="107"/>
      <c r="F18" s="107"/>
      <c r="G18" s="107"/>
      <c r="H18" s="108"/>
      <c r="I18" s="107"/>
      <c r="J18" s="105"/>
      <c r="K18" s="105"/>
      <c r="L18" s="105"/>
      <c r="M18" s="69"/>
      <c r="N18" s="105"/>
      <c r="O18" s="105"/>
      <c r="P18" s="452" t="s">
        <v>8</v>
      </c>
      <c r="Z18" s="630" t="s">
        <v>9</v>
      </c>
      <c r="AA18" s="630"/>
      <c r="AB18" s="630"/>
      <c r="BB18" s="453"/>
    </row>
    <row r="19" spans="1:64" s="452" customFormat="1" ht="12.95" customHeight="1" x14ac:dyDescent="0.2">
      <c r="A19" s="105"/>
      <c r="B19" s="626" t="s">
        <v>10</v>
      </c>
      <c r="C19" s="627"/>
      <c r="D19" s="109">
        <v>45138</v>
      </c>
      <c r="E19" s="107"/>
      <c r="F19" s="107"/>
      <c r="G19" s="107"/>
      <c r="H19" s="108"/>
      <c r="I19" s="107"/>
      <c r="J19" s="110"/>
      <c r="K19" s="110" t="s">
        <v>11</v>
      </c>
      <c r="L19" s="105"/>
      <c r="M19" s="69"/>
      <c r="N19" s="111" t="s">
        <v>12</v>
      </c>
      <c r="O19" s="105"/>
      <c r="P19" s="461" t="str">
        <f>IF(B23=W22,Y22,Y21)</f>
        <v xml:space="preserve">Sim </v>
      </c>
      <c r="Q19" s="461"/>
      <c r="R19" s="461"/>
      <c r="S19" s="461"/>
      <c r="T19" s="461"/>
      <c r="U19" s="461"/>
      <c r="V19" s="461"/>
      <c r="AA19" s="531" t="s">
        <v>13</v>
      </c>
      <c r="AE19" s="531" t="s">
        <v>14</v>
      </c>
      <c r="AJ19" s="531" t="s">
        <v>15</v>
      </c>
      <c r="AN19" s="462" t="s">
        <v>16</v>
      </c>
      <c r="BB19" s="453"/>
    </row>
    <row r="20" spans="1:64" s="452" customFormat="1" ht="12.95" customHeight="1" x14ac:dyDescent="0.2">
      <c r="A20" s="105"/>
      <c r="B20" s="105"/>
      <c r="C20" s="105"/>
      <c r="D20" s="105"/>
      <c r="E20" s="105"/>
      <c r="F20" s="105"/>
      <c r="G20" s="107"/>
      <c r="H20" s="108"/>
      <c r="I20" s="107"/>
      <c r="J20" s="113"/>
      <c r="K20" s="631" t="s">
        <v>17</v>
      </c>
      <c r="L20" s="631"/>
      <c r="M20" s="631"/>
      <c r="N20" s="114">
        <v>0.06</v>
      </c>
      <c r="O20" s="115" t="s">
        <v>16</v>
      </c>
      <c r="P20" s="457">
        <f>IF(P17=AN19,0,IF(P17=AN20,1,IF(P17=AN21,2,IF(P17=AN22,3,4))))</f>
        <v>0</v>
      </c>
      <c r="Q20" s="457"/>
      <c r="R20" s="457"/>
      <c r="S20" s="457"/>
      <c r="T20" s="457"/>
      <c r="U20" s="457"/>
      <c r="V20" s="457"/>
      <c r="W20" s="452" t="s">
        <v>18</v>
      </c>
      <c r="Y20" s="452" t="s">
        <v>19</v>
      </c>
      <c r="AE20" s="463">
        <f ca="1">SUMIF(AF20:AG25,K20,AG20:AG25)</f>
        <v>0</v>
      </c>
      <c r="AF20" s="464" t="s">
        <v>20</v>
      </c>
      <c r="AG20" s="530">
        <v>1</v>
      </c>
      <c r="AH20" s="530"/>
      <c r="AI20" s="530"/>
      <c r="AJ20" s="462" t="s">
        <v>21</v>
      </c>
      <c r="AN20" s="462" t="s">
        <v>22</v>
      </c>
      <c r="BB20" s="453"/>
    </row>
    <row r="21" spans="1:64" s="452" customFormat="1" ht="6" customHeight="1" x14ac:dyDescent="0.2">
      <c r="A21" s="105"/>
      <c r="B21" s="105"/>
      <c r="C21" s="105"/>
      <c r="D21" s="105"/>
      <c r="E21" s="105"/>
      <c r="F21" s="105"/>
      <c r="G21" s="107"/>
      <c r="H21" s="108"/>
      <c r="I21" s="107"/>
      <c r="J21" s="105"/>
      <c r="K21" s="105"/>
      <c r="L21" s="105"/>
      <c r="M21" s="69"/>
      <c r="N21" s="105"/>
      <c r="O21" s="105"/>
      <c r="P21" s="457" t="s">
        <v>23</v>
      </c>
      <c r="Q21" s="457"/>
      <c r="R21" s="457"/>
      <c r="S21" s="457"/>
      <c r="T21" s="457"/>
      <c r="U21" s="457"/>
      <c r="V21" s="457"/>
      <c r="W21" s="452" t="s">
        <v>24</v>
      </c>
      <c r="Y21" s="452" t="s">
        <v>25</v>
      </c>
      <c r="AE21" s="531">
        <f ca="1">SUMIF(AF20:AG25,J37,AG20:AG25)</f>
        <v>0</v>
      </c>
      <c r="AF21" s="464" t="s">
        <v>26</v>
      </c>
      <c r="AG21" s="530">
        <v>2</v>
      </c>
      <c r="AH21" s="530"/>
      <c r="AI21" s="530"/>
      <c r="AJ21" s="462" t="s">
        <v>27</v>
      </c>
      <c r="AN21" s="462" t="s">
        <v>28</v>
      </c>
      <c r="BB21" s="453"/>
    </row>
    <row r="22" spans="1:64" s="452" customFormat="1" ht="12.95" customHeight="1" x14ac:dyDescent="0.2">
      <c r="A22" s="105"/>
      <c r="B22" s="632" t="s">
        <v>29</v>
      </c>
      <c r="C22" s="633"/>
      <c r="D22" s="634"/>
      <c r="E22" s="105"/>
      <c r="F22" s="105"/>
      <c r="G22" s="107"/>
      <c r="H22" s="108"/>
      <c r="I22" s="107"/>
      <c r="J22" s="105"/>
      <c r="K22" s="624" t="s">
        <v>21</v>
      </c>
      <c r="L22" s="624"/>
      <c r="M22" s="624"/>
      <c r="N22" s="624"/>
      <c r="O22" s="624"/>
      <c r="P22" s="452">
        <f ca="1">SUMIF(ÍNDICES!$L$3:$W$4,Z18,ÍNDICES!$L$4:$W$4)+10</f>
        <v>13</v>
      </c>
      <c r="R22" s="465"/>
      <c r="S22" s="466" t="s">
        <v>30</v>
      </c>
      <c r="T22" s="467">
        <f ca="1">VLOOKUP($D$19,ÍNDICES!$A:$DE,$P$22+1)</f>
        <v>92.252543000000003</v>
      </c>
      <c r="W22" s="457" t="s">
        <v>31</v>
      </c>
      <c r="X22" s="457"/>
      <c r="Y22" s="452" t="s">
        <v>32</v>
      </c>
      <c r="AB22" s="529"/>
      <c r="AD22" s="529"/>
      <c r="AF22" s="464" t="s">
        <v>33</v>
      </c>
      <c r="AG22" s="530">
        <v>3</v>
      </c>
      <c r="AH22" s="530"/>
      <c r="AI22" s="530"/>
      <c r="AN22" s="462" t="s">
        <v>34</v>
      </c>
      <c r="BB22" s="453"/>
    </row>
    <row r="23" spans="1:64" s="452" customFormat="1" ht="12.95" customHeight="1" x14ac:dyDescent="0.2">
      <c r="A23" s="105"/>
      <c r="B23" s="638" t="s">
        <v>24</v>
      </c>
      <c r="C23" s="639"/>
      <c r="D23" s="640"/>
      <c r="E23" s="105"/>
      <c r="F23" s="105"/>
      <c r="G23" s="107"/>
      <c r="H23" s="108"/>
      <c r="I23" s="107"/>
      <c r="J23" s="105"/>
      <c r="K23" s="105"/>
      <c r="L23" s="105"/>
      <c r="M23" s="69"/>
      <c r="N23" s="105"/>
      <c r="O23" s="105"/>
      <c r="P23" s="446"/>
      <c r="Q23" s="446"/>
      <c r="R23" s="446"/>
      <c r="S23" s="446" t="s">
        <v>35</v>
      </c>
      <c r="T23" s="446" t="s">
        <v>36</v>
      </c>
      <c r="U23" s="446"/>
      <c r="V23" s="446"/>
      <c r="W23" s="468"/>
      <c r="X23" s="468"/>
      <c r="Y23" s="468"/>
      <c r="AF23" s="464" t="s">
        <v>37</v>
      </c>
      <c r="AG23" s="530">
        <v>4</v>
      </c>
      <c r="AH23" s="530"/>
      <c r="AI23" s="530"/>
      <c r="AN23" s="462" t="s">
        <v>38</v>
      </c>
      <c r="BB23" s="453"/>
    </row>
    <row r="24" spans="1:64" s="452" customFormat="1" ht="6" customHeight="1" x14ac:dyDescent="0.2">
      <c r="A24" s="103"/>
      <c r="B24" s="103"/>
      <c r="C24" s="103"/>
      <c r="D24" s="107"/>
      <c r="E24" s="107"/>
      <c r="F24" s="107"/>
      <c r="G24" s="107"/>
      <c r="H24" s="107"/>
      <c r="I24" s="107"/>
      <c r="J24" s="105"/>
      <c r="K24" s="105"/>
      <c r="L24" s="105"/>
      <c r="M24" s="105"/>
      <c r="N24" s="105"/>
      <c r="O24" s="105"/>
      <c r="P24" s="452" t="s">
        <v>39</v>
      </c>
      <c r="S24" s="452">
        <v>1</v>
      </c>
      <c r="T24" s="452">
        <v>0</v>
      </c>
      <c r="W24" s="457"/>
      <c r="X24" s="457"/>
      <c r="Y24" s="457"/>
      <c r="AF24" s="464" t="s">
        <v>40</v>
      </c>
      <c r="AG24" s="530">
        <v>5</v>
      </c>
      <c r="BB24" s="453"/>
    </row>
    <row r="25" spans="1:64" s="452" customFormat="1" ht="12.95" customHeight="1" x14ac:dyDescent="0.2">
      <c r="A25" s="119"/>
      <c r="B25" s="119"/>
      <c r="C25" s="119"/>
      <c r="D25" s="601" t="s">
        <v>41</v>
      </c>
      <c r="E25" s="601"/>
      <c r="F25" s="601"/>
      <c r="G25" s="601"/>
      <c r="H25" s="601"/>
      <c r="I25" s="601"/>
      <c r="J25" s="601"/>
      <c r="K25" s="601"/>
      <c r="L25" s="601"/>
      <c r="M25" s="601"/>
      <c r="N25" s="601"/>
      <c r="O25" s="601"/>
      <c r="P25" s="452">
        <f>IF(AND(K22=AJ20,P19=Y22),1,0)</f>
        <v>0</v>
      </c>
      <c r="W25" s="457" t="s">
        <v>42</v>
      </c>
      <c r="X25" s="457"/>
      <c r="Y25" s="446" t="s">
        <v>43</v>
      </c>
      <c r="AA25" s="529"/>
      <c r="AB25" s="469" t="s">
        <v>44</v>
      </c>
      <c r="AC25" s="529" t="s">
        <v>45</v>
      </c>
      <c r="AD25" s="529" t="s">
        <v>46</v>
      </c>
      <c r="AF25" s="464" t="s">
        <v>47</v>
      </c>
      <c r="AG25" s="530">
        <v>6</v>
      </c>
      <c r="BB25" s="453"/>
      <c r="BF25" s="463"/>
      <c r="BG25" s="530"/>
      <c r="BH25" s="530"/>
      <c r="BI25" s="616" t="s">
        <v>48</v>
      </c>
      <c r="BJ25" s="616"/>
      <c r="BK25" s="462" t="s">
        <v>16</v>
      </c>
      <c r="BL25" s="470" t="str">
        <f>P15</f>
        <v>SELIC - TRIBUTOS</v>
      </c>
    </row>
    <row r="26" spans="1:64" s="452" customFormat="1" ht="12.95" customHeight="1" x14ac:dyDescent="0.2">
      <c r="A26" s="119"/>
      <c r="B26" s="119"/>
      <c r="C26" s="119"/>
      <c r="D26" s="617" t="s">
        <v>49</v>
      </c>
      <c r="E26" s="617"/>
      <c r="F26" s="617"/>
      <c r="G26" s="617"/>
      <c r="H26" s="617"/>
      <c r="I26" s="617"/>
      <c r="J26" s="617"/>
      <c r="K26" s="617"/>
      <c r="L26" s="617"/>
      <c r="M26" s="617"/>
      <c r="N26" s="617"/>
      <c r="O26" s="617"/>
      <c r="W26" s="457" t="s">
        <v>50</v>
      </c>
      <c r="X26" s="457"/>
      <c r="Y26" s="471" t="s">
        <v>51</v>
      </c>
      <c r="AA26" s="529" t="s">
        <v>52</v>
      </c>
      <c r="AB26" s="472">
        <f ca="1">IF(ISERROR(SUM(K40:K609)),0,SUM(K40:K609))+IF(ISERROR(SUM(K618:K679)),0,SUM(K618:K679))+IF(ISERROR(SUM(K688:K688)),0,SUM(K688:K688))</f>
        <v>0</v>
      </c>
      <c r="AC26" s="472">
        <f ca="1">N692</f>
        <v>0</v>
      </c>
      <c r="AD26" s="472">
        <f ca="1">IF(ISERROR(SUM(L40:L609)),0,SUM(L40:L609))+IF(ISERROR(SUM(L618:L679)),0,SUM(L618:L679))+IF(ISERROR(SUM(L688:L688)),0,SUM(L688:L688))</f>
        <v>0</v>
      </c>
      <c r="BB26" s="453"/>
      <c r="BG26" s="530"/>
      <c r="BH26" s="530"/>
      <c r="BI26" s="616"/>
      <c r="BJ26" s="616"/>
      <c r="BK26" s="462" t="s">
        <v>22</v>
      </c>
    </row>
    <row r="27" spans="1:64" s="452" customFormat="1" ht="12.95" hidden="1" customHeight="1" x14ac:dyDescent="0.2">
      <c r="A27" s="119"/>
      <c r="B27" s="121"/>
      <c r="C27" s="122"/>
      <c r="D27" s="601"/>
      <c r="E27" s="601"/>
      <c r="F27" s="601"/>
      <c r="G27" s="601"/>
      <c r="H27" s="601"/>
      <c r="I27" s="601"/>
      <c r="J27" s="601"/>
      <c r="K27" s="601"/>
      <c r="L27" s="601"/>
      <c r="M27" s="601"/>
      <c r="N27" s="601"/>
      <c r="O27" s="601"/>
      <c r="Y27" s="471" t="s">
        <v>53</v>
      </c>
      <c r="AA27" s="473"/>
      <c r="BB27" s="453"/>
      <c r="BG27" s="530"/>
      <c r="BH27" s="530"/>
      <c r="BI27" s="616"/>
      <c r="BJ27" s="616"/>
      <c r="BK27" s="462" t="s">
        <v>28</v>
      </c>
    </row>
    <row r="28" spans="1:64" s="452" customFormat="1" ht="12.95" hidden="1" customHeight="1" x14ac:dyDescent="0.2">
      <c r="A28" s="103"/>
      <c r="B28" s="105"/>
      <c r="C28" s="105"/>
      <c r="D28" s="601"/>
      <c r="E28" s="601"/>
      <c r="F28" s="601"/>
      <c r="G28" s="601"/>
      <c r="H28" s="601"/>
      <c r="I28" s="601"/>
      <c r="J28" s="601"/>
      <c r="K28" s="601"/>
      <c r="L28" s="601"/>
      <c r="M28" s="601"/>
      <c r="N28" s="601"/>
      <c r="O28" s="601"/>
      <c r="W28" s="452" t="s">
        <v>54</v>
      </c>
      <c r="AA28" s="474"/>
      <c r="BB28" s="453"/>
      <c r="BG28" s="530"/>
      <c r="BH28" s="530"/>
      <c r="BI28" s="459" t="str">
        <f>G35</f>
        <v>Real/Real</v>
      </c>
      <c r="BK28" s="462" t="s">
        <v>34</v>
      </c>
    </row>
    <row r="29" spans="1:64" s="452" customFormat="1" ht="12.95" customHeight="1" x14ac:dyDescent="0.2">
      <c r="A29" s="105"/>
      <c r="B29" s="105"/>
      <c r="C29" s="104"/>
      <c r="D29" s="602" t="s">
        <v>55</v>
      </c>
      <c r="E29" s="602"/>
      <c r="F29" s="602"/>
      <c r="G29" s="602"/>
      <c r="H29" s="602"/>
      <c r="I29" s="602"/>
      <c r="J29" s="602"/>
      <c r="K29" s="602"/>
      <c r="L29" s="602"/>
      <c r="M29" s="602"/>
      <c r="N29" s="602"/>
      <c r="O29" s="602"/>
      <c r="W29" s="452" t="s">
        <v>56</v>
      </c>
      <c r="AA29" s="529"/>
      <c r="AB29" s="469" t="s">
        <v>57</v>
      </c>
      <c r="AC29" s="603" t="s">
        <v>58</v>
      </c>
      <c r="AD29" s="603"/>
      <c r="BB29" s="453"/>
      <c r="BG29" s="530"/>
      <c r="BH29" s="530"/>
      <c r="BI29" s="452">
        <f>IF(BI28=BK25,0,IF(BI28=BK26,1,IF(BI28=BK27,2,IF(BI28=BK28,3,4))))</f>
        <v>1</v>
      </c>
      <c r="BJ29" s="457"/>
      <c r="BK29" s="462" t="s">
        <v>38</v>
      </c>
    </row>
    <row r="30" spans="1:64" s="452" customFormat="1" ht="12.95" customHeight="1" x14ac:dyDescent="0.2">
      <c r="A30" s="625" t="s">
        <v>59</v>
      </c>
      <c r="B30" s="625"/>
      <c r="C30" s="104"/>
      <c r="D30" s="602" t="s">
        <v>60</v>
      </c>
      <c r="E30" s="602"/>
      <c r="F30" s="602"/>
      <c r="G30" s="602"/>
      <c r="H30" s="602"/>
      <c r="I30" s="602"/>
      <c r="J30" s="602"/>
      <c r="K30" s="602"/>
      <c r="L30" s="602"/>
      <c r="M30" s="602"/>
      <c r="N30" s="602"/>
      <c r="O30" s="602"/>
      <c r="W30" s="468"/>
      <c r="X30" s="468"/>
      <c r="Y30" s="468"/>
      <c r="Z30" s="468"/>
      <c r="AA30" s="529" t="s">
        <v>52</v>
      </c>
      <c r="AB30" s="472">
        <f>IF(ISERROR(#REF!),0,#REF!)</f>
        <v>0</v>
      </c>
      <c r="AC30" s="446"/>
      <c r="AD30" s="472">
        <f>IF(ISERROR(#REF!),0,#REF!)</f>
        <v>0</v>
      </c>
      <c r="BB30" s="453"/>
    </row>
    <row r="31" spans="1:64" s="452" customFormat="1" ht="6" customHeight="1" x14ac:dyDescent="0.2">
      <c r="A31" s="106"/>
      <c r="B31" s="104"/>
      <c r="C31" s="104"/>
      <c r="D31" s="105"/>
      <c r="E31" s="105"/>
      <c r="F31" s="105"/>
      <c r="G31" s="105"/>
      <c r="H31" s="99"/>
      <c r="I31" s="105"/>
      <c r="J31" s="105"/>
      <c r="K31" s="105"/>
      <c r="L31" s="105"/>
      <c r="M31" s="69"/>
      <c r="N31" s="105"/>
      <c r="O31" s="105"/>
      <c r="BB31" s="453"/>
    </row>
    <row r="32" spans="1:64" s="446" customFormat="1" ht="11.25" x14ac:dyDescent="0.2">
      <c r="A32" s="604" t="s">
        <v>61</v>
      </c>
      <c r="B32" s="604"/>
      <c r="C32" s="604"/>
      <c r="D32" s="604"/>
      <c r="E32" s="604"/>
      <c r="F32" s="604"/>
      <c r="G32" s="604"/>
      <c r="H32" s="604"/>
      <c r="I32" s="604"/>
      <c r="J32" s="604"/>
      <c r="K32" s="604"/>
      <c r="L32" s="604"/>
      <c r="M32" s="604"/>
      <c r="N32" s="604"/>
      <c r="O32" s="604"/>
      <c r="P32" s="475" t="s">
        <v>62</v>
      </c>
      <c r="Q32" s="457"/>
      <c r="R32" s="457" t="s">
        <v>63</v>
      </c>
      <c r="S32" s="457"/>
      <c r="T32" s="457"/>
      <c r="U32" s="457"/>
      <c r="V32" s="457"/>
      <c r="W32" s="468"/>
      <c r="X32" s="468"/>
      <c r="Y32" s="468"/>
      <c r="Z32" s="468"/>
      <c r="AA32" s="445"/>
      <c r="BB32" s="447"/>
    </row>
    <row r="33" spans="1:116" s="446" customFormat="1" ht="6" customHeight="1" x14ac:dyDescent="0.2">
      <c r="A33" s="123"/>
      <c r="B33" s="87"/>
      <c r="C33" s="87"/>
      <c r="D33" s="88"/>
      <c r="E33" s="88"/>
      <c r="F33" s="88"/>
      <c r="G33" s="88"/>
      <c r="H33" s="118"/>
      <c r="I33" s="88"/>
      <c r="J33" s="87"/>
      <c r="K33" s="87"/>
      <c r="L33" s="87"/>
      <c r="M33" s="68"/>
      <c r="N33" s="87"/>
      <c r="O33" s="87"/>
      <c r="R33" s="446" t="s">
        <v>64</v>
      </c>
      <c r="BB33" s="447"/>
    </row>
    <row r="34" spans="1:116" s="446" customFormat="1" ht="12.95" customHeight="1" x14ac:dyDescent="0.2">
      <c r="A34" s="609"/>
      <c r="B34" s="609"/>
      <c r="C34" s="609"/>
      <c r="D34" s="609"/>
      <c r="E34" s="609"/>
      <c r="F34" s="609"/>
      <c r="G34" s="609"/>
      <c r="H34" s="609"/>
      <c r="I34" s="609"/>
      <c r="J34" s="618"/>
      <c r="K34" s="124"/>
      <c r="L34" s="125"/>
      <c r="M34" s="64"/>
      <c r="N34" s="126" t="s">
        <v>65</v>
      </c>
      <c r="O34" s="127" t="s">
        <v>25</v>
      </c>
      <c r="P34" s="446">
        <f>IF(OR(O34=$Y$22,G610&gt;0),1,0)</f>
        <v>0</v>
      </c>
      <c r="Z34" s="457" t="s">
        <v>23</v>
      </c>
      <c r="AF34" s="457" t="s">
        <v>66</v>
      </c>
      <c r="BB34" s="447"/>
    </row>
    <row r="35" spans="1:116" s="446" customFormat="1" ht="12.95" customHeight="1" x14ac:dyDescent="0.2">
      <c r="A35" s="124"/>
      <c r="B35" s="128" t="s">
        <v>67</v>
      </c>
      <c r="C35" s="528" t="s">
        <v>36</v>
      </c>
      <c r="D35" s="129"/>
      <c r="E35" s="129"/>
      <c r="F35" s="128" t="s">
        <v>68</v>
      </c>
      <c r="G35" s="115" t="s">
        <v>22</v>
      </c>
      <c r="H35" s="130"/>
      <c r="I35" s="129" t="str">
        <f>IF($L35="SELIC - TRIBUTOS","","Índice Final:")</f>
        <v>Índice Final:</v>
      </c>
      <c r="J35" s="131">
        <f ca="1">IF($L35="SELIC - TRIBUTOS","",VLOOKUP(DATE(YEAR($D$19),MONTH($D$19)+IF($C35="mês seguinte",1,0),1),ÍNDICES!$A:$DE,$Z35+1))</f>
        <v>92.252543000000003</v>
      </c>
      <c r="K35" s="132" t="s">
        <v>69</v>
      </c>
      <c r="L35" s="571" t="str">
        <f>IF($B$23=$W$22,$X$15,$U$15)</f>
        <v>TABELA PRÁTICA - INPC</v>
      </c>
      <c r="M35" s="571"/>
      <c r="N35" s="571"/>
      <c r="O35" s="571"/>
      <c r="X35" s="471"/>
      <c r="Y35" s="471"/>
      <c r="Z35" s="452">
        <f ca="1">SUMIF(ÍNDICES!$A$3:$W$4,L35,ÍNDICES!$A$4:$W$4)+10</f>
        <v>13</v>
      </c>
      <c r="AE35" s="468" t="str">
        <f>D38</f>
        <v>moeda nacional</v>
      </c>
      <c r="AF35" s="452">
        <f ca="1">SUMIF(ÍNDICES!$L$3:$DE$4,AE35,ÍNDICES!$L$4:$DE$4)+10</f>
        <v>10</v>
      </c>
      <c r="BB35" s="447"/>
    </row>
    <row r="36" spans="1:116" s="452" customFormat="1" ht="12.95" customHeight="1" x14ac:dyDescent="0.15">
      <c r="A36" s="62" t="s">
        <v>70</v>
      </c>
      <c r="B36" s="3" t="s">
        <v>71</v>
      </c>
      <c r="C36" s="4" t="str">
        <f>IF($L$35="SELIC - TRIBUTOS","VARIAÇÃO","ÍNDICE")</f>
        <v>ÍNDICE</v>
      </c>
      <c r="D36" s="62" t="s">
        <v>72</v>
      </c>
      <c r="E36" s="3" t="s">
        <v>73</v>
      </c>
      <c r="F36" s="4" t="str">
        <f>IF($L$35=$BL$25,"VARIAÇÃO","ÍNDICE")</f>
        <v>ÍNDICE</v>
      </c>
      <c r="G36" s="133" t="s">
        <v>74</v>
      </c>
      <c r="H36" s="134"/>
      <c r="I36" s="62" t="s">
        <v>75</v>
      </c>
      <c r="J36" s="62" t="s">
        <v>76</v>
      </c>
      <c r="K36" s="135" t="str">
        <f>IF(G610&gt;0,"Diferença","Principal")</f>
        <v>Principal</v>
      </c>
      <c r="L36" s="62" t="s">
        <v>77</v>
      </c>
      <c r="M36" s="63" t="s">
        <v>75</v>
      </c>
      <c r="N36" s="62" t="s">
        <v>78</v>
      </c>
      <c r="O36" s="14" t="s">
        <v>79</v>
      </c>
      <c r="S36" s="476">
        <v>5.9500000000000004E-2</v>
      </c>
      <c r="T36" s="477">
        <v>5.5999999999999994E-2</v>
      </c>
      <c r="U36" s="477">
        <v>5.2499999999999998E-2</v>
      </c>
      <c r="V36" s="477">
        <v>5.0750000000000003E-2</v>
      </c>
      <c r="W36" s="477">
        <v>5.2499999999999998E-2</v>
      </c>
      <c r="X36" s="477">
        <v>5.5999999999999994E-2</v>
      </c>
      <c r="Y36" s="477">
        <v>5.9500000000000004E-2</v>
      </c>
      <c r="Z36" s="477">
        <v>0.06</v>
      </c>
      <c r="AA36" s="477">
        <v>5.7750000000000003E-2</v>
      </c>
      <c r="AB36" s="477">
        <v>5.2499999999999998E-2</v>
      </c>
      <c r="AC36" s="477">
        <v>4.9000000000000002E-2</v>
      </c>
      <c r="AD36" s="477">
        <v>4.7249999999999993E-2</v>
      </c>
      <c r="AE36" s="477">
        <v>4.5499999999999999E-2</v>
      </c>
      <c r="AF36" s="477">
        <v>4.1999999999999996E-2</v>
      </c>
      <c r="AG36" s="477">
        <v>3.85E-2</v>
      </c>
      <c r="AH36" s="477">
        <v>3.4999999999999996E-2</v>
      </c>
      <c r="AI36" s="477">
        <v>3.15E-2</v>
      </c>
      <c r="AJ36" s="477">
        <v>2.9749999999999999E-2</v>
      </c>
      <c r="AK36" s="477">
        <v>2.6249999999999999E-2</v>
      </c>
      <c r="AL36" s="477">
        <v>2.0999999999999998E-2</v>
      </c>
      <c r="AM36" s="477">
        <v>1.575E-2</v>
      </c>
      <c r="AN36" s="478">
        <v>1.4E-2</v>
      </c>
      <c r="AO36" s="478">
        <f>2.75%*0.7</f>
        <v>1.925E-2</v>
      </c>
      <c r="AP36" s="478">
        <f>3.5%*0.7</f>
        <v>2.4500000000000001E-2</v>
      </c>
      <c r="AQ36" s="478">
        <f>4.25%*0.7</f>
        <v>2.9749999999999999E-2</v>
      </c>
      <c r="AR36" s="478">
        <f>5.25%*0.7</f>
        <v>3.6749999999999998E-2</v>
      </c>
      <c r="AS36" s="478">
        <f>6.25%*0.7</f>
        <v>4.3749999999999997E-2</v>
      </c>
      <c r="AT36" s="478">
        <f>7.75%*0.7</f>
        <v>5.425E-2</v>
      </c>
      <c r="AU36" s="478">
        <v>0.06</v>
      </c>
      <c r="AV36" s="478"/>
      <c r="AW36" s="478"/>
      <c r="AX36" s="478"/>
      <c r="AY36" s="478"/>
      <c r="AZ36" s="478"/>
      <c r="BA36" s="478"/>
      <c r="BB36" s="453"/>
      <c r="BI36" s="476">
        <f>S36</f>
        <v>5.9500000000000004E-2</v>
      </c>
      <c r="BJ36" s="477">
        <f t="shared" ref="BJ36:CQ36" si="0">T36</f>
        <v>5.5999999999999994E-2</v>
      </c>
      <c r="BK36" s="477">
        <f t="shared" si="0"/>
        <v>5.2499999999999998E-2</v>
      </c>
      <c r="BL36" s="477">
        <f t="shared" si="0"/>
        <v>5.0750000000000003E-2</v>
      </c>
      <c r="BM36" s="477">
        <f t="shared" si="0"/>
        <v>5.2499999999999998E-2</v>
      </c>
      <c r="BN36" s="477">
        <f t="shared" si="0"/>
        <v>5.5999999999999994E-2</v>
      </c>
      <c r="BO36" s="477">
        <f t="shared" si="0"/>
        <v>5.9500000000000004E-2</v>
      </c>
      <c r="BP36" s="477">
        <f t="shared" si="0"/>
        <v>0.06</v>
      </c>
      <c r="BQ36" s="477">
        <f t="shared" si="0"/>
        <v>5.7750000000000003E-2</v>
      </c>
      <c r="BR36" s="477">
        <f t="shared" si="0"/>
        <v>5.2499999999999998E-2</v>
      </c>
      <c r="BS36" s="477">
        <f t="shared" si="0"/>
        <v>4.9000000000000002E-2</v>
      </c>
      <c r="BT36" s="477">
        <f t="shared" si="0"/>
        <v>4.7249999999999993E-2</v>
      </c>
      <c r="BU36" s="477">
        <f t="shared" si="0"/>
        <v>4.5499999999999999E-2</v>
      </c>
      <c r="BV36" s="477">
        <f t="shared" si="0"/>
        <v>4.1999999999999996E-2</v>
      </c>
      <c r="BW36" s="477">
        <f t="shared" si="0"/>
        <v>3.85E-2</v>
      </c>
      <c r="BX36" s="477">
        <f t="shared" si="0"/>
        <v>3.4999999999999996E-2</v>
      </c>
      <c r="BY36" s="477">
        <f t="shared" si="0"/>
        <v>3.15E-2</v>
      </c>
      <c r="BZ36" s="477">
        <f t="shared" si="0"/>
        <v>2.9749999999999999E-2</v>
      </c>
      <c r="CA36" s="477">
        <f t="shared" si="0"/>
        <v>2.6249999999999999E-2</v>
      </c>
      <c r="CB36" s="477">
        <f t="shared" si="0"/>
        <v>2.0999999999999998E-2</v>
      </c>
      <c r="CC36" s="477">
        <f t="shared" si="0"/>
        <v>1.575E-2</v>
      </c>
      <c r="CD36" s="477">
        <f t="shared" si="0"/>
        <v>1.4E-2</v>
      </c>
      <c r="CE36" s="477">
        <f t="shared" si="0"/>
        <v>1.925E-2</v>
      </c>
      <c r="CF36" s="477">
        <f t="shared" si="0"/>
        <v>2.4500000000000001E-2</v>
      </c>
      <c r="CG36" s="477">
        <f t="shared" si="0"/>
        <v>2.9749999999999999E-2</v>
      </c>
      <c r="CH36" s="477">
        <f t="shared" si="0"/>
        <v>3.6749999999999998E-2</v>
      </c>
      <c r="CI36" s="477">
        <f t="shared" si="0"/>
        <v>4.3749999999999997E-2</v>
      </c>
      <c r="CJ36" s="477">
        <f t="shared" si="0"/>
        <v>5.425E-2</v>
      </c>
      <c r="CK36" s="477">
        <f t="shared" si="0"/>
        <v>0.06</v>
      </c>
      <c r="CL36" s="477">
        <f t="shared" si="0"/>
        <v>0</v>
      </c>
      <c r="CM36" s="477">
        <f t="shared" si="0"/>
        <v>0</v>
      </c>
      <c r="CN36" s="477">
        <f t="shared" si="0"/>
        <v>0</v>
      </c>
      <c r="CO36" s="477">
        <f t="shared" si="0"/>
        <v>0</v>
      </c>
      <c r="CP36" s="477">
        <f t="shared" si="0"/>
        <v>0</v>
      </c>
      <c r="CQ36" s="477">
        <f t="shared" si="0"/>
        <v>0</v>
      </c>
    </row>
    <row r="37" spans="1:116" s="452" customFormat="1" ht="12.95" customHeight="1" x14ac:dyDescent="0.2">
      <c r="A37" s="5" t="s">
        <v>80</v>
      </c>
      <c r="B37" s="3" t="s">
        <v>81</v>
      </c>
      <c r="C37" s="7" t="str">
        <f>IF($L$35="SELIC - TRIBUTOS","SELIC (até data cálc.)","VENCIMENTO")</f>
        <v>VENCIMENTO</v>
      </c>
      <c r="D37" s="62" t="s">
        <v>82</v>
      </c>
      <c r="E37" s="3" t="s">
        <v>83</v>
      </c>
      <c r="F37" s="7" t="str">
        <f>IF($L$35=$BL$25,"SELIC (até data cálc.)","PAGAMENTO")</f>
        <v>PAGAMENTO</v>
      </c>
      <c r="G37" s="133" t="s">
        <v>84</v>
      </c>
      <c r="H37" s="134"/>
      <c r="I37" s="7" t="s">
        <v>85</v>
      </c>
      <c r="J37" s="136" t="str">
        <f>K20</f>
        <v>12%ªª até 26/8/1; poup.</v>
      </c>
      <c r="K37" s="135" t="str">
        <f>IF(K36="Diferença","a favor do rqrte/exqte","")</f>
        <v/>
      </c>
      <c r="L37" s="137">
        <v>39814</v>
      </c>
      <c r="M37" s="7" t="s">
        <v>86</v>
      </c>
      <c r="N37" s="138" t="s">
        <v>64</v>
      </c>
      <c r="O37" s="5" t="s">
        <v>87</v>
      </c>
      <c r="P37" s="479">
        <f ca="1">IF($AE20=1,$N$20,IF(OR($AE20=4,$AE20=6),12%,6%))</f>
        <v>0.06</v>
      </c>
      <c r="Q37" s="479">
        <f ca="1">IF($AE20=1,$N$20,IF($AE20&gt;4,6%,12%))</f>
        <v>0.12</v>
      </c>
      <c r="R37" s="479">
        <f ca="1">IF($AE20=1,$N$20,IF($AE20=2,12%,6%))</f>
        <v>0.06</v>
      </c>
      <c r="S37" s="479">
        <f t="shared" ref="S37:BA37" ca="1" si="1">IF(AND($P$25=1,$AE20&gt;2),S36,IF($AE20=1,$N$20,IF($AE20=2,12%,6%)))</f>
        <v>0.06</v>
      </c>
      <c r="T37" s="479">
        <f t="shared" ca="1" si="1"/>
        <v>0.06</v>
      </c>
      <c r="U37" s="479">
        <f t="shared" ca="1" si="1"/>
        <v>0.06</v>
      </c>
      <c r="V37" s="479">
        <f t="shared" ca="1" si="1"/>
        <v>0.06</v>
      </c>
      <c r="W37" s="479">
        <f t="shared" ca="1" si="1"/>
        <v>0.06</v>
      </c>
      <c r="X37" s="479">
        <f t="shared" ca="1" si="1"/>
        <v>0.06</v>
      </c>
      <c r="Y37" s="479">
        <f t="shared" ca="1" si="1"/>
        <v>0.06</v>
      </c>
      <c r="Z37" s="479">
        <f t="shared" ca="1" si="1"/>
        <v>0.06</v>
      </c>
      <c r="AA37" s="479">
        <f t="shared" ca="1" si="1"/>
        <v>0.06</v>
      </c>
      <c r="AB37" s="479">
        <f t="shared" ca="1" si="1"/>
        <v>0.06</v>
      </c>
      <c r="AC37" s="479">
        <f t="shared" ca="1" si="1"/>
        <v>0.06</v>
      </c>
      <c r="AD37" s="479">
        <f t="shared" ca="1" si="1"/>
        <v>0.06</v>
      </c>
      <c r="AE37" s="479">
        <f t="shared" ca="1" si="1"/>
        <v>0.06</v>
      </c>
      <c r="AF37" s="479">
        <f t="shared" ca="1" si="1"/>
        <v>0.06</v>
      </c>
      <c r="AG37" s="479">
        <f t="shared" ca="1" si="1"/>
        <v>0.06</v>
      </c>
      <c r="AH37" s="479">
        <f t="shared" ca="1" si="1"/>
        <v>0.06</v>
      </c>
      <c r="AI37" s="479">
        <f t="shared" ca="1" si="1"/>
        <v>0.06</v>
      </c>
      <c r="AJ37" s="479">
        <f t="shared" ca="1" si="1"/>
        <v>0.06</v>
      </c>
      <c r="AK37" s="479">
        <f t="shared" ca="1" si="1"/>
        <v>0.06</v>
      </c>
      <c r="AL37" s="479">
        <f t="shared" ca="1" si="1"/>
        <v>0.06</v>
      </c>
      <c r="AM37" s="479">
        <f t="shared" ca="1" si="1"/>
        <v>0.06</v>
      </c>
      <c r="AN37" s="479">
        <f t="shared" ca="1" si="1"/>
        <v>0.06</v>
      </c>
      <c r="AO37" s="479">
        <f t="shared" ca="1" si="1"/>
        <v>0.06</v>
      </c>
      <c r="AP37" s="479">
        <f t="shared" ca="1" si="1"/>
        <v>0.06</v>
      </c>
      <c r="AQ37" s="479">
        <f t="shared" ca="1" si="1"/>
        <v>0.06</v>
      </c>
      <c r="AR37" s="479">
        <f t="shared" ca="1" si="1"/>
        <v>0.06</v>
      </c>
      <c r="AS37" s="479">
        <f t="shared" ca="1" si="1"/>
        <v>0.06</v>
      </c>
      <c r="AT37" s="479">
        <f t="shared" ca="1" si="1"/>
        <v>0.06</v>
      </c>
      <c r="AU37" s="479">
        <f t="shared" ca="1" si="1"/>
        <v>0.06</v>
      </c>
      <c r="AV37" s="479">
        <f t="shared" ca="1" si="1"/>
        <v>0.06</v>
      </c>
      <c r="AW37" s="479">
        <f t="shared" ca="1" si="1"/>
        <v>0.06</v>
      </c>
      <c r="AX37" s="479">
        <f t="shared" ca="1" si="1"/>
        <v>0.06</v>
      </c>
      <c r="AY37" s="479">
        <f t="shared" ca="1" si="1"/>
        <v>0.06</v>
      </c>
      <c r="AZ37" s="479">
        <f t="shared" ca="1" si="1"/>
        <v>0.06</v>
      </c>
      <c r="BA37" s="479">
        <f t="shared" ca="1" si="1"/>
        <v>0.06</v>
      </c>
      <c r="BB37" s="453"/>
      <c r="BF37" s="479">
        <f ca="1">IF($AE$21=1,$J$38,IF($AE$21=4,12%,6%))</f>
        <v>0.06</v>
      </c>
      <c r="BG37" s="479">
        <f ca="1">IF($AE$21=1,$J$38,IF($AE$21=5,6%,12%))</f>
        <v>0.12</v>
      </c>
      <c r="BH37" s="479">
        <f ca="1">IF($AE$21=1,$J$38,IF($AE$21=2,12%,6%))</f>
        <v>0.06</v>
      </c>
      <c r="BI37" s="479">
        <f t="shared" ref="BI37:CQ37" ca="1" si="2">IF(AND($P$25=1,$AE21&gt;2),BI36,IF($AE$21=1,$J$38,IF($AE$21=2,12%,6%)))</f>
        <v>0.06</v>
      </c>
      <c r="BJ37" s="479">
        <f t="shared" ca="1" si="2"/>
        <v>0.06</v>
      </c>
      <c r="BK37" s="479">
        <f t="shared" ca="1" si="2"/>
        <v>0.06</v>
      </c>
      <c r="BL37" s="479">
        <f t="shared" ca="1" si="2"/>
        <v>0.06</v>
      </c>
      <c r="BM37" s="479">
        <f t="shared" ca="1" si="2"/>
        <v>0.06</v>
      </c>
      <c r="BN37" s="479">
        <f t="shared" ca="1" si="2"/>
        <v>0.06</v>
      </c>
      <c r="BO37" s="479">
        <f t="shared" ca="1" si="2"/>
        <v>0.06</v>
      </c>
      <c r="BP37" s="479">
        <f t="shared" ca="1" si="2"/>
        <v>0.06</v>
      </c>
      <c r="BQ37" s="479">
        <f t="shared" ca="1" si="2"/>
        <v>0.06</v>
      </c>
      <c r="BR37" s="479">
        <f t="shared" ca="1" si="2"/>
        <v>0.06</v>
      </c>
      <c r="BS37" s="479">
        <f t="shared" ca="1" si="2"/>
        <v>0.06</v>
      </c>
      <c r="BT37" s="479">
        <f t="shared" ca="1" si="2"/>
        <v>0.06</v>
      </c>
      <c r="BU37" s="479">
        <f t="shared" ca="1" si="2"/>
        <v>0.06</v>
      </c>
      <c r="BV37" s="479">
        <f t="shared" ca="1" si="2"/>
        <v>0.06</v>
      </c>
      <c r="BW37" s="479">
        <f t="shared" ca="1" si="2"/>
        <v>0.06</v>
      </c>
      <c r="BX37" s="479">
        <f t="shared" ca="1" si="2"/>
        <v>0.06</v>
      </c>
      <c r="BY37" s="479">
        <f t="shared" ca="1" si="2"/>
        <v>0.06</v>
      </c>
      <c r="BZ37" s="479">
        <f t="shared" ca="1" si="2"/>
        <v>0.06</v>
      </c>
      <c r="CA37" s="479">
        <f t="shared" ca="1" si="2"/>
        <v>0.06</v>
      </c>
      <c r="CB37" s="479">
        <f t="shared" ca="1" si="2"/>
        <v>0.06</v>
      </c>
      <c r="CC37" s="479">
        <f t="shared" ca="1" si="2"/>
        <v>0.06</v>
      </c>
      <c r="CD37" s="479">
        <f t="shared" ca="1" si="2"/>
        <v>0.06</v>
      </c>
      <c r="CE37" s="479">
        <f t="shared" ca="1" si="2"/>
        <v>0.06</v>
      </c>
      <c r="CF37" s="479">
        <f t="shared" ca="1" si="2"/>
        <v>0.06</v>
      </c>
      <c r="CG37" s="479">
        <f t="shared" ca="1" si="2"/>
        <v>0.06</v>
      </c>
      <c r="CH37" s="479">
        <f t="shared" ca="1" si="2"/>
        <v>0.06</v>
      </c>
      <c r="CI37" s="479">
        <f t="shared" ca="1" si="2"/>
        <v>0.06</v>
      </c>
      <c r="CJ37" s="479">
        <f t="shared" ca="1" si="2"/>
        <v>0.06</v>
      </c>
      <c r="CK37" s="479">
        <f t="shared" ca="1" si="2"/>
        <v>0.06</v>
      </c>
      <c r="CL37" s="479">
        <f t="shared" ca="1" si="2"/>
        <v>0.06</v>
      </c>
      <c r="CM37" s="479">
        <f t="shared" ca="1" si="2"/>
        <v>0.06</v>
      </c>
      <c r="CN37" s="479">
        <f t="shared" ca="1" si="2"/>
        <v>0.06</v>
      </c>
      <c r="CO37" s="479">
        <f t="shared" ca="1" si="2"/>
        <v>0.06</v>
      </c>
      <c r="CP37" s="479">
        <f t="shared" ca="1" si="2"/>
        <v>0.06</v>
      </c>
      <c r="CQ37" s="479">
        <f t="shared" ca="1" si="2"/>
        <v>0.06</v>
      </c>
    </row>
    <row r="38" spans="1:116" s="446" customFormat="1" ht="12.95" customHeight="1" x14ac:dyDescent="0.2">
      <c r="A38" s="5" t="s">
        <v>88</v>
      </c>
      <c r="B38" s="139" t="s">
        <v>56</v>
      </c>
      <c r="C38" s="60" t="s">
        <v>42</v>
      </c>
      <c r="D38" s="140" t="s">
        <v>53</v>
      </c>
      <c r="E38" s="62" t="s">
        <v>89</v>
      </c>
      <c r="F38" s="60" t="s">
        <v>42</v>
      </c>
      <c r="G38" s="133" t="s">
        <v>90</v>
      </c>
      <c r="H38" s="134"/>
      <c r="I38" s="141">
        <v>1</v>
      </c>
      <c r="J38" s="142">
        <v>0</v>
      </c>
      <c r="K38" s="143">
        <v>1</v>
      </c>
      <c r="L38" s="26"/>
      <c r="M38" s="7" t="s">
        <v>91</v>
      </c>
      <c r="N38" s="358">
        <v>0</v>
      </c>
      <c r="O38" s="144">
        <v>1</v>
      </c>
      <c r="P38" s="480">
        <f>IF(K20=AF25,DATE(2001,8,26),DATE(2003,1,10))</f>
        <v>37631</v>
      </c>
      <c r="Q38" s="480">
        <v>39993</v>
      </c>
      <c r="R38" s="480">
        <v>41059</v>
      </c>
      <c r="S38" s="481">
        <v>41101</v>
      </c>
      <c r="T38" s="481">
        <v>41150</v>
      </c>
      <c r="U38" s="481">
        <v>41192</v>
      </c>
      <c r="V38" s="481">
        <v>41381</v>
      </c>
      <c r="W38" s="481">
        <v>41423</v>
      </c>
      <c r="X38" s="481">
        <v>41465</v>
      </c>
      <c r="Y38" s="481">
        <v>41514</v>
      </c>
      <c r="Z38" s="481">
        <v>42985</v>
      </c>
      <c r="AA38" s="481">
        <v>43033</v>
      </c>
      <c r="AB38" s="481">
        <v>43075</v>
      </c>
      <c r="AC38" s="481">
        <v>43138</v>
      </c>
      <c r="AD38" s="481">
        <v>43180</v>
      </c>
      <c r="AE38" s="481">
        <v>43677</v>
      </c>
      <c r="AF38" s="481">
        <v>43726</v>
      </c>
      <c r="AG38" s="481">
        <v>43768</v>
      </c>
      <c r="AH38" s="481">
        <v>43810</v>
      </c>
      <c r="AI38" s="481">
        <v>43866</v>
      </c>
      <c r="AJ38" s="481">
        <v>43908</v>
      </c>
      <c r="AK38" s="481">
        <v>43957</v>
      </c>
      <c r="AL38" s="481">
        <v>43999</v>
      </c>
      <c r="AM38" s="482">
        <v>44048</v>
      </c>
      <c r="AN38" s="482">
        <v>44272</v>
      </c>
      <c r="AO38" s="482">
        <v>44321</v>
      </c>
      <c r="AP38" s="482">
        <v>44363</v>
      </c>
      <c r="AQ38" s="482">
        <v>44412</v>
      </c>
      <c r="AR38" s="482">
        <v>44461</v>
      </c>
      <c r="AS38" s="482">
        <v>44496</v>
      </c>
      <c r="AT38" s="482">
        <v>44538</v>
      </c>
      <c r="AU38" s="482">
        <f>IF(OR($L$35=$X$15,$L$35=$Y$15),AT38,$D$19)</f>
        <v>45138</v>
      </c>
      <c r="AV38" s="482">
        <f t="shared" ref="AV38:BA38" si="3">IF(OR($L$35=$X$15,$L$35=$Y$15),AU38,$D$19)</f>
        <v>45138</v>
      </c>
      <c r="AW38" s="482">
        <f t="shared" si="3"/>
        <v>45138</v>
      </c>
      <c r="AX38" s="482">
        <f t="shared" si="3"/>
        <v>45138</v>
      </c>
      <c r="AY38" s="482">
        <f t="shared" si="3"/>
        <v>45138</v>
      </c>
      <c r="AZ38" s="482">
        <f t="shared" si="3"/>
        <v>45138</v>
      </c>
      <c r="BA38" s="482">
        <f t="shared" si="3"/>
        <v>45138</v>
      </c>
      <c r="BB38" s="447"/>
      <c r="BF38" s="480">
        <f>P38</f>
        <v>37631</v>
      </c>
      <c r="BG38" s="480">
        <f t="shared" ref="BG38:CQ38" si="4">Q38</f>
        <v>39993</v>
      </c>
      <c r="BH38" s="480">
        <f t="shared" si="4"/>
        <v>41059</v>
      </c>
      <c r="BI38" s="480">
        <f t="shared" si="4"/>
        <v>41101</v>
      </c>
      <c r="BJ38" s="480">
        <f t="shared" si="4"/>
        <v>41150</v>
      </c>
      <c r="BK38" s="480">
        <f t="shared" si="4"/>
        <v>41192</v>
      </c>
      <c r="BL38" s="480">
        <f t="shared" si="4"/>
        <v>41381</v>
      </c>
      <c r="BM38" s="480">
        <f t="shared" si="4"/>
        <v>41423</v>
      </c>
      <c r="BN38" s="480">
        <f t="shared" si="4"/>
        <v>41465</v>
      </c>
      <c r="BO38" s="480">
        <f t="shared" si="4"/>
        <v>41514</v>
      </c>
      <c r="BP38" s="480">
        <f t="shared" si="4"/>
        <v>42985</v>
      </c>
      <c r="BQ38" s="480">
        <f t="shared" si="4"/>
        <v>43033</v>
      </c>
      <c r="BR38" s="480">
        <f t="shared" si="4"/>
        <v>43075</v>
      </c>
      <c r="BS38" s="480">
        <f t="shared" si="4"/>
        <v>43138</v>
      </c>
      <c r="BT38" s="480">
        <f t="shared" si="4"/>
        <v>43180</v>
      </c>
      <c r="BU38" s="480">
        <f t="shared" si="4"/>
        <v>43677</v>
      </c>
      <c r="BV38" s="480">
        <f t="shared" si="4"/>
        <v>43726</v>
      </c>
      <c r="BW38" s="480">
        <f t="shared" si="4"/>
        <v>43768</v>
      </c>
      <c r="BX38" s="480">
        <f t="shared" si="4"/>
        <v>43810</v>
      </c>
      <c r="BY38" s="480">
        <f t="shared" si="4"/>
        <v>43866</v>
      </c>
      <c r="BZ38" s="480">
        <f t="shared" si="4"/>
        <v>43908</v>
      </c>
      <c r="CA38" s="480">
        <f t="shared" si="4"/>
        <v>43957</v>
      </c>
      <c r="CB38" s="480">
        <f t="shared" si="4"/>
        <v>43999</v>
      </c>
      <c r="CC38" s="480">
        <f t="shared" si="4"/>
        <v>44048</v>
      </c>
      <c r="CD38" s="480">
        <f t="shared" si="4"/>
        <v>44272</v>
      </c>
      <c r="CE38" s="480">
        <f t="shared" si="4"/>
        <v>44321</v>
      </c>
      <c r="CF38" s="480">
        <f t="shared" si="4"/>
        <v>44363</v>
      </c>
      <c r="CG38" s="480">
        <f t="shared" si="4"/>
        <v>44412</v>
      </c>
      <c r="CH38" s="480">
        <f t="shared" si="4"/>
        <v>44461</v>
      </c>
      <c r="CI38" s="480">
        <f t="shared" si="4"/>
        <v>44496</v>
      </c>
      <c r="CJ38" s="480">
        <f t="shared" si="4"/>
        <v>44538</v>
      </c>
      <c r="CK38" s="480">
        <f t="shared" si="4"/>
        <v>45138</v>
      </c>
      <c r="CL38" s="480">
        <f t="shared" si="4"/>
        <v>45138</v>
      </c>
      <c r="CM38" s="480">
        <f t="shared" si="4"/>
        <v>45138</v>
      </c>
      <c r="CN38" s="480">
        <f t="shared" si="4"/>
        <v>45138</v>
      </c>
      <c r="CO38" s="480">
        <f t="shared" si="4"/>
        <v>45138</v>
      </c>
      <c r="CP38" s="480">
        <f t="shared" si="4"/>
        <v>45138</v>
      </c>
      <c r="CQ38" s="480">
        <f t="shared" si="4"/>
        <v>45138</v>
      </c>
      <c r="CR38" s="480"/>
      <c r="CS38" s="480"/>
      <c r="CT38" s="480"/>
      <c r="CU38" s="480"/>
      <c r="CV38" s="480"/>
      <c r="CW38" s="480"/>
      <c r="CX38" s="480"/>
      <c r="CY38" s="480"/>
      <c r="CZ38" s="480"/>
      <c r="DA38" s="480"/>
      <c r="DB38" s="480"/>
      <c r="DC38" s="480"/>
      <c r="DD38" s="480"/>
      <c r="DE38" s="480"/>
      <c r="DF38" s="480"/>
      <c r="DG38" s="480"/>
      <c r="DH38" s="480"/>
      <c r="DI38" s="480"/>
      <c r="DJ38" s="480"/>
      <c r="DK38" s="480"/>
      <c r="DL38" s="480"/>
    </row>
    <row r="39" spans="1:116" s="446" customFormat="1" ht="6" customHeight="1" x14ac:dyDescent="0.2">
      <c r="A39" s="146"/>
      <c r="B39" s="147"/>
      <c r="C39" s="9"/>
      <c r="D39" s="148"/>
      <c r="E39" s="148"/>
      <c r="F39" s="9"/>
      <c r="G39" s="148"/>
      <c r="H39" s="149"/>
      <c r="I39" s="148"/>
      <c r="J39" s="150"/>
      <c r="K39" s="150"/>
      <c r="L39" s="151"/>
      <c r="M39" s="7"/>
      <c r="N39" s="151"/>
      <c r="O39" s="5"/>
      <c r="P39" s="445"/>
      <c r="Q39" s="445"/>
      <c r="R39" s="445"/>
      <c r="S39" s="445"/>
      <c r="T39" s="445"/>
      <c r="U39" s="445"/>
      <c r="V39" s="445"/>
      <c r="W39" s="445"/>
      <c r="X39" s="445"/>
      <c r="Y39" s="445"/>
      <c r="Z39" s="445"/>
      <c r="AA39" s="445"/>
      <c r="AB39" s="445"/>
      <c r="AC39" s="445"/>
      <c r="AD39" s="445"/>
      <c r="AE39" s="445"/>
      <c r="AF39" s="445"/>
      <c r="AG39" s="445"/>
      <c r="AH39" s="445"/>
      <c r="AI39" s="445"/>
      <c r="AJ39" s="445"/>
      <c r="BB39" s="447"/>
      <c r="BF39" s="445"/>
      <c r="BG39" s="445"/>
      <c r="BH39" s="445"/>
      <c r="BI39" s="445"/>
      <c r="BJ39" s="445"/>
      <c r="BK39" s="445"/>
      <c r="BL39" s="445"/>
      <c r="BM39" s="445"/>
      <c r="BN39" s="445"/>
      <c r="BO39" s="445"/>
      <c r="BP39" s="445"/>
      <c r="BQ39" s="445"/>
      <c r="BR39" s="445"/>
      <c r="BS39" s="445"/>
      <c r="BT39" s="445"/>
      <c r="BU39" s="445"/>
    </row>
    <row r="40" spans="1:116" s="446" customFormat="1" ht="11.25" customHeight="1" x14ac:dyDescent="0.2">
      <c r="A40" s="152"/>
      <c r="B40" s="153"/>
      <c r="C40" s="29" t="str">
        <f>IF(B40="","",IF($L$35="SELIC - TRIBUTOS",VLOOKUP(DATE(YEAR($D$19),MONTH($D$19)-1,1),ÍNDICES!$A:$DE,HLOOKUP($BL$25,ÍNDICES!$B$3:$T$4,2)+11)-VLOOKUP(B40,ÍNDICES!$A:$DE,HLOOKUP($BL$25,ÍNDICES!$B$3:$T$4,2)+11)+1%,IF(C$38=$W$26,$J$35,IF(ISERROR(IF(B40&gt;$D$19,1,VLOOKUP(DATE(YEAR(B40),MONTH(B40)+IF($C$35=$S$23,1,0),1),ÍNDICES!$A:$DE,$Z$35+1))),"",IF(B40&gt;$D$19,1,VLOOKUP(DATE(YEAR(B40),MONTH(B40)+IF($C$35=$S$23,1,0),1),ÍNDICES!$A:$DE,$Z$35+1))))))</f>
        <v/>
      </c>
      <c r="D40" s="154" t="str">
        <f>IF(ISERROR(IF(OR($D$38=$Y$27,$B40=""),"",VLOOKUP(B40,ÍNDICES!A:DE,AF$35+1))),"",IF(OR($D$38=$Y$27,$B40=""),"",VLOOKUP(B40,ÍNDICES!A:DE,AF$35+1)))</f>
        <v/>
      </c>
      <c r="E40" s="153"/>
      <c r="F40" s="29" t="str">
        <f>IF(E40="","",IF($L$35="SELIC - TRIBUTOS",VLOOKUP(DATE(YEAR($D$19),MONTH($D$19)-1,1),ÍNDICES!$A:$DE,HLOOKUP($BL$25,ÍNDICES!$B$3:$T$4,2)+11)-VLOOKUP(IF(E40&gt;B40,E40,B40),ÍNDICES!$A:$DE,HLOOKUP($BL$25,ÍNDICES!$B$3:$T$4,2)+11)+1%,IF(F$38=$W$26,$J$35,IF(ISERROR(IF(E40&gt;$D$19,1,VLOOKUP(DATE(YEAR(E40),MONTH(E40)+IF($C$35=$S$23,1,0),1),ÍNDICES!$A:$DE,$Z$35+1))),"",IF(E40&gt;$D$19,1,VLOOKUP(DATE(YEAR(E40),MONTH(E40)+IF($C$35=$S$23,1,0),1),ÍNDICES!$A:$DE,$Z$35+1))))))</f>
        <v/>
      </c>
      <c r="G40" s="155"/>
      <c r="H40" s="156" t="str">
        <f>IF(E40="",IF(D40="","",D40),IF(ISERROR(D40/(IF(E40&lt;B40,1,C40/F40))-G40),-G40,D40/(IF(E40&lt;B40,1,C40/F40))-G40))</f>
        <v/>
      </c>
      <c r="I40" s="29" t="str">
        <f t="shared" ref="I40:I103" si="5">IF(OR($L$35=$BL$25,B40=""),"",SUM(BF40:CF40))</f>
        <v/>
      </c>
      <c r="J40" s="5">
        <f t="shared" ref="J40:J103" si="6">IF(OR($L$35="SELIC - TRIBUTOS",B40=""),0,IF(D40="",0,D40)/C40*J$35*SUMPRODUCT($BF$37:$DD$37,$BF40:$DD40))</f>
        <v>0</v>
      </c>
      <c r="K40" s="20">
        <f t="shared" ref="K40:K103" ca="1" si="7">IF($L$35="SELIC - TRIBUTOS",$K$38*(-IFERROR(D40*(1+C40),0)-IF($R$17="Distrato",IFERROR(G40*(1+F40),0),0)),$K$38*(IFERROR(D40/C40*$J$35,0)-IF($R$17="Distrato",IFERROR(G40/F40*$J$35,0),0)))</f>
        <v>0</v>
      </c>
      <c r="L40" s="5">
        <f t="shared" ref="L40:L103" ca="1" si="8">IF(L$35="SELIC - TRIBUTOS",0,IFERROR(K40*SUMPRODUCT($P$37:$BA$37,$P40:$BA40),0))</f>
        <v>0</v>
      </c>
      <c r="M40" s="64">
        <f>IFERROR(SUM(P40:BA40),0)</f>
        <v>0</v>
      </c>
      <c r="N40" s="61">
        <f ca="1">IFERROR($N$38*(K40+IF(OR(L$35="SELIC - TRIBUTOS",$N$37="sobre principal"),0,J40+L40)),0)</f>
        <v>0</v>
      </c>
      <c r="O40" s="5">
        <f ca="1">IF(ISERROR((K40+J40+L40+N40)*O$38),"",(K40+J40+L40+N40)*O$38)</f>
        <v>0</v>
      </c>
      <c r="P40" s="446">
        <f t="shared" ref="P40:P103" si="9">IF(OR($B40="",MIN(P$38,$D$19)&lt;MAX($P$34*($B40+IF($R$17="Distrato",$I$38-1,0)),IF(AND($L$37=0,$P$34=0),"",$L$37-1),IF($R$17="Distrato",$E40,0))),0,YEARFRAC(MAX($P$34*($B40+IF($R$17="Distrato",$I$38-1,0)),IF(AND($L$37=0,$P$34=0),"",$L$37-1),IF($R$17="Distrato",$E40,0)),MIN(P$38,$D$19),$P$20))</f>
        <v>0</v>
      </c>
      <c r="Q40" s="446">
        <f>IF(OR($B40="",MIN(Q$38,$D$19)&lt;MAX($P$34*($B40+IF($R$17="Distrato",$I$38-1,0)),IF(AND($L$37=0,$P$34=0),"",$L$37-1),IF($R$17="Distrato",$E40,0))),0,YEARFRAC(MAX($P$34*($B40+IF($R$17="Distrato",$I$38-1,0)),IF(AND($L$37=0,$P$34=0),"",$L$37-1),IF($R$17="Distrato",$E40,0)),MIN(Q$38,$D$19),$P$20))-SUM($P40:P40)</f>
        <v>0</v>
      </c>
      <c r="R40" s="446">
        <f>IF(OR($B40="",MIN(R$38,$D$19)&lt;MAX($P$34*($B40+IF($R$17="Distrato",$I$38-1,0)),IF(AND($L$37=0,$P$34=0),"",$L$37-1),IF($R$17="Distrato",$E40,0))),0,YEARFRAC(MAX($P$34*($B40+IF($R$17="Distrato",$I$38-1,0)),IF(AND($L$37=0,$P$34=0),"",$L$37-1),IF($R$17="Distrato",$E40,0)),MIN(R$38,$D$19),$P$20))-SUM($P40:Q40)</f>
        <v>0</v>
      </c>
      <c r="S40" s="446">
        <f>IF(OR($B40="",MIN(S$38,$D$19)&lt;MAX($P$34*($B40+IF($R$17="Distrato",$I$38-1,0)),IF(AND($L$37=0,$P$34=0),"",$L$37-1),IF($R$17="Distrato",$E40,0))),0,YEARFRAC(MAX($P$34*($B40+IF($R$17="Distrato",$I$38-1,0)),IF(AND($L$37=0,$P$34=0),"",$L$37-1),IF($R$17="Distrato",$E40,0)),MIN(S$38,$D$19),$P$20))-SUM($P40:R40)</f>
        <v>0</v>
      </c>
      <c r="T40" s="446">
        <f>IF(OR($B40="",MIN(T$38,$D$19)&lt;MAX($P$34*($B40+IF($R$17="Distrato",$I$38-1,0)),IF(AND($L$37=0,$P$34=0),"",$L$37-1),IF($R$17="Distrato",$E40,0))),0,YEARFRAC(MAX($P$34*($B40+IF($R$17="Distrato",$I$38-1,0)),IF(AND($L$37=0,$P$34=0),"",$L$37-1),IF($R$17="Distrato",$E40,0)),MIN(T$38,$D$19),$P$20))-SUM($P40:S40)</f>
        <v>0</v>
      </c>
      <c r="U40" s="446">
        <f>IF(OR($B40="",MIN(U$38,$D$19)&lt;MAX($P$34*($B40+IF($R$17="Distrato",$I$38-1,0)),IF(AND($L$37=0,$P$34=0),"",$L$37-1),IF($R$17="Distrato",$E40,0))),0,YEARFRAC(MAX($P$34*($B40+IF($R$17="Distrato",$I$38-1,0)),IF(AND($L$37=0,$P$34=0),"",$L$37-1),IF($R$17="Distrato",$E40,0)),MIN(U$38,$D$19),$P$20))-SUM($P40:T40)</f>
        <v>0</v>
      </c>
      <c r="V40" s="446">
        <f>IF(OR($B40="",MIN(V$38,$D$19)&lt;MAX($P$34*($B40+IF($R$17="Distrato",$I$38-1,0)),IF(AND($L$37=0,$P$34=0),"",$L$37-1),IF($R$17="Distrato",$E40,0))),0,YEARFRAC(MAX($P$34*($B40+IF($R$17="Distrato",$I$38-1,0)),IF(AND($L$37=0,$P$34=0),"",$L$37-1),IF($R$17="Distrato",$E40,0)),MIN(V$38,$D$19),$P$20))-SUM($P40:U40)</f>
        <v>0</v>
      </c>
      <c r="W40" s="446">
        <f>IF(OR($B40="",MIN(W$38,$D$19)&lt;MAX($P$34*($B40+IF($R$17="Distrato",$I$38-1,0)),IF(AND($L$37=0,$P$34=0),"",$L$37-1),IF($R$17="Distrato",$E40,0))),0,YEARFRAC(MAX($P$34*($B40+IF($R$17="Distrato",$I$38-1,0)),IF(AND($L$37=0,$P$34=0),"",$L$37-1),IF($R$17="Distrato",$E40,0)),MIN(W$38,$D$19),$P$20))-SUM($P40:V40)</f>
        <v>0</v>
      </c>
      <c r="X40" s="446">
        <f>IF(OR($B40="",MIN(X$38,$D$19)&lt;MAX($P$34*($B40+IF($R$17="Distrato",$I$38-1,0)),IF(AND($L$37=0,$P$34=0),"",$L$37-1),IF($R$17="Distrato",$E40,0))),0,YEARFRAC(MAX($P$34*($B40+IF($R$17="Distrato",$I$38-1,0)),IF(AND($L$37=0,$P$34=0),"",$L$37-1),IF($R$17="Distrato",$E40,0)),MIN(X$38,$D$19),$P$20))-SUM($P40:W40)</f>
        <v>0</v>
      </c>
      <c r="Y40" s="446">
        <f>IF(OR($B40="",MIN(Y$38,$D$19)&lt;MAX($P$34*($B40+IF($R$17="Distrato",$I$38-1,0)),IF(AND($L$37=0,$P$34=0),"",$L$37-1),IF($R$17="Distrato",$E40,0))),0,YEARFRAC(MAX($P$34*($B40+IF($R$17="Distrato",$I$38-1,0)),IF(AND($L$37=0,$P$34=0),"",$L$37-1),IF($R$17="Distrato",$E40,0)),MIN(Y$38,$D$19),$P$20))-SUM($P40:X40)</f>
        <v>0</v>
      </c>
      <c r="Z40" s="446">
        <f>IF(OR($B40="",MIN(Z$38,$D$19)&lt;MAX($P$34*($B40+IF($R$17="Distrato",$I$38-1,0)),IF(AND($L$37=0,$P$34=0),"",$L$37-1),IF($R$17="Distrato",$E40,0))),0,YEARFRAC(MAX($P$34*($B40+IF($R$17="Distrato",$I$38-1,0)),IF(AND($L$37=0,$P$34=0),"",$L$37-1),IF($R$17="Distrato",$E40,0)),MIN(Z$38,$D$19),$P$20))-SUM($P40:Y40)</f>
        <v>0</v>
      </c>
      <c r="AA40" s="446">
        <f>IF(OR($B40="",MIN(AA$38,$D$19)&lt;MAX($P$34*($B40+IF($R$17="Distrato",$I$38-1,0)),IF(AND($L$37=0,$P$34=0),"",$L$37-1),IF($R$17="Distrato",$E40,0))),0,YEARFRAC(MAX($P$34*($B40+IF($R$17="Distrato",$I$38-1,0)),IF(AND($L$37=0,$P$34=0),"",$L$37-1),IF($R$17="Distrato",$E40,0)),MIN(AA$38,$D$19),$P$20))-SUM($P40:Z40)</f>
        <v>0</v>
      </c>
      <c r="AB40" s="446">
        <f>IF(OR($B40="",MIN(AB$38,$D$19)&lt;MAX($P$34*($B40+IF($R$17="Distrato",$I$38-1,0)),IF(AND($L$37=0,$P$34=0),"",$L$37-1),IF($R$17="Distrato",$E40,0))),0,YEARFRAC(MAX($P$34*($B40+IF($R$17="Distrato",$I$38-1,0)),IF(AND($L$37=0,$P$34=0),"",$L$37-1),IF($R$17="Distrato",$E40,0)),MIN(AB$38,$D$19),$P$20))-SUM($P40:AA40)</f>
        <v>0</v>
      </c>
      <c r="AC40" s="446">
        <f>IF(OR($B40="",MIN(AC$38,$D$19)&lt;MAX($P$34*($B40+IF($R$17="Distrato",$I$38-1,0)),IF(AND($L$37=0,$P$34=0),"",$L$37-1),IF($R$17="Distrato",$E40,0))),0,YEARFRAC(MAX($P$34*($B40+IF($R$17="Distrato",$I$38-1,0)),IF(AND($L$37=0,$P$34=0),"",$L$37-1),IF($R$17="Distrato",$E40,0)),MIN(AC$38,$D$19),$P$20))-SUM($P40:AB40)</f>
        <v>0</v>
      </c>
      <c r="AD40" s="446">
        <f>IF(OR($B40="",MIN(AD$38,$D$19)&lt;MAX($P$34*($B40+IF($R$17="Distrato",$I$38-1,0)),IF(AND($L$37=0,$P$34=0),"",$L$37-1),IF($R$17="Distrato",$E40,0))),0,YEARFRAC(MAX($P$34*($B40+IF($R$17="Distrato",$I$38-1,0)),IF(AND($L$37=0,$P$34=0),"",$L$37-1),IF($R$17="Distrato",$E40,0)),MIN(AD$38,$D$19),$P$20))-SUM($P40:AC40)</f>
        <v>0</v>
      </c>
      <c r="AE40" s="446">
        <f>IF(OR($B40="",MIN(AE$38,$D$19)&lt;MAX($P$34*($B40+IF($R$17="Distrato",$I$38-1,0)),IF(AND($L$37=0,$P$34=0),"",$L$37-1),IF($R$17="Distrato",$E40,0))),0,YEARFRAC(MAX($P$34*($B40+IF($R$17="Distrato",$I$38-1,0)),IF(AND($L$37=0,$P$34=0),"",$L$37-1),IF($R$17="Distrato",$E40,0)),MIN(AE$38,$D$19),$P$20))-SUM($P40:AD40)</f>
        <v>0</v>
      </c>
      <c r="AF40" s="446">
        <f>IF(OR($B40="",MIN(AF$38,$D$19)&lt;MAX($P$34*($B40+IF($R$17="Distrato",$I$38-1,0)),IF(AND($L$37=0,$P$34=0),"",$L$37-1),IF($R$17="Distrato",$E40,0))),0,YEARFRAC(MAX($P$34*($B40+IF($R$17="Distrato",$I$38-1,0)),IF(AND($L$37=0,$P$34=0),"",$L$37-1),IF($R$17="Distrato",$E40,0)),MIN(AF$38,$D$19),$P$20))-SUM($P40:AE40)</f>
        <v>0</v>
      </c>
      <c r="AG40" s="446">
        <f>IF(OR($B40="",MIN(AG$38,$D$19)&lt;MAX($P$34*($B40+IF($R$17="Distrato",$I$38-1,0)),IF(AND($L$37=0,$P$34=0),"",$L$37-1),IF($R$17="Distrato",$E40,0))),0,YEARFRAC(MAX($P$34*($B40+IF($R$17="Distrato",$I$38-1,0)),IF(AND($L$37=0,$P$34=0),"",$L$37-1),IF($R$17="Distrato",$E40,0)),MIN(AG$38,$D$19),$P$20))-SUM($P40:AF40)</f>
        <v>0</v>
      </c>
      <c r="AH40" s="446">
        <f>IF(OR($B40="",MIN(AH$38,$D$19)&lt;MAX($P$34*($B40+IF($R$17="Distrato",$I$38-1,0)),IF(AND($L$37=0,$P$34=0),"",$L$37-1),IF($R$17="Distrato",$E40,0))),0,YEARFRAC(MAX($P$34*($B40+IF($R$17="Distrato",$I$38-1,0)),IF(AND($L$37=0,$P$34=0),"",$L$37-1),IF($R$17="Distrato",$E40,0)),MIN(AH$38,$D$19),$P$20))-SUM($P40:AG40)</f>
        <v>0</v>
      </c>
      <c r="AI40" s="446">
        <f>IF(OR($B40="",MIN(AI$38,$D$19)&lt;MAX($P$34*($B40+IF($R$17="Distrato",$I$38-1,0)),IF(AND($L$37=0,$P$34=0),"",$L$37-1),IF($R$17="Distrato",$E40,0))),0,YEARFRAC(MAX($P$34*($B40+IF($R$17="Distrato",$I$38-1,0)),IF(AND($L$37=0,$P$34=0),"",$L$37-1),IF($R$17="Distrato",$E40,0)),MIN(AI$38,$D$19),$P$20))-SUM($P40:AH40)</f>
        <v>0</v>
      </c>
      <c r="AJ40" s="446">
        <f>IF(OR($B40="",MIN(AJ$38,$D$19)&lt;MAX($P$34*($B40+IF($R$17="Distrato",$I$38-1,0)),IF(AND($L$37=0,$P$34=0),"",$L$37-1),IF($R$17="Distrato",$E40,0))),0,YEARFRAC(MAX($P$34*($B40+IF($R$17="Distrato",$I$38-1,0)),IF(AND($L$37=0,$P$34=0),"",$L$37-1),IF($R$17="Distrato",$E40,0)),MIN(AJ$38,$D$19),$P$20))-SUM($P40:AI40)</f>
        <v>0</v>
      </c>
      <c r="AK40" s="446">
        <f>IF(OR($B40="",MIN(AK$38,$D$19)&lt;MAX($P$34*($B40+IF($R$17="Distrato",$I$38-1,0)),IF(AND($L$37=0,$P$34=0),"",$L$37-1),IF($R$17="Distrato",$E40,0))),0,YEARFRAC(MAX($P$34*($B40+IF($R$17="Distrato",$I$38-1,0)),IF(AND($L$37=0,$P$34=0),"",$L$37-1),IF($R$17="Distrato",$E40,0)),MIN(AK$38,$D$19),$P$20))-SUM($P40:AJ40)</f>
        <v>0</v>
      </c>
      <c r="AL40" s="446">
        <f>IF(OR($B40="",MIN(AL$38,$D$19)&lt;MAX($P$34*($B40+IF($R$17="Distrato",$I$38-1,0)),IF(AND($L$37=0,$P$34=0),"",$L$37-1),IF($R$17="Distrato",$E40,0))),0,YEARFRAC(MAX($P$34*($B40+IF($R$17="Distrato",$I$38-1,0)),IF(AND($L$37=0,$P$34=0),"",$L$37-1),IF($R$17="Distrato",$E40,0)),MIN(AL$38,$D$19),$P$20))-SUM($P40:AK40)</f>
        <v>0</v>
      </c>
      <c r="AM40" s="446">
        <f>IF(OR($B40="",MIN(AM$38,$D$19)&lt;MAX($P$34*($B40+IF($R$17="Distrato",$I$38-1,0)),IF(AND($L$37=0,$P$34=0),"",$L$37-1),IF($R$17="Distrato",$E40,0))),0,YEARFRAC(MAX($P$34*($B40+IF($R$17="Distrato",$I$38-1,0)),IF(AND($L$37=0,$P$34=0),"",$L$37-1),IF($R$17="Distrato",$E40,0)),MIN(AM$38,$D$19),$P$20))-SUM($P40:AL40)</f>
        <v>0</v>
      </c>
      <c r="AN40" s="446">
        <f>IF(OR($B40="",MIN(AN$38,$D$19)&lt;MAX($P$34*($B40+IF($R$17="Distrato",$I$38-1,0)),IF(AND($L$37=0,$P$34=0),"",$L$37-1),IF($R$17="Distrato",$E40,0))),0,YEARFRAC(MAX($P$34*($B40+IF($R$17="Distrato",$I$38-1,0)),IF(AND($L$37=0,$P$34=0),"",$L$37-1),IF($R$17="Distrato",$E40,0)),MIN(AN$38,$D$19),$P$20))-SUM($P40:AM40)</f>
        <v>0</v>
      </c>
      <c r="AO40" s="446">
        <f>IF(OR($B40="",MIN(AO$38,$D$19)&lt;MAX($P$34*($B40+IF($R$17="Distrato",$I$38-1,0)),IF(AND($L$37=0,$P$34=0),"",$L$37-1),IF($R$17="Distrato",$E40,0))),0,YEARFRAC(MAX($P$34*($B40+IF($R$17="Distrato",$I$38-1,0)),IF(AND($L$37=0,$P$34=0),"",$L$37-1),IF($R$17="Distrato",$E40,0)),MIN(AO$38,$D$19),$P$20))-SUM($P40:AN40)</f>
        <v>0</v>
      </c>
      <c r="AP40" s="446">
        <f>IF(OR($B40="",MIN(AP$38,$D$19)&lt;MAX($P$34*($B40+IF($R$17="Distrato",$I$38-1,0)),IF(AND($L$37=0,$P$34=0),"",$L$37-1),IF($R$17="Distrato",$E40,0))),0,YEARFRAC(MAX($P$34*($B40+IF($R$17="Distrato",$I$38-1,0)),IF(AND($L$37=0,$P$34=0),"",$L$37-1),IF($R$17="Distrato",$E40,0)),MIN(AP$38,$D$19),$P$20))-SUM($P40:AO40)</f>
        <v>0</v>
      </c>
      <c r="AQ40" s="446">
        <f>IF(OR($B40="",MIN(AQ$38,$D$19)&lt;MAX($P$34*($B40+IF($R$17="Distrato",$I$38-1,0)),IF(AND($L$37=0,$P$34=0),"",$L$37-1),IF($R$17="Distrato",$E40,0))),0,YEARFRAC(MAX($P$34*($B40+IF($R$17="Distrato",$I$38-1,0)),IF(AND($L$37=0,$P$34=0),"",$L$37-1),IF($R$17="Distrato",$E40,0)),MIN(AQ$38,$D$19),$P$20))-SUM($P40:AP40)</f>
        <v>0</v>
      </c>
      <c r="AR40" s="446">
        <f>IF(OR($B40="",MIN(AR$38,$D$19)&lt;MAX($P$34*($B40+IF($R$17="Distrato",$I$38-1,0)),IF(AND($L$37=0,$P$34=0),"",$L$37-1),IF($R$17="Distrato",$E40,0))),0,YEARFRAC(MAX($P$34*($B40+IF($R$17="Distrato",$I$38-1,0)),IF(AND($L$37=0,$P$34=0),"",$L$37-1),IF($R$17="Distrato",$E40,0)),MIN(AR$38,$D$19),$P$20))-SUM($P40:AQ40)</f>
        <v>0</v>
      </c>
      <c r="AS40" s="446">
        <f>IF(OR($B40="",MIN(AS$38,$D$19)&lt;MAX($P$34*($B40+IF($R$17="Distrato",$I$38-1,0)),IF(AND($L$37=0,$P$34=0),"",$L$37-1),IF($R$17="Distrato",$E40,0))),0,YEARFRAC(MAX($P$34*($B40+IF($R$17="Distrato",$I$38-1,0)),IF(AND($L$37=0,$P$34=0),"",$L$37-1),IF($R$17="Distrato",$E40,0)),MIN(AS$38,$D$19),$P$20))-SUM($P40:AR40)</f>
        <v>0</v>
      </c>
      <c r="AT40" s="446">
        <f>IF(OR($B40="",MIN(AT$38,$D$19)&lt;MAX($P$34*($B40+IF($R$17="Distrato",$I$38-1,0)),IF(AND($L$37=0,$P$34=0),"",$L$37-1),IF($R$17="Distrato",$E40,0))),0,YEARFRAC(MAX($P$34*($B40+IF($R$17="Distrato",$I$38-1,0)),IF(AND($L$37=0,$P$34=0),"",$L$37-1),IF($R$17="Distrato",$E40,0)),MIN(AT$38,$D$19),$P$20))-SUM($P40:AS40)</f>
        <v>0</v>
      </c>
      <c r="AU40" s="446">
        <f>IF(OR($B40="",MIN(AU$38,$D$19)&lt;MAX($P$34*($B40+IF($R$17="Distrato",$I$38-1,0)),IF(AND($L$37=0,$P$34=0),"",$L$37-1),IF($R$17="Distrato",$E40,0))),0,YEARFRAC(MAX($P$34*($B40+IF($R$17="Distrato",$I$38-1,0)),IF(AND($L$37=0,$P$34=0),"",$L$37-1),IF($R$17="Distrato",$E40,0)),MIN(AU$38,$D$19),$P$20))-SUM($P40:AT40)</f>
        <v>0</v>
      </c>
      <c r="AV40" s="446">
        <f>IF(OR($B40="",MIN(AV$38,$D$19)&lt;MAX($P$34*($B40+IF($R$17="Distrato",$I$38-1,0)),IF(AND($L$37=0,$P$34=0),"",$L$37-1),IF($R$17="Distrato",$E40,0))),0,YEARFRAC(MAX($P$34*($B40+IF($R$17="Distrato",$I$38-1,0)),IF(AND($L$37=0,$P$34=0),"",$L$37-1),IF($R$17="Distrato",$E40,0)),MIN(AV$38,$D$19),$P$20))-SUM($P40:AU40)</f>
        <v>0</v>
      </c>
      <c r="AW40" s="446">
        <f>IF(OR($B40="",MIN(AW$38,$D$19)&lt;MAX($P$34*($B40+IF($R$17="Distrato",$I$38-1,0)),IF(AND($L$37=0,$P$34=0),"",$L$37-1),IF($R$17="Distrato",$E40,0))),0,YEARFRAC(MAX($P$34*($B40+IF($R$17="Distrato",$I$38-1,0)),IF(AND($L$37=0,$P$34=0),"",$L$37-1),IF($R$17="Distrato",$E40,0)),MIN(AW$38,$D$19),$P$20))-SUM($P40:AV40)</f>
        <v>0</v>
      </c>
      <c r="AX40" s="446">
        <f>IF(OR($B40="",MIN(AX$38,$D$19)&lt;MAX($P$34*($B40+IF($R$17="Distrato",$I$38-1,0)),IF(AND($L$37=0,$P$34=0),"",$L$37-1),IF($R$17="Distrato",$E40,0))),0,YEARFRAC(MAX($P$34*($B40+IF($R$17="Distrato",$I$38-1,0)),IF(AND($L$37=0,$P$34=0),"",$L$37-1),IF($R$17="Distrato",$E40,0)),MIN(AX$38,$D$19),$P$20))-SUM($P40:AW40)</f>
        <v>0</v>
      </c>
      <c r="AY40" s="446">
        <f>IF(OR($B40="",MIN(AY$38,$D$19)&lt;MAX($P$34*($B40+IF($R$17="Distrato",$I$38-1,0)),IF(AND($L$37=0,$P$34=0),"",$L$37-1),IF($R$17="Distrato",$E40,0))),0,YEARFRAC(MAX($P$34*($B40+IF($R$17="Distrato",$I$38-1,0)),IF(AND($L$37=0,$P$34=0),"",$L$37-1),IF($R$17="Distrato",$E40,0)),MIN(AY$38,$D$19),$P$20))-SUM($P40:AX40)</f>
        <v>0</v>
      </c>
      <c r="AZ40" s="446">
        <f>IF(OR($B40="",MIN(AZ$38,$D$19)&lt;MAX($P$34*($B40+IF($R$17="Distrato",$I$38-1,0)),IF(AND($L$37=0,$P$34=0),"",$L$37-1),IF($R$17="Distrato",$E40,0))),0,YEARFRAC(MAX($P$34*($B40+IF($R$17="Distrato",$I$38-1,0)),IF(AND($L$37=0,$P$34=0),"",$L$37-1),IF($R$17="Distrato",$E40,0)),MIN(AZ$38,$D$19),$P$20))-SUM($P40:AY40)</f>
        <v>0</v>
      </c>
      <c r="BA40" s="446">
        <f>IF(OR($B40="",MIN(BA$38,$D$19)&lt;MAX($P$34*($B40+IF($R$17="Distrato",$I$38-1,0)),IF(AND($L$37=0,$P$34=0),"",$L$37-1),IF($R$17="Distrato",$E40,0))),0,YEARFRAC(MAX($P$34*($B40+IF($R$17="Distrato",$I$38-1,0)),IF(AND($L$37=0,$P$34=0),"",$L$37-1),IF($R$17="Distrato",$E40,0)),MIN(BA$38,$D$19),$P$20))-SUM($P40:AZ40)</f>
        <v>0</v>
      </c>
      <c r="BB40" s="447"/>
      <c r="BF40" s="446">
        <f t="shared" ref="BF40:BF103" si="10">IF($E40=0,0,IF(MIN(BF$38,$E40)&lt;MAX($P$34*($B40+$I$38-1),IF(AND($L$37=0,$P$34=0),"",$L$37-1)),0,YEARFRAC(MAX($P$34*($B40+$I$38-1),IF(AND($L$37=0,$P$34=0),"",$L$37-1)),MIN(BF$38,$E40),$P$20)))</f>
        <v>0</v>
      </c>
      <c r="BG40" s="446">
        <f>IF($E40=0,0,IF(MIN(BG$38,$E40)&lt;MAX($P$34*($B40+$I$38-1),IF(AND($L$37=0,$P$34=0),"",$L$37-1)),0,YEARFRAC(MAX($P$34*($B40+$I$38-1),IF(AND($L$37=0,$P$34=0),"",$L$37-1)),MIN(BG$38,$E40),$P$20))-SUM($BF40:BF40))</f>
        <v>0</v>
      </c>
      <c r="BH40" s="446">
        <f>IF($E40=0,0,IF(MIN(BH$38,$E40)&lt;MAX($P$34*($B40+$I$38-1),IF(AND($L$37=0,$P$34=0),"",$L$37-1)),0,YEARFRAC(MAX($P$34*($B40+$I$38-1),IF(AND($L$37=0,$P$34=0),"",$L$37-1)),MIN(BH$38,$E40),$P$20))-SUM($BF40:BG40))</f>
        <v>0</v>
      </c>
      <c r="BI40" s="446">
        <f>IF($E40=0,0,IF(MIN(BI$38,$E40)&lt;MAX($P$34*($B40+$I$38-1),IF(AND($L$37=0,$P$34=0),"",$L$37-1)),0,YEARFRAC(MAX($P$34*($B40+$I$38-1),IF(AND($L$37=0,$P$34=0),"",$L$37-1)),MIN(BI$38,$E40),$P$20))-SUM($BF40:BH40))</f>
        <v>0</v>
      </c>
      <c r="BJ40" s="446">
        <f>IF($E40=0,0,IF(MIN(BJ$38,$E40)&lt;MAX($P$34*($B40+$I$38-1),IF(AND($L$37=0,$P$34=0),"",$L$37-1)),0,YEARFRAC(MAX($P$34*($B40+$I$38-1),IF(AND($L$37=0,$P$34=0),"",$L$37-1)),MIN(BJ$38,$E40),$P$20))-SUM($BF40:BI40))</f>
        <v>0</v>
      </c>
      <c r="BK40" s="446">
        <f>IF($E40=0,0,IF(MIN(BK$38,$E40)&lt;MAX($P$34*($B40+$I$38-1),IF(AND($L$37=0,$P$34=0),"",$L$37-1)),0,YEARFRAC(MAX($P$34*($B40+$I$38-1),IF(AND($L$37=0,$P$34=0),"",$L$37-1)),MIN(BK$38,$E40),$P$20))-SUM($BF40:BJ40))</f>
        <v>0</v>
      </c>
      <c r="BL40" s="446">
        <f>IF($E40=0,0,IF(MIN(BL$38,$E40)&lt;MAX($P$34*($B40+$I$38-1),IF(AND($L$37=0,$P$34=0),"",$L$37-1)),0,YEARFRAC(MAX($P$34*($B40+$I$38-1),IF(AND($L$37=0,$P$34=0),"",$L$37-1)),MIN(BL$38,$E40),$P$20))-SUM($BF40:BK40))</f>
        <v>0</v>
      </c>
      <c r="BM40" s="446">
        <f>IF($E40=0,0,IF(MIN(BM$38,$E40)&lt;MAX($P$34*($B40+$I$38-1),IF(AND($L$37=0,$P$34=0),"",$L$37-1)),0,YEARFRAC(MAX($P$34*($B40+$I$38-1),IF(AND($L$37=0,$P$34=0),"",$L$37-1)),MIN(BM$38,$E40),$P$20))-SUM($BF40:BL40))</f>
        <v>0</v>
      </c>
      <c r="BN40" s="446">
        <f>IF($E40=0,0,IF(MIN(BN$38,$E40)&lt;MAX($P$34*($B40+$I$38-1),IF(AND($L$37=0,$P$34=0),"",$L$37-1)),0,YEARFRAC(MAX($P$34*($B40+$I$38-1),IF(AND($L$37=0,$P$34=0),"",$L$37-1)),MIN(BN$38,$E40),$P$20))-SUM($BF40:BM40))</f>
        <v>0</v>
      </c>
      <c r="BO40" s="446">
        <f>IF($E40=0,0,IF(MIN(BO$38,$E40)&lt;MAX($P$34*($B40+$I$38-1),IF(AND($L$37=0,$P$34=0),"",$L$37-1)),0,YEARFRAC(MAX($P$34*($B40+$I$38-1),IF(AND($L$37=0,$P$34=0),"",$L$37-1)),MIN(BO$38,$E40),$P$20))-SUM($BF40:BN40))</f>
        <v>0</v>
      </c>
      <c r="BP40" s="446">
        <f>IF($E40=0,0,IF(MIN(BP$38,$E40)&lt;MAX($P$34*($B40+$I$38-1),IF(AND($L$37=0,$P$34=0),"",$L$37-1)),0,YEARFRAC(MAX($P$34*($B40+$I$38-1),IF(AND($L$37=0,$P$34=0),"",$L$37-1)),MIN(BP$38,$E40),$P$20))-SUM($BF40:BO40))</f>
        <v>0</v>
      </c>
      <c r="BQ40" s="446">
        <f>IF($E40=0,0,IF(MIN(BQ$38,$E40)&lt;MAX($P$34*($B40+$I$38-1),IF(AND($L$37=0,$P$34=0),"",$L$37-1)),0,YEARFRAC(MAX($P$34*($B40+$I$38-1),IF(AND($L$37=0,$P$34=0),"",$L$37-1)),MIN(BQ$38,$E40),$P$20))-SUM($BF40:BP40))</f>
        <v>0</v>
      </c>
      <c r="BR40" s="446">
        <f>IF($E40=0,0,IF(MIN(BR$38,$E40)&lt;MAX($P$34*($B40+$I$38-1),IF(AND($L$37=0,$P$34=0),"",$L$37-1)),0,YEARFRAC(MAX($P$34*($B40+$I$38-1),IF(AND($L$37=0,$P$34=0),"",$L$37-1)),MIN(BR$38,$E40),$P$20))-SUM($BF40:BQ40))</f>
        <v>0</v>
      </c>
      <c r="BS40" s="446">
        <f>IF($E40=0,0,IF(MIN(BS$38,$E40)&lt;MAX($P$34*($B40+$I$38-1),IF(AND($L$37=0,$P$34=0),"",$L$37-1)),0,YEARFRAC(MAX($P$34*($B40+$I$38-1),IF(AND($L$37=0,$P$34=0),"",$L$37-1)),MIN(BS$38,$E40),$P$20))-SUM($BF40:BR40))</f>
        <v>0</v>
      </c>
      <c r="BT40" s="446">
        <f>IF($E40=0,0,IF(MIN(BT$38,$E40)&lt;MAX($P$34*($B40+$I$38-1),IF(AND($L$37=0,$P$34=0),"",$L$37-1)),0,YEARFRAC(MAX($P$34*($B40+$I$38-1),IF(AND($L$37=0,$P$34=0),"",$L$37-1)),MIN(BT$38,$E40),$P$20))-SUM($BF40:BS40))</f>
        <v>0</v>
      </c>
      <c r="BU40" s="446">
        <f>IF($E40=0,0,IF(MIN(BU$38,$E40)&lt;MAX($P$34*($B40+$I$38-1),IF(AND($L$37=0,$P$34=0),"",$L$37-1)),0,YEARFRAC(MAX($P$34*($B40+$I$38-1),IF(AND($L$37=0,$P$34=0),"",$L$37-1)),MIN(BU$38,$E40),$P$20))-SUM($BF40:BT40))</f>
        <v>0</v>
      </c>
      <c r="BV40" s="446">
        <f>IF($E40=0,0,IF(MIN(BV$38,$E40)&lt;MAX($P$34*($B40+$I$38-1),IF(AND($L$37=0,$P$34=0),"",$L$37-1)),0,YEARFRAC(MAX($P$34*($B40+$I$38-1),IF(AND($L$37=0,$P$34=0),"",$L$37-1)),MIN(BV$38,$E40),$P$20))-SUM($BF40:BU40))</f>
        <v>0</v>
      </c>
      <c r="BW40" s="446">
        <f>IF($E40=0,0,IF(MIN(BW$38,$E40)&lt;MAX($P$34*($B40+$I$38-1),IF(AND($L$37=0,$P$34=0),"",$L$37-1)),0,YEARFRAC(MAX($P$34*($B40+$I$38-1),IF(AND($L$37=0,$P$34=0),"",$L$37-1)),MIN(BW$38,$E40),$P$20))-SUM($BF40:BV40))</f>
        <v>0</v>
      </c>
      <c r="BX40" s="446">
        <f>IF($E40=0,0,IF(MIN(BX$38,$E40)&lt;MAX($P$34*($B40+$I$38-1),IF(AND($L$37=0,$P$34=0),"",$L$37-1)),0,YEARFRAC(MAX($P$34*($B40+$I$38-1),IF(AND($L$37=0,$P$34=0),"",$L$37-1)),MIN(BX$38,$E40),$P$20))-SUM($BF40:BW40))</f>
        <v>0</v>
      </c>
      <c r="BY40" s="446">
        <f>IF($E40=0,0,IF(MIN(BY$38,$E40)&lt;MAX($P$34*($B40+$I$38-1),IF(AND($L$37=0,$P$34=0),"",$L$37-1)),0,YEARFRAC(MAX($P$34*($B40+$I$38-1),IF(AND($L$37=0,$P$34=0),"",$L$37-1)),MIN(BY$38,$E40),$P$20))-SUM($BF40:BX40))</f>
        <v>0</v>
      </c>
      <c r="BZ40" s="446">
        <f>IF($E40=0,0,IF(MIN(BZ$38,$E40)&lt;MAX($P$34*($B40+$I$38-1),IF(AND($L$37=0,$P$34=0),"",$L$37-1)),0,YEARFRAC(MAX($P$34*($B40+$I$38-1),IF(AND($L$37=0,$P$34=0),"",$L$37-1)),MIN(BZ$38,$E40),$P$20))-SUM($BF40:BY40))</f>
        <v>0</v>
      </c>
      <c r="CA40" s="446">
        <f>IF($E40=0,0,IF(MIN(CA$38,$E40)&lt;MAX($P$34*($B40+$I$38-1),IF(AND($L$37=0,$P$34=0),"",$L$37-1)),0,YEARFRAC(MAX($P$34*($B40+$I$38-1),IF(AND($L$37=0,$P$34=0),"",$L$37-1)),MIN(CA$38,$E40),$P$20))-SUM($BF40:BZ40))</f>
        <v>0</v>
      </c>
      <c r="CB40" s="446">
        <f>IF($E40=0,0,IF(MIN(CB$38,$E40)&lt;MAX($P$34*($B40+$I$38-1),IF(AND($L$37=0,$P$34=0),"",$L$37-1)),0,YEARFRAC(MAX($P$34*($B40+$I$38-1),IF(AND($L$37=0,$P$34=0),"",$L$37-1)),MIN(CB$38,$E40),$P$20))-SUM($BF40:CA40))</f>
        <v>0</v>
      </c>
      <c r="CC40" s="446">
        <f>IF($E40=0,0,IF(MIN(CC$38,$E40)&lt;MAX($P$34*($B40+$I$38-1),IF(AND($L$37=0,$P$34=0),"",$L$37-1)),0,YEARFRAC(MAX($P$34*($B40+$I$38-1),IF(AND($L$37=0,$P$34=0),"",$L$37-1)),MIN(CC$38,$E40),$P$20))-SUM($BF40:CB40))</f>
        <v>0</v>
      </c>
      <c r="CD40" s="446">
        <f>IF($E40=0,0,IF(MIN(CD$38,$E40)&lt;MAX($P$34*($B40+$I$38-1),IF(AND($L$37=0,$P$34=0),"",$L$37-1)),0,YEARFRAC(MAX($P$34*($B40+$I$38-1),IF(AND($L$37=0,$P$34=0),"",$L$37-1)),MIN(CD$38,$E40),$P$20))-SUM($BF40:CC40))</f>
        <v>0</v>
      </c>
      <c r="CE40" s="446">
        <f>IF($E40=0,0,IF(MIN(CE$38,$E40)&lt;MAX($P$34*($B40+$I$38-1),IF(AND($L$37=0,$P$34=0),"",$L$37-1)),0,YEARFRAC(MAX($P$34*($B40+$I$38-1),IF(AND($L$37=0,$P$34=0),"",$L$37-1)),MIN(CE$38,$E40),$P$20))-SUM($BF40:CD40))</f>
        <v>0</v>
      </c>
      <c r="CF40" s="446">
        <f>IF($E40=0,0,IF(MIN(CF$38,$E40)&lt;MAX($P$34*($B40+$I$38-1),IF(AND($L$37=0,$P$34=0),"",$L$37-1)),0,YEARFRAC(MAX($P$34*($B40+$I$38-1),IF(AND($L$37=0,$P$34=0),"",$L$37-1)),MIN(CF$38,$E40),$P$20))-SUM($BF40:CE40))</f>
        <v>0</v>
      </c>
      <c r="CG40" s="446">
        <f>IF($E40=0,0,IF(MIN(CG$38,$E40)&lt;MAX($P$34*($B40+$I$38-1),IF(AND($L$37=0,$P$34=0),"",$L$37-1)),0,YEARFRAC(MAX($P$34*($B40+$I$38-1),IF(AND($L$37=0,$P$34=0),"",$L$37-1)),MIN(CG$38,$E40),$P$20))-SUM($BF40:CF40))</f>
        <v>0</v>
      </c>
      <c r="CH40" s="446">
        <f>IF($E40=0,0,IF(MIN(CH$38,$E40)&lt;MAX($P$34*($B40+$I$38-1),IF(AND($L$37=0,$P$34=0),"",$L$37-1)),0,YEARFRAC(MAX($P$34*($B40+$I$38-1),IF(AND($L$37=0,$P$34=0),"",$L$37-1)),MIN(CH$38,$E40),$P$20))-SUM($BF40:CG40))</f>
        <v>0</v>
      </c>
      <c r="CI40" s="446">
        <f>IF($E40=0,0,IF(MIN(CI$38,$E40)&lt;MAX($P$34*($B40+$I$38-1),IF(AND($L$37=0,$P$34=0),"",$L$37-1)),0,YEARFRAC(MAX($P$34*($B40+$I$38-1),IF(AND($L$37=0,$P$34=0),"",$L$37-1)),MIN(CI$38,$E40),$P$20))-SUM($BF40:CH40))</f>
        <v>0</v>
      </c>
      <c r="CJ40" s="446">
        <f>IF($E40=0,0,IF(MIN(CJ$38,$E40)&lt;MAX($P$34*($B40+$I$38-1),IF(AND($L$37=0,$P$34=0),"",$L$37-1)),0,YEARFRAC(MAX($P$34*($B40+$I$38-1),IF(AND($L$37=0,$P$34=0),"",$L$37-1)),MIN(CJ$38,$E40),$P$20))-SUM($BF40:CI40))</f>
        <v>0</v>
      </c>
      <c r="CK40" s="446">
        <f>IF($E40=0,0,IF(MIN(CK$38,$E40)&lt;MAX($P$34*($B40+$I$38-1),IF(AND($L$37=0,$P$34=0),"",$L$37-1)),0,YEARFRAC(MAX($P$34*($B40+$I$38-1),IF(AND($L$37=0,$P$34=0),"",$L$37-1)),MIN(CK$38,$E40),$P$20))-SUM($BF40:CJ40))</f>
        <v>0</v>
      </c>
      <c r="CL40" s="446">
        <f>IF($E40=0,0,IF(MIN(CL$38,$E40)&lt;MAX($P$34*($B40+$I$38-1),IF(AND($L$37=0,$P$34=0),"",$L$37-1)),0,YEARFRAC(MAX($P$34*($B40+$I$38-1),IF(AND($L$37=0,$P$34=0),"",$L$37-1)),MIN(CL$38,$E40),$P$20))-SUM($BF40:CK40))</f>
        <v>0</v>
      </c>
      <c r="CM40" s="446">
        <f>IF($E40=0,0,IF(MIN(CM$38,$E40)&lt;MAX($P$34*($B40+$I$38-1),IF(AND($L$37=0,$P$34=0),"",$L$37-1)),0,YEARFRAC(MAX($P$34*($B40+$I$38-1),IF(AND($L$37=0,$P$34=0),"",$L$37-1)),MIN(CM$38,$E40),$P$20))-SUM($BF40:CL40))</f>
        <v>0</v>
      </c>
      <c r="CN40" s="446">
        <f>IF($E40=0,0,IF(MIN(CN$38,$E40)&lt;MAX($P$34*($B40+$I$38-1),IF(AND($L$37=0,$P$34=0),"",$L$37-1)),0,YEARFRAC(MAX($P$34*($B40+$I$38-1),IF(AND($L$37=0,$P$34=0),"",$L$37-1)),MIN(CN$38,$E40),$P$20))-SUM($BF40:CM40))</f>
        <v>0</v>
      </c>
      <c r="CO40" s="446">
        <f>IF($E40=0,0,IF(MIN(CO$38,$E40)&lt;MAX($P$34*($B40+$I$38-1),IF(AND($L$37=0,$P$34=0),"",$L$37-1)),0,YEARFRAC(MAX($P$34*($B40+$I$38-1),IF(AND($L$37=0,$P$34=0),"",$L$37-1)),MIN(CO$38,$E40),$P$20))-SUM($BF40:CN40))</f>
        <v>0</v>
      </c>
      <c r="CP40" s="446">
        <f>IF($E40=0,0,IF(MIN(CP$38,$E40)&lt;MAX($P$34*($B40+$I$38-1),IF(AND($L$37=0,$P$34=0),"",$L$37-1)),0,YEARFRAC(MAX($P$34*($B40+$I$38-1),IF(AND($L$37=0,$P$34=0),"",$L$37-1)),MIN(CP$38,$E40),$P$20))-SUM($BF40:CO40))</f>
        <v>0</v>
      </c>
      <c r="CQ40" s="446">
        <f>IF($E40=0,0,IF(MIN(CQ$38,$E40)&lt;MAX($P$34*($B40+$I$38-1),IF(AND($L$37=0,$P$34=0),"",$L$37-1)),0,YEARFRAC(MAX($P$34*($B40+$I$38-1),IF(AND($L$37=0,$P$34=0),"",$L$37-1)),MIN(CQ$38,$E40),$P$20))-SUM($BF40:CP40))</f>
        <v>0</v>
      </c>
    </row>
    <row r="41" spans="1:116" s="446" customFormat="1" ht="11.25" customHeight="1" x14ac:dyDescent="0.2">
      <c r="A41" s="152"/>
      <c r="B41" s="153"/>
      <c r="C41" s="29" t="str">
        <f>IF(B41="","",IF($L$35="SELIC - TRIBUTOS",VLOOKUP(DATE(YEAR($D$19),MONTH($D$19)-1,1),ÍNDICES!$A:$DE,HLOOKUP($BL$25,ÍNDICES!$B$3:$T$4,2)+11)-VLOOKUP(B41,ÍNDICES!$A:$DE,HLOOKUP($BL$25,ÍNDICES!$B$3:$T$4,2)+11)+1%,IF(C$38=$W$26,$J$35,IF(ISERROR(IF(B41&gt;$D$19,1,VLOOKUP(DATE(YEAR(B41),MONTH(B41)+IF($C$35=$S$23,1,0),1),ÍNDICES!$A:$DE,$Z$35+1))),"",IF(B41&gt;$D$19,1,VLOOKUP(DATE(YEAR(B41),MONTH(B41)+IF($C$35=$S$23,1,0),1),ÍNDICES!$A:$DE,$Z$35+1))))))</f>
        <v/>
      </c>
      <c r="D41" s="154" t="str">
        <f>IF(ISERROR(IF(OR($D$38=$Y$27,$B41=""),"",VLOOKUP(B41,ÍNDICES!A:DE,AF$35+1))),"",IF(OR($D$38=$Y$27,$B41=""),"",VLOOKUP(B41,ÍNDICES!A:DE,AF$35+1)))</f>
        <v/>
      </c>
      <c r="E41" s="153"/>
      <c r="F41" s="29" t="str">
        <f>IF(E41="","",IF($L$35="SELIC - TRIBUTOS",VLOOKUP(DATE(YEAR($D$19),MONTH($D$19)-1,1),ÍNDICES!$A:$DE,HLOOKUP($BL$25,ÍNDICES!$B$3:$T$4,2)+11)-VLOOKUP(IF(E41&gt;B41,E41,B41),ÍNDICES!$A:$DE,HLOOKUP($BL$25,ÍNDICES!$B$3:$T$4,2)+11)+1%,IF(F$38=$W$26,$J$35,IF(ISERROR(IF(E41&gt;$D$19,1,VLOOKUP(DATE(YEAR(E41),MONTH(E41)+IF($C$35=$S$23,1,0),1),ÍNDICES!$A:$DE,$Z$35+1))),"",IF(E41&gt;$D$19,1,VLOOKUP(DATE(YEAR(E41),MONTH(E41)+IF($C$35=$S$23,1,0),1),ÍNDICES!$A:$DE,$Z$35+1))))))</f>
        <v/>
      </c>
      <c r="G41" s="155"/>
      <c r="H41" s="156" t="str">
        <f t="shared" ref="H41:H104" si="11">IF(E41="",IF(D41="","",D41),IF(ISERROR(D41/(IF(E41&lt;B41,1,C41/F41))-G41),-G41,D41/(IF(E41&lt;B41,1,C41/F41))-G41))</f>
        <v/>
      </c>
      <c r="I41" s="29" t="str">
        <f t="shared" si="5"/>
        <v/>
      </c>
      <c r="J41" s="5">
        <f t="shared" si="6"/>
        <v>0</v>
      </c>
      <c r="K41" s="20">
        <f t="shared" ca="1" si="7"/>
        <v>0</v>
      </c>
      <c r="L41" s="5">
        <f t="shared" ca="1" si="8"/>
        <v>0</v>
      </c>
      <c r="M41" s="64">
        <f t="shared" ref="M41:M104" si="12">IFERROR(SUM(P41:BA41),0)</f>
        <v>0</v>
      </c>
      <c r="N41" s="61">
        <f t="shared" ref="N41:N104" ca="1" si="13">IFERROR($N$38*(K41+IF(OR(L$35="SELIC - TRIBUTOS",$N$37="sobre principal"),0,J41+L41)),0)</f>
        <v>0</v>
      </c>
      <c r="O41" s="5">
        <f t="shared" ref="O41:O104" ca="1" si="14">IF(ISERROR((K41+J41+L41+N41)*O$38),"",(K41+J41+L41+N41)*O$38)</f>
        <v>0</v>
      </c>
      <c r="P41" s="446">
        <f t="shared" si="9"/>
        <v>0</v>
      </c>
      <c r="Q41" s="446">
        <f>IF(OR($B41="",MIN(Q$38,$D$19)&lt;MAX($P$34*($B41+IF($R$17="Distrato",$I$38-1,0)),IF(AND($L$37=0,$P$34=0),"",$L$37-1),IF($R$17="Distrato",$E41,0))),0,YEARFRAC(MAX($P$34*($B41+IF($R$17="Distrato",$I$38-1,0)),IF(AND($L$37=0,$P$34=0),"",$L$37-1),IF($R$17="Distrato",$E41,0)),MIN(Q$38,$D$19),$P$20))-SUM($P41:P41)</f>
        <v>0</v>
      </c>
      <c r="R41" s="446">
        <f>IF(OR($B41="",MIN(R$38,$D$19)&lt;MAX($P$34*($B41+IF($R$17="Distrato",$I$38-1,0)),IF(AND($L$37=0,$P$34=0),"",$L$37-1),IF($R$17="Distrato",$E41,0))),0,YEARFRAC(MAX($P$34*($B41+IF($R$17="Distrato",$I$38-1,0)),IF(AND($L$37=0,$P$34=0),"",$L$37-1),IF($R$17="Distrato",$E41,0)),MIN(R$38,$D$19),$P$20))-SUM($P41:Q41)</f>
        <v>0</v>
      </c>
      <c r="S41" s="446">
        <f>IF(OR($B41="",MIN(S$38,$D$19)&lt;MAX($P$34*($B41+IF($R$17="Distrato",$I$38-1,0)),IF(AND($L$37=0,$P$34=0),"",$L$37-1),IF($R$17="Distrato",$E41,0))),0,YEARFRAC(MAX($P$34*($B41+IF($R$17="Distrato",$I$38-1,0)),IF(AND($L$37=0,$P$34=0),"",$L$37-1),IF($R$17="Distrato",$E41,0)),MIN(S$38,$D$19),$P$20))-SUM($P41:R41)</f>
        <v>0</v>
      </c>
      <c r="T41" s="446">
        <f>IF(OR($B41="",MIN(T$38,$D$19)&lt;MAX($P$34*($B41+IF($R$17="Distrato",$I$38-1,0)),IF(AND($L$37=0,$P$34=0),"",$L$37-1),IF($R$17="Distrato",$E41,0))),0,YEARFRAC(MAX($P$34*($B41+IF($R$17="Distrato",$I$38-1,0)),IF(AND($L$37=0,$P$34=0),"",$L$37-1),IF($R$17="Distrato",$E41,0)),MIN(T$38,$D$19),$P$20))-SUM($P41:S41)</f>
        <v>0</v>
      </c>
      <c r="U41" s="446">
        <f>IF(OR($B41="",MIN(U$38,$D$19)&lt;MAX($P$34*($B41+IF($R$17="Distrato",$I$38-1,0)),IF(AND($L$37=0,$P$34=0),"",$L$37-1),IF($R$17="Distrato",$E41,0))),0,YEARFRAC(MAX($P$34*($B41+IF($R$17="Distrato",$I$38-1,0)),IF(AND($L$37=0,$P$34=0),"",$L$37-1),IF($R$17="Distrato",$E41,0)),MIN(U$38,$D$19),$P$20))-SUM($P41:T41)</f>
        <v>0</v>
      </c>
      <c r="V41" s="446">
        <f>IF(OR($B41="",MIN(V$38,$D$19)&lt;MAX($P$34*($B41+IF($R$17="Distrato",$I$38-1,0)),IF(AND($L$37=0,$P$34=0),"",$L$37-1),IF($R$17="Distrato",$E41,0))),0,YEARFRAC(MAX($P$34*($B41+IF($R$17="Distrato",$I$38-1,0)),IF(AND($L$37=0,$P$34=0),"",$L$37-1),IF($R$17="Distrato",$E41,0)),MIN(V$38,$D$19),$P$20))-SUM($P41:U41)</f>
        <v>0</v>
      </c>
      <c r="W41" s="446">
        <f>IF(OR($B41="",MIN(W$38,$D$19)&lt;MAX($P$34*($B41+IF($R$17="Distrato",$I$38-1,0)),IF(AND($L$37=0,$P$34=0),"",$L$37-1),IF($R$17="Distrato",$E41,0))),0,YEARFRAC(MAX($P$34*($B41+IF($R$17="Distrato",$I$38-1,0)),IF(AND($L$37=0,$P$34=0),"",$L$37-1),IF($R$17="Distrato",$E41,0)),MIN(W$38,$D$19),$P$20))-SUM($P41:V41)</f>
        <v>0</v>
      </c>
      <c r="X41" s="446">
        <f>IF(OR($B41="",MIN(X$38,$D$19)&lt;MAX($P$34*($B41+IF($R$17="Distrato",$I$38-1,0)),IF(AND($L$37=0,$P$34=0),"",$L$37-1),IF($R$17="Distrato",$E41,0))),0,YEARFRAC(MAX($P$34*($B41+IF($R$17="Distrato",$I$38-1,0)),IF(AND($L$37=0,$P$34=0),"",$L$37-1),IF($R$17="Distrato",$E41,0)),MIN(X$38,$D$19),$P$20))-SUM($P41:W41)</f>
        <v>0</v>
      </c>
      <c r="Y41" s="446">
        <f>IF(OR($B41="",MIN(Y$38,$D$19)&lt;MAX($P$34*($B41+IF($R$17="Distrato",$I$38-1,0)),IF(AND($L$37=0,$P$34=0),"",$L$37-1),IF($R$17="Distrato",$E41,0))),0,YEARFRAC(MAX($P$34*($B41+IF($R$17="Distrato",$I$38-1,0)),IF(AND($L$37=0,$P$34=0),"",$L$37-1),IF($R$17="Distrato",$E41,0)),MIN(Y$38,$D$19),$P$20))-SUM($P41:X41)</f>
        <v>0</v>
      </c>
      <c r="Z41" s="446">
        <f>IF(OR($B41="",MIN(Z$38,$D$19)&lt;MAX($P$34*($B41+IF($R$17="Distrato",$I$38-1,0)),IF(AND($L$37=0,$P$34=0),"",$L$37-1),IF($R$17="Distrato",$E41,0))),0,YEARFRAC(MAX($P$34*($B41+IF($R$17="Distrato",$I$38-1,0)),IF(AND($L$37=0,$P$34=0),"",$L$37-1),IF($R$17="Distrato",$E41,0)),MIN(Z$38,$D$19),$P$20))-SUM($P41:Y41)</f>
        <v>0</v>
      </c>
      <c r="AA41" s="446">
        <f>IF(OR($B41="",MIN(AA$38,$D$19)&lt;MAX($P$34*($B41+IF($R$17="Distrato",$I$38-1,0)),IF(AND($L$37=0,$P$34=0),"",$L$37-1),IF($R$17="Distrato",$E41,0))),0,YEARFRAC(MAX($P$34*($B41+IF($R$17="Distrato",$I$38-1,0)),IF(AND($L$37=0,$P$34=0),"",$L$37-1),IF($R$17="Distrato",$E41,0)),MIN(AA$38,$D$19),$P$20))-SUM($P41:Z41)</f>
        <v>0</v>
      </c>
      <c r="AB41" s="446">
        <f>IF(OR($B41="",MIN(AB$38,$D$19)&lt;MAX($P$34*($B41+IF($R$17="Distrato",$I$38-1,0)),IF(AND($L$37=0,$P$34=0),"",$L$37-1),IF($R$17="Distrato",$E41,0))),0,YEARFRAC(MAX($P$34*($B41+IF($R$17="Distrato",$I$38-1,0)),IF(AND($L$37=0,$P$34=0),"",$L$37-1),IF($R$17="Distrato",$E41,0)),MIN(AB$38,$D$19),$P$20))-SUM($P41:AA41)</f>
        <v>0</v>
      </c>
      <c r="AC41" s="446">
        <f>IF(OR($B41="",MIN(AC$38,$D$19)&lt;MAX($P$34*($B41+IF($R$17="Distrato",$I$38-1,0)),IF(AND($L$37=0,$P$34=0),"",$L$37-1),IF($R$17="Distrato",$E41,0))),0,YEARFRAC(MAX($P$34*($B41+IF($R$17="Distrato",$I$38-1,0)),IF(AND($L$37=0,$P$34=0),"",$L$37-1),IF($R$17="Distrato",$E41,0)),MIN(AC$38,$D$19),$P$20))-SUM($P41:AB41)</f>
        <v>0</v>
      </c>
      <c r="AD41" s="446">
        <f>IF(OR($B41="",MIN(AD$38,$D$19)&lt;MAX($P$34*($B41+IF($R$17="Distrato",$I$38-1,0)),IF(AND($L$37=0,$P$34=0),"",$L$37-1),IF($R$17="Distrato",$E41,0))),0,YEARFRAC(MAX($P$34*($B41+IF($R$17="Distrato",$I$38-1,0)),IF(AND($L$37=0,$P$34=0),"",$L$37-1),IF($R$17="Distrato",$E41,0)),MIN(AD$38,$D$19),$P$20))-SUM($P41:AC41)</f>
        <v>0</v>
      </c>
      <c r="AE41" s="446">
        <f>IF(OR($B41="",MIN(AE$38,$D$19)&lt;MAX($P$34*($B41+IF($R$17="Distrato",$I$38-1,0)),IF(AND($L$37=0,$P$34=0),"",$L$37-1),IF($R$17="Distrato",$E41,0))),0,YEARFRAC(MAX($P$34*($B41+IF($R$17="Distrato",$I$38-1,0)),IF(AND($L$37=0,$P$34=0),"",$L$37-1),IF($R$17="Distrato",$E41,0)),MIN(AE$38,$D$19),$P$20))-SUM($P41:AD41)</f>
        <v>0</v>
      </c>
      <c r="AF41" s="446">
        <f>IF(OR($B41="",MIN(AF$38,$D$19)&lt;MAX($P$34*($B41+IF($R$17="Distrato",$I$38-1,0)),IF(AND($L$37=0,$P$34=0),"",$L$37-1),IF($R$17="Distrato",$E41,0))),0,YEARFRAC(MAX($P$34*($B41+IF($R$17="Distrato",$I$38-1,0)),IF(AND($L$37=0,$P$34=0),"",$L$37-1),IF($R$17="Distrato",$E41,0)),MIN(AF$38,$D$19),$P$20))-SUM($P41:AE41)</f>
        <v>0</v>
      </c>
      <c r="AG41" s="446">
        <f>IF(OR($B41="",MIN(AG$38,$D$19)&lt;MAX($P$34*($B41+IF($R$17="Distrato",$I$38-1,0)),IF(AND($L$37=0,$P$34=0),"",$L$37-1),IF($R$17="Distrato",$E41,0))),0,YEARFRAC(MAX($P$34*($B41+IF($R$17="Distrato",$I$38-1,0)),IF(AND($L$37=0,$P$34=0),"",$L$37-1),IF($R$17="Distrato",$E41,0)),MIN(AG$38,$D$19),$P$20))-SUM($P41:AF41)</f>
        <v>0</v>
      </c>
      <c r="AH41" s="446">
        <f>IF(OR($B41="",MIN(AH$38,$D$19)&lt;MAX($P$34*($B41+IF($R$17="Distrato",$I$38-1,0)),IF(AND($L$37=0,$P$34=0),"",$L$37-1),IF($R$17="Distrato",$E41,0))),0,YEARFRAC(MAX($P$34*($B41+IF($R$17="Distrato",$I$38-1,0)),IF(AND($L$37=0,$P$34=0),"",$L$37-1),IF($R$17="Distrato",$E41,0)),MIN(AH$38,$D$19),$P$20))-SUM($P41:AG41)</f>
        <v>0</v>
      </c>
      <c r="AI41" s="446">
        <f>IF(OR($B41="",MIN(AI$38,$D$19)&lt;MAX($P$34*($B41+IF($R$17="Distrato",$I$38-1,0)),IF(AND($L$37=0,$P$34=0),"",$L$37-1),IF($R$17="Distrato",$E41,0))),0,YEARFRAC(MAX($P$34*($B41+IF($R$17="Distrato",$I$38-1,0)),IF(AND($L$37=0,$P$34=0),"",$L$37-1),IF($R$17="Distrato",$E41,0)),MIN(AI$38,$D$19),$P$20))-SUM($P41:AH41)</f>
        <v>0</v>
      </c>
      <c r="AJ41" s="446">
        <f>IF(OR($B41="",MIN(AJ$38,$D$19)&lt;MAX($P$34*($B41+IF($R$17="Distrato",$I$38-1,0)),IF(AND($L$37=0,$P$34=0),"",$L$37-1),IF($R$17="Distrato",$E41,0))),0,YEARFRAC(MAX($P$34*($B41+IF($R$17="Distrato",$I$38-1,0)),IF(AND($L$37=0,$P$34=0),"",$L$37-1),IF($R$17="Distrato",$E41,0)),MIN(AJ$38,$D$19),$P$20))-SUM($P41:AI41)</f>
        <v>0</v>
      </c>
      <c r="AK41" s="446">
        <f>IF(OR($B41="",MIN(AK$38,$D$19)&lt;MAX($P$34*($B41+IF($R$17="Distrato",$I$38-1,0)),IF(AND($L$37=0,$P$34=0),"",$L$37-1),IF($R$17="Distrato",$E41,0))),0,YEARFRAC(MAX($P$34*($B41+IF($R$17="Distrato",$I$38-1,0)),IF(AND($L$37=0,$P$34=0),"",$L$37-1),IF($R$17="Distrato",$E41,0)),MIN(AK$38,$D$19),$P$20))-SUM($P41:AJ41)</f>
        <v>0</v>
      </c>
      <c r="AL41" s="446">
        <f>IF(OR($B41="",MIN(AL$38,$D$19)&lt;MAX($P$34*($B41+IF($R$17="Distrato",$I$38-1,0)),IF(AND($L$37=0,$P$34=0),"",$L$37-1),IF($R$17="Distrato",$E41,0))),0,YEARFRAC(MAX($P$34*($B41+IF($R$17="Distrato",$I$38-1,0)),IF(AND($L$37=0,$P$34=0),"",$L$37-1),IF($R$17="Distrato",$E41,0)),MIN(AL$38,$D$19),$P$20))-SUM($P41:AK41)</f>
        <v>0</v>
      </c>
      <c r="AM41" s="446">
        <f>IF(OR($B41="",MIN(AM$38,$D$19)&lt;MAX($P$34*($B41+IF($R$17="Distrato",$I$38-1,0)),IF(AND($L$37=0,$P$34=0),"",$L$37-1),IF($R$17="Distrato",$E41,0))),0,YEARFRAC(MAX($P$34*($B41+IF($R$17="Distrato",$I$38-1,0)),IF(AND($L$37=0,$P$34=0),"",$L$37-1),IF($R$17="Distrato",$E41,0)),MIN(AM$38,$D$19),$P$20))-SUM($P41:AL41)</f>
        <v>0</v>
      </c>
      <c r="AN41" s="446">
        <f>IF(OR($B41="",MIN(AN$38,$D$19)&lt;MAX($P$34*($B41+IF($R$17="Distrato",$I$38-1,0)),IF(AND($L$37=0,$P$34=0),"",$L$37-1),IF($R$17="Distrato",$E41,0))),0,YEARFRAC(MAX($P$34*($B41+IF($R$17="Distrato",$I$38-1,0)),IF(AND($L$37=0,$P$34=0),"",$L$37-1),IF($R$17="Distrato",$E41,0)),MIN(AN$38,$D$19),$P$20))-SUM($P41:AM41)</f>
        <v>0</v>
      </c>
      <c r="AO41" s="446">
        <f>IF(OR($B41="",MIN(AO$38,$D$19)&lt;MAX($P$34*($B41+IF($R$17="Distrato",$I$38-1,0)),IF(AND($L$37=0,$P$34=0),"",$L$37-1),IF($R$17="Distrato",$E41,0))),0,YEARFRAC(MAX($P$34*($B41+IF($R$17="Distrato",$I$38-1,0)),IF(AND($L$37=0,$P$34=0),"",$L$37-1),IF($R$17="Distrato",$E41,0)),MIN(AO$38,$D$19),$P$20))-SUM($P41:AN41)</f>
        <v>0</v>
      </c>
      <c r="AP41" s="446">
        <f>IF(OR($B41="",MIN(AP$38,$D$19)&lt;MAX($P$34*($B41+IF($R$17="Distrato",$I$38-1,0)),IF(AND($L$37=0,$P$34=0),"",$L$37-1),IF($R$17="Distrato",$E41,0))),0,YEARFRAC(MAX($P$34*($B41+IF($R$17="Distrato",$I$38-1,0)),IF(AND($L$37=0,$P$34=0),"",$L$37-1),IF($R$17="Distrato",$E41,0)),MIN(AP$38,$D$19),$P$20))-SUM($P41:AO41)</f>
        <v>0</v>
      </c>
      <c r="AQ41" s="446">
        <f>IF(OR($B41="",MIN(AQ$38,$D$19)&lt;MAX($P$34*($B41+IF($R$17="Distrato",$I$38-1,0)),IF(AND($L$37=0,$P$34=0),"",$L$37-1),IF($R$17="Distrato",$E41,0))),0,YEARFRAC(MAX($P$34*($B41+IF($R$17="Distrato",$I$38-1,0)),IF(AND($L$37=0,$P$34=0),"",$L$37-1),IF($R$17="Distrato",$E41,0)),MIN(AQ$38,$D$19),$P$20))-SUM($P41:AP41)</f>
        <v>0</v>
      </c>
      <c r="AR41" s="446">
        <f>IF(OR($B41="",MIN(AR$38,$D$19)&lt;MAX($P$34*($B41+IF($R$17="Distrato",$I$38-1,0)),IF(AND($L$37=0,$P$34=0),"",$L$37-1),IF($R$17="Distrato",$E41,0))),0,YEARFRAC(MAX($P$34*($B41+IF($R$17="Distrato",$I$38-1,0)),IF(AND($L$37=0,$P$34=0),"",$L$37-1),IF($R$17="Distrato",$E41,0)),MIN(AR$38,$D$19),$P$20))-SUM($P41:AQ41)</f>
        <v>0</v>
      </c>
      <c r="AS41" s="446">
        <f>IF(OR($B41="",MIN(AS$38,$D$19)&lt;MAX($P$34*($B41+IF($R$17="Distrato",$I$38-1,0)),IF(AND($L$37=0,$P$34=0),"",$L$37-1),IF($R$17="Distrato",$E41,0))),0,YEARFRAC(MAX($P$34*($B41+IF($R$17="Distrato",$I$38-1,0)),IF(AND($L$37=0,$P$34=0),"",$L$37-1),IF($R$17="Distrato",$E41,0)),MIN(AS$38,$D$19),$P$20))-SUM($P41:AR41)</f>
        <v>0</v>
      </c>
      <c r="AT41" s="446">
        <f>IF(OR($B41="",MIN(AT$38,$D$19)&lt;MAX($P$34*($B41+IF($R$17="Distrato",$I$38-1,0)),IF(AND($L$37=0,$P$34=0),"",$L$37-1),IF($R$17="Distrato",$E41,0))),0,YEARFRAC(MAX($P$34*($B41+IF($R$17="Distrato",$I$38-1,0)),IF(AND($L$37=0,$P$34=0),"",$L$37-1),IF($R$17="Distrato",$E41,0)),MIN(AT$38,$D$19),$P$20))-SUM($P41:AS41)</f>
        <v>0</v>
      </c>
      <c r="AU41" s="446">
        <f>IF(OR($B41="",MIN(AU$38,$D$19)&lt;MAX($P$34*($B41+IF($R$17="Distrato",$I$38-1,0)),IF(AND($L$37=0,$P$34=0),"",$L$37-1),IF($R$17="Distrato",$E41,0))),0,YEARFRAC(MAX($P$34*($B41+IF($R$17="Distrato",$I$38-1,0)),IF(AND($L$37=0,$P$34=0),"",$L$37-1),IF($R$17="Distrato",$E41,0)),MIN(AU$38,$D$19),$P$20))-SUM($P41:AT41)</f>
        <v>0</v>
      </c>
      <c r="AV41" s="446">
        <f>IF(OR($B41="",MIN(AV$38,$D$19)&lt;MAX($P$34*($B41+IF($R$17="Distrato",$I$38-1,0)),IF(AND($L$37=0,$P$34=0),"",$L$37-1),IF($R$17="Distrato",$E41,0))),0,YEARFRAC(MAX($P$34*($B41+IF($R$17="Distrato",$I$38-1,0)),IF(AND($L$37=0,$P$34=0),"",$L$37-1),IF($R$17="Distrato",$E41,0)),MIN(AV$38,$D$19),$P$20))-SUM($P41:AU41)</f>
        <v>0</v>
      </c>
      <c r="AW41" s="446">
        <f>IF(OR($B41="",MIN(AW$38,$D$19)&lt;MAX($P$34*($B41+IF($R$17="Distrato",$I$38-1,0)),IF(AND($L$37=0,$P$34=0),"",$L$37-1),IF($R$17="Distrato",$E41,0))),0,YEARFRAC(MAX($P$34*($B41+IF($R$17="Distrato",$I$38-1,0)),IF(AND($L$37=0,$P$34=0),"",$L$37-1),IF($R$17="Distrato",$E41,0)),MIN(AW$38,$D$19),$P$20))-SUM($P41:AV41)</f>
        <v>0</v>
      </c>
      <c r="AX41" s="446">
        <f>IF(OR($B41="",MIN(AX$38,$D$19)&lt;MAX($P$34*($B41+IF($R$17="Distrato",$I$38-1,0)),IF(AND($L$37=0,$P$34=0),"",$L$37-1),IF($R$17="Distrato",$E41,0))),0,YEARFRAC(MAX($P$34*($B41+IF($R$17="Distrato",$I$38-1,0)),IF(AND($L$37=0,$P$34=0),"",$L$37-1),IF($R$17="Distrato",$E41,0)),MIN(AX$38,$D$19),$P$20))-SUM($P41:AW41)</f>
        <v>0</v>
      </c>
      <c r="AY41" s="446">
        <f>IF(OR($B41="",MIN(AY$38,$D$19)&lt;MAX($P$34*($B41+IF($R$17="Distrato",$I$38-1,0)),IF(AND($L$37=0,$P$34=0),"",$L$37-1),IF($R$17="Distrato",$E41,0))),0,YEARFRAC(MAX($P$34*($B41+IF($R$17="Distrato",$I$38-1,0)),IF(AND($L$37=0,$P$34=0),"",$L$37-1),IF($R$17="Distrato",$E41,0)),MIN(AY$38,$D$19),$P$20))-SUM($P41:AX41)</f>
        <v>0</v>
      </c>
      <c r="AZ41" s="446">
        <f>IF(OR($B41="",MIN(AZ$38,$D$19)&lt;MAX($P$34*($B41+IF($R$17="Distrato",$I$38-1,0)),IF(AND($L$37=0,$P$34=0),"",$L$37-1),IF($R$17="Distrato",$E41,0))),0,YEARFRAC(MAX($P$34*($B41+IF($R$17="Distrato",$I$38-1,0)),IF(AND($L$37=0,$P$34=0),"",$L$37-1),IF($R$17="Distrato",$E41,0)),MIN(AZ$38,$D$19),$P$20))-SUM($P41:AY41)</f>
        <v>0</v>
      </c>
      <c r="BA41" s="446">
        <f>IF(OR($B41="",MIN(BA$38,$D$19)&lt;MAX($P$34*($B41+IF($R$17="Distrato",$I$38-1,0)),IF(AND($L$37=0,$P$34=0),"",$L$37-1),IF($R$17="Distrato",$E41,0))),0,YEARFRAC(MAX($P$34*($B41+IF($R$17="Distrato",$I$38-1,0)),IF(AND($L$37=0,$P$34=0),"",$L$37-1),IF($R$17="Distrato",$E41,0)),MIN(BA$38,$D$19),$P$20))-SUM($P41:AZ41)</f>
        <v>0</v>
      </c>
      <c r="BB41" s="447"/>
      <c r="BF41" s="446">
        <f t="shared" si="10"/>
        <v>0</v>
      </c>
      <c r="BG41" s="446">
        <f>IF($E41=0,0,IF(MIN(BG$38,$E41)&lt;MAX($P$34*($B41+$I$38-1),IF(AND($L$37=0,$P$34=0),"",$L$37-1)),0,YEARFRAC(MAX($P$34*($B41+$I$38-1),IF(AND($L$37=0,$P$34=0),"",$L$37-1)),MIN(BG$38,$E41),$P$20))-SUM($BF41:BF41))</f>
        <v>0</v>
      </c>
      <c r="BH41" s="446">
        <f>IF($E41=0,0,IF(MIN(BH$38,$E41)&lt;MAX($P$34*($B41+$I$38-1),IF(AND($L$37=0,$P$34=0),"",$L$37-1)),0,YEARFRAC(MAX($P$34*($B41+$I$38-1),IF(AND($L$37=0,$P$34=0),"",$L$37-1)),MIN(BH$38,$E41),$P$20))-SUM($BF41:BG41))</f>
        <v>0</v>
      </c>
      <c r="BI41" s="446">
        <f>IF($E41=0,0,IF(MIN(BI$38,$E41)&lt;MAX($P$34*($B41+$I$38-1),IF(AND($L$37=0,$P$34=0),"",$L$37-1)),0,YEARFRAC(MAX($P$34*($B41+$I$38-1),IF(AND($L$37=0,$P$34=0),"",$L$37-1)),MIN(BI$38,$E41),$P$20))-SUM($BF41:BH41))</f>
        <v>0</v>
      </c>
      <c r="BJ41" s="446">
        <f>IF($E41=0,0,IF(MIN(BJ$38,$E41)&lt;MAX($P$34*($B41+$I$38-1),IF(AND($L$37=0,$P$34=0),"",$L$37-1)),0,YEARFRAC(MAX($P$34*($B41+$I$38-1),IF(AND($L$37=0,$P$34=0),"",$L$37-1)),MIN(BJ$38,$E41),$P$20))-SUM($BF41:BI41))</f>
        <v>0</v>
      </c>
      <c r="BK41" s="446">
        <f>IF($E41=0,0,IF(MIN(BK$38,$E41)&lt;MAX($P$34*($B41+$I$38-1),IF(AND($L$37=0,$P$34=0),"",$L$37-1)),0,YEARFRAC(MAX($P$34*($B41+$I$38-1),IF(AND($L$37=0,$P$34=0),"",$L$37-1)),MIN(BK$38,$E41),$P$20))-SUM($BF41:BJ41))</f>
        <v>0</v>
      </c>
      <c r="BL41" s="446">
        <f>IF($E41=0,0,IF(MIN(BL$38,$E41)&lt;MAX($P$34*($B41+$I$38-1),IF(AND($L$37=0,$P$34=0),"",$L$37-1)),0,YEARFRAC(MAX($P$34*($B41+$I$38-1),IF(AND($L$37=0,$P$34=0),"",$L$37-1)),MIN(BL$38,$E41),$P$20))-SUM($BF41:BK41))</f>
        <v>0</v>
      </c>
      <c r="BM41" s="446">
        <f>IF($E41=0,0,IF(MIN(BM$38,$E41)&lt;MAX($P$34*($B41+$I$38-1),IF(AND($L$37=0,$P$34=0),"",$L$37-1)),0,YEARFRAC(MAX($P$34*($B41+$I$38-1),IF(AND($L$37=0,$P$34=0),"",$L$37-1)),MIN(BM$38,$E41),$P$20))-SUM($BF41:BL41))</f>
        <v>0</v>
      </c>
      <c r="BN41" s="446">
        <f>IF($E41=0,0,IF(MIN(BN$38,$E41)&lt;MAX($P$34*($B41+$I$38-1),IF(AND($L$37=0,$P$34=0),"",$L$37-1)),0,YEARFRAC(MAX($P$34*($B41+$I$38-1),IF(AND($L$37=0,$P$34=0),"",$L$37-1)),MIN(BN$38,$E41),$P$20))-SUM($BF41:BM41))</f>
        <v>0</v>
      </c>
      <c r="BO41" s="446">
        <f>IF($E41=0,0,IF(MIN(BO$38,$E41)&lt;MAX($P$34*($B41+$I$38-1),IF(AND($L$37=0,$P$34=0),"",$L$37-1)),0,YEARFRAC(MAX($P$34*($B41+$I$38-1),IF(AND($L$37=0,$P$34=0),"",$L$37-1)),MIN(BO$38,$E41),$P$20))-SUM($BF41:BN41))</f>
        <v>0</v>
      </c>
      <c r="BP41" s="446">
        <f>IF($E41=0,0,IF(MIN(BP$38,$E41)&lt;MAX($P$34*($B41+$I$38-1),IF(AND($L$37=0,$P$34=0),"",$L$37-1)),0,YEARFRAC(MAX($P$34*($B41+$I$38-1),IF(AND($L$37=0,$P$34=0),"",$L$37-1)),MIN(BP$38,$E41),$P$20))-SUM($BF41:BO41))</f>
        <v>0</v>
      </c>
      <c r="BQ41" s="446">
        <f>IF($E41=0,0,IF(MIN(BQ$38,$E41)&lt;MAX($P$34*($B41+$I$38-1),IF(AND($L$37=0,$P$34=0),"",$L$37-1)),0,YEARFRAC(MAX($P$34*($B41+$I$38-1),IF(AND($L$37=0,$P$34=0),"",$L$37-1)),MIN(BQ$38,$E41),$P$20))-SUM($BF41:BP41))</f>
        <v>0</v>
      </c>
      <c r="BR41" s="446">
        <f>IF($E41=0,0,IF(MIN(BR$38,$E41)&lt;MAX($P$34*($B41+$I$38-1),IF(AND($L$37=0,$P$34=0),"",$L$37-1)),0,YEARFRAC(MAX($P$34*($B41+$I$38-1),IF(AND($L$37=0,$P$34=0),"",$L$37-1)),MIN(BR$38,$E41),$P$20))-SUM($BF41:BQ41))</f>
        <v>0</v>
      </c>
      <c r="BS41" s="446">
        <f>IF($E41=0,0,IF(MIN(BS$38,$E41)&lt;MAX($P$34*($B41+$I$38-1),IF(AND($L$37=0,$P$34=0),"",$L$37-1)),0,YEARFRAC(MAX($P$34*($B41+$I$38-1),IF(AND($L$37=0,$P$34=0),"",$L$37-1)),MIN(BS$38,$E41),$P$20))-SUM($BF41:BR41))</f>
        <v>0</v>
      </c>
      <c r="BT41" s="446">
        <f>IF($E41=0,0,IF(MIN(BT$38,$E41)&lt;MAX($P$34*($B41+$I$38-1),IF(AND($L$37=0,$P$34=0),"",$L$37-1)),0,YEARFRAC(MAX($P$34*($B41+$I$38-1),IF(AND($L$37=0,$P$34=0),"",$L$37-1)),MIN(BT$38,$E41),$P$20))-SUM($BF41:BS41))</f>
        <v>0</v>
      </c>
      <c r="BU41" s="446">
        <f>IF($E41=0,0,IF(MIN(BU$38,$E41)&lt;MAX($P$34*($B41+$I$38-1),IF(AND($L$37=0,$P$34=0),"",$L$37-1)),0,YEARFRAC(MAX($P$34*($B41+$I$38-1),IF(AND($L$37=0,$P$34=0),"",$L$37-1)),MIN(BU$38,$E41),$P$20))-SUM($BF41:BT41))</f>
        <v>0</v>
      </c>
      <c r="BV41" s="446">
        <f>IF($E41=0,0,IF(MIN(BV$38,$E41)&lt;MAX($P$34*($B41+$I$38-1),IF(AND($L$37=0,$P$34=0),"",$L$37-1)),0,YEARFRAC(MAX($P$34*($B41+$I$38-1),IF(AND($L$37=0,$P$34=0),"",$L$37-1)),MIN(BV$38,$E41),$P$20))-SUM($BF41:BU41))</f>
        <v>0</v>
      </c>
      <c r="BW41" s="446">
        <f>IF($E41=0,0,IF(MIN(BW$38,$E41)&lt;MAX($P$34*($B41+$I$38-1),IF(AND($L$37=0,$P$34=0),"",$L$37-1)),0,YEARFRAC(MAX($P$34*($B41+$I$38-1),IF(AND($L$37=0,$P$34=0),"",$L$37-1)),MIN(BW$38,$E41),$P$20))-SUM($BF41:BV41))</f>
        <v>0</v>
      </c>
      <c r="BX41" s="446">
        <f>IF($E41=0,0,IF(MIN(BX$38,$E41)&lt;MAX($P$34*($B41+$I$38-1),IF(AND($L$37=0,$P$34=0),"",$L$37-1)),0,YEARFRAC(MAX($P$34*($B41+$I$38-1),IF(AND($L$37=0,$P$34=0),"",$L$37-1)),MIN(BX$38,$E41),$P$20))-SUM($BF41:BW41))</f>
        <v>0</v>
      </c>
      <c r="BY41" s="446">
        <f>IF($E41=0,0,IF(MIN(BY$38,$E41)&lt;MAX($P$34*($B41+$I$38-1),IF(AND($L$37=0,$P$34=0),"",$L$37-1)),0,YEARFRAC(MAX($P$34*($B41+$I$38-1),IF(AND($L$37=0,$P$34=0),"",$L$37-1)),MIN(BY$38,$E41),$P$20))-SUM($BF41:BX41))</f>
        <v>0</v>
      </c>
      <c r="BZ41" s="446">
        <f>IF($E41=0,0,IF(MIN(BZ$38,$E41)&lt;MAX($P$34*($B41+$I$38-1),IF(AND($L$37=0,$P$34=0),"",$L$37-1)),0,YEARFRAC(MAX($P$34*($B41+$I$38-1),IF(AND($L$37=0,$P$34=0),"",$L$37-1)),MIN(BZ$38,$E41),$P$20))-SUM($BF41:BY41))</f>
        <v>0</v>
      </c>
      <c r="CA41" s="446">
        <f>IF($E41=0,0,IF(MIN(CA$38,$E41)&lt;MAX($P$34*($B41+$I$38-1),IF(AND($L$37=0,$P$34=0),"",$L$37-1)),0,YEARFRAC(MAX($P$34*($B41+$I$38-1),IF(AND($L$37=0,$P$34=0),"",$L$37-1)),MIN(CA$38,$E41),$P$20))-SUM($BF41:BZ41))</f>
        <v>0</v>
      </c>
      <c r="CB41" s="446">
        <f>IF($E41=0,0,IF(MIN(CB$38,$E41)&lt;MAX($P$34*($B41+$I$38-1),IF(AND($L$37=0,$P$34=0),"",$L$37-1)),0,YEARFRAC(MAX($P$34*($B41+$I$38-1),IF(AND($L$37=0,$P$34=0),"",$L$37-1)),MIN(CB$38,$E41),$P$20))-SUM($BF41:CA41))</f>
        <v>0</v>
      </c>
      <c r="CC41" s="446">
        <f>IF($E41=0,0,IF(MIN(CC$38,$E41)&lt;MAX($P$34*($B41+$I$38-1),IF(AND($L$37=0,$P$34=0),"",$L$37-1)),0,YEARFRAC(MAX($P$34*($B41+$I$38-1),IF(AND($L$37=0,$P$34=0),"",$L$37-1)),MIN(CC$38,$E41),$P$20))-SUM($BF41:CB41))</f>
        <v>0</v>
      </c>
      <c r="CD41" s="446">
        <f>IF($E41=0,0,IF(MIN(CD$38,$E41)&lt;MAX($P$34*($B41+$I$38-1),IF(AND($L$37=0,$P$34=0),"",$L$37-1)),0,YEARFRAC(MAX($P$34*($B41+$I$38-1),IF(AND($L$37=0,$P$34=0),"",$L$37-1)),MIN(CD$38,$E41),$P$20))-SUM($BF41:CC41))</f>
        <v>0</v>
      </c>
      <c r="CE41" s="446">
        <f>IF($E41=0,0,IF(MIN(CE$38,$E41)&lt;MAX($P$34*($B41+$I$38-1),IF(AND($L$37=0,$P$34=0),"",$L$37-1)),0,YEARFRAC(MAX($P$34*($B41+$I$38-1),IF(AND($L$37=0,$P$34=0),"",$L$37-1)),MIN(CE$38,$E41),$P$20))-SUM($BF41:CD41))</f>
        <v>0</v>
      </c>
      <c r="CF41" s="446">
        <f>IF($E41=0,0,IF(MIN(CF$38,$E41)&lt;MAX($P$34*($B41+$I$38-1),IF(AND($L$37=0,$P$34=0),"",$L$37-1)),0,YEARFRAC(MAX($P$34*($B41+$I$38-1),IF(AND($L$37=0,$P$34=0),"",$L$37-1)),MIN(CF$38,$E41),$P$20))-SUM($BF41:CE41))</f>
        <v>0</v>
      </c>
      <c r="CG41" s="446">
        <f>IF($E41=0,0,IF(MIN(CG$38,$E41)&lt;MAX($P$34*($B41+$I$38-1),IF(AND($L$37=0,$P$34=0),"",$L$37-1)),0,YEARFRAC(MAX($P$34*($B41+$I$38-1),IF(AND($L$37=0,$P$34=0),"",$L$37-1)),MIN(CG$38,$E41),$P$20))-SUM($BF41:CF41))</f>
        <v>0</v>
      </c>
      <c r="CH41" s="446">
        <f>IF($E41=0,0,IF(MIN(CH$38,$E41)&lt;MAX($P$34*($B41+$I$38-1),IF(AND($L$37=0,$P$34=0),"",$L$37-1)),0,YEARFRAC(MAX($P$34*($B41+$I$38-1),IF(AND($L$37=0,$P$34=0),"",$L$37-1)),MIN(CH$38,$E41),$P$20))-SUM($BF41:CG41))</f>
        <v>0</v>
      </c>
      <c r="CI41" s="446">
        <f>IF($E41=0,0,IF(MIN(CI$38,$E41)&lt;MAX($P$34*($B41+$I$38-1),IF(AND($L$37=0,$P$34=0),"",$L$37-1)),0,YEARFRAC(MAX($P$34*($B41+$I$38-1),IF(AND($L$37=0,$P$34=0),"",$L$37-1)),MIN(CI$38,$E41),$P$20))-SUM($BF41:CH41))</f>
        <v>0</v>
      </c>
      <c r="CJ41" s="446">
        <f>IF($E41=0,0,IF(MIN(CJ$38,$E41)&lt;MAX($P$34*($B41+$I$38-1),IF(AND($L$37=0,$P$34=0),"",$L$37-1)),0,YEARFRAC(MAX($P$34*($B41+$I$38-1),IF(AND($L$37=0,$P$34=0),"",$L$37-1)),MIN(CJ$38,$E41),$P$20))-SUM($BF41:CI41))</f>
        <v>0</v>
      </c>
      <c r="CK41" s="446">
        <f>IF($E41=0,0,IF(MIN(CK$38,$E41)&lt;MAX($P$34*($B41+$I$38-1),IF(AND($L$37=0,$P$34=0),"",$L$37-1)),0,YEARFRAC(MAX($P$34*($B41+$I$38-1),IF(AND($L$37=0,$P$34=0),"",$L$37-1)),MIN(CK$38,$E41),$P$20))-SUM($BF41:CJ41))</f>
        <v>0</v>
      </c>
      <c r="CL41" s="446">
        <f>IF($E41=0,0,IF(MIN(CL$38,$E41)&lt;MAX($P$34*($B41+$I$38-1),IF(AND($L$37=0,$P$34=0),"",$L$37-1)),0,YEARFRAC(MAX($P$34*($B41+$I$38-1),IF(AND($L$37=0,$P$34=0),"",$L$37-1)),MIN(CL$38,$E41),$P$20))-SUM($BF41:CK41))</f>
        <v>0</v>
      </c>
      <c r="CM41" s="446">
        <f>IF($E41=0,0,IF(MIN(CM$38,$E41)&lt;MAX($P$34*($B41+$I$38-1),IF(AND($L$37=0,$P$34=0),"",$L$37-1)),0,YEARFRAC(MAX($P$34*($B41+$I$38-1),IF(AND($L$37=0,$P$34=0),"",$L$37-1)),MIN(CM$38,$E41),$P$20))-SUM($BF41:CL41))</f>
        <v>0</v>
      </c>
      <c r="CN41" s="446">
        <f>IF($E41=0,0,IF(MIN(CN$38,$E41)&lt;MAX($P$34*($B41+$I$38-1),IF(AND($L$37=0,$P$34=0),"",$L$37-1)),0,YEARFRAC(MAX($P$34*($B41+$I$38-1),IF(AND($L$37=0,$P$34=0),"",$L$37-1)),MIN(CN$38,$E41),$P$20))-SUM($BF41:CM41))</f>
        <v>0</v>
      </c>
      <c r="CO41" s="446">
        <f>IF($E41=0,0,IF(MIN(CO$38,$E41)&lt;MAX($P$34*($B41+$I$38-1),IF(AND($L$37=0,$P$34=0),"",$L$37-1)),0,YEARFRAC(MAX($P$34*($B41+$I$38-1),IF(AND($L$37=0,$P$34=0),"",$L$37-1)),MIN(CO$38,$E41),$P$20))-SUM($BF41:CN41))</f>
        <v>0</v>
      </c>
      <c r="CP41" s="446">
        <f>IF($E41=0,0,IF(MIN(CP$38,$E41)&lt;MAX($P$34*($B41+$I$38-1),IF(AND($L$37=0,$P$34=0),"",$L$37-1)),0,YEARFRAC(MAX($P$34*($B41+$I$38-1),IF(AND($L$37=0,$P$34=0),"",$L$37-1)),MIN(CP$38,$E41),$P$20))-SUM($BF41:CO41))</f>
        <v>0</v>
      </c>
      <c r="CQ41" s="446">
        <f>IF($E41=0,0,IF(MIN(CQ$38,$E41)&lt;MAX($P$34*($B41+$I$38-1),IF(AND($L$37=0,$P$34=0),"",$L$37-1)),0,YEARFRAC(MAX($P$34*($B41+$I$38-1),IF(AND($L$37=0,$P$34=0),"",$L$37-1)),MIN(CQ$38,$E41),$P$20))-SUM($BF41:CP41))</f>
        <v>0</v>
      </c>
    </row>
    <row r="42" spans="1:116" s="446" customFormat="1" ht="11.25" hidden="1" customHeight="1" x14ac:dyDescent="0.2">
      <c r="A42" s="152"/>
      <c r="B42" s="153"/>
      <c r="C42" s="29" t="str">
        <f>IF(B42="","",IF($L$35="SELIC - TRIBUTOS",VLOOKUP(DATE(YEAR($D$19),MONTH($D$19)-1,1),ÍNDICES!$A:$DE,HLOOKUP($BL$25,ÍNDICES!$B$3:$T$4,2)+11)-VLOOKUP(B42,ÍNDICES!$A:$DE,HLOOKUP($BL$25,ÍNDICES!$B$3:$T$4,2)+11)+1%,IF(C$38=$W$26,$J$35,IF(ISERROR(IF(B42&gt;$D$19,1,VLOOKUP(DATE(YEAR(B42),MONTH(B42)+IF($C$35=$S$23,1,0),1),ÍNDICES!$A:$DE,$Z$35+1))),"",IF(B42&gt;$D$19,1,VLOOKUP(DATE(YEAR(B42),MONTH(B42)+IF($C$35=$S$23,1,0),1),ÍNDICES!$A:$DE,$Z$35+1))))))</f>
        <v/>
      </c>
      <c r="D42" s="154" t="str">
        <f>IF(ISERROR(IF(OR($D$38=$Y$27,$B42=""),"",VLOOKUP(B42,ÍNDICES!A:DE,AF$35+1))),"",IF(OR($D$38=$Y$27,$B42=""),"",VLOOKUP(B42,ÍNDICES!A:DE,AF$35+1)))</f>
        <v/>
      </c>
      <c r="E42" s="153"/>
      <c r="F42" s="29" t="str">
        <f>IF(E42="","",IF($L$35="SELIC - TRIBUTOS",VLOOKUP(DATE(YEAR($D$19),MONTH($D$19)-1,1),ÍNDICES!$A:$DE,HLOOKUP($BL$25,ÍNDICES!$B$3:$T$4,2)+11)-VLOOKUP(IF(E42&gt;B42,E42,B42),ÍNDICES!$A:$DE,HLOOKUP($BL$25,ÍNDICES!$B$3:$T$4,2)+11)+1%,IF(F$38=$W$26,$J$35,IF(ISERROR(IF(E42&gt;$D$19,1,VLOOKUP(DATE(YEAR(E42),MONTH(E42)+IF($C$35=$S$23,1,0),1),ÍNDICES!$A:$DE,$Z$35+1))),"",IF(E42&gt;$D$19,1,VLOOKUP(DATE(YEAR(E42),MONTH(E42)+IF($C$35=$S$23,1,0),1),ÍNDICES!$A:$DE,$Z$35+1))))))</f>
        <v/>
      </c>
      <c r="G42" s="155"/>
      <c r="H42" s="156" t="str">
        <f t="shared" si="11"/>
        <v/>
      </c>
      <c r="I42" s="29" t="str">
        <f t="shared" si="5"/>
        <v/>
      </c>
      <c r="J42" s="5">
        <f t="shared" si="6"/>
        <v>0</v>
      </c>
      <c r="K42" s="20">
        <f t="shared" ca="1" si="7"/>
        <v>0</v>
      </c>
      <c r="L42" s="5">
        <f t="shared" ca="1" si="8"/>
        <v>0</v>
      </c>
      <c r="M42" s="64">
        <f t="shared" si="12"/>
        <v>0</v>
      </c>
      <c r="N42" s="61">
        <f t="shared" ca="1" si="13"/>
        <v>0</v>
      </c>
      <c r="O42" s="5">
        <f t="shared" ca="1" si="14"/>
        <v>0</v>
      </c>
      <c r="P42" s="446">
        <f t="shared" si="9"/>
        <v>0</v>
      </c>
      <c r="Q42" s="446">
        <f>IF(OR($B42="",MIN(Q$38,$D$19)&lt;MAX($P$34*($B42+IF($R$17="Distrato",$I$38-1,0)),IF(AND($L$37=0,$P$34=0),"",$L$37-1),IF($R$17="Distrato",$E42,0))),0,YEARFRAC(MAX($P$34*($B42+IF($R$17="Distrato",$I$38-1,0)),IF(AND($L$37=0,$P$34=0),"",$L$37-1),IF($R$17="Distrato",$E42,0)),MIN(Q$38,$D$19),$P$20))-SUM($P42:P42)</f>
        <v>0</v>
      </c>
      <c r="R42" s="446">
        <f>IF(OR($B42="",MIN(R$38,$D$19)&lt;MAX($P$34*($B42+IF($R$17="Distrato",$I$38-1,0)),IF(AND($L$37=0,$P$34=0),"",$L$37-1),IF($R$17="Distrato",$E42,0))),0,YEARFRAC(MAX($P$34*($B42+IF($R$17="Distrato",$I$38-1,0)),IF(AND($L$37=0,$P$34=0),"",$L$37-1),IF($R$17="Distrato",$E42,0)),MIN(R$38,$D$19),$P$20))-SUM($P42:Q42)</f>
        <v>0</v>
      </c>
      <c r="S42" s="446">
        <f>IF(OR($B42="",MIN(S$38,$D$19)&lt;MAX($P$34*($B42+IF($R$17="Distrato",$I$38-1,0)),IF(AND($L$37=0,$P$34=0),"",$L$37-1),IF($R$17="Distrato",$E42,0))),0,YEARFRAC(MAX($P$34*($B42+IF($R$17="Distrato",$I$38-1,0)),IF(AND($L$37=0,$P$34=0),"",$L$37-1),IF($R$17="Distrato",$E42,0)),MIN(S$38,$D$19),$P$20))-SUM($P42:R42)</f>
        <v>0</v>
      </c>
      <c r="T42" s="446">
        <f>IF(OR($B42="",MIN(T$38,$D$19)&lt;MAX($P$34*($B42+IF($R$17="Distrato",$I$38-1,0)),IF(AND($L$37=0,$P$34=0),"",$L$37-1),IF($R$17="Distrato",$E42,0))),0,YEARFRAC(MAX($P$34*($B42+IF($R$17="Distrato",$I$38-1,0)),IF(AND($L$37=0,$P$34=0),"",$L$37-1),IF($R$17="Distrato",$E42,0)),MIN(T$38,$D$19),$P$20))-SUM($P42:S42)</f>
        <v>0</v>
      </c>
      <c r="U42" s="446">
        <f>IF(OR($B42="",MIN(U$38,$D$19)&lt;MAX($P$34*($B42+IF($R$17="Distrato",$I$38-1,0)),IF(AND($L$37=0,$P$34=0),"",$L$37-1),IF($R$17="Distrato",$E42,0))),0,YEARFRAC(MAX($P$34*($B42+IF($R$17="Distrato",$I$38-1,0)),IF(AND($L$37=0,$P$34=0),"",$L$37-1),IF($R$17="Distrato",$E42,0)),MIN(U$38,$D$19),$P$20))-SUM($P42:T42)</f>
        <v>0</v>
      </c>
      <c r="V42" s="446">
        <f>IF(OR($B42="",MIN(V$38,$D$19)&lt;MAX($P$34*($B42+IF($R$17="Distrato",$I$38-1,0)),IF(AND($L$37=0,$P$34=0),"",$L$37-1),IF($R$17="Distrato",$E42,0))),0,YEARFRAC(MAX($P$34*($B42+IF($R$17="Distrato",$I$38-1,0)),IF(AND($L$37=0,$P$34=0),"",$L$37-1),IF($R$17="Distrato",$E42,0)),MIN(V$38,$D$19),$P$20))-SUM($P42:U42)</f>
        <v>0</v>
      </c>
      <c r="W42" s="446">
        <f>IF(OR($B42="",MIN(W$38,$D$19)&lt;MAX($P$34*($B42+IF($R$17="Distrato",$I$38-1,0)),IF(AND($L$37=0,$P$34=0),"",$L$37-1),IF($R$17="Distrato",$E42,0))),0,YEARFRAC(MAX($P$34*($B42+IF($R$17="Distrato",$I$38-1,0)),IF(AND($L$37=0,$P$34=0),"",$L$37-1),IF($R$17="Distrato",$E42,0)),MIN(W$38,$D$19),$P$20))-SUM($P42:V42)</f>
        <v>0</v>
      </c>
      <c r="X42" s="446">
        <f>IF(OR($B42="",MIN(X$38,$D$19)&lt;MAX($P$34*($B42+IF($R$17="Distrato",$I$38-1,0)),IF(AND($L$37=0,$P$34=0),"",$L$37-1),IF($R$17="Distrato",$E42,0))),0,YEARFRAC(MAX($P$34*($B42+IF($R$17="Distrato",$I$38-1,0)),IF(AND($L$37=0,$P$34=0),"",$L$37-1),IF($R$17="Distrato",$E42,0)),MIN(X$38,$D$19),$P$20))-SUM($P42:W42)</f>
        <v>0</v>
      </c>
      <c r="Y42" s="446">
        <f>IF(OR($B42="",MIN(Y$38,$D$19)&lt;MAX($P$34*($B42+IF($R$17="Distrato",$I$38-1,0)),IF(AND($L$37=0,$P$34=0),"",$L$37-1),IF($R$17="Distrato",$E42,0))),0,YEARFRAC(MAX($P$34*($B42+IF($R$17="Distrato",$I$38-1,0)),IF(AND($L$37=0,$P$34=0),"",$L$37-1),IF($R$17="Distrato",$E42,0)),MIN(Y$38,$D$19),$P$20))-SUM($P42:X42)</f>
        <v>0</v>
      </c>
      <c r="Z42" s="446">
        <f>IF(OR($B42="",MIN(Z$38,$D$19)&lt;MAX($P$34*($B42+IF($R$17="Distrato",$I$38-1,0)),IF(AND($L$37=0,$P$34=0),"",$L$37-1),IF($R$17="Distrato",$E42,0))),0,YEARFRAC(MAX($P$34*($B42+IF($R$17="Distrato",$I$38-1,0)),IF(AND($L$37=0,$P$34=0),"",$L$37-1),IF($R$17="Distrato",$E42,0)),MIN(Z$38,$D$19),$P$20))-SUM($P42:Y42)</f>
        <v>0</v>
      </c>
      <c r="AA42" s="446">
        <f>IF(OR($B42="",MIN(AA$38,$D$19)&lt;MAX($P$34*($B42+IF($R$17="Distrato",$I$38-1,0)),IF(AND($L$37=0,$P$34=0),"",$L$37-1),IF($R$17="Distrato",$E42,0))),0,YEARFRAC(MAX($P$34*($B42+IF($R$17="Distrato",$I$38-1,0)),IF(AND($L$37=0,$P$34=0),"",$L$37-1),IF($R$17="Distrato",$E42,0)),MIN(AA$38,$D$19),$P$20))-SUM($P42:Z42)</f>
        <v>0</v>
      </c>
      <c r="AB42" s="446">
        <f>IF(OR($B42="",MIN(AB$38,$D$19)&lt;MAX($P$34*($B42+IF($R$17="Distrato",$I$38-1,0)),IF(AND($L$37=0,$P$34=0),"",$L$37-1),IF($R$17="Distrato",$E42,0))),0,YEARFRAC(MAX($P$34*($B42+IF($R$17="Distrato",$I$38-1,0)),IF(AND($L$37=0,$P$34=0),"",$L$37-1),IF($R$17="Distrato",$E42,0)),MIN(AB$38,$D$19),$P$20))-SUM($P42:AA42)</f>
        <v>0</v>
      </c>
      <c r="AC42" s="446">
        <f>IF(OR($B42="",MIN(AC$38,$D$19)&lt;MAX($P$34*($B42+IF($R$17="Distrato",$I$38-1,0)),IF(AND($L$37=0,$P$34=0),"",$L$37-1),IF($R$17="Distrato",$E42,0))),0,YEARFRAC(MAX($P$34*($B42+IF($R$17="Distrato",$I$38-1,0)),IF(AND($L$37=0,$P$34=0),"",$L$37-1),IF($R$17="Distrato",$E42,0)),MIN(AC$38,$D$19),$P$20))-SUM($P42:AB42)</f>
        <v>0</v>
      </c>
      <c r="AD42" s="446">
        <f>IF(OR($B42="",MIN(AD$38,$D$19)&lt;MAX($P$34*($B42+IF($R$17="Distrato",$I$38-1,0)),IF(AND($L$37=0,$P$34=0),"",$L$37-1),IF($R$17="Distrato",$E42,0))),0,YEARFRAC(MAX($P$34*($B42+IF($R$17="Distrato",$I$38-1,0)),IF(AND($L$37=0,$P$34=0),"",$L$37-1),IF($R$17="Distrato",$E42,0)),MIN(AD$38,$D$19),$P$20))-SUM($P42:AC42)</f>
        <v>0</v>
      </c>
      <c r="AE42" s="446">
        <f>IF(OR($B42="",MIN(AE$38,$D$19)&lt;MAX($P$34*($B42+IF($R$17="Distrato",$I$38-1,0)),IF(AND($L$37=0,$P$34=0),"",$L$37-1),IF($R$17="Distrato",$E42,0))),0,YEARFRAC(MAX($P$34*($B42+IF($R$17="Distrato",$I$38-1,0)),IF(AND($L$37=0,$P$34=0),"",$L$37-1),IF($R$17="Distrato",$E42,0)),MIN(AE$38,$D$19),$P$20))-SUM($P42:AD42)</f>
        <v>0</v>
      </c>
      <c r="AF42" s="446">
        <f>IF(OR($B42="",MIN(AF$38,$D$19)&lt;MAX($P$34*($B42+IF($R$17="Distrato",$I$38-1,0)),IF(AND($L$37=0,$P$34=0),"",$L$37-1),IF($R$17="Distrato",$E42,0))),0,YEARFRAC(MAX($P$34*($B42+IF($R$17="Distrato",$I$38-1,0)),IF(AND($L$37=0,$P$34=0),"",$L$37-1),IF($R$17="Distrato",$E42,0)),MIN(AF$38,$D$19),$P$20))-SUM($P42:AE42)</f>
        <v>0</v>
      </c>
      <c r="AG42" s="446">
        <f>IF(OR($B42="",MIN(AG$38,$D$19)&lt;MAX($P$34*($B42+IF($R$17="Distrato",$I$38-1,0)),IF(AND($L$37=0,$P$34=0),"",$L$37-1),IF($R$17="Distrato",$E42,0))),0,YEARFRAC(MAX($P$34*($B42+IF($R$17="Distrato",$I$38-1,0)),IF(AND($L$37=0,$P$34=0),"",$L$37-1),IF($R$17="Distrato",$E42,0)),MIN(AG$38,$D$19),$P$20))-SUM($P42:AF42)</f>
        <v>0</v>
      </c>
      <c r="AH42" s="446">
        <f>IF(OR($B42="",MIN(AH$38,$D$19)&lt;MAX($P$34*($B42+IF($R$17="Distrato",$I$38-1,0)),IF(AND($L$37=0,$P$34=0),"",$L$37-1),IF($R$17="Distrato",$E42,0))),0,YEARFRAC(MAX($P$34*($B42+IF($R$17="Distrato",$I$38-1,0)),IF(AND($L$37=0,$P$34=0),"",$L$37-1),IF($R$17="Distrato",$E42,0)),MIN(AH$38,$D$19),$P$20))-SUM($P42:AG42)</f>
        <v>0</v>
      </c>
      <c r="AI42" s="446">
        <f>IF(OR($B42="",MIN(AI$38,$D$19)&lt;MAX($P$34*($B42+IF($R$17="Distrato",$I$38-1,0)),IF(AND($L$37=0,$P$34=0),"",$L$37-1),IF($R$17="Distrato",$E42,0))),0,YEARFRAC(MAX($P$34*($B42+IF($R$17="Distrato",$I$38-1,0)),IF(AND($L$37=0,$P$34=0),"",$L$37-1),IF($R$17="Distrato",$E42,0)),MIN(AI$38,$D$19),$P$20))-SUM($P42:AH42)</f>
        <v>0</v>
      </c>
      <c r="AJ42" s="446">
        <f>IF(OR($B42="",MIN(AJ$38,$D$19)&lt;MAX($P$34*($B42+IF($R$17="Distrato",$I$38-1,0)),IF(AND($L$37=0,$P$34=0),"",$L$37-1),IF($R$17="Distrato",$E42,0))),0,YEARFRAC(MAX($P$34*($B42+IF($R$17="Distrato",$I$38-1,0)),IF(AND($L$37=0,$P$34=0),"",$L$37-1),IF($R$17="Distrato",$E42,0)),MIN(AJ$38,$D$19),$P$20))-SUM($P42:AI42)</f>
        <v>0</v>
      </c>
      <c r="AK42" s="446">
        <f>IF(OR($B42="",MIN(AK$38,$D$19)&lt;MAX($P$34*($B42+IF($R$17="Distrato",$I$38-1,0)),IF(AND($L$37=0,$P$34=0),"",$L$37-1),IF($R$17="Distrato",$E42,0))),0,YEARFRAC(MAX($P$34*($B42+IF($R$17="Distrato",$I$38-1,0)),IF(AND($L$37=0,$P$34=0),"",$L$37-1),IF($R$17="Distrato",$E42,0)),MIN(AK$38,$D$19),$P$20))-SUM($P42:AJ42)</f>
        <v>0</v>
      </c>
      <c r="AL42" s="446">
        <f>IF(OR($B42="",MIN(AL$38,$D$19)&lt;MAX($P$34*($B42+IF($R$17="Distrato",$I$38-1,0)),IF(AND($L$37=0,$P$34=0),"",$L$37-1),IF($R$17="Distrato",$E42,0))),0,YEARFRAC(MAX($P$34*($B42+IF($R$17="Distrato",$I$38-1,0)),IF(AND($L$37=0,$P$34=0),"",$L$37-1),IF($R$17="Distrato",$E42,0)),MIN(AL$38,$D$19),$P$20))-SUM($P42:AK42)</f>
        <v>0</v>
      </c>
      <c r="AM42" s="446">
        <f>IF(OR($B42="",MIN(AM$38,$D$19)&lt;MAX($P$34*($B42+IF($R$17="Distrato",$I$38-1,0)),IF(AND($L$37=0,$P$34=0),"",$L$37-1),IF($R$17="Distrato",$E42,0))),0,YEARFRAC(MAX($P$34*($B42+IF($R$17="Distrato",$I$38-1,0)),IF(AND($L$37=0,$P$34=0),"",$L$37-1),IF($R$17="Distrato",$E42,0)),MIN(AM$38,$D$19),$P$20))-SUM($P42:AL42)</f>
        <v>0</v>
      </c>
      <c r="AN42" s="446">
        <f>IF(OR($B42="",MIN(AN$38,$D$19)&lt;MAX($P$34*($B42+IF($R$17="Distrato",$I$38-1,0)),IF(AND($L$37=0,$P$34=0),"",$L$37-1),IF($R$17="Distrato",$E42,0))),0,YEARFRAC(MAX($P$34*($B42+IF($R$17="Distrato",$I$38-1,0)),IF(AND($L$37=0,$P$34=0),"",$L$37-1),IF($R$17="Distrato",$E42,0)),MIN(AN$38,$D$19),$P$20))-SUM($P42:AM42)</f>
        <v>0</v>
      </c>
      <c r="AO42" s="446">
        <f>IF(OR($B42="",MIN(AO$38,$D$19)&lt;MAX($P$34*($B42+IF($R$17="Distrato",$I$38-1,0)),IF(AND($L$37=0,$P$34=0),"",$L$37-1),IF($R$17="Distrato",$E42,0))),0,YEARFRAC(MAX($P$34*($B42+IF($R$17="Distrato",$I$38-1,0)),IF(AND($L$37=0,$P$34=0),"",$L$37-1),IF($R$17="Distrato",$E42,0)),MIN(AO$38,$D$19),$P$20))-SUM($P42:AN42)</f>
        <v>0</v>
      </c>
      <c r="AP42" s="446">
        <f>IF(OR($B42="",MIN(AP$38,$D$19)&lt;MAX($P$34*($B42+IF($R$17="Distrato",$I$38-1,0)),IF(AND($L$37=0,$P$34=0),"",$L$37-1),IF($R$17="Distrato",$E42,0))),0,YEARFRAC(MAX($P$34*($B42+IF($R$17="Distrato",$I$38-1,0)),IF(AND($L$37=0,$P$34=0),"",$L$37-1),IF($R$17="Distrato",$E42,0)),MIN(AP$38,$D$19),$P$20))-SUM($P42:AO42)</f>
        <v>0</v>
      </c>
      <c r="AQ42" s="446">
        <f>IF(OR($B42="",MIN(AQ$38,$D$19)&lt;MAX($P$34*($B42+IF($R$17="Distrato",$I$38-1,0)),IF(AND($L$37=0,$P$34=0),"",$L$37-1),IF($R$17="Distrato",$E42,0))),0,YEARFRAC(MAX($P$34*($B42+IF($R$17="Distrato",$I$38-1,0)),IF(AND($L$37=0,$P$34=0),"",$L$37-1),IF($R$17="Distrato",$E42,0)),MIN(AQ$38,$D$19),$P$20))-SUM($P42:AP42)</f>
        <v>0</v>
      </c>
      <c r="AR42" s="446">
        <f>IF(OR($B42="",MIN(AR$38,$D$19)&lt;MAX($P$34*($B42+IF($R$17="Distrato",$I$38-1,0)),IF(AND($L$37=0,$P$34=0),"",$L$37-1),IF($R$17="Distrato",$E42,0))),0,YEARFRAC(MAX($P$34*($B42+IF($R$17="Distrato",$I$38-1,0)),IF(AND($L$37=0,$P$34=0),"",$L$37-1),IF($R$17="Distrato",$E42,0)),MIN(AR$38,$D$19),$P$20))-SUM($P42:AQ42)</f>
        <v>0</v>
      </c>
      <c r="AS42" s="446">
        <f>IF(OR($B42="",MIN(AS$38,$D$19)&lt;MAX($P$34*($B42+IF($R$17="Distrato",$I$38-1,0)),IF(AND($L$37=0,$P$34=0),"",$L$37-1),IF($R$17="Distrato",$E42,0))),0,YEARFRAC(MAX($P$34*($B42+IF($R$17="Distrato",$I$38-1,0)),IF(AND($L$37=0,$P$34=0),"",$L$37-1),IF($R$17="Distrato",$E42,0)),MIN(AS$38,$D$19),$P$20))-SUM($P42:AR42)</f>
        <v>0</v>
      </c>
      <c r="AT42" s="446">
        <f>IF(OR($B42="",MIN(AT$38,$D$19)&lt;MAX($P$34*($B42+IF($R$17="Distrato",$I$38-1,0)),IF(AND($L$37=0,$P$34=0),"",$L$37-1),IF($R$17="Distrato",$E42,0))),0,YEARFRAC(MAX($P$34*($B42+IF($R$17="Distrato",$I$38-1,0)),IF(AND($L$37=0,$P$34=0),"",$L$37-1),IF($R$17="Distrato",$E42,0)),MIN(AT$38,$D$19),$P$20))-SUM($P42:AS42)</f>
        <v>0</v>
      </c>
      <c r="AU42" s="446">
        <f>IF(OR($B42="",MIN(AU$38,$D$19)&lt;MAX($P$34*($B42+IF($R$17="Distrato",$I$38-1,0)),IF(AND($L$37=0,$P$34=0),"",$L$37-1),IF($R$17="Distrato",$E42,0))),0,YEARFRAC(MAX($P$34*($B42+IF($R$17="Distrato",$I$38-1,0)),IF(AND($L$37=0,$P$34=0),"",$L$37-1),IF($R$17="Distrato",$E42,0)),MIN(AU$38,$D$19),$P$20))-SUM($P42:AT42)</f>
        <v>0</v>
      </c>
      <c r="AV42" s="446">
        <f>IF(OR($B42="",MIN(AV$38,$D$19)&lt;MAX($P$34*($B42+IF($R$17="Distrato",$I$38-1,0)),IF(AND($L$37=0,$P$34=0),"",$L$37-1),IF($R$17="Distrato",$E42,0))),0,YEARFRAC(MAX($P$34*($B42+IF($R$17="Distrato",$I$38-1,0)),IF(AND($L$37=0,$P$34=0),"",$L$37-1),IF($R$17="Distrato",$E42,0)),MIN(AV$38,$D$19),$P$20))-SUM($P42:AU42)</f>
        <v>0</v>
      </c>
      <c r="AW42" s="446">
        <f>IF(OR($B42="",MIN(AW$38,$D$19)&lt;MAX($P$34*($B42+IF($R$17="Distrato",$I$38-1,0)),IF(AND($L$37=0,$P$34=0),"",$L$37-1),IF($R$17="Distrato",$E42,0))),0,YEARFRAC(MAX($P$34*($B42+IF($R$17="Distrato",$I$38-1,0)),IF(AND($L$37=0,$P$34=0),"",$L$37-1),IF($R$17="Distrato",$E42,0)),MIN(AW$38,$D$19),$P$20))-SUM($P42:AV42)</f>
        <v>0</v>
      </c>
      <c r="AX42" s="446">
        <f>IF(OR($B42="",MIN(AX$38,$D$19)&lt;MAX($P$34*($B42+IF($R$17="Distrato",$I$38-1,0)),IF(AND($L$37=0,$P$34=0),"",$L$37-1),IF($R$17="Distrato",$E42,0))),0,YEARFRAC(MAX($P$34*($B42+IF($R$17="Distrato",$I$38-1,0)),IF(AND($L$37=0,$P$34=0),"",$L$37-1),IF($R$17="Distrato",$E42,0)),MIN(AX$38,$D$19),$P$20))-SUM($P42:AW42)</f>
        <v>0</v>
      </c>
      <c r="AY42" s="446">
        <f>IF(OR($B42="",MIN(AY$38,$D$19)&lt;MAX($P$34*($B42+IF($R$17="Distrato",$I$38-1,0)),IF(AND($L$37=0,$P$34=0),"",$L$37-1),IF($R$17="Distrato",$E42,0))),0,YEARFRAC(MAX($P$34*($B42+IF($R$17="Distrato",$I$38-1,0)),IF(AND($L$37=0,$P$34=0),"",$L$37-1),IF($R$17="Distrato",$E42,0)),MIN(AY$38,$D$19),$P$20))-SUM($P42:AX42)</f>
        <v>0</v>
      </c>
      <c r="AZ42" s="446">
        <f>IF(OR($B42="",MIN(AZ$38,$D$19)&lt;MAX($P$34*($B42+IF($R$17="Distrato",$I$38-1,0)),IF(AND($L$37=0,$P$34=0),"",$L$37-1),IF($R$17="Distrato",$E42,0))),0,YEARFRAC(MAX($P$34*($B42+IF($R$17="Distrato",$I$38-1,0)),IF(AND($L$37=0,$P$34=0),"",$L$37-1),IF($R$17="Distrato",$E42,0)),MIN(AZ$38,$D$19),$P$20))-SUM($P42:AY42)</f>
        <v>0</v>
      </c>
      <c r="BA42" s="446">
        <f>IF(OR($B42="",MIN(BA$38,$D$19)&lt;MAX($P$34*($B42+IF($R$17="Distrato",$I$38-1,0)),IF(AND($L$37=0,$P$34=0),"",$L$37-1),IF($R$17="Distrato",$E42,0))),0,YEARFRAC(MAX($P$34*($B42+IF($R$17="Distrato",$I$38-1,0)),IF(AND($L$37=0,$P$34=0),"",$L$37-1),IF($R$17="Distrato",$E42,0)),MIN(BA$38,$D$19),$P$20))-SUM($P42:AZ42)</f>
        <v>0</v>
      </c>
      <c r="BB42" s="447"/>
      <c r="BF42" s="446">
        <f t="shared" si="10"/>
        <v>0</v>
      </c>
      <c r="BG42" s="446">
        <f>IF($E42=0,0,IF(MIN(BG$38,$E42)&lt;MAX($P$34*($B42+$I$38-1),IF(AND($L$37=0,$P$34=0),"",$L$37-1)),0,YEARFRAC(MAX($P$34*($B42+$I$38-1),IF(AND($L$37=0,$P$34=0),"",$L$37-1)),MIN(BG$38,$E42),$P$20))-SUM($BF42:BF42))</f>
        <v>0</v>
      </c>
      <c r="BH42" s="446">
        <f>IF($E42=0,0,IF(MIN(BH$38,$E42)&lt;MAX($P$34*($B42+$I$38-1),IF(AND($L$37=0,$P$34=0),"",$L$37-1)),0,YEARFRAC(MAX($P$34*($B42+$I$38-1),IF(AND($L$37=0,$P$34=0),"",$L$37-1)),MIN(BH$38,$E42),$P$20))-SUM($BF42:BG42))</f>
        <v>0</v>
      </c>
      <c r="BI42" s="446">
        <f>IF($E42=0,0,IF(MIN(BI$38,$E42)&lt;MAX($P$34*($B42+$I$38-1),IF(AND($L$37=0,$P$34=0),"",$L$37-1)),0,YEARFRAC(MAX($P$34*($B42+$I$38-1),IF(AND($L$37=0,$P$34=0),"",$L$37-1)),MIN(BI$38,$E42),$P$20))-SUM($BF42:BH42))</f>
        <v>0</v>
      </c>
      <c r="BJ42" s="446">
        <f>IF($E42=0,0,IF(MIN(BJ$38,$E42)&lt;MAX($P$34*($B42+$I$38-1),IF(AND($L$37=0,$P$34=0),"",$L$37-1)),0,YEARFRAC(MAX($P$34*($B42+$I$38-1),IF(AND($L$37=0,$P$34=0),"",$L$37-1)),MIN(BJ$38,$E42),$P$20))-SUM($BF42:BI42))</f>
        <v>0</v>
      </c>
      <c r="BK42" s="446">
        <f>IF($E42=0,0,IF(MIN(BK$38,$E42)&lt;MAX($P$34*($B42+$I$38-1),IF(AND($L$37=0,$P$34=0),"",$L$37-1)),0,YEARFRAC(MAX($P$34*($B42+$I$38-1),IF(AND($L$37=0,$P$34=0),"",$L$37-1)),MIN(BK$38,$E42),$P$20))-SUM($BF42:BJ42))</f>
        <v>0</v>
      </c>
      <c r="BL42" s="446">
        <f>IF($E42=0,0,IF(MIN(BL$38,$E42)&lt;MAX($P$34*($B42+$I$38-1),IF(AND($L$37=0,$P$34=0),"",$L$37-1)),0,YEARFRAC(MAX($P$34*($B42+$I$38-1),IF(AND($L$37=0,$P$34=0),"",$L$37-1)),MIN(BL$38,$E42),$P$20))-SUM($BF42:BK42))</f>
        <v>0</v>
      </c>
      <c r="BM42" s="446">
        <f>IF($E42=0,0,IF(MIN(BM$38,$E42)&lt;MAX($P$34*($B42+$I$38-1),IF(AND($L$37=0,$P$34=0),"",$L$37-1)),0,YEARFRAC(MAX($P$34*($B42+$I$38-1),IF(AND($L$37=0,$P$34=0),"",$L$37-1)),MIN(BM$38,$E42),$P$20))-SUM($BF42:BL42))</f>
        <v>0</v>
      </c>
      <c r="BN42" s="446">
        <f>IF($E42=0,0,IF(MIN(BN$38,$E42)&lt;MAX($P$34*($B42+$I$38-1),IF(AND($L$37=0,$P$34=0),"",$L$37-1)),0,YEARFRAC(MAX($P$34*($B42+$I$38-1),IF(AND($L$37=0,$P$34=0),"",$L$37-1)),MIN(BN$38,$E42),$P$20))-SUM($BF42:BM42))</f>
        <v>0</v>
      </c>
      <c r="BO42" s="446">
        <f>IF($E42=0,0,IF(MIN(BO$38,$E42)&lt;MAX($P$34*($B42+$I$38-1),IF(AND($L$37=0,$P$34=0),"",$L$37-1)),0,YEARFRAC(MAX($P$34*($B42+$I$38-1),IF(AND($L$37=0,$P$34=0),"",$L$37-1)),MIN(BO$38,$E42),$P$20))-SUM($BF42:BN42))</f>
        <v>0</v>
      </c>
      <c r="BP42" s="446">
        <f>IF($E42=0,0,IF(MIN(BP$38,$E42)&lt;MAX($P$34*($B42+$I$38-1),IF(AND($L$37=0,$P$34=0),"",$L$37-1)),0,YEARFRAC(MAX($P$34*($B42+$I$38-1),IF(AND($L$37=0,$P$34=0),"",$L$37-1)),MIN(BP$38,$E42),$P$20))-SUM($BF42:BO42))</f>
        <v>0</v>
      </c>
      <c r="BQ42" s="446">
        <f>IF($E42=0,0,IF(MIN(BQ$38,$E42)&lt;MAX($P$34*($B42+$I$38-1),IF(AND($L$37=0,$P$34=0),"",$L$37-1)),0,YEARFRAC(MAX($P$34*($B42+$I$38-1),IF(AND($L$37=0,$P$34=0),"",$L$37-1)),MIN(BQ$38,$E42),$P$20))-SUM($BF42:BP42))</f>
        <v>0</v>
      </c>
      <c r="BR42" s="446">
        <f>IF($E42=0,0,IF(MIN(BR$38,$E42)&lt;MAX($P$34*($B42+$I$38-1),IF(AND($L$37=0,$P$34=0),"",$L$37-1)),0,YEARFRAC(MAX($P$34*($B42+$I$38-1),IF(AND($L$37=0,$P$34=0),"",$L$37-1)),MIN(BR$38,$E42),$P$20))-SUM($BF42:BQ42))</f>
        <v>0</v>
      </c>
      <c r="BS42" s="446">
        <f>IF($E42=0,0,IF(MIN(BS$38,$E42)&lt;MAX($P$34*($B42+$I$38-1),IF(AND($L$37=0,$P$34=0),"",$L$37-1)),0,YEARFRAC(MAX($P$34*($B42+$I$38-1),IF(AND($L$37=0,$P$34=0),"",$L$37-1)),MIN(BS$38,$E42),$P$20))-SUM($BF42:BR42))</f>
        <v>0</v>
      </c>
      <c r="BT42" s="446">
        <f>IF($E42=0,0,IF(MIN(BT$38,$E42)&lt;MAX($P$34*($B42+$I$38-1),IF(AND($L$37=0,$P$34=0),"",$L$37-1)),0,YEARFRAC(MAX($P$34*($B42+$I$38-1),IF(AND($L$37=0,$P$34=0),"",$L$37-1)),MIN(BT$38,$E42),$P$20))-SUM($BF42:BS42))</f>
        <v>0</v>
      </c>
      <c r="BU42" s="446">
        <f>IF($E42=0,0,IF(MIN(BU$38,$E42)&lt;MAX($P$34*($B42+$I$38-1),IF(AND($L$37=0,$P$34=0),"",$L$37-1)),0,YEARFRAC(MAX($P$34*($B42+$I$38-1),IF(AND($L$37=0,$P$34=0),"",$L$37-1)),MIN(BU$38,$E42),$P$20))-SUM($BF42:BT42))</f>
        <v>0</v>
      </c>
      <c r="BV42" s="446">
        <f>IF($E42=0,0,IF(MIN(BV$38,$E42)&lt;MAX($P$34*($B42+$I$38-1),IF(AND($L$37=0,$P$34=0),"",$L$37-1)),0,YEARFRAC(MAX($P$34*($B42+$I$38-1),IF(AND($L$37=0,$P$34=0),"",$L$37-1)),MIN(BV$38,$E42),$P$20))-SUM($BF42:BU42))</f>
        <v>0</v>
      </c>
      <c r="BW42" s="446">
        <f>IF($E42=0,0,IF(MIN(BW$38,$E42)&lt;MAX($P$34*($B42+$I$38-1),IF(AND($L$37=0,$P$34=0),"",$L$37-1)),0,YEARFRAC(MAX($P$34*($B42+$I$38-1),IF(AND($L$37=0,$P$34=0),"",$L$37-1)),MIN(BW$38,$E42),$P$20))-SUM($BF42:BV42))</f>
        <v>0</v>
      </c>
      <c r="BX42" s="446">
        <f>IF($E42=0,0,IF(MIN(BX$38,$E42)&lt;MAX($P$34*($B42+$I$38-1),IF(AND($L$37=0,$P$34=0),"",$L$37-1)),0,YEARFRAC(MAX($P$34*($B42+$I$38-1),IF(AND($L$37=0,$P$34=0),"",$L$37-1)),MIN(BX$38,$E42),$P$20))-SUM($BF42:BW42))</f>
        <v>0</v>
      </c>
      <c r="BY42" s="446">
        <f>IF($E42=0,0,IF(MIN(BY$38,$E42)&lt;MAX($P$34*($B42+$I$38-1),IF(AND($L$37=0,$P$34=0),"",$L$37-1)),0,YEARFRAC(MAX($P$34*($B42+$I$38-1),IF(AND($L$37=0,$P$34=0),"",$L$37-1)),MIN(BY$38,$E42),$P$20))-SUM($BF42:BX42))</f>
        <v>0</v>
      </c>
      <c r="BZ42" s="446">
        <f>IF($E42=0,0,IF(MIN(BZ$38,$E42)&lt;MAX($P$34*($B42+$I$38-1),IF(AND($L$37=0,$P$34=0),"",$L$37-1)),0,YEARFRAC(MAX($P$34*($B42+$I$38-1),IF(AND($L$37=0,$P$34=0),"",$L$37-1)),MIN(BZ$38,$E42),$P$20))-SUM($BF42:BY42))</f>
        <v>0</v>
      </c>
      <c r="CA42" s="446">
        <f>IF($E42=0,0,IF(MIN(CA$38,$E42)&lt;MAX($P$34*($B42+$I$38-1),IF(AND($L$37=0,$P$34=0),"",$L$37-1)),0,YEARFRAC(MAX($P$34*($B42+$I$38-1),IF(AND($L$37=0,$P$34=0),"",$L$37-1)),MIN(CA$38,$E42),$P$20))-SUM($BF42:BZ42))</f>
        <v>0</v>
      </c>
      <c r="CB42" s="446">
        <f>IF($E42=0,0,IF(MIN(CB$38,$E42)&lt;MAX($P$34*($B42+$I$38-1),IF(AND($L$37=0,$P$34=0),"",$L$37-1)),0,YEARFRAC(MAX($P$34*($B42+$I$38-1),IF(AND($L$37=0,$P$34=0),"",$L$37-1)),MIN(CB$38,$E42),$P$20))-SUM($BF42:CA42))</f>
        <v>0</v>
      </c>
      <c r="CC42" s="446">
        <f>IF($E42=0,0,IF(MIN(CC$38,$E42)&lt;MAX($P$34*($B42+$I$38-1),IF(AND($L$37=0,$P$34=0),"",$L$37-1)),0,YEARFRAC(MAX($P$34*($B42+$I$38-1),IF(AND($L$37=0,$P$34=0),"",$L$37-1)),MIN(CC$38,$E42),$P$20))-SUM($BF42:CB42))</f>
        <v>0</v>
      </c>
      <c r="CD42" s="446">
        <f>IF($E42=0,0,IF(MIN(CD$38,$E42)&lt;MAX($P$34*($B42+$I$38-1),IF(AND($L$37=0,$P$34=0),"",$L$37-1)),0,YEARFRAC(MAX($P$34*($B42+$I$38-1),IF(AND($L$37=0,$P$34=0),"",$L$37-1)),MIN(CD$38,$E42),$P$20))-SUM($BF42:CC42))</f>
        <v>0</v>
      </c>
      <c r="CE42" s="446">
        <f>IF($E42=0,0,IF(MIN(CE$38,$E42)&lt;MAX($P$34*($B42+$I$38-1),IF(AND($L$37=0,$P$34=0),"",$L$37-1)),0,YEARFRAC(MAX($P$34*($B42+$I$38-1),IF(AND($L$37=0,$P$34=0),"",$L$37-1)),MIN(CE$38,$E42),$P$20))-SUM($BF42:CD42))</f>
        <v>0</v>
      </c>
      <c r="CF42" s="446">
        <f>IF($E42=0,0,IF(MIN(CF$38,$E42)&lt;MAX($P$34*($B42+$I$38-1),IF(AND($L$37=0,$P$34=0),"",$L$37-1)),0,YEARFRAC(MAX($P$34*($B42+$I$38-1),IF(AND($L$37=0,$P$34=0),"",$L$37-1)),MIN(CF$38,$E42),$P$20))-SUM($BF42:CE42))</f>
        <v>0</v>
      </c>
      <c r="CG42" s="446">
        <f>IF($E42=0,0,IF(MIN(CG$38,$E42)&lt;MAX($P$34*($B42+$I$38-1),IF(AND($L$37=0,$P$34=0),"",$L$37-1)),0,YEARFRAC(MAX($P$34*($B42+$I$38-1),IF(AND($L$37=0,$P$34=0),"",$L$37-1)),MIN(CG$38,$E42),$P$20))-SUM($BF42:CF42))</f>
        <v>0</v>
      </c>
      <c r="CH42" s="446">
        <f>IF($E42=0,0,IF(MIN(CH$38,$E42)&lt;MAX($P$34*($B42+$I$38-1),IF(AND($L$37=0,$P$34=0),"",$L$37-1)),0,YEARFRAC(MAX($P$34*($B42+$I$38-1),IF(AND($L$37=0,$P$34=0),"",$L$37-1)),MIN(CH$38,$E42),$P$20))-SUM($BF42:CG42))</f>
        <v>0</v>
      </c>
      <c r="CI42" s="446">
        <f>IF($E42=0,0,IF(MIN(CI$38,$E42)&lt;MAX($P$34*($B42+$I$38-1),IF(AND($L$37=0,$P$34=0),"",$L$37-1)),0,YEARFRAC(MAX($P$34*($B42+$I$38-1),IF(AND($L$37=0,$P$34=0),"",$L$37-1)),MIN(CI$38,$E42),$P$20))-SUM($BF42:CH42))</f>
        <v>0</v>
      </c>
      <c r="CJ42" s="446">
        <f>IF($E42=0,0,IF(MIN(CJ$38,$E42)&lt;MAX($P$34*($B42+$I$38-1),IF(AND($L$37=0,$P$34=0),"",$L$37-1)),0,YEARFRAC(MAX($P$34*($B42+$I$38-1),IF(AND($L$37=0,$P$34=0),"",$L$37-1)),MIN(CJ$38,$E42),$P$20))-SUM($BF42:CI42))</f>
        <v>0</v>
      </c>
      <c r="CK42" s="446">
        <f>IF($E42=0,0,IF(MIN(CK$38,$E42)&lt;MAX($P$34*($B42+$I$38-1),IF(AND($L$37=0,$P$34=0),"",$L$37-1)),0,YEARFRAC(MAX($P$34*($B42+$I$38-1),IF(AND($L$37=0,$P$34=0),"",$L$37-1)),MIN(CK$38,$E42),$P$20))-SUM($BF42:CJ42))</f>
        <v>0</v>
      </c>
      <c r="CL42" s="446">
        <f>IF($E42=0,0,IF(MIN(CL$38,$E42)&lt;MAX($P$34*($B42+$I$38-1),IF(AND($L$37=0,$P$34=0),"",$L$37-1)),0,YEARFRAC(MAX($P$34*($B42+$I$38-1),IF(AND($L$37=0,$P$34=0),"",$L$37-1)),MIN(CL$38,$E42),$P$20))-SUM($BF42:CK42))</f>
        <v>0</v>
      </c>
      <c r="CM42" s="446">
        <f>IF($E42=0,0,IF(MIN(CM$38,$E42)&lt;MAX($P$34*($B42+$I$38-1),IF(AND($L$37=0,$P$34=0),"",$L$37-1)),0,YEARFRAC(MAX($P$34*($B42+$I$38-1),IF(AND($L$37=0,$P$34=0),"",$L$37-1)),MIN(CM$38,$E42),$P$20))-SUM($BF42:CL42))</f>
        <v>0</v>
      </c>
      <c r="CN42" s="446">
        <f>IF($E42=0,0,IF(MIN(CN$38,$E42)&lt;MAX($P$34*($B42+$I$38-1),IF(AND($L$37=0,$P$34=0),"",$L$37-1)),0,YEARFRAC(MAX($P$34*($B42+$I$38-1),IF(AND($L$37=0,$P$34=0),"",$L$37-1)),MIN(CN$38,$E42),$P$20))-SUM($BF42:CM42))</f>
        <v>0</v>
      </c>
      <c r="CO42" s="446">
        <f>IF($E42=0,0,IF(MIN(CO$38,$E42)&lt;MAX($P$34*($B42+$I$38-1),IF(AND($L$37=0,$P$34=0),"",$L$37-1)),0,YEARFRAC(MAX($P$34*($B42+$I$38-1),IF(AND($L$37=0,$P$34=0),"",$L$37-1)),MIN(CO$38,$E42),$P$20))-SUM($BF42:CN42))</f>
        <v>0</v>
      </c>
      <c r="CP42" s="446">
        <f>IF($E42=0,0,IF(MIN(CP$38,$E42)&lt;MAX($P$34*($B42+$I$38-1),IF(AND($L$37=0,$P$34=0),"",$L$37-1)),0,YEARFRAC(MAX($P$34*($B42+$I$38-1),IF(AND($L$37=0,$P$34=0),"",$L$37-1)),MIN(CP$38,$E42),$P$20))-SUM($BF42:CO42))</f>
        <v>0</v>
      </c>
      <c r="CQ42" s="446">
        <f>IF($E42=0,0,IF(MIN(CQ$38,$E42)&lt;MAX($P$34*($B42+$I$38-1),IF(AND($L$37=0,$P$34=0),"",$L$37-1)),0,YEARFRAC(MAX($P$34*($B42+$I$38-1),IF(AND($L$37=0,$P$34=0),"",$L$37-1)),MIN(CQ$38,$E42),$P$20))-SUM($BF42:CP42))</f>
        <v>0</v>
      </c>
    </row>
    <row r="43" spans="1:116" s="446" customFormat="1" ht="11.25" hidden="1" customHeight="1" x14ac:dyDescent="0.2">
      <c r="A43" s="152"/>
      <c r="B43" s="153" t="str">
        <f t="shared" ref="B43:B105" si="15">IF(B42="","",IF(AND(MONTH(B42)=12,MONTH(B41)=11,$B$38="com 13º"),IF(B42&gt;$D$19,"",B42),IF(DATE(YEAR(B42),MONTH(B42)+1,DAY(B42))&gt;$D$19,"",DATE(YEAR(B42),MONTH(B42)+1,DAY(B42)))))</f>
        <v/>
      </c>
      <c r="C43" s="29" t="str">
        <f>IF(B43="","",IF($L$35="SELIC - TRIBUTOS",VLOOKUP(DATE(YEAR($D$19),MONTH($D$19)-1,1),ÍNDICES!$A:$DE,HLOOKUP($BL$25,ÍNDICES!$B$3:$T$4,2)+11)-VLOOKUP(B43,ÍNDICES!$A:$DE,HLOOKUP($BL$25,ÍNDICES!$B$3:$T$4,2)+11)+1%,IF(C$38=$W$26,$J$35,IF(ISERROR(IF(B43&gt;$D$19,1,VLOOKUP(DATE(YEAR(B43),MONTH(B43)+IF($C$35=$S$23,1,0),1),ÍNDICES!$A:$DE,$Z$35+1))),"",IF(B43&gt;$D$19,1,VLOOKUP(DATE(YEAR(B43),MONTH(B43)+IF($C$35=$S$23,1,0),1),ÍNDICES!$A:$DE,$Z$35+1))))))</f>
        <v/>
      </c>
      <c r="D43" s="154" t="str">
        <f>IF(ISERROR(IF(OR($D$38=$Y$27,$B43=""),"",VLOOKUP(B43,ÍNDICES!A:DE,AF$35+1))),"",IF(OR($D$38=$Y$27,$B43=""),"",VLOOKUP(B43,ÍNDICES!A:DE,AF$35+1)))</f>
        <v/>
      </c>
      <c r="E43" s="153"/>
      <c r="F43" s="29" t="str">
        <f>IF(E43="","",IF($L$35="SELIC - TRIBUTOS",VLOOKUP(DATE(YEAR($D$19),MONTH($D$19)-1,1),ÍNDICES!$A:$DE,HLOOKUP($BL$25,ÍNDICES!$B$3:$T$4,2)+11)-VLOOKUP(IF(E43&gt;B43,E43,B43),ÍNDICES!$A:$DE,HLOOKUP($BL$25,ÍNDICES!$B$3:$T$4,2)+11)+1%,IF(F$38=$W$26,$J$35,IF(ISERROR(IF(E43&gt;$D$19,1,VLOOKUP(DATE(YEAR(E43),MONTH(E43)+IF($C$35=$S$23,1,0),1),ÍNDICES!$A:$DE,$Z$35+1))),"",IF(E43&gt;$D$19,1,VLOOKUP(DATE(YEAR(E43),MONTH(E43)+IF($C$35=$S$23,1,0),1),ÍNDICES!$A:$DE,$Z$35+1))))))</f>
        <v/>
      </c>
      <c r="G43" s="155"/>
      <c r="H43" s="156" t="str">
        <f t="shared" si="11"/>
        <v/>
      </c>
      <c r="I43" s="29" t="str">
        <f t="shared" si="5"/>
        <v/>
      </c>
      <c r="J43" s="5">
        <f t="shared" si="6"/>
        <v>0</v>
      </c>
      <c r="K43" s="20">
        <f t="shared" ca="1" si="7"/>
        <v>0</v>
      </c>
      <c r="L43" s="5">
        <f t="shared" ca="1" si="8"/>
        <v>0</v>
      </c>
      <c r="M43" s="64">
        <f t="shared" si="12"/>
        <v>0</v>
      </c>
      <c r="N43" s="61">
        <f t="shared" ca="1" si="13"/>
        <v>0</v>
      </c>
      <c r="O43" s="5">
        <f t="shared" ca="1" si="14"/>
        <v>0</v>
      </c>
      <c r="P43" s="446" t="e">
        <f t="shared" si="9"/>
        <v>#VALUE!</v>
      </c>
      <c r="Q43" s="446" t="e">
        <f>IF(OR($B43="",MIN(Q$38,$D$19)&lt;MAX($P$34*($B43+IF($R$17="Distrato",$I$38-1,0)),IF(AND($L$37=0,$P$34=0),"",$L$37-1),IF($R$17="Distrato",$E43,0))),0,YEARFRAC(MAX($P$34*($B43+IF($R$17="Distrato",$I$38-1,0)),IF(AND($L$37=0,$P$34=0),"",$L$37-1),IF($R$17="Distrato",$E43,0)),MIN(Q$38,$D$19),$P$20))-SUM($P43:P43)</f>
        <v>#VALUE!</v>
      </c>
      <c r="R43" s="446" t="e">
        <f>IF(OR($B43="",MIN(R$38,$D$19)&lt;MAX($P$34*($B43+IF($R$17="Distrato",$I$38-1,0)),IF(AND($L$37=0,$P$34=0),"",$L$37-1),IF($R$17="Distrato",$E43,0))),0,YEARFRAC(MAX($P$34*($B43+IF($R$17="Distrato",$I$38-1,0)),IF(AND($L$37=0,$P$34=0),"",$L$37-1),IF($R$17="Distrato",$E43,0)),MIN(R$38,$D$19),$P$20))-SUM($P43:Q43)</f>
        <v>#VALUE!</v>
      </c>
      <c r="S43" s="446" t="e">
        <f>IF(OR($B43="",MIN(S$38,$D$19)&lt;MAX($P$34*($B43+IF($R$17="Distrato",$I$38-1,0)),IF(AND($L$37=0,$P$34=0),"",$L$37-1),IF($R$17="Distrato",$E43,0))),0,YEARFRAC(MAX($P$34*($B43+IF($R$17="Distrato",$I$38-1,0)),IF(AND($L$37=0,$P$34=0),"",$L$37-1),IF($R$17="Distrato",$E43,0)),MIN(S$38,$D$19),$P$20))-SUM($P43:R43)</f>
        <v>#VALUE!</v>
      </c>
      <c r="T43" s="446" t="e">
        <f>IF(OR($B43="",MIN(T$38,$D$19)&lt;MAX($P$34*($B43+IF($R$17="Distrato",$I$38-1,0)),IF(AND($L$37=0,$P$34=0),"",$L$37-1),IF($R$17="Distrato",$E43,0))),0,YEARFRAC(MAX($P$34*($B43+IF($R$17="Distrato",$I$38-1,0)),IF(AND($L$37=0,$P$34=0),"",$L$37-1),IF($R$17="Distrato",$E43,0)),MIN(T$38,$D$19),$P$20))-SUM($P43:S43)</f>
        <v>#VALUE!</v>
      </c>
      <c r="U43" s="446" t="e">
        <f>IF(OR($B43="",MIN(U$38,$D$19)&lt;MAX($P$34*($B43+IF($R$17="Distrato",$I$38-1,0)),IF(AND($L$37=0,$P$34=0),"",$L$37-1),IF($R$17="Distrato",$E43,0))),0,YEARFRAC(MAX($P$34*($B43+IF($R$17="Distrato",$I$38-1,0)),IF(AND($L$37=0,$P$34=0),"",$L$37-1),IF($R$17="Distrato",$E43,0)),MIN(U$38,$D$19),$P$20))-SUM($P43:T43)</f>
        <v>#VALUE!</v>
      </c>
      <c r="V43" s="446" t="e">
        <f>IF(OR($B43="",MIN(V$38,$D$19)&lt;MAX($P$34*($B43+IF($R$17="Distrato",$I$38-1,0)),IF(AND($L$37=0,$P$34=0),"",$L$37-1),IF($R$17="Distrato",$E43,0))),0,YEARFRAC(MAX($P$34*($B43+IF($R$17="Distrato",$I$38-1,0)),IF(AND($L$37=0,$P$34=0),"",$L$37-1),IF($R$17="Distrato",$E43,0)),MIN(V$38,$D$19),$P$20))-SUM($P43:U43)</f>
        <v>#VALUE!</v>
      </c>
      <c r="W43" s="446" t="e">
        <f>IF(OR($B43="",MIN(W$38,$D$19)&lt;MAX($P$34*($B43+IF($R$17="Distrato",$I$38-1,0)),IF(AND($L$37=0,$P$34=0),"",$L$37-1),IF($R$17="Distrato",$E43,0))),0,YEARFRAC(MAX($P$34*($B43+IF($R$17="Distrato",$I$38-1,0)),IF(AND($L$37=0,$P$34=0),"",$L$37-1),IF($R$17="Distrato",$E43,0)),MIN(W$38,$D$19),$P$20))-SUM($P43:V43)</f>
        <v>#VALUE!</v>
      </c>
      <c r="X43" s="446" t="e">
        <f>IF(OR($B43="",MIN(X$38,$D$19)&lt;MAX($P$34*($B43+IF($R$17="Distrato",$I$38-1,0)),IF(AND($L$37=0,$P$34=0),"",$L$37-1),IF($R$17="Distrato",$E43,0))),0,YEARFRAC(MAX($P$34*($B43+IF($R$17="Distrato",$I$38-1,0)),IF(AND($L$37=0,$P$34=0),"",$L$37-1),IF($R$17="Distrato",$E43,0)),MIN(X$38,$D$19),$P$20))-SUM($P43:W43)</f>
        <v>#VALUE!</v>
      </c>
      <c r="Y43" s="446" t="e">
        <f>IF(OR($B43="",MIN(Y$38,$D$19)&lt;MAX($P$34*($B43+IF($R$17="Distrato",$I$38-1,0)),IF(AND($L$37=0,$P$34=0),"",$L$37-1),IF($R$17="Distrato",$E43,0))),0,YEARFRAC(MAX($P$34*($B43+IF($R$17="Distrato",$I$38-1,0)),IF(AND($L$37=0,$P$34=0),"",$L$37-1),IF($R$17="Distrato",$E43,0)),MIN(Y$38,$D$19),$P$20))-SUM($P43:X43)</f>
        <v>#VALUE!</v>
      </c>
      <c r="Z43" s="446" t="e">
        <f>IF(OR($B43="",MIN(Z$38,$D$19)&lt;MAX($P$34*($B43+IF($R$17="Distrato",$I$38-1,0)),IF(AND($L$37=0,$P$34=0),"",$L$37-1),IF($R$17="Distrato",$E43,0))),0,YEARFRAC(MAX($P$34*($B43+IF($R$17="Distrato",$I$38-1,0)),IF(AND($L$37=0,$P$34=0),"",$L$37-1),IF($R$17="Distrato",$E43,0)),MIN(Z$38,$D$19),$P$20))-SUM($P43:Y43)</f>
        <v>#VALUE!</v>
      </c>
      <c r="AA43" s="446" t="e">
        <f>IF(OR($B43="",MIN(AA$38,$D$19)&lt;MAX($P$34*($B43+IF($R$17="Distrato",$I$38-1,0)),IF(AND($L$37=0,$P$34=0),"",$L$37-1),IF($R$17="Distrato",$E43,0))),0,YEARFRAC(MAX($P$34*($B43+IF($R$17="Distrato",$I$38-1,0)),IF(AND($L$37=0,$P$34=0),"",$L$37-1),IF($R$17="Distrato",$E43,0)),MIN(AA$38,$D$19),$P$20))-SUM($P43:Z43)</f>
        <v>#VALUE!</v>
      </c>
      <c r="AB43" s="446" t="e">
        <f>IF(OR($B43="",MIN(AB$38,$D$19)&lt;MAX($P$34*($B43+IF($R$17="Distrato",$I$38-1,0)),IF(AND($L$37=0,$P$34=0),"",$L$37-1),IF($R$17="Distrato",$E43,0))),0,YEARFRAC(MAX($P$34*($B43+IF($R$17="Distrato",$I$38-1,0)),IF(AND($L$37=0,$P$34=0),"",$L$37-1),IF($R$17="Distrato",$E43,0)),MIN(AB$38,$D$19),$P$20))-SUM($P43:AA43)</f>
        <v>#VALUE!</v>
      </c>
      <c r="AC43" s="446" t="e">
        <f>IF(OR($B43="",MIN(AC$38,$D$19)&lt;MAX($P$34*($B43+IF($R$17="Distrato",$I$38-1,0)),IF(AND($L$37=0,$P$34=0),"",$L$37-1),IF($R$17="Distrato",$E43,0))),0,YEARFRAC(MAX($P$34*($B43+IF($R$17="Distrato",$I$38-1,0)),IF(AND($L$37=0,$P$34=0),"",$L$37-1),IF($R$17="Distrato",$E43,0)),MIN(AC$38,$D$19),$P$20))-SUM($P43:AB43)</f>
        <v>#VALUE!</v>
      </c>
      <c r="AD43" s="446" t="e">
        <f>IF(OR($B43="",MIN(AD$38,$D$19)&lt;MAX($P$34*($B43+IF($R$17="Distrato",$I$38-1,0)),IF(AND($L$37=0,$P$34=0),"",$L$37-1),IF($R$17="Distrato",$E43,0))),0,YEARFRAC(MAX($P$34*($B43+IF($R$17="Distrato",$I$38-1,0)),IF(AND($L$37=0,$P$34=0),"",$L$37-1),IF($R$17="Distrato",$E43,0)),MIN(AD$38,$D$19),$P$20))-SUM($P43:AC43)</f>
        <v>#VALUE!</v>
      </c>
      <c r="AE43" s="446" t="e">
        <f>IF(OR($B43="",MIN(AE$38,$D$19)&lt;MAX($P$34*($B43+IF($R$17="Distrato",$I$38-1,0)),IF(AND($L$37=0,$P$34=0),"",$L$37-1),IF($R$17="Distrato",$E43,0))),0,YEARFRAC(MAX($P$34*($B43+IF($R$17="Distrato",$I$38-1,0)),IF(AND($L$37=0,$P$34=0),"",$L$37-1),IF($R$17="Distrato",$E43,0)),MIN(AE$38,$D$19),$P$20))-SUM($P43:AD43)</f>
        <v>#VALUE!</v>
      </c>
      <c r="AF43" s="446" t="e">
        <f>IF(OR($B43="",MIN(AF$38,$D$19)&lt;MAX($P$34*($B43+IF($R$17="Distrato",$I$38-1,0)),IF(AND($L$37=0,$P$34=0),"",$L$37-1),IF($R$17="Distrato",$E43,0))),0,YEARFRAC(MAX($P$34*($B43+IF($R$17="Distrato",$I$38-1,0)),IF(AND($L$37=0,$P$34=0),"",$L$37-1),IF($R$17="Distrato",$E43,0)),MIN(AF$38,$D$19),$P$20))-SUM($P43:AE43)</f>
        <v>#VALUE!</v>
      </c>
      <c r="AG43" s="446" t="e">
        <f>IF(OR($B43="",MIN(AG$38,$D$19)&lt;MAX($P$34*($B43+IF($R$17="Distrato",$I$38-1,0)),IF(AND($L$37=0,$P$34=0),"",$L$37-1),IF($R$17="Distrato",$E43,0))),0,YEARFRAC(MAX($P$34*($B43+IF($R$17="Distrato",$I$38-1,0)),IF(AND($L$37=0,$P$34=0),"",$L$37-1),IF($R$17="Distrato",$E43,0)),MIN(AG$38,$D$19),$P$20))-SUM($P43:AF43)</f>
        <v>#VALUE!</v>
      </c>
      <c r="AH43" s="446" t="e">
        <f>IF(OR($B43="",MIN(AH$38,$D$19)&lt;MAX($P$34*($B43+IF($R$17="Distrato",$I$38-1,0)),IF(AND($L$37=0,$P$34=0),"",$L$37-1),IF($R$17="Distrato",$E43,0))),0,YEARFRAC(MAX($P$34*($B43+IF($R$17="Distrato",$I$38-1,0)),IF(AND($L$37=0,$P$34=0),"",$L$37-1),IF($R$17="Distrato",$E43,0)),MIN(AH$38,$D$19),$P$20))-SUM($P43:AG43)</f>
        <v>#VALUE!</v>
      </c>
      <c r="AI43" s="446" t="e">
        <f>IF(OR($B43="",MIN(AI$38,$D$19)&lt;MAX($P$34*($B43+IF($R$17="Distrato",$I$38-1,0)),IF(AND($L$37=0,$P$34=0),"",$L$37-1),IF($R$17="Distrato",$E43,0))),0,YEARFRAC(MAX($P$34*($B43+IF($R$17="Distrato",$I$38-1,0)),IF(AND($L$37=0,$P$34=0),"",$L$37-1),IF($R$17="Distrato",$E43,0)),MIN(AI$38,$D$19),$P$20))-SUM($P43:AH43)</f>
        <v>#VALUE!</v>
      </c>
      <c r="AJ43" s="446" t="e">
        <f>IF(OR($B43="",MIN(AJ$38,$D$19)&lt;MAX($P$34*($B43+IF($R$17="Distrato",$I$38-1,0)),IF(AND($L$37=0,$P$34=0),"",$L$37-1),IF($R$17="Distrato",$E43,0))),0,YEARFRAC(MAX($P$34*($B43+IF($R$17="Distrato",$I$38-1,0)),IF(AND($L$37=0,$P$34=0),"",$L$37-1),IF($R$17="Distrato",$E43,0)),MIN(AJ$38,$D$19),$P$20))-SUM($P43:AI43)</f>
        <v>#VALUE!</v>
      </c>
      <c r="AK43" s="446" t="e">
        <f>IF(OR($B43="",MIN(AK$38,$D$19)&lt;MAX($P$34*($B43+IF($R$17="Distrato",$I$38-1,0)),IF(AND($L$37=0,$P$34=0),"",$L$37-1),IF($R$17="Distrato",$E43,0))),0,YEARFRAC(MAX($P$34*($B43+IF($R$17="Distrato",$I$38-1,0)),IF(AND($L$37=0,$P$34=0),"",$L$37-1),IF($R$17="Distrato",$E43,0)),MIN(AK$38,$D$19),$P$20))-SUM($P43:AJ43)</f>
        <v>#VALUE!</v>
      </c>
      <c r="AL43" s="446" t="e">
        <f>IF(OR($B43="",MIN(AL$38,$D$19)&lt;MAX($P$34*($B43+IF($R$17="Distrato",$I$38-1,0)),IF(AND($L$37=0,$P$34=0),"",$L$37-1),IF($R$17="Distrato",$E43,0))),0,YEARFRAC(MAX($P$34*($B43+IF($R$17="Distrato",$I$38-1,0)),IF(AND($L$37=0,$P$34=0),"",$L$37-1),IF($R$17="Distrato",$E43,0)),MIN(AL$38,$D$19),$P$20))-SUM($P43:AK43)</f>
        <v>#VALUE!</v>
      </c>
      <c r="AM43" s="446" t="e">
        <f>IF(OR($B43="",MIN(AM$38,$D$19)&lt;MAX($P$34*($B43+IF($R$17="Distrato",$I$38-1,0)),IF(AND($L$37=0,$P$34=0),"",$L$37-1),IF($R$17="Distrato",$E43,0))),0,YEARFRAC(MAX($P$34*($B43+IF($R$17="Distrato",$I$38-1,0)),IF(AND($L$37=0,$P$34=0),"",$L$37-1),IF($R$17="Distrato",$E43,0)),MIN(AM$38,$D$19),$P$20))-SUM($P43:AL43)</f>
        <v>#VALUE!</v>
      </c>
      <c r="AN43" s="446" t="e">
        <f>IF(OR($B43="",MIN(AN$38,$D$19)&lt;MAX($P$34*($B43+IF($R$17="Distrato",$I$38-1,0)),IF(AND($L$37=0,$P$34=0),"",$L$37-1),IF($R$17="Distrato",$E43,0))),0,YEARFRAC(MAX($P$34*($B43+IF($R$17="Distrato",$I$38-1,0)),IF(AND($L$37=0,$P$34=0),"",$L$37-1),IF($R$17="Distrato",$E43,0)),MIN(AN$38,$D$19),$P$20))-SUM($P43:AM43)</f>
        <v>#VALUE!</v>
      </c>
      <c r="AO43" s="446" t="e">
        <f>IF(OR($B43="",MIN(AO$38,$D$19)&lt;MAX($P$34*($B43+IF($R$17="Distrato",$I$38-1,0)),IF(AND($L$37=0,$P$34=0),"",$L$37-1),IF($R$17="Distrato",$E43,0))),0,YEARFRAC(MAX($P$34*($B43+IF($R$17="Distrato",$I$38-1,0)),IF(AND($L$37=0,$P$34=0),"",$L$37-1),IF($R$17="Distrato",$E43,0)),MIN(AO$38,$D$19),$P$20))-SUM($P43:AN43)</f>
        <v>#VALUE!</v>
      </c>
      <c r="AP43" s="446" t="e">
        <f>IF(OR($B43="",MIN(AP$38,$D$19)&lt;MAX($P$34*($B43+IF($R$17="Distrato",$I$38-1,0)),IF(AND($L$37=0,$P$34=0),"",$L$37-1),IF($R$17="Distrato",$E43,0))),0,YEARFRAC(MAX($P$34*($B43+IF($R$17="Distrato",$I$38-1,0)),IF(AND($L$37=0,$P$34=0),"",$L$37-1),IF($R$17="Distrato",$E43,0)),MIN(AP$38,$D$19),$P$20))-SUM($P43:AO43)</f>
        <v>#VALUE!</v>
      </c>
      <c r="AQ43" s="446" t="e">
        <f>IF(OR($B43="",MIN(AQ$38,$D$19)&lt;MAX($P$34*($B43+IF($R$17="Distrato",$I$38-1,0)),IF(AND($L$37=0,$P$34=0),"",$L$37-1),IF($R$17="Distrato",$E43,0))),0,YEARFRAC(MAX($P$34*($B43+IF($R$17="Distrato",$I$38-1,0)),IF(AND($L$37=0,$P$34=0),"",$L$37-1),IF($R$17="Distrato",$E43,0)),MIN(AQ$38,$D$19),$P$20))-SUM($P43:AP43)</f>
        <v>#VALUE!</v>
      </c>
      <c r="AR43" s="446" t="e">
        <f>IF(OR($B43="",MIN(AR$38,$D$19)&lt;MAX($P$34*($B43+IF($R$17="Distrato",$I$38-1,0)),IF(AND($L$37=0,$P$34=0),"",$L$37-1),IF($R$17="Distrato",$E43,0))),0,YEARFRAC(MAX($P$34*($B43+IF($R$17="Distrato",$I$38-1,0)),IF(AND($L$37=0,$P$34=0),"",$L$37-1),IF($R$17="Distrato",$E43,0)),MIN(AR$38,$D$19),$P$20))-SUM($P43:AQ43)</f>
        <v>#VALUE!</v>
      </c>
      <c r="AS43" s="446" t="e">
        <f>IF(OR($B43="",MIN(AS$38,$D$19)&lt;MAX($P$34*($B43+IF($R$17="Distrato",$I$38-1,0)),IF(AND($L$37=0,$P$34=0),"",$L$37-1),IF($R$17="Distrato",$E43,0))),0,YEARFRAC(MAX($P$34*($B43+IF($R$17="Distrato",$I$38-1,0)),IF(AND($L$37=0,$P$34=0),"",$L$37-1),IF($R$17="Distrato",$E43,0)),MIN(AS$38,$D$19),$P$20))-SUM($P43:AR43)</f>
        <v>#VALUE!</v>
      </c>
      <c r="AT43" s="446" t="e">
        <f>IF(OR($B43="",MIN(AT$38,$D$19)&lt;MAX($P$34*($B43+IF($R$17="Distrato",$I$38-1,0)),IF(AND($L$37=0,$P$34=0),"",$L$37-1),IF($R$17="Distrato",$E43,0))),0,YEARFRAC(MAX($P$34*($B43+IF($R$17="Distrato",$I$38-1,0)),IF(AND($L$37=0,$P$34=0),"",$L$37-1),IF($R$17="Distrato",$E43,0)),MIN(AT$38,$D$19),$P$20))-SUM($P43:AS43)</f>
        <v>#VALUE!</v>
      </c>
      <c r="AU43" s="446" t="e">
        <f>IF(OR($B43="",MIN(AU$38,$D$19)&lt;MAX($P$34*($B43+IF($R$17="Distrato",$I$38-1,0)),IF(AND($L$37=0,$P$34=0),"",$L$37-1),IF($R$17="Distrato",$E43,0))),0,YEARFRAC(MAX($P$34*($B43+IF($R$17="Distrato",$I$38-1,0)),IF(AND($L$37=0,$P$34=0),"",$L$37-1),IF($R$17="Distrato",$E43,0)),MIN(AU$38,$D$19),$P$20))-SUM($P43:AT43)</f>
        <v>#VALUE!</v>
      </c>
      <c r="AV43" s="446" t="e">
        <f>IF(OR($B43="",MIN(AV$38,$D$19)&lt;MAX($P$34*($B43+IF($R$17="Distrato",$I$38-1,0)),IF(AND($L$37=0,$P$34=0),"",$L$37-1),IF($R$17="Distrato",$E43,0))),0,YEARFRAC(MAX($P$34*($B43+IF($R$17="Distrato",$I$38-1,0)),IF(AND($L$37=0,$P$34=0),"",$L$37-1),IF($R$17="Distrato",$E43,0)),MIN(AV$38,$D$19),$P$20))-SUM($P43:AU43)</f>
        <v>#VALUE!</v>
      </c>
      <c r="AW43" s="446" t="e">
        <f>IF(OR($B43="",MIN(AW$38,$D$19)&lt;MAX($P$34*($B43+IF($R$17="Distrato",$I$38-1,0)),IF(AND($L$37=0,$P$34=0),"",$L$37-1),IF($R$17="Distrato",$E43,0))),0,YEARFRAC(MAX($P$34*($B43+IF($R$17="Distrato",$I$38-1,0)),IF(AND($L$37=0,$P$34=0),"",$L$37-1),IF($R$17="Distrato",$E43,0)),MIN(AW$38,$D$19),$P$20))-SUM($P43:AV43)</f>
        <v>#VALUE!</v>
      </c>
      <c r="AX43" s="446" t="e">
        <f>IF(OR($B43="",MIN(AX$38,$D$19)&lt;MAX($P$34*($B43+IF($R$17="Distrato",$I$38-1,0)),IF(AND($L$37=0,$P$34=0),"",$L$37-1),IF($R$17="Distrato",$E43,0))),0,YEARFRAC(MAX($P$34*($B43+IF($R$17="Distrato",$I$38-1,0)),IF(AND($L$37=0,$P$34=0),"",$L$37-1),IF($R$17="Distrato",$E43,0)),MIN(AX$38,$D$19),$P$20))-SUM($P43:AW43)</f>
        <v>#VALUE!</v>
      </c>
      <c r="AY43" s="446" t="e">
        <f>IF(OR($B43="",MIN(AY$38,$D$19)&lt;MAX($P$34*($B43+IF($R$17="Distrato",$I$38-1,0)),IF(AND($L$37=0,$P$34=0),"",$L$37-1),IF($R$17="Distrato",$E43,0))),0,YEARFRAC(MAX($P$34*($B43+IF($R$17="Distrato",$I$38-1,0)),IF(AND($L$37=0,$P$34=0),"",$L$37-1),IF($R$17="Distrato",$E43,0)),MIN(AY$38,$D$19),$P$20))-SUM($P43:AX43)</f>
        <v>#VALUE!</v>
      </c>
      <c r="AZ43" s="446" t="e">
        <f>IF(OR($B43="",MIN(AZ$38,$D$19)&lt;MAX($P$34*($B43+IF($R$17="Distrato",$I$38-1,0)),IF(AND($L$37=0,$P$34=0),"",$L$37-1),IF($R$17="Distrato",$E43,0))),0,YEARFRAC(MAX($P$34*($B43+IF($R$17="Distrato",$I$38-1,0)),IF(AND($L$37=0,$P$34=0),"",$L$37-1),IF($R$17="Distrato",$E43,0)),MIN(AZ$38,$D$19),$P$20))-SUM($P43:AY43)</f>
        <v>#VALUE!</v>
      </c>
      <c r="BA43" s="446" t="e">
        <f>IF(OR($B43="",MIN(BA$38,$D$19)&lt;MAX($P$34*($B43+IF($R$17="Distrato",$I$38-1,0)),IF(AND($L$37=0,$P$34=0),"",$L$37-1),IF($R$17="Distrato",$E43,0))),0,YEARFRAC(MAX($P$34*($B43+IF($R$17="Distrato",$I$38-1,0)),IF(AND($L$37=0,$P$34=0),"",$L$37-1),IF($R$17="Distrato",$E43,0)),MIN(BA$38,$D$19),$P$20))-SUM($P43:AZ43)</f>
        <v>#VALUE!</v>
      </c>
      <c r="BB43" s="447"/>
      <c r="BF43" s="446">
        <f t="shared" si="10"/>
        <v>0</v>
      </c>
      <c r="BG43" s="446">
        <f>IF($E43=0,0,IF(MIN(BG$38,$E43)&lt;MAX($P$34*($B43+$I$38-1),IF(AND($L$37=0,$P$34=0),"",$L$37-1)),0,YEARFRAC(MAX($P$34*($B43+$I$38-1),IF(AND($L$37=0,$P$34=0),"",$L$37-1)),MIN(BG$38,$E43),$P$20))-SUM($BF43:BF43))</f>
        <v>0</v>
      </c>
      <c r="BH43" s="446">
        <f>IF($E43=0,0,IF(MIN(BH$38,$E43)&lt;MAX($P$34*($B43+$I$38-1),IF(AND($L$37=0,$P$34=0),"",$L$37-1)),0,YEARFRAC(MAX($P$34*($B43+$I$38-1),IF(AND($L$37=0,$P$34=0),"",$L$37-1)),MIN(BH$38,$E43),$P$20))-SUM($BF43:BG43))</f>
        <v>0</v>
      </c>
      <c r="BI43" s="446">
        <f>IF($E43=0,0,IF(MIN(BI$38,$E43)&lt;MAX($P$34*($B43+$I$38-1),IF(AND($L$37=0,$P$34=0),"",$L$37-1)),0,YEARFRAC(MAX($P$34*($B43+$I$38-1),IF(AND($L$37=0,$P$34=0),"",$L$37-1)),MIN(BI$38,$E43),$P$20))-SUM($BF43:BH43))</f>
        <v>0</v>
      </c>
      <c r="BJ43" s="446">
        <f>IF($E43=0,0,IF(MIN(BJ$38,$E43)&lt;MAX($P$34*($B43+$I$38-1),IF(AND($L$37=0,$P$34=0),"",$L$37-1)),0,YEARFRAC(MAX($P$34*($B43+$I$38-1),IF(AND($L$37=0,$P$34=0),"",$L$37-1)),MIN(BJ$38,$E43),$P$20))-SUM($BF43:BI43))</f>
        <v>0</v>
      </c>
      <c r="BK43" s="446">
        <f>IF($E43=0,0,IF(MIN(BK$38,$E43)&lt;MAX($P$34*($B43+$I$38-1),IF(AND($L$37=0,$P$34=0),"",$L$37-1)),0,YEARFRAC(MAX($P$34*($B43+$I$38-1),IF(AND($L$37=0,$P$34=0),"",$L$37-1)),MIN(BK$38,$E43),$P$20))-SUM($BF43:BJ43))</f>
        <v>0</v>
      </c>
      <c r="BL43" s="446">
        <f>IF($E43=0,0,IF(MIN(BL$38,$E43)&lt;MAX($P$34*($B43+$I$38-1),IF(AND($L$37=0,$P$34=0),"",$L$37-1)),0,YEARFRAC(MAX($P$34*($B43+$I$38-1),IF(AND($L$37=0,$P$34=0),"",$L$37-1)),MIN(BL$38,$E43),$P$20))-SUM($BF43:BK43))</f>
        <v>0</v>
      </c>
      <c r="BM43" s="446">
        <f>IF($E43=0,0,IF(MIN(BM$38,$E43)&lt;MAX($P$34*($B43+$I$38-1),IF(AND($L$37=0,$P$34=0),"",$L$37-1)),0,YEARFRAC(MAX($P$34*($B43+$I$38-1),IF(AND($L$37=0,$P$34=0),"",$L$37-1)),MIN(BM$38,$E43),$P$20))-SUM($BF43:BL43))</f>
        <v>0</v>
      </c>
      <c r="BN43" s="446">
        <f>IF($E43=0,0,IF(MIN(BN$38,$E43)&lt;MAX($P$34*($B43+$I$38-1),IF(AND($L$37=0,$P$34=0),"",$L$37-1)),0,YEARFRAC(MAX($P$34*($B43+$I$38-1),IF(AND($L$37=0,$P$34=0),"",$L$37-1)),MIN(BN$38,$E43),$P$20))-SUM($BF43:BM43))</f>
        <v>0</v>
      </c>
      <c r="BO43" s="446">
        <f>IF($E43=0,0,IF(MIN(BO$38,$E43)&lt;MAX($P$34*($B43+$I$38-1),IF(AND($L$37=0,$P$34=0),"",$L$37-1)),0,YEARFRAC(MAX($P$34*($B43+$I$38-1),IF(AND($L$37=0,$P$34=0),"",$L$37-1)),MIN(BO$38,$E43),$P$20))-SUM($BF43:BN43))</f>
        <v>0</v>
      </c>
      <c r="BP43" s="446">
        <f>IF($E43=0,0,IF(MIN(BP$38,$E43)&lt;MAX($P$34*($B43+$I$38-1),IF(AND($L$37=0,$P$34=0),"",$L$37-1)),0,YEARFRAC(MAX($P$34*($B43+$I$38-1),IF(AND($L$37=0,$P$34=0),"",$L$37-1)),MIN(BP$38,$E43),$P$20))-SUM($BF43:BO43))</f>
        <v>0</v>
      </c>
      <c r="BQ43" s="446">
        <f>IF($E43=0,0,IF(MIN(BQ$38,$E43)&lt;MAX($P$34*($B43+$I$38-1),IF(AND($L$37=0,$P$34=0),"",$L$37-1)),0,YEARFRAC(MAX($P$34*($B43+$I$38-1),IF(AND($L$37=0,$P$34=0),"",$L$37-1)),MIN(BQ$38,$E43),$P$20))-SUM($BF43:BP43))</f>
        <v>0</v>
      </c>
      <c r="BR43" s="446">
        <f>IF($E43=0,0,IF(MIN(BR$38,$E43)&lt;MAX($P$34*($B43+$I$38-1),IF(AND($L$37=0,$P$34=0),"",$L$37-1)),0,YEARFRAC(MAX($P$34*($B43+$I$38-1),IF(AND($L$37=0,$P$34=0),"",$L$37-1)),MIN(BR$38,$E43),$P$20))-SUM($BF43:BQ43))</f>
        <v>0</v>
      </c>
      <c r="BS43" s="446">
        <f>IF($E43=0,0,IF(MIN(BS$38,$E43)&lt;MAX($P$34*($B43+$I$38-1),IF(AND($L$37=0,$P$34=0),"",$L$37-1)),0,YEARFRAC(MAX($P$34*($B43+$I$38-1),IF(AND($L$37=0,$P$34=0),"",$L$37-1)),MIN(BS$38,$E43),$P$20))-SUM($BF43:BR43))</f>
        <v>0</v>
      </c>
      <c r="BT43" s="446">
        <f>IF($E43=0,0,IF(MIN(BT$38,$E43)&lt;MAX($P$34*($B43+$I$38-1),IF(AND($L$37=0,$P$34=0),"",$L$37-1)),0,YEARFRAC(MAX($P$34*($B43+$I$38-1),IF(AND($L$37=0,$P$34=0),"",$L$37-1)),MIN(BT$38,$E43),$P$20))-SUM($BF43:BS43))</f>
        <v>0</v>
      </c>
      <c r="BU43" s="446">
        <f>IF($E43=0,0,IF(MIN(BU$38,$E43)&lt;MAX($P$34*($B43+$I$38-1),IF(AND($L$37=0,$P$34=0),"",$L$37-1)),0,YEARFRAC(MAX($P$34*($B43+$I$38-1),IF(AND($L$37=0,$P$34=0),"",$L$37-1)),MIN(BU$38,$E43),$P$20))-SUM($BF43:BT43))</f>
        <v>0</v>
      </c>
      <c r="BV43" s="446">
        <f>IF($E43=0,0,IF(MIN(BV$38,$E43)&lt;MAX($P$34*($B43+$I$38-1),IF(AND($L$37=0,$P$34=0),"",$L$37-1)),0,YEARFRAC(MAX($P$34*($B43+$I$38-1),IF(AND($L$37=0,$P$34=0),"",$L$37-1)),MIN(BV$38,$E43),$P$20))-SUM($BF43:BU43))</f>
        <v>0</v>
      </c>
      <c r="BW43" s="446">
        <f>IF($E43=0,0,IF(MIN(BW$38,$E43)&lt;MAX($P$34*($B43+$I$38-1),IF(AND($L$37=0,$P$34=0),"",$L$37-1)),0,YEARFRAC(MAX($P$34*($B43+$I$38-1),IF(AND($L$37=0,$P$34=0),"",$L$37-1)),MIN(BW$38,$E43),$P$20))-SUM($BF43:BV43))</f>
        <v>0</v>
      </c>
      <c r="BX43" s="446">
        <f>IF($E43=0,0,IF(MIN(BX$38,$E43)&lt;MAX($P$34*($B43+$I$38-1),IF(AND($L$37=0,$P$34=0),"",$L$37-1)),0,YEARFRAC(MAX($P$34*($B43+$I$38-1),IF(AND($L$37=0,$P$34=0),"",$L$37-1)),MIN(BX$38,$E43),$P$20))-SUM($BF43:BW43))</f>
        <v>0</v>
      </c>
      <c r="BY43" s="446">
        <f>IF($E43=0,0,IF(MIN(BY$38,$E43)&lt;MAX($P$34*($B43+$I$38-1),IF(AND($L$37=0,$P$34=0),"",$L$37-1)),0,YEARFRAC(MAX($P$34*($B43+$I$38-1),IF(AND($L$37=0,$P$34=0),"",$L$37-1)),MIN(BY$38,$E43),$P$20))-SUM($BF43:BX43))</f>
        <v>0</v>
      </c>
      <c r="BZ43" s="446">
        <f>IF($E43=0,0,IF(MIN(BZ$38,$E43)&lt;MAX($P$34*($B43+$I$38-1),IF(AND($L$37=0,$P$34=0),"",$L$37-1)),0,YEARFRAC(MAX($P$34*($B43+$I$38-1),IF(AND($L$37=0,$P$34=0),"",$L$37-1)),MIN(BZ$38,$E43),$P$20))-SUM($BF43:BY43))</f>
        <v>0</v>
      </c>
      <c r="CA43" s="446">
        <f>IF($E43=0,0,IF(MIN(CA$38,$E43)&lt;MAX($P$34*($B43+$I$38-1),IF(AND($L$37=0,$P$34=0),"",$L$37-1)),0,YEARFRAC(MAX($P$34*($B43+$I$38-1),IF(AND($L$37=0,$P$34=0),"",$L$37-1)),MIN(CA$38,$E43),$P$20))-SUM($BF43:BZ43))</f>
        <v>0</v>
      </c>
      <c r="CB43" s="446">
        <f>IF($E43=0,0,IF(MIN(CB$38,$E43)&lt;MAX($P$34*($B43+$I$38-1),IF(AND($L$37=0,$P$34=0),"",$L$37-1)),0,YEARFRAC(MAX($P$34*($B43+$I$38-1),IF(AND($L$37=0,$P$34=0),"",$L$37-1)),MIN(CB$38,$E43),$P$20))-SUM($BF43:CA43))</f>
        <v>0</v>
      </c>
      <c r="CC43" s="446">
        <f>IF($E43=0,0,IF(MIN(CC$38,$E43)&lt;MAX($P$34*($B43+$I$38-1),IF(AND($L$37=0,$P$34=0),"",$L$37-1)),0,YEARFRAC(MAX($P$34*($B43+$I$38-1),IF(AND($L$37=0,$P$34=0),"",$L$37-1)),MIN(CC$38,$E43),$P$20))-SUM($BF43:CB43))</f>
        <v>0</v>
      </c>
      <c r="CD43" s="446">
        <f>IF($E43=0,0,IF(MIN(CD$38,$E43)&lt;MAX($P$34*($B43+$I$38-1),IF(AND($L$37=0,$P$34=0),"",$L$37-1)),0,YEARFRAC(MAX($P$34*($B43+$I$38-1),IF(AND($L$37=0,$P$34=0),"",$L$37-1)),MIN(CD$38,$E43),$P$20))-SUM($BF43:CC43))</f>
        <v>0</v>
      </c>
      <c r="CE43" s="446">
        <f>IF($E43=0,0,IF(MIN(CE$38,$E43)&lt;MAX($P$34*($B43+$I$38-1),IF(AND($L$37=0,$P$34=0),"",$L$37-1)),0,YEARFRAC(MAX($P$34*($B43+$I$38-1),IF(AND($L$37=0,$P$34=0),"",$L$37-1)),MIN(CE$38,$E43),$P$20))-SUM($BF43:CD43))</f>
        <v>0</v>
      </c>
      <c r="CF43" s="446">
        <f>IF($E43=0,0,IF(MIN(CF$38,$E43)&lt;MAX($P$34*($B43+$I$38-1),IF(AND($L$37=0,$P$34=0),"",$L$37-1)),0,YEARFRAC(MAX($P$34*($B43+$I$38-1),IF(AND($L$37=0,$P$34=0),"",$L$37-1)),MIN(CF$38,$E43),$P$20))-SUM($BF43:CE43))</f>
        <v>0</v>
      </c>
      <c r="CG43" s="446">
        <f>IF($E43=0,0,IF(MIN(CG$38,$E43)&lt;MAX($P$34*($B43+$I$38-1),IF(AND($L$37=0,$P$34=0),"",$L$37-1)),0,YEARFRAC(MAX($P$34*($B43+$I$38-1),IF(AND($L$37=0,$P$34=0),"",$L$37-1)),MIN(CG$38,$E43),$P$20))-SUM($BF43:CF43))</f>
        <v>0</v>
      </c>
      <c r="CH43" s="446">
        <f>IF($E43=0,0,IF(MIN(CH$38,$E43)&lt;MAX($P$34*($B43+$I$38-1),IF(AND($L$37=0,$P$34=0),"",$L$37-1)),0,YEARFRAC(MAX($P$34*($B43+$I$38-1),IF(AND($L$37=0,$P$34=0),"",$L$37-1)),MIN(CH$38,$E43),$P$20))-SUM($BF43:CG43))</f>
        <v>0</v>
      </c>
      <c r="CI43" s="446">
        <f>IF($E43=0,0,IF(MIN(CI$38,$E43)&lt;MAX($P$34*($B43+$I$38-1),IF(AND($L$37=0,$P$34=0),"",$L$37-1)),0,YEARFRAC(MAX($P$34*($B43+$I$38-1),IF(AND($L$37=0,$P$34=0),"",$L$37-1)),MIN(CI$38,$E43),$P$20))-SUM($BF43:CH43))</f>
        <v>0</v>
      </c>
      <c r="CJ43" s="446">
        <f>IF($E43=0,0,IF(MIN(CJ$38,$E43)&lt;MAX($P$34*($B43+$I$38-1),IF(AND($L$37=0,$P$34=0),"",$L$37-1)),0,YEARFRAC(MAX($P$34*($B43+$I$38-1),IF(AND($L$37=0,$P$34=0),"",$L$37-1)),MIN(CJ$38,$E43),$P$20))-SUM($BF43:CI43))</f>
        <v>0</v>
      </c>
      <c r="CK43" s="446">
        <f>IF($E43=0,0,IF(MIN(CK$38,$E43)&lt;MAX($P$34*($B43+$I$38-1),IF(AND($L$37=0,$P$34=0),"",$L$37-1)),0,YEARFRAC(MAX($P$34*($B43+$I$38-1),IF(AND($L$37=0,$P$34=0),"",$L$37-1)),MIN(CK$38,$E43),$P$20))-SUM($BF43:CJ43))</f>
        <v>0</v>
      </c>
      <c r="CL43" s="446">
        <f>IF($E43=0,0,IF(MIN(CL$38,$E43)&lt;MAX($P$34*($B43+$I$38-1),IF(AND($L$37=0,$P$34=0),"",$L$37-1)),0,YEARFRAC(MAX($P$34*($B43+$I$38-1),IF(AND($L$37=0,$P$34=0),"",$L$37-1)),MIN(CL$38,$E43),$P$20))-SUM($BF43:CK43))</f>
        <v>0</v>
      </c>
      <c r="CM43" s="446">
        <f>IF($E43=0,0,IF(MIN(CM$38,$E43)&lt;MAX($P$34*($B43+$I$38-1),IF(AND($L$37=0,$P$34=0),"",$L$37-1)),0,YEARFRAC(MAX($P$34*($B43+$I$38-1),IF(AND($L$37=0,$P$34=0),"",$L$37-1)),MIN(CM$38,$E43),$P$20))-SUM($BF43:CL43))</f>
        <v>0</v>
      </c>
      <c r="CN43" s="446">
        <f>IF($E43=0,0,IF(MIN(CN$38,$E43)&lt;MAX($P$34*($B43+$I$38-1),IF(AND($L$37=0,$P$34=0),"",$L$37-1)),0,YEARFRAC(MAX($P$34*($B43+$I$38-1),IF(AND($L$37=0,$P$34=0),"",$L$37-1)),MIN(CN$38,$E43),$P$20))-SUM($BF43:CM43))</f>
        <v>0</v>
      </c>
      <c r="CO43" s="446">
        <f>IF($E43=0,0,IF(MIN(CO$38,$E43)&lt;MAX($P$34*($B43+$I$38-1),IF(AND($L$37=0,$P$34=0),"",$L$37-1)),0,YEARFRAC(MAX($P$34*($B43+$I$38-1),IF(AND($L$37=0,$P$34=0),"",$L$37-1)),MIN(CO$38,$E43),$P$20))-SUM($BF43:CN43))</f>
        <v>0</v>
      </c>
      <c r="CP43" s="446">
        <f>IF($E43=0,0,IF(MIN(CP$38,$E43)&lt;MAX($P$34*($B43+$I$38-1),IF(AND($L$37=0,$P$34=0),"",$L$37-1)),0,YEARFRAC(MAX($P$34*($B43+$I$38-1),IF(AND($L$37=0,$P$34=0),"",$L$37-1)),MIN(CP$38,$E43),$P$20))-SUM($BF43:CO43))</f>
        <v>0</v>
      </c>
      <c r="CQ43" s="446">
        <f>IF($E43=0,0,IF(MIN(CQ$38,$E43)&lt;MAX($P$34*($B43+$I$38-1),IF(AND($L$37=0,$P$34=0),"",$L$37-1)),0,YEARFRAC(MAX($P$34*($B43+$I$38-1),IF(AND($L$37=0,$P$34=0),"",$L$37-1)),MIN(CQ$38,$E43),$P$20))-SUM($BF43:CP43))</f>
        <v>0</v>
      </c>
    </row>
    <row r="44" spans="1:116" s="446" customFormat="1" ht="11.25" hidden="1" customHeight="1" x14ac:dyDescent="0.2">
      <c r="A44" s="152"/>
      <c r="B44" s="153" t="str">
        <f t="shared" si="15"/>
        <v/>
      </c>
      <c r="C44" s="29" t="str">
        <f>IF(B44="","",IF($L$35="SELIC - TRIBUTOS",VLOOKUP(DATE(YEAR($D$19),MONTH($D$19)-1,1),ÍNDICES!$A:$DE,HLOOKUP($BL$25,ÍNDICES!$B$3:$T$4,2)+11)-VLOOKUP(B44,ÍNDICES!$A:$DE,HLOOKUP($BL$25,ÍNDICES!$B$3:$T$4,2)+11)+1%,IF(C$38=$W$26,$J$35,IF(ISERROR(IF(B44&gt;$D$19,1,VLOOKUP(DATE(YEAR(B44),MONTH(B44)+IF($C$35=$S$23,1,0),1),ÍNDICES!$A:$DE,$Z$35+1))),"",IF(B44&gt;$D$19,1,VLOOKUP(DATE(YEAR(B44),MONTH(B44)+IF($C$35=$S$23,1,0),1),ÍNDICES!$A:$DE,$Z$35+1))))))</f>
        <v/>
      </c>
      <c r="D44" s="154" t="str">
        <f>IF(ISERROR(IF(OR($D$38=$Y$27,$B44=""),"",VLOOKUP(B44,ÍNDICES!A:DE,AF$35+1))),"",IF(OR($D$38=$Y$27,$B44=""),"",VLOOKUP(B44,ÍNDICES!A:DE,AF$35+1)))</f>
        <v/>
      </c>
      <c r="E44" s="153"/>
      <c r="F44" s="29" t="str">
        <f>IF(E44="","",IF($L$35="SELIC - TRIBUTOS",VLOOKUP(DATE(YEAR($D$19),MONTH($D$19)-1,1),ÍNDICES!$A:$DE,HLOOKUP($BL$25,ÍNDICES!$B$3:$T$4,2)+11)-VLOOKUP(IF(E44&gt;B44,E44,B44),ÍNDICES!$A:$DE,HLOOKUP($BL$25,ÍNDICES!$B$3:$T$4,2)+11)+1%,IF(F$38=$W$26,$J$35,IF(ISERROR(IF(E44&gt;$D$19,1,VLOOKUP(DATE(YEAR(E44),MONTH(E44)+IF($C$35=$S$23,1,0),1),ÍNDICES!$A:$DE,$Z$35+1))),"",IF(E44&gt;$D$19,1,VLOOKUP(DATE(YEAR(E44),MONTH(E44)+IF($C$35=$S$23,1,0),1),ÍNDICES!$A:$DE,$Z$35+1))))))</f>
        <v/>
      </c>
      <c r="G44" s="155"/>
      <c r="H44" s="156" t="str">
        <f t="shared" si="11"/>
        <v/>
      </c>
      <c r="I44" s="29" t="str">
        <f t="shared" si="5"/>
        <v/>
      </c>
      <c r="J44" s="5">
        <f t="shared" si="6"/>
        <v>0</v>
      </c>
      <c r="K44" s="20">
        <f t="shared" ca="1" si="7"/>
        <v>0</v>
      </c>
      <c r="L44" s="5">
        <f t="shared" ca="1" si="8"/>
        <v>0</v>
      </c>
      <c r="M44" s="64">
        <f t="shared" si="12"/>
        <v>0</v>
      </c>
      <c r="N44" s="61">
        <f t="shared" ca="1" si="13"/>
        <v>0</v>
      </c>
      <c r="O44" s="5">
        <f t="shared" ca="1" si="14"/>
        <v>0</v>
      </c>
      <c r="P44" s="446" t="e">
        <f t="shared" si="9"/>
        <v>#VALUE!</v>
      </c>
      <c r="Q44" s="446" t="e">
        <f>IF(OR($B44="",MIN(Q$38,$D$19)&lt;MAX($P$34*($B44+IF($R$17="Distrato",$I$38-1,0)),IF(AND($L$37=0,$P$34=0),"",$L$37-1),IF($R$17="Distrato",$E44,0))),0,YEARFRAC(MAX($P$34*($B44+IF($R$17="Distrato",$I$38-1,0)),IF(AND($L$37=0,$P$34=0),"",$L$37-1),IF($R$17="Distrato",$E44,0)),MIN(Q$38,$D$19),$P$20))-SUM($P44:P44)</f>
        <v>#VALUE!</v>
      </c>
      <c r="R44" s="446" t="e">
        <f>IF(OR($B44="",MIN(R$38,$D$19)&lt;MAX($P$34*($B44+IF($R$17="Distrato",$I$38-1,0)),IF(AND($L$37=0,$P$34=0),"",$L$37-1),IF($R$17="Distrato",$E44,0))),0,YEARFRAC(MAX($P$34*($B44+IF($R$17="Distrato",$I$38-1,0)),IF(AND($L$37=0,$P$34=0),"",$L$37-1),IF($R$17="Distrato",$E44,0)),MIN(R$38,$D$19),$P$20))-SUM($P44:Q44)</f>
        <v>#VALUE!</v>
      </c>
      <c r="S44" s="446" t="e">
        <f>IF(OR($B44="",MIN(S$38,$D$19)&lt;MAX($P$34*($B44+IF($R$17="Distrato",$I$38-1,0)),IF(AND($L$37=0,$P$34=0),"",$L$37-1),IF($R$17="Distrato",$E44,0))),0,YEARFRAC(MAX($P$34*($B44+IF($R$17="Distrato",$I$38-1,0)),IF(AND($L$37=0,$P$34=0),"",$L$37-1),IF($R$17="Distrato",$E44,0)),MIN(S$38,$D$19),$P$20))-SUM($P44:R44)</f>
        <v>#VALUE!</v>
      </c>
      <c r="T44" s="446" t="e">
        <f>IF(OR($B44="",MIN(T$38,$D$19)&lt;MAX($P$34*($B44+IF($R$17="Distrato",$I$38-1,0)),IF(AND($L$37=0,$P$34=0),"",$L$37-1),IF($R$17="Distrato",$E44,0))),0,YEARFRAC(MAX($P$34*($B44+IF($R$17="Distrato",$I$38-1,0)),IF(AND($L$37=0,$P$34=0),"",$L$37-1),IF($R$17="Distrato",$E44,0)),MIN(T$38,$D$19),$P$20))-SUM($P44:S44)</f>
        <v>#VALUE!</v>
      </c>
      <c r="U44" s="446" t="e">
        <f>IF(OR($B44="",MIN(U$38,$D$19)&lt;MAX($P$34*($B44+IF($R$17="Distrato",$I$38-1,0)),IF(AND($L$37=0,$P$34=0),"",$L$37-1),IF($R$17="Distrato",$E44,0))),0,YEARFRAC(MAX($P$34*($B44+IF($R$17="Distrato",$I$38-1,0)),IF(AND($L$37=0,$P$34=0),"",$L$37-1),IF($R$17="Distrato",$E44,0)),MIN(U$38,$D$19),$P$20))-SUM($P44:T44)</f>
        <v>#VALUE!</v>
      </c>
      <c r="V44" s="446" t="e">
        <f>IF(OR($B44="",MIN(V$38,$D$19)&lt;MAX($P$34*($B44+IF($R$17="Distrato",$I$38-1,0)),IF(AND($L$37=0,$P$34=0),"",$L$37-1),IF($R$17="Distrato",$E44,0))),0,YEARFRAC(MAX($P$34*($B44+IF($R$17="Distrato",$I$38-1,0)),IF(AND($L$37=0,$P$34=0),"",$L$37-1),IF($R$17="Distrato",$E44,0)),MIN(V$38,$D$19),$P$20))-SUM($P44:U44)</f>
        <v>#VALUE!</v>
      </c>
      <c r="W44" s="446" t="e">
        <f>IF(OR($B44="",MIN(W$38,$D$19)&lt;MAX($P$34*($B44+IF($R$17="Distrato",$I$38-1,0)),IF(AND($L$37=0,$P$34=0),"",$L$37-1),IF($R$17="Distrato",$E44,0))),0,YEARFRAC(MAX($P$34*($B44+IF($R$17="Distrato",$I$38-1,0)),IF(AND($L$37=0,$P$34=0),"",$L$37-1),IF($R$17="Distrato",$E44,0)),MIN(W$38,$D$19),$P$20))-SUM($P44:V44)</f>
        <v>#VALUE!</v>
      </c>
      <c r="X44" s="446" t="e">
        <f>IF(OR($B44="",MIN(X$38,$D$19)&lt;MAX($P$34*($B44+IF($R$17="Distrato",$I$38-1,0)),IF(AND($L$37=0,$P$34=0),"",$L$37-1),IF($R$17="Distrato",$E44,0))),0,YEARFRAC(MAX($P$34*($B44+IF($R$17="Distrato",$I$38-1,0)),IF(AND($L$37=0,$P$34=0),"",$L$37-1),IF($R$17="Distrato",$E44,0)),MIN(X$38,$D$19),$P$20))-SUM($P44:W44)</f>
        <v>#VALUE!</v>
      </c>
      <c r="Y44" s="446" t="e">
        <f>IF(OR($B44="",MIN(Y$38,$D$19)&lt;MAX($P$34*($B44+IF($R$17="Distrato",$I$38-1,0)),IF(AND($L$37=0,$P$34=0),"",$L$37-1),IF($R$17="Distrato",$E44,0))),0,YEARFRAC(MAX($P$34*($B44+IF($R$17="Distrato",$I$38-1,0)),IF(AND($L$37=0,$P$34=0),"",$L$37-1),IF($R$17="Distrato",$E44,0)),MIN(Y$38,$D$19),$P$20))-SUM($P44:X44)</f>
        <v>#VALUE!</v>
      </c>
      <c r="Z44" s="446" t="e">
        <f>IF(OR($B44="",MIN(Z$38,$D$19)&lt;MAX($P$34*($B44+IF($R$17="Distrato",$I$38-1,0)),IF(AND($L$37=0,$P$34=0),"",$L$37-1),IF($R$17="Distrato",$E44,0))),0,YEARFRAC(MAX($P$34*($B44+IF($R$17="Distrato",$I$38-1,0)),IF(AND($L$37=0,$P$34=0),"",$L$37-1),IF($R$17="Distrato",$E44,0)),MIN(Z$38,$D$19),$P$20))-SUM($P44:Y44)</f>
        <v>#VALUE!</v>
      </c>
      <c r="AA44" s="446" t="e">
        <f>IF(OR($B44="",MIN(AA$38,$D$19)&lt;MAX($P$34*($B44+IF($R$17="Distrato",$I$38-1,0)),IF(AND($L$37=0,$P$34=0),"",$L$37-1),IF($R$17="Distrato",$E44,0))),0,YEARFRAC(MAX($P$34*($B44+IF($R$17="Distrato",$I$38-1,0)),IF(AND($L$37=0,$P$34=0),"",$L$37-1),IF($R$17="Distrato",$E44,0)),MIN(AA$38,$D$19),$P$20))-SUM($P44:Z44)</f>
        <v>#VALUE!</v>
      </c>
      <c r="AB44" s="446" t="e">
        <f>IF(OR($B44="",MIN(AB$38,$D$19)&lt;MAX($P$34*($B44+IF($R$17="Distrato",$I$38-1,0)),IF(AND($L$37=0,$P$34=0),"",$L$37-1),IF($R$17="Distrato",$E44,0))),0,YEARFRAC(MAX($P$34*($B44+IF($R$17="Distrato",$I$38-1,0)),IF(AND($L$37=0,$P$34=0),"",$L$37-1),IF($R$17="Distrato",$E44,0)),MIN(AB$38,$D$19),$P$20))-SUM($P44:AA44)</f>
        <v>#VALUE!</v>
      </c>
      <c r="AC44" s="446" t="e">
        <f>IF(OR($B44="",MIN(AC$38,$D$19)&lt;MAX($P$34*($B44+IF($R$17="Distrato",$I$38-1,0)),IF(AND($L$37=0,$P$34=0),"",$L$37-1),IF($R$17="Distrato",$E44,0))),0,YEARFRAC(MAX($P$34*($B44+IF($R$17="Distrato",$I$38-1,0)),IF(AND($L$37=0,$P$34=0),"",$L$37-1),IF($R$17="Distrato",$E44,0)),MIN(AC$38,$D$19),$P$20))-SUM($P44:AB44)</f>
        <v>#VALUE!</v>
      </c>
      <c r="AD44" s="446" t="e">
        <f>IF(OR($B44="",MIN(AD$38,$D$19)&lt;MAX($P$34*($B44+IF($R$17="Distrato",$I$38-1,0)),IF(AND($L$37=0,$P$34=0),"",$L$37-1),IF($R$17="Distrato",$E44,0))),0,YEARFRAC(MAX($P$34*($B44+IF($R$17="Distrato",$I$38-1,0)),IF(AND($L$37=0,$P$34=0),"",$L$37-1),IF($R$17="Distrato",$E44,0)),MIN(AD$38,$D$19),$P$20))-SUM($P44:AC44)</f>
        <v>#VALUE!</v>
      </c>
      <c r="AE44" s="446" t="e">
        <f>IF(OR($B44="",MIN(AE$38,$D$19)&lt;MAX($P$34*($B44+IF($R$17="Distrato",$I$38-1,0)),IF(AND($L$37=0,$P$34=0),"",$L$37-1),IF($R$17="Distrato",$E44,0))),0,YEARFRAC(MAX($P$34*($B44+IF($R$17="Distrato",$I$38-1,0)),IF(AND($L$37=0,$P$34=0),"",$L$37-1),IF($R$17="Distrato",$E44,0)),MIN(AE$38,$D$19),$P$20))-SUM($P44:AD44)</f>
        <v>#VALUE!</v>
      </c>
      <c r="AF44" s="446" t="e">
        <f>IF(OR($B44="",MIN(AF$38,$D$19)&lt;MAX($P$34*($B44+IF($R$17="Distrato",$I$38-1,0)),IF(AND($L$37=0,$P$34=0),"",$L$37-1),IF($R$17="Distrato",$E44,0))),0,YEARFRAC(MAX($P$34*($B44+IF($R$17="Distrato",$I$38-1,0)),IF(AND($L$37=0,$P$34=0),"",$L$37-1),IF($R$17="Distrato",$E44,0)),MIN(AF$38,$D$19),$P$20))-SUM($P44:AE44)</f>
        <v>#VALUE!</v>
      </c>
      <c r="AG44" s="446" t="e">
        <f>IF(OR($B44="",MIN(AG$38,$D$19)&lt;MAX($P$34*($B44+IF($R$17="Distrato",$I$38-1,0)),IF(AND($L$37=0,$P$34=0),"",$L$37-1),IF($R$17="Distrato",$E44,0))),0,YEARFRAC(MAX($P$34*($B44+IF($R$17="Distrato",$I$38-1,0)),IF(AND($L$37=0,$P$34=0),"",$L$37-1),IF($R$17="Distrato",$E44,0)),MIN(AG$38,$D$19),$P$20))-SUM($P44:AF44)</f>
        <v>#VALUE!</v>
      </c>
      <c r="AH44" s="446" t="e">
        <f>IF(OR($B44="",MIN(AH$38,$D$19)&lt;MAX($P$34*($B44+IF($R$17="Distrato",$I$38-1,0)),IF(AND($L$37=0,$P$34=0),"",$L$37-1),IF($R$17="Distrato",$E44,0))),0,YEARFRAC(MAX($P$34*($B44+IF($R$17="Distrato",$I$38-1,0)),IF(AND($L$37=0,$P$34=0),"",$L$37-1),IF($R$17="Distrato",$E44,0)),MIN(AH$38,$D$19),$P$20))-SUM($P44:AG44)</f>
        <v>#VALUE!</v>
      </c>
      <c r="AI44" s="446" t="e">
        <f>IF(OR($B44="",MIN(AI$38,$D$19)&lt;MAX($P$34*($B44+IF($R$17="Distrato",$I$38-1,0)),IF(AND($L$37=0,$P$34=0),"",$L$37-1),IF($R$17="Distrato",$E44,0))),0,YEARFRAC(MAX($P$34*($B44+IF($R$17="Distrato",$I$38-1,0)),IF(AND($L$37=0,$P$34=0),"",$L$37-1),IF($R$17="Distrato",$E44,0)),MIN(AI$38,$D$19),$P$20))-SUM($P44:AH44)</f>
        <v>#VALUE!</v>
      </c>
      <c r="AJ44" s="446" t="e">
        <f>IF(OR($B44="",MIN(AJ$38,$D$19)&lt;MAX($P$34*($B44+IF($R$17="Distrato",$I$38-1,0)),IF(AND($L$37=0,$P$34=0),"",$L$37-1),IF($R$17="Distrato",$E44,0))),0,YEARFRAC(MAX($P$34*($B44+IF($R$17="Distrato",$I$38-1,0)),IF(AND($L$37=0,$P$34=0),"",$L$37-1),IF($R$17="Distrato",$E44,0)),MIN(AJ$38,$D$19),$P$20))-SUM($P44:AI44)</f>
        <v>#VALUE!</v>
      </c>
      <c r="AK44" s="446" t="e">
        <f>IF(OR($B44="",MIN(AK$38,$D$19)&lt;MAX($P$34*($B44+IF($R$17="Distrato",$I$38-1,0)),IF(AND($L$37=0,$P$34=0),"",$L$37-1),IF($R$17="Distrato",$E44,0))),0,YEARFRAC(MAX($P$34*($B44+IF($R$17="Distrato",$I$38-1,0)),IF(AND($L$37=0,$P$34=0),"",$L$37-1),IF($R$17="Distrato",$E44,0)),MIN(AK$38,$D$19),$P$20))-SUM($P44:AJ44)</f>
        <v>#VALUE!</v>
      </c>
      <c r="AL44" s="446" t="e">
        <f>IF(OR($B44="",MIN(AL$38,$D$19)&lt;MAX($P$34*($B44+IF($R$17="Distrato",$I$38-1,0)),IF(AND($L$37=0,$P$34=0),"",$L$37-1),IF($R$17="Distrato",$E44,0))),0,YEARFRAC(MAX($P$34*($B44+IF($R$17="Distrato",$I$38-1,0)),IF(AND($L$37=0,$P$34=0),"",$L$37-1),IF($R$17="Distrato",$E44,0)),MIN(AL$38,$D$19),$P$20))-SUM($P44:AK44)</f>
        <v>#VALUE!</v>
      </c>
      <c r="AM44" s="446" t="e">
        <f>IF(OR($B44="",MIN(AM$38,$D$19)&lt;MAX($P$34*($B44+IF($R$17="Distrato",$I$38-1,0)),IF(AND($L$37=0,$P$34=0),"",$L$37-1),IF($R$17="Distrato",$E44,0))),0,YEARFRAC(MAX($P$34*($B44+IF($R$17="Distrato",$I$38-1,0)),IF(AND($L$37=0,$P$34=0),"",$L$37-1),IF($R$17="Distrato",$E44,0)),MIN(AM$38,$D$19),$P$20))-SUM($P44:AL44)</f>
        <v>#VALUE!</v>
      </c>
      <c r="AN44" s="446" t="e">
        <f>IF(OR($B44="",MIN(AN$38,$D$19)&lt;MAX($P$34*($B44+IF($R$17="Distrato",$I$38-1,0)),IF(AND($L$37=0,$P$34=0),"",$L$37-1),IF($R$17="Distrato",$E44,0))),0,YEARFRAC(MAX($P$34*($B44+IF($R$17="Distrato",$I$38-1,0)),IF(AND($L$37=0,$P$34=0),"",$L$37-1),IF($R$17="Distrato",$E44,0)),MIN(AN$38,$D$19),$P$20))-SUM($P44:AM44)</f>
        <v>#VALUE!</v>
      </c>
      <c r="AO44" s="446" t="e">
        <f>IF(OR($B44="",MIN(AO$38,$D$19)&lt;MAX($P$34*($B44+IF($R$17="Distrato",$I$38-1,0)),IF(AND($L$37=0,$P$34=0),"",$L$37-1),IF($R$17="Distrato",$E44,0))),0,YEARFRAC(MAX($P$34*($B44+IF($R$17="Distrato",$I$38-1,0)),IF(AND($L$37=0,$P$34=0),"",$L$37-1),IF($R$17="Distrato",$E44,0)),MIN(AO$38,$D$19),$P$20))-SUM($P44:AN44)</f>
        <v>#VALUE!</v>
      </c>
      <c r="AP44" s="446" t="e">
        <f>IF(OR($B44="",MIN(AP$38,$D$19)&lt;MAX($P$34*($B44+IF($R$17="Distrato",$I$38-1,0)),IF(AND($L$37=0,$P$34=0),"",$L$37-1),IF($R$17="Distrato",$E44,0))),0,YEARFRAC(MAX($P$34*($B44+IF($R$17="Distrato",$I$38-1,0)),IF(AND($L$37=0,$P$34=0),"",$L$37-1),IF($R$17="Distrato",$E44,0)),MIN(AP$38,$D$19),$P$20))-SUM($P44:AO44)</f>
        <v>#VALUE!</v>
      </c>
      <c r="AQ44" s="446" t="e">
        <f>IF(OR($B44="",MIN(AQ$38,$D$19)&lt;MAX($P$34*($B44+IF($R$17="Distrato",$I$38-1,0)),IF(AND($L$37=0,$P$34=0),"",$L$37-1),IF($R$17="Distrato",$E44,0))),0,YEARFRAC(MAX($P$34*($B44+IF($R$17="Distrato",$I$38-1,0)),IF(AND($L$37=0,$P$34=0),"",$L$37-1),IF($R$17="Distrato",$E44,0)),MIN(AQ$38,$D$19),$P$20))-SUM($P44:AP44)</f>
        <v>#VALUE!</v>
      </c>
      <c r="AR44" s="446" t="e">
        <f>IF(OR($B44="",MIN(AR$38,$D$19)&lt;MAX($P$34*($B44+IF($R$17="Distrato",$I$38-1,0)),IF(AND($L$37=0,$P$34=0),"",$L$37-1),IF($R$17="Distrato",$E44,0))),0,YEARFRAC(MAX($P$34*($B44+IF($R$17="Distrato",$I$38-1,0)),IF(AND($L$37=0,$P$34=0),"",$L$37-1),IF($R$17="Distrato",$E44,0)),MIN(AR$38,$D$19),$P$20))-SUM($P44:AQ44)</f>
        <v>#VALUE!</v>
      </c>
      <c r="AS44" s="446" t="e">
        <f>IF(OR($B44="",MIN(AS$38,$D$19)&lt;MAX($P$34*($B44+IF($R$17="Distrato",$I$38-1,0)),IF(AND($L$37=0,$P$34=0),"",$L$37-1),IF($R$17="Distrato",$E44,0))),0,YEARFRAC(MAX($P$34*($B44+IF($R$17="Distrato",$I$38-1,0)),IF(AND($L$37=0,$P$34=0),"",$L$37-1),IF($R$17="Distrato",$E44,0)),MIN(AS$38,$D$19),$P$20))-SUM($P44:AR44)</f>
        <v>#VALUE!</v>
      </c>
      <c r="AT44" s="446" t="e">
        <f>IF(OR($B44="",MIN(AT$38,$D$19)&lt;MAX($P$34*($B44+IF($R$17="Distrato",$I$38-1,0)),IF(AND($L$37=0,$P$34=0),"",$L$37-1),IF($R$17="Distrato",$E44,0))),0,YEARFRAC(MAX($P$34*($B44+IF($R$17="Distrato",$I$38-1,0)),IF(AND($L$37=0,$P$34=0),"",$L$37-1),IF($R$17="Distrato",$E44,0)),MIN(AT$38,$D$19),$P$20))-SUM($P44:AS44)</f>
        <v>#VALUE!</v>
      </c>
      <c r="AU44" s="446" t="e">
        <f>IF(OR($B44="",MIN(AU$38,$D$19)&lt;MAX($P$34*($B44+IF($R$17="Distrato",$I$38-1,0)),IF(AND($L$37=0,$P$34=0),"",$L$37-1),IF($R$17="Distrato",$E44,0))),0,YEARFRAC(MAX($P$34*($B44+IF($R$17="Distrato",$I$38-1,0)),IF(AND($L$37=0,$P$34=0),"",$L$37-1),IF($R$17="Distrato",$E44,0)),MIN(AU$38,$D$19),$P$20))-SUM($P44:AT44)</f>
        <v>#VALUE!</v>
      </c>
      <c r="AV44" s="446" t="e">
        <f>IF(OR($B44="",MIN(AV$38,$D$19)&lt;MAX($P$34*($B44+IF($R$17="Distrato",$I$38-1,0)),IF(AND($L$37=0,$P$34=0),"",$L$37-1),IF($R$17="Distrato",$E44,0))),0,YEARFRAC(MAX($P$34*($B44+IF($R$17="Distrato",$I$38-1,0)),IF(AND($L$37=0,$P$34=0),"",$L$37-1),IF($R$17="Distrato",$E44,0)),MIN(AV$38,$D$19),$P$20))-SUM($P44:AU44)</f>
        <v>#VALUE!</v>
      </c>
      <c r="AW44" s="446" t="e">
        <f>IF(OR($B44="",MIN(AW$38,$D$19)&lt;MAX($P$34*($B44+IF($R$17="Distrato",$I$38-1,0)),IF(AND($L$37=0,$P$34=0),"",$L$37-1),IF($R$17="Distrato",$E44,0))),0,YEARFRAC(MAX($P$34*($B44+IF($R$17="Distrato",$I$38-1,0)),IF(AND($L$37=0,$P$34=0),"",$L$37-1),IF($R$17="Distrato",$E44,0)),MIN(AW$38,$D$19),$P$20))-SUM($P44:AV44)</f>
        <v>#VALUE!</v>
      </c>
      <c r="AX44" s="446" t="e">
        <f>IF(OR($B44="",MIN(AX$38,$D$19)&lt;MAX($P$34*($B44+IF($R$17="Distrato",$I$38-1,0)),IF(AND($L$37=0,$P$34=0),"",$L$37-1),IF($R$17="Distrato",$E44,0))),0,YEARFRAC(MAX($P$34*($B44+IF($R$17="Distrato",$I$38-1,0)),IF(AND($L$37=0,$P$34=0),"",$L$37-1),IF($R$17="Distrato",$E44,0)),MIN(AX$38,$D$19),$P$20))-SUM($P44:AW44)</f>
        <v>#VALUE!</v>
      </c>
      <c r="AY44" s="446" t="e">
        <f>IF(OR($B44="",MIN(AY$38,$D$19)&lt;MAX($P$34*($B44+IF($R$17="Distrato",$I$38-1,0)),IF(AND($L$37=0,$P$34=0),"",$L$37-1),IF($R$17="Distrato",$E44,0))),0,YEARFRAC(MAX($P$34*($B44+IF($R$17="Distrato",$I$38-1,0)),IF(AND($L$37=0,$P$34=0),"",$L$37-1),IF($R$17="Distrato",$E44,0)),MIN(AY$38,$D$19),$P$20))-SUM($P44:AX44)</f>
        <v>#VALUE!</v>
      </c>
      <c r="AZ44" s="446" t="e">
        <f>IF(OR($B44="",MIN(AZ$38,$D$19)&lt;MAX($P$34*($B44+IF($R$17="Distrato",$I$38-1,0)),IF(AND($L$37=0,$P$34=0),"",$L$37-1),IF($R$17="Distrato",$E44,0))),0,YEARFRAC(MAX($P$34*($B44+IF($R$17="Distrato",$I$38-1,0)),IF(AND($L$37=0,$P$34=0),"",$L$37-1),IF($R$17="Distrato",$E44,0)),MIN(AZ$38,$D$19),$P$20))-SUM($P44:AY44)</f>
        <v>#VALUE!</v>
      </c>
      <c r="BA44" s="446" t="e">
        <f>IF(OR($B44="",MIN(BA$38,$D$19)&lt;MAX($P$34*($B44+IF($R$17="Distrato",$I$38-1,0)),IF(AND($L$37=0,$P$34=0),"",$L$37-1),IF($R$17="Distrato",$E44,0))),0,YEARFRAC(MAX($P$34*($B44+IF($R$17="Distrato",$I$38-1,0)),IF(AND($L$37=0,$P$34=0),"",$L$37-1),IF($R$17="Distrato",$E44,0)),MIN(BA$38,$D$19),$P$20))-SUM($P44:AZ44)</f>
        <v>#VALUE!</v>
      </c>
      <c r="BB44" s="447"/>
      <c r="BF44" s="446">
        <f t="shared" si="10"/>
        <v>0</v>
      </c>
      <c r="BG44" s="446">
        <f>IF($E44=0,0,IF(MIN(BG$38,$E44)&lt;MAX($P$34*($B44+$I$38-1),IF(AND($L$37=0,$P$34=0),"",$L$37-1)),0,YEARFRAC(MAX($P$34*($B44+$I$38-1),IF(AND($L$37=0,$P$34=0),"",$L$37-1)),MIN(BG$38,$E44),$P$20))-SUM($BF44:BF44))</f>
        <v>0</v>
      </c>
      <c r="BH44" s="446">
        <f>IF($E44=0,0,IF(MIN(BH$38,$E44)&lt;MAX($P$34*($B44+$I$38-1),IF(AND($L$37=0,$P$34=0),"",$L$37-1)),0,YEARFRAC(MAX($P$34*($B44+$I$38-1),IF(AND($L$37=0,$P$34=0),"",$L$37-1)),MIN(BH$38,$E44),$P$20))-SUM($BF44:BG44))</f>
        <v>0</v>
      </c>
      <c r="BI44" s="446">
        <f>IF($E44=0,0,IF(MIN(BI$38,$E44)&lt;MAX($P$34*($B44+$I$38-1),IF(AND($L$37=0,$P$34=0),"",$L$37-1)),0,YEARFRAC(MAX($P$34*($B44+$I$38-1),IF(AND($L$37=0,$P$34=0),"",$L$37-1)),MIN(BI$38,$E44),$P$20))-SUM($BF44:BH44))</f>
        <v>0</v>
      </c>
      <c r="BJ44" s="446">
        <f>IF($E44=0,0,IF(MIN(BJ$38,$E44)&lt;MAX($P$34*($B44+$I$38-1),IF(AND($L$37=0,$P$34=0),"",$L$37-1)),0,YEARFRAC(MAX($P$34*($B44+$I$38-1),IF(AND($L$37=0,$P$34=0),"",$L$37-1)),MIN(BJ$38,$E44),$P$20))-SUM($BF44:BI44))</f>
        <v>0</v>
      </c>
      <c r="BK44" s="446">
        <f>IF($E44=0,0,IF(MIN(BK$38,$E44)&lt;MAX($P$34*($B44+$I$38-1),IF(AND($L$37=0,$P$34=0),"",$L$37-1)),0,YEARFRAC(MAX($P$34*($B44+$I$38-1),IF(AND($L$37=0,$P$34=0),"",$L$37-1)),MIN(BK$38,$E44),$P$20))-SUM($BF44:BJ44))</f>
        <v>0</v>
      </c>
      <c r="BL44" s="446">
        <f>IF($E44=0,0,IF(MIN(BL$38,$E44)&lt;MAX($P$34*($B44+$I$38-1),IF(AND($L$37=0,$P$34=0),"",$L$37-1)),0,YEARFRAC(MAX($P$34*($B44+$I$38-1),IF(AND($L$37=0,$P$34=0),"",$L$37-1)),MIN(BL$38,$E44),$P$20))-SUM($BF44:BK44))</f>
        <v>0</v>
      </c>
      <c r="BM44" s="446">
        <f>IF($E44=0,0,IF(MIN(BM$38,$E44)&lt;MAX($P$34*($B44+$I$38-1),IF(AND($L$37=0,$P$34=0),"",$L$37-1)),0,YEARFRAC(MAX($P$34*($B44+$I$38-1),IF(AND($L$37=0,$P$34=0),"",$L$37-1)),MIN(BM$38,$E44),$P$20))-SUM($BF44:BL44))</f>
        <v>0</v>
      </c>
      <c r="BN44" s="446">
        <f>IF($E44=0,0,IF(MIN(BN$38,$E44)&lt;MAX($P$34*($B44+$I$38-1),IF(AND($L$37=0,$P$34=0),"",$L$37-1)),0,YEARFRAC(MAX($P$34*($B44+$I$38-1),IF(AND($L$37=0,$P$34=0),"",$L$37-1)),MIN(BN$38,$E44),$P$20))-SUM($BF44:BM44))</f>
        <v>0</v>
      </c>
      <c r="BO44" s="446">
        <f>IF($E44=0,0,IF(MIN(BO$38,$E44)&lt;MAX($P$34*($B44+$I$38-1),IF(AND($L$37=0,$P$34=0),"",$L$37-1)),0,YEARFRAC(MAX($P$34*($B44+$I$38-1),IF(AND($L$37=0,$P$34=0),"",$L$37-1)),MIN(BO$38,$E44),$P$20))-SUM($BF44:BN44))</f>
        <v>0</v>
      </c>
      <c r="BP44" s="446">
        <f>IF($E44=0,0,IF(MIN(BP$38,$E44)&lt;MAX($P$34*($B44+$I$38-1),IF(AND($L$37=0,$P$34=0),"",$L$37-1)),0,YEARFRAC(MAX($P$34*($B44+$I$38-1),IF(AND($L$37=0,$P$34=0),"",$L$37-1)),MIN(BP$38,$E44),$P$20))-SUM($BF44:BO44))</f>
        <v>0</v>
      </c>
      <c r="BQ44" s="446">
        <f>IF($E44=0,0,IF(MIN(BQ$38,$E44)&lt;MAX($P$34*($B44+$I$38-1),IF(AND($L$37=0,$P$34=0),"",$L$37-1)),0,YEARFRAC(MAX($P$34*($B44+$I$38-1),IF(AND($L$37=0,$P$34=0),"",$L$37-1)),MIN(BQ$38,$E44),$P$20))-SUM($BF44:BP44))</f>
        <v>0</v>
      </c>
      <c r="BR44" s="446">
        <f>IF($E44=0,0,IF(MIN(BR$38,$E44)&lt;MAX($P$34*($B44+$I$38-1),IF(AND($L$37=0,$P$34=0),"",$L$37-1)),0,YEARFRAC(MAX($P$34*($B44+$I$38-1),IF(AND($L$37=0,$P$34=0),"",$L$37-1)),MIN(BR$38,$E44),$P$20))-SUM($BF44:BQ44))</f>
        <v>0</v>
      </c>
      <c r="BS44" s="446">
        <f>IF($E44=0,0,IF(MIN(BS$38,$E44)&lt;MAX($P$34*($B44+$I$38-1),IF(AND($L$37=0,$P$34=0),"",$L$37-1)),0,YEARFRAC(MAX($P$34*($B44+$I$38-1),IF(AND($L$37=0,$P$34=0),"",$L$37-1)),MIN(BS$38,$E44),$P$20))-SUM($BF44:BR44))</f>
        <v>0</v>
      </c>
      <c r="BT44" s="446">
        <f>IF($E44=0,0,IF(MIN(BT$38,$E44)&lt;MAX($P$34*($B44+$I$38-1),IF(AND($L$37=0,$P$34=0),"",$L$37-1)),0,YEARFRAC(MAX($P$34*($B44+$I$38-1),IF(AND($L$37=0,$P$34=0),"",$L$37-1)),MIN(BT$38,$E44),$P$20))-SUM($BF44:BS44))</f>
        <v>0</v>
      </c>
      <c r="BU44" s="446">
        <f>IF($E44=0,0,IF(MIN(BU$38,$E44)&lt;MAX($P$34*($B44+$I$38-1),IF(AND($L$37=0,$P$34=0),"",$L$37-1)),0,YEARFRAC(MAX($P$34*($B44+$I$38-1),IF(AND($L$37=0,$P$34=0),"",$L$37-1)),MIN(BU$38,$E44),$P$20))-SUM($BF44:BT44))</f>
        <v>0</v>
      </c>
      <c r="BV44" s="446">
        <f>IF($E44=0,0,IF(MIN(BV$38,$E44)&lt;MAX($P$34*($B44+$I$38-1),IF(AND($L$37=0,$P$34=0),"",$L$37-1)),0,YEARFRAC(MAX($P$34*($B44+$I$38-1),IF(AND($L$37=0,$P$34=0),"",$L$37-1)),MIN(BV$38,$E44),$P$20))-SUM($BF44:BU44))</f>
        <v>0</v>
      </c>
      <c r="BW44" s="446">
        <f>IF($E44=0,0,IF(MIN(BW$38,$E44)&lt;MAX($P$34*($B44+$I$38-1),IF(AND($L$37=0,$P$34=0),"",$L$37-1)),0,YEARFRAC(MAX($P$34*($B44+$I$38-1),IF(AND($L$37=0,$P$34=0),"",$L$37-1)),MIN(BW$38,$E44),$P$20))-SUM($BF44:BV44))</f>
        <v>0</v>
      </c>
      <c r="BX44" s="446">
        <f>IF($E44=0,0,IF(MIN(BX$38,$E44)&lt;MAX($P$34*($B44+$I$38-1),IF(AND($L$37=0,$P$34=0),"",$L$37-1)),0,YEARFRAC(MAX($P$34*($B44+$I$38-1),IF(AND($L$37=0,$P$34=0),"",$L$37-1)),MIN(BX$38,$E44),$P$20))-SUM($BF44:BW44))</f>
        <v>0</v>
      </c>
      <c r="BY44" s="446">
        <f>IF($E44=0,0,IF(MIN(BY$38,$E44)&lt;MAX($P$34*($B44+$I$38-1),IF(AND($L$37=0,$P$34=0),"",$L$37-1)),0,YEARFRAC(MAX($P$34*($B44+$I$38-1),IF(AND($L$37=0,$P$34=0),"",$L$37-1)),MIN(BY$38,$E44),$P$20))-SUM($BF44:BX44))</f>
        <v>0</v>
      </c>
      <c r="BZ44" s="446">
        <f>IF($E44=0,0,IF(MIN(BZ$38,$E44)&lt;MAX($P$34*($B44+$I$38-1),IF(AND($L$37=0,$P$34=0),"",$L$37-1)),0,YEARFRAC(MAX($P$34*($B44+$I$38-1),IF(AND($L$37=0,$P$34=0),"",$L$37-1)),MIN(BZ$38,$E44),$P$20))-SUM($BF44:BY44))</f>
        <v>0</v>
      </c>
      <c r="CA44" s="446">
        <f>IF($E44=0,0,IF(MIN(CA$38,$E44)&lt;MAX($P$34*($B44+$I$38-1),IF(AND($L$37=0,$P$34=0),"",$L$37-1)),0,YEARFRAC(MAX($P$34*($B44+$I$38-1),IF(AND($L$37=0,$P$34=0),"",$L$37-1)),MIN(CA$38,$E44),$P$20))-SUM($BF44:BZ44))</f>
        <v>0</v>
      </c>
      <c r="CB44" s="446">
        <f>IF($E44=0,0,IF(MIN(CB$38,$E44)&lt;MAX($P$34*($B44+$I$38-1),IF(AND($L$37=0,$P$34=0),"",$L$37-1)),0,YEARFRAC(MAX($P$34*($B44+$I$38-1),IF(AND($L$37=0,$P$34=0),"",$L$37-1)),MIN(CB$38,$E44),$P$20))-SUM($BF44:CA44))</f>
        <v>0</v>
      </c>
      <c r="CC44" s="446">
        <f>IF($E44=0,0,IF(MIN(CC$38,$E44)&lt;MAX($P$34*($B44+$I$38-1),IF(AND($L$37=0,$P$34=0),"",$L$37-1)),0,YEARFRAC(MAX($P$34*($B44+$I$38-1),IF(AND($L$37=0,$P$34=0),"",$L$37-1)),MIN(CC$38,$E44),$P$20))-SUM($BF44:CB44))</f>
        <v>0</v>
      </c>
      <c r="CD44" s="446">
        <f>IF($E44=0,0,IF(MIN(CD$38,$E44)&lt;MAX($P$34*($B44+$I$38-1),IF(AND($L$37=0,$P$34=0),"",$L$37-1)),0,YEARFRAC(MAX($P$34*($B44+$I$38-1),IF(AND($L$37=0,$P$34=0),"",$L$37-1)),MIN(CD$38,$E44),$P$20))-SUM($BF44:CC44))</f>
        <v>0</v>
      </c>
      <c r="CE44" s="446">
        <f>IF($E44=0,0,IF(MIN(CE$38,$E44)&lt;MAX($P$34*($B44+$I$38-1),IF(AND($L$37=0,$P$34=0),"",$L$37-1)),0,YEARFRAC(MAX($P$34*($B44+$I$38-1),IF(AND($L$37=0,$P$34=0),"",$L$37-1)),MIN(CE$38,$E44),$P$20))-SUM($BF44:CD44))</f>
        <v>0</v>
      </c>
      <c r="CF44" s="446">
        <f>IF($E44=0,0,IF(MIN(CF$38,$E44)&lt;MAX($P$34*($B44+$I$38-1),IF(AND($L$37=0,$P$34=0),"",$L$37-1)),0,YEARFRAC(MAX($P$34*($B44+$I$38-1),IF(AND($L$37=0,$P$34=0),"",$L$37-1)),MIN(CF$38,$E44),$P$20))-SUM($BF44:CE44))</f>
        <v>0</v>
      </c>
      <c r="CG44" s="446">
        <f>IF($E44=0,0,IF(MIN(CG$38,$E44)&lt;MAX($P$34*($B44+$I$38-1),IF(AND($L$37=0,$P$34=0),"",$L$37-1)),0,YEARFRAC(MAX($P$34*($B44+$I$38-1),IF(AND($L$37=0,$P$34=0),"",$L$37-1)),MIN(CG$38,$E44),$P$20))-SUM($BF44:CF44))</f>
        <v>0</v>
      </c>
      <c r="CH44" s="446">
        <f>IF($E44=0,0,IF(MIN(CH$38,$E44)&lt;MAX($P$34*($B44+$I$38-1),IF(AND($L$37=0,$P$34=0),"",$L$37-1)),0,YEARFRAC(MAX($P$34*($B44+$I$38-1),IF(AND($L$37=0,$P$34=0),"",$L$37-1)),MIN(CH$38,$E44),$P$20))-SUM($BF44:CG44))</f>
        <v>0</v>
      </c>
      <c r="CI44" s="446">
        <f>IF($E44=0,0,IF(MIN(CI$38,$E44)&lt;MAX($P$34*($B44+$I$38-1),IF(AND($L$37=0,$P$34=0),"",$L$37-1)),0,YEARFRAC(MAX($P$34*($B44+$I$38-1),IF(AND($L$37=0,$P$34=0),"",$L$37-1)),MIN(CI$38,$E44),$P$20))-SUM($BF44:CH44))</f>
        <v>0</v>
      </c>
      <c r="CJ44" s="446">
        <f>IF($E44=0,0,IF(MIN(CJ$38,$E44)&lt;MAX($P$34*($B44+$I$38-1),IF(AND($L$37=0,$P$34=0),"",$L$37-1)),0,YEARFRAC(MAX($P$34*($B44+$I$38-1),IF(AND($L$37=0,$P$34=0),"",$L$37-1)),MIN(CJ$38,$E44),$P$20))-SUM($BF44:CI44))</f>
        <v>0</v>
      </c>
      <c r="CK44" s="446">
        <f>IF($E44=0,0,IF(MIN(CK$38,$E44)&lt;MAX($P$34*($B44+$I$38-1),IF(AND($L$37=0,$P$34=0),"",$L$37-1)),0,YEARFRAC(MAX($P$34*($B44+$I$38-1),IF(AND($L$37=0,$P$34=0),"",$L$37-1)),MIN(CK$38,$E44),$P$20))-SUM($BF44:CJ44))</f>
        <v>0</v>
      </c>
      <c r="CL44" s="446">
        <f>IF($E44=0,0,IF(MIN(CL$38,$E44)&lt;MAX($P$34*($B44+$I$38-1),IF(AND($L$37=0,$P$34=0),"",$L$37-1)),0,YEARFRAC(MAX($P$34*($B44+$I$38-1),IF(AND($L$37=0,$P$34=0),"",$L$37-1)),MIN(CL$38,$E44),$P$20))-SUM($BF44:CK44))</f>
        <v>0</v>
      </c>
      <c r="CM44" s="446">
        <f>IF($E44=0,0,IF(MIN(CM$38,$E44)&lt;MAX($P$34*($B44+$I$38-1),IF(AND($L$37=0,$P$34=0),"",$L$37-1)),0,YEARFRAC(MAX($P$34*($B44+$I$38-1),IF(AND($L$37=0,$P$34=0),"",$L$37-1)),MIN(CM$38,$E44),$P$20))-SUM($BF44:CL44))</f>
        <v>0</v>
      </c>
      <c r="CN44" s="446">
        <f>IF($E44=0,0,IF(MIN(CN$38,$E44)&lt;MAX($P$34*($B44+$I$38-1),IF(AND($L$37=0,$P$34=0),"",$L$37-1)),0,YEARFRAC(MAX($P$34*($B44+$I$38-1),IF(AND($L$37=0,$P$34=0),"",$L$37-1)),MIN(CN$38,$E44),$P$20))-SUM($BF44:CM44))</f>
        <v>0</v>
      </c>
      <c r="CO44" s="446">
        <f>IF($E44=0,0,IF(MIN(CO$38,$E44)&lt;MAX($P$34*($B44+$I$38-1),IF(AND($L$37=0,$P$34=0),"",$L$37-1)),0,YEARFRAC(MAX($P$34*($B44+$I$38-1),IF(AND($L$37=0,$P$34=0),"",$L$37-1)),MIN(CO$38,$E44),$P$20))-SUM($BF44:CN44))</f>
        <v>0</v>
      </c>
      <c r="CP44" s="446">
        <f>IF($E44=0,0,IF(MIN(CP$38,$E44)&lt;MAX($P$34*($B44+$I$38-1),IF(AND($L$37=0,$P$34=0),"",$L$37-1)),0,YEARFRAC(MAX($P$34*($B44+$I$38-1),IF(AND($L$37=0,$P$34=0),"",$L$37-1)),MIN(CP$38,$E44),$P$20))-SUM($BF44:CO44))</f>
        <v>0</v>
      </c>
      <c r="CQ44" s="446">
        <f>IF($E44=0,0,IF(MIN(CQ$38,$E44)&lt;MAX($P$34*($B44+$I$38-1),IF(AND($L$37=0,$P$34=0),"",$L$37-1)),0,YEARFRAC(MAX($P$34*($B44+$I$38-1),IF(AND($L$37=0,$P$34=0),"",$L$37-1)),MIN(CQ$38,$E44),$P$20))-SUM($BF44:CP44))</f>
        <v>0</v>
      </c>
    </row>
    <row r="45" spans="1:116" s="446" customFormat="1" ht="11.25" hidden="1" customHeight="1" x14ac:dyDescent="0.2">
      <c r="A45" s="152"/>
      <c r="B45" s="153" t="str">
        <f t="shared" si="15"/>
        <v/>
      </c>
      <c r="C45" s="29" t="str">
        <f>IF(B45="","",IF($L$35="SELIC - TRIBUTOS",VLOOKUP(DATE(YEAR($D$19),MONTH($D$19)-1,1),ÍNDICES!$A:$DE,HLOOKUP($BL$25,ÍNDICES!$B$3:$T$4,2)+11)-VLOOKUP(B45,ÍNDICES!$A:$DE,HLOOKUP($BL$25,ÍNDICES!$B$3:$T$4,2)+11)+1%,IF(C$38=$W$26,$J$35,IF(ISERROR(IF(B45&gt;$D$19,1,VLOOKUP(DATE(YEAR(B45),MONTH(B45)+IF($C$35=$S$23,1,0),1),ÍNDICES!$A:$DE,$Z$35+1))),"",IF(B45&gt;$D$19,1,VLOOKUP(DATE(YEAR(B45),MONTH(B45)+IF($C$35=$S$23,1,0),1),ÍNDICES!$A:$DE,$Z$35+1))))))</f>
        <v/>
      </c>
      <c r="D45" s="154" t="str">
        <f>IF(ISERROR(IF(OR($D$38=$Y$27,$B45=""),"",VLOOKUP(B45,ÍNDICES!A:DE,AF$35+1))),"",IF(OR($D$38=$Y$27,$B45=""),"",VLOOKUP(B45,ÍNDICES!A:DE,AF$35+1)))</f>
        <v/>
      </c>
      <c r="E45" s="153"/>
      <c r="F45" s="29" t="str">
        <f>IF(E45="","",IF($L$35="SELIC - TRIBUTOS",VLOOKUP(DATE(YEAR($D$19),MONTH($D$19)-1,1),ÍNDICES!$A:$DE,HLOOKUP($BL$25,ÍNDICES!$B$3:$T$4,2)+11)-VLOOKUP(IF(E45&gt;B45,E45,B45),ÍNDICES!$A:$DE,HLOOKUP($BL$25,ÍNDICES!$B$3:$T$4,2)+11)+1%,IF(F$38=$W$26,$J$35,IF(ISERROR(IF(E45&gt;$D$19,1,VLOOKUP(DATE(YEAR(E45),MONTH(E45)+IF($C$35=$S$23,1,0),1),ÍNDICES!$A:$DE,$Z$35+1))),"",IF(E45&gt;$D$19,1,VLOOKUP(DATE(YEAR(E45),MONTH(E45)+IF($C$35=$S$23,1,0),1),ÍNDICES!$A:$DE,$Z$35+1))))))</f>
        <v/>
      </c>
      <c r="G45" s="155"/>
      <c r="H45" s="156" t="str">
        <f t="shared" si="11"/>
        <v/>
      </c>
      <c r="I45" s="29" t="str">
        <f t="shared" si="5"/>
        <v/>
      </c>
      <c r="J45" s="5">
        <f t="shared" si="6"/>
        <v>0</v>
      </c>
      <c r="K45" s="20">
        <f t="shared" ca="1" si="7"/>
        <v>0</v>
      </c>
      <c r="L45" s="5">
        <f t="shared" ca="1" si="8"/>
        <v>0</v>
      </c>
      <c r="M45" s="64">
        <f t="shared" si="12"/>
        <v>0</v>
      </c>
      <c r="N45" s="61">
        <f t="shared" ca="1" si="13"/>
        <v>0</v>
      </c>
      <c r="O45" s="5">
        <f t="shared" ca="1" si="14"/>
        <v>0</v>
      </c>
      <c r="P45" s="446" t="e">
        <f t="shared" si="9"/>
        <v>#VALUE!</v>
      </c>
      <c r="Q45" s="446" t="e">
        <f>IF(OR($B45="",MIN(Q$38,$D$19)&lt;MAX($P$34*($B45+IF($R$17="Distrato",$I$38-1,0)),IF(AND($L$37=0,$P$34=0),"",$L$37-1),IF($R$17="Distrato",$E45,0))),0,YEARFRAC(MAX($P$34*($B45+IF($R$17="Distrato",$I$38-1,0)),IF(AND($L$37=0,$P$34=0),"",$L$37-1),IF($R$17="Distrato",$E45,0)),MIN(Q$38,$D$19),$P$20))-SUM($P45:P45)</f>
        <v>#VALUE!</v>
      </c>
      <c r="R45" s="446" t="e">
        <f>IF(OR($B45="",MIN(R$38,$D$19)&lt;MAX($P$34*($B45+IF($R$17="Distrato",$I$38-1,0)),IF(AND($L$37=0,$P$34=0),"",$L$37-1),IF($R$17="Distrato",$E45,0))),0,YEARFRAC(MAX($P$34*($B45+IF($R$17="Distrato",$I$38-1,0)),IF(AND($L$37=0,$P$34=0),"",$L$37-1),IF($R$17="Distrato",$E45,0)),MIN(R$38,$D$19),$P$20))-SUM($P45:Q45)</f>
        <v>#VALUE!</v>
      </c>
      <c r="S45" s="446" t="e">
        <f>IF(OR($B45="",MIN(S$38,$D$19)&lt;MAX($P$34*($B45+IF($R$17="Distrato",$I$38-1,0)),IF(AND($L$37=0,$P$34=0),"",$L$37-1),IF($R$17="Distrato",$E45,0))),0,YEARFRAC(MAX($P$34*($B45+IF($R$17="Distrato",$I$38-1,0)),IF(AND($L$37=0,$P$34=0),"",$L$37-1),IF($R$17="Distrato",$E45,0)),MIN(S$38,$D$19),$P$20))-SUM($P45:R45)</f>
        <v>#VALUE!</v>
      </c>
      <c r="T45" s="446" t="e">
        <f>IF(OR($B45="",MIN(T$38,$D$19)&lt;MAX($P$34*($B45+IF($R$17="Distrato",$I$38-1,0)),IF(AND($L$37=0,$P$34=0),"",$L$37-1),IF($R$17="Distrato",$E45,0))),0,YEARFRAC(MAX($P$34*($B45+IF($R$17="Distrato",$I$38-1,0)),IF(AND($L$37=0,$P$34=0),"",$L$37-1),IF($R$17="Distrato",$E45,0)),MIN(T$38,$D$19),$P$20))-SUM($P45:S45)</f>
        <v>#VALUE!</v>
      </c>
      <c r="U45" s="446" t="e">
        <f>IF(OR($B45="",MIN(U$38,$D$19)&lt;MAX($P$34*($B45+IF($R$17="Distrato",$I$38-1,0)),IF(AND($L$37=0,$P$34=0),"",$L$37-1),IF($R$17="Distrato",$E45,0))),0,YEARFRAC(MAX($P$34*($B45+IF($R$17="Distrato",$I$38-1,0)),IF(AND($L$37=0,$P$34=0),"",$L$37-1),IF($R$17="Distrato",$E45,0)),MIN(U$38,$D$19),$P$20))-SUM($P45:T45)</f>
        <v>#VALUE!</v>
      </c>
      <c r="V45" s="446" t="e">
        <f>IF(OR($B45="",MIN(V$38,$D$19)&lt;MAX($P$34*($B45+IF($R$17="Distrato",$I$38-1,0)),IF(AND($L$37=0,$P$34=0),"",$L$37-1),IF($R$17="Distrato",$E45,0))),0,YEARFRAC(MAX($P$34*($B45+IF($R$17="Distrato",$I$38-1,0)),IF(AND($L$37=0,$P$34=0),"",$L$37-1),IF($R$17="Distrato",$E45,0)),MIN(V$38,$D$19),$P$20))-SUM($P45:U45)</f>
        <v>#VALUE!</v>
      </c>
      <c r="W45" s="446" t="e">
        <f>IF(OR($B45="",MIN(W$38,$D$19)&lt;MAX($P$34*($B45+IF($R$17="Distrato",$I$38-1,0)),IF(AND($L$37=0,$P$34=0),"",$L$37-1),IF($R$17="Distrato",$E45,0))),0,YEARFRAC(MAX($P$34*($B45+IF($R$17="Distrato",$I$38-1,0)),IF(AND($L$37=0,$P$34=0),"",$L$37-1),IF($R$17="Distrato",$E45,0)),MIN(W$38,$D$19),$P$20))-SUM($P45:V45)</f>
        <v>#VALUE!</v>
      </c>
      <c r="X45" s="446" t="e">
        <f>IF(OR($B45="",MIN(X$38,$D$19)&lt;MAX($P$34*($B45+IF($R$17="Distrato",$I$38-1,0)),IF(AND($L$37=0,$P$34=0),"",$L$37-1),IF($R$17="Distrato",$E45,0))),0,YEARFRAC(MAX($P$34*($B45+IF($R$17="Distrato",$I$38-1,0)),IF(AND($L$37=0,$P$34=0),"",$L$37-1),IF($R$17="Distrato",$E45,0)),MIN(X$38,$D$19),$P$20))-SUM($P45:W45)</f>
        <v>#VALUE!</v>
      </c>
      <c r="Y45" s="446" t="e">
        <f>IF(OR($B45="",MIN(Y$38,$D$19)&lt;MAX($P$34*($B45+IF($R$17="Distrato",$I$38-1,0)),IF(AND($L$37=0,$P$34=0),"",$L$37-1),IF($R$17="Distrato",$E45,0))),0,YEARFRAC(MAX($P$34*($B45+IF($R$17="Distrato",$I$38-1,0)),IF(AND($L$37=0,$P$34=0),"",$L$37-1),IF($R$17="Distrato",$E45,0)),MIN(Y$38,$D$19),$P$20))-SUM($P45:X45)</f>
        <v>#VALUE!</v>
      </c>
      <c r="Z45" s="446" t="e">
        <f>IF(OR($B45="",MIN(Z$38,$D$19)&lt;MAX($P$34*($B45+IF($R$17="Distrato",$I$38-1,0)),IF(AND($L$37=0,$P$34=0),"",$L$37-1),IF($R$17="Distrato",$E45,0))),0,YEARFRAC(MAX($P$34*($B45+IF($R$17="Distrato",$I$38-1,0)),IF(AND($L$37=0,$P$34=0),"",$L$37-1),IF($R$17="Distrato",$E45,0)),MIN(Z$38,$D$19),$P$20))-SUM($P45:Y45)</f>
        <v>#VALUE!</v>
      </c>
      <c r="AA45" s="446" t="e">
        <f>IF(OR($B45="",MIN(AA$38,$D$19)&lt;MAX($P$34*($B45+IF($R$17="Distrato",$I$38-1,0)),IF(AND($L$37=0,$P$34=0),"",$L$37-1),IF($R$17="Distrato",$E45,0))),0,YEARFRAC(MAX($P$34*($B45+IF($R$17="Distrato",$I$38-1,0)),IF(AND($L$37=0,$P$34=0),"",$L$37-1),IF($R$17="Distrato",$E45,0)),MIN(AA$38,$D$19),$P$20))-SUM($P45:Z45)</f>
        <v>#VALUE!</v>
      </c>
      <c r="AB45" s="446" t="e">
        <f>IF(OR($B45="",MIN(AB$38,$D$19)&lt;MAX($P$34*($B45+IF($R$17="Distrato",$I$38-1,0)),IF(AND($L$37=0,$P$34=0),"",$L$37-1),IF($R$17="Distrato",$E45,0))),0,YEARFRAC(MAX($P$34*($B45+IF($R$17="Distrato",$I$38-1,0)),IF(AND($L$37=0,$P$34=0),"",$L$37-1),IF($R$17="Distrato",$E45,0)),MIN(AB$38,$D$19),$P$20))-SUM($P45:AA45)</f>
        <v>#VALUE!</v>
      </c>
      <c r="AC45" s="446" t="e">
        <f>IF(OR($B45="",MIN(AC$38,$D$19)&lt;MAX($P$34*($B45+IF($R$17="Distrato",$I$38-1,0)),IF(AND($L$37=0,$P$34=0),"",$L$37-1),IF($R$17="Distrato",$E45,0))),0,YEARFRAC(MAX($P$34*($B45+IF($R$17="Distrato",$I$38-1,0)),IF(AND($L$37=0,$P$34=0),"",$L$37-1),IF($R$17="Distrato",$E45,0)),MIN(AC$38,$D$19),$P$20))-SUM($P45:AB45)</f>
        <v>#VALUE!</v>
      </c>
      <c r="AD45" s="446" t="e">
        <f>IF(OR($B45="",MIN(AD$38,$D$19)&lt;MAX($P$34*($B45+IF($R$17="Distrato",$I$38-1,0)),IF(AND($L$37=0,$P$34=0),"",$L$37-1),IF($R$17="Distrato",$E45,0))),0,YEARFRAC(MAX($P$34*($B45+IF($R$17="Distrato",$I$38-1,0)),IF(AND($L$37=0,$P$34=0),"",$L$37-1),IF($R$17="Distrato",$E45,0)),MIN(AD$38,$D$19),$P$20))-SUM($P45:AC45)</f>
        <v>#VALUE!</v>
      </c>
      <c r="AE45" s="446" t="e">
        <f>IF(OR($B45="",MIN(AE$38,$D$19)&lt;MAX($P$34*($B45+IF($R$17="Distrato",$I$38-1,0)),IF(AND($L$37=0,$P$34=0),"",$L$37-1),IF($R$17="Distrato",$E45,0))),0,YEARFRAC(MAX($P$34*($B45+IF($R$17="Distrato",$I$38-1,0)),IF(AND($L$37=0,$P$34=0),"",$L$37-1),IF($R$17="Distrato",$E45,0)),MIN(AE$38,$D$19),$P$20))-SUM($P45:AD45)</f>
        <v>#VALUE!</v>
      </c>
      <c r="AF45" s="446" t="e">
        <f>IF(OR($B45="",MIN(AF$38,$D$19)&lt;MAX($P$34*($B45+IF($R$17="Distrato",$I$38-1,0)),IF(AND($L$37=0,$P$34=0),"",$L$37-1),IF($R$17="Distrato",$E45,0))),0,YEARFRAC(MAX($P$34*($B45+IF($R$17="Distrato",$I$38-1,0)),IF(AND($L$37=0,$P$34=0),"",$L$37-1),IF($R$17="Distrato",$E45,0)),MIN(AF$38,$D$19),$P$20))-SUM($P45:AE45)</f>
        <v>#VALUE!</v>
      </c>
      <c r="AG45" s="446" t="e">
        <f>IF(OR($B45="",MIN(AG$38,$D$19)&lt;MAX($P$34*($B45+IF($R$17="Distrato",$I$38-1,0)),IF(AND($L$37=0,$P$34=0),"",$L$37-1),IF($R$17="Distrato",$E45,0))),0,YEARFRAC(MAX($P$34*($B45+IF($R$17="Distrato",$I$38-1,0)),IF(AND($L$37=0,$P$34=0),"",$L$37-1),IF($R$17="Distrato",$E45,0)),MIN(AG$38,$D$19),$P$20))-SUM($P45:AF45)</f>
        <v>#VALUE!</v>
      </c>
      <c r="AH45" s="446" t="e">
        <f>IF(OR($B45="",MIN(AH$38,$D$19)&lt;MAX($P$34*($B45+IF($R$17="Distrato",$I$38-1,0)),IF(AND($L$37=0,$P$34=0),"",$L$37-1),IF($R$17="Distrato",$E45,0))),0,YEARFRAC(MAX($P$34*($B45+IF($R$17="Distrato",$I$38-1,0)),IF(AND($L$37=0,$P$34=0),"",$L$37-1),IF($R$17="Distrato",$E45,0)),MIN(AH$38,$D$19),$P$20))-SUM($P45:AG45)</f>
        <v>#VALUE!</v>
      </c>
      <c r="AI45" s="446" t="e">
        <f>IF(OR($B45="",MIN(AI$38,$D$19)&lt;MAX($P$34*($B45+IF($R$17="Distrato",$I$38-1,0)),IF(AND($L$37=0,$P$34=0),"",$L$37-1),IF($R$17="Distrato",$E45,0))),0,YEARFRAC(MAX($P$34*($B45+IF($R$17="Distrato",$I$38-1,0)),IF(AND($L$37=0,$P$34=0),"",$L$37-1),IF($R$17="Distrato",$E45,0)),MIN(AI$38,$D$19),$P$20))-SUM($P45:AH45)</f>
        <v>#VALUE!</v>
      </c>
      <c r="AJ45" s="446" t="e">
        <f>IF(OR($B45="",MIN(AJ$38,$D$19)&lt;MAX($P$34*($B45+IF($R$17="Distrato",$I$38-1,0)),IF(AND($L$37=0,$P$34=0),"",$L$37-1),IF($R$17="Distrato",$E45,0))),0,YEARFRAC(MAX($P$34*($B45+IF($R$17="Distrato",$I$38-1,0)),IF(AND($L$37=0,$P$34=0),"",$L$37-1),IF($R$17="Distrato",$E45,0)),MIN(AJ$38,$D$19),$P$20))-SUM($P45:AI45)</f>
        <v>#VALUE!</v>
      </c>
      <c r="AK45" s="446" t="e">
        <f>IF(OR($B45="",MIN(AK$38,$D$19)&lt;MAX($P$34*($B45+IF($R$17="Distrato",$I$38-1,0)),IF(AND($L$37=0,$P$34=0),"",$L$37-1),IF($R$17="Distrato",$E45,0))),0,YEARFRAC(MAX($P$34*($B45+IF($R$17="Distrato",$I$38-1,0)),IF(AND($L$37=0,$P$34=0),"",$L$37-1),IF($R$17="Distrato",$E45,0)),MIN(AK$38,$D$19),$P$20))-SUM($P45:AJ45)</f>
        <v>#VALUE!</v>
      </c>
      <c r="AL45" s="446" t="e">
        <f>IF(OR($B45="",MIN(AL$38,$D$19)&lt;MAX($P$34*($B45+IF($R$17="Distrato",$I$38-1,0)),IF(AND($L$37=0,$P$34=0),"",$L$37-1),IF($R$17="Distrato",$E45,0))),0,YEARFRAC(MAX($P$34*($B45+IF($R$17="Distrato",$I$38-1,0)),IF(AND($L$37=0,$P$34=0),"",$L$37-1),IF($R$17="Distrato",$E45,0)),MIN(AL$38,$D$19),$P$20))-SUM($P45:AK45)</f>
        <v>#VALUE!</v>
      </c>
      <c r="AM45" s="446" t="e">
        <f>IF(OR($B45="",MIN(AM$38,$D$19)&lt;MAX($P$34*($B45+IF($R$17="Distrato",$I$38-1,0)),IF(AND($L$37=0,$P$34=0),"",$L$37-1),IF($R$17="Distrato",$E45,0))),0,YEARFRAC(MAX($P$34*($B45+IF($R$17="Distrato",$I$38-1,0)),IF(AND($L$37=0,$P$34=0),"",$L$37-1),IF($R$17="Distrato",$E45,0)),MIN(AM$38,$D$19),$P$20))-SUM($P45:AL45)</f>
        <v>#VALUE!</v>
      </c>
      <c r="AN45" s="446" t="e">
        <f>IF(OR($B45="",MIN(AN$38,$D$19)&lt;MAX($P$34*($B45+IF($R$17="Distrato",$I$38-1,0)),IF(AND($L$37=0,$P$34=0),"",$L$37-1),IF($R$17="Distrato",$E45,0))),0,YEARFRAC(MAX($P$34*($B45+IF($R$17="Distrato",$I$38-1,0)),IF(AND($L$37=0,$P$34=0),"",$L$37-1),IF($R$17="Distrato",$E45,0)),MIN(AN$38,$D$19),$P$20))-SUM($P45:AM45)</f>
        <v>#VALUE!</v>
      </c>
      <c r="AO45" s="446" t="e">
        <f>IF(OR($B45="",MIN(AO$38,$D$19)&lt;MAX($P$34*($B45+IF($R$17="Distrato",$I$38-1,0)),IF(AND($L$37=0,$P$34=0),"",$L$37-1),IF($R$17="Distrato",$E45,0))),0,YEARFRAC(MAX($P$34*($B45+IF($R$17="Distrato",$I$38-1,0)),IF(AND($L$37=0,$P$34=0),"",$L$37-1),IF($R$17="Distrato",$E45,0)),MIN(AO$38,$D$19),$P$20))-SUM($P45:AN45)</f>
        <v>#VALUE!</v>
      </c>
      <c r="AP45" s="446" t="e">
        <f>IF(OR($B45="",MIN(AP$38,$D$19)&lt;MAX($P$34*($B45+IF($R$17="Distrato",$I$38-1,0)),IF(AND($L$37=0,$P$34=0),"",$L$37-1),IF($R$17="Distrato",$E45,0))),0,YEARFRAC(MAX($P$34*($B45+IF($R$17="Distrato",$I$38-1,0)),IF(AND($L$37=0,$P$34=0),"",$L$37-1),IF($R$17="Distrato",$E45,0)),MIN(AP$38,$D$19),$P$20))-SUM($P45:AO45)</f>
        <v>#VALUE!</v>
      </c>
      <c r="AQ45" s="446" t="e">
        <f>IF(OR($B45="",MIN(AQ$38,$D$19)&lt;MAX($P$34*($B45+IF($R$17="Distrato",$I$38-1,0)),IF(AND($L$37=0,$P$34=0),"",$L$37-1),IF($R$17="Distrato",$E45,0))),0,YEARFRAC(MAX($P$34*($B45+IF($R$17="Distrato",$I$38-1,0)),IF(AND($L$37=0,$P$34=0),"",$L$37-1),IF($R$17="Distrato",$E45,0)),MIN(AQ$38,$D$19),$P$20))-SUM($P45:AP45)</f>
        <v>#VALUE!</v>
      </c>
      <c r="AR45" s="446" t="e">
        <f>IF(OR($B45="",MIN(AR$38,$D$19)&lt;MAX($P$34*($B45+IF($R$17="Distrato",$I$38-1,0)),IF(AND($L$37=0,$P$34=0),"",$L$37-1),IF($R$17="Distrato",$E45,0))),0,YEARFRAC(MAX($P$34*($B45+IF($R$17="Distrato",$I$38-1,0)),IF(AND($L$37=0,$P$34=0),"",$L$37-1),IF($R$17="Distrato",$E45,0)),MIN(AR$38,$D$19),$P$20))-SUM($P45:AQ45)</f>
        <v>#VALUE!</v>
      </c>
      <c r="AS45" s="446" t="e">
        <f>IF(OR($B45="",MIN(AS$38,$D$19)&lt;MAX($P$34*($B45+IF($R$17="Distrato",$I$38-1,0)),IF(AND($L$37=0,$P$34=0),"",$L$37-1),IF($R$17="Distrato",$E45,0))),0,YEARFRAC(MAX($P$34*($B45+IF($R$17="Distrato",$I$38-1,0)),IF(AND($L$37=0,$P$34=0),"",$L$37-1),IF($R$17="Distrato",$E45,0)),MIN(AS$38,$D$19),$P$20))-SUM($P45:AR45)</f>
        <v>#VALUE!</v>
      </c>
      <c r="AT45" s="446" t="e">
        <f>IF(OR($B45="",MIN(AT$38,$D$19)&lt;MAX($P$34*($B45+IF($R$17="Distrato",$I$38-1,0)),IF(AND($L$37=0,$P$34=0),"",$L$37-1),IF($R$17="Distrato",$E45,0))),0,YEARFRAC(MAX($P$34*($B45+IF($R$17="Distrato",$I$38-1,0)),IF(AND($L$37=0,$P$34=0),"",$L$37-1),IF($R$17="Distrato",$E45,0)),MIN(AT$38,$D$19),$P$20))-SUM($P45:AS45)</f>
        <v>#VALUE!</v>
      </c>
      <c r="AU45" s="446" t="e">
        <f>IF(OR($B45="",MIN(AU$38,$D$19)&lt;MAX($P$34*($B45+IF($R$17="Distrato",$I$38-1,0)),IF(AND($L$37=0,$P$34=0),"",$L$37-1),IF($R$17="Distrato",$E45,0))),0,YEARFRAC(MAX($P$34*($B45+IF($R$17="Distrato",$I$38-1,0)),IF(AND($L$37=0,$P$34=0),"",$L$37-1),IF($R$17="Distrato",$E45,0)),MIN(AU$38,$D$19),$P$20))-SUM($P45:AT45)</f>
        <v>#VALUE!</v>
      </c>
      <c r="AV45" s="446" t="e">
        <f>IF(OR($B45="",MIN(AV$38,$D$19)&lt;MAX($P$34*($B45+IF($R$17="Distrato",$I$38-1,0)),IF(AND($L$37=0,$P$34=0),"",$L$37-1),IF($R$17="Distrato",$E45,0))),0,YEARFRAC(MAX($P$34*($B45+IF($R$17="Distrato",$I$38-1,0)),IF(AND($L$37=0,$P$34=0),"",$L$37-1),IF($R$17="Distrato",$E45,0)),MIN(AV$38,$D$19),$P$20))-SUM($P45:AU45)</f>
        <v>#VALUE!</v>
      </c>
      <c r="AW45" s="446" t="e">
        <f>IF(OR($B45="",MIN(AW$38,$D$19)&lt;MAX($P$34*($B45+IF($R$17="Distrato",$I$38-1,0)),IF(AND($L$37=0,$P$34=0),"",$L$37-1),IF($R$17="Distrato",$E45,0))),0,YEARFRAC(MAX($P$34*($B45+IF($R$17="Distrato",$I$38-1,0)),IF(AND($L$37=0,$P$34=0),"",$L$37-1),IF($R$17="Distrato",$E45,0)),MIN(AW$38,$D$19),$P$20))-SUM($P45:AV45)</f>
        <v>#VALUE!</v>
      </c>
      <c r="AX45" s="446" t="e">
        <f>IF(OR($B45="",MIN(AX$38,$D$19)&lt;MAX($P$34*($B45+IF($R$17="Distrato",$I$38-1,0)),IF(AND($L$37=0,$P$34=0),"",$L$37-1),IF($R$17="Distrato",$E45,0))),0,YEARFRAC(MAX($P$34*($B45+IF($R$17="Distrato",$I$38-1,0)),IF(AND($L$37=0,$P$34=0),"",$L$37-1),IF($R$17="Distrato",$E45,0)),MIN(AX$38,$D$19),$P$20))-SUM($P45:AW45)</f>
        <v>#VALUE!</v>
      </c>
      <c r="AY45" s="446" t="e">
        <f>IF(OR($B45="",MIN(AY$38,$D$19)&lt;MAX($P$34*($B45+IF($R$17="Distrato",$I$38-1,0)),IF(AND($L$37=0,$P$34=0),"",$L$37-1),IF($R$17="Distrato",$E45,0))),0,YEARFRAC(MAX($P$34*($B45+IF($R$17="Distrato",$I$38-1,0)),IF(AND($L$37=0,$P$34=0),"",$L$37-1),IF($R$17="Distrato",$E45,0)),MIN(AY$38,$D$19),$P$20))-SUM($P45:AX45)</f>
        <v>#VALUE!</v>
      </c>
      <c r="AZ45" s="446" t="e">
        <f>IF(OR($B45="",MIN(AZ$38,$D$19)&lt;MAX($P$34*($B45+IF($R$17="Distrato",$I$38-1,0)),IF(AND($L$37=0,$P$34=0),"",$L$37-1),IF($R$17="Distrato",$E45,0))),0,YEARFRAC(MAX($P$34*($B45+IF($R$17="Distrato",$I$38-1,0)),IF(AND($L$37=0,$P$34=0),"",$L$37-1),IF($R$17="Distrato",$E45,0)),MIN(AZ$38,$D$19),$P$20))-SUM($P45:AY45)</f>
        <v>#VALUE!</v>
      </c>
      <c r="BA45" s="446" t="e">
        <f>IF(OR($B45="",MIN(BA$38,$D$19)&lt;MAX($P$34*($B45+IF($R$17="Distrato",$I$38-1,0)),IF(AND($L$37=0,$P$34=0),"",$L$37-1),IF($R$17="Distrato",$E45,0))),0,YEARFRAC(MAX($P$34*($B45+IF($R$17="Distrato",$I$38-1,0)),IF(AND($L$37=0,$P$34=0),"",$L$37-1),IF($R$17="Distrato",$E45,0)),MIN(BA$38,$D$19),$P$20))-SUM($P45:AZ45)</f>
        <v>#VALUE!</v>
      </c>
      <c r="BB45" s="447"/>
      <c r="BF45" s="446">
        <f t="shared" si="10"/>
        <v>0</v>
      </c>
      <c r="BG45" s="446">
        <f>IF($E45=0,0,IF(MIN(BG$38,$E45)&lt;MAX($P$34*($B45+$I$38-1),IF(AND($L$37=0,$P$34=0),"",$L$37-1)),0,YEARFRAC(MAX($P$34*($B45+$I$38-1),IF(AND($L$37=0,$P$34=0),"",$L$37-1)),MIN(BG$38,$E45),$P$20))-SUM($BF45:BF45))</f>
        <v>0</v>
      </c>
      <c r="BH45" s="446">
        <f>IF($E45=0,0,IF(MIN(BH$38,$E45)&lt;MAX($P$34*($B45+$I$38-1),IF(AND($L$37=0,$P$34=0),"",$L$37-1)),0,YEARFRAC(MAX($P$34*($B45+$I$38-1),IF(AND($L$37=0,$P$34=0),"",$L$37-1)),MIN(BH$38,$E45),$P$20))-SUM($BF45:BG45))</f>
        <v>0</v>
      </c>
      <c r="BI45" s="446">
        <f>IF($E45=0,0,IF(MIN(BI$38,$E45)&lt;MAX($P$34*($B45+$I$38-1),IF(AND($L$37=0,$P$34=0),"",$L$37-1)),0,YEARFRAC(MAX($P$34*($B45+$I$38-1),IF(AND($L$37=0,$P$34=0),"",$L$37-1)),MIN(BI$38,$E45),$P$20))-SUM($BF45:BH45))</f>
        <v>0</v>
      </c>
      <c r="BJ45" s="446">
        <f>IF($E45=0,0,IF(MIN(BJ$38,$E45)&lt;MAX($P$34*($B45+$I$38-1),IF(AND($L$37=0,$P$34=0),"",$L$37-1)),0,YEARFRAC(MAX($P$34*($B45+$I$38-1),IF(AND($L$37=0,$P$34=0),"",$L$37-1)),MIN(BJ$38,$E45),$P$20))-SUM($BF45:BI45))</f>
        <v>0</v>
      </c>
      <c r="BK45" s="446">
        <f>IF($E45=0,0,IF(MIN(BK$38,$E45)&lt;MAX($P$34*($B45+$I$38-1),IF(AND($L$37=0,$P$34=0),"",$L$37-1)),0,YEARFRAC(MAX($P$34*($B45+$I$38-1),IF(AND($L$37=0,$P$34=0),"",$L$37-1)),MIN(BK$38,$E45),$P$20))-SUM($BF45:BJ45))</f>
        <v>0</v>
      </c>
      <c r="BL45" s="446">
        <f>IF($E45=0,0,IF(MIN(BL$38,$E45)&lt;MAX($P$34*($B45+$I$38-1),IF(AND($L$37=0,$P$34=0),"",$L$37-1)),0,YEARFRAC(MAX($P$34*($B45+$I$38-1),IF(AND($L$37=0,$P$34=0),"",$L$37-1)),MIN(BL$38,$E45),$P$20))-SUM($BF45:BK45))</f>
        <v>0</v>
      </c>
      <c r="BM45" s="446">
        <f>IF($E45=0,0,IF(MIN(BM$38,$E45)&lt;MAX($P$34*($B45+$I$38-1),IF(AND($L$37=0,$P$34=0),"",$L$37-1)),0,YEARFRAC(MAX($P$34*($B45+$I$38-1),IF(AND($L$37=0,$P$34=0),"",$L$37-1)),MIN(BM$38,$E45),$P$20))-SUM($BF45:BL45))</f>
        <v>0</v>
      </c>
      <c r="BN45" s="446">
        <f>IF($E45=0,0,IF(MIN(BN$38,$E45)&lt;MAX($P$34*($B45+$I$38-1),IF(AND($L$37=0,$P$34=0),"",$L$37-1)),0,YEARFRAC(MAX($P$34*($B45+$I$38-1),IF(AND($L$37=0,$P$34=0),"",$L$37-1)),MIN(BN$38,$E45),$P$20))-SUM($BF45:BM45))</f>
        <v>0</v>
      </c>
      <c r="BO45" s="446">
        <f>IF($E45=0,0,IF(MIN(BO$38,$E45)&lt;MAX($P$34*($B45+$I$38-1),IF(AND($L$37=0,$P$34=0),"",$L$37-1)),0,YEARFRAC(MAX($P$34*($B45+$I$38-1),IF(AND($L$37=0,$P$34=0),"",$L$37-1)),MIN(BO$38,$E45),$P$20))-SUM($BF45:BN45))</f>
        <v>0</v>
      </c>
      <c r="BP45" s="446">
        <f>IF($E45=0,0,IF(MIN(BP$38,$E45)&lt;MAX($P$34*($B45+$I$38-1),IF(AND($L$37=0,$P$34=0),"",$L$37-1)),0,YEARFRAC(MAX($P$34*($B45+$I$38-1),IF(AND($L$37=0,$P$34=0),"",$L$37-1)),MIN(BP$38,$E45),$P$20))-SUM($BF45:BO45))</f>
        <v>0</v>
      </c>
      <c r="BQ45" s="446">
        <f>IF($E45=0,0,IF(MIN(BQ$38,$E45)&lt;MAX($P$34*($B45+$I$38-1),IF(AND($L$37=0,$P$34=0),"",$L$37-1)),0,YEARFRAC(MAX($P$34*($B45+$I$38-1),IF(AND($L$37=0,$P$34=0),"",$L$37-1)),MIN(BQ$38,$E45),$P$20))-SUM($BF45:BP45))</f>
        <v>0</v>
      </c>
      <c r="BR45" s="446">
        <f>IF($E45=0,0,IF(MIN(BR$38,$E45)&lt;MAX($P$34*($B45+$I$38-1),IF(AND($L$37=0,$P$34=0),"",$L$37-1)),0,YEARFRAC(MAX($P$34*($B45+$I$38-1),IF(AND($L$37=0,$P$34=0),"",$L$37-1)),MIN(BR$38,$E45),$P$20))-SUM($BF45:BQ45))</f>
        <v>0</v>
      </c>
      <c r="BS45" s="446">
        <f>IF($E45=0,0,IF(MIN(BS$38,$E45)&lt;MAX($P$34*($B45+$I$38-1),IF(AND($L$37=0,$P$34=0),"",$L$37-1)),0,YEARFRAC(MAX($P$34*($B45+$I$38-1),IF(AND($L$37=0,$P$34=0),"",$L$37-1)),MIN(BS$38,$E45),$P$20))-SUM($BF45:BR45))</f>
        <v>0</v>
      </c>
      <c r="BT45" s="446">
        <f>IF($E45=0,0,IF(MIN(BT$38,$E45)&lt;MAX($P$34*($B45+$I$38-1),IF(AND($L$37=0,$P$34=0),"",$L$37-1)),0,YEARFRAC(MAX($P$34*($B45+$I$38-1),IF(AND($L$37=0,$P$34=0),"",$L$37-1)),MIN(BT$38,$E45),$P$20))-SUM($BF45:BS45))</f>
        <v>0</v>
      </c>
      <c r="BU45" s="446">
        <f>IF($E45=0,0,IF(MIN(BU$38,$E45)&lt;MAX($P$34*($B45+$I$38-1),IF(AND($L$37=0,$P$34=0),"",$L$37-1)),0,YEARFRAC(MAX($P$34*($B45+$I$38-1),IF(AND($L$37=0,$P$34=0),"",$L$37-1)),MIN(BU$38,$E45),$P$20))-SUM($BF45:BT45))</f>
        <v>0</v>
      </c>
      <c r="BV45" s="446">
        <f>IF($E45=0,0,IF(MIN(BV$38,$E45)&lt;MAX($P$34*($B45+$I$38-1),IF(AND($L$37=0,$P$34=0),"",$L$37-1)),0,YEARFRAC(MAX($P$34*($B45+$I$38-1),IF(AND($L$37=0,$P$34=0),"",$L$37-1)),MIN(BV$38,$E45),$P$20))-SUM($BF45:BU45))</f>
        <v>0</v>
      </c>
      <c r="BW45" s="446">
        <f>IF($E45=0,0,IF(MIN(BW$38,$E45)&lt;MAX($P$34*($B45+$I$38-1),IF(AND($L$37=0,$P$34=0),"",$L$37-1)),0,YEARFRAC(MAX($P$34*($B45+$I$38-1),IF(AND($L$37=0,$P$34=0),"",$L$37-1)),MIN(BW$38,$E45),$P$20))-SUM($BF45:BV45))</f>
        <v>0</v>
      </c>
      <c r="BX45" s="446">
        <f>IF($E45=0,0,IF(MIN(BX$38,$E45)&lt;MAX($P$34*($B45+$I$38-1),IF(AND($L$37=0,$P$34=0),"",$L$37-1)),0,YEARFRAC(MAX($P$34*($B45+$I$38-1),IF(AND($L$37=0,$P$34=0),"",$L$37-1)),MIN(BX$38,$E45),$P$20))-SUM($BF45:BW45))</f>
        <v>0</v>
      </c>
      <c r="BY45" s="446">
        <f>IF($E45=0,0,IF(MIN(BY$38,$E45)&lt;MAX($P$34*($B45+$I$38-1),IF(AND($L$37=0,$P$34=0),"",$L$37-1)),0,YEARFRAC(MAX($P$34*($B45+$I$38-1),IF(AND($L$37=0,$P$34=0),"",$L$37-1)),MIN(BY$38,$E45),$P$20))-SUM($BF45:BX45))</f>
        <v>0</v>
      </c>
      <c r="BZ45" s="446">
        <f>IF($E45=0,0,IF(MIN(BZ$38,$E45)&lt;MAX($P$34*($B45+$I$38-1),IF(AND($L$37=0,$P$34=0),"",$L$37-1)),0,YEARFRAC(MAX($P$34*($B45+$I$38-1),IF(AND($L$37=0,$P$34=0),"",$L$37-1)),MIN(BZ$38,$E45),$P$20))-SUM($BF45:BY45))</f>
        <v>0</v>
      </c>
      <c r="CA45" s="446">
        <f>IF($E45=0,0,IF(MIN(CA$38,$E45)&lt;MAX($P$34*($B45+$I$38-1),IF(AND($L$37=0,$P$34=0),"",$L$37-1)),0,YEARFRAC(MAX($P$34*($B45+$I$38-1),IF(AND($L$37=0,$P$34=0),"",$L$37-1)),MIN(CA$38,$E45),$P$20))-SUM($BF45:BZ45))</f>
        <v>0</v>
      </c>
      <c r="CB45" s="446">
        <f>IF($E45=0,0,IF(MIN(CB$38,$E45)&lt;MAX($P$34*($B45+$I$38-1),IF(AND($L$37=0,$P$34=0),"",$L$37-1)),0,YEARFRAC(MAX($P$34*($B45+$I$38-1),IF(AND($L$37=0,$P$34=0),"",$L$37-1)),MIN(CB$38,$E45),$P$20))-SUM($BF45:CA45))</f>
        <v>0</v>
      </c>
      <c r="CC45" s="446">
        <f>IF($E45=0,0,IF(MIN(CC$38,$E45)&lt;MAX($P$34*($B45+$I$38-1),IF(AND($L$37=0,$P$34=0),"",$L$37-1)),0,YEARFRAC(MAX($P$34*($B45+$I$38-1),IF(AND($L$37=0,$P$34=0),"",$L$37-1)),MIN(CC$38,$E45),$P$20))-SUM($BF45:CB45))</f>
        <v>0</v>
      </c>
      <c r="CD45" s="446">
        <f>IF($E45=0,0,IF(MIN(CD$38,$E45)&lt;MAX($P$34*($B45+$I$38-1),IF(AND($L$37=0,$P$34=0),"",$L$37-1)),0,YEARFRAC(MAX($P$34*($B45+$I$38-1),IF(AND($L$37=0,$P$34=0),"",$L$37-1)),MIN(CD$38,$E45),$P$20))-SUM($BF45:CC45))</f>
        <v>0</v>
      </c>
      <c r="CE45" s="446">
        <f>IF($E45=0,0,IF(MIN(CE$38,$E45)&lt;MAX($P$34*($B45+$I$38-1),IF(AND($L$37=0,$P$34=0),"",$L$37-1)),0,YEARFRAC(MAX($P$34*($B45+$I$38-1),IF(AND($L$37=0,$P$34=0),"",$L$37-1)),MIN(CE$38,$E45),$P$20))-SUM($BF45:CD45))</f>
        <v>0</v>
      </c>
      <c r="CF45" s="446">
        <f>IF($E45=0,0,IF(MIN(CF$38,$E45)&lt;MAX($P$34*($B45+$I$38-1),IF(AND($L$37=0,$P$34=0),"",$L$37-1)),0,YEARFRAC(MAX($P$34*($B45+$I$38-1),IF(AND($L$37=0,$P$34=0),"",$L$37-1)),MIN(CF$38,$E45),$P$20))-SUM($BF45:CE45))</f>
        <v>0</v>
      </c>
      <c r="CG45" s="446">
        <f>IF($E45=0,0,IF(MIN(CG$38,$E45)&lt;MAX($P$34*($B45+$I$38-1),IF(AND($L$37=0,$P$34=0),"",$L$37-1)),0,YEARFRAC(MAX($P$34*($B45+$I$38-1),IF(AND($L$37=0,$P$34=0),"",$L$37-1)),MIN(CG$38,$E45),$P$20))-SUM($BF45:CF45))</f>
        <v>0</v>
      </c>
      <c r="CH45" s="446">
        <f>IF($E45=0,0,IF(MIN(CH$38,$E45)&lt;MAX($P$34*($B45+$I$38-1),IF(AND($L$37=0,$P$34=0),"",$L$37-1)),0,YEARFRAC(MAX($P$34*($B45+$I$38-1),IF(AND($L$37=0,$P$34=0),"",$L$37-1)),MIN(CH$38,$E45),$P$20))-SUM($BF45:CG45))</f>
        <v>0</v>
      </c>
      <c r="CI45" s="446">
        <f>IF($E45=0,0,IF(MIN(CI$38,$E45)&lt;MAX($P$34*($B45+$I$38-1),IF(AND($L$37=0,$P$34=0),"",$L$37-1)),0,YEARFRAC(MAX($P$34*($B45+$I$38-1),IF(AND($L$37=0,$P$34=0),"",$L$37-1)),MIN(CI$38,$E45),$P$20))-SUM($BF45:CH45))</f>
        <v>0</v>
      </c>
      <c r="CJ45" s="446">
        <f>IF($E45=0,0,IF(MIN(CJ$38,$E45)&lt;MAX($P$34*($B45+$I$38-1),IF(AND($L$37=0,$P$34=0),"",$L$37-1)),0,YEARFRAC(MAX($P$34*($B45+$I$38-1),IF(AND($L$37=0,$P$34=0),"",$L$37-1)),MIN(CJ$38,$E45),$P$20))-SUM($BF45:CI45))</f>
        <v>0</v>
      </c>
      <c r="CK45" s="446">
        <f>IF($E45=0,0,IF(MIN(CK$38,$E45)&lt;MAX($P$34*($B45+$I$38-1),IF(AND($L$37=0,$P$34=0),"",$L$37-1)),0,YEARFRAC(MAX($P$34*($B45+$I$38-1),IF(AND($L$37=0,$P$34=0),"",$L$37-1)),MIN(CK$38,$E45),$P$20))-SUM($BF45:CJ45))</f>
        <v>0</v>
      </c>
      <c r="CL45" s="446">
        <f>IF($E45=0,0,IF(MIN(CL$38,$E45)&lt;MAX($P$34*($B45+$I$38-1),IF(AND($L$37=0,$P$34=0),"",$L$37-1)),0,YEARFRAC(MAX($P$34*($B45+$I$38-1),IF(AND($L$37=0,$P$34=0),"",$L$37-1)),MIN(CL$38,$E45),$P$20))-SUM($BF45:CK45))</f>
        <v>0</v>
      </c>
      <c r="CM45" s="446">
        <f>IF($E45=0,0,IF(MIN(CM$38,$E45)&lt;MAX($P$34*($B45+$I$38-1),IF(AND($L$37=0,$P$34=0),"",$L$37-1)),0,YEARFRAC(MAX($P$34*($B45+$I$38-1),IF(AND($L$37=0,$P$34=0),"",$L$37-1)),MIN(CM$38,$E45),$P$20))-SUM($BF45:CL45))</f>
        <v>0</v>
      </c>
      <c r="CN45" s="446">
        <f>IF($E45=0,0,IF(MIN(CN$38,$E45)&lt;MAX($P$34*($B45+$I$38-1),IF(AND($L$37=0,$P$34=0),"",$L$37-1)),0,YEARFRAC(MAX($P$34*($B45+$I$38-1),IF(AND($L$37=0,$P$34=0),"",$L$37-1)),MIN(CN$38,$E45),$P$20))-SUM($BF45:CM45))</f>
        <v>0</v>
      </c>
      <c r="CO45" s="446">
        <f>IF($E45=0,0,IF(MIN(CO$38,$E45)&lt;MAX($P$34*($B45+$I$38-1),IF(AND($L$37=0,$P$34=0),"",$L$37-1)),0,YEARFRAC(MAX($P$34*($B45+$I$38-1),IF(AND($L$37=0,$P$34=0),"",$L$37-1)),MIN(CO$38,$E45),$P$20))-SUM($BF45:CN45))</f>
        <v>0</v>
      </c>
      <c r="CP45" s="446">
        <f>IF($E45=0,0,IF(MIN(CP$38,$E45)&lt;MAX($P$34*($B45+$I$38-1),IF(AND($L$37=0,$P$34=0),"",$L$37-1)),0,YEARFRAC(MAX($P$34*($B45+$I$38-1),IF(AND($L$37=0,$P$34=0),"",$L$37-1)),MIN(CP$38,$E45),$P$20))-SUM($BF45:CO45))</f>
        <v>0</v>
      </c>
      <c r="CQ45" s="446">
        <f>IF($E45=0,0,IF(MIN(CQ$38,$E45)&lt;MAX($P$34*($B45+$I$38-1),IF(AND($L$37=0,$P$34=0),"",$L$37-1)),0,YEARFRAC(MAX($P$34*($B45+$I$38-1),IF(AND($L$37=0,$P$34=0),"",$L$37-1)),MIN(CQ$38,$E45),$P$20))-SUM($BF45:CP45))</f>
        <v>0</v>
      </c>
    </row>
    <row r="46" spans="1:116" s="446" customFormat="1" ht="11.25" hidden="1" customHeight="1" x14ac:dyDescent="0.2">
      <c r="A46" s="152"/>
      <c r="B46" s="153" t="str">
        <f t="shared" si="15"/>
        <v/>
      </c>
      <c r="C46" s="29" t="str">
        <f>IF(B46="","",IF($L$35="SELIC - TRIBUTOS",VLOOKUP(DATE(YEAR($D$19),MONTH($D$19)-1,1),ÍNDICES!$A:$DE,HLOOKUP($BL$25,ÍNDICES!$B$3:$T$4,2)+11)-VLOOKUP(B46,ÍNDICES!$A:$DE,HLOOKUP($BL$25,ÍNDICES!$B$3:$T$4,2)+11)+1%,IF(C$38=$W$26,$J$35,IF(ISERROR(IF(B46&gt;$D$19,1,VLOOKUP(DATE(YEAR(B46),MONTH(B46)+IF($C$35=$S$23,1,0),1),ÍNDICES!$A:$DE,$Z$35+1))),"",IF(B46&gt;$D$19,1,VLOOKUP(DATE(YEAR(B46),MONTH(B46)+IF($C$35=$S$23,1,0),1),ÍNDICES!$A:$DE,$Z$35+1))))))</f>
        <v/>
      </c>
      <c r="D46" s="154" t="str">
        <f>IF(ISERROR(IF(OR($D$38=$Y$27,$B46=""),"",VLOOKUP(B46,ÍNDICES!A:DE,AF$35+1))),"",IF(OR($D$38=$Y$27,$B46=""),"",VLOOKUP(B46,ÍNDICES!A:DE,AF$35+1)))</f>
        <v/>
      </c>
      <c r="E46" s="153"/>
      <c r="F46" s="29" t="str">
        <f>IF(E46="","",IF($L$35="SELIC - TRIBUTOS",VLOOKUP(DATE(YEAR($D$19),MONTH($D$19)-1,1),ÍNDICES!$A:$DE,HLOOKUP($BL$25,ÍNDICES!$B$3:$T$4,2)+11)-VLOOKUP(IF(E46&gt;B46,E46,B46),ÍNDICES!$A:$DE,HLOOKUP($BL$25,ÍNDICES!$B$3:$T$4,2)+11)+1%,IF(F$38=$W$26,$J$35,IF(ISERROR(IF(E46&gt;$D$19,1,VLOOKUP(DATE(YEAR(E46),MONTH(E46)+IF($C$35=$S$23,1,0),1),ÍNDICES!$A:$DE,$Z$35+1))),"",IF(E46&gt;$D$19,1,VLOOKUP(DATE(YEAR(E46),MONTH(E46)+IF($C$35=$S$23,1,0),1),ÍNDICES!$A:$DE,$Z$35+1))))))</f>
        <v/>
      </c>
      <c r="G46" s="155"/>
      <c r="H46" s="156" t="str">
        <f t="shared" si="11"/>
        <v/>
      </c>
      <c r="I46" s="29" t="str">
        <f t="shared" si="5"/>
        <v/>
      </c>
      <c r="J46" s="5">
        <f t="shared" si="6"/>
        <v>0</v>
      </c>
      <c r="K46" s="20">
        <f t="shared" ca="1" si="7"/>
        <v>0</v>
      </c>
      <c r="L46" s="5">
        <f t="shared" ca="1" si="8"/>
        <v>0</v>
      </c>
      <c r="M46" s="64">
        <f t="shared" si="12"/>
        <v>0</v>
      </c>
      <c r="N46" s="61">
        <f t="shared" ca="1" si="13"/>
        <v>0</v>
      </c>
      <c r="O46" s="5">
        <f t="shared" ca="1" si="14"/>
        <v>0</v>
      </c>
      <c r="P46" s="446" t="e">
        <f t="shared" si="9"/>
        <v>#VALUE!</v>
      </c>
      <c r="Q46" s="446" t="e">
        <f>IF(OR($B46="",MIN(Q$38,$D$19)&lt;MAX($P$34*($B46+IF($R$17="Distrato",$I$38-1,0)),IF(AND($L$37=0,$P$34=0),"",$L$37-1),IF($R$17="Distrato",$E46,0))),0,YEARFRAC(MAX($P$34*($B46+IF($R$17="Distrato",$I$38-1,0)),IF(AND($L$37=0,$P$34=0),"",$L$37-1),IF($R$17="Distrato",$E46,0)),MIN(Q$38,$D$19),$P$20))-SUM($P46:P46)</f>
        <v>#VALUE!</v>
      </c>
      <c r="R46" s="446" t="e">
        <f>IF(OR($B46="",MIN(R$38,$D$19)&lt;MAX($P$34*($B46+IF($R$17="Distrato",$I$38-1,0)),IF(AND($L$37=0,$P$34=0),"",$L$37-1),IF($R$17="Distrato",$E46,0))),0,YEARFRAC(MAX($P$34*($B46+IF($R$17="Distrato",$I$38-1,0)),IF(AND($L$37=0,$P$34=0),"",$L$37-1),IF($R$17="Distrato",$E46,0)),MIN(R$38,$D$19),$P$20))-SUM($P46:Q46)</f>
        <v>#VALUE!</v>
      </c>
      <c r="S46" s="446" t="e">
        <f>IF(OR($B46="",MIN(S$38,$D$19)&lt;MAX($P$34*($B46+IF($R$17="Distrato",$I$38-1,0)),IF(AND($L$37=0,$P$34=0),"",$L$37-1),IF($R$17="Distrato",$E46,0))),0,YEARFRAC(MAX($P$34*($B46+IF($R$17="Distrato",$I$38-1,0)),IF(AND($L$37=0,$P$34=0),"",$L$37-1),IF($R$17="Distrato",$E46,0)),MIN(S$38,$D$19),$P$20))-SUM($P46:R46)</f>
        <v>#VALUE!</v>
      </c>
      <c r="T46" s="446" t="e">
        <f>IF(OR($B46="",MIN(T$38,$D$19)&lt;MAX($P$34*($B46+IF($R$17="Distrato",$I$38-1,0)),IF(AND($L$37=0,$P$34=0),"",$L$37-1),IF($R$17="Distrato",$E46,0))),0,YEARFRAC(MAX($P$34*($B46+IF($R$17="Distrato",$I$38-1,0)),IF(AND($L$37=0,$P$34=0),"",$L$37-1),IF($R$17="Distrato",$E46,0)),MIN(T$38,$D$19),$P$20))-SUM($P46:S46)</f>
        <v>#VALUE!</v>
      </c>
      <c r="U46" s="446" t="e">
        <f>IF(OR($B46="",MIN(U$38,$D$19)&lt;MAX($P$34*($B46+IF($R$17="Distrato",$I$38-1,0)),IF(AND($L$37=0,$P$34=0),"",$L$37-1),IF($R$17="Distrato",$E46,0))),0,YEARFRAC(MAX($P$34*($B46+IF($R$17="Distrato",$I$38-1,0)),IF(AND($L$37=0,$P$34=0),"",$L$37-1),IF($R$17="Distrato",$E46,0)),MIN(U$38,$D$19),$P$20))-SUM($P46:T46)</f>
        <v>#VALUE!</v>
      </c>
      <c r="V46" s="446" t="e">
        <f>IF(OR($B46="",MIN(V$38,$D$19)&lt;MAX($P$34*($B46+IF($R$17="Distrato",$I$38-1,0)),IF(AND($L$37=0,$P$34=0),"",$L$37-1),IF($R$17="Distrato",$E46,0))),0,YEARFRAC(MAX($P$34*($B46+IF($R$17="Distrato",$I$38-1,0)),IF(AND($L$37=0,$P$34=0),"",$L$37-1),IF($R$17="Distrato",$E46,0)),MIN(V$38,$D$19),$P$20))-SUM($P46:U46)</f>
        <v>#VALUE!</v>
      </c>
      <c r="W46" s="446" t="e">
        <f>IF(OR($B46="",MIN(W$38,$D$19)&lt;MAX($P$34*($B46+IF($R$17="Distrato",$I$38-1,0)),IF(AND($L$37=0,$P$34=0),"",$L$37-1),IF($R$17="Distrato",$E46,0))),0,YEARFRAC(MAX($P$34*($B46+IF($R$17="Distrato",$I$38-1,0)),IF(AND($L$37=0,$P$34=0),"",$L$37-1),IF($R$17="Distrato",$E46,0)),MIN(W$38,$D$19),$P$20))-SUM($P46:V46)</f>
        <v>#VALUE!</v>
      </c>
      <c r="X46" s="446" t="e">
        <f>IF(OR($B46="",MIN(X$38,$D$19)&lt;MAX($P$34*($B46+IF($R$17="Distrato",$I$38-1,0)),IF(AND($L$37=0,$P$34=0),"",$L$37-1),IF($R$17="Distrato",$E46,0))),0,YEARFRAC(MAX($P$34*($B46+IF($R$17="Distrato",$I$38-1,0)),IF(AND($L$37=0,$P$34=0),"",$L$37-1),IF($R$17="Distrato",$E46,0)),MIN(X$38,$D$19),$P$20))-SUM($P46:W46)</f>
        <v>#VALUE!</v>
      </c>
      <c r="Y46" s="446" t="e">
        <f>IF(OR($B46="",MIN(Y$38,$D$19)&lt;MAX($P$34*($B46+IF($R$17="Distrato",$I$38-1,0)),IF(AND($L$37=0,$P$34=0),"",$L$37-1),IF($R$17="Distrato",$E46,0))),0,YEARFRAC(MAX($P$34*($B46+IF($R$17="Distrato",$I$38-1,0)),IF(AND($L$37=0,$P$34=0),"",$L$37-1),IF($R$17="Distrato",$E46,0)),MIN(Y$38,$D$19),$P$20))-SUM($P46:X46)</f>
        <v>#VALUE!</v>
      </c>
      <c r="Z46" s="446" t="e">
        <f>IF(OR($B46="",MIN(Z$38,$D$19)&lt;MAX($P$34*($B46+IF($R$17="Distrato",$I$38-1,0)),IF(AND($L$37=0,$P$34=0),"",$L$37-1),IF($R$17="Distrato",$E46,0))),0,YEARFRAC(MAX($P$34*($B46+IF($R$17="Distrato",$I$38-1,0)),IF(AND($L$37=0,$P$34=0),"",$L$37-1),IF($R$17="Distrato",$E46,0)),MIN(Z$38,$D$19),$P$20))-SUM($P46:Y46)</f>
        <v>#VALUE!</v>
      </c>
      <c r="AA46" s="446" t="e">
        <f>IF(OR($B46="",MIN(AA$38,$D$19)&lt;MAX($P$34*($B46+IF($R$17="Distrato",$I$38-1,0)),IF(AND($L$37=0,$P$34=0),"",$L$37-1),IF($R$17="Distrato",$E46,0))),0,YEARFRAC(MAX($P$34*($B46+IF($R$17="Distrato",$I$38-1,0)),IF(AND($L$37=0,$P$34=0),"",$L$37-1),IF($R$17="Distrato",$E46,0)),MIN(AA$38,$D$19),$P$20))-SUM($P46:Z46)</f>
        <v>#VALUE!</v>
      </c>
      <c r="AB46" s="446" t="e">
        <f>IF(OR($B46="",MIN(AB$38,$D$19)&lt;MAX($P$34*($B46+IF($R$17="Distrato",$I$38-1,0)),IF(AND($L$37=0,$P$34=0),"",$L$37-1),IF($R$17="Distrato",$E46,0))),0,YEARFRAC(MAX($P$34*($B46+IF($R$17="Distrato",$I$38-1,0)),IF(AND($L$37=0,$P$34=0),"",$L$37-1),IF($R$17="Distrato",$E46,0)),MIN(AB$38,$D$19),$P$20))-SUM($P46:AA46)</f>
        <v>#VALUE!</v>
      </c>
      <c r="AC46" s="446" t="e">
        <f>IF(OR($B46="",MIN(AC$38,$D$19)&lt;MAX($P$34*($B46+IF($R$17="Distrato",$I$38-1,0)),IF(AND($L$37=0,$P$34=0),"",$L$37-1),IF($R$17="Distrato",$E46,0))),0,YEARFRAC(MAX($P$34*($B46+IF($R$17="Distrato",$I$38-1,0)),IF(AND($L$37=0,$P$34=0),"",$L$37-1),IF($R$17="Distrato",$E46,0)),MIN(AC$38,$D$19),$P$20))-SUM($P46:AB46)</f>
        <v>#VALUE!</v>
      </c>
      <c r="AD46" s="446" t="e">
        <f>IF(OR($B46="",MIN(AD$38,$D$19)&lt;MAX($P$34*($B46+IF($R$17="Distrato",$I$38-1,0)),IF(AND($L$37=0,$P$34=0),"",$L$37-1),IF($R$17="Distrato",$E46,0))),0,YEARFRAC(MAX($P$34*($B46+IF($R$17="Distrato",$I$38-1,0)),IF(AND($L$37=0,$P$34=0),"",$L$37-1),IF($R$17="Distrato",$E46,0)),MIN(AD$38,$D$19),$P$20))-SUM($P46:AC46)</f>
        <v>#VALUE!</v>
      </c>
      <c r="AE46" s="446" t="e">
        <f>IF(OR($B46="",MIN(AE$38,$D$19)&lt;MAX($P$34*($B46+IF($R$17="Distrato",$I$38-1,0)),IF(AND($L$37=0,$P$34=0),"",$L$37-1),IF($R$17="Distrato",$E46,0))),0,YEARFRAC(MAX($P$34*($B46+IF($R$17="Distrato",$I$38-1,0)),IF(AND($L$37=0,$P$34=0),"",$L$37-1),IF($R$17="Distrato",$E46,0)),MIN(AE$38,$D$19),$P$20))-SUM($P46:AD46)</f>
        <v>#VALUE!</v>
      </c>
      <c r="AF46" s="446" t="e">
        <f>IF(OR($B46="",MIN(AF$38,$D$19)&lt;MAX($P$34*($B46+IF($R$17="Distrato",$I$38-1,0)),IF(AND($L$37=0,$P$34=0),"",$L$37-1),IF($R$17="Distrato",$E46,0))),0,YEARFRAC(MAX($P$34*($B46+IF($R$17="Distrato",$I$38-1,0)),IF(AND($L$37=0,$P$34=0),"",$L$37-1),IF($R$17="Distrato",$E46,0)),MIN(AF$38,$D$19),$P$20))-SUM($P46:AE46)</f>
        <v>#VALUE!</v>
      </c>
      <c r="AG46" s="446" t="e">
        <f>IF(OR($B46="",MIN(AG$38,$D$19)&lt;MAX($P$34*($B46+IF($R$17="Distrato",$I$38-1,0)),IF(AND($L$37=0,$P$34=0),"",$L$37-1),IF($R$17="Distrato",$E46,0))),0,YEARFRAC(MAX($P$34*($B46+IF($R$17="Distrato",$I$38-1,0)),IF(AND($L$37=0,$P$34=0),"",$L$37-1),IF($R$17="Distrato",$E46,0)),MIN(AG$38,$D$19),$P$20))-SUM($P46:AF46)</f>
        <v>#VALUE!</v>
      </c>
      <c r="AH46" s="446" t="e">
        <f>IF(OR($B46="",MIN(AH$38,$D$19)&lt;MAX($P$34*($B46+IF($R$17="Distrato",$I$38-1,0)),IF(AND($L$37=0,$P$34=0),"",$L$37-1),IF($R$17="Distrato",$E46,0))),0,YEARFRAC(MAX($P$34*($B46+IF($R$17="Distrato",$I$38-1,0)),IF(AND($L$37=0,$P$34=0),"",$L$37-1),IF($R$17="Distrato",$E46,0)),MIN(AH$38,$D$19),$P$20))-SUM($P46:AG46)</f>
        <v>#VALUE!</v>
      </c>
      <c r="AI46" s="446" t="e">
        <f>IF(OR($B46="",MIN(AI$38,$D$19)&lt;MAX($P$34*($B46+IF($R$17="Distrato",$I$38-1,0)),IF(AND($L$37=0,$P$34=0),"",$L$37-1),IF($R$17="Distrato",$E46,0))),0,YEARFRAC(MAX($P$34*($B46+IF($R$17="Distrato",$I$38-1,0)),IF(AND($L$37=0,$P$34=0),"",$L$37-1),IF($R$17="Distrato",$E46,0)),MIN(AI$38,$D$19),$P$20))-SUM($P46:AH46)</f>
        <v>#VALUE!</v>
      </c>
      <c r="AJ46" s="446" t="e">
        <f>IF(OR($B46="",MIN(AJ$38,$D$19)&lt;MAX($P$34*($B46+IF($R$17="Distrato",$I$38-1,0)),IF(AND($L$37=0,$P$34=0),"",$L$37-1),IF($R$17="Distrato",$E46,0))),0,YEARFRAC(MAX($P$34*($B46+IF($R$17="Distrato",$I$38-1,0)),IF(AND($L$37=0,$P$34=0),"",$L$37-1),IF($R$17="Distrato",$E46,0)),MIN(AJ$38,$D$19),$P$20))-SUM($P46:AI46)</f>
        <v>#VALUE!</v>
      </c>
      <c r="AK46" s="446" t="e">
        <f>IF(OR($B46="",MIN(AK$38,$D$19)&lt;MAX($P$34*($B46+IF($R$17="Distrato",$I$38-1,0)),IF(AND($L$37=0,$P$34=0),"",$L$37-1),IF($R$17="Distrato",$E46,0))),0,YEARFRAC(MAX($P$34*($B46+IF($R$17="Distrato",$I$38-1,0)),IF(AND($L$37=0,$P$34=0),"",$L$37-1),IF($R$17="Distrato",$E46,0)),MIN(AK$38,$D$19),$P$20))-SUM($P46:AJ46)</f>
        <v>#VALUE!</v>
      </c>
      <c r="AL46" s="446" t="e">
        <f>IF(OR($B46="",MIN(AL$38,$D$19)&lt;MAX($P$34*($B46+IF($R$17="Distrato",$I$38-1,0)),IF(AND($L$37=0,$P$34=0),"",$L$37-1),IF($R$17="Distrato",$E46,0))),0,YEARFRAC(MAX($P$34*($B46+IF($R$17="Distrato",$I$38-1,0)),IF(AND($L$37=0,$P$34=0),"",$L$37-1),IF($R$17="Distrato",$E46,0)),MIN(AL$38,$D$19),$P$20))-SUM($P46:AK46)</f>
        <v>#VALUE!</v>
      </c>
      <c r="AM46" s="446" t="e">
        <f>IF(OR($B46="",MIN(AM$38,$D$19)&lt;MAX($P$34*($B46+IF($R$17="Distrato",$I$38-1,0)),IF(AND($L$37=0,$P$34=0),"",$L$37-1),IF($R$17="Distrato",$E46,0))),0,YEARFRAC(MAX($P$34*($B46+IF($R$17="Distrato",$I$38-1,0)),IF(AND($L$37=0,$P$34=0),"",$L$37-1),IF($R$17="Distrato",$E46,0)),MIN(AM$38,$D$19),$P$20))-SUM($P46:AL46)</f>
        <v>#VALUE!</v>
      </c>
      <c r="AN46" s="446" t="e">
        <f>IF(OR($B46="",MIN(AN$38,$D$19)&lt;MAX($P$34*($B46+IF($R$17="Distrato",$I$38-1,0)),IF(AND($L$37=0,$P$34=0),"",$L$37-1),IF($R$17="Distrato",$E46,0))),0,YEARFRAC(MAX($P$34*($B46+IF($R$17="Distrato",$I$38-1,0)),IF(AND($L$37=0,$P$34=0),"",$L$37-1),IF($R$17="Distrato",$E46,0)),MIN(AN$38,$D$19),$P$20))-SUM($P46:AM46)</f>
        <v>#VALUE!</v>
      </c>
      <c r="AO46" s="446" t="e">
        <f>IF(OR($B46="",MIN(AO$38,$D$19)&lt;MAX($P$34*($B46+IF($R$17="Distrato",$I$38-1,0)),IF(AND($L$37=0,$P$34=0),"",$L$37-1),IF($R$17="Distrato",$E46,0))),0,YEARFRAC(MAX($P$34*($B46+IF($R$17="Distrato",$I$38-1,0)),IF(AND($L$37=0,$P$34=0),"",$L$37-1),IF($R$17="Distrato",$E46,0)),MIN(AO$38,$D$19),$P$20))-SUM($P46:AN46)</f>
        <v>#VALUE!</v>
      </c>
      <c r="AP46" s="446" t="e">
        <f>IF(OR($B46="",MIN(AP$38,$D$19)&lt;MAX($P$34*($B46+IF($R$17="Distrato",$I$38-1,0)),IF(AND($L$37=0,$P$34=0),"",$L$37-1),IF($R$17="Distrato",$E46,0))),0,YEARFRAC(MAX($P$34*($B46+IF($R$17="Distrato",$I$38-1,0)),IF(AND($L$37=0,$P$34=0),"",$L$37-1),IF($R$17="Distrato",$E46,0)),MIN(AP$38,$D$19),$P$20))-SUM($P46:AO46)</f>
        <v>#VALUE!</v>
      </c>
      <c r="AQ46" s="446" t="e">
        <f>IF(OR($B46="",MIN(AQ$38,$D$19)&lt;MAX($P$34*($B46+IF($R$17="Distrato",$I$38-1,0)),IF(AND($L$37=0,$P$34=0),"",$L$37-1),IF($R$17="Distrato",$E46,0))),0,YEARFRAC(MAX($P$34*($B46+IF($R$17="Distrato",$I$38-1,0)),IF(AND($L$37=0,$P$34=0),"",$L$37-1),IF($R$17="Distrato",$E46,0)),MIN(AQ$38,$D$19),$P$20))-SUM($P46:AP46)</f>
        <v>#VALUE!</v>
      </c>
      <c r="AR46" s="446" t="e">
        <f>IF(OR($B46="",MIN(AR$38,$D$19)&lt;MAX($P$34*($B46+IF($R$17="Distrato",$I$38-1,0)),IF(AND($L$37=0,$P$34=0),"",$L$37-1),IF($R$17="Distrato",$E46,0))),0,YEARFRAC(MAX($P$34*($B46+IF($R$17="Distrato",$I$38-1,0)),IF(AND($L$37=0,$P$34=0),"",$L$37-1),IF($R$17="Distrato",$E46,0)),MIN(AR$38,$D$19),$P$20))-SUM($P46:AQ46)</f>
        <v>#VALUE!</v>
      </c>
      <c r="AS46" s="446" t="e">
        <f>IF(OR($B46="",MIN(AS$38,$D$19)&lt;MAX($P$34*($B46+IF($R$17="Distrato",$I$38-1,0)),IF(AND($L$37=0,$P$34=0),"",$L$37-1),IF($R$17="Distrato",$E46,0))),0,YEARFRAC(MAX($P$34*($B46+IF($R$17="Distrato",$I$38-1,0)),IF(AND($L$37=0,$P$34=0),"",$L$37-1),IF($R$17="Distrato",$E46,0)),MIN(AS$38,$D$19),$P$20))-SUM($P46:AR46)</f>
        <v>#VALUE!</v>
      </c>
      <c r="AT46" s="446" t="e">
        <f>IF(OR($B46="",MIN(AT$38,$D$19)&lt;MAX($P$34*($B46+IF($R$17="Distrato",$I$38-1,0)),IF(AND($L$37=0,$P$34=0),"",$L$37-1),IF($R$17="Distrato",$E46,0))),0,YEARFRAC(MAX($P$34*($B46+IF($R$17="Distrato",$I$38-1,0)),IF(AND($L$37=0,$P$34=0),"",$L$37-1),IF($R$17="Distrato",$E46,0)),MIN(AT$38,$D$19),$P$20))-SUM($P46:AS46)</f>
        <v>#VALUE!</v>
      </c>
      <c r="AU46" s="446" t="e">
        <f>IF(OR($B46="",MIN(AU$38,$D$19)&lt;MAX($P$34*($B46+IF($R$17="Distrato",$I$38-1,0)),IF(AND($L$37=0,$P$34=0),"",$L$37-1),IF($R$17="Distrato",$E46,0))),0,YEARFRAC(MAX($P$34*($B46+IF($R$17="Distrato",$I$38-1,0)),IF(AND($L$37=0,$P$34=0),"",$L$37-1),IF($R$17="Distrato",$E46,0)),MIN(AU$38,$D$19),$P$20))-SUM($P46:AT46)</f>
        <v>#VALUE!</v>
      </c>
      <c r="AV46" s="446" t="e">
        <f>IF(OR($B46="",MIN(AV$38,$D$19)&lt;MAX($P$34*($B46+IF($R$17="Distrato",$I$38-1,0)),IF(AND($L$37=0,$P$34=0),"",$L$37-1),IF($R$17="Distrato",$E46,0))),0,YEARFRAC(MAX($P$34*($B46+IF($R$17="Distrato",$I$38-1,0)),IF(AND($L$37=0,$P$34=0),"",$L$37-1),IF($R$17="Distrato",$E46,0)),MIN(AV$38,$D$19),$P$20))-SUM($P46:AU46)</f>
        <v>#VALUE!</v>
      </c>
      <c r="AW46" s="446" t="e">
        <f>IF(OR($B46="",MIN(AW$38,$D$19)&lt;MAX($P$34*($B46+IF($R$17="Distrato",$I$38-1,0)),IF(AND($L$37=0,$P$34=0),"",$L$37-1),IF($R$17="Distrato",$E46,0))),0,YEARFRAC(MAX($P$34*($B46+IF($R$17="Distrato",$I$38-1,0)),IF(AND($L$37=0,$P$34=0),"",$L$37-1),IF($R$17="Distrato",$E46,0)),MIN(AW$38,$D$19),$P$20))-SUM($P46:AV46)</f>
        <v>#VALUE!</v>
      </c>
      <c r="AX46" s="446" t="e">
        <f>IF(OR($B46="",MIN(AX$38,$D$19)&lt;MAX($P$34*($B46+IF($R$17="Distrato",$I$38-1,0)),IF(AND($L$37=0,$P$34=0),"",$L$37-1),IF($R$17="Distrato",$E46,0))),0,YEARFRAC(MAX($P$34*($B46+IF($R$17="Distrato",$I$38-1,0)),IF(AND($L$37=0,$P$34=0),"",$L$37-1),IF($R$17="Distrato",$E46,0)),MIN(AX$38,$D$19),$P$20))-SUM($P46:AW46)</f>
        <v>#VALUE!</v>
      </c>
      <c r="AY46" s="446" t="e">
        <f>IF(OR($B46="",MIN(AY$38,$D$19)&lt;MAX($P$34*($B46+IF($R$17="Distrato",$I$38-1,0)),IF(AND($L$37=0,$P$34=0),"",$L$37-1),IF($R$17="Distrato",$E46,0))),0,YEARFRAC(MAX($P$34*($B46+IF($R$17="Distrato",$I$38-1,0)),IF(AND($L$37=0,$P$34=0),"",$L$37-1),IF($R$17="Distrato",$E46,0)),MIN(AY$38,$D$19),$P$20))-SUM($P46:AX46)</f>
        <v>#VALUE!</v>
      </c>
      <c r="AZ46" s="446" t="e">
        <f>IF(OR($B46="",MIN(AZ$38,$D$19)&lt;MAX($P$34*($B46+IF($R$17="Distrato",$I$38-1,0)),IF(AND($L$37=0,$P$34=0),"",$L$37-1),IF($R$17="Distrato",$E46,0))),0,YEARFRAC(MAX($P$34*($B46+IF($R$17="Distrato",$I$38-1,0)),IF(AND($L$37=0,$P$34=0),"",$L$37-1),IF($R$17="Distrato",$E46,0)),MIN(AZ$38,$D$19),$P$20))-SUM($P46:AY46)</f>
        <v>#VALUE!</v>
      </c>
      <c r="BA46" s="446" t="e">
        <f>IF(OR($B46="",MIN(BA$38,$D$19)&lt;MAX($P$34*($B46+IF($R$17="Distrato",$I$38-1,0)),IF(AND($L$37=0,$P$34=0),"",$L$37-1),IF($R$17="Distrato",$E46,0))),0,YEARFRAC(MAX($P$34*($B46+IF($R$17="Distrato",$I$38-1,0)),IF(AND($L$37=0,$P$34=0),"",$L$37-1),IF($R$17="Distrato",$E46,0)),MIN(BA$38,$D$19),$P$20))-SUM($P46:AZ46)</f>
        <v>#VALUE!</v>
      </c>
      <c r="BB46" s="447"/>
      <c r="BF46" s="446">
        <f t="shared" si="10"/>
        <v>0</v>
      </c>
      <c r="BG46" s="446">
        <f>IF($E46=0,0,IF(MIN(BG$38,$E46)&lt;MAX($P$34*($B46+$I$38-1),IF(AND($L$37=0,$P$34=0),"",$L$37-1)),0,YEARFRAC(MAX($P$34*($B46+$I$38-1),IF(AND($L$37=0,$P$34=0),"",$L$37-1)),MIN(BG$38,$E46),$P$20))-SUM($BF46:BF46))</f>
        <v>0</v>
      </c>
      <c r="BH46" s="446">
        <f>IF($E46=0,0,IF(MIN(BH$38,$E46)&lt;MAX($P$34*($B46+$I$38-1),IF(AND($L$37=0,$P$34=0),"",$L$37-1)),0,YEARFRAC(MAX($P$34*($B46+$I$38-1),IF(AND($L$37=0,$P$34=0),"",$L$37-1)),MIN(BH$38,$E46),$P$20))-SUM($BF46:BG46))</f>
        <v>0</v>
      </c>
      <c r="BI46" s="446">
        <f>IF($E46=0,0,IF(MIN(BI$38,$E46)&lt;MAX($P$34*($B46+$I$38-1),IF(AND($L$37=0,$P$34=0),"",$L$37-1)),0,YEARFRAC(MAX($P$34*($B46+$I$38-1),IF(AND($L$37=0,$P$34=0),"",$L$37-1)),MIN(BI$38,$E46),$P$20))-SUM($BF46:BH46))</f>
        <v>0</v>
      </c>
      <c r="BJ46" s="446">
        <f>IF($E46=0,0,IF(MIN(BJ$38,$E46)&lt;MAX($P$34*($B46+$I$38-1),IF(AND($L$37=0,$P$34=0),"",$L$37-1)),0,YEARFRAC(MAX($P$34*($B46+$I$38-1),IF(AND($L$37=0,$P$34=0),"",$L$37-1)),MIN(BJ$38,$E46),$P$20))-SUM($BF46:BI46))</f>
        <v>0</v>
      </c>
      <c r="BK46" s="446">
        <f>IF($E46=0,0,IF(MIN(BK$38,$E46)&lt;MAX($P$34*($B46+$I$38-1),IF(AND($L$37=0,$P$34=0),"",$L$37-1)),0,YEARFRAC(MAX($P$34*($B46+$I$38-1),IF(AND($L$37=0,$P$34=0),"",$L$37-1)),MIN(BK$38,$E46),$P$20))-SUM($BF46:BJ46))</f>
        <v>0</v>
      </c>
      <c r="BL46" s="446">
        <f>IF($E46=0,0,IF(MIN(BL$38,$E46)&lt;MAX($P$34*($B46+$I$38-1),IF(AND($L$37=0,$P$34=0),"",$L$37-1)),0,YEARFRAC(MAX($P$34*($B46+$I$38-1),IF(AND($L$37=0,$P$34=0),"",$L$37-1)),MIN(BL$38,$E46),$P$20))-SUM($BF46:BK46))</f>
        <v>0</v>
      </c>
      <c r="BM46" s="446">
        <f>IF($E46=0,0,IF(MIN(BM$38,$E46)&lt;MAX($P$34*($B46+$I$38-1),IF(AND($L$37=0,$P$34=0),"",$L$37-1)),0,YEARFRAC(MAX($P$34*($B46+$I$38-1),IF(AND($L$37=0,$P$34=0),"",$L$37-1)),MIN(BM$38,$E46),$P$20))-SUM($BF46:BL46))</f>
        <v>0</v>
      </c>
      <c r="BN46" s="446">
        <f>IF($E46=0,0,IF(MIN(BN$38,$E46)&lt;MAX($P$34*($B46+$I$38-1),IF(AND($L$37=0,$P$34=0),"",$L$37-1)),0,YEARFRAC(MAX($P$34*($B46+$I$38-1),IF(AND($L$37=0,$P$34=0),"",$L$37-1)),MIN(BN$38,$E46),$P$20))-SUM($BF46:BM46))</f>
        <v>0</v>
      </c>
      <c r="BO46" s="446">
        <f>IF($E46=0,0,IF(MIN(BO$38,$E46)&lt;MAX($P$34*($B46+$I$38-1),IF(AND($L$37=0,$P$34=0),"",$L$37-1)),0,YEARFRAC(MAX($P$34*($B46+$I$38-1),IF(AND($L$37=0,$P$34=0),"",$L$37-1)),MIN(BO$38,$E46),$P$20))-SUM($BF46:BN46))</f>
        <v>0</v>
      </c>
      <c r="BP46" s="446">
        <f>IF($E46=0,0,IF(MIN(BP$38,$E46)&lt;MAX($P$34*($B46+$I$38-1),IF(AND($L$37=0,$P$34=0),"",$L$37-1)),0,YEARFRAC(MAX($P$34*($B46+$I$38-1),IF(AND($L$37=0,$P$34=0),"",$L$37-1)),MIN(BP$38,$E46),$P$20))-SUM($BF46:BO46))</f>
        <v>0</v>
      </c>
      <c r="BQ46" s="446">
        <f>IF($E46=0,0,IF(MIN(BQ$38,$E46)&lt;MAX($P$34*($B46+$I$38-1),IF(AND($L$37=0,$P$34=0),"",$L$37-1)),0,YEARFRAC(MAX($P$34*($B46+$I$38-1),IF(AND($L$37=0,$P$34=0),"",$L$37-1)),MIN(BQ$38,$E46),$P$20))-SUM($BF46:BP46))</f>
        <v>0</v>
      </c>
      <c r="BR46" s="446">
        <f>IF($E46=0,0,IF(MIN(BR$38,$E46)&lt;MAX($P$34*($B46+$I$38-1),IF(AND($L$37=0,$P$34=0),"",$L$37-1)),0,YEARFRAC(MAX($P$34*($B46+$I$38-1),IF(AND($L$37=0,$P$34=0),"",$L$37-1)),MIN(BR$38,$E46),$P$20))-SUM($BF46:BQ46))</f>
        <v>0</v>
      </c>
      <c r="BS46" s="446">
        <f>IF($E46=0,0,IF(MIN(BS$38,$E46)&lt;MAX($P$34*($B46+$I$38-1),IF(AND($L$37=0,$P$34=0),"",$L$37-1)),0,YEARFRAC(MAX($P$34*($B46+$I$38-1),IF(AND($L$37=0,$P$34=0),"",$L$37-1)),MIN(BS$38,$E46),$P$20))-SUM($BF46:BR46))</f>
        <v>0</v>
      </c>
      <c r="BT46" s="446">
        <f>IF($E46=0,0,IF(MIN(BT$38,$E46)&lt;MAX($P$34*($B46+$I$38-1),IF(AND($L$37=0,$P$34=0),"",$L$37-1)),0,YEARFRAC(MAX($P$34*($B46+$I$38-1),IF(AND($L$37=0,$P$34=0),"",$L$37-1)),MIN(BT$38,$E46),$P$20))-SUM($BF46:BS46))</f>
        <v>0</v>
      </c>
      <c r="BU46" s="446">
        <f>IF($E46=0,0,IF(MIN(BU$38,$E46)&lt;MAX($P$34*($B46+$I$38-1),IF(AND($L$37=0,$P$34=0),"",$L$37-1)),0,YEARFRAC(MAX($P$34*($B46+$I$38-1),IF(AND($L$37=0,$P$34=0),"",$L$37-1)),MIN(BU$38,$E46),$P$20))-SUM($BF46:BT46))</f>
        <v>0</v>
      </c>
      <c r="BV46" s="446">
        <f>IF($E46=0,0,IF(MIN(BV$38,$E46)&lt;MAX($P$34*($B46+$I$38-1),IF(AND($L$37=0,$P$34=0),"",$L$37-1)),0,YEARFRAC(MAX($P$34*($B46+$I$38-1),IF(AND($L$37=0,$P$34=0),"",$L$37-1)),MIN(BV$38,$E46),$P$20))-SUM($BF46:BU46))</f>
        <v>0</v>
      </c>
      <c r="BW46" s="446">
        <f>IF($E46=0,0,IF(MIN(BW$38,$E46)&lt;MAX($P$34*($B46+$I$38-1),IF(AND($L$37=0,$P$34=0),"",$L$37-1)),0,YEARFRAC(MAX($P$34*($B46+$I$38-1),IF(AND($L$37=0,$P$34=0),"",$L$37-1)),MIN(BW$38,$E46),$P$20))-SUM($BF46:BV46))</f>
        <v>0</v>
      </c>
      <c r="BX46" s="446">
        <f>IF($E46=0,0,IF(MIN(BX$38,$E46)&lt;MAX($P$34*($B46+$I$38-1),IF(AND($L$37=0,$P$34=0),"",$L$37-1)),0,YEARFRAC(MAX($P$34*($B46+$I$38-1),IF(AND($L$37=0,$P$34=0),"",$L$37-1)),MIN(BX$38,$E46),$P$20))-SUM($BF46:BW46))</f>
        <v>0</v>
      </c>
      <c r="BY46" s="446">
        <f>IF($E46=0,0,IF(MIN(BY$38,$E46)&lt;MAX($P$34*($B46+$I$38-1),IF(AND($L$37=0,$P$34=0),"",$L$37-1)),0,YEARFRAC(MAX($P$34*($B46+$I$38-1),IF(AND($L$37=0,$P$34=0),"",$L$37-1)),MIN(BY$38,$E46),$P$20))-SUM($BF46:BX46))</f>
        <v>0</v>
      </c>
      <c r="BZ46" s="446">
        <f>IF($E46=0,0,IF(MIN(BZ$38,$E46)&lt;MAX($P$34*($B46+$I$38-1),IF(AND($L$37=0,$P$34=0),"",$L$37-1)),0,YEARFRAC(MAX($P$34*($B46+$I$38-1),IF(AND($L$37=0,$P$34=0),"",$L$37-1)),MIN(BZ$38,$E46),$P$20))-SUM($BF46:BY46))</f>
        <v>0</v>
      </c>
      <c r="CA46" s="446">
        <f>IF($E46=0,0,IF(MIN(CA$38,$E46)&lt;MAX($P$34*($B46+$I$38-1),IF(AND($L$37=0,$P$34=0),"",$L$37-1)),0,YEARFRAC(MAX($P$34*($B46+$I$38-1),IF(AND($L$37=0,$P$34=0),"",$L$37-1)),MIN(CA$38,$E46),$P$20))-SUM($BF46:BZ46))</f>
        <v>0</v>
      </c>
      <c r="CB46" s="446">
        <f>IF($E46=0,0,IF(MIN(CB$38,$E46)&lt;MAX($P$34*($B46+$I$38-1),IF(AND($L$37=0,$P$34=0),"",$L$37-1)),0,YEARFRAC(MAX($P$34*($B46+$I$38-1),IF(AND($L$37=0,$P$34=0),"",$L$37-1)),MIN(CB$38,$E46),$P$20))-SUM($BF46:CA46))</f>
        <v>0</v>
      </c>
      <c r="CC46" s="446">
        <f>IF($E46=0,0,IF(MIN(CC$38,$E46)&lt;MAX($P$34*($B46+$I$38-1),IF(AND($L$37=0,$P$34=0),"",$L$37-1)),0,YEARFRAC(MAX($P$34*($B46+$I$38-1),IF(AND($L$37=0,$P$34=0),"",$L$37-1)),MIN(CC$38,$E46),$P$20))-SUM($BF46:CB46))</f>
        <v>0</v>
      </c>
      <c r="CD46" s="446">
        <f>IF($E46=0,0,IF(MIN(CD$38,$E46)&lt;MAX($P$34*($B46+$I$38-1),IF(AND($L$37=0,$P$34=0),"",$L$37-1)),0,YEARFRAC(MAX($P$34*($B46+$I$38-1),IF(AND($L$37=0,$P$34=0),"",$L$37-1)),MIN(CD$38,$E46),$P$20))-SUM($BF46:CC46))</f>
        <v>0</v>
      </c>
      <c r="CE46" s="446">
        <f>IF($E46=0,0,IF(MIN(CE$38,$E46)&lt;MAX($P$34*($B46+$I$38-1),IF(AND($L$37=0,$P$34=0),"",$L$37-1)),0,YEARFRAC(MAX($P$34*($B46+$I$38-1),IF(AND($L$37=0,$P$34=0),"",$L$37-1)),MIN(CE$38,$E46),$P$20))-SUM($BF46:CD46))</f>
        <v>0</v>
      </c>
      <c r="CF46" s="446">
        <f>IF($E46=0,0,IF(MIN(CF$38,$E46)&lt;MAX($P$34*($B46+$I$38-1),IF(AND($L$37=0,$P$34=0),"",$L$37-1)),0,YEARFRAC(MAX($P$34*($B46+$I$38-1),IF(AND($L$37=0,$P$34=0),"",$L$37-1)),MIN(CF$38,$E46),$P$20))-SUM($BF46:CE46))</f>
        <v>0</v>
      </c>
      <c r="CG46" s="446">
        <f>IF($E46=0,0,IF(MIN(CG$38,$E46)&lt;MAX($P$34*($B46+$I$38-1),IF(AND($L$37=0,$P$34=0),"",$L$37-1)),0,YEARFRAC(MAX($P$34*($B46+$I$38-1),IF(AND($L$37=0,$P$34=0),"",$L$37-1)),MIN(CG$38,$E46),$P$20))-SUM($BF46:CF46))</f>
        <v>0</v>
      </c>
      <c r="CH46" s="446">
        <f>IF($E46=0,0,IF(MIN(CH$38,$E46)&lt;MAX($P$34*($B46+$I$38-1),IF(AND($L$37=0,$P$34=0),"",$L$37-1)),0,YEARFRAC(MAX($P$34*($B46+$I$38-1),IF(AND($L$37=0,$P$34=0),"",$L$37-1)),MIN(CH$38,$E46),$P$20))-SUM($BF46:CG46))</f>
        <v>0</v>
      </c>
      <c r="CI46" s="446">
        <f>IF($E46=0,0,IF(MIN(CI$38,$E46)&lt;MAX($P$34*($B46+$I$38-1),IF(AND($L$37=0,$P$34=0),"",$L$37-1)),0,YEARFRAC(MAX($P$34*($B46+$I$38-1),IF(AND($L$37=0,$P$34=0),"",$L$37-1)),MIN(CI$38,$E46),$P$20))-SUM($BF46:CH46))</f>
        <v>0</v>
      </c>
      <c r="CJ46" s="446">
        <f>IF($E46=0,0,IF(MIN(CJ$38,$E46)&lt;MAX($P$34*($B46+$I$38-1),IF(AND($L$37=0,$P$34=0),"",$L$37-1)),0,YEARFRAC(MAX($P$34*($B46+$I$38-1),IF(AND($L$37=0,$P$34=0),"",$L$37-1)),MIN(CJ$38,$E46),$P$20))-SUM($BF46:CI46))</f>
        <v>0</v>
      </c>
      <c r="CK46" s="446">
        <f>IF($E46=0,0,IF(MIN(CK$38,$E46)&lt;MAX($P$34*($B46+$I$38-1),IF(AND($L$37=0,$P$34=0),"",$L$37-1)),0,YEARFRAC(MAX($P$34*($B46+$I$38-1),IF(AND($L$37=0,$P$34=0),"",$L$37-1)),MIN(CK$38,$E46),$P$20))-SUM($BF46:CJ46))</f>
        <v>0</v>
      </c>
      <c r="CL46" s="446">
        <f>IF($E46=0,0,IF(MIN(CL$38,$E46)&lt;MAX($P$34*($B46+$I$38-1),IF(AND($L$37=0,$P$34=0),"",$L$37-1)),0,YEARFRAC(MAX($P$34*($B46+$I$38-1),IF(AND($L$37=0,$P$34=0),"",$L$37-1)),MIN(CL$38,$E46),$P$20))-SUM($BF46:CK46))</f>
        <v>0</v>
      </c>
      <c r="CM46" s="446">
        <f>IF($E46=0,0,IF(MIN(CM$38,$E46)&lt;MAX($P$34*($B46+$I$38-1),IF(AND($L$37=0,$P$34=0),"",$L$37-1)),0,YEARFRAC(MAX($P$34*($B46+$I$38-1),IF(AND($L$37=0,$P$34=0),"",$L$37-1)),MIN(CM$38,$E46),$P$20))-SUM($BF46:CL46))</f>
        <v>0</v>
      </c>
      <c r="CN46" s="446">
        <f>IF($E46=0,0,IF(MIN(CN$38,$E46)&lt;MAX($P$34*($B46+$I$38-1),IF(AND($L$37=0,$P$34=0),"",$L$37-1)),0,YEARFRAC(MAX($P$34*($B46+$I$38-1),IF(AND($L$37=0,$P$34=0),"",$L$37-1)),MIN(CN$38,$E46),$P$20))-SUM($BF46:CM46))</f>
        <v>0</v>
      </c>
      <c r="CO46" s="446">
        <f>IF($E46=0,0,IF(MIN(CO$38,$E46)&lt;MAX($P$34*($B46+$I$38-1),IF(AND($L$37=0,$P$34=0),"",$L$37-1)),0,YEARFRAC(MAX($P$34*($B46+$I$38-1),IF(AND($L$37=0,$P$34=0),"",$L$37-1)),MIN(CO$38,$E46),$P$20))-SUM($BF46:CN46))</f>
        <v>0</v>
      </c>
      <c r="CP46" s="446">
        <f>IF($E46=0,0,IF(MIN(CP$38,$E46)&lt;MAX($P$34*($B46+$I$38-1),IF(AND($L$37=0,$P$34=0),"",$L$37-1)),0,YEARFRAC(MAX($P$34*($B46+$I$38-1),IF(AND($L$37=0,$P$34=0),"",$L$37-1)),MIN(CP$38,$E46),$P$20))-SUM($BF46:CO46))</f>
        <v>0</v>
      </c>
      <c r="CQ46" s="446">
        <f>IF($E46=0,0,IF(MIN(CQ$38,$E46)&lt;MAX($P$34*($B46+$I$38-1),IF(AND($L$37=0,$P$34=0),"",$L$37-1)),0,YEARFRAC(MAX($P$34*($B46+$I$38-1),IF(AND($L$37=0,$P$34=0),"",$L$37-1)),MIN(CQ$38,$E46),$P$20))-SUM($BF46:CP46))</f>
        <v>0</v>
      </c>
    </row>
    <row r="47" spans="1:116" s="446" customFormat="1" ht="11.25" hidden="1" customHeight="1" x14ac:dyDescent="0.2">
      <c r="A47" s="152"/>
      <c r="B47" s="153" t="str">
        <f t="shared" si="15"/>
        <v/>
      </c>
      <c r="C47" s="29" t="str">
        <f>IF(B47="","",IF($L$35="SELIC - TRIBUTOS",VLOOKUP(DATE(YEAR($D$19),MONTH($D$19)-1,1),ÍNDICES!$A:$DE,HLOOKUP($BL$25,ÍNDICES!$B$3:$T$4,2)+11)-VLOOKUP(B47,ÍNDICES!$A:$DE,HLOOKUP($BL$25,ÍNDICES!$B$3:$T$4,2)+11)+1%,IF(C$38=$W$26,$J$35,IF(ISERROR(IF(B47&gt;$D$19,1,VLOOKUP(DATE(YEAR(B47),MONTH(B47)+IF($C$35=$S$23,1,0),1),ÍNDICES!$A:$DE,$Z$35+1))),"",IF(B47&gt;$D$19,1,VLOOKUP(DATE(YEAR(B47),MONTH(B47)+IF($C$35=$S$23,1,0),1),ÍNDICES!$A:$DE,$Z$35+1))))))</f>
        <v/>
      </c>
      <c r="D47" s="154" t="str">
        <f>IF(ISERROR(IF(OR($D$38=$Y$27,$B47=""),"",VLOOKUP(B47,ÍNDICES!A:DE,AF$35+1))),"",IF(OR($D$38=$Y$27,$B47=""),"",VLOOKUP(B47,ÍNDICES!A:DE,AF$35+1)))</f>
        <v/>
      </c>
      <c r="E47" s="153"/>
      <c r="F47" s="29" t="str">
        <f>IF(E47="","",IF($L$35="SELIC - TRIBUTOS",VLOOKUP(DATE(YEAR($D$19),MONTH($D$19)-1,1),ÍNDICES!$A:$DE,HLOOKUP($BL$25,ÍNDICES!$B$3:$T$4,2)+11)-VLOOKUP(IF(E47&gt;B47,E47,B47),ÍNDICES!$A:$DE,HLOOKUP($BL$25,ÍNDICES!$B$3:$T$4,2)+11)+1%,IF(F$38=$W$26,$J$35,IF(ISERROR(IF(E47&gt;$D$19,1,VLOOKUP(DATE(YEAR(E47),MONTH(E47)+IF($C$35=$S$23,1,0),1),ÍNDICES!$A:$DE,$Z$35+1))),"",IF(E47&gt;$D$19,1,VLOOKUP(DATE(YEAR(E47),MONTH(E47)+IF($C$35=$S$23,1,0),1),ÍNDICES!$A:$DE,$Z$35+1))))))</f>
        <v/>
      </c>
      <c r="G47" s="155"/>
      <c r="H47" s="156" t="str">
        <f t="shared" si="11"/>
        <v/>
      </c>
      <c r="I47" s="29" t="str">
        <f t="shared" si="5"/>
        <v/>
      </c>
      <c r="J47" s="5">
        <f t="shared" si="6"/>
        <v>0</v>
      </c>
      <c r="K47" s="20">
        <f t="shared" ca="1" si="7"/>
        <v>0</v>
      </c>
      <c r="L47" s="5">
        <f t="shared" ca="1" si="8"/>
        <v>0</v>
      </c>
      <c r="M47" s="64">
        <f t="shared" si="12"/>
        <v>0</v>
      </c>
      <c r="N47" s="61">
        <f t="shared" ca="1" si="13"/>
        <v>0</v>
      </c>
      <c r="O47" s="5">
        <f t="shared" ca="1" si="14"/>
        <v>0</v>
      </c>
      <c r="P47" s="446" t="e">
        <f t="shared" si="9"/>
        <v>#VALUE!</v>
      </c>
      <c r="Q47" s="446" t="e">
        <f>IF(OR($B47="",MIN(Q$38,$D$19)&lt;MAX($P$34*($B47+IF($R$17="Distrato",$I$38-1,0)),IF(AND($L$37=0,$P$34=0),"",$L$37-1),IF($R$17="Distrato",$E47,0))),0,YEARFRAC(MAX($P$34*($B47+IF($R$17="Distrato",$I$38-1,0)),IF(AND($L$37=0,$P$34=0),"",$L$37-1),IF($R$17="Distrato",$E47,0)),MIN(Q$38,$D$19),$P$20))-SUM($P47:P47)</f>
        <v>#VALUE!</v>
      </c>
      <c r="R47" s="446" t="e">
        <f>IF(OR($B47="",MIN(R$38,$D$19)&lt;MAX($P$34*($B47+IF($R$17="Distrato",$I$38-1,0)),IF(AND($L$37=0,$P$34=0),"",$L$37-1),IF($R$17="Distrato",$E47,0))),0,YEARFRAC(MAX($P$34*($B47+IF($R$17="Distrato",$I$38-1,0)),IF(AND($L$37=0,$P$34=0),"",$L$37-1),IF($R$17="Distrato",$E47,0)),MIN(R$38,$D$19),$P$20))-SUM($P47:Q47)</f>
        <v>#VALUE!</v>
      </c>
      <c r="S47" s="446" t="e">
        <f>IF(OR($B47="",MIN(S$38,$D$19)&lt;MAX($P$34*($B47+IF($R$17="Distrato",$I$38-1,0)),IF(AND($L$37=0,$P$34=0),"",$L$37-1),IF($R$17="Distrato",$E47,0))),0,YEARFRAC(MAX($P$34*($B47+IF($R$17="Distrato",$I$38-1,0)),IF(AND($L$37=0,$P$34=0),"",$L$37-1),IF($R$17="Distrato",$E47,0)),MIN(S$38,$D$19),$P$20))-SUM($P47:R47)</f>
        <v>#VALUE!</v>
      </c>
      <c r="T47" s="446" t="e">
        <f>IF(OR($B47="",MIN(T$38,$D$19)&lt;MAX($P$34*($B47+IF($R$17="Distrato",$I$38-1,0)),IF(AND($L$37=0,$P$34=0),"",$L$37-1),IF($R$17="Distrato",$E47,0))),0,YEARFRAC(MAX($P$34*($B47+IF($R$17="Distrato",$I$38-1,0)),IF(AND($L$37=0,$P$34=0),"",$L$37-1),IF($R$17="Distrato",$E47,0)),MIN(T$38,$D$19),$P$20))-SUM($P47:S47)</f>
        <v>#VALUE!</v>
      </c>
      <c r="U47" s="446" t="e">
        <f>IF(OR($B47="",MIN(U$38,$D$19)&lt;MAX($P$34*($B47+IF($R$17="Distrato",$I$38-1,0)),IF(AND($L$37=0,$P$34=0),"",$L$37-1),IF($R$17="Distrato",$E47,0))),0,YEARFRAC(MAX($P$34*($B47+IF($R$17="Distrato",$I$38-1,0)),IF(AND($L$37=0,$P$34=0),"",$L$37-1),IF($R$17="Distrato",$E47,0)),MIN(U$38,$D$19),$P$20))-SUM($P47:T47)</f>
        <v>#VALUE!</v>
      </c>
      <c r="V47" s="446" t="e">
        <f>IF(OR($B47="",MIN(V$38,$D$19)&lt;MAX($P$34*($B47+IF($R$17="Distrato",$I$38-1,0)),IF(AND($L$37=0,$P$34=0),"",$L$37-1),IF($R$17="Distrato",$E47,0))),0,YEARFRAC(MAX($P$34*($B47+IF($R$17="Distrato",$I$38-1,0)),IF(AND($L$37=0,$P$34=0),"",$L$37-1),IF($R$17="Distrato",$E47,0)),MIN(V$38,$D$19),$P$20))-SUM($P47:U47)</f>
        <v>#VALUE!</v>
      </c>
      <c r="W47" s="446" t="e">
        <f>IF(OR($B47="",MIN(W$38,$D$19)&lt;MAX($P$34*($B47+IF($R$17="Distrato",$I$38-1,0)),IF(AND($L$37=0,$P$34=0),"",$L$37-1),IF($R$17="Distrato",$E47,0))),0,YEARFRAC(MAX($P$34*($B47+IF($R$17="Distrato",$I$38-1,0)),IF(AND($L$37=0,$P$34=0),"",$L$37-1),IF($R$17="Distrato",$E47,0)),MIN(W$38,$D$19),$P$20))-SUM($P47:V47)</f>
        <v>#VALUE!</v>
      </c>
      <c r="X47" s="446" t="e">
        <f>IF(OR($B47="",MIN(X$38,$D$19)&lt;MAX($P$34*($B47+IF($R$17="Distrato",$I$38-1,0)),IF(AND($L$37=0,$P$34=0),"",$L$37-1),IF($R$17="Distrato",$E47,0))),0,YEARFRAC(MAX($P$34*($B47+IF($R$17="Distrato",$I$38-1,0)),IF(AND($L$37=0,$P$34=0),"",$L$37-1),IF($R$17="Distrato",$E47,0)),MIN(X$38,$D$19),$P$20))-SUM($P47:W47)</f>
        <v>#VALUE!</v>
      </c>
      <c r="Y47" s="446" t="e">
        <f>IF(OR($B47="",MIN(Y$38,$D$19)&lt;MAX($P$34*($B47+IF($R$17="Distrato",$I$38-1,0)),IF(AND($L$37=0,$P$34=0),"",$L$37-1),IF($R$17="Distrato",$E47,0))),0,YEARFRAC(MAX($P$34*($B47+IF($R$17="Distrato",$I$38-1,0)),IF(AND($L$37=0,$P$34=0),"",$L$37-1),IF($R$17="Distrato",$E47,0)),MIN(Y$38,$D$19),$P$20))-SUM($P47:X47)</f>
        <v>#VALUE!</v>
      </c>
      <c r="Z47" s="446" t="e">
        <f>IF(OR($B47="",MIN(Z$38,$D$19)&lt;MAX($P$34*($B47+IF($R$17="Distrato",$I$38-1,0)),IF(AND($L$37=0,$P$34=0),"",$L$37-1),IF($R$17="Distrato",$E47,0))),0,YEARFRAC(MAX($P$34*($B47+IF($R$17="Distrato",$I$38-1,0)),IF(AND($L$37=0,$P$34=0),"",$L$37-1),IF($R$17="Distrato",$E47,0)),MIN(Z$38,$D$19),$P$20))-SUM($P47:Y47)</f>
        <v>#VALUE!</v>
      </c>
      <c r="AA47" s="446" t="e">
        <f>IF(OR($B47="",MIN(AA$38,$D$19)&lt;MAX($P$34*($B47+IF($R$17="Distrato",$I$38-1,0)),IF(AND($L$37=0,$P$34=0),"",$L$37-1),IF($R$17="Distrato",$E47,0))),0,YEARFRAC(MAX($P$34*($B47+IF($R$17="Distrato",$I$38-1,0)),IF(AND($L$37=0,$P$34=0),"",$L$37-1),IF($R$17="Distrato",$E47,0)),MIN(AA$38,$D$19),$P$20))-SUM($P47:Z47)</f>
        <v>#VALUE!</v>
      </c>
      <c r="AB47" s="446" t="e">
        <f>IF(OR($B47="",MIN(AB$38,$D$19)&lt;MAX($P$34*($B47+IF($R$17="Distrato",$I$38-1,0)),IF(AND($L$37=0,$P$34=0),"",$L$37-1),IF($R$17="Distrato",$E47,0))),0,YEARFRAC(MAX($P$34*($B47+IF($R$17="Distrato",$I$38-1,0)),IF(AND($L$37=0,$P$34=0),"",$L$37-1),IF($R$17="Distrato",$E47,0)),MIN(AB$38,$D$19),$P$20))-SUM($P47:AA47)</f>
        <v>#VALUE!</v>
      </c>
      <c r="AC47" s="446" t="e">
        <f>IF(OR($B47="",MIN(AC$38,$D$19)&lt;MAX($P$34*($B47+IF($R$17="Distrato",$I$38-1,0)),IF(AND($L$37=0,$P$34=0),"",$L$37-1),IF($R$17="Distrato",$E47,0))),0,YEARFRAC(MAX($P$34*($B47+IF($R$17="Distrato",$I$38-1,0)),IF(AND($L$37=0,$P$34=0),"",$L$37-1),IF($R$17="Distrato",$E47,0)),MIN(AC$38,$D$19),$P$20))-SUM($P47:AB47)</f>
        <v>#VALUE!</v>
      </c>
      <c r="AD47" s="446" t="e">
        <f>IF(OR($B47="",MIN(AD$38,$D$19)&lt;MAX($P$34*($B47+IF($R$17="Distrato",$I$38-1,0)),IF(AND($L$37=0,$P$34=0),"",$L$37-1),IF($R$17="Distrato",$E47,0))),0,YEARFRAC(MAX($P$34*($B47+IF($R$17="Distrato",$I$38-1,0)),IF(AND($L$37=0,$P$34=0),"",$L$37-1),IF($R$17="Distrato",$E47,0)),MIN(AD$38,$D$19),$P$20))-SUM($P47:AC47)</f>
        <v>#VALUE!</v>
      </c>
      <c r="AE47" s="446" t="e">
        <f>IF(OR($B47="",MIN(AE$38,$D$19)&lt;MAX($P$34*($B47+IF($R$17="Distrato",$I$38-1,0)),IF(AND($L$37=0,$P$34=0),"",$L$37-1),IF($R$17="Distrato",$E47,0))),0,YEARFRAC(MAX($P$34*($B47+IF($R$17="Distrato",$I$38-1,0)),IF(AND($L$37=0,$P$34=0),"",$L$37-1),IF($R$17="Distrato",$E47,0)),MIN(AE$38,$D$19),$P$20))-SUM($P47:AD47)</f>
        <v>#VALUE!</v>
      </c>
      <c r="AF47" s="446" t="e">
        <f>IF(OR($B47="",MIN(AF$38,$D$19)&lt;MAX($P$34*($B47+IF($R$17="Distrato",$I$38-1,0)),IF(AND($L$37=0,$P$34=0),"",$L$37-1),IF($R$17="Distrato",$E47,0))),0,YEARFRAC(MAX($P$34*($B47+IF($R$17="Distrato",$I$38-1,0)),IF(AND($L$37=0,$P$34=0),"",$L$37-1),IF($R$17="Distrato",$E47,0)),MIN(AF$38,$D$19),$P$20))-SUM($P47:AE47)</f>
        <v>#VALUE!</v>
      </c>
      <c r="AG47" s="446" t="e">
        <f>IF(OR($B47="",MIN(AG$38,$D$19)&lt;MAX($P$34*($B47+IF($R$17="Distrato",$I$38-1,0)),IF(AND($L$37=0,$P$34=0),"",$L$37-1),IF($R$17="Distrato",$E47,0))),0,YEARFRAC(MAX($P$34*($B47+IF($R$17="Distrato",$I$38-1,0)),IF(AND($L$37=0,$P$34=0),"",$L$37-1),IF($R$17="Distrato",$E47,0)),MIN(AG$38,$D$19),$P$20))-SUM($P47:AF47)</f>
        <v>#VALUE!</v>
      </c>
      <c r="AH47" s="446" t="e">
        <f>IF(OR($B47="",MIN(AH$38,$D$19)&lt;MAX($P$34*($B47+IF($R$17="Distrato",$I$38-1,0)),IF(AND($L$37=0,$P$34=0),"",$L$37-1),IF($R$17="Distrato",$E47,0))),0,YEARFRAC(MAX($P$34*($B47+IF($R$17="Distrato",$I$38-1,0)),IF(AND($L$37=0,$P$34=0),"",$L$37-1),IF($R$17="Distrato",$E47,0)),MIN(AH$38,$D$19),$P$20))-SUM($P47:AG47)</f>
        <v>#VALUE!</v>
      </c>
      <c r="AI47" s="446" t="e">
        <f>IF(OR($B47="",MIN(AI$38,$D$19)&lt;MAX($P$34*($B47+IF($R$17="Distrato",$I$38-1,0)),IF(AND($L$37=0,$P$34=0),"",$L$37-1),IF($R$17="Distrato",$E47,0))),0,YEARFRAC(MAX($P$34*($B47+IF($R$17="Distrato",$I$38-1,0)),IF(AND($L$37=0,$P$34=0),"",$L$37-1),IF($R$17="Distrato",$E47,0)),MIN(AI$38,$D$19),$P$20))-SUM($P47:AH47)</f>
        <v>#VALUE!</v>
      </c>
      <c r="AJ47" s="446" t="e">
        <f>IF(OR($B47="",MIN(AJ$38,$D$19)&lt;MAX($P$34*($B47+IF($R$17="Distrato",$I$38-1,0)),IF(AND($L$37=0,$P$34=0),"",$L$37-1),IF($R$17="Distrato",$E47,0))),0,YEARFRAC(MAX($P$34*($B47+IF($R$17="Distrato",$I$38-1,0)),IF(AND($L$37=0,$P$34=0),"",$L$37-1),IF($R$17="Distrato",$E47,0)),MIN(AJ$38,$D$19),$P$20))-SUM($P47:AI47)</f>
        <v>#VALUE!</v>
      </c>
      <c r="AK47" s="446" t="e">
        <f>IF(OR($B47="",MIN(AK$38,$D$19)&lt;MAX($P$34*($B47+IF($R$17="Distrato",$I$38-1,0)),IF(AND($L$37=0,$P$34=0),"",$L$37-1),IF($R$17="Distrato",$E47,0))),0,YEARFRAC(MAX($P$34*($B47+IF($R$17="Distrato",$I$38-1,0)),IF(AND($L$37=0,$P$34=0),"",$L$37-1),IF($R$17="Distrato",$E47,0)),MIN(AK$38,$D$19),$P$20))-SUM($P47:AJ47)</f>
        <v>#VALUE!</v>
      </c>
      <c r="AL47" s="446" t="e">
        <f>IF(OR($B47="",MIN(AL$38,$D$19)&lt;MAX($P$34*($B47+IF($R$17="Distrato",$I$38-1,0)),IF(AND($L$37=0,$P$34=0),"",$L$37-1),IF($R$17="Distrato",$E47,0))),0,YEARFRAC(MAX($P$34*($B47+IF($R$17="Distrato",$I$38-1,0)),IF(AND($L$37=0,$P$34=0),"",$L$37-1),IF($R$17="Distrato",$E47,0)),MIN(AL$38,$D$19),$P$20))-SUM($P47:AK47)</f>
        <v>#VALUE!</v>
      </c>
      <c r="AM47" s="446" t="e">
        <f>IF(OR($B47="",MIN(AM$38,$D$19)&lt;MAX($P$34*($B47+IF($R$17="Distrato",$I$38-1,0)),IF(AND($L$37=0,$P$34=0),"",$L$37-1),IF($R$17="Distrato",$E47,0))),0,YEARFRAC(MAX($P$34*($B47+IF($R$17="Distrato",$I$38-1,0)),IF(AND($L$37=0,$P$34=0),"",$L$37-1),IF($R$17="Distrato",$E47,0)),MIN(AM$38,$D$19),$P$20))-SUM($P47:AL47)</f>
        <v>#VALUE!</v>
      </c>
      <c r="AN47" s="446" t="e">
        <f>IF(OR($B47="",MIN(AN$38,$D$19)&lt;MAX($P$34*($B47+IF($R$17="Distrato",$I$38-1,0)),IF(AND($L$37=0,$P$34=0),"",$L$37-1),IF($R$17="Distrato",$E47,0))),0,YEARFRAC(MAX($P$34*($B47+IF($R$17="Distrato",$I$38-1,0)),IF(AND($L$37=0,$P$34=0),"",$L$37-1),IF($R$17="Distrato",$E47,0)),MIN(AN$38,$D$19),$P$20))-SUM($P47:AM47)</f>
        <v>#VALUE!</v>
      </c>
      <c r="AO47" s="446" t="e">
        <f>IF(OR($B47="",MIN(AO$38,$D$19)&lt;MAX($P$34*($B47+IF($R$17="Distrato",$I$38-1,0)),IF(AND($L$37=0,$P$34=0),"",$L$37-1),IF($R$17="Distrato",$E47,0))),0,YEARFRAC(MAX($P$34*($B47+IF($R$17="Distrato",$I$38-1,0)),IF(AND($L$37=0,$P$34=0),"",$L$37-1),IF($R$17="Distrato",$E47,0)),MIN(AO$38,$D$19),$P$20))-SUM($P47:AN47)</f>
        <v>#VALUE!</v>
      </c>
      <c r="AP47" s="446" t="e">
        <f>IF(OR($B47="",MIN(AP$38,$D$19)&lt;MAX($P$34*($B47+IF($R$17="Distrato",$I$38-1,0)),IF(AND($L$37=0,$P$34=0),"",$L$37-1),IF($R$17="Distrato",$E47,0))),0,YEARFRAC(MAX($P$34*($B47+IF($R$17="Distrato",$I$38-1,0)),IF(AND($L$37=0,$P$34=0),"",$L$37-1),IF($R$17="Distrato",$E47,0)),MIN(AP$38,$D$19),$P$20))-SUM($P47:AO47)</f>
        <v>#VALUE!</v>
      </c>
      <c r="AQ47" s="446" t="e">
        <f>IF(OR($B47="",MIN(AQ$38,$D$19)&lt;MAX($P$34*($B47+IF($R$17="Distrato",$I$38-1,0)),IF(AND($L$37=0,$P$34=0),"",$L$37-1),IF($R$17="Distrato",$E47,0))),0,YEARFRAC(MAX($P$34*($B47+IF($R$17="Distrato",$I$38-1,0)),IF(AND($L$37=0,$P$34=0),"",$L$37-1),IF($R$17="Distrato",$E47,0)),MIN(AQ$38,$D$19),$P$20))-SUM($P47:AP47)</f>
        <v>#VALUE!</v>
      </c>
      <c r="AR47" s="446" t="e">
        <f>IF(OR($B47="",MIN(AR$38,$D$19)&lt;MAX($P$34*($B47+IF($R$17="Distrato",$I$38-1,0)),IF(AND($L$37=0,$P$34=0),"",$L$37-1),IF($R$17="Distrato",$E47,0))),0,YEARFRAC(MAX($P$34*($B47+IF($R$17="Distrato",$I$38-1,0)),IF(AND($L$37=0,$P$34=0),"",$L$37-1),IF($R$17="Distrato",$E47,0)),MIN(AR$38,$D$19),$P$20))-SUM($P47:AQ47)</f>
        <v>#VALUE!</v>
      </c>
      <c r="AS47" s="446" t="e">
        <f>IF(OR($B47="",MIN(AS$38,$D$19)&lt;MAX($P$34*($B47+IF($R$17="Distrato",$I$38-1,0)),IF(AND($L$37=0,$P$34=0),"",$L$37-1),IF($R$17="Distrato",$E47,0))),0,YEARFRAC(MAX($P$34*($B47+IF($R$17="Distrato",$I$38-1,0)),IF(AND($L$37=0,$P$34=0),"",$L$37-1),IF($R$17="Distrato",$E47,0)),MIN(AS$38,$D$19),$P$20))-SUM($P47:AR47)</f>
        <v>#VALUE!</v>
      </c>
      <c r="AT47" s="446" t="e">
        <f>IF(OR($B47="",MIN(AT$38,$D$19)&lt;MAX($P$34*($B47+IF($R$17="Distrato",$I$38-1,0)),IF(AND($L$37=0,$P$34=0),"",$L$37-1),IF($R$17="Distrato",$E47,0))),0,YEARFRAC(MAX($P$34*($B47+IF($R$17="Distrato",$I$38-1,0)),IF(AND($L$37=0,$P$34=0),"",$L$37-1),IF($R$17="Distrato",$E47,0)),MIN(AT$38,$D$19),$P$20))-SUM($P47:AS47)</f>
        <v>#VALUE!</v>
      </c>
      <c r="AU47" s="446" t="e">
        <f>IF(OR($B47="",MIN(AU$38,$D$19)&lt;MAX($P$34*($B47+IF($R$17="Distrato",$I$38-1,0)),IF(AND($L$37=0,$P$34=0),"",$L$37-1),IF($R$17="Distrato",$E47,0))),0,YEARFRAC(MAX($P$34*($B47+IF($R$17="Distrato",$I$38-1,0)),IF(AND($L$37=0,$P$34=0),"",$L$37-1),IF($R$17="Distrato",$E47,0)),MIN(AU$38,$D$19),$P$20))-SUM($P47:AT47)</f>
        <v>#VALUE!</v>
      </c>
      <c r="AV47" s="446" t="e">
        <f>IF(OR($B47="",MIN(AV$38,$D$19)&lt;MAX($P$34*($B47+IF($R$17="Distrato",$I$38-1,0)),IF(AND($L$37=0,$P$34=0),"",$L$37-1),IF($R$17="Distrato",$E47,0))),0,YEARFRAC(MAX($P$34*($B47+IF($R$17="Distrato",$I$38-1,0)),IF(AND($L$37=0,$P$34=0),"",$L$37-1),IF($R$17="Distrato",$E47,0)),MIN(AV$38,$D$19),$P$20))-SUM($P47:AU47)</f>
        <v>#VALUE!</v>
      </c>
      <c r="AW47" s="446" t="e">
        <f>IF(OR($B47="",MIN(AW$38,$D$19)&lt;MAX($P$34*($B47+IF($R$17="Distrato",$I$38-1,0)),IF(AND($L$37=0,$P$34=0),"",$L$37-1),IF($R$17="Distrato",$E47,0))),0,YEARFRAC(MAX($P$34*($B47+IF($R$17="Distrato",$I$38-1,0)),IF(AND($L$37=0,$P$34=0),"",$L$37-1),IF($R$17="Distrato",$E47,0)),MIN(AW$38,$D$19),$P$20))-SUM($P47:AV47)</f>
        <v>#VALUE!</v>
      </c>
      <c r="AX47" s="446" t="e">
        <f>IF(OR($B47="",MIN(AX$38,$D$19)&lt;MAX($P$34*($B47+IF($R$17="Distrato",$I$38-1,0)),IF(AND($L$37=0,$P$34=0),"",$L$37-1),IF($R$17="Distrato",$E47,0))),0,YEARFRAC(MAX($P$34*($B47+IF($R$17="Distrato",$I$38-1,0)),IF(AND($L$37=0,$P$34=0),"",$L$37-1),IF($R$17="Distrato",$E47,0)),MIN(AX$38,$D$19),$P$20))-SUM($P47:AW47)</f>
        <v>#VALUE!</v>
      </c>
      <c r="AY47" s="446" t="e">
        <f>IF(OR($B47="",MIN(AY$38,$D$19)&lt;MAX($P$34*($B47+IF($R$17="Distrato",$I$38-1,0)),IF(AND($L$37=0,$P$34=0),"",$L$37-1),IF($R$17="Distrato",$E47,0))),0,YEARFRAC(MAX($P$34*($B47+IF($R$17="Distrato",$I$38-1,0)),IF(AND($L$37=0,$P$34=0),"",$L$37-1),IF($R$17="Distrato",$E47,0)),MIN(AY$38,$D$19),$P$20))-SUM($P47:AX47)</f>
        <v>#VALUE!</v>
      </c>
      <c r="AZ47" s="446" t="e">
        <f>IF(OR($B47="",MIN(AZ$38,$D$19)&lt;MAX($P$34*($B47+IF($R$17="Distrato",$I$38-1,0)),IF(AND($L$37=0,$P$34=0),"",$L$37-1),IF($R$17="Distrato",$E47,0))),0,YEARFRAC(MAX($P$34*($B47+IF($R$17="Distrato",$I$38-1,0)),IF(AND($L$37=0,$P$34=0),"",$L$37-1),IF($R$17="Distrato",$E47,0)),MIN(AZ$38,$D$19),$P$20))-SUM($P47:AY47)</f>
        <v>#VALUE!</v>
      </c>
      <c r="BA47" s="446" t="e">
        <f>IF(OR($B47="",MIN(BA$38,$D$19)&lt;MAX($P$34*($B47+IF($R$17="Distrato",$I$38-1,0)),IF(AND($L$37=0,$P$34=0),"",$L$37-1),IF($R$17="Distrato",$E47,0))),0,YEARFRAC(MAX($P$34*($B47+IF($R$17="Distrato",$I$38-1,0)),IF(AND($L$37=0,$P$34=0),"",$L$37-1),IF($R$17="Distrato",$E47,0)),MIN(BA$38,$D$19),$P$20))-SUM($P47:AZ47)</f>
        <v>#VALUE!</v>
      </c>
      <c r="BB47" s="447"/>
      <c r="BF47" s="446">
        <f t="shared" si="10"/>
        <v>0</v>
      </c>
      <c r="BG47" s="446">
        <f>IF($E47=0,0,IF(MIN(BG$38,$E47)&lt;MAX($P$34*($B47+$I$38-1),IF(AND($L$37=0,$P$34=0),"",$L$37-1)),0,YEARFRAC(MAX($P$34*($B47+$I$38-1),IF(AND($L$37=0,$P$34=0),"",$L$37-1)),MIN(BG$38,$E47),$P$20))-SUM($BF47:BF47))</f>
        <v>0</v>
      </c>
      <c r="BH47" s="446">
        <f>IF($E47=0,0,IF(MIN(BH$38,$E47)&lt;MAX($P$34*($B47+$I$38-1),IF(AND($L$37=0,$P$34=0),"",$L$37-1)),0,YEARFRAC(MAX($P$34*($B47+$I$38-1),IF(AND($L$37=0,$P$34=0),"",$L$37-1)),MIN(BH$38,$E47),$P$20))-SUM($BF47:BG47))</f>
        <v>0</v>
      </c>
      <c r="BI47" s="446">
        <f>IF($E47=0,0,IF(MIN(BI$38,$E47)&lt;MAX($P$34*($B47+$I$38-1),IF(AND($L$37=0,$P$34=0),"",$L$37-1)),0,YEARFRAC(MAX($P$34*($B47+$I$38-1),IF(AND($L$37=0,$P$34=0),"",$L$37-1)),MIN(BI$38,$E47),$P$20))-SUM($BF47:BH47))</f>
        <v>0</v>
      </c>
      <c r="BJ47" s="446">
        <f>IF($E47=0,0,IF(MIN(BJ$38,$E47)&lt;MAX($P$34*($B47+$I$38-1),IF(AND($L$37=0,$P$34=0),"",$L$37-1)),0,YEARFRAC(MAX($P$34*($B47+$I$38-1),IF(AND($L$37=0,$P$34=0),"",$L$37-1)),MIN(BJ$38,$E47),$P$20))-SUM($BF47:BI47))</f>
        <v>0</v>
      </c>
      <c r="BK47" s="446">
        <f>IF($E47=0,0,IF(MIN(BK$38,$E47)&lt;MAX($P$34*($B47+$I$38-1),IF(AND($L$37=0,$P$34=0),"",$L$37-1)),0,YEARFRAC(MAX($P$34*($B47+$I$38-1),IF(AND($L$37=0,$P$34=0),"",$L$37-1)),MIN(BK$38,$E47),$P$20))-SUM($BF47:BJ47))</f>
        <v>0</v>
      </c>
      <c r="BL47" s="446">
        <f>IF($E47=0,0,IF(MIN(BL$38,$E47)&lt;MAX($P$34*($B47+$I$38-1),IF(AND($L$37=0,$P$34=0),"",$L$37-1)),0,YEARFRAC(MAX($P$34*($B47+$I$38-1),IF(AND($L$37=0,$P$34=0),"",$L$37-1)),MIN(BL$38,$E47),$P$20))-SUM($BF47:BK47))</f>
        <v>0</v>
      </c>
      <c r="BM47" s="446">
        <f>IF($E47=0,0,IF(MIN(BM$38,$E47)&lt;MAX($P$34*($B47+$I$38-1),IF(AND($L$37=0,$P$34=0),"",$L$37-1)),0,YEARFRAC(MAX($P$34*($B47+$I$38-1),IF(AND($L$37=0,$P$34=0),"",$L$37-1)),MIN(BM$38,$E47),$P$20))-SUM($BF47:BL47))</f>
        <v>0</v>
      </c>
      <c r="BN47" s="446">
        <f>IF($E47=0,0,IF(MIN(BN$38,$E47)&lt;MAX($P$34*($B47+$I$38-1),IF(AND($L$37=0,$P$34=0),"",$L$37-1)),0,YEARFRAC(MAX($P$34*($B47+$I$38-1),IF(AND($L$37=0,$P$34=0),"",$L$37-1)),MIN(BN$38,$E47),$P$20))-SUM($BF47:BM47))</f>
        <v>0</v>
      </c>
      <c r="BO47" s="446">
        <f>IF($E47=0,0,IF(MIN(BO$38,$E47)&lt;MAX($P$34*($B47+$I$38-1),IF(AND($L$37=0,$P$34=0),"",$L$37-1)),0,YEARFRAC(MAX($P$34*($B47+$I$38-1),IF(AND($L$37=0,$P$34=0),"",$L$37-1)),MIN(BO$38,$E47),$P$20))-SUM($BF47:BN47))</f>
        <v>0</v>
      </c>
      <c r="BP47" s="446">
        <f>IF($E47=0,0,IF(MIN(BP$38,$E47)&lt;MAX($P$34*($B47+$I$38-1),IF(AND($L$37=0,$P$34=0),"",$L$37-1)),0,YEARFRAC(MAX($P$34*($B47+$I$38-1),IF(AND($L$37=0,$P$34=0),"",$L$37-1)),MIN(BP$38,$E47),$P$20))-SUM($BF47:BO47))</f>
        <v>0</v>
      </c>
      <c r="BQ47" s="446">
        <f>IF($E47=0,0,IF(MIN(BQ$38,$E47)&lt;MAX($P$34*($B47+$I$38-1),IF(AND($L$37=0,$P$34=0),"",$L$37-1)),0,YEARFRAC(MAX($P$34*($B47+$I$38-1),IF(AND($L$37=0,$P$34=0),"",$L$37-1)),MIN(BQ$38,$E47),$P$20))-SUM($BF47:BP47))</f>
        <v>0</v>
      </c>
      <c r="BR47" s="446">
        <f>IF($E47=0,0,IF(MIN(BR$38,$E47)&lt;MAX($P$34*($B47+$I$38-1),IF(AND($L$37=0,$P$34=0),"",$L$37-1)),0,YEARFRAC(MAX($P$34*($B47+$I$38-1),IF(AND($L$37=0,$P$34=0),"",$L$37-1)),MIN(BR$38,$E47),$P$20))-SUM($BF47:BQ47))</f>
        <v>0</v>
      </c>
      <c r="BS47" s="446">
        <f>IF($E47=0,0,IF(MIN(BS$38,$E47)&lt;MAX($P$34*($B47+$I$38-1),IF(AND($L$37=0,$P$34=0),"",$L$37-1)),0,YEARFRAC(MAX($P$34*($B47+$I$38-1),IF(AND($L$37=0,$P$34=0),"",$L$37-1)),MIN(BS$38,$E47),$P$20))-SUM($BF47:BR47))</f>
        <v>0</v>
      </c>
      <c r="BT47" s="446">
        <f>IF($E47=0,0,IF(MIN(BT$38,$E47)&lt;MAX($P$34*($B47+$I$38-1),IF(AND($L$37=0,$P$34=0),"",$L$37-1)),0,YEARFRAC(MAX($P$34*($B47+$I$38-1),IF(AND($L$37=0,$P$34=0),"",$L$37-1)),MIN(BT$38,$E47),$P$20))-SUM($BF47:BS47))</f>
        <v>0</v>
      </c>
      <c r="BU47" s="446">
        <f>IF($E47=0,0,IF(MIN(BU$38,$E47)&lt;MAX($P$34*($B47+$I$38-1),IF(AND($L$37=0,$P$34=0),"",$L$37-1)),0,YEARFRAC(MAX($P$34*($B47+$I$38-1),IF(AND($L$37=0,$P$34=0),"",$L$37-1)),MIN(BU$38,$E47),$P$20))-SUM($BF47:BT47))</f>
        <v>0</v>
      </c>
      <c r="BV47" s="446">
        <f>IF($E47=0,0,IF(MIN(BV$38,$E47)&lt;MAX($P$34*($B47+$I$38-1),IF(AND($L$37=0,$P$34=0),"",$L$37-1)),0,YEARFRAC(MAX($P$34*($B47+$I$38-1),IF(AND($L$37=0,$P$34=0),"",$L$37-1)),MIN(BV$38,$E47),$P$20))-SUM($BF47:BU47))</f>
        <v>0</v>
      </c>
      <c r="BW47" s="446">
        <f>IF($E47=0,0,IF(MIN(BW$38,$E47)&lt;MAX($P$34*($B47+$I$38-1),IF(AND($L$37=0,$P$34=0),"",$L$37-1)),0,YEARFRAC(MAX($P$34*($B47+$I$38-1),IF(AND($L$37=0,$P$34=0),"",$L$37-1)),MIN(BW$38,$E47),$P$20))-SUM($BF47:BV47))</f>
        <v>0</v>
      </c>
      <c r="BX47" s="446">
        <f>IF($E47=0,0,IF(MIN(BX$38,$E47)&lt;MAX($P$34*($B47+$I$38-1),IF(AND($L$37=0,$P$34=0),"",$L$37-1)),0,YEARFRAC(MAX($P$34*($B47+$I$38-1),IF(AND($L$37=0,$P$34=0),"",$L$37-1)),MIN(BX$38,$E47),$P$20))-SUM($BF47:BW47))</f>
        <v>0</v>
      </c>
      <c r="BY47" s="446">
        <f>IF($E47=0,0,IF(MIN(BY$38,$E47)&lt;MAX($P$34*($B47+$I$38-1),IF(AND($L$37=0,$P$34=0),"",$L$37-1)),0,YEARFRAC(MAX($P$34*($B47+$I$38-1),IF(AND($L$37=0,$P$34=0),"",$L$37-1)),MIN(BY$38,$E47),$P$20))-SUM($BF47:BX47))</f>
        <v>0</v>
      </c>
      <c r="BZ47" s="446">
        <f>IF($E47=0,0,IF(MIN(BZ$38,$E47)&lt;MAX($P$34*($B47+$I$38-1),IF(AND($L$37=0,$P$34=0),"",$L$37-1)),0,YEARFRAC(MAX($P$34*($B47+$I$38-1),IF(AND($L$37=0,$P$34=0),"",$L$37-1)),MIN(BZ$38,$E47),$P$20))-SUM($BF47:BY47))</f>
        <v>0</v>
      </c>
      <c r="CA47" s="446">
        <f>IF($E47=0,0,IF(MIN(CA$38,$E47)&lt;MAX($P$34*($B47+$I$38-1),IF(AND($L$37=0,$P$34=0),"",$L$37-1)),0,YEARFRAC(MAX($P$34*($B47+$I$38-1),IF(AND($L$37=0,$P$34=0),"",$L$37-1)),MIN(CA$38,$E47),$P$20))-SUM($BF47:BZ47))</f>
        <v>0</v>
      </c>
      <c r="CB47" s="446">
        <f>IF($E47=0,0,IF(MIN(CB$38,$E47)&lt;MAX($P$34*($B47+$I$38-1),IF(AND($L$37=0,$P$34=0),"",$L$37-1)),0,YEARFRAC(MAX($P$34*($B47+$I$38-1),IF(AND($L$37=0,$P$34=0),"",$L$37-1)),MIN(CB$38,$E47),$P$20))-SUM($BF47:CA47))</f>
        <v>0</v>
      </c>
      <c r="CC47" s="446">
        <f>IF($E47=0,0,IF(MIN(CC$38,$E47)&lt;MAX($P$34*($B47+$I$38-1),IF(AND($L$37=0,$P$34=0),"",$L$37-1)),0,YEARFRAC(MAX($P$34*($B47+$I$38-1),IF(AND($L$37=0,$P$34=0),"",$L$37-1)),MIN(CC$38,$E47),$P$20))-SUM($BF47:CB47))</f>
        <v>0</v>
      </c>
      <c r="CD47" s="446">
        <f>IF($E47=0,0,IF(MIN(CD$38,$E47)&lt;MAX($P$34*($B47+$I$38-1),IF(AND($L$37=0,$P$34=0),"",$L$37-1)),0,YEARFRAC(MAX($P$34*($B47+$I$38-1),IF(AND($L$37=0,$P$34=0),"",$L$37-1)),MIN(CD$38,$E47),$P$20))-SUM($BF47:CC47))</f>
        <v>0</v>
      </c>
      <c r="CE47" s="446">
        <f>IF($E47=0,0,IF(MIN(CE$38,$E47)&lt;MAX($P$34*($B47+$I$38-1),IF(AND($L$37=0,$P$34=0),"",$L$37-1)),0,YEARFRAC(MAX($P$34*($B47+$I$38-1),IF(AND($L$37=0,$P$34=0),"",$L$37-1)),MIN(CE$38,$E47),$P$20))-SUM($BF47:CD47))</f>
        <v>0</v>
      </c>
      <c r="CF47" s="446">
        <f>IF($E47=0,0,IF(MIN(CF$38,$E47)&lt;MAX($P$34*($B47+$I$38-1),IF(AND($L$37=0,$P$34=0),"",$L$37-1)),0,YEARFRAC(MAX($P$34*($B47+$I$38-1),IF(AND($L$37=0,$P$34=0),"",$L$37-1)),MIN(CF$38,$E47),$P$20))-SUM($BF47:CE47))</f>
        <v>0</v>
      </c>
      <c r="CG47" s="446">
        <f>IF($E47=0,0,IF(MIN(CG$38,$E47)&lt;MAX($P$34*($B47+$I$38-1),IF(AND($L$37=0,$P$34=0),"",$L$37-1)),0,YEARFRAC(MAX($P$34*($B47+$I$38-1),IF(AND($L$37=0,$P$34=0),"",$L$37-1)),MIN(CG$38,$E47),$P$20))-SUM($BF47:CF47))</f>
        <v>0</v>
      </c>
      <c r="CH47" s="446">
        <f>IF($E47=0,0,IF(MIN(CH$38,$E47)&lt;MAX($P$34*($B47+$I$38-1),IF(AND($L$37=0,$P$34=0),"",$L$37-1)),0,YEARFRAC(MAX($P$34*($B47+$I$38-1),IF(AND($L$37=0,$P$34=0),"",$L$37-1)),MIN(CH$38,$E47),$P$20))-SUM($BF47:CG47))</f>
        <v>0</v>
      </c>
      <c r="CI47" s="446">
        <f>IF($E47=0,0,IF(MIN(CI$38,$E47)&lt;MAX($P$34*($B47+$I$38-1),IF(AND($L$37=0,$P$34=0),"",$L$37-1)),0,YEARFRAC(MAX($P$34*($B47+$I$38-1),IF(AND($L$37=0,$P$34=0),"",$L$37-1)),MIN(CI$38,$E47),$P$20))-SUM($BF47:CH47))</f>
        <v>0</v>
      </c>
      <c r="CJ47" s="446">
        <f>IF($E47=0,0,IF(MIN(CJ$38,$E47)&lt;MAX($P$34*($B47+$I$38-1),IF(AND($L$37=0,$P$34=0),"",$L$37-1)),0,YEARFRAC(MAX($P$34*($B47+$I$38-1),IF(AND($L$37=0,$P$34=0),"",$L$37-1)),MIN(CJ$38,$E47),$P$20))-SUM($BF47:CI47))</f>
        <v>0</v>
      </c>
      <c r="CK47" s="446">
        <f>IF($E47=0,0,IF(MIN(CK$38,$E47)&lt;MAX($P$34*($B47+$I$38-1),IF(AND($L$37=0,$P$34=0),"",$L$37-1)),0,YEARFRAC(MAX($P$34*($B47+$I$38-1),IF(AND($L$37=0,$P$34=0),"",$L$37-1)),MIN(CK$38,$E47),$P$20))-SUM($BF47:CJ47))</f>
        <v>0</v>
      </c>
      <c r="CL47" s="446">
        <f>IF($E47=0,0,IF(MIN(CL$38,$E47)&lt;MAX($P$34*($B47+$I$38-1),IF(AND($L$37=0,$P$34=0),"",$L$37-1)),0,YEARFRAC(MAX($P$34*($B47+$I$38-1),IF(AND($L$37=0,$P$34=0),"",$L$37-1)),MIN(CL$38,$E47),$P$20))-SUM($BF47:CK47))</f>
        <v>0</v>
      </c>
      <c r="CM47" s="446">
        <f>IF($E47=0,0,IF(MIN(CM$38,$E47)&lt;MAX($P$34*($B47+$I$38-1),IF(AND($L$37=0,$P$34=0),"",$L$37-1)),0,YEARFRAC(MAX($P$34*($B47+$I$38-1),IF(AND($L$37=0,$P$34=0),"",$L$37-1)),MIN(CM$38,$E47),$P$20))-SUM($BF47:CL47))</f>
        <v>0</v>
      </c>
      <c r="CN47" s="446">
        <f>IF($E47=0,0,IF(MIN(CN$38,$E47)&lt;MAX($P$34*($B47+$I$38-1),IF(AND($L$37=0,$P$34=0),"",$L$37-1)),0,YEARFRAC(MAX($P$34*($B47+$I$38-1),IF(AND($L$37=0,$P$34=0),"",$L$37-1)),MIN(CN$38,$E47),$P$20))-SUM($BF47:CM47))</f>
        <v>0</v>
      </c>
      <c r="CO47" s="446">
        <f>IF($E47=0,0,IF(MIN(CO$38,$E47)&lt;MAX($P$34*($B47+$I$38-1),IF(AND($L$37=0,$P$34=0),"",$L$37-1)),0,YEARFRAC(MAX($P$34*($B47+$I$38-1),IF(AND($L$37=0,$P$34=0),"",$L$37-1)),MIN(CO$38,$E47),$P$20))-SUM($BF47:CN47))</f>
        <v>0</v>
      </c>
      <c r="CP47" s="446">
        <f>IF($E47=0,0,IF(MIN(CP$38,$E47)&lt;MAX($P$34*($B47+$I$38-1),IF(AND($L$37=0,$P$34=0),"",$L$37-1)),0,YEARFRAC(MAX($P$34*($B47+$I$38-1),IF(AND($L$37=0,$P$34=0),"",$L$37-1)),MIN(CP$38,$E47),$P$20))-SUM($BF47:CO47))</f>
        <v>0</v>
      </c>
      <c r="CQ47" s="446">
        <f>IF($E47=0,0,IF(MIN(CQ$38,$E47)&lt;MAX($P$34*($B47+$I$38-1),IF(AND($L$37=0,$P$34=0),"",$L$37-1)),0,YEARFRAC(MAX($P$34*($B47+$I$38-1),IF(AND($L$37=0,$P$34=0),"",$L$37-1)),MIN(CQ$38,$E47),$P$20))-SUM($BF47:CP47))</f>
        <v>0</v>
      </c>
    </row>
    <row r="48" spans="1:116" s="446" customFormat="1" ht="11.25" hidden="1" customHeight="1" x14ac:dyDescent="0.2">
      <c r="A48" s="152"/>
      <c r="B48" s="153" t="str">
        <f t="shared" si="15"/>
        <v/>
      </c>
      <c r="C48" s="29" t="str">
        <f>IF(B48="","",IF($L$35="SELIC - TRIBUTOS",VLOOKUP(DATE(YEAR($D$19),MONTH($D$19)-1,1),ÍNDICES!$A:$DE,HLOOKUP($BL$25,ÍNDICES!$B$3:$T$4,2)+11)-VLOOKUP(B48,ÍNDICES!$A:$DE,HLOOKUP($BL$25,ÍNDICES!$B$3:$T$4,2)+11)+1%,IF(C$38=$W$26,$J$35,IF(ISERROR(IF(B48&gt;$D$19,1,VLOOKUP(DATE(YEAR(B48),MONTH(B48)+IF($C$35=$S$23,1,0),1),ÍNDICES!$A:$DE,$Z$35+1))),"",IF(B48&gt;$D$19,1,VLOOKUP(DATE(YEAR(B48),MONTH(B48)+IF($C$35=$S$23,1,0),1),ÍNDICES!$A:$DE,$Z$35+1))))))</f>
        <v/>
      </c>
      <c r="D48" s="154" t="str">
        <f>IF(ISERROR(IF(OR($D$38=$Y$27,$B48=""),"",VLOOKUP(B48,ÍNDICES!A:DE,AF$35+1))),"",IF(OR($D$38=$Y$27,$B48=""),"",VLOOKUP(B48,ÍNDICES!A:DE,AF$35+1)))</f>
        <v/>
      </c>
      <c r="E48" s="153"/>
      <c r="F48" s="29" t="str">
        <f>IF(E48="","",IF($L$35="SELIC - TRIBUTOS",VLOOKUP(DATE(YEAR($D$19),MONTH($D$19)-1,1),ÍNDICES!$A:$DE,HLOOKUP($BL$25,ÍNDICES!$B$3:$T$4,2)+11)-VLOOKUP(IF(E48&gt;B48,E48,B48),ÍNDICES!$A:$DE,HLOOKUP($BL$25,ÍNDICES!$B$3:$T$4,2)+11)+1%,IF(F$38=$W$26,$J$35,IF(ISERROR(IF(E48&gt;$D$19,1,VLOOKUP(DATE(YEAR(E48),MONTH(E48)+IF($C$35=$S$23,1,0),1),ÍNDICES!$A:$DE,$Z$35+1))),"",IF(E48&gt;$D$19,1,VLOOKUP(DATE(YEAR(E48),MONTH(E48)+IF($C$35=$S$23,1,0),1),ÍNDICES!$A:$DE,$Z$35+1))))))</f>
        <v/>
      </c>
      <c r="G48" s="155"/>
      <c r="H48" s="156" t="str">
        <f t="shared" si="11"/>
        <v/>
      </c>
      <c r="I48" s="29" t="str">
        <f t="shared" si="5"/>
        <v/>
      </c>
      <c r="J48" s="5">
        <f t="shared" si="6"/>
        <v>0</v>
      </c>
      <c r="K48" s="20">
        <f t="shared" ca="1" si="7"/>
        <v>0</v>
      </c>
      <c r="L48" s="5">
        <f t="shared" ca="1" si="8"/>
        <v>0</v>
      </c>
      <c r="M48" s="64">
        <f t="shared" si="12"/>
        <v>0</v>
      </c>
      <c r="N48" s="61">
        <f t="shared" ca="1" si="13"/>
        <v>0</v>
      </c>
      <c r="O48" s="5">
        <f t="shared" ca="1" si="14"/>
        <v>0</v>
      </c>
      <c r="P48" s="446" t="e">
        <f t="shared" si="9"/>
        <v>#VALUE!</v>
      </c>
      <c r="Q48" s="446" t="e">
        <f>IF(OR($B48="",MIN(Q$38,$D$19)&lt;MAX($P$34*($B48+IF($R$17="Distrato",$I$38-1,0)),IF(AND($L$37=0,$P$34=0),"",$L$37-1),IF($R$17="Distrato",$E48,0))),0,YEARFRAC(MAX($P$34*($B48+IF($R$17="Distrato",$I$38-1,0)),IF(AND($L$37=0,$P$34=0),"",$L$37-1),IF($R$17="Distrato",$E48,0)),MIN(Q$38,$D$19),$P$20))-SUM($P48:P48)</f>
        <v>#VALUE!</v>
      </c>
      <c r="R48" s="446" t="e">
        <f>IF(OR($B48="",MIN(R$38,$D$19)&lt;MAX($P$34*($B48+IF($R$17="Distrato",$I$38-1,0)),IF(AND($L$37=0,$P$34=0),"",$L$37-1),IF($R$17="Distrato",$E48,0))),0,YEARFRAC(MAX($P$34*($B48+IF($R$17="Distrato",$I$38-1,0)),IF(AND($L$37=0,$P$34=0),"",$L$37-1),IF($R$17="Distrato",$E48,0)),MIN(R$38,$D$19),$P$20))-SUM($P48:Q48)</f>
        <v>#VALUE!</v>
      </c>
      <c r="S48" s="446" t="e">
        <f>IF(OR($B48="",MIN(S$38,$D$19)&lt;MAX($P$34*($B48+IF($R$17="Distrato",$I$38-1,0)),IF(AND($L$37=0,$P$34=0),"",$L$37-1),IF($R$17="Distrato",$E48,0))),0,YEARFRAC(MAX($P$34*($B48+IF($R$17="Distrato",$I$38-1,0)),IF(AND($L$37=0,$P$34=0),"",$L$37-1),IF($R$17="Distrato",$E48,0)),MIN(S$38,$D$19),$P$20))-SUM($P48:R48)</f>
        <v>#VALUE!</v>
      </c>
      <c r="T48" s="446" t="e">
        <f>IF(OR($B48="",MIN(T$38,$D$19)&lt;MAX($P$34*($B48+IF($R$17="Distrato",$I$38-1,0)),IF(AND($L$37=0,$P$34=0),"",$L$37-1),IF($R$17="Distrato",$E48,0))),0,YEARFRAC(MAX($P$34*($B48+IF($R$17="Distrato",$I$38-1,0)),IF(AND($L$37=0,$P$34=0),"",$L$37-1),IF($R$17="Distrato",$E48,0)),MIN(T$38,$D$19),$P$20))-SUM($P48:S48)</f>
        <v>#VALUE!</v>
      </c>
      <c r="U48" s="446" t="e">
        <f>IF(OR($B48="",MIN(U$38,$D$19)&lt;MAX($P$34*($B48+IF($R$17="Distrato",$I$38-1,0)),IF(AND($L$37=0,$P$34=0),"",$L$37-1),IF($R$17="Distrato",$E48,0))),0,YEARFRAC(MAX($P$34*($B48+IF($R$17="Distrato",$I$38-1,0)),IF(AND($L$37=0,$P$34=0),"",$L$37-1),IF($R$17="Distrato",$E48,0)),MIN(U$38,$D$19),$P$20))-SUM($P48:T48)</f>
        <v>#VALUE!</v>
      </c>
      <c r="V48" s="446" t="e">
        <f>IF(OR($B48="",MIN(V$38,$D$19)&lt;MAX($P$34*($B48+IF($R$17="Distrato",$I$38-1,0)),IF(AND($L$37=0,$P$34=0),"",$L$37-1),IF($R$17="Distrato",$E48,0))),0,YEARFRAC(MAX($P$34*($B48+IF($R$17="Distrato",$I$38-1,0)),IF(AND($L$37=0,$P$34=0),"",$L$37-1),IF($R$17="Distrato",$E48,0)),MIN(V$38,$D$19),$P$20))-SUM($P48:U48)</f>
        <v>#VALUE!</v>
      </c>
      <c r="W48" s="446" t="e">
        <f>IF(OR($B48="",MIN(W$38,$D$19)&lt;MAX($P$34*($B48+IF($R$17="Distrato",$I$38-1,0)),IF(AND($L$37=0,$P$34=0),"",$L$37-1),IF($R$17="Distrato",$E48,0))),0,YEARFRAC(MAX($P$34*($B48+IF($R$17="Distrato",$I$38-1,0)),IF(AND($L$37=0,$P$34=0),"",$L$37-1),IF($R$17="Distrato",$E48,0)),MIN(W$38,$D$19),$P$20))-SUM($P48:V48)</f>
        <v>#VALUE!</v>
      </c>
      <c r="X48" s="446" t="e">
        <f>IF(OR($B48="",MIN(X$38,$D$19)&lt;MAX($P$34*($B48+IF($R$17="Distrato",$I$38-1,0)),IF(AND($L$37=0,$P$34=0),"",$L$37-1),IF($R$17="Distrato",$E48,0))),0,YEARFRAC(MAX($P$34*($B48+IF($R$17="Distrato",$I$38-1,0)),IF(AND($L$37=0,$P$34=0),"",$L$37-1),IF($R$17="Distrato",$E48,0)),MIN(X$38,$D$19),$P$20))-SUM($P48:W48)</f>
        <v>#VALUE!</v>
      </c>
      <c r="Y48" s="446" t="e">
        <f>IF(OR($B48="",MIN(Y$38,$D$19)&lt;MAX($P$34*($B48+IF($R$17="Distrato",$I$38-1,0)),IF(AND($L$37=0,$P$34=0),"",$L$37-1),IF($R$17="Distrato",$E48,0))),0,YEARFRAC(MAX($P$34*($B48+IF($R$17="Distrato",$I$38-1,0)),IF(AND($L$37=0,$P$34=0),"",$L$37-1),IF($R$17="Distrato",$E48,0)),MIN(Y$38,$D$19),$P$20))-SUM($P48:X48)</f>
        <v>#VALUE!</v>
      </c>
      <c r="Z48" s="446" t="e">
        <f>IF(OR($B48="",MIN(Z$38,$D$19)&lt;MAX($P$34*($B48+IF($R$17="Distrato",$I$38-1,0)),IF(AND($L$37=0,$P$34=0),"",$L$37-1),IF($R$17="Distrato",$E48,0))),0,YEARFRAC(MAX($P$34*($B48+IF($R$17="Distrato",$I$38-1,0)),IF(AND($L$37=0,$P$34=0),"",$L$37-1),IF($R$17="Distrato",$E48,0)),MIN(Z$38,$D$19),$P$20))-SUM($P48:Y48)</f>
        <v>#VALUE!</v>
      </c>
      <c r="AA48" s="446" t="e">
        <f>IF(OR($B48="",MIN(AA$38,$D$19)&lt;MAX($P$34*($B48+IF($R$17="Distrato",$I$38-1,0)),IF(AND($L$37=0,$P$34=0),"",$L$37-1),IF($R$17="Distrato",$E48,0))),0,YEARFRAC(MAX($P$34*($B48+IF($R$17="Distrato",$I$38-1,0)),IF(AND($L$37=0,$P$34=0),"",$L$37-1),IF($R$17="Distrato",$E48,0)),MIN(AA$38,$D$19),$P$20))-SUM($P48:Z48)</f>
        <v>#VALUE!</v>
      </c>
      <c r="AB48" s="446" t="e">
        <f>IF(OR($B48="",MIN(AB$38,$D$19)&lt;MAX($P$34*($B48+IF($R$17="Distrato",$I$38-1,0)),IF(AND($L$37=0,$P$34=0),"",$L$37-1),IF($R$17="Distrato",$E48,0))),0,YEARFRAC(MAX($P$34*($B48+IF($R$17="Distrato",$I$38-1,0)),IF(AND($L$37=0,$P$34=0),"",$L$37-1),IF($R$17="Distrato",$E48,0)),MIN(AB$38,$D$19),$P$20))-SUM($P48:AA48)</f>
        <v>#VALUE!</v>
      </c>
      <c r="AC48" s="446" t="e">
        <f>IF(OR($B48="",MIN(AC$38,$D$19)&lt;MAX($P$34*($B48+IF($R$17="Distrato",$I$38-1,0)),IF(AND($L$37=0,$P$34=0),"",$L$37-1),IF($R$17="Distrato",$E48,0))),0,YEARFRAC(MAX($P$34*($B48+IF($R$17="Distrato",$I$38-1,0)),IF(AND($L$37=0,$P$34=0),"",$L$37-1),IF($R$17="Distrato",$E48,0)),MIN(AC$38,$D$19),$P$20))-SUM($P48:AB48)</f>
        <v>#VALUE!</v>
      </c>
      <c r="AD48" s="446" t="e">
        <f>IF(OR($B48="",MIN(AD$38,$D$19)&lt;MAX($P$34*($B48+IF($R$17="Distrato",$I$38-1,0)),IF(AND($L$37=0,$P$34=0),"",$L$37-1),IF($R$17="Distrato",$E48,0))),0,YEARFRAC(MAX($P$34*($B48+IF($R$17="Distrato",$I$38-1,0)),IF(AND($L$37=0,$P$34=0),"",$L$37-1),IF($R$17="Distrato",$E48,0)),MIN(AD$38,$D$19),$P$20))-SUM($P48:AC48)</f>
        <v>#VALUE!</v>
      </c>
      <c r="AE48" s="446" t="e">
        <f>IF(OR($B48="",MIN(AE$38,$D$19)&lt;MAX($P$34*($B48+IF($R$17="Distrato",$I$38-1,0)),IF(AND($L$37=0,$P$34=0),"",$L$37-1),IF($R$17="Distrato",$E48,0))),0,YEARFRAC(MAX($P$34*($B48+IF($R$17="Distrato",$I$38-1,0)),IF(AND($L$37=0,$P$34=0),"",$L$37-1),IF($R$17="Distrato",$E48,0)),MIN(AE$38,$D$19),$P$20))-SUM($P48:AD48)</f>
        <v>#VALUE!</v>
      </c>
      <c r="AF48" s="446" t="e">
        <f>IF(OR($B48="",MIN(AF$38,$D$19)&lt;MAX($P$34*($B48+IF($R$17="Distrato",$I$38-1,0)),IF(AND($L$37=0,$P$34=0),"",$L$37-1),IF($R$17="Distrato",$E48,0))),0,YEARFRAC(MAX($P$34*($B48+IF($R$17="Distrato",$I$38-1,0)),IF(AND($L$37=0,$P$34=0),"",$L$37-1),IF($R$17="Distrato",$E48,0)),MIN(AF$38,$D$19),$P$20))-SUM($P48:AE48)</f>
        <v>#VALUE!</v>
      </c>
      <c r="AG48" s="446" t="e">
        <f>IF(OR($B48="",MIN(AG$38,$D$19)&lt;MAX($P$34*($B48+IF($R$17="Distrato",$I$38-1,0)),IF(AND($L$37=0,$P$34=0),"",$L$37-1),IF($R$17="Distrato",$E48,0))),0,YEARFRAC(MAX($P$34*($B48+IF($R$17="Distrato",$I$38-1,0)),IF(AND($L$37=0,$P$34=0),"",$L$37-1),IF($R$17="Distrato",$E48,0)),MIN(AG$38,$D$19),$P$20))-SUM($P48:AF48)</f>
        <v>#VALUE!</v>
      </c>
      <c r="AH48" s="446" t="e">
        <f>IF(OR($B48="",MIN(AH$38,$D$19)&lt;MAX($P$34*($B48+IF($R$17="Distrato",$I$38-1,0)),IF(AND($L$37=0,$P$34=0),"",$L$37-1),IF($R$17="Distrato",$E48,0))),0,YEARFRAC(MAX($P$34*($B48+IF($R$17="Distrato",$I$38-1,0)),IF(AND($L$37=0,$P$34=0),"",$L$37-1),IF($R$17="Distrato",$E48,0)),MIN(AH$38,$D$19),$P$20))-SUM($P48:AG48)</f>
        <v>#VALUE!</v>
      </c>
      <c r="AI48" s="446" t="e">
        <f>IF(OR($B48="",MIN(AI$38,$D$19)&lt;MAX($P$34*($B48+IF($R$17="Distrato",$I$38-1,0)),IF(AND($L$37=0,$P$34=0),"",$L$37-1),IF($R$17="Distrato",$E48,0))),0,YEARFRAC(MAX($P$34*($B48+IF($R$17="Distrato",$I$38-1,0)),IF(AND($L$37=0,$P$34=0),"",$L$37-1),IF($R$17="Distrato",$E48,0)),MIN(AI$38,$D$19),$P$20))-SUM($P48:AH48)</f>
        <v>#VALUE!</v>
      </c>
      <c r="AJ48" s="446" t="e">
        <f>IF(OR($B48="",MIN(AJ$38,$D$19)&lt;MAX($P$34*($B48+IF($R$17="Distrato",$I$38-1,0)),IF(AND($L$37=0,$P$34=0),"",$L$37-1),IF($R$17="Distrato",$E48,0))),0,YEARFRAC(MAX($P$34*($B48+IF($R$17="Distrato",$I$38-1,0)),IF(AND($L$37=0,$P$34=0),"",$L$37-1),IF($R$17="Distrato",$E48,0)),MIN(AJ$38,$D$19),$P$20))-SUM($P48:AI48)</f>
        <v>#VALUE!</v>
      </c>
      <c r="AK48" s="446" t="e">
        <f>IF(OR($B48="",MIN(AK$38,$D$19)&lt;MAX($P$34*($B48+IF($R$17="Distrato",$I$38-1,0)),IF(AND($L$37=0,$P$34=0),"",$L$37-1),IF($R$17="Distrato",$E48,0))),0,YEARFRAC(MAX($P$34*($B48+IF($R$17="Distrato",$I$38-1,0)),IF(AND($L$37=0,$P$34=0),"",$L$37-1),IF($R$17="Distrato",$E48,0)),MIN(AK$38,$D$19),$P$20))-SUM($P48:AJ48)</f>
        <v>#VALUE!</v>
      </c>
      <c r="AL48" s="446" t="e">
        <f>IF(OR($B48="",MIN(AL$38,$D$19)&lt;MAX($P$34*($B48+IF($R$17="Distrato",$I$38-1,0)),IF(AND($L$37=0,$P$34=0),"",$L$37-1),IF($R$17="Distrato",$E48,0))),0,YEARFRAC(MAX($P$34*($B48+IF($R$17="Distrato",$I$38-1,0)),IF(AND($L$37=0,$P$34=0),"",$L$37-1),IF($R$17="Distrato",$E48,0)),MIN(AL$38,$D$19),$P$20))-SUM($P48:AK48)</f>
        <v>#VALUE!</v>
      </c>
      <c r="AM48" s="446" t="e">
        <f>IF(OR($B48="",MIN(AM$38,$D$19)&lt;MAX($P$34*($B48+IF($R$17="Distrato",$I$38-1,0)),IF(AND($L$37=0,$P$34=0),"",$L$37-1),IF($R$17="Distrato",$E48,0))),0,YEARFRAC(MAX($P$34*($B48+IF($R$17="Distrato",$I$38-1,0)),IF(AND($L$37=0,$P$34=0),"",$L$37-1),IF($R$17="Distrato",$E48,0)),MIN(AM$38,$D$19),$P$20))-SUM($P48:AL48)</f>
        <v>#VALUE!</v>
      </c>
      <c r="AN48" s="446" t="e">
        <f>IF(OR($B48="",MIN(AN$38,$D$19)&lt;MAX($P$34*($B48+IF($R$17="Distrato",$I$38-1,0)),IF(AND($L$37=0,$P$34=0),"",$L$37-1),IF($R$17="Distrato",$E48,0))),0,YEARFRAC(MAX($P$34*($B48+IF($R$17="Distrato",$I$38-1,0)),IF(AND($L$37=0,$P$34=0),"",$L$37-1),IF($R$17="Distrato",$E48,0)),MIN(AN$38,$D$19),$P$20))-SUM($P48:AM48)</f>
        <v>#VALUE!</v>
      </c>
      <c r="AO48" s="446" t="e">
        <f>IF(OR($B48="",MIN(AO$38,$D$19)&lt;MAX($P$34*($B48+IF($R$17="Distrato",$I$38-1,0)),IF(AND($L$37=0,$P$34=0),"",$L$37-1),IF($R$17="Distrato",$E48,0))),0,YEARFRAC(MAX($P$34*($B48+IF($R$17="Distrato",$I$38-1,0)),IF(AND($L$37=0,$P$34=0),"",$L$37-1),IF($R$17="Distrato",$E48,0)),MIN(AO$38,$D$19),$P$20))-SUM($P48:AN48)</f>
        <v>#VALUE!</v>
      </c>
      <c r="AP48" s="446" t="e">
        <f>IF(OR($B48="",MIN(AP$38,$D$19)&lt;MAX($P$34*($B48+IF($R$17="Distrato",$I$38-1,0)),IF(AND($L$37=0,$P$34=0),"",$L$37-1),IF($R$17="Distrato",$E48,0))),0,YEARFRAC(MAX($P$34*($B48+IF($R$17="Distrato",$I$38-1,0)),IF(AND($L$37=0,$P$34=0),"",$L$37-1),IF($R$17="Distrato",$E48,0)),MIN(AP$38,$D$19),$P$20))-SUM($P48:AO48)</f>
        <v>#VALUE!</v>
      </c>
      <c r="AQ48" s="446" t="e">
        <f>IF(OR($B48="",MIN(AQ$38,$D$19)&lt;MAX($P$34*($B48+IF($R$17="Distrato",$I$38-1,0)),IF(AND($L$37=0,$P$34=0),"",$L$37-1),IF($R$17="Distrato",$E48,0))),0,YEARFRAC(MAX($P$34*($B48+IF($R$17="Distrato",$I$38-1,0)),IF(AND($L$37=0,$P$34=0),"",$L$37-1),IF($R$17="Distrato",$E48,0)),MIN(AQ$38,$D$19),$P$20))-SUM($P48:AP48)</f>
        <v>#VALUE!</v>
      </c>
      <c r="AR48" s="446" t="e">
        <f>IF(OR($B48="",MIN(AR$38,$D$19)&lt;MAX($P$34*($B48+IF($R$17="Distrato",$I$38-1,0)),IF(AND($L$37=0,$P$34=0),"",$L$37-1),IF($R$17="Distrato",$E48,0))),0,YEARFRAC(MAX($P$34*($B48+IF($R$17="Distrato",$I$38-1,0)),IF(AND($L$37=0,$P$34=0),"",$L$37-1),IF($R$17="Distrato",$E48,0)),MIN(AR$38,$D$19),$P$20))-SUM($P48:AQ48)</f>
        <v>#VALUE!</v>
      </c>
      <c r="AS48" s="446" t="e">
        <f>IF(OR($B48="",MIN(AS$38,$D$19)&lt;MAX($P$34*($B48+IF($R$17="Distrato",$I$38-1,0)),IF(AND($L$37=0,$P$34=0),"",$L$37-1),IF($R$17="Distrato",$E48,0))),0,YEARFRAC(MAX($P$34*($B48+IF($R$17="Distrato",$I$38-1,0)),IF(AND($L$37=0,$P$34=0),"",$L$37-1),IF($R$17="Distrato",$E48,0)),MIN(AS$38,$D$19),$P$20))-SUM($P48:AR48)</f>
        <v>#VALUE!</v>
      </c>
      <c r="AT48" s="446" t="e">
        <f>IF(OR($B48="",MIN(AT$38,$D$19)&lt;MAX($P$34*($B48+IF($R$17="Distrato",$I$38-1,0)),IF(AND($L$37=0,$P$34=0),"",$L$37-1),IF($R$17="Distrato",$E48,0))),0,YEARFRAC(MAX($P$34*($B48+IF($R$17="Distrato",$I$38-1,0)),IF(AND($L$37=0,$P$34=0),"",$L$37-1),IF($R$17="Distrato",$E48,0)),MIN(AT$38,$D$19),$P$20))-SUM($P48:AS48)</f>
        <v>#VALUE!</v>
      </c>
      <c r="AU48" s="446" t="e">
        <f>IF(OR($B48="",MIN(AU$38,$D$19)&lt;MAX($P$34*($B48+IF($R$17="Distrato",$I$38-1,0)),IF(AND($L$37=0,$P$34=0),"",$L$37-1),IF($R$17="Distrato",$E48,0))),0,YEARFRAC(MAX($P$34*($B48+IF($R$17="Distrato",$I$38-1,0)),IF(AND($L$37=0,$P$34=0),"",$L$37-1),IF($R$17="Distrato",$E48,0)),MIN(AU$38,$D$19),$P$20))-SUM($P48:AT48)</f>
        <v>#VALUE!</v>
      </c>
      <c r="AV48" s="446" t="e">
        <f>IF(OR($B48="",MIN(AV$38,$D$19)&lt;MAX($P$34*($B48+IF($R$17="Distrato",$I$38-1,0)),IF(AND($L$37=0,$P$34=0),"",$L$37-1),IF($R$17="Distrato",$E48,0))),0,YEARFRAC(MAX($P$34*($B48+IF($R$17="Distrato",$I$38-1,0)),IF(AND($L$37=0,$P$34=0),"",$L$37-1),IF($R$17="Distrato",$E48,0)),MIN(AV$38,$D$19),$P$20))-SUM($P48:AU48)</f>
        <v>#VALUE!</v>
      </c>
      <c r="AW48" s="446" t="e">
        <f>IF(OR($B48="",MIN(AW$38,$D$19)&lt;MAX($P$34*($B48+IF($R$17="Distrato",$I$38-1,0)),IF(AND($L$37=0,$P$34=0),"",$L$37-1),IF($R$17="Distrato",$E48,0))),0,YEARFRAC(MAX($P$34*($B48+IF($R$17="Distrato",$I$38-1,0)),IF(AND($L$37=0,$P$34=0),"",$L$37-1),IF($R$17="Distrato",$E48,0)),MIN(AW$38,$D$19),$P$20))-SUM($P48:AV48)</f>
        <v>#VALUE!</v>
      </c>
      <c r="AX48" s="446" t="e">
        <f>IF(OR($B48="",MIN(AX$38,$D$19)&lt;MAX($P$34*($B48+IF($R$17="Distrato",$I$38-1,0)),IF(AND($L$37=0,$P$34=0),"",$L$37-1),IF($R$17="Distrato",$E48,0))),0,YEARFRAC(MAX($P$34*($B48+IF($R$17="Distrato",$I$38-1,0)),IF(AND($L$37=0,$P$34=0),"",$L$37-1),IF($R$17="Distrato",$E48,0)),MIN(AX$38,$D$19),$P$20))-SUM($P48:AW48)</f>
        <v>#VALUE!</v>
      </c>
      <c r="AY48" s="446" t="e">
        <f>IF(OR($B48="",MIN(AY$38,$D$19)&lt;MAX($P$34*($B48+IF($R$17="Distrato",$I$38-1,0)),IF(AND($L$37=0,$P$34=0),"",$L$37-1),IF($R$17="Distrato",$E48,0))),0,YEARFRAC(MAX($P$34*($B48+IF($R$17="Distrato",$I$38-1,0)),IF(AND($L$37=0,$P$34=0),"",$L$37-1),IF($R$17="Distrato",$E48,0)),MIN(AY$38,$D$19),$P$20))-SUM($P48:AX48)</f>
        <v>#VALUE!</v>
      </c>
      <c r="AZ48" s="446" t="e">
        <f>IF(OR($B48="",MIN(AZ$38,$D$19)&lt;MAX($P$34*($B48+IF($R$17="Distrato",$I$38-1,0)),IF(AND($L$37=0,$P$34=0),"",$L$37-1),IF($R$17="Distrato",$E48,0))),0,YEARFRAC(MAX($P$34*($B48+IF($R$17="Distrato",$I$38-1,0)),IF(AND($L$37=0,$P$34=0),"",$L$37-1),IF($R$17="Distrato",$E48,0)),MIN(AZ$38,$D$19),$P$20))-SUM($P48:AY48)</f>
        <v>#VALUE!</v>
      </c>
      <c r="BA48" s="446" t="e">
        <f>IF(OR($B48="",MIN(BA$38,$D$19)&lt;MAX($P$34*($B48+IF($R$17="Distrato",$I$38-1,0)),IF(AND($L$37=0,$P$34=0),"",$L$37-1),IF($R$17="Distrato",$E48,0))),0,YEARFRAC(MAX($P$34*($B48+IF($R$17="Distrato",$I$38-1,0)),IF(AND($L$37=0,$P$34=0),"",$L$37-1),IF($R$17="Distrato",$E48,0)),MIN(BA$38,$D$19),$P$20))-SUM($P48:AZ48)</f>
        <v>#VALUE!</v>
      </c>
      <c r="BB48" s="447"/>
      <c r="BF48" s="446">
        <f t="shared" si="10"/>
        <v>0</v>
      </c>
      <c r="BG48" s="446">
        <f>IF($E48=0,0,IF(MIN(BG$38,$E48)&lt;MAX($P$34*($B48+$I$38-1),IF(AND($L$37=0,$P$34=0),"",$L$37-1)),0,YEARFRAC(MAX($P$34*($B48+$I$38-1),IF(AND($L$37=0,$P$34=0),"",$L$37-1)),MIN(BG$38,$E48),$P$20))-SUM($BF48:BF48))</f>
        <v>0</v>
      </c>
      <c r="BH48" s="446">
        <f>IF($E48=0,0,IF(MIN(BH$38,$E48)&lt;MAX($P$34*($B48+$I$38-1),IF(AND($L$37=0,$P$34=0),"",$L$37-1)),0,YEARFRAC(MAX($P$34*($B48+$I$38-1),IF(AND($L$37=0,$P$34=0),"",$L$37-1)),MIN(BH$38,$E48),$P$20))-SUM($BF48:BG48))</f>
        <v>0</v>
      </c>
      <c r="BI48" s="446">
        <f>IF($E48=0,0,IF(MIN(BI$38,$E48)&lt;MAX($P$34*($B48+$I$38-1),IF(AND($L$37=0,$P$34=0),"",$L$37-1)),0,YEARFRAC(MAX($P$34*($B48+$I$38-1),IF(AND($L$37=0,$P$34=0),"",$L$37-1)),MIN(BI$38,$E48),$P$20))-SUM($BF48:BH48))</f>
        <v>0</v>
      </c>
      <c r="BJ48" s="446">
        <f>IF($E48=0,0,IF(MIN(BJ$38,$E48)&lt;MAX($P$34*($B48+$I$38-1),IF(AND($L$37=0,$P$34=0),"",$L$37-1)),0,YEARFRAC(MAX($P$34*($B48+$I$38-1),IF(AND($L$37=0,$P$34=0),"",$L$37-1)),MIN(BJ$38,$E48),$P$20))-SUM($BF48:BI48))</f>
        <v>0</v>
      </c>
      <c r="BK48" s="446">
        <f>IF($E48=0,0,IF(MIN(BK$38,$E48)&lt;MAX($P$34*($B48+$I$38-1),IF(AND($L$37=0,$P$34=0),"",$L$37-1)),0,YEARFRAC(MAX($P$34*($B48+$I$38-1),IF(AND($L$37=0,$P$34=0),"",$L$37-1)),MIN(BK$38,$E48),$P$20))-SUM($BF48:BJ48))</f>
        <v>0</v>
      </c>
      <c r="BL48" s="446">
        <f>IF($E48=0,0,IF(MIN(BL$38,$E48)&lt;MAX($P$34*($B48+$I$38-1),IF(AND($L$37=0,$P$34=0),"",$L$37-1)),0,YEARFRAC(MAX($P$34*($B48+$I$38-1),IF(AND($L$37=0,$P$34=0),"",$L$37-1)),MIN(BL$38,$E48),$P$20))-SUM($BF48:BK48))</f>
        <v>0</v>
      </c>
      <c r="BM48" s="446">
        <f>IF($E48=0,0,IF(MIN(BM$38,$E48)&lt;MAX($P$34*($B48+$I$38-1),IF(AND($L$37=0,$P$34=0),"",$L$37-1)),0,YEARFRAC(MAX($P$34*($B48+$I$38-1),IF(AND($L$37=0,$P$34=0),"",$L$37-1)),MIN(BM$38,$E48),$P$20))-SUM($BF48:BL48))</f>
        <v>0</v>
      </c>
      <c r="BN48" s="446">
        <f>IF($E48=0,0,IF(MIN(BN$38,$E48)&lt;MAX($P$34*($B48+$I$38-1),IF(AND($L$37=0,$P$34=0),"",$L$37-1)),0,YEARFRAC(MAX($P$34*($B48+$I$38-1),IF(AND($L$37=0,$P$34=0),"",$L$37-1)),MIN(BN$38,$E48),$P$20))-SUM($BF48:BM48))</f>
        <v>0</v>
      </c>
      <c r="BO48" s="446">
        <f>IF($E48=0,0,IF(MIN(BO$38,$E48)&lt;MAX($P$34*($B48+$I$38-1),IF(AND($L$37=0,$P$34=0),"",$L$37-1)),0,YEARFRAC(MAX($P$34*($B48+$I$38-1),IF(AND($L$37=0,$P$34=0),"",$L$37-1)),MIN(BO$38,$E48),$P$20))-SUM($BF48:BN48))</f>
        <v>0</v>
      </c>
      <c r="BP48" s="446">
        <f>IF($E48=0,0,IF(MIN(BP$38,$E48)&lt;MAX($P$34*($B48+$I$38-1),IF(AND($L$37=0,$P$34=0),"",$L$37-1)),0,YEARFRAC(MAX($P$34*($B48+$I$38-1),IF(AND($L$37=0,$P$34=0),"",$L$37-1)),MIN(BP$38,$E48),$P$20))-SUM($BF48:BO48))</f>
        <v>0</v>
      </c>
      <c r="BQ48" s="446">
        <f>IF($E48=0,0,IF(MIN(BQ$38,$E48)&lt;MAX($P$34*($B48+$I$38-1),IF(AND($L$37=0,$P$34=0),"",$L$37-1)),0,YEARFRAC(MAX($P$34*($B48+$I$38-1),IF(AND($L$37=0,$P$34=0),"",$L$37-1)),MIN(BQ$38,$E48),$P$20))-SUM($BF48:BP48))</f>
        <v>0</v>
      </c>
      <c r="BR48" s="446">
        <f>IF($E48=0,0,IF(MIN(BR$38,$E48)&lt;MAX($P$34*($B48+$I$38-1),IF(AND($L$37=0,$P$34=0),"",$L$37-1)),0,YEARFRAC(MAX($P$34*($B48+$I$38-1),IF(AND($L$37=0,$P$34=0),"",$L$37-1)),MIN(BR$38,$E48),$P$20))-SUM($BF48:BQ48))</f>
        <v>0</v>
      </c>
      <c r="BS48" s="446">
        <f>IF($E48=0,0,IF(MIN(BS$38,$E48)&lt;MAX($P$34*($B48+$I$38-1),IF(AND($L$37=0,$P$34=0),"",$L$37-1)),0,YEARFRAC(MAX($P$34*($B48+$I$38-1),IF(AND($L$37=0,$P$34=0),"",$L$37-1)),MIN(BS$38,$E48),$P$20))-SUM($BF48:BR48))</f>
        <v>0</v>
      </c>
      <c r="BT48" s="446">
        <f>IF($E48=0,0,IF(MIN(BT$38,$E48)&lt;MAX($P$34*($B48+$I$38-1),IF(AND($L$37=0,$P$34=0),"",$L$37-1)),0,YEARFRAC(MAX($P$34*($B48+$I$38-1),IF(AND($L$37=0,$P$34=0),"",$L$37-1)),MIN(BT$38,$E48),$P$20))-SUM($BF48:BS48))</f>
        <v>0</v>
      </c>
      <c r="BU48" s="446">
        <f>IF($E48=0,0,IF(MIN(BU$38,$E48)&lt;MAX($P$34*($B48+$I$38-1),IF(AND($L$37=0,$P$34=0),"",$L$37-1)),0,YEARFRAC(MAX($P$34*($B48+$I$38-1),IF(AND($L$37=0,$P$34=0),"",$L$37-1)),MIN(BU$38,$E48),$P$20))-SUM($BF48:BT48))</f>
        <v>0</v>
      </c>
      <c r="BV48" s="446">
        <f>IF($E48=0,0,IF(MIN(BV$38,$E48)&lt;MAX($P$34*($B48+$I$38-1),IF(AND($L$37=0,$P$34=0),"",$L$37-1)),0,YEARFRAC(MAX($P$34*($B48+$I$38-1),IF(AND($L$37=0,$P$34=0),"",$L$37-1)),MIN(BV$38,$E48),$P$20))-SUM($BF48:BU48))</f>
        <v>0</v>
      </c>
      <c r="BW48" s="446">
        <f>IF($E48=0,0,IF(MIN(BW$38,$E48)&lt;MAX($P$34*($B48+$I$38-1),IF(AND($L$37=0,$P$34=0),"",$L$37-1)),0,YEARFRAC(MAX($P$34*($B48+$I$38-1),IF(AND($L$37=0,$P$34=0),"",$L$37-1)),MIN(BW$38,$E48),$P$20))-SUM($BF48:BV48))</f>
        <v>0</v>
      </c>
      <c r="BX48" s="446">
        <f>IF($E48=0,0,IF(MIN(BX$38,$E48)&lt;MAX($P$34*($B48+$I$38-1),IF(AND($L$37=0,$P$34=0),"",$L$37-1)),0,YEARFRAC(MAX($P$34*($B48+$I$38-1),IF(AND($L$37=0,$P$34=0),"",$L$37-1)),MIN(BX$38,$E48),$P$20))-SUM($BF48:BW48))</f>
        <v>0</v>
      </c>
      <c r="BY48" s="446">
        <f>IF($E48=0,0,IF(MIN(BY$38,$E48)&lt;MAX($P$34*($B48+$I$38-1),IF(AND($L$37=0,$P$34=0),"",$L$37-1)),0,YEARFRAC(MAX($P$34*($B48+$I$38-1),IF(AND($L$37=0,$P$34=0),"",$L$37-1)),MIN(BY$38,$E48),$P$20))-SUM($BF48:BX48))</f>
        <v>0</v>
      </c>
      <c r="BZ48" s="446">
        <f>IF($E48=0,0,IF(MIN(BZ$38,$E48)&lt;MAX($P$34*($B48+$I$38-1),IF(AND($L$37=0,$P$34=0),"",$L$37-1)),0,YEARFRAC(MAX($P$34*($B48+$I$38-1),IF(AND($L$37=0,$P$34=0),"",$L$37-1)),MIN(BZ$38,$E48),$P$20))-SUM($BF48:BY48))</f>
        <v>0</v>
      </c>
      <c r="CA48" s="446">
        <f>IF($E48=0,0,IF(MIN(CA$38,$E48)&lt;MAX($P$34*($B48+$I$38-1),IF(AND($L$37=0,$P$34=0),"",$L$37-1)),0,YEARFRAC(MAX($P$34*($B48+$I$38-1),IF(AND($L$37=0,$P$34=0),"",$L$37-1)),MIN(CA$38,$E48),$P$20))-SUM($BF48:BZ48))</f>
        <v>0</v>
      </c>
      <c r="CB48" s="446">
        <f>IF($E48=0,0,IF(MIN(CB$38,$E48)&lt;MAX($P$34*($B48+$I$38-1),IF(AND($L$37=0,$P$34=0),"",$L$37-1)),0,YEARFRAC(MAX($P$34*($B48+$I$38-1),IF(AND($L$37=0,$P$34=0),"",$L$37-1)),MIN(CB$38,$E48),$P$20))-SUM($BF48:CA48))</f>
        <v>0</v>
      </c>
      <c r="CC48" s="446">
        <f>IF($E48=0,0,IF(MIN(CC$38,$E48)&lt;MAX($P$34*($B48+$I$38-1),IF(AND($L$37=0,$P$34=0),"",$L$37-1)),0,YEARFRAC(MAX($P$34*($B48+$I$38-1),IF(AND($L$37=0,$P$34=0),"",$L$37-1)),MIN(CC$38,$E48),$P$20))-SUM($BF48:CB48))</f>
        <v>0</v>
      </c>
      <c r="CD48" s="446">
        <f>IF($E48=0,0,IF(MIN(CD$38,$E48)&lt;MAX($P$34*($B48+$I$38-1),IF(AND($L$37=0,$P$34=0),"",$L$37-1)),0,YEARFRAC(MAX($P$34*($B48+$I$38-1),IF(AND($L$37=0,$P$34=0),"",$L$37-1)),MIN(CD$38,$E48),$P$20))-SUM($BF48:CC48))</f>
        <v>0</v>
      </c>
      <c r="CE48" s="446">
        <f>IF($E48=0,0,IF(MIN(CE$38,$E48)&lt;MAX($P$34*($B48+$I$38-1),IF(AND($L$37=0,$P$34=0),"",$L$37-1)),0,YEARFRAC(MAX($P$34*($B48+$I$38-1),IF(AND($L$37=0,$P$34=0),"",$L$37-1)),MIN(CE$38,$E48),$P$20))-SUM($BF48:CD48))</f>
        <v>0</v>
      </c>
      <c r="CF48" s="446">
        <f>IF($E48=0,0,IF(MIN(CF$38,$E48)&lt;MAX($P$34*($B48+$I$38-1),IF(AND($L$37=0,$P$34=0),"",$L$37-1)),0,YEARFRAC(MAX($P$34*($B48+$I$38-1),IF(AND($L$37=0,$P$34=0),"",$L$37-1)),MIN(CF$38,$E48),$P$20))-SUM($BF48:CE48))</f>
        <v>0</v>
      </c>
      <c r="CG48" s="446">
        <f>IF($E48=0,0,IF(MIN(CG$38,$E48)&lt;MAX($P$34*($B48+$I$38-1),IF(AND($L$37=0,$P$34=0),"",$L$37-1)),0,YEARFRAC(MAX($P$34*($B48+$I$38-1),IF(AND($L$37=0,$P$34=0),"",$L$37-1)),MIN(CG$38,$E48),$P$20))-SUM($BF48:CF48))</f>
        <v>0</v>
      </c>
      <c r="CH48" s="446">
        <f>IF($E48=0,0,IF(MIN(CH$38,$E48)&lt;MAX($P$34*($B48+$I$38-1),IF(AND($L$37=0,$P$34=0),"",$L$37-1)),0,YEARFRAC(MAX($P$34*($B48+$I$38-1),IF(AND($L$37=0,$P$34=0),"",$L$37-1)),MIN(CH$38,$E48),$P$20))-SUM($BF48:CG48))</f>
        <v>0</v>
      </c>
      <c r="CI48" s="446">
        <f>IF($E48=0,0,IF(MIN(CI$38,$E48)&lt;MAX($P$34*($B48+$I$38-1),IF(AND($L$37=0,$P$34=0),"",$L$37-1)),0,YEARFRAC(MAX($P$34*($B48+$I$38-1),IF(AND($L$37=0,$P$34=0),"",$L$37-1)),MIN(CI$38,$E48),$P$20))-SUM($BF48:CH48))</f>
        <v>0</v>
      </c>
      <c r="CJ48" s="446">
        <f>IF($E48=0,0,IF(MIN(CJ$38,$E48)&lt;MAX($P$34*($B48+$I$38-1),IF(AND($L$37=0,$P$34=0),"",$L$37-1)),0,YEARFRAC(MAX($P$34*($B48+$I$38-1),IF(AND($L$37=0,$P$34=0),"",$L$37-1)),MIN(CJ$38,$E48),$P$20))-SUM($BF48:CI48))</f>
        <v>0</v>
      </c>
      <c r="CK48" s="446">
        <f>IF($E48=0,0,IF(MIN(CK$38,$E48)&lt;MAX($P$34*($B48+$I$38-1),IF(AND($L$37=0,$P$34=0),"",$L$37-1)),0,YEARFRAC(MAX($P$34*($B48+$I$38-1),IF(AND($L$37=0,$P$34=0),"",$L$37-1)),MIN(CK$38,$E48),$P$20))-SUM($BF48:CJ48))</f>
        <v>0</v>
      </c>
      <c r="CL48" s="446">
        <f>IF($E48=0,0,IF(MIN(CL$38,$E48)&lt;MAX($P$34*($B48+$I$38-1),IF(AND($L$37=0,$P$34=0),"",$L$37-1)),0,YEARFRAC(MAX($P$34*($B48+$I$38-1),IF(AND($L$37=0,$P$34=0),"",$L$37-1)),MIN(CL$38,$E48),$P$20))-SUM($BF48:CK48))</f>
        <v>0</v>
      </c>
      <c r="CM48" s="446">
        <f>IF($E48=0,0,IF(MIN(CM$38,$E48)&lt;MAX($P$34*($B48+$I$38-1),IF(AND($L$37=0,$P$34=0),"",$L$37-1)),0,YEARFRAC(MAX($P$34*($B48+$I$38-1),IF(AND($L$37=0,$P$34=0),"",$L$37-1)),MIN(CM$38,$E48),$P$20))-SUM($BF48:CL48))</f>
        <v>0</v>
      </c>
      <c r="CN48" s="446">
        <f>IF($E48=0,0,IF(MIN(CN$38,$E48)&lt;MAX($P$34*($B48+$I$38-1),IF(AND($L$37=0,$P$34=0),"",$L$37-1)),0,YEARFRAC(MAX($P$34*($B48+$I$38-1),IF(AND($L$37=0,$P$34=0),"",$L$37-1)),MIN(CN$38,$E48),$P$20))-SUM($BF48:CM48))</f>
        <v>0</v>
      </c>
      <c r="CO48" s="446">
        <f>IF($E48=0,0,IF(MIN(CO$38,$E48)&lt;MAX($P$34*($B48+$I$38-1),IF(AND($L$37=0,$P$34=0),"",$L$37-1)),0,YEARFRAC(MAX($P$34*($B48+$I$38-1),IF(AND($L$37=0,$P$34=0),"",$L$37-1)),MIN(CO$38,$E48),$P$20))-SUM($BF48:CN48))</f>
        <v>0</v>
      </c>
      <c r="CP48" s="446">
        <f>IF($E48=0,0,IF(MIN(CP$38,$E48)&lt;MAX($P$34*($B48+$I$38-1),IF(AND($L$37=0,$P$34=0),"",$L$37-1)),0,YEARFRAC(MAX($P$34*($B48+$I$38-1),IF(AND($L$37=0,$P$34=0),"",$L$37-1)),MIN(CP$38,$E48),$P$20))-SUM($BF48:CO48))</f>
        <v>0</v>
      </c>
      <c r="CQ48" s="446">
        <f>IF($E48=0,0,IF(MIN(CQ$38,$E48)&lt;MAX($P$34*($B48+$I$38-1),IF(AND($L$37=0,$P$34=0),"",$L$37-1)),0,YEARFRAC(MAX($P$34*($B48+$I$38-1),IF(AND($L$37=0,$P$34=0),"",$L$37-1)),MIN(CQ$38,$E48),$P$20))-SUM($BF48:CP48))</f>
        <v>0</v>
      </c>
    </row>
    <row r="49" spans="1:95" s="446" customFormat="1" ht="11.25" hidden="1" customHeight="1" x14ac:dyDescent="0.2">
      <c r="A49" s="152"/>
      <c r="B49" s="153" t="str">
        <f t="shared" si="15"/>
        <v/>
      </c>
      <c r="C49" s="29" t="str">
        <f>IF(B49="","",IF($L$35="SELIC - TRIBUTOS",VLOOKUP(DATE(YEAR($D$19),MONTH($D$19)-1,1),ÍNDICES!$A:$DE,HLOOKUP($BL$25,ÍNDICES!$B$3:$T$4,2)+11)-VLOOKUP(B49,ÍNDICES!$A:$DE,HLOOKUP($BL$25,ÍNDICES!$B$3:$T$4,2)+11)+1%,IF(C$38=$W$26,$J$35,IF(ISERROR(IF(B49&gt;$D$19,1,VLOOKUP(DATE(YEAR(B49),MONTH(B49)+IF($C$35=$S$23,1,0),1),ÍNDICES!$A:$DE,$Z$35+1))),"",IF(B49&gt;$D$19,1,VLOOKUP(DATE(YEAR(B49),MONTH(B49)+IF($C$35=$S$23,1,0),1),ÍNDICES!$A:$DE,$Z$35+1))))))</f>
        <v/>
      </c>
      <c r="D49" s="154" t="str">
        <f>IF(ISERROR(IF(OR($D$38=$Y$27,$B49=""),"",VLOOKUP(B49,ÍNDICES!A:DE,AF$35+1))),"",IF(OR($D$38=$Y$27,$B49=""),"",VLOOKUP(B49,ÍNDICES!A:DE,AF$35+1)))</f>
        <v/>
      </c>
      <c r="E49" s="153"/>
      <c r="F49" s="29" t="str">
        <f>IF(E49="","",IF($L$35="SELIC - TRIBUTOS",VLOOKUP(DATE(YEAR($D$19),MONTH($D$19)-1,1),ÍNDICES!$A:$DE,HLOOKUP($BL$25,ÍNDICES!$B$3:$T$4,2)+11)-VLOOKUP(IF(E49&gt;B49,E49,B49),ÍNDICES!$A:$DE,HLOOKUP($BL$25,ÍNDICES!$B$3:$T$4,2)+11)+1%,IF(F$38=$W$26,$J$35,IF(ISERROR(IF(E49&gt;$D$19,1,VLOOKUP(DATE(YEAR(E49),MONTH(E49)+IF($C$35=$S$23,1,0),1),ÍNDICES!$A:$DE,$Z$35+1))),"",IF(E49&gt;$D$19,1,VLOOKUP(DATE(YEAR(E49),MONTH(E49)+IF($C$35=$S$23,1,0),1),ÍNDICES!$A:$DE,$Z$35+1))))))</f>
        <v/>
      </c>
      <c r="G49" s="155"/>
      <c r="H49" s="156" t="str">
        <f t="shared" si="11"/>
        <v/>
      </c>
      <c r="I49" s="29" t="str">
        <f t="shared" si="5"/>
        <v/>
      </c>
      <c r="J49" s="5">
        <f t="shared" si="6"/>
        <v>0</v>
      </c>
      <c r="K49" s="20">
        <f t="shared" ca="1" si="7"/>
        <v>0</v>
      </c>
      <c r="L49" s="5">
        <f t="shared" ca="1" si="8"/>
        <v>0</v>
      </c>
      <c r="M49" s="64">
        <f t="shared" si="12"/>
        <v>0</v>
      </c>
      <c r="N49" s="61">
        <f t="shared" ca="1" si="13"/>
        <v>0</v>
      </c>
      <c r="O49" s="5">
        <f t="shared" ca="1" si="14"/>
        <v>0</v>
      </c>
      <c r="P49" s="446" t="e">
        <f t="shared" si="9"/>
        <v>#VALUE!</v>
      </c>
      <c r="Q49" s="446" t="e">
        <f>IF(OR($B49="",MIN(Q$38,$D$19)&lt;MAX($P$34*($B49+IF($R$17="Distrato",$I$38-1,0)),IF(AND($L$37=0,$P$34=0),"",$L$37-1),IF($R$17="Distrato",$E49,0))),0,YEARFRAC(MAX($P$34*($B49+IF($R$17="Distrato",$I$38-1,0)),IF(AND($L$37=0,$P$34=0),"",$L$37-1),IF($R$17="Distrato",$E49,0)),MIN(Q$38,$D$19),$P$20))-SUM($P49:P49)</f>
        <v>#VALUE!</v>
      </c>
      <c r="R49" s="446" t="e">
        <f>IF(OR($B49="",MIN(R$38,$D$19)&lt;MAX($P$34*($B49+IF($R$17="Distrato",$I$38-1,0)),IF(AND($L$37=0,$P$34=0),"",$L$37-1),IF($R$17="Distrato",$E49,0))),0,YEARFRAC(MAX($P$34*($B49+IF($R$17="Distrato",$I$38-1,0)),IF(AND($L$37=0,$P$34=0),"",$L$37-1),IF($R$17="Distrato",$E49,0)),MIN(R$38,$D$19),$P$20))-SUM($P49:Q49)</f>
        <v>#VALUE!</v>
      </c>
      <c r="S49" s="446" t="e">
        <f>IF(OR($B49="",MIN(S$38,$D$19)&lt;MAX($P$34*($B49+IF($R$17="Distrato",$I$38-1,0)),IF(AND($L$37=0,$P$34=0),"",$L$37-1),IF($R$17="Distrato",$E49,0))),0,YEARFRAC(MAX($P$34*($B49+IF($R$17="Distrato",$I$38-1,0)),IF(AND($L$37=0,$P$34=0),"",$L$37-1),IF($R$17="Distrato",$E49,0)),MIN(S$38,$D$19),$P$20))-SUM($P49:R49)</f>
        <v>#VALUE!</v>
      </c>
      <c r="T49" s="446" t="e">
        <f>IF(OR($B49="",MIN(T$38,$D$19)&lt;MAX($P$34*($B49+IF($R$17="Distrato",$I$38-1,0)),IF(AND($L$37=0,$P$34=0),"",$L$37-1),IF($R$17="Distrato",$E49,0))),0,YEARFRAC(MAX($P$34*($B49+IF($R$17="Distrato",$I$38-1,0)),IF(AND($L$37=0,$P$34=0),"",$L$37-1),IF($R$17="Distrato",$E49,0)),MIN(T$38,$D$19),$P$20))-SUM($P49:S49)</f>
        <v>#VALUE!</v>
      </c>
      <c r="U49" s="446" t="e">
        <f>IF(OR($B49="",MIN(U$38,$D$19)&lt;MAX($P$34*($B49+IF($R$17="Distrato",$I$38-1,0)),IF(AND($L$37=0,$P$34=0),"",$L$37-1),IF($R$17="Distrato",$E49,0))),0,YEARFRAC(MAX($P$34*($B49+IF($R$17="Distrato",$I$38-1,0)),IF(AND($L$37=0,$P$34=0),"",$L$37-1),IF($R$17="Distrato",$E49,0)),MIN(U$38,$D$19),$P$20))-SUM($P49:T49)</f>
        <v>#VALUE!</v>
      </c>
      <c r="V49" s="446" t="e">
        <f>IF(OR($B49="",MIN(V$38,$D$19)&lt;MAX($P$34*($B49+IF($R$17="Distrato",$I$38-1,0)),IF(AND($L$37=0,$P$34=0),"",$L$37-1),IF($R$17="Distrato",$E49,0))),0,YEARFRAC(MAX($P$34*($B49+IF($R$17="Distrato",$I$38-1,0)),IF(AND($L$37=0,$P$34=0),"",$L$37-1),IF($R$17="Distrato",$E49,0)),MIN(V$38,$D$19),$P$20))-SUM($P49:U49)</f>
        <v>#VALUE!</v>
      </c>
      <c r="W49" s="446" t="e">
        <f>IF(OR($B49="",MIN(W$38,$D$19)&lt;MAX($P$34*($B49+IF($R$17="Distrato",$I$38-1,0)),IF(AND($L$37=0,$P$34=0),"",$L$37-1),IF($R$17="Distrato",$E49,0))),0,YEARFRAC(MAX($P$34*($B49+IF($R$17="Distrato",$I$38-1,0)),IF(AND($L$37=0,$P$34=0),"",$L$37-1),IF($R$17="Distrato",$E49,0)),MIN(W$38,$D$19),$P$20))-SUM($P49:V49)</f>
        <v>#VALUE!</v>
      </c>
      <c r="X49" s="446" t="e">
        <f>IF(OR($B49="",MIN(X$38,$D$19)&lt;MAX($P$34*($B49+IF($R$17="Distrato",$I$38-1,0)),IF(AND($L$37=0,$P$34=0),"",$L$37-1),IF($R$17="Distrato",$E49,0))),0,YEARFRAC(MAX($P$34*($B49+IF($R$17="Distrato",$I$38-1,0)),IF(AND($L$37=0,$P$34=0),"",$L$37-1),IF($R$17="Distrato",$E49,0)),MIN(X$38,$D$19),$P$20))-SUM($P49:W49)</f>
        <v>#VALUE!</v>
      </c>
      <c r="Y49" s="446" t="e">
        <f>IF(OR($B49="",MIN(Y$38,$D$19)&lt;MAX($P$34*($B49+IF($R$17="Distrato",$I$38-1,0)),IF(AND($L$37=0,$P$34=0),"",$L$37-1),IF($R$17="Distrato",$E49,0))),0,YEARFRAC(MAX($P$34*($B49+IF($R$17="Distrato",$I$38-1,0)),IF(AND($L$37=0,$P$34=0),"",$L$37-1),IF($R$17="Distrato",$E49,0)),MIN(Y$38,$D$19),$P$20))-SUM($P49:X49)</f>
        <v>#VALUE!</v>
      </c>
      <c r="Z49" s="446" t="e">
        <f>IF(OR($B49="",MIN(Z$38,$D$19)&lt;MAX($P$34*($B49+IF($R$17="Distrato",$I$38-1,0)),IF(AND($L$37=0,$P$34=0),"",$L$37-1),IF($R$17="Distrato",$E49,0))),0,YEARFRAC(MAX($P$34*($B49+IF($R$17="Distrato",$I$38-1,0)),IF(AND($L$37=0,$P$34=0),"",$L$37-1),IF($R$17="Distrato",$E49,0)),MIN(Z$38,$D$19),$P$20))-SUM($P49:Y49)</f>
        <v>#VALUE!</v>
      </c>
      <c r="AA49" s="446" t="e">
        <f>IF(OR($B49="",MIN(AA$38,$D$19)&lt;MAX($P$34*($B49+IF($R$17="Distrato",$I$38-1,0)),IF(AND($L$37=0,$P$34=0),"",$L$37-1),IF($R$17="Distrato",$E49,0))),0,YEARFRAC(MAX($P$34*($B49+IF($R$17="Distrato",$I$38-1,0)),IF(AND($L$37=0,$P$34=0),"",$L$37-1),IF($R$17="Distrato",$E49,0)),MIN(AA$38,$D$19),$P$20))-SUM($P49:Z49)</f>
        <v>#VALUE!</v>
      </c>
      <c r="AB49" s="446" t="e">
        <f>IF(OR($B49="",MIN(AB$38,$D$19)&lt;MAX($P$34*($B49+IF($R$17="Distrato",$I$38-1,0)),IF(AND($L$37=0,$P$34=0),"",$L$37-1),IF($R$17="Distrato",$E49,0))),0,YEARFRAC(MAX($P$34*($B49+IF($R$17="Distrato",$I$38-1,0)),IF(AND($L$37=0,$P$34=0),"",$L$37-1),IF($R$17="Distrato",$E49,0)),MIN(AB$38,$D$19),$P$20))-SUM($P49:AA49)</f>
        <v>#VALUE!</v>
      </c>
      <c r="AC49" s="446" t="e">
        <f>IF(OR($B49="",MIN(AC$38,$D$19)&lt;MAX($P$34*($B49+IF($R$17="Distrato",$I$38-1,0)),IF(AND($L$37=0,$P$34=0),"",$L$37-1),IF($R$17="Distrato",$E49,0))),0,YEARFRAC(MAX($P$34*($B49+IF($R$17="Distrato",$I$38-1,0)),IF(AND($L$37=0,$P$34=0),"",$L$37-1),IF($R$17="Distrato",$E49,0)),MIN(AC$38,$D$19),$P$20))-SUM($P49:AB49)</f>
        <v>#VALUE!</v>
      </c>
      <c r="AD49" s="446" t="e">
        <f>IF(OR($B49="",MIN(AD$38,$D$19)&lt;MAX($P$34*($B49+IF($R$17="Distrato",$I$38-1,0)),IF(AND($L$37=0,$P$34=0),"",$L$37-1),IF($R$17="Distrato",$E49,0))),0,YEARFRAC(MAX($P$34*($B49+IF($R$17="Distrato",$I$38-1,0)),IF(AND($L$37=0,$P$34=0),"",$L$37-1),IF($R$17="Distrato",$E49,0)),MIN(AD$38,$D$19),$P$20))-SUM($P49:AC49)</f>
        <v>#VALUE!</v>
      </c>
      <c r="AE49" s="446" t="e">
        <f>IF(OR($B49="",MIN(AE$38,$D$19)&lt;MAX($P$34*($B49+IF($R$17="Distrato",$I$38-1,0)),IF(AND($L$37=0,$P$34=0),"",$L$37-1),IF($R$17="Distrato",$E49,0))),0,YEARFRAC(MAX($P$34*($B49+IF($R$17="Distrato",$I$38-1,0)),IF(AND($L$37=0,$P$34=0),"",$L$37-1),IF($R$17="Distrato",$E49,0)),MIN(AE$38,$D$19),$P$20))-SUM($P49:AD49)</f>
        <v>#VALUE!</v>
      </c>
      <c r="AF49" s="446" t="e">
        <f>IF(OR($B49="",MIN(AF$38,$D$19)&lt;MAX($P$34*($B49+IF($R$17="Distrato",$I$38-1,0)),IF(AND($L$37=0,$P$34=0),"",$L$37-1),IF($R$17="Distrato",$E49,0))),0,YEARFRAC(MAX($P$34*($B49+IF($R$17="Distrato",$I$38-1,0)),IF(AND($L$37=0,$P$34=0),"",$L$37-1),IF($R$17="Distrato",$E49,0)),MIN(AF$38,$D$19),$P$20))-SUM($P49:AE49)</f>
        <v>#VALUE!</v>
      </c>
      <c r="AG49" s="446" t="e">
        <f>IF(OR($B49="",MIN(AG$38,$D$19)&lt;MAX($P$34*($B49+IF($R$17="Distrato",$I$38-1,0)),IF(AND($L$37=0,$P$34=0),"",$L$37-1),IF($R$17="Distrato",$E49,0))),0,YEARFRAC(MAX($P$34*($B49+IF($R$17="Distrato",$I$38-1,0)),IF(AND($L$37=0,$P$34=0),"",$L$37-1),IF($R$17="Distrato",$E49,0)),MIN(AG$38,$D$19),$P$20))-SUM($P49:AF49)</f>
        <v>#VALUE!</v>
      </c>
      <c r="AH49" s="446" t="e">
        <f>IF(OR($B49="",MIN(AH$38,$D$19)&lt;MAX($P$34*($B49+IF($R$17="Distrato",$I$38-1,0)),IF(AND($L$37=0,$P$34=0),"",$L$37-1),IF($R$17="Distrato",$E49,0))),0,YEARFRAC(MAX($P$34*($B49+IF($R$17="Distrato",$I$38-1,0)),IF(AND($L$37=0,$P$34=0),"",$L$37-1),IF($R$17="Distrato",$E49,0)),MIN(AH$38,$D$19),$P$20))-SUM($P49:AG49)</f>
        <v>#VALUE!</v>
      </c>
      <c r="AI49" s="446" t="e">
        <f>IF(OR($B49="",MIN(AI$38,$D$19)&lt;MAX($P$34*($B49+IF($R$17="Distrato",$I$38-1,0)),IF(AND($L$37=0,$P$34=0),"",$L$37-1),IF($R$17="Distrato",$E49,0))),0,YEARFRAC(MAX($P$34*($B49+IF($R$17="Distrato",$I$38-1,0)),IF(AND($L$37=0,$P$34=0),"",$L$37-1),IF($R$17="Distrato",$E49,0)),MIN(AI$38,$D$19),$P$20))-SUM($P49:AH49)</f>
        <v>#VALUE!</v>
      </c>
      <c r="AJ49" s="446" t="e">
        <f>IF(OR($B49="",MIN(AJ$38,$D$19)&lt;MAX($P$34*($B49+IF($R$17="Distrato",$I$38-1,0)),IF(AND($L$37=0,$P$34=0),"",$L$37-1),IF($R$17="Distrato",$E49,0))),0,YEARFRAC(MAX($P$34*($B49+IF($R$17="Distrato",$I$38-1,0)),IF(AND($L$37=0,$P$34=0),"",$L$37-1),IF($R$17="Distrato",$E49,0)),MIN(AJ$38,$D$19),$P$20))-SUM($P49:AI49)</f>
        <v>#VALUE!</v>
      </c>
      <c r="AK49" s="446" t="e">
        <f>IF(OR($B49="",MIN(AK$38,$D$19)&lt;MAX($P$34*($B49+IF($R$17="Distrato",$I$38-1,0)),IF(AND($L$37=0,$P$34=0),"",$L$37-1),IF($R$17="Distrato",$E49,0))),0,YEARFRAC(MAX($P$34*($B49+IF($R$17="Distrato",$I$38-1,0)),IF(AND($L$37=0,$P$34=0),"",$L$37-1),IF($R$17="Distrato",$E49,0)),MIN(AK$38,$D$19),$P$20))-SUM($P49:AJ49)</f>
        <v>#VALUE!</v>
      </c>
      <c r="AL49" s="446" t="e">
        <f>IF(OR($B49="",MIN(AL$38,$D$19)&lt;MAX($P$34*($B49+IF($R$17="Distrato",$I$38-1,0)),IF(AND($L$37=0,$P$34=0),"",$L$37-1),IF($R$17="Distrato",$E49,0))),0,YEARFRAC(MAX($P$34*($B49+IF($R$17="Distrato",$I$38-1,0)),IF(AND($L$37=0,$P$34=0),"",$L$37-1),IF($R$17="Distrato",$E49,0)),MIN(AL$38,$D$19),$P$20))-SUM($P49:AK49)</f>
        <v>#VALUE!</v>
      </c>
      <c r="AM49" s="446" t="e">
        <f>IF(OR($B49="",MIN(AM$38,$D$19)&lt;MAX($P$34*($B49+IF($R$17="Distrato",$I$38-1,0)),IF(AND($L$37=0,$P$34=0),"",$L$37-1),IF($R$17="Distrato",$E49,0))),0,YEARFRAC(MAX($P$34*($B49+IF($R$17="Distrato",$I$38-1,0)),IF(AND($L$37=0,$P$34=0),"",$L$37-1),IF($R$17="Distrato",$E49,0)),MIN(AM$38,$D$19),$P$20))-SUM($P49:AL49)</f>
        <v>#VALUE!</v>
      </c>
      <c r="AN49" s="446" t="e">
        <f>IF(OR($B49="",MIN(AN$38,$D$19)&lt;MAX($P$34*($B49+IF($R$17="Distrato",$I$38-1,0)),IF(AND($L$37=0,$P$34=0),"",$L$37-1),IF($R$17="Distrato",$E49,0))),0,YEARFRAC(MAX($P$34*($B49+IF($R$17="Distrato",$I$38-1,0)),IF(AND($L$37=0,$P$34=0),"",$L$37-1),IF($R$17="Distrato",$E49,0)),MIN(AN$38,$D$19),$P$20))-SUM($P49:AM49)</f>
        <v>#VALUE!</v>
      </c>
      <c r="AO49" s="446" t="e">
        <f>IF(OR($B49="",MIN(AO$38,$D$19)&lt;MAX($P$34*($B49+IF($R$17="Distrato",$I$38-1,0)),IF(AND($L$37=0,$P$34=0),"",$L$37-1),IF($R$17="Distrato",$E49,0))),0,YEARFRAC(MAX($P$34*($B49+IF($R$17="Distrato",$I$38-1,0)),IF(AND($L$37=0,$P$34=0),"",$L$37-1),IF($R$17="Distrato",$E49,0)),MIN(AO$38,$D$19),$P$20))-SUM($P49:AN49)</f>
        <v>#VALUE!</v>
      </c>
      <c r="AP49" s="446" t="e">
        <f>IF(OR($B49="",MIN(AP$38,$D$19)&lt;MAX($P$34*($B49+IF($R$17="Distrato",$I$38-1,0)),IF(AND($L$37=0,$P$34=0),"",$L$37-1),IF($R$17="Distrato",$E49,0))),0,YEARFRAC(MAX($P$34*($B49+IF($R$17="Distrato",$I$38-1,0)),IF(AND($L$37=0,$P$34=0),"",$L$37-1),IF($R$17="Distrato",$E49,0)),MIN(AP$38,$D$19),$P$20))-SUM($P49:AO49)</f>
        <v>#VALUE!</v>
      </c>
      <c r="AQ49" s="446" t="e">
        <f>IF(OR($B49="",MIN(AQ$38,$D$19)&lt;MAX($P$34*($B49+IF($R$17="Distrato",$I$38-1,0)),IF(AND($L$37=0,$P$34=0),"",$L$37-1),IF($R$17="Distrato",$E49,0))),0,YEARFRAC(MAX($P$34*($B49+IF($R$17="Distrato",$I$38-1,0)),IF(AND($L$37=0,$P$34=0),"",$L$37-1),IF($R$17="Distrato",$E49,0)),MIN(AQ$38,$D$19),$P$20))-SUM($P49:AP49)</f>
        <v>#VALUE!</v>
      </c>
      <c r="AR49" s="446" t="e">
        <f>IF(OR($B49="",MIN(AR$38,$D$19)&lt;MAX($P$34*($B49+IF($R$17="Distrato",$I$38-1,0)),IF(AND($L$37=0,$P$34=0),"",$L$37-1),IF($R$17="Distrato",$E49,0))),0,YEARFRAC(MAX($P$34*($B49+IF($R$17="Distrato",$I$38-1,0)),IF(AND($L$37=0,$P$34=0),"",$L$37-1),IF($R$17="Distrato",$E49,0)),MIN(AR$38,$D$19),$P$20))-SUM($P49:AQ49)</f>
        <v>#VALUE!</v>
      </c>
      <c r="AS49" s="446" t="e">
        <f>IF(OR($B49="",MIN(AS$38,$D$19)&lt;MAX($P$34*($B49+IF($R$17="Distrato",$I$38-1,0)),IF(AND($L$37=0,$P$34=0),"",$L$37-1),IF($R$17="Distrato",$E49,0))),0,YEARFRAC(MAX($P$34*($B49+IF($R$17="Distrato",$I$38-1,0)),IF(AND($L$37=0,$P$34=0),"",$L$37-1),IF($R$17="Distrato",$E49,0)),MIN(AS$38,$D$19),$P$20))-SUM($P49:AR49)</f>
        <v>#VALUE!</v>
      </c>
      <c r="AT49" s="446" t="e">
        <f>IF(OR($B49="",MIN(AT$38,$D$19)&lt;MAX($P$34*($B49+IF($R$17="Distrato",$I$38-1,0)),IF(AND($L$37=0,$P$34=0),"",$L$37-1),IF($R$17="Distrato",$E49,0))),0,YEARFRAC(MAX($P$34*($B49+IF($R$17="Distrato",$I$38-1,0)),IF(AND($L$37=0,$P$34=0),"",$L$37-1),IF($R$17="Distrato",$E49,0)),MIN(AT$38,$D$19),$P$20))-SUM($P49:AS49)</f>
        <v>#VALUE!</v>
      </c>
      <c r="AU49" s="446" t="e">
        <f>IF(OR($B49="",MIN(AU$38,$D$19)&lt;MAX($P$34*($B49+IF($R$17="Distrato",$I$38-1,0)),IF(AND($L$37=0,$P$34=0),"",$L$37-1),IF($R$17="Distrato",$E49,0))),0,YEARFRAC(MAX($P$34*($B49+IF($R$17="Distrato",$I$38-1,0)),IF(AND($L$37=0,$P$34=0),"",$L$37-1),IF($R$17="Distrato",$E49,0)),MIN(AU$38,$D$19),$P$20))-SUM($P49:AT49)</f>
        <v>#VALUE!</v>
      </c>
      <c r="AV49" s="446" t="e">
        <f>IF(OR($B49="",MIN(AV$38,$D$19)&lt;MAX($P$34*($B49+IF($R$17="Distrato",$I$38-1,0)),IF(AND($L$37=0,$P$34=0),"",$L$37-1),IF($R$17="Distrato",$E49,0))),0,YEARFRAC(MAX($P$34*($B49+IF($R$17="Distrato",$I$38-1,0)),IF(AND($L$37=0,$P$34=0),"",$L$37-1),IF($R$17="Distrato",$E49,0)),MIN(AV$38,$D$19),$P$20))-SUM($P49:AU49)</f>
        <v>#VALUE!</v>
      </c>
      <c r="AW49" s="446" t="e">
        <f>IF(OR($B49="",MIN(AW$38,$D$19)&lt;MAX($P$34*($B49+IF($R$17="Distrato",$I$38-1,0)),IF(AND($L$37=0,$P$34=0),"",$L$37-1),IF($R$17="Distrato",$E49,0))),0,YEARFRAC(MAX($P$34*($B49+IF($R$17="Distrato",$I$38-1,0)),IF(AND($L$37=0,$P$34=0),"",$L$37-1),IF($R$17="Distrato",$E49,0)),MIN(AW$38,$D$19),$P$20))-SUM($P49:AV49)</f>
        <v>#VALUE!</v>
      </c>
      <c r="AX49" s="446" t="e">
        <f>IF(OR($B49="",MIN(AX$38,$D$19)&lt;MAX($P$34*($B49+IF($R$17="Distrato",$I$38-1,0)),IF(AND($L$37=0,$P$34=0),"",$L$37-1),IF($R$17="Distrato",$E49,0))),0,YEARFRAC(MAX($P$34*($B49+IF($R$17="Distrato",$I$38-1,0)),IF(AND($L$37=0,$P$34=0),"",$L$37-1),IF($R$17="Distrato",$E49,0)),MIN(AX$38,$D$19),$P$20))-SUM($P49:AW49)</f>
        <v>#VALUE!</v>
      </c>
      <c r="AY49" s="446" t="e">
        <f>IF(OR($B49="",MIN(AY$38,$D$19)&lt;MAX($P$34*($B49+IF($R$17="Distrato",$I$38-1,0)),IF(AND($L$37=0,$P$34=0),"",$L$37-1),IF($R$17="Distrato",$E49,0))),0,YEARFRAC(MAX($P$34*($B49+IF($R$17="Distrato",$I$38-1,0)),IF(AND($L$37=0,$P$34=0),"",$L$37-1),IF($R$17="Distrato",$E49,0)),MIN(AY$38,$D$19),$P$20))-SUM($P49:AX49)</f>
        <v>#VALUE!</v>
      </c>
      <c r="AZ49" s="446" t="e">
        <f>IF(OR($B49="",MIN(AZ$38,$D$19)&lt;MAX($P$34*($B49+IF($R$17="Distrato",$I$38-1,0)),IF(AND($L$37=0,$P$34=0),"",$L$37-1),IF($R$17="Distrato",$E49,0))),0,YEARFRAC(MAX($P$34*($B49+IF($R$17="Distrato",$I$38-1,0)),IF(AND($L$37=0,$P$34=0),"",$L$37-1),IF($R$17="Distrato",$E49,0)),MIN(AZ$38,$D$19),$P$20))-SUM($P49:AY49)</f>
        <v>#VALUE!</v>
      </c>
      <c r="BA49" s="446" t="e">
        <f>IF(OR($B49="",MIN(BA$38,$D$19)&lt;MAX($P$34*($B49+IF($R$17="Distrato",$I$38-1,0)),IF(AND($L$37=0,$P$34=0),"",$L$37-1),IF($R$17="Distrato",$E49,0))),0,YEARFRAC(MAX($P$34*($B49+IF($R$17="Distrato",$I$38-1,0)),IF(AND($L$37=0,$P$34=0),"",$L$37-1),IF($R$17="Distrato",$E49,0)),MIN(BA$38,$D$19),$P$20))-SUM($P49:AZ49)</f>
        <v>#VALUE!</v>
      </c>
      <c r="BB49" s="447"/>
      <c r="BF49" s="446">
        <f t="shared" si="10"/>
        <v>0</v>
      </c>
      <c r="BG49" s="446">
        <f>IF($E49=0,0,IF(MIN(BG$38,$E49)&lt;MAX($P$34*($B49+$I$38-1),IF(AND($L$37=0,$P$34=0),"",$L$37-1)),0,YEARFRAC(MAX($P$34*($B49+$I$38-1),IF(AND($L$37=0,$P$34=0),"",$L$37-1)),MIN(BG$38,$E49),$P$20))-SUM($BF49:BF49))</f>
        <v>0</v>
      </c>
      <c r="BH49" s="446">
        <f>IF($E49=0,0,IF(MIN(BH$38,$E49)&lt;MAX($P$34*($B49+$I$38-1),IF(AND($L$37=0,$P$34=0),"",$L$37-1)),0,YEARFRAC(MAX($P$34*($B49+$I$38-1),IF(AND($L$37=0,$P$34=0),"",$L$37-1)),MIN(BH$38,$E49),$P$20))-SUM($BF49:BG49))</f>
        <v>0</v>
      </c>
      <c r="BI49" s="446">
        <f>IF($E49=0,0,IF(MIN(BI$38,$E49)&lt;MAX($P$34*($B49+$I$38-1),IF(AND($L$37=0,$P$34=0),"",$L$37-1)),0,YEARFRAC(MAX($P$34*($B49+$I$38-1),IF(AND($L$37=0,$P$34=0),"",$L$37-1)),MIN(BI$38,$E49),$P$20))-SUM($BF49:BH49))</f>
        <v>0</v>
      </c>
      <c r="BJ49" s="446">
        <f>IF($E49=0,0,IF(MIN(BJ$38,$E49)&lt;MAX($P$34*($B49+$I$38-1),IF(AND($L$37=0,$P$34=0),"",$L$37-1)),0,YEARFRAC(MAX($P$34*($B49+$I$38-1),IF(AND($L$37=0,$P$34=0),"",$L$37-1)),MIN(BJ$38,$E49),$P$20))-SUM($BF49:BI49))</f>
        <v>0</v>
      </c>
      <c r="BK49" s="446">
        <f>IF($E49=0,0,IF(MIN(BK$38,$E49)&lt;MAX($P$34*($B49+$I$38-1),IF(AND($L$37=0,$P$34=0),"",$L$37-1)),0,YEARFRAC(MAX($P$34*($B49+$I$38-1),IF(AND($L$37=0,$P$34=0),"",$L$37-1)),MIN(BK$38,$E49),$P$20))-SUM($BF49:BJ49))</f>
        <v>0</v>
      </c>
      <c r="BL49" s="446">
        <f>IF($E49=0,0,IF(MIN(BL$38,$E49)&lt;MAX($P$34*($B49+$I$38-1),IF(AND($L$37=0,$P$34=0),"",$L$37-1)),0,YEARFRAC(MAX($P$34*($B49+$I$38-1),IF(AND($L$37=0,$P$34=0),"",$L$37-1)),MIN(BL$38,$E49),$P$20))-SUM($BF49:BK49))</f>
        <v>0</v>
      </c>
      <c r="BM49" s="446">
        <f>IF($E49=0,0,IF(MIN(BM$38,$E49)&lt;MAX($P$34*($B49+$I$38-1),IF(AND($L$37=0,$P$34=0),"",$L$37-1)),0,YEARFRAC(MAX($P$34*($B49+$I$38-1),IF(AND($L$37=0,$P$34=0),"",$L$37-1)),MIN(BM$38,$E49),$P$20))-SUM($BF49:BL49))</f>
        <v>0</v>
      </c>
      <c r="BN49" s="446">
        <f>IF($E49=0,0,IF(MIN(BN$38,$E49)&lt;MAX($P$34*($B49+$I$38-1),IF(AND($L$37=0,$P$34=0),"",$L$37-1)),0,YEARFRAC(MAX($P$34*($B49+$I$38-1),IF(AND($L$37=0,$P$34=0),"",$L$37-1)),MIN(BN$38,$E49),$P$20))-SUM($BF49:BM49))</f>
        <v>0</v>
      </c>
      <c r="BO49" s="446">
        <f>IF($E49=0,0,IF(MIN(BO$38,$E49)&lt;MAX($P$34*($B49+$I$38-1),IF(AND($L$37=0,$P$34=0),"",$L$37-1)),0,YEARFRAC(MAX($P$34*($B49+$I$38-1),IF(AND($L$37=0,$P$34=0),"",$L$37-1)),MIN(BO$38,$E49),$P$20))-SUM($BF49:BN49))</f>
        <v>0</v>
      </c>
      <c r="BP49" s="446">
        <f>IF($E49=0,0,IF(MIN(BP$38,$E49)&lt;MAX($P$34*($B49+$I$38-1),IF(AND($L$37=0,$P$34=0),"",$L$37-1)),0,YEARFRAC(MAX($P$34*($B49+$I$38-1),IF(AND($L$37=0,$P$34=0),"",$L$37-1)),MIN(BP$38,$E49),$P$20))-SUM($BF49:BO49))</f>
        <v>0</v>
      </c>
      <c r="BQ49" s="446">
        <f>IF($E49=0,0,IF(MIN(BQ$38,$E49)&lt;MAX($P$34*($B49+$I$38-1),IF(AND($L$37=0,$P$34=0),"",$L$37-1)),0,YEARFRAC(MAX($P$34*($B49+$I$38-1),IF(AND($L$37=0,$P$34=0),"",$L$37-1)),MIN(BQ$38,$E49),$P$20))-SUM($BF49:BP49))</f>
        <v>0</v>
      </c>
      <c r="BR49" s="446">
        <f>IF($E49=0,0,IF(MIN(BR$38,$E49)&lt;MAX($P$34*($B49+$I$38-1),IF(AND($L$37=0,$P$34=0),"",$L$37-1)),0,YEARFRAC(MAX($P$34*($B49+$I$38-1),IF(AND($L$37=0,$P$34=0),"",$L$37-1)),MIN(BR$38,$E49),$P$20))-SUM($BF49:BQ49))</f>
        <v>0</v>
      </c>
      <c r="BS49" s="446">
        <f>IF($E49=0,0,IF(MIN(BS$38,$E49)&lt;MAX($P$34*($B49+$I$38-1),IF(AND($L$37=0,$P$34=0),"",$L$37-1)),0,YEARFRAC(MAX($P$34*($B49+$I$38-1),IF(AND($L$37=0,$P$34=0),"",$L$37-1)),MIN(BS$38,$E49),$P$20))-SUM($BF49:BR49))</f>
        <v>0</v>
      </c>
      <c r="BT49" s="446">
        <f>IF($E49=0,0,IF(MIN(BT$38,$E49)&lt;MAX($P$34*($B49+$I$38-1),IF(AND($L$37=0,$P$34=0),"",$L$37-1)),0,YEARFRAC(MAX($P$34*($B49+$I$38-1),IF(AND($L$37=0,$P$34=0),"",$L$37-1)),MIN(BT$38,$E49),$P$20))-SUM($BF49:BS49))</f>
        <v>0</v>
      </c>
      <c r="BU49" s="446">
        <f>IF($E49=0,0,IF(MIN(BU$38,$E49)&lt;MAX($P$34*($B49+$I$38-1),IF(AND($L$37=0,$P$34=0),"",$L$37-1)),0,YEARFRAC(MAX($P$34*($B49+$I$38-1),IF(AND($L$37=0,$P$34=0),"",$L$37-1)),MIN(BU$38,$E49),$P$20))-SUM($BF49:BT49))</f>
        <v>0</v>
      </c>
      <c r="BV49" s="446">
        <f>IF($E49=0,0,IF(MIN(BV$38,$E49)&lt;MAX($P$34*($B49+$I$38-1),IF(AND($L$37=0,$P$34=0),"",$L$37-1)),0,YEARFRAC(MAX($P$34*($B49+$I$38-1),IF(AND($L$37=0,$P$34=0),"",$L$37-1)),MIN(BV$38,$E49),$P$20))-SUM($BF49:BU49))</f>
        <v>0</v>
      </c>
      <c r="BW49" s="446">
        <f>IF($E49=0,0,IF(MIN(BW$38,$E49)&lt;MAX($P$34*($B49+$I$38-1),IF(AND($L$37=0,$P$34=0),"",$L$37-1)),0,YEARFRAC(MAX($P$34*($B49+$I$38-1),IF(AND($L$37=0,$P$34=0),"",$L$37-1)),MIN(BW$38,$E49),$P$20))-SUM($BF49:BV49))</f>
        <v>0</v>
      </c>
      <c r="BX49" s="446">
        <f>IF($E49=0,0,IF(MIN(BX$38,$E49)&lt;MAX($P$34*($B49+$I$38-1),IF(AND($L$37=0,$P$34=0),"",$L$37-1)),0,YEARFRAC(MAX($P$34*($B49+$I$38-1),IF(AND($L$37=0,$P$34=0),"",$L$37-1)),MIN(BX$38,$E49),$P$20))-SUM($BF49:BW49))</f>
        <v>0</v>
      </c>
      <c r="BY49" s="446">
        <f>IF($E49=0,0,IF(MIN(BY$38,$E49)&lt;MAX($P$34*($B49+$I$38-1),IF(AND($L$37=0,$P$34=0),"",$L$37-1)),0,YEARFRAC(MAX($P$34*($B49+$I$38-1),IF(AND($L$37=0,$P$34=0),"",$L$37-1)),MIN(BY$38,$E49),$P$20))-SUM($BF49:BX49))</f>
        <v>0</v>
      </c>
      <c r="BZ49" s="446">
        <f>IF($E49=0,0,IF(MIN(BZ$38,$E49)&lt;MAX($P$34*($B49+$I$38-1),IF(AND($L$37=0,$P$34=0),"",$L$37-1)),0,YEARFRAC(MAX($P$34*($B49+$I$38-1),IF(AND($L$37=0,$P$34=0),"",$L$37-1)),MIN(BZ$38,$E49),$P$20))-SUM($BF49:BY49))</f>
        <v>0</v>
      </c>
      <c r="CA49" s="446">
        <f>IF($E49=0,0,IF(MIN(CA$38,$E49)&lt;MAX($P$34*($B49+$I$38-1),IF(AND($L$37=0,$P$34=0),"",$L$37-1)),0,YEARFRAC(MAX($P$34*($B49+$I$38-1),IF(AND($L$37=0,$P$34=0),"",$L$37-1)),MIN(CA$38,$E49),$P$20))-SUM($BF49:BZ49))</f>
        <v>0</v>
      </c>
      <c r="CB49" s="446">
        <f>IF($E49=0,0,IF(MIN(CB$38,$E49)&lt;MAX($P$34*($B49+$I$38-1),IF(AND($L$37=0,$P$34=0),"",$L$37-1)),0,YEARFRAC(MAX($P$34*($B49+$I$38-1),IF(AND($L$37=0,$P$34=0),"",$L$37-1)),MIN(CB$38,$E49),$P$20))-SUM($BF49:CA49))</f>
        <v>0</v>
      </c>
      <c r="CC49" s="446">
        <f>IF($E49=0,0,IF(MIN(CC$38,$E49)&lt;MAX($P$34*($B49+$I$38-1),IF(AND($L$37=0,$P$34=0),"",$L$37-1)),0,YEARFRAC(MAX($P$34*($B49+$I$38-1),IF(AND($L$37=0,$P$34=0),"",$L$37-1)),MIN(CC$38,$E49),$P$20))-SUM($BF49:CB49))</f>
        <v>0</v>
      </c>
      <c r="CD49" s="446">
        <f>IF($E49=0,0,IF(MIN(CD$38,$E49)&lt;MAX($P$34*($B49+$I$38-1),IF(AND($L$37=0,$P$34=0),"",$L$37-1)),0,YEARFRAC(MAX($P$34*($B49+$I$38-1),IF(AND($L$37=0,$P$34=0),"",$L$37-1)),MIN(CD$38,$E49),$P$20))-SUM($BF49:CC49))</f>
        <v>0</v>
      </c>
      <c r="CE49" s="446">
        <f>IF($E49=0,0,IF(MIN(CE$38,$E49)&lt;MAX($P$34*($B49+$I$38-1),IF(AND($L$37=0,$P$34=0),"",$L$37-1)),0,YEARFRAC(MAX($P$34*($B49+$I$38-1),IF(AND($L$37=0,$P$34=0),"",$L$37-1)),MIN(CE$38,$E49),$P$20))-SUM($BF49:CD49))</f>
        <v>0</v>
      </c>
      <c r="CF49" s="446">
        <f>IF($E49=0,0,IF(MIN(CF$38,$E49)&lt;MAX($P$34*($B49+$I$38-1),IF(AND($L$37=0,$P$34=0),"",$L$37-1)),0,YEARFRAC(MAX($P$34*($B49+$I$38-1),IF(AND($L$37=0,$P$34=0),"",$L$37-1)),MIN(CF$38,$E49),$P$20))-SUM($BF49:CE49))</f>
        <v>0</v>
      </c>
      <c r="CG49" s="446">
        <f>IF($E49=0,0,IF(MIN(CG$38,$E49)&lt;MAX($P$34*($B49+$I$38-1),IF(AND($L$37=0,$P$34=0),"",$L$37-1)),0,YEARFRAC(MAX($P$34*($B49+$I$38-1),IF(AND($L$37=0,$P$34=0),"",$L$37-1)),MIN(CG$38,$E49),$P$20))-SUM($BF49:CF49))</f>
        <v>0</v>
      </c>
      <c r="CH49" s="446">
        <f>IF($E49=0,0,IF(MIN(CH$38,$E49)&lt;MAX($P$34*($B49+$I$38-1),IF(AND($L$37=0,$P$34=0),"",$L$37-1)),0,YEARFRAC(MAX($P$34*($B49+$I$38-1),IF(AND($L$37=0,$P$34=0),"",$L$37-1)),MIN(CH$38,$E49),$P$20))-SUM($BF49:CG49))</f>
        <v>0</v>
      </c>
      <c r="CI49" s="446">
        <f>IF($E49=0,0,IF(MIN(CI$38,$E49)&lt;MAX($P$34*($B49+$I$38-1),IF(AND($L$37=0,$P$34=0),"",$L$37-1)),0,YEARFRAC(MAX($P$34*($B49+$I$38-1),IF(AND($L$37=0,$P$34=0),"",$L$37-1)),MIN(CI$38,$E49),$P$20))-SUM($BF49:CH49))</f>
        <v>0</v>
      </c>
      <c r="CJ49" s="446">
        <f>IF($E49=0,0,IF(MIN(CJ$38,$E49)&lt;MAX($P$34*($B49+$I$38-1),IF(AND($L$37=0,$P$34=0),"",$L$37-1)),0,YEARFRAC(MAX($P$34*($B49+$I$38-1),IF(AND($L$37=0,$P$34=0),"",$L$37-1)),MIN(CJ$38,$E49),$P$20))-SUM($BF49:CI49))</f>
        <v>0</v>
      </c>
      <c r="CK49" s="446">
        <f>IF($E49=0,0,IF(MIN(CK$38,$E49)&lt;MAX($P$34*($B49+$I$38-1),IF(AND($L$37=0,$P$34=0),"",$L$37-1)),0,YEARFRAC(MAX($P$34*($B49+$I$38-1),IF(AND($L$37=0,$P$34=0),"",$L$37-1)),MIN(CK$38,$E49),$P$20))-SUM($BF49:CJ49))</f>
        <v>0</v>
      </c>
      <c r="CL49" s="446">
        <f>IF($E49=0,0,IF(MIN(CL$38,$E49)&lt;MAX($P$34*($B49+$I$38-1),IF(AND($L$37=0,$P$34=0),"",$L$37-1)),0,YEARFRAC(MAX($P$34*($B49+$I$38-1),IF(AND($L$37=0,$P$34=0),"",$L$37-1)),MIN(CL$38,$E49),$P$20))-SUM($BF49:CK49))</f>
        <v>0</v>
      </c>
      <c r="CM49" s="446">
        <f>IF($E49=0,0,IF(MIN(CM$38,$E49)&lt;MAX($P$34*($B49+$I$38-1),IF(AND($L$37=0,$P$34=0),"",$L$37-1)),0,YEARFRAC(MAX($P$34*($B49+$I$38-1),IF(AND($L$37=0,$P$34=0),"",$L$37-1)),MIN(CM$38,$E49),$P$20))-SUM($BF49:CL49))</f>
        <v>0</v>
      </c>
      <c r="CN49" s="446">
        <f>IF($E49=0,0,IF(MIN(CN$38,$E49)&lt;MAX($P$34*($B49+$I$38-1),IF(AND($L$37=0,$P$34=0),"",$L$37-1)),0,YEARFRAC(MAX($P$34*($B49+$I$38-1),IF(AND($L$37=0,$P$34=0),"",$L$37-1)),MIN(CN$38,$E49),$P$20))-SUM($BF49:CM49))</f>
        <v>0</v>
      </c>
      <c r="CO49" s="446">
        <f>IF($E49=0,0,IF(MIN(CO$38,$E49)&lt;MAX($P$34*($B49+$I$38-1),IF(AND($L$37=0,$P$34=0),"",$L$37-1)),0,YEARFRAC(MAX($P$34*($B49+$I$38-1),IF(AND($L$37=0,$P$34=0),"",$L$37-1)),MIN(CO$38,$E49),$P$20))-SUM($BF49:CN49))</f>
        <v>0</v>
      </c>
      <c r="CP49" s="446">
        <f>IF($E49=0,0,IF(MIN(CP$38,$E49)&lt;MAX($P$34*($B49+$I$38-1),IF(AND($L$37=0,$P$34=0),"",$L$37-1)),0,YEARFRAC(MAX($P$34*($B49+$I$38-1),IF(AND($L$37=0,$P$34=0),"",$L$37-1)),MIN(CP$38,$E49),$P$20))-SUM($BF49:CO49))</f>
        <v>0</v>
      </c>
      <c r="CQ49" s="446">
        <f>IF($E49=0,0,IF(MIN(CQ$38,$E49)&lt;MAX($P$34*($B49+$I$38-1),IF(AND($L$37=0,$P$34=0),"",$L$37-1)),0,YEARFRAC(MAX($P$34*($B49+$I$38-1),IF(AND($L$37=0,$P$34=0),"",$L$37-1)),MIN(CQ$38,$E49),$P$20))-SUM($BF49:CP49))</f>
        <v>0</v>
      </c>
    </row>
    <row r="50" spans="1:95" s="446" customFormat="1" ht="11.25" hidden="1" customHeight="1" x14ac:dyDescent="0.2">
      <c r="A50" s="152"/>
      <c r="B50" s="153" t="str">
        <f t="shared" si="15"/>
        <v/>
      </c>
      <c r="C50" s="29" t="str">
        <f>IF(B50="","",IF($L$35="SELIC - TRIBUTOS",VLOOKUP(DATE(YEAR($D$19),MONTH($D$19)-1,1),ÍNDICES!$A:$DE,HLOOKUP($BL$25,ÍNDICES!$B$3:$T$4,2)+11)-VLOOKUP(B50,ÍNDICES!$A:$DE,HLOOKUP($BL$25,ÍNDICES!$B$3:$T$4,2)+11)+1%,IF(C$38=$W$26,$J$35,IF(ISERROR(IF(B50&gt;$D$19,1,VLOOKUP(DATE(YEAR(B50),MONTH(B50)+IF($C$35=$S$23,1,0),1),ÍNDICES!$A:$DE,$Z$35+1))),"",IF(B50&gt;$D$19,1,VLOOKUP(DATE(YEAR(B50),MONTH(B50)+IF($C$35=$S$23,1,0),1),ÍNDICES!$A:$DE,$Z$35+1))))))</f>
        <v/>
      </c>
      <c r="D50" s="154" t="str">
        <f>IF(ISERROR(IF(OR($D$38=$Y$27,$B50=""),"",VLOOKUP(B50,ÍNDICES!A:DE,AF$35+1))),"",IF(OR($D$38=$Y$27,$B50=""),"",VLOOKUP(B50,ÍNDICES!A:DE,AF$35+1)))</f>
        <v/>
      </c>
      <c r="E50" s="153"/>
      <c r="F50" s="29" t="str">
        <f>IF(E50="","",IF($L$35="SELIC - TRIBUTOS",VLOOKUP(DATE(YEAR($D$19),MONTH($D$19)-1,1),ÍNDICES!$A:$DE,HLOOKUP($BL$25,ÍNDICES!$B$3:$T$4,2)+11)-VLOOKUP(IF(E50&gt;B50,E50,B50),ÍNDICES!$A:$DE,HLOOKUP($BL$25,ÍNDICES!$B$3:$T$4,2)+11)+1%,IF(F$38=$W$26,$J$35,IF(ISERROR(IF(E50&gt;$D$19,1,VLOOKUP(DATE(YEAR(E50),MONTH(E50)+IF($C$35=$S$23,1,0),1),ÍNDICES!$A:$DE,$Z$35+1))),"",IF(E50&gt;$D$19,1,VLOOKUP(DATE(YEAR(E50),MONTH(E50)+IF($C$35=$S$23,1,0),1),ÍNDICES!$A:$DE,$Z$35+1))))))</f>
        <v/>
      </c>
      <c r="G50" s="155"/>
      <c r="H50" s="156" t="str">
        <f t="shared" si="11"/>
        <v/>
      </c>
      <c r="I50" s="29" t="str">
        <f t="shared" si="5"/>
        <v/>
      </c>
      <c r="J50" s="5">
        <f t="shared" si="6"/>
        <v>0</v>
      </c>
      <c r="K50" s="20">
        <f t="shared" ca="1" si="7"/>
        <v>0</v>
      </c>
      <c r="L50" s="5">
        <f t="shared" ca="1" si="8"/>
        <v>0</v>
      </c>
      <c r="M50" s="64">
        <f t="shared" si="12"/>
        <v>0</v>
      </c>
      <c r="N50" s="61">
        <f t="shared" ca="1" si="13"/>
        <v>0</v>
      </c>
      <c r="O50" s="5">
        <f t="shared" ca="1" si="14"/>
        <v>0</v>
      </c>
      <c r="P50" s="446" t="e">
        <f t="shared" si="9"/>
        <v>#VALUE!</v>
      </c>
      <c r="Q50" s="446" t="e">
        <f>IF(OR($B50="",MIN(Q$38,$D$19)&lt;MAX($P$34*($B50+IF($R$17="Distrato",$I$38-1,0)),IF(AND($L$37=0,$P$34=0),"",$L$37-1),IF($R$17="Distrato",$E50,0))),0,YEARFRAC(MAX($P$34*($B50+IF($R$17="Distrato",$I$38-1,0)),IF(AND($L$37=0,$P$34=0),"",$L$37-1),IF($R$17="Distrato",$E50,0)),MIN(Q$38,$D$19),$P$20))-SUM($P50:P50)</f>
        <v>#VALUE!</v>
      </c>
      <c r="R50" s="446" t="e">
        <f>IF(OR($B50="",MIN(R$38,$D$19)&lt;MAX($P$34*($B50+IF($R$17="Distrato",$I$38-1,0)),IF(AND($L$37=0,$P$34=0),"",$L$37-1),IF($R$17="Distrato",$E50,0))),0,YEARFRAC(MAX($P$34*($B50+IF($R$17="Distrato",$I$38-1,0)),IF(AND($L$37=0,$P$34=0),"",$L$37-1),IF($R$17="Distrato",$E50,0)),MIN(R$38,$D$19),$P$20))-SUM($P50:Q50)</f>
        <v>#VALUE!</v>
      </c>
      <c r="S50" s="446" t="e">
        <f>IF(OR($B50="",MIN(S$38,$D$19)&lt;MAX($P$34*($B50+IF($R$17="Distrato",$I$38-1,0)),IF(AND($L$37=0,$P$34=0),"",$L$37-1),IF($R$17="Distrato",$E50,0))),0,YEARFRAC(MAX($P$34*($B50+IF($R$17="Distrato",$I$38-1,0)),IF(AND($L$37=0,$P$34=0),"",$L$37-1),IF($R$17="Distrato",$E50,0)),MIN(S$38,$D$19),$P$20))-SUM($P50:R50)</f>
        <v>#VALUE!</v>
      </c>
      <c r="T50" s="446" t="e">
        <f>IF(OR($B50="",MIN(T$38,$D$19)&lt;MAX($P$34*($B50+IF($R$17="Distrato",$I$38-1,0)),IF(AND($L$37=0,$P$34=0),"",$L$37-1),IF($R$17="Distrato",$E50,0))),0,YEARFRAC(MAX($P$34*($B50+IF($R$17="Distrato",$I$38-1,0)),IF(AND($L$37=0,$P$34=0),"",$L$37-1),IF($R$17="Distrato",$E50,0)),MIN(T$38,$D$19),$P$20))-SUM($P50:S50)</f>
        <v>#VALUE!</v>
      </c>
      <c r="U50" s="446" t="e">
        <f>IF(OR($B50="",MIN(U$38,$D$19)&lt;MAX($P$34*($B50+IF($R$17="Distrato",$I$38-1,0)),IF(AND($L$37=0,$P$34=0),"",$L$37-1),IF($R$17="Distrato",$E50,0))),0,YEARFRAC(MAX($P$34*($B50+IF($R$17="Distrato",$I$38-1,0)),IF(AND($L$37=0,$P$34=0),"",$L$37-1),IF($R$17="Distrato",$E50,0)),MIN(U$38,$D$19),$P$20))-SUM($P50:T50)</f>
        <v>#VALUE!</v>
      </c>
      <c r="V50" s="446" t="e">
        <f>IF(OR($B50="",MIN(V$38,$D$19)&lt;MAX($P$34*($B50+IF($R$17="Distrato",$I$38-1,0)),IF(AND($L$37=0,$P$34=0),"",$L$37-1),IF($R$17="Distrato",$E50,0))),0,YEARFRAC(MAX($P$34*($B50+IF($R$17="Distrato",$I$38-1,0)),IF(AND($L$37=0,$P$34=0),"",$L$37-1),IF($R$17="Distrato",$E50,0)),MIN(V$38,$D$19),$P$20))-SUM($P50:U50)</f>
        <v>#VALUE!</v>
      </c>
      <c r="W50" s="446" t="e">
        <f>IF(OR($B50="",MIN(W$38,$D$19)&lt;MAX($P$34*($B50+IF($R$17="Distrato",$I$38-1,0)),IF(AND($L$37=0,$P$34=0),"",$L$37-1),IF($R$17="Distrato",$E50,0))),0,YEARFRAC(MAX($P$34*($B50+IF($R$17="Distrato",$I$38-1,0)),IF(AND($L$37=0,$P$34=0),"",$L$37-1),IF($R$17="Distrato",$E50,0)),MIN(W$38,$D$19),$P$20))-SUM($P50:V50)</f>
        <v>#VALUE!</v>
      </c>
      <c r="X50" s="446" t="e">
        <f>IF(OR($B50="",MIN(X$38,$D$19)&lt;MAX($P$34*($B50+IF($R$17="Distrato",$I$38-1,0)),IF(AND($L$37=0,$P$34=0),"",$L$37-1),IF($R$17="Distrato",$E50,0))),0,YEARFRAC(MAX($P$34*($B50+IF($R$17="Distrato",$I$38-1,0)),IF(AND($L$37=0,$P$34=0),"",$L$37-1),IF($R$17="Distrato",$E50,0)),MIN(X$38,$D$19),$P$20))-SUM($P50:W50)</f>
        <v>#VALUE!</v>
      </c>
      <c r="Y50" s="446" t="e">
        <f>IF(OR($B50="",MIN(Y$38,$D$19)&lt;MAX($P$34*($B50+IF($R$17="Distrato",$I$38-1,0)),IF(AND($L$37=0,$P$34=0),"",$L$37-1),IF($R$17="Distrato",$E50,0))),0,YEARFRAC(MAX($P$34*($B50+IF($R$17="Distrato",$I$38-1,0)),IF(AND($L$37=0,$P$34=0),"",$L$37-1),IF($R$17="Distrato",$E50,0)),MIN(Y$38,$D$19),$P$20))-SUM($P50:X50)</f>
        <v>#VALUE!</v>
      </c>
      <c r="Z50" s="446" t="e">
        <f>IF(OR($B50="",MIN(Z$38,$D$19)&lt;MAX($P$34*($B50+IF($R$17="Distrato",$I$38-1,0)),IF(AND($L$37=0,$P$34=0),"",$L$37-1),IF($R$17="Distrato",$E50,0))),0,YEARFRAC(MAX($P$34*($B50+IF($R$17="Distrato",$I$38-1,0)),IF(AND($L$37=0,$P$34=0),"",$L$37-1),IF($R$17="Distrato",$E50,0)),MIN(Z$38,$D$19),$P$20))-SUM($P50:Y50)</f>
        <v>#VALUE!</v>
      </c>
      <c r="AA50" s="446" t="e">
        <f>IF(OR($B50="",MIN(AA$38,$D$19)&lt;MAX($P$34*($B50+IF($R$17="Distrato",$I$38-1,0)),IF(AND($L$37=0,$P$34=0),"",$L$37-1),IF($R$17="Distrato",$E50,0))),0,YEARFRAC(MAX($P$34*($B50+IF($R$17="Distrato",$I$38-1,0)),IF(AND($L$37=0,$P$34=0),"",$L$37-1),IF($R$17="Distrato",$E50,0)),MIN(AA$38,$D$19),$P$20))-SUM($P50:Z50)</f>
        <v>#VALUE!</v>
      </c>
      <c r="AB50" s="446" t="e">
        <f>IF(OR($B50="",MIN(AB$38,$D$19)&lt;MAX($P$34*($B50+IF($R$17="Distrato",$I$38-1,0)),IF(AND($L$37=0,$P$34=0),"",$L$37-1),IF($R$17="Distrato",$E50,0))),0,YEARFRAC(MAX($P$34*($B50+IF($R$17="Distrato",$I$38-1,0)),IF(AND($L$37=0,$P$34=0),"",$L$37-1),IF($R$17="Distrato",$E50,0)),MIN(AB$38,$D$19),$P$20))-SUM($P50:AA50)</f>
        <v>#VALUE!</v>
      </c>
      <c r="AC50" s="446" t="e">
        <f>IF(OR($B50="",MIN(AC$38,$D$19)&lt;MAX($P$34*($B50+IF($R$17="Distrato",$I$38-1,0)),IF(AND($L$37=0,$P$34=0),"",$L$37-1),IF($R$17="Distrato",$E50,0))),0,YEARFRAC(MAX($P$34*($B50+IF($R$17="Distrato",$I$38-1,0)),IF(AND($L$37=0,$P$34=0),"",$L$37-1),IF($R$17="Distrato",$E50,0)),MIN(AC$38,$D$19),$P$20))-SUM($P50:AB50)</f>
        <v>#VALUE!</v>
      </c>
      <c r="AD50" s="446" t="e">
        <f>IF(OR($B50="",MIN(AD$38,$D$19)&lt;MAX($P$34*($B50+IF($R$17="Distrato",$I$38-1,0)),IF(AND($L$37=0,$P$34=0),"",$L$37-1),IF($R$17="Distrato",$E50,0))),0,YEARFRAC(MAX($P$34*($B50+IF($R$17="Distrato",$I$38-1,0)),IF(AND($L$37=0,$P$34=0),"",$L$37-1),IF($R$17="Distrato",$E50,0)),MIN(AD$38,$D$19),$P$20))-SUM($P50:AC50)</f>
        <v>#VALUE!</v>
      </c>
      <c r="AE50" s="446" t="e">
        <f>IF(OR($B50="",MIN(AE$38,$D$19)&lt;MAX($P$34*($B50+IF($R$17="Distrato",$I$38-1,0)),IF(AND($L$37=0,$P$34=0),"",$L$37-1),IF($R$17="Distrato",$E50,0))),0,YEARFRAC(MAX($P$34*($B50+IF($R$17="Distrato",$I$38-1,0)),IF(AND($L$37=0,$P$34=0),"",$L$37-1),IF($R$17="Distrato",$E50,0)),MIN(AE$38,$D$19),$P$20))-SUM($P50:AD50)</f>
        <v>#VALUE!</v>
      </c>
      <c r="AF50" s="446" t="e">
        <f>IF(OR($B50="",MIN(AF$38,$D$19)&lt;MAX($P$34*($B50+IF($R$17="Distrato",$I$38-1,0)),IF(AND($L$37=0,$P$34=0),"",$L$37-1),IF($R$17="Distrato",$E50,0))),0,YEARFRAC(MAX($P$34*($B50+IF($R$17="Distrato",$I$38-1,0)),IF(AND($L$37=0,$P$34=0),"",$L$37-1),IF($R$17="Distrato",$E50,0)),MIN(AF$38,$D$19),$P$20))-SUM($P50:AE50)</f>
        <v>#VALUE!</v>
      </c>
      <c r="AG50" s="446" t="e">
        <f>IF(OR($B50="",MIN(AG$38,$D$19)&lt;MAX($P$34*($B50+IF($R$17="Distrato",$I$38-1,0)),IF(AND($L$37=0,$P$34=0),"",$L$37-1),IF($R$17="Distrato",$E50,0))),0,YEARFRAC(MAX($P$34*($B50+IF($R$17="Distrato",$I$38-1,0)),IF(AND($L$37=0,$P$34=0),"",$L$37-1),IF($R$17="Distrato",$E50,0)),MIN(AG$38,$D$19),$P$20))-SUM($P50:AF50)</f>
        <v>#VALUE!</v>
      </c>
      <c r="AH50" s="446" t="e">
        <f>IF(OR($B50="",MIN(AH$38,$D$19)&lt;MAX($P$34*($B50+IF($R$17="Distrato",$I$38-1,0)),IF(AND($L$37=0,$P$34=0),"",$L$37-1),IF($R$17="Distrato",$E50,0))),0,YEARFRAC(MAX($P$34*($B50+IF($R$17="Distrato",$I$38-1,0)),IF(AND($L$37=0,$P$34=0),"",$L$37-1),IF($R$17="Distrato",$E50,0)),MIN(AH$38,$D$19),$P$20))-SUM($P50:AG50)</f>
        <v>#VALUE!</v>
      </c>
      <c r="AI50" s="446" t="e">
        <f>IF(OR($B50="",MIN(AI$38,$D$19)&lt;MAX($P$34*($B50+IF($R$17="Distrato",$I$38-1,0)),IF(AND($L$37=0,$P$34=0),"",$L$37-1),IF($R$17="Distrato",$E50,0))),0,YEARFRAC(MAX($P$34*($B50+IF($R$17="Distrato",$I$38-1,0)),IF(AND($L$37=0,$P$34=0),"",$L$37-1),IF($R$17="Distrato",$E50,0)),MIN(AI$38,$D$19),$P$20))-SUM($P50:AH50)</f>
        <v>#VALUE!</v>
      </c>
      <c r="AJ50" s="446" t="e">
        <f>IF(OR($B50="",MIN(AJ$38,$D$19)&lt;MAX($P$34*($B50+IF($R$17="Distrato",$I$38-1,0)),IF(AND($L$37=0,$P$34=0),"",$L$37-1),IF($R$17="Distrato",$E50,0))),0,YEARFRAC(MAX($P$34*($B50+IF($R$17="Distrato",$I$38-1,0)),IF(AND($L$37=0,$P$34=0),"",$L$37-1),IF($R$17="Distrato",$E50,0)),MIN(AJ$38,$D$19),$P$20))-SUM($P50:AI50)</f>
        <v>#VALUE!</v>
      </c>
      <c r="AK50" s="446" t="e">
        <f>IF(OR($B50="",MIN(AK$38,$D$19)&lt;MAX($P$34*($B50+IF($R$17="Distrato",$I$38-1,0)),IF(AND($L$37=0,$P$34=0),"",$L$37-1),IF($R$17="Distrato",$E50,0))),0,YEARFRAC(MAX($P$34*($B50+IF($R$17="Distrato",$I$38-1,0)),IF(AND($L$37=0,$P$34=0),"",$L$37-1),IF($R$17="Distrato",$E50,0)),MIN(AK$38,$D$19),$P$20))-SUM($P50:AJ50)</f>
        <v>#VALUE!</v>
      </c>
      <c r="AL50" s="446" t="e">
        <f>IF(OR($B50="",MIN(AL$38,$D$19)&lt;MAX($P$34*($B50+IF($R$17="Distrato",$I$38-1,0)),IF(AND($L$37=0,$P$34=0),"",$L$37-1),IF($R$17="Distrato",$E50,0))),0,YEARFRAC(MAX($P$34*($B50+IF($R$17="Distrato",$I$38-1,0)),IF(AND($L$37=0,$P$34=0),"",$L$37-1),IF($R$17="Distrato",$E50,0)),MIN(AL$38,$D$19),$P$20))-SUM($P50:AK50)</f>
        <v>#VALUE!</v>
      </c>
      <c r="AM50" s="446" t="e">
        <f>IF(OR($B50="",MIN(AM$38,$D$19)&lt;MAX($P$34*($B50+IF($R$17="Distrato",$I$38-1,0)),IF(AND($L$37=0,$P$34=0),"",$L$37-1),IF($R$17="Distrato",$E50,0))),0,YEARFRAC(MAX($P$34*($B50+IF($R$17="Distrato",$I$38-1,0)),IF(AND($L$37=0,$P$34=0),"",$L$37-1),IF($R$17="Distrato",$E50,0)),MIN(AM$38,$D$19),$P$20))-SUM($P50:AL50)</f>
        <v>#VALUE!</v>
      </c>
      <c r="AN50" s="446" t="e">
        <f>IF(OR($B50="",MIN(AN$38,$D$19)&lt;MAX($P$34*($B50+IF($R$17="Distrato",$I$38-1,0)),IF(AND($L$37=0,$P$34=0),"",$L$37-1),IF($R$17="Distrato",$E50,0))),0,YEARFRAC(MAX($P$34*($B50+IF($R$17="Distrato",$I$38-1,0)),IF(AND($L$37=0,$P$34=0),"",$L$37-1),IF($R$17="Distrato",$E50,0)),MIN(AN$38,$D$19),$P$20))-SUM($P50:AM50)</f>
        <v>#VALUE!</v>
      </c>
      <c r="AO50" s="446" t="e">
        <f>IF(OR($B50="",MIN(AO$38,$D$19)&lt;MAX($P$34*($B50+IF($R$17="Distrato",$I$38-1,0)),IF(AND($L$37=0,$P$34=0),"",$L$37-1),IF($R$17="Distrato",$E50,0))),0,YEARFRAC(MAX($P$34*($B50+IF($R$17="Distrato",$I$38-1,0)),IF(AND($L$37=0,$P$34=0),"",$L$37-1),IF($R$17="Distrato",$E50,0)),MIN(AO$38,$D$19),$P$20))-SUM($P50:AN50)</f>
        <v>#VALUE!</v>
      </c>
      <c r="AP50" s="446" t="e">
        <f>IF(OR($B50="",MIN(AP$38,$D$19)&lt;MAX($P$34*($B50+IF($R$17="Distrato",$I$38-1,0)),IF(AND($L$37=0,$P$34=0),"",$L$37-1),IF($R$17="Distrato",$E50,0))),0,YEARFRAC(MAX($P$34*($B50+IF($R$17="Distrato",$I$38-1,0)),IF(AND($L$37=0,$P$34=0),"",$L$37-1),IF($R$17="Distrato",$E50,0)),MIN(AP$38,$D$19),$P$20))-SUM($P50:AO50)</f>
        <v>#VALUE!</v>
      </c>
      <c r="AQ50" s="446" t="e">
        <f>IF(OR($B50="",MIN(AQ$38,$D$19)&lt;MAX($P$34*($B50+IF($R$17="Distrato",$I$38-1,0)),IF(AND($L$37=0,$P$34=0),"",$L$37-1),IF($R$17="Distrato",$E50,0))),0,YEARFRAC(MAX($P$34*($B50+IF($R$17="Distrato",$I$38-1,0)),IF(AND($L$37=0,$P$34=0),"",$L$37-1),IF($R$17="Distrato",$E50,0)),MIN(AQ$38,$D$19),$P$20))-SUM($P50:AP50)</f>
        <v>#VALUE!</v>
      </c>
      <c r="AR50" s="446" t="e">
        <f>IF(OR($B50="",MIN(AR$38,$D$19)&lt;MAX($P$34*($B50+IF($R$17="Distrato",$I$38-1,0)),IF(AND($L$37=0,$P$34=0),"",$L$37-1),IF($R$17="Distrato",$E50,0))),0,YEARFRAC(MAX($P$34*($B50+IF($R$17="Distrato",$I$38-1,0)),IF(AND($L$37=0,$P$34=0),"",$L$37-1),IF($R$17="Distrato",$E50,0)),MIN(AR$38,$D$19),$P$20))-SUM($P50:AQ50)</f>
        <v>#VALUE!</v>
      </c>
      <c r="AS50" s="446" t="e">
        <f>IF(OR($B50="",MIN(AS$38,$D$19)&lt;MAX($P$34*($B50+IF($R$17="Distrato",$I$38-1,0)),IF(AND($L$37=0,$P$34=0),"",$L$37-1),IF($R$17="Distrato",$E50,0))),0,YEARFRAC(MAX($P$34*($B50+IF($R$17="Distrato",$I$38-1,0)),IF(AND($L$37=0,$P$34=0),"",$L$37-1),IF($R$17="Distrato",$E50,0)),MIN(AS$38,$D$19),$P$20))-SUM($P50:AR50)</f>
        <v>#VALUE!</v>
      </c>
      <c r="AT50" s="446" t="e">
        <f>IF(OR($B50="",MIN(AT$38,$D$19)&lt;MAX($P$34*($B50+IF($R$17="Distrato",$I$38-1,0)),IF(AND($L$37=0,$P$34=0),"",$L$37-1),IF($R$17="Distrato",$E50,0))),0,YEARFRAC(MAX($P$34*($B50+IF($R$17="Distrato",$I$38-1,0)),IF(AND($L$37=0,$P$34=0),"",$L$37-1),IF($R$17="Distrato",$E50,0)),MIN(AT$38,$D$19),$P$20))-SUM($P50:AS50)</f>
        <v>#VALUE!</v>
      </c>
      <c r="AU50" s="446" t="e">
        <f>IF(OR($B50="",MIN(AU$38,$D$19)&lt;MAX($P$34*($B50+IF($R$17="Distrato",$I$38-1,0)),IF(AND($L$37=0,$P$34=0),"",$L$37-1),IF($R$17="Distrato",$E50,0))),0,YEARFRAC(MAX($P$34*($B50+IF($R$17="Distrato",$I$38-1,0)),IF(AND($L$37=0,$P$34=0),"",$L$37-1),IF($R$17="Distrato",$E50,0)),MIN(AU$38,$D$19),$P$20))-SUM($P50:AT50)</f>
        <v>#VALUE!</v>
      </c>
      <c r="AV50" s="446" t="e">
        <f>IF(OR($B50="",MIN(AV$38,$D$19)&lt;MAX($P$34*($B50+IF($R$17="Distrato",$I$38-1,0)),IF(AND($L$37=0,$P$34=0),"",$L$37-1),IF($R$17="Distrato",$E50,0))),0,YEARFRAC(MAX($P$34*($B50+IF($R$17="Distrato",$I$38-1,0)),IF(AND($L$37=0,$P$34=0),"",$L$37-1),IF($R$17="Distrato",$E50,0)),MIN(AV$38,$D$19),$P$20))-SUM($P50:AU50)</f>
        <v>#VALUE!</v>
      </c>
      <c r="AW50" s="446" t="e">
        <f>IF(OR($B50="",MIN(AW$38,$D$19)&lt;MAX($P$34*($B50+IF($R$17="Distrato",$I$38-1,0)),IF(AND($L$37=0,$P$34=0),"",$L$37-1),IF($R$17="Distrato",$E50,0))),0,YEARFRAC(MAX($P$34*($B50+IF($R$17="Distrato",$I$38-1,0)),IF(AND($L$37=0,$P$34=0),"",$L$37-1),IF($R$17="Distrato",$E50,0)),MIN(AW$38,$D$19),$P$20))-SUM($P50:AV50)</f>
        <v>#VALUE!</v>
      </c>
      <c r="AX50" s="446" t="e">
        <f>IF(OR($B50="",MIN(AX$38,$D$19)&lt;MAX($P$34*($B50+IF($R$17="Distrato",$I$38-1,0)),IF(AND($L$37=0,$P$34=0),"",$L$37-1),IF($R$17="Distrato",$E50,0))),0,YEARFRAC(MAX($P$34*($B50+IF($R$17="Distrato",$I$38-1,0)),IF(AND($L$37=0,$P$34=0),"",$L$37-1),IF($R$17="Distrato",$E50,0)),MIN(AX$38,$D$19),$P$20))-SUM($P50:AW50)</f>
        <v>#VALUE!</v>
      </c>
      <c r="AY50" s="446" t="e">
        <f>IF(OR($B50="",MIN(AY$38,$D$19)&lt;MAX($P$34*($B50+IF($R$17="Distrato",$I$38-1,0)),IF(AND($L$37=0,$P$34=0),"",$L$37-1),IF($R$17="Distrato",$E50,0))),0,YEARFRAC(MAX($P$34*($B50+IF($R$17="Distrato",$I$38-1,0)),IF(AND($L$37=0,$P$34=0),"",$L$37-1),IF($R$17="Distrato",$E50,0)),MIN(AY$38,$D$19),$P$20))-SUM($P50:AX50)</f>
        <v>#VALUE!</v>
      </c>
      <c r="AZ50" s="446" t="e">
        <f>IF(OR($B50="",MIN(AZ$38,$D$19)&lt;MAX($P$34*($B50+IF($R$17="Distrato",$I$38-1,0)),IF(AND($L$37=0,$P$34=0),"",$L$37-1),IF($R$17="Distrato",$E50,0))),0,YEARFRAC(MAX($P$34*($B50+IF($R$17="Distrato",$I$38-1,0)),IF(AND($L$37=0,$P$34=0),"",$L$37-1),IF($R$17="Distrato",$E50,0)),MIN(AZ$38,$D$19),$P$20))-SUM($P50:AY50)</f>
        <v>#VALUE!</v>
      </c>
      <c r="BA50" s="446" t="e">
        <f>IF(OR($B50="",MIN(BA$38,$D$19)&lt;MAX($P$34*($B50+IF($R$17="Distrato",$I$38-1,0)),IF(AND($L$37=0,$P$34=0),"",$L$37-1),IF($R$17="Distrato",$E50,0))),0,YEARFRAC(MAX($P$34*($B50+IF($R$17="Distrato",$I$38-1,0)),IF(AND($L$37=0,$P$34=0),"",$L$37-1),IF($R$17="Distrato",$E50,0)),MIN(BA$38,$D$19),$P$20))-SUM($P50:AZ50)</f>
        <v>#VALUE!</v>
      </c>
      <c r="BB50" s="447"/>
      <c r="BF50" s="446">
        <f t="shared" si="10"/>
        <v>0</v>
      </c>
      <c r="BG50" s="446">
        <f>IF($E50=0,0,IF(MIN(BG$38,$E50)&lt;MAX($P$34*($B50+$I$38-1),IF(AND($L$37=0,$P$34=0),"",$L$37-1)),0,YEARFRAC(MAX($P$34*($B50+$I$38-1),IF(AND($L$37=0,$P$34=0),"",$L$37-1)),MIN(BG$38,$E50),$P$20))-SUM($BF50:BF50))</f>
        <v>0</v>
      </c>
      <c r="BH50" s="446">
        <f>IF($E50=0,0,IF(MIN(BH$38,$E50)&lt;MAX($P$34*($B50+$I$38-1),IF(AND($L$37=0,$P$34=0),"",$L$37-1)),0,YEARFRAC(MAX($P$34*($B50+$I$38-1),IF(AND($L$37=0,$P$34=0),"",$L$37-1)),MIN(BH$38,$E50),$P$20))-SUM($BF50:BG50))</f>
        <v>0</v>
      </c>
      <c r="BI50" s="446">
        <f>IF($E50=0,0,IF(MIN(BI$38,$E50)&lt;MAX($P$34*($B50+$I$38-1),IF(AND($L$37=0,$P$34=0),"",$L$37-1)),0,YEARFRAC(MAX($P$34*($B50+$I$38-1),IF(AND($L$37=0,$P$34=0),"",$L$37-1)),MIN(BI$38,$E50),$P$20))-SUM($BF50:BH50))</f>
        <v>0</v>
      </c>
      <c r="BJ50" s="446">
        <f>IF($E50=0,0,IF(MIN(BJ$38,$E50)&lt;MAX($P$34*($B50+$I$38-1),IF(AND($L$37=0,$P$34=0),"",$L$37-1)),0,YEARFRAC(MAX($P$34*($B50+$I$38-1),IF(AND($L$37=0,$P$34=0),"",$L$37-1)),MIN(BJ$38,$E50),$P$20))-SUM($BF50:BI50))</f>
        <v>0</v>
      </c>
      <c r="BK50" s="446">
        <f>IF($E50=0,0,IF(MIN(BK$38,$E50)&lt;MAX($P$34*($B50+$I$38-1),IF(AND($L$37=0,$P$34=0),"",$L$37-1)),0,YEARFRAC(MAX($P$34*($B50+$I$38-1),IF(AND($L$37=0,$P$34=0),"",$L$37-1)),MIN(BK$38,$E50),$P$20))-SUM($BF50:BJ50))</f>
        <v>0</v>
      </c>
      <c r="BL50" s="446">
        <f>IF($E50=0,0,IF(MIN(BL$38,$E50)&lt;MAX($P$34*($B50+$I$38-1),IF(AND($L$37=0,$P$34=0),"",$L$37-1)),0,YEARFRAC(MAX($P$34*($B50+$I$38-1),IF(AND($L$37=0,$P$34=0),"",$L$37-1)),MIN(BL$38,$E50),$P$20))-SUM($BF50:BK50))</f>
        <v>0</v>
      </c>
      <c r="BM50" s="446">
        <f>IF($E50=0,0,IF(MIN(BM$38,$E50)&lt;MAX($P$34*($B50+$I$38-1),IF(AND($L$37=0,$P$34=0),"",$L$37-1)),0,YEARFRAC(MAX($P$34*($B50+$I$38-1),IF(AND($L$37=0,$P$34=0),"",$L$37-1)),MIN(BM$38,$E50),$P$20))-SUM($BF50:BL50))</f>
        <v>0</v>
      </c>
      <c r="BN50" s="446">
        <f>IF($E50=0,0,IF(MIN(BN$38,$E50)&lt;MAX($P$34*($B50+$I$38-1),IF(AND($L$37=0,$P$34=0),"",$L$37-1)),0,YEARFRAC(MAX($P$34*($B50+$I$38-1),IF(AND($L$37=0,$P$34=0),"",$L$37-1)),MIN(BN$38,$E50),$P$20))-SUM($BF50:BM50))</f>
        <v>0</v>
      </c>
      <c r="BO50" s="446">
        <f>IF($E50=0,0,IF(MIN(BO$38,$E50)&lt;MAX($P$34*($B50+$I$38-1),IF(AND($L$37=0,$P$34=0),"",$L$37-1)),0,YEARFRAC(MAX($P$34*($B50+$I$38-1),IF(AND($L$37=0,$P$34=0),"",$L$37-1)),MIN(BO$38,$E50),$P$20))-SUM($BF50:BN50))</f>
        <v>0</v>
      </c>
      <c r="BP50" s="446">
        <f>IF($E50=0,0,IF(MIN(BP$38,$E50)&lt;MAX($P$34*($B50+$I$38-1),IF(AND($L$37=0,$P$34=0),"",$L$37-1)),0,YEARFRAC(MAX($P$34*($B50+$I$38-1),IF(AND($L$37=0,$P$34=0),"",$L$37-1)),MIN(BP$38,$E50),$P$20))-SUM($BF50:BO50))</f>
        <v>0</v>
      </c>
      <c r="BQ50" s="446">
        <f>IF($E50=0,0,IF(MIN(BQ$38,$E50)&lt;MAX($P$34*($B50+$I$38-1),IF(AND($L$37=0,$P$34=0),"",$L$37-1)),0,YEARFRAC(MAX($P$34*($B50+$I$38-1),IF(AND($L$37=0,$P$34=0),"",$L$37-1)),MIN(BQ$38,$E50),$P$20))-SUM($BF50:BP50))</f>
        <v>0</v>
      </c>
      <c r="BR50" s="446">
        <f>IF($E50=0,0,IF(MIN(BR$38,$E50)&lt;MAX($P$34*($B50+$I$38-1),IF(AND($L$37=0,$P$34=0),"",$L$37-1)),0,YEARFRAC(MAX($P$34*($B50+$I$38-1),IF(AND($L$37=0,$P$34=0),"",$L$37-1)),MIN(BR$38,$E50),$P$20))-SUM($BF50:BQ50))</f>
        <v>0</v>
      </c>
      <c r="BS50" s="446">
        <f>IF($E50=0,0,IF(MIN(BS$38,$E50)&lt;MAX($P$34*($B50+$I$38-1),IF(AND($L$37=0,$P$34=0),"",$L$37-1)),0,YEARFRAC(MAX($P$34*($B50+$I$38-1),IF(AND($L$37=0,$P$34=0),"",$L$37-1)),MIN(BS$38,$E50),$P$20))-SUM($BF50:BR50))</f>
        <v>0</v>
      </c>
      <c r="BT50" s="446">
        <f>IF($E50=0,0,IF(MIN(BT$38,$E50)&lt;MAX($P$34*($B50+$I$38-1),IF(AND($L$37=0,$P$34=0),"",$L$37-1)),0,YEARFRAC(MAX($P$34*($B50+$I$38-1),IF(AND($L$37=0,$P$34=0),"",$L$37-1)),MIN(BT$38,$E50),$P$20))-SUM($BF50:BS50))</f>
        <v>0</v>
      </c>
      <c r="BU50" s="446">
        <f>IF($E50=0,0,IF(MIN(BU$38,$E50)&lt;MAX($P$34*($B50+$I$38-1),IF(AND($L$37=0,$P$34=0),"",$L$37-1)),0,YEARFRAC(MAX($P$34*($B50+$I$38-1),IF(AND($L$37=0,$P$34=0),"",$L$37-1)),MIN(BU$38,$E50),$P$20))-SUM($BF50:BT50))</f>
        <v>0</v>
      </c>
      <c r="BV50" s="446">
        <f>IF($E50=0,0,IF(MIN(BV$38,$E50)&lt;MAX($P$34*($B50+$I$38-1),IF(AND($L$37=0,$P$34=0),"",$L$37-1)),0,YEARFRAC(MAX($P$34*($B50+$I$38-1),IF(AND($L$37=0,$P$34=0),"",$L$37-1)),MIN(BV$38,$E50),$P$20))-SUM($BF50:BU50))</f>
        <v>0</v>
      </c>
      <c r="BW50" s="446">
        <f>IF($E50=0,0,IF(MIN(BW$38,$E50)&lt;MAX($P$34*($B50+$I$38-1),IF(AND($L$37=0,$P$34=0),"",$L$37-1)),0,YEARFRAC(MAX($P$34*($B50+$I$38-1),IF(AND($L$37=0,$P$34=0),"",$L$37-1)),MIN(BW$38,$E50),$P$20))-SUM($BF50:BV50))</f>
        <v>0</v>
      </c>
      <c r="BX50" s="446">
        <f>IF($E50=0,0,IF(MIN(BX$38,$E50)&lt;MAX($P$34*($B50+$I$38-1),IF(AND($L$37=0,$P$34=0),"",$L$37-1)),0,YEARFRAC(MAX($P$34*($B50+$I$38-1),IF(AND($L$37=0,$P$34=0),"",$L$37-1)),MIN(BX$38,$E50),$P$20))-SUM($BF50:BW50))</f>
        <v>0</v>
      </c>
      <c r="BY50" s="446">
        <f>IF($E50=0,0,IF(MIN(BY$38,$E50)&lt;MAX($P$34*($B50+$I$38-1),IF(AND($L$37=0,$P$34=0),"",$L$37-1)),0,YEARFRAC(MAX($P$34*($B50+$I$38-1),IF(AND($L$37=0,$P$34=0),"",$L$37-1)),MIN(BY$38,$E50),$P$20))-SUM($BF50:BX50))</f>
        <v>0</v>
      </c>
      <c r="BZ50" s="446">
        <f>IF($E50=0,0,IF(MIN(BZ$38,$E50)&lt;MAX($P$34*($B50+$I$38-1),IF(AND($L$37=0,$P$34=0),"",$L$37-1)),0,YEARFRAC(MAX($P$34*($B50+$I$38-1),IF(AND($L$37=0,$P$34=0),"",$L$37-1)),MIN(BZ$38,$E50),$P$20))-SUM($BF50:BY50))</f>
        <v>0</v>
      </c>
      <c r="CA50" s="446">
        <f>IF($E50=0,0,IF(MIN(CA$38,$E50)&lt;MAX($P$34*($B50+$I$38-1),IF(AND($L$37=0,$P$34=0),"",$L$37-1)),0,YEARFRAC(MAX($P$34*($B50+$I$38-1),IF(AND($L$37=0,$P$34=0),"",$L$37-1)),MIN(CA$38,$E50),$P$20))-SUM($BF50:BZ50))</f>
        <v>0</v>
      </c>
      <c r="CB50" s="446">
        <f>IF($E50=0,0,IF(MIN(CB$38,$E50)&lt;MAX($P$34*($B50+$I$38-1),IF(AND($L$37=0,$P$34=0),"",$L$37-1)),0,YEARFRAC(MAX($P$34*($B50+$I$38-1),IF(AND($L$37=0,$P$34=0),"",$L$37-1)),MIN(CB$38,$E50),$P$20))-SUM($BF50:CA50))</f>
        <v>0</v>
      </c>
      <c r="CC50" s="446">
        <f>IF($E50=0,0,IF(MIN(CC$38,$E50)&lt;MAX($P$34*($B50+$I$38-1),IF(AND($L$37=0,$P$34=0),"",$L$37-1)),0,YEARFRAC(MAX($P$34*($B50+$I$38-1),IF(AND($L$37=0,$P$34=0),"",$L$37-1)),MIN(CC$38,$E50),$P$20))-SUM($BF50:CB50))</f>
        <v>0</v>
      </c>
      <c r="CD50" s="446">
        <f>IF($E50=0,0,IF(MIN(CD$38,$E50)&lt;MAX($P$34*($B50+$I$38-1),IF(AND($L$37=0,$P$34=0),"",$L$37-1)),0,YEARFRAC(MAX($P$34*($B50+$I$38-1),IF(AND($L$37=0,$P$34=0),"",$L$37-1)),MIN(CD$38,$E50),$P$20))-SUM($BF50:CC50))</f>
        <v>0</v>
      </c>
      <c r="CE50" s="446">
        <f>IF($E50=0,0,IF(MIN(CE$38,$E50)&lt;MAX($P$34*($B50+$I$38-1),IF(AND($L$37=0,$P$34=0),"",$L$37-1)),0,YEARFRAC(MAX($P$34*($B50+$I$38-1),IF(AND($L$37=0,$P$34=0),"",$L$37-1)),MIN(CE$38,$E50),$P$20))-SUM($BF50:CD50))</f>
        <v>0</v>
      </c>
      <c r="CF50" s="446">
        <f>IF($E50=0,0,IF(MIN(CF$38,$E50)&lt;MAX($P$34*($B50+$I$38-1),IF(AND($L$37=0,$P$34=0),"",$L$37-1)),0,YEARFRAC(MAX($P$34*($B50+$I$38-1),IF(AND($L$37=0,$P$34=0),"",$L$37-1)),MIN(CF$38,$E50),$P$20))-SUM($BF50:CE50))</f>
        <v>0</v>
      </c>
      <c r="CG50" s="446">
        <f>IF($E50=0,0,IF(MIN(CG$38,$E50)&lt;MAX($P$34*($B50+$I$38-1),IF(AND($L$37=0,$P$34=0),"",$L$37-1)),0,YEARFRAC(MAX($P$34*($B50+$I$38-1),IF(AND($L$37=0,$P$34=0),"",$L$37-1)),MIN(CG$38,$E50),$P$20))-SUM($BF50:CF50))</f>
        <v>0</v>
      </c>
      <c r="CH50" s="446">
        <f>IF($E50=0,0,IF(MIN(CH$38,$E50)&lt;MAX($P$34*($B50+$I$38-1),IF(AND($L$37=0,$P$34=0),"",$L$37-1)),0,YEARFRAC(MAX($P$34*($B50+$I$38-1),IF(AND($L$37=0,$P$34=0),"",$L$37-1)),MIN(CH$38,$E50),$P$20))-SUM($BF50:CG50))</f>
        <v>0</v>
      </c>
      <c r="CI50" s="446">
        <f>IF($E50=0,0,IF(MIN(CI$38,$E50)&lt;MAX($P$34*($B50+$I$38-1),IF(AND($L$37=0,$P$34=0),"",$L$37-1)),0,YEARFRAC(MAX($P$34*($B50+$I$38-1),IF(AND($L$37=0,$P$34=0),"",$L$37-1)),MIN(CI$38,$E50),$P$20))-SUM($BF50:CH50))</f>
        <v>0</v>
      </c>
      <c r="CJ50" s="446">
        <f>IF($E50=0,0,IF(MIN(CJ$38,$E50)&lt;MAX($P$34*($B50+$I$38-1),IF(AND($L$37=0,$P$34=0),"",$L$37-1)),0,YEARFRAC(MAX($P$34*($B50+$I$38-1),IF(AND($L$37=0,$P$34=0),"",$L$37-1)),MIN(CJ$38,$E50),$P$20))-SUM($BF50:CI50))</f>
        <v>0</v>
      </c>
      <c r="CK50" s="446">
        <f>IF($E50=0,0,IF(MIN(CK$38,$E50)&lt;MAX($P$34*($B50+$I$38-1),IF(AND($L$37=0,$P$34=0),"",$L$37-1)),0,YEARFRAC(MAX($P$34*($B50+$I$38-1),IF(AND($L$37=0,$P$34=0),"",$L$37-1)),MIN(CK$38,$E50),$P$20))-SUM($BF50:CJ50))</f>
        <v>0</v>
      </c>
      <c r="CL50" s="446">
        <f>IF($E50=0,0,IF(MIN(CL$38,$E50)&lt;MAX($P$34*($B50+$I$38-1),IF(AND($L$37=0,$P$34=0),"",$L$37-1)),0,YEARFRAC(MAX($P$34*($B50+$I$38-1),IF(AND($L$37=0,$P$34=0),"",$L$37-1)),MIN(CL$38,$E50),$P$20))-SUM($BF50:CK50))</f>
        <v>0</v>
      </c>
      <c r="CM50" s="446">
        <f>IF($E50=0,0,IF(MIN(CM$38,$E50)&lt;MAX($P$34*($B50+$I$38-1),IF(AND($L$37=0,$P$34=0),"",$L$37-1)),0,YEARFRAC(MAX($P$34*($B50+$I$38-1),IF(AND($L$37=0,$P$34=0),"",$L$37-1)),MIN(CM$38,$E50),$P$20))-SUM($BF50:CL50))</f>
        <v>0</v>
      </c>
      <c r="CN50" s="446">
        <f>IF($E50=0,0,IF(MIN(CN$38,$E50)&lt;MAX($P$34*($B50+$I$38-1),IF(AND($L$37=0,$P$34=0),"",$L$37-1)),0,YEARFRAC(MAX($P$34*($B50+$I$38-1),IF(AND($L$37=0,$P$34=0),"",$L$37-1)),MIN(CN$38,$E50),$P$20))-SUM($BF50:CM50))</f>
        <v>0</v>
      </c>
      <c r="CO50" s="446">
        <f>IF($E50=0,0,IF(MIN(CO$38,$E50)&lt;MAX($P$34*($B50+$I$38-1),IF(AND($L$37=0,$P$34=0),"",$L$37-1)),0,YEARFRAC(MAX($P$34*($B50+$I$38-1),IF(AND($L$37=0,$P$34=0),"",$L$37-1)),MIN(CO$38,$E50),$P$20))-SUM($BF50:CN50))</f>
        <v>0</v>
      </c>
      <c r="CP50" s="446">
        <f>IF($E50=0,0,IF(MIN(CP$38,$E50)&lt;MAX($P$34*($B50+$I$38-1),IF(AND($L$37=0,$P$34=0),"",$L$37-1)),0,YEARFRAC(MAX($P$34*($B50+$I$38-1),IF(AND($L$37=0,$P$34=0),"",$L$37-1)),MIN(CP$38,$E50),$P$20))-SUM($BF50:CO50))</f>
        <v>0</v>
      </c>
      <c r="CQ50" s="446">
        <f>IF($E50=0,0,IF(MIN(CQ$38,$E50)&lt;MAX($P$34*($B50+$I$38-1),IF(AND($L$37=0,$P$34=0),"",$L$37-1)),0,YEARFRAC(MAX($P$34*($B50+$I$38-1),IF(AND($L$37=0,$P$34=0),"",$L$37-1)),MIN(CQ$38,$E50),$P$20))-SUM($BF50:CP50))</f>
        <v>0</v>
      </c>
    </row>
    <row r="51" spans="1:95" s="446" customFormat="1" ht="11.25" hidden="1" customHeight="1" x14ac:dyDescent="0.2">
      <c r="A51" s="152"/>
      <c r="B51" s="153" t="str">
        <f t="shared" si="15"/>
        <v/>
      </c>
      <c r="C51" s="29" t="str">
        <f>IF(B51="","",IF($L$35="SELIC - TRIBUTOS",VLOOKUP(DATE(YEAR($D$19),MONTH($D$19)-1,1),ÍNDICES!$A:$DE,HLOOKUP($BL$25,ÍNDICES!$B$3:$T$4,2)+11)-VLOOKUP(B51,ÍNDICES!$A:$DE,HLOOKUP($BL$25,ÍNDICES!$B$3:$T$4,2)+11)+1%,IF(C$38=$W$26,$J$35,IF(ISERROR(IF(B51&gt;$D$19,1,VLOOKUP(DATE(YEAR(B51),MONTH(B51)+IF($C$35=$S$23,1,0),1),ÍNDICES!$A:$DE,$Z$35+1))),"",IF(B51&gt;$D$19,1,VLOOKUP(DATE(YEAR(B51),MONTH(B51)+IF($C$35=$S$23,1,0),1),ÍNDICES!$A:$DE,$Z$35+1))))))</f>
        <v/>
      </c>
      <c r="D51" s="154" t="str">
        <f>IF(ISERROR(IF(OR($D$38=$Y$27,$B51=""),"",VLOOKUP(B51,ÍNDICES!A:DE,AF$35+1))),"",IF(OR($D$38=$Y$27,$B51=""),"",VLOOKUP(B51,ÍNDICES!A:DE,AF$35+1)))</f>
        <v/>
      </c>
      <c r="E51" s="153"/>
      <c r="F51" s="29" t="str">
        <f>IF(E51="","",IF($L$35="SELIC - TRIBUTOS",VLOOKUP(DATE(YEAR($D$19),MONTH($D$19)-1,1),ÍNDICES!$A:$DE,HLOOKUP($BL$25,ÍNDICES!$B$3:$T$4,2)+11)-VLOOKUP(IF(E51&gt;B51,E51,B51),ÍNDICES!$A:$DE,HLOOKUP($BL$25,ÍNDICES!$B$3:$T$4,2)+11)+1%,IF(F$38=$W$26,$J$35,IF(ISERROR(IF(E51&gt;$D$19,1,VLOOKUP(DATE(YEAR(E51),MONTH(E51)+IF($C$35=$S$23,1,0),1),ÍNDICES!$A:$DE,$Z$35+1))),"",IF(E51&gt;$D$19,1,VLOOKUP(DATE(YEAR(E51),MONTH(E51)+IF($C$35=$S$23,1,0),1),ÍNDICES!$A:$DE,$Z$35+1))))))</f>
        <v/>
      </c>
      <c r="G51" s="155"/>
      <c r="H51" s="156" t="str">
        <f t="shared" si="11"/>
        <v/>
      </c>
      <c r="I51" s="29" t="str">
        <f t="shared" si="5"/>
        <v/>
      </c>
      <c r="J51" s="5">
        <f t="shared" si="6"/>
        <v>0</v>
      </c>
      <c r="K51" s="20">
        <f t="shared" ca="1" si="7"/>
        <v>0</v>
      </c>
      <c r="L51" s="5">
        <f t="shared" ca="1" si="8"/>
        <v>0</v>
      </c>
      <c r="M51" s="64">
        <f t="shared" si="12"/>
        <v>0</v>
      </c>
      <c r="N51" s="61">
        <f t="shared" ca="1" si="13"/>
        <v>0</v>
      </c>
      <c r="O51" s="5">
        <f t="shared" ca="1" si="14"/>
        <v>0</v>
      </c>
      <c r="P51" s="446" t="e">
        <f t="shared" si="9"/>
        <v>#VALUE!</v>
      </c>
      <c r="Q51" s="446" t="e">
        <f>IF(OR($B51="",MIN(Q$38,$D$19)&lt;MAX($P$34*($B51+IF($R$17="Distrato",$I$38-1,0)),IF(AND($L$37=0,$P$34=0),"",$L$37-1),IF($R$17="Distrato",$E51,0))),0,YEARFRAC(MAX($P$34*($B51+IF($R$17="Distrato",$I$38-1,0)),IF(AND($L$37=0,$P$34=0),"",$L$37-1),IF($R$17="Distrato",$E51,0)),MIN(Q$38,$D$19),$P$20))-SUM($P51:P51)</f>
        <v>#VALUE!</v>
      </c>
      <c r="R51" s="446" t="e">
        <f>IF(OR($B51="",MIN(R$38,$D$19)&lt;MAX($P$34*($B51+IF($R$17="Distrato",$I$38-1,0)),IF(AND($L$37=0,$P$34=0),"",$L$37-1),IF($R$17="Distrato",$E51,0))),0,YEARFRAC(MAX($P$34*($B51+IF($R$17="Distrato",$I$38-1,0)),IF(AND($L$37=0,$P$34=0),"",$L$37-1),IF($R$17="Distrato",$E51,0)),MIN(R$38,$D$19),$P$20))-SUM($P51:Q51)</f>
        <v>#VALUE!</v>
      </c>
      <c r="S51" s="446" t="e">
        <f>IF(OR($B51="",MIN(S$38,$D$19)&lt;MAX($P$34*($B51+IF($R$17="Distrato",$I$38-1,0)),IF(AND($L$37=0,$P$34=0),"",$L$37-1),IF($R$17="Distrato",$E51,0))),0,YEARFRAC(MAX($P$34*($B51+IF($R$17="Distrato",$I$38-1,0)),IF(AND($L$37=0,$P$34=0),"",$L$37-1),IF($R$17="Distrato",$E51,0)),MIN(S$38,$D$19),$P$20))-SUM($P51:R51)</f>
        <v>#VALUE!</v>
      </c>
      <c r="T51" s="446" t="e">
        <f>IF(OR($B51="",MIN(T$38,$D$19)&lt;MAX($P$34*($B51+IF($R$17="Distrato",$I$38-1,0)),IF(AND($L$37=0,$P$34=0),"",$L$37-1),IF($R$17="Distrato",$E51,0))),0,YEARFRAC(MAX($P$34*($B51+IF($R$17="Distrato",$I$38-1,0)),IF(AND($L$37=0,$P$34=0),"",$L$37-1),IF($R$17="Distrato",$E51,0)),MIN(T$38,$D$19),$P$20))-SUM($P51:S51)</f>
        <v>#VALUE!</v>
      </c>
      <c r="U51" s="446" t="e">
        <f>IF(OR($B51="",MIN(U$38,$D$19)&lt;MAX($P$34*($B51+IF($R$17="Distrato",$I$38-1,0)),IF(AND($L$37=0,$P$34=0),"",$L$37-1),IF($R$17="Distrato",$E51,0))),0,YEARFRAC(MAX($P$34*($B51+IF($R$17="Distrato",$I$38-1,0)),IF(AND($L$37=0,$P$34=0),"",$L$37-1),IF($R$17="Distrato",$E51,0)),MIN(U$38,$D$19),$P$20))-SUM($P51:T51)</f>
        <v>#VALUE!</v>
      </c>
      <c r="V51" s="446" t="e">
        <f>IF(OR($B51="",MIN(V$38,$D$19)&lt;MAX($P$34*($B51+IF($R$17="Distrato",$I$38-1,0)),IF(AND($L$37=0,$P$34=0),"",$L$37-1),IF($R$17="Distrato",$E51,0))),0,YEARFRAC(MAX($P$34*($B51+IF($R$17="Distrato",$I$38-1,0)),IF(AND($L$37=0,$P$34=0),"",$L$37-1),IF($R$17="Distrato",$E51,0)),MIN(V$38,$D$19),$P$20))-SUM($P51:U51)</f>
        <v>#VALUE!</v>
      </c>
      <c r="W51" s="446" t="e">
        <f>IF(OR($B51="",MIN(W$38,$D$19)&lt;MAX($P$34*($B51+IF($R$17="Distrato",$I$38-1,0)),IF(AND($L$37=0,$P$34=0),"",$L$37-1),IF($R$17="Distrato",$E51,0))),0,YEARFRAC(MAX($P$34*($B51+IF($R$17="Distrato",$I$38-1,0)),IF(AND($L$37=0,$P$34=0),"",$L$37-1),IF($R$17="Distrato",$E51,0)),MIN(W$38,$D$19),$P$20))-SUM($P51:V51)</f>
        <v>#VALUE!</v>
      </c>
      <c r="X51" s="446" t="e">
        <f>IF(OR($B51="",MIN(X$38,$D$19)&lt;MAX($P$34*($B51+IF($R$17="Distrato",$I$38-1,0)),IF(AND($L$37=0,$P$34=0),"",$L$37-1),IF($R$17="Distrato",$E51,0))),0,YEARFRAC(MAX($P$34*($B51+IF($R$17="Distrato",$I$38-1,0)),IF(AND($L$37=0,$P$34=0),"",$L$37-1),IF($R$17="Distrato",$E51,0)),MIN(X$38,$D$19),$P$20))-SUM($P51:W51)</f>
        <v>#VALUE!</v>
      </c>
      <c r="Y51" s="446" t="e">
        <f>IF(OR($B51="",MIN(Y$38,$D$19)&lt;MAX($P$34*($B51+IF($R$17="Distrato",$I$38-1,0)),IF(AND($L$37=0,$P$34=0),"",$L$37-1),IF($R$17="Distrato",$E51,0))),0,YEARFRAC(MAX($P$34*($B51+IF($R$17="Distrato",$I$38-1,0)),IF(AND($L$37=0,$P$34=0),"",$L$37-1),IF($R$17="Distrato",$E51,0)),MIN(Y$38,$D$19),$P$20))-SUM($P51:X51)</f>
        <v>#VALUE!</v>
      </c>
      <c r="Z51" s="446" t="e">
        <f>IF(OR($B51="",MIN(Z$38,$D$19)&lt;MAX($P$34*($B51+IF($R$17="Distrato",$I$38-1,0)),IF(AND($L$37=0,$P$34=0),"",$L$37-1),IF($R$17="Distrato",$E51,0))),0,YEARFRAC(MAX($P$34*($B51+IF($R$17="Distrato",$I$38-1,0)),IF(AND($L$37=0,$P$34=0),"",$L$37-1),IF($R$17="Distrato",$E51,0)),MIN(Z$38,$D$19),$P$20))-SUM($P51:Y51)</f>
        <v>#VALUE!</v>
      </c>
      <c r="AA51" s="446" t="e">
        <f>IF(OR($B51="",MIN(AA$38,$D$19)&lt;MAX($P$34*($B51+IF($R$17="Distrato",$I$38-1,0)),IF(AND($L$37=0,$P$34=0),"",$L$37-1),IF($R$17="Distrato",$E51,0))),0,YEARFRAC(MAX($P$34*($B51+IF($R$17="Distrato",$I$38-1,0)),IF(AND($L$37=0,$P$34=0),"",$L$37-1),IF($R$17="Distrato",$E51,0)),MIN(AA$38,$D$19),$P$20))-SUM($P51:Z51)</f>
        <v>#VALUE!</v>
      </c>
      <c r="AB51" s="446" t="e">
        <f>IF(OR($B51="",MIN(AB$38,$D$19)&lt;MAX($P$34*($B51+IF($R$17="Distrato",$I$38-1,0)),IF(AND($L$37=0,$P$34=0),"",$L$37-1),IF($R$17="Distrato",$E51,0))),0,YEARFRAC(MAX($P$34*($B51+IF($R$17="Distrato",$I$38-1,0)),IF(AND($L$37=0,$P$34=0),"",$L$37-1),IF($R$17="Distrato",$E51,0)),MIN(AB$38,$D$19),$P$20))-SUM($P51:AA51)</f>
        <v>#VALUE!</v>
      </c>
      <c r="AC51" s="446" t="e">
        <f>IF(OR($B51="",MIN(AC$38,$D$19)&lt;MAX($P$34*($B51+IF($R$17="Distrato",$I$38-1,0)),IF(AND($L$37=0,$P$34=0),"",$L$37-1),IF($R$17="Distrato",$E51,0))),0,YEARFRAC(MAX($P$34*($B51+IF($R$17="Distrato",$I$38-1,0)),IF(AND($L$37=0,$P$34=0),"",$L$37-1),IF($R$17="Distrato",$E51,0)),MIN(AC$38,$D$19),$P$20))-SUM($P51:AB51)</f>
        <v>#VALUE!</v>
      </c>
      <c r="AD51" s="446" t="e">
        <f>IF(OR($B51="",MIN(AD$38,$D$19)&lt;MAX($P$34*($B51+IF($R$17="Distrato",$I$38-1,0)),IF(AND($L$37=0,$P$34=0),"",$L$37-1),IF($R$17="Distrato",$E51,0))),0,YEARFRAC(MAX($P$34*($B51+IF($R$17="Distrato",$I$38-1,0)),IF(AND($L$37=0,$P$34=0),"",$L$37-1),IF($R$17="Distrato",$E51,0)),MIN(AD$38,$D$19),$P$20))-SUM($P51:AC51)</f>
        <v>#VALUE!</v>
      </c>
      <c r="AE51" s="446" t="e">
        <f>IF(OR($B51="",MIN(AE$38,$D$19)&lt;MAX($P$34*($B51+IF($R$17="Distrato",$I$38-1,0)),IF(AND($L$37=0,$P$34=0),"",$L$37-1),IF($R$17="Distrato",$E51,0))),0,YEARFRAC(MAX($P$34*($B51+IF($R$17="Distrato",$I$38-1,0)),IF(AND($L$37=0,$P$34=0),"",$L$37-1),IF($R$17="Distrato",$E51,0)),MIN(AE$38,$D$19),$P$20))-SUM($P51:AD51)</f>
        <v>#VALUE!</v>
      </c>
      <c r="AF51" s="446" t="e">
        <f>IF(OR($B51="",MIN(AF$38,$D$19)&lt;MAX($P$34*($B51+IF($R$17="Distrato",$I$38-1,0)),IF(AND($L$37=0,$P$34=0),"",$L$37-1),IF($R$17="Distrato",$E51,0))),0,YEARFRAC(MAX($P$34*($B51+IF($R$17="Distrato",$I$38-1,0)),IF(AND($L$37=0,$P$34=0),"",$L$37-1),IF($R$17="Distrato",$E51,0)),MIN(AF$38,$D$19),$P$20))-SUM($P51:AE51)</f>
        <v>#VALUE!</v>
      </c>
      <c r="AG51" s="446" t="e">
        <f>IF(OR($B51="",MIN(AG$38,$D$19)&lt;MAX($P$34*($B51+IF($R$17="Distrato",$I$38-1,0)),IF(AND($L$37=0,$P$34=0),"",$L$37-1),IF($R$17="Distrato",$E51,0))),0,YEARFRAC(MAX($P$34*($B51+IF($R$17="Distrato",$I$38-1,0)),IF(AND($L$37=0,$P$34=0),"",$L$37-1),IF($R$17="Distrato",$E51,0)),MIN(AG$38,$D$19),$P$20))-SUM($P51:AF51)</f>
        <v>#VALUE!</v>
      </c>
      <c r="AH51" s="446" t="e">
        <f>IF(OR($B51="",MIN(AH$38,$D$19)&lt;MAX($P$34*($B51+IF($R$17="Distrato",$I$38-1,0)),IF(AND($L$37=0,$P$34=0),"",$L$37-1),IF($R$17="Distrato",$E51,0))),0,YEARFRAC(MAX($P$34*($B51+IF($R$17="Distrato",$I$38-1,0)),IF(AND($L$37=0,$P$34=0),"",$L$37-1),IF($R$17="Distrato",$E51,0)),MIN(AH$38,$D$19),$P$20))-SUM($P51:AG51)</f>
        <v>#VALUE!</v>
      </c>
      <c r="AI51" s="446" t="e">
        <f>IF(OR($B51="",MIN(AI$38,$D$19)&lt;MAX($P$34*($B51+IF($R$17="Distrato",$I$38-1,0)),IF(AND($L$37=0,$P$34=0),"",$L$37-1),IF($R$17="Distrato",$E51,0))),0,YEARFRAC(MAX($P$34*($B51+IF($R$17="Distrato",$I$38-1,0)),IF(AND($L$37=0,$P$34=0),"",$L$37-1),IF($R$17="Distrato",$E51,0)),MIN(AI$38,$D$19),$P$20))-SUM($P51:AH51)</f>
        <v>#VALUE!</v>
      </c>
      <c r="AJ51" s="446" t="e">
        <f>IF(OR($B51="",MIN(AJ$38,$D$19)&lt;MAX($P$34*($B51+IF($R$17="Distrato",$I$38-1,0)),IF(AND($L$37=0,$P$34=0),"",$L$37-1),IF($R$17="Distrato",$E51,0))),0,YEARFRAC(MAX($P$34*($B51+IF($R$17="Distrato",$I$38-1,0)),IF(AND($L$37=0,$P$34=0),"",$L$37-1),IF($R$17="Distrato",$E51,0)),MIN(AJ$38,$D$19),$P$20))-SUM($P51:AI51)</f>
        <v>#VALUE!</v>
      </c>
      <c r="AK51" s="446" t="e">
        <f>IF(OR($B51="",MIN(AK$38,$D$19)&lt;MAX($P$34*($B51+IF($R$17="Distrato",$I$38-1,0)),IF(AND($L$37=0,$P$34=0),"",$L$37-1),IF($R$17="Distrato",$E51,0))),0,YEARFRAC(MAX($P$34*($B51+IF($R$17="Distrato",$I$38-1,0)),IF(AND($L$37=0,$P$34=0),"",$L$37-1),IF($R$17="Distrato",$E51,0)),MIN(AK$38,$D$19),$P$20))-SUM($P51:AJ51)</f>
        <v>#VALUE!</v>
      </c>
      <c r="AL51" s="446" t="e">
        <f>IF(OR($B51="",MIN(AL$38,$D$19)&lt;MAX($P$34*($B51+IF($R$17="Distrato",$I$38-1,0)),IF(AND($L$37=0,$P$34=0),"",$L$37-1),IF($R$17="Distrato",$E51,0))),0,YEARFRAC(MAX($P$34*($B51+IF($R$17="Distrato",$I$38-1,0)),IF(AND($L$37=0,$P$34=0),"",$L$37-1),IF($R$17="Distrato",$E51,0)),MIN(AL$38,$D$19),$P$20))-SUM($P51:AK51)</f>
        <v>#VALUE!</v>
      </c>
      <c r="AM51" s="446" t="e">
        <f>IF(OR($B51="",MIN(AM$38,$D$19)&lt;MAX($P$34*($B51+IF($R$17="Distrato",$I$38-1,0)),IF(AND($L$37=0,$P$34=0),"",$L$37-1),IF($R$17="Distrato",$E51,0))),0,YEARFRAC(MAX($P$34*($B51+IF($R$17="Distrato",$I$38-1,0)),IF(AND($L$37=0,$P$34=0),"",$L$37-1),IF($R$17="Distrato",$E51,0)),MIN(AM$38,$D$19),$P$20))-SUM($P51:AL51)</f>
        <v>#VALUE!</v>
      </c>
      <c r="AN51" s="446" t="e">
        <f>IF(OR($B51="",MIN(AN$38,$D$19)&lt;MAX($P$34*($B51+IF($R$17="Distrato",$I$38-1,0)),IF(AND($L$37=0,$P$34=0),"",$L$37-1),IF($R$17="Distrato",$E51,0))),0,YEARFRAC(MAX($P$34*($B51+IF($R$17="Distrato",$I$38-1,0)),IF(AND($L$37=0,$P$34=0),"",$L$37-1),IF($R$17="Distrato",$E51,0)),MIN(AN$38,$D$19),$P$20))-SUM($P51:AM51)</f>
        <v>#VALUE!</v>
      </c>
      <c r="AO51" s="446" t="e">
        <f>IF(OR($B51="",MIN(AO$38,$D$19)&lt;MAX($P$34*($B51+IF($R$17="Distrato",$I$38-1,0)),IF(AND($L$37=0,$P$34=0),"",$L$37-1),IF($R$17="Distrato",$E51,0))),0,YEARFRAC(MAX($P$34*($B51+IF($R$17="Distrato",$I$38-1,0)),IF(AND($L$37=0,$P$34=0),"",$L$37-1),IF($R$17="Distrato",$E51,0)),MIN(AO$38,$D$19),$P$20))-SUM($P51:AN51)</f>
        <v>#VALUE!</v>
      </c>
      <c r="AP51" s="446" t="e">
        <f>IF(OR($B51="",MIN(AP$38,$D$19)&lt;MAX($P$34*($B51+IF($R$17="Distrato",$I$38-1,0)),IF(AND($L$37=0,$P$34=0),"",$L$37-1),IF($R$17="Distrato",$E51,0))),0,YEARFRAC(MAX($P$34*($B51+IF($R$17="Distrato",$I$38-1,0)),IF(AND($L$37=0,$P$34=0),"",$L$37-1),IF($R$17="Distrato",$E51,0)),MIN(AP$38,$D$19),$P$20))-SUM($P51:AO51)</f>
        <v>#VALUE!</v>
      </c>
      <c r="AQ51" s="446" t="e">
        <f>IF(OR($B51="",MIN(AQ$38,$D$19)&lt;MAX($P$34*($B51+IF($R$17="Distrato",$I$38-1,0)),IF(AND($L$37=0,$P$34=0),"",$L$37-1),IF($R$17="Distrato",$E51,0))),0,YEARFRAC(MAX($P$34*($B51+IF($R$17="Distrato",$I$38-1,0)),IF(AND($L$37=0,$P$34=0),"",$L$37-1),IF($R$17="Distrato",$E51,0)),MIN(AQ$38,$D$19),$P$20))-SUM($P51:AP51)</f>
        <v>#VALUE!</v>
      </c>
      <c r="AR51" s="446" t="e">
        <f>IF(OR($B51="",MIN(AR$38,$D$19)&lt;MAX($P$34*($B51+IF($R$17="Distrato",$I$38-1,0)),IF(AND($L$37=0,$P$34=0),"",$L$37-1),IF($R$17="Distrato",$E51,0))),0,YEARFRAC(MAX($P$34*($B51+IF($R$17="Distrato",$I$38-1,0)),IF(AND($L$37=0,$P$34=0),"",$L$37-1),IF($R$17="Distrato",$E51,0)),MIN(AR$38,$D$19),$P$20))-SUM($P51:AQ51)</f>
        <v>#VALUE!</v>
      </c>
      <c r="AS51" s="446" t="e">
        <f>IF(OR($B51="",MIN(AS$38,$D$19)&lt;MAX($P$34*($B51+IF($R$17="Distrato",$I$38-1,0)),IF(AND($L$37=0,$P$34=0),"",$L$37-1),IF($R$17="Distrato",$E51,0))),0,YEARFRAC(MAX($P$34*($B51+IF($R$17="Distrato",$I$38-1,0)),IF(AND($L$37=0,$P$34=0),"",$L$37-1),IF($R$17="Distrato",$E51,0)),MIN(AS$38,$D$19),$P$20))-SUM($P51:AR51)</f>
        <v>#VALUE!</v>
      </c>
      <c r="AT51" s="446" t="e">
        <f>IF(OR($B51="",MIN(AT$38,$D$19)&lt;MAX($P$34*($B51+IF($R$17="Distrato",$I$38-1,0)),IF(AND($L$37=0,$P$34=0),"",$L$37-1),IF($R$17="Distrato",$E51,0))),0,YEARFRAC(MAX($P$34*($B51+IF($R$17="Distrato",$I$38-1,0)),IF(AND($L$37=0,$P$34=0),"",$L$37-1),IF($R$17="Distrato",$E51,0)),MIN(AT$38,$D$19),$P$20))-SUM($P51:AS51)</f>
        <v>#VALUE!</v>
      </c>
      <c r="AU51" s="446" t="e">
        <f>IF(OR($B51="",MIN(AU$38,$D$19)&lt;MAX($P$34*($B51+IF($R$17="Distrato",$I$38-1,0)),IF(AND($L$37=0,$P$34=0),"",$L$37-1),IF($R$17="Distrato",$E51,0))),0,YEARFRAC(MAX($P$34*($B51+IF($R$17="Distrato",$I$38-1,0)),IF(AND($L$37=0,$P$34=0),"",$L$37-1),IF($R$17="Distrato",$E51,0)),MIN(AU$38,$D$19),$P$20))-SUM($P51:AT51)</f>
        <v>#VALUE!</v>
      </c>
      <c r="AV51" s="446" t="e">
        <f>IF(OR($B51="",MIN(AV$38,$D$19)&lt;MAX($P$34*($B51+IF($R$17="Distrato",$I$38-1,0)),IF(AND($L$37=0,$P$34=0),"",$L$37-1),IF($R$17="Distrato",$E51,0))),0,YEARFRAC(MAX($P$34*($B51+IF($R$17="Distrato",$I$38-1,0)),IF(AND($L$37=0,$P$34=0),"",$L$37-1),IF($R$17="Distrato",$E51,0)),MIN(AV$38,$D$19),$P$20))-SUM($P51:AU51)</f>
        <v>#VALUE!</v>
      </c>
      <c r="AW51" s="446" t="e">
        <f>IF(OR($B51="",MIN(AW$38,$D$19)&lt;MAX($P$34*($B51+IF($R$17="Distrato",$I$38-1,0)),IF(AND($L$37=0,$P$34=0),"",$L$37-1),IF($R$17="Distrato",$E51,0))),0,YEARFRAC(MAX($P$34*($B51+IF($R$17="Distrato",$I$38-1,0)),IF(AND($L$37=0,$P$34=0),"",$L$37-1),IF($R$17="Distrato",$E51,0)),MIN(AW$38,$D$19),$P$20))-SUM($P51:AV51)</f>
        <v>#VALUE!</v>
      </c>
      <c r="AX51" s="446" t="e">
        <f>IF(OR($B51="",MIN(AX$38,$D$19)&lt;MAX($P$34*($B51+IF($R$17="Distrato",$I$38-1,0)),IF(AND($L$37=0,$P$34=0),"",$L$37-1),IF($R$17="Distrato",$E51,0))),0,YEARFRAC(MAX($P$34*($B51+IF($R$17="Distrato",$I$38-1,0)),IF(AND($L$37=0,$P$34=0),"",$L$37-1),IF($R$17="Distrato",$E51,0)),MIN(AX$38,$D$19),$P$20))-SUM($P51:AW51)</f>
        <v>#VALUE!</v>
      </c>
      <c r="AY51" s="446" t="e">
        <f>IF(OR($B51="",MIN(AY$38,$D$19)&lt;MAX($P$34*($B51+IF($R$17="Distrato",$I$38-1,0)),IF(AND($L$37=0,$P$34=0),"",$L$37-1),IF($R$17="Distrato",$E51,0))),0,YEARFRAC(MAX($P$34*($B51+IF($R$17="Distrato",$I$38-1,0)),IF(AND($L$37=0,$P$34=0),"",$L$37-1),IF($R$17="Distrato",$E51,0)),MIN(AY$38,$D$19),$P$20))-SUM($P51:AX51)</f>
        <v>#VALUE!</v>
      </c>
      <c r="AZ51" s="446" t="e">
        <f>IF(OR($B51="",MIN(AZ$38,$D$19)&lt;MAX($P$34*($B51+IF($R$17="Distrato",$I$38-1,0)),IF(AND($L$37=0,$P$34=0),"",$L$37-1),IF($R$17="Distrato",$E51,0))),0,YEARFRAC(MAX($P$34*($B51+IF($R$17="Distrato",$I$38-1,0)),IF(AND($L$37=0,$P$34=0),"",$L$37-1),IF($R$17="Distrato",$E51,0)),MIN(AZ$38,$D$19),$P$20))-SUM($P51:AY51)</f>
        <v>#VALUE!</v>
      </c>
      <c r="BA51" s="446" t="e">
        <f>IF(OR($B51="",MIN(BA$38,$D$19)&lt;MAX($P$34*($B51+IF($R$17="Distrato",$I$38-1,0)),IF(AND($L$37=0,$P$34=0),"",$L$37-1),IF($R$17="Distrato",$E51,0))),0,YEARFRAC(MAX($P$34*($B51+IF($R$17="Distrato",$I$38-1,0)),IF(AND($L$37=0,$P$34=0),"",$L$37-1),IF($R$17="Distrato",$E51,0)),MIN(BA$38,$D$19),$P$20))-SUM($P51:AZ51)</f>
        <v>#VALUE!</v>
      </c>
      <c r="BB51" s="447"/>
      <c r="BF51" s="446">
        <f t="shared" si="10"/>
        <v>0</v>
      </c>
      <c r="BG51" s="446">
        <f>IF($E51=0,0,IF(MIN(BG$38,$E51)&lt;MAX($P$34*($B51+$I$38-1),IF(AND($L$37=0,$P$34=0),"",$L$37-1)),0,YEARFRAC(MAX($P$34*($B51+$I$38-1),IF(AND($L$37=0,$P$34=0),"",$L$37-1)),MIN(BG$38,$E51),$P$20))-SUM($BF51:BF51))</f>
        <v>0</v>
      </c>
      <c r="BH51" s="446">
        <f>IF($E51=0,0,IF(MIN(BH$38,$E51)&lt;MAX($P$34*($B51+$I$38-1),IF(AND($L$37=0,$P$34=0),"",$L$37-1)),0,YEARFRAC(MAX($P$34*($B51+$I$38-1),IF(AND($L$37=0,$P$34=0),"",$L$37-1)),MIN(BH$38,$E51),$P$20))-SUM($BF51:BG51))</f>
        <v>0</v>
      </c>
      <c r="BI51" s="446">
        <f>IF($E51=0,0,IF(MIN(BI$38,$E51)&lt;MAX($P$34*($B51+$I$38-1),IF(AND($L$37=0,$P$34=0),"",$L$37-1)),0,YEARFRAC(MAX($P$34*($B51+$I$38-1),IF(AND($L$37=0,$P$34=0),"",$L$37-1)),MIN(BI$38,$E51),$P$20))-SUM($BF51:BH51))</f>
        <v>0</v>
      </c>
      <c r="BJ51" s="446">
        <f>IF($E51=0,0,IF(MIN(BJ$38,$E51)&lt;MAX($P$34*($B51+$I$38-1),IF(AND($L$37=0,$P$34=0),"",$L$37-1)),0,YEARFRAC(MAX($P$34*($B51+$I$38-1),IF(AND($L$37=0,$P$34=0),"",$L$37-1)),MIN(BJ$38,$E51),$P$20))-SUM($BF51:BI51))</f>
        <v>0</v>
      </c>
      <c r="BK51" s="446">
        <f>IF($E51=0,0,IF(MIN(BK$38,$E51)&lt;MAX($P$34*($B51+$I$38-1),IF(AND($L$37=0,$P$34=0),"",$L$37-1)),0,YEARFRAC(MAX($P$34*($B51+$I$38-1),IF(AND($L$37=0,$P$34=0),"",$L$37-1)),MIN(BK$38,$E51),$P$20))-SUM($BF51:BJ51))</f>
        <v>0</v>
      </c>
      <c r="BL51" s="446">
        <f>IF($E51=0,0,IF(MIN(BL$38,$E51)&lt;MAX($P$34*($B51+$I$38-1),IF(AND($L$37=0,$P$34=0),"",$L$37-1)),0,YEARFRAC(MAX($P$34*($B51+$I$38-1),IF(AND($L$37=0,$P$34=0),"",$L$37-1)),MIN(BL$38,$E51),$P$20))-SUM($BF51:BK51))</f>
        <v>0</v>
      </c>
      <c r="BM51" s="446">
        <f>IF($E51=0,0,IF(MIN(BM$38,$E51)&lt;MAX($P$34*($B51+$I$38-1),IF(AND($L$37=0,$P$34=0),"",$L$37-1)),0,YEARFRAC(MAX($P$34*($B51+$I$38-1),IF(AND($L$37=0,$P$34=0),"",$L$37-1)),MIN(BM$38,$E51),$P$20))-SUM($BF51:BL51))</f>
        <v>0</v>
      </c>
      <c r="BN51" s="446">
        <f>IF($E51=0,0,IF(MIN(BN$38,$E51)&lt;MAX($P$34*($B51+$I$38-1),IF(AND($L$37=0,$P$34=0),"",$L$37-1)),0,YEARFRAC(MAX($P$34*($B51+$I$38-1),IF(AND($L$37=0,$P$34=0),"",$L$37-1)),MIN(BN$38,$E51),$P$20))-SUM($BF51:BM51))</f>
        <v>0</v>
      </c>
      <c r="BO51" s="446">
        <f>IF($E51=0,0,IF(MIN(BO$38,$E51)&lt;MAX($P$34*($B51+$I$38-1),IF(AND($L$37=0,$P$34=0),"",$L$37-1)),0,YEARFRAC(MAX($P$34*($B51+$I$38-1),IF(AND($L$37=0,$P$34=0),"",$L$37-1)),MIN(BO$38,$E51),$P$20))-SUM($BF51:BN51))</f>
        <v>0</v>
      </c>
      <c r="BP51" s="446">
        <f>IF($E51=0,0,IF(MIN(BP$38,$E51)&lt;MAX($P$34*($B51+$I$38-1),IF(AND($L$37=0,$P$34=0),"",$L$37-1)),0,YEARFRAC(MAX($P$34*($B51+$I$38-1),IF(AND($L$37=0,$P$34=0),"",$L$37-1)),MIN(BP$38,$E51),$P$20))-SUM($BF51:BO51))</f>
        <v>0</v>
      </c>
      <c r="BQ51" s="446">
        <f>IF($E51=0,0,IF(MIN(BQ$38,$E51)&lt;MAX($P$34*($B51+$I$38-1),IF(AND($L$37=0,$P$34=0),"",$L$37-1)),0,YEARFRAC(MAX($P$34*($B51+$I$38-1),IF(AND($L$37=0,$P$34=0),"",$L$37-1)),MIN(BQ$38,$E51),$P$20))-SUM($BF51:BP51))</f>
        <v>0</v>
      </c>
      <c r="BR51" s="446">
        <f>IF($E51=0,0,IF(MIN(BR$38,$E51)&lt;MAX($P$34*($B51+$I$38-1),IF(AND($L$37=0,$P$34=0),"",$L$37-1)),0,YEARFRAC(MAX($P$34*($B51+$I$38-1),IF(AND($L$37=0,$P$34=0),"",$L$37-1)),MIN(BR$38,$E51),$P$20))-SUM($BF51:BQ51))</f>
        <v>0</v>
      </c>
      <c r="BS51" s="446">
        <f>IF($E51=0,0,IF(MIN(BS$38,$E51)&lt;MAX($P$34*($B51+$I$38-1),IF(AND($L$37=0,$P$34=0),"",$L$37-1)),0,YEARFRAC(MAX($P$34*($B51+$I$38-1),IF(AND($L$37=0,$P$34=0),"",$L$37-1)),MIN(BS$38,$E51),$P$20))-SUM($BF51:BR51))</f>
        <v>0</v>
      </c>
      <c r="BT51" s="446">
        <f>IF($E51=0,0,IF(MIN(BT$38,$E51)&lt;MAX($P$34*($B51+$I$38-1),IF(AND($L$37=0,$P$34=0),"",$L$37-1)),0,YEARFRAC(MAX($P$34*($B51+$I$38-1),IF(AND($L$37=0,$P$34=0),"",$L$37-1)),MIN(BT$38,$E51),$P$20))-SUM($BF51:BS51))</f>
        <v>0</v>
      </c>
      <c r="BU51" s="446">
        <f>IF($E51=0,0,IF(MIN(BU$38,$E51)&lt;MAX($P$34*($B51+$I$38-1),IF(AND($L$37=0,$P$34=0),"",$L$37-1)),0,YEARFRAC(MAX($P$34*($B51+$I$38-1),IF(AND($L$37=0,$P$34=0),"",$L$37-1)),MIN(BU$38,$E51),$P$20))-SUM($BF51:BT51))</f>
        <v>0</v>
      </c>
      <c r="BV51" s="446">
        <f>IF($E51=0,0,IF(MIN(BV$38,$E51)&lt;MAX($P$34*($B51+$I$38-1),IF(AND($L$37=0,$P$34=0),"",$L$37-1)),0,YEARFRAC(MAX($P$34*($B51+$I$38-1),IF(AND($L$37=0,$P$34=0),"",$L$37-1)),MIN(BV$38,$E51),$P$20))-SUM($BF51:BU51))</f>
        <v>0</v>
      </c>
      <c r="BW51" s="446">
        <f>IF($E51=0,0,IF(MIN(BW$38,$E51)&lt;MAX($P$34*($B51+$I$38-1),IF(AND($L$37=0,$P$34=0),"",$L$37-1)),0,YEARFRAC(MAX($P$34*($B51+$I$38-1),IF(AND($L$37=0,$P$34=0),"",$L$37-1)),MIN(BW$38,$E51),$P$20))-SUM($BF51:BV51))</f>
        <v>0</v>
      </c>
      <c r="BX51" s="446">
        <f>IF($E51=0,0,IF(MIN(BX$38,$E51)&lt;MAX($P$34*($B51+$I$38-1),IF(AND($L$37=0,$P$34=0),"",$L$37-1)),0,YEARFRAC(MAX($P$34*($B51+$I$38-1),IF(AND($L$37=0,$P$34=0),"",$L$37-1)),MIN(BX$38,$E51),$P$20))-SUM($BF51:BW51))</f>
        <v>0</v>
      </c>
      <c r="BY51" s="446">
        <f>IF($E51=0,0,IF(MIN(BY$38,$E51)&lt;MAX($P$34*($B51+$I$38-1),IF(AND($L$37=0,$P$34=0),"",$L$37-1)),0,YEARFRAC(MAX($P$34*($B51+$I$38-1),IF(AND($L$37=0,$P$34=0),"",$L$37-1)),MIN(BY$38,$E51),$P$20))-SUM($BF51:BX51))</f>
        <v>0</v>
      </c>
      <c r="BZ51" s="446">
        <f>IF($E51=0,0,IF(MIN(BZ$38,$E51)&lt;MAX($P$34*($B51+$I$38-1),IF(AND($L$37=0,$P$34=0),"",$L$37-1)),0,YEARFRAC(MAX($P$34*($B51+$I$38-1),IF(AND($L$37=0,$P$34=0),"",$L$37-1)),MIN(BZ$38,$E51),$P$20))-SUM($BF51:BY51))</f>
        <v>0</v>
      </c>
      <c r="CA51" s="446">
        <f>IF($E51=0,0,IF(MIN(CA$38,$E51)&lt;MAX($P$34*($B51+$I$38-1),IF(AND($L$37=0,$P$34=0),"",$L$37-1)),0,YEARFRAC(MAX($P$34*($B51+$I$38-1),IF(AND($L$37=0,$P$34=0),"",$L$37-1)),MIN(CA$38,$E51),$P$20))-SUM($BF51:BZ51))</f>
        <v>0</v>
      </c>
      <c r="CB51" s="446">
        <f>IF($E51=0,0,IF(MIN(CB$38,$E51)&lt;MAX($P$34*($B51+$I$38-1),IF(AND($L$37=0,$P$34=0),"",$L$37-1)),0,YEARFRAC(MAX($P$34*($B51+$I$38-1),IF(AND($L$37=0,$P$34=0),"",$L$37-1)),MIN(CB$38,$E51),$P$20))-SUM($BF51:CA51))</f>
        <v>0</v>
      </c>
      <c r="CC51" s="446">
        <f>IF($E51=0,0,IF(MIN(CC$38,$E51)&lt;MAX($P$34*($B51+$I$38-1),IF(AND($L$37=0,$P$34=0),"",$L$37-1)),0,YEARFRAC(MAX($P$34*($B51+$I$38-1),IF(AND($L$37=0,$P$34=0),"",$L$37-1)),MIN(CC$38,$E51),$P$20))-SUM($BF51:CB51))</f>
        <v>0</v>
      </c>
      <c r="CD51" s="446">
        <f>IF($E51=0,0,IF(MIN(CD$38,$E51)&lt;MAX($P$34*($B51+$I$38-1),IF(AND($L$37=0,$P$34=0),"",$L$37-1)),0,YEARFRAC(MAX($P$34*($B51+$I$38-1),IF(AND($L$37=0,$P$34=0),"",$L$37-1)),MIN(CD$38,$E51),$P$20))-SUM($BF51:CC51))</f>
        <v>0</v>
      </c>
      <c r="CE51" s="446">
        <f>IF($E51=0,0,IF(MIN(CE$38,$E51)&lt;MAX($P$34*($B51+$I$38-1),IF(AND($L$37=0,$P$34=0),"",$L$37-1)),0,YEARFRAC(MAX($P$34*($B51+$I$38-1),IF(AND($L$37=0,$P$34=0),"",$L$37-1)),MIN(CE$38,$E51),$P$20))-SUM($BF51:CD51))</f>
        <v>0</v>
      </c>
      <c r="CF51" s="446">
        <f>IF($E51=0,0,IF(MIN(CF$38,$E51)&lt;MAX($P$34*($B51+$I$38-1),IF(AND($L$37=0,$P$34=0),"",$L$37-1)),0,YEARFRAC(MAX($P$34*($B51+$I$38-1),IF(AND($L$37=0,$P$34=0),"",$L$37-1)),MIN(CF$38,$E51),$P$20))-SUM($BF51:CE51))</f>
        <v>0</v>
      </c>
      <c r="CG51" s="446">
        <f>IF($E51=0,0,IF(MIN(CG$38,$E51)&lt;MAX($P$34*($B51+$I$38-1),IF(AND($L$37=0,$P$34=0),"",$L$37-1)),0,YEARFRAC(MAX($P$34*($B51+$I$38-1),IF(AND($L$37=0,$P$34=0),"",$L$37-1)),MIN(CG$38,$E51),$P$20))-SUM($BF51:CF51))</f>
        <v>0</v>
      </c>
      <c r="CH51" s="446">
        <f>IF($E51=0,0,IF(MIN(CH$38,$E51)&lt;MAX($P$34*($B51+$I$38-1),IF(AND($L$37=0,$P$34=0),"",$L$37-1)),0,YEARFRAC(MAX($P$34*($B51+$I$38-1),IF(AND($L$37=0,$P$34=0),"",$L$37-1)),MIN(CH$38,$E51),$P$20))-SUM($BF51:CG51))</f>
        <v>0</v>
      </c>
      <c r="CI51" s="446">
        <f>IF($E51=0,0,IF(MIN(CI$38,$E51)&lt;MAX($P$34*($B51+$I$38-1),IF(AND($L$37=0,$P$34=0),"",$L$37-1)),0,YEARFRAC(MAX($P$34*($B51+$I$38-1),IF(AND($L$37=0,$P$34=0),"",$L$37-1)),MIN(CI$38,$E51),$P$20))-SUM($BF51:CH51))</f>
        <v>0</v>
      </c>
      <c r="CJ51" s="446">
        <f>IF($E51=0,0,IF(MIN(CJ$38,$E51)&lt;MAX($P$34*($B51+$I$38-1),IF(AND($L$37=0,$P$34=0),"",$L$37-1)),0,YEARFRAC(MAX($P$34*($B51+$I$38-1),IF(AND($L$37=0,$P$34=0),"",$L$37-1)),MIN(CJ$38,$E51),$P$20))-SUM($BF51:CI51))</f>
        <v>0</v>
      </c>
      <c r="CK51" s="446">
        <f>IF($E51=0,0,IF(MIN(CK$38,$E51)&lt;MAX($P$34*($B51+$I$38-1),IF(AND($L$37=0,$P$34=0),"",$L$37-1)),0,YEARFRAC(MAX($P$34*($B51+$I$38-1),IF(AND($L$37=0,$P$34=0),"",$L$37-1)),MIN(CK$38,$E51),$P$20))-SUM($BF51:CJ51))</f>
        <v>0</v>
      </c>
      <c r="CL51" s="446">
        <f>IF($E51=0,0,IF(MIN(CL$38,$E51)&lt;MAX($P$34*($B51+$I$38-1),IF(AND($L$37=0,$P$34=0),"",$L$37-1)),0,YEARFRAC(MAX($P$34*($B51+$I$38-1),IF(AND($L$37=0,$P$34=0),"",$L$37-1)),MIN(CL$38,$E51),$P$20))-SUM($BF51:CK51))</f>
        <v>0</v>
      </c>
      <c r="CM51" s="446">
        <f>IF($E51=0,0,IF(MIN(CM$38,$E51)&lt;MAX($P$34*($B51+$I$38-1),IF(AND($L$37=0,$P$34=0),"",$L$37-1)),0,YEARFRAC(MAX($P$34*($B51+$I$38-1),IF(AND($L$37=0,$P$34=0),"",$L$37-1)),MIN(CM$38,$E51),$P$20))-SUM($BF51:CL51))</f>
        <v>0</v>
      </c>
      <c r="CN51" s="446">
        <f>IF($E51=0,0,IF(MIN(CN$38,$E51)&lt;MAX($P$34*($B51+$I$38-1),IF(AND($L$37=0,$P$34=0),"",$L$37-1)),0,YEARFRAC(MAX($P$34*($B51+$I$38-1),IF(AND($L$37=0,$P$34=0),"",$L$37-1)),MIN(CN$38,$E51),$P$20))-SUM($BF51:CM51))</f>
        <v>0</v>
      </c>
      <c r="CO51" s="446">
        <f>IF($E51=0,0,IF(MIN(CO$38,$E51)&lt;MAX($P$34*($B51+$I$38-1),IF(AND($L$37=0,$P$34=0),"",$L$37-1)),0,YEARFRAC(MAX($P$34*($B51+$I$38-1),IF(AND($L$37=0,$P$34=0),"",$L$37-1)),MIN(CO$38,$E51),$P$20))-SUM($BF51:CN51))</f>
        <v>0</v>
      </c>
      <c r="CP51" s="446">
        <f>IF($E51=0,0,IF(MIN(CP$38,$E51)&lt;MAX($P$34*($B51+$I$38-1),IF(AND($L$37=0,$P$34=0),"",$L$37-1)),0,YEARFRAC(MAX($P$34*($B51+$I$38-1),IF(AND($L$37=0,$P$34=0),"",$L$37-1)),MIN(CP$38,$E51),$P$20))-SUM($BF51:CO51))</f>
        <v>0</v>
      </c>
      <c r="CQ51" s="446">
        <f>IF($E51=0,0,IF(MIN(CQ$38,$E51)&lt;MAX($P$34*($B51+$I$38-1),IF(AND($L$37=0,$P$34=0),"",$L$37-1)),0,YEARFRAC(MAX($P$34*($B51+$I$38-1),IF(AND($L$37=0,$P$34=0),"",$L$37-1)),MIN(CQ$38,$E51),$P$20))-SUM($BF51:CP51))</f>
        <v>0</v>
      </c>
    </row>
    <row r="52" spans="1:95" s="446" customFormat="1" ht="11.25" hidden="1" customHeight="1" x14ac:dyDescent="0.2">
      <c r="A52" s="152"/>
      <c r="B52" s="153" t="str">
        <f t="shared" si="15"/>
        <v/>
      </c>
      <c r="C52" s="29" t="str">
        <f>IF(B52="","",IF($L$35="SELIC - TRIBUTOS",VLOOKUP(DATE(YEAR($D$19),MONTH($D$19)-1,1),ÍNDICES!$A:$DE,HLOOKUP($BL$25,ÍNDICES!$B$3:$T$4,2)+11)-VLOOKUP(B52,ÍNDICES!$A:$DE,HLOOKUP($BL$25,ÍNDICES!$B$3:$T$4,2)+11)+1%,IF(C$38=$W$26,$J$35,IF(ISERROR(IF(B52&gt;$D$19,1,VLOOKUP(DATE(YEAR(B52),MONTH(B52)+IF($C$35=$S$23,1,0),1),ÍNDICES!$A:$DE,$Z$35+1))),"",IF(B52&gt;$D$19,1,VLOOKUP(DATE(YEAR(B52),MONTH(B52)+IF($C$35=$S$23,1,0),1),ÍNDICES!$A:$DE,$Z$35+1))))))</f>
        <v/>
      </c>
      <c r="D52" s="154" t="str">
        <f>IF(ISERROR(IF(OR($D$38=$Y$27,$B52=""),"",VLOOKUP(B52,ÍNDICES!A:DE,AF$35+1))),"",IF(OR($D$38=$Y$27,$B52=""),"",VLOOKUP(B52,ÍNDICES!A:DE,AF$35+1)))</f>
        <v/>
      </c>
      <c r="E52" s="153"/>
      <c r="F52" s="29" t="str">
        <f>IF(E52="","",IF($L$35="SELIC - TRIBUTOS",VLOOKUP(DATE(YEAR($D$19),MONTH($D$19)-1,1),ÍNDICES!$A:$DE,HLOOKUP($BL$25,ÍNDICES!$B$3:$T$4,2)+11)-VLOOKUP(E52,ÍNDICES!$A:$DE,HLOOKUP($BL$25,ÍNDICES!$B$3:$T$4,2)+11)+1%,IF(F$38=$W$26,$J$35,IF(ISERROR(IF(E52&gt;$D$19,1,VLOOKUP(DATE(YEAR(E52),MONTH(E52)+IF($C$35=$S$23,1,0),1),ÍNDICES!$A:$DE,$Z$35+1))),"",IF(E52&gt;$D$19,1,VLOOKUP(DATE(YEAR(E52),MONTH(E52)+IF($C$35=$S$23,1,0),1),ÍNDICES!$A:$DE,$Z$35+1))))))</f>
        <v/>
      </c>
      <c r="G52" s="155"/>
      <c r="H52" s="156" t="str">
        <f t="shared" si="11"/>
        <v/>
      </c>
      <c r="I52" s="29" t="str">
        <f t="shared" si="5"/>
        <v/>
      </c>
      <c r="J52" s="5">
        <f t="shared" si="6"/>
        <v>0</v>
      </c>
      <c r="K52" s="20">
        <f t="shared" ca="1" si="7"/>
        <v>0</v>
      </c>
      <c r="L52" s="5">
        <f t="shared" ca="1" si="8"/>
        <v>0</v>
      </c>
      <c r="M52" s="64">
        <f t="shared" si="12"/>
        <v>0</v>
      </c>
      <c r="N52" s="61">
        <f t="shared" ca="1" si="13"/>
        <v>0</v>
      </c>
      <c r="O52" s="5">
        <f t="shared" ca="1" si="14"/>
        <v>0</v>
      </c>
      <c r="P52" s="446" t="e">
        <f t="shared" si="9"/>
        <v>#VALUE!</v>
      </c>
      <c r="Q52" s="446" t="e">
        <f>IF(OR($B52="",MIN(Q$38,$D$19)&lt;MAX($P$34*($B52+IF($R$17="Distrato",$I$38-1,0)),IF(AND($L$37=0,$P$34=0),"",$L$37-1),IF($R$17="Distrato",$E52,0))),0,YEARFRAC(MAX($P$34*($B52+IF($R$17="Distrato",$I$38-1,0)),IF(AND($L$37=0,$P$34=0),"",$L$37-1),IF($R$17="Distrato",$E52,0)),MIN(Q$38,$D$19),$P$20))-SUM($P52:P52)</f>
        <v>#VALUE!</v>
      </c>
      <c r="R52" s="446" t="e">
        <f>IF(OR($B52="",MIN(R$38,$D$19)&lt;MAX($P$34*($B52+IF($R$17="Distrato",$I$38-1,0)),IF(AND($L$37=0,$P$34=0),"",$L$37-1),IF($R$17="Distrato",$E52,0))),0,YEARFRAC(MAX($P$34*($B52+IF($R$17="Distrato",$I$38-1,0)),IF(AND($L$37=0,$P$34=0),"",$L$37-1),IF($R$17="Distrato",$E52,0)),MIN(R$38,$D$19),$P$20))-SUM($P52:Q52)</f>
        <v>#VALUE!</v>
      </c>
      <c r="S52" s="446" t="e">
        <f>IF(OR($B52="",MIN(S$38,$D$19)&lt;MAX($P$34*($B52+IF($R$17="Distrato",$I$38-1,0)),IF(AND($L$37=0,$P$34=0),"",$L$37-1),IF($R$17="Distrato",$E52,0))),0,YEARFRAC(MAX($P$34*($B52+IF($R$17="Distrato",$I$38-1,0)),IF(AND($L$37=0,$P$34=0),"",$L$37-1),IF($R$17="Distrato",$E52,0)),MIN(S$38,$D$19),$P$20))-SUM($P52:R52)</f>
        <v>#VALUE!</v>
      </c>
      <c r="T52" s="446" t="e">
        <f>IF(OR($B52="",MIN(T$38,$D$19)&lt;MAX($P$34*($B52+IF($R$17="Distrato",$I$38-1,0)),IF(AND($L$37=0,$P$34=0),"",$L$37-1),IF($R$17="Distrato",$E52,0))),0,YEARFRAC(MAX($P$34*($B52+IF($R$17="Distrato",$I$38-1,0)),IF(AND($L$37=0,$P$34=0),"",$L$37-1),IF($R$17="Distrato",$E52,0)),MIN(T$38,$D$19),$P$20))-SUM($P52:S52)</f>
        <v>#VALUE!</v>
      </c>
      <c r="U52" s="446" t="e">
        <f>IF(OR($B52="",MIN(U$38,$D$19)&lt;MAX($P$34*($B52+IF($R$17="Distrato",$I$38-1,0)),IF(AND($L$37=0,$P$34=0),"",$L$37-1),IF($R$17="Distrato",$E52,0))),0,YEARFRAC(MAX($P$34*($B52+IF($R$17="Distrato",$I$38-1,0)),IF(AND($L$37=0,$P$34=0),"",$L$37-1),IF($R$17="Distrato",$E52,0)),MIN(U$38,$D$19),$P$20))-SUM($P52:T52)</f>
        <v>#VALUE!</v>
      </c>
      <c r="V52" s="446" t="e">
        <f>IF(OR($B52="",MIN(V$38,$D$19)&lt;MAX($P$34*($B52+IF($R$17="Distrato",$I$38-1,0)),IF(AND($L$37=0,$P$34=0),"",$L$37-1),IF($R$17="Distrato",$E52,0))),0,YEARFRAC(MAX($P$34*($B52+IF($R$17="Distrato",$I$38-1,0)),IF(AND($L$37=0,$P$34=0),"",$L$37-1),IF($R$17="Distrato",$E52,0)),MIN(V$38,$D$19),$P$20))-SUM($P52:U52)</f>
        <v>#VALUE!</v>
      </c>
      <c r="W52" s="446" t="e">
        <f>IF(OR($B52="",MIN(W$38,$D$19)&lt;MAX($P$34*($B52+IF($R$17="Distrato",$I$38-1,0)),IF(AND($L$37=0,$P$34=0),"",$L$37-1),IF($R$17="Distrato",$E52,0))),0,YEARFRAC(MAX($P$34*($B52+IF($R$17="Distrato",$I$38-1,0)),IF(AND($L$37=0,$P$34=0),"",$L$37-1),IF($R$17="Distrato",$E52,0)),MIN(W$38,$D$19),$P$20))-SUM($P52:V52)</f>
        <v>#VALUE!</v>
      </c>
      <c r="X52" s="446" t="e">
        <f>IF(OR($B52="",MIN(X$38,$D$19)&lt;MAX($P$34*($B52+IF($R$17="Distrato",$I$38-1,0)),IF(AND($L$37=0,$P$34=0),"",$L$37-1),IF($R$17="Distrato",$E52,0))),0,YEARFRAC(MAX($P$34*($B52+IF($R$17="Distrato",$I$38-1,0)),IF(AND($L$37=0,$P$34=0),"",$L$37-1),IF($R$17="Distrato",$E52,0)),MIN(X$38,$D$19),$P$20))-SUM($P52:W52)</f>
        <v>#VALUE!</v>
      </c>
      <c r="Y52" s="446" t="e">
        <f>IF(OR($B52="",MIN(Y$38,$D$19)&lt;MAX($P$34*($B52+IF($R$17="Distrato",$I$38-1,0)),IF(AND($L$37=0,$P$34=0),"",$L$37-1),IF($R$17="Distrato",$E52,0))),0,YEARFRAC(MAX($P$34*($B52+IF($R$17="Distrato",$I$38-1,0)),IF(AND($L$37=0,$P$34=0),"",$L$37-1),IF($R$17="Distrato",$E52,0)),MIN(Y$38,$D$19),$P$20))-SUM($P52:X52)</f>
        <v>#VALUE!</v>
      </c>
      <c r="Z52" s="446" t="e">
        <f>IF(OR($B52="",MIN(Z$38,$D$19)&lt;MAX($P$34*($B52+IF($R$17="Distrato",$I$38-1,0)),IF(AND($L$37=0,$P$34=0),"",$L$37-1),IF($R$17="Distrato",$E52,0))),0,YEARFRAC(MAX($P$34*($B52+IF($R$17="Distrato",$I$38-1,0)),IF(AND($L$37=0,$P$34=0),"",$L$37-1),IF($R$17="Distrato",$E52,0)),MIN(Z$38,$D$19),$P$20))-SUM($P52:Y52)</f>
        <v>#VALUE!</v>
      </c>
      <c r="AA52" s="446" t="e">
        <f>IF(OR($B52="",MIN(AA$38,$D$19)&lt;MAX($P$34*($B52+IF($R$17="Distrato",$I$38-1,0)),IF(AND($L$37=0,$P$34=0),"",$L$37-1),IF($R$17="Distrato",$E52,0))),0,YEARFRAC(MAX($P$34*($B52+IF($R$17="Distrato",$I$38-1,0)),IF(AND($L$37=0,$P$34=0),"",$L$37-1),IF($R$17="Distrato",$E52,0)),MIN(AA$38,$D$19),$P$20))-SUM($P52:Z52)</f>
        <v>#VALUE!</v>
      </c>
      <c r="AB52" s="446" t="e">
        <f>IF(OR($B52="",MIN(AB$38,$D$19)&lt;MAX($P$34*($B52+IF($R$17="Distrato",$I$38-1,0)),IF(AND($L$37=0,$P$34=0),"",$L$37-1),IF($R$17="Distrato",$E52,0))),0,YEARFRAC(MAX($P$34*($B52+IF($R$17="Distrato",$I$38-1,0)),IF(AND($L$37=0,$P$34=0),"",$L$37-1),IF($R$17="Distrato",$E52,0)),MIN(AB$38,$D$19),$P$20))-SUM($P52:AA52)</f>
        <v>#VALUE!</v>
      </c>
      <c r="AC52" s="446" t="e">
        <f>IF(OR($B52="",MIN(AC$38,$D$19)&lt;MAX($P$34*($B52+IF($R$17="Distrato",$I$38-1,0)),IF(AND($L$37=0,$P$34=0),"",$L$37-1),IF($R$17="Distrato",$E52,0))),0,YEARFRAC(MAX($P$34*($B52+IF($R$17="Distrato",$I$38-1,0)),IF(AND($L$37=0,$P$34=0),"",$L$37-1),IF($R$17="Distrato",$E52,0)),MIN(AC$38,$D$19),$P$20))-SUM($P52:AB52)</f>
        <v>#VALUE!</v>
      </c>
      <c r="AD52" s="446" t="e">
        <f>IF(OR($B52="",MIN(AD$38,$D$19)&lt;MAX($P$34*($B52+IF($R$17="Distrato",$I$38-1,0)),IF(AND($L$37=0,$P$34=0),"",$L$37-1),IF($R$17="Distrato",$E52,0))),0,YEARFRAC(MAX($P$34*($B52+IF($R$17="Distrato",$I$38-1,0)),IF(AND($L$37=0,$P$34=0),"",$L$37-1),IF($R$17="Distrato",$E52,0)),MIN(AD$38,$D$19),$P$20))-SUM($P52:AC52)</f>
        <v>#VALUE!</v>
      </c>
      <c r="AE52" s="446" t="e">
        <f>IF(OR($B52="",MIN(AE$38,$D$19)&lt;MAX($P$34*($B52+IF($R$17="Distrato",$I$38-1,0)),IF(AND($L$37=0,$P$34=0),"",$L$37-1),IF($R$17="Distrato",$E52,0))),0,YEARFRAC(MAX($P$34*($B52+IF($R$17="Distrato",$I$38-1,0)),IF(AND($L$37=0,$P$34=0),"",$L$37-1),IF($R$17="Distrato",$E52,0)),MIN(AE$38,$D$19),$P$20))-SUM($P52:AD52)</f>
        <v>#VALUE!</v>
      </c>
      <c r="AF52" s="446" t="e">
        <f>IF(OR($B52="",MIN(AF$38,$D$19)&lt;MAX($P$34*($B52+IF($R$17="Distrato",$I$38-1,0)),IF(AND($L$37=0,$P$34=0),"",$L$37-1),IF($R$17="Distrato",$E52,0))),0,YEARFRAC(MAX($P$34*($B52+IF($R$17="Distrato",$I$38-1,0)),IF(AND($L$37=0,$P$34=0),"",$L$37-1),IF($R$17="Distrato",$E52,0)),MIN(AF$38,$D$19),$P$20))-SUM($P52:AE52)</f>
        <v>#VALUE!</v>
      </c>
      <c r="AG52" s="446" t="e">
        <f>IF(OR($B52="",MIN(AG$38,$D$19)&lt;MAX($P$34*($B52+IF($R$17="Distrato",$I$38-1,0)),IF(AND($L$37=0,$P$34=0),"",$L$37-1),IF($R$17="Distrato",$E52,0))),0,YEARFRAC(MAX($P$34*($B52+IF($R$17="Distrato",$I$38-1,0)),IF(AND($L$37=0,$P$34=0),"",$L$37-1),IF($R$17="Distrato",$E52,0)),MIN(AG$38,$D$19),$P$20))-SUM($P52:AF52)</f>
        <v>#VALUE!</v>
      </c>
      <c r="AH52" s="446" t="e">
        <f>IF(OR($B52="",MIN(AH$38,$D$19)&lt;MAX($P$34*($B52+IF($R$17="Distrato",$I$38-1,0)),IF(AND($L$37=0,$P$34=0),"",$L$37-1),IF($R$17="Distrato",$E52,0))),0,YEARFRAC(MAX($P$34*($B52+IF($R$17="Distrato",$I$38-1,0)),IF(AND($L$37=0,$P$34=0),"",$L$37-1),IF($R$17="Distrato",$E52,0)),MIN(AH$38,$D$19),$P$20))-SUM($P52:AG52)</f>
        <v>#VALUE!</v>
      </c>
      <c r="AI52" s="446" t="e">
        <f>IF(OR($B52="",MIN(AI$38,$D$19)&lt;MAX($P$34*($B52+IF($R$17="Distrato",$I$38-1,0)),IF(AND($L$37=0,$P$34=0),"",$L$37-1),IF($R$17="Distrato",$E52,0))),0,YEARFRAC(MAX($P$34*($B52+IF($R$17="Distrato",$I$38-1,0)),IF(AND($L$37=0,$P$34=0),"",$L$37-1),IF($R$17="Distrato",$E52,0)),MIN(AI$38,$D$19),$P$20))-SUM($P52:AH52)</f>
        <v>#VALUE!</v>
      </c>
      <c r="AJ52" s="446" t="e">
        <f>IF(OR($B52="",MIN(AJ$38,$D$19)&lt;MAX($P$34*($B52+IF($R$17="Distrato",$I$38-1,0)),IF(AND($L$37=0,$P$34=0),"",$L$37-1),IF($R$17="Distrato",$E52,0))),0,YEARFRAC(MAX($P$34*($B52+IF($R$17="Distrato",$I$38-1,0)),IF(AND($L$37=0,$P$34=0),"",$L$37-1),IF($R$17="Distrato",$E52,0)),MIN(AJ$38,$D$19),$P$20))-SUM($P52:AI52)</f>
        <v>#VALUE!</v>
      </c>
      <c r="AK52" s="446" t="e">
        <f>IF(OR($B52="",MIN(AK$38,$D$19)&lt;MAX($P$34*($B52+IF($R$17="Distrato",$I$38-1,0)),IF(AND($L$37=0,$P$34=0),"",$L$37-1),IF($R$17="Distrato",$E52,0))),0,YEARFRAC(MAX($P$34*($B52+IF($R$17="Distrato",$I$38-1,0)),IF(AND($L$37=0,$P$34=0),"",$L$37-1),IF($R$17="Distrato",$E52,0)),MIN(AK$38,$D$19),$P$20))-SUM($P52:AJ52)</f>
        <v>#VALUE!</v>
      </c>
      <c r="AL52" s="446" t="e">
        <f>IF(OR($B52="",MIN(AL$38,$D$19)&lt;MAX($P$34*($B52+IF($R$17="Distrato",$I$38-1,0)),IF(AND($L$37=0,$P$34=0),"",$L$37-1),IF($R$17="Distrato",$E52,0))),0,YEARFRAC(MAX($P$34*($B52+IF($R$17="Distrato",$I$38-1,0)),IF(AND($L$37=0,$P$34=0),"",$L$37-1),IF($R$17="Distrato",$E52,0)),MIN(AL$38,$D$19),$P$20))-SUM($P52:AK52)</f>
        <v>#VALUE!</v>
      </c>
      <c r="AM52" s="446" t="e">
        <f>IF(OR($B52="",MIN(AM$38,$D$19)&lt;MAX($P$34*($B52+IF($R$17="Distrato",$I$38-1,0)),IF(AND($L$37=0,$P$34=0),"",$L$37-1),IF($R$17="Distrato",$E52,0))),0,YEARFRAC(MAX($P$34*($B52+IF($R$17="Distrato",$I$38-1,0)),IF(AND($L$37=0,$P$34=0),"",$L$37-1),IF($R$17="Distrato",$E52,0)),MIN(AM$38,$D$19),$P$20))-SUM($P52:AL52)</f>
        <v>#VALUE!</v>
      </c>
      <c r="AN52" s="446" t="e">
        <f>IF(OR($B52="",MIN(AN$38,$D$19)&lt;MAX($P$34*($B52+IF($R$17="Distrato",$I$38-1,0)),IF(AND($L$37=0,$P$34=0),"",$L$37-1),IF($R$17="Distrato",$E52,0))),0,YEARFRAC(MAX($P$34*($B52+IF($R$17="Distrato",$I$38-1,0)),IF(AND($L$37=0,$P$34=0),"",$L$37-1),IF($R$17="Distrato",$E52,0)),MIN(AN$38,$D$19),$P$20))-SUM($P52:AM52)</f>
        <v>#VALUE!</v>
      </c>
      <c r="AO52" s="446" t="e">
        <f>IF(OR($B52="",MIN(AO$38,$D$19)&lt;MAX($P$34*($B52+IF($R$17="Distrato",$I$38-1,0)),IF(AND($L$37=0,$P$34=0),"",$L$37-1),IF($R$17="Distrato",$E52,0))),0,YEARFRAC(MAX($P$34*($B52+IF($R$17="Distrato",$I$38-1,0)),IF(AND($L$37=0,$P$34=0),"",$L$37-1),IF($R$17="Distrato",$E52,0)),MIN(AO$38,$D$19),$P$20))-SUM($P52:AN52)</f>
        <v>#VALUE!</v>
      </c>
      <c r="AP52" s="446" t="e">
        <f>IF(OR($B52="",MIN(AP$38,$D$19)&lt;MAX($P$34*($B52+IF($R$17="Distrato",$I$38-1,0)),IF(AND($L$37=0,$P$34=0),"",$L$37-1),IF($R$17="Distrato",$E52,0))),0,YEARFRAC(MAX($P$34*($B52+IF($R$17="Distrato",$I$38-1,0)),IF(AND($L$37=0,$P$34=0),"",$L$37-1),IF($R$17="Distrato",$E52,0)),MIN(AP$38,$D$19),$P$20))-SUM($P52:AO52)</f>
        <v>#VALUE!</v>
      </c>
      <c r="AQ52" s="446" t="e">
        <f>IF(OR($B52="",MIN(AQ$38,$D$19)&lt;MAX($P$34*($B52+IF($R$17="Distrato",$I$38-1,0)),IF(AND($L$37=0,$P$34=0),"",$L$37-1),IF($R$17="Distrato",$E52,0))),0,YEARFRAC(MAX($P$34*($B52+IF($R$17="Distrato",$I$38-1,0)),IF(AND($L$37=0,$P$34=0),"",$L$37-1),IF($R$17="Distrato",$E52,0)),MIN(AQ$38,$D$19),$P$20))-SUM($P52:AP52)</f>
        <v>#VALUE!</v>
      </c>
      <c r="AR52" s="446" t="e">
        <f>IF(OR($B52="",MIN(AR$38,$D$19)&lt;MAX($P$34*($B52+IF($R$17="Distrato",$I$38-1,0)),IF(AND($L$37=0,$P$34=0),"",$L$37-1),IF($R$17="Distrato",$E52,0))),0,YEARFRAC(MAX($P$34*($B52+IF($R$17="Distrato",$I$38-1,0)),IF(AND($L$37=0,$P$34=0),"",$L$37-1),IF($R$17="Distrato",$E52,0)),MIN(AR$38,$D$19),$P$20))-SUM($P52:AQ52)</f>
        <v>#VALUE!</v>
      </c>
      <c r="AS52" s="446" t="e">
        <f>IF(OR($B52="",MIN(AS$38,$D$19)&lt;MAX($P$34*($B52+IF($R$17="Distrato",$I$38-1,0)),IF(AND($L$37=0,$P$34=0),"",$L$37-1),IF($R$17="Distrato",$E52,0))),0,YEARFRAC(MAX($P$34*($B52+IF($R$17="Distrato",$I$38-1,0)),IF(AND($L$37=0,$P$34=0),"",$L$37-1),IF($R$17="Distrato",$E52,0)),MIN(AS$38,$D$19),$P$20))-SUM($P52:AR52)</f>
        <v>#VALUE!</v>
      </c>
      <c r="AT52" s="446" t="e">
        <f>IF(OR($B52="",MIN(AT$38,$D$19)&lt;MAX($P$34*($B52+IF($R$17="Distrato",$I$38-1,0)),IF(AND($L$37=0,$P$34=0),"",$L$37-1),IF($R$17="Distrato",$E52,0))),0,YEARFRAC(MAX($P$34*($B52+IF($R$17="Distrato",$I$38-1,0)),IF(AND($L$37=0,$P$34=0),"",$L$37-1),IF($R$17="Distrato",$E52,0)),MIN(AT$38,$D$19),$P$20))-SUM($P52:AS52)</f>
        <v>#VALUE!</v>
      </c>
      <c r="AU52" s="446" t="e">
        <f>IF(OR($B52="",MIN(AU$38,$D$19)&lt;MAX($P$34*($B52+IF($R$17="Distrato",$I$38-1,0)),IF(AND($L$37=0,$P$34=0),"",$L$37-1),IF($R$17="Distrato",$E52,0))),0,YEARFRAC(MAX($P$34*($B52+IF($R$17="Distrato",$I$38-1,0)),IF(AND($L$37=0,$P$34=0),"",$L$37-1),IF($R$17="Distrato",$E52,0)),MIN(AU$38,$D$19),$P$20))-SUM($P52:AT52)</f>
        <v>#VALUE!</v>
      </c>
      <c r="AV52" s="446" t="e">
        <f>IF(OR($B52="",MIN(AV$38,$D$19)&lt;MAX($P$34*($B52+IF($R$17="Distrato",$I$38-1,0)),IF(AND($L$37=0,$P$34=0),"",$L$37-1),IF($R$17="Distrato",$E52,0))),0,YEARFRAC(MAX($P$34*($B52+IF($R$17="Distrato",$I$38-1,0)),IF(AND($L$37=0,$P$34=0),"",$L$37-1),IF($R$17="Distrato",$E52,0)),MIN(AV$38,$D$19),$P$20))-SUM($P52:AU52)</f>
        <v>#VALUE!</v>
      </c>
      <c r="AW52" s="446" t="e">
        <f>IF(OR($B52="",MIN(AW$38,$D$19)&lt;MAX($P$34*($B52+IF($R$17="Distrato",$I$38-1,0)),IF(AND($L$37=0,$P$34=0),"",$L$37-1),IF($R$17="Distrato",$E52,0))),0,YEARFRAC(MAX($P$34*($B52+IF($R$17="Distrato",$I$38-1,0)),IF(AND($L$37=0,$P$34=0),"",$L$37-1),IF($R$17="Distrato",$E52,0)),MIN(AW$38,$D$19),$P$20))-SUM($P52:AV52)</f>
        <v>#VALUE!</v>
      </c>
      <c r="AX52" s="446" t="e">
        <f>IF(OR($B52="",MIN(AX$38,$D$19)&lt;MAX($P$34*($B52+IF($R$17="Distrato",$I$38-1,0)),IF(AND($L$37=0,$P$34=0),"",$L$37-1),IF($R$17="Distrato",$E52,0))),0,YEARFRAC(MAX($P$34*($B52+IF($R$17="Distrato",$I$38-1,0)),IF(AND($L$37=0,$P$34=0),"",$L$37-1),IF($R$17="Distrato",$E52,0)),MIN(AX$38,$D$19),$P$20))-SUM($P52:AW52)</f>
        <v>#VALUE!</v>
      </c>
      <c r="AY52" s="446" t="e">
        <f>IF(OR($B52="",MIN(AY$38,$D$19)&lt;MAX($P$34*($B52+IF($R$17="Distrato",$I$38-1,0)),IF(AND($L$37=0,$P$34=0),"",$L$37-1),IF($R$17="Distrato",$E52,0))),0,YEARFRAC(MAX($P$34*($B52+IF($R$17="Distrato",$I$38-1,0)),IF(AND($L$37=0,$P$34=0),"",$L$37-1),IF($R$17="Distrato",$E52,0)),MIN(AY$38,$D$19),$P$20))-SUM($P52:AX52)</f>
        <v>#VALUE!</v>
      </c>
      <c r="AZ52" s="446" t="e">
        <f>IF(OR($B52="",MIN(AZ$38,$D$19)&lt;MAX($P$34*($B52+IF($R$17="Distrato",$I$38-1,0)),IF(AND($L$37=0,$P$34=0),"",$L$37-1),IF($R$17="Distrato",$E52,0))),0,YEARFRAC(MAX($P$34*($B52+IF($R$17="Distrato",$I$38-1,0)),IF(AND($L$37=0,$P$34=0),"",$L$37-1),IF($R$17="Distrato",$E52,0)),MIN(AZ$38,$D$19),$P$20))-SUM($P52:AY52)</f>
        <v>#VALUE!</v>
      </c>
      <c r="BA52" s="446" t="e">
        <f>IF(OR($B52="",MIN(BA$38,$D$19)&lt;MAX($P$34*($B52+IF($R$17="Distrato",$I$38-1,0)),IF(AND($L$37=0,$P$34=0),"",$L$37-1),IF($R$17="Distrato",$E52,0))),0,YEARFRAC(MAX($P$34*($B52+IF($R$17="Distrato",$I$38-1,0)),IF(AND($L$37=0,$P$34=0),"",$L$37-1),IF($R$17="Distrato",$E52,0)),MIN(BA$38,$D$19),$P$20))-SUM($P52:AZ52)</f>
        <v>#VALUE!</v>
      </c>
      <c r="BB52" s="447"/>
      <c r="BF52" s="446">
        <f t="shared" si="10"/>
        <v>0</v>
      </c>
      <c r="BG52" s="446">
        <f>IF($E52=0,0,IF(MIN(BG$38,$E52)&lt;MAX($P$34*($B52+$I$38-1),IF(AND($L$37=0,$P$34=0),"",$L$37-1)),0,YEARFRAC(MAX($P$34*($B52+$I$38-1),IF(AND($L$37=0,$P$34=0),"",$L$37-1)),MIN(BG$38,$E52),$P$20))-SUM($BF52:BF52))</f>
        <v>0</v>
      </c>
      <c r="BH52" s="446">
        <f>IF($E52=0,0,IF(MIN(BH$38,$E52)&lt;MAX($P$34*($B52+$I$38-1),IF(AND($L$37=0,$P$34=0),"",$L$37-1)),0,YEARFRAC(MAX($P$34*($B52+$I$38-1),IF(AND($L$37=0,$P$34=0),"",$L$37-1)),MIN(BH$38,$E52),$P$20))-SUM($BF52:BG52))</f>
        <v>0</v>
      </c>
      <c r="BI52" s="446">
        <f>IF($E52=0,0,IF(MIN(BI$38,$E52)&lt;MAX($P$34*($B52+$I$38-1),IF(AND($L$37=0,$P$34=0),"",$L$37-1)),0,YEARFRAC(MAX($P$34*($B52+$I$38-1),IF(AND($L$37=0,$P$34=0),"",$L$37-1)),MIN(BI$38,$E52),$P$20))-SUM($BF52:BH52))</f>
        <v>0</v>
      </c>
      <c r="BJ52" s="446">
        <f>IF($E52=0,0,IF(MIN(BJ$38,$E52)&lt;MAX($P$34*($B52+$I$38-1),IF(AND($L$37=0,$P$34=0),"",$L$37-1)),0,YEARFRAC(MAX($P$34*($B52+$I$38-1),IF(AND($L$37=0,$P$34=0),"",$L$37-1)),MIN(BJ$38,$E52),$P$20))-SUM($BF52:BI52))</f>
        <v>0</v>
      </c>
      <c r="BK52" s="446">
        <f>IF($E52=0,0,IF(MIN(BK$38,$E52)&lt;MAX($P$34*($B52+$I$38-1),IF(AND($L$37=0,$P$34=0),"",$L$37-1)),0,YEARFRAC(MAX($P$34*($B52+$I$38-1),IF(AND($L$37=0,$P$34=0),"",$L$37-1)),MIN(BK$38,$E52),$P$20))-SUM($BF52:BJ52))</f>
        <v>0</v>
      </c>
      <c r="BL52" s="446">
        <f>IF($E52=0,0,IF(MIN(BL$38,$E52)&lt;MAX($P$34*($B52+$I$38-1),IF(AND($L$37=0,$P$34=0),"",$L$37-1)),0,YEARFRAC(MAX($P$34*($B52+$I$38-1),IF(AND($L$37=0,$P$34=0),"",$L$37-1)),MIN(BL$38,$E52),$P$20))-SUM($BF52:BK52))</f>
        <v>0</v>
      </c>
      <c r="BM52" s="446">
        <f>IF($E52=0,0,IF(MIN(BM$38,$E52)&lt;MAX($P$34*($B52+$I$38-1),IF(AND($L$37=0,$P$34=0),"",$L$37-1)),0,YEARFRAC(MAX($P$34*($B52+$I$38-1),IF(AND($L$37=0,$P$34=0),"",$L$37-1)),MIN(BM$38,$E52),$P$20))-SUM($BF52:BL52))</f>
        <v>0</v>
      </c>
      <c r="BN52" s="446">
        <f>IF($E52=0,0,IF(MIN(BN$38,$E52)&lt;MAX($P$34*($B52+$I$38-1),IF(AND($L$37=0,$P$34=0),"",$L$37-1)),0,YEARFRAC(MAX($P$34*($B52+$I$38-1),IF(AND($L$37=0,$P$34=0),"",$L$37-1)),MIN(BN$38,$E52),$P$20))-SUM($BF52:BM52))</f>
        <v>0</v>
      </c>
      <c r="BO52" s="446">
        <f>IF($E52=0,0,IF(MIN(BO$38,$E52)&lt;MAX($P$34*($B52+$I$38-1),IF(AND($L$37=0,$P$34=0),"",$L$37-1)),0,YEARFRAC(MAX($P$34*($B52+$I$38-1),IF(AND($L$37=0,$P$34=0),"",$L$37-1)),MIN(BO$38,$E52),$P$20))-SUM($BF52:BN52))</f>
        <v>0</v>
      </c>
      <c r="BP52" s="446">
        <f>IF($E52=0,0,IF(MIN(BP$38,$E52)&lt;MAX($P$34*($B52+$I$38-1),IF(AND($L$37=0,$P$34=0),"",$L$37-1)),0,YEARFRAC(MAX($P$34*($B52+$I$38-1),IF(AND($L$37=0,$P$34=0),"",$L$37-1)),MIN(BP$38,$E52),$P$20))-SUM($BF52:BO52))</f>
        <v>0</v>
      </c>
      <c r="BQ52" s="446">
        <f>IF($E52=0,0,IF(MIN(BQ$38,$E52)&lt;MAX($P$34*($B52+$I$38-1),IF(AND($L$37=0,$P$34=0),"",$L$37-1)),0,YEARFRAC(MAX($P$34*($B52+$I$38-1),IF(AND($L$37=0,$P$34=0),"",$L$37-1)),MIN(BQ$38,$E52),$P$20))-SUM($BF52:BP52))</f>
        <v>0</v>
      </c>
      <c r="BR52" s="446">
        <f>IF($E52=0,0,IF(MIN(BR$38,$E52)&lt;MAX($P$34*($B52+$I$38-1),IF(AND($L$37=0,$P$34=0),"",$L$37-1)),0,YEARFRAC(MAX($P$34*($B52+$I$38-1),IF(AND($L$37=0,$P$34=0),"",$L$37-1)),MIN(BR$38,$E52),$P$20))-SUM($BF52:BQ52))</f>
        <v>0</v>
      </c>
      <c r="BS52" s="446">
        <f>IF($E52=0,0,IF(MIN(BS$38,$E52)&lt;MAX($P$34*($B52+$I$38-1),IF(AND($L$37=0,$P$34=0),"",$L$37-1)),0,YEARFRAC(MAX($P$34*($B52+$I$38-1),IF(AND($L$37=0,$P$34=0),"",$L$37-1)),MIN(BS$38,$E52),$P$20))-SUM($BF52:BR52))</f>
        <v>0</v>
      </c>
      <c r="BT52" s="446">
        <f>IF($E52=0,0,IF(MIN(BT$38,$E52)&lt;MAX($P$34*($B52+$I$38-1),IF(AND($L$37=0,$P$34=0),"",$L$37-1)),0,YEARFRAC(MAX($P$34*($B52+$I$38-1),IF(AND($L$37=0,$P$34=0),"",$L$37-1)),MIN(BT$38,$E52),$P$20))-SUM($BF52:BS52))</f>
        <v>0</v>
      </c>
      <c r="BU52" s="446">
        <f>IF($E52=0,0,IF(MIN(BU$38,$E52)&lt;MAX($P$34*($B52+$I$38-1),IF(AND($L$37=0,$P$34=0),"",$L$37-1)),0,YEARFRAC(MAX($P$34*($B52+$I$38-1),IF(AND($L$37=0,$P$34=0),"",$L$37-1)),MIN(BU$38,$E52),$P$20))-SUM($BF52:BT52))</f>
        <v>0</v>
      </c>
      <c r="BV52" s="446">
        <f>IF($E52=0,0,IF(MIN(BV$38,$E52)&lt;MAX($P$34*($B52+$I$38-1),IF(AND($L$37=0,$P$34=0),"",$L$37-1)),0,YEARFRAC(MAX($P$34*($B52+$I$38-1),IF(AND($L$37=0,$P$34=0),"",$L$37-1)),MIN(BV$38,$E52),$P$20))-SUM($BF52:BU52))</f>
        <v>0</v>
      </c>
      <c r="BW52" s="446">
        <f>IF($E52=0,0,IF(MIN(BW$38,$E52)&lt;MAX($P$34*($B52+$I$38-1),IF(AND($L$37=0,$P$34=0),"",$L$37-1)),0,YEARFRAC(MAX($P$34*($B52+$I$38-1),IF(AND($L$37=0,$P$34=0),"",$L$37-1)),MIN(BW$38,$E52),$P$20))-SUM($BF52:BV52))</f>
        <v>0</v>
      </c>
      <c r="BX52" s="446">
        <f>IF($E52=0,0,IF(MIN(BX$38,$E52)&lt;MAX($P$34*($B52+$I$38-1),IF(AND($L$37=0,$P$34=0),"",$L$37-1)),0,YEARFRAC(MAX($P$34*($B52+$I$38-1),IF(AND($L$37=0,$P$34=0),"",$L$37-1)),MIN(BX$38,$E52),$P$20))-SUM($BF52:BW52))</f>
        <v>0</v>
      </c>
      <c r="BY52" s="446">
        <f>IF($E52=0,0,IF(MIN(BY$38,$E52)&lt;MAX($P$34*($B52+$I$38-1),IF(AND($L$37=0,$P$34=0),"",$L$37-1)),0,YEARFRAC(MAX($P$34*($B52+$I$38-1),IF(AND($L$37=0,$P$34=0),"",$L$37-1)),MIN(BY$38,$E52),$P$20))-SUM($BF52:BX52))</f>
        <v>0</v>
      </c>
      <c r="BZ52" s="446">
        <f>IF($E52=0,0,IF(MIN(BZ$38,$E52)&lt;MAX($P$34*($B52+$I$38-1),IF(AND($L$37=0,$P$34=0),"",$L$37-1)),0,YEARFRAC(MAX($P$34*($B52+$I$38-1),IF(AND($L$37=0,$P$34=0),"",$L$37-1)),MIN(BZ$38,$E52),$P$20))-SUM($BF52:BY52))</f>
        <v>0</v>
      </c>
      <c r="CA52" s="446">
        <f>IF($E52=0,0,IF(MIN(CA$38,$E52)&lt;MAX($P$34*($B52+$I$38-1),IF(AND($L$37=0,$P$34=0),"",$L$37-1)),0,YEARFRAC(MAX($P$34*($B52+$I$38-1),IF(AND($L$37=0,$P$34=0),"",$L$37-1)),MIN(CA$38,$E52),$P$20))-SUM($BF52:BZ52))</f>
        <v>0</v>
      </c>
      <c r="CB52" s="446">
        <f>IF($E52=0,0,IF(MIN(CB$38,$E52)&lt;MAX($P$34*($B52+$I$38-1),IF(AND($L$37=0,$P$34=0),"",$L$37-1)),0,YEARFRAC(MAX($P$34*($B52+$I$38-1),IF(AND($L$37=0,$P$34=0),"",$L$37-1)),MIN(CB$38,$E52),$P$20))-SUM($BF52:CA52))</f>
        <v>0</v>
      </c>
      <c r="CC52" s="446">
        <f>IF($E52=0,0,IF(MIN(CC$38,$E52)&lt;MAX($P$34*($B52+$I$38-1),IF(AND($L$37=0,$P$34=0),"",$L$37-1)),0,YEARFRAC(MAX($P$34*($B52+$I$38-1),IF(AND($L$37=0,$P$34=0),"",$L$37-1)),MIN(CC$38,$E52),$P$20))-SUM($BF52:CB52))</f>
        <v>0</v>
      </c>
      <c r="CD52" s="446">
        <f>IF($E52=0,0,IF(MIN(CD$38,$E52)&lt;MAX($P$34*($B52+$I$38-1),IF(AND($L$37=0,$P$34=0),"",$L$37-1)),0,YEARFRAC(MAX($P$34*($B52+$I$38-1),IF(AND($L$37=0,$P$34=0),"",$L$37-1)),MIN(CD$38,$E52),$P$20))-SUM($BF52:CC52))</f>
        <v>0</v>
      </c>
      <c r="CE52" s="446">
        <f>IF($E52=0,0,IF(MIN(CE$38,$E52)&lt;MAX($P$34*($B52+$I$38-1),IF(AND($L$37=0,$P$34=0),"",$L$37-1)),0,YEARFRAC(MAX($P$34*($B52+$I$38-1),IF(AND($L$37=0,$P$34=0),"",$L$37-1)),MIN(CE$38,$E52),$P$20))-SUM($BF52:CD52))</f>
        <v>0</v>
      </c>
      <c r="CF52" s="446">
        <f>IF($E52=0,0,IF(MIN(CF$38,$E52)&lt;MAX($P$34*($B52+$I$38-1),IF(AND($L$37=0,$P$34=0),"",$L$37-1)),0,YEARFRAC(MAX($P$34*($B52+$I$38-1),IF(AND($L$37=0,$P$34=0),"",$L$37-1)),MIN(CF$38,$E52),$P$20))-SUM($BF52:CE52))</f>
        <v>0</v>
      </c>
      <c r="CG52" s="446">
        <f>IF($E52=0,0,IF(MIN(CG$38,$E52)&lt;MAX($P$34*($B52+$I$38-1),IF(AND($L$37=0,$P$34=0),"",$L$37-1)),0,YEARFRAC(MAX($P$34*($B52+$I$38-1),IF(AND($L$37=0,$P$34=0),"",$L$37-1)),MIN(CG$38,$E52),$P$20))-SUM($BF52:CF52))</f>
        <v>0</v>
      </c>
      <c r="CH52" s="446">
        <f>IF($E52=0,0,IF(MIN(CH$38,$E52)&lt;MAX($P$34*($B52+$I$38-1),IF(AND($L$37=0,$P$34=0),"",$L$37-1)),0,YEARFRAC(MAX($P$34*($B52+$I$38-1),IF(AND($L$37=0,$P$34=0),"",$L$37-1)),MIN(CH$38,$E52),$P$20))-SUM($BF52:CG52))</f>
        <v>0</v>
      </c>
      <c r="CI52" s="446">
        <f>IF($E52=0,0,IF(MIN(CI$38,$E52)&lt;MAX($P$34*($B52+$I$38-1),IF(AND($L$37=0,$P$34=0),"",$L$37-1)),0,YEARFRAC(MAX($P$34*($B52+$I$38-1),IF(AND($L$37=0,$P$34=0),"",$L$37-1)),MIN(CI$38,$E52),$P$20))-SUM($BF52:CH52))</f>
        <v>0</v>
      </c>
      <c r="CJ52" s="446">
        <f>IF($E52=0,0,IF(MIN(CJ$38,$E52)&lt;MAX($P$34*($B52+$I$38-1),IF(AND($L$37=0,$P$34=0),"",$L$37-1)),0,YEARFRAC(MAX($P$34*($B52+$I$38-1),IF(AND($L$37=0,$P$34=0),"",$L$37-1)),MIN(CJ$38,$E52),$P$20))-SUM($BF52:CI52))</f>
        <v>0</v>
      </c>
      <c r="CK52" s="446">
        <f>IF($E52=0,0,IF(MIN(CK$38,$E52)&lt;MAX($P$34*($B52+$I$38-1),IF(AND($L$37=0,$P$34=0),"",$L$37-1)),0,YEARFRAC(MAX($P$34*($B52+$I$38-1),IF(AND($L$37=0,$P$34=0),"",$L$37-1)),MIN(CK$38,$E52),$P$20))-SUM($BF52:CJ52))</f>
        <v>0</v>
      </c>
      <c r="CL52" s="446">
        <f>IF($E52=0,0,IF(MIN(CL$38,$E52)&lt;MAX($P$34*($B52+$I$38-1),IF(AND($L$37=0,$P$34=0),"",$L$37-1)),0,YEARFRAC(MAX($P$34*($B52+$I$38-1),IF(AND($L$37=0,$P$34=0),"",$L$37-1)),MIN(CL$38,$E52),$P$20))-SUM($BF52:CK52))</f>
        <v>0</v>
      </c>
      <c r="CM52" s="446">
        <f>IF($E52=0,0,IF(MIN(CM$38,$E52)&lt;MAX($P$34*($B52+$I$38-1),IF(AND($L$37=0,$P$34=0),"",$L$37-1)),0,YEARFRAC(MAX($P$34*($B52+$I$38-1),IF(AND($L$37=0,$P$34=0),"",$L$37-1)),MIN(CM$38,$E52),$P$20))-SUM($BF52:CL52))</f>
        <v>0</v>
      </c>
      <c r="CN52" s="446">
        <f>IF($E52=0,0,IF(MIN(CN$38,$E52)&lt;MAX($P$34*($B52+$I$38-1),IF(AND($L$37=0,$P$34=0),"",$L$37-1)),0,YEARFRAC(MAX($P$34*($B52+$I$38-1),IF(AND($L$37=0,$P$34=0),"",$L$37-1)),MIN(CN$38,$E52),$P$20))-SUM($BF52:CM52))</f>
        <v>0</v>
      </c>
      <c r="CO52" s="446">
        <f>IF($E52=0,0,IF(MIN(CO$38,$E52)&lt;MAX($P$34*($B52+$I$38-1),IF(AND($L$37=0,$P$34=0),"",$L$37-1)),0,YEARFRAC(MAX($P$34*($B52+$I$38-1),IF(AND($L$37=0,$P$34=0),"",$L$37-1)),MIN(CO$38,$E52),$P$20))-SUM($BF52:CN52))</f>
        <v>0</v>
      </c>
      <c r="CP52" s="446">
        <f>IF($E52=0,0,IF(MIN(CP$38,$E52)&lt;MAX($P$34*($B52+$I$38-1),IF(AND($L$37=0,$P$34=0),"",$L$37-1)),0,YEARFRAC(MAX($P$34*($B52+$I$38-1),IF(AND($L$37=0,$P$34=0),"",$L$37-1)),MIN(CP$38,$E52),$P$20))-SUM($BF52:CO52))</f>
        <v>0</v>
      </c>
      <c r="CQ52" s="446">
        <f>IF($E52=0,0,IF(MIN(CQ$38,$E52)&lt;MAX($P$34*($B52+$I$38-1),IF(AND($L$37=0,$P$34=0),"",$L$37-1)),0,YEARFRAC(MAX($P$34*($B52+$I$38-1),IF(AND($L$37=0,$P$34=0),"",$L$37-1)),MIN(CQ$38,$E52),$P$20))-SUM($BF52:CP52))</f>
        <v>0</v>
      </c>
    </row>
    <row r="53" spans="1:95" s="446" customFormat="1" ht="11.25" hidden="1" customHeight="1" x14ac:dyDescent="0.2">
      <c r="A53" s="152"/>
      <c r="B53" s="153" t="str">
        <f t="shared" si="15"/>
        <v/>
      </c>
      <c r="C53" s="29" t="str">
        <f>IF(B53="","",IF($L$35="SELIC - TRIBUTOS",VLOOKUP(DATE(YEAR($D$19),MONTH($D$19)-1,1),ÍNDICES!$A:$DE,HLOOKUP($BL$25,ÍNDICES!$B$3:$T$4,2)+11)-VLOOKUP(B53,ÍNDICES!$A:$DE,HLOOKUP($BL$25,ÍNDICES!$B$3:$T$4,2)+11)+1%,IF(C$38=$W$26,$J$35,IF(ISERROR(IF(B53&gt;$D$19,1,VLOOKUP(DATE(YEAR(B53),MONTH(B53)+IF($C$35=$S$23,1,0),1),ÍNDICES!$A:$DE,$Z$35+1))),"",IF(B53&gt;$D$19,1,VLOOKUP(DATE(YEAR(B53),MONTH(B53)+IF($C$35=$S$23,1,0),1),ÍNDICES!$A:$DE,$Z$35+1))))))</f>
        <v/>
      </c>
      <c r="D53" s="154" t="str">
        <f>IF(ISERROR(IF(OR($D$38=$Y$27,$B53=""),"",VLOOKUP(B53,ÍNDICES!A:DE,AF$35+1))),"",IF(OR($D$38=$Y$27,$B53=""),"",VLOOKUP(B53,ÍNDICES!A:DE,AF$35+1)))</f>
        <v/>
      </c>
      <c r="E53" s="153"/>
      <c r="F53" s="29" t="str">
        <f>IF(E53="","",IF($L$35="SELIC - TRIBUTOS",VLOOKUP(DATE(YEAR($D$19),MONTH($D$19)-1,1),ÍNDICES!$A:$DE,HLOOKUP($BL$25,ÍNDICES!$B$3:$T$4,2)+11)-VLOOKUP(E53,ÍNDICES!$A:$DE,HLOOKUP($BL$25,ÍNDICES!$B$3:$T$4,2)+11)+1%,IF(F$38=$W$26,$J$35,IF(ISERROR(IF(E53&gt;$D$19,1,VLOOKUP(DATE(YEAR(E53),MONTH(E53)+IF($C$35=$S$23,1,0),1),ÍNDICES!$A:$DE,$Z$35+1))),"",IF(E53&gt;$D$19,1,VLOOKUP(DATE(YEAR(E53),MONTH(E53)+IF($C$35=$S$23,1,0),1),ÍNDICES!$A:$DE,$Z$35+1))))))</f>
        <v/>
      </c>
      <c r="G53" s="155"/>
      <c r="H53" s="156" t="str">
        <f t="shared" si="11"/>
        <v/>
      </c>
      <c r="I53" s="29" t="str">
        <f t="shared" si="5"/>
        <v/>
      </c>
      <c r="J53" s="5">
        <f t="shared" si="6"/>
        <v>0</v>
      </c>
      <c r="K53" s="20">
        <f t="shared" ca="1" si="7"/>
        <v>0</v>
      </c>
      <c r="L53" s="5">
        <f t="shared" ca="1" si="8"/>
        <v>0</v>
      </c>
      <c r="M53" s="64">
        <f t="shared" si="12"/>
        <v>0</v>
      </c>
      <c r="N53" s="61">
        <f t="shared" ca="1" si="13"/>
        <v>0</v>
      </c>
      <c r="O53" s="5">
        <f t="shared" ca="1" si="14"/>
        <v>0</v>
      </c>
      <c r="P53" s="446" t="e">
        <f t="shared" si="9"/>
        <v>#VALUE!</v>
      </c>
      <c r="Q53" s="446" t="e">
        <f>IF(OR($B53="",MIN(Q$38,$D$19)&lt;MAX($P$34*($B53+IF($R$17="Distrato",$I$38-1,0)),IF(AND($L$37=0,$P$34=0),"",$L$37-1),IF($R$17="Distrato",$E53,0))),0,YEARFRAC(MAX($P$34*($B53+IF($R$17="Distrato",$I$38-1,0)),IF(AND($L$37=0,$P$34=0),"",$L$37-1),IF($R$17="Distrato",$E53,0)),MIN(Q$38,$D$19),$P$20))-SUM($P53:P53)</f>
        <v>#VALUE!</v>
      </c>
      <c r="R53" s="446" t="e">
        <f>IF(OR($B53="",MIN(R$38,$D$19)&lt;MAX($P$34*($B53+IF($R$17="Distrato",$I$38-1,0)),IF(AND($L$37=0,$P$34=0),"",$L$37-1),IF($R$17="Distrato",$E53,0))),0,YEARFRAC(MAX($P$34*($B53+IF($R$17="Distrato",$I$38-1,0)),IF(AND($L$37=0,$P$34=0),"",$L$37-1),IF($R$17="Distrato",$E53,0)),MIN(R$38,$D$19),$P$20))-SUM($P53:Q53)</f>
        <v>#VALUE!</v>
      </c>
      <c r="S53" s="446" t="e">
        <f>IF(OR($B53="",MIN(S$38,$D$19)&lt;MAX($P$34*($B53+IF($R$17="Distrato",$I$38-1,0)),IF(AND($L$37=0,$P$34=0),"",$L$37-1),IF($R$17="Distrato",$E53,0))),0,YEARFRAC(MAX($P$34*($B53+IF($R$17="Distrato",$I$38-1,0)),IF(AND($L$37=0,$P$34=0),"",$L$37-1),IF($R$17="Distrato",$E53,0)),MIN(S$38,$D$19),$P$20))-SUM($P53:R53)</f>
        <v>#VALUE!</v>
      </c>
      <c r="T53" s="446" t="e">
        <f>IF(OR($B53="",MIN(T$38,$D$19)&lt;MAX($P$34*($B53+IF($R$17="Distrato",$I$38-1,0)),IF(AND($L$37=0,$P$34=0),"",$L$37-1),IF($R$17="Distrato",$E53,0))),0,YEARFRAC(MAX($P$34*($B53+IF($R$17="Distrato",$I$38-1,0)),IF(AND($L$37=0,$P$34=0),"",$L$37-1),IF($R$17="Distrato",$E53,0)),MIN(T$38,$D$19),$P$20))-SUM($P53:S53)</f>
        <v>#VALUE!</v>
      </c>
      <c r="U53" s="446" t="e">
        <f>IF(OR($B53="",MIN(U$38,$D$19)&lt;MAX($P$34*($B53+IF($R$17="Distrato",$I$38-1,0)),IF(AND($L$37=0,$P$34=0),"",$L$37-1),IF($R$17="Distrato",$E53,0))),0,YEARFRAC(MAX($P$34*($B53+IF($R$17="Distrato",$I$38-1,0)),IF(AND($L$37=0,$P$34=0),"",$L$37-1),IF($R$17="Distrato",$E53,0)),MIN(U$38,$D$19),$P$20))-SUM($P53:T53)</f>
        <v>#VALUE!</v>
      </c>
      <c r="V53" s="446" t="e">
        <f>IF(OR($B53="",MIN(V$38,$D$19)&lt;MAX($P$34*($B53+IF($R$17="Distrato",$I$38-1,0)),IF(AND($L$37=0,$P$34=0),"",$L$37-1),IF($R$17="Distrato",$E53,0))),0,YEARFRAC(MAX($P$34*($B53+IF($R$17="Distrato",$I$38-1,0)),IF(AND($L$37=0,$P$34=0),"",$L$37-1),IF($R$17="Distrato",$E53,0)),MIN(V$38,$D$19),$P$20))-SUM($P53:U53)</f>
        <v>#VALUE!</v>
      </c>
      <c r="W53" s="446" t="e">
        <f>IF(OR($B53="",MIN(W$38,$D$19)&lt;MAX($P$34*($B53+IF($R$17="Distrato",$I$38-1,0)),IF(AND($L$37=0,$P$34=0),"",$L$37-1),IF($R$17="Distrato",$E53,0))),0,YEARFRAC(MAX($P$34*($B53+IF($R$17="Distrato",$I$38-1,0)),IF(AND($L$37=0,$P$34=0),"",$L$37-1),IF($R$17="Distrato",$E53,0)),MIN(W$38,$D$19),$P$20))-SUM($P53:V53)</f>
        <v>#VALUE!</v>
      </c>
      <c r="X53" s="446" t="e">
        <f>IF(OR($B53="",MIN(X$38,$D$19)&lt;MAX($P$34*($B53+IF($R$17="Distrato",$I$38-1,0)),IF(AND($L$37=0,$P$34=0),"",$L$37-1),IF($R$17="Distrato",$E53,0))),0,YEARFRAC(MAX($P$34*($B53+IF($R$17="Distrato",$I$38-1,0)),IF(AND($L$37=0,$P$34=0),"",$L$37-1),IF($R$17="Distrato",$E53,0)),MIN(X$38,$D$19),$P$20))-SUM($P53:W53)</f>
        <v>#VALUE!</v>
      </c>
      <c r="Y53" s="446" t="e">
        <f>IF(OR($B53="",MIN(Y$38,$D$19)&lt;MAX($P$34*($B53+IF($R$17="Distrato",$I$38-1,0)),IF(AND($L$37=0,$P$34=0),"",$L$37-1),IF($R$17="Distrato",$E53,0))),0,YEARFRAC(MAX($P$34*($B53+IF($R$17="Distrato",$I$38-1,0)),IF(AND($L$37=0,$P$34=0),"",$L$37-1),IF($R$17="Distrato",$E53,0)),MIN(Y$38,$D$19),$P$20))-SUM($P53:X53)</f>
        <v>#VALUE!</v>
      </c>
      <c r="Z53" s="446" t="e">
        <f>IF(OR($B53="",MIN(Z$38,$D$19)&lt;MAX($P$34*($B53+IF($R$17="Distrato",$I$38-1,0)),IF(AND($L$37=0,$P$34=0),"",$L$37-1),IF($R$17="Distrato",$E53,0))),0,YEARFRAC(MAX($P$34*($B53+IF($R$17="Distrato",$I$38-1,0)),IF(AND($L$37=0,$P$34=0),"",$L$37-1),IF($R$17="Distrato",$E53,0)),MIN(Z$38,$D$19),$P$20))-SUM($P53:Y53)</f>
        <v>#VALUE!</v>
      </c>
      <c r="AA53" s="446" t="e">
        <f>IF(OR($B53="",MIN(AA$38,$D$19)&lt;MAX($P$34*($B53+IF($R$17="Distrato",$I$38-1,0)),IF(AND($L$37=0,$P$34=0),"",$L$37-1),IF($R$17="Distrato",$E53,0))),0,YEARFRAC(MAX($P$34*($B53+IF($R$17="Distrato",$I$38-1,0)),IF(AND($L$37=0,$P$34=0),"",$L$37-1),IF($R$17="Distrato",$E53,0)),MIN(AA$38,$D$19),$P$20))-SUM($P53:Z53)</f>
        <v>#VALUE!</v>
      </c>
      <c r="AB53" s="446" t="e">
        <f>IF(OR($B53="",MIN(AB$38,$D$19)&lt;MAX($P$34*($B53+IF($R$17="Distrato",$I$38-1,0)),IF(AND($L$37=0,$P$34=0),"",$L$37-1),IF($R$17="Distrato",$E53,0))),0,YEARFRAC(MAX($P$34*($B53+IF($R$17="Distrato",$I$38-1,0)),IF(AND($L$37=0,$P$34=0),"",$L$37-1),IF($R$17="Distrato",$E53,0)),MIN(AB$38,$D$19),$P$20))-SUM($P53:AA53)</f>
        <v>#VALUE!</v>
      </c>
      <c r="AC53" s="446" t="e">
        <f>IF(OR($B53="",MIN(AC$38,$D$19)&lt;MAX($P$34*($B53+IF($R$17="Distrato",$I$38-1,0)),IF(AND($L$37=0,$P$34=0),"",$L$37-1),IF($R$17="Distrato",$E53,0))),0,YEARFRAC(MAX($P$34*($B53+IF($R$17="Distrato",$I$38-1,0)),IF(AND($L$37=0,$P$34=0),"",$L$37-1),IF($R$17="Distrato",$E53,0)),MIN(AC$38,$D$19),$P$20))-SUM($P53:AB53)</f>
        <v>#VALUE!</v>
      </c>
      <c r="AD53" s="446" t="e">
        <f>IF(OR($B53="",MIN(AD$38,$D$19)&lt;MAX($P$34*($B53+IF($R$17="Distrato",$I$38-1,0)),IF(AND($L$37=0,$P$34=0),"",$L$37-1),IF($R$17="Distrato",$E53,0))),0,YEARFRAC(MAX($P$34*($B53+IF($R$17="Distrato",$I$38-1,0)),IF(AND($L$37=0,$P$34=0),"",$L$37-1),IF($R$17="Distrato",$E53,0)),MIN(AD$38,$D$19),$P$20))-SUM($P53:AC53)</f>
        <v>#VALUE!</v>
      </c>
      <c r="AE53" s="446" t="e">
        <f>IF(OR($B53="",MIN(AE$38,$D$19)&lt;MAX($P$34*($B53+IF($R$17="Distrato",$I$38-1,0)),IF(AND($L$37=0,$P$34=0),"",$L$37-1),IF($R$17="Distrato",$E53,0))),0,YEARFRAC(MAX($P$34*($B53+IF($R$17="Distrato",$I$38-1,0)),IF(AND($L$37=0,$P$34=0),"",$L$37-1),IF($R$17="Distrato",$E53,0)),MIN(AE$38,$D$19),$P$20))-SUM($P53:AD53)</f>
        <v>#VALUE!</v>
      </c>
      <c r="AF53" s="446" t="e">
        <f>IF(OR($B53="",MIN(AF$38,$D$19)&lt;MAX($P$34*($B53+IF($R$17="Distrato",$I$38-1,0)),IF(AND($L$37=0,$P$34=0),"",$L$37-1),IF($R$17="Distrato",$E53,0))),0,YEARFRAC(MAX($P$34*($B53+IF($R$17="Distrato",$I$38-1,0)),IF(AND($L$37=0,$P$34=0),"",$L$37-1),IF($R$17="Distrato",$E53,0)),MIN(AF$38,$D$19),$P$20))-SUM($P53:AE53)</f>
        <v>#VALUE!</v>
      </c>
      <c r="AG53" s="446" t="e">
        <f>IF(OR($B53="",MIN(AG$38,$D$19)&lt;MAX($P$34*($B53+IF($R$17="Distrato",$I$38-1,0)),IF(AND($L$37=0,$P$34=0),"",$L$37-1),IF($R$17="Distrato",$E53,0))),0,YEARFRAC(MAX($P$34*($B53+IF($R$17="Distrato",$I$38-1,0)),IF(AND($L$37=0,$P$34=0),"",$L$37-1),IF($R$17="Distrato",$E53,0)),MIN(AG$38,$D$19),$P$20))-SUM($P53:AF53)</f>
        <v>#VALUE!</v>
      </c>
      <c r="AH53" s="446" t="e">
        <f>IF(OR($B53="",MIN(AH$38,$D$19)&lt;MAX($P$34*($B53+IF($R$17="Distrato",$I$38-1,0)),IF(AND($L$37=0,$P$34=0),"",$L$37-1),IF($R$17="Distrato",$E53,0))),0,YEARFRAC(MAX($P$34*($B53+IF($R$17="Distrato",$I$38-1,0)),IF(AND($L$37=0,$P$34=0),"",$L$37-1),IF($R$17="Distrato",$E53,0)),MIN(AH$38,$D$19),$P$20))-SUM($P53:AG53)</f>
        <v>#VALUE!</v>
      </c>
      <c r="AI53" s="446" t="e">
        <f>IF(OR($B53="",MIN(AI$38,$D$19)&lt;MAX($P$34*($B53+IF($R$17="Distrato",$I$38-1,0)),IF(AND($L$37=0,$P$34=0),"",$L$37-1),IF($R$17="Distrato",$E53,0))),0,YEARFRAC(MAX($P$34*($B53+IF($R$17="Distrato",$I$38-1,0)),IF(AND($L$37=0,$P$34=0),"",$L$37-1),IF($R$17="Distrato",$E53,0)),MIN(AI$38,$D$19),$P$20))-SUM($P53:AH53)</f>
        <v>#VALUE!</v>
      </c>
      <c r="AJ53" s="446" t="e">
        <f>IF(OR($B53="",MIN(AJ$38,$D$19)&lt;MAX($P$34*($B53+IF($R$17="Distrato",$I$38-1,0)),IF(AND($L$37=0,$P$34=0),"",$L$37-1),IF($R$17="Distrato",$E53,0))),0,YEARFRAC(MAX($P$34*($B53+IF($R$17="Distrato",$I$38-1,0)),IF(AND($L$37=0,$P$34=0),"",$L$37-1),IF($R$17="Distrato",$E53,0)),MIN(AJ$38,$D$19),$P$20))-SUM($P53:AI53)</f>
        <v>#VALUE!</v>
      </c>
      <c r="AK53" s="446" t="e">
        <f>IF(OR($B53="",MIN(AK$38,$D$19)&lt;MAX($P$34*($B53+IF($R$17="Distrato",$I$38-1,0)),IF(AND($L$37=0,$P$34=0),"",$L$37-1),IF($R$17="Distrato",$E53,0))),0,YEARFRAC(MAX($P$34*($B53+IF($R$17="Distrato",$I$38-1,0)),IF(AND($L$37=0,$P$34=0),"",$L$37-1),IF($R$17="Distrato",$E53,0)),MIN(AK$38,$D$19),$P$20))-SUM($P53:AJ53)</f>
        <v>#VALUE!</v>
      </c>
      <c r="AL53" s="446" t="e">
        <f>IF(OR($B53="",MIN(AL$38,$D$19)&lt;MAX($P$34*($B53+IF($R$17="Distrato",$I$38-1,0)),IF(AND($L$37=0,$P$34=0),"",$L$37-1),IF($R$17="Distrato",$E53,0))),0,YEARFRAC(MAX($P$34*($B53+IF($R$17="Distrato",$I$38-1,0)),IF(AND($L$37=0,$P$34=0),"",$L$37-1),IF($R$17="Distrato",$E53,0)),MIN(AL$38,$D$19),$P$20))-SUM($P53:AK53)</f>
        <v>#VALUE!</v>
      </c>
      <c r="AM53" s="446" t="e">
        <f>IF(OR($B53="",MIN(AM$38,$D$19)&lt;MAX($P$34*($B53+IF($R$17="Distrato",$I$38-1,0)),IF(AND($L$37=0,$P$34=0),"",$L$37-1),IF($R$17="Distrato",$E53,0))),0,YEARFRAC(MAX($P$34*($B53+IF($R$17="Distrato",$I$38-1,0)),IF(AND($L$37=0,$P$34=0),"",$L$37-1),IF($R$17="Distrato",$E53,0)),MIN(AM$38,$D$19),$P$20))-SUM($P53:AL53)</f>
        <v>#VALUE!</v>
      </c>
      <c r="AN53" s="446" t="e">
        <f>IF(OR($B53="",MIN(AN$38,$D$19)&lt;MAX($P$34*($B53+IF($R$17="Distrato",$I$38-1,0)),IF(AND($L$37=0,$P$34=0),"",$L$37-1),IF($R$17="Distrato",$E53,0))),0,YEARFRAC(MAX($P$34*($B53+IF($R$17="Distrato",$I$38-1,0)),IF(AND($L$37=0,$P$34=0),"",$L$37-1),IF($R$17="Distrato",$E53,0)),MIN(AN$38,$D$19),$P$20))-SUM($P53:AM53)</f>
        <v>#VALUE!</v>
      </c>
      <c r="AO53" s="446" t="e">
        <f>IF(OR($B53="",MIN(AO$38,$D$19)&lt;MAX($P$34*($B53+IF($R$17="Distrato",$I$38-1,0)),IF(AND($L$37=0,$P$34=0),"",$L$37-1),IF($R$17="Distrato",$E53,0))),0,YEARFRAC(MAX($P$34*($B53+IF($R$17="Distrato",$I$38-1,0)),IF(AND($L$37=0,$P$34=0),"",$L$37-1),IF($R$17="Distrato",$E53,0)),MIN(AO$38,$D$19),$P$20))-SUM($P53:AN53)</f>
        <v>#VALUE!</v>
      </c>
      <c r="AP53" s="446" t="e">
        <f>IF(OR($B53="",MIN(AP$38,$D$19)&lt;MAX($P$34*($B53+IF($R$17="Distrato",$I$38-1,0)),IF(AND($L$37=0,$P$34=0),"",$L$37-1),IF($R$17="Distrato",$E53,0))),0,YEARFRAC(MAX($P$34*($B53+IF($R$17="Distrato",$I$38-1,0)),IF(AND($L$37=0,$P$34=0),"",$L$37-1),IF($R$17="Distrato",$E53,0)),MIN(AP$38,$D$19),$P$20))-SUM($P53:AO53)</f>
        <v>#VALUE!</v>
      </c>
      <c r="AQ53" s="446" t="e">
        <f>IF(OR($B53="",MIN(AQ$38,$D$19)&lt;MAX($P$34*($B53+IF($R$17="Distrato",$I$38-1,0)),IF(AND($L$37=0,$P$34=0),"",$L$37-1),IF($R$17="Distrato",$E53,0))),0,YEARFRAC(MAX($P$34*($B53+IF($R$17="Distrato",$I$38-1,0)),IF(AND($L$37=0,$P$34=0),"",$L$37-1),IF($R$17="Distrato",$E53,0)),MIN(AQ$38,$D$19),$P$20))-SUM($P53:AP53)</f>
        <v>#VALUE!</v>
      </c>
      <c r="AR53" s="446" t="e">
        <f>IF(OR($B53="",MIN(AR$38,$D$19)&lt;MAX($P$34*($B53+IF($R$17="Distrato",$I$38-1,0)),IF(AND($L$37=0,$P$34=0),"",$L$37-1),IF($R$17="Distrato",$E53,0))),0,YEARFRAC(MAX($P$34*($B53+IF($R$17="Distrato",$I$38-1,0)),IF(AND($L$37=0,$P$34=0),"",$L$37-1),IF($R$17="Distrato",$E53,0)),MIN(AR$38,$D$19),$P$20))-SUM($P53:AQ53)</f>
        <v>#VALUE!</v>
      </c>
      <c r="AS53" s="446" t="e">
        <f>IF(OR($B53="",MIN(AS$38,$D$19)&lt;MAX($P$34*($B53+IF($R$17="Distrato",$I$38-1,0)),IF(AND($L$37=0,$P$34=0),"",$L$37-1),IF($R$17="Distrato",$E53,0))),0,YEARFRAC(MAX($P$34*($B53+IF($R$17="Distrato",$I$38-1,0)),IF(AND($L$37=0,$P$34=0),"",$L$37-1),IF($R$17="Distrato",$E53,0)),MIN(AS$38,$D$19),$P$20))-SUM($P53:AR53)</f>
        <v>#VALUE!</v>
      </c>
      <c r="AT53" s="446" t="e">
        <f>IF(OR($B53="",MIN(AT$38,$D$19)&lt;MAX($P$34*($B53+IF($R$17="Distrato",$I$38-1,0)),IF(AND($L$37=0,$P$34=0),"",$L$37-1),IF($R$17="Distrato",$E53,0))),0,YEARFRAC(MAX($P$34*($B53+IF($R$17="Distrato",$I$38-1,0)),IF(AND($L$37=0,$P$34=0),"",$L$37-1),IF($R$17="Distrato",$E53,0)),MIN(AT$38,$D$19),$P$20))-SUM($P53:AS53)</f>
        <v>#VALUE!</v>
      </c>
      <c r="AU53" s="446" t="e">
        <f>IF(OR($B53="",MIN(AU$38,$D$19)&lt;MAX($P$34*($B53+IF($R$17="Distrato",$I$38-1,0)),IF(AND($L$37=0,$P$34=0),"",$L$37-1),IF($R$17="Distrato",$E53,0))),0,YEARFRAC(MAX($P$34*($B53+IF($R$17="Distrato",$I$38-1,0)),IF(AND($L$37=0,$P$34=0),"",$L$37-1),IF($R$17="Distrato",$E53,0)),MIN(AU$38,$D$19),$P$20))-SUM($P53:AT53)</f>
        <v>#VALUE!</v>
      </c>
      <c r="AV53" s="446" t="e">
        <f>IF(OR($B53="",MIN(AV$38,$D$19)&lt;MAX($P$34*($B53+IF($R$17="Distrato",$I$38-1,0)),IF(AND($L$37=0,$P$34=0),"",$L$37-1),IF($R$17="Distrato",$E53,0))),0,YEARFRAC(MAX($P$34*($B53+IF($R$17="Distrato",$I$38-1,0)),IF(AND($L$37=0,$P$34=0),"",$L$37-1),IF($R$17="Distrato",$E53,0)),MIN(AV$38,$D$19),$P$20))-SUM($P53:AU53)</f>
        <v>#VALUE!</v>
      </c>
      <c r="AW53" s="446" t="e">
        <f>IF(OR($B53="",MIN(AW$38,$D$19)&lt;MAX($P$34*($B53+IF($R$17="Distrato",$I$38-1,0)),IF(AND($L$37=0,$P$34=0),"",$L$37-1),IF($R$17="Distrato",$E53,0))),0,YEARFRAC(MAX($P$34*($B53+IF($R$17="Distrato",$I$38-1,0)),IF(AND($L$37=0,$P$34=0),"",$L$37-1),IF($R$17="Distrato",$E53,0)),MIN(AW$38,$D$19),$P$20))-SUM($P53:AV53)</f>
        <v>#VALUE!</v>
      </c>
      <c r="AX53" s="446" t="e">
        <f>IF(OR($B53="",MIN(AX$38,$D$19)&lt;MAX($P$34*($B53+IF($R$17="Distrato",$I$38-1,0)),IF(AND($L$37=0,$P$34=0),"",$L$37-1),IF($R$17="Distrato",$E53,0))),0,YEARFRAC(MAX($P$34*($B53+IF($R$17="Distrato",$I$38-1,0)),IF(AND($L$37=0,$P$34=0),"",$L$37-1),IF($R$17="Distrato",$E53,0)),MIN(AX$38,$D$19),$P$20))-SUM($P53:AW53)</f>
        <v>#VALUE!</v>
      </c>
      <c r="AY53" s="446" t="e">
        <f>IF(OR($B53="",MIN(AY$38,$D$19)&lt;MAX($P$34*($B53+IF($R$17="Distrato",$I$38-1,0)),IF(AND($L$37=0,$P$34=0),"",$L$37-1),IF($R$17="Distrato",$E53,0))),0,YEARFRAC(MAX($P$34*($B53+IF($R$17="Distrato",$I$38-1,0)),IF(AND($L$37=0,$P$34=0),"",$L$37-1),IF($R$17="Distrato",$E53,0)),MIN(AY$38,$D$19),$P$20))-SUM($P53:AX53)</f>
        <v>#VALUE!</v>
      </c>
      <c r="AZ53" s="446" t="e">
        <f>IF(OR($B53="",MIN(AZ$38,$D$19)&lt;MAX($P$34*($B53+IF($R$17="Distrato",$I$38-1,0)),IF(AND($L$37=0,$P$34=0),"",$L$37-1),IF($R$17="Distrato",$E53,0))),0,YEARFRAC(MAX($P$34*($B53+IF($R$17="Distrato",$I$38-1,0)),IF(AND($L$37=0,$P$34=0),"",$L$37-1),IF($R$17="Distrato",$E53,0)),MIN(AZ$38,$D$19),$P$20))-SUM($P53:AY53)</f>
        <v>#VALUE!</v>
      </c>
      <c r="BA53" s="446" t="e">
        <f>IF(OR($B53="",MIN(BA$38,$D$19)&lt;MAX($P$34*($B53+IF($R$17="Distrato",$I$38-1,0)),IF(AND($L$37=0,$P$34=0),"",$L$37-1),IF($R$17="Distrato",$E53,0))),0,YEARFRAC(MAX($P$34*($B53+IF($R$17="Distrato",$I$38-1,0)),IF(AND($L$37=0,$P$34=0),"",$L$37-1),IF($R$17="Distrato",$E53,0)),MIN(BA$38,$D$19),$P$20))-SUM($P53:AZ53)</f>
        <v>#VALUE!</v>
      </c>
      <c r="BB53" s="447"/>
      <c r="BF53" s="446">
        <f t="shared" si="10"/>
        <v>0</v>
      </c>
      <c r="BG53" s="446">
        <f>IF($E53=0,0,IF(MIN(BG$38,$E53)&lt;MAX($P$34*($B53+$I$38-1),IF(AND($L$37=0,$P$34=0),"",$L$37-1)),0,YEARFRAC(MAX($P$34*($B53+$I$38-1),IF(AND($L$37=0,$P$34=0),"",$L$37-1)),MIN(BG$38,$E53),$P$20))-SUM($BF53:BF53))</f>
        <v>0</v>
      </c>
      <c r="BH53" s="446">
        <f>IF($E53=0,0,IF(MIN(BH$38,$E53)&lt;MAX($P$34*($B53+$I$38-1),IF(AND($L$37=0,$P$34=0),"",$L$37-1)),0,YEARFRAC(MAX($P$34*($B53+$I$38-1),IF(AND($L$37=0,$P$34=0),"",$L$37-1)),MIN(BH$38,$E53),$P$20))-SUM($BF53:BG53))</f>
        <v>0</v>
      </c>
      <c r="BI53" s="446">
        <f>IF($E53=0,0,IF(MIN(BI$38,$E53)&lt;MAX($P$34*($B53+$I$38-1),IF(AND($L$37=0,$P$34=0),"",$L$37-1)),0,YEARFRAC(MAX($P$34*($B53+$I$38-1),IF(AND($L$37=0,$P$34=0),"",$L$37-1)),MIN(BI$38,$E53),$P$20))-SUM($BF53:BH53))</f>
        <v>0</v>
      </c>
      <c r="BJ53" s="446">
        <f>IF($E53=0,0,IF(MIN(BJ$38,$E53)&lt;MAX($P$34*($B53+$I$38-1),IF(AND($L$37=0,$P$34=0),"",$L$37-1)),0,YEARFRAC(MAX($P$34*($B53+$I$38-1),IF(AND($L$37=0,$P$34=0),"",$L$37-1)),MIN(BJ$38,$E53),$P$20))-SUM($BF53:BI53))</f>
        <v>0</v>
      </c>
      <c r="BK53" s="446">
        <f>IF($E53=0,0,IF(MIN(BK$38,$E53)&lt;MAX($P$34*($B53+$I$38-1),IF(AND($L$37=0,$P$34=0),"",$L$37-1)),0,YEARFRAC(MAX($P$34*($B53+$I$38-1),IF(AND($L$37=0,$P$34=0),"",$L$37-1)),MIN(BK$38,$E53),$P$20))-SUM($BF53:BJ53))</f>
        <v>0</v>
      </c>
      <c r="BL53" s="446">
        <f>IF($E53=0,0,IF(MIN(BL$38,$E53)&lt;MAX($P$34*($B53+$I$38-1),IF(AND($L$37=0,$P$34=0),"",$L$37-1)),0,YEARFRAC(MAX($P$34*($B53+$I$38-1),IF(AND($L$37=0,$P$34=0),"",$L$37-1)),MIN(BL$38,$E53),$P$20))-SUM($BF53:BK53))</f>
        <v>0</v>
      </c>
      <c r="BM53" s="446">
        <f>IF($E53=0,0,IF(MIN(BM$38,$E53)&lt;MAX($P$34*($B53+$I$38-1),IF(AND($L$37=0,$P$34=0),"",$L$37-1)),0,YEARFRAC(MAX($P$34*($B53+$I$38-1),IF(AND($L$37=0,$P$34=0),"",$L$37-1)),MIN(BM$38,$E53),$P$20))-SUM($BF53:BL53))</f>
        <v>0</v>
      </c>
      <c r="BN53" s="446">
        <f>IF($E53=0,0,IF(MIN(BN$38,$E53)&lt;MAX($P$34*($B53+$I$38-1),IF(AND($L$37=0,$P$34=0),"",$L$37-1)),0,YEARFRAC(MAX($P$34*($B53+$I$38-1),IF(AND($L$37=0,$P$34=0),"",$L$37-1)),MIN(BN$38,$E53),$P$20))-SUM($BF53:BM53))</f>
        <v>0</v>
      </c>
      <c r="BO53" s="446">
        <f>IF($E53=0,0,IF(MIN(BO$38,$E53)&lt;MAX($P$34*($B53+$I$38-1),IF(AND($L$37=0,$P$34=0),"",$L$37-1)),0,YEARFRAC(MAX($P$34*($B53+$I$38-1),IF(AND($L$37=0,$P$34=0),"",$L$37-1)),MIN(BO$38,$E53),$P$20))-SUM($BF53:BN53))</f>
        <v>0</v>
      </c>
      <c r="BP53" s="446">
        <f>IF($E53=0,0,IF(MIN(BP$38,$E53)&lt;MAX($P$34*($B53+$I$38-1),IF(AND($L$37=0,$P$34=0),"",$L$37-1)),0,YEARFRAC(MAX($P$34*($B53+$I$38-1),IF(AND($L$37=0,$P$34=0),"",$L$37-1)),MIN(BP$38,$E53),$P$20))-SUM($BF53:BO53))</f>
        <v>0</v>
      </c>
      <c r="BQ53" s="446">
        <f>IF($E53=0,0,IF(MIN(BQ$38,$E53)&lt;MAX($P$34*($B53+$I$38-1),IF(AND($L$37=0,$P$34=0),"",$L$37-1)),0,YEARFRAC(MAX($P$34*($B53+$I$38-1),IF(AND($L$37=0,$P$34=0),"",$L$37-1)),MIN(BQ$38,$E53),$P$20))-SUM($BF53:BP53))</f>
        <v>0</v>
      </c>
      <c r="BR53" s="446">
        <f>IF($E53=0,0,IF(MIN(BR$38,$E53)&lt;MAX($P$34*($B53+$I$38-1),IF(AND($L$37=0,$P$34=0),"",$L$37-1)),0,YEARFRAC(MAX($P$34*($B53+$I$38-1),IF(AND($L$37=0,$P$34=0),"",$L$37-1)),MIN(BR$38,$E53),$P$20))-SUM($BF53:BQ53))</f>
        <v>0</v>
      </c>
      <c r="BS53" s="446">
        <f>IF($E53=0,0,IF(MIN(BS$38,$E53)&lt;MAX($P$34*($B53+$I$38-1),IF(AND($L$37=0,$P$34=0),"",$L$37-1)),0,YEARFRAC(MAX($P$34*($B53+$I$38-1),IF(AND($L$37=0,$P$34=0),"",$L$37-1)),MIN(BS$38,$E53),$P$20))-SUM($BF53:BR53))</f>
        <v>0</v>
      </c>
      <c r="BT53" s="446">
        <f>IF($E53=0,0,IF(MIN(BT$38,$E53)&lt;MAX($P$34*($B53+$I$38-1),IF(AND($L$37=0,$P$34=0),"",$L$37-1)),0,YEARFRAC(MAX($P$34*($B53+$I$38-1),IF(AND($L$37=0,$P$34=0),"",$L$37-1)),MIN(BT$38,$E53),$P$20))-SUM($BF53:BS53))</f>
        <v>0</v>
      </c>
      <c r="BU53" s="446">
        <f>IF($E53=0,0,IF(MIN(BU$38,$E53)&lt;MAX($P$34*($B53+$I$38-1),IF(AND($L$37=0,$P$34=0),"",$L$37-1)),0,YEARFRAC(MAX($P$34*($B53+$I$38-1),IF(AND($L$37=0,$P$34=0),"",$L$37-1)),MIN(BU$38,$E53),$P$20))-SUM($BF53:BT53))</f>
        <v>0</v>
      </c>
      <c r="BV53" s="446">
        <f>IF($E53=0,0,IF(MIN(BV$38,$E53)&lt;MAX($P$34*($B53+$I$38-1),IF(AND($L$37=0,$P$34=0),"",$L$37-1)),0,YEARFRAC(MAX($P$34*($B53+$I$38-1),IF(AND($L$37=0,$P$34=0),"",$L$37-1)),MIN(BV$38,$E53),$P$20))-SUM($BF53:BU53))</f>
        <v>0</v>
      </c>
      <c r="BW53" s="446">
        <f>IF($E53=0,0,IF(MIN(BW$38,$E53)&lt;MAX($P$34*($B53+$I$38-1),IF(AND($L$37=0,$P$34=0),"",$L$37-1)),0,YEARFRAC(MAX($P$34*($B53+$I$38-1),IF(AND($L$37=0,$P$34=0),"",$L$37-1)),MIN(BW$38,$E53),$P$20))-SUM($BF53:BV53))</f>
        <v>0</v>
      </c>
      <c r="BX53" s="446">
        <f>IF($E53=0,0,IF(MIN(BX$38,$E53)&lt;MAX($P$34*($B53+$I$38-1),IF(AND($L$37=0,$P$34=0),"",$L$37-1)),0,YEARFRAC(MAX($P$34*($B53+$I$38-1),IF(AND($L$37=0,$P$34=0),"",$L$37-1)),MIN(BX$38,$E53),$P$20))-SUM($BF53:BW53))</f>
        <v>0</v>
      </c>
      <c r="BY53" s="446">
        <f>IF($E53=0,0,IF(MIN(BY$38,$E53)&lt;MAX($P$34*($B53+$I$38-1),IF(AND($L$37=0,$P$34=0),"",$L$37-1)),0,YEARFRAC(MAX($P$34*($B53+$I$38-1),IF(AND($L$37=0,$P$34=0),"",$L$37-1)),MIN(BY$38,$E53),$P$20))-SUM($BF53:BX53))</f>
        <v>0</v>
      </c>
      <c r="BZ53" s="446">
        <f>IF($E53=0,0,IF(MIN(BZ$38,$E53)&lt;MAX($P$34*($B53+$I$38-1),IF(AND($L$37=0,$P$34=0),"",$L$37-1)),0,YEARFRAC(MAX($P$34*($B53+$I$38-1),IF(AND($L$37=0,$P$34=0),"",$L$37-1)),MIN(BZ$38,$E53),$P$20))-SUM($BF53:BY53))</f>
        <v>0</v>
      </c>
      <c r="CA53" s="446">
        <f>IF($E53=0,0,IF(MIN(CA$38,$E53)&lt;MAX($P$34*($B53+$I$38-1),IF(AND($L$37=0,$P$34=0),"",$L$37-1)),0,YEARFRAC(MAX($P$34*($B53+$I$38-1),IF(AND($L$37=0,$P$34=0),"",$L$37-1)),MIN(CA$38,$E53),$P$20))-SUM($BF53:BZ53))</f>
        <v>0</v>
      </c>
      <c r="CB53" s="446">
        <f>IF($E53=0,0,IF(MIN(CB$38,$E53)&lt;MAX($P$34*($B53+$I$38-1),IF(AND($L$37=0,$P$34=0),"",$L$37-1)),0,YEARFRAC(MAX($P$34*($B53+$I$38-1),IF(AND($L$37=0,$P$34=0),"",$L$37-1)),MIN(CB$38,$E53),$P$20))-SUM($BF53:CA53))</f>
        <v>0</v>
      </c>
      <c r="CC53" s="446">
        <f>IF($E53=0,0,IF(MIN(CC$38,$E53)&lt;MAX($P$34*($B53+$I$38-1),IF(AND($L$37=0,$P$34=0),"",$L$37-1)),0,YEARFRAC(MAX($P$34*($B53+$I$38-1),IF(AND($L$37=0,$P$34=0),"",$L$37-1)),MIN(CC$38,$E53),$P$20))-SUM($BF53:CB53))</f>
        <v>0</v>
      </c>
      <c r="CD53" s="446">
        <f>IF($E53=0,0,IF(MIN(CD$38,$E53)&lt;MAX($P$34*($B53+$I$38-1),IF(AND($L$37=0,$P$34=0),"",$L$37-1)),0,YEARFRAC(MAX($P$34*($B53+$I$38-1),IF(AND($L$37=0,$P$34=0),"",$L$37-1)),MIN(CD$38,$E53),$P$20))-SUM($BF53:CC53))</f>
        <v>0</v>
      </c>
      <c r="CE53" s="446">
        <f>IF($E53=0,0,IF(MIN(CE$38,$E53)&lt;MAX($P$34*($B53+$I$38-1),IF(AND($L$37=0,$P$34=0),"",$L$37-1)),0,YEARFRAC(MAX($P$34*($B53+$I$38-1),IF(AND($L$37=0,$P$34=0),"",$L$37-1)),MIN(CE$38,$E53),$P$20))-SUM($BF53:CD53))</f>
        <v>0</v>
      </c>
      <c r="CF53" s="446">
        <f>IF($E53=0,0,IF(MIN(CF$38,$E53)&lt;MAX($P$34*($B53+$I$38-1),IF(AND($L$37=0,$P$34=0),"",$L$37-1)),0,YEARFRAC(MAX($P$34*($B53+$I$38-1),IF(AND($L$37=0,$P$34=0),"",$L$37-1)),MIN(CF$38,$E53),$P$20))-SUM($BF53:CE53))</f>
        <v>0</v>
      </c>
      <c r="CG53" s="446">
        <f>IF($E53=0,0,IF(MIN(CG$38,$E53)&lt;MAX($P$34*($B53+$I$38-1),IF(AND($L$37=0,$P$34=0),"",$L$37-1)),0,YEARFRAC(MAX($P$34*($B53+$I$38-1),IF(AND($L$37=0,$P$34=0),"",$L$37-1)),MIN(CG$38,$E53),$P$20))-SUM($BF53:CF53))</f>
        <v>0</v>
      </c>
      <c r="CH53" s="446">
        <f>IF($E53=0,0,IF(MIN(CH$38,$E53)&lt;MAX($P$34*($B53+$I$38-1),IF(AND($L$37=0,$P$34=0),"",$L$37-1)),0,YEARFRAC(MAX($P$34*($B53+$I$38-1),IF(AND($L$37=0,$P$34=0),"",$L$37-1)),MIN(CH$38,$E53),$P$20))-SUM($BF53:CG53))</f>
        <v>0</v>
      </c>
      <c r="CI53" s="446">
        <f>IF($E53=0,0,IF(MIN(CI$38,$E53)&lt;MAX($P$34*($B53+$I$38-1),IF(AND($L$37=0,$P$34=0),"",$L$37-1)),0,YEARFRAC(MAX($P$34*($B53+$I$38-1),IF(AND($L$37=0,$P$34=0),"",$L$37-1)),MIN(CI$38,$E53),$P$20))-SUM($BF53:CH53))</f>
        <v>0</v>
      </c>
      <c r="CJ53" s="446">
        <f>IF($E53=0,0,IF(MIN(CJ$38,$E53)&lt;MAX($P$34*($B53+$I$38-1),IF(AND($L$37=0,$P$34=0),"",$L$37-1)),0,YEARFRAC(MAX($P$34*($B53+$I$38-1),IF(AND($L$37=0,$P$34=0),"",$L$37-1)),MIN(CJ$38,$E53),$P$20))-SUM($BF53:CI53))</f>
        <v>0</v>
      </c>
      <c r="CK53" s="446">
        <f>IF($E53=0,0,IF(MIN(CK$38,$E53)&lt;MAX($P$34*($B53+$I$38-1),IF(AND($L$37=0,$P$34=0),"",$L$37-1)),0,YEARFRAC(MAX($P$34*($B53+$I$38-1),IF(AND($L$37=0,$P$34=0),"",$L$37-1)),MIN(CK$38,$E53),$P$20))-SUM($BF53:CJ53))</f>
        <v>0</v>
      </c>
      <c r="CL53" s="446">
        <f>IF($E53=0,0,IF(MIN(CL$38,$E53)&lt;MAX($P$34*($B53+$I$38-1),IF(AND($L$37=0,$P$34=0),"",$L$37-1)),0,YEARFRAC(MAX($P$34*($B53+$I$38-1),IF(AND($L$37=0,$P$34=0),"",$L$37-1)),MIN(CL$38,$E53),$P$20))-SUM($BF53:CK53))</f>
        <v>0</v>
      </c>
      <c r="CM53" s="446">
        <f>IF($E53=0,0,IF(MIN(CM$38,$E53)&lt;MAX($P$34*($B53+$I$38-1),IF(AND($L$37=0,$P$34=0),"",$L$37-1)),0,YEARFRAC(MAX($P$34*($B53+$I$38-1),IF(AND($L$37=0,$P$34=0),"",$L$37-1)),MIN(CM$38,$E53),$P$20))-SUM($BF53:CL53))</f>
        <v>0</v>
      </c>
      <c r="CN53" s="446">
        <f>IF($E53=0,0,IF(MIN(CN$38,$E53)&lt;MAX($P$34*($B53+$I$38-1),IF(AND($L$37=0,$P$34=0),"",$L$37-1)),0,YEARFRAC(MAX($P$34*($B53+$I$38-1),IF(AND($L$37=0,$P$34=0),"",$L$37-1)),MIN(CN$38,$E53),$P$20))-SUM($BF53:CM53))</f>
        <v>0</v>
      </c>
      <c r="CO53" s="446">
        <f>IF($E53=0,0,IF(MIN(CO$38,$E53)&lt;MAX($P$34*($B53+$I$38-1),IF(AND($L$37=0,$P$34=0),"",$L$37-1)),0,YEARFRAC(MAX($P$34*($B53+$I$38-1),IF(AND($L$37=0,$P$34=0),"",$L$37-1)),MIN(CO$38,$E53),$P$20))-SUM($BF53:CN53))</f>
        <v>0</v>
      </c>
      <c r="CP53" s="446">
        <f>IF($E53=0,0,IF(MIN(CP$38,$E53)&lt;MAX($P$34*($B53+$I$38-1),IF(AND($L$37=0,$P$34=0),"",$L$37-1)),0,YEARFRAC(MAX($P$34*($B53+$I$38-1),IF(AND($L$37=0,$P$34=0),"",$L$37-1)),MIN(CP$38,$E53),$P$20))-SUM($BF53:CO53))</f>
        <v>0</v>
      </c>
      <c r="CQ53" s="446">
        <f>IF($E53=0,0,IF(MIN(CQ$38,$E53)&lt;MAX($P$34*($B53+$I$38-1),IF(AND($L$37=0,$P$34=0),"",$L$37-1)),0,YEARFRAC(MAX($P$34*($B53+$I$38-1),IF(AND($L$37=0,$P$34=0),"",$L$37-1)),MIN(CQ$38,$E53),$P$20))-SUM($BF53:CP53))</f>
        <v>0</v>
      </c>
    </row>
    <row r="54" spans="1:95" s="446" customFormat="1" ht="11.25" hidden="1" customHeight="1" x14ac:dyDescent="0.2">
      <c r="A54" s="152"/>
      <c r="B54" s="153" t="str">
        <f t="shared" si="15"/>
        <v/>
      </c>
      <c r="C54" s="29" t="str">
        <f>IF(B54="","",IF($L$35="SELIC - TRIBUTOS",VLOOKUP(DATE(YEAR($D$19),MONTH($D$19)-1,1),ÍNDICES!$A:$DE,HLOOKUP($BL$25,ÍNDICES!$B$3:$T$4,2)+11)-VLOOKUP(B54,ÍNDICES!$A:$DE,HLOOKUP($BL$25,ÍNDICES!$B$3:$T$4,2)+11)+1%,IF(C$38=$W$26,$J$35,IF(ISERROR(IF(B54&gt;$D$19,1,VLOOKUP(DATE(YEAR(B54),MONTH(B54)+IF($C$35=$S$23,1,0),1),ÍNDICES!$A:$DE,$Z$35+1))),"",IF(B54&gt;$D$19,1,VLOOKUP(DATE(YEAR(B54),MONTH(B54)+IF($C$35=$S$23,1,0),1),ÍNDICES!$A:$DE,$Z$35+1))))))</f>
        <v/>
      </c>
      <c r="D54" s="154" t="str">
        <f>IF(ISERROR(IF(OR($D$38=$Y$27,$B54=""),"",VLOOKUP(B54,ÍNDICES!A:DE,AF$35+1))),"",IF(OR($D$38=$Y$27,$B54=""),"",VLOOKUP(B54,ÍNDICES!A:DE,AF$35+1)))</f>
        <v/>
      </c>
      <c r="E54" s="153"/>
      <c r="F54" s="29" t="str">
        <f>IF(E54="","",IF($L$35="SELIC - TRIBUTOS",VLOOKUP(DATE(YEAR($D$19),MONTH($D$19)-1,1),ÍNDICES!$A:$DE,HLOOKUP($BL$25,ÍNDICES!$B$3:$T$4,2)+11)-VLOOKUP(E54,ÍNDICES!$A:$DE,HLOOKUP($BL$25,ÍNDICES!$B$3:$T$4,2)+11)+1%,IF(F$38=$W$26,$J$35,IF(ISERROR(IF(E54&gt;$D$19,1,VLOOKUP(DATE(YEAR(E54),MONTH(E54)+IF($C$35=$S$23,1,0),1),ÍNDICES!$A:$DE,$Z$35+1))),"",IF(E54&gt;$D$19,1,VLOOKUP(DATE(YEAR(E54),MONTH(E54)+IF($C$35=$S$23,1,0),1),ÍNDICES!$A:$DE,$Z$35+1))))))</f>
        <v/>
      </c>
      <c r="G54" s="155"/>
      <c r="H54" s="156" t="str">
        <f t="shared" si="11"/>
        <v/>
      </c>
      <c r="I54" s="29" t="str">
        <f t="shared" si="5"/>
        <v/>
      </c>
      <c r="J54" s="5">
        <f t="shared" si="6"/>
        <v>0</v>
      </c>
      <c r="K54" s="20">
        <f t="shared" ca="1" si="7"/>
        <v>0</v>
      </c>
      <c r="L54" s="5">
        <f t="shared" ca="1" si="8"/>
        <v>0</v>
      </c>
      <c r="M54" s="64">
        <f t="shared" si="12"/>
        <v>0</v>
      </c>
      <c r="N54" s="61">
        <f t="shared" ca="1" si="13"/>
        <v>0</v>
      </c>
      <c r="O54" s="5">
        <f t="shared" ca="1" si="14"/>
        <v>0</v>
      </c>
      <c r="P54" s="446" t="e">
        <f t="shared" si="9"/>
        <v>#VALUE!</v>
      </c>
      <c r="Q54" s="446" t="e">
        <f>IF(OR($B54="",MIN(Q$38,$D$19)&lt;MAX($P$34*($B54+IF($R$17="Distrato",$I$38-1,0)),IF(AND($L$37=0,$P$34=0),"",$L$37-1),IF($R$17="Distrato",$E54,0))),0,YEARFRAC(MAX($P$34*($B54+IF($R$17="Distrato",$I$38-1,0)),IF(AND($L$37=0,$P$34=0),"",$L$37-1),IF($R$17="Distrato",$E54,0)),MIN(Q$38,$D$19),$P$20))-SUM($P54:P54)</f>
        <v>#VALUE!</v>
      </c>
      <c r="R54" s="446" t="e">
        <f>IF(OR($B54="",MIN(R$38,$D$19)&lt;MAX($P$34*($B54+IF($R$17="Distrato",$I$38-1,0)),IF(AND($L$37=0,$P$34=0),"",$L$37-1),IF($R$17="Distrato",$E54,0))),0,YEARFRAC(MAX($P$34*($B54+IF($R$17="Distrato",$I$38-1,0)),IF(AND($L$37=0,$P$34=0),"",$L$37-1),IF($R$17="Distrato",$E54,0)),MIN(R$38,$D$19),$P$20))-SUM($P54:Q54)</f>
        <v>#VALUE!</v>
      </c>
      <c r="S54" s="446" t="e">
        <f>IF(OR($B54="",MIN(S$38,$D$19)&lt;MAX($P$34*($B54+IF($R$17="Distrato",$I$38-1,0)),IF(AND($L$37=0,$P$34=0),"",$L$37-1),IF($R$17="Distrato",$E54,0))),0,YEARFRAC(MAX($P$34*($B54+IF($R$17="Distrato",$I$38-1,0)),IF(AND($L$37=0,$P$34=0),"",$L$37-1),IF($R$17="Distrato",$E54,0)),MIN(S$38,$D$19),$P$20))-SUM($P54:R54)</f>
        <v>#VALUE!</v>
      </c>
      <c r="T54" s="446" t="e">
        <f>IF(OR($B54="",MIN(T$38,$D$19)&lt;MAX($P$34*($B54+IF($R$17="Distrato",$I$38-1,0)),IF(AND($L$37=0,$P$34=0),"",$L$37-1),IF($R$17="Distrato",$E54,0))),0,YEARFRAC(MAX($P$34*($B54+IF($R$17="Distrato",$I$38-1,0)),IF(AND($L$37=0,$P$34=0),"",$L$37-1),IF($R$17="Distrato",$E54,0)),MIN(T$38,$D$19),$P$20))-SUM($P54:S54)</f>
        <v>#VALUE!</v>
      </c>
      <c r="U54" s="446" t="e">
        <f>IF(OR($B54="",MIN(U$38,$D$19)&lt;MAX($P$34*($B54+IF($R$17="Distrato",$I$38-1,0)),IF(AND($L$37=0,$P$34=0),"",$L$37-1),IF($R$17="Distrato",$E54,0))),0,YEARFRAC(MAX($P$34*($B54+IF($R$17="Distrato",$I$38-1,0)),IF(AND($L$37=0,$P$34=0),"",$L$37-1),IF($R$17="Distrato",$E54,0)),MIN(U$38,$D$19),$P$20))-SUM($P54:T54)</f>
        <v>#VALUE!</v>
      </c>
      <c r="V54" s="446" t="e">
        <f>IF(OR($B54="",MIN(V$38,$D$19)&lt;MAX($P$34*($B54+IF($R$17="Distrato",$I$38-1,0)),IF(AND($L$37=0,$P$34=0),"",$L$37-1),IF($R$17="Distrato",$E54,0))),0,YEARFRAC(MAX($P$34*($B54+IF($R$17="Distrato",$I$38-1,0)),IF(AND($L$37=0,$P$34=0),"",$L$37-1),IF($R$17="Distrato",$E54,0)),MIN(V$38,$D$19),$P$20))-SUM($P54:U54)</f>
        <v>#VALUE!</v>
      </c>
      <c r="W54" s="446" t="e">
        <f>IF(OR($B54="",MIN(W$38,$D$19)&lt;MAX($P$34*($B54+IF($R$17="Distrato",$I$38-1,0)),IF(AND($L$37=0,$P$34=0),"",$L$37-1),IF($R$17="Distrato",$E54,0))),0,YEARFRAC(MAX($P$34*($B54+IF($R$17="Distrato",$I$38-1,0)),IF(AND($L$37=0,$P$34=0),"",$L$37-1),IF($R$17="Distrato",$E54,0)),MIN(W$38,$D$19),$P$20))-SUM($P54:V54)</f>
        <v>#VALUE!</v>
      </c>
      <c r="X54" s="446" t="e">
        <f>IF(OR($B54="",MIN(X$38,$D$19)&lt;MAX($P$34*($B54+IF($R$17="Distrato",$I$38-1,0)),IF(AND($L$37=0,$P$34=0),"",$L$37-1),IF($R$17="Distrato",$E54,0))),0,YEARFRAC(MAX($P$34*($B54+IF($R$17="Distrato",$I$38-1,0)),IF(AND($L$37=0,$P$34=0),"",$L$37-1),IF($R$17="Distrato",$E54,0)),MIN(X$38,$D$19),$P$20))-SUM($P54:W54)</f>
        <v>#VALUE!</v>
      </c>
      <c r="Y54" s="446" t="e">
        <f>IF(OR($B54="",MIN(Y$38,$D$19)&lt;MAX($P$34*($B54+IF($R$17="Distrato",$I$38-1,0)),IF(AND($L$37=0,$P$34=0),"",$L$37-1),IF($R$17="Distrato",$E54,0))),0,YEARFRAC(MAX($P$34*($B54+IF($R$17="Distrato",$I$38-1,0)),IF(AND($L$37=0,$P$34=0),"",$L$37-1),IF($R$17="Distrato",$E54,0)),MIN(Y$38,$D$19),$P$20))-SUM($P54:X54)</f>
        <v>#VALUE!</v>
      </c>
      <c r="Z54" s="446" t="e">
        <f>IF(OR($B54="",MIN(Z$38,$D$19)&lt;MAX($P$34*($B54+IF($R$17="Distrato",$I$38-1,0)),IF(AND($L$37=0,$P$34=0),"",$L$37-1),IF($R$17="Distrato",$E54,0))),0,YEARFRAC(MAX($P$34*($B54+IF($R$17="Distrato",$I$38-1,0)),IF(AND($L$37=0,$P$34=0),"",$L$37-1),IF($R$17="Distrato",$E54,0)),MIN(Z$38,$D$19),$P$20))-SUM($P54:Y54)</f>
        <v>#VALUE!</v>
      </c>
      <c r="AA54" s="446" t="e">
        <f>IF(OR($B54="",MIN(AA$38,$D$19)&lt;MAX($P$34*($B54+IF($R$17="Distrato",$I$38-1,0)),IF(AND($L$37=0,$P$34=0),"",$L$37-1),IF($R$17="Distrato",$E54,0))),0,YEARFRAC(MAX($P$34*($B54+IF($R$17="Distrato",$I$38-1,0)),IF(AND($L$37=0,$P$34=0),"",$L$37-1),IF($R$17="Distrato",$E54,0)),MIN(AA$38,$D$19),$P$20))-SUM($P54:Z54)</f>
        <v>#VALUE!</v>
      </c>
      <c r="AB54" s="446" t="e">
        <f>IF(OR($B54="",MIN(AB$38,$D$19)&lt;MAX($P$34*($B54+IF($R$17="Distrato",$I$38-1,0)),IF(AND($L$37=0,$P$34=0),"",$L$37-1),IF($R$17="Distrato",$E54,0))),0,YEARFRAC(MAX($P$34*($B54+IF($R$17="Distrato",$I$38-1,0)),IF(AND($L$37=0,$P$34=0),"",$L$37-1),IF($R$17="Distrato",$E54,0)),MIN(AB$38,$D$19),$P$20))-SUM($P54:AA54)</f>
        <v>#VALUE!</v>
      </c>
      <c r="AC54" s="446" t="e">
        <f>IF(OR($B54="",MIN(AC$38,$D$19)&lt;MAX($P$34*($B54+IF($R$17="Distrato",$I$38-1,0)),IF(AND($L$37=0,$P$34=0),"",$L$37-1),IF($R$17="Distrato",$E54,0))),0,YEARFRAC(MAX($P$34*($B54+IF($R$17="Distrato",$I$38-1,0)),IF(AND($L$37=0,$P$34=0),"",$L$37-1),IF($R$17="Distrato",$E54,0)),MIN(AC$38,$D$19),$P$20))-SUM($P54:AB54)</f>
        <v>#VALUE!</v>
      </c>
      <c r="AD54" s="446" t="e">
        <f>IF(OR($B54="",MIN(AD$38,$D$19)&lt;MAX($P$34*($B54+IF($R$17="Distrato",$I$38-1,0)),IF(AND($L$37=0,$P$34=0),"",$L$37-1),IF($R$17="Distrato",$E54,0))),0,YEARFRAC(MAX($P$34*($B54+IF($R$17="Distrato",$I$38-1,0)),IF(AND($L$37=0,$P$34=0),"",$L$37-1),IF($R$17="Distrato",$E54,0)),MIN(AD$38,$D$19),$P$20))-SUM($P54:AC54)</f>
        <v>#VALUE!</v>
      </c>
      <c r="AE54" s="446" t="e">
        <f>IF(OR($B54="",MIN(AE$38,$D$19)&lt;MAX($P$34*($B54+IF($R$17="Distrato",$I$38-1,0)),IF(AND($L$37=0,$P$34=0),"",$L$37-1),IF($R$17="Distrato",$E54,0))),0,YEARFRAC(MAX($P$34*($B54+IF($R$17="Distrato",$I$38-1,0)),IF(AND($L$37=0,$P$34=0),"",$L$37-1),IF($R$17="Distrato",$E54,0)),MIN(AE$38,$D$19),$P$20))-SUM($P54:AD54)</f>
        <v>#VALUE!</v>
      </c>
      <c r="AF54" s="446" t="e">
        <f>IF(OR($B54="",MIN(AF$38,$D$19)&lt;MAX($P$34*($B54+IF($R$17="Distrato",$I$38-1,0)),IF(AND($L$37=0,$P$34=0),"",$L$37-1),IF($R$17="Distrato",$E54,0))),0,YEARFRAC(MAX($P$34*($B54+IF($R$17="Distrato",$I$38-1,0)),IF(AND($L$37=0,$P$34=0),"",$L$37-1),IF($R$17="Distrato",$E54,0)),MIN(AF$38,$D$19),$P$20))-SUM($P54:AE54)</f>
        <v>#VALUE!</v>
      </c>
      <c r="AG54" s="446" t="e">
        <f>IF(OR($B54="",MIN(AG$38,$D$19)&lt;MAX($P$34*($B54+IF($R$17="Distrato",$I$38-1,0)),IF(AND($L$37=0,$P$34=0),"",$L$37-1),IF($R$17="Distrato",$E54,0))),0,YEARFRAC(MAX($P$34*($B54+IF($R$17="Distrato",$I$38-1,0)),IF(AND($L$37=0,$P$34=0),"",$L$37-1),IF($R$17="Distrato",$E54,0)),MIN(AG$38,$D$19),$P$20))-SUM($P54:AF54)</f>
        <v>#VALUE!</v>
      </c>
      <c r="AH54" s="446" t="e">
        <f>IF(OR($B54="",MIN(AH$38,$D$19)&lt;MAX($P$34*($B54+IF($R$17="Distrato",$I$38-1,0)),IF(AND($L$37=0,$P$34=0),"",$L$37-1),IF($R$17="Distrato",$E54,0))),0,YEARFRAC(MAX($P$34*($B54+IF($R$17="Distrato",$I$38-1,0)),IF(AND($L$37=0,$P$34=0),"",$L$37-1),IF($R$17="Distrato",$E54,0)),MIN(AH$38,$D$19),$P$20))-SUM($P54:AG54)</f>
        <v>#VALUE!</v>
      </c>
      <c r="AI54" s="446" t="e">
        <f>IF(OR($B54="",MIN(AI$38,$D$19)&lt;MAX($P$34*($B54+IF($R$17="Distrato",$I$38-1,0)),IF(AND($L$37=0,$P$34=0),"",$L$37-1),IF($R$17="Distrato",$E54,0))),0,YEARFRAC(MAX($P$34*($B54+IF($R$17="Distrato",$I$38-1,0)),IF(AND($L$37=0,$P$34=0),"",$L$37-1),IF($R$17="Distrato",$E54,0)),MIN(AI$38,$D$19),$P$20))-SUM($P54:AH54)</f>
        <v>#VALUE!</v>
      </c>
      <c r="AJ54" s="446" t="e">
        <f>IF(OR($B54="",MIN(AJ$38,$D$19)&lt;MAX($P$34*($B54+IF($R$17="Distrato",$I$38-1,0)),IF(AND($L$37=0,$P$34=0),"",$L$37-1),IF($R$17="Distrato",$E54,0))),0,YEARFRAC(MAX($P$34*($B54+IF($R$17="Distrato",$I$38-1,0)),IF(AND($L$37=0,$P$34=0),"",$L$37-1),IF($R$17="Distrato",$E54,0)),MIN(AJ$38,$D$19),$P$20))-SUM($P54:AI54)</f>
        <v>#VALUE!</v>
      </c>
      <c r="AK54" s="446" t="e">
        <f>IF(OR($B54="",MIN(AK$38,$D$19)&lt;MAX($P$34*($B54+IF($R$17="Distrato",$I$38-1,0)),IF(AND($L$37=0,$P$34=0),"",$L$37-1),IF($R$17="Distrato",$E54,0))),0,YEARFRAC(MAX($P$34*($B54+IF($R$17="Distrato",$I$38-1,0)),IF(AND($L$37=0,$P$34=0),"",$L$37-1),IF($R$17="Distrato",$E54,0)),MIN(AK$38,$D$19),$P$20))-SUM($P54:AJ54)</f>
        <v>#VALUE!</v>
      </c>
      <c r="AL54" s="446" t="e">
        <f>IF(OR($B54="",MIN(AL$38,$D$19)&lt;MAX($P$34*($B54+IF($R$17="Distrato",$I$38-1,0)),IF(AND($L$37=0,$P$34=0),"",$L$37-1),IF($R$17="Distrato",$E54,0))),0,YEARFRAC(MAX($P$34*($B54+IF($R$17="Distrato",$I$38-1,0)),IF(AND($L$37=0,$P$34=0),"",$L$37-1),IF($R$17="Distrato",$E54,0)),MIN(AL$38,$D$19),$P$20))-SUM($P54:AK54)</f>
        <v>#VALUE!</v>
      </c>
      <c r="AM54" s="446" t="e">
        <f>IF(OR($B54="",MIN(AM$38,$D$19)&lt;MAX($P$34*($B54+IF($R$17="Distrato",$I$38-1,0)),IF(AND($L$37=0,$P$34=0),"",$L$37-1),IF($R$17="Distrato",$E54,0))),0,YEARFRAC(MAX($P$34*($B54+IF($R$17="Distrato",$I$38-1,0)),IF(AND($L$37=0,$P$34=0),"",$L$37-1),IF($R$17="Distrato",$E54,0)),MIN(AM$38,$D$19),$P$20))-SUM($P54:AL54)</f>
        <v>#VALUE!</v>
      </c>
      <c r="AN54" s="446" t="e">
        <f>IF(OR($B54="",MIN(AN$38,$D$19)&lt;MAX($P$34*($B54+IF($R$17="Distrato",$I$38-1,0)),IF(AND($L$37=0,$P$34=0),"",$L$37-1),IF($R$17="Distrato",$E54,0))),0,YEARFRAC(MAX($P$34*($B54+IF($R$17="Distrato",$I$38-1,0)),IF(AND($L$37=0,$P$34=0),"",$L$37-1),IF($R$17="Distrato",$E54,0)),MIN(AN$38,$D$19),$P$20))-SUM($P54:AM54)</f>
        <v>#VALUE!</v>
      </c>
      <c r="AO54" s="446" t="e">
        <f>IF(OR($B54="",MIN(AO$38,$D$19)&lt;MAX($P$34*($B54+IF($R$17="Distrato",$I$38-1,0)),IF(AND($L$37=0,$P$34=0),"",$L$37-1),IF($R$17="Distrato",$E54,0))),0,YEARFRAC(MAX($P$34*($B54+IF($R$17="Distrato",$I$38-1,0)),IF(AND($L$37=0,$P$34=0),"",$L$37-1),IF($R$17="Distrato",$E54,0)),MIN(AO$38,$D$19),$P$20))-SUM($P54:AN54)</f>
        <v>#VALUE!</v>
      </c>
      <c r="AP54" s="446" t="e">
        <f>IF(OR($B54="",MIN(AP$38,$D$19)&lt;MAX($P$34*($B54+IF($R$17="Distrato",$I$38-1,0)),IF(AND($L$37=0,$P$34=0),"",$L$37-1),IF($R$17="Distrato",$E54,0))),0,YEARFRAC(MAX($P$34*($B54+IF($R$17="Distrato",$I$38-1,0)),IF(AND($L$37=0,$P$34=0),"",$L$37-1),IF($R$17="Distrato",$E54,0)),MIN(AP$38,$D$19),$P$20))-SUM($P54:AO54)</f>
        <v>#VALUE!</v>
      </c>
      <c r="AQ54" s="446" t="e">
        <f>IF(OR($B54="",MIN(AQ$38,$D$19)&lt;MAX($P$34*($B54+IF($R$17="Distrato",$I$38-1,0)),IF(AND($L$37=0,$P$34=0),"",$L$37-1),IF($R$17="Distrato",$E54,0))),0,YEARFRAC(MAX($P$34*($B54+IF($R$17="Distrato",$I$38-1,0)),IF(AND($L$37=0,$P$34=0),"",$L$37-1),IF($R$17="Distrato",$E54,0)),MIN(AQ$38,$D$19),$P$20))-SUM($P54:AP54)</f>
        <v>#VALUE!</v>
      </c>
      <c r="AR54" s="446" t="e">
        <f>IF(OR($B54="",MIN(AR$38,$D$19)&lt;MAX($P$34*($B54+IF($R$17="Distrato",$I$38-1,0)),IF(AND($L$37=0,$P$34=0),"",$L$37-1),IF($R$17="Distrato",$E54,0))),0,YEARFRAC(MAX($P$34*($B54+IF($R$17="Distrato",$I$38-1,0)),IF(AND($L$37=0,$P$34=0),"",$L$37-1),IF($R$17="Distrato",$E54,0)),MIN(AR$38,$D$19),$P$20))-SUM($P54:AQ54)</f>
        <v>#VALUE!</v>
      </c>
      <c r="AS54" s="446" t="e">
        <f>IF(OR($B54="",MIN(AS$38,$D$19)&lt;MAX($P$34*($B54+IF($R$17="Distrato",$I$38-1,0)),IF(AND($L$37=0,$P$34=0),"",$L$37-1),IF($R$17="Distrato",$E54,0))),0,YEARFRAC(MAX($P$34*($B54+IF($R$17="Distrato",$I$38-1,0)),IF(AND($L$37=0,$P$34=0),"",$L$37-1),IF($R$17="Distrato",$E54,0)),MIN(AS$38,$D$19),$P$20))-SUM($P54:AR54)</f>
        <v>#VALUE!</v>
      </c>
      <c r="AT54" s="446" t="e">
        <f>IF(OR($B54="",MIN(AT$38,$D$19)&lt;MAX($P$34*($B54+IF($R$17="Distrato",$I$38-1,0)),IF(AND($L$37=0,$P$34=0),"",$L$37-1),IF($R$17="Distrato",$E54,0))),0,YEARFRAC(MAX($P$34*($B54+IF($R$17="Distrato",$I$38-1,0)),IF(AND($L$37=0,$P$34=0),"",$L$37-1),IF($R$17="Distrato",$E54,0)),MIN(AT$38,$D$19),$P$20))-SUM($P54:AS54)</f>
        <v>#VALUE!</v>
      </c>
      <c r="AU54" s="446" t="e">
        <f>IF(OR($B54="",MIN(AU$38,$D$19)&lt;MAX($P$34*($B54+IF($R$17="Distrato",$I$38-1,0)),IF(AND($L$37=0,$P$34=0),"",$L$37-1),IF($R$17="Distrato",$E54,0))),0,YEARFRAC(MAX($P$34*($B54+IF($R$17="Distrato",$I$38-1,0)),IF(AND($L$37=0,$P$34=0),"",$L$37-1),IF($R$17="Distrato",$E54,0)),MIN(AU$38,$D$19),$P$20))-SUM($P54:AT54)</f>
        <v>#VALUE!</v>
      </c>
      <c r="AV54" s="446" t="e">
        <f>IF(OR($B54="",MIN(AV$38,$D$19)&lt;MAX($P$34*($B54+IF($R$17="Distrato",$I$38-1,0)),IF(AND($L$37=0,$P$34=0),"",$L$37-1),IF($R$17="Distrato",$E54,0))),0,YEARFRAC(MAX($P$34*($B54+IF($R$17="Distrato",$I$38-1,0)),IF(AND($L$37=0,$P$34=0),"",$L$37-1),IF($R$17="Distrato",$E54,0)),MIN(AV$38,$D$19),$P$20))-SUM($P54:AU54)</f>
        <v>#VALUE!</v>
      </c>
      <c r="AW54" s="446" t="e">
        <f>IF(OR($B54="",MIN(AW$38,$D$19)&lt;MAX($P$34*($B54+IF($R$17="Distrato",$I$38-1,0)),IF(AND($L$37=0,$P$34=0),"",$L$37-1),IF($R$17="Distrato",$E54,0))),0,YEARFRAC(MAX($P$34*($B54+IF($R$17="Distrato",$I$38-1,0)),IF(AND($L$37=0,$P$34=0),"",$L$37-1),IF($R$17="Distrato",$E54,0)),MIN(AW$38,$D$19),$P$20))-SUM($P54:AV54)</f>
        <v>#VALUE!</v>
      </c>
      <c r="AX54" s="446" t="e">
        <f>IF(OR($B54="",MIN(AX$38,$D$19)&lt;MAX($P$34*($B54+IF($R$17="Distrato",$I$38-1,0)),IF(AND($L$37=0,$P$34=0),"",$L$37-1),IF($R$17="Distrato",$E54,0))),0,YEARFRAC(MAX($P$34*($B54+IF($R$17="Distrato",$I$38-1,0)),IF(AND($L$37=0,$P$34=0),"",$L$37-1),IF($R$17="Distrato",$E54,0)),MIN(AX$38,$D$19),$P$20))-SUM($P54:AW54)</f>
        <v>#VALUE!</v>
      </c>
      <c r="AY54" s="446" t="e">
        <f>IF(OR($B54="",MIN(AY$38,$D$19)&lt;MAX($P$34*($B54+IF($R$17="Distrato",$I$38-1,0)),IF(AND($L$37=0,$P$34=0),"",$L$37-1),IF($R$17="Distrato",$E54,0))),0,YEARFRAC(MAX($P$34*($B54+IF($R$17="Distrato",$I$38-1,0)),IF(AND($L$37=0,$P$34=0),"",$L$37-1),IF($R$17="Distrato",$E54,0)),MIN(AY$38,$D$19),$P$20))-SUM($P54:AX54)</f>
        <v>#VALUE!</v>
      </c>
      <c r="AZ54" s="446" t="e">
        <f>IF(OR($B54="",MIN(AZ$38,$D$19)&lt;MAX($P$34*($B54+IF($R$17="Distrato",$I$38-1,0)),IF(AND($L$37=0,$P$34=0),"",$L$37-1),IF($R$17="Distrato",$E54,0))),0,YEARFRAC(MAX($P$34*($B54+IF($R$17="Distrato",$I$38-1,0)),IF(AND($L$37=0,$P$34=0),"",$L$37-1),IF($R$17="Distrato",$E54,0)),MIN(AZ$38,$D$19),$P$20))-SUM($P54:AY54)</f>
        <v>#VALUE!</v>
      </c>
      <c r="BA54" s="446" t="e">
        <f>IF(OR($B54="",MIN(BA$38,$D$19)&lt;MAX($P$34*($B54+IF($R$17="Distrato",$I$38-1,0)),IF(AND($L$37=0,$P$34=0),"",$L$37-1),IF($R$17="Distrato",$E54,0))),0,YEARFRAC(MAX($P$34*($B54+IF($R$17="Distrato",$I$38-1,0)),IF(AND($L$37=0,$P$34=0),"",$L$37-1),IF($R$17="Distrato",$E54,0)),MIN(BA$38,$D$19),$P$20))-SUM($P54:AZ54)</f>
        <v>#VALUE!</v>
      </c>
      <c r="BB54" s="447"/>
      <c r="BF54" s="446">
        <f t="shared" si="10"/>
        <v>0</v>
      </c>
      <c r="BG54" s="446">
        <f>IF($E54=0,0,IF(MIN(BG$38,$E54)&lt;MAX($P$34*($B54+$I$38-1),IF(AND($L$37=0,$P$34=0),"",$L$37-1)),0,YEARFRAC(MAX($P$34*($B54+$I$38-1),IF(AND($L$37=0,$P$34=0),"",$L$37-1)),MIN(BG$38,$E54),$P$20))-SUM($BF54:BF54))</f>
        <v>0</v>
      </c>
      <c r="BH54" s="446">
        <f>IF($E54=0,0,IF(MIN(BH$38,$E54)&lt;MAX($P$34*($B54+$I$38-1),IF(AND($L$37=0,$P$34=0),"",$L$37-1)),0,YEARFRAC(MAX($P$34*($B54+$I$38-1),IF(AND($L$37=0,$P$34=0),"",$L$37-1)),MIN(BH$38,$E54),$P$20))-SUM($BF54:BG54))</f>
        <v>0</v>
      </c>
      <c r="BI54" s="446">
        <f>IF($E54=0,0,IF(MIN(BI$38,$E54)&lt;MAX($P$34*($B54+$I$38-1),IF(AND($L$37=0,$P$34=0),"",$L$37-1)),0,YEARFRAC(MAX($P$34*($B54+$I$38-1),IF(AND($L$37=0,$P$34=0),"",$L$37-1)),MIN(BI$38,$E54),$P$20))-SUM($BF54:BH54))</f>
        <v>0</v>
      </c>
      <c r="BJ54" s="446">
        <f>IF($E54=0,0,IF(MIN(BJ$38,$E54)&lt;MAX($P$34*($B54+$I$38-1),IF(AND($L$37=0,$P$34=0),"",$L$37-1)),0,YEARFRAC(MAX($P$34*($B54+$I$38-1),IF(AND($L$37=0,$P$34=0),"",$L$37-1)),MIN(BJ$38,$E54),$P$20))-SUM($BF54:BI54))</f>
        <v>0</v>
      </c>
      <c r="BK54" s="446">
        <f>IF($E54=0,0,IF(MIN(BK$38,$E54)&lt;MAX($P$34*($B54+$I$38-1),IF(AND($L$37=0,$P$34=0),"",$L$37-1)),0,YEARFRAC(MAX($P$34*($B54+$I$38-1),IF(AND($L$37=0,$P$34=0),"",$L$37-1)),MIN(BK$38,$E54),$P$20))-SUM($BF54:BJ54))</f>
        <v>0</v>
      </c>
      <c r="BL54" s="446">
        <f>IF($E54=0,0,IF(MIN(BL$38,$E54)&lt;MAX($P$34*($B54+$I$38-1),IF(AND($L$37=0,$P$34=0),"",$L$37-1)),0,YEARFRAC(MAX($P$34*($B54+$I$38-1),IF(AND($L$37=0,$P$34=0),"",$L$37-1)),MIN(BL$38,$E54),$P$20))-SUM($BF54:BK54))</f>
        <v>0</v>
      </c>
      <c r="BM54" s="446">
        <f>IF($E54=0,0,IF(MIN(BM$38,$E54)&lt;MAX($P$34*($B54+$I$38-1),IF(AND($L$37=0,$P$34=0),"",$L$37-1)),0,YEARFRAC(MAX($P$34*($B54+$I$38-1),IF(AND($L$37=0,$P$34=0),"",$L$37-1)),MIN(BM$38,$E54),$P$20))-SUM($BF54:BL54))</f>
        <v>0</v>
      </c>
      <c r="BN54" s="446">
        <f>IF($E54=0,0,IF(MIN(BN$38,$E54)&lt;MAX($P$34*($B54+$I$38-1),IF(AND($L$37=0,$P$34=0),"",$L$37-1)),0,YEARFRAC(MAX($P$34*($B54+$I$38-1),IF(AND($L$37=0,$P$34=0),"",$L$37-1)),MIN(BN$38,$E54),$P$20))-SUM($BF54:BM54))</f>
        <v>0</v>
      </c>
      <c r="BO54" s="446">
        <f>IF($E54=0,0,IF(MIN(BO$38,$E54)&lt;MAX($P$34*($B54+$I$38-1),IF(AND($L$37=0,$P$34=0),"",$L$37-1)),0,YEARFRAC(MAX($P$34*($B54+$I$38-1),IF(AND($L$37=0,$P$34=0),"",$L$37-1)),MIN(BO$38,$E54),$P$20))-SUM($BF54:BN54))</f>
        <v>0</v>
      </c>
      <c r="BP54" s="446">
        <f>IF($E54=0,0,IF(MIN(BP$38,$E54)&lt;MAX($P$34*($B54+$I$38-1),IF(AND($L$37=0,$P$34=0),"",$L$37-1)),0,YEARFRAC(MAX($P$34*($B54+$I$38-1),IF(AND($L$37=0,$P$34=0),"",$L$37-1)),MIN(BP$38,$E54),$P$20))-SUM($BF54:BO54))</f>
        <v>0</v>
      </c>
      <c r="BQ54" s="446">
        <f>IF($E54=0,0,IF(MIN(BQ$38,$E54)&lt;MAX($P$34*($B54+$I$38-1),IF(AND($L$37=0,$P$34=0),"",$L$37-1)),0,YEARFRAC(MAX($P$34*($B54+$I$38-1),IF(AND($L$37=0,$P$34=0),"",$L$37-1)),MIN(BQ$38,$E54),$P$20))-SUM($BF54:BP54))</f>
        <v>0</v>
      </c>
      <c r="BR54" s="446">
        <f>IF($E54=0,0,IF(MIN(BR$38,$E54)&lt;MAX($P$34*($B54+$I$38-1),IF(AND($L$37=0,$P$34=0),"",$L$37-1)),0,YEARFRAC(MAX($P$34*($B54+$I$38-1),IF(AND($L$37=0,$P$34=0),"",$L$37-1)),MIN(BR$38,$E54),$P$20))-SUM($BF54:BQ54))</f>
        <v>0</v>
      </c>
      <c r="BS54" s="446">
        <f>IF($E54=0,0,IF(MIN(BS$38,$E54)&lt;MAX($P$34*($B54+$I$38-1),IF(AND($L$37=0,$P$34=0),"",$L$37-1)),0,YEARFRAC(MAX($P$34*($B54+$I$38-1),IF(AND($L$37=0,$P$34=0),"",$L$37-1)),MIN(BS$38,$E54),$P$20))-SUM($BF54:BR54))</f>
        <v>0</v>
      </c>
      <c r="BT54" s="446">
        <f>IF($E54=0,0,IF(MIN(BT$38,$E54)&lt;MAX($P$34*($B54+$I$38-1),IF(AND($L$37=0,$P$34=0),"",$L$37-1)),0,YEARFRAC(MAX($P$34*($B54+$I$38-1),IF(AND($L$37=0,$P$34=0),"",$L$37-1)),MIN(BT$38,$E54),$P$20))-SUM($BF54:BS54))</f>
        <v>0</v>
      </c>
      <c r="BU54" s="446">
        <f>IF($E54=0,0,IF(MIN(BU$38,$E54)&lt;MAX($P$34*($B54+$I$38-1),IF(AND($L$37=0,$P$34=0),"",$L$37-1)),0,YEARFRAC(MAX($P$34*($B54+$I$38-1),IF(AND($L$37=0,$P$34=0),"",$L$37-1)),MIN(BU$38,$E54),$P$20))-SUM($BF54:BT54))</f>
        <v>0</v>
      </c>
      <c r="BV54" s="446">
        <f>IF($E54=0,0,IF(MIN(BV$38,$E54)&lt;MAX($P$34*($B54+$I$38-1),IF(AND($L$37=0,$P$34=0),"",$L$37-1)),0,YEARFRAC(MAX($P$34*($B54+$I$38-1),IF(AND($L$37=0,$P$34=0),"",$L$37-1)),MIN(BV$38,$E54),$P$20))-SUM($BF54:BU54))</f>
        <v>0</v>
      </c>
      <c r="BW54" s="446">
        <f>IF($E54=0,0,IF(MIN(BW$38,$E54)&lt;MAX($P$34*($B54+$I$38-1),IF(AND($L$37=0,$P$34=0),"",$L$37-1)),0,YEARFRAC(MAX($P$34*($B54+$I$38-1),IF(AND($L$37=0,$P$34=0),"",$L$37-1)),MIN(BW$38,$E54),$P$20))-SUM($BF54:BV54))</f>
        <v>0</v>
      </c>
      <c r="BX54" s="446">
        <f>IF($E54=0,0,IF(MIN(BX$38,$E54)&lt;MAX($P$34*($B54+$I$38-1),IF(AND($L$37=0,$P$34=0),"",$L$37-1)),0,YEARFRAC(MAX($P$34*($B54+$I$38-1),IF(AND($L$37=0,$P$34=0),"",$L$37-1)),MIN(BX$38,$E54),$P$20))-SUM($BF54:BW54))</f>
        <v>0</v>
      </c>
      <c r="BY54" s="446">
        <f>IF($E54=0,0,IF(MIN(BY$38,$E54)&lt;MAX($P$34*($B54+$I$38-1),IF(AND($L$37=0,$P$34=0),"",$L$37-1)),0,YEARFRAC(MAX($P$34*($B54+$I$38-1),IF(AND($L$37=0,$P$34=0),"",$L$37-1)),MIN(BY$38,$E54),$P$20))-SUM($BF54:BX54))</f>
        <v>0</v>
      </c>
      <c r="BZ54" s="446">
        <f>IF($E54=0,0,IF(MIN(BZ$38,$E54)&lt;MAX($P$34*($B54+$I$38-1),IF(AND($L$37=0,$P$34=0),"",$L$37-1)),0,YEARFRAC(MAX($P$34*($B54+$I$38-1),IF(AND($L$37=0,$P$34=0),"",$L$37-1)),MIN(BZ$38,$E54),$P$20))-SUM($BF54:BY54))</f>
        <v>0</v>
      </c>
      <c r="CA54" s="446">
        <f>IF($E54=0,0,IF(MIN(CA$38,$E54)&lt;MAX($P$34*($B54+$I$38-1),IF(AND($L$37=0,$P$34=0),"",$L$37-1)),0,YEARFRAC(MAX($P$34*($B54+$I$38-1),IF(AND($L$37=0,$P$34=0),"",$L$37-1)),MIN(CA$38,$E54),$P$20))-SUM($BF54:BZ54))</f>
        <v>0</v>
      </c>
      <c r="CB54" s="446">
        <f>IF($E54=0,0,IF(MIN(CB$38,$E54)&lt;MAX($P$34*($B54+$I$38-1),IF(AND($L$37=0,$P$34=0),"",$L$37-1)),0,YEARFRAC(MAX($P$34*($B54+$I$38-1),IF(AND($L$37=0,$P$34=0),"",$L$37-1)),MIN(CB$38,$E54),$P$20))-SUM($BF54:CA54))</f>
        <v>0</v>
      </c>
      <c r="CC54" s="446">
        <f>IF($E54=0,0,IF(MIN(CC$38,$E54)&lt;MAX($P$34*($B54+$I$38-1),IF(AND($L$37=0,$P$34=0),"",$L$37-1)),0,YEARFRAC(MAX($P$34*($B54+$I$38-1),IF(AND($L$37=0,$P$34=0),"",$L$37-1)),MIN(CC$38,$E54),$P$20))-SUM($BF54:CB54))</f>
        <v>0</v>
      </c>
      <c r="CD54" s="446">
        <f>IF($E54=0,0,IF(MIN(CD$38,$E54)&lt;MAX($P$34*($B54+$I$38-1),IF(AND($L$37=0,$P$34=0),"",$L$37-1)),0,YEARFRAC(MAX($P$34*($B54+$I$38-1),IF(AND($L$37=0,$P$34=0),"",$L$37-1)),MIN(CD$38,$E54),$P$20))-SUM($BF54:CC54))</f>
        <v>0</v>
      </c>
      <c r="CE54" s="446">
        <f>IF($E54=0,0,IF(MIN(CE$38,$E54)&lt;MAX($P$34*($B54+$I$38-1),IF(AND($L$37=0,$P$34=0),"",$L$37-1)),0,YEARFRAC(MAX($P$34*($B54+$I$38-1),IF(AND($L$37=0,$P$34=0),"",$L$37-1)),MIN(CE$38,$E54),$P$20))-SUM($BF54:CD54))</f>
        <v>0</v>
      </c>
      <c r="CF54" s="446">
        <f>IF($E54=0,0,IF(MIN(CF$38,$E54)&lt;MAX($P$34*($B54+$I$38-1),IF(AND($L$37=0,$P$34=0),"",$L$37-1)),0,YEARFRAC(MAX($P$34*($B54+$I$38-1),IF(AND($L$37=0,$P$34=0),"",$L$37-1)),MIN(CF$38,$E54),$P$20))-SUM($BF54:CE54))</f>
        <v>0</v>
      </c>
      <c r="CG54" s="446">
        <f>IF($E54=0,0,IF(MIN(CG$38,$E54)&lt;MAX($P$34*($B54+$I$38-1),IF(AND($L$37=0,$P$34=0),"",$L$37-1)),0,YEARFRAC(MAX($P$34*($B54+$I$38-1),IF(AND($L$37=0,$P$34=0),"",$L$37-1)),MIN(CG$38,$E54),$P$20))-SUM($BF54:CF54))</f>
        <v>0</v>
      </c>
      <c r="CH54" s="446">
        <f>IF($E54=0,0,IF(MIN(CH$38,$E54)&lt;MAX($P$34*($B54+$I$38-1),IF(AND($L$37=0,$P$34=0),"",$L$37-1)),0,YEARFRAC(MAX($P$34*($B54+$I$38-1),IF(AND($L$37=0,$P$34=0),"",$L$37-1)),MIN(CH$38,$E54),$P$20))-SUM($BF54:CG54))</f>
        <v>0</v>
      </c>
      <c r="CI54" s="446">
        <f>IF($E54=0,0,IF(MIN(CI$38,$E54)&lt;MAX($P$34*($B54+$I$38-1),IF(AND($L$37=0,$P$34=0),"",$L$37-1)),0,YEARFRAC(MAX($P$34*($B54+$I$38-1),IF(AND($L$37=0,$P$34=0),"",$L$37-1)),MIN(CI$38,$E54),$P$20))-SUM($BF54:CH54))</f>
        <v>0</v>
      </c>
      <c r="CJ54" s="446">
        <f>IF($E54=0,0,IF(MIN(CJ$38,$E54)&lt;MAX($P$34*($B54+$I$38-1),IF(AND($L$37=0,$P$34=0),"",$L$37-1)),0,YEARFRAC(MAX($P$34*($B54+$I$38-1),IF(AND($L$37=0,$P$34=0),"",$L$37-1)),MIN(CJ$38,$E54),$P$20))-SUM($BF54:CI54))</f>
        <v>0</v>
      </c>
      <c r="CK54" s="446">
        <f>IF($E54=0,0,IF(MIN(CK$38,$E54)&lt;MAX($P$34*($B54+$I$38-1),IF(AND($L$37=0,$P$34=0),"",$L$37-1)),0,YEARFRAC(MAX($P$34*($B54+$I$38-1),IF(AND($L$37=0,$P$34=0),"",$L$37-1)),MIN(CK$38,$E54),$P$20))-SUM($BF54:CJ54))</f>
        <v>0</v>
      </c>
      <c r="CL54" s="446">
        <f>IF($E54=0,0,IF(MIN(CL$38,$E54)&lt;MAX($P$34*($B54+$I$38-1),IF(AND($L$37=0,$P$34=0),"",$L$37-1)),0,YEARFRAC(MAX($P$34*($B54+$I$38-1),IF(AND($L$37=0,$P$34=0),"",$L$37-1)),MIN(CL$38,$E54),$P$20))-SUM($BF54:CK54))</f>
        <v>0</v>
      </c>
      <c r="CM54" s="446">
        <f>IF($E54=0,0,IF(MIN(CM$38,$E54)&lt;MAX($P$34*($B54+$I$38-1),IF(AND($L$37=0,$P$34=0),"",$L$37-1)),0,YEARFRAC(MAX($P$34*($B54+$I$38-1),IF(AND($L$37=0,$P$34=0),"",$L$37-1)),MIN(CM$38,$E54),$P$20))-SUM($BF54:CL54))</f>
        <v>0</v>
      </c>
      <c r="CN54" s="446">
        <f>IF($E54=0,0,IF(MIN(CN$38,$E54)&lt;MAX($P$34*($B54+$I$38-1),IF(AND($L$37=0,$P$34=0),"",$L$37-1)),0,YEARFRAC(MAX($P$34*($B54+$I$38-1),IF(AND($L$37=0,$P$34=0),"",$L$37-1)),MIN(CN$38,$E54),$P$20))-SUM($BF54:CM54))</f>
        <v>0</v>
      </c>
      <c r="CO54" s="446">
        <f>IF($E54=0,0,IF(MIN(CO$38,$E54)&lt;MAX($P$34*($B54+$I$38-1),IF(AND($L$37=0,$P$34=0),"",$L$37-1)),0,YEARFRAC(MAX($P$34*($B54+$I$38-1),IF(AND($L$37=0,$P$34=0),"",$L$37-1)),MIN(CO$38,$E54),$P$20))-SUM($BF54:CN54))</f>
        <v>0</v>
      </c>
      <c r="CP54" s="446">
        <f>IF($E54=0,0,IF(MIN(CP$38,$E54)&lt;MAX($P$34*($B54+$I$38-1),IF(AND($L$37=0,$P$34=0),"",$L$37-1)),0,YEARFRAC(MAX($P$34*($B54+$I$38-1),IF(AND($L$37=0,$P$34=0),"",$L$37-1)),MIN(CP$38,$E54),$P$20))-SUM($BF54:CO54))</f>
        <v>0</v>
      </c>
      <c r="CQ54" s="446">
        <f>IF($E54=0,0,IF(MIN(CQ$38,$E54)&lt;MAX($P$34*($B54+$I$38-1),IF(AND($L$37=0,$P$34=0),"",$L$37-1)),0,YEARFRAC(MAX($P$34*($B54+$I$38-1),IF(AND($L$37=0,$P$34=0),"",$L$37-1)),MIN(CQ$38,$E54),$P$20))-SUM($BF54:CP54))</f>
        <v>0</v>
      </c>
    </row>
    <row r="55" spans="1:95" s="446" customFormat="1" ht="11.25" hidden="1" customHeight="1" x14ac:dyDescent="0.2">
      <c r="A55" s="152"/>
      <c r="B55" s="153" t="str">
        <f t="shared" si="15"/>
        <v/>
      </c>
      <c r="C55" s="29" t="str">
        <f>IF(B55="","",IF($L$35="SELIC - TRIBUTOS",VLOOKUP(DATE(YEAR($D$19),MONTH($D$19)-1,1),ÍNDICES!$A:$DE,HLOOKUP($BL$25,ÍNDICES!$B$3:$T$4,2)+11)-VLOOKUP(B55,ÍNDICES!$A:$DE,HLOOKUP($BL$25,ÍNDICES!$B$3:$T$4,2)+11)+1%,IF(C$38=$W$26,$J$35,IF(ISERROR(IF(B55&gt;$D$19,1,VLOOKUP(DATE(YEAR(B55),MONTH(B55)+IF($C$35=$S$23,1,0),1),ÍNDICES!$A:$DE,$Z$35+1))),"",IF(B55&gt;$D$19,1,VLOOKUP(DATE(YEAR(B55),MONTH(B55)+IF($C$35=$S$23,1,0),1),ÍNDICES!$A:$DE,$Z$35+1))))))</f>
        <v/>
      </c>
      <c r="D55" s="154" t="str">
        <f>IF(ISERROR(IF(OR($D$38=$Y$27,$B55=""),"",VLOOKUP(B55,ÍNDICES!A:DE,AF$35+1))),"",IF(OR($D$38=$Y$27,$B55=""),"",VLOOKUP(B55,ÍNDICES!A:DE,AF$35+1)))</f>
        <v/>
      </c>
      <c r="E55" s="153"/>
      <c r="F55" s="29" t="str">
        <f>IF(E55="","",IF($L$35="SELIC - TRIBUTOS",VLOOKUP(DATE(YEAR($D$19),MONTH($D$19)-1,1),ÍNDICES!$A:$DE,HLOOKUP($BL$25,ÍNDICES!$B$3:$T$4,2)+11)-VLOOKUP(E55,ÍNDICES!$A:$DE,HLOOKUP($BL$25,ÍNDICES!$B$3:$T$4,2)+11)+1%,IF(F$38=$W$26,$J$35,IF(ISERROR(IF(E55&gt;$D$19,1,VLOOKUP(DATE(YEAR(E55),MONTH(E55)+IF($C$35=$S$23,1,0),1),ÍNDICES!$A:$DE,$Z$35+1))),"",IF(E55&gt;$D$19,1,VLOOKUP(DATE(YEAR(E55),MONTH(E55)+IF($C$35=$S$23,1,0),1),ÍNDICES!$A:$DE,$Z$35+1))))))</f>
        <v/>
      </c>
      <c r="G55" s="155"/>
      <c r="H55" s="156" t="str">
        <f t="shared" si="11"/>
        <v/>
      </c>
      <c r="I55" s="29" t="str">
        <f t="shared" si="5"/>
        <v/>
      </c>
      <c r="J55" s="5">
        <f t="shared" si="6"/>
        <v>0</v>
      </c>
      <c r="K55" s="20">
        <f t="shared" ca="1" si="7"/>
        <v>0</v>
      </c>
      <c r="L55" s="5">
        <f t="shared" ca="1" si="8"/>
        <v>0</v>
      </c>
      <c r="M55" s="64">
        <f t="shared" si="12"/>
        <v>0</v>
      </c>
      <c r="N55" s="61">
        <f t="shared" ca="1" si="13"/>
        <v>0</v>
      </c>
      <c r="O55" s="5">
        <f t="shared" ca="1" si="14"/>
        <v>0</v>
      </c>
      <c r="P55" s="446" t="e">
        <f t="shared" si="9"/>
        <v>#VALUE!</v>
      </c>
      <c r="Q55" s="446" t="e">
        <f>IF(OR($B55="",MIN(Q$38,$D$19)&lt;MAX($P$34*($B55+IF($R$17="Distrato",$I$38-1,0)),IF(AND($L$37=0,$P$34=0),"",$L$37-1),IF($R$17="Distrato",$E55,0))),0,YEARFRAC(MAX($P$34*($B55+IF($R$17="Distrato",$I$38-1,0)),IF(AND($L$37=0,$P$34=0),"",$L$37-1),IF($R$17="Distrato",$E55,0)),MIN(Q$38,$D$19),$P$20))-SUM($P55:P55)</f>
        <v>#VALUE!</v>
      </c>
      <c r="R55" s="446" t="e">
        <f>IF(OR($B55="",MIN(R$38,$D$19)&lt;MAX($P$34*($B55+IF($R$17="Distrato",$I$38-1,0)),IF(AND($L$37=0,$P$34=0),"",$L$37-1),IF($R$17="Distrato",$E55,0))),0,YEARFRAC(MAX($P$34*($B55+IF($R$17="Distrato",$I$38-1,0)),IF(AND($L$37=0,$P$34=0),"",$L$37-1),IF($R$17="Distrato",$E55,0)),MIN(R$38,$D$19),$P$20))-SUM($P55:Q55)</f>
        <v>#VALUE!</v>
      </c>
      <c r="S55" s="446" t="e">
        <f>IF(OR($B55="",MIN(S$38,$D$19)&lt;MAX($P$34*($B55+IF($R$17="Distrato",$I$38-1,0)),IF(AND($L$37=0,$P$34=0),"",$L$37-1),IF($R$17="Distrato",$E55,0))),0,YEARFRAC(MAX($P$34*($B55+IF($R$17="Distrato",$I$38-1,0)),IF(AND($L$37=0,$P$34=0),"",$L$37-1),IF($R$17="Distrato",$E55,0)),MIN(S$38,$D$19),$P$20))-SUM($P55:R55)</f>
        <v>#VALUE!</v>
      </c>
      <c r="T55" s="446" t="e">
        <f>IF(OR($B55="",MIN(T$38,$D$19)&lt;MAX($P$34*($B55+IF($R$17="Distrato",$I$38-1,0)),IF(AND($L$37=0,$P$34=0),"",$L$37-1),IF($R$17="Distrato",$E55,0))),0,YEARFRAC(MAX($P$34*($B55+IF($R$17="Distrato",$I$38-1,0)),IF(AND($L$37=0,$P$34=0),"",$L$37-1),IF($R$17="Distrato",$E55,0)),MIN(T$38,$D$19),$P$20))-SUM($P55:S55)</f>
        <v>#VALUE!</v>
      </c>
      <c r="U55" s="446" t="e">
        <f>IF(OR($B55="",MIN(U$38,$D$19)&lt;MAX($P$34*($B55+IF($R$17="Distrato",$I$38-1,0)),IF(AND($L$37=0,$P$34=0),"",$L$37-1),IF($R$17="Distrato",$E55,0))),0,YEARFRAC(MAX($P$34*($B55+IF($R$17="Distrato",$I$38-1,0)),IF(AND($L$37=0,$P$34=0),"",$L$37-1),IF($R$17="Distrato",$E55,0)),MIN(U$38,$D$19),$P$20))-SUM($P55:T55)</f>
        <v>#VALUE!</v>
      </c>
      <c r="V55" s="446" t="e">
        <f>IF(OR($B55="",MIN(V$38,$D$19)&lt;MAX($P$34*($B55+IF($R$17="Distrato",$I$38-1,0)),IF(AND($L$37=0,$P$34=0),"",$L$37-1),IF($R$17="Distrato",$E55,0))),0,YEARFRAC(MAX($P$34*($B55+IF($R$17="Distrato",$I$38-1,0)),IF(AND($L$37=0,$P$34=0),"",$L$37-1),IF($R$17="Distrato",$E55,0)),MIN(V$38,$D$19),$P$20))-SUM($P55:U55)</f>
        <v>#VALUE!</v>
      </c>
      <c r="W55" s="446" t="e">
        <f>IF(OR($B55="",MIN(W$38,$D$19)&lt;MAX($P$34*($B55+IF($R$17="Distrato",$I$38-1,0)),IF(AND($L$37=0,$P$34=0),"",$L$37-1),IF($R$17="Distrato",$E55,0))),0,YEARFRAC(MAX($P$34*($B55+IF($R$17="Distrato",$I$38-1,0)),IF(AND($L$37=0,$P$34=0),"",$L$37-1),IF($R$17="Distrato",$E55,0)),MIN(W$38,$D$19),$P$20))-SUM($P55:V55)</f>
        <v>#VALUE!</v>
      </c>
      <c r="X55" s="446" t="e">
        <f>IF(OR($B55="",MIN(X$38,$D$19)&lt;MAX($P$34*($B55+IF($R$17="Distrato",$I$38-1,0)),IF(AND($L$37=0,$P$34=0),"",$L$37-1),IF($R$17="Distrato",$E55,0))),0,YEARFRAC(MAX($P$34*($B55+IF($R$17="Distrato",$I$38-1,0)),IF(AND($L$37=0,$P$34=0),"",$L$37-1),IF($R$17="Distrato",$E55,0)),MIN(X$38,$D$19),$P$20))-SUM($P55:W55)</f>
        <v>#VALUE!</v>
      </c>
      <c r="Y55" s="446" t="e">
        <f>IF(OR($B55="",MIN(Y$38,$D$19)&lt;MAX($P$34*($B55+IF($R$17="Distrato",$I$38-1,0)),IF(AND($L$37=0,$P$34=0),"",$L$37-1),IF($R$17="Distrato",$E55,0))),0,YEARFRAC(MAX($P$34*($B55+IF($R$17="Distrato",$I$38-1,0)),IF(AND($L$37=0,$P$34=0),"",$L$37-1),IF($R$17="Distrato",$E55,0)),MIN(Y$38,$D$19),$P$20))-SUM($P55:X55)</f>
        <v>#VALUE!</v>
      </c>
      <c r="Z55" s="446" t="e">
        <f>IF(OR($B55="",MIN(Z$38,$D$19)&lt;MAX($P$34*($B55+IF($R$17="Distrato",$I$38-1,0)),IF(AND($L$37=0,$P$34=0),"",$L$37-1),IF($R$17="Distrato",$E55,0))),0,YEARFRAC(MAX($P$34*($B55+IF($R$17="Distrato",$I$38-1,0)),IF(AND($L$37=0,$P$34=0),"",$L$37-1),IF($R$17="Distrato",$E55,0)),MIN(Z$38,$D$19),$P$20))-SUM($P55:Y55)</f>
        <v>#VALUE!</v>
      </c>
      <c r="AA55" s="446" t="e">
        <f>IF(OR($B55="",MIN(AA$38,$D$19)&lt;MAX($P$34*($B55+IF($R$17="Distrato",$I$38-1,0)),IF(AND($L$37=0,$P$34=0),"",$L$37-1),IF($R$17="Distrato",$E55,0))),0,YEARFRAC(MAX($P$34*($B55+IF($R$17="Distrato",$I$38-1,0)),IF(AND($L$37=0,$P$34=0),"",$L$37-1),IF($R$17="Distrato",$E55,0)),MIN(AA$38,$D$19),$P$20))-SUM($P55:Z55)</f>
        <v>#VALUE!</v>
      </c>
      <c r="AB55" s="446" t="e">
        <f>IF(OR($B55="",MIN(AB$38,$D$19)&lt;MAX($P$34*($B55+IF($R$17="Distrato",$I$38-1,0)),IF(AND($L$37=0,$P$34=0),"",$L$37-1),IF($R$17="Distrato",$E55,0))),0,YEARFRAC(MAX($P$34*($B55+IF($R$17="Distrato",$I$38-1,0)),IF(AND($L$37=0,$P$34=0),"",$L$37-1),IF($R$17="Distrato",$E55,0)),MIN(AB$38,$D$19),$P$20))-SUM($P55:AA55)</f>
        <v>#VALUE!</v>
      </c>
      <c r="AC55" s="446" t="e">
        <f>IF(OR($B55="",MIN(AC$38,$D$19)&lt;MAX($P$34*($B55+IF($R$17="Distrato",$I$38-1,0)),IF(AND($L$37=0,$P$34=0),"",$L$37-1),IF($R$17="Distrato",$E55,0))),0,YEARFRAC(MAX($P$34*($B55+IF($R$17="Distrato",$I$38-1,0)),IF(AND($L$37=0,$P$34=0),"",$L$37-1),IF($R$17="Distrato",$E55,0)),MIN(AC$38,$D$19),$P$20))-SUM($P55:AB55)</f>
        <v>#VALUE!</v>
      </c>
      <c r="AD55" s="446" t="e">
        <f>IF(OR($B55="",MIN(AD$38,$D$19)&lt;MAX($P$34*($B55+IF($R$17="Distrato",$I$38-1,0)),IF(AND($L$37=0,$P$34=0),"",$L$37-1),IF($R$17="Distrato",$E55,0))),0,YEARFRAC(MAX($P$34*($B55+IF($R$17="Distrato",$I$38-1,0)),IF(AND($L$37=0,$P$34=0),"",$L$37-1),IF($R$17="Distrato",$E55,0)),MIN(AD$38,$D$19),$P$20))-SUM($P55:AC55)</f>
        <v>#VALUE!</v>
      </c>
      <c r="AE55" s="446" t="e">
        <f>IF(OR($B55="",MIN(AE$38,$D$19)&lt;MAX($P$34*($B55+IF($R$17="Distrato",$I$38-1,0)),IF(AND($L$37=0,$P$34=0),"",$L$37-1),IF($R$17="Distrato",$E55,0))),0,YEARFRAC(MAX($P$34*($B55+IF($R$17="Distrato",$I$38-1,0)),IF(AND($L$37=0,$P$34=0),"",$L$37-1),IF($R$17="Distrato",$E55,0)),MIN(AE$38,$D$19),$P$20))-SUM($P55:AD55)</f>
        <v>#VALUE!</v>
      </c>
      <c r="AF55" s="446" t="e">
        <f>IF(OR($B55="",MIN(AF$38,$D$19)&lt;MAX($P$34*($B55+IF($R$17="Distrato",$I$38-1,0)),IF(AND($L$37=0,$P$34=0),"",$L$37-1),IF($R$17="Distrato",$E55,0))),0,YEARFRAC(MAX($P$34*($B55+IF($R$17="Distrato",$I$38-1,0)),IF(AND($L$37=0,$P$34=0),"",$L$37-1),IF($R$17="Distrato",$E55,0)),MIN(AF$38,$D$19),$P$20))-SUM($P55:AE55)</f>
        <v>#VALUE!</v>
      </c>
      <c r="AG55" s="446" t="e">
        <f>IF(OR($B55="",MIN(AG$38,$D$19)&lt;MAX($P$34*($B55+IF($R$17="Distrato",$I$38-1,0)),IF(AND($L$37=0,$P$34=0),"",$L$37-1),IF($R$17="Distrato",$E55,0))),0,YEARFRAC(MAX($P$34*($B55+IF($R$17="Distrato",$I$38-1,0)),IF(AND($L$37=0,$P$34=0),"",$L$37-1),IF($R$17="Distrato",$E55,0)),MIN(AG$38,$D$19),$P$20))-SUM($P55:AF55)</f>
        <v>#VALUE!</v>
      </c>
      <c r="AH55" s="446" t="e">
        <f>IF(OR($B55="",MIN(AH$38,$D$19)&lt;MAX($P$34*($B55+IF($R$17="Distrato",$I$38-1,0)),IF(AND($L$37=0,$P$34=0),"",$L$37-1),IF($R$17="Distrato",$E55,0))),0,YEARFRAC(MAX($P$34*($B55+IF($R$17="Distrato",$I$38-1,0)),IF(AND($L$37=0,$P$34=0),"",$L$37-1),IF($R$17="Distrato",$E55,0)),MIN(AH$38,$D$19),$P$20))-SUM($P55:AG55)</f>
        <v>#VALUE!</v>
      </c>
      <c r="AI55" s="446" t="e">
        <f>IF(OR($B55="",MIN(AI$38,$D$19)&lt;MAX($P$34*($B55+IF($R$17="Distrato",$I$38-1,0)),IF(AND($L$37=0,$P$34=0),"",$L$37-1),IF($R$17="Distrato",$E55,0))),0,YEARFRAC(MAX($P$34*($B55+IF($R$17="Distrato",$I$38-1,0)),IF(AND($L$37=0,$P$34=0),"",$L$37-1),IF($R$17="Distrato",$E55,0)),MIN(AI$38,$D$19),$P$20))-SUM($P55:AH55)</f>
        <v>#VALUE!</v>
      </c>
      <c r="AJ55" s="446" t="e">
        <f>IF(OR($B55="",MIN(AJ$38,$D$19)&lt;MAX($P$34*($B55+IF($R$17="Distrato",$I$38-1,0)),IF(AND($L$37=0,$P$34=0),"",$L$37-1),IF($R$17="Distrato",$E55,0))),0,YEARFRAC(MAX($P$34*($B55+IF($R$17="Distrato",$I$38-1,0)),IF(AND($L$37=0,$P$34=0),"",$L$37-1),IF($R$17="Distrato",$E55,0)),MIN(AJ$38,$D$19),$P$20))-SUM($P55:AI55)</f>
        <v>#VALUE!</v>
      </c>
      <c r="AK55" s="446" t="e">
        <f>IF(OR($B55="",MIN(AK$38,$D$19)&lt;MAX($P$34*($B55+IF($R$17="Distrato",$I$38-1,0)),IF(AND($L$37=0,$P$34=0),"",$L$37-1),IF($R$17="Distrato",$E55,0))),0,YEARFRAC(MAX($P$34*($B55+IF($R$17="Distrato",$I$38-1,0)),IF(AND($L$37=0,$P$34=0),"",$L$37-1),IF($R$17="Distrato",$E55,0)),MIN(AK$38,$D$19),$P$20))-SUM($P55:AJ55)</f>
        <v>#VALUE!</v>
      </c>
      <c r="AL55" s="446" t="e">
        <f>IF(OR($B55="",MIN(AL$38,$D$19)&lt;MAX($P$34*($B55+IF($R$17="Distrato",$I$38-1,0)),IF(AND($L$37=0,$P$34=0),"",$L$37-1),IF($R$17="Distrato",$E55,0))),0,YEARFRAC(MAX($P$34*($B55+IF($R$17="Distrato",$I$38-1,0)),IF(AND($L$37=0,$P$34=0),"",$L$37-1),IF($R$17="Distrato",$E55,0)),MIN(AL$38,$D$19),$P$20))-SUM($P55:AK55)</f>
        <v>#VALUE!</v>
      </c>
      <c r="AM55" s="446" t="e">
        <f>IF(OR($B55="",MIN(AM$38,$D$19)&lt;MAX($P$34*($B55+IF($R$17="Distrato",$I$38-1,0)),IF(AND($L$37=0,$P$34=0),"",$L$37-1),IF($R$17="Distrato",$E55,0))),0,YEARFRAC(MAX($P$34*($B55+IF($R$17="Distrato",$I$38-1,0)),IF(AND($L$37=0,$P$34=0),"",$L$37-1),IF($R$17="Distrato",$E55,0)),MIN(AM$38,$D$19),$P$20))-SUM($P55:AL55)</f>
        <v>#VALUE!</v>
      </c>
      <c r="AN55" s="446" t="e">
        <f>IF(OR($B55="",MIN(AN$38,$D$19)&lt;MAX($P$34*($B55+IF($R$17="Distrato",$I$38-1,0)),IF(AND($L$37=0,$P$34=0),"",$L$37-1),IF($R$17="Distrato",$E55,0))),0,YEARFRAC(MAX($P$34*($B55+IF($R$17="Distrato",$I$38-1,0)),IF(AND($L$37=0,$P$34=0),"",$L$37-1),IF($R$17="Distrato",$E55,0)),MIN(AN$38,$D$19),$P$20))-SUM($P55:AM55)</f>
        <v>#VALUE!</v>
      </c>
      <c r="AO55" s="446" t="e">
        <f>IF(OR($B55="",MIN(AO$38,$D$19)&lt;MAX($P$34*($B55+IF($R$17="Distrato",$I$38-1,0)),IF(AND($L$37=0,$P$34=0),"",$L$37-1),IF($R$17="Distrato",$E55,0))),0,YEARFRAC(MAX($P$34*($B55+IF($R$17="Distrato",$I$38-1,0)),IF(AND($L$37=0,$P$34=0),"",$L$37-1),IF($R$17="Distrato",$E55,0)),MIN(AO$38,$D$19),$P$20))-SUM($P55:AN55)</f>
        <v>#VALUE!</v>
      </c>
      <c r="AP55" s="446" t="e">
        <f>IF(OR($B55="",MIN(AP$38,$D$19)&lt;MAX($P$34*($B55+IF($R$17="Distrato",$I$38-1,0)),IF(AND($L$37=0,$P$34=0),"",$L$37-1),IF($R$17="Distrato",$E55,0))),0,YEARFRAC(MAX($P$34*($B55+IF($R$17="Distrato",$I$38-1,0)),IF(AND($L$37=0,$P$34=0),"",$L$37-1),IF($R$17="Distrato",$E55,0)),MIN(AP$38,$D$19),$P$20))-SUM($P55:AO55)</f>
        <v>#VALUE!</v>
      </c>
      <c r="AQ55" s="446" t="e">
        <f>IF(OR($B55="",MIN(AQ$38,$D$19)&lt;MAX($P$34*($B55+IF($R$17="Distrato",$I$38-1,0)),IF(AND($L$37=0,$P$34=0),"",$L$37-1),IF($R$17="Distrato",$E55,0))),0,YEARFRAC(MAX($P$34*($B55+IF($R$17="Distrato",$I$38-1,0)),IF(AND($L$37=0,$P$34=0),"",$L$37-1),IF($R$17="Distrato",$E55,0)),MIN(AQ$38,$D$19),$P$20))-SUM($P55:AP55)</f>
        <v>#VALUE!</v>
      </c>
      <c r="AR55" s="446" t="e">
        <f>IF(OR($B55="",MIN(AR$38,$D$19)&lt;MAX($P$34*($B55+IF($R$17="Distrato",$I$38-1,0)),IF(AND($L$37=0,$P$34=0),"",$L$37-1),IF($R$17="Distrato",$E55,0))),0,YEARFRAC(MAX($P$34*($B55+IF($R$17="Distrato",$I$38-1,0)),IF(AND($L$37=0,$P$34=0),"",$L$37-1),IF($R$17="Distrato",$E55,0)),MIN(AR$38,$D$19),$P$20))-SUM($P55:AQ55)</f>
        <v>#VALUE!</v>
      </c>
      <c r="AS55" s="446" t="e">
        <f>IF(OR($B55="",MIN(AS$38,$D$19)&lt;MAX($P$34*($B55+IF($R$17="Distrato",$I$38-1,0)),IF(AND($L$37=0,$P$34=0),"",$L$37-1),IF($R$17="Distrato",$E55,0))),0,YEARFRAC(MAX($P$34*($B55+IF($R$17="Distrato",$I$38-1,0)),IF(AND($L$37=0,$P$34=0),"",$L$37-1),IF($R$17="Distrato",$E55,0)),MIN(AS$38,$D$19),$P$20))-SUM($P55:AR55)</f>
        <v>#VALUE!</v>
      </c>
      <c r="AT55" s="446" t="e">
        <f>IF(OR($B55="",MIN(AT$38,$D$19)&lt;MAX($P$34*($B55+IF($R$17="Distrato",$I$38-1,0)),IF(AND($L$37=0,$P$34=0),"",$L$37-1),IF($R$17="Distrato",$E55,0))),0,YEARFRAC(MAX($P$34*($B55+IF($R$17="Distrato",$I$38-1,0)),IF(AND($L$37=0,$P$34=0),"",$L$37-1),IF($R$17="Distrato",$E55,0)),MIN(AT$38,$D$19),$P$20))-SUM($P55:AS55)</f>
        <v>#VALUE!</v>
      </c>
      <c r="AU55" s="446" t="e">
        <f>IF(OR($B55="",MIN(AU$38,$D$19)&lt;MAX($P$34*($B55+IF($R$17="Distrato",$I$38-1,0)),IF(AND($L$37=0,$P$34=0),"",$L$37-1),IF($R$17="Distrato",$E55,0))),0,YEARFRAC(MAX($P$34*($B55+IF($R$17="Distrato",$I$38-1,0)),IF(AND($L$37=0,$P$34=0),"",$L$37-1),IF($R$17="Distrato",$E55,0)),MIN(AU$38,$D$19),$P$20))-SUM($P55:AT55)</f>
        <v>#VALUE!</v>
      </c>
      <c r="AV55" s="446" t="e">
        <f>IF(OR($B55="",MIN(AV$38,$D$19)&lt;MAX($P$34*($B55+IF($R$17="Distrato",$I$38-1,0)),IF(AND($L$37=0,$P$34=0),"",$L$37-1),IF($R$17="Distrato",$E55,0))),0,YEARFRAC(MAX($P$34*($B55+IF($R$17="Distrato",$I$38-1,0)),IF(AND($L$37=0,$P$34=0),"",$L$37-1),IF($R$17="Distrato",$E55,0)),MIN(AV$38,$D$19),$P$20))-SUM($P55:AU55)</f>
        <v>#VALUE!</v>
      </c>
      <c r="AW55" s="446" t="e">
        <f>IF(OR($B55="",MIN(AW$38,$D$19)&lt;MAX($P$34*($B55+IF($R$17="Distrato",$I$38-1,0)),IF(AND($L$37=0,$P$34=0),"",$L$37-1),IF($R$17="Distrato",$E55,0))),0,YEARFRAC(MAX($P$34*($B55+IF($R$17="Distrato",$I$38-1,0)),IF(AND($L$37=0,$P$34=0),"",$L$37-1),IF($R$17="Distrato",$E55,0)),MIN(AW$38,$D$19),$P$20))-SUM($P55:AV55)</f>
        <v>#VALUE!</v>
      </c>
      <c r="AX55" s="446" t="e">
        <f>IF(OR($B55="",MIN(AX$38,$D$19)&lt;MAX($P$34*($B55+IF($R$17="Distrato",$I$38-1,0)),IF(AND($L$37=0,$P$34=0),"",$L$37-1),IF($R$17="Distrato",$E55,0))),0,YEARFRAC(MAX($P$34*($B55+IF($R$17="Distrato",$I$38-1,0)),IF(AND($L$37=0,$P$34=0),"",$L$37-1),IF($R$17="Distrato",$E55,0)),MIN(AX$38,$D$19),$P$20))-SUM($P55:AW55)</f>
        <v>#VALUE!</v>
      </c>
      <c r="AY55" s="446" t="e">
        <f>IF(OR($B55="",MIN(AY$38,$D$19)&lt;MAX($P$34*($B55+IF($R$17="Distrato",$I$38-1,0)),IF(AND($L$37=0,$P$34=0),"",$L$37-1),IF($R$17="Distrato",$E55,0))),0,YEARFRAC(MAX($P$34*($B55+IF($R$17="Distrato",$I$38-1,0)),IF(AND($L$37=0,$P$34=0),"",$L$37-1),IF($R$17="Distrato",$E55,0)),MIN(AY$38,$D$19),$P$20))-SUM($P55:AX55)</f>
        <v>#VALUE!</v>
      </c>
      <c r="AZ55" s="446" t="e">
        <f>IF(OR($B55="",MIN(AZ$38,$D$19)&lt;MAX($P$34*($B55+IF($R$17="Distrato",$I$38-1,0)),IF(AND($L$37=0,$P$34=0),"",$L$37-1),IF($R$17="Distrato",$E55,0))),0,YEARFRAC(MAX($P$34*($B55+IF($R$17="Distrato",$I$38-1,0)),IF(AND($L$37=0,$P$34=0),"",$L$37-1),IF($R$17="Distrato",$E55,0)),MIN(AZ$38,$D$19),$P$20))-SUM($P55:AY55)</f>
        <v>#VALUE!</v>
      </c>
      <c r="BA55" s="446" t="e">
        <f>IF(OR($B55="",MIN(BA$38,$D$19)&lt;MAX($P$34*($B55+IF($R$17="Distrato",$I$38-1,0)),IF(AND($L$37=0,$P$34=0),"",$L$37-1),IF($R$17="Distrato",$E55,0))),0,YEARFRAC(MAX($P$34*($B55+IF($R$17="Distrato",$I$38-1,0)),IF(AND($L$37=0,$P$34=0),"",$L$37-1),IF($R$17="Distrato",$E55,0)),MIN(BA$38,$D$19),$P$20))-SUM($P55:AZ55)</f>
        <v>#VALUE!</v>
      </c>
      <c r="BB55" s="447"/>
      <c r="BF55" s="446">
        <f t="shared" si="10"/>
        <v>0</v>
      </c>
      <c r="BG55" s="446">
        <f>IF($E55=0,0,IF(MIN(BG$38,$E55)&lt;MAX($P$34*($B55+$I$38-1),IF(AND($L$37=0,$P$34=0),"",$L$37-1)),0,YEARFRAC(MAX($P$34*($B55+$I$38-1),IF(AND($L$37=0,$P$34=0),"",$L$37-1)),MIN(BG$38,$E55),$P$20))-SUM($BF55:BF55))</f>
        <v>0</v>
      </c>
      <c r="BH55" s="446">
        <f>IF($E55=0,0,IF(MIN(BH$38,$E55)&lt;MAX($P$34*($B55+$I$38-1),IF(AND($L$37=0,$P$34=0),"",$L$37-1)),0,YEARFRAC(MAX($P$34*($B55+$I$38-1),IF(AND($L$37=0,$P$34=0),"",$L$37-1)),MIN(BH$38,$E55),$P$20))-SUM($BF55:BG55))</f>
        <v>0</v>
      </c>
      <c r="BI55" s="446">
        <f>IF($E55=0,0,IF(MIN(BI$38,$E55)&lt;MAX($P$34*($B55+$I$38-1),IF(AND($L$37=0,$P$34=0),"",$L$37-1)),0,YEARFRAC(MAX($P$34*($B55+$I$38-1),IF(AND($L$37=0,$P$34=0),"",$L$37-1)),MIN(BI$38,$E55),$P$20))-SUM($BF55:BH55))</f>
        <v>0</v>
      </c>
      <c r="BJ55" s="446">
        <f>IF($E55=0,0,IF(MIN(BJ$38,$E55)&lt;MAX($P$34*($B55+$I$38-1),IF(AND($L$37=0,$P$34=0),"",$L$37-1)),0,YEARFRAC(MAX($P$34*($B55+$I$38-1),IF(AND($L$37=0,$P$34=0),"",$L$37-1)),MIN(BJ$38,$E55),$P$20))-SUM($BF55:BI55))</f>
        <v>0</v>
      </c>
      <c r="BK55" s="446">
        <f>IF($E55=0,0,IF(MIN(BK$38,$E55)&lt;MAX($P$34*($B55+$I$38-1),IF(AND($L$37=0,$P$34=0),"",$L$37-1)),0,YEARFRAC(MAX($P$34*($B55+$I$38-1),IF(AND($L$37=0,$P$34=0),"",$L$37-1)),MIN(BK$38,$E55),$P$20))-SUM($BF55:BJ55))</f>
        <v>0</v>
      </c>
      <c r="BL55" s="446">
        <f>IF($E55=0,0,IF(MIN(BL$38,$E55)&lt;MAX($P$34*($B55+$I$38-1),IF(AND($L$37=0,$P$34=0),"",$L$37-1)),0,YEARFRAC(MAX($P$34*($B55+$I$38-1),IF(AND($L$37=0,$P$34=0),"",$L$37-1)),MIN(BL$38,$E55),$P$20))-SUM($BF55:BK55))</f>
        <v>0</v>
      </c>
      <c r="BM55" s="446">
        <f>IF($E55=0,0,IF(MIN(BM$38,$E55)&lt;MAX($P$34*($B55+$I$38-1),IF(AND($L$37=0,$P$34=0),"",$L$37-1)),0,YEARFRAC(MAX($P$34*($B55+$I$38-1),IF(AND($L$37=0,$P$34=0),"",$L$37-1)),MIN(BM$38,$E55),$P$20))-SUM($BF55:BL55))</f>
        <v>0</v>
      </c>
      <c r="BN55" s="446">
        <f>IF($E55=0,0,IF(MIN(BN$38,$E55)&lt;MAX($P$34*($B55+$I$38-1),IF(AND($L$37=0,$P$34=0),"",$L$37-1)),0,YEARFRAC(MAX($P$34*($B55+$I$38-1),IF(AND($L$37=0,$P$34=0),"",$L$37-1)),MIN(BN$38,$E55),$P$20))-SUM($BF55:BM55))</f>
        <v>0</v>
      </c>
      <c r="BO55" s="446">
        <f>IF($E55=0,0,IF(MIN(BO$38,$E55)&lt;MAX($P$34*($B55+$I$38-1),IF(AND($L$37=0,$P$34=0),"",$L$37-1)),0,YEARFRAC(MAX($P$34*($B55+$I$38-1),IF(AND($L$37=0,$P$34=0),"",$L$37-1)),MIN(BO$38,$E55),$P$20))-SUM($BF55:BN55))</f>
        <v>0</v>
      </c>
      <c r="BP55" s="446">
        <f>IF($E55=0,0,IF(MIN(BP$38,$E55)&lt;MAX($P$34*($B55+$I$38-1),IF(AND($L$37=0,$P$34=0),"",$L$37-1)),0,YEARFRAC(MAX($P$34*($B55+$I$38-1),IF(AND($L$37=0,$P$34=0),"",$L$37-1)),MIN(BP$38,$E55),$P$20))-SUM($BF55:BO55))</f>
        <v>0</v>
      </c>
      <c r="BQ55" s="446">
        <f>IF($E55=0,0,IF(MIN(BQ$38,$E55)&lt;MAX($P$34*($B55+$I$38-1),IF(AND($L$37=0,$P$34=0),"",$L$37-1)),0,YEARFRAC(MAX($P$34*($B55+$I$38-1),IF(AND($L$37=0,$P$34=0),"",$L$37-1)),MIN(BQ$38,$E55),$P$20))-SUM($BF55:BP55))</f>
        <v>0</v>
      </c>
      <c r="BR55" s="446">
        <f>IF($E55=0,0,IF(MIN(BR$38,$E55)&lt;MAX($P$34*($B55+$I$38-1),IF(AND($L$37=0,$P$34=0),"",$L$37-1)),0,YEARFRAC(MAX($P$34*($B55+$I$38-1),IF(AND($L$37=0,$P$34=0),"",$L$37-1)),MIN(BR$38,$E55),$P$20))-SUM($BF55:BQ55))</f>
        <v>0</v>
      </c>
      <c r="BS55" s="446">
        <f>IF($E55=0,0,IF(MIN(BS$38,$E55)&lt;MAX($P$34*($B55+$I$38-1),IF(AND($L$37=0,$P$34=0),"",$L$37-1)),0,YEARFRAC(MAX($P$34*($B55+$I$38-1),IF(AND($L$37=0,$P$34=0),"",$L$37-1)),MIN(BS$38,$E55),$P$20))-SUM($BF55:BR55))</f>
        <v>0</v>
      </c>
      <c r="BT55" s="446">
        <f>IF($E55=0,0,IF(MIN(BT$38,$E55)&lt;MAX($P$34*($B55+$I$38-1),IF(AND($L$37=0,$P$34=0),"",$L$37-1)),0,YEARFRAC(MAX($P$34*($B55+$I$38-1),IF(AND($L$37=0,$P$34=0),"",$L$37-1)),MIN(BT$38,$E55),$P$20))-SUM($BF55:BS55))</f>
        <v>0</v>
      </c>
      <c r="BU55" s="446">
        <f>IF($E55=0,0,IF(MIN(BU$38,$E55)&lt;MAX($P$34*($B55+$I$38-1),IF(AND($L$37=0,$P$34=0),"",$L$37-1)),0,YEARFRAC(MAX($P$34*($B55+$I$38-1),IF(AND($L$37=0,$P$34=0),"",$L$37-1)),MIN(BU$38,$E55),$P$20))-SUM($BF55:BT55))</f>
        <v>0</v>
      </c>
      <c r="BV55" s="446">
        <f>IF($E55=0,0,IF(MIN(BV$38,$E55)&lt;MAX($P$34*($B55+$I$38-1),IF(AND($L$37=0,$P$34=0),"",$L$37-1)),0,YEARFRAC(MAX($P$34*($B55+$I$38-1),IF(AND($L$37=0,$P$34=0),"",$L$37-1)),MIN(BV$38,$E55),$P$20))-SUM($BF55:BU55))</f>
        <v>0</v>
      </c>
      <c r="BW55" s="446">
        <f>IF($E55=0,0,IF(MIN(BW$38,$E55)&lt;MAX($P$34*($B55+$I$38-1),IF(AND($L$37=0,$P$34=0),"",$L$37-1)),0,YEARFRAC(MAX($P$34*($B55+$I$38-1),IF(AND($L$37=0,$P$34=0),"",$L$37-1)),MIN(BW$38,$E55),$P$20))-SUM($BF55:BV55))</f>
        <v>0</v>
      </c>
      <c r="BX55" s="446">
        <f>IF($E55=0,0,IF(MIN(BX$38,$E55)&lt;MAX($P$34*($B55+$I$38-1),IF(AND($L$37=0,$P$34=0),"",$L$37-1)),0,YEARFRAC(MAX($P$34*($B55+$I$38-1),IF(AND($L$37=0,$P$34=0),"",$L$37-1)),MIN(BX$38,$E55),$P$20))-SUM($BF55:BW55))</f>
        <v>0</v>
      </c>
      <c r="BY55" s="446">
        <f>IF($E55=0,0,IF(MIN(BY$38,$E55)&lt;MAX($P$34*($B55+$I$38-1),IF(AND($L$37=0,$P$34=0),"",$L$37-1)),0,YEARFRAC(MAX($P$34*($B55+$I$38-1),IF(AND($L$37=0,$P$34=0),"",$L$37-1)),MIN(BY$38,$E55),$P$20))-SUM($BF55:BX55))</f>
        <v>0</v>
      </c>
      <c r="BZ55" s="446">
        <f>IF($E55=0,0,IF(MIN(BZ$38,$E55)&lt;MAX($P$34*($B55+$I$38-1),IF(AND($L$37=0,$P$34=0),"",$L$37-1)),0,YEARFRAC(MAX($P$34*($B55+$I$38-1),IF(AND($L$37=0,$P$34=0),"",$L$37-1)),MIN(BZ$38,$E55),$P$20))-SUM($BF55:BY55))</f>
        <v>0</v>
      </c>
      <c r="CA55" s="446">
        <f>IF($E55=0,0,IF(MIN(CA$38,$E55)&lt;MAX($P$34*($B55+$I$38-1),IF(AND($L$37=0,$P$34=0),"",$L$37-1)),0,YEARFRAC(MAX($P$34*($B55+$I$38-1),IF(AND($L$37=0,$P$34=0),"",$L$37-1)),MIN(CA$38,$E55),$P$20))-SUM($BF55:BZ55))</f>
        <v>0</v>
      </c>
      <c r="CB55" s="446">
        <f>IF($E55=0,0,IF(MIN(CB$38,$E55)&lt;MAX($P$34*($B55+$I$38-1),IF(AND($L$37=0,$P$34=0),"",$L$37-1)),0,YEARFRAC(MAX($P$34*($B55+$I$38-1),IF(AND($L$37=0,$P$34=0),"",$L$37-1)),MIN(CB$38,$E55),$P$20))-SUM($BF55:CA55))</f>
        <v>0</v>
      </c>
      <c r="CC55" s="446">
        <f>IF($E55=0,0,IF(MIN(CC$38,$E55)&lt;MAX($P$34*($B55+$I$38-1),IF(AND($L$37=0,$P$34=0),"",$L$37-1)),0,YEARFRAC(MAX($P$34*($B55+$I$38-1),IF(AND($L$37=0,$P$34=0),"",$L$37-1)),MIN(CC$38,$E55),$P$20))-SUM($BF55:CB55))</f>
        <v>0</v>
      </c>
      <c r="CD55" s="446">
        <f>IF($E55=0,0,IF(MIN(CD$38,$E55)&lt;MAX($P$34*($B55+$I$38-1),IF(AND($L$37=0,$P$34=0),"",$L$37-1)),0,YEARFRAC(MAX($P$34*($B55+$I$38-1),IF(AND($L$37=0,$P$34=0),"",$L$37-1)),MIN(CD$38,$E55),$P$20))-SUM($BF55:CC55))</f>
        <v>0</v>
      </c>
      <c r="CE55" s="446">
        <f>IF($E55=0,0,IF(MIN(CE$38,$E55)&lt;MAX($P$34*($B55+$I$38-1),IF(AND($L$37=0,$P$34=0),"",$L$37-1)),0,YEARFRAC(MAX($P$34*($B55+$I$38-1),IF(AND($L$37=0,$P$34=0),"",$L$37-1)),MIN(CE$38,$E55),$P$20))-SUM($BF55:CD55))</f>
        <v>0</v>
      </c>
      <c r="CF55" s="446">
        <f>IF($E55=0,0,IF(MIN(CF$38,$E55)&lt;MAX($P$34*($B55+$I$38-1),IF(AND($L$37=0,$P$34=0),"",$L$37-1)),0,YEARFRAC(MAX($P$34*($B55+$I$38-1),IF(AND($L$37=0,$P$34=0),"",$L$37-1)),MIN(CF$38,$E55),$P$20))-SUM($BF55:CE55))</f>
        <v>0</v>
      </c>
      <c r="CG55" s="446">
        <f>IF($E55=0,0,IF(MIN(CG$38,$E55)&lt;MAX($P$34*($B55+$I$38-1),IF(AND($L$37=0,$P$34=0),"",$L$37-1)),0,YEARFRAC(MAX($P$34*($B55+$I$38-1),IF(AND($L$37=0,$P$34=0),"",$L$37-1)),MIN(CG$38,$E55),$P$20))-SUM($BF55:CF55))</f>
        <v>0</v>
      </c>
      <c r="CH55" s="446">
        <f>IF($E55=0,0,IF(MIN(CH$38,$E55)&lt;MAX($P$34*($B55+$I$38-1),IF(AND($L$37=0,$P$34=0),"",$L$37-1)),0,YEARFRAC(MAX($P$34*($B55+$I$38-1),IF(AND($L$37=0,$P$34=0),"",$L$37-1)),MIN(CH$38,$E55),$P$20))-SUM($BF55:CG55))</f>
        <v>0</v>
      </c>
      <c r="CI55" s="446">
        <f>IF($E55=0,0,IF(MIN(CI$38,$E55)&lt;MAX($P$34*($B55+$I$38-1),IF(AND($L$37=0,$P$34=0),"",$L$37-1)),0,YEARFRAC(MAX($P$34*($B55+$I$38-1),IF(AND($L$37=0,$P$34=0),"",$L$37-1)),MIN(CI$38,$E55),$P$20))-SUM($BF55:CH55))</f>
        <v>0</v>
      </c>
      <c r="CJ55" s="446">
        <f>IF($E55=0,0,IF(MIN(CJ$38,$E55)&lt;MAX($P$34*($B55+$I$38-1),IF(AND($L$37=0,$P$34=0),"",$L$37-1)),0,YEARFRAC(MAX($P$34*($B55+$I$38-1),IF(AND($L$37=0,$P$34=0),"",$L$37-1)),MIN(CJ$38,$E55),$P$20))-SUM($BF55:CI55))</f>
        <v>0</v>
      </c>
      <c r="CK55" s="446">
        <f>IF($E55=0,0,IF(MIN(CK$38,$E55)&lt;MAX($P$34*($B55+$I$38-1),IF(AND($L$37=0,$P$34=0),"",$L$37-1)),0,YEARFRAC(MAX($P$34*($B55+$I$38-1),IF(AND($L$37=0,$P$34=0),"",$L$37-1)),MIN(CK$38,$E55),$P$20))-SUM($BF55:CJ55))</f>
        <v>0</v>
      </c>
      <c r="CL55" s="446">
        <f>IF($E55=0,0,IF(MIN(CL$38,$E55)&lt;MAX($P$34*($B55+$I$38-1),IF(AND($L$37=0,$P$34=0),"",$L$37-1)),0,YEARFRAC(MAX($P$34*($B55+$I$38-1),IF(AND($L$37=0,$P$34=0),"",$L$37-1)),MIN(CL$38,$E55),$P$20))-SUM($BF55:CK55))</f>
        <v>0</v>
      </c>
      <c r="CM55" s="446">
        <f>IF($E55=0,0,IF(MIN(CM$38,$E55)&lt;MAX($P$34*($B55+$I$38-1),IF(AND($L$37=0,$P$34=0),"",$L$37-1)),0,YEARFRAC(MAX($P$34*($B55+$I$38-1),IF(AND($L$37=0,$P$34=0),"",$L$37-1)),MIN(CM$38,$E55),$P$20))-SUM($BF55:CL55))</f>
        <v>0</v>
      </c>
      <c r="CN55" s="446">
        <f>IF($E55=0,0,IF(MIN(CN$38,$E55)&lt;MAX($P$34*($B55+$I$38-1),IF(AND($L$37=0,$P$34=0),"",$L$37-1)),0,YEARFRAC(MAX($P$34*($B55+$I$38-1),IF(AND($L$37=0,$P$34=0),"",$L$37-1)),MIN(CN$38,$E55),$P$20))-SUM($BF55:CM55))</f>
        <v>0</v>
      </c>
      <c r="CO55" s="446">
        <f>IF($E55=0,0,IF(MIN(CO$38,$E55)&lt;MAX($P$34*($B55+$I$38-1),IF(AND($L$37=0,$P$34=0),"",$L$37-1)),0,YEARFRAC(MAX($P$34*($B55+$I$38-1),IF(AND($L$37=0,$P$34=0),"",$L$37-1)),MIN(CO$38,$E55),$P$20))-SUM($BF55:CN55))</f>
        <v>0</v>
      </c>
      <c r="CP55" s="446">
        <f>IF($E55=0,0,IF(MIN(CP$38,$E55)&lt;MAX($P$34*($B55+$I$38-1),IF(AND($L$37=0,$P$34=0),"",$L$37-1)),0,YEARFRAC(MAX($P$34*($B55+$I$38-1),IF(AND($L$37=0,$P$34=0),"",$L$37-1)),MIN(CP$38,$E55),$P$20))-SUM($BF55:CO55))</f>
        <v>0</v>
      </c>
      <c r="CQ55" s="446">
        <f>IF($E55=0,0,IF(MIN(CQ$38,$E55)&lt;MAX($P$34*($B55+$I$38-1),IF(AND($L$37=0,$P$34=0),"",$L$37-1)),0,YEARFRAC(MAX($P$34*($B55+$I$38-1),IF(AND($L$37=0,$P$34=0),"",$L$37-1)),MIN(CQ$38,$E55),$P$20))-SUM($BF55:CP55))</f>
        <v>0</v>
      </c>
    </row>
    <row r="56" spans="1:95" s="446" customFormat="1" ht="11.25" hidden="1" customHeight="1" x14ac:dyDescent="0.2">
      <c r="A56" s="152"/>
      <c r="B56" s="153" t="str">
        <f t="shared" si="15"/>
        <v/>
      </c>
      <c r="C56" s="29" t="str">
        <f>IF(B56="","",IF($L$35="SELIC - TRIBUTOS",VLOOKUP(DATE(YEAR($D$19),MONTH($D$19)-1,1),ÍNDICES!$A:$DE,HLOOKUP($BL$25,ÍNDICES!$B$3:$T$4,2)+11)-VLOOKUP(B56,ÍNDICES!$A:$DE,HLOOKUP($BL$25,ÍNDICES!$B$3:$T$4,2)+11)+1%,IF(C$38=$W$26,$J$35,IF(ISERROR(IF(B56&gt;$D$19,1,VLOOKUP(DATE(YEAR(B56),MONTH(B56)+IF($C$35=$S$23,1,0),1),ÍNDICES!$A:$DE,$Z$35+1))),"",IF(B56&gt;$D$19,1,VLOOKUP(DATE(YEAR(B56),MONTH(B56)+IF($C$35=$S$23,1,0),1),ÍNDICES!$A:$DE,$Z$35+1))))))</f>
        <v/>
      </c>
      <c r="D56" s="154" t="str">
        <f>IF(ISERROR(IF(OR($D$38=$Y$27,$B56=""),"",VLOOKUP(B56,ÍNDICES!A:DE,AF$35+1))),"",IF(OR($D$38=$Y$27,$B56=""),"",VLOOKUP(B56,ÍNDICES!A:DE,AF$35+1)))</f>
        <v/>
      </c>
      <c r="E56" s="153"/>
      <c r="F56" s="29" t="str">
        <f>IF(E56="","",IF($L$35="SELIC - TRIBUTOS",VLOOKUP(DATE(YEAR($D$19),MONTH($D$19)-1,1),ÍNDICES!$A:$DE,HLOOKUP($BL$25,ÍNDICES!$B$3:$T$4,2)+11)-VLOOKUP(E56,ÍNDICES!$A:$DE,HLOOKUP($BL$25,ÍNDICES!$B$3:$T$4,2)+11)+1%,IF(F$38=$W$26,$J$35,IF(ISERROR(IF(E56&gt;$D$19,1,VLOOKUP(DATE(YEAR(E56),MONTH(E56)+IF($C$35=$S$23,1,0),1),ÍNDICES!$A:$DE,$Z$35+1))),"",IF(E56&gt;$D$19,1,VLOOKUP(DATE(YEAR(E56),MONTH(E56)+IF($C$35=$S$23,1,0),1),ÍNDICES!$A:$DE,$Z$35+1))))))</f>
        <v/>
      </c>
      <c r="G56" s="155"/>
      <c r="H56" s="156" t="str">
        <f t="shared" si="11"/>
        <v/>
      </c>
      <c r="I56" s="29" t="str">
        <f t="shared" si="5"/>
        <v/>
      </c>
      <c r="J56" s="5">
        <f t="shared" si="6"/>
        <v>0</v>
      </c>
      <c r="K56" s="20">
        <f t="shared" ca="1" si="7"/>
        <v>0</v>
      </c>
      <c r="L56" s="5">
        <f t="shared" ca="1" si="8"/>
        <v>0</v>
      </c>
      <c r="M56" s="64">
        <f t="shared" si="12"/>
        <v>0</v>
      </c>
      <c r="N56" s="61">
        <f t="shared" ca="1" si="13"/>
        <v>0</v>
      </c>
      <c r="O56" s="5">
        <f t="shared" ca="1" si="14"/>
        <v>0</v>
      </c>
      <c r="P56" s="446" t="e">
        <f t="shared" si="9"/>
        <v>#VALUE!</v>
      </c>
      <c r="Q56" s="446" t="e">
        <f>IF(OR($B56="",MIN(Q$38,$D$19)&lt;MAX($P$34*($B56+IF($R$17="Distrato",$I$38-1,0)),IF(AND($L$37=0,$P$34=0),"",$L$37-1),IF($R$17="Distrato",$E56,0))),0,YEARFRAC(MAX($P$34*($B56+IF($R$17="Distrato",$I$38-1,0)),IF(AND($L$37=0,$P$34=0),"",$L$37-1),IF($R$17="Distrato",$E56,0)),MIN(Q$38,$D$19),$P$20))-SUM($P56:P56)</f>
        <v>#VALUE!</v>
      </c>
      <c r="R56" s="446" t="e">
        <f>IF(OR($B56="",MIN(R$38,$D$19)&lt;MAX($P$34*($B56+IF($R$17="Distrato",$I$38-1,0)),IF(AND($L$37=0,$P$34=0),"",$L$37-1),IF($R$17="Distrato",$E56,0))),0,YEARFRAC(MAX($P$34*($B56+IF($R$17="Distrato",$I$38-1,0)),IF(AND($L$37=0,$P$34=0),"",$L$37-1),IF($R$17="Distrato",$E56,0)),MIN(R$38,$D$19),$P$20))-SUM($P56:Q56)</f>
        <v>#VALUE!</v>
      </c>
      <c r="S56" s="446" t="e">
        <f>IF(OR($B56="",MIN(S$38,$D$19)&lt;MAX($P$34*($B56+IF($R$17="Distrato",$I$38-1,0)),IF(AND($L$37=0,$P$34=0),"",$L$37-1),IF($R$17="Distrato",$E56,0))),0,YEARFRAC(MAX($P$34*($B56+IF($R$17="Distrato",$I$38-1,0)),IF(AND($L$37=0,$P$34=0),"",$L$37-1),IF($R$17="Distrato",$E56,0)),MIN(S$38,$D$19),$P$20))-SUM($P56:R56)</f>
        <v>#VALUE!</v>
      </c>
      <c r="T56" s="446" t="e">
        <f>IF(OR($B56="",MIN(T$38,$D$19)&lt;MAX($P$34*($B56+IF($R$17="Distrato",$I$38-1,0)),IF(AND($L$37=0,$P$34=0),"",$L$37-1),IF($R$17="Distrato",$E56,0))),0,YEARFRAC(MAX($P$34*($B56+IF($R$17="Distrato",$I$38-1,0)),IF(AND($L$37=0,$P$34=0),"",$L$37-1),IF($R$17="Distrato",$E56,0)),MIN(T$38,$D$19),$P$20))-SUM($P56:S56)</f>
        <v>#VALUE!</v>
      </c>
      <c r="U56" s="446" t="e">
        <f>IF(OR($B56="",MIN(U$38,$D$19)&lt;MAX($P$34*($B56+IF($R$17="Distrato",$I$38-1,0)),IF(AND($L$37=0,$P$34=0),"",$L$37-1),IF($R$17="Distrato",$E56,0))),0,YEARFRAC(MAX($P$34*($B56+IF($R$17="Distrato",$I$38-1,0)),IF(AND($L$37=0,$P$34=0),"",$L$37-1),IF($R$17="Distrato",$E56,0)),MIN(U$38,$D$19),$P$20))-SUM($P56:T56)</f>
        <v>#VALUE!</v>
      </c>
      <c r="V56" s="446" t="e">
        <f>IF(OR($B56="",MIN(V$38,$D$19)&lt;MAX($P$34*($B56+IF($R$17="Distrato",$I$38-1,0)),IF(AND($L$37=0,$P$34=0),"",$L$37-1),IF($R$17="Distrato",$E56,0))),0,YEARFRAC(MAX($P$34*($B56+IF($R$17="Distrato",$I$38-1,0)),IF(AND($L$37=0,$P$34=0),"",$L$37-1),IF($R$17="Distrato",$E56,0)),MIN(V$38,$D$19),$P$20))-SUM($P56:U56)</f>
        <v>#VALUE!</v>
      </c>
      <c r="W56" s="446" t="e">
        <f>IF(OR($B56="",MIN(W$38,$D$19)&lt;MAX($P$34*($B56+IF($R$17="Distrato",$I$38-1,0)),IF(AND($L$37=0,$P$34=0),"",$L$37-1),IF($R$17="Distrato",$E56,0))),0,YEARFRAC(MAX($P$34*($B56+IF($R$17="Distrato",$I$38-1,0)),IF(AND($L$37=0,$P$34=0),"",$L$37-1),IF($R$17="Distrato",$E56,0)),MIN(W$38,$D$19),$P$20))-SUM($P56:V56)</f>
        <v>#VALUE!</v>
      </c>
      <c r="X56" s="446" t="e">
        <f>IF(OR($B56="",MIN(X$38,$D$19)&lt;MAX($P$34*($B56+IF($R$17="Distrato",$I$38-1,0)),IF(AND($L$37=0,$P$34=0),"",$L$37-1),IF($R$17="Distrato",$E56,0))),0,YEARFRAC(MAX($P$34*($B56+IF($R$17="Distrato",$I$38-1,0)),IF(AND($L$37=0,$P$34=0),"",$L$37-1),IF($R$17="Distrato",$E56,0)),MIN(X$38,$D$19),$P$20))-SUM($P56:W56)</f>
        <v>#VALUE!</v>
      </c>
      <c r="Y56" s="446" t="e">
        <f>IF(OR($B56="",MIN(Y$38,$D$19)&lt;MAX($P$34*($B56+IF($R$17="Distrato",$I$38-1,0)),IF(AND($L$37=0,$P$34=0),"",$L$37-1),IF($R$17="Distrato",$E56,0))),0,YEARFRAC(MAX($P$34*($B56+IF($R$17="Distrato",$I$38-1,0)),IF(AND($L$37=0,$P$34=0),"",$L$37-1),IF($R$17="Distrato",$E56,0)),MIN(Y$38,$D$19),$P$20))-SUM($P56:X56)</f>
        <v>#VALUE!</v>
      </c>
      <c r="Z56" s="446" t="e">
        <f>IF(OR($B56="",MIN(Z$38,$D$19)&lt;MAX($P$34*($B56+IF($R$17="Distrato",$I$38-1,0)),IF(AND($L$37=0,$P$34=0),"",$L$37-1),IF($R$17="Distrato",$E56,0))),0,YEARFRAC(MAX($P$34*($B56+IF($R$17="Distrato",$I$38-1,0)),IF(AND($L$37=0,$P$34=0),"",$L$37-1),IF($R$17="Distrato",$E56,0)),MIN(Z$38,$D$19),$P$20))-SUM($P56:Y56)</f>
        <v>#VALUE!</v>
      </c>
      <c r="AA56" s="446" t="e">
        <f>IF(OR($B56="",MIN(AA$38,$D$19)&lt;MAX($P$34*($B56+IF($R$17="Distrato",$I$38-1,0)),IF(AND($L$37=0,$P$34=0),"",$L$37-1),IF($R$17="Distrato",$E56,0))),0,YEARFRAC(MAX($P$34*($B56+IF($R$17="Distrato",$I$38-1,0)),IF(AND($L$37=0,$P$34=0),"",$L$37-1),IF($R$17="Distrato",$E56,0)),MIN(AA$38,$D$19),$P$20))-SUM($P56:Z56)</f>
        <v>#VALUE!</v>
      </c>
      <c r="AB56" s="446" t="e">
        <f>IF(OR($B56="",MIN(AB$38,$D$19)&lt;MAX($P$34*($B56+IF($R$17="Distrato",$I$38-1,0)),IF(AND($L$37=0,$P$34=0),"",$L$37-1),IF($R$17="Distrato",$E56,0))),0,YEARFRAC(MAX($P$34*($B56+IF($R$17="Distrato",$I$38-1,0)),IF(AND($L$37=0,$P$34=0),"",$L$37-1),IF($R$17="Distrato",$E56,0)),MIN(AB$38,$D$19),$P$20))-SUM($P56:AA56)</f>
        <v>#VALUE!</v>
      </c>
      <c r="AC56" s="446" t="e">
        <f>IF(OR($B56="",MIN(AC$38,$D$19)&lt;MAX($P$34*($B56+IF($R$17="Distrato",$I$38-1,0)),IF(AND($L$37=0,$P$34=0),"",$L$37-1),IF($R$17="Distrato",$E56,0))),0,YEARFRAC(MAX($P$34*($B56+IF($R$17="Distrato",$I$38-1,0)),IF(AND($L$37=0,$P$34=0),"",$L$37-1),IF($R$17="Distrato",$E56,0)),MIN(AC$38,$D$19),$P$20))-SUM($P56:AB56)</f>
        <v>#VALUE!</v>
      </c>
      <c r="AD56" s="446" t="e">
        <f>IF(OR($B56="",MIN(AD$38,$D$19)&lt;MAX($P$34*($B56+IF($R$17="Distrato",$I$38-1,0)),IF(AND($L$37=0,$P$34=0),"",$L$37-1),IF($R$17="Distrato",$E56,0))),0,YEARFRAC(MAX($P$34*($B56+IF($R$17="Distrato",$I$38-1,0)),IF(AND($L$37=0,$P$34=0),"",$L$37-1),IF($R$17="Distrato",$E56,0)),MIN(AD$38,$D$19),$P$20))-SUM($P56:AC56)</f>
        <v>#VALUE!</v>
      </c>
      <c r="AE56" s="446" t="e">
        <f>IF(OR($B56="",MIN(AE$38,$D$19)&lt;MAX($P$34*($B56+IF($R$17="Distrato",$I$38-1,0)),IF(AND($L$37=0,$P$34=0),"",$L$37-1),IF($R$17="Distrato",$E56,0))),0,YEARFRAC(MAX($P$34*($B56+IF($R$17="Distrato",$I$38-1,0)),IF(AND($L$37=0,$P$34=0),"",$L$37-1),IF($R$17="Distrato",$E56,0)),MIN(AE$38,$D$19),$P$20))-SUM($P56:AD56)</f>
        <v>#VALUE!</v>
      </c>
      <c r="AF56" s="446" t="e">
        <f>IF(OR($B56="",MIN(AF$38,$D$19)&lt;MAX($P$34*($B56+IF($R$17="Distrato",$I$38-1,0)),IF(AND($L$37=0,$P$34=0),"",$L$37-1),IF($R$17="Distrato",$E56,0))),0,YEARFRAC(MAX($P$34*($B56+IF($R$17="Distrato",$I$38-1,0)),IF(AND($L$37=0,$P$34=0),"",$L$37-1),IF($R$17="Distrato",$E56,0)),MIN(AF$38,$D$19),$P$20))-SUM($P56:AE56)</f>
        <v>#VALUE!</v>
      </c>
      <c r="AG56" s="446" t="e">
        <f>IF(OR($B56="",MIN(AG$38,$D$19)&lt;MAX($P$34*($B56+IF($R$17="Distrato",$I$38-1,0)),IF(AND($L$37=0,$P$34=0),"",$L$37-1),IF($R$17="Distrato",$E56,0))),0,YEARFRAC(MAX($P$34*($B56+IF($R$17="Distrato",$I$38-1,0)),IF(AND($L$37=0,$P$34=0),"",$L$37-1),IF($R$17="Distrato",$E56,0)),MIN(AG$38,$D$19),$P$20))-SUM($P56:AF56)</f>
        <v>#VALUE!</v>
      </c>
      <c r="AH56" s="446" t="e">
        <f>IF(OR($B56="",MIN(AH$38,$D$19)&lt;MAX($P$34*($B56+IF($R$17="Distrato",$I$38-1,0)),IF(AND($L$37=0,$P$34=0),"",$L$37-1),IF($R$17="Distrato",$E56,0))),0,YEARFRAC(MAX($P$34*($B56+IF($R$17="Distrato",$I$38-1,0)),IF(AND($L$37=0,$P$34=0),"",$L$37-1),IF($R$17="Distrato",$E56,0)),MIN(AH$38,$D$19),$P$20))-SUM($P56:AG56)</f>
        <v>#VALUE!</v>
      </c>
      <c r="AI56" s="446" t="e">
        <f>IF(OR($B56="",MIN(AI$38,$D$19)&lt;MAX($P$34*($B56+IF($R$17="Distrato",$I$38-1,0)),IF(AND($L$37=0,$P$34=0),"",$L$37-1),IF($R$17="Distrato",$E56,0))),0,YEARFRAC(MAX($P$34*($B56+IF($R$17="Distrato",$I$38-1,0)),IF(AND($L$37=0,$P$34=0),"",$L$37-1),IF($R$17="Distrato",$E56,0)),MIN(AI$38,$D$19),$P$20))-SUM($P56:AH56)</f>
        <v>#VALUE!</v>
      </c>
      <c r="AJ56" s="446" t="e">
        <f>IF(OR($B56="",MIN(AJ$38,$D$19)&lt;MAX($P$34*($B56+IF($R$17="Distrato",$I$38-1,0)),IF(AND($L$37=0,$P$34=0),"",$L$37-1),IF($R$17="Distrato",$E56,0))),0,YEARFRAC(MAX($P$34*($B56+IF($R$17="Distrato",$I$38-1,0)),IF(AND($L$37=0,$P$34=0),"",$L$37-1),IF($R$17="Distrato",$E56,0)),MIN(AJ$38,$D$19),$P$20))-SUM($P56:AI56)</f>
        <v>#VALUE!</v>
      </c>
      <c r="AK56" s="446" t="e">
        <f>IF(OR($B56="",MIN(AK$38,$D$19)&lt;MAX($P$34*($B56+IF($R$17="Distrato",$I$38-1,0)),IF(AND($L$37=0,$P$34=0),"",$L$37-1),IF($R$17="Distrato",$E56,0))),0,YEARFRAC(MAX($P$34*($B56+IF($R$17="Distrato",$I$38-1,0)),IF(AND($L$37=0,$P$34=0),"",$L$37-1),IF($R$17="Distrato",$E56,0)),MIN(AK$38,$D$19),$P$20))-SUM($P56:AJ56)</f>
        <v>#VALUE!</v>
      </c>
      <c r="AL56" s="446" t="e">
        <f>IF(OR($B56="",MIN(AL$38,$D$19)&lt;MAX($P$34*($B56+IF($R$17="Distrato",$I$38-1,0)),IF(AND($L$37=0,$P$34=0),"",$L$37-1),IF($R$17="Distrato",$E56,0))),0,YEARFRAC(MAX($P$34*($B56+IF($R$17="Distrato",$I$38-1,0)),IF(AND($L$37=0,$P$34=0),"",$L$37-1),IF($R$17="Distrato",$E56,0)),MIN(AL$38,$D$19),$P$20))-SUM($P56:AK56)</f>
        <v>#VALUE!</v>
      </c>
      <c r="AM56" s="446" t="e">
        <f>IF(OR($B56="",MIN(AM$38,$D$19)&lt;MAX($P$34*($B56+IF($R$17="Distrato",$I$38-1,0)),IF(AND($L$37=0,$P$34=0),"",$L$37-1),IF($R$17="Distrato",$E56,0))),0,YEARFRAC(MAX($P$34*($B56+IF($R$17="Distrato",$I$38-1,0)),IF(AND($L$37=0,$P$34=0),"",$L$37-1),IF($R$17="Distrato",$E56,0)),MIN(AM$38,$D$19),$P$20))-SUM($P56:AL56)</f>
        <v>#VALUE!</v>
      </c>
      <c r="AN56" s="446" t="e">
        <f>IF(OR($B56="",MIN(AN$38,$D$19)&lt;MAX($P$34*($B56+IF($R$17="Distrato",$I$38-1,0)),IF(AND($L$37=0,$P$34=0),"",$L$37-1),IF($R$17="Distrato",$E56,0))),0,YEARFRAC(MAX($P$34*($B56+IF($R$17="Distrato",$I$38-1,0)),IF(AND($L$37=0,$P$34=0),"",$L$37-1),IF($R$17="Distrato",$E56,0)),MIN(AN$38,$D$19),$P$20))-SUM($P56:AM56)</f>
        <v>#VALUE!</v>
      </c>
      <c r="AO56" s="446" t="e">
        <f>IF(OR($B56="",MIN(AO$38,$D$19)&lt;MAX($P$34*($B56+IF($R$17="Distrato",$I$38-1,0)),IF(AND($L$37=0,$P$34=0),"",$L$37-1),IF($R$17="Distrato",$E56,0))),0,YEARFRAC(MAX($P$34*($B56+IF($R$17="Distrato",$I$38-1,0)),IF(AND($L$37=0,$P$34=0),"",$L$37-1),IF($R$17="Distrato",$E56,0)),MIN(AO$38,$D$19),$P$20))-SUM($P56:AN56)</f>
        <v>#VALUE!</v>
      </c>
      <c r="AP56" s="446" t="e">
        <f>IF(OR($B56="",MIN(AP$38,$D$19)&lt;MAX($P$34*($B56+IF($R$17="Distrato",$I$38-1,0)),IF(AND($L$37=0,$P$34=0),"",$L$37-1),IF($R$17="Distrato",$E56,0))),0,YEARFRAC(MAX($P$34*($B56+IF($R$17="Distrato",$I$38-1,0)),IF(AND($L$37=0,$P$34=0),"",$L$37-1),IF($R$17="Distrato",$E56,0)),MIN(AP$38,$D$19),$P$20))-SUM($P56:AO56)</f>
        <v>#VALUE!</v>
      </c>
      <c r="AQ56" s="446" t="e">
        <f>IF(OR($B56="",MIN(AQ$38,$D$19)&lt;MAX($P$34*($B56+IF($R$17="Distrato",$I$38-1,0)),IF(AND($L$37=0,$P$34=0),"",$L$37-1),IF($R$17="Distrato",$E56,0))),0,YEARFRAC(MAX($P$34*($B56+IF($R$17="Distrato",$I$38-1,0)),IF(AND($L$37=0,$P$34=0),"",$L$37-1),IF($R$17="Distrato",$E56,0)),MIN(AQ$38,$D$19),$P$20))-SUM($P56:AP56)</f>
        <v>#VALUE!</v>
      </c>
      <c r="AR56" s="446" t="e">
        <f>IF(OR($B56="",MIN(AR$38,$D$19)&lt;MAX($P$34*($B56+IF($R$17="Distrato",$I$38-1,0)),IF(AND($L$37=0,$P$34=0),"",$L$37-1),IF($R$17="Distrato",$E56,0))),0,YEARFRAC(MAX($P$34*($B56+IF($R$17="Distrato",$I$38-1,0)),IF(AND($L$37=0,$P$34=0),"",$L$37-1),IF($R$17="Distrato",$E56,0)),MIN(AR$38,$D$19),$P$20))-SUM($P56:AQ56)</f>
        <v>#VALUE!</v>
      </c>
      <c r="AS56" s="446" t="e">
        <f>IF(OR($B56="",MIN(AS$38,$D$19)&lt;MAX($P$34*($B56+IF($R$17="Distrato",$I$38-1,0)),IF(AND($L$37=0,$P$34=0),"",$L$37-1),IF($R$17="Distrato",$E56,0))),0,YEARFRAC(MAX($P$34*($B56+IF($R$17="Distrato",$I$38-1,0)),IF(AND($L$37=0,$P$34=0),"",$L$37-1),IF($R$17="Distrato",$E56,0)),MIN(AS$38,$D$19),$P$20))-SUM($P56:AR56)</f>
        <v>#VALUE!</v>
      </c>
      <c r="AT56" s="446" t="e">
        <f>IF(OR($B56="",MIN(AT$38,$D$19)&lt;MAX($P$34*($B56+IF($R$17="Distrato",$I$38-1,0)),IF(AND($L$37=0,$P$34=0),"",$L$37-1),IF($R$17="Distrato",$E56,0))),0,YEARFRAC(MAX($P$34*($B56+IF($R$17="Distrato",$I$38-1,0)),IF(AND($L$37=0,$P$34=0),"",$L$37-1),IF($R$17="Distrato",$E56,0)),MIN(AT$38,$D$19),$P$20))-SUM($P56:AS56)</f>
        <v>#VALUE!</v>
      </c>
      <c r="AU56" s="446" t="e">
        <f>IF(OR($B56="",MIN(AU$38,$D$19)&lt;MAX($P$34*($B56+IF($R$17="Distrato",$I$38-1,0)),IF(AND($L$37=0,$P$34=0),"",$L$37-1),IF($R$17="Distrato",$E56,0))),0,YEARFRAC(MAX($P$34*($B56+IF($R$17="Distrato",$I$38-1,0)),IF(AND($L$37=0,$P$34=0),"",$L$37-1),IF($R$17="Distrato",$E56,0)),MIN(AU$38,$D$19),$P$20))-SUM($P56:AT56)</f>
        <v>#VALUE!</v>
      </c>
      <c r="AV56" s="446" t="e">
        <f>IF(OR($B56="",MIN(AV$38,$D$19)&lt;MAX($P$34*($B56+IF($R$17="Distrato",$I$38-1,0)),IF(AND($L$37=0,$P$34=0),"",$L$37-1),IF($R$17="Distrato",$E56,0))),0,YEARFRAC(MAX($P$34*($B56+IF($R$17="Distrato",$I$38-1,0)),IF(AND($L$37=0,$P$34=0),"",$L$37-1),IF($R$17="Distrato",$E56,0)),MIN(AV$38,$D$19),$P$20))-SUM($P56:AU56)</f>
        <v>#VALUE!</v>
      </c>
      <c r="AW56" s="446" t="e">
        <f>IF(OR($B56="",MIN(AW$38,$D$19)&lt;MAX($P$34*($B56+IF($R$17="Distrato",$I$38-1,0)),IF(AND($L$37=0,$P$34=0),"",$L$37-1),IF($R$17="Distrato",$E56,0))),0,YEARFRAC(MAX($P$34*($B56+IF($R$17="Distrato",$I$38-1,0)),IF(AND($L$37=0,$P$34=0),"",$L$37-1),IF($R$17="Distrato",$E56,0)),MIN(AW$38,$D$19),$P$20))-SUM($P56:AV56)</f>
        <v>#VALUE!</v>
      </c>
      <c r="AX56" s="446" t="e">
        <f>IF(OR($B56="",MIN(AX$38,$D$19)&lt;MAX($P$34*($B56+IF($R$17="Distrato",$I$38-1,0)),IF(AND($L$37=0,$P$34=0),"",$L$37-1),IF($R$17="Distrato",$E56,0))),0,YEARFRAC(MAX($P$34*($B56+IF($R$17="Distrato",$I$38-1,0)),IF(AND($L$37=0,$P$34=0),"",$L$37-1),IF($R$17="Distrato",$E56,0)),MIN(AX$38,$D$19),$P$20))-SUM($P56:AW56)</f>
        <v>#VALUE!</v>
      </c>
      <c r="AY56" s="446" t="e">
        <f>IF(OR($B56="",MIN(AY$38,$D$19)&lt;MAX($P$34*($B56+IF($R$17="Distrato",$I$38-1,0)),IF(AND($L$37=0,$P$34=0),"",$L$37-1),IF($R$17="Distrato",$E56,0))),0,YEARFRAC(MAX($P$34*($B56+IF($R$17="Distrato",$I$38-1,0)),IF(AND($L$37=0,$P$34=0),"",$L$37-1),IF($R$17="Distrato",$E56,0)),MIN(AY$38,$D$19),$P$20))-SUM($P56:AX56)</f>
        <v>#VALUE!</v>
      </c>
      <c r="AZ56" s="446" t="e">
        <f>IF(OR($B56="",MIN(AZ$38,$D$19)&lt;MAX($P$34*($B56+IF($R$17="Distrato",$I$38-1,0)),IF(AND($L$37=0,$P$34=0),"",$L$37-1),IF($R$17="Distrato",$E56,0))),0,YEARFRAC(MAX($P$34*($B56+IF($R$17="Distrato",$I$38-1,0)),IF(AND($L$37=0,$P$34=0),"",$L$37-1),IF($R$17="Distrato",$E56,0)),MIN(AZ$38,$D$19),$P$20))-SUM($P56:AY56)</f>
        <v>#VALUE!</v>
      </c>
      <c r="BA56" s="446" t="e">
        <f>IF(OR($B56="",MIN(BA$38,$D$19)&lt;MAX($P$34*($B56+IF($R$17="Distrato",$I$38-1,0)),IF(AND($L$37=0,$P$34=0),"",$L$37-1),IF($R$17="Distrato",$E56,0))),0,YEARFRAC(MAX($P$34*($B56+IF($R$17="Distrato",$I$38-1,0)),IF(AND($L$37=0,$P$34=0),"",$L$37-1),IF($R$17="Distrato",$E56,0)),MIN(BA$38,$D$19),$P$20))-SUM($P56:AZ56)</f>
        <v>#VALUE!</v>
      </c>
      <c r="BB56" s="447"/>
      <c r="BF56" s="446">
        <f t="shared" si="10"/>
        <v>0</v>
      </c>
      <c r="BG56" s="446">
        <f>IF($E56=0,0,IF(MIN(BG$38,$E56)&lt;MAX($P$34*($B56+$I$38-1),IF(AND($L$37=0,$P$34=0),"",$L$37-1)),0,YEARFRAC(MAX($P$34*($B56+$I$38-1),IF(AND($L$37=0,$P$34=0),"",$L$37-1)),MIN(BG$38,$E56),$P$20))-SUM($BF56:BF56))</f>
        <v>0</v>
      </c>
      <c r="BH56" s="446">
        <f>IF($E56=0,0,IF(MIN(BH$38,$E56)&lt;MAX($P$34*($B56+$I$38-1),IF(AND($L$37=0,$P$34=0),"",$L$37-1)),0,YEARFRAC(MAX($P$34*($B56+$I$38-1),IF(AND($L$37=0,$P$34=0),"",$L$37-1)),MIN(BH$38,$E56),$P$20))-SUM($BF56:BG56))</f>
        <v>0</v>
      </c>
      <c r="BI56" s="446">
        <f>IF($E56=0,0,IF(MIN(BI$38,$E56)&lt;MAX($P$34*($B56+$I$38-1),IF(AND($L$37=0,$P$34=0),"",$L$37-1)),0,YEARFRAC(MAX($P$34*($B56+$I$38-1),IF(AND($L$37=0,$P$34=0),"",$L$37-1)),MIN(BI$38,$E56),$P$20))-SUM($BF56:BH56))</f>
        <v>0</v>
      </c>
      <c r="BJ56" s="446">
        <f>IF($E56=0,0,IF(MIN(BJ$38,$E56)&lt;MAX($P$34*($B56+$I$38-1),IF(AND($L$37=0,$P$34=0),"",$L$37-1)),0,YEARFRAC(MAX($P$34*($B56+$I$38-1),IF(AND($L$37=0,$P$34=0),"",$L$37-1)),MIN(BJ$38,$E56),$P$20))-SUM($BF56:BI56))</f>
        <v>0</v>
      </c>
      <c r="BK56" s="446">
        <f>IF($E56=0,0,IF(MIN(BK$38,$E56)&lt;MAX($P$34*($B56+$I$38-1),IF(AND($L$37=0,$P$34=0),"",$L$37-1)),0,YEARFRAC(MAX($P$34*($B56+$I$38-1),IF(AND($L$37=0,$P$34=0),"",$L$37-1)),MIN(BK$38,$E56),$P$20))-SUM($BF56:BJ56))</f>
        <v>0</v>
      </c>
      <c r="BL56" s="446">
        <f>IF($E56=0,0,IF(MIN(BL$38,$E56)&lt;MAX($P$34*($B56+$I$38-1),IF(AND($L$37=0,$P$34=0),"",$L$37-1)),0,YEARFRAC(MAX($P$34*($B56+$I$38-1),IF(AND($L$37=0,$P$34=0),"",$L$37-1)),MIN(BL$38,$E56),$P$20))-SUM($BF56:BK56))</f>
        <v>0</v>
      </c>
      <c r="BM56" s="446">
        <f>IF($E56=0,0,IF(MIN(BM$38,$E56)&lt;MAX($P$34*($B56+$I$38-1),IF(AND($L$37=0,$P$34=0),"",$L$37-1)),0,YEARFRAC(MAX($P$34*($B56+$I$38-1),IF(AND($L$37=0,$P$34=0),"",$L$37-1)),MIN(BM$38,$E56),$P$20))-SUM($BF56:BL56))</f>
        <v>0</v>
      </c>
      <c r="BN56" s="446">
        <f>IF($E56=0,0,IF(MIN(BN$38,$E56)&lt;MAX($P$34*($B56+$I$38-1),IF(AND($L$37=0,$P$34=0),"",$L$37-1)),0,YEARFRAC(MAX($P$34*($B56+$I$38-1),IF(AND($L$37=0,$P$34=0),"",$L$37-1)),MIN(BN$38,$E56),$P$20))-SUM($BF56:BM56))</f>
        <v>0</v>
      </c>
      <c r="BO56" s="446">
        <f>IF($E56=0,0,IF(MIN(BO$38,$E56)&lt;MAX($P$34*($B56+$I$38-1),IF(AND($L$37=0,$P$34=0),"",$L$37-1)),0,YEARFRAC(MAX($P$34*($B56+$I$38-1),IF(AND($L$37=0,$P$34=0),"",$L$37-1)),MIN(BO$38,$E56),$P$20))-SUM($BF56:BN56))</f>
        <v>0</v>
      </c>
      <c r="BP56" s="446">
        <f>IF($E56=0,0,IF(MIN(BP$38,$E56)&lt;MAX($P$34*($B56+$I$38-1),IF(AND($L$37=0,$P$34=0),"",$L$37-1)),0,YEARFRAC(MAX($P$34*($B56+$I$38-1),IF(AND($L$37=0,$P$34=0),"",$L$37-1)),MIN(BP$38,$E56),$P$20))-SUM($BF56:BO56))</f>
        <v>0</v>
      </c>
      <c r="BQ56" s="446">
        <f>IF($E56=0,0,IF(MIN(BQ$38,$E56)&lt;MAX($P$34*($B56+$I$38-1),IF(AND($L$37=0,$P$34=0),"",$L$37-1)),0,YEARFRAC(MAX($P$34*($B56+$I$38-1),IF(AND($L$37=0,$P$34=0),"",$L$37-1)),MIN(BQ$38,$E56),$P$20))-SUM($BF56:BP56))</f>
        <v>0</v>
      </c>
      <c r="BR56" s="446">
        <f>IF($E56=0,0,IF(MIN(BR$38,$E56)&lt;MAX($P$34*($B56+$I$38-1),IF(AND($L$37=0,$P$34=0),"",$L$37-1)),0,YEARFRAC(MAX($P$34*($B56+$I$38-1),IF(AND($L$37=0,$P$34=0),"",$L$37-1)),MIN(BR$38,$E56),$P$20))-SUM($BF56:BQ56))</f>
        <v>0</v>
      </c>
      <c r="BS56" s="446">
        <f>IF($E56=0,0,IF(MIN(BS$38,$E56)&lt;MAX($P$34*($B56+$I$38-1),IF(AND($L$37=0,$P$34=0),"",$L$37-1)),0,YEARFRAC(MAX($P$34*($B56+$I$38-1),IF(AND($L$37=0,$P$34=0),"",$L$37-1)),MIN(BS$38,$E56),$P$20))-SUM($BF56:BR56))</f>
        <v>0</v>
      </c>
      <c r="BT56" s="446">
        <f>IF($E56=0,0,IF(MIN(BT$38,$E56)&lt;MAX($P$34*($B56+$I$38-1),IF(AND($L$37=0,$P$34=0),"",$L$37-1)),0,YEARFRAC(MAX($P$34*($B56+$I$38-1),IF(AND($L$37=0,$P$34=0),"",$L$37-1)),MIN(BT$38,$E56),$P$20))-SUM($BF56:BS56))</f>
        <v>0</v>
      </c>
      <c r="BU56" s="446">
        <f>IF($E56=0,0,IF(MIN(BU$38,$E56)&lt;MAX($P$34*($B56+$I$38-1),IF(AND($L$37=0,$P$34=0),"",$L$37-1)),0,YEARFRAC(MAX($P$34*($B56+$I$38-1),IF(AND($L$37=0,$P$34=0),"",$L$37-1)),MIN(BU$38,$E56),$P$20))-SUM($BF56:BT56))</f>
        <v>0</v>
      </c>
      <c r="BV56" s="446">
        <f>IF($E56=0,0,IF(MIN(BV$38,$E56)&lt;MAX($P$34*($B56+$I$38-1),IF(AND($L$37=0,$P$34=0),"",$L$37-1)),0,YEARFRAC(MAX($P$34*($B56+$I$38-1),IF(AND($L$37=0,$P$34=0),"",$L$37-1)),MIN(BV$38,$E56),$P$20))-SUM($BF56:BU56))</f>
        <v>0</v>
      </c>
      <c r="BW56" s="446">
        <f>IF($E56=0,0,IF(MIN(BW$38,$E56)&lt;MAX($P$34*($B56+$I$38-1),IF(AND($L$37=0,$P$34=0),"",$L$37-1)),0,YEARFRAC(MAX($P$34*($B56+$I$38-1),IF(AND($L$37=0,$P$34=0),"",$L$37-1)),MIN(BW$38,$E56),$P$20))-SUM($BF56:BV56))</f>
        <v>0</v>
      </c>
      <c r="BX56" s="446">
        <f>IF($E56=0,0,IF(MIN(BX$38,$E56)&lt;MAX($P$34*($B56+$I$38-1),IF(AND($L$37=0,$P$34=0),"",$L$37-1)),0,YEARFRAC(MAX($P$34*($B56+$I$38-1),IF(AND($L$37=0,$P$34=0),"",$L$37-1)),MIN(BX$38,$E56),$P$20))-SUM($BF56:BW56))</f>
        <v>0</v>
      </c>
      <c r="BY56" s="446">
        <f>IF($E56=0,0,IF(MIN(BY$38,$E56)&lt;MAX($P$34*($B56+$I$38-1),IF(AND($L$37=0,$P$34=0),"",$L$37-1)),0,YEARFRAC(MAX($P$34*($B56+$I$38-1),IF(AND($L$37=0,$P$34=0),"",$L$37-1)),MIN(BY$38,$E56),$P$20))-SUM($BF56:BX56))</f>
        <v>0</v>
      </c>
      <c r="BZ56" s="446">
        <f>IF($E56=0,0,IF(MIN(BZ$38,$E56)&lt;MAX($P$34*($B56+$I$38-1),IF(AND($L$37=0,$P$34=0),"",$L$37-1)),0,YEARFRAC(MAX($P$34*($B56+$I$38-1),IF(AND($L$37=0,$P$34=0),"",$L$37-1)),MIN(BZ$38,$E56),$P$20))-SUM($BF56:BY56))</f>
        <v>0</v>
      </c>
      <c r="CA56" s="446">
        <f>IF($E56=0,0,IF(MIN(CA$38,$E56)&lt;MAX($P$34*($B56+$I$38-1),IF(AND($L$37=0,$P$34=0),"",$L$37-1)),0,YEARFRAC(MAX($P$34*($B56+$I$38-1),IF(AND($L$37=0,$P$34=0),"",$L$37-1)),MIN(CA$38,$E56),$P$20))-SUM($BF56:BZ56))</f>
        <v>0</v>
      </c>
      <c r="CB56" s="446">
        <f>IF($E56=0,0,IF(MIN(CB$38,$E56)&lt;MAX($P$34*($B56+$I$38-1),IF(AND($L$37=0,$P$34=0),"",$L$37-1)),0,YEARFRAC(MAX($P$34*($B56+$I$38-1),IF(AND($L$37=0,$P$34=0),"",$L$37-1)),MIN(CB$38,$E56),$P$20))-SUM($BF56:CA56))</f>
        <v>0</v>
      </c>
      <c r="CC56" s="446">
        <f>IF($E56=0,0,IF(MIN(CC$38,$E56)&lt;MAX($P$34*($B56+$I$38-1),IF(AND($L$37=0,$P$34=0),"",$L$37-1)),0,YEARFRAC(MAX($P$34*($B56+$I$38-1),IF(AND($L$37=0,$P$34=0),"",$L$37-1)),MIN(CC$38,$E56),$P$20))-SUM($BF56:CB56))</f>
        <v>0</v>
      </c>
      <c r="CD56" s="446">
        <f>IF($E56=0,0,IF(MIN(CD$38,$E56)&lt;MAX($P$34*($B56+$I$38-1),IF(AND($L$37=0,$P$34=0),"",$L$37-1)),0,YEARFRAC(MAX($P$34*($B56+$I$38-1),IF(AND($L$37=0,$P$34=0),"",$L$37-1)),MIN(CD$38,$E56),$P$20))-SUM($BF56:CC56))</f>
        <v>0</v>
      </c>
      <c r="CE56" s="446">
        <f>IF($E56=0,0,IF(MIN(CE$38,$E56)&lt;MAX($P$34*($B56+$I$38-1),IF(AND($L$37=0,$P$34=0),"",$L$37-1)),0,YEARFRAC(MAX($P$34*($B56+$I$38-1),IF(AND($L$37=0,$P$34=0),"",$L$37-1)),MIN(CE$38,$E56),$P$20))-SUM($BF56:CD56))</f>
        <v>0</v>
      </c>
      <c r="CF56" s="446">
        <f>IF($E56=0,0,IF(MIN(CF$38,$E56)&lt;MAX($P$34*($B56+$I$38-1),IF(AND($L$37=0,$P$34=0),"",$L$37-1)),0,YEARFRAC(MAX($P$34*($B56+$I$38-1),IF(AND($L$37=0,$P$34=0),"",$L$37-1)),MIN(CF$38,$E56),$P$20))-SUM($BF56:CE56))</f>
        <v>0</v>
      </c>
      <c r="CG56" s="446">
        <f>IF($E56=0,0,IF(MIN(CG$38,$E56)&lt;MAX($P$34*($B56+$I$38-1),IF(AND($L$37=0,$P$34=0),"",$L$37-1)),0,YEARFRAC(MAX($P$34*($B56+$I$38-1),IF(AND($L$37=0,$P$34=0),"",$L$37-1)),MIN(CG$38,$E56),$P$20))-SUM($BF56:CF56))</f>
        <v>0</v>
      </c>
      <c r="CH56" s="446">
        <f>IF($E56=0,0,IF(MIN(CH$38,$E56)&lt;MAX($P$34*($B56+$I$38-1),IF(AND($L$37=0,$P$34=0),"",$L$37-1)),0,YEARFRAC(MAX($P$34*($B56+$I$38-1),IF(AND($L$37=0,$P$34=0),"",$L$37-1)),MIN(CH$38,$E56),$P$20))-SUM($BF56:CG56))</f>
        <v>0</v>
      </c>
      <c r="CI56" s="446">
        <f>IF($E56=0,0,IF(MIN(CI$38,$E56)&lt;MAX($P$34*($B56+$I$38-1),IF(AND($L$37=0,$P$34=0),"",$L$37-1)),0,YEARFRAC(MAX($P$34*($B56+$I$38-1),IF(AND($L$37=0,$P$34=0),"",$L$37-1)),MIN(CI$38,$E56),$P$20))-SUM($BF56:CH56))</f>
        <v>0</v>
      </c>
      <c r="CJ56" s="446">
        <f>IF($E56=0,0,IF(MIN(CJ$38,$E56)&lt;MAX($P$34*($B56+$I$38-1),IF(AND($L$37=0,$P$34=0),"",$L$37-1)),0,YEARFRAC(MAX($P$34*($B56+$I$38-1),IF(AND($L$37=0,$P$34=0),"",$L$37-1)),MIN(CJ$38,$E56),$P$20))-SUM($BF56:CI56))</f>
        <v>0</v>
      </c>
      <c r="CK56" s="446">
        <f>IF($E56=0,0,IF(MIN(CK$38,$E56)&lt;MAX($P$34*($B56+$I$38-1),IF(AND($L$37=0,$P$34=0),"",$L$37-1)),0,YEARFRAC(MAX($P$34*($B56+$I$38-1),IF(AND($L$37=0,$P$34=0),"",$L$37-1)),MIN(CK$38,$E56),$P$20))-SUM($BF56:CJ56))</f>
        <v>0</v>
      </c>
      <c r="CL56" s="446">
        <f>IF($E56=0,0,IF(MIN(CL$38,$E56)&lt;MAX($P$34*($B56+$I$38-1),IF(AND($L$37=0,$P$34=0),"",$L$37-1)),0,YEARFRAC(MAX($P$34*($B56+$I$38-1),IF(AND($L$37=0,$P$34=0),"",$L$37-1)),MIN(CL$38,$E56),$P$20))-SUM($BF56:CK56))</f>
        <v>0</v>
      </c>
      <c r="CM56" s="446">
        <f>IF($E56=0,0,IF(MIN(CM$38,$E56)&lt;MAX($P$34*($B56+$I$38-1),IF(AND($L$37=0,$P$34=0),"",$L$37-1)),0,YEARFRAC(MAX($P$34*($B56+$I$38-1),IF(AND($L$37=0,$P$34=0),"",$L$37-1)),MIN(CM$38,$E56),$P$20))-SUM($BF56:CL56))</f>
        <v>0</v>
      </c>
      <c r="CN56" s="446">
        <f>IF($E56=0,0,IF(MIN(CN$38,$E56)&lt;MAX($P$34*($B56+$I$38-1),IF(AND($L$37=0,$P$34=0),"",$L$37-1)),0,YEARFRAC(MAX($P$34*($B56+$I$38-1),IF(AND($L$37=0,$P$34=0),"",$L$37-1)),MIN(CN$38,$E56),$P$20))-SUM($BF56:CM56))</f>
        <v>0</v>
      </c>
      <c r="CO56" s="446">
        <f>IF($E56=0,0,IF(MIN(CO$38,$E56)&lt;MAX($P$34*($B56+$I$38-1),IF(AND($L$37=0,$P$34=0),"",$L$37-1)),0,YEARFRAC(MAX($P$34*($B56+$I$38-1),IF(AND($L$37=0,$P$34=0),"",$L$37-1)),MIN(CO$38,$E56),$P$20))-SUM($BF56:CN56))</f>
        <v>0</v>
      </c>
      <c r="CP56" s="446">
        <f>IF($E56=0,0,IF(MIN(CP$38,$E56)&lt;MAX($P$34*($B56+$I$38-1),IF(AND($L$37=0,$P$34=0),"",$L$37-1)),0,YEARFRAC(MAX($P$34*($B56+$I$38-1),IF(AND($L$37=0,$P$34=0),"",$L$37-1)),MIN(CP$38,$E56),$P$20))-SUM($BF56:CO56))</f>
        <v>0</v>
      </c>
      <c r="CQ56" s="446">
        <f>IF($E56=0,0,IF(MIN(CQ$38,$E56)&lt;MAX($P$34*($B56+$I$38-1),IF(AND($L$37=0,$P$34=0),"",$L$37-1)),0,YEARFRAC(MAX($P$34*($B56+$I$38-1),IF(AND($L$37=0,$P$34=0),"",$L$37-1)),MIN(CQ$38,$E56),$P$20))-SUM($BF56:CP56))</f>
        <v>0</v>
      </c>
    </row>
    <row r="57" spans="1:95" s="446" customFormat="1" ht="11.25" hidden="1" customHeight="1" x14ac:dyDescent="0.2">
      <c r="A57" s="152"/>
      <c r="B57" s="153" t="str">
        <f t="shared" si="15"/>
        <v/>
      </c>
      <c r="C57" s="29" t="str">
        <f>IF(B57="","",IF($L$35="SELIC - TRIBUTOS",VLOOKUP(DATE(YEAR($D$19),MONTH($D$19)-1,1),ÍNDICES!$A:$DE,HLOOKUP($BL$25,ÍNDICES!$B$3:$T$4,2)+11)-VLOOKUP(B57,ÍNDICES!$A:$DE,HLOOKUP($BL$25,ÍNDICES!$B$3:$T$4,2)+11)+1%,IF(C$38=$W$26,$J$35,IF(ISERROR(IF(B57&gt;$D$19,1,VLOOKUP(DATE(YEAR(B57),MONTH(B57)+IF($C$35=$S$23,1,0),1),ÍNDICES!$A:$DE,$Z$35+1))),"",IF(B57&gt;$D$19,1,VLOOKUP(DATE(YEAR(B57),MONTH(B57)+IF($C$35=$S$23,1,0),1),ÍNDICES!$A:$DE,$Z$35+1))))))</f>
        <v/>
      </c>
      <c r="D57" s="154" t="str">
        <f>IF(ISERROR(IF(OR($D$38=$Y$27,$B57=""),"",VLOOKUP(B57,ÍNDICES!A:DE,AF$35+1))),"",IF(OR($D$38=$Y$27,$B57=""),"",VLOOKUP(B57,ÍNDICES!A:DE,AF$35+1)))</f>
        <v/>
      </c>
      <c r="E57" s="153"/>
      <c r="F57" s="29" t="str">
        <f>IF(E57="","",IF($L$35="SELIC - TRIBUTOS",VLOOKUP(DATE(YEAR($D$19),MONTH($D$19)-1,1),ÍNDICES!$A:$DE,HLOOKUP($BL$25,ÍNDICES!$B$3:$T$4,2)+11)-VLOOKUP(E57,ÍNDICES!$A:$DE,HLOOKUP($BL$25,ÍNDICES!$B$3:$T$4,2)+11)+1%,IF(F$38=$W$26,$J$35,IF(ISERROR(IF(E57&gt;$D$19,1,VLOOKUP(DATE(YEAR(E57),MONTH(E57)+IF($C$35=$S$23,1,0),1),ÍNDICES!$A:$DE,$Z$35+1))),"",IF(E57&gt;$D$19,1,VLOOKUP(DATE(YEAR(E57),MONTH(E57)+IF($C$35=$S$23,1,0),1),ÍNDICES!$A:$DE,$Z$35+1))))))</f>
        <v/>
      </c>
      <c r="G57" s="155"/>
      <c r="H57" s="156" t="str">
        <f t="shared" si="11"/>
        <v/>
      </c>
      <c r="I57" s="29" t="str">
        <f t="shared" si="5"/>
        <v/>
      </c>
      <c r="J57" s="5">
        <f t="shared" si="6"/>
        <v>0</v>
      </c>
      <c r="K57" s="20">
        <f t="shared" ca="1" si="7"/>
        <v>0</v>
      </c>
      <c r="L57" s="5">
        <f t="shared" ca="1" si="8"/>
        <v>0</v>
      </c>
      <c r="M57" s="64">
        <f t="shared" si="12"/>
        <v>0</v>
      </c>
      <c r="N57" s="61">
        <f t="shared" ca="1" si="13"/>
        <v>0</v>
      </c>
      <c r="O57" s="5">
        <f t="shared" ca="1" si="14"/>
        <v>0</v>
      </c>
      <c r="P57" s="446" t="e">
        <f t="shared" si="9"/>
        <v>#VALUE!</v>
      </c>
      <c r="Q57" s="446" t="e">
        <f>IF(OR($B57="",MIN(Q$38,$D$19)&lt;MAX($P$34*($B57+IF($R$17="Distrato",$I$38-1,0)),IF(AND($L$37=0,$P$34=0),"",$L$37-1),IF($R$17="Distrato",$E57,0))),0,YEARFRAC(MAX($P$34*($B57+IF($R$17="Distrato",$I$38-1,0)),IF(AND($L$37=0,$P$34=0),"",$L$37-1),IF($R$17="Distrato",$E57,0)),MIN(Q$38,$D$19),$P$20))-SUM($P57:P57)</f>
        <v>#VALUE!</v>
      </c>
      <c r="R57" s="446" t="e">
        <f>IF(OR($B57="",MIN(R$38,$D$19)&lt;MAX($P$34*($B57+IF($R$17="Distrato",$I$38-1,0)),IF(AND($L$37=0,$P$34=0),"",$L$37-1),IF($R$17="Distrato",$E57,0))),0,YEARFRAC(MAX($P$34*($B57+IF($R$17="Distrato",$I$38-1,0)),IF(AND($L$37=0,$P$34=0),"",$L$37-1),IF($R$17="Distrato",$E57,0)),MIN(R$38,$D$19),$P$20))-SUM($P57:Q57)</f>
        <v>#VALUE!</v>
      </c>
      <c r="S57" s="446" t="e">
        <f>IF(OR($B57="",MIN(S$38,$D$19)&lt;MAX($P$34*($B57+IF($R$17="Distrato",$I$38-1,0)),IF(AND($L$37=0,$P$34=0),"",$L$37-1),IF($R$17="Distrato",$E57,0))),0,YEARFRAC(MAX($P$34*($B57+IF($R$17="Distrato",$I$38-1,0)),IF(AND($L$37=0,$P$34=0),"",$L$37-1),IF($R$17="Distrato",$E57,0)),MIN(S$38,$D$19),$P$20))-SUM($P57:R57)</f>
        <v>#VALUE!</v>
      </c>
      <c r="T57" s="446" t="e">
        <f>IF(OR($B57="",MIN(T$38,$D$19)&lt;MAX($P$34*($B57+IF($R$17="Distrato",$I$38-1,0)),IF(AND($L$37=0,$P$34=0),"",$L$37-1),IF($R$17="Distrato",$E57,0))),0,YEARFRAC(MAX($P$34*($B57+IF($R$17="Distrato",$I$38-1,0)),IF(AND($L$37=0,$P$34=0),"",$L$37-1),IF($R$17="Distrato",$E57,0)),MIN(T$38,$D$19),$P$20))-SUM($P57:S57)</f>
        <v>#VALUE!</v>
      </c>
      <c r="U57" s="446" t="e">
        <f>IF(OR($B57="",MIN(U$38,$D$19)&lt;MAX($P$34*($B57+IF($R$17="Distrato",$I$38-1,0)),IF(AND($L$37=0,$P$34=0),"",$L$37-1),IF($R$17="Distrato",$E57,0))),0,YEARFRAC(MAX($P$34*($B57+IF($R$17="Distrato",$I$38-1,0)),IF(AND($L$37=0,$P$34=0),"",$L$37-1),IF($R$17="Distrato",$E57,0)),MIN(U$38,$D$19),$P$20))-SUM($P57:T57)</f>
        <v>#VALUE!</v>
      </c>
      <c r="V57" s="446" t="e">
        <f>IF(OR($B57="",MIN(V$38,$D$19)&lt;MAX($P$34*($B57+IF($R$17="Distrato",$I$38-1,0)),IF(AND($L$37=0,$P$34=0),"",$L$37-1),IF($R$17="Distrato",$E57,0))),0,YEARFRAC(MAX($P$34*($B57+IF($R$17="Distrato",$I$38-1,0)),IF(AND($L$37=0,$P$34=0),"",$L$37-1),IF($R$17="Distrato",$E57,0)),MIN(V$38,$D$19),$P$20))-SUM($P57:U57)</f>
        <v>#VALUE!</v>
      </c>
      <c r="W57" s="446" t="e">
        <f>IF(OR($B57="",MIN(W$38,$D$19)&lt;MAX($P$34*($B57+IF($R$17="Distrato",$I$38-1,0)),IF(AND($L$37=0,$P$34=0),"",$L$37-1),IF($R$17="Distrato",$E57,0))),0,YEARFRAC(MAX($P$34*($B57+IF($R$17="Distrato",$I$38-1,0)),IF(AND($L$37=0,$P$34=0),"",$L$37-1),IF($R$17="Distrato",$E57,0)),MIN(W$38,$D$19),$P$20))-SUM($P57:V57)</f>
        <v>#VALUE!</v>
      </c>
      <c r="X57" s="446" t="e">
        <f>IF(OR($B57="",MIN(X$38,$D$19)&lt;MAX($P$34*($B57+IF($R$17="Distrato",$I$38-1,0)),IF(AND($L$37=0,$P$34=0),"",$L$37-1),IF($R$17="Distrato",$E57,0))),0,YEARFRAC(MAX($P$34*($B57+IF($R$17="Distrato",$I$38-1,0)),IF(AND($L$37=0,$P$34=0),"",$L$37-1),IF($R$17="Distrato",$E57,0)),MIN(X$38,$D$19),$P$20))-SUM($P57:W57)</f>
        <v>#VALUE!</v>
      </c>
      <c r="Y57" s="446" t="e">
        <f>IF(OR($B57="",MIN(Y$38,$D$19)&lt;MAX($P$34*($B57+IF($R$17="Distrato",$I$38-1,0)),IF(AND($L$37=0,$P$34=0),"",$L$37-1),IF($R$17="Distrato",$E57,0))),0,YEARFRAC(MAX($P$34*($B57+IF($R$17="Distrato",$I$38-1,0)),IF(AND($L$37=0,$P$34=0),"",$L$37-1),IF($R$17="Distrato",$E57,0)),MIN(Y$38,$D$19),$P$20))-SUM($P57:X57)</f>
        <v>#VALUE!</v>
      </c>
      <c r="Z57" s="446" t="e">
        <f>IF(OR($B57="",MIN(Z$38,$D$19)&lt;MAX($P$34*($B57+IF($R$17="Distrato",$I$38-1,0)),IF(AND($L$37=0,$P$34=0),"",$L$37-1),IF($R$17="Distrato",$E57,0))),0,YEARFRAC(MAX($P$34*($B57+IF($R$17="Distrato",$I$38-1,0)),IF(AND($L$37=0,$P$34=0),"",$L$37-1),IF($R$17="Distrato",$E57,0)),MIN(Z$38,$D$19),$P$20))-SUM($P57:Y57)</f>
        <v>#VALUE!</v>
      </c>
      <c r="AA57" s="446" t="e">
        <f>IF(OR($B57="",MIN(AA$38,$D$19)&lt;MAX($P$34*($B57+IF($R$17="Distrato",$I$38-1,0)),IF(AND($L$37=0,$P$34=0),"",$L$37-1),IF($R$17="Distrato",$E57,0))),0,YEARFRAC(MAX($P$34*($B57+IF($R$17="Distrato",$I$38-1,0)),IF(AND($L$37=0,$P$34=0),"",$L$37-1),IF($R$17="Distrato",$E57,0)),MIN(AA$38,$D$19),$P$20))-SUM($P57:Z57)</f>
        <v>#VALUE!</v>
      </c>
      <c r="AB57" s="446" t="e">
        <f>IF(OR($B57="",MIN(AB$38,$D$19)&lt;MAX($P$34*($B57+IF($R$17="Distrato",$I$38-1,0)),IF(AND($L$37=0,$P$34=0),"",$L$37-1),IF($R$17="Distrato",$E57,0))),0,YEARFRAC(MAX($P$34*($B57+IF($R$17="Distrato",$I$38-1,0)),IF(AND($L$37=0,$P$34=0),"",$L$37-1),IF($R$17="Distrato",$E57,0)),MIN(AB$38,$D$19),$P$20))-SUM($P57:AA57)</f>
        <v>#VALUE!</v>
      </c>
      <c r="AC57" s="446" t="e">
        <f>IF(OR($B57="",MIN(AC$38,$D$19)&lt;MAX($P$34*($B57+IF($R$17="Distrato",$I$38-1,0)),IF(AND($L$37=0,$P$34=0),"",$L$37-1),IF($R$17="Distrato",$E57,0))),0,YEARFRAC(MAX($P$34*($B57+IF($R$17="Distrato",$I$38-1,0)),IF(AND($L$37=0,$P$34=0),"",$L$37-1),IF($R$17="Distrato",$E57,0)),MIN(AC$38,$D$19),$P$20))-SUM($P57:AB57)</f>
        <v>#VALUE!</v>
      </c>
      <c r="AD57" s="446" t="e">
        <f>IF(OR($B57="",MIN(AD$38,$D$19)&lt;MAX($P$34*($B57+IF($R$17="Distrato",$I$38-1,0)),IF(AND($L$37=0,$P$34=0),"",$L$37-1),IF($R$17="Distrato",$E57,0))),0,YEARFRAC(MAX($P$34*($B57+IF($R$17="Distrato",$I$38-1,0)),IF(AND($L$37=0,$P$34=0),"",$L$37-1),IF($R$17="Distrato",$E57,0)),MIN(AD$38,$D$19),$P$20))-SUM($P57:AC57)</f>
        <v>#VALUE!</v>
      </c>
      <c r="AE57" s="446" t="e">
        <f>IF(OR($B57="",MIN(AE$38,$D$19)&lt;MAX($P$34*($B57+IF($R$17="Distrato",$I$38-1,0)),IF(AND($L$37=0,$P$34=0),"",$L$37-1),IF($R$17="Distrato",$E57,0))),0,YEARFRAC(MAX($P$34*($B57+IF($R$17="Distrato",$I$38-1,0)),IF(AND($L$37=0,$P$34=0),"",$L$37-1),IF($R$17="Distrato",$E57,0)),MIN(AE$38,$D$19),$P$20))-SUM($P57:AD57)</f>
        <v>#VALUE!</v>
      </c>
      <c r="AF57" s="446" t="e">
        <f>IF(OR($B57="",MIN(AF$38,$D$19)&lt;MAX($P$34*($B57+IF($R$17="Distrato",$I$38-1,0)),IF(AND($L$37=0,$P$34=0),"",$L$37-1),IF($R$17="Distrato",$E57,0))),0,YEARFRAC(MAX($P$34*($B57+IF($R$17="Distrato",$I$38-1,0)),IF(AND($L$37=0,$P$34=0),"",$L$37-1),IF($R$17="Distrato",$E57,0)),MIN(AF$38,$D$19),$P$20))-SUM($P57:AE57)</f>
        <v>#VALUE!</v>
      </c>
      <c r="AG57" s="446" t="e">
        <f>IF(OR($B57="",MIN(AG$38,$D$19)&lt;MAX($P$34*($B57+IF($R$17="Distrato",$I$38-1,0)),IF(AND($L$37=0,$P$34=0),"",$L$37-1),IF($R$17="Distrato",$E57,0))),0,YEARFRAC(MAX($P$34*($B57+IF($R$17="Distrato",$I$38-1,0)),IF(AND($L$37=0,$P$34=0),"",$L$37-1),IF($R$17="Distrato",$E57,0)),MIN(AG$38,$D$19),$P$20))-SUM($P57:AF57)</f>
        <v>#VALUE!</v>
      </c>
      <c r="AH57" s="446" t="e">
        <f>IF(OR($B57="",MIN(AH$38,$D$19)&lt;MAX($P$34*($B57+IF($R$17="Distrato",$I$38-1,0)),IF(AND($L$37=0,$P$34=0),"",$L$37-1),IF($R$17="Distrato",$E57,0))),0,YEARFRAC(MAX($P$34*($B57+IF($R$17="Distrato",$I$38-1,0)),IF(AND($L$37=0,$P$34=0),"",$L$37-1),IF($R$17="Distrato",$E57,0)),MIN(AH$38,$D$19),$P$20))-SUM($P57:AG57)</f>
        <v>#VALUE!</v>
      </c>
      <c r="AI57" s="446" t="e">
        <f>IF(OR($B57="",MIN(AI$38,$D$19)&lt;MAX($P$34*($B57+IF($R$17="Distrato",$I$38-1,0)),IF(AND($L$37=0,$P$34=0),"",$L$37-1),IF($R$17="Distrato",$E57,0))),0,YEARFRAC(MAX($P$34*($B57+IF($R$17="Distrato",$I$38-1,0)),IF(AND($L$37=0,$P$34=0),"",$L$37-1),IF($R$17="Distrato",$E57,0)),MIN(AI$38,$D$19),$P$20))-SUM($P57:AH57)</f>
        <v>#VALUE!</v>
      </c>
      <c r="AJ57" s="446" t="e">
        <f>IF(OR($B57="",MIN(AJ$38,$D$19)&lt;MAX($P$34*($B57+IF($R$17="Distrato",$I$38-1,0)),IF(AND($L$37=0,$P$34=0),"",$L$37-1),IF($R$17="Distrato",$E57,0))),0,YEARFRAC(MAX($P$34*($B57+IF($R$17="Distrato",$I$38-1,0)),IF(AND($L$37=0,$P$34=0),"",$L$37-1),IF($R$17="Distrato",$E57,0)),MIN(AJ$38,$D$19),$P$20))-SUM($P57:AI57)</f>
        <v>#VALUE!</v>
      </c>
      <c r="AK57" s="446" t="e">
        <f>IF(OR($B57="",MIN(AK$38,$D$19)&lt;MAX($P$34*($B57+IF($R$17="Distrato",$I$38-1,0)),IF(AND($L$37=0,$P$34=0),"",$L$37-1),IF($R$17="Distrato",$E57,0))),0,YEARFRAC(MAX($P$34*($B57+IF($R$17="Distrato",$I$38-1,0)),IF(AND($L$37=0,$P$34=0),"",$L$37-1),IF($R$17="Distrato",$E57,0)),MIN(AK$38,$D$19),$P$20))-SUM($P57:AJ57)</f>
        <v>#VALUE!</v>
      </c>
      <c r="AL57" s="446" t="e">
        <f>IF(OR($B57="",MIN(AL$38,$D$19)&lt;MAX($P$34*($B57+IF($R$17="Distrato",$I$38-1,0)),IF(AND($L$37=0,$P$34=0),"",$L$37-1),IF($R$17="Distrato",$E57,0))),0,YEARFRAC(MAX($P$34*($B57+IF($R$17="Distrato",$I$38-1,0)),IF(AND($L$37=0,$P$34=0),"",$L$37-1),IF($R$17="Distrato",$E57,0)),MIN(AL$38,$D$19),$P$20))-SUM($P57:AK57)</f>
        <v>#VALUE!</v>
      </c>
      <c r="AM57" s="446" t="e">
        <f>IF(OR($B57="",MIN(AM$38,$D$19)&lt;MAX($P$34*($B57+IF($R$17="Distrato",$I$38-1,0)),IF(AND($L$37=0,$P$34=0),"",$L$37-1),IF($R$17="Distrato",$E57,0))),0,YEARFRAC(MAX($P$34*($B57+IF($R$17="Distrato",$I$38-1,0)),IF(AND($L$37=0,$P$34=0),"",$L$37-1),IF($R$17="Distrato",$E57,0)),MIN(AM$38,$D$19),$P$20))-SUM($P57:AL57)</f>
        <v>#VALUE!</v>
      </c>
      <c r="AN57" s="446" t="e">
        <f>IF(OR($B57="",MIN(AN$38,$D$19)&lt;MAX($P$34*($B57+IF($R$17="Distrato",$I$38-1,0)),IF(AND($L$37=0,$P$34=0),"",$L$37-1),IF($R$17="Distrato",$E57,0))),0,YEARFRAC(MAX($P$34*($B57+IF($R$17="Distrato",$I$38-1,0)),IF(AND($L$37=0,$P$34=0),"",$L$37-1),IF($R$17="Distrato",$E57,0)),MIN(AN$38,$D$19),$P$20))-SUM($P57:AM57)</f>
        <v>#VALUE!</v>
      </c>
      <c r="AO57" s="446" t="e">
        <f>IF(OR($B57="",MIN(AO$38,$D$19)&lt;MAX($P$34*($B57+IF($R$17="Distrato",$I$38-1,0)),IF(AND($L$37=0,$P$34=0),"",$L$37-1),IF($R$17="Distrato",$E57,0))),0,YEARFRAC(MAX($P$34*($B57+IF($R$17="Distrato",$I$38-1,0)),IF(AND($L$37=0,$P$34=0),"",$L$37-1),IF($R$17="Distrato",$E57,0)),MIN(AO$38,$D$19),$P$20))-SUM($P57:AN57)</f>
        <v>#VALUE!</v>
      </c>
      <c r="AP57" s="446" t="e">
        <f>IF(OR($B57="",MIN(AP$38,$D$19)&lt;MAX($P$34*($B57+IF($R$17="Distrato",$I$38-1,0)),IF(AND($L$37=0,$P$34=0),"",$L$37-1),IF($R$17="Distrato",$E57,0))),0,YEARFRAC(MAX($P$34*($B57+IF($R$17="Distrato",$I$38-1,0)),IF(AND($L$37=0,$P$34=0),"",$L$37-1),IF($R$17="Distrato",$E57,0)),MIN(AP$38,$D$19),$P$20))-SUM($P57:AO57)</f>
        <v>#VALUE!</v>
      </c>
      <c r="AQ57" s="446" t="e">
        <f>IF(OR($B57="",MIN(AQ$38,$D$19)&lt;MAX($P$34*($B57+IF($R$17="Distrato",$I$38-1,0)),IF(AND($L$37=0,$P$34=0),"",$L$37-1),IF($R$17="Distrato",$E57,0))),0,YEARFRAC(MAX($P$34*($B57+IF($R$17="Distrato",$I$38-1,0)),IF(AND($L$37=0,$P$34=0),"",$L$37-1),IF($R$17="Distrato",$E57,0)),MIN(AQ$38,$D$19),$P$20))-SUM($P57:AP57)</f>
        <v>#VALUE!</v>
      </c>
      <c r="AR57" s="446" t="e">
        <f>IF(OR($B57="",MIN(AR$38,$D$19)&lt;MAX($P$34*($B57+IF($R$17="Distrato",$I$38-1,0)),IF(AND($L$37=0,$P$34=0),"",$L$37-1),IF($R$17="Distrato",$E57,0))),0,YEARFRAC(MAX($P$34*($B57+IF($R$17="Distrato",$I$38-1,0)),IF(AND($L$37=0,$P$34=0),"",$L$37-1),IF($R$17="Distrato",$E57,0)),MIN(AR$38,$D$19),$P$20))-SUM($P57:AQ57)</f>
        <v>#VALUE!</v>
      </c>
      <c r="AS57" s="446" t="e">
        <f>IF(OR($B57="",MIN(AS$38,$D$19)&lt;MAX($P$34*($B57+IF($R$17="Distrato",$I$38-1,0)),IF(AND($L$37=0,$P$34=0),"",$L$37-1),IF($R$17="Distrato",$E57,0))),0,YEARFRAC(MAX($P$34*($B57+IF($R$17="Distrato",$I$38-1,0)),IF(AND($L$37=0,$P$34=0),"",$L$37-1),IF($R$17="Distrato",$E57,0)),MIN(AS$38,$D$19),$P$20))-SUM($P57:AR57)</f>
        <v>#VALUE!</v>
      </c>
      <c r="AT57" s="446" t="e">
        <f>IF(OR($B57="",MIN(AT$38,$D$19)&lt;MAX($P$34*($B57+IF($R$17="Distrato",$I$38-1,0)),IF(AND($L$37=0,$P$34=0),"",$L$37-1),IF($R$17="Distrato",$E57,0))),0,YEARFRAC(MAX($P$34*($B57+IF($R$17="Distrato",$I$38-1,0)),IF(AND($L$37=0,$P$34=0),"",$L$37-1),IF($R$17="Distrato",$E57,0)),MIN(AT$38,$D$19),$P$20))-SUM($P57:AS57)</f>
        <v>#VALUE!</v>
      </c>
      <c r="AU57" s="446" t="e">
        <f>IF(OR($B57="",MIN(AU$38,$D$19)&lt;MAX($P$34*($B57+IF($R$17="Distrato",$I$38-1,0)),IF(AND($L$37=0,$P$34=0),"",$L$37-1),IF($R$17="Distrato",$E57,0))),0,YEARFRAC(MAX($P$34*($B57+IF($R$17="Distrato",$I$38-1,0)),IF(AND($L$37=0,$P$34=0),"",$L$37-1),IF($R$17="Distrato",$E57,0)),MIN(AU$38,$D$19),$P$20))-SUM($P57:AT57)</f>
        <v>#VALUE!</v>
      </c>
      <c r="AV57" s="446" t="e">
        <f>IF(OR($B57="",MIN(AV$38,$D$19)&lt;MAX($P$34*($B57+IF($R$17="Distrato",$I$38-1,0)),IF(AND($L$37=0,$P$34=0),"",$L$37-1),IF($R$17="Distrato",$E57,0))),0,YEARFRAC(MAX($P$34*($B57+IF($R$17="Distrato",$I$38-1,0)),IF(AND($L$37=0,$P$34=0),"",$L$37-1),IF($R$17="Distrato",$E57,0)),MIN(AV$38,$D$19),$P$20))-SUM($P57:AU57)</f>
        <v>#VALUE!</v>
      </c>
      <c r="AW57" s="446" t="e">
        <f>IF(OR($B57="",MIN(AW$38,$D$19)&lt;MAX($P$34*($B57+IF($R$17="Distrato",$I$38-1,0)),IF(AND($L$37=0,$P$34=0),"",$L$37-1),IF($R$17="Distrato",$E57,0))),0,YEARFRAC(MAX($P$34*($B57+IF($R$17="Distrato",$I$38-1,0)),IF(AND($L$37=0,$P$34=0),"",$L$37-1),IF($R$17="Distrato",$E57,0)),MIN(AW$38,$D$19),$P$20))-SUM($P57:AV57)</f>
        <v>#VALUE!</v>
      </c>
      <c r="AX57" s="446" t="e">
        <f>IF(OR($B57="",MIN(AX$38,$D$19)&lt;MAX($P$34*($B57+IF($R$17="Distrato",$I$38-1,0)),IF(AND($L$37=0,$P$34=0),"",$L$37-1),IF($R$17="Distrato",$E57,0))),0,YEARFRAC(MAX($P$34*($B57+IF($R$17="Distrato",$I$38-1,0)),IF(AND($L$37=0,$P$34=0),"",$L$37-1),IF($R$17="Distrato",$E57,0)),MIN(AX$38,$D$19),$P$20))-SUM($P57:AW57)</f>
        <v>#VALUE!</v>
      </c>
      <c r="AY57" s="446" t="e">
        <f>IF(OR($B57="",MIN(AY$38,$D$19)&lt;MAX($P$34*($B57+IF($R$17="Distrato",$I$38-1,0)),IF(AND($L$37=0,$P$34=0),"",$L$37-1),IF($R$17="Distrato",$E57,0))),0,YEARFRAC(MAX($P$34*($B57+IF($R$17="Distrato",$I$38-1,0)),IF(AND($L$37=0,$P$34=0),"",$L$37-1),IF($R$17="Distrato",$E57,0)),MIN(AY$38,$D$19),$P$20))-SUM($P57:AX57)</f>
        <v>#VALUE!</v>
      </c>
      <c r="AZ57" s="446" t="e">
        <f>IF(OR($B57="",MIN(AZ$38,$D$19)&lt;MAX($P$34*($B57+IF($R$17="Distrato",$I$38-1,0)),IF(AND($L$37=0,$P$34=0),"",$L$37-1),IF($R$17="Distrato",$E57,0))),0,YEARFRAC(MAX($P$34*($B57+IF($R$17="Distrato",$I$38-1,0)),IF(AND($L$37=0,$P$34=0),"",$L$37-1),IF($R$17="Distrato",$E57,0)),MIN(AZ$38,$D$19),$P$20))-SUM($P57:AY57)</f>
        <v>#VALUE!</v>
      </c>
      <c r="BA57" s="446" t="e">
        <f>IF(OR($B57="",MIN(BA$38,$D$19)&lt;MAX($P$34*($B57+IF($R$17="Distrato",$I$38-1,0)),IF(AND($L$37=0,$P$34=0),"",$L$37-1),IF($R$17="Distrato",$E57,0))),0,YEARFRAC(MAX($P$34*($B57+IF($R$17="Distrato",$I$38-1,0)),IF(AND($L$37=0,$P$34=0),"",$L$37-1),IF($R$17="Distrato",$E57,0)),MIN(BA$38,$D$19),$P$20))-SUM($P57:AZ57)</f>
        <v>#VALUE!</v>
      </c>
      <c r="BB57" s="447"/>
      <c r="BF57" s="446">
        <f t="shared" si="10"/>
        <v>0</v>
      </c>
      <c r="BG57" s="446">
        <f>IF($E57=0,0,IF(MIN(BG$38,$E57)&lt;MAX($P$34*($B57+$I$38-1),IF(AND($L$37=0,$P$34=0),"",$L$37-1)),0,YEARFRAC(MAX($P$34*($B57+$I$38-1),IF(AND($L$37=0,$P$34=0),"",$L$37-1)),MIN(BG$38,$E57),$P$20))-SUM($BF57:BF57))</f>
        <v>0</v>
      </c>
      <c r="BH57" s="446">
        <f>IF($E57=0,0,IF(MIN(BH$38,$E57)&lt;MAX($P$34*($B57+$I$38-1),IF(AND($L$37=0,$P$34=0),"",$L$37-1)),0,YEARFRAC(MAX($P$34*($B57+$I$38-1),IF(AND($L$37=0,$P$34=0),"",$L$37-1)),MIN(BH$38,$E57),$P$20))-SUM($BF57:BG57))</f>
        <v>0</v>
      </c>
      <c r="BI57" s="446">
        <f>IF($E57=0,0,IF(MIN(BI$38,$E57)&lt;MAX($P$34*($B57+$I$38-1),IF(AND($L$37=0,$P$34=0),"",$L$37-1)),0,YEARFRAC(MAX($P$34*($B57+$I$38-1),IF(AND($L$37=0,$P$34=0),"",$L$37-1)),MIN(BI$38,$E57),$P$20))-SUM($BF57:BH57))</f>
        <v>0</v>
      </c>
      <c r="BJ57" s="446">
        <f>IF($E57=0,0,IF(MIN(BJ$38,$E57)&lt;MAX($P$34*($B57+$I$38-1),IF(AND($L$37=0,$P$34=0),"",$L$37-1)),0,YEARFRAC(MAX($P$34*($B57+$I$38-1),IF(AND($L$37=0,$P$34=0),"",$L$37-1)),MIN(BJ$38,$E57),$P$20))-SUM($BF57:BI57))</f>
        <v>0</v>
      </c>
      <c r="BK57" s="446">
        <f>IF($E57=0,0,IF(MIN(BK$38,$E57)&lt;MAX($P$34*($B57+$I$38-1),IF(AND($L$37=0,$P$34=0),"",$L$37-1)),0,YEARFRAC(MAX($P$34*($B57+$I$38-1),IF(AND($L$37=0,$P$34=0),"",$L$37-1)),MIN(BK$38,$E57),$P$20))-SUM($BF57:BJ57))</f>
        <v>0</v>
      </c>
      <c r="BL57" s="446">
        <f>IF($E57=0,0,IF(MIN(BL$38,$E57)&lt;MAX($P$34*($B57+$I$38-1),IF(AND($L$37=0,$P$34=0),"",$L$37-1)),0,YEARFRAC(MAX($P$34*($B57+$I$38-1),IF(AND($L$37=0,$P$34=0),"",$L$37-1)),MIN(BL$38,$E57),$P$20))-SUM($BF57:BK57))</f>
        <v>0</v>
      </c>
      <c r="BM57" s="446">
        <f>IF($E57=0,0,IF(MIN(BM$38,$E57)&lt;MAX($P$34*($B57+$I$38-1),IF(AND($L$37=0,$P$34=0),"",$L$37-1)),0,YEARFRAC(MAX($P$34*($B57+$I$38-1),IF(AND($L$37=0,$P$34=0),"",$L$37-1)),MIN(BM$38,$E57),$P$20))-SUM($BF57:BL57))</f>
        <v>0</v>
      </c>
      <c r="BN57" s="446">
        <f>IF($E57=0,0,IF(MIN(BN$38,$E57)&lt;MAX($P$34*($B57+$I$38-1),IF(AND($L$37=0,$P$34=0),"",$L$37-1)),0,YEARFRAC(MAX($P$34*($B57+$I$38-1),IF(AND($L$37=0,$P$34=0),"",$L$37-1)),MIN(BN$38,$E57),$P$20))-SUM($BF57:BM57))</f>
        <v>0</v>
      </c>
      <c r="BO57" s="446">
        <f>IF($E57=0,0,IF(MIN(BO$38,$E57)&lt;MAX($P$34*($B57+$I$38-1),IF(AND($L$37=0,$P$34=0),"",$L$37-1)),0,YEARFRAC(MAX($P$34*($B57+$I$38-1),IF(AND($L$37=0,$P$34=0),"",$L$37-1)),MIN(BO$38,$E57),$P$20))-SUM($BF57:BN57))</f>
        <v>0</v>
      </c>
      <c r="BP57" s="446">
        <f>IF($E57=0,0,IF(MIN(BP$38,$E57)&lt;MAX($P$34*($B57+$I$38-1),IF(AND($L$37=0,$P$34=0),"",$L$37-1)),0,YEARFRAC(MAX($P$34*($B57+$I$38-1),IF(AND($L$37=0,$P$34=0),"",$L$37-1)),MIN(BP$38,$E57),$P$20))-SUM($BF57:BO57))</f>
        <v>0</v>
      </c>
      <c r="BQ57" s="446">
        <f>IF($E57=0,0,IF(MIN(BQ$38,$E57)&lt;MAX($P$34*($B57+$I$38-1),IF(AND($L$37=0,$P$34=0),"",$L$37-1)),0,YEARFRAC(MAX($P$34*($B57+$I$38-1),IF(AND($L$37=0,$P$34=0),"",$L$37-1)),MIN(BQ$38,$E57),$P$20))-SUM($BF57:BP57))</f>
        <v>0</v>
      </c>
      <c r="BR57" s="446">
        <f>IF($E57=0,0,IF(MIN(BR$38,$E57)&lt;MAX($P$34*($B57+$I$38-1),IF(AND($L$37=0,$P$34=0),"",$L$37-1)),0,YEARFRAC(MAX($P$34*($B57+$I$38-1),IF(AND($L$37=0,$P$34=0),"",$L$37-1)),MIN(BR$38,$E57),$P$20))-SUM($BF57:BQ57))</f>
        <v>0</v>
      </c>
      <c r="BS57" s="446">
        <f>IF($E57=0,0,IF(MIN(BS$38,$E57)&lt;MAX($P$34*($B57+$I$38-1),IF(AND($L$37=0,$P$34=0),"",$L$37-1)),0,YEARFRAC(MAX($P$34*($B57+$I$38-1),IF(AND($L$37=0,$P$34=0),"",$L$37-1)),MIN(BS$38,$E57),$P$20))-SUM($BF57:BR57))</f>
        <v>0</v>
      </c>
      <c r="BT57" s="446">
        <f>IF($E57=0,0,IF(MIN(BT$38,$E57)&lt;MAX($P$34*($B57+$I$38-1),IF(AND($L$37=0,$P$34=0),"",$L$37-1)),0,YEARFRAC(MAX($P$34*($B57+$I$38-1),IF(AND($L$37=0,$P$34=0),"",$L$37-1)),MIN(BT$38,$E57),$P$20))-SUM($BF57:BS57))</f>
        <v>0</v>
      </c>
      <c r="BU57" s="446">
        <f>IF($E57=0,0,IF(MIN(BU$38,$E57)&lt;MAX($P$34*($B57+$I$38-1),IF(AND($L$37=0,$P$34=0),"",$L$37-1)),0,YEARFRAC(MAX($P$34*($B57+$I$38-1),IF(AND($L$37=0,$P$34=0),"",$L$37-1)),MIN(BU$38,$E57),$P$20))-SUM($BF57:BT57))</f>
        <v>0</v>
      </c>
      <c r="BV57" s="446">
        <f>IF($E57=0,0,IF(MIN(BV$38,$E57)&lt;MAX($P$34*($B57+$I$38-1),IF(AND($L$37=0,$P$34=0),"",$L$37-1)),0,YEARFRAC(MAX($P$34*($B57+$I$38-1),IF(AND($L$37=0,$P$34=0),"",$L$37-1)),MIN(BV$38,$E57),$P$20))-SUM($BF57:BU57))</f>
        <v>0</v>
      </c>
      <c r="BW57" s="446">
        <f>IF($E57=0,0,IF(MIN(BW$38,$E57)&lt;MAX($P$34*($B57+$I$38-1),IF(AND($L$37=0,$P$34=0),"",$L$37-1)),0,YEARFRAC(MAX($P$34*($B57+$I$38-1),IF(AND($L$37=0,$P$34=0),"",$L$37-1)),MIN(BW$38,$E57),$P$20))-SUM($BF57:BV57))</f>
        <v>0</v>
      </c>
      <c r="BX57" s="446">
        <f>IF($E57=0,0,IF(MIN(BX$38,$E57)&lt;MAX($P$34*($B57+$I$38-1),IF(AND($L$37=0,$P$34=0),"",$L$37-1)),0,YEARFRAC(MAX($P$34*($B57+$I$38-1),IF(AND($L$37=0,$P$34=0),"",$L$37-1)),MIN(BX$38,$E57),$P$20))-SUM($BF57:BW57))</f>
        <v>0</v>
      </c>
      <c r="BY57" s="446">
        <f>IF($E57=0,0,IF(MIN(BY$38,$E57)&lt;MAX($P$34*($B57+$I$38-1),IF(AND($L$37=0,$P$34=0),"",$L$37-1)),0,YEARFRAC(MAX($P$34*($B57+$I$38-1),IF(AND($L$37=0,$P$34=0),"",$L$37-1)),MIN(BY$38,$E57),$P$20))-SUM($BF57:BX57))</f>
        <v>0</v>
      </c>
      <c r="BZ57" s="446">
        <f>IF($E57=0,0,IF(MIN(BZ$38,$E57)&lt;MAX($P$34*($B57+$I$38-1),IF(AND($L$37=0,$P$34=0),"",$L$37-1)),0,YEARFRAC(MAX($P$34*($B57+$I$38-1),IF(AND($L$37=0,$P$34=0),"",$L$37-1)),MIN(BZ$38,$E57),$P$20))-SUM($BF57:BY57))</f>
        <v>0</v>
      </c>
      <c r="CA57" s="446">
        <f>IF($E57=0,0,IF(MIN(CA$38,$E57)&lt;MAX($P$34*($B57+$I$38-1),IF(AND($L$37=0,$P$34=0),"",$L$37-1)),0,YEARFRAC(MAX($P$34*($B57+$I$38-1),IF(AND($L$37=0,$P$34=0),"",$L$37-1)),MIN(CA$38,$E57),$P$20))-SUM($BF57:BZ57))</f>
        <v>0</v>
      </c>
      <c r="CB57" s="446">
        <f>IF($E57=0,0,IF(MIN(CB$38,$E57)&lt;MAX($P$34*($B57+$I$38-1),IF(AND($L$37=0,$P$34=0),"",$L$37-1)),0,YEARFRAC(MAX($P$34*($B57+$I$38-1),IF(AND($L$37=0,$P$34=0),"",$L$37-1)),MIN(CB$38,$E57),$P$20))-SUM($BF57:CA57))</f>
        <v>0</v>
      </c>
      <c r="CC57" s="446">
        <f>IF($E57=0,0,IF(MIN(CC$38,$E57)&lt;MAX($P$34*($B57+$I$38-1),IF(AND($L$37=0,$P$34=0),"",$L$37-1)),0,YEARFRAC(MAX($P$34*($B57+$I$38-1),IF(AND($L$37=0,$P$34=0),"",$L$37-1)),MIN(CC$38,$E57),$P$20))-SUM($BF57:CB57))</f>
        <v>0</v>
      </c>
      <c r="CD57" s="446">
        <f>IF($E57=0,0,IF(MIN(CD$38,$E57)&lt;MAX($P$34*($B57+$I$38-1),IF(AND($L$37=0,$P$34=0),"",$L$37-1)),0,YEARFRAC(MAX($P$34*($B57+$I$38-1),IF(AND($L$37=0,$P$34=0),"",$L$37-1)),MIN(CD$38,$E57),$P$20))-SUM($BF57:CC57))</f>
        <v>0</v>
      </c>
      <c r="CE57" s="446">
        <f>IF($E57=0,0,IF(MIN(CE$38,$E57)&lt;MAX($P$34*($B57+$I$38-1),IF(AND($L$37=0,$P$34=0),"",$L$37-1)),0,YEARFRAC(MAX($P$34*($B57+$I$38-1),IF(AND($L$37=0,$P$34=0),"",$L$37-1)),MIN(CE$38,$E57),$P$20))-SUM($BF57:CD57))</f>
        <v>0</v>
      </c>
      <c r="CF57" s="446">
        <f>IF($E57=0,0,IF(MIN(CF$38,$E57)&lt;MAX($P$34*($B57+$I$38-1),IF(AND($L$37=0,$P$34=0),"",$L$37-1)),0,YEARFRAC(MAX($P$34*($B57+$I$38-1),IF(AND($L$37=0,$P$34=0),"",$L$37-1)),MIN(CF$38,$E57),$P$20))-SUM($BF57:CE57))</f>
        <v>0</v>
      </c>
      <c r="CG57" s="446">
        <f>IF($E57=0,0,IF(MIN(CG$38,$E57)&lt;MAX($P$34*($B57+$I$38-1),IF(AND($L$37=0,$P$34=0),"",$L$37-1)),0,YEARFRAC(MAX($P$34*($B57+$I$38-1),IF(AND($L$37=0,$P$34=0),"",$L$37-1)),MIN(CG$38,$E57),$P$20))-SUM($BF57:CF57))</f>
        <v>0</v>
      </c>
      <c r="CH57" s="446">
        <f>IF($E57=0,0,IF(MIN(CH$38,$E57)&lt;MAX($P$34*($B57+$I$38-1),IF(AND($L$37=0,$P$34=0),"",$L$37-1)),0,YEARFRAC(MAX($P$34*($B57+$I$38-1),IF(AND($L$37=0,$P$34=0),"",$L$37-1)),MIN(CH$38,$E57),$P$20))-SUM($BF57:CG57))</f>
        <v>0</v>
      </c>
      <c r="CI57" s="446">
        <f>IF($E57=0,0,IF(MIN(CI$38,$E57)&lt;MAX($P$34*($B57+$I$38-1),IF(AND($L$37=0,$P$34=0),"",$L$37-1)),0,YEARFRAC(MAX($P$34*($B57+$I$38-1),IF(AND($L$37=0,$P$34=0),"",$L$37-1)),MIN(CI$38,$E57),$P$20))-SUM($BF57:CH57))</f>
        <v>0</v>
      </c>
      <c r="CJ57" s="446">
        <f>IF($E57=0,0,IF(MIN(CJ$38,$E57)&lt;MAX($P$34*($B57+$I$38-1),IF(AND($L$37=0,$P$34=0),"",$L$37-1)),0,YEARFRAC(MAX($P$34*($B57+$I$38-1),IF(AND($L$37=0,$P$34=0),"",$L$37-1)),MIN(CJ$38,$E57),$P$20))-SUM($BF57:CI57))</f>
        <v>0</v>
      </c>
      <c r="CK57" s="446">
        <f>IF($E57=0,0,IF(MIN(CK$38,$E57)&lt;MAX($P$34*($B57+$I$38-1),IF(AND($L$37=0,$P$34=0),"",$L$37-1)),0,YEARFRAC(MAX($P$34*($B57+$I$38-1),IF(AND($L$37=0,$P$34=0),"",$L$37-1)),MIN(CK$38,$E57),$P$20))-SUM($BF57:CJ57))</f>
        <v>0</v>
      </c>
      <c r="CL57" s="446">
        <f>IF($E57=0,0,IF(MIN(CL$38,$E57)&lt;MAX($P$34*($B57+$I$38-1),IF(AND($L$37=0,$P$34=0),"",$L$37-1)),0,YEARFRAC(MAX($P$34*($B57+$I$38-1),IF(AND($L$37=0,$P$34=0),"",$L$37-1)),MIN(CL$38,$E57),$P$20))-SUM($BF57:CK57))</f>
        <v>0</v>
      </c>
      <c r="CM57" s="446">
        <f>IF($E57=0,0,IF(MIN(CM$38,$E57)&lt;MAX($P$34*($B57+$I$38-1),IF(AND($L$37=0,$P$34=0),"",$L$37-1)),0,YEARFRAC(MAX($P$34*($B57+$I$38-1),IF(AND($L$37=0,$P$34=0),"",$L$37-1)),MIN(CM$38,$E57),$P$20))-SUM($BF57:CL57))</f>
        <v>0</v>
      </c>
      <c r="CN57" s="446">
        <f>IF($E57=0,0,IF(MIN(CN$38,$E57)&lt;MAX($P$34*($B57+$I$38-1),IF(AND($L$37=0,$P$34=0),"",$L$37-1)),0,YEARFRAC(MAX($P$34*($B57+$I$38-1),IF(AND($L$37=0,$P$34=0),"",$L$37-1)),MIN(CN$38,$E57),$P$20))-SUM($BF57:CM57))</f>
        <v>0</v>
      </c>
      <c r="CO57" s="446">
        <f>IF($E57=0,0,IF(MIN(CO$38,$E57)&lt;MAX($P$34*($B57+$I$38-1),IF(AND($L$37=0,$P$34=0),"",$L$37-1)),0,YEARFRAC(MAX($P$34*($B57+$I$38-1),IF(AND($L$37=0,$P$34=0),"",$L$37-1)),MIN(CO$38,$E57),$P$20))-SUM($BF57:CN57))</f>
        <v>0</v>
      </c>
      <c r="CP57" s="446">
        <f>IF($E57=0,0,IF(MIN(CP$38,$E57)&lt;MAX($P$34*($B57+$I$38-1),IF(AND($L$37=0,$P$34=0),"",$L$37-1)),0,YEARFRAC(MAX($P$34*($B57+$I$38-1),IF(AND($L$37=0,$P$34=0),"",$L$37-1)),MIN(CP$38,$E57),$P$20))-SUM($BF57:CO57))</f>
        <v>0</v>
      </c>
      <c r="CQ57" s="446">
        <f>IF($E57=0,0,IF(MIN(CQ$38,$E57)&lt;MAX($P$34*($B57+$I$38-1),IF(AND($L$37=0,$P$34=0),"",$L$37-1)),0,YEARFRAC(MAX($P$34*($B57+$I$38-1),IF(AND($L$37=0,$P$34=0),"",$L$37-1)),MIN(CQ$38,$E57),$P$20))-SUM($BF57:CP57))</f>
        <v>0</v>
      </c>
    </row>
    <row r="58" spans="1:95" s="446" customFormat="1" ht="11.25" hidden="1" customHeight="1" x14ac:dyDescent="0.2">
      <c r="A58" s="152"/>
      <c r="B58" s="153" t="str">
        <f t="shared" si="15"/>
        <v/>
      </c>
      <c r="C58" s="29" t="str">
        <f>IF(B58="","",IF($L$35="SELIC - TRIBUTOS",VLOOKUP(DATE(YEAR($D$19),MONTH($D$19)-1,1),ÍNDICES!$A:$DE,HLOOKUP($BL$25,ÍNDICES!$B$3:$T$4,2)+11)-VLOOKUP(B58,ÍNDICES!$A:$DE,HLOOKUP($BL$25,ÍNDICES!$B$3:$T$4,2)+11)+1%,IF(C$38=$W$26,$J$35,IF(ISERROR(IF(B58&gt;$D$19,1,VLOOKUP(DATE(YEAR(B58),MONTH(B58)+IF($C$35=$S$23,1,0),1),ÍNDICES!$A:$DE,$Z$35+1))),"",IF(B58&gt;$D$19,1,VLOOKUP(DATE(YEAR(B58),MONTH(B58)+IF($C$35=$S$23,1,0),1),ÍNDICES!$A:$DE,$Z$35+1))))))</f>
        <v/>
      </c>
      <c r="D58" s="154" t="str">
        <f>IF(ISERROR(IF(OR($D$38=$Y$27,$B58=""),"",VLOOKUP(B58,ÍNDICES!A:DE,AF$35+1))),"",IF(OR($D$38=$Y$27,$B58=""),"",VLOOKUP(B58,ÍNDICES!A:DE,AF$35+1)))</f>
        <v/>
      </c>
      <c r="E58" s="153"/>
      <c r="F58" s="29" t="str">
        <f>IF(E58="","",IF($L$35="SELIC - TRIBUTOS",VLOOKUP(DATE(YEAR($D$19),MONTH($D$19)-1,1),ÍNDICES!$A:$DE,HLOOKUP($BL$25,ÍNDICES!$B$3:$T$4,2)+11)-VLOOKUP(E58,ÍNDICES!$A:$DE,HLOOKUP($BL$25,ÍNDICES!$B$3:$T$4,2)+11)+1%,IF(F$38=$W$26,$J$35,IF(ISERROR(IF(E58&gt;$D$19,1,VLOOKUP(DATE(YEAR(E58),MONTH(E58)+IF($C$35=$S$23,1,0),1),ÍNDICES!$A:$DE,$Z$35+1))),"",IF(E58&gt;$D$19,1,VLOOKUP(DATE(YEAR(E58),MONTH(E58)+IF($C$35=$S$23,1,0),1),ÍNDICES!$A:$DE,$Z$35+1))))))</f>
        <v/>
      </c>
      <c r="G58" s="155"/>
      <c r="H58" s="156" t="str">
        <f t="shared" si="11"/>
        <v/>
      </c>
      <c r="I58" s="29" t="str">
        <f t="shared" si="5"/>
        <v/>
      </c>
      <c r="J58" s="5">
        <f t="shared" si="6"/>
        <v>0</v>
      </c>
      <c r="K58" s="20">
        <f t="shared" ca="1" si="7"/>
        <v>0</v>
      </c>
      <c r="L58" s="5">
        <f t="shared" ca="1" si="8"/>
        <v>0</v>
      </c>
      <c r="M58" s="64">
        <f t="shared" si="12"/>
        <v>0</v>
      </c>
      <c r="N58" s="61">
        <f t="shared" ca="1" si="13"/>
        <v>0</v>
      </c>
      <c r="O58" s="5">
        <f t="shared" ca="1" si="14"/>
        <v>0</v>
      </c>
      <c r="P58" s="446" t="e">
        <f t="shared" si="9"/>
        <v>#VALUE!</v>
      </c>
      <c r="Q58" s="446" t="e">
        <f>IF(OR($B58="",MIN(Q$38,$D$19)&lt;MAX($P$34*($B58+IF($R$17="Distrato",$I$38-1,0)),IF(AND($L$37=0,$P$34=0),"",$L$37-1),IF($R$17="Distrato",$E58,0))),0,YEARFRAC(MAX($P$34*($B58+IF($R$17="Distrato",$I$38-1,0)),IF(AND($L$37=0,$P$34=0),"",$L$37-1),IF($R$17="Distrato",$E58,0)),MIN(Q$38,$D$19),$P$20))-SUM($P58:P58)</f>
        <v>#VALUE!</v>
      </c>
      <c r="R58" s="446" t="e">
        <f>IF(OR($B58="",MIN(R$38,$D$19)&lt;MAX($P$34*($B58+IF($R$17="Distrato",$I$38-1,0)),IF(AND($L$37=0,$P$34=0),"",$L$37-1),IF($R$17="Distrato",$E58,0))),0,YEARFRAC(MAX($P$34*($B58+IF($R$17="Distrato",$I$38-1,0)),IF(AND($L$37=0,$P$34=0),"",$L$37-1),IF($R$17="Distrato",$E58,0)),MIN(R$38,$D$19),$P$20))-SUM($P58:Q58)</f>
        <v>#VALUE!</v>
      </c>
      <c r="S58" s="446" t="e">
        <f>IF(OR($B58="",MIN(S$38,$D$19)&lt;MAX($P$34*($B58+IF($R$17="Distrato",$I$38-1,0)),IF(AND($L$37=0,$P$34=0),"",$L$37-1),IF($R$17="Distrato",$E58,0))),0,YEARFRAC(MAX($P$34*($B58+IF($R$17="Distrato",$I$38-1,0)),IF(AND($L$37=0,$P$34=0),"",$L$37-1),IF($R$17="Distrato",$E58,0)),MIN(S$38,$D$19),$P$20))-SUM($P58:R58)</f>
        <v>#VALUE!</v>
      </c>
      <c r="T58" s="446" t="e">
        <f>IF(OR($B58="",MIN(T$38,$D$19)&lt;MAX($P$34*($B58+IF($R$17="Distrato",$I$38-1,0)),IF(AND($L$37=0,$P$34=0),"",$L$37-1),IF($R$17="Distrato",$E58,0))),0,YEARFRAC(MAX($P$34*($B58+IF($R$17="Distrato",$I$38-1,0)),IF(AND($L$37=0,$P$34=0),"",$L$37-1),IF($R$17="Distrato",$E58,0)),MIN(T$38,$D$19),$P$20))-SUM($P58:S58)</f>
        <v>#VALUE!</v>
      </c>
      <c r="U58" s="446" t="e">
        <f>IF(OR($B58="",MIN(U$38,$D$19)&lt;MAX($P$34*($B58+IF($R$17="Distrato",$I$38-1,0)),IF(AND($L$37=0,$P$34=0),"",$L$37-1),IF($R$17="Distrato",$E58,0))),0,YEARFRAC(MAX($P$34*($B58+IF($R$17="Distrato",$I$38-1,0)),IF(AND($L$37=0,$P$34=0),"",$L$37-1),IF($R$17="Distrato",$E58,0)),MIN(U$38,$D$19),$P$20))-SUM($P58:T58)</f>
        <v>#VALUE!</v>
      </c>
      <c r="V58" s="446" t="e">
        <f>IF(OR($B58="",MIN(V$38,$D$19)&lt;MAX($P$34*($B58+IF($R$17="Distrato",$I$38-1,0)),IF(AND($L$37=0,$P$34=0),"",$L$37-1),IF($R$17="Distrato",$E58,0))),0,YEARFRAC(MAX($P$34*($B58+IF($R$17="Distrato",$I$38-1,0)),IF(AND($L$37=0,$P$34=0),"",$L$37-1),IF($R$17="Distrato",$E58,0)),MIN(V$38,$D$19),$P$20))-SUM($P58:U58)</f>
        <v>#VALUE!</v>
      </c>
      <c r="W58" s="446" t="e">
        <f>IF(OR($B58="",MIN(W$38,$D$19)&lt;MAX($P$34*($B58+IF($R$17="Distrato",$I$38-1,0)),IF(AND($L$37=0,$P$34=0),"",$L$37-1),IF($R$17="Distrato",$E58,0))),0,YEARFRAC(MAX($P$34*($B58+IF($R$17="Distrato",$I$38-1,0)),IF(AND($L$37=0,$P$34=0),"",$L$37-1),IF($R$17="Distrato",$E58,0)),MIN(W$38,$D$19),$P$20))-SUM($P58:V58)</f>
        <v>#VALUE!</v>
      </c>
      <c r="X58" s="446" t="e">
        <f>IF(OR($B58="",MIN(X$38,$D$19)&lt;MAX($P$34*($B58+IF($R$17="Distrato",$I$38-1,0)),IF(AND($L$37=0,$P$34=0),"",$L$37-1),IF($R$17="Distrato",$E58,0))),0,YEARFRAC(MAX($P$34*($B58+IF($R$17="Distrato",$I$38-1,0)),IF(AND($L$37=0,$P$34=0),"",$L$37-1),IF($R$17="Distrato",$E58,0)),MIN(X$38,$D$19),$P$20))-SUM($P58:W58)</f>
        <v>#VALUE!</v>
      </c>
      <c r="Y58" s="446" t="e">
        <f>IF(OR($B58="",MIN(Y$38,$D$19)&lt;MAX($P$34*($B58+IF($R$17="Distrato",$I$38-1,0)),IF(AND($L$37=0,$P$34=0),"",$L$37-1),IF($R$17="Distrato",$E58,0))),0,YEARFRAC(MAX($P$34*($B58+IF($R$17="Distrato",$I$38-1,0)),IF(AND($L$37=0,$P$34=0),"",$L$37-1),IF($R$17="Distrato",$E58,0)),MIN(Y$38,$D$19),$P$20))-SUM($P58:X58)</f>
        <v>#VALUE!</v>
      </c>
      <c r="Z58" s="446" t="e">
        <f>IF(OR($B58="",MIN(Z$38,$D$19)&lt;MAX($P$34*($B58+IF($R$17="Distrato",$I$38-1,0)),IF(AND($L$37=0,$P$34=0),"",$L$37-1),IF($R$17="Distrato",$E58,0))),0,YEARFRAC(MAX($P$34*($B58+IF($R$17="Distrato",$I$38-1,0)),IF(AND($L$37=0,$P$34=0),"",$L$37-1),IF($R$17="Distrato",$E58,0)),MIN(Z$38,$D$19),$P$20))-SUM($P58:Y58)</f>
        <v>#VALUE!</v>
      </c>
      <c r="AA58" s="446" t="e">
        <f>IF(OR($B58="",MIN(AA$38,$D$19)&lt;MAX($P$34*($B58+IF($R$17="Distrato",$I$38-1,0)),IF(AND($L$37=0,$P$34=0),"",$L$37-1),IF($R$17="Distrato",$E58,0))),0,YEARFRAC(MAX($P$34*($B58+IF($R$17="Distrato",$I$38-1,0)),IF(AND($L$37=0,$P$34=0),"",$L$37-1),IF($R$17="Distrato",$E58,0)),MIN(AA$38,$D$19),$P$20))-SUM($P58:Z58)</f>
        <v>#VALUE!</v>
      </c>
      <c r="AB58" s="446" t="e">
        <f>IF(OR($B58="",MIN(AB$38,$D$19)&lt;MAX($P$34*($B58+IF($R$17="Distrato",$I$38-1,0)),IF(AND($L$37=0,$P$34=0),"",$L$37-1),IF($R$17="Distrato",$E58,0))),0,YEARFRAC(MAX($P$34*($B58+IF($R$17="Distrato",$I$38-1,0)),IF(AND($L$37=0,$P$34=0),"",$L$37-1),IF($R$17="Distrato",$E58,0)),MIN(AB$38,$D$19),$P$20))-SUM($P58:AA58)</f>
        <v>#VALUE!</v>
      </c>
      <c r="AC58" s="446" t="e">
        <f>IF(OR($B58="",MIN(AC$38,$D$19)&lt;MAX($P$34*($B58+IF($R$17="Distrato",$I$38-1,0)),IF(AND($L$37=0,$P$34=0),"",$L$37-1),IF($R$17="Distrato",$E58,0))),0,YEARFRAC(MAX($P$34*($B58+IF($R$17="Distrato",$I$38-1,0)),IF(AND($L$37=0,$P$34=0),"",$L$37-1),IF($R$17="Distrato",$E58,0)),MIN(AC$38,$D$19),$P$20))-SUM($P58:AB58)</f>
        <v>#VALUE!</v>
      </c>
      <c r="AD58" s="446" t="e">
        <f>IF(OR($B58="",MIN(AD$38,$D$19)&lt;MAX($P$34*($B58+IF($R$17="Distrato",$I$38-1,0)),IF(AND($L$37=0,$P$34=0),"",$L$37-1),IF($R$17="Distrato",$E58,0))),0,YEARFRAC(MAX($P$34*($B58+IF($R$17="Distrato",$I$38-1,0)),IF(AND($L$37=0,$P$34=0),"",$L$37-1),IF($R$17="Distrato",$E58,0)),MIN(AD$38,$D$19),$P$20))-SUM($P58:AC58)</f>
        <v>#VALUE!</v>
      </c>
      <c r="AE58" s="446" t="e">
        <f>IF(OR($B58="",MIN(AE$38,$D$19)&lt;MAX($P$34*($B58+IF($R$17="Distrato",$I$38-1,0)),IF(AND($L$37=0,$P$34=0),"",$L$37-1),IF($R$17="Distrato",$E58,0))),0,YEARFRAC(MAX($P$34*($B58+IF($R$17="Distrato",$I$38-1,0)),IF(AND($L$37=0,$P$34=0),"",$L$37-1),IF($R$17="Distrato",$E58,0)),MIN(AE$38,$D$19),$P$20))-SUM($P58:AD58)</f>
        <v>#VALUE!</v>
      </c>
      <c r="AF58" s="446" t="e">
        <f>IF(OR($B58="",MIN(AF$38,$D$19)&lt;MAX($P$34*($B58+IF($R$17="Distrato",$I$38-1,0)),IF(AND($L$37=0,$P$34=0),"",$L$37-1),IF($R$17="Distrato",$E58,0))),0,YEARFRAC(MAX($P$34*($B58+IF($R$17="Distrato",$I$38-1,0)),IF(AND($L$37=0,$P$34=0),"",$L$37-1),IF($R$17="Distrato",$E58,0)),MIN(AF$38,$D$19),$P$20))-SUM($P58:AE58)</f>
        <v>#VALUE!</v>
      </c>
      <c r="AG58" s="446" t="e">
        <f>IF(OR($B58="",MIN(AG$38,$D$19)&lt;MAX($P$34*($B58+IF($R$17="Distrato",$I$38-1,0)),IF(AND($L$37=0,$P$34=0),"",$L$37-1),IF($R$17="Distrato",$E58,0))),0,YEARFRAC(MAX($P$34*($B58+IF($R$17="Distrato",$I$38-1,0)),IF(AND($L$37=0,$P$34=0),"",$L$37-1),IF($R$17="Distrato",$E58,0)),MIN(AG$38,$D$19),$P$20))-SUM($P58:AF58)</f>
        <v>#VALUE!</v>
      </c>
      <c r="AH58" s="446" t="e">
        <f>IF(OR($B58="",MIN(AH$38,$D$19)&lt;MAX($P$34*($B58+IF($R$17="Distrato",$I$38-1,0)),IF(AND($L$37=0,$P$34=0),"",$L$37-1),IF($R$17="Distrato",$E58,0))),0,YEARFRAC(MAX($P$34*($B58+IF($R$17="Distrato",$I$38-1,0)),IF(AND($L$37=0,$P$34=0),"",$L$37-1),IF($R$17="Distrato",$E58,0)),MIN(AH$38,$D$19),$P$20))-SUM($P58:AG58)</f>
        <v>#VALUE!</v>
      </c>
      <c r="AI58" s="446" t="e">
        <f>IF(OR($B58="",MIN(AI$38,$D$19)&lt;MAX($P$34*($B58+IF($R$17="Distrato",$I$38-1,0)),IF(AND($L$37=0,$P$34=0),"",$L$37-1),IF($R$17="Distrato",$E58,0))),0,YEARFRAC(MAX($P$34*($B58+IF($R$17="Distrato",$I$38-1,0)),IF(AND($L$37=0,$P$34=0),"",$L$37-1),IF($R$17="Distrato",$E58,0)),MIN(AI$38,$D$19),$P$20))-SUM($P58:AH58)</f>
        <v>#VALUE!</v>
      </c>
      <c r="AJ58" s="446" t="e">
        <f>IF(OR($B58="",MIN(AJ$38,$D$19)&lt;MAX($P$34*($B58+IF($R$17="Distrato",$I$38-1,0)),IF(AND($L$37=0,$P$34=0),"",$L$37-1),IF($R$17="Distrato",$E58,0))),0,YEARFRAC(MAX($P$34*($B58+IF($R$17="Distrato",$I$38-1,0)),IF(AND($L$37=0,$P$34=0),"",$L$37-1),IF($R$17="Distrato",$E58,0)),MIN(AJ$38,$D$19),$P$20))-SUM($P58:AI58)</f>
        <v>#VALUE!</v>
      </c>
      <c r="AK58" s="446" t="e">
        <f>IF(OR($B58="",MIN(AK$38,$D$19)&lt;MAX($P$34*($B58+IF($R$17="Distrato",$I$38-1,0)),IF(AND($L$37=0,$P$34=0),"",$L$37-1),IF($R$17="Distrato",$E58,0))),0,YEARFRAC(MAX($P$34*($B58+IF($R$17="Distrato",$I$38-1,0)),IF(AND($L$37=0,$P$34=0),"",$L$37-1),IF($R$17="Distrato",$E58,0)),MIN(AK$38,$D$19),$P$20))-SUM($P58:AJ58)</f>
        <v>#VALUE!</v>
      </c>
      <c r="AL58" s="446" t="e">
        <f>IF(OR($B58="",MIN(AL$38,$D$19)&lt;MAX($P$34*($B58+IF($R$17="Distrato",$I$38-1,0)),IF(AND($L$37=0,$P$34=0),"",$L$37-1),IF($R$17="Distrato",$E58,0))),0,YEARFRAC(MAX($P$34*($B58+IF($R$17="Distrato",$I$38-1,0)),IF(AND($L$37=0,$P$34=0),"",$L$37-1),IF($R$17="Distrato",$E58,0)),MIN(AL$38,$D$19),$P$20))-SUM($P58:AK58)</f>
        <v>#VALUE!</v>
      </c>
      <c r="AM58" s="446" t="e">
        <f>IF(OR($B58="",MIN(AM$38,$D$19)&lt;MAX($P$34*($B58+IF($R$17="Distrato",$I$38-1,0)),IF(AND($L$37=0,$P$34=0),"",$L$37-1),IF($R$17="Distrato",$E58,0))),0,YEARFRAC(MAX($P$34*($B58+IF($R$17="Distrato",$I$38-1,0)),IF(AND($L$37=0,$P$34=0),"",$L$37-1),IF($R$17="Distrato",$E58,0)),MIN(AM$38,$D$19),$P$20))-SUM($P58:AL58)</f>
        <v>#VALUE!</v>
      </c>
      <c r="AN58" s="446" t="e">
        <f>IF(OR($B58="",MIN(AN$38,$D$19)&lt;MAX($P$34*($B58+IF($R$17="Distrato",$I$38-1,0)),IF(AND($L$37=0,$P$34=0),"",$L$37-1),IF($R$17="Distrato",$E58,0))),0,YEARFRAC(MAX($P$34*($B58+IF($R$17="Distrato",$I$38-1,0)),IF(AND($L$37=0,$P$34=0),"",$L$37-1),IF($R$17="Distrato",$E58,0)),MIN(AN$38,$D$19),$P$20))-SUM($P58:AM58)</f>
        <v>#VALUE!</v>
      </c>
      <c r="AO58" s="446" t="e">
        <f>IF(OR($B58="",MIN(AO$38,$D$19)&lt;MAX($P$34*($B58+IF($R$17="Distrato",$I$38-1,0)),IF(AND($L$37=0,$P$34=0),"",$L$37-1),IF($R$17="Distrato",$E58,0))),0,YEARFRAC(MAX($P$34*($B58+IF($R$17="Distrato",$I$38-1,0)),IF(AND($L$37=0,$P$34=0),"",$L$37-1),IF($R$17="Distrato",$E58,0)),MIN(AO$38,$D$19),$P$20))-SUM($P58:AN58)</f>
        <v>#VALUE!</v>
      </c>
      <c r="AP58" s="446" t="e">
        <f>IF(OR($B58="",MIN(AP$38,$D$19)&lt;MAX($P$34*($B58+IF($R$17="Distrato",$I$38-1,0)),IF(AND($L$37=0,$P$34=0),"",$L$37-1),IF($R$17="Distrato",$E58,0))),0,YEARFRAC(MAX($P$34*($B58+IF($R$17="Distrato",$I$38-1,0)),IF(AND($L$37=0,$P$34=0),"",$L$37-1),IF($R$17="Distrato",$E58,0)),MIN(AP$38,$D$19),$P$20))-SUM($P58:AO58)</f>
        <v>#VALUE!</v>
      </c>
      <c r="AQ58" s="446" t="e">
        <f>IF(OR($B58="",MIN(AQ$38,$D$19)&lt;MAX($P$34*($B58+IF($R$17="Distrato",$I$38-1,0)),IF(AND($L$37=0,$P$34=0),"",$L$37-1),IF($R$17="Distrato",$E58,0))),0,YEARFRAC(MAX($P$34*($B58+IF($R$17="Distrato",$I$38-1,0)),IF(AND($L$37=0,$P$34=0),"",$L$37-1),IF($R$17="Distrato",$E58,0)),MIN(AQ$38,$D$19),$P$20))-SUM($P58:AP58)</f>
        <v>#VALUE!</v>
      </c>
      <c r="AR58" s="446" t="e">
        <f>IF(OR($B58="",MIN(AR$38,$D$19)&lt;MAX($P$34*($B58+IF($R$17="Distrato",$I$38-1,0)),IF(AND($L$37=0,$P$34=0),"",$L$37-1),IF($R$17="Distrato",$E58,0))),0,YEARFRAC(MAX($P$34*($B58+IF($R$17="Distrato",$I$38-1,0)),IF(AND($L$37=0,$P$34=0),"",$L$37-1),IF($R$17="Distrato",$E58,0)),MIN(AR$38,$D$19),$P$20))-SUM($P58:AQ58)</f>
        <v>#VALUE!</v>
      </c>
      <c r="AS58" s="446" t="e">
        <f>IF(OR($B58="",MIN(AS$38,$D$19)&lt;MAX($P$34*($B58+IF($R$17="Distrato",$I$38-1,0)),IF(AND($L$37=0,$P$34=0),"",$L$37-1),IF($R$17="Distrato",$E58,0))),0,YEARFRAC(MAX($P$34*($B58+IF($R$17="Distrato",$I$38-1,0)),IF(AND($L$37=0,$P$34=0),"",$L$37-1),IF($R$17="Distrato",$E58,0)),MIN(AS$38,$D$19),$P$20))-SUM($P58:AR58)</f>
        <v>#VALUE!</v>
      </c>
      <c r="AT58" s="446" t="e">
        <f>IF(OR($B58="",MIN(AT$38,$D$19)&lt;MAX($P$34*($B58+IF($R$17="Distrato",$I$38-1,0)),IF(AND($L$37=0,$P$34=0),"",$L$37-1),IF($R$17="Distrato",$E58,0))),0,YEARFRAC(MAX($P$34*($B58+IF($R$17="Distrato",$I$38-1,0)),IF(AND($L$37=0,$P$34=0),"",$L$37-1),IF($R$17="Distrato",$E58,0)),MIN(AT$38,$D$19),$P$20))-SUM($P58:AS58)</f>
        <v>#VALUE!</v>
      </c>
      <c r="AU58" s="446" t="e">
        <f>IF(OR($B58="",MIN(AU$38,$D$19)&lt;MAX($P$34*($B58+IF($R$17="Distrato",$I$38-1,0)),IF(AND($L$37=0,$P$34=0),"",$L$37-1),IF($R$17="Distrato",$E58,0))),0,YEARFRAC(MAX($P$34*($B58+IF($R$17="Distrato",$I$38-1,0)),IF(AND($L$37=0,$P$34=0),"",$L$37-1),IF($R$17="Distrato",$E58,0)),MIN(AU$38,$D$19),$P$20))-SUM($P58:AT58)</f>
        <v>#VALUE!</v>
      </c>
      <c r="AV58" s="446" t="e">
        <f>IF(OR($B58="",MIN(AV$38,$D$19)&lt;MAX($P$34*($B58+IF($R$17="Distrato",$I$38-1,0)),IF(AND($L$37=0,$P$34=0),"",$L$37-1),IF($R$17="Distrato",$E58,0))),0,YEARFRAC(MAX($P$34*($B58+IF($R$17="Distrato",$I$38-1,0)),IF(AND($L$37=0,$P$34=0),"",$L$37-1),IF($R$17="Distrato",$E58,0)),MIN(AV$38,$D$19),$P$20))-SUM($P58:AU58)</f>
        <v>#VALUE!</v>
      </c>
      <c r="AW58" s="446" t="e">
        <f>IF(OR($B58="",MIN(AW$38,$D$19)&lt;MAX($P$34*($B58+IF($R$17="Distrato",$I$38-1,0)),IF(AND($L$37=0,$P$34=0),"",$L$37-1),IF($R$17="Distrato",$E58,0))),0,YEARFRAC(MAX($P$34*($B58+IF($R$17="Distrato",$I$38-1,0)),IF(AND($L$37=0,$P$34=0),"",$L$37-1),IF($R$17="Distrato",$E58,0)),MIN(AW$38,$D$19),$P$20))-SUM($P58:AV58)</f>
        <v>#VALUE!</v>
      </c>
      <c r="AX58" s="446" t="e">
        <f>IF(OR($B58="",MIN(AX$38,$D$19)&lt;MAX($P$34*($B58+IF($R$17="Distrato",$I$38-1,0)),IF(AND($L$37=0,$P$34=0),"",$L$37-1),IF($R$17="Distrato",$E58,0))),0,YEARFRAC(MAX($P$34*($B58+IF($R$17="Distrato",$I$38-1,0)),IF(AND($L$37=0,$P$34=0),"",$L$37-1),IF($R$17="Distrato",$E58,0)),MIN(AX$38,$D$19),$P$20))-SUM($P58:AW58)</f>
        <v>#VALUE!</v>
      </c>
      <c r="AY58" s="446" t="e">
        <f>IF(OR($B58="",MIN(AY$38,$D$19)&lt;MAX($P$34*($B58+IF($R$17="Distrato",$I$38-1,0)),IF(AND($L$37=0,$P$34=0),"",$L$37-1),IF($R$17="Distrato",$E58,0))),0,YEARFRAC(MAX($P$34*($B58+IF($R$17="Distrato",$I$38-1,0)),IF(AND($L$37=0,$P$34=0),"",$L$37-1),IF($R$17="Distrato",$E58,0)),MIN(AY$38,$D$19),$P$20))-SUM($P58:AX58)</f>
        <v>#VALUE!</v>
      </c>
      <c r="AZ58" s="446" t="e">
        <f>IF(OR($B58="",MIN(AZ$38,$D$19)&lt;MAX($P$34*($B58+IF($R$17="Distrato",$I$38-1,0)),IF(AND($L$37=0,$P$34=0),"",$L$37-1),IF($R$17="Distrato",$E58,0))),0,YEARFRAC(MAX($P$34*($B58+IF($R$17="Distrato",$I$38-1,0)),IF(AND($L$37=0,$P$34=0),"",$L$37-1),IF($R$17="Distrato",$E58,0)),MIN(AZ$38,$D$19),$P$20))-SUM($P58:AY58)</f>
        <v>#VALUE!</v>
      </c>
      <c r="BA58" s="446" t="e">
        <f>IF(OR($B58="",MIN(BA$38,$D$19)&lt;MAX($P$34*($B58+IF($R$17="Distrato",$I$38-1,0)),IF(AND($L$37=0,$P$34=0),"",$L$37-1),IF($R$17="Distrato",$E58,0))),0,YEARFRAC(MAX($P$34*($B58+IF($R$17="Distrato",$I$38-1,0)),IF(AND($L$37=0,$P$34=0),"",$L$37-1),IF($R$17="Distrato",$E58,0)),MIN(BA$38,$D$19),$P$20))-SUM($P58:AZ58)</f>
        <v>#VALUE!</v>
      </c>
      <c r="BB58" s="447"/>
      <c r="BF58" s="446">
        <f t="shared" si="10"/>
        <v>0</v>
      </c>
      <c r="BG58" s="446">
        <f>IF($E58=0,0,IF(MIN(BG$38,$E58)&lt;MAX($P$34*($B58+$I$38-1),IF(AND($L$37=0,$P$34=0),"",$L$37-1)),0,YEARFRAC(MAX($P$34*($B58+$I$38-1),IF(AND($L$37=0,$P$34=0),"",$L$37-1)),MIN(BG$38,$E58),$P$20))-SUM($BF58:BF58))</f>
        <v>0</v>
      </c>
      <c r="BH58" s="446">
        <f>IF($E58=0,0,IF(MIN(BH$38,$E58)&lt;MAX($P$34*($B58+$I$38-1),IF(AND($L$37=0,$P$34=0),"",$L$37-1)),0,YEARFRAC(MAX($P$34*($B58+$I$38-1),IF(AND($L$37=0,$P$34=0),"",$L$37-1)),MIN(BH$38,$E58),$P$20))-SUM($BF58:BG58))</f>
        <v>0</v>
      </c>
      <c r="BI58" s="446">
        <f>IF($E58=0,0,IF(MIN(BI$38,$E58)&lt;MAX($P$34*($B58+$I$38-1),IF(AND($L$37=0,$P$34=0),"",$L$37-1)),0,YEARFRAC(MAX($P$34*($B58+$I$38-1),IF(AND($L$37=0,$P$34=0),"",$L$37-1)),MIN(BI$38,$E58),$P$20))-SUM($BF58:BH58))</f>
        <v>0</v>
      </c>
      <c r="BJ58" s="446">
        <f>IF($E58=0,0,IF(MIN(BJ$38,$E58)&lt;MAX($P$34*($B58+$I$38-1),IF(AND($L$37=0,$P$34=0),"",$L$37-1)),0,YEARFRAC(MAX($P$34*($B58+$I$38-1),IF(AND($L$37=0,$P$34=0),"",$L$37-1)),MIN(BJ$38,$E58),$P$20))-SUM($BF58:BI58))</f>
        <v>0</v>
      </c>
      <c r="BK58" s="446">
        <f>IF($E58=0,0,IF(MIN(BK$38,$E58)&lt;MAX($P$34*($B58+$I$38-1),IF(AND($L$37=0,$P$34=0),"",$L$37-1)),0,YEARFRAC(MAX($P$34*($B58+$I$38-1),IF(AND($L$37=0,$P$34=0),"",$L$37-1)),MIN(BK$38,$E58),$P$20))-SUM($BF58:BJ58))</f>
        <v>0</v>
      </c>
      <c r="BL58" s="446">
        <f>IF($E58=0,0,IF(MIN(BL$38,$E58)&lt;MAX($P$34*($B58+$I$38-1),IF(AND($L$37=0,$P$34=0),"",$L$37-1)),0,YEARFRAC(MAX($P$34*($B58+$I$38-1),IF(AND($L$37=0,$P$34=0),"",$L$37-1)),MIN(BL$38,$E58),$P$20))-SUM($BF58:BK58))</f>
        <v>0</v>
      </c>
      <c r="BM58" s="446">
        <f>IF($E58=0,0,IF(MIN(BM$38,$E58)&lt;MAX($P$34*($B58+$I$38-1),IF(AND($L$37=0,$P$34=0),"",$L$37-1)),0,YEARFRAC(MAX($P$34*($B58+$I$38-1),IF(AND($L$37=0,$P$34=0),"",$L$37-1)),MIN(BM$38,$E58),$P$20))-SUM($BF58:BL58))</f>
        <v>0</v>
      </c>
      <c r="BN58" s="446">
        <f>IF($E58=0,0,IF(MIN(BN$38,$E58)&lt;MAX($P$34*($B58+$I$38-1),IF(AND($L$37=0,$P$34=0),"",$L$37-1)),0,YEARFRAC(MAX($P$34*($B58+$I$38-1),IF(AND($L$37=0,$P$34=0),"",$L$37-1)),MIN(BN$38,$E58),$P$20))-SUM($BF58:BM58))</f>
        <v>0</v>
      </c>
      <c r="BO58" s="446">
        <f>IF($E58=0,0,IF(MIN(BO$38,$E58)&lt;MAX($P$34*($B58+$I$38-1),IF(AND($L$37=0,$P$34=0),"",$L$37-1)),0,YEARFRAC(MAX($P$34*($B58+$I$38-1),IF(AND($L$37=0,$P$34=0),"",$L$37-1)),MIN(BO$38,$E58),$P$20))-SUM($BF58:BN58))</f>
        <v>0</v>
      </c>
      <c r="BP58" s="446">
        <f>IF($E58=0,0,IF(MIN(BP$38,$E58)&lt;MAX($P$34*($B58+$I$38-1),IF(AND($L$37=0,$P$34=0),"",$L$37-1)),0,YEARFRAC(MAX($P$34*($B58+$I$38-1),IF(AND($L$37=0,$P$34=0),"",$L$37-1)),MIN(BP$38,$E58),$P$20))-SUM($BF58:BO58))</f>
        <v>0</v>
      </c>
      <c r="BQ58" s="446">
        <f>IF($E58=0,0,IF(MIN(BQ$38,$E58)&lt;MAX($P$34*($B58+$I$38-1),IF(AND($L$37=0,$P$34=0),"",$L$37-1)),0,YEARFRAC(MAX($P$34*($B58+$I$38-1),IF(AND($L$37=0,$P$34=0),"",$L$37-1)),MIN(BQ$38,$E58),$P$20))-SUM($BF58:BP58))</f>
        <v>0</v>
      </c>
      <c r="BR58" s="446">
        <f>IF($E58=0,0,IF(MIN(BR$38,$E58)&lt;MAX($P$34*($B58+$I$38-1),IF(AND($L$37=0,$P$34=0),"",$L$37-1)),0,YEARFRAC(MAX($P$34*($B58+$I$38-1),IF(AND($L$37=0,$P$34=0),"",$L$37-1)),MIN(BR$38,$E58),$P$20))-SUM($BF58:BQ58))</f>
        <v>0</v>
      </c>
      <c r="BS58" s="446">
        <f>IF($E58=0,0,IF(MIN(BS$38,$E58)&lt;MAX($P$34*($B58+$I$38-1),IF(AND($L$37=0,$P$34=0),"",$L$37-1)),0,YEARFRAC(MAX($P$34*($B58+$I$38-1),IF(AND($L$37=0,$P$34=0),"",$L$37-1)),MIN(BS$38,$E58),$P$20))-SUM($BF58:BR58))</f>
        <v>0</v>
      </c>
      <c r="BT58" s="446">
        <f>IF($E58=0,0,IF(MIN(BT$38,$E58)&lt;MAX($P$34*($B58+$I$38-1),IF(AND($L$37=0,$P$34=0),"",$L$37-1)),0,YEARFRAC(MAX($P$34*($B58+$I$38-1),IF(AND($L$37=0,$P$34=0),"",$L$37-1)),MIN(BT$38,$E58),$P$20))-SUM($BF58:BS58))</f>
        <v>0</v>
      </c>
      <c r="BU58" s="446">
        <f>IF($E58=0,0,IF(MIN(BU$38,$E58)&lt;MAX($P$34*($B58+$I$38-1),IF(AND($L$37=0,$P$34=0),"",$L$37-1)),0,YEARFRAC(MAX($P$34*($B58+$I$38-1),IF(AND($L$37=0,$P$34=0),"",$L$37-1)),MIN(BU$38,$E58),$P$20))-SUM($BF58:BT58))</f>
        <v>0</v>
      </c>
      <c r="BV58" s="446">
        <f>IF($E58=0,0,IF(MIN(BV$38,$E58)&lt;MAX($P$34*($B58+$I$38-1),IF(AND($L$37=0,$P$34=0),"",$L$37-1)),0,YEARFRAC(MAX($P$34*($B58+$I$38-1),IF(AND($L$37=0,$P$34=0),"",$L$37-1)),MIN(BV$38,$E58),$P$20))-SUM($BF58:BU58))</f>
        <v>0</v>
      </c>
      <c r="BW58" s="446">
        <f>IF($E58=0,0,IF(MIN(BW$38,$E58)&lt;MAX($P$34*($B58+$I$38-1),IF(AND($L$37=0,$P$34=0),"",$L$37-1)),0,YEARFRAC(MAX($P$34*($B58+$I$38-1),IF(AND($L$37=0,$P$34=0),"",$L$37-1)),MIN(BW$38,$E58),$P$20))-SUM($BF58:BV58))</f>
        <v>0</v>
      </c>
      <c r="BX58" s="446">
        <f>IF($E58=0,0,IF(MIN(BX$38,$E58)&lt;MAX($P$34*($B58+$I$38-1),IF(AND($L$37=0,$P$34=0),"",$L$37-1)),0,YEARFRAC(MAX($P$34*($B58+$I$38-1),IF(AND($L$37=0,$P$34=0),"",$L$37-1)),MIN(BX$38,$E58),$P$20))-SUM($BF58:BW58))</f>
        <v>0</v>
      </c>
      <c r="BY58" s="446">
        <f>IF($E58=0,0,IF(MIN(BY$38,$E58)&lt;MAX($P$34*($B58+$I$38-1),IF(AND($L$37=0,$P$34=0),"",$L$37-1)),0,YEARFRAC(MAX($P$34*($B58+$I$38-1),IF(AND($L$37=0,$P$34=0),"",$L$37-1)),MIN(BY$38,$E58),$P$20))-SUM($BF58:BX58))</f>
        <v>0</v>
      </c>
      <c r="BZ58" s="446">
        <f>IF($E58=0,0,IF(MIN(BZ$38,$E58)&lt;MAX($P$34*($B58+$I$38-1),IF(AND($L$37=0,$P$34=0),"",$L$37-1)),0,YEARFRAC(MAX($P$34*($B58+$I$38-1),IF(AND($L$37=0,$P$34=0),"",$L$37-1)),MIN(BZ$38,$E58),$P$20))-SUM($BF58:BY58))</f>
        <v>0</v>
      </c>
      <c r="CA58" s="446">
        <f>IF($E58=0,0,IF(MIN(CA$38,$E58)&lt;MAX($P$34*($B58+$I$38-1),IF(AND($L$37=0,$P$34=0),"",$L$37-1)),0,YEARFRAC(MAX($P$34*($B58+$I$38-1),IF(AND($L$37=0,$P$34=0),"",$L$37-1)),MIN(CA$38,$E58),$P$20))-SUM($BF58:BZ58))</f>
        <v>0</v>
      </c>
      <c r="CB58" s="446">
        <f>IF($E58=0,0,IF(MIN(CB$38,$E58)&lt;MAX($P$34*($B58+$I$38-1),IF(AND($L$37=0,$P$34=0),"",$L$37-1)),0,YEARFRAC(MAX($P$34*($B58+$I$38-1),IF(AND($L$37=0,$P$34=0),"",$L$37-1)),MIN(CB$38,$E58),$P$20))-SUM($BF58:CA58))</f>
        <v>0</v>
      </c>
      <c r="CC58" s="446">
        <f>IF($E58=0,0,IF(MIN(CC$38,$E58)&lt;MAX($P$34*($B58+$I$38-1),IF(AND($L$37=0,$P$34=0),"",$L$37-1)),0,YEARFRAC(MAX($P$34*($B58+$I$38-1),IF(AND($L$37=0,$P$34=0),"",$L$37-1)),MIN(CC$38,$E58),$P$20))-SUM($BF58:CB58))</f>
        <v>0</v>
      </c>
      <c r="CD58" s="446">
        <f>IF($E58=0,0,IF(MIN(CD$38,$E58)&lt;MAX($P$34*($B58+$I$38-1),IF(AND($L$37=0,$P$34=0),"",$L$37-1)),0,YEARFRAC(MAX($P$34*($B58+$I$38-1),IF(AND($L$37=0,$P$34=0),"",$L$37-1)),MIN(CD$38,$E58),$P$20))-SUM($BF58:CC58))</f>
        <v>0</v>
      </c>
      <c r="CE58" s="446">
        <f>IF($E58=0,0,IF(MIN(CE$38,$E58)&lt;MAX($P$34*($B58+$I$38-1),IF(AND($L$37=0,$P$34=0),"",$L$37-1)),0,YEARFRAC(MAX($P$34*($B58+$I$38-1),IF(AND($L$37=0,$P$34=0),"",$L$37-1)),MIN(CE$38,$E58),$P$20))-SUM($BF58:CD58))</f>
        <v>0</v>
      </c>
      <c r="CF58" s="446">
        <f>IF($E58=0,0,IF(MIN(CF$38,$E58)&lt;MAX($P$34*($B58+$I$38-1),IF(AND($L$37=0,$P$34=0),"",$L$37-1)),0,YEARFRAC(MAX($P$34*($B58+$I$38-1),IF(AND($L$37=0,$P$34=0),"",$L$37-1)),MIN(CF$38,$E58),$P$20))-SUM($BF58:CE58))</f>
        <v>0</v>
      </c>
      <c r="CG58" s="446">
        <f>IF($E58=0,0,IF(MIN(CG$38,$E58)&lt;MAX($P$34*($B58+$I$38-1),IF(AND($L$37=0,$P$34=0),"",$L$37-1)),0,YEARFRAC(MAX($P$34*($B58+$I$38-1),IF(AND($L$37=0,$P$34=0),"",$L$37-1)),MIN(CG$38,$E58),$P$20))-SUM($BF58:CF58))</f>
        <v>0</v>
      </c>
      <c r="CH58" s="446">
        <f>IF($E58=0,0,IF(MIN(CH$38,$E58)&lt;MAX($P$34*($B58+$I$38-1),IF(AND($L$37=0,$P$34=0),"",$L$37-1)),0,YEARFRAC(MAX($P$34*($B58+$I$38-1),IF(AND($L$37=0,$P$34=0),"",$L$37-1)),MIN(CH$38,$E58),$P$20))-SUM($BF58:CG58))</f>
        <v>0</v>
      </c>
      <c r="CI58" s="446">
        <f>IF($E58=0,0,IF(MIN(CI$38,$E58)&lt;MAX($P$34*($B58+$I$38-1),IF(AND($L$37=0,$P$34=0),"",$L$37-1)),0,YEARFRAC(MAX($P$34*($B58+$I$38-1),IF(AND($L$37=0,$P$34=0),"",$L$37-1)),MIN(CI$38,$E58),$P$20))-SUM($BF58:CH58))</f>
        <v>0</v>
      </c>
      <c r="CJ58" s="446">
        <f>IF($E58=0,0,IF(MIN(CJ$38,$E58)&lt;MAX($P$34*($B58+$I$38-1),IF(AND($L$37=0,$P$34=0),"",$L$37-1)),0,YEARFRAC(MAX($P$34*($B58+$I$38-1),IF(AND($L$37=0,$P$34=0),"",$L$37-1)),MIN(CJ$38,$E58),$P$20))-SUM($BF58:CI58))</f>
        <v>0</v>
      </c>
      <c r="CK58" s="446">
        <f>IF($E58=0,0,IF(MIN(CK$38,$E58)&lt;MAX($P$34*($B58+$I$38-1),IF(AND($L$37=0,$P$34=0),"",$L$37-1)),0,YEARFRAC(MAX($P$34*($B58+$I$38-1),IF(AND($L$37=0,$P$34=0),"",$L$37-1)),MIN(CK$38,$E58),$P$20))-SUM($BF58:CJ58))</f>
        <v>0</v>
      </c>
      <c r="CL58" s="446">
        <f>IF($E58=0,0,IF(MIN(CL$38,$E58)&lt;MAX($P$34*($B58+$I$38-1),IF(AND($L$37=0,$P$34=0),"",$L$37-1)),0,YEARFRAC(MAX($P$34*($B58+$I$38-1),IF(AND($L$37=0,$P$34=0),"",$L$37-1)),MIN(CL$38,$E58),$P$20))-SUM($BF58:CK58))</f>
        <v>0</v>
      </c>
      <c r="CM58" s="446">
        <f>IF($E58=0,0,IF(MIN(CM$38,$E58)&lt;MAX($P$34*($B58+$I$38-1),IF(AND($L$37=0,$P$34=0),"",$L$37-1)),0,YEARFRAC(MAX($P$34*($B58+$I$38-1),IF(AND($L$37=0,$P$34=0),"",$L$37-1)),MIN(CM$38,$E58),$P$20))-SUM($BF58:CL58))</f>
        <v>0</v>
      </c>
      <c r="CN58" s="446">
        <f>IF($E58=0,0,IF(MIN(CN$38,$E58)&lt;MAX($P$34*($B58+$I$38-1),IF(AND($L$37=0,$P$34=0),"",$L$37-1)),0,YEARFRAC(MAX($P$34*($B58+$I$38-1),IF(AND($L$37=0,$P$34=0),"",$L$37-1)),MIN(CN$38,$E58),$P$20))-SUM($BF58:CM58))</f>
        <v>0</v>
      </c>
      <c r="CO58" s="446">
        <f>IF($E58=0,0,IF(MIN(CO$38,$E58)&lt;MAX($P$34*($B58+$I$38-1),IF(AND($L$37=0,$P$34=0),"",$L$37-1)),0,YEARFRAC(MAX($P$34*($B58+$I$38-1),IF(AND($L$37=0,$P$34=0),"",$L$37-1)),MIN(CO$38,$E58),$P$20))-SUM($BF58:CN58))</f>
        <v>0</v>
      </c>
      <c r="CP58" s="446">
        <f>IF($E58=0,0,IF(MIN(CP$38,$E58)&lt;MAX($P$34*($B58+$I$38-1),IF(AND($L$37=0,$P$34=0),"",$L$37-1)),0,YEARFRAC(MAX($P$34*($B58+$I$38-1),IF(AND($L$37=0,$P$34=0),"",$L$37-1)),MIN(CP$38,$E58),$P$20))-SUM($BF58:CO58))</f>
        <v>0</v>
      </c>
      <c r="CQ58" s="446">
        <f>IF($E58=0,0,IF(MIN(CQ$38,$E58)&lt;MAX($P$34*($B58+$I$38-1),IF(AND($L$37=0,$P$34=0),"",$L$37-1)),0,YEARFRAC(MAX($P$34*($B58+$I$38-1),IF(AND($L$37=0,$P$34=0),"",$L$37-1)),MIN(CQ$38,$E58),$P$20))-SUM($BF58:CP58))</f>
        <v>0</v>
      </c>
    </row>
    <row r="59" spans="1:95" s="446" customFormat="1" ht="11.25" hidden="1" customHeight="1" x14ac:dyDescent="0.2">
      <c r="A59" s="152"/>
      <c r="B59" s="153" t="str">
        <f t="shared" si="15"/>
        <v/>
      </c>
      <c r="C59" s="29" t="str">
        <f>IF(B59="","",IF($L$35="SELIC - TRIBUTOS",VLOOKUP(DATE(YEAR($D$19),MONTH($D$19)-1,1),ÍNDICES!$A:$DE,HLOOKUP($BL$25,ÍNDICES!$B$3:$T$4,2)+11)-VLOOKUP(B59,ÍNDICES!$A:$DE,HLOOKUP($BL$25,ÍNDICES!$B$3:$T$4,2)+11)+1%,IF(C$38=$W$26,$J$35,IF(ISERROR(IF(B59&gt;$D$19,1,VLOOKUP(DATE(YEAR(B59),MONTH(B59)+IF($C$35=$S$23,1,0),1),ÍNDICES!$A:$DE,$Z$35+1))),"",IF(B59&gt;$D$19,1,VLOOKUP(DATE(YEAR(B59),MONTH(B59)+IF($C$35=$S$23,1,0),1),ÍNDICES!$A:$DE,$Z$35+1))))))</f>
        <v/>
      </c>
      <c r="D59" s="154" t="str">
        <f>IF(ISERROR(IF(OR($D$38=$Y$27,$B59=""),"",VLOOKUP(B59,ÍNDICES!A:DE,AF$35+1))),"",IF(OR($D$38=$Y$27,$B59=""),"",VLOOKUP(B59,ÍNDICES!A:DE,AF$35+1)))</f>
        <v/>
      </c>
      <c r="E59" s="153"/>
      <c r="F59" s="29" t="str">
        <f>IF(E59="","",IF($L$35="SELIC - TRIBUTOS",VLOOKUP(DATE(YEAR($D$19),MONTH($D$19)-1,1),ÍNDICES!$A:$DE,HLOOKUP($BL$25,ÍNDICES!$B$3:$T$4,2)+11)-VLOOKUP(E59,ÍNDICES!$A:$DE,HLOOKUP($BL$25,ÍNDICES!$B$3:$T$4,2)+11)+1%,IF(F$38=$W$26,$J$35,IF(ISERROR(IF(E59&gt;$D$19,1,VLOOKUP(DATE(YEAR(E59),MONTH(E59)+IF($C$35=$S$23,1,0),1),ÍNDICES!$A:$DE,$Z$35+1))),"",IF(E59&gt;$D$19,1,VLOOKUP(DATE(YEAR(E59),MONTH(E59)+IF($C$35=$S$23,1,0),1),ÍNDICES!$A:$DE,$Z$35+1))))))</f>
        <v/>
      </c>
      <c r="G59" s="155"/>
      <c r="H59" s="156" t="str">
        <f t="shared" si="11"/>
        <v/>
      </c>
      <c r="I59" s="29" t="str">
        <f t="shared" si="5"/>
        <v/>
      </c>
      <c r="J59" s="5">
        <f t="shared" si="6"/>
        <v>0</v>
      </c>
      <c r="K59" s="20">
        <f t="shared" ca="1" si="7"/>
        <v>0</v>
      </c>
      <c r="L59" s="5">
        <f t="shared" ca="1" si="8"/>
        <v>0</v>
      </c>
      <c r="M59" s="64">
        <f t="shared" si="12"/>
        <v>0</v>
      </c>
      <c r="N59" s="61">
        <f t="shared" ca="1" si="13"/>
        <v>0</v>
      </c>
      <c r="O59" s="5">
        <f t="shared" ca="1" si="14"/>
        <v>0</v>
      </c>
      <c r="P59" s="446" t="e">
        <f t="shared" si="9"/>
        <v>#VALUE!</v>
      </c>
      <c r="Q59" s="446" t="e">
        <f>IF(OR($B59="",MIN(Q$38,$D$19)&lt;MAX($P$34*($B59+IF($R$17="Distrato",$I$38-1,0)),IF(AND($L$37=0,$P$34=0),"",$L$37-1),IF($R$17="Distrato",$E59,0))),0,YEARFRAC(MAX($P$34*($B59+IF($R$17="Distrato",$I$38-1,0)),IF(AND($L$37=0,$P$34=0),"",$L$37-1),IF($R$17="Distrato",$E59,0)),MIN(Q$38,$D$19),$P$20))-SUM($P59:P59)</f>
        <v>#VALUE!</v>
      </c>
      <c r="R59" s="446" t="e">
        <f>IF(OR($B59="",MIN(R$38,$D$19)&lt;MAX($P$34*($B59+IF($R$17="Distrato",$I$38-1,0)),IF(AND($L$37=0,$P$34=0),"",$L$37-1),IF($R$17="Distrato",$E59,0))),0,YEARFRAC(MAX($P$34*($B59+IF($R$17="Distrato",$I$38-1,0)),IF(AND($L$37=0,$P$34=0),"",$L$37-1),IF($R$17="Distrato",$E59,0)),MIN(R$38,$D$19),$P$20))-SUM($P59:Q59)</f>
        <v>#VALUE!</v>
      </c>
      <c r="S59" s="446" t="e">
        <f>IF(OR($B59="",MIN(S$38,$D$19)&lt;MAX($P$34*($B59+IF($R$17="Distrato",$I$38-1,0)),IF(AND($L$37=0,$P$34=0),"",$L$37-1),IF($R$17="Distrato",$E59,0))),0,YEARFRAC(MAX($P$34*($B59+IF($R$17="Distrato",$I$38-1,0)),IF(AND($L$37=0,$P$34=0),"",$L$37-1),IF($R$17="Distrato",$E59,0)),MIN(S$38,$D$19),$P$20))-SUM($P59:R59)</f>
        <v>#VALUE!</v>
      </c>
      <c r="T59" s="446" t="e">
        <f>IF(OR($B59="",MIN(T$38,$D$19)&lt;MAX($P$34*($B59+IF($R$17="Distrato",$I$38-1,0)),IF(AND($L$37=0,$P$34=0),"",$L$37-1),IF($R$17="Distrato",$E59,0))),0,YEARFRAC(MAX($P$34*($B59+IF($R$17="Distrato",$I$38-1,0)),IF(AND($L$37=0,$P$34=0),"",$L$37-1),IF($R$17="Distrato",$E59,0)),MIN(T$38,$D$19),$P$20))-SUM($P59:S59)</f>
        <v>#VALUE!</v>
      </c>
      <c r="U59" s="446" t="e">
        <f>IF(OR($B59="",MIN(U$38,$D$19)&lt;MAX($P$34*($B59+IF($R$17="Distrato",$I$38-1,0)),IF(AND($L$37=0,$P$34=0),"",$L$37-1),IF($R$17="Distrato",$E59,0))),0,YEARFRAC(MAX($P$34*($B59+IF($R$17="Distrato",$I$38-1,0)),IF(AND($L$37=0,$P$34=0),"",$L$37-1),IF($R$17="Distrato",$E59,0)),MIN(U$38,$D$19),$P$20))-SUM($P59:T59)</f>
        <v>#VALUE!</v>
      </c>
      <c r="V59" s="446" t="e">
        <f>IF(OR($B59="",MIN(V$38,$D$19)&lt;MAX($P$34*($B59+IF($R$17="Distrato",$I$38-1,0)),IF(AND($L$37=0,$P$34=0),"",$L$37-1),IF($R$17="Distrato",$E59,0))),0,YEARFRAC(MAX($P$34*($B59+IF($R$17="Distrato",$I$38-1,0)),IF(AND($L$37=0,$P$34=0),"",$L$37-1),IF($R$17="Distrato",$E59,0)),MIN(V$38,$D$19),$P$20))-SUM($P59:U59)</f>
        <v>#VALUE!</v>
      </c>
      <c r="W59" s="446" t="e">
        <f>IF(OR($B59="",MIN(W$38,$D$19)&lt;MAX($P$34*($B59+IF($R$17="Distrato",$I$38-1,0)),IF(AND($L$37=0,$P$34=0),"",$L$37-1),IF($R$17="Distrato",$E59,0))),0,YEARFRAC(MAX($P$34*($B59+IF($R$17="Distrato",$I$38-1,0)),IF(AND($L$37=0,$P$34=0),"",$L$37-1),IF($R$17="Distrato",$E59,0)),MIN(W$38,$D$19),$P$20))-SUM($P59:V59)</f>
        <v>#VALUE!</v>
      </c>
      <c r="X59" s="446" t="e">
        <f>IF(OR($B59="",MIN(X$38,$D$19)&lt;MAX($P$34*($B59+IF($R$17="Distrato",$I$38-1,0)),IF(AND($L$37=0,$P$34=0),"",$L$37-1),IF($R$17="Distrato",$E59,0))),0,YEARFRAC(MAX($P$34*($B59+IF($R$17="Distrato",$I$38-1,0)),IF(AND($L$37=0,$P$34=0),"",$L$37-1),IF($R$17="Distrato",$E59,0)),MIN(X$38,$D$19),$P$20))-SUM($P59:W59)</f>
        <v>#VALUE!</v>
      </c>
      <c r="Y59" s="446" t="e">
        <f>IF(OR($B59="",MIN(Y$38,$D$19)&lt;MAX($P$34*($B59+IF($R$17="Distrato",$I$38-1,0)),IF(AND($L$37=0,$P$34=0),"",$L$37-1),IF($R$17="Distrato",$E59,0))),0,YEARFRAC(MAX($P$34*($B59+IF($R$17="Distrato",$I$38-1,0)),IF(AND($L$37=0,$P$34=0),"",$L$37-1),IF($R$17="Distrato",$E59,0)),MIN(Y$38,$D$19),$P$20))-SUM($P59:X59)</f>
        <v>#VALUE!</v>
      </c>
      <c r="Z59" s="446" t="e">
        <f>IF(OR($B59="",MIN(Z$38,$D$19)&lt;MAX($P$34*($B59+IF($R$17="Distrato",$I$38-1,0)),IF(AND($L$37=0,$P$34=0),"",$L$37-1),IF($R$17="Distrato",$E59,0))),0,YEARFRAC(MAX($P$34*($B59+IF($R$17="Distrato",$I$38-1,0)),IF(AND($L$37=0,$P$34=0),"",$L$37-1),IF($R$17="Distrato",$E59,0)),MIN(Z$38,$D$19),$P$20))-SUM($P59:Y59)</f>
        <v>#VALUE!</v>
      </c>
      <c r="AA59" s="446" t="e">
        <f>IF(OR($B59="",MIN(AA$38,$D$19)&lt;MAX($P$34*($B59+IF($R$17="Distrato",$I$38-1,0)),IF(AND($L$37=0,$P$34=0),"",$L$37-1),IF($R$17="Distrato",$E59,0))),0,YEARFRAC(MAX($P$34*($B59+IF($R$17="Distrato",$I$38-1,0)),IF(AND($L$37=0,$P$34=0),"",$L$37-1),IF($R$17="Distrato",$E59,0)),MIN(AA$38,$D$19),$P$20))-SUM($P59:Z59)</f>
        <v>#VALUE!</v>
      </c>
      <c r="AB59" s="446" t="e">
        <f>IF(OR($B59="",MIN(AB$38,$D$19)&lt;MAX($P$34*($B59+IF($R$17="Distrato",$I$38-1,0)),IF(AND($L$37=0,$P$34=0),"",$L$37-1),IF($R$17="Distrato",$E59,0))),0,YEARFRAC(MAX($P$34*($B59+IF($R$17="Distrato",$I$38-1,0)),IF(AND($L$37=0,$P$34=0),"",$L$37-1),IF($R$17="Distrato",$E59,0)),MIN(AB$38,$D$19),$P$20))-SUM($P59:AA59)</f>
        <v>#VALUE!</v>
      </c>
      <c r="AC59" s="446" t="e">
        <f>IF(OR($B59="",MIN(AC$38,$D$19)&lt;MAX($P$34*($B59+IF($R$17="Distrato",$I$38-1,0)),IF(AND($L$37=0,$P$34=0),"",$L$37-1),IF($R$17="Distrato",$E59,0))),0,YEARFRAC(MAX($P$34*($B59+IF($R$17="Distrato",$I$38-1,0)),IF(AND($L$37=0,$P$34=0),"",$L$37-1),IF($R$17="Distrato",$E59,0)),MIN(AC$38,$D$19),$P$20))-SUM($P59:AB59)</f>
        <v>#VALUE!</v>
      </c>
      <c r="AD59" s="446" t="e">
        <f>IF(OR($B59="",MIN(AD$38,$D$19)&lt;MAX($P$34*($B59+IF($R$17="Distrato",$I$38-1,0)),IF(AND($L$37=0,$P$34=0),"",$L$37-1),IF($R$17="Distrato",$E59,0))),0,YEARFRAC(MAX($P$34*($B59+IF($R$17="Distrato",$I$38-1,0)),IF(AND($L$37=0,$P$34=0),"",$L$37-1),IF($R$17="Distrato",$E59,0)),MIN(AD$38,$D$19),$P$20))-SUM($P59:AC59)</f>
        <v>#VALUE!</v>
      </c>
      <c r="AE59" s="446" t="e">
        <f>IF(OR($B59="",MIN(AE$38,$D$19)&lt;MAX($P$34*($B59+IF($R$17="Distrato",$I$38-1,0)),IF(AND($L$37=0,$P$34=0),"",$L$37-1),IF($R$17="Distrato",$E59,0))),0,YEARFRAC(MAX($P$34*($B59+IF($R$17="Distrato",$I$38-1,0)),IF(AND($L$37=0,$P$34=0),"",$L$37-1),IF($R$17="Distrato",$E59,0)),MIN(AE$38,$D$19),$P$20))-SUM($P59:AD59)</f>
        <v>#VALUE!</v>
      </c>
      <c r="AF59" s="446" t="e">
        <f>IF(OR($B59="",MIN(AF$38,$D$19)&lt;MAX($P$34*($B59+IF($R$17="Distrato",$I$38-1,0)),IF(AND($L$37=0,$P$34=0),"",$L$37-1),IF($R$17="Distrato",$E59,0))),0,YEARFRAC(MAX($P$34*($B59+IF($R$17="Distrato",$I$38-1,0)),IF(AND($L$37=0,$P$34=0),"",$L$37-1),IF($R$17="Distrato",$E59,0)),MIN(AF$38,$D$19),$P$20))-SUM($P59:AE59)</f>
        <v>#VALUE!</v>
      </c>
      <c r="AG59" s="446" t="e">
        <f>IF(OR($B59="",MIN(AG$38,$D$19)&lt;MAX($P$34*($B59+IF($R$17="Distrato",$I$38-1,0)),IF(AND($L$37=0,$P$34=0),"",$L$37-1),IF($R$17="Distrato",$E59,0))),0,YEARFRAC(MAX($P$34*($B59+IF($R$17="Distrato",$I$38-1,0)),IF(AND($L$37=0,$P$34=0),"",$L$37-1),IF($R$17="Distrato",$E59,0)),MIN(AG$38,$D$19),$P$20))-SUM($P59:AF59)</f>
        <v>#VALUE!</v>
      </c>
      <c r="AH59" s="446" t="e">
        <f>IF(OR($B59="",MIN(AH$38,$D$19)&lt;MAX($P$34*($B59+IF($R$17="Distrato",$I$38-1,0)),IF(AND($L$37=0,$P$34=0),"",$L$37-1),IF($R$17="Distrato",$E59,0))),0,YEARFRAC(MAX($P$34*($B59+IF($R$17="Distrato",$I$38-1,0)),IF(AND($L$37=0,$P$34=0),"",$L$37-1),IF($R$17="Distrato",$E59,0)),MIN(AH$38,$D$19),$P$20))-SUM($P59:AG59)</f>
        <v>#VALUE!</v>
      </c>
      <c r="AI59" s="446" t="e">
        <f>IF(OR($B59="",MIN(AI$38,$D$19)&lt;MAX($P$34*($B59+IF($R$17="Distrato",$I$38-1,0)),IF(AND($L$37=0,$P$34=0),"",$L$37-1),IF($R$17="Distrato",$E59,0))),0,YEARFRAC(MAX($P$34*($B59+IF($R$17="Distrato",$I$38-1,0)),IF(AND($L$37=0,$P$34=0),"",$L$37-1),IF($R$17="Distrato",$E59,0)),MIN(AI$38,$D$19),$P$20))-SUM($P59:AH59)</f>
        <v>#VALUE!</v>
      </c>
      <c r="AJ59" s="446" t="e">
        <f>IF(OR($B59="",MIN(AJ$38,$D$19)&lt;MAX($P$34*($B59+IF($R$17="Distrato",$I$38-1,0)),IF(AND($L$37=0,$P$34=0),"",$L$37-1),IF($R$17="Distrato",$E59,0))),0,YEARFRAC(MAX($P$34*($B59+IF($R$17="Distrato",$I$38-1,0)),IF(AND($L$37=0,$P$34=0),"",$L$37-1),IF($R$17="Distrato",$E59,0)),MIN(AJ$38,$D$19),$P$20))-SUM($P59:AI59)</f>
        <v>#VALUE!</v>
      </c>
      <c r="AK59" s="446" t="e">
        <f>IF(OR($B59="",MIN(AK$38,$D$19)&lt;MAX($P$34*($B59+IF($R$17="Distrato",$I$38-1,0)),IF(AND($L$37=0,$P$34=0),"",$L$37-1),IF($R$17="Distrato",$E59,0))),0,YEARFRAC(MAX($P$34*($B59+IF($R$17="Distrato",$I$38-1,0)),IF(AND($L$37=0,$P$34=0),"",$L$37-1),IF($R$17="Distrato",$E59,0)),MIN(AK$38,$D$19),$P$20))-SUM($P59:AJ59)</f>
        <v>#VALUE!</v>
      </c>
      <c r="AL59" s="446" t="e">
        <f>IF(OR($B59="",MIN(AL$38,$D$19)&lt;MAX($P$34*($B59+IF($R$17="Distrato",$I$38-1,0)),IF(AND($L$37=0,$P$34=0),"",$L$37-1),IF($R$17="Distrato",$E59,0))),0,YEARFRAC(MAX($P$34*($B59+IF($R$17="Distrato",$I$38-1,0)),IF(AND($L$37=0,$P$34=0),"",$L$37-1),IF($R$17="Distrato",$E59,0)),MIN(AL$38,$D$19),$P$20))-SUM($P59:AK59)</f>
        <v>#VALUE!</v>
      </c>
      <c r="AM59" s="446" t="e">
        <f>IF(OR($B59="",MIN(AM$38,$D$19)&lt;MAX($P$34*($B59+IF($R$17="Distrato",$I$38-1,0)),IF(AND($L$37=0,$P$34=0),"",$L$37-1),IF($R$17="Distrato",$E59,0))),0,YEARFRAC(MAX($P$34*($B59+IF($R$17="Distrato",$I$38-1,0)),IF(AND($L$37=0,$P$34=0),"",$L$37-1),IF($R$17="Distrato",$E59,0)),MIN(AM$38,$D$19),$P$20))-SUM($P59:AL59)</f>
        <v>#VALUE!</v>
      </c>
      <c r="AN59" s="446" t="e">
        <f>IF(OR($B59="",MIN(AN$38,$D$19)&lt;MAX($P$34*($B59+IF($R$17="Distrato",$I$38-1,0)),IF(AND($L$37=0,$P$34=0),"",$L$37-1),IF($R$17="Distrato",$E59,0))),0,YEARFRAC(MAX($P$34*($B59+IF($R$17="Distrato",$I$38-1,0)),IF(AND($L$37=0,$P$34=0),"",$L$37-1),IF($R$17="Distrato",$E59,0)),MIN(AN$38,$D$19),$P$20))-SUM($P59:AM59)</f>
        <v>#VALUE!</v>
      </c>
      <c r="AO59" s="446" t="e">
        <f>IF(OR($B59="",MIN(AO$38,$D$19)&lt;MAX($P$34*($B59+IF($R$17="Distrato",$I$38-1,0)),IF(AND($L$37=0,$P$34=0),"",$L$37-1),IF($R$17="Distrato",$E59,0))),0,YEARFRAC(MAX($P$34*($B59+IF($R$17="Distrato",$I$38-1,0)),IF(AND($L$37=0,$P$34=0),"",$L$37-1),IF($R$17="Distrato",$E59,0)),MIN(AO$38,$D$19),$P$20))-SUM($P59:AN59)</f>
        <v>#VALUE!</v>
      </c>
      <c r="AP59" s="446" t="e">
        <f>IF(OR($B59="",MIN(AP$38,$D$19)&lt;MAX($P$34*($B59+IF($R$17="Distrato",$I$38-1,0)),IF(AND($L$37=0,$P$34=0),"",$L$37-1),IF($R$17="Distrato",$E59,0))),0,YEARFRAC(MAX($P$34*($B59+IF($R$17="Distrato",$I$38-1,0)),IF(AND($L$37=0,$P$34=0),"",$L$37-1),IF($R$17="Distrato",$E59,0)),MIN(AP$38,$D$19),$P$20))-SUM($P59:AO59)</f>
        <v>#VALUE!</v>
      </c>
      <c r="AQ59" s="446" t="e">
        <f>IF(OR($B59="",MIN(AQ$38,$D$19)&lt;MAX($P$34*($B59+IF($R$17="Distrato",$I$38-1,0)),IF(AND($L$37=0,$P$34=0),"",$L$37-1),IF($R$17="Distrato",$E59,0))),0,YEARFRAC(MAX($P$34*($B59+IF($R$17="Distrato",$I$38-1,0)),IF(AND($L$37=0,$P$34=0),"",$L$37-1),IF($R$17="Distrato",$E59,0)),MIN(AQ$38,$D$19),$P$20))-SUM($P59:AP59)</f>
        <v>#VALUE!</v>
      </c>
      <c r="AR59" s="446" t="e">
        <f>IF(OR($B59="",MIN(AR$38,$D$19)&lt;MAX($P$34*($B59+IF($R$17="Distrato",$I$38-1,0)),IF(AND($L$37=0,$P$34=0),"",$L$37-1),IF($R$17="Distrato",$E59,0))),0,YEARFRAC(MAX($P$34*($B59+IF($R$17="Distrato",$I$38-1,0)),IF(AND($L$37=0,$P$34=0),"",$L$37-1),IF($R$17="Distrato",$E59,0)),MIN(AR$38,$D$19),$P$20))-SUM($P59:AQ59)</f>
        <v>#VALUE!</v>
      </c>
      <c r="AS59" s="446" t="e">
        <f>IF(OR($B59="",MIN(AS$38,$D$19)&lt;MAX($P$34*($B59+IF($R$17="Distrato",$I$38-1,0)),IF(AND($L$37=0,$P$34=0),"",$L$37-1),IF($R$17="Distrato",$E59,0))),0,YEARFRAC(MAX($P$34*($B59+IF($R$17="Distrato",$I$38-1,0)),IF(AND($L$37=0,$P$34=0),"",$L$37-1),IF($R$17="Distrato",$E59,0)),MIN(AS$38,$D$19),$P$20))-SUM($P59:AR59)</f>
        <v>#VALUE!</v>
      </c>
      <c r="AT59" s="446" t="e">
        <f>IF(OR($B59="",MIN(AT$38,$D$19)&lt;MAX($P$34*($B59+IF($R$17="Distrato",$I$38-1,0)),IF(AND($L$37=0,$P$34=0),"",$L$37-1),IF($R$17="Distrato",$E59,0))),0,YEARFRAC(MAX($P$34*($B59+IF($R$17="Distrato",$I$38-1,0)),IF(AND($L$37=0,$P$34=0),"",$L$37-1),IF($R$17="Distrato",$E59,0)),MIN(AT$38,$D$19),$P$20))-SUM($P59:AS59)</f>
        <v>#VALUE!</v>
      </c>
      <c r="AU59" s="446" t="e">
        <f>IF(OR($B59="",MIN(AU$38,$D$19)&lt;MAX($P$34*($B59+IF($R$17="Distrato",$I$38-1,0)),IF(AND($L$37=0,$P$34=0),"",$L$37-1),IF($R$17="Distrato",$E59,0))),0,YEARFRAC(MAX($P$34*($B59+IF($R$17="Distrato",$I$38-1,0)),IF(AND($L$37=0,$P$34=0),"",$L$37-1),IF($R$17="Distrato",$E59,0)),MIN(AU$38,$D$19),$P$20))-SUM($P59:AT59)</f>
        <v>#VALUE!</v>
      </c>
      <c r="AV59" s="446" t="e">
        <f>IF(OR($B59="",MIN(AV$38,$D$19)&lt;MAX($P$34*($B59+IF($R$17="Distrato",$I$38-1,0)),IF(AND($L$37=0,$P$34=0),"",$L$37-1),IF($R$17="Distrato",$E59,0))),0,YEARFRAC(MAX($P$34*($B59+IF($R$17="Distrato",$I$38-1,0)),IF(AND($L$37=0,$P$34=0),"",$L$37-1),IF($R$17="Distrato",$E59,0)),MIN(AV$38,$D$19),$P$20))-SUM($P59:AU59)</f>
        <v>#VALUE!</v>
      </c>
      <c r="AW59" s="446" t="e">
        <f>IF(OR($B59="",MIN(AW$38,$D$19)&lt;MAX($P$34*($B59+IF($R$17="Distrato",$I$38-1,0)),IF(AND($L$37=0,$P$34=0),"",$L$37-1),IF($R$17="Distrato",$E59,0))),0,YEARFRAC(MAX($P$34*($B59+IF($R$17="Distrato",$I$38-1,0)),IF(AND($L$37=0,$P$34=0),"",$L$37-1),IF($R$17="Distrato",$E59,0)),MIN(AW$38,$D$19),$P$20))-SUM($P59:AV59)</f>
        <v>#VALUE!</v>
      </c>
      <c r="AX59" s="446" t="e">
        <f>IF(OR($B59="",MIN(AX$38,$D$19)&lt;MAX($P$34*($B59+IF($R$17="Distrato",$I$38-1,0)),IF(AND($L$37=0,$P$34=0),"",$L$37-1),IF($R$17="Distrato",$E59,0))),0,YEARFRAC(MAX($P$34*($B59+IF($R$17="Distrato",$I$38-1,0)),IF(AND($L$37=0,$P$34=0),"",$L$37-1),IF($R$17="Distrato",$E59,0)),MIN(AX$38,$D$19),$P$20))-SUM($P59:AW59)</f>
        <v>#VALUE!</v>
      </c>
      <c r="AY59" s="446" t="e">
        <f>IF(OR($B59="",MIN(AY$38,$D$19)&lt;MAX($P$34*($B59+IF($R$17="Distrato",$I$38-1,0)),IF(AND($L$37=0,$P$34=0),"",$L$37-1),IF($R$17="Distrato",$E59,0))),0,YEARFRAC(MAX($P$34*($B59+IF($R$17="Distrato",$I$38-1,0)),IF(AND($L$37=0,$P$34=0),"",$L$37-1),IF($R$17="Distrato",$E59,0)),MIN(AY$38,$D$19),$P$20))-SUM($P59:AX59)</f>
        <v>#VALUE!</v>
      </c>
      <c r="AZ59" s="446" t="e">
        <f>IF(OR($B59="",MIN(AZ$38,$D$19)&lt;MAX($P$34*($B59+IF($R$17="Distrato",$I$38-1,0)),IF(AND($L$37=0,$P$34=0),"",$L$37-1),IF($R$17="Distrato",$E59,0))),0,YEARFRAC(MAX($P$34*($B59+IF($R$17="Distrato",$I$38-1,0)),IF(AND($L$37=0,$P$34=0),"",$L$37-1),IF($R$17="Distrato",$E59,0)),MIN(AZ$38,$D$19),$P$20))-SUM($P59:AY59)</f>
        <v>#VALUE!</v>
      </c>
      <c r="BA59" s="446" t="e">
        <f>IF(OR($B59="",MIN(BA$38,$D$19)&lt;MAX($P$34*($B59+IF($R$17="Distrato",$I$38-1,0)),IF(AND($L$37=0,$P$34=0),"",$L$37-1),IF($R$17="Distrato",$E59,0))),0,YEARFRAC(MAX($P$34*($B59+IF($R$17="Distrato",$I$38-1,0)),IF(AND($L$37=0,$P$34=0),"",$L$37-1),IF($R$17="Distrato",$E59,0)),MIN(BA$38,$D$19),$P$20))-SUM($P59:AZ59)</f>
        <v>#VALUE!</v>
      </c>
      <c r="BB59" s="447"/>
      <c r="BF59" s="446">
        <f t="shared" si="10"/>
        <v>0</v>
      </c>
      <c r="BG59" s="446">
        <f>IF($E59=0,0,IF(MIN(BG$38,$E59)&lt;MAX($P$34*($B59+$I$38-1),IF(AND($L$37=0,$P$34=0),"",$L$37-1)),0,YEARFRAC(MAX($P$34*($B59+$I$38-1),IF(AND($L$37=0,$P$34=0),"",$L$37-1)),MIN(BG$38,$E59),$P$20))-SUM($BF59:BF59))</f>
        <v>0</v>
      </c>
      <c r="BH59" s="446">
        <f>IF($E59=0,0,IF(MIN(BH$38,$E59)&lt;MAX($P$34*($B59+$I$38-1),IF(AND($L$37=0,$P$34=0),"",$L$37-1)),0,YEARFRAC(MAX($P$34*($B59+$I$38-1),IF(AND($L$37=0,$P$34=0),"",$L$37-1)),MIN(BH$38,$E59),$P$20))-SUM($BF59:BG59))</f>
        <v>0</v>
      </c>
      <c r="BI59" s="446">
        <f>IF($E59=0,0,IF(MIN(BI$38,$E59)&lt;MAX($P$34*($B59+$I$38-1),IF(AND($L$37=0,$P$34=0),"",$L$37-1)),0,YEARFRAC(MAX($P$34*($B59+$I$38-1),IF(AND($L$37=0,$P$34=0),"",$L$37-1)),MIN(BI$38,$E59),$P$20))-SUM($BF59:BH59))</f>
        <v>0</v>
      </c>
      <c r="BJ59" s="446">
        <f>IF($E59=0,0,IF(MIN(BJ$38,$E59)&lt;MAX($P$34*($B59+$I$38-1),IF(AND($L$37=0,$P$34=0),"",$L$37-1)),0,YEARFRAC(MAX($P$34*($B59+$I$38-1),IF(AND($L$37=0,$P$34=0),"",$L$37-1)),MIN(BJ$38,$E59),$P$20))-SUM($BF59:BI59))</f>
        <v>0</v>
      </c>
      <c r="BK59" s="446">
        <f>IF($E59=0,0,IF(MIN(BK$38,$E59)&lt;MAX($P$34*($B59+$I$38-1),IF(AND($L$37=0,$P$34=0),"",$L$37-1)),0,YEARFRAC(MAX($P$34*($B59+$I$38-1),IF(AND($L$37=0,$P$34=0),"",$L$37-1)),MIN(BK$38,$E59),$P$20))-SUM($BF59:BJ59))</f>
        <v>0</v>
      </c>
      <c r="BL59" s="446">
        <f>IF($E59=0,0,IF(MIN(BL$38,$E59)&lt;MAX($P$34*($B59+$I$38-1),IF(AND($L$37=0,$P$34=0),"",$L$37-1)),0,YEARFRAC(MAX($P$34*($B59+$I$38-1),IF(AND($L$37=0,$P$34=0),"",$L$37-1)),MIN(BL$38,$E59),$P$20))-SUM($BF59:BK59))</f>
        <v>0</v>
      </c>
      <c r="BM59" s="446">
        <f>IF($E59=0,0,IF(MIN(BM$38,$E59)&lt;MAX($P$34*($B59+$I$38-1),IF(AND($L$37=0,$P$34=0),"",$L$37-1)),0,YEARFRAC(MAX($P$34*($B59+$I$38-1),IF(AND($L$37=0,$P$34=0),"",$L$37-1)),MIN(BM$38,$E59),$P$20))-SUM($BF59:BL59))</f>
        <v>0</v>
      </c>
      <c r="BN59" s="446">
        <f>IF($E59=0,0,IF(MIN(BN$38,$E59)&lt;MAX($P$34*($B59+$I$38-1),IF(AND($L$37=0,$P$34=0),"",$L$37-1)),0,YEARFRAC(MAX($P$34*($B59+$I$38-1),IF(AND($L$37=0,$P$34=0),"",$L$37-1)),MIN(BN$38,$E59),$P$20))-SUM($BF59:BM59))</f>
        <v>0</v>
      </c>
      <c r="BO59" s="446">
        <f>IF($E59=0,0,IF(MIN(BO$38,$E59)&lt;MAX($P$34*($B59+$I$38-1),IF(AND($L$37=0,$P$34=0),"",$L$37-1)),0,YEARFRAC(MAX($P$34*($B59+$I$38-1),IF(AND($L$37=0,$P$34=0),"",$L$37-1)),MIN(BO$38,$E59),$P$20))-SUM($BF59:BN59))</f>
        <v>0</v>
      </c>
      <c r="BP59" s="446">
        <f>IF($E59=0,0,IF(MIN(BP$38,$E59)&lt;MAX($P$34*($B59+$I$38-1),IF(AND($L$37=0,$P$34=0),"",$L$37-1)),0,YEARFRAC(MAX($P$34*($B59+$I$38-1),IF(AND($L$37=0,$P$34=0),"",$L$37-1)),MIN(BP$38,$E59),$P$20))-SUM($BF59:BO59))</f>
        <v>0</v>
      </c>
      <c r="BQ59" s="446">
        <f>IF($E59=0,0,IF(MIN(BQ$38,$E59)&lt;MAX($P$34*($B59+$I$38-1),IF(AND($L$37=0,$P$34=0),"",$L$37-1)),0,YEARFRAC(MAX($P$34*($B59+$I$38-1),IF(AND($L$37=0,$P$34=0),"",$L$37-1)),MIN(BQ$38,$E59),$P$20))-SUM($BF59:BP59))</f>
        <v>0</v>
      </c>
      <c r="BR59" s="446">
        <f>IF($E59=0,0,IF(MIN(BR$38,$E59)&lt;MAX($P$34*($B59+$I$38-1),IF(AND($L$37=0,$P$34=0),"",$L$37-1)),0,YEARFRAC(MAX($P$34*($B59+$I$38-1),IF(AND($L$37=0,$P$34=0),"",$L$37-1)),MIN(BR$38,$E59),$P$20))-SUM($BF59:BQ59))</f>
        <v>0</v>
      </c>
      <c r="BS59" s="446">
        <f>IF($E59=0,0,IF(MIN(BS$38,$E59)&lt;MAX($P$34*($B59+$I$38-1),IF(AND($L$37=0,$P$34=0),"",$L$37-1)),0,YEARFRAC(MAX($P$34*($B59+$I$38-1),IF(AND($L$37=0,$P$34=0),"",$L$37-1)),MIN(BS$38,$E59),$P$20))-SUM($BF59:BR59))</f>
        <v>0</v>
      </c>
      <c r="BT59" s="446">
        <f>IF($E59=0,0,IF(MIN(BT$38,$E59)&lt;MAX($P$34*($B59+$I$38-1),IF(AND($L$37=0,$P$34=0),"",$L$37-1)),0,YEARFRAC(MAX($P$34*($B59+$I$38-1),IF(AND($L$37=0,$P$34=0),"",$L$37-1)),MIN(BT$38,$E59),$P$20))-SUM($BF59:BS59))</f>
        <v>0</v>
      </c>
      <c r="BU59" s="446">
        <f>IF($E59=0,0,IF(MIN(BU$38,$E59)&lt;MAX($P$34*($B59+$I$38-1),IF(AND($L$37=0,$P$34=0),"",$L$37-1)),0,YEARFRAC(MAX($P$34*($B59+$I$38-1),IF(AND($L$37=0,$P$34=0),"",$L$37-1)),MIN(BU$38,$E59),$P$20))-SUM($BF59:BT59))</f>
        <v>0</v>
      </c>
      <c r="BV59" s="446">
        <f>IF($E59=0,0,IF(MIN(BV$38,$E59)&lt;MAX($P$34*($B59+$I$38-1),IF(AND($L$37=0,$P$34=0),"",$L$37-1)),0,YEARFRAC(MAX($P$34*($B59+$I$38-1),IF(AND($L$37=0,$P$34=0),"",$L$37-1)),MIN(BV$38,$E59),$P$20))-SUM($BF59:BU59))</f>
        <v>0</v>
      </c>
      <c r="BW59" s="446">
        <f>IF($E59=0,0,IF(MIN(BW$38,$E59)&lt;MAX($P$34*($B59+$I$38-1),IF(AND($L$37=0,$P$34=0),"",$L$37-1)),0,YEARFRAC(MAX($P$34*($B59+$I$38-1),IF(AND($L$37=0,$P$34=0),"",$L$37-1)),MIN(BW$38,$E59),$P$20))-SUM($BF59:BV59))</f>
        <v>0</v>
      </c>
      <c r="BX59" s="446">
        <f>IF($E59=0,0,IF(MIN(BX$38,$E59)&lt;MAX($P$34*($B59+$I$38-1),IF(AND($L$37=0,$P$34=0),"",$L$37-1)),0,YEARFRAC(MAX($P$34*($B59+$I$38-1),IF(AND($L$37=0,$P$34=0),"",$L$37-1)),MIN(BX$38,$E59),$P$20))-SUM($BF59:BW59))</f>
        <v>0</v>
      </c>
      <c r="BY59" s="446">
        <f>IF($E59=0,0,IF(MIN(BY$38,$E59)&lt;MAX($P$34*($B59+$I$38-1),IF(AND($L$37=0,$P$34=0),"",$L$37-1)),0,YEARFRAC(MAX($P$34*($B59+$I$38-1),IF(AND($L$37=0,$P$34=0),"",$L$37-1)),MIN(BY$38,$E59),$P$20))-SUM($BF59:BX59))</f>
        <v>0</v>
      </c>
      <c r="BZ59" s="446">
        <f>IF($E59=0,0,IF(MIN(BZ$38,$E59)&lt;MAX($P$34*($B59+$I$38-1),IF(AND($L$37=0,$P$34=0),"",$L$37-1)),0,YEARFRAC(MAX($P$34*($B59+$I$38-1),IF(AND($L$37=0,$P$34=0),"",$L$37-1)),MIN(BZ$38,$E59),$P$20))-SUM($BF59:BY59))</f>
        <v>0</v>
      </c>
      <c r="CA59" s="446">
        <f>IF($E59=0,0,IF(MIN(CA$38,$E59)&lt;MAX($P$34*($B59+$I$38-1),IF(AND($L$37=0,$P$34=0),"",$L$37-1)),0,YEARFRAC(MAX($P$34*($B59+$I$38-1),IF(AND($L$37=0,$P$34=0),"",$L$37-1)),MIN(CA$38,$E59),$P$20))-SUM($BF59:BZ59))</f>
        <v>0</v>
      </c>
      <c r="CB59" s="446">
        <f>IF($E59=0,0,IF(MIN(CB$38,$E59)&lt;MAX($P$34*($B59+$I$38-1),IF(AND($L$37=0,$P$34=0),"",$L$37-1)),0,YEARFRAC(MAX($P$34*($B59+$I$38-1),IF(AND($L$37=0,$P$34=0),"",$L$37-1)),MIN(CB$38,$E59),$P$20))-SUM($BF59:CA59))</f>
        <v>0</v>
      </c>
      <c r="CC59" s="446">
        <f>IF($E59=0,0,IF(MIN(CC$38,$E59)&lt;MAX($P$34*($B59+$I$38-1),IF(AND($L$37=0,$P$34=0),"",$L$37-1)),0,YEARFRAC(MAX($P$34*($B59+$I$38-1),IF(AND($L$37=0,$P$34=0),"",$L$37-1)),MIN(CC$38,$E59),$P$20))-SUM($BF59:CB59))</f>
        <v>0</v>
      </c>
      <c r="CD59" s="446">
        <f>IF($E59=0,0,IF(MIN(CD$38,$E59)&lt;MAX($P$34*($B59+$I$38-1),IF(AND($L$37=0,$P$34=0),"",$L$37-1)),0,YEARFRAC(MAX($P$34*($B59+$I$38-1),IF(AND($L$37=0,$P$34=0),"",$L$37-1)),MIN(CD$38,$E59),$P$20))-SUM($BF59:CC59))</f>
        <v>0</v>
      </c>
      <c r="CE59" s="446">
        <f>IF($E59=0,0,IF(MIN(CE$38,$E59)&lt;MAX($P$34*($B59+$I$38-1),IF(AND($L$37=0,$P$34=0),"",$L$37-1)),0,YEARFRAC(MAX($P$34*($B59+$I$38-1),IF(AND($L$37=0,$P$34=0),"",$L$37-1)),MIN(CE$38,$E59),$P$20))-SUM($BF59:CD59))</f>
        <v>0</v>
      </c>
      <c r="CF59" s="446">
        <f>IF($E59=0,0,IF(MIN(CF$38,$E59)&lt;MAX($P$34*($B59+$I$38-1),IF(AND($L$37=0,$P$34=0),"",$L$37-1)),0,YEARFRAC(MAX($P$34*($B59+$I$38-1),IF(AND($L$37=0,$P$34=0),"",$L$37-1)),MIN(CF$38,$E59),$P$20))-SUM($BF59:CE59))</f>
        <v>0</v>
      </c>
      <c r="CG59" s="446">
        <f>IF($E59=0,0,IF(MIN(CG$38,$E59)&lt;MAX($P$34*($B59+$I$38-1),IF(AND($L$37=0,$P$34=0),"",$L$37-1)),0,YEARFRAC(MAX($P$34*($B59+$I$38-1),IF(AND($L$37=0,$P$34=0),"",$L$37-1)),MIN(CG$38,$E59),$P$20))-SUM($BF59:CF59))</f>
        <v>0</v>
      </c>
      <c r="CH59" s="446">
        <f>IF($E59=0,0,IF(MIN(CH$38,$E59)&lt;MAX($P$34*($B59+$I$38-1),IF(AND($L$37=0,$P$34=0),"",$L$37-1)),0,YEARFRAC(MAX($P$34*($B59+$I$38-1),IF(AND($L$37=0,$P$34=0),"",$L$37-1)),MIN(CH$38,$E59),$P$20))-SUM($BF59:CG59))</f>
        <v>0</v>
      </c>
      <c r="CI59" s="446">
        <f>IF($E59=0,0,IF(MIN(CI$38,$E59)&lt;MAX($P$34*($B59+$I$38-1),IF(AND($L$37=0,$P$34=0),"",$L$37-1)),0,YEARFRAC(MAX($P$34*($B59+$I$38-1),IF(AND($L$37=0,$P$34=0),"",$L$37-1)),MIN(CI$38,$E59),$P$20))-SUM($BF59:CH59))</f>
        <v>0</v>
      </c>
      <c r="CJ59" s="446">
        <f>IF($E59=0,0,IF(MIN(CJ$38,$E59)&lt;MAX($P$34*($B59+$I$38-1),IF(AND($L$37=0,$P$34=0),"",$L$37-1)),0,YEARFRAC(MAX($P$34*($B59+$I$38-1),IF(AND($L$37=0,$P$34=0),"",$L$37-1)),MIN(CJ$38,$E59),$P$20))-SUM($BF59:CI59))</f>
        <v>0</v>
      </c>
      <c r="CK59" s="446">
        <f>IF($E59=0,0,IF(MIN(CK$38,$E59)&lt;MAX($P$34*($B59+$I$38-1),IF(AND($L$37=0,$P$34=0),"",$L$37-1)),0,YEARFRAC(MAX($P$34*($B59+$I$38-1),IF(AND($L$37=0,$P$34=0),"",$L$37-1)),MIN(CK$38,$E59),$P$20))-SUM($BF59:CJ59))</f>
        <v>0</v>
      </c>
      <c r="CL59" s="446">
        <f>IF($E59=0,0,IF(MIN(CL$38,$E59)&lt;MAX($P$34*($B59+$I$38-1),IF(AND($L$37=0,$P$34=0),"",$L$37-1)),0,YEARFRAC(MAX($P$34*($B59+$I$38-1),IF(AND($L$37=0,$P$34=0),"",$L$37-1)),MIN(CL$38,$E59),$P$20))-SUM($BF59:CK59))</f>
        <v>0</v>
      </c>
      <c r="CM59" s="446">
        <f>IF($E59=0,0,IF(MIN(CM$38,$E59)&lt;MAX($P$34*($B59+$I$38-1),IF(AND($L$37=0,$P$34=0),"",$L$37-1)),0,YEARFRAC(MAX($P$34*($B59+$I$38-1),IF(AND($L$37=0,$P$34=0),"",$L$37-1)),MIN(CM$38,$E59),$P$20))-SUM($BF59:CL59))</f>
        <v>0</v>
      </c>
      <c r="CN59" s="446">
        <f>IF($E59=0,0,IF(MIN(CN$38,$E59)&lt;MAX($P$34*($B59+$I$38-1),IF(AND($L$37=0,$P$34=0),"",$L$37-1)),0,YEARFRAC(MAX($P$34*($B59+$I$38-1),IF(AND($L$37=0,$P$34=0),"",$L$37-1)),MIN(CN$38,$E59),$P$20))-SUM($BF59:CM59))</f>
        <v>0</v>
      </c>
      <c r="CO59" s="446">
        <f>IF($E59=0,0,IF(MIN(CO$38,$E59)&lt;MAX($P$34*($B59+$I$38-1),IF(AND($L$37=0,$P$34=0),"",$L$37-1)),0,YEARFRAC(MAX($P$34*($B59+$I$38-1),IF(AND($L$37=0,$P$34=0),"",$L$37-1)),MIN(CO$38,$E59),$P$20))-SUM($BF59:CN59))</f>
        <v>0</v>
      </c>
      <c r="CP59" s="446">
        <f>IF($E59=0,0,IF(MIN(CP$38,$E59)&lt;MAX($P$34*($B59+$I$38-1),IF(AND($L$37=0,$P$34=0),"",$L$37-1)),0,YEARFRAC(MAX($P$34*($B59+$I$38-1),IF(AND($L$37=0,$P$34=0),"",$L$37-1)),MIN(CP$38,$E59),$P$20))-SUM($BF59:CO59))</f>
        <v>0</v>
      </c>
      <c r="CQ59" s="446">
        <f>IF($E59=0,0,IF(MIN(CQ$38,$E59)&lt;MAX($P$34*($B59+$I$38-1),IF(AND($L$37=0,$P$34=0),"",$L$37-1)),0,YEARFRAC(MAX($P$34*($B59+$I$38-1),IF(AND($L$37=0,$P$34=0),"",$L$37-1)),MIN(CQ$38,$E59),$P$20))-SUM($BF59:CP59))</f>
        <v>0</v>
      </c>
    </row>
    <row r="60" spans="1:95" s="446" customFormat="1" ht="11.25" hidden="1" customHeight="1" x14ac:dyDescent="0.2">
      <c r="A60" s="152"/>
      <c r="B60" s="153" t="str">
        <f t="shared" si="15"/>
        <v/>
      </c>
      <c r="C60" s="29" t="str">
        <f>IF(B60="","",IF($L$35="SELIC - TRIBUTOS",VLOOKUP(DATE(YEAR($D$19),MONTH($D$19)-1,1),ÍNDICES!$A:$DE,HLOOKUP($BL$25,ÍNDICES!$B$3:$T$4,2)+11)-VLOOKUP(B60,ÍNDICES!$A:$DE,HLOOKUP($BL$25,ÍNDICES!$B$3:$T$4,2)+11)+1%,IF(C$38=$W$26,$J$35,IF(ISERROR(IF(B60&gt;$D$19,1,VLOOKUP(DATE(YEAR(B60),MONTH(B60)+IF($C$35=$S$23,1,0),1),ÍNDICES!$A:$DE,$Z$35+1))),"",IF(B60&gt;$D$19,1,VLOOKUP(DATE(YEAR(B60),MONTH(B60)+IF($C$35=$S$23,1,0),1),ÍNDICES!$A:$DE,$Z$35+1))))))</f>
        <v/>
      </c>
      <c r="D60" s="154" t="str">
        <f>IF(ISERROR(IF(OR($D$38=$Y$27,$B60=""),"",VLOOKUP(B60,ÍNDICES!A:DE,AF$35+1))),"",IF(OR($D$38=$Y$27,$B60=""),"",VLOOKUP(B60,ÍNDICES!A:DE,AF$35+1)))</f>
        <v/>
      </c>
      <c r="E60" s="153"/>
      <c r="F60" s="29" t="str">
        <f>IF(E60="","",IF($L$35="SELIC - TRIBUTOS",VLOOKUP(DATE(YEAR($D$19),MONTH($D$19)-1,1),ÍNDICES!$A:$DE,HLOOKUP($BL$25,ÍNDICES!$B$3:$T$4,2)+11)-VLOOKUP(E60,ÍNDICES!$A:$DE,HLOOKUP($BL$25,ÍNDICES!$B$3:$T$4,2)+11)+1%,IF(F$38=$W$26,$J$35,IF(ISERROR(IF(E60&gt;$D$19,1,VLOOKUP(DATE(YEAR(E60),MONTH(E60)+IF($C$35=$S$23,1,0),1),ÍNDICES!$A:$DE,$Z$35+1))),"",IF(E60&gt;$D$19,1,VLOOKUP(DATE(YEAR(E60),MONTH(E60)+IF($C$35=$S$23,1,0),1),ÍNDICES!$A:$DE,$Z$35+1))))))</f>
        <v/>
      </c>
      <c r="G60" s="155"/>
      <c r="H60" s="156" t="str">
        <f t="shared" si="11"/>
        <v/>
      </c>
      <c r="I60" s="29" t="str">
        <f t="shared" si="5"/>
        <v/>
      </c>
      <c r="J60" s="5">
        <f t="shared" si="6"/>
        <v>0</v>
      </c>
      <c r="K60" s="20">
        <f t="shared" ca="1" si="7"/>
        <v>0</v>
      </c>
      <c r="L60" s="5">
        <f t="shared" ca="1" si="8"/>
        <v>0</v>
      </c>
      <c r="M60" s="64">
        <f t="shared" si="12"/>
        <v>0</v>
      </c>
      <c r="N60" s="61">
        <f t="shared" ca="1" si="13"/>
        <v>0</v>
      </c>
      <c r="O60" s="5">
        <f t="shared" ca="1" si="14"/>
        <v>0</v>
      </c>
      <c r="P60" s="446" t="e">
        <f t="shared" si="9"/>
        <v>#VALUE!</v>
      </c>
      <c r="Q60" s="446" t="e">
        <f>IF(OR($B60="",MIN(Q$38,$D$19)&lt;MAX($P$34*($B60+IF($R$17="Distrato",$I$38-1,0)),IF(AND($L$37=0,$P$34=0),"",$L$37-1),IF($R$17="Distrato",$E60,0))),0,YEARFRAC(MAX($P$34*($B60+IF($R$17="Distrato",$I$38-1,0)),IF(AND($L$37=0,$P$34=0),"",$L$37-1),IF($R$17="Distrato",$E60,0)),MIN(Q$38,$D$19),$P$20))-SUM($P60:P60)</f>
        <v>#VALUE!</v>
      </c>
      <c r="R60" s="446" t="e">
        <f>IF(OR($B60="",MIN(R$38,$D$19)&lt;MAX($P$34*($B60+IF($R$17="Distrato",$I$38-1,0)),IF(AND($L$37=0,$P$34=0),"",$L$37-1),IF($R$17="Distrato",$E60,0))),0,YEARFRAC(MAX($P$34*($B60+IF($R$17="Distrato",$I$38-1,0)),IF(AND($L$37=0,$P$34=0),"",$L$37-1),IF($R$17="Distrato",$E60,0)),MIN(R$38,$D$19),$P$20))-SUM($P60:Q60)</f>
        <v>#VALUE!</v>
      </c>
      <c r="S60" s="446" t="e">
        <f>IF(OR($B60="",MIN(S$38,$D$19)&lt;MAX($P$34*($B60+IF($R$17="Distrato",$I$38-1,0)),IF(AND($L$37=0,$P$34=0),"",$L$37-1),IF($R$17="Distrato",$E60,0))),0,YEARFRAC(MAX($P$34*($B60+IF($R$17="Distrato",$I$38-1,0)),IF(AND($L$37=0,$P$34=0),"",$L$37-1),IF($R$17="Distrato",$E60,0)),MIN(S$38,$D$19),$P$20))-SUM($P60:R60)</f>
        <v>#VALUE!</v>
      </c>
      <c r="T60" s="446" t="e">
        <f>IF(OR($B60="",MIN(T$38,$D$19)&lt;MAX($P$34*($B60+IF($R$17="Distrato",$I$38-1,0)),IF(AND($L$37=0,$P$34=0),"",$L$37-1),IF($R$17="Distrato",$E60,0))),0,YEARFRAC(MAX($P$34*($B60+IF($R$17="Distrato",$I$38-1,0)),IF(AND($L$37=0,$P$34=0),"",$L$37-1),IF($R$17="Distrato",$E60,0)),MIN(T$38,$D$19),$P$20))-SUM($P60:S60)</f>
        <v>#VALUE!</v>
      </c>
      <c r="U60" s="446" t="e">
        <f>IF(OR($B60="",MIN(U$38,$D$19)&lt;MAX($P$34*($B60+IF($R$17="Distrato",$I$38-1,0)),IF(AND($L$37=0,$P$34=0),"",$L$37-1),IF($R$17="Distrato",$E60,0))),0,YEARFRAC(MAX($P$34*($B60+IF($R$17="Distrato",$I$38-1,0)),IF(AND($L$37=0,$P$34=0),"",$L$37-1),IF($R$17="Distrato",$E60,0)),MIN(U$38,$D$19),$P$20))-SUM($P60:T60)</f>
        <v>#VALUE!</v>
      </c>
      <c r="V60" s="446" t="e">
        <f>IF(OR($B60="",MIN(V$38,$D$19)&lt;MAX($P$34*($B60+IF($R$17="Distrato",$I$38-1,0)),IF(AND($L$37=0,$P$34=0),"",$L$37-1),IF($R$17="Distrato",$E60,0))),0,YEARFRAC(MAX($P$34*($B60+IF($R$17="Distrato",$I$38-1,0)),IF(AND($L$37=0,$P$34=0),"",$L$37-1),IF($R$17="Distrato",$E60,0)),MIN(V$38,$D$19),$P$20))-SUM($P60:U60)</f>
        <v>#VALUE!</v>
      </c>
      <c r="W60" s="446" t="e">
        <f>IF(OR($B60="",MIN(W$38,$D$19)&lt;MAX($P$34*($B60+IF($R$17="Distrato",$I$38-1,0)),IF(AND($L$37=0,$P$34=0),"",$L$37-1),IF($R$17="Distrato",$E60,0))),0,YEARFRAC(MAX($P$34*($B60+IF($R$17="Distrato",$I$38-1,0)),IF(AND($L$37=0,$P$34=0),"",$L$37-1),IF($R$17="Distrato",$E60,0)),MIN(W$38,$D$19),$P$20))-SUM($P60:V60)</f>
        <v>#VALUE!</v>
      </c>
      <c r="X60" s="446" t="e">
        <f>IF(OR($B60="",MIN(X$38,$D$19)&lt;MAX($P$34*($B60+IF($R$17="Distrato",$I$38-1,0)),IF(AND($L$37=0,$P$34=0),"",$L$37-1),IF($R$17="Distrato",$E60,0))),0,YEARFRAC(MAX($P$34*($B60+IF($R$17="Distrato",$I$38-1,0)),IF(AND($L$37=0,$P$34=0),"",$L$37-1),IF($R$17="Distrato",$E60,0)),MIN(X$38,$D$19),$P$20))-SUM($P60:W60)</f>
        <v>#VALUE!</v>
      </c>
      <c r="Y60" s="446" t="e">
        <f>IF(OR($B60="",MIN(Y$38,$D$19)&lt;MAX($P$34*($B60+IF($R$17="Distrato",$I$38-1,0)),IF(AND($L$37=0,$P$34=0),"",$L$37-1),IF($R$17="Distrato",$E60,0))),0,YEARFRAC(MAX($P$34*($B60+IF($R$17="Distrato",$I$38-1,0)),IF(AND($L$37=0,$P$34=0),"",$L$37-1),IF($R$17="Distrato",$E60,0)),MIN(Y$38,$D$19),$P$20))-SUM($P60:X60)</f>
        <v>#VALUE!</v>
      </c>
      <c r="Z60" s="446" t="e">
        <f>IF(OR($B60="",MIN(Z$38,$D$19)&lt;MAX($P$34*($B60+IF($R$17="Distrato",$I$38-1,0)),IF(AND($L$37=0,$P$34=0),"",$L$37-1),IF($R$17="Distrato",$E60,0))),0,YEARFRAC(MAX($P$34*($B60+IF($R$17="Distrato",$I$38-1,0)),IF(AND($L$37=0,$P$34=0),"",$L$37-1),IF($R$17="Distrato",$E60,0)),MIN(Z$38,$D$19),$P$20))-SUM($P60:Y60)</f>
        <v>#VALUE!</v>
      </c>
      <c r="AA60" s="446" t="e">
        <f>IF(OR($B60="",MIN(AA$38,$D$19)&lt;MAX($P$34*($B60+IF($R$17="Distrato",$I$38-1,0)),IF(AND($L$37=0,$P$34=0),"",$L$37-1),IF($R$17="Distrato",$E60,0))),0,YEARFRAC(MAX($P$34*($B60+IF($R$17="Distrato",$I$38-1,0)),IF(AND($L$37=0,$P$34=0),"",$L$37-1),IF($R$17="Distrato",$E60,0)),MIN(AA$38,$D$19),$P$20))-SUM($P60:Z60)</f>
        <v>#VALUE!</v>
      </c>
      <c r="AB60" s="446" t="e">
        <f>IF(OR($B60="",MIN(AB$38,$D$19)&lt;MAX($P$34*($B60+IF($R$17="Distrato",$I$38-1,0)),IF(AND($L$37=0,$P$34=0),"",$L$37-1),IF($R$17="Distrato",$E60,0))),0,YEARFRAC(MAX($P$34*($B60+IF($R$17="Distrato",$I$38-1,0)),IF(AND($L$37=0,$P$34=0),"",$L$37-1),IF($R$17="Distrato",$E60,0)),MIN(AB$38,$D$19),$P$20))-SUM($P60:AA60)</f>
        <v>#VALUE!</v>
      </c>
      <c r="AC60" s="446" t="e">
        <f>IF(OR($B60="",MIN(AC$38,$D$19)&lt;MAX($P$34*($B60+IF($R$17="Distrato",$I$38-1,0)),IF(AND($L$37=0,$P$34=0),"",$L$37-1),IF($R$17="Distrato",$E60,0))),0,YEARFRAC(MAX($P$34*($B60+IF($R$17="Distrato",$I$38-1,0)),IF(AND($L$37=0,$P$34=0),"",$L$37-1),IF($R$17="Distrato",$E60,0)),MIN(AC$38,$D$19),$P$20))-SUM($P60:AB60)</f>
        <v>#VALUE!</v>
      </c>
      <c r="AD60" s="446" t="e">
        <f>IF(OR($B60="",MIN(AD$38,$D$19)&lt;MAX($P$34*($B60+IF($R$17="Distrato",$I$38-1,0)),IF(AND($L$37=0,$P$34=0),"",$L$37-1),IF($R$17="Distrato",$E60,0))),0,YEARFRAC(MAX($P$34*($B60+IF($R$17="Distrato",$I$38-1,0)),IF(AND($L$37=0,$P$34=0),"",$L$37-1),IF($R$17="Distrato",$E60,0)),MIN(AD$38,$D$19),$P$20))-SUM($P60:AC60)</f>
        <v>#VALUE!</v>
      </c>
      <c r="AE60" s="446" t="e">
        <f>IF(OR($B60="",MIN(AE$38,$D$19)&lt;MAX($P$34*($B60+IF($R$17="Distrato",$I$38-1,0)),IF(AND($L$37=0,$P$34=0),"",$L$37-1),IF($R$17="Distrato",$E60,0))),0,YEARFRAC(MAX($P$34*($B60+IF($R$17="Distrato",$I$38-1,0)),IF(AND($L$37=0,$P$34=0),"",$L$37-1),IF($R$17="Distrato",$E60,0)),MIN(AE$38,$D$19),$P$20))-SUM($P60:AD60)</f>
        <v>#VALUE!</v>
      </c>
      <c r="AF60" s="446" t="e">
        <f>IF(OR($B60="",MIN(AF$38,$D$19)&lt;MAX($P$34*($B60+IF($R$17="Distrato",$I$38-1,0)),IF(AND($L$37=0,$P$34=0),"",$L$37-1),IF($R$17="Distrato",$E60,0))),0,YEARFRAC(MAX($P$34*($B60+IF($R$17="Distrato",$I$38-1,0)),IF(AND($L$37=0,$P$34=0),"",$L$37-1),IF($R$17="Distrato",$E60,0)),MIN(AF$38,$D$19),$P$20))-SUM($P60:AE60)</f>
        <v>#VALUE!</v>
      </c>
      <c r="AG60" s="446" t="e">
        <f>IF(OR($B60="",MIN(AG$38,$D$19)&lt;MAX($P$34*($B60+IF($R$17="Distrato",$I$38-1,0)),IF(AND($L$37=0,$P$34=0),"",$L$37-1),IF($R$17="Distrato",$E60,0))),0,YEARFRAC(MAX($P$34*($B60+IF($R$17="Distrato",$I$38-1,0)),IF(AND($L$37=0,$P$34=0),"",$L$37-1),IF($R$17="Distrato",$E60,0)),MIN(AG$38,$D$19),$P$20))-SUM($P60:AF60)</f>
        <v>#VALUE!</v>
      </c>
      <c r="AH60" s="446" t="e">
        <f>IF(OR($B60="",MIN(AH$38,$D$19)&lt;MAX($P$34*($B60+IF($R$17="Distrato",$I$38-1,0)),IF(AND($L$37=0,$P$34=0),"",$L$37-1),IF($R$17="Distrato",$E60,0))),0,YEARFRAC(MAX($P$34*($B60+IF($R$17="Distrato",$I$38-1,0)),IF(AND($L$37=0,$P$34=0),"",$L$37-1),IF($R$17="Distrato",$E60,0)),MIN(AH$38,$D$19),$P$20))-SUM($P60:AG60)</f>
        <v>#VALUE!</v>
      </c>
      <c r="AI60" s="446" t="e">
        <f>IF(OR($B60="",MIN(AI$38,$D$19)&lt;MAX($P$34*($B60+IF($R$17="Distrato",$I$38-1,0)),IF(AND($L$37=0,$P$34=0),"",$L$37-1),IF($R$17="Distrato",$E60,0))),0,YEARFRAC(MAX($P$34*($B60+IF($R$17="Distrato",$I$38-1,0)),IF(AND($L$37=0,$P$34=0),"",$L$37-1),IF($R$17="Distrato",$E60,0)),MIN(AI$38,$D$19),$P$20))-SUM($P60:AH60)</f>
        <v>#VALUE!</v>
      </c>
      <c r="AJ60" s="446" t="e">
        <f>IF(OR($B60="",MIN(AJ$38,$D$19)&lt;MAX($P$34*($B60+IF($R$17="Distrato",$I$38-1,0)),IF(AND($L$37=0,$P$34=0),"",$L$37-1),IF($R$17="Distrato",$E60,0))),0,YEARFRAC(MAX($P$34*($B60+IF($R$17="Distrato",$I$38-1,0)),IF(AND($L$37=0,$P$34=0),"",$L$37-1),IF($R$17="Distrato",$E60,0)),MIN(AJ$38,$D$19),$P$20))-SUM($P60:AI60)</f>
        <v>#VALUE!</v>
      </c>
      <c r="AK60" s="446" t="e">
        <f>IF(OR($B60="",MIN(AK$38,$D$19)&lt;MAX($P$34*($B60+IF($R$17="Distrato",$I$38-1,0)),IF(AND($L$37=0,$P$34=0),"",$L$37-1),IF($R$17="Distrato",$E60,0))),0,YEARFRAC(MAX($P$34*($B60+IF($R$17="Distrato",$I$38-1,0)),IF(AND($L$37=0,$P$34=0),"",$L$37-1),IF($R$17="Distrato",$E60,0)),MIN(AK$38,$D$19),$P$20))-SUM($P60:AJ60)</f>
        <v>#VALUE!</v>
      </c>
      <c r="AL60" s="446" t="e">
        <f>IF(OR($B60="",MIN(AL$38,$D$19)&lt;MAX($P$34*($B60+IF($R$17="Distrato",$I$38-1,0)),IF(AND($L$37=0,$P$34=0),"",$L$37-1),IF($R$17="Distrato",$E60,0))),0,YEARFRAC(MAX($P$34*($B60+IF($R$17="Distrato",$I$38-1,0)),IF(AND($L$37=0,$P$34=0),"",$L$37-1),IF($R$17="Distrato",$E60,0)),MIN(AL$38,$D$19),$P$20))-SUM($P60:AK60)</f>
        <v>#VALUE!</v>
      </c>
      <c r="AM60" s="446" t="e">
        <f>IF(OR($B60="",MIN(AM$38,$D$19)&lt;MAX($P$34*($B60+IF($R$17="Distrato",$I$38-1,0)),IF(AND($L$37=0,$P$34=0),"",$L$37-1),IF($R$17="Distrato",$E60,0))),0,YEARFRAC(MAX($P$34*($B60+IF($R$17="Distrato",$I$38-1,0)),IF(AND($L$37=0,$P$34=0),"",$L$37-1),IF($R$17="Distrato",$E60,0)),MIN(AM$38,$D$19),$P$20))-SUM($P60:AL60)</f>
        <v>#VALUE!</v>
      </c>
      <c r="AN60" s="446" t="e">
        <f>IF(OR($B60="",MIN(AN$38,$D$19)&lt;MAX($P$34*($B60+IF($R$17="Distrato",$I$38-1,0)),IF(AND($L$37=0,$P$34=0),"",$L$37-1),IF($R$17="Distrato",$E60,0))),0,YEARFRAC(MAX($P$34*($B60+IF($R$17="Distrato",$I$38-1,0)),IF(AND($L$37=0,$P$34=0),"",$L$37-1),IF($R$17="Distrato",$E60,0)),MIN(AN$38,$D$19),$P$20))-SUM($P60:AM60)</f>
        <v>#VALUE!</v>
      </c>
      <c r="AO60" s="446" t="e">
        <f>IF(OR($B60="",MIN(AO$38,$D$19)&lt;MAX($P$34*($B60+IF($R$17="Distrato",$I$38-1,0)),IF(AND($L$37=0,$P$34=0),"",$L$37-1),IF($R$17="Distrato",$E60,0))),0,YEARFRAC(MAX($P$34*($B60+IF($R$17="Distrato",$I$38-1,0)),IF(AND($L$37=0,$P$34=0),"",$L$37-1),IF($R$17="Distrato",$E60,0)),MIN(AO$38,$D$19),$P$20))-SUM($P60:AN60)</f>
        <v>#VALUE!</v>
      </c>
      <c r="AP60" s="446" t="e">
        <f>IF(OR($B60="",MIN(AP$38,$D$19)&lt;MAX($P$34*($B60+IF($R$17="Distrato",$I$38-1,0)),IF(AND($L$37=0,$P$34=0),"",$L$37-1),IF($R$17="Distrato",$E60,0))),0,YEARFRAC(MAX($P$34*($B60+IF($R$17="Distrato",$I$38-1,0)),IF(AND($L$37=0,$P$34=0),"",$L$37-1),IF($R$17="Distrato",$E60,0)),MIN(AP$38,$D$19),$P$20))-SUM($P60:AO60)</f>
        <v>#VALUE!</v>
      </c>
      <c r="AQ60" s="446" t="e">
        <f>IF(OR($B60="",MIN(AQ$38,$D$19)&lt;MAX($P$34*($B60+IF($R$17="Distrato",$I$38-1,0)),IF(AND($L$37=0,$P$34=0),"",$L$37-1),IF($R$17="Distrato",$E60,0))),0,YEARFRAC(MAX($P$34*($B60+IF($R$17="Distrato",$I$38-1,0)),IF(AND($L$37=0,$P$34=0),"",$L$37-1),IF($R$17="Distrato",$E60,0)),MIN(AQ$38,$D$19),$P$20))-SUM($P60:AP60)</f>
        <v>#VALUE!</v>
      </c>
      <c r="AR60" s="446" t="e">
        <f>IF(OR($B60="",MIN(AR$38,$D$19)&lt;MAX($P$34*($B60+IF($R$17="Distrato",$I$38-1,0)),IF(AND($L$37=0,$P$34=0),"",$L$37-1),IF($R$17="Distrato",$E60,0))),0,YEARFRAC(MAX($P$34*($B60+IF($R$17="Distrato",$I$38-1,0)),IF(AND($L$37=0,$P$34=0),"",$L$37-1),IF($R$17="Distrato",$E60,0)),MIN(AR$38,$D$19),$P$20))-SUM($P60:AQ60)</f>
        <v>#VALUE!</v>
      </c>
      <c r="AS60" s="446" t="e">
        <f>IF(OR($B60="",MIN(AS$38,$D$19)&lt;MAX($P$34*($B60+IF($R$17="Distrato",$I$38-1,0)),IF(AND($L$37=0,$P$34=0),"",$L$37-1),IF($R$17="Distrato",$E60,0))),0,YEARFRAC(MAX($P$34*($B60+IF($R$17="Distrato",$I$38-1,0)),IF(AND($L$37=0,$P$34=0),"",$L$37-1),IF($R$17="Distrato",$E60,0)),MIN(AS$38,$D$19),$P$20))-SUM($P60:AR60)</f>
        <v>#VALUE!</v>
      </c>
      <c r="AT60" s="446" t="e">
        <f>IF(OR($B60="",MIN(AT$38,$D$19)&lt;MAX($P$34*($B60+IF($R$17="Distrato",$I$38-1,0)),IF(AND($L$37=0,$P$34=0),"",$L$37-1),IF($R$17="Distrato",$E60,0))),0,YEARFRAC(MAX($P$34*($B60+IF($R$17="Distrato",$I$38-1,0)),IF(AND($L$37=0,$P$34=0),"",$L$37-1),IF($R$17="Distrato",$E60,0)),MIN(AT$38,$D$19),$P$20))-SUM($P60:AS60)</f>
        <v>#VALUE!</v>
      </c>
      <c r="AU60" s="446" t="e">
        <f>IF(OR($B60="",MIN(AU$38,$D$19)&lt;MAX($P$34*($B60+IF($R$17="Distrato",$I$38-1,0)),IF(AND($L$37=0,$P$34=0),"",$L$37-1),IF($R$17="Distrato",$E60,0))),0,YEARFRAC(MAX($P$34*($B60+IF($R$17="Distrato",$I$38-1,0)),IF(AND($L$37=0,$P$34=0),"",$L$37-1),IF($R$17="Distrato",$E60,0)),MIN(AU$38,$D$19),$P$20))-SUM($P60:AT60)</f>
        <v>#VALUE!</v>
      </c>
      <c r="AV60" s="446" t="e">
        <f>IF(OR($B60="",MIN(AV$38,$D$19)&lt;MAX($P$34*($B60+IF($R$17="Distrato",$I$38-1,0)),IF(AND($L$37=0,$P$34=0),"",$L$37-1),IF($R$17="Distrato",$E60,0))),0,YEARFRAC(MAX($P$34*($B60+IF($R$17="Distrato",$I$38-1,0)),IF(AND($L$37=0,$P$34=0),"",$L$37-1),IF($R$17="Distrato",$E60,0)),MIN(AV$38,$D$19),$P$20))-SUM($P60:AU60)</f>
        <v>#VALUE!</v>
      </c>
      <c r="AW60" s="446" t="e">
        <f>IF(OR($B60="",MIN(AW$38,$D$19)&lt;MAX($P$34*($B60+IF($R$17="Distrato",$I$38-1,0)),IF(AND($L$37=0,$P$34=0),"",$L$37-1),IF($R$17="Distrato",$E60,0))),0,YEARFRAC(MAX($P$34*($B60+IF($R$17="Distrato",$I$38-1,0)),IF(AND($L$37=0,$P$34=0),"",$L$37-1),IF($R$17="Distrato",$E60,0)),MIN(AW$38,$D$19),$P$20))-SUM($P60:AV60)</f>
        <v>#VALUE!</v>
      </c>
      <c r="AX60" s="446" t="e">
        <f>IF(OR($B60="",MIN(AX$38,$D$19)&lt;MAX($P$34*($B60+IF($R$17="Distrato",$I$38-1,0)),IF(AND($L$37=0,$P$34=0),"",$L$37-1),IF($R$17="Distrato",$E60,0))),0,YEARFRAC(MAX($P$34*($B60+IF($R$17="Distrato",$I$38-1,0)),IF(AND($L$37=0,$P$34=0),"",$L$37-1),IF($R$17="Distrato",$E60,0)),MIN(AX$38,$D$19),$P$20))-SUM($P60:AW60)</f>
        <v>#VALUE!</v>
      </c>
      <c r="AY60" s="446" t="e">
        <f>IF(OR($B60="",MIN(AY$38,$D$19)&lt;MAX($P$34*($B60+IF($R$17="Distrato",$I$38-1,0)),IF(AND($L$37=0,$P$34=0),"",$L$37-1),IF($R$17="Distrato",$E60,0))),0,YEARFRAC(MAX($P$34*($B60+IF($R$17="Distrato",$I$38-1,0)),IF(AND($L$37=0,$P$34=0),"",$L$37-1),IF($R$17="Distrato",$E60,0)),MIN(AY$38,$D$19),$P$20))-SUM($P60:AX60)</f>
        <v>#VALUE!</v>
      </c>
      <c r="AZ60" s="446" t="e">
        <f>IF(OR($B60="",MIN(AZ$38,$D$19)&lt;MAX($P$34*($B60+IF($R$17="Distrato",$I$38-1,0)),IF(AND($L$37=0,$P$34=0),"",$L$37-1),IF($R$17="Distrato",$E60,0))),0,YEARFRAC(MAX($P$34*($B60+IF($R$17="Distrato",$I$38-1,0)),IF(AND($L$37=0,$P$34=0),"",$L$37-1),IF($R$17="Distrato",$E60,0)),MIN(AZ$38,$D$19),$P$20))-SUM($P60:AY60)</f>
        <v>#VALUE!</v>
      </c>
      <c r="BA60" s="446" t="e">
        <f>IF(OR($B60="",MIN(BA$38,$D$19)&lt;MAX($P$34*($B60+IF($R$17="Distrato",$I$38-1,0)),IF(AND($L$37=0,$P$34=0),"",$L$37-1),IF($R$17="Distrato",$E60,0))),0,YEARFRAC(MAX($P$34*($B60+IF($R$17="Distrato",$I$38-1,0)),IF(AND($L$37=0,$P$34=0),"",$L$37-1),IF($R$17="Distrato",$E60,0)),MIN(BA$38,$D$19),$P$20))-SUM($P60:AZ60)</f>
        <v>#VALUE!</v>
      </c>
      <c r="BB60" s="447"/>
      <c r="BF60" s="446">
        <f t="shared" si="10"/>
        <v>0</v>
      </c>
      <c r="BG60" s="446">
        <f>IF($E60=0,0,IF(MIN(BG$38,$E60)&lt;MAX($P$34*($B60+$I$38-1),IF(AND($L$37=0,$P$34=0),"",$L$37-1)),0,YEARFRAC(MAX($P$34*($B60+$I$38-1),IF(AND($L$37=0,$P$34=0),"",$L$37-1)),MIN(BG$38,$E60),$P$20))-SUM($BF60:BF60))</f>
        <v>0</v>
      </c>
      <c r="BH60" s="446">
        <f>IF($E60=0,0,IF(MIN(BH$38,$E60)&lt;MAX($P$34*($B60+$I$38-1),IF(AND($L$37=0,$P$34=0),"",$L$37-1)),0,YEARFRAC(MAX($P$34*($B60+$I$38-1),IF(AND($L$37=0,$P$34=0),"",$L$37-1)),MIN(BH$38,$E60),$P$20))-SUM($BF60:BG60))</f>
        <v>0</v>
      </c>
      <c r="BI60" s="446">
        <f>IF($E60=0,0,IF(MIN(BI$38,$E60)&lt;MAX($P$34*($B60+$I$38-1),IF(AND($L$37=0,$P$34=0),"",$L$37-1)),0,YEARFRAC(MAX($P$34*($B60+$I$38-1),IF(AND($L$37=0,$P$34=0),"",$L$37-1)),MIN(BI$38,$E60),$P$20))-SUM($BF60:BH60))</f>
        <v>0</v>
      </c>
      <c r="BJ60" s="446">
        <f>IF($E60=0,0,IF(MIN(BJ$38,$E60)&lt;MAX($P$34*($B60+$I$38-1),IF(AND($L$37=0,$P$34=0),"",$L$37-1)),0,YEARFRAC(MAX($P$34*($B60+$I$38-1),IF(AND($L$37=0,$P$34=0),"",$L$37-1)),MIN(BJ$38,$E60),$P$20))-SUM($BF60:BI60))</f>
        <v>0</v>
      </c>
      <c r="BK60" s="446">
        <f>IF($E60=0,0,IF(MIN(BK$38,$E60)&lt;MAX($P$34*($B60+$I$38-1),IF(AND($L$37=0,$P$34=0),"",$L$37-1)),0,YEARFRAC(MAX($P$34*($B60+$I$38-1),IF(AND($L$37=0,$P$34=0),"",$L$37-1)),MIN(BK$38,$E60),$P$20))-SUM($BF60:BJ60))</f>
        <v>0</v>
      </c>
      <c r="BL60" s="446">
        <f>IF($E60=0,0,IF(MIN(BL$38,$E60)&lt;MAX($P$34*($B60+$I$38-1),IF(AND($L$37=0,$P$34=0),"",$L$37-1)),0,YEARFRAC(MAX($P$34*($B60+$I$38-1),IF(AND($L$37=0,$P$34=0),"",$L$37-1)),MIN(BL$38,$E60),$P$20))-SUM($BF60:BK60))</f>
        <v>0</v>
      </c>
      <c r="BM60" s="446">
        <f>IF($E60=0,0,IF(MIN(BM$38,$E60)&lt;MAX($P$34*($B60+$I$38-1),IF(AND($L$37=0,$P$34=0),"",$L$37-1)),0,YEARFRAC(MAX($P$34*($B60+$I$38-1),IF(AND($L$37=0,$P$34=0),"",$L$37-1)),MIN(BM$38,$E60),$P$20))-SUM($BF60:BL60))</f>
        <v>0</v>
      </c>
      <c r="BN60" s="446">
        <f>IF($E60=0,0,IF(MIN(BN$38,$E60)&lt;MAX($P$34*($B60+$I$38-1),IF(AND($L$37=0,$P$34=0),"",$L$37-1)),0,YEARFRAC(MAX($P$34*($B60+$I$38-1),IF(AND($L$37=0,$P$34=0),"",$L$37-1)),MIN(BN$38,$E60),$P$20))-SUM($BF60:BM60))</f>
        <v>0</v>
      </c>
      <c r="BO60" s="446">
        <f>IF($E60=0,0,IF(MIN(BO$38,$E60)&lt;MAX($P$34*($B60+$I$38-1),IF(AND($L$37=0,$P$34=0),"",$L$37-1)),0,YEARFRAC(MAX($P$34*($B60+$I$38-1),IF(AND($L$37=0,$P$34=0),"",$L$37-1)),MIN(BO$38,$E60),$P$20))-SUM($BF60:BN60))</f>
        <v>0</v>
      </c>
      <c r="BP60" s="446">
        <f>IF($E60=0,0,IF(MIN(BP$38,$E60)&lt;MAX($P$34*($B60+$I$38-1),IF(AND($L$37=0,$P$34=0),"",$L$37-1)),0,YEARFRAC(MAX($P$34*($B60+$I$38-1),IF(AND($L$37=0,$P$34=0),"",$L$37-1)),MIN(BP$38,$E60),$P$20))-SUM($BF60:BO60))</f>
        <v>0</v>
      </c>
      <c r="BQ60" s="446">
        <f>IF($E60=0,0,IF(MIN(BQ$38,$E60)&lt;MAX($P$34*($B60+$I$38-1),IF(AND($L$37=0,$P$34=0),"",$L$37-1)),0,YEARFRAC(MAX($P$34*($B60+$I$38-1),IF(AND($L$37=0,$P$34=0),"",$L$37-1)),MIN(BQ$38,$E60),$P$20))-SUM($BF60:BP60))</f>
        <v>0</v>
      </c>
      <c r="BR60" s="446">
        <f>IF($E60=0,0,IF(MIN(BR$38,$E60)&lt;MAX($P$34*($B60+$I$38-1),IF(AND($L$37=0,$P$34=0),"",$L$37-1)),0,YEARFRAC(MAX($P$34*($B60+$I$38-1),IF(AND($L$37=0,$P$34=0),"",$L$37-1)),MIN(BR$38,$E60),$P$20))-SUM($BF60:BQ60))</f>
        <v>0</v>
      </c>
      <c r="BS60" s="446">
        <f>IF($E60=0,0,IF(MIN(BS$38,$E60)&lt;MAX($P$34*($B60+$I$38-1),IF(AND($L$37=0,$P$34=0),"",$L$37-1)),0,YEARFRAC(MAX($P$34*($B60+$I$38-1),IF(AND($L$37=0,$P$34=0),"",$L$37-1)),MIN(BS$38,$E60),$P$20))-SUM($BF60:BR60))</f>
        <v>0</v>
      </c>
      <c r="BT60" s="446">
        <f>IF($E60=0,0,IF(MIN(BT$38,$E60)&lt;MAX($P$34*($B60+$I$38-1),IF(AND($L$37=0,$P$34=0),"",$L$37-1)),0,YEARFRAC(MAX($P$34*($B60+$I$38-1),IF(AND($L$37=0,$P$34=0),"",$L$37-1)),MIN(BT$38,$E60),$P$20))-SUM($BF60:BS60))</f>
        <v>0</v>
      </c>
      <c r="BU60" s="446">
        <f>IF($E60=0,0,IF(MIN(BU$38,$E60)&lt;MAX($P$34*($B60+$I$38-1),IF(AND($L$37=0,$P$34=0),"",$L$37-1)),0,YEARFRAC(MAX($P$34*($B60+$I$38-1),IF(AND($L$37=0,$P$34=0),"",$L$37-1)),MIN(BU$38,$E60),$P$20))-SUM($BF60:BT60))</f>
        <v>0</v>
      </c>
      <c r="BV60" s="446">
        <f>IF($E60=0,0,IF(MIN(BV$38,$E60)&lt;MAX($P$34*($B60+$I$38-1),IF(AND($L$37=0,$P$34=0),"",$L$37-1)),0,YEARFRAC(MAX($P$34*($B60+$I$38-1),IF(AND($L$37=0,$P$34=0),"",$L$37-1)),MIN(BV$38,$E60),$P$20))-SUM($BF60:BU60))</f>
        <v>0</v>
      </c>
      <c r="BW60" s="446">
        <f>IF($E60=0,0,IF(MIN(BW$38,$E60)&lt;MAX($P$34*($B60+$I$38-1),IF(AND($L$37=0,$P$34=0),"",$L$37-1)),0,YEARFRAC(MAX($P$34*($B60+$I$38-1),IF(AND($L$37=0,$P$34=0),"",$L$37-1)),MIN(BW$38,$E60),$P$20))-SUM($BF60:BV60))</f>
        <v>0</v>
      </c>
      <c r="BX60" s="446">
        <f>IF($E60=0,0,IF(MIN(BX$38,$E60)&lt;MAX($P$34*($B60+$I$38-1),IF(AND($L$37=0,$P$34=0),"",$L$37-1)),0,YEARFRAC(MAX($P$34*($B60+$I$38-1),IF(AND($L$37=0,$P$34=0),"",$L$37-1)),MIN(BX$38,$E60),$P$20))-SUM($BF60:BW60))</f>
        <v>0</v>
      </c>
      <c r="BY60" s="446">
        <f>IF($E60=0,0,IF(MIN(BY$38,$E60)&lt;MAX($P$34*($B60+$I$38-1),IF(AND($L$37=0,$P$34=0),"",$L$37-1)),0,YEARFRAC(MAX($P$34*($B60+$I$38-1),IF(AND($L$37=0,$P$34=0),"",$L$37-1)),MIN(BY$38,$E60),$P$20))-SUM($BF60:BX60))</f>
        <v>0</v>
      </c>
      <c r="BZ60" s="446">
        <f>IF($E60=0,0,IF(MIN(BZ$38,$E60)&lt;MAX($P$34*($B60+$I$38-1),IF(AND($L$37=0,$P$34=0),"",$L$37-1)),0,YEARFRAC(MAX($P$34*($B60+$I$38-1),IF(AND($L$37=0,$P$34=0),"",$L$37-1)),MIN(BZ$38,$E60),$P$20))-SUM($BF60:BY60))</f>
        <v>0</v>
      </c>
      <c r="CA60" s="446">
        <f>IF($E60=0,0,IF(MIN(CA$38,$E60)&lt;MAX($P$34*($B60+$I$38-1),IF(AND($L$37=0,$P$34=0),"",$L$37-1)),0,YEARFRAC(MAX($P$34*($B60+$I$38-1),IF(AND($L$37=0,$P$34=0),"",$L$37-1)),MIN(CA$38,$E60),$P$20))-SUM($BF60:BZ60))</f>
        <v>0</v>
      </c>
      <c r="CB60" s="446">
        <f>IF($E60=0,0,IF(MIN(CB$38,$E60)&lt;MAX($P$34*($B60+$I$38-1),IF(AND($L$37=0,$P$34=0),"",$L$37-1)),0,YEARFRAC(MAX($P$34*($B60+$I$38-1),IF(AND($L$37=0,$P$34=0),"",$L$37-1)),MIN(CB$38,$E60),$P$20))-SUM($BF60:CA60))</f>
        <v>0</v>
      </c>
      <c r="CC60" s="446">
        <f>IF($E60=0,0,IF(MIN(CC$38,$E60)&lt;MAX($P$34*($B60+$I$38-1),IF(AND($L$37=0,$P$34=0),"",$L$37-1)),0,YEARFRAC(MAX($P$34*($B60+$I$38-1),IF(AND($L$37=0,$P$34=0),"",$L$37-1)),MIN(CC$38,$E60),$P$20))-SUM($BF60:CB60))</f>
        <v>0</v>
      </c>
      <c r="CD60" s="446">
        <f>IF($E60=0,0,IF(MIN(CD$38,$E60)&lt;MAX($P$34*($B60+$I$38-1),IF(AND($L$37=0,$P$34=0),"",$L$37-1)),0,YEARFRAC(MAX($P$34*($B60+$I$38-1),IF(AND($L$37=0,$P$34=0),"",$L$37-1)),MIN(CD$38,$E60),$P$20))-SUM($BF60:CC60))</f>
        <v>0</v>
      </c>
      <c r="CE60" s="446">
        <f>IF($E60=0,0,IF(MIN(CE$38,$E60)&lt;MAX($P$34*($B60+$I$38-1),IF(AND($L$37=0,$P$34=0),"",$L$37-1)),0,YEARFRAC(MAX($P$34*($B60+$I$38-1),IF(AND($L$37=0,$P$34=0),"",$L$37-1)),MIN(CE$38,$E60),$P$20))-SUM($BF60:CD60))</f>
        <v>0</v>
      </c>
      <c r="CF60" s="446">
        <f>IF($E60=0,0,IF(MIN(CF$38,$E60)&lt;MAX($P$34*($B60+$I$38-1),IF(AND($L$37=0,$P$34=0),"",$L$37-1)),0,YEARFRAC(MAX($P$34*($B60+$I$38-1),IF(AND($L$37=0,$P$34=0),"",$L$37-1)),MIN(CF$38,$E60),$P$20))-SUM($BF60:CE60))</f>
        <v>0</v>
      </c>
      <c r="CG60" s="446">
        <f>IF($E60=0,0,IF(MIN(CG$38,$E60)&lt;MAX($P$34*($B60+$I$38-1),IF(AND($L$37=0,$P$34=0),"",$L$37-1)),0,YEARFRAC(MAX($P$34*($B60+$I$38-1),IF(AND($L$37=0,$P$34=0),"",$L$37-1)),MIN(CG$38,$E60),$P$20))-SUM($BF60:CF60))</f>
        <v>0</v>
      </c>
      <c r="CH60" s="446">
        <f>IF($E60=0,0,IF(MIN(CH$38,$E60)&lt;MAX($P$34*($B60+$I$38-1),IF(AND($L$37=0,$P$34=0),"",$L$37-1)),0,YEARFRAC(MAX($P$34*($B60+$I$38-1),IF(AND($L$37=0,$P$34=0),"",$L$37-1)),MIN(CH$38,$E60),$P$20))-SUM($BF60:CG60))</f>
        <v>0</v>
      </c>
      <c r="CI60" s="446">
        <f>IF($E60=0,0,IF(MIN(CI$38,$E60)&lt;MAX($P$34*($B60+$I$38-1),IF(AND($L$37=0,$P$34=0),"",$L$37-1)),0,YEARFRAC(MAX($P$34*($B60+$I$38-1),IF(AND($L$37=0,$P$34=0),"",$L$37-1)),MIN(CI$38,$E60),$P$20))-SUM($BF60:CH60))</f>
        <v>0</v>
      </c>
      <c r="CJ60" s="446">
        <f>IF($E60=0,0,IF(MIN(CJ$38,$E60)&lt;MAX($P$34*($B60+$I$38-1),IF(AND($L$37=0,$P$34=0),"",$L$37-1)),0,YEARFRAC(MAX($P$34*($B60+$I$38-1),IF(AND($L$37=0,$P$34=0),"",$L$37-1)),MIN(CJ$38,$E60),$P$20))-SUM($BF60:CI60))</f>
        <v>0</v>
      </c>
      <c r="CK60" s="446">
        <f>IF($E60=0,0,IF(MIN(CK$38,$E60)&lt;MAX($P$34*($B60+$I$38-1),IF(AND($L$37=0,$P$34=0),"",$L$37-1)),0,YEARFRAC(MAX($P$34*($B60+$I$38-1),IF(AND($L$37=0,$P$34=0),"",$L$37-1)),MIN(CK$38,$E60),$P$20))-SUM($BF60:CJ60))</f>
        <v>0</v>
      </c>
      <c r="CL60" s="446">
        <f>IF($E60=0,0,IF(MIN(CL$38,$E60)&lt;MAX($P$34*($B60+$I$38-1),IF(AND($L$37=0,$P$34=0),"",$L$37-1)),0,YEARFRAC(MAX($P$34*($B60+$I$38-1),IF(AND($L$37=0,$P$34=0),"",$L$37-1)),MIN(CL$38,$E60),$P$20))-SUM($BF60:CK60))</f>
        <v>0</v>
      </c>
      <c r="CM60" s="446">
        <f>IF($E60=0,0,IF(MIN(CM$38,$E60)&lt;MAX($P$34*($B60+$I$38-1),IF(AND($L$37=0,$P$34=0),"",$L$37-1)),0,YEARFRAC(MAX($P$34*($B60+$I$38-1),IF(AND($L$37=0,$P$34=0),"",$L$37-1)),MIN(CM$38,$E60),$P$20))-SUM($BF60:CL60))</f>
        <v>0</v>
      </c>
      <c r="CN60" s="446">
        <f>IF($E60=0,0,IF(MIN(CN$38,$E60)&lt;MAX($P$34*($B60+$I$38-1),IF(AND($L$37=0,$P$34=0),"",$L$37-1)),0,YEARFRAC(MAX($P$34*($B60+$I$38-1),IF(AND($L$37=0,$P$34=0),"",$L$37-1)),MIN(CN$38,$E60),$P$20))-SUM($BF60:CM60))</f>
        <v>0</v>
      </c>
      <c r="CO60" s="446">
        <f>IF($E60=0,0,IF(MIN(CO$38,$E60)&lt;MAX($P$34*($B60+$I$38-1),IF(AND($L$37=0,$P$34=0),"",$L$37-1)),0,YEARFRAC(MAX($P$34*($B60+$I$38-1),IF(AND($L$37=0,$P$34=0),"",$L$37-1)),MIN(CO$38,$E60),$P$20))-SUM($BF60:CN60))</f>
        <v>0</v>
      </c>
      <c r="CP60" s="446">
        <f>IF($E60=0,0,IF(MIN(CP$38,$E60)&lt;MAX($P$34*($B60+$I$38-1),IF(AND($L$37=0,$P$34=0),"",$L$37-1)),0,YEARFRAC(MAX($P$34*($B60+$I$38-1),IF(AND($L$37=0,$P$34=0),"",$L$37-1)),MIN(CP$38,$E60),$P$20))-SUM($BF60:CO60))</f>
        <v>0</v>
      </c>
      <c r="CQ60" s="446">
        <f>IF($E60=0,0,IF(MIN(CQ$38,$E60)&lt;MAX($P$34*($B60+$I$38-1),IF(AND($L$37=0,$P$34=0),"",$L$37-1)),0,YEARFRAC(MAX($P$34*($B60+$I$38-1),IF(AND($L$37=0,$P$34=0),"",$L$37-1)),MIN(CQ$38,$E60),$P$20))-SUM($BF60:CP60))</f>
        <v>0</v>
      </c>
    </row>
    <row r="61" spans="1:95" s="446" customFormat="1" ht="11.25" hidden="1" customHeight="1" x14ac:dyDescent="0.2">
      <c r="A61" s="152"/>
      <c r="B61" s="153" t="str">
        <f t="shared" si="15"/>
        <v/>
      </c>
      <c r="C61" s="29" t="str">
        <f>IF(B61="","",IF($L$35="SELIC - TRIBUTOS",VLOOKUP(DATE(YEAR($D$19),MONTH($D$19)-1,1),ÍNDICES!$A:$DE,HLOOKUP($BL$25,ÍNDICES!$B$3:$T$4,2)+11)-VLOOKUP(B61,ÍNDICES!$A:$DE,HLOOKUP($BL$25,ÍNDICES!$B$3:$T$4,2)+11)+1%,IF(C$38=$W$26,$J$35,IF(ISERROR(IF(B61&gt;$D$19,1,VLOOKUP(DATE(YEAR(B61),MONTH(B61)+IF($C$35=$S$23,1,0),1),ÍNDICES!$A:$DE,$Z$35+1))),"",IF(B61&gt;$D$19,1,VLOOKUP(DATE(YEAR(B61),MONTH(B61)+IF($C$35=$S$23,1,0),1),ÍNDICES!$A:$DE,$Z$35+1))))))</f>
        <v/>
      </c>
      <c r="D61" s="154" t="str">
        <f>IF(ISERROR(IF(OR($D$38=$Y$27,$B61=""),"",VLOOKUP(B61,ÍNDICES!A:DE,AF$35+1))),"",IF(OR($D$38=$Y$27,$B61=""),"",VLOOKUP(B61,ÍNDICES!A:DE,AF$35+1)))</f>
        <v/>
      </c>
      <c r="E61" s="153"/>
      <c r="F61" s="29" t="str">
        <f>IF(E61="","",IF($L$35="SELIC - TRIBUTOS",VLOOKUP(DATE(YEAR($D$19),MONTH($D$19)-1,1),ÍNDICES!$A:$DE,HLOOKUP($BL$25,ÍNDICES!$B$3:$T$4,2)+11)-VLOOKUP(E61,ÍNDICES!$A:$DE,HLOOKUP($BL$25,ÍNDICES!$B$3:$T$4,2)+11)+1%,IF(F$38=$W$26,$J$35,IF(ISERROR(IF(E61&gt;$D$19,1,VLOOKUP(DATE(YEAR(E61),MONTH(E61)+IF($C$35=$S$23,1,0),1),ÍNDICES!$A:$DE,$Z$35+1))),"",IF(E61&gt;$D$19,1,VLOOKUP(DATE(YEAR(E61),MONTH(E61)+IF($C$35=$S$23,1,0),1),ÍNDICES!$A:$DE,$Z$35+1))))))</f>
        <v/>
      </c>
      <c r="G61" s="155"/>
      <c r="H61" s="156" t="str">
        <f t="shared" si="11"/>
        <v/>
      </c>
      <c r="I61" s="29" t="str">
        <f t="shared" si="5"/>
        <v/>
      </c>
      <c r="J61" s="5">
        <f t="shared" si="6"/>
        <v>0</v>
      </c>
      <c r="K61" s="20">
        <f t="shared" ca="1" si="7"/>
        <v>0</v>
      </c>
      <c r="L61" s="5">
        <f t="shared" ca="1" si="8"/>
        <v>0</v>
      </c>
      <c r="M61" s="64">
        <f t="shared" si="12"/>
        <v>0</v>
      </c>
      <c r="N61" s="61">
        <f t="shared" ca="1" si="13"/>
        <v>0</v>
      </c>
      <c r="O61" s="5">
        <f t="shared" ca="1" si="14"/>
        <v>0</v>
      </c>
      <c r="P61" s="446" t="e">
        <f t="shared" si="9"/>
        <v>#VALUE!</v>
      </c>
      <c r="Q61" s="446" t="e">
        <f>IF(OR($B61="",MIN(Q$38,$D$19)&lt;MAX($P$34*($B61+IF($R$17="Distrato",$I$38-1,0)),IF(AND($L$37=0,$P$34=0),"",$L$37-1),IF($R$17="Distrato",$E61,0))),0,YEARFRAC(MAX($P$34*($B61+IF($R$17="Distrato",$I$38-1,0)),IF(AND($L$37=0,$P$34=0),"",$L$37-1),IF($R$17="Distrato",$E61,0)),MIN(Q$38,$D$19),$P$20))-SUM($P61:P61)</f>
        <v>#VALUE!</v>
      </c>
      <c r="R61" s="446" t="e">
        <f>IF(OR($B61="",MIN(R$38,$D$19)&lt;MAX($P$34*($B61+IF($R$17="Distrato",$I$38-1,0)),IF(AND($L$37=0,$P$34=0),"",$L$37-1),IF($R$17="Distrato",$E61,0))),0,YEARFRAC(MAX($P$34*($B61+IF($R$17="Distrato",$I$38-1,0)),IF(AND($L$37=0,$P$34=0),"",$L$37-1),IF($R$17="Distrato",$E61,0)),MIN(R$38,$D$19),$P$20))-SUM($P61:Q61)</f>
        <v>#VALUE!</v>
      </c>
      <c r="S61" s="446" t="e">
        <f>IF(OR($B61="",MIN(S$38,$D$19)&lt;MAX($P$34*($B61+IF($R$17="Distrato",$I$38-1,0)),IF(AND($L$37=0,$P$34=0),"",$L$37-1),IF($R$17="Distrato",$E61,0))),0,YEARFRAC(MAX($P$34*($B61+IF($R$17="Distrato",$I$38-1,0)),IF(AND($L$37=0,$P$34=0),"",$L$37-1),IF($R$17="Distrato",$E61,0)),MIN(S$38,$D$19),$P$20))-SUM($P61:R61)</f>
        <v>#VALUE!</v>
      </c>
      <c r="T61" s="446" t="e">
        <f>IF(OR($B61="",MIN(T$38,$D$19)&lt;MAX($P$34*($B61+IF($R$17="Distrato",$I$38-1,0)),IF(AND($L$37=0,$P$34=0),"",$L$37-1),IF($R$17="Distrato",$E61,0))),0,YEARFRAC(MAX($P$34*($B61+IF($R$17="Distrato",$I$38-1,0)),IF(AND($L$37=0,$P$34=0),"",$L$37-1),IF($R$17="Distrato",$E61,0)),MIN(T$38,$D$19),$P$20))-SUM($P61:S61)</f>
        <v>#VALUE!</v>
      </c>
      <c r="U61" s="446" t="e">
        <f>IF(OR($B61="",MIN(U$38,$D$19)&lt;MAX($P$34*($B61+IF($R$17="Distrato",$I$38-1,0)),IF(AND($L$37=0,$P$34=0),"",$L$37-1),IF($R$17="Distrato",$E61,0))),0,YEARFRAC(MAX($P$34*($B61+IF($R$17="Distrato",$I$38-1,0)),IF(AND($L$37=0,$P$34=0),"",$L$37-1),IF($R$17="Distrato",$E61,0)),MIN(U$38,$D$19),$P$20))-SUM($P61:T61)</f>
        <v>#VALUE!</v>
      </c>
      <c r="V61" s="446" t="e">
        <f>IF(OR($B61="",MIN(V$38,$D$19)&lt;MAX($P$34*($B61+IF($R$17="Distrato",$I$38-1,0)),IF(AND($L$37=0,$P$34=0),"",$L$37-1),IF($R$17="Distrato",$E61,0))),0,YEARFRAC(MAX($P$34*($B61+IF($R$17="Distrato",$I$38-1,0)),IF(AND($L$37=0,$P$34=0),"",$L$37-1),IF($R$17="Distrato",$E61,0)),MIN(V$38,$D$19),$P$20))-SUM($P61:U61)</f>
        <v>#VALUE!</v>
      </c>
      <c r="W61" s="446" t="e">
        <f>IF(OR($B61="",MIN(W$38,$D$19)&lt;MAX($P$34*($B61+IF($R$17="Distrato",$I$38-1,0)),IF(AND($L$37=0,$P$34=0),"",$L$37-1),IF($R$17="Distrato",$E61,0))),0,YEARFRAC(MAX($P$34*($B61+IF($R$17="Distrato",$I$38-1,0)),IF(AND($L$37=0,$P$34=0),"",$L$37-1),IF($R$17="Distrato",$E61,0)),MIN(W$38,$D$19),$P$20))-SUM($P61:V61)</f>
        <v>#VALUE!</v>
      </c>
      <c r="X61" s="446" t="e">
        <f>IF(OR($B61="",MIN(X$38,$D$19)&lt;MAX($P$34*($B61+IF($R$17="Distrato",$I$38-1,0)),IF(AND($L$37=0,$P$34=0),"",$L$37-1),IF($R$17="Distrato",$E61,0))),0,YEARFRAC(MAX($P$34*($B61+IF($R$17="Distrato",$I$38-1,0)),IF(AND($L$37=0,$P$34=0),"",$L$37-1),IF($R$17="Distrato",$E61,0)),MIN(X$38,$D$19),$P$20))-SUM($P61:W61)</f>
        <v>#VALUE!</v>
      </c>
      <c r="Y61" s="446" t="e">
        <f>IF(OR($B61="",MIN(Y$38,$D$19)&lt;MAX($P$34*($B61+IF($R$17="Distrato",$I$38-1,0)),IF(AND($L$37=0,$P$34=0),"",$L$37-1),IF($R$17="Distrato",$E61,0))),0,YEARFRAC(MAX($P$34*($B61+IF($R$17="Distrato",$I$38-1,0)),IF(AND($L$37=0,$P$34=0),"",$L$37-1),IF($R$17="Distrato",$E61,0)),MIN(Y$38,$D$19),$P$20))-SUM($P61:X61)</f>
        <v>#VALUE!</v>
      </c>
      <c r="Z61" s="446" t="e">
        <f>IF(OR($B61="",MIN(Z$38,$D$19)&lt;MAX($P$34*($B61+IF($R$17="Distrato",$I$38-1,0)),IF(AND($L$37=0,$P$34=0),"",$L$37-1),IF($R$17="Distrato",$E61,0))),0,YEARFRAC(MAX($P$34*($B61+IF($R$17="Distrato",$I$38-1,0)),IF(AND($L$37=0,$P$34=0),"",$L$37-1),IF($R$17="Distrato",$E61,0)),MIN(Z$38,$D$19),$P$20))-SUM($P61:Y61)</f>
        <v>#VALUE!</v>
      </c>
      <c r="AA61" s="446" t="e">
        <f>IF(OR($B61="",MIN(AA$38,$D$19)&lt;MAX($P$34*($B61+IF($R$17="Distrato",$I$38-1,0)),IF(AND($L$37=0,$P$34=0),"",$L$37-1),IF($R$17="Distrato",$E61,0))),0,YEARFRAC(MAX($P$34*($B61+IF($R$17="Distrato",$I$38-1,0)),IF(AND($L$37=0,$P$34=0),"",$L$37-1),IF($R$17="Distrato",$E61,0)),MIN(AA$38,$D$19),$P$20))-SUM($P61:Z61)</f>
        <v>#VALUE!</v>
      </c>
      <c r="AB61" s="446" t="e">
        <f>IF(OR($B61="",MIN(AB$38,$D$19)&lt;MAX($P$34*($B61+IF($R$17="Distrato",$I$38-1,0)),IF(AND($L$37=0,$P$34=0),"",$L$37-1),IF($R$17="Distrato",$E61,0))),0,YEARFRAC(MAX($P$34*($B61+IF($R$17="Distrato",$I$38-1,0)),IF(AND($L$37=0,$P$34=0),"",$L$37-1),IF($R$17="Distrato",$E61,0)),MIN(AB$38,$D$19),$P$20))-SUM($P61:AA61)</f>
        <v>#VALUE!</v>
      </c>
      <c r="AC61" s="446" t="e">
        <f>IF(OR($B61="",MIN(AC$38,$D$19)&lt;MAX($P$34*($B61+IF($R$17="Distrato",$I$38-1,0)),IF(AND($L$37=0,$P$34=0),"",$L$37-1),IF($R$17="Distrato",$E61,0))),0,YEARFRAC(MAX($P$34*($B61+IF($R$17="Distrato",$I$38-1,0)),IF(AND($L$37=0,$P$34=0),"",$L$37-1),IF($R$17="Distrato",$E61,0)),MIN(AC$38,$D$19),$P$20))-SUM($P61:AB61)</f>
        <v>#VALUE!</v>
      </c>
      <c r="AD61" s="446" t="e">
        <f>IF(OR($B61="",MIN(AD$38,$D$19)&lt;MAX($P$34*($B61+IF($R$17="Distrato",$I$38-1,0)),IF(AND($L$37=0,$P$34=0),"",$L$37-1),IF($R$17="Distrato",$E61,0))),0,YEARFRAC(MAX($P$34*($B61+IF($R$17="Distrato",$I$38-1,0)),IF(AND($L$37=0,$P$34=0),"",$L$37-1),IF($R$17="Distrato",$E61,0)),MIN(AD$38,$D$19),$P$20))-SUM($P61:AC61)</f>
        <v>#VALUE!</v>
      </c>
      <c r="AE61" s="446" t="e">
        <f>IF(OR($B61="",MIN(AE$38,$D$19)&lt;MAX($P$34*($B61+IF($R$17="Distrato",$I$38-1,0)),IF(AND($L$37=0,$P$34=0),"",$L$37-1),IF($R$17="Distrato",$E61,0))),0,YEARFRAC(MAX($P$34*($B61+IF($R$17="Distrato",$I$38-1,0)),IF(AND($L$37=0,$P$34=0),"",$L$37-1),IF($R$17="Distrato",$E61,0)),MIN(AE$38,$D$19),$P$20))-SUM($P61:AD61)</f>
        <v>#VALUE!</v>
      </c>
      <c r="AF61" s="446" t="e">
        <f>IF(OR($B61="",MIN(AF$38,$D$19)&lt;MAX($P$34*($B61+IF($R$17="Distrato",$I$38-1,0)),IF(AND($L$37=0,$P$34=0),"",$L$37-1),IF($R$17="Distrato",$E61,0))),0,YEARFRAC(MAX($P$34*($B61+IF($R$17="Distrato",$I$38-1,0)),IF(AND($L$37=0,$P$34=0),"",$L$37-1),IF($R$17="Distrato",$E61,0)),MIN(AF$38,$D$19),$P$20))-SUM($P61:AE61)</f>
        <v>#VALUE!</v>
      </c>
      <c r="AG61" s="446" t="e">
        <f>IF(OR($B61="",MIN(AG$38,$D$19)&lt;MAX($P$34*($B61+IF($R$17="Distrato",$I$38-1,0)),IF(AND($L$37=0,$P$34=0),"",$L$37-1),IF($R$17="Distrato",$E61,0))),0,YEARFRAC(MAX($P$34*($B61+IF($R$17="Distrato",$I$38-1,0)),IF(AND($L$37=0,$P$34=0),"",$L$37-1),IF($R$17="Distrato",$E61,0)),MIN(AG$38,$D$19),$P$20))-SUM($P61:AF61)</f>
        <v>#VALUE!</v>
      </c>
      <c r="AH61" s="446" t="e">
        <f>IF(OR($B61="",MIN(AH$38,$D$19)&lt;MAX($P$34*($B61+IF($R$17="Distrato",$I$38-1,0)),IF(AND($L$37=0,$P$34=0),"",$L$37-1),IF($R$17="Distrato",$E61,0))),0,YEARFRAC(MAX($P$34*($B61+IF($R$17="Distrato",$I$38-1,0)),IF(AND($L$37=0,$P$34=0),"",$L$37-1),IF($R$17="Distrato",$E61,0)),MIN(AH$38,$D$19),$P$20))-SUM($P61:AG61)</f>
        <v>#VALUE!</v>
      </c>
      <c r="AI61" s="446" t="e">
        <f>IF(OR($B61="",MIN(AI$38,$D$19)&lt;MAX($P$34*($B61+IF($R$17="Distrato",$I$38-1,0)),IF(AND($L$37=0,$P$34=0),"",$L$37-1),IF($R$17="Distrato",$E61,0))),0,YEARFRAC(MAX($P$34*($B61+IF($R$17="Distrato",$I$38-1,0)),IF(AND($L$37=0,$P$34=0),"",$L$37-1),IF($R$17="Distrato",$E61,0)),MIN(AI$38,$D$19),$P$20))-SUM($P61:AH61)</f>
        <v>#VALUE!</v>
      </c>
      <c r="AJ61" s="446" t="e">
        <f>IF(OR($B61="",MIN(AJ$38,$D$19)&lt;MAX($P$34*($B61+IF($R$17="Distrato",$I$38-1,0)),IF(AND($L$37=0,$P$34=0),"",$L$37-1),IF($R$17="Distrato",$E61,0))),0,YEARFRAC(MAX($P$34*($B61+IF($R$17="Distrato",$I$38-1,0)),IF(AND($L$37=0,$P$34=0),"",$L$37-1),IF($R$17="Distrato",$E61,0)),MIN(AJ$38,$D$19),$P$20))-SUM($P61:AI61)</f>
        <v>#VALUE!</v>
      </c>
      <c r="AK61" s="446" t="e">
        <f>IF(OR($B61="",MIN(AK$38,$D$19)&lt;MAX($P$34*($B61+IF($R$17="Distrato",$I$38-1,0)),IF(AND($L$37=0,$P$34=0),"",$L$37-1),IF($R$17="Distrato",$E61,0))),0,YEARFRAC(MAX($P$34*($B61+IF($R$17="Distrato",$I$38-1,0)),IF(AND($L$37=0,$P$34=0),"",$L$37-1),IF($R$17="Distrato",$E61,0)),MIN(AK$38,$D$19),$P$20))-SUM($P61:AJ61)</f>
        <v>#VALUE!</v>
      </c>
      <c r="AL61" s="446" t="e">
        <f>IF(OR($B61="",MIN(AL$38,$D$19)&lt;MAX($P$34*($B61+IF($R$17="Distrato",$I$38-1,0)),IF(AND($L$37=0,$P$34=0),"",$L$37-1),IF($R$17="Distrato",$E61,0))),0,YEARFRAC(MAX($P$34*($B61+IF($R$17="Distrato",$I$38-1,0)),IF(AND($L$37=0,$P$34=0),"",$L$37-1),IF($R$17="Distrato",$E61,0)),MIN(AL$38,$D$19),$P$20))-SUM($P61:AK61)</f>
        <v>#VALUE!</v>
      </c>
      <c r="AM61" s="446" t="e">
        <f>IF(OR($B61="",MIN(AM$38,$D$19)&lt;MAX($P$34*($B61+IF($R$17="Distrato",$I$38-1,0)),IF(AND($L$37=0,$P$34=0),"",$L$37-1),IF($R$17="Distrato",$E61,0))),0,YEARFRAC(MAX($P$34*($B61+IF($R$17="Distrato",$I$38-1,0)),IF(AND($L$37=0,$P$34=0),"",$L$37-1),IF($R$17="Distrato",$E61,0)),MIN(AM$38,$D$19),$P$20))-SUM($P61:AL61)</f>
        <v>#VALUE!</v>
      </c>
      <c r="AN61" s="446" t="e">
        <f>IF(OR($B61="",MIN(AN$38,$D$19)&lt;MAX($P$34*($B61+IF($R$17="Distrato",$I$38-1,0)),IF(AND($L$37=0,$P$34=0),"",$L$37-1),IF($R$17="Distrato",$E61,0))),0,YEARFRAC(MAX($P$34*($B61+IF($R$17="Distrato",$I$38-1,0)),IF(AND($L$37=0,$P$34=0),"",$L$37-1),IF($R$17="Distrato",$E61,0)),MIN(AN$38,$D$19),$P$20))-SUM($P61:AM61)</f>
        <v>#VALUE!</v>
      </c>
      <c r="AO61" s="446" t="e">
        <f>IF(OR($B61="",MIN(AO$38,$D$19)&lt;MAX($P$34*($B61+IF($R$17="Distrato",$I$38-1,0)),IF(AND($L$37=0,$P$34=0),"",$L$37-1),IF($R$17="Distrato",$E61,0))),0,YEARFRAC(MAX($P$34*($B61+IF($R$17="Distrato",$I$38-1,0)),IF(AND($L$37=0,$P$34=0),"",$L$37-1),IF($R$17="Distrato",$E61,0)),MIN(AO$38,$D$19),$P$20))-SUM($P61:AN61)</f>
        <v>#VALUE!</v>
      </c>
      <c r="AP61" s="446" t="e">
        <f>IF(OR($B61="",MIN(AP$38,$D$19)&lt;MAX($P$34*($B61+IF($R$17="Distrato",$I$38-1,0)),IF(AND($L$37=0,$P$34=0),"",$L$37-1),IF($R$17="Distrato",$E61,0))),0,YEARFRAC(MAX($P$34*($B61+IF($R$17="Distrato",$I$38-1,0)),IF(AND($L$37=0,$P$34=0),"",$L$37-1),IF($R$17="Distrato",$E61,0)),MIN(AP$38,$D$19),$P$20))-SUM($P61:AO61)</f>
        <v>#VALUE!</v>
      </c>
      <c r="AQ61" s="446" t="e">
        <f>IF(OR($B61="",MIN(AQ$38,$D$19)&lt;MAX($P$34*($B61+IF($R$17="Distrato",$I$38-1,0)),IF(AND($L$37=0,$P$34=0),"",$L$37-1),IF($R$17="Distrato",$E61,0))),0,YEARFRAC(MAX($P$34*($B61+IF($R$17="Distrato",$I$38-1,0)),IF(AND($L$37=0,$P$34=0),"",$L$37-1),IF($R$17="Distrato",$E61,0)),MIN(AQ$38,$D$19),$P$20))-SUM($P61:AP61)</f>
        <v>#VALUE!</v>
      </c>
      <c r="AR61" s="446" t="e">
        <f>IF(OR($B61="",MIN(AR$38,$D$19)&lt;MAX($P$34*($B61+IF($R$17="Distrato",$I$38-1,0)),IF(AND($L$37=0,$P$34=0),"",$L$37-1),IF($R$17="Distrato",$E61,0))),0,YEARFRAC(MAX($P$34*($B61+IF($R$17="Distrato",$I$38-1,0)),IF(AND($L$37=0,$P$34=0),"",$L$37-1),IF($R$17="Distrato",$E61,0)),MIN(AR$38,$D$19),$P$20))-SUM($P61:AQ61)</f>
        <v>#VALUE!</v>
      </c>
      <c r="AS61" s="446" t="e">
        <f>IF(OR($B61="",MIN(AS$38,$D$19)&lt;MAX($P$34*($B61+IF($R$17="Distrato",$I$38-1,0)),IF(AND($L$37=0,$P$34=0),"",$L$37-1),IF($R$17="Distrato",$E61,0))),0,YEARFRAC(MAX($P$34*($B61+IF($R$17="Distrato",$I$38-1,0)),IF(AND($L$37=0,$P$34=0),"",$L$37-1),IF($R$17="Distrato",$E61,0)),MIN(AS$38,$D$19),$P$20))-SUM($P61:AR61)</f>
        <v>#VALUE!</v>
      </c>
      <c r="AT61" s="446" t="e">
        <f>IF(OR($B61="",MIN(AT$38,$D$19)&lt;MAX($P$34*($B61+IF($R$17="Distrato",$I$38-1,0)),IF(AND($L$37=0,$P$34=0),"",$L$37-1),IF($R$17="Distrato",$E61,0))),0,YEARFRAC(MAX($P$34*($B61+IF($R$17="Distrato",$I$38-1,0)),IF(AND($L$37=0,$P$34=0),"",$L$37-1),IF($R$17="Distrato",$E61,0)),MIN(AT$38,$D$19),$P$20))-SUM($P61:AS61)</f>
        <v>#VALUE!</v>
      </c>
      <c r="AU61" s="446" t="e">
        <f>IF(OR($B61="",MIN(AU$38,$D$19)&lt;MAX($P$34*($B61+IF($R$17="Distrato",$I$38-1,0)),IF(AND($L$37=0,$P$34=0),"",$L$37-1),IF($R$17="Distrato",$E61,0))),0,YEARFRAC(MAX($P$34*($B61+IF($R$17="Distrato",$I$38-1,0)),IF(AND($L$37=0,$P$34=0),"",$L$37-1),IF($R$17="Distrato",$E61,0)),MIN(AU$38,$D$19),$P$20))-SUM($P61:AT61)</f>
        <v>#VALUE!</v>
      </c>
      <c r="AV61" s="446" t="e">
        <f>IF(OR($B61="",MIN(AV$38,$D$19)&lt;MAX($P$34*($B61+IF($R$17="Distrato",$I$38-1,0)),IF(AND($L$37=0,$P$34=0),"",$L$37-1),IF($R$17="Distrato",$E61,0))),0,YEARFRAC(MAX($P$34*($B61+IF($R$17="Distrato",$I$38-1,0)),IF(AND($L$37=0,$P$34=0),"",$L$37-1),IF($R$17="Distrato",$E61,0)),MIN(AV$38,$D$19),$P$20))-SUM($P61:AU61)</f>
        <v>#VALUE!</v>
      </c>
      <c r="AW61" s="446" t="e">
        <f>IF(OR($B61="",MIN(AW$38,$D$19)&lt;MAX($P$34*($B61+IF($R$17="Distrato",$I$38-1,0)),IF(AND($L$37=0,$P$34=0),"",$L$37-1),IF($R$17="Distrato",$E61,0))),0,YEARFRAC(MAX($P$34*($B61+IF($R$17="Distrato",$I$38-1,0)),IF(AND($L$37=0,$P$34=0),"",$L$37-1),IF($R$17="Distrato",$E61,0)),MIN(AW$38,$D$19),$P$20))-SUM($P61:AV61)</f>
        <v>#VALUE!</v>
      </c>
      <c r="AX61" s="446" t="e">
        <f>IF(OR($B61="",MIN(AX$38,$D$19)&lt;MAX($P$34*($B61+IF($R$17="Distrato",$I$38-1,0)),IF(AND($L$37=0,$P$34=0),"",$L$37-1),IF($R$17="Distrato",$E61,0))),0,YEARFRAC(MAX($P$34*($B61+IF($R$17="Distrato",$I$38-1,0)),IF(AND($L$37=0,$P$34=0),"",$L$37-1),IF($R$17="Distrato",$E61,0)),MIN(AX$38,$D$19),$P$20))-SUM($P61:AW61)</f>
        <v>#VALUE!</v>
      </c>
      <c r="AY61" s="446" t="e">
        <f>IF(OR($B61="",MIN(AY$38,$D$19)&lt;MAX($P$34*($B61+IF($R$17="Distrato",$I$38-1,0)),IF(AND($L$37=0,$P$34=0),"",$L$37-1),IF($R$17="Distrato",$E61,0))),0,YEARFRAC(MAX($P$34*($B61+IF($R$17="Distrato",$I$38-1,0)),IF(AND($L$37=0,$P$34=0),"",$L$37-1),IF($R$17="Distrato",$E61,0)),MIN(AY$38,$D$19),$P$20))-SUM($P61:AX61)</f>
        <v>#VALUE!</v>
      </c>
      <c r="AZ61" s="446" t="e">
        <f>IF(OR($B61="",MIN(AZ$38,$D$19)&lt;MAX($P$34*($B61+IF($R$17="Distrato",$I$38-1,0)),IF(AND($L$37=0,$P$34=0),"",$L$37-1),IF($R$17="Distrato",$E61,0))),0,YEARFRAC(MAX($P$34*($B61+IF($R$17="Distrato",$I$38-1,0)),IF(AND($L$37=0,$P$34=0),"",$L$37-1),IF($R$17="Distrato",$E61,0)),MIN(AZ$38,$D$19),$P$20))-SUM($P61:AY61)</f>
        <v>#VALUE!</v>
      </c>
      <c r="BA61" s="446" t="e">
        <f>IF(OR($B61="",MIN(BA$38,$D$19)&lt;MAX($P$34*($B61+IF($R$17="Distrato",$I$38-1,0)),IF(AND($L$37=0,$P$34=0),"",$L$37-1),IF($R$17="Distrato",$E61,0))),0,YEARFRAC(MAX($P$34*($B61+IF($R$17="Distrato",$I$38-1,0)),IF(AND($L$37=0,$P$34=0),"",$L$37-1),IF($R$17="Distrato",$E61,0)),MIN(BA$38,$D$19),$P$20))-SUM($P61:AZ61)</f>
        <v>#VALUE!</v>
      </c>
      <c r="BB61" s="447"/>
      <c r="BF61" s="446">
        <f t="shared" si="10"/>
        <v>0</v>
      </c>
      <c r="BG61" s="446">
        <f>IF($E61=0,0,IF(MIN(BG$38,$E61)&lt;MAX($P$34*($B61+$I$38-1),IF(AND($L$37=0,$P$34=0),"",$L$37-1)),0,YEARFRAC(MAX($P$34*($B61+$I$38-1),IF(AND($L$37=0,$P$34=0),"",$L$37-1)),MIN(BG$38,$E61),$P$20))-SUM($BF61:BF61))</f>
        <v>0</v>
      </c>
      <c r="BH61" s="446">
        <f>IF($E61=0,0,IF(MIN(BH$38,$E61)&lt;MAX($P$34*($B61+$I$38-1),IF(AND($L$37=0,$P$34=0),"",$L$37-1)),0,YEARFRAC(MAX($P$34*($B61+$I$38-1),IF(AND($L$37=0,$P$34=0),"",$L$37-1)),MIN(BH$38,$E61),$P$20))-SUM($BF61:BG61))</f>
        <v>0</v>
      </c>
      <c r="BI61" s="446">
        <f>IF($E61=0,0,IF(MIN(BI$38,$E61)&lt;MAX($P$34*($B61+$I$38-1),IF(AND($L$37=0,$P$34=0),"",$L$37-1)),0,YEARFRAC(MAX($P$34*($B61+$I$38-1),IF(AND($L$37=0,$P$34=0),"",$L$37-1)),MIN(BI$38,$E61),$P$20))-SUM($BF61:BH61))</f>
        <v>0</v>
      </c>
      <c r="BJ61" s="446">
        <f>IF($E61=0,0,IF(MIN(BJ$38,$E61)&lt;MAX($P$34*($B61+$I$38-1),IF(AND($L$37=0,$P$34=0),"",$L$37-1)),0,YEARFRAC(MAX($P$34*($B61+$I$38-1),IF(AND($L$37=0,$P$34=0),"",$L$37-1)),MIN(BJ$38,$E61),$P$20))-SUM($BF61:BI61))</f>
        <v>0</v>
      </c>
      <c r="BK61" s="446">
        <f>IF($E61=0,0,IF(MIN(BK$38,$E61)&lt;MAX($P$34*($B61+$I$38-1),IF(AND($L$37=0,$P$34=0),"",$L$37-1)),0,YEARFRAC(MAX($P$34*($B61+$I$38-1),IF(AND($L$37=0,$P$34=0),"",$L$37-1)),MIN(BK$38,$E61),$P$20))-SUM($BF61:BJ61))</f>
        <v>0</v>
      </c>
      <c r="BL61" s="446">
        <f>IF($E61=0,0,IF(MIN(BL$38,$E61)&lt;MAX($P$34*($B61+$I$38-1),IF(AND($L$37=0,$P$34=0),"",$L$37-1)),0,YEARFRAC(MAX($P$34*($B61+$I$38-1),IF(AND($L$37=0,$P$34=0),"",$L$37-1)),MIN(BL$38,$E61),$P$20))-SUM($BF61:BK61))</f>
        <v>0</v>
      </c>
      <c r="BM61" s="446">
        <f>IF($E61=0,0,IF(MIN(BM$38,$E61)&lt;MAX($P$34*($B61+$I$38-1),IF(AND($L$37=0,$P$34=0),"",$L$37-1)),0,YEARFRAC(MAX($P$34*($B61+$I$38-1),IF(AND($L$37=0,$P$34=0),"",$L$37-1)),MIN(BM$38,$E61),$P$20))-SUM($BF61:BL61))</f>
        <v>0</v>
      </c>
      <c r="BN61" s="446">
        <f>IF($E61=0,0,IF(MIN(BN$38,$E61)&lt;MAX($P$34*($B61+$I$38-1),IF(AND($L$37=0,$P$34=0),"",$L$37-1)),0,YEARFRAC(MAX($P$34*($B61+$I$38-1),IF(AND($L$37=0,$P$34=0),"",$L$37-1)),MIN(BN$38,$E61),$P$20))-SUM($BF61:BM61))</f>
        <v>0</v>
      </c>
      <c r="BO61" s="446">
        <f>IF($E61=0,0,IF(MIN(BO$38,$E61)&lt;MAX($P$34*($B61+$I$38-1),IF(AND($L$37=0,$P$34=0),"",$L$37-1)),0,YEARFRAC(MAX($P$34*($B61+$I$38-1),IF(AND($L$37=0,$P$34=0),"",$L$37-1)),MIN(BO$38,$E61),$P$20))-SUM($BF61:BN61))</f>
        <v>0</v>
      </c>
      <c r="BP61" s="446">
        <f>IF($E61=0,0,IF(MIN(BP$38,$E61)&lt;MAX($P$34*($B61+$I$38-1),IF(AND($L$37=0,$P$34=0),"",$L$37-1)),0,YEARFRAC(MAX($P$34*($B61+$I$38-1),IF(AND($L$37=0,$P$34=0),"",$L$37-1)),MIN(BP$38,$E61),$P$20))-SUM($BF61:BO61))</f>
        <v>0</v>
      </c>
      <c r="BQ61" s="446">
        <f>IF($E61=0,0,IF(MIN(BQ$38,$E61)&lt;MAX($P$34*($B61+$I$38-1),IF(AND($L$37=0,$P$34=0),"",$L$37-1)),0,YEARFRAC(MAX($P$34*($B61+$I$38-1),IF(AND($L$37=0,$P$34=0),"",$L$37-1)),MIN(BQ$38,$E61),$P$20))-SUM($BF61:BP61))</f>
        <v>0</v>
      </c>
      <c r="BR61" s="446">
        <f>IF($E61=0,0,IF(MIN(BR$38,$E61)&lt;MAX($P$34*($B61+$I$38-1),IF(AND($L$37=0,$P$34=0),"",$L$37-1)),0,YEARFRAC(MAX($P$34*($B61+$I$38-1),IF(AND($L$37=0,$P$34=0),"",$L$37-1)),MIN(BR$38,$E61),$P$20))-SUM($BF61:BQ61))</f>
        <v>0</v>
      </c>
      <c r="BS61" s="446">
        <f>IF($E61=0,0,IF(MIN(BS$38,$E61)&lt;MAX($P$34*($B61+$I$38-1),IF(AND($L$37=0,$P$34=0),"",$L$37-1)),0,YEARFRAC(MAX($P$34*($B61+$I$38-1),IF(AND($L$37=0,$P$34=0),"",$L$37-1)),MIN(BS$38,$E61),$P$20))-SUM($BF61:BR61))</f>
        <v>0</v>
      </c>
      <c r="BT61" s="446">
        <f>IF($E61=0,0,IF(MIN(BT$38,$E61)&lt;MAX($P$34*($B61+$I$38-1),IF(AND($L$37=0,$P$34=0),"",$L$37-1)),0,YEARFRAC(MAX($P$34*($B61+$I$38-1),IF(AND($L$37=0,$P$34=0),"",$L$37-1)),MIN(BT$38,$E61),$P$20))-SUM($BF61:BS61))</f>
        <v>0</v>
      </c>
      <c r="BU61" s="446">
        <f>IF($E61=0,0,IF(MIN(BU$38,$E61)&lt;MAX($P$34*($B61+$I$38-1),IF(AND($L$37=0,$P$34=0),"",$L$37-1)),0,YEARFRAC(MAX($P$34*($B61+$I$38-1),IF(AND($L$37=0,$P$34=0),"",$L$37-1)),MIN(BU$38,$E61),$P$20))-SUM($BF61:BT61))</f>
        <v>0</v>
      </c>
      <c r="BV61" s="446">
        <f>IF($E61=0,0,IF(MIN(BV$38,$E61)&lt;MAX($P$34*($B61+$I$38-1),IF(AND($L$37=0,$P$34=0),"",$L$37-1)),0,YEARFRAC(MAX($P$34*($B61+$I$38-1),IF(AND($L$37=0,$P$34=0),"",$L$37-1)),MIN(BV$38,$E61),$P$20))-SUM($BF61:BU61))</f>
        <v>0</v>
      </c>
      <c r="BW61" s="446">
        <f>IF($E61=0,0,IF(MIN(BW$38,$E61)&lt;MAX($P$34*($B61+$I$38-1),IF(AND($L$37=0,$P$34=0),"",$L$37-1)),0,YEARFRAC(MAX($P$34*($B61+$I$38-1),IF(AND($L$37=0,$P$34=0),"",$L$37-1)),MIN(BW$38,$E61),$P$20))-SUM($BF61:BV61))</f>
        <v>0</v>
      </c>
      <c r="BX61" s="446">
        <f>IF($E61=0,0,IF(MIN(BX$38,$E61)&lt;MAX($P$34*($B61+$I$38-1),IF(AND($L$37=0,$P$34=0),"",$L$37-1)),0,YEARFRAC(MAX($P$34*($B61+$I$38-1),IF(AND($L$37=0,$P$34=0),"",$L$37-1)),MIN(BX$38,$E61),$P$20))-SUM($BF61:BW61))</f>
        <v>0</v>
      </c>
      <c r="BY61" s="446">
        <f>IF($E61=0,0,IF(MIN(BY$38,$E61)&lt;MAX($P$34*($B61+$I$38-1),IF(AND($L$37=0,$P$34=0),"",$L$37-1)),0,YEARFRAC(MAX($P$34*($B61+$I$38-1),IF(AND($L$37=0,$P$34=0),"",$L$37-1)),MIN(BY$38,$E61),$P$20))-SUM($BF61:BX61))</f>
        <v>0</v>
      </c>
      <c r="BZ61" s="446">
        <f>IF($E61=0,0,IF(MIN(BZ$38,$E61)&lt;MAX($P$34*($B61+$I$38-1),IF(AND($L$37=0,$P$34=0),"",$L$37-1)),0,YEARFRAC(MAX($P$34*($B61+$I$38-1),IF(AND($L$37=0,$P$34=0),"",$L$37-1)),MIN(BZ$38,$E61),$P$20))-SUM($BF61:BY61))</f>
        <v>0</v>
      </c>
      <c r="CA61" s="446">
        <f>IF($E61=0,0,IF(MIN(CA$38,$E61)&lt;MAX($P$34*($B61+$I$38-1),IF(AND($L$37=0,$P$34=0),"",$L$37-1)),0,YEARFRAC(MAX($P$34*($B61+$I$38-1),IF(AND($L$37=0,$P$34=0),"",$L$37-1)),MIN(CA$38,$E61),$P$20))-SUM($BF61:BZ61))</f>
        <v>0</v>
      </c>
      <c r="CB61" s="446">
        <f>IF($E61=0,0,IF(MIN(CB$38,$E61)&lt;MAX($P$34*($B61+$I$38-1),IF(AND($L$37=0,$P$34=0),"",$L$37-1)),0,YEARFRAC(MAX($P$34*($B61+$I$38-1),IF(AND($L$37=0,$P$34=0),"",$L$37-1)),MIN(CB$38,$E61),$P$20))-SUM($BF61:CA61))</f>
        <v>0</v>
      </c>
      <c r="CC61" s="446">
        <f>IF($E61=0,0,IF(MIN(CC$38,$E61)&lt;MAX($P$34*($B61+$I$38-1),IF(AND($L$37=0,$P$34=0),"",$L$37-1)),0,YEARFRAC(MAX($P$34*($B61+$I$38-1),IF(AND($L$37=0,$P$34=0),"",$L$37-1)),MIN(CC$38,$E61),$P$20))-SUM($BF61:CB61))</f>
        <v>0</v>
      </c>
      <c r="CD61" s="446">
        <f>IF($E61=0,0,IF(MIN(CD$38,$E61)&lt;MAX($P$34*($B61+$I$38-1),IF(AND($L$37=0,$P$34=0),"",$L$37-1)),0,YEARFRAC(MAX($P$34*($B61+$I$38-1),IF(AND($L$37=0,$P$34=0),"",$L$37-1)),MIN(CD$38,$E61),$P$20))-SUM($BF61:CC61))</f>
        <v>0</v>
      </c>
      <c r="CE61" s="446">
        <f>IF($E61=0,0,IF(MIN(CE$38,$E61)&lt;MAX($P$34*($B61+$I$38-1),IF(AND($L$37=0,$P$34=0),"",$L$37-1)),0,YEARFRAC(MAX($P$34*($B61+$I$38-1),IF(AND($L$37=0,$P$34=0),"",$L$37-1)),MIN(CE$38,$E61),$P$20))-SUM($BF61:CD61))</f>
        <v>0</v>
      </c>
      <c r="CF61" s="446">
        <f>IF($E61=0,0,IF(MIN(CF$38,$E61)&lt;MAX($P$34*($B61+$I$38-1),IF(AND($L$37=0,$P$34=0),"",$L$37-1)),0,YEARFRAC(MAX($P$34*($B61+$I$38-1),IF(AND($L$37=0,$P$34=0),"",$L$37-1)),MIN(CF$38,$E61),$P$20))-SUM($BF61:CE61))</f>
        <v>0</v>
      </c>
      <c r="CG61" s="446">
        <f>IF($E61=0,0,IF(MIN(CG$38,$E61)&lt;MAX($P$34*($B61+$I$38-1),IF(AND($L$37=0,$P$34=0),"",$L$37-1)),0,YEARFRAC(MAX($P$34*($B61+$I$38-1),IF(AND($L$37=0,$P$34=0),"",$L$37-1)),MIN(CG$38,$E61),$P$20))-SUM($BF61:CF61))</f>
        <v>0</v>
      </c>
      <c r="CH61" s="446">
        <f>IF($E61=0,0,IF(MIN(CH$38,$E61)&lt;MAX($P$34*($B61+$I$38-1),IF(AND($L$37=0,$P$34=0),"",$L$37-1)),0,YEARFRAC(MAX($P$34*($B61+$I$38-1),IF(AND($L$37=0,$P$34=0),"",$L$37-1)),MIN(CH$38,$E61),$P$20))-SUM($BF61:CG61))</f>
        <v>0</v>
      </c>
      <c r="CI61" s="446">
        <f>IF($E61=0,0,IF(MIN(CI$38,$E61)&lt;MAX($P$34*($B61+$I$38-1),IF(AND($L$37=0,$P$34=0),"",$L$37-1)),0,YEARFRAC(MAX($P$34*($B61+$I$38-1),IF(AND($L$37=0,$P$34=0),"",$L$37-1)),MIN(CI$38,$E61),$P$20))-SUM($BF61:CH61))</f>
        <v>0</v>
      </c>
      <c r="CJ61" s="446">
        <f>IF($E61=0,0,IF(MIN(CJ$38,$E61)&lt;MAX($P$34*($B61+$I$38-1),IF(AND($L$37=0,$P$34=0),"",$L$37-1)),0,YEARFRAC(MAX($P$34*($B61+$I$38-1),IF(AND($L$37=0,$P$34=0),"",$L$37-1)),MIN(CJ$38,$E61),$P$20))-SUM($BF61:CI61))</f>
        <v>0</v>
      </c>
      <c r="CK61" s="446">
        <f>IF($E61=0,0,IF(MIN(CK$38,$E61)&lt;MAX($P$34*($B61+$I$38-1),IF(AND($L$37=0,$P$34=0),"",$L$37-1)),0,YEARFRAC(MAX($P$34*($B61+$I$38-1),IF(AND($L$37=0,$P$34=0),"",$L$37-1)),MIN(CK$38,$E61),$P$20))-SUM($BF61:CJ61))</f>
        <v>0</v>
      </c>
      <c r="CL61" s="446">
        <f>IF($E61=0,0,IF(MIN(CL$38,$E61)&lt;MAX($P$34*($B61+$I$38-1),IF(AND($L$37=0,$P$34=0),"",$L$37-1)),0,YEARFRAC(MAX($P$34*($B61+$I$38-1),IF(AND($L$37=0,$P$34=0),"",$L$37-1)),MIN(CL$38,$E61),$P$20))-SUM($BF61:CK61))</f>
        <v>0</v>
      </c>
      <c r="CM61" s="446">
        <f>IF($E61=0,0,IF(MIN(CM$38,$E61)&lt;MAX($P$34*($B61+$I$38-1),IF(AND($L$37=0,$P$34=0),"",$L$37-1)),0,YEARFRAC(MAX($P$34*($B61+$I$38-1),IF(AND($L$37=0,$P$34=0),"",$L$37-1)),MIN(CM$38,$E61),$P$20))-SUM($BF61:CL61))</f>
        <v>0</v>
      </c>
      <c r="CN61" s="446">
        <f>IF($E61=0,0,IF(MIN(CN$38,$E61)&lt;MAX($P$34*($B61+$I$38-1),IF(AND($L$37=0,$P$34=0),"",$L$37-1)),0,YEARFRAC(MAX($P$34*($B61+$I$38-1),IF(AND($L$37=0,$P$34=0),"",$L$37-1)),MIN(CN$38,$E61),$P$20))-SUM($BF61:CM61))</f>
        <v>0</v>
      </c>
      <c r="CO61" s="446">
        <f>IF($E61=0,0,IF(MIN(CO$38,$E61)&lt;MAX($P$34*($B61+$I$38-1),IF(AND($L$37=0,$P$34=0),"",$L$37-1)),0,YEARFRAC(MAX($P$34*($B61+$I$38-1),IF(AND($L$37=0,$P$34=0),"",$L$37-1)),MIN(CO$38,$E61),$P$20))-SUM($BF61:CN61))</f>
        <v>0</v>
      </c>
      <c r="CP61" s="446">
        <f>IF($E61=0,0,IF(MIN(CP$38,$E61)&lt;MAX($P$34*($B61+$I$38-1),IF(AND($L$37=0,$P$34=0),"",$L$37-1)),0,YEARFRAC(MAX($P$34*($B61+$I$38-1),IF(AND($L$37=0,$P$34=0),"",$L$37-1)),MIN(CP$38,$E61),$P$20))-SUM($BF61:CO61))</f>
        <v>0</v>
      </c>
      <c r="CQ61" s="446">
        <f>IF($E61=0,0,IF(MIN(CQ$38,$E61)&lt;MAX($P$34*($B61+$I$38-1),IF(AND($L$37=0,$P$34=0),"",$L$37-1)),0,YEARFRAC(MAX($P$34*($B61+$I$38-1),IF(AND($L$37=0,$P$34=0),"",$L$37-1)),MIN(CQ$38,$E61),$P$20))-SUM($BF61:CP61))</f>
        <v>0</v>
      </c>
    </row>
    <row r="62" spans="1:95" s="446" customFormat="1" ht="11.25" hidden="1" customHeight="1" x14ac:dyDescent="0.2">
      <c r="A62" s="152"/>
      <c r="B62" s="153" t="str">
        <f t="shared" si="15"/>
        <v/>
      </c>
      <c r="C62" s="29" t="str">
        <f>IF(B62="","",IF($L$35="SELIC - TRIBUTOS",VLOOKUP(DATE(YEAR($D$19),MONTH($D$19)-1,1),ÍNDICES!$A:$DE,HLOOKUP($BL$25,ÍNDICES!$B$3:$T$4,2)+11)-VLOOKUP(B62,ÍNDICES!$A:$DE,HLOOKUP($BL$25,ÍNDICES!$B$3:$T$4,2)+11)+1%,IF(C$38=$W$26,$J$35,IF(ISERROR(IF(B62&gt;$D$19,1,VLOOKUP(DATE(YEAR(B62),MONTH(B62)+IF($C$35=$S$23,1,0),1),ÍNDICES!$A:$DE,$Z$35+1))),"",IF(B62&gt;$D$19,1,VLOOKUP(DATE(YEAR(B62),MONTH(B62)+IF($C$35=$S$23,1,0),1),ÍNDICES!$A:$DE,$Z$35+1))))))</f>
        <v/>
      </c>
      <c r="D62" s="154" t="str">
        <f>IF(ISERROR(IF(OR($D$38=$Y$27,$B62=""),"",VLOOKUP(B62,ÍNDICES!A:DE,AF$35+1))),"",IF(OR($D$38=$Y$27,$B62=""),"",VLOOKUP(B62,ÍNDICES!A:DE,AF$35+1)))</f>
        <v/>
      </c>
      <c r="E62" s="153"/>
      <c r="F62" s="29" t="str">
        <f>IF(E62="","",IF($L$35="SELIC - TRIBUTOS",VLOOKUP(DATE(YEAR($D$19),MONTH($D$19)-1,1),ÍNDICES!$A:$DE,HLOOKUP($BL$25,ÍNDICES!$B$3:$T$4,2)+11)-VLOOKUP(E62,ÍNDICES!$A:$DE,HLOOKUP($BL$25,ÍNDICES!$B$3:$T$4,2)+11)+1%,IF(F$38=$W$26,$J$35,IF(ISERROR(IF(E62&gt;$D$19,1,VLOOKUP(DATE(YEAR(E62),MONTH(E62)+IF($C$35=$S$23,1,0),1),ÍNDICES!$A:$DE,$Z$35+1))),"",IF(E62&gt;$D$19,1,VLOOKUP(DATE(YEAR(E62),MONTH(E62)+IF($C$35=$S$23,1,0),1),ÍNDICES!$A:$DE,$Z$35+1))))))</f>
        <v/>
      </c>
      <c r="G62" s="155"/>
      <c r="H62" s="156" t="str">
        <f t="shared" si="11"/>
        <v/>
      </c>
      <c r="I62" s="29" t="str">
        <f t="shared" si="5"/>
        <v/>
      </c>
      <c r="J62" s="5">
        <f t="shared" si="6"/>
        <v>0</v>
      </c>
      <c r="K62" s="20">
        <f t="shared" ca="1" si="7"/>
        <v>0</v>
      </c>
      <c r="L62" s="5">
        <f t="shared" ca="1" si="8"/>
        <v>0</v>
      </c>
      <c r="M62" s="64">
        <f t="shared" si="12"/>
        <v>0</v>
      </c>
      <c r="N62" s="61">
        <f t="shared" ca="1" si="13"/>
        <v>0</v>
      </c>
      <c r="O62" s="5">
        <f t="shared" ca="1" si="14"/>
        <v>0</v>
      </c>
      <c r="P62" s="446" t="e">
        <f t="shared" si="9"/>
        <v>#VALUE!</v>
      </c>
      <c r="Q62" s="446" t="e">
        <f>IF(OR($B62="",MIN(Q$38,$D$19)&lt;MAX($P$34*($B62+IF($R$17="Distrato",$I$38-1,0)),IF(AND($L$37=0,$P$34=0),"",$L$37-1),IF($R$17="Distrato",$E62,0))),0,YEARFRAC(MAX($P$34*($B62+IF($R$17="Distrato",$I$38-1,0)),IF(AND($L$37=0,$P$34=0),"",$L$37-1),IF($R$17="Distrato",$E62,0)),MIN(Q$38,$D$19),$P$20))-SUM($P62:P62)</f>
        <v>#VALUE!</v>
      </c>
      <c r="R62" s="446" t="e">
        <f>IF(OR($B62="",MIN(R$38,$D$19)&lt;MAX($P$34*($B62+IF($R$17="Distrato",$I$38-1,0)),IF(AND($L$37=0,$P$34=0),"",$L$37-1),IF($R$17="Distrato",$E62,0))),0,YEARFRAC(MAX($P$34*($B62+IF($R$17="Distrato",$I$38-1,0)),IF(AND($L$37=0,$P$34=0),"",$L$37-1),IF($R$17="Distrato",$E62,0)),MIN(R$38,$D$19),$P$20))-SUM($P62:Q62)</f>
        <v>#VALUE!</v>
      </c>
      <c r="S62" s="446" t="e">
        <f>IF(OR($B62="",MIN(S$38,$D$19)&lt;MAX($P$34*($B62+IF($R$17="Distrato",$I$38-1,0)),IF(AND($L$37=0,$P$34=0),"",$L$37-1),IF($R$17="Distrato",$E62,0))),0,YEARFRAC(MAX($P$34*($B62+IF($R$17="Distrato",$I$38-1,0)),IF(AND($L$37=0,$P$34=0),"",$L$37-1),IF($R$17="Distrato",$E62,0)),MIN(S$38,$D$19),$P$20))-SUM($P62:R62)</f>
        <v>#VALUE!</v>
      </c>
      <c r="T62" s="446" t="e">
        <f>IF(OR($B62="",MIN(T$38,$D$19)&lt;MAX($P$34*($B62+IF($R$17="Distrato",$I$38-1,0)),IF(AND($L$37=0,$P$34=0),"",$L$37-1),IF($R$17="Distrato",$E62,0))),0,YEARFRAC(MAX($P$34*($B62+IF($R$17="Distrato",$I$38-1,0)),IF(AND($L$37=0,$P$34=0),"",$L$37-1),IF($R$17="Distrato",$E62,0)),MIN(T$38,$D$19),$P$20))-SUM($P62:S62)</f>
        <v>#VALUE!</v>
      </c>
      <c r="U62" s="446" t="e">
        <f>IF(OR($B62="",MIN(U$38,$D$19)&lt;MAX($P$34*($B62+IF($R$17="Distrato",$I$38-1,0)),IF(AND($L$37=0,$P$34=0),"",$L$37-1),IF($R$17="Distrato",$E62,0))),0,YEARFRAC(MAX($P$34*($B62+IF($R$17="Distrato",$I$38-1,0)),IF(AND($L$37=0,$P$34=0),"",$L$37-1),IF($R$17="Distrato",$E62,0)),MIN(U$38,$D$19),$P$20))-SUM($P62:T62)</f>
        <v>#VALUE!</v>
      </c>
      <c r="V62" s="446" t="e">
        <f>IF(OR($B62="",MIN(V$38,$D$19)&lt;MAX($P$34*($B62+IF($R$17="Distrato",$I$38-1,0)),IF(AND($L$37=0,$P$34=0),"",$L$37-1),IF($R$17="Distrato",$E62,0))),0,YEARFRAC(MAX($P$34*($B62+IF($R$17="Distrato",$I$38-1,0)),IF(AND($L$37=0,$P$34=0),"",$L$37-1),IF($R$17="Distrato",$E62,0)),MIN(V$38,$D$19),$P$20))-SUM($P62:U62)</f>
        <v>#VALUE!</v>
      </c>
      <c r="W62" s="446" t="e">
        <f>IF(OR($B62="",MIN(W$38,$D$19)&lt;MAX($P$34*($B62+IF($R$17="Distrato",$I$38-1,0)),IF(AND($L$37=0,$P$34=0),"",$L$37-1),IF($R$17="Distrato",$E62,0))),0,YEARFRAC(MAX($P$34*($B62+IF($R$17="Distrato",$I$38-1,0)),IF(AND($L$37=0,$P$34=0),"",$L$37-1),IF($R$17="Distrato",$E62,0)),MIN(W$38,$D$19),$P$20))-SUM($P62:V62)</f>
        <v>#VALUE!</v>
      </c>
      <c r="X62" s="446" t="e">
        <f>IF(OR($B62="",MIN(X$38,$D$19)&lt;MAX($P$34*($B62+IF($R$17="Distrato",$I$38-1,0)),IF(AND($L$37=0,$P$34=0),"",$L$37-1),IF($R$17="Distrato",$E62,0))),0,YEARFRAC(MAX($P$34*($B62+IF($R$17="Distrato",$I$38-1,0)),IF(AND($L$37=0,$P$34=0),"",$L$37-1),IF($R$17="Distrato",$E62,0)),MIN(X$38,$D$19),$P$20))-SUM($P62:W62)</f>
        <v>#VALUE!</v>
      </c>
      <c r="Y62" s="446" t="e">
        <f>IF(OR($B62="",MIN(Y$38,$D$19)&lt;MAX($P$34*($B62+IF($R$17="Distrato",$I$38-1,0)),IF(AND($L$37=0,$P$34=0),"",$L$37-1),IF($R$17="Distrato",$E62,0))),0,YEARFRAC(MAX($P$34*($B62+IF($R$17="Distrato",$I$38-1,0)),IF(AND($L$37=0,$P$34=0),"",$L$37-1),IF($R$17="Distrato",$E62,0)),MIN(Y$38,$D$19),$P$20))-SUM($P62:X62)</f>
        <v>#VALUE!</v>
      </c>
      <c r="Z62" s="446" t="e">
        <f>IF(OR($B62="",MIN(Z$38,$D$19)&lt;MAX($P$34*($B62+IF($R$17="Distrato",$I$38-1,0)),IF(AND($L$37=0,$P$34=0),"",$L$37-1),IF($R$17="Distrato",$E62,0))),0,YEARFRAC(MAX($P$34*($B62+IF($R$17="Distrato",$I$38-1,0)),IF(AND($L$37=0,$P$34=0),"",$L$37-1),IF($R$17="Distrato",$E62,0)),MIN(Z$38,$D$19),$P$20))-SUM($P62:Y62)</f>
        <v>#VALUE!</v>
      </c>
      <c r="AA62" s="446" t="e">
        <f>IF(OR($B62="",MIN(AA$38,$D$19)&lt;MAX($P$34*($B62+IF($R$17="Distrato",$I$38-1,0)),IF(AND($L$37=0,$P$34=0),"",$L$37-1),IF($R$17="Distrato",$E62,0))),0,YEARFRAC(MAX($P$34*($B62+IF($R$17="Distrato",$I$38-1,0)),IF(AND($L$37=0,$P$34=0),"",$L$37-1),IF($R$17="Distrato",$E62,0)),MIN(AA$38,$D$19),$P$20))-SUM($P62:Z62)</f>
        <v>#VALUE!</v>
      </c>
      <c r="AB62" s="446" t="e">
        <f>IF(OR($B62="",MIN(AB$38,$D$19)&lt;MAX($P$34*($B62+IF($R$17="Distrato",$I$38-1,0)),IF(AND($L$37=0,$P$34=0),"",$L$37-1),IF($R$17="Distrato",$E62,0))),0,YEARFRAC(MAX($P$34*($B62+IF($R$17="Distrato",$I$38-1,0)),IF(AND($L$37=0,$P$34=0),"",$L$37-1),IF($R$17="Distrato",$E62,0)),MIN(AB$38,$D$19),$P$20))-SUM($P62:AA62)</f>
        <v>#VALUE!</v>
      </c>
      <c r="AC62" s="446" t="e">
        <f>IF(OR($B62="",MIN(AC$38,$D$19)&lt;MAX($P$34*($B62+IF($R$17="Distrato",$I$38-1,0)),IF(AND($L$37=0,$P$34=0),"",$L$37-1),IF($R$17="Distrato",$E62,0))),0,YEARFRAC(MAX($P$34*($B62+IF($R$17="Distrato",$I$38-1,0)),IF(AND($L$37=0,$P$34=0),"",$L$37-1),IF($R$17="Distrato",$E62,0)),MIN(AC$38,$D$19),$P$20))-SUM($P62:AB62)</f>
        <v>#VALUE!</v>
      </c>
      <c r="AD62" s="446" t="e">
        <f>IF(OR($B62="",MIN(AD$38,$D$19)&lt;MAX($P$34*($B62+IF($R$17="Distrato",$I$38-1,0)),IF(AND($L$37=0,$P$34=0),"",$L$37-1),IF($R$17="Distrato",$E62,0))),0,YEARFRAC(MAX($P$34*($B62+IF($R$17="Distrato",$I$38-1,0)),IF(AND($L$37=0,$P$34=0),"",$L$37-1),IF($R$17="Distrato",$E62,0)),MIN(AD$38,$D$19),$P$20))-SUM($P62:AC62)</f>
        <v>#VALUE!</v>
      </c>
      <c r="AE62" s="446" t="e">
        <f>IF(OR($B62="",MIN(AE$38,$D$19)&lt;MAX($P$34*($B62+IF($R$17="Distrato",$I$38-1,0)),IF(AND($L$37=0,$P$34=0),"",$L$37-1),IF($R$17="Distrato",$E62,0))),0,YEARFRAC(MAX($P$34*($B62+IF($R$17="Distrato",$I$38-1,0)),IF(AND($L$37=0,$P$34=0),"",$L$37-1),IF($R$17="Distrato",$E62,0)),MIN(AE$38,$D$19),$P$20))-SUM($P62:AD62)</f>
        <v>#VALUE!</v>
      </c>
      <c r="AF62" s="446" t="e">
        <f>IF(OR($B62="",MIN(AF$38,$D$19)&lt;MAX($P$34*($B62+IF($R$17="Distrato",$I$38-1,0)),IF(AND($L$37=0,$P$34=0),"",$L$37-1),IF($R$17="Distrato",$E62,0))),0,YEARFRAC(MAX($P$34*($B62+IF($R$17="Distrato",$I$38-1,0)),IF(AND($L$37=0,$P$34=0),"",$L$37-1),IF($R$17="Distrato",$E62,0)),MIN(AF$38,$D$19),$P$20))-SUM($P62:AE62)</f>
        <v>#VALUE!</v>
      </c>
      <c r="AG62" s="446" t="e">
        <f>IF(OR($B62="",MIN(AG$38,$D$19)&lt;MAX($P$34*($B62+IF($R$17="Distrato",$I$38-1,0)),IF(AND($L$37=0,$P$34=0),"",$L$37-1),IF($R$17="Distrato",$E62,0))),0,YEARFRAC(MAX($P$34*($B62+IF($R$17="Distrato",$I$38-1,0)),IF(AND($L$37=0,$P$34=0),"",$L$37-1),IF($R$17="Distrato",$E62,0)),MIN(AG$38,$D$19),$P$20))-SUM($P62:AF62)</f>
        <v>#VALUE!</v>
      </c>
      <c r="AH62" s="446" t="e">
        <f>IF(OR($B62="",MIN(AH$38,$D$19)&lt;MAX($P$34*($B62+IF($R$17="Distrato",$I$38-1,0)),IF(AND($L$37=0,$P$34=0),"",$L$37-1),IF($R$17="Distrato",$E62,0))),0,YEARFRAC(MAX($P$34*($B62+IF($R$17="Distrato",$I$38-1,0)),IF(AND($L$37=0,$P$34=0),"",$L$37-1),IF($R$17="Distrato",$E62,0)),MIN(AH$38,$D$19),$P$20))-SUM($P62:AG62)</f>
        <v>#VALUE!</v>
      </c>
      <c r="AI62" s="446" t="e">
        <f>IF(OR($B62="",MIN(AI$38,$D$19)&lt;MAX($P$34*($B62+IF($R$17="Distrato",$I$38-1,0)),IF(AND($L$37=0,$P$34=0),"",$L$37-1),IF($R$17="Distrato",$E62,0))),0,YEARFRAC(MAX($P$34*($B62+IF($R$17="Distrato",$I$38-1,0)),IF(AND($L$37=0,$P$34=0),"",$L$37-1),IF($R$17="Distrato",$E62,0)),MIN(AI$38,$D$19),$P$20))-SUM($P62:AH62)</f>
        <v>#VALUE!</v>
      </c>
      <c r="AJ62" s="446" t="e">
        <f>IF(OR($B62="",MIN(AJ$38,$D$19)&lt;MAX($P$34*($B62+IF($R$17="Distrato",$I$38-1,0)),IF(AND($L$37=0,$P$34=0),"",$L$37-1),IF($R$17="Distrato",$E62,0))),0,YEARFRAC(MAX($P$34*($B62+IF($R$17="Distrato",$I$38-1,0)),IF(AND($L$37=0,$P$34=0),"",$L$37-1),IF($R$17="Distrato",$E62,0)),MIN(AJ$38,$D$19),$P$20))-SUM($P62:AI62)</f>
        <v>#VALUE!</v>
      </c>
      <c r="AK62" s="446" t="e">
        <f>IF(OR($B62="",MIN(AK$38,$D$19)&lt;MAX($P$34*($B62+IF($R$17="Distrato",$I$38-1,0)),IF(AND($L$37=0,$P$34=0),"",$L$37-1),IF($R$17="Distrato",$E62,0))),0,YEARFRAC(MAX($P$34*($B62+IF($R$17="Distrato",$I$38-1,0)),IF(AND($L$37=0,$P$34=0),"",$L$37-1),IF($R$17="Distrato",$E62,0)),MIN(AK$38,$D$19),$P$20))-SUM($P62:AJ62)</f>
        <v>#VALUE!</v>
      </c>
      <c r="AL62" s="446" t="e">
        <f>IF(OR($B62="",MIN(AL$38,$D$19)&lt;MAX($P$34*($B62+IF($R$17="Distrato",$I$38-1,0)),IF(AND($L$37=0,$P$34=0),"",$L$37-1),IF($R$17="Distrato",$E62,0))),0,YEARFRAC(MAX($P$34*($B62+IF($R$17="Distrato",$I$38-1,0)),IF(AND($L$37=0,$P$34=0),"",$L$37-1),IF($R$17="Distrato",$E62,0)),MIN(AL$38,$D$19),$P$20))-SUM($P62:AK62)</f>
        <v>#VALUE!</v>
      </c>
      <c r="AM62" s="446" t="e">
        <f>IF(OR($B62="",MIN(AM$38,$D$19)&lt;MAX($P$34*($B62+IF($R$17="Distrato",$I$38-1,0)),IF(AND($L$37=0,$P$34=0),"",$L$37-1),IF($R$17="Distrato",$E62,0))),0,YEARFRAC(MAX($P$34*($B62+IF($R$17="Distrato",$I$38-1,0)),IF(AND($L$37=0,$P$34=0),"",$L$37-1),IF($R$17="Distrato",$E62,0)),MIN(AM$38,$D$19),$P$20))-SUM($P62:AL62)</f>
        <v>#VALUE!</v>
      </c>
      <c r="AN62" s="446" t="e">
        <f>IF(OR($B62="",MIN(AN$38,$D$19)&lt;MAX($P$34*($B62+IF($R$17="Distrato",$I$38-1,0)),IF(AND($L$37=0,$P$34=0),"",$L$37-1),IF($R$17="Distrato",$E62,0))),0,YEARFRAC(MAX($P$34*($B62+IF($R$17="Distrato",$I$38-1,0)),IF(AND($L$37=0,$P$34=0),"",$L$37-1),IF($R$17="Distrato",$E62,0)),MIN(AN$38,$D$19),$P$20))-SUM($P62:AM62)</f>
        <v>#VALUE!</v>
      </c>
      <c r="AO62" s="446" t="e">
        <f>IF(OR($B62="",MIN(AO$38,$D$19)&lt;MAX($P$34*($B62+IF($R$17="Distrato",$I$38-1,0)),IF(AND($L$37=0,$P$34=0),"",$L$37-1),IF($R$17="Distrato",$E62,0))),0,YEARFRAC(MAX($P$34*($B62+IF($R$17="Distrato",$I$38-1,0)),IF(AND($L$37=0,$P$34=0),"",$L$37-1),IF($R$17="Distrato",$E62,0)),MIN(AO$38,$D$19),$P$20))-SUM($P62:AN62)</f>
        <v>#VALUE!</v>
      </c>
      <c r="AP62" s="446" t="e">
        <f>IF(OR($B62="",MIN(AP$38,$D$19)&lt;MAX($P$34*($B62+IF($R$17="Distrato",$I$38-1,0)),IF(AND($L$37=0,$P$34=0),"",$L$37-1),IF($R$17="Distrato",$E62,0))),0,YEARFRAC(MAX($P$34*($B62+IF($R$17="Distrato",$I$38-1,0)),IF(AND($L$37=0,$P$34=0),"",$L$37-1),IF($R$17="Distrato",$E62,0)),MIN(AP$38,$D$19),$P$20))-SUM($P62:AO62)</f>
        <v>#VALUE!</v>
      </c>
      <c r="AQ62" s="446" t="e">
        <f>IF(OR($B62="",MIN(AQ$38,$D$19)&lt;MAX($P$34*($B62+IF($R$17="Distrato",$I$38-1,0)),IF(AND($L$37=0,$P$34=0),"",$L$37-1),IF($R$17="Distrato",$E62,0))),0,YEARFRAC(MAX($P$34*($B62+IF($R$17="Distrato",$I$38-1,0)),IF(AND($L$37=0,$P$34=0),"",$L$37-1),IF($R$17="Distrato",$E62,0)),MIN(AQ$38,$D$19),$P$20))-SUM($P62:AP62)</f>
        <v>#VALUE!</v>
      </c>
      <c r="AR62" s="446" t="e">
        <f>IF(OR($B62="",MIN(AR$38,$D$19)&lt;MAX($P$34*($B62+IF($R$17="Distrato",$I$38-1,0)),IF(AND($L$37=0,$P$34=0),"",$L$37-1),IF($R$17="Distrato",$E62,0))),0,YEARFRAC(MAX($P$34*($B62+IF($R$17="Distrato",$I$38-1,0)),IF(AND($L$37=0,$P$34=0),"",$L$37-1),IF($R$17="Distrato",$E62,0)),MIN(AR$38,$D$19),$P$20))-SUM($P62:AQ62)</f>
        <v>#VALUE!</v>
      </c>
      <c r="AS62" s="446" t="e">
        <f>IF(OR($B62="",MIN(AS$38,$D$19)&lt;MAX($P$34*($B62+IF($R$17="Distrato",$I$38-1,0)),IF(AND($L$37=0,$P$34=0),"",$L$37-1),IF($R$17="Distrato",$E62,0))),0,YEARFRAC(MAX($P$34*($B62+IF($R$17="Distrato",$I$38-1,0)),IF(AND($L$37=0,$P$34=0),"",$L$37-1),IF($R$17="Distrato",$E62,0)),MIN(AS$38,$D$19),$P$20))-SUM($P62:AR62)</f>
        <v>#VALUE!</v>
      </c>
      <c r="AT62" s="446" t="e">
        <f>IF(OR($B62="",MIN(AT$38,$D$19)&lt;MAX($P$34*($B62+IF($R$17="Distrato",$I$38-1,0)),IF(AND($L$37=0,$P$34=0),"",$L$37-1),IF($R$17="Distrato",$E62,0))),0,YEARFRAC(MAX($P$34*($B62+IF($R$17="Distrato",$I$38-1,0)),IF(AND($L$37=0,$P$34=0),"",$L$37-1),IF($R$17="Distrato",$E62,0)),MIN(AT$38,$D$19),$P$20))-SUM($P62:AS62)</f>
        <v>#VALUE!</v>
      </c>
      <c r="AU62" s="446" t="e">
        <f>IF(OR($B62="",MIN(AU$38,$D$19)&lt;MAX($P$34*($B62+IF($R$17="Distrato",$I$38-1,0)),IF(AND($L$37=0,$P$34=0),"",$L$37-1),IF($R$17="Distrato",$E62,0))),0,YEARFRAC(MAX($P$34*($B62+IF($R$17="Distrato",$I$38-1,0)),IF(AND($L$37=0,$P$34=0),"",$L$37-1),IF($R$17="Distrato",$E62,0)),MIN(AU$38,$D$19),$P$20))-SUM($P62:AT62)</f>
        <v>#VALUE!</v>
      </c>
      <c r="AV62" s="446" t="e">
        <f>IF(OR($B62="",MIN(AV$38,$D$19)&lt;MAX($P$34*($B62+IF($R$17="Distrato",$I$38-1,0)),IF(AND($L$37=0,$P$34=0),"",$L$37-1),IF($R$17="Distrato",$E62,0))),0,YEARFRAC(MAX($P$34*($B62+IF($R$17="Distrato",$I$38-1,0)),IF(AND($L$37=0,$P$34=0),"",$L$37-1),IF($R$17="Distrato",$E62,0)),MIN(AV$38,$D$19),$P$20))-SUM($P62:AU62)</f>
        <v>#VALUE!</v>
      </c>
      <c r="AW62" s="446" t="e">
        <f>IF(OR($B62="",MIN(AW$38,$D$19)&lt;MAX($P$34*($B62+IF($R$17="Distrato",$I$38-1,0)),IF(AND($L$37=0,$P$34=0),"",$L$37-1),IF($R$17="Distrato",$E62,0))),0,YEARFRAC(MAX($P$34*($B62+IF($R$17="Distrato",$I$38-1,0)),IF(AND($L$37=0,$P$34=0),"",$L$37-1),IF($R$17="Distrato",$E62,0)),MIN(AW$38,$D$19),$P$20))-SUM($P62:AV62)</f>
        <v>#VALUE!</v>
      </c>
      <c r="AX62" s="446" t="e">
        <f>IF(OR($B62="",MIN(AX$38,$D$19)&lt;MAX($P$34*($B62+IF($R$17="Distrato",$I$38-1,0)),IF(AND($L$37=0,$P$34=0),"",$L$37-1),IF($R$17="Distrato",$E62,0))),0,YEARFRAC(MAX($P$34*($B62+IF($R$17="Distrato",$I$38-1,0)),IF(AND($L$37=0,$P$34=0),"",$L$37-1),IF($R$17="Distrato",$E62,0)),MIN(AX$38,$D$19),$P$20))-SUM($P62:AW62)</f>
        <v>#VALUE!</v>
      </c>
      <c r="AY62" s="446" t="e">
        <f>IF(OR($B62="",MIN(AY$38,$D$19)&lt;MAX($P$34*($B62+IF($R$17="Distrato",$I$38-1,0)),IF(AND($L$37=0,$P$34=0),"",$L$37-1),IF($R$17="Distrato",$E62,0))),0,YEARFRAC(MAX($P$34*($B62+IF($R$17="Distrato",$I$38-1,0)),IF(AND($L$37=0,$P$34=0),"",$L$37-1),IF($R$17="Distrato",$E62,0)),MIN(AY$38,$D$19),$P$20))-SUM($P62:AX62)</f>
        <v>#VALUE!</v>
      </c>
      <c r="AZ62" s="446" t="e">
        <f>IF(OR($B62="",MIN(AZ$38,$D$19)&lt;MAX($P$34*($B62+IF($R$17="Distrato",$I$38-1,0)),IF(AND($L$37=0,$P$34=0),"",$L$37-1),IF($R$17="Distrato",$E62,0))),0,YEARFRAC(MAX($P$34*($B62+IF($R$17="Distrato",$I$38-1,0)),IF(AND($L$37=0,$P$34=0),"",$L$37-1),IF($R$17="Distrato",$E62,0)),MIN(AZ$38,$D$19),$P$20))-SUM($P62:AY62)</f>
        <v>#VALUE!</v>
      </c>
      <c r="BA62" s="446" t="e">
        <f>IF(OR($B62="",MIN(BA$38,$D$19)&lt;MAX($P$34*($B62+IF($R$17="Distrato",$I$38-1,0)),IF(AND($L$37=0,$P$34=0),"",$L$37-1),IF($R$17="Distrato",$E62,0))),0,YEARFRAC(MAX($P$34*($B62+IF($R$17="Distrato",$I$38-1,0)),IF(AND($L$37=0,$P$34=0),"",$L$37-1),IF($R$17="Distrato",$E62,0)),MIN(BA$38,$D$19),$P$20))-SUM($P62:AZ62)</f>
        <v>#VALUE!</v>
      </c>
      <c r="BB62" s="447"/>
      <c r="BF62" s="446">
        <f t="shared" si="10"/>
        <v>0</v>
      </c>
      <c r="BG62" s="446">
        <f>IF($E62=0,0,IF(MIN(BG$38,$E62)&lt;MAX($P$34*($B62+$I$38-1),IF(AND($L$37=0,$P$34=0),"",$L$37-1)),0,YEARFRAC(MAX($P$34*($B62+$I$38-1),IF(AND($L$37=0,$P$34=0),"",$L$37-1)),MIN(BG$38,$E62),$P$20))-SUM($BF62:BF62))</f>
        <v>0</v>
      </c>
      <c r="BH62" s="446">
        <f>IF($E62=0,0,IF(MIN(BH$38,$E62)&lt;MAX($P$34*($B62+$I$38-1),IF(AND($L$37=0,$P$34=0),"",$L$37-1)),0,YEARFRAC(MAX($P$34*($B62+$I$38-1),IF(AND($L$37=0,$P$34=0),"",$L$37-1)),MIN(BH$38,$E62),$P$20))-SUM($BF62:BG62))</f>
        <v>0</v>
      </c>
      <c r="BI62" s="446">
        <f>IF($E62=0,0,IF(MIN(BI$38,$E62)&lt;MAX($P$34*($B62+$I$38-1),IF(AND($L$37=0,$P$34=0),"",$L$37-1)),0,YEARFRAC(MAX($P$34*($B62+$I$38-1),IF(AND($L$37=0,$P$34=0),"",$L$37-1)),MIN(BI$38,$E62),$P$20))-SUM($BF62:BH62))</f>
        <v>0</v>
      </c>
      <c r="BJ62" s="446">
        <f>IF($E62=0,0,IF(MIN(BJ$38,$E62)&lt;MAX($P$34*($B62+$I$38-1),IF(AND($L$37=0,$P$34=0),"",$L$37-1)),0,YEARFRAC(MAX($P$34*($B62+$I$38-1),IF(AND($L$37=0,$P$34=0),"",$L$37-1)),MIN(BJ$38,$E62),$P$20))-SUM($BF62:BI62))</f>
        <v>0</v>
      </c>
      <c r="BK62" s="446">
        <f>IF($E62=0,0,IF(MIN(BK$38,$E62)&lt;MAX($P$34*($B62+$I$38-1),IF(AND($L$37=0,$P$34=0),"",$L$37-1)),0,YEARFRAC(MAX($P$34*($B62+$I$38-1),IF(AND($L$37=0,$P$34=0),"",$L$37-1)),MIN(BK$38,$E62),$P$20))-SUM($BF62:BJ62))</f>
        <v>0</v>
      </c>
      <c r="BL62" s="446">
        <f>IF($E62=0,0,IF(MIN(BL$38,$E62)&lt;MAX($P$34*($B62+$I$38-1),IF(AND($L$37=0,$P$34=0),"",$L$37-1)),0,YEARFRAC(MAX($P$34*($B62+$I$38-1),IF(AND($L$37=0,$P$34=0),"",$L$37-1)),MIN(BL$38,$E62),$P$20))-SUM($BF62:BK62))</f>
        <v>0</v>
      </c>
      <c r="BM62" s="446">
        <f>IF($E62=0,0,IF(MIN(BM$38,$E62)&lt;MAX($P$34*($B62+$I$38-1),IF(AND($L$37=0,$P$34=0),"",$L$37-1)),0,YEARFRAC(MAX($P$34*($B62+$I$38-1),IF(AND($L$37=0,$P$34=0),"",$L$37-1)),MIN(BM$38,$E62),$P$20))-SUM($BF62:BL62))</f>
        <v>0</v>
      </c>
      <c r="BN62" s="446">
        <f>IF($E62=0,0,IF(MIN(BN$38,$E62)&lt;MAX($P$34*($B62+$I$38-1),IF(AND($L$37=0,$P$34=0),"",$L$37-1)),0,YEARFRAC(MAX($P$34*($B62+$I$38-1),IF(AND($L$37=0,$P$34=0),"",$L$37-1)),MIN(BN$38,$E62),$P$20))-SUM($BF62:BM62))</f>
        <v>0</v>
      </c>
      <c r="BO62" s="446">
        <f>IF($E62=0,0,IF(MIN(BO$38,$E62)&lt;MAX($P$34*($B62+$I$38-1),IF(AND($L$37=0,$P$34=0),"",$L$37-1)),0,YEARFRAC(MAX($P$34*($B62+$I$38-1),IF(AND($L$37=0,$P$34=0),"",$L$37-1)),MIN(BO$38,$E62),$P$20))-SUM($BF62:BN62))</f>
        <v>0</v>
      </c>
      <c r="BP62" s="446">
        <f>IF($E62=0,0,IF(MIN(BP$38,$E62)&lt;MAX($P$34*($B62+$I$38-1),IF(AND($L$37=0,$P$34=0),"",$L$37-1)),0,YEARFRAC(MAX($P$34*($B62+$I$38-1),IF(AND($L$37=0,$P$34=0),"",$L$37-1)),MIN(BP$38,$E62),$P$20))-SUM($BF62:BO62))</f>
        <v>0</v>
      </c>
      <c r="BQ62" s="446">
        <f>IF($E62=0,0,IF(MIN(BQ$38,$E62)&lt;MAX($P$34*($B62+$I$38-1),IF(AND($L$37=0,$P$34=0),"",$L$37-1)),0,YEARFRAC(MAX($P$34*($B62+$I$38-1),IF(AND($L$37=0,$P$34=0),"",$L$37-1)),MIN(BQ$38,$E62),$P$20))-SUM($BF62:BP62))</f>
        <v>0</v>
      </c>
      <c r="BR62" s="446">
        <f>IF($E62=0,0,IF(MIN(BR$38,$E62)&lt;MAX($P$34*($B62+$I$38-1),IF(AND($L$37=0,$P$34=0),"",$L$37-1)),0,YEARFRAC(MAX($P$34*($B62+$I$38-1),IF(AND($L$37=0,$P$34=0),"",$L$37-1)),MIN(BR$38,$E62),$P$20))-SUM($BF62:BQ62))</f>
        <v>0</v>
      </c>
      <c r="BS62" s="446">
        <f>IF($E62=0,0,IF(MIN(BS$38,$E62)&lt;MAX($P$34*($B62+$I$38-1),IF(AND($L$37=0,$P$34=0),"",$L$37-1)),0,YEARFRAC(MAX($P$34*($B62+$I$38-1),IF(AND($L$37=0,$P$34=0),"",$L$37-1)),MIN(BS$38,$E62),$P$20))-SUM($BF62:BR62))</f>
        <v>0</v>
      </c>
      <c r="BT62" s="446">
        <f>IF($E62=0,0,IF(MIN(BT$38,$E62)&lt;MAX($P$34*($B62+$I$38-1),IF(AND($L$37=0,$P$34=0),"",$L$37-1)),0,YEARFRAC(MAX($P$34*($B62+$I$38-1),IF(AND($L$37=0,$P$34=0),"",$L$37-1)),MIN(BT$38,$E62),$P$20))-SUM($BF62:BS62))</f>
        <v>0</v>
      </c>
      <c r="BU62" s="446">
        <f>IF($E62=0,0,IF(MIN(BU$38,$E62)&lt;MAX($P$34*($B62+$I$38-1),IF(AND($L$37=0,$P$34=0),"",$L$37-1)),0,YEARFRAC(MAX($P$34*($B62+$I$38-1),IF(AND($L$37=0,$P$34=0),"",$L$37-1)),MIN(BU$38,$E62),$P$20))-SUM($BF62:BT62))</f>
        <v>0</v>
      </c>
      <c r="BV62" s="446">
        <f>IF($E62=0,0,IF(MIN(BV$38,$E62)&lt;MAX($P$34*($B62+$I$38-1),IF(AND($L$37=0,$P$34=0),"",$L$37-1)),0,YEARFRAC(MAX($P$34*($B62+$I$38-1),IF(AND($L$37=0,$P$34=0),"",$L$37-1)),MIN(BV$38,$E62),$P$20))-SUM($BF62:BU62))</f>
        <v>0</v>
      </c>
      <c r="BW62" s="446">
        <f>IF($E62=0,0,IF(MIN(BW$38,$E62)&lt;MAX($P$34*($B62+$I$38-1),IF(AND($L$37=0,$P$34=0),"",$L$37-1)),0,YEARFRAC(MAX($P$34*($B62+$I$38-1),IF(AND($L$37=0,$P$34=0),"",$L$37-1)),MIN(BW$38,$E62),$P$20))-SUM($BF62:BV62))</f>
        <v>0</v>
      </c>
      <c r="BX62" s="446">
        <f>IF($E62=0,0,IF(MIN(BX$38,$E62)&lt;MAX($P$34*($B62+$I$38-1),IF(AND($L$37=0,$P$34=0),"",$L$37-1)),0,YEARFRAC(MAX($P$34*($B62+$I$38-1),IF(AND($L$37=0,$P$34=0),"",$L$37-1)),MIN(BX$38,$E62),$P$20))-SUM($BF62:BW62))</f>
        <v>0</v>
      </c>
      <c r="BY62" s="446">
        <f>IF($E62=0,0,IF(MIN(BY$38,$E62)&lt;MAX($P$34*($B62+$I$38-1),IF(AND($L$37=0,$P$34=0),"",$L$37-1)),0,YEARFRAC(MAX($P$34*($B62+$I$38-1),IF(AND($L$37=0,$P$34=0),"",$L$37-1)),MIN(BY$38,$E62),$P$20))-SUM($BF62:BX62))</f>
        <v>0</v>
      </c>
      <c r="BZ62" s="446">
        <f>IF($E62=0,0,IF(MIN(BZ$38,$E62)&lt;MAX($P$34*($B62+$I$38-1),IF(AND($L$37=0,$P$34=0),"",$L$37-1)),0,YEARFRAC(MAX($P$34*($B62+$I$38-1),IF(AND($L$37=0,$P$34=0),"",$L$37-1)),MIN(BZ$38,$E62),$P$20))-SUM($BF62:BY62))</f>
        <v>0</v>
      </c>
      <c r="CA62" s="446">
        <f>IF($E62=0,0,IF(MIN(CA$38,$E62)&lt;MAX($P$34*($B62+$I$38-1),IF(AND($L$37=0,$P$34=0),"",$L$37-1)),0,YEARFRAC(MAX($P$34*($B62+$I$38-1),IF(AND($L$37=0,$P$34=0),"",$L$37-1)),MIN(CA$38,$E62),$P$20))-SUM($BF62:BZ62))</f>
        <v>0</v>
      </c>
      <c r="CB62" s="446">
        <f>IF($E62=0,0,IF(MIN(CB$38,$E62)&lt;MAX($P$34*($B62+$I$38-1),IF(AND($L$37=0,$P$34=0),"",$L$37-1)),0,YEARFRAC(MAX($P$34*($B62+$I$38-1),IF(AND($L$37=0,$P$34=0),"",$L$37-1)),MIN(CB$38,$E62),$P$20))-SUM($BF62:CA62))</f>
        <v>0</v>
      </c>
      <c r="CC62" s="446">
        <f>IF($E62=0,0,IF(MIN(CC$38,$E62)&lt;MAX($P$34*($B62+$I$38-1),IF(AND($L$37=0,$P$34=0),"",$L$37-1)),0,YEARFRAC(MAX($P$34*($B62+$I$38-1),IF(AND($L$37=0,$P$34=0),"",$L$37-1)),MIN(CC$38,$E62),$P$20))-SUM($BF62:CB62))</f>
        <v>0</v>
      </c>
      <c r="CD62" s="446">
        <f>IF($E62=0,0,IF(MIN(CD$38,$E62)&lt;MAX($P$34*($B62+$I$38-1),IF(AND($L$37=0,$P$34=0),"",$L$37-1)),0,YEARFRAC(MAX($P$34*($B62+$I$38-1),IF(AND($L$37=0,$P$34=0),"",$L$37-1)),MIN(CD$38,$E62),$P$20))-SUM($BF62:CC62))</f>
        <v>0</v>
      </c>
      <c r="CE62" s="446">
        <f>IF($E62=0,0,IF(MIN(CE$38,$E62)&lt;MAX($P$34*($B62+$I$38-1),IF(AND($L$37=0,$P$34=0),"",$L$37-1)),0,YEARFRAC(MAX($P$34*($B62+$I$38-1),IF(AND($L$37=0,$P$34=0),"",$L$37-1)),MIN(CE$38,$E62),$P$20))-SUM($BF62:CD62))</f>
        <v>0</v>
      </c>
      <c r="CF62" s="446">
        <f>IF($E62=0,0,IF(MIN(CF$38,$E62)&lt;MAX($P$34*($B62+$I$38-1),IF(AND($L$37=0,$P$34=0),"",$L$37-1)),0,YEARFRAC(MAX($P$34*($B62+$I$38-1),IF(AND($L$37=0,$P$34=0),"",$L$37-1)),MIN(CF$38,$E62),$P$20))-SUM($BF62:CE62))</f>
        <v>0</v>
      </c>
      <c r="CG62" s="446">
        <f>IF($E62=0,0,IF(MIN(CG$38,$E62)&lt;MAX($P$34*($B62+$I$38-1),IF(AND($L$37=0,$P$34=0),"",$L$37-1)),0,YEARFRAC(MAX($P$34*($B62+$I$38-1),IF(AND($L$37=0,$P$34=0),"",$L$37-1)),MIN(CG$38,$E62),$P$20))-SUM($BF62:CF62))</f>
        <v>0</v>
      </c>
      <c r="CH62" s="446">
        <f>IF($E62=0,0,IF(MIN(CH$38,$E62)&lt;MAX($P$34*($B62+$I$38-1),IF(AND($L$37=0,$P$34=0),"",$L$37-1)),0,YEARFRAC(MAX($P$34*($B62+$I$38-1),IF(AND($L$37=0,$P$34=0),"",$L$37-1)),MIN(CH$38,$E62),$P$20))-SUM($BF62:CG62))</f>
        <v>0</v>
      </c>
      <c r="CI62" s="446">
        <f>IF($E62=0,0,IF(MIN(CI$38,$E62)&lt;MAX($P$34*($B62+$I$38-1),IF(AND($L$37=0,$P$34=0),"",$L$37-1)),0,YEARFRAC(MAX($P$34*($B62+$I$38-1),IF(AND($L$37=0,$P$34=0),"",$L$37-1)),MIN(CI$38,$E62),$P$20))-SUM($BF62:CH62))</f>
        <v>0</v>
      </c>
      <c r="CJ62" s="446">
        <f>IF($E62=0,0,IF(MIN(CJ$38,$E62)&lt;MAX($P$34*($B62+$I$38-1),IF(AND($L$37=0,$P$34=0),"",$L$37-1)),0,YEARFRAC(MAX($P$34*($B62+$I$38-1),IF(AND($L$37=0,$P$34=0),"",$L$37-1)),MIN(CJ$38,$E62),$P$20))-SUM($BF62:CI62))</f>
        <v>0</v>
      </c>
      <c r="CK62" s="446">
        <f>IF($E62=0,0,IF(MIN(CK$38,$E62)&lt;MAX($P$34*($B62+$I$38-1),IF(AND($L$37=0,$P$34=0),"",$L$37-1)),0,YEARFRAC(MAX($P$34*($B62+$I$38-1),IF(AND($L$37=0,$P$34=0),"",$L$37-1)),MIN(CK$38,$E62),$P$20))-SUM($BF62:CJ62))</f>
        <v>0</v>
      </c>
      <c r="CL62" s="446">
        <f>IF($E62=0,0,IF(MIN(CL$38,$E62)&lt;MAX($P$34*($B62+$I$38-1),IF(AND($L$37=0,$P$34=0),"",$L$37-1)),0,YEARFRAC(MAX($P$34*($B62+$I$38-1),IF(AND($L$37=0,$P$34=0),"",$L$37-1)),MIN(CL$38,$E62),$P$20))-SUM($BF62:CK62))</f>
        <v>0</v>
      </c>
      <c r="CM62" s="446">
        <f>IF($E62=0,0,IF(MIN(CM$38,$E62)&lt;MAX($P$34*($B62+$I$38-1),IF(AND($L$37=0,$P$34=0),"",$L$37-1)),0,YEARFRAC(MAX($P$34*($B62+$I$38-1),IF(AND($L$37=0,$P$34=0),"",$L$37-1)),MIN(CM$38,$E62),$P$20))-SUM($BF62:CL62))</f>
        <v>0</v>
      </c>
      <c r="CN62" s="446">
        <f>IF($E62=0,0,IF(MIN(CN$38,$E62)&lt;MAX($P$34*($B62+$I$38-1),IF(AND($L$37=0,$P$34=0),"",$L$37-1)),0,YEARFRAC(MAX($P$34*($B62+$I$38-1),IF(AND($L$37=0,$P$34=0),"",$L$37-1)),MIN(CN$38,$E62),$P$20))-SUM($BF62:CM62))</f>
        <v>0</v>
      </c>
      <c r="CO62" s="446">
        <f>IF($E62=0,0,IF(MIN(CO$38,$E62)&lt;MAX($P$34*($B62+$I$38-1),IF(AND($L$37=0,$P$34=0),"",$L$37-1)),0,YEARFRAC(MAX($P$34*($B62+$I$38-1),IF(AND($L$37=0,$P$34=0),"",$L$37-1)),MIN(CO$38,$E62),$P$20))-SUM($BF62:CN62))</f>
        <v>0</v>
      </c>
      <c r="CP62" s="446">
        <f>IF($E62=0,0,IF(MIN(CP$38,$E62)&lt;MAX($P$34*($B62+$I$38-1),IF(AND($L$37=0,$P$34=0),"",$L$37-1)),0,YEARFRAC(MAX($P$34*($B62+$I$38-1),IF(AND($L$37=0,$P$34=0),"",$L$37-1)),MIN(CP$38,$E62),$P$20))-SUM($BF62:CO62))</f>
        <v>0</v>
      </c>
      <c r="CQ62" s="446">
        <f>IF($E62=0,0,IF(MIN(CQ$38,$E62)&lt;MAX($P$34*($B62+$I$38-1),IF(AND($L$37=0,$P$34=0),"",$L$37-1)),0,YEARFRAC(MAX($P$34*($B62+$I$38-1),IF(AND($L$37=0,$P$34=0),"",$L$37-1)),MIN(CQ$38,$E62),$P$20))-SUM($BF62:CP62))</f>
        <v>0</v>
      </c>
    </row>
    <row r="63" spans="1:95" s="446" customFormat="1" ht="11.25" hidden="1" customHeight="1" x14ac:dyDescent="0.2">
      <c r="A63" s="152"/>
      <c r="B63" s="153" t="str">
        <f t="shared" si="15"/>
        <v/>
      </c>
      <c r="C63" s="29" t="str">
        <f>IF(B63="","",IF($L$35="SELIC - TRIBUTOS",VLOOKUP(DATE(YEAR($D$19),MONTH($D$19)-1,1),ÍNDICES!$A:$DE,HLOOKUP($BL$25,ÍNDICES!$B$3:$T$4,2)+11)-VLOOKUP(B63,ÍNDICES!$A:$DE,HLOOKUP($BL$25,ÍNDICES!$B$3:$T$4,2)+11)+1%,IF(C$38=$W$26,$J$35,IF(ISERROR(IF(B63&gt;$D$19,1,VLOOKUP(DATE(YEAR(B63),MONTH(B63)+IF($C$35=$S$23,1,0),1),ÍNDICES!$A:$DE,$Z$35+1))),"",IF(B63&gt;$D$19,1,VLOOKUP(DATE(YEAR(B63),MONTH(B63)+IF($C$35=$S$23,1,0),1),ÍNDICES!$A:$DE,$Z$35+1))))))</f>
        <v/>
      </c>
      <c r="D63" s="154" t="str">
        <f>IF(ISERROR(IF(OR($D$38=$Y$27,$B63=""),"",VLOOKUP(B63,ÍNDICES!A:DE,AF$35+1))),"",IF(OR($D$38=$Y$27,$B63=""),"",VLOOKUP(B63,ÍNDICES!A:DE,AF$35+1)))</f>
        <v/>
      </c>
      <c r="E63" s="153"/>
      <c r="F63" s="29" t="str">
        <f>IF(E63="","",IF($L$35="SELIC - TRIBUTOS",VLOOKUP(DATE(YEAR($D$19),MONTH($D$19)-1,1),ÍNDICES!$A:$DE,HLOOKUP($BL$25,ÍNDICES!$B$3:$T$4,2)+11)-VLOOKUP(E63,ÍNDICES!$A:$DE,HLOOKUP($BL$25,ÍNDICES!$B$3:$T$4,2)+11)+1%,IF(F$38=$W$26,$J$35,IF(ISERROR(IF(E63&gt;$D$19,1,VLOOKUP(DATE(YEAR(E63),MONTH(E63)+IF($C$35=$S$23,1,0),1),ÍNDICES!$A:$DE,$Z$35+1))),"",IF(E63&gt;$D$19,1,VLOOKUP(DATE(YEAR(E63),MONTH(E63)+IF($C$35=$S$23,1,0),1),ÍNDICES!$A:$DE,$Z$35+1))))))</f>
        <v/>
      </c>
      <c r="G63" s="155"/>
      <c r="H63" s="156" t="str">
        <f t="shared" si="11"/>
        <v/>
      </c>
      <c r="I63" s="29" t="str">
        <f t="shared" si="5"/>
        <v/>
      </c>
      <c r="J63" s="5">
        <f t="shared" si="6"/>
        <v>0</v>
      </c>
      <c r="K63" s="20">
        <f t="shared" ca="1" si="7"/>
        <v>0</v>
      </c>
      <c r="L63" s="5">
        <f t="shared" ca="1" si="8"/>
        <v>0</v>
      </c>
      <c r="M63" s="64">
        <f t="shared" si="12"/>
        <v>0</v>
      </c>
      <c r="N63" s="61">
        <f t="shared" ca="1" si="13"/>
        <v>0</v>
      </c>
      <c r="O63" s="5">
        <f t="shared" ca="1" si="14"/>
        <v>0</v>
      </c>
      <c r="P63" s="446" t="e">
        <f t="shared" si="9"/>
        <v>#VALUE!</v>
      </c>
      <c r="Q63" s="446" t="e">
        <f>IF(OR($B63="",MIN(Q$38,$D$19)&lt;MAX($P$34*($B63+IF($R$17="Distrato",$I$38-1,0)),IF(AND($L$37=0,$P$34=0),"",$L$37-1),IF($R$17="Distrato",$E63,0))),0,YEARFRAC(MAX($P$34*($B63+IF($R$17="Distrato",$I$38-1,0)),IF(AND($L$37=0,$P$34=0),"",$L$37-1),IF($R$17="Distrato",$E63,0)),MIN(Q$38,$D$19),$P$20))-SUM($P63:P63)</f>
        <v>#VALUE!</v>
      </c>
      <c r="R63" s="446" t="e">
        <f>IF(OR($B63="",MIN(R$38,$D$19)&lt;MAX($P$34*($B63+IF($R$17="Distrato",$I$38-1,0)),IF(AND($L$37=0,$P$34=0),"",$L$37-1),IF($R$17="Distrato",$E63,0))),0,YEARFRAC(MAX($P$34*($B63+IF($R$17="Distrato",$I$38-1,0)),IF(AND($L$37=0,$P$34=0),"",$L$37-1),IF($R$17="Distrato",$E63,0)),MIN(R$38,$D$19),$P$20))-SUM($P63:Q63)</f>
        <v>#VALUE!</v>
      </c>
      <c r="S63" s="446" t="e">
        <f>IF(OR($B63="",MIN(S$38,$D$19)&lt;MAX($P$34*($B63+IF($R$17="Distrato",$I$38-1,0)),IF(AND($L$37=0,$P$34=0),"",$L$37-1),IF($R$17="Distrato",$E63,0))),0,YEARFRAC(MAX($P$34*($B63+IF($R$17="Distrato",$I$38-1,0)),IF(AND($L$37=0,$P$34=0),"",$L$37-1),IF($R$17="Distrato",$E63,0)),MIN(S$38,$D$19),$P$20))-SUM($P63:R63)</f>
        <v>#VALUE!</v>
      </c>
      <c r="T63" s="446" t="e">
        <f>IF(OR($B63="",MIN(T$38,$D$19)&lt;MAX($P$34*($B63+IF($R$17="Distrato",$I$38-1,0)),IF(AND($L$37=0,$P$34=0),"",$L$37-1),IF($R$17="Distrato",$E63,0))),0,YEARFRAC(MAX($P$34*($B63+IF($R$17="Distrato",$I$38-1,0)),IF(AND($L$37=0,$P$34=0),"",$L$37-1),IF($R$17="Distrato",$E63,0)),MIN(T$38,$D$19),$P$20))-SUM($P63:S63)</f>
        <v>#VALUE!</v>
      </c>
      <c r="U63" s="446" t="e">
        <f>IF(OR($B63="",MIN(U$38,$D$19)&lt;MAX($P$34*($B63+IF($R$17="Distrato",$I$38-1,0)),IF(AND($L$37=0,$P$34=0),"",$L$37-1),IF($R$17="Distrato",$E63,0))),0,YEARFRAC(MAX($P$34*($B63+IF($R$17="Distrato",$I$38-1,0)),IF(AND($L$37=0,$P$34=0),"",$L$37-1),IF($R$17="Distrato",$E63,0)),MIN(U$38,$D$19),$P$20))-SUM($P63:T63)</f>
        <v>#VALUE!</v>
      </c>
      <c r="V63" s="446" t="e">
        <f>IF(OR($B63="",MIN(V$38,$D$19)&lt;MAX($P$34*($B63+IF($R$17="Distrato",$I$38-1,0)),IF(AND($L$37=0,$P$34=0),"",$L$37-1),IF($R$17="Distrato",$E63,0))),0,YEARFRAC(MAX($P$34*($B63+IF($R$17="Distrato",$I$38-1,0)),IF(AND($L$37=0,$P$34=0),"",$L$37-1),IF($R$17="Distrato",$E63,0)),MIN(V$38,$D$19),$P$20))-SUM($P63:U63)</f>
        <v>#VALUE!</v>
      </c>
      <c r="W63" s="446" t="e">
        <f>IF(OR($B63="",MIN(W$38,$D$19)&lt;MAX($P$34*($B63+IF($R$17="Distrato",$I$38-1,0)),IF(AND($L$37=0,$P$34=0),"",$L$37-1),IF($R$17="Distrato",$E63,0))),0,YEARFRAC(MAX($P$34*($B63+IF($R$17="Distrato",$I$38-1,0)),IF(AND($L$37=0,$P$34=0),"",$L$37-1),IF($R$17="Distrato",$E63,0)),MIN(W$38,$D$19),$P$20))-SUM($P63:V63)</f>
        <v>#VALUE!</v>
      </c>
      <c r="X63" s="446" t="e">
        <f>IF(OR($B63="",MIN(X$38,$D$19)&lt;MAX($P$34*($B63+IF($R$17="Distrato",$I$38-1,0)),IF(AND($L$37=0,$P$34=0),"",$L$37-1),IF($R$17="Distrato",$E63,0))),0,YEARFRAC(MAX($P$34*($B63+IF($R$17="Distrato",$I$38-1,0)),IF(AND($L$37=0,$P$34=0),"",$L$37-1),IF($R$17="Distrato",$E63,0)),MIN(X$38,$D$19),$P$20))-SUM($P63:W63)</f>
        <v>#VALUE!</v>
      </c>
      <c r="Y63" s="446" t="e">
        <f>IF(OR($B63="",MIN(Y$38,$D$19)&lt;MAX($P$34*($B63+IF($R$17="Distrato",$I$38-1,0)),IF(AND($L$37=0,$P$34=0),"",$L$37-1),IF($R$17="Distrato",$E63,0))),0,YEARFRAC(MAX($P$34*($B63+IF($R$17="Distrato",$I$38-1,0)),IF(AND($L$37=0,$P$34=0),"",$L$37-1),IF($R$17="Distrato",$E63,0)),MIN(Y$38,$D$19),$P$20))-SUM($P63:X63)</f>
        <v>#VALUE!</v>
      </c>
      <c r="Z63" s="446" t="e">
        <f>IF(OR($B63="",MIN(Z$38,$D$19)&lt;MAX($P$34*($B63+IF($R$17="Distrato",$I$38-1,0)),IF(AND($L$37=0,$P$34=0),"",$L$37-1),IF($R$17="Distrato",$E63,0))),0,YEARFRAC(MAX($P$34*($B63+IF($R$17="Distrato",$I$38-1,0)),IF(AND($L$37=0,$P$34=0),"",$L$37-1),IF($R$17="Distrato",$E63,0)),MIN(Z$38,$D$19),$P$20))-SUM($P63:Y63)</f>
        <v>#VALUE!</v>
      </c>
      <c r="AA63" s="446" t="e">
        <f>IF(OR($B63="",MIN(AA$38,$D$19)&lt;MAX($P$34*($B63+IF($R$17="Distrato",$I$38-1,0)),IF(AND($L$37=0,$P$34=0),"",$L$37-1),IF($R$17="Distrato",$E63,0))),0,YEARFRAC(MAX($P$34*($B63+IF($R$17="Distrato",$I$38-1,0)),IF(AND($L$37=0,$P$34=0),"",$L$37-1),IF($R$17="Distrato",$E63,0)),MIN(AA$38,$D$19),$P$20))-SUM($P63:Z63)</f>
        <v>#VALUE!</v>
      </c>
      <c r="AB63" s="446" t="e">
        <f>IF(OR($B63="",MIN(AB$38,$D$19)&lt;MAX($P$34*($B63+IF($R$17="Distrato",$I$38-1,0)),IF(AND($L$37=0,$P$34=0),"",$L$37-1),IF($R$17="Distrato",$E63,0))),0,YEARFRAC(MAX($P$34*($B63+IF($R$17="Distrato",$I$38-1,0)),IF(AND($L$37=0,$P$34=0),"",$L$37-1),IF($R$17="Distrato",$E63,0)),MIN(AB$38,$D$19),$P$20))-SUM($P63:AA63)</f>
        <v>#VALUE!</v>
      </c>
      <c r="AC63" s="446" t="e">
        <f>IF(OR($B63="",MIN(AC$38,$D$19)&lt;MAX($P$34*($B63+IF($R$17="Distrato",$I$38-1,0)),IF(AND($L$37=0,$P$34=0),"",$L$37-1),IF($R$17="Distrato",$E63,0))),0,YEARFRAC(MAX($P$34*($B63+IF($R$17="Distrato",$I$38-1,0)),IF(AND($L$37=0,$P$34=0),"",$L$37-1),IF($R$17="Distrato",$E63,0)),MIN(AC$38,$D$19),$P$20))-SUM($P63:AB63)</f>
        <v>#VALUE!</v>
      </c>
      <c r="AD63" s="446" t="e">
        <f>IF(OR($B63="",MIN(AD$38,$D$19)&lt;MAX($P$34*($B63+IF($R$17="Distrato",$I$38-1,0)),IF(AND($L$37=0,$P$34=0),"",$L$37-1),IF($R$17="Distrato",$E63,0))),0,YEARFRAC(MAX($P$34*($B63+IF($R$17="Distrato",$I$38-1,0)),IF(AND($L$37=0,$P$34=0),"",$L$37-1),IF($R$17="Distrato",$E63,0)),MIN(AD$38,$D$19),$P$20))-SUM($P63:AC63)</f>
        <v>#VALUE!</v>
      </c>
      <c r="AE63" s="446" t="e">
        <f>IF(OR($B63="",MIN(AE$38,$D$19)&lt;MAX($P$34*($B63+IF($R$17="Distrato",$I$38-1,0)),IF(AND($L$37=0,$P$34=0),"",$L$37-1),IF($R$17="Distrato",$E63,0))),0,YEARFRAC(MAX($P$34*($B63+IF($R$17="Distrato",$I$38-1,0)),IF(AND($L$37=0,$P$34=0),"",$L$37-1),IF($R$17="Distrato",$E63,0)),MIN(AE$38,$D$19),$P$20))-SUM($P63:AD63)</f>
        <v>#VALUE!</v>
      </c>
      <c r="AF63" s="446" t="e">
        <f>IF(OR($B63="",MIN(AF$38,$D$19)&lt;MAX($P$34*($B63+IF($R$17="Distrato",$I$38-1,0)),IF(AND($L$37=0,$P$34=0),"",$L$37-1),IF($R$17="Distrato",$E63,0))),0,YEARFRAC(MAX($P$34*($B63+IF($R$17="Distrato",$I$38-1,0)),IF(AND($L$37=0,$P$34=0),"",$L$37-1),IF($R$17="Distrato",$E63,0)),MIN(AF$38,$D$19),$P$20))-SUM($P63:AE63)</f>
        <v>#VALUE!</v>
      </c>
      <c r="AG63" s="446" t="e">
        <f>IF(OR($B63="",MIN(AG$38,$D$19)&lt;MAX($P$34*($B63+IF($R$17="Distrato",$I$38-1,0)),IF(AND($L$37=0,$P$34=0),"",$L$37-1),IF($R$17="Distrato",$E63,0))),0,YEARFRAC(MAX($P$34*($B63+IF($R$17="Distrato",$I$38-1,0)),IF(AND($L$37=0,$P$34=0),"",$L$37-1),IF($R$17="Distrato",$E63,0)),MIN(AG$38,$D$19),$P$20))-SUM($P63:AF63)</f>
        <v>#VALUE!</v>
      </c>
      <c r="AH63" s="446" t="e">
        <f>IF(OR($B63="",MIN(AH$38,$D$19)&lt;MAX($P$34*($B63+IF($R$17="Distrato",$I$38-1,0)),IF(AND($L$37=0,$P$34=0),"",$L$37-1),IF($R$17="Distrato",$E63,0))),0,YEARFRAC(MAX($P$34*($B63+IF($R$17="Distrato",$I$38-1,0)),IF(AND($L$37=0,$P$34=0),"",$L$37-1),IF($R$17="Distrato",$E63,0)),MIN(AH$38,$D$19),$P$20))-SUM($P63:AG63)</f>
        <v>#VALUE!</v>
      </c>
      <c r="AI63" s="446" t="e">
        <f>IF(OR($B63="",MIN(AI$38,$D$19)&lt;MAX($P$34*($B63+IF($R$17="Distrato",$I$38-1,0)),IF(AND($L$37=0,$P$34=0),"",$L$37-1),IF($R$17="Distrato",$E63,0))),0,YEARFRAC(MAX($P$34*($B63+IF($R$17="Distrato",$I$38-1,0)),IF(AND($L$37=0,$P$34=0),"",$L$37-1),IF($R$17="Distrato",$E63,0)),MIN(AI$38,$D$19),$P$20))-SUM($P63:AH63)</f>
        <v>#VALUE!</v>
      </c>
      <c r="AJ63" s="446" t="e">
        <f>IF(OR($B63="",MIN(AJ$38,$D$19)&lt;MAX($P$34*($B63+IF($R$17="Distrato",$I$38-1,0)),IF(AND($L$37=0,$P$34=0),"",$L$37-1),IF($R$17="Distrato",$E63,0))),0,YEARFRAC(MAX($P$34*($B63+IF($R$17="Distrato",$I$38-1,0)),IF(AND($L$37=0,$P$34=0),"",$L$37-1),IF($R$17="Distrato",$E63,0)),MIN(AJ$38,$D$19),$P$20))-SUM($P63:AI63)</f>
        <v>#VALUE!</v>
      </c>
      <c r="AK63" s="446" t="e">
        <f>IF(OR($B63="",MIN(AK$38,$D$19)&lt;MAX($P$34*($B63+IF($R$17="Distrato",$I$38-1,0)),IF(AND($L$37=0,$P$34=0),"",$L$37-1),IF($R$17="Distrato",$E63,0))),0,YEARFRAC(MAX($P$34*($B63+IF($R$17="Distrato",$I$38-1,0)),IF(AND($L$37=0,$P$34=0),"",$L$37-1),IF($R$17="Distrato",$E63,0)),MIN(AK$38,$D$19),$P$20))-SUM($P63:AJ63)</f>
        <v>#VALUE!</v>
      </c>
      <c r="AL63" s="446" t="e">
        <f>IF(OR($B63="",MIN(AL$38,$D$19)&lt;MAX($P$34*($B63+IF($R$17="Distrato",$I$38-1,0)),IF(AND($L$37=0,$P$34=0),"",$L$37-1),IF($R$17="Distrato",$E63,0))),0,YEARFRAC(MAX($P$34*($B63+IF($R$17="Distrato",$I$38-1,0)),IF(AND($L$37=0,$P$34=0),"",$L$37-1),IF($R$17="Distrato",$E63,0)),MIN(AL$38,$D$19),$P$20))-SUM($P63:AK63)</f>
        <v>#VALUE!</v>
      </c>
      <c r="AM63" s="446" t="e">
        <f>IF(OR($B63="",MIN(AM$38,$D$19)&lt;MAX($P$34*($B63+IF($R$17="Distrato",$I$38-1,0)),IF(AND($L$37=0,$P$34=0),"",$L$37-1),IF($R$17="Distrato",$E63,0))),0,YEARFRAC(MAX($P$34*($B63+IF($R$17="Distrato",$I$38-1,0)),IF(AND($L$37=0,$P$34=0),"",$L$37-1),IF($R$17="Distrato",$E63,0)),MIN(AM$38,$D$19),$P$20))-SUM($P63:AL63)</f>
        <v>#VALUE!</v>
      </c>
      <c r="AN63" s="446" t="e">
        <f>IF(OR($B63="",MIN(AN$38,$D$19)&lt;MAX($P$34*($B63+IF($R$17="Distrato",$I$38-1,0)),IF(AND($L$37=0,$P$34=0),"",$L$37-1),IF($R$17="Distrato",$E63,0))),0,YEARFRAC(MAX($P$34*($B63+IF($R$17="Distrato",$I$38-1,0)),IF(AND($L$37=0,$P$34=0),"",$L$37-1),IF($R$17="Distrato",$E63,0)),MIN(AN$38,$D$19),$P$20))-SUM($P63:AM63)</f>
        <v>#VALUE!</v>
      </c>
      <c r="AO63" s="446" t="e">
        <f>IF(OR($B63="",MIN(AO$38,$D$19)&lt;MAX($P$34*($B63+IF($R$17="Distrato",$I$38-1,0)),IF(AND($L$37=0,$P$34=0),"",$L$37-1),IF($R$17="Distrato",$E63,0))),0,YEARFRAC(MAX($P$34*($B63+IF($R$17="Distrato",$I$38-1,0)),IF(AND($L$37=0,$P$34=0),"",$L$37-1),IF($R$17="Distrato",$E63,0)),MIN(AO$38,$D$19),$P$20))-SUM($P63:AN63)</f>
        <v>#VALUE!</v>
      </c>
      <c r="AP63" s="446" t="e">
        <f>IF(OR($B63="",MIN(AP$38,$D$19)&lt;MAX($P$34*($B63+IF($R$17="Distrato",$I$38-1,0)),IF(AND($L$37=0,$P$34=0),"",$L$37-1),IF($R$17="Distrato",$E63,0))),0,YEARFRAC(MAX($P$34*($B63+IF($R$17="Distrato",$I$38-1,0)),IF(AND($L$37=0,$P$34=0),"",$L$37-1),IF($R$17="Distrato",$E63,0)),MIN(AP$38,$D$19),$P$20))-SUM($P63:AO63)</f>
        <v>#VALUE!</v>
      </c>
      <c r="AQ63" s="446" t="e">
        <f>IF(OR($B63="",MIN(AQ$38,$D$19)&lt;MAX($P$34*($B63+IF($R$17="Distrato",$I$38-1,0)),IF(AND($L$37=0,$P$34=0),"",$L$37-1),IF($R$17="Distrato",$E63,0))),0,YEARFRAC(MAX($P$34*($B63+IF($R$17="Distrato",$I$38-1,0)),IF(AND($L$37=0,$P$34=0),"",$L$37-1),IF($R$17="Distrato",$E63,0)),MIN(AQ$38,$D$19),$P$20))-SUM($P63:AP63)</f>
        <v>#VALUE!</v>
      </c>
      <c r="AR63" s="446" t="e">
        <f>IF(OR($B63="",MIN(AR$38,$D$19)&lt;MAX($P$34*($B63+IF($R$17="Distrato",$I$38-1,0)),IF(AND($L$37=0,$P$34=0),"",$L$37-1),IF($R$17="Distrato",$E63,0))),0,YEARFRAC(MAX($P$34*($B63+IF($R$17="Distrato",$I$38-1,0)),IF(AND($L$37=0,$P$34=0),"",$L$37-1),IF($R$17="Distrato",$E63,0)),MIN(AR$38,$D$19),$P$20))-SUM($P63:AQ63)</f>
        <v>#VALUE!</v>
      </c>
      <c r="AS63" s="446" t="e">
        <f>IF(OR($B63="",MIN(AS$38,$D$19)&lt;MAX($P$34*($B63+IF($R$17="Distrato",$I$38-1,0)),IF(AND($L$37=0,$P$34=0),"",$L$37-1),IF($R$17="Distrato",$E63,0))),0,YEARFRAC(MAX($P$34*($B63+IF($R$17="Distrato",$I$38-1,0)),IF(AND($L$37=0,$P$34=0),"",$L$37-1),IF($R$17="Distrato",$E63,0)),MIN(AS$38,$D$19),$P$20))-SUM($P63:AR63)</f>
        <v>#VALUE!</v>
      </c>
      <c r="AT63" s="446" t="e">
        <f>IF(OR($B63="",MIN(AT$38,$D$19)&lt;MAX($P$34*($B63+IF($R$17="Distrato",$I$38-1,0)),IF(AND($L$37=0,$P$34=0),"",$L$37-1),IF($R$17="Distrato",$E63,0))),0,YEARFRAC(MAX($P$34*($B63+IF($R$17="Distrato",$I$38-1,0)),IF(AND($L$37=0,$P$34=0),"",$L$37-1),IF($R$17="Distrato",$E63,0)),MIN(AT$38,$D$19),$P$20))-SUM($P63:AS63)</f>
        <v>#VALUE!</v>
      </c>
      <c r="AU63" s="446" t="e">
        <f>IF(OR($B63="",MIN(AU$38,$D$19)&lt;MAX($P$34*($B63+IF($R$17="Distrato",$I$38-1,0)),IF(AND($L$37=0,$P$34=0),"",$L$37-1),IF($R$17="Distrato",$E63,0))),0,YEARFRAC(MAX($P$34*($B63+IF($R$17="Distrato",$I$38-1,0)),IF(AND($L$37=0,$P$34=0),"",$L$37-1),IF($R$17="Distrato",$E63,0)),MIN(AU$38,$D$19),$P$20))-SUM($P63:AT63)</f>
        <v>#VALUE!</v>
      </c>
      <c r="AV63" s="446" t="e">
        <f>IF(OR($B63="",MIN(AV$38,$D$19)&lt;MAX($P$34*($B63+IF($R$17="Distrato",$I$38-1,0)),IF(AND($L$37=0,$P$34=0),"",$L$37-1),IF($R$17="Distrato",$E63,0))),0,YEARFRAC(MAX($P$34*($B63+IF($R$17="Distrato",$I$38-1,0)),IF(AND($L$37=0,$P$34=0),"",$L$37-1),IF($R$17="Distrato",$E63,0)),MIN(AV$38,$D$19),$P$20))-SUM($P63:AU63)</f>
        <v>#VALUE!</v>
      </c>
      <c r="AW63" s="446" t="e">
        <f>IF(OR($B63="",MIN(AW$38,$D$19)&lt;MAX($P$34*($B63+IF($R$17="Distrato",$I$38-1,0)),IF(AND($L$37=0,$P$34=0),"",$L$37-1),IF($R$17="Distrato",$E63,0))),0,YEARFRAC(MAX($P$34*($B63+IF($R$17="Distrato",$I$38-1,0)),IF(AND($L$37=0,$P$34=0),"",$L$37-1),IF($R$17="Distrato",$E63,0)),MIN(AW$38,$D$19),$P$20))-SUM($P63:AV63)</f>
        <v>#VALUE!</v>
      </c>
      <c r="AX63" s="446" t="e">
        <f>IF(OR($B63="",MIN(AX$38,$D$19)&lt;MAX($P$34*($B63+IF($R$17="Distrato",$I$38-1,0)),IF(AND($L$37=0,$P$34=0),"",$L$37-1),IF($R$17="Distrato",$E63,0))),0,YEARFRAC(MAX($P$34*($B63+IF($R$17="Distrato",$I$38-1,0)),IF(AND($L$37=0,$P$34=0),"",$L$37-1),IF($R$17="Distrato",$E63,0)),MIN(AX$38,$D$19),$P$20))-SUM($P63:AW63)</f>
        <v>#VALUE!</v>
      </c>
      <c r="AY63" s="446" t="e">
        <f>IF(OR($B63="",MIN(AY$38,$D$19)&lt;MAX($P$34*($B63+IF($R$17="Distrato",$I$38-1,0)),IF(AND($L$37=0,$P$34=0),"",$L$37-1),IF($R$17="Distrato",$E63,0))),0,YEARFRAC(MAX($P$34*($B63+IF($R$17="Distrato",$I$38-1,0)),IF(AND($L$37=0,$P$34=0),"",$L$37-1),IF($R$17="Distrato",$E63,0)),MIN(AY$38,$D$19),$P$20))-SUM($P63:AX63)</f>
        <v>#VALUE!</v>
      </c>
      <c r="AZ63" s="446" t="e">
        <f>IF(OR($B63="",MIN(AZ$38,$D$19)&lt;MAX($P$34*($B63+IF($R$17="Distrato",$I$38-1,0)),IF(AND($L$37=0,$P$34=0),"",$L$37-1),IF($R$17="Distrato",$E63,0))),0,YEARFRAC(MAX($P$34*($B63+IF($R$17="Distrato",$I$38-1,0)),IF(AND($L$37=0,$P$34=0),"",$L$37-1),IF($R$17="Distrato",$E63,0)),MIN(AZ$38,$D$19),$P$20))-SUM($P63:AY63)</f>
        <v>#VALUE!</v>
      </c>
      <c r="BA63" s="446" t="e">
        <f>IF(OR($B63="",MIN(BA$38,$D$19)&lt;MAX($P$34*($B63+IF($R$17="Distrato",$I$38-1,0)),IF(AND($L$37=0,$P$34=0),"",$L$37-1),IF($R$17="Distrato",$E63,0))),0,YEARFRAC(MAX($P$34*($B63+IF($R$17="Distrato",$I$38-1,0)),IF(AND($L$37=0,$P$34=0),"",$L$37-1),IF($R$17="Distrato",$E63,0)),MIN(BA$38,$D$19),$P$20))-SUM($P63:AZ63)</f>
        <v>#VALUE!</v>
      </c>
      <c r="BB63" s="447"/>
      <c r="BF63" s="446">
        <f t="shared" si="10"/>
        <v>0</v>
      </c>
      <c r="BG63" s="446">
        <f>IF($E63=0,0,IF(MIN(BG$38,$E63)&lt;MAX($P$34*($B63+$I$38-1),IF(AND($L$37=0,$P$34=0),"",$L$37-1)),0,YEARFRAC(MAX($P$34*($B63+$I$38-1),IF(AND($L$37=0,$P$34=0),"",$L$37-1)),MIN(BG$38,$E63),$P$20))-SUM($BF63:BF63))</f>
        <v>0</v>
      </c>
      <c r="BH63" s="446">
        <f>IF($E63=0,0,IF(MIN(BH$38,$E63)&lt;MAX($P$34*($B63+$I$38-1),IF(AND($L$37=0,$P$34=0),"",$L$37-1)),0,YEARFRAC(MAX($P$34*($B63+$I$38-1),IF(AND($L$37=0,$P$34=0),"",$L$37-1)),MIN(BH$38,$E63),$P$20))-SUM($BF63:BG63))</f>
        <v>0</v>
      </c>
      <c r="BI63" s="446">
        <f>IF($E63=0,0,IF(MIN(BI$38,$E63)&lt;MAX($P$34*($B63+$I$38-1),IF(AND($L$37=0,$P$34=0),"",$L$37-1)),0,YEARFRAC(MAX($P$34*($B63+$I$38-1),IF(AND($L$37=0,$P$34=0),"",$L$37-1)),MIN(BI$38,$E63),$P$20))-SUM($BF63:BH63))</f>
        <v>0</v>
      </c>
      <c r="BJ63" s="446">
        <f>IF($E63=0,0,IF(MIN(BJ$38,$E63)&lt;MAX($P$34*($B63+$I$38-1),IF(AND($L$37=0,$P$34=0),"",$L$37-1)),0,YEARFRAC(MAX($P$34*($B63+$I$38-1),IF(AND($L$37=0,$P$34=0),"",$L$37-1)),MIN(BJ$38,$E63),$P$20))-SUM($BF63:BI63))</f>
        <v>0</v>
      </c>
      <c r="BK63" s="446">
        <f>IF($E63=0,0,IF(MIN(BK$38,$E63)&lt;MAX($P$34*($B63+$I$38-1),IF(AND($L$37=0,$P$34=0),"",$L$37-1)),0,YEARFRAC(MAX($P$34*($B63+$I$38-1),IF(AND($L$37=0,$P$34=0),"",$L$37-1)),MIN(BK$38,$E63),$P$20))-SUM($BF63:BJ63))</f>
        <v>0</v>
      </c>
      <c r="BL63" s="446">
        <f>IF($E63=0,0,IF(MIN(BL$38,$E63)&lt;MAX($P$34*($B63+$I$38-1),IF(AND($L$37=0,$P$34=0),"",$L$37-1)),0,YEARFRAC(MAX($P$34*($B63+$I$38-1),IF(AND($L$37=0,$P$34=0),"",$L$37-1)),MIN(BL$38,$E63),$P$20))-SUM($BF63:BK63))</f>
        <v>0</v>
      </c>
      <c r="BM63" s="446">
        <f>IF($E63=0,0,IF(MIN(BM$38,$E63)&lt;MAX($P$34*($B63+$I$38-1),IF(AND($L$37=0,$P$34=0),"",$L$37-1)),0,YEARFRAC(MAX($P$34*($B63+$I$38-1),IF(AND($L$37=0,$P$34=0),"",$L$37-1)),MIN(BM$38,$E63),$P$20))-SUM($BF63:BL63))</f>
        <v>0</v>
      </c>
      <c r="BN63" s="446">
        <f>IF($E63=0,0,IF(MIN(BN$38,$E63)&lt;MAX($P$34*($B63+$I$38-1),IF(AND($L$37=0,$P$34=0),"",$L$37-1)),0,YEARFRAC(MAX($P$34*($B63+$I$38-1),IF(AND($L$37=0,$P$34=0),"",$L$37-1)),MIN(BN$38,$E63),$P$20))-SUM($BF63:BM63))</f>
        <v>0</v>
      </c>
      <c r="BO63" s="446">
        <f>IF($E63=0,0,IF(MIN(BO$38,$E63)&lt;MAX($P$34*($B63+$I$38-1),IF(AND($L$37=0,$P$34=0),"",$L$37-1)),0,YEARFRAC(MAX($P$34*($B63+$I$38-1),IF(AND($L$37=0,$P$34=0),"",$L$37-1)),MIN(BO$38,$E63),$P$20))-SUM($BF63:BN63))</f>
        <v>0</v>
      </c>
      <c r="BP63" s="446">
        <f>IF($E63=0,0,IF(MIN(BP$38,$E63)&lt;MAX($P$34*($B63+$I$38-1),IF(AND($L$37=0,$P$34=0),"",$L$37-1)),0,YEARFRAC(MAX($P$34*($B63+$I$38-1),IF(AND($L$37=0,$P$34=0),"",$L$37-1)),MIN(BP$38,$E63),$P$20))-SUM($BF63:BO63))</f>
        <v>0</v>
      </c>
      <c r="BQ63" s="446">
        <f>IF($E63=0,0,IF(MIN(BQ$38,$E63)&lt;MAX($P$34*($B63+$I$38-1),IF(AND($L$37=0,$P$34=0),"",$L$37-1)),0,YEARFRAC(MAX($P$34*($B63+$I$38-1),IF(AND($L$37=0,$P$34=0),"",$L$37-1)),MIN(BQ$38,$E63),$P$20))-SUM($BF63:BP63))</f>
        <v>0</v>
      </c>
      <c r="BR63" s="446">
        <f>IF($E63=0,0,IF(MIN(BR$38,$E63)&lt;MAX($P$34*($B63+$I$38-1),IF(AND($L$37=0,$P$34=0),"",$L$37-1)),0,YEARFRAC(MAX($P$34*($B63+$I$38-1),IF(AND($L$37=0,$P$34=0),"",$L$37-1)),MIN(BR$38,$E63),$P$20))-SUM($BF63:BQ63))</f>
        <v>0</v>
      </c>
      <c r="BS63" s="446">
        <f>IF($E63=0,0,IF(MIN(BS$38,$E63)&lt;MAX($P$34*($B63+$I$38-1),IF(AND($L$37=0,$P$34=0),"",$L$37-1)),0,YEARFRAC(MAX($P$34*($B63+$I$38-1),IF(AND($L$37=0,$P$34=0),"",$L$37-1)),MIN(BS$38,$E63),$P$20))-SUM($BF63:BR63))</f>
        <v>0</v>
      </c>
      <c r="BT63" s="446">
        <f>IF($E63=0,0,IF(MIN(BT$38,$E63)&lt;MAX($P$34*($B63+$I$38-1),IF(AND($L$37=0,$P$34=0),"",$L$37-1)),0,YEARFRAC(MAX($P$34*($B63+$I$38-1),IF(AND($L$37=0,$P$34=0),"",$L$37-1)),MIN(BT$38,$E63),$P$20))-SUM($BF63:BS63))</f>
        <v>0</v>
      </c>
      <c r="BU63" s="446">
        <f>IF($E63=0,0,IF(MIN(BU$38,$E63)&lt;MAX($P$34*($B63+$I$38-1),IF(AND($L$37=0,$P$34=0),"",$L$37-1)),0,YEARFRAC(MAX($P$34*($B63+$I$38-1),IF(AND($L$37=0,$P$34=0),"",$L$37-1)),MIN(BU$38,$E63),$P$20))-SUM($BF63:BT63))</f>
        <v>0</v>
      </c>
      <c r="BV63" s="446">
        <f>IF($E63=0,0,IF(MIN(BV$38,$E63)&lt;MAX($P$34*($B63+$I$38-1),IF(AND($L$37=0,$P$34=0),"",$L$37-1)),0,YEARFRAC(MAX($P$34*($B63+$I$38-1),IF(AND($L$37=0,$P$34=0),"",$L$37-1)),MIN(BV$38,$E63),$P$20))-SUM($BF63:BU63))</f>
        <v>0</v>
      </c>
      <c r="BW63" s="446">
        <f>IF($E63=0,0,IF(MIN(BW$38,$E63)&lt;MAX($P$34*($B63+$I$38-1),IF(AND($L$37=0,$P$34=0),"",$L$37-1)),0,YEARFRAC(MAX($P$34*($B63+$I$38-1),IF(AND($L$37=0,$P$34=0),"",$L$37-1)),MIN(BW$38,$E63),$P$20))-SUM($BF63:BV63))</f>
        <v>0</v>
      </c>
      <c r="BX63" s="446">
        <f>IF($E63=0,0,IF(MIN(BX$38,$E63)&lt;MAX($P$34*($B63+$I$38-1),IF(AND($L$37=0,$P$34=0),"",$L$37-1)),0,YEARFRAC(MAX($P$34*($B63+$I$38-1),IF(AND($L$37=0,$P$34=0),"",$L$37-1)),MIN(BX$38,$E63),$P$20))-SUM($BF63:BW63))</f>
        <v>0</v>
      </c>
      <c r="BY63" s="446">
        <f>IF($E63=0,0,IF(MIN(BY$38,$E63)&lt;MAX($P$34*($B63+$I$38-1),IF(AND($L$37=0,$P$34=0),"",$L$37-1)),0,YEARFRAC(MAX($P$34*($B63+$I$38-1),IF(AND($L$37=0,$P$34=0),"",$L$37-1)),MIN(BY$38,$E63),$P$20))-SUM($BF63:BX63))</f>
        <v>0</v>
      </c>
      <c r="BZ63" s="446">
        <f>IF($E63=0,0,IF(MIN(BZ$38,$E63)&lt;MAX($P$34*($B63+$I$38-1),IF(AND($L$37=0,$P$34=0),"",$L$37-1)),0,YEARFRAC(MAX($P$34*($B63+$I$38-1),IF(AND($L$37=0,$P$34=0),"",$L$37-1)),MIN(BZ$38,$E63),$P$20))-SUM($BF63:BY63))</f>
        <v>0</v>
      </c>
      <c r="CA63" s="446">
        <f>IF($E63=0,0,IF(MIN(CA$38,$E63)&lt;MAX($P$34*($B63+$I$38-1),IF(AND($L$37=0,$P$34=0),"",$L$37-1)),0,YEARFRAC(MAX($P$34*($B63+$I$38-1),IF(AND($L$37=0,$P$34=0),"",$L$37-1)),MIN(CA$38,$E63),$P$20))-SUM($BF63:BZ63))</f>
        <v>0</v>
      </c>
      <c r="CB63" s="446">
        <f>IF($E63=0,0,IF(MIN(CB$38,$E63)&lt;MAX($P$34*($B63+$I$38-1),IF(AND($L$37=0,$P$34=0),"",$L$37-1)),0,YEARFRAC(MAX($P$34*($B63+$I$38-1),IF(AND($L$37=0,$P$34=0),"",$L$37-1)),MIN(CB$38,$E63),$P$20))-SUM($BF63:CA63))</f>
        <v>0</v>
      </c>
      <c r="CC63" s="446">
        <f>IF($E63=0,0,IF(MIN(CC$38,$E63)&lt;MAX($P$34*($B63+$I$38-1),IF(AND($L$37=0,$P$34=0),"",$L$37-1)),0,YEARFRAC(MAX($P$34*($B63+$I$38-1),IF(AND($L$37=0,$P$34=0),"",$L$37-1)),MIN(CC$38,$E63),$P$20))-SUM($BF63:CB63))</f>
        <v>0</v>
      </c>
      <c r="CD63" s="446">
        <f>IF($E63=0,0,IF(MIN(CD$38,$E63)&lt;MAX($P$34*($B63+$I$38-1),IF(AND($L$37=0,$P$34=0),"",$L$37-1)),0,YEARFRAC(MAX($P$34*($B63+$I$38-1),IF(AND($L$37=0,$P$34=0),"",$L$37-1)),MIN(CD$38,$E63),$P$20))-SUM($BF63:CC63))</f>
        <v>0</v>
      </c>
      <c r="CE63" s="446">
        <f>IF($E63=0,0,IF(MIN(CE$38,$E63)&lt;MAX($P$34*($B63+$I$38-1),IF(AND($L$37=0,$P$34=0),"",$L$37-1)),0,YEARFRAC(MAX($P$34*($B63+$I$38-1),IF(AND($L$37=0,$P$34=0),"",$L$37-1)),MIN(CE$38,$E63),$P$20))-SUM($BF63:CD63))</f>
        <v>0</v>
      </c>
      <c r="CF63" s="446">
        <f>IF($E63=0,0,IF(MIN(CF$38,$E63)&lt;MAX($P$34*($B63+$I$38-1),IF(AND($L$37=0,$P$34=0),"",$L$37-1)),0,YEARFRAC(MAX($P$34*($B63+$I$38-1),IF(AND($L$37=0,$P$34=0),"",$L$37-1)),MIN(CF$38,$E63),$P$20))-SUM($BF63:CE63))</f>
        <v>0</v>
      </c>
      <c r="CG63" s="446">
        <f>IF($E63=0,0,IF(MIN(CG$38,$E63)&lt;MAX($P$34*($B63+$I$38-1),IF(AND($L$37=0,$P$34=0),"",$L$37-1)),0,YEARFRAC(MAX($P$34*($B63+$I$38-1),IF(AND($L$37=0,$P$34=0),"",$L$37-1)),MIN(CG$38,$E63),$P$20))-SUM($BF63:CF63))</f>
        <v>0</v>
      </c>
      <c r="CH63" s="446">
        <f>IF($E63=0,0,IF(MIN(CH$38,$E63)&lt;MAX($P$34*($B63+$I$38-1),IF(AND($L$37=0,$P$34=0),"",$L$37-1)),0,YEARFRAC(MAX($P$34*($B63+$I$38-1),IF(AND($L$37=0,$P$34=0),"",$L$37-1)),MIN(CH$38,$E63),$P$20))-SUM($BF63:CG63))</f>
        <v>0</v>
      </c>
      <c r="CI63" s="446">
        <f>IF($E63=0,0,IF(MIN(CI$38,$E63)&lt;MAX($P$34*($B63+$I$38-1),IF(AND($L$37=0,$P$34=0),"",$L$37-1)),0,YEARFRAC(MAX($P$34*($B63+$I$38-1),IF(AND($L$37=0,$P$34=0),"",$L$37-1)),MIN(CI$38,$E63),$P$20))-SUM($BF63:CH63))</f>
        <v>0</v>
      </c>
      <c r="CJ63" s="446">
        <f>IF($E63=0,0,IF(MIN(CJ$38,$E63)&lt;MAX($P$34*($B63+$I$38-1),IF(AND($L$37=0,$P$34=0),"",$L$37-1)),0,YEARFRAC(MAX($P$34*($B63+$I$38-1),IF(AND($L$37=0,$P$34=0),"",$L$37-1)),MIN(CJ$38,$E63),$P$20))-SUM($BF63:CI63))</f>
        <v>0</v>
      </c>
      <c r="CK63" s="446">
        <f>IF($E63=0,0,IF(MIN(CK$38,$E63)&lt;MAX($P$34*($B63+$I$38-1),IF(AND($L$37=0,$P$34=0),"",$L$37-1)),0,YEARFRAC(MAX($P$34*($B63+$I$38-1),IF(AND($L$37=0,$P$34=0),"",$L$37-1)),MIN(CK$38,$E63),$P$20))-SUM($BF63:CJ63))</f>
        <v>0</v>
      </c>
      <c r="CL63" s="446">
        <f>IF($E63=0,0,IF(MIN(CL$38,$E63)&lt;MAX($P$34*($B63+$I$38-1),IF(AND($L$37=0,$P$34=0),"",$L$37-1)),0,YEARFRAC(MAX($P$34*($B63+$I$38-1),IF(AND($L$37=0,$P$34=0),"",$L$37-1)),MIN(CL$38,$E63),$P$20))-SUM($BF63:CK63))</f>
        <v>0</v>
      </c>
      <c r="CM63" s="446">
        <f>IF($E63=0,0,IF(MIN(CM$38,$E63)&lt;MAX($P$34*($B63+$I$38-1),IF(AND($L$37=0,$P$34=0),"",$L$37-1)),0,YEARFRAC(MAX($P$34*($B63+$I$38-1),IF(AND($L$37=0,$P$34=0),"",$L$37-1)),MIN(CM$38,$E63),$P$20))-SUM($BF63:CL63))</f>
        <v>0</v>
      </c>
      <c r="CN63" s="446">
        <f>IF($E63=0,0,IF(MIN(CN$38,$E63)&lt;MAX($P$34*($B63+$I$38-1),IF(AND($L$37=0,$P$34=0),"",$L$37-1)),0,YEARFRAC(MAX($P$34*($B63+$I$38-1),IF(AND($L$37=0,$P$34=0),"",$L$37-1)),MIN(CN$38,$E63),$P$20))-SUM($BF63:CM63))</f>
        <v>0</v>
      </c>
      <c r="CO63" s="446">
        <f>IF($E63=0,0,IF(MIN(CO$38,$E63)&lt;MAX($P$34*($B63+$I$38-1),IF(AND($L$37=0,$P$34=0),"",$L$37-1)),0,YEARFRAC(MAX($P$34*($B63+$I$38-1),IF(AND($L$37=0,$P$34=0),"",$L$37-1)),MIN(CO$38,$E63),$P$20))-SUM($BF63:CN63))</f>
        <v>0</v>
      </c>
      <c r="CP63" s="446">
        <f>IF($E63=0,0,IF(MIN(CP$38,$E63)&lt;MAX($P$34*($B63+$I$38-1),IF(AND($L$37=0,$P$34=0),"",$L$37-1)),0,YEARFRAC(MAX($P$34*($B63+$I$38-1),IF(AND($L$37=0,$P$34=0),"",$L$37-1)),MIN(CP$38,$E63),$P$20))-SUM($BF63:CO63))</f>
        <v>0</v>
      </c>
      <c r="CQ63" s="446">
        <f>IF($E63=0,0,IF(MIN(CQ$38,$E63)&lt;MAX($P$34*($B63+$I$38-1),IF(AND($L$37=0,$P$34=0),"",$L$37-1)),0,YEARFRAC(MAX($P$34*($B63+$I$38-1),IF(AND($L$37=0,$P$34=0),"",$L$37-1)),MIN(CQ$38,$E63),$P$20))-SUM($BF63:CP63))</f>
        <v>0</v>
      </c>
    </row>
    <row r="64" spans="1:95" s="446" customFormat="1" ht="11.25" hidden="1" customHeight="1" x14ac:dyDescent="0.2">
      <c r="A64" s="152"/>
      <c r="B64" s="153" t="str">
        <f t="shared" si="15"/>
        <v/>
      </c>
      <c r="C64" s="29" t="str">
        <f>IF(B64="","",IF($L$35="SELIC - TRIBUTOS",VLOOKUP(DATE(YEAR($D$19),MONTH($D$19)-1,1),ÍNDICES!$A:$DE,HLOOKUP($BL$25,ÍNDICES!$B$3:$T$4,2)+11)-VLOOKUP(B64,ÍNDICES!$A:$DE,HLOOKUP($BL$25,ÍNDICES!$B$3:$T$4,2)+11)+1%,IF(C$38=$W$26,$J$35,IF(ISERROR(IF(B64&gt;$D$19,1,VLOOKUP(DATE(YEAR(B64),MONTH(B64)+IF($C$35=$S$23,1,0),1),ÍNDICES!$A:$DE,$Z$35+1))),"",IF(B64&gt;$D$19,1,VLOOKUP(DATE(YEAR(B64),MONTH(B64)+IF($C$35=$S$23,1,0),1),ÍNDICES!$A:$DE,$Z$35+1))))))</f>
        <v/>
      </c>
      <c r="D64" s="154" t="str">
        <f>IF(ISERROR(IF(OR($D$38=$Y$27,$B64=""),"",VLOOKUP(B64,ÍNDICES!A:DE,AF$35+1))),"",IF(OR($D$38=$Y$27,$B64=""),"",VLOOKUP(B64,ÍNDICES!A:DE,AF$35+1)))</f>
        <v/>
      </c>
      <c r="E64" s="153"/>
      <c r="F64" s="29" t="str">
        <f>IF(E64="","",IF($L$35="SELIC - TRIBUTOS",VLOOKUP(DATE(YEAR($D$19),MONTH($D$19)-1,1),ÍNDICES!$A:$DE,HLOOKUP($BL$25,ÍNDICES!$B$3:$T$4,2)+11)-VLOOKUP(E64,ÍNDICES!$A:$DE,HLOOKUP($BL$25,ÍNDICES!$B$3:$T$4,2)+11)+1%,IF(F$38=$W$26,$J$35,IF(ISERROR(IF(E64&gt;$D$19,1,VLOOKUP(DATE(YEAR(E64),MONTH(E64)+IF($C$35=$S$23,1,0),1),ÍNDICES!$A:$DE,$Z$35+1))),"",IF(E64&gt;$D$19,1,VLOOKUP(DATE(YEAR(E64),MONTH(E64)+IF($C$35=$S$23,1,0),1),ÍNDICES!$A:$DE,$Z$35+1))))))</f>
        <v/>
      </c>
      <c r="G64" s="155"/>
      <c r="H64" s="156" t="str">
        <f t="shared" si="11"/>
        <v/>
      </c>
      <c r="I64" s="29" t="str">
        <f t="shared" si="5"/>
        <v/>
      </c>
      <c r="J64" s="5">
        <f t="shared" si="6"/>
        <v>0</v>
      </c>
      <c r="K64" s="20">
        <f t="shared" ca="1" si="7"/>
        <v>0</v>
      </c>
      <c r="L64" s="5">
        <f t="shared" ca="1" si="8"/>
        <v>0</v>
      </c>
      <c r="M64" s="64">
        <f t="shared" si="12"/>
        <v>0</v>
      </c>
      <c r="N64" s="61">
        <f t="shared" ca="1" si="13"/>
        <v>0</v>
      </c>
      <c r="O64" s="5">
        <f t="shared" ca="1" si="14"/>
        <v>0</v>
      </c>
      <c r="P64" s="446" t="e">
        <f t="shared" si="9"/>
        <v>#VALUE!</v>
      </c>
      <c r="Q64" s="446" t="e">
        <f>IF(OR($B64="",MIN(Q$38,$D$19)&lt;MAX($P$34*($B64+IF($R$17="Distrato",$I$38-1,0)),IF(AND($L$37=0,$P$34=0),"",$L$37-1),IF($R$17="Distrato",$E64,0))),0,YEARFRAC(MAX($P$34*($B64+IF($R$17="Distrato",$I$38-1,0)),IF(AND($L$37=0,$P$34=0),"",$L$37-1),IF($R$17="Distrato",$E64,0)),MIN(Q$38,$D$19),$P$20))-SUM($P64:P64)</f>
        <v>#VALUE!</v>
      </c>
      <c r="R64" s="446" t="e">
        <f>IF(OR($B64="",MIN(R$38,$D$19)&lt;MAX($P$34*($B64+IF($R$17="Distrato",$I$38-1,0)),IF(AND($L$37=0,$P$34=0),"",$L$37-1),IF($R$17="Distrato",$E64,0))),0,YEARFRAC(MAX($P$34*($B64+IF($R$17="Distrato",$I$38-1,0)),IF(AND($L$37=0,$P$34=0),"",$L$37-1),IF($R$17="Distrato",$E64,0)),MIN(R$38,$D$19),$P$20))-SUM($P64:Q64)</f>
        <v>#VALUE!</v>
      </c>
      <c r="S64" s="446" t="e">
        <f>IF(OR($B64="",MIN(S$38,$D$19)&lt;MAX($P$34*($B64+IF($R$17="Distrato",$I$38-1,0)),IF(AND($L$37=0,$P$34=0),"",$L$37-1),IF($R$17="Distrato",$E64,0))),0,YEARFRAC(MAX($P$34*($B64+IF($R$17="Distrato",$I$38-1,0)),IF(AND($L$37=0,$P$34=0),"",$L$37-1),IF($R$17="Distrato",$E64,0)),MIN(S$38,$D$19),$P$20))-SUM($P64:R64)</f>
        <v>#VALUE!</v>
      </c>
      <c r="T64" s="446" t="e">
        <f>IF(OR($B64="",MIN(T$38,$D$19)&lt;MAX($P$34*($B64+IF($R$17="Distrato",$I$38-1,0)),IF(AND($L$37=0,$P$34=0),"",$L$37-1),IF($R$17="Distrato",$E64,0))),0,YEARFRAC(MAX($P$34*($B64+IF($R$17="Distrato",$I$38-1,0)),IF(AND($L$37=0,$P$34=0),"",$L$37-1),IF($R$17="Distrato",$E64,0)),MIN(T$38,$D$19),$P$20))-SUM($P64:S64)</f>
        <v>#VALUE!</v>
      </c>
      <c r="U64" s="446" t="e">
        <f>IF(OR($B64="",MIN(U$38,$D$19)&lt;MAX($P$34*($B64+IF($R$17="Distrato",$I$38-1,0)),IF(AND($L$37=0,$P$34=0),"",$L$37-1),IF($R$17="Distrato",$E64,0))),0,YEARFRAC(MAX($P$34*($B64+IF($R$17="Distrato",$I$38-1,0)),IF(AND($L$37=0,$P$34=0),"",$L$37-1),IF($R$17="Distrato",$E64,0)),MIN(U$38,$D$19),$P$20))-SUM($P64:T64)</f>
        <v>#VALUE!</v>
      </c>
      <c r="V64" s="446" t="e">
        <f>IF(OR($B64="",MIN(V$38,$D$19)&lt;MAX($P$34*($B64+IF($R$17="Distrato",$I$38-1,0)),IF(AND($L$37=0,$P$34=0),"",$L$37-1),IF($R$17="Distrato",$E64,0))),0,YEARFRAC(MAX($P$34*($B64+IF($R$17="Distrato",$I$38-1,0)),IF(AND($L$37=0,$P$34=0),"",$L$37-1),IF($R$17="Distrato",$E64,0)),MIN(V$38,$D$19),$P$20))-SUM($P64:U64)</f>
        <v>#VALUE!</v>
      </c>
      <c r="W64" s="446" t="e">
        <f>IF(OR($B64="",MIN(W$38,$D$19)&lt;MAX($P$34*($B64+IF($R$17="Distrato",$I$38-1,0)),IF(AND($L$37=0,$P$34=0),"",$L$37-1),IF($R$17="Distrato",$E64,0))),0,YEARFRAC(MAX($P$34*($B64+IF($R$17="Distrato",$I$38-1,0)),IF(AND($L$37=0,$P$34=0),"",$L$37-1),IF($R$17="Distrato",$E64,0)),MIN(W$38,$D$19),$P$20))-SUM($P64:V64)</f>
        <v>#VALUE!</v>
      </c>
      <c r="X64" s="446" t="e">
        <f>IF(OR($B64="",MIN(X$38,$D$19)&lt;MAX($P$34*($B64+IF($R$17="Distrato",$I$38-1,0)),IF(AND($L$37=0,$P$34=0),"",$L$37-1),IF($R$17="Distrato",$E64,0))),0,YEARFRAC(MAX($P$34*($B64+IF($R$17="Distrato",$I$38-1,0)),IF(AND($L$37=0,$P$34=0),"",$L$37-1),IF($R$17="Distrato",$E64,0)),MIN(X$38,$D$19),$P$20))-SUM($P64:W64)</f>
        <v>#VALUE!</v>
      </c>
      <c r="Y64" s="446" t="e">
        <f>IF(OR($B64="",MIN(Y$38,$D$19)&lt;MAX($P$34*($B64+IF($R$17="Distrato",$I$38-1,0)),IF(AND($L$37=0,$P$34=0),"",$L$37-1),IF($R$17="Distrato",$E64,0))),0,YEARFRAC(MAX($P$34*($B64+IF($R$17="Distrato",$I$38-1,0)),IF(AND($L$37=0,$P$34=0),"",$L$37-1),IF($R$17="Distrato",$E64,0)),MIN(Y$38,$D$19),$P$20))-SUM($P64:X64)</f>
        <v>#VALUE!</v>
      </c>
      <c r="Z64" s="446" t="e">
        <f>IF(OR($B64="",MIN(Z$38,$D$19)&lt;MAX($P$34*($B64+IF($R$17="Distrato",$I$38-1,0)),IF(AND($L$37=0,$P$34=0),"",$L$37-1),IF($R$17="Distrato",$E64,0))),0,YEARFRAC(MAX($P$34*($B64+IF($R$17="Distrato",$I$38-1,0)),IF(AND($L$37=0,$P$34=0),"",$L$37-1),IF($R$17="Distrato",$E64,0)),MIN(Z$38,$D$19),$P$20))-SUM($P64:Y64)</f>
        <v>#VALUE!</v>
      </c>
      <c r="AA64" s="446" t="e">
        <f>IF(OR($B64="",MIN(AA$38,$D$19)&lt;MAX($P$34*($B64+IF($R$17="Distrato",$I$38-1,0)),IF(AND($L$37=0,$P$34=0),"",$L$37-1),IF($R$17="Distrato",$E64,0))),0,YEARFRAC(MAX($P$34*($B64+IF($R$17="Distrato",$I$38-1,0)),IF(AND($L$37=0,$P$34=0),"",$L$37-1),IF($R$17="Distrato",$E64,0)),MIN(AA$38,$D$19),$P$20))-SUM($P64:Z64)</f>
        <v>#VALUE!</v>
      </c>
      <c r="AB64" s="446" t="e">
        <f>IF(OR($B64="",MIN(AB$38,$D$19)&lt;MAX($P$34*($B64+IF($R$17="Distrato",$I$38-1,0)),IF(AND($L$37=0,$P$34=0),"",$L$37-1),IF($R$17="Distrato",$E64,0))),0,YEARFRAC(MAX($P$34*($B64+IF($R$17="Distrato",$I$38-1,0)),IF(AND($L$37=0,$P$34=0),"",$L$37-1),IF($R$17="Distrato",$E64,0)),MIN(AB$38,$D$19),$P$20))-SUM($P64:AA64)</f>
        <v>#VALUE!</v>
      </c>
      <c r="AC64" s="446" t="e">
        <f>IF(OR($B64="",MIN(AC$38,$D$19)&lt;MAX($P$34*($B64+IF($R$17="Distrato",$I$38-1,0)),IF(AND($L$37=0,$P$34=0),"",$L$37-1),IF($R$17="Distrato",$E64,0))),0,YEARFRAC(MAX($P$34*($B64+IF($R$17="Distrato",$I$38-1,0)),IF(AND($L$37=0,$P$34=0),"",$L$37-1),IF($R$17="Distrato",$E64,0)),MIN(AC$38,$D$19),$P$20))-SUM($P64:AB64)</f>
        <v>#VALUE!</v>
      </c>
      <c r="AD64" s="446" t="e">
        <f>IF(OR($B64="",MIN(AD$38,$D$19)&lt;MAX($P$34*($B64+IF($R$17="Distrato",$I$38-1,0)),IF(AND($L$37=0,$P$34=0),"",$L$37-1),IF($R$17="Distrato",$E64,0))),0,YEARFRAC(MAX($P$34*($B64+IF($R$17="Distrato",$I$38-1,0)),IF(AND($L$37=0,$P$34=0),"",$L$37-1),IF($R$17="Distrato",$E64,0)),MIN(AD$38,$D$19),$P$20))-SUM($P64:AC64)</f>
        <v>#VALUE!</v>
      </c>
      <c r="AE64" s="446" t="e">
        <f>IF(OR($B64="",MIN(AE$38,$D$19)&lt;MAX($P$34*($B64+IF($R$17="Distrato",$I$38-1,0)),IF(AND($L$37=0,$P$34=0),"",$L$37-1),IF($R$17="Distrato",$E64,0))),0,YEARFRAC(MAX($P$34*($B64+IF($R$17="Distrato",$I$38-1,0)),IF(AND($L$37=0,$P$34=0),"",$L$37-1),IF($R$17="Distrato",$E64,0)),MIN(AE$38,$D$19),$P$20))-SUM($P64:AD64)</f>
        <v>#VALUE!</v>
      </c>
      <c r="AF64" s="446" t="e">
        <f>IF(OR($B64="",MIN(AF$38,$D$19)&lt;MAX($P$34*($B64+IF($R$17="Distrato",$I$38-1,0)),IF(AND($L$37=0,$P$34=0),"",$L$37-1),IF($R$17="Distrato",$E64,0))),0,YEARFRAC(MAX($P$34*($B64+IF($R$17="Distrato",$I$38-1,0)),IF(AND($L$37=0,$P$34=0),"",$L$37-1),IF($R$17="Distrato",$E64,0)),MIN(AF$38,$D$19),$P$20))-SUM($P64:AE64)</f>
        <v>#VALUE!</v>
      </c>
      <c r="AG64" s="446" t="e">
        <f>IF(OR($B64="",MIN(AG$38,$D$19)&lt;MAX($P$34*($B64+IF($R$17="Distrato",$I$38-1,0)),IF(AND($L$37=0,$P$34=0),"",$L$37-1),IF($R$17="Distrato",$E64,0))),0,YEARFRAC(MAX($P$34*($B64+IF($R$17="Distrato",$I$38-1,0)),IF(AND($L$37=0,$P$34=0),"",$L$37-1),IF($R$17="Distrato",$E64,0)),MIN(AG$38,$D$19),$P$20))-SUM($P64:AF64)</f>
        <v>#VALUE!</v>
      </c>
      <c r="AH64" s="446" t="e">
        <f>IF(OR($B64="",MIN(AH$38,$D$19)&lt;MAX($P$34*($B64+IF($R$17="Distrato",$I$38-1,0)),IF(AND($L$37=0,$P$34=0),"",$L$37-1),IF($R$17="Distrato",$E64,0))),0,YEARFRAC(MAX($P$34*($B64+IF($R$17="Distrato",$I$38-1,0)),IF(AND($L$37=0,$P$34=0),"",$L$37-1),IF($R$17="Distrato",$E64,0)),MIN(AH$38,$D$19),$P$20))-SUM($P64:AG64)</f>
        <v>#VALUE!</v>
      </c>
      <c r="AI64" s="446" t="e">
        <f>IF(OR($B64="",MIN(AI$38,$D$19)&lt;MAX($P$34*($B64+IF($R$17="Distrato",$I$38-1,0)),IF(AND($L$37=0,$P$34=0),"",$L$37-1),IF($R$17="Distrato",$E64,0))),0,YEARFRAC(MAX($P$34*($B64+IF($R$17="Distrato",$I$38-1,0)),IF(AND($L$37=0,$P$34=0),"",$L$37-1),IF($R$17="Distrato",$E64,0)),MIN(AI$38,$D$19),$P$20))-SUM($P64:AH64)</f>
        <v>#VALUE!</v>
      </c>
      <c r="AJ64" s="446" t="e">
        <f>IF(OR($B64="",MIN(AJ$38,$D$19)&lt;MAX($P$34*($B64+IF($R$17="Distrato",$I$38-1,0)),IF(AND($L$37=0,$P$34=0),"",$L$37-1),IF($R$17="Distrato",$E64,0))),0,YEARFRAC(MAX($P$34*($B64+IF($R$17="Distrato",$I$38-1,0)),IF(AND($L$37=0,$P$34=0),"",$L$37-1),IF($R$17="Distrato",$E64,0)),MIN(AJ$38,$D$19),$P$20))-SUM($P64:AI64)</f>
        <v>#VALUE!</v>
      </c>
      <c r="AK64" s="446" t="e">
        <f>IF(OR($B64="",MIN(AK$38,$D$19)&lt;MAX($P$34*($B64+IF($R$17="Distrato",$I$38-1,0)),IF(AND($L$37=0,$P$34=0),"",$L$37-1),IF($R$17="Distrato",$E64,0))),0,YEARFRAC(MAX($P$34*($B64+IF($R$17="Distrato",$I$38-1,0)),IF(AND($L$37=0,$P$34=0),"",$L$37-1),IF($R$17="Distrato",$E64,0)),MIN(AK$38,$D$19),$P$20))-SUM($P64:AJ64)</f>
        <v>#VALUE!</v>
      </c>
      <c r="AL64" s="446" t="e">
        <f>IF(OR($B64="",MIN(AL$38,$D$19)&lt;MAX($P$34*($B64+IF($R$17="Distrato",$I$38-1,0)),IF(AND($L$37=0,$P$34=0),"",$L$37-1),IF($R$17="Distrato",$E64,0))),0,YEARFRAC(MAX($P$34*($B64+IF($R$17="Distrato",$I$38-1,0)),IF(AND($L$37=0,$P$34=0),"",$L$37-1),IF($R$17="Distrato",$E64,0)),MIN(AL$38,$D$19),$P$20))-SUM($P64:AK64)</f>
        <v>#VALUE!</v>
      </c>
      <c r="AM64" s="446" t="e">
        <f>IF(OR($B64="",MIN(AM$38,$D$19)&lt;MAX($P$34*($B64+IF($R$17="Distrato",$I$38-1,0)),IF(AND($L$37=0,$P$34=0),"",$L$37-1),IF($R$17="Distrato",$E64,0))),0,YEARFRAC(MAX($P$34*($B64+IF($R$17="Distrato",$I$38-1,0)),IF(AND($L$37=0,$P$34=0),"",$L$37-1),IF($R$17="Distrato",$E64,0)),MIN(AM$38,$D$19),$P$20))-SUM($P64:AL64)</f>
        <v>#VALUE!</v>
      </c>
      <c r="AN64" s="446" t="e">
        <f>IF(OR($B64="",MIN(AN$38,$D$19)&lt;MAX($P$34*($B64+IF($R$17="Distrato",$I$38-1,0)),IF(AND($L$37=0,$P$34=0),"",$L$37-1),IF($R$17="Distrato",$E64,0))),0,YEARFRAC(MAX($P$34*($B64+IF($R$17="Distrato",$I$38-1,0)),IF(AND($L$37=0,$P$34=0),"",$L$37-1),IF($R$17="Distrato",$E64,0)),MIN(AN$38,$D$19),$P$20))-SUM($P64:AM64)</f>
        <v>#VALUE!</v>
      </c>
      <c r="AO64" s="446" t="e">
        <f>IF(OR($B64="",MIN(AO$38,$D$19)&lt;MAX($P$34*($B64+IF($R$17="Distrato",$I$38-1,0)),IF(AND($L$37=0,$P$34=0),"",$L$37-1),IF($R$17="Distrato",$E64,0))),0,YEARFRAC(MAX($P$34*($B64+IF($R$17="Distrato",$I$38-1,0)),IF(AND($L$37=0,$P$34=0),"",$L$37-1),IF($R$17="Distrato",$E64,0)),MIN(AO$38,$D$19),$P$20))-SUM($P64:AN64)</f>
        <v>#VALUE!</v>
      </c>
      <c r="AP64" s="446" t="e">
        <f>IF(OR($B64="",MIN(AP$38,$D$19)&lt;MAX($P$34*($B64+IF($R$17="Distrato",$I$38-1,0)),IF(AND($L$37=0,$P$34=0),"",$L$37-1),IF($R$17="Distrato",$E64,0))),0,YEARFRAC(MAX($P$34*($B64+IF($R$17="Distrato",$I$38-1,0)),IF(AND($L$37=0,$P$34=0),"",$L$37-1),IF($R$17="Distrato",$E64,0)),MIN(AP$38,$D$19),$P$20))-SUM($P64:AO64)</f>
        <v>#VALUE!</v>
      </c>
      <c r="AQ64" s="446" t="e">
        <f>IF(OR($B64="",MIN(AQ$38,$D$19)&lt;MAX($P$34*($B64+IF($R$17="Distrato",$I$38-1,0)),IF(AND($L$37=0,$P$34=0),"",$L$37-1),IF($R$17="Distrato",$E64,0))),0,YEARFRAC(MAX($P$34*($B64+IF($R$17="Distrato",$I$38-1,0)),IF(AND($L$37=0,$P$34=0),"",$L$37-1),IF($R$17="Distrato",$E64,0)),MIN(AQ$38,$D$19),$P$20))-SUM($P64:AP64)</f>
        <v>#VALUE!</v>
      </c>
      <c r="AR64" s="446" t="e">
        <f>IF(OR($B64="",MIN(AR$38,$D$19)&lt;MAX($P$34*($B64+IF($R$17="Distrato",$I$38-1,0)),IF(AND($L$37=0,$P$34=0),"",$L$37-1),IF($R$17="Distrato",$E64,0))),0,YEARFRAC(MAX($P$34*($B64+IF($R$17="Distrato",$I$38-1,0)),IF(AND($L$37=0,$P$34=0),"",$L$37-1),IF($R$17="Distrato",$E64,0)),MIN(AR$38,$D$19),$P$20))-SUM($P64:AQ64)</f>
        <v>#VALUE!</v>
      </c>
      <c r="AS64" s="446" t="e">
        <f>IF(OR($B64="",MIN(AS$38,$D$19)&lt;MAX($P$34*($B64+IF($R$17="Distrato",$I$38-1,0)),IF(AND($L$37=0,$P$34=0),"",$L$37-1),IF($R$17="Distrato",$E64,0))),0,YEARFRAC(MAX($P$34*($B64+IF($R$17="Distrato",$I$38-1,0)),IF(AND($L$37=0,$P$34=0),"",$L$37-1),IF($R$17="Distrato",$E64,0)),MIN(AS$38,$D$19),$P$20))-SUM($P64:AR64)</f>
        <v>#VALUE!</v>
      </c>
      <c r="AT64" s="446" t="e">
        <f>IF(OR($B64="",MIN(AT$38,$D$19)&lt;MAX($P$34*($B64+IF($R$17="Distrato",$I$38-1,0)),IF(AND($L$37=0,$P$34=0),"",$L$37-1),IF($R$17="Distrato",$E64,0))),0,YEARFRAC(MAX($P$34*($B64+IF($R$17="Distrato",$I$38-1,0)),IF(AND($L$37=0,$P$34=0),"",$L$37-1),IF($R$17="Distrato",$E64,0)),MIN(AT$38,$D$19),$P$20))-SUM($P64:AS64)</f>
        <v>#VALUE!</v>
      </c>
      <c r="AU64" s="446" t="e">
        <f>IF(OR($B64="",MIN(AU$38,$D$19)&lt;MAX($P$34*($B64+IF($R$17="Distrato",$I$38-1,0)),IF(AND($L$37=0,$P$34=0),"",$L$37-1),IF($R$17="Distrato",$E64,0))),0,YEARFRAC(MAX($P$34*($B64+IF($R$17="Distrato",$I$38-1,0)),IF(AND($L$37=0,$P$34=0),"",$L$37-1),IF($R$17="Distrato",$E64,0)),MIN(AU$38,$D$19),$P$20))-SUM($P64:AT64)</f>
        <v>#VALUE!</v>
      </c>
      <c r="AV64" s="446" t="e">
        <f>IF(OR($B64="",MIN(AV$38,$D$19)&lt;MAX($P$34*($B64+IF($R$17="Distrato",$I$38-1,0)),IF(AND($L$37=0,$P$34=0),"",$L$37-1),IF($R$17="Distrato",$E64,0))),0,YEARFRAC(MAX($P$34*($B64+IF($R$17="Distrato",$I$38-1,0)),IF(AND($L$37=0,$P$34=0),"",$L$37-1),IF($R$17="Distrato",$E64,0)),MIN(AV$38,$D$19),$P$20))-SUM($P64:AU64)</f>
        <v>#VALUE!</v>
      </c>
      <c r="AW64" s="446" t="e">
        <f>IF(OR($B64="",MIN(AW$38,$D$19)&lt;MAX($P$34*($B64+IF($R$17="Distrato",$I$38-1,0)),IF(AND($L$37=0,$P$34=0),"",$L$37-1),IF($R$17="Distrato",$E64,0))),0,YEARFRAC(MAX($P$34*($B64+IF($R$17="Distrato",$I$38-1,0)),IF(AND($L$37=0,$P$34=0),"",$L$37-1),IF($R$17="Distrato",$E64,0)),MIN(AW$38,$D$19),$P$20))-SUM($P64:AV64)</f>
        <v>#VALUE!</v>
      </c>
      <c r="AX64" s="446" t="e">
        <f>IF(OR($B64="",MIN(AX$38,$D$19)&lt;MAX($P$34*($B64+IF($R$17="Distrato",$I$38-1,0)),IF(AND($L$37=0,$P$34=0),"",$L$37-1),IF($R$17="Distrato",$E64,0))),0,YEARFRAC(MAX($P$34*($B64+IF($R$17="Distrato",$I$38-1,0)),IF(AND($L$37=0,$P$34=0),"",$L$37-1),IF($R$17="Distrato",$E64,0)),MIN(AX$38,$D$19),$P$20))-SUM($P64:AW64)</f>
        <v>#VALUE!</v>
      </c>
      <c r="AY64" s="446" t="e">
        <f>IF(OR($B64="",MIN(AY$38,$D$19)&lt;MAX($P$34*($B64+IF($R$17="Distrato",$I$38-1,0)),IF(AND($L$37=0,$P$34=0),"",$L$37-1),IF($R$17="Distrato",$E64,0))),0,YEARFRAC(MAX($P$34*($B64+IF($R$17="Distrato",$I$38-1,0)),IF(AND($L$37=0,$P$34=0),"",$L$37-1),IF($R$17="Distrato",$E64,0)),MIN(AY$38,$D$19),$P$20))-SUM($P64:AX64)</f>
        <v>#VALUE!</v>
      </c>
      <c r="AZ64" s="446" t="e">
        <f>IF(OR($B64="",MIN(AZ$38,$D$19)&lt;MAX($P$34*($B64+IF($R$17="Distrato",$I$38-1,0)),IF(AND($L$37=0,$P$34=0),"",$L$37-1),IF($R$17="Distrato",$E64,0))),0,YEARFRAC(MAX($P$34*($B64+IF($R$17="Distrato",$I$38-1,0)),IF(AND($L$37=0,$P$34=0),"",$L$37-1),IF($R$17="Distrato",$E64,0)),MIN(AZ$38,$D$19),$P$20))-SUM($P64:AY64)</f>
        <v>#VALUE!</v>
      </c>
      <c r="BA64" s="446" t="e">
        <f>IF(OR($B64="",MIN(BA$38,$D$19)&lt;MAX($P$34*($B64+IF($R$17="Distrato",$I$38-1,0)),IF(AND($L$37=0,$P$34=0),"",$L$37-1),IF($R$17="Distrato",$E64,0))),0,YEARFRAC(MAX($P$34*($B64+IF($R$17="Distrato",$I$38-1,0)),IF(AND($L$37=0,$P$34=0),"",$L$37-1),IF($R$17="Distrato",$E64,0)),MIN(BA$38,$D$19),$P$20))-SUM($P64:AZ64)</f>
        <v>#VALUE!</v>
      </c>
      <c r="BB64" s="447"/>
      <c r="BF64" s="446">
        <f t="shared" si="10"/>
        <v>0</v>
      </c>
      <c r="BG64" s="446">
        <f>IF($E64=0,0,IF(MIN(BG$38,$E64)&lt;MAX($P$34*($B64+$I$38-1),IF(AND($L$37=0,$P$34=0),"",$L$37-1)),0,YEARFRAC(MAX($P$34*($B64+$I$38-1),IF(AND($L$37=0,$P$34=0),"",$L$37-1)),MIN(BG$38,$E64),$P$20))-SUM($BF64:BF64))</f>
        <v>0</v>
      </c>
      <c r="BH64" s="446">
        <f>IF($E64=0,0,IF(MIN(BH$38,$E64)&lt;MAX($P$34*($B64+$I$38-1),IF(AND($L$37=0,$P$34=0),"",$L$37-1)),0,YEARFRAC(MAX($P$34*($B64+$I$38-1),IF(AND($L$37=0,$P$34=0),"",$L$37-1)),MIN(BH$38,$E64),$P$20))-SUM($BF64:BG64))</f>
        <v>0</v>
      </c>
      <c r="BI64" s="446">
        <f>IF($E64=0,0,IF(MIN(BI$38,$E64)&lt;MAX($P$34*($B64+$I$38-1),IF(AND($L$37=0,$P$34=0),"",$L$37-1)),0,YEARFRAC(MAX($P$34*($B64+$I$38-1),IF(AND($L$37=0,$P$34=0),"",$L$37-1)),MIN(BI$38,$E64),$P$20))-SUM($BF64:BH64))</f>
        <v>0</v>
      </c>
      <c r="BJ64" s="446">
        <f>IF($E64=0,0,IF(MIN(BJ$38,$E64)&lt;MAX($P$34*($B64+$I$38-1),IF(AND($L$37=0,$P$34=0),"",$L$37-1)),0,YEARFRAC(MAX($P$34*($B64+$I$38-1),IF(AND($L$37=0,$P$34=0),"",$L$37-1)),MIN(BJ$38,$E64),$P$20))-SUM($BF64:BI64))</f>
        <v>0</v>
      </c>
      <c r="BK64" s="446">
        <f>IF($E64=0,0,IF(MIN(BK$38,$E64)&lt;MAX($P$34*($B64+$I$38-1),IF(AND($L$37=0,$P$34=0),"",$L$37-1)),0,YEARFRAC(MAX($P$34*($B64+$I$38-1),IF(AND($L$37=0,$P$34=0),"",$L$37-1)),MIN(BK$38,$E64),$P$20))-SUM($BF64:BJ64))</f>
        <v>0</v>
      </c>
      <c r="BL64" s="446">
        <f>IF($E64=0,0,IF(MIN(BL$38,$E64)&lt;MAX($P$34*($B64+$I$38-1),IF(AND($L$37=0,$P$34=0),"",$L$37-1)),0,YEARFRAC(MAX($P$34*($B64+$I$38-1),IF(AND($L$37=0,$P$34=0),"",$L$37-1)),MIN(BL$38,$E64),$P$20))-SUM($BF64:BK64))</f>
        <v>0</v>
      </c>
      <c r="BM64" s="446">
        <f>IF($E64=0,0,IF(MIN(BM$38,$E64)&lt;MAX($P$34*($B64+$I$38-1),IF(AND($L$37=0,$P$34=0),"",$L$37-1)),0,YEARFRAC(MAX($P$34*($B64+$I$38-1),IF(AND($L$37=0,$P$34=0),"",$L$37-1)),MIN(BM$38,$E64),$P$20))-SUM($BF64:BL64))</f>
        <v>0</v>
      </c>
      <c r="BN64" s="446">
        <f>IF($E64=0,0,IF(MIN(BN$38,$E64)&lt;MAX($P$34*($B64+$I$38-1),IF(AND($L$37=0,$P$34=0),"",$L$37-1)),0,YEARFRAC(MAX($P$34*($B64+$I$38-1),IF(AND($L$37=0,$P$34=0),"",$L$37-1)),MIN(BN$38,$E64),$P$20))-SUM($BF64:BM64))</f>
        <v>0</v>
      </c>
      <c r="BO64" s="446">
        <f>IF($E64=0,0,IF(MIN(BO$38,$E64)&lt;MAX($P$34*($B64+$I$38-1),IF(AND($L$37=0,$P$34=0),"",$L$37-1)),0,YEARFRAC(MAX($P$34*($B64+$I$38-1),IF(AND($L$37=0,$P$34=0),"",$L$37-1)),MIN(BO$38,$E64),$P$20))-SUM($BF64:BN64))</f>
        <v>0</v>
      </c>
      <c r="BP64" s="446">
        <f>IF($E64=0,0,IF(MIN(BP$38,$E64)&lt;MAX($P$34*($B64+$I$38-1),IF(AND($L$37=0,$P$34=0),"",$L$37-1)),0,YEARFRAC(MAX($P$34*($B64+$I$38-1),IF(AND($L$37=0,$P$34=0),"",$L$37-1)),MIN(BP$38,$E64),$P$20))-SUM($BF64:BO64))</f>
        <v>0</v>
      </c>
      <c r="BQ64" s="446">
        <f>IF($E64=0,0,IF(MIN(BQ$38,$E64)&lt;MAX($P$34*($B64+$I$38-1),IF(AND($L$37=0,$P$34=0),"",$L$37-1)),0,YEARFRAC(MAX($P$34*($B64+$I$38-1),IF(AND($L$37=0,$P$34=0),"",$L$37-1)),MIN(BQ$38,$E64),$P$20))-SUM($BF64:BP64))</f>
        <v>0</v>
      </c>
      <c r="BR64" s="446">
        <f>IF($E64=0,0,IF(MIN(BR$38,$E64)&lt;MAX($P$34*($B64+$I$38-1),IF(AND($L$37=0,$P$34=0),"",$L$37-1)),0,YEARFRAC(MAX($P$34*($B64+$I$38-1),IF(AND($L$37=0,$P$34=0),"",$L$37-1)),MIN(BR$38,$E64),$P$20))-SUM($BF64:BQ64))</f>
        <v>0</v>
      </c>
      <c r="BS64" s="446">
        <f>IF($E64=0,0,IF(MIN(BS$38,$E64)&lt;MAX($P$34*($B64+$I$38-1),IF(AND($L$37=0,$P$34=0),"",$L$37-1)),0,YEARFRAC(MAX($P$34*($B64+$I$38-1),IF(AND($L$37=0,$P$34=0),"",$L$37-1)),MIN(BS$38,$E64),$P$20))-SUM($BF64:BR64))</f>
        <v>0</v>
      </c>
      <c r="BT64" s="446">
        <f>IF($E64=0,0,IF(MIN(BT$38,$E64)&lt;MAX($P$34*($B64+$I$38-1),IF(AND($L$37=0,$P$34=0),"",$L$37-1)),0,YEARFRAC(MAX($P$34*($B64+$I$38-1),IF(AND($L$37=0,$P$34=0),"",$L$37-1)),MIN(BT$38,$E64),$P$20))-SUM($BF64:BS64))</f>
        <v>0</v>
      </c>
      <c r="BU64" s="446">
        <f>IF($E64=0,0,IF(MIN(BU$38,$E64)&lt;MAX($P$34*($B64+$I$38-1),IF(AND($L$37=0,$P$34=0),"",$L$37-1)),0,YEARFRAC(MAX($P$34*($B64+$I$38-1),IF(AND($L$37=0,$P$34=0),"",$L$37-1)),MIN(BU$38,$E64),$P$20))-SUM($BF64:BT64))</f>
        <v>0</v>
      </c>
      <c r="BV64" s="446">
        <f>IF($E64=0,0,IF(MIN(BV$38,$E64)&lt;MAX($P$34*($B64+$I$38-1),IF(AND($L$37=0,$P$34=0),"",$L$37-1)),0,YEARFRAC(MAX($P$34*($B64+$I$38-1),IF(AND($L$37=0,$P$34=0),"",$L$37-1)),MIN(BV$38,$E64),$P$20))-SUM($BF64:BU64))</f>
        <v>0</v>
      </c>
      <c r="BW64" s="446">
        <f>IF($E64=0,0,IF(MIN(BW$38,$E64)&lt;MAX($P$34*($B64+$I$38-1),IF(AND($L$37=0,$P$34=0),"",$L$37-1)),0,YEARFRAC(MAX($P$34*($B64+$I$38-1),IF(AND($L$37=0,$P$34=0),"",$L$37-1)),MIN(BW$38,$E64),$P$20))-SUM($BF64:BV64))</f>
        <v>0</v>
      </c>
      <c r="BX64" s="446">
        <f>IF($E64=0,0,IF(MIN(BX$38,$E64)&lt;MAX($P$34*($B64+$I$38-1),IF(AND($L$37=0,$P$34=0),"",$L$37-1)),0,YEARFRAC(MAX($P$34*($B64+$I$38-1),IF(AND($L$37=0,$P$34=0),"",$L$37-1)),MIN(BX$38,$E64),$P$20))-SUM($BF64:BW64))</f>
        <v>0</v>
      </c>
      <c r="BY64" s="446">
        <f>IF($E64=0,0,IF(MIN(BY$38,$E64)&lt;MAX($P$34*($B64+$I$38-1),IF(AND($L$37=0,$P$34=0),"",$L$37-1)),0,YEARFRAC(MAX($P$34*($B64+$I$38-1),IF(AND($L$37=0,$P$34=0),"",$L$37-1)),MIN(BY$38,$E64),$P$20))-SUM($BF64:BX64))</f>
        <v>0</v>
      </c>
      <c r="BZ64" s="446">
        <f>IF($E64=0,0,IF(MIN(BZ$38,$E64)&lt;MAX($P$34*($B64+$I$38-1),IF(AND($L$37=0,$P$34=0),"",$L$37-1)),0,YEARFRAC(MAX($P$34*($B64+$I$38-1),IF(AND($L$37=0,$P$34=0),"",$L$37-1)),MIN(BZ$38,$E64),$P$20))-SUM($BF64:BY64))</f>
        <v>0</v>
      </c>
      <c r="CA64" s="446">
        <f>IF($E64=0,0,IF(MIN(CA$38,$E64)&lt;MAX($P$34*($B64+$I$38-1),IF(AND($L$37=0,$P$34=0),"",$L$37-1)),0,YEARFRAC(MAX($P$34*($B64+$I$38-1),IF(AND($L$37=0,$P$34=0),"",$L$37-1)),MIN(CA$38,$E64),$P$20))-SUM($BF64:BZ64))</f>
        <v>0</v>
      </c>
      <c r="CB64" s="446">
        <f>IF($E64=0,0,IF(MIN(CB$38,$E64)&lt;MAX($P$34*($B64+$I$38-1),IF(AND($L$37=0,$P$34=0),"",$L$37-1)),0,YEARFRAC(MAX($P$34*($B64+$I$38-1),IF(AND($L$37=0,$P$34=0),"",$L$37-1)),MIN(CB$38,$E64),$P$20))-SUM($BF64:CA64))</f>
        <v>0</v>
      </c>
      <c r="CC64" s="446">
        <f>IF($E64=0,0,IF(MIN(CC$38,$E64)&lt;MAX($P$34*($B64+$I$38-1),IF(AND($L$37=0,$P$34=0),"",$L$37-1)),0,YEARFRAC(MAX($P$34*($B64+$I$38-1),IF(AND($L$37=0,$P$34=0),"",$L$37-1)),MIN(CC$38,$E64),$P$20))-SUM($BF64:CB64))</f>
        <v>0</v>
      </c>
      <c r="CD64" s="446">
        <f>IF($E64=0,0,IF(MIN(CD$38,$E64)&lt;MAX($P$34*($B64+$I$38-1),IF(AND($L$37=0,$P$34=0),"",$L$37-1)),0,YEARFRAC(MAX($P$34*($B64+$I$38-1),IF(AND($L$37=0,$P$34=0),"",$L$37-1)),MIN(CD$38,$E64),$P$20))-SUM($BF64:CC64))</f>
        <v>0</v>
      </c>
      <c r="CE64" s="446">
        <f>IF($E64=0,0,IF(MIN(CE$38,$E64)&lt;MAX($P$34*($B64+$I$38-1),IF(AND($L$37=0,$P$34=0),"",$L$37-1)),0,YEARFRAC(MAX($P$34*($B64+$I$38-1),IF(AND($L$37=0,$P$34=0),"",$L$37-1)),MIN(CE$38,$E64),$P$20))-SUM($BF64:CD64))</f>
        <v>0</v>
      </c>
      <c r="CF64" s="446">
        <f>IF($E64=0,0,IF(MIN(CF$38,$E64)&lt;MAX($P$34*($B64+$I$38-1),IF(AND($L$37=0,$P$34=0),"",$L$37-1)),0,YEARFRAC(MAX($P$34*($B64+$I$38-1),IF(AND($L$37=0,$P$34=0),"",$L$37-1)),MIN(CF$38,$E64),$P$20))-SUM($BF64:CE64))</f>
        <v>0</v>
      </c>
      <c r="CG64" s="446">
        <f>IF($E64=0,0,IF(MIN(CG$38,$E64)&lt;MAX($P$34*($B64+$I$38-1),IF(AND($L$37=0,$P$34=0),"",$L$37-1)),0,YEARFRAC(MAX($P$34*($B64+$I$38-1),IF(AND($L$37=0,$P$34=0),"",$L$37-1)),MIN(CG$38,$E64),$P$20))-SUM($BF64:CF64))</f>
        <v>0</v>
      </c>
      <c r="CH64" s="446">
        <f>IF($E64=0,0,IF(MIN(CH$38,$E64)&lt;MAX($P$34*($B64+$I$38-1),IF(AND($L$37=0,$P$34=0),"",$L$37-1)),0,YEARFRAC(MAX($P$34*($B64+$I$38-1),IF(AND($L$37=0,$P$34=0),"",$L$37-1)),MIN(CH$38,$E64),$P$20))-SUM($BF64:CG64))</f>
        <v>0</v>
      </c>
      <c r="CI64" s="446">
        <f>IF($E64=0,0,IF(MIN(CI$38,$E64)&lt;MAX($P$34*($B64+$I$38-1),IF(AND($L$37=0,$P$34=0),"",$L$37-1)),0,YEARFRAC(MAX($P$34*($B64+$I$38-1),IF(AND($L$37=0,$P$34=0),"",$L$37-1)),MIN(CI$38,$E64),$P$20))-SUM($BF64:CH64))</f>
        <v>0</v>
      </c>
      <c r="CJ64" s="446">
        <f>IF($E64=0,0,IF(MIN(CJ$38,$E64)&lt;MAX($P$34*($B64+$I$38-1),IF(AND($L$37=0,$P$34=0),"",$L$37-1)),0,YEARFRAC(MAX($P$34*($B64+$I$38-1),IF(AND($L$37=0,$P$34=0),"",$L$37-1)),MIN(CJ$38,$E64),$P$20))-SUM($BF64:CI64))</f>
        <v>0</v>
      </c>
      <c r="CK64" s="446">
        <f>IF($E64=0,0,IF(MIN(CK$38,$E64)&lt;MAX($P$34*($B64+$I$38-1),IF(AND($L$37=0,$P$34=0),"",$L$37-1)),0,YEARFRAC(MAX($P$34*($B64+$I$38-1),IF(AND($L$37=0,$P$34=0),"",$L$37-1)),MIN(CK$38,$E64),$P$20))-SUM($BF64:CJ64))</f>
        <v>0</v>
      </c>
      <c r="CL64" s="446">
        <f>IF($E64=0,0,IF(MIN(CL$38,$E64)&lt;MAX($P$34*($B64+$I$38-1),IF(AND($L$37=0,$P$34=0),"",$L$37-1)),0,YEARFRAC(MAX($P$34*($B64+$I$38-1),IF(AND($L$37=0,$P$34=0),"",$L$37-1)),MIN(CL$38,$E64),$P$20))-SUM($BF64:CK64))</f>
        <v>0</v>
      </c>
      <c r="CM64" s="446">
        <f>IF($E64=0,0,IF(MIN(CM$38,$E64)&lt;MAX($P$34*($B64+$I$38-1),IF(AND($L$37=0,$P$34=0),"",$L$37-1)),0,YEARFRAC(MAX($P$34*($B64+$I$38-1),IF(AND($L$37=0,$P$34=0),"",$L$37-1)),MIN(CM$38,$E64),$P$20))-SUM($BF64:CL64))</f>
        <v>0</v>
      </c>
      <c r="CN64" s="446">
        <f>IF($E64=0,0,IF(MIN(CN$38,$E64)&lt;MAX($P$34*($B64+$I$38-1),IF(AND($L$37=0,$P$34=0),"",$L$37-1)),0,YEARFRAC(MAX($P$34*($B64+$I$38-1),IF(AND($L$37=0,$P$34=0),"",$L$37-1)),MIN(CN$38,$E64),$P$20))-SUM($BF64:CM64))</f>
        <v>0</v>
      </c>
      <c r="CO64" s="446">
        <f>IF($E64=0,0,IF(MIN(CO$38,$E64)&lt;MAX($P$34*($B64+$I$38-1),IF(AND($L$37=0,$P$34=0),"",$L$37-1)),0,YEARFRAC(MAX($P$34*($B64+$I$38-1),IF(AND($L$37=0,$P$34=0),"",$L$37-1)),MIN(CO$38,$E64),$P$20))-SUM($BF64:CN64))</f>
        <v>0</v>
      </c>
      <c r="CP64" s="446">
        <f>IF($E64=0,0,IF(MIN(CP$38,$E64)&lt;MAX($P$34*($B64+$I$38-1),IF(AND($L$37=0,$P$34=0),"",$L$37-1)),0,YEARFRAC(MAX($P$34*($B64+$I$38-1),IF(AND($L$37=0,$P$34=0),"",$L$37-1)),MIN(CP$38,$E64),$P$20))-SUM($BF64:CO64))</f>
        <v>0</v>
      </c>
      <c r="CQ64" s="446">
        <f>IF($E64=0,0,IF(MIN(CQ$38,$E64)&lt;MAX($P$34*($B64+$I$38-1),IF(AND($L$37=0,$P$34=0),"",$L$37-1)),0,YEARFRAC(MAX($P$34*($B64+$I$38-1),IF(AND($L$37=0,$P$34=0),"",$L$37-1)),MIN(CQ$38,$E64),$P$20))-SUM($BF64:CP64))</f>
        <v>0</v>
      </c>
    </row>
    <row r="65" spans="1:95" s="446" customFormat="1" ht="11.25" hidden="1" customHeight="1" x14ac:dyDescent="0.2">
      <c r="A65" s="152"/>
      <c r="B65" s="153" t="str">
        <f t="shared" si="15"/>
        <v/>
      </c>
      <c r="C65" s="29" t="str">
        <f>IF(B65="","",IF($L$35="SELIC - TRIBUTOS",VLOOKUP(DATE(YEAR($D$19),MONTH($D$19)-1,1),ÍNDICES!$A:$DE,HLOOKUP($BL$25,ÍNDICES!$B$3:$T$4,2)+11)-VLOOKUP(B65,ÍNDICES!$A:$DE,HLOOKUP($BL$25,ÍNDICES!$B$3:$T$4,2)+11)+1%,IF(C$38=$W$26,$J$35,IF(ISERROR(IF(B65&gt;$D$19,1,VLOOKUP(DATE(YEAR(B65),MONTH(B65)+IF($C$35=$S$23,1,0),1),ÍNDICES!$A:$DE,$Z$35+1))),"",IF(B65&gt;$D$19,1,VLOOKUP(DATE(YEAR(B65),MONTH(B65)+IF($C$35=$S$23,1,0),1),ÍNDICES!$A:$DE,$Z$35+1))))))</f>
        <v/>
      </c>
      <c r="D65" s="154" t="str">
        <f>IF(ISERROR(IF(OR($D$38=$Y$27,$B65=""),"",VLOOKUP(B65,ÍNDICES!A:DE,AF$35+1))),"",IF(OR($D$38=$Y$27,$B65=""),"",VLOOKUP(B65,ÍNDICES!A:DE,AF$35+1)))</f>
        <v/>
      </c>
      <c r="E65" s="153"/>
      <c r="F65" s="29" t="str">
        <f>IF(E65="","",IF($L$35="SELIC - TRIBUTOS",VLOOKUP(DATE(YEAR($D$19),MONTH($D$19)-1,1),ÍNDICES!$A:$DE,HLOOKUP($BL$25,ÍNDICES!$B$3:$T$4,2)+11)-VLOOKUP(E65,ÍNDICES!$A:$DE,HLOOKUP($BL$25,ÍNDICES!$B$3:$T$4,2)+11)+1%,IF(F$38=$W$26,$J$35,IF(ISERROR(IF(E65&gt;$D$19,1,VLOOKUP(DATE(YEAR(E65),MONTH(E65)+IF($C$35=$S$23,1,0),1),ÍNDICES!$A:$DE,$Z$35+1))),"",IF(E65&gt;$D$19,1,VLOOKUP(DATE(YEAR(E65),MONTH(E65)+IF($C$35=$S$23,1,0),1),ÍNDICES!$A:$DE,$Z$35+1))))))</f>
        <v/>
      </c>
      <c r="G65" s="155"/>
      <c r="H65" s="156" t="str">
        <f t="shared" si="11"/>
        <v/>
      </c>
      <c r="I65" s="29" t="str">
        <f t="shared" si="5"/>
        <v/>
      </c>
      <c r="J65" s="5">
        <f t="shared" si="6"/>
        <v>0</v>
      </c>
      <c r="K65" s="20">
        <f t="shared" ca="1" si="7"/>
        <v>0</v>
      </c>
      <c r="L65" s="5">
        <f t="shared" ca="1" si="8"/>
        <v>0</v>
      </c>
      <c r="M65" s="64">
        <f t="shared" si="12"/>
        <v>0</v>
      </c>
      <c r="N65" s="61">
        <f t="shared" ca="1" si="13"/>
        <v>0</v>
      </c>
      <c r="O65" s="5">
        <f t="shared" ca="1" si="14"/>
        <v>0</v>
      </c>
      <c r="P65" s="446" t="e">
        <f t="shared" si="9"/>
        <v>#VALUE!</v>
      </c>
      <c r="Q65" s="446" t="e">
        <f>IF(OR($B65="",MIN(Q$38,$D$19)&lt;MAX($P$34*($B65+IF($R$17="Distrato",$I$38-1,0)),IF(AND($L$37=0,$P$34=0),"",$L$37-1),IF($R$17="Distrato",$E65,0))),0,YEARFRAC(MAX($P$34*($B65+IF($R$17="Distrato",$I$38-1,0)),IF(AND($L$37=0,$P$34=0),"",$L$37-1),IF($R$17="Distrato",$E65,0)),MIN(Q$38,$D$19),$P$20))-SUM($P65:P65)</f>
        <v>#VALUE!</v>
      </c>
      <c r="R65" s="446" t="e">
        <f>IF(OR($B65="",MIN(R$38,$D$19)&lt;MAX($P$34*($B65+IF($R$17="Distrato",$I$38-1,0)),IF(AND($L$37=0,$P$34=0),"",$L$37-1),IF($R$17="Distrato",$E65,0))),0,YEARFRAC(MAX($P$34*($B65+IF($R$17="Distrato",$I$38-1,0)),IF(AND($L$37=0,$P$34=0),"",$L$37-1),IF($R$17="Distrato",$E65,0)),MIN(R$38,$D$19),$P$20))-SUM($P65:Q65)</f>
        <v>#VALUE!</v>
      </c>
      <c r="S65" s="446" t="e">
        <f>IF(OR($B65="",MIN(S$38,$D$19)&lt;MAX($P$34*($B65+IF($R$17="Distrato",$I$38-1,0)),IF(AND($L$37=0,$P$34=0),"",$L$37-1),IF($R$17="Distrato",$E65,0))),0,YEARFRAC(MAX($P$34*($B65+IF($R$17="Distrato",$I$38-1,0)),IF(AND($L$37=0,$P$34=0),"",$L$37-1),IF($R$17="Distrato",$E65,0)),MIN(S$38,$D$19),$P$20))-SUM($P65:R65)</f>
        <v>#VALUE!</v>
      </c>
      <c r="T65" s="446" t="e">
        <f>IF(OR($B65="",MIN(T$38,$D$19)&lt;MAX($P$34*($B65+IF($R$17="Distrato",$I$38-1,0)),IF(AND($L$37=0,$P$34=0),"",$L$37-1),IF($R$17="Distrato",$E65,0))),0,YEARFRAC(MAX($P$34*($B65+IF($R$17="Distrato",$I$38-1,0)),IF(AND($L$37=0,$P$34=0),"",$L$37-1),IF($R$17="Distrato",$E65,0)),MIN(T$38,$D$19),$P$20))-SUM($P65:S65)</f>
        <v>#VALUE!</v>
      </c>
      <c r="U65" s="446" t="e">
        <f>IF(OR($B65="",MIN(U$38,$D$19)&lt;MAX($P$34*($B65+IF($R$17="Distrato",$I$38-1,0)),IF(AND($L$37=0,$P$34=0),"",$L$37-1),IF($R$17="Distrato",$E65,0))),0,YEARFRAC(MAX($P$34*($B65+IF($R$17="Distrato",$I$38-1,0)),IF(AND($L$37=0,$P$34=0),"",$L$37-1),IF($R$17="Distrato",$E65,0)),MIN(U$38,$D$19),$P$20))-SUM($P65:T65)</f>
        <v>#VALUE!</v>
      </c>
      <c r="V65" s="446" t="e">
        <f>IF(OR($B65="",MIN(V$38,$D$19)&lt;MAX($P$34*($B65+IF($R$17="Distrato",$I$38-1,0)),IF(AND($L$37=0,$P$34=0),"",$L$37-1),IF($R$17="Distrato",$E65,0))),0,YEARFRAC(MAX($P$34*($B65+IF($R$17="Distrato",$I$38-1,0)),IF(AND($L$37=0,$P$34=0),"",$L$37-1),IF($R$17="Distrato",$E65,0)),MIN(V$38,$D$19),$P$20))-SUM($P65:U65)</f>
        <v>#VALUE!</v>
      </c>
      <c r="W65" s="446" t="e">
        <f>IF(OR($B65="",MIN(W$38,$D$19)&lt;MAX($P$34*($B65+IF($R$17="Distrato",$I$38-1,0)),IF(AND($L$37=0,$P$34=0),"",$L$37-1),IF($R$17="Distrato",$E65,0))),0,YEARFRAC(MAX($P$34*($B65+IF($R$17="Distrato",$I$38-1,0)),IF(AND($L$37=0,$P$34=0),"",$L$37-1),IF($R$17="Distrato",$E65,0)),MIN(W$38,$D$19),$P$20))-SUM($P65:V65)</f>
        <v>#VALUE!</v>
      </c>
      <c r="X65" s="446" t="e">
        <f>IF(OR($B65="",MIN(X$38,$D$19)&lt;MAX($P$34*($B65+IF($R$17="Distrato",$I$38-1,0)),IF(AND($L$37=0,$P$34=0),"",$L$37-1),IF($R$17="Distrato",$E65,0))),0,YEARFRAC(MAX($P$34*($B65+IF($R$17="Distrato",$I$38-1,0)),IF(AND($L$37=0,$P$34=0),"",$L$37-1),IF($R$17="Distrato",$E65,0)),MIN(X$38,$D$19),$P$20))-SUM($P65:W65)</f>
        <v>#VALUE!</v>
      </c>
      <c r="Y65" s="446" t="e">
        <f>IF(OR($B65="",MIN(Y$38,$D$19)&lt;MAX($P$34*($B65+IF($R$17="Distrato",$I$38-1,0)),IF(AND($L$37=0,$P$34=0),"",$L$37-1),IF($R$17="Distrato",$E65,0))),0,YEARFRAC(MAX($P$34*($B65+IF($R$17="Distrato",$I$38-1,0)),IF(AND($L$37=0,$P$34=0),"",$L$37-1),IF($R$17="Distrato",$E65,0)),MIN(Y$38,$D$19),$P$20))-SUM($P65:X65)</f>
        <v>#VALUE!</v>
      </c>
      <c r="Z65" s="446" t="e">
        <f>IF(OR($B65="",MIN(Z$38,$D$19)&lt;MAX($P$34*($B65+IF($R$17="Distrato",$I$38-1,0)),IF(AND($L$37=0,$P$34=0),"",$L$37-1),IF($R$17="Distrato",$E65,0))),0,YEARFRAC(MAX($P$34*($B65+IF($R$17="Distrato",$I$38-1,0)),IF(AND($L$37=0,$P$34=0),"",$L$37-1),IF($R$17="Distrato",$E65,0)),MIN(Z$38,$D$19),$P$20))-SUM($P65:Y65)</f>
        <v>#VALUE!</v>
      </c>
      <c r="AA65" s="446" t="e">
        <f>IF(OR($B65="",MIN(AA$38,$D$19)&lt;MAX($P$34*($B65+IF($R$17="Distrato",$I$38-1,0)),IF(AND($L$37=0,$P$34=0),"",$L$37-1),IF($R$17="Distrato",$E65,0))),0,YEARFRAC(MAX($P$34*($B65+IF($R$17="Distrato",$I$38-1,0)),IF(AND($L$37=0,$P$34=0),"",$L$37-1),IF($R$17="Distrato",$E65,0)),MIN(AA$38,$D$19),$P$20))-SUM($P65:Z65)</f>
        <v>#VALUE!</v>
      </c>
      <c r="AB65" s="446" t="e">
        <f>IF(OR($B65="",MIN(AB$38,$D$19)&lt;MAX($P$34*($B65+IF($R$17="Distrato",$I$38-1,0)),IF(AND($L$37=0,$P$34=0),"",$L$37-1),IF($R$17="Distrato",$E65,0))),0,YEARFRAC(MAX($P$34*($B65+IF($R$17="Distrato",$I$38-1,0)),IF(AND($L$37=0,$P$34=0),"",$L$37-1),IF($R$17="Distrato",$E65,0)),MIN(AB$38,$D$19),$P$20))-SUM($P65:AA65)</f>
        <v>#VALUE!</v>
      </c>
      <c r="AC65" s="446" t="e">
        <f>IF(OR($B65="",MIN(AC$38,$D$19)&lt;MAX($P$34*($B65+IF($R$17="Distrato",$I$38-1,0)),IF(AND($L$37=0,$P$34=0),"",$L$37-1),IF($R$17="Distrato",$E65,0))),0,YEARFRAC(MAX($P$34*($B65+IF($R$17="Distrato",$I$38-1,0)),IF(AND($L$37=0,$P$34=0),"",$L$37-1),IF($R$17="Distrato",$E65,0)),MIN(AC$38,$D$19),$P$20))-SUM($P65:AB65)</f>
        <v>#VALUE!</v>
      </c>
      <c r="AD65" s="446" t="e">
        <f>IF(OR($B65="",MIN(AD$38,$D$19)&lt;MAX($P$34*($B65+IF($R$17="Distrato",$I$38-1,0)),IF(AND($L$37=0,$P$34=0),"",$L$37-1),IF($R$17="Distrato",$E65,0))),0,YEARFRAC(MAX($P$34*($B65+IF($R$17="Distrato",$I$38-1,0)),IF(AND($L$37=0,$P$34=0),"",$L$37-1),IF($R$17="Distrato",$E65,0)),MIN(AD$38,$D$19),$P$20))-SUM($P65:AC65)</f>
        <v>#VALUE!</v>
      </c>
      <c r="AE65" s="446" t="e">
        <f>IF(OR($B65="",MIN(AE$38,$D$19)&lt;MAX($P$34*($B65+IF($R$17="Distrato",$I$38-1,0)),IF(AND($L$37=0,$P$34=0),"",$L$37-1),IF($R$17="Distrato",$E65,0))),0,YEARFRAC(MAX($P$34*($B65+IF($R$17="Distrato",$I$38-1,0)),IF(AND($L$37=0,$P$34=0),"",$L$37-1),IF($R$17="Distrato",$E65,0)),MIN(AE$38,$D$19),$P$20))-SUM($P65:AD65)</f>
        <v>#VALUE!</v>
      </c>
      <c r="AF65" s="446" t="e">
        <f>IF(OR($B65="",MIN(AF$38,$D$19)&lt;MAX($P$34*($B65+IF($R$17="Distrato",$I$38-1,0)),IF(AND($L$37=0,$P$34=0),"",$L$37-1),IF($R$17="Distrato",$E65,0))),0,YEARFRAC(MAX($P$34*($B65+IF($R$17="Distrato",$I$38-1,0)),IF(AND($L$37=0,$P$34=0),"",$L$37-1),IF($R$17="Distrato",$E65,0)),MIN(AF$38,$D$19),$P$20))-SUM($P65:AE65)</f>
        <v>#VALUE!</v>
      </c>
      <c r="AG65" s="446" t="e">
        <f>IF(OR($B65="",MIN(AG$38,$D$19)&lt;MAX($P$34*($B65+IF($R$17="Distrato",$I$38-1,0)),IF(AND($L$37=0,$P$34=0),"",$L$37-1),IF($R$17="Distrato",$E65,0))),0,YEARFRAC(MAX($P$34*($B65+IF($R$17="Distrato",$I$38-1,0)),IF(AND($L$37=0,$P$34=0),"",$L$37-1),IF($R$17="Distrato",$E65,0)),MIN(AG$38,$D$19),$P$20))-SUM($P65:AF65)</f>
        <v>#VALUE!</v>
      </c>
      <c r="AH65" s="446" t="e">
        <f>IF(OR($B65="",MIN(AH$38,$D$19)&lt;MAX($P$34*($B65+IF($R$17="Distrato",$I$38-1,0)),IF(AND($L$37=0,$P$34=0),"",$L$37-1),IF($R$17="Distrato",$E65,0))),0,YEARFRAC(MAX($P$34*($B65+IF($R$17="Distrato",$I$38-1,0)),IF(AND($L$37=0,$P$34=0),"",$L$37-1),IF($R$17="Distrato",$E65,0)),MIN(AH$38,$D$19),$P$20))-SUM($P65:AG65)</f>
        <v>#VALUE!</v>
      </c>
      <c r="AI65" s="446" t="e">
        <f>IF(OR($B65="",MIN(AI$38,$D$19)&lt;MAX($P$34*($B65+IF($R$17="Distrato",$I$38-1,0)),IF(AND($L$37=0,$P$34=0),"",$L$37-1),IF($R$17="Distrato",$E65,0))),0,YEARFRAC(MAX($P$34*($B65+IF($R$17="Distrato",$I$38-1,0)),IF(AND($L$37=0,$P$34=0),"",$L$37-1),IF($R$17="Distrato",$E65,0)),MIN(AI$38,$D$19),$P$20))-SUM($P65:AH65)</f>
        <v>#VALUE!</v>
      </c>
      <c r="AJ65" s="446" t="e">
        <f>IF(OR($B65="",MIN(AJ$38,$D$19)&lt;MAX($P$34*($B65+IF($R$17="Distrato",$I$38-1,0)),IF(AND($L$37=0,$P$34=0),"",$L$37-1),IF($R$17="Distrato",$E65,0))),0,YEARFRAC(MAX($P$34*($B65+IF($R$17="Distrato",$I$38-1,0)),IF(AND($L$37=0,$P$34=0),"",$L$37-1),IF($R$17="Distrato",$E65,0)),MIN(AJ$38,$D$19),$P$20))-SUM($P65:AI65)</f>
        <v>#VALUE!</v>
      </c>
      <c r="AK65" s="446" t="e">
        <f>IF(OR($B65="",MIN(AK$38,$D$19)&lt;MAX($P$34*($B65+IF($R$17="Distrato",$I$38-1,0)),IF(AND($L$37=0,$P$34=0),"",$L$37-1),IF($R$17="Distrato",$E65,0))),0,YEARFRAC(MAX($P$34*($B65+IF($R$17="Distrato",$I$38-1,0)),IF(AND($L$37=0,$P$34=0),"",$L$37-1),IF($R$17="Distrato",$E65,0)),MIN(AK$38,$D$19),$P$20))-SUM($P65:AJ65)</f>
        <v>#VALUE!</v>
      </c>
      <c r="AL65" s="446" t="e">
        <f>IF(OR($B65="",MIN(AL$38,$D$19)&lt;MAX($P$34*($B65+IF($R$17="Distrato",$I$38-1,0)),IF(AND($L$37=0,$P$34=0),"",$L$37-1),IF($R$17="Distrato",$E65,0))),0,YEARFRAC(MAX($P$34*($B65+IF($R$17="Distrato",$I$38-1,0)),IF(AND($L$37=0,$P$34=0),"",$L$37-1),IF($R$17="Distrato",$E65,0)),MIN(AL$38,$D$19),$P$20))-SUM($P65:AK65)</f>
        <v>#VALUE!</v>
      </c>
      <c r="AM65" s="446" t="e">
        <f>IF(OR($B65="",MIN(AM$38,$D$19)&lt;MAX($P$34*($B65+IF($R$17="Distrato",$I$38-1,0)),IF(AND($L$37=0,$P$34=0),"",$L$37-1),IF($R$17="Distrato",$E65,0))),0,YEARFRAC(MAX($P$34*($B65+IF($R$17="Distrato",$I$38-1,0)),IF(AND($L$37=0,$P$34=0),"",$L$37-1),IF($R$17="Distrato",$E65,0)),MIN(AM$38,$D$19),$P$20))-SUM($P65:AL65)</f>
        <v>#VALUE!</v>
      </c>
      <c r="AN65" s="446" t="e">
        <f>IF(OR($B65="",MIN(AN$38,$D$19)&lt;MAX($P$34*($B65+IF($R$17="Distrato",$I$38-1,0)),IF(AND($L$37=0,$P$34=0),"",$L$37-1),IF($R$17="Distrato",$E65,0))),0,YEARFRAC(MAX($P$34*($B65+IF($R$17="Distrato",$I$38-1,0)),IF(AND($L$37=0,$P$34=0),"",$L$37-1),IF($R$17="Distrato",$E65,0)),MIN(AN$38,$D$19),$P$20))-SUM($P65:AM65)</f>
        <v>#VALUE!</v>
      </c>
      <c r="AO65" s="446" t="e">
        <f>IF(OR($B65="",MIN(AO$38,$D$19)&lt;MAX($P$34*($B65+IF($R$17="Distrato",$I$38-1,0)),IF(AND($L$37=0,$P$34=0),"",$L$37-1),IF($R$17="Distrato",$E65,0))),0,YEARFRAC(MAX($P$34*($B65+IF($R$17="Distrato",$I$38-1,0)),IF(AND($L$37=0,$P$34=0),"",$L$37-1),IF($R$17="Distrato",$E65,0)),MIN(AO$38,$D$19),$P$20))-SUM($P65:AN65)</f>
        <v>#VALUE!</v>
      </c>
      <c r="AP65" s="446" t="e">
        <f>IF(OR($B65="",MIN(AP$38,$D$19)&lt;MAX($P$34*($B65+IF($R$17="Distrato",$I$38-1,0)),IF(AND($L$37=0,$P$34=0),"",$L$37-1),IF($R$17="Distrato",$E65,0))),0,YEARFRAC(MAX($P$34*($B65+IF($R$17="Distrato",$I$38-1,0)),IF(AND($L$37=0,$P$34=0),"",$L$37-1),IF($R$17="Distrato",$E65,0)),MIN(AP$38,$D$19),$P$20))-SUM($P65:AO65)</f>
        <v>#VALUE!</v>
      </c>
      <c r="AQ65" s="446" t="e">
        <f>IF(OR($B65="",MIN(AQ$38,$D$19)&lt;MAX($P$34*($B65+IF($R$17="Distrato",$I$38-1,0)),IF(AND($L$37=0,$P$34=0),"",$L$37-1),IF($R$17="Distrato",$E65,0))),0,YEARFRAC(MAX($P$34*($B65+IF($R$17="Distrato",$I$38-1,0)),IF(AND($L$37=0,$P$34=0),"",$L$37-1),IF($R$17="Distrato",$E65,0)),MIN(AQ$38,$D$19),$P$20))-SUM($P65:AP65)</f>
        <v>#VALUE!</v>
      </c>
      <c r="AR65" s="446" t="e">
        <f>IF(OR($B65="",MIN(AR$38,$D$19)&lt;MAX($P$34*($B65+IF($R$17="Distrato",$I$38-1,0)),IF(AND($L$37=0,$P$34=0),"",$L$37-1),IF($R$17="Distrato",$E65,0))),0,YEARFRAC(MAX($P$34*($B65+IF($R$17="Distrato",$I$38-1,0)),IF(AND($L$37=0,$P$34=0),"",$L$37-1),IF($R$17="Distrato",$E65,0)),MIN(AR$38,$D$19),$P$20))-SUM($P65:AQ65)</f>
        <v>#VALUE!</v>
      </c>
      <c r="AS65" s="446" t="e">
        <f>IF(OR($B65="",MIN(AS$38,$D$19)&lt;MAX($P$34*($B65+IF($R$17="Distrato",$I$38-1,0)),IF(AND($L$37=0,$P$34=0),"",$L$37-1),IF($R$17="Distrato",$E65,0))),0,YEARFRAC(MAX($P$34*($B65+IF($R$17="Distrato",$I$38-1,0)),IF(AND($L$37=0,$P$34=0),"",$L$37-1),IF($R$17="Distrato",$E65,0)),MIN(AS$38,$D$19),$P$20))-SUM($P65:AR65)</f>
        <v>#VALUE!</v>
      </c>
      <c r="AT65" s="446" t="e">
        <f>IF(OR($B65="",MIN(AT$38,$D$19)&lt;MAX($P$34*($B65+IF($R$17="Distrato",$I$38-1,0)),IF(AND($L$37=0,$P$34=0),"",$L$37-1),IF($R$17="Distrato",$E65,0))),0,YEARFRAC(MAX($P$34*($B65+IF($R$17="Distrato",$I$38-1,0)),IF(AND($L$37=0,$P$34=0),"",$L$37-1),IF($R$17="Distrato",$E65,0)),MIN(AT$38,$D$19),$P$20))-SUM($P65:AS65)</f>
        <v>#VALUE!</v>
      </c>
      <c r="AU65" s="446" t="e">
        <f>IF(OR($B65="",MIN(AU$38,$D$19)&lt;MAX($P$34*($B65+IF($R$17="Distrato",$I$38-1,0)),IF(AND($L$37=0,$P$34=0),"",$L$37-1),IF($R$17="Distrato",$E65,0))),0,YEARFRAC(MAX($P$34*($B65+IF($R$17="Distrato",$I$38-1,0)),IF(AND($L$37=0,$P$34=0),"",$L$37-1),IF($R$17="Distrato",$E65,0)),MIN(AU$38,$D$19),$P$20))-SUM($P65:AT65)</f>
        <v>#VALUE!</v>
      </c>
      <c r="AV65" s="446" t="e">
        <f>IF(OR($B65="",MIN(AV$38,$D$19)&lt;MAX($P$34*($B65+IF($R$17="Distrato",$I$38-1,0)),IF(AND($L$37=0,$P$34=0),"",$L$37-1),IF($R$17="Distrato",$E65,0))),0,YEARFRAC(MAX($P$34*($B65+IF($R$17="Distrato",$I$38-1,0)),IF(AND($L$37=0,$P$34=0),"",$L$37-1),IF($R$17="Distrato",$E65,0)),MIN(AV$38,$D$19),$P$20))-SUM($P65:AU65)</f>
        <v>#VALUE!</v>
      </c>
      <c r="AW65" s="446" t="e">
        <f>IF(OR($B65="",MIN(AW$38,$D$19)&lt;MAX($P$34*($B65+IF($R$17="Distrato",$I$38-1,0)),IF(AND($L$37=0,$P$34=0),"",$L$37-1),IF($R$17="Distrato",$E65,0))),0,YEARFRAC(MAX($P$34*($B65+IF($R$17="Distrato",$I$38-1,0)),IF(AND($L$37=0,$P$34=0),"",$L$37-1),IF($R$17="Distrato",$E65,0)),MIN(AW$38,$D$19),$P$20))-SUM($P65:AV65)</f>
        <v>#VALUE!</v>
      </c>
      <c r="AX65" s="446" t="e">
        <f>IF(OR($B65="",MIN(AX$38,$D$19)&lt;MAX($P$34*($B65+IF($R$17="Distrato",$I$38-1,0)),IF(AND($L$37=0,$P$34=0),"",$L$37-1),IF($R$17="Distrato",$E65,0))),0,YEARFRAC(MAX($P$34*($B65+IF($R$17="Distrato",$I$38-1,0)),IF(AND($L$37=0,$P$34=0),"",$L$37-1),IF($R$17="Distrato",$E65,0)),MIN(AX$38,$D$19),$P$20))-SUM($P65:AW65)</f>
        <v>#VALUE!</v>
      </c>
      <c r="AY65" s="446" t="e">
        <f>IF(OR($B65="",MIN(AY$38,$D$19)&lt;MAX($P$34*($B65+IF($R$17="Distrato",$I$38-1,0)),IF(AND($L$37=0,$P$34=0),"",$L$37-1),IF($R$17="Distrato",$E65,0))),0,YEARFRAC(MAX($P$34*($B65+IF($R$17="Distrato",$I$38-1,0)),IF(AND($L$37=0,$P$34=0),"",$L$37-1),IF($R$17="Distrato",$E65,0)),MIN(AY$38,$D$19),$P$20))-SUM($P65:AX65)</f>
        <v>#VALUE!</v>
      </c>
      <c r="AZ65" s="446" t="e">
        <f>IF(OR($B65="",MIN(AZ$38,$D$19)&lt;MAX($P$34*($B65+IF($R$17="Distrato",$I$38-1,0)),IF(AND($L$37=0,$P$34=0),"",$L$37-1),IF($R$17="Distrato",$E65,0))),0,YEARFRAC(MAX($P$34*($B65+IF($R$17="Distrato",$I$38-1,0)),IF(AND($L$37=0,$P$34=0),"",$L$37-1),IF($R$17="Distrato",$E65,0)),MIN(AZ$38,$D$19),$P$20))-SUM($P65:AY65)</f>
        <v>#VALUE!</v>
      </c>
      <c r="BA65" s="446" t="e">
        <f>IF(OR($B65="",MIN(BA$38,$D$19)&lt;MAX($P$34*($B65+IF($R$17="Distrato",$I$38-1,0)),IF(AND($L$37=0,$P$34=0),"",$L$37-1),IF($R$17="Distrato",$E65,0))),0,YEARFRAC(MAX($P$34*($B65+IF($R$17="Distrato",$I$38-1,0)),IF(AND($L$37=0,$P$34=0),"",$L$37-1),IF($R$17="Distrato",$E65,0)),MIN(BA$38,$D$19),$P$20))-SUM($P65:AZ65)</f>
        <v>#VALUE!</v>
      </c>
      <c r="BB65" s="447"/>
      <c r="BF65" s="446">
        <f t="shared" si="10"/>
        <v>0</v>
      </c>
      <c r="BG65" s="446">
        <f>IF($E65=0,0,IF(MIN(BG$38,$E65)&lt;MAX($P$34*($B65+$I$38-1),IF(AND($L$37=0,$P$34=0),"",$L$37-1)),0,YEARFRAC(MAX($P$34*($B65+$I$38-1),IF(AND($L$37=0,$P$34=0),"",$L$37-1)),MIN(BG$38,$E65),$P$20))-SUM($BF65:BF65))</f>
        <v>0</v>
      </c>
      <c r="BH65" s="446">
        <f>IF($E65=0,0,IF(MIN(BH$38,$E65)&lt;MAX($P$34*($B65+$I$38-1),IF(AND($L$37=0,$P$34=0),"",$L$37-1)),0,YEARFRAC(MAX($P$34*($B65+$I$38-1),IF(AND($L$37=0,$P$34=0),"",$L$37-1)),MIN(BH$38,$E65),$P$20))-SUM($BF65:BG65))</f>
        <v>0</v>
      </c>
      <c r="BI65" s="446">
        <f>IF($E65=0,0,IF(MIN(BI$38,$E65)&lt;MAX($P$34*($B65+$I$38-1),IF(AND($L$37=0,$P$34=0),"",$L$37-1)),0,YEARFRAC(MAX($P$34*($B65+$I$38-1),IF(AND($L$37=0,$P$34=0),"",$L$37-1)),MIN(BI$38,$E65),$P$20))-SUM($BF65:BH65))</f>
        <v>0</v>
      </c>
      <c r="BJ65" s="446">
        <f>IF($E65=0,0,IF(MIN(BJ$38,$E65)&lt;MAX($P$34*($B65+$I$38-1),IF(AND($L$37=0,$P$34=0),"",$L$37-1)),0,YEARFRAC(MAX($P$34*($B65+$I$38-1),IF(AND($L$37=0,$P$34=0),"",$L$37-1)),MIN(BJ$38,$E65),$P$20))-SUM($BF65:BI65))</f>
        <v>0</v>
      </c>
      <c r="BK65" s="446">
        <f>IF($E65=0,0,IF(MIN(BK$38,$E65)&lt;MAX($P$34*($B65+$I$38-1),IF(AND($L$37=0,$P$34=0),"",$L$37-1)),0,YEARFRAC(MAX($P$34*($B65+$I$38-1),IF(AND($L$37=0,$P$34=0),"",$L$37-1)),MIN(BK$38,$E65),$P$20))-SUM($BF65:BJ65))</f>
        <v>0</v>
      </c>
      <c r="BL65" s="446">
        <f>IF($E65=0,0,IF(MIN(BL$38,$E65)&lt;MAX($P$34*($B65+$I$38-1),IF(AND($L$37=0,$P$34=0),"",$L$37-1)),0,YEARFRAC(MAX($P$34*($B65+$I$38-1),IF(AND($L$37=0,$P$34=0),"",$L$37-1)),MIN(BL$38,$E65),$P$20))-SUM($BF65:BK65))</f>
        <v>0</v>
      </c>
      <c r="BM65" s="446">
        <f>IF($E65=0,0,IF(MIN(BM$38,$E65)&lt;MAX($P$34*($B65+$I$38-1),IF(AND($L$37=0,$P$34=0),"",$L$37-1)),0,YEARFRAC(MAX($P$34*($B65+$I$38-1),IF(AND($L$37=0,$P$34=0),"",$L$37-1)),MIN(BM$38,$E65),$P$20))-SUM($BF65:BL65))</f>
        <v>0</v>
      </c>
      <c r="BN65" s="446">
        <f>IF($E65=0,0,IF(MIN(BN$38,$E65)&lt;MAX($P$34*($B65+$I$38-1),IF(AND($L$37=0,$P$34=0),"",$L$37-1)),0,YEARFRAC(MAX($P$34*($B65+$I$38-1),IF(AND($L$37=0,$P$34=0),"",$L$37-1)),MIN(BN$38,$E65),$P$20))-SUM($BF65:BM65))</f>
        <v>0</v>
      </c>
      <c r="BO65" s="446">
        <f>IF($E65=0,0,IF(MIN(BO$38,$E65)&lt;MAX($P$34*($B65+$I$38-1),IF(AND($L$37=0,$P$34=0),"",$L$37-1)),0,YEARFRAC(MAX($P$34*($B65+$I$38-1),IF(AND($L$37=0,$P$34=0),"",$L$37-1)),MIN(BO$38,$E65),$P$20))-SUM($BF65:BN65))</f>
        <v>0</v>
      </c>
      <c r="BP65" s="446">
        <f>IF($E65=0,0,IF(MIN(BP$38,$E65)&lt;MAX($P$34*($B65+$I$38-1),IF(AND($L$37=0,$P$34=0),"",$L$37-1)),0,YEARFRAC(MAX($P$34*($B65+$I$38-1),IF(AND($L$37=0,$P$34=0),"",$L$37-1)),MIN(BP$38,$E65),$P$20))-SUM($BF65:BO65))</f>
        <v>0</v>
      </c>
      <c r="BQ65" s="446">
        <f>IF($E65=0,0,IF(MIN(BQ$38,$E65)&lt;MAX($P$34*($B65+$I$38-1),IF(AND($L$37=0,$P$34=0),"",$L$37-1)),0,YEARFRAC(MAX($P$34*($B65+$I$38-1),IF(AND($L$37=0,$P$34=0),"",$L$37-1)),MIN(BQ$38,$E65),$P$20))-SUM($BF65:BP65))</f>
        <v>0</v>
      </c>
      <c r="BR65" s="446">
        <f>IF($E65=0,0,IF(MIN(BR$38,$E65)&lt;MAX($P$34*($B65+$I$38-1),IF(AND($L$37=0,$P$34=0),"",$L$37-1)),0,YEARFRAC(MAX($P$34*($B65+$I$38-1),IF(AND($L$37=0,$P$34=0),"",$L$37-1)),MIN(BR$38,$E65),$P$20))-SUM($BF65:BQ65))</f>
        <v>0</v>
      </c>
      <c r="BS65" s="446">
        <f>IF($E65=0,0,IF(MIN(BS$38,$E65)&lt;MAX($P$34*($B65+$I$38-1),IF(AND($L$37=0,$P$34=0),"",$L$37-1)),0,YEARFRAC(MAX($P$34*($B65+$I$38-1),IF(AND($L$37=0,$P$34=0),"",$L$37-1)),MIN(BS$38,$E65),$P$20))-SUM($BF65:BR65))</f>
        <v>0</v>
      </c>
      <c r="BT65" s="446">
        <f>IF($E65=0,0,IF(MIN(BT$38,$E65)&lt;MAX($P$34*($B65+$I$38-1),IF(AND($L$37=0,$P$34=0),"",$L$37-1)),0,YEARFRAC(MAX($P$34*($B65+$I$38-1),IF(AND($L$37=0,$P$34=0),"",$L$37-1)),MIN(BT$38,$E65),$P$20))-SUM($BF65:BS65))</f>
        <v>0</v>
      </c>
      <c r="BU65" s="446">
        <f>IF($E65=0,0,IF(MIN(BU$38,$E65)&lt;MAX($P$34*($B65+$I$38-1),IF(AND($L$37=0,$P$34=0),"",$L$37-1)),0,YEARFRAC(MAX($P$34*($B65+$I$38-1),IF(AND($L$37=0,$P$34=0),"",$L$37-1)),MIN(BU$38,$E65),$P$20))-SUM($BF65:BT65))</f>
        <v>0</v>
      </c>
      <c r="BV65" s="446">
        <f>IF($E65=0,0,IF(MIN(BV$38,$E65)&lt;MAX($P$34*($B65+$I$38-1),IF(AND($L$37=0,$P$34=0),"",$L$37-1)),0,YEARFRAC(MAX($P$34*($B65+$I$38-1),IF(AND($L$37=0,$P$34=0),"",$L$37-1)),MIN(BV$38,$E65),$P$20))-SUM($BF65:BU65))</f>
        <v>0</v>
      </c>
      <c r="BW65" s="446">
        <f>IF($E65=0,0,IF(MIN(BW$38,$E65)&lt;MAX($P$34*($B65+$I$38-1),IF(AND($L$37=0,$P$34=0),"",$L$37-1)),0,YEARFRAC(MAX($P$34*($B65+$I$38-1),IF(AND($L$37=0,$P$34=0),"",$L$37-1)),MIN(BW$38,$E65),$P$20))-SUM($BF65:BV65))</f>
        <v>0</v>
      </c>
      <c r="BX65" s="446">
        <f>IF($E65=0,0,IF(MIN(BX$38,$E65)&lt;MAX($P$34*($B65+$I$38-1),IF(AND($L$37=0,$P$34=0),"",$L$37-1)),0,YEARFRAC(MAX($P$34*($B65+$I$38-1),IF(AND($L$37=0,$P$34=0),"",$L$37-1)),MIN(BX$38,$E65),$P$20))-SUM($BF65:BW65))</f>
        <v>0</v>
      </c>
      <c r="BY65" s="446">
        <f>IF($E65=0,0,IF(MIN(BY$38,$E65)&lt;MAX($P$34*($B65+$I$38-1),IF(AND($L$37=0,$P$34=0),"",$L$37-1)),0,YEARFRAC(MAX($P$34*($B65+$I$38-1),IF(AND($L$37=0,$P$34=0),"",$L$37-1)),MIN(BY$38,$E65),$P$20))-SUM($BF65:BX65))</f>
        <v>0</v>
      </c>
      <c r="BZ65" s="446">
        <f>IF($E65=0,0,IF(MIN(BZ$38,$E65)&lt;MAX($P$34*($B65+$I$38-1),IF(AND($L$37=0,$P$34=0),"",$L$37-1)),0,YEARFRAC(MAX($P$34*($B65+$I$38-1),IF(AND($L$37=0,$P$34=0),"",$L$37-1)),MIN(BZ$38,$E65),$P$20))-SUM($BF65:BY65))</f>
        <v>0</v>
      </c>
      <c r="CA65" s="446">
        <f>IF($E65=0,0,IF(MIN(CA$38,$E65)&lt;MAX($P$34*($B65+$I$38-1),IF(AND($L$37=0,$P$34=0),"",$L$37-1)),0,YEARFRAC(MAX($P$34*($B65+$I$38-1),IF(AND($L$37=0,$P$34=0),"",$L$37-1)),MIN(CA$38,$E65),$P$20))-SUM($BF65:BZ65))</f>
        <v>0</v>
      </c>
      <c r="CB65" s="446">
        <f>IF($E65=0,0,IF(MIN(CB$38,$E65)&lt;MAX($P$34*($B65+$I$38-1),IF(AND($L$37=0,$P$34=0),"",$L$37-1)),0,YEARFRAC(MAX($P$34*($B65+$I$38-1),IF(AND($L$37=0,$P$34=0),"",$L$37-1)),MIN(CB$38,$E65),$P$20))-SUM($BF65:CA65))</f>
        <v>0</v>
      </c>
      <c r="CC65" s="446">
        <f>IF($E65=0,0,IF(MIN(CC$38,$E65)&lt;MAX($P$34*($B65+$I$38-1),IF(AND($L$37=0,$P$34=0),"",$L$37-1)),0,YEARFRAC(MAX($P$34*($B65+$I$38-1),IF(AND($L$37=0,$P$34=0),"",$L$37-1)),MIN(CC$38,$E65),$P$20))-SUM($BF65:CB65))</f>
        <v>0</v>
      </c>
      <c r="CD65" s="446">
        <f>IF($E65=0,0,IF(MIN(CD$38,$E65)&lt;MAX($P$34*($B65+$I$38-1),IF(AND($L$37=0,$P$34=0),"",$L$37-1)),0,YEARFRAC(MAX($P$34*($B65+$I$38-1),IF(AND($L$37=0,$P$34=0),"",$L$37-1)),MIN(CD$38,$E65),$P$20))-SUM($BF65:CC65))</f>
        <v>0</v>
      </c>
      <c r="CE65" s="446">
        <f>IF($E65=0,0,IF(MIN(CE$38,$E65)&lt;MAX($P$34*($B65+$I$38-1),IF(AND($L$37=0,$P$34=0),"",$L$37-1)),0,YEARFRAC(MAX($P$34*($B65+$I$38-1),IF(AND($L$37=0,$P$34=0),"",$L$37-1)),MIN(CE$38,$E65),$P$20))-SUM($BF65:CD65))</f>
        <v>0</v>
      </c>
      <c r="CF65" s="446">
        <f>IF($E65=0,0,IF(MIN(CF$38,$E65)&lt;MAX($P$34*($B65+$I$38-1),IF(AND($L$37=0,$P$34=0),"",$L$37-1)),0,YEARFRAC(MAX($P$34*($B65+$I$38-1),IF(AND($L$37=0,$P$34=0),"",$L$37-1)),MIN(CF$38,$E65),$P$20))-SUM($BF65:CE65))</f>
        <v>0</v>
      </c>
      <c r="CG65" s="446">
        <f>IF($E65=0,0,IF(MIN(CG$38,$E65)&lt;MAX($P$34*($B65+$I$38-1),IF(AND($L$37=0,$P$34=0),"",$L$37-1)),0,YEARFRAC(MAX($P$34*($B65+$I$38-1),IF(AND($L$37=0,$P$34=0),"",$L$37-1)),MIN(CG$38,$E65),$P$20))-SUM($BF65:CF65))</f>
        <v>0</v>
      </c>
      <c r="CH65" s="446">
        <f>IF($E65=0,0,IF(MIN(CH$38,$E65)&lt;MAX($P$34*($B65+$I$38-1),IF(AND($L$37=0,$P$34=0),"",$L$37-1)),0,YEARFRAC(MAX($P$34*($B65+$I$38-1),IF(AND($L$37=0,$P$34=0),"",$L$37-1)),MIN(CH$38,$E65),$P$20))-SUM($BF65:CG65))</f>
        <v>0</v>
      </c>
      <c r="CI65" s="446">
        <f>IF($E65=0,0,IF(MIN(CI$38,$E65)&lt;MAX($P$34*($B65+$I$38-1),IF(AND($L$37=0,$P$34=0),"",$L$37-1)),0,YEARFRAC(MAX($P$34*($B65+$I$38-1),IF(AND($L$37=0,$P$34=0),"",$L$37-1)),MIN(CI$38,$E65),$P$20))-SUM($BF65:CH65))</f>
        <v>0</v>
      </c>
      <c r="CJ65" s="446">
        <f>IF($E65=0,0,IF(MIN(CJ$38,$E65)&lt;MAX($P$34*($B65+$I$38-1),IF(AND($L$37=0,$P$34=0),"",$L$37-1)),0,YEARFRAC(MAX($P$34*($B65+$I$38-1),IF(AND($L$37=0,$P$34=0),"",$L$37-1)),MIN(CJ$38,$E65),$P$20))-SUM($BF65:CI65))</f>
        <v>0</v>
      </c>
      <c r="CK65" s="446">
        <f>IF($E65=0,0,IF(MIN(CK$38,$E65)&lt;MAX($P$34*($B65+$I$38-1),IF(AND($L$37=0,$P$34=0),"",$L$37-1)),0,YEARFRAC(MAX($P$34*($B65+$I$38-1),IF(AND($L$37=0,$P$34=0),"",$L$37-1)),MIN(CK$38,$E65),$P$20))-SUM($BF65:CJ65))</f>
        <v>0</v>
      </c>
      <c r="CL65" s="446">
        <f>IF($E65=0,0,IF(MIN(CL$38,$E65)&lt;MAX($P$34*($B65+$I$38-1),IF(AND($L$37=0,$P$34=0),"",$L$37-1)),0,YEARFRAC(MAX($P$34*($B65+$I$38-1),IF(AND($L$37=0,$P$34=0),"",$L$37-1)),MIN(CL$38,$E65),$P$20))-SUM($BF65:CK65))</f>
        <v>0</v>
      </c>
      <c r="CM65" s="446">
        <f>IF($E65=0,0,IF(MIN(CM$38,$E65)&lt;MAX($P$34*($B65+$I$38-1),IF(AND($L$37=0,$P$34=0),"",$L$37-1)),0,YEARFRAC(MAX($P$34*($B65+$I$38-1),IF(AND($L$37=0,$P$34=0),"",$L$37-1)),MIN(CM$38,$E65),$P$20))-SUM($BF65:CL65))</f>
        <v>0</v>
      </c>
      <c r="CN65" s="446">
        <f>IF($E65=0,0,IF(MIN(CN$38,$E65)&lt;MAX($P$34*($B65+$I$38-1),IF(AND($L$37=0,$P$34=0),"",$L$37-1)),0,YEARFRAC(MAX($P$34*($B65+$I$38-1),IF(AND($L$37=0,$P$34=0),"",$L$37-1)),MIN(CN$38,$E65),$P$20))-SUM($BF65:CM65))</f>
        <v>0</v>
      </c>
      <c r="CO65" s="446">
        <f>IF($E65=0,0,IF(MIN(CO$38,$E65)&lt;MAX($P$34*($B65+$I$38-1),IF(AND($L$37=0,$P$34=0),"",$L$37-1)),0,YEARFRAC(MAX($P$34*($B65+$I$38-1),IF(AND($L$37=0,$P$34=0),"",$L$37-1)),MIN(CO$38,$E65),$P$20))-SUM($BF65:CN65))</f>
        <v>0</v>
      </c>
      <c r="CP65" s="446">
        <f>IF($E65=0,0,IF(MIN(CP$38,$E65)&lt;MAX($P$34*($B65+$I$38-1),IF(AND($L$37=0,$P$34=0),"",$L$37-1)),0,YEARFRAC(MAX($P$34*($B65+$I$38-1),IF(AND($L$37=0,$P$34=0),"",$L$37-1)),MIN(CP$38,$E65),$P$20))-SUM($BF65:CO65))</f>
        <v>0</v>
      </c>
      <c r="CQ65" s="446">
        <f>IF($E65=0,0,IF(MIN(CQ$38,$E65)&lt;MAX($P$34*($B65+$I$38-1),IF(AND($L$37=0,$P$34=0),"",$L$37-1)),0,YEARFRAC(MAX($P$34*($B65+$I$38-1),IF(AND($L$37=0,$P$34=0),"",$L$37-1)),MIN(CQ$38,$E65),$P$20))-SUM($BF65:CP65))</f>
        <v>0</v>
      </c>
    </row>
    <row r="66" spans="1:95" s="446" customFormat="1" ht="11.25" hidden="1" customHeight="1" x14ac:dyDescent="0.2">
      <c r="A66" s="152"/>
      <c r="B66" s="153" t="str">
        <f t="shared" si="15"/>
        <v/>
      </c>
      <c r="C66" s="29" t="str">
        <f>IF(B66="","",IF($L$35="SELIC - TRIBUTOS",VLOOKUP(DATE(YEAR($D$19),MONTH($D$19)-1,1),ÍNDICES!$A:$DE,HLOOKUP($BL$25,ÍNDICES!$B$3:$T$4,2)+11)-VLOOKUP(B66,ÍNDICES!$A:$DE,HLOOKUP($BL$25,ÍNDICES!$B$3:$T$4,2)+11)+1%,IF(C$38=$W$26,$J$35,IF(ISERROR(IF(B66&gt;$D$19,1,VLOOKUP(DATE(YEAR(B66),MONTH(B66)+IF($C$35=$S$23,1,0),1),ÍNDICES!$A:$DE,$Z$35+1))),"",IF(B66&gt;$D$19,1,VLOOKUP(DATE(YEAR(B66),MONTH(B66)+IF($C$35=$S$23,1,0),1),ÍNDICES!$A:$DE,$Z$35+1))))))</f>
        <v/>
      </c>
      <c r="D66" s="154" t="str">
        <f>IF(ISERROR(IF(OR($D$38=$Y$27,$B66=""),"",VLOOKUP(B66,ÍNDICES!A:DE,AF$35+1))),"",IF(OR($D$38=$Y$27,$B66=""),"",VLOOKUP(B66,ÍNDICES!A:DE,AF$35+1)))</f>
        <v/>
      </c>
      <c r="E66" s="153"/>
      <c r="F66" s="29" t="str">
        <f>IF(E66="","",IF($L$35="SELIC - TRIBUTOS",VLOOKUP(DATE(YEAR($D$19),MONTH($D$19)-1,1),ÍNDICES!$A:$DE,HLOOKUP($BL$25,ÍNDICES!$B$3:$T$4,2)+11)-VLOOKUP(E66,ÍNDICES!$A:$DE,HLOOKUP($BL$25,ÍNDICES!$B$3:$T$4,2)+11)+1%,IF(F$38=$W$26,$J$35,IF(ISERROR(IF(E66&gt;$D$19,1,VLOOKUP(DATE(YEAR(E66),MONTH(E66)+IF($C$35=$S$23,1,0),1),ÍNDICES!$A:$DE,$Z$35+1))),"",IF(E66&gt;$D$19,1,VLOOKUP(DATE(YEAR(E66),MONTH(E66)+IF($C$35=$S$23,1,0),1),ÍNDICES!$A:$DE,$Z$35+1))))))</f>
        <v/>
      </c>
      <c r="G66" s="155"/>
      <c r="H66" s="156" t="str">
        <f t="shared" si="11"/>
        <v/>
      </c>
      <c r="I66" s="29" t="str">
        <f t="shared" si="5"/>
        <v/>
      </c>
      <c r="J66" s="5">
        <f t="shared" si="6"/>
        <v>0</v>
      </c>
      <c r="K66" s="20">
        <f t="shared" ca="1" si="7"/>
        <v>0</v>
      </c>
      <c r="L66" s="5">
        <f t="shared" ca="1" si="8"/>
        <v>0</v>
      </c>
      <c r="M66" s="64">
        <f t="shared" si="12"/>
        <v>0</v>
      </c>
      <c r="N66" s="61">
        <f t="shared" ca="1" si="13"/>
        <v>0</v>
      </c>
      <c r="O66" s="5">
        <f t="shared" ca="1" si="14"/>
        <v>0</v>
      </c>
      <c r="P66" s="446" t="e">
        <f t="shared" si="9"/>
        <v>#VALUE!</v>
      </c>
      <c r="Q66" s="446" t="e">
        <f>IF(OR($B66="",MIN(Q$38,$D$19)&lt;MAX($P$34*($B66+IF($R$17="Distrato",$I$38-1,0)),IF(AND($L$37=0,$P$34=0),"",$L$37-1),IF($R$17="Distrato",$E66,0))),0,YEARFRAC(MAX($P$34*($B66+IF($R$17="Distrato",$I$38-1,0)),IF(AND($L$37=0,$P$34=0),"",$L$37-1),IF($R$17="Distrato",$E66,0)),MIN(Q$38,$D$19),$P$20))-SUM($P66:P66)</f>
        <v>#VALUE!</v>
      </c>
      <c r="R66" s="446" t="e">
        <f>IF(OR($B66="",MIN(R$38,$D$19)&lt;MAX($P$34*($B66+IF($R$17="Distrato",$I$38-1,0)),IF(AND($L$37=0,$P$34=0),"",$L$37-1),IF($R$17="Distrato",$E66,0))),0,YEARFRAC(MAX($P$34*($B66+IF($R$17="Distrato",$I$38-1,0)),IF(AND($L$37=0,$P$34=0),"",$L$37-1),IF($R$17="Distrato",$E66,0)),MIN(R$38,$D$19),$P$20))-SUM($P66:Q66)</f>
        <v>#VALUE!</v>
      </c>
      <c r="S66" s="446" t="e">
        <f>IF(OR($B66="",MIN(S$38,$D$19)&lt;MAX($P$34*($B66+IF($R$17="Distrato",$I$38-1,0)),IF(AND($L$37=0,$P$34=0),"",$L$37-1),IF($R$17="Distrato",$E66,0))),0,YEARFRAC(MAX($P$34*($B66+IF($R$17="Distrato",$I$38-1,0)),IF(AND($L$37=0,$P$34=0),"",$L$37-1),IF($R$17="Distrato",$E66,0)),MIN(S$38,$D$19),$P$20))-SUM($P66:R66)</f>
        <v>#VALUE!</v>
      </c>
      <c r="T66" s="446" t="e">
        <f>IF(OR($B66="",MIN(T$38,$D$19)&lt;MAX($P$34*($B66+IF($R$17="Distrato",$I$38-1,0)),IF(AND($L$37=0,$P$34=0),"",$L$37-1),IF($R$17="Distrato",$E66,0))),0,YEARFRAC(MAX($P$34*($B66+IF($R$17="Distrato",$I$38-1,0)),IF(AND($L$37=0,$P$34=0),"",$L$37-1),IF($R$17="Distrato",$E66,0)),MIN(T$38,$D$19),$P$20))-SUM($P66:S66)</f>
        <v>#VALUE!</v>
      </c>
      <c r="U66" s="446" t="e">
        <f>IF(OR($B66="",MIN(U$38,$D$19)&lt;MAX($P$34*($B66+IF($R$17="Distrato",$I$38-1,0)),IF(AND($L$37=0,$P$34=0),"",$L$37-1),IF($R$17="Distrato",$E66,0))),0,YEARFRAC(MAX($P$34*($B66+IF($R$17="Distrato",$I$38-1,0)),IF(AND($L$37=0,$P$34=0),"",$L$37-1),IF($R$17="Distrato",$E66,0)),MIN(U$38,$D$19),$P$20))-SUM($P66:T66)</f>
        <v>#VALUE!</v>
      </c>
      <c r="V66" s="446" t="e">
        <f>IF(OR($B66="",MIN(V$38,$D$19)&lt;MAX($P$34*($B66+IF($R$17="Distrato",$I$38-1,0)),IF(AND($L$37=0,$P$34=0),"",$L$37-1),IF($R$17="Distrato",$E66,0))),0,YEARFRAC(MAX($P$34*($B66+IF($R$17="Distrato",$I$38-1,0)),IF(AND($L$37=0,$P$34=0),"",$L$37-1),IF($R$17="Distrato",$E66,0)),MIN(V$38,$D$19),$P$20))-SUM($P66:U66)</f>
        <v>#VALUE!</v>
      </c>
      <c r="W66" s="446" t="e">
        <f>IF(OR($B66="",MIN(W$38,$D$19)&lt;MAX($P$34*($B66+IF($R$17="Distrato",$I$38-1,0)),IF(AND($L$37=0,$P$34=0),"",$L$37-1),IF($R$17="Distrato",$E66,0))),0,YEARFRAC(MAX($P$34*($B66+IF($R$17="Distrato",$I$38-1,0)),IF(AND($L$37=0,$P$34=0),"",$L$37-1),IF($R$17="Distrato",$E66,0)),MIN(W$38,$D$19),$P$20))-SUM($P66:V66)</f>
        <v>#VALUE!</v>
      </c>
      <c r="X66" s="446" t="e">
        <f>IF(OR($B66="",MIN(X$38,$D$19)&lt;MAX($P$34*($B66+IF($R$17="Distrato",$I$38-1,0)),IF(AND($L$37=0,$P$34=0),"",$L$37-1),IF($R$17="Distrato",$E66,0))),0,YEARFRAC(MAX($P$34*($B66+IF($R$17="Distrato",$I$38-1,0)),IF(AND($L$37=0,$P$34=0),"",$L$37-1),IF($R$17="Distrato",$E66,0)),MIN(X$38,$D$19),$P$20))-SUM($P66:W66)</f>
        <v>#VALUE!</v>
      </c>
      <c r="Y66" s="446" t="e">
        <f>IF(OR($B66="",MIN(Y$38,$D$19)&lt;MAX($P$34*($B66+IF($R$17="Distrato",$I$38-1,0)),IF(AND($L$37=0,$P$34=0),"",$L$37-1),IF($R$17="Distrato",$E66,0))),0,YEARFRAC(MAX($P$34*($B66+IF($R$17="Distrato",$I$38-1,0)),IF(AND($L$37=0,$P$34=0),"",$L$37-1),IF($R$17="Distrato",$E66,0)),MIN(Y$38,$D$19),$P$20))-SUM($P66:X66)</f>
        <v>#VALUE!</v>
      </c>
      <c r="Z66" s="446" t="e">
        <f>IF(OR($B66="",MIN(Z$38,$D$19)&lt;MAX($P$34*($B66+IF($R$17="Distrato",$I$38-1,0)),IF(AND($L$37=0,$P$34=0),"",$L$37-1),IF($R$17="Distrato",$E66,0))),0,YEARFRAC(MAX($P$34*($B66+IF($R$17="Distrato",$I$38-1,0)),IF(AND($L$37=0,$P$34=0),"",$L$37-1),IF($R$17="Distrato",$E66,0)),MIN(Z$38,$D$19),$P$20))-SUM($P66:Y66)</f>
        <v>#VALUE!</v>
      </c>
      <c r="AA66" s="446" t="e">
        <f>IF(OR($B66="",MIN(AA$38,$D$19)&lt;MAX($P$34*($B66+IF($R$17="Distrato",$I$38-1,0)),IF(AND($L$37=0,$P$34=0),"",$L$37-1),IF($R$17="Distrato",$E66,0))),0,YEARFRAC(MAX($P$34*($B66+IF($R$17="Distrato",$I$38-1,0)),IF(AND($L$37=0,$P$34=0),"",$L$37-1),IF($R$17="Distrato",$E66,0)),MIN(AA$38,$D$19),$P$20))-SUM($P66:Z66)</f>
        <v>#VALUE!</v>
      </c>
      <c r="AB66" s="446" t="e">
        <f>IF(OR($B66="",MIN(AB$38,$D$19)&lt;MAX($P$34*($B66+IF($R$17="Distrato",$I$38-1,0)),IF(AND($L$37=0,$P$34=0),"",$L$37-1),IF($R$17="Distrato",$E66,0))),0,YEARFRAC(MAX($P$34*($B66+IF($R$17="Distrato",$I$38-1,0)),IF(AND($L$37=0,$P$34=0),"",$L$37-1),IF($R$17="Distrato",$E66,0)),MIN(AB$38,$D$19),$P$20))-SUM($P66:AA66)</f>
        <v>#VALUE!</v>
      </c>
      <c r="AC66" s="446" t="e">
        <f>IF(OR($B66="",MIN(AC$38,$D$19)&lt;MAX($P$34*($B66+IF($R$17="Distrato",$I$38-1,0)),IF(AND($L$37=0,$P$34=0),"",$L$37-1),IF($R$17="Distrato",$E66,0))),0,YEARFRAC(MAX($P$34*($B66+IF($R$17="Distrato",$I$38-1,0)),IF(AND($L$37=0,$P$34=0),"",$L$37-1),IF($R$17="Distrato",$E66,0)),MIN(AC$38,$D$19),$P$20))-SUM($P66:AB66)</f>
        <v>#VALUE!</v>
      </c>
      <c r="AD66" s="446" t="e">
        <f>IF(OR($B66="",MIN(AD$38,$D$19)&lt;MAX($P$34*($B66+IF($R$17="Distrato",$I$38-1,0)),IF(AND($L$37=0,$P$34=0),"",$L$37-1),IF($R$17="Distrato",$E66,0))),0,YEARFRAC(MAX($P$34*($B66+IF($R$17="Distrato",$I$38-1,0)),IF(AND($L$37=0,$P$34=0),"",$L$37-1),IF($R$17="Distrato",$E66,0)),MIN(AD$38,$D$19),$P$20))-SUM($P66:AC66)</f>
        <v>#VALUE!</v>
      </c>
      <c r="AE66" s="446" t="e">
        <f>IF(OR($B66="",MIN(AE$38,$D$19)&lt;MAX($P$34*($B66+IF($R$17="Distrato",$I$38-1,0)),IF(AND($L$37=0,$P$34=0),"",$L$37-1),IF($R$17="Distrato",$E66,0))),0,YEARFRAC(MAX($P$34*($B66+IF($R$17="Distrato",$I$38-1,0)),IF(AND($L$37=0,$P$34=0),"",$L$37-1),IF($R$17="Distrato",$E66,0)),MIN(AE$38,$D$19),$P$20))-SUM($P66:AD66)</f>
        <v>#VALUE!</v>
      </c>
      <c r="AF66" s="446" t="e">
        <f>IF(OR($B66="",MIN(AF$38,$D$19)&lt;MAX($P$34*($B66+IF($R$17="Distrato",$I$38-1,0)),IF(AND($L$37=0,$P$34=0),"",$L$37-1),IF($R$17="Distrato",$E66,0))),0,YEARFRAC(MAX($P$34*($B66+IF($R$17="Distrato",$I$38-1,0)),IF(AND($L$37=0,$P$34=0),"",$L$37-1),IF($R$17="Distrato",$E66,0)),MIN(AF$38,$D$19),$P$20))-SUM($P66:AE66)</f>
        <v>#VALUE!</v>
      </c>
      <c r="AG66" s="446" t="e">
        <f>IF(OR($B66="",MIN(AG$38,$D$19)&lt;MAX($P$34*($B66+IF($R$17="Distrato",$I$38-1,0)),IF(AND($L$37=0,$P$34=0),"",$L$37-1),IF($R$17="Distrato",$E66,0))),0,YEARFRAC(MAX($P$34*($B66+IF($R$17="Distrato",$I$38-1,0)),IF(AND($L$37=0,$P$34=0),"",$L$37-1),IF($R$17="Distrato",$E66,0)),MIN(AG$38,$D$19),$P$20))-SUM($P66:AF66)</f>
        <v>#VALUE!</v>
      </c>
      <c r="AH66" s="446" t="e">
        <f>IF(OR($B66="",MIN(AH$38,$D$19)&lt;MAX($P$34*($B66+IF($R$17="Distrato",$I$38-1,0)),IF(AND($L$37=0,$P$34=0),"",$L$37-1),IF($R$17="Distrato",$E66,0))),0,YEARFRAC(MAX($P$34*($B66+IF($R$17="Distrato",$I$38-1,0)),IF(AND($L$37=0,$P$34=0),"",$L$37-1),IF($R$17="Distrato",$E66,0)),MIN(AH$38,$D$19),$P$20))-SUM($P66:AG66)</f>
        <v>#VALUE!</v>
      </c>
      <c r="AI66" s="446" t="e">
        <f>IF(OR($B66="",MIN(AI$38,$D$19)&lt;MAX($P$34*($B66+IF($R$17="Distrato",$I$38-1,0)),IF(AND($L$37=0,$P$34=0),"",$L$37-1),IF($R$17="Distrato",$E66,0))),0,YEARFRAC(MAX($P$34*($B66+IF($R$17="Distrato",$I$38-1,0)),IF(AND($L$37=0,$P$34=0),"",$L$37-1),IF($R$17="Distrato",$E66,0)),MIN(AI$38,$D$19),$P$20))-SUM($P66:AH66)</f>
        <v>#VALUE!</v>
      </c>
      <c r="AJ66" s="446" t="e">
        <f>IF(OR($B66="",MIN(AJ$38,$D$19)&lt;MAX($P$34*($B66+IF($R$17="Distrato",$I$38-1,0)),IF(AND($L$37=0,$P$34=0),"",$L$37-1),IF($R$17="Distrato",$E66,0))),0,YEARFRAC(MAX($P$34*($B66+IF($R$17="Distrato",$I$38-1,0)),IF(AND($L$37=0,$P$34=0),"",$L$37-1),IF($R$17="Distrato",$E66,0)),MIN(AJ$38,$D$19),$P$20))-SUM($P66:AI66)</f>
        <v>#VALUE!</v>
      </c>
      <c r="AK66" s="446" t="e">
        <f>IF(OR($B66="",MIN(AK$38,$D$19)&lt;MAX($P$34*($B66+IF($R$17="Distrato",$I$38-1,0)),IF(AND($L$37=0,$P$34=0),"",$L$37-1),IF($R$17="Distrato",$E66,0))),0,YEARFRAC(MAX($P$34*($B66+IF($R$17="Distrato",$I$38-1,0)),IF(AND($L$37=0,$P$34=0),"",$L$37-1),IF($R$17="Distrato",$E66,0)),MIN(AK$38,$D$19),$P$20))-SUM($P66:AJ66)</f>
        <v>#VALUE!</v>
      </c>
      <c r="AL66" s="446" t="e">
        <f>IF(OR($B66="",MIN(AL$38,$D$19)&lt;MAX($P$34*($B66+IF($R$17="Distrato",$I$38-1,0)),IF(AND($L$37=0,$P$34=0),"",$L$37-1),IF($R$17="Distrato",$E66,0))),0,YEARFRAC(MAX($P$34*($B66+IF($R$17="Distrato",$I$38-1,0)),IF(AND($L$37=0,$P$34=0),"",$L$37-1),IF($R$17="Distrato",$E66,0)),MIN(AL$38,$D$19),$P$20))-SUM($P66:AK66)</f>
        <v>#VALUE!</v>
      </c>
      <c r="AM66" s="446" t="e">
        <f>IF(OR($B66="",MIN(AM$38,$D$19)&lt;MAX($P$34*($B66+IF($R$17="Distrato",$I$38-1,0)),IF(AND($L$37=0,$P$34=0),"",$L$37-1),IF($R$17="Distrato",$E66,0))),0,YEARFRAC(MAX($P$34*($B66+IF($R$17="Distrato",$I$38-1,0)),IF(AND($L$37=0,$P$34=0),"",$L$37-1),IF($R$17="Distrato",$E66,0)),MIN(AM$38,$D$19),$P$20))-SUM($P66:AL66)</f>
        <v>#VALUE!</v>
      </c>
      <c r="AN66" s="446" t="e">
        <f>IF(OR($B66="",MIN(AN$38,$D$19)&lt;MAX($P$34*($B66+IF($R$17="Distrato",$I$38-1,0)),IF(AND($L$37=0,$P$34=0),"",$L$37-1),IF($R$17="Distrato",$E66,0))),0,YEARFRAC(MAX($P$34*($B66+IF($R$17="Distrato",$I$38-1,0)),IF(AND($L$37=0,$P$34=0),"",$L$37-1),IF($R$17="Distrato",$E66,0)),MIN(AN$38,$D$19),$P$20))-SUM($P66:AM66)</f>
        <v>#VALUE!</v>
      </c>
      <c r="AO66" s="446" t="e">
        <f>IF(OR($B66="",MIN(AO$38,$D$19)&lt;MAX($P$34*($B66+IF($R$17="Distrato",$I$38-1,0)),IF(AND($L$37=0,$P$34=0),"",$L$37-1),IF($R$17="Distrato",$E66,0))),0,YEARFRAC(MAX($P$34*($B66+IF($R$17="Distrato",$I$38-1,0)),IF(AND($L$37=0,$P$34=0),"",$L$37-1),IF($R$17="Distrato",$E66,0)),MIN(AO$38,$D$19),$P$20))-SUM($P66:AN66)</f>
        <v>#VALUE!</v>
      </c>
      <c r="AP66" s="446" t="e">
        <f>IF(OR($B66="",MIN(AP$38,$D$19)&lt;MAX($P$34*($B66+IF($R$17="Distrato",$I$38-1,0)),IF(AND($L$37=0,$P$34=0),"",$L$37-1),IF($R$17="Distrato",$E66,0))),0,YEARFRAC(MAX($P$34*($B66+IF($R$17="Distrato",$I$38-1,0)),IF(AND($L$37=0,$P$34=0),"",$L$37-1),IF($R$17="Distrato",$E66,0)),MIN(AP$38,$D$19),$P$20))-SUM($P66:AO66)</f>
        <v>#VALUE!</v>
      </c>
      <c r="AQ66" s="446" t="e">
        <f>IF(OR($B66="",MIN(AQ$38,$D$19)&lt;MAX($P$34*($B66+IF($R$17="Distrato",$I$38-1,0)),IF(AND($L$37=0,$P$34=0),"",$L$37-1),IF($R$17="Distrato",$E66,0))),0,YEARFRAC(MAX($P$34*($B66+IF($R$17="Distrato",$I$38-1,0)),IF(AND($L$37=0,$P$34=0),"",$L$37-1),IF($R$17="Distrato",$E66,0)),MIN(AQ$38,$D$19),$P$20))-SUM($P66:AP66)</f>
        <v>#VALUE!</v>
      </c>
      <c r="AR66" s="446" t="e">
        <f>IF(OR($B66="",MIN(AR$38,$D$19)&lt;MAX($P$34*($B66+IF($R$17="Distrato",$I$38-1,0)),IF(AND($L$37=0,$P$34=0),"",$L$37-1),IF($R$17="Distrato",$E66,0))),0,YEARFRAC(MAX($P$34*($B66+IF($R$17="Distrato",$I$38-1,0)),IF(AND($L$37=0,$P$34=0),"",$L$37-1),IF($R$17="Distrato",$E66,0)),MIN(AR$38,$D$19),$P$20))-SUM($P66:AQ66)</f>
        <v>#VALUE!</v>
      </c>
      <c r="AS66" s="446" t="e">
        <f>IF(OR($B66="",MIN(AS$38,$D$19)&lt;MAX($P$34*($B66+IF($R$17="Distrato",$I$38-1,0)),IF(AND($L$37=0,$P$34=0),"",$L$37-1),IF($R$17="Distrato",$E66,0))),0,YEARFRAC(MAX($P$34*($B66+IF($R$17="Distrato",$I$38-1,0)),IF(AND($L$37=0,$P$34=0),"",$L$37-1),IF($R$17="Distrato",$E66,0)),MIN(AS$38,$D$19),$P$20))-SUM($P66:AR66)</f>
        <v>#VALUE!</v>
      </c>
      <c r="AT66" s="446" t="e">
        <f>IF(OR($B66="",MIN(AT$38,$D$19)&lt;MAX($P$34*($B66+IF($R$17="Distrato",$I$38-1,0)),IF(AND($L$37=0,$P$34=0),"",$L$37-1),IF($R$17="Distrato",$E66,0))),0,YEARFRAC(MAX($P$34*($B66+IF($R$17="Distrato",$I$38-1,0)),IF(AND($L$37=0,$P$34=0),"",$L$37-1),IF($R$17="Distrato",$E66,0)),MIN(AT$38,$D$19),$P$20))-SUM($P66:AS66)</f>
        <v>#VALUE!</v>
      </c>
      <c r="AU66" s="446" t="e">
        <f>IF(OR($B66="",MIN(AU$38,$D$19)&lt;MAX($P$34*($B66+IF($R$17="Distrato",$I$38-1,0)),IF(AND($L$37=0,$P$34=0),"",$L$37-1),IF($R$17="Distrato",$E66,0))),0,YEARFRAC(MAX($P$34*($B66+IF($R$17="Distrato",$I$38-1,0)),IF(AND($L$37=0,$P$34=0),"",$L$37-1),IF($R$17="Distrato",$E66,0)),MIN(AU$38,$D$19),$P$20))-SUM($P66:AT66)</f>
        <v>#VALUE!</v>
      </c>
      <c r="AV66" s="446" t="e">
        <f>IF(OR($B66="",MIN(AV$38,$D$19)&lt;MAX($P$34*($B66+IF($R$17="Distrato",$I$38-1,0)),IF(AND($L$37=0,$P$34=0),"",$L$37-1),IF($R$17="Distrato",$E66,0))),0,YEARFRAC(MAX($P$34*($B66+IF($R$17="Distrato",$I$38-1,0)),IF(AND($L$37=0,$P$34=0),"",$L$37-1),IF($R$17="Distrato",$E66,0)),MIN(AV$38,$D$19),$P$20))-SUM($P66:AU66)</f>
        <v>#VALUE!</v>
      </c>
      <c r="AW66" s="446" t="e">
        <f>IF(OR($B66="",MIN(AW$38,$D$19)&lt;MAX($P$34*($B66+IF($R$17="Distrato",$I$38-1,0)),IF(AND($L$37=0,$P$34=0),"",$L$37-1),IF($R$17="Distrato",$E66,0))),0,YEARFRAC(MAX($P$34*($B66+IF($R$17="Distrato",$I$38-1,0)),IF(AND($L$37=0,$P$34=0),"",$L$37-1),IF($R$17="Distrato",$E66,0)),MIN(AW$38,$D$19),$P$20))-SUM($P66:AV66)</f>
        <v>#VALUE!</v>
      </c>
      <c r="AX66" s="446" t="e">
        <f>IF(OR($B66="",MIN(AX$38,$D$19)&lt;MAX($P$34*($B66+IF($R$17="Distrato",$I$38-1,0)),IF(AND($L$37=0,$P$34=0),"",$L$37-1),IF($R$17="Distrato",$E66,0))),0,YEARFRAC(MAX($P$34*($B66+IF($R$17="Distrato",$I$38-1,0)),IF(AND($L$37=0,$P$34=0),"",$L$37-1),IF($R$17="Distrato",$E66,0)),MIN(AX$38,$D$19),$P$20))-SUM($P66:AW66)</f>
        <v>#VALUE!</v>
      </c>
      <c r="AY66" s="446" t="e">
        <f>IF(OR($B66="",MIN(AY$38,$D$19)&lt;MAX($P$34*($B66+IF($R$17="Distrato",$I$38-1,0)),IF(AND($L$37=0,$P$34=0),"",$L$37-1),IF($R$17="Distrato",$E66,0))),0,YEARFRAC(MAX($P$34*($B66+IF($R$17="Distrato",$I$38-1,0)),IF(AND($L$37=0,$P$34=0),"",$L$37-1),IF($R$17="Distrato",$E66,0)),MIN(AY$38,$D$19),$P$20))-SUM($P66:AX66)</f>
        <v>#VALUE!</v>
      </c>
      <c r="AZ66" s="446" t="e">
        <f>IF(OR($B66="",MIN(AZ$38,$D$19)&lt;MAX($P$34*($B66+IF($R$17="Distrato",$I$38-1,0)),IF(AND($L$37=0,$P$34=0),"",$L$37-1),IF($R$17="Distrato",$E66,0))),0,YEARFRAC(MAX($P$34*($B66+IF($R$17="Distrato",$I$38-1,0)),IF(AND($L$37=0,$P$34=0),"",$L$37-1),IF($R$17="Distrato",$E66,0)),MIN(AZ$38,$D$19),$P$20))-SUM($P66:AY66)</f>
        <v>#VALUE!</v>
      </c>
      <c r="BA66" s="446" t="e">
        <f>IF(OR($B66="",MIN(BA$38,$D$19)&lt;MAX($P$34*($B66+IF($R$17="Distrato",$I$38-1,0)),IF(AND($L$37=0,$P$34=0),"",$L$37-1),IF($R$17="Distrato",$E66,0))),0,YEARFRAC(MAX($P$34*($B66+IF($R$17="Distrato",$I$38-1,0)),IF(AND($L$37=0,$P$34=0),"",$L$37-1),IF($R$17="Distrato",$E66,0)),MIN(BA$38,$D$19),$P$20))-SUM($P66:AZ66)</f>
        <v>#VALUE!</v>
      </c>
      <c r="BB66" s="447"/>
      <c r="BF66" s="446">
        <f t="shared" si="10"/>
        <v>0</v>
      </c>
      <c r="BG66" s="446">
        <f>IF($E66=0,0,IF(MIN(BG$38,$E66)&lt;MAX($P$34*($B66+$I$38-1),IF(AND($L$37=0,$P$34=0),"",$L$37-1)),0,YEARFRAC(MAX($P$34*($B66+$I$38-1),IF(AND($L$37=0,$P$34=0),"",$L$37-1)),MIN(BG$38,$E66),$P$20))-SUM($BF66:BF66))</f>
        <v>0</v>
      </c>
      <c r="BH66" s="446">
        <f>IF($E66=0,0,IF(MIN(BH$38,$E66)&lt;MAX($P$34*($B66+$I$38-1),IF(AND($L$37=0,$P$34=0),"",$L$37-1)),0,YEARFRAC(MAX($P$34*($B66+$I$38-1),IF(AND($L$37=0,$P$34=0),"",$L$37-1)),MIN(BH$38,$E66),$P$20))-SUM($BF66:BG66))</f>
        <v>0</v>
      </c>
      <c r="BI66" s="446">
        <f>IF($E66=0,0,IF(MIN(BI$38,$E66)&lt;MAX($P$34*($B66+$I$38-1),IF(AND($L$37=0,$P$34=0),"",$L$37-1)),0,YEARFRAC(MAX($P$34*($B66+$I$38-1),IF(AND($L$37=0,$P$34=0),"",$L$37-1)),MIN(BI$38,$E66),$P$20))-SUM($BF66:BH66))</f>
        <v>0</v>
      </c>
      <c r="BJ66" s="446">
        <f>IF($E66=0,0,IF(MIN(BJ$38,$E66)&lt;MAX($P$34*($B66+$I$38-1),IF(AND($L$37=0,$P$34=0),"",$L$37-1)),0,YEARFRAC(MAX($P$34*($B66+$I$38-1),IF(AND($L$37=0,$P$34=0),"",$L$37-1)),MIN(BJ$38,$E66),$P$20))-SUM($BF66:BI66))</f>
        <v>0</v>
      </c>
      <c r="BK66" s="446">
        <f>IF($E66=0,0,IF(MIN(BK$38,$E66)&lt;MAX($P$34*($B66+$I$38-1),IF(AND($L$37=0,$P$34=0),"",$L$37-1)),0,YEARFRAC(MAX($P$34*($B66+$I$38-1),IF(AND($L$37=0,$P$34=0),"",$L$37-1)),MIN(BK$38,$E66),$P$20))-SUM($BF66:BJ66))</f>
        <v>0</v>
      </c>
      <c r="BL66" s="446">
        <f>IF($E66=0,0,IF(MIN(BL$38,$E66)&lt;MAX($P$34*($B66+$I$38-1),IF(AND($L$37=0,$P$34=0),"",$L$37-1)),0,YEARFRAC(MAX($P$34*($B66+$I$38-1),IF(AND($L$37=0,$P$34=0),"",$L$37-1)),MIN(BL$38,$E66),$P$20))-SUM($BF66:BK66))</f>
        <v>0</v>
      </c>
      <c r="BM66" s="446">
        <f>IF($E66=0,0,IF(MIN(BM$38,$E66)&lt;MAX($P$34*($B66+$I$38-1),IF(AND($L$37=0,$P$34=0),"",$L$37-1)),0,YEARFRAC(MAX($P$34*($B66+$I$38-1),IF(AND($L$37=0,$P$34=0),"",$L$37-1)),MIN(BM$38,$E66),$P$20))-SUM($BF66:BL66))</f>
        <v>0</v>
      </c>
      <c r="BN66" s="446">
        <f>IF($E66=0,0,IF(MIN(BN$38,$E66)&lt;MAX($P$34*($B66+$I$38-1),IF(AND($L$37=0,$P$34=0),"",$L$37-1)),0,YEARFRAC(MAX($P$34*($B66+$I$38-1),IF(AND($L$37=0,$P$34=0),"",$L$37-1)),MIN(BN$38,$E66),$P$20))-SUM($BF66:BM66))</f>
        <v>0</v>
      </c>
      <c r="BO66" s="446">
        <f>IF($E66=0,0,IF(MIN(BO$38,$E66)&lt;MAX($P$34*($B66+$I$38-1),IF(AND($L$37=0,$P$34=0),"",$L$37-1)),0,YEARFRAC(MAX($P$34*($B66+$I$38-1),IF(AND($L$37=0,$P$34=0),"",$L$37-1)),MIN(BO$38,$E66),$P$20))-SUM($BF66:BN66))</f>
        <v>0</v>
      </c>
      <c r="BP66" s="446">
        <f>IF($E66=0,0,IF(MIN(BP$38,$E66)&lt;MAX($P$34*($B66+$I$38-1),IF(AND($L$37=0,$P$34=0),"",$L$37-1)),0,YEARFRAC(MAX($P$34*($B66+$I$38-1),IF(AND($L$37=0,$P$34=0),"",$L$37-1)),MIN(BP$38,$E66),$P$20))-SUM($BF66:BO66))</f>
        <v>0</v>
      </c>
      <c r="BQ66" s="446">
        <f>IF($E66=0,0,IF(MIN(BQ$38,$E66)&lt;MAX($P$34*($B66+$I$38-1),IF(AND($L$37=0,$P$34=0),"",$L$37-1)),0,YEARFRAC(MAX($P$34*($B66+$I$38-1),IF(AND($L$37=0,$P$34=0),"",$L$37-1)),MIN(BQ$38,$E66),$P$20))-SUM($BF66:BP66))</f>
        <v>0</v>
      </c>
      <c r="BR66" s="446">
        <f>IF($E66=0,0,IF(MIN(BR$38,$E66)&lt;MAX($P$34*($B66+$I$38-1),IF(AND($L$37=0,$P$34=0),"",$L$37-1)),0,YEARFRAC(MAX($P$34*($B66+$I$38-1),IF(AND($L$37=0,$P$34=0),"",$L$37-1)),MIN(BR$38,$E66),$P$20))-SUM($BF66:BQ66))</f>
        <v>0</v>
      </c>
      <c r="BS66" s="446">
        <f>IF($E66=0,0,IF(MIN(BS$38,$E66)&lt;MAX($P$34*($B66+$I$38-1),IF(AND($L$37=0,$P$34=0),"",$L$37-1)),0,YEARFRAC(MAX($P$34*($B66+$I$38-1),IF(AND($L$37=0,$P$34=0),"",$L$37-1)),MIN(BS$38,$E66),$P$20))-SUM($BF66:BR66))</f>
        <v>0</v>
      </c>
      <c r="BT66" s="446">
        <f>IF($E66=0,0,IF(MIN(BT$38,$E66)&lt;MAX($P$34*($B66+$I$38-1),IF(AND($L$37=0,$P$34=0),"",$L$37-1)),0,YEARFRAC(MAX($P$34*($B66+$I$38-1),IF(AND($L$37=0,$P$34=0),"",$L$37-1)),MIN(BT$38,$E66),$P$20))-SUM($BF66:BS66))</f>
        <v>0</v>
      </c>
      <c r="BU66" s="446">
        <f>IF($E66=0,0,IF(MIN(BU$38,$E66)&lt;MAX($P$34*($B66+$I$38-1),IF(AND($L$37=0,$P$34=0),"",$L$37-1)),0,YEARFRAC(MAX($P$34*($B66+$I$38-1),IF(AND($L$37=0,$P$34=0),"",$L$37-1)),MIN(BU$38,$E66),$P$20))-SUM($BF66:BT66))</f>
        <v>0</v>
      </c>
      <c r="BV66" s="446">
        <f>IF($E66=0,0,IF(MIN(BV$38,$E66)&lt;MAX($P$34*($B66+$I$38-1),IF(AND($L$37=0,$P$34=0),"",$L$37-1)),0,YEARFRAC(MAX($P$34*($B66+$I$38-1),IF(AND($L$37=0,$P$34=0),"",$L$37-1)),MIN(BV$38,$E66),$P$20))-SUM($BF66:BU66))</f>
        <v>0</v>
      </c>
      <c r="BW66" s="446">
        <f>IF($E66=0,0,IF(MIN(BW$38,$E66)&lt;MAX($P$34*($B66+$I$38-1),IF(AND($L$37=0,$P$34=0),"",$L$37-1)),0,YEARFRAC(MAX($P$34*($B66+$I$38-1),IF(AND($L$37=0,$P$34=0),"",$L$37-1)),MIN(BW$38,$E66),$P$20))-SUM($BF66:BV66))</f>
        <v>0</v>
      </c>
      <c r="BX66" s="446">
        <f>IF($E66=0,0,IF(MIN(BX$38,$E66)&lt;MAX($P$34*($B66+$I$38-1),IF(AND($L$37=0,$P$34=0),"",$L$37-1)),0,YEARFRAC(MAX($P$34*($B66+$I$38-1),IF(AND($L$37=0,$P$34=0),"",$L$37-1)),MIN(BX$38,$E66),$P$20))-SUM($BF66:BW66))</f>
        <v>0</v>
      </c>
      <c r="BY66" s="446">
        <f>IF($E66=0,0,IF(MIN(BY$38,$E66)&lt;MAX($P$34*($B66+$I$38-1),IF(AND($L$37=0,$P$34=0),"",$L$37-1)),0,YEARFRAC(MAX($P$34*($B66+$I$38-1),IF(AND($L$37=0,$P$34=0),"",$L$37-1)),MIN(BY$38,$E66),$P$20))-SUM($BF66:BX66))</f>
        <v>0</v>
      </c>
      <c r="BZ66" s="446">
        <f>IF($E66=0,0,IF(MIN(BZ$38,$E66)&lt;MAX($P$34*($B66+$I$38-1),IF(AND($L$37=0,$P$34=0),"",$L$37-1)),0,YEARFRAC(MAX($P$34*($B66+$I$38-1),IF(AND($L$37=0,$P$34=0),"",$L$37-1)),MIN(BZ$38,$E66),$P$20))-SUM($BF66:BY66))</f>
        <v>0</v>
      </c>
      <c r="CA66" s="446">
        <f>IF($E66=0,0,IF(MIN(CA$38,$E66)&lt;MAX($P$34*($B66+$I$38-1),IF(AND($L$37=0,$P$34=0),"",$L$37-1)),0,YEARFRAC(MAX($P$34*($B66+$I$38-1),IF(AND($L$37=0,$P$34=0),"",$L$37-1)),MIN(CA$38,$E66),$P$20))-SUM($BF66:BZ66))</f>
        <v>0</v>
      </c>
      <c r="CB66" s="446">
        <f>IF($E66=0,0,IF(MIN(CB$38,$E66)&lt;MAX($P$34*($B66+$I$38-1),IF(AND($L$37=0,$P$34=0),"",$L$37-1)),0,YEARFRAC(MAX($P$34*($B66+$I$38-1),IF(AND($L$37=0,$P$34=0),"",$L$37-1)),MIN(CB$38,$E66),$P$20))-SUM($BF66:CA66))</f>
        <v>0</v>
      </c>
      <c r="CC66" s="446">
        <f>IF($E66=0,0,IF(MIN(CC$38,$E66)&lt;MAX($P$34*($B66+$I$38-1),IF(AND($L$37=0,$P$34=0),"",$L$37-1)),0,YEARFRAC(MAX($P$34*($B66+$I$38-1),IF(AND($L$37=0,$P$34=0),"",$L$37-1)),MIN(CC$38,$E66),$P$20))-SUM($BF66:CB66))</f>
        <v>0</v>
      </c>
      <c r="CD66" s="446">
        <f>IF($E66=0,0,IF(MIN(CD$38,$E66)&lt;MAX($P$34*($B66+$I$38-1),IF(AND($L$37=0,$P$34=0),"",$L$37-1)),0,YEARFRAC(MAX($P$34*($B66+$I$38-1),IF(AND($L$37=0,$P$34=0),"",$L$37-1)),MIN(CD$38,$E66),$P$20))-SUM($BF66:CC66))</f>
        <v>0</v>
      </c>
      <c r="CE66" s="446">
        <f>IF($E66=0,0,IF(MIN(CE$38,$E66)&lt;MAX($P$34*($B66+$I$38-1),IF(AND($L$37=0,$P$34=0),"",$L$37-1)),0,YEARFRAC(MAX($P$34*($B66+$I$38-1),IF(AND($L$37=0,$P$34=0),"",$L$37-1)),MIN(CE$38,$E66),$P$20))-SUM($BF66:CD66))</f>
        <v>0</v>
      </c>
      <c r="CF66" s="446">
        <f>IF($E66=0,0,IF(MIN(CF$38,$E66)&lt;MAX($P$34*($B66+$I$38-1),IF(AND($L$37=0,$P$34=0),"",$L$37-1)),0,YEARFRAC(MAX($P$34*($B66+$I$38-1),IF(AND($L$37=0,$P$34=0),"",$L$37-1)),MIN(CF$38,$E66),$P$20))-SUM($BF66:CE66))</f>
        <v>0</v>
      </c>
      <c r="CG66" s="446">
        <f>IF($E66=0,0,IF(MIN(CG$38,$E66)&lt;MAX($P$34*($B66+$I$38-1),IF(AND($L$37=0,$P$34=0),"",$L$37-1)),0,YEARFRAC(MAX($P$34*($B66+$I$38-1),IF(AND($L$37=0,$P$34=0),"",$L$37-1)),MIN(CG$38,$E66),$P$20))-SUM($BF66:CF66))</f>
        <v>0</v>
      </c>
      <c r="CH66" s="446">
        <f>IF($E66=0,0,IF(MIN(CH$38,$E66)&lt;MAX($P$34*($B66+$I$38-1),IF(AND($L$37=0,$P$34=0),"",$L$37-1)),0,YEARFRAC(MAX($P$34*($B66+$I$38-1),IF(AND($L$37=0,$P$34=0),"",$L$37-1)),MIN(CH$38,$E66),$P$20))-SUM($BF66:CG66))</f>
        <v>0</v>
      </c>
      <c r="CI66" s="446">
        <f>IF($E66=0,0,IF(MIN(CI$38,$E66)&lt;MAX($P$34*($B66+$I$38-1),IF(AND($L$37=0,$P$34=0),"",$L$37-1)),0,YEARFRAC(MAX($P$34*($B66+$I$38-1),IF(AND($L$37=0,$P$34=0),"",$L$37-1)),MIN(CI$38,$E66),$P$20))-SUM($BF66:CH66))</f>
        <v>0</v>
      </c>
      <c r="CJ66" s="446">
        <f>IF($E66=0,0,IF(MIN(CJ$38,$E66)&lt;MAX($P$34*($B66+$I$38-1),IF(AND($L$37=0,$P$34=0),"",$L$37-1)),0,YEARFRAC(MAX($P$34*($B66+$I$38-1),IF(AND($L$37=0,$P$34=0),"",$L$37-1)),MIN(CJ$38,$E66),$P$20))-SUM($BF66:CI66))</f>
        <v>0</v>
      </c>
      <c r="CK66" s="446">
        <f>IF($E66=0,0,IF(MIN(CK$38,$E66)&lt;MAX($P$34*($B66+$I$38-1),IF(AND($L$37=0,$P$34=0),"",$L$37-1)),0,YEARFRAC(MAX($P$34*($B66+$I$38-1),IF(AND($L$37=0,$P$34=0),"",$L$37-1)),MIN(CK$38,$E66),$P$20))-SUM($BF66:CJ66))</f>
        <v>0</v>
      </c>
      <c r="CL66" s="446">
        <f>IF($E66=0,0,IF(MIN(CL$38,$E66)&lt;MAX($P$34*($B66+$I$38-1),IF(AND($L$37=0,$P$34=0),"",$L$37-1)),0,YEARFRAC(MAX($P$34*($B66+$I$38-1),IF(AND($L$37=0,$P$34=0),"",$L$37-1)),MIN(CL$38,$E66),$P$20))-SUM($BF66:CK66))</f>
        <v>0</v>
      </c>
      <c r="CM66" s="446">
        <f>IF($E66=0,0,IF(MIN(CM$38,$E66)&lt;MAX($P$34*($B66+$I$38-1),IF(AND($L$37=0,$P$34=0),"",$L$37-1)),0,YEARFRAC(MAX($P$34*($B66+$I$38-1),IF(AND($L$37=0,$P$34=0),"",$L$37-1)),MIN(CM$38,$E66),$P$20))-SUM($BF66:CL66))</f>
        <v>0</v>
      </c>
      <c r="CN66" s="446">
        <f>IF($E66=0,0,IF(MIN(CN$38,$E66)&lt;MAX($P$34*($B66+$I$38-1),IF(AND($L$37=0,$P$34=0),"",$L$37-1)),0,YEARFRAC(MAX($P$34*($B66+$I$38-1),IF(AND($L$37=0,$P$34=0),"",$L$37-1)),MIN(CN$38,$E66),$P$20))-SUM($BF66:CM66))</f>
        <v>0</v>
      </c>
      <c r="CO66" s="446">
        <f>IF($E66=0,0,IF(MIN(CO$38,$E66)&lt;MAX($P$34*($B66+$I$38-1),IF(AND($L$37=0,$P$34=0),"",$L$37-1)),0,YEARFRAC(MAX($P$34*($B66+$I$38-1),IF(AND($L$37=0,$P$34=0),"",$L$37-1)),MIN(CO$38,$E66),$P$20))-SUM($BF66:CN66))</f>
        <v>0</v>
      </c>
      <c r="CP66" s="446">
        <f>IF($E66=0,0,IF(MIN(CP$38,$E66)&lt;MAX($P$34*($B66+$I$38-1),IF(AND($L$37=0,$P$34=0),"",$L$37-1)),0,YEARFRAC(MAX($P$34*($B66+$I$38-1),IF(AND($L$37=0,$P$34=0),"",$L$37-1)),MIN(CP$38,$E66),$P$20))-SUM($BF66:CO66))</f>
        <v>0</v>
      </c>
      <c r="CQ66" s="446">
        <f>IF($E66=0,0,IF(MIN(CQ$38,$E66)&lt;MAX($P$34*($B66+$I$38-1),IF(AND($L$37=0,$P$34=0),"",$L$37-1)),0,YEARFRAC(MAX($P$34*($B66+$I$38-1),IF(AND($L$37=0,$P$34=0),"",$L$37-1)),MIN(CQ$38,$E66),$P$20))-SUM($BF66:CP66))</f>
        <v>0</v>
      </c>
    </row>
    <row r="67" spans="1:95" s="446" customFormat="1" ht="11.25" hidden="1" customHeight="1" x14ac:dyDescent="0.2">
      <c r="A67" s="152"/>
      <c r="B67" s="153" t="str">
        <f t="shared" si="15"/>
        <v/>
      </c>
      <c r="C67" s="29" t="str">
        <f>IF(B67="","",IF($L$35="SELIC - TRIBUTOS",VLOOKUP(DATE(YEAR($D$19),MONTH($D$19)-1,1),ÍNDICES!$A:$DE,HLOOKUP($BL$25,ÍNDICES!$B$3:$T$4,2)+11)-VLOOKUP(B67,ÍNDICES!$A:$DE,HLOOKUP($BL$25,ÍNDICES!$B$3:$T$4,2)+11)+1%,IF(C$38=$W$26,$J$35,IF(ISERROR(IF(B67&gt;$D$19,1,VLOOKUP(DATE(YEAR(B67),MONTH(B67)+IF($C$35=$S$23,1,0),1),ÍNDICES!$A:$DE,$Z$35+1))),"",IF(B67&gt;$D$19,1,VLOOKUP(DATE(YEAR(B67),MONTH(B67)+IF($C$35=$S$23,1,0),1),ÍNDICES!$A:$DE,$Z$35+1))))))</f>
        <v/>
      </c>
      <c r="D67" s="154" t="str">
        <f>IF(ISERROR(IF(OR($D$38=$Y$27,$B67=""),"",VLOOKUP(B67,ÍNDICES!A:DE,AF$35+1))),"",IF(OR($D$38=$Y$27,$B67=""),"",VLOOKUP(B67,ÍNDICES!A:DE,AF$35+1)))</f>
        <v/>
      </c>
      <c r="E67" s="153"/>
      <c r="F67" s="29" t="str">
        <f>IF(E67="","",IF($L$35="SELIC - TRIBUTOS",VLOOKUP(DATE(YEAR($D$19),MONTH($D$19)-1,1),ÍNDICES!$A:$DE,HLOOKUP($BL$25,ÍNDICES!$B$3:$T$4,2)+11)-VLOOKUP(E67,ÍNDICES!$A:$DE,HLOOKUP($BL$25,ÍNDICES!$B$3:$T$4,2)+11)+1%,IF(F$38=$W$26,$J$35,IF(ISERROR(IF(E67&gt;$D$19,1,VLOOKUP(DATE(YEAR(E67),MONTH(E67)+IF($C$35=$S$23,1,0),1),ÍNDICES!$A:$DE,$Z$35+1))),"",IF(E67&gt;$D$19,1,VLOOKUP(DATE(YEAR(E67),MONTH(E67)+IF($C$35=$S$23,1,0),1),ÍNDICES!$A:$DE,$Z$35+1))))))</f>
        <v/>
      </c>
      <c r="G67" s="155"/>
      <c r="H67" s="156" t="str">
        <f t="shared" si="11"/>
        <v/>
      </c>
      <c r="I67" s="29" t="str">
        <f t="shared" si="5"/>
        <v/>
      </c>
      <c r="J67" s="5">
        <f t="shared" si="6"/>
        <v>0</v>
      </c>
      <c r="K67" s="20">
        <f t="shared" ca="1" si="7"/>
        <v>0</v>
      </c>
      <c r="L67" s="5">
        <f t="shared" ca="1" si="8"/>
        <v>0</v>
      </c>
      <c r="M67" s="64">
        <f t="shared" si="12"/>
        <v>0</v>
      </c>
      <c r="N67" s="61">
        <f t="shared" ca="1" si="13"/>
        <v>0</v>
      </c>
      <c r="O67" s="5">
        <f t="shared" ca="1" si="14"/>
        <v>0</v>
      </c>
      <c r="P67" s="446" t="e">
        <f t="shared" si="9"/>
        <v>#VALUE!</v>
      </c>
      <c r="Q67" s="446" t="e">
        <f>IF(OR($B67="",MIN(Q$38,$D$19)&lt;MAX($P$34*($B67+IF($R$17="Distrato",$I$38-1,0)),IF(AND($L$37=0,$P$34=0),"",$L$37-1),IF($R$17="Distrato",$E67,0))),0,YEARFRAC(MAX($P$34*($B67+IF($R$17="Distrato",$I$38-1,0)),IF(AND($L$37=0,$P$34=0),"",$L$37-1),IF($R$17="Distrato",$E67,0)),MIN(Q$38,$D$19),$P$20))-SUM($P67:P67)</f>
        <v>#VALUE!</v>
      </c>
      <c r="R67" s="446" t="e">
        <f>IF(OR($B67="",MIN(R$38,$D$19)&lt;MAX($P$34*($B67+IF($R$17="Distrato",$I$38-1,0)),IF(AND($L$37=0,$P$34=0),"",$L$37-1),IF($R$17="Distrato",$E67,0))),0,YEARFRAC(MAX($P$34*($B67+IF($R$17="Distrato",$I$38-1,0)),IF(AND($L$37=0,$P$34=0),"",$L$37-1),IF($R$17="Distrato",$E67,0)),MIN(R$38,$D$19),$P$20))-SUM($P67:Q67)</f>
        <v>#VALUE!</v>
      </c>
      <c r="S67" s="446" t="e">
        <f>IF(OR($B67="",MIN(S$38,$D$19)&lt;MAX($P$34*($B67+IF($R$17="Distrato",$I$38-1,0)),IF(AND($L$37=0,$P$34=0),"",$L$37-1),IF($R$17="Distrato",$E67,0))),0,YEARFRAC(MAX($P$34*($B67+IF($R$17="Distrato",$I$38-1,0)),IF(AND($L$37=0,$P$34=0),"",$L$37-1),IF($R$17="Distrato",$E67,0)),MIN(S$38,$D$19),$P$20))-SUM($P67:R67)</f>
        <v>#VALUE!</v>
      </c>
      <c r="T67" s="446" t="e">
        <f>IF(OR($B67="",MIN(T$38,$D$19)&lt;MAX($P$34*($B67+IF($R$17="Distrato",$I$38-1,0)),IF(AND($L$37=0,$P$34=0),"",$L$37-1),IF($R$17="Distrato",$E67,0))),0,YEARFRAC(MAX($P$34*($B67+IF($R$17="Distrato",$I$38-1,0)),IF(AND($L$37=0,$P$34=0),"",$L$37-1),IF($R$17="Distrato",$E67,0)),MIN(T$38,$D$19),$P$20))-SUM($P67:S67)</f>
        <v>#VALUE!</v>
      </c>
      <c r="U67" s="446" t="e">
        <f>IF(OR($B67="",MIN(U$38,$D$19)&lt;MAX($P$34*($B67+IF($R$17="Distrato",$I$38-1,0)),IF(AND($L$37=0,$P$34=0),"",$L$37-1),IF($R$17="Distrato",$E67,0))),0,YEARFRAC(MAX($P$34*($B67+IF($R$17="Distrato",$I$38-1,0)),IF(AND($L$37=0,$P$34=0),"",$L$37-1),IF($R$17="Distrato",$E67,0)),MIN(U$38,$D$19),$P$20))-SUM($P67:T67)</f>
        <v>#VALUE!</v>
      </c>
      <c r="V67" s="446" t="e">
        <f>IF(OR($B67="",MIN(V$38,$D$19)&lt;MAX($P$34*($B67+IF($R$17="Distrato",$I$38-1,0)),IF(AND($L$37=0,$P$34=0),"",$L$37-1),IF($R$17="Distrato",$E67,0))),0,YEARFRAC(MAX($P$34*($B67+IF($R$17="Distrato",$I$38-1,0)),IF(AND($L$37=0,$P$34=0),"",$L$37-1),IF($R$17="Distrato",$E67,0)),MIN(V$38,$D$19),$P$20))-SUM($P67:U67)</f>
        <v>#VALUE!</v>
      </c>
      <c r="W67" s="446" t="e">
        <f>IF(OR($B67="",MIN(W$38,$D$19)&lt;MAX($P$34*($B67+IF($R$17="Distrato",$I$38-1,0)),IF(AND($L$37=0,$P$34=0),"",$L$37-1),IF($R$17="Distrato",$E67,0))),0,YEARFRAC(MAX($P$34*($B67+IF($R$17="Distrato",$I$38-1,0)),IF(AND($L$37=0,$P$34=0),"",$L$37-1),IF($R$17="Distrato",$E67,0)),MIN(W$38,$D$19),$P$20))-SUM($P67:V67)</f>
        <v>#VALUE!</v>
      </c>
      <c r="X67" s="446" t="e">
        <f>IF(OR($B67="",MIN(X$38,$D$19)&lt;MAX($P$34*($B67+IF($R$17="Distrato",$I$38-1,0)),IF(AND($L$37=0,$P$34=0),"",$L$37-1),IF($R$17="Distrato",$E67,0))),0,YEARFRAC(MAX($P$34*($B67+IF($R$17="Distrato",$I$38-1,0)),IF(AND($L$37=0,$P$34=0),"",$L$37-1),IF($R$17="Distrato",$E67,0)),MIN(X$38,$D$19),$P$20))-SUM($P67:W67)</f>
        <v>#VALUE!</v>
      </c>
      <c r="Y67" s="446" t="e">
        <f>IF(OR($B67="",MIN(Y$38,$D$19)&lt;MAX($P$34*($B67+IF($R$17="Distrato",$I$38-1,0)),IF(AND($L$37=0,$P$34=0),"",$L$37-1),IF($R$17="Distrato",$E67,0))),0,YEARFRAC(MAX($P$34*($B67+IF($R$17="Distrato",$I$38-1,0)),IF(AND($L$37=0,$P$34=0),"",$L$37-1),IF($R$17="Distrato",$E67,0)),MIN(Y$38,$D$19),$P$20))-SUM($P67:X67)</f>
        <v>#VALUE!</v>
      </c>
      <c r="Z67" s="446" t="e">
        <f>IF(OR($B67="",MIN(Z$38,$D$19)&lt;MAX($P$34*($B67+IF($R$17="Distrato",$I$38-1,0)),IF(AND($L$37=0,$P$34=0),"",$L$37-1),IF($R$17="Distrato",$E67,0))),0,YEARFRAC(MAX($P$34*($B67+IF($R$17="Distrato",$I$38-1,0)),IF(AND($L$37=0,$P$34=0),"",$L$37-1),IF($R$17="Distrato",$E67,0)),MIN(Z$38,$D$19),$P$20))-SUM($P67:Y67)</f>
        <v>#VALUE!</v>
      </c>
      <c r="AA67" s="446" t="e">
        <f>IF(OR($B67="",MIN(AA$38,$D$19)&lt;MAX($P$34*($B67+IF($R$17="Distrato",$I$38-1,0)),IF(AND($L$37=0,$P$34=0),"",$L$37-1),IF($R$17="Distrato",$E67,0))),0,YEARFRAC(MAX($P$34*($B67+IF($R$17="Distrato",$I$38-1,0)),IF(AND($L$37=0,$P$34=0),"",$L$37-1),IF($R$17="Distrato",$E67,0)),MIN(AA$38,$D$19),$P$20))-SUM($P67:Z67)</f>
        <v>#VALUE!</v>
      </c>
      <c r="AB67" s="446" t="e">
        <f>IF(OR($B67="",MIN(AB$38,$D$19)&lt;MAX($P$34*($B67+IF($R$17="Distrato",$I$38-1,0)),IF(AND($L$37=0,$P$34=0),"",$L$37-1),IF($R$17="Distrato",$E67,0))),0,YEARFRAC(MAX($P$34*($B67+IF($R$17="Distrato",$I$38-1,0)),IF(AND($L$37=0,$P$34=0),"",$L$37-1),IF($R$17="Distrato",$E67,0)),MIN(AB$38,$D$19),$P$20))-SUM($P67:AA67)</f>
        <v>#VALUE!</v>
      </c>
      <c r="AC67" s="446" t="e">
        <f>IF(OR($B67="",MIN(AC$38,$D$19)&lt;MAX($P$34*($B67+IF($R$17="Distrato",$I$38-1,0)),IF(AND($L$37=0,$P$34=0),"",$L$37-1),IF($R$17="Distrato",$E67,0))),0,YEARFRAC(MAX($P$34*($B67+IF($R$17="Distrato",$I$38-1,0)),IF(AND($L$37=0,$P$34=0),"",$L$37-1),IF($R$17="Distrato",$E67,0)),MIN(AC$38,$D$19),$P$20))-SUM($P67:AB67)</f>
        <v>#VALUE!</v>
      </c>
      <c r="AD67" s="446" t="e">
        <f>IF(OR($B67="",MIN(AD$38,$D$19)&lt;MAX($P$34*($B67+IF($R$17="Distrato",$I$38-1,0)),IF(AND($L$37=0,$P$34=0),"",$L$37-1),IF($R$17="Distrato",$E67,0))),0,YEARFRAC(MAX($P$34*($B67+IF($R$17="Distrato",$I$38-1,0)),IF(AND($L$37=0,$P$34=0),"",$L$37-1),IF($R$17="Distrato",$E67,0)),MIN(AD$38,$D$19),$P$20))-SUM($P67:AC67)</f>
        <v>#VALUE!</v>
      </c>
      <c r="AE67" s="446" t="e">
        <f>IF(OR($B67="",MIN(AE$38,$D$19)&lt;MAX($P$34*($B67+IF($R$17="Distrato",$I$38-1,0)),IF(AND($L$37=0,$P$34=0),"",$L$37-1),IF($R$17="Distrato",$E67,0))),0,YEARFRAC(MAX($P$34*($B67+IF($R$17="Distrato",$I$38-1,0)),IF(AND($L$37=0,$P$34=0),"",$L$37-1),IF($R$17="Distrato",$E67,0)),MIN(AE$38,$D$19),$P$20))-SUM($P67:AD67)</f>
        <v>#VALUE!</v>
      </c>
      <c r="AF67" s="446" t="e">
        <f>IF(OR($B67="",MIN(AF$38,$D$19)&lt;MAX($P$34*($B67+IF($R$17="Distrato",$I$38-1,0)),IF(AND($L$37=0,$P$34=0),"",$L$37-1),IF($R$17="Distrato",$E67,0))),0,YEARFRAC(MAX($P$34*($B67+IF($R$17="Distrato",$I$38-1,0)),IF(AND($L$37=0,$P$34=0),"",$L$37-1),IF($R$17="Distrato",$E67,0)),MIN(AF$38,$D$19),$P$20))-SUM($P67:AE67)</f>
        <v>#VALUE!</v>
      </c>
      <c r="AG67" s="446" t="e">
        <f>IF(OR($B67="",MIN(AG$38,$D$19)&lt;MAX($P$34*($B67+IF($R$17="Distrato",$I$38-1,0)),IF(AND($L$37=0,$P$34=0),"",$L$37-1),IF($R$17="Distrato",$E67,0))),0,YEARFRAC(MAX($P$34*($B67+IF($R$17="Distrato",$I$38-1,0)),IF(AND($L$37=0,$P$34=0),"",$L$37-1),IF($R$17="Distrato",$E67,0)),MIN(AG$38,$D$19),$P$20))-SUM($P67:AF67)</f>
        <v>#VALUE!</v>
      </c>
      <c r="AH67" s="446" t="e">
        <f>IF(OR($B67="",MIN(AH$38,$D$19)&lt;MAX($P$34*($B67+IF($R$17="Distrato",$I$38-1,0)),IF(AND($L$37=0,$P$34=0),"",$L$37-1),IF($R$17="Distrato",$E67,0))),0,YEARFRAC(MAX($P$34*($B67+IF($R$17="Distrato",$I$38-1,0)),IF(AND($L$37=0,$P$34=0),"",$L$37-1),IF($R$17="Distrato",$E67,0)),MIN(AH$38,$D$19),$P$20))-SUM($P67:AG67)</f>
        <v>#VALUE!</v>
      </c>
      <c r="AI67" s="446" t="e">
        <f>IF(OR($B67="",MIN(AI$38,$D$19)&lt;MAX($P$34*($B67+IF($R$17="Distrato",$I$38-1,0)),IF(AND($L$37=0,$P$34=0),"",$L$37-1),IF($R$17="Distrato",$E67,0))),0,YEARFRAC(MAX($P$34*($B67+IF($R$17="Distrato",$I$38-1,0)),IF(AND($L$37=0,$P$34=0),"",$L$37-1),IF($R$17="Distrato",$E67,0)),MIN(AI$38,$D$19),$P$20))-SUM($P67:AH67)</f>
        <v>#VALUE!</v>
      </c>
      <c r="AJ67" s="446" t="e">
        <f>IF(OR($B67="",MIN(AJ$38,$D$19)&lt;MAX($P$34*($B67+IF($R$17="Distrato",$I$38-1,0)),IF(AND($L$37=0,$P$34=0),"",$L$37-1),IF($R$17="Distrato",$E67,0))),0,YEARFRAC(MAX($P$34*($B67+IF($R$17="Distrato",$I$38-1,0)),IF(AND($L$37=0,$P$34=0),"",$L$37-1),IF($R$17="Distrato",$E67,0)),MIN(AJ$38,$D$19),$P$20))-SUM($P67:AI67)</f>
        <v>#VALUE!</v>
      </c>
      <c r="AK67" s="446" t="e">
        <f>IF(OR($B67="",MIN(AK$38,$D$19)&lt;MAX($P$34*($B67+IF($R$17="Distrato",$I$38-1,0)),IF(AND($L$37=0,$P$34=0),"",$L$37-1),IF($R$17="Distrato",$E67,0))),0,YEARFRAC(MAX($P$34*($B67+IF($R$17="Distrato",$I$38-1,0)),IF(AND($L$37=0,$P$34=0),"",$L$37-1),IF($R$17="Distrato",$E67,0)),MIN(AK$38,$D$19),$P$20))-SUM($P67:AJ67)</f>
        <v>#VALUE!</v>
      </c>
      <c r="AL67" s="446" t="e">
        <f>IF(OR($B67="",MIN(AL$38,$D$19)&lt;MAX($P$34*($B67+IF($R$17="Distrato",$I$38-1,0)),IF(AND($L$37=0,$P$34=0),"",$L$37-1),IF($R$17="Distrato",$E67,0))),0,YEARFRAC(MAX($P$34*($B67+IF($R$17="Distrato",$I$38-1,0)),IF(AND($L$37=0,$P$34=0),"",$L$37-1),IF($R$17="Distrato",$E67,0)),MIN(AL$38,$D$19),$P$20))-SUM($P67:AK67)</f>
        <v>#VALUE!</v>
      </c>
      <c r="AM67" s="446" t="e">
        <f>IF(OR($B67="",MIN(AM$38,$D$19)&lt;MAX($P$34*($B67+IF($R$17="Distrato",$I$38-1,0)),IF(AND($L$37=0,$P$34=0),"",$L$37-1),IF($R$17="Distrato",$E67,0))),0,YEARFRAC(MAX($P$34*($B67+IF($R$17="Distrato",$I$38-1,0)),IF(AND($L$37=0,$P$34=0),"",$L$37-1),IF($R$17="Distrato",$E67,0)),MIN(AM$38,$D$19),$P$20))-SUM($P67:AL67)</f>
        <v>#VALUE!</v>
      </c>
      <c r="AN67" s="446" t="e">
        <f>IF(OR($B67="",MIN(AN$38,$D$19)&lt;MAX($P$34*($B67+IF($R$17="Distrato",$I$38-1,0)),IF(AND($L$37=0,$P$34=0),"",$L$37-1),IF($R$17="Distrato",$E67,0))),0,YEARFRAC(MAX($P$34*($B67+IF($R$17="Distrato",$I$38-1,0)),IF(AND($L$37=0,$P$34=0),"",$L$37-1),IF($R$17="Distrato",$E67,0)),MIN(AN$38,$D$19),$P$20))-SUM($P67:AM67)</f>
        <v>#VALUE!</v>
      </c>
      <c r="AO67" s="446" t="e">
        <f>IF(OR($B67="",MIN(AO$38,$D$19)&lt;MAX($P$34*($B67+IF($R$17="Distrato",$I$38-1,0)),IF(AND($L$37=0,$P$34=0),"",$L$37-1),IF($R$17="Distrato",$E67,0))),0,YEARFRAC(MAX($P$34*($B67+IF($R$17="Distrato",$I$38-1,0)),IF(AND($L$37=0,$P$34=0),"",$L$37-1),IF($R$17="Distrato",$E67,0)),MIN(AO$38,$D$19),$P$20))-SUM($P67:AN67)</f>
        <v>#VALUE!</v>
      </c>
      <c r="AP67" s="446" t="e">
        <f>IF(OR($B67="",MIN(AP$38,$D$19)&lt;MAX($P$34*($B67+IF($R$17="Distrato",$I$38-1,0)),IF(AND($L$37=0,$P$34=0),"",$L$37-1),IF($R$17="Distrato",$E67,0))),0,YEARFRAC(MAX($P$34*($B67+IF($R$17="Distrato",$I$38-1,0)),IF(AND($L$37=0,$P$34=0),"",$L$37-1),IF($R$17="Distrato",$E67,0)),MIN(AP$38,$D$19),$P$20))-SUM($P67:AO67)</f>
        <v>#VALUE!</v>
      </c>
      <c r="AQ67" s="446" t="e">
        <f>IF(OR($B67="",MIN(AQ$38,$D$19)&lt;MAX($P$34*($B67+IF($R$17="Distrato",$I$38-1,0)),IF(AND($L$37=0,$P$34=0),"",$L$37-1),IF($R$17="Distrato",$E67,0))),0,YEARFRAC(MAX($P$34*($B67+IF($R$17="Distrato",$I$38-1,0)),IF(AND($L$37=0,$P$34=0),"",$L$37-1),IF($R$17="Distrato",$E67,0)),MIN(AQ$38,$D$19),$P$20))-SUM($P67:AP67)</f>
        <v>#VALUE!</v>
      </c>
      <c r="AR67" s="446" t="e">
        <f>IF(OR($B67="",MIN(AR$38,$D$19)&lt;MAX($P$34*($B67+IF($R$17="Distrato",$I$38-1,0)),IF(AND($L$37=0,$P$34=0),"",$L$37-1),IF($R$17="Distrato",$E67,0))),0,YEARFRAC(MAX($P$34*($B67+IF($R$17="Distrato",$I$38-1,0)),IF(AND($L$37=0,$P$34=0),"",$L$37-1),IF($R$17="Distrato",$E67,0)),MIN(AR$38,$D$19),$P$20))-SUM($P67:AQ67)</f>
        <v>#VALUE!</v>
      </c>
      <c r="AS67" s="446" t="e">
        <f>IF(OR($B67="",MIN(AS$38,$D$19)&lt;MAX($P$34*($B67+IF($R$17="Distrato",$I$38-1,0)),IF(AND($L$37=0,$P$34=0),"",$L$37-1),IF($R$17="Distrato",$E67,0))),0,YEARFRAC(MAX($P$34*($B67+IF($R$17="Distrato",$I$38-1,0)),IF(AND($L$37=0,$P$34=0),"",$L$37-1),IF($R$17="Distrato",$E67,0)),MIN(AS$38,$D$19),$P$20))-SUM($P67:AR67)</f>
        <v>#VALUE!</v>
      </c>
      <c r="AT67" s="446" t="e">
        <f>IF(OR($B67="",MIN(AT$38,$D$19)&lt;MAX($P$34*($B67+IF($R$17="Distrato",$I$38-1,0)),IF(AND($L$37=0,$P$34=0),"",$L$37-1),IF($R$17="Distrato",$E67,0))),0,YEARFRAC(MAX($P$34*($B67+IF($R$17="Distrato",$I$38-1,0)),IF(AND($L$37=0,$P$34=0),"",$L$37-1),IF($R$17="Distrato",$E67,0)),MIN(AT$38,$D$19),$P$20))-SUM($P67:AS67)</f>
        <v>#VALUE!</v>
      </c>
      <c r="AU67" s="446" t="e">
        <f>IF(OR($B67="",MIN(AU$38,$D$19)&lt;MAX($P$34*($B67+IF($R$17="Distrato",$I$38-1,0)),IF(AND($L$37=0,$P$34=0),"",$L$37-1),IF($R$17="Distrato",$E67,0))),0,YEARFRAC(MAX($P$34*($B67+IF($R$17="Distrato",$I$38-1,0)),IF(AND($L$37=0,$P$34=0),"",$L$37-1),IF($R$17="Distrato",$E67,0)),MIN(AU$38,$D$19),$P$20))-SUM($P67:AT67)</f>
        <v>#VALUE!</v>
      </c>
      <c r="AV67" s="446" t="e">
        <f>IF(OR($B67="",MIN(AV$38,$D$19)&lt;MAX($P$34*($B67+IF($R$17="Distrato",$I$38-1,0)),IF(AND($L$37=0,$P$34=0),"",$L$37-1),IF($R$17="Distrato",$E67,0))),0,YEARFRAC(MAX($P$34*($B67+IF($R$17="Distrato",$I$38-1,0)),IF(AND($L$37=0,$P$34=0),"",$L$37-1),IF($R$17="Distrato",$E67,0)),MIN(AV$38,$D$19),$P$20))-SUM($P67:AU67)</f>
        <v>#VALUE!</v>
      </c>
      <c r="AW67" s="446" t="e">
        <f>IF(OR($B67="",MIN(AW$38,$D$19)&lt;MAX($P$34*($B67+IF($R$17="Distrato",$I$38-1,0)),IF(AND($L$37=0,$P$34=0),"",$L$37-1),IF($R$17="Distrato",$E67,0))),0,YEARFRAC(MAX($P$34*($B67+IF($R$17="Distrato",$I$38-1,0)),IF(AND($L$37=0,$P$34=0),"",$L$37-1),IF($R$17="Distrato",$E67,0)),MIN(AW$38,$D$19),$P$20))-SUM($P67:AV67)</f>
        <v>#VALUE!</v>
      </c>
      <c r="AX67" s="446" t="e">
        <f>IF(OR($B67="",MIN(AX$38,$D$19)&lt;MAX($P$34*($B67+IF($R$17="Distrato",$I$38-1,0)),IF(AND($L$37=0,$P$34=0),"",$L$37-1),IF($R$17="Distrato",$E67,0))),0,YEARFRAC(MAX($P$34*($B67+IF($R$17="Distrato",$I$38-1,0)),IF(AND($L$37=0,$P$34=0),"",$L$37-1),IF($R$17="Distrato",$E67,0)),MIN(AX$38,$D$19),$P$20))-SUM($P67:AW67)</f>
        <v>#VALUE!</v>
      </c>
      <c r="AY67" s="446" t="e">
        <f>IF(OR($B67="",MIN(AY$38,$D$19)&lt;MAX($P$34*($B67+IF($R$17="Distrato",$I$38-1,0)),IF(AND($L$37=0,$P$34=0),"",$L$37-1),IF($R$17="Distrato",$E67,0))),0,YEARFRAC(MAX($P$34*($B67+IF($R$17="Distrato",$I$38-1,0)),IF(AND($L$37=0,$P$34=0),"",$L$37-1),IF($R$17="Distrato",$E67,0)),MIN(AY$38,$D$19),$P$20))-SUM($P67:AX67)</f>
        <v>#VALUE!</v>
      </c>
      <c r="AZ67" s="446" t="e">
        <f>IF(OR($B67="",MIN(AZ$38,$D$19)&lt;MAX($P$34*($B67+IF($R$17="Distrato",$I$38-1,0)),IF(AND($L$37=0,$P$34=0),"",$L$37-1),IF($R$17="Distrato",$E67,0))),0,YEARFRAC(MAX($P$34*($B67+IF($R$17="Distrato",$I$38-1,0)),IF(AND($L$37=0,$P$34=0),"",$L$37-1),IF($R$17="Distrato",$E67,0)),MIN(AZ$38,$D$19),$P$20))-SUM($P67:AY67)</f>
        <v>#VALUE!</v>
      </c>
      <c r="BA67" s="446" t="e">
        <f>IF(OR($B67="",MIN(BA$38,$D$19)&lt;MAX($P$34*($B67+IF($R$17="Distrato",$I$38-1,0)),IF(AND($L$37=0,$P$34=0),"",$L$37-1),IF($R$17="Distrato",$E67,0))),0,YEARFRAC(MAX($P$34*($B67+IF($R$17="Distrato",$I$38-1,0)),IF(AND($L$37=0,$P$34=0),"",$L$37-1),IF($R$17="Distrato",$E67,0)),MIN(BA$38,$D$19),$P$20))-SUM($P67:AZ67)</f>
        <v>#VALUE!</v>
      </c>
      <c r="BB67" s="447"/>
      <c r="BF67" s="446">
        <f t="shared" si="10"/>
        <v>0</v>
      </c>
      <c r="BG67" s="446">
        <f>IF($E67=0,0,IF(MIN(BG$38,$E67)&lt;MAX($P$34*($B67+$I$38-1),IF(AND($L$37=0,$P$34=0),"",$L$37-1)),0,YEARFRAC(MAX($P$34*($B67+$I$38-1),IF(AND($L$37=0,$P$34=0),"",$L$37-1)),MIN(BG$38,$E67),$P$20))-SUM($BF67:BF67))</f>
        <v>0</v>
      </c>
      <c r="BH67" s="446">
        <f>IF($E67=0,0,IF(MIN(BH$38,$E67)&lt;MAX($P$34*($B67+$I$38-1),IF(AND($L$37=0,$P$34=0),"",$L$37-1)),0,YEARFRAC(MAX($P$34*($B67+$I$38-1),IF(AND($L$37=0,$P$34=0),"",$L$37-1)),MIN(BH$38,$E67),$P$20))-SUM($BF67:BG67))</f>
        <v>0</v>
      </c>
      <c r="BI67" s="446">
        <f>IF($E67=0,0,IF(MIN(BI$38,$E67)&lt;MAX($P$34*($B67+$I$38-1),IF(AND($L$37=0,$P$34=0),"",$L$37-1)),0,YEARFRAC(MAX($P$34*($B67+$I$38-1),IF(AND($L$37=0,$P$34=0),"",$L$37-1)),MIN(BI$38,$E67),$P$20))-SUM($BF67:BH67))</f>
        <v>0</v>
      </c>
      <c r="BJ67" s="446">
        <f>IF($E67=0,0,IF(MIN(BJ$38,$E67)&lt;MAX($P$34*($B67+$I$38-1),IF(AND($L$37=0,$P$34=0),"",$L$37-1)),0,YEARFRAC(MAX($P$34*($B67+$I$38-1),IF(AND($L$37=0,$P$34=0),"",$L$37-1)),MIN(BJ$38,$E67),$P$20))-SUM($BF67:BI67))</f>
        <v>0</v>
      </c>
      <c r="BK67" s="446">
        <f>IF($E67=0,0,IF(MIN(BK$38,$E67)&lt;MAX($P$34*($B67+$I$38-1),IF(AND($L$37=0,$P$34=0),"",$L$37-1)),0,YEARFRAC(MAX($P$34*($B67+$I$38-1),IF(AND($L$37=0,$P$34=0),"",$L$37-1)),MIN(BK$38,$E67),$P$20))-SUM($BF67:BJ67))</f>
        <v>0</v>
      </c>
      <c r="BL67" s="446">
        <f>IF($E67=0,0,IF(MIN(BL$38,$E67)&lt;MAX($P$34*($B67+$I$38-1),IF(AND($L$37=0,$P$34=0),"",$L$37-1)),0,YEARFRAC(MAX($P$34*($B67+$I$38-1),IF(AND($L$37=0,$P$34=0),"",$L$37-1)),MIN(BL$38,$E67),$P$20))-SUM($BF67:BK67))</f>
        <v>0</v>
      </c>
      <c r="BM67" s="446">
        <f>IF($E67=0,0,IF(MIN(BM$38,$E67)&lt;MAX($P$34*($B67+$I$38-1),IF(AND($L$37=0,$P$34=0),"",$L$37-1)),0,YEARFRAC(MAX($P$34*($B67+$I$38-1),IF(AND($L$37=0,$P$34=0),"",$L$37-1)),MIN(BM$38,$E67),$P$20))-SUM($BF67:BL67))</f>
        <v>0</v>
      </c>
      <c r="BN67" s="446">
        <f>IF($E67=0,0,IF(MIN(BN$38,$E67)&lt;MAX($P$34*($B67+$I$38-1),IF(AND($L$37=0,$P$34=0),"",$L$37-1)),0,YEARFRAC(MAX($P$34*($B67+$I$38-1),IF(AND($L$37=0,$P$34=0),"",$L$37-1)),MIN(BN$38,$E67),$P$20))-SUM($BF67:BM67))</f>
        <v>0</v>
      </c>
      <c r="BO67" s="446">
        <f>IF($E67=0,0,IF(MIN(BO$38,$E67)&lt;MAX($P$34*($B67+$I$38-1),IF(AND($L$37=0,$P$34=0),"",$L$37-1)),0,YEARFRAC(MAX($P$34*($B67+$I$38-1),IF(AND($L$37=0,$P$34=0),"",$L$37-1)),MIN(BO$38,$E67),$P$20))-SUM($BF67:BN67))</f>
        <v>0</v>
      </c>
      <c r="BP67" s="446">
        <f>IF($E67=0,0,IF(MIN(BP$38,$E67)&lt;MAX($P$34*($B67+$I$38-1),IF(AND($L$37=0,$P$34=0),"",$L$37-1)),0,YEARFRAC(MAX($P$34*($B67+$I$38-1),IF(AND($L$37=0,$P$34=0),"",$L$37-1)),MIN(BP$38,$E67),$P$20))-SUM($BF67:BO67))</f>
        <v>0</v>
      </c>
      <c r="BQ67" s="446">
        <f>IF($E67=0,0,IF(MIN(BQ$38,$E67)&lt;MAX($P$34*($B67+$I$38-1),IF(AND($L$37=0,$P$34=0),"",$L$37-1)),0,YEARFRAC(MAX($P$34*($B67+$I$38-1),IF(AND($L$37=0,$P$34=0),"",$L$37-1)),MIN(BQ$38,$E67),$P$20))-SUM($BF67:BP67))</f>
        <v>0</v>
      </c>
      <c r="BR67" s="446">
        <f>IF($E67=0,0,IF(MIN(BR$38,$E67)&lt;MAX($P$34*($B67+$I$38-1),IF(AND($L$37=0,$P$34=0),"",$L$37-1)),0,YEARFRAC(MAX($P$34*($B67+$I$38-1),IF(AND($L$37=0,$P$34=0),"",$L$37-1)),MIN(BR$38,$E67),$P$20))-SUM($BF67:BQ67))</f>
        <v>0</v>
      </c>
      <c r="BS67" s="446">
        <f>IF($E67=0,0,IF(MIN(BS$38,$E67)&lt;MAX($P$34*($B67+$I$38-1),IF(AND($L$37=0,$P$34=0),"",$L$37-1)),0,YEARFRAC(MAX($P$34*($B67+$I$38-1),IF(AND($L$37=0,$P$34=0),"",$L$37-1)),MIN(BS$38,$E67),$P$20))-SUM($BF67:BR67))</f>
        <v>0</v>
      </c>
      <c r="BT67" s="446">
        <f>IF($E67=0,0,IF(MIN(BT$38,$E67)&lt;MAX($P$34*($B67+$I$38-1),IF(AND($L$37=0,$P$34=0),"",$L$37-1)),0,YEARFRAC(MAX($P$34*($B67+$I$38-1),IF(AND($L$37=0,$P$34=0),"",$L$37-1)),MIN(BT$38,$E67),$P$20))-SUM($BF67:BS67))</f>
        <v>0</v>
      </c>
      <c r="BU67" s="446">
        <f>IF($E67=0,0,IF(MIN(BU$38,$E67)&lt;MAX($P$34*($B67+$I$38-1),IF(AND($L$37=0,$P$34=0),"",$L$37-1)),0,YEARFRAC(MAX($P$34*($B67+$I$38-1),IF(AND($L$37=0,$P$34=0),"",$L$37-1)),MIN(BU$38,$E67),$P$20))-SUM($BF67:BT67))</f>
        <v>0</v>
      </c>
      <c r="BV67" s="446">
        <f>IF($E67=0,0,IF(MIN(BV$38,$E67)&lt;MAX($P$34*($B67+$I$38-1),IF(AND($L$37=0,$P$34=0),"",$L$37-1)),0,YEARFRAC(MAX($P$34*($B67+$I$38-1),IF(AND($L$37=0,$P$34=0),"",$L$37-1)),MIN(BV$38,$E67),$P$20))-SUM($BF67:BU67))</f>
        <v>0</v>
      </c>
      <c r="BW67" s="446">
        <f>IF($E67=0,0,IF(MIN(BW$38,$E67)&lt;MAX($P$34*($B67+$I$38-1),IF(AND($L$37=0,$P$34=0),"",$L$37-1)),0,YEARFRAC(MAX($P$34*($B67+$I$38-1),IF(AND($L$37=0,$P$34=0),"",$L$37-1)),MIN(BW$38,$E67),$P$20))-SUM($BF67:BV67))</f>
        <v>0</v>
      </c>
      <c r="BX67" s="446">
        <f>IF($E67=0,0,IF(MIN(BX$38,$E67)&lt;MAX($P$34*($B67+$I$38-1),IF(AND($L$37=0,$P$34=0),"",$L$37-1)),0,YEARFRAC(MAX($P$34*($B67+$I$38-1),IF(AND($L$37=0,$P$34=0),"",$L$37-1)),MIN(BX$38,$E67),$P$20))-SUM($BF67:BW67))</f>
        <v>0</v>
      </c>
      <c r="BY67" s="446">
        <f>IF($E67=0,0,IF(MIN(BY$38,$E67)&lt;MAX($P$34*($B67+$I$38-1),IF(AND($L$37=0,$P$34=0),"",$L$37-1)),0,YEARFRAC(MAX($P$34*($B67+$I$38-1),IF(AND($L$37=0,$P$34=0),"",$L$37-1)),MIN(BY$38,$E67),$P$20))-SUM($BF67:BX67))</f>
        <v>0</v>
      </c>
      <c r="BZ67" s="446">
        <f>IF($E67=0,0,IF(MIN(BZ$38,$E67)&lt;MAX($P$34*($B67+$I$38-1),IF(AND($L$37=0,$P$34=0),"",$L$37-1)),0,YEARFRAC(MAX($P$34*($B67+$I$38-1),IF(AND($L$37=0,$P$34=0),"",$L$37-1)),MIN(BZ$38,$E67),$P$20))-SUM($BF67:BY67))</f>
        <v>0</v>
      </c>
      <c r="CA67" s="446">
        <f>IF($E67=0,0,IF(MIN(CA$38,$E67)&lt;MAX($P$34*($B67+$I$38-1),IF(AND($L$37=0,$P$34=0),"",$L$37-1)),0,YEARFRAC(MAX($P$34*($B67+$I$38-1),IF(AND($L$37=0,$P$34=0),"",$L$37-1)),MIN(CA$38,$E67),$P$20))-SUM($BF67:BZ67))</f>
        <v>0</v>
      </c>
      <c r="CB67" s="446">
        <f>IF($E67=0,0,IF(MIN(CB$38,$E67)&lt;MAX($P$34*($B67+$I$38-1),IF(AND($L$37=0,$P$34=0),"",$L$37-1)),0,YEARFRAC(MAX($P$34*($B67+$I$38-1),IF(AND($L$37=0,$P$34=0),"",$L$37-1)),MIN(CB$38,$E67),$P$20))-SUM($BF67:CA67))</f>
        <v>0</v>
      </c>
      <c r="CC67" s="446">
        <f>IF($E67=0,0,IF(MIN(CC$38,$E67)&lt;MAX($P$34*($B67+$I$38-1),IF(AND($L$37=0,$P$34=0),"",$L$37-1)),0,YEARFRAC(MAX($P$34*($B67+$I$38-1),IF(AND($L$37=0,$P$34=0),"",$L$37-1)),MIN(CC$38,$E67),$P$20))-SUM($BF67:CB67))</f>
        <v>0</v>
      </c>
      <c r="CD67" s="446">
        <f>IF($E67=0,0,IF(MIN(CD$38,$E67)&lt;MAX($P$34*($B67+$I$38-1),IF(AND($L$37=0,$P$34=0),"",$L$37-1)),0,YEARFRAC(MAX($P$34*($B67+$I$38-1),IF(AND($L$37=0,$P$34=0),"",$L$37-1)),MIN(CD$38,$E67),$P$20))-SUM($BF67:CC67))</f>
        <v>0</v>
      </c>
      <c r="CE67" s="446">
        <f>IF($E67=0,0,IF(MIN(CE$38,$E67)&lt;MAX($P$34*($B67+$I$38-1),IF(AND($L$37=0,$P$34=0),"",$L$37-1)),0,YEARFRAC(MAX($P$34*($B67+$I$38-1),IF(AND($L$37=0,$P$34=0),"",$L$37-1)),MIN(CE$38,$E67),$P$20))-SUM($BF67:CD67))</f>
        <v>0</v>
      </c>
      <c r="CF67" s="446">
        <f>IF($E67=0,0,IF(MIN(CF$38,$E67)&lt;MAX($P$34*($B67+$I$38-1),IF(AND($L$37=0,$P$34=0),"",$L$37-1)),0,YEARFRAC(MAX($P$34*($B67+$I$38-1),IF(AND($L$37=0,$P$34=0),"",$L$37-1)),MIN(CF$38,$E67),$P$20))-SUM($BF67:CE67))</f>
        <v>0</v>
      </c>
      <c r="CG67" s="446">
        <f>IF($E67=0,0,IF(MIN(CG$38,$E67)&lt;MAX($P$34*($B67+$I$38-1),IF(AND($L$37=0,$P$34=0),"",$L$37-1)),0,YEARFRAC(MAX($P$34*($B67+$I$38-1),IF(AND($L$37=0,$P$34=0),"",$L$37-1)),MIN(CG$38,$E67),$P$20))-SUM($BF67:CF67))</f>
        <v>0</v>
      </c>
      <c r="CH67" s="446">
        <f>IF($E67=0,0,IF(MIN(CH$38,$E67)&lt;MAX($P$34*($B67+$I$38-1),IF(AND($L$37=0,$P$34=0),"",$L$37-1)),0,YEARFRAC(MAX($P$34*($B67+$I$38-1),IF(AND($L$37=0,$P$34=0),"",$L$37-1)),MIN(CH$38,$E67),$P$20))-SUM($BF67:CG67))</f>
        <v>0</v>
      </c>
      <c r="CI67" s="446">
        <f>IF($E67=0,0,IF(MIN(CI$38,$E67)&lt;MAX($P$34*($B67+$I$38-1),IF(AND($L$37=0,$P$34=0),"",$L$37-1)),0,YEARFRAC(MAX($P$34*($B67+$I$38-1),IF(AND($L$37=0,$P$34=0),"",$L$37-1)),MIN(CI$38,$E67),$P$20))-SUM($BF67:CH67))</f>
        <v>0</v>
      </c>
      <c r="CJ67" s="446">
        <f>IF($E67=0,0,IF(MIN(CJ$38,$E67)&lt;MAX($P$34*($B67+$I$38-1),IF(AND($L$37=0,$P$34=0),"",$L$37-1)),0,YEARFRAC(MAX($P$34*($B67+$I$38-1),IF(AND($L$37=0,$P$34=0),"",$L$37-1)),MIN(CJ$38,$E67),$P$20))-SUM($BF67:CI67))</f>
        <v>0</v>
      </c>
      <c r="CK67" s="446">
        <f>IF($E67=0,0,IF(MIN(CK$38,$E67)&lt;MAX($P$34*($B67+$I$38-1),IF(AND($L$37=0,$P$34=0),"",$L$37-1)),0,YEARFRAC(MAX($P$34*($B67+$I$38-1),IF(AND($L$37=0,$P$34=0),"",$L$37-1)),MIN(CK$38,$E67),$P$20))-SUM($BF67:CJ67))</f>
        <v>0</v>
      </c>
      <c r="CL67" s="446">
        <f>IF($E67=0,0,IF(MIN(CL$38,$E67)&lt;MAX($P$34*($B67+$I$38-1),IF(AND($L$37=0,$P$34=0),"",$L$37-1)),0,YEARFRAC(MAX($P$34*($B67+$I$38-1),IF(AND($L$37=0,$P$34=0),"",$L$37-1)),MIN(CL$38,$E67),$P$20))-SUM($BF67:CK67))</f>
        <v>0</v>
      </c>
      <c r="CM67" s="446">
        <f>IF($E67=0,0,IF(MIN(CM$38,$E67)&lt;MAX($P$34*($B67+$I$38-1),IF(AND($L$37=0,$P$34=0),"",$L$37-1)),0,YEARFRAC(MAX($P$34*($B67+$I$38-1),IF(AND($L$37=0,$P$34=0),"",$L$37-1)),MIN(CM$38,$E67),$P$20))-SUM($BF67:CL67))</f>
        <v>0</v>
      </c>
      <c r="CN67" s="446">
        <f>IF($E67=0,0,IF(MIN(CN$38,$E67)&lt;MAX($P$34*($B67+$I$38-1),IF(AND($L$37=0,$P$34=0),"",$L$37-1)),0,YEARFRAC(MAX($P$34*($B67+$I$38-1),IF(AND($L$37=0,$P$34=0),"",$L$37-1)),MIN(CN$38,$E67),$P$20))-SUM($BF67:CM67))</f>
        <v>0</v>
      </c>
      <c r="CO67" s="446">
        <f>IF($E67=0,0,IF(MIN(CO$38,$E67)&lt;MAX($P$34*($B67+$I$38-1),IF(AND($L$37=0,$P$34=0),"",$L$37-1)),0,YEARFRAC(MAX($P$34*($B67+$I$38-1),IF(AND($L$37=0,$P$34=0),"",$L$37-1)),MIN(CO$38,$E67),$P$20))-SUM($BF67:CN67))</f>
        <v>0</v>
      </c>
      <c r="CP67" s="446">
        <f>IF($E67=0,0,IF(MIN(CP$38,$E67)&lt;MAX($P$34*($B67+$I$38-1),IF(AND($L$37=0,$P$34=0),"",$L$37-1)),0,YEARFRAC(MAX($P$34*($B67+$I$38-1),IF(AND($L$37=0,$P$34=0),"",$L$37-1)),MIN(CP$38,$E67),$P$20))-SUM($BF67:CO67))</f>
        <v>0</v>
      </c>
      <c r="CQ67" s="446">
        <f>IF($E67=0,0,IF(MIN(CQ$38,$E67)&lt;MAX($P$34*($B67+$I$38-1),IF(AND($L$37=0,$P$34=0),"",$L$37-1)),0,YEARFRAC(MAX($P$34*($B67+$I$38-1),IF(AND($L$37=0,$P$34=0),"",$L$37-1)),MIN(CQ$38,$E67),$P$20))-SUM($BF67:CP67))</f>
        <v>0</v>
      </c>
    </row>
    <row r="68" spans="1:95" s="446" customFormat="1" ht="11.25" hidden="1" customHeight="1" x14ac:dyDescent="0.2">
      <c r="A68" s="152"/>
      <c r="B68" s="153" t="str">
        <f t="shared" si="15"/>
        <v/>
      </c>
      <c r="C68" s="29" t="str">
        <f>IF(B68="","",IF($L$35="SELIC - TRIBUTOS",VLOOKUP(DATE(YEAR($D$19),MONTH($D$19)-1,1),ÍNDICES!$A:$DE,HLOOKUP($BL$25,ÍNDICES!$B$3:$T$4,2)+11)-VLOOKUP(B68,ÍNDICES!$A:$DE,HLOOKUP($BL$25,ÍNDICES!$B$3:$T$4,2)+11)+1%,IF(C$38=$W$26,$J$35,IF(ISERROR(IF(B68&gt;$D$19,1,VLOOKUP(DATE(YEAR(B68),MONTH(B68)+IF($C$35=$S$23,1,0),1),ÍNDICES!$A:$DE,$Z$35+1))),"",IF(B68&gt;$D$19,1,VLOOKUP(DATE(YEAR(B68),MONTH(B68)+IF($C$35=$S$23,1,0),1),ÍNDICES!$A:$DE,$Z$35+1))))))</f>
        <v/>
      </c>
      <c r="D68" s="154" t="str">
        <f>IF(ISERROR(IF(OR($D$38=$Y$27,$B68=""),"",VLOOKUP(B68,ÍNDICES!A:DE,AF$35+1))),"",IF(OR($D$38=$Y$27,$B68=""),"",VLOOKUP(B68,ÍNDICES!A:DE,AF$35+1)))</f>
        <v/>
      </c>
      <c r="E68" s="153"/>
      <c r="F68" s="29" t="str">
        <f>IF(E68="","",IF($L$35="SELIC - TRIBUTOS",VLOOKUP(DATE(YEAR($D$19),MONTH($D$19)-1,1),ÍNDICES!$A:$DE,HLOOKUP($BL$25,ÍNDICES!$B$3:$T$4,2)+11)-VLOOKUP(E68,ÍNDICES!$A:$DE,HLOOKUP($BL$25,ÍNDICES!$B$3:$T$4,2)+11)+1%,IF(F$38=$W$26,$J$35,IF(ISERROR(IF(E68&gt;$D$19,1,VLOOKUP(DATE(YEAR(E68),MONTH(E68)+IF($C$35=$S$23,1,0),1),ÍNDICES!$A:$DE,$Z$35+1))),"",IF(E68&gt;$D$19,1,VLOOKUP(DATE(YEAR(E68),MONTH(E68)+IF($C$35=$S$23,1,0),1),ÍNDICES!$A:$DE,$Z$35+1))))))</f>
        <v/>
      </c>
      <c r="G68" s="155"/>
      <c r="H68" s="156" t="str">
        <f t="shared" si="11"/>
        <v/>
      </c>
      <c r="I68" s="29" t="str">
        <f t="shared" si="5"/>
        <v/>
      </c>
      <c r="J68" s="5">
        <f t="shared" si="6"/>
        <v>0</v>
      </c>
      <c r="K68" s="20">
        <f t="shared" ca="1" si="7"/>
        <v>0</v>
      </c>
      <c r="L68" s="5">
        <f t="shared" ca="1" si="8"/>
        <v>0</v>
      </c>
      <c r="M68" s="64">
        <f t="shared" si="12"/>
        <v>0</v>
      </c>
      <c r="N68" s="61">
        <f t="shared" ca="1" si="13"/>
        <v>0</v>
      </c>
      <c r="O68" s="5">
        <f t="shared" ca="1" si="14"/>
        <v>0</v>
      </c>
      <c r="P68" s="446" t="e">
        <f t="shared" si="9"/>
        <v>#VALUE!</v>
      </c>
      <c r="Q68" s="446" t="e">
        <f>IF(OR($B68="",MIN(Q$38,$D$19)&lt;MAX($P$34*($B68+IF($R$17="Distrato",$I$38-1,0)),IF(AND($L$37=0,$P$34=0),"",$L$37-1),IF($R$17="Distrato",$E68,0))),0,YEARFRAC(MAX($P$34*($B68+IF($R$17="Distrato",$I$38-1,0)),IF(AND($L$37=0,$P$34=0),"",$L$37-1),IF($R$17="Distrato",$E68,0)),MIN(Q$38,$D$19),$P$20))-SUM($P68:P68)</f>
        <v>#VALUE!</v>
      </c>
      <c r="R68" s="446" t="e">
        <f>IF(OR($B68="",MIN(R$38,$D$19)&lt;MAX($P$34*($B68+IF($R$17="Distrato",$I$38-1,0)),IF(AND($L$37=0,$P$34=0),"",$L$37-1),IF($R$17="Distrato",$E68,0))),0,YEARFRAC(MAX($P$34*($B68+IF($R$17="Distrato",$I$38-1,0)),IF(AND($L$37=0,$P$34=0),"",$L$37-1),IF($R$17="Distrato",$E68,0)),MIN(R$38,$D$19),$P$20))-SUM($P68:Q68)</f>
        <v>#VALUE!</v>
      </c>
      <c r="S68" s="446" t="e">
        <f>IF(OR($B68="",MIN(S$38,$D$19)&lt;MAX($P$34*($B68+IF($R$17="Distrato",$I$38-1,0)),IF(AND($L$37=0,$P$34=0),"",$L$37-1),IF($R$17="Distrato",$E68,0))),0,YEARFRAC(MAX($P$34*($B68+IF($R$17="Distrato",$I$38-1,0)),IF(AND($L$37=0,$P$34=0),"",$L$37-1),IF($R$17="Distrato",$E68,0)),MIN(S$38,$D$19),$P$20))-SUM($P68:R68)</f>
        <v>#VALUE!</v>
      </c>
      <c r="T68" s="446" t="e">
        <f>IF(OR($B68="",MIN(T$38,$D$19)&lt;MAX($P$34*($B68+IF($R$17="Distrato",$I$38-1,0)),IF(AND($L$37=0,$P$34=0),"",$L$37-1),IF($R$17="Distrato",$E68,0))),0,YEARFRAC(MAX($P$34*($B68+IF($R$17="Distrato",$I$38-1,0)),IF(AND($L$37=0,$P$34=0),"",$L$37-1),IF($R$17="Distrato",$E68,0)),MIN(T$38,$D$19),$P$20))-SUM($P68:S68)</f>
        <v>#VALUE!</v>
      </c>
      <c r="U68" s="446" t="e">
        <f>IF(OR($B68="",MIN(U$38,$D$19)&lt;MAX($P$34*($B68+IF($R$17="Distrato",$I$38-1,0)),IF(AND($L$37=0,$P$34=0),"",$L$37-1),IF($R$17="Distrato",$E68,0))),0,YEARFRAC(MAX($P$34*($B68+IF($R$17="Distrato",$I$38-1,0)),IF(AND($L$37=0,$P$34=0),"",$L$37-1),IF($R$17="Distrato",$E68,0)),MIN(U$38,$D$19),$P$20))-SUM($P68:T68)</f>
        <v>#VALUE!</v>
      </c>
      <c r="V68" s="446" t="e">
        <f>IF(OR($B68="",MIN(V$38,$D$19)&lt;MAX($P$34*($B68+IF($R$17="Distrato",$I$38-1,0)),IF(AND($L$37=0,$P$34=0),"",$L$37-1),IF($R$17="Distrato",$E68,0))),0,YEARFRAC(MAX($P$34*($B68+IF($R$17="Distrato",$I$38-1,0)),IF(AND($L$37=0,$P$34=0),"",$L$37-1),IF($R$17="Distrato",$E68,0)),MIN(V$38,$D$19),$P$20))-SUM($P68:U68)</f>
        <v>#VALUE!</v>
      </c>
      <c r="W68" s="446" t="e">
        <f>IF(OR($B68="",MIN(W$38,$D$19)&lt;MAX($P$34*($B68+IF($R$17="Distrato",$I$38-1,0)),IF(AND($L$37=0,$P$34=0),"",$L$37-1),IF($R$17="Distrato",$E68,0))),0,YEARFRAC(MAX($P$34*($B68+IF($R$17="Distrato",$I$38-1,0)),IF(AND($L$37=0,$P$34=0),"",$L$37-1),IF($R$17="Distrato",$E68,0)),MIN(W$38,$D$19),$P$20))-SUM($P68:V68)</f>
        <v>#VALUE!</v>
      </c>
      <c r="X68" s="446" t="e">
        <f>IF(OR($B68="",MIN(X$38,$D$19)&lt;MAX($P$34*($B68+IF($R$17="Distrato",$I$38-1,0)),IF(AND($L$37=0,$P$34=0),"",$L$37-1),IF($R$17="Distrato",$E68,0))),0,YEARFRAC(MAX($P$34*($B68+IF($R$17="Distrato",$I$38-1,0)),IF(AND($L$37=0,$P$34=0),"",$L$37-1),IF($R$17="Distrato",$E68,0)),MIN(X$38,$D$19),$P$20))-SUM($P68:W68)</f>
        <v>#VALUE!</v>
      </c>
      <c r="Y68" s="446" t="e">
        <f>IF(OR($B68="",MIN(Y$38,$D$19)&lt;MAX($P$34*($B68+IF($R$17="Distrato",$I$38-1,0)),IF(AND($L$37=0,$P$34=0),"",$L$37-1),IF($R$17="Distrato",$E68,0))),0,YEARFRAC(MAX($P$34*($B68+IF($R$17="Distrato",$I$38-1,0)),IF(AND($L$37=0,$P$34=0),"",$L$37-1),IF($R$17="Distrato",$E68,0)),MIN(Y$38,$D$19),$P$20))-SUM($P68:X68)</f>
        <v>#VALUE!</v>
      </c>
      <c r="Z68" s="446" t="e">
        <f>IF(OR($B68="",MIN(Z$38,$D$19)&lt;MAX($P$34*($B68+IF($R$17="Distrato",$I$38-1,0)),IF(AND($L$37=0,$P$34=0),"",$L$37-1),IF($R$17="Distrato",$E68,0))),0,YEARFRAC(MAX($P$34*($B68+IF($R$17="Distrato",$I$38-1,0)),IF(AND($L$37=0,$P$34=0),"",$L$37-1),IF($R$17="Distrato",$E68,0)),MIN(Z$38,$D$19),$P$20))-SUM($P68:Y68)</f>
        <v>#VALUE!</v>
      </c>
      <c r="AA68" s="446" t="e">
        <f>IF(OR($B68="",MIN(AA$38,$D$19)&lt;MAX($P$34*($B68+IF($R$17="Distrato",$I$38-1,0)),IF(AND($L$37=0,$P$34=0),"",$L$37-1),IF($R$17="Distrato",$E68,0))),0,YEARFRAC(MAX($P$34*($B68+IF($R$17="Distrato",$I$38-1,0)),IF(AND($L$37=0,$P$34=0),"",$L$37-1),IF($R$17="Distrato",$E68,0)),MIN(AA$38,$D$19),$P$20))-SUM($P68:Z68)</f>
        <v>#VALUE!</v>
      </c>
      <c r="AB68" s="446" t="e">
        <f>IF(OR($B68="",MIN(AB$38,$D$19)&lt;MAX($P$34*($B68+IF($R$17="Distrato",$I$38-1,0)),IF(AND($L$37=0,$P$34=0),"",$L$37-1),IF($R$17="Distrato",$E68,0))),0,YEARFRAC(MAX($P$34*($B68+IF($R$17="Distrato",$I$38-1,0)),IF(AND($L$37=0,$P$34=0),"",$L$37-1),IF($R$17="Distrato",$E68,0)),MIN(AB$38,$D$19),$P$20))-SUM($P68:AA68)</f>
        <v>#VALUE!</v>
      </c>
      <c r="AC68" s="446" t="e">
        <f>IF(OR($B68="",MIN(AC$38,$D$19)&lt;MAX($P$34*($B68+IF($R$17="Distrato",$I$38-1,0)),IF(AND($L$37=0,$P$34=0),"",$L$37-1),IF($R$17="Distrato",$E68,0))),0,YEARFRAC(MAX($P$34*($B68+IF($R$17="Distrato",$I$38-1,0)),IF(AND($L$37=0,$P$34=0),"",$L$37-1),IF($R$17="Distrato",$E68,0)),MIN(AC$38,$D$19),$P$20))-SUM($P68:AB68)</f>
        <v>#VALUE!</v>
      </c>
      <c r="AD68" s="446" t="e">
        <f>IF(OR($B68="",MIN(AD$38,$D$19)&lt;MAX($P$34*($B68+IF($R$17="Distrato",$I$38-1,0)),IF(AND($L$37=0,$P$34=0),"",$L$37-1),IF($R$17="Distrato",$E68,0))),0,YEARFRAC(MAX($P$34*($B68+IF($R$17="Distrato",$I$38-1,0)),IF(AND($L$37=0,$P$34=0),"",$L$37-1),IF($R$17="Distrato",$E68,0)),MIN(AD$38,$D$19),$P$20))-SUM($P68:AC68)</f>
        <v>#VALUE!</v>
      </c>
      <c r="AE68" s="446" t="e">
        <f>IF(OR($B68="",MIN(AE$38,$D$19)&lt;MAX($P$34*($B68+IF($R$17="Distrato",$I$38-1,0)),IF(AND($L$37=0,$P$34=0),"",$L$37-1),IF($R$17="Distrato",$E68,0))),0,YEARFRAC(MAX($P$34*($B68+IF($R$17="Distrato",$I$38-1,0)),IF(AND($L$37=0,$P$34=0),"",$L$37-1),IF($R$17="Distrato",$E68,0)),MIN(AE$38,$D$19),$P$20))-SUM($P68:AD68)</f>
        <v>#VALUE!</v>
      </c>
      <c r="AF68" s="446" t="e">
        <f>IF(OR($B68="",MIN(AF$38,$D$19)&lt;MAX($P$34*($B68+IF($R$17="Distrato",$I$38-1,0)),IF(AND($L$37=0,$P$34=0),"",$L$37-1),IF($R$17="Distrato",$E68,0))),0,YEARFRAC(MAX($P$34*($B68+IF($R$17="Distrato",$I$38-1,0)),IF(AND($L$37=0,$P$34=0),"",$L$37-1),IF($R$17="Distrato",$E68,0)),MIN(AF$38,$D$19),$P$20))-SUM($P68:AE68)</f>
        <v>#VALUE!</v>
      </c>
      <c r="AG68" s="446" t="e">
        <f>IF(OR($B68="",MIN(AG$38,$D$19)&lt;MAX($P$34*($B68+IF($R$17="Distrato",$I$38-1,0)),IF(AND($L$37=0,$P$34=0),"",$L$37-1),IF($R$17="Distrato",$E68,0))),0,YEARFRAC(MAX($P$34*($B68+IF($R$17="Distrato",$I$38-1,0)),IF(AND($L$37=0,$P$34=0),"",$L$37-1),IF($R$17="Distrato",$E68,0)),MIN(AG$38,$D$19),$P$20))-SUM($P68:AF68)</f>
        <v>#VALUE!</v>
      </c>
      <c r="AH68" s="446" t="e">
        <f>IF(OR($B68="",MIN(AH$38,$D$19)&lt;MAX($P$34*($B68+IF($R$17="Distrato",$I$38-1,0)),IF(AND($L$37=0,$P$34=0),"",$L$37-1),IF($R$17="Distrato",$E68,0))),0,YEARFRAC(MAX($P$34*($B68+IF($R$17="Distrato",$I$38-1,0)),IF(AND($L$37=0,$P$34=0),"",$L$37-1),IF($R$17="Distrato",$E68,0)),MIN(AH$38,$D$19),$P$20))-SUM($P68:AG68)</f>
        <v>#VALUE!</v>
      </c>
      <c r="AI68" s="446" t="e">
        <f>IF(OR($B68="",MIN(AI$38,$D$19)&lt;MAX($P$34*($B68+IF($R$17="Distrato",$I$38-1,0)),IF(AND($L$37=0,$P$34=0),"",$L$37-1),IF($R$17="Distrato",$E68,0))),0,YEARFRAC(MAX($P$34*($B68+IF($R$17="Distrato",$I$38-1,0)),IF(AND($L$37=0,$P$34=0),"",$L$37-1),IF($R$17="Distrato",$E68,0)),MIN(AI$38,$D$19),$P$20))-SUM($P68:AH68)</f>
        <v>#VALUE!</v>
      </c>
      <c r="AJ68" s="446" t="e">
        <f>IF(OR($B68="",MIN(AJ$38,$D$19)&lt;MAX($P$34*($B68+IF($R$17="Distrato",$I$38-1,0)),IF(AND($L$37=0,$P$34=0),"",$L$37-1),IF($R$17="Distrato",$E68,0))),0,YEARFRAC(MAX($P$34*($B68+IF($R$17="Distrato",$I$38-1,0)),IF(AND($L$37=0,$P$34=0),"",$L$37-1),IF($R$17="Distrato",$E68,0)),MIN(AJ$38,$D$19),$P$20))-SUM($P68:AI68)</f>
        <v>#VALUE!</v>
      </c>
      <c r="AK68" s="446" t="e">
        <f>IF(OR($B68="",MIN(AK$38,$D$19)&lt;MAX($P$34*($B68+IF($R$17="Distrato",$I$38-1,0)),IF(AND($L$37=0,$P$34=0),"",$L$37-1),IF($R$17="Distrato",$E68,0))),0,YEARFRAC(MAX($P$34*($B68+IF($R$17="Distrato",$I$38-1,0)),IF(AND($L$37=0,$P$34=0),"",$L$37-1),IF($R$17="Distrato",$E68,0)),MIN(AK$38,$D$19),$P$20))-SUM($P68:AJ68)</f>
        <v>#VALUE!</v>
      </c>
      <c r="AL68" s="446" t="e">
        <f>IF(OR($B68="",MIN(AL$38,$D$19)&lt;MAX($P$34*($B68+IF($R$17="Distrato",$I$38-1,0)),IF(AND($L$37=0,$P$34=0),"",$L$37-1),IF($R$17="Distrato",$E68,0))),0,YEARFRAC(MAX($P$34*($B68+IF($R$17="Distrato",$I$38-1,0)),IF(AND($L$37=0,$P$34=0),"",$L$37-1),IF($R$17="Distrato",$E68,0)),MIN(AL$38,$D$19),$P$20))-SUM($P68:AK68)</f>
        <v>#VALUE!</v>
      </c>
      <c r="AM68" s="446" t="e">
        <f>IF(OR($B68="",MIN(AM$38,$D$19)&lt;MAX($P$34*($B68+IF($R$17="Distrato",$I$38-1,0)),IF(AND($L$37=0,$P$34=0),"",$L$37-1),IF($R$17="Distrato",$E68,0))),0,YEARFRAC(MAX($P$34*($B68+IF($R$17="Distrato",$I$38-1,0)),IF(AND($L$37=0,$P$34=0),"",$L$37-1),IF($R$17="Distrato",$E68,0)),MIN(AM$38,$D$19),$P$20))-SUM($P68:AL68)</f>
        <v>#VALUE!</v>
      </c>
      <c r="AN68" s="446" t="e">
        <f>IF(OR($B68="",MIN(AN$38,$D$19)&lt;MAX($P$34*($B68+IF($R$17="Distrato",$I$38-1,0)),IF(AND($L$37=0,$P$34=0),"",$L$37-1),IF($R$17="Distrato",$E68,0))),0,YEARFRAC(MAX($P$34*($B68+IF($R$17="Distrato",$I$38-1,0)),IF(AND($L$37=0,$P$34=0),"",$L$37-1),IF($R$17="Distrato",$E68,0)),MIN(AN$38,$D$19),$P$20))-SUM($P68:AM68)</f>
        <v>#VALUE!</v>
      </c>
      <c r="AO68" s="446" t="e">
        <f>IF(OR($B68="",MIN(AO$38,$D$19)&lt;MAX($P$34*($B68+IF($R$17="Distrato",$I$38-1,0)),IF(AND($L$37=0,$P$34=0),"",$L$37-1),IF($R$17="Distrato",$E68,0))),0,YEARFRAC(MAX($P$34*($B68+IF($R$17="Distrato",$I$38-1,0)),IF(AND($L$37=0,$P$34=0),"",$L$37-1),IF($R$17="Distrato",$E68,0)),MIN(AO$38,$D$19),$P$20))-SUM($P68:AN68)</f>
        <v>#VALUE!</v>
      </c>
      <c r="AP68" s="446" t="e">
        <f>IF(OR($B68="",MIN(AP$38,$D$19)&lt;MAX($P$34*($B68+IF($R$17="Distrato",$I$38-1,0)),IF(AND($L$37=0,$P$34=0),"",$L$37-1),IF($R$17="Distrato",$E68,0))),0,YEARFRAC(MAX($P$34*($B68+IF($R$17="Distrato",$I$38-1,0)),IF(AND($L$37=0,$P$34=0),"",$L$37-1),IF($R$17="Distrato",$E68,0)),MIN(AP$38,$D$19),$P$20))-SUM($P68:AO68)</f>
        <v>#VALUE!</v>
      </c>
      <c r="AQ68" s="446" t="e">
        <f>IF(OR($B68="",MIN(AQ$38,$D$19)&lt;MAX($P$34*($B68+IF($R$17="Distrato",$I$38-1,0)),IF(AND($L$37=0,$P$34=0),"",$L$37-1),IF($R$17="Distrato",$E68,0))),0,YEARFRAC(MAX($P$34*($B68+IF($R$17="Distrato",$I$38-1,0)),IF(AND($L$37=0,$P$34=0),"",$L$37-1),IF($R$17="Distrato",$E68,0)),MIN(AQ$38,$D$19),$P$20))-SUM($P68:AP68)</f>
        <v>#VALUE!</v>
      </c>
      <c r="AR68" s="446" t="e">
        <f>IF(OR($B68="",MIN(AR$38,$D$19)&lt;MAX($P$34*($B68+IF($R$17="Distrato",$I$38-1,0)),IF(AND($L$37=0,$P$34=0),"",$L$37-1),IF($R$17="Distrato",$E68,0))),0,YEARFRAC(MAX($P$34*($B68+IF($R$17="Distrato",$I$38-1,0)),IF(AND($L$37=0,$P$34=0),"",$L$37-1),IF($R$17="Distrato",$E68,0)),MIN(AR$38,$D$19),$P$20))-SUM($P68:AQ68)</f>
        <v>#VALUE!</v>
      </c>
      <c r="AS68" s="446" t="e">
        <f>IF(OR($B68="",MIN(AS$38,$D$19)&lt;MAX($P$34*($B68+IF($R$17="Distrato",$I$38-1,0)),IF(AND($L$37=0,$P$34=0),"",$L$37-1),IF($R$17="Distrato",$E68,0))),0,YEARFRAC(MAX($P$34*($B68+IF($R$17="Distrato",$I$38-1,0)),IF(AND($L$37=0,$P$34=0),"",$L$37-1),IF($R$17="Distrato",$E68,0)),MIN(AS$38,$D$19),$P$20))-SUM($P68:AR68)</f>
        <v>#VALUE!</v>
      </c>
      <c r="AT68" s="446" t="e">
        <f>IF(OR($B68="",MIN(AT$38,$D$19)&lt;MAX($P$34*($B68+IF($R$17="Distrato",$I$38-1,0)),IF(AND($L$37=0,$P$34=0),"",$L$37-1),IF($R$17="Distrato",$E68,0))),0,YEARFRAC(MAX($P$34*($B68+IF($R$17="Distrato",$I$38-1,0)),IF(AND($L$37=0,$P$34=0),"",$L$37-1),IF($R$17="Distrato",$E68,0)),MIN(AT$38,$D$19),$P$20))-SUM($P68:AS68)</f>
        <v>#VALUE!</v>
      </c>
      <c r="AU68" s="446" t="e">
        <f>IF(OR($B68="",MIN(AU$38,$D$19)&lt;MAX($P$34*($B68+IF($R$17="Distrato",$I$38-1,0)),IF(AND($L$37=0,$P$34=0),"",$L$37-1),IF($R$17="Distrato",$E68,0))),0,YEARFRAC(MAX($P$34*($B68+IF($R$17="Distrato",$I$38-1,0)),IF(AND($L$37=0,$P$34=0),"",$L$37-1),IF($R$17="Distrato",$E68,0)),MIN(AU$38,$D$19),$P$20))-SUM($P68:AT68)</f>
        <v>#VALUE!</v>
      </c>
      <c r="AV68" s="446" t="e">
        <f>IF(OR($B68="",MIN(AV$38,$D$19)&lt;MAX($P$34*($B68+IF($R$17="Distrato",$I$38-1,0)),IF(AND($L$37=0,$P$34=0),"",$L$37-1),IF($R$17="Distrato",$E68,0))),0,YEARFRAC(MAX($P$34*($B68+IF($R$17="Distrato",$I$38-1,0)),IF(AND($L$37=0,$P$34=0),"",$L$37-1),IF($R$17="Distrato",$E68,0)),MIN(AV$38,$D$19),$P$20))-SUM($P68:AU68)</f>
        <v>#VALUE!</v>
      </c>
      <c r="AW68" s="446" t="e">
        <f>IF(OR($B68="",MIN(AW$38,$D$19)&lt;MAX($P$34*($B68+IF($R$17="Distrato",$I$38-1,0)),IF(AND($L$37=0,$P$34=0),"",$L$37-1),IF($R$17="Distrato",$E68,0))),0,YEARFRAC(MAX($P$34*($B68+IF($R$17="Distrato",$I$38-1,0)),IF(AND($L$37=0,$P$34=0),"",$L$37-1),IF($R$17="Distrato",$E68,0)),MIN(AW$38,$D$19),$P$20))-SUM($P68:AV68)</f>
        <v>#VALUE!</v>
      </c>
      <c r="AX68" s="446" t="e">
        <f>IF(OR($B68="",MIN(AX$38,$D$19)&lt;MAX($P$34*($B68+IF($R$17="Distrato",$I$38-1,0)),IF(AND($L$37=0,$P$34=0),"",$L$37-1),IF($R$17="Distrato",$E68,0))),0,YEARFRAC(MAX($P$34*($B68+IF($R$17="Distrato",$I$38-1,0)),IF(AND($L$37=0,$P$34=0),"",$L$37-1),IF($R$17="Distrato",$E68,0)),MIN(AX$38,$D$19),$P$20))-SUM($P68:AW68)</f>
        <v>#VALUE!</v>
      </c>
      <c r="AY68" s="446" t="e">
        <f>IF(OR($B68="",MIN(AY$38,$D$19)&lt;MAX($P$34*($B68+IF($R$17="Distrato",$I$38-1,0)),IF(AND($L$37=0,$P$34=0),"",$L$37-1),IF($R$17="Distrato",$E68,0))),0,YEARFRAC(MAX($P$34*($B68+IF($R$17="Distrato",$I$38-1,0)),IF(AND($L$37=0,$P$34=0),"",$L$37-1),IF($R$17="Distrato",$E68,0)),MIN(AY$38,$D$19),$P$20))-SUM($P68:AX68)</f>
        <v>#VALUE!</v>
      </c>
      <c r="AZ68" s="446" t="e">
        <f>IF(OR($B68="",MIN(AZ$38,$D$19)&lt;MAX($P$34*($B68+IF($R$17="Distrato",$I$38-1,0)),IF(AND($L$37=0,$P$34=0),"",$L$37-1),IF($R$17="Distrato",$E68,0))),0,YEARFRAC(MAX($P$34*($B68+IF($R$17="Distrato",$I$38-1,0)),IF(AND($L$37=0,$P$34=0),"",$L$37-1),IF($R$17="Distrato",$E68,0)),MIN(AZ$38,$D$19),$P$20))-SUM($P68:AY68)</f>
        <v>#VALUE!</v>
      </c>
      <c r="BA68" s="446" t="e">
        <f>IF(OR($B68="",MIN(BA$38,$D$19)&lt;MAX($P$34*($B68+IF($R$17="Distrato",$I$38-1,0)),IF(AND($L$37=0,$P$34=0),"",$L$37-1),IF($R$17="Distrato",$E68,0))),0,YEARFRAC(MAX($P$34*($B68+IF($R$17="Distrato",$I$38-1,0)),IF(AND($L$37=0,$P$34=0),"",$L$37-1),IF($R$17="Distrato",$E68,0)),MIN(BA$38,$D$19),$P$20))-SUM($P68:AZ68)</f>
        <v>#VALUE!</v>
      </c>
      <c r="BB68" s="447"/>
      <c r="BF68" s="446">
        <f t="shared" si="10"/>
        <v>0</v>
      </c>
      <c r="BG68" s="446">
        <f>IF($E68=0,0,IF(MIN(BG$38,$E68)&lt;MAX($P$34*($B68+$I$38-1),IF(AND($L$37=0,$P$34=0),"",$L$37-1)),0,YEARFRAC(MAX($P$34*($B68+$I$38-1),IF(AND($L$37=0,$P$34=0),"",$L$37-1)),MIN(BG$38,$E68),$P$20))-SUM($BF68:BF68))</f>
        <v>0</v>
      </c>
      <c r="BH68" s="446">
        <f>IF($E68=0,0,IF(MIN(BH$38,$E68)&lt;MAX($P$34*($B68+$I$38-1),IF(AND($L$37=0,$P$34=0),"",$L$37-1)),0,YEARFRAC(MAX($P$34*($B68+$I$38-1),IF(AND($L$37=0,$P$34=0),"",$L$37-1)),MIN(BH$38,$E68),$P$20))-SUM($BF68:BG68))</f>
        <v>0</v>
      </c>
      <c r="BI68" s="446">
        <f>IF($E68=0,0,IF(MIN(BI$38,$E68)&lt;MAX($P$34*($B68+$I$38-1),IF(AND($L$37=0,$P$34=0),"",$L$37-1)),0,YEARFRAC(MAX($P$34*($B68+$I$38-1),IF(AND($L$37=0,$P$34=0),"",$L$37-1)),MIN(BI$38,$E68),$P$20))-SUM($BF68:BH68))</f>
        <v>0</v>
      </c>
      <c r="BJ68" s="446">
        <f>IF($E68=0,0,IF(MIN(BJ$38,$E68)&lt;MAX($P$34*($B68+$I$38-1),IF(AND($L$37=0,$P$34=0),"",$L$37-1)),0,YEARFRAC(MAX($P$34*($B68+$I$38-1),IF(AND($L$37=0,$P$34=0),"",$L$37-1)),MIN(BJ$38,$E68),$P$20))-SUM($BF68:BI68))</f>
        <v>0</v>
      </c>
      <c r="BK68" s="446">
        <f>IF($E68=0,0,IF(MIN(BK$38,$E68)&lt;MAX($P$34*($B68+$I$38-1),IF(AND($L$37=0,$P$34=0),"",$L$37-1)),0,YEARFRAC(MAX($P$34*($B68+$I$38-1),IF(AND($L$37=0,$P$34=0),"",$L$37-1)),MIN(BK$38,$E68),$P$20))-SUM($BF68:BJ68))</f>
        <v>0</v>
      </c>
      <c r="BL68" s="446">
        <f>IF($E68=0,0,IF(MIN(BL$38,$E68)&lt;MAX($P$34*($B68+$I$38-1),IF(AND($L$37=0,$P$34=0),"",$L$37-1)),0,YEARFRAC(MAX($P$34*($B68+$I$38-1),IF(AND($L$37=0,$P$34=0),"",$L$37-1)),MIN(BL$38,$E68),$P$20))-SUM($BF68:BK68))</f>
        <v>0</v>
      </c>
      <c r="BM68" s="446">
        <f>IF($E68=0,0,IF(MIN(BM$38,$E68)&lt;MAX($P$34*($B68+$I$38-1),IF(AND($L$37=0,$P$34=0),"",$L$37-1)),0,YEARFRAC(MAX($P$34*($B68+$I$38-1),IF(AND($L$37=0,$P$34=0),"",$L$37-1)),MIN(BM$38,$E68),$P$20))-SUM($BF68:BL68))</f>
        <v>0</v>
      </c>
      <c r="BN68" s="446">
        <f>IF($E68=0,0,IF(MIN(BN$38,$E68)&lt;MAX($P$34*($B68+$I$38-1),IF(AND($L$37=0,$P$34=0),"",$L$37-1)),0,YEARFRAC(MAX($P$34*($B68+$I$38-1),IF(AND($L$37=0,$P$34=0),"",$L$37-1)),MIN(BN$38,$E68),$P$20))-SUM($BF68:BM68))</f>
        <v>0</v>
      </c>
      <c r="BO68" s="446">
        <f>IF($E68=0,0,IF(MIN(BO$38,$E68)&lt;MAX($P$34*($B68+$I$38-1),IF(AND($L$37=0,$P$34=0),"",$L$37-1)),0,YEARFRAC(MAX($P$34*($B68+$I$38-1),IF(AND($L$37=0,$P$34=0),"",$L$37-1)),MIN(BO$38,$E68),$P$20))-SUM($BF68:BN68))</f>
        <v>0</v>
      </c>
      <c r="BP68" s="446">
        <f>IF($E68=0,0,IF(MIN(BP$38,$E68)&lt;MAX($P$34*($B68+$I$38-1),IF(AND($L$37=0,$P$34=0),"",$L$37-1)),0,YEARFRAC(MAX($P$34*($B68+$I$38-1),IF(AND($L$37=0,$P$34=0),"",$L$37-1)),MIN(BP$38,$E68),$P$20))-SUM($BF68:BO68))</f>
        <v>0</v>
      </c>
      <c r="BQ68" s="446">
        <f>IF($E68=0,0,IF(MIN(BQ$38,$E68)&lt;MAX($P$34*($B68+$I$38-1),IF(AND($L$37=0,$P$34=0),"",$L$37-1)),0,YEARFRAC(MAX($P$34*($B68+$I$38-1),IF(AND($L$37=0,$P$34=0),"",$L$37-1)),MIN(BQ$38,$E68),$P$20))-SUM($BF68:BP68))</f>
        <v>0</v>
      </c>
      <c r="BR68" s="446">
        <f>IF($E68=0,0,IF(MIN(BR$38,$E68)&lt;MAX($P$34*($B68+$I$38-1),IF(AND($L$37=0,$P$34=0),"",$L$37-1)),0,YEARFRAC(MAX($P$34*($B68+$I$38-1),IF(AND($L$37=0,$P$34=0),"",$L$37-1)),MIN(BR$38,$E68),$P$20))-SUM($BF68:BQ68))</f>
        <v>0</v>
      </c>
      <c r="BS68" s="446">
        <f>IF($E68=0,0,IF(MIN(BS$38,$E68)&lt;MAX($P$34*($B68+$I$38-1),IF(AND($L$37=0,$P$34=0),"",$L$37-1)),0,YEARFRAC(MAX($P$34*($B68+$I$38-1),IF(AND($L$37=0,$P$34=0),"",$L$37-1)),MIN(BS$38,$E68),$P$20))-SUM($BF68:BR68))</f>
        <v>0</v>
      </c>
      <c r="BT68" s="446">
        <f>IF($E68=0,0,IF(MIN(BT$38,$E68)&lt;MAX($P$34*($B68+$I$38-1),IF(AND($L$37=0,$P$34=0),"",$L$37-1)),0,YEARFRAC(MAX($P$34*($B68+$I$38-1),IF(AND($L$37=0,$P$34=0),"",$L$37-1)),MIN(BT$38,$E68),$P$20))-SUM($BF68:BS68))</f>
        <v>0</v>
      </c>
      <c r="BU68" s="446">
        <f>IF($E68=0,0,IF(MIN(BU$38,$E68)&lt;MAX($P$34*($B68+$I$38-1),IF(AND($L$37=0,$P$34=0),"",$L$37-1)),0,YEARFRAC(MAX($P$34*($B68+$I$38-1),IF(AND($L$37=0,$P$34=0),"",$L$37-1)),MIN(BU$38,$E68),$P$20))-SUM($BF68:BT68))</f>
        <v>0</v>
      </c>
      <c r="BV68" s="446">
        <f>IF($E68=0,0,IF(MIN(BV$38,$E68)&lt;MAX($P$34*($B68+$I$38-1),IF(AND($L$37=0,$P$34=0),"",$L$37-1)),0,YEARFRAC(MAX($P$34*($B68+$I$38-1),IF(AND($L$37=0,$P$34=0),"",$L$37-1)),MIN(BV$38,$E68),$P$20))-SUM($BF68:BU68))</f>
        <v>0</v>
      </c>
      <c r="BW68" s="446">
        <f>IF($E68=0,0,IF(MIN(BW$38,$E68)&lt;MAX($P$34*($B68+$I$38-1),IF(AND($L$37=0,$P$34=0),"",$L$37-1)),0,YEARFRAC(MAX($P$34*($B68+$I$38-1),IF(AND($L$37=0,$P$34=0),"",$L$37-1)),MIN(BW$38,$E68),$P$20))-SUM($BF68:BV68))</f>
        <v>0</v>
      </c>
      <c r="BX68" s="446">
        <f>IF($E68=0,0,IF(MIN(BX$38,$E68)&lt;MAX($P$34*($B68+$I$38-1),IF(AND($L$37=0,$P$34=0),"",$L$37-1)),0,YEARFRAC(MAX($P$34*($B68+$I$38-1),IF(AND($L$37=0,$P$34=0),"",$L$37-1)),MIN(BX$38,$E68),$P$20))-SUM($BF68:BW68))</f>
        <v>0</v>
      </c>
      <c r="BY68" s="446">
        <f>IF($E68=0,0,IF(MIN(BY$38,$E68)&lt;MAX($P$34*($B68+$I$38-1),IF(AND($L$37=0,$P$34=0),"",$L$37-1)),0,YEARFRAC(MAX($P$34*($B68+$I$38-1),IF(AND($L$37=0,$P$34=0),"",$L$37-1)),MIN(BY$38,$E68),$P$20))-SUM($BF68:BX68))</f>
        <v>0</v>
      </c>
      <c r="BZ68" s="446">
        <f>IF($E68=0,0,IF(MIN(BZ$38,$E68)&lt;MAX($P$34*($B68+$I$38-1),IF(AND($L$37=0,$P$34=0),"",$L$37-1)),0,YEARFRAC(MAX($P$34*($B68+$I$38-1),IF(AND($L$37=0,$P$34=0),"",$L$37-1)),MIN(BZ$38,$E68),$P$20))-SUM($BF68:BY68))</f>
        <v>0</v>
      </c>
      <c r="CA68" s="446">
        <f>IF($E68=0,0,IF(MIN(CA$38,$E68)&lt;MAX($P$34*($B68+$I$38-1),IF(AND($L$37=0,$P$34=0),"",$L$37-1)),0,YEARFRAC(MAX($P$34*($B68+$I$38-1),IF(AND($L$37=0,$P$34=0),"",$L$37-1)),MIN(CA$38,$E68),$P$20))-SUM($BF68:BZ68))</f>
        <v>0</v>
      </c>
      <c r="CB68" s="446">
        <f>IF($E68=0,0,IF(MIN(CB$38,$E68)&lt;MAX($P$34*($B68+$I$38-1),IF(AND($L$37=0,$P$34=0),"",$L$37-1)),0,YEARFRAC(MAX($P$34*($B68+$I$38-1),IF(AND($L$37=0,$P$34=0),"",$L$37-1)),MIN(CB$38,$E68),$P$20))-SUM($BF68:CA68))</f>
        <v>0</v>
      </c>
      <c r="CC68" s="446">
        <f>IF($E68=0,0,IF(MIN(CC$38,$E68)&lt;MAX($P$34*($B68+$I$38-1),IF(AND($L$37=0,$P$34=0),"",$L$37-1)),0,YEARFRAC(MAX($P$34*($B68+$I$38-1),IF(AND($L$37=0,$P$34=0),"",$L$37-1)),MIN(CC$38,$E68),$P$20))-SUM($BF68:CB68))</f>
        <v>0</v>
      </c>
      <c r="CD68" s="446">
        <f>IF($E68=0,0,IF(MIN(CD$38,$E68)&lt;MAX($P$34*($B68+$I$38-1),IF(AND($L$37=0,$P$34=0),"",$L$37-1)),0,YEARFRAC(MAX($P$34*($B68+$I$38-1),IF(AND($L$37=0,$P$34=0),"",$L$37-1)),MIN(CD$38,$E68),$P$20))-SUM($BF68:CC68))</f>
        <v>0</v>
      </c>
      <c r="CE68" s="446">
        <f>IF($E68=0,0,IF(MIN(CE$38,$E68)&lt;MAX($P$34*($B68+$I$38-1),IF(AND($L$37=0,$P$34=0),"",$L$37-1)),0,YEARFRAC(MAX($P$34*($B68+$I$38-1),IF(AND($L$37=0,$P$34=0),"",$L$37-1)),MIN(CE$38,$E68),$P$20))-SUM($BF68:CD68))</f>
        <v>0</v>
      </c>
      <c r="CF68" s="446">
        <f>IF($E68=0,0,IF(MIN(CF$38,$E68)&lt;MAX($P$34*($B68+$I$38-1),IF(AND($L$37=0,$P$34=0),"",$L$37-1)),0,YEARFRAC(MAX($P$34*($B68+$I$38-1),IF(AND($L$37=0,$P$34=0),"",$L$37-1)),MIN(CF$38,$E68),$P$20))-SUM($BF68:CE68))</f>
        <v>0</v>
      </c>
      <c r="CG68" s="446">
        <f>IF($E68=0,0,IF(MIN(CG$38,$E68)&lt;MAX($P$34*($B68+$I$38-1),IF(AND($L$37=0,$P$34=0),"",$L$37-1)),0,YEARFRAC(MAX($P$34*($B68+$I$38-1),IF(AND($L$37=0,$P$34=0),"",$L$37-1)),MIN(CG$38,$E68),$P$20))-SUM($BF68:CF68))</f>
        <v>0</v>
      </c>
      <c r="CH68" s="446">
        <f>IF($E68=0,0,IF(MIN(CH$38,$E68)&lt;MAX($P$34*($B68+$I$38-1),IF(AND($L$37=0,$P$34=0),"",$L$37-1)),0,YEARFRAC(MAX($P$34*($B68+$I$38-1),IF(AND($L$37=0,$P$34=0),"",$L$37-1)),MIN(CH$38,$E68),$P$20))-SUM($BF68:CG68))</f>
        <v>0</v>
      </c>
      <c r="CI68" s="446">
        <f>IF($E68=0,0,IF(MIN(CI$38,$E68)&lt;MAX($P$34*($B68+$I$38-1),IF(AND($L$37=0,$P$34=0),"",$L$37-1)),0,YEARFRAC(MAX($P$34*($B68+$I$38-1),IF(AND($L$37=0,$P$34=0),"",$L$37-1)),MIN(CI$38,$E68),$P$20))-SUM($BF68:CH68))</f>
        <v>0</v>
      </c>
      <c r="CJ68" s="446">
        <f>IF($E68=0,0,IF(MIN(CJ$38,$E68)&lt;MAX($P$34*($B68+$I$38-1),IF(AND($L$37=0,$P$34=0),"",$L$37-1)),0,YEARFRAC(MAX($P$34*($B68+$I$38-1),IF(AND($L$37=0,$P$34=0),"",$L$37-1)),MIN(CJ$38,$E68),$P$20))-SUM($BF68:CI68))</f>
        <v>0</v>
      </c>
      <c r="CK68" s="446">
        <f>IF($E68=0,0,IF(MIN(CK$38,$E68)&lt;MAX($P$34*($B68+$I$38-1),IF(AND($L$37=0,$P$34=0),"",$L$37-1)),0,YEARFRAC(MAX($P$34*($B68+$I$38-1),IF(AND($L$37=0,$P$34=0),"",$L$37-1)),MIN(CK$38,$E68),$P$20))-SUM($BF68:CJ68))</f>
        <v>0</v>
      </c>
      <c r="CL68" s="446">
        <f>IF($E68=0,0,IF(MIN(CL$38,$E68)&lt;MAX($P$34*($B68+$I$38-1),IF(AND($L$37=0,$P$34=0),"",$L$37-1)),0,YEARFRAC(MAX($P$34*($B68+$I$38-1),IF(AND($L$37=0,$P$34=0),"",$L$37-1)),MIN(CL$38,$E68),$P$20))-SUM($BF68:CK68))</f>
        <v>0</v>
      </c>
      <c r="CM68" s="446">
        <f>IF($E68=0,0,IF(MIN(CM$38,$E68)&lt;MAX($P$34*($B68+$I$38-1),IF(AND($L$37=0,$P$34=0),"",$L$37-1)),0,YEARFRAC(MAX($P$34*($B68+$I$38-1),IF(AND($L$37=0,$P$34=0),"",$L$37-1)),MIN(CM$38,$E68),$P$20))-SUM($BF68:CL68))</f>
        <v>0</v>
      </c>
      <c r="CN68" s="446">
        <f>IF($E68=0,0,IF(MIN(CN$38,$E68)&lt;MAX($P$34*($B68+$I$38-1),IF(AND($L$37=0,$P$34=0),"",$L$37-1)),0,YEARFRAC(MAX($P$34*($B68+$I$38-1),IF(AND($L$37=0,$P$34=0),"",$L$37-1)),MIN(CN$38,$E68),$P$20))-SUM($BF68:CM68))</f>
        <v>0</v>
      </c>
      <c r="CO68" s="446">
        <f>IF($E68=0,0,IF(MIN(CO$38,$E68)&lt;MAX($P$34*($B68+$I$38-1),IF(AND($L$37=0,$P$34=0),"",$L$37-1)),0,YEARFRAC(MAX($P$34*($B68+$I$38-1),IF(AND($L$37=0,$P$34=0),"",$L$37-1)),MIN(CO$38,$E68),$P$20))-SUM($BF68:CN68))</f>
        <v>0</v>
      </c>
      <c r="CP68" s="446">
        <f>IF($E68=0,0,IF(MIN(CP$38,$E68)&lt;MAX($P$34*($B68+$I$38-1),IF(AND($L$37=0,$P$34=0),"",$L$37-1)),0,YEARFRAC(MAX($P$34*($B68+$I$38-1),IF(AND($L$37=0,$P$34=0),"",$L$37-1)),MIN(CP$38,$E68),$P$20))-SUM($BF68:CO68))</f>
        <v>0</v>
      </c>
      <c r="CQ68" s="446">
        <f>IF($E68=0,0,IF(MIN(CQ$38,$E68)&lt;MAX($P$34*($B68+$I$38-1),IF(AND($L$37=0,$P$34=0),"",$L$37-1)),0,YEARFRAC(MAX($P$34*($B68+$I$38-1),IF(AND($L$37=0,$P$34=0),"",$L$37-1)),MIN(CQ$38,$E68),$P$20))-SUM($BF68:CP68))</f>
        <v>0</v>
      </c>
    </row>
    <row r="69" spans="1:95" s="446" customFormat="1" ht="11.25" hidden="1" customHeight="1" x14ac:dyDescent="0.2">
      <c r="A69" s="152"/>
      <c r="B69" s="153" t="str">
        <f t="shared" si="15"/>
        <v/>
      </c>
      <c r="C69" s="29" t="str">
        <f>IF(B69="","",IF($L$35="SELIC - TRIBUTOS",VLOOKUP(DATE(YEAR($D$19),MONTH($D$19)-1,1),ÍNDICES!$A:$DE,HLOOKUP($BL$25,ÍNDICES!$B$3:$T$4,2)+11)-VLOOKUP(B69,ÍNDICES!$A:$DE,HLOOKUP($BL$25,ÍNDICES!$B$3:$T$4,2)+11)+1%,IF(C$38=$W$26,$J$35,IF(ISERROR(IF(B69&gt;$D$19,1,VLOOKUP(DATE(YEAR(B69),MONTH(B69)+IF($C$35=$S$23,1,0),1),ÍNDICES!$A:$DE,$Z$35+1))),"",IF(B69&gt;$D$19,1,VLOOKUP(DATE(YEAR(B69),MONTH(B69)+IF($C$35=$S$23,1,0),1),ÍNDICES!$A:$DE,$Z$35+1))))))</f>
        <v/>
      </c>
      <c r="D69" s="154" t="str">
        <f>IF(ISERROR(IF(OR($D$38=$Y$27,$B69=""),"",VLOOKUP(B69,ÍNDICES!A:DE,AF$35+1))),"",IF(OR($D$38=$Y$27,$B69=""),"",VLOOKUP(B69,ÍNDICES!A:DE,AF$35+1)))</f>
        <v/>
      </c>
      <c r="E69" s="153"/>
      <c r="F69" s="29" t="str">
        <f>IF(E69="","",IF($L$35="SELIC - TRIBUTOS",VLOOKUP(DATE(YEAR($D$19),MONTH($D$19)-1,1),ÍNDICES!$A:$DE,HLOOKUP($BL$25,ÍNDICES!$B$3:$T$4,2)+11)-VLOOKUP(E69,ÍNDICES!$A:$DE,HLOOKUP($BL$25,ÍNDICES!$B$3:$T$4,2)+11)+1%,IF(F$38=$W$26,$J$35,IF(ISERROR(IF(E69&gt;$D$19,1,VLOOKUP(DATE(YEAR(E69),MONTH(E69)+IF($C$35=$S$23,1,0),1),ÍNDICES!$A:$DE,$Z$35+1))),"",IF(E69&gt;$D$19,1,VLOOKUP(DATE(YEAR(E69),MONTH(E69)+IF($C$35=$S$23,1,0),1),ÍNDICES!$A:$DE,$Z$35+1))))))</f>
        <v/>
      </c>
      <c r="G69" s="155"/>
      <c r="H69" s="156" t="str">
        <f t="shared" si="11"/>
        <v/>
      </c>
      <c r="I69" s="29" t="str">
        <f t="shared" si="5"/>
        <v/>
      </c>
      <c r="J69" s="5">
        <f t="shared" si="6"/>
        <v>0</v>
      </c>
      <c r="K69" s="20">
        <f t="shared" ca="1" si="7"/>
        <v>0</v>
      </c>
      <c r="L69" s="5">
        <f t="shared" ca="1" si="8"/>
        <v>0</v>
      </c>
      <c r="M69" s="64">
        <f t="shared" si="12"/>
        <v>0</v>
      </c>
      <c r="N69" s="61">
        <f t="shared" ca="1" si="13"/>
        <v>0</v>
      </c>
      <c r="O69" s="5">
        <f t="shared" ca="1" si="14"/>
        <v>0</v>
      </c>
      <c r="P69" s="446" t="e">
        <f t="shared" si="9"/>
        <v>#VALUE!</v>
      </c>
      <c r="Q69" s="446" t="e">
        <f>IF(OR($B69="",MIN(Q$38,$D$19)&lt;MAX($P$34*($B69+IF($R$17="Distrato",$I$38-1,0)),IF(AND($L$37=0,$P$34=0),"",$L$37-1),IF($R$17="Distrato",$E69,0))),0,YEARFRAC(MAX($P$34*($B69+IF($R$17="Distrato",$I$38-1,0)),IF(AND($L$37=0,$P$34=0),"",$L$37-1),IF($R$17="Distrato",$E69,0)),MIN(Q$38,$D$19),$P$20))-SUM($P69:P69)</f>
        <v>#VALUE!</v>
      </c>
      <c r="R69" s="446" t="e">
        <f>IF(OR($B69="",MIN(R$38,$D$19)&lt;MAX($P$34*($B69+IF($R$17="Distrato",$I$38-1,0)),IF(AND($L$37=0,$P$34=0),"",$L$37-1),IF($R$17="Distrato",$E69,0))),0,YEARFRAC(MAX($P$34*($B69+IF($R$17="Distrato",$I$38-1,0)),IF(AND($L$37=0,$P$34=0),"",$L$37-1),IF($R$17="Distrato",$E69,0)),MIN(R$38,$D$19),$P$20))-SUM($P69:Q69)</f>
        <v>#VALUE!</v>
      </c>
      <c r="S69" s="446" t="e">
        <f>IF(OR($B69="",MIN(S$38,$D$19)&lt;MAX($P$34*($B69+IF($R$17="Distrato",$I$38-1,0)),IF(AND($L$37=0,$P$34=0),"",$L$37-1),IF($R$17="Distrato",$E69,0))),0,YEARFRAC(MAX($P$34*($B69+IF($R$17="Distrato",$I$38-1,0)),IF(AND($L$37=0,$P$34=0),"",$L$37-1),IF($R$17="Distrato",$E69,0)),MIN(S$38,$D$19),$P$20))-SUM($P69:R69)</f>
        <v>#VALUE!</v>
      </c>
      <c r="T69" s="446" t="e">
        <f>IF(OR($B69="",MIN(T$38,$D$19)&lt;MAX($P$34*($B69+IF($R$17="Distrato",$I$38-1,0)),IF(AND($L$37=0,$P$34=0),"",$L$37-1),IF($R$17="Distrato",$E69,0))),0,YEARFRAC(MAX($P$34*($B69+IF($R$17="Distrato",$I$38-1,0)),IF(AND($L$37=0,$P$34=0),"",$L$37-1),IF($R$17="Distrato",$E69,0)),MIN(T$38,$D$19),$P$20))-SUM($P69:S69)</f>
        <v>#VALUE!</v>
      </c>
      <c r="U69" s="446" t="e">
        <f>IF(OR($B69="",MIN(U$38,$D$19)&lt;MAX($P$34*($B69+IF($R$17="Distrato",$I$38-1,0)),IF(AND($L$37=0,$P$34=0),"",$L$37-1),IF($R$17="Distrato",$E69,0))),0,YEARFRAC(MAX($P$34*($B69+IF($R$17="Distrato",$I$38-1,0)),IF(AND($L$37=0,$P$34=0),"",$L$37-1),IF($R$17="Distrato",$E69,0)),MIN(U$38,$D$19),$P$20))-SUM($P69:T69)</f>
        <v>#VALUE!</v>
      </c>
      <c r="V69" s="446" t="e">
        <f>IF(OR($B69="",MIN(V$38,$D$19)&lt;MAX($P$34*($B69+IF($R$17="Distrato",$I$38-1,0)),IF(AND($L$37=0,$P$34=0),"",$L$37-1),IF($R$17="Distrato",$E69,0))),0,YEARFRAC(MAX($P$34*($B69+IF($R$17="Distrato",$I$38-1,0)),IF(AND($L$37=0,$P$34=0),"",$L$37-1),IF($R$17="Distrato",$E69,0)),MIN(V$38,$D$19),$P$20))-SUM($P69:U69)</f>
        <v>#VALUE!</v>
      </c>
      <c r="W69" s="446" t="e">
        <f>IF(OR($B69="",MIN(W$38,$D$19)&lt;MAX($P$34*($B69+IF($R$17="Distrato",$I$38-1,0)),IF(AND($L$37=0,$P$34=0),"",$L$37-1),IF($R$17="Distrato",$E69,0))),0,YEARFRAC(MAX($P$34*($B69+IF($R$17="Distrato",$I$38-1,0)),IF(AND($L$37=0,$P$34=0),"",$L$37-1),IF($R$17="Distrato",$E69,0)),MIN(W$38,$D$19),$P$20))-SUM($P69:V69)</f>
        <v>#VALUE!</v>
      </c>
      <c r="X69" s="446" t="e">
        <f>IF(OR($B69="",MIN(X$38,$D$19)&lt;MAX($P$34*($B69+IF($R$17="Distrato",$I$38-1,0)),IF(AND($L$37=0,$P$34=0),"",$L$37-1),IF($R$17="Distrato",$E69,0))),0,YEARFRAC(MAX($P$34*($B69+IF($R$17="Distrato",$I$38-1,0)),IF(AND($L$37=0,$P$34=0),"",$L$37-1),IF($R$17="Distrato",$E69,0)),MIN(X$38,$D$19),$P$20))-SUM($P69:W69)</f>
        <v>#VALUE!</v>
      </c>
      <c r="Y69" s="446" t="e">
        <f>IF(OR($B69="",MIN(Y$38,$D$19)&lt;MAX($P$34*($B69+IF($R$17="Distrato",$I$38-1,0)),IF(AND($L$37=0,$P$34=0),"",$L$37-1),IF($R$17="Distrato",$E69,0))),0,YEARFRAC(MAX($P$34*($B69+IF($R$17="Distrato",$I$38-1,0)),IF(AND($L$37=0,$P$34=0),"",$L$37-1),IF($R$17="Distrato",$E69,0)),MIN(Y$38,$D$19),$P$20))-SUM($P69:X69)</f>
        <v>#VALUE!</v>
      </c>
      <c r="Z69" s="446" t="e">
        <f>IF(OR($B69="",MIN(Z$38,$D$19)&lt;MAX($P$34*($B69+IF($R$17="Distrato",$I$38-1,0)),IF(AND($L$37=0,$P$34=0),"",$L$37-1),IF($R$17="Distrato",$E69,0))),0,YEARFRAC(MAX($P$34*($B69+IF($R$17="Distrato",$I$38-1,0)),IF(AND($L$37=0,$P$34=0),"",$L$37-1),IF($R$17="Distrato",$E69,0)),MIN(Z$38,$D$19),$P$20))-SUM($P69:Y69)</f>
        <v>#VALUE!</v>
      </c>
      <c r="AA69" s="446" t="e">
        <f>IF(OR($B69="",MIN(AA$38,$D$19)&lt;MAX($P$34*($B69+IF($R$17="Distrato",$I$38-1,0)),IF(AND($L$37=0,$P$34=0),"",$L$37-1),IF($R$17="Distrato",$E69,0))),0,YEARFRAC(MAX($P$34*($B69+IF($R$17="Distrato",$I$38-1,0)),IF(AND($L$37=0,$P$34=0),"",$L$37-1),IF($R$17="Distrato",$E69,0)),MIN(AA$38,$D$19),$P$20))-SUM($P69:Z69)</f>
        <v>#VALUE!</v>
      </c>
      <c r="AB69" s="446" t="e">
        <f>IF(OR($B69="",MIN(AB$38,$D$19)&lt;MAX($P$34*($B69+IF($R$17="Distrato",$I$38-1,0)),IF(AND($L$37=0,$P$34=0),"",$L$37-1),IF($R$17="Distrato",$E69,0))),0,YEARFRAC(MAX($P$34*($B69+IF($R$17="Distrato",$I$38-1,0)),IF(AND($L$37=0,$P$34=0),"",$L$37-1),IF($R$17="Distrato",$E69,0)),MIN(AB$38,$D$19),$P$20))-SUM($P69:AA69)</f>
        <v>#VALUE!</v>
      </c>
      <c r="AC69" s="446" t="e">
        <f>IF(OR($B69="",MIN(AC$38,$D$19)&lt;MAX($P$34*($B69+IF($R$17="Distrato",$I$38-1,0)),IF(AND($L$37=0,$P$34=0),"",$L$37-1),IF($R$17="Distrato",$E69,0))),0,YEARFRAC(MAX($P$34*($B69+IF($R$17="Distrato",$I$38-1,0)),IF(AND($L$37=0,$P$34=0),"",$L$37-1),IF($R$17="Distrato",$E69,0)),MIN(AC$38,$D$19),$P$20))-SUM($P69:AB69)</f>
        <v>#VALUE!</v>
      </c>
      <c r="AD69" s="446" t="e">
        <f>IF(OR($B69="",MIN(AD$38,$D$19)&lt;MAX($P$34*($B69+IF($R$17="Distrato",$I$38-1,0)),IF(AND($L$37=0,$P$34=0),"",$L$37-1),IF($R$17="Distrato",$E69,0))),0,YEARFRAC(MAX($P$34*($B69+IF($R$17="Distrato",$I$38-1,0)),IF(AND($L$37=0,$P$34=0),"",$L$37-1),IF($R$17="Distrato",$E69,0)),MIN(AD$38,$D$19),$P$20))-SUM($P69:AC69)</f>
        <v>#VALUE!</v>
      </c>
      <c r="AE69" s="446" t="e">
        <f>IF(OR($B69="",MIN(AE$38,$D$19)&lt;MAX($P$34*($B69+IF($R$17="Distrato",$I$38-1,0)),IF(AND($L$37=0,$P$34=0),"",$L$37-1),IF($R$17="Distrato",$E69,0))),0,YEARFRAC(MAX($P$34*($B69+IF($R$17="Distrato",$I$38-1,0)),IF(AND($L$37=0,$P$34=0),"",$L$37-1),IF($R$17="Distrato",$E69,0)),MIN(AE$38,$D$19),$P$20))-SUM($P69:AD69)</f>
        <v>#VALUE!</v>
      </c>
      <c r="AF69" s="446" t="e">
        <f>IF(OR($B69="",MIN(AF$38,$D$19)&lt;MAX($P$34*($B69+IF($R$17="Distrato",$I$38-1,0)),IF(AND($L$37=0,$P$34=0),"",$L$37-1),IF($R$17="Distrato",$E69,0))),0,YEARFRAC(MAX($P$34*($B69+IF($R$17="Distrato",$I$38-1,0)),IF(AND($L$37=0,$P$34=0),"",$L$37-1),IF($R$17="Distrato",$E69,0)),MIN(AF$38,$D$19),$P$20))-SUM($P69:AE69)</f>
        <v>#VALUE!</v>
      </c>
      <c r="AG69" s="446" t="e">
        <f>IF(OR($B69="",MIN(AG$38,$D$19)&lt;MAX($P$34*($B69+IF($R$17="Distrato",$I$38-1,0)),IF(AND($L$37=0,$P$34=0),"",$L$37-1),IF($R$17="Distrato",$E69,0))),0,YEARFRAC(MAX($P$34*($B69+IF($R$17="Distrato",$I$38-1,0)),IF(AND($L$37=0,$P$34=0),"",$L$37-1),IF($R$17="Distrato",$E69,0)),MIN(AG$38,$D$19),$P$20))-SUM($P69:AF69)</f>
        <v>#VALUE!</v>
      </c>
      <c r="AH69" s="446" t="e">
        <f>IF(OR($B69="",MIN(AH$38,$D$19)&lt;MAX($P$34*($B69+IF($R$17="Distrato",$I$38-1,0)),IF(AND($L$37=0,$P$34=0),"",$L$37-1),IF($R$17="Distrato",$E69,0))),0,YEARFRAC(MAX($P$34*($B69+IF($R$17="Distrato",$I$38-1,0)),IF(AND($L$37=0,$P$34=0),"",$L$37-1),IF($R$17="Distrato",$E69,0)),MIN(AH$38,$D$19),$P$20))-SUM($P69:AG69)</f>
        <v>#VALUE!</v>
      </c>
      <c r="AI69" s="446" t="e">
        <f>IF(OR($B69="",MIN(AI$38,$D$19)&lt;MAX($P$34*($B69+IF($R$17="Distrato",$I$38-1,0)),IF(AND($L$37=0,$P$34=0),"",$L$37-1),IF($R$17="Distrato",$E69,0))),0,YEARFRAC(MAX($P$34*($B69+IF($R$17="Distrato",$I$38-1,0)),IF(AND($L$37=0,$P$34=0),"",$L$37-1),IF($R$17="Distrato",$E69,0)),MIN(AI$38,$D$19),$P$20))-SUM($P69:AH69)</f>
        <v>#VALUE!</v>
      </c>
      <c r="AJ69" s="446" t="e">
        <f>IF(OR($B69="",MIN(AJ$38,$D$19)&lt;MAX($P$34*($B69+IF($R$17="Distrato",$I$38-1,0)),IF(AND($L$37=0,$P$34=0),"",$L$37-1),IF($R$17="Distrato",$E69,0))),0,YEARFRAC(MAX($P$34*($B69+IF($R$17="Distrato",$I$38-1,0)),IF(AND($L$37=0,$P$34=0),"",$L$37-1),IF($R$17="Distrato",$E69,0)),MIN(AJ$38,$D$19),$P$20))-SUM($P69:AI69)</f>
        <v>#VALUE!</v>
      </c>
      <c r="AK69" s="446" t="e">
        <f>IF(OR($B69="",MIN(AK$38,$D$19)&lt;MAX($P$34*($B69+IF($R$17="Distrato",$I$38-1,0)),IF(AND($L$37=0,$P$34=0),"",$L$37-1),IF($R$17="Distrato",$E69,0))),0,YEARFRAC(MAX($P$34*($B69+IF($R$17="Distrato",$I$38-1,0)),IF(AND($L$37=0,$P$34=0),"",$L$37-1),IF($R$17="Distrato",$E69,0)),MIN(AK$38,$D$19),$P$20))-SUM($P69:AJ69)</f>
        <v>#VALUE!</v>
      </c>
      <c r="AL69" s="446" t="e">
        <f>IF(OR($B69="",MIN(AL$38,$D$19)&lt;MAX($P$34*($B69+IF($R$17="Distrato",$I$38-1,0)),IF(AND($L$37=0,$P$34=0),"",$L$37-1),IF($R$17="Distrato",$E69,0))),0,YEARFRAC(MAX($P$34*($B69+IF($R$17="Distrato",$I$38-1,0)),IF(AND($L$37=0,$P$34=0),"",$L$37-1),IF($R$17="Distrato",$E69,0)),MIN(AL$38,$D$19),$P$20))-SUM($P69:AK69)</f>
        <v>#VALUE!</v>
      </c>
      <c r="AM69" s="446" t="e">
        <f>IF(OR($B69="",MIN(AM$38,$D$19)&lt;MAX($P$34*($B69+IF($R$17="Distrato",$I$38-1,0)),IF(AND($L$37=0,$P$34=0),"",$L$37-1),IF($R$17="Distrato",$E69,0))),0,YEARFRAC(MAX($P$34*($B69+IF($R$17="Distrato",$I$38-1,0)),IF(AND($L$37=0,$P$34=0),"",$L$37-1),IF($R$17="Distrato",$E69,0)),MIN(AM$38,$D$19),$P$20))-SUM($P69:AL69)</f>
        <v>#VALUE!</v>
      </c>
      <c r="AN69" s="446" t="e">
        <f>IF(OR($B69="",MIN(AN$38,$D$19)&lt;MAX($P$34*($B69+IF($R$17="Distrato",$I$38-1,0)),IF(AND($L$37=0,$P$34=0),"",$L$37-1),IF($R$17="Distrato",$E69,0))),0,YEARFRAC(MAX($P$34*($B69+IF($R$17="Distrato",$I$38-1,0)),IF(AND($L$37=0,$P$34=0),"",$L$37-1),IF($R$17="Distrato",$E69,0)),MIN(AN$38,$D$19),$P$20))-SUM($P69:AM69)</f>
        <v>#VALUE!</v>
      </c>
      <c r="AO69" s="446" t="e">
        <f>IF(OR($B69="",MIN(AO$38,$D$19)&lt;MAX($P$34*($B69+IF($R$17="Distrato",$I$38-1,0)),IF(AND($L$37=0,$P$34=0),"",$L$37-1),IF($R$17="Distrato",$E69,0))),0,YEARFRAC(MAX($P$34*($B69+IF($R$17="Distrato",$I$38-1,0)),IF(AND($L$37=0,$P$34=0),"",$L$37-1),IF($R$17="Distrato",$E69,0)),MIN(AO$38,$D$19),$P$20))-SUM($P69:AN69)</f>
        <v>#VALUE!</v>
      </c>
      <c r="AP69" s="446" t="e">
        <f>IF(OR($B69="",MIN(AP$38,$D$19)&lt;MAX($P$34*($B69+IF($R$17="Distrato",$I$38-1,0)),IF(AND($L$37=0,$P$34=0),"",$L$37-1),IF($R$17="Distrato",$E69,0))),0,YEARFRAC(MAX($P$34*($B69+IF($R$17="Distrato",$I$38-1,0)),IF(AND($L$37=0,$P$34=0),"",$L$37-1),IF($R$17="Distrato",$E69,0)),MIN(AP$38,$D$19),$P$20))-SUM($P69:AO69)</f>
        <v>#VALUE!</v>
      </c>
      <c r="AQ69" s="446" t="e">
        <f>IF(OR($B69="",MIN(AQ$38,$D$19)&lt;MAX($P$34*($B69+IF($R$17="Distrato",$I$38-1,0)),IF(AND($L$37=0,$P$34=0),"",$L$37-1),IF($R$17="Distrato",$E69,0))),0,YEARFRAC(MAX($P$34*($B69+IF($R$17="Distrato",$I$38-1,0)),IF(AND($L$37=0,$P$34=0),"",$L$37-1),IF($R$17="Distrato",$E69,0)),MIN(AQ$38,$D$19),$P$20))-SUM($P69:AP69)</f>
        <v>#VALUE!</v>
      </c>
      <c r="AR69" s="446" t="e">
        <f>IF(OR($B69="",MIN(AR$38,$D$19)&lt;MAX($P$34*($B69+IF($R$17="Distrato",$I$38-1,0)),IF(AND($L$37=0,$P$34=0),"",$L$37-1),IF($R$17="Distrato",$E69,0))),0,YEARFRAC(MAX($P$34*($B69+IF($R$17="Distrato",$I$38-1,0)),IF(AND($L$37=0,$P$34=0),"",$L$37-1),IF($R$17="Distrato",$E69,0)),MIN(AR$38,$D$19),$P$20))-SUM($P69:AQ69)</f>
        <v>#VALUE!</v>
      </c>
      <c r="AS69" s="446" t="e">
        <f>IF(OR($B69="",MIN(AS$38,$D$19)&lt;MAX($P$34*($B69+IF($R$17="Distrato",$I$38-1,0)),IF(AND($L$37=0,$P$34=0),"",$L$37-1),IF($R$17="Distrato",$E69,0))),0,YEARFRAC(MAX($P$34*($B69+IF($R$17="Distrato",$I$38-1,0)),IF(AND($L$37=0,$P$34=0),"",$L$37-1),IF($R$17="Distrato",$E69,0)),MIN(AS$38,$D$19),$P$20))-SUM($P69:AR69)</f>
        <v>#VALUE!</v>
      </c>
      <c r="AT69" s="446" t="e">
        <f>IF(OR($B69="",MIN(AT$38,$D$19)&lt;MAX($P$34*($B69+IF($R$17="Distrato",$I$38-1,0)),IF(AND($L$37=0,$P$34=0),"",$L$37-1),IF($R$17="Distrato",$E69,0))),0,YEARFRAC(MAX($P$34*($B69+IF($R$17="Distrato",$I$38-1,0)),IF(AND($L$37=0,$P$34=0),"",$L$37-1),IF($R$17="Distrato",$E69,0)),MIN(AT$38,$D$19),$P$20))-SUM($P69:AS69)</f>
        <v>#VALUE!</v>
      </c>
      <c r="AU69" s="446" t="e">
        <f>IF(OR($B69="",MIN(AU$38,$D$19)&lt;MAX($P$34*($B69+IF($R$17="Distrato",$I$38-1,0)),IF(AND($L$37=0,$P$34=0),"",$L$37-1),IF($R$17="Distrato",$E69,0))),0,YEARFRAC(MAX($P$34*($B69+IF($R$17="Distrato",$I$38-1,0)),IF(AND($L$37=0,$P$34=0),"",$L$37-1),IF($R$17="Distrato",$E69,0)),MIN(AU$38,$D$19),$P$20))-SUM($P69:AT69)</f>
        <v>#VALUE!</v>
      </c>
      <c r="AV69" s="446" t="e">
        <f>IF(OR($B69="",MIN(AV$38,$D$19)&lt;MAX($P$34*($B69+IF($R$17="Distrato",$I$38-1,0)),IF(AND($L$37=0,$P$34=0),"",$L$37-1),IF($R$17="Distrato",$E69,0))),0,YEARFRAC(MAX($P$34*($B69+IF($R$17="Distrato",$I$38-1,0)),IF(AND($L$37=0,$P$34=0),"",$L$37-1),IF($R$17="Distrato",$E69,0)),MIN(AV$38,$D$19),$P$20))-SUM($P69:AU69)</f>
        <v>#VALUE!</v>
      </c>
      <c r="AW69" s="446" t="e">
        <f>IF(OR($B69="",MIN(AW$38,$D$19)&lt;MAX($P$34*($B69+IF($R$17="Distrato",$I$38-1,0)),IF(AND($L$37=0,$P$34=0),"",$L$37-1),IF($R$17="Distrato",$E69,0))),0,YEARFRAC(MAX($P$34*($B69+IF($R$17="Distrato",$I$38-1,0)),IF(AND($L$37=0,$P$34=0),"",$L$37-1),IF($R$17="Distrato",$E69,0)),MIN(AW$38,$D$19),$P$20))-SUM($P69:AV69)</f>
        <v>#VALUE!</v>
      </c>
      <c r="AX69" s="446" t="e">
        <f>IF(OR($B69="",MIN(AX$38,$D$19)&lt;MAX($P$34*($B69+IF($R$17="Distrato",$I$38-1,0)),IF(AND($L$37=0,$P$34=0),"",$L$37-1),IF($R$17="Distrato",$E69,0))),0,YEARFRAC(MAX($P$34*($B69+IF($R$17="Distrato",$I$38-1,0)),IF(AND($L$37=0,$P$34=0),"",$L$37-1),IF($R$17="Distrato",$E69,0)),MIN(AX$38,$D$19),$P$20))-SUM($P69:AW69)</f>
        <v>#VALUE!</v>
      </c>
      <c r="AY69" s="446" t="e">
        <f>IF(OR($B69="",MIN(AY$38,$D$19)&lt;MAX($P$34*($B69+IF($R$17="Distrato",$I$38-1,0)),IF(AND($L$37=0,$P$34=0),"",$L$37-1),IF($R$17="Distrato",$E69,0))),0,YEARFRAC(MAX($P$34*($B69+IF($R$17="Distrato",$I$38-1,0)),IF(AND($L$37=0,$P$34=0),"",$L$37-1),IF($R$17="Distrato",$E69,0)),MIN(AY$38,$D$19),$P$20))-SUM($P69:AX69)</f>
        <v>#VALUE!</v>
      </c>
      <c r="AZ69" s="446" t="e">
        <f>IF(OR($B69="",MIN(AZ$38,$D$19)&lt;MAX($P$34*($B69+IF($R$17="Distrato",$I$38-1,0)),IF(AND($L$37=0,$P$34=0),"",$L$37-1),IF($R$17="Distrato",$E69,0))),0,YEARFRAC(MAX($P$34*($B69+IF($R$17="Distrato",$I$38-1,0)),IF(AND($L$37=0,$P$34=0),"",$L$37-1),IF($R$17="Distrato",$E69,0)),MIN(AZ$38,$D$19),$P$20))-SUM($P69:AY69)</f>
        <v>#VALUE!</v>
      </c>
      <c r="BA69" s="446" t="e">
        <f>IF(OR($B69="",MIN(BA$38,$D$19)&lt;MAX($P$34*($B69+IF($R$17="Distrato",$I$38-1,0)),IF(AND($L$37=0,$P$34=0),"",$L$37-1),IF($R$17="Distrato",$E69,0))),0,YEARFRAC(MAX($P$34*($B69+IF($R$17="Distrato",$I$38-1,0)),IF(AND($L$37=0,$P$34=0),"",$L$37-1),IF($R$17="Distrato",$E69,0)),MIN(BA$38,$D$19),$P$20))-SUM($P69:AZ69)</f>
        <v>#VALUE!</v>
      </c>
      <c r="BB69" s="447"/>
      <c r="BF69" s="446">
        <f t="shared" si="10"/>
        <v>0</v>
      </c>
      <c r="BG69" s="446">
        <f>IF($E69=0,0,IF(MIN(BG$38,$E69)&lt;MAX($P$34*($B69+$I$38-1),IF(AND($L$37=0,$P$34=0),"",$L$37-1)),0,YEARFRAC(MAX($P$34*($B69+$I$38-1),IF(AND($L$37=0,$P$34=0),"",$L$37-1)),MIN(BG$38,$E69),$P$20))-SUM($BF69:BF69))</f>
        <v>0</v>
      </c>
      <c r="BH69" s="446">
        <f>IF($E69=0,0,IF(MIN(BH$38,$E69)&lt;MAX($P$34*($B69+$I$38-1),IF(AND($L$37=0,$P$34=0),"",$L$37-1)),0,YEARFRAC(MAX($P$34*($B69+$I$38-1),IF(AND($L$37=0,$P$34=0),"",$L$37-1)),MIN(BH$38,$E69),$P$20))-SUM($BF69:BG69))</f>
        <v>0</v>
      </c>
      <c r="BI69" s="446">
        <f>IF($E69=0,0,IF(MIN(BI$38,$E69)&lt;MAX($P$34*($B69+$I$38-1),IF(AND($L$37=0,$P$34=0),"",$L$37-1)),0,YEARFRAC(MAX($P$34*($B69+$I$38-1),IF(AND($L$37=0,$P$34=0),"",$L$37-1)),MIN(BI$38,$E69),$P$20))-SUM($BF69:BH69))</f>
        <v>0</v>
      </c>
      <c r="BJ69" s="446">
        <f>IF($E69=0,0,IF(MIN(BJ$38,$E69)&lt;MAX($P$34*($B69+$I$38-1),IF(AND($L$37=0,$P$34=0),"",$L$37-1)),0,YEARFRAC(MAX($P$34*($B69+$I$38-1),IF(AND($L$37=0,$P$34=0),"",$L$37-1)),MIN(BJ$38,$E69),$P$20))-SUM($BF69:BI69))</f>
        <v>0</v>
      </c>
      <c r="BK69" s="446">
        <f>IF($E69=0,0,IF(MIN(BK$38,$E69)&lt;MAX($P$34*($B69+$I$38-1),IF(AND($L$37=0,$P$34=0),"",$L$37-1)),0,YEARFRAC(MAX($P$34*($B69+$I$38-1),IF(AND($L$37=0,$P$34=0),"",$L$37-1)),MIN(BK$38,$E69),$P$20))-SUM($BF69:BJ69))</f>
        <v>0</v>
      </c>
      <c r="BL69" s="446">
        <f>IF($E69=0,0,IF(MIN(BL$38,$E69)&lt;MAX($P$34*($B69+$I$38-1),IF(AND($L$37=0,$P$34=0),"",$L$37-1)),0,YEARFRAC(MAX($P$34*($B69+$I$38-1),IF(AND($L$37=0,$P$34=0),"",$L$37-1)),MIN(BL$38,$E69),$P$20))-SUM($BF69:BK69))</f>
        <v>0</v>
      </c>
      <c r="BM69" s="446">
        <f>IF($E69=0,0,IF(MIN(BM$38,$E69)&lt;MAX($P$34*($B69+$I$38-1),IF(AND($L$37=0,$P$34=0),"",$L$37-1)),0,YEARFRAC(MAX($P$34*($B69+$I$38-1),IF(AND($L$37=0,$P$34=0),"",$L$37-1)),MIN(BM$38,$E69),$P$20))-SUM($BF69:BL69))</f>
        <v>0</v>
      </c>
      <c r="BN69" s="446">
        <f>IF($E69=0,0,IF(MIN(BN$38,$E69)&lt;MAX($P$34*($B69+$I$38-1),IF(AND($L$37=0,$P$34=0),"",$L$37-1)),0,YEARFRAC(MAX($P$34*($B69+$I$38-1),IF(AND($L$37=0,$P$34=0),"",$L$37-1)),MIN(BN$38,$E69),$P$20))-SUM($BF69:BM69))</f>
        <v>0</v>
      </c>
      <c r="BO69" s="446">
        <f>IF($E69=0,0,IF(MIN(BO$38,$E69)&lt;MAX($P$34*($B69+$I$38-1),IF(AND($L$37=0,$P$34=0),"",$L$37-1)),0,YEARFRAC(MAX($P$34*($B69+$I$38-1),IF(AND($L$37=0,$P$34=0),"",$L$37-1)),MIN(BO$38,$E69),$P$20))-SUM($BF69:BN69))</f>
        <v>0</v>
      </c>
      <c r="BP69" s="446">
        <f>IF($E69=0,0,IF(MIN(BP$38,$E69)&lt;MAX($P$34*($B69+$I$38-1),IF(AND($L$37=0,$P$34=0),"",$L$37-1)),0,YEARFRAC(MAX($P$34*($B69+$I$38-1),IF(AND($L$37=0,$P$34=0),"",$L$37-1)),MIN(BP$38,$E69),$P$20))-SUM($BF69:BO69))</f>
        <v>0</v>
      </c>
      <c r="BQ69" s="446">
        <f>IF($E69=0,0,IF(MIN(BQ$38,$E69)&lt;MAX($P$34*($B69+$I$38-1),IF(AND($L$37=0,$P$34=0),"",$L$37-1)),0,YEARFRAC(MAX($P$34*($B69+$I$38-1),IF(AND($L$37=0,$P$34=0),"",$L$37-1)),MIN(BQ$38,$E69),$P$20))-SUM($BF69:BP69))</f>
        <v>0</v>
      </c>
      <c r="BR69" s="446">
        <f>IF($E69=0,0,IF(MIN(BR$38,$E69)&lt;MAX($P$34*($B69+$I$38-1),IF(AND($L$37=0,$P$34=0),"",$L$37-1)),0,YEARFRAC(MAX($P$34*($B69+$I$38-1),IF(AND($L$37=0,$P$34=0),"",$L$37-1)),MIN(BR$38,$E69),$P$20))-SUM($BF69:BQ69))</f>
        <v>0</v>
      </c>
      <c r="BS69" s="446">
        <f>IF($E69=0,0,IF(MIN(BS$38,$E69)&lt;MAX($P$34*($B69+$I$38-1),IF(AND($L$37=0,$P$34=0),"",$L$37-1)),0,YEARFRAC(MAX($P$34*($B69+$I$38-1),IF(AND($L$37=0,$P$34=0),"",$L$37-1)),MIN(BS$38,$E69),$P$20))-SUM($BF69:BR69))</f>
        <v>0</v>
      </c>
      <c r="BT69" s="446">
        <f>IF($E69=0,0,IF(MIN(BT$38,$E69)&lt;MAX($P$34*($B69+$I$38-1),IF(AND($L$37=0,$P$34=0),"",$L$37-1)),0,YEARFRAC(MAX($P$34*($B69+$I$38-1),IF(AND($L$37=0,$P$34=0),"",$L$37-1)),MIN(BT$38,$E69),$P$20))-SUM($BF69:BS69))</f>
        <v>0</v>
      </c>
      <c r="BU69" s="446">
        <f>IF($E69=0,0,IF(MIN(BU$38,$E69)&lt;MAX($P$34*($B69+$I$38-1),IF(AND($L$37=0,$P$34=0),"",$L$37-1)),0,YEARFRAC(MAX($P$34*($B69+$I$38-1),IF(AND($L$37=0,$P$34=0),"",$L$37-1)),MIN(BU$38,$E69),$P$20))-SUM($BF69:BT69))</f>
        <v>0</v>
      </c>
      <c r="BV69" s="446">
        <f>IF($E69=0,0,IF(MIN(BV$38,$E69)&lt;MAX($P$34*($B69+$I$38-1),IF(AND($L$37=0,$P$34=0),"",$L$37-1)),0,YEARFRAC(MAX($P$34*($B69+$I$38-1),IF(AND($L$37=0,$P$34=0),"",$L$37-1)),MIN(BV$38,$E69),$P$20))-SUM($BF69:BU69))</f>
        <v>0</v>
      </c>
      <c r="BW69" s="446">
        <f>IF($E69=0,0,IF(MIN(BW$38,$E69)&lt;MAX($P$34*($B69+$I$38-1),IF(AND($L$37=0,$P$34=0),"",$L$37-1)),0,YEARFRAC(MAX($P$34*($B69+$I$38-1),IF(AND($L$37=0,$P$34=0),"",$L$37-1)),MIN(BW$38,$E69),$P$20))-SUM($BF69:BV69))</f>
        <v>0</v>
      </c>
      <c r="BX69" s="446">
        <f>IF($E69=0,0,IF(MIN(BX$38,$E69)&lt;MAX($P$34*($B69+$I$38-1),IF(AND($L$37=0,$P$34=0),"",$L$37-1)),0,YEARFRAC(MAX($P$34*($B69+$I$38-1),IF(AND($L$37=0,$P$34=0),"",$L$37-1)),MIN(BX$38,$E69),$P$20))-SUM($BF69:BW69))</f>
        <v>0</v>
      </c>
      <c r="BY69" s="446">
        <f>IF($E69=0,0,IF(MIN(BY$38,$E69)&lt;MAX($P$34*($B69+$I$38-1),IF(AND($L$37=0,$P$34=0),"",$L$37-1)),0,YEARFRAC(MAX($P$34*($B69+$I$38-1),IF(AND($L$37=0,$P$34=0),"",$L$37-1)),MIN(BY$38,$E69),$P$20))-SUM($BF69:BX69))</f>
        <v>0</v>
      </c>
      <c r="BZ69" s="446">
        <f>IF($E69=0,0,IF(MIN(BZ$38,$E69)&lt;MAX($P$34*($B69+$I$38-1),IF(AND($L$37=0,$P$34=0),"",$L$37-1)),0,YEARFRAC(MAX($P$34*($B69+$I$38-1),IF(AND($L$37=0,$P$34=0),"",$L$37-1)),MIN(BZ$38,$E69),$P$20))-SUM($BF69:BY69))</f>
        <v>0</v>
      </c>
      <c r="CA69" s="446">
        <f>IF($E69=0,0,IF(MIN(CA$38,$E69)&lt;MAX($P$34*($B69+$I$38-1),IF(AND($L$37=0,$P$34=0),"",$L$37-1)),0,YEARFRAC(MAX($P$34*($B69+$I$38-1),IF(AND($L$37=0,$P$34=0),"",$L$37-1)),MIN(CA$38,$E69),$P$20))-SUM($BF69:BZ69))</f>
        <v>0</v>
      </c>
      <c r="CB69" s="446">
        <f>IF($E69=0,0,IF(MIN(CB$38,$E69)&lt;MAX($P$34*($B69+$I$38-1),IF(AND($L$37=0,$P$34=0),"",$L$37-1)),0,YEARFRAC(MAX($P$34*($B69+$I$38-1),IF(AND($L$37=0,$P$34=0),"",$L$37-1)),MIN(CB$38,$E69),$P$20))-SUM($BF69:CA69))</f>
        <v>0</v>
      </c>
      <c r="CC69" s="446">
        <f>IF($E69=0,0,IF(MIN(CC$38,$E69)&lt;MAX($P$34*($B69+$I$38-1),IF(AND($L$37=0,$P$34=0),"",$L$37-1)),0,YEARFRAC(MAX($P$34*($B69+$I$38-1),IF(AND($L$37=0,$P$34=0),"",$L$37-1)),MIN(CC$38,$E69),$P$20))-SUM($BF69:CB69))</f>
        <v>0</v>
      </c>
      <c r="CD69" s="446">
        <f>IF($E69=0,0,IF(MIN(CD$38,$E69)&lt;MAX($P$34*($B69+$I$38-1),IF(AND($L$37=0,$P$34=0),"",$L$37-1)),0,YEARFRAC(MAX($P$34*($B69+$I$38-1),IF(AND($L$37=0,$P$34=0),"",$L$37-1)),MIN(CD$38,$E69),$P$20))-SUM($BF69:CC69))</f>
        <v>0</v>
      </c>
      <c r="CE69" s="446">
        <f>IF($E69=0,0,IF(MIN(CE$38,$E69)&lt;MAX($P$34*($B69+$I$38-1),IF(AND($L$37=0,$P$34=0),"",$L$37-1)),0,YEARFRAC(MAX($P$34*($B69+$I$38-1),IF(AND($L$37=0,$P$34=0),"",$L$37-1)),MIN(CE$38,$E69),$P$20))-SUM($BF69:CD69))</f>
        <v>0</v>
      </c>
      <c r="CF69" s="446">
        <f>IF($E69=0,0,IF(MIN(CF$38,$E69)&lt;MAX($P$34*($B69+$I$38-1),IF(AND($L$37=0,$P$34=0),"",$L$37-1)),0,YEARFRAC(MAX($P$34*($B69+$I$38-1),IF(AND($L$37=0,$P$34=0),"",$L$37-1)),MIN(CF$38,$E69),$P$20))-SUM($BF69:CE69))</f>
        <v>0</v>
      </c>
      <c r="CG69" s="446">
        <f>IF($E69=0,0,IF(MIN(CG$38,$E69)&lt;MAX($P$34*($B69+$I$38-1),IF(AND($L$37=0,$P$34=0),"",$L$37-1)),0,YEARFRAC(MAX($P$34*($B69+$I$38-1),IF(AND($L$37=0,$P$34=0),"",$L$37-1)),MIN(CG$38,$E69),$P$20))-SUM($BF69:CF69))</f>
        <v>0</v>
      </c>
      <c r="CH69" s="446">
        <f>IF($E69=0,0,IF(MIN(CH$38,$E69)&lt;MAX($P$34*($B69+$I$38-1),IF(AND($L$37=0,$P$34=0),"",$L$37-1)),0,YEARFRAC(MAX($P$34*($B69+$I$38-1),IF(AND($L$37=0,$P$34=0),"",$L$37-1)),MIN(CH$38,$E69),$P$20))-SUM($BF69:CG69))</f>
        <v>0</v>
      </c>
      <c r="CI69" s="446">
        <f>IF($E69=0,0,IF(MIN(CI$38,$E69)&lt;MAX($P$34*($B69+$I$38-1),IF(AND($L$37=0,$P$34=0),"",$L$37-1)),0,YEARFRAC(MAX($P$34*($B69+$I$38-1),IF(AND($L$37=0,$P$34=0),"",$L$37-1)),MIN(CI$38,$E69),$P$20))-SUM($BF69:CH69))</f>
        <v>0</v>
      </c>
      <c r="CJ69" s="446">
        <f>IF($E69=0,0,IF(MIN(CJ$38,$E69)&lt;MAX($P$34*($B69+$I$38-1),IF(AND($L$37=0,$P$34=0),"",$L$37-1)),0,YEARFRAC(MAX($P$34*($B69+$I$38-1),IF(AND($L$37=0,$P$34=0),"",$L$37-1)),MIN(CJ$38,$E69),$P$20))-SUM($BF69:CI69))</f>
        <v>0</v>
      </c>
      <c r="CK69" s="446">
        <f>IF($E69=0,0,IF(MIN(CK$38,$E69)&lt;MAX($P$34*($B69+$I$38-1),IF(AND($L$37=0,$P$34=0),"",$L$37-1)),0,YEARFRAC(MAX($P$34*($B69+$I$38-1),IF(AND($L$37=0,$P$34=0),"",$L$37-1)),MIN(CK$38,$E69),$P$20))-SUM($BF69:CJ69))</f>
        <v>0</v>
      </c>
      <c r="CL69" s="446">
        <f>IF($E69=0,0,IF(MIN(CL$38,$E69)&lt;MAX($P$34*($B69+$I$38-1),IF(AND($L$37=0,$P$34=0),"",$L$37-1)),0,YEARFRAC(MAX($P$34*($B69+$I$38-1),IF(AND($L$37=0,$P$34=0),"",$L$37-1)),MIN(CL$38,$E69),$P$20))-SUM($BF69:CK69))</f>
        <v>0</v>
      </c>
      <c r="CM69" s="446">
        <f>IF($E69=0,0,IF(MIN(CM$38,$E69)&lt;MAX($P$34*($B69+$I$38-1),IF(AND($L$37=0,$P$34=0),"",$L$37-1)),0,YEARFRAC(MAX($P$34*($B69+$I$38-1),IF(AND($L$37=0,$P$34=0),"",$L$37-1)),MIN(CM$38,$E69),$P$20))-SUM($BF69:CL69))</f>
        <v>0</v>
      </c>
      <c r="CN69" s="446">
        <f>IF($E69=0,0,IF(MIN(CN$38,$E69)&lt;MAX($P$34*($B69+$I$38-1),IF(AND($L$37=0,$P$34=0),"",$L$37-1)),0,YEARFRAC(MAX($P$34*($B69+$I$38-1),IF(AND($L$37=0,$P$34=0),"",$L$37-1)),MIN(CN$38,$E69),$P$20))-SUM($BF69:CM69))</f>
        <v>0</v>
      </c>
      <c r="CO69" s="446">
        <f>IF($E69=0,0,IF(MIN(CO$38,$E69)&lt;MAX($P$34*($B69+$I$38-1),IF(AND($L$37=0,$P$34=0),"",$L$37-1)),0,YEARFRAC(MAX($P$34*($B69+$I$38-1),IF(AND($L$37=0,$P$34=0),"",$L$37-1)),MIN(CO$38,$E69),$P$20))-SUM($BF69:CN69))</f>
        <v>0</v>
      </c>
      <c r="CP69" s="446">
        <f>IF($E69=0,0,IF(MIN(CP$38,$E69)&lt;MAX($P$34*($B69+$I$38-1),IF(AND($L$37=0,$P$34=0),"",$L$37-1)),0,YEARFRAC(MAX($P$34*($B69+$I$38-1),IF(AND($L$37=0,$P$34=0),"",$L$37-1)),MIN(CP$38,$E69),$P$20))-SUM($BF69:CO69))</f>
        <v>0</v>
      </c>
      <c r="CQ69" s="446">
        <f>IF($E69=0,0,IF(MIN(CQ$38,$E69)&lt;MAX($P$34*($B69+$I$38-1),IF(AND($L$37=0,$P$34=0),"",$L$37-1)),0,YEARFRAC(MAX($P$34*($B69+$I$38-1),IF(AND($L$37=0,$P$34=0),"",$L$37-1)),MIN(CQ$38,$E69),$P$20))-SUM($BF69:CP69))</f>
        <v>0</v>
      </c>
    </row>
    <row r="70" spans="1:95" s="446" customFormat="1" ht="11.25" hidden="1" customHeight="1" x14ac:dyDescent="0.2">
      <c r="A70" s="152"/>
      <c r="B70" s="153" t="str">
        <f t="shared" si="15"/>
        <v/>
      </c>
      <c r="C70" s="29" t="str">
        <f>IF(B70="","",IF($L$35="SELIC - TRIBUTOS",VLOOKUP(DATE(YEAR($D$19),MONTH($D$19)-1,1),ÍNDICES!$A:$DE,HLOOKUP($BL$25,ÍNDICES!$B$3:$T$4,2)+11)-VLOOKUP(B70,ÍNDICES!$A:$DE,HLOOKUP($BL$25,ÍNDICES!$B$3:$T$4,2)+11)+1%,IF(C$38=$W$26,$J$35,IF(ISERROR(IF(B70&gt;$D$19,1,VLOOKUP(DATE(YEAR(B70),MONTH(B70)+IF($C$35=$S$23,1,0),1),ÍNDICES!$A:$DE,$Z$35+1))),"",IF(B70&gt;$D$19,1,VLOOKUP(DATE(YEAR(B70),MONTH(B70)+IF($C$35=$S$23,1,0),1),ÍNDICES!$A:$DE,$Z$35+1))))))</f>
        <v/>
      </c>
      <c r="D70" s="154" t="str">
        <f>IF(ISERROR(IF(OR($D$38=$Y$27,$B70=""),"",VLOOKUP(B70,ÍNDICES!A:DE,AF$35+1))),"",IF(OR($D$38=$Y$27,$B70=""),"",VLOOKUP(B70,ÍNDICES!A:DE,AF$35+1)))</f>
        <v/>
      </c>
      <c r="E70" s="153"/>
      <c r="F70" s="29" t="str">
        <f>IF(E70="","",IF($L$35="SELIC - TRIBUTOS",VLOOKUP(DATE(YEAR($D$19),MONTH($D$19)-1,1),ÍNDICES!$A:$DE,HLOOKUP($BL$25,ÍNDICES!$B$3:$T$4,2)+11)-VLOOKUP(E70,ÍNDICES!$A:$DE,HLOOKUP($BL$25,ÍNDICES!$B$3:$T$4,2)+11)+1%,IF(F$38=$W$26,$J$35,IF(ISERROR(IF(E70&gt;$D$19,1,VLOOKUP(DATE(YEAR(E70),MONTH(E70)+IF($C$35=$S$23,1,0),1),ÍNDICES!$A:$DE,$Z$35+1))),"",IF(E70&gt;$D$19,1,VLOOKUP(DATE(YEAR(E70),MONTH(E70)+IF($C$35=$S$23,1,0),1),ÍNDICES!$A:$DE,$Z$35+1))))))</f>
        <v/>
      </c>
      <c r="G70" s="155"/>
      <c r="H70" s="156" t="str">
        <f t="shared" si="11"/>
        <v/>
      </c>
      <c r="I70" s="29" t="str">
        <f t="shared" si="5"/>
        <v/>
      </c>
      <c r="J70" s="5">
        <f t="shared" si="6"/>
        <v>0</v>
      </c>
      <c r="K70" s="20">
        <f t="shared" ca="1" si="7"/>
        <v>0</v>
      </c>
      <c r="L70" s="5">
        <f t="shared" ca="1" si="8"/>
        <v>0</v>
      </c>
      <c r="M70" s="64">
        <f t="shared" si="12"/>
        <v>0</v>
      </c>
      <c r="N70" s="61">
        <f t="shared" ca="1" si="13"/>
        <v>0</v>
      </c>
      <c r="O70" s="5">
        <f t="shared" ca="1" si="14"/>
        <v>0</v>
      </c>
      <c r="P70" s="446" t="e">
        <f t="shared" si="9"/>
        <v>#VALUE!</v>
      </c>
      <c r="Q70" s="446" t="e">
        <f>IF(OR($B70="",MIN(Q$38,$D$19)&lt;MAX($P$34*($B70+IF($R$17="Distrato",$I$38-1,0)),IF(AND($L$37=0,$P$34=0),"",$L$37-1),IF($R$17="Distrato",$E70,0))),0,YEARFRAC(MAX($P$34*($B70+IF($R$17="Distrato",$I$38-1,0)),IF(AND($L$37=0,$P$34=0),"",$L$37-1),IF($R$17="Distrato",$E70,0)),MIN(Q$38,$D$19),$P$20))-SUM($P70:P70)</f>
        <v>#VALUE!</v>
      </c>
      <c r="R70" s="446" t="e">
        <f>IF(OR($B70="",MIN(R$38,$D$19)&lt;MAX($P$34*($B70+IF($R$17="Distrato",$I$38-1,0)),IF(AND($L$37=0,$P$34=0),"",$L$37-1),IF($R$17="Distrato",$E70,0))),0,YEARFRAC(MAX($P$34*($B70+IF($R$17="Distrato",$I$38-1,0)),IF(AND($L$37=0,$P$34=0),"",$L$37-1),IF($R$17="Distrato",$E70,0)),MIN(R$38,$D$19),$P$20))-SUM($P70:Q70)</f>
        <v>#VALUE!</v>
      </c>
      <c r="S70" s="446" t="e">
        <f>IF(OR($B70="",MIN(S$38,$D$19)&lt;MAX($P$34*($B70+IF($R$17="Distrato",$I$38-1,0)),IF(AND($L$37=0,$P$34=0),"",$L$37-1),IF($R$17="Distrato",$E70,0))),0,YEARFRAC(MAX($P$34*($B70+IF($R$17="Distrato",$I$38-1,0)),IF(AND($L$37=0,$P$34=0),"",$L$37-1),IF($R$17="Distrato",$E70,0)),MIN(S$38,$D$19),$P$20))-SUM($P70:R70)</f>
        <v>#VALUE!</v>
      </c>
      <c r="T70" s="446" t="e">
        <f>IF(OR($B70="",MIN(T$38,$D$19)&lt;MAX($P$34*($B70+IF($R$17="Distrato",$I$38-1,0)),IF(AND($L$37=0,$P$34=0),"",$L$37-1),IF($R$17="Distrato",$E70,0))),0,YEARFRAC(MAX($P$34*($B70+IF($R$17="Distrato",$I$38-1,0)),IF(AND($L$37=0,$P$34=0),"",$L$37-1),IF($R$17="Distrato",$E70,0)),MIN(T$38,$D$19),$P$20))-SUM($P70:S70)</f>
        <v>#VALUE!</v>
      </c>
      <c r="U70" s="446" t="e">
        <f>IF(OR($B70="",MIN(U$38,$D$19)&lt;MAX($P$34*($B70+IF($R$17="Distrato",$I$38-1,0)),IF(AND($L$37=0,$P$34=0),"",$L$37-1),IF($R$17="Distrato",$E70,0))),0,YEARFRAC(MAX($P$34*($B70+IF($R$17="Distrato",$I$38-1,0)),IF(AND($L$37=0,$P$34=0),"",$L$37-1),IF($R$17="Distrato",$E70,0)),MIN(U$38,$D$19),$P$20))-SUM($P70:T70)</f>
        <v>#VALUE!</v>
      </c>
      <c r="V70" s="446" t="e">
        <f>IF(OR($B70="",MIN(V$38,$D$19)&lt;MAX($P$34*($B70+IF($R$17="Distrato",$I$38-1,0)),IF(AND($L$37=0,$P$34=0),"",$L$37-1),IF($R$17="Distrato",$E70,0))),0,YEARFRAC(MAX($P$34*($B70+IF($R$17="Distrato",$I$38-1,0)),IF(AND($L$37=0,$P$34=0),"",$L$37-1),IF($R$17="Distrato",$E70,0)),MIN(V$38,$D$19),$P$20))-SUM($P70:U70)</f>
        <v>#VALUE!</v>
      </c>
      <c r="W70" s="446" t="e">
        <f>IF(OR($B70="",MIN(W$38,$D$19)&lt;MAX($P$34*($B70+IF($R$17="Distrato",$I$38-1,0)),IF(AND($L$37=0,$P$34=0),"",$L$37-1),IF($R$17="Distrato",$E70,0))),0,YEARFRAC(MAX($P$34*($B70+IF($R$17="Distrato",$I$38-1,0)),IF(AND($L$37=0,$P$34=0),"",$L$37-1),IF($R$17="Distrato",$E70,0)),MIN(W$38,$D$19),$P$20))-SUM($P70:V70)</f>
        <v>#VALUE!</v>
      </c>
      <c r="X70" s="446" t="e">
        <f>IF(OR($B70="",MIN(X$38,$D$19)&lt;MAX($P$34*($B70+IF($R$17="Distrato",$I$38-1,0)),IF(AND($L$37=0,$P$34=0),"",$L$37-1),IF($R$17="Distrato",$E70,0))),0,YEARFRAC(MAX($P$34*($B70+IF($R$17="Distrato",$I$38-1,0)),IF(AND($L$37=0,$P$34=0),"",$L$37-1),IF($R$17="Distrato",$E70,0)),MIN(X$38,$D$19),$P$20))-SUM($P70:W70)</f>
        <v>#VALUE!</v>
      </c>
      <c r="Y70" s="446" t="e">
        <f>IF(OR($B70="",MIN(Y$38,$D$19)&lt;MAX($P$34*($B70+IF($R$17="Distrato",$I$38-1,0)),IF(AND($L$37=0,$P$34=0),"",$L$37-1),IF($R$17="Distrato",$E70,0))),0,YEARFRAC(MAX($P$34*($B70+IF($R$17="Distrato",$I$38-1,0)),IF(AND($L$37=0,$P$34=0),"",$L$37-1),IF($R$17="Distrato",$E70,0)),MIN(Y$38,$D$19),$P$20))-SUM($P70:X70)</f>
        <v>#VALUE!</v>
      </c>
      <c r="Z70" s="446" t="e">
        <f>IF(OR($B70="",MIN(Z$38,$D$19)&lt;MAX($P$34*($B70+IF($R$17="Distrato",$I$38-1,0)),IF(AND($L$37=0,$P$34=0),"",$L$37-1),IF($R$17="Distrato",$E70,0))),0,YEARFRAC(MAX($P$34*($B70+IF($R$17="Distrato",$I$38-1,0)),IF(AND($L$37=0,$P$34=0),"",$L$37-1),IF($R$17="Distrato",$E70,0)),MIN(Z$38,$D$19),$P$20))-SUM($P70:Y70)</f>
        <v>#VALUE!</v>
      </c>
      <c r="AA70" s="446" t="e">
        <f>IF(OR($B70="",MIN(AA$38,$D$19)&lt;MAX($P$34*($B70+IF($R$17="Distrato",$I$38-1,0)),IF(AND($L$37=0,$P$34=0),"",$L$37-1),IF($R$17="Distrato",$E70,0))),0,YEARFRAC(MAX($P$34*($B70+IF($R$17="Distrato",$I$38-1,0)),IF(AND($L$37=0,$P$34=0),"",$L$37-1),IF($R$17="Distrato",$E70,0)),MIN(AA$38,$D$19),$P$20))-SUM($P70:Z70)</f>
        <v>#VALUE!</v>
      </c>
      <c r="AB70" s="446" t="e">
        <f>IF(OR($B70="",MIN(AB$38,$D$19)&lt;MAX($P$34*($B70+IF($R$17="Distrato",$I$38-1,0)),IF(AND($L$37=0,$P$34=0),"",$L$37-1),IF($R$17="Distrato",$E70,0))),0,YEARFRAC(MAX($P$34*($B70+IF($R$17="Distrato",$I$38-1,0)),IF(AND($L$37=0,$P$34=0),"",$L$37-1),IF($R$17="Distrato",$E70,0)),MIN(AB$38,$D$19),$P$20))-SUM($P70:AA70)</f>
        <v>#VALUE!</v>
      </c>
      <c r="AC70" s="446" t="e">
        <f>IF(OR($B70="",MIN(AC$38,$D$19)&lt;MAX($P$34*($B70+IF($R$17="Distrato",$I$38-1,0)),IF(AND($L$37=0,$P$34=0),"",$L$37-1),IF($R$17="Distrato",$E70,0))),0,YEARFRAC(MAX($P$34*($B70+IF($R$17="Distrato",$I$38-1,0)),IF(AND($L$37=0,$P$34=0),"",$L$37-1),IF($R$17="Distrato",$E70,0)),MIN(AC$38,$D$19),$P$20))-SUM($P70:AB70)</f>
        <v>#VALUE!</v>
      </c>
      <c r="AD70" s="446" t="e">
        <f>IF(OR($B70="",MIN(AD$38,$D$19)&lt;MAX($P$34*($B70+IF($R$17="Distrato",$I$38-1,0)),IF(AND($L$37=0,$P$34=0),"",$L$37-1),IF($R$17="Distrato",$E70,0))),0,YEARFRAC(MAX($P$34*($B70+IF($R$17="Distrato",$I$38-1,0)),IF(AND($L$37=0,$P$34=0),"",$L$37-1),IF($R$17="Distrato",$E70,0)),MIN(AD$38,$D$19),$P$20))-SUM($P70:AC70)</f>
        <v>#VALUE!</v>
      </c>
      <c r="AE70" s="446" t="e">
        <f>IF(OR($B70="",MIN(AE$38,$D$19)&lt;MAX($P$34*($B70+IF($R$17="Distrato",$I$38-1,0)),IF(AND($L$37=0,$P$34=0),"",$L$37-1),IF($R$17="Distrato",$E70,0))),0,YEARFRAC(MAX($P$34*($B70+IF($R$17="Distrato",$I$38-1,0)),IF(AND($L$37=0,$P$34=0),"",$L$37-1),IF($R$17="Distrato",$E70,0)),MIN(AE$38,$D$19),$P$20))-SUM($P70:AD70)</f>
        <v>#VALUE!</v>
      </c>
      <c r="AF70" s="446" t="e">
        <f>IF(OR($B70="",MIN(AF$38,$D$19)&lt;MAX($P$34*($B70+IF($R$17="Distrato",$I$38-1,0)),IF(AND($L$37=0,$P$34=0),"",$L$37-1),IF($R$17="Distrato",$E70,0))),0,YEARFRAC(MAX($P$34*($B70+IF($R$17="Distrato",$I$38-1,0)),IF(AND($L$37=0,$P$34=0),"",$L$37-1),IF($R$17="Distrato",$E70,0)),MIN(AF$38,$D$19),$P$20))-SUM($P70:AE70)</f>
        <v>#VALUE!</v>
      </c>
      <c r="AG70" s="446" t="e">
        <f>IF(OR($B70="",MIN(AG$38,$D$19)&lt;MAX($P$34*($B70+IF($R$17="Distrato",$I$38-1,0)),IF(AND($L$37=0,$P$34=0),"",$L$37-1),IF($R$17="Distrato",$E70,0))),0,YEARFRAC(MAX($P$34*($B70+IF($R$17="Distrato",$I$38-1,0)),IF(AND($L$37=0,$P$34=0),"",$L$37-1),IF($R$17="Distrato",$E70,0)),MIN(AG$38,$D$19),$P$20))-SUM($P70:AF70)</f>
        <v>#VALUE!</v>
      </c>
      <c r="AH70" s="446" t="e">
        <f>IF(OR($B70="",MIN(AH$38,$D$19)&lt;MAX($P$34*($B70+IF($R$17="Distrato",$I$38-1,0)),IF(AND($L$37=0,$P$34=0),"",$L$37-1),IF($R$17="Distrato",$E70,0))),0,YEARFRAC(MAX($P$34*($B70+IF($R$17="Distrato",$I$38-1,0)),IF(AND($L$37=0,$P$34=0),"",$L$37-1),IF($R$17="Distrato",$E70,0)),MIN(AH$38,$D$19),$P$20))-SUM($P70:AG70)</f>
        <v>#VALUE!</v>
      </c>
      <c r="AI70" s="446" t="e">
        <f>IF(OR($B70="",MIN(AI$38,$D$19)&lt;MAX($P$34*($B70+IF($R$17="Distrato",$I$38-1,0)),IF(AND($L$37=0,$P$34=0),"",$L$37-1),IF($R$17="Distrato",$E70,0))),0,YEARFRAC(MAX($P$34*($B70+IF($R$17="Distrato",$I$38-1,0)),IF(AND($L$37=0,$P$34=0),"",$L$37-1),IF($R$17="Distrato",$E70,0)),MIN(AI$38,$D$19),$P$20))-SUM($P70:AH70)</f>
        <v>#VALUE!</v>
      </c>
      <c r="AJ70" s="446" t="e">
        <f>IF(OR($B70="",MIN(AJ$38,$D$19)&lt;MAX($P$34*($B70+IF($R$17="Distrato",$I$38-1,0)),IF(AND($L$37=0,$P$34=0),"",$L$37-1),IF($R$17="Distrato",$E70,0))),0,YEARFRAC(MAX($P$34*($B70+IF($R$17="Distrato",$I$38-1,0)),IF(AND($L$37=0,$P$34=0),"",$L$37-1),IF($R$17="Distrato",$E70,0)),MIN(AJ$38,$D$19),$P$20))-SUM($P70:AI70)</f>
        <v>#VALUE!</v>
      </c>
      <c r="AK70" s="446" t="e">
        <f>IF(OR($B70="",MIN(AK$38,$D$19)&lt;MAX($P$34*($B70+IF($R$17="Distrato",$I$38-1,0)),IF(AND($L$37=0,$P$34=0),"",$L$37-1),IF($R$17="Distrato",$E70,0))),0,YEARFRAC(MAX($P$34*($B70+IF($R$17="Distrato",$I$38-1,0)),IF(AND($L$37=0,$P$34=0),"",$L$37-1),IF($R$17="Distrato",$E70,0)),MIN(AK$38,$D$19),$P$20))-SUM($P70:AJ70)</f>
        <v>#VALUE!</v>
      </c>
      <c r="AL70" s="446" t="e">
        <f>IF(OR($B70="",MIN(AL$38,$D$19)&lt;MAX($P$34*($B70+IF($R$17="Distrato",$I$38-1,0)),IF(AND($L$37=0,$P$34=0),"",$L$37-1),IF($R$17="Distrato",$E70,0))),0,YEARFRAC(MAX($P$34*($B70+IF($R$17="Distrato",$I$38-1,0)),IF(AND($L$37=0,$P$34=0),"",$L$37-1),IF($R$17="Distrato",$E70,0)),MIN(AL$38,$D$19),$P$20))-SUM($P70:AK70)</f>
        <v>#VALUE!</v>
      </c>
      <c r="AM70" s="446" t="e">
        <f>IF(OR($B70="",MIN(AM$38,$D$19)&lt;MAX($P$34*($B70+IF($R$17="Distrato",$I$38-1,0)),IF(AND($L$37=0,$P$34=0),"",$L$37-1),IF($R$17="Distrato",$E70,0))),0,YEARFRAC(MAX($P$34*($B70+IF($R$17="Distrato",$I$38-1,0)),IF(AND($L$37=0,$P$34=0),"",$L$37-1),IF($R$17="Distrato",$E70,0)),MIN(AM$38,$D$19),$P$20))-SUM($P70:AL70)</f>
        <v>#VALUE!</v>
      </c>
      <c r="AN70" s="446" t="e">
        <f>IF(OR($B70="",MIN(AN$38,$D$19)&lt;MAX($P$34*($B70+IF($R$17="Distrato",$I$38-1,0)),IF(AND($L$37=0,$P$34=0),"",$L$37-1),IF($R$17="Distrato",$E70,0))),0,YEARFRAC(MAX($P$34*($B70+IF($R$17="Distrato",$I$38-1,0)),IF(AND($L$37=0,$P$34=0),"",$L$37-1),IF($R$17="Distrato",$E70,0)),MIN(AN$38,$D$19),$P$20))-SUM($P70:AM70)</f>
        <v>#VALUE!</v>
      </c>
      <c r="AO70" s="446" t="e">
        <f>IF(OR($B70="",MIN(AO$38,$D$19)&lt;MAX($P$34*($B70+IF($R$17="Distrato",$I$38-1,0)),IF(AND($L$37=0,$P$34=0),"",$L$37-1),IF($R$17="Distrato",$E70,0))),0,YEARFRAC(MAX($P$34*($B70+IF($R$17="Distrato",$I$38-1,0)),IF(AND($L$37=0,$P$34=0),"",$L$37-1),IF($R$17="Distrato",$E70,0)),MIN(AO$38,$D$19),$P$20))-SUM($P70:AN70)</f>
        <v>#VALUE!</v>
      </c>
      <c r="AP70" s="446" t="e">
        <f>IF(OR($B70="",MIN(AP$38,$D$19)&lt;MAX($P$34*($B70+IF($R$17="Distrato",$I$38-1,0)),IF(AND($L$37=0,$P$34=0),"",$L$37-1),IF($R$17="Distrato",$E70,0))),0,YEARFRAC(MAX($P$34*($B70+IF($R$17="Distrato",$I$38-1,0)),IF(AND($L$37=0,$P$34=0),"",$L$37-1),IF($R$17="Distrato",$E70,0)),MIN(AP$38,$D$19),$P$20))-SUM($P70:AO70)</f>
        <v>#VALUE!</v>
      </c>
      <c r="AQ70" s="446" t="e">
        <f>IF(OR($B70="",MIN(AQ$38,$D$19)&lt;MAX($P$34*($B70+IF($R$17="Distrato",$I$38-1,0)),IF(AND($L$37=0,$P$34=0),"",$L$37-1),IF($R$17="Distrato",$E70,0))),0,YEARFRAC(MAX($P$34*($B70+IF($R$17="Distrato",$I$38-1,0)),IF(AND($L$37=0,$P$34=0),"",$L$37-1),IF($R$17="Distrato",$E70,0)),MIN(AQ$38,$D$19),$P$20))-SUM($P70:AP70)</f>
        <v>#VALUE!</v>
      </c>
      <c r="AR70" s="446" t="e">
        <f>IF(OR($B70="",MIN(AR$38,$D$19)&lt;MAX($P$34*($B70+IF($R$17="Distrato",$I$38-1,0)),IF(AND($L$37=0,$P$34=0),"",$L$37-1),IF($R$17="Distrato",$E70,0))),0,YEARFRAC(MAX($P$34*($B70+IF($R$17="Distrato",$I$38-1,0)),IF(AND($L$37=0,$P$34=0),"",$L$37-1),IF($R$17="Distrato",$E70,0)),MIN(AR$38,$D$19),$P$20))-SUM($P70:AQ70)</f>
        <v>#VALUE!</v>
      </c>
      <c r="AS70" s="446" t="e">
        <f>IF(OR($B70="",MIN(AS$38,$D$19)&lt;MAX($P$34*($B70+IF($R$17="Distrato",$I$38-1,0)),IF(AND($L$37=0,$P$34=0),"",$L$37-1),IF($R$17="Distrato",$E70,0))),0,YEARFRAC(MAX($P$34*($B70+IF($R$17="Distrato",$I$38-1,0)),IF(AND($L$37=0,$P$34=0),"",$L$37-1),IF($R$17="Distrato",$E70,0)),MIN(AS$38,$D$19),$P$20))-SUM($P70:AR70)</f>
        <v>#VALUE!</v>
      </c>
      <c r="AT70" s="446" t="e">
        <f>IF(OR($B70="",MIN(AT$38,$D$19)&lt;MAX($P$34*($B70+IF($R$17="Distrato",$I$38-1,0)),IF(AND($L$37=0,$P$34=0),"",$L$37-1),IF($R$17="Distrato",$E70,0))),0,YEARFRAC(MAX($P$34*($B70+IF($R$17="Distrato",$I$38-1,0)),IF(AND($L$37=0,$P$34=0),"",$L$37-1),IF($R$17="Distrato",$E70,0)),MIN(AT$38,$D$19),$P$20))-SUM($P70:AS70)</f>
        <v>#VALUE!</v>
      </c>
      <c r="AU70" s="446" t="e">
        <f>IF(OR($B70="",MIN(AU$38,$D$19)&lt;MAX($P$34*($B70+IF($R$17="Distrato",$I$38-1,0)),IF(AND($L$37=0,$P$34=0),"",$L$37-1),IF($R$17="Distrato",$E70,0))),0,YEARFRAC(MAX($P$34*($B70+IF($R$17="Distrato",$I$38-1,0)),IF(AND($L$37=0,$P$34=0),"",$L$37-1),IF($R$17="Distrato",$E70,0)),MIN(AU$38,$D$19),$P$20))-SUM($P70:AT70)</f>
        <v>#VALUE!</v>
      </c>
      <c r="AV70" s="446" t="e">
        <f>IF(OR($B70="",MIN(AV$38,$D$19)&lt;MAX($P$34*($B70+IF($R$17="Distrato",$I$38-1,0)),IF(AND($L$37=0,$P$34=0),"",$L$37-1),IF($R$17="Distrato",$E70,0))),0,YEARFRAC(MAX($P$34*($B70+IF($R$17="Distrato",$I$38-1,0)),IF(AND($L$37=0,$P$34=0),"",$L$37-1),IF($R$17="Distrato",$E70,0)),MIN(AV$38,$D$19),$P$20))-SUM($P70:AU70)</f>
        <v>#VALUE!</v>
      </c>
      <c r="AW70" s="446" t="e">
        <f>IF(OR($B70="",MIN(AW$38,$D$19)&lt;MAX($P$34*($B70+IF($R$17="Distrato",$I$38-1,0)),IF(AND($L$37=0,$P$34=0),"",$L$37-1),IF($R$17="Distrato",$E70,0))),0,YEARFRAC(MAX($P$34*($B70+IF($R$17="Distrato",$I$38-1,0)),IF(AND($L$37=0,$P$34=0),"",$L$37-1),IF($R$17="Distrato",$E70,0)),MIN(AW$38,$D$19),$P$20))-SUM($P70:AV70)</f>
        <v>#VALUE!</v>
      </c>
      <c r="AX70" s="446" t="e">
        <f>IF(OR($B70="",MIN(AX$38,$D$19)&lt;MAX($P$34*($B70+IF($R$17="Distrato",$I$38-1,0)),IF(AND($L$37=0,$P$34=0),"",$L$37-1),IF($R$17="Distrato",$E70,0))),0,YEARFRAC(MAX($P$34*($B70+IF($R$17="Distrato",$I$38-1,0)),IF(AND($L$37=0,$P$34=0),"",$L$37-1),IF($R$17="Distrato",$E70,0)),MIN(AX$38,$D$19),$P$20))-SUM($P70:AW70)</f>
        <v>#VALUE!</v>
      </c>
      <c r="AY70" s="446" t="e">
        <f>IF(OR($B70="",MIN(AY$38,$D$19)&lt;MAX($P$34*($B70+IF($R$17="Distrato",$I$38-1,0)),IF(AND($L$37=0,$P$34=0),"",$L$37-1),IF($R$17="Distrato",$E70,0))),0,YEARFRAC(MAX($P$34*($B70+IF($R$17="Distrato",$I$38-1,0)),IF(AND($L$37=0,$P$34=0),"",$L$37-1),IF($R$17="Distrato",$E70,0)),MIN(AY$38,$D$19),$P$20))-SUM($P70:AX70)</f>
        <v>#VALUE!</v>
      </c>
      <c r="AZ70" s="446" t="e">
        <f>IF(OR($B70="",MIN(AZ$38,$D$19)&lt;MAX($P$34*($B70+IF($R$17="Distrato",$I$38-1,0)),IF(AND($L$37=0,$P$34=0),"",$L$37-1),IF($R$17="Distrato",$E70,0))),0,YEARFRAC(MAX($P$34*($B70+IF($R$17="Distrato",$I$38-1,0)),IF(AND($L$37=0,$P$34=0),"",$L$37-1),IF($R$17="Distrato",$E70,0)),MIN(AZ$38,$D$19),$P$20))-SUM($P70:AY70)</f>
        <v>#VALUE!</v>
      </c>
      <c r="BA70" s="446" t="e">
        <f>IF(OR($B70="",MIN(BA$38,$D$19)&lt;MAX($P$34*($B70+IF($R$17="Distrato",$I$38-1,0)),IF(AND($L$37=0,$P$34=0),"",$L$37-1),IF($R$17="Distrato",$E70,0))),0,YEARFRAC(MAX($P$34*($B70+IF($R$17="Distrato",$I$38-1,0)),IF(AND($L$37=0,$P$34=0),"",$L$37-1),IF($R$17="Distrato",$E70,0)),MIN(BA$38,$D$19),$P$20))-SUM($P70:AZ70)</f>
        <v>#VALUE!</v>
      </c>
      <c r="BB70" s="447"/>
      <c r="BF70" s="446">
        <f t="shared" si="10"/>
        <v>0</v>
      </c>
      <c r="BG70" s="446">
        <f>IF($E70=0,0,IF(MIN(BG$38,$E70)&lt;MAX($P$34*($B70+$I$38-1),IF(AND($L$37=0,$P$34=0),"",$L$37-1)),0,YEARFRAC(MAX($P$34*($B70+$I$38-1),IF(AND($L$37=0,$P$34=0),"",$L$37-1)),MIN(BG$38,$E70),$P$20))-SUM($BF70:BF70))</f>
        <v>0</v>
      </c>
      <c r="BH70" s="446">
        <f>IF($E70=0,0,IF(MIN(BH$38,$E70)&lt;MAX($P$34*($B70+$I$38-1),IF(AND($L$37=0,$P$34=0),"",$L$37-1)),0,YEARFRAC(MAX($P$34*($B70+$I$38-1),IF(AND($L$37=0,$P$34=0),"",$L$37-1)),MIN(BH$38,$E70),$P$20))-SUM($BF70:BG70))</f>
        <v>0</v>
      </c>
      <c r="BI70" s="446">
        <f>IF($E70=0,0,IF(MIN(BI$38,$E70)&lt;MAX($P$34*($B70+$I$38-1),IF(AND($L$37=0,$P$34=0),"",$L$37-1)),0,YEARFRAC(MAX($P$34*($B70+$I$38-1),IF(AND($L$37=0,$P$34=0),"",$L$37-1)),MIN(BI$38,$E70),$P$20))-SUM($BF70:BH70))</f>
        <v>0</v>
      </c>
      <c r="BJ70" s="446">
        <f>IF($E70=0,0,IF(MIN(BJ$38,$E70)&lt;MAX($P$34*($B70+$I$38-1),IF(AND($L$37=0,$P$34=0),"",$L$37-1)),0,YEARFRAC(MAX($P$34*($B70+$I$38-1),IF(AND($L$37=0,$P$34=0),"",$L$37-1)),MIN(BJ$38,$E70),$P$20))-SUM($BF70:BI70))</f>
        <v>0</v>
      </c>
      <c r="BK70" s="446">
        <f>IF($E70=0,0,IF(MIN(BK$38,$E70)&lt;MAX($P$34*($B70+$I$38-1),IF(AND($L$37=0,$P$34=0),"",$L$37-1)),0,YEARFRAC(MAX($P$34*($B70+$I$38-1),IF(AND($L$37=0,$P$34=0),"",$L$37-1)),MIN(BK$38,$E70),$P$20))-SUM($BF70:BJ70))</f>
        <v>0</v>
      </c>
      <c r="BL70" s="446">
        <f>IF($E70=0,0,IF(MIN(BL$38,$E70)&lt;MAX($P$34*($B70+$I$38-1),IF(AND($L$37=0,$P$34=0),"",$L$37-1)),0,YEARFRAC(MAX($P$34*($B70+$I$38-1),IF(AND($L$37=0,$P$34=0),"",$L$37-1)),MIN(BL$38,$E70),$P$20))-SUM($BF70:BK70))</f>
        <v>0</v>
      </c>
      <c r="BM70" s="446">
        <f>IF($E70=0,0,IF(MIN(BM$38,$E70)&lt;MAX($P$34*($B70+$I$38-1),IF(AND($L$37=0,$P$34=0),"",$L$37-1)),0,YEARFRAC(MAX($P$34*($B70+$I$38-1),IF(AND($L$37=0,$P$34=0),"",$L$37-1)),MIN(BM$38,$E70),$P$20))-SUM($BF70:BL70))</f>
        <v>0</v>
      </c>
      <c r="BN70" s="446">
        <f>IF($E70=0,0,IF(MIN(BN$38,$E70)&lt;MAX($P$34*($B70+$I$38-1),IF(AND($L$37=0,$P$34=0),"",$L$37-1)),0,YEARFRAC(MAX($P$34*($B70+$I$38-1),IF(AND($L$37=0,$P$34=0),"",$L$37-1)),MIN(BN$38,$E70),$P$20))-SUM($BF70:BM70))</f>
        <v>0</v>
      </c>
      <c r="BO70" s="446">
        <f>IF($E70=0,0,IF(MIN(BO$38,$E70)&lt;MAX($P$34*($B70+$I$38-1),IF(AND($L$37=0,$P$34=0),"",$L$37-1)),0,YEARFRAC(MAX($P$34*($B70+$I$38-1),IF(AND($L$37=0,$P$34=0),"",$L$37-1)),MIN(BO$38,$E70),$P$20))-SUM($BF70:BN70))</f>
        <v>0</v>
      </c>
      <c r="BP70" s="446">
        <f>IF($E70=0,0,IF(MIN(BP$38,$E70)&lt;MAX($P$34*($B70+$I$38-1),IF(AND($L$37=0,$P$34=0),"",$L$37-1)),0,YEARFRAC(MAX($P$34*($B70+$I$38-1),IF(AND($L$37=0,$P$34=0),"",$L$37-1)),MIN(BP$38,$E70),$P$20))-SUM($BF70:BO70))</f>
        <v>0</v>
      </c>
      <c r="BQ70" s="446">
        <f>IF($E70=0,0,IF(MIN(BQ$38,$E70)&lt;MAX($P$34*($B70+$I$38-1),IF(AND($L$37=0,$P$34=0),"",$L$37-1)),0,YEARFRAC(MAX($P$34*($B70+$I$38-1),IF(AND($L$37=0,$P$34=0),"",$L$37-1)),MIN(BQ$38,$E70),$P$20))-SUM($BF70:BP70))</f>
        <v>0</v>
      </c>
      <c r="BR70" s="446">
        <f>IF($E70=0,0,IF(MIN(BR$38,$E70)&lt;MAX($P$34*($B70+$I$38-1),IF(AND($L$37=0,$P$34=0),"",$L$37-1)),0,YEARFRAC(MAX($P$34*($B70+$I$38-1),IF(AND($L$37=0,$P$34=0),"",$L$37-1)),MIN(BR$38,$E70),$P$20))-SUM($BF70:BQ70))</f>
        <v>0</v>
      </c>
      <c r="BS70" s="446">
        <f>IF($E70=0,0,IF(MIN(BS$38,$E70)&lt;MAX($P$34*($B70+$I$38-1),IF(AND($L$37=0,$P$34=0),"",$L$37-1)),0,YEARFRAC(MAX($P$34*($B70+$I$38-1),IF(AND($L$37=0,$P$34=0),"",$L$37-1)),MIN(BS$38,$E70),$P$20))-SUM($BF70:BR70))</f>
        <v>0</v>
      </c>
      <c r="BT70" s="446">
        <f>IF($E70=0,0,IF(MIN(BT$38,$E70)&lt;MAX($P$34*($B70+$I$38-1),IF(AND($L$37=0,$P$34=0),"",$L$37-1)),0,YEARFRAC(MAX($P$34*($B70+$I$38-1),IF(AND($L$37=0,$P$34=0),"",$L$37-1)),MIN(BT$38,$E70),$P$20))-SUM($BF70:BS70))</f>
        <v>0</v>
      </c>
      <c r="BU70" s="446">
        <f>IF($E70=0,0,IF(MIN(BU$38,$E70)&lt;MAX($P$34*($B70+$I$38-1),IF(AND($L$37=0,$P$34=0),"",$L$37-1)),0,YEARFRAC(MAX($P$34*($B70+$I$38-1),IF(AND($L$37=0,$P$34=0),"",$L$37-1)),MIN(BU$38,$E70),$P$20))-SUM($BF70:BT70))</f>
        <v>0</v>
      </c>
      <c r="BV70" s="446">
        <f>IF($E70=0,0,IF(MIN(BV$38,$E70)&lt;MAX($P$34*($B70+$I$38-1),IF(AND($L$37=0,$P$34=0),"",$L$37-1)),0,YEARFRAC(MAX($P$34*($B70+$I$38-1),IF(AND($L$37=0,$P$34=0),"",$L$37-1)),MIN(BV$38,$E70),$P$20))-SUM($BF70:BU70))</f>
        <v>0</v>
      </c>
      <c r="BW70" s="446">
        <f>IF($E70=0,0,IF(MIN(BW$38,$E70)&lt;MAX($P$34*($B70+$I$38-1),IF(AND($L$37=0,$P$34=0),"",$L$37-1)),0,YEARFRAC(MAX($P$34*($B70+$I$38-1),IF(AND($L$37=0,$P$34=0),"",$L$37-1)),MIN(BW$38,$E70),$P$20))-SUM($BF70:BV70))</f>
        <v>0</v>
      </c>
      <c r="BX70" s="446">
        <f>IF($E70=0,0,IF(MIN(BX$38,$E70)&lt;MAX($P$34*($B70+$I$38-1),IF(AND($L$37=0,$P$34=0),"",$L$37-1)),0,YEARFRAC(MAX($P$34*($B70+$I$38-1),IF(AND($L$37=0,$P$34=0),"",$L$37-1)),MIN(BX$38,$E70),$P$20))-SUM($BF70:BW70))</f>
        <v>0</v>
      </c>
      <c r="BY70" s="446">
        <f>IF($E70=0,0,IF(MIN(BY$38,$E70)&lt;MAX($P$34*($B70+$I$38-1),IF(AND($L$37=0,$P$34=0),"",$L$37-1)),0,YEARFRAC(MAX($P$34*($B70+$I$38-1),IF(AND($L$37=0,$P$34=0),"",$L$37-1)),MIN(BY$38,$E70),$P$20))-SUM($BF70:BX70))</f>
        <v>0</v>
      </c>
      <c r="BZ70" s="446">
        <f>IF($E70=0,0,IF(MIN(BZ$38,$E70)&lt;MAX($P$34*($B70+$I$38-1),IF(AND($L$37=0,$P$34=0),"",$L$37-1)),0,YEARFRAC(MAX($P$34*($B70+$I$38-1),IF(AND($L$37=0,$P$34=0),"",$L$37-1)),MIN(BZ$38,$E70),$P$20))-SUM($BF70:BY70))</f>
        <v>0</v>
      </c>
      <c r="CA70" s="446">
        <f>IF($E70=0,0,IF(MIN(CA$38,$E70)&lt;MAX($P$34*($B70+$I$38-1),IF(AND($L$37=0,$P$34=0),"",$L$37-1)),0,YEARFRAC(MAX($P$34*($B70+$I$38-1),IF(AND($L$37=0,$P$34=0),"",$L$37-1)),MIN(CA$38,$E70),$P$20))-SUM($BF70:BZ70))</f>
        <v>0</v>
      </c>
      <c r="CB70" s="446">
        <f>IF($E70=0,0,IF(MIN(CB$38,$E70)&lt;MAX($P$34*($B70+$I$38-1),IF(AND($L$37=0,$P$34=0),"",$L$37-1)),0,YEARFRAC(MAX($P$34*($B70+$I$38-1),IF(AND($L$37=0,$P$34=0),"",$L$37-1)),MIN(CB$38,$E70),$P$20))-SUM($BF70:CA70))</f>
        <v>0</v>
      </c>
      <c r="CC70" s="446">
        <f>IF($E70=0,0,IF(MIN(CC$38,$E70)&lt;MAX($P$34*($B70+$I$38-1),IF(AND($L$37=0,$P$34=0),"",$L$37-1)),0,YEARFRAC(MAX($P$34*($B70+$I$38-1),IF(AND($L$37=0,$P$34=0),"",$L$37-1)),MIN(CC$38,$E70),$P$20))-SUM($BF70:CB70))</f>
        <v>0</v>
      </c>
      <c r="CD70" s="446">
        <f>IF($E70=0,0,IF(MIN(CD$38,$E70)&lt;MAX($P$34*($B70+$I$38-1),IF(AND($L$37=0,$P$34=0),"",$L$37-1)),0,YEARFRAC(MAX($P$34*($B70+$I$38-1),IF(AND($L$37=0,$P$34=0),"",$L$37-1)),MIN(CD$38,$E70),$P$20))-SUM($BF70:CC70))</f>
        <v>0</v>
      </c>
      <c r="CE70" s="446">
        <f>IF($E70=0,0,IF(MIN(CE$38,$E70)&lt;MAX($P$34*($B70+$I$38-1),IF(AND($L$37=0,$P$34=0),"",$L$37-1)),0,YEARFRAC(MAX($P$34*($B70+$I$38-1),IF(AND($L$37=0,$P$34=0),"",$L$37-1)),MIN(CE$38,$E70),$P$20))-SUM($BF70:CD70))</f>
        <v>0</v>
      </c>
      <c r="CF70" s="446">
        <f>IF($E70=0,0,IF(MIN(CF$38,$E70)&lt;MAX($P$34*($B70+$I$38-1),IF(AND($L$37=0,$P$34=0),"",$L$37-1)),0,YEARFRAC(MAX($P$34*($B70+$I$38-1),IF(AND($L$37=0,$P$34=0),"",$L$37-1)),MIN(CF$38,$E70),$P$20))-SUM($BF70:CE70))</f>
        <v>0</v>
      </c>
      <c r="CG70" s="446">
        <f>IF($E70=0,0,IF(MIN(CG$38,$E70)&lt;MAX($P$34*($B70+$I$38-1),IF(AND($L$37=0,$P$34=0),"",$L$37-1)),0,YEARFRAC(MAX($P$34*($B70+$I$38-1),IF(AND($L$37=0,$P$34=0),"",$L$37-1)),MIN(CG$38,$E70),$P$20))-SUM($BF70:CF70))</f>
        <v>0</v>
      </c>
      <c r="CH70" s="446">
        <f>IF($E70=0,0,IF(MIN(CH$38,$E70)&lt;MAX($P$34*($B70+$I$38-1),IF(AND($L$37=0,$P$34=0),"",$L$37-1)),0,YEARFRAC(MAX($P$34*($B70+$I$38-1),IF(AND($L$37=0,$P$34=0),"",$L$37-1)),MIN(CH$38,$E70),$P$20))-SUM($BF70:CG70))</f>
        <v>0</v>
      </c>
      <c r="CI70" s="446">
        <f>IF($E70=0,0,IF(MIN(CI$38,$E70)&lt;MAX($P$34*($B70+$I$38-1),IF(AND($L$37=0,$P$34=0),"",$L$37-1)),0,YEARFRAC(MAX($P$34*($B70+$I$38-1),IF(AND($L$37=0,$P$34=0),"",$L$37-1)),MIN(CI$38,$E70),$P$20))-SUM($BF70:CH70))</f>
        <v>0</v>
      </c>
      <c r="CJ70" s="446">
        <f>IF($E70=0,0,IF(MIN(CJ$38,$E70)&lt;MAX($P$34*($B70+$I$38-1),IF(AND($L$37=0,$P$34=0),"",$L$37-1)),0,YEARFRAC(MAX($P$34*($B70+$I$38-1),IF(AND($L$37=0,$P$34=0),"",$L$37-1)),MIN(CJ$38,$E70),$P$20))-SUM($BF70:CI70))</f>
        <v>0</v>
      </c>
      <c r="CK70" s="446">
        <f>IF($E70=0,0,IF(MIN(CK$38,$E70)&lt;MAX($P$34*($B70+$I$38-1),IF(AND($L$37=0,$P$34=0),"",$L$37-1)),0,YEARFRAC(MAX($P$34*($B70+$I$38-1),IF(AND($L$37=0,$P$34=0),"",$L$37-1)),MIN(CK$38,$E70),$P$20))-SUM($BF70:CJ70))</f>
        <v>0</v>
      </c>
      <c r="CL70" s="446">
        <f>IF($E70=0,0,IF(MIN(CL$38,$E70)&lt;MAX($P$34*($B70+$I$38-1),IF(AND($L$37=0,$P$34=0),"",$L$37-1)),0,YEARFRAC(MAX($P$34*($B70+$I$38-1),IF(AND($L$37=0,$P$34=0),"",$L$37-1)),MIN(CL$38,$E70),$P$20))-SUM($BF70:CK70))</f>
        <v>0</v>
      </c>
      <c r="CM70" s="446">
        <f>IF($E70=0,0,IF(MIN(CM$38,$E70)&lt;MAX($P$34*($B70+$I$38-1),IF(AND($L$37=0,$P$34=0),"",$L$37-1)),0,YEARFRAC(MAX($P$34*($B70+$I$38-1),IF(AND($L$37=0,$P$34=0),"",$L$37-1)),MIN(CM$38,$E70),$P$20))-SUM($BF70:CL70))</f>
        <v>0</v>
      </c>
      <c r="CN70" s="446">
        <f>IF($E70=0,0,IF(MIN(CN$38,$E70)&lt;MAX($P$34*($B70+$I$38-1),IF(AND($L$37=0,$P$34=0),"",$L$37-1)),0,YEARFRAC(MAX($P$34*($B70+$I$38-1),IF(AND($L$37=0,$P$34=0),"",$L$37-1)),MIN(CN$38,$E70),$P$20))-SUM($BF70:CM70))</f>
        <v>0</v>
      </c>
      <c r="CO70" s="446">
        <f>IF($E70=0,0,IF(MIN(CO$38,$E70)&lt;MAX($P$34*($B70+$I$38-1),IF(AND($L$37=0,$P$34=0),"",$L$37-1)),0,YEARFRAC(MAX($P$34*($B70+$I$38-1),IF(AND($L$37=0,$P$34=0),"",$L$37-1)),MIN(CO$38,$E70),$P$20))-SUM($BF70:CN70))</f>
        <v>0</v>
      </c>
      <c r="CP70" s="446">
        <f>IF($E70=0,0,IF(MIN(CP$38,$E70)&lt;MAX($P$34*($B70+$I$38-1),IF(AND($L$37=0,$P$34=0),"",$L$37-1)),0,YEARFRAC(MAX($P$34*($B70+$I$38-1),IF(AND($L$37=0,$P$34=0),"",$L$37-1)),MIN(CP$38,$E70),$P$20))-SUM($BF70:CO70))</f>
        <v>0</v>
      </c>
      <c r="CQ70" s="446">
        <f>IF($E70=0,0,IF(MIN(CQ$38,$E70)&lt;MAX($P$34*($B70+$I$38-1),IF(AND($L$37=0,$P$34=0),"",$L$37-1)),0,YEARFRAC(MAX($P$34*($B70+$I$38-1),IF(AND($L$37=0,$P$34=0),"",$L$37-1)),MIN(CQ$38,$E70),$P$20))-SUM($BF70:CP70))</f>
        <v>0</v>
      </c>
    </row>
    <row r="71" spans="1:95" s="446" customFormat="1" ht="11.25" hidden="1" customHeight="1" x14ac:dyDescent="0.2">
      <c r="A71" s="152"/>
      <c r="B71" s="153" t="str">
        <f t="shared" si="15"/>
        <v/>
      </c>
      <c r="C71" s="29" t="str">
        <f>IF(B71="","",IF($L$35="SELIC - TRIBUTOS",VLOOKUP(DATE(YEAR($D$19),MONTH($D$19)-1,1),ÍNDICES!$A:$DE,HLOOKUP($BL$25,ÍNDICES!$B$3:$T$4,2)+11)-VLOOKUP(B71,ÍNDICES!$A:$DE,HLOOKUP($BL$25,ÍNDICES!$B$3:$T$4,2)+11)+1%,IF(C$38=$W$26,$J$35,IF(ISERROR(IF(B71&gt;$D$19,1,VLOOKUP(DATE(YEAR(B71),MONTH(B71)+IF($C$35=$S$23,1,0),1),ÍNDICES!$A:$DE,$Z$35+1))),"",IF(B71&gt;$D$19,1,VLOOKUP(DATE(YEAR(B71),MONTH(B71)+IF($C$35=$S$23,1,0),1),ÍNDICES!$A:$DE,$Z$35+1))))))</f>
        <v/>
      </c>
      <c r="D71" s="154" t="str">
        <f>IF(ISERROR(IF(OR($D$38=$Y$27,$B71=""),"",VLOOKUP(B71,ÍNDICES!A:DE,AF$35+1))),"",IF(OR($D$38=$Y$27,$B71=""),"",VLOOKUP(B71,ÍNDICES!A:DE,AF$35+1)))</f>
        <v/>
      </c>
      <c r="E71" s="153"/>
      <c r="F71" s="29" t="str">
        <f>IF(E71="","",IF($L$35="SELIC - TRIBUTOS",VLOOKUP(DATE(YEAR($D$19),MONTH($D$19)-1,1),ÍNDICES!$A:$DE,HLOOKUP($BL$25,ÍNDICES!$B$3:$T$4,2)+11)-VLOOKUP(E71,ÍNDICES!$A:$DE,HLOOKUP($BL$25,ÍNDICES!$B$3:$T$4,2)+11)+1%,IF(F$38=$W$26,$J$35,IF(ISERROR(IF(E71&gt;$D$19,1,VLOOKUP(DATE(YEAR(E71),MONTH(E71)+IF($C$35=$S$23,1,0),1),ÍNDICES!$A:$DE,$Z$35+1))),"",IF(E71&gt;$D$19,1,VLOOKUP(DATE(YEAR(E71),MONTH(E71)+IF($C$35=$S$23,1,0),1),ÍNDICES!$A:$DE,$Z$35+1))))))</f>
        <v/>
      </c>
      <c r="G71" s="155"/>
      <c r="H71" s="156" t="str">
        <f t="shared" si="11"/>
        <v/>
      </c>
      <c r="I71" s="29" t="str">
        <f t="shared" si="5"/>
        <v/>
      </c>
      <c r="J71" s="5">
        <f t="shared" si="6"/>
        <v>0</v>
      </c>
      <c r="K71" s="20">
        <f t="shared" ca="1" si="7"/>
        <v>0</v>
      </c>
      <c r="L71" s="5">
        <f t="shared" ca="1" si="8"/>
        <v>0</v>
      </c>
      <c r="M71" s="64">
        <f t="shared" si="12"/>
        <v>0</v>
      </c>
      <c r="N71" s="61">
        <f t="shared" ca="1" si="13"/>
        <v>0</v>
      </c>
      <c r="O71" s="5">
        <f t="shared" ca="1" si="14"/>
        <v>0</v>
      </c>
      <c r="P71" s="446" t="e">
        <f t="shared" si="9"/>
        <v>#VALUE!</v>
      </c>
      <c r="Q71" s="446" t="e">
        <f>IF(OR($B71="",MIN(Q$38,$D$19)&lt;MAX($P$34*($B71+IF($R$17="Distrato",$I$38-1,0)),IF(AND($L$37=0,$P$34=0),"",$L$37-1),IF($R$17="Distrato",$E71,0))),0,YEARFRAC(MAX($P$34*($B71+IF($R$17="Distrato",$I$38-1,0)),IF(AND($L$37=0,$P$34=0),"",$L$37-1),IF($R$17="Distrato",$E71,0)),MIN(Q$38,$D$19),$P$20))-SUM($P71:P71)</f>
        <v>#VALUE!</v>
      </c>
      <c r="R71" s="446" t="e">
        <f>IF(OR($B71="",MIN(R$38,$D$19)&lt;MAX($P$34*($B71+IF($R$17="Distrato",$I$38-1,0)),IF(AND($L$37=0,$P$34=0),"",$L$37-1),IF($R$17="Distrato",$E71,0))),0,YEARFRAC(MAX($P$34*($B71+IF($R$17="Distrato",$I$38-1,0)),IF(AND($L$37=0,$P$34=0),"",$L$37-1),IF($R$17="Distrato",$E71,0)),MIN(R$38,$D$19),$P$20))-SUM($P71:Q71)</f>
        <v>#VALUE!</v>
      </c>
      <c r="S71" s="446" t="e">
        <f>IF(OR($B71="",MIN(S$38,$D$19)&lt;MAX($P$34*($B71+IF($R$17="Distrato",$I$38-1,0)),IF(AND($L$37=0,$P$34=0),"",$L$37-1),IF($R$17="Distrato",$E71,0))),0,YEARFRAC(MAX($P$34*($B71+IF($R$17="Distrato",$I$38-1,0)),IF(AND($L$37=0,$P$34=0),"",$L$37-1),IF($R$17="Distrato",$E71,0)),MIN(S$38,$D$19),$P$20))-SUM($P71:R71)</f>
        <v>#VALUE!</v>
      </c>
      <c r="T71" s="446" t="e">
        <f>IF(OR($B71="",MIN(T$38,$D$19)&lt;MAX($P$34*($B71+IF($R$17="Distrato",$I$38-1,0)),IF(AND($L$37=0,$P$34=0),"",$L$37-1),IF($R$17="Distrato",$E71,0))),0,YEARFRAC(MAX($P$34*($B71+IF($R$17="Distrato",$I$38-1,0)),IF(AND($L$37=0,$P$34=0),"",$L$37-1),IF($R$17="Distrato",$E71,0)),MIN(T$38,$D$19),$P$20))-SUM($P71:S71)</f>
        <v>#VALUE!</v>
      </c>
      <c r="U71" s="446" t="e">
        <f>IF(OR($B71="",MIN(U$38,$D$19)&lt;MAX($P$34*($B71+IF($R$17="Distrato",$I$38-1,0)),IF(AND($L$37=0,$P$34=0),"",$L$37-1),IF($R$17="Distrato",$E71,0))),0,YEARFRAC(MAX($P$34*($B71+IF($R$17="Distrato",$I$38-1,0)),IF(AND($L$37=0,$P$34=0),"",$L$37-1),IF($R$17="Distrato",$E71,0)),MIN(U$38,$D$19),$P$20))-SUM($P71:T71)</f>
        <v>#VALUE!</v>
      </c>
      <c r="V71" s="446" t="e">
        <f>IF(OR($B71="",MIN(V$38,$D$19)&lt;MAX($P$34*($B71+IF($R$17="Distrato",$I$38-1,0)),IF(AND($L$37=0,$P$34=0),"",$L$37-1),IF($R$17="Distrato",$E71,0))),0,YEARFRAC(MAX($P$34*($B71+IF($R$17="Distrato",$I$38-1,0)),IF(AND($L$37=0,$P$34=0),"",$L$37-1),IF($R$17="Distrato",$E71,0)),MIN(V$38,$D$19),$P$20))-SUM($P71:U71)</f>
        <v>#VALUE!</v>
      </c>
      <c r="W71" s="446" t="e">
        <f>IF(OR($B71="",MIN(W$38,$D$19)&lt;MAX($P$34*($B71+IF($R$17="Distrato",$I$38-1,0)),IF(AND($L$37=0,$P$34=0),"",$L$37-1),IF($R$17="Distrato",$E71,0))),0,YEARFRAC(MAX($P$34*($B71+IF($R$17="Distrato",$I$38-1,0)),IF(AND($L$37=0,$P$34=0),"",$L$37-1),IF($R$17="Distrato",$E71,0)),MIN(W$38,$D$19),$P$20))-SUM($P71:V71)</f>
        <v>#VALUE!</v>
      </c>
      <c r="X71" s="446" t="e">
        <f>IF(OR($B71="",MIN(X$38,$D$19)&lt;MAX($P$34*($B71+IF($R$17="Distrato",$I$38-1,0)),IF(AND($L$37=0,$P$34=0),"",$L$37-1),IF($R$17="Distrato",$E71,0))),0,YEARFRAC(MAX($P$34*($B71+IF($R$17="Distrato",$I$38-1,0)),IF(AND($L$37=0,$P$34=0),"",$L$37-1),IF($R$17="Distrato",$E71,0)),MIN(X$38,$D$19),$P$20))-SUM($P71:W71)</f>
        <v>#VALUE!</v>
      </c>
      <c r="Y71" s="446" t="e">
        <f>IF(OR($B71="",MIN(Y$38,$D$19)&lt;MAX($P$34*($B71+IF($R$17="Distrato",$I$38-1,0)),IF(AND($L$37=0,$P$34=0),"",$L$37-1),IF($R$17="Distrato",$E71,0))),0,YEARFRAC(MAX($P$34*($B71+IF($R$17="Distrato",$I$38-1,0)),IF(AND($L$37=0,$P$34=0),"",$L$37-1),IF($R$17="Distrato",$E71,0)),MIN(Y$38,$D$19),$P$20))-SUM($P71:X71)</f>
        <v>#VALUE!</v>
      </c>
      <c r="Z71" s="446" t="e">
        <f>IF(OR($B71="",MIN(Z$38,$D$19)&lt;MAX($P$34*($B71+IF($R$17="Distrato",$I$38-1,0)),IF(AND($L$37=0,$P$34=0),"",$L$37-1),IF($R$17="Distrato",$E71,0))),0,YEARFRAC(MAX($P$34*($B71+IF($R$17="Distrato",$I$38-1,0)),IF(AND($L$37=0,$P$34=0),"",$L$37-1),IF($R$17="Distrato",$E71,0)),MIN(Z$38,$D$19),$P$20))-SUM($P71:Y71)</f>
        <v>#VALUE!</v>
      </c>
      <c r="AA71" s="446" t="e">
        <f>IF(OR($B71="",MIN(AA$38,$D$19)&lt;MAX($P$34*($B71+IF($R$17="Distrato",$I$38-1,0)),IF(AND($L$37=0,$P$34=0),"",$L$37-1),IF($R$17="Distrato",$E71,0))),0,YEARFRAC(MAX($P$34*($B71+IF($R$17="Distrato",$I$38-1,0)),IF(AND($L$37=0,$P$34=0),"",$L$37-1),IF($R$17="Distrato",$E71,0)),MIN(AA$38,$D$19),$P$20))-SUM($P71:Z71)</f>
        <v>#VALUE!</v>
      </c>
      <c r="AB71" s="446" t="e">
        <f>IF(OR($B71="",MIN(AB$38,$D$19)&lt;MAX($P$34*($B71+IF($R$17="Distrato",$I$38-1,0)),IF(AND($L$37=0,$P$34=0),"",$L$37-1),IF($R$17="Distrato",$E71,0))),0,YEARFRAC(MAX($P$34*($B71+IF($R$17="Distrato",$I$38-1,0)),IF(AND($L$37=0,$P$34=0),"",$L$37-1),IF($R$17="Distrato",$E71,0)),MIN(AB$38,$D$19),$P$20))-SUM($P71:AA71)</f>
        <v>#VALUE!</v>
      </c>
      <c r="AC71" s="446" t="e">
        <f>IF(OR($B71="",MIN(AC$38,$D$19)&lt;MAX($P$34*($B71+IF($R$17="Distrato",$I$38-1,0)),IF(AND($L$37=0,$P$34=0),"",$L$37-1),IF($R$17="Distrato",$E71,0))),0,YEARFRAC(MAX($P$34*($B71+IF($R$17="Distrato",$I$38-1,0)),IF(AND($L$37=0,$P$34=0),"",$L$37-1),IF($R$17="Distrato",$E71,0)),MIN(AC$38,$D$19),$P$20))-SUM($P71:AB71)</f>
        <v>#VALUE!</v>
      </c>
      <c r="AD71" s="446" t="e">
        <f>IF(OR($B71="",MIN(AD$38,$D$19)&lt;MAX($P$34*($B71+IF($R$17="Distrato",$I$38-1,0)),IF(AND($L$37=0,$P$34=0),"",$L$37-1),IF($R$17="Distrato",$E71,0))),0,YEARFRAC(MAX($P$34*($B71+IF($R$17="Distrato",$I$38-1,0)),IF(AND($L$37=0,$P$34=0),"",$L$37-1),IF($R$17="Distrato",$E71,0)),MIN(AD$38,$D$19),$P$20))-SUM($P71:AC71)</f>
        <v>#VALUE!</v>
      </c>
      <c r="AE71" s="446" t="e">
        <f>IF(OR($B71="",MIN(AE$38,$D$19)&lt;MAX($P$34*($B71+IF($R$17="Distrato",$I$38-1,0)),IF(AND($L$37=0,$P$34=0),"",$L$37-1),IF($R$17="Distrato",$E71,0))),0,YEARFRAC(MAX($P$34*($B71+IF($R$17="Distrato",$I$38-1,0)),IF(AND($L$37=0,$P$34=0),"",$L$37-1),IF($R$17="Distrato",$E71,0)),MIN(AE$38,$D$19),$P$20))-SUM($P71:AD71)</f>
        <v>#VALUE!</v>
      </c>
      <c r="AF71" s="446" t="e">
        <f>IF(OR($B71="",MIN(AF$38,$D$19)&lt;MAX($P$34*($B71+IF($R$17="Distrato",$I$38-1,0)),IF(AND($L$37=0,$P$34=0),"",$L$37-1),IF($R$17="Distrato",$E71,0))),0,YEARFRAC(MAX($P$34*($B71+IF($R$17="Distrato",$I$38-1,0)),IF(AND($L$37=0,$P$34=0),"",$L$37-1),IF($R$17="Distrato",$E71,0)),MIN(AF$38,$D$19),$P$20))-SUM($P71:AE71)</f>
        <v>#VALUE!</v>
      </c>
      <c r="AG71" s="446" t="e">
        <f>IF(OR($B71="",MIN(AG$38,$D$19)&lt;MAX($P$34*($B71+IF($R$17="Distrato",$I$38-1,0)),IF(AND($L$37=0,$P$34=0),"",$L$37-1),IF($R$17="Distrato",$E71,0))),0,YEARFRAC(MAX($P$34*($B71+IF($R$17="Distrato",$I$38-1,0)),IF(AND($L$37=0,$P$34=0),"",$L$37-1),IF($R$17="Distrato",$E71,0)),MIN(AG$38,$D$19),$P$20))-SUM($P71:AF71)</f>
        <v>#VALUE!</v>
      </c>
      <c r="AH71" s="446" t="e">
        <f>IF(OR($B71="",MIN(AH$38,$D$19)&lt;MAX($P$34*($B71+IF($R$17="Distrato",$I$38-1,0)),IF(AND($L$37=0,$P$34=0),"",$L$37-1),IF($R$17="Distrato",$E71,0))),0,YEARFRAC(MAX($P$34*($B71+IF($R$17="Distrato",$I$38-1,0)),IF(AND($L$37=0,$P$34=0),"",$L$37-1),IF($R$17="Distrato",$E71,0)),MIN(AH$38,$D$19),$P$20))-SUM($P71:AG71)</f>
        <v>#VALUE!</v>
      </c>
      <c r="AI71" s="446" t="e">
        <f>IF(OR($B71="",MIN(AI$38,$D$19)&lt;MAX($P$34*($B71+IF($R$17="Distrato",$I$38-1,0)),IF(AND($L$37=0,$P$34=0),"",$L$37-1),IF($R$17="Distrato",$E71,0))),0,YEARFRAC(MAX($P$34*($B71+IF($R$17="Distrato",$I$38-1,0)),IF(AND($L$37=0,$P$34=0),"",$L$37-1),IF($R$17="Distrato",$E71,0)),MIN(AI$38,$D$19),$P$20))-SUM($P71:AH71)</f>
        <v>#VALUE!</v>
      </c>
      <c r="AJ71" s="446" t="e">
        <f>IF(OR($B71="",MIN(AJ$38,$D$19)&lt;MAX($P$34*($B71+IF($R$17="Distrato",$I$38-1,0)),IF(AND($L$37=0,$P$34=0),"",$L$37-1),IF($R$17="Distrato",$E71,0))),0,YEARFRAC(MAX($P$34*($B71+IF($R$17="Distrato",$I$38-1,0)),IF(AND($L$37=0,$P$34=0),"",$L$37-1),IF($R$17="Distrato",$E71,0)),MIN(AJ$38,$D$19),$P$20))-SUM($P71:AI71)</f>
        <v>#VALUE!</v>
      </c>
      <c r="AK71" s="446" t="e">
        <f>IF(OR($B71="",MIN(AK$38,$D$19)&lt;MAX($P$34*($B71+IF($R$17="Distrato",$I$38-1,0)),IF(AND($L$37=0,$P$34=0),"",$L$37-1),IF($R$17="Distrato",$E71,0))),0,YEARFRAC(MAX($P$34*($B71+IF($R$17="Distrato",$I$38-1,0)),IF(AND($L$37=0,$P$34=0),"",$L$37-1),IF($R$17="Distrato",$E71,0)),MIN(AK$38,$D$19),$P$20))-SUM($P71:AJ71)</f>
        <v>#VALUE!</v>
      </c>
      <c r="AL71" s="446" t="e">
        <f>IF(OR($B71="",MIN(AL$38,$D$19)&lt;MAX($P$34*($B71+IF($R$17="Distrato",$I$38-1,0)),IF(AND($L$37=0,$P$34=0),"",$L$37-1),IF($R$17="Distrato",$E71,0))),0,YEARFRAC(MAX($P$34*($B71+IF($R$17="Distrato",$I$38-1,0)),IF(AND($L$37=0,$P$34=0),"",$L$37-1),IF($R$17="Distrato",$E71,0)),MIN(AL$38,$D$19),$P$20))-SUM($P71:AK71)</f>
        <v>#VALUE!</v>
      </c>
      <c r="AM71" s="446" t="e">
        <f>IF(OR($B71="",MIN(AM$38,$D$19)&lt;MAX($P$34*($B71+IF($R$17="Distrato",$I$38-1,0)),IF(AND($L$37=0,$P$34=0),"",$L$37-1),IF($R$17="Distrato",$E71,0))),0,YEARFRAC(MAX($P$34*($B71+IF($R$17="Distrato",$I$38-1,0)),IF(AND($L$37=0,$P$34=0),"",$L$37-1),IF($R$17="Distrato",$E71,0)),MIN(AM$38,$D$19),$P$20))-SUM($P71:AL71)</f>
        <v>#VALUE!</v>
      </c>
      <c r="AN71" s="446" t="e">
        <f>IF(OR($B71="",MIN(AN$38,$D$19)&lt;MAX($P$34*($B71+IF($R$17="Distrato",$I$38-1,0)),IF(AND($L$37=0,$P$34=0),"",$L$37-1),IF($R$17="Distrato",$E71,0))),0,YEARFRAC(MAX($P$34*($B71+IF($R$17="Distrato",$I$38-1,0)),IF(AND($L$37=0,$P$34=0),"",$L$37-1),IF($R$17="Distrato",$E71,0)),MIN(AN$38,$D$19),$P$20))-SUM($P71:AM71)</f>
        <v>#VALUE!</v>
      </c>
      <c r="AO71" s="446" t="e">
        <f>IF(OR($B71="",MIN(AO$38,$D$19)&lt;MAX($P$34*($B71+IF($R$17="Distrato",$I$38-1,0)),IF(AND($L$37=0,$P$34=0),"",$L$37-1),IF($R$17="Distrato",$E71,0))),0,YEARFRAC(MAX($P$34*($B71+IF($R$17="Distrato",$I$38-1,0)),IF(AND($L$37=0,$P$34=0),"",$L$37-1),IF($R$17="Distrato",$E71,0)),MIN(AO$38,$D$19),$P$20))-SUM($P71:AN71)</f>
        <v>#VALUE!</v>
      </c>
      <c r="AP71" s="446" t="e">
        <f>IF(OR($B71="",MIN(AP$38,$D$19)&lt;MAX($P$34*($B71+IF($R$17="Distrato",$I$38-1,0)),IF(AND($L$37=0,$P$34=0),"",$L$37-1),IF($R$17="Distrato",$E71,0))),0,YEARFRAC(MAX($P$34*($B71+IF($R$17="Distrato",$I$38-1,0)),IF(AND($L$37=0,$P$34=0),"",$L$37-1),IF($R$17="Distrato",$E71,0)),MIN(AP$38,$D$19),$P$20))-SUM($P71:AO71)</f>
        <v>#VALUE!</v>
      </c>
      <c r="AQ71" s="446" t="e">
        <f>IF(OR($B71="",MIN(AQ$38,$D$19)&lt;MAX($P$34*($B71+IF($R$17="Distrato",$I$38-1,0)),IF(AND($L$37=0,$P$34=0),"",$L$37-1),IF($R$17="Distrato",$E71,0))),0,YEARFRAC(MAX($P$34*($B71+IF($R$17="Distrato",$I$38-1,0)),IF(AND($L$37=0,$P$34=0),"",$L$37-1),IF($R$17="Distrato",$E71,0)),MIN(AQ$38,$D$19),$P$20))-SUM($P71:AP71)</f>
        <v>#VALUE!</v>
      </c>
      <c r="AR71" s="446" t="e">
        <f>IF(OR($B71="",MIN(AR$38,$D$19)&lt;MAX($P$34*($B71+IF($R$17="Distrato",$I$38-1,0)),IF(AND($L$37=0,$P$34=0),"",$L$37-1),IF($R$17="Distrato",$E71,0))),0,YEARFRAC(MAX($P$34*($B71+IF($R$17="Distrato",$I$38-1,0)),IF(AND($L$37=0,$P$34=0),"",$L$37-1),IF($R$17="Distrato",$E71,0)),MIN(AR$38,$D$19),$P$20))-SUM($P71:AQ71)</f>
        <v>#VALUE!</v>
      </c>
      <c r="AS71" s="446" t="e">
        <f>IF(OR($B71="",MIN(AS$38,$D$19)&lt;MAX($P$34*($B71+IF($R$17="Distrato",$I$38-1,0)),IF(AND($L$37=0,$P$34=0),"",$L$37-1),IF($R$17="Distrato",$E71,0))),0,YEARFRAC(MAX($P$34*($B71+IF($R$17="Distrato",$I$38-1,0)),IF(AND($L$37=0,$P$34=0),"",$L$37-1),IF($R$17="Distrato",$E71,0)),MIN(AS$38,$D$19),$P$20))-SUM($P71:AR71)</f>
        <v>#VALUE!</v>
      </c>
      <c r="AT71" s="446" t="e">
        <f>IF(OR($B71="",MIN(AT$38,$D$19)&lt;MAX($P$34*($B71+IF($R$17="Distrato",$I$38-1,0)),IF(AND($L$37=0,$P$34=0),"",$L$37-1),IF($R$17="Distrato",$E71,0))),0,YEARFRAC(MAX($P$34*($B71+IF($R$17="Distrato",$I$38-1,0)),IF(AND($L$37=0,$P$34=0),"",$L$37-1),IF($R$17="Distrato",$E71,0)),MIN(AT$38,$D$19),$P$20))-SUM($P71:AS71)</f>
        <v>#VALUE!</v>
      </c>
      <c r="AU71" s="446" t="e">
        <f>IF(OR($B71="",MIN(AU$38,$D$19)&lt;MAX($P$34*($B71+IF($R$17="Distrato",$I$38-1,0)),IF(AND($L$37=0,$P$34=0),"",$L$37-1),IF($R$17="Distrato",$E71,0))),0,YEARFRAC(MAX($P$34*($B71+IF($R$17="Distrato",$I$38-1,0)),IF(AND($L$37=0,$P$34=0),"",$L$37-1),IF($R$17="Distrato",$E71,0)),MIN(AU$38,$D$19),$P$20))-SUM($P71:AT71)</f>
        <v>#VALUE!</v>
      </c>
      <c r="AV71" s="446" t="e">
        <f>IF(OR($B71="",MIN(AV$38,$D$19)&lt;MAX($P$34*($B71+IF($R$17="Distrato",$I$38-1,0)),IF(AND($L$37=0,$P$34=0),"",$L$37-1),IF($R$17="Distrato",$E71,0))),0,YEARFRAC(MAX($P$34*($B71+IF($R$17="Distrato",$I$38-1,0)),IF(AND($L$37=0,$P$34=0),"",$L$37-1),IF($R$17="Distrato",$E71,0)),MIN(AV$38,$D$19),$P$20))-SUM($P71:AU71)</f>
        <v>#VALUE!</v>
      </c>
      <c r="AW71" s="446" t="e">
        <f>IF(OR($B71="",MIN(AW$38,$D$19)&lt;MAX($P$34*($B71+IF($R$17="Distrato",$I$38-1,0)),IF(AND($L$37=0,$P$34=0),"",$L$37-1),IF($R$17="Distrato",$E71,0))),0,YEARFRAC(MAX($P$34*($B71+IF($R$17="Distrato",$I$38-1,0)),IF(AND($L$37=0,$P$34=0),"",$L$37-1),IF($R$17="Distrato",$E71,0)),MIN(AW$38,$D$19),$P$20))-SUM($P71:AV71)</f>
        <v>#VALUE!</v>
      </c>
      <c r="AX71" s="446" t="e">
        <f>IF(OR($B71="",MIN(AX$38,$D$19)&lt;MAX($P$34*($B71+IF($R$17="Distrato",$I$38-1,0)),IF(AND($L$37=0,$P$34=0),"",$L$37-1),IF($R$17="Distrato",$E71,0))),0,YEARFRAC(MAX($P$34*($B71+IF($R$17="Distrato",$I$38-1,0)),IF(AND($L$37=0,$P$34=0),"",$L$37-1),IF($R$17="Distrato",$E71,0)),MIN(AX$38,$D$19),$P$20))-SUM($P71:AW71)</f>
        <v>#VALUE!</v>
      </c>
      <c r="AY71" s="446" t="e">
        <f>IF(OR($B71="",MIN(AY$38,$D$19)&lt;MAX($P$34*($B71+IF($R$17="Distrato",$I$38-1,0)),IF(AND($L$37=0,$P$34=0),"",$L$37-1),IF($R$17="Distrato",$E71,0))),0,YEARFRAC(MAX($P$34*($B71+IF($R$17="Distrato",$I$38-1,0)),IF(AND($L$37=0,$P$34=0),"",$L$37-1),IF($R$17="Distrato",$E71,0)),MIN(AY$38,$D$19),$P$20))-SUM($P71:AX71)</f>
        <v>#VALUE!</v>
      </c>
      <c r="AZ71" s="446" t="e">
        <f>IF(OR($B71="",MIN(AZ$38,$D$19)&lt;MAX($P$34*($B71+IF($R$17="Distrato",$I$38-1,0)),IF(AND($L$37=0,$P$34=0),"",$L$37-1),IF($R$17="Distrato",$E71,0))),0,YEARFRAC(MAX($P$34*($B71+IF($R$17="Distrato",$I$38-1,0)),IF(AND($L$37=0,$P$34=0),"",$L$37-1),IF($R$17="Distrato",$E71,0)),MIN(AZ$38,$D$19),$P$20))-SUM($P71:AY71)</f>
        <v>#VALUE!</v>
      </c>
      <c r="BA71" s="446" t="e">
        <f>IF(OR($B71="",MIN(BA$38,$D$19)&lt;MAX($P$34*($B71+IF($R$17="Distrato",$I$38-1,0)),IF(AND($L$37=0,$P$34=0),"",$L$37-1),IF($R$17="Distrato",$E71,0))),0,YEARFRAC(MAX($P$34*($B71+IF($R$17="Distrato",$I$38-1,0)),IF(AND($L$37=0,$P$34=0),"",$L$37-1),IF($R$17="Distrato",$E71,0)),MIN(BA$38,$D$19),$P$20))-SUM($P71:AZ71)</f>
        <v>#VALUE!</v>
      </c>
      <c r="BB71" s="447"/>
      <c r="BF71" s="446">
        <f t="shared" si="10"/>
        <v>0</v>
      </c>
      <c r="BG71" s="446">
        <f>IF($E71=0,0,IF(MIN(BG$38,$E71)&lt;MAX($P$34*($B71+$I$38-1),IF(AND($L$37=0,$P$34=0),"",$L$37-1)),0,YEARFRAC(MAX($P$34*($B71+$I$38-1),IF(AND($L$37=0,$P$34=0),"",$L$37-1)),MIN(BG$38,$E71),$P$20))-SUM($BF71:BF71))</f>
        <v>0</v>
      </c>
      <c r="BH71" s="446">
        <f>IF($E71=0,0,IF(MIN(BH$38,$E71)&lt;MAX($P$34*($B71+$I$38-1),IF(AND($L$37=0,$P$34=0),"",$L$37-1)),0,YEARFRAC(MAX($P$34*($B71+$I$38-1),IF(AND($L$37=0,$P$34=0),"",$L$37-1)),MIN(BH$38,$E71),$P$20))-SUM($BF71:BG71))</f>
        <v>0</v>
      </c>
      <c r="BI71" s="446">
        <f>IF($E71=0,0,IF(MIN(BI$38,$E71)&lt;MAX($P$34*($B71+$I$38-1),IF(AND($L$37=0,$P$34=0),"",$L$37-1)),0,YEARFRAC(MAX($P$34*($B71+$I$38-1),IF(AND($L$37=0,$P$34=0),"",$L$37-1)),MIN(BI$38,$E71),$P$20))-SUM($BF71:BH71))</f>
        <v>0</v>
      </c>
      <c r="BJ71" s="446">
        <f>IF($E71=0,0,IF(MIN(BJ$38,$E71)&lt;MAX($P$34*($B71+$I$38-1),IF(AND($L$37=0,$P$34=0),"",$L$37-1)),0,YEARFRAC(MAX($P$34*($B71+$I$38-1),IF(AND($L$37=0,$P$34=0),"",$L$37-1)),MIN(BJ$38,$E71),$P$20))-SUM($BF71:BI71))</f>
        <v>0</v>
      </c>
      <c r="BK71" s="446">
        <f>IF($E71=0,0,IF(MIN(BK$38,$E71)&lt;MAX($P$34*($B71+$I$38-1),IF(AND($L$37=0,$P$34=0),"",$L$37-1)),0,YEARFRAC(MAX($P$34*($B71+$I$38-1),IF(AND($L$37=0,$P$34=0),"",$L$37-1)),MIN(BK$38,$E71),$P$20))-SUM($BF71:BJ71))</f>
        <v>0</v>
      </c>
      <c r="BL71" s="446">
        <f>IF($E71=0,0,IF(MIN(BL$38,$E71)&lt;MAX($P$34*($B71+$I$38-1),IF(AND($L$37=0,$P$34=0),"",$L$37-1)),0,YEARFRAC(MAX($P$34*($B71+$I$38-1),IF(AND($L$37=0,$P$34=0),"",$L$37-1)),MIN(BL$38,$E71),$P$20))-SUM($BF71:BK71))</f>
        <v>0</v>
      </c>
      <c r="BM71" s="446">
        <f>IF($E71=0,0,IF(MIN(BM$38,$E71)&lt;MAX($P$34*($B71+$I$38-1),IF(AND($L$37=0,$P$34=0),"",$L$37-1)),0,YEARFRAC(MAX($P$34*($B71+$I$38-1),IF(AND($L$37=0,$P$34=0),"",$L$37-1)),MIN(BM$38,$E71),$P$20))-SUM($BF71:BL71))</f>
        <v>0</v>
      </c>
      <c r="BN71" s="446">
        <f>IF($E71=0,0,IF(MIN(BN$38,$E71)&lt;MAX($P$34*($B71+$I$38-1),IF(AND($L$37=0,$P$34=0),"",$L$37-1)),0,YEARFRAC(MAX($P$34*($B71+$I$38-1),IF(AND($L$37=0,$P$34=0),"",$L$37-1)),MIN(BN$38,$E71),$P$20))-SUM($BF71:BM71))</f>
        <v>0</v>
      </c>
      <c r="BO71" s="446">
        <f>IF($E71=0,0,IF(MIN(BO$38,$E71)&lt;MAX($P$34*($B71+$I$38-1),IF(AND($L$37=0,$P$34=0),"",$L$37-1)),0,YEARFRAC(MAX($P$34*($B71+$I$38-1),IF(AND($L$37=0,$P$34=0),"",$L$37-1)),MIN(BO$38,$E71),$P$20))-SUM($BF71:BN71))</f>
        <v>0</v>
      </c>
      <c r="BP71" s="446">
        <f>IF($E71=0,0,IF(MIN(BP$38,$E71)&lt;MAX($P$34*($B71+$I$38-1),IF(AND($L$37=0,$P$34=0),"",$L$37-1)),0,YEARFRAC(MAX($P$34*($B71+$I$38-1),IF(AND($L$37=0,$P$34=0),"",$L$37-1)),MIN(BP$38,$E71),$P$20))-SUM($BF71:BO71))</f>
        <v>0</v>
      </c>
      <c r="BQ71" s="446">
        <f>IF($E71=0,0,IF(MIN(BQ$38,$E71)&lt;MAX($P$34*($B71+$I$38-1),IF(AND($L$37=0,$P$34=0),"",$L$37-1)),0,YEARFRAC(MAX($P$34*($B71+$I$38-1),IF(AND($L$37=0,$P$34=0),"",$L$37-1)),MIN(BQ$38,$E71),$P$20))-SUM($BF71:BP71))</f>
        <v>0</v>
      </c>
      <c r="BR71" s="446">
        <f>IF($E71=0,0,IF(MIN(BR$38,$E71)&lt;MAX($P$34*($B71+$I$38-1),IF(AND($L$37=0,$P$34=0),"",$L$37-1)),0,YEARFRAC(MAX($P$34*($B71+$I$38-1),IF(AND($L$37=0,$P$34=0),"",$L$37-1)),MIN(BR$38,$E71),$P$20))-SUM($BF71:BQ71))</f>
        <v>0</v>
      </c>
      <c r="BS71" s="446">
        <f>IF($E71=0,0,IF(MIN(BS$38,$E71)&lt;MAX($P$34*($B71+$I$38-1),IF(AND($L$37=0,$P$34=0),"",$L$37-1)),0,YEARFRAC(MAX($P$34*($B71+$I$38-1),IF(AND($L$37=0,$P$34=0),"",$L$37-1)),MIN(BS$38,$E71),$P$20))-SUM($BF71:BR71))</f>
        <v>0</v>
      </c>
      <c r="BT71" s="446">
        <f>IF($E71=0,0,IF(MIN(BT$38,$E71)&lt;MAX($P$34*($B71+$I$38-1),IF(AND($L$37=0,$P$34=0),"",$L$37-1)),0,YEARFRAC(MAX($P$34*($B71+$I$38-1),IF(AND($L$37=0,$P$34=0),"",$L$37-1)),MIN(BT$38,$E71),$P$20))-SUM($BF71:BS71))</f>
        <v>0</v>
      </c>
      <c r="BU71" s="446">
        <f>IF($E71=0,0,IF(MIN(BU$38,$E71)&lt;MAX($P$34*($B71+$I$38-1),IF(AND($L$37=0,$P$34=0),"",$L$37-1)),0,YEARFRAC(MAX($P$34*($B71+$I$38-1),IF(AND($L$37=0,$P$34=0),"",$L$37-1)),MIN(BU$38,$E71),$P$20))-SUM($BF71:BT71))</f>
        <v>0</v>
      </c>
      <c r="BV71" s="446">
        <f>IF($E71=0,0,IF(MIN(BV$38,$E71)&lt;MAX($P$34*($B71+$I$38-1),IF(AND($L$37=0,$P$34=0),"",$L$37-1)),0,YEARFRAC(MAX($P$34*($B71+$I$38-1),IF(AND($L$37=0,$P$34=0),"",$L$37-1)),MIN(BV$38,$E71),$P$20))-SUM($BF71:BU71))</f>
        <v>0</v>
      </c>
      <c r="BW71" s="446">
        <f>IF($E71=0,0,IF(MIN(BW$38,$E71)&lt;MAX($P$34*($B71+$I$38-1),IF(AND($L$37=0,$P$34=0),"",$L$37-1)),0,YEARFRAC(MAX($P$34*($B71+$I$38-1),IF(AND($L$37=0,$P$34=0),"",$L$37-1)),MIN(BW$38,$E71),$P$20))-SUM($BF71:BV71))</f>
        <v>0</v>
      </c>
      <c r="BX71" s="446">
        <f>IF($E71=0,0,IF(MIN(BX$38,$E71)&lt;MAX($P$34*($B71+$I$38-1),IF(AND($L$37=0,$P$34=0),"",$L$37-1)),0,YEARFRAC(MAX($P$34*($B71+$I$38-1),IF(AND($L$37=0,$P$34=0),"",$L$37-1)),MIN(BX$38,$E71),$P$20))-SUM($BF71:BW71))</f>
        <v>0</v>
      </c>
      <c r="BY71" s="446">
        <f>IF($E71=0,0,IF(MIN(BY$38,$E71)&lt;MAX($P$34*($B71+$I$38-1),IF(AND($L$37=0,$P$34=0),"",$L$37-1)),0,YEARFRAC(MAX($P$34*($B71+$I$38-1),IF(AND($L$37=0,$P$34=0),"",$L$37-1)),MIN(BY$38,$E71),$P$20))-SUM($BF71:BX71))</f>
        <v>0</v>
      </c>
      <c r="BZ71" s="446">
        <f>IF($E71=0,0,IF(MIN(BZ$38,$E71)&lt;MAX($P$34*($B71+$I$38-1),IF(AND($L$37=0,$P$34=0),"",$L$37-1)),0,YEARFRAC(MAX($P$34*($B71+$I$38-1),IF(AND($L$37=0,$P$34=0),"",$L$37-1)),MIN(BZ$38,$E71),$P$20))-SUM($BF71:BY71))</f>
        <v>0</v>
      </c>
      <c r="CA71" s="446">
        <f>IF($E71=0,0,IF(MIN(CA$38,$E71)&lt;MAX($P$34*($B71+$I$38-1),IF(AND($L$37=0,$P$34=0),"",$L$37-1)),0,YEARFRAC(MAX($P$34*($B71+$I$38-1),IF(AND($L$37=0,$P$34=0),"",$L$37-1)),MIN(CA$38,$E71),$P$20))-SUM($BF71:BZ71))</f>
        <v>0</v>
      </c>
      <c r="CB71" s="446">
        <f>IF($E71=0,0,IF(MIN(CB$38,$E71)&lt;MAX($P$34*($B71+$I$38-1),IF(AND($L$37=0,$P$34=0),"",$L$37-1)),0,YEARFRAC(MAX($P$34*($B71+$I$38-1),IF(AND($L$37=0,$P$34=0),"",$L$37-1)),MIN(CB$38,$E71),$P$20))-SUM($BF71:CA71))</f>
        <v>0</v>
      </c>
      <c r="CC71" s="446">
        <f>IF($E71=0,0,IF(MIN(CC$38,$E71)&lt;MAX($P$34*($B71+$I$38-1),IF(AND($L$37=0,$P$34=0),"",$L$37-1)),0,YEARFRAC(MAX($P$34*($B71+$I$38-1),IF(AND($L$37=0,$P$34=0),"",$L$37-1)),MIN(CC$38,$E71),$P$20))-SUM($BF71:CB71))</f>
        <v>0</v>
      </c>
      <c r="CD71" s="446">
        <f>IF($E71=0,0,IF(MIN(CD$38,$E71)&lt;MAX($P$34*($B71+$I$38-1),IF(AND($L$37=0,$P$34=0),"",$L$37-1)),0,YEARFRAC(MAX($P$34*($B71+$I$38-1),IF(AND($L$37=0,$P$34=0),"",$L$37-1)),MIN(CD$38,$E71),$P$20))-SUM($BF71:CC71))</f>
        <v>0</v>
      </c>
      <c r="CE71" s="446">
        <f>IF($E71=0,0,IF(MIN(CE$38,$E71)&lt;MAX($P$34*($B71+$I$38-1),IF(AND($L$37=0,$P$34=0),"",$L$37-1)),0,YEARFRAC(MAX($P$34*($B71+$I$38-1),IF(AND($L$37=0,$P$34=0),"",$L$37-1)),MIN(CE$38,$E71),$P$20))-SUM($BF71:CD71))</f>
        <v>0</v>
      </c>
      <c r="CF71" s="446">
        <f>IF($E71=0,0,IF(MIN(CF$38,$E71)&lt;MAX($P$34*($B71+$I$38-1),IF(AND($L$37=0,$P$34=0),"",$L$37-1)),0,YEARFRAC(MAX($P$34*($B71+$I$38-1),IF(AND($L$37=0,$P$34=0),"",$L$37-1)),MIN(CF$38,$E71),$P$20))-SUM($BF71:CE71))</f>
        <v>0</v>
      </c>
      <c r="CG71" s="446">
        <f>IF($E71=0,0,IF(MIN(CG$38,$E71)&lt;MAX($P$34*($B71+$I$38-1),IF(AND($L$37=0,$P$34=0),"",$L$37-1)),0,YEARFRAC(MAX($P$34*($B71+$I$38-1),IF(AND($L$37=0,$P$34=0),"",$L$37-1)),MIN(CG$38,$E71),$P$20))-SUM($BF71:CF71))</f>
        <v>0</v>
      </c>
      <c r="CH71" s="446">
        <f>IF($E71=0,0,IF(MIN(CH$38,$E71)&lt;MAX($P$34*($B71+$I$38-1),IF(AND($L$37=0,$P$34=0),"",$L$37-1)),0,YEARFRAC(MAX($P$34*($B71+$I$38-1),IF(AND($L$37=0,$P$34=0),"",$L$37-1)),MIN(CH$38,$E71),$P$20))-SUM($BF71:CG71))</f>
        <v>0</v>
      </c>
      <c r="CI71" s="446">
        <f>IF($E71=0,0,IF(MIN(CI$38,$E71)&lt;MAX($P$34*($B71+$I$38-1),IF(AND($L$37=0,$P$34=0),"",$L$37-1)),0,YEARFRAC(MAX($P$34*($B71+$I$38-1),IF(AND($L$37=0,$P$34=0),"",$L$37-1)),MIN(CI$38,$E71),$P$20))-SUM($BF71:CH71))</f>
        <v>0</v>
      </c>
      <c r="CJ71" s="446">
        <f>IF($E71=0,0,IF(MIN(CJ$38,$E71)&lt;MAX($P$34*($B71+$I$38-1),IF(AND($L$37=0,$P$34=0),"",$L$37-1)),0,YEARFRAC(MAX($P$34*($B71+$I$38-1),IF(AND($L$37=0,$P$34=0),"",$L$37-1)),MIN(CJ$38,$E71),$P$20))-SUM($BF71:CI71))</f>
        <v>0</v>
      </c>
      <c r="CK71" s="446">
        <f>IF($E71=0,0,IF(MIN(CK$38,$E71)&lt;MAX($P$34*($B71+$I$38-1),IF(AND($L$37=0,$P$34=0),"",$L$37-1)),0,YEARFRAC(MAX($P$34*($B71+$I$38-1),IF(AND($L$37=0,$P$34=0),"",$L$37-1)),MIN(CK$38,$E71),$P$20))-SUM($BF71:CJ71))</f>
        <v>0</v>
      </c>
      <c r="CL71" s="446">
        <f>IF($E71=0,0,IF(MIN(CL$38,$E71)&lt;MAX($P$34*($B71+$I$38-1),IF(AND($L$37=0,$P$34=0),"",$L$37-1)),0,YEARFRAC(MAX($P$34*($B71+$I$38-1),IF(AND($L$37=0,$P$34=0),"",$L$37-1)),MIN(CL$38,$E71),$P$20))-SUM($BF71:CK71))</f>
        <v>0</v>
      </c>
      <c r="CM71" s="446">
        <f>IF($E71=0,0,IF(MIN(CM$38,$E71)&lt;MAX($P$34*($B71+$I$38-1),IF(AND($L$37=0,$P$34=0),"",$L$37-1)),0,YEARFRAC(MAX($P$34*($B71+$I$38-1),IF(AND($L$37=0,$P$34=0),"",$L$37-1)),MIN(CM$38,$E71),$P$20))-SUM($BF71:CL71))</f>
        <v>0</v>
      </c>
      <c r="CN71" s="446">
        <f>IF($E71=0,0,IF(MIN(CN$38,$E71)&lt;MAX($P$34*($B71+$I$38-1),IF(AND($L$37=0,$P$34=0),"",$L$37-1)),0,YEARFRAC(MAX($P$34*($B71+$I$38-1),IF(AND($L$37=0,$P$34=0),"",$L$37-1)),MIN(CN$38,$E71),$P$20))-SUM($BF71:CM71))</f>
        <v>0</v>
      </c>
      <c r="CO71" s="446">
        <f>IF($E71=0,0,IF(MIN(CO$38,$E71)&lt;MAX($P$34*($B71+$I$38-1),IF(AND($L$37=0,$P$34=0),"",$L$37-1)),0,YEARFRAC(MAX($P$34*($B71+$I$38-1),IF(AND($L$37=0,$P$34=0),"",$L$37-1)),MIN(CO$38,$E71),$P$20))-SUM($BF71:CN71))</f>
        <v>0</v>
      </c>
      <c r="CP71" s="446">
        <f>IF($E71=0,0,IF(MIN(CP$38,$E71)&lt;MAX($P$34*($B71+$I$38-1),IF(AND($L$37=0,$P$34=0),"",$L$37-1)),0,YEARFRAC(MAX($P$34*($B71+$I$38-1),IF(AND($L$37=0,$P$34=0),"",$L$37-1)),MIN(CP$38,$E71),$P$20))-SUM($BF71:CO71))</f>
        <v>0</v>
      </c>
      <c r="CQ71" s="446">
        <f>IF($E71=0,0,IF(MIN(CQ$38,$E71)&lt;MAX($P$34*($B71+$I$38-1),IF(AND($L$37=0,$P$34=0),"",$L$37-1)),0,YEARFRAC(MAX($P$34*($B71+$I$38-1),IF(AND($L$37=0,$P$34=0),"",$L$37-1)),MIN(CQ$38,$E71),$P$20))-SUM($BF71:CP71))</f>
        <v>0</v>
      </c>
    </row>
    <row r="72" spans="1:95" s="446" customFormat="1" ht="11.25" hidden="1" customHeight="1" x14ac:dyDescent="0.2">
      <c r="A72" s="152"/>
      <c r="B72" s="153" t="str">
        <f t="shared" si="15"/>
        <v/>
      </c>
      <c r="C72" s="29" t="str">
        <f>IF(B72="","",IF($L$35="SELIC - TRIBUTOS",VLOOKUP(DATE(YEAR($D$19),MONTH($D$19)-1,1),ÍNDICES!$A:$DE,HLOOKUP($BL$25,ÍNDICES!$B$3:$T$4,2)+11)-VLOOKUP(B72,ÍNDICES!$A:$DE,HLOOKUP($BL$25,ÍNDICES!$B$3:$T$4,2)+11)+1%,IF(C$38=$W$26,$J$35,IF(ISERROR(IF(B72&gt;$D$19,1,VLOOKUP(DATE(YEAR(B72),MONTH(B72)+IF($C$35=$S$23,1,0),1),ÍNDICES!$A:$DE,$Z$35+1))),"",IF(B72&gt;$D$19,1,VLOOKUP(DATE(YEAR(B72),MONTH(B72)+IF($C$35=$S$23,1,0),1),ÍNDICES!$A:$DE,$Z$35+1))))))</f>
        <v/>
      </c>
      <c r="D72" s="154" t="str">
        <f>IF(ISERROR(IF(OR($D$38=$Y$27,$B72=""),"",VLOOKUP(B72,ÍNDICES!A:DE,AF$35+1))),"",IF(OR($D$38=$Y$27,$B72=""),"",VLOOKUP(B72,ÍNDICES!A:DE,AF$35+1)))</f>
        <v/>
      </c>
      <c r="E72" s="153"/>
      <c r="F72" s="29" t="str">
        <f>IF(E72="","",IF($L$35="SELIC - TRIBUTOS",VLOOKUP(DATE(YEAR($D$19),MONTH($D$19)-1,1),ÍNDICES!$A:$DE,HLOOKUP($BL$25,ÍNDICES!$B$3:$T$4,2)+11)-VLOOKUP(E72,ÍNDICES!$A:$DE,HLOOKUP($BL$25,ÍNDICES!$B$3:$T$4,2)+11)+1%,IF(F$38=$W$26,$J$35,IF(ISERROR(IF(E72&gt;$D$19,1,VLOOKUP(DATE(YEAR(E72),MONTH(E72)+IF($C$35=$S$23,1,0),1),ÍNDICES!$A:$DE,$Z$35+1))),"",IF(E72&gt;$D$19,1,VLOOKUP(DATE(YEAR(E72),MONTH(E72)+IF($C$35=$S$23,1,0),1),ÍNDICES!$A:$DE,$Z$35+1))))))</f>
        <v/>
      </c>
      <c r="G72" s="155"/>
      <c r="H72" s="156" t="str">
        <f t="shared" si="11"/>
        <v/>
      </c>
      <c r="I72" s="29" t="str">
        <f t="shared" si="5"/>
        <v/>
      </c>
      <c r="J72" s="5">
        <f t="shared" si="6"/>
        <v>0</v>
      </c>
      <c r="K72" s="20">
        <f t="shared" ca="1" si="7"/>
        <v>0</v>
      </c>
      <c r="L72" s="5">
        <f t="shared" ca="1" si="8"/>
        <v>0</v>
      </c>
      <c r="M72" s="64">
        <f t="shared" si="12"/>
        <v>0</v>
      </c>
      <c r="N72" s="61">
        <f t="shared" ca="1" si="13"/>
        <v>0</v>
      </c>
      <c r="O72" s="5">
        <f t="shared" ca="1" si="14"/>
        <v>0</v>
      </c>
      <c r="P72" s="446" t="e">
        <f t="shared" si="9"/>
        <v>#VALUE!</v>
      </c>
      <c r="Q72" s="446" t="e">
        <f>IF(OR($B72="",MIN(Q$38,$D$19)&lt;MAX($P$34*($B72+IF($R$17="Distrato",$I$38-1,0)),IF(AND($L$37=0,$P$34=0),"",$L$37-1),IF($R$17="Distrato",$E72,0))),0,YEARFRAC(MAX($P$34*($B72+IF($R$17="Distrato",$I$38-1,0)),IF(AND($L$37=0,$P$34=0),"",$L$37-1),IF($R$17="Distrato",$E72,0)),MIN(Q$38,$D$19),$P$20))-SUM($P72:P72)</f>
        <v>#VALUE!</v>
      </c>
      <c r="R72" s="446" t="e">
        <f>IF(OR($B72="",MIN(R$38,$D$19)&lt;MAX($P$34*($B72+IF($R$17="Distrato",$I$38-1,0)),IF(AND($L$37=0,$P$34=0),"",$L$37-1),IF($R$17="Distrato",$E72,0))),0,YEARFRAC(MAX($P$34*($B72+IF($R$17="Distrato",$I$38-1,0)),IF(AND($L$37=0,$P$34=0),"",$L$37-1),IF($R$17="Distrato",$E72,0)),MIN(R$38,$D$19),$P$20))-SUM($P72:Q72)</f>
        <v>#VALUE!</v>
      </c>
      <c r="S72" s="446" t="e">
        <f>IF(OR($B72="",MIN(S$38,$D$19)&lt;MAX($P$34*($B72+IF($R$17="Distrato",$I$38-1,0)),IF(AND($L$37=0,$P$34=0),"",$L$37-1),IF($R$17="Distrato",$E72,0))),0,YEARFRAC(MAX($P$34*($B72+IF($R$17="Distrato",$I$38-1,0)),IF(AND($L$37=0,$P$34=0),"",$L$37-1),IF($R$17="Distrato",$E72,0)),MIN(S$38,$D$19),$P$20))-SUM($P72:R72)</f>
        <v>#VALUE!</v>
      </c>
      <c r="T72" s="446" t="e">
        <f>IF(OR($B72="",MIN(T$38,$D$19)&lt;MAX($P$34*($B72+IF($R$17="Distrato",$I$38-1,0)),IF(AND($L$37=0,$P$34=0),"",$L$37-1),IF($R$17="Distrato",$E72,0))),0,YEARFRAC(MAX($P$34*($B72+IF($R$17="Distrato",$I$38-1,0)),IF(AND($L$37=0,$P$34=0),"",$L$37-1),IF($R$17="Distrato",$E72,0)),MIN(T$38,$D$19),$P$20))-SUM($P72:S72)</f>
        <v>#VALUE!</v>
      </c>
      <c r="U72" s="446" t="e">
        <f>IF(OR($B72="",MIN(U$38,$D$19)&lt;MAX($P$34*($B72+IF($R$17="Distrato",$I$38-1,0)),IF(AND($L$37=0,$P$34=0),"",$L$37-1),IF($R$17="Distrato",$E72,0))),0,YEARFRAC(MAX($P$34*($B72+IF($R$17="Distrato",$I$38-1,0)),IF(AND($L$37=0,$P$34=0),"",$L$37-1),IF($R$17="Distrato",$E72,0)),MIN(U$38,$D$19),$P$20))-SUM($P72:T72)</f>
        <v>#VALUE!</v>
      </c>
      <c r="V72" s="446" t="e">
        <f>IF(OR($B72="",MIN(V$38,$D$19)&lt;MAX($P$34*($B72+IF($R$17="Distrato",$I$38-1,0)),IF(AND($L$37=0,$P$34=0),"",$L$37-1),IF($R$17="Distrato",$E72,0))),0,YEARFRAC(MAX($P$34*($B72+IF($R$17="Distrato",$I$38-1,0)),IF(AND($L$37=0,$P$34=0),"",$L$37-1),IF($R$17="Distrato",$E72,0)),MIN(V$38,$D$19),$P$20))-SUM($P72:U72)</f>
        <v>#VALUE!</v>
      </c>
      <c r="W72" s="446" t="e">
        <f>IF(OR($B72="",MIN(W$38,$D$19)&lt;MAX($P$34*($B72+IF($R$17="Distrato",$I$38-1,0)),IF(AND($L$37=0,$P$34=0),"",$L$37-1),IF($R$17="Distrato",$E72,0))),0,YEARFRAC(MAX($P$34*($B72+IF($R$17="Distrato",$I$38-1,0)),IF(AND($L$37=0,$P$34=0),"",$L$37-1),IF($R$17="Distrato",$E72,0)),MIN(W$38,$D$19),$P$20))-SUM($P72:V72)</f>
        <v>#VALUE!</v>
      </c>
      <c r="X72" s="446" t="e">
        <f>IF(OR($B72="",MIN(X$38,$D$19)&lt;MAX($P$34*($B72+IF($R$17="Distrato",$I$38-1,0)),IF(AND($L$37=0,$P$34=0),"",$L$37-1),IF($R$17="Distrato",$E72,0))),0,YEARFRAC(MAX($P$34*($B72+IF($R$17="Distrato",$I$38-1,0)),IF(AND($L$37=0,$P$34=0),"",$L$37-1),IF($R$17="Distrato",$E72,0)),MIN(X$38,$D$19),$P$20))-SUM($P72:W72)</f>
        <v>#VALUE!</v>
      </c>
      <c r="Y72" s="446" t="e">
        <f>IF(OR($B72="",MIN(Y$38,$D$19)&lt;MAX($P$34*($B72+IF($R$17="Distrato",$I$38-1,0)),IF(AND($L$37=0,$P$34=0),"",$L$37-1),IF($R$17="Distrato",$E72,0))),0,YEARFRAC(MAX($P$34*($B72+IF($R$17="Distrato",$I$38-1,0)),IF(AND($L$37=0,$P$34=0),"",$L$37-1),IF($R$17="Distrato",$E72,0)),MIN(Y$38,$D$19),$P$20))-SUM($P72:X72)</f>
        <v>#VALUE!</v>
      </c>
      <c r="Z72" s="446" t="e">
        <f>IF(OR($B72="",MIN(Z$38,$D$19)&lt;MAX($P$34*($B72+IF($R$17="Distrato",$I$38-1,0)),IF(AND($L$37=0,$P$34=0),"",$L$37-1),IF($R$17="Distrato",$E72,0))),0,YEARFRAC(MAX($P$34*($B72+IF($R$17="Distrato",$I$38-1,0)),IF(AND($L$37=0,$P$34=0),"",$L$37-1),IF($R$17="Distrato",$E72,0)),MIN(Z$38,$D$19),$P$20))-SUM($P72:Y72)</f>
        <v>#VALUE!</v>
      </c>
      <c r="AA72" s="446" t="e">
        <f>IF(OR($B72="",MIN(AA$38,$D$19)&lt;MAX($P$34*($B72+IF($R$17="Distrato",$I$38-1,0)),IF(AND($L$37=0,$P$34=0),"",$L$37-1),IF($R$17="Distrato",$E72,0))),0,YEARFRAC(MAX($P$34*($B72+IF($R$17="Distrato",$I$38-1,0)),IF(AND($L$37=0,$P$34=0),"",$L$37-1),IF($R$17="Distrato",$E72,0)),MIN(AA$38,$D$19),$P$20))-SUM($P72:Z72)</f>
        <v>#VALUE!</v>
      </c>
      <c r="AB72" s="446" t="e">
        <f>IF(OR($B72="",MIN(AB$38,$D$19)&lt;MAX($P$34*($B72+IF($R$17="Distrato",$I$38-1,0)),IF(AND($L$37=0,$P$34=0),"",$L$37-1),IF($R$17="Distrato",$E72,0))),0,YEARFRAC(MAX($P$34*($B72+IF($R$17="Distrato",$I$38-1,0)),IF(AND($L$37=0,$P$34=0),"",$L$37-1),IF($R$17="Distrato",$E72,0)),MIN(AB$38,$D$19),$P$20))-SUM($P72:AA72)</f>
        <v>#VALUE!</v>
      </c>
      <c r="AC72" s="446" t="e">
        <f>IF(OR($B72="",MIN(AC$38,$D$19)&lt;MAX($P$34*($B72+IF($R$17="Distrato",$I$38-1,0)),IF(AND($L$37=0,$P$34=0),"",$L$37-1),IF($R$17="Distrato",$E72,0))),0,YEARFRAC(MAX($P$34*($B72+IF($R$17="Distrato",$I$38-1,0)),IF(AND($L$37=0,$P$34=0),"",$L$37-1),IF($R$17="Distrato",$E72,0)),MIN(AC$38,$D$19),$P$20))-SUM($P72:AB72)</f>
        <v>#VALUE!</v>
      </c>
      <c r="AD72" s="446" t="e">
        <f>IF(OR($B72="",MIN(AD$38,$D$19)&lt;MAX($P$34*($B72+IF($R$17="Distrato",$I$38-1,0)),IF(AND($L$37=0,$P$34=0),"",$L$37-1),IF($R$17="Distrato",$E72,0))),0,YEARFRAC(MAX($P$34*($B72+IF($R$17="Distrato",$I$38-1,0)),IF(AND($L$37=0,$P$34=0),"",$L$37-1),IF($R$17="Distrato",$E72,0)),MIN(AD$38,$D$19),$P$20))-SUM($P72:AC72)</f>
        <v>#VALUE!</v>
      </c>
      <c r="AE72" s="446" t="e">
        <f>IF(OR($B72="",MIN(AE$38,$D$19)&lt;MAX($P$34*($B72+IF($R$17="Distrato",$I$38-1,0)),IF(AND($L$37=0,$P$34=0),"",$L$37-1),IF($R$17="Distrato",$E72,0))),0,YEARFRAC(MAX($P$34*($B72+IF($R$17="Distrato",$I$38-1,0)),IF(AND($L$37=0,$P$34=0),"",$L$37-1),IF($R$17="Distrato",$E72,0)),MIN(AE$38,$D$19),$P$20))-SUM($P72:AD72)</f>
        <v>#VALUE!</v>
      </c>
      <c r="AF72" s="446" t="e">
        <f>IF(OR($B72="",MIN(AF$38,$D$19)&lt;MAX($P$34*($B72+IF($R$17="Distrato",$I$38-1,0)),IF(AND($L$37=0,$P$34=0),"",$L$37-1),IF($R$17="Distrato",$E72,0))),0,YEARFRAC(MAX($P$34*($B72+IF($R$17="Distrato",$I$38-1,0)),IF(AND($L$37=0,$P$34=0),"",$L$37-1),IF($R$17="Distrato",$E72,0)),MIN(AF$38,$D$19),$P$20))-SUM($P72:AE72)</f>
        <v>#VALUE!</v>
      </c>
      <c r="AG72" s="446" t="e">
        <f>IF(OR($B72="",MIN(AG$38,$D$19)&lt;MAX($P$34*($B72+IF($R$17="Distrato",$I$38-1,0)),IF(AND($L$37=0,$P$34=0),"",$L$37-1),IF($R$17="Distrato",$E72,0))),0,YEARFRAC(MAX($P$34*($B72+IF($R$17="Distrato",$I$38-1,0)),IF(AND($L$37=0,$P$34=0),"",$L$37-1),IF($R$17="Distrato",$E72,0)),MIN(AG$38,$D$19),$P$20))-SUM($P72:AF72)</f>
        <v>#VALUE!</v>
      </c>
      <c r="AH72" s="446" t="e">
        <f>IF(OR($B72="",MIN(AH$38,$D$19)&lt;MAX($P$34*($B72+IF($R$17="Distrato",$I$38-1,0)),IF(AND($L$37=0,$P$34=0),"",$L$37-1),IF($R$17="Distrato",$E72,0))),0,YEARFRAC(MAX($P$34*($B72+IF($R$17="Distrato",$I$38-1,0)),IF(AND($L$37=0,$P$34=0),"",$L$37-1),IF($R$17="Distrato",$E72,0)),MIN(AH$38,$D$19),$P$20))-SUM($P72:AG72)</f>
        <v>#VALUE!</v>
      </c>
      <c r="AI72" s="446" t="e">
        <f>IF(OR($B72="",MIN(AI$38,$D$19)&lt;MAX($P$34*($B72+IF($R$17="Distrato",$I$38-1,0)),IF(AND($L$37=0,$P$34=0),"",$L$37-1),IF($R$17="Distrato",$E72,0))),0,YEARFRAC(MAX($P$34*($B72+IF($R$17="Distrato",$I$38-1,0)),IF(AND($L$37=0,$P$34=0),"",$L$37-1),IF($R$17="Distrato",$E72,0)),MIN(AI$38,$D$19),$P$20))-SUM($P72:AH72)</f>
        <v>#VALUE!</v>
      </c>
      <c r="AJ72" s="446" t="e">
        <f>IF(OR($B72="",MIN(AJ$38,$D$19)&lt;MAX($P$34*($B72+IF($R$17="Distrato",$I$38-1,0)),IF(AND($L$37=0,$P$34=0),"",$L$37-1),IF($R$17="Distrato",$E72,0))),0,YEARFRAC(MAX($P$34*($B72+IF($R$17="Distrato",$I$38-1,0)),IF(AND($L$37=0,$P$34=0),"",$L$37-1),IF($R$17="Distrato",$E72,0)),MIN(AJ$38,$D$19),$P$20))-SUM($P72:AI72)</f>
        <v>#VALUE!</v>
      </c>
      <c r="AK72" s="446" t="e">
        <f>IF(OR($B72="",MIN(AK$38,$D$19)&lt;MAX($P$34*($B72+IF($R$17="Distrato",$I$38-1,0)),IF(AND($L$37=0,$P$34=0),"",$L$37-1),IF($R$17="Distrato",$E72,0))),0,YEARFRAC(MAX($P$34*($B72+IF($R$17="Distrato",$I$38-1,0)),IF(AND($L$37=0,$P$34=0),"",$L$37-1),IF($R$17="Distrato",$E72,0)),MIN(AK$38,$D$19),$P$20))-SUM($P72:AJ72)</f>
        <v>#VALUE!</v>
      </c>
      <c r="AL72" s="446" t="e">
        <f>IF(OR($B72="",MIN(AL$38,$D$19)&lt;MAX($P$34*($B72+IF($R$17="Distrato",$I$38-1,0)),IF(AND($L$37=0,$P$34=0),"",$L$37-1),IF($R$17="Distrato",$E72,0))),0,YEARFRAC(MAX($P$34*($B72+IF($R$17="Distrato",$I$38-1,0)),IF(AND($L$37=0,$P$34=0),"",$L$37-1),IF($R$17="Distrato",$E72,0)),MIN(AL$38,$D$19),$P$20))-SUM($P72:AK72)</f>
        <v>#VALUE!</v>
      </c>
      <c r="AM72" s="446" t="e">
        <f>IF(OR($B72="",MIN(AM$38,$D$19)&lt;MAX($P$34*($B72+IF($R$17="Distrato",$I$38-1,0)),IF(AND($L$37=0,$P$34=0),"",$L$37-1),IF($R$17="Distrato",$E72,0))),0,YEARFRAC(MAX($P$34*($B72+IF($R$17="Distrato",$I$38-1,0)),IF(AND($L$37=0,$P$34=0),"",$L$37-1),IF($R$17="Distrato",$E72,0)),MIN(AM$38,$D$19),$P$20))-SUM($P72:AL72)</f>
        <v>#VALUE!</v>
      </c>
      <c r="AN72" s="446" t="e">
        <f>IF(OR($B72="",MIN(AN$38,$D$19)&lt;MAX($P$34*($B72+IF($R$17="Distrato",$I$38-1,0)),IF(AND($L$37=0,$P$34=0),"",$L$37-1),IF($R$17="Distrato",$E72,0))),0,YEARFRAC(MAX($P$34*($B72+IF($R$17="Distrato",$I$38-1,0)),IF(AND($L$37=0,$P$34=0),"",$L$37-1),IF($R$17="Distrato",$E72,0)),MIN(AN$38,$D$19),$P$20))-SUM($P72:AM72)</f>
        <v>#VALUE!</v>
      </c>
      <c r="AO72" s="446" t="e">
        <f>IF(OR($B72="",MIN(AO$38,$D$19)&lt;MAX($P$34*($B72+IF($R$17="Distrato",$I$38-1,0)),IF(AND($L$37=0,$P$34=0),"",$L$37-1),IF($R$17="Distrato",$E72,0))),0,YEARFRAC(MAX($P$34*($B72+IF($R$17="Distrato",$I$38-1,0)),IF(AND($L$37=0,$P$34=0),"",$L$37-1),IF($R$17="Distrato",$E72,0)),MIN(AO$38,$D$19),$P$20))-SUM($P72:AN72)</f>
        <v>#VALUE!</v>
      </c>
      <c r="AP72" s="446" t="e">
        <f>IF(OR($B72="",MIN(AP$38,$D$19)&lt;MAX($P$34*($B72+IF($R$17="Distrato",$I$38-1,0)),IF(AND($L$37=0,$P$34=0),"",$L$37-1),IF($R$17="Distrato",$E72,0))),0,YEARFRAC(MAX($P$34*($B72+IF($R$17="Distrato",$I$38-1,0)),IF(AND($L$37=0,$P$34=0),"",$L$37-1),IF($R$17="Distrato",$E72,0)),MIN(AP$38,$D$19),$P$20))-SUM($P72:AO72)</f>
        <v>#VALUE!</v>
      </c>
      <c r="AQ72" s="446" t="e">
        <f>IF(OR($B72="",MIN(AQ$38,$D$19)&lt;MAX($P$34*($B72+IF($R$17="Distrato",$I$38-1,0)),IF(AND($L$37=0,$P$34=0),"",$L$37-1),IF($R$17="Distrato",$E72,0))),0,YEARFRAC(MAX($P$34*($B72+IF($R$17="Distrato",$I$38-1,0)),IF(AND($L$37=0,$P$34=0),"",$L$37-1),IF($R$17="Distrato",$E72,0)),MIN(AQ$38,$D$19),$P$20))-SUM($P72:AP72)</f>
        <v>#VALUE!</v>
      </c>
      <c r="AR72" s="446" t="e">
        <f>IF(OR($B72="",MIN(AR$38,$D$19)&lt;MAX($P$34*($B72+IF($R$17="Distrato",$I$38-1,0)),IF(AND($L$37=0,$P$34=0),"",$L$37-1),IF($R$17="Distrato",$E72,0))),0,YEARFRAC(MAX($P$34*($B72+IF($R$17="Distrato",$I$38-1,0)),IF(AND($L$37=0,$P$34=0),"",$L$37-1),IF($R$17="Distrato",$E72,0)),MIN(AR$38,$D$19),$P$20))-SUM($P72:AQ72)</f>
        <v>#VALUE!</v>
      </c>
      <c r="AS72" s="446" t="e">
        <f>IF(OR($B72="",MIN(AS$38,$D$19)&lt;MAX($P$34*($B72+IF($R$17="Distrato",$I$38-1,0)),IF(AND($L$37=0,$P$34=0),"",$L$37-1),IF($R$17="Distrato",$E72,0))),0,YEARFRAC(MAX($P$34*($B72+IF($R$17="Distrato",$I$38-1,0)),IF(AND($L$37=0,$P$34=0),"",$L$37-1),IF($R$17="Distrato",$E72,0)),MIN(AS$38,$D$19),$P$20))-SUM($P72:AR72)</f>
        <v>#VALUE!</v>
      </c>
      <c r="AT72" s="446" t="e">
        <f>IF(OR($B72="",MIN(AT$38,$D$19)&lt;MAX($P$34*($B72+IF($R$17="Distrato",$I$38-1,0)),IF(AND($L$37=0,$P$34=0),"",$L$37-1),IF($R$17="Distrato",$E72,0))),0,YEARFRAC(MAX($P$34*($B72+IF($R$17="Distrato",$I$38-1,0)),IF(AND($L$37=0,$P$34=0),"",$L$37-1),IF($R$17="Distrato",$E72,0)),MIN(AT$38,$D$19),$P$20))-SUM($P72:AS72)</f>
        <v>#VALUE!</v>
      </c>
      <c r="AU72" s="446" t="e">
        <f>IF(OR($B72="",MIN(AU$38,$D$19)&lt;MAX($P$34*($B72+IF($R$17="Distrato",$I$38-1,0)),IF(AND($L$37=0,$P$34=0),"",$L$37-1),IF($R$17="Distrato",$E72,0))),0,YEARFRAC(MAX($P$34*($B72+IF($R$17="Distrato",$I$38-1,0)),IF(AND($L$37=0,$P$34=0),"",$L$37-1),IF($R$17="Distrato",$E72,0)),MIN(AU$38,$D$19),$P$20))-SUM($P72:AT72)</f>
        <v>#VALUE!</v>
      </c>
      <c r="AV72" s="446" t="e">
        <f>IF(OR($B72="",MIN(AV$38,$D$19)&lt;MAX($P$34*($B72+IF($R$17="Distrato",$I$38-1,0)),IF(AND($L$37=0,$P$34=0),"",$L$37-1),IF($R$17="Distrato",$E72,0))),0,YEARFRAC(MAX($P$34*($B72+IF($R$17="Distrato",$I$38-1,0)),IF(AND($L$37=0,$P$34=0),"",$L$37-1),IF($R$17="Distrato",$E72,0)),MIN(AV$38,$D$19),$P$20))-SUM($P72:AU72)</f>
        <v>#VALUE!</v>
      </c>
      <c r="AW72" s="446" t="e">
        <f>IF(OR($B72="",MIN(AW$38,$D$19)&lt;MAX($P$34*($B72+IF($R$17="Distrato",$I$38-1,0)),IF(AND($L$37=0,$P$34=0),"",$L$37-1),IF($R$17="Distrato",$E72,0))),0,YEARFRAC(MAX($P$34*($B72+IF($R$17="Distrato",$I$38-1,0)),IF(AND($L$37=0,$P$34=0),"",$L$37-1),IF($R$17="Distrato",$E72,0)),MIN(AW$38,$D$19),$P$20))-SUM($P72:AV72)</f>
        <v>#VALUE!</v>
      </c>
      <c r="AX72" s="446" t="e">
        <f>IF(OR($B72="",MIN(AX$38,$D$19)&lt;MAX($P$34*($B72+IF($R$17="Distrato",$I$38-1,0)),IF(AND($L$37=0,$P$34=0),"",$L$37-1),IF($R$17="Distrato",$E72,0))),0,YEARFRAC(MAX($P$34*($B72+IF($R$17="Distrato",$I$38-1,0)),IF(AND($L$37=0,$P$34=0),"",$L$37-1),IF($R$17="Distrato",$E72,0)),MIN(AX$38,$D$19),$P$20))-SUM($P72:AW72)</f>
        <v>#VALUE!</v>
      </c>
      <c r="AY72" s="446" t="e">
        <f>IF(OR($B72="",MIN(AY$38,$D$19)&lt;MAX($P$34*($B72+IF($R$17="Distrato",$I$38-1,0)),IF(AND($L$37=0,$P$34=0),"",$L$37-1),IF($R$17="Distrato",$E72,0))),0,YEARFRAC(MAX($P$34*($B72+IF($R$17="Distrato",$I$38-1,0)),IF(AND($L$37=0,$P$34=0),"",$L$37-1),IF($R$17="Distrato",$E72,0)),MIN(AY$38,$D$19),$P$20))-SUM($P72:AX72)</f>
        <v>#VALUE!</v>
      </c>
      <c r="AZ72" s="446" t="e">
        <f>IF(OR($B72="",MIN(AZ$38,$D$19)&lt;MAX($P$34*($B72+IF($R$17="Distrato",$I$38-1,0)),IF(AND($L$37=0,$P$34=0),"",$L$37-1),IF($R$17="Distrato",$E72,0))),0,YEARFRAC(MAX($P$34*($B72+IF($R$17="Distrato",$I$38-1,0)),IF(AND($L$37=0,$P$34=0),"",$L$37-1),IF($R$17="Distrato",$E72,0)),MIN(AZ$38,$D$19),$P$20))-SUM($P72:AY72)</f>
        <v>#VALUE!</v>
      </c>
      <c r="BA72" s="446" t="e">
        <f>IF(OR($B72="",MIN(BA$38,$D$19)&lt;MAX($P$34*($B72+IF($R$17="Distrato",$I$38-1,0)),IF(AND($L$37=0,$P$34=0),"",$L$37-1),IF($R$17="Distrato",$E72,0))),0,YEARFRAC(MAX($P$34*($B72+IF($R$17="Distrato",$I$38-1,0)),IF(AND($L$37=0,$P$34=0),"",$L$37-1),IF($R$17="Distrato",$E72,0)),MIN(BA$38,$D$19),$P$20))-SUM($P72:AZ72)</f>
        <v>#VALUE!</v>
      </c>
      <c r="BB72" s="447"/>
      <c r="BF72" s="446">
        <f t="shared" si="10"/>
        <v>0</v>
      </c>
      <c r="BG72" s="446">
        <f>IF($E72=0,0,IF(MIN(BG$38,$E72)&lt;MAX($P$34*($B72+$I$38-1),IF(AND($L$37=0,$P$34=0),"",$L$37-1)),0,YEARFRAC(MAX($P$34*($B72+$I$38-1),IF(AND($L$37=0,$P$34=0),"",$L$37-1)),MIN(BG$38,$E72),$P$20))-SUM($BF72:BF72))</f>
        <v>0</v>
      </c>
      <c r="BH72" s="446">
        <f>IF($E72=0,0,IF(MIN(BH$38,$E72)&lt;MAX($P$34*($B72+$I$38-1),IF(AND($L$37=0,$P$34=0),"",$L$37-1)),0,YEARFRAC(MAX($P$34*($B72+$I$38-1),IF(AND($L$37=0,$P$34=0),"",$L$37-1)),MIN(BH$38,$E72),$P$20))-SUM($BF72:BG72))</f>
        <v>0</v>
      </c>
      <c r="BI72" s="446">
        <f>IF($E72=0,0,IF(MIN(BI$38,$E72)&lt;MAX($P$34*($B72+$I$38-1),IF(AND($L$37=0,$P$34=0),"",$L$37-1)),0,YEARFRAC(MAX($P$34*($B72+$I$38-1),IF(AND($L$37=0,$P$34=0),"",$L$37-1)),MIN(BI$38,$E72),$P$20))-SUM($BF72:BH72))</f>
        <v>0</v>
      </c>
      <c r="BJ72" s="446">
        <f>IF($E72=0,0,IF(MIN(BJ$38,$E72)&lt;MAX($P$34*($B72+$I$38-1),IF(AND($L$37=0,$P$34=0),"",$L$37-1)),0,YEARFRAC(MAX($P$34*($B72+$I$38-1),IF(AND($L$37=0,$P$34=0),"",$L$37-1)),MIN(BJ$38,$E72),$P$20))-SUM($BF72:BI72))</f>
        <v>0</v>
      </c>
      <c r="BK72" s="446">
        <f>IF($E72=0,0,IF(MIN(BK$38,$E72)&lt;MAX($P$34*($B72+$I$38-1),IF(AND($L$37=0,$P$34=0),"",$L$37-1)),0,YEARFRAC(MAX($P$34*($B72+$I$38-1),IF(AND($L$37=0,$P$34=0),"",$L$37-1)),MIN(BK$38,$E72),$P$20))-SUM($BF72:BJ72))</f>
        <v>0</v>
      </c>
      <c r="BL72" s="446">
        <f>IF($E72=0,0,IF(MIN(BL$38,$E72)&lt;MAX($P$34*($B72+$I$38-1),IF(AND($L$37=0,$P$34=0),"",$L$37-1)),0,YEARFRAC(MAX($P$34*($B72+$I$38-1),IF(AND($L$37=0,$P$34=0),"",$L$37-1)),MIN(BL$38,$E72),$P$20))-SUM($BF72:BK72))</f>
        <v>0</v>
      </c>
      <c r="BM72" s="446">
        <f>IF($E72=0,0,IF(MIN(BM$38,$E72)&lt;MAX($P$34*($B72+$I$38-1),IF(AND($L$37=0,$P$34=0),"",$L$37-1)),0,YEARFRAC(MAX($P$34*($B72+$I$38-1),IF(AND($L$37=0,$P$34=0),"",$L$37-1)),MIN(BM$38,$E72),$P$20))-SUM($BF72:BL72))</f>
        <v>0</v>
      </c>
      <c r="BN72" s="446">
        <f>IF($E72=0,0,IF(MIN(BN$38,$E72)&lt;MAX($P$34*($B72+$I$38-1),IF(AND($L$37=0,$P$34=0),"",$L$37-1)),0,YEARFRAC(MAX($P$34*($B72+$I$38-1),IF(AND($L$37=0,$P$34=0),"",$L$37-1)),MIN(BN$38,$E72),$P$20))-SUM($BF72:BM72))</f>
        <v>0</v>
      </c>
      <c r="BO72" s="446">
        <f>IF($E72=0,0,IF(MIN(BO$38,$E72)&lt;MAX($P$34*($B72+$I$38-1),IF(AND($L$37=0,$P$34=0),"",$L$37-1)),0,YEARFRAC(MAX($P$34*($B72+$I$38-1),IF(AND($L$37=0,$P$34=0),"",$L$37-1)),MIN(BO$38,$E72),$P$20))-SUM($BF72:BN72))</f>
        <v>0</v>
      </c>
      <c r="BP72" s="446">
        <f>IF($E72=0,0,IF(MIN(BP$38,$E72)&lt;MAX($P$34*($B72+$I$38-1),IF(AND($L$37=0,$P$34=0),"",$L$37-1)),0,YEARFRAC(MAX($P$34*($B72+$I$38-1),IF(AND($L$37=0,$P$34=0),"",$L$37-1)),MIN(BP$38,$E72),$P$20))-SUM($BF72:BO72))</f>
        <v>0</v>
      </c>
      <c r="BQ72" s="446">
        <f>IF($E72=0,0,IF(MIN(BQ$38,$E72)&lt;MAX($P$34*($B72+$I$38-1),IF(AND($L$37=0,$P$34=0),"",$L$37-1)),0,YEARFRAC(MAX($P$34*($B72+$I$38-1),IF(AND($L$37=0,$P$34=0),"",$L$37-1)),MIN(BQ$38,$E72),$P$20))-SUM($BF72:BP72))</f>
        <v>0</v>
      </c>
      <c r="BR72" s="446">
        <f>IF($E72=0,0,IF(MIN(BR$38,$E72)&lt;MAX($P$34*($B72+$I$38-1),IF(AND($L$37=0,$P$34=0),"",$L$37-1)),0,YEARFRAC(MAX($P$34*($B72+$I$38-1),IF(AND($L$37=0,$P$34=0),"",$L$37-1)),MIN(BR$38,$E72),$P$20))-SUM($BF72:BQ72))</f>
        <v>0</v>
      </c>
      <c r="BS72" s="446">
        <f>IF($E72=0,0,IF(MIN(BS$38,$E72)&lt;MAX($P$34*($B72+$I$38-1),IF(AND($L$37=0,$P$34=0),"",$L$37-1)),0,YEARFRAC(MAX($P$34*($B72+$I$38-1),IF(AND($L$37=0,$P$34=0),"",$L$37-1)),MIN(BS$38,$E72),$P$20))-SUM($BF72:BR72))</f>
        <v>0</v>
      </c>
      <c r="BT72" s="446">
        <f>IF($E72=0,0,IF(MIN(BT$38,$E72)&lt;MAX($P$34*($B72+$I$38-1),IF(AND($L$37=0,$P$34=0),"",$L$37-1)),0,YEARFRAC(MAX($P$34*($B72+$I$38-1),IF(AND($L$37=0,$P$34=0),"",$L$37-1)),MIN(BT$38,$E72),$P$20))-SUM($BF72:BS72))</f>
        <v>0</v>
      </c>
      <c r="BU72" s="446">
        <f>IF($E72=0,0,IF(MIN(BU$38,$E72)&lt;MAX($P$34*($B72+$I$38-1),IF(AND($L$37=0,$P$34=0),"",$L$37-1)),0,YEARFRAC(MAX($P$34*($B72+$I$38-1),IF(AND($L$37=0,$P$34=0),"",$L$37-1)),MIN(BU$38,$E72),$P$20))-SUM($BF72:BT72))</f>
        <v>0</v>
      </c>
      <c r="BV72" s="446">
        <f>IF($E72=0,0,IF(MIN(BV$38,$E72)&lt;MAX($P$34*($B72+$I$38-1),IF(AND($L$37=0,$P$34=0),"",$L$37-1)),0,YEARFRAC(MAX($P$34*($B72+$I$38-1),IF(AND($L$37=0,$P$34=0),"",$L$37-1)),MIN(BV$38,$E72),$P$20))-SUM($BF72:BU72))</f>
        <v>0</v>
      </c>
      <c r="BW72" s="446">
        <f>IF($E72=0,0,IF(MIN(BW$38,$E72)&lt;MAX($P$34*($B72+$I$38-1),IF(AND($L$37=0,$P$34=0),"",$L$37-1)),0,YEARFRAC(MAX($P$34*($B72+$I$38-1),IF(AND($L$37=0,$P$34=0),"",$L$37-1)),MIN(BW$38,$E72),$P$20))-SUM($BF72:BV72))</f>
        <v>0</v>
      </c>
      <c r="BX72" s="446">
        <f>IF($E72=0,0,IF(MIN(BX$38,$E72)&lt;MAX($P$34*($B72+$I$38-1),IF(AND($L$37=0,$P$34=0),"",$L$37-1)),0,YEARFRAC(MAX($P$34*($B72+$I$38-1),IF(AND($L$37=0,$P$34=0),"",$L$37-1)),MIN(BX$38,$E72),$P$20))-SUM($BF72:BW72))</f>
        <v>0</v>
      </c>
      <c r="BY72" s="446">
        <f>IF($E72=0,0,IF(MIN(BY$38,$E72)&lt;MAX($P$34*($B72+$I$38-1),IF(AND($L$37=0,$P$34=0),"",$L$37-1)),0,YEARFRAC(MAX($P$34*($B72+$I$38-1),IF(AND($L$37=0,$P$34=0),"",$L$37-1)),MIN(BY$38,$E72),$P$20))-SUM($BF72:BX72))</f>
        <v>0</v>
      </c>
      <c r="BZ72" s="446">
        <f>IF($E72=0,0,IF(MIN(BZ$38,$E72)&lt;MAX($P$34*($B72+$I$38-1),IF(AND($L$37=0,$P$34=0),"",$L$37-1)),0,YEARFRAC(MAX($P$34*($B72+$I$38-1),IF(AND($L$37=0,$P$34=0),"",$L$37-1)),MIN(BZ$38,$E72),$P$20))-SUM($BF72:BY72))</f>
        <v>0</v>
      </c>
      <c r="CA72" s="446">
        <f>IF($E72=0,0,IF(MIN(CA$38,$E72)&lt;MAX($P$34*($B72+$I$38-1),IF(AND($L$37=0,$P$34=0),"",$L$37-1)),0,YEARFRAC(MAX($P$34*($B72+$I$38-1),IF(AND($L$37=0,$P$34=0),"",$L$37-1)),MIN(CA$38,$E72),$P$20))-SUM($BF72:BZ72))</f>
        <v>0</v>
      </c>
      <c r="CB72" s="446">
        <f>IF($E72=0,0,IF(MIN(CB$38,$E72)&lt;MAX($P$34*($B72+$I$38-1),IF(AND($L$37=0,$P$34=0),"",$L$37-1)),0,YEARFRAC(MAX($P$34*($B72+$I$38-1),IF(AND($L$37=0,$P$34=0),"",$L$37-1)),MIN(CB$38,$E72),$P$20))-SUM($BF72:CA72))</f>
        <v>0</v>
      </c>
      <c r="CC72" s="446">
        <f>IF($E72=0,0,IF(MIN(CC$38,$E72)&lt;MAX($P$34*($B72+$I$38-1),IF(AND($L$37=0,$P$34=0),"",$L$37-1)),0,YEARFRAC(MAX($P$34*($B72+$I$38-1),IF(AND($L$37=0,$P$34=0),"",$L$37-1)),MIN(CC$38,$E72),$P$20))-SUM($BF72:CB72))</f>
        <v>0</v>
      </c>
      <c r="CD72" s="446">
        <f>IF($E72=0,0,IF(MIN(CD$38,$E72)&lt;MAX($P$34*($B72+$I$38-1),IF(AND($L$37=0,$P$34=0),"",$L$37-1)),0,YEARFRAC(MAX($P$34*($B72+$I$38-1),IF(AND($L$37=0,$P$34=0),"",$L$37-1)),MIN(CD$38,$E72),$P$20))-SUM($BF72:CC72))</f>
        <v>0</v>
      </c>
      <c r="CE72" s="446">
        <f>IF($E72=0,0,IF(MIN(CE$38,$E72)&lt;MAX($P$34*($B72+$I$38-1),IF(AND($L$37=0,$P$34=0),"",$L$37-1)),0,YEARFRAC(MAX($P$34*($B72+$I$38-1),IF(AND($L$37=0,$P$34=0),"",$L$37-1)),MIN(CE$38,$E72),$P$20))-SUM($BF72:CD72))</f>
        <v>0</v>
      </c>
      <c r="CF72" s="446">
        <f>IF($E72=0,0,IF(MIN(CF$38,$E72)&lt;MAX($P$34*($B72+$I$38-1),IF(AND($L$37=0,$P$34=0),"",$L$37-1)),0,YEARFRAC(MAX($P$34*($B72+$I$38-1),IF(AND($L$37=0,$P$34=0),"",$L$37-1)),MIN(CF$38,$E72),$P$20))-SUM($BF72:CE72))</f>
        <v>0</v>
      </c>
      <c r="CG72" s="446">
        <f>IF($E72=0,0,IF(MIN(CG$38,$E72)&lt;MAX($P$34*($B72+$I$38-1),IF(AND($L$37=0,$P$34=0),"",$L$37-1)),0,YEARFRAC(MAX($P$34*($B72+$I$38-1),IF(AND($L$37=0,$P$34=0),"",$L$37-1)),MIN(CG$38,$E72),$P$20))-SUM($BF72:CF72))</f>
        <v>0</v>
      </c>
      <c r="CH72" s="446">
        <f>IF($E72=0,0,IF(MIN(CH$38,$E72)&lt;MAX($P$34*($B72+$I$38-1),IF(AND($L$37=0,$P$34=0),"",$L$37-1)),0,YEARFRAC(MAX($P$34*($B72+$I$38-1),IF(AND($L$37=0,$P$34=0),"",$L$37-1)),MIN(CH$38,$E72),$P$20))-SUM($BF72:CG72))</f>
        <v>0</v>
      </c>
      <c r="CI72" s="446">
        <f>IF($E72=0,0,IF(MIN(CI$38,$E72)&lt;MAX($P$34*($B72+$I$38-1),IF(AND($L$37=0,$P$34=0),"",$L$37-1)),0,YEARFRAC(MAX($P$34*($B72+$I$38-1),IF(AND($L$37=0,$P$34=0),"",$L$37-1)),MIN(CI$38,$E72),$P$20))-SUM($BF72:CH72))</f>
        <v>0</v>
      </c>
      <c r="CJ72" s="446">
        <f>IF($E72=0,0,IF(MIN(CJ$38,$E72)&lt;MAX($P$34*($B72+$I$38-1),IF(AND($L$37=0,$P$34=0),"",$L$37-1)),0,YEARFRAC(MAX($P$34*($B72+$I$38-1),IF(AND($L$37=0,$P$34=0),"",$L$37-1)),MIN(CJ$38,$E72),$P$20))-SUM($BF72:CI72))</f>
        <v>0</v>
      </c>
      <c r="CK72" s="446">
        <f>IF($E72=0,0,IF(MIN(CK$38,$E72)&lt;MAX($P$34*($B72+$I$38-1),IF(AND($L$37=0,$P$34=0),"",$L$37-1)),0,YEARFRAC(MAX($P$34*($B72+$I$38-1),IF(AND($L$37=0,$P$34=0),"",$L$37-1)),MIN(CK$38,$E72),$P$20))-SUM($BF72:CJ72))</f>
        <v>0</v>
      </c>
      <c r="CL72" s="446">
        <f>IF($E72=0,0,IF(MIN(CL$38,$E72)&lt;MAX($P$34*($B72+$I$38-1),IF(AND($L$37=0,$P$34=0),"",$L$37-1)),0,YEARFRAC(MAX($P$34*($B72+$I$38-1),IF(AND($L$37=0,$P$34=0),"",$L$37-1)),MIN(CL$38,$E72),$P$20))-SUM($BF72:CK72))</f>
        <v>0</v>
      </c>
      <c r="CM72" s="446">
        <f>IF($E72=0,0,IF(MIN(CM$38,$E72)&lt;MAX($P$34*($B72+$I$38-1),IF(AND($L$37=0,$P$34=0),"",$L$37-1)),0,YEARFRAC(MAX($P$34*($B72+$I$38-1),IF(AND($L$37=0,$P$34=0),"",$L$37-1)),MIN(CM$38,$E72),$P$20))-SUM($BF72:CL72))</f>
        <v>0</v>
      </c>
      <c r="CN72" s="446">
        <f>IF($E72=0,0,IF(MIN(CN$38,$E72)&lt;MAX($P$34*($B72+$I$38-1),IF(AND($L$37=0,$P$34=0),"",$L$37-1)),0,YEARFRAC(MAX($P$34*($B72+$I$38-1),IF(AND($L$37=0,$P$34=0),"",$L$37-1)),MIN(CN$38,$E72),$P$20))-SUM($BF72:CM72))</f>
        <v>0</v>
      </c>
      <c r="CO72" s="446">
        <f>IF($E72=0,0,IF(MIN(CO$38,$E72)&lt;MAX($P$34*($B72+$I$38-1),IF(AND($L$37=0,$P$34=0),"",$L$37-1)),0,YEARFRAC(MAX($P$34*($B72+$I$38-1),IF(AND($L$37=0,$P$34=0),"",$L$37-1)),MIN(CO$38,$E72),$P$20))-SUM($BF72:CN72))</f>
        <v>0</v>
      </c>
      <c r="CP72" s="446">
        <f>IF($E72=0,0,IF(MIN(CP$38,$E72)&lt;MAX($P$34*($B72+$I$38-1),IF(AND($L$37=0,$P$34=0),"",$L$37-1)),0,YEARFRAC(MAX($P$34*($B72+$I$38-1),IF(AND($L$37=0,$P$34=0),"",$L$37-1)),MIN(CP$38,$E72),$P$20))-SUM($BF72:CO72))</f>
        <v>0</v>
      </c>
      <c r="CQ72" s="446">
        <f>IF($E72=0,0,IF(MIN(CQ$38,$E72)&lt;MAX($P$34*($B72+$I$38-1),IF(AND($L$37=0,$P$34=0),"",$L$37-1)),0,YEARFRAC(MAX($P$34*($B72+$I$38-1),IF(AND($L$37=0,$P$34=0),"",$L$37-1)),MIN(CQ$38,$E72),$P$20))-SUM($BF72:CP72))</f>
        <v>0</v>
      </c>
    </row>
    <row r="73" spans="1:95" s="446" customFormat="1" ht="11.25" hidden="1" customHeight="1" x14ac:dyDescent="0.2">
      <c r="A73" s="152"/>
      <c r="B73" s="153" t="str">
        <f t="shared" si="15"/>
        <v/>
      </c>
      <c r="C73" s="29" t="str">
        <f>IF(B73="","",IF($L$35="SELIC - TRIBUTOS",VLOOKUP(DATE(YEAR($D$19),MONTH($D$19)-1,1),ÍNDICES!$A:$DE,HLOOKUP($BL$25,ÍNDICES!$B$3:$T$4,2)+11)-VLOOKUP(B73,ÍNDICES!$A:$DE,HLOOKUP($BL$25,ÍNDICES!$B$3:$T$4,2)+11)+1%,IF(C$38=$W$26,$J$35,IF(ISERROR(IF(B73&gt;$D$19,1,VLOOKUP(DATE(YEAR(B73),MONTH(B73)+IF($C$35=$S$23,1,0),1),ÍNDICES!$A:$DE,$Z$35+1))),"",IF(B73&gt;$D$19,1,VLOOKUP(DATE(YEAR(B73),MONTH(B73)+IF($C$35=$S$23,1,0),1),ÍNDICES!$A:$DE,$Z$35+1))))))</f>
        <v/>
      </c>
      <c r="D73" s="154" t="str">
        <f>IF(ISERROR(IF(OR($D$38=$Y$27,$B73=""),"",VLOOKUP(B73,ÍNDICES!A:DE,AF$35+1))),"",IF(OR($D$38=$Y$27,$B73=""),"",VLOOKUP(B73,ÍNDICES!A:DE,AF$35+1)))</f>
        <v/>
      </c>
      <c r="E73" s="153"/>
      <c r="F73" s="29" t="str">
        <f>IF(E73="","",IF($L$35="SELIC - TRIBUTOS",VLOOKUP(DATE(YEAR($D$19),MONTH($D$19)-1,1),ÍNDICES!$A:$DE,HLOOKUP($BL$25,ÍNDICES!$B$3:$T$4,2)+11)-VLOOKUP(E73,ÍNDICES!$A:$DE,HLOOKUP($BL$25,ÍNDICES!$B$3:$T$4,2)+11)+1%,IF(F$38=$W$26,$J$35,IF(ISERROR(IF(E73&gt;$D$19,1,VLOOKUP(DATE(YEAR(E73),MONTH(E73)+IF($C$35=$S$23,1,0),1),ÍNDICES!$A:$DE,$Z$35+1))),"",IF(E73&gt;$D$19,1,VLOOKUP(DATE(YEAR(E73),MONTH(E73)+IF($C$35=$S$23,1,0),1),ÍNDICES!$A:$DE,$Z$35+1))))))</f>
        <v/>
      </c>
      <c r="G73" s="155"/>
      <c r="H73" s="156" t="str">
        <f t="shared" si="11"/>
        <v/>
      </c>
      <c r="I73" s="29" t="str">
        <f t="shared" si="5"/>
        <v/>
      </c>
      <c r="J73" s="5">
        <f t="shared" si="6"/>
        <v>0</v>
      </c>
      <c r="K73" s="20">
        <f t="shared" ca="1" si="7"/>
        <v>0</v>
      </c>
      <c r="L73" s="5">
        <f t="shared" ca="1" si="8"/>
        <v>0</v>
      </c>
      <c r="M73" s="64">
        <f t="shared" si="12"/>
        <v>0</v>
      </c>
      <c r="N73" s="61">
        <f t="shared" ca="1" si="13"/>
        <v>0</v>
      </c>
      <c r="O73" s="5">
        <f t="shared" ca="1" si="14"/>
        <v>0</v>
      </c>
      <c r="P73" s="446" t="e">
        <f t="shared" si="9"/>
        <v>#VALUE!</v>
      </c>
      <c r="Q73" s="446" t="e">
        <f>IF(OR($B73="",MIN(Q$38,$D$19)&lt;MAX($P$34*($B73+IF($R$17="Distrato",$I$38-1,0)),IF(AND($L$37=0,$P$34=0),"",$L$37-1),IF($R$17="Distrato",$E73,0))),0,YEARFRAC(MAX($P$34*($B73+IF($R$17="Distrato",$I$38-1,0)),IF(AND($L$37=0,$P$34=0),"",$L$37-1),IF($R$17="Distrato",$E73,0)),MIN(Q$38,$D$19),$P$20))-SUM($P73:P73)</f>
        <v>#VALUE!</v>
      </c>
      <c r="R73" s="446" t="e">
        <f>IF(OR($B73="",MIN(R$38,$D$19)&lt;MAX($P$34*($B73+IF($R$17="Distrato",$I$38-1,0)),IF(AND($L$37=0,$P$34=0),"",$L$37-1),IF($R$17="Distrato",$E73,0))),0,YEARFRAC(MAX($P$34*($B73+IF($R$17="Distrato",$I$38-1,0)),IF(AND($L$37=0,$P$34=0),"",$L$37-1),IF($R$17="Distrato",$E73,0)),MIN(R$38,$D$19),$P$20))-SUM($P73:Q73)</f>
        <v>#VALUE!</v>
      </c>
      <c r="S73" s="446" t="e">
        <f>IF(OR($B73="",MIN(S$38,$D$19)&lt;MAX($P$34*($B73+IF($R$17="Distrato",$I$38-1,0)),IF(AND($L$37=0,$P$34=0),"",$L$37-1),IF($R$17="Distrato",$E73,0))),0,YEARFRAC(MAX($P$34*($B73+IF($R$17="Distrato",$I$38-1,0)),IF(AND($L$37=0,$P$34=0),"",$L$37-1),IF($R$17="Distrato",$E73,0)),MIN(S$38,$D$19),$P$20))-SUM($P73:R73)</f>
        <v>#VALUE!</v>
      </c>
      <c r="T73" s="446" t="e">
        <f>IF(OR($B73="",MIN(T$38,$D$19)&lt;MAX($P$34*($B73+IF($R$17="Distrato",$I$38-1,0)),IF(AND($L$37=0,$P$34=0),"",$L$37-1),IF($R$17="Distrato",$E73,0))),0,YEARFRAC(MAX($P$34*($B73+IF($R$17="Distrato",$I$38-1,0)),IF(AND($L$37=0,$P$34=0),"",$L$37-1),IF($R$17="Distrato",$E73,0)),MIN(T$38,$D$19),$P$20))-SUM($P73:S73)</f>
        <v>#VALUE!</v>
      </c>
      <c r="U73" s="446" t="e">
        <f>IF(OR($B73="",MIN(U$38,$D$19)&lt;MAX($P$34*($B73+IF($R$17="Distrato",$I$38-1,0)),IF(AND($L$37=0,$P$34=0),"",$L$37-1),IF($R$17="Distrato",$E73,0))),0,YEARFRAC(MAX($P$34*($B73+IF($R$17="Distrato",$I$38-1,0)),IF(AND($L$37=0,$P$34=0),"",$L$37-1),IF($R$17="Distrato",$E73,0)),MIN(U$38,$D$19),$P$20))-SUM($P73:T73)</f>
        <v>#VALUE!</v>
      </c>
      <c r="V73" s="446" t="e">
        <f>IF(OR($B73="",MIN(V$38,$D$19)&lt;MAX($P$34*($B73+IF($R$17="Distrato",$I$38-1,0)),IF(AND($L$37=0,$P$34=0),"",$L$37-1),IF($R$17="Distrato",$E73,0))),0,YEARFRAC(MAX($P$34*($B73+IF($R$17="Distrato",$I$38-1,0)),IF(AND($L$37=0,$P$34=0),"",$L$37-1),IF($R$17="Distrato",$E73,0)),MIN(V$38,$D$19),$P$20))-SUM($P73:U73)</f>
        <v>#VALUE!</v>
      </c>
      <c r="W73" s="446" t="e">
        <f>IF(OR($B73="",MIN(W$38,$D$19)&lt;MAX($P$34*($B73+IF($R$17="Distrato",$I$38-1,0)),IF(AND($L$37=0,$P$34=0),"",$L$37-1),IF($R$17="Distrato",$E73,0))),0,YEARFRAC(MAX($P$34*($B73+IF($R$17="Distrato",$I$38-1,0)),IF(AND($L$37=0,$P$34=0),"",$L$37-1),IF($R$17="Distrato",$E73,0)),MIN(W$38,$D$19),$P$20))-SUM($P73:V73)</f>
        <v>#VALUE!</v>
      </c>
      <c r="X73" s="446" t="e">
        <f>IF(OR($B73="",MIN(X$38,$D$19)&lt;MAX($P$34*($B73+IF($R$17="Distrato",$I$38-1,0)),IF(AND($L$37=0,$P$34=0),"",$L$37-1),IF($R$17="Distrato",$E73,0))),0,YEARFRAC(MAX($P$34*($B73+IF($R$17="Distrato",$I$38-1,0)),IF(AND($L$37=0,$P$34=0),"",$L$37-1),IF($R$17="Distrato",$E73,0)),MIN(X$38,$D$19),$P$20))-SUM($P73:W73)</f>
        <v>#VALUE!</v>
      </c>
      <c r="Y73" s="446" t="e">
        <f>IF(OR($B73="",MIN(Y$38,$D$19)&lt;MAX($P$34*($B73+IF($R$17="Distrato",$I$38-1,0)),IF(AND($L$37=0,$P$34=0),"",$L$37-1),IF($R$17="Distrato",$E73,0))),0,YEARFRAC(MAX($P$34*($B73+IF($R$17="Distrato",$I$38-1,0)),IF(AND($L$37=0,$P$34=0),"",$L$37-1),IF($R$17="Distrato",$E73,0)),MIN(Y$38,$D$19),$P$20))-SUM($P73:X73)</f>
        <v>#VALUE!</v>
      </c>
      <c r="Z73" s="446" t="e">
        <f>IF(OR($B73="",MIN(Z$38,$D$19)&lt;MAX($P$34*($B73+IF($R$17="Distrato",$I$38-1,0)),IF(AND($L$37=0,$P$34=0),"",$L$37-1),IF($R$17="Distrato",$E73,0))),0,YEARFRAC(MAX($P$34*($B73+IF($R$17="Distrato",$I$38-1,0)),IF(AND($L$37=0,$P$34=0),"",$L$37-1),IF($R$17="Distrato",$E73,0)),MIN(Z$38,$D$19),$P$20))-SUM($P73:Y73)</f>
        <v>#VALUE!</v>
      </c>
      <c r="AA73" s="446" t="e">
        <f>IF(OR($B73="",MIN(AA$38,$D$19)&lt;MAX($P$34*($B73+IF($R$17="Distrato",$I$38-1,0)),IF(AND($L$37=0,$P$34=0),"",$L$37-1),IF($R$17="Distrato",$E73,0))),0,YEARFRAC(MAX($P$34*($B73+IF($R$17="Distrato",$I$38-1,0)),IF(AND($L$37=0,$P$34=0),"",$L$37-1),IF($R$17="Distrato",$E73,0)),MIN(AA$38,$D$19),$P$20))-SUM($P73:Z73)</f>
        <v>#VALUE!</v>
      </c>
      <c r="AB73" s="446" t="e">
        <f>IF(OR($B73="",MIN(AB$38,$D$19)&lt;MAX($P$34*($B73+IF($R$17="Distrato",$I$38-1,0)),IF(AND($L$37=0,$P$34=0),"",$L$37-1),IF($R$17="Distrato",$E73,0))),0,YEARFRAC(MAX($P$34*($B73+IF($R$17="Distrato",$I$38-1,0)),IF(AND($L$37=0,$P$34=0),"",$L$37-1),IF($R$17="Distrato",$E73,0)),MIN(AB$38,$D$19),$P$20))-SUM($P73:AA73)</f>
        <v>#VALUE!</v>
      </c>
      <c r="AC73" s="446" t="e">
        <f>IF(OR($B73="",MIN(AC$38,$D$19)&lt;MAX($P$34*($B73+IF($R$17="Distrato",$I$38-1,0)),IF(AND($L$37=0,$P$34=0),"",$L$37-1),IF($R$17="Distrato",$E73,0))),0,YEARFRAC(MAX($P$34*($B73+IF($R$17="Distrato",$I$38-1,0)),IF(AND($L$37=0,$P$34=0),"",$L$37-1),IF($R$17="Distrato",$E73,0)),MIN(AC$38,$D$19),$P$20))-SUM($P73:AB73)</f>
        <v>#VALUE!</v>
      </c>
      <c r="AD73" s="446" t="e">
        <f>IF(OR($B73="",MIN(AD$38,$D$19)&lt;MAX($P$34*($B73+IF($R$17="Distrato",$I$38-1,0)),IF(AND($L$37=0,$P$34=0),"",$L$37-1),IF($R$17="Distrato",$E73,0))),0,YEARFRAC(MAX($P$34*($B73+IF($R$17="Distrato",$I$38-1,0)),IF(AND($L$37=0,$P$34=0),"",$L$37-1),IF($R$17="Distrato",$E73,0)),MIN(AD$38,$D$19),$P$20))-SUM($P73:AC73)</f>
        <v>#VALUE!</v>
      </c>
      <c r="AE73" s="446" t="e">
        <f>IF(OR($B73="",MIN(AE$38,$D$19)&lt;MAX($P$34*($B73+IF($R$17="Distrato",$I$38-1,0)),IF(AND($L$37=0,$P$34=0),"",$L$37-1),IF($R$17="Distrato",$E73,0))),0,YEARFRAC(MAX($P$34*($B73+IF($R$17="Distrato",$I$38-1,0)),IF(AND($L$37=0,$P$34=0),"",$L$37-1),IF($R$17="Distrato",$E73,0)),MIN(AE$38,$D$19),$P$20))-SUM($P73:AD73)</f>
        <v>#VALUE!</v>
      </c>
      <c r="AF73" s="446" t="e">
        <f>IF(OR($B73="",MIN(AF$38,$D$19)&lt;MAX($P$34*($B73+IF($R$17="Distrato",$I$38-1,0)),IF(AND($L$37=0,$P$34=0),"",$L$37-1),IF($R$17="Distrato",$E73,0))),0,YEARFRAC(MAX($P$34*($B73+IF($R$17="Distrato",$I$38-1,0)),IF(AND($L$37=0,$P$34=0),"",$L$37-1),IF($R$17="Distrato",$E73,0)),MIN(AF$38,$D$19),$P$20))-SUM($P73:AE73)</f>
        <v>#VALUE!</v>
      </c>
      <c r="AG73" s="446" t="e">
        <f>IF(OR($B73="",MIN(AG$38,$D$19)&lt;MAX($P$34*($B73+IF($R$17="Distrato",$I$38-1,0)),IF(AND($L$37=0,$P$34=0),"",$L$37-1),IF($R$17="Distrato",$E73,0))),0,YEARFRAC(MAX($P$34*($B73+IF($R$17="Distrato",$I$38-1,0)),IF(AND($L$37=0,$P$34=0),"",$L$37-1),IF($R$17="Distrato",$E73,0)),MIN(AG$38,$D$19),$P$20))-SUM($P73:AF73)</f>
        <v>#VALUE!</v>
      </c>
      <c r="AH73" s="446" t="e">
        <f>IF(OR($B73="",MIN(AH$38,$D$19)&lt;MAX($P$34*($B73+IF($R$17="Distrato",$I$38-1,0)),IF(AND($L$37=0,$P$34=0),"",$L$37-1),IF($R$17="Distrato",$E73,0))),0,YEARFRAC(MAX($P$34*($B73+IF($R$17="Distrato",$I$38-1,0)),IF(AND($L$37=0,$P$34=0),"",$L$37-1),IF($R$17="Distrato",$E73,0)),MIN(AH$38,$D$19),$P$20))-SUM($P73:AG73)</f>
        <v>#VALUE!</v>
      </c>
      <c r="AI73" s="446" t="e">
        <f>IF(OR($B73="",MIN(AI$38,$D$19)&lt;MAX($P$34*($B73+IF($R$17="Distrato",$I$38-1,0)),IF(AND($L$37=0,$P$34=0),"",$L$37-1),IF($R$17="Distrato",$E73,0))),0,YEARFRAC(MAX($P$34*($B73+IF($R$17="Distrato",$I$38-1,0)),IF(AND($L$37=0,$P$34=0),"",$L$37-1),IF($R$17="Distrato",$E73,0)),MIN(AI$38,$D$19),$P$20))-SUM($P73:AH73)</f>
        <v>#VALUE!</v>
      </c>
      <c r="AJ73" s="446" t="e">
        <f>IF(OR($B73="",MIN(AJ$38,$D$19)&lt;MAX($P$34*($B73+IF($R$17="Distrato",$I$38-1,0)),IF(AND($L$37=0,$P$34=0),"",$L$37-1),IF($R$17="Distrato",$E73,0))),0,YEARFRAC(MAX($P$34*($B73+IF($R$17="Distrato",$I$38-1,0)),IF(AND($L$37=0,$P$34=0),"",$L$37-1),IF($R$17="Distrato",$E73,0)),MIN(AJ$38,$D$19),$P$20))-SUM($P73:AI73)</f>
        <v>#VALUE!</v>
      </c>
      <c r="AK73" s="446" t="e">
        <f>IF(OR($B73="",MIN(AK$38,$D$19)&lt;MAX($P$34*($B73+IF($R$17="Distrato",$I$38-1,0)),IF(AND($L$37=0,$P$34=0),"",$L$37-1),IF($R$17="Distrato",$E73,0))),0,YEARFRAC(MAX($P$34*($B73+IF($R$17="Distrato",$I$38-1,0)),IF(AND($L$37=0,$P$34=0),"",$L$37-1),IF($R$17="Distrato",$E73,0)),MIN(AK$38,$D$19),$P$20))-SUM($P73:AJ73)</f>
        <v>#VALUE!</v>
      </c>
      <c r="AL73" s="446" t="e">
        <f>IF(OR($B73="",MIN(AL$38,$D$19)&lt;MAX($P$34*($B73+IF($R$17="Distrato",$I$38-1,0)),IF(AND($L$37=0,$P$34=0),"",$L$37-1),IF($R$17="Distrato",$E73,0))),0,YEARFRAC(MAX($P$34*($B73+IF($R$17="Distrato",$I$38-1,0)),IF(AND($L$37=0,$P$34=0),"",$L$37-1),IF($R$17="Distrato",$E73,0)),MIN(AL$38,$D$19),$P$20))-SUM($P73:AK73)</f>
        <v>#VALUE!</v>
      </c>
      <c r="AM73" s="446" t="e">
        <f>IF(OR($B73="",MIN(AM$38,$D$19)&lt;MAX($P$34*($B73+IF($R$17="Distrato",$I$38-1,0)),IF(AND($L$37=0,$P$34=0),"",$L$37-1),IF($R$17="Distrato",$E73,0))),0,YEARFRAC(MAX($P$34*($B73+IF($R$17="Distrato",$I$38-1,0)),IF(AND($L$37=0,$P$34=0),"",$L$37-1),IF($R$17="Distrato",$E73,0)),MIN(AM$38,$D$19),$P$20))-SUM($P73:AL73)</f>
        <v>#VALUE!</v>
      </c>
      <c r="AN73" s="446" t="e">
        <f>IF(OR($B73="",MIN(AN$38,$D$19)&lt;MAX($P$34*($B73+IF($R$17="Distrato",$I$38-1,0)),IF(AND($L$37=0,$P$34=0),"",$L$37-1),IF($R$17="Distrato",$E73,0))),0,YEARFRAC(MAX($P$34*($B73+IF($R$17="Distrato",$I$38-1,0)),IF(AND($L$37=0,$P$34=0),"",$L$37-1),IF($R$17="Distrato",$E73,0)),MIN(AN$38,$D$19),$P$20))-SUM($P73:AM73)</f>
        <v>#VALUE!</v>
      </c>
      <c r="AO73" s="446" t="e">
        <f>IF(OR($B73="",MIN(AO$38,$D$19)&lt;MAX($P$34*($B73+IF($R$17="Distrato",$I$38-1,0)),IF(AND($L$37=0,$P$34=0),"",$L$37-1),IF($R$17="Distrato",$E73,0))),0,YEARFRAC(MAX($P$34*($B73+IF($R$17="Distrato",$I$38-1,0)),IF(AND($L$37=0,$P$34=0),"",$L$37-1),IF($R$17="Distrato",$E73,0)),MIN(AO$38,$D$19),$P$20))-SUM($P73:AN73)</f>
        <v>#VALUE!</v>
      </c>
      <c r="AP73" s="446" t="e">
        <f>IF(OR($B73="",MIN(AP$38,$D$19)&lt;MAX($P$34*($B73+IF($R$17="Distrato",$I$38-1,0)),IF(AND($L$37=0,$P$34=0),"",$L$37-1),IF($R$17="Distrato",$E73,0))),0,YEARFRAC(MAX($P$34*($B73+IF($R$17="Distrato",$I$38-1,0)),IF(AND($L$37=0,$P$34=0),"",$L$37-1),IF($R$17="Distrato",$E73,0)),MIN(AP$38,$D$19),$P$20))-SUM($P73:AO73)</f>
        <v>#VALUE!</v>
      </c>
      <c r="AQ73" s="446" t="e">
        <f>IF(OR($B73="",MIN(AQ$38,$D$19)&lt;MAX($P$34*($B73+IF($R$17="Distrato",$I$38-1,0)),IF(AND($L$37=0,$P$34=0),"",$L$37-1),IF($R$17="Distrato",$E73,0))),0,YEARFRAC(MAX($P$34*($B73+IF($R$17="Distrato",$I$38-1,0)),IF(AND($L$37=0,$P$34=0),"",$L$37-1),IF($R$17="Distrato",$E73,0)),MIN(AQ$38,$D$19),$P$20))-SUM($P73:AP73)</f>
        <v>#VALUE!</v>
      </c>
      <c r="AR73" s="446" t="e">
        <f>IF(OR($B73="",MIN(AR$38,$D$19)&lt;MAX($P$34*($B73+IF($R$17="Distrato",$I$38-1,0)),IF(AND($L$37=0,$P$34=0),"",$L$37-1),IF($R$17="Distrato",$E73,0))),0,YEARFRAC(MAX($P$34*($B73+IF($R$17="Distrato",$I$38-1,0)),IF(AND($L$37=0,$P$34=0),"",$L$37-1),IF($R$17="Distrato",$E73,0)),MIN(AR$38,$D$19),$P$20))-SUM($P73:AQ73)</f>
        <v>#VALUE!</v>
      </c>
      <c r="AS73" s="446" t="e">
        <f>IF(OR($B73="",MIN(AS$38,$D$19)&lt;MAX($P$34*($B73+IF($R$17="Distrato",$I$38-1,0)),IF(AND($L$37=0,$P$34=0),"",$L$37-1),IF($R$17="Distrato",$E73,0))),0,YEARFRAC(MAX($P$34*($B73+IF($R$17="Distrato",$I$38-1,0)),IF(AND($L$37=0,$P$34=0),"",$L$37-1),IF($R$17="Distrato",$E73,0)),MIN(AS$38,$D$19),$P$20))-SUM($P73:AR73)</f>
        <v>#VALUE!</v>
      </c>
      <c r="AT73" s="446" t="e">
        <f>IF(OR($B73="",MIN(AT$38,$D$19)&lt;MAX($P$34*($B73+IF($R$17="Distrato",$I$38-1,0)),IF(AND($L$37=0,$P$34=0),"",$L$37-1),IF($R$17="Distrato",$E73,0))),0,YEARFRAC(MAX($P$34*($B73+IF($R$17="Distrato",$I$38-1,0)),IF(AND($L$37=0,$P$34=0),"",$L$37-1),IF($R$17="Distrato",$E73,0)),MIN(AT$38,$D$19),$P$20))-SUM($P73:AS73)</f>
        <v>#VALUE!</v>
      </c>
      <c r="AU73" s="446" t="e">
        <f>IF(OR($B73="",MIN(AU$38,$D$19)&lt;MAX($P$34*($B73+IF($R$17="Distrato",$I$38-1,0)),IF(AND($L$37=0,$P$34=0),"",$L$37-1),IF($R$17="Distrato",$E73,0))),0,YEARFRAC(MAX($P$34*($B73+IF($R$17="Distrato",$I$38-1,0)),IF(AND($L$37=0,$P$34=0),"",$L$37-1),IF($R$17="Distrato",$E73,0)),MIN(AU$38,$D$19),$P$20))-SUM($P73:AT73)</f>
        <v>#VALUE!</v>
      </c>
      <c r="AV73" s="446" t="e">
        <f>IF(OR($B73="",MIN(AV$38,$D$19)&lt;MAX($P$34*($B73+IF($R$17="Distrato",$I$38-1,0)),IF(AND($L$37=0,$P$34=0),"",$L$37-1),IF($R$17="Distrato",$E73,0))),0,YEARFRAC(MAX($P$34*($B73+IF($R$17="Distrato",$I$38-1,0)),IF(AND($L$37=0,$P$34=0),"",$L$37-1),IF($R$17="Distrato",$E73,0)),MIN(AV$38,$D$19),$P$20))-SUM($P73:AU73)</f>
        <v>#VALUE!</v>
      </c>
      <c r="AW73" s="446" t="e">
        <f>IF(OR($B73="",MIN(AW$38,$D$19)&lt;MAX($P$34*($B73+IF($R$17="Distrato",$I$38-1,0)),IF(AND($L$37=0,$P$34=0),"",$L$37-1),IF($R$17="Distrato",$E73,0))),0,YEARFRAC(MAX($P$34*($B73+IF($R$17="Distrato",$I$38-1,0)),IF(AND($L$37=0,$P$34=0),"",$L$37-1),IF($R$17="Distrato",$E73,0)),MIN(AW$38,$D$19),$P$20))-SUM($P73:AV73)</f>
        <v>#VALUE!</v>
      </c>
      <c r="AX73" s="446" t="e">
        <f>IF(OR($B73="",MIN(AX$38,$D$19)&lt;MAX($P$34*($B73+IF($R$17="Distrato",$I$38-1,0)),IF(AND($L$37=0,$P$34=0),"",$L$37-1),IF($R$17="Distrato",$E73,0))),0,YEARFRAC(MAX($P$34*($B73+IF($R$17="Distrato",$I$38-1,0)),IF(AND($L$37=0,$P$34=0),"",$L$37-1),IF($R$17="Distrato",$E73,0)),MIN(AX$38,$D$19),$P$20))-SUM($P73:AW73)</f>
        <v>#VALUE!</v>
      </c>
      <c r="AY73" s="446" t="e">
        <f>IF(OR($B73="",MIN(AY$38,$D$19)&lt;MAX($P$34*($B73+IF($R$17="Distrato",$I$38-1,0)),IF(AND($L$37=0,$P$34=0),"",$L$37-1),IF($R$17="Distrato",$E73,0))),0,YEARFRAC(MAX($P$34*($B73+IF($R$17="Distrato",$I$38-1,0)),IF(AND($L$37=0,$P$34=0),"",$L$37-1),IF($R$17="Distrato",$E73,0)),MIN(AY$38,$D$19),$P$20))-SUM($P73:AX73)</f>
        <v>#VALUE!</v>
      </c>
      <c r="AZ73" s="446" t="e">
        <f>IF(OR($B73="",MIN(AZ$38,$D$19)&lt;MAX($P$34*($B73+IF($R$17="Distrato",$I$38-1,0)),IF(AND($L$37=0,$P$34=0),"",$L$37-1),IF($R$17="Distrato",$E73,0))),0,YEARFRAC(MAX($P$34*($B73+IF($R$17="Distrato",$I$38-1,0)),IF(AND($L$37=0,$P$34=0),"",$L$37-1),IF($R$17="Distrato",$E73,0)),MIN(AZ$38,$D$19),$P$20))-SUM($P73:AY73)</f>
        <v>#VALUE!</v>
      </c>
      <c r="BA73" s="446" t="e">
        <f>IF(OR($B73="",MIN(BA$38,$D$19)&lt;MAX($P$34*($B73+IF($R$17="Distrato",$I$38-1,0)),IF(AND($L$37=0,$P$34=0),"",$L$37-1),IF($R$17="Distrato",$E73,0))),0,YEARFRAC(MAX($P$34*($B73+IF($R$17="Distrato",$I$38-1,0)),IF(AND($L$37=0,$P$34=0),"",$L$37-1),IF($R$17="Distrato",$E73,0)),MIN(BA$38,$D$19),$P$20))-SUM($P73:AZ73)</f>
        <v>#VALUE!</v>
      </c>
      <c r="BB73" s="447"/>
      <c r="BF73" s="446">
        <f t="shared" si="10"/>
        <v>0</v>
      </c>
      <c r="BG73" s="446">
        <f>IF($E73=0,0,IF(MIN(BG$38,$E73)&lt;MAX($P$34*($B73+$I$38-1),IF(AND($L$37=0,$P$34=0),"",$L$37-1)),0,YEARFRAC(MAX($P$34*($B73+$I$38-1),IF(AND($L$37=0,$P$34=0),"",$L$37-1)),MIN(BG$38,$E73),$P$20))-SUM($BF73:BF73))</f>
        <v>0</v>
      </c>
      <c r="BH73" s="446">
        <f>IF($E73=0,0,IF(MIN(BH$38,$E73)&lt;MAX($P$34*($B73+$I$38-1),IF(AND($L$37=0,$P$34=0),"",$L$37-1)),0,YEARFRAC(MAX($P$34*($B73+$I$38-1),IF(AND($L$37=0,$P$34=0),"",$L$37-1)),MIN(BH$38,$E73),$P$20))-SUM($BF73:BG73))</f>
        <v>0</v>
      </c>
      <c r="BI73" s="446">
        <f>IF($E73=0,0,IF(MIN(BI$38,$E73)&lt;MAX($P$34*($B73+$I$38-1),IF(AND($L$37=0,$P$34=0),"",$L$37-1)),0,YEARFRAC(MAX($P$34*($B73+$I$38-1),IF(AND($L$37=0,$P$34=0),"",$L$37-1)),MIN(BI$38,$E73),$P$20))-SUM($BF73:BH73))</f>
        <v>0</v>
      </c>
      <c r="BJ73" s="446">
        <f>IF($E73=0,0,IF(MIN(BJ$38,$E73)&lt;MAX($P$34*($B73+$I$38-1),IF(AND($L$37=0,$P$34=0),"",$L$37-1)),0,YEARFRAC(MAX($P$34*($B73+$I$38-1),IF(AND($L$37=0,$P$34=0),"",$L$37-1)),MIN(BJ$38,$E73),$P$20))-SUM($BF73:BI73))</f>
        <v>0</v>
      </c>
      <c r="BK73" s="446">
        <f>IF($E73=0,0,IF(MIN(BK$38,$E73)&lt;MAX($P$34*($B73+$I$38-1),IF(AND($L$37=0,$P$34=0),"",$L$37-1)),0,YEARFRAC(MAX($P$34*($B73+$I$38-1),IF(AND($L$37=0,$P$34=0),"",$L$37-1)),MIN(BK$38,$E73),$P$20))-SUM($BF73:BJ73))</f>
        <v>0</v>
      </c>
      <c r="BL73" s="446">
        <f>IF($E73=0,0,IF(MIN(BL$38,$E73)&lt;MAX($P$34*($B73+$I$38-1),IF(AND($L$37=0,$P$34=0),"",$L$37-1)),0,YEARFRAC(MAX($P$34*($B73+$I$38-1),IF(AND($L$37=0,$P$34=0),"",$L$37-1)),MIN(BL$38,$E73),$P$20))-SUM($BF73:BK73))</f>
        <v>0</v>
      </c>
      <c r="BM73" s="446">
        <f>IF($E73=0,0,IF(MIN(BM$38,$E73)&lt;MAX($P$34*($B73+$I$38-1),IF(AND($L$37=0,$P$34=0),"",$L$37-1)),0,YEARFRAC(MAX($P$34*($B73+$I$38-1),IF(AND($L$37=0,$P$34=0),"",$L$37-1)),MIN(BM$38,$E73),$P$20))-SUM($BF73:BL73))</f>
        <v>0</v>
      </c>
      <c r="BN73" s="446">
        <f>IF($E73=0,0,IF(MIN(BN$38,$E73)&lt;MAX($P$34*($B73+$I$38-1),IF(AND($L$37=0,$P$34=0),"",$L$37-1)),0,YEARFRAC(MAX($P$34*($B73+$I$38-1),IF(AND($L$37=0,$P$34=0),"",$L$37-1)),MIN(BN$38,$E73),$P$20))-SUM($BF73:BM73))</f>
        <v>0</v>
      </c>
      <c r="BO73" s="446">
        <f>IF($E73=0,0,IF(MIN(BO$38,$E73)&lt;MAX($P$34*($B73+$I$38-1),IF(AND($L$37=0,$P$34=0),"",$L$37-1)),0,YEARFRAC(MAX($P$34*($B73+$I$38-1),IF(AND($L$37=0,$P$34=0),"",$L$37-1)),MIN(BO$38,$E73),$P$20))-SUM($BF73:BN73))</f>
        <v>0</v>
      </c>
      <c r="BP73" s="446">
        <f>IF($E73=0,0,IF(MIN(BP$38,$E73)&lt;MAX($P$34*($B73+$I$38-1),IF(AND($L$37=0,$P$34=0),"",$L$37-1)),0,YEARFRAC(MAX($P$34*($B73+$I$38-1),IF(AND($L$37=0,$P$34=0),"",$L$37-1)),MIN(BP$38,$E73),$P$20))-SUM($BF73:BO73))</f>
        <v>0</v>
      </c>
      <c r="BQ73" s="446">
        <f>IF($E73=0,0,IF(MIN(BQ$38,$E73)&lt;MAX($P$34*($B73+$I$38-1),IF(AND($L$37=0,$P$34=0),"",$L$37-1)),0,YEARFRAC(MAX($P$34*($B73+$I$38-1),IF(AND($L$37=0,$P$34=0),"",$L$37-1)),MIN(BQ$38,$E73),$P$20))-SUM($BF73:BP73))</f>
        <v>0</v>
      </c>
      <c r="BR73" s="446">
        <f>IF($E73=0,0,IF(MIN(BR$38,$E73)&lt;MAX($P$34*($B73+$I$38-1),IF(AND($L$37=0,$P$34=0),"",$L$37-1)),0,YEARFRAC(MAX($P$34*($B73+$I$38-1),IF(AND($L$37=0,$P$34=0),"",$L$37-1)),MIN(BR$38,$E73),$P$20))-SUM($BF73:BQ73))</f>
        <v>0</v>
      </c>
      <c r="BS73" s="446">
        <f>IF($E73=0,0,IF(MIN(BS$38,$E73)&lt;MAX($P$34*($B73+$I$38-1),IF(AND($L$37=0,$P$34=0),"",$L$37-1)),0,YEARFRAC(MAX($P$34*($B73+$I$38-1),IF(AND($L$37=0,$P$34=0),"",$L$37-1)),MIN(BS$38,$E73),$P$20))-SUM($BF73:BR73))</f>
        <v>0</v>
      </c>
      <c r="BT73" s="446">
        <f>IF($E73=0,0,IF(MIN(BT$38,$E73)&lt;MAX($P$34*($B73+$I$38-1),IF(AND($L$37=0,$P$34=0),"",$L$37-1)),0,YEARFRAC(MAX($P$34*($B73+$I$38-1),IF(AND($L$37=0,$P$34=0),"",$L$37-1)),MIN(BT$38,$E73),$P$20))-SUM($BF73:BS73))</f>
        <v>0</v>
      </c>
      <c r="BU73" s="446">
        <f>IF($E73=0,0,IF(MIN(BU$38,$E73)&lt;MAX($P$34*($B73+$I$38-1),IF(AND($L$37=0,$P$34=0),"",$L$37-1)),0,YEARFRAC(MAX($P$34*($B73+$I$38-1),IF(AND($L$37=0,$P$34=0),"",$L$37-1)),MIN(BU$38,$E73),$P$20))-SUM($BF73:BT73))</f>
        <v>0</v>
      </c>
      <c r="BV73" s="446">
        <f>IF($E73=0,0,IF(MIN(BV$38,$E73)&lt;MAX($P$34*($B73+$I$38-1),IF(AND($L$37=0,$P$34=0),"",$L$37-1)),0,YEARFRAC(MAX($P$34*($B73+$I$38-1),IF(AND($L$37=0,$P$34=0),"",$L$37-1)),MIN(BV$38,$E73),$P$20))-SUM($BF73:BU73))</f>
        <v>0</v>
      </c>
      <c r="BW73" s="446">
        <f>IF($E73=0,0,IF(MIN(BW$38,$E73)&lt;MAX($P$34*($B73+$I$38-1),IF(AND($L$37=0,$P$34=0),"",$L$37-1)),0,YEARFRAC(MAX($P$34*($B73+$I$38-1),IF(AND($L$37=0,$P$34=0),"",$L$37-1)),MIN(BW$38,$E73),$P$20))-SUM($BF73:BV73))</f>
        <v>0</v>
      </c>
      <c r="BX73" s="446">
        <f>IF($E73=0,0,IF(MIN(BX$38,$E73)&lt;MAX($P$34*($B73+$I$38-1),IF(AND($L$37=0,$P$34=0),"",$L$37-1)),0,YEARFRAC(MAX($P$34*($B73+$I$38-1),IF(AND($L$37=0,$P$34=0),"",$L$37-1)),MIN(BX$38,$E73),$P$20))-SUM($BF73:BW73))</f>
        <v>0</v>
      </c>
      <c r="BY73" s="446">
        <f>IF($E73=0,0,IF(MIN(BY$38,$E73)&lt;MAX($P$34*($B73+$I$38-1),IF(AND($L$37=0,$P$34=0),"",$L$37-1)),0,YEARFRAC(MAX($P$34*($B73+$I$38-1),IF(AND($L$37=0,$P$34=0),"",$L$37-1)),MIN(BY$38,$E73),$P$20))-SUM($BF73:BX73))</f>
        <v>0</v>
      </c>
      <c r="BZ73" s="446">
        <f>IF($E73=0,0,IF(MIN(BZ$38,$E73)&lt;MAX($P$34*($B73+$I$38-1),IF(AND($L$37=0,$P$34=0),"",$L$37-1)),0,YEARFRAC(MAX($P$34*($B73+$I$38-1),IF(AND($L$37=0,$P$34=0),"",$L$37-1)),MIN(BZ$38,$E73),$P$20))-SUM($BF73:BY73))</f>
        <v>0</v>
      </c>
      <c r="CA73" s="446">
        <f>IF($E73=0,0,IF(MIN(CA$38,$E73)&lt;MAX($P$34*($B73+$I$38-1),IF(AND($L$37=0,$P$34=0),"",$L$37-1)),0,YEARFRAC(MAX($P$34*($B73+$I$38-1),IF(AND($L$37=0,$P$34=0),"",$L$37-1)),MIN(CA$38,$E73),$P$20))-SUM($BF73:BZ73))</f>
        <v>0</v>
      </c>
      <c r="CB73" s="446">
        <f>IF($E73=0,0,IF(MIN(CB$38,$E73)&lt;MAX($P$34*($B73+$I$38-1),IF(AND($L$37=0,$P$34=0),"",$L$37-1)),0,YEARFRAC(MAX($P$34*($B73+$I$38-1),IF(AND($L$37=0,$P$34=0),"",$L$37-1)),MIN(CB$38,$E73),$P$20))-SUM($BF73:CA73))</f>
        <v>0</v>
      </c>
      <c r="CC73" s="446">
        <f>IF($E73=0,0,IF(MIN(CC$38,$E73)&lt;MAX($P$34*($B73+$I$38-1),IF(AND($L$37=0,$P$34=0),"",$L$37-1)),0,YEARFRAC(MAX($P$34*($B73+$I$38-1),IF(AND($L$37=0,$P$34=0),"",$L$37-1)),MIN(CC$38,$E73),$P$20))-SUM($BF73:CB73))</f>
        <v>0</v>
      </c>
      <c r="CD73" s="446">
        <f>IF($E73=0,0,IF(MIN(CD$38,$E73)&lt;MAX($P$34*($B73+$I$38-1),IF(AND($L$37=0,$P$34=0),"",$L$37-1)),0,YEARFRAC(MAX($P$34*($B73+$I$38-1),IF(AND($L$37=0,$P$34=0),"",$L$37-1)),MIN(CD$38,$E73),$P$20))-SUM($BF73:CC73))</f>
        <v>0</v>
      </c>
      <c r="CE73" s="446">
        <f>IF($E73=0,0,IF(MIN(CE$38,$E73)&lt;MAX($P$34*($B73+$I$38-1),IF(AND($L$37=0,$P$34=0),"",$L$37-1)),0,YEARFRAC(MAX($P$34*($B73+$I$38-1),IF(AND($L$37=0,$P$34=0),"",$L$37-1)),MIN(CE$38,$E73),$P$20))-SUM($BF73:CD73))</f>
        <v>0</v>
      </c>
      <c r="CF73" s="446">
        <f>IF($E73=0,0,IF(MIN(CF$38,$E73)&lt;MAX($P$34*($B73+$I$38-1),IF(AND($L$37=0,$P$34=0),"",$L$37-1)),0,YEARFRAC(MAX($P$34*($B73+$I$38-1),IF(AND($L$37=0,$P$34=0),"",$L$37-1)),MIN(CF$38,$E73),$P$20))-SUM($BF73:CE73))</f>
        <v>0</v>
      </c>
      <c r="CG73" s="446">
        <f>IF($E73=0,0,IF(MIN(CG$38,$E73)&lt;MAX($P$34*($B73+$I$38-1),IF(AND($L$37=0,$P$34=0),"",$L$37-1)),0,YEARFRAC(MAX($P$34*($B73+$I$38-1),IF(AND($L$37=0,$P$34=0),"",$L$37-1)),MIN(CG$38,$E73),$P$20))-SUM($BF73:CF73))</f>
        <v>0</v>
      </c>
      <c r="CH73" s="446">
        <f>IF($E73=0,0,IF(MIN(CH$38,$E73)&lt;MAX($P$34*($B73+$I$38-1),IF(AND($L$37=0,$P$34=0),"",$L$37-1)),0,YEARFRAC(MAX($P$34*($B73+$I$38-1),IF(AND($L$37=0,$P$34=0),"",$L$37-1)),MIN(CH$38,$E73),$P$20))-SUM($BF73:CG73))</f>
        <v>0</v>
      </c>
      <c r="CI73" s="446">
        <f>IF($E73=0,0,IF(MIN(CI$38,$E73)&lt;MAX($P$34*($B73+$I$38-1),IF(AND($L$37=0,$P$34=0),"",$L$37-1)),0,YEARFRAC(MAX($P$34*($B73+$I$38-1),IF(AND($L$37=0,$P$34=0),"",$L$37-1)),MIN(CI$38,$E73),$P$20))-SUM($BF73:CH73))</f>
        <v>0</v>
      </c>
      <c r="CJ73" s="446">
        <f>IF($E73=0,0,IF(MIN(CJ$38,$E73)&lt;MAX($P$34*($B73+$I$38-1),IF(AND($L$37=0,$P$34=0),"",$L$37-1)),0,YEARFRAC(MAX($P$34*($B73+$I$38-1),IF(AND($L$37=0,$P$34=0),"",$L$37-1)),MIN(CJ$38,$E73),$P$20))-SUM($BF73:CI73))</f>
        <v>0</v>
      </c>
      <c r="CK73" s="446">
        <f>IF($E73=0,0,IF(MIN(CK$38,$E73)&lt;MAX($P$34*($B73+$I$38-1),IF(AND($L$37=0,$P$34=0),"",$L$37-1)),0,YEARFRAC(MAX($P$34*($B73+$I$38-1),IF(AND($L$37=0,$P$34=0),"",$L$37-1)),MIN(CK$38,$E73),$P$20))-SUM($BF73:CJ73))</f>
        <v>0</v>
      </c>
      <c r="CL73" s="446">
        <f>IF($E73=0,0,IF(MIN(CL$38,$E73)&lt;MAX($P$34*($B73+$I$38-1),IF(AND($L$37=0,$P$34=0),"",$L$37-1)),0,YEARFRAC(MAX($P$34*($B73+$I$38-1),IF(AND($L$37=0,$P$34=0),"",$L$37-1)),MIN(CL$38,$E73),$P$20))-SUM($BF73:CK73))</f>
        <v>0</v>
      </c>
      <c r="CM73" s="446">
        <f>IF($E73=0,0,IF(MIN(CM$38,$E73)&lt;MAX($P$34*($B73+$I$38-1),IF(AND($L$37=0,$P$34=0),"",$L$37-1)),0,YEARFRAC(MAX($P$34*($B73+$I$38-1),IF(AND($L$37=0,$P$34=0),"",$L$37-1)),MIN(CM$38,$E73),$P$20))-SUM($BF73:CL73))</f>
        <v>0</v>
      </c>
      <c r="CN73" s="446">
        <f>IF($E73=0,0,IF(MIN(CN$38,$E73)&lt;MAX($P$34*($B73+$I$38-1),IF(AND($L$37=0,$P$34=0),"",$L$37-1)),0,YEARFRAC(MAX($P$34*($B73+$I$38-1),IF(AND($L$37=0,$P$34=0),"",$L$37-1)),MIN(CN$38,$E73),$P$20))-SUM($BF73:CM73))</f>
        <v>0</v>
      </c>
      <c r="CO73" s="446">
        <f>IF($E73=0,0,IF(MIN(CO$38,$E73)&lt;MAX($P$34*($B73+$I$38-1),IF(AND($L$37=0,$P$34=0),"",$L$37-1)),0,YEARFRAC(MAX($P$34*($B73+$I$38-1),IF(AND($L$37=0,$P$34=0),"",$L$37-1)),MIN(CO$38,$E73),$P$20))-SUM($BF73:CN73))</f>
        <v>0</v>
      </c>
      <c r="CP73" s="446">
        <f>IF($E73=0,0,IF(MIN(CP$38,$E73)&lt;MAX($P$34*($B73+$I$38-1),IF(AND($L$37=0,$P$34=0),"",$L$37-1)),0,YEARFRAC(MAX($P$34*($B73+$I$38-1),IF(AND($L$37=0,$P$34=0),"",$L$37-1)),MIN(CP$38,$E73),$P$20))-SUM($BF73:CO73))</f>
        <v>0</v>
      </c>
      <c r="CQ73" s="446">
        <f>IF($E73=0,0,IF(MIN(CQ$38,$E73)&lt;MAX($P$34*($B73+$I$38-1),IF(AND($L$37=0,$P$34=0),"",$L$37-1)),0,YEARFRAC(MAX($P$34*($B73+$I$38-1),IF(AND($L$37=0,$P$34=0),"",$L$37-1)),MIN(CQ$38,$E73),$P$20))-SUM($BF73:CP73))</f>
        <v>0</v>
      </c>
    </row>
    <row r="74" spans="1:95" s="446" customFormat="1" ht="11.25" hidden="1" customHeight="1" x14ac:dyDescent="0.2">
      <c r="A74" s="152"/>
      <c r="B74" s="153" t="str">
        <f t="shared" si="15"/>
        <v/>
      </c>
      <c r="C74" s="29" t="str">
        <f>IF(B74="","",IF($L$35="SELIC - TRIBUTOS",VLOOKUP(DATE(YEAR($D$19),MONTH($D$19)-1,1),ÍNDICES!$A:$DE,HLOOKUP($BL$25,ÍNDICES!$B$3:$T$4,2)+11)-VLOOKUP(B74,ÍNDICES!$A:$DE,HLOOKUP($BL$25,ÍNDICES!$B$3:$T$4,2)+11)+1%,IF(C$38=$W$26,$J$35,IF(ISERROR(IF(B74&gt;$D$19,1,VLOOKUP(DATE(YEAR(B74),MONTH(B74)+IF($C$35=$S$23,1,0),1),ÍNDICES!$A:$DE,$Z$35+1))),"",IF(B74&gt;$D$19,1,VLOOKUP(DATE(YEAR(B74),MONTH(B74)+IF($C$35=$S$23,1,0),1),ÍNDICES!$A:$DE,$Z$35+1))))))</f>
        <v/>
      </c>
      <c r="D74" s="154" t="str">
        <f>IF(ISERROR(IF(OR($D$38=$Y$27,$B74=""),"",VLOOKUP(B74,ÍNDICES!A:DE,AF$35+1))),"",IF(OR($D$38=$Y$27,$B74=""),"",VLOOKUP(B74,ÍNDICES!A:DE,AF$35+1)))</f>
        <v/>
      </c>
      <c r="E74" s="153"/>
      <c r="F74" s="29" t="str">
        <f>IF(E74="","",IF($L$35="SELIC - TRIBUTOS",VLOOKUP(DATE(YEAR($D$19),MONTH($D$19)-1,1),ÍNDICES!$A:$DE,HLOOKUP($BL$25,ÍNDICES!$B$3:$T$4,2)+11)-VLOOKUP(E74,ÍNDICES!$A:$DE,HLOOKUP($BL$25,ÍNDICES!$B$3:$T$4,2)+11)+1%,IF(F$38=$W$26,$J$35,IF(ISERROR(IF(E74&gt;$D$19,1,VLOOKUP(DATE(YEAR(E74),MONTH(E74)+IF($C$35=$S$23,1,0),1),ÍNDICES!$A:$DE,$Z$35+1))),"",IF(E74&gt;$D$19,1,VLOOKUP(DATE(YEAR(E74),MONTH(E74)+IF($C$35=$S$23,1,0),1),ÍNDICES!$A:$DE,$Z$35+1))))))</f>
        <v/>
      </c>
      <c r="G74" s="155"/>
      <c r="H74" s="156" t="str">
        <f t="shared" si="11"/>
        <v/>
      </c>
      <c r="I74" s="29" t="str">
        <f t="shared" si="5"/>
        <v/>
      </c>
      <c r="J74" s="5">
        <f t="shared" si="6"/>
        <v>0</v>
      </c>
      <c r="K74" s="20">
        <f t="shared" ca="1" si="7"/>
        <v>0</v>
      </c>
      <c r="L74" s="5">
        <f t="shared" ca="1" si="8"/>
        <v>0</v>
      </c>
      <c r="M74" s="64">
        <f t="shared" si="12"/>
        <v>0</v>
      </c>
      <c r="N74" s="61">
        <f t="shared" ca="1" si="13"/>
        <v>0</v>
      </c>
      <c r="O74" s="5">
        <f t="shared" ca="1" si="14"/>
        <v>0</v>
      </c>
      <c r="P74" s="446" t="e">
        <f t="shared" si="9"/>
        <v>#VALUE!</v>
      </c>
      <c r="Q74" s="446" t="e">
        <f>IF(OR($B74="",MIN(Q$38,$D$19)&lt;MAX($P$34*($B74+IF($R$17="Distrato",$I$38-1,0)),IF(AND($L$37=0,$P$34=0),"",$L$37-1),IF($R$17="Distrato",$E74,0))),0,YEARFRAC(MAX($P$34*($B74+IF($R$17="Distrato",$I$38-1,0)),IF(AND($L$37=0,$P$34=0),"",$L$37-1),IF($R$17="Distrato",$E74,0)),MIN(Q$38,$D$19),$P$20))-SUM($P74:P74)</f>
        <v>#VALUE!</v>
      </c>
      <c r="R74" s="446" t="e">
        <f>IF(OR($B74="",MIN(R$38,$D$19)&lt;MAX($P$34*($B74+IF($R$17="Distrato",$I$38-1,0)),IF(AND($L$37=0,$P$34=0),"",$L$37-1),IF($R$17="Distrato",$E74,0))),0,YEARFRAC(MAX($P$34*($B74+IF($R$17="Distrato",$I$38-1,0)),IF(AND($L$37=0,$P$34=0),"",$L$37-1),IF($R$17="Distrato",$E74,0)),MIN(R$38,$D$19),$P$20))-SUM($P74:Q74)</f>
        <v>#VALUE!</v>
      </c>
      <c r="S74" s="446" t="e">
        <f>IF(OR($B74="",MIN(S$38,$D$19)&lt;MAX($P$34*($B74+IF($R$17="Distrato",$I$38-1,0)),IF(AND($L$37=0,$P$34=0),"",$L$37-1),IF($R$17="Distrato",$E74,0))),0,YEARFRAC(MAX($P$34*($B74+IF($R$17="Distrato",$I$38-1,0)),IF(AND($L$37=0,$P$34=0),"",$L$37-1),IF($R$17="Distrato",$E74,0)),MIN(S$38,$D$19),$P$20))-SUM($P74:R74)</f>
        <v>#VALUE!</v>
      </c>
      <c r="T74" s="446" t="e">
        <f>IF(OR($B74="",MIN(T$38,$D$19)&lt;MAX($P$34*($B74+IF($R$17="Distrato",$I$38-1,0)),IF(AND($L$37=0,$P$34=0),"",$L$37-1),IF($R$17="Distrato",$E74,0))),0,YEARFRAC(MAX($P$34*($B74+IF($R$17="Distrato",$I$38-1,0)),IF(AND($L$37=0,$P$34=0),"",$L$37-1),IF($R$17="Distrato",$E74,0)),MIN(T$38,$D$19),$P$20))-SUM($P74:S74)</f>
        <v>#VALUE!</v>
      </c>
      <c r="U74" s="446" t="e">
        <f>IF(OR($B74="",MIN(U$38,$D$19)&lt;MAX($P$34*($B74+IF($R$17="Distrato",$I$38-1,0)),IF(AND($L$37=0,$P$34=0),"",$L$37-1),IF($R$17="Distrato",$E74,0))),0,YEARFRAC(MAX($P$34*($B74+IF($R$17="Distrato",$I$38-1,0)),IF(AND($L$37=0,$P$34=0),"",$L$37-1),IF($R$17="Distrato",$E74,0)),MIN(U$38,$D$19),$P$20))-SUM($P74:T74)</f>
        <v>#VALUE!</v>
      </c>
      <c r="V74" s="446" t="e">
        <f>IF(OR($B74="",MIN(V$38,$D$19)&lt;MAX($P$34*($B74+IF($R$17="Distrato",$I$38-1,0)),IF(AND($L$37=0,$P$34=0),"",$L$37-1),IF($R$17="Distrato",$E74,0))),0,YEARFRAC(MAX($P$34*($B74+IF($R$17="Distrato",$I$38-1,0)),IF(AND($L$37=0,$P$34=0),"",$L$37-1),IF($R$17="Distrato",$E74,0)),MIN(V$38,$D$19),$P$20))-SUM($P74:U74)</f>
        <v>#VALUE!</v>
      </c>
      <c r="W74" s="446" t="e">
        <f>IF(OR($B74="",MIN(W$38,$D$19)&lt;MAX($P$34*($B74+IF($R$17="Distrato",$I$38-1,0)),IF(AND($L$37=0,$P$34=0),"",$L$37-1),IF($R$17="Distrato",$E74,0))),0,YEARFRAC(MAX($P$34*($B74+IF($R$17="Distrato",$I$38-1,0)),IF(AND($L$37=0,$P$34=0),"",$L$37-1),IF($R$17="Distrato",$E74,0)),MIN(W$38,$D$19),$P$20))-SUM($P74:V74)</f>
        <v>#VALUE!</v>
      </c>
      <c r="X74" s="446" t="e">
        <f>IF(OR($B74="",MIN(X$38,$D$19)&lt;MAX($P$34*($B74+IF($R$17="Distrato",$I$38-1,0)),IF(AND($L$37=0,$P$34=0),"",$L$37-1),IF($R$17="Distrato",$E74,0))),0,YEARFRAC(MAX($P$34*($B74+IF($R$17="Distrato",$I$38-1,0)),IF(AND($L$37=0,$P$34=0),"",$L$37-1),IF($R$17="Distrato",$E74,0)),MIN(X$38,$D$19),$P$20))-SUM($P74:W74)</f>
        <v>#VALUE!</v>
      </c>
      <c r="Y74" s="446" t="e">
        <f>IF(OR($B74="",MIN(Y$38,$D$19)&lt;MAX($P$34*($B74+IF($R$17="Distrato",$I$38-1,0)),IF(AND($L$37=0,$P$34=0),"",$L$37-1),IF($R$17="Distrato",$E74,0))),0,YEARFRAC(MAX($P$34*($B74+IF($R$17="Distrato",$I$38-1,0)),IF(AND($L$37=0,$P$34=0),"",$L$37-1),IF($R$17="Distrato",$E74,0)),MIN(Y$38,$D$19),$P$20))-SUM($P74:X74)</f>
        <v>#VALUE!</v>
      </c>
      <c r="Z74" s="446" t="e">
        <f>IF(OR($B74="",MIN(Z$38,$D$19)&lt;MAX($P$34*($B74+IF($R$17="Distrato",$I$38-1,0)),IF(AND($L$37=0,$P$34=0),"",$L$37-1),IF($R$17="Distrato",$E74,0))),0,YEARFRAC(MAX($P$34*($B74+IF($R$17="Distrato",$I$38-1,0)),IF(AND($L$37=0,$P$34=0),"",$L$37-1),IF($R$17="Distrato",$E74,0)),MIN(Z$38,$D$19),$P$20))-SUM($P74:Y74)</f>
        <v>#VALUE!</v>
      </c>
      <c r="AA74" s="446" t="e">
        <f>IF(OR($B74="",MIN(AA$38,$D$19)&lt;MAX($P$34*($B74+IF($R$17="Distrato",$I$38-1,0)),IF(AND($L$37=0,$P$34=0),"",$L$37-1),IF($R$17="Distrato",$E74,0))),0,YEARFRAC(MAX($P$34*($B74+IF($R$17="Distrato",$I$38-1,0)),IF(AND($L$37=0,$P$34=0),"",$L$37-1),IF($R$17="Distrato",$E74,0)),MIN(AA$38,$D$19),$P$20))-SUM($P74:Z74)</f>
        <v>#VALUE!</v>
      </c>
      <c r="AB74" s="446" t="e">
        <f>IF(OR($B74="",MIN(AB$38,$D$19)&lt;MAX($P$34*($B74+IF($R$17="Distrato",$I$38-1,0)),IF(AND($L$37=0,$P$34=0),"",$L$37-1),IF($R$17="Distrato",$E74,0))),0,YEARFRAC(MAX($P$34*($B74+IF($R$17="Distrato",$I$38-1,0)),IF(AND($L$37=0,$P$34=0),"",$L$37-1),IF($R$17="Distrato",$E74,0)),MIN(AB$38,$D$19),$P$20))-SUM($P74:AA74)</f>
        <v>#VALUE!</v>
      </c>
      <c r="AC74" s="446" t="e">
        <f>IF(OR($B74="",MIN(AC$38,$D$19)&lt;MAX($P$34*($B74+IF($R$17="Distrato",$I$38-1,0)),IF(AND($L$37=0,$P$34=0),"",$L$37-1),IF($R$17="Distrato",$E74,0))),0,YEARFRAC(MAX($P$34*($B74+IF($R$17="Distrato",$I$38-1,0)),IF(AND($L$37=0,$P$34=0),"",$L$37-1),IF($R$17="Distrato",$E74,0)),MIN(AC$38,$D$19),$P$20))-SUM($P74:AB74)</f>
        <v>#VALUE!</v>
      </c>
      <c r="AD74" s="446" t="e">
        <f>IF(OR($B74="",MIN(AD$38,$D$19)&lt;MAX($P$34*($B74+IF($R$17="Distrato",$I$38-1,0)),IF(AND($L$37=0,$P$34=0),"",$L$37-1),IF($R$17="Distrato",$E74,0))),0,YEARFRAC(MAX($P$34*($B74+IF($R$17="Distrato",$I$38-1,0)),IF(AND($L$37=0,$P$34=0),"",$L$37-1),IF($R$17="Distrato",$E74,0)),MIN(AD$38,$D$19),$P$20))-SUM($P74:AC74)</f>
        <v>#VALUE!</v>
      </c>
      <c r="AE74" s="446" t="e">
        <f>IF(OR($B74="",MIN(AE$38,$D$19)&lt;MAX($P$34*($B74+IF($R$17="Distrato",$I$38-1,0)),IF(AND($L$37=0,$P$34=0),"",$L$37-1),IF($R$17="Distrato",$E74,0))),0,YEARFRAC(MAX($P$34*($B74+IF($R$17="Distrato",$I$38-1,0)),IF(AND($L$37=0,$P$34=0),"",$L$37-1),IF($R$17="Distrato",$E74,0)),MIN(AE$38,$D$19),$P$20))-SUM($P74:AD74)</f>
        <v>#VALUE!</v>
      </c>
      <c r="AF74" s="446" t="e">
        <f>IF(OR($B74="",MIN(AF$38,$D$19)&lt;MAX($P$34*($B74+IF($R$17="Distrato",$I$38-1,0)),IF(AND($L$37=0,$P$34=0),"",$L$37-1),IF($R$17="Distrato",$E74,0))),0,YEARFRAC(MAX($P$34*($B74+IF($R$17="Distrato",$I$38-1,0)),IF(AND($L$37=0,$P$34=0),"",$L$37-1),IF($R$17="Distrato",$E74,0)),MIN(AF$38,$D$19),$P$20))-SUM($P74:AE74)</f>
        <v>#VALUE!</v>
      </c>
      <c r="AG74" s="446" t="e">
        <f>IF(OR($B74="",MIN(AG$38,$D$19)&lt;MAX($P$34*($B74+IF($R$17="Distrato",$I$38-1,0)),IF(AND($L$37=0,$P$34=0),"",$L$37-1),IF($R$17="Distrato",$E74,0))),0,YEARFRAC(MAX($P$34*($B74+IF($R$17="Distrato",$I$38-1,0)),IF(AND($L$37=0,$P$34=0),"",$L$37-1),IF($R$17="Distrato",$E74,0)),MIN(AG$38,$D$19),$P$20))-SUM($P74:AF74)</f>
        <v>#VALUE!</v>
      </c>
      <c r="AH74" s="446" t="e">
        <f>IF(OR($B74="",MIN(AH$38,$D$19)&lt;MAX($P$34*($B74+IF($R$17="Distrato",$I$38-1,0)),IF(AND($L$37=0,$P$34=0),"",$L$37-1),IF($R$17="Distrato",$E74,0))),0,YEARFRAC(MAX($P$34*($B74+IF($R$17="Distrato",$I$38-1,0)),IF(AND($L$37=0,$P$34=0),"",$L$37-1),IF($R$17="Distrato",$E74,0)),MIN(AH$38,$D$19),$P$20))-SUM($P74:AG74)</f>
        <v>#VALUE!</v>
      </c>
      <c r="AI74" s="446" t="e">
        <f>IF(OR($B74="",MIN(AI$38,$D$19)&lt;MAX($P$34*($B74+IF($R$17="Distrato",$I$38-1,0)),IF(AND($L$37=0,$P$34=0),"",$L$37-1),IF($R$17="Distrato",$E74,0))),0,YEARFRAC(MAX($P$34*($B74+IF($R$17="Distrato",$I$38-1,0)),IF(AND($L$37=0,$P$34=0),"",$L$37-1),IF($R$17="Distrato",$E74,0)),MIN(AI$38,$D$19),$P$20))-SUM($P74:AH74)</f>
        <v>#VALUE!</v>
      </c>
      <c r="AJ74" s="446" t="e">
        <f>IF(OR($B74="",MIN(AJ$38,$D$19)&lt;MAX($P$34*($B74+IF($R$17="Distrato",$I$38-1,0)),IF(AND($L$37=0,$P$34=0),"",$L$37-1),IF($R$17="Distrato",$E74,0))),0,YEARFRAC(MAX($P$34*($B74+IF($R$17="Distrato",$I$38-1,0)),IF(AND($L$37=0,$P$34=0),"",$L$37-1),IF($R$17="Distrato",$E74,0)),MIN(AJ$38,$D$19),$P$20))-SUM($P74:AI74)</f>
        <v>#VALUE!</v>
      </c>
      <c r="AK74" s="446" t="e">
        <f>IF(OR($B74="",MIN(AK$38,$D$19)&lt;MAX($P$34*($B74+IF($R$17="Distrato",$I$38-1,0)),IF(AND($L$37=0,$P$34=0),"",$L$37-1),IF($R$17="Distrato",$E74,0))),0,YEARFRAC(MAX($P$34*($B74+IF($R$17="Distrato",$I$38-1,0)),IF(AND($L$37=0,$P$34=0),"",$L$37-1),IF($R$17="Distrato",$E74,0)),MIN(AK$38,$D$19),$P$20))-SUM($P74:AJ74)</f>
        <v>#VALUE!</v>
      </c>
      <c r="AL74" s="446" t="e">
        <f>IF(OR($B74="",MIN(AL$38,$D$19)&lt;MAX($P$34*($B74+IF($R$17="Distrato",$I$38-1,0)),IF(AND($L$37=0,$P$34=0),"",$L$37-1),IF($R$17="Distrato",$E74,0))),0,YEARFRAC(MAX($P$34*($B74+IF($R$17="Distrato",$I$38-1,0)),IF(AND($L$37=0,$P$34=0),"",$L$37-1),IF($R$17="Distrato",$E74,0)),MIN(AL$38,$D$19),$P$20))-SUM($P74:AK74)</f>
        <v>#VALUE!</v>
      </c>
      <c r="AM74" s="446" t="e">
        <f>IF(OR($B74="",MIN(AM$38,$D$19)&lt;MAX($P$34*($B74+IF($R$17="Distrato",$I$38-1,0)),IF(AND($L$37=0,$P$34=0),"",$L$37-1),IF($R$17="Distrato",$E74,0))),0,YEARFRAC(MAX($P$34*($B74+IF($R$17="Distrato",$I$38-1,0)),IF(AND($L$37=0,$P$34=0),"",$L$37-1),IF($R$17="Distrato",$E74,0)),MIN(AM$38,$D$19),$P$20))-SUM($P74:AL74)</f>
        <v>#VALUE!</v>
      </c>
      <c r="AN74" s="446" t="e">
        <f>IF(OR($B74="",MIN(AN$38,$D$19)&lt;MAX($P$34*($B74+IF($R$17="Distrato",$I$38-1,0)),IF(AND($L$37=0,$P$34=0),"",$L$37-1),IF($R$17="Distrato",$E74,0))),0,YEARFRAC(MAX($P$34*($B74+IF($R$17="Distrato",$I$38-1,0)),IF(AND($L$37=0,$P$34=0),"",$L$37-1),IF($R$17="Distrato",$E74,0)),MIN(AN$38,$D$19),$P$20))-SUM($P74:AM74)</f>
        <v>#VALUE!</v>
      </c>
      <c r="AO74" s="446" t="e">
        <f>IF(OR($B74="",MIN(AO$38,$D$19)&lt;MAX($P$34*($B74+IF($R$17="Distrato",$I$38-1,0)),IF(AND($L$37=0,$P$34=0),"",$L$37-1),IF($R$17="Distrato",$E74,0))),0,YEARFRAC(MAX($P$34*($B74+IF($R$17="Distrato",$I$38-1,0)),IF(AND($L$37=0,$P$34=0),"",$L$37-1),IF($R$17="Distrato",$E74,0)),MIN(AO$38,$D$19),$P$20))-SUM($P74:AN74)</f>
        <v>#VALUE!</v>
      </c>
      <c r="AP74" s="446" t="e">
        <f>IF(OR($B74="",MIN(AP$38,$D$19)&lt;MAX($P$34*($B74+IF($R$17="Distrato",$I$38-1,0)),IF(AND($L$37=0,$P$34=0),"",$L$37-1),IF($R$17="Distrato",$E74,0))),0,YEARFRAC(MAX($P$34*($B74+IF($R$17="Distrato",$I$38-1,0)),IF(AND($L$37=0,$P$34=0),"",$L$37-1),IF($R$17="Distrato",$E74,0)),MIN(AP$38,$D$19),$P$20))-SUM($P74:AO74)</f>
        <v>#VALUE!</v>
      </c>
      <c r="AQ74" s="446" t="e">
        <f>IF(OR($B74="",MIN(AQ$38,$D$19)&lt;MAX($P$34*($B74+IF($R$17="Distrato",$I$38-1,0)),IF(AND($L$37=0,$P$34=0),"",$L$37-1),IF($R$17="Distrato",$E74,0))),0,YEARFRAC(MAX($P$34*($B74+IF($R$17="Distrato",$I$38-1,0)),IF(AND($L$37=0,$P$34=0),"",$L$37-1),IF($R$17="Distrato",$E74,0)),MIN(AQ$38,$D$19),$P$20))-SUM($P74:AP74)</f>
        <v>#VALUE!</v>
      </c>
      <c r="AR74" s="446" t="e">
        <f>IF(OR($B74="",MIN(AR$38,$D$19)&lt;MAX($P$34*($B74+IF($R$17="Distrato",$I$38-1,0)),IF(AND($L$37=0,$P$34=0),"",$L$37-1),IF($R$17="Distrato",$E74,0))),0,YEARFRAC(MAX($P$34*($B74+IF($R$17="Distrato",$I$38-1,0)),IF(AND($L$37=0,$P$34=0),"",$L$37-1),IF($R$17="Distrato",$E74,0)),MIN(AR$38,$D$19),$P$20))-SUM($P74:AQ74)</f>
        <v>#VALUE!</v>
      </c>
      <c r="AS74" s="446" t="e">
        <f>IF(OR($B74="",MIN(AS$38,$D$19)&lt;MAX($P$34*($B74+IF($R$17="Distrato",$I$38-1,0)),IF(AND($L$37=0,$P$34=0),"",$L$37-1),IF($R$17="Distrato",$E74,0))),0,YEARFRAC(MAX($P$34*($B74+IF($R$17="Distrato",$I$38-1,0)),IF(AND($L$37=0,$P$34=0),"",$L$37-1),IF($R$17="Distrato",$E74,0)),MIN(AS$38,$D$19),$P$20))-SUM($P74:AR74)</f>
        <v>#VALUE!</v>
      </c>
      <c r="AT74" s="446" t="e">
        <f>IF(OR($B74="",MIN(AT$38,$D$19)&lt;MAX($P$34*($B74+IF($R$17="Distrato",$I$38-1,0)),IF(AND($L$37=0,$P$34=0),"",$L$37-1),IF($R$17="Distrato",$E74,0))),0,YEARFRAC(MAX($P$34*($B74+IF($R$17="Distrato",$I$38-1,0)),IF(AND($L$37=0,$P$34=0),"",$L$37-1),IF($R$17="Distrato",$E74,0)),MIN(AT$38,$D$19),$P$20))-SUM($P74:AS74)</f>
        <v>#VALUE!</v>
      </c>
      <c r="AU74" s="446" t="e">
        <f>IF(OR($B74="",MIN(AU$38,$D$19)&lt;MAX($P$34*($B74+IF($R$17="Distrato",$I$38-1,0)),IF(AND($L$37=0,$P$34=0),"",$L$37-1),IF($R$17="Distrato",$E74,0))),0,YEARFRAC(MAX($P$34*($B74+IF($R$17="Distrato",$I$38-1,0)),IF(AND($L$37=0,$P$34=0),"",$L$37-1),IF($R$17="Distrato",$E74,0)),MIN(AU$38,$D$19),$P$20))-SUM($P74:AT74)</f>
        <v>#VALUE!</v>
      </c>
      <c r="AV74" s="446" t="e">
        <f>IF(OR($B74="",MIN(AV$38,$D$19)&lt;MAX($P$34*($B74+IF($R$17="Distrato",$I$38-1,0)),IF(AND($L$37=0,$P$34=0),"",$L$37-1),IF($R$17="Distrato",$E74,0))),0,YEARFRAC(MAX($P$34*($B74+IF($R$17="Distrato",$I$38-1,0)),IF(AND($L$37=0,$P$34=0),"",$L$37-1),IF($R$17="Distrato",$E74,0)),MIN(AV$38,$D$19),$P$20))-SUM($P74:AU74)</f>
        <v>#VALUE!</v>
      </c>
      <c r="AW74" s="446" t="e">
        <f>IF(OR($B74="",MIN(AW$38,$D$19)&lt;MAX($P$34*($B74+IF($R$17="Distrato",$I$38-1,0)),IF(AND($L$37=0,$P$34=0),"",$L$37-1),IF($R$17="Distrato",$E74,0))),0,YEARFRAC(MAX($P$34*($B74+IF($R$17="Distrato",$I$38-1,0)),IF(AND($L$37=0,$P$34=0),"",$L$37-1),IF($R$17="Distrato",$E74,0)),MIN(AW$38,$D$19),$P$20))-SUM($P74:AV74)</f>
        <v>#VALUE!</v>
      </c>
      <c r="AX74" s="446" t="e">
        <f>IF(OR($B74="",MIN(AX$38,$D$19)&lt;MAX($P$34*($B74+IF($R$17="Distrato",$I$38-1,0)),IF(AND($L$37=0,$P$34=0),"",$L$37-1),IF($R$17="Distrato",$E74,0))),0,YEARFRAC(MAX($P$34*($B74+IF($R$17="Distrato",$I$38-1,0)),IF(AND($L$37=0,$P$34=0),"",$L$37-1),IF($R$17="Distrato",$E74,0)),MIN(AX$38,$D$19),$P$20))-SUM($P74:AW74)</f>
        <v>#VALUE!</v>
      </c>
      <c r="AY74" s="446" t="e">
        <f>IF(OR($B74="",MIN(AY$38,$D$19)&lt;MAX($P$34*($B74+IF($R$17="Distrato",$I$38-1,0)),IF(AND($L$37=0,$P$34=0),"",$L$37-1),IF($R$17="Distrato",$E74,0))),0,YEARFRAC(MAX($P$34*($B74+IF($R$17="Distrato",$I$38-1,0)),IF(AND($L$37=0,$P$34=0),"",$L$37-1),IF($R$17="Distrato",$E74,0)),MIN(AY$38,$D$19),$P$20))-SUM($P74:AX74)</f>
        <v>#VALUE!</v>
      </c>
      <c r="AZ74" s="446" t="e">
        <f>IF(OR($B74="",MIN(AZ$38,$D$19)&lt;MAX($P$34*($B74+IF($R$17="Distrato",$I$38-1,0)),IF(AND($L$37=0,$P$34=0),"",$L$37-1),IF($R$17="Distrato",$E74,0))),0,YEARFRAC(MAX($P$34*($B74+IF($R$17="Distrato",$I$38-1,0)),IF(AND($L$37=0,$P$34=0),"",$L$37-1),IF($R$17="Distrato",$E74,0)),MIN(AZ$38,$D$19),$P$20))-SUM($P74:AY74)</f>
        <v>#VALUE!</v>
      </c>
      <c r="BA74" s="446" t="e">
        <f>IF(OR($B74="",MIN(BA$38,$D$19)&lt;MAX($P$34*($B74+IF($R$17="Distrato",$I$38-1,0)),IF(AND($L$37=0,$P$34=0),"",$L$37-1),IF($R$17="Distrato",$E74,0))),0,YEARFRAC(MAX($P$34*($B74+IF($R$17="Distrato",$I$38-1,0)),IF(AND($L$37=0,$P$34=0),"",$L$37-1),IF($R$17="Distrato",$E74,0)),MIN(BA$38,$D$19),$P$20))-SUM($P74:AZ74)</f>
        <v>#VALUE!</v>
      </c>
      <c r="BB74" s="447"/>
      <c r="BF74" s="446">
        <f t="shared" si="10"/>
        <v>0</v>
      </c>
      <c r="BG74" s="446">
        <f>IF($E74=0,0,IF(MIN(BG$38,$E74)&lt;MAX($P$34*($B74+$I$38-1),IF(AND($L$37=0,$P$34=0),"",$L$37-1)),0,YEARFRAC(MAX($P$34*($B74+$I$38-1),IF(AND($L$37=0,$P$34=0),"",$L$37-1)),MIN(BG$38,$E74),$P$20))-SUM($BF74:BF74))</f>
        <v>0</v>
      </c>
      <c r="BH74" s="446">
        <f>IF($E74=0,0,IF(MIN(BH$38,$E74)&lt;MAX($P$34*($B74+$I$38-1),IF(AND($L$37=0,$P$34=0),"",$L$37-1)),0,YEARFRAC(MAX($P$34*($B74+$I$38-1),IF(AND($L$37=0,$P$34=0),"",$L$37-1)),MIN(BH$38,$E74),$P$20))-SUM($BF74:BG74))</f>
        <v>0</v>
      </c>
      <c r="BI74" s="446">
        <f>IF($E74=0,0,IF(MIN(BI$38,$E74)&lt;MAX($P$34*($B74+$I$38-1),IF(AND($L$37=0,$P$34=0),"",$L$37-1)),0,YEARFRAC(MAX($P$34*($B74+$I$38-1),IF(AND($L$37=0,$P$34=0),"",$L$37-1)),MIN(BI$38,$E74),$P$20))-SUM($BF74:BH74))</f>
        <v>0</v>
      </c>
      <c r="BJ74" s="446">
        <f>IF($E74=0,0,IF(MIN(BJ$38,$E74)&lt;MAX($P$34*($B74+$I$38-1),IF(AND($L$37=0,$P$34=0),"",$L$37-1)),0,YEARFRAC(MAX($P$34*($B74+$I$38-1),IF(AND($L$37=0,$P$34=0),"",$L$37-1)),MIN(BJ$38,$E74),$P$20))-SUM($BF74:BI74))</f>
        <v>0</v>
      </c>
      <c r="BK74" s="446">
        <f>IF($E74=0,0,IF(MIN(BK$38,$E74)&lt;MAX($P$34*($B74+$I$38-1),IF(AND($L$37=0,$P$34=0),"",$L$37-1)),0,YEARFRAC(MAX($P$34*($B74+$I$38-1),IF(AND($L$37=0,$P$34=0),"",$L$37-1)),MIN(BK$38,$E74),$P$20))-SUM($BF74:BJ74))</f>
        <v>0</v>
      </c>
      <c r="BL74" s="446">
        <f>IF($E74=0,0,IF(MIN(BL$38,$E74)&lt;MAX($P$34*($B74+$I$38-1),IF(AND($L$37=0,$P$34=0),"",$L$37-1)),0,YEARFRAC(MAX($P$34*($B74+$I$38-1),IF(AND($L$37=0,$P$34=0),"",$L$37-1)),MIN(BL$38,$E74),$P$20))-SUM($BF74:BK74))</f>
        <v>0</v>
      </c>
      <c r="BM74" s="446">
        <f>IF($E74=0,0,IF(MIN(BM$38,$E74)&lt;MAX($P$34*($B74+$I$38-1),IF(AND($L$37=0,$P$34=0),"",$L$37-1)),0,YEARFRAC(MAX($P$34*($B74+$I$38-1),IF(AND($L$37=0,$P$34=0),"",$L$37-1)),MIN(BM$38,$E74),$P$20))-SUM($BF74:BL74))</f>
        <v>0</v>
      </c>
      <c r="BN74" s="446">
        <f>IF($E74=0,0,IF(MIN(BN$38,$E74)&lt;MAX($P$34*($B74+$I$38-1),IF(AND($L$37=0,$P$34=0),"",$L$37-1)),0,YEARFRAC(MAX($P$34*($B74+$I$38-1),IF(AND($L$37=0,$P$34=0),"",$L$37-1)),MIN(BN$38,$E74),$P$20))-SUM($BF74:BM74))</f>
        <v>0</v>
      </c>
      <c r="BO74" s="446">
        <f>IF($E74=0,0,IF(MIN(BO$38,$E74)&lt;MAX($P$34*($B74+$I$38-1),IF(AND($L$37=0,$P$34=0),"",$L$37-1)),0,YEARFRAC(MAX($P$34*($B74+$I$38-1),IF(AND($L$37=0,$P$34=0),"",$L$37-1)),MIN(BO$38,$E74),$P$20))-SUM($BF74:BN74))</f>
        <v>0</v>
      </c>
      <c r="BP74" s="446">
        <f>IF($E74=0,0,IF(MIN(BP$38,$E74)&lt;MAX($P$34*($B74+$I$38-1),IF(AND($L$37=0,$P$34=0),"",$L$37-1)),0,YEARFRAC(MAX($P$34*($B74+$I$38-1),IF(AND($L$37=0,$P$34=0),"",$L$37-1)),MIN(BP$38,$E74),$P$20))-SUM($BF74:BO74))</f>
        <v>0</v>
      </c>
      <c r="BQ74" s="446">
        <f>IF($E74=0,0,IF(MIN(BQ$38,$E74)&lt;MAX($P$34*($B74+$I$38-1),IF(AND($L$37=0,$P$34=0),"",$L$37-1)),0,YEARFRAC(MAX($P$34*($B74+$I$38-1),IF(AND($L$37=0,$P$34=0),"",$L$37-1)),MIN(BQ$38,$E74),$P$20))-SUM($BF74:BP74))</f>
        <v>0</v>
      </c>
      <c r="BR74" s="446">
        <f>IF($E74=0,0,IF(MIN(BR$38,$E74)&lt;MAX($P$34*($B74+$I$38-1),IF(AND($L$37=0,$P$34=0),"",$L$37-1)),0,YEARFRAC(MAX($P$34*($B74+$I$38-1),IF(AND($L$37=0,$P$34=0),"",$L$37-1)),MIN(BR$38,$E74),$P$20))-SUM($BF74:BQ74))</f>
        <v>0</v>
      </c>
      <c r="BS74" s="446">
        <f>IF($E74=0,0,IF(MIN(BS$38,$E74)&lt;MAX($P$34*($B74+$I$38-1),IF(AND($L$37=0,$P$34=0),"",$L$37-1)),0,YEARFRAC(MAX($P$34*($B74+$I$38-1),IF(AND($L$37=0,$P$34=0),"",$L$37-1)),MIN(BS$38,$E74),$P$20))-SUM($BF74:BR74))</f>
        <v>0</v>
      </c>
      <c r="BT74" s="446">
        <f>IF($E74=0,0,IF(MIN(BT$38,$E74)&lt;MAX($P$34*($B74+$I$38-1),IF(AND($L$37=0,$P$34=0),"",$L$37-1)),0,YEARFRAC(MAX($P$34*($B74+$I$38-1),IF(AND($L$37=0,$P$34=0),"",$L$37-1)),MIN(BT$38,$E74),$P$20))-SUM($BF74:BS74))</f>
        <v>0</v>
      </c>
      <c r="BU74" s="446">
        <f>IF($E74=0,0,IF(MIN(BU$38,$E74)&lt;MAX($P$34*($B74+$I$38-1),IF(AND($L$37=0,$P$34=0),"",$L$37-1)),0,YEARFRAC(MAX($P$34*($B74+$I$38-1),IF(AND($L$37=0,$P$34=0),"",$L$37-1)),MIN(BU$38,$E74),$P$20))-SUM($BF74:BT74))</f>
        <v>0</v>
      </c>
      <c r="BV74" s="446">
        <f>IF($E74=0,0,IF(MIN(BV$38,$E74)&lt;MAX($P$34*($B74+$I$38-1),IF(AND($L$37=0,$P$34=0),"",$L$37-1)),0,YEARFRAC(MAX($P$34*($B74+$I$38-1),IF(AND($L$37=0,$P$34=0),"",$L$37-1)),MIN(BV$38,$E74),$P$20))-SUM($BF74:BU74))</f>
        <v>0</v>
      </c>
      <c r="BW74" s="446">
        <f>IF($E74=0,0,IF(MIN(BW$38,$E74)&lt;MAX($P$34*($B74+$I$38-1),IF(AND($L$37=0,$P$34=0),"",$L$37-1)),0,YEARFRAC(MAX($P$34*($B74+$I$38-1),IF(AND($L$37=0,$P$34=0),"",$L$37-1)),MIN(BW$38,$E74),$P$20))-SUM($BF74:BV74))</f>
        <v>0</v>
      </c>
      <c r="BX74" s="446">
        <f>IF($E74=0,0,IF(MIN(BX$38,$E74)&lt;MAX($P$34*($B74+$I$38-1),IF(AND($L$37=0,$P$34=0),"",$L$37-1)),0,YEARFRAC(MAX($P$34*($B74+$I$38-1),IF(AND($L$37=0,$P$34=0),"",$L$37-1)),MIN(BX$38,$E74),$P$20))-SUM($BF74:BW74))</f>
        <v>0</v>
      </c>
      <c r="BY74" s="446">
        <f>IF($E74=0,0,IF(MIN(BY$38,$E74)&lt;MAX($P$34*($B74+$I$38-1),IF(AND($L$37=0,$P$34=0),"",$L$37-1)),0,YEARFRAC(MAX($P$34*($B74+$I$38-1),IF(AND($L$37=0,$P$34=0),"",$L$37-1)),MIN(BY$38,$E74),$P$20))-SUM($BF74:BX74))</f>
        <v>0</v>
      </c>
      <c r="BZ74" s="446">
        <f>IF($E74=0,0,IF(MIN(BZ$38,$E74)&lt;MAX($P$34*($B74+$I$38-1),IF(AND($L$37=0,$P$34=0),"",$L$37-1)),0,YEARFRAC(MAX($P$34*($B74+$I$38-1),IF(AND($L$37=0,$P$34=0),"",$L$37-1)),MIN(BZ$38,$E74),$P$20))-SUM($BF74:BY74))</f>
        <v>0</v>
      </c>
      <c r="CA74" s="446">
        <f>IF($E74=0,0,IF(MIN(CA$38,$E74)&lt;MAX($P$34*($B74+$I$38-1),IF(AND($L$37=0,$P$34=0),"",$L$37-1)),0,YEARFRAC(MAX($P$34*($B74+$I$38-1),IF(AND($L$37=0,$P$34=0),"",$L$37-1)),MIN(CA$38,$E74),$P$20))-SUM($BF74:BZ74))</f>
        <v>0</v>
      </c>
      <c r="CB74" s="446">
        <f>IF($E74=0,0,IF(MIN(CB$38,$E74)&lt;MAX($P$34*($B74+$I$38-1),IF(AND($L$37=0,$P$34=0),"",$L$37-1)),0,YEARFRAC(MAX($P$34*($B74+$I$38-1),IF(AND($L$37=0,$P$34=0),"",$L$37-1)),MIN(CB$38,$E74),$P$20))-SUM($BF74:CA74))</f>
        <v>0</v>
      </c>
      <c r="CC74" s="446">
        <f>IF($E74=0,0,IF(MIN(CC$38,$E74)&lt;MAX($P$34*($B74+$I$38-1),IF(AND($L$37=0,$P$34=0),"",$L$37-1)),0,YEARFRAC(MAX($P$34*($B74+$I$38-1),IF(AND($L$37=0,$P$34=0),"",$L$37-1)),MIN(CC$38,$E74),$P$20))-SUM($BF74:CB74))</f>
        <v>0</v>
      </c>
      <c r="CD74" s="446">
        <f>IF($E74=0,0,IF(MIN(CD$38,$E74)&lt;MAX($P$34*($B74+$I$38-1),IF(AND($L$37=0,$P$34=0),"",$L$37-1)),0,YEARFRAC(MAX($P$34*($B74+$I$38-1),IF(AND($L$37=0,$P$34=0),"",$L$37-1)),MIN(CD$38,$E74),$P$20))-SUM($BF74:CC74))</f>
        <v>0</v>
      </c>
      <c r="CE74" s="446">
        <f>IF($E74=0,0,IF(MIN(CE$38,$E74)&lt;MAX($P$34*($B74+$I$38-1),IF(AND($L$37=0,$P$34=0),"",$L$37-1)),0,YEARFRAC(MAX($P$34*($B74+$I$38-1),IF(AND($L$37=0,$P$34=0),"",$L$37-1)),MIN(CE$38,$E74),$P$20))-SUM($BF74:CD74))</f>
        <v>0</v>
      </c>
      <c r="CF74" s="446">
        <f>IF($E74=0,0,IF(MIN(CF$38,$E74)&lt;MAX($P$34*($B74+$I$38-1),IF(AND($L$37=0,$P$34=0),"",$L$37-1)),0,YEARFRAC(MAX($P$34*($B74+$I$38-1),IF(AND($L$37=0,$P$34=0),"",$L$37-1)),MIN(CF$38,$E74),$P$20))-SUM($BF74:CE74))</f>
        <v>0</v>
      </c>
      <c r="CG74" s="446">
        <f>IF($E74=0,0,IF(MIN(CG$38,$E74)&lt;MAX($P$34*($B74+$I$38-1),IF(AND($L$37=0,$P$34=0),"",$L$37-1)),0,YEARFRAC(MAX($P$34*($B74+$I$38-1),IF(AND($L$37=0,$P$34=0),"",$L$37-1)),MIN(CG$38,$E74),$P$20))-SUM($BF74:CF74))</f>
        <v>0</v>
      </c>
      <c r="CH74" s="446">
        <f>IF($E74=0,0,IF(MIN(CH$38,$E74)&lt;MAX($P$34*($B74+$I$38-1),IF(AND($L$37=0,$P$34=0),"",$L$37-1)),0,YEARFRAC(MAX($P$34*($B74+$I$38-1),IF(AND($L$37=0,$P$34=0),"",$L$37-1)),MIN(CH$38,$E74),$P$20))-SUM($BF74:CG74))</f>
        <v>0</v>
      </c>
      <c r="CI74" s="446">
        <f>IF($E74=0,0,IF(MIN(CI$38,$E74)&lt;MAX($P$34*($B74+$I$38-1),IF(AND($L$37=0,$P$34=0),"",$L$37-1)),0,YEARFRAC(MAX($P$34*($B74+$I$38-1),IF(AND($L$37=0,$P$34=0),"",$L$37-1)),MIN(CI$38,$E74),$P$20))-SUM($BF74:CH74))</f>
        <v>0</v>
      </c>
      <c r="CJ74" s="446">
        <f>IF($E74=0,0,IF(MIN(CJ$38,$E74)&lt;MAX($P$34*($B74+$I$38-1),IF(AND($L$37=0,$P$34=0),"",$L$37-1)),0,YEARFRAC(MAX($P$34*($B74+$I$38-1),IF(AND($L$37=0,$P$34=0),"",$L$37-1)),MIN(CJ$38,$E74),$P$20))-SUM($BF74:CI74))</f>
        <v>0</v>
      </c>
      <c r="CK74" s="446">
        <f>IF($E74=0,0,IF(MIN(CK$38,$E74)&lt;MAX($P$34*($B74+$I$38-1),IF(AND($L$37=0,$P$34=0),"",$L$37-1)),0,YEARFRAC(MAX($P$34*($B74+$I$38-1),IF(AND($L$37=0,$P$34=0),"",$L$37-1)),MIN(CK$38,$E74),$P$20))-SUM($BF74:CJ74))</f>
        <v>0</v>
      </c>
      <c r="CL74" s="446">
        <f>IF($E74=0,0,IF(MIN(CL$38,$E74)&lt;MAX($P$34*($B74+$I$38-1),IF(AND($L$37=0,$P$34=0),"",$L$37-1)),0,YEARFRAC(MAX($P$34*($B74+$I$38-1),IF(AND($L$37=0,$P$34=0),"",$L$37-1)),MIN(CL$38,$E74),$P$20))-SUM($BF74:CK74))</f>
        <v>0</v>
      </c>
      <c r="CM74" s="446">
        <f>IF($E74=0,0,IF(MIN(CM$38,$E74)&lt;MAX($P$34*($B74+$I$38-1),IF(AND($L$37=0,$P$34=0),"",$L$37-1)),0,YEARFRAC(MAX($P$34*($B74+$I$38-1),IF(AND($L$37=0,$P$34=0),"",$L$37-1)),MIN(CM$38,$E74),$P$20))-SUM($BF74:CL74))</f>
        <v>0</v>
      </c>
      <c r="CN74" s="446">
        <f>IF($E74=0,0,IF(MIN(CN$38,$E74)&lt;MAX($P$34*($B74+$I$38-1),IF(AND($L$37=0,$P$34=0),"",$L$37-1)),0,YEARFRAC(MAX($P$34*($B74+$I$38-1),IF(AND($L$37=0,$P$34=0),"",$L$37-1)),MIN(CN$38,$E74),$P$20))-SUM($BF74:CM74))</f>
        <v>0</v>
      </c>
      <c r="CO74" s="446">
        <f>IF($E74=0,0,IF(MIN(CO$38,$E74)&lt;MAX($P$34*($B74+$I$38-1),IF(AND($L$37=0,$P$34=0),"",$L$37-1)),0,YEARFRAC(MAX($P$34*($B74+$I$38-1),IF(AND($L$37=0,$P$34=0),"",$L$37-1)),MIN(CO$38,$E74),$P$20))-SUM($BF74:CN74))</f>
        <v>0</v>
      </c>
      <c r="CP74" s="446">
        <f>IF($E74=0,0,IF(MIN(CP$38,$E74)&lt;MAX($P$34*($B74+$I$38-1),IF(AND($L$37=0,$P$34=0),"",$L$37-1)),0,YEARFRAC(MAX($P$34*($B74+$I$38-1),IF(AND($L$37=0,$P$34=0),"",$L$37-1)),MIN(CP$38,$E74),$P$20))-SUM($BF74:CO74))</f>
        <v>0</v>
      </c>
      <c r="CQ74" s="446">
        <f>IF($E74=0,0,IF(MIN(CQ$38,$E74)&lt;MAX($P$34*($B74+$I$38-1),IF(AND($L$37=0,$P$34=0),"",$L$37-1)),0,YEARFRAC(MAX($P$34*($B74+$I$38-1),IF(AND($L$37=0,$P$34=0),"",$L$37-1)),MIN(CQ$38,$E74),$P$20))-SUM($BF74:CP74))</f>
        <v>0</v>
      </c>
    </row>
    <row r="75" spans="1:95" s="446" customFormat="1" ht="11.25" hidden="1" customHeight="1" x14ac:dyDescent="0.2">
      <c r="A75" s="152"/>
      <c r="B75" s="153" t="str">
        <f t="shared" si="15"/>
        <v/>
      </c>
      <c r="C75" s="29" t="str">
        <f>IF(B75="","",IF($L$35="SELIC - TRIBUTOS",VLOOKUP(DATE(YEAR($D$19),MONTH($D$19)-1,1),ÍNDICES!$A:$DE,HLOOKUP($BL$25,ÍNDICES!$B$3:$T$4,2)+11)-VLOOKUP(B75,ÍNDICES!$A:$DE,HLOOKUP($BL$25,ÍNDICES!$B$3:$T$4,2)+11)+1%,IF(C$38=$W$26,$J$35,IF(ISERROR(IF(B75&gt;$D$19,1,VLOOKUP(DATE(YEAR(B75),MONTH(B75)+IF($C$35=$S$23,1,0),1),ÍNDICES!$A:$DE,$Z$35+1))),"",IF(B75&gt;$D$19,1,VLOOKUP(DATE(YEAR(B75),MONTH(B75)+IF($C$35=$S$23,1,0),1),ÍNDICES!$A:$DE,$Z$35+1))))))</f>
        <v/>
      </c>
      <c r="D75" s="154" t="str">
        <f>IF(ISERROR(IF(OR($D$38=$Y$27,$B75=""),"",VLOOKUP(B75,ÍNDICES!A:DE,AF$35+1))),"",IF(OR($D$38=$Y$27,$B75=""),"",VLOOKUP(B75,ÍNDICES!A:DE,AF$35+1)))</f>
        <v/>
      </c>
      <c r="E75" s="153"/>
      <c r="F75" s="29" t="str">
        <f>IF(E75="","",IF($L$35="SELIC - TRIBUTOS",VLOOKUP(DATE(YEAR($D$19),MONTH($D$19)-1,1),ÍNDICES!$A:$DE,HLOOKUP($BL$25,ÍNDICES!$B$3:$T$4,2)+11)-VLOOKUP(E75,ÍNDICES!$A:$DE,HLOOKUP($BL$25,ÍNDICES!$B$3:$T$4,2)+11)+1%,IF(F$38=$W$26,$J$35,IF(ISERROR(IF(E75&gt;$D$19,1,VLOOKUP(DATE(YEAR(E75),MONTH(E75)+IF($C$35=$S$23,1,0),1),ÍNDICES!$A:$DE,$Z$35+1))),"",IF(E75&gt;$D$19,1,VLOOKUP(DATE(YEAR(E75),MONTH(E75)+IF($C$35=$S$23,1,0),1),ÍNDICES!$A:$DE,$Z$35+1))))))</f>
        <v/>
      </c>
      <c r="G75" s="155"/>
      <c r="H75" s="156" t="str">
        <f t="shared" si="11"/>
        <v/>
      </c>
      <c r="I75" s="29" t="str">
        <f t="shared" si="5"/>
        <v/>
      </c>
      <c r="J75" s="5">
        <f t="shared" si="6"/>
        <v>0</v>
      </c>
      <c r="K75" s="20">
        <f t="shared" ca="1" si="7"/>
        <v>0</v>
      </c>
      <c r="L75" s="5">
        <f t="shared" ca="1" si="8"/>
        <v>0</v>
      </c>
      <c r="M75" s="64">
        <f t="shared" si="12"/>
        <v>0</v>
      </c>
      <c r="N75" s="61">
        <f t="shared" ca="1" si="13"/>
        <v>0</v>
      </c>
      <c r="O75" s="5">
        <f t="shared" ca="1" si="14"/>
        <v>0</v>
      </c>
      <c r="P75" s="446" t="e">
        <f t="shared" si="9"/>
        <v>#VALUE!</v>
      </c>
      <c r="Q75" s="446" t="e">
        <f>IF(OR($B75="",MIN(Q$38,$D$19)&lt;MAX($P$34*($B75+IF($R$17="Distrato",$I$38-1,0)),IF(AND($L$37=0,$P$34=0),"",$L$37-1),IF($R$17="Distrato",$E75,0))),0,YEARFRAC(MAX($P$34*($B75+IF($R$17="Distrato",$I$38-1,0)),IF(AND($L$37=0,$P$34=0),"",$L$37-1),IF($R$17="Distrato",$E75,0)),MIN(Q$38,$D$19),$P$20))-SUM($P75:P75)</f>
        <v>#VALUE!</v>
      </c>
      <c r="R75" s="446" t="e">
        <f>IF(OR($B75="",MIN(R$38,$D$19)&lt;MAX($P$34*($B75+IF($R$17="Distrato",$I$38-1,0)),IF(AND($L$37=0,$P$34=0),"",$L$37-1),IF($R$17="Distrato",$E75,0))),0,YEARFRAC(MAX($P$34*($B75+IF($R$17="Distrato",$I$38-1,0)),IF(AND($L$37=0,$P$34=0),"",$L$37-1),IF($R$17="Distrato",$E75,0)),MIN(R$38,$D$19),$P$20))-SUM($P75:Q75)</f>
        <v>#VALUE!</v>
      </c>
      <c r="S75" s="446" t="e">
        <f>IF(OR($B75="",MIN(S$38,$D$19)&lt;MAX($P$34*($B75+IF($R$17="Distrato",$I$38-1,0)),IF(AND($L$37=0,$P$34=0),"",$L$37-1),IF($R$17="Distrato",$E75,0))),0,YEARFRAC(MAX($P$34*($B75+IF($R$17="Distrato",$I$38-1,0)),IF(AND($L$37=0,$P$34=0),"",$L$37-1),IF($R$17="Distrato",$E75,0)),MIN(S$38,$D$19),$P$20))-SUM($P75:R75)</f>
        <v>#VALUE!</v>
      </c>
      <c r="T75" s="446" t="e">
        <f>IF(OR($B75="",MIN(T$38,$D$19)&lt;MAX($P$34*($B75+IF($R$17="Distrato",$I$38-1,0)),IF(AND($L$37=0,$P$34=0),"",$L$37-1),IF($R$17="Distrato",$E75,0))),0,YEARFRAC(MAX($P$34*($B75+IF($R$17="Distrato",$I$38-1,0)),IF(AND($L$37=0,$P$34=0),"",$L$37-1),IF($R$17="Distrato",$E75,0)),MIN(T$38,$D$19),$P$20))-SUM($P75:S75)</f>
        <v>#VALUE!</v>
      </c>
      <c r="U75" s="446" t="e">
        <f>IF(OR($B75="",MIN(U$38,$D$19)&lt;MAX($P$34*($B75+IF($R$17="Distrato",$I$38-1,0)),IF(AND($L$37=0,$P$34=0),"",$L$37-1),IF($R$17="Distrato",$E75,0))),0,YEARFRAC(MAX($P$34*($B75+IF($R$17="Distrato",$I$38-1,0)),IF(AND($L$37=0,$P$34=0),"",$L$37-1),IF($R$17="Distrato",$E75,0)),MIN(U$38,$D$19),$P$20))-SUM($P75:T75)</f>
        <v>#VALUE!</v>
      </c>
      <c r="V75" s="446" t="e">
        <f>IF(OR($B75="",MIN(V$38,$D$19)&lt;MAX($P$34*($B75+IF($R$17="Distrato",$I$38-1,0)),IF(AND($L$37=0,$P$34=0),"",$L$37-1),IF($R$17="Distrato",$E75,0))),0,YEARFRAC(MAX($P$34*($B75+IF($R$17="Distrato",$I$38-1,0)),IF(AND($L$37=0,$P$34=0),"",$L$37-1),IF($R$17="Distrato",$E75,0)),MIN(V$38,$D$19),$P$20))-SUM($P75:U75)</f>
        <v>#VALUE!</v>
      </c>
      <c r="W75" s="446" t="e">
        <f>IF(OR($B75="",MIN(W$38,$D$19)&lt;MAX($P$34*($B75+IF($R$17="Distrato",$I$38-1,0)),IF(AND($L$37=0,$P$34=0),"",$L$37-1),IF($R$17="Distrato",$E75,0))),0,YEARFRAC(MAX($P$34*($B75+IF($R$17="Distrato",$I$38-1,0)),IF(AND($L$37=0,$P$34=0),"",$L$37-1),IF($R$17="Distrato",$E75,0)),MIN(W$38,$D$19),$P$20))-SUM($P75:V75)</f>
        <v>#VALUE!</v>
      </c>
      <c r="X75" s="446" t="e">
        <f>IF(OR($B75="",MIN(X$38,$D$19)&lt;MAX($P$34*($B75+IF($R$17="Distrato",$I$38-1,0)),IF(AND($L$37=0,$P$34=0),"",$L$37-1),IF($R$17="Distrato",$E75,0))),0,YEARFRAC(MAX($P$34*($B75+IF($R$17="Distrato",$I$38-1,0)),IF(AND($L$37=0,$P$34=0),"",$L$37-1),IF($R$17="Distrato",$E75,0)),MIN(X$38,$D$19),$P$20))-SUM($P75:W75)</f>
        <v>#VALUE!</v>
      </c>
      <c r="Y75" s="446" t="e">
        <f>IF(OR($B75="",MIN(Y$38,$D$19)&lt;MAX($P$34*($B75+IF($R$17="Distrato",$I$38-1,0)),IF(AND($L$37=0,$P$34=0),"",$L$37-1),IF($R$17="Distrato",$E75,0))),0,YEARFRAC(MAX($P$34*($B75+IF($R$17="Distrato",$I$38-1,0)),IF(AND($L$37=0,$P$34=0),"",$L$37-1),IF($R$17="Distrato",$E75,0)),MIN(Y$38,$D$19),$P$20))-SUM($P75:X75)</f>
        <v>#VALUE!</v>
      </c>
      <c r="Z75" s="446" t="e">
        <f>IF(OR($B75="",MIN(Z$38,$D$19)&lt;MAX($P$34*($B75+IF($R$17="Distrato",$I$38-1,0)),IF(AND($L$37=0,$P$34=0),"",$L$37-1),IF($R$17="Distrato",$E75,0))),0,YEARFRAC(MAX($P$34*($B75+IF($R$17="Distrato",$I$38-1,0)),IF(AND($L$37=0,$P$34=0),"",$L$37-1),IF($R$17="Distrato",$E75,0)),MIN(Z$38,$D$19),$P$20))-SUM($P75:Y75)</f>
        <v>#VALUE!</v>
      </c>
      <c r="AA75" s="446" t="e">
        <f>IF(OR($B75="",MIN(AA$38,$D$19)&lt;MAX($P$34*($B75+IF($R$17="Distrato",$I$38-1,0)),IF(AND($L$37=0,$P$34=0),"",$L$37-1),IF($R$17="Distrato",$E75,0))),0,YEARFRAC(MAX($P$34*($B75+IF($R$17="Distrato",$I$38-1,0)),IF(AND($L$37=0,$P$34=0),"",$L$37-1),IF($R$17="Distrato",$E75,0)),MIN(AA$38,$D$19),$P$20))-SUM($P75:Z75)</f>
        <v>#VALUE!</v>
      </c>
      <c r="AB75" s="446" t="e">
        <f>IF(OR($B75="",MIN(AB$38,$D$19)&lt;MAX($P$34*($B75+IF($R$17="Distrato",$I$38-1,0)),IF(AND($L$37=0,$P$34=0),"",$L$37-1),IF($R$17="Distrato",$E75,0))),0,YEARFRAC(MAX($P$34*($B75+IF($R$17="Distrato",$I$38-1,0)),IF(AND($L$37=0,$P$34=0),"",$L$37-1),IF($R$17="Distrato",$E75,0)),MIN(AB$38,$D$19),$P$20))-SUM($P75:AA75)</f>
        <v>#VALUE!</v>
      </c>
      <c r="AC75" s="446" t="e">
        <f>IF(OR($B75="",MIN(AC$38,$D$19)&lt;MAX($P$34*($B75+IF($R$17="Distrato",$I$38-1,0)),IF(AND($L$37=0,$P$34=0),"",$L$37-1),IF($R$17="Distrato",$E75,0))),0,YEARFRAC(MAX($P$34*($B75+IF($R$17="Distrato",$I$38-1,0)),IF(AND($L$37=0,$P$34=0),"",$L$37-1),IF($R$17="Distrato",$E75,0)),MIN(AC$38,$D$19),$P$20))-SUM($P75:AB75)</f>
        <v>#VALUE!</v>
      </c>
      <c r="AD75" s="446" t="e">
        <f>IF(OR($B75="",MIN(AD$38,$D$19)&lt;MAX($P$34*($B75+IF($R$17="Distrato",$I$38-1,0)),IF(AND($L$37=0,$P$34=0),"",$L$37-1),IF($R$17="Distrato",$E75,0))),0,YEARFRAC(MAX($P$34*($B75+IF($R$17="Distrato",$I$38-1,0)),IF(AND($L$37=0,$P$34=0),"",$L$37-1),IF($R$17="Distrato",$E75,0)),MIN(AD$38,$D$19),$P$20))-SUM($P75:AC75)</f>
        <v>#VALUE!</v>
      </c>
      <c r="AE75" s="446" t="e">
        <f>IF(OR($B75="",MIN(AE$38,$D$19)&lt;MAX($P$34*($B75+IF($R$17="Distrato",$I$38-1,0)),IF(AND($L$37=0,$P$34=0),"",$L$37-1),IF($R$17="Distrato",$E75,0))),0,YEARFRAC(MAX($P$34*($B75+IF($R$17="Distrato",$I$38-1,0)),IF(AND($L$37=0,$P$34=0),"",$L$37-1),IF($R$17="Distrato",$E75,0)),MIN(AE$38,$D$19),$P$20))-SUM($P75:AD75)</f>
        <v>#VALUE!</v>
      </c>
      <c r="AF75" s="446" t="e">
        <f>IF(OR($B75="",MIN(AF$38,$D$19)&lt;MAX($P$34*($B75+IF($R$17="Distrato",$I$38-1,0)),IF(AND($L$37=0,$P$34=0),"",$L$37-1),IF($R$17="Distrato",$E75,0))),0,YEARFRAC(MAX($P$34*($B75+IF($R$17="Distrato",$I$38-1,0)),IF(AND($L$37=0,$P$34=0),"",$L$37-1),IF($R$17="Distrato",$E75,0)),MIN(AF$38,$D$19),$P$20))-SUM($P75:AE75)</f>
        <v>#VALUE!</v>
      </c>
      <c r="AG75" s="446" t="e">
        <f>IF(OR($B75="",MIN(AG$38,$D$19)&lt;MAX($P$34*($B75+IF($R$17="Distrato",$I$38-1,0)),IF(AND($L$37=0,$P$34=0),"",$L$37-1),IF($R$17="Distrato",$E75,0))),0,YEARFRAC(MAX($P$34*($B75+IF($R$17="Distrato",$I$38-1,0)),IF(AND($L$37=0,$P$34=0),"",$L$37-1),IF($R$17="Distrato",$E75,0)),MIN(AG$38,$D$19),$P$20))-SUM($P75:AF75)</f>
        <v>#VALUE!</v>
      </c>
      <c r="AH75" s="446" t="e">
        <f>IF(OR($B75="",MIN(AH$38,$D$19)&lt;MAX($P$34*($B75+IF($R$17="Distrato",$I$38-1,0)),IF(AND($L$37=0,$P$34=0),"",$L$37-1),IF($R$17="Distrato",$E75,0))),0,YEARFRAC(MAX($P$34*($B75+IF($R$17="Distrato",$I$38-1,0)),IF(AND($L$37=0,$P$34=0),"",$L$37-1),IF($R$17="Distrato",$E75,0)),MIN(AH$38,$D$19),$P$20))-SUM($P75:AG75)</f>
        <v>#VALUE!</v>
      </c>
      <c r="AI75" s="446" t="e">
        <f>IF(OR($B75="",MIN(AI$38,$D$19)&lt;MAX($P$34*($B75+IF($R$17="Distrato",$I$38-1,0)),IF(AND($L$37=0,$P$34=0),"",$L$37-1),IF($R$17="Distrato",$E75,0))),0,YEARFRAC(MAX($P$34*($B75+IF($R$17="Distrato",$I$38-1,0)),IF(AND($L$37=0,$P$34=0),"",$L$37-1),IF($R$17="Distrato",$E75,0)),MIN(AI$38,$D$19),$P$20))-SUM($P75:AH75)</f>
        <v>#VALUE!</v>
      </c>
      <c r="AJ75" s="446" t="e">
        <f>IF(OR($B75="",MIN(AJ$38,$D$19)&lt;MAX($P$34*($B75+IF($R$17="Distrato",$I$38-1,0)),IF(AND($L$37=0,$P$34=0),"",$L$37-1),IF($R$17="Distrato",$E75,0))),0,YEARFRAC(MAX($P$34*($B75+IF($R$17="Distrato",$I$38-1,0)),IF(AND($L$37=0,$P$34=0),"",$L$37-1),IF($R$17="Distrato",$E75,0)),MIN(AJ$38,$D$19),$P$20))-SUM($P75:AI75)</f>
        <v>#VALUE!</v>
      </c>
      <c r="AK75" s="446" t="e">
        <f>IF(OR($B75="",MIN(AK$38,$D$19)&lt;MAX($P$34*($B75+IF($R$17="Distrato",$I$38-1,0)),IF(AND($L$37=0,$P$34=0),"",$L$37-1),IF($R$17="Distrato",$E75,0))),0,YEARFRAC(MAX($P$34*($B75+IF($R$17="Distrato",$I$38-1,0)),IF(AND($L$37=0,$P$34=0),"",$L$37-1),IF($R$17="Distrato",$E75,0)),MIN(AK$38,$D$19),$P$20))-SUM($P75:AJ75)</f>
        <v>#VALUE!</v>
      </c>
      <c r="AL75" s="446" t="e">
        <f>IF(OR($B75="",MIN(AL$38,$D$19)&lt;MAX($P$34*($B75+IF($R$17="Distrato",$I$38-1,0)),IF(AND($L$37=0,$P$34=0),"",$L$37-1),IF($R$17="Distrato",$E75,0))),0,YEARFRAC(MAX($P$34*($B75+IF($R$17="Distrato",$I$38-1,0)),IF(AND($L$37=0,$P$34=0),"",$L$37-1),IF($R$17="Distrato",$E75,0)),MIN(AL$38,$D$19),$P$20))-SUM($P75:AK75)</f>
        <v>#VALUE!</v>
      </c>
      <c r="AM75" s="446" t="e">
        <f>IF(OR($B75="",MIN(AM$38,$D$19)&lt;MAX($P$34*($B75+IF($R$17="Distrato",$I$38-1,0)),IF(AND($L$37=0,$P$34=0),"",$L$37-1),IF($R$17="Distrato",$E75,0))),0,YEARFRAC(MAX($P$34*($B75+IF($R$17="Distrato",$I$38-1,0)),IF(AND($L$37=0,$P$34=0),"",$L$37-1),IF($R$17="Distrato",$E75,0)),MIN(AM$38,$D$19),$P$20))-SUM($P75:AL75)</f>
        <v>#VALUE!</v>
      </c>
      <c r="AN75" s="446" t="e">
        <f>IF(OR($B75="",MIN(AN$38,$D$19)&lt;MAX($P$34*($B75+IF($R$17="Distrato",$I$38-1,0)),IF(AND($L$37=0,$P$34=0),"",$L$37-1),IF($R$17="Distrato",$E75,0))),0,YEARFRAC(MAX($P$34*($B75+IF($R$17="Distrato",$I$38-1,0)),IF(AND($L$37=0,$P$34=0),"",$L$37-1),IF($R$17="Distrato",$E75,0)),MIN(AN$38,$D$19),$P$20))-SUM($P75:AM75)</f>
        <v>#VALUE!</v>
      </c>
      <c r="AO75" s="446" t="e">
        <f>IF(OR($B75="",MIN(AO$38,$D$19)&lt;MAX($P$34*($B75+IF($R$17="Distrato",$I$38-1,0)),IF(AND($L$37=0,$P$34=0),"",$L$37-1),IF($R$17="Distrato",$E75,0))),0,YEARFRAC(MAX($P$34*($B75+IF($R$17="Distrato",$I$38-1,0)),IF(AND($L$37=0,$P$34=0),"",$L$37-1),IF($R$17="Distrato",$E75,0)),MIN(AO$38,$D$19),$P$20))-SUM($P75:AN75)</f>
        <v>#VALUE!</v>
      </c>
      <c r="AP75" s="446" t="e">
        <f>IF(OR($B75="",MIN(AP$38,$D$19)&lt;MAX($P$34*($B75+IF($R$17="Distrato",$I$38-1,0)),IF(AND($L$37=0,$P$34=0),"",$L$37-1),IF($R$17="Distrato",$E75,0))),0,YEARFRAC(MAX($P$34*($B75+IF($R$17="Distrato",$I$38-1,0)),IF(AND($L$37=0,$P$34=0),"",$L$37-1),IF($R$17="Distrato",$E75,0)),MIN(AP$38,$D$19),$P$20))-SUM($P75:AO75)</f>
        <v>#VALUE!</v>
      </c>
      <c r="AQ75" s="446" t="e">
        <f>IF(OR($B75="",MIN(AQ$38,$D$19)&lt;MAX($P$34*($B75+IF($R$17="Distrato",$I$38-1,0)),IF(AND($L$37=0,$P$34=0),"",$L$37-1),IF($R$17="Distrato",$E75,0))),0,YEARFRAC(MAX($P$34*($B75+IF($R$17="Distrato",$I$38-1,0)),IF(AND($L$37=0,$P$34=0),"",$L$37-1),IF($R$17="Distrato",$E75,0)),MIN(AQ$38,$D$19),$P$20))-SUM($P75:AP75)</f>
        <v>#VALUE!</v>
      </c>
      <c r="AR75" s="446" t="e">
        <f>IF(OR($B75="",MIN(AR$38,$D$19)&lt;MAX($P$34*($B75+IF($R$17="Distrato",$I$38-1,0)),IF(AND($L$37=0,$P$34=0),"",$L$37-1),IF($R$17="Distrato",$E75,0))),0,YEARFRAC(MAX($P$34*($B75+IF($R$17="Distrato",$I$38-1,0)),IF(AND($L$37=0,$P$34=0),"",$L$37-1),IF($R$17="Distrato",$E75,0)),MIN(AR$38,$D$19),$P$20))-SUM($P75:AQ75)</f>
        <v>#VALUE!</v>
      </c>
      <c r="AS75" s="446" t="e">
        <f>IF(OR($B75="",MIN(AS$38,$D$19)&lt;MAX($P$34*($B75+IF($R$17="Distrato",$I$38-1,0)),IF(AND($L$37=0,$P$34=0),"",$L$37-1),IF($R$17="Distrato",$E75,0))),0,YEARFRAC(MAX($P$34*($B75+IF($R$17="Distrato",$I$38-1,0)),IF(AND($L$37=0,$P$34=0),"",$L$37-1),IF($R$17="Distrato",$E75,0)),MIN(AS$38,$D$19),$P$20))-SUM($P75:AR75)</f>
        <v>#VALUE!</v>
      </c>
      <c r="AT75" s="446" t="e">
        <f>IF(OR($B75="",MIN(AT$38,$D$19)&lt;MAX($P$34*($B75+IF($R$17="Distrato",$I$38-1,0)),IF(AND($L$37=0,$P$34=0),"",$L$37-1),IF($R$17="Distrato",$E75,0))),0,YEARFRAC(MAX($P$34*($B75+IF($R$17="Distrato",$I$38-1,0)),IF(AND($L$37=0,$P$34=0),"",$L$37-1),IF($R$17="Distrato",$E75,0)),MIN(AT$38,$D$19),$P$20))-SUM($P75:AS75)</f>
        <v>#VALUE!</v>
      </c>
      <c r="AU75" s="446" t="e">
        <f>IF(OR($B75="",MIN(AU$38,$D$19)&lt;MAX($P$34*($B75+IF($R$17="Distrato",$I$38-1,0)),IF(AND($L$37=0,$P$34=0),"",$L$37-1),IF($R$17="Distrato",$E75,0))),0,YEARFRAC(MAX($P$34*($B75+IF($R$17="Distrato",$I$38-1,0)),IF(AND($L$37=0,$P$34=0),"",$L$37-1),IF($R$17="Distrato",$E75,0)),MIN(AU$38,$D$19),$P$20))-SUM($P75:AT75)</f>
        <v>#VALUE!</v>
      </c>
      <c r="AV75" s="446" t="e">
        <f>IF(OR($B75="",MIN(AV$38,$D$19)&lt;MAX($P$34*($B75+IF($R$17="Distrato",$I$38-1,0)),IF(AND($L$37=0,$P$34=0),"",$L$37-1),IF($R$17="Distrato",$E75,0))),0,YEARFRAC(MAX($P$34*($B75+IF($R$17="Distrato",$I$38-1,0)),IF(AND($L$37=0,$P$34=0),"",$L$37-1),IF($R$17="Distrato",$E75,0)),MIN(AV$38,$D$19),$P$20))-SUM($P75:AU75)</f>
        <v>#VALUE!</v>
      </c>
      <c r="AW75" s="446" t="e">
        <f>IF(OR($B75="",MIN(AW$38,$D$19)&lt;MAX($P$34*($B75+IF($R$17="Distrato",$I$38-1,0)),IF(AND($L$37=0,$P$34=0),"",$L$37-1),IF($R$17="Distrato",$E75,0))),0,YEARFRAC(MAX($P$34*($B75+IF($R$17="Distrato",$I$38-1,0)),IF(AND($L$37=0,$P$34=0),"",$L$37-1),IF($R$17="Distrato",$E75,0)),MIN(AW$38,$D$19),$P$20))-SUM($P75:AV75)</f>
        <v>#VALUE!</v>
      </c>
      <c r="AX75" s="446" t="e">
        <f>IF(OR($B75="",MIN(AX$38,$D$19)&lt;MAX($P$34*($B75+IF($R$17="Distrato",$I$38-1,0)),IF(AND($L$37=0,$P$34=0),"",$L$37-1),IF($R$17="Distrato",$E75,0))),0,YEARFRAC(MAX($P$34*($B75+IF($R$17="Distrato",$I$38-1,0)),IF(AND($L$37=0,$P$34=0),"",$L$37-1),IF($R$17="Distrato",$E75,0)),MIN(AX$38,$D$19),$P$20))-SUM($P75:AW75)</f>
        <v>#VALUE!</v>
      </c>
      <c r="AY75" s="446" t="e">
        <f>IF(OR($B75="",MIN(AY$38,$D$19)&lt;MAX($P$34*($B75+IF($R$17="Distrato",$I$38-1,0)),IF(AND($L$37=0,$P$34=0),"",$L$37-1),IF($R$17="Distrato",$E75,0))),0,YEARFRAC(MAX($P$34*($B75+IF($R$17="Distrato",$I$38-1,0)),IF(AND($L$37=0,$P$34=0),"",$L$37-1),IF($R$17="Distrato",$E75,0)),MIN(AY$38,$D$19),$P$20))-SUM($P75:AX75)</f>
        <v>#VALUE!</v>
      </c>
      <c r="AZ75" s="446" t="e">
        <f>IF(OR($B75="",MIN(AZ$38,$D$19)&lt;MAX($P$34*($B75+IF($R$17="Distrato",$I$38-1,0)),IF(AND($L$37=0,$P$34=0),"",$L$37-1),IF($R$17="Distrato",$E75,0))),0,YEARFRAC(MAX($P$34*($B75+IF($R$17="Distrato",$I$38-1,0)),IF(AND($L$37=0,$P$34=0),"",$L$37-1),IF($R$17="Distrato",$E75,0)),MIN(AZ$38,$D$19),$P$20))-SUM($P75:AY75)</f>
        <v>#VALUE!</v>
      </c>
      <c r="BA75" s="446" t="e">
        <f>IF(OR($B75="",MIN(BA$38,$D$19)&lt;MAX($P$34*($B75+IF($R$17="Distrato",$I$38-1,0)),IF(AND($L$37=0,$P$34=0),"",$L$37-1),IF($R$17="Distrato",$E75,0))),0,YEARFRAC(MAX($P$34*($B75+IF($R$17="Distrato",$I$38-1,0)),IF(AND($L$37=0,$P$34=0),"",$L$37-1),IF($R$17="Distrato",$E75,0)),MIN(BA$38,$D$19),$P$20))-SUM($P75:AZ75)</f>
        <v>#VALUE!</v>
      </c>
      <c r="BB75" s="447"/>
      <c r="BF75" s="446">
        <f t="shared" si="10"/>
        <v>0</v>
      </c>
      <c r="BG75" s="446">
        <f>IF($E75=0,0,IF(MIN(BG$38,$E75)&lt;MAX($P$34*($B75+$I$38-1),IF(AND($L$37=0,$P$34=0),"",$L$37-1)),0,YEARFRAC(MAX($P$34*($B75+$I$38-1),IF(AND($L$37=0,$P$34=0),"",$L$37-1)),MIN(BG$38,$E75),$P$20))-SUM($BF75:BF75))</f>
        <v>0</v>
      </c>
      <c r="BH75" s="446">
        <f>IF($E75=0,0,IF(MIN(BH$38,$E75)&lt;MAX($P$34*($B75+$I$38-1),IF(AND($L$37=0,$P$34=0),"",$L$37-1)),0,YEARFRAC(MAX($P$34*($B75+$I$38-1),IF(AND($L$37=0,$P$34=0),"",$L$37-1)),MIN(BH$38,$E75),$P$20))-SUM($BF75:BG75))</f>
        <v>0</v>
      </c>
      <c r="BI75" s="446">
        <f>IF($E75=0,0,IF(MIN(BI$38,$E75)&lt;MAX($P$34*($B75+$I$38-1),IF(AND($L$37=0,$P$34=0),"",$L$37-1)),0,YEARFRAC(MAX($P$34*($B75+$I$38-1),IF(AND($L$37=0,$P$34=0),"",$L$37-1)),MIN(BI$38,$E75),$P$20))-SUM($BF75:BH75))</f>
        <v>0</v>
      </c>
      <c r="BJ75" s="446">
        <f>IF($E75=0,0,IF(MIN(BJ$38,$E75)&lt;MAX($P$34*($B75+$I$38-1),IF(AND($L$37=0,$P$34=0),"",$L$37-1)),0,YEARFRAC(MAX($P$34*($B75+$I$38-1),IF(AND($L$37=0,$P$34=0),"",$L$37-1)),MIN(BJ$38,$E75),$P$20))-SUM($BF75:BI75))</f>
        <v>0</v>
      </c>
      <c r="BK75" s="446">
        <f>IF($E75=0,0,IF(MIN(BK$38,$E75)&lt;MAX($P$34*($B75+$I$38-1),IF(AND($L$37=0,$P$34=0),"",$L$37-1)),0,YEARFRAC(MAX($P$34*($B75+$I$38-1),IF(AND($L$37=0,$P$34=0),"",$L$37-1)),MIN(BK$38,$E75),$P$20))-SUM($BF75:BJ75))</f>
        <v>0</v>
      </c>
      <c r="BL75" s="446">
        <f>IF($E75=0,0,IF(MIN(BL$38,$E75)&lt;MAX($P$34*($B75+$I$38-1),IF(AND($L$37=0,$P$34=0),"",$L$37-1)),0,YEARFRAC(MAX($P$34*($B75+$I$38-1),IF(AND($L$37=0,$P$34=0),"",$L$37-1)),MIN(BL$38,$E75),$P$20))-SUM($BF75:BK75))</f>
        <v>0</v>
      </c>
      <c r="BM75" s="446">
        <f>IF($E75=0,0,IF(MIN(BM$38,$E75)&lt;MAX($P$34*($B75+$I$38-1),IF(AND($L$37=0,$P$34=0),"",$L$37-1)),0,YEARFRAC(MAX($P$34*($B75+$I$38-1),IF(AND($L$37=0,$P$34=0),"",$L$37-1)),MIN(BM$38,$E75),$P$20))-SUM($BF75:BL75))</f>
        <v>0</v>
      </c>
      <c r="BN75" s="446">
        <f>IF($E75=0,0,IF(MIN(BN$38,$E75)&lt;MAX($P$34*($B75+$I$38-1),IF(AND($L$37=0,$P$34=0),"",$L$37-1)),0,YEARFRAC(MAX($P$34*($B75+$I$38-1),IF(AND($L$37=0,$P$34=0),"",$L$37-1)),MIN(BN$38,$E75),$P$20))-SUM($BF75:BM75))</f>
        <v>0</v>
      </c>
      <c r="BO75" s="446">
        <f>IF($E75=0,0,IF(MIN(BO$38,$E75)&lt;MAX($P$34*($B75+$I$38-1),IF(AND($L$37=0,$P$34=0),"",$L$37-1)),0,YEARFRAC(MAX($P$34*($B75+$I$38-1),IF(AND($L$37=0,$P$34=0),"",$L$37-1)),MIN(BO$38,$E75),$P$20))-SUM($BF75:BN75))</f>
        <v>0</v>
      </c>
      <c r="BP75" s="446">
        <f>IF($E75=0,0,IF(MIN(BP$38,$E75)&lt;MAX($P$34*($B75+$I$38-1),IF(AND($L$37=0,$P$34=0),"",$L$37-1)),0,YEARFRAC(MAX($P$34*($B75+$I$38-1),IF(AND($L$37=0,$P$34=0),"",$L$37-1)),MIN(BP$38,$E75),$P$20))-SUM($BF75:BO75))</f>
        <v>0</v>
      </c>
      <c r="BQ75" s="446">
        <f>IF($E75=0,0,IF(MIN(BQ$38,$E75)&lt;MAX($P$34*($B75+$I$38-1),IF(AND($L$37=0,$P$34=0),"",$L$37-1)),0,YEARFRAC(MAX($P$34*($B75+$I$38-1),IF(AND($L$37=0,$P$34=0),"",$L$37-1)),MIN(BQ$38,$E75),$P$20))-SUM($BF75:BP75))</f>
        <v>0</v>
      </c>
      <c r="BR75" s="446">
        <f>IF($E75=0,0,IF(MIN(BR$38,$E75)&lt;MAX($P$34*($B75+$I$38-1),IF(AND($L$37=0,$P$34=0),"",$L$37-1)),0,YEARFRAC(MAX($P$34*($B75+$I$38-1),IF(AND($L$37=0,$P$34=0),"",$L$37-1)),MIN(BR$38,$E75),$P$20))-SUM($BF75:BQ75))</f>
        <v>0</v>
      </c>
      <c r="BS75" s="446">
        <f>IF($E75=0,0,IF(MIN(BS$38,$E75)&lt;MAX($P$34*($B75+$I$38-1),IF(AND($L$37=0,$P$34=0),"",$L$37-1)),0,YEARFRAC(MAX($P$34*($B75+$I$38-1),IF(AND($L$37=0,$P$34=0),"",$L$37-1)),MIN(BS$38,$E75),$P$20))-SUM($BF75:BR75))</f>
        <v>0</v>
      </c>
      <c r="BT75" s="446">
        <f>IF($E75=0,0,IF(MIN(BT$38,$E75)&lt;MAX($P$34*($B75+$I$38-1),IF(AND($L$37=0,$P$34=0),"",$L$37-1)),0,YEARFRAC(MAX($P$34*($B75+$I$38-1),IF(AND($L$37=0,$P$34=0),"",$L$37-1)),MIN(BT$38,$E75),$P$20))-SUM($BF75:BS75))</f>
        <v>0</v>
      </c>
      <c r="BU75" s="446">
        <f>IF($E75=0,0,IF(MIN(BU$38,$E75)&lt;MAX($P$34*($B75+$I$38-1),IF(AND($L$37=0,$P$34=0),"",$L$37-1)),0,YEARFRAC(MAX($P$34*($B75+$I$38-1),IF(AND($L$37=0,$P$34=0),"",$L$37-1)),MIN(BU$38,$E75),$P$20))-SUM($BF75:BT75))</f>
        <v>0</v>
      </c>
      <c r="BV75" s="446">
        <f>IF($E75=0,0,IF(MIN(BV$38,$E75)&lt;MAX($P$34*($B75+$I$38-1),IF(AND($L$37=0,$P$34=0),"",$L$37-1)),0,YEARFRAC(MAX($P$34*($B75+$I$38-1),IF(AND($L$37=0,$P$34=0),"",$L$37-1)),MIN(BV$38,$E75),$P$20))-SUM($BF75:BU75))</f>
        <v>0</v>
      </c>
      <c r="BW75" s="446">
        <f>IF($E75=0,0,IF(MIN(BW$38,$E75)&lt;MAX($P$34*($B75+$I$38-1),IF(AND($L$37=0,$P$34=0),"",$L$37-1)),0,YEARFRAC(MAX($P$34*($B75+$I$38-1),IF(AND($L$37=0,$P$34=0),"",$L$37-1)),MIN(BW$38,$E75),$P$20))-SUM($BF75:BV75))</f>
        <v>0</v>
      </c>
      <c r="BX75" s="446">
        <f>IF($E75=0,0,IF(MIN(BX$38,$E75)&lt;MAX($P$34*($B75+$I$38-1),IF(AND($L$37=0,$P$34=0),"",$L$37-1)),0,YEARFRAC(MAX($P$34*($B75+$I$38-1),IF(AND($L$37=0,$P$34=0),"",$L$37-1)),MIN(BX$38,$E75),$P$20))-SUM($BF75:BW75))</f>
        <v>0</v>
      </c>
      <c r="BY75" s="446">
        <f>IF($E75=0,0,IF(MIN(BY$38,$E75)&lt;MAX($P$34*($B75+$I$38-1),IF(AND($L$37=0,$P$34=0),"",$L$37-1)),0,YEARFRAC(MAX($P$34*($B75+$I$38-1),IF(AND($L$37=0,$P$34=0),"",$L$37-1)),MIN(BY$38,$E75),$P$20))-SUM($BF75:BX75))</f>
        <v>0</v>
      </c>
      <c r="BZ75" s="446">
        <f>IF($E75=0,0,IF(MIN(BZ$38,$E75)&lt;MAX($P$34*($B75+$I$38-1),IF(AND($L$37=0,$P$34=0),"",$L$37-1)),0,YEARFRAC(MAX($P$34*($B75+$I$38-1),IF(AND($L$37=0,$P$34=0),"",$L$37-1)),MIN(BZ$38,$E75),$P$20))-SUM($BF75:BY75))</f>
        <v>0</v>
      </c>
      <c r="CA75" s="446">
        <f>IF($E75=0,0,IF(MIN(CA$38,$E75)&lt;MAX($P$34*($B75+$I$38-1),IF(AND($L$37=0,$P$34=0),"",$L$37-1)),0,YEARFRAC(MAX($P$34*($B75+$I$38-1),IF(AND($L$37=0,$P$34=0),"",$L$37-1)),MIN(CA$38,$E75),$P$20))-SUM($BF75:BZ75))</f>
        <v>0</v>
      </c>
      <c r="CB75" s="446">
        <f>IF($E75=0,0,IF(MIN(CB$38,$E75)&lt;MAX($P$34*($B75+$I$38-1),IF(AND($L$37=0,$P$34=0),"",$L$37-1)),0,YEARFRAC(MAX($P$34*($B75+$I$38-1),IF(AND($L$37=0,$P$34=0),"",$L$37-1)),MIN(CB$38,$E75),$P$20))-SUM($BF75:CA75))</f>
        <v>0</v>
      </c>
      <c r="CC75" s="446">
        <f>IF($E75=0,0,IF(MIN(CC$38,$E75)&lt;MAX($P$34*($B75+$I$38-1),IF(AND($L$37=0,$P$34=0),"",$L$37-1)),0,YEARFRAC(MAX($P$34*($B75+$I$38-1),IF(AND($L$37=0,$P$34=0),"",$L$37-1)),MIN(CC$38,$E75),$P$20))-SUM($BF75:CB75))</f>
        <v>0</v>
      </c>
      <c r="CD75" s="446">
        <f>IF($E75=0,0,IF(MIN(CD$38,$E75)&lt;MAX($P$34*($B75+$I$38-1),IF(AND($L$37=0,$P$34=0),"",$L$37-1)),0,YEARFRAC(MAX($P$34*($B75+$I$38-1),IF(AND($L$37=0,$P$34=0),"",$L$37-1)),MIN(CD$38,$E75),$P$20))-SUM($BF75:CC75))</f>
        <v>0</v>
      </c>
      <c r="CE75" s="446">
        <f>IF($E75=0,0,IF(MIN(CE$38,$E75)&lt;MAX($P$34*($B75+$I$38-1),IF(AND($L$37=0,$P$34=0),"",$L$37-1)),0,YEARFRAC(MAX($P$34*($B75+$I$38-1),IF(AND($L$37=0,$P$34=0),"",$L$37-1)),MIN(CE$38,$E75),$P$20))-SUM($BF75:CD75))</f>
        <v>0</v>
      </c>
      <c r="CF75" s="446">
        <f>IF($E75=0,0,IF(MIN(CF$38,$E75)&lt;MAX($P$34*($B75+$I$38-1),IF(AND($L$37=0,$P$34=0),"",$L$37-1)),0,YEARFRAC(MAX($P$34*($B75+$I$38-1),IF(AND($L$37=0,$P$34=0),"",$L$37-1)),MIN(CF$38,$E75),$P$20))-SUM($BF75:CE75))</f>
        <v>0</v>
      </c>
      <c r="CG75" s="446">
        <f>IF($E75=0,0,IF(MIN(CG$38,$E75)&lt;MAX($P$34*($B75+$I$38-1),IF(AND($L$37=0,$P$34=0),"",$L$37-1)),0,YEARFRAC(MAX($P$34*($B75+$I$38-1),IF(AND($L$37=0,$P$34=0),"",$L$37-1)),MIN(CG$38,$E75),$P$20))-SUM($BF75:CF75))</f>
        <v>0</v>
      </c>
      <c r="CH75" s="446">
        <f>IF($E75=0,0,IF(MIN(CH$38,$E75)&lt;MAX($P$34*($B75+$I$38-1),IF(AND($L$37=0,$P$34=0),"",$L$37-1)),0,YEARFRAC(MAX($P$34*($B75+$I$38-1),IF(AND($L$37=0,$P$34=0),"",$L$37-1)),MIN(CH$38,$E75),$P$20))-SUM($BF75:CG75))</f>
        <v>0</v>
      </c>
      <c r="CI75" s="446">
        <f>IF($E75=0,0,IF(MIN(CI$38,$E75)&lt;MAX($P$34*($B75+$I$38-1),IF(AND($L$37=0,$P$34=0),"",$L$37-1)),0,YEARFRAC(MAX($P$34*($B75+$I$38-1),IF(AND($L$37=0,$P$34=0),"",$L$37-1)),MIN(CI$38,$E75),$P$20))-SUM($BF75:CH75))</f>
        <v>0</v>
      </c>
      <c r="CJ75" s="446">
        <f>IF($E75=0,0,IF(MIN(CJ$38,$E75)&lt;MAX($P$34*($B75+$I$38-1),IF(AND($L$37=0,$P$34=0),"",$L$37-1)),0,YEARFRAC(MAX($P$34*($B75+$I$38-1),IF(AND($L$37=0,$P$34=0),"",$L$37-1)),MIN(CJ$38,$E75),$P$20))-SUM($BF75:CI75))</f>
        <v>0</v>
      </c>
      <c r="CK75" s="446">
        <f>IF($E75=0,0,IF(MIN(CK$38,$E75)&lt;MAX($P$34*($B75+$I$38-1),IF(AND($L$37=0,$P$34=0),"",$L$37-1)),0,YEARFRAC(MAX($P$34*($B75+$I$38-1),IF(AND($L$37=0,$P$34=0),"",$L$37-1)),MIN(CK$38,$E75),$P$20))-SUM($BF75:CJ75))</f>
        <v>0</v>
      </c>
      <c r="CL75" s="446">
        <f>IF($E75=0,0,IF(MIN(CL$38,$E75)&lt;MAX($P$34*($B75+$I$38-1),IF(AND($L$37=0,$P$34=0),"",$L$37-1)),0,YEARFRAC(MAX($P$34*($B75+$I$38-1),IF(AND($L$37=0,$P$34=0),"",$L$37-1)),MIN(CL$38,$E75),$P$20))-SUM($BF75:CK75))</f>
        <v>0</v>
      </c>
      <c r="CM75" s="446">
        <f>IF($E75=0,0,IF(MIN(CM$38,$E75)&lt;MAX($P$34*($B75+$I$38-1),IF(AND($L$37=0,$P$34=0),"",$L$37-1)),0,YEARFRAC(MAX($P$34*($B75+$I$38-1),IF(AND($L$37=0,$P$34=0),"",$L$37-1)),MIN(CM$38,$E75),$P$20))-SUM($BF75:CL75))</f>
        <v>0</v>
      </c>
      <c r="CN75" s="446">
        <f>IF($E75=0,0,IF(MIN(CN$38,$E75)&lt;MAX($P$34*($B75+$I$38-1),IF(AND($L$37=0,$P$34=0),"",$L$37-1)),0,YEARFRAC(MAX($P$34*($B75+$I$38-1),IF(AND($L$37=0,$P$34=0),"",$L$37-1)),MIN(CN$38,$E75),$P$20))-SUM($BF75:CM75))</f>
        <v>0</v>
      </c>
      <c r="CO75" s="446">
        <f>IF($E75=0,0,IF(MIN(CO$38,$E75)&lt;MAX($P$34*($B75+$I$38-1),IF(AND($L$37=0,$P$34=0),"",$L$37-1)),0,YEARFRAC(MAX($P$34*($B75+$I$38-1),IF(AND($L$37=0,$P$34=0),"",$L$37-1)),MIN(CO$38,$E75),$P$20))-SUM($BF75:CN75))</f>
        <v>0</v>
      </c>
      <c r="CP75" s="446">
        <f>IF($E75=0,0,IF(MIN(CP$38,$E75)&lt;MAX($P$34*($B75+$I$38-1),IF(AND($L$37=0,$P$34=0),"",$L$37-1)),0,YEARFRAC(MAX($P$34*($B75+$I$38-1),IF(AND($L$37=0,$P$34=0),"",$L$37-1)),MIN(CP$38,$E75),$P$20))-SUM($BF75:CO75))</f>
        <v>0</v>
      </c>
      <c r="CQ75" s="446">
        <f>IF($E75=0,0,IF(MIN(CQ$38,$E75)&lt;MAX($P$34*($B75+$I$38-1),IF(AND($L$37=0,$P$34=0),"",$L$37-1)),0,YEARFRAC(MAX($P$34*($B75+$I$38-1),IF(AND($L$37=0,$P$34=0),"",$L$37-1)),MIN(CQ$38,$E75),$P$20))-SUM($BF75:CP75))</f>
        <v>0</v>
      </c>
    </row>
    <row r="76" spans="1:95" s="446" customFormat="1" ht="11.25" hidden="1" customHeight="1" x14ac:dyDescent="0.2">
      <c r="A76" s="152"/>
      <c r="B76" s="153" t="str">
        <f t="shared" si="15"/>
        <v/>
      </c>
      <c r="C76" s="29" t="str">
        <f>IF(B76="","",IF($L$35="SELIC - TRIBUTOS",VLOOKUP(DATE(YEAR($D$19),MONTH($D$19)-1,1),ÍNDICES!$A:$DE,HLOOKUP($BL$25,ÍNDICES!$B$3:$T$4,2)+11)-VLOOKUP(B76,ÍNDICES!$A:$DE,HLOOKUP($BL$25,ÍNDICES!$B$3:$T$4,2)+11)+1%,IF(C$38=$W$26,$J$35,IF(ISERROR(IF(B76&gt;$D$19,1,VLOOKUP(DATE(YEAR(B76),MONTH(B76)+IF($C$35=$S$23,1,0),1),ÍNDICES!$A:$DE,$Z$35+1))),"",IF(B76&gt;$D$19,1,VLOOKUP(DATE(YEAR(B76),MONTH(B76)+IF($C$35=$S$23,1,0),1),ÍNDICES!$A:$DE,$Z$35+1))))))</f>
        <v/>
      </c>
      <c r="D76" s="154" t="str">
        <f>IF(ISERROR(IF(OR($D$38=$Y$27,$B76=""),"",VLOOKUP(B76,ÍNDICES!A:DE,AF$35+1))),"",IF(OR($D$38=$Y$27,$B76=""),"",VLOOKUP(B76,ÍNDICES!A:DE,AF$35+1)))</f>
        <v/>
      </c>
      <c r="E76" s="153"/>
      <c r="F76" s="29" t="str">
        <f>IF(E76="","",IF($L$35="SELIC - TRIBUTOS",VLOOKUP(DATE(YEAR($D$19),MONTH($D$19)-1,1),ÍNDICES!$A:$DE,HLOOKUP($BL$25,ÍNDICES!$B$3:$T$4,2)+11)-VLOOKUP(E76,ÍNDICES!$A:$DE,HLOOKUP($BL$25,ÍNDICES!$B$3:$T$4,2)+11)+1%,IF(F$38=$W$26,$J$35,IF(ISERROR(IF(E76&gt;$D$19,1,VLOOKUP(DATE(YEAR(E76),MONTH(E76)+IF($C$35=$S$23,1,0),1),ÍNDICES!$A:$DE,$Z$35+1))),"",IF(E76&gt;$D$19,1,VLOOKUP(DATE(YEAR(E76),MONTH(E76)+IF($C$35=$S$23,1,0),1),ÍNDICES!$A:$DE,$Z$35+1))))))</f>
        <v/>
      </c>
      <c r="G76" s="155"/>
      <c r="H76" s="156" t="str">
        <f t="shared" si="11"/>
        <v/>
      </c>
      <c r="I76" s="29" t="str">
        <f t="shared" si="5"/>
        <v/>
      </c>
      <c r="J76" s="5">
        <f t="shared" si="6"/>
        <v>0</v>
      </c>
      <c r="K76" s="20">
        <f t="shared" ca="1" si="7"/>
        <v>0</v>
      </c>
      <c r="L76" s="5">
        <f t="shared" ca="1" si="8"/>
        <v>0</v>
      </c>
      <c r="M76" s="64">
        <f t="shared" si="12"/>
        <v>0</v>
      </c>
      <c r="N76" s="61">
        <f t="shared" ca="1" si="13"/>
        <v>0</v>
      </c>
      <c r="O76" s="5">
        <f t="shared" ca="1" si="14"/>
        <v>0</v>
      </c>
      <c r="P76" s="446" t="e">
        <f t="shared" si="9"/>
        <v>#VALUE!</v>
      </c>
      <c r="Q76" s="446" t="e">
        <f>IF(OR($B76="",MIN(Q$38,$D$19)&lt;MAX($P$34*($B76+IF($R$17="Distrato",$I$38-1,0)),IF(AND($L$37=0,$P$34=0),"",$L$37-1),IF($R$17="Distrato",$E76,0))),0,YEARFRAC(MAX($P$34*($B76+IF($R$17="Distrato",$I$38-1,0)),IF(AND($L$37=0,$P$34=0),"",$L$37-1),IF($R$17="Distrato",$E76,0)),MIN(Q$38,$D$19),$P$20))-SUM($P76:P76)</f>
        <v>#VALUE!</v>
      </c>
      <c r="R76" s="446" t="e">
        <f>IF(OR($B76="",MIN(R$38,$D$19)&lt;MAX($P$34*($B76+IF($R$17="Distrato",$I$38-1,0)),IF(AND($L$37=0,$P$34=0),"",$L$37-1),IF($R$17="Distrato",$E76,0))),0,YEARFRAC(MAX($P$34*($B76+IF($R$17="Distrato",$I$38-1,0)),IF(AND($L$37=0,$P$34=0),"",$L$37-1),IF($R$17="Distrato",$E76,0)),MIN(R$38,$D$19),$P$20))-SUM($P76:Q76)</f>
        <v>#VALUE!</v>
      </c>
      <c r="S76" s="446" t="e">
        <f>IF(OR($B76="",MIN(S$38,$D$19)&lt;MAX($P$34*($B76+IF($R$17="Distrato",$I$38-1,0)),IF(AND($L$37=0,$P$34=0),"",$L$37-1),IF($R$17="Distrato",$E76,0))),0,YEARFRAC(MAX($P$34*($B76+IF($R$17="Distrato",$I$38-1,0)),IF(AND($L$37=0,$P$34=0),"",$L$37-1),IF($R$17="Distrato",$E76,0)),MIN(S$38,$D$19),$P$20))-SUM($P76:R76)</f>
        <v>#VALUE!</v>
      </c>
      <c r="T76" s="446" t="e">
        <f>IF(OR($B76="",MIN(T$38,$D$19)&lt;MAX($P$34*($B76+IF($R$17="Distrato",$I$38-1,0)),IF(AND($L$37=0,$P$34=0),"",$L$37-1),IF($R$17="Distrato",$E76,0))),0,YEARFRAC(MAX($P$34*($B76+IF($R$17="Distrato",$I$38-1,0)),IF(AND($L$37=0,$P$34=0),"",$L$37-1),IF($R$17="Distrato",$E76,0)),MIN(T$38,$D$19),$P$20))-SUM($P76:S76)</f>
        <v>#VALUE!</v>
      </c>
      <c r="U76" s="446" t="e">
        <f>IF(OR($B76="",MIN(U$38,$D$19)&lt;MAX($P$34*($B76+IF($R$17="Distrato",$I$38-1,0)),IF(AND($L$37=0,$P$34=0),"",$L$37-1),IF($R$17="Distrato",$E76,0))),0,YEARFRAC(MAX($P$34*($B76+IF($R$17="Distrato",$I$38-1,0)),IF(AND($L$37=0,$P$34=0),"",$L$37-1),IF($R$17="Distrato",$E76,0)),MIN(U$38,$D$19),$P$20))-SUM($P76:T76)</f>
        <v>#VALUE!</v>
      </c>
      <c r="V76" s="446" t="e">
        <f>IF(OR($B76="",MIN(V$38,$D$19)&lt;MAX($P$34*($B76+IF($R$17="Distrato",$I$38-1,0)),IF(AND($L$37=0,$P$34=0),"",$L$37-1),IF($R$17="Distrato",$E76,0))),0,YEARFRAC(MAX($P$34*($B76+IF($R$17="Distrato",$I$38-1,0)),IF(AND($L$37=0,$P$34=0),"",$L$37-1),IF($R$17="Distrato",$E76,0)),MIN(V$38,$D$19),$P$20))-SUM($P76:U76)</f>
        <v>#VALUE!</v>
      </c>
      <c r="W76" s="446" t="e">
        <f>IF(OR($B76="",MIN(W$38,$D$19)&lt;MAX($P$34*($B76+IF($R$17="Distrato",$I$38-1,0)),IF(AND($L$37=0,$P$34=0),"",$L$37-1),IF($R$17="Distrato",$E76,0))),0,YEARFRAC(MAX($P$34*($B76+IF($R$17="Distrato",$I$38-1,0)),IF(AND($L$37=0,$P$34=0),"",$L$37-1),IF($R$17="Distrato",$E76,0)),MIN(W$38,$D$19),$P$20))-SUM($P76:V76)</f>
        <v>#VALUE!</v>
      </c>
      <c r="X76" s="446" t="e">
        <f>IF(OR($B76="",MIN(X$38,$D$19)&lt;MAX($P$34*($B76+IF($R$17="Distrato",$I$38-1,0)),IF(AND($L$37=0,$P$34=0),"",$L$37-1),IF($R$17="Distrato",$E76,0))),0,YEARFRAC(MAX($P$34*($B76+IF($R$17="Distrato",$I$38-1,0)),IF(AND($L$37=0,$P$34=0),"",$L$37-1),IF($R$17="Distrato",$E76,0)),MIN(X$38,$D$19),$P$20))-SUM($P76:W76)</f>
        <v>#VALUE!</v>
      </c>
      <c r="Y76" s="446" t="e">
        <f>IF(OR($B76="",MIN(Y$38,$D$19)&lt;MAX($P$34*($B76+IF($R$17="Distrato",$I$38-1,0)),IF(AND($L$37=0,$P$34=0),"",$L$37-1),IF($R$17="Distrato",$E76,0))),0,YEARFRAC(MAX($P$34*($B76+IF($R$17="Distrato",$I$38-1,0)),IF(AND($L$37=0,$P$34=0),"",$L$37-1),IF($R$17="Distrato",$E76,0)),MIN(Y$38,$D$19),$P$20))-SUM($P76:X76)</f>
        <v>#VALUE!</v>
      </c>
      <c r="Z76" s="446" t="e">
        <f>IF(OR($B76="",MIN(Z$38,$D$19)&lt;MAX($P$34*($B76+IF($R$17="Distrato",$I$38-1,0)),IF(AND($L$37=0,$P$34=0),"",$L$37-1),IF($R$17="Distrato",$E76,0))),0,YEARFRAC(MAX($P$34*($B76+IF($R$17="Distrato",$I$38-1,0)),IF(AND($L$37=0,$P$34=0),"",$L$37-1),IF($R$17="Distrato",$E76,0)),MIN(Z$38,$D$19),$P$20))-SUM($P76:Y76)</f>
        <v>#VALUE!</v>
      </c>
      <c r="AA76" s="446" t="e">
        <f>IF(OR($B76="",MIN(AA$38,$D$19)&lt;MAX($P$34*($B76+IF($R$17="Distrato",$I$38-1,0)),IF(AND($L$37=0,$P$34=0),"",$L$37-1),IF($R$17="Distrato",$E76,0))),0,YEARFRAC(MAX($P$34*($B76+IF($R$17="Distrato",$I$38-1,0)),IF(AND($L$37=0,$P$34=0),"",$L$37-1),IF($R$17="Distrato",$E76,0)),MIN(AA$38,$D$19),$P$20))-SUM($P76:Z76)</f>
        <v>#VALUE!</v>
      </c>
      <c r="AB76" s="446" t="e">
        <f>IF(OR($B76="",MIN(AB$38,$D$19)&lt;MAX($P$34*($B76+IF($R$17="Distrato",$I$38-1,0)),IF(AND($L$37=0,$P$34=0),"",$L$37-1),IF($R$17="Distrato",$E76,0))),0,YEARFRAC(MAX($P$34*($B76+IF($R$17="Distrato",$I$38-1,0)),IF(AND($L$37=0,$P$34=0),"",$L$37-1),IF($R$17="Distrato",$E76,0)),MIN(AB$38,$D$19),$P$20))-SUM($P76:AA76)</f>
        <v>#VALUE!</v>
      </c>
      <c r="AC76" s="446" t="e">
        <f>IF(OR($B76="",MIN(AC$38,$D$19)&lt;MAX($P$34*($B76+IF($R$17="Distrato",$I$38-1,0)),IF(AND($L$37=0,$P$34=0),"",$L$37-1),IF($R$17="Distrato",$E76,0))),0,YEARFRAC(MAX($P$34*($B76+IF($R$17="Distrato",$I$38-1,0)),IF(AND($L$37=0,$P$34=0),"",$L$37-1),IF($R$17="Distrato",$E76,0)),MIN(AC$38,$D$19),$P$20))-SUM($P76:AB76)</f>
        <v>#VALUE!</v>
      </c>
      <c r="AD76" s="446" t="e">
        <f>IF(OR($B76="",MIN(AD$38,$D$19)&lt;MAX($P$34*($B76+IF($R$17="Distrato",$I$38-1,0)),IF(AND($L$37=0,$P$34=0),"",$L$37-1),IF($R$17="Distrato",$E76,0))),0,YEARFRAC(MAX($P$34*($B76+IF($R$17="Distrato",$I$38-1,0)),IF(AND($L$37=0,$P$34=0),"",$L$37-1),IF($R$17="Distrato",$E76,0)),MIN(AD$38,$D$19),$P$20))-SUM($P76:AC76)</f>
        <v>#VALUE!</v>
      </c>
      <c r="AE76" s="446" t="e">
        <f>IF(OR($B76="",MIN(AE$38,$D$19)&lt;MAX($P$34*($B76+IF($R$17="Distrato",$I$38-1,0)),IF(AND($L$37=0,$P$34=0),"",$L$37-1),IF($R$17="Distrato",$E76,0))),0,YEARFRAC(MAX($P$34*($B76+IF($R$17="Distrato",$I$38-1,0)),IF(AND($L$37=0,$P$34=0),"",$L$37-1),IF($R$17="Distrato",$E76,0)),MIN(AE$38,$D$19),$P$20))-SUM($P76:AD76)</f>
        <v>#VALUE!</v>
      </c>
      <c r="AF76" s="446" t="e">
        <f>IF(OR($B76="",MIN(AF$38,$D$19)&lt;MAX($P$34*($B76+IF($R$17="Distrato",$I$38-1,0)),IF(AND($L$37=0,$P$34=0),"",$L$37-1),IF($R$17="Distrato",$E76,0))),0,YEARFRAC(MAX($P$34*($B76+IF($R$17="Distrato",$I$38-1,0)),IF(AND($L$37=0,$P$34=0),"",$L$37-1),IF($R$17="Distrato",$E76,0)),MIN(AF$38,$D$19),$P$20))-SUM($P76:AE76)</f>
        <v>#VALUE!</v>
      </c>
      <c r="AG76" s="446" t="e">
        <f>IF(OR($B76="",MIN(AG$38,$D$19)&lt;MAX($P$34*($B76+IF($R$17="Distrato",$I$38-1,0)),IF(AND($L$37=0,$P$34=0),"",$L$37-1),IF($R$17="Distrato",$E76,0))),0,YEARFRAC(MAX($P$34*($B76+IF($R$17="Distrato",$I$38-1,0)),IF(AND($L$37=0,$P$34=0),"",$L$37-1),IF($R$17="Distrato",$E76,0)),MIN(AG$38,$D$19),$P$20))-SUM($P76:AF76)</f>
        <v>#VALUE!</v>
      </c>
      <c r="AH76" s="446" t="e">
        <f>IF(OR($B76="",MIN(AH$38,$D$19)&lt;MAX($P$34*($B76+IF($R$17="Distrato",$I$38-1,0)),IF(AND($L$37=0,$P$34=0),"",$L$37-1),IF($R$17="Distrato",$E76,0))),0,YEARFRAC(MAX($P$34*($B76+IF($R$17="Distrato",$I$38-1,0)),IF(AND($L$37=0,$P$34=0),"",$L$37-1),IF($R$17="Distrato",$E76,0)),MIN(AH$38,$D$19),$P$20))-SUM($P76:AG76)</f>
        <v>#VALUE!</v>
      </c>
      <c r="AI76" s="446" t="e">
        <f>IF(OR($B76="",MIN(AI$38,$D$19)&lt;MAX($P$34*($B76+IF($R$17="Distrato",$I$38-1,0)),IF(AND($L$37=0,$P$34=0),"",$L$37-1),IF($R$17="Distrato",$E76,0))),0,YEARFRAC(MAX($P$34*($B76+IF($R$17="Distrato",$I$38-1,0)),IF(AND($L$37=0,$P$34=0),"",$L$37-1),IF($R$17="Distrato",$E76,0)),MIN(AI$38,$D$19),$P$20))-SUM($P76:AH76)</f>
        <v>#VALUE!</v>
      </c>
      <c r="AJ76" s="446" t="e">
        <f>IF(OR($B76="",MIN(AJ$38,$D$19)&lt;MAX($P$34*($B76+IF($R$17="Distrato",$I$38-1,0)),IF(AND($L$37=0,$P$34=0),"",$L$37-1),IF($R$17="Distrato",$E76,0))),0,YEARFRAC(MAX($P$34*($B76+IF($R$17="Distrato",$I$38-1,0)),IF(AND($L$37=0,$P$34=0),"",$L$37-1),IF($R$17="Distrato",$E76,0)),MIN(AJ$38,$D$19),$P$20))-SUM($P76:AI76)</f>
        <v>#VALUE!</v>
      </c>
      <c r="AK76" s="446" t="e">
        <f>IF(OR($B76="",MIN(AK$38,$D$19)&lt;MAX($P$34*($B76+IF($R$17="Distrato",$I$38-1,0)),IF(AND($L$37=0,$P$34=0),"",$L$37-1),IF($R$17="Distrato",$E76,0))),0,YEARFRAC(MAX($P$34*($B76+IF($R$17="Distrato",$I$38-1,0)),IF(AND($L$37=0,$P$34=0),"",$L$37-1),IF($R$17="Distrato",$E76,0)),MIN(AK$38,$D$19),$P$20))-SUM($P76:AJ76)</f>
        <v>#VALUE!</v>
      </c>
      <c r="AL76" s="446" t="e">
        <f>IF(OR($B76="",MIN(AL$38,$D$19)&lt;MAX($P$34*($B76+IF($R$17="Distrato",$I$38-1,0)),IF(AND($L$37=0,$P$34=0),"",$L$37-1),IF($R$17="Distrato",$E76,0))),0,YEARFRAC(MAX($P$34*($B76+IF($R$17="Distrato",$I$38-1,0)),IF(AND($L$37=0,$P$34=0),"",$L$37-1),IF($R$17="Distrato",$E76,0)),MIN(AL$38,$D$19),$P$20))-SUM($P76:AK76)</f>
        <v>#VALUE!</v>
      </c>
      <c r="AM76" s="446" t="e">
        <f>IF(OR($B76="",MIN(AM$38,$D$19)&lt;MAX($P$34*($B76+IF($R$17="Distrato",$I$38-1,0)),IF(AND($L$37=0,$P$34=0),"",$L$37-1),IF($R$17="Distrato",$E76,0))),0,YEARFRAC(MAX($P$34*($B76+IF($R$17="Distrato",$I$38-1,0)),IF(AND($L$37=0,$P$34=0),"",$L$37-1),IF($R$17="Distrato",$E76,0)),MIN(AM$38,$D$19),$P$20))-SUM($P76:AL76)</f>
        <v>#VALUE!</v>
      </c>
      <c r="AN76" s="446" t="e">
        <f>IF(OR($B76="",MIN(AN$38,$D$19)&lt;MAX($P$34*($B76+IF($R$17="Distrato",$I$38-1,0)),IF(AND($L$37=0,$P$34=0),"",$L$37-1),IF($R$17="Distrato",$E76,0))),0,YEARFRAC(MAX($P$34*($B76+IF($R$17="Distrato",$I$38-1,0)),IF(AND($L$37=0,$P$34=0),"",$L$37-1),IF($R$17="Distrato",$E76,0)),MIN(AN$38,$D$19),$P$20))-SUM($P76:AM76)</f>
        <v>#VALUE!</v>
      </c>
      <c r="AO76" s="446" t="e">
        <f>IF(OR($B76="",MIN(AO$38,$D$19)&lt;MAX($P$34*($B76+IF($R$17="Distrato",$I$38-1,0)),IF(AND($L$37=0,$P$34=0),"",$L$37-1),IF($R$17="Distrato",$E76,0))),0,YEARFRAC(MAX($P$34*($B76+IF($R$17="Distrato",$I$38-1,0)),IF(AND($L$37=0,$P$34=0),"",$L$37-1),IF($R$17="Distrato",$E76,0)),MIN(AO$38,$D$19),$P$20))-SUM($P76:AN76)</f>
        <v>#VALUE!</v>
      </c>
      <c r="AP76" s="446" t="e">
        <f>IF(OR($B76="",MIN(AP$38,$D$19)&lt;MAX($P$34*($B76+IF($R$17="Distrato",$I$38-1,0)),IF(AND($L$37=0,$P$34=0),"",$L$37-1),IF($R$17="Distrato",$E76,0))),0,YEARFRAC(MAX($P$34*($B76+IF($R$17="Distrato",$I$38-1,0)),IF(AND($L$37=0,$P$34=0),"",$L$37-1),IF($R$17="Distrato",$E76,0)),MIN(AP$38,$D$19),$P$20))-SUM($P76:AO76)</f>
        <v>#VALUE!</v>
      </c>
      <c r="AQ76" s="446" t="e">
        <f>IF(OR($B76="",MIN(AQ$38,$D$19)&lt;MAX($P$34*($B76+IF($R$17="Distrato",$I$38-1,0)),IF(AND($L$37=0,$P$34=0),"",$L$37-1),IF($R$17="Distrato",$E76,0))),0,YEARFRAC(MAX($P$34*($B76+IF($R$17="Distrato",$I$38-1,0)),IF(AND($L$37=0,$P$34=0),"",$L$37-1),IF($R$17="Distrato",$E76,0)),MIN(AQ$38,$D$19),$P$20))-SUM($P76:AP76)</f>
        <v>#VALUE!</v>
      </c>
      <c r="AR76" s="446" t="e">
        <f>IF(OR($B76="",MIN(AR$38,$D$19)&lt;MAX($P$34*($B76+IF($R$17="Distrato",$I$38-1,0)),IF(AND($L$37=0,$P$34=0),"",$L$37-1),IF($R$17="Distrato",$E76,0))),0,YEARFRAC(MAX($P$34*($B76+IF($R$17="Distrato",$I$38-1,0)),IF(AND($L$37=0,$P$34=0),"",$L$37-1),IF($R$17="Distrato",$E76,0)),MIN(AR$38,$D$19),$P$20))-SUM($P76:AQ76)</f>
        <v>#VALUE!</v>
      </c>
      <c r="AS76" s="446" t="e">
        <f>IF(OR($B76="",MIN(AS$38,$D$19)&lt;MAX($P$34*($B76+IF($R$17="Distrato",$I$38-1,0)),IF(AND($L$37=0,$P$34=0),"",$L$37-1),IF($R$17="Distrato",$E76,0))),0,YEARFRAC(MAX($P$34*($B76+IF($R$17="Distrato",$I$38-1,0)),IF(AND($L$37=0,$P$34=0),"",$L$37-1),IF($R$17="Distrato",$E76,0)),MIN(AS$38,$D$19),$P$20))-SUM($P76:AR76)</f>
        <v>#VALUE!</v>
      </c>
      <c r="AT76" s="446" t="e">
        <f>IF(OR($B76="",MIN(AT$38,$D$19)&lt;MAX($P$34*($B76+IF($R$17="Distrato",$I$38-1,0)),IF(AND($L$37=0,$P$34=0),"",$L$37-1),IF($R$17="Distrato",$E76,0))),0,YEARFRAC(MAX($P$34*($B76+IF($R$17="Distrato",$I$38-1,0)),IF(AND($L$37=0,$P$34=0),"",$L$37-1),IF($R$17="Distrato",$E76,0)),MIN(AT$38,$D$19),$P$20))-SUM($P76:AS76)</f>
        <v>#VALUE!</v>
      </c>
      <c r="AU76" s="446" t="e">
        <f>IF(OR($B76="",MIN(AU$38,$D$19)&lt;MAX($P$34*($B76+IF($R$17="Distrato",$I$38-1,0)),IF(AND($L$37=0,$P$34=0),"",$L$37-1),IF($R$17="Distrato",$E76,0))),0,YEARFRAC(MAX($P$34*($B76+IF($R$17="Distrato",$I$38-1,0)),IF(AND($L$37=0,$P$34=0),"",$L$37-1),IF($R$17="Distrato",$E76,0)),MIN(AU$38,$D$19),$P$20))-SUM($P76:AT76)</f>
        <v>#VALUE!</v>
      </c>
      <c r="AV76" s="446" t="e">
        <f>IF(OR($B76="",MIN(AV$38,$D$19)&lt;MAX($P$34*($B76+IF($R$17="Distrato",$I$38-1,0)),IF(AND($L$37=0,$P$34=0),"",$L$37-1),IF($R$17="Distrato",$E76,0))),0,YEARFRAC(MAX($P$34*($B76+IF($R$17="Distrato",$I$38-1,0)),IF(AND($L$37=0,$P$34=0),"",$L$37-1),IF($R$17="Distrato",$E76,0)),MIN(AV$38,$D$19),$P$20))-SUM($P76:AU76)</f>
        <v>#VALUE!</v>
      </c>
      <c r="AW76" s="446" t="e">
        <f>IF(OR($B76="",MIN(AW$38,$D$19)&lt;MAX($P$34*($B76+IF($R$17="Distrato",$I$38-1,0)),IF(AND($L$37=0,$P$34=0),"",$L$37-1),IF($R$17="Distrato",$E76,0))),0,YEARFRAC(MAX($P$34*($B76+IF($R$17="Distrato",$I$38-1,0)),IF(AND($L$37=0,$P$34=0),"",$L$37-1),IF($R$17="Distrato",$E76,0)),MIN(AW$38,$D$19),$P$20))-SUM($P76:AV76)</f>
        <v>#VALUE!</v>
      </c>
      <c r="AX76" s="446" t="e">
        <f>IF(OR($B76="",MIN(AX$38,$D$19)&lt;MAX($P$34*($B76+IF($R$17="Distrato",$I$38-1,0)),IF(AND($L$37=0,$P$34=0),"",$L$37-1),IF($R$17="Distrato",$E76,0))),0,YEARFRAC(MAX($P$34*($B76+IF($R$17="Distrato",$I$38-1,0)),IF(AND($L$37=0,$P$34=0),"",$L$37-1),IF($R$17="Distrato",$E76,0)),MIN(AX$38,$D$19),$P$20))-SUM($P76:AW76)</f>
        <v>#VALUE!</v>
      </c>
      <c r="AY76" s="446" t="e">
        <f>IF(OR($B76="",MIN(AY$38,$D$19)&lt;MAX($P$34*($B76+IF($R$17="Distrato",$I$38-1,0)),IF(AND($L$37=0,$P$34=0),"",$L$37-1),IF($R$17="Distrato",$E76,0))),0,YEARFRAC(MAX($P$34*($B76+IF($R$17="Distrato",$I$38-1,0)),IF(AND($L$37=0,$P$34=0),"",$L$37-1),IF($R$17="Distrato",$E76,0)),MIN(AY$38,$D$19),$P$20))-SUM($P76:AX76)</f>
        <v>#VALUE!</v>
      </c>
      <c r="AZ76" s="446" t="e">
        <f>IF(OR($B76="",MIN(AZ$38,$D$19)&lt;MAX($P$34*($B76+IF($R$17="Distrato",$I$38-1,0)),IF(AND($L$37=0,$P$34=0),"",$L$37-1),IF($R$17="Distrato",$E76,0))),0,YEARFRAC(MAX($P$34*($B76+IF($R$17="Distrato",$I$38-1,0)),IF(AND($L$37=0,$P$34=0),"",$L$37-1),IF($R$17="Distrato",$E76,0)),MIN(AZ$38,$D$19),$P$20))-SUM($P76:AY76)</f>
        <v>#VALUE!</v>
      </c>
      <c r="BA76" s="446" t="e">
        <f>IF(OR($B76="",MIN(BA$38,$D$19)&lt;MAX($P$34*($B76+IF($R$17="Distrato",$I$38-1,0)),IF(AND($L$37=0,$P$34=0),"",$L$37-1),IF($R$17="Distrato",$E76,0))),0,YEARFRAC(MAX($P$34*($B76+IF($R$17="Distrato",$I$38-1,0)),IF(AND($L$37=0,$P$34=0),"",$L$37-1),IF($R$17="Distrato",$E76,0)),MIN(BA$38,$D$19),$P$20))-SUM($P76:AZ76)</f>
        <v>#VALUE!</v>
      </c>
      <c r="BB76" s="447"/>
      <c r="BF76" s="446">
        <f t="shared" si="10"/>
        <v>0</v>
      </c>
      <c r="BG76" s="446">
        <f>IF($E76=0,0,IF(MIN(BG$38,$E76)&lt;MAX($P$34*($B76+$I$38-1),IF(AND($L$37=0,$P$34=0),"",$L$37-1)),0,YEARFRAC(MAX($P$34*($B76+$I$38-1),IF(AND($L$37=0,$P$34=0),"",$L$37-1)),MIN(BG$38,$E76),$P$20))-SUM($BF76:BF76))</f>
        <v>0</v>
      </c>
      <c r="BH76" s="446">
        <f>IF($E76=0,0,IF(MIN(BH$38,$E76)&lt;MAX($P$34*($B76+$I$38-1),IF(AND($L$37=0,$P$34=0),"",$L$37-1)),0,YEARFRAC(MAX($P$34*($B76+$I$38-1),IF(AND($L$37=0,$P$34=0),"",$L$37-1)),MIN(BH$38,$E76),$P$20))-SUM($BF76:BG76))</f>
        <v>0</v>
      </c>
      <c r="BI76" s="446">
        <f>IF($E76=0,0,IF(MIN(BI$38,$E76)&lt;MAX($P$34*($B76+$I$38-1),IF(AND($L$37=0,$P$34=0),"",$L$37-1)),0,YEARFRAC(MAX($P$34*($B76+$I$38-1),IF(AND($L$37=0,$P$34=0),"",$L$37-1)),MIN(BI$38,$E76),$P$20))-SUM($BF76:BH76))</f>
        <v>0</v>
      </c>
      <c r="BJ76" s="446">
        <f>IF($E76=0,0,IF(MIN(BJ$38,$E76)&lt;MAX($P$34*($B76+$I$38-1),IF(AND($L$37=0,$P$34=0),"",$L$37-1)),0,YEARFRAC(MAX($P$34*($B76+$I$38-1),IF(AND($L$37=0,$P$34=0),"",$L$37-1)),MIN(BJ$38,$E76),$P$20))-SUM($BF76:BI76))</f>
        <v>0</v>
      </c>
      <c r="BK76" s="446">
        <f>IF($E76=0,0,IF(MIN(BK$38,$E76)&lt;MAX($P$34*($B76+$I$38-1),IF(AND($L$37=0,$P$34=0),"",$L$37-1)),0,YEARFRAC(MAX($P$34*($B76+$I$38-1),IF(AND($L$37=0,$P$34=0),"",$L$37-1)),MIN(BK$38,$E76),$P$20))-SUM($BF76:BJ76))</f>
        <v>0</v>
      </c>
      <c r="BL76" s="446">
        <f>IF($E76=0,0,IF(MIN(BL$38,$E76)&lt;MAX($P$34*($B76+$I$38-1),IF(AND($L$37=0,$P$34=0),"",$L$37-1)),0,YEARFRAC(MAX($P$34*($B76+$I$38-1),IF(AND($L$37=0,$P$34=0),"",$L$37-1)),MIN(BL$38,$E76),$P$20))-SUM($BF76:BK76))</f>
        <v>0</v>
      </c>
      <c r="BM76" s="446">
        <f>IF($E76=0,0,IF(MIN(BM$38,$E76)&lt;MAX($P$34*($B76+$I$38-1),IF(AND($L$37=0,$P$34=0),"",$L$37-1)),0,YEARFRAC(MAX($P$34*($B76+$I$38-1),IF(AND($L$37=0,$P$34=0),"",$L$37-1)),MIN(BM$38,$E76),$P$20))-SUM($BF76:BL76))</f>
        <v>0</v>
      </c>
      <c r="BN76" s="446">
        <f>IF($E76=0,0,IF(MIN(BN$38,$E76)&lt;MAX($P$34*($B76+$I$38-1),IF(AND($L$37=0,$P$34=0),"",$L$37-1)),0,YEARFRAC(MAX($P$34*($B76+$I$38-1),IF(AND($L$37=0,$P$34=0),"",$L$37-1)),MIN(BN$38,$E76),$P$20))-SUM($BF76:BM76))</f>
        <v>0</v>
      </c>
      <c r="BO76" s="446">
        <f>IF($E76=0,0,IF(MIN(BO$38,$E76)&lt;MAX($P$34*($B76+$I$38-1),IF(AND($L$37=0,$P$34=0),"",$L$37-1)),0,YEARFRAC(MAX($P$34*($B76+$I$38-1),IF(AND($L$37=0,$P$34=0),"",$L$37-1)),MIN(BO$38,$E76),$P$20))-SUM($BF76:BN76))</f>
        <v>0</v>
      </c>
      <c r="BP76" s="446">
        <f>IF($E76=0,0,IF(MIN(BP$38,$E76)&lt;MAX($P$34*($B76+$I$38-1),IF(AND($L$37=0,$P$34=0),"",$L$37-1)),0,YEARFRAC(MAX($P$34*($B76+$I$38-1),IF(AND($L$37=0,$P$34=0),"",$L$37-1)),MIN(BP$38,$E76),$P$20))-SUM($BF76:BO76))</f>
        <v>0</v>
      </c>
      <c r="BQ76" s="446">
        <f>IF($E76=0,0,IF(MIN(BQ$38,$E76)&lt;MAX($P$34*($B76+$I$38-1),IF(AND($L$37=0,$P$34=0),"",$L$37-1)),0,YEARFRAC(MAX($P$34*($B76+$I$38-1),IF(AND($L$37=0,$P$34=0),"",$L$37-1)),MIN(BQ$38,$E76),$P$20))-SUM($BF76:BP76))</f>
        <v>0</v>
      </c>
      <c r="BR76" s="446">
        <f>IF($E76=0,0,IF(MIN(BR$38,$E76)&lt;MAX($P$34*($B76+$I$38-1),IF(AND($L$37=0,$P$34=0),"",$L$37-1)),0,YEARFRAC(MAX($P$34*($B76+$I$38-1),IF(AND($L$37=0,$P$34=0),"",$L$37-1)),MIN(BR$38,$E76),$P$20))-SUM($BF76:BQ76))</f>
        <v>0</v>
      </c>
      <c r="BS76" s="446">
        <f>IF($E76=0,0,IF(MIN(BS$38,$E76)&lt;MAX($P$34*($B76+$I$38-1),IF(AND($L$37=0,$P$34=0),"",$L$37-1)),0,YEARFRAC(MAX($P$34*($B76+$I$38-1),IF(AND($L$37=0,$P$34=0),"",$L$37-1)),MIN(BS$38,$E76),$P$20))-SUM($BF76:BR76))</f>
        <v>0</v>
      </c>
      <c r="BT76" s="446">
        <f>IF($E76=0,0,IF(MIN(BT$38,$E76)&lt;MAX($P$34*($B76+$I$38-1),IF(AND($L$37=0,$P$34=0),"",$L$37-1)),0,YEARFRAC(MAX($P$34*($B76+$I$38-1),IF(AND($L$37=0,$P$34=0),"",$L$37-1)),MIN(BT$38,$E76),$P$20))-SUM($BF76:BS76))</f>
        <v>0</v>
      </c>
      <c r="BU76" s="446">
        <f>IF($E76=0,0,IF(MIN(BU$38,$E76)&lt;MAX($P$34*($B76+$I$38-1),IF(AND($L$37=0,$P$34=0),"",$L$37-1)),0,YEARFRAC(MAX($P$34*($B76+$I$38-1),IF(AND($L$37=0,$P$34=0),"",$L$37-1)),MIN(BU$38,$E76),$P$20))-SUM($BF76:BT76))</f>
        <v>0</v>
      </c>
      <c r="BV76" s="446">
        <f>IF($E76=0,0,IF(MIN(BV$38,$E76)&lt;MAX($P$34*($B76+$I$38-1),IF(AND($L$37=0,$P$34=0),"",$L$37-1)),0,YEARFRAC(MAX($P$34*($B76+$I$38-1),IF(AND($L$37=0,$P$34=0),"",$L$37-1)),MIN(BV$38,$E76),$P$20))-SUM($BF76:BU76))</f>
        <v>0</v>
      </c>
      <c r="BW76" s="446">
        <f>IF($E76=0,0,IF(MIN(BW$38,$E76)&lt;MAX($P$34*($B76+$I$38-1),IF(AND($L$37=0,$P$34=0),"",$L$37-1)),0,YEARFRAC(MAX($P$34*($B76+$I$38-1),IF(AND($L$37=0,$P$34=0),"",$L$37-1)),MIN(BW$38,$E76),$P$20))-SUM($BF76:BV76))</f>
        <v>0</v>
      </c>
      <c r="BX76" s="446">
        <f>IF($E76=0,0,IF(MIN(BX$38,$E76)&lt;MAX($P$34*($B76+$I$38-1),IF(AND($L$37=0,$P$34=0),"",$L$37-1)),0,YEARFRAC(MAX($P$34*($B76+$I$38-1),IF(AND($L$37=0,$P$34=0),"",$L$37-1)),MIN(BX$38,$E76),$P$20))-SUM($BF76:BW76))</f>
        <v>0</v>
      </c>
      <c r="BY76" s="446">
        <f>IF($E76=0,0,IF(MIN(BY$38,$E76)&lt;MAX($P$34*($B76+$I$38-1),IF(AND($L$37=0,$P$34=0),"",$L$37-1)),0,YEARFRAC(MAX($P$34*($B76+$I$38-1),IF(AND($L$37=0,$P$34=0),"",$L$37-1)),MIN(BY$38,$E76),$P$20))-SUM($BF76:BX76))</f>
        <v>0</v>
      </c>
      <c r="BZ76" s="446">
        <f>IF($E76=0,0,IF(MIN(BZ$38,$E76)&lt;MAX($P$34*($B76+$I$38-1),IF(AND($L$37=0,$P$34=0),"",$L$37-1)),0,YEARFRAC(MAX($P$34*($B76+$I$38-1),IF(AND($L$37=0,$P$34=0),"",$L$37-1)),MIN(BZ$38,$E76),$P$20))-SUM($BF76:BY76))</f>
        <v>0</v>
      </c>
      <c r="CA76" s="446">
        <f>IF($E76=0,0,IF(MIN(CA$38,$E76)&lt;MAX($P$34*($B76+$I$38-1),IF(AND($L$37=0,$P$34=0),"",$L$37-1)),0,YEARFRAC(MAX($P$34*($B76+$I$38-1),IF(AND($L$37=0,$P$34=0),"",$L$37-1)),MIN(CA$38,$E76),$P$20))-SUM($BF76:BZ76))</f>
        <v>0</v>
      </c>
      <c r="CB76" s="446">
        <f>IF($E76=0,0,IF(MIN(CB$38,$E76)&lt;MAX($P$34*($B76+$I$38-1),IF(AND($L$37=0,$P$34=0),"",$L$37-1)),0,YEARFRAC(MAX($P$34*($B76+$I$38-1),IF(AND($L$37=0,$P$34=0),"",$L$37-1)),MIN(CB$38,$E76),$P$20))-SUM($BF76:CA76))</f>
        <v>0</v>
      </c>
      <c r="CC76" s="446">
        <f>IF($E76=0,0,IF(MIN(CC$38,$E76)&lt;MAX($P$34*($B76+$I$38-1),IF(AND($L$37=0,$P$34=0),"",$L$37-1)),0,YEARFRAC(MAX($P$34*($B76+$I$38-1),IF(AND($L$37=0,$P$34=0),"",$L$37-1)),MIN(CC$38,$E76),$P$20))-SUM($BF76:CB76))</f>
        <v>0</v>
      </c>
      <c r="CD76" s="446">
        <f>IF($E76=0,0,IF(MIN(CD$38,$E76)&lt;MAX($P$34*($B76+$I$38-1),IF(AND($L$37=0,$P$34=0),"",$L$37-1)),0,YEARFRAC(MAX($P$34*($B76+$I$38-1),IF(AND($L$37=0,$P$34=0),"",$L$37-1)),MIN(CD$38,$E76),$P$20))-SUM($BF76:CC76))</f>
        <v>0</v>
      </c>
      <c r="CE76" s="446">
        <f>IF($E76=0,0,IF(MIN(CE$38,$E76)&lt;MAX($P$34*($B76+$I$38-1),IF(AND($L$37=0,$P$34=0),"",$L$37-1)),0,YEARFRAC(MAX($P$34*($B76+$I$38-1),IF(AND($L$37=0,$P$34=0),"",$L$37-1)),MIN(CE$38,$E76),$P$20))-SUM($BF76:CD76))</f>
        <v>0</v>
      </c>
      <c r="CF76" s="446">
        <f>IF($E76=0,0,IF(MIN(CF$38,$E76)&lt;MAX($P$34*($B76+$I$38-1),IF(AND($L$37=0,$P$34=0),"",$L$37-1)),0,YEARFRAC(MAX($P$34*($B76+$I$38-1),IF(AND($L$37=0,$P$34=0),"",$L$37-1)),MIN(CF$38,$E76),$P$20))-SUM($BF76:CE76))</f>
        <v>0</v>
      </c>
      <c r="CG76" s="446">
        <f>IF($E76=0,0,IF(MIN(CG$38,$E76)&lt;MAX($P$34*($B76+$I$38-1),IF(AND($L$37=0,$P$34=0),"",$L$37-1)),0,YEARFRAC(MAX($P$34*($B76+$I$38-1),IF(AND($L$37=0,$P$34=0),"",$L$37-1)),MIN(CG$38,$E76),$P$20))-SUM($BF76:CF76))</f>
        <v>0</v>
      </c>
      <c r="CH76" s="446">
        <f>IF($E76=0,0,IF(MIN(CH$38,$E76)&lt;MAX($P$34*($B76+$I$38-1),IF(AND($L$37=0,$P$34=0),"",$L$37-1)),0,YEARFRAC(MAX($P$34*($B76+$I$38-1),IF(AND($L$37=0,$P$34=0),"",$L$37-1)),MIN(CH$38,$E76),$P$20))-SUM($BF76:CG76))</f>
        <v>0</v>
      </c>
      <c r="CI76" s="446">
        <f>IF($E76=0,0,IF(MIN(CI$38,$E76)&lt;MAX($P$34*($B76+$I$38-1),IF(AND($L$37=0,$P$34=0),"",$L$37-1)),0,YEARFRAC(MAX($P$34*($B76+$I$38-1),IF(AND($L$37=0,$P$34=0),"",$L$37-1)),MIN(CI$38,$E76),$P$20))-SUM($BF76:CH76))</f>
        <v>0</v>
      </c>
      <c r="CJ76" s="446">
        <f>IF($E76=0,0,IF(MIN(CJ$38,$E76)&lt;MAX($P$34*($B76+$I$38-1),IF(AND($L$37=0,$P$34=0),"",$L$37-1)),0,YEARFRAC(MAX($P$34*($B76+$I$38-1),IF(AND($L$37=0,$P$34=0),"",$L$37-1)),MIN(CJ$38,$E76),$P$20))-SUM($BF76:CI76))</f>
        <v>0</v>
      </c>
      <c r="CK76" s="446">
        <f>IF($E76=0,0,IF(MIN(CK$38,$E76)&lt;MAX($P$34*($B76+$I$38-1),IF(AND($L$37=0,$P$34=0),"",$L$37-1)),0,YEARFRAC(MAX($P$34*($B76+$I$38-1),IF(AND($L$37=0,$P$34=0),"",$L$37-1)),MIN(CK$38,$E76),$P$20))-SUM($BF76:CJ76))</f>
        <v>0</v>
      </c>
      <c r="CL76" s="446">
        <f>IF($E76=0,0,IF(MIN(CL$38,$E76)&lt;MAX($P$34*($B76+$I$38-1),IF(AND($L$37=0,$P$34=0),"",$L$37-1)),0,YEARFRAC(MAX($P$34*($B76+$I$38-1),IF(AND($L$37=0,$P$34=0),"",$L$37-1)),MIN(CL$38,$E76),$P$20))-SUM($BF76:CK76))</f>
        <v>0</v>
      </c>
      <c r="CM76" s="446">
        <f>IF($E76=0,0,IF(MIN(CM$38,$E76)&lt;MAX($P$34*($B76+$I$38-1),IF(AND($L$37=0,$P$34=0),"",$L$37-1)),0,YEARFRAC(MAX($P$34*($B76+$I$38-1),IF(AND($L$37=0,$P$34=0),"",$L$37-1)),MIN(CM$38,$E76),$P$20))-SUM($BF76:CL76))</f>
        <v>0</v>
      </c>
      <c r="CN76" s="446">
        <f>IF($E76=0,0,IF(MIN(CN$38,$E76)&lt;MAX($P$34*($B76+$I$38-1),IF(AND($L$37=0,$P$34=0),"",$L$37-1)),0,YEARFRAC(MAX($P$34*($B76+$I$38-1),IF(AND($L$37=0,$P$34=0),"",$L$37-1)),MIN(CN$38,$E76),$P$20))-SUM($BF76:CM76))</f>
        <v>0</v>
      </c>
      <c r="CO76" s="446">
        <f>IF($E76=0,0,IF(MIN(CO$38,$E76)&lt;MAX($P$34*($B76+$I$38-1),IF(AND($L$37=0,$P$34=0),"",$L$37-1)),0,YEARFRAC(MAX($P$34*($B76+$I$38-1),IF(AND($L$37=0,$P$34=0),"",$L$37-1)),MIN(CO$38,$E76),$P$20))-SUM($BF76:CN76))</f>
        <v>0</v>
      </c>
      <c r="CP76" s="446">
        <f>IF($E76=0,0,IF(MIN(CP$38,$E76)&lt;MAX($P$34*($B76+$I$38-1),IF(AND($L$37=0,$P$34=0),"",$L$37-1)),0,YEARFRAC(MAX($P$34*($B76+$I$38-1),IF(AND($L$37=0,$P$34=0),"",$L$37-1)),MIN(CP$38,$E76),$P$20))-SUM($BF76:CO76))</f>
        <v>0</v>
      </c>
      <c r="CQ76" s="446">
        <f>IF($E76=0,0,IF(MIN(CQ$38,$E76)&lt;MAX($P$34*($B76+$I$38-1),IF(AND($L$37=0,$P$34=0),"",$L$37-1)),0,YEARFRAC(MAX($P$34*($B76+$I$38-1),IF(AND($L$37=0,$P$34=0),"",$L$37-1)),MIN(CQ$38,$E76),$P$20))-SUM($BF76:CP76))</f>
        <v>0</v>
      </c>
    </row>
    <row r="77" spans="1:95" s="446" customFormat="1" ht="11.25" hidden="1" customHeight="1" x14ac:dyDescent="0.2">
      <c r="A77" s="152"/>
      <c r="B77" s="153" t="str">
        <f t="shared" si="15"/>
        <v/>
      </c>
      <c r="C77" s="29" t="str">
        <f>IF(B77="","",IF($L$35="SELIC - TRIBUTOS",VLOOKUP(DATE(YEAR($D$19),MONTH($D$19)-1,1),ÍNDICES!$A:$DE,HLOOKUP($BL$25,ÍNDICES!$B$3:$T$4,2)+11)-VLOOKUP(B77,ÍNDICES!$A:$DE,HLOOKUP($BL$25,ÍNDICES!$B$3:$T$4,2)+11)+1%,IF(C$38=$W$26,$J$35,IF(ISERROR(IF(B77&gt;$D$19,1,VLOOKUP(DATE(YEAR(B77),MONTH(B77)+IF($C$35=$S$23,1,0),1),ÍNDICES!$A:$DE,$Z$35+1))),"",IF(B77&gt;$D$19,1,VLOOKUP(DATE(YEAR(B77),MONTH(B77)+IF($C$35=$S$23,1,0),1),ÍNDICES!$A:$DE,$Z$35+1))))))</f>
        <v/>
      </c>
      <c r="D77" s="154" t="str">
        <f>IF(ISERROR(IF(OR($D$38=$Y$27,$B77=""),"",VLOOKUP(B77,ÍNDICES!A:DE,AF$35+1))),"",IF(OR($D$38=$Y$27,$B77=""),"",VLOOKUP(B77,ÍNDICES!A:DE,AF$35+1)))</f>
        <v/>
      </c>
      <c r="E77" s="153"/>
      <c r="F77" s="29" t="str">
        <f>IF(E77="","",IF($L$35="SELIC - TRIBUTOS",VLOOKUP(DATE(YEAR($D$19),MONTH($D$19)-1,1),ÍNDICES!$A:$DE,HLOOKUP($BL$25,ÍNDICES!$B$3:$T$4,2)+11)-VLOOKUP(E77,ÍNDICES!$A:$DE,HLOOKUP($BL$25,ÍNDICES!$B$3:$T$4,2)+11)+1%,IF(F$38=$W$26,$J$35,IF(ISERROR(IF(E77&gt;$D$19,1,VLOOKUP(DATE(YEAR(E77),MONTH(E77)+IF($C$35=$S$23,1,0),1),ÍNDICES!$A:$DE,$Z$35+1))),"",IF(E77&gt;$D$19,1,VLOOKUP(DATE(YEAR(E77),MONTH(E77)+IF($C$35=$S$23,1,0),1),ÍNDICES!$A:$DE,$Z$35+1))))))</f>
        <v/>
      </c>
      <c r="G77" s="155"/>
      <c r="H77" s="156" t="str">
        <f t="shared" si="11"/>
        <v/>
      </c>
      <c r="I77" s="29" t="str">
        <f t="shared" si="5"/>
        <v/>
      </c>
      <c r="J77" s="5">
        <f t="shared" si="6"/>
        <v>0</v>
      </c>
      <c r="K77" s="20">
        <f t="shared" ca="1" si="7"/>
        <v>0</v>
      </c>
      <c r="L77" s="5">
        <f t="shared" ca="1" si="8"/>
        <v>0</v>
      </c>
      <c r="M77" s="64">
        <f t="shared" si="12"/>
        <v>0</v>
      </c>
      <c r="N77" s="61">
        <f t="shared" ca="1" si="13"/>
        <v>0</v>
      </c>
      <c r="O77" s="5">
        <f t="shared" ca="1" si="14"/>
        <v>0</v>
      </c>
      <c r="P77" s="446" t="e">
        <f t="shared" si="9"/>
        <v>#VALUE!</v>
      </c>
      <c r="Q77" s="446" t="e">
        <f>IF(OR($B77="",MIN(Q$38,$D$19)&lt;MAX($P$34*($B77+IF($R$17="Distrato",$I$38-1,0)),IF(AND($L$37=0,$P$34=0),"",$L$37-1),IF($R$17="Distrato",$E77,0))),0,YEARFRAC(MAX($P$34*($B77+IF($R$17="Distrato",$I$38-1,0)),IF(AND($L$37=0,$P$34=0),"",$L$37-1),IF($R$17="Distrato",$E77,0)),MIN(Q$38,$D$19),$P$20))-SUM($P77:P77)</f>
        <v>#VALUE!</v>
      </c>
      <c r="R77" s="446" t="e">
        <f>IF(OR($B77="",MIN(R$38,$D$19)&lt;MAX($P$34*($B77+IF($R$17="Distrato",$I$38-1,0)),IF(AND($L$37=0,$P$34=0),"",$L$37-1),IF($R$17="Distrato",$E77,0))),0,YEARFRAC(MAX($P$34*($B77+IF($R$17="Distrato",$I$38-1,0)),IF(AND($L$37=0,$P$34=0),"",$L$37-1),IF($R$17="Distrato",$E77,0)),MIN(R$38,$D$19),$P$20))-SUM($P77:Q77)</f>
        <v>#VALUE!</v>
      </c>
      <c r="S77" s="446" t="e">
        <f>IF(OR($B77="",MIN(S$38,$D$19)&lt;MAX($P$34*($B77+IF($R$17="Distrato",$I$38-1,0)),IF(AND($L$37=0,$P$34=0),"",$L$37-1),IF($R$17="Distrato",$E77,0))),0,YEARFRAC(MAX($P$34*($B77+IF($R$17="Distrato",$I$38-1,0)),IF(AND($L$37=0,$P$34=0),"",$L$37-1),IF($R$17="Distrato",$E77,0)),MIN(S$38,$D$19),$P$20))-SUM($P77:R77)</f>
        <v>#VALUE!</v>
      </c>
      <c r="T77" s="446" t="e">
        <f>IF(OR($B77="",MIN(T$38,$D$19)&lt;MAX($P$34*($B77+IF($R$17="Distrato",$I$38-1,0)),IF(AND($L$37=0,$P$34=0),"",$L$37-1),IF($R$17="Distrato",$E77,0))),0,YEARFRAC(MAX($P$34*($B77+IF($R$17="Distrato",$I$38-1,0)),IF(AND($L$37=0,$P$34=0),"",$L$37-1),IF($R$17="Distrato",$E77,0)),MIN(T$38,$D$19),$P$20))-SUM($P77:S77)</f>
        <v>#VALUE!</v>
      </c>
      <c r="U77" s="446" t="e">
        <f>IF(OR($B77="",MIN(U$38,$D$19)&lt;MAX($P$34*($B77+IF($R$17="Distrato",$I$38-1,0)),IF(AND($L$37=0,$P$34=0),"",$L$37-1),IF($R$17="Distrato",$E77,0))),0,YEARFRAC(MAX($P$34*($B77+IF($R$17="Distrato",$I$38-1,0)),IF(AND($L$37=0,$P$34=0),"",$L$37-1),IF($R$17="Distrato",$E77,0)),MIN(U$38,$D$19),$P$20))-SUM($P77:T77)</f>
        <v>#VALUE!</v>
      </c>
      <c r="V77" s="446" t="e">
        <f>IF(OR($B77="",MIN(V$38,$D$19)&lt;MAX($P$34*($B77+IF($R$17="Distrato",$I$38-1,0)),IF(AND($L$37=0,$P$34=0),"",$L$37-1),IF($R$17="Distrato",$E77,0))),0,YEARFRAC(MAX($P$34*($B77+IF($R$17="Distrato",$I$38-1,0)),IF(AND($L$37=0,$P$34=0),"",$L$37-1),IF($R$17="Distrato",$E77,0)),MIN(V$38,$D$19),$P$20))-SUM($P77:U77)</f>
        <v>#VALUE!</v>
      </c>
      <c r="W77" s="446" t="e">
        <f>IF(OR($B77="",MIN(W$38,$D$19)&lt;MAX($P$34*($B77+IF($R$17="Distrato",$I$38-1,0)),IF(AND($L$37=0,$P$34=0),"",$L$37-1),IF($R$17="Distrato",$E77,0))),0,YEARFRAC(MAX($P$34*($B77+IF($R$17="Distrato",$I$38-1,0)),IF(AND($L$37=0,$P$34=0),"",$L$37-1),IF($R$17="Distrato",$E77,0)),MIN(W$38,$D$19),$P$20))-SUM($P77:V77)</f>
        <v>#VALUE!</v>
      </c>
      <c r="X77" s="446" t="e">
        <f>IF(OR($B77="",MIN(X$38,$D$19)&lt;MAX($P$34*($B77+IF($R$17="Distrato",$I$38-1,0)),IF(AND($L$37=0,$P$34=0),"",$L$37-1),IF($R$17="Distrato",$E77,0))),0,YEARFRAC(MAX($P$34*($B77+IF($R$17="Distrato",$I$38-1,0)),IF(AND($L$37=0,$P$34=0),"",$L$37-1),IF($R$17="Distrato",$E77,0)),MIN(X$38,$D$19),$P$20))-SUM($P77:W77)</f>
        <v>#VALUE!</v>
      </c>
      <c r="Y77" s="446" t="e">
        <f>IF(OR($B77="",MIN(Y$38,$D$19)&lt;MAX($P$34*($B77+IF($R$17="Distrato",$I$38-1,0)),IF(AND($L$37=0,$P$34=0),"",$L$37-1),IF($R$17="Distrato",$E77,0))),0,YEARFRAC(MAX($P$34*($B77+IF($R$17="Distrato",$I$38-1,0)),IF(AND($L$37=0,$P$34=0),"",$L$37-1),IF($R$17="Distrato",$E77,0)),MIN(Y$38,$D$19),$P$20))-SUM($P77:X77)</f>
        <v>#VALUE!</v>
      </c>
      <c r="Z77" s="446" t="e">
        <f>IF(OR($B77="",MIN(Z$38,$D$19)&lt;MAX($P$34*($B77+IF($R$17="Distrato",$I$38-1,0)),IF(AND($L$37=0,$P$34=0),"",$L$37-1),IF($R$17="Distrato",$E77,0))),0,YEARFRAC(MAX($P$34*($B77+IF($R$17="Distrato",$I$38-1,0)),IF(AND($L$37=0,$P$34=0),"",$L$37-1),IF($R$17="Distrato",$E77,0)),MIN(Z$38,$D$19),$P$20))-SUM($P77:Y77)</f>
        <v>#VALUE!</v>
      </c>
      <c r="AA77" s="446" t="e">
        <f>IF(OR($B77="",MIN(AA$38,$D$19)&lt;MAX($P$34*($B77+IF($R$17="Distrato",$I$38-1,0)),IF(AND($L$37=0,$P$34=0),"",$L$37-1),IF($R$17="Distrato",$E77,0))),0,YEARFRAC(MAX($P$34*($B77+IF($R$17="Distrato",$I$38-1,0)),IF(AND($L$37=0,$P$34=0),"",$L$37-1),IF($R$17="Distrato",$E77,0)),MIN(AA$38,$D$19),$P$20))-SUM($P77:Z77)</f>
        <v>#VALUE!</v>
      </c>
      <c r="AB77" s="446" t="e">
        <f>IF(OR($B77="",MIN(AB$38,$D$19)&lt;MAX($P$34*($B77+IF($R$17="Distrato",$I$38-1,0)),IF(AND($L$37=0,$P$34=0),"",$L$37-1),IF($R$17="Distrato",$E77,0))),0,YEARFRAC(MAX($P$34*($B77+IF($R$17="Distrato",$I$38-1,0)),IF(AND($L$37=0,$P$34=0),"",$L$37-1),IF($R$17="Distrato",$E77,0)),MIN(AB$38,$D$19),$P$20))-SUM($P77:AA77)</f>
        <v>#VALUE!</v>
      </c>
      <c r="AC77" s="446" t="e">
        <f>IF(OR($B77="",MIN(AC$38,$D$19)&lt;MAX($P$34*($B77+IF($R$17="Distrato",$I$38-1,0)),IF(AND($L$37=0,$P$34=0),"",$L$37-1),IF($R$17="Distrato",$E77,0))),0,YEARFRAC(MAX($P$34*($B77+IF($R$17="Distrato",$I$38-1,0)),IF(AND($L$37=0,$P$34=0),"",$L$37-1),IF($R$17="Distrato",$E77,0)),MIN(AC$38,$D$19),$P$20))-SUM($P77:AB77)</f>
        <v>#VALUE!</v>
      </c>
      <c r="AD77" s="446" t="e">
        <f>IF(OR($B77="",MIN(AD$38,$D$19)&lt;MAX($P$34*($B77+IF($R$17="Distrato",$I$38-1,0)),IF(AND($L$37=0,$P$34=0),"",$L$37-1),IF($R$17="Distrato",$E77,0))),0,YEARFRAC(MAX($P$34*($B77+IF($R$17="Distrato",$I$38-1,0)),IF(AND($L$37=0,$P$34=0),"",$L$37-1),IF($R$17="Distrato",$E77,0)),MIN(AD$38,$D$19),$P$20))-SUM($P77:AC77)</f>
        <v>#VALUE!</v>
      </c>
      <c r="AE77" s="446" t="e">
        <f>IF(OR($B77="",MIN(AE$38,$D$19)&lt;MAX($P$34*($B77+IF($R$17="Distrato",$I$38-1,0)),IF(AND($L$37=0,$P$34=0),"",$L$37-1),IF($R$17="Distrato",$E77,0))),0,YEARFRAC(MAX($P$34*($B77+IF($R$17="Distrato",$I$38-1,0)),IF(AND($L$37=0,$P$34=0),"",$L$37-1),IF($R$17="Distrato",$E77,0)),MIN(AE$38,$D$19),$P$20))-SUM($P77:AD77)</f>
        <v>#VALUE!</v>
      </c>
      <c r="AF77" s="446" t="e">
        <f>IF(OR($B77="",MIN(AF$38,$D$19)&lt;MAX($P$34*($B77+IF($R$17="Distrato",$I$38-1,0)),IF(AND($L$37=0,$P$34=0),"",$L$37-1),IF($R$17="Distrato",$E77,0))),0,YEARFRAC(MAX($P$34*($B77+IF($R$17="Distrato",$I$38-1,0)),IF(AND($L$37=0,$P$34=0),"",$L$37-1),IF($R$17="Distrato",$E77,0)),MIN(AF$38,$D$19),$P$20))-SUM($P77:AE77)</f>
        <v>#VALUE!</v>
      </c>
      <c r="AG77" s="446" t="e">
        <f>IF(OR($B77="",MIN(AG$38,$D$19)&lt;MAX($P$34*($B77+IF($R$17="Distrato",$I$38-1,0)),IF(AND($L$37=0,$P$34=0),"",$L$37-1),IF($R$17="Distrato",$E77,0))),0,YEARFRAC(MAX($P$34*($B77+IF($R$17="Distrato",$I$38-1,0)),IF(AND($L$37=0,$P$34=0),"",$L$37-1),IF($R$17="Distrato",$E77,0)),MIN(AG$38,$D$19),$P$20))-SUM($P77:AF77)</f>
        <v>#VALUE!</v>
      </c>
      <c r="AH77" s="446" t="e">
        <f>IF(OR($B77="",MIN(AH$38,$D$19)&lt;MAX($P$34*($B77+IF($R$17="Distrato",$I$38-1,0)),IF(AND($L$37=0,$P$34=0),"",$L$37-1),IF($R$17="Distrato",$E77,0))),0,YEARFRAC(MAX($P$34*($B77+IF($R$17="Distrato",$I$38-1,0)),IF(AND($L$37=0,$P$34=0),"",$L$37-1),IF($R$17="Distrato",$E77,0)),MIN(AH$38,$D$19),$P$20))-SUM($P77:AG77)</f>
        <v>#VALUE!</v>
      </c>
      <c r="AI77" s="446" t="e">
        <f>IF(OR($B77="",MIN(AI$38,$D$19)&lt;MAX($P$34*($B77+IF($R$17="Distrato",$I$38-1,0)),IF(AND($L$37=0,$P$34=0),"",$L$37-1),IF($R$17="Distrato",$E77,0))),0,YEARFRAC(MAX($P$34*($B77+IF($R$17="Distrato",$I$38-1,0)),IF(AND($L$37=0,$P$34=0),"",$L$37-1),IF($R$17="Distrato",$E77,0)),MIN(AI$38,$D$19),$P$20))-SUM($P77:AH77)</f>
        <v>#VALUE!</v>
      </c>
      <c r="AJ77" s="446" t="e">
        <f>IF(OR($B77="",MIN(AJ$38,$D$19)&lt;MAX($P$34*($B77+IF($R$17="Distrato",$I$38-1,0)),IF(AND($L$37=0,$P$34=0),"",$L$37-1),IF($R$17="Distrato",$E77,0))),0,YEARFRAC(MAX($P$34*($B77+IF($R$17="Distrato",$I$38-1,0)),IF(AND($L$37=0,$P$34=0),"",$L$37-1),IF($R$17="Distrato",$E77,0)),MIN(AJ$38,$D$19),$P$20))-SUM($P77:AI77)</f>
        <v>#VALUE!</v>
      </c>
      <c r="AK77" s="446" t="e">
        <f>IF(OR($B77="",MIN(AK$38,$D$19)&lt;MAX($P$34*($B77+IF($R$17="Distrato",$I$38-1,0)),IF(AND($L$37=0,$P$34=0),"",$L$37-1),IF($R$17="Distrato",$E77,0))),0,YEARFRAC(MAX($P$34*($B77+IF($R$17="Distrato",$I$38-1,0)),IF(AND($L$37=0,$P$34=0),"",$L$37-1),IF($R$17="Distrato",$E77,0)),MIN(AK$38,$D$19),$P$20))-SUM($P77:AJ77)</f>
        <v>#VALUE!</v>
      </c>
      <c r="AL77" s="446" t="e">
        <f>IF(OR($B77="",MIN(AL$38,$D$19)&lt;MAX($P$34*($B77+IF($R$17="Distrato",$I$38-1,0)),IF(AND($L$37=0,$P$34=0),"",$L$37-1),IF($R$17="Distrato",$E77,0))),0,YEARFRAC(MAX($P$34*($B77+IF($R$17="Distrato",$I$38-1,0)),IF(AND($L$37=0,$P$34=0),"",$L$37-1),IF($R$17="Distrato",$E77,0)),MIN(AL$38,$D$19),$P$20))-SUM($P77:AK77)</f>
        <v>#VALUE!</v>
      </c>
      <c r="AM77" s="446" t="e">
        <f>IF(OR($B77="",MIN(AM$38,$D$19)&lt;MAX($P$34*($B77+IF($R$17="Distrato",$I$38-1,0)),IF(AND($L$37=0,$P$34=0),"",$L$37-1),IF($R$17="Distrato",$E77,0))),0,YEARFRAC(MAX($P$34*($B77+IF($R$17="Distrato",$I$38-1,0)),IF(AND($L$37=0,$P$34=0),"",$L$37-1),IF($R$17="Distrato",$E77,0)),MIN(AM$38,$D$19),$P$20))-SUM($P77:AL77)</f>
        <v>#VALUE!</v>
      </c>
      <c r="AN77" s="446" t="e">
        <f>IF(OR($B77="",MIN(AN$38,$D$19)&lt;MAX($P$34*($B77+IF($R$17="Distrato",$I$38-1,0)),IF(AND($L$37=0,$P$34=0),"",$L$37-1),IF($R$17="Distrato",$E77,0))),0,YEARFRAC(MAX($P$34*($B77+IF($R$17="Distrato",$I$38-1,0)),IF(AND($L$37=0,$P$34=0),"",$L$37-1),IF($R$17="Distrato",$E77,0)),MIN(AN$38,$D$19),$P$20))-SUM($P77:AM77)</f>
        <v>#VALUE!</v>
      </c>
      <c r="AO77" s="446" t="e">
        <f>IF(OR($B77="",MIN(AO$38,$D$19)&lt;MAX($P$34*($B77+IF($R$17="Distrato",$I$38-1,0)),IF(AND($L$37=0,$P$34=0),"",$L$37-1),IF($R$17="Distrato",$E77,0))),0,YEARFRAC(MAX($P$34*($B77+IF($R$17="Distrato",$I$38-1,0)),IF(AND($L$37=0,$P$34=0),"",$L$37-1),IF($R$17="Distrato",$E77,0)),MIN(AO$38,$D$19),$P$20))-SUM($P77:AN77)</f>
        <v>#VALUE!</v>
      </c>
      <c r="AP77" s="446" t="e">
        <f>IF(OR($B77="",MIN(AP$38,$D$19)&lt;MAX($P$34*($B77+IF($R$17="Distrato",$I$38-1,0)),IF(AND($L$37=0,$P$34=0),"",$L$37-1),IF($R$17="Distrato",$E77,0))),0,YEARFRAC(MAX($P$34*($B77+IF($R$17="Distrato",$I$38-1,0)),IF(AND($L$37=0,$P$34=0),"",$L$37-1),IF($R$17="Distrato",$E77,0)),MIN(AP$38,$D$19),$P$20))-SUM($P77:AO77)</f>
        <v>#VALUE!</v>
      </c>
      <c r="AQ77" s="446" t="e">
        <f>IF(OR($B77="",MIN(AQ$38,$D$19)&lt;MAX($P$34*($B77+IF($R$17="Distrato",$I$38-1,0)),IF(AND($L$37=0,$P$34=0),"",$L$37-1),IF($R$17="Distrato",$E77,0))),0,YEARFRAC(MAX($P$34*($B77+IF($R$17="Distrato",$I$38-1,0)),IF(AND($L$37=0,$P$34=0),"",$L$37-1),IF($R$17="Distrato",$E77,0)),MIN(AQ$38,$D$19),$P$20))-SUM($P77:AP77)</f>
        <v>#VALUE!</v>
      </c>
      <c r="AR77" s="446" t="e">
        <f>IF(OR($B77="",MIN(AR$38,$D$19)&lt;MAX($P$34*($B77+IF($R$17="Distrato",$I$38-1,0)),IF(AND($L$37=0,$P$34=0),"",$L$37-1),IF($R$17="Distrato",$E77,0))),0,YEARFRAC(MAX($P$34*($B77+IF($R$17="Distrato",$I$38-1,0)),IF(AND($L$37=0,$P$34=0),"",$L$37-1),IF($R$17="Distrato",$E77,0)),MIN(AR$38,$D$19),$P$20))-SUM($P77:AQ77)</f>
        <v>#VALUE!</v>
      </c>
      <c r="AS77" s="446" t="e">
        <f>IF(OR($B77="",MIN(AS$38,$D$19)&lt;MAX($P$34*($B77+IF($R$17="Distrato",$I$38-1,0)),IF(AND($L$37=0,$P$34=0),"",$L$37-1),IF($R$17="Distrato",$E77,0))),0,YEARFRAC(MAX($P$34*($B77+IF($R$17="Distrato",$I$38-1,0)),IF(AND($L$37=0,$P$34=0),"",$L$37-1),IF($R$17="Distrato",$E77,0)),MIN(AS$38,$D$19),$P$20))-SUM($P77:AR77)</f>
        <v>#VALUE!</v>
      </c>
      <c r="AT77" s="446" t="e">
        <f>IF(OR($B77="",MIN(AT$38,$D$19)&lt;MAX($P$34*($B77+IF($R$17="Distrato",$I$38-1,0)),IF(AND($L$37=0,$P$34=0),"",$L$37-1),IF($R$17="Distrato",$E77,0))),0,YEARFRAC(MAX($P$34*($B77+IF($R$17="Distrato",$I$38-1,0)),IF(AND($L$37=0,$P$34=0),"",$L$37-1),IF($R$17="Distrato",$E77,0)),MIN(AT$38,$D$19),$P$20))-SUM($P77:AS77)</f>
        <v>#VALUE!</v>
      </c>
      <c r="AU77" s="446" t="e">
        <f>IF(OR($B77="",MIN(AU$38,$D$19)&lt;MAX($P$34*($B77+IF($R$17="Distrato",$I$38-1,0)),IF(AND($L$37=0,$P$34=0),"",$L$37-1),IF($R$17="Distrato",$E77,0))),0,YEARFRAC(MAX($P$34*($B77+IF($R$17="Distrato",$I$38-1,0)),IF(AND($L$37=0,$P$34=0),"",$L$37-1),IF($R$17="Distrato",$E77,0)),MIN(AU$38,$D$19),$P$20))-SUM($P77:AT77)</f>
        <v>#VALUE!</v>
      </c>
      <c r="AV77" s="446" t="e">
        <f>IF(OR($B77="",MIN(AV$38,$D$19)&lt;MAX($P$34*($B77+IF($R$17="Distrato",$I$38-1,0)),IF(AND($L$37=0,$P$34=0),"",$L$37-1),IF($R$17="Distrato",$E77,0))),0,YEARFRAC(MAX($P$34*($B77+IF($R$17="Distrato",$I$38-1,0)),IF(AND($L$37=0,$P$34=0),"",$L$37-1),IF($R$17="Distrato",$E77,0)),MIN(AV$38,$D$19),$P$20))-SUM($P77:AU77)</f>
        <v>#VALUE!</v>
      </c>
      <c r="AW77" s="446" t="e">
        <f>IF(OR($B77="",MIN(AW$38,$D$19)&lt;MAX($P$34*($B77+IF($R$17="Distrato",$I$38-1,0)),IF(AND($L$37=0,$P$34=0),"",$L$37-1),IF($R$17="Distrato",$E77,0))),0,YEARFRAC(MAX($P$34*($B77+IF($R$17="Distrato",$I$38-1,0)),IF(AND($L$37=0,$P$34=0),"",$L$37-1),IF($R$17="Distrato",$E77,0)),MIN(AW$38,$D$19),$P$20))-SUM($P77:AV77)</f>
        <v>#VALUE!</v>
      </c>
      <c r="AX77" s="446" t="e">
        <f>IF(OR($B77="",MIN(AX$38,$D$19)&lt;MAX($P$34*($B77+IF($R$17="Distrato",$I$38-1,0)),IF(AND($L$37=0,$P$34=0),"",$L$37-1),IF($R$17="Distrato",$E77,0))),0,YEARFRAC(MAX($P$34*($B77+IF($R$17="Distrato",$I$38-1,0)),IF(AND($L$37=0,$P$34=0),"",$L$37-1),IF($R$17="Distrato",$E77,0)),MIN(AX$38,$D$19),$P$20))-SUM($P77:AW77)</f>
        <v>#VALUE!</v>
      </c>
      <c r="AY77" s="446" t="e">
        <f>IF(OR($B77="",MIN(AY$38,$D$19)&lt;MAX($P$34*($B77+IF($R$17="Distrato",$I$38-1,0)),IF(AND($L$37=0,$P$34=0),"",$L$37-1),IF($R$17="Distrato",$E77,0))),0,YEARFRAC(MAX($P$34*($B77+IF($R$17="Distrato",$I$38-1,0)),IF(AND($L$37=0,$P$34=0),"",$L$37-1),IF($R$17="Distrato",$E77,0)),MIN(AY$38,$D$19),$P$20))-SUM($P77:AX77)</f>
        <v>#VALUE!</v>
      </c>
      <c r="AZ77" s="446" t="e">
        <f>IF(OR($B77="",MIN(AZ$38,$D$19)&lt;MAX($P$34*($B77+IF($R$17="Distrato",$I$38-1,0)),IF(AND($L$37=0,$P$34=0),"",$L$37-1),IF($R$17="Distrato",$E77,0))),0,YEARFRAC(MAX($P$34*($B77+IF($R$17="Distrato",$I$38-1,0)),IF(AND($L$37=0,$P$34=0),"",$L$37-1),IF($R$17="Distrato",$E77,0)),MIN(AZ$38,$D$19),$P$20))-SUM($P77:AY77)</f>
        <v>#VALUE!</v>
      </c>
      <c r="BA77" s="446" t="e">
        <f>IF(OR($B77="",MIN(BA$38,$D$19)&lt;MAX($P$34*($B77+IF($R$17="Distrato",$I$38-1,0)),IF(AND($L$37=0,$P$34=0),"",$L$37-1),IF($R$17="Distrato",$E77,0))),0,YEARFRAC(MAX($P$34*($B77+IF($R$17="Distrato",$I$38-1,0)),IF(AND($L$37=0,$P$34=0),"",$L$37-1),IF($R$17="Distrato",$E77,0)),MIN(BA$38,$D$19),$P$20))-SUM($P77:AZ77)</f>
        <v>#VALUE!</v>
      </c>
      <c r="BB77" s="447"/>
      <c r="BF77" s="446">
        <f t="shared" si="10"/>
        <v>0</v>
      </c>
      <c r="BG77" s="446">
        <f>IF($E77=0,0,IF(MIN(BG$38,$E77)&lt;MAX($P$34*($B77+$I$38-1),IF(AND($L$37=0,$P$34=0),"",$L$37-1)),0,YEARFRAC(MAX($P$34*($B77+$I$38-1),IF(AND($L$37=0,$P$34=0),"",$L$37-1)),MIN(BG$38,$E77),$P$20))-SUM($BF77:BF77))</f>
        <v>0</v>
      </c>
      <c r="BH77" s="446">
        <f>IF($E77=0,0,IF(MIN(BH$38,$E77)&lt;MAX($P$34*($B77+$I$38-1),IF(AND($L$37=0,$P$34=0),"",$L$37-1)),0,YEARFRAC(MAX($P$34*($B77+$I$38-1),IF(AND($L$37=0,$P$34=0),"",$L$37-1)),MIN(BH$38,$E77),$P$20))-SUM($BF77:BG77))</f>
        <v>0</v>
      </c>
      <c r="BI77" s="446">
        <f>IF($E77=0,0,IF(MIN(BI$38,$E77)&lt;MAX($P$34*($B77+$I$38-1),IF(AND($L$37=0,$P$34=0),"",$L$37-1)),0,YEARFRAC(MAX($P$34*($B77+$I$38-1),IF(AND($L$37=0,$P$34=0),"",$L$37-1)),MIN(BI$38,$E77),$P$20))-SUM($BF77:BH77))</f>
        <v>0</v>
      </c>
      <c r="BJ77" s="446">
        <f>IF($E77=0,0,IF(MIN(BJ$38,$E77)&lt;MAX($P$34*($B77+$I$38-1),IF(AND($L$37=0,$P$34=0),"",$L$37-1)),0,YEARFRAC(MAX($P$34*($B77+$I$38-1),IF(AND($L$37=0,$P$34=0),"",$L$37-1)),MIN(BJ$38,$E77),$P$20))-SUM($BF77:BI77))</f>
        <v>0</v>
      </c>
      <c r="BK77" s="446">
        <f>IF($E77=0,0,IF(MIN(BK$38,$E77)&lt;MAX($P$34*($B77+$I$38-1),IF(AND($L$37=0,$P$34=0),"",$L$37-1)),0,YEARFRAC(MAX($P$34*($B77+$I$38-1),IF(AND($L$37=0,$P$34=0),"",$L$37-1)),MIN(BK$38,$E77),$P$20))-SUM($BF77:BJ77))</f>
        <v>0</v>
      </c>
      <c r="BL77" s="446">
        <f>IF($E77=0,0,IF(MIN(BL$38,$E77)&lt;MAX($P$34*($B77+$I$38-1),IF(AND($L$37=0,$P$34=0),"",$L$37-1)),0,YEARFRAC(MAX($P$34*($B77+$I$38-1),IF(AND($L$37=0,$P$34=0),"",$L$37-1)),MIN(BL$38,$E77),$P$20))-SUM($BF77:BK77))</f>
        <v>0</v>
      </c>
      <c r="BM77" s="446">
        <f>IF($E77=0,0,IF(MIN(BM$38,$E77)&lt;MAX($P$34*($B77+$I$38-1),IF(AND($L$37=0,$P$34=0),"",$L$37-1)),0,YEARFRAC(MAX($P$34*($B77+$I$38-1),IF(AND($L$37=0,$P$34=0),"",$L$37-1)),MIN(BM$38,$E77),$P$20))-SUM($BF77:BL77))</f>
        <v>0</v>
      </c>
      <c r="BN77" s="446">
        <f>IF($E77=0,0,IF(MIN(BN$38,$E77)&lt;MAX($P$34*($B77+$I$38-1),IF(AND($L$37=0,$P$34=0),"",$L$37-1)),0,YEARFRAC(MAX($P$34*($B77+$I$38-1),IF(AND($L$37=0,$P$34=0),"",$L$37-1)),MIN(BN$38,$E77),$P$20))-SUM($BF77:BM77))</f>
        <v>0</v>
      </c>
      <c r="BO77" s="446">
        <f>IF($E77=0,0,IF(MIN(BO$38,$E77)&lt;MAX($P$34*($B77+$I$38-1),IF(AND($L$37=0,$P$34=0),"",$L$37-1)),0,YEARFRAC(MAX($P$34*($B77+$I$38-1),IF(AND($L$37=0,$P$34=0),"",$L$37-1)),MIN(BO$38,$E77),$P$20))-SUM($BF77:BN77))</f>
        <v>0</v>
      </c>
      <c r="BP77" s="446">
        <f>IF($E77=0,0,IF(MIN(BP$38,$E77)&lt;MAX($P$34*($B77+$I$38-1),IF(AND($L$37=0,$P$34=0),"",$L$37-1)),0,YEARFRAC(MAX($P$34*($B77+$I$38-1),IF(AND($L$37=0,$P$34=0),"",$L$37-1)),MIN(BP$38,$E77),$P$20))-SUM($BF77:BO77))</f>
        <v>0</v>
      </c>
      <c r="BQ77" s="446">
        <f>IF($E77=0,0,IF(MIN(BQ$38,$E77)&lt;MAX($P$34*($B77+$I$38-1),IF(AND($L$37=0,$P$34=0),"",$L$37-1)),0,YEARFRAC(MAX($P$34*($B77+$I$38-1),IF(AND($L$37=0,$P$34=0),"",$L$37-1)),MIN(BQ$38,$E77),$P$20))-SUM($BF77:BP77))</f>
        <v>0</v>
      </c>
      <c r="BR77" s="446">
        <f>IF($E77=0,0,IF(MIN(BR$38,$E77)&lt;MAX($P$34*($B77+$I$38-1),IF(AND($L$37=0,$P$34=0),"",$L$37-1)),0,YEARFRAC(MAX($P$34*($B77+$I$38-1),IF(AND($L$37=0,$P$34=0),"",$L$37-1)),MIN(BR$38,$E77),$P$20))-SUM($BF77:BQ77))</f>
        <v>0</v>
      </c>
      <c r="BS77" s="446">
        <f>IF($E77=0,0,IF(MIN(BS$38,$E77)&lt;MAX($P$34*($B77+$I$38-1),IF(AND($L$37=0,$P$34=0),"",$L$37-1)),0,YEARFRAC(MAX($P$34*($B77+$I$38-1),IF(AND($L$37=0,$P$34=0),"",$L$37-1)),MIN(BS$38,$E77),$P$20))-SUM($BF77:BR77))</f>
        <v>0</v>
      </c>
      <c r="BT77" s="446">
        <f>IF($E77=0,0,IF(MIN(BT$38,$E77)&lt;MAX($P$34*($B77+$I$38-1),IF(AND($L$37=0,$P$34=0),"",$L$37-1)),0,YEARFRAC(MAX($P$34*($B77+$I$38-1),IF(AND($L$37=0,$P$34=0),"",$L$37-1)),MIN(BT$38,$E77),$P$20))-SUM($BF77:BS77))</f>
        <v>0</v>
      </c>
      <c r="BU77" s="446">
        <f>IF($E77=0,0,IF(MIN(BU$38,$E77)&lt;MAX($P$34*($B77+$I$38-1),IF(AND($L$37=0,$P$34=0),"",$L$37-1)),0,YEARFRAC(MAX($P$34*($B77+$I$38-1),IF(AND($L$37=0,$P$34=0),"",$L$37-1)),MIN(BU$38,$E77),$P$20))-SUM($BF77:BT77))</f>
        <v>0</v>
      </c>
      <c r="BV77" s="446">
        <f>IF($E77=0,0,IF(MIN(BV$38,$E77)&lt;MAX($P$34*($B77+$I$38-1),IF(AND($L$37=0,$P$34=0),"",$L$37-1)),0,YEARFRAC(MAX($P$34*($B77+$I$38-1),IF(AND($L$37=0,$P$34=0),"",$L$37-1)),MIN(BV$38,$E77),$P$20))-SUM($BF77:BU77))</f>
        <v>0</v>
      </c>
      <c r="BW77" s="446">
        <f>IF($E77=0,0,IF(MIN(BW$38,$E77)&lt;MAX($P$34*($B77+$I$38-1),IF(AND($L$37=0,$P$34=0),"",$L$37-1)),0,YEARFRAC(MAX($P$34*($B77+$I$38-1),IF(AND($L$37=0,$P$34=0),"",$L$37-1)),MIN(BW$38,$E77),$P$20))-SUM($BF77:BV77))</f>
        <v>0</v>
      </c>
      <c r="BX77" s="446">
        <f>IF($E77=0,0,IF(MIN(BX$38,$E77)&lt;MAX($P$34*($B77+$I$38-1),IF(AND($L$37=0,$P$34=0),"",$L$37-1)),0,YEARFRAC(MAX($P$34*($B77+$I$38-1),IF(AND($L$37=0,$P$34=0),"",$L$37-1)),MIN(BX$38,$E77),$P$20))-SUM($BF77:BW77))</f>
        <v>0</v>
      </c>
      <c r="BY77" s="446">
        <f>IF($E77=0,0,IF(MIN(BY$38,$E77)&lt;MAX($P$34*($B77+$I$38-1),IF(AND($L$37=0,$P$34=0),"",$L$37-1)),0,YEARFRAC(MAX($P$34*($B77+$I$38-1),IF(AND($L$37=0,$P$34=0),"",$L$37-1)),MIN(BY$38,$E77),$P$20))-SUM($BF77:BX77))</f>
        <v>0</v>
      </c>
      <c r="BZ77" s="446">
        <f>IF($E77=0,0,IF(MIN(BZ$38,$E77)&lt;MAX($P$34*($B77+$I$38-1),IF(AND($L$37=0,$P$34=0),"",$L$37-1)),0,YEARFRAC(MAX($P$34*($B77+$I$38-1),IF(AND($L$37=0,$P$34=0),"",$L$37-1)),MIN(BZ$38,$E77),$P$20))-SUM($BF77:BY77))</f>
        <v>0</v>
      </c>
      <c r="CA77" s="446">
        <f>IF($E77=0,0,IF(MIN(CA$38,$E77)&lt;MAX($P$34*($B77+$I$38-1),IF(AND($L$37=0,$P$34=0),"",$L$37-1)),0,YEARFRAC(MAX($P$34*($B77+$I$38-1),IF(AND($L$37=0,$P$34=0),"",$L$37-1)),MIN(CA$38,$E77),$P$20))-SUM($BF77:BZ77))</f>
        <v>0</v>
      </c>
      <c r="CB77" s="446">
        <f>IF($E77=0,0,IF(MIN(CB$38,$E77)&lt;MAX($P$34*($B77+$I$38-1),IF(AND($L$37=0,$P$34=0),"",$L$37-1)),0,YEARFRAC(MAX($P$34*($B77+$I$38-1),IF(AND($L$37=0,$P$34=0),"",$L$37-1)),MIN(CB$38,$E77),$P$20))-SUM($BF77:CA77))</f>
        <v>0</v>
      </c>
      <c r="CC77" s="446">
        <f>IF($E77=0,0,IF(MIN(CC$38,$E77)&lt;MAX($P$34*($B77+$I$38-1),IF(AND($L$37=0,$P$34=0),"",$L$37-1)),0,YEARFRAC(MAX($P$34*($B77+$I$38-1),IF(AND($L$37=0,$P$34=0),"",$L$37-1)),MIN(CC$38,$E77),$P$20))-SUM($BF77:CB77))</f>
        <v>0</v>
      </c>
      <c r="CD77" s="446">
        <f>IF($E77=0,0,IF(MIN(CD$38,$E77)&lt;MAX($P$34*($B77+$I$38-1),IF(AND($L$37=0,$P$34=0),"",$L$37-1)),0,YEARFRAC(MAX($P$34*($B77+$I$38-1),IF(AND($L$37=0,$P$34=0),"",$L$37-1)),MIN(CD$38,$E77),$P$20))-SUM($BF77:CC77))</f>
        <v>0</v>
      </c>
      <c r="CE77" s="446">
        <f>IF($E77=0,0,IF(MIN(CE$38,$E77)&lt;MAX($P$34*($B77+$I$38-1),IF(AND($L$37=0,$P$34=0),"",$L$37-1)),0,YEARFRAC(MAX($P$34*($B77+$I$38-1),IF(AND($L$37=0,$P$34=0),"",$L$37-1)),MIN(CE$38,$E77),$P$20))-SUM($BF77:CD77))</f>
        <v>0</v>
      </c>
      <c r="CF77" s="446">
        <f>IF($E77=0,0,IF(MIN(CF$38,$E77)&lt;MAX($P$34*($B77+$I$38-1),IF(AND($L$37=0,$P$34=0),"",$L$37-1)),0,YEARFRAC(MAX($P$34*($B77+$I$38-1),IF(AND($L$37=0,$P$34=0),"",$L$37-1)),MIN(CF$38,$E77),$P$20))-SUM($BF77:CE77))</f>
        <v>0</v>
      </c>
      <c r="CG77" s="446">
        <f>IF($E77=0,0,IF(MIN(CG$38,$E77)&lt;MAX($P$34*($B77+$I$38-1),IF(AND($L$37=0,$P$34=0),"",$L$37-1)),0,YEARFRAC(MAX($P$34*($B77+$I$38-1),IF(AND($L$37=0,$P$34=0),"",$L$37-1)),MIN(CG$38,$E77),$P$20))-SUM($BF77:CF77))</f>
        <v>0</v>
      </c>
      <c r="CH77" s="446">
        <f>IF($E77=0,0,IF(MIN(CH$38,$E77)&lt;MAX($P$34*($B77+$I$38-1),IF(AND($L$37=0,$P$34=0),"",$L$37-1)),0,YEARFRAC(MAX($P$34*($B77+$I$38-1),IF(AND($L$37=0,$P$34=0),"",$L$37-1)),MIN(CH$38,$E77),$P$20))-SUM($BF77:CG77))</f>
        <v>0</v>
      </c>
      <c r="CI77" s="446">
        <f>IF($E77=0,0,IF(MIN(CI$38,$E77)&lt;MAX($P$34*($B77+$I$38-1),IF(AND($L$37=0,$P$34=0),"",$L$37-1)),0,YEARFRAC(MAX($P$34*($B77+$I$38-1),IF(AND($L$37=0,$P$34=0),"",$L$37-1)),MIN(CI$38,$E77),$P$20))-SUM($BF77:CH77))</f>
        <v>0</v>
      </c>
      <c r="CJ77" s="446">
        <f>IF($E77=0,0,IF(MIN(CJ$38,$E77)&lt;MAX($P$34*($B77+$I$38-1),IF(AND($L$37=0,$P$34=0),"",$L$37-1)),0,YEARFRAC(MAX($P$34*($B77+$I$38-1),IF(AND($L$37=0,$P$34=0),"",$L$37-1)),MIN(CJ$38,$E77),$P$20))-SUM($BF77:CI77))</f>
        <v>0</v>
      </c>
      <c r="CK77" s="446">
        <f>IF($E77=0,0,IF(MIN(CK$38,$E77)&lt;MAX($P$34*($B77+$I$38-1),IF(AND($L$37=0,$P$34=0),"",$L$37-1)),0,YEARFRAC(MAX($P$34*($B77+$I$38-1),IF(AND($L$37=0,$P$34=0),"",$L$37-1)),MIN(CK$38,$E77),$P$20))-SUM($BF77:CJ77))</f>
        <v>0</v>
      </c>
      <c r="CL77" s="446">
        <f>IF($E77=0,0,IF(MIN(CL$38,$E77)&lt;MAX($P$34*($B77+$I$38-1),IF(AND($L$37=0,$P$34=0),"",$L$37-1)),0,YEARFRAC(MAX($P$34*($B77+$I$38-1),IF(AND($L$37=0,$P$34=0),"",$L$37-1)),MIN(CL$38,$E77),$P$20))-SUM($BF77:CK77))</f>
        <v>0</v>
      </c>
      <c r="CM77" s="446">
        <f>IF($E77=0,0,IF(MIN(CM$38,$E77)&lt;MAX($P$34*($B77+$I$38-1),IF(AND($L$37=0,$P$34=0),"",$L$37-1)),0,YEARFRAC(MAX($P$34*($B77+$I$38-1),IF(AND($L$37=0,$P$34=0),"",$L$37-1)),MIN(CM$38,$E77),$P$20))-SUM($BF77:CL77))</f>
        <v>0</v>
      </c>
      <c r="CN77" s="446">
        <f>IF($E77=0,0,IF(MIN(CN$38,$E77)&lt;MAX($P$34*($B77+$I$38-1),IF(AND($L$37=0,$P$34=0),"",$L$37-1)),0,YEARFRAC(MAX($P$34*($B77+$I$38-1),IF(AND($L$37=0,$P$34=0),"",$L$37-1)),MIN(CN$38,$E77),$P$20))-SUM($BF77:CM77))</f>
        <v>0</v>
      </c>
      <c r="CO77" s="446">
        <f>IF($E77=0,0,IF(MIN(CO$38,$E77)&lt;MAX($P$34*($B77+$I$38-1),IF(AND($L$37=0,$P$34=0),"",$L$37-1)),0,YEARFRAC(MAX($P$34*($B77+$I$38-1),IF(AND($L$37=0,$P$34=0),"",$L$37-1)),MIN(CO$38,$E77),$P$20))-SUM($BF77:CN77))</f>
        <v>0</v>
      </c>
      <c r="CP77" s="446">
        <f>IF($E77=0,0,IF(MIN(CP$38,$E77)&lt;MAX($P$34*($B77+$I$38-1),IF(AND($L$37=0,$P$34=0),"",$L$37-1)),0,YEARFRAC(MAX($P$34*($B77+$I$38-1),IF(AND($L$37=0,$P$34=0),"",$L$37-1)),MIN(CP$38,$E77),$P$20))-SUM($BF77:CO77))</f>
        <v>0</v>
      </c>
      <c r="CQ77" s="446">
        <f>IF($E77=0,0,IF(MIN(CQ$38,$E77)&lt;MAX($P$34*($B77+$I$38-1),IF(AND($L$37=0,$P$34=0),"",$L$37-1)),0,YEARFRAC(MAX($P$34*($B77+$I$38-1),IF(AND($L$37=0,$P$34=0),"",$L$37-1)),MIN(CQ$38,$E77),$P$20))-SUM($BF77:CP77))</f>
        <v>0</v>
      </c>
    </row>
    <row r="78" spans="1:95" s="446" customFormat="1" ht="11.25" hidden="1" customHeight="1" x14ac:dyDescent="0.2">
      <c r="A78" s="152"/>
      <c r="B78" s="153" t="str">
        <f t="shared" si="15"/>
        <v/>
      </c>
      <c r="C78" s="29" t="str">
        <f>IF(B78="","",IF($L$35="SELIC - TRIBUTOS",VLOOKUP(DATE(YEAR($D$19),MONTH($D$19)-1,1),ÍNDICES!$A:$DE,HLOOKUP($BL$25,ÍNDICES!$B$3:$T$4,2)+11)-VLOOKUP(B78,ÍNDICES!$A:$DE,HLOOKUP($BL$25,ÍNDICES!$B$3:$T$4,2)+11)+1%,IF(C$38=$W$26,$J$35,IF(ISERROR(IF(B78&gt;$D$19,1,VLOOKUP(DATE(YEAR(B78),MONTH(B78)+IF($C$35=$S$23,1,0),1),ÍNDICES!$A:$DE,$Z$35+1))),"",IF(B78&gt;$D$19,1,VLOOKUP(DATE(YEAR(B78),MONTH(B78)+IF($C$35=$S$23,1,0),1),ÍNDICES!$A:$DE,$Z$35+1))))))</f>
        <v/>
      </c>
      <c r="D78" s="154" t="str">
        <f>IF(ISERROR(IF(OR($D$38=$Y$27,$B78=""),"",VLOOKUP(B78,ÍNDICES!A:DE,AF$35+1))),"",IF(OR($D$38=$Y$27,$B78=""),"",VLOOKUP(B78,ÍNDICES!A:DE,AF$35+1)))</f>
        <v/>
      </c>
      <c r="E78" s="153"/>
      <c r="F78" s="29" t="str">
        <f>IF(E78="","",IF($L$35="SELIC - TRIBUTOS",VLOOKUP(DATE(YEAR($D$19),MONTH($D$19)-1,1),ÍNDICES!$A:$DE,HLOOKUP($BL$25,ÍNDICES!$B$3:$T$4,2)+11)-VLOOKUP(E78,ÍNDICES!$A:$DE,HLOOKUP($BL$25,ÍNDICES!$B$3:$T$4,2)+11)+1%,IF(F$38=$W$26,$J$35,IF(ISERROR(IF(E78&gt;$D$19,1,VLOOKUP(DATE(YEAR(E78),MONTH(E78)+IF($C$35=$S$23,1,0),1),ÍNDICES!$A:$DE,$Z$35+1))),"",IF(E78&gt;$D$19,1,VLOOKUP(DATE(YEAR(E78),MONTH(E78)+IF($C$35=$S$23,1,0),1),ÍNDICES!$A:$DE,$Z$35+1))))))</f>
        <v/>
      </c>
      <c r="G78" s="155"/>
      <c r="H78" s="156" t="str">
        <f t="shared" si="11"/>
        <v/>
      </c>
      <c r="I78" s="29" t="str">
        <f t="shared" si="5"/>
        <v/>
      </c>
      <c r="J78" s="5">
        <f t="shared" si="6"/>
        <v>0</v>
      </c>
      <c r="K78" s="20">
        <f t="shared" ca="1" si="7"/>
        <v>0</v>
      </c>
      <c r="L78" s="5">
        <f t="shared" ca="1" si="8"/>
        <v>0</v>
      </c>
      <c r="M78" s="64">
        <f t="shared" si="12"/>
        <v>0</v>
      </c>
      <c r="N78" s="61">
        <f t="shared" ca="1" si="13"/>
        <v>0</v>
      </c>
      <c r="O78" s="5">
        <f t="shared" ca="1" si="14"/>
        <v>0</v>
      </c>
      <c r="P78" s="446" t="e">
        <f t="shared" si="9"/>
        <v>#VALUE!</v>
      </c>
      <c r="Q78" s="446" t="e">
        <f>IF(OR($B78="",MIN(Q$38,$D$19)&lt;MAX($P$34*($B78+IF($R$17="Distrato",$I$38-1,0)),IF(AND($L$37=0,$P$34=0),"",$L$37-1),IF($R$17="Distrato",$E78,0))),0,YEARFRAC(MAX($P$34*($B78+IF($R$17="Distrato",$I$38-1,0)),IF(AND($L$37=0,$P$34=0),"",$L$37-1),IF($R$17="Distrato",$E78,0)),MIN(Q$38,$D$19),$P$20))-SUM($P78:P78)</f>
        <v>#VALUE!</v>
      </c>
      <c r="R78" s="446" t="e">
        <f>IF(OR($B78="",MIN(R$38,$D$19)&lt;MAX($P$34*($B78+IF($R$17="Distrato",$I$38-1,0)),IF(AND($L$37=0,$P$34=0),"",$L$37-1),IF($R$17="Distrato",$E78,0))),0,YEARFRAC(MAX($P$34*($B78+IF($R$17="Distrato",$I$38-1,0)),IF(AND($L$37=0,$P$34=0),"",$L$37-1),IF($R$17="Distrato",$E78,0)),MIN(R$38,$D$19),$P$20))-SUM($P78:Q78)</f>
        <v>#VALUE!</v>
      </c>
      <c r="S78" s="446" t="e">
        <f>IF(OR($B78="",MIN(S$38,$D$19)&lt;MAX($P$34*($B78+IF($R$17="Distrato",$I$38-1,0)),IF(AND($L$37=0,$P$34=0),"",$L$37-1),IF($R$17="Distrato",$E78,0))),0,YEARFRAC(MAX($P$34*($B78+IF($R$17="Distrato",$I$38-1,0)),IF(AND($L$37=0,$P$34=0),"",$L$37-1),IF($R$17="Distrato",$E78,0)),MIN(S$38,$D$19),$P$20))-SUM($P78:R78)</f>
        <v>#VALUE!</v>
      </c>
      <c r="T78" s="446" t="e">
        <f>IF(OR($B78="",MIN(T$38,$D$19)&lt;MAX($P$34*($B78+IF($R$17="Distrato",$I$38-1,0)),IF(AND($L$37=0,$P$34=0),"",$L$37-1),IF($R$17="Distrato",$E78,0))),0,YEARFRAC(MAX($P$34*($B78+IF($R$17="Distrato",$I$38-1,0)),IF(AND($L$37=0,$P$34=0),"",$L$37-1),IF($R$17="Distrato",$E78,0)),MIN(T$38,$D$19),$P$20))-SUM($P78:S78)</f>
        <v>#VALUE!</v>
      </c>
      <c r="U78" s="446" t="e">
        <f>IF(OR($B78="",MIN(U$38,$D$19)&lt;MAX($P$34*($B78+IF($R$17="Distrato",$I$38-1,0)),IF(AND($L$37=0,$P$34=0),"",$L$37-1),IF($R$17="Distrato",$E78,0))),0,YEARFRAC(MAX($P$34*($B78+IF($R$17="Distrato",$I$38-1,0)),IF(AND($L$37=0,$P$34=0),"",$L$37-1),IF($R$17="Distrato",$E78,0)),MIN(U$38,$D$19),$P$20))-SUM($P78:T78)</f>
        <v>#VALUE!</v>
      </c>
      <c r="V78" s="446" t="e">
        <f>IF(OR($B78="",MIN(V$38,$D$19)&lt;MAX($P$34*($B78+IF($R$17="Distrato",$I$38-1,0)),IF(AND($L$37=0,$P$34=0),"",$L$37-1),IF($R$17="Distrato",$E78,0))),0,YEARFRAC(MAX($P$34*($B78+IF($R$17="Distrato",$I$38-1,0)),IF(AND($L$37=0,$P$34=0),"",$L$37-1),IF($R$17="Distrato",$E78,0)),MIN(V$38,$D$19),$P$20))-SUM($P78:U78)</f>
        <v>#VALUE!</v>
      </c>
      <c r="W78" s="446" t="e">
        <f>IF(OR($B78="",MIN(W$38,$D$19)&lt;MAX($P$34*($B78+IF($R$17="Distrato",$I$38-1,0)),IF(AND($L$37=0,$P$34=0),"",$L$37-1),IF($R$17="Distrato",$E78,0))),0,YEARFRAC(MAX($P$34*($B78+IF($R$17="Distrato",$I$38-1,0)),IF(AND($L$37=0,$P$34=0),"",$L$37-1),IF($R$17="Distrato",$E78,0)),MIN(W$38,$D$19),$P$20))-SUM($P78:V78)</f>
        <v>#VALUE!</v>
      </c>
      <c r="X78" s="446" t="e">
        <f>IF(OR($B78="",MIN(X$38,$D$19)&lt;MAX($P$34*($B78+IF($R$17="Distrato",$I$38-1,0)),IF(AND($L$37=0,$P$34=0),"",$L$37-1),IF($R$17="Distrato",$E78,0))),0,YEARFRAC(MAX($P$34*($B78+IF($R$17="Distrato",$I$38-1,0)),IF(AND($L$37=0,$P$34=0),"",$L$37-1),IF($R$17="Distrato",$E78,0)),MIN(X$38,$D$19),$P$20))-SUM($P78:W78)</f>
        <v>#VALUE!</v>
      </c>
      <c r="Y78" s="446" t="e">
        <f>IF(OR($B78="",MIN(Y$38,$D$19)&lt;MAX($P$34*($B78+IF($R$17="Distrato",$I$38-1,0)),IF(AND($L$37=0,$P$34=0),"",$L$37-1),IF($R$17="Distrato",$E78,0))),0,YEARFRAC(MAX($P$34*($B78+IF($R$17="Distrato",$I$38-1,0)),IF(AND($L$37=0,$P$34=0),"",$L$37-1),IF($R$17="Distrato",$E78,0)),MIN(Y$38,$D$19),$P$20))-SUM($P78:X78)</f>
        <v>#VALUE!</v>
      </c>
      <c r="Z78" s="446" t="e">
        <f>IF(OR($B78="",MIN(Z$38,$D$19)&lt;MAX($P$34*($B78+IF($R$17="Distrato",$I$38-1,0)),IF(AND($L$37=0,$P$34=0),"",$L$37-1),IF($R$17="Distrato",$E78,0))),0,YEARFRAC(MAX($P$34*($B78+IF($R$17="Distrato",$I$38-1,0)),IF(AND($L$37=0,$P$34=0),"",$L$37-1),IF($R$17="Distrato",$E78,0)),MIN(Z$38,$D$19),$P$20))-SUM($P78:Y78)</f>
        <v>#VALUE!</v>
      </c>
      <c r="AA78" s="446" t="e">
        <f>IF(OR($B78="",MIN(AA$38,$D$19)&lt;MAX($P$34*($B78+IF($R$17="Distrato",$I$38-1,0)),IF(AND($L$37=0,$P$34=0),"",$L$37-1),IF($R$17="Distrato",$E78,0))),0,YEARFRAC(MAX($P$34*($B78+IF($R$17="Distrato",$I$38-1,0)),IF(AND($L$37=0,$P$34=0),"",$L$37-1),IF($R$17="Distrato",$E78,0)),MIN(AA$38,$D$19),$P$20))-SUM($P78:Z78)</f>
        <v>#VALUE!</v>
      </c>
      <c r="AB78" s="446" t="e">
        <f>IF(OR($B78="",MIN(AB$38,$D$19)&lt;MAX($P$34*($B78+IF($R$17="Distrato",$I$38-1,0)),IF(AND($L$37=0,$P$34=0),"",$L$37-1),IF($R$17="Distrato",$E78,0))),0,YEARFRAC(MAX($P$34*($B78+IF($R$17="Distrato",$I$38-1,0)),IF(AND($L$37=0,$P$34=0),"",$L$37-1),IF($R$17="Distrato",$E78,0)),MIN(AB$38,$D$19),$P$20))-SUM($P78:AA78)</f>
        <v>#VALUE!</v>
      </c>
      <c r="AC78" s="446" t="e">
        <f>IF(OR($B78="",MIN(AC$38,$D$19)&lt;MAX($P$34*($B78+IF($R$17="Distrato",$I$38-1,0)),IF(AND($L$37=0,$P$34=0),"",$L$37-1),IF($R$17="Distrato",$E78,0))),0,YEARFRAC(MAX($P$34*($B78+IF($R$17="Distrato",$I$38-1,0)),IF(AND($L$37=0,$P$34=0),"",$L$37-1),IF($R$17="Distrato",$E78,0)),MIN(AC$38,$D$19),$P$20))-SUM($P78:AB78)</f>
        <v>#VALUE!</v>
      </c>
      <c r="AD78" s="446" t="e">
        <f>IF(OR($B78="",MIN(AD$38,$D$19)&lt;MAX($P$34*($B78+IF($R$17="Distrato",$I$38-1,0)),IF(AND($L$37=0,$P$34=0),"",$L$37-1),IF($R$17="Distrato",$E78,0))),0,YEARFRAC(MAX($P$34*($B78+IF($R$17="Distrato",$I$38-1,0)),IF(AND($L$37=0,$P$34=0),"",$L$37-1),IF($R$17="Distrato",$E78,0)),MIN(AD$38,$D$19),$P$20))-SUM($P78:AC78)</f>
        <v>#VALUE!</v>
      </c>
      <c r="AE78" s="446" t="e">
        <f>IF(OR($B78="",MIN(AE$38,$D$19)&lt;MAX($P$34*($B78+IF($R$17="Distrato",$I$38-1,0)),IF(AND($L$37=0,$P$34=0),"",$L$37-1),IF($R$17="Distrato",$E78,0))),0,YEARFRAC(MAX($P$34*($B78+IF($R$17="Distrato",$I$38-1,0)),IF(AND($L$37=0,$P$34=0),"",$L$37-1),IF($R$17="Distrato",$E78,0)),MIN(AE$38,$D$19),$P$20))-SUM($P78:AD78)</f>
        <v>#VALUE!</v>
      </c>
      <c r="AF78" s="446" t="e">
        <f>IF(OR($B78="",MIN(AF$38,$D$19)&lt;MAX($P$34*($B78+IF($R$17="Distrato",$I$38-1,0)),IF(AND($L$37=0,$P$34=0),"",$L$37-1),IF($R$17="Distrato",$E78,0))),0,YEARFRAC(MAX($P$34*($B78+IF($R$17="Distrato",$I$38-1,0)),IF(AND($L$37=0,$P$34=0),"",$L$37-1),IF($R$17="Distrato",$E78,0)),MIN(AF$38,$D$19),$P$20))-SUM($P78:AE78)</f>
        <v>#VALUE!</v>
      </c>
      <c r="AG78" s="446" t="e">
        <f>IF(OR($B78="",MIN(AG$38,$D$19)&lt;MAX($P$34*($B78+IF($R$17="Distrato",$I$38-1,0)),IF(AND($L$37=0,$P$34=0),"",$L$37-1),IF($R$17="Distrato",$E78,0))),0,YEARFRAC(MAX($P$34*($B78+IF($R$17="Distrato",$I$38-1,0)),IF(AND($L$37=0,$P$34=0),"",$L$37-1),IF($R$17="Distrato",$E78,0)),MIN(AG$38,$D$19),$P$20))-SUM($P78:AF78)</f>
        <v>#VALUE!</v>
      </c>
      <c r="AH78" s="446" t="e">
        <f>IF(OR($B78="",MIN(AH$38,$D$19)&lt;MAX($P$34*($B78+IF($R$17="Distrato",$I$38-1,0)),IF(AND($L$37=0,$P$34=0),"",$L$37-1),IF($R$17="Distrato",$E78,0))),0,YEARFRAC(MAX($P$34*($B78+IF($R$17="Distrato",$I$38-1,0)),IF(AND($L$37=0,$P$34=0),"",$L$37-1),IF($R$17="Distrato",$E78,0)),MIN(AH$38,$D$19),$P$20))-SUM($P78:AG78)</f>
        <v>#VALUE!</v>
      </c>
      <c r="AI78" s="446" t="e">
        <f>IF(OR($B78="",MIN(AI$38,$D$19)&lt;MAX($P$34*($B78+IF($R$17="Distrato",$I$38-1,0)),IF(AND($L$37=0,$P$34=0),"",$L$37-1),IF($R$17="Distrato",$E78,0))),0,YEARFRAC(MAX($P$34*($B78+IF($R$17="Distrato",$I$38-1,0)),IF(AND($L$37=0,$P$34=0),"",$L$37-1),IF($R$17="Distrato",$E78,0)),MIN(AI$38,$D$19),$P$20))-SUM($P78:AH78)</f>
        <v>#VALUE!</v>
      </c>
      <c r="AJ78" s="446" t="e">
        <f>IF(OR($B78="",MIN(AJ$38,$D$19)&lt;MAX($P$34*($B78+IF($R$17="Distrato",$I$38-1,0)),IF(AND($L$37=0,$P$34=0),"",$L$37-1),IF($R$17="Distrato",$E78,0))),0,YEARFRAC(MAX($P$34*($B78+IF($R$17="Distrato",$I$38-1,0)),IF(AND($L$37=0,$P$34=0),"",$L$37-1),IF($R$17="Distrato",$E78,0)),MIN(AJ$38,$D$19),$P$20))-SUM($P78:AI78)</f>
        <v>#VALUE!</v>
      </c>
      <c r="AK78" s="446" t="e">
        <f>IF(OR($B78="",MIN(AK$38,$D$19)&lt;MAX($P$34*($B78+IF($R$17="Distrato",$I$38-1,0)),IF(AND($L$37=0,$P$34=0),"",$L$37-1),IF($R$17="Distrato",$E78,0))),0,YEARFRAC(MAX($P$34*($B78+IF($R$17="Distrato",$I$38-1,0)),IF(AND($L$37=0,$P$34=0),"",$L$37-1),IF($R$17="Distrato",$E78,0)),MIN(AK$38,$D$19),$P$20))-SUM($P78:AJ78)</f>
        <v>#VALUE!</v>
      </c>
      <c r="AL78" s="446" t="e">
        <f>IF(OR($B78="",MIN(AL$38,$D$19)&lt;MAX($P$34*($B78+IF($R$17="Distrato",$I$38-1,0)),IF(AND($L$37=0,$P$34=0),"",$L$37-1),IF($R$17="Distrato",$E78,0))),0,YEARFRAC(MAX($P$34*($B78+IF($R$17="Distrato",$I$38-1,0)),IF(AND($L$37=0,$P$34=0),"",$L$37-1),IF($R$17="Distrato",$E78,0)),MIN(AL$38,$D$19),$P$20))-SUM($P78:AK78)</f>
        <v>#VALUE!</v>
      </c>
      <c r="AM78" s="446" t="e">
        <f>IF(OR($B78="",MIN(AM$38,$D$19)&lt;MAX($P$34*($B78+IF($R$17="Distrato",$I$38-1,0)),IF(AND($L$37=0,$P$34=0),"",$L$37-1),IF($R$17="Distrato",$E78,0))),0,YEARFRAC(MAX($P$34*($B78+IF($R$17="Distrato",$I$38-1,0)),IF(AND($L$37=0,$P$34=0),"",$L$37-1),IF($R$17="Distrato",$E78,0)),MIN(AM$38,$D$19),$P$20))-SUM($P78:AL78)</f>
        <v>#VALUE!</v>
      </c>
      <c r="AN78" s="446" t="e">
        <f>IF(OR($B78="",MIN(AN$38,$D$19)&lt;MAX($P$34*($B78+IF($R$17="Distrato",$I$38-1,0)),IF(AND($L$37=0,$P$34=0),"",$L$37-1),IF($R$17="Distrato",$E78,0))),0,YEARFRAC(MAX($P$34*($B78+IF($R$17="Distrato",$I$38-1,0)),IF(AND($L$37=0,$P$34=0),"",$L$37-1),IF($R$17="Distrato",$E78,0)),MIN(AN$38,$D$19),$P$20))-SUM($P78:AM78)</f>
        <v>#VALUE!</v>
      </c>
      <c r="AO78" s="446" t="e">
        <f>IF(OR($B78="",MIN(AO$38,$D$19)&lt;MAX($P$34*($B78+IF($R$17="Distrato",$I$38-1,0)),IF(AND($L$37=0,$P$34=0),"",$L$37-1),IF($R$17="Distrato",$E78,0))),0,YEARFRAC(MAX($P$34*($B78+IF($R$17="Distrato",$I$38-1,0)),IF(AND($L$37=0,$P$34=0),"",$L$37-1),IF($R$17="Distrato",$E78,0)),MIN(AO$38,$D$19),$P$20))-SUM($P78:AN78)</f>
        <v>#VALUE!</v>
      </c>
      <c r="AP78" s="446" t="e">
        <f>IF(OR($B78="",MIN(AP$38,$D$19)&lt;MAX($P$34*($B78+IF($R$17="Distrato",$I$38-1,0)),IF(AND($L$37=0,$P$34=0),"",$L$37-1),IF($R$17="Distrato",$E78,0))),0,YEARFRAC(MAX($P$34*($B78+IF($R$17="Distrato",$I$38-1,0)),IF(AND($L$37=0,$P$34=0),"",$L$37-1),IF($R$17="Distrato",$E78,0)),MIN(AP$38,$D$19),$P$20))-SUM($P78:AO78)</f>
        <v>#VALUE!</v>
      </c>
      <c r="AQ78" s="446" t="e">
        <f>IF(OR($B78="",MIN(AQ$38,$D$19)&lt;MAX($P$34*($B78+IF($R$17="Distrato",$I$38-1,0)),IF(AND($L$37=0,$P$34=0),"",$L$37-1),IF($R$17="Distrato",$E78,0))),0,YEARFRAC(MAX($P$34*($B78+IF($R$17="Distrato",$I$38-1,0)),IF(AND($L$37=0,$P$34=0),"",$L$37-1),IF($R$17="Distrato",$E78,0)),MIN(AQ$38,$D$19),$P$20))-SUM($P78:AP78)</f>
        <v>#VALUE!</v>
      </c>
      <c r="AR78" s="446" t="e">
        <f>IF(OR($B78="",MIN(AR$38,$D$19)&lt;MAX($P$34*($B78+IF($R$17="Distrato",$I$38-1,0)),IF(AND($L$37=0,$P$34=0),"",$L$37-1),IF($R$17="Distrato",$E78,0))),0,YEARFRAC(MAX($P$34*($B78+IF($R$17="Distrato",$I$38-1,0)),IF(AND($L$37=0,$P$34=0),"",$L$37-1),IF($R$17="Distrato",$E78,0)),MIN(AR$38,$D$19),$P$20))-SUM($P78:AQ78)</f>
        <v>#VALUE!</v>
      </c>
      <c r="AS78" s="446" t="e">
        <f>IF(OR($B78="",MIN(AS$38,$D$19)&lt;MAX($P$34*($B78+IF($R$17="Distrato",$I$38-1,0)),IF(AND($L$37=0,$P$34=0),"",$L$37-1),IF($R$17="Distrato",$E78,0))),0,YEARFRAC(MAX($P$34*($B78+IF($R$17="Distrato",$I$38-1,0)),IF(AND($L$37=0,$P$34=0),"",$L$37-1),IF($R$17="Distrato",$E78,0)),MIN(AS$38,$D$19),$P$20))-SUM($P78:AR78)</f>
        <v>#VALUE!</v>
      </c>
      <c r="AT78" s="446" t="e">
        <f>IF(OR($B78="",MIN(AT$38,$D$19)&lt;MAX($P$34*($B78+IF($R$17="Distrato",$I$38-1,0)),IF(AND($L$37=0,$P$34=0),"",$L$37-1),IF($R$17="Distrato",$E78,0))),0,YEARFRAC(MAX($P$34*($B78+IF($R$17="Distrato",$I$38-1,0)),IF(AND($L$37=0,$P$34=0),"",$L$37-1),IF($R$17="Distrato",$E78,0)),MIN(AT$38,$D$19),$P$20))-SUM($P78:AS78)</f>
        <v>#VALUE!</v>
      </c>
      <c r="AU78" s="446" t="e">
        <f>IF(OR($B78="",MIN(AU$38,$D$19)&lt;MAX($P$34*($B78+IF($R$17="Distrato",$I$38-1,0)),IF(AND($L$37=0,$P$34=0),"",$L$37-1),IF($R$17="Distrato",$E78,0))),0,YEARFRAC(MAX($P$34*($B78+IF($R$17="Distrato",$I$38-1,0)),IF(AND($L$37=0,$P$34=0),"",$L$37-1),IF($R$17="Distrato",$E78,0)),MIN(AU$38,$D$19),$P$20))-SUM($P78:AT78)</f>
        <v>#VALUE!</v>
      </c>
      <c r="AV78" s="446" t="e">
        <f>IF(OR($B78="",MIN(AV$38,$D$19)&lt;MAX($P$34*($B78+IF($R$17="Distrato",$I$38-1,0)),IF(AND($L$37=0,$P$34=0),"",$L$37-1),IF($R$17="Distrato",$E78,0))),0,YEARFRAC(MAX($P$34*($B78+IF($R$17="Distrato",$I$38-1,0)),IF(AND($L$37=0,$P$34=0),"",$L$37-1),IF($R$17="Distrato",$E78,0)),MIN(AV$38,$D$19),$P$20))-SUM($P78:AU78)</f>
        <v>#VALUE!</v>
      </c>
      <c r="AW78" s="446" t="e">
        <f>IF(OR($B78="",MIN(AW$38,$D$19)&lt;MAX($P$34*($B78+IF($R$17="Distrato",$I$38-1,0)),IF(AND($L$37=0,$P$34=0),"",$L$37-1),IF($R$17="Distrato",$E78,0))),0,YEARFRAC(MAX($P$34*($B78+IF($R$17="Distrato",$I$38-1,0)),IF(AND($L$37=0,$P$34=0),"",$L$37-1),IF($R$17="Distrato",$E78,0)),MIN(AW$38,$D$19),$P$20))-SUM($P78:AV78)</f>
        <v>#VALUE!</v>
      </c>
      <c r="AX78" s="446" t="e">
        <f>IF(OR($B78="",MIN(AX$38,$D$19)&lt;MAX($P$34*($B78+IF($R$17="Distrato",$I$38-1,0)),IF(AND($L$37=0,$P$34=0),"",$L$37-1),IF($R$17="Distrato",$E78,0))),0,YEARFRAC(MAX($P$34*($B78+IF($R$17="Distrato",$I$38-1,0)),IF(AND($L$37=0,$P$34=0),"",$L$37-1),IF($R$17="Distrato",$E78,0)),MIN(AX$38,$D$19),$P$20))-SUM($P78:AW78)</f>
        <v>#VALUE!</v>
      </c>
      <c r="AY78" s="446" t="e">
        <f>IF(OR($B78="",MIN(AY$38,$D$19)&lt;MAX($P$34*($B78+IF($R$17="Distrato",$I$38-1,0)),IF(AND($L$37=0,$P$34=0),"",$L$37-1),IF($R$17="Distrato",$E78,0))),0,YEARFRAC(MAX($P$34*($B78+IF($R$17="Distrato",$I$38-1,0)),IF(AND($L$37=0,$P$34=0),"",$L$37-1),IF($R$17="Distrato",$E78,0)),MIN(AY$38,$D$19),$P$20))-SUM($P78:AX78)</f>
        <v>#VALUE!</v>
      </c>
      <c r="AZ78" s="446" t="e">
        <f>IF(OR($B78="",MIN(AZ$38,$D$19)&lt;MAX($P$34*($B78+IF($R$17="Distrato",$I$38-1,0)),IF(AND($L$37=0,$P$34=0),"",$L$37-1),IF($R$17="Distrato",$E78,0))),0,YEARFRAC(MAX($P$34*($B78+IF($R$17="Distrato",$I$38-1,0)),IF(AND($L$37=0,$P$34=0),"",$L$37-1),IF($R$17="Distrato",$E78,0)),MIN(AZ$38,$D$19),$P$20))-SUM($P78:AY78)</f>
        <v>#VALUE!</v>
      </c>
      <c r="BA78" s="446" t="e">
        <f>IF(OR($B78="",MIN(BA$38,$D$19)&lt;MAX($P$34*($B78+IF($R$17="Distrato",$I$38-1,0)),IF(AND($L$37=0,$P$34=0),"",$L$37-1),IF($R$17="Distrato",$E78,0))),0,YEARFRAC(MAX($P$34*($B78+IF($R$17="Distrato",$I$38-1,0)),IF(AND($L$37=0,$P$34=0),"",$L$37-1),IF($R$17="Distrato",$E78,0)),MIN(BA$38,$D$19),$P$20))-SUM($P78:AZ78)</f>
        <v>#VALUE!</v>
      </c>
      <c r="BB78" s="447"/>
      <c r="BF78" s="446">
        <f t="shared" si="10"/>
        <v>0</v>
      </c>
      <c r="BG78" s="446">
        <f>IF($E78=0,0,IF(MIN(BG$38,$E78)&lt;MAX($P$34*($B78+$I$38-1),IF(AND($L$37=0,$P$34=0),"",$L$37-1)),0,YEARFRAC(MAX($P$34*($B78+$I$38-1),IF(AND($L$37=0,$P$34=0),"",$L$37-1)),MIN(BG$38,$E78),$P$20))-SUM($BF78:BF78))</f>
        <v>0</v>
      </c>
      <c r="BH78" s="446">
        <f>IF($E78=0,0,IF(MIN(BH$38,$E78)&lt;MAX($P$34*($B78+$I$38-1),IF(AND($L$37=0,$P$34=0),"",$L$37-1)),0,YEARFRAC(MAX($P$34*($B78+$I$38-1),IF(AND($L$37=0,$P$34=0),"",$L$37-1)),MIN(BH$38,$E78),$P$20))-SUM($BF78:BG78))</f>
        <v>0</v>
      </c>
      <c r="BI78" s="446">
        <f>IF($E78=0,0,IF(MIN(BI$38,$E78)&lt;MAX($P$34*($B78+$I$38-1),IF(AND($L$37=0,$P$34=0),"",$L$37-1)),0,YEARFRAC(MAX($P$34*($B78+$I$38-1),IF(AND($L$37=0,$P$34=0),"",$L$37-1)),MIN(BI$38,$E78),$P$20))-SUM($BF78:BH78))</f>
        <v>0</v>
      </c>
      <c r="BJ78" s="446">
        <f>IF($E78=0,0,IF(MIN(BJ$38,$E78)&lt;MAX($P$34*($B78+$I$38-1),IF(AND($L$37=0,$P$34=0),"",$L$37-1)),0,YEARFRAC(MAX($P$34*($B78+$I$38-1),IF(AND($L$37=0,$P$34=0),"",$L$37-1)),MIN(BJ$38,$E78),$P$20))-SUM($BF78:BI78))</f>
        <v>0</v>
      </c>
      <c r="BK78" s="446">
        <f>IF($E78=0,0,IF(MIN(BK$38,$E78)&lt;MAX($P$34*($B78+$I$38-1),IF(AND($L$37=0,$P$34=0),"",$L$37-1)),0,YEARFRAC(MAX($P$34*($B78+$I$38-1),IF(AND($L$37=0,$P$34=0),"",$L$37-1)),MIN(BK$38,$E78),$P$20))-SUM($BF78:BJ78))</f>
        <v>0</v>
      </c>
      <c r="BL78" s="446">
        <f>IF($E78=0,0,IF(MIN(BL$38,$E78)&lt;MAX($P$34*($B78+$I$38-1),IF(AND($L$37=0,$P$34=0),"",$L$37-1)),0,YEARFRAC(MAX($P$34*($B78+$I$38-1),IF(AND($L$37=0,$P$34=0),"",$L$37-1)),MIN(BL$38,$E78),$P$20))-SUM($BF78:BK78))</f>
        <v>0</v>
      </c>
      <c r="BM78" s="446">
        <f>IF($E78=0,0,IF(MIN(BM$38,$E78)&lt;MAX($P$34*($B78+$I$38-1),IF(AND($L$37=0,$P$34=0),"",$L$37-1)),0,YEARFRAC(MAX($P$34*($B78+$I$38-1),IF(AND($L$37=0,$P$34=0),"",$L$37-1)),MIN(BM$38,$E78),$P$20))-SUM($BF78:BL78))</f>
        <v>0</v>
      </c>
      <c r="BN78" s="446">
        <f>IF($E78=0,0,IF(MIN(BN$38,$E78)&lt;MAX($P$34*($B78+$I$38-1),IF(AND($L$37=0,$P$34=0),"",$L$37-1)),0,YEARFRAC(MAX($P$34*($B78+$I$38-1),IF(AND($L$37=0,$P$34=0),"",$L$37-1)),MIN(BN$38,$E78),$P$20))-SUM($BF78:BM78))</f>
        <v>0</v>
      </c>
      <c r="BO78" s="446">
        <f>IF($E78=0,0,IF(MIN(BO$38,$E78)&lt;MAX($P$34*($B78+$I$38-1),IF(AND($L$37=0,$P$34=0),"",$L$37-1)),0,YEARFRAC(MAX($P$34*($B78+$I$38-1),IF(AND($L$37=0,$P$34=0),"",$L$37-1)),MIN(BO$38,$E78),$P$20))-SUM($BF78:BN78))</f>
        <v>0</v>
      </c>
      <c r="BP78" s="446">
        <f>IF($E78=0,0,IF(MIN(BP$38,$E78)&lt;MAX($P$34*($B78+$I$38-1),IF(AND($L$37=0,$P$34=0),"",$L$37-1)),0,YEARFRAC(MAX($P$34*($B78+$I$38-1),IF(AND($L$37=0,$P$34=0),"",$L$37-1)),MIN(BP$38,$E78),$P$20))-SUM($BF78:BO78))</f>
        <v>0</v>
      </c>
      <c r="BQ78" s="446">
        <f>IF($E78=0,0,IF(MIN(BQ$38,$E78)&lt;MAX($P$34*($B78+$I$38-1),IF(AND($L$37=0,$P$34=0),"",$L$37-1)),0,YEARFRAC(MAX($P$34*($B78+$I$38-1),IF(AND($L$37=0,$P$34=0),"",$L$37-1)),MIN(BQ$38,$E78),$P$20))-SUM($BF78:BP78))</f>
        <v>0</v>
      </c>
      <c r="BR78" s="446">
        <f>IF($E78=0,0,IF(MIN(BR$38,$E78)&lt;MAX($P$34*($B78+$I$38-1),IF(AND($L$37=0,$P$34=0),"",$L$37-1)),0,YEARFRAC(MAX($P$34*($B78+$I$38-1),IF(AND($L$37=0,$P$34=0),"",$L$37-1)),MIN(BR$38,$E78),$P$20))-SUM($BF78:BQ78))</f>
        <v>0</v>
      </c>
      <c r="BS78" s="446">
        <f>IF($E78=0,0,IF(MIN(BS$38,$E78)&lt;MAX($P$34*($B78+$I$38-1),IF(AND($L$37=0,$P$34=0),"",$L$37-1)),0,YEARFRAC(MAX($P$34*($B78+$I$38-1),IF(AND($L$37=0,$P$34=0),"",$L$37-1)),MIN(BS$38,$E78),$P$20))-SUM($BF78:BR78))</f>
        <v>0</v>
      </c>
      <c r="BT78" s="446">
        <f>IF($E78=0,0,IF(MIN(BT$38,$E78)&lt;MAX($P$34*($B78+$I$38-1),IF(AND($L$37=0,$P$34=0),"",$L$37-1)),0,YEARFRAC(MAX($P$34*($B78+$I$38-1),IF(AND($L$37=0,$P$34=0),"",$L$37-1)),MIN(BT$38,$E78),$P$20))-SUM($BF78:BS78))</f>
        <v>0</v>
      </c>
      <c r="BU78" s="446">
        <f>IF($E78=0,0,IF(MIN(BU$38,$E78)&lt;MAX($P$34*($B78+$I$38-1),IF(AND($L$37=0,$P$34=0),"",$L$37-1)),0,YEARFRAC(MAX($P$34*($B78+$I$38-1),IF(AND($L$37=0,$P$34=0),"",$L$37-1)),MIN(BU$38,$E78),$P$20))-SUM($BF78:BT78))</f>
        <v>0</v>
      </c>
      <c r="BV78" s="446">
        <f>IF($E78=0,0,IF(MIN(BV$38,$E78)&lt;MAX($P$34*($B78+$I$38-1),IF(AND($L$37=0,$P$34=0),"",$L$37-1)),0,YEARFRAC(MAX($P$34*($B78+$I$38-1),IF(AND($L$37=0,$P$34=0),"",$L$37-1)),MIN(BV$38,$E78),$P$20))-SUM($BF78:BU78))</f>
        <v>0</v>
      </c>
      <c r="BW78" s="446">
        <f>IF($E78=0,0,IF(MIN(BW$38,$E78)&lt;MAX($P$34*($B78+$I$38-1),IF(AND($L$37=0,$P$34=0),"",$L$37-1)),0,YEARFRAC(MAX($P$34*($B78+$I$38-1),IF(AND($L$37=0,$P$34=0),"",$L$37-1)),MIN(BW$38,$E78),$P$20))-SUM($BF78:BV78))</f>
        <v>0</v>
      </c>
      <c r="BX78" s="446">
        <f>IF($E78=0,0,IF(MIN(BX$38,$E78)&lt;MAX($P$34*($B78+$I$38-1),IF(AND($L$37=0,$P$34=0),"",$L$37-1)),0,YEARFRAC(MAX($P$34*($B78+$I$38-1),IF(AND($L$37=0,$P$34=0),"",$L$37-1)),MIN(BX$38,$E78),$P$20))-SUM($BF78:BW78))</f>
        <v>0</v>
      </c>
      <c r="BY78" s="446">
        <f>IF($E78=0,0,IF(MIN(BY$38,$E78)&lt;MAX($P$34*($B78+$I$38-1),IF(AND($L$37=0,$P$34=0),"",$L$37-1)),0,YEARFRAC(MAX($P$34*($B78+$I$38-1),IF(AND($L$37=0,$P$34=0),"",$L$37-1)),MIN(BY$38,$E78),$P$20))-SUM($BF78:BX78))</f>
        <v>0</v>
      </c>
      <c r="BZ78" s="446">
        <f>IF($E78=0,0,IF(MIN(BZ$38,$E78)&lt;MAX($P$34*($B78+$I$38-1),IF(AND($L$37=0,$P$34=0),"",$L$37-1)),0,YEARFRAC(MAX($P$34*($B78+$I$38-1),IF(AND($L$37=0,$P$34=0),"",$L$37-1)),MIN(BZ$38,$E78),$P$20))-SUM($BF78:BY78))</f>
        <v>0</v>
      </c>
      <c r="CA78" s="446">
        <f>IF($E78=0,0,IF(MIN(CA$38,$E78)&lt;MAX($P$34*($B78+$I$38-1),IF(AND($L$37=0,$P$34=0),"",$L$37-1)),0,YEARFRAC(MAX($P$34*($B78+$I$38-1),IF(AND($L$37=0,$P$34=0),"",$L$37-1)),MIN(CA$38,$E78),$P$20))-SUM($BF78:BZ78))</f>
        <v>0</v>
      </c>
      <c r="CB78" s="446">
        <f>IF($E78=0,0,IF(MIN(CB$38,$E78)&lt;MAX($P$34*($B78+$I$38-1),IF(AND($L$37=0,$P$34=0),"",$L$37-1)),0,YEARFRAC(MAX($P$34*($B78+$I$38-1),IF(AND($L$37=0,$P$34=0),"",$L$37-1)),MIN(CB$38,$E78),$P$20))-SUM($BF78:CA78))</f>
        <v>0</v>
      </c>
      <c r="CC78" s="446">
        <f>IF($E78=0,0,IF(MIN(CC$38,$E78)&lt;MAX($P$34*($B78+$I$38-1),IF(AND($L$37=0,$P$34=0),"",$L$37-1)),0,YEARFRAC(MAX($P$34*($B78+$I$38-1),IF(AND($L$37=0,$P$34=0),"",$L$37-1)),MIN(CC$38,$E78),$P$20))-SUM($BF78:CB78))</f>
        <v>0</v>
      </c>
      <c r="CD78" s="446">
        <f>IF($E78=0,0,IF(MIN(CD$38,$E78)&lt;MAX($P$34*($B78+$I$38-1),IF(AND($L$37=0,$P$34=0),"",$L$37-1)),0,YEARFRAC(MAX($P$34*($B78+$I$38-1),IF(AND($L$37=0,$P$34=0),"",$L$37-1)),MIN(CD$38,$E78),$P$20))-SUM($BF78:CC78))</f>
        <v>0</v>
      </c>
      <c r="CE78" s="446">
        <f>IF($E78=0,0,IF(MIN(CE$38,$E78)&lt;MAX($P$34*($B78+$I$38-1),IF(AND($L$37=0,$P$34=0),"",$L$37-1)),0,YEARFRAC(MAX($P$34*($B78+$I$38-1),IF(AND($L$37=0,$P$34=0),"",$L$37-1)),MIN(CE$38,$E78),$P$20))-SUM($BF78:CD78))</f>
        <v>0</v>
      </c>
      <c r="CF78" s="446">
        <f>IF($E78=0,0,IF(MIN(CF$38,$E78)&lt;MAX($P$34*($B78+$I$38-1),IF(AND($L$37=0,$P$34=0),"",$L$37-1)),0,YEARFRAC(MAX($P$34*($B78+$I$38-1),IF(AND($L$37=0,$P$34=0),"",$L$37-1)),MIN(CF$38,$E78),$P$20))-SUM($BF78:CE78))</f>
        <v>0</v>
      </c>
      <c r="CG78" s="446">
        <f>IF($E78=0,0,IF(MIN(CG$38,$E78)&lt;MAX($P$34*($B78+$I$38-1),IF(AND($L$37=0,$P$34=0),"",$L$37-1)),0,YEARFRAC(MAX($P$34*($B78+$I$38-1),IF(AND($L$37=0,$P$34=0),"",$L$37-1)),MIN(CG$38,$E78),$P$20))-SUM($BF78:CF78))</f>
        <v>0</v>
      </c>
      <c r="CH78" s="446">
        <f>IF($E78=0,0,IF(MIN(CH$38,$E78)&lt;MAX($P$34*($B78+$I$38-1),IF(AND($L$37=0,$P$34=0),"",$L$37-1)),0,YEARFRAC(MAX($P$34*($B78+$I$38-1),IF(AND($L$37=0,$P$34=0),"",$L$37-1)),MIN(CH$38,$E78),$P$20))-SUM($BF78:CG78))</f>
        <v>0</v>
      </c>
      <c r="CI78" s="446">
        <f>IF($E78=0,0,IF(MIN(CI$38,$E78)&lt;MAX($P$34*($B78+$I$38-1),IF(AND($L$37=0,$P$34=0),"",$L$37-1)),0,YEARFRAC(MAX($P$34*($B78+$I$38-1),IF(AND($L$37=0,$P$34=0),"",$L$37-1)),MIN(CI$38,$E78),$P$20))-SUM($BF78:CH78))</f>
        <v>0</v>
      </c>
      <c r="CJ78" s="446">
        <f>IF($E78=0,0,IF(MIN(CJ$38,$E78)&lt;MAX($P$34*($B78+$I$38-1),IF(AND($L$37=0,$P$34=0),"",$L$37-1)),0,YEARFRAC(MAX($P$34*($B78+$I$38-1),IF(AND($L$37=0,$P$34=0),"",$L$37-1)),MIN(CJ$38,$E78),$P$20))-SUM($BF78:CI78))</f>
        <v>0</v>
      </c>
      <c r="CK78" s="446">
        <f>IF($E78=0,0,IF(MIN(CK$38,$E78)&lt;MAX($P$34*($B78+$I$38-1),IF(AND($L$37=0,$P$34=0),"",$L$37-1)),0,YEARFRAC(MAX($P$34*($B78+$I$38-1),IF(AND($L$37=0,$P$34=0),"",$L$37-1)),MIN(CK$38,$E78),$P$20))-SUM($BF78:CJ78))</f>
        <v>0</v>
      </c>
      <c r="CL78" s="446">
        <f>IF($E78=0,0,IF(MIN(CL$38,$E78)&lt;MAX($P$34*($B78+$I$38-1),IF(AND($L$37=0,$P$34=0),"",$L$37-1)),0,YEARFRAC(MAX($P$34*($B78+$I$38-1),IF(AND($L$37=0,$P$34=0),"",$L$37-1)),MIN(CL$38,$E78),$P$20))-SUM($BF78:CK78))</f>
        <v>0</v>
      </c>
      <c r="CM78" s="446">
        <f>IF($E78=0,0,IF(MIN(CM$38,$E78)&lt;MAX($P$34*($B78+$I$38-1),IF(AND($L$37=0,$P$34=0),"",$L$37-1)),0,YEARFRAC(MAX($P$34*($B78+$I$38-1),IF(AND($L$37=0,$P$34=0),"",$L$37-1)),MIN(CM$38,$E78),$P$20))-SUM($BF78:CL78))</f>
        <v>0</v>
      </c>
      <c r="CN78" s="446">
        <f>IF($E78=0,0,IF(MIN(CN$38,$E78)&lt;MAX($P$34*($B78+$I$38-1),IF(AND($L$37=0,$P$34=0),"",$L$37-1)),0,YEARFRAC(MAX($P$34*($B78+$I$38-1),IF(AND($L$37=0,$P$34=0),"",$L$37-1)),MIN(CN$38,$E78),$P$20))-SUM($BF78:CM78))</f>
        <v>0</v>
      </c>
      <c r="CO78" s="446">
        <f>IF($E78=0,0,IF(MIN(CO$38,$E78)&lt;MAX($P$34*($B78+$I$38-1),IF(AND($L$37=0,$P$34=0),"",$L$37-1)),0,YEARFRAC(MAX($P$34*($B78+$I$38-1),IF(AND($L$37=0,$P$34=0),"",$L$37-1)),MIN(CO$38,$E78),$P$20))-SUM($BF78:CN78))</f>
        <v>0</v>
      </c>
      <c r="CP78" s="446">
        <f>IF($E78=0,0,IF(MIN(CP$38,$E78)&lt;MAX($P$34*($B78+$I$38-1),IF(AND($L$37=0,$P$34=0),"",$L$37-1)),0,YEARFRAC(MAX($P$34*($B78+$I$38-1),IF(AND($L$37=0,$P$34=0),"",$L$37-1)),MIN(CP$38,$E78),$P$20))-SUM($BF78:CO78))</f>
        <v>0</v>
      </c>
      <c r="CQ78" s="446">
        <f>IF($E78=0,0,IF(MIN(CQ$38,$E78)&lt;MAX($P$34*($B78+$I$38-1),IF(AND($L$37=0,$P$34=0),"",$L$37-1)),0,YEARFRAC(MAX($P$34*($B78+$I$38-1),IF(AND($L$37=0,$P$34=0),"",$L$37-1)),MIN(CQ$38,$E78),$P$20))-SUM($BF78:CP78))</f>
        <v>0</v>
      </c>
    </row>
    <row r="79" spans="1:95" s="446" customFormat="1" ht="11.25" hidden="1" customHeight="1" x14ac:dyDescent="0.2">
      <c r="A79" s="152"/>
      <c r="B79" s="153" t="str">
        <f t="shared" si="15"/>
        <v/>
      </c>
      <c r="C79" s="29" t="str">
        <f>IF(B79="","",IF($L$35="SELIC - TRIBUTOS",VLOOKUP(DATE(YEAR($D$19),MONTH($D$19)-1,1),ÍNDICES!$A:$DE,HLOOKUP($BL$25,ÍNDICES!$B$3:$T$4,2)+11)-VLOOKUP(B79,ÍNDICES!$A:$DE,HLOOKUP($BL$25,ÍNDICES!$B$3:$T$4,2)+11)+1%,IF(C$38=$W$26,$J$35,IF(ISERROR(IF(B79&gt;$D$19,1,VLOOKUP(DATE(YEAR(B79),MONTH(B79)+IF($C$35=$S$23,1,0),1),ÍNDICES!$A:$DE,$Z$35+1))),"",IF(B79&gt;$D$19,1,VLOOKUP(DATE(YEAR(B79),MONTH(B79)+IF($C$35=$S$23,1,0),1),ÍNDICES!$A:$DE,$Z$35+1))))))</f>
        <v/>
      </c>
      <c r="D79" s="154" t="str">
        <f>IF(ISERROR(IF(OR($D$38=$Y$27,$B79=""),"",VLOOKUP(B79,ÍNDICES!A:DE,AF$35+1))),"",IF(OR($D$38=$Y$27,$B79=""),"",VLOOKUP(B79,ÍNDICES!A:DE,AF$35+1)))</f>
        <v/>
      </c>
      <c r="E79" s="153"/>
      <c r="F79" s="29" t="str">
        <f>IF(E79="","",IF($L$35="SELIC - TRIBUTOS",VLOOKUP(DATE(YEAR($D$19),MONTH($D$19)-1,1),ÍNDICES!$A:$DE,HLOOKUP($BL$25,ÍNDICES!$B$3:$T$4,2)+11)-VLOOKUP(E79,ÍNDICES!$A:$DE,HLOOKUP($BL$25,ÍNDICES!$B$3:$T$4,2)+11)+1%,IF(F$38=$W$26,$J$35,IF(ISERROR(IF(E79&gt;$D$19,1,VLOOKUP(DATE(YEAR(E79),MONTH(E79)+IF($C$35=$S$23,1,0),1),ÍNDICES!$A:$DE,$Z$35+1))),"",IF(E79&gt;$D$19,1,VLOOKUP(DATE(YEAR(E79),MONTH(E79)+IF($C$35=$S$23,1,0),1),ÍNDICES!$A:$DE,$Z$35+1))))))</f>
        <v/>
      </c>
      <c r="G79" s="155"/>
      <c r="H79" s="156" t="str">
        <f t="shared" si="11"/>
        <v/>
      </c>
      <c r="I79" s="29" t="str">
        <f t="shared" si="5"/>
        <v/>
      </c>
      <c r="J79" s="5">
        <f t="shared" si="6"/>
        <v>0</v>
      </c>
      <c r="K79" s="20">
        <f t="shared" ca="1" si="7"/>
        <v>0</v>
      </c>
      <c r="L79" s="5">
        <f t="shared" ca="1" si="8"/>
        <v>0</v>
      </c>
      <c r="M79" s="64">
        <f t="shared" si="12"/>
        <v>0</v>
      </c>
      <c r="N79" s="61">
        <f t="shared" ca="1" si="13"/>
        <v>0</v>
      </c>
      <c r="O79" s="5">
        <f t="shared" ca="1" si="14"/>
        <v>0</v>
      </c>
      <c r="P79" s="446" t="e">
        <f t="shared" si="9"/>
        <v>#VALUE!</v>
      </c>
      <c r="Q79" s="446" t="e">
        <f>IF(OR($B79="",MIN(Q$38,$D$19)&lt;MAX($P$34*($B79+IF($R$17="Distrato",$I$38-1,0)),IF(AND($L$37=0,$P$34=0),"",$L$37-1),IF($R$17="Distrato",$E79,0))),0,YEARFRAC(MAX($P$34*($B79+IF($R$17="Distrato",$I$38-1,0)),IF(AND($L$37=0,$P$34=0),"",$L$37-1),IF($R$17="Distrato",$E79,0)),MIN(Q$38,$D$19),$P$20))-SUM($P79:P79)</f>
        <v>#VALUE!</v>
      </c>
      <c r="R79" s="446" t="e">
        <f>IF(OR($B79="",MIN(R$38,$D$19)&lt;MAX($P$34*($B79+IF($R$17="Distrato",$I$38-1,0)),IF(AND($L$37=0,$P$34=0),"",$L$37-1),IF($R$17="Distrato",$E79,0))),0,YEARFRAC(MAX($P$34*($B79+IF($R$17="Distrato",$I$38-1,0)),IF(AND($L$37=0,$P$34=0),"",$L$37-1),IF($R$17="Distrato",$E79,0)),MIN(R$38,$D$19),$P$20))-SUM($P79:Q79)</f>
        <v>#VALUE!</v>
      </c>
      <c r="S79" s="446" t="e">
        <f>IF(OR($B79="",MIN(S$38,$D$19)&lt;MAX($P$34*($B79+IF($R$17="Distrato",$I$38-1,0)),IF(AND($L$37=0,$P$34=0),"",$L$37-1),IF($R$17="Distrato",$E79,0))),0,YEARFRAC(MAX($P$34*($B79+IF($R$17="Distrato",$I$38-1,0)),IF(AND($L$37=0,$P$34=0),"",$L$37-1),IF($R$17="Distrato",$E79,0)),MIN(S$38,$D$19),$P$20))-SUM($P79:R79)</f>
        <v>#VALUE!</v>
      </c>
      <c r="T79" s="446" t="e">
        <f>IF(OR($B79="",MIN(T$38,$D$19)&lt;MAX($P$34*($B79+IF($R$17="Distrato",$I$38-1,0)),IF(AND($L$37=0,$P$34=0),"",$L$37-1),IF($R$17="Distrato",$E79,0))),0,YEARFRAC(MAX($P$34*($B79+IF($R$17="Distrato",$I$38-1,0)),IF(AND($L$37=0,$P$34=0),"",$L$37-1),IF($R$17="Distrato",$E79,0)),MIN(T$38,$D$19),$P$20))-SUM($P79:S79)</f>
        <v>#VALUE!</v>
      </c>
      <c r="U79" s="446" t="e">
        <f>IF(OR($B79="",MIN(U$38,$D$19)&lt;MAX($P$34*($B79+IF($R$17="Distrato",$I$38-1,0)),IF(AND($L$37=0,$P$34=0),"",$L$37-1),IF($R$17="Distrato",$E79,0))),0,YEARFRAC(MAX($P$34*($B79+IF($R$17="Distrato",$I$38-1,0)),IF(AND($L$37=0,$P$34=0),"",$L$37-1),IF($R$17="Distrato",$E79,0)),MIN(U$38,$D$19),$P$20))-SUM($P79:T79)</f>
        <v>#VALUE!</v>
      </c>
      <c r="V79" s="446" t="e">
        <f>IF(OR($B79="",MIN(V$38,$D$19)&lt;MAX($P$34*($B79+IF($R$17="Distrato",$I$38-1,0)),IF(AND($L$37=0,$P$34=0),"",$L$37-1),IF($R$17="Distrato",$E79,0))),0,YEARFRAC(MAX($P$34*($B79+IF($R$17="Distrato",$I$38-1,0)),IF(AND($L$37=0,$P$34=0),"",$L$37-1),IF($R$17="Distrato",$E79,0)),MIN(V$38,$D$19),$P$20))-SUM($P79:U79)</f>
        <v>#VALUE!</v>
      </c>
      <c r="W79" s="446" t="e">
        <f>IF(OR($B79="",MIN(W$38,$D$19)&lt;MAX($P$34*($B79+IF($R$17="Distrato",$I$38-1,0)),IF(AND($L$37=0,$P$34=0),"",$L$37-1),IF($R$17="Distrato",$E79,0))),0,YEARFRAC(MAX($P$34*($B79+IF($R$17="Distrato",$I$38-1,0)),IF(AND($L$37=0,$P$34=0),"",$L$37-1),IF($R$17="Distrato",$E79,0)),MIN(W$38,$D$19),$P$20))-SUM($P79:V79)</f>
        <v>#VALUE!</v>
      </c>
      <c r="X79" s="446" t="e">
        <f>IF(OR($B79="",MIN(X$38,$D$19)&lt;MAX($P$34*($B79+IF($R$17="Distrato",$I$38-1,0)),IF(AND($L$37=0,$P$34=0),"",$L$37-1),IF($R$17="Distrato",$E79,0))),0,YEARFRAC(MAX($P$34*($B79+IF($R$17="Distrato",$I$38-1,0)),IF(AND($L$37=0,$P$34=0),"",$L$37-1),IF($R$17="Distrato",$E79,0)),MIN(X$38,$D$19),$P$20))-SUM($P79:W79)</f>
        <v>#VALUE!</v>
      </c>
      <c r="Y79" s="446" t="e">
        <f>IF(OR($B79="",MIN(Y$38,$D$19)&lt;MAX($P$34*($B79+IF($R$17="Distrato",$I$38-1,0)),IF(AND($L$37=0,$P$34=0),"",$L$37-1),IF($R$17="Distrato",$E79,0))),0,YEARFRAC(MAX($P$34*($B79+IF($R$17="Distrato",$I$38-1,0)),IF(AND($L$37=0,$P$34=0),"",$L$37-1),IF($R$17="Distrato",$E79,0)),MIN(Y$38,$D$19),$P$20))-SUM($P79:X79)</f>
        <v>#VALUE!</v>
      </c>
      <c r="Z79" s="446" t="e">
        <f>IF(OR($B79="",MIN(Z$38,$D$19)&lt;MAX($P$34*($B79+IF($R$17="Distrato",$I$38-1,0)),IF(AND($L$37=0,$P$34=0),"",$L$37-1),IF($R$17="Distrato",$E79,0))),0,YEARFRAC(MAX($P$34*($B79+IF($R$17="Distrato",$I$38-1,0)),IF(AND($L$37=0,$P$34=0),"",$L$37-1),IF($R$17="Distrato",$E79,0)),MIN(Z$38,$D$19),$P$20))-SUM($P79:Y79)</f>
        <v>#VALUE!</v>
      </c>
      <c r="AA79" s="446" t="e">
        <f>IF(OR($B79="",MIN(AA$38,$D$19)&lt;MAX($P$34*($B79+IF($R$17="Distrato",$I$38-1,0)),IF(AND($L$37=0,$P$34=0),"",$L$37-1),IF($R$17="Distrato",$E79,0))),0,YEARFRAC(MAX($P$34*($B79+IF($R$17="Distrato",$I$38-1,0)),IF(AND($L$37=0,$P$34=0),"",$L$37-1),IF($R$17="Distrato",$E79,0)),MIN(AA$38,$D$19),$P$20))-SUM($P79:Z79)</f>
        <v>#VALUE!</v>
      </c>
      <c r="AB79" s="446" t="e">
        <f>IF(OR($B79="",MIN(AB$38,$D$19)&lt;MAX($P$34*($B79+IF($R$17="Distrato",$I$38-1,0)),IF(AND($L$37=0,$P$34=0),"",$L$37-1),IF($R$17="Distrato",$E79,0))),0,YEARFRAC(MAX($P$34*($B79+IF($R$17="Distrato",$I$38-1,0)),IF(AND($L$37=0,$P$34=0),"",$L$37-1),IF($R$17="Distrato",$E79,0)),MIN(AB$38,$D$19),$P$20))-SUM($P79:AA79)</f>
        <v>#VALUE!</v>
      </c>
      <c r="AC79" s="446" t="e">
        <f>IF(OR($B79="",MIN(AC$38,$D$19)&lt;MAX($P$34*($B79+IF($R$17="Distrato",$I$38-1,0)),IF(AND($L$37=0,$P$34=0),"",$L$37-1),IF($R$17="Distrato",$E79,0))),0,YEARFRAC(MAX($P$34*($B79+IF($R$17="Distrato",$I$38-1,0)),IF(AND($L$37=0,$P$34=0),"",$L$37-1),IF($R$17="Distrato",$E79,0)),MIN(AC$38,$D$19),$P$20))-SUM($P79:AB79)</f>
        <v>#VALUE!</v>
      </c>
      <c r="AD79" s="446" t="e">
        <f>IF(OR($B79="",MIN(AD$38,$D$19)&lt;MAX($P$34*($B79+IF($R$17="Distrato",$I$38-1,0)),IF(AND($L$37=0,$P$34=0),"",$L$37-1),IF($R$17="Distrato",$E79,0))),0,YEARFRAC(MAX($P$34*($B79+IF($R$17="Distrato",$I$38-1,0)),IF(AND($L$37=0,$P$34=0),"",$L$37-1),IF($R$17="Distrato",$E79,0)),MIN(AD$38,$D$19),$P$20))-SUM($P79:AC79)</f>
        <v>#VALUE!</v>
      </c>
      <c r="AE79" s="446" t="e">
        <f>IF(OR($B79="",MIN(AE$38,$D$19)&lt;MAX($P$34*($B79+IF($R$17="Distrato",$I$38-1,0)),IF(AND($L$37=0,$P$34=0),"",$L$37-1),IF($R$17="Distrato",$E79,0))),0,YEARFRAC(MAX($P$34*($B79+IF($R$17="Distrato",$I$38-1,0)),IF(AND($L$37=0,$P$34=0),"",$L$37-1),IF($R$17="Distrato",$E79,0)),MIN(AE$38,$D$19),$P$20))-SUM($P79:AD79)</f>
        <v>#VALUE!</v>
      </c>
      <c r="AF79" s="446" t="e">
        <f>IF(OR($B79="",MIN(AF$38,$D$19)&lt;MAX($P$34*($B79+IF($R$17="Distrato",$I$38-1,0)),IF(AND($L$37=0,$P$34=0),"",$L$37-1),IF($R$17="Distrato",$E79,0))),0,YEARFRAC(MAX($P$34*($B79+IF($R$17="Distrato",$I$38-1,0)),IF(AND($L$37=0,$P$34=0),"",$L$37-1),IF($R$17="Distrato",$E79,0)),MIN(AF$38,$D$19),$P$20))-SUM($P79:AE79)</f>
        <v>#VALUE!</v>
      </c>
      <c r="AG79" s="446" t="e">
        <f>IF(OR($B79="",MIN(AG$38,$D$19)&lt;MAX($P$34*($B79+IF($R$17="Distrato",$I$38-1,0)),IF(AND($L$37=0,$P$34=0),"",$L$37-1),IF($R$17="Distrato",$E79,0))),0,YEARFRAC(MAX($P$34*($B79+IF($R$17="Distrato",$I$38-1,0)),IF(AND($L$37=0,$P$34=0),"",$L$37-1),IF($R$17="Distrato",$E79,0)),MIN(AG$38,$D$19),$P$20))-SUM($P79:AF79)</f>
        <v>#VALUE!</v>
      </c>
      <c r="AH79" s="446" t="e">
        <f>IF(OR($B79="",MIN(AH$38,$D$19)&lt;MAX($P$34*($B79+IF($R$17="Distrato",$I$38-1,0)),IF(AND($L$37=0,$P$34=0),"",$L$37-1),IF($R$17="Distrato",$E79,0))),0,YEARFRAC(MAX($P$34*($B79+IF($R$17="Distrato",$I$38-1,0)),IF(AND($L$37=0,$P$34=0),"",$L$37-1),IF($R$17="Distrato",$E79,0)),MIN(AH$38,$D$19),$P$20))-SUM($P79:AG79)</f>
        <v>#VALUE!</v>
      </c>
      <c r="AI79" s="446" t="e">
        <f>IF(OR($B79="",MIN(AI$38,$D$19)&lt;MAX($P$34*($B79+IF($R$17="Distrato",$I$38-1,0)),IF(AND($L$37=0,$P$34=0),"",$L$37-1),IF($R$17="Distrato",$E79,0))),0,YEARFRAC(MAX($P$34*($B79+IF($R$17="Distrato",$I$38-1,0)),IF(AND($L$37=0,$P$34=0),"",$L$37-1),IF($R$17="Distrato",$E79,0)),MIN(AI$38,$D$19),$P$20))-SUM($P79:AH79)</f>
        <v>#VALUE!</v>
      </c>
      <c r="AJ79" s="446" t="e">
        <f>IF(OR($B79="",MIN(AJ$38,$D$19)&lt;MAX($P$34*($B79+IF($R$17="Distrato",$I$38-1,0)),IF(AND($L$37=0,$P$34=0),"",$L$37-1),IF($R$17="Distrato",$E79,0))),0,YEARFRAC(MAX($P$34*($B79+IF($R$17="Distrato",$I$38-1,0)),IF(AND($L$37=0,$P$34=0),"",$L$37-1),IF($R$17="Distrato",$E79,0)),MIN(AJ$38,$D$19),$P$20))-SUM($P79:AI79)</f>
        <v>#VALUE!</v>
      </c>
      <c r="AK79" s="446" t="e">
        <f>IF(OR($B79="",MIN(AK$38,$D$19)&lt;MAX($P$34*($B79+IF($R$17="Distrato",$I$38-1,0)),IF(AND($L$37=0,$P$34=0),"",$L$37-1),IF($R$17="Distrato",$E79,0))),0,YEARFRAC(MAX($P$34*($B79+IF($R$17="Distrato",$I$38-1,0)),IF(AND($L$37=0,$P$34=0),"",$L$37-1),IF($R$17="Distrato",$E79,0)),MIN(AK$38,$D$19),$P$20))-SUM($P79:AJ79)</f>
        <v>#VALUE!</v>
      </c>
      <c r="AL79" s="446" t="e">
        <f>IF(OR($B79="",MIN(AL$38,$D$19)&lt;MAX($P$34*($B79+IF($R$17="Distrato",$I$38-1,0)),IF(AND($L$37=0,$P$34=0),"",$L$37-1),IF($R$17="Distrato",$E79,0))),0,YEARFRAC(MAX($P$34*($B79+IF($R$17="Distrato",$I$38-1,0)),IF(AND($L$37=0,$P$34=0),"",$L$37-1),IF($R$17="Distrato",$E79,0)),MIN(AL$38,$D$19),$P$20))-SUM($P79:AK79)</f>
        <v>#VALUE!</v>
      </c>
      <c r="AM79" s="446" t="e">
        <f>IF(OR($B79="",MIN(AM$38,$D$19)&lt;MAX($P$34*($B79+IF($R$17="Distrato",$I$38-1,0)),IF(AND($L$37=0,$P$34=0),"",$L$37-1),IF($R$17="Distrato",$E79,0))),0,YEARFRAC(MAX($P$34*($B79+IF($R$17="Distrato",$I$38-1,0)),IF(AND($L$37=0,$P$34=0),"",$L$37-1),IF($R$17="Distrato",$E79,0)),MIN(AM$38,$D$19),$P$20))-SUM($P79:AL79)</f>
        <v>#VALUE!</v>
      </c>
      <c r="AN79" s="446" t="e">
        <f>IF(OR($B79="",MIN(AN$38,$D$19)&lt;MAX($P$34*($B79+IF($R$17="Distrato",$I$38-1,0)),IF(AND($L$37=0,$P$34=0),"",$L$37-1),IF($R$17="Distrato",$E79,0))),0,YEARFRAC(MAX($P$34*($B79+IF($R$17="Distrato",$I$38-1,0)),IF(AND($L$37=0,$P$34=0),"",$L$37-1),IF($R$17="Distrato",$E79,0)),MIN(AN$38,$D$19),$P$20))-SUM($P79:AM79)</f>
        <v>#VALUE!</v>
      </c>
      <c r="AO79" s="446" t="e">
        <f>IF(OR($B79="",MIN(AO$38,$D$19)&lt;MAX($P$34*($B79+IF($R$17="Distrato",$I$38-1,0)),IF(AND($L$37=0,$P$34=0),"",$L$37-1),IF($R$17="Distrato",$E79,0))),0,YEARFRAC(MAX($P$34*($B79+IF($R$17="Distrato",$I$38-1,0)),IF(AND($L$37=0,$P$34=0),"",$L$37-1),IF($R$17="Distrato",$E79,0)),MIN(AO$38,$D$19),$P$20))-SUM($P79:AN79)</f>
        <v>#VALUE!</v>
      </c>
      <c r="AP79" s="446" t="e">
        <f>IF(OR($B79="",MIN(AP$38,$D$19)&lt;MAX($P$34*($B79+IF($R$17="Distrato",$I$38-1,0)),IF(AND($L$37=0,$P$34=0),"",$L$37-1),IF($R$17="Distrato",$E79,0))),0,YEARFRAC(MAX($P$34*($B79+IF($R$17="Distrato",$I$38-1,0)),IF(AND($L$37=0,$P$34=0),"",$L$37-1),IF($R$17="Distrato",$E79,0)),MIN(AP$38,$D$19),$P$20))-SUM($P79:AO79)</f>
        <v>#VALUE!</v>
      </c>
      <c r="AQ79" s="446" t="e">
        <f>IF(OR($B79="",MIN(AQ$38,$D$19)&lt;MAX($P$34*($B79+IF($R$17="Distrato",$I$38-1,0)),IF(AND($L$37=0,$P$34=0),"",$L$37-1),IF($R$17="Distrato",$E79,0))),0,YEARFRAC(MAX($P$34*($B79+IF($R$17="Distrato",$I$38-1,0)),IF(AND($L$37=0,$P$34=0),"",$L$37-1),IF($R$17="Distrato",$E79,0)),MIN(AQ$38,$D$19),$P$20))-SUM($P79:AP79)</f>
        <v>#VALUE!</v>
      </c>
      <c r="AR79" s="446" t="e">
        <f>IF(OR($B79="",MIN(AR$38,$D$19)&lt;MAX($P$34*($B79+IF($R$17="Distrato",$I$38-1,0)),IF(AND($L$37=0,$P$34=0),"",$L$37-1),IF($R$17="Distrato",$E79,0))),0,YEARFRAC(MAX($P$34*($B79+IF($R$17="Distrato",$I$38-1,0)),IF(AND($L$37=0,$P$34=0),"",$L$37-1),IF($R$17="Distrato",$E79,0)),MIN(AR$38,$D$19),$P$20))-SUM($P79:AQ79)</f>
        <v>#VALUE!</v>
      </c>
      <c r="AS79" s="446" t="e">
        <f>IF(OR($B79="",MIN(AS$38,$D$19)&lt;MAX($P$34*($B79+IF($R$17="Distrato",$I$38-1,0)),IF(AND($L$37=0,$P$34=0),"",$L$37-1),IF($R$17="Distrato",$E79,0))),0,YEARFRAC(MAX($P$34*($B79+IF($R$17="Distrato",$I$38-1,0)),IF(AND($L$37=0,$P$34=0),"",$L$37-1),IF($R$17="Distrato",$E79,0)),MIN(AS$38,$D$19),$P$20))-SUM($P79:AR79)</f>
        <v>#VALUE!</v>
      </c>
      <c r="AT79" s="446" t="e">
        <f>IF(OR($B79="",MIN(AT$38,$D$19)&lt;MAX($P$34*($B79+IF($R$17="Distrato",$I$38-1,0)),IF(AND($L$37=0,$P$34=0),"",$L$37-1),IF($R$17="Distrato",$E79,0))),0,YEARFRAC(MAX($P$34*($B79+IF($R$17="Distrato",$I$38-1,0)),IF(AND($L$37=0,$P$34=0),"",$L$37-1),IF($R$17="Distrato",$E79,0)),MIN(AT$38,$D$19),$P$20))-SUM($P79:AS79)</f>
        <v>#VALUE!</v>
      </c>
      <c r="AU79" s="446" t="e">
        <f>IF(OR($B79="",MIN(AU$38,$D$19)&lt;MAX($P$34*($B79+IF($R$17="Distrato",$I$38-1,0)),IF(AND($L$37=0,$P$34=0),"",$L$37-1),IF($R$17="Distrato",$E79,0))),0,YEARFRAC(MAX($P$34*($B79+IF($R$17="Distrato",$I$38-1,0)),IF(AND($L$37=0,$P$34=0),"",$L$37-1),IF($R$17="Distrato",$E79,0)),MIN(AU$38,$D$19),$P$20))-SUM($P79:AT79)</f>
        <v>#VALUE!</v>
      </c>
      <c r="AV79" s="446" t="e">
        <f>IF(OR($B79="",MIN(AV$38,$D$19)&lt;MAX($P$34*($B79+IF($R$17="Distrato",$I$38-1,0)),IF(AND($L$37=0,$P$34=0),"",$L$37-1),IF($R$17="Distrato",$E79,0))),0,YEARFRAC(MAX($P$34*($B79+IF($R$17="Distrato",$I$38-1,0)),IF(AND($L$37=0,$P$34=0),"",$L$37-1),IF($R$17="Distrato",$E79,0)),MIN(AV$38,$D$19),$P$20))-SUM($P79:AU79)</f>
        <v>#VALUE!</v>
      </c>
      <c r="AW79" s="446" t="e">
        <f>IF(OR($B79="",MIN(AW$38,$D$19)&lt;MAX($P$34*($B79+IF($R$17="Distrato",$I$38-1,0)),IF(AND($L$37=0,$P$34=0),"",$L$37-1),IF($R$17="Distrato",$E79,0))),0,YEARFRAC(MAX($P$34*($B79+IF($R$17="Distrato",$I$38-1,0)),IF(AND($L$37=0,$P$34=0),"",$L$37-1),IF($R$17="Distrato",$E79,0)),MIN(AW$38,$D$19),$P$20))-SUM($P79:AV79)</f>
        <v>#VALUE!</v>
      </c>
      <c r="AX79" s="446" t="e">
        <f>IF(OR($B79="",MIN(AX$38,$D$19)&lt;MAX($P$34*($B79+IF($R$17="Distrato",$I$38-1,0)),IF(AND($L$37=0,$P$34=0),"",$L$37-1),IF($R$17="Distrato",$E79,0))),0,YEARFRAC(MAX($P$34*($B79+IF($R$17="Distrato",$I$38-1,0)),IF(AND($L$37=0,$P$34=0),"",$L$37-1),IF($R$17="Distrato",$E79,0)),MIN(AX$38,$D$19),$P$20))-SUM($P79:AW79)</f>
        <v>#VALUE!</v>
      </c>
      <c r="AY79" s="446" t="e">
        <f>IF(OR($B79="",MIN(AY$38,$D$19)&lt;MAX($P$34*($B79+IF($R$17="Distrato",$I$38-1,0)),IF(AND($L$37=0,$P$34=0),"",$L$37-1),IF($R$17="Distrato",$E79,0))),0,YEARFRAC(MAX($P$34*($B79+IF($R$17="Distrato",$I$38-1,0)),IF(AND($L$37=0,$P$34=0),"",$L$37-1),IF($R$17="Distrato",$E79,0)),MIN(AY$38,$D$19),$P$20))-SUM($P79:AX79)</f>
        <v>#VALUE!</v>
      </c>
      <c r="AZ79" s="446" t="e">
        <f>IF(OR($B79="",MIN(AZ$38,$D$19)&lt;MAX($P$34*($B79+IF($R$17="Distrato",$I$38-1,0)),IF(AND($L$37=0,$P$34=0),"",$L$37-1),IF($R$17="Distrato",$E79,0))),0,YEARFRAC(MAX($P$34*($B79+IF($R$17="Distrato",$I$38-1,0)),IF(AND($L$37=0,$P$34=0),"",$L$37-1),IF($R$17="Distrato",$E79,0)),MIN(AZ$38,$D$19),$P$20))-SUM($P79:AY79)</f>
        <v>#VALUE!</v>
      </c>
      <c r="BA79" s="446" t="e">
        <f>IF(OR($B79="",MIN(BA$38,$D$19)&lt;MAX($P$34*($B79+IF($R$17="Distrato",$I$38-1,0)),IF(AND($L$37=0,$P$34=0),"",$L$37-1),IF($R$17="Distrato",$E79,0))),0,YEARFRAC(MAX($P$34*($B79+IF($R$17="Distrato",$I$38-1,0)),IF(AND($L$37=0,$P$34=0),"",$L$37-1),IF($R$17="Distrato",$E79,0)),MIN(BA$38,$D$19),$P$20))-SUM($P79:AZ79)</f>
        <v>#VALUE!</v>
      </c>
      <c r="BB79" s="447"/>
      <c r="BF79" s="446">
        <f t="shared" si="10"/>
        <v>0</v>
      </c>
      <c r="BG79" s="446">
        <f>IF($E79=0,0,IF(MIN(BG$38,$E79)&lt;MAX($P$34*($B79+$I$38-1),IF(AND($L$37=0,$P$34=0),"",$L$37-1)),0,YEARFRAC(MAX($P$34*($B79+$I$38-1),IF(AND($L$37=0,$P$34=0),"",$L$37-1)),MIN(BG$38,$E79),$P$20))-SUM($BF79:BF79))</f>
        <v>0</v>
      </c>
      <c r="BH79" s="446">
        <f>IF($E79=0,0,IF(MIN(BH$38,$E79)&lt;MAX($P$34*($B79+$I$38-1),IF(AND($L$37=0,$P$34=0),"",$L$37-1)),0,YEARFRAC(MAX($P$34*($B79+$I$38-1),IF(AND($L$37=0,$P$34=0),"",$L$37-1)),MIN(BH$38,$E79),$P$20))-SUM($BF79:BG79))</f>
        <v>0</v>
      </c>
      <c r="BI79" s="446">
        <f>IF($E79=0,0,IF(MIN(BI$38,$E79)&lt;MAX($P$34*($B79+$I$38-1),IF(AND($L$37=0,$P$34=0),"",$L$37-1)),0,YEARFRAC(MAX($P$34*($B79+$I$38-1),IF(AND($L$37=0,$P$34=0),"",$L$37-1)),MIN(BI$38,$E79),$P$20))-SUM($BF79:BH79))</f>
        <v>0</v>
      </c>
      <c r="BJ79" s="446">
        <f>IF($E79=0,0,IF(MIN(BJ$38,$E79)&lt;MAX($P$34*($B79+$I$38-1),IF(AND($L$37=0,$P$34=0),"",$L$37-1)),0,YEARFRAC(MAX($P$34*($B79+$I$38-1),IF(AND($L$37=0,$P$34=0),"",$L$37-1)),MIN(BJ$38,$E79),$P$20))-SUM($BF79:BI79))</f>
        <v>0</v>
      </c>
      <c r="BK79" s="446">
        <f>IF($E79=0,0,IF(MIN(BK$38,$E79)&lt;MAX($P$34*($B79+$I$38-1),IF(AND($L$37=0,$P$34=0),"",$L$37-1)),0,YEARFRAC(MAX($P$34*($B79+$I$38-1),IF(AND($L$37=0,$P$34=0),"",$L$37-1)),MIN(BK$38,$E79),$P$20))-SUM($BF79:BJ79))</f>
        <v>0</v>
      </c>
      <c r="BL79" s="446">
        <f>IF($E79=0,0,IF(MIN(BL$38,$E79)&lt;MAX($P$34*($B79+$I$38-1),IF(AND($L$37=0,$P$34=0),"",$L$37-1)),0,YEARFRAC(MAX($P$34*($B79+$I$38-1),IF(AND($L$37=0,$P$34=0),"",$L$37-1)),MIN(BL$38,$E79),$P$20))-SUM($BF79:BK79))</f>
        <v>0</v>
      </c>
      <c r="BM79" s="446">
        <f>IF($E79=0,0,IF(MIN(BM$38,$E79)&lt;MAX($P$34*($B79+$I$38-1),IF(AND($L$37=0,$P$34=0),"",$L$37-1)),0,YEARFRAC(MAX($P$34*($B79+$I$38-1),IF(AND($L$37=0,$P$34=0),"",$L$37-1)),MIN(BM$38,$E79),$P$20))-SUM($BF79:BL79))</f>
        <v>0</v>
      </c>
      <c r="BN79" s="446">
        <f>IF($E79=0,0,IF(MIN(BN$38,$E79)&lt;MAX($P$34*($B79+$I$38-1),IF(AND($L$37=0,$P$34=0),"",$L$37-1)),0,YEARFRAC(MAX($P$34*($B79+$I$38-1),IF(AND($L$37=0,$P$34=0),"",$L$37-1)),MIN(BN$38,$E79),$P$20))-SUM($BF79:BM79))</f>
        <v>0</v>
      </c>
      <c r="BO79" s="446">
        <f>IF($E79=0,0,IF(MIN(BO$38,$E79)&lt;MAX($P$34*($B79+$I$38-1),IF(AND($L$37=0,$P$34=0),"",$L$37-1)),0,YEARFRAC(MAX($P$34*($B79+$I$38-1),IF(AND($L$37=0,$P$34=0),"",$L$37-1)),MIN(BO$38,$E79),$P$20))-SUM($BF79:BN79))</f>
        <v>0</v>
      </c>
      <c r="BP79" s="446">
        <f>IF($E79=0,0,IF(MIN(BP$38,$E79)&lt;MAX($P$34*($B79+$I$38-1),IF(AND($L$37=0,$P$34=0),"",$L$37-1)),0,YEARFRAC(MAX($P$34*($B79+$I$38-1),IF(AND($L$37=0,$P$34=0),"",$L$37-1)),MIN(BP$38,$E79),$P$20))-SUM($BF79:BO79))</f>
        <v>0</v>
      </c>
      <c r="BQ79" s="446">
        <f>IF($E79=0,0,IF(MIN(BQ$38,$E79)&lt;MAX($P$34*($B79+$I$38-1),IF(AND($L$37=0,$P$34=0),"",$L$37-1)),0,YEARFRAC(MAX($P$34*($B79+$I$38-1),IF(AND($L$37=0,$P$34=0),"",$L$37-1)),MIN(BQ$38,$E79),$P$20))-SUM($BF79:BP79))</f>
        <v>0</v>
      </c>
      <c r="BR79" s="446">
        <f>IF($E79=0,0,IF(MIN(BR$38,$E79)&lt;MAX($P$34*($B79+$I$38-1),IF(AND($L$37=0,$P$34=0),"",$L$37-1)),0,YEARFRAC(MAX($P$34*($B79+$I$38-1),IF(AND($L$37=0,$P$34=0),"",$L$37-1)),MIN(BR$38,$E79),$P$20))-SUM($BF79:BQ79))</f>
        <v>0</v>
      </c>
      <c r="BS79" s="446">
        <f>IF($E79=0,0,IF(MIN(BS$38,$E79)&lt;MAX($P$34*($B79+$I$38-1),IF(AND($L$37=0,$P$34=0),"",$L$37-1)),0,YEARFRAC(MAX($P$34*($B79+$I$38-1),IF(AND($L$37=0,$P$34=0),"",$L$37-1)),MIN(BS$38,$E79),$P$20))-SUM($BF79:BR79))</f>
        <v>0</v>
      </c>
      <c r="BT79" s="446">
        <f>IF($E79=0,0,IF(MIN(BT$38,$E79)&lt;MAX($P$34*($B79+$I$38-1),IF(AND($L$37=0,$P$34=0),"",$L$37-1)),0,YEARFRAC(MAX($P$34*($B79+$I$38-1),IF(AND($L$37=0,$P$34=0),"",$L$37-1)),MIN(BT$38,$E79),$P$20))-SUM($BF79:BS79))</f>
        <v>0</v>
      </c>
      <c r="BU79" s="446">
        <f>IF($E79=0,0,IF(MIN(BU$38,$E79)&lt;MAX($P$34*($B79+$I$38-1),IF(AND($L$37=0,$P$34=0),"",$L$37-1)),0,YEARFRAC(MAX($P$34*($B79+$I$38-1),IF(AND($L$37=0,$P$34=0),"",$L$37-1)),MIN(BU$38,$E79),$P$20))-SUM($BF79:BT79))</f>
        <v>0</v>
      </c>
      <c r="BV79" s="446">
        <f>IF($E79=0,0,IF(MIN(BV$38,$E79)&lt;MAX($P$34*($B79+$I$38-1),IF(AND($L$37=0,$P$34=0),"",$L$37-1)),0,YEARFRAC(MAX($P$34*($B79+$I$38-1),IF(AND($L$37=0,$P$34=0),"",$L$37-1)),MIN(BV$38,$E79),$P$20))-SUM($BF79:BU79))</f>
        <v>0</v>
      </c>
      <c r="BW79" s="446">
        <f>IF($E79=0,0,IF(MIN(BW$38,$E79)&lt;MAX($P$34*($B79+$I$38-1),IF(AND($L$37=0,$P$34=0),"",$L$37-1)),0,YEARFRAC(MAX($P$34*($B79+$I$38-1),IF(AND($L$37=0,$P$34=0),"",$L$37-1)),MIN(BW$38,$E79),$P$20))-SUM($BF79:BV79))</f>
        <v>0</v>
      </c>
      <c r="BX79" s="446">
        <f>IF($E79=0,0,IF(MIN(BX$38,$E79)&lt;MAX($P$34*($B79+$I$38-1),IF(AND($L$37=0,$P$34=0),"",$L$37-1)),0,YEARFRAC(MAX($P$34*($B79+$I$38-1),IF(AND($L$37=0,$P$34=0),"",$L$37-1)),MIN(BX$38,$E79),$P$20))-SUM($BF79:BW79))</f>
        <v>0</v>
      </c>
      <c r="BY79" s="446">
        <f>IF($E79=0,0,IF(MIN(BY$38,$E79)&lt;MAX($P$34*($B79+$I$38-1),IF(AND($L$37=0,$P$34=0),"",$L$37-1)),0,YEARFRAC(MAX($P$34*($B79+$I$38-1),IF(AND($L$37=0,$P$34=0),"",$L$37-1)),MIN(BY$38,$E79),$P$20))-SUM($BF79:BX79))</f>
        <v>0</v>
      </c>
      <c r="BZ79" s="446">
        <f>IF($E79=0,0,IF(MIN(BZ$38,$E79)&lt;MAX($P$34*($B79+$I$38-1),IF(AND($L$37=0,$P$34=0),"",$L$37-1)),0,YEARFRAC(MAX($P$34*($B79+$I$38-1),IF(AND($L$37=0,$P$34=0),"",$L$37-1)),MIN(BZ$38,$E79),$P$20))-SUM($BF79:BY79))</f>
        <v>0</v>
      </c>
      <c r="CA79" s="446">
        <f>IF($E79=0,0,IF(MIN(CA$38,$E79)&lt;MAX($P$34*($B79+$I$38-1),IF(AND($L$37=0,$P$34=0),"",$L$37-1)),0,YEARFRAC(MAX($P$34*($B79+$I$38-1),IF(AND($L$37=0,$P$34=0),"",$L$37-1)),MIN(CA$38,$E79),$P$20))-SUM($BF79:BZ79))</f>
        <v>0</v>
      </c>
      <c r="CB79" s="446">
        <f>IF($E79=0,0,IF(MIN(CB$38,$E79)&lt;MAX($P$34*($B79+$I$38-1),IF(AND($L$37=0,$P$34=0),"",$L$37-1)),0,YEARFRAC(MAX($P$34*($B79+$I$38-1),IF(AND($L$37=0,$P$34=0),"",$L$37-1)),MIN(CB$38,$E79),$P$20))-SUM($BF79:CA79))</f>
        <v>0</v>
      </c>
      <c r="CC79" s="446">
        <f>IF($E79=0,0,IF(MIN(CC$38,$E79)&lt;MAX($P$34*($B79+$I$38-1),IF(AND($L$37=0,$P$34=0),"",$L$37-1)),0,YEARFRAC(MAX($P$34*($B79+$I$38-1),IF(AND($L$37=0,$P$34=0),"",$L$37-1)),MIN(CC$38,$E79),$P$20))-SUM($BF79:CB79))</f>
        <v>0</v>
      </c>
      <c r="CD79" s="446">
        <f>IF($E79=0,0,IF(MIN(CD$38,$E79)&lt;MAX($P$34*($B79+$I$38-1),IF(AND($L$37=0,$P$34=0),"",$L$37-1)),0,YEARFRAC(MAX($P$34*($B79+$I$38-1),IF(AND($L$37=0,$P$34=0),"",$L$37-1)),MIN(CD$38,$E79),$P$20))-SUM($BF79:CC79))</f>
        <v>0</v>
      </c>
      <c r="CE79" s="446">
        <f>IF($E79=0,0,IF(MIN(CE$38,$E79)&lt;MAX($P$34*($B79+$I$38-1),IF(AND($L$37=0,$P$34=0),"",$L$37-1)),0,YEARFRAC(MAX($P$34*($B79+$I$38-1),IF(AND($L$37=0,$P$34=0),"",$L$37-1)),MIN(CE$38,$E79),$P$20))-SUM($BF79:CD79))</f>
        <v>0</v>
      </c>
      <c r="CF79" s="446">
        <f>IF($E79=0,0,IF(MIN(CF$38,$E79)&lt;MAX($P$34*($B79+$I$38-1),IF(AND($L$37=0,$P$34=0),"",$L$37-1)),0,YEARFRAC(MAX($P$34*($B79+$I$38-1),IF(AND($L$37=0,$P$34=0),"",$L$37-1)),MIN(CF$38,$E79),$P$20))-SUM($BF79:CE79))</f>
        <v>0</v>
      </c>
      <c r="CG79" s="446">
        <f>IF($E79=0,0,IF(MIN(CG$38,$E79)&lt;MAX($P$34*($B79+$I$38-1),IF(AND($L$37=0,$P$34=0),"",$L$37-1)),0,YEARFRAC(MAX($P$34*($B79+$I$38-1),IF(AND($L$37=0,$P$34=0),"",$L$37-1)),MIN(CG$38,$E79),$P$20))-SUM($BF79:CF79))</f>
        <v>0</v>
      </c>
      <c r="CH79" s="446">
        <f>IF($E79=0,0,IF(MIN(CH$38,$E79)&lt;MAX($P$34*($B79+$I$38-1),IF(AND($L$37=0,$P$34=0),"",$L$37-1)),0,YEARFRAC(MAX($P$34*($B79+$I$38-1),IF(AND($L$37=0,$P$34=0),"",$L$37-1)),MIN(CH$38,$E79),$P$20))-SUM($BF79:CG79))</f>
        <v>0</v>
      </c>
      <c r="CI79" s="446">
        <f>IF($E79=0,0,IF(MIN(CI$38,$E79)&lt;MAX($P$34*($B79+$I$38-1),IF(AND($L$37=0,$P$34=0),"",$L$37-1)),0,YEARFRAC(MAX($P$34*($B79+$I$38-1),IF(AND($L$37=0,$P$34=0),"",$L$37-1)),MIN(CI$38,$E79),$P$20))-SUM($BF79:CH79))</f>
        <v>0</v>
      </c>
      <c r="CJ79" s="446">
        <f>IF($E79=0,0,IF(MIN(CJ$38,$E79)&lt;MAX($P$34*($B79+$I$38-1),IF(AND($L$37=0,$P$34=0),"",$L$37-1)),0,YEARFRAC(MAX($P$34*($B79+$I$38-1),IF(AND($L$37=0,$P$34=0),"",$L$37-1)),MIN(CJ$38,$E79),$P$20))-SUM($BF79:CI79))</f>
        <v>0</v>
      </c>
      <c r="CK79" s="446">
        <f>IF($E79=0,0,IF(MIN(CK$38,$E79)&lt;MAX($P$34*($B79+$I$38-1),IF(AND($L$37=0,$P$34=0),"",$L$37-1)),0,YEARFRAC(MAX($P$34*($B79+$I$38-1),IF(AND($L$37=0,$P$34=0),"",$L$37-1)),MIN(CK$38,$E79),$P$20))-SUM($BF79:CJ79))</f>
        <v>0</v>
      </c>
      <c r="CL79" s="446">
        <f>IF($E79=0,0,IF(MIN(CL$38,$E79)&lt;MAX($P$34*($B79+$I$38-1),IF(AND($L$37=0,$P$34=0),"",$L$37-1)),0,YEARFRAC(MAX($P$34*($B79+$I$38-1),IF(AND($L$37=0,$P$34=0),"",$L$37-1)),MIN(CL$38,$E79),$P$20))-SUM($BF79:CK79))</f>
        <v>0</v>
      </c>
      <c r="CM79" s="446">
        <f>IF($E79=0,0,IF(MIN(CM$38,$E79)&lt;MAX($P$34*($B79+$I$38-1),IF(AND($L$37=0,$P$34=0),"",$L$37-1)),0,YEARFRAC(MAX($P$34*($B79+$I$38-1),IF(AND($L$37=0,$P$34=0),"",$L$37-1)),MIN(CM$38,$E79),$P$20))-SUM($BF79:CL79))</f>
        <v>0</v>
      </c>
      <c r="CN79" s="446">
        <f>IF($E79=0,0,IF(MIN(CN$38,$E79)&lt;MAX($P$34*($B79+$I$38-1),IF(AND($L$37=0,$P$34=0),"",$L$37-1)),0,YEARFRAC(MAX($P$34*($B79+$I$38-1),IF(AND($L$37=0,$P$34=0),"",$L$37-1)),MIN(CN$38,$E79),$P$20))-SUM($BF79:CM79))</f>
        <v>0</v>
      </c>
      <c r="CO79" s="446">
        <f>IF($E79=0,0,IF(MIN(CO$38,$E79)&lt;MAX($P$34*($B79+$I$38-1),IF(AND($L$37=0,$P$34=0),"",$L$37-1)),0,YEARFRAC(MAX($P$34*($B79+$I$38-1),IF(AND($L$37=0,$P$34=0),"",$L$37-1)),MIN(CO$38,$E79),$P$20))-SUM($BF79:CN79))</f>
        <v>0</v>
      </c>
      <c r="CP79" s="446">
        <f>IF($E79=0,0,IF(MIN(CP$38,$E79)&lt;MAX($P$34*($B79+$I$38-1),IF(AND($L$37=0,$P$34=0),"",$L$37-1)),0,YEARFRAC(MAX($P$34*($B79+$I$38-1),IF(AND($L$37=0,$P$34=0),"",$L$37-1)),MIN(CP$38,$E79),$P$20))-SUM($BF79:CO79))</f>
        <v>0</v>
      </c>
      <c r="CQ79" s="446">
        <f>IF($E79=0,0,IF(MIN(CQ$38,$E79)&lt;MAX($P$34*($B79+$I$38-1),IF(AND($L$37=0,$P$34=0),"",$L$37-1)),0,YEARFRAC(MAX($P$34*($B79+$I$38-1),IF(AND($L$37=0,$P$34=0),"",$L$37-1)),MIN(CQ$38,$E79),$P$20))-SUM($BF79:CP79))</f>
        <v>0</v>
      </c>
    </row>
    <row r="80" spans="1:95" s="446" customFormat="1" ht="11.25" hidden="1" customHeight="1" x14ac:dyDescent="0.2">
      <c r="A80" s="152"/>
      <c r="B80" s="153" t="str">
        <f t="shared" si="15"/>
        <v/>
      </c>
      <c r="C80" s="29" t="str">
        <f>IF(B80="","",IF($L$35="SELIC - TRIBUTOS",VLOOKUP(DATE(YEAR($D$19),MONTH($D$19)-1,1),ÍNDICES!$A:$DE,HLOOKUP($BL$25,ÍNDICES!$B$3:$T$4,2)+11)-VLOOKUP(B80,ÍNDICES!$A:$DE,HLOOKUP($BL$25,ÍNDICES!$B$3:$T$4,2)+11)+1%,IF(C$38=$W$26,$J$35,IF(ISERROR(IF(B80&gt;$D$19,1,VLOOKUP(DATE(YEAR(B80),MONTH(B80)+IF($C$35=$S$23,1,0),1),ÍNDICES!$A:$DE,$Z$35+1))),"",IF(B80&gt;$D$19,1,VLOOKUP(DATE(YEAR(B80),MONTH(B80)+IF($C$35=$S$23,1,0),1),ÍNDICES!$A:$DE,$Z$35+1))))))</f>
        <v/>
      </c>
      <c r="D80" s="154" t="str">
        <f>IF(ISERROR(IF(OR($D$38=$Y$27,$B80=""),"",VLOOKUP(B80,ÍNDICES!A:DE,AF$35+1))),"",IF(OR($D$38=$Y$27,$B80=""),"",VLOOKUP(B80,ÍNDICES!A:DE,AF$35+1)))</f>
        <v/>
      </c>
      <c r="E80" s="153"/>
      <c r="F80" s="29" t="str">
        <f>IF(E80="","",IF($L$35="SELIC - TRIBUTOS",VLOOKUP(DATE(YEAR($D$19),MONTH($D$19)-1,1),ÍNDICES!$A:$DE,HLOOKUP($BL$25,ÍNDICES!$B$3:$T$4,2)+11)-VLOOKUP(E80,ÍNDICES!$A:$DE,HLOOKUP($BL$25,ÍNDICES!$B$3:$T$4,2)+11)+1%,IF(F$38=$W$26,$J$35,IF(ISERROR(IF(E80&gt;$D$19,1,VLOOKUP(DATE(YEAR(E80),MONTH(E80)+IF($C$35=$S$23,1,0),1),ÍNDICES!$A:$DE,$Z$35+1))),"",IF(E80&gt;$D$19,1,VLOOKUP(DATE(YEAR(E80),MONTH(E80)+IF($C$35=$S$23,1,0),1),ÍNDICES!$A:$DE,$Z$35+1))))))</f>
        <v/>
      </c>
      <c r="G80" s="155"/>
      <c r="H80" s="156" t="str">
        <f t="shared" si="11"/>
        <v/>
      </c>
      <c r="I80" s="29" t="str">
        <f t="shared" si="5"/>
        <v/>
      </c>
      <c r="J80" s="5">
        <f t="shared" si="6"/>
        <v>0</v>
      </c>
      <c r="K80" s="20">
        <f t="shared" ca="1" si="7"/>
        <v>0</v>
      </c>
      <c r="L80" s="5">
        <f t="shared" ca="1" si="8"/>
        <v>0</v>
      </c>
      <c r="M80" s="64">
        <f t="shared" si="12"/>
        <v>0</v>
      </c>
      <c r="N80" s="61">
        <f t="shared" ca="1" si="13"/>
        <v>0</v>
      </c>
      <c r="O80" s="5">
        <f t="shared" ca="1" si="14"/>
        <v>0</v>
      </c>
      <c r="P80" s="446" t="e">
        <f t="shared" si="9"/>
        <v>#VALUE!</v>
      </c>
      <c r="Q80" s="446" t="e">
        <f>IF(OR($B80="",MIN(Q$38,$D$19)&lt;MAX($P$34*($B80+IF($R$17="Distrato",$I$38-1,0)),IF(AND($L$37=0,$P$34=0),"",$L$37-1),IF($R$17="Distrato",$E80,0))),0,YEARFRAC(MAX($P$34*($B80+IF($R$17="Distrato",$I$38-1,0)),IF(AND($L$37=0,$P$34=0),"",$L$37-1),IF($R$17="Distrato",$E80,0)),MIN(Q$38,$D$19),$P$20))-SUM($P80:P80)</f>
        <v>#VALUE!</v>
      </c>
      <c r="R80" s="446" t="e">
        <f>IF(OR($B80="",MIN(R$38,$D$19)&lt;MAX($P$34*($B80+IF($R$17="Distrato",$I$38-1,0)),IF(AND($L$37=0,$P$34=0),"",$L$37-1),IF($R$17="Distrato",$E80,0))),0,YEARFRAC(MAX($P$34*($B80+IF($R$17="Distrato",$I$38-1,0)),IF(AND($L$37=0,$P$34=0),"",$L$37-1),IF($R$17="Distrato",$E80,0)),MIN(R$38,$D$19),$P$20))-SUM($P80:Q80)</f>
        <v>#VALUE!</v>
      </c>
      <c r="S80" s="446" t="e">
        <f>IF(OR($B80="",MIN(S$38,$D$19)&lt;MAX($P$34*($B80+IF($R$17="Distrato",$I$38-1,0)),IF(AND($L$37=0,$P$34=0),"",$L$37-1),IF($R$17="Distrato",$E80,0))),0,YEARFRAC(MAX($P$34*($B80+IF($R$17="Distrato",$I$38-1,0)),IF(AND($L$37=0,$P$34=0),"",$L$37-1),IF($R$17="Distrato",$E80,0)),MIN(S$38,$D$19),$P$20))-SUM($P80:R80)</f>
        <v>#VALUE!</v>
      </c>
      <c r="T80" s="446" t="e">
        <f>IF(OR($B80="",MIN(T$38,$D$19)&lt;MAX($P$34*($B80+IF($R$17="Distrato",$I$38-1,0)),IF(AND($L$37=0,$P$34=0),"",$L$37-1),IF($R$17="Distrato",$E80,0))),0,YEARFRAC(MAX($P$34*($B80+IF($R$17="Distrato",$I$38-1,0)),IF(AND($L$37=0,$P$34=0),"",$L$37-1),IF($R$17="Distrato",$E80,0)),MIN(T$38,$D$19),$P$20))-SUM($P80:S80)</f>
        <v>#VALUE!</v>
      </c>
      <c r="U80" s="446" t="e">
        <f>IF(OR($B80="",MIN(U$38,$D$19)&lt;MAX($P$34*($B80+IF($R$17="Distrato",$I$38-1,0)),IF(AND($L$37=0,$P$34=0),"",$L$37-1),IF($R$17="Distrato",$E80,0))),0,YEARFRAC(MAX($P$34*($B80+IF($R$17="Distrato",$I$38-1,0)),IF(AND($L$37=0,$P$34=0),"",$L$37-1),IF($R$17="Distrato",$E80,0)),MIN(U$38,$D$19),$P$20))-SUM($P80:T80)</f>
        <v>#VALUE!</v>
      </c>
      <c r="V80" s="446" t="e">
        <f>IF(OR($B80="",MIN(V$38,$D$19)&lt;MAX($P$34*($B80+IF($R$17="Distrato",$I$38-1,0)),IF(AND($L$37=0,$P$34=0),"",$L$37-1),IF($R$17="Distrato",$E80,0))),0,YEARFRAC(MAX($P$34*($B80+IF($R$17="Distrato",$I$38-1,0)),IF(AND($L$37=0,$P$34=0),"",$L$37-1),IF($R$17="Distrato",$E80,0)),MIN(V$38,$D$19),$P$20))-SUM($P80:U80)</f>
        <v>#VALUE!</v>
      </c>
      <c r="W80" s="446" t="e">
        <f>IF(OR($B80="",MIN(W$38,$D$19)&lt;MAX($P$34*($B80+IF($R$17="Distrato",$I$38-1,0)),IF(AND($L$37=0,$P$34=0),"",$L$37-1),IF($R$17="Distrato",$E80,0))),0,YEARFRAC(MAX($P$34*($B80+IF($R$17="Distrato",$I$38-1,0)),IF(AND($L$37=0,$P$34=0),"",$L$37-1),IF($R$17="Distrato",$E80,0)),MIN(W$38,$D$19),$P$20))-SUM($P80:V80)</f>
        <v>#VALUE!</v>
      </c>
      <c r="X80" s="446" t="e">
        <f>IF(OR($B80="",MIN(X$38,$D$19)&lt;MAX($P$34*($B80+IF($R$17="Distrato",$I$38-1,0)),IF(AND($L$37=0,$P$34=0),"",$L$37-1),IF($R$17="Distrato",$E80,0))),0,YEARFRAC(MAX($P$34*($B80+IF($R$17="Distrato",$I$38-1,0)),IF(AND($L$37=0,$P$34=0),"",$L$37-1),IF($R$17="Distrato",$E80,0)),MIN(X$38,$D$19),$P$20))-SUM($P80:W80)</f>
        <v>#VALUE!</v>
      </c>
      <c r="Y80" s="446" t="e">
        <f>IF(OR($B80="",MIN(Y$38,$D$19)&lt;MAX($P$34*($B80+IF($R$17="Distrato",$I$38-1,0)),IF(AND($L$37=0,$P$34=0),"",$L$37-1),IF($R$17="Distrato",$E80,0))),0,YEARFRAC(MAX($P$34*($B80+IF($R$17="Distrato",$I$38-1,0)),IF(AND($L$37=0,$P$34=0),"",$L$37-1),IF($R$17="Distrato",$E80,0)),MIN(Y$38,$D$19),$P$20))-SUM($P80:X80)</f>
        <v>#VALUE!</v>
      </c>
      <c r="Z80" s="446" t="e">
        <f>IF(OR($B80="",MIN(Z$38,$D$19)&lt;MAX($P$34*($B80+IF($R$17="Distrato",$I$38-1,0)),IF(AND($L$37=0,$P$34=0),"",$L$37-1),IF($R$17="Distrato",$E80,0))),0,YEARFRAC(MAX($P$34*($B80+IF($R$17="Distrato",$I$38-1,0)),IF(AND($L$37=0,$P$34=0),"",$L$37-1),IF($R$17="Distrato",$E80,0)),MIN(Z$38,$D$19),$P$20))-SUM($P80:Y80)</f>
        <v>#VALUE!</v>
      </c>
      <c r="AA80" s="446" t="e">
        <f>IF(OR($B80="",MIN(AA$38,$D$19)&lt;MAX($P$34*($B80+IF($R$17="Distrato",$I$38-1,0)),IF(AND($L$37=0,$P$34=0),"",$L$37-1),IF($R$17="Distrato",$E80,0))),0,YEARFRAC(MAX($P$34*($B80+IF($R$17="Distrato",$I$38-1,0)),IF(AND($L$37=0,$P$34=0),"",$L$37-1),IF($R$17="Distrato",$E80,0)),MIN(AA$38,$D$19),$P$20))-SUM($P80:Z80)</f>
        <v>#VALUE!</v>
      </c>
      <c r="AB80" s="446" t="e">
        <f>IF(OR($B80="",MIN(AB$38,$D$19)&lt;MAX($P$34*($B80+IF($R$17="Distrato",$I$38-1,0)),IF(AND($L$37=0,$P$34=0),"",$L$37-1),IF($R$17="Distrato",$E80,0))),0,YEARFRAC(MAX($P$34*($B80+IF($R$17="Distrato",$I$38-1,0)),IF(AND($L$37=0,$P$34=0),"",$L$37-1),IF($R$17="Distrato",$E80,0)),MIN(AB$38,$D$19),$P$20))-SUM($P80:AA80)</f>
        <v>#VALUE!</v>
      </c>
      <c r="AC80" s="446" t="e">
        <f>IF(OR($B80="",MIN(AC$38,$D$19)&lt;MAX($P$34*($B80+IF($R$17="Distrato",$I$38-1,0)),IF(AND($L$37=0,$P$34=0),"",$L$37-1),IF($R$17="Distrato",$E80,0))),0,YEARFRAC(MAX($P$34*($B80+IF($R$17="Distrato",$I$38-1,0)),IF(AND($L$37=0,$P$34=0),"",$L$37-1),IF($R$17="Distrato",$E80,0)),MIN(AC$38,$D$19),$P$20))-SUM($P80:AB80)</f>
        <v>#VALUE!</v>
      </c>
      <c r="AD80" s="446" t="e">
        <f>IF(OR($B80="",MIN(AD$38,$D$19)&lt;MAX($P$34*($B80+IF($R$17="Distrato",$I$38-1,0)),IF(AND($L$37=0,$P$34=0),"",$L$37-1),IF($R$17="Distrato",$E80,0))),0,YEARFRAC(MAX($P$34*($B80+IF($R$17="Distrato",$I$38-1,0)),IF(AND($L$37=0,$P$34=0),"",$L$37-1),IF($R$17="Distrato",$E80,0)),MIN(AD$38,$D$19),$P$20))-SUM($P80:AC80)</f>
        <v>#VALUE!</v>
      </c>
      <c r="AE80" s="446" t="e">
        <f>IF(OR($B80="",MIN(AE$38,$D$19)&lt;MAX($P$34*($B80+IF($R$17="Distrato",$I$38-1,0)),IF(AND($L$37=0,$P$34=0),"",$L$37-1),IF($R$17="Distrato",$E80,0))),0,YEARFRAC(MAX($P$34*($B80+IF($R$17="Distrato",$I$38-1,0)),IF(AND($L$37=0,$P$34=0),"",$L$37-1),IF($R$17="Distrato",$E80,0)),MIN(AE$38,$D$19),$P$20))-SUM($P80:AD80)</f>
        <v>#VALUE!</v>
      </c>
      <c r="AF80" s="446" t="e">
        <f>IF(OR($B80="",MIN(AF$38,$D$19)&lt;MAX($P$34*($B80+IF($R$17="Distrato",$I$38-1,0)),IF(AND($L$37=0,$P$34=0),"",$L$37-1),IF($R$17="Distrato",$E80,0))),0,YEARFRAC(MAX($P$34*($B80+IF($R$17="Distrato",$I$38-1,0)),IF(AND($L$37=0,$P$34=0),"",$L$37-1),IF($R$17="Distrato",$E80,0)),MIN(AF$38,$D$19),$P$20))-SUM($P80:AE80)</f>
        <v>#VALUE!</v>
      </c>
      <c r="AG80" s="446" t="e">
        <f>IF(OR($B80="",MIN(AG$38,$D$19)&lt;MAX($P$34*($B80+IF($R$17="Distrato",$I$38-1,0)),IF(AND($L$37=0,$P$34=0),"",$L$37-1),IF($R$17="Distrato",$E80,0))),0,YEARFRAC(MAX($P$34*($B80+IF($R$17="Distrato",$I$38-1,0)),IF(AND($L$37=0,$P$34=0),"",$L$37-1),IF($R$17="Distrato",$E80,0)),MIN(AG$38,$D$19),$P$20))-SUM($P80:AF80)</f>
        <v>#VALUE!</v>
      </c>
      <c r="AH80" s="446" t="e">
        <f>IF(OR($B80="",MIN(AH$38,$D$19)&lt;MAX($P$34*($B80+IF($R$17="Distrato",$I$38-1,0)),IF(AND($L$37=0,$P$34=0),"",$L$37-1),IF($R$17="Distrato",$E80,0))),0,YEARFRAC(MAX($P$34*($B80+IF($R$17="Distrato",$I$38-1,0)),IF(AND($L$37=0,$P$34=0),"",$L$37-1),IF($R$17="Distrato",$E80,0)),MIN(AH$38,$D$19),$P$20))-SUM($P80:AG80)</f>
        <v>#VALUE!</v>
      </c>
      <c r="AI80" s="446" t="e">
        <f>IF(OR($B80="",MIN(AI$38,$D$19)&lt;MAX($P$34*($B80+IF($R$17="Distrato",$I$38-1,0)),IF(AND($L$37=0,$P$34=0),"",$L$37-1),IF($R$17="Distrato",$E80,0))),0,YEARFRAC(MAX($P$34*($B80+IF($R$17="Distrato",$I$38-1,0)),IF(AND($L$37=0,$P$34=0),"",$L$37-1),IF($R$17="Distrato",$E80,0)),MIN(AI$38,$D$19),$P$20))-SUM($P80:AH80)</f>
        <v>#VALUE!</v>
      </c>
      <c r="AJ80" s="446" t="e">
        <f>IF(OR($B80="",MIN(AJ$38,$D$19)&lt;MAX($P$34*($B80+IF($R$17="Distrato",$I$38-1,0)),IF(AND($L$37=0,$P$34=0),"",$L$37-1),IF($R$17="Distrato",$E80,0))),0,YEARFRAC(MAX($P$34*($B80+IF($R$17="Distrato",$I$38-1,0)),IF(AND($L$37=0,$P$34=0),"",$L$37-1),IF($R$17="Distrato",$E80,0)),MIN(AJ$38,$D$19),$P$20))-SUM($P80:AI80)</f>
        <v>#VALUE!</v>
      </c>
      <c r="AK80" s="446" t="e">
        <f>IF(OR($B80="",MIN(AK$38,$D$19)&lt;MAX($P$34*($B80+IF($R$17="Distrato",$I$38-1,0)),IF(AND($L$37=0,$P$34=0),"",$L$37-1),IF($R$17="Distrato",$E80,0))),0,YEARFRAC(MAX($P$34*($B80+IF($R$17="Distrato",$I$38-1,0)),IF(AND($L$37=0,$P$34=0),"",$L$37-1),IF($R$17="Distrato",$E80,0)),MIN(AK$38,$D$19),$P$20))-SUM($P80:AJ80)</f>
        <v>#VALUE!</v>
      </c>
      <c r="AL80" s="446" t="e">
        <f>IF(OR($B80="",MIN(AL$38,$D$19)&lt;MAX($P$34*($B80+IF($R$17="Distrato",$I$38-1,0)),IF(AND($L$37=0,$P$34=0),"",$L$37-1),IF($R$17="Distrato",$E80,0))),0,YEARFRAC(MAX($P$34*($B80+IF($R$17="Distrato",$I$38-1,0)),IF(AND($L$37=0,$P$34=0),"",$L$37-1),IF($R$17="Distrato",$E80,0)),MIN(AL$38,$D$19),$P$20))-SUM($P80:AK80)</f>
        <v>#VALUE!</v>
      </c>
      <c r="AM80" s="446" t="e">
        <f>IF(OR($B80="",MIN(AM$38,$D$19)&lt;MAX($P$34*($B80+IF($R$17="Distrato",$I$38-1,0)),IF(AND($L$37=0,$P$34=0),"",$L$37-1),IF($R$17="Distrato",$E80,0))),0,YEARFRAC(MAX($P$34*($B80+IF($R$17="Distrato",$I$38-1,0)),IF(AND($L$37=0,$P$34=0),"",$L$37-1),IF($R$17="Distrato",$E80,0)),MIN(AM$38,$D$19),$P$20))-SUM($P80:AL80)</f>
        <v>#VALUE!</v>
      </c>
      <c r="AN80" s="446" t="e">
        <f>IF(OR($B80="",MIN(AN$38,$D$19)&lt;MAX($P$34*($B80+IF($R$17="Distrato",$I$38-1,0)),IF(AND($L$37=0,$P$34=0),"",$L$37-1),IF($R$17="Distrato",$E80,0))),0,YEARFRAC(MAX($P$34*($B80+IF($R$17="Distrato",$I$38-1,0)),IF(AND($L$37=0,$P$34=0),"",$L$37-1),IF($R$17="Distrato",$E80,0)),MIN(AN$38,$D$19),$P$20))-SUM($P80:AM80)</f>
        <v>#VALUE!</v>
      </c>
      <c r="AO80" s="446" t="e">
        <f>IF(OR($B80="",MIN(AO$38,$D$19)&lt;MAX($P$34*($B80+IF($R$17="Distrato",$I$38-1,0)),IF(AND($L$37=0,$P$34=0),"",$L$37-1),IF($R$17="Distrato",$E80,0))),0,YEARFRAC(MAX($P$34*($B80+IF($R$17="Distrato",$I$38-1,0)),IF(AND($L$37=0,$P$34=0),"",$L$37-1),IF($R$17="Distrato",$E80,0)),MIN(AO$38,$D$19),$P$20))-SUM($P80:AN80)</f>
        <v>#VALUE!</v>
      </c>
      <c r="AP80" s="446" t="e">
        <f>IF(OR($B80="",MIN(AP$38,$D$19)&lt;MAX($P$34*($B80+IF($R$17="Distrato",$I$38-1,0)),IF(AND($L$37=0,$P$34=0),"",$L$37-1),IF($R$17="Distrato",$E80,0))),0,YEARFRAC(MAX($P$34*($B80+IF($R$17="Distrato",$I$38-1,0)),IF(AND($L$37=0,$P$34=0),"",$L$37-1),IF($R$17="Distrato",$E80,0)),MIN(AP$38,$D$19),$P$20))-SUM($P80:AO80)</f>
        <v>#VALUE!</v>
      </c>
      <c r="AQ80" s="446" t="e">
        <f>IF(OR($B80="",MIN(AQ$38,$D$19)&lt;MAX($P$34*($B80+IF($R$17="Distrato",$I$38-1,0)),IF(AND($L$37=0,$P$34=0),"",$L$37-1),IF($R$17="Distrato",$E80,0))),0,YEARFRAC(MAX($P$34*($B80+IF($R$17="Distrato",$I$38-1,0)),IF(AND($L$37=0,$P$34=0),"",$L$37-1),IF($R$17="Distrato",$E80,0)),MIN(AQ$38,$D$19),$P$20))-SUM($P80:AP80)</f>
        <v>#VALUE!</v>
      </c>
      <c r="AR80" s="446" t="e">
        <f>IF(OR($B80="",MIN(AR$38,$D$19)&lt;MAX($P$34*($B80+IF($R$17="Distrato",$I$38-1,0)),IF(AND($L$37=0,$P$34=0),"",$L$37-1),IF($R$17="Distrato",$E80,0))),0,YEARFRAC(MAX($P$34*($B80+IF($R$17="Distrato",$I$38-1,0)),IF(AND($L$37=0,$P$34=0),"",$L$37-1),IF($R$17="Distrato",$E80,0)),MIN(AR$38,$D$19),$P$20))-SUM($P80:AQ80)</f>
        <v>#VALUE!</v>
      </c>
      <c r="AS80" s="446" t="e">
        <f>IF(OR($B80="",MIN(AS$38,$D$19)&lt;MAX($P$34*($B80+IF($R$17="Distrato",$I$38-1,0)),IF(AND($L$37=0,$P$34=0),"",$L$37-1),IF($R$17="Distrato",$E80,0))),0,YEARFRAC(MAX($P$34*($B80+IF($R$17="Distrato",$I$38-1,0)),IF(AND($L$37=0,$P$34=0),"",$L$37-1),IF($R$17="Distrato",$E80,0)),MIN(AS$38,$D$19),$P$20))-SUM($P80:AR80)</f>
        <v>#VALUE!</v>
      </c>
      <c r="AT80" s="446" t="e">
        <f>IF(OR($B80="",MIN(AT$38,$D$19)&lt;MAX($P$34*($B80+IF($R$17="Distrato",$I$38-1,0)),IF(AND($L$37=0,$P$34=0),"",$L$37-1),IF($R$17="Distrato",$E80,0))),0,YEARFRAC(MAX($P$34*($B80+IF($R$17="Distrato",$I$38-1,0)),IF(AND($L$37=0,$P$34=0),"",$L$37-1),IF($R$17="Distrato",$E80,0)),MIN(AT$38,$D$19),$P$20))-SUM($P80:AS80)</f>
        <v>#VALUE!</v>
      </c>
      <c r="AU80" s="446" t="e">
        <f>IF(OR($B80="",MIN(AU$38,$D$19)&lt;MAX($P$34*($B80+IF($R$17="Distrato",$I$38-1,0)),IF(AND($L$37=0,$P$34=0),"",$L$37-1),IF($R$17="Distrato",$E80,0))),0,YEARFRAC(MAX($P$34*($B80+IF($R$17="Distrato",$I$38-1,0)),IF(AND($L$37=0,$P$34=0),"",$L$37-1),IF($R$17="Distrato",$E80,0)),MIN(AU$38,$D$19),$P$20))-SUM($P80:AT80)</f>
        <v>#VALUE!</v>
      </c>
      <c r="AV80" s="446" t="e">
        <f>IF(OR($B80="",MIN(AV$38,$D$19)&lt;MAX($P$34*($B80+IF($R$17="Distrato",$I$38-1,0)),IF(AND($L$37=0,$P$34=0),"",$L$37-1),IF($R$17="Distrato",$E80,0))),0,YEARFRAC(MAX($P$34*($B80+IF($R$17="Distrato",$I$38-1,0)),IF(AND($L$37=0,$P$34=0),"",$L$37-1),IF($R$17="Distrato",$E80,0)),MIN(AV$38,$D$19),$P$20))-SUM($P80:AU80)</f>
        <v>#VALUE!</v>
      </c>
      <c r="AW80" s="446" t="e">
        <f>IF(OR($B80="",MIN(AW$38,$D$19)&lt;MAX($P$34*($B80+IF($R$17="Distrato",$I$38-1,0)),IF(AND($L$37=0,$P$34=0),"",$L$37-1),IF($R$17="Distrato",$E80,0))),0,YEARFRAC(MAX($P$34*($B80+IF($R$17="Distrato",$I$38-1,0)),IF(AND($L$37=0,$P$34=0),"",$L$37-1),IF($R$17="Distrato",$E80,0)),MIN(AW$38,$D$19),$P$20))-SUM($P80:AV80)</f>
        <v>#VALUE!</v>
      </c>
      <c r="AX80" s="446" t="e">
        <f>IF(OR($B80="",MIN(AX$38,$D$19)&lt;MAX($P$34*($B80+IF($R$17="Distrato",$I$38-1,0)),IF(AND($L$37=0,$P$34=0),"",$L$37-1),IF($R$17="Distrato",$E80,0))),0,YEARFRAC(MAX($P$34*($B80+IF($R$17="Distrato",$I$38-1,0)),IF(AND($L$37=0,$P$34=0),"",$L$37-1),IF($R$17="Distrato",$E80,0)),MIN(AX$38,$D$19),$P$20))-SUM($P80:AW80)</f>
        <v>#VALUE!</v>
      </c>
      <c r="AY80" s="446" t="e">
        <f>IF(OR($B80="",MIN(AY$38,$D$19)&lt;MAX($P$34*($B80+IF($R$17="Distrato",$I$38-1,0)),IF(AND($L$37=0,$P$34=0),"",$L$37-1),IF($R$17="Distrato",$E80,0))),0,YEARFRAC(MAX($P$34*($B80+IF($R$17="Distrato",$I$38-1,0)),IF(AND($L$37=0,$P$34=0),"",$L$37-1),IF($R$17="Distrato",$E80,0)),MIN(AY$38,$D$19),$P$20))-SUM($P80:AX80)</f>
        <v>#VALUE!</v>
      </c>
      <c r="AZ80" s="446" t="e">
        <f>IF(OR($B80="",MIN(AZ$38,$D$19)&lt;MAX($P$34*($B80+IF($R$17="Distrato",$I$38-1,0)),IF(AND($L$37=0,$P$34=0),"",$L$37-1),IF($R$17="Distrato",$E80,0))),0,YEARFRAC(MAX($P$34*($B80+IF($R$17="Distrato",$I$38-1,0)),IF(AND($L$37=0,$P$34=0),"",$L$37-1),IF($R$17="Distrato",$E80,0)),MIN(AZ$38,$D$19),$P$20))-SUM($P80:AY80)</f>
        <v>#VALUE!</v>
      </c>
      <c r="BA80" s="446" t="e">
        <f>IF(OR($B80="",MIN(BA$38,$D$19)&lt;MAX($P$34*($B80+IF($R$17="Distrato",$I$38-1,0)),IF(AND($L$37=0,$P$34=0),"",$L$37-1),IF($R$17="Distrato",$E80,0))),0,YEARFRAC(MAX($P$34*($B80+IF($R$17="Distrato",$I$38-1,0)),IF(AND($L$37=0,$P$34=0),"",$L$37-1),IF($R$17="Distrato",$E80,0)),MIN(BA$38,$D$19),$P$20))-SUM($P80:AZ80)</f>
        <v>#VALUE!</v>
      </c>
      <c r="BB80" s="447"/>
      <c r="BF80" s="446">
        <f t="shared" si="10"/>
        <v>0</v>
      </c>
      <c r="BG80" s="446">
        <f>IF($E80=0,0,IF(MIN(BG$38,$E80)&lt;MAX($P$34*($B80+$I$38-1),IF(AND($L$37=0,$P$34=0),"",$L$37-1)),0,YEARFRAC(MAX($P$34*($B80+$I$38-1),IF(AND($L$37=0,$P$34=0),"",$L$37-1)),MIN(BG$38,$E80),$P$20))-SUM($BF80:BF80))</f>
        <v>0</v>
      </c>
      <c r="BH80" s="446">
        <f>IF($E80=0,0,IF(MIN(BH$38,$E80)&lt;MAX($P$34*($B80+$I$38-1),IF(AND($L$37=0,$P$34=0),"",$L$37-1)),0,YEARFRAC(MAX($P$34*($B80+$I$38-1),IF(AND($L$37=0,$P$34=0),"",$L$37-1)),MIN(BH$38,$E80),$P$20))-SUM($BF80:BG80))</f>
        <v>0</v>
      </c>
      <c r="BI80" s="446">
        <f>IF($E80=0,0,IF(MIN(BI$38,$E80)&lt;MAX($P$34*($B80+$I$38-1),IF(AND($L$37=0,$P$34=0),"",$L$37-1)),0,YEARFRAC(MAX($P$34*($B80+$I$38-1),IF(AND($L$37=0,$P$34=0),"",$L$37-1)),MIN(BI$38,$E80),$P$20))-SUM($BF80:BH80))</f>
        <v>0</v>
      </c>
      <c r="BJ80" s="446">
        <f>IF($E80=0,0,IF(MIN(BJ$38,$E80)&lt;MAX($P$34*($B80+$I$38-1),IF(AND($L$37=0,$P$34=0),"",$L$37-1)),0,YEARFRAC(MAX($P$34*($B80+$I$38-1),IF(AND($L$37=0,$P$34=0),"",$L$37-1)),MIN(BJ$38,$E80),$P$20))-SUM($BF80:BI80))</f>
        <v>0</v>
      </c>
      <c r="BK80" s="446">
        <f>IF($E80=0,0,IF(MIN(BK$38,$E80)&lt;MAX($P$34*($B80+$I$38-1),IF(AND($L$37=0,$P$34=0),"",$L$37-1)),0,YEARFRAC(MAX($P$34*($B80+$I$38-1),IF(AND($L$37=0,$P$34=0),"",$L$37-1)),MIN(BK$38,$E80),$P$20))-SUM($BF80:BJ80))</f>
        <v>0</v>
      </c>
      <c r="BL80" s="446">
        <f>IF($E80=0,0,IF(MIN(BL$38,$E80)&lt;MAX($P$34*($B80+$I$38-1),IF(AND($L$37=0,$P$34=0),"",$L$37-1)),0,YEARFRAC(MAX($P$34*($B80+$I$38-1),IF(AND($L$37=0,$P$34=0),"",$L$37-1)),MIN(BL$38,$E80),$P$20))-SUM($BF80:BK80))</f>
        <v>0</v>
      </c>
      <c r="BM80" s="446">
        <f>IF($E80=0,0,IF(MIN(BM$38,$E80)&lt;MAX($P$34*($B80+$I$38-1),IF(AND($L$37=0,$P$34=0),"",$L$37-1)),0,YEARFRAC(MAX($P$34*($B80+$I$38-1),IF(AND($L$37=0,$P$34=0),"",$L$37-1)),MIN(BM$38,$E80),$P$20))-SUM($BF80:BL80))</f>
        <v>0</v>
      </c>
      <c r="BN80" s="446">
        <f>IF($E80=0,0,IF(MIN(BN$38,$E80)&lt;MAX($P$34*($B80+$I$38-1),IF(AND($L$37=0,$P$34=0),"",$L$37-1)),0,YEARFRAC(MAX($P$34*($B80+$I$38-1),IF(AND($L$37=0,$P$34=0),"",$L$37-1)),MIN(BN$38,$E80),$P$20))-SUM($BF80:BM80))</f>
        <v>0</v>
      </c>
      <c r="BO80" s="446">
        <f>IF($E80=0,0,IF(MIN(BO$38,$E80)&lt;MAX($P$34*($B80+$I$38-1),IF(AND($L$37=0,$P$34=0),"",$L$37-1)),0,YEARFRAC(MAX($P$34*($B80+$I$38-1),IF(AND($L$37=0,$P$34=0),"",$L$37-1)),MIN(BO$38,$E80),$P$20))-SUM($BF80:BN80))</f>
        <v>0</v>
      </c>
      <c r="BP80" s="446">
        <f>IF($E80=0,0,IF(MIN(BP$38,$E80)&lt;MAX($P$34*($B80+$I$38-1),IF(AND($L$37=0,$P$34=0),"",$L$37-1)),0,YEARFRAC(MAX($P$34*($B80+$I$38-1),IF(AND($L$37=0,$P$34=0),"",$L$37-1)),MIN(BP$38,$E80),$P$20))-SUM($BF80:BO80))</f>
        <v>0</v>
      </c>
      <c r="BQ80" s="446">
        <f>IF($E80=0,0,IF(MIN(BQ$38,$E80)&lt;MAX($P$34*($B80+$I$38-1),IF(AND($L$37=0,$P$34=0),"",$L$37-1)),0,YEARFRAC(MAX($P$34*($B80+$I$38-1),IF(AND($L$37=0,$P$34=0),"",$L$37-1)),MIN(BQ$38,$E80),$P$20))-SUM($BF80:BP80))</f>
        <v>0</v>
      </c>
      <c r="BR80" s="446">
        <f>IF($E80=0,0,IF(MIN(BR$38,$E80)&lt;MAX($P$34*($B80+$I$38-1),IF(AND($L$37=0,$P$34=0),"",$L$37-1)),0,YEARFRAC(MAX($P$34*($B80+$I$38-1),IF(AND($L$37=0,$P$34=0),"",$L$37-1)),MIN(BR$38,$E80),$P$20))-SUM($BF80:BQ80))</f>
        <v>0</v>
      </c>
      <c r="BS80" s="446">
        <f>IF($E80=0,0,IF(MIN(BS$38,$E80)&lt;MAX($P$34*($B80+$I$38-1),IF(AND($L$37=0,$P$34=0),"",$L$37-1)),0,YEARFRAC(MAX($P$34*($B80+$I$38-1),IF(AND($L$37=0,$P$34=0),"",$L$37-1)),MIN(BS$38,$E80),$P$20))-SUM($BF80:BR80))</f>
        <v>0</v>
      </c>
      <c r="BT80" s="446">
        <f>IF($E80=0,0,IF(MIN(BT$38,$E80)&lt;MAX($P$34*($B80+$I$38-1),IF(AND($L$37=0,$P$34=0),"",$L$37-1)),0,YEARFRAC(MAX($P$34*($B80+$I$38-1),IF(AND($L$37=0,$P$34=0),"",$L$37-1)),MIN(BT$38,$E80),$P$20))-SUM($BF80:BS80))</f>
        <v>0</v>
      </c>
      <c r="BU80" s="446">
        <f>IF($E80=0,0,IF(MIN(BU$38,$E80)&lt;MAX($P$34*($B80+$I$38-1),IF(AND($L$37=0,$P$34=0),"",$L$37-1)),0,YEARFRAC(MAX($P$34*($B80+$I$38-1),IF(AND($L$37=0,$P$34=0),"",$L$37-1)),MIN(BU$38,$E80),$P$20))-SUM($BF80:BT80))</f>
        <v>0</v>
      </c>
      <c r="BV80" s="446">
        <f>IF($E80=0,0,IF(MIN(BV$38,$E80)&lt;MAX($P$34*($B80+$I$38-1),IF(AND($L$37=0,$P$34=0),"",$L$37-1)),0,YEARFRAC(MAX($P$34*($B80+$I$38-1),IF(AND($L$37=0,$P$34=0),"",$L$37-1)),MIN(BV$38,$E80),$P$20))-SUM($BF80:BU80))</f>
        <v>0</v>
      </c>
      <c r="BW80" s="446">
        <f>IF($E80=0,0,IF(MIN(BW$38,$E80)&lt;MAX($P$34*($B80+$I$38-1),IF(AND($L$37=0,$P$34=0),"",$L$37-1)),0,YEARFRAC(MAX($P$34*($B80+$I$38-1),IF(AND($L$37=0,$P$34=0),"",$L$37-1)),MIN(BW$38,$E80),$P$20))-SUM($BF80:BV80))</f>
        <v>0</v>
      </c>
      <c r="BX80" s="446">
        <f>IF($E80=0,0,IF(MIN(BX$38,$E80)&lt;MAX($P$34*($B80+$I$38-1),IF(AND($L$37=0,$P$34=0),"",$L$37-1)),0,YEARFRAC(MAX($P$34*($B80+$I$38-1),IF(AND($L$37=0,$P$34=0),"",$L$37-1)),MIN(BX$38,$E80),$P$20))-SUM($BF80:BW80))</f>
        <v>0</v>
      </c>
      <c r="BY80" s="446">
        <f>IF($E80=0,0,IF(MIN(BY$38,$E80)&lt;MAX($P$34*($B80+$I$38-1),IF(AND($L$37=0,$P$34=0),"",$L$37-1)),0,YEARFRAC(MAX($P$34*($B80+$I$38-1),IF(AND($L$37=0,$P$34=0),"",$L$37-1)),MIN(BY$38,$E80),$P$20))-SUM($BF80:BX80))</f>
        <v>0</v>
      </c>
      <c r="BZ80" s="446">
        <f>IF($E80=0,0,IF(MIN(BZ$38,$E80)&lt;MAX($P$34*($B80+$I$38-1),IF(AND($L$37=0,$P$34=0),"",$L$37-1)),0,YEARFRAC(MAX($P$34*($B80+$I$38-1),IF(AND($L$37=0,$P$34=0),"",$L$37-1)),MIN(BZ$38,$E80),$P$20))-SUM($BF80:BY80))</f>
        <v>0</v>
      </c>
      <c r="CA80" s="446">
        <f>IF($E80=0,0,IF(MIN(CA$38,$E80)&lt;MAX($P$34*($B80+$I$38-1),IF(AND($L$37=0,$P$34=0),"",$L$37-1)),0,YEARFRAC(MAX($P$34*($B80+$I$38-1),IF(AND($L$37=0,$P$34=0),"",$L$37-1)),MIN(CA$38,$E80),$P$20))-SUM($BF80:BZ80))</f>
        <v>0</v>
      </c>
      <c r="CB80" s="446">
        <f>IF($E80=0,0,IF(MIN(CB$38,$E80)&lt;MAX($P$34*($B80+$I$38-1),IF(AND($L$37=0,$P$34=0),"",$L$37-1)),0,YEARFRAC(MAX($P$34*($B80+$I$38-1),IF(AND($L$37=0,$P$34=0),"",$L$37-1)),MIN(CB$38,$E80),$P$20))-SUM($BF80:CA80))</f>
        <v>0</v>
      </c>
      <c r="CC80" s="446">
        <f>IF($E80=0,0,IF(MIN(CC$38,$E80)&lt;MAX($P$34*($B80+$I$38-1),IF(AND($L$37=0,$P$34=0),"",$L$37-1)),0,YEARFRAC(MAX($P$34*($B80+$I$38-1),IF(AND($L$37=0,$P$34=0),"",$L$37-1)),MIN(CC$38,$E80),$P$20))-SUM($BF80:CB80))</f>
        <v>0</v>
      </c>
      <c r="CD80" s="446">
        <f>IF($E80=0,0,IF(MIN(CD$38,$E80)&lt;MAX($P$34*($B80+$I$38-1),IF(AND($L$37=0,$P$34=0),"",$L$37-1)),0,YEARFRAC(MAX($P$34*($B80+$I$38-1),IF(AND($L$37=0,$P$34=0),"",$L$37-1)),MIN(CD$38,$E80),$P$20))-SUM($BF80:CC80))</f>
        <v>0</v>
      </c>
      <c r="CE80" s="446">
        <f>IF($E80=0,0,IF(MIN(CE$38,$E80)&lt;MAX($P$34*($B80+$I$38-1),IF(AND($L$37=0,$P$34=0),"",$L$37-1)),0,YEARFRAC(MAX($P$34*($B80+$I$38-1),IF(AND($L$37=0,$P$34=0),"",$L$37-1)),MIN(CE$38,$E80),$P$20))-SUM($BF80:CD80))</f>
        <v>0</v>
      </c>
      <c r="CF80" s="446">
        <f>IF($E80=0,0,IF(MIN(CF$38,$E80)&lt;MAX($P$34*($B80+$I$38-1),IF(AND($L$37=0,$P$34=0),"",$L$37-1)),0,YEARFRAC(MAX($P$34*($B80+$I$38-1),IF(AND($L$37=0,$P$34=0),"",$L$37-1)),MIN(CF$38,$E80),$P$20))-SUM($BF80:CE80))</f>
        <v>0</v>
      </c>
      <c r="CG80" s="446">
        <f>IF($E80=0,0,IF(MIN(CG$38,$E80)&lt;MAX($P$34*($B80+$I$38-1),IF(AND($L$37=0,$P$34=0),"",$L$37-1)),0,YEARFRAC(MAX($P$34*($B80+$I$38-1),IF(AND($L$37=0,$P$34=0),"",$L$37-1)),MIN(CG$38,$E80),$P$20))-SUM($BF80:CF80))</f>
        <v>0</v>
      </c>
      <c r="CH80" s="446">
        <f>IF($E80=0,0,IF(MIN(CH$38,$E80)&lt;MAX($P$34*($B80+$I$38-1),IF(AND($L$37=0,$P$34=0),"",$L$37-1)),0,YEARFRAC(MAX($P$34*($B80+$I$38-1),IF(AND($L$37=0,$P$34=0),"",$L$37-1)),MIN(CH$38,$E80),$P$20))-SUM($BF80:CG80))</f>
        <v>0</v>
      </c>
      <c r="CI80" s="446">
        <f>IF($E80=0,0,IF(MIN(CI$38,$E80)&lt;MAX($P$34*($B80+$I$38-1),IF(AND($L$37=0,$P$34=0),"",$L$37-1)),0,YEARFRAC(MAX($P$34*($B80+$I$38-1),IF(AND($L$37=0,$P$34=0),"",$L$37-1)),MIN(CI$38,$E80),$P$20))-SUM($BF80:CH80))</f>
        <v>0</v>
      </c>
      <c r="CJ80" s="446">
        <f>IF($E80=0,0,IF(MIN(CJ$38,$E80)&lt;MAX($P$34*($B80+$I$38-1),IF(AND($L$37=0,$P$34=0),"",$L$37-1)),0,YEARFRAC(MAX($P$34*($B80+$I$38-1),IF(AND($L$37=0,$P$34=0),"",$L$37-1)),MIN(CJ$38,$E80),$P$20))-SUM($BF80:CI80))</f>
        <v>0</v>
      </c>
      <c r="CK80" s="446">
        <f>IF($E80=0,0,IF(MIN(CK$38,$E80)&lt;MAX($P$34*($B80+$I$38-1),IF(AND($L$37=0,$P$34=0),"",$L$37-1)),0,YEARFRAC(MAX($P$34*($B80+$I$38-1),IF(AND($L$37=0,$P$34=0),"",$L$37-1)),MIN(CK$38,$E80),$P$20))-SUM($BF80:CJ80))</f>
        <v>0</v>
      </c>
      <c r="CL80" s="446">
        <f>IF($E80=0,0,IF(MIN(CL$38,$E80)&lt;MAX($P$34*($B80+$I$38-1),IF(AND($L$37=0,$P$34=0),"",$L$37-1)),0,YEARFRAC(MAX($P$34*($B80+$I$38-1),IF(AND($L$37=0,$P$34=0),"",$L$37-1)),MIN(CL$38,$E80),$P$20))-SUM($BF80:CK80))</f>
        <v>0</v>
      </c>
      <c r="CM80" s="446">
        <f>IF($E80=0,0,IF(MIN(CM$38,$E80)&lt;MAX($P$34*($B80+$I$38-1),IF(AND($L$37=0,$P$34=0),"",$L$37-1)),0,YEARFRAC(MAX($P$34*($B80+$I$38-1),IF(AND($L$37=0,$P$34=0),"",$L$37-1)),MIN(CM$38,$E80),$P$20))-SUM($BF80:CL80))</f>
        <v>0</v>
      </c>
      <c r="CN80" s="446">
        <f>IF($E80=0,0,IF(MIN(CN$38,$E80)&lt;MAX($P$34*($B80+$I$38-1),IF(AND($L$37=0,$P$34=0),"",$L$37-1)),0,YEARFRAC(MAX($P$34*($B80+$I$38-1),IF(AND($L$37=0,$P$34=0),"",$L$37-1)),MIN(CN$38,$E80),$P$20))-SUM($BF80:CM80))</f>
        <v>0</v>
      </c>
      <c r="CO80" s="446">
        <f>IF($E80=0,0,IF(MIN(CO$38,$E80)&lt;MAX($P$34*($B80+$I$38-1),IF(AND($L$37=0,$P$34=0),"",$L$37-1)),0,YEARFRAC(MAX($P$34*($B80+$I$38-1),IF(AND($L$37=0,$P$34=0),"",$L$37-1)),MIN(CO$38,$E80),$P$20))-SUM($BF80:CN80))</f>
        <v>0</v>
      </c>
      <c r="CP80" s="446">
        <f>IF($E80=0,0,IF(MIN(CP$38,$E80)&lt;MAX($P$34*($B80+$I$38-1),IF(AND($L$37=0,$P$34=0),"",$L$37-1)),0,YEARFRAC(MAX($P$34*($B80+$I$38-1),IF(AND($L$37=0,$P$34=0),"",$L$37-1)),MIN(CP$38,$E80),$P$20))-SUM($BF80:CO80))</f>
        <v>0</v>
      </c>
      <c r="CQ80" s="446">
        <f>IF($E80=0,0,IF(MIN(CQ$38,$E80)&lt;MAX($P$34*($B80+$I$38-1),IF(AND($L$37=0,$P$34=0),"",$L$37-1)),0,YEARFRAC(MAX($P$34*($B80+$I$38-1),IF(AND($L$37=0,$P$34=0),"",$L$37-1)),MIN(CQ$38,$E80),$P$20))-SUM($BF80:CP80))</f>
        <v>0</v>
      </c>
    </row>
    <row r="81" spans="1:95" s="446" customFormat="1" ht="11.25" hidden="1" customHeight="1" x14ac:dyDescent="0.2">
      <c r="A81" s="152"/>
      <c r="B81" s="153" t="str">
        <f t="shared" si="15"/>
        <v/>
      </c>
      <c r="C81" s="29" t="str">
        <f>IF(B81="","",IF($L$35="SELIC - TRIBUTOS",VLOOKUP(DATE(YEAR($D$19),MONTH($D$19)-1,1),ÍNDICES!$A:$DE,HLOOKUP($BL$25,ÍNDICES!$B$3:$T$4,2)+11)-VLOOKUP(B81,ÍNDICES!$A:$DE,HLOOKUP($BL$25,ÍNDICES!$B$3:$T$4,2)+11)+1%,IF(C$38=$W$26,$J$35,IF(ISERROR(IF(B81&gt;$D$19,1,VLOOKUP(DATE(YEAR(B81),MONTH(B81)+IF($C$35=$S$23,1,0),1),ÍNDICES!$A:$DE,$Z$35+1))),"",IF(B81&gt;$D$19,1,VLOOKUP(DATE(YEAR(B81),MONTH(B81)+IF($C$35=$S$23,1,0),1),ÍNDICES!$A:$DE,$Z$35+1))))))</f>
        <v/>
      </c>
      <c r="D81" s="154" t="str">
        <f>IF(ISERROR(IF(OR($D$38=$Y$27,$B81=""),"",VLOOKUP(B81,ÍNDICES!A:DE,AF$35+1))),"",IF(OR($D$38=$Y$27,$B81=""),"",VLOOKUP(B81,ÍNDICES!A:DE,AF$35+1)))</f>
        <v/>
      </c>
      <c r="E81" s="153"/>
      <c r="F81" s="29" t="str">
        <f>IF(E81="","",IF($L$35="SELIC - TRIBUTOS",VLOOKUP(DATE(YEAR($D$19),MONTH($D$19)-1,1),ÍNDICES!$A:$DE,HLOOKUP($BL$25,ÍNDICES!$B$3:$T$4,2)+11)-VLOOKUP(E81,ÍNDICES!$A:$DE,HLOOKUP($BL$25,ÍNDICES!$B$3:$T$4,2)+11)+1%,IF(F$38=$W$26,$J$35,IF(ISERROR(IF(E81&gt;$D$19,1,VLOOKUP(DATE(YEAR(E81),MONTH(E81)+IF($C$35=$S$23,1,0),1),ÍNDICES!$A:$DE,$Z$35+1))),"",IF(E81&gt;$D$19,1,VLOOKUP(DATE(YEAR(E81),MONTH(E81)+IF($C$35=$S$23,1,0),1),ÍNDICES!$A:$DE,$Z$35+1))))))</f>
        <v/>
      </c>
      <c r="G81" s="155"/>
      <c r="H81" s="156" t="str">
        <f t="shared" si="11"/>
        <v/>
      </c>
      <c r="I81" s="29" t="str">
        <f t="shared" si="5"/>
        <v/>
      </c>
      <c r="J81" s="5">
        <f t="shared" si="6"/>
        <v>0</v>
      </c>
      <c r="K81" s="20">
        <f t="shared" ca="1" si="7"/>
        <v>0</v>
      </c>
      <c r="L81" s="5">
        <f t="shared" ca="1" si="8"/>
        <v>0</v>
      </c>
      <c r="M81" s="64">
        <f t="shared" si="12"/>
        <v>0</v>
      </c>
      <c r="N81" s="61">
        <f t="shared" ca="1" si="13"/>
        <v>0</v>
      </c>
      <c r="O81" s="5">
        <f t="shared" ca="1" si="14"/>
        <v>0</v>
      </c>
      <c r="P81" s="446" t="e">
        <f t="shared" si="9"/>
        <v>#VALUE!</v>
      </c>
      <c r="Q81" s="446" t="e">
        <f>IF(OR($B81="",MIN(Q$38,$D$19)&lt;MAX($P$34*($B81+IF($R$17="Distrato",$I$38-1,0)),IF(AND($L$37=0,$P$34=0),"",$L$37-1),IF($R$17="Distrato",$E81,0))),0,YEARFRAC(MAX($P$34*($B81+IF($R$17="Distrato",$I$38-1,0)),IF(AND($L$37=0,$P$34=0),"",$L$37-1),IF($R$17="Distrato",$E81,0)),MIN(Q$38,$D$19),$P$20))-SUM($P81:P81)</f>
        <v>#VALUE!</v>
      </c>
      <c r="R81" s="446" t="e">
        <f>IF(OR($B81="",MIN(R$38,$D$19)&lt;MAX($P$34*($B81+IF($R$17="Distrato",$I$38-1,0)),IF(AND($L$37=0,$P$34=0),"",$L$37-1),IF($R$17="Distrato",$E81,0))),0,YEARFRAC(MAX($P$34*($B81+IF($R$17="Distrato",$I$38-1,0)),IF(AND($L$37=0,$P$34=0),"",$L$37-1),IF($R$17="Distrato",$E81,0)),MIN(R$38,$D$19),$P$20))-SUM($P81:Q81)</f>
        <v>#VALUE!</v>
      </c>
      <c r="S81" s="446" t="e">
        <f>IF(OR($B81="",MIN(S$38,$D$19)&lt;MAX($P$34*($B81+IF($R$17="Distrato",$I$38-1,0)),IF(AND($L$37=0,$P$34=0),"",$L$37-1),IF($R$17="Distrato",$E81,0))),0,YEARFRAC(MAX($P$34*($B81+IF($R$17="Distrato",$I$38-1,0)),IF(AND($L$37=0,$P$34=0),"",$L$37-1),IF($R$17="Distrato",$E81,0)),MIN(S$38,$D$19),$P$20))-SUM($P81:R81)</f>
        <v>#VALUE!</v>
      </c>
      <c r="T81" s="446" t="e">
        <f>IF(OR($B81="",MIN(T$38,$D$19)&lt;MAX($P$34*($B81+IF($R$17="Distrato",$I$38-1,0)),IF(AND($L$37=0,$P$34=0),"",$L$37-1),IF($R$17="Distrato",$E81,0))),0,YEARFRAC(MAX($P$34*($B81+IF($R$17="Distrato",$I$38-1,0)),IF(AND($L$37=0,$P$34=0),"",$L$37-1),IF($R$17="Distrato",$E81,0)),MIN(T$38,$D$19),$P$20))-SUM($P81:S81)</f>
        <v>#VALUE!</v>
      </c>
      <c r="U81" s="446" t="e">
        <f>IF(OR($B81="",MIN(U$38,$D$19)&lt;MAX($P$34*($B81+IF($R$17="Distrato",$I$38-1,0)),IF(AND($L$37=0,$P$34=0),"",$L$37-1),IF($R$17="Distrato",$E81,0))),0,YEARFRAC(MAX($P$34*($B81+IF($R$17="Distrato",$I$38-1,0)),IF(AND($L$37=0,$P$34=0),"",$L$37-1),IF($R$17="Distrato",$E81,0)),MIN(U$38,$D$19),$P$20))-SUM($P81:T81)</f>
        <v>#VALUE!</v>
      </c>
      <c r="V81" s="446" t="e">
        <f>IF(OR($B81="",MIN(V$38,$D$19)&lt;MAX($P$34*($B81+IF($R$17="Distrato",$I$38-1,0)),IF(AND($L$37=0,$P$34=0),"",$L$37-1),IF($R$17="Distrato",$E81,0))),0,YEARFRAC(MAX($P$34*($B81+IF($R$17="Distrato",$I$38-1,0)),IF(AND($L$37=0,$P$34=0),"",$L$37-1),IF($R$17="Distrato",$E81,0)),MIN(V$38,$D$19),$P$20))-SUM($P81:U81)</f>
        <v>#VALUE!</v>
      </c>
      <c r="W81" s="446" t="e">
        <f>IF(OR($B81="",MIN(W$38,$D$19)&lt;MAX($P$34*($B81+IF($R$17="Distrato",$I$38-1,0)),IF(AND($L$37=0,$P$34=0),"",$L$37-1),IF($R$17="Distrato",$E81,0))),0,YEARFRAC(MAX($P$34*($B81+IF($R$17="Distrato",$I$38-1,0)),IF(AND($L$37=0,$P$34=0),"",$L$37-1),IF($R$17="Distrato",$E81,0)),MIN(W$38,$D$19),$P$20))-SUM($P81:V81)</f>
        <v>#VALUE!</v>
      </c>
      <c r="X81" s="446" t="e">
        <f>IF(OR($B81="",MIN(X$38,$D$19)&lt;MAX($P$34*($B81+IF($R$17="Distrato",$I$38-1,0)),IF(AND($L$37=0,$P$34=0),"",$L$37-1),IF($R$17="Distrato",$E81,0))),0,YEARFRAC(MAX($P$34*($B81+IF($R$17="Distrato",$I$38-1,0)),IF(AND($L$37=0,$P$34=0),"",$L$37-1),IF($R$17="Distrato",$E81,0)),MIN(X$38,$D$19),$P$20))-SUM($P81:W81)</f>
        <v>#VALUE!</v>
      </c>
      <c r="Y81" s="446" t="e">
        <f>IF(OR($B81="",MIN(Y$38,$D$19)&lt;MAX($P$34*($B81+IF($R$17="Distrato",$I$38-1,0)),IF(AND($L$37=0,$P$34=0),"",$L$37-1),IF($R$17="Distrato",$E81,0))),0,YEARFRAC(MAX($P$34*($B81+IF($R$17="Distrato",$I$38-1,0)),IF(AND($L$37=0,$P$34=0),"",$L$37-1),IF($R$17="Distrato",$E81,0)),MIN(Y$38,$D$19),$P$20))-SUM($P81:X81)</f>
        <v>#VALUE!</v>
      </c>
      <c r="Z81" s="446" t="e">
        <f>IF(OR($B81="",MIN(Z$38,$D$19)&lt;MAX($P$34*($B81+IF($R$17="Distrato",$I$38-1,0)),IF(AND($L$37=0,$P$34=0),"",$L$37-1),IF($R$17="Distrato",$E81,0))),0,YEARFRAC(MAX($P$34*($B81+IF($R$17="Distrato",$I$38-1,0)),IF(AND($L$37=0,$P$34=0),"",$L$37-1),IF($R$17="Distrato",$E81,0)),MIN(Z$38,$D$19),$P$20))-SUM($P81:Y81)</f>
        <v>#VALUE!</v>
      </c>
      <c r="AA81" s="446" t="e">
        <f>IF(OR($B81="",MIN(AA$38,$D$19)&lt;MAX($P$34*($B81+IF($R$17="Distrato",$I$38-1,0)),IF(AND($L$37=0,$P$34=0),"",$L$37-1),IF($R$17="Distrato",$E81,0))),0,YEARFRAC(MAX($P$34*($B81+IF($R$17="Distrato",$I$38-1,0)),IF(AND($L$37=0,$P$34=0),"",$L$37-1),IF($R$17="Distrato",$E81,0)),MIN(AA$38,$D$19),$P$20))-SUM($P81:Z81)</f>
        <v>#VALUE!</v>
      </c>
      <c r="AB81" s="446" t="e">
        <f>IF(OR($B81="",MIN(AB$38,$D$19)&lt;MAX($P$34*($B81+IF($R$17="Distrato",$I$38-1,0)),IF(AND($L$37=0,$P$34=0),"",$L$37-1),IF($R$17="Distrato",$E81,0))),0,YEARFRAC(MAX($P$34*($B81+IF($R$17="Distrato",$I$38-1,0)),IF(AND($L$37=0,$P$34=0),"",$L$37-1),IF($R$17="Distrato",$E81,0)),MIN(AB$38,$D$19),$P$20))-SUM($P81:AA81)</f>
        <v>#VALUE!</v>
      </c>
      <c r="AC81" s="446" t="e">
        <f>IF(OR($B81="",MIN(AC$38,$D$19)&lt;MAX($P$34*($B81+IF($R$17="Distrato",$I$38-1,0)),IF(AND($L$37=0,$P$34=0),"",$L$37-1),IF($R$17="Distrato",$E81,0))),0,YEARFRAC(MAX($P$34*($B81+IF($R$17="Distrato",$I$38-1,0)),IF(AND($L$37=0,$P$34=0),"",$L$37-1),IF($R$17="Distrato",$E81,0)),MIN(AC$38,$D$19),$P$20))-SUM($P81:AB81)</f>
        <v>#VALUE!</v>
      </c>
      <c r="AD81" s="446" t="e">
        <f>IF(OR($B81="",MIN(AD$38,$D$19)&lt;MAX($P$34*($B81+IF($R$17="Distrato",$I$38-1,0)),IF(AND($L$37=0,$P$34=0),"",$L$37-1),IF($R$17="Distrato",$E81,0))),0,YEARFRAC(MAX($P$34*($B81+IF($R$17="Distrato",$I$38-1,0)),IF(AND($L$37=0,$P$34=0),"",$L$37-1),IF($R$17="Distrato",$E81,0)),MIN(AD$38,$D$19),$P$20))-SUM($P81:AC81)</f>
        <v>#VALUE!</v>
      </c>
      <c r="AE81" s="446" t="e">
        <f>IF(OR($B81="",MIN(AE$38,$D$19)&lt;MAX($P$34*($B81+IF($R$17="Distrato",$I$38-1,0)),IF(AND($L$37=0,$P$34=0),"",$L$37-1),IF($R$17="Distrato",$E81,0))),0,YEARFRAC(MAX($P$34*($B81+IF($R$17="Distrato",$I$38-1,0)),IF(AND($L$37=0,$P$34=0),"",$L$37-1),IF($R$17="Distrato",$E81,0)),MIN(AE$38,$D$19),$P$20))-SUM($P81:AD81)</f>
        <v>#VALUE!</v>
      </c>
      <c r="AF81" s="446" t="e">
        <f>IF(OR($B81="",MIN(AF$38,$D$19)&lt;MAX($P$34*($B81+IF($R$17="Distrato",$I$38-1,0)),IF(AND($L$37=0,$P$34=0),"",$L$37-1),IF($R$17="Distrato",$E81,0))),0,YEARFRAC(MAX($P$34*($B81+IF($R$17="Distrato",$I$38-1,0)),IF(AND($L$37=0,$P$34=0),"",$L$37-1),IF($R$17="Distrato",$E81,0)),MIN(AF$38,$D$19),$P$20))-SUM($P81:AE81)</f>
        <v>#VALUE!</v>
      </c>
      <c r="AG81" s="446" t="e">
        <f>IF(OR($B81="",MIN(AG$38,$D$19)&lt;MAX($P$34*($B81+IF($R$17="Distrato",$I$38-1,0)),IF(AND($L$37=0,$P$34=0),"",$L$37-1),IF($R$17="Distrato",$E81,0))),0,YEARFRAC(MAX($P$34*($B81+IF($R$17="Distrato",$I$38-1,0)),IF(AND($L$37=0,$P$34=0),"",$L$37-1),IF($R$17="Distrato",$E81,0)),MIN(AG$38,$D$19),$P$20))-SUM($P81:AF81)</f>
        <v>#VALUE!</v>
      </c>
      <c r="AH81" s="446" t="e">
        <f>IF(OR($B81="",MIN(AH$38,$D$19)&lt;MAX($P$34*($B81+IF($R$17="Distrato",$I$38-1,0)),IF(AND($L$37=0,$P$34=0),"",$L$37-1),IF($R$17="Distrato",$E81,0))),0,YEARFRAC(MAX($P$34*($B81+IF($R$17="Distrato",$I$38-1,0)),IF(AND($L$37=0,$P$34=0),"",$L$37-1),IF($R$17="Distrato",$E81,0)),MIN(AH$38,$D$19),$P$20))-SUM($P81:AG81)</f>
        <v>#VALUE!</v>
      </c>
      <c r="AI81" s="446" t="e">
        <f>IF(OR($B81="",MIN(AI$38,$D$19)&lt;MAX($P$34*($B81+IF($R$17="Distrato",$I$38-1,0)),IF(AND($L$37=0,$P$34=0),"",$L$37-1),IF($R$17="Distrato",$E81,0))),0,YEARFRAC(MAX($P$34*($B81+IF($R$17="Distrato",$I$38-1,0)),IF(AND($L$37=0,$P$34=0),"",$L$37-1),IF($R$17="Distrato",$E81,0)),MIN(AI$38,$D$19),$P$20))-SUM($P81:AH81)</f>
        <v>#VALUE!</v>
      </c>
      <c r="AJ81" s="446" t="e">
        <f>IF(OR($B81="",MIN(AJ$38,$D$19)&lt;MAX($P$34*($B81+IF($R$17="Distrato",$I$38-1,0)),IF(AND($L$37=0,$P$34=0),"",$L$37-1),IF($R$17="Distrato",$E81,0))),0,YEARFRAC(MAX($P$34*($B81+IF($R$17="Distrato",$I$38-1,0)),IF(AND($L$37=0,$P$34=0),"",$L$37-1),IF($R$17="Distrato",$E81,0)),MIN(AJ$38,$D$19),$P$20))-SUM($P81:AI81)</f>
        <v>#VALUE!</v>
      </c>
      <c r="AK81" s="446" t="e">
        <f>IF(OR($B81="",MIN(AK$38,$D$19)&lt;MAX($P$34*($B81+IF($R$17="Distrato",$I$38-1,0)),IF(AND($L$37=0,$P$34=0),"",$L$37-1),IF($R$17="Distrato",$E81,0))),0,YEARFRAC(MAX($P$34*($B81+IF($R$17="Distrato",$I$38-1,0)),IF(AND($L$37=0,$P$34=0),"",$L$37-1),IF($R$17="Distrato",$E81,0)),MIN(AK$38,$D$19),$P$20))-SUM($P81:AJ81)</f>
        <v>#VALUE!</v>
      </c>
      <c r="AL81" s="446" t="e">
        <f>IF(OR($B81="",MIN(AL$38,$D$19)&lt;MAX($P$34*($B81+IF($R$17="Distrato",$I$38-1,0)),IF(AND($L$37=0,$P$34=0),"",$L$37-1),IF($R$17="Distrato",$E81,0))),0,YEARFRAC(MAX($P$34*($B81+IF($R$17="Distrato",$I$38-1,0)),IF(AND($L$37=0,$P$34=0),"",$L$37-1),IF($R$17="Distrato",$E81,0)),MIN(AL$38,$D$19),$P$20))-SUM($P81:AK81)</f>
        <v>#VALUE!</v>
      </c>
      <c r="AM81" s="446" t="e">
        <f>IF(OR($B81="",MIN(AM$38,$D$19)&lt;MAX($P$34*($B81+IF($R$17="Distrato",$I$38-1,0)),IF(AND($L$37=0,$P$34=0),"",$L$37-1),IF($R$17="Distrato",$E81,0))),0,YEARFRAC(MAX($P$34*($B81+IF($R$17="Distrato",$I$38-1,0)),IF(AND($L$37=0,$P$34=0),"",$L$37-1),IF($R$17="Distrato",$E81,0)),MIN(AM$38,$D$19),$P$20))-SUM($P81:AL81)</f>
        <v>#VALUE!</v>
      </c>
      <c r="AN81" s="446" t="e">
        <f>IF(OR($B81="",MIN(AN$38,$D$19)&lt;MAX($P$34*($B81+IF($R$17="Distrato",$I$38-1,0)),IF(AND($L$37=0,$P$34=0),"",$L$37-1),IF($R$17="Distrato",$E81,0))),0,YEARFRAC(MAX($P$34*($B81+IF($R$17="Distrato",$I$38-1,0)),IF(AND($L$37=0,$P$34=0),"",$L$37-1),IF($R$17="Distrato",$E81,0)),MIN(AN$38,$D$19),$P$20))-SUM($P81:AM81)</f>
        <v>#VALUE!</v>
      </c>
      <c r="AO81" s="446" t="e">
        <f>IF(OR($B81="",MIN(AO$38,$D$19)&lt;MAX($P$34*($B81+IF($R$17="Distrato",$I$38-1,0)),IF(AND($L$37=0,$P$34=0),"",$L$37-1),IF($R$17="Distrato",$E81,0))),0,YEARFRAC(MAX($P$34*($B81+IF($R$17="Distrato",$I$38-1,0)),IF(AND($L$37=0,$P$34=0),"",$L$37-1),IF($R$17="Distrato",$E81,0)),MIN(AO$38,$D$19),$P$20))-SUM($P81:AN81)</f>
        <v>#VALUE!</v>
      </c>
      <c r="AP81" s="446" t="e">
        <f>IF(OR($B81="",MIN(AP$38,$D$19)&lt;MAX($P$34*($B81+IF($R$17="Distrato",$I$38-1,0)),IF(AND($L$37=0,$P$34=0),"",$L$37-1),IF($R$17="Distrato",$E81,0))),0,YEARFRAC(MAX($P$34*($B81+IF($R$17="Distrato",$I$38-1,0)),IF(AND($L$37=0,$P$34=0),"",$L$37-1),IF($R$17="Distrato",$E81,0)),MIN(AP$38,$D$19),$P$20))-SUM($P81:AO81)</f>
        <v>#VALUE!</v>
      </c>
      <c r="AQ81" s="446" t="e">
        <f>IF(OR($B81="",MIN(AQ$38,$D$19)&lt;MAX($P$34*($B81+IF($R$17="Distrato",$I$38-1,0)),IF(AND($L$37=0,$P$34=0),"",$L$37-1),IF($R$17="Distrato",$E81,0))),0,YEARFRAC(MAX($P$34*($B81+IF($R$17="Distrato",$I$38-1,0)),IF(AND($L$37=0,$P$34=0),"",$L$37-1),IF($R$17="Distrato",$E81,0)),MIN(AQ$38,$D$19),$P$20))-SUM($P81:AP81)</f>
        <v>#VALUE!</v>
      </c>
      <c r="AR81" s="446" t="e">
        <f>IF(OR($B81="",MIN(AR$38,$D$19)&lt;MAX($P$34*($B81+IF($R$17="Distrato",$I$38-1,0)),IF(AND($L$37=0,$P$34=0),"",$L$37-1),IF($R$17="Distrato",$E81,0))),0,YEARFRAC(MAX($P$34*($B81+IF($R$17="Distrato",$I$38-1,0)),IF(AND($L$37=0,$P$34=0),"",$L$37-1),IF($R$17="Distrato",$E81,0)),MIN(AR$38,$D$19),$P$20))-SUM($P81:AQ81)</f>
        <v>#VALUE!</v>
      </c>
      <c r="AS81" s="446" t="e">
        <f>IF(OR($B81="",MIN(AS$38,$D$19)&lt;MAX($P$34*($B81+IF($R$17="Distrato",$I$38-1,0)),IF(AND($L$37=0,$P$34=0),"",$L$37-1),IF($R$17="Distrato",$E81,0))),0,YEARFRAC(MAX($P$34*($B81+IF($R$17="Distrato",$I$38-1,0)),IF(AND($L$37=0,$P$34=0),"",$L$37-1),IF($R$17="Distrato",$E81,0)),MIN(AS$38,$D$19),$P$20))-SUM($P81:AR81)</f>
        <v>#VALUE!</v>
      </c>
      <c r="AT81" s="446" t="e">
        <f>IF(OR($B81="",MIN(AT$38,$D$19)&lt;MAX($P$34*($B81+IF($R$17="Distrato",$I$38-1,0)),IF(AND($L$37=0,$P$34=0),"",$L$37-1),IF($R$17="Distrato",$E81,0))),0,YEARFRAC(MAX($P$34*($B81+IF($R$17="Distrato",$I$38-1,0)),IF(AND($L$37=0,$P$34=0),"",$L$37-1),IF($R$17="Distrato",$E81,0)),MIN(AT$38,$D$19),$P$20))-SUM($P81:AS81)</f>
        <v>#VALUE!</v>
      </c>
      <c r="AU81" s="446" t="e">
        <f>IF(OR($B81="",MIN(AU$38,$D$19)&lt;MAX($P$34*($B81+IF($R$17="Distrato",$I$38-1,0)),IF(AND($L$37=0,$P$34=0),"",$L$37-1),IF($R$17="Distrato",$E81,0))),0,YEARFRAC(MAX($P$34*($B81+IF($R$17="Distrato",$I$38-1,0)),IF(AND($L$37=0,$P$34=0),"",$L$37-1),IF($R$17="Distrato",$E81,0)),MIN(AU$38,$D$19),$P$20))-SUM($P81:AT81)</f>
        <v>#VALUE!</v>
      </c>
      <c r="AV81" s="446" t="e">
        <f>IF(OR($B81="",MIN(AV$38,$D$19)&lt;MAX($P$34*($B81+IF($R$17="Distrato",$I$38-1,0)),IF(AND($L$37=0,$P$34=0),"",$L$37-1),IF($R$17="Distrato",$E81,0))),0,YEARFRAC(MAX($P$34*($B81+IF($R$17="Distrato",$I$38-1,0)),IF(AND($L$37=0,$P$34=0),"",$L$37-1),IF($R$17="Distrato",$E81,0)),MIN(AV$38,$D$19),$P$20))-SUM($P81:AU81)</f>
        <v>#VALUE!</v>
      </c>
      <c r="AW81" s="446" t="e">
        <f>IF(OR($B81="",MIN(AW$38,$D$19)&lt;MAX($P$34*($B81+IF($R$17="Distrato",$I$38-1,0)),IF(AND($L$37=0,$P$34=0),"",$L$37-1),IF($R$17="Distrato",$E81,0))),0,YEARFRAC(MAX($P$34*($B81+IF($R$17="Distrato",$I$38-1,0)),IF(AND($L$37=0,$P$34=0),"",$L$37-1),IF($R$17="Distrato",$E81,0)),MIN(AW$38,$D$19),$P$20))-SUM($P81:AV81)</f>
        <v>#VALUE!</v>
      </c>
      <c r="AX81" s="446" t="e">
        <f>IF(OR($B81="",MIN(AX$38,$D$19)&lt;MAX($P$34*($B81+IF($R$17="Distrato",$I$38-1,0)),IF(AND($L$37=0,$P$34=0),"",$L$37-1),IF($R$17="Distrato",$E81,0))),0,YEARFRAC(MAX($P$34*($B81+IF($R$17="Distrato",$I$38-1,0)),IF(AND($L$37=0,$P$34=0),"",$L$37-1),IF($R$17="Distrato",$E81,0)),MIN(AX$38,$D$19),$P$20))-SUM($P81:AW81)</f>
        <v>#VALUE!</v>
      </c>
      <c r="AY81" s="446" t="e">
        <f>IF(OR($B81="",MIN(AY$38,$D$19)&lt;MAX($P$34*($B81+IF($R$17="Distrato",$I$38-1,0)),IF(AND($L$37=0,$P$34=0),"",$L$37-1),IF($R$17="Distrato",$E81,0))),0,YEARFRAC(MAX($P$34*($B81+IF($R$17="Distrato",$I$38-1,0)),IF(AND($L$37=0,$P$34=0),"",$L$37-1),IF($R$17="Distrato",$E81,0)),MIN(AY$38,$D$19),$P$20))-SUM($P81:AX81)</f>
        <v>#VALUE!</v>
      </c>
      <c r="AZ81" s="446" t="e">
        <f>IF(OR($B81="",MIN(AZ$38,$D$19)&lt;MAX($P$34*($B81+IF($R$17="Distrato",$I$38-1,0)),IF(AND($L$37=0,$P$34=0),"",$L$37-1),IF($R$17="Distrato",$E81,0))),0,YEARFRAC(MAX($P$34*($B81+IF($R$17="Distrato",$I$38-1,0)),IF(AND($L$37=0,$P$34=0),"",$L$37-1),IF($R$17="Distrato",$E81,0)),MIN(AZ$38,$D$19),$P$20))-SUM($P81:AY81)</f>
        <v>#VALUE!</v>
      </c>
      <c r="BA81" s="446" t="e">
        <f>IF(OR($B81="",MIN(BA$38,$D$19)&lt;MAX($P$34*($B81+IF($R$17="Distrato",$I$38-1,0)),IF(AND($L$37=0,$P$34=0),"",$L$37-1),IF($R$17="Distrato",$E81,0))),0,YEARFRAC(MAX($P$34*($B81+IF($R$17="Distrato",$I$38-1,0)),IF(AND($L$37=0,$P$34=0),"",$L$37-1),IF($R$17="Distrato",$E81,0)),MIN(BA$38,$D$19),$P$20))-SUM($P81:AZ81)</f>
        <v>#VALUE!</v>
      </c>
      <c r="BB81" s="447"/>
      <c r="BF81" s="446">
        <f t="shared" si="10"/>
        <v>0</v>
      </c>
      <c r="BG81" s="446">
        <f>IF($E81=0,0,IF(MIN(BG$38,$E81)&lt;MAX($P$34*($B81+$I$38-1),IF(AND($L$37=0,$P$34=0),"",$L$37-1)),0,YEARFRAC(MAX($P$34*($B81+$I$38-1),IF(AND($L$37=0,$P$34=0),"",$L$37-1)),MIN(BG$38,$E81),$P$20))-SUM($BF81:BF81))</f>
        <v>0</v>
      </c>
      <c r="BH81" s="446">
        <f>IF($E81=0,0,IF(MIN(BH$38,$E81)&lt;MAX($P$34*($B81+$I$38-1),IF(AND($L$37=0,$P$34=0),"",$L$37-1)),0,YEARFRAC(MAX($P$34*($B81+$I$38-1),IF(AND($L$37=0,$P$34=0),"",$L$37-1)),MIN(BH$38,$E81),$P$20))-SUM($BF81:BG81))</f>
        <v>0</v>
      </c>
      <c r="BI81" s="446">
        <f>IF($E81=0,0,IF(MIN(BI$38,$E81)&lt;MAX($P$34*($B81+$I$38-1),IF(AND($L$37=0,$P$34=0),"",$L$37-1)),0,YEARFRAC(MAX($P$34*($B81+$I$38-1),IF(AND($L$37=0,$P$34=0),"",$L$37-1)),MIN(BI$38,$E81),$P$20))-SUM($BF81:BH81))</f>
        <v>0</v>
      </c>
      <c r="BJ81" s="446">
        <f>IF($E81=0,0,IF(MIN(BJ$38,$E81)&lt;MAX($P$34*($B81+$I$38-1),IF(AND($L$37=0,$P$34=0),"",$L$37-1)),0,YEARFRAC(MAX($P$34*($B81+$I$38-1),IF(AND($L$37=0,$P$34=0),"",$L$37-1)),MIN(BJ$38,$E81),$P$20))-SUM($BF81:BI81))</f>
        <v>0</v>
      </c>
      <c r="BK81" s="446">
        <f>IF($E81=0,0,IF(MIN(BK$38,$E81)&lt;MAX($P$34*($B81+$I$38-1),IF(AND($L$37=0,$P$34=0),"",$L$37-1)),0,YEARFRAC(MAX($P$34*($B81+$I$38-1),IF(AND($L$37=0,$P$34=0),"",$L$37-1)),MIN(BK$38,$E81),$P$20))-SUM($BF81:BJ81))</f>
        <v>0</v>
      </c>
      <c r="BL81" s="446">
        <f>IF($E81=0,0,IF(MIN(BL$38,$E81)&lt;MAX($P$34*($B81+$I$38-1),IF(AND($L$37=0,$P$34=0),"",$L$37-1)),0,YEARFRAC(MAX($P$34*($B81+$I$38-1),IF(AND($L$37=0,$P$34=0),"",$L$37-1)),MIN(BL$38,$E81),$P$20))-SUM($BF81:BK81))</f>
        <v>0</v>
      </c>
      <c r="BM81" s="446">
        <f>IF($E81=0,0,IF(MIN(BM$38,$E81)&lt;MAX($P$34*($B81+$I$38-1),IF(AND($L$37=0,$P$34=0),"",$L$37-1)),0,YEARFRAC(MAX($P$34*($B81+$I$38-1),IF(AND($L$37=0,$P$34=0),"",$L$37-1)),MIN(BM$38,$E81),$P$20))-SUM($BF81:BL81))</f>
        <v>0</v>
      </c>
      <c r="BN81" s="446">
        <f>IF($E81=0,0,IF(MIN(BN$38,$E81)&lt;MAX($P$34*($B81+$I$38-1),IF(AND($L$37=0,$P$34=0),"",$L$37-1)),0,YEARFRAC(MAX($P$34*($B81+$I$38-1),IF(AND($L$37=0,$P$34=0),"",$L$37-1)),MIN(BN$38,$E81),$P$20))-SUM($BF81:BM81))</f>
        <v>0</v>
      </c>
      <c r="BO81" s="446">
        <f>IF($E81=0,0,IF(MIN(BO$38,$E81)&lt;MAX($P$34*($B81+$I$38-1),IF(AND($L$37=0,$P$34=0),"",$L$37-1)),0,YEARFRAC(MAX($P$34*($B81+$I$38-1),IF(AND($L$37=0,$P$34=0),"",$L$37-1)),MIN(BO$38,$E81),$P$20))-SUM($BF81:BN81))</f>
        <v>0</v>
      </c>
      <c r="BP81" s="446">
        <f>IF($E81=0,0,IF(MIN(BP$38,$E81)&lt;MAX($P$34*($B81+$I$38-1),IF(AND($L$37=0,$P$34=0),"",$L$37-1)),0,YEARFRAC(MAX($P$34*($B81+$I$38-1),IF(AND($L$37=0,$P$34=0),"",$L$37-1)),MIN(BP$38,$E81),$P$20))-SUM($BF81:BO81))</f>
        <v>0</v>
      </c>
      <c r="BQ81" s="446">
        <f>IF($E81=0,0,IF(MIN(BQ$38,$E81)&lt;MAX($P$34*($B81+$I$38-1),IF(AND($L$37=0,$P$34=0),"",$L$37-1)),0,YEARFRAC(MAX($P$34*($B81+$I$38-1),IF(AND($L$37=0,$P$34=0),"",$L$37-1)),MIN(BQ$38,$E81),$P$20))-SUM($BF81:BP81))</f>
        <v>0</v>
      </c>
      <c r="BR81" s="446">
        <f>IF($E81=0,0,IF(MIN(BR$38,$E81)&lt;MAX($P$34*($B81+$I$38-1),IF(AND($L$37=0,$P$34=0),"",$L$37-1)),0,YEARFRAC(MAX($P$34*($B81+$I$38-1),IF(AND($L$37=0,$P$34=0),"",$L$37-1)),MIN(BR$38,$E81),$P$20))-SUM($BF81:BQ81))</f>
        <v>0</v>
      </c>
      <c r="BS81" s="446">
        <f>IF($E81=0,0,IF(MIN(BS$38,$E81)&lt;MAX($P$34*($B81+$I$38-1),IF(AND($L$37=0,$P$34=0),"",$L$37-1)),0,YEARFRAC(MAX($P$34*($B81+$I$38-1),IF(AND($L$37=0,$P$34=0),"",$L$37-1)),MIN(BS$38,$E81),$P$20))-SUM($BF81:BR81))</f>
        <v>0</v>
      </c>
      <c r="BT81" s="446">
        <f>IF($E81=0,0,IF(MIN(BT$38,$E81)&lt;MAX($P$34*($B81+$I$38-1),IF(AND($L$37=0,$P$34=0),"",$L$37-1)),0,YEARFRAC(MAX($P$34*($B81+$I$38-1),IF(AND($L$37=0,$P$34=0),"",$L$37-1)),MIN(BT$38,$E81),$P$20))-SUM($BF81:BS81))</f>
        <v>0</v>
      </c>
      <c r="BU81" s="446">
        <f>IF($E81=0,0,IF(MIN(BU$38,$E81)&lt;MAX($P$34*($B81+$I$38-1),IF(AND($L$37=0,$P$34=0),"",$L$37-1)),0,YEARFRAC(MAX($P$34*($B81+$I$38-1),IF(AND($L$37=0,$P$34=0),"",$L$37-1)),MIN(BU$38,$E81),$P$20))-SUM($BF81:BT81))</f>
        <v>0</v>
      </c>
      <c r="BV81" s="446">
        <f>IF($E81=0,0,IF(MIN(BV$38,$E81)&lt;MAX($P$34*($B81+$I$38-1),IF(AND($L$37=0,$P$34=0),"",$L$37-1)),0,YEARFRAC(MAX($P$34*($B81+$I$38-1),IF(AND($L$37=0,$P$34=0),"",$L$37-1)),MIN(BV$38,$E81),$P$20))-SUM($BF81:BU81))</f>
        <v>0</v>
      </c>
      <c r="BW81" s="446">
        <f>IF($E81=0,0,IF(MIN(BW$38,$E81)&lt;MAX($P$34*($B81+$I$38-1),IF(AND($L$37=0,$P$34=0),"",$L$37-1)),0,YEARFRAC(MAX($P$34*($B81+$I$38-1),IF(AND($L$37=0,$P$34=0),"",$L$37-1)),MIN(BW$38,$E81),$P$20))-SUM($BF81:BV81))</f>
        <v>0</v>
      </c>
      <c r="BX81" s="446">
        <f>IF($E81=0,0,IF(MIN(BX$38,$E81)&lt;MAX($P$34*($B81+$I$38-1),IF(AND($L$37=0,$P$34=0),"",$L$37-1)),0,YEARFRAC(MAX($P$34*($B81+$I$38-1),IF(AND($L$37=0,$P$34=0),"",$L$37-1)),MIN(BX$38,$E81),$P$20))-SUM($BF81:BW81))</f>
        <v>0</v>
      </c>
      <c r="BY81" s="446">
        <f>IF($E81=0,0,IF(MIN(BY$38,$E81)&lt;MAX($P$34*($B81+$I$38-1),IF(AND($L$37=0,$P$34=0),"",$L$37-1)),0,YEARFRAC(MAX($P$34*($B81+$I$38-1),IF(AND($L$37=0,$P$34=0),"",$L$37-1)),MIN(BY$38,$E81),$P$20))-SUM($BF81:BX81))</f>
        <v>0</v>
      </c>
      <c r="BZ81" s="446">
        <f>IF($E81=0,0,IF(MIN(BZ$38,$E81)&lt;MAX($P$34*($B81+$I$38-1),IF(AND($L$37=0,$P$34=0),"",$L$37-1)),0,YEARFRAC(MAX($P$34*($B81+$I$38-1),IF(AND($L$37=0,$P$34=0),"",$L$37-1)),MIN(BZ$38,$E81),$P$20))-SUM($BF81:BY81))</f>
        <v>0</v>
      </c>
      <c r="CA81" s="446">
        <f>IF($E81=0,0,IF(MIN(CA$38,$E81)&lt;MAX($P$34*($B81+$I$38-1),IF(AND($L$37=0,$P$34=0),"",$L$37-1)),0,YEARFRAC(MAX($P$34*($B81+$I$38-1),IF(AND($L$37=0,$P$34=0),"",$L$37-1)),MIN(CA$38,$E81),$P$20))-SUM($BF81:BZ81))</f>
        <v>0</v>
      </c>
      <c r="CB81" s="446">
        <f>IF($E81=0,0,IF(MIN(CB$38,$E81)&lt;MAX($P$34*($B81+$I$38-1),IF(AND($L$37=0,$P$34=0),"",$L$37-1)),0,YEARFRAC(MAX($P$34*($B81+$I$38-1),IF(AND($L$37=0,$P$34=0),"",$L$37-1)),MIN(CB$38,$E81),$P$20))-SUM($BF81:CA81))</f>
        <v>0</v>
      </c>
      <c r="CC81" s="446">
        <f>IF($E81=0,0,IF(MIN(CC$38,$E81)&lt;MAX($P$34*($B81+$I$38-1),IF(AND($L$37=0,$P$34=0),"",$L$37-1)),0,YEARFRAC(MAX($P$34*($B81+$I$38-1),IF(AND($L$37=0,$P$34=0),"",$L$37-1)),MIN(CC$38,$E81),$P$20))-SUM($BF81:CB81))</f>
        <v>0</v>
      </c>
      <c r="CD81" s="446">
        <f>IF($E81=0,0,IF(MIN(CD$38,$E81)&lt;MAX($P$34*($B81+$I$38-1),IF(AND($L$37=0,$P$34=0),"",$L$37-1)),0,YEARFRAC(MAX($P$34*($B81+$I$38-1),IF(AND($L$37=0,$P$34=0),"",$L$37-1)),MIN(CD$38,$E81),$P$20))-SUM($BF81:CC81))</f>
        <v>0</v>
      </c>
      <c r="CE81" s="446">
        <f>IF($E81=0,0,IF(MIN(CE$38,$E81)&lt;MAX($P$34*($B81+$I$38-1),IF(AND($L$37=0,$P$34=0),"",$L$37-1)),0,YEARFRAC(MAX($P$34*($B81+$I$38-1),IF(AND($L$37=0,$P$34=0),"",$L$37-1)),MIN(CE$38,$E81),$P$20))-SUM($BF81:CD81))</f>
        <v>0</v>
      </c>
      <c r="CF81" s="446">
        <f>IF($E81=0,0,IF(MIN(CF$38,$E81)&lt;MAX($P$34*($B81+$I$38-1),IF(AND($L$37=0,$P$34=0),"",$L$37-1)),0,YEARFRAC(MAX($P$34*($B81+$I$38-1),IF(AND($L$37=0,$P$34=0),"",$L$37-1)),MIN(CF$38,$E81),$P$20))-SUM($BF81:CE81))</f>
        <v>0</v>
      </c>
      <c r="CG81" s="446">
        <f>IF($E81=0,0,IF(MIN(CG$38,$E81)&lt;MAX($P$34*($B81+$I$38-1),IF(AND($L$37=0,$P$34=0),"",$L$37-1)),0,YEARFRAC(MAX($P$34*($B81+$I$38-1),IF(AND($L$37=0,$P$34=0),"",$L$37-1)),MIN(CG$38,$E81),$P$20))-SUM($BF81:CF81))</f>
        <v>0</v>
      </c>
      <c r="CH81" s="446">
        <f>IF($E81=0,0,IF(MIN(CH$38,$E81)&lt;MAX($P$34*($B81+$I$38-1),IF(AND($L$37=0,$P$34=0),"",$L$37-1)),0,YEARFRAC(MAX($P$34*($B81+$I$38-1),IF(AND($L$37=0,$P$34=0),"",$L$37-1)),MIN(CH$38,$E81),$P$20))-SUM($BF81:CG81))</f>
        <v>0</v>
      </c>
      <c r="CI81" s="446">
        <f>IF($E81=0,0,IF(MIN(CI$38,$E81)&lt;MAX($P$34*($B81+$I$38-1),IF(AND($L$37=0,$P$34=0),"",$L$37-1)),0,YEARFRAC(MAX($P$34*($B81+$I$38-1),IF(AND($L$37=0,$P$34=0),"",$L$37-1)),MIN(CI$38,$E81),$P$20))-SUM($BF81:CH81))</f>
        <v>0</v>
      </c>
      <c r="CJ81" s="446">
        <f>IF($E81=0,0,IF(MIN(CJ$38,$E81)&lt;MAX($P$34*($B81+$I$38-1),IF(AND($L$37=0,$P$34=0),"",$L$37-1)),0,YEARFRAC(MAX($P$34*($B81+$I$38-1),IF(AND($L$37=0,$P$34=0),"",$L$37-1)),MIN(CJ$38,$E81),$P$20))-SUM($BF81:CI81))</f>
        <v>0</v>
      </c>
      <c r="CK81" s="446">
        <f>IF($E81=0,0,IF(MIN(CK$38,$E81)&lt;MAX($P$34*($B81+$I$38-1),IF(AND($L$37=0,$P$34=0),"",$L$37-1)),0,YEARFRAC(MAX($P$34*($B81+$I$38-1),IF(AND($L$37=0,$P$34=0),"",$L$37-1)),MIN(CK$38,$E81),$P$20))-SUM($BF81:CJ81))</f>
        <v>0</v>
      </c>
      <c r="CL81" s="446">
        <f>IF($E81=0,0,IF(MIN(CL$38,$E81)&lt;MAX($P$34*($B81+$I$38-1),IF(AND($L$37=0,$P$34=0),"",$L$37-1)),0,YEARFRAC(MAX($P$34*($B81+$I$38-1),IF(AND($L$37=0,$P$34=0),"",$L$37-1)),MIN(CL$38,$E81),$P$20))-SUM($BF81:CK81))</f>
        <v>0</v>
      </c>
      <c r="CM81" s="446">
        <f>IF($E81=0,0,IF(MIN(CM$38,$E81)&lt;MAX($P$34*($B81+$I$38-1),IF(AND($L$37=0,$P$34=0),"",$L$37-1)),0,YEARFRAC(MAX($P$34*($B81+$I$38-1),IF(AND($L$37=0,$P$34=0),"",$L$37-1)),MIN(CM$38,$E81),$P$20))-SUM($BF81:CL81))</f>
        <v>0</v>
      </c>
      <c r="CN81" s="446">
        <f>IF($E81=0,0,IF(MIN(CN$38,$E81)&lt;MAX($P$34*($B81+$I$38-1),IF(AND($L$37=0,$P$34=0),"",$L$37-1)),0,YEARFRAC(MAX($P$34*($B81+$I$38-1),IF(AND($L$37=0,$P$34=0),"",$L$37-1)),MIN(CN$38,$E81),$P$20))-SUM($BF81:CM81))</f>
        <v>0</v>
      </c>
      <c r="CO81" s="446">
        <f>IF($E81=0,0,IF(MIN(CO$38,$E81)&lt;MAX($P$34*($B81+$I$38-1),IF(AND($L$37=0,$P$34=0),"",$L$37-1)),0,YEARFRAC(MAX($P$34*($B81+$I$38-1),IF(AND($L$37=0,$P$34=0),"",$L$37-1)),MIN(CO$38,$E81),$P$20))-SUM($BF81:CN81))</f>
        <v>0</v>
      </c>
      <c r="CP81" s="446">
        <f>IF($E81=0,0,IF(MIN(CP$38,$E81)&lt;MAX($P$34*($B81+$I$38-1),IF(AND($L$37=0,$P$34=0),"",$L$37-1)),0,YEARFRAC(MAX($P$34*($B81+$I$38-1),IF(AND($L$37=0,$P$34=0),"",$L$37-1)),MIN(CP$38,$E81),$P$20))-SUM($BF81:CO81))</f>
        <v>0</v>
      </c>
      <c r="CQ81" s="446">
        <f>IF($E81=0,0,IF(MIN(CQ$38,$E81)&lt;MAX($P$34*($B81+$I$38-1),IF(AND($L$37=0,$P$34=0),"",$L$37-1)),0,YEARFRAC(MAX($P$34*($B81+$I$38-1),IF(AND($L$37=0,$P$34=0),"",$L$37-1)),MIN(CQ$38,$E81),$P$20))-SUM($BF81:CP81))</f>
        <v>0</v>
      </c>
    </row>
    <row r="82" spans="1:95" s="446" customFormat="1" ht="11.25" hidden="1" customHeight="1" x14ac:dyDescent="0.2">
      <c r="A82" s="152"/>
      <c r="B82" s="153" t="str">
        <f t="shared" si="15"/>
        <v/>
      </c>
      <c r="C82" s="29" t="str">
        <f>IF(B82="","",IF($L$35="SELIC - TRIBUTOS",VLOOKUP(DATE(YEAR($D$19),MONTH($D$19)-1,1),ÍNDICES!$A:$DE,HLOOKUP($BL$25,ÍNDICES!$B$3:$T$4,2)+11)-VLOOKUP(B82,ÍNDICES!$A:$DE,HLOOKUP($BL$25,ÍNDICES!$B$3:$T$4,2)+11)+1%,IF(C$38=$W$26,$J$35,IF(ISERROR(IF(B82&gt;$D$19,1,VLOOKUP(DATE(YEAR(B82),MONTH(B82)+IF($C$35=$S$23,1,0),1),ÍNDICES!$A:$DE,$Z$35+1))),"",IF(B82&gt;$D$19,1,VLOOKUP(DATE(YEAR(B82),MONTH(B82)+IF($C$35=$S$23,1,0),1),ÍNDICES!$A:$DE,$Z$35+1))))))</f>
        <v/>
      </c>
      <c r="D82" s="154" t="str">
        <f>IF(ISERROR(IF(OR($D$38=$Y$27,$B82=""),"",VLOOKUP(B82,ÍNDICES!A:DE,AF$35+1))),"",IF(OR($D$38=$Y$27,$B82=""),"",VLOOKUP(B82,ÍNDICES!A:DE,AF$35+1)))</f>
        <v/>
      </c>
      <c r="E82" s="153"/>
      <c r="F82" s="29" t="str">
        <f>IF(E82="","",IF($L$35="SELIC - TRIBUTOS",VLOOKUP(DATE(YEAR($D$19),MONTH($D$19)-1,1),ÍNDICES!$A:$DE,HLOOKUP($BL$25,ÍNDICES!$B$3:$T$4,2)+11)-VLOOKUP(E82,ÍNDICES!$A:$DE,HLOOKUP($BL$25,ÍNDICES!$B$3:$T$4,2)+11)+1%,IF(F$38=$W$26,$J$35,IF(ISERROR(IF(E82&gt;$D$19,1,VLOOKUP(DATE(YEAR(E82),MONTH(E82)+IF($C$35=$S$23,1,0),1),ÍNDICES!$A:$DE,$Z$35+1))),"",IF(E82&gt;$D$19,1,VLOOKUP(DATE(YEAR(E82),MONTH(E82)+IF($C$35=$S$23,1,0),1),ÍNDICES!$A:$DE,$Z$35+1))))))</f>
        <v/>
      </c>
      <c r="G82" s="155"/>
      <c r="H82" s="156" t="str">
        <f t="shared" si="11"/>
        <v/>
      </c>
      <c r="I82" s="29" t="str">
        <f t="shared" si="5"/>
        <v/>
      </c>
      <c r="J82" s="5">
        <f t="shared" si="6"/>
        <v>0</v>
      </c>
      <c r="K82" s="20">
        <f t="shared" ca="1" si="7"/>
        <v>0</v>
      </c>
      <c r="L82" s="5">
        <f t="shared" ca="1" si="8"/>
        <v>0</v>
      </c>
      <c r="M82" s="64">
        <f t="shared" si="12"/>
        <v>0</v>
      </c>
      <c r="N82" s="61">
        <f t="shared" ca="1" si="13"/>
        <v>0</v>
      </c>
      <c r="O82" s="5">
        <f t="shared" ca="1" si="14"/>
        <v>0</v>
      </c>
      <c r="P82" s="446" t="e">
        <f t="shared" si="9"/>
        <v>#VALUE!</v>
      </c>
      <c r="Q82" s="446" t="e">
        <f>IF(OR($B82="",MIN(Q$38,$D$19)&lt;MAX($P$34*($B82+IF($R$17="Distrato",$I$38-1,0)),IF(AND($L$37=0,$P$34=0),"",$L$37-1),IF($R$17="Distrato",$E82,0))),0,YEARFRAC(MAX($P$34*($B82+IF($R$17="Distrato",$I$38-1,0)),IF(AND($L$37=0,$P$34=0),"",$L$37-1),IF($R$17="Distrato",$E82,0)),MIN(Q$38,$D$19),$P$20))-SUM($P82:P82)</f>
        <v>#VALUE!</v>
      </c>
      <c r="R82" s="446" t="e">
        <f>IF(OR($B82="",MIN(R$38,$D$19)&lt;MAX($P$34*($B82+IF($R$17="Distrato",$I$38-1,0)),IF(AND($L$37=0,$P$34=0),"",$L$37-1),IF($R$17="Distrato",$E82,0))),0,YEARFRAC(MAX($P$34*($B82+IF($R$17="Distrato",$I$38-1,0)),IF(AND($L$37=0,$P$34=0),"",$L$37-1),IF($R$17="Distrato",$E82,0)),MIN(R$38,$D$19),$P$20))-SUM($P82:Q82)</f>
        <v>#VALUE!</v>
      </c>
      <c r="S82" s="446" t="e">
        <f>IF(OR($B82="",MIN(S$38,$D$19)&lt;MAX($P$34*($B82+IF($R$17="Distrato",$I$38-1,0)),IF(AND($L$37=0,$P$34=0),"",$L$37-1),IF($R$17="Distrato",$E82,0))),0,YEARFRAC(MAX($P$34*($B82+IF($R$17="Distrato",$I$38-1,0)),IF(AND($L$37=0,$P$34=0),"",$L$37-1),IF($R$17="Distrato",$E82,0)),MIN(S$38,$D$19),$P$20))-SUM($P82:R82)</f>
        <v>#VALUE!</v>
      </c>
      <c r="T82" s="446" t="e">
        <f>IF(OR($B82="",MIN(T$38,$D$19)&lt;MAX($P$34*($B82+IF($R$17="Distrato",$I$38-1,0)),IF(AND($L$37=0,$P$34=0),"",$L$37-1),IF($R$17="Distrato",$E82,0))),0,YEARFRAC(MAX($P$34*($B82+IF($R$17="Distrato",$I$38-1,0)),IF(AND($L$37=0,$P$34=0),"",$L$37-1),IF($R$17="Distrato",$E82,0)),MIN(T$38,$D$19),$P$20))-SUM($P82:S82)</f>
        <v>#VALUE!</v>
      </c>
      <c r="U82" s="446" t="e">
        <f>IF(OR($B82="",MIN(U$38,$D$19)&lt;MAX($P$34*($B82+IF($R$17="Distrato",$I$38-1,0)),IF(AND($L$37=0,$P$34=0),"",$L$37-1),IF($R$17="Distrato",$E82,0))),0,YEARFRAC(MAX($P$34*($B82+IF($R$17="Distrato",$I$38-1,0)),IF(AND($L$37=0,$P$34=0),"",$L$37-1),IF($R$17="Distrato",$E82,0)),MIN(U$38,$D$19),$P$20))-SUM($P82:T82)</f>
        <v>#VALUE!</v>
      </c>
      <c r="V82" s="446" t="e">
        <f>IF(OR($B82="",MIN(V$38,$D$19)&lt;MAX($P$34*($B82+IF($R$17="Distrato",$I$38-1,0)),IF(AND($L$37=0,$P$34=0),"",$L$37-1),IF($R$17="Distrato",$E82,0))),0,YEARFRAC(MAX($P$34*($B82+IF($R$17="Distrato",$I$38-1,0)),IF(AND($L$37=0,$P$34=0),"",$L$37-1),IF($R$17="Distrato",$E82,0)),MIN(V$38,$D$19),$P$20))-SUM($P82:U82)</f>
        <v>#VALUE!</v>
      </c>
      <c r="W82" s="446" t="e">
        <f>IF(OR($B82="",MIN(W$38,$D$19)&lt;MAX($P$34*($B82+IF($R$17="Distrato",$I$38-1,0)),IF(AND($L$37=0,$P$34=0),"",$L$37-1),IF($R$17="Distrato",$E82,0))),0,YEARFRAC(MAX($P$34*($B82+IF($R$17="Distrato",$I$38-1,0)),IF(AND($L$37=0,$P$34=0),"",$L$37-1),IF($R$17="Distrato",$E82,0)),MIN(W$38,$D$19),$P$20))-SUM($P82:V82)</f>
        <v>#VALUE!</v>
      </c>
      <c r="X82" s="446" t="e">
        <f>IF(OR($B82="",MIN(X$38,$D$19)&lt;MAX($P$34*($B82+IF($R$17="Distrato",$I$38-1,0)),IF(AND($L$37=0,$P$34=0),"",$L$37-1),IF($R$17="Distrato",$E82,0))),0,YEARFRAC(MAX($P$34*($B82+IF($R$17="Distrato",$I$38-1,0)),IF(AND($L$37=0,$P$34=0),"",$L$37-1),IF($R$17="Distrato",$E82,0)),MIN(X$38,$D$19),$P$20))-SUM($P82:W82)</f>
        <v>#VALUE!</v>
      </c>
      <c r="Y82" s="446" t="e">
        <f>IF(OR($B82="",MIN(Y$38,$D$19)&lt;MAX($P$34*($B82+IF($R$17="Distrato",$I$38-1,0)),IF(AND($L$37=0,$P$34=0),"",$L$37-1),IF($R$17="Distrato",$E82,0))),0,YEARFRAC(MAX($P$34*($B82+IF($R$17="Distrato",$I$38-1,0)),IF(AND($L$37=0,$P$34=0),"",$L$37-1),IF($R$17="Distrato",$E82,0)),MIN(Y$38,$D$19),$P$20))-SUM($P82:X82)</f>
        <v>#VALUE!</v>
      </c>
      <c r="Z82" s="446" t="e">
        <f>IF(OR($B82="",MIN(Z$38,$D$19)&lt;MAX($P$34*($B82+IF($R$17="Distrato",$I$38-1,0)),IF(AND($L$37=0,$P$34=0),"",$L$37-1),IF($R$17="Distrato",$E82,0))),0,YEARFRAC(MAX($P$34*($B82+IF($R$17="Distrato",$I$38-1,0)),IF(AND($L$37=0,$P$34=0),"",$L$37-1),IF($R$17="Distrato",$E82,0)),MIN(Z$38,$D$19),$P$20))-SUM($P82:Y82)</f>
        <v>#VALUE!</v>
      </c>
      <c r="AA82" s="446" t="e">
        <f>IF(OR($B82="",MIN(AA$38,$D$19)&lt;MAX($P$34*($B82+IF($R$17="Distrato",$I$38-1,0)),IF(AND($L$37=0,$P$34=0),"",$L$37-1),IF($R$17="Distrato",$E82,0))),0,YEARFRAC(MAX($P$34*($B82+IF($R$17="Distrato",$I$38-1,0)),IF(AND($L$37=0,$P$34=0),"",$L$37-1),IF($R$17="Distrato",$E82,0)),MIN(AA$38,$D$19),$P$20))-SUM($P82:Z82)</f>
        <v>#VALUE!</v>
      </c>
      <c r="AB82" s="446" t="e">
        <f>IF(OR($B82="",MIN(AB$38,$D$19)&lt;MAX($P$34*($B82+IF($R$17="Distrato",$I$38-1,0)),IF(AND($L$37=0,$P$34=0),"",$L$37-1),IF($R$17="Distrato",$E82,0))),0,YEARFRAC(MAX($P$34*($B82+IF($R$17="Distrato",$I$38-1,0)),IF(AND($L$37=0,$P$34=0),"",$L$37-1),IF($R$17="Distrato",$E82,0)),MIN(AB$38,$D$19),$P$20))-SUM($P82:AA82)</f>
        <v>#VALUE!</v>
      </c>
      <c r="AC82" s="446" t="e">
        <f>IF(OR($B82="",MIN(AC$38,$D$19)&lt;MAX($P$34*($B82+IF($R$17="Distrato",$I$38-1,0)),IF(AND($L$37=0,$P$34=0),"",$L$37-1),IF($R$17="Distrato",$E82,0))),0,YEARFRAC(MAX($P$34*($B82+IF($R$17="Distrato",$I$38-1,0)),IF(AND($L$37=0,$P$34=0),"",$L$37-1),IF($R$17="Distrato",$E82,0)),MIN(AC$38,$D$19),$P$20))-SUM($P82:AB82)</f>
        <v>#VALUE!</v>
      </c>
      <c r="AD82" s="446" t="e">
        <f>IF(OR($B82="",MIN(AD$38,$D$19)&lt;MAX($P$34*($B82+IF($R$17="Distrato",$I$38-1,0)),IF(AND($L$37=0,$P$34=0),"",$L$37-1),IF($R$17="Distrato",$E82,0))),0,YEARFRAC(MAX($P$34*($B82+IF($R$17="Distrato",$I$38-1,0)),IF(AND($L$37=0,$P$34=0),"",$L$37-1),IF($R$17="Distrato",$E82,0)),MIN(AD$38,$D$19),$P$20))-SUM($P82:AC82)</f>
        <v>#VALUE!</v>
      </c>
      <c r="AE82" s="446" t="e">
        <f>IF(OR($B82="",MIN(AE$38,$D$19)&lt;MAX($P$34*($B82+IF($R$17="Distrato",$I$38-1,0)),IF(AND($L$37=0,$P$34=0),"",$L$37-1),IF($R$17="Distrato",$E82,0))),0,YEARFRAC(MAX($P$34*($B82+IF($R$17="Distrato",$I$38-1,0)),IF(AND($L$37=0,$P$34=0),"",$L$37-1),IF($R$17="Distrato",$E82,0)),MIN(AE$38,$D$19),$P$20))-SUM($P82:AD82)</f>
        <v>#VALUE!</v>
      </c>
      <c r="AF82" s="446" t="e">
        <f>IF(OR($B82="",MIN(AF$38,$D$19)&lt;MAX($P$34*($B82+IF($R$17="Distrato",$I$38-1,0)),IF(AND($L$37=0,$P$34=0),"",$L$37-1),IF($R$17="Distrato",$E82,0))),0,YEARFRAC(MAX($P$34*($B82+IF($R$17="Distrato",$I$38-1,0)),IF(AND($L$37=0,$P$34=0),"",$L$37-1),IF($R$17="Distrato",$E82,0)),MIN(AF$38,$D$19),$P$20))-SUM($P82:AE82)</f>
        <v>#VALUE!</v>
      </c>
      <c r="AG82" s="446" t="e">
        <f>IF(OR($B82="",MIN(AG$38,$D$19)&lt;MAX($P$34*($B82+IF($R$17="Distrato",$I$38-1,0)),IF(AND($L$37=0,$P$34=0),"",$L$37-1),IF($R$17="Distrato",$E82,0))),0,YEARFRAC(MAX($P$34*($B82+IF($R$17="Distrato",$I$38-1,0)),IF(AND($L$37=0,$P$34=0),"",$L$37-1),IF($R$17="Distrato",$E82,0)),MIN(AG$38,$D$19),$P$20))-SUM($P82:AF82)</f>
        <v>#VALUE!</v>
      </c>
      <c r="AH82" s="446" t="e">
        <f>IF(OR($B82="",MIN(AH$38,$D$19)&lt;MAX($P$34*($B82+IF($R$17="Distrato",$I$38-1,0)),IF(AND($L$37=0,$P$34=0),"",$L$37-1),IF($R$17="Distrato",$E82,0))),0,YEARFRAC(MAX($P$34*($B82+IF($R$17="Distrato",$I$38-1,0)),IF(AND($L$37=0,$P$34=0),"",$L$37-1),IF($R$17="Distrato",$E82,0)),MIN(AH$38,$D$19),$P$20))-SUM($P82:AG82)</f>
        <v>#VALUE!</v>
      </c>
      <c r="AI82" s="446" t="e">
        <f>IF(OR($B82="",MIN(AI$38,$D$19)&lt;MAX($P$34*($B82+IF($R$17="Distrato",$I$38-1,0)),IF(AND($L$37=0,$P$34=0),"",$L$37-1),IF($R$17="Distrato",$E82,0))),0,YEARFRAC(MAX($P$34*($B82+IF($R$17="Distrato",$I$38-1,0)),IF(AND($L$37=0,$P$34=0),"",$L$37-1),IF($R$17="Distrato",$E82,0)),MIN(AI$38,$D$19),$P$20))-SUM($P82:AH82)</f>
        <v>#VALUE!</v>
      </c>
      <c r="AJ82" s="446" t="e">
        <f>IF(OR($B82="",MIN(AJ$38,$D$19)&lt;MAX($P$34*($B82+IF($R$17="Distrato",$I$38-1,0)),IF(AND($L$37=0,$P$34=0),"",$L$37-1),IF($R$17="Distrato",$E82,0))),0,YEARFRAC(MAX($P$34*($B82+IF($R$17="Distrato",$I$38-1,0)),IF(AND($L$37=0,$P$34=0),"",$L$37-1),IF($R$17="Distrato",$E82,0)),MIN(AJ$38,$D$19),$P$20))-SUM($P82:AI82)</f>
        <v>#VALUE!</v>
      </c>
      <c r="AK82" s="446" t="e">
        <f>IF(OR($B82="",MIN(AK$38,$D$19)&lt;MAX($P$34*($B82+IF($R$17="Distrato",$I$38-1,0)),IF(AND($L$37=0,$P$34=0),"",$L$37-1),IF($R$17="Distrato",$E82,0))),0,YEARFRAC(MAX($P$34*($B82+IF($R$17="Distrato",$I$38-1,0)),IF(AND($L$37=0,$P$34=0),"",$L$37-1),IF($R$17="Distrato",$E82,0)),MIN(AK$38,$D$19),$P$20))-SUM($P82:AJ82)</f>
        <v>#VALUE!</v>
      </c>
      <c r="AL82" s="446" t="e">
        <f>IF(OR($B82="",MIN(AL$38,$D$19)&lt;MAX($P$34*($B82+IF($R$17="Distrato",$I$38-1,0)),IF(AND($L$37=0,$P$34=0),"",$L$37-1),IF($R$17="Distrato",$E82,0))),0,YEARFRAC(MAX($P$34*($B82+IF($R$17="Distrato",$I$38-1,0)),IF(AND($L$37=0,$P$34=0),"",$L$37-1),IF($R$17="Distrato",$E82,0)),MIN(AL$38,$D$19),$P$20))-SUM($P82:AK82)</f>
        <v>#VALUE!</v>
      </c>
      <c r="AM82" s="446" t="e">
        <f>IF(OR($B82="",MIN(AM$38,$D$19)&lt;MAX($P$34*($B82+IF($R$17="Distrato",$I$38-1,0)),IF(AND($L$37=0,$P$34=0),"",$L$37-1),IF($R$17="Distrato",$E82,0))),0,YEARFRAC(MAX($P$34*($B82+IF($R$17="Distrato",$I$38-1,0)),IF(AND($L$37=0,$P$34=0),"",$L$37-1),IF($R$17="Distrato",$E82,0)),MIN(AM$38,$D$19),$P$20))-SUM($P82:AL82)</f>
        <v>#VALUE!</v>
      </c>
      <c r="AN82" s="446" t="e">
        <f>IF(OR($B82="",MIN(AN$38,$D$19)&lt;MAX($P$34*($B82+IF($R$17="Distrato",$I$38-1,0)),IF(AND($L$37=0,$P$34=0),"",$L$37-1),IF($R$17="Distrato",$E82,0))),0,YEARFRAC(MAX($P$34*($B82+IF($R$17="Distrato",$I$38-1,0)),IF(AND($L$37=0,$P$34=0),"",$L$37-1),IF($R$17="Distrato",$E82,0)),MIN(AN$38,$D$19),$P$20))-SUM($P82:AM82)</f>
        <v>#VALUE!</v>
      </c>
      <c r="AO82" s="446" t="e">
        <f>IF(OR($B82="",MIN(AO$38,$D$19)&lt;MAX($P$34*($B82+IF($R$17="Distrato",$I$38-1,0)),IF(AND($L$37=0,$P$34=0),"",$L$37-1),IF($R$17="Distrato",$E82,0))),0,YEARFRAC(MAX($P$34*($B82+IF($R$17="Distrato",$I$38-1,0)),IF(AND($L$37=0,$P$34=0),"",$L$37-1),IF($R$17="Distrato",$E82,0)),MIN(AO$38,$D$19),$P$20))-SUM($P82:AN82)</f>
        <v>#VALUE!</v>
      </c>
      <c r="AP82" s="446" t="e">
        <f>IF(OR($B82="",MIN(AP$38,$D$19)&lt;MAX($P$34*($B82+IF($R$17="Distrato",$I$38-1,0)),IF(AND($L$37=0,$P$34=0),"",$L$37-1),IF($R$17="Distrato",$E82,0))),0,YEARFRAC(MAX($P$34*($B82+IF($R$17="Distrato",$I$38-1,0)),IF(AND($L$37=0,$P$34=0),"",$L$37-1),IF($R$17="Distrato",$E82,0)),MIN(AP$38,$D$19),$P$20))-SUM($P82:AO82)</f>
        <v>#VALUE!</v>
      </c>
      <c r="AQ82" s="446" t="e">
        <f>IF(OR($B82="",MIN(AQ$38,$D$19)&lt;MAX($P$34*($B82+IF($R$17="Distrato",$I$38-1,0)),IF(AND($L$37=0,$P$34=0),"",$L$37-1),IF($R$17="Distrato",$E82,0))),0,YEARFRAC(MAX($P$34*($B82+IF($R$17="Distrato",$I$38-1,0)),IF(AND($L$37=0,$P$34=0),"",$L$37-1),IF($R$17="Distrato",$E82,0)),MIN(AQ$38,$D$19),$P$20))-SUM($P82:AP82)</f>
        <v>#VALUE!</v>
      </c>
      <c r="AR82" s="446" t="e">
        <f>IF(OR($B82="",MIN(AR$38,$D$19)&lt;MAX($P$34*($B82+IF($R$17="Distrato",$I$38-1,0)),IF(AND($L$37=0,$P$34=0),"",$L$37-1),IF($R$17="Distrato",$E82,0))),0,YEARFRAC(MAX($P$34*($B82+IF($R$17="Distrato",$I$38-1,0)),IF(AND($L$37=0,$P$34=0),"",$L$37-1),IF($R$17="Distrato",$E82,0)),MIN(AR$38,$D$19),$P$20))-SUM($P82:AQ82)</f>
        <v>#VALUE!</v>
      </c>
      <c r="AS82" s="446" t="e">
        <f>IF(OR($B82="",MIN(AS$38,$D$19)&lt;MAX($P$34*($B82+IF($R$17="Distrato",$I$38-1,0)),IF(AND($L$37=0,$P$34=0),"",$L$37-1),IF($R$17="Distrato",$E82,0))),0,YEARFRAC(MAX($P$34*($B82+IF($R$17="Distrato",$I$38-1,0)),IF(AND($L$37=0,$P$34=0),"",$L$37-1),IF($R$17="Distrato",$E82,0)),MIN(AS$38,$D$19),$P$20))-SUM($P82:AR82)</f>
        <v>#VALUE!</v>
      </c>
      <c r="AT82" s="446" t="e">
        <f>IF(OR($B82="",MIN(AT$38,$D$19)&lt;MAX($P$34*($B82+IF($R$17="Distrato",$I$38-1,0)),IF(AND($L$37=0,$P$34=0),"",$L$37-1),IF($R$17="Distrato",$E82,0))),0,YEARFRAC(MAX($P$34*($B82+IF($R$17="Distrato",$I$38-1,0)),IF(AND($L$37=0,$P$34=0),"",$L$37-1),IF($R$17="Distrato",$E82,0)),MIN(AT$38,$D$19),$P$20))-SUM($P82:AS82)</f>
        <v>#VALUE!</v>
      </c>
      <c r="AU82" s="446" t="e">
        <f>IF(OR($B82="",MIN(AU$38,$D$19)&lt;MAX($P$34*($B82+IF($R$17="Distrato",$I$38-1,0)),IF(AND($L$37=0,$P$34=0),"",$L$37-1),IF($R$17="Distrato",$E82,0))),0,YEARFRAC(MAX($P$34*($B82+IF($R$17="Distrato",$I$38-1,0)),IF(AND($L$37=0,$P$34=0),"",$L$37-1),IF($R$17="Distrato",$E82,0)),MIN(AU$38,$D$19),$P$20))-SUM($P82:AT82)</f>
        <v>#VALUE!</v>
      </c>
      <c r="AV82" s="446" t="e">
        <f>IF(OR($B82="",MIN(AV$38,$D$19)&lt;MAX($P$34*($B82+IF($R$17="Distrato",$I$38-1,0)),IF(AND($L$37=0,$P$34=0),"",$L$37-1),IF($R$17="Distrato",$E82,0))),0,YEARFRAC(MAX($P$34*($B82+IF($R$17="Distrato",$I$38-1,0)),IF(AND($L$37=0,$P$34=0),"",$L$37-1),IF($R$17="Distrato",$E82,0)),MIN(AV$38,$D$19),$P$20))-SUM($P82:AU82)</f>
        <v>#VALUE!</v>
      </c>
      <c r="AW82" s="446" t="e">
        <f>IF(OR($B82="",MIN(AW$38,$D$19)&lt;MAX($P$34*($B82+IF($R$17="Distrato",$I$38-1,0)),IF(AND($L$37=0,$P$34=0),"",$L$37-1),IF($R$17="Distrato",$E82,0))),0,YEARFRAC(MAX($P$34*($B82+IF($R$17="Distrato",$I$38-1,0)),IF(AND($L$37=0,$P$34=0),"",$L$37-1),IF($R$17="Distrato",$E82,0)),MIN(AW$38,$D$19),$P$20))-SUM($P82:AV82)</f>
        <v>#VALUE!</v>
      </c>
      <c r="AX82" s="446" t="e">
        <f>IF(OR($B82="",MIN(AX$38,$D$19)&lt;MAX($P$34*($B82+IF($R$17="Distrato",$I$38-1,0)),IF(AND($L$37=0,$P$34=0),"",$L$37-1),IF($R$17="Distrato",$E82,0))),0,YEARFRAC(MAX($P$34*($B82+IF($R$17="Distrato",$I$38-1,0)),IF(AND($L$37=0,$P$34=0),"",$L$37-1),IF($R$17="Distrato",$E82,0)),MIN(AX$38,$D$19),$P$20))-SUM($P82:AW82)</f>
        <v>#VALUE!</v>
      </c>
      <c r="AY82" s="446" t="e">
        <f>IF(OR($B82="",MIN(AY$38,$D$19)&lt;MAX($P$34*($B82+IF($R$17="Distrato",$I$38-1,0)),IF(AND($L$37=0,$P$34=0),"",$L$37-1),IF($R$17="Distrato",$E82,0))),0,YEARFRAC(MAX($P$34*($B82+IF($R$17="Distrato",$I$38-1,0)),IF(AND($L$37=0,$P$34=0),"",$L$37-1),IF($R$17="Distrato",$E82,0)),MIN(AY$38,$D$19),$P$20))-SUM($P82:AX82)</f>
        <v>#VALUE!</v>
      </c>
      <c r="AZ82" s="446" t="e">
        <f>IF(OR($B82="",MIN(AZ$38,$D$19)&lt;MAX($P$34*($B82+IF($R$17="Distrato",$I$38-1,0)),IF(AND($L$37=0,$P$34=0),"",$L$37-1),IF($R$17="Distrato",$E82,0))),0,YEARFRAC(MAX($P$34*($B82+IF($R$17="Distrato",$I$38-1,0)),IF(AND($L$37=0,$P$34=0),"",$L$37-1),IF($R$17="Distrato",$E82,0)),MIN(AZ$38,$D$19),$P$20))-SUM($P82:AY82)</f>
        <v>#VALUE!</v>
      </c>
      <c r="BA82" s="446" t="e">
        <f>IF(OR($B82="",MIN(BA$38,$D$19)&lt;MAX($P$34*($B82+IF($R$17="Distrato",$I$38-1,0)),IF(AND($L$37=0,$P$34=0),"",$L$37-1),IF($R$17="Distrato",$E82,0))),0,YEARFRAC(MAX($P$34*($B82+IF($R$17="Distrato",$I$38-1,0)),IF(AND($L$37=0,$P$34=0),"",$L$37-1),IF($R$17="Distrato",$E82,0)),MIN(BA$38,$D$19),$P$20))-SUM($P82:AZ82)</f>
        <v>#VALUE!</v>
      </c>
      <c r="BB82" s="447"/>
      <c r="BF82" s="446">
        <f t="shared" si="10"/>
        <v>0</v>
      </c>
      <c r="BG82" s="446">
        <f>IF($E82=0,0,IF(MIN(BG$38,$E82)&lt;MAX($P$34*($B82+$I$38-1),IF(AND($L$37=0,$P$34=0),"",$L$37-1)),0,YEARFRAC(MAX($P$34*($B82+$I$38-1),IF(AND($L$37=0,$P$34=0),"",$L$37-1)),MIN(BG$38,$E82),$P$20))-SUM($BF82:BF82))</f>
        <v>0</v>
      </c>
      <c r="BH82" s="446">
        <f>IF($E82=0,0,IF(MIN(BH$38,$E82)&lt;MAX($P$34*($B82+$I$38-1),IF(AND($L$37=0,$P$34=0),"",$L$37-1)),0,YEARFRAC(MAX($P$34*($B82+$I$38-1),IF(AND($L$37=0,$P$34=0),"",$L$37-1)),MIN(BH$38,$E82),$P$20))-SUM($BF82:BG82))</f>
        <v>0</v>
      </c>
      <c r="BI82" s="446">
        <f>IF($E82=0,0,IF(MIN(BI$38,$E82)&lt;MAX($P$34*($B82+$I$38-1),IF(AND($L$37=0,$P$34=0),"",$L$37-1)),0,YEARFRAC(MAX($P$34*($B82+$I$38-1),IF(AND($L$37=0,$P$34=0),"",$L$37-1)),MIN(BI$38,$E82),$P$20))-SUM($BF82:BH82))</f>
        <v>0</v>
      </c>
      <c r="BJ82" s="446">
        <f>IF($E82=0,0,IF(MIN(BJ$38,$E82)&lt;MAX($P$34*($B82+$I$38-1),IF(AND($L$37=0,$P$34=0),"",$L$37-1)),0,YEARFRAC(MAX($P$34*($B82+$I$38-1),IF(AND($L$37=0,$P$34=0),"",$L$37-1)),MIN(BJ$38,$E82),$P$20))-SUM($BF82:BI82))</f>
        <v>0</v>
      </c>
      <c r="BK82" s="446">
        <f>IF($E82=0,0,IF(MIN(BK$38,$E82)&lt;MAX($P$34*($B82+$I$38-1),IF(AND($L$37=0,$P$34=0),"",$L$37-1)),0,YEARFRAC(MAX($P$34*($B82+$I$38-1),IF(AND($L$37=0,$P$34=0),"",$L$37-1)),MIN(BK$38,$E82),$P$20))-SUM($BF82:BJ82))</f>
        <v>0</v>
      </c>
      <c r="BL82" s="446">
        <f>IF($E82=0,0,IF(MIN(BL$38,$E82)&lt;MAX($P$34*($B82+$I$38-1),IF(AND($L$37=0,$P$34=0),"",$L$37-1)),0,YEARFRAC(MAX($P$34*($B82+$I$38-1),IF(AND($L$37=0,$P$34=0),"",$L$37-1)),MIN(BL$38,$E82),$P$20))-SUM($BF82:BK82))</f>
        <v>0</v>
      </c>
      <c r="BM82" s="446">
        <f>IF($E82=0,0,IF(MIN(BM$38,$E82)&lt;MAX($P$34*($B82+$I$38-1),IF(AND($L$37=0,$P$34=0),"",$L$37-1)),0,YEARFRAC(MAX($P$34*($B82+$I$38-1),IF(AND($L$37=0,$P$34=0),"",$L$37-1)),MIN(BM$38,$E82),$P$20))-SUM($BF82:BL82))</f>
        <v>0</v>
      </c>
      <c r="BN82" s="446">
        <f>IF($E82=0,0,IF(MIN(BN$38,$E82)&lt;MAX($P$34*($B82+$I$38-1),IF(AND($L$37=0,$P$34=0),"",$L$37-1)),0,YEARFRAC(MAX($P$34*($B82+$I$38-1),IF(AND($L$37=0,$P$34=0),"",$L$37-1)),MIN(BN$38,$E82),$P$20))-SUM($BF82:BM82))</f>
        <v>0</v>
      </c>
      <c r="BO82" s="446">
        <f>IF($E82=0,0,IF(MIN(BO$38,$E82)&lt;MAX($P$34*($B82+$I$38-1),IF(AND($L$37=0,$P$34=0),"",$L$37-1)),0,YEARFRAC(MAX($P$34*($B82+$I$38-1),IF(AND($L$37=0,$P$34=0),"",$L$37-1)),MIN(BO$38,$E82),$P$20))-SUM($BF82:BN82))</f>
        <v>0</v>
      </c>
      <c r="BP82" s="446">
        <f>IF($E82=0,0,IF(MIN(BP$38,$E82)&lt;MAX($P$34*($B82+$I$38-1),IF(AND($L$37=0,$P$34=0),"",$L$37-1)),0,YEARFRAC(MAX($P$34*($B82+$I$38-1),IF(AND($L$37=0,$P$34=0),"",$L$37-1)),MIN(BP$38,$E82),$P$20))-SUM($BF82:BO82))</f>
        <v>0</v>
      </c>
      <c r="BQ82" s="446">
        <f>IF($E82=0,0,IF(MIN(BQ$38,$E82)&lt;MAX($P$34*($B82+$I$38-1),IF(AND($L$37=0,$P$34=0),"",$L$37-1)),0,YEARFRAC(MAX($P$34*($B82+$I$38-1),IF(AND($L$37=0,$P$34=0),"",$L$37-1)),MIN(BQ$38,$E82),$P$20))-SUM($BF82:BP82))</f>
        <v>0</v>
      </c>
      <c r="BR82" s="446">
        <f>IF($E82=0,0,IF(MIN(BR$38,$E82)&lt;MAX($P$34*($B82+$I$38-1),IF(AND($L$37=0,$P$34=0),"",$L$37-1)),0,YEARFRAC(MAX($P$34*($B82+$I$38-1),IF(AND($L$37=0,$P$34=0),"",$L$37-1)),MIN(BR$38,$E82),$P$20))-SUM($BF82:BQ82))</f>
        <v>0</v>
      </c>
      <c r="BS82" s="446">
        <f>IF($E82=0,0,IF(MIN(BS$38,$E82)&lt;MAX($P$34*($B82+$I$38-1),IF(AND($L$37=0,$P$34=0),"",$L$37-1)),0,YEARFRAC(MAX($P$34*($B82+$I$38-1),IF(AND($L$37=0,$P$34=0),"",$L$37-1)),MIN(BS$38,$E82),$P$20))-SUM($BF82:BR82))</f>
        <v>0</v>
      </c>
      <c r="BT82" s="446">
        <f>IF($E82=0,0,IF(MIN(BT$38,$E82)&lt;MAX($P$34*($B82+$I$38-1),IF(AND($L$37=0,$P$34=0),"",$L$37-1)),0,YEARFRAC(MAX($P$34*($B82+$I$38-1),IF(AND($L$37=0,$P$34=0),"",$L$37-1)),MIN(BT$38,$E82),$P$20))-SUM($BF82:BS82))</f>
        <v>0</v>
      </c>
      <c r="BU82" s="446">
        <f>IF($E82=0,0,IF(MIN(BU$38,$E82)&lt;MAX($P$34*($B82+$I$38-1),IF(AND($L$37=0,$P$34=0),"",$L$37-1)),0,YEARFRAC(MAX($P$34*($B82+$I$38-1),IF(AND($L$37=0,$P$34=0),"",$L$37-1)),MIN(BU$38,$E82),$P$20))-SUM($BF82:BT82))</f>
        <v>0</v>
      </c>
      <c r="BV82" s="446">
        <f>IF($E82=0,0,IF(MIN(BV$38,$E82)&lt;MAX($P$34*($B82+$I$38-1),IF(AND($L$37=0,$P$34=0),"",$L$37-1)),0,YEARFRAC(MAX($P$34*($B82+$I$38-1),IF(AND($L$37=0,$P$34=0),"",$L$37-1)),MIN(BV$38,$E82),$P$20))-SUM($BF82:BU82))</f>
        <v>0</v>
      </c>
      <c r="BW82" s="446">
        <f>IF($E82=0,0,IF(MIN(BW$38,$E82)&lt;MAX($P$34*($B82+$I$38-1),IF(AND($L$37=0,$P$34=0),"",$L$37-1)),0,YEARFRAC(MAX($P$34*($B82+$I$38-1),IF(AND($L$37=0,$P$34=0),"",$L$37-1)),MIN(BW$38,$E82),$P$20))-SUM($BF82:BV82))</f>
        <v>0</v>
      </c>
      <c r="BX82" s="446">
        <f>IF($E82=0,0,IF(MIN(BX$38,$E82)&lt;MAX($P$34*($B82+$I$38-1),IF(AND($L$37=0,$P$34=0),"",$L$37-1)),0,YEARFRAC(MAX($P$34*($B82+$I$38-1),IF(AND($L$37=0,$P$34=0),"",$L$37-1)),MIN(BX$38,$E82),$P$20))-SUM($BF82:BW82))</f>
        <v>0</v>
      </c>
      <c r="BY82" s="446">
        <f>IF($E82=0,0,IF(MIN(BY$38,$E82)&lt;MAX($P$34*($B82+$I$38-1),IF(AND($L$37=0,$P$34=0),"",$L$37-1)),0,YEARFRAC(MAX($P$34*($B82+$I$38-1),IF(AND($L$37=0,$P$34=0),"",$L$37-1)),MIN(BY$38,$E82),$P$20))-SUM($BF82:BX82))</f>
        <v>0</v>
      </c>
      <c r="BZ82" s="446">
        <f>IF($E82=0,0,IF(MIN(BZ$38,$E82)&lt;MAX($P$34*($B82+$I$38-1),IF(AND($L$37=0,$P$34=0),"",$L$37-1)),0,YEARFRAC(MAX($P$34*($B82+$I$38-1),IF(AND($L$37=0,$P$34=0),"",$L$37-1)),MIN(BZ$38,$E82),$P$20))-SUM($BF82:BY82))</f>
        <v>0</v>
      </c>
      <c r="CA82" s="446">
        <f>IF($E82=0,0,IF(MIN(CA$38,$E82)&lt;MAX($P$34*($B82+$I$38-1),IF(AND($L$37=0,$P$34=0),"",$L$37-1)),0,YEARFRAC(MAX($P$34*($B82+$I$38-1),IF(AND($L$37=0,$P$34=0),"",$L$37-1)),MIN(CA$38,$E82),$P$20))-SUM($BF82:BZ82))</f>
        <v>0</v>
      </c>
      <c r="CB82" s="446">
        <f>IF($E82=0,0,IF(MIN(CB$38,$E82)&lt;MAX($P$34*($B82+$I$38-1),IF(AND($L$37=0,$P$34=0),"",$L$37-1)),0,YEARFRAC(MAX($P$34*($B82+$I$38-1),IF(AND($L$37=0,$P$34=0),"",$L$37-1)),MIN(CB$38,$E82),$P$20))-SUM($BF82:CA82))</f>
        <v>0</v>
      </c>
      <c r="CC82" s="446">
        <f>IF($E82=0,0,IF(MIN(CC$38,$E82)&lt;MAX($P$34*($B82+$I$38-1),IF(AND($L$37=0,$P$34=0),"",$L$37-1)),0,YEARFRAC(MAX($P$34*($B82+$I$38-1),IF(AND($L$37=0,$P$34=0),"",$L$37-1)),MIN(CC$38,$E82),$P$20))-SUM($BF82:CB82))</f>
        <v>0</v>
      </c>
      <c r="CD82" s="446">
        <f>IF($E82=0,0,IF(MIN(CD$38,$E82)&lt;MAX($P$34*($B82+$I$38-1),IF(AND($L$37=0,$P$34=0),"",$L$37-1)),0,YEARFRAC(MAX($P$34*($B82+$I$38-1),IF(AND($L$37=0,$P$34=0),"",$L$37-1)),MIN(CD$38,$E82),$P$20))-SUM($BF82:CC82))</f>
        <v>0</v>
      </c>
      <c r="CE82" s="446">
        <f>IF($E82=0,0,IF(MIN(CE$38,$E82)&lt;MAX($P$34*($B82+$I$38-1),IF(AND($L$37=0,$P$34=0),"",$L$37-1)),0,YEARFRAC(MAX($P$34*($B82+$I$38-1),IF(AND($L$37=0,$P$34=0),"",$L$37-1)),MIN(CE$38,$E82),$P$20))-SUM($BF82:CD82))</f>
        <v>0</v>
      </c>
      <c r="CF82" s="446">
        <f>IF($E82=0,0,IF(MIN(CF$38,$E82)&lt;MAX($P$34*($B82+$I$38-1),IF(AND($L$37=0,$P$34=0),"",$L$37-1)),0,YEARFRAC(MAX($P$34*($B82+$I$38-1),IF(AND($L$37=0,$P$34=0),"",$L$37-1)),MIN(CF$38,$E82),$P$20))-SUM($BF82:CE82))</f>
        <v>0</v>
      </c>
      <c r="CG82" s="446">
        <f>IF($E82=0,0,IF(MIN(CG$38,$E82)&lt;MAX($P$34*($B82+$I$38-1),IF(AND($L$37=0,$P$34=0),"",$L$37-1)),0,YEARFRAC(MAX($P$34*($B82+$I$38-1),IF(AND($L$37=0,$P$34=0),"",$L$37-1)),MIN(CG$38,$E82),$P$20))-SUM($BF82:CF82))</f>
        <v>0</v>
      </c>
      <c r="CH82" s="446">
        <f>IF($E82=0,0,IF(MIN(CH$38,$E82)&lt;MAX($P$34*($B82+$I$38-1),IF(AND($L$37=0,$P$34=0),"",$L$37-1)),0,YEARFRAC(MAX($P$34*($B82+$I$38-1),IF(AND($L$37=0,$P$34=0),"",$L$37-1)),MIN(CH$38,$E82),$P$20))-SUM($BF82:CG82))</f>
        <v>0</v>
      </c>
      <c r="CI82" s="446">
        <f>IF($E82=0,0,IF(MIN(CI$38,$E82)&lt;MAX($P$34*($B82+$I$38-1),IF(AND($L$37=0,$P$34=0),"",$L$37-1)),0,YEARFRAC(MAX($P$34*($B82+$I$38-1),IF(AND($L$37=0,$P$34=0),"",$L$37-1)),MIN(CI$38,$E82),$P$20))-SUM($BF82:CH82))</f>
        <v>0</v>
      </c>
      <c r="CJ82" s="446">
        <f>IF($E82=0,0,IF(MIN(CJ$38,$E82)&lt;MAX($P$34*($B82+$I$38-1),IF(AND($L$37=0,$P$34=0),"",$L$37-1)),0,YEARFRAC(MAX($P$34*($B82+$I$38-1),IF(AND($L$37=0,$P$34=0),"",$L$37-1)),MIN(CJ$38,$E82),$P$20))-SUM($BF82:CI82))</f>
        <v>0</v>
      </c>
      <c r="CK82" s="446">
        <f>IF($E82=0,0,IF(MIN(CK$38,$E82)&lt;MAX($P$34*($B82+$I$38-1),IF(AND($L$37=0,$P$34=0),"",$L$37-1)),0,YEARFRAC(MAX($P$34*($B82+$I$38-1),IF(AND($L$37=0,$P$34=0),"",$L$37-1)),MIN(CK$38,$E82),$P$20))-SUM($BF82:CJ82))</f>
        <v>0</v>
      </c>
      <c r="CL82" s="446">
        <f>IF($E82=0,0,IF(MIN(CL$38,$E82)&lt;MAX($P$34*($B82+$I$38-1),IF(AND($L$37=0,$P$34=0),"",$L$37-1)),0,YEARFRAC(MAX($P$34*($B82+$I$38-1),IF(AND($L$37=0,$P$34=0),"",$L$37-1)),MIN(CL$38,$E82),$P$20))-SUM($BF82:CK82))</f>
        <v>0</v>
      </c>
      <c r="CM82" s="446">
        <f>IF($E82=0,0,IF(MIN(CM$38,$E82)&lt;MAX($P$34*($B82+$I$38-1),IF(AND($L$37=0,$P$34=0),"",$L$37-1)),0,YEARFRAC(MAX($P$34*($B82+$I$38-1),IF(AND($L$37=0,$P$34=0),"",$L$37-1)),MIN(CM$38,$E82),$P$20))-SUM($BF82:CL82))</f>
        <v>0</v>
      </c>
      <c r="CN82" s="446">
        <f>IF($E82=0,0,IF(MIN(CN$38,$E82)&lt;MAX($P$34*($B82+$I$38-1),IF(AND($L$37=0,$P$34=0),"",$L$37-1)),0,YEARFRAC(MAX($P$34*($B82+$I$38-1),IF(AND($L$37=0,$P$34=0),"",$L$37-1)),MIN(CN$38,$E82),$P$20))-SUM($BF82:CM82))</f>
        <v>0</v>
      </c>
      <c r="CO82" s="446">
        <f>IF($E82=0,0,IF(MIN(CO$38,$E82)&lt;MAX($P$34*($B82+$I$38-1),IF(AND($L$37=0,$P$34=0),"",$L$37-1)),0,YEARFRAC(MAX($P$34*($B82+$I$38-1),IF(AND($L$37=0,$P$34=0),"",$L$37-1)),MIN(CO$38,$E82),$P$20))-SUM($BF82:CN82))</f>
        <v>0</v>
      </c>
      <c r="CP82" s="446">
        <f>IF($E82=0,0,IF(MIN(CP$38,$E82)&lt;MAX($P$34*($B82+$I$38-1),IF(AND($L$37=0,$P$34=0),"",$L$37-1)),0,YEARFRAC(MAX($P$34*($B82+$I$38-1),IF(AND($L$37=0,$P$34=0),"",$L$37-1)),MIN(CP$38,$E82),$P$20))-SUM($BF82:CO82))</f>
        <v>0</v>
      </c>
      <c r="CQ82" s="446">
        <f>IF($E82=0,0,IF(MIN(CQ$38,$E82)&lt;MAX($P$34*($B82+$I$38-1),IF(AND($L$37=0,$P$34=0),"",$L$37-1)),0,YEARFRAC(MAX($P$34*($B82+$I$38-1),IF(AND($L$37=0,$P$34=0),"",$L$37-1)),MIN(CQ$38,$E82),$P$20))-SUM($BF82:CP82))</f>
        <v>0</v>
      </c>
    </row>
    <row r="83" spans="1:95" s="446" customFormat="1" ht="11.25" hidden="1" customHeight="1" x14ac:dyDescent="0.2">
      <c r="A83" s="152"/>
      <c r="B83" s="153" t="str">
        <f t="shared" si="15"/>
        <v/>
      </c>
      <c r="C83" s="29" t="str">
        <f>IF(B83="","",IF($L$35="SELIC - TRIBUTOS",VLOOKUP(DATE(YEAR($D$19),MONTH($D$19)-1,1),ÍNDICES!$A:$DE,HLOOKUP($BL$25,ÍNDICES!$B$3:$T$4,2)+11)-VLOOKUP(B83,ÍNDICES!$A:$DE,HLOOKUP($BL$25,ÍNDICES!$B$3:$T$4,2)+11)+1%,IF(C$38=$W$26,$J$35,IF(ISERROR(IF(B83&gt;$D$19,1,VLOOKUP(DATE(YEAR(B83),MONTH(B83)+IF($C$35=$S$23,1,0),1),ÍNDICES!$A:$DE,$Z$35+1))),"",IF(B83&gt;$D$19,1,VLOOKUP(DATE(YEAR(B83),MONTH(B83)+IF($C$35=$S$23,1,0),1),ÍNDICES!$A:$DE,$Z$35+1))))))</f>
        <v/>
      </c>
      <c r="D83" s="154" t="str">
        <f>IF(ISERROR(IF(OR($D$38=$Y$27,$B83=""),"",VLOOKUP(B83,ÍNDICES!A:DE,AF$35+1))),"",IF(OR($D$38=$Y$27,$B83=""),"",VLOOKUP(B83,ÍNDICES!A:DE,AF$35+1)))</f>
        <v/>
      </c>
      <c r="E83" s="153"/>
      <c r="F83" s="29" t="str">
        <f>IF(E83="","",IF($L$35="SELIC - TRIBUTOS",VLOOKUP(DATE(YEAR($D$19),MONTH($D$19)-1,1),ÍNDICES!$A:$DE,HLOOKUP($BL$25,ÍNDICES!$B$3:$T$4,2)+11)-VLOOKUP(E83,ÍNDICES!$A:$DE,HLOOKUP($BL$25,ÍNDICES!$B$3:$T$4,2)+11)+1%,IF(F$38=$W$26,$J$35,IF(ISERROR(IF(E83&gt;$D$19,1,VLOOKUP(DATE(YEAR(E83),MONTH(E83)+IF($C$35=$S$23,1,0),1),ÍNDICES!$A:$DE,$Z$35+1))),"",IF(E83&gt;$D$19,1,VLOOKUP(DATE(YEAR(E83),MONTH(E83)+IF($C$35=$S$23,1,0),1),ÍNDICES!$A:$DE,$Z$35+1))))))</f>
        <v/>
      </c>
      <c r="G83" s="155"/>
      <c r="H83" s="156" t="str">
        <f t="shared" si="11"/>
        <v/>
      </c>
      <c r="I83" s="29" t="str">
        <f t="shared" si="5"/>
        <v/>
      </c>
      <c r="J83" s="5">
        <f t="shared" si="6"/>
        <v>0</v>
      </c>
      <c r="K83" s="20">
        <f t="shared" ca="1" si="7"/>
        <v>0</v>
      </c>
      <c r="L83" s="5">
        <f t="shared" ca="1" si="8"/>
        <v>0</v>
      </c>
      <c r="M83" s="64">
        <f t="shared" si="12"/>
        <v>0</v>
      </c>
      <c r="N83" s="61">
        <f t="shared" ca="1" si="13"/>
        <v>0</v>
      </c>
      <c r="O83" s="5">
        <f t="shared" ca="1" si="14"/>
        <v>0</v>
      </c>
      <c r="P83" s="446" t="e">
        <f t="shared" si="9"/>
        <v>#VALUE!</v>
      </c>
      <c r="Q83" s="446" t="e">
        <f>IF(OR($B83="",MIN(Q$38,$D$19)&lt;MAX($P$34*($B83+IF($R$17="Distrato",$I$38-1,0)),IF(AND($L$37=0,$P$34=0),"",$L$37-1),IF($R$17="Distrato",$E83,0))),0,YEARFRAC(MAX($P$34*($B83+IF($R$17="Distrato",$I$38-1,0)),IF(AND($L$37=0,$P$34=0),"",$L$37-1),IF($R$17="Distrato",$E83,0)),MIN(Q$38,$D$19),$P$20))-SUM($P83:P83)</f>
        <v>#VALUE!</v>
      </c>
      <c r="R83" s="446" t="e">
        <f>IF(OR($B83="",MIN(R$38,$D$19)&lt;MAX($P$34*($B83+IF($R$17="Distrato",$I$38-1,0)),IF(AND($L$37=0,$P$34=0),"",$L$37-1),IF($R$17="Distrato",$E83,0))),0,YEARFRAC(MAX($P$34*($B83+IF($R$17="Distrato",$I$38-1,0)),IF(AND($L$37=0,$P$34=0),"",$L$37-1),IF($R$17="Distrato",$E83,0)),MIN(R$38,$D$19),$P$20))-SUM($P83:Q83)</f>
        <v>#VALUE!</v>
      </c>
      <c r="S83" s="446" t="e">
        <f>IF(OR($B83="",MIN(S$38,$D$19)&lt;MAX($P$34*($B83+IF($R$17="Distrato",$I$38-1,0)),IF(AND($L$37=0,$P$34=0),"",$L$37-1),IF($R$17="Distrato",$E83,0))),0,YEARFRAC(MAX($P$34*($B83+IF($R$17="Distrato",$I$38-1,0)),IF(AND($L$37=0,$P$34=0),"",$L$37-1),IF($R$17="Distrato",$E83,0)),MIN(S$38,$D$19),$P$20))-SUM($P83:R83)</f>
        <v>#VALUE!</v>
      </c>
      <c r="T83" s="446" t="e">
        <f>IF(OR($B83="",MIN(T$38,$D$19)&lt;MAX($P$34*($B83+IF($R$17="Distrato",$I$38-1,0)),IF(AND($L$37=0,$P$34=0),"",$L$37-1),IF($R$17="Distrato",$E83,0))),0,YEARFRAC(MAX($P$34*($B83+IF($R$17="Distrato",$I$38-1,0)),IF(AND($L$37=0,$P$34=0),"",$L$37-1),IF($R$17="Distrato",$E83,0)),MIN(T$38,$D$19),$P$20))-SUM($P83:S83)</f>
        <v>#VALUE!</v>
      </c>
      <c r="U83" s="446" t="e">
        <f>IF(OR($B83="",MIN(U$38,$D$19)&lt;MAX($P$34*($B83+IF($R$17="Distrato",$I$38-1,0)),IF(AND($L$37=0,$P$34=0),"",$L$37-1),IF($R$17="Distrato",$E83,0))),0,YEARFRAC(MAX($P$34*($B83+IF($R$17="Distrato",$I$38-1,0)),IF(AND($L$37=0,$P$34=0),"",$L$37-1),IF($R$17="Distrato",$E83,0)),MIN(U$38,$D$19),$P$20))-SUM($P83:T83)</f>
        <v>#VALUE!</v>
      </c>
      <c r="V83" s="446" t="e">
        <f>IF(OR($B83="",MIN(V$38,$D$19)&lt;MAX($P$34*($B83+IF($R$17="Distrato",$I$38-1,0)),IF(AND($L$37=0,$P$34=0),"",$L$37-1),IF($R$17="Distrato",$E83,0))),0,YEARFRAC(MAX($P$34*($B83+IF($R$17="Distrato",$I$38-1,0)),IF(AND($L$37=0,$P$34=0),"",$L$37-1),IF($R$17="Distrato",$E83,0)),MIN(V$38,$D$19),$P$20))-SUM($P83:U83)</f>
        <v>#VALUE!</v>
      </c>
      <c r="W83" s="446" t="e">
        <f>IF(OR($B83="",MIN(W$38,$D$19)&lt;MAX($P$34*($B83+IF($R$17="Distrato",$I$38-1,0)),IF(AND($L$37=0,$P$34=0),"",$L$37-1),IF($R$17="Distrato",$E83,0))),0,YEARFRAC(MAX($P$34*($B83+IF($R$17="Distrato",$I$38-1,0)),IF(AND($L$37=0,$P$34=0),"",$L$37-1),IF($R$17="Distrato",$E83,0)),MIN(W$38,$D$19),$P$20))-SUM($P83:V83)</f>
        <v>#VALUE!</v>
      </c>
      <c r="X83" s="446" t="e">
        <f>IF(OR($B83="",MIN(X$38,$D$19)&lt;MAX($P$34*($B83+IF($R$17="Distrato",$I$38-1,0)),IF(AND($L$37=0,$P$34=0),"",$L$37-1),IF($R$17="Distrato",$E83,0))),0,YEARFRAC(MAX($P$34*($B83+IF($R$17="Distrato",$I$38-1,0)),IF(AND($L$37=0,$P$34=0),"",$L$37-1),IF($R$17="Distrato",$E83,0)),MIN(X$38,$D$19),$P$20))-SUM($P83:W83)</f>
        <v>#VALUE!</v>
      </c>
      <c r="Y83" s="446" t="e">
        <f>IF(OR($B83="",MIN(Y$38,$D$19)&lt;MAX($P$34*($B83+IF($R$17="Distrato",$I$38-1,0)),IF(AND($L$37=0,$P$34=0),"",$L$37-1),IF($R$17="Distrato",$E83,0))),0,YEARFRAC(MAX($P$34*($B83+IF($R$17="Distrato",$I$38-1,0)),IF(AND($L$37=0,$P$34=0),"",$L$37-1),IF($R$17="Distrato",$E83,0)),MIN(Y$38,$D$19),$P$20))-SUM($P83:X83)</f>
        <v>#VALUE!</v>
      </c>
      <c r="Z83" s="446" t="e">
        <f>IF(OR($B83="",MIN(Z$38,$D$19)&lt;MAX($P$34*($B83+IF($R$17="Distrato",$I$38-1,0)),IF(AND($L$37=0,$P$34=0),"",$L$37-1),IF($R$17="Distrato",$E83,0))),0,YEARFRAC(MAX($P$34*($B83+IF($R$17="Distrato",$I$38-1,0)),IF(AND($L$37=0,$P$34=0),"",$L$37-1),IF($R$17="Distrato",$E83,0)),MIN(Z$38,$D$19),$P$20))-SUM($P83:Y83)</f>
        <v>#VALUE!</v>
      </c>
      <c r="AA83" s="446" t="e">
        <f>IF(OR($B83="",MIN(AA$38,$D$19)&lt;MAX($P$34*($B83+IF($R$17="Distrato",$I$38-1,0)),IF(AND($L$37=0,$P$34=0),"",$L$37-1),IF($R$17="Distrato",$E83,0))),0,YEARFRAC(MAX($P$34*($B83+IF($R$17="Distrato",$I$38-1,0)),IF(AND($L$37=0,$P$34=0),"",$L$37-1),IF($R$17="Distrato",$E83,0)),MIN(AA$38,$D$19),$P$20))-SUM($P83:Z83)</f>
        <v>#VALUE!</v>
      </c>
      <c r="AB83" s="446" t="e">
        <f>IF(OR($B83="",MIN(AB$38,$D$19)&lt;MAX($P$34*($B83+IF($R$17="Distrato",$I$38-1,0)),IF(AND($L$37=0,$P$34=0),"",$L$37-1),IF($R$17="Distrato",$E83,0))),0,YEARFRAC(MAX($P$34*($B83+IF($R$17="Distrato",$I$38-1,0)),IF(AND($L$37=0,$P$34=0),"",$L$37-1),IF($R$17="Distrato",$E83,0)),MIN(AB$38,$D$19),$P$20))-SUM($P83:AA83)</f>
        <v>#VALUE!</v>
      </c>
      <c r="AC83" s="446" t="e">
        <f>IF(OR($B83="",MIN(AC$38,$D$19)&lt;MAX($P$34*($B83+IF($R$17="Distrato",$I$38-1,0)),IF(AND($L$37=0,$P$34=0),"",$L$37-1),IF($R$17="Distrato",$E83,0))),0,YEARFRAC(MAX($P$34*($B83+IF($R$17="Distrato",$I$38-1,0)),IF(AND($L$37=0,$P$34=0),"",$L$37-1),IF($R$17="Distrato",$E83,0)),MIN(AC$38,$D$19),$P$20))-SUM($P83:AB83)</f>
        <v>#VALUE!</v>
      </c>
      <c r="AD83" s="446" t="e">
        <f>IF(OR($B83="",MIN(AD$38,$D$19)&lt;MAX($P$34*($B83+IF($R$17="Distrato",$I$38-1,0)),IF(AND($L$37=0,$P$34=0),"",$L$37-1),IF($R$17="Distrato",$E83,0))),0,YEARFRAC(MAX($P$34*($B83+IF($R$17="Distrato",$I$38-1,0)),IF(AND($L$37=0,$P$34=0),"",$L$37-1),IF($R$17="Distrato",$E83,0)),MIN(AD$38,$D$19),$P$20))-SUM($P83:AC83)</f>
        <v>#VALUE!</v>
      </c>
      <c r="AE83" s="446" t="e">
        <f>IF(OR($B83="",MIN(AE$38,$D$19)&lt;MAX($P$34*($B83+IF($R$17="Distrato",$I$38-1,0)),IF(AND($L$37=0,$P$34=0),"",$L$37-1),IF($R$17="Distrato",$E83,0))),0,YEARFRAC(MAX($P$34*($B83+IF($R$17="Distrato",$I$38-1,0)),IF(AND($L$37=0,$P$34=0),"",$L$37-1),IF($R$17="Distrato",$E83,0)),MIN(AE$38,$D$19),$P$20))-SUM($P83:AD83)</f>
        <v>#VALUE!</v>
      </c>
      <c r="AF83" s="446" t="e">
        <f>IF(OR($B83="",MIN(AF$38,$D$19)&lt;MAX($P$34*($B83+IF($R$17="Distrato",$I$38-1,0)),IF(AND($L$37=0,$P$34=0),"",$L$37-1),IF($R$17="Distrato",$E83,0))),0,YEARFRAC(MAX($P$34*($B83+IF($R$17="Distrato",$I$38-1,0)),IF(AND($L$37=0,$P$34=0),"",$L$37-1),IF($R$17="Distrato",$E83,0)),MIN(AF$38,$D$19),$P$20))-SUM($P83:AE83)</f>
        <v>#VALUE!</v>
      </c>
      <c r="AG83" s="446" t="e">
        <f>IF(OR($B83="",MIN(AG$38,$D$19)&lt;MAX($P$34*($B83+IF($R$17="Distrato",$I$38-1,0)),IF(AND($L$37=0,$P$34=0),"",$L$37-1),IF($R$17="Distrato",$E83,0))),0,YEARFRAC(MAX($P$34*($B83+IF($R$17="Distrato",$I$38-1,0)),IF(AND($L$37=0,$P$34=0),"",$L$37-1),IF($R$17="Distrato",$E83,0)),MIN(AG$38,$D$19),$P$20))-SUM($P83:AF83)</f>
        <v>#VALUE!</v>
      </c>
      <c r="AH83" s="446" t="e">
        <f>IF(OR($B83="",MIN(AH$38,$D$19)&lt;MAX($P$34*($B83+IF($R$17="Distrato",$I$38-1,0)),IF(AND($L$37=0,$P$34=0),"",$L$37-1),IF($R$17="Distrato",$E83,0))),0,YEARFRAC(MAX($P$34*($B83+IF($R$17="Distrato",$I$38-1,0)),IF(AND($L$37=0,$P$34=0),"",$L$37-1),IF($R$17="Distrato",$E83,0)),MIN(AH$38,$D$19),$P$20))-SUM($P83:AG83)</f>
        <v>#VALUE!</v>
      </c>
      <c r="AI83" s="446" t="e">
        <f>IF(OR($B83="",MIN(AI$38,$D$19)&lt;MAX($P$34*($B83+IF($R$17="Distrato",$I$38-1,0)),IF(AND($L$37=0,$P$34=0),"",$L$37-1),IF($R$17="Distrato",$E83,0))),0,YEARFRAC(MAX($P$34*($B83+IF($R$17="Distrato",$I$38-1,0)),IF(AND($L$37=0,$P$34=0),"",$L$37-1),IF($R$17="Distrato",$E83,0)),MIN(AI$38,$D$19),$P$20))-SUM($P83:AH83)</f>
        <v>#VALUE!</v>
      </c>
      <c r="AJ83" s="446" t="e">
        <f>IF(OR($B83="",MIN(AJ$38,$D$19)&lt;MAX($P$34*($B83+IF($R$17="Distrato",$I$38-1,0)),IF(AND($L$37=0,$P$34=0),"",$L$37-1),IF($R$17="Distrato",$E83,0))),0,YEARFRAC(MAX($P$34*($B83+IF($R$17="Distrato",$I$38-1,0)),IF(AND($L$37=0,$P$34=0),"",$L$37-1),IF($R$17="Distrato",$E83,0)),MIN(AJ$38,$D$19),$P$20))-SUM($P83:AI83)</f>
        <v>#VALUE!</v>
      </c>
      <c r="AK83" s="446" t="e">
        <f>IF(OR($B83="",MIN(AK$38,$D$19)&lt;MAX($P$34*($B83+IF($R$17="Distrato",$I$38-1,0)),IF(AND($L$37=0,$P$34=0),"",$L$37-1),IF($R$17="Distrato",$E83,0))),0,YEARFRAC(MAX($P$34*($B83+IF($R$17="Distrato",$I$38-1,0)),IF(AND($L$37=0,$P$34=0),"",$L$37-1),IF($R$17="Distrato",$E83,0)),MIN(AK$38,$D$19),$P$20))-SUM($P83:AJ83)</f>
        <v>#VALUE!</v>
      </c>
      <c r="AL83" s="446" t="e">
        <f>IF(OR($B83="",MIN(AL$38,$D$19)&lt;MAX($P$34*($B83+IF($R$17="Distrato",$I$38-1,0)),IF(AND($L$37=0,$P$34=0),"",$L$37-1),IF($R$17="Distrato",$E83,0))),0,YEARFRAC(MAX($P$34*($B83+IF($R$17="Distrato",$I$38-1,0)),IF(AND($L$37=0,$P$34=0),"",$L$37-1),IF($R$17="Distrato",$E83,0)),MIN(AL$38,$D$19),$P$20))-SUM($P83:AK83)</f>
        <v>#VALUE!</v>
      </c>
      <c r="AM83" s="446" t="e">
        <f>IF(OR($B83="",MIN(AM$38,$D$19)&lt;MAX($P$34*($B83+IF($R$17="Distrato",$I$38-1,0)),IF(AND($L$37=0,$P$34=0),"",$L$37-1),IF($R$17="Distrato",$E83,0))),0,YEARFRAC(MAX($P$34*($B83+IF($R$17="Distrato",$I$38-1,0)),IF(AND($L$37=0,$P$34=0),"",$L$37-1),IF($R$17="Distrato",$E83,0)),MIN(AM$38,$D$19),$P$20))-SUM($P83:AL83)</f>
        <v>#VALUE!</v>
      </c>
      <c r="AN83" s="446" t="e">
        <f>IF(OR($B83="",MIN(AN$38,$D$19)&lt;MAX($P$34*($B83+IF($R$17="Distrato",$I$38-1,0)),IF(AND($L$37=0,$P$34=0),"",$L$37-1),IF($R$17="Distrato",$E83,0))),0,YEARFRAC(MAX($P$34*($B83+IF($R$17="Distrato",$I$38-1,0)),IF(AND($L$37=0,$P$34=0),"",$L$37-1),IF($R$17="Distrato",$E83,0)),MIN(AN$38,$D$19),$P$20))-SUM($P83:AM83)</f>
        <v>#VALUE!</v>
      </c>
      <c r="AO83" s="446" t="e">
        <f>IF(OR($B83="",MIN(AO$38,$D$19)&lt;MAX($P$34*($B83+IF($R$17="Distrato",$I$38-1,0)),IF(AND($L$37=0,$P$34=0),"",$L$37-1),IF($R$17="Distrato",$E83,0))),0,YEARFRAC(MAX($P$34*($B83+IF($R$17="Distrato",$I$38-1,0)),IF(AND($L$37=0,$P$34=0),"",$L$37-1),IF($R$17="Distrato",$E83,0)),MIN(AO$38,$D$19),$P$20))-SUM($P83:AN83)</f>
        <v>#VALUE!</v>
      </c>
      <c r="AP83" s="446" t="e">
        <f>IF(OR($B83="",MIN(AP$38,$D$19)&lt;MAX($P$34*($B83+IF($R$17="Distrato",$I$38-1,0)),IF(AND($L$37=0,$P$34=0),"",$L$37-1),IF($R$17="Distrato",$E83,0))),0,YEARFRAC(MAX($P$34*($B83+IF($R$17="Distrato",$I$38-1,0)),IF(AND($L$37=0,$P$34=0),"",$L$37-1),IF($R$17="Distrato",$E83,0)),MIN(AP$38,$D$19),$P$20))-SUM($P83:AO83)</f>
        <v>#VALUE!</v>
      </c>
      <c r="AQ83" s="446" t="e">
        <f>IF(OR($B83="",MIN(AQ$38,$D$19)&lt;MAX($P$34*($B83+IF($R$17="Distrato",$I$38-1,0)),IF(AND($L$37=0,$P$34=0),"",$L$37-1),IF($R$17="Distrato",$E83,0))),0,YEARFRAC(MAX($P$34*($B83+IF($R$17="Distrato",$I$38-1,0)),IF(AND($L$37=0,$P$34=0),"",$L$37-1),IF($R$17="Distrato",$E83,0)),MIN(AQ$38,$D$19),$P$20))-SUM($P83:AP83)</f>
        <v>#VALUE!</v>
      </c>
      <c r="AR83" s="446" t="e">
        <f>IF(OR($B83="",MIN(AR$38,$D$19)&lt;MAX($P$34*($B83+IF($R$17="Distrato",$I$38-1,0)),IF(AND($L$37=0,$P$34=0),"",$L$37-1),IF($R$17="Distrato",$E83,0))),0,YEARFRAC(MAX($P$34*($B83+IF($R$17="Distrato",$I$38-1,0)),IF(AND($L$37=0,$P$34=0),"",$L$37-1),IF($R$17="Distrato",$E83,0)),MIN(AR$38,$D$19),$P$20))-SUM($P83:AQ83)</f>
        <v>#VALUE!</v>
      </c>
      <c r="AS83" s="446" t="e">
        <f>IF(OR($B83="",MIN(AS$38,$D$19)&lt;MAX($P$34*($B83+IF($R$17="Distrato",$I$38-1,0)),IF(AND($L$37=0,$P$34=0),"",$L$37-1),IF($R$17="Distrato",$E83,0))),0,YEARFRAC(MAX($P$34*($B83+IF($R$17="Distrato",$I$38-1,0)),IF(AND($L$37=0,$P$34=0),"",$L$37-1),IF($R$17="Distrato",$E83,0)),MIN(AS$38,$D$19),$P$20))-SUM($P83:AR83)</f>
        <v>#VALUE!</v>
      </c>
      <c r="AT83" s="446" t="e">
        <f>IF(OR($B83="",MIN(AT$38,$D$19)&lt;MAX($P$34*($B83+IF($R$17="Distrato",$I$38-1,0)),IF(AND($L$37=0,$P$34=0),"",$L$37-1),IF($R$17="Distrato",$E83,0))),0,YEARFRAC(MAX($P$34*($B83+IF($R$17="Distrato",$I$38-1,0)),IF(AND($L$37=0,$P$34=0),"",$L$37-1),IF($R$17="Distrato",$E83,0)),MIN(AT$38,$D$19),$P$20))-SUM($P83:AS83)</f>
        <v>#VALUE!</v>
      </c>
      <c r="AU83" s="446" t="e">
        <f>IF(OR($B83="",MIN(AU$38,$D$19)&lt;MAX($P$34*($B83+IF($R$17="Distrato",$I$38-1,0)),IF(AND($L$37=0,$P$34=0),"",$L$37-1),IF($R$17="Distrato",$E83,0))),0,YEARFRAC(MAX($P$34*($B83+IF($R$17="Distrato",$I$38-1,0)),IF(AND($L$37=0,$P$34=0),"",$L$37-1),IF($R$17="Distrato",$E83,0)),MIN(AU$38,$D$19),$P$20))-SUM($P83:AT83)</f>
        <v>#VALUE!</v>
      </c>
      <c r="AV83" s="446" t="e">
        <f>IF(OR($B83="",MIN(AV$38,$D$19)&lt;MAX($P$34*($B83+IF($R$17="Distrato",$I$38-1,0)),IF(AND($L$37=0,$P$34=0),"",$L$37-1),IF($R$17="Distrato",$E83,0))),0,YEARFRAC(MAX($P$34*($B83+IF($R$17="Distrato",$I$38-1,0)),IF(AND($L$37=0,$P$34=0),"",$L$37-1),IF($R$17="Distrato",$E83,0)),MIN(AV$38,$D$19),$P$20))-SUM($P83:AU83)</f>
        <v>#VALUE!</v>
      </c>
      <c r="AW83" s="446" t="e">
        <f>IF(OR($B83="",MIN(AW$38,$D$19)&lt;MAX($P$34*($B83+IF($R$17="Distrato",$I$38-1,0)),IF(AND($L$37=0,$P$34=0),"",$L$37-1),IF($R$17="Distrato",$E83,0))),0,YEARFRAC(MAX($P$34*($B83+IF($R$17="Distrato",$I$38-1,0)),IF(AND($L$37=0,$P$34=0),"",$L$37-1),IF($R$17="Distrato",$E83,0)),MIN(AW$38,$D$19),$P$20))-SUM($P83:AV83)</f>
        <v>#VALUE!</v>
      </c>
      <c r="AX83" s="446" t="e">
        <f>IF(OR($B83="",MIN(AX$38,$D$19)&lt;MAX($P$34*($B83+IF($R$17="Distrato",$I$38-1,0)),IF(AND($L$37=0,$P$34=0),"",$L$37-1),IF($R$17="Distrato",$E83,0))),0,YEARFRAC(MAX($P$34*($B83+IF($R$17="Distrato",$I$38-1,0)),IF(AND($L$37=0,$P$34=0),"",$L$37-1),IF($R$17="Distrato",$E83,0)),MIN(AX$38,$D$19),$P$20))-SUM($P83:AW83)</f>
        <v>#VALUE!</v>
      </c>
      <c r="AY83" s="446" t="e">
        <f>IF(OR($B83="",MIN(AY$38,$D$19)&lt;MAX($P$34*($B83+IF($R$17="Distrato",$I$38-1,0)),IF(AND($L$37=0,$P$34=0),"",$L$37-1),IF($R$17="Distrato",$E83,0))),0,YEARFRAC(MAX($P$34*($B83+IF($R$17="Distrato",$I$38-1,0)),IF(AND($L$37=0,$P$34=0),"",$L$37-1),IF($R$17="Distrato",$E83,0)),MIN(AY$38,$D$19),$P$20))-SUM($P83:AX83)</f>
        <v>#VALUE!</v>
      </c>
      <c r="AZ83" s="446" t="e">
        <f>IF(OR($B83="",MIN(AZ$38,$D$19)&lt;MAX($P$34*($B83+IF($R$17="Distrato",$I$38-1,0)),IF(AND($L$37=0,$P$34=0),"",$L$37-1),IF($R$17="Distrato",$E83,0))),0,YEARFRAC(MAX($P$34*($B83+IF($R$17="Distrato",$I$38-1,0)),IF(AND($L$37=0,$P$34=0),"",$L$37-1),IF($R$17="Distrato",$E83,0)),MIN(AZ$38,$D$19),$P$20))-SUM($P83:AY83)</f>
        <v>#VALUE!</v>
      </c>
      <c r="BA83" s="446" t="e">
        <f>IF(OR($B83="",MIN(BA$38,$D$19)&lt;MAX($P$34*($B83+IF($R$17="Distrato",$I$38-1,0)),IF(AND($L$37=0,$P$34=0),"",$L$37-1),IF($R$17="Distrato",$E83,0))),0,YEARFRAC(MAX($P$34*($B83+IF($R$17="Distrato",$I$38-1,0)),IF(AND($L$37=0,$P$34=0),"",$L$37-1),IF($R$17="Distrato",$E83,0)),MIN(BA$38,$D$19),$P$20))-SUM($P83:AZ83)</f>
        <v>#VALUE!</v>
      </c>
      <c r="BB83" s="447"/>
      <c r="BF83" s="446">
        <f t="shared" si="10"/>
        <v>0</v>
      </c>
      <c r="BG83" s="446">
        <f>IF($E83=0,0,IF(MIN(BG$38,$E83)&lt;MAX($P$34*($B83+$I$38-1),IF(AND($L$37=0,$P$34=0),"",$L$37-1)),0,YEARFRAC(MAX($P$34*($B83+$I$38-1),IF(AND($L$37=0,$P$34=0),"",$L$37-1)),MIN(BG$38,$E83),$P$20))-SUM($BF83:BF83))</f>
        <v>0</v>
      </c>
      <c r="BH83" s="446">
        <f>IF($E83=0,0,IF(MIN(BH$38,$E83)&lt;MAX($P$34*($B83+$I$38-1),IF(AND($L$37=0,$P$34=0),"",$L$37-1)),0,YEARFRAC(MAX($P$34*($B83+$I$38-1),IF(AND($L$37=0,$P$34=0),"",$L$37-1)),MIN(BH$38,$E83),$P$20))-SUM($BF83:BG83))</f>
        <v>0</v>
      </c>
      <c r="BI83" s="446">
        <f>IF($E83=0,0,IF(MIN(BI$38,$E83)&lt;MAX($P$34*($B83+$I$38-1),IF(AND($L$37=0,$P$34=0),"",$L$37-1)),0,YEARFRAC(MAX($P$34*($B83+$I$38-1),IF(AND($L$37=0,$P$34=0),"",$L$37-1)),MIN(BI$38,$E83),$P$20))-SUM($BF83:BH83))</f>
        <v>0</v>
      </c>
      <c r="BJ83" s="446">
        <f>IF($E83=0,0,IF(MIN(BJ$38,$E83)&lt;MAX($P$34*($B83+$I$38-1),IF(AND($L$37=0,$P$34=0),"",$L$37-1)),0,YEARFRAC(MAX($P$34*($B83+$I$38-1),IF(AND($L$37=0,$P$34=0),"",$L$37-1)),MIN(BJ$38,$E83),$P$20))-SUM($BF83:BI83))</f>
        <v>0</v>
      </c>
      <c r="BK83" s="446">
        <f>IF($E83=0,0,IF(MIN(BK$38,$E83)&lt;MAX($P$34*($B83+$I$38-1),IF(AND($L$37=0,$P$34=0),"",$L$37-1)),0,YEARFRAC(MAX($P$34*($B83+$I$38-1),IF(AND($L$37=0,$P$34=0),"",$L$37-1)),MIN(BK$38,$E83),$P$20))-SUM($BF83:BJ83))</f>
        <v>0</v>
      </c>
      <c r="BL83" s="446">
        <f>IF($E83=0,0,IF(MIN(BL$38,$E83)&lt;MAX($P$34*($B83+$I$38-1),IF(AND($L$37=0,$P$34=0),"",$L$37-1)),0,YEARFRAC(MAX($P$34*($B83+$I$38-1),IF(AND($L$37=0,$P$34=0),"",$L$37-1)),MIN(BL$38,$E83),$P$20))-SUM($BF83:BK83))</f>
        <v>0</v>
      </c>
      <c r="BM83" s="446">
        <f>IF($E83=0,0,IF(MIN(BM$38,$E83)&lt;MAX($P$34*($B83+$I$38-1),IF(AND($L$37=0,$P$34=0),"",$L$37-1)),0,YEARFRAC(MAX($P$34*($B83+$I$38-1),IF(AND($L$37=0,$P$34=0),"",$L$37-1)),MIN(BM$38,$E83),$P$20))-SUM($BF83:BL83))</f>
        <v>0</v>
      </c>
      <c r="BN83" s="446">
        <f>IF($E83=0,0,IF(MIN(BN$38,$E83)&lt;MAX($P$34*($B83+$I$38-1),IF(AND($L$37=0,$P$34=0),"",$L$37-1)),0,YEARFRAC(MAX($P$34*($B83+$I$38-1),IF(AND($L$37=0,$P$34=0),"",$L$37-1)),MIN(BN$38,$E83),$P$20))-SUM($BF83:BM83))</f>
        <v>0</v>
      </c>
      <c r="BO83" s="446">
        <f>IF($E83=0,0,IF(MIN(BO$38,$E83)&lt;MAX($P$34*($B83+$I$38-1),IF(AND($L$37=0,$P$34=0),"",$L$37-1)),0,YEARFRAC(MAX($P$34*($B83+$I$38-1),IF(AND($L$37=0,$P$34=0),"",$L$37-1)),MIN(BO$38,$E83),$P$20))-SUM($BF83:BN83))</f>
        <v>0</v>
      </c>
      <c r="BP83" s="446">
        <f>IF($E83=0,0,IF(MIN(BP$38,$E83)&lt;MAX($P$34*($B83+$I$38-1),IF(AND($L$37=0,$P$34=0),"",$L$37-1)),0,YEARFRAC(MAX($P$34*($B83+$I$38-1),IF(AND($L$37=0,$P$34=0),"",$L$37-1)),MIN(BP$38,$E83),$P$20))-SUM($BF83:BO83))</f>
        <v>0</v>
      </c>
      <c r="BQ83" s="446">
        <f>IF($E83=0,0,IF(MIN(BQ$38,$E83)&lt;MAX($P$34*($B83+$I$38-1),IF(AND($L$37=0,$P$34=0),"",$L$37-1)),0,YEARFRAC(MAX($P$34*($B83+$I$38-1),IF(AND($L$37=0,$P$34=0),"",$L$37-1)),MIN(BQ$38,$E83),$P$20))-SUM($BF83:BP83))</f>
        <v>0</v>
      </c>
      <c r="BR83" s="446">
        <f>IF($E83=0,0,IF(MIN(BR$38,$E83)&lt;MAX($P$34*($B83+$I$38-1),IF(AND($L$37=0,$P$34=0),"",$L$37-1)),0,YEARFRAC(MAX($P$34*($B83+$I$38-1),IF(AND($L$37=0,$P$34=0),"",$L$37-1)),MIN(BR$38,$E83),$P$20))-SUM($BF83:BQ83))</f>
        <v>0</v>
      </c>
      <c r="BS83" s="446">
        <f>IF($E83=0,0,IF(MIN(BS$38,$E83)&lt;MAX($P$34*($B83+$I$38-1),IF(AND($L$37=0,$P$34=0),"",$L$37-1)),0,YEARFRAC(MAX($P$34*($B83+$I$38-1),IF(AND($L$37=0,$P$34=0),"",$L$37-1)),MIN(BS$38,$E83),$P$20))-SUM($BF83:BR83))</f>
        <v>0</v>
      </c>
      <c r="BT83" s="446">
        <f>IF($E83=0,0,IF(MIN(BT$38,$E83)&lt;MAX($P$34*($B83+$I$38-1),IF(AND($L$37=0,$P$34=0),"",$L$37-1)),0,YEARFRAC(MAX($P$34*($B83+$I$38-1),IF(AND($L$37=0,$P$34=0),"",$L$37-1)),MIN(BT$38,$E83),$P$20))-SUM($BF83:BS83))</f>
        <v>0</v>
      </c>
      <c r="BU83" s="446">
        <f>IF($E83=0,0,IF(MIN(BU$38,$E83)&lt;MAX($P$34*($B83+$I$38-1),IF(AND($L$37=0,$P$34=0),"",$L$37-1)),0,YEARFRAC(MAX($P$34*($B83+$I$38-1),IF(AND($L$37=0,$P$34=0),"",$L$37-1)),MIN(BU$38,$E83),$P$20))-SUM($BF83:BT83))</f>
        <v>0</v>
      </c>
      <c r="BV83" s="446">
        <f>IF($E83=0,0,IF(MIN(BV$38,$E83)&lt;MAX($P$34*($B83+$I$38-1),IF(AND($L$37=0,$P$34=0),"",$L$37-1)),0,YEARFRAC(MAX($P$34*($B83+$I$38-1),IF(AND($L$37=0,$P$34=0),"",$L$37-1)),MIN(BV$38,$E83),$P$20))-SUM($BF83:BU83))</f>
        <v>0</v>
      </c>
      <c r="BW83" s="446">
        <f>IF($E83=0,0,IF(MIN(BW$38,$E83)&lt;MAX($P$34*($B83+$I$38-1),IF(AND($L$37=0,$P$34=0),"",$L$37-1)),0,YEARFRAC(MAX($P$34*($B83+$I$38-1),IF(AND($L$37=0,$P$34=0),"",$L$37-1)),MIN(BW$38,$E83),$P$20))-SUM($BF83:BV83))</f>
        <v>0</v>
      </c>
      <c r="BX83" s="446">
        <f>IF($E83=0,0,IF(MIN(BX$38,$E83)&lt;MAX($P$34*($B83+$I$38-1),IF(AND($L$37=0,$P$34=0),"",$L$37-1)),0,YEARFRAC(MAX($P$34*($B83+$I$38-1),IF(AND($L$37=0,$P$34=0),"",$L$37-1)),MIN(BX$38,$E83),$P$20))-SUM($BF83:BW83))</f>
        <v>0</v>
      </c>
      <c r="BY83" s="446">
        <f>IF($E83=0,0,IF(MIN(BY$38,$E83)&lt;MAX($P$34*($B83+$I$38-1),IF(AND($L$37=0,$P$34=0),"",$L$37-1)),0,YEARFRAC(MAX($P$34*($B83+$I$38-1),IF(AND($L$37=0,$P$34=0),"",$L$37-1)),MIN(BY$38,$E83),$P$20))-SUM($BF83:BX83))</f>
        <v>0</v>
      </c>
      <c r="BZ83" s="446">
        <f>IF($E83=0,0,IF(MIN(BZ$38,$E83)&lt;MAX($P$34*($B83+$I$38-1),IF(AND($L$37=0,$P$34=0),"",$L$37-1)),0,YEARFRAC(MAX($P$34*($B83+$I$38-1),IF(AND($L$37=0,$P$34=0),"",$L$37-1)),MIN(BZ$38,$E83),$P$20))-SUM($BF83:BY83))</f>
        <v>0</v>
      </c>
      <c r="CA83" s="446">
        <f>IF($E83=0,0,IF(MIN(CA$38,$E83)&lt;MAX($P$34*($B83+$I$38-1),IF(AND($L$37=0,$P$34=0),"",$L$37-1)),0,YEARFRAC(MAX($P$34*($B83+$I$38-1),IF(AND($L$37=0,$P$34=0),"",$L$37-1)),MIN(CA$38,$E83),$P$20))-SUM($BF83:BZ83))</f>
        <v>0</v>
      </c>
      <c r="CB83" s="446">
        <f>IF($E83=0,0,IF(MIN(CB$38,$E83)&lt;MAX($P$34*($B83+$I$38-1),IF(AND($L$37=0,$P$34=0),"",$L$37-1)),0,YEARFRAC(MAX($P$34*($B83+$I$38-1),IF(AND($L$37=0,$P$34=0),"",$L$37-1)),MIN(CB$38,$E83),$P$20))-SUM($BF83:CA83))</f>
        <v>0</v>
      </c>
      <c r="CC83" s="446">
        <f>IF($E83=0,0,IF(MIN(CC$38,$E83)&lt;MAX($P$34*($B83+$I$38-1),IF(AND($L$37=0,$P$34=0),"",$L$37-1)),0,YEARFRAC(MAX($P$34*($B83+$I$38-1),IF(AND($L$37=0,$P$34=0),"",$L$37-1)),MIN(CC$38,$E83),$P$20))-SUM($BF83:CB83))</f>
        <v>0</v>
      </c>
      <c r="CD83" s="446">
        <f>IF($E83=0,0,IF(MIN(CD$38,$E83)&lt;MAX($P$34*($B83+$I$38-1),IF(AND($L$37=0,$P$34=0),"",$L$37-1)),0,YEARFRAC(MAX($P$34*($B83+$I$38-1),IF(AND($L$37=0,$P$34=0),"",$L$37-1)),MIN(CD$38,$E83),$P$20))-SUM($BF83:CC83))</f>
        <v>0</v>
      </c>
      <c r="CE83" s="446">
        <f>IF($E83=0,0,IF(MIN(CE$38,$E83)&lt;MAX($P$34*($B83+$I$38-1),IF(AND($L$37=0,$P$34=0),"",$L$37-1)),0,YEARFRAC(MAX($P$34*($B83+$I$38-1),IF(AND($L$37=0,$P$34=0),"",$L$37-1)),MIN(CE$38,$E83),$P$20))-SUM($BF83:CD83))</f>
        <v>0</v>
      </c>
      <c r="CF83" s="446">
        <f>IF($E83=0,0,IF(MIN(CF$38,$E83)&lt;MAX($P$34*($B83+$I$38-1),IF(AND($L$37=0,$P$34=0),"",$L$37-1)),0,YEARFRAC(MAX($P$34*($B83+$I$38-1),IF(AND($L$37=0,$P$34=0),"",$L$37-1)),MIN(CF$38,$E83),$P$20))-SUM($BF83:CE83))</f>
        <v>0</v>
      </c>
      <c r="CG83" s="446">
        <f>IF($E83=0,0,IF(MIN(CG$38,$E83)&lt;MAX($P$34*($B83+$I$38-1),IF(AND($L$37=0,$P$34=0),"",$L$37-1)),0,YEARFRAC(MAX($P$34*($B83+$I$38-1),IF(AND($L$37=0,$P$34=0),"",$L$37-1)),MIN(CG$38,$E83),$P$20))-SUM($BF83:CF83))</f>
        <v>0</v>
      </c>
      <c r="CH83" s="446">
        <f>IF($E83=0,0,IF(MIN(CH$38,$E83)&lt;MAX($P$34*($B83+$I$38-1),IF(AND($L$37=0,$P$34=0),"",$L$37-1)),0,YEARFRAC(MAX($P$34*($B83+$I$38-1),IF(AND($L$37=0,$P$34=0),"",$L$37-1)),MIN(CH$38,$E83),$P$20))-SUM($BF83:CG83))</f>
        <v>0</v>
      </c>
      <c r="CI83" s="446">
        <f>IF($E83=0,0,IF(MIN(CI$38,$E83)&lt;MAX($P$34*($B83+$I$38-1),IF(AND($L$37=0,$P$34=0),"",$L$37-1)),0,YEARFRAC(MAX($P$34*($B83+$I$38-1),IF(AND($L$37=0,$P$34=0),"",$L$37-1)),MIN(CI$38,$E83),$P$20))-SUM($BF83:CH83))</f>
        <v>0</v>
      </c>
      <c r="CJ83" s="446">
        <f>IF($E83=0,0,IF(MIN(CJ$38,$E83)&lt;MAX($P$34*($B83+$I$38-1),IF(AND($L$37=0,$P$34=0),"",$L$37-1)),0,YEARFRAC(MAX($P$34*($B83+$I$38-1),IF(AND($L$37=0,$P$34=0),"",$L$37-1)),MIN(CJ$38,$E83),$P$20))-SUM($BF83:CI83))</f>
        <v>0</v>
      </c>
      <c r="CK83" s="446">
        <f>IF($E83=0,0,IF(MIN(CK$38,$E83)&lt;MAX($P$34*($B83+$I$38-1),IF(AND($L$37=0,$P$34=0),"",$L$37-1)),0,YEARFRAC(MAX($P$34*($B83+$I$38-1),IF(AND($L$37=0,$P$34=0),"",$L$37-1)),MIN(CK$38,$E83),$P$20))-SUM($BF83:CJ83))</f>
        <v>0</v>
      </c>
      <c r="CL83" s="446">
        <f>IF($E83=0,0,IF(MIN(CL$38,$E83)&lt;MAX($P$34*($B83+$I$38-1),IF(AND($L$37=0,$P$34=0),"",$L$37-1)),0,YEARFRAC(MAX($P$34*($B83+$I$38-1),IF(AND($L$37=0,$P$34=0),"",$L$37-1)),MIN(CL$38,$E83),$P$20))-SUM($BF83:CK83))</f>
        <v>0</v>
      </c>
      <c r="CM83" s="446">
        <f>IF($E83=0,0,IF(MIN(CM$38,$E83)&lt;MAX($P$34*($B83+$I$38-1),IF(AND($L$37=0,$P$34=0),"",$L$37-1)),0,YEARFRAC(MAX($P$34*($B83+$I$38-1),IF(AND($L$37=0,$P$34=0),"",$L$37-1)),MIN(CM$38,$E83),$P$20))-SUM($BF83:CL83))</f>
        <v>0</v>
      </c>
      <c r="CN83" s="446">
        <f>IF($E83=0,0,IF(MIN(CN$38,$E83)&lt;MAX($P$34*($B83+$I$38-1),IF(AND($L$37=0,$P$34=0),"",$L$37-1)),0,YEARFRAC(MAX($P$34*($B83+$I$38-1),IF(AND($L$37=0,$P$34=0),"",$L$37-1)),MIN(CN$38,$E83),$P$20))-SUM($BF83:CM83))</f>
        <v>0</v>
      </c>
      <c r="CO83" s="446">
        <f>IF($E83=0,0,IF(MIN(CO$38,$E83)&lt;MAX($P$34*($B83+$I$38-1),IF(AND($L$37=0,$P$34=0),"",$L$37-1)),0,YEARFRAC(MAX($P$34*($B83+$I$38-1),IF(AND($L$37=0,$P$34=0),"",$L$37-1)),MIN(CO$38,$E83),$P$20))-SUM($BF83:CN83))</f>
        <v>0</v>
      </c>
      <c r="CP83" s="446">
        <f>IF($E83=0,0,IF(MIN(CP$38,$E83)&lt;MAX($P$34*($B83+$I$38-1),IF(AND($L$37=0,$P$34=0),"",$L$37-1)),0,YEARFRAC(MAX($P$34*($B83+$I$38-1),IF(AND($L$37=0,$P$34=0),"",$L$37-1)),MIN(CP$38,$E83),$P$20))-SUM($BF83:CO83))</f>
        <v>0</v>
      </c>
      <c r="CQ83" s="446">
        <f>IF($E83=0,0,IF(MIN(CQ$38,$E83)&lt;MAX($P$34*($B83+$I$38-1),IF(AND($L$37=0,$P$34=0),"",$L$37-1)),0,YEARFRAC(MAX($P$34*($B83+$I$38-1),IF(AND($L$37=0,$P$34=0),"",$L$37-1)),MIN(CQ$38,$E83),$P$20))-SUM($BF83:CP83))</f>
        <v>0</v>
      </c>
    </row>
    <row r="84" spans="1:95" s="446" customFormat="1" ht="11.25" hidden="1" customHeight="1" x14ac:dyDescent="0.2">
      <c r="A84" s="152"/>
      <c r="B84" s="153" t="str">
        <f t="shared" si="15"/>
        <v/>
      </c>
      <c r="C84" s="29" t="str">
        <f>IF(B84="","",IF($L$35="SELIC - TRIBUTOS",VLOOKUP(DATE(YEAR($D$19),MONTH($D$19)-1,1),ÍNDICES!$A:$DE,HLOOKUP($BL$25,ÍNDICES!$B$3:$T$4,2)+11)-VLOOKUP(B84,ÍNDICES!$A:$DE,HLOOKUP($BL$25,ÍNDICES!$B$3:$T$4,2)+11)+1%,IF(C$38=$W$26,$J$35,IF(ISERROR(IF(B84&gt;$D$19,1,VLOOKUP(DATE(YEAR(B84),MONTH(B84)+IF($C$35=$S$23,1,0),1),ÍNDICES!$A:$DE,$Z$35+1))),"",IF(B84&gt;$D$19,1,VLOOKUP(DATE(YEAR(B84),MONTH(B84)+IF($C$35=$S$23,1,0),1),ÍNDICES!$A:$DE,$Z$35+1))))))</f>
        <v/>
      </c>
      <c r="D84" s="154" t="str">
        <f>IF(ISERROR(IF(OR($D$38=$Y$27,$B84=""),"",VLOOKUP(B84,ÍNDICES!A:DE,AF$35+1))),"",IF(OR($D$38=$Y$27,$B84=""),"",VLOOKUP(B84,ÍNDICES!A:DE,AF$35+1)))</f>
        <v/>
      </c>
      <c r="E84" s="153"/>
      <c r="F84" s="29" t="str">
        <f>IF(E84="","",IF($L$35="SELIC - TRIBUTOS",VLOOKUP(DATE(YEAR($D$19),MONTH($D$19)-1,1),ÍNDICES!$A:$DE,HLOOKUP($BL$25,ÍNDICES!$B$3:$T$4,2)+11)-VLOOKUP(E84,ÍNDICES!$A:$DE,HLOOKUP($BL$25,ÍNDICES!$B$3:$T$4,2)+11)+1%,IF(F$38=$W$26,$J$35,IF(ISERROR(IF(E84&gt;$D$19,1,VLOOKUP(DATE(YEAR(E84),MONTH(E84)+IF($C$35=$S$23,1,0),1),ÍNDICES!$A:$DE,$Z$35+1))),"",IF(E84&gt;$D$19,1,VLOOKUP(DATE(YEAR(E84),MONTH(E84)+IF($C$35=$S$23,1,0),1),ÍNDICES!$A:$DE,$Z$35+1))))))</f>
        <v/>
      </c>
      <c r="G84" s="155"/>
      <c r="H84" s="156" t="str">
        <f t="shared" si="11"/>
        <v/>
      </c>
      <c r="I84" s="29" t="str">
        <f t="shared" si="5"/>
        <v/>
      </c>
      <c r="J84" s="5">
        <f t="shared" si="6"/>
        <v>0</v>
      </c>
      <c r="K84" s="20">
        <f t="shared" ca="1" si="7"/>
        <v>0</v>
      </c>
      <c r="L84" s="5">
        <f t="shared" ca="1" si="8"/>
        <v>0</v>
      </c>
      <c r="M84" s="64">
        <f t="shared" si="12"/>
        <v>0</v>
      </c>
      <c r="N84" s="61">
        <f t="shared" ca="1" si="13"/>
        <v>0</v>
      </c>
      <c r="O84" s="5">
        <f t="shared" ca="1" si="14"/>
        <v>0</v>
      </c>
      <c r="P84" s="446" t="e">
        <f t="shared" si="9"/>
        <v>#VALUE!</v>
      </c>
      <c r="Q84" s="446" t="e">
        <f>IF(OR($B84="",MIN(Q$38,$D$19)&lt;MAX($P$34*($B84+IF($R$17="Distrato",$I$38-1,0)),IF(AND($L$37=0,$P$34=0),"",$L$37-1),IF($R$17="Distrato",$E84,0))),0,YEARFRAC(MAX($P$34*($B84+IF($R$17="Distrato",$I$38-1,0)),IF(AND($L$37=0,$P$34=0),"",$L$37-1),IF($R$17="Distrato",$E84,0)),MIN(Q$38,$D$19),$P$20))-SUM($P84:P84)</f>
        <v>#VALUE!</v>
      </c>
      <c r="R84" s="446" t="e">
        <f>IF(OR($B84="",MIN(R$38,$D$19)&lt;MAX($P$34*($B84+IF($R$17="Distrato",$I$38-1,0)),IF(AND($L$37=0,$P$34=0),"",$L$37-1),IF($R$17="Distrato",$E84,0))),0,YEARFRAC(MAX($P$34*($B84+IF($R$17="Distrato",$I$38-1,0)),IF(AND($L$37=0,$P$34=0),"",$L$37-1),IF($R$17="Distrato",$E84,0)),MIN(R$38,$D$19),$P$20))-SUM($P84:Q84)</f>
        <v>#VALUE!</v>
      </c>
      <c r="S84" s="446" t="e">
        <f>IF(OR($B84="",MIN(S$38,$D$19)&lt;MAX($P$34*($B84+IF($R$17="Distrato",$I$38-1,0)),IF(AND($L$37=0,$P$34=0),"",$L$37-1),IF($R$17="Distrato",$E84,0))),0,YEARFRAC(MAX($P$34*($B84+IF($R$17="Distrato",$I$38-1,0)),IF(AND($L$37=0,$P$34=0),"",$L$37-1),IF($R$17="Distrato",$E84,0)),MIN(S$38,$D$19),$P$20))-SUM($P84:R84)</f>
        <v>#VALUE!</v>
      </c>
      <c r="T84" s="446" t="e">
        <f>IF(OR($B84="",MIN(T$38,$D$19)&lt;MAX($P$34*($B84+IF($R$17="Distrato",$I$38-1,0)),IF(AND($L$37=0,$P$34=0),"",$L$37-1),IF($R$17="Distrato",$E84,0))),0,YEARFRAC(MAX($P$34*($B84+IF($R$17="Distrato",$I$38-1,0)),IF(AND($L$37=0,$P$34=0),"",$L$37-1),IF($R$17="Distrato",$E84,0)),MIN(T$38,$D$19),$P$20))-SUM($P84:S84)</f>
        <v>#VALUE!</v>
      </c>
      <c r="U84" s="446" t="e">
        <f>IF(OR($B84="",MIN(U$38,$D$19)&lt;MAX($P$34*($B84+IF($R$17="Distrato",$I$38-1,0)),IF(AND($L$37=0,$P$34=0),"",$L$37-1),IF($R$17="Distrato",$E84,0))),0,YEARFRAC(MAX($P$34*($B84+IF($R$17="Distrato",$I$38-1,0)),IF(AND($L$37=0,$P$34=0),"",$L$37-1),IF($R$17="Distrato",$E84,0)),MIN(U$38,$D$19),$P$20))-SUM($P84:T84)</f>
        <v>#VALUE!</v>
      </c>
      <c r="V84" s="446" t="e">
        <f>IF(OR($B84="",MIN(V$38,$D$19)&lt;MAX($P$34*($B84+IF($R$17="Distrato",$I$38-1,0)),IF(AND($L$37=0,$P$34=0),"",$L$37-1),IF($R$17="Distrato",$E84,0))),0,YEARFRAC(MAX($P$34*($B84+IF($R$17="Distrato",$I$38-1,0)),IF(AND($L$37=0,$P$34=0),"",$L$37-1),IF($R$17="Distrato",$E84,0)),MIN(V$38,$D$19),$P$20))-SUM($P84:U84)</f>
        <v>#VALUE!</v>
      </c>
      <c r="W84" s="446" t="e">
        <f>IF(OR($B84="",MIN(W$38,$D$19)&lt;MAX($P$34*($B84+IF($R$17="Distrato",$I$38-1,0)),IF(AND($L$37=0,$P$34=0),"",$L$37-1),IF($R$17="Distrato",$E84,0))),0,YEARFRAC(MAX($P$34*($B84+IF($R$17="Distrato",$I$38-1,0)),IF(AND($L$37=0,$P$34=0),"",$L$37-1),IF($R$17="Distrato",$E84,0)),MIN(W$38,$D$19),$P$20))-SUM($P84:V84)</f>
        <v>#VALUE!</v>
      </c>
      <c r="X84" s="446" t="e">
        <f>IF(OR($B84="",MIN(X$38,$D$19)&lt;MAX($P$34*($B84+IF($R$17="Distrato",$I$38-1,0)),IF(AND($L$37=0,$P$34=0),"",$L$37-1),IF($R$17="Distrato",$E84,0))),0,YEARFRAC(MAX($P$34*($B84+IF($R$17="Distrato",$I$38-1,0)),IF(AND($L$37=0,$P$34=0),"",$L$37-1),IF($R$17="Distrato",$E84,0)),MIN(X$38,$D$19),$P$20))-SUM($P84:W84)</f>
        <v>#VALUE!</v>
      </c>
      <c r="Y84" s="446" t="e">
        <f>IF(OR($B84="",MIN(Y$38,$D$19)&lt;MAX($P$34*($B84+IF($R$17="Distrato",$I$38-1,0)),IF(AND($L$37=0,$P$34=0),"",$L$37-1),IF($R$17="Distrato",$E84,0))),0,YEARFRAC(MAX($P$34*($B84+IF($R$17="Distrato",$I$38-1,0)),IF(AND($L$37=0,$P$34=0),"",$L$37-1),IF($R$17="Distrato",$E84,0)),MIN(Y$38,$D$19),$P$20))-SUM($P84:X84)</f>
        <v>#VALUE!</v>
      </c>
      <c r="Z84" s="446" t="e">
        <f>IF(OR($B84="",MIN(Z$38,$D$19)&lt;MAX($P$34*($B84+IF($R$17="Distrato",$I$38-1,0)),IF(AND($L$37=0,$P$34=0),"",$L$37-1),IF($R$17="Distrato",$E84,0))),0,YEARFRAC(MAX($P$34*($B84+IF($R$17="Distrato",$I$38-1,0)),IF(AND($L$37=0,$P$34=0),"",$L$37-1),IF($R$17="Distrato",$E84,0)),MIN(Z$38,$D$19),$P$20))-SUM($P84:Y84)</f>
        <v>#VALUE!</v>
      </c>
      <c r="AA84" s="446" t="e">
        <f>IF(OR($B84="",MIN(AA$38,$D$19)&lt;MAX($P$34*($B84+IF($R$17="Distrato",$I$38-1,0)),IF(AND($L$37=0,$P$34=0),"",$L$37-1),IF($R$17="Distrato",$E84,0))),0,YEARFRAC(MAX($P$34*($B84+IF($R$17="Distrato",$I$38-1,0)),IF(AND($L$37=0,$P$34=0),"",$L$37-1),IF($R$17="Distrato",$E84,0)),MIN(AA$38,$D$19),$P$20))-SUM($P84:Z84)</f>
        <v>#VALUE!</v>
      </c>
      <c r="AB84" s="446" t="e">
        <f>IF(OR($B84="",MIN(AB$38,$D$19)&lt;MAX($P$34*($B84+IF($R$17="Distrato",$I$38-1,0)),IF(AND($L$37=0,$P$34=0),"",$L$37-1),IF($R$17="Distrato",$E84,0))),0,YEARFRAC(MAX($P$34*($B84+IF($R$17="Distrato",$I$38-1,0)),IF(AND($L$37=0,$P$34=0),"",$L$37-1),IF($R$17="Distrato",$E84,0)),MIN(AB$38,$D$19),$P$20))-SUM($P84:AA84)</f>
        <v>#VALUE!</v>
      </c>
      <c r="AC84" s="446" t="e">
        <f>IF(OR($B84="",MIN(AC$38,$D$19)&lt;MAX($P$34*($B84+IF($R$17="Distrato",$I$38-1,0)),IF(AND($L$37=0,$P$34=0),"",$L$37-1),IF($R$17="Distrato",$E84,0))),0,YEARFRAC(MAX($P$34*($B84+IF($R$17="Distrato",$I$38-1,0)),IF(AND($L$37=0,$P$34=0),"",$L$37-1),IF($R$17="Distrato",$E84,0)),MIN(AC$38,$D$19),$P$20))-SUM($P84:AB84)</f>
        <v>#VALUE!</v>
      </c>
      <c r="AD84" s="446" t="e">
        <f>IF(OR($B84="",MIN(AD$38,$D$19)&lt;MAX($P$34*($B84+IF($R$17="Distrato",$I$38-1,0)),IF(AND($L$37=0,$P$34=0),"",$L$37-1),IF($R$17="Distrato",$E84,0))),0,YEARFRAC(MAX($P$34*($B84+IF($R$17="Distrato",$I$38-1,0)),IF(AND($L$37=0,$P$34=0),"",$L$37-1),IF($R$17="Distrato",$E84,0)),MIN(AD$38,$D$19),$P$20))-SUM($P84:AC84)</f>
        <v>#VALUE!</v>
      </c>
      <c r="AE84" s="446" t="e">
        <f>IF(OR($B84="",MIN(AE$38,$D$19)&lt;MAX($P$34*($B84+IF($R$17="Distrato",$I$38-1,0)),IF(AND($L$37=0,$P$34=0),"",$L$37-1),IF($R$17="Distrato",$E84,0))),0,YEARFRAC(MAX($P$34*($B84+IF($R$17="Distrato",$I$38-1,0)),IF(AND($L$37=0,$P$34=0),"",$L$37-1),IF($R$17="Distrato",$E84,0)),MIN(AE$38,$D$19),$P$20))-SUM($P84:AD84)</f>
        <v>#VALUE!</v>
      </c>
      <c r="AF84" s="446" t="e">
        <f>IF(OR($B84="",MIN(AF$38,$D$19)&lt;MAX($P$34*($B84+IF($R$17="Distrato",$I$38-1,0)),IF(AND($L$37=0,$P$34=0),"",$L$37-1),IF($R$17="Distrato",$E84,0))),0,YEARFRAC(MAX($P$34*($B84+IF($R$17="Distrato",$I$38-1,0)),IF(AND($L$37=0,$P$34=0),"",$L$37-1),IF($R$17="Distrato",$E84,0)),MIN(AF$38,$D$19),$P$20))-SUM($P84:AE84)</f>
        <v>#VALUE!</v>
      </c>
      <c r="AG84" s="446" t="e">
        <f>IF(OR($B84="",MIN(AG$38,$D$19)&lt;MAX($P$34*($B84+IF($R$17="Distrato",$I$38-1,0)),IF(AND($L$37=0,$P$34=0),"",$L$37-1),IF($R$17="Distrato",$E84,0))),0,YEARFRAC(MAX($P$34*($B84+IF($R$17="Distrato",$I$38-1,0)),IF(AND($L$37=0,$P$34=0),"",$L$37-1),IF($R$17="Distrato",$E84,0)),MIN(AG$38,$D$19),$P$20))-SUM($P84:AF84)</f>
        <v>#VALUE!</v>
      </c>
      <c r="AH84" s="446" t="e">
        <f>IF(OR($B84="",MIN(AH$38,$D$19)&lt;MAX($P$34*($B84+IF($R$17="Distrato",$I$38-1,0)),IF(AND($L$37=0,$P$34=0),"",$L$37-1),IF($R$17="Distrato",$E84,0))),0,YEARFRAC(MAX($P$34*($B84+IF($R$17="Distrato",$I$38-1,0)),IF(AND($L$37=0,$P$34=0),"",$L$37-1),IF($R$17="Distrato",$E84,0)),MIN(AH$38,$D$19),$P$20))-SUM($P84:AG84)</f>
        <v>#VALUE!</v>
      </c>
      <c r="AI84" s="446" t="e">
        <f>IF(OR($B84="",MIN(AI$38,$D$19)&lt;MAX($P$34*($B84+IF($R$17="Distrato",$I$38-1,0)),IF(AND($L$37=0,$P$34=0),"",$L$37-1),IF($R$17="Distrato",$E84,0))),0,YEARFRAC(MAX($P$34*($B84+IF($R$17="Distrato",$I$38-1,0)),IF(AND($L$37=0,$P$34=0),"",$L$37-1),IF($R$17="Distrato",$E84,0)),MIN(AI$38,$D$19),$P$20))-SUM($P84:AH84)</f>
        <v>#VALUE!</v>
      </c>
      <c r="AJ84" s="446" t="e">
        <f>IF(OR($B84="",MIN(AJ$38,$D$19)&lt;MAX($P$34*($B84+IF($R$17="Distrato",$I$38-1,0)),IF(AND($L$37=0,$P$34=0),"",$L$37-1),IF($R$17="Distrato",$E84,0))),0,YEARFRAC(MAX($P$34*($B84+IF($R$17="Distrato",$I$38-1,0)),IF(AND($L$37=0,$P$34=0),"",$L$37-1),IF($R$17="Distrato",$E84,0)),MIN(AJ$38,$D$19),$P$20))-SUM($P84:AI84)</f>
        <v>#VALUE!</v>
      </c>
      <c r="AK84" s="446" t="e">
        <f>IF(OR($B84="",MIN(AK$38,$D$19)&lt;MAX($P$34*($B84+IF($R$17="Distrato",$I$38-1,0)),IF(AND($L$37=0,$P$34=0),"",$L$37-1),IF($R$17="Distrato",$E84,0))),0,YEARFRAC(MAX($P$34*($B84+IF($R$17="Distrato",$I$38-1,0)),IF(AND($L$37=0,$P$34=0),"",$L$37-1),IF($R$17="Distrato",$E84,0)),MIN(AK$38,$D$19),$P$20))-SUM($P84:AJ84)</f>
        <v>#VALUE!</v>
      </c>
      <c r="AL84" s="446" t="e">
        <f>IF(OR($B84="",MIN(AL$38,$D$19)&lt;MAX($P$34*($B84+IF($R$17="Distrato",$I$38-1,0)),IF(AND($L$37=0,$P$34=0),"",$L$37-1),IF($R$17="Distrato",$E84,0))),0,YEARFRAC(MAX($P$34*($B84+IF($R$17="Distrato",$I$38-1,0)),IF(AND($L$37=0,$P$34=0),"",$L$37-1),IF($R$17="Distrato",$E84,0)),MIN(AL$38,$D$19),$P$20))-SUM($P84:AK84)</f>
        <v>#VALUE!</v>
      </c>
      <c r="AM84" s="446" t="e">
        <f>IF(OR($B84="",MIN(AM$38,$D$19)&lt;MAX($P$34*($B84+IF($R$17="Distrato",$I$38-1,0)),IF(AND($L$37=0,$P$34=0),"",$L$37-1),IF($R$17="Distrato",$E84,0))),0,YEARFRAC(MAX($P$34*($B84+IF($R$17="Distrato",$I$38-1,0)),IF(AND($L$37=0,$P$34=0),"",$L$37-1),IF($R$17="Distrato",$E84,0)),MIN(AM$38,$D$19),$P$20))-SUM($P84:AL84)</f>
        <v>#VALUE!</v>
      </c>
      <c r="AN84" s="446" t="e">
        <f>IF(OR($B84="",MIN(AN$38,$D$19)&lt;MAX($P$34*($B84+IF($R$17="Distrato",$I$38-1,0)),IF(AND($L$37=0,$P$34=0),"",$L$37-1),IF($R$17="Distrato",$E84,0))),0,YEARFRAC(MAX($P$34*($B84+IF($R$17="Distrato",$I$38-1,0)),IF(AND($L$37=0,$P$34=0),"",$L$37-1),IF($R$17="Distrato",$E84,0)),MIN(AN$38,$D$19),$P$20))-SUM($P84:AM84)</f>
        <v>#VALUE!</v>
      </c>
      <c r="AO84" s="446" t="e">
        <f>IF(OR($B84="",MIN(AO$38,$D$19)&lt;MAX($P$34*($B84+IF($R$17="Distrato",$I$38-1,0)),IF(AND($L$37=0,$P$34=0),"",$L$37-1),IF($R$17="Distrato",$E84,0))),0,YEARFRAC(MAX($P$34*($B84+IF($R$17="Distrato",$I$38-1,0)),IF(AND($L$37=0,$P$34=0),"",$L$37-1),IF($R$17="Distrato",$E84,0)),MIN(AO$38,$D$19),$P$20))-SUM($P84:AN84)</f>
        <v>#VALUE!</v>
      </c>
      <c r="AP84" s="446" t="e">
        <f>IF(OR($B84="",MIN(AP$38,$D$19)&lt;MAX($P$34*($B84+IF($R$17="Distrato",$I$38-1,0)),IF(AND($L$37=0,$P$34=0),"",$L$37-1),IF($R$17="Distrato",$E84,0))),0,YEARFRAC(MAX($P$34*($B84+IF($R$17="Distrato",$I$38-1,0)),IF(AND($L$37=0,$P$34=0),"",$L$37-1),IF($R$17="Distrato",$E84,0)),MIN(AP$38,$D$19),$P$20))-SUM($P84:AO84)</f>
        <v>#VALUE!</v>
      </c>
      <c r="AQ84" s="446" t="e">
        <f>IF(OR($B84="",MIN(AQ$38,$D$19)&lt;MAX($P$34*($B84+IF($R$17="Distrato",$I$38-1,0)),IF(AND($L$37=0,$P$34=0),"",$L$37-1),IF($R$17="Distrato",$E84,0))),0,YEARFRAC(MAX($P$34*($B84+IF($R$17="Distrato",$I$38-1,0)),IF(AND($L$37=0,$P$34=0),"",$L$37-1),IF($R$17="Distrato",$E84,0)),MIN(AQ$38,$D$19),$P$20))-SUM($P84:AP84)</f>
        <v>#VALUE!</v>
      </c>
      <c r="AR84" s="446" t="e">
        <f>IF(OR($B84="",MIN(AR$38,$D$19)&lt;MAX($P$34*($B84+IF($R$17="Distrato",$I$38-1,0)),IF(AND($L$37=0,$P$34=0),"",$L$37-1),IF($R$17="Distrato",$E84,0))),0,YEARFRAC(MAX($P$34*($B84+IF($R$17="Distrato",$I$38-1,0)),IF(AND($L$37=0,$P$34=0),"",$L$37-1),IF($R$17="Distrato",$E84,0)),MIN(AR$38,$D$19),$P$20))-SUM($P84:AQ84)</f>
        <v>#VALUE!</v>
      </c>
      <c r="AS84" s="446" t="e">
        <f>IF(OR($B84="",MIN(AS$38,$D$19)&lt;MAX($P$34*($B84+IF($R$17="Distrato",$I$38-1,0)),IF(AND($L$37=0,$P$34=0),"",$L$37-1),IF($R$17="Distrato",$E84,0))),0,YEARFRAC(MAX($P$34*($B84+IF($R$17="Distrato",$I$38-1,0)),IF(AND($L$37=0,$P$34=0),"",$L$37-1),IF($R$17="Distrato",$E84,0)),MIN(AS$38,$D$19),$P$20))-SUM($P84:AR84)</f>
        <v>#VALUE!</v>
      </c>
      <c r="AT84" s="446" t="e">
        <f>IF(OR($B84="",MIN(AT$38,$D$19)&lt;MAX($P$34*($B84+IF($R$17="Distrato",$I$38-1,0)),IF(AND($L$37=0,$P$34=0),"",$L$37-1),IF($R$17="Distrato",$E84,0))),0,YEARFRAC(MAX($P$34*($B84+IF($R$17="Distrato",$I$38-1,0)),IF(AND($L$37=0,$P$34=0),"",$L$37-1),IF($R$17="Distrato",$E84,0)),MIN(AT$38,$D$19),$P$20))-SUM($P84:AS84)</f>
        <v>#VALUE!</v>
      </c>
      <c r="AU84" s="446" t="e">
        <f>IF(OR($B84="",MIN(AU$38,$D$19)&lt;MAX($P$34*($B84+IF($R$17="Distrato",$I$38-1,0)),IF(AND($L$37=0,$P$34=0),"",$L$37-1),IF($R$17="Distrato",$E84,0))),0,YEARFRAC(MAX($P$34*($B84+IF($R$17="Distrato",$I$38-1,0)),IF(AND($L$37=0,$P$34=0),"",$L$37-1),IF($R$17="Distrato",$E84,0)),MIN(AU$38,$D$19),$P$20))-SUM($P84:AT84)</f>
        <v>#VALUE!</v>
      </c>
      <c r="AV84" s="446" t="e">
        <f>IF(OR($B84="",MIN(AV$38,$D$19)&lt;MAX($P$34*($B84+IF($R$17="Distrato",$I$38-1,0)),IF(AND($L$37=0,$P$34=0),"",$L$37-1),IF($R$17="Distrato",$E84,0))),0,YEARFRAC(MAX($P$34*($B84+IF($R$17="Distrato",$I$38-1,0)),IF(AND($L$37=0,$P$34=0),"",$L$37-1),IF($R$17="Distrato",$E84,0)),MIN(AV$38,$D$19),$P$20))-SUM($P84:AU84)</f>
        <v>#VALUE!</v>
      </c>
      <c r="AW84" s="446" t="e">
        <f>IF(OR($B84="",MIN(AW$38,$D$19)&lt;MAX($P$34*($B84+IF($R$17="Distrato",$I$38-1,0)),IF(AND($L$37=0,$P$34=0),"",$L$37-1),IF($R$17="Distrato",$E84,0))),0,YEARFRAC(MAX($P$34*($B84+IF($R$17="Distrato",$I$38-1,0)),IF(AND($L$37=0,$P$34=0),"",$L$37-1),IF($R$17="Distrato",$E84,0)),MIN(AW$38,$D$19),$P$20))-SUM($P84:AV84)</f>
        <v>#VALUE!</v>
      </c>
      <c r="AX84" s="446" t="e">
        <f>IF(OR($B84="",MIN(AX$38,$D$19)&lt;MAX($P$34*($B84+IF($R$17="Distrato",$I$38-1,0)),IF(AND($L$37=0,$P$34=0),"",$L$37-1),IF($R$17="Distrato",$E84,0))),0,YEARFRAC(MAX($P$34*($B84+IF($R$17="Distrato",$I$38-1,0)),IF(AND($L$37=0,$P$34=0),"",$L$37-1),IF($R$17="Distrato",$E84,0)),MIN(AX$38,$D$19),$P$20))-SUM($P84:AW84)</f>
        <v>#VALUE!</v>
      </c>
      <c r="AY84" s="446" t="e">
        <f>IF(OR($B84="",MIN(AY$38,$D$19)&lt;MAX($P$34*($B84+IF($R$17="Distrato",$I$38-1,0)),IF(AND($L$37=0,$P$34=0),"",$L$37-1),IF($R$17="Distrato",$E84,0))),0,YEARFRAC(MAX($P$34*($B84+IF($R$17="Distrato",$I$38-1,0)),IF(AND($L$37=0,$P$34=0),"",$L$37-1),IF($R$17="Distrato",$E84,0)),MIN(AY$38,$D$19),$P$20))-SUM($P84:AX84)</f>
        <v>#VALUE!</v>
      </c>
      <c r="AZ84" s="446" t="e">
        <f>IF(OR($B84="",MIN(AZ$38,$D$19)&lt;MAX($P$34*($B84+IF($R$17="Distrato",$I$38-1,0)),IF(AND($L$37=0,$P$34=0),"",$L$37-1),IF($R$17="Distrato",$E84,0))),0,YEARFRAC(MAX($P$34*($B84+IF($R$17="Distrato",$I$38-1,0)),IF(AND($L$37=0,$P$34=0),"",$L$37-1),IF($R$17="Distrato",$E84,0)),MIN(AZ$38,$D$19),$P$20))-SUM($P84:AY84)</f>
        <v>#VALUE!</v>
      </c>
      <c r="BA84" s="446" t="e">
        <f>IF(OR($B84="",MIN(BA$38,$D$19)&lt;MAX($P$34*($B84+IF($R$17="Distrato",$I$38-1,0)),IF(AND($L$37=0,$P$34=0),"",$L$37-1),IF($R$17="Distrato",$E84,0))),0,YEARFRAC(MAX($P$34*($B84+IF($R$17="Distrato",$I$38-1,0)),IF(AND($L$37=0,$P$34=0),"",$L$37-1),IF($R$17="Distrato",$E84,0)),MIN(BA$38,$D$19),$P$20))-SUM($P84:AZ84)</f>
        <v>#VALUE!</v>
      </c>
      <c r="BB84" s="447"/>
      <c r="BF84" s="446">
        <f t="shared" si="10"/>
        <v>0</v>
      </c>
      <c r="BG84" s="446">
        <f>IF($E84=0,0,IF(MIN(BG$38,$E84)&lt;MAX($P$34*($B84+$I$38-1),IF(AND($L$37=0,$P$34=0),"",$L$37-1)),0,YEARFRAC(MAX($P$34*($B84+$I$38-1),IF(AND($L$37=0,$P$34=0),"",$L$37-1)),MIN(BG$38,$E84),$P$20))-SUM($BF84:BF84))</f>
        <v>0</v>
      </c>
      <c r="BH84" s="446">
        <f>IF($E84=0,0,IF(MIN(BH$38,$E84)&lt;MAX($P$34*($B84+$I$38-1),IF(AND($L$37=0,$P$34=0),"",$L$37-1)),0,YEARFRAC(MAX($P$34*($B84+$I$38-1),IF(AND($L$37=0,$P$34=0),"",$L$37-1)),MIN(BH$38,$E84),$P$20))-SUM($BF84:BG84))</f>
        <v>0</v>
      </c>
      <c r="BI84" s="446">
        <f>IF($E84=0,0,IF(MIN(BI$38,$E84)&lt;MAX($P$34*($B84+$I$38-1),IF(AND($L$37=0,$P$34=0),"",$L$37-1)),0,YEARFRAC(MAX($P$34*($B84+$I$38-1),IF(AND($L$37=0,$P$34=0),"",$L$37-1)),MIN(BI$38,$E84),$P$20))-SUM($BF84:BH84))</f>
        <v>0</v>
      </c>
      <c r="BJ84" s="446">
        <f>IF($E84=0,0,IF(MIN(BJ$38,$E84)&lt;MAX($P$34*($B84+$I$38-1),IF(AND($L$37=0,$P$34=0),"",$L$37-1)),0,YEARFRAC(MAX($P$34*($B84+$I$38-1),IF(AND($L$37=0,$P$34=0),"",$L$37-1)),MIN(BJ$38,$E84),$P$20))-SUM($BF84:BI84))</f>
        <v>0</v>
      </c>
      <c r="BK84" s="446">
        <f>IF($E84=0,0,IF(MIN(BK$38,$E84)&lt;MAX($P$34*($B84+$I$38-1),IF(AND($L$37=0,$P$34=0),"",$L$37-1)),0,YEARFRAC(MAX($P$34*($B84+$I$38-1),IF(AND($L$37=0,$P$34=0),"",$L$37-1)),MIN(BK$38,$E84),$P$20))-SUM($BF84:BJ84))</f>
        <v>0</v>
      </c>
      <c r="BL84" s="446">
        <f>IF($E84=0,0,IF(MIN(BL$38,$E84)&lt;MAX($P$34*($B84+$I$38-1),IF(AND($L$37=0,$P$34=0),"",$L$37-1)),0,YEARFRAC(MAX($P$34*($B84+$I$38-1),IF(AND($L$37=0,$P$34=0),"",$L$37-1)),MIN(BL$38,$E84),$P$20))-SUM($BF84:BK84))</f>
        <v>0</v>
      </c>
      <c r="BM84" s="446">
        <f>IF($E84=0,0,IF(MIN(BM$38,$E84)&lt;MAX($P$34*($B84+$I$38-1),IF(AND($L$37=0,$P$34=0),"",$L$37-1)),0,YEARFRAC(MAX($P$34*($B84+$I$38-1),IF(AND($L$37=0,$P$34=0),"",$L$37-1)),MIN(BM$38,$E84),$P$20))-SUM($BF84:BL84))</f>
        <v>0</v>
      </c>
      <c r="BN84" s="446">
        <f>IF($E84=0,0,IF(MIN(BN$38,$E84)&lt;MAX($P$34*($B84+$I$38-1),IF(AND($L$37=0,$P$34=0),"",$L$37-1)),0,YEARFRAC(MAX($P$34*($B84+$I$38-1),IF(AND($L$37=0,$P$34=0),"",$L$37-1)),MIN(BN$38,$E84),$P$20))-SUM($BF84:BM84))</f>
        <v>0</v>
      </c>
      <c r="BO84" s="446">
        <f>IF($E84=0,0,IF(MIN(BO$38,$E84)&lt;MAX($P$34*($B84+$I$38-1),IF(AND($L$37=0,$P$34=0),"",$L$37-1)),0,YEARFRAC(MAX($P$34*($B84+$I$38-1),IF(AND($L$37=0,$P$34=0),"",$L$37-1)),MIN(BO$38,$E84),$P$20))-SUM($BF84:BN84))</f>
        <v>0</v>
      </c>
      <c r="BP84" s="446">
        <f>IF($E84=0,0,IF(MIN(BP$38,$E84)&lt;MAX($P$34*($B84+$I$38-1),IF(AND($L$37=0,$P$34=0),"",$L$37-1)),0,YEARFRAC(MAX($P$34*($B84+$I$38-1),IF(AND($L$37=0,$P$34=0),"",$L$37-1)),MIN(BP$38,$E84),$P$20))-SUM($BF84:BO84))</f>
        <v>0</v>
      </c>
      <c r="BQ84" s="446">
        <f>IF($E84=0,0,IF(MIN(BQ$38,$E84)&lt;MAX($P$34*($B84+$I$38-1),IF(AND($L$37=0,$P$34=0),"",$L$37-1)),0,YEARFRAC(MAX($P$34*($B84+$I$38-1),IF(AND($L$37=0,$P$34=0),"",$L$37-1)),MIN(BQ$38,$E84),$P$20))-SUM($BF84:BP84))</f>
        <v>0</v>
      </c>
      <c r="BR84" s="446">
        <f>IF($E84=0,0,IF(MIN(BR$38,$E84)&lt;MAX($P$34*($B84+$I$38-1),IF(AND($L$37=0,$P$34=0),"",$L$37-1)),0,YEARFRAC(MAX($P$34*($B84+$I$38-1),IF(AND($L$37=0,$P$34=0),"",$L$37-1)),MIN(BR$38,$E84),$P$20))-SUM($BF84:BQ84))</f>
        <v>0</v>
      </c>
      <c r="BS84" s="446">
        <f>IF($E84=0,0,IF(MIN(BS$38,$E84)&lt;MAX($P$34*($B84+$I$38-1),IF(AND($L$37=0,$P$34=0),"",$L$37-1)),0,YEARFRAC(MAX($P$34*($B84+$I$38-1),IF(AND($L$37=0,$P$34=0),"",$L$37-1)),MIN(BS$38,$E84),$P$20))-SUM($BF84:BR84))</f>
        <v>0</v>
      </c>
      <c r="BT84" s="446">
        <f>IF($E84=0,0,IF(MIN(BT$38,$E84)&lt;MAX($P$34*($B84+$I$38-1),IF(AND($L$37=0,$P$34=0),"",$L$37-1)),0,YEARFRAC(MAX($P$34*($B84+$I$38-1),IF(AND($L$37=0,$P$34=0),"",$L$37-1)),MIN(BT$38,$E84),$P$20))-SUM($BF84:BS84))</f>
        <v>0</v>
      </c>
      <c r="BU84" s="446">
        <f>IF($E84=0,0,IF(MIN(BU$38,$E84)&lt;MAX($P$34*($B84+$I$38-1),IF(AND($L$37=0,$P$34=0),"",$L$37-1)),0,YEARFRAC(MAX($P$34*($B84+$I$38-1),IF(AND($L$37=0,$P$34=0),"",$L$37-1)),MIN(BU$38,$E84),$P$20))-SUM($BF84:BT84))</f>
        <v>0</v>
      </c>
      <c r="BV84" s="446">
        <f>IF($E84=0,0,IF(MIN(BV$38,$E84)&lt;MAX($P$34*($B84+$I$38-1),IF(AND($L$37=0,$P$34=0),"",$L$37-1)),0,YEARFRAC(MAX($P$34*($B84+$I$38-1),IF(AND($L$37=0,$P$34=0),"",$L$37-1)),MIN(BV$38,$E84),$P$20))-SUM($BF84:BU84))</f>
        <v>0</v>
      </c>
      <c r="BW84" s="446">
        <f>IF($E84=0,0,IF(MIN(BW$38,$E84)&lt;MAX($P$34*($B84+$I$38-1),IF(AND($L$37=0,$P$34=0),"",$L$37-1)),0,YEARFRAC(MAX($P$34*($B84+$I$38-1),IF(AND($L$37=0,$P$34=0),"",$L$37-1)),MIN(BW$38,$E84),$P$20))-SUM($BF84:BV84))</f>
        <v>0</v>
      </c>
      <c r="BX84" s="446">
        <f>IF($E84=0,0,IF(MIN(BX$38,$E84)&lt;MAX($P$34*($B84+$I$38-1),IF(AND($L$37=0,$P$34=0),"",$L$37-1)),0,YEARFRAC(MAX($P$34*($B84+$I$38-1),IF(AND($L$37=0,$P$34=0),"",$L$37-1)),MIN(BX$38,$E84),$P$20))-SUM($BF84:BW84))</f>
        <v>0</v>
      </c>
      <c r="BY84" s="446">
        <f>IF($E84=0,0,IF(MIN(BY$38,$E84)&lt;MAX($P$34*($B84+$I$38-1),IF(AND($L$37=0,$P$34=0),"",$L$37-1)),0,YEARFRAC(MAX($P$34*($B84+$I$38-1),IF(AND($L$37=0,$P$34=0),"",$L$37-1)),MIN(BY$38,$E84),$P$20))-SUM($BF84:BX84))</f>
        <v>0</v>
      </c>
      <c r="BZ84" s="446">
        <f>IF($E84=0,0,IF(MIN(BZ$38,$E84)&lt;MAX($P$34*($B84+$I$38-1),IF(AND($L$37=0,$P$34=0),"",$L$37-1)),0,YEARFRAC(MAX($P$34*($B84+$I$38-1),IF(AND($L$37=0,$P$34=0),"",$L$37-1)),MIN(BZ$38,$E84),$P$20))-SUM($BF84:BY84))</f>
        <v>0</v>
      </c>
      <c r="CA84" s="446">
        <f>IF($E84=0,0,IF(MIN(CA$38,$E84)&lt;MAX($P$34*($B84+$I$38-1),IF(AND($L$37=0,$P$34=0),"",$L$37-1)),0,YEARFRAC(MAX($P$34*($B84+$I$38-1),IF(AND($L$37=0,$P$34=0),"",$L$37-1)),MIN(CA$38,$E84),$P$20))-SUM($BF84:BZ84))</f>
        <v>0</v>
      </c>
      <c r="CB84" s="446">
        <f>IF($E84=0,0,IF(MIN(CB$38,$E84)&lt;MAX($P$34*($B84+$I$38-1),IF(AND($L$37=0,$P$34=0),"",$L$37-1)),0,YEARFRAC(MAX($P$34*($B84+$I$38-1),IF(AND($L$37=0,$P$34=0),"",$L$37-1)),MIN(CB$38,$E84),$P$20))-SUM($BF84:CA84))</f>
        <v>0</v>
      </c>
      <c r="CC84" s="446">
        <f>IF($E84=0,0,IF(MIN(CC$38,$E84)&lt;MAX($P$34*($B84+$I$38-1),IF(AND($L$37=0,$P$34=0),"",$L$37-1)),0,YEARFRAC(MAX($P$34*($B84+$I$38-1),IF(AND($L$37=0,$P$34=0),"",$L$37-1)),MIN(CC$38,$E84),$P$20))-SUM($BF84:CB84))</f>
        <v>0</v>
      </c>
      <c r="CD84" s="446">
        <f>IF($E84=0,0,IF(MIN(CD$38,$E84)&lt;MAX($P$34*($B84+$I$38-1),IF(AND($L$37=0,$P$34=0),"",$L$37-1)),0,YEARFRAC(MAX($P$34*($B84+$I$38-1),IF(AND($L$37=0,$P$34=0),"",$L$37-1)),MIN(CD$38,$E84),$P$20))-SUM($BF84:CC84))</f>
        <v>0</v>
      </c>
      <c r="CE84" s="446">
        <f>IF($E84=0,0,IF(MIN(CE$38,$E84)&lt;MAX($P$34*($B84+$I$38-1),IF(AND($L$37=0,$P$34=0),"",$L$37-1)),0,YEARFRAC(MAX($P$34*($B84+$I$38-1),IF(AND($L$37=0,$P$34=0),"",$L$37-1)),MIN(CE$38,$E84),$P$20))-SUM($BF84:CD84))</f>
        <v>0</v>
      </c>
      <c r="CF84" s="446">
        <f>IF($E84=0,0,IF(MIN(CF$38,$E84)&lt;MAX($P$34*($B84+$I$38-1),IF(AND($L$37=0,$P$34=0),"",$L$37-1)),0,YEARFRAC(MAX($P$34*($B84+$I$38-1),IF(AND($L$37=0,$P$34=0),"",$L$37-1)),MIN(CF$38,$E84),$P$20))-SUM($BF84:CE84))</f>
        <v>0</v>
      </c>
      <c r="CG84" s="446">
        <f>IF($E84=0,0,IF(MIN(CG$38,$E84)&lt;MAX($P$34*($B84+$I$38-1),IF(AND($L$37=0,$P$34=0),"",$L$37-1)),0,YEARFRAC(MAX($P$34*($B84+$I$38-1),IF(AND($L$37=0,$P$34=0),"",$L$37-1)),MIN(CG$38,$E84),$P$20))-SUM($BF84:CF84))</f>
        <v>0</v>
      </c>
      <c r="CH84" s="446">
        <f>IF($E84=0,0,IF(MIN(CH$38,$E84)&lt;MAX($P$34*($B84+$I$38-1),IF(AND($L$37=0,$P$34=0),"",$L$37-1)),0,YEARFRAC(MAX($P$34*($B84+$I$38-1),IF(AND($L$37=0,$P$34=0),"",$L$37-1)),MIN(CH$38,$E84),$P$20))-SUM($BF84:CG84))</f>
        <v>0</v>
      </c>
      <c r="CI84" s="446">
        <f>IF($E84=0,0,IF(MIN(CI$38,$E84)&lt;MAX($P$34*($B84+$I$38-1),IF(AND($L$37=0,$P$34=0),"",$L$37-1)),0,YEARFRAC(MAX($P$34*($B84+$I$38-1),IF(AND($L$37=0,$P$34=0),"",$L$37-1)),MIN(CI$38,$E84),$P$20))-SUM($BF84:CH84))</f>
        <v>0</v>
      </c>
      <c r="CJ84" s="446">
        <f>IF($E84=0,0,IF(MIN(CJ$38,$E84)&lt;MAX($P$34*($B84+$I$38-1),IF(AND($L$37=0,$P$34=0),"",$L$37-1)),0,YEARFRAC(MAX($P$34*($B84+$I$38-1),IF(AND($L$37=0,$P$34=0),"",$L$37-1)),MIN(CJ$38,$E84),$P$20))-SUM($BF84:CI84))</f>
        <v>0</v>
      </c>
      <c r="CK84" s="446">
        <f>IF($E84=0,0,IF(MIN(CK$38,$E84)&lt;MAX($P$34*($B84+$I$38-1),IF(AND($L$37=0,$P$34=0),"",$L$37-1)),0,YEARFRAC(MAX($P$34*($B84+$I$38-1),IF(AND($L$37=0,$P$34=0),"",$L$37-1)),MIN(CK$38,$E84),$P$20))-SUM($BF84:CJ84))</f>
        <v>0</v>
      </c>
      <c r="CL84" s="446">
        <f>IF($E84=0,0,IF(MIN(CL$38,$E84)&lt;MAX($P$34*($B84+$I$38-1),IF(AND($L$37=0,$P$34=0),"",$L$37-1)),0,YEARFRAC(MAX($P$34*($B84+$I$38-1),IF(AND($L$37=0,$P$34=0),"",$L$37-1)),MIN(CL$38,$E84),$P$20))-SUM($BF84:CK84))</f>
        <v>0</v>
      </c>
      <c r="CM84" s="446">
        <f>IF($E84=0,0,IF(MIN(CM$38,$E84)&lt;MAX($P$34*($B84+$I$38-1),IF(AND($L$37=0,$P$34=0),"",$L$37-1)),0,YEARFRAC(MAX($P$34*($B84+$I$38-1),IF(AND($L$37=0,$P$34=0),"",$L$37-1)),MIN(CM$38,$E84),$P$20))-SUM($BF84:CL84))</f>
        <v>0</v>
      </c>
      <c r="CN84" s="446">
        <f>IF($E84=0,0,IF(MIN(CN$38,$E84)&lt;MAX($P$34*($B84+$I$38-1),IF(AND($L$37=0,$P$34=0),"",$L$37-1)),0,YEARFRAC(MAX($P$34*($B84+$I$38-1),IF(AND($L$37=0,$P$34=0),"",$L$37-1)),MIN(CN$38,$E84),$P$20))-SUM($BF84:CM84))</f>
        <v>0</v>
      </c>
      <c r="CO84" s="446">
        <f>IF($E84=0,0,IF(MIN(CO$38,$E84)&lt;MAX($P$34*($B84+$I$38-1),IF(AND($L$37=0,$P$34=0),"",$L$37-1)),0,YEARFRAC(MAX($P$34*($B84+$I$38-1),IF(AND($L$37=0,$P$34=0),"",$L$37-1)),MIN(CO$38,$E84),$P$20))-SUM($BF84:CN84))</f>
        <v>0</v>
      </c>
      <c r="CP84" s="446">
        <f>IF($E84=0,0,IF(MIN(CP$38,$E84)&lt;MAX($P$34*($B84+$I$38-1),IF(AND($L$37=0,$P$34=0),"",$L$37-1)),0,YEARFRAC(MAX($P$34*($B84+$I$38-1),IF(AND($L$37=0,$P$34=0),"",$L$37-1)),MIN(CP$38,$E84),$P$20))-SUM($BF84:CO84))</f>
        <v>0</v>
      </c>
      <c r="CQ84" s="446">
        <f>IF($E84=0,0,IF(MIN(CQ$38,$E84)&lt;MAX($P$34*($B84+$I$38-1),IF(AND($L$37=0,$P$34=0),"",$L$37-1)),0,YEARFRAC(MAX($P$34*($B84+$I$38-1),IF(AND($L$37=0,$P$34=0),"",$L$37-1)),MIN(CQ$38,$E84),$P$20))-SUM($BF84:CP84))</f>
        <v>0</v>
      </c>
    </row>
    <row r="85" spans="1:95" s="446" customFormat="1" ht="11.25" hidden="1" customHeight="1" x14ac:dyDescent="0.2">
      <c r="A85" s="152"/>
      <c r="B85" s="153" t="str">
        <f t="shared" si="15"/>
        <v/>
      </c>
      <c r="C85" s="29" t="str">
        <f>IF(B85="","",IF($L$35="SELIC - TRIBUTOS",VLOOKUP(DATE(YEAR($D$19),MONTH($D$19)-1,1),ÍNDICES!$A:$DE,HLOOKUP($BL$25,ÍNDICES!$B$3:$T$4,2)+11)-VLOOKUP(B85,ÍNDICES!$A:$DE,HLOOKUP($BL$25,ÍNDICES!$B$3:$T$4,2)+11)+1%,IF(C$38=$W$26,$J$35,IF(ISERROR(IF(B85&gt;$D$19,1,VLOOKUP(DATE(YEAR(B85),MONTH(B85)+IF($C$35=$S$23,1,0),1),ÍNDICES!$A:$DE,$Z$35+1))),"",IF(B85&gt;$D$19,1,VLOOKUP(DATE(YEAR(B85),MONTH(B85)+IF($C$35=$S$23,1,0),1),ÍNDICES!$A:$DE,$Z$35+1))))))</f>
        <v/>
      </c>
      <c r="D85" s="154" t="str">
        <f>IF(ISERROR(IF(OR($D$38=$Y$27,$B85=""),"",VLOOKUP(B85,ÍNDICES!A:DE,AF$35+1))),"",IF(OR($D$38=$Y$27,$B85=""),"",VLOOKUP(B85,ÍNDICES!A:DE,AF$35+1)))</f>
        <v/>
      </c>
      <c r="E85" s="153"/>
      <c r="F85" s="29" t="str">
        <f>IF(E85="","",IF($L$35="SELIC - TRIBUTOS",VLOOKUP(DATE(YEAR($D$19),MONTH($D$19)-1,1),ÍNDICES!$A:$DE,HLOOKUP($BL$25,ÍNDICES!$B$3:$T$4,2)+11)-VLOOKUP(E85,ÍNDICES!$A:$DE,HLOOKUP($BL$25,ÍNDICES!$B$3:$T$4,2)+11)+1%,IF(F$38=$W$26,$J$35,IF(ISERROR(IF(E85&gt;$D$19,1,VLOOKUP(DATE(YEAR(E85),MONTH(E85)+IF($C$35=$S$23,1,0),1),ÍNDICES!$A:$DE,$Z$35+1))),"",IF(E85&gt;$D$19,1,VLOOKUP(DATE(YEAR(E85),MONTH(E85)+IF($C$35=$S$23,1,0),1),ÍNDICES!$A:$DE,$Z$35+1))))))</f>
        <v/>
      </c>
      <c r="G85" s="155"/>
      <c r="H85" s="156" t="str">
        <f t="shared" si="11"/>
        <v/>
      </c>
      <c r="I85" s="29" t="str">
        <f t="shared" si="5"/>
        <v/>
      </c>
      <c r="J85" s="5">
        <f t="shared" si="6"/>
        <v>0</v>
      </c>
      <c r="K85" s="20">
        <f t="shared" ca="1" si="7"/>
        <v>0</v>
      </c>
      <c r="L85" s="5">
        <f t="shared" ca="1" si="8"/>
        <v>0</v>
      </c>
      <c r="M85" s="64">
        <f t="shared" si="12"/>
        <v>0</v>
      </c>
      <c r="N85" s="61">
        <f t="shared" ca="1" si="13"/>
        <v>0</v>
      </c>
      <c r="O85" s="5">
        <f t="shared" ca="1" si="14"/>
        <v>0</v>
      </c>
      <c r="P85" s="446" t="e">
        <f t="shared" si="9"/>
        <v>#VALUE!</v>
      </c>
      <c r="Q85" s="446" t="e">
        <f>IF(OR($B85="",MIN(Q$38,$D$19)&lt;MAX($P$34*($B85+IF($R$17="Distrato",$I$38-1,0)),IF(AND($L$37=0,$P$34=0),"",$L$37-1),IF($R$17="Distrato",$E85,0))),0,YEARFRAC(MAX($P$34*($B85+IF($R$17="Distrato",$I$38-1,0)),IF(AND($L$37=0,$P$34=0),"",$L$37-1),IF($R$17="Distrato",$E85,0)),MIN(Q$38,$D$19),$P$20))-SUM($P85:P85)</f>
        <v>#VALUE!</v>
      </c>
      <c r="R85" s="446" t="e">
        <f>IF(OR($B85="",MIN(R$38,$D$19)&lt;MAX($P$34*($B85+IF($R$17="Distrato",$I$38-1,0)),IF(AND($L$37=0,$P$34=0),"",$L$37-1),IF($R$17="Distrato",$E85,0))),0,YEARFRAC(MAX($P$34*($B85+IF($R$17="Distrato",$I$38-1,0)),IF(AND($L$37=0,$P$34=0),"",$L$37-1),IF($R$17="Distrato",$E85,0)),MIN(R$38,$D$19),$P$20))-SUM($P85:Q85)</f>
        <v>#VALUE!</v>
      </c>
      <c r="S85" s="446" t="e">
        <f>IF(OR($B85="",MIN(S$38,$D$19)&lt;MAX($P$34*($B85+IF($R$17="Distrato",$I$38-1,0)),IF(AND($L$37=0,$P$34=0),"",$L$37-1),IF($R$17="Distrato",$E85,0))),0,YEARFRAC(MAX($P$34*($B85+IF($R$17="Distrato",$I$38-1,0)),IF(AND($L$37=0,$P$34=0),"",$L$37-1),IF($R$17="Distrato",$E85,0)),MIN(S$38,$D$19),$P$20))-SUM($P85:R85)</f>
        <v>#VALUE!</v>
      </c>
      <c r="T85" s="446" t="e">
        <f>IF(OR($B85="",MIN(T$38,$D$19)&lt;MAX($P$34*($B85+IF($R$17="Distrato",$I$38-1,0)),IF(AND($L$37=0,$P$34=0),"",$L$37-1),IF($R$17="Distrato",$E85,0))),0,YEARFRAC(MAX($P$34*($B85+IF($R$17="Distrato",$I$38-1,0)),IF(AND($L$37=0,$P$34=0),"",$L$37-1),IF($R$17="Distrato",$E85,0)),MIN(T$38,$D$19),$P$20))-SUM($P85:S85)</f>
        <v>#VALUE!</v>
      </c>
      <c r="U85" s="446" t="e">
        <f>IF(OR($B85="",MIN(U$38,$D$19)&lt;MAX($P$34*($B85+IF($R$17="Distrato",$I$38-1,0)),IF(AND($L$37=0,$P$34=0),"",$L$37-1),IF($R$17="Distrato",$E85,0))),0,YEARFRAC(MAX($P$34*($B85+IF($R$17="Distrato",$I$38-1,0)),IF(AND($L$37=0,$P$34=0),"",$L$37-1),IF($R$17="Distrato",$E85,0)),MIN(U$38,$D$19),$P$20))-SUM($P85:T85)</f>
        <v>#VALUE!</v>
      </c>
      <c r="V85" s="446" t="e">
        <f>IF(OR($B85="",MIN(V$38,$D$19)&lt;MAX($P$34*($B85+IF($R$17="Distrato",$I$38-1,0)),IF(AND($L$37=0,$P$34=0),"",$L$37-1),IF($R$17="Distrato",$E85,0))),0,YEARFRAC(MAX($P$34*($B85+IF($R$17="Distrato",$I$38-1,0)),IF(AND($L$37=0,$P$34=0),"",$L$37-1),IF($R$17="Distrato",$E85,0)),MIN(V$38,$D$19),$P$20))-SUM($P85:U85)</f>
        <v>#VALUE!</v>
      </c>
      <c r="W85" s="446" t="e">
        <f>IF(OR($B85="",MIN(W$38,$D$19)&lt;MAX($P$34*($B85+IF($R$17="Distrato",$I$38-1,0)),IF(AND($L$37=0,$P$34=0),"",$L$37-1),IF($R$17="Distrato",$E85,0))),0,YEARFRAC(MAX($P$34*($B85+IF($R$17="Distrato",$I$38-1,0)),IF(AND($L$37=0,$P$34=0),"",$L$37-1),IF($R$17="Distrato",$E85,0)),MIN(W$38,$D$19),$P$20))-SUM($P85:V85)</f>
        <v>#VALUE!</v>
      </c>
      <c r="X85" s="446" t="e">
        <f>IF(OR($B85="",MIN(X$38,$D$19)&lt;MAX($P$34*($B85+IF($R$17="Distrato",$I$38-1,0)),IF(AND($L$37=0,$P$34=0),"",$L$37-1),IF($R$17="Distrato",$E85,0))),0,YEARFRAC(MAX($P$34*($B85+IF($R$17="Distrato",$I$38-1,0)),IF(AND($L$37=0,$P$34=0),"",$L$37-1),IF($R$17="Distrato",$E85,0)),MIN(X$38,$D$19),$P$20))-SUM($P85:W85)</f>
        <v>#VALUE!</v>
      </c>
      <c r="Y85" s="446" t="e">
        <f>IF(OR($B85="",MIN(Y$38,$D$19)&lt;MAX($P$34*($B85+IF($R$17="Distrato",$I$38-1,0)),IF(AND($L$37=0,$P$34=0),"",$L$37-1),IF($R$17="Distrato",$E85,0))),0,YEARFRAC(MAX($P$34*($B85+IF($R$17="Distrato",$I$38-1,0)),IF(AND($L$37=0,$P$34=0),"",$L$37-1),IF($R$17="Distrato",$E85,0)),MIN(Y$38,$D$19),$P$20))-SUM($P85:X85)</f>
        <v>#VALUE!</v>
      </c>
      <c r="Z85" s="446" t="e">
        <f>IF(OR($B85="",MIN(Z$38,$D$19)&lt;MAX($P$34*($B85+IF($R$17="Distrato",$I$38-1,0)),IF(AND($L$37=0,$P$34=0),"",$L$37-1),IF($R$17="Distrato",$E85,0))),0,YEARFRAC(MAX($P$34*($B85+IF($R$17="Distrato",$I$38-1,0)),IF(AND($L$37=0,$P$34=0),"",$L$37-1),IF($R$17="Distrato",$E85,0)),MIN(Z$38,$D$19),$P$20))-SUM($P85:Y85)</f>
        <v>#VALUE!</v>
      </c>
      <c r="AA85" s="446" t="e">
        <f>IF(OR($B85="",MIN(AA$38,$D$19)&lt;MAX($P$34*($B85+IF($R$17="Distrato",$I$38-1,0)),IF(AND($L$37=0,$P$34=0),"",$L$37-1),IF($R$17="Distrato",$E85,0))),0,YEARFRAC(MAX($P$34*($B85+IF($R$17="Distrato",$I$38-1,0)),IF(AND($L$37=0,$P$34=0),"",$L$37-1),IF($R$17="Distrato",$E85,0)),MIN(AA$38,$D$19),$P$20))-SUM($P85:Z85)</f>
        <v>#VALUE!</v>
      </c>
      <c r="AB85" s="446" t="e">
        <f>IF(OR($B85="",MIN(AB$38,$D$19)&lt;MAX($P$34*($B85+IF($R$17="Distrato",$I$38-1,0)),IF(AND($L$37=0,$P$34=0),"",$L$37-1),IF($R$17="Distrato",$E85,0))),0,YEARFRAC(MAX($P$34*($B85+IF($R$17="Distrato",$I$38-1,0)),IF(AND($L$37=0,$P$34=0),"",$L$37-1),IF($R$17="Distrato",$E85,0)),MIN(AB$38,$D$19),$P$20))-SUM($P85:AA85)</f>
        <v>#VALUE!</v>
      </c>
      <c r="AC85" s="446" t="e">
        <f>IF(OR($B85="",MIN(AC$38,$D$19)&lt;MAX($P$34*($B85+IF($R$17="Distrato",$I$38-1,0)),IF(AND($L$37=0,$P$34=0),"",$L$37-1),IF($R$17="Distrato",$E85,0))),0,YEARFRAC(MAX($P$34*($B85+IF($R$17="Distrato",$I$38-1,0)),IF(AND($L$37=0,$P$34=0),"",$L$37-1),IF($R$17="Distrato",$E85,0)),MIN(AC$38,$D$19),$P$20))-SUM($P85:AB85)</f>
        <v>#VALUE!</v>
      </c>
      <c r="AD85" s="446" t="e">
        <f>IF(OR($B85="",MIN(AD$38,$D$19)&lt;MAX($P$34*($B85+IF($R$17="Distrato",$I$38-1,0)),IF(AND($L$37=0,$P$34=0),"",$L$37-1),IF($R$17="Distrato",$E85,0))),0,YEARFRAC(MAX($P$34*($B85+IF($R$17="Distrato",$I$38-1,0)),IF(AND($L$37=0,$P$34=0),"",$L$37-1),IF($R$17="Distrato",$E85,0)),MIN(AD$38,$D$19),$P$20))-SUM($P85:AC85)</f>
        <v>#VALUE!</v>
      </c>
      <c r="AE85" s="446" t="e">
        <f>IF(OR($B85="",MIN(AE$38,$D$19)&lt;MAX($P$34*($B85+IF($R$17="Distrato",$I$38-1,0)),IF(AND($L$37=0,$P$34=0),"",$L$37-1),IF($R$17="Distrato",$E85,0))),0,YEARFRAC(MAX($P$34*($B85+IF($R$17="Distrato",$I$38-1,0)),IF(AND($L$37=0,$P$34=0),"",$L$37-1),IF($R$17="Distrato",$E85,0)),MIN(AE$38,$D$19),$P$20))-SUM($P85:AD85)</f>
        <v>#VALUE!</v>
      </c>
      <c r="AF85" s="446" t="e">
        <f>IF(OR($B85="",MIN(AF$38,$D$19)&lt;MAX($P$34*($B85+IF($R$17="Distrato",$I$38-1,0)),IF(AND($L$37=0,$P$34=0),"",$L$37-1),IF($R$17="Distrato",$E85,0))),0,YEARFRAC(MAX($P$34*($B85+IF($R$17="Distrato",$I$38-1,0)),IF(AND($L$37=0,$P$34=0),"",$L$37-1),IF($R$17="Distrato",$E85,0)),MIN(AF$38,$D$19),$P$20))-SUM($P85:AE85)</f>
        <v>#VALUE!</v>
      </c>
      <c r="AG85" s="446" t="e">
        <f>IF(OR($B85="",MIN(AG$38,$D$19)&lt;MAX($P$34*($B85+IF($R$17="Distrato",$I$38-1,0)),IF(AND($L$37=0,$P$34=0),"",$L$37-1),IF($R$17="Distrato",$E85,0))),0,YEARFRAC(MAX($P$34*($B85+IF($R$17="Distrato",$I$38-1,0)),IF(AND($L$37=0,$P$34=0),"",$L$37-1),IF($R$17="Distrato",$E85,0)),MIN(AG$38,$D$19),$P$20))-SUM($P85:AF85)</f>
        <v>#VALUE!</v>
      </c>
      <c r="AH85" s="446" t="e">
        <f>IF(OR($B85="",MIN(AH$38,$D$19)&lt;MAX($P$34*($B85+IF($R$17="Distrato",$I$38-1,0)),IF(AND($L$37=0,$P$34=0),"",$L$37-1),IF($R$17="Distrato",$E85,0))),0,YEARFRAC(MAX($P$34*($B85+IF($R$17="Distrato",$I$38-1,0)),IF(AND($L$37=0,$P$34=0),"",$L$37-1),IF($R$17="Distrato",$E85,0)),MIN(AH$38,$D$19),$P$20))-SUM($P85:AG85)</f>
        <v>#VALUE!</v>
      </c>
      <c r="AI85" s="446" t="e">
        <f>IF(OR($B85="",MIN(AI$38,$D$19)&lt;MAX($P$34*($B85+IF($R$17="Distrato",$I$38-1,0)),IF(AND($L$37=0,$P$34=0),"",$L$37-1),IF($R$17="Distrato",$E85,0))),0,YEARFRAC(MAX($P$34*($B85+IF($R$17="Distrato",$I$38-1,0)),IF(AND($L$37=0,$P$34=0),"",$L$37-1),IF($R$17="Distrato",$E85,0)),MIN(AI$38,$D$19),$P$20))-SUM($P85:AH85)</f>
        <v>#VALUE!</v>
      </c>
      <c r="AJ85" s="446" t="e">
        <f>IF(OR($B85="",MIN(AJ$38,$D$19)&lt;MAX($P$34*($B85+IF($R$17="Distrato",$I$38-1,0)),IF(AND($L$37=0,$P$34=0),"",$L$37-1),IF($R$17="Distrato",$E85,0))),0,YEARFRAC(MAX($P$34*($B85+IF($R$17="Distrato",$I$38-1,0)),IF(AND($L$37=0,$P$34=0),"",$L$37-1),IF($R$17="Distrato",$E85,0)),MIN(AJ$38,$D$19),$P$20))-SUM($P85:AI85)</f>
        <v>#VALUE!</v>
      </c>
      <c r="AK85" s="446" t="e">
        <f>IF(OR($B85="",MIN(AK$38,$D$19)&lt;MAX($P$34*($B85+IF($R$17="Distrato",$I$38-1,0)),IF(AND($L$37=0,$P$34=0),"",$L$37-1),IF($R$17="Distrato",$E85,0))),0,YEARFRAC(MAX($P$34*($B85+IF($R$17="Distrato",$I$38-1,0)),IF(AND($L$37=0,$P$34=0),"",$L$37-1),IF($R$17="Distrato",$E85,0)),MIN(AK$38,$D$19),$P$20))-SUM($P85:AJ85)</f>
        <v>#VALUE!</v>
      </c>
      <c r="AL85" s="446" t="e">
        <f>IF(OR($B85="",MIN(AL$38,$D$19)&lt;MAX($P$34*($B85+IF($R$17="Distrato",$I$38-1,0)),IF(AND($L$37=0,$P$34=0),"",$L$37-1),IF($R$17="Distrato",$E85,0))),0,YEARFRAC(MAX($P$34*($B85+IF($R$17="Distrato",$I$38-1,0)),IF(AND($L$37=0,$P$34=0),"",$L$37-1),IF($R$17="Distrato",$E85,0)),MIN(AL$38,$D$19),$P$20))-SUM($P85:AK85)</f>
        <v>#VALUE!</v>
      </c>
      <c r="AM85" s="446" t="e">
        <f>IF(OR($B85="",MIN(AM$38,$D$19)&lt;MAX($P$34*($B85+IF($R$17="Distrato",$I$38-1,0)),IF(AND($L$37=0,$P$34=0),"",$L$37-1),IF($R$17="Distrato",$E85,0))),0,YEARFRAC(MAX($P$34*($B85+IF($R$17="Distrato",$I$38-1,0)),IF(AND($L$37=0,$P$34=0),"",$L$37-1),IF($R$17="Distrato",$E85,0)),MIN(AM$38,$D$19),$P$20))-SUM($P85:AL85)</f>
        <v>#VALUE!</v>
      </c>
      <c r="AN85" s="446" t="e">
        <f>IF(OR($B85="",MIN(AN$38,$D$19)&lt;MAX($P$34*($B85+IF($R$17="Distrato",$I$38-1,0)),IF(AND($L$37=0,$P$34=0),"",$L$37-1),IF($R$17="Distrato",$E85,0))),0,YEARFRAC(MAX($P$34*($B85+IF($R$17="Distrato",$I$38-1,0)),IF(AND($L$37=0,$P$34=0),"",$L$37-1),IF($R$17="Distrato",$E85,0)),MIN(AN$38,$D$19),$P$20))-SUM($P85:AM85)</f>
        <v>#VALUE!</v>
      </c>
      <c r="AO85" s="446" t="e">
        <f>IF(OR($B85="",MIN(AO$38,$D$19)&lt;MAX($P$34*($B85+IF($R$17="Distrato",$I$38-1,0)),IF(AND($L$37=0,$P$34=0),"",$L$37-1),IF($R$17="Distrato",$E85,0))),0,YEARFRAC(MAX($P$34*($B85+IF($R$17="Distrato",$I$38-1,0)),IF(AND($L$37=0,$P$34=0),"",$L$37-1),IF($R$17="Distrato",$E85,0)),MIN(AO$38,$D$19),$P$20))-SUM($P85:AN85)</f>
        <v>#VALUE!</v>
      </c>
      <c r="AP85" s="446" t="e">
        <f>IF(OR($B85="",MIN(AP$38,$D$19)&lt;MAX($P$34*($B85+IF($R$17="Distrato",$I$38-1,0)),IF(AND($L$37=0,$P$34=0),"",$L$37-1),IF($R$17="Distrato",$E85,0))),0,YEARFRAC(MAX($P$34*($B85+IF($R$17="Distrato",$I$38-1,0)),IF(AND($L$37=0,$P$34=0),"",$L$37-1),IF($R$17="Distrato",$E85,0)),MIN(AP$38,$D$19),$P$20))-SUM($P85:AO85)</f>
        <v>#VALUE!</v>
      </c>
      <c r="AQ85" s="446" t="e">
        <f>IF(OR($B85="",MIN(AQ$38,$D$19)&lt;MAX($P$34*($B85+IF($R$17="Distrato",$I$38-1,0)),IF(AND($L$37=0,$P$34=0),"",$L$37-1),IF($R$17="Distrato",$E85,0))),0,YEARFRAC(MAX($P$34*($B85+IF($R$17="Distrato",$I$38-1,0)),IF(AND($L$37=0,$P$34=0),"",$L$37-1),IF($R$17="Distrato",$E85,0)),MIN(AQ$38,$D$19),$P$20))-SUM($P85:AP85)</f>
        <v>#VALUE!</v>
      </c>
      <c r="AR85" s="446" t="e">
        <f>IF(OR($B85="",MIN(AR$38,$D$19)&lt;MAX($P$34*($B85+IF($R$17="Distrato",$I$38-1,0)),IF(AND($L$37=0,$P$34=0),"",$L$37-1),IF($R$17="Distrato",$E85,0))),0,YEARFRAC(MAX($P$34*($B85+IF($R$17="Distrato",$I$38-1,0)),IF(AND($L$37=0,$P$34=0),"",$L$37-1),IF($R$17="Distrato",$E85,0)),MIN(AR$38,$D$19),$P$20))-SUM($P85:AQ85)</f>
        <v>#VALUE!</v>
      </c>
      <c r="AS85" s="446" t="e">
        <f>IF(OR($B85="",MIN(AS$38,$D$19)&lt;MAX($P$34*($B85+IF($R$17="Distrato",$I$38-1,0)),IF(AND($L$37=0,$P$34=0),"",$L$37-1),IF($R$17="Distrato",$E85,0))),0,YEARFRAC(MAX($P$34*($B85+IF($R$17="Distrato",$I$38-1,0)),IF(AND($L$37=0,$P$34=0),"",$L$37-1),IF($R$17="Distrato",$E85,0)),MIN(AS$38,$D$19),$P$20))-SUM($P85:AR85)</f>
        <v>#VALUE!</v>
      </c>
      <c r="AT85" s="446" t="e">
        <f>IF(OR($B85="",MIN(AT$38,$D$19)&lt;MAX($P$34*($B85+IF($R$17="Distrato",$I$38-1,0)),IF(AND($L$37=0,$P$34=0),"",$L$37-1),IF($R$17="Distrato",$E85,0))),0,YEARFRAC(MAX($P$34*($B85+IF($R$17="Distrato",$I$38-1,0)),IF(AND($L$37=0,$P$34=0),"",$L$37-1),IF($R$17="Distrato",$E85,0)),MIN(AT$38,$D$19),$P$20))-SUM($P85:AS85)</f>
        <v>#VALUE!</v>
      </c>
      <c r="AU85" s="446" t="e">
        <f>IF(OR($B85="",MIN(AU$38,$D$19)&lt;MAX($P$34*($B85+IF($R$17="Distrato",$I$38-1,0)),IF(AND($L$37=0,$P$34=0),"",$L$37-1),IF($R$17="Distrato",$E85,0))),0,YEARFRAC(MAX($P$34*($B85+IF($R$17="Distrato",$I$38-1,0)),IF(AND($L$37=0,$P$34=0),"",$L$37-1),IF($R$17="Distrato",$E85,0)),MIN(AU$38,$D$19),$P$20))-SUM($P85:AT85)</f>
        <v>#VALUE!</v>
      </c>
      <c r="AV85" s="446" t="e">
        <f>IF(OR($B85="",MIN(AV$38,$D$19)&lt;MAX($P$34*($B85+IF($R$17="Distrato",$I$38-1,0)),IF(AND($L$37=0,$P$34=0),"",$L$37-1),IF($R$17="Distrato",$E85,0))),0,YEARFRAC(MAX($P$34*($B85+IF($R$17="Distrato",$I$38-1,0)),IF(AND($L$37=0,$P$34=0),"",$L$37-1),IF($R$17="Distrato",$E85,0)),MIN(AV$38,$D$19),$P$20))-SUM($P85:AU85)</f>
        <v>#VALUE!</v>
      </c>
      <c r="AW85" s="446" t="e">
        <f>IF(OR($B85="",MIN(AW$38,$D$19)&lt;MAX($P$34*($B85+IF($R$17="Distrato",$I$38-1,0)),IF(AND($L$37=0,$P$34=0),"",$L$37-1),IF($R$17="Distrato",$E85,0))),0,YEARFRAC(MAX($P$34*($B85+IF($R$17="Distrato",$I$38-1,0)),IF(AND($L$37=0,$P$34=0),"",$L$37-1),IF($R$17="Distrato",$E85,0)),MIN(AW$38,$D$19),$P$20))-SUM($P85:AV85)</f>
        <v>#VALUE!</v>
      </c>
      <c r="AX85" s="446" t="e">
        <f>IF(OR($B85="",MIN(AX$38,$D$19)&lt;MAX($P$34*($B85+IF($R$17="Distrato",$I$38-1,0)),IF(AND($L$37=0,$P$34=0),"",$L$37-1),IF($R$17="Distrato",$E85,0))),0,YEARFRAC(MAX($P$34*($B85+IF($R$17="Distrato",$I$38-1,0)),IF(AND($L$37=0,$P$34=0),"",$L$37-1),IF($R$17="Distrato",$E85,0)),MIN(AX$38,$D$19),$P$20))-SUM($P85:AW85)</f>
        <v>#VALUE!</v>
      </c>
      <c r="AY85" s="446" t="e">
        <f>IF(OR($B85="",MIN(AY$38,$D$19)&lt;MAX($P$34*($B85+IF($R$17="Distrato",$I$38-1,0)),IF(AND($L$37=0,$P$34=0),"",$L$37-1),IF($R$17="Distrato",$E85,0))),0,YEARFRAC(MAX($P$34*($B85+IF($R$17="Distrato",$I$38-1,0)),IF(AND($L$37=0,$P$34=0),"",$L$37-1),IF($R$17="Distrato",$E85,0)),MIN(AY$38,$D$19),$P$20))-SUM($P85:AX85)</f>
        <v>#VALUE!</v>
      </c>
      <c r="AZ85" s="446" t="e">
        <f>IF(OR($B85="",MIN(AZ$38,$D$19)&lt;MAX($P$34*($B85+IF($R$17="Distrato",$I$38-1,0)),IF(AND($L$37=0,$P$34=0),"",$L$37-1),IF($R$17="Distrato",$E85,0))),0,YEARFRAC(MAX($P$34*($B85+IF($R$17="Distrato",$I$38-1,0)),IF(AND($L$37=0,$P$34=0),"",$L$37-1),IF($R$17="Distrato",$E85,0)),MIN(AZ$38,$D$19),$P$20))-SUM($P85:AY85)</f>
        <v>#VALUE!</v>
      </c>
      <c r="BA85" s="446" t="e">
        <f>IF(OR($B85="",MIN(BA$38,$D$19)&lt;MAX($P$34*($B85+IF($R$17="Distrato",$I$38-1,0)),IF(AND($L$37=0,$P$34=0),"",$L$37-1),IF($R$17="Distrato",$E85,0))),0,YEARFRAC(MAX($P$34*($B85+IF($R$17="Distrato",$I$38-1,0)),IF(AND($L$37=0,$P$34=0),"",$L$37-1),IF($R$17="Distrato",$E85,0)),MIN(BA$38,$D$19),$P$20))-SUM($P85:AZ85)</f>
        <v>#VALUE!</v>
      </c>
      <c r="BB85" s="447"/>
      <c r="BF85" s="446">
        <f t="shared" si="10"/>
        <v>0</v>
      </c>
      <c r="BG85" s="446">
        <f>IF($E85=0,0,IF(MIN(BG$38,$E85)&lt;MAX($P$34*($B85+$I$38-1),IF(AND($L$37=0,$P$34=0),"",$L$37-1)),0,YEARFRAC(MAX($P$34*($B85+$I$38-1),IF(AND($L$37=0,$P$34=0),"",$L$37-1)),MIN(BG$38,$E85),$P$20))-SUM($BF85:BF85))</f>
        <v>0</v>
      </c>
      <c r="BH85" s="446">
        <f>IF($E85=0,0,IF(MIN(BH$38,$E85)&lt;MAX($P$34*($B85+$I$38-1),IF(AND($L$37=0,$P$34=0),"",$L$37-1)),0,YEARFRAC(MAX($P$34*($B85+$I$38-1),IF(AND($L$37=0,$P$34=0),"",$L$37-1)),MIN(BH$38,$E85),$P$20))-SUM($BF85:BG85))</f>
        <v>0</v>
      </c>
      <c r="BI85" s="446">
        <f>IF($E85=0,0,IF(MIN(BI$38,$E85)&lt;MAX($P$34*($B85+$I$38-1),IF(AND($L$37=0,$P$34=0),"",$L$37-1)),0,YEARFRAC(MAX($P$34*($B85+$I$38-1),IF(AND($L$37=0,$P$34=0),"",$L$37-1)),MIN(BI$38,$E85),$P$20))-SUM($BF85:BH85))</f>
        <v>0</v>
      </c>
      <c r="BJ85" s="446">
        <f>IF($E85=0,0,IF(MIN(BJ$38,$E85)&lt;MAX($P$34*($B85+$I$38-1),IF(AND($L$37=0,$P$34=0),"",$L$37-1)),0,YEARFRAC(MAX($P$34*($B85+$I$38-1),IF(AND($L$37=0,$P$34=0),"",$L$37-1)),MIN(BJ$38,$E85),$P$20))-SUM($BF85:BI85))</f>
        <v>0</v>
      </c>
      <c r="BK85" s="446">
        <f>IF($E85=0,0,IF(MIN(BK$38,$E85)&lt;MAX($P$34*($B85+$I$38-1),IF(AND($L$37=0,$P$34=0),"",$L$37-1)),0,YEARFRAC(MAX($P$34*($B85+$I$38-1),IF(AND($L$37=0,$P$34=0),"",$L$37-1)),MIN(BK$38,$E85),$P$20))-SUM($BF85:BJ85))</f>
        <v>0</v>
      </c>
      <c r="BL85" s="446">
        <f>IF($E85=0,0,IF(MIN(BL$38,$E85)&lt;MAX($P$34*($B85+$I$38-1),IF(AND($L$37=0,$P$34=0),"",$L$37-1)),0,YEARFRAC(MAX($P$34*($B85+$I$38-1),IF(AND($L$37=0,$P$34=0),"",$L$37-1)),MIN(BL$38,$E85),$P$20))-SUM($BF85:BK85))</f>
        <v>0</v>
      </c>
      <c r="BM85" s="446">
        <f>IF($E85=0,0,IF(MIN(BM$38,$E85)&lt;MAX($P$34*($B85+$I$38-1),IF(AND($L$37=0,$P$34=0),"",$L$37-1)),0,YEARFRAC(MAX($P$34*($B85+$I$38-1),IF(AND($L$37=0,$P$34=0),"",$L$37-1)),MIN(BM$38,$E85),$P$20))-SUM($BF85:BL85))</f>
        <v>0</v>
      </c>
      <c r="BN85" s="446">
        <f>IF($E85=0,0,IF(MIN(BN$38,$E85)&lt;MAX($P$34*($B85+$I$38-1),IF(AND($L$37=0,$P$34=0),"",$L$37-1)),0,YEARFRAC(MAX($P$34*($B85+$I$38-1),IF(AND($L$37=0,$P$34=0),"",$L$37-1)),MIN(BN$38,$E85),$P$20))-SUM($BF85:BM85))</f>
        <v>0</v>
      </c>
      <c r="BO85" s="446">
        <f>IF($E85=0,0,IF(MIN(BO$38,$E85)&lt;MAX($P$34*($B85+$I$38-1),IF(AND($L$37=0,$P$34=0),"",$L$37-1)),0,YEARFRAC(MAX($P$34*($B85+$I$38-1),IF(AND($L$37=0,$P$34=0),"",$L$37-1)),MIN(BO$38,$E85),$P$20))-SUM($BF85:BN85))</f>
        <v>0</v>
      </c>
      <c r="BP85" s="446">
        <f>IF($E85=0,0,IF(MIN(BP$38,$E85)&lt;MAX($P$34*($B85+$I$38-1),IF(AND($L$37=0,$P$34=0),"",$L$37-1)),0,YEARFRAC(MAX($P$34*($B85+$I$38-1),IF(AND($L$37=0,$P$34=0),"",$L$37-1)),MIN(BP$38,$E85),$P$20))-SUM($BF85:BO85))</f>
        <v>0</v>
      </c>
      <c r="BQ85" s="446">
        <f>IF($E85=0,0,IF(MIN(BQ$38,$E85)&lt;MAX($P$34*($B85+$I$38-1),IF(AND($L$37=0,$P$34=0),"",$L$37-1)),0,YEARFRAC(MAX($P$34*($B85+$I$38-1),IF(AND($L$37=0,$P$34=0),"",$L$37-1)),MIN(BQ$38,$E85),$P$20))-SUM($BF85:BP85))</f>
        <v>0</v>
      </c>
      <c r="BR85" s="446">
        <f>IF($E85=0,0,IF(MIN(BR$38,$E85)&lt;MAX($P$34*($B85+$I$38-1),IF(AND($L$37=0,$P$34=0),"",$L$37-1)),0,YEARFRAC(MAX($P$34*($B85+$I$38-1),IF(AND($L$37=0,$P$34=0),"",$L$37-1)),MIN(BR$38,$E85),$P$20))-SUM($BF85:BQ85))</f>
        <v>0</v>
      </c>
      <c r="BS85" s="446">
        <f>IF($E85=0,0,IF(MIN(BS$38,$E85)&lt;MAX($P$34*($B85+$I$38-1),IF(AND($L$37=0,$P$34=0),"",$L$37-1)),0,YEARFRAC(MAX($P$34*($B85+$I$38-1),IF(AND($L$37=0,$P$34=0),"",$L$37-1)),MIN(BS$38,$E85),$P$20))-SUM($BF85:BR85))</f>
        <v>0</v>
      </c>
      <c r="BT85" s="446">
        <f>IF($E85=0,0,IF(MIN(BT$38,$E85)&lt;MAX($P$34*($B85+$I$38-1),IF(AND($L$37=0,$P$34=0),"",$L$37-1)),0,YEARFRAC(MAX($P$34*($B85+$I$38-1),IF(AND($L$37=0,$P$34=0),"",$L$37-1)),MIN(BT$38,$E85),$P$20))-SUM($BF85:BS85))</f>
        <v>0</v>
      </c>
      <c r="BU85" s="446">
        <f>IF($E85=0,0,IF(MIN(BU$38,$E85)&lt;MAX($P$34*($B85+$I$38-1),IF(AND($L$37=0,$P$34=0),"",$L$37-1)),0,YEARFRAC(MAX($P$34*($B85+$I$38-1),IF(AND($L$37=0,$P$34=0),"",$L$37-1)),MIN(BU$38,$E85),$P$20))-SUM($BF85:BT85))</f>
        <v>0</v>
      </c>
      <c r="BV85" s="446">
        <f>IF($E85=0,0,IF(MIN(BV$38,$E85)&lt;MAX($P$34*($B85+$I$38-1),IF(AND($L$37=0,$P$34=0),"",$L$37-1)),0,YEARFRAC(MAX($P$34*($B85+$I$38-1),IF(AND($L$37=0,$P$34=0),"",$L$37-1)),MIN(BV$38,$E85),$P$20))-SUM($BF85:BU85))</f>
        <v>0</v>
      </c>
      <c r="BW85" s="446">
        <f>IF($E85=0,0,IF(MIN(BW$38,$E85)&lt;MAX($P$34*($B85+$I$38-1),IF(AND($L$37=0,$P$34=0),"",$L$37-1)),0,YEARFRAC(MAX($P$34*($B85+$I$38-1),IF(AND($L$37=0,$P$34=0),"",$L$37-1)),MIN(BW$38,$E85),$P$20))-SUM($BF85:BV85))</f>
        <v>0</v>
      </c>
      <c r="BX85" s="446">
        <f>IF($E85=0,0,IF(MIN(BX$38,$E85)&lt;MAX($P$34*($B85+$I$38-1),IF(AND($L$37=0,$P$34=0),"",$L$37-1)),0,YEARFRAC(MAX($P$34*($B85+$I$38-1),IF(AND($L$37=0,$P$34=0),"",$L$37-1)),MIN(BX$38,$E85),$P$20))-SUM($BF85:BW85))</f>
        <v>0</v>
      </c>
      <c r="BY85" s="446">
        <f>IF($E85=0,0,IF(MIN(BY$38,$E85)&lt;MAX($P$34*($B85+$I$38-1),IF(AND($L$37=0,$P$34=0),"",$L$37-1)),0,YEARFRAC(MAX($P$34*($B85+$I$38-1),IF(AND($L$37=0,$P$34=0),"",$L$37-1)),MIN(BY$38,$E85),$P$20))-SUM($BF85:BX85))</f>
        <v>0</v>
      </c>
      <c r="BZ85" s="446">
        <f>IF($E85=0,0,IF(MIN(BZ$38,$E85)&lt;MAX($P$34*($B85+$I$38-1),IF(AND($L$37=0,$P$34=0),"",$L$37-1)),0,YEARFRAC(MAX($P$34*($B85+$I$38-1),IF(AND($L$37=0,$P$34=0),"",$L$37-1)),MIN(BZ$38,$E85),$P$20))-SUM($BF85:BY85))</f>
        <v>0</v>
      </c>
      <c r="CA85" s="446">
        <f>IF($E85=0,0,IF(MIN(CA$38,$E85)&lt;MAX($P$34*($B85+$I$38-1),IF(AND($L$37=0,$P$34=0),"",$L$37-1)),0,YEARFRAC(MAX($P$34*($B85+$I$38-1),IF(AND($L$37=0,$P$34=0),"",$L$37-1)),MIN(CA$38,$E85),$P$20))-SUM($BF85:BZ85))</f>
        <v>0</v>
      </c>
      <c r="CB85" s="446">
        <f>IF($E85=0,0,IF(MIN(CB$38,$E85)&lt;MAX($P$34*($B85+$I$38-1),IF(AND($L$37=0,$P$34=0),"",$L$37-1)),0,YEARFRAC(MAX($P$34*($B85+$I$38-1),IF(AND($L$37=0,$P$34=0),"",$L$37-1)),MIN(CB$38,$E85),$P$20))-SUM($BF85:CA85))</f>
        <v>0</v>
      </c>
      <c r="CC85" s="446">
        <f>IF($E85=0,0,IF(MIN(CC$38,$E85)&lt;MAX($P$34*($B85+$I$38-1),IF(AND($L$37=0,$P$34=0),"",$L$37-1)),0,YEARFRAC(MAX($P$34*($B85+$I$38-1),IF(AND($L$37=0,$P$34=0),"",$L$37-1)),MIN(CC$38,$E85),$P$20))-SUM($BF85:CB85))</f>
        <v>0</v>
      </c>
      <c r="CD85" s="446">
        <f>IF($E85=0,0,IF(MIN(CD$38,$E85)&lt;MAX($P$34*($B85+$I$38-1),IF(AND($L$37=0,$P$34=0),"",$L$37-1)),0,YEARFRAC(MAX($P$34*($B85+$I$38-1),IF(AND($L$37=0,$P$34=0),"",$L$37-1)),MIN(CD$38,$E85),$P$20))-SUM($BF85:CC85))</f>
        <v>0</v>
      </c>
      <c r="CE85" s="446">
        <f>IF($E85=0,0,IF(MIN(CE$38,$E85)&lt;MAX($P$34*($B85+$I$38-1),IF(AND($L$37=0,$P$34=0),"",$L$37-1)),0,YEARFRAC(MAX($P$34*($B85+$I$38-1),IF(AND($L$37=0,$P$34=0),"",$L$37-1)),MIN(CE$38,$E85),$P$20))-SUM($BF85:CD85))</f>
        <v>0</v>
      </c>
      <c r="CF85" s="446">
        <f>IF($E85=0,0,IF(MIN(CF$38,$E85)&lt;MAX($P$34*($B85+$I$38-1),IF(AND($L$37=0,$P$34=0),"",$L$37-1)),0,YEARFRAC(MAX($P$34*($B85+$I$38-1),IF(AND($L$37=0,$P$34=0),"",$L$37-1)),MIN(CF$38,$E85),$P$20))-SUM($BF85:CE85))</f>
        <v>0</v>
      </c>
      <c r="CG85" s="446">
        <f>IF($E85=0,0,IF(MIN(CG$38,$E85)&lt;MAX($P$34*($B85+$I$38-1),IF(AND($L$37=0,$P$34=0),"",$L$37-1)),0,YEARFRAC(MAX($P$34*($B85+$I$38-1),IF(AND($L$37=0,$P$34=0),"",$L$37-1)),MIN(CG$38,$E85),$P$20))-SUM($BF85:CF85))</f>
        <v>0</v>
      </c>
      <c r="CH85" s="446">
        <f>IF($E85=0,0,IF(MIN(CH$38,$E85)&lt;MAX($P$34*($B85+$I$38-1),IF(AND($L$37=0,$P$34=0),"",$L$37-1)),0,YEARFRAC(MAX($P$34*($B85+$I$38-1),IF(AND($L$37=0,$P$34=0),"",$L$37-1)),MIN(CH$38,$E85),$P$20))-SUM($BF85:CG85))</f>
        <v>0</v>
      </c>
      <c r="CI85" s="446">
        <f>IF($E85=0,0,IF(MIN(CI$38,$E85)&lt;MAX($P$34*($B85+$I$38-1),IF(AND($L$37=0,$P$34=0),"",$L$37-1)),0,YEARFRAC(MAX($P$34*($B85+$I$38-1),IF(AND($L$37=0,$P$34=0),"",$L$37-1)),MIN(CI$38,$E85),$P$20))-SUM($BF85:CH85))</f>
        <v>0</v>
      </c>
      <c r="CJ85" s="446">
        <f>IF($E85=0,0,IF(MIN(CJ$38,$E85)&lt;MAX($P$34*($B85+$I$38-1),IF(AND($L$37=0,$P$34=0),"",$L$37-1)),0,YEARFRAC(MAX($P$34*($B85+$I$38-1),IF(AND($L$37=0,$P$34=0),"",$L$37-1)),MIN(CJ$38,$E85),$P$20))-SUM($BF85:CI85))</f>
        <v>0</v>
      </c>
      <c r="CK85" s="446">
        <f>IF($E85=0,0,IF(MIN(CK$38,$E85)&lt;MAX($P$34*($B85+$I$38-1),IF(AND($L$37=0,$P$34=0),"",$L$37-1)),0,YEARFRAC(MAX($P$34*($B85+$I$38-1),IF(AND($L$37=0,$P$34=0),"",$L$37-1)),MIN(CK$38,$E85),$P$20))-SUM($BF85:CJ85))</f>
        <v>0</v>
      </c>
      <c r="CL85" s="446">
        <f>IF($E85=0,0,IF(MIN(CL$38,$E85)&lt;MAX($P$34*($B85+$I$38-1),IF(AND($L$37=0,$P$34=0),"",$L$37-1)),0,YEARFRAC(MAX($P$34*($B85+$I$38-1),IF(AND($L$37=0,$P$34=0),"",$L$37-1)),MIN(CL$38,$E85),$P$20))-SUM($BF85:CK85))</f>
        <v>0</v>
      </c>
      <c r="CM85" s="446">
        <f>IF($E85=0,0,IF(MIN(CM$38,$E85)&lt;MAX($P$34*($B85+$I$38-1),IF(AND($L$37=0,$P$34=0),"",$L$37-1)),0,YEARFRAC(MAX($P$34*($B85+$I$38-1),IF(AND($L$37=0,$P$34=0),"",$L$37-1)),MIN(CM$38,$E85),$P$20))-SUM($BF85:CL85))</f>
        <v>0</v>
      </c>
      <c r="CN85" s="446">
        <f>IF($E85=0,0,IF(MIN(CN$38,$E85)&lt;MAX($P$34*($B85+$I$38-1),IF(AND($L$37=0,$P$34=0),"",$L$37-1)),0,YEARFRAC(MAX($P$34*($B85+$I$38-1),IF(AND($L$37=0,$P$34=0),"",$L$37-1)),MIN(CN$38,$E85),$P$20))-SUM($BF85:CM85))</f>
        <v>0</v>
      </c>
      <c r="CO85" s="446">
        <f>IF($E85=0,0,IF(MIN(CO$38,$E85)&lt;MAX($P$34*($B85+$I$38-1),IF(AND($L$37=0,$P$34=0),"",$L$37-1)),0,YEARFRAC(MAX($P$34*($B85+$I$38-1),IF(AND($L$37=0,$P$34=0),"",$L$37-1)),MIN(CO$38,$E85),$P$20))-SUM($BF85:CN85))</f>
        <v>0</v>
      </c>
      <c r="CP85" s="446">
        <f>IF($E85=0,0,IF(MIN(CP$38,$E85)&lt;MAX($P$34*($B85+$I$38-1),IF(AND($L$37=0,$P$34=0),"",$L$37-1)),0,YEARFRAC(MAX($P$34*($B85+$I$38-1),IF(AND($L$37=0,$P$34=0),"",$L$37-1)),MIN(CP$38,$E85),$P$20))-SUM($BF85:CO85))</f>
        <v>0</v>
      </c>
      <c r="CQ85" s="446">
        <f>IF($E85=0,0,IF(MIN(CQ$38,$E85)&lt;MAX($P$34*($B85+$I$38-1),IF(AND($L$37=0,$P$34=0),"",$L$37-1)),0,YEARFRAC(MAX($P$34*($B85+$I$38-1),IF(AND($L$37=0,$P$34=0),"",$L$37-1)),MIN(CQ$38,$E85),$P$20))-SUM($BF85:CP85))</f>
        <v>0</v>
      </c>
    </row>
    <row r="86" spans="1:95" s="446" customFormat="1" ht="11.25" hidden="1" customHeight="1" x14ac:dyDescent="0.2">
      <c r="A86" s="152"/>
      <c r="B86" s="153" t="str">
        <f t="shared" si="15"/>
        <v/>
      </c>
      <c r="C86" s="29" t="str">
        <f>IF(B86="","",IF($L$35="SELIC - TRIBUTOS",VLOOKUP(DATE(YEAR($D$19),MONTH($D$19)-1,1),ÍNDICES!$A:$DE,HLOOKUP($BL$25,ÍNDICES!$B$3:$T$4,2)+11)-VLOOKUP(B86,ÍNDICES!$A:$DE,HLOOKUP($BL$25,ÍNDICES!$B$3:$T$4,2)+11)+1%,IF(C$38=$W$26,$J$35,IF(ISERROR(IF(B86&gt;$D$19,1,VLOOKUP(DATE(YEAR(B86),MONTH(B86)+IF($C$35=$S$23,1,0),1),ÍNDICES!$A:$DE,$Z$35+1))),"",IF(B86&gt;$D$19,1,VLOOKUP(DATE(YEAR(B86),MONTH(B86)+IF($C$35=$S$23,1,0),1),ÍNDICES!$A:$DE,$Z$35+1))))))</f>
        <v/>
      </c>
      <c r="D86" s="154" t="str">
        <f>IF(ISERROR(IF(OR($D$38=$Y$27,$B86=""),"",VLOOKUP(B86,ÍNDICES!A:DE,AF$35+1))),"",IF(OR($D$38=$Y$27,$B86=""),"",VLOOKUP(B86,ÍNDICES!A:DE,AF$35+1)))</f>
        <v/>
      </c>
      <c r="E86" s="153"/>
      <c r="F86" s="29" t="str">
        <f>IF(E86="","",IF($L$35="SELIC - TRIBUTOS",VLOOKUP(DATE(YEAR($D$19),MONTH($D$19)-1,1),ÍNDICES!$A:$DE,HLOOKUP($BL$25,ÍNDICES!$B$3:$T$4,2)+11)-VLOOKUP(E86,ÍNDICES!$A:$DE,HLOOKUP($BL$25,ÍNDICES!$B$3:$T$4,2)+11)+1%,IF(F$38=$W$26,$J$35,IF(ISERROR(IF(E86&gt;$D$19,1,VLOOKUP(DATE(YEAR(E86),MONTH(E86)+IF($C$35=$S$23,1,0),1),ÍNDICES!$A:$DE,$Z$35+1))),"",IF(E86&gt;$D$19,1,VLOOKUP(DATE(YEAR(E86),MONTH(E86)+IF($C$35=$S$23,1,0),1),ÍNDICES!$A:$DE,$Z$35+1))))))</f>
        <v/>
      </c>
      <c r="G86" s="155"/>
      <c r="H86" s="156" t="str">
        <f t="shared" si="11"/>
        <v/>
      </c>
      <c r="I86" s="29" t="str">
        <f t="shared" si="5"/>
        <v/>
      </c>
      <c r="J86" s="5">
        <f t="shared" si="6"/>
        <v>0</v>
      </c>
      <c r="K86" s="20">
        <f t="shared" ca="1" si="7"/>
        <v>0</v>
      </c>
      <c r="L86" s="5">
        <f t="shared" ca="1" si="8"/>
        <v>0</v>
      </c>
      <c r="M86" s="64">
        <f t="shared" si="12"/>
        <v>0</v>
      </c>
      <c r="N86" s="61">
        <f t="shared" ca="1" si="13"/>
        <v>0</v>
      </c>
      <c r="O86" s="5">
        <f t="shared" ca="1" si="14"/>
        <v>0</v>
      </c>
      <c r="P86" s="446" t="e">
        <f t="shared" si="9"/>
        <v>#VALUE!</v>
      </c>
      <c r="Q86" s="446" t="e">
        <f>IF(OR($B86="",MIN(Q$38,$D$19)&lt;MAX($P$34*($B86+IF($R$17="Distrato",$I$38-1,0)),IF(AND($L$37=0,$P$34=0),"",$L$37-1),IF($R$17="Distrato",$E86,0))),0,YEARFRAC(MAX($P$34*($B86+IF($R$17="Distrato",$I$38-1,0)),IF(AND($L$37=0,$P$34=0),"",$L$37-1),IF($R$17="Distrato",$E86,0)),MIN(Q$38,$D$19),$P$20))-SUM($P86:P86)</f>
        <v>#VALUE!</v>
      </c>
      <c r="R86" s="446" t="e">
        <f>IF(OR($B86="",MIN(R$38,$D$19)&lt;MAX($P$34*($B86+IF($R$17="Distrato",$I$38-1,0)),IF(AND($L$37=0,$P$34=0),"",$L$37-1),IF($R$17="Distrato",$E86,0))),0,YEARFRAC(MAX($P$34*($B86+IF($R$17="Distrato",$I$38-1,0)),IF(AND($L$37=0,$P$34=0),"",$L$37-1),IF($R$17="Distrato",$E86,0)),MIN(R$38,$D$19),$P$20))-SUM($P86:Q86)</f>
        <v>#VALUE!</v>
      </c>
      <c r="S86" s="446" t="e">
        <f>IF(OR($B86="",MIN(S$38,$D$19)&lt;MAX($P$34*($B86+IF($R$17="Distrato",$I$38-1,0)),IF(AND($L$37=0,$P$34=0),"",$L$37-1),IF($R$17="Distrato",$E86,0))),0,YEARFRAC(MAX($P$34*($B86+IF($R$17="Distrato",$I$38-1,0)),IF(AND($L$37=0,$P$34=0),"",$L$37-1),IF($R$17="Distrato",$E86,0)),MIN(S$38,$D$19),$P$20))-SUM($P86:R86)</f>
        <v>#VALUE!</v>
      </c>
      <c r="T86" s="446" t="e">
        <f>IF(OR($B86="",MIN(T$38,$D$19)&lt;MAX($P$34*($B86+IF($R$17="Distrato",$I$38-1,0)),IF(AND($L$37=0,$P$34=0),"",$L$37-1),IF($R$17="Distrato",$E86,0))),0,YEARFRAC(MAX($P$34*($B86+IF($R$17="Distrato",$I$38-1,0)),IF(AND($L$37=0,$P$34=0),"",$L$37-1),IF($R$17="Distrato",$E86,0)),MIN(T$38,$D$19),$P$20))-SUM($P86:S86)</f>
        <v>#VALUE!</v>
      </c>
      <c r="U86" s="446" t="e">
        <f>IF(OR($B86="",MIN(U$38,$D$19)&lt;MAX($P$34*($B86+IF($R$17="Distrato",$I$38-1,0)),IF(AND($L$37=0,$P$34=0),"",$L$37-1),IF($R$17="Distrato",$E86,0))),0,YEARFRAC(MAX($P$34*($B86+IF($R$17="Distrato",$I$38-1,0)),IF(AND($L$37=0,$P$34=0),"",$L$37-1),IF($R$17="Distrato",$E86,0)),MIN(U$38,$D$19),$P$20))-SUM($P86:T86)</f>
        <v>#VALUE!</v>
      </c>
      <c r="V86" s="446" t="e">
        <f>IF(OR($B86="",MIN(V$38,$D$19)&lt;MAX($P$34*($B86+IF($R$17="Distrato",$I$38-1,0)),IF(AND($L$37=0,$P$34=0),"",$L$37-1),IF($R$17="Distrato",$E86,0))),0,YEARFRAC(MAX($P$34*($B86+IF($R$17="Distrato",$I$38-1,0)),IF(AND($L$37=0,$P$34=0),"",$L$37-1),IF($R$17="Distrato",$E86,0)),MIN(V$38,$D$19),$P$20))-SUM($P86:U86)</f>
        <v>#VALUE!</v>
      </c>
      <c r="W86" s="446" t="e">
        <f>IF(OR($B86="",MIN(W$38,$D$19)&lt;MAX($P$34*($B86+IF($R$17="Distrato",$I$38-1,0)),IF(AND($L$37=0,$P$34=0),"",$L$37-1),IF($R$17="Distrato",$E86,0))),0,YEARFRAC(MAX($P$34*($B86+IF($R$17="Distrato",$I$38-1,0)),IF(AND($L$37=0,$P$34=0),"",$L$37-1),IF($R$17="Distrato",$E86,0)),MIN(W$38,$D$19),$P$20))-SUM($P86:V86)</f>
        <v>#VALUE!</v>
      </c>
      <c r="X86" s="446" t="e">
        <f>IF(OR($B86="",MIN(X$38,$D$19)&lt;MAX($P$34*($B86+IF($R$17="Distrato",$I$38-1,0)),IF(AND($L$37=0,$P$34=0),"",$L$37-1),IF($R$17="Distrato",$E86,0))),0,YEARFRAC(MAX($P$34*($B86+IF($R$17="Distrato",$I$38-1,0)),IF(AND($L$37=0,$P$34=0),"",$L$37-1),IF($R$17="Distrato",$E86,0)),MIN(X$38,$D$19),$P$20))-SUM($P86:W86)</f>
        <v>#VALUE!</v>
      </c>
      <c r="Y86" s="446" t="e">
        <f>IF(OR($B86="",MIN(Y$38,$D$19)&lt;MAX($P$34*($B86+IF($R$17="Distrato",$I$38-1,0)),IF(AND($L$37=0,$P$34=0),"",$L$37-1),IF($R$17="Distrato",$E86,0))),0,YEARFRAC(MAX($P$34*($B86+IF($R$17="Distrato",$I$38-1,0)),IF(AND($L$37=0,$P$34=0),"",$L$37-1),IF($R$17="Distrato",$E86,0)),MIN(Y$38,$D$19),$P$20))-SUM($P86:X86)</f>
        <v>#VALUE!</v>
      </c>
      <c r="Z86" s="446" t="e">
        <f>IF(OR($B86="",MIN(Z$38,$D$19)&lt;MAX($P$34*($B86+IF($R$17="Distrato",$I$38-1,0)),IF(AND($L$37=0,$P$34=0),"",$L$37-1),IF($R$17="Distrato",$E86,0))),0,YEARFRAC(MAX($P$34*($B86+IF($R$17="Distrato",$I$38-1,0)),IF(AND($L$37=0,$P$34=0),"",$L$37-1),IF($R$17="Distrato",$E86,0)),MIN(Z$38,$D$19),$P$20))-SUM($P86:Y86)</f>
        <v>#VALUE!</v>
      </c>
      <c r="AA86" s="446" t="e">
        <f>IF(OR($B86="",MIN(AA$38,$D$19)&lt;MAX($P$34*($B86+IF($R$17="Distrato",$I$38-1,0)),IF(AND($L$37=0,$P$34=0),"",$L$37-1),IF($R$17="Distrato",$E86,0))),0,YEARFRAC(MAX($P$34*($B86+IF($R$17="Distrato",$I$38-1,0)),IF(AND($L$37=0,$P$34=0),"",$L$37-1),IF($R$17="Distrato",$E86,0)),MIN(AA$38,$D$19),$P$20))-SUM($P86:Z86)</f>
        <v>#VALUE!</v>
      </c>
      <c r="AB86" s="446" t="e">
        <f>IF(OR($B86="",MIN(AB$38,$D$19)&lt;MAX($P$34*($B86+IF($R$17="Distrato",$I$38-1,0)),IF(AND($L$37=0,$P$34=0),"",$L$37-1),IF($R$17="Distrato",$E86,0))),0,YEARFRAC(MAX($P$34*($B86+IF($R$17="Distrato",$I$38-1,0)),IF(AND($L$37=0,$P$34=0),"",$L$37-1),IF($R$17="Distrato",$E86,0)),MIN(AB$38,$D$19),$P$20))-SUM($P86:AA86)</f>
        <v>#VALUE!</v>
      </c>
      <c r="AC86" s="446" t="e">
        <f>IF(OR($B86="",MIN(AC$38,$D$19)&lt;MAX($P$34*($B86+IF($R$17="Distrato",$I$38-1,0)),IF(AND($L$37=0,$P$34=0),"",$L$37-1),IF($R$17="Distrato",$E86,0))),0,YEARFRAC(MAX($P$34*($B86+IF($R$17="Distrato",$I$38-1,0)),IF(AND($L$37=0,$P$34=0),"",$L$37-1),IF($R$17="Distrato",$E86,0)),MIN(AC$38,$D$19),$P$20))-SUM($P86:AB86)</f>
        <v>#VALUE!</v>
      </c>
      <c r="AD86" s="446" t="e">
        <f>IF(OR($B86="",MIN(AD$38,$D$19)&lt;MAX($P$34*($B86+IF($R$17="Distrato",$I$38-1,0)),IF(AND($L$37=0,$P$34=0),"",$L$37-1),IF($R$17="Distrato",$E86,0))),0,YEARFRAC(MAX($P$34*($B86+IF($R$17="Distrato",$I$38-1,0)),IF(AND($L$37=0,$P$34=0),"",$L$37-1),IF($R$17="Distrato",$E86,0)),MIN(AD$38,$D$19),$P$20))-SUM($P86:AC86)</f>
        <v>#VALUE!</v>
      </c>
      <c r="AE86" s="446" t="e">
        <f>IF(OR($B86="",MIN(AE$38,$D$19)&lt;MAX($P$34*($B86+IF($R$17="Distrato",$I$38-1,0)),IF(AND($L$37=0,$P$34=0),"",$L$37-1),IF($R$17="Distrato",$E86,0))),0,YEARFRAC(MAX($P$34*($B86+IF($R$17="Distrato",$I$38-1,0)),IF(AND($L$37=0,$P$34=0),"",$L$37-1),IF($R$17="Distrato",$E86,0)),MIN(AE$38,$D$19),$P$20))-SUM($P86:AD86)</f>
        <v>#VALUE!</v>
      </c>
      <c r="AF86" s="446" t="e">
        <f>IF(OR($B86="",MIN(AF$38,$D$19)&lt;MAX($P$34*($B86+IF($R$17="Distrato",$I$38-1,0)),IF(AND($L$37=0,$P$34=0),"",$L$37-1),IF($R$17="Distrato",$E86,0))),0,YEARFRAC(MAX($P$34*($B86+IF($R$17="Distrato",$I$38-1,0)),IF(AND($L$37=0,$P$34=0),"",$L$37-1),IF($R$17="Distrato",$E86,0)),MIN(AF$38,$D$19),$P$20))-SUM($P86:AE86)</f>
        <v>#VALUE!</v>
      </c>
      <c r="AG86" s="446" t="e">
        <f>IF(OR($B86="",MIN(AG$38,$D$19)&lt;MAX($P$34*($B86+IF($R$17="Distrato",$I$38-1,0)),IF(AND($L$37=0,$P$34=0),"",$L$37-1),IF($R$17="Distrato",$E86,0))),0,YEARFRAC(MAX($P$34*($B86+IF($R$17="Distrato",$I$38-1,0)),IF(AND($L$37=0,$P$34=0),"",$L$37-1),IF($R$17="Distrato",$E86,0)),MIN(AG$38,$D$19),$P$20))-SUM($P86:AF86)</f>
        <v>#VALUE!</v>
      </c>
      <c r="AH86" s="446" t="e">
        <f>IF(OR($B86="",MIN(AH$38,$D$19)&lt;MAX($P$34*($B86+IF($R$17="Distrato",$I$38-1,0)),IF(AND($L$37=0,$P$34=0),"",$L$37-1),IF($R$17="Distrato",$E86,0))),0,YEARFRAC(MAX($P$34*($B86+IF($R$17="Distrato",$I$38-1,0)),IF(AND($L$37=0,$P$34=0),"",$L$37-1),IF($R$17="Distrato",$E86,0)),MIN(AH$38,$D$19),$P$20))-SUM($P86:AG86)</f>
        <v>#VALUE!</v>
      </c>
      <c r="AI86" s="446" t="e">
        <f>IF(OR($B86="",MIN(AI$38,$D$19)&lt;MAX($P$34*($B86+IF($R$17="Distrato",$I$38-1,0)),IF(AND($L$37=0,$P$34=0),"",$L$37-1),IF($R$17="Distrato",$E86,0))),0,YEARFRAC(MAX($P$34*($B86+IF($R$17="Distrato",$I$38-1,0)),IF(AND($L$37=0,$P$34=0),"",$L$37-1),IF($R$17="Distrato",$E86,0)),MIN(AI$38,$D$19),$P$20))-SUM($P86:AH86)</f>
        <v>#VALUE!</v>
      </c>
      <c r="AJ86" s="446" t="e">
        <f>IF(OR($B86="",MIN(AJ$38,$D$19)&lt;MAX($P$34*($B86+IF($R$17="Distrato",$I$38-1,0)),IF(AND($L$37=0,$P$34=0),"",$L$37-1),IF($R$17="Distrato",$E86,0))),0,YEARFRAC(MAX($P$34*($B86+IF($R$17="Distrato",$I$38-1,0)),IF(AND($L$37=0,$P$34=0),"",$L$37-1),IF($R$17="Distrato",$E86,0)),MIN(AJ$38,$D$19),$P$20))-SUM($P86:AI86)</f>
        <v>#VALUE!</v>
      </c>
      <c r="AK86" s="446" t="e">
        <f>IF(OR($B86="",MIN(AK$38,$D$19)&lt;MAX($P$34*($B86+IF($R$17="Distrato",$I$38-1,0)),IF(AND($L$37=0,$P$34=0),"",$L$37-1),IF($R$17="Distrato",$E86,0))),0,YEARFRAC(MAX($P$34*($B86+IF($R$17="Distrato",$I$38-1,0)),IF(AND($L$37=0,$P$34=0),"",$L$37-1),IF($R$17="Distrato",$E86,0)),MIN(AK$38,$D$19),$P$20))-SUM($P86:AJ86)</f>
        <v>#VALUE!</v>
      </c>
      <c r="AL86" s="446" t="e">
        <f>IF(OR($B86="",MIN(AL$38,$D$19)&lt;MAX($P$34*($B86+IF($R$17="Distrato",$I$38-1,0)),IF(AND($L$37=0,$P$34=0),"",$L$37-1),IF($R$17="Distrato",$E86,0))),0,YEARFRAC(MAX($P$34*($B86+IF($R$17="Distrato",$I$38-1,0)),IF(AND($L$37=0,$P$34=0),"",$L$37-1),IF($R$17="Distrato",$E86,0)),MIN(AL$38,$D$19),$P$20))-SUM($P86:AK86)</f>
        <v>#VALUE!</v>
      </c>
      <c r="AM86" s="446" t="e">
        <f>IF(OR($B86="",MIN(AM$38,$D$19)&lt;MAX($P$34*($B86+IF($R$17="Distrato",$I$38-1,0)),IF(AND($L$37=0,$P$34=0),"",$L$37-1),IF($R$17="Distrato",$E86,0))),0,YEARFRAC(MAX($P$34*($B86+IF($R$17="Distrato",$I$38-1,0)),IF(AND($L$37=0,$P$34=0),"",$L$37-1),IF($R$17="Distrato",$E86,0)),MIN(AM$38,$D$19),$P$20))-SUM($P86:AL86)</f>
        <v>#VALUE!</v>
      </c>
      <c r="AN86" s="446" t="e">
        <f>IF(OR($B86="",MIN(AN$38,$D$19)&lt;MAX($P$34*($B86+IF($R$17="Distrato",$I$38-1,0)),IF(AND($L$37=0,$P$34=0),"",$L$37-1),IF($R$17="Distrato",$E86,0))),0,YEARFRAC(MAX($P$34*($B86+IF($R$17="Distrato",$I$38-1,0)),IF(AND($L$37=0,$P$34=0),"",$L$37-1),IF($R$17="Distrato",$E86,0)),MIN(AN$38,$D$19),$P$20))-SUM($P86:AM86)</f>
        <v>#VALUE!</v>
      </c>
      <c r="AO86" s="446" t="e">
        <f>IF(OR($B86="",MIN(AO$38,$D$19)&lt;MAX($P$34*($B86+IF($R$17="Distrato",$I$38-1,0)),IF(AND($L$37=0,$P$34=0),"",$L$37-1),IF($R$17="Distrato",$E86,0))),0,YEARFRAC(MAX($P$34*($B86+IF($R$17="Distrato",$I$38-1,0)),IF(AND($L$37=0,$P$34=0),"",$L$37-1),IF($R$17="Distrato",$E86,0)),MIN(AO$38,$D$19),$P$20))-SUM($P86:AN86)</f>
        <v>#VALUE!</v>
      </c>
      <c r="AP86" s="446" t="e">
        <f>IF(OR($B86="",MIN(AP$38,$D$19)&lt;MAX($P$34*($B86+IF($R$17="Distrato",$I$38-1,0)),IF(AND($L$37=0,$P$34=0),"",$L$37-1),IF($R$17="Distrato",$E86,0))),0,YEARFRAC(MAX($P$34*($B86+IF($R$17="Distrato",$I$38-1,0)),IF(AND($L$37=0,$P$34=0),"",$L$37-1),IF($R$17="Distrato",$E86,0)),MIN(AP$38,$D$19),$P$20))-SUM($P86:AO86)</f>
        <v>#VALUE!</v>
      </c>
      <c r="AQ86" s="446" t="e">
        <f>IF(OR($B86="",MIN(AQ$38,$D$19)&lt;MAX($P$34*($B86+IF($R$17="Distrato",$I$38-1,0)),IF(AND($L$37=0,$P$34=0),"",$L$37-1),IF($R$17="Distrato",$E86,0))),0,YEARFRAC(MAX($P$34*($B86+IF($R$17="Distrato",$I$38-1,0)),IF(AND($L$37=0,$P$34=0),"",$L$37-1),IF($R$17="Distrato",$E86,0)),MIN(AQ$38,$D$19),$P$20))-SUM($P86:AP86)</f>
        <v>#VALUE!</v>
      </c>
      <c r="AR86" s="446" t="e">
        <f>IF(OR($B86="",MIN(AR$38,$D$19)&lt;MAX($P$34*($B86+IF($R$17="Distrato",$I$38-1,0)),IF(AND($L$37=0,$P$34=0),"",$L$37-1),IF($R$17="Distrato",$E86,0))),0,YEARFRAC(MAX($P$34*($B86+IF($R$17="Distrato",$I$38-1,0)),IF(AND($L$37=0,$P$34=0),"",$L$37-1),IF($R$17="Distrato",$E86,0)),MIN(AR$38,$D$19),$P$20))-SUM($P86:AQ86)</f>
        <v>#VALUE!</v>
      </c>
      <c r="AS86" s="446" t="e">
        <f>IF(OR($B86="",MIN(AS$38,$D$19)&lt;MAX($P$34*($B86+IF($R$17="Distrato",$I$38-1,0)),IF(AND($L$37=0,$P$34=0),"",$L$37-1),IF($R$17="Distrato",$E86,0))),0,YEARFRAC(MAX($P$34*($B86+IF($R$17="Distrato",$I$38-1,0)),IF(AND($L$37=0,$P$34=0),"",$L$37-1),IF($R$17="Distrato",$E86,0)),MIN(AS$38,$D$19),$P$20))-SUM($P86:AR86)</f>
        <v>#VALUE!</v>
      </c>
      <c r="AT86" s="446" t="e">
        <f>IF(OR($B86="",MIN(AT$38,$D$19)&lt;MAX($P$34*($B86+IF($R$17="Distrato",$I$38-1,0)),IF(AND($L$37=0,$P$34=0),"",$L$37-1),IF($R$17="Distrato",$E86,0))),0,YEARFRAC(MAX($P$34*($B86+IF($R$17="Distrato",$I$38-1,0)),IF(AND($L$37=0,$P$34=0),"",$L$37-1),IF($R$17="Distrato",$E86,0)),MIN(AT$38,$D$19),$P$20))-SUM($P86:AS86)</f>
        <v>#VALUE!</v>
      </c>
      <c r="AU86" s="446" t="e">
        <f>IF(OR($B86="",MIN(AU$38,$D$19)&lt;MAX($P$34*($B86+IF($R$17="Distrato",$I$38-1,0)),IF(AND($L$37=0,$P$34=0),"",$L$37-1),IF($R$17="Distrato",$E86,0))),0,YEARFRAC(MAX($P$34*($B86+IF($R$17="Distrato",$I$38-1,0)),IF(AND($L$37=0,$P$34=0),"",$L$37-1),IF($R$17="Distrato",$E86,0)),MIN(AU$38,$D$19),$P$20))-SUM($P86:AT86)</f>
        <v>#VALUE!</v>
      </c>
      <c r="AV86" s="446" t="e">
        <f>IF(OR($B86="",MIN(AV$38,$D$19)&lt;MAX($P$34*($B86+IF($R$17="Distrato",$I$38-1,0)),IF(AND($L$37=0,$P$34=0),"",$L$37-1),IF($R$17="Distrato",$E86,0))),0,YEARFRAC(MAX($P$34*($B86+IF($R$17="Distrato",$I$38-1,0)),IF(AND($L$37=0,$P$34=0),"",$L$37-1),IF($R$17="Distrato",$E86,0)),MIN(AV$38,$D$19),$P$20))-SUM($P86:AU86)</f>
        <v>#VALUE!</v>
      </c>
      <c r="AW86" s="446" t="e">
        <f>IF(OR($B86="",MIN(AW$38,$D$19)&lt;MAX($P$34*($B86+IF($R$17="Distrato",$I$38-1,0)),IF(AND($L$37=0,$P$34=0),"",$L$37-1),IF($R$17="Distrato",$E86,0))),0,YEARFRAC(MAX($P$34*($B86+IF($R$17="Distrato",$I$38-1,0)),IF(AND($L$37=0,$P$34=0),"",$L$37-1),IF($R$17="Distrato",$E86,0)),MIN(AW$38,$D$19),$P$20))-SUM($P86:AV86)</f>
        <v>#VALUE!</v>
      </c>
      <c r="AX86" s="446" t="e">
        <f>IF(OR($B86="",MIN(AX$38,$D$19)&lt;MAX($P$34*($B86+IF($R$17="Distrato",$I$38-1,0)),IF(AND($L$37=0,$P$34=0),"",$L$37-1),IF($R$17="Distrato",$E86,0))),0,YEARFRAC(MAX($P$34*($B86+IF($R$17="Distrato",$I$38-1,0)),IF(AND($L$37=0,$P$34=0),"",$L$37-1),IF($R$17="Distrato",$E86,0)),MIN(AX$38,$D$19),$P$20))-SUM($P86:AW86)</f>
        <v>#VALUE!</v>
      </c>
      <c r="AY86" s="446" t="e">
        <f>IF(OR($B86="",MIN(AY$38,$D$19)&lt;MAX($P$34*($B86+IF($R$17="Distrato",$I$38-1,0)),IF(AND($L$37=0,$P$34=0),"",$L$37-1),IF($R$17="Distrato",$E86,0))),0,YEARFRAC(MAX($P$34*($B86+IF($R$17="Distrato",$I$38-1,0)),IF(AND($L$37=0,$P$34=0),"",$L$37-1),IF($R$17="Distrato",$E86,0)),MIN(AY$38,$D$19),$P$20))-SUM($P86:AX86)</f>
        <v>#VALUE!</v>
      </c>
      <c r="AZ86" s="446" t="e">
        <f>IF(OR($B86="",MIN(AZ$38,$D$19)&lt;MAX($P$34*($B86+IF($R$17="Distrato",$I$38-1,0)),IF(AND($L$37=0,$P$34=0),"",$L$37-1),IF($R$17="Distrato",$E86,0))),0,YEARFRAC(MAX($P$34*($B86+IF($R$17="Distrato",$I$38-1,0)),IF(AND($L$37=0,$P$34=0),"",$L$37-1),IF($R$17="Distrato",$E86,0)),MIN(AZ$38,$D$19),$P$20))-SUM($P86:AY86)</f>
        <v>#VALUE!</v>
      </c>
      <c r="BA86" s="446" t="e">
        <f>IF(OR($B86="",MIN(BA$38,$D$19)&lt;MAX($P$34*($B86+IF($R$17="Distrato",$I$38-1,0)),IF(AND($L$37=0,$P$34=0),"",$L$37-1),IF($R$17="Distrato",$E86,0))),0,YEARFRAC(MAX($P$34*($B86+IF($R$17="Distrato",$I$38-1,0)),IF(AND($L$37=0,$P$34=0),"",$L$37-1),IF($R$17="Distrato",$E86,0)),MIN(BA$38,$D$19),$P$20))-SUM($P86:AZ86)</f>
        <v>#VALUE!</v>
      </c>
      <c r="BB86" s="447"/>
      <c r="BF86" s="446">
        <f t="shared" si="10"/>
        <v>0</v>
      </c>
      <c r="BG86" s="446">
        <f>IF($E86=0,0,IF(MIN(BG$38,$E86)&lt;MAX($P$34*($B86+$I$38-1),IF(AND($L$37=0,$P$34=0),"",$L$37-1)),0,YEARFRAC(MAX($P$34*($B86+$I$38-1),IF(AND($L$37=0,$P$34=0),"",$L$37-1)),MIN(BG$38,$E86),$P$20))-SUM($BF86:BF86))</f>
        <v>0</v>
      </c>
      <c r="BH86" s="446">
        <f>IF($E86=0,0,IF(MIN(BH$38,$E86)&lt;MAX($P$34*($B86+$I$38-1),IF(AND($L$37=0,$P$34=0),"",$L$37-1)),0,YEARFRAC(MAX($P$34*($B86+$I$38-1),IF(AND($L$37=0,$P$34=0),"",$L$37-1)),MIN(BH$38,$E86),$P$20))-SUM($BF86:BG86))</f>
        <v>0</v>
      </c>
      <c r="BI86" s="446">
        <f>IF($E86=0,0,IF(MIN(BI$38,$E86)&lt;MAX($P$34*($B86+$I$38-1),IF(AND($L$37=0,$P$34=0),"",$L$37-1)),0,YEARFRAC(MAX($P$34*($B86+$I$38-1),IF(AND($L$37=0,$P$34=0),"",$L$37-1)),MIN(BI$38,$E86),$P$20))-SUM($BF86:BH86))</f>
        <v>0</v>
      </c>
      <c r="BJ86" s="446">
        <f>IF($E86=0,0,IF(MIN(BJ$38,$E86)&lt;MAX($P$34*($B86+$I$38-1),IF(AND($L$37=0,$P$34=0),"",$L$37-1)),0,YEARFRAC(MAX($P$34*($B86+$I$38-1),IF(AND($L$37=0,$P$34=0),"",$L$37-1)),MIN(BJ$38,$E86),$P$20))-SUM($BF86:BI86))</f>
        <v>0</v>
      </c>
      <c r="BK86" s="446">
        <f>IF($E86=0,0,IF(MIN(BK$38,$E86)&lt;MAX($P$34*($B86+$I$38-1),IF(AND($L$37=0,$P$34=0),"",$L$37-1)),0,YEARFRAC(MAX($P$34*($B86+$I$38-1),IF(AND($L$37=0,$P$34=0),"",$L$37-1)),MIN(BK$38,$E86),$P$20))-SUM($BF86:BJ86))</f>
        <v>0</v>
      </c>
      <c r="BL86" s="446">
        <f>IF($E86=0,0,IF(MIN(BL$38,$E86)&lt;MAX($P$34*($B86+$I$38-1),IF(AND($L$37=0,$P$34=0),"",$L$37-1)),0,YEARFRAC(MAX($P$34*($B86+$I$38-1),IF(AND($L$37=0,$P$34=0),"",$L$37-1)),MIN(BL$38,$E86),$P$20))-SUM($BF86:BK86))</f>
        <v>0</v>
      </c>
      <c r="BM86" s="446">
        <f>IF($E86=0,0,IF(MIN(BM$38,$E86)&lt;MAX($P$34*($B86+$I$38-1),IF(AND($L$37=0,$P$34=0),"",$L$37-1)),0,YEARFRAC(MAX($P$34*($B86+$I$38-1),IF(AND($L$37=0,$P$34=0),"",$L$37-1)),MIN(BM$38,$E86),$P$20))-SUM($BF86:BL86))</f>
        <v>0</v>
      </c>
      <c r="BN86" s="446">
        <f>IF($E86=0,0,IF(MIN(BN$38,$E86)&lt;MAX($P$34*($B86+$I$38-1),IF(AND($L$37=0,$P$34=0),"",$L$37-1)),0,YEARFRAC(MAX($P$34*($B86+$I$38-1),IF(AND($L$37=0,$P$34=0),"",$L$37-1)),MIN(BN$38,$E86),$P$20))-SUM($BF86:BM86))</f>
        <v>0</v>
      </c>
      <c r="BO86" s="446">
        <f>IF($E86=0,0,IF(MIN(BO$38,$E86)&lt;MAX($P$34*($B86+$I$38-1),IF(AND($L$37=0,$P$34=0),"",$L$37-1)),0,YEARFRAC(MAX($P$34*($B86+$I$38-1),IF(AND($L$37=0,$P$34=0),"",$L$37-1)),MIN(BO$38,$E86),$P$20))-SUM($BF86:BN86))</f>
        <v>0</v>
      </c>
      <c r="BP86" s="446">
        <f>IF($E86=0,0,IF(MIN(BP$38,$E86)&lt;MAX($P$34*($B86+$I$38-1),IF(AND($L$37=0,$P$34=0),"",$L$37-1)),0,YEARFRAC(MAX($P$34*($B86+$I$38-1),IF(AND($L$37=0,$P$34=0),"",$L$37-1)),MIN(BP$38,$E86),$P$20))-SUM($BF86:BO86))</f>
        <v>0</v>
      </c>
      <c r="BQ86" s="446">
        <f>IF($E86=0,0,IF(MIN(BQ$38,$E86)&lt;MAX($P$34*($B86+$I$38-1),IF(AND($L$37=0,$P$34=0),"",$L$37-1)),0,YEARFRAC(MAX($P$34*($B86+$I$38-1),IF(AND($L$37=0,$P$34=0),"",$L$37-1)),MIN(BQ$38,$E86),$P$20))-SUM($BF86:BP86))</f>
        <v>0</v>
      </c>
      <c r="BR86" s="446">
        <f>IF($E86=0,0,IF(MIN(BR$38,$E86)&lt;MAX($P$34*($B86+$I$38-1),IF(AND($L$37=0,$P$34=0),"",$L$37-1)),0,YEARFRAC(MAX($P$34*($B86+$I$38-1),IF(AND($L$37=0,$P$34=0),"",$L$37-1)),MIN(BR$38,$E86),$P$20))-SUM($BF86:BQ86))</f>
        <v>0</v>
      </c>
      <c r="BS86" s="446">
        <f>IF($E86=0,0,IF(MIN(BS$38,$E86)&lt;MAX($P$34*($B86+$I$38-1),IF(AND($L$37=0,$P$34=0),"",$L$37-1)),0,YEARFRAC(MAX($P$34*($B86+$I$38-1),IF(AND($L$37=0,$P$34=0),"",$L$37-1)),MIN(BS$38,$E86),$P$20))-SUM($BF86:BR86))</f>
        <v>0</v>
      </c>
      <c r="BT86" s="446">
        <f>IF($E86=0,0,IF(MIN(BT$38,$E86)&lt;MAX($P$34*($B86+$I$38-1),IF(AND($L$37=0,$P$34=0),"",$L$37-1)),0,YEARFRAC(MAX($P$34*($B86+$I$38-1),IF(AND($L$37=0,$P$34=0),"",$L$37-1)),MIN(BT$38,$E86),$P$20))-SUM($BF86:BS86))</f>
        <v>0</v>
      </c>
      <c r="BU86" s="446">
        <f>IF($E86=0,0,IF(MIN(BU$38,$E86)&lt;MAX($P$34*($B86+$I$38-1),IF(AND($L$37=0,$P$34=0),"",$L$37-1)),0,YEARFRAC(MAX($P$34*($B86+$I$38-1),IF(AND($L$37=0,$P$34=0),"",$L$37-1)),MIN(BU$38,$E86),$P$20))-SUM($BF86:BT86))</f>
        <v>0</v>
      </c>
      <c r="BV86" s="446">
        <f>IF($E86=0,0,IF(MIN(BV$38,$E86)&lt;MAX($P$34*($B86+$I$38-1),IF(AND($L$37=0,$P$34=0),"",$L$37-1)),0,YEARFRAC(MAX($P$34*($B86+$I$38-1),IF(AND($L$37=0,$P$34=0),"",$L$37-1)),MIN(BV$38,$E86),$P$20))-SUM($BF86:BU86))</f>
        <v>0</v>
      </c>
      <c r="BW86" s="446">
        <f>IF($E86=0,0,IF(MIN(BW$38,$E86)&lt;MAX($P$34*($B86+$I$38-1),IF(AND($L$37=0,$P$34=0),"",$L$37-1)),0,YEARFRAC(MAX($P$34*($B86+$I$38-1),IF(AND($L$37=0,$P$34=0),"",$L$37-1)),MIN(BW$38,$E86),$P$20))-SUM($BF86:BV86))</f>
        <v>0</v>
      </c>
      <c r="BX86" s="446">
        <f>IF($E86=0,0,IF(MIN(BX$38,$E86)&lt;MAX($P$34*($B86+$I$38-1),IF(AND($L$37=0,$P$34=0),"",$L$37-1)),0,YEARFRAC(MAX($P$34*($B86+$I$38-1),IF(AND($L$37=0,$P$34=0),"",$L$37-1)),MIN(BX$38,$E86),$P$20))-SUM($BF86:BW86))</f>
        <v>0</v>
      </c>
      <c r="BY86" s="446">
        <f>IF($E86=0,0,IF(MIN(BY$38,$E86)&lt;MAX($P$34*($B86+$I$38-1),IF(AND($L$37=0,$P$34=0),"",$L$37-1)),0,YEARFRAC(MAX($P$34*($B86+$I$38-1),IF(AND($L$37=0,$P$34=0),"",$L$37-1)),MIN(BY$38,$E86),$P$20))-SUM($BF86:BX86))</f>
        <v>0</v>
      </c>
      <c r="BZ86" s="446">
        <f>IF($E86=0,0,IF(MIN(BZ$38,$E86)&lt;MAX($P$34*($B86+$I$38-1),IF(AND($L$37=0,$P$34=0),"",$L$37-1)),0,YEARFRAC(MAX($P$34*($B86+$I$38-1),IF(AND($L$37=0,$P$34=0),"",$L$37-1)),MIN(BZ$38,$E86),$P$20))-SUM($BF86:BY86))</f>
        <v>0</v>
      </c>
      <c r="CA86" s="446">
        <f>IF($E86=0,0,IF(MIN(CA$38,$E86)&lt;MAX($P$34*($B86+$I$38-1),IF(AND($L$37=0,$P$34=0),"",$L$37-1)),0,YEARFRAC(MAX($P$34*($B86+$I$38-1),IF(AND($L$37=0,$P$34=0),"",$L$37-1)),MIN(CA$38,$E86),$P$20))-SUM($BF86:BZ86))</f>
        <v>0</v>
      </c>
      <c r="CB86" s="446">
        <f>IF($E86=0,0,IF(MIN(CB$38,$E86)&lt;MAX($P$34*($B86+$I$38-1),IF(AND($L$37=0,$P$34=0),"",$L$37-1)),0,YEARFRAC(MAX($P$34*($B86+$I$38-1),IF(AND($L$37=0,$P$34=0),"",$L$37-1)),MIN(CB$38,$E86),$P$20))-SUM($BF86:CA86))</f>
        <v>0</v>
      </c>
      <c r="CC86" s="446">
        <f>IF($E86=0,0,IF(MIN(CC$38,$E86)&lt;MAX($P$34*($B86+$I$38-1),IF(AND($L$37=0,$P$34=0),"",$L$37-1)),0,YEARFRAC(MAX($P$34*($B86+$I$38-1),IF(AND($L$37=0,$P$34=0),"",$L$37-1)),MIN(CC$38,$E86),$P$20))-SUM($BF86:CB86))</f>
        <v>0</v>
      </c>
      <c r="CD86" s="446">
        <f>IF($E86=0,0,IF(MIN(CD$38,$E86)&lt;MAX($P$34*($B86+$I$38-1),IF(AND($L$37=0,$P$34=0),"",$L$37-1)),0,YEARFRAC(MAX($P$34*($B86+$I$38-1),IF(AND($L$37=0,$P$34=0),"",$L$37-1)),MIN(CD$38,$E86),$P$20))-SUM($BF86:CC86))</f>
        <v>0</v>
      </c>
      <c r="CE86" s="446">
        <f>IF($E86=0,0,IF(MIN(CE$38,$E86)&lt;MAX($P$34*($B86+$I$38-1),IF(AND($L$37=0,$P$34=0),"",$L$37-1)),0,YEARFRAC(MAX($P$34*($B86+$I$38-1),IF(AND($L$37=0,$P$34=0),"",$L$37-1)),MIN(CE$38,$E86),$P$20))-SUM($BF86:CD86))</f>
        <v>0</v>
      </c>
      <c r="CF86" s="446">
        <f>IF($E86=0,0,IF(MIN(CF$38,$E86)&lt;MAX($P$34*($B86+$I$38-1),IF(AND($L$37=0,$P$34=0),"",$L$37-1)),0,YEARFRAC(MAX($P$34*($B86+$I$38-1),IF(AND($L$37=0,$P$34=0),"",$L$37-1)),MIN(CF$38,$E86),$P$20))-SUM($BF86:CE86))</f>
        <v>0</v>
      </c>
      <c r="CG86" s="446">
        <f>IF($E86=0,0,IF(MIN(CG$38,$E86)&lt;MAX($P$34*($B86+$I$38-1),IF(AND($L$37=0,$P$34=0),"",$L$37-1)),0,YEARFRAC(MAX($P$34*($B86+$I$38-1),IF(AND($L$37=0,$P$34=0),"",$L$37-1)),MIN(CG$38,$E86),$P$20))-SUM($BF86:CF86))</f>
        <v>0</v>
      </c>
      <c r="CH86" s="446">
        <f>IF($E86=0,0,IF(MIN(CH$38,$E86)&lt;MAX($P$34*($B86+$I$38-1),IF(AND($L$37=0,$P$34=0),"",$L$37-1)),0,YEARFRAC(MAX($P$34*($B86+$I$38-1),IF(AND($L$37=0,$P$34=0),"",$L$37-1)),MIN(CH$38,$E86),$P$20))-SUM($BF86:CG86))</f>
        <v>0</v>
      </c>
      <c r="CI86" s="446">
        <f>IF($E86=0,0,IF(MIN(CI$38,$E86)&lt;MAX($P$34*($B86+$I$38-1),IF(AND($L$37=0,$P$34=0),"",$L$37-1)),0,YEARFRAC(MAX($P$34*($B86+$I$38-1),IF(AND($L$37=0,$P$34=0),"",$L$37-1)),MIN(CI$38,$E86),$P$20))-SUM($BF86:CH86))</f>
        <v>0</v>
      </c>
      <c r="CJ86" s="446">
        <f>IF($E86=0,0,IF(MIN(CJ$38,$E86)&lt;MAX($P$34*($B86+$I$38-1),IF(AND($L$37=0,$P$34=0),"",$L$37-1)),0,YEARFRAC(MAX($P$34*($B86+$I$38-1),IF(AND($L$37=0,$P$34=0),"",$L$37-1)),MIN(CJ$38,$E86),$P$20))-SUM($BF86:CI86))</f>
        <v>0</v>
      </c>
      <c r="CK86" s="446">
        <f>IF($E86=0,0,IF(MIN(CK$38,$E86)&lt;MAX($P$34*($B86+$I$38-1),IF(AND($L$37=0,$P$34=0),"",$L$37-1)),0,YEARFRAC(MAX($P$34*($B86+$I$38-1),IF(AND($L$37=0,$P$34=0),"",$L$37-1)),MIN(CK$38,$E86),$P$20))-SUM($BF86:CJ86))</f>
        <v>0</v>
      </c>
      <c r="CL86" s="446">
        <f>IF($E86=0,0,IF(MIN(CL$38,$E86)&lt;MAX($P$34*($B86+$I$38-1),IF(AND($L$37=0,$P$34=0),"",$L$37-1)),0,YEARFRAC(MAX($P$34*($B86+$I$38-1),IF(AND($L$37=0,$P$34=0),"",$L$37-1)),MIN(CL$38,$E86),$P$20))-SUM($BF86:CK86))</f>
        <v>0</v>
      </c>
      <c r="CM86" s="446">
        <f>IF($E86=0,0,IF(MIN(CM$38,$E86)&lt;MAX($P$34*($B86+$I$38-1),IF(AND($L$37=0,$P$34=0),"",$L$37-1)),0,YEARFRAC(MAX($P$34*($B86+$I$38-1),IF(AND($L$37=0,$P$34=0),"",$L$37-1)),MIN(CM$38,$E86),$P$20))-SUM($BF86:CL86))</f>
        <v>0</v>
      </c>
      <c r="CN86" s="446">
        <f>IF($E86=0,0,IF(MIN(CN$38,$E86)&lt;MAX($P$34*($B86+$I$38-1),IF(AND($L$37=0,$P$34=0),"",$L$37-1)),0,YEARFRAC(MAX($P$34*($B86+$I$38-1),IF(AND($L$37=0,$P$34=0),"",$L$37-1)),MIN(CN$38,$E86),$P$20))-SUM($BF86:CM86))</f>
        <v>0</v>
      </c>
      <c r="CO86" s="446">
        <f>IF($E86=0,0,IF(MIN(CO$38,$E86)&lt;MAX($P$34*($B86+$I$38-1),IF(AND($L$37=0,$P$34=0),"",$L$37-1)),0,YEARFRAC(MAX($P$34*($B86+$I$38-1),IF(AND($L$37=0,$P$34=0),"",$L$37-1)),MIN(CO$38,$E86),$P$20))-SUM($BF86:CN86))</f>
        <v>0</v>
      </c>
      <c r="CP86" s="446">
        <f>IF($E86=0,0,IF(MIN(CP$38,$E86)&lt;MAX($P$34*($B86+$I$38-1),IF(AND($L$37=0,$P$34=0),"",$L$37-1)),0,YEARFRAC(MAX($P$34*($B86+$I$38-1),IF(AND($L$37=0,$P$34=0),"",$L$37-1)),MIN(CP$38,$E86),$P$20))-SUM($BF86:CO86))</f>
        <v>0</v>
      </c>
      <c r="CQ86" s="446">
        <f>IF($E86=0,0,IF(MIN(CQ$38,$E86)&lt;MAX($P$34*($B86+$I$38-1),IF(AND($L$37=0,$P$34=0),"",$L$37-1)),0,YEARFRAC(MAX($P$34*($B86+$I$38-1),IF(AND($L$37=0,$P$34=0),"",$L$37-1)),MIN(CQ$38,$E86),$P$20))-SUM($BF86:CP86))</f>
        <v>0</v>
      </c>
    </row>
    <row r="87" spans="1:95" s="446" customFormat="1" ht="11.25" hidden="1" customHeight="1" x14ac:dyDescent="0.2">
      <c r="A87" s="152"/>
      <c r="B87" s="153" t="str">
        <f t="shared" si="15"/>
        <v/>
      </c>
      <c r="C87" s="29" t="str">
        <f>IF(B87="","",IF($L$35="SELIC - TRIBUTOS",VLOOKUP(DATE(YEAR($D$19),MONTH($D$19)-1,1),ÍNDICES!$A:$DE,HLOOKUP($BL$25,ÍNDICES!$B$3:$T$4,2)+11)-VLOOKUP(B87,ÍNDICES!$A:$DE,HLOOKUP($BL$25,ÍNDICES!$B$3:$T$4,2)+11)+1%,IF(C$38=$W$26,$J$35,IF(ISERROR(IF(B87&gt;$D$19,1,VLOOKUP(DATE(YEAR(B87),MONTH(B87)+IF($C$35=$S$23,1,0),1),ÍNDICES!$A:$DE,$Z$35+1))),"",IF(B87&gt;$D$19,1,VLOOKUP(DATE(YEAR(B87),MONTH(B87)+IF($C$35=$S$23,1,0),1),ÍNDICES!$A:$DE,$Z$35+1))))))</f>
        <v/>
      </c>
      <c r="D87" s="154" t="str">
        <f>IF(ISERROR(IF(OR($D$38=$Y$27,$B87=""),"",VLOOKUP(B87,ÍNDICES!A:DE,AF$35+1))),"",IF(OR($D$38=$Y$27,$B87=""),"",VLOOKUP(B87,ÍNDICES!A:DE,AF$35+1)))</f>
        <v/>
      </c>
      <c r="E87" s="153"/>
      <c r="F87" s="29" t="str">
        <f>IF(E87="","",IF($L$35="SELIC - TRIBUTOS",VLOOKUP(DATE(YEAR($D$19),MONTH($D$19)-1,1),ÍNDICES!$A:$DE,HLOOKUP($BL$25,ÍNDICES!$B$3:$T$4,2)+11)-VLOOKUP(E87,ÍNDICES!$A:$DE,HLOOKUP($BL$25,ÍNDICES!$B$3:$T$4,2)+11)+1%,IF(F$38=$W$26,$J$35,IF(ISERROR(IF(E87&gt;$D$19,1,VLOOKUP(DATE(YEAR(E87),MONTH(E87)+IF($C$35=$S$23,1,0),1),ÍNDICES!$A:$DE,$Z$35+1))),"",IF(E87&gt;$D$19,1,VLOOKUP(DATE(YEAR(E87),MONTH(E87)+IF($C$35=$S$23,1,0),1),ÍNDICES!$A:$DE,$Z$35+1))))))</f>
        <v/>
      </c>
      <c r="G87" s="155"/>
      <c r="H87" s="156" t="str">
        <f t="shared" si="11"/>
        <v/>
      </c>
      <c r="I87" s="29" t="str">
        <f t="shared" si="5"/>
        <v/>
      </c>
      <c r="J87" s="5">
        <f t="shared" si="6"/>
        <v>0</v>
      </c>
      <c r="K87" s="20">
        <f t="shared" ca="1" si="7"/>
        <v>0</v>
      </c>
      <c r="L87" s="5">
        <f t="shared" ca="1" si="8"/>
        <v>0</v>
      </c>
      <c r="M87" s="64">
        <f t="shared" si="12"/>
        <v>0</v>
      </c>
      <c r="N87" s="61">
        <f t="shared" ca="1" si="13"/>
        <v>0</v>
      </c>
      <c r="O87" s="5">
        <f t="shared" ca="1" si="14"/>
        <v>0</v>
      </c>
      <c r="P87" s="446" t="e">
        <f t="shared" si="9"/>
        <v>#VALUE!</v>
      </c>
      <c r="Q87" s="446" t="e">
        <f>IF(OR($B87="",MIN(Q$38,$D$19)&lt;MAX($P$34*($B87+IF($R$17="Distrato",$I$38-1,0)),IF(AND($L$37=0,$P$34=0),"",$L$37-1),IF($R$17="Distrato",$E87,0))),0,YEARFRAC(MAX($P$34*($B87+IF($R$17="Distrato",$I$38-1,0)),IF(AND($L$37=0,$P$34=0),"",$L$37-1),IF($R$17="Distrato",$E87,0)),MIN(Q$38,$D$19),$P$20))-SUM($P87:P87)</f>
        <v>#VALUE!</v>
      </c>
      <c r="R87" s="446" t="e">
        <f>IF(OR($B87="",MIN(R$38,$D$19)&lt;MAX($P$34*($B87+IF($R$17="Distrato",$I$38-1,0)),IF(AND($L$37=0,$P$34=0),"",$L$37-1),IF($R$17="Distrato",$E87,0))),0,YEARFRAC(MAX($P$34*($B87+IF($R$17="Distrato",$I$38-1,0)),IF(AND($L$37=0,$P$34=0),"",$L$37-1),IF($R$17="Distrato",$E87,0)),MIN(R$38,$D$19),$P$20))-SUM($P87:Q87)</f>
        <v>#VALUE!</v>
      </c>
      <c r="S87" s="446" t="e">
        <f>IF(OR($B87="",MIN(S$38,$D$19)&lt;MAX($P$34*($B87+IF($R$17="Distrato",$I$38-1,0)),IF(AND($L$37=0,$P$34=0),"",$L$37-1),IF($R$17="Distrato",$E87,0))),0,YEARFRAC(MAX($P$34*($B87+IF($R$17="Distrato",$I$38-1,0)),IF(AND($L$37=0,$P$34=0),"",$L$37-1),IF($R$17="Distrato",$E87,0)),MIN(S$38,$D$19),$P$20))-SUM($P87:R87)</f>
        <v>#VALUE!</v>
      </c>
      <c r="T87" s="446" t="e">
        <f>IF(OR($B87="",MIN(T$38,$D$19)&lt;MAX($P$34*($B87+IF($R$17="Distrato",$I$38-1,0)),IF(AND($L$37=0,$P$34=0),"",$L$37-1),IF($R$17="Distrato",$E87,0))),0,YEARFRAC(MAX($P$34*($B87+IF($R$17="Distrato",$I$38-1,0)),IF(AND($L$37=0,$P$34=0),"",$L$37-1),IF($R$17="Distrato",$E87,0)),MIN(T$38,$D$19),$P$20))-SUM($P87:S87)</f>
        <v>#VALUE!</v>
      </c>
      <c r="U87" s="446" t="e">
        <f>IF(OR($B87="",MIN(U$38,$D$19)&lt;MAX($P$34*($B87+IF($R$17="Distrato",$I$38-1,0)),IF(AND($L$37=0,$P$34=0),"",$L$37-1),IF($R$17="Distrato",$E87,0))),0,YEARFRAC(MAX($P$34*($B87+IF($R$17="Distrato",$I$38-1,0)),IF(AND($L$37=0,$P$34=0),"",$L$37-1),IF($R$17="Distrato",$E87,0)),MIN(U$38,$D$19),$P$20))-SUM($P87:T87)</f>
        <v>#VALUE!</v>
      </c>
      <c r="V87" s="446" t="e">
        <f>IF(OR($B87="",MIN(V$38,$D$19)&lt;MAX($P$34*($B87+IF($R$17="Distrato",$I$38-1,0)),IF(AND($L$37=0,$P$34=0),"",$L$37-1),IF($R$17="Distrato",$E87,0))),0,YEARFRAC(MAX($P$34*($B87+IF($R$17="Distrato",$I$38-1,0)),IF(AND($L$37=0,$P$34=0),"",$L$37-1),IF($R$17="Distrato",$E87,0)),MIN(V$38,$D$19),$P$20))-SUM($P87:U87)</f>
        <v>#VALUE!</v>
      </c>
      <c r="W87" s="446" t="e">
        <f>IF(OR($B87="",MIN(W$38,$D$19)&lt;MAX($P$34*($B87+IF($R$17="Distrato",$I$38-1,0)),IF(AND($L$37=0,$P$34=0),"",$L$37-1),IF($R$17="Distrato",$E87,0))),0,YEARFRAC(MAX($P$34*($B87+IF($R$17="Distrato",$I$38-1,0)),IF(AND($L$37=0,$P$34=0),"",$L$37-1),IF($R$17="Distrato",$E87,0)),MIN(W$38,$D$19),$P$20))-SUM($P87:V87)</f>
        <v>#VALUE!</v>
      </c>
      <c r="X87" s="446" t="e">
        <f>IF(OR($B87="",MIN(X$38,$D$19)&lt;MAX($P$34*($B87+IF($R$17="Distrato",$I$38-1,0)),IF(AND($L$37=0,$P$34=0),"",$L$37-1),IF($R$17="Distrato",$E87,0))),0,YEARFRAC(MAX($P$34*($B87+IF($R$17="Distrato",$I$38-1,0)),IF(AND($L$37=0,$P$34=0),"",$L$37-1),IF($R$17="Distrato",$E87,0)),MIN(X$38,$D$19),$P$20))-SUM($P87:W87)</f>
        <v>#VALUE!</v>
      </c>
      <c r="Y87" s="446" t="e">
        <f>IF(OR($B87="",MIN(Y$38,$D$19)&lt;MAX($P$34*($B87+IF($R$17="Distrato",$I$38-1,0)),IF(AND($L$37=0,$P$34=0),"",$L$37-1),IF($R$17="Distrato",$E87,0))),0,YEARFRAC(MAX($P$34*($B87+IF($R$17="Distrato",$I$38-1,0)),IF(AND($L$37=0,$P$34=0),"",$L$37-1),IF($R$17="Distrato",$E87,0)),MIN(Y$38,$D$19),$P$20))-SUM($P87:X87)</f>
        <v>#VALUE!</v>
      </c>
      <c r="Z87" s="446" t="e">
        <f>IF(OR($B87="",MIN(Z$38,$D$19)&lt;MAX($P$34*($B87+IF($R$17="Distrato",$I$38-1,0)),IF(AND($L$37=0,$P$34=0),"",$L$37-1),IF($R$17="Distrato",$E87,0))),0,YEARFRAC(MAX($P$34*($B87+IF($R$17="Distrato",$I$38-1,0)),IF(AND($L$37=0,$P$34=0),"",$L$37-1),IF($R$17="Distrato",$E87,0)),MIN(Z$38,$D$19),$P$20))-SUM($P87:Y87)</f>
        <v>#VALUE!</v>
      </c>
      <c r="AA87" s="446" t="e">
        <f>IF(OR($B87="",MIN(AA$38,$D$19)&lt;MAX($P$34*($B87+IF($R$17="Distrato",$I$38-1,0)),IF(AND($L$37=0,$P$34=0),"",$L$37-1),IF($R$17="Distrato",$E87,0))),0,YEARFRAC(MAX($P$34*($B87+IF($R$17="Distrato",$I$38-1,0)),IF(AND($L$37=0,$P$34=0),"",$L$37-1),IF($R$17="Distrato",$E87,0)),MIN(AA$38,$D$19),$P$20))-SUM($P87:Z87)</f>
        <v>#VALUE!</v>
      </c>
      <c r="AB87" s="446" t="e">
        <f>IF(OR($B87="",MIN(AB$38,$D$19)&lt;MAX($P$34*($B87+IF($R$17="Distrato",$I$38-1,0)),IF(AND($L$37=0,$P$34=0),"",$L$37-1),IF($R$17="Distrato",$E87,0))),0,YEARFRAC(MAX($P$34*($B87+IF($R$17="Distrato",$I$38-1,0)),IF(AND($L$37=0,$P$34=0),"",$L$37-1),IF($R$17="Distrato",$E87,0)),MIN(AB$38,$D$19),$P$20))-SUM($P87:AA87)</f>
        <v>#VALUE!</v>
      </c>
      <c r="AC87" s="446" t="e">
        <f>IF(OR($B87="",MIN(AC$38,$D$19)&lt;MAX($P$34*($B87+IF($R$17="Distrato",$I$38-1,0)),IF(AND($L$37=0,$P$34=0),"",$L$37-1),IF($R$17="Distrato",$E87,0))),0,YEARFRAC(MAX($P$34*($B87+IF($R$17="Distrato",$I$38-1,0)),IF(AND($L$37=0,$P$34=0),"",$L$37-1),IF($R$17="Distrato",$E87,0)),MIN(AC$38,$D$19),$P$20))-SUM($P87:AB87)</f>
        <v>#VALUE!</v>
      </c>
      <c r="AD87" s="446" t="e">
        <f>IF(OR($B87="",MIN(AD$38,$D$19)&lt;MAX($P$34*($B87+IF($R$17="Distrato",$I$38-1,0)),IF(AND($L$37=0,$P$34=0),"",$L$37-1),IF($R$17="Distrato",$E87,0))),0,YEARFRAC(MAX($P$34*($B87+IF($R$17="Distrato",$I$38-1,0)),IF(AND($L$37=0,$P$34=0),"",$L$37-1),IF($R$17="Distrato",$E87,0)),MIN(AD$38,$D$19),$P$20))-SUM($P87:AC87)</f>
        <v>#VALUE!</v>
      </c>
      <c r="AE87" s="446" t="e">
        <f>IF(OR($B87="",MIN(AE$38,$D$19)&lt;MAX($P$34*($B87+IF($R$17="Distrato",$I$38-1,0)),IF(AND($L$37=0,$P$34=0),"",$L$37-1),IF($R$17="Distrato",$E87,0))),0,YEARFRAC(MAX($P$34*($B87+IF($R$17="Distrato",$I$38-1,0)),IF(AND($L$37=0,$P$34=0),"",$L$37-1),IF($R$17="Distrato",$E87,0)),MIN(AE$38,$D$19),$P$20))-SUM($P87:AD87)</f>
        <v>#VALUE!</v>
      </c>
      <c r="AF87" s="446" t="e">
        <f>IF(OR($B87="",MIN(AF$38,$D$19)&lt;MAX($P$34*($B87+IF($R$17="Distrato",$I$38-1,0)),IF(AND($L$37=0,$P$34=0),"",$L$37-1),IF($R$17="Distrato",$E87,0))),0,YEARFRAC(MAX($P$34*($B87+IF($R$17="Distrato",$I$38-1,0)),IF(AND($L$37=0,$P$34=0),"",$L$37-1),IF($R$17="Distrato",$E87,0)),MIN(AF$38,$D$19),$P$20))-SUM($P87:AE87)</f>
        <v>#VALUE!</v>
      </c>
      <c r="AG87" s="446" t="e">
        <f>IF(OR($B87="",MIN(AG$38,$D$19)&lt;MAX($P$34*($B87+IF($R$17="Distrato",$I$38-1,0)),IF(AND($L$37=0,$P$34=0),"",$L$37-1),IF($R$17="Distrato",$E87,0))),0,YEARFRAC(MAX($P$34*($B87+IF($R$17="Distrato",$I$38-1,0)),IF(AND($L$37=0,$P$34=0),"",$L$37-1),IF($R$17="Distrato",$E87,0)),MIN(AG$38,$D$19),$P$20))-SUM($P87:AF87)</f>
        <v>#VALUE!</v>
      </c>
      <c r="AH87" s="446" t="e">
        <f>IF(OR($B87="",MIN(AH$38,$D$19)&lt;MAX($P$34*($B87+IF($R$17="Distrato",$I$38-1,0)),IF(AND($L$37=0,$P$34=0),"",$L$37-1),IF($R$17="Distrato",$E87,0))),0,YEARFRAC(MAX($P$34*($B87+IF($R$17="Distrato",$I$38-1,0)),IF(AND($L$37=0,$P$34=0),"",$L$37-1),IF($R$17="Distrato",$E87,0)),MIN(AH$38,$D$19),$P$20))-SUM($P87:AG87)</f>
        <v>#VALUE!</v>
      </c>
      <c r="AI87" s="446" t="e">
        <f>IF(OR($B87="",MIN(AI$38,$D$19)&lt;MAX($P$34*($B87+IF($R$17="Distrato",$I$38-1,0)),IF(AND($L$37=0,$P$34=0),"",$L$37-1),IF($R$17="Distrato",$E87,0))),0,YEARFRAC(MAX($P$34*($B87+IF($R$17="Distrato",$I$38-1,0)),IF(AND($L$37=0,$P$34=0),"",$L$37-1),IF($R$17="Distrato",$E87,0)),MIN(AI$38,$D$19),$P$20))-SUM($P87:AH87)</f>
        <v>#VALUE!</v>
      </c>
      <c r="AJ87" s="446" t="e">
        <f>IF(OR($B87="",MIN(AJ$38,$D$19)&lt;MAX($P$34*($B87+IF($R$17="Distrato",$I$38-1,0)),IF(AND($L$37=0,$P$34=0),"",$L$37-1),IF($R$17="Distrato",$E87,0))),0,YEARFRAC(MAX($P$34*($B87+IF($R$17="Distrato",$I$38-1,0)),IF(AND($L$37=0,$P$34=0),"",$L$37-1),IF($R$17="Distrato",$E87,0)),MIN(AJ$38,$D$19),$P$20))-SUM($P87:AI87)</f>
        <v>#VALUE!</v>
      </c>
      <c r="AK87" s="446" t="e">
        <f>IF(OR($B87="",MIN(AK$38,$D$19)&lt;MAX($P$34*($B87+IF($R$17="Distrato",$I$38-1,0)),IF(AND($L$37=0,$P$34=0),"",$L$37-1),IF($R$17="Distrato",$E87,0))),0,YEARFRAC(MAX($P$34*($B87+IF($R$17="Distrato",$I$38-1,0)),IF(AND($L$37=0,$P$34=0),"",$L$37-1),IF($R$17="Distrato",$E87,0)),MIN(AK$38,$D$19),$P$20))-SUM($P87:AJ87)</f>
        <v>#VALUE!</v>
      </c>
      <c r="AL87" s="446" t="e">
        <f>IF(OR($B87="",MIN(AL$38,$D$19)&lt;MAX($P$34*($B87+IF($R$17="Distrato",$I$38-1,0)),IF(AND($L$37=0,$P$34=0),"",$L$37-1),IF($R$17="Distrato",$E87,0))),0,YEARFRAC(MAX($P$34*($B87+IF($R$17="Distrato",$I$38-1,0)),IF(AND($L$37=0,$P$34=0),"",$L$37-1),IF($R$17="Distrato",$E87,0)),MIN(AL$38,$D$19),$P$20))-SUM($P87:AK87)</f>
        <v>#VALUE!</v>
      </c>
      <c r="AM87" s="446" t="e">
        <f>IF(OR($B87="",MIN(AM$38,$D$19)&lt;MAX($P$34*($B87+IF($R$17="Distrato",$I$38-1,0)),IF(AND($L$37=0,$P$34=0),"",$L$37-1),IF($R$17="Distrato",$E87,0))),0,YEARFRAC(MAX($P$34*($B87+IF($R$17="Distrato",$I$38-1,0)),IF(AND($L$37=0,$P$34=0),"",$L$37-1),IF($R$17="Distrato",$E87,0)),MIN(AM$38,$D$19),$P$20))-SUM($P87:AL87)</f>
        <v>#VALUE!</v>
      </c>
      <c r="AN87" s="446" t="e">
        <f>IF(OR($B87="",MIN(AN$38,$D$19)&lt;MAX($P$34*($B87+IF($R$17="Distrato",$I$38-1,0)),IF(AND($L$37=0,$P$34=0),"",$L$37-1),IF($R$17="Distrato",$E87,0))),0,YEARFRAC(MAX($P$34*($B87+IF($R$17="Distrato",$I$38-1,0)),IF(AND($L$37=0,$P$34=0),"",$L$37-1),IF($R$17="Distrato",$E87,0)),MIN(AN$38,$D$19),$P$20))-SUM($P87:AM87)</f>
        <v>#VALUE!</v>
      </c>
      <c r="AO87" s="446" t="e">
        <f>IF(OR($B87="",MIN(AO$38,$D$19)&lt;MAX($P$34*($B87+IF($R$17="Distrato",$I$38-1,0)),IF(AND($L$37=0,$P$34=0),"",$L$37-1),IF($R$17="Distrato",$E87,0))),0,YEARFRAC(MAX($P$34*($B87+IF($R$17="Distrato",$I$38-1,0)),IF(AND($L$37=0,$P$34=0),"",$L$37-1),IF($R$17="Distrato",$E87,0)),MIN(AO$38,$D$19),$P$20))-SUM($P87:AN87)</f>
        <v>#VALUE!</v>
      </c>
      <c r="AP87" s="446" t="e">
        <f>IF(OR($B87="",MIN(AP$38,$D$19)&lt;MAX($P$34*($B87+IF($R$17="Distrato",$I$38-1,0)),IF(AND($L$37=0,$P$34=0),"",$L$37-1),IF($R$17="Distrato",$E87,0))),0,YEARFRAC(MAX($P$34*($B87+IF($R$17="Distrato",$I$38-1,0)),IF(AND($L$37=0,$P$34=0),"",$L$37-1),IF($R$17="Distrato",$E87,0)),MIN(AP$38,$D$19),$P$20))-SUM($P87:AO87)</f>
        <v>#VALUE!</v>
      </c>
      <c r="AQ87" s="446" t="e">
        <f>IF(OR($B87="",MIN(AQ$38,$D$19)&lt;MAX($P$34*($B87+IF($R$17="Distrato",$I$38-1,0)),IF(AND($L$37=0,$P$34=0),"",$L$37-1),IF($R$17="Distrato",$E87,0))),0,YEARFRAC(MAX($P$34*($B87+IF($R$17="Distrato",$I$38-1,0)),IF(AND($L$37=0,$P$34=0),"",$L$37-1),IF($R$17="Distrato",$E87,0)),MIN(AQ$38,$D$19),$P$20))-SUM($P87:AP87)</f>
        <v>#VALUE!</v>
      </c>
      <c r="AR87" s="446" t="e">
        <f>IF(OR($B87="",MIN(AR$38,$D$19)&lt;MAX($P$34*($B87+IF($R$17="Distrato",$I$38-1,0)),IF(AND($L$37=0,$P$34=0),"",$L$37-1),IF($R$17="Distrato",$E87,0))),0,YEARFRAC(MAX($P$34*($B87+IF($R$17="Distrato",$I$38-1,0)),IF(AND($L$37=0,$P$34=0),"",$L$37-1),IF($R$17="Distrato",$E87,0)),MIN(AR$38,$D$19),$P$20))-SUM($P87:AQ87)</f>
        <v>#VALUE!</v>
      </c>
      <c r="AS87" s="446" t="e">
        <f>IF(OR($B87="",MIN(AS$38,$D$19)&lt;MAX($P$34*($B87+IF($R$17="Distrato",$I$38-1,0)),IF(AND($L$37=0,$P$34=0),"",$L$37-1),IF($R$17="Distrato",$E87,0))),0,YEARFRAC(MAX($P$34*($B87+IF($R$17="Distrato",$I$38-1,0)),IF(AND($L$37=0,$P$34=0),"",$L$37-1),IF($R$17="Distrato",$E87,0)),MIN(AS$38,$D$19),$P$20))-SUM($P87:AR87)</f>
        <v>#VALUE!</v>
      </c>
      <c r="AT87" s="446" t="e">
        <f>IF(OR($B87="",MIN(AT$38,$D$19)&lt;MAX($P$34*($B87+IF($R$17="Distrato",$I$38-1,0)),IF(AND($L$37=0,$P$34=0),"",$L$37-1),IF($R$17="Distrato",$E87,0))),0,YEARFRAC(MAX($P$34*($B87+IF($R$17="Distrato",$I$38-1,0)),IF(AND($L$37=0,$P$34=0),"",$L$37-1),IF($R$17="Distrato",$E87,0)),MIN(AT$38,$D$19),$P$20))-SUM($P87:AS87)</f>
        <v>#VALUE!</v>
      </c>
      <c r="AU87" s="446" t="e">
        <f>IF(OR($B87="",MIN(AU$38,$D$19)&lt;MAX($P$34*($B87+IF($R$17="Distrato",$I$38-1,0)),IF(AND($L$37=0,$P$34=0),"",$L$37-1),IF($R$17="Distrato",$E87,0))),0,YEARFRAC(MAX($P$34*($B87+IF($R$17="Distrato",$I$38-1,0)),IF(AND($L$37=0,$P$34=0),"",$L$37-1),IF($R$17="Distrato",$E87,0)),MIN(AU$38,$D$19),$P$20))-SUM($P87:AT87)</f>
        <v>#VALUE!</v>
      </c>
      <c r="AV87" s="446" t="e">
        <f>IF(OR($B87="",MIN(AV$38,$D$19)&lt;MAX($P$34*($B87+IF($R$17="Distrato",$I$38-1,0)),IF(AND($L$37=0,$P$34=0),"",$L$37-1),IF($R$17="Distrato",$E87,0))),0,YEARFRAC(MAX($P$34*($B87+IF($R$17="Distrato",$I$38-1,0)),IF(AND($L$37=0,$P$34=0),"",$L$37-1),IF($R$17="Distrato",$E87,0)),MIN(AV$38,$D$19),$P$20))-SUM($P87:AU87)</f>
        <v>#VALUE!</v>
      </c>
      <c r="AW87" s="446" t="e">
        <f>IF(OR($B87="",MIN(AW$38,$D$19)&lt;MAX($P$34*($B87+IF($R$17="Distrato",$I$38-1,0)),IF(AND($L$37=0,$P$34=0),"",$L$37-1),IF($R$17="Distrato",$E87,0))),0,YEARFRAC(MAX($P$34*($B87+IF($R$17="Distrato",$I$38-1,0)),IF(AND($L$37=0,$P$34=0),"",$L$37-1),IF($R$17="Distrato",$E87,0)),MIN(AW$38,$D$19),$P$20))-SUM($P87:AV87)</f>
        <v>#VALUE!</v>
      </c>
      <c r="AX87" s="446" t="e">
        <f>IF(OR($B87="",MIN(AX$38,$D$19)&lt;MAX($P$34*($B87+IF($R$17="Distrato",$I$38-1,0)),IF(AND($L$37=0,$P$34=0),"",$L$37-1),IF($R$17="Distrato",$E87,0))),0,YEARFRAC(MAX($P$34*($B87+IF($R$17="Distrato",$I$38-1,0)),IF(AND($L$37=0,$P$34=0),"",$L$37-1),IF($R$17="Distrato",$E87,0)),MIN(AX$38,$D$19),$P$20))-SUM($P87:AW87)</f>
        <v>#VALUE!</v>
      </c>
      <c r="AY87" s="446" t="e">
        <f>IF(OR($B87="",MIN(AY$38,$D$19)&lt;MAX($P$34*($B87+IF($R$17="Distrato",$I$38-1,0)),IF(AND($L$37=0,$P$34=0),"",$L$37-1),IF($R$17="Distrato",$E87,0))),0,YEARFRAC(MAX($P$34*($B87+IF($R$17="Distrato",$I$38-1,0)),IF(AND($L$37=0,$P$34=0),"",$L$37-1),IF($R$17="Distrato",$E87,0)),MIN(AY$38,$D$19),$P$20))-SUM($P87:AX87)</f>
        <v>#VALUE!</v>
      </c>
      <c r="AZ87" s="446" t="e">
        <f>IF(OR($B87="",MIN(AZ$38,$D$19)&lt;MAX($P$34*($B87+IF($R$17="Distrato",$I$38-1,0)),IF(AND($L$37=0,$P$34=0),"",$L$37-1),IF($R$17="Distrato",$E87,0))),0,YEARFRAC(MAX($P$34*($B87+IF($R$17="Distrato",$I$38-1,0)),IF(AND($L$37=0,$P$34=0),"",$L$37-1),IF($R$17="Distrato",$E87,0)),MIN(AZ$38,$D$19),$P$20))-SUM($P87:AY87)</f>
        <v>#VALUE!</v>
      </c>
      <c r="BA87" s="446" t="e">
        <f>IF(OR($B87="",MIN(BA$38,$D$19)&lt;MAX($P$34*($B87+IF($R$17="Distrato",$I$38-1,0)),IF(AND($L$37=0,$P$34=0),"",$L$37-1),IF($R$17="Distrato",$E87,0))),0,YEARFRAC(MAX($P$34*($B87+IF($R$17="Distrato",$I$38-1,0)),IF(AND($L$37=0,$P$34=0),"",$L$37-1),IF($R$17="Distrato",$E87,0)),MIN(BA$38,$D$19),$P$20))-SUM($P87:AZ87)</f>
        <v>#VALUE!</v>
      </c>
      <c r="BB87" s="447"/>
      <c r="BF87" s="446">
        <f t="shared" si="10"/>
        <v>0</v>
      </c>
      <c r="BG87" s="446">
        <f>IF($E87=0,0,IF(MIN(BG$38,$E87)&lt;MAX($P$34*($B87+$I$38-1),IF(AND($L$37=0,$P$34=0),"",$L$37-1)),0,YEARFRAC(MAX($P$34*($B87+$I$38-1),IF(AND($L$37=0,$P$34=0),"",$L$37-1)),MIN(BG$38,$E87),$P$20))-SUM($BF87:BF87))</f>
        <v>0</v>
      </c>
      <c r="BH87" s="446">
        <f>IF($E87=0,0,IF(MIN(BH$38,$E87)&lt;MAX($P$34*($B87+$I$38-1),IF(AND($L$37=0,$P$34=0),"",$L$37-1)),0,YEARFRAC(MAX($P$34*($B87+$I$38-1),IF(AND($L$37=0,$P$34=0),"",$L$37-1)),MIN(BH$38,$E87),$P$20))-SUM($BF87:BG87))</f>
        <v>0</v>
      </c>
      <c r="BI87" s="446">
        <f>IF($E87=0,0,IF(MIN(BI$38,$E87)&lt;MAX($P$34*($B87+$I$38-1),IF(AND($L$37=0,$P$34=0),"",$L$37-1)),0,YEARFRAC(MAX($P$34*($B87+$I$38-1),IF(AND($L$37=0,$P$34=0),"",$L$37-1)),MIN(BI$38,$E87),$P$20))-SUM($BF87:BH87))</f>
        <v>0</v>
      </c>
      <c r="BJ87" s="446">
        <f>IF($E87=0,0,IF(MIN(BJ$38,$E87)&lt;MAX($P$34*($B87+$I$38-1),IF(AND($L$37=0,$P$34=0),"",$L$37-1)),0,YEARFRAC(MAX($P$34*($B87+$I$38-1),IF(AND($L$37=0,$P$34=0),"",$L$37-1)),MIN(BJ$38,$E87),$P$20))-SUM($BF87:BI87))</f>
        <v>0</v>
      </c>
      <c r="BK87" s="446">
        <f>IF($E87=0,0,IF(MIN(BK$38,$E87)&lt;MAX($P$34*($B87+$I$38-1),IF(AND($L$37=0,$P$34=0),"",$L$37-1)),0,YEARFRAC(MAX($P$34*($B87+$I$38-1),IF(AND($L$37=0,$P$34=0),"",$L$37-1)),MIN(BK$38,$E87),$P$20))-SUM($BF87:BJ87))</f>
        <v>0</v>
      </c>
      <c r="BL87" s="446">
        <f>IF($E87=0,0,IF(MIN(BL$38,$E87)&lt;MAX($P$34*($B87+$I$38-1),IF(AND($L$37=0,$P$34=0),"",$L$37-1)),0,YEARFRAC(MAX($P$34*($B87+$I$38-1),IF(AND($L$37=0,$P$34=0),"",$L$37-1)),MIN(BL$38,$E87),$P$20))-SUM($BF87:BK87))</f>
        <v>0</v>
      </c>
      <c r="BM87" s="446">
        <f>IF($E87=0,0,IF(MIN(BM$38,$E87)&lt;MAX($P$34*($B87+$I$38-1),IF(AND($L$37=0,$P$34=0),"",$L$37-1)),0,YEARFRAC(MAX($P$34*($B87+$I$38-1),IF(AND($L$37=0,$P$34=0),"",$L$37-1)),MIN(BM$38,$E87),$P$20))-SUM($BF87:BL87))</f>
        <v>0</v>
      </c>
      <c r="BN87" s="446">
        <f>IF($E87=0,0,IF(MIN(BN$38,$E87)&lt;MAX($P$34*($B87+$I$38-1),IF(AND($L$37=0,$P$34=0),"",$L$37-1)),0,YEARFRAC(MAX($P$34*($B87+$I$38-1),IF(AND($L$37=0,$P$34=0),"",$L$37-1)),MIN(BN$38,$E87),$P$20))-SUM($BF87:BM87))</f>
        <v>0</v>
      </c>
      <c r="BO87" s="446">
        <f>IF($E87=0,0,IF(MIN(BO$38,$E87)&lt;MAX($P$34*($B87+$I$38-1),IF(AND($L$37=0,$P$34=0),"",$L$37-1)),0,YEARFRAC(MAX($P$34*($B87+$I$38-1),IF(AND($L$37=0,$P$34=0),"",$L$37-1)),MIN(BO$38,$E87),$P$20))-SUM($BF87:BN87))</f>
        <v>0</v>
      </c>
      <c r="BP87" s="446">
        <f>IF($E87=0,0,IF(MIN(BP$38,$E87)&lt;MAX($P$34*($B87+$I$38-1),IF(AND($L$37=0,$P$34=0),"",$L$37-1)),0,YEARFRAC(MAX($P$34*($B87+$I$38-1),IF(AND($L$37=0,$P$34=0),"",$L$37-1)),MIN(BP$38,$E87),$P$20))-SUM($BF87:BO87))</f>
        <v>0</v>
      </c>
      <c r="BQ87" s="446">
        <f>IF($E87=0,0,IF(MIN(BQ$38,$E87)&lt;MAX($P$34*($B87+$I$38-1),IF(AND($L$37=0,$P$34=0),"",$L$37-1)),0,YEARFRAC(MAX($P$34*($B87+$I$38-1),IF(AND($L$37=0,$P$34=0),"",$L$37-1)),MIN(BQ$38,$E87),$P$20))-SUM($BF87:BP87))</f>
        <v>0</v>
      </c>
      <c r="BR87" s="446">
        <f>IF($E87=0,0,IF(MIN(BR$38,$E87)&lt;MAX($P$34*($B87+$I$38-1),IF(AND($L$37=0,$P$34=0),"",$L$37-1)),0,YEARFRAC(MAX($P$34*($B87+$I$38-1),IF(AND($L$37=0,$P$34=0),"",$L$37-1)),MIN(BR$38,$E87),$P$20))-SUM($BF87:BQ87))</f>
        <v>0</v>
      </c>
      <c r="BS87" s="446">
        <f>IF($E87=0,0,IF(MIN(BS$38,$E87)&lt;MAX($P$34*($B87+$I$38-1),IF(AND($L$37=0,$P$34=0),"",$L$37-1)),0,YEARFRAC(MAX($P$34*($B87+$I$38-1),IF(AND($L$37=0,$P$34=0),"",$L$37-1)),MIN(BS$38,$E87),$P$20))-SUM($BF87:BR87))</f>
        <v>0</v>
      </c>
      <c r="BT87" s="446">
        <f>IF($E87=0,0,IF(MIN(BT$38,$E87)&lt;MAX($P$34*($B87+$I$38-1),IF(AND($L$37=0,$P$34=0),"",$L$37-1)),0,YEARFRAC(MAX($P$34*($B87+$I$38-1),IF(AND($L$37=0,$P$34=0),"",$L$37-1)),MIN(BT$38,$E87),$P$20))-SUM($BF87:BS87))</f>
        <v>0</v>
      </c>
      <c r="BU87" s="446">
        <f>IF($E87=0,0,IF(MIN(BU$38,$E87)&lt;MAX($P$34*($B87+$I$38-1),IF(AND($L$37=0,$P$34=0),"",$L$37-1)),0,YEARFRAC(MAX($P$34*($B87+$I$38-1),IF(AND($L$37=0,$P$34=0),"",$L$37-1)),MIN(BU$38,$E87),$P$20))-SUM($BF87:BT87))</f>
        <v>0</v>
      </c>
      <c r="BV87" s="446">
        <f>IF($E87=0,0,IF(MIN(BV$38,$E87)&lt;MAX($P$34*($B87+$I$38-1),IF(AND($L$37=0,$P$34=0),"",$L$37-1)),0,YEARFRAC(MAX($P$34*($B87+$I$38-1),IF(AND($L$37=0,$P$34=0),"",$L$37-1)),MIN(BV$38,$E87),$P$20))-SUM($BF87:BU87))</f>
        <v>0</v>
      </c>
      <c r="BW87" s="446">
        <f>IF($E87=0,0,IF(MIN(BW$38,$E87)&lt;MAX($P$34*($B87+$I$38-1),IF(AND($L$37=0,$P$34=0),"",$L$37-1)),0,YEARFRAC(MAX($P$34*($B87+$I$38-1),IF(AND($L$37=0,$P$34=0),"",$L$37-1)),MIN(BW$38,$E87),$P$20))-SUM($BF87:BV87))</f>
        <v>0</v>
      </c>
      <c r="BX87" s="446">
        <f>IF($E87=0,0,IF(MIN(BX$38,$E87)&lt;MAX($P$34*($B87+$I$38-1),IF(AND($L$37=0,$P$34=0),"",$L$37-1)),0,YEARFRAC(MAX($P$34*($B87+$I$38-1),IF(AND($L$37=0,$P$34=0),"",$L$37-1)),MIN(BX$38,$E87),$P$20))-SUM($BF87:BW87))</f>
        <v>0</v>
      </c>
      <c r="BY87" s="446">
        <f>IF($E87=0,0,IF(MIN(BY$38,$E87)&lt;MAX($P$34*($B87+$I$38-1),IF(AND($L$37=0,$P$34=0),"",$L$37-1)),0,YEARFRAC(MAX($P$34*($B87+$I$38-1),IF(AND($L$37=0,$P$34=0),"",$L$37-1)),MIN(BY$38,$E87),$P$20))-SUM($BF87:BX87))</f>
        <v>0</v>
      </c>
      <c r="BZ87" s="446">
        <f>IF($E87=0,0,IF(MIN(BZ$38,$E87)&lt;MAX($P$34*($B87+$I$38-1),IF(AND($L$37=0,$P$34=0),"",$L$37-1)),0,YEARFRAC(MAX($P$34*($B87+$I$38-1),IF(AND($L$37=0,$P$34=0),"",$L$37-1)),MIN(BZ$38,$E87),$P$20))-SUM($BF87:BY87))</f>
        <v>0</v>
      </c>
      <c r="CA87" s="446">
        <f>IF($E87=0,0,IF(MIN(CA$38,$E87)&lt;MAX($P$34*($B87+$I$38-1),IF(AND($L$37=0,$P$34=0),"",$L$37-1)),0,YEARFRAC(MAX($P$34*($B87+$I$38-1),IF(AND($L$37=0,$P$34=0),"",$L$37-1)),MIN(CA$38,$E87),$P$20))-SUM($BF87:BZ87))</f>
        <v>0</v>
      </c>
      <c r="CB87" s="446">
        <f>IF($E87=0,0,IF(MIN(CB$38,$E87)&lt;MAX($P$34*($B87+$I$38-1),IF(AND($L$37=0,$P$34=0),"",$L$37-1)),0,YEARFRAC(MAX($P$34*($B87+$I$38-1),IF(AND($L$37=0,$P$34=0),"",$L$37-1)),MIN(CB$38,$E87),$P$20))-SUM($BF87:CA87))</f>
        <v>0</v>
      </c>
      <c r="CC87" s="446">
        <f>IF($E87=0,0,IF(MIN(CC$38,$E87)&lt;MAX($P$34*($B87+$I$38-1),IF(AND($L$37=0,$P$34=0),"",$L$37-1)),0,YEARFRAC(MAX($P$34*($B87+$I$38-1),IF(AND($L$37=0,$P$34=0),"",$L$37-1)),MIN(CC$38,$E87),$P$20))-SUM($BF87:CB87))</f>
        <v>0</v>
      </c>
      <c r="CD87" s="446">
        <f>IF($E87=0,0,IF(MIN(CD$38,$E87)&lt;MAX($P$34*($B87+$I$38-1),IF(AND($L$37=0,$P$34=0),"",$L$37-1)),0,YEARFRAC(MAX($P$34*($B87+$I$38-1),IF(AND($L$37=0,$P$34=0),"",$L$37-1)),MIN(CD$38,$E87),$P$20))-SUM($BF87:CC87))</f>
        <v>0</v>
      </c>
      <c r="CE87" s="446">
        <f>IF($E87=0,0,IF(MIN(CE$38,$E87)&lt;MAX($P$34*($B87+$I$38-1),IF(AND($L$37=0,$P$34=0),"",$L$37-1)),0,YEARFRAC(MAX($P$34*($B87+$I$38-1),IF(AND($L$37=0,$P$34=0),"",$L$37-1)),MIN(CE$38,$E87),$P$20))-SUM($BF87:CD87))</f>
        <v>0</v>
      </c>
      <c r="CF87" s="446">
        <f>IF($E87=0,0,IF(MIN(CF$38,$E87)&lt;MAX($P$34*($B87+$I$38-1),IF(AND($L$37=0,$P$34=0),"",$L$37-1)),0,YEARFRAC(MAX($P$34*($B87+$I$38-1),IF(AND($L$37=0,$P$34=0),"",$L$37-1)),MIN(CF$38,$E87),$P$20))-SUM($BF87:CE87))</f>
        <v>0</v>
      </c>
      <c r="CG87" s="446">
        <f>IF($E87=0,0,IF(MIN(CG$38,$E87)&lt;MAX($P$34*($B87+$I$38-1),IF(AND($L$37=0,$P$34=0),"",$L$37-1)),0,YEARFRAC(MAX($P$34*($B87+$I$38-1),IF(AND($L$37=0,$P$34=0),"",$L$37-1)),MIN(CG$38,$E87),$P$20))-SUM($BF87:CF87))</f>
        <v>0</v>
      </c>
      <c r="CH87" s="446">
        <f>IF($E87=0,0,IF(MIN(CH$38,$E87)&lt;MAX($P$34*($B87+$I$38-1),IF(AND($L$37=0,$P$34=0),"",$L$37-1)),0,YEARFRAC(MAX($P$34*($B87+$I$38-1),IF(AND($L$37=0,$P$34=0),"",$L$37-1)),MIN(CH$38,$E87),$P$20))-SUM($BF87:CG87))</f>
        <v>0</v>
      </c>
      <c r="CI87" s="446">
        <f>IF($E87=0,0,IF(MIN(CI$38,$E87)&lt;MAX($P$34*($B87+$I$38-1),IF(AND($L$37=0,$P$34=0),"",$L$37-1)),0,YEARFRAC(MAX($P$34*($B87+$I$38-1),IF(AND($L$37=0,$P$34=0),"",$L$37-1)),MIN(CI$38,$E87),$P$20))-SUM($BF87:CH87))</f>
        <v>0</v>
      </c>
      <c r="CJ87" s="446">
        <f>IF($E87=0,0,IF(MIN(CJ$38,$E87)&lt;MAX($P$34*($B87+$I$38-1),IF(AND($L$37=0,$P$34=0),"",$L$37-1)),0,YEARFRAC(MAX($P$34*($B87+$I$38-1),IF(AND($L$37=0,$P$34=0),"",$L$37-1)),MIN(CJ$38,$E87),$P$20))-SUM($BF87:CI87))</f>
        <v>0</v>
      </c>
      <c r="CK87" s="446">
        <f>IF($E87=0,0,IF(MIN(CK$38,$E87)&lt;MAX($P$34*($B87+$I$38-1),IF(AND($L$37=0,$P$34=0),"",$L$37-1)),0,YEARFRAC(MAX($P$34*($B87+$I$38-1),IF(AND($L$37=0,$P$34=0),"",$L$37-1)),MIN(CK$38,$E87),$P$20))-SUM($BF87:CJ87))</f>
        <v>0</v>
      </c>
      <c r="CL87" s="446">
        <f>IF($E87=0,0,IF(MIN(CL$38,$E87)&lt;MAX($P$34*($B87+$I$38-1),IF(AND($L$37=0,$P$34=0),"",$L$37-1)),0,YEARFRAC(MAX($P$34*($B87+$I$38-1),IF(AND($L$37=0,$P$34=0),"",$L$37-1)),MIN(CL$38,$E87),$P$20))-SUM($BF87:CK87))</f>
        <v>0</v>
      </c>
      <c r="CM87" s="446">
        <f>IF($E87=0,0,IF(MIN(CM$38,$E87)&lt;MAX($P$34*($B87+$I$38-1),IF(AND($L$37=0,$P$34=0),"",$L$37-1)),0,YEARFRAC(MAX($P$34*($B87+$I$38-1),IF(AND($L$37=0,$P$34=0),"",$L$37-1)),MIN(CM$38,$E87),$P$20))-SUM($BF87:CL87))</f>
        <v>0</v>
      </c>
      <c r="CN87" s="446">
        <f>IF($E87=0,0,IF(MIN(CN$38,$E87)&lt;MAX($P$34*($B87+$I$38-1),IF(AND($L$37=0,$P$34=0),"",$L$37-1)),0,YEARFRAC(MAX($P$34*($B87+$I$38-1),IF(AND($L$37=0,$P$34=0),"",$L$37-1)),MIN(CN$38,$E87),$P$20))-SUM($BF87:CM87))</f>
        <v>0</v>
      </c>
      <c r="CO87" s="446">
        <f>IF($E87=0,0,IF(MIN(CO$38,$E87)&lt;MAX($P$34*($B87+$I$38-1),IF(AND($L$37=0,$P$34=0),"",$L$37-1)),0,YEARFRAC(MAX($P$34*($B87+$I$38-1),IF(AND($L$37=0,$P$34=0),"",$L$37-1)),MIN(CO$38,$E87),$P$20))-SUM($BF87:CN87))</f>
        <v>0</v>
      </c>
      <c r="CP87" s="446">
        <f>IF($E87=0,0,IF(MIN(CP$38,$E87)&lt;MAX($P$34*($B87+$I$38-1),IF(AND($L$37=0,$P$34=0),"",$L$37-1)),0,YEARFRAC(MAX($P$34*($B87+$I$38-1),IF(AND($L$37=0,$P$34=0),"",$L$37-1)),MIN(CP$38,$E87),$P$20))-SUM($BF87:CO87))</f>
        <v>0</v>
      </c>
      <c r="CQ87" s="446">
        <f>IF($E87=0,0,IF(MIN(CQ$38,$E87)&lt;MAX($P$34*($B87+$I$38-1),IF(AND($L$37=0,$P$34=0),"",$L$37-1)),0,YEARFRAC(MAX($P$34*($B87+$I$38-1),IF(AND($L$37=0,$P$34=0),"",$L$37-1)),MIN(CQ$38,$E87),$P$20))-SUM($BF87:CP87))</f>
        <v>0</v>
      </c>
    </row>
    <row r="88" spans="1:95" s="446" customFormat="1" ht="11.25" hidden="1" customHeight="1" x14ac:dyDescent="0.2">
      <c r="A88" s="152"/>
      <c r="B88" s="153" t="str">
        <f t="shared" si="15"/>
        <v/>
      </c>
      <c r="C88" s="29" t="str">
        <f>IF(B88="","",IF($L$35="SELIC - TRIBUTOS",VLOOKUP(DATE(YEAR($D$19),MONTH($D$19)-1,1),ÍNDICES!$A:$DE,HLOOKUP($BL$25,ÍNDICES!$B$3:$T$4,2)+11)-VLOOKUP(B88,ÍNDICES!$A:$DE,HLOOKUP($BL$25,ÍNDICES!$B$3:$T$4,2)+11)+1%,IF(C$38=$W$26,$J$35,IF(ISERROR(IF(B88&gt;$D$19,1,VLOOKUP(DATE(YEAR(B88),MONTH(B88)+IF($C$35=$S$23,1,0),1),ÍNDICES!$A:$DE,$Z$35+1))),"",IF(B88&gt;$D$19,1,VLOOKUP(DATE(YEAR(B88),MONTH(B88)+IF($C$35=$S$23,1,0),1),ÍNDICES!$A:$DE,$Z$35+1))))))</f>
        <v/>
      </c>
      <c r="D88" s="154" t="str">
        <f>IF(ISERROR(IF(OR($D$38=$Y$27,$B88=""),"",VLOOKUP(B88,ÍNDICES!A:DE,AF$35+1))),"",IF(OR($D$38=$Y$27,$B88=""),"",VLOOKUP(B88,ÍNDICES!A:DE,AF$35+1)))</f>
        <v/>
      </c>
      <c r="E88" s="153"/>
      <c r="F88" s="29" t="str">
        <f>IF(E88="","",IF($L$35="SELIC - TRIBUTOS",VLOOKUP(DATE(YEAR($D$19),MONTH($D$19)-1,1),ÍNDICES!$A:$DE,HLOOKUP($BL$25,ÍNDICES!$B$3:$T$4,2)+11)-VLOOKUP(E88,ÍNDICES!$A:$DE,HLOOKUP($BL$25,ÍNDICES!$B$3:$T$4,2)+11)+1%,IF(F$38=$W$26,$J$35,IF(ISERROR(IF(E88&gt;$D$19,1,VLOOKUP(DATE(YEAR(E88),MONTH(E88)+IF($C$35=$S$23,1,0),1),ÍNDICES!$A:$DE,$Z$35+1))),"",IF(E88&gt;$D$19,1,VLOOKUP(DATE(YEAR(E88),MONTH(E88)+IF($C$35=$S$23,1,0),1),ÍNDICES!$A:$DE,$Z$35+1))))))</f>
        <v/>
      </c>
      <c r="G88" s="155"/>
      <c r="H88" s="156" t="str">
        <f t="shared" si="11"/>
        <v/>
      </c>
      <c r="I88" s="29" t="str">
        <f t="shared" si="5"/>
        <v/>
      </c>
      <c r="J88" s="5">
        <f t="shared" si="6"/>
        <v>0</v>
      </c>
      <c r="K88" s="20">
        <f t="shared" ca="1" si="7"/>
        <v>0</v>
      </c>
      <c r="L88" s="5">
        <f t="shared" ca="1" si="8"/>
        <v>0</v>
      </c>
      <c r="M88" s="64">
        <f t="shared" si="12"/>
        <v>0</v>
      </c>
      <c r="N88" s="61">
        <f t="shared" ca="1" si="13"/>
        <v>0</v>
      </c>
      <c r="O88" s="5">
        <f t="shared" ca="1" si="14"/>
        <v>0</v>
      </c>
      <c r="P88" s="446" t="e">
        <f t="shared" si="9"/>
        <v>#VALUE!</v>
      </c>
      <c r="Q88" s="446" t="e">
        <f>IF(OR($B88="",MIN(Q$38,$D$19)&lt;MAX($P$34*($B88+IF($R$17="Distrato",$I$38-1,0)),IF(AND($L$37=0,$P$34=0),"",$L$37-1),IF($R$17="Distrato",$E88,0))),0,YEARFRAC(MAX($P$34*($B88+IF($R$17="Distrato",$I$38-1,0)),IF(AND($L$37=0,$P$34=0),"",$L$37-1),IF($R$17="Distrato",$E88,0)),MIN(Q$38,$D$19),$P$20))-SUM($P88:P88)</f>
        <v>#VALUE!</v>
      </c>
      <c r="R88" s="446" t="e">
        <f>IF(OR($B88="",MIN(R$38,$D$19)&lt;MAX($P$34*($B88+IF($R$17="Distrato",$I$38-1,0)),IF(AND($L$37=0,$P$34=0),"",$L$37-1),IF($R$17="Distrato",$E88,0))),0,YEARFRAC(MAX($P$34*($B88+IF($R$17="Distrato",$I$38-1,0)),IF(AND($L$37=0,$P$34=0),"",$L$37-1),IF($R$17="Distrato",$E88,0)),MIN(R$38,$D$19),$P$20))-SUM($P88:Q88)</f>
        <v>#VALUE!</v>
      </c>
      <c r="S88" s="446" t="e">
        <f>IF(OR($B88="",MIN(S$38,$D$19)&lt;MAX($P$34*($B88+IF($R$17="Distrato",$I$38-1,0)),IF(AND($L$37=0,$P$34=0),"",$L$37-1),IF($R$17="Distrato",$E88,0))),0,YEARFRAC(MAX($P$34*($B88+IF($R$17="Distrato",$I$38-1,0)),IF(AND($L$37=0,$P$34=0),"",$L$37-1),IF($R$17="Distrato",$E88,0)),MIN(S$38,$D$19),$P$20))-SUM($P88:R88)</f>
        <v>#VALUE!</v>
      </c>
      <c r="T88" s="446" t="e">
        <f>IF(OR($B88="",MIN(T$38,$D$19)&lt;MAX($P$34*($B88+IF($R$17="Distrato",$I$38-1,0)),IF(AND($L$37=0,$P$34=0),"",$L$37-1),IF($R$17="Distrato",$E88,0))),0,YEARFRAC(MAX($P$34*($B88+IF($R$17="Distrato",$I$38-1,0)),IF(AND($L$37=0,$P$34=0),"",$L$37-1),IF($R$17="Distrato",$E88,0)),MIN(T$38,$D$19),$P$20))-SUM($P88:S88)</f>
        <v>#VALUE!</v>
      </c>
      <c r="U88" s="446" t="e">
        <f>IF(OR($B88="",MIN(U$38,$D$19)&lt;MAX($P$34*($B88+IF($R$17="Distrato",$I$38-1,0)),IF(AND($L$37=0,$P$34=0),"",$L$37-1),IF($R$17="Distrato",$E88,0))),0,YEARFRAC(MAX($P$34*($B88+IF($R$17="Distrato",$I$38-1,0)),IF(AND($L$37=0,$P$34=0),"",$L$37-1),IF($R$17="Distrato",$E88,0)),MIN(U$38,$D$19),$P$20))-SUM($P88:T88)</f>
        <v>#VALUE!</v>
      </c>
      <c r="V88" s="446" t="e">
        <f>IF(OR($B88="",MIN(V$38,$D$19)&lt;MAX($P$34*($B88+IF($R$17="Distrato",$I$38-1,0)),IF(AND($L$37=0,$P$34=0),"",$L$37-1),IF($R$17="Distrato",$E88,0))),0,YEARFRAC(MAX($P$34*($B88+IF($R$17="Distrato",$I$38-1,0)),IF(AND($L$37=0,$P$34=0),"",$L$37-1),IF($R$17="Distrato",$E88,0)),MIN(V$38,$D$19),$P$20))-SUM($P88:U88)</f>
        <v>#VALUE!</v>
      </c>
      <c r="W88" s="446" t="e">
        <f>IF(OR($B88="",MIN(W$38,$D$19)&lt;MAX($P$34*($B88+IF($R$17="Distrato",$I$38-1,0)),IF(AND($L$37=0,$P$34=0),"",$L$37-1),IF($R$17="Distrato",$E88,0))),0,YEARFRAC(MAX($P$34*($B88+IF($R$17="Distrato",$I$38-1,0)),IF(AND($L$37=0,$P$34=0),"",$L$37-1),IF($R$17="Distrato",$E88,0)),MIN(W$38,$D$19),$P$20))-SUM($P88:V88)</f>
        <v>#VALUE!</v>
      </c>
      <c r="X88" s="446" t="e">
        <f>IF(OR($B88="",MIN(X$38,$D$19)&lt;MAX($P$34*($B88+IF($R$17="Distrato",$I$38-1,0)),IF(AND($L$37=0,$P$34=0),"",$L$37-1),IF($R$17="Distrato",$E88,0))),0,YEARFRAC(MAX($P$34*($B88+IF($R$17="Distrato",$I$38-1,0)),IF(AND($L$37=0,$P$34=0),"",$L$37-1),IF($R$17="Distrato",$E88,0)),MIN(X$38,$D$19),$P$20))-SUM($P88:W88)</f>
        <v>#VALUE!</v>
      </c>
      <c r="Y88" s="446" t="e">
        <f>IF(OR($B88="",MIN(Y$38,$D$19)&lt;MAX($P$34*($B88+IF($R$17="Distrato",$I$38-1,0)),IF(AND($L$37=0,$P$34=0),"",$L$37-1),IF($R$17="Distrato",$E88,0))),0,YEARFRAC(MAX($P$34*($B88+IF($R$17="Distrato",$I$38-1,0)),IF(AND($L$37=0,$P$34=0),"",$L$37-1),IF($R$17="Distrato",$E88,0)),MIN(Y$38,$D$19),$P$20))-SUM($P88:X88)</f>
        <v>#VALUE!</v>
      </c>
      <c r="Z88" s="446" t="e">
        <f>IF(OR($B88="",MIN(Z$38,$D$19)&lt;MAX($P$34*($B88+IF($R$17="Distrato",$I$38-1,0)),IF(AND($L$37=0,$P$34=0),"",$L$37-1),IF($R$17="Distrato",$E88,0))),0,YEARFRAC(MAX($P$34*($B88+IF($R$17="Distrato",$I$38-1,0)),IF(AND($L$37=0,$P$34=0),"",$L$37-1),IF($R$17="Distrato",$E88,0)),MIN(Z$38,$D$19),$P$20))-SUM($P88:Y88)</f>
        <v>#VALUE!</v>
      </c>
      <c r="AA88" s="446" t="e">
        <f>IF(OR($B88="",MIN(AA$38,$D$19)&lt;MAX($P$34*($B88+IF($R$17="Distrato",$I$38-1,0)),IF(AND($L$37=0,$P$34=0),"",$L$37-1),IF($R$17="Distrato",$E88,0))),0,YEARFRAC(MAX($P$34*($B88+IF($R$17="Distrato",$I$38-1,0)),IF(AND($L$37=0,$P$34=0),"",$L$37-1),IF($R$17="Distrato",$E88,0)),MIN(AA$38,$D$19),$P$20))-SUM($P88:Z88)</f>
        <v>#VALUE!</v>
      </c>
      <c r="AB88" s="446" t="e">
        <f>IF(OR($B88="",MIN(AB$38,$D$19)&lt;MAX($P$34*($B88+IF($R$17="Distrato",$I$38-1,0)),IF(AND($L$37=0,$P$34=0),"",$L$37-1),IF($R$17="Distrato",$E88,0))),0,YEARFRAC(MAX($P$34*($B88+IF($R$17="Distrato",$I$38-1,0)),IF(AND($L$37=0,$P$34=0),"",$L$37-1),IF($R$17="Distrato",$E88,0)),MIN(AB$38,$D$19),$P$20))-SUM($P88:AA88)</f>
        <v>#VALUE!</v>
      </c>
      <c r="AC88" s="446" t="e">
        <f>IF(OR($B88="",MIN(AC$38,$D$19)&lt;MAX($P$34*($B88+IF($R$17="Distrato",$I$38-1,0)),IF(AND($L$37=0,$P$34=0),"",$L$37-1),IF($R$17="Distrato",$E88,0))),0,YEARFRAC(MAX($P$34*($B88+IF($R$17="Distrato",$I$38-1,0)),IF(AND($L$37=0,$P$34=0),"",$L$37-1),IF($R$17="Distrato",$E88,0)),MIN(AC$38,$D$19),$P$20))-SUM($P88:AB88)</f>
        <v>#VALUE!</v>
      </c>
      <c r="AD88" s="446" t="e">
        <f>IF(OR($B88="",MIN(AD$38,$D$19)&lt;MAX($P$34*($B88+IF($R$17="Distrato",$I$38-1,0)),IF(AND($L$37=0,$P$34=0),"",$L$37-1),IF($R$17="Distrato",$E88,0))),0,YEARFRAC(MAX($P$34*($B88+IF($R$17="Distrato",$I$38-1,0)),IF(AND($L$37=0,$P$34=0),"",$L$37-1),IF($R$17="Distrato",$E88,0)),MIN(AD$38,$D$19),$P$20))-SUM($P88:AC88)</f>
        <v>#VALUE!</v>
      </c>
      <c r="AE88" s="446" t="e">
        <f>IF(OR($B88="",MIN(AE$38,$D$19)&lt;MAX($P$34*($B88+IF($R$17="Distrato",$I$38-1,0)),IF(AND($L$37=0,$P$34=0),"",$L$37-1),IF($R$17="Distrato",$E88,0))),0,YEARFRAC(MAX($P$34*($B88+IF($R$17="Distrato",$I$38-1,0)),IF(AND($L$37=0,$P$34=0),"",$L$37-1),IF($R$17="Distrato",$E88,0)),MIN(AE$38,$D$19),$P$20))-SUM($P88:AD88)</f>
        <v>#VALUE!</v>
      </c>
      <c r="AF88" s="446" t="e">
        <f>IF(OR($B88="",MIN(AF$38,$D$19)&lt;MAX($P$34*($B88+IF($R$17="Distrato",$I$38-1,0)),IF(AND($L$37=0,$P$34=0),"",$L$37-1),IF($R$17="Distrato",$E88,0))),0,YEARFRAC(MAX($P$34*($B88+IF($R$17="Distrato",$I$38-1,0)),IF(AND($L$37=0,$P$34=0),"",$L$37-1),IF($R$17="Distrato",$E88,0)),MIN(AF$38,$D$19),$P$20))-SUM($P88:AE88)</f>
        <v>#VALUE!</v>
      </c>
      <c r="AG88" s="446" t="e">
        <f>IF(OR($B88="",MIN(AG$38,$D$19)&lt;MAX($P$34*($B88+IF($R$17="Distrato",$I$38-1,0)),IF(AND($L$37=0,$P$34=0),"",$L$37-1),IF($R$17="Distrato",$E88,0))),0,YEARFRAC(MAX($P$34*($B88+IF($R$17="Distrato",$I$38-1,0)),IF(AND($L$37=0,$P$34=0),"",$L$37-1),IF($R$17="Distrato",$E88,0)),MIN(AG$38,$D$19),$P$20))-SUM($P88:AF88)</f>
        <v>#VALUE!</v>
      </c>
      <c r="AH88" s="446" t="e">
        <f>IF(OR($B88="",MIN(AH$38,$D$19)&lt;MAX($P$34*($B88+IF($R$17="Distrato",$I$38-1,0)),IF(AND($L$37=0,$P$34=0),"",$L$37-1),IF($R$17="Distrato",$E88,0))),0,YEARFRAC(MAX($P$34*($B88+IF($R$17="Distrato",$I$38-1,0)),IF(AND($L$37=0,$P$34=0),"",$L$37-1),IF($R$17="Distrato",$E88,0)),MIN(AH$38,$D$19),$P$20))-SUM($P88:AG88)</f>
        <v>#VALUE!</v>
      </c>
      <c r="AI88" s="446" t="e">
        <f>IF(OR($B88="",MIN(AI$38,$D$19)&lt;MAX($P$34*($B88+IF($R$17="Distrato",$I$38-1,0)),IF(AND($L$37=0,$P$34=0),"",$L$37-1),IF($R$17="Distrato",$E88,0))),0,YEARFRAC(MAX($P$34*($B88+IF($R$17="Distrato",$I$38-1,0)),IF(AND($L$37=0,$P$34=0),"",$L$37-1),IF($R$17="Distrato",$E88,0)),MIN(AI$38,$D$19),$P$20))-SUM($P88:AH88)</f>
        <v>#VALUE!</v>
      </c>
      <c r="AJ88" s="446" t="e">
        <f>IF(OR($B88="",MIN(AJ$38,$D$19)&lt;MAX($P$34*($B88+IF($R$17="Distrato",$I$38-1,0)),IF(AND($L$37=0,$P$34=0),"",$L$37-1),IF($R$17="Distrato",$E88,0))),0,YEARFRAC(MAX($P$34*($B88+IF($R$17="Distrato",$I$38-1,0)),IF(AND($L$37=0,$P$34=0),"",$L$37-1),IF($R$17="Distrato",$E88,0)),MIN(AJ$38,$D$19),$P$20))-SUM($P88:AI88)</f>
        <v>#VALUE!</v>
      </c>
      <c r="AK88" s="446" t="e">
        <f>IF(OR($B88="",MIN(AK$38,$D$19)&lt;MAX($P$34*($B88+IF($R$17="Distrato",$I$38-1,0)),IF(AND($L$37=0,$P$34=0),"",$L$37-1),IF($R$17="Distrato",$E88,0))),0,YEARFRAC(MAX($P$34*($B88+IF($R$17="Distrato",$I$38-1,0)),IF(AND($L$37=0,$P$34=0),"",$L$37-1),IF($R$17="Distrato",$E88,0)),MIN(AK$38,$D$19),$P$20))-SUM($P88:AJ88)</f>
        <v>#VALUE!</v>
      </c>
      <c r="AL88" s="446" t="e">
        <f>IF(OR($B88="",MIN(AL$38,$D$19)&lt;MAX($P$34*($B88+IF($R$17="Distrato",$I$38-1,0)),IF(AND($L$37=0,$P$34=0),"",$L$37-1),IF($R$17="Distrato",$E88,0))),0,YEARFRAC(MAX($P$34*($B88+IF($R$17="Distrato",$I$38-1,0)),IF(AND($L$37=0,$P$34=0),"",$L$37-1),IF($R$17="Distrato",$E88,0)),MIN(AL$38,$D$19),$P$20))-SUM($P88:AK88)</f>
        <v>#VALUE!</v>
      </c>
      <c r="AM88" s="446" t="e">
        <f>IF(OR($B88="",MIN(AM$38,$D$19)&lt;MAX($P$34*($B88+IF($R$17="Distrato",$I$38-1,0)),IF(AND($L$37=0,$P$34=0),"",$L$37-1),IF($R$17="Distrato",$E88,0))),0,YEARFRAC(MAX($P$34*($B88+IF($R$17="Distrato",$I$38-1,0)),IF(AND($L$37=0,$P$34=0),"",$L$37-1),IF($R$17="Distrato",$E88,0)),MIN(AM$38,$D$19),$P$20))-SUM($P88:AL88)</f>
        <v>#VALUE!</v>
      </c>
      <c r="AN88" s="446" t="e">
        <f>IF(OR($B88="",MIN(AN$38,$D$19)&lt;MAX($P$34*($B88+IF($R$17="Distrato",$I$38-1,0)),IF(AND($L$37=0,$P$34=0),"",$L$37-1),IF($R$17="Distrato",$E88,0))),0,YEARFRAC(MAX($P$34*($B88+IF($R$17="Distrato",$I$38-1,0)),IF(AND($L$37=0,$P$34=0),"",$L$37-1),IF($R$17="Distrato",$E88,0)),MIN(AN$38,$D$19),$P$20))-SUM($P88:AM88)</f>
        <v>#VALUE!</v>
      </c>
      <c r="AO88" s="446" t="e">
        <f>IF(OR($B88="",MIN(AO$38,$D$19)&lt;MAX($P$34*($B88+IF($R$17="Distrato",$I$38-1,0)),IF(AND($L$37=0,$P$34=0),"",$L$37-1),IF($R$17="Distrato",$E88,0))),0,YEARFRAC(MAX($P$34*($B88+IF($R$17="Distrato",$I$38-1,0)),IF(AND($L$37=0,$P$34=0),"",$L$37-1),IF($R$17="Distrato",$E88,0)),MIN(AO$38,$D$19),$P$20))-SUM($P88:AN88)</f>
        <v>#VALUE!</v>
      </c>
      <c r="AP88" s="446" t="e">
        <f>IF(OR($B88="",MIN(AP$38,$D$19)&lt;MAX($P$34*($B88+IF($R$17="Distrato",$I$38-1,0)),IF(AND($L$37=0,$P$34=0),"",$L$37-1),IF($R$17="Distrato",$E88,0))),0,YEARFRAC(MAX($P$34*($B88+IF($R$17="Distrato",$I$38-1,0)),IF(AND($L$37=0,$P$34=0),"",$L$37-1),IF($R$17="Distrato",$E88,0)),MIN(AP$38,$D$19),$P$20))-SUM($P88:AO88)</f>
        <v>#VALUE!</v>
      </c>
      <c r="AQ88" s="446" t="e">
        <f>IF(OR($B88="",MIN(AQ$38,$D$19)&lt;MAX($P$34*($B88+IF($R$17="Distrato",$I$38-1,0)),IF(AND($L$37=0,$P$34=0),"",$L$37-1),IF($R$17="Distrato",$E88,0))),0,YEARFRAC(MAX($P$34*($B88+IF($R$17="Distrato",$I$38-1,0)),IF(AND($L$37=0,$P$34=0),"",$L$37-1),IF($R$17="Distrato",$E88,0)),MIN(AQ$38,$D$19),$P$20))-SUM($P88:AP88)</f>
        <v>#VALUE!</v>
      </c>
      <c r="AR88" s="446" t="e">
        <f>IF(OR($B88="",MIN(AR$38,$D$19)&lt;MAX($P$34*($B88+IF($R$17="Distrato",$I$38-1,0)),IF(AND($L$37=0,$P$34=0),"",$L$37-1),IF($R$17="Distrato",$E88,0))),0,YEARFRAC(MAX($P$34*($B88+IF($R$17="Distrato",$I$38-1,0)),IF(AND($L$37=0,$P$34=0),"",$L$37-1),IF($R$17="Distrato",$E88,0)),MIN(AR$38,$D$19),$P$20))-SUM($P88:AQ88)</f>
        <v>#VALUE!</v>
      </c>
      <c r="AS88" s="446" t="e">
        <f>IF(OR($B88="",MIN(AS$38,$D$19)&lt;MAX($P$34*($B88+IF($R$17="Distrato",$I$38-1,0)),IF(AND($L$37=0,$P$34=0),"",$L$37-1),IF($R$17="Distrato",$E88,0))),0,YEARFRAC(MAX($P$34*($B88+IF($R$17="Distrato",$I$38-1,0)),IF(AND($L$37=0,$P$34=0),"",$L$37-1),IF($R$17="Distrato",$E88,0)),MIN(AS$38,$D$19),$P$20))-SUM($P88:AR88)</f>
        <v>#VALUE!</v>
      </c>
      <c r="AT88" s="446" t="e">
        <f>IF(OR($B88="",MIN(AT$38,$D$19)&lt;MAX($P$34*($B88+IF($R$17="Distrato",$I$38-1,0)),IF(AND($L$37=0,$P$34=0),"",$L$37-1),IF($R$17="Distrato",$E88,0))),0,YEARFRAC(MAX($P$34*($B88+IF($R$17="Distrato",$I$38-1,0)),IF(AND($L$37=0,$P$34=0),"",$L$37-1),IF($R$17="Distrato",$E88,0)),MIN(AT$38,$D$19),$P$20))-SUM($P88:AS88)</f>
        <v>#VALUE!</v>
      </c>
      <c r="AU88" s="446" t="e">
        <f>IF(OR($B88="",MIN(AU$38,$D$19)&lt;MAX($P$34*($B88+IF($R$17="Distrato",$I$38-1,0)),IF(AND($L$37=0,$P$34=0),"",$L$37-1),IF($R$17="Distrato",$E88,0))),0,YEARFRAC(MAX($P$34*($B88+IF($R$17="Distrato",$I$38-1,0)),IF(AND($L$37=0,$P$34=0),"",$L$37-1),IF($R$17="Distrato",$E88,0)),MIN(AU$38,$D$19),$P$20))-SUM($P88:AT88)</f>
        <v>#VALUE!</v>
      </c>
      <c r="AV88" s="446" t="e">
        <f>IF(OR($B88="",MIN(AV$38,$D$19)&lt;MAX($P$34*($B88+IF($R$17="Distrato",$I$38-1,0)),IF(AND($L$37=0,$P$34=0),"",$L$37-1),IF($R$17="Distrato",$E88,0))),0,YEARFRAC(MAX($P$34*($B88+IF($R$17="Distrato",$I$38-1,0)),IF(AND($L$37=0,$P$34=0),"",$L$37-1),IF($R$17="Distrato",$E88,0)),MIN(AV$38,$D$19),$P$20))-SUM($P88:AU88)</f>
        <v>#VALUE!</v>
      </c>
      <c r="AW88" s="446" t="e">
        <f>IF(OR($B88="",MIN(AW$38,$D$19)&lt;MAX($P$34*($B88+IF($R$17="Distrato",$I$38-1,0)),IF(AND($L$37=0,$P$34=0),"",$L$37-1),IF($R$17="Distrato",$E88,0))),0,YEARFRAC(MAX($P$34*($B88+IF($R$17="Distrato",$I$38-1,0)),IF(AND($L$37=0,$P$34=0),"",$L$37-1),IF($R$17="Distrato",$E88,0)),MIN(AW$38,$D$19),$P$20))-SUM($P88:AV88)</f>
        <v>#VALUE!</v>
      </c>
      <c r="AX88" s="446" t="e">
        <f>IF(OR($B88="",MIN(AX$38,$D$19)&lt;MAX($P$34*($B88+IF($R$17="Distrato",$I$38-1,0)),IF(AND($L$37=0,$P$34=0),"",$L$37-1),IF($R$17="Distrato",$E88,0))),0,YEARFRAC(MAX($P$34*($B88+IF($R$17="Distrato",$I$38-1,0)),IF(AND($L$37=0,$P$34=0),"",$L$37-1),IF($R$17="Distrato",$E88,0)),MIN(AX$38,$D$19),$P$20))-SUM($P88:AW88)</f>
        <v>#VALUE!</v>
      </c>
      <c r="AY88" s="446" t="e">
        <f>IF(OR($B88="",MIN(AY$38,$D$19)&lt;MAX($P$34*($B88+IF($R$17="Distrato",$I$38-1,0)),IF(AND($L$37=0,$P$34=0),"",$L$37-1),IF($R$17="Distrato",$E88,0))),0,YEARFRAC(MAX($P$34*($B88+IF($R$17="Distrato",$I$38-1,0)),IF(AND($L$37=0,$P$34=0),"",$L$37-1),IF($R$17="Distrato",$E88,0)),MIN(AY$38,$D$19),$P$20))-SUM($P88:AX88)</f>
        <v>#VALUE!</v>
      </c>
      <c r="AZ88" s="446" t="e">
        <f>IF(OR($B88="",MIN(AZ$38,$D$19)&lt;MAX($P$34*($B88+IF($R$17="Distrato",$I$38-1,0)),IF(AND($L$37=0,$P$34=0),"",$L$37-1),IF($R$17="Distrato",$E88,0))),0,YEARFRAC(MAX($P$34*($B88+IF($R$17="Distrato",$I$38-1,0)),IF(AND($L$37=0,$P$34=0),"",$L$37-1),IF($R$17="Distrato",$E88,0)),MIN(AZ$38,$D$19),$P$20))-SUM($P88:AY88)</f>
        <v>#VALUE!</v>
      </c>
      <c r="BA88" s="446" t="e">
        <f>IF(OR($B88="",MIN(BA$38,$D$19)&lt;MAX($P$34*($B88+IF($R$17="Distrato",$I$38-1,0)),IF(AND($L$37=0,$P$34=0),"",$L$37-1),IF($R$17="Distrato",$E88,0))),0,YEARFRAC(MAX($P$34*($B88+IF($R$17="Distrato",$I$38-1,0)),IF(AND($L$37=0,$P$34=0),"",$L$37-1),IF($R$17="Distrato",$E88,0)),MIN(BA$38,$D$19),$P$20))-SUM($P88:AZ88)</f>
        <v>#VALUE!</v>
      </c>
      <c r="BB88" s="447"/>
      <c r="BF88" s="446">
        <f t="shared" si="10"/>
        <v>0</v>
      </c>
      <c r="BG88" s="446">
        <f>IF($E88=0,0,IF(MIN(BG$38,$E88)&lt;MAX($P$34*($B88+$I$38-1),IF(AND($L$37=0,$P$34=0),"",$L$37-1)),0,YEARFRAC(MAX($P$34*($B88+$I$38-1),IF(AND($L$37=0,$P$34=0),"",$L$37-1)),MIN(BG$38,$E88),$P$20))-SUM($BF88:BF88))</f>
        <v>0</v>
      </c>
      <c r="BH88" s="446">
        <f>IF($E88=0,0,IF(MIN(BH$38,$E88)&lt;MAX($P$34*($B88+$I$38-1),IF(AND($L$37=0,$P$34=0),"",$L$37-1)),0,YEARFRAC(MAX($P$34*($B88+$I$38-1),IF(AND($L$37=0,$P$34=0),"",$L$37-1)),MIN(BH$38,$E88),$P$20))-SUM($BF88:BG88))</f>
        <v>0</v>
      </c>
      <c r="BI88" s="446">
        <f>IF($E88=0,0,IF(MIN(BI$38,$E88)&lt;MAX($P$34*($B88+$I$38-1),IF(AND($L$37=0,$P$34=0),"",$L$37-1)),0,YEARFRAC(MAX($P$34*($B88+$I$38-1),IF(AND($L$37=0,$P$34=0),"",$L$37-1)),MIN(BI$38,$E88),$P$20))-SUM($BF88:BH88))</f>
        <v>0</v>
      </c>
      <c r="BJ88" s="446">
        <f>IF($E88=0,0,IF(MIN(BJ$38,$E88)&lt;MAX($P$34*($B88+$I$38-1),IF(AND($L$37=0,$P$34=0),"",$L$37-1)),0,YEARFRAC(MAX($P$34*($B88+$I$38-1),IF(AND($L$37=0,$P$34=0),"",$L$37-1)),MIN(BJ$38,$E88),$P$20))-SUM($BF88:BI88))</f>
        <v>0</v>
      </c>
      <c r="BK88" s="446">
        <f>IF($E88=0,0,IF(MIN(BK$38,$E88)&lt;MAX($P$34*($B88+$I$38-1),IF(AND($L$37=0,$P$34=0),"",$L$37-1)),0,YEARFRAC(MAX($P$34*($B88+$I$38-1),IF(AND($L$37=0,$P$34=0),"",$L$37-1)),MIN(BK$38,$E88),$P$20))-SUM($BF88:BJ88))</f>
        <v>0</v>
      </c>
      <c r="BL88" s="446">
        <f>IF($E88=0,0,IF(MIN(BL$38,$E88)&lt;MAX($P$34*($B88+$I$38-1),IF(AND($L$37=0,$P$34=0),"",$L$37-1)),0,YEARFRAC(MAX($P$34*($B88+$I$38-1),IF(AND($L$37=0,$P$34=0),"",$L$37-1)),MIN(BL$38,$E88),$P$20))-SUM($BF88:BK88))</f>
        <v>0</v>
      </c>
      <c r="BM88" s="446">
        <f>IF($E88=0,0,IF(MIN(BM$38,$E88)&lt;MAX($P$34*($B88+$I$38-1),IF(AND($L$37=0,$P$34=0),"",$L$37-1)),0,YEARFRAC(MAX($P$34*($B88+$I$38-1),IF(AND($L$37=0,$P$34=0),"",$L$37-1)),MIN(BM$38,$E88),$P$20))-SUM($BF88:BL88))</f>
        <v>0</v>
      </c>
      <c r="BN88" s="446">
        <f>IF($E88=0,0,IF(MIN(BN$38,$E88)&lt;MAX($P$34*($B88+$I$38-1),IF(AND($L$37=0,$P$34=0),"",$L$37-1)),0,YEARFRAC(MAX($P$34*($B88+$I$38-1),IF(AND($L$37=0,$P$34=0),"",$L$37-1)),MIN(BN$38,$E88),$P$20))-SUM($BF88:BM88))</f>
        <v>0</v>
      </c>
      <c r="BO88" s="446">
        <f>IF($E88=0,0,IF(MIN(BO$38,$E88)&lt;MAX($P$34*($B88+$I$38-1),IF(AND($L$37=0,$P$34=0),"",$L$37-1)),0,YEARFRAC(MAX($P$34*($B88+$I$38-1),IF(AND($L$37=0,$P$34=0),"",$L$37-1)),MIN(BO$38,$E88),$P$20))-SUM($BF88:BN88))</f>
        <v>0</v>
      </c>
      <c r="BP88" s="446">
        <f>IF($E88=0,0,IF(MIN(BP$38,$E88)&lt;MAX($P$34*($B88+$I$38-1),IF(AND($L$37=0,$P$34=0),"",$L$37-1)),0,YEARFRAC(MAX($P$34*($B88+$I$38-1),IF(AND($L$37=0,$P$34=0),"",$L$37-1)),MIN(BP$38,$E88),$P$20))-SUM($BF88:BO88))</f>
        <v>0</v>
      </c>
      <c r="BQ88" s="446">
        <f>IF($E88=0,0,IF(MIN(BQ$38,$E88)&lt;MAX($P$34*($B88+$I$38-1),IF(AND($L$37=0,$P$34=0),"",$L$37-1)),0,YEARFRAC(MAX($P$34*($B88+$I$38-1),IF(AND($L$37=0,$P$34=0),"",$L$37-1)),MIN(BQ$38,$E88),$P$20))-SUM($BF88:BP88))</f>
        <v>0</v>
      </c>
      <c r="BR88" s="446">
        <f>IF($E88=0,0,IF(MIN(BR$38,$E88)&lt;MAX($P$34*($B88+$I$38-1),IF(AND($L$37=0,$P$34=0),"",$L$37-1)),0,YEARFRAC(MAX($P$34*($B88+$I$38-1),IF(AND($L$37=0,$P$34=0),"",$L$37-1)),MIN(BR$38,$E88),$P$20))-SUM($BF88:BQ88))</f>
        <v>0</v>
      </c>
      <c r="BS88" s="446">
        <f>IF($E88=0,0,IF(MIN(BS$38,$E88)&lt;MAX($P$34*($B88+$I$38-1),IF(AND($L$37=0,$P$34=0),"",$L$37-1)),0,YEARFRAC(MAX($P$34*($B88+$I$38-1),IF(AND($L$37=0,$P$34=0),"",$L$37-1)),MIN(BS$38,$E88),$P$20))-SUM($BF88:BR88))</f>
        <v>0</v>
      </c>
      <c r="BT88" s="446">
        <f>IF($E88=0,0,IF(MIN(BT$38,$E88)&lt;MAX($P$34*($B88+$I$38-1),IF(AND($L$37=0,$P$34=0),"",$L$37-1)),0,YEARFRAC(MAX($P$34*($B88+$I$38-1),IF(AND($L$37=0,$P$34=0),"",$L$37-1)),MIN(BT$38,$E88),$P$20))-SUM($BF88:BS88))</f>
        <v>0</v>
      </c>
      <c r="BU88" s="446">
        <f>IF($E88=0,0,IF(MIN(BU$38,$E88)&lt;MAX($P$34*($B88+$I$38-1),IF(AND($L$37=0,$P$34=0),"",$L$37-1)),0,YEARFRAC(MAX($P$34*($B88+$I$38-1),IF(AND($L$37=0,$P$34=0),"",$L$37-1)),MIN(BU$38,$E88),$P$20))-SUM($BF88:BT88))</f>
        <v>0</v>
      </c>
      <c r="BV88" s="446">
        <f>IF($E88=0,0,IF(MIN(BV$38,$E88)&lt;MAX($P$34*($B88+$I$38-1),IF(AND($L$37=0,$P$34=0),"",$L$37-1)),0,YEARFRAC(MAX($P$34*($B88+$I$38-1),IF(AND($L$37=0,$P$34=0),"",$L$37-1)),MIN(BV$38,$E88),$P$20))-SUM($BF88:BU88))</f>
        <v>0</v>
      </c>
      <c r="BW88" s="446">
        <f>IF($E88=0,0,IF(MIN(BW$38,$E88)&lt;MAX($P$34*($B88+$I$38-1),IF(AND($L$37=0,$P$34=0),"",$L$37-1)),0,YEARFRAC(MAX($P$34*($B88+$I$38-1),IF(AND($L$37=0,$P$34=0),"",$L$37-1)),MIN(BW$38,$E88),$P$20))-SUM($BF88:BV88))</f>
        <v>0</v>
      </c>
      <c r="BX88" s="446">
        <f>IF($E88=0,0,IF(MIN(BX$38,$E88)&lt;MAX($P$34*($B88+$I$38-1),IF(AND($L$37=0,$P$34=0),"",$L$37-1)),0,YEARFRAC(MAX($P$34*($B88+$I$38-1),IF(AND($L$37=0,$P$34=0),"",$L$37-1)),MIN(BX$38,$E88),$P$20))-SUM($BF88:BW88))</f>
        <v>0</v>
      </c>
      <c r="BY88" s="446">
        <f>IF($E88=0,0,IF(MIN(BY$38,$E88)&lt;MAX($P$34*($B88+$I$38-1),IF(AND($L$37=0,$P$34=0),"",$L$37-1)),0,YEARFRAC(MAX($P$34*($B88+$I$38-1),IF(AND($L$37=0,$P$34=0),"",$L$37-1)),MIN(BY$38,$E88),$P$20))-SUM($BF88:BX88))</f>
        <v>0</v>
      </c>
      <c r="BZ88" s="446">
        <f>IF($E88=0,0,IF(MIN(BZ$38,$E88)&lt;MAX($P$34*($B88+$I$38-1),IF(AND($L$37=0,$P$34=0),"",$L$37-1)),0,YEARFRAC(MAX($P$34*($B88+$I$38-1),IF(AND($L$37=0,$P$34=0),"",$L$37-1)),MIN(BZ$38,$E88),$P$20))-SUM($BF88:BY88))</f>
        <v>0</v>
      </c>
      <c r="CA88" s="446">
        <f>IF($E88=0,0,IF(MIN(CA$38,$E88)&lt;MAX($P$34*($B88+$I$38-1),IF(AND($L$37=0,$P$34=0),"",$L$37-1)),0,YEARFRAC(MAX($P$34*($B88+$I$38-1),IF(AND($L$37=0,$P$34=0),"",$L$37-1)),MIN(CA$38,$E88),$P$20))-SUM($BF88:BZ88))</f>
        <v>0</v>
      </c>
      <c r="CB88" s="446">
        <f>IF($E88=0,0,IF(MIN(CB$38,$E88)&lt;MAX($P$34*($B88+$I$38-1),IF(AND($L$37=0,$P$34=0),"",$L$37-1)),0,YEARFRAC(MAX($P$34*($B88+$I$38-1),IF(AND($L$37=0,$P$34=0),"",$L$37-1)),MIN(CB$38,$E88),$P$20))-SUM($BF88:CA88))</f>
        <v>0</v>
      </c>
      <c r="CC88" s="446">
        <f>IF($E88=0,0,IF(MIN(CC$38,$E88)&lt;MAX($P$34*($B88+$I$38-1),IF(AND($L$37=0,$P$34=0),"",$L$37-1)),0,YEARFRAC(MAX($P$34*($B88+$I$38-1),IF(AND($L$37=0,$P$34=0),"",$L$37-1)),MIN(CC$38,$E88),$P$20))-SUM($BF88:CB88))</f>
        <v>0</v>
      </c>
      <c r="CD88" s="446">
        <f>IF($E88=0,0,IF(MIN(CD$38,$E88)&lt;MAX($P$34*($B88+$I$38-1),IF(AND($L$37=0,$P$34=0),"",$L$37-1)),0,YEARFRAC(MAX($P$34*($B88+$I$38-1),IF(AND($L$37=0,$P$34=0),"",$L$37-1)),MIN(CD$38,$E88),$P$20))-SUM($BF88:CC88))</f>
        <v>0</v>
      </c>
      <c r="CE88" s="446">
        <f>IF($E88=0,0,IF(MIN(CE$38,$E88)&lt;MAX($P$34*($B88+$I$38-1),IF(AND($L$37=0,$P$34=0),"",$L$37-1)),0,YEARFRAC(MAX($P$34*($B88+$I$38-1),IF(AND($L$37=0,$P$34=0),"",$L$37-1)),MIN(CE$38,$E88),$P$20))-SUM($BF88:CD88))</f>
        <v>0</v>
      </c>
      <c r="CF88" s="446">
        <f>IF($E88=0,0,IF(MIN(CF$38,$E88)&lt;MAX($P$34*($B88+$I$38-1),IF(AND($L$37=0,$P$34=0),"",$L$37-1)),0,YEARFRAC(MAX($P$34*($B88+$I$38-1),IF(AND($L$37=0,$P$34=0),"",$L$37-1)),MIN(CF$38,$E88),$P$20))-SUM($BF88:CE88))</f>
        <v>0</v>
      </c>
      <c r="CG88" s="446">
        <f>IF($E88=0,0,IF(MIN(CG$38,$E88)&lt;MAX($P$34*($B88+$I$38-1),IF(AND($L$37=0,$P$34=0),"",$L$37-1)),0,YEARFRAC(MAX($P$34*($B88+$I$38-1),IF(AND($L$37=0,$P$34=0),"",$L$37-1)),MIN(CG$38,$E88),$P$20))-SUM($BF88:CF88))</f>
        <v>0</v>
      </c>
      <c r="CH88" s="446">
        <f>IF($E88=0,0,IF(MIN(CH$38,$E88)&lt;MAX($P$34*($B88+$I$38-1),IF(AND($L$37=0,$P$34=0),"",$L$37-1)),0,YEARFRAC(MAX($P$34*($B88+$I$38-1),IF(AND($L$37=0,$P$34=0),"",$L$37-1)),MIN(CH$38,$E88),$P$20))-SUM($BF88:CG88))</f>
        <v>0</v>
      </c>
      <c r="CI88" s="446">
        <f>IF($E88=0,0,IF(MIN(CI$38,$E88)&lt;MAX($P$34*($B88+$I$38-1),IF(AND($L$37=0,$P$34=0),"",$L$37-1)),0,YEARFRAC(MAX($P$34*($B88+$I$38-1),IF(AND($L$37=0,$P$34=0),"",$L$37-1)),MIN(CI$38,$E88),$P$20))-SUM($BF88:CH88))</f>
        <v>0</v>
      </c>
      <c r="CJ88" s="446">
        <f>IF($E88=0,0,IF(MIN(CJ$38,$E88)&lt;MAX($P$34*($B88+$I$38-1),IF(AND($L$37=0,$P$34=0),"",$L$37-1)),0,YEARFRAC(MAX($P$34*($B88+$I$38-1),IF(AND($L$37=0,$P$34=0),"",$L$37-1)),MIN(CJ$38,$E88),$P$20))-SUM($BF88:CI88))</f>
        <v>0</v>
      </c>
      <c r="CK88" s="446">
        <f>IF($E88=0,0,IF(MIN(CK$38,$E88)&lt;MAX($P$34*($B88+$I$38-1),IF(AND($L$37=0,$P$34=0),"",$L$37-1)),0,YEARFRAC(MAX($P$34*($B88+$I$38-1),IF(AND($L$37=0,$P$34=0),"",$L$37-1)),MIN(CK$38,$E88),$P$20))-SUM($BF88:CJ88))</f>
        <v>0</v>
      </c>
      <c r="CL88" s="446">
        <f>IF($E88=0,0,IF(MIN(CL$38,$E88)&lt;MAX($P$34*($B88+$I$38-1),IF(AND($L$37=0,$P$34=0),"",$L$37-1)),0,YEARFRAC(MAX($P$34*($B88+$I$38-1),IF(AND($L$37=0,$P$34=0),"",$L$37-1)),MIN(CL$38,$E88),$P$20))-SUM($BF88:CK88))</f>
        <v>0</v>
      </c>
      <c r="CM88" s="446">
        <f>IF($E88=0,0,IF(MIN(CM$38,$E88)&lt;MAX($P$34*($B88+$I$38-1),IF(AND($L$37=0,$P$34=0),"",$L$37-1)),0,YEARFRAC(MAX($P$34*($B88+$I$38-1),IF(AND($L$37=0,$P$34=0),"",$L$37-1)),MIN(CM$38,$E88),$P$20))-SUM($BF88:CL88))</f>
        <v>0</v>
      </c>
      <c r="CN88" s="446">
        <f>IF($E88=0,0,IF(MIN(CN$38,$E88)&lt;MAX($P$34*($B88+$I$38-1),IF(AND($L$37=0,$P$34=0),"",$L$37-1)),0,YEARFRAC(MAX($P$34*($B88+$I$38-1),IF(AND($L$37=0,$P$34=0),"",$L$37-1)),MIN(CN$38,$E88),$P$20))-SUM($BF88:CM88))</f>
        <v>0</v>
      </c>
      <c r="CO88" s="446">
        <f>IF($E88=0,0,IF(MIN(CO$38,$E88)&lt;MAX($P$34*($B88+$I$38-1),IF(AND($L$37=0,$P$34=0),"",$L$37-1)),0,YEARFRAC(MAX($P$34*($B88+$I$38-1),IF(AND($L$37=0,$P$34=0),"",$L$37-1)),MIN(CO$38,$E88),$P$20))-SUM($BF88:CN88))</f>
        <v>0</v>
      </c>
      <c r="CP88" s="446">
        <f>IF($E88=0,0,IF(MIN(CP$38,$E88)&lt;MAX($P$34*($B88+$I$38-1),IF(AND($L$37=0,$P$34=0),"",$L$37-1)),0,YEARFRAC(MAX($P$34*($B88+$I$38-1),IF(AND($L$37=0,$P$34=0),"",$L$37-1)),MIN(CP$38,$E88),$P$20))-SUM($BF88:CO88))</f>
        <v>0</v>
      </c>
      <c r="CQ88" s="446">
        <f>IF($E88=0,0,IF(MIN(CQ$38,$E88)&lt;MAX($P$34*($B88+$I$38-1),IF(AND($L$37=0,$P$34=0),"",$L$37-1)),0,YEARFRAC(MAX($P$34*($B88+$I$38-1),IF(AND($L$37=0,$P$34=0),"",$L$37-1)),MIN(CQ$38,$E88),$P$20))-SUM($BF88:CP88))</f>
        <v>0</v>
      </c>
    </row>
    <row r="89" spans="1:95" s="446" customFormat="1" ht="11.25" hidden="1" customHeight="1" x14ac:dyDescent="0.2">
      <c r="A89" s="152"/>
      <c r="B89" s="153" t="str">
        <f t="shared" si="15"/>
        <v/>
      </c>
      <c r="C89" s="29" t="str">
        <f>IF(B89="","",IF($L$35="SELIC - TRIBUTOS",VLOOKUP(DATE(YEAR($D$19),MONTH($D$19)-1,1),ÍNDICES!$A:$DE,HLOOKUP($BL$25,ÍNDICES!$B$3:$T$4,2)+11)-VLOOKUP(B89,ÍNDICES!$A:$DE,HLOOKUP($BL$25,ÍNDICES!$B$3:$T$4,2)+11)+1%,IF(C$38=$W$26,$J$35,IF(ISERROR(IF(B89&gt;$D$19,1,VLOOKUP(DATE(YEAR(B89),MONTH(B89)+IF($C$35=$S$23,1,0),1),ÍNDICES!$A:$DE,$Z$35+1))),"",IF(B89&gt;$D$19,1,VLOOKUP(DATE(YEAR(B89),MONTH(B89)+IF($C$35=$S$23,1,0),1),ÍNDICES!$A:$DE,$Z$35+1))))))</f>
        <v/>
      </c>
      <c r="D89" s="154" t="str">
        <f>IF(ISERROR(IF(OR($D$38=$Y$27,$B89=""),"",VLOOKUP(B89,ÍNDICES!A:DE,AF$35+1))),"",IF(OR($D$38=$Y$27,$B89=""),"",VLOOKUP(B89,ÍNDICES!A:DE,AF$35+1)))</f>
        <v/>
      </c>
      <c r="E89" s="153"/>
      <c r="F89" s="29" t="str">
        <f>IF(E89="","",IF($L$35="SELIC - TRIBUTOS",VLOOKUP(DATE(YEAR($D$19),MONTH($D$19)-1,1),ÍNDICES!$A:$DE,HLOOKUP($BL$25,ÍNDICES!$B$3:$T$4,2)+11)-VLOOKUP(E89,ÍNDICES!$A:$DE,HLOOKUP($BL$25,ÍNDICES!$B$3:$T$4,2)+11)+1%,IF(F$38=$W$26,$J$35,IF(ISERROR(IF(E89&gt;$D$19,1,VLOOKUP(DATE(YEAR(E89),MONTH(E89)+IF($C$35=$S$23,1,0),1),ÍNDICES!$A:$DE,$Z$35+1))),"",IF(E89&gt;$D$19,1,VLOOKUP(DATE(YEAR(E89),MONTH(E89)+IF($C$35=$S$23,1,0),1),ÍNDICES!$A:$DE,$Z$35+1))))))</f>
        <v/>
      </c>
      <c r="G89" s="155"/>
      <c r="H89" s="156" t="str">
        <f t="shared" si="11"/>
        <v/>
      </c>
      <c r="I89" s="29" t="str">
        <f t="shared" si="5"/>
        <v/>
      </c>
      <c r="J89" s="5">
        <f t="shared" si="6"/>
        <v>0</v>
      </c>
      <c r="K89" s="20">
        <f t="shared" ca="1" si="7"/>
        <v>0</v>
      </c>
      <c r="L89" s="5">
        <f t="shared" ca="1" si="8"/>
        <v>0</v>
      </c>
      <c r="M89" s="64">
        <f t="shared" si="12"/>
        <v>0</v>
      </c>
      <c r="N89" s="61">
        <f t="shared" ca="1" si="13"/>
        <v>0</v>
      </c>
      <c r="O89" s="5">
        <f t="shared" ca="1" si="14"/>
        <v>0</v>
      </c>
      <c r="P89" s="446" t="e">
        <f t="shared" si="9"/>
        <v>#VALUE!</v>
      </c>
      <c r="Q89" s="446" t="e">
        <f>IF(OR($B89="",MIN(Q$38,$D$19)&lt;MAX($P$34*($B89+IF($R$17="Distrato",$I$38-1,0)),IF(AND($L$37=0,$P$34=0),"",$L$37-1),IF($R$17="Distrato",$E89,0))),0,YEARFRAC(MAX($P$34*($B89+IF($R$17="Distrato",$I$38-1,0)),IF(AND($L$37=0,$P$34=0),"",$L$37-1),IF($R$17="Distrato",$E89,0)),MIN(Q$38,$D$19),$P$20))-SUM($P89:P89)</f>
        <v>#VALUE!</v>
      </c>
      <c r="R89" s="446" t="e">
        <f>IF(OR($B89="",MIN(R$38,$D$19)&lt;MAX($P$34*($B89+IF($R$17="Distrato",$I$38-1,0)),IF(AND($L$37=0,$P$34=0),"",$L$37-1),IF($R$17="Distrato",$E89,0))),0,YEARFRAC(MAX($P$34*($B89+IF($R$17="Distrato",$I$38-1,0)),IF(AND($L$37=0,$P$34=0),"",$L$37-1),IF($R$17="Distrato",$E89,0)),MIN(R$38,$D$19),$P$20))-SUM($P89:Q89)</f>
        <v>#VALUE!</v>
      </c>
      <c r="S89" s="446" t="e">
        <f>IF(OR($B89="",MIN(S$38,$D$19)&lt;MAX($P$34*($B89+IF($R$17="Distrato",$I$38-1,0)),IF(AND($L$37=0,$P$34=0),"",$L$37-1),IF($R$17="Distrato",$E89,0))),0,YEARFRAC(MAX($P$34*($B89+IF($R$17="Distrato",$I$38-1,0)),IF(AND($L$37=0,$P$34=0),"",$L$37-1),IF($R$17="Distrato",$E89,0)),MIN(S$38,$D$19),$P$20))-SUM($P89:R89)</f>
        <v>#VALUE!</v>
      </c>
      <c r="T89" s="446" t="e">
        <f>IF(OR($B89="",MIN(T$38,$D$19)&lt;MAX($P$34*($B89+IF($R$17="Distrato",$I$38-1,0)),IF(AND($L$37=0,$P$34=0),"",$L$37-1),IF($R$17="Distrato",$E89,0))),0,YEARFRAC(MAX($P$34*($B89+IF($R$17="Distrato",$I$38-1,0)),IF(AND($L$37=0,$P$34=0),"",$L$37-1),IF($R$17="Distrato",$E89,0)),MIN(T$38,$D$19),$P$20))-SUM($P89:S89)</f>
        <v>#VALUE!</v>
      </c>
      <c r="U89" s="446" t="e">
        <f>IF(OR($B89="",MIN(U$38,$D$19)&lt;MAX($P$34*($B89+IF($R$17="Distrato",$I$38-1,0)),IF(AND($L$37=0,$P$34=0),"",$L$37-1),IF($R$17="Distrato",$E89,0))),0,YEARFRAC(MAX($P$34*($B89+IF($R$17="Distrato",$I$38-1,0)),IF(AND($L$37=0,$P$34=0),"",$L$37-1),IF($R$17="Distrato",$E89,0)),MIN(U$38,$D$19),$P$20))-SUM($P89:T89)</f>
        <v>#VALUE!</v>
      </c>
      <c r="V89" s="446" t="e">
        <f>IF(OR($B89="",MIN(V$38,$D$19)&lt;MAX($P$34*($B89+IF($R$17="Distrato",$I$38-1,0)),IF(AND($L$37=0,$P$34=0),"",$L$37-1),IF($R$17="Distrato",$E89,0))),0,YEARFRAC(MAX($P$34*($B89+IF($R$17="Distrato",$I$38-1,0)),IF(AND($L$37=0,$P$34=0),"",$L$37-1),IF($R$17="Distrato",$E89,0)),MIN(V$38,$D$19),$P$20))-SUM($P89:U89)</f>
        <v>#VALUE!</v>
      </c>
      <c r="W89" s="446" t="e">
        <f>IF(OR($B89="",MIN(W$38,$D$19)&lt;MAX($P$34*($B89+IF($R$17="Distrato",$I$38-1,0)),IF(AND($L$37=0,$P$34=0),"",$L$37-1),IF($R$17="Distrato",$E89,0))),0,YEARFRAC(MAX($P$34*($B89+IF($R$17="Distrato",$I$38-1,0)),IF(AND($L$37=0,$P$34=0),"",$L$37-1),IF($R$17="Distrato",$E89,0)),MIN(W$38,$D$19),$P$20))-SUM($P89:V89)</f>
        <v>#VALUE!</v>
      </c>
      <c r="X89" s="446" t="e">
        <f>IF(OR($B89="",MIN(X$38,$D$19)&lt;MAX($P$34*($B89+IF($R$17="Distrato",$I$38-1,0)),IF(AND($L$37=0,$P$34=0),"",$L$37-1),IF($R$17="Distrato",$E89,0))),0,YEARFRAC(MAX($P$34*($B89+IF($R$17="Distrato",$I$38-1,0)),IF(AND($L$37=0,$P$34=0),"",$L$37-1),IF($R$17="Distrato",$E89,0)),MIN(X$38,$D$19),$P$20))-SUM($P89:W89)</f>
        <v>#VALUE!</v>
      </c>
      <c r="Y89" s="446" t="e">
        <f>IF(OR($B89="",MIN(Y$38,$D$19)&lt;MAX($P$34*($B89+IF($R$17="Distrato",$I$38-1,0)),IF(AND($L$37=0,$P$34=0),"",$L$37-1),IF($R$17="Distrato",$E89,0))),0,YEARFRAC(MAX($P$34*($B89+IF($R$17="Distrato",$I$38-1,0)),IF(AND($L$37=0,$P$34=0),"",$L$37-1),IF($R$17="Distrato",$E89,0)),MIN(Y$38,$D$19),$P$20))-SUM($P89:X89)</f>
        <v>#VALUE!</v>
      </c>
      <c r="Z89" s="446" t="e">
        <f>IF(OR($B89="",MIN(Z$38,$D$19)&lt;MAX($P$34*($B89+IF($R$17="Distrato",$I$38-1,0)),IF(AND($L$37=0,$P$34=0),"",$L$37-1),IF($R$17="Distrato",$E89,0))),0,YEARFRAC(MAX($P$34*($B89+IF($R$17="Distrato",$I$38-1,0)),IF(AND($L$37=0,$P$34=0),"",$L$37-1),IF($R$17="Distrato",$E89,0)),MIN(Z$38,$D$19),$P$20))-SUM($P89:Y89)</f>
        <v>#VALUE!</v>
      </c>
      <c r="AA89" s="446" t="e">
        <f>IF(OR($B89="",MIN(AA$38,$D$19)&lt;MAX($P$34*($B89+IF($R$17="Distrato",$I$38-1,0)),IF(AND($L$37=0,$P$34=0),"",$L$37-1),IF($R$17="Distrato",$E89,0))),0,YEARFRAC(MAX($P$34*($B89+IF($R$17="Distrato",$I$38-1,0)),IF(AND($L$37=0,$P$34=0),"",$L$37-1),IF($R$17="Distrato",$E89,0)),MIN(AA$38,$D$19),$P$20))-SUM($P89:Z89)</f>
        <v>#VALUE!</v>
      </c>
      <c r="AB89" s="446" t="e">
        <f>IF(OR($B89="",MIN(AB$38,$D$19)&lt;MAX($P$34*($B89+IF($R$17="Distrato",$I$38-1,0)),IF(AND($L$37=0,$P$34=0),"",$L$37-1),IF($R$17="Distrato",$E89,0))),0,YEARFRAC(MAX($P$34*($B89+IF($R$17="Distrato",$I$38-1,0)),IF(AND($L$37=0,$P$34=0),"",$L$37-1),IF($R$17="Distrato",$E89,0)),MIN(AB$38,$D$19),$P$20))-SUM($P89:AA89)</f>
        <v>#VALUE!</v>
      </c>
      <c r="AC89" s="446" t="e">
        <f>IF(OR($B89="",MIN(AC$38,$D$19)&lt;MAX($P$34*($B89+IF($R$17="Distrato",$I$38-1,0)),IF(AND($L$37=0,$P$34=0),"",$L$37-1),IF($R$17="Distrato",$E89,0))),0,YEARFRAC(MAX($P$34*($B89+IF($R$17="Distrato",$I$38-1,0)),IF(AND($L$37=0,$P$34=0),"",$L$37-1),IF($R$17="Distrato",$E89,0)),MIN(AC$38,$D$19),$P$20))-SUM($P89:AB89)</f>
        <v>#VALUE!</v>
      </c>
      <c r="AD89" s="446" t="e">
        <f>IF(OR($B89="",MIN(AD$38,$D$19)&lt;MAX($P$34*($B89+IF($R$17="Distrato",$I$38-1,0)),IF(AND($L$37=0,$P$34=0),"",$L$37-1),IF($R$17="Distrato",$E89,0))),0,YEARFRAC(MAX($P$34*($B89+IF($R$17="Distrato",$I$38-1,0)),IF(AND($L$37=0,$P$34=0),"",$L$37-1),IF($R$17="Distrato",$E89,0)),MIN(AD$38,$D$19),$P$20))-SUM($P89:AC89)</f>
        <v>#VALUE!</v>
      </c>
      <c r="AE89" s="446" t="e">
        <f>IF(OR($B89="",MIN(AE$38,$D$19)&lt;MAX($P$34*($B89+IF($R$17="Distrato",$I$38-1,0)),IF(AND($L$37=0,$P$34=0),"",$L$37-1),IF($R$17="Distrato",$E89,0))),0,YEARFRAC(MAX($P$34*($B89+IF($R$17="Distrato",$I$38-1,0)),IF(AND($L$37=0,$P$34=0),"",$L$37-1),IF($R$17="Distrato",$E89,0)),MIN(AE$38,$D$19),$P$20))-SUM($P89:AD89)</f>
        <v>#VALUE!</v>
      </c>
      <c r="AF89" s="446" t="e">
        <f>IF(OR($B89="",MIN(AF$38,$D$19)&lt;MAX($P$34*($B89+IF($R$17="Distrato",$I$38-1,0)),IF(AND($L$37=0,$P$34=0),"",$L$37-1),IF($R$17="Distrato",$E89,0))),0,YEARFRAC(MAX($P$34*($B89+IF($R$17="Distrato",$I$38-1,0)),IF(AND($L$37=0,$P$34=0),"",$L$37-1),IF($R$17="Distrato",$E89,0)),MIN(AF$38,$D$19),$P$20))-SUM($P89:AE89)</f>
        <v>#VALUE!</v>
      </c>
      <c r="AG89" s="446" t="e">
        <f>IF(OR($B89="",MIN(AG$38,$D$19)&lt;MAX($P$34*($B89+IF($R$17="Distrato",$I$38-1,0)),IF(AND($L$37=0,$P$34=0),"",$L$37-1),IF($R$17="Distrato",$E89,0))),0,YEARFRAC(MAX($P$34*($B89+IF($R$17="Distrato",$I$38-1,0)),IF(AND($L$37=0,$P$34=0),"",$L$37-1),IF($R$17="Distrato",$E89,0)),MIN(AG$38,$D$19),$P$20))-SUM($P89:AF89)</f>
        <v>#VALUE!</v>
      </c>
      <c r="AH89" s="446" t="e">
        <f>IF(OR($B89="",MIN(AH$38,$D$19)&lt;MAX($P$34*($B89+IF($R$17="Distrato",$I$38-1,0)),IF(AND($L$37=0,$P$34=0),"",$L$37-1),IF($R$17="Distrato",$E89,0))),0,YEARFRAC(MAX($P$34*($B89+IF($R$17="Distrato",$I$38-1,0)),IF(AND($L$37=0,$P$34=0),"",$L$37-1),IF($R$17="Distrato",$E89,0)),MIN(AH$38,$D$19),$P$20))-SUM($P89:AG89)</f>
        <v>#VALUE!</v>
      </c>
      <c r="AI89" s="446" t="e">
        <f>IF(OR($B89="",MIN(AI$38,$D$19)&lt;MAX($P$34*($B89+IF($R$17="Distrato",$I$38-1,0)),IF(AND($L$37=0,$P$34=0),"",$L$37-1),IF($R$17="Distrato",$E89,0))),0,YEARFRAC(MAX($P$34*($B89+IF($R$17="Distrato",$I$38-1,0)),IF(AND($L$37=0,$P$34=0),"",$L$37-1),IF($R$17="Distrato",$E89,0)),MIN(AI$38,$D$19),$P$20))-SUM($P89:AH89)</f>
        <v>#VALUE!</v>
      </c>
      <c r="AJ89" s="446" t="e">
        <f>IF(OR($B89="",MIN(AJ$38,$D$19)&lt;MAX($P$34*($B89+IF($R$17="Distrato",$I$38-1,0)),IF(AND($L$37=0,$P$34=0),"",$L$37-1),IF($R$17="Distrato",$E89,0))),0,YEARFRAC(MAX($P$34*($B89+IF($R$17="Distrato",$I$38-1,0)),IF(AND($L$37=0,$P$34=0),"",$L$37-1),IF($R$17="Distrato",$E89,0)),MIN(AJ$38,$D$19),$P$20))-SUM($P89:AI89)</f>
        <v>#VALUE!</v>
      </c>
      <c r="AK89" s="446" t="e">
        <f>IF(OR($B89="",MIN(AK$38,$D$19)&lt;MAX($P$34*($B89+IF($R$17="Distrato",$I$38-1,0)),IF(AND($L$37=0,$P$34=0),"",$L$37-1),IF($R$17="Distrato",$E89,0))),0,YEARFRAC(MAX($P$34*($B89+IF($R$17="Distrato",$I$38-1,0)),IF(AND($L$37=0,$P$34=0),"",$L$37-1),IF($R$17="Distrato",$E89,0)),MIN(AK$38,$D$19),$P$20))-SUM($P89:AJ89)</f>
        <v>#VALUE!</v>
      </c>
      <c r="AL89" s="446" t="e">
        <f>IF(OR($B89="",MIN(AL$38,$D$19)&lt;MAX($P$34*($B89+IF($R$17="Distrato",$I$38-1,0)),IF(AND($L$37=0,$P$34=0),"",$L$37-1),IF($R$17="Distrato",$E89,0))),0,YEARFRAC(MAX($P$34*($B89+IF($R$17="Distrato",$I$38-1,0)),IF(AND($L$37=0,$P$34=0),"",$L$37-1),IF($R$17="Distrato",$E89,0)),MIN(AL$38,$D$19),$P$20))-SUM($P89:AK89)</f>
        <v>#VALUE!</v>
      </c>
      <c r="AM89" s="446" t="e">
        <f>IF(OR($B89="",MIN(AM$38,$D$19)&lt;MAX($P$34*($B89+IF($R$17="Distrato",$I$38-1,0)),IF(AND($L$37=0,$P$34=0),"",$L$37-1),IF($R$17="Distrato",$E89,0))),0,YEARFRAC(MAX($P$34*($B89+IF($R$17="Distrato",$I$38-1,0)),IF(AND($L$37=0,$P$34=0),"",$L$37-1),IF($R$17="Distrato",$E89,0)),MIN(AM$38,$D$19),$P$20))-SUM($P89:AL89)</f>
        <v>#VALUE!</v>
      </c>
      <c r="AN89" s="446" t="e">
        <f>IF(OR($B89="",MIN(AN$38,$D$19)&lt;MAX($P$34*($B89+IF($R$17="Distrato",$I$38-1,0)),IF(AND($L$37=0,$P$34=0),"",$L$37-1),IF($R$17="Distrato",$E89,0))),0,YEARFRAC(MAX($P$34*($B89+IF($R$17="Distrato",$I$38-1,0)),IF(AND($L$37=0,$P$34=0),"",$L$37-1),IF($R$17="Distrato",$E89,0)),MIN(AN$38,$D$19),$P$20))-SUM($P89:AM89)</f>
        <v>#VALUE!</v>
      </c>
      <c r="AO89" s="446" t="e">
        <f>IF(OR($B89="",MIN(AO$38,$D$19)&lt;MAX($P$34*($B89+IF($R$17="Distrato",$I$38-1,0)),IF(AND($L$37=0,$P$34=0),"",$L$37-1),IF($R$17="Distrato",$E89,0))),0,YEARFRAC(MAX($P$34*($B89+IF($R$17="Distrato",$I$38-1,0)),IF(AND($L$37=0,$P$34=0),"",$L$37-1),IF($R$17="Distrato",$E89,0)),MIN(AO$38,$D$19),$P$20))-SUM($P89:AN89)</f>
        <v>#VALUE!</v>
      </c>
      <c r="AP89" s="446" t="e">
        <f>IF(OR($B89="",MIN(AP$38,$D$19)&lt;MAX($P$34*($B89+IF($R$17="Distrato",$I$38-1,0)),IF(AND($L$37=0,$P$34=0),"",$L$37-1),IF($R$17="Distrato",$E89,0))),0,YEARFRAC(MAX($P$34*($B89+IF($R$17="Distrato",$I$38-1,0)),IF(AND($L$37=0,$P$34=0),"",$L$37-1),IF($R$17="Distrato",$E89,0)),MIN(AP$38,$D$19),$P$20))-SUM($P89:AO89)</f>
        <v>#VALUE!</v>
      </c>
      <c r="AQ89" s="446" t="e">
        <f>IF(OR($B89="",MIN(AQ$38,$D$19)&lt;MAX($P$34*($B89+IF($R$17="Distrato",$I$38-1,0)),IF(AND($L$37=0,$P$34=0),"",$L$37-1),IF($R$17="Distrato",$E89,0))),0,YEARFRAC(MAX($P$34*($B89+IF($R$17="Distrato",$I$38-1,0)),IF(AND($L$37=0,$P$34=0),"",$L$37-1),IF($R$17="Distrato",$E89,0)),MIN(AQ$38,$D$19),$P$20))-SUM($P89:AP89)</f>
        <v>#VALUE!</v>
      </c>
      <c r="AR89" s="446" t="e">
        <f>IF(OR($B89="",MIN(AR$38,$D$19)&lt;MAX($P$34*($B89+IF($R$17="Distrato",$I$38-1,0)),IF(AND($L$37=0,$P$34=0),"",$L$37-1),IF($R$17="Distrato",$E89,0))),0,YEARFRAC(MAX($P$34*($B89+IF($R$17="Distrato",$I$38-1,0)),IF(AND($L$37=0,$P$34=0),"",$L$37-1),IF($R$17="Distrato",$E89,0)),MIN(AR$38,$D$19),$P$20))-SUM($P89:AQ89)</f>
        <v>#VALUE!</v>
      </c>
      <c r="AS89" s="446" t="e">
        <f>IF(OR($B89="",MIN(AS$38,$D$19)&lt;MAX($P$34*($B89+IF($R$17="Distrato",$I$38-1,0)),IF(AND($L$37=0,$P$34=0),"",$L$37-1),IF($R$17="Distrato",$E89,0))),0,YEARFRAC(MAX($P$34*($B89+IF($R$17="Distrato",$I$38-1,0)),IF(AND($L$37=0,$P$34=0),"",$L$37-1),IF($R$17="Distrato",$E89,0)),MIN(AS$38,$D$19),$P$20))-SUM($P89:AR89)</f>
        <v>#VALUE!</v>
      </c>
      <c r="AT89" s="446" t="e">
        <f>IF(OR($B89="",MIN(AT$38,$D$19)&lt;MAX($P$34*($B89+IF($R$17="Distrato",$I$38-1,0)),IF(AND($L$37=0,$P$34=0),"",$L$37-1),IF($R$17="Distrato",$E89,0))),0,YEARFRAC(MAX($P$34*($B89+IF($R$17="Distrato",$I$38-1,0)),IF(AND($L$37=0,$P$34=0),"",$L$37-1),IF($R$17="Distrato",$E89,0)),MIN(AT$38,$D$19),$P$20))-SUM($P89:AS89)</f>
        <v>#VALUE!</v>
      </c>
      <c r="AU89" s="446" t="e">
        <f>IF(OR($B89="",MIN(AU$38,$D$19)&lt;MAX($P$34*($B89+IF($R$17="Distrato",$I$38-1,0)),IF(AND($L$37=0,$P$34=0),"",$L$37-1),IF($R$17="Distrato",$E89,0))),0,YEARFRAC(MAX($P$34*($B89+IF($R$17="Distrato",$I$38-1,0)),IF(AND($L$37=0,$P$34=0),"",$L$37-1),IF($R$17="Distrato",$E89,0)),MIN(AU$38,$D$19),$P$20))-SUM($P89:AT89)</f>
        <v>#VALUE!</v>
      </c>
      <c r="AV89" s="446" t="e">
        <f>IF(OR($B89="",MIN(AV$38,$D$19)&lt;MAX($P$34*($B89+IF($R$17="Distrato",$I$38-1,0)),IF(AND($L$37=0,$P$34=0),"",$L$37-1),IF($R$17="Distrato",$E89,0))),0,YEARFRAC(MAX($P$34*($B89+IF($R$17="Distrato",$I$38-1,0)),IF(AND($L$37=0,$P$34=0),"",$L$37-1),IF($R$17="Distrato",$E89,0)),MIN(AV$38,$D$19),$P$20))-SUM($P89:AU89)</f>
        <v>#VALUE!</v>
      </c>
      <c r="AW89" s="446" t="e">
        <f>IF(OR($B89="",MIN(AW$38,$D$19)&lt;MAX($P$34*($B89+IF($R$17="Distrato",$I$38-1,0)),IF(AND($L$37=0,$P$34=0),"",$L$37-1),IF($R$17="Distrato",$E89,0))),0,YEARFRAC(MAX($P$34*($B89+IF($R$17="Distrato",$I$38-1,0)),IF(AND($L$37=0,$P$34=0),"",$L$37-1),IF($R$17="Distrato",$E89,0)),MIN(AW$38,$D$19),$P$20))-SUM($P89:AV89)</f>
        <v>#VALUE!</v>
      </c>
      <c r="AX89" s="446" t="e">
        <f>IF(OR($B89="",MIN(AX$38,$D$19)&lt;MAX($P$34*($B89+IF($R$17="Distrato",$I$38-1,0)),IF(AND($L$37=0,$P$34=0),"",$L$37-1),IF($R$17="Distrato",$E89,0))),0,YEARFRAC(MAX($P$34*($B89+IF($R$17="Distrato",$I$38-1,0)),IF(AND($L$37=0,$P$34=0),"",$L$37-1),IF($R$17="Distrato",$E89,0)),MIN(AX$38,$D$19),$P$20))-SUM($P89:AW89)</f>
        <v>#VALUE!</v>
      </c>
      <c r="AY89" s="446" t="e">
        <f>IF(OR($B89="",MIN(AY$38,$D$19)&lt;MAX($P$34*($B89+IF($R$17="Distrato",$I$38-1,0)),IF(AND($L$37=0,$P$34=0),"",$L$37-1),IF($R$17="Distrato",$E89,0))),0,YEARFRAC(MAX($P$34*($B89+IF($R$17="Distrato",$I$38-1,0)),IF(AND($L$37=0,$P$34=0),"",$L$37-1),IF($R$17="Distrato",$E89,0)),MIN(AY$38,$D$19),$P$20))-SUM($P89:AX89)</f>
        <v>#VALUE!</v>
      </c>
      <c r="AZ89" s="446" t="e">
        <f>IF(OR($B89="",MIN(AZ$38,$D$19)&lt;MAX($P$34*($B89+IF($R$17="Distrato",$I$38-1,0)),IF(AND($L$37=0,$P$34=0),"",$L$37-1),IF($R$17="Distrato",$E89,0))),0,YEARFRAC(MAX($P$34*($B89+IF($R$17="Distrato",$I$38-1,0)),IF(AND($L$37=0,$P$34=0),"",$L$37-1),IF($R$17="Distrato",$E89,0)),MIN(AZ$38,$D$19),$P$20))-SUM($P89:AY89)</f>
        <v>#VALUE!</v>
      </c>
      <c r="BA89" s="446" t="e">
        <f>IF(OR($B89="",MIN(BA$38,$D$19)&lt;MAX($P$34*($B89+IF($R$17="Distrato",$I$38-1,0)),IF(AND($L$37=0,$P$34=0),"",$L$37-1),IF($R$17="Distrato",$E89,0))),0,YEARFRAC(MAX($P$34*($B89+IF($R$17="Distrato",$I$38-1,0)),IF(AND($L$37=0,$P$34=0),"",$L$37-1),IF($R$17="Distrato",$E89,0)),MIN(BA$38,$D$19),$P$20))-SUM($P89:AZ89)</f>
        <v>#VALUE!</v>
      </c>
      <c r="BB89" s="447"/>
      <c r="BF89" s="446">
        <f t="shared" si="10"/>
        <v>0</v>
      </c>
      <c r="BG89" s="446">
        <f>IF($E89=0,0,IF(MIN(BG$38,$E89)&lt;MAX($P$34*($B89+$I$38-1),IF(AND($L$37=0,$P$34=0),"",$L$37-1)),0,YEARFRAC(MAX($P$34*($B89+$I$38-1),IF(AND($L$37=0,$P$34=0),"",$L$37-1)),MIN(BG$38,$E89),$P$20))-SUM($BF89:BF89))</f>
        <v>0</v>
      </c>
      <c r="BH89" s="446">
        <f>IF($E89=0,0,IF(MIN(BH$38,$E89)&lt;MAX($P$34*($B89+$I$38-1),IF(AND($L$37=0,$P$34=0),"",$L$37-1)),0,YEARFRAC(MAX($P$34*($B89+$I$38-1),IF(AND($L$37=0,$P$34=0),"",$L$37-1)),MIN(BH$38,$E89),$P$20))-SUM($BF89:BG89))</f>
        <v>0</v>
      </c>
      <c r="BI89" s="446">
        <f>IF($E89=0,0,IF(MIN(BI$38,$E89)&lt;MAX($P$34*($B89+$I$38-1),IF(AND($L$37=0,$P$34=0),"",$L$37-1)),0,YEARFRAC(MAX($P$34*($B89+$I$38-1),IF(AND($L$37=0,$P$34=0),"",$L$37-1)),MIN(BI$38,$E89),$P$20))-SUM($BF89:BH89))</f>
        <v>0</v>
      </c>
      <c r="BJ89" s="446">
        <f>IF($E89=0,0,IF(MIN(BJ$38,$E89)&lt;MAX($P$34*($B89+$I$38-1),IF(AND($L$37=0,$P$34=0),"",$L$37-1)),0,YEARFRAC(MAX($P$34*($B89+$I$38-1),IF(AND($L$37=0,$P$34=0),"",$L$37-1)),MIN(BJ$38,$E89),$P$20))-SUM($BF89:BI89))</f>
        <v>0</v>
      </c>
      <c r="BK89" s="446">
        <f>IF($E89=0,0,IF(MIN(BK$38,$E89)&lt;MAX($P$34*($B89+$I$38-1),IF(AND($L$37=0,$P$34=0),"",$L$37-1)),0,YEARFRAC(MAX($P$34*($B89+$I$38-1),IF(AND($L$37=0,$P$34=0),"",$L$37-1)),MIN(BK$38,$E89),$P$20))-SUM($BF89:BJ89))</f>
        <v>0</v>
      </c>
      <c r="BL89" s="446">
        <f>IF($E89=0,0,IF(MIN(BL$38,$E89)&lt;MAX($P$34*($B89+$I$38-1),IF(AND($L$37=0,$P$34=0),"",$L$37-1)),0,YEARFRAC(MAX($P$34*($B89+$I$38-1),IF(AND($L$37=0,$P$34=0),"",$L$37-1)),MIN(BL$38,$E89),$P$20))-SUM($BF89:BK89))</f>
        <v>0</v>
      </c>
      <c r="BM89" s="446">
        <f>IF($E89=0,0,IF(MIN(BM$38,$E89)&lt;MAX($P$34*($B89+$I$38-1),IF(AND($L$37=0,$P$34=0),"",$L$37-1)),0,YEARFRAC(MAX($P$34*($B89+$I$38-1),IF(AND($L$37=0,$P$34=0),"",$L$37-1)),MIN(BM$38,$E89),$P$20))-SUM($BF89:BL89))</f>
        <v>0</v>
      </c>
      <c r="BN89" s="446">
        <f>IF($E89=0,0,IF(MIN(BN$38,$E89)&lt;MAX($P$34*($B89+$I$38-1),IF(AND($L$37=0,$P$34=0),"",$L$37-1)),0,YEARFRAC(MAX($P$34*($B89+$I$38-1),IF(AND($L$37=0,$P$34=0),"",$L$37-1)),MIN(BN$38,$E89),$P$20))-SUM($BF89:BM89))</f>
        <v>0</v>
      </c>
      <c r="BO89" s="446">
        <f>IF($E89=0,0,IF(MIN(BO$38,$E89)&lt;MAX($P$34*($B89+$I$38-1),IF(AND($L$37=0,$P$34=0),"",$L$37-1)),0,YEARFRAC(MAX($P$34*($B89+$I$38-1),IF(AND($L$37=0,$P$34=0),"",$L$37-1)),MIN(BO$38,$E89),$P$20))-SUM($BF89:BN89))</f>
        <v>0</v>
      </c>
      <c r="BP89" s="446">
        <f>IF($E89=0,0,IF(MIN(BP$38,$E89)&lt;MAX($P$34*($B89+$I$38-1),IF(AND($L$37=0,$P$34=0),"",$L$37-1)),0,YEARFRAC(MAX($P$34*($B89+$I$38-1),IF(AND($L$37=0,$P$34=0),"",$L$37-1)),MIN(BP$38,$E89),$P$20))-SUM($BF89:BO89))</f>
        <v>0</v>
      </c>
      <c r="BQ89" s="446">
        <f>IF($E89=0,0,IF(MIN(BQ$38,$E89)&lt;MAX($P$34*($B89+$I$38-1),IF(AND($L$37=0,$P$34=0),"",$L$37-1)),0,YEARFRAC(MAX($P$34*($B89+$I$38-1),IF(AND($L$37=0,$P$34=0),"",$L$37-1)),MIN(BQ$38,$E89),$P$20))-SUM($BF89:BP89))</f>
        <v>0</v>
      </c>
      <c r="BR89" s="446">
        <f>IF($E89=0,0,IF(MIN(BR$38,$E89)&lt;MAX($P$34*($B89+$I$38-1),IF(AND($L$37=0,$P$34=0),"",$L$37-1)),0,YEARFRAC(MAX($P$34*($B89+$I$38-1),IF(AND($L$37=0,$P$34=0),"",$L$37-1)),MIN(BR$38,$E89),$P$20))-SUM($BF89:BQ89))</f>
        <v>0</v>
      </c>
      <c r="BS89" s="446">
        <f>IF($E89=0,0,IF(MIN(BS$38,$E89)&lt;MAX($P$34*($B89+$I$38-1),IF(AND($L$37=0,$P$34=0),"",$L$37-1)),0,YEARFRAC(MAX($P$34*($B89+$I$38-1),IF(AND($L$37=0,$P$34=0),"",$L$37-1)),MIN(BS$38,$E89),$P$20))-SUM($BF89:BR89))</f>
        <v>0</v>
      </c>
      <c r="BT89" s="446">
        <f>IF($E89=0,0,IF(MIN(BT$38,$E89)&lt;MAX($P$34*($B89+$I$38-1),IF(AND($L$37=0,$P$34=0),"",$L$37-1)),0,YEARFRAC(MAX($P$34*($B89+$I$38-1),IF(AND($L$37=0,$P$34=0),"",$L$37-1)),MIN(BT$38,$E89),$P$20))-SUM($BF89:BS89))</f>
        <v>0</v>
      </c>
      <c r="BU89" s="446">
        <f>IF($E89=0,0,IF(MIN(BU$38,$E89)&lt;MAX($P$34*($B89+$I$38-1),IF(AND($L$37=0,$P$34=0),"",$L$37-1)),0,YEARFRAC(MAX($P$34*($B89+$I$38-1),IF(AND($L$37=0,$P$34=0),"",$L$37-1)),MIN(BU$38,$E89),$P$20))-SUM($BF89:BT89))</f>
        <v>0</v>
      </c>
      <c r="BV89" s="446">
        <f>IF($E89=0,0,IF(MIN(BV$38,$E89)&lt;MAX($P$34*($B89+$I$38-1),IF(AND($L$37=0,$P$34=0),"",$L$37-1)),0,YEARFRAC(MAX($P$34*($B89+$I$38-1),IF(AND($L$37=0,$P$34=0),"",$L$37-1)),MIN(BV$38,$E89),$P$20))-SUM($BF89:BU89))</f>
        <v>0</v>
      </c>
      <c r="BW89" s="446">
        <f>IF($E89=0,0,IF(MIN(BW$38,$E89)&lt;MAX($P$34*($B89+$I$38-1),IF(AND($L$37=0,$P$34=0),"",$L$37-1)),0,YEARFRAC(MAX($P$34*($B89+$I$38-1),IF(AND($L$37=0,$P$34=0),"",$L$37-1)),MIN(BW$38,$E89),$P$20))-SUM($BF89:BV89))</f>
        <v>0</v>
      </c>
      <c r="BX89" s="446">
        <f>IF($E89=0,0,IF(MIN(BX$38,$E89)&lt;MAX($P$34*($B89+$I$38-1),IF(AND($L$37=0,$P$34=0),"",$L$37-1)),0,YEARFRAC(MAX($P$34*($B89+$I$38-1),IF(AND($L$37=0,$P$34=0),"",$L$37-1)),MIN(BX$38,$E89),$P$20))-SUM($BF89:BW89))</f>
        <v>0</v>
      </c>
      <c r="BY89" s="446">
        <f>IF($E89=0,0,IF(MIN(BY$38,$E89)&lt;MAX($P$34*($B89+$I$38-1),IF(AND($L$37=0,$P$34=0),"",$L$37-1)),0,YEARFRAC(MAX($P$34*($B89+$I$38-1),IF(AND($L$37=0,$P$34=0),"",$L$37-1)),MIN(BY$38,$E89),$P$20))-SUM($BF89:BX89))</f>
        <v>0</v>
      </c>
      <c r="BZ89" s="446">
        <f>IF($E89=0,0,IF(MIN(BZ$38,$E89)&lt;MAX($P$34*($B89+$I$38-1),IF(AND($L$37=0,$P$34=0),"",$L$37-1)),0,YEARFRAC(MAX($P$34*($B89+$I$38-1),IF(AND($L$37=0,$P$34=0),"",$L$37-1)),MIN(BZ$38,$E89),$P$20))-SUM($BF89:BY89))</f>
        <v>0</v>
      </c>
      <c r="CA89" s="446">
        <f>IF($E89=0,0,IF(MIN(CA$38,$E89)&lt;MAX($P$34*($B89+$I$38-1),IF(AND($L$37=0,$P$34=0),"",$L$37-1)),0,YEARFRAC(MAX($P$34*($B89+$I$38-1),IF(AND($L$37=0,$P$34=0),"",$L$37-1)),MIN(CA$38,$E89),$P$20))-SUM($BF89:BZ89))</f>
        <v>0</v>
      </c>
      <c r="CB89" s="446">
        <f>IF($E89=0,0,IF(MIN(CB$38,$E89)&lt;MAX($P$34*($B89+$I$38-1),IF(AND($L$37=0,$P$34=0),"",$L$37-1)),0,YEARFRAC(MAX($P$34*($B89+$I$38-1),IF(AND($L$37=0,$P$34=0),"",$L$37-1)),MIN(CB$38,$E89),$P$20))-SUM($BF89:CA89))</f>
        <v>0</v>
      </c>
      <c r="CC89" s="446">
        <f>IF($E89=0,0,IF(MIN(CC$38,$E89)&lt;MAX($P$34*($B89+$I$38-1),IF(AND($L$37=0,$P$34=0),"",$L$37-1)),0,YEARFRAC(MAX($P$34*($B89+$I$38-1),IF(AND($L$37=0,$P$34=0),"",$L$37-1)),MIN(CC$38,$E89),$P$20))-SUM($BF89:CB89))</f>
        <v>0</v>
      </c>
      <c r="CD89" s="446">
        <f>IF($E89=0,0,IF(MIN(CD$38,$E89)&lt;MAX($P$34*($B89+$I$38-1),IF(AND($L$37=0,$P$34=0),"",$L$37-1)),0,YEARFRAC(MAX($P$34*($B89+$I$38-1),IF(AND($L$37=0,$P$34=0),"",$L$37-1)),MIN(CD$38,$E89),$P$20))-SUM($BF89:CC89))</f>
        <v>0</v>
      </c>
      <c r="CE89" s="446">
        <f>IF($E89=0,0,IF(MIN(CE$38,$E89)&lt;MAX($P$34*($B89+$I$38-1),IF(AND($L$37=0,$P$34=0),"",$L$37-1)),0,YEARFRAC(MAX($P$34*($B89+$I$38-1),IF(AND($L$37=0,$P$34=0),"",$L$37-1)),MIN(CE$38,$E89),$P$20))-SUM($BF89:CD89))</f>
        <v>0</v>
      </c>
      <c r="CF89" s="446">
        <f>IF($E89=0,0,IF(MIN(CF$38,$E89)&lt;MAX($P$34*($B89+$I$38-1),IF(AND($L$37=0,$P$34=0),"",$L$37-1)),0,YEARFRAC(MAX($P$34*($B89+$I$38-1),IF(AND($L$37=0,$P$34=0),"",$L$37-1)),MIN(CF$38,$E89),$P$20))-SUM($BF89:CE89))</f>
        <v>0</v>
      </c>
      <c r="CG89" s="446">
        <f>IF($E89=0,0,IF(MIN(CG$38,$E89)&lt;MAX($P$34*($B89+$I$38-1),IF(AND($L$37=0,$P$34=0),"",$L$37-1)),0,YEARFRAC(MAX($P$34*($B89+$I$38-1),IF(AND($L$37=0,$P$34=0),"",$L$37-1)),MIN(CG$38,$E89),$P$20))-SUM($BF89:CF89))</f>
        <v>0</v>
      </c>
      <c r="CH89" s="446">
        <f>IF($E89=0,0,IF(MIN(CH$38,$E89)&lt;MAX($P$34*($B89+$I$38-1),IF(AND($L$37=0,$P$34=0),"",$L$37-1)),0,YEARFRAC(MAX($P$34*($B89+$I$38-1),IF(AND($L$37=0,$P$34=0),"",$L$37-1)),MIN(CH$38,$E89),$P$20))-SUM($BF89:CG89))</f>
        <v>0</v>
      </c>
      <c r="CI89" s="446">
        <f>IF($E89=0,0,IF(MIN(CI$38,$E89)&lt;MAX($P$34*($B89+$I$38-1),IF(AND($L$37=0,$P$34=0),"",$L$37-1)),0,YEARFRAC(MAX($P$34*($B89+$I$38-1),IF(AND($L$37=0,$P$34=0),"",$L$37-1)),MIN(CI$38,$E89),$P$20))-SUM($BF89:CH89))</f>
        <v>0</v>
      </c>
      <c r="CJ89" s="446">
        <f>IF($E89=0,0,IF(MIN(CJ$38,$E89)&lt;MAX($P$34*($B89+$I$38-1),IF(AND($L$37=0,$P$34=0),"",$L$37-1)),0,YEARFRAC(MAX($P$34*($B89+$I$38-1),IF(AND($L$37=0,$P$34=0),"",$L$37-1)),MIN(CJ$38,$E89),$P$20))-SUM($BF89:CI89))</f>
        <v>0</v>
      </c>
      <c r="CK89" s="446">
        <f>IF($E89=0,0,IF(MIN(CK$38,$E89)&lt;MAX($P$34*($B89+$I$38-1),IF(AND($L$37=0,$P$34=0),"",$L$37-1)),0,YEARFRAC(MAX($P$34*($B89+$I$38-1),IF(AND($L$37=0,$P$34=0),"",$L$37-1)),MIN(CK$38,$E89),$P$20))-SUM($BF89:CJ89))</f>
        <v>0</v>
      </c>
      <c r="CL89" s="446">
        <f>IF($E89=0,0,IF(MIN(CL$38,$E89)&lt;MAX($P$34*($B89+$I$38-1),IF(AND($L$37=0,$P$34=0),"",$L$37-1)),0,YEARFRAC(MAX($P$34*($B89+$I$38-1),IF(AND($L$37=0,$P$34=0),"",$L$37-1)),MIN(CL$38,$E89),$P$20))-SUM($BF89:CK89))</f>
        <v>0</v>
      </c>
      <c r="CM89" s="446">
        <f>IF($E89=0,0,IF(MIN(CM$38,$E89)&lt;MAX($P$34*($B89+$I$38-1),IF(AND($L$37=0,$P$34=0),"",$L$37-1)),0,YEARFRAC(MAX($P$34*($B89+$I$38-1),IF(AND($L$37=0,$P$34=0),"",$L$37-1)),MIN(CM$38,$E89),$P$20))-SUM($BF89:CL89))</f>
        <v>0</v>
      </c>
      <c r="CN89" s="446">
        <f>IF($E89=0,0,IF(MIN(CN$38,$E89)&lt;MAX($P$34*($B89+$I$38-1),IF(AND($L$37=0,$P$34=0),"",$L$37-1)),0,YEARFRAC(MAX($P$34*($B89+$I$38-1),IF(AND($L$37=0,$P$34=0),"",$L$37-1)),MIN(CN$38,$E89),$P$20))-SUM($BF89:CM89))</f>
        <v>0</v>
      </c>
      <c r="CO89" s="446">
        <f>IF($E89=0,0,IF(MIN(CO$38,$E89)&lt;MAX($P$34*($B89+$I$38-1),IF(AND($L$37=0,$P$34=0),"",$L$37-1)),0,YEARFRAC(MAX($P$34*($B89+$I$38-1),IF(AND($L$37=0,$P$34=0),"",$L$37-1)),MIN(CO$38,$E89),$P$20))-SUM($BF89:CN89))</f>
        <v>0</v>
      </c>
      <c r="CP89" s="446">
        <f>IF($E89=0,0,IF(MIN(CP$38,$E89)&lt;MAX($P$34*($B89+$I$38-1),IF(AND($L$37=0,$P$34=0),"",$L$37-1)),0,YEARFRAC(MAX($P$34*($B89+$I$38-1),IF(AND($L$37=0,$P$34=0),"",$L$37-1)),MIN(CP$38,$E89),$P$20))-SUM($BF89:CO89))</f>
        <v>0</v>
      </c>
      <c r="CQ89" s="446">
        <f>IF($E89=0,0,IF(MIN(CQ$38,$E89)&lt;MAX($P$34*($B89+$I$38-1),IF(AND($L$37=0,$P$34=0),"",$L$37-1)),0,YEARFRAC(MAX($P$34*($B89+$I$38-1),IF(AND($L$37=0,$P$34=0),"",$L$37-1)),MIN(CQ$38,$E89),$P$20))-SUM($BF89:CP89))</f>
        <v>0</v>
      </c>
    </row>
    <row r="90" spans="1:95" s="446" customFormat="1" ht="11.25" hidden="1" customHeight="1" x14ac:dyDescent="0.2">
      <c r="A90" s="152"/>
      <c r="B90" s="153" t="str">
        <f t="shared" si="15"/>
        <v/>
      </c>
      <c r="C90" s="29" t="str">
        <f>IF(B90="","",IF($L$35="SELIC - TRIBUTOS",VLOOKUP(DATE(YEAR($D$19),MONTH($D$19)-1,1),ÍNDICES!$A:$DE,HLOOKUP($BL$25,ÍNDICES!$B$3:$T$4,2)+11)-VLOOKUP(B90,ÍNDICES!$A:$DE,HLOOKUP($BL$25,ÍNDICES!$B$3:$T$4,2)+11)+1%,IF(C$38=$W$26,$J$35,IF(ISERROR(IF(B90&gt;$D$19,1,VLOOKUP(DATE(YEAR(B90),MONTH(B90)+IF($C$35=$S$23,1,0),1),ÍNDICES!$A:$DE,$Z$35+1))),"",IF(B90&gt;$D$19,1,VLOOKUP(DATE(YEAR(B90),MONTH(B90)+IF($C$35=$S$23,1,0),1),ÍNDICES!$A:$DE,$Z$35+1))))))</f>
        <v/>
      </c>
      <c r="D90" s="154" t="str">
        <f>IF(ISERROR(IF(OR($D$38=$Y$27,$B90=""),"",VLOOKUP(B90,ÍNDICES!A:DE,AF$35+1))),"",IF(OR($D$38=$Y$27,$B90=""),"",VLOOKUP(B90,ÍNDICES!A:DE,AF$35+1)))</f>
        <v/>
      </c>
      <c r="E90" s="153"/>
      <c r="F90" s="29" t="str">
        <f>IF(E90="","",IF($L$35="SELIC - TRIBUTOS",VLOOKUP(DATE(YEAR($D$19),MONTH($D$19)-1,1),ÍNDICES!$A:$DE,HLOOKUP($BL$25,ÍNDICES!$B$3:$T$4,2)+11)-VLOOKUP(E90,ÍNDICES!$A:$DE,HLOOKUP($BL$25,ÍNDICES!$B$3:$T$4,2)+11)+1%,IF(F$38=$W$26,$J$35,IF(ISERROR(IF(E90&gt;$D$19,1,VLOOKUP(DATE(YEAR(E90),MONTH(E90)+IF($C$35=$S$23,1,0),1),ÍNDICES!$A:$DE,$Z$35+1))),"",IF(E90&gt;$D$19,1,VLOOKUP(DATE(YEAR(E90),MONTH(E90)+IF($C$35=$S$23,1,0),1),ÍNDICES!$A:$DE,$Z$35+1))))))</f>
        <v/>
      </c>
      <c r="G90" s="155"/>
      <c r="H90" s="156" t="str">
        <f t="shared" si="11"/>
        <v/>
      </c>
      <c r="I90" s="29" t="str">
        <f t="shared" si="5"/>
        <v/>
      </c>
      <c r="J90" s="5">
        <f t="shared" si="6"/>
        <v>0</v>
      </c>
      <c r="K90" s="20">
        <f t="shared" ca="1" si="7"/>
        <v>0</v>
      </c>
      <c r="L90" s="5">
        <f t="shared" ca="1" si="8"/>
        <v>0</v>
      </c>
      <c r="M90" s="64">
        <f t="shared" si="12"/>
        <v>0</v>
      </c>
      <c r="N90" s="61">
        <f t="shared" ca="1" si="13"/>
        <v>0</v>
      </c>
      <c r="O90" s="5">
        <f t="shared" ca="1" si="14"/>
        <v>0</v>
      </c>
      <c r="P90" s="446" t="e">
        <f t="shared" si="9"/>
        <v>#VALUE!</v>
      </c>
      <c r="Q90" s="446" t="e">
        <f>IF(OR($B90="",MIN(Q$38,$D$19)&lt;MAX($P$34*($B90+IF($R$17="Distrato",$I$38-1,0)),IF(AND($L$37=0,$P$34=0),"",$L$37-1),IF($R$17="Distrato",$E90,0))),0,YEARFRAC(MAX($P$34*($B90+IF($R$17="Distrato",$I$38-1,0)),IF(AND($L$37=0,$P$34=0),"",$L$37-1),IF($R$17="Distrato",$E90,0)),MIN(Q$38,$D$19),$P$20))-SUM($P90:P90)</f>
        <v>#VALUE!</v>
      </c>
      <c r="R90" s="446" t="e">
        <f>IF(OR($B90="",MIN(R$38,$D$19)&lt;MAX($P$34*($B90+IF($R$17="Distrato",$I$38-1,0)),IF(AND($L$37=0,$P$34=0),"",$L$37-1),IF($R$17="Distrato",$E90,0))),0,YEARFRAC(MAX($P$34*($B90+IF($R$17="Distrato",$I$38-1,0)),IF(AND($L$37=0,$P$34=0),"",$L$37-1),IF($R$17="Distrato",$E90,0)),MIN(R$38,$D$19),$P$20))-SUM($P90:Q90)</f>
        <v>#VALUE!</v>
      </c>
      <c r="S90" s="446" t="e">
        <f>IF(OR($B90="",MIN(S$38,$D$19)&lt;MAX($P$34*($B90+IF($R$17="Distrato",$I$38-1,0)),IF(AND($L$37=0,$P$34=0),"",$L$37-1),IF($R$17="Distrato",$E90,0))),0,YEARFRAC(MAX($P$34*($B90+IF($R$17="Distrato",$I$38-1,0)),IF(AND($L$37=0,$P$34=0),"",$L$37-1),IF($R$17="Distrato",$E90,0)),MIN(S$38,$D$19),$P$20))-SUM($P90:R90)</f>
        <v>#VALUE!</v>
      </c>
      <c r="T90" s="446" t="e">
        <f>IF(OR($B90="",MIN(T$38,$D$19)&lt;MAX($P$34*($B90+IF($R$17="Distrato",$I$38-1,0)),IF(AND($L$37=0,$P$34=0),"",$L$37-1),IF($R$17="Distrato",$E90,0))),0,YEARFRAC(MAX($P$34*($B90+IF($R$17="Distrato",$I$38-1,0)),IF(AND($L$37=0,$P$34=0),"",$L$37-1),IF($R$17="Distrato",$E90,0)),MIN(T$38,$D$19),$P$20))-SUM($P90:S90)</f>
        <v>#VALUE!</v>
      </c>
      <c r="U90" s="446" t="e">
        <f>IF(OR($B90="",MIN(U$38,$D$19)&lt;MAX($P$34*($B90+IF($R$17="Distrato",$I$38-1,0)),IF(AND($L$37=0,$P$34=0),"",$L$37-1),IF($R$17="Distrato",$E90,0))),0,YEARFRAC(MAX($P$34*($B90+IF($R$17="Distrato",$I$38-1,0)),IF(AND($L$37=0,$P$34=0),"",$L$37-1),IF($R$17="Distrato",$E90,0)),MIN(U$38,$D$19),$P$20))-SUM($P90:T90)</f>
        <v>#VALUE!</v>
      </c>
      <c r="V90" s="446" t="e">
        <f>IF(OR($B90="",MIN(V$38,$D$19)&lt;MAX($P$34*($B90+IF($R$17="Distrato",$I$38-1,0)),IF(AND($L$37=0,$P$34=0),"",$L$37-1),IF($R$17="Distrato",$E90,0))),0,YEARFRAC(MAX($P$34*($B90+IF($R$17="Distrato",$I$38-1,0)),IF(AND($L$37=0,$P$34=0),"",$L$37-1),IF($R$17="Distrato",$E90,0)),MIN(V$38,$D$19),$P$20))-SUM($P90:U90)</f>
        <v>#VALUE!</v>
      </c>
      <c r="W90" s="446" t="e">
        <f>IF(OR($B90="",MIN(W$38,$D$19)&lt;MAX($P$34*($B90+IF($R$17="Distrato",$I$38-1,0)),IF(AND($L$37=0,$P$34=0),"",$L$37-1),IF($R$17="Distrato",$E90,0))),0,YEARFRAC(MAX($P$34*($B90+IF($R$17="Distrato",$I$38-1,0)),IF(AND($L$37=0,$P$34=0),"",$L$37-1),IF($R$17="Distrato",$E90,0)),MIN(W$38,$D$19),$P$20))-SUM($P90:V90)</f>
        <v>#VALUE!</v>
      </c>
      <c r="X90" s="446" t="e">
        <f>IF(OR($B90="",MIN(X$38,$D$19)&lt;MAX($P$34*($B90+IF($R$17="Distrato",$I$38-1,0)),IF(AND($L$37=0,$P$34=0),"",$L$37-1),IF($R$17="Distrato",$E90,0))),0,YEARFRAC(MAX($P$34*($B90+IF($R$17="Distrato",$I$38-1,0)),IF(AND($L$37=0,$P$34=0),"",$L$37-1),IF($R$17="Distrato",$E90,0)),MIN(X$38,$D$19),$P$20))-SUM($P90:W90)</f>
        <v>#VALUE!</v>
      </c>
      <c r="Y90" s="446" t="e">
        <f>IF(OR($B90="",MIN(Y$38,$D$19)&lt;MAX($P$34*($B90+IF($R$17="Distrato",$I$38-1,0)),IF(AND($L$37=0,$P$34=0),"",$L$37-1),IF($R$17="Distrato",$E90,0))),0,YEARFRAC(MAX($P$34*($B90+IF($R$17="Distrato",$I$38-1,0)),IF(AND($L$37=0,$P$34=0),"",$L$37-1),IF($R$17="Distrato",$E90,0)),MIN(Y$38,$D$19),$P$20))-SUM($P90:X90)</f>
        <v>#VALUE!</v>
      </c>
      <c r="Z90" s="446" t="e">
        <f>IF(OR($B90="",MIN(Z$38,$D$19)&lt;MAX($P$34*($B90+IF($R$17="Distrato",$I$38-1,0)),IF(AND($L$37=0,$P$34=0),"",$L$37-1),IF($R$17="Distrato",$E90,0))),0,YEARFRAC(MAX($P$34*($B90+IF($R$17="Distrato",$I$38-1,0)),IF(AND($L$37=0,$P$34=0),"",$L$37-1),IF($R$17="Distrato",$E90,0)),MIN(Z$38,$D$19),$P$20))-SUM($P90:Y90)</f>
        <v>#VALUE!</v>
      </c>
      <c r="AA90" s="446" t="e">
        <f>IF(OR($B90="",MIN(AA$38,$D$19)&lt;MAX($P$34*($B90+IF($R$17="Distrato",$I$38-1,0)),IF(AND($L$37=0,$P$34=0),"",$L$37-1),IF($R$17="Distrato",$E90,0))),0,YEARFRAC(MAX($P$34*($B90+IF($R$17="Distrato",$I$38-1,0)),IF(AND($L$37=0,$P$34=0),"",$L$37-1),IF($R$17="Distrato",$E90,0)),MIN(AA$38,$D$19),$P$20))-SUM($P90:Z90)</f>
        <v>#VALUE!</v>
      </c>
      <c r="AB90" s="446" t="e">
        <f>IF(OR($B90="",MIN(AB$38,$D$19)&lt;MAX($P$34*($B90+IF($R$17="Distrato",$I$38-1,0)),IF(AND($L$37=0,$P$34=0),"",$L$37-1),IF($R$17="Distrato",$E90,0))),0,YEARFRAC(MAX($P$34*($B90+IF($R$17="Distrato",$I$38-1,0)),IF(AND($L$37=0,$P$34=0),"",$L$37-1),IF($R$17="Distrato",$E90,0)),MIN(AB$38,$D$19),$P$20))-SUM($P90:AA90)</f>
        <v>#VALUE!</v>
      </c>
      <c r="AC90" s="446" t="e">
        <f>IF(OR($B90="",MIN(AC$38,$D$19)&lt;MAX($P$34*($B90+IF($R$17="Distrato",$I$38-1,0)),IF(AND($L$37=0,$P$34=0),"",$L$37-1),IF($R$17="Distrato",$E90,0))),0,YEARFRAC(MAX($P$34*($B90+IF($R$17="Distrato",$I$38-1,0)),IF(AND($L$37=0,$P$34=0),"",$L$37-1),IF($R$17="Distrato",$E90,0)),MIN(AC$38,$D$19),$P$20))-SUM($P90:AB90)</f>
        <v>#VALUE!</v>
      </c>
      <c r="AD90" s="446" t="e">
        <f>IF(OR($B90="",MIN(AD$38,$D$19)&lt;MAX($P$34*($B90+IF($R$17="Distrato",$I$38-1,0)),IF(AND($L$37=0,$P$34=0),"",$L$37-1),IF($R$17="Distrato",$E90,0))),0,YEARFRAC(MAX($P$34*($B90+IF($R$17="Distrato",$I$38-1,0)),IF(AND($L$37=0,$P$34=0),"",$L$37-1),IF($R$17="Distrato",$E90,0)),MIN(AD$38,$D$19),$P$20))-SUM($P90:AC90)</f>
        <v>#VALUE!</v>
      </c>
      <c r="AE90" s="446" t="e">
        <f>IF(OR($B90="",MIN(AE$38,$D$19)&lt;MAX($P$34*($B90+IF($R$17="Distrato",$I$38-1,0)),IF(AND($L$37=0,$P$34=0),"",$L$37-1),IF($R$17="Distrato",$E90,0))),0,YEARFRAC(MAX($P$34*($B90+IF($R$17="Distrato",$I$38-1,0)),IF(AND($L$37=0,$P$34=0),"",$L$37-1),IF($R$17="Distrato",$E90,0)),MIN(AE$38,$D$19),$P$20))-SUM($P90:AD90)</f>
        <v>#VALUE!</v>
      </c>
      <c r="AF90" s="446" t="e">
        <f>IF(OR($B90="",MIN(AF$38,$D$19)&lt;MAX($P$34*($B90+IF($R$17="Distrato",$I$38-1,0)),IF(AND($L$37=0,$P$34=0),"",$L$37-1),IF($R$17="Distrato",$E90,0))),0,YEARFRAC(MAX($P$34*($B90+IF($R$17="Distrato",$I$38-1,0)),IF(AND($L$37=0,$P$34=0),"",$L$37-1),IF($R$17="Distrato",$E90,0)),MIN(AF$38,$D$19),$P$20))-SUM($P90:AE90)</f>
        <v>#VALUE!</v>
      </c>
      <c r="AG90" s="446" t="e">
        <f>IF(OR($B90="",MIN(AG$38,$D$19)&lt;MAX($P$34*($B90+IF($R$17="Distrato",$I$38-1,0)),IF(AND($L$37=0,$P$34=0),"",$L$37-1),IF($R$17="Distrato",$E90,0))),0,YEARFRAC(MAX($P$34*($B90+IF($R$17="Distrato",$I$38-1,0)),IF(AND($L$37=0,$P$34=0),"",$L$37-1),IF($R$17="Distrato",$E90,0)),MIN(AG$38,$D$19),$P$20))-SUM($P90:AF90)</f>
        <v>#VALUE!</v>
      </c>
      <c r="AH90" s="446" t="e">
        <f>IF(OR($B90="",MIN(AH$38,$D$19)&lt;MAX($P$34*($B90+IF($R$17="Distrato",$I$38-1,0)),IF(AND($L$37=0,$P$34=0),"",$L$37-1),IF($R$17="Distrato",$E90,0))),0,YEARFRAC(MAX($P$34*($B90+IF($R$17="Distrato",$I$38-1,0)),IF(AND($L$37=0,$P$34=0),"",$L$37-1),IF($R$17="Distrato",$E90,0)),MIN(AH$38,$D$19),$P$20))-SUM($P90:AG90)</f>
        <v>#VALUE!</v>
      </c>
      <c r="AI90" s="446" t="e">
        <f>IF(OR($B90="",MIN(AI$38,$D$19)&lt;MAX($P$34*($B90+IF($R$17="Distrato",$I$38-1,0)),IF(AND($L$37=0,$P$34=0),"",$L$37-1),IF($R$17="Distrato",$E90,0))),0,YEARFRAC(MAX($P$34*($B90+IF($R$17="Distrato",$I$38-1,0)),IF(AND($L$37=0,$P$34=0),"",$L$37-1),IF($R$17="Distrato",$E90,0)),MIN(AI$38,$D$19),$P$20))-SUM($P90:AH90)</f>
        <v>#VALUE!</v>
      </c>
      <c r="AJ90" s="446" t="e">
        <f>IF(OR($B90="",MIN(AJ$38,$D$19)&lt;MAX($P$34*($B90+IF($R$17="Distrato",$I$38-1,0)),IF(AND($L$37=0,$P$34=0),"",$L$37-1),IF($R$17="Distrato",$E90,0))),0,YEARFRAC(MAX($P$34*($B90+IF($R$17="Distrato",$I$38-1,0)),IF(AND($L$37=0,$P$34=0),"",$L$37-1),IF($R$17="Distrato",$E90,0)),MIN(AJ$38,$D$19),$P$20))-SUM($P90:AI90)</f>
        <v>#VALUE!</v>
      </c>
      <c r="AK90" s="446" t="e">
        <f>IF(OR($B90="",MIN(AK$38,$D$19)&lt;MAX($P$34*($B90+IF($R$17="Distrato",$I$38-1,0)),IF(AND($L$37=0,$P$34=0),"",$L$37-1),IF($R$17="Distrato",$E90,0))),0,YEARFRAC(MAX($P$34*($B90+IF($R$17="Distrato",$I$38-1,0)),IF(AND($L$37=0,$P$34=0),"",$L$37-1),IF($R$17="Distrato",$E90,0)),MIN(AK$38,$D$19),$P$20))-SUM($P90:AJ90)</f>
        <v>#VALUE!</v>
      </c>
      <c r="AL90" s="446" t="e">
        <f>IF(OR($B90="",MIN(AL$38,$D$19)&lt;MAX($P$34*($B90+IF($R$17="Distrato",$I$38-1,0)),IF(AND($L$37=0,$P$34=0),"",$L$37-1),IF($R$17="Distrato",$E90,0))),0,YEARFRAC(MAX($P$34*($B90+IF($R$17="Distrato",$I$38-1,0)),IF(AND($L$37=0,$P$34=0),"",$L$37-1),IF($R$17="Distrato",$E90,0)),MIN(AL$38,$D$19),$P$20))-SUM($P90:AK90)</f>
        <v>#VALUE!</v>
      </c>
      <c r="AM90" s="446" t="e">
        <f>IF(OR($B90="",MIN(AM$38,$D$19)&lt;MAX($P$34*($B90+IF($R$17="Distrato",$I$38-1,0)),IF(AND($L$37=0,$P$34=0),"",$L$37-1),IF($R$17="Distrato",$E90,0))),0,YEARFRAC(MAX($P$34*($B90+IF($R$17="Distrato",$I$38-1,0)),IF(AND($L$37=0,$P$34=0),"",$L$37-1),IF($R$17="Distrato",$E90,0)),MIN(AM$38,$D$19),$P$20))-SUM($P90:AL90)</f>
        <v>#VALUE!</v>
      </c>
      <c r="AN90" s="446" t="e">
        <f>IF(OR($B90="",MIN(AN$38,$D$19)&lt;MAX($P$34*($B90+IF($R$17="Distrato",$I$38-1,0)),IF(AND($L$37=0,$P$34=0),"",$L$37-1),IF($R$17="Distrato",$E90,0))),0,YEARFRAC(MAX($P$34*($B90+IF($R$17="Distrato",$I$38-1,0)),IF(AND($L$37=0,$P$34=0),"",$L$37-1),IF($R$17="Distrato",$E90,0)),MIN(AN$38,$D$19),$P$20))-SUM($P90:AM90)</f>
        <v>#VALUE!</v>
      </c>
      <c r="AO90" s="446" t="e">
        <f>IF(OR($B90="",MIN(AO$38,$D$19)&lt;MAX($P$34*($B90+IF($R$17="Distrato",$I$38-1,0)),IF(AND($L$37=0,$P$34=0),"",$L$37-1),IF($R$17="Distrato",$E90,0))),0,YEARFRAC(MAX($P$34*($B90+IF($R$17="Distrato",$I$38-1,0)),IF(AND($L$37=0,$P$34=0),"",$L$37-1),IF($R$17="Distrato",$E90,0)),MIN(AO$38,$D$19),$P$20))-SUM($P90:AN90)</f>
        <v>#VALUE!</v>
      </c>
      <c r="AP90" s="446" t="e">
        <f>IF(OR($B90="",MIN(AP$38,$D$19)&lt;MAX($P$34*($B90+IF($R$17="Distrato",$I$38-1,0)),IF(AND($L$37=0,$P$34=0),"",$L$37-1),IF($R$17="Distrato",$E90,0))),0,YEARFRAC(MAX($P$34*($B90+IF($R$17="Distrato",$I$38-1,0)),IF(AND($L$37=0,$P$34=0),"",$L$37-1),IF($R$17="Distrato",$E90,0)),MIN(AP$38,$D$19),$P$20))-SUM($P90:AO90)</f>
        <v>#VALUE!</v>
      </c>
      <c r="AQ90" s="446" t="e">
        <f>IF(OR($B90="",MIN(AQ$38,$D$19)&lt;MAX($P$34*($B90+IF($R$17="Distrato",$I$38-1,0)),IF(AND($L$37=0,$P$34=0),"",$L$37-1),IF($R$17="Distrato",$E90,0))),0,YEARFRAC(MAX($P$34*($B90+IF($R$17="Distrato",$I$38-1,0)),IF(AND($L$37=0,$P$34=0),"",$L$37-1),IF($R$17="Distrato",$E90,0)),MIN(AQ$38,$D$19),$P$20))-SUM($P90:AP90)</f>
        <v>#VALUE!</v>
      </c>
      <c r="AR90" s="446" t="e">
        <f>IF(OR($B90="",MIN(AR$38,$D$19)&lt;MAX($P$34*($B90+IF($R$17="Distrato",$I$38-1,0)),IF(AND($L$37=0,$P$34=0),"",$L$37-1),IF($R$17="Distrato",$E90,0))),0,YEARFRAC(MAX($P$34*($B90+IF($R$17="Distrato",$I$38-1,0)),IF(AND($L$37=0,$P$34=0),"",$L$37-1),IF($R$17="Distrato",$E90,0)),MIN(AR$38,$D$19),$P$20))-SUM($P90:AQ90)</f>
        <v>#VALUE!</v>
      </c>
      <c r="AS90" s="446" t="e">
        <f>IF(OR($B90="",MIN(AS$38,$D$19)&lt;MAX($P$34*($B90+IF($R$17="Distrato",$I$38-1,0)),IF(AND($L$37=0,$P$34=0),"",$L$37-1),IF($R$17="Distrato",$E90,0))),0,YEARFRAC(MAX($P$34*($B90+IF($R$17="Distrato",$I$38-1,0)),IF(AND($L$37=0,$P$34=0),"",$L$37-1),IF($R$17="Distrato",$E90,0)),MIN(AS$38,$D$19),$P$20))-SUM($P90:AR90)</f>
        <v>#VALUE!</v>
      </c>
      <c r="AT90" s="446" t="e">
        <f>IF(OR($B90="",MIN(AT$38,$D$19)&lt;MAX($P$34*($B90+IF($R$17="Distrato",$I$38-1,0)),IF(AND($L$37=0,$P$34=0),"",$L$37-1),IF($R$17="Distrato",$E90,0))),0,YEARFRAC(MAX($P$34*($B90+IF($R$17="Distrato",$I$38-1,0)),IF(AND($L$37=0,$P$34=0),"",$L$37-1),IF($R$17="Distrato",$E90,0)),MIN(AT$38,$D$19),$P$20))-SUM($P90:AS90)</f>
        <v>#VALUE!</v>
      </c>
      <c r="AU90" s="446" t="e">
        <f>IF(OR($B90="",MIN(AU$38,$D$19)&lt;MAX($P$34*($B90+IF($R$17="Distrato",$I$38-1,0)),IF(AND($L$37=0,$P$34=0),"",$L$37-1),IF($R$17="Distrato",$E90,0))),0,YEARFRAC(MAX($P$34*($B90+IF($R$17="Distrato",$I$38-1,0)),IF(AND($L$37=0,$P$34=0),"",$L$37-1),IF($R$17="Distrato",$E90,0)),MIN(AU$38,$D$19),$P$20))-SUM($P90:AT90)</f>
        <v>#VALUE!</v>
      </c>
      <c r="AV90" s="446" t="e">
        <f>IF(OR($B90="",MIN(AV$38,$D$19)&lt;MAX($P$34*($B90+IF($R$17="Distrato",$I$38-1,0)),IF(AND($L$37=0,$P$34=0),"",$L$37-1),IF($R$17="Distrato",$E90,0))),0,YEARFRAC(MAX($P$34*($B90+IF($R$17="Distrato",$I$38-1,0)),IF(AND($L$37=0,$P$34=0),"",$L$37-1),IF($R$17="Distrato",$E90,0)),MIN(AV$38,$D$19),$P$20))-SUM($P90:AU90)</f>
        <v>#VALUE!</v>
      </c>
      <c r="AW90" s="446" t="e">
        <f>IF(OR($B90="",MIN(AW$38,$D$19)&lt;MAX($P$34*($B90+IF($R$17="Distrato",$I$38-1,0)),IF(AND($L$37=0,$P$34=0),"",$L$37-1),IF($R$17="Distrato",$E90,0))),0,YEARFRAC(MAX($P$34*($B90+IF($R$17="Distrato",$I$38-1,0)),IF(AND($L$37=0,$P$34=0),"",$L$37-1),IF($R$17="Distrato",$E90,0)),MIN(AW$38,$D$19),$P$20))-SUM($P90:AV90)</f>
        <v>#VALUE!</v>
      </c>
      <c r="AX90" s="446" t="e">
        <f>IF(OR($B90="",MIN(AX$38,$D$19)&lt;MAX($P$34*($B90+IF($R$17="Distrato",$I$38-1,0)),IF(AND($L$37=0,$P$34=0),"",$L$37-1),IF($R$17="Distrato",$E90,0))),0,YEARFRAC(MAX($P$34*($B90+IF($R$17="Distrato",$I$38-1,0)),IF(AND($L$37=0,$P$34=0),"",$L$37-1),IF($R$17="Distrato",$E90,0)),MIN(AX$38,$D$19),$P$20))-SUM($P90:AW90)</f>
        <v>#VALUE!</v>
      </c>
      <c r="AY90" s="446" t="e">
        <f>IF(OR($B90="",MIN(AY$38,$D$19)&lt;MAX($P$34*($B90+IF($R$17="Distrato",$I$38-1,0)),IF(AND($L$37=0,$P$34=0),"",$L$37-1),IF($R$17="Distrato",$E90,0))),0,YEARFRAC(MAX($P$34*($B90+IF($R$17="Distrato",$I$38-1,0)),IF(AND($L$37=0,$P$34=0),"",$L$37-1),IF($R$17="Distrato",$E90,0)),MIN(AY$38,$D$19),$P$20))-SUM($P90:AX90)</f>
        <v>#VALUE!</v>
      </c>
      <c r="AZ90" s="446" t="e">
        <f>IF(OR($B90="",MIN(AZ$38,$D$19)&lt;MAX($P$34*($B90+IF($R$17="Distrato",$I$38-1,0)),IF(AND($L$37=0,$P$34=0),"",$L$37-1),IF($R$17="Distrato",$E90,0))),0,YEARFRAC(MAX($P$34*($B90+IF($R$17="Distrato",$I$38-1,0)),IF(AND($L$37=0,$P$34=0),"",$L$37-1),IF($R$17="Distrato",$E90,0)),MIN(AZ$38,$D$19),$P$20))-SUM($P90:AY90)</f>
        <v>#VALUE!</v>
      </c>
      <c r="BA90" s="446" t="e">
        <f>IF(OR($B90="",MIN(BA$38,$D$19)&lt;MAX($P$34*($B90+IF($R$17="Distrato",$I$38-1,0)),IF(AND($L$37=0,$P$34=0),"",$L$37-1),IF($R$17="Distrato",$E90,0))),0,YEARFRAC(MAX($P$34*($B90+IF($R$17="Distrato",$I$38-1,0)),IF(AND($L$37=0,$P$34=0),"",$L$37-1),IF($R$17="Distrato",$E90,0)),MIN(BA$38,$D$19),$P$20))-SUM($P90:AZ90)</f>
        <v>#VALUE!</v>
      </c>
      <c r="BB90" s="447"/>
      <c r="BF90" s="446">
        <f t="shared" si="10"/>
        <v>0</v>
      </c>
      <c r="BG90" s="446">
        <f>IF($E90=0,0,IF(MIN(BG$38,$E90)&lt;MAX($P$34*($B90+$I$38-1),IF(AND($L$37=0,$P$34=0),"",$L$37-1)),0,YEARFRAC(MAX($P$34*($B90+$I$38-1),IF(AND($L$37=0,$P$34=0),"",$L$37-1)),MIN(BG$38,$E90),$P$20))-SUM($BF90:BF90))</f>
        <v>0</v>
      </c>
      <c r="BH90" s="446">
        <f>IF($E90=0,0,IF(MIN(BH$38,$E90)&lt;MAX($P$34*($B90+$I$38-1),IF(AND($L$37=0,$P$34=0),"",$L$37-1)),0,YEARFRAC(MAX($P$34*($B90+$I$38-1),IF(AND($L$37=0,$P$34=0),"",$L$37-1)),MIN(BH$38,$E90),$P$20))-SUM($BF90:BG90))</f>
        <v>0</v>
      </c>
      <c r="BI90" s="446">
        <f>IF($E90=0,0,IF(MIN(BI$38,$E90)&lt;MAX($P$34*($B90+$I$38-1),IF(AND($L$37=0,$P$34=0),"",$L$37-1)),0,YEARFRAC(MAX($P$34*($B90+$I$38-1),IF(AND($L$37=0,$P$34=0),"",$L$37-1)),MIN(BI$38,$E90),$P$20))-SUM($BF90:BH90))</f>
        <v>0</v>
      </c>
      <c r="BJ90" s="446">
        <f>IF($E90=0,0,IF(MIN(BJ$38,$E90)&lt;MAX($P$34*($B90+$I$38-1),IF(AND($L$37=0,$P$34=0),"",$L$37-1)),0,YEARFRAC(MAX($P$34*($B90+$I$38-1),IF(AND($L$37=0,$P$34=0),"",$L$37-1)),MIN(BJ$38,$E90),$P$20))-SUM($BF90:BI90))</f>
        <v>0</v>
      </c>
      <c r="BK90" s="446">
        <f>IF($E90=0,0,IF(MIN(BK$38,$E90)&lt;MAX($P$34*($B90+$I$38-1),IF(AND($L$37=0,$P$34=0),"",$L$37-1)),0,YEARFRAC(MAX($P$34*($B90+$I$38-1),IF(AND($L$37=0,$P$34=0),"",$L$37-1)),MIN(BK$38,$E90),$P$20))-SUM($BF90:BJ90))</f>
        <v>0</v>
      </c>
      <c r="BL90" s="446">
        <f>IF($E90=0,0,IF(MIN(BL$38,$E90)&lt;MAX($P$34*($B90+$I$38-1),IF(AND($L$37=0,$P$34=0),"",$L$37-1)),0,YEARFRAC(MAX($P$34*($B90+$I$38-1),IF(AND($L$37=0,$P$34=0),"",$L$37-1)),MIN(BL$38,$E90),$P$20))-SUM($BF90:BK90))</f>
        <v>0</v>
      </c>
      <c r="BM90" s="446">
        <f>IF($E90=0,0,IF(MIN(BM$38,$E90)&lt;MAX($P$34*($B90+$I$38-1),IF(AND($L$37=0,$P$34=0),"",$L$37-1)),0,YEARFRAC(MAX($P$34*($B90+$I$38-1),IF(AND($L$37=0,$P$34=0),"",$L$37-1)),MIN(BM$38,$E90),$P$20))-SUM($BF90:BL90))</f>
        <v>0</v>
      </c>
      <c r="BN90" s="446">
        <f>IF($E90=0,0,IF(MIN(BN$38,$E90)&lt;MAX($P$34*($B90+$I$38-1),IF(AND($L$37=0,$P$34=0),"",$L$37-1)),0,YEARFRAC(MAX($P$34*($B90+$I$38-1),IF(AND($L$37=0,$P$34=0),"",$L$37-1)),MIN(BN$38,$E90),$P$20))-SUM($BF90:BM90))</f>
        <v>0</v>
      </c>
      <c r="BO90" s="446">
        <f>IF($E90=0,0,IF(MIN(BO$38,$E90)&lt;MAX($P$34*($B90+$I$38-1),IF(AND($L$37=0,$P$34=0),"",$L$37-1)),0,YEARFRAC(MAX($P$34*($B90+$I$38-1),IF(AND($L$37=0,$P$34=0),"",$L$37-1)),MIN(BO$38,$E90),$P$20))-SUM($BF90:BN90))</f>
        <v>0</v>
      </c>
      <c r="BP90" s="446">
        <f>IF($E90=0,0,IF(MIN(BP$38,$E90)&lt;MAX($P$34*($B90+$I$38-1),IF(AND($L$37=0,$P$34=0),"",$L$37-1)),0,YEARFRAC(MAX($P$34*($B90+$I$38-1),IF(AND($L$37=0,$P$34=0),"",$L$37-1)),MIN(BP$38,$E90),$P$20))-SUM($BF90:BO90))</f>
        <v>0</v>
      </c>
      <c r="BQ90" s="446">
        <f>IF($E90=0,0,IF(MIN(BQ$38,$E90)&lt;MAX($P$34*($B90+$I$38-1),IF(AND($L$37=0,$P$34=0),"",$L$37-1)),0,YEARFRAC(MAX($P$34*($B90+$I$38-1),IF(AND($L$37=0,$P$34=0),"",$L$37-1)),MIN(BQ$38,$E90),$P$20))-SUM($BF90:BP90))</f>
        <v>0</v>
      </c>
      <c r="BR90" s="446">
        <f>IF($E90=0,0,IF(MIN(BR$38,$E90)&lt;MAX($P$34*($B90+$I$38-1),IF(AND($L$37=0,$P$34=0),"",$L$37-1)),0,YEARFRAC(MAX($P$34*($B90+$I$38-1),IF(AND($L$37=0,$P$34=0),"",$L$37-1)),MIN(BR$38,$E90),$P$20))-SUM($BF90:BQ90))</f>
        <v>0</v>
      </c>
      <c r="BS90" s="446">
        <f>IF($E90=0,0,IF(MIN(BS$38,$E90)&lt;MAX($P$34*($B90+$I$38-1),IF(AND($L$37=0,$P$34=0),"",$L$37-1)),0,YEARFRAC(MAX($P$34*($B90+$I$38-1),IF(AND($L$37=0,$P$34=0),"",$L$37-1)),MIN(BS$38,$E90),$P$20))-SUM($BF90:BR90))</f>
        <v>0</v>
      </c>
      <c r="BT90" s="446">
        <f>IF($E90=0,0,IF(MIN(BT$38,$E90)&lt;MAX($P$34*($B90+$I$38-1),IF(AND($L$37=0,$P$34=0),"",$L$37-1)),0,YEARFRAC(MAX($P$34*($B90+$I$38-1),IF(AND($L$37=0,$P$34=0),"",$L$37-1)),MIN(BT$38,$E90),$P$20))-SUM($BF90:BS90))</f>
        <v>0</v>
      </c>
      <c r="BU90" s="446">
        <f>IF($E90=0,0,IF(MIN(BU$38,$E90)&lt;MAX($P$34*($B90+$I$38-1),IF(AND($L$37=0,$P$34=0),"",$L$37-1)),0,YEARFRAC(MAX($P$34*($B90+$I$38-1),IF(AND($L$37=0,$P$34=0),"",$L$37-1)),MIN(BU$38,$E90),$P$20))-SUM($BF90:BT90))</f>
        <v>0</v>
      </c>
      <c r="BV90" s="446">
        <f>IF($E90=0,0,IF(MIN(BV$38,$E90)&lt;MAX($P$34*($B90+$I$38-1),IF(AND($L$37=0,$P$34=0),"",$L$37-1)),0,YEARFRAC(MAX($P$34*($B90+$I$38-1),IF(AND($L$37=0,$P$34=0),"",$L$37-1)),MIN(BV$38,$E90),$P$20))-SUM($BF90:BU90))</f>
        <v>0</v>
      </c>
      <c r="BW90" s="446">
        <f>IF($E90=0,0,IF(MIN(BW$38,$E90)&lt;MAX($P$34*($B90+$I$38-1),IF(AND($L$37=0,$P$34=0),"",$L$37-1)),0,YEARFRAC(MAX($P$34*($B90+$I$38-1),IF(AND($L$37=0,$P$34=0),"",$L$37-1)),MIN(BW$38,$E90),$P$20))-SUM($BF90:BV90))</f>
        <v>0</v>
      </c>
      <c r="BX90" s="446">
        <f>IF($E90=0,0,IF(MIN(BX$38,$E90)&lt;MAX($P$34*($B90+$I$38-1),IF(AND($L$37=0,$P$34=0),"",$L$37-1)),0,YEARFRAC(MAX($P$34*($B90+$I$38-1),IF(AND($L$37=0,$P$34=0),"",$L$37-1)),MIN(BX$38,$E90),$P$20))-SUM($BF90:BW90))</f>
        <v>0</v>
      </c>
      <c r="BY90" s="446">
        <f>IF($E90=0,0,IF(MIN(BY$38,$E90)&lt;MAX($P$34*($B90+$I$38-1),IF(AND($L$37=0,$P$34=0),"",$L$37-1)),0,YEARFRAC(MAX($P$34*($B90+$I$38-1),IF(AND($L$37=0,$P$34=0),"",$L$37-1)),MIN(BY$38,$E90),$P$20))-SUM($BF90:BX90))</f>
        <v>0</v>
      </c>
      <c r="BZ90" s="446">
        <f>IF($E90=0,0,IF(MIN(BZ$38,$E90)&lt;MAX($P$34*($B90+$I$38-1),IF(AND($L$37=0,$P$34=0),"",$L$37-1)),0,YEARFRAC(MAX($P$34*($B90+$I$38-1),IF(AND($L$37=0,$P$34=0),"",$L$37-1)),MIN(BZ$38,$E90),$P$20))-SUM($BF90:BY90))</f>
        <v>0</v>
      </c>
      <c r="CA90" s="446">
        <f>IF($E90=0,0,IF(MIN(CA$38,$E90)&lt;MAX($P$34*($B90+$I$38-1),IF(AND($L$37=0,$P$34=0),"",$L$37-1)),0,YEARFRAC(MAX($P$34*($B90+$I$38-1),IF(AND($L$37=0,$P$34=0),"",$L$37-1)),MIN(CA$38,$E90),$P$20))-SUM($BF90:BZ90))</f>
        <v>0</v>
      </c>
      <c r="CB90" s="446">
        <f>IF($E90=0,0,IF(MIN(CB$38,$E90)&lt;MAX($P$34*($B90+$I$38-1),IF(AND($L$37=0,$P$34=0),"",$L$37-1)),0,YEARFRAC(MAX($P$34*($B90+$I$38-1),IF(AND($L$37=0,$P$34=0),"",$L$37-1)),MIN(CB$38,$E90),$P$20))-SUM($BF90:CA90))</f>
        <v>0</v>
      </c>
      <c r="CC90" s="446">
        <f>IF($E90=0,0,IF(MIN(CC$38,$E90)&lt;MAX($P$34*($B90+$I$38-1),IF(AND($L$37=0,$P$34=0),"",$L$37-1)),0,YEARFRAC(MAX($P$34*($B90+$I$38-1),IF(AND($L$37=0,$P$34=0),"",$L$37-1)),MIN(CC$38,$E90),$P$20))-SUM($BF90:CB90))</f>
        <v>0</v>
      </c>
      <c r="CD90" s="446">
        <f>IF($E90=0,0,IF(MIN(CD$38,$E90)&lt;MAX($P$34*($B90+$I$38-1),IF(AND($L$37=0,$P$34=0),"",$L$37-1)),0,YEARFRAC(MAX($P$34*($B90+$I$38-1),IF(AND($L$37=0,$P$34=0),"",$L$37-1)),MIN(CD$38,$E90),$P$20))-SUM($BF90:CC90))</f>
        <v>0</v>
      </c>
      <c r="CE90" s="446">
        <f>IF($E90=0,0,IF(MIN(CE$38,$E90)&lt;MAX($P$34*($B90+$I$38-1),IF(AND($L$37=0,$P$34=0),"",$L$37-1)),0,YEARFRAC(MAX($P$34*($B90+$I$38-1),IF(AND($L$37=0,$P$34=0),"",$L$37-1)),MIN(CE$38,$E90),$P$20))-SUM($BF90:CD90))</f>
        <v>0</v>
      </c>
      <c r="CF90" s="446">
        <f>IF($E90=0,0,IF(MIN(CF$38,$E90)&lt;MAX($P$34*($B90+$I$38-1),IF(AND($L$37=0,$P$34=0),"",$L$37-1)),0,YEARFRAC(MAX($P$34*($B90+$I$38-1),IF(AND($L$37=0,$P$34=0),"",$L$37-1)),MIN(CF$38,$E90),$P$20))-SUM($BF90:CE90))</f>
        <v>0</v>
      </c>
      <c r="CG90" s="446">
        <f>IF($E90=0,0,IF(MIN(CG$38,$E90)&lt;MAX($P$34*($B90+$I$38-1),IF(AND($L$37=0,$P$34=0),"",$L$37-1)),0,YEARFRAC(MAX($P$34*($B90+$I$38-1),IF(AND($L$37=0,$P$34=0),"",$L$37-1)),MIN(CG$38,$E90),$P$20))-SUM($BF90:CF90))</f>
        <v>0</v>
      </c>
      <c r="CH90" s="446">
        <f>IF($E90=0,0,IF(MIN(CH$38,$E90)&lt;MAX($P$34*($B90+$I$38-1),IF(AND($L$37=0,$P$34=0),"",$L$37-1)),0,YEARFRAC(MAX($P$34*($B90+$I$38-1),IF(AND($L$37=0,$P$34=0),"",$L$37-1)),MIN(CH$38,$E90),$P$20))-SUM($BF90:CG90))</f>
        <v>0</v>
      </c>
      <c r="CI90" s="446">
        <f>IF($E90=0,0,IF(MIN(CI$38,$E90)&lt;MAX($P$34*($B90+$I$38-1),IF(AND($L$37=0,$P$34=0),"",$L$37-1)),0,YEARFRAC(MAX($P$34*($B90+$I$38-1),IF(AND($L$37=0,$P$34=0),"",$L$37-1)),MIN(CI$38,$E90),$P$20))-SUM($BF90:CH90))</f>
        <v>0</v>
      </c>
      <c r="CJ90" s="446">
        <f>IF($E90=0,0,IF(MIN(CJ$38,$E90)&lt;MAX($P$34*($B90+$I$38-1),IF(AND($L$37=0,$P$34=0),"",$L$37-1)),0,YEARFRAC(MAX($P$34*($B90+$I$38-1),IF(AND($L$37=0,$P$34=0),"",$L$37-1)),MIN(CJ$38,$E90),$P$20))-SUM($BF90:CI90))</f>
        <v>0</v>
      </c>
      <c r="CK90" s="446">
        <f>IF($E90=0,0,IF(MIN(CK$38,$E90)&lt;MAX($P$34*($B90+$I$38-1),IF(AND($L$37=0,$P$34=0),"",$L$37-1)),0,YEARFRAC(MAX($P$34*($B90+$I$38-1),IF(AND($L$37=0,$P$34=0),"",$L$37-1)),MIN(CK$38,$E90),$P$20))-SUM($BF90:CJ90))</f>
        <v>0</v>
      </c>
      <c r="CL90" s="446">
        <f>IF($E90=0,0,IF(MIN(CL$38,$E90)&lt;MAX($P$34*($B90+$I$38-1),IF(AND($L$37=0,$P$34=0),"",$L$37-1)),0,YEARFRAC(MAX($P$34*($B90+$I$38-1),IF(AND($L$37=0,$P$34=0),"",$L$37-1)),MIN(CL$38,$E90),$P$20))-SUM($BF90:CK90))</f>
        <v>0</v>
      </c>
      <c r="CM90" s="446">
        <f>IF($E90=0,0,IF(MIN(CM$38,$E90)&lt;MAX($P$34*($B90+$I$38-1),IF(AND($L$37=0,$P$34=0),"",$L$37-1)),0,YEARFRAC(MAX($P$34*($B90+$I$38-1),IF(AND($L$37=0,$P$34=0),"",$L$37-1)),MIN(CM$38,$E90),$P$20))-SUM($BF90:CL90))</f>
        <v>0</v>
      </c>
      <c r="CN90" s="446">
        <f>IF($E90=0,0,IF(MIN(CN$38,$E90)&lt;MAX($P$34*($B90+$I$38-1),IF(AND($L$37=0,$P$34=0),"",$L$37-1)),0,YEARFRAC(MAX($P$34*($B90+$I$38-1),IF(AND($L$37=0,$P$34=0),"",$L$37-1)),MIN(CN$38,$E90),$P$20))-SUM($BF90:CM90))</f>
        <v>0</v>
      </c>
      <c r="CO90" s="446">
        <f>IF($E90=0,0,IF(MIN(CO$38,$E90)&lt;MAX($P$34*($B90+$I$38-1),IF(AND($L$37=0,$P$34=0),"",$L$37-1)),0,YEARFRAC(MAX($P$34*($B90+$I$38-1),IF(AND($L$37=0,$P$34=0),"",$L$37-1)),MIN(CO$38,$E90),$P$20))-SUM($BF90:CN90))</f>
        <v>0</v>
      </c>
      <c r="CP90" s="446">
        <f>IF($E90=0,0,IF(MIN(CP$38,$E90)&lt;MAX($P$34*($B90+$I$38-1),IF(AND($L$37=0,$P$34=0),"",$L$37-1)),0,YEARFRAC(MAX($P$34*($B90+$I$38-1),IF(AND($L$37=0,$P$34=0),"",$L$37-1)),MIN(CP$38,$E90),$P$20))-SUM($BF90:CO90))</f>
        <v>0</v>
      </c>
      <c r="CQ90" s="446">
        <f>IF($E90=0,0,IF(MIN(CQ$38,$E90)&lt;MAX($P$34*($B90+$I$38-1),IF(AND($L$37=0,$P$34=0),"",$L$37-1)),0,YEARFRAC(MAX($P$34*($B90+$I$38-1),IF(AND($L$37=0,$P$34=0),"",$L$37-1)),MIN(CQ$38,$E90),$P$20))-SUM($BF90:CP90))</f>
        <v>0</v>
      </c>
    </row>
    <row r="91" spans="1:95" s="446" customFormat="1" ht="11.25" hidden="1" customHeight="1" x14ac:dyDescent="0.2">
      <c r="A91" s="152"/>
      <c r="B91" s="153" t="str">
        <f t="shared" si="15"/>
        <v/>
      </c>
      <c r="C91" s="29" t="str">
        <f>IF(B91="","",IF($L$35="SELIC - TRIBUTOS",VLOOKUP(DATE(YEAR($D$19),MONTH($D$19)-1,1),ÍNDICES!$A:$DE,HLOOKUP($BL$25,ÍNDICES!$B$3:$T$4,2)+11)-VLOOKUP(B91,ÍNDICES!$A:$DE,HLOOKUP($BL$25,ÍNDICES!$B$3:$T$4,2)+11)+1%,IF(C$38=$W$26,$J$35,IF(ISERROR(IF(B91&gt;$D$19,1,VLOOKUP(DATE(YEAR(B91),MONTH(B91)+IF($C$35=$S$23,1,0),1),ÍNDICES!$A:$DE,$Z$35+1))),"",IF(B91&gt;$D$19,1,VLOOKUP(DATE(YEAR(B91),MONTH(B91)+IF($C$35=$S$23,1,0),1),ÍNDICES!$A:$DE,$Z$35+1))))))</f>
        <v/>
      </c>
      <c r="D91" s="154" t="str">
        <f>IF(ISERROR(IF(OR($D$38=$Y$27,$B91=""),"",VLOOKUP(B91,ÍNDICES!A:DE,AF$35+1))),"",IF(OR($D$38=$Y$27,$B91=""),"",VLOOKUP(B91,ÍNDICES!A:DE,AF$35+1)))</f>
        <v/>
      </c>
      <c r="E91" s="153"/>
      <c r="F91" s="29" t="str">
        <f>IF(E91="","",IF($L$35="SELIC - TRIBUTOS",VLOOKUP(DATE(YEAR($D$19),MONTH($D$19)-1,1),ÍNDICES!$A:$DE,HLOOKUP($BL$25,ÍNDICES!$B$3:$T$4,2)+11)-VLOOKUP(E91,ÍNDICES!$A:$DE,HLOOKUP($BL$25,ÍNDICES!$B$3:$T$4,2)+11)+1%,IF(F$38=$W$26,$J$35,IF(ISERROR(IF(E91&gt;$D$19,1,VLOOKUP(DATE(YEAR(E91),MONTH(E91)+IF($C$35=$S$23,1,0),1),ÍNDICES!$A:$DE,$Z$35+1))),"",IF(E91&gt;$D$19,1,VLOOKUP(DATE(YEAR(E91),MONTH(E91)+IF($C$35=$S$23,1,0),1),ÍNDICES!$A:$DE,$Z$35+1))))))</f>
        <v/>
      </c>
      <c r="G91" s="155"/>
      <c r="H91" s="156" t="str">
        <f t="shared" si="11"/>
        <v/>
      </c>
      <c r="I91" s="29" t="str">
        <f t="shared" si="5"/>
        <v/>
      </c>
      <c r="J91" s="5">
        <f t="shared" si="6"/>
        <v>0</v>
      </c>
      <c r="K91" s="20">
        <f t="shared" ca="1" si="7"/>
        <v>0</v>
      </c>
      <c r="L91" s="5">
        <f t="shared" ca="1" si="8"/>
        <v>0</v>
      </c>
      <c r="M91" s="64">
        <f t="shared" si="12"/>
        <v>0</v>
      </c>
      <c r="N91" s="61">
        <f t="shared" ca="1" si="13"/>
        <v>0</v>
      </c>
      <c r="O91" s="5">
        <f t="shared" ca="1" si="14"/>
        <v>0</v>
      </c>
      <c r="P91" s="446" t="e">
        <f t="shared" si="9"/>
        <v>#VALUE!</v>
      </c>
      <c r="Q91" s="446" t="e">
        <f>IF(OR($B91="",MIN(Q$38,$D$19)&lt;MAX($P$34*($B91+IF($R$17="Distrato",$I$38-1,0)),IF(AND($L$37=0,$P$34=0),"",$L$37-1),IF($R$17="Distrato",$E91,0))),0,YEARFRAC(MAX($P$34*($B91+IF($R$17="Distrato",$I$38-1,0)),IF(AND($L$37=0,$P$34=0),"",$L$37-1),IF($R$17="Distrato",$E91,0)),MIN(Q$38,$D$19),$P$20))-SUM($P91:P91)</f>
        <v>#VALUE!</v>
      </c>
      <c r="R91" s="446" t="e">
        <f>IF(OR($B91="",MIN(R$38,$D$19)&lt;MAX($P$34*($B91+IF($R$17="Distrato",$I$38-1,0)),IF(AND($L$37=0,$P$34=0),"",$L$37-1),IF($R$17="Distrato",$E91,0))),0,YEARFRAC(MAX($P$34*($B91+IF($R$17="Distrato",$I$38-1,0)),IF(AND($L$37=0,$P$34=0),"",$L$37-1),IF($R$17="Distrato",$E91,0)),MIN(R$38,$D$19),$P$20))-SUM($P91:Q91)</f>
        <v>#VALUE!</v>
      </c>
      <c r="S91" s="446" t="e">
        <f>IF(OR($B91="",MIN(S$38,$D$19)&lt;MAX($P$34*($B91+IF($R$17="Distrato",$I$38-1,0)),IF(AND($L$37=0,$P$34=0),"",$L$37-1),IF($R$17="Distrato",$E91,0))),0,YEARFRAC(MAX($P$34*($B91+IF($R$17="Distrato",$I$38-1,0)),IF(AND($L$37=0,$P$34=0),"",$L$37-1),IF($R$17="Distrato",$E91,0)),MIN(S$38,$D$19),$P$20))-SUM($P91:R91)</f>
        <v>#VALUE!</v>
      </c>
      <c r="T91" s="446" t="e">
        <f>IF(OR($B91="",MIN(T$38,$D$19)&lt;MAX($P$34*($B91+IF($R$17="Distrato",$I$38-1,0)),IF(AND($L$37=0,$P$34=0),"",$L$37-1),IF($R$17="Distrato",$E91,0))),0,YEARFRAC(MAX($P$34*($B91+IF($R$17="Distrato",$I$38-1,0)),IF(AND($L$37=0,$P$34=0),"",$L$37-1),IF($R$17="Distrato",$E91,0)),MIN(T$38,$D$19),$P$20))-SUM($P91:S91)</f>
        <v>#VALUE!</v>
      </c>
      <c r="U91" s="446" t="e">
        <f>IF(OR($B91="",MIN(U$38,$D$19)&lt;MAX($P$34*($B91+IF($R$17="Distrato",$I$38-1,0)),IF(AND($L$37=0,$P$34=0),"",$L$37-1),IF($R$17="Distrato",$E91,0))),0,YEARFRAC(MAX($P$34*($B91+IF($R$17="Distrato",$I$38-1,0)),IF(AND($L$37=0,$P$34=0),"",$L$37-1),IF($R$17="Distrato",$E91,0)),MIN(U$38,$D$19),$P$20))-SUM($P91:T91)</f>
        <v>#VALUE!</v>
      </c>
      <c r="V91" s="446" t="e">
        <f>IF(OR($B91="",MIN(V$38,$D$19)&lt;MAX($P$34*($B91+IF($R$17="Distrato",$I$38-1,0)),IF(AND($L$37=0,$P$34=0),"",$L$37-1),IF($R$17="Distrato",$E91,0))),0,YEARFRAC(MAX($P$34*($B91+IF($R$17="Distrato",$I$38-1,0)),IF(AND($L$37=0,$P$34=0),"",$L$37-1),IF($R$17="Distrato",$E91,0)),MIN(V$38,$D$19),$P$20))-SUM($P91:U91)</f>
        <v>#VALUE!</v>
      </c>
      <c r="W91" s="446" t="e">
        <f>IF(OR($B91="",MIN(W$38,$D$19)&lt;MAX($P$34*($B91+IF($R$17="Distrato",$I$38-1,0)),IF(AND($L$37=0,$P$34=0),"",$L$37-1),IF($R$17="Distrato",$E91,0))),0,YEARFRAC(MAX($P$34*($B91+IF($R$17="Distrato",$I$38-1,0)),IF(AND($L$37=0,$P$34=0),"",$L$37-1),IF($R$17="Distrato",$E91,0)),MIN(W$38,$D$19),$P$20))-SUM($P91:V91)</f>
        <v>#VALUE!</v>
      </c>
      <c r="X91" s="446" t="e">
        <f>IF(OR($B91="",MIN(X$38,$D$19)&lt;MAX($P$34*($B91+IF($R$17="Distrato",$I$38-1,0)),IF(AND($L$37=0,$P$34=0),"",$L$37-1),IF($R$17="Distrato",$E91,0))),0,YEARFRAC(MAX($P$34*($B91+IF($R$17="Distrato",$I$38-1,0)),IF(AND($L$37=0,$P$34=0),"",$L$37-1),IF($R$17="Distrato",$E91,0)),MIN(X$38,$D$19),$P$20))-SUM($P91:W91)</f>
        <v>#VALUE!</v>
      </c>
      <c r="Y91" s="446" t="e">
        <f>IF(OR($B91="",MIN(Y$38,$D$19)&lt;MAX($P$34*($B91+IF($R$17="Distrato",$I$38-1,0)),IF(AND($L$37=0,$P$34=0),"",$L$37-1),IF($R$17="Distrato",$E91,0))),0,YEARFRAC(MAX($P$34*($B91+IF($R$17="Distrato",$I$38-1,0)),IF(AND($L$37=0,$P$34=0),"",$L$37-1),IF($R$17="Distrato",$E91,0)),MIN(Y$38,$D$19),$P$20))-SUM($P91:X91)</f>
        <v>#VALUE!</v>
      </c>
      <c r="Z91" s="446" t="e">
        <f>IF(OR($B91="",MIN(Z$38,$D$19)&lt;MAX($P$34*($B91+IF($R$17="Distrato",$I$38-1,0)),IF(AND($L$37=0,$P$34=0),"",$L$37-1),IF($R$17="Distrato",$E91,0))),0,YEARFRAC(MAX($P$34*($B91+IF($R$17="Distrato",$I$38-1,0)),IF(AND($L$37=0,$P$34=0),"",$L$37-1),IF($R$17="Distrato",$E91,0)),MIN(Z$38,$D$19),$P$20))-SUM($P91:Y91)</f>
        <v>#VALUE!</v>
      </c>
      <c r="AA91" s="446" t="e">
        <f>IF(OR($B91="",MIN(AA$38,$D$19)&lt;MAX($P$34*($B91+IF($R$17="Distrato",$I$38-1,0)),IF(AND($L$37=0,$P$34=0),"",$L$37-1),IF($R$17="Distrato",$E91,0))),0,YEARFRAC(MAX($P$34*($B91+IF($R$17="Distrato",$I$38-1,0)),IF(AND($L$37=0,$P$34=0),"",$L$37-1),IF($R$17="Distrato",$E91,0)),MIN(AA$38,$D$19),$P$20))-SUM($P91:Z91)</f>
        <v>#VALUE!</v>
      </c>
      <c r="AB91" s="446" t="e">
        <f>IF(OR($B91="",MIN(AB$38,$D$19)&lt;MAX($P$34*($B91+IF($R$17="Distrato",$I$38-1,0)),IF(AND($L$37=0,$P$34=0),"",$L$37-1),IF($R$17="Distrato",$E91,0))),0,YEARFRAC(MAX($P$34*($B91+IF($R$17="Distrato",$I$38-1,0)),IF(AND($L$37=0,$P$34=0),"",$L$37-1),IF($R$17="Distrato",$E91,0)),MIN(AB$38,$D$19),$P$20))-SUM($P91:AA91)</f>
        <v>#VALUE!</v>
      </c>
      <c r="AC91" s="446" t="e">
        <f>IF(OR($B91="",MIN(AC$38,$D$19)&lt;MAX($P$34*($B91+IF($R$17="Distrato",$I$38-1,0)),IF(AND($L$37=0,$P$34=0),"",$L$37-1),IF($R$17="Distrato",$E91,0))),0,YEARFRAC(MAX($P$34*($B91+IF($R$17="Distrato",$I$38-1,0)),IF(AND($L$37=0,$P$34=0),"",$L$37-1),IF($R$17="Distrato",$E91,0)),MIN(AC$38,$D$19),$P$20))-SUM($P91:AB91)</f>
        <v>#VALUE!</v>
      </c>
      <c r="AD91" s="446" t="e">
        <f>IF(OR($B91="",MIN(AD$38,$D$19)&lt;MAX($P$34*($B91+IF($R$17="Distrato",$I$38-1,0)),IF(AND($L$37=0,$P$34=0),"",$L$37-1),IF($R$17="Distrato",$E91,0))),0,YEARFRAC(MAX($P$34*($B91+IF($R$17="Distrato",$I$38-1,0)),IF(AND($L$37=0,$P$34=0),"",$L$37-1),IF($R$17="Distrato",$E91,0)),MIN(AD$38,$D$19),$P$20))-SUM($P91:AC91)</f>
        <v>#VALUE!</v>
      </c>
      <c r="AE91" s="446" t="e">
        <f>IF(OR($B91="",MIN(AE$38,$D$19)&lt;MAX($P$34*($B91+IF($R$17="Distrato",$I$38-1,0)),IF(AND($L$37=0,$P$34=0),"",$L$37-1),IF($R$17="Distrato",$E91,0))),0,YEARFRAC(MAX($P$34*($B91+IF($R$17="Distrato",$I$38-1,0)),IF(AND($L$37=0,$P$34=0),"",$L$37-1),IF($R$17="Distrato",$E91,0)),MIN(AE$38,$D$19),$P$20))-SUM($P91:AD91)</f>
        <v>#VALUE!</v>
      </c>
      <c r="AF91" s="446" t="e">
        <f>IF(OR($B91="",MIN(AF$38,$D$19)&lt;MAX($P$34*($B91+IF($R$17="Distrato",$I$38-1,0)),IF(AND($L$37=0,$P$34=0),"",$L$37-1),IF($R$17="Distrato",$E91,0))),0,YEARFRAC(MAX($P$34*($B91+IF($R$17="Distrato",$I$38-1,0)),IF(AND($L$37=0,$P$34=0),"",$L$37-1),IF($R$17="Distrato",$E91,0)),MIN(AF$38,$D$19),$P$20))-SUM($P91:AE91)</f>
        <v>#VALUE!</v>
      </c>
      <c r="AG91" s="446" t="e">
        <f>IF(OR($B91="",MIN(AG$38,$D$19)&lt;MAX($P$34*($B91+IF($R$17="Distrato",$I$38-1,0)),IF(AND($L$37=0,$P$34=0),"",$L$37-1),IF($R$17="Distrato",$E91,0))),0,YEARFRAC(MAX($P$34*($B91+IF($R$17="Distrato",$I$38-1,0)),IF(AND($L$37=0,$P$34=0),"",$L$37-1),IF($R$17="Distrato",$E91,0)),MIN(AG$38,$D$19),$P$20))-SUM($P91:AF91)</f>
        <v>#VALUE!</v>
      </c>
      <c r="AH91" s="446" t="e">
        <f>IF(OR($B91="",MIN(AH$38,$D$19)&lt;MAX($P$34*($B91+IF($R$17="Distrato",$I$38-1,0)),IF(AND($L$37=0,$P$34=0),"",$L$37-1),IF($R$17="Distrato",$E91,0))),0,YEARFRAC(MAX($P$34*($B91+IF($R$17="Distrato",$I$38-1,0)),IF(AND($L$37=0,$P$34=0),"",$L$37-1),IF($R$17="Distrato",$E91,0)),MIN(AH$38,$D$19),$P$20))-SUM($P91:AG91)</f>
        <v>#VALUE!</v>
      </c>
      <c r="AI91" s="446" t="e">
        <f>IF(OR($B91="",MIN(AI$38,$D$19)&lt;MAX($P$34*($B91+IF($R$17="Distrato",$I$38-1,0)),IF(AND($L$37=0,$P$34=0),"",$L$37-1),IF($R$17="Distrato",$E91,0))),0,YEARFRAC(MAX($P$34*($B91+IF($R$17="Distrato",$I$38-1,0)),IF(AND($L$37=0,$P$34=0),"",$L$37-1),IF($R$17="Distrato",$E91,0)),MIN(AI$38,$D$19),$P$20))-SUM($P91:AH91)</f>
        <v>#VALUE!</v>
      </c>
      <c r="AJ91" s="446" t="e">
        <f>IF(OR($B91="",MIN(AJ$38,$D$19)&lt;MAX($P$34*($B91+IF($R$17="Distrato",$I$38-1,0)),IF(AND($L$37=0,$P$34=0),"",$L$37-1),IF($R$17="Distrato",$E91,0))),0,YEARFRAC(MAX($P$34*($B91+IF($R$17="Distrato",$I$38-1,0)),IF(AND($L$37=0,$P$34=0),"",$L$37-1),IF($R$17="Distrato",$E91,0)),MIN(AJ$38,$D$19),$P$20))-SUM($P91:AI91)</f>
        <v>#VALUE!</v>
      </c>
      <c r="AK91" s="446" t="e">
        <f>IF(OR($B91="",MIN(AK$38,$D$19)&lt;MAX($P$34*($B91+IF($R$17="Distrato",$I$38-1,0)),IF(AND($L$37=0,$P$34=0),"",$L$37-1),IF($R$17="Distrato",$E91,0))),0,YEARFRAC(MAX($P$34*($B91+IF($R$17="Distrato",$I$38-1,0)),IF(AND($L$37=0,$P$34=0),"",$L$37-1),IF($R$17="Distrato",$E91,0)),MIN(AK$38,$D$19),$P$20))-SUM($P91:AJ91)</f>
        <v>#VALUE!</v>
      </c>
      <c r="AL91" s="446" t="e">
        <f>IF(OR($B91="",MIN(AL$38,$D$19)&lt;MAX($P$34*($B91+IF($R$17="Distrato",$I$38-1,0)),IF(AND($L$37=0,$P$34=0),"",$L$37-1),IF($R$17="Distrato",$E91,0))),0,YEARFRAC(MAX($P$34*($B91+IF($R$17="Distrato",$I$38-1,0)),IF(AND($L$37=0,$P$34=0),"",$L$37-1),IF($R$17="Distrato",$E91,0)),MIN(AL$38,$D$19),$P$20))-SUM($P91:AK91)</f>
        <v>#VALUE!</v>
      </c>
      <c r="AM91" s="446" t="e">
        <f>IF(OR($B91="",MIN(AM$38,$D$19)&lt;MAX($P$34*($B91+IF($R$17="Distrato",$I$38-1,0)),IF(AND($L$37=0,$P$34=0),"",$L$37-1),IF($R$17="Distrato",$E91,0))),0,YEARFRAC(MAX($P$34*($B91+IF($R$17="Distrato",$I$38-1,0)),IF(AND($L$37=0,$P$34=0),"",$L$37-1),IF($R$17="Distrato",$E91,0)),MIN(AM$38,$D$19),$P$20))-SUM($P91:AL91)</f>
        <v>#VALUE!</v>
      </c>
      <c r="AN91" s="446" t="e">
        <f>IF(OR($B91="",MIN(AN$38,$D$19)&lt;MAX($P$34*($B91+IF($R$17="Distrato",$I$38-1,0)),IF(AND($L$37=0,$P$34=0),"",$L$37-1),IF($R$17="Distrato",$E91,0))),0,YEARFRAC(MAX($P$34*($B91+IF($R$17="Distrato",$I$38-1,0)),IF(AND($L$37=0,$P$34=0),"",$L$37-1),IF($R$17="Distrato",$E91,0)),MIN(AN$38,$D$19),$P$20))-SUM($P91:AM91)</f>
        <v>#VALUE!</v>
      </c>
      <c r="AO91" s="446" t="e">
        <f>IF(OR($B91="",MIN(AO$38,$D$19)&lt;MAX($P$34*($B91+IF($R$17="Distrato",$I$38-1,0)),IF(AND($L$37=0,$P$34=0),"",$L$37-1),IF($R$17="Distrato",$E91,0))),0,YEARFRAC(MAX($P$34*($B91+IF($R$17="Distrato",$I$38-1,0)),IF(AND($L$37=0,$P$34=0),"",$L$37-1),IF($R$17="Distrato",$E91,0)),MIN(AO$38,$D$19),$P$20))-SUM($P91:AN91)</f>
        <v>#VALUE!</v>
      </c>
      <c r="AP91" s="446" t="e">
        <f>IF(OR($B91="",MIN(AP$38,$D$19)&lt;MAX($P$34*($B91+IF($R$17="Distrato",$I$38-1,0)),IF(AND($L$37=0,$P$34=0),"",$L$37-1),IF($R$17="Distrato",$E91,0))),0,YEARFRAC(MAX($P$34*($B91+IF($R$17="Distrato",$I$38-1,0)),IF(AND($L$37=0,$P$34=0),"",$L$37-1),IF($R$17="Distrato",$E91,0)),MIN(AP$38,$D$19),$P$20))-SUM($P91:AO91)</f>
        <v>#VALUE!</v>
      </c>
      <c r="AQ91" s="446" t="e">
        <f>IF(OR($B91="",MIN(AQ$38,$D$19)&lt;MAX($P$34*($B91+IF($R$17="Distrato",$I$38-1,0)),IF(AND($L$37=0,$P$34=0),"",$L$37-1),IF($R$17="Distrato",$E91,0))),0,YEARFRAC(MAX($P$34*($B91+IF($R$17="Distrato",$I$38-1,0)),IF(AND($L$37=0,$P$34=0),"",$L$37-1),IF($R$17="Distrato",$E91,0)),MIN(AQ$38,$D$19),$P$20))-SUM($P91:AP91)</f>
        <v>#VALUE!</v>
      </c>
      <c r="AR91" s="446" t="e">
        <f>IF(OR($B91="",MIN(AR$38,$D$19)&lt;MAX($P$34*($B91+IF($R$17="Distrato",$I$38-1,0)),IF(AND($L$37=0,$P$34=0),"",$L$37-1),IF($R$17="Distrato",$E91,0))),0,YEARFRAC(MAX($P$34*($B91+IF($R$17="Distrato",$I$38-1,0)),IF(AND($L$37=0,$P$34=0),"",$L$37-1),IF($R$17="Distrato",$E91,0)),MIN(AR$38,$D$19),$P$20))-SUM($P91:AQ91)</f>
        <v>#VALUE!</v>
      </c>
      <c r="AS91" s="446" t="e">
        <f>IF(OR($B91="",MIN(AS$38,$D$19)&lt;MAX($P$34*($B91+IF($R$17="Distrato",$I$38-1,0)),IF(AND($L$37=0,$P$34=0),"",$L$37-1),IF($R$17="Distrato",$E91,0))),0,YEARFRAC(MAX($P$34*($B91+IF($R$17="Distrato",$I$38-1,0)),IF(AND($L$37=0,$P$34=0),"",$L$37-1),IF($R$17="Distrato",$E91,0)),MIN(AS$38,$D$19),$P$20))-SUM($P91:AR91)</f>
        <v>#VALUE!</v>
      </c>
      <c r="AT91" s="446" t="e">
        <f>IF(OR($B91="",MIN(AT$38,$D$19)&lt;MAX($P$34*($B91+IF($R$17="Distrato",$I$38-1,0)),IF(AND($L$37=0,$P$34=0),"",$L$37-1),IF($R$17="Distrato",$E91,0))),0,YEARFRAC(MAX($P$34*($B91+IF($R$17="Distrato",$I$38-1,0)),IF(AND($L$37=0,$P$34=0),"",$L$37-1),IF($R$17="Distrato",$E91,0)),MIN(AT$38,$D$19),$P$20))-SUM($P91:AS91)</f>
        <v>#VALUE!</v>
      </c>
      <c r="AU91" s="446" t="e">
        <f>IF(OR($B91="",MIN(AU$38,$D$19)&lt;MAX($P$34*($B91+IF($R$17="Distrato",$I$38-1,0)),IF(AND($L$37=0,$P$34=0),"",$L$37-1),IF($R$17="Distrato",$E91,0))),0,YEARFRAC(MAX($P$34*($B91+IF($R$17="Distrato",$I$38-1,0)),IF(AND($L$37=0,$P$34=0),"",$L$37-1),IF($R$17="Distrato",$E91,0)),MIN(AU$38,$D$19),$P$20))-SUM($P91:AT91)</f>
        <v>#VALUE!</v>
      </c>
      <c r="AV91" s="446" t="e">
        <f>IF(OR($B91="",MIN(AV$38,$D$19)&lt;MAX($P$34*($B91+IF($R$17="Distrato",$I$38-1,0)),IF(AND($L$37=0,$P$34=0),"",$L$37-1),IF($R$17="Distrato",$E91,0))),0,YEARFRAC(MAX($P$34*($B91+IF($R$17="Distrato",$I$38-1,0)),IF(AND($L$37=0,$P$34=0),"",$L$37-1),IF($R$17="Distrato",$E91,0)),MIN(AV$38,$D$19),$P$20))-SUM($P91:AU91)</f>
        <v>#VALUE!</v>
      </c>
      <c r="AW91" s="446" t="e">
        <f>IF(OR($B91="",MIN(AW$38,$D$19)&lt;MAX($P$34*($B91+IF($R$17="Distrato",$I$38-1,0)),IF(AND($L$37=0,$P$34=0),"",$L$37-1),IF($R$17="Distrato",$E91,0))),0,YEARFRAC(MAX($P$34*($B91+IF($R$17="Distrato",$I$38-1,0)),IF(AND($L$37=0,$P$34=0),"",$L$37-1),IF($R$17="Distrato",$E91,0)),MIN(AW$38,$D$19),$P$20))-SUM($P91:AV91)</f>
        <v>#VALUE!</v>
      </c>
      <c r="AX91" s="446" t="e">
        <f>IF(OR($B91="",MIN(AX$38,$D$19)&lt;MAX($P$34*($B91+IF($R$17="Distrato",$I$38-1,0)),IF(AND($L$37=0,$P$34=0),"",$L$37-1),IF($R$17="Distrato",$E91,0))),0,YEARFRAC(MAX($P$34*($B91+IF($R$17="Distrato",$I$38-1,0)),IF(AND($L$37=0,$P$34=0),"",$L$37-1),IF($R$17="Distrato",$E91,0)),MIN(AX$38,$D$19),$P$20))-SUM($P91:AW91)</f>
        <v>#VALUE!</v>
      </c>
      <c r="AY91" s="446" t="e">
        <f>IF(OR($B91="",MIN(AY$38,$D$19)&lt;MAX($P$34*($B91+IF($R$17="Distrato",$I$38-1,0)),IF(AND($L$37=0,$P$34=0),"",$L$37-1),IF($R$17="Distrato",$E91,0))),0,YEARFRAC(MAX($P$34*($B91+IF($R$17="Distrato",$I$38-1,0)),IF(AND($L$37=0,$P$34=0),"",$L$37-1),IF($R$17="Distrato",$E91,0)),MIN(AY$38,$D$19),$P$20))-SUM($P91:AX91)</f>
        <v>#VALUE!</v>
      </c>
      <c r="AZ91" s="446" t="e">
        <f>IF(OR($B91="",MIN(AZ$38,$D$19)&lt;MAX($P$34*($B91+IF($R$17="Distrato",$I$38-1,0)),IF(AND($L$37=0,$P$34=0),"",$L$37-1),IF($R$17="Distrato",$E91,0))),0,YEARFRAC(MAX($P$34*($B91+IF($R$17="Distrato",$I$38-1,0)),IF(AND($L$37=0,$P$34=0),"",$L$37-1),IF($R$17="Distrato",$E91,0)),MIN(AZ$38,$D$19),$P$20))-SUM($P91:AY91)</f>
        <v>#VALUE!</v>
      </c>
      <c r="BA91" s="446" t="e">
        <f>IF(OR($B91="",MIN(BA$38,$D$19)&lt;MAX($P$34*($B91+IF($R$17="Distrato",$I$38-1,0)),IF(AND($L$37=0,$P$34=0),"",$L$37-1),IF($R$17="Distrato",$E91,0))),0,YEARFRAC(MAX($P$34*($B91+IF($R$17="Distrato",$I$38-1,0)),IF(AND($L$37=0,$P$34=0),"",$L$37-1),IF($R$17="Distrato",$E91,0)),MIN(BA$38,$D$19),$P$20))-SUM($P91:AZ91)</f>
        <v>#VALUE!</v>
      </c>
      <c r="BB91" s="447"/>
      <c r="BF91" s="446">
        <f t="shared" si="10"/>
        <v>0</v>
      </c>
      <c r="BG91" s="446">
        <f>IF($E91=0,0,IF(MIN(BG$38,$E91)&lt;MAX($P$34*($B91+$I$38-1),IF(AND($L$37=0,$P$34=0),"",$L$37-1)),0,YEARFRAC(MAX($P$34*($B91+$I$38-1),IF(AND($L$37=0,$P$34=0),"",$L$37-1)),MIN(BG$38,$E91),$P$20))-SUM($BF91:BF91))</f>
        <v>0</v>
      </c>
      <c r="BH91" s="446">
        <f>IF($E91=0,0,IF(MIN(BH$38,$E91)&lt;MAX($P$34*($B91+$I$38-1),IF(AND($L$37=0,$P$34=0),"",$L$37-1)),0,YEARFRAC(MAX($P$34*($B91+$I$38-1),IF(AND($L$37=0,$P$34=0),"",$L$37-1)),MIN(BH$38,$E91),$P$20))-SUM($BF91:BG91))</f>
        <v>0</v>
      </c>
      <c r="BI91" s="446">
        <f>IF($E91=0,0,IF(MIN(BI$38,$E91)&lt;MAX($P$34*($B91+$I$38-1),IF(AND($L$37=0,$P$34=0),"",$L$37-1)),0,YEARFRAC(MAX($P$34*($B91+$I$38-1),IF(AND($L$37=0,$P$34=0),"",$L$37-1)),MIN(BI$38,$E91),$P$20))-SUM($BF91:BH91))</f>
        <v>0</v>
      </c>
      <c r="BJ91" s="446">
        <f>IF($E91=0,0,IF(MIN(BJ$38,$E91)&lt;MAX($P$34*($B91+$I$38-1),IF(AND($L$37=0,$P$34=0),"",$L$37-1)),0,YEARFRAC(MAX($P$34*($B91+$I$38-1),IF(AND($L$37=0,$P$34=0),"",$L$37-1)),MIN(BJ$38,$E91),$P$20))-SUM($BF91:BI91))</f>
        <v>0</v>
      </c>
      <c r="BK91" s="446">
        <f>IF($E91=0,0,IF(MIN(BK$38,$E91)&lt;MAX($P$34*($B91+$I$38-1),IF(AND($L$37=0,$P$34=0),"",$L$37-1)),0,YEARFRAC(MAX($P$34*($B91+$I$38-1),IF(AND($L$37=0,$P$34=0),"",$L$37-1)),MIN(BK$38,$E91),$P$20))-SUM($BF91:BJ91))</f>
        <v>0</v>
      </c>
      <c r="BL91" s="446">
        <f>IF($E91=0,0,IF(MIN(BL$38,$E91)&lt;MAX($P$34*($B91+$I$38-1),IF(AND($L$37=0,$P$34=0),"",$L$37-1)),0,YEARFRAC(MAX($P$34*($B91+$I$38-1),IF(AND($L$37=0,$P$34=0),"",$L$37-1)),MIN(BL$38,$E91),$P$20))-SUM($BF91:BK91))</f>
        <v>0</v>
      </c>
      <c r="BM91" s="446">
        <f>IF($E91=0,0,IF(MIN(BM$38,$E91)&lt;MAX($P$34*($B91+$I$38-1),IF(AND($L$37=0,$P$34=0),"",$L$37-1)),0,YEARFRAC(MAX($P$34*($B91+$I$38-1),IF(AND($L$37=0,$P$34=0),"",$L$37-1)),MIN(BM$38,$E91),$P$20))-SUM($BF91:BL91))</f>
        <v>0</v>
      </c>
      <c r="BN91" s="446">
        <f>IF($E91=0,0,IF(MIN(BN$38,$E91)&lt;MAX($P$34*($B91+$I$38-1),IF(AND($L$37=0,$P$34=0),"",$L$37-1)),0,YEARFRAC(MAX($P$34*($B91+$I$38-1),IF(AND($L$37=0,$P$34=0),"",$L$37-1)),MIN(BN$38,$E91),$P$20))-SUM($BF91:BM91))</f>
        <v>0</v>
      </c>
      <c r="BO91" s="446">
        <f>IF($E91=0,0,IF(MIN(BO$38,$E91)&lt;MAX($P$34*($B91+$I$38-1),IF(AND($L$37=0,$P$34=0),"",$L$37-1)),0,YEARFRAC(MAX($P$34*($B91+$I$38-1),IF(AND($L$37=0,$P$34=0),"",$L$37-1)),MIN(BO$38,$E91),$P$20))-SUM($BF91:BN91))</f>
        <v>0</v>
      </c>
      <c r="BP91" s="446">
        <f>IF($E91=0,0,IF(MIN(BP$38,$E91)&lt;MAX($P$34*($B91+$I$38-1),IF(AND($L$37=0,$P$34=0),"",$L$37-1)),0,YEARFRAC(MAX($P$34*($B91+$I$38-1),IF(AND($L$37=0,$P$34=0),"",$L$37-1)),MIN(BP$38,$E91),$P$20))-SUM($BF91:BO91))</f>
        <v>0</v>
      </c>
      <c r="BQ91" s="446">
        <f>IF($E91=0,0,IF(MIN(BQ$38,$E91)&lt;MAX($P$34*($B91+$I$38-1),IF(AND($L$37=0,$P$34=0),"",$L$37-1)),0,YEARFRAC(MAX($P$34*($B91+$I$38-1),IF(AND($L$37=0,$P$34=0),"",$L$37-1)),MIN(BQ$38,$E91),$P$20))-SUM($BF91:BP91))</f>
        <v>0</v>
      </c>
      <c r="BR91" s="446">
        <f>IF($E91=0,0,IF(MIN(BR$38,$E91)&lt;MAX($P$34*($B91+$I$38-1),IF(AND($L$37=0,$P$34=0),"",$L$37-1)),0,YEARFRAC(MAX($P$34*($B91+$I$38-1),IF(AND($L$37=0,$P$34=0),"",$L$37-1)),MIN(BR$38,$E91),$P$20))-SUM($BF91:BQ91))</f>
        <v>0</v>
      </c>
      <c r="BS91" s="446">
        <f>IF($E91=0,0,IF(MIN(BS$38,$E91)&lt;MAX($P$34*($B91+$I$38-1),IF(AND($L$37=0,$P$34=0),"",$L$37-1)),0,YEARFRAC(MAX($P$34*($B91+$I$38-1),IF(AND($L$37=0,$P$34=0),"",$L$37-1)),MIN(BS$38,$E91),$P$20))-SUM($BF91:BR91))</f>
        <v>0</v>
      </c>
      <c r="BT91" s="446">
        <f>IF($E91=0,0,IF(MIN(BT$38,$E91)&lt;MAX($P$34*($B91+$I$38-1),IF(AND($L$37=0,$P$34=0),"",$L$37-1)),0,YEARFRAC(MAX($P$34*($B91+$I$38-1),IF(AND($L$37=0,$P$34=0),"",$L$37-1)),MIN(BT$38,$E91),$P$20))-SUM($BF91:BS91))</f>
        <v>0</v>
      </c>
      <c r="BU91" s="446">
        <f>IF($E91=0,0,IF(MIN(BU$38,$E91)&lt;MAX($P$34*($B91+$I$38-1),IF(AND($L$37=0,$P$34=0),"",$L$37-1)),0,YEARFRAC(MAX($P$34*($B91+$I$38-1),IF(AND($L$37=0,$P$34=0),"",$L$37-1)),MIN(BU$38,$E91),$P$20))-SUM($BF91:BT91))</f>
        <v>0</v>
      </c>
      <c r="BV91" s="446">
        <f>IF($E91=0,0,IF(MIN(BV$38,$E91)&lt;MAX($P$34*($B91+$I$38-1),IF(AND($L$37=0,$P$34=0),"",$L$37-1)),0,YEARFRAC(MAX($P$34*($B91+$I$38-1),IF(AND($L$37=0,$P$34=0),"",$L$37-1)),MIN(BV$38,$E91),$P$20))-SUM($BF91:BU91))</f>
        <v>0</v>
      </c>
      <c r="BW91" s="446">
        <f>IF($E91=0,0,IF(MIN(BW$38,$E91)&lt;MAX($P$34*($B91+$I$38-1),IF(AND($L$37=0,$P$34=0),"",$L$37-1)),0,YEARFRAC(MAX($P$34*($B91+$I$38-1),IF(AND($L$37=0,$P$34=0),"",$L$37-1)),MIN(BW$38,$E91),$P$20))-SUM($BF91:BV91))</f>
        <v>0</v>
      </c>
      <c r="BX91" s="446">
        <f>IF($E91=0,0,IF(MIN(BX$38,$E91)&lt;MAX($P$34*($B91+$I$38-1),IF(AND($L$37=0,$P$34=0),"",$L$37-1)),0,YEARFRAC(MAX($P$34*($B91+$I$38-1),IF(AND($L$37=0,$P$34=0),"",$L$37-1)),MIN(BX$38,$E91),$P$20))-SUM($BF91:BW91))</f>
        <v>0</v>
      </c>
      <c r="BY91" s="446">
        <f>IF($E91=0,0,IF(MIN(BY$38,$E91)&lt;MAX($P$34*($B91+$I$38-1),IF(AND($L$37=0,$P$34=0),"",$L$37-1)),0,YEARFRAC(MAX($P$34*($B91+$I$38-1),IF(AND($L$37=0,$P$34=0),"",$L$37-1)),MIN(BY$38,$E91),$P$20))-SUM($BF91:BX91))</f>
        <v>0</v>
      </c>
      <c r="BZ91" s="446">
        <f>IF($E91=0,0,IF(MIN(BZ$38,$E91)&lt;MAX($P$34*($B91+$I$38-1),IF(AND($L$37=0,$P$34=0),"",$L$37-1)),0,YEARFRAC(MAX($P$34*($B91+$I$38-1),IF(AND($L$37=0,$P$34=0),"",$L$37-1)),MIN(BZ$38,$E91),$P$20))-SUM($BF91:BY91))</f>
        <v>0</v>
      </c>
      <c r="CA91" s="446">
        <f>IF($E91=0,0,IF(MIN(CA$38,$E91)&lt;MAX($P$34*($B91+$I$38-1),IF(AND($L$37=0,$P$34=0),"",$L$37-1)),0,YEARFRAC(MAX($P$34*($B91+$I$38-1),IF(AND($L$37=0,$P$34=0),"",$L$37-1)),MIN(CA$38,$E91),$P$20))-SUM($BF91:BZ91))</f>
        <v>0</v>
      </c>
      <c r="CB91" s="446">
        <f>IF($E91=0,0,IF(MIN(CB$38,$E91)&lt;MAX($P$34*($B91+$I$38-1),IF(AND($L$37=0,$P$34=0),"",$L$37-1)),0,YEARFRAC(MAX($P$34*($B91+$I$38-1),IF(AND($L$37=0,$P$34=0),"",$L$37-1)),MIN(CB$38,$E91),$P$20))-SUM($BF91:CA91))</f>
        <v>0</v>
      </c>
      <c r="CC91" s="446">
        <f>IF($E91=0,0,IF(MIN(CC$38,$E91)&lt;MAX($P$34*($B91+$I$38-1),IF(AND($L$37=0,$P$34=0),"",$L$37-1)),0,YEARFRAC(MAX($P$34*($B91+$I$38-1),IF(AND($L$37=0,$P$34=0),"",$L$37-1)),MIN(CC$38,$E91),$P$20))-SUM($BF91:CB91))</f>
        <v>0</v>
      </c>
      <c r="CD91" s="446">
        <f>IF($E91=0,0,IF(MIN(CD$38,$E91)&lt;MAX($P$34*($B91+$I$38-1),IF(AND($L$37=0,$P$34=0),"",$L$37-1)),0,YEARFRAC(MAX($P$34*($B91+$I$38-1),IF(AND($L$37=0,$P$34=0),"",$L$37-1)),MIN(CD$38,$E91),$P$20))-SUM($BF91:CC91))</f>
        <v>0</v>
      </c>
      <c r="CE91" s="446">
        <f>IF($E91=0,0,IF(MIN(CE$38,$E91)&lt;MAX($P$34*($B91+$I$38-1),IF(AND($L$37=0,$P$34=0),"",$L$37-1)),0,YEARFRAC(MAX($P$34*($B91+$I$38-1),IF(AND($L$37=0,$P$34=0),"",$L$37-1)),MIN(CE$38,$E91),$P$20))-SUM($BF91:CD91))</f>
        <v>0</v>
      </c>
      <c r="CF91" s="446">
        <f>IF($E91=0,0,IF(MIN(CF$38,$E91)&lt;MAX($P$34*($B91+$I$38-1),IF(AND($L$37=0,$P$34=0),"",$L$37-1)),0,YEARFRAC(MAX($P$34*($B91+$I$38-1),IF(AND($L$37=0,$P$34=0),"",$L$37-1)),MIN(CF$38,$E91),$P$20))-SUM($BF91:CE91))</f>
        <v>0</v>
      </c>
      <c r="CG91" s="446">
        <f>IF($E91=0,0,IF(MIN(CG$38,$E91)&lt;MAX($P$34*($B91+$I$38-1),IF(AND($L$37=0,$P$34=0),"",$L$37-1)),0,YEARFRAC(MAX($P$34*($B91+$I$38-1),IF(AND($L$37=0,$P$34=0),"",$L$37-1)),MIN(CG$38,$E91),$P$20))-SUM($BF91:CF91))</f>
        <v>0</v>
      </c>
      <c r="CH91" s="446">
        <f>IF($E91=0,0,IF(MIN(CH$38,$E91)&lt;MAX($P$34*($B91+$I$38-1),IF(AND($L$37=0,$P$34=0),"",$L$37-1)),0,YEARFRAC(MAX($P$34*($B91+$I$38-1),IF(AND($L$37=0,$P$34=0),"",$L$37-1)),MIN(CH$38,$E91),$P$20))-SUM($BF91:CG91))</f>
        <v>0</v>
      </c>
      <c r="CI91" s="446">
        <f>IF($E91=0,0,IF(MIN(CI$38,$E91)&lt;MAX($P$34*($B91+$I$38-1),IF(AND($L$37=0,$P$34=0),"",$L$37-1)),0,YEARFRAC(MAX($P$34*($B91+$I$38-1),IF(AND($L$37=0,$P$34=0),"",$L$37-1)),MIN(CI$38,$E91),$P$20))-SUM($BF91:CH91))</f>
        <v>0</v>
      </c>
      <c r="CJ91" s="446">
        <f>IF($E91=0,0,IF(MIN(CJ$38,$E91)&lt;MAX($P$34*($B91+$I$38-1),IF(AND($L$37=0,$P$34=0),"",$L$37-1)),0,YEARFRAC(MAX($P$34*($B91+$I$38-1),IF(AND($L$37=0,$P$34=0),"",$L$37-1)),MIN(CJ$38,$E91),$P$20))-SUM($BF91:CI91))</f>
        <v>0</v>
      </c>
      <c r="CK91" s="446">
        <f>IF($E91=0,0,IF(MIN(CK$38,$E91)&lt;MAX($P$34*($B91+$I$38-1),IF(AND($L$37=0,$P$34=0),"",$L$37-1)),0,YEARFRAC(MAX($P$34*($B91+$I$38-1),IF(AND($L$37=0,$P$34=0),"",$L$37-1)),MIN(CK$38,$E91),$P$20))-SUM($BF91:CJ91))</f>
        <v>0</v>
      </c>
      <c r="CL91" s="446">
        <f>IF($E91=0,0,IF(MIN(CL$38,$E91)&lt;MAX($P$34*($B91+$I$38-1),IF(AND($L$37=0,$P$34=0),"",$L$37-1)),0,YEARFRAC(MAX($P$34*($B91+$I$38-1),IF(AND($L$37=0,$P$34=0),"",$L$37-1)),MIN(CL$38,$E91),$P$20))-SUM($BF91:CK91))</f>
        <v>0</v>
      </c>
      <c r="CM91" s="446">
        <f>IF($E91=0,0,IF(MIN(CM$38,$E91)&lt;MAX($P$34*($B91+$I$38-1),IF(AND($L$37=0,$P$34=0),"",$L$37-1)),0,YEARFRAC(MAX($P$34*($B91+$I$38-1),IF(AND($L$37=0,$P$34=0),"",$L$37-1)),MIN(CM$38,$E91),$P$20))-SUM($BF91:CL91))</f>
        <v>0</v>
      </c>
      <c r="CN91" s="446">
        <f>IF($E91=0,0,IF(MIN(CN$38,$E91)&lt;MAX($P$34*($B91+$I$38-1),IF(AND($L$37=0,$P$34=0),"",$L$37-1)),0,YEARFRAC(MAX($P$34*($B91+$I$38-1),IF(AND($L$37=0,$P$34=0),"",$L$37-1)),MIN(CN$38,$E91),$P$20))-SUM($BF91:CM91))</f>
        <v>0</v>
      </c>
      <c r="CO91" s="446">
        <f>IF($E91=0,0,IF(MIN(CO$38,$E91)&lt;MAX($P$34*($B91+$I$38-1),IF(AND($L$37=0,$P$34=0),"",$L$37-1)),0,YEARFRAC(MAX($P$34*($B91+$I$38-1),IF(AND($L$37=0,$P$34=0),"",$L$37-1)),MIN(CO$38,$E91),$P$20))-SUM($BF91:CN91))</f>
        <v>0</v>
      </c>
      <c r="CP91" s="446">
        <f>IF($E91=0,0,IF(MIN(CP$38,$E91)&lt;MAX($P$34*($B91+$I$38-1),IF(AND($L$37=0,$P$34=0),"",$L$37-1)),0,YEARFRAC(MAX($P$34*($B91+$I$38-1),IF(AND($L$37=0,$P$34=0),"",$L$37-1)),MIN(CP$38,$E91),$P$20))-SUM($BF91:CO91))</f>
        <v>0</v>
      </c>
      <c r="CQ91" s="446">
        <f>IF($E91=0,0,IF(MIN(CQ$38,$E91)&lt;MAX($P$34*($B91+$I$38-1),IF(AND($L$37=0,$P$34=0),"",$L$37-1)),0,YEARFRAC(MAX($P$34*($B91+$I$38-1),IF(AND($L$37=0,$P$34=0),"",$L$37-1)),MIN(CQ$38,$E91),$P$20))-SUM($BF91:CP91))</f>
        <v>0</v>
      </c>
    </row>
    <row r="92" spans="1:95" s="446" customFormat="1" ht="11.25" hidden="1" customHeight="1" x14ac:dyDescent="0.2">
      <c r="A92" s="152"/>
      <c r="B92" s="153" t="str">
        <f t="shared" si="15"/>
        <v/>
      </c>
      <c r="C92" s="29" t="str">
        <f>IF(B92="","",IF($L$35="SELIC - TRIBUTOS",VLOOKUP(DATE(YEAR($D$19),MONTH($D$19)-1,1),ÍNDICES!$A:$DE,HLOOKUP($BL$25,ÍNDICES!$B$3:$T$4,2)+11)-VLOOKUP(B92,ÍNDICES!$A:$DE,HLOOKUP($BL$25,ÍNDICES!$B$3:$T$4,2)+11)+1%,IF(C$38=$W$26,$J$35,IF(ISERROR(IF(B92&gt;$D$19,1,VLOOKUP(DATE(YEAR(B92),MONTH(B92)+IF($C$35=$S$23,1,0),1),ÍNDICES!$A:$DE,$Z$35+1))),"",IF(B92&gt;$D$19,1,VLOOKUP(DATE(YEAR(B92),MONTH(B92)+IF($C$35=$S$23,1,0),1),ÍNDICES!$A:$DE,$Z$35+1))))))</f>
        <v/>
      </c>
      <c r="D92" s="154" t="str">
        <f>IF(ISERROR(IF(OR($D$38=$Y$27,$B92=""),"",VLOOKUP(B92,ÍNDICES!A:DE,AF$35+1))),"",IF(OR($D$38=$Y$27,$B92=""),"",VLOOKUP(B92,ÍNDICES!A:DE,AF$35+1)))</f>
        <v/>
      </c>
      <c r="E92" s="153"/>
      <c r="F92" s="29" t="str">
        <f>IF(E92="","",IF($L$35="SELIC - TRIBUTOS",VLOOKUP(DATE(YEAR($D$19),MONTH($D$19)-1,1),ÍNDICES!$A:$DE,HLOOKUP($BL$25,ÍNDICES!$B$3:$T$4,2)+11)-VLOOKUP(E92,ÍNDICES!$A:$DE,HLOOKUP($BL$25,ÍNDICES!$B$3:$T$4,2)+11)+1%,IF(F$38=$W$26,$J$35,IF(ISERROR(IF(E92&gt;$D$19,1,VLOOKUP(DATE(YEAR(E92),MONTH(E92)+IF($C$35=$S$23,1,0),1),ÍNDICES!$A:$DE,$Z$35+1))),"",IF(E92&gt;$D$19,1,VLOOKUP(DATE(YEAR(E92),MONTH(E92)+IF($C$35=$S$23,1,0),1),ÍNDICES!$A:$DE,$Z$35+1))))))</f>
        <v/>
      </c>
      <c r="G92" s="155"/>
      <c r="H92" s="156" t="str">
        <f t="shared" si="11"/>
        <v/>
      </c>
      <c r="I92" s="29" t="str">
        <f t="shared" si="5"/>
        <v/>
      </c>
      <c r="J92" s="5">
        <f t="shared" si="6"/>
        <v>0</v>
      </c>
      <c r="K92" s="20">
        <f t="shared" ca="1" si="7"/>
        <v>0</v>
      </c>
      <c r="L92" s="5">
        <f t="shared" ca="1" si="8"/>
        <v>0</v>
      </c>
      <c r="M92" s="64">
        <f t="shared" si="12"/>
        <v>0</v>
      </c>
      <c r="N92" s="61">
        <f t="shared" ca="1" si="13"/>
        <v>0</v>
      </c>
      <c r="O92" s="5">
        <f t="shared" ca="1" si="14"/>
        <v>0</v>
      </c>
      <c r="P92" s="446" t="e">
        <f t="shared" si="9"/>
        <v>#VALUE!</v>
      </c>
      <c r="Q92" s="446" t="e">
        <f>IF(OR($B92="",MIN(Q$38,$D$19)&lt;MAX($P$34*($B92+IF($R$17="Distrato",$I$38-1,0)),IF(AND($L$37=0,$P$34=0),"",$L$37-1),IF($R$17="Distrato",$E92,0))),0,YEARFRAC(MAX($P$34*($B92+IF($R$17="Distrato",$I$38-1,0)),IF(AND($L$37=0,$P$34=0),"",$L$37-1),IF($R$17="Distrato",$E92,0)),MIN(Q$38,$D$19),$P$20))-SUM($P92:P92)</f>
        <v>#VALUE!</v>
      </c>
      <c r="R92" s="446" t="e">
        <f>IF(OR($B92="",MIN(R$38,$D$19)&lt;MAX($P$34*($B92+IF($R$17="Distrato",$I$38-1,0)),IF(AND($L$37=0,$P$34=0),"",$L$37-1),IF($R$17="Distrato",$E92,0))),0,YEARFRAC(MAX($P$34*($B92+IF($R$17="Distrato",$I$38-1,0)),IF(AND($L$37=0,$P$34=0),"",$L$37-1),IF($R$17="Distrato",$E92,0)),MIN(R$38,$D$19),$P$20))-SUM($P92:Q92)</f>
        <v>#VALUE!</v>
      </c>
      <c r="S92" s="446" t="e">
        <f>IF(OR($B92="",MIN(S$38,$D$19)&lt;MAX($P$34*($B92+IF($R$17="Distrato",$I$38-1,0)),IF(AND($L$37=0,$P$34=0),"",$L$37-1),IF($R$17="Distrato",$E92,0))),0,YEARFRAC(MAX($P$34*($B92+IF($R$17="Distrato",$I$38-1,0)),IF(AND($L$37=0,$P$34=0),"",$L$37-1),IF($R$17="Distrato",$E92,0)),MIN(S$38,$D$19),$P$20))-SUM($P92:R92)</f>
        <v>#VALUE!</v>
      </c>
      <c r="T92" s="446" t="e">
        <f>IF(OR($B92="",MIN(T$38,$D$19)&lt;MAX($P$34*($B92+IF($R$17="Distrato",$I$38-1,0)),IF(AND($L$37=0,$P$34=0),"",$L$37-1),IF($R$17="Distrato",$E92,0))),0,YEARFRAC(MAX($P$34*($B92+IF($R$17="Distrato",$I$38-1,0)),IF(AND($L$37=0,$P$34=0),"",$L$37-1),IF($R$17="Distrato",$E92,0)),MIN(T$38,$D$19),$P$20))-SUM($P92:S92)</f>
        <v>#VALUE!</v>
      </c>
      <c r="U92" s="446" t="e">
        <f>IF(OR($B92="",MIN(U$38,$D$19)&lt;MAX($P$34*($B92+IF($R$17="Distrato",$I$38-1,0)),IF(AND($L$37=0,$P$34=0),"",$L$37-1),IF($R$17="Distrato",$E92,0))),0,YEARFRAC(MAX($P$34*($B92+IF($R$17="Distrato",$I$38-1,0)),IF(AND($L$37=0,$P$34=0),"",$L$37-1),IF($R$17="Distrato",$E92,0)),MIN(U$38,$D$19),$P$20))-SUM($P92:T92)</f>
        <v>#VALUE!</v>
      </c>
      <c r="V92" s="446" t="e">
        <f>IF(OR($B92="",MIN(V$38,$D$19)&lt;MAX($P$34*($B92+IF($R$17="Distrato",$I$38-1,0)),IF(AND($L$37=0,$P$34=0),"",$L$37-1),IF($R$17="Distrato",$E92,0))),0,YEARFRAC(MAX($P$34*($B92+IF($R$17="Distrato",$I$38-1,0)),IF(AND($L$37=0,$P$34=0),"",$L$37-1),IF($R$17="Distrato",$E92,0)),MIN(V$38,$D$19),$P$20))-SUM($P92:U92)</f>
        <v>#VALUE!</v>
      </c>
      <c r="W92" s="446" t="e">
        <f>IF(OR($B92="",MIN(W$38,$D$19)&lt;MAX($P$34*($B92+IF($R$17="Distrato",$I$38-1,0)),IF(AND($L$37=0,$P$34=0),"",$L$37-1),IF($R$17="Distrato",$E92,0))),0,YEARFRAC(MAX($P$34*($B92+IF($R$17="Distrato",$I$38-1,0)),IF(AND($L$37=0,$P$34=0),"",$L$37-1),IF($R$17="Distrato",$E92,0)),MIN(W$38,$D$19),$P$20))-SUM($P92:V92)</f>
        <v>#VALUE!</v>
      </c>
      <c r="X92" s="446" t="e">
        <f>IF(OR($B92="",MIN(X$38,$D$19)&lt;MAX($P$34*($B92+IF($R$17="Distrato",$I$38-1,0)),IF(AND($L$37=0,$P$34=0),"",$L$37-1),IF($R$17="Distrato",$E92,0))),0,YEARFRAC(MAX($P$34*($B92+IF($R$17="Distrato",$I$38-1,0)),IF(AND($L$37=0,$P$34=0),"",$L$37-1),IF($R$17="Distrato",$E92,0)),MIN(X$38,$D$19),$P$20))-SUM($P92:W92)</f>
        <v>#VALUE!</v>
      </c>
      <c r="Y92" s="446" t="e">
        <f>IF(OR($B92="",MIN(Y$38,$D$19)&lt;MAX($P$34*($B92+IF($R$17="Distrato",$I$38-1,0)),IF(AND($L$37=0,$P$34=0),"",$L$37-1),IF($R$17="Distrato",$E92,0))),0,YEARFRAC(MAX($P$34*($B92+IF($R$17="Distrato",$I$38-1,0)),IF(AND($L$37=0,$P$34=0),"",$L$37-1),IF($R$17="Distrato",$E92,0)),MIN(Y$38,$D$19),$P$20))-SUM($P92:X92)</f>
        <v>#VALUE!</v>
      </c>
      <c r="Z92" s="446" t="e">
        <f>IF(OR($B92="",MIN(Z$38,$D$19)&lt;MAX($P$34*($B92+IF($R$17="Distrato",$I$38-1,0)),IF(AND($L$37=0,$P$34=0),"",$L$37-1),IF($R$17="Distrato",$E92,0))),0,YEARFRAC(MAX($P$34*($B92+IF($R$17="Distrato",$I$38-1,0)),IF(AND($L$37=0,$P$34=0),"",$L$37-1),IF($R$17="Distrato",$E92,0)),MIN(Z$38,$D$19),$P$20))-SUM($P92:Y92)</f>
        <v>#VALUE!</v>
      </c>
      <c r="AA92" s="446" t="e">
        <f>IF(OR($B92="",MIN(AA$38,$D$19)&lt;MAX($P$34*($B92+IF($R$17="Distrato",$I$38-1,0)),IF(AND($L$37=0,$P$34=0),"",$L$37-1),IF($R$17="Distrato",$E92,0))),0,YEARFRAC(MAX($P$34*($B92+IF($R$17="Distrato",$I$38-1,0)),IF(AND($L$37=0,$P$34=0),"",$L$37-1),IF($R$17="Distrato",$E92,0)),MIN(AA$38,$D$19),$P$20))-SUM($P92:Z92)</f>
        <v>#VALUE!</v>
      </c>
      <c r="AB92" s="446" t="e">
        <f>IF(OR($B92="",MIN(AB$38,$D$19)&lt;MAX($P$34*($B92+IF($R$17="Distrato",$I$38-1,0)),IF(AND($L$37=0,$P$34=0),"",$L$37-1),IF($R$17="Distrato",$E92,0))),0,YEARFRAC(MAX($P$34*($B92+IF($R$17="Distrato",$I$38-1,0)),IF(AND($L$37=0,$P$34=0),"",$L$37-1),IF($R$17="Distrato",$E92,0)),MIN(AB$38,$D$19),$P$20))-SUM($P92:AA92)</f>
        <v>#VALUE!</v>
      </c>
      <c r="AC92" s="446" t="e">
        <f>IF(OR($B92="",MIN(AC$38,$D$19)&lt;MAX($P$34*($B92+IF($R$17="Distrato",$I$38-1,0)),IF(AND($L$37=0,$P$34=0),"",$L$37-1),IF($R$17="Distrato",$E92,0))),0,YEARFRAC(MAX($P$34*($B92+IF($R$17="Distrato",$I$38-1,0)),IF(AND($L$37=0,$P$34=0),"",$L$37-1),IF($R$17="Distrato",$E92,0)),MIN(AC$38,$D$19),$P$20))-SUM($P92:AB92)</f>
        <v>#VALUE!</v>
      </c>
      <c r="AD92" s="446" t="e">
        <f>IF(OR($B92="",MIN(AD$38,$D$19)&lt;MAX($P$34*($B92+IF($R$17="Distrato",$I$38-1,0)),IF(AND($L$37=0,$P$34=0),"",$L$37-1),IF($R$17="Distrato",$E92,0))),0,YEARFRAC(MAX($P$34*($B92+IF($R$17="Distrato",$I$38-1,0)),IF(AND($L$37=0,$P$34=0),"",$L$37-1),IF($R$17="Distrato",$E92,0)),MIN(AD$38,$D$19),$P$20))-SUM($P92:AC92)</f>
        <v>#VALUE!</v>
      </c>
      <c r="AE92" s="446" t="e">
        <f>IF(OR($B92="",MIN(AE$38,$D$19)&lt;MAX($P$34*($B92+IF($R$17="Distrato",$I$38-1,0)),IF(AND($L$37=0,$P$34=0),"",$L$37-1),IF($R$17="Distrato",$E92,0))),0,YEARFRAC(MAX($P$34*($B92+IF($R$17="Distrato",$I$38-1,0)),IF(AND($L$37=0,$P$34=0),"",$L$37-1),IF($R$17="Distrato",$E92,0)),MIN(AE$38,$D$19),$P$20))-SUM($P92:AD92)</f>
        <v>#VALUE!</v>
      </c>
      <c r="AF92" s="446" t="e">
        <f>IF(OR($B92="",MIN(AF$38,$D$19)&lt;MAX($P$34*($B92+IF($R$17="Distrato",$I$38-1,0)),IF(AND($L$37=0,$P$34=0),"",$L$37-1),IF($R$17="Distrato",$E92,0))),0,YEARFRAC(MAX($P$34*($B92+IF($R$17="Distrato",$I$38-1,0)),IF(AND($L$37=0,$P$34=0),"",$L$37-1),IF($R$17="Distrato",$E92,0)),MIN(AF$38,$D$19),$P$20))-SUM($P92:AE92)</f>
        <v>#VALUE!</v>
      </c>
      <c r="AG92" s="446" t="e">
        <f>IF(OR($B92="",MIN(AG$38,$D$19)&lt;MAX($P$34*($B92+IF($R$17="Distrato",$I$38-1,0)),IF(AND($L$37=0,$P$34=0),"",$L$37-1),IF($R$17="Distrato",$E92,0))),0,YEARFRAC(MAX($P$34*($B92+IF($R$17="Distrato",$I$38-1,0)),IF(AND($L$37=0,$P$34=0),"",$L$37-1),IF($R$17="Distrato",$E92,0)),MIN(AG$38,$D$19),$P$20))-SUM($P92:AF92)</f>
        <v>#VALUE!</v>
      </c>
      <c r="AH92" s="446" t="e">
        <f>IF(OR($B92="",MIN(AH$38,$D$19)&lt;MAX($P$34*($B92+IF($R$17="Distrato",$I$38-1,0)),IF(AND($L$37=0,$P$34=0),"",$L$37-1),IF($R$17="Distrato",$E92,0))),0,YEARFRAC(MAX($P$34*($B92+IF($R$17="Distrato",$I$38-1,0)),IF(AND($L$37=0,$P$34=0),"",$L$37-1),IF($R$17="Distrato",$E92,0)),MIN(AH$38,$D$19),$P$20))-SUM($P92:AG92)</f>
        <v>#VALUE!</v>
      </c>
      <c r="AI92" s="446" t="e">
        <f>IF(OR($B92="",MIN(AI$38,$D$19)&lt;MAX($P$34*($B92+IF($R$17="Distrato",$I$38-1,0)),IF(AND($L$37=0,$P$34=0),"",$L$37-1),IF($R$17="Distrato",$E92,0))),0,YEARFRAC(MAX($P$34*($B92+IF($R$17="Distrato",$I$38-1,0)),IF(AND($L$37=0,$P$34=0),"",$L$37-1),IF($R$17="Distrato",$E92,0)),MIN(AI$38,$D$19),$P$20))-SUM($P92:AH92)</f>
        <v>#VALUE!</v>
      </c>
      <c r="AJ92" s="446" t="e">
        <f>IF(OR($B92="",MIN(AJ$38,$D$19)&lt;MAX($P$34*($B92+IF($R$17="Distrato",$I$38-1,0)),IF(AND($L$37=0,$P$34=0),"",$L$37-1),IF($R$17="Distrato",$E92,0))),0,YEARFRAC(MAX($P$34*($B92+IF($R$17="Distrato",$I$38-1,0)),IF(AND($L$37=0,$P$34=0),"",$L$37-1),IF($R$17="Distrato",$E92,0)),MIN(AJ$38,$D$19),$P$20))-SUM($P92:AI92)</f>
        <v>#VALUE!</v>
      </c>
      <c r="AK92" s="446" t="e">
        <f>IF(OR($B92="",MIN(AK$38,$D$19)&lt;MAX($P$34*($B92+IF($R$17="Distrato",$I$38-1,0)),IF(AND($L$37=0,$P$34=0),"",$L$37-1),IF($R$17="Distrato",$E92,0))),0,YEARFRAC(MAX($P$34*($B92+IF($R$17="Distrato",$I$38-1,0)),IF(AND($L$37=0,$P$34=0),"",$L$37-1),IF($R$17="Distrato",$E92,0)),MIN(AK$38,$D$19),$P$20))-SUM($P92:AJ92)</f>
        <v>#VALUE!</v>
      </c>
      <c r="AL92" s="446" t="e">
        <f>IF(OR($B92="",MIN(AL$38,$D$19)&lt;MAX($P$34*($B92+IF($R$17="Distrato",$I$38-1,0)),IF(AND($L$37=0,$P$34=0),"",$L$37-1),IF($R$17="Distrato",$E92,0))),0,YEARFRAC(MAX($P$34*($B92+IF($R$17="Distrato",$I$38-1,0)),IF(AND($L$37=0,$P$34=0),"",$L$37-1),IF($R$17="Distrato",$E92,0)),MIN(AL$38,$D$19),$P$20))-SUM($P92:AK92)</f>
        <v>#VALUE!</v>
      </c>
      <c r="AM92" s="446" t="e">
        <f>IF(OR($B92="",MIN(AM$38,$D$19)&lt;MAX($P$34*($B92+IF($R$17="Distrato",$I$38-1,0)),IF(AND($L$37=0,$P$34=0),"",$L$37-1),IF($R$17="Distrato",$E92,0))),0,YEARFRAC(MAX($P$34*($B92+IF($R$17="Distrato",$I$38-1,0)),IF(AND($L$37=0,$P$34=0),"",$L$37-1),IF($R$17="Distrato",$E92,0)),MIN(AM$38,$D$19),$P$20))-SUM($P92:AL92)</f>
        <v>#VALUE!</v>
      </c>
      <c r="AN92" s="446" t="e">
        <f>IF(OR($B92="",MIN(AN$38,$D$19)&lt;MAX($P$34*($B92+IF($R$17="Distrato",$I$38-1,0)),IF(AND($L$37=0,$P$34=0),"",$L$37-1),IF($R$17="Distrato",$E92,0))),0,YEARFRAC(MAX($P$34*($B92+IF($R$17="Distrato",$I$38-1,0)),IF(AND($L$37=0,$P$34=0),"",$L$37-1),IF($R$17="Distrato",$E92,0)),MIN(AN$38,$D$19),$P$20))-SUM($P92:AM92)</f>
        <v>#VALUE!</v>
      </c>
      <c r="AO92" s="446" t="e">
        <f>IF(OR($B92="",MIN(AO$38,$D$19)&lt;MAX($P$34*($B92+IF($R$17="Distrato",$I$38-1,0)),IF(AND($L$37=0,$P$34=0),"",$L$37-1),IF($R$17="Distrato",$E92,0))),0,YEARFRAC(MAX($P$34*($B92+IF($R$17="Distrato",$I$38-1,0)),IF(AND($L$37=0,$P$34=0),"",$L$37-1),IF($R$17="Distrato",$E92,0)),MIN(AO$38,$D$19),$P$20))-SUM($P92:AN92)</f>
        <v>#VALUE!</v>
      </c>
      <c r="AP92" s="446" t="e">
        <f>IF(OR($B92="",MIN(AP$38,$D$19)&lt;MAX($P$34*($B92+IF($R$17="Distrato",$I$38-1,0)),IF(AND($L$37=0,$P$34=0),"",$L$37-1),IF($R$17="Distrato",$E92,0))),0,YEARFRAC(MAX($P$34*($B92+IF($R$17="Distrato",$I$38-1,0)),IF(AND($L$37=0,$P$34=0),"",$L$37-1),IF($R$17="Distrato",$E92,0)),MIN(AP$38,$D$19),$P$20))-SUM($P92:AO92)</f>
        <v>#VALUE!</v>
      </c>
      <c r="AQ92" s="446" t="e">
        <f>IF(OR($B92="",MIN(AQ$38,$D$19)&lt;MAX($P$34*($B92+IF($R$17="Distrato",$I$38-1,0)),IF(AND($L$37=0,$P$34=0),"",$L$37-1),IF($R$17="Distrato",$E92,0))),0,YEARFRAC(MAX($P$34*($B92+IF($R$17="Distrato",$I$38-1,0)),IF(AND($L$37=0,$P$34=0),"",$L$37-1),IF($R$17="Distrato",$E92,0)),MIN(AQ$38,$D$19),$P$20))-SUM($P92:AP92)</f>
        <v>#VALUE!</v>
      </c>
      <c r="AR92" s="446" t="e">
        <f>IF(OR($B92="",MIN(AR$38,$D$19)&lt;MAX($P$34*($B92+IF($R$17="Distrato",$I$38-1,0)),IF(AND($L$37=0,$P$34=0),"",$L$37-1),IF($R$17="Distrato",$E92,0))),0,YEARFRAC(MAX($P$34*($B92+IF($R$17="Distrato",$I$38-1,0)),IF(AND($L$37=0,$P$34=0),"",$L$37-1),IF($R$17="Distrato",$E92,0)),MIN(AR$38,$D$19),$P$20))-SUM($P92:AQ92)</f>
        <v>#VALUE!</v>
      </c>
      <c r="AS92" s="446" t="e">
        <f>IF(OR($B92="",MIN(AS$38,$D$19)&lt;MAX($P$34*($B92+IF($R$17="Distrato",$I$38-1,0)),IF(AND($L$37=0,$P$34=0),"",$L$37-1),IF($R$17="Distrato",$E92,0))),0,YEARFRAC(MAX($P$34*($B92+IF($R$17="Distrato",$I$38-1,0)),IF(AND($L$37=0,$P$34=0),"",$L$37-1),IF($R$17="Distrato",$E92,0)),MIN(AS$38,$D$19),$P$20))-SUM($P92:AR92)</f>
        <v>#VALUE!</v>
      </c>
      <c r="AT92" s="446" t="e">
        <f>IF(OR($B92="",MIN(AT$38,$D$19)&lt;MAX($P$34*($B92+IF($R$17="Distrato",$I$38-1,0)),IF(AND($L$37=0,$P$34=0),"",$L$37-1),IF($R$17="Distrato",$E92,0))),0,YEARFRAC(MAX($P$34*($B92+IF($R$17="Distrato",$I$38-1,0)),IF(AND($L$37=0,$P$34=0),"",$L$37-1),IF($R$17="Distrato",$E92,0)),MIN(AT$38,$D$19),$P$20))-SUM($P92:AS92)</f>
        <v>#VALUE!</v>
      </c>
      <c r="AU92" s="446" t="e">
        <f>IF(OR($B92="",MIN(AU$38,$D$19)&lt;MAX($P$34*($B92+IF($R$17="Distrato",$I$38-1,0)),IF(AND($L$37=0,$P$34=0),"",$L$37-1),IF($R$17="Distrato",$E92,0))),0,YEARFRAC(MAX($P$34*($B92+IF($R$17="Distrato",$I$38-1,0)),IF(AND($L$37=0,$P$34=0),"",$L$37-1),IF($R$17="Distrato",$E92,0)),MIN(AU$38,$D$19),$P$20))-SUM($P92:AT92)</f>
        <v>#VALUE!</v>
      </c>
      <c r="AV92" s="446" t="e">
        <f>IF(OR($B92="",MIN(AV$38,$D$19)&lt;MAX($P$34*($B92+IF($R$17="Distrato",$I$38-1,0)),IF(AND($L$37=0,$P$34=0),"",$L$37-1),IF($R$17="Distrato",$E92,0))),0,YEARFRAC(MAX($P$34*($B92+IF($R$17="Distrato",$I$38-1,0)),IF(AND($L$37=0,$P$34=0),"",$L$37-1),IF($R$17="Distrato",$E92,0)),MIN(AV$38,$D$19),$P$20))-SUM($P92:AU92)</f>
        <v>#VALUE!</v>
      </c>
      <c r="AW92" s="446" t="e">
        <f>IF(OR($B92="",MIN(AW$38,$D$19)&lt;MAX($P$34*($B92+IF($R$17="Distrato",$I$38-1,0)),IF(AND($L$37=0,$P$34=0),"",$L$37-1),IF($R$17="Distrato",$E92,0))),0,YEARFRAC(MAX($P$34*($B92+IF($R$17="Distrato",$I$38-1,0)),IF(AND($L$37=0,$P$34=0),"",$L$37-1),IF($R$17="Distrato",$E92,0)),MIN(AW$38,$D$19),$P$20))-SUM($P92:AV92)</f>
        <v>#VALUE!</v>
      </c>
      <c r="AX92" s="446" t="e">
        <f>IF(OR($B92="",MIN(AX$38,$D$19)&lt;MAX($P$34*($B92+IF($R$17="Distrato",$I$38-1,0)),IF(AND($L$37=0,$P$34=0),"",$L$37-1),IF($R$17="Distrato",$E92,0))),0,YEARFRAC(MAX($P$34*($B92+IF($R$17="Distrato",$I$38-1,0)),IF(AND($L$37=0,$P$34=0),"",$L$37-1),IF($R$17="Distrato",$E92,0)),MIN(AX$38,$D$19),$P$20))-SUM($P92:AW92)</f>
        <v>#VALUE!</v>
      </c>
      <c r="AY92" s="446" t="e">
        <f>IF(OR($B92="",MIN(AY$38,$D$19)&lt;MAX($P$34*($B92+IF($R$17="Distrato",$I$38-1,0)),IF(AND($L$37=0,$P$34=0),"",$L$37-1),IF($R$17="Distrato",$E92,0))),0,YEARFRAC(MAX($P$34*($B92+IF($R$17="Distrato",$I$38-1,0)),IF(AND($L$37=0,$P$34=0),"",$L$37-1),IF($R$17="Distrato",$E92,0)),MIN(AY$38,$D$19),$P$20))-SUM($P92:AX92)</f>
        <v>#VALUE!</v>
      </c>
      <c r="AZ92" s="446" t="e">
        <f>IF(OR($B92="",MIN(AZ$38,$D$19)&lt;MAX($P$34*($B92+IF($R$17="Distrato",$I$38-1,0)),IF(AND($L$37=0,$P$34=0),"",$L$37-1),IF($R$17="Distrato",$E92,0))),0,YEARFRAC(MAX($P$34*($B92+IF($R$17="Distrato",$I$38-1,0)),IF(AND($L$37=0,$P$34=0),"",$L$37-1),IF($R$17="Distrato",$E92,0)),MIN(AZ$38,$D$19),$P$20))-SUM($P92:AY92)</f>
        <v>#VALUE!</v>
      </c>
      <c r="BA92" s="446" t="e">
        <f>IF(OR($B92="",MIN(BA$38,$D$19)&lt;MAX($P$34*($B92+IF($R$17="Distrato",$I$38-1,0)),IF(AND($L$37=0,$P$34=0),"",$L$37-1),IF($R$17="Distrato",$E92,0))),0,YEARFRAC(MAX($P$34*($B92+IF($R$17="Distrato",$I$38-1,0)),IF(AND($L$37=0,$P$34=0),"",$L$37-1),IF($R$17="Distrato",$E92,0)),MIN(BA$38,$D$19),$P$20))-SUM($P92:AZ92)</f>
        <v>#VALUE!</v>
      </c>
      <c r="BB92" s="447"/>
      <c r="BF92" s="446">
        <f t="shared" si="10"/>
        <v>0</v>
      </c>
      <c r="BG92" s="446">
        <f>IF($E92=0,0,IF(MIN(BG$38,$E92)&lt;MAX($P$34*($B92+$I$38-1),IF(AND($L$37=0,$P$34=0),"",$L$37-1)),0,YEARFRAC(MAX($P$34*($B92+$I$38-1),IF(AND($L$37=0,$P$34=0),"",$L$37-1)),MIN(BG$38,$E92),$P$20))-SUM($BF92:BF92))</f>
        <v>0</v>
      </c>
      <c r="BH92" s="446">
        <f>IF($E92=0,0,IF(MIN(BH$38,$E92)&lt;MAX($P$34*($B92+$I$38-1),IF(AND($L$37=0,$P$34=0),"",$L$37-1)),0,YEARFRAC(MAX($P$34*($B92+$I$38-1),IF(AND($L$37=0,$P$34=0),"",$L$37-1)),MIN(BH$38,$E92),$P$20))-SUM($BF92:BG92))</f>
        <v>0</v>
      </c>
      <c r="BI92" s="446">
        <f>IF($E92=0,0,IF(MIN(BI$38,$E92)&lt;MAX($P$34*($B92+$I$38-1),IF(AND($L$37=0,$P$34=0),"",$L$37-1)),0,YEARFRAC(MAX($P$34*($B92+$I$38-1),IF(AND($L$37=0,$P$34=0),"",$L$37-1)),MIN(BI$38,$E92),$P$20))-SUM($BF92:BH92))</f>
        <v>0</v>
      </c>
      <c r="BJ92" s="446">
        <f>IF($E92=0,0,IF(MIN(BJ$38,$E92)&lt;MAX($P$34*($B92+$I$38-1),IF(AND($L$37=0,$P$34=0),"",$L$37-1)),0,YEARFRAC(MAX($P$34*($B92+$I$38-1),IF(AND($L$37=0,$P$34=0),"",$L$37-1)),MIN(BJ$38,$E92),$P$20))-SUM($BF92:BI92))</f>
        <v>0</v>
      </c>
      <c r="BK92" s="446">
        <f>IF($E92=0,0,IF(MIN(BK$38,$E92)&lt;MAX($P$34*($B92+$I$38-1),IF(AND($L$37=0,$P$34=0),"",$L$37-1)),0,YEARFRAC(MAX($P$34*($B92+$I$38-1),IF(AND($L$37=0,$P$34=0),"",$L$37-1)),MIN(BK$38,$E92),$P$20))-SUM($BF92:BJ92))</f>
        <v>0</v>
      </c>
      <c r="BL92" s="446">
        <f>IF($E92=0,0,IF(MIN(BL$38,$E92)&lt;MAX($P$34*($B92+$I$38-1),IF(AND($L$37=0,$P$34=0),"",$L$37-1)),0,YEARFRAC(MAX($P$34*($B92+$I$38-1),IF(AND($L$37=0,$P$34=0),"",$L$37-1)),MIN(BL$38,$E92),$P$20))-SUM($BF92:BK92))</f>
        <v>0</v>
      </c>
      <c r="BM92" s="446">
        <f>IF($E92=0,0,IF(MIN(BM$38,$E92)&lt;MAX($P$34*($B92+$I$38-1),IF(AND($L$37=0,$P$34=0),"",$L$37-1)),0,YEARFRAC(MAX($P$34*($B92+$I$38-1),IF(AND($L$37=0,$P$34=0),"",$L$37-1)),MIN(BM$38,$E92),$P$20))-SUM($BF92:BL92))</f>
        <v>0</v>
      </c>
      <c r="BN92" s="446">
        <f>IF($E92=0,0,IF(MIN(BN$38,$E92)&lt;MAX($P$34*($B92+$I$38-1),IF(AND($L$37=0,$P$34=0),"",$L$37-1)),0,YEARFRAC(MAX($P$34*($B92+$I$38-1),IF(AND($L$37=0,$P$34=0),"",$L$37-1)),MIN(BN$38,$E92),$P$20))-SUM($BF92:BM92))</f>
        <v>0</v>
      </c>
      <c r="BO92" s="446">
        <f>IF($E92=0,0,IF(MIN(BO$38,$E92)&lt;MAX($P$34*($B92+$I$38-1),IF(AND($L$37=0,$P$34=0),"",$L$37-1)),0,YEARFRAC(MAX($P$34*($B92+$I$38-1),IF(AND($L$37=0,$P$34=0),"",$L$37-1)),MIN(BO$38,$E92),$P$20))-SUM($BF92:BN92))</f>
        <v>0</v>
      </c>
      <c r="BP92" s="446">
        <f>IF($E92=0,0,IF(MIN(BP$38,$E92)&lt;MAX($P$34*($B92+$I$38-1),IF(AND($L$37=0,$P$34=0),"",$L$37-1)),0,YEARFRAC(MAX($P$34*($B92+$I$38-1),IF(AND($L$37=0,$P$34=0),"",$L$37-1)),MIN(BP$38,$E92),$P$20))-SUM($BF92:BO92))</f>
        <v>0</v>
      </c>
      <c r="BQ92" s="446">
        <f>IF($E92=0,0,IF(MIN(BQ$38,$E92)&lt;MAX($P$34*($B92+$I$38-1),IF(AND($L$37=0,$P$34=0),"",$L$37-1)),0,YEARFRAC(MAX($P$34*($B92+$I$38-1),IF(AND($L$37=0,$P$34=0),"",$L$37-1)),MIN(BQ$38,$E92),$P$20))-SUM($BF92:BP92))</f>
        <v>0</v>
      </c>
      <c r="BR92" s="446">
        <f>IF($E92=0,0,IF(MIN(BR$38,$E92)&lt;MAX($P$34*($B92+$I$38-1),IF(AND($L$37=0,$P$34=0),"",$L$37-1)),0,YEARFRAC(MAX($P$34*($B92+$I$38-1),IF(AND($L$37=0,$P$34=0),"",$L$37-1)),MIN(BR$38,$E92),$P$20))-SUM($BF92:BQ92))</f>
        <v>0</v>
      </c>
      <c r="BS92" s="446">
        <f>IF($E92=0,0,IF(MIN(BS$38,$E92)&lt;MAX($P$34*($B92+$I$38-1),IF(AND($L$37=0,$P$34=0),"",$L$37-1)),0,YEARFRAC(MAX($P$34*($B92+$I$38-1),IF(AND($L$37=0,$P$34=0),"",$L$37-1)),MIN(BS$38,$E92),$P$20))-SUM($BF92:BR92))</f>
        <v>0</v>
      </c>
      <c r="BT92" s="446">
        <f>IF($E92=0,0,IF(MIN(BT$38,$E92)&lt;MAX($P$34*($B92+$I$38-1),IF(AND($L$37=0,$P$34=0),"",$L$37-1)),0,YEARFRAC(MAX($P$34*($B92+$I$38-1),IF(AND($L$37=0,$P$34=0),"",$L$37-1)),MIN(BT$38,$E92),$P$20))-SUM($BF92:BS92))</f>
        <v>0</v>
      </c>
      <c r="BU92" s="446">
        <f>IF($E92=0,0,IF(MIN(BU$38,$E92)&lt;MAX($P$34*($B92+$I$38-1),IF(AND($L$37=0,$P$34=0),"",$L$37-1)),0,YEARFRAC(MAX($P$34*($B92+$I$38-1),IF(AND($L$37=0,$P$34=0),"",$L$37-1)),MIN(BU$38,$E92),$P$20))-SUM($BF92:BT92))</f>
        <v>0</v>
      </c>
      <c r="BV92" s="446">
        <f>IF($E92=0,0,IF(MIN(BV$38,$E92)&lt;MAX($P$34*($B92+$I$38-1),IF(AND($L$37=0,$P$34=0),"",$L$37-1)),0,YEARFRAC(MAX($P$34*($B92+$I$38-1),IF(AND($L$37=0,$P$34=0),"",$L$37-1)),MIN(BV$38,$E92),$P$20))-SUM($BF92:BU92))</f>
        <v>0</v>
      </c>
      <c r="BW92" s="446">
        <f>IF($E92=0,0,IF(MIN(BW$38,$E92)&lt;MAX($P$34*($B92+$I$38-1),IF(AND($L$37=0,$P$34=0),"",$L$37-1)),0,YEARFRAC(MAX($P$34*($B92+$I$38-1),IF(AND($L$37=0,$P$34=0),"",$L$37-1)),MIN(BW$38,$E92),$P$20))-SUM($BF92:BV92))</f>
        <v>0</v>
      </c>
      <c r="BX92" s="446">
        <f>IF($E92=0,0,IF(MIN(BX$38,$E92)&lt;MAX($P$34*($B92+$I$38-1),IF(AND($L$37=0,$P$34=0),"",$L$37-1)),0,YEARFRAC(MAX($P$34*($B92+$I$38-1),IF(AND($L$37=0,$P$34=0),"",$L$37-1)),MIN(BX$38,$E92),$P$20))-SUM($BF92:BW92))</f>
        <v>0</v>
      </c>
      <c r="BY92" s="446">
        <f>IF($E92=0,0,IF(MIN(BY$38,$E92)&lt;MAX($P$34*($B92+$I$38-1),IF(AND($L$37=0,$P$34=0),"",$L$37-1)),0,YEARFRAC(MAX($P$34*($B92+$I$38-1),IF(AND($L$37=0,$P$34=0),"",$L$37-1)),MIN(BY$38,$E92),$P$20))-SUM($BF92:BX92))</f>
        <v>0</v>
      </c>
      <c r="BZ92" s="446">
        <f>IF($E92=0,0,IF(MIN(BZ$38,$E92)&lt;MAX($P$34*($B92+$I$38-1),IF(AND($L$37=0,$P$34=0),"",$L$37-1)),0,YEARFRAC(MAX($P$34*($B92+$I$38-1),IF(AND($L$37=0,$P$34=0),"",$L$37-1)),MIN(BZ$38,$E92),$P$20))-SUM($BF92:BY92))</f>
        <v>0</v>
      </c>
      <c r="CA92" s="446">
        <f>IF($E92=0,0,IF(MIN(CA$38,$E92)&lt;MAX($P$34*($B92+$I$38-1),IF(AND($L$37=0,$P$34=0),"",$L$37-1)),0,YEARFRAC(MAX($P$34*($B92+$I$38-1),IF(AND($L$37=0,$P$34=0),"",$L$37-1)),MIN(CA$38,$E92),$P$20))-SUM($BF92:BZ92))</f>
        <v>0</v>
      </c>
      <c r="CB92" s="446">
        <f>IF($E92=0,0,IF(MIN(CB$38,$E92)&lt;MAX($P$34*($B92+$I$38-1),IF(AND($L$37=0,$P$34=0),"",$L$37-1)),0,YEARFRAC(MAX($P$34*($B92+$I$38-1),IF(AND($L$37=0,$P$34=0),"",$L$37-1)),MIN(CB$38,$E92),$P$20))-SUM($BF92:CA92))</f>
        <v>0</v>
      </c>
      <c r="CC92" s="446">
        <f>IF($E92=0,0,IF(MIN(CC$38,$E92)&lt;MAX($P$34*($B92+$I$38-1),IF(AND($L$37=0,$P$34=0),"",$L$37-1)),0,YEARFRAC(MAX($P$34*($B92+$I$38-1),IF(AND($L$37=0,$P$34=0),"",$L$37-1)),MIN(CC$38,$E92),$P$20))-SUM($BF92:CB92))</f>
        <v>0</v>
      </c>
      <c r="CD92" s="446">
        <f>IF($E92=0,0,IF(MIN(CD$38,$E92)&lt;MAX($P$34*($B92+$I$38-1),IF(AND($L$37=0,$P$34=0),"",$L$37-1)),0,YEARFRAC(MAX($P$34*($B92+$I$38-1),IF(AND($L$37=0,$P$34=0),"",$L$37-1)),MIN(CD$38,$E92),$P$20))-SUM($BF92:CC92))</f>
        <v>0</v>
      </c>
      <c r="CE92" s="446">
        <f>IF($E92=0,0,IF(MIN(CE$38,$E92)&lt;MAX($P$34*($B92+$I$38-1),IF(AND($L$37=0,$P$34=0),"",$L$37-1)),0,YEARFRAC(MAX($P$34*($B92+$I$38-1),IF(AND($L$37=0,$P$34=0),"",$L$37-1)),MIN(CE$38,$E92),$P$20))-SUM($BF92:CD92))</f>
        <v>0</v>
      </c>
      <c r="CF92" s="446">
        <f>IF($E92=0,0,IF(MIN(CF$38,$E92)&lt;MAX($P$34*($B92+$I$38-1),IF(AND($L$37=0,$P$34=0),"",$L$37-1)),0,YEARFRAC(MAX($P$34*($B92+$I$38-1),IF(AND($L$37=0,$P$34=0),"",$L$37-1)),MIN(CF$38,$E92),$P$20))-SUM($BF92:CE92))</f>
        <v>0</v>
      </c>
      <c r="CG92" s="446">
        <f>IF($E92=0,0,IF(MIN(CG$38,$E92)&lt;MAX($P$34*($B92+$I$38-1),IF(AND($L$37=0,$P$34=0),"",$L$37-1)),0,YEARFRAC(MAX($P$34*($B92+$I$38-1),IF(AND($L$37=0,$P$34=0),"",$L$37-1)),MIN(CG$38,$E92),$P$20))-SUM($BF92:CF92))</f>
        <v>0</v>
      </c>
      <c r="CH92" s="446">
        <f>IF($E92=0,0,IF(MIN(CH$38,$E92)&lt;MAX($P$34*($B92+$I$38-1),IF(AND($L$37=0,$P$34=0),"",$L$37-1)),0,YEARFRAC(MAX($P$34*($B92+$I$38-1),IF(AND($L$37=0,$P$34=0),"",$L$37-1)),MIN(CH$38,$E92),$P$20))-SUM($BF92:CG92))</f>
        <v>0</v>
      </c>
      <c r="CI92" s="446">
        <f>IF($E92=0,0,IF(MIN(CI$38,$E92)&lt;MAX($P$34*($B92+$I$38-1),IF(AND($L$37=0,$P$34=0),"",$L$37-1)),0,YEARFRAC(MAX($P$34*($B92+$I$38-1),IF(AND($L$37=0,$P$34=0),"",$L$37-1)),MIN(CI$38,$E92),$P$20))-SUM($BF92:CH92))</f>
        <v>0</v>
      </c>
      <c r="CJ92" s="446">
        <f>IF($E92=0,0,IF(MIN(CJ$38,$E92)&lt;MAX($P$34*($B92+$I$38-1),IF(AND($L$37=0,$P$34=0),"",$L$37-1)),0,YEARFRAC(MAX($P$34*($B92+$I$38-1),IF(AND($L$37=0,$P$34=0),"",$L$37-1)),MIN(CJ$38,$E92),$P$20))-SUM($BF92:CI92))</f>
        <v>0</v>
      </c>
      <c r="CK92" s="446">
        <f>IF($E92=0,0,IF(MIN(CK$38,$E92)&lt;MAX($P$34*($B92+$I$38-1),IF(AND($L$37=0,$P$34=0),"",$L$37-1)),0,YEARFRAC(MAX($P$34*($B92+$I$38-1),IF(AND($L$37=0,$P$34=0),"",$L$37-1)),MIN(CK$38,$E92),$P$20))-SUM($BF92:CJ92))</f>
        <v>0</v>
      </c>
      <c r="CL92" s="446">
        <f>IF($E92=0,0,IF(MIN(CL$38,$E92)&lt;MAX($P$34*($B92+$I$38-1),IF(AND($L$37=0,$P$34=0),"",$L$37-1)),0,YEARFRAC(MAX($P$34*($B92+$I$38-1),IF(AND($L$37=0,$P$34=0),"",$L$37-1)),MIN(CL$38,$E92),$P$20))-SUM($BF92:CK92))</f>
        <v>0</v>
      </c>
      <c r="CM92" s="446">
        <f>IF($E92=0,0,IF(MIN(CM$38,$E92)&lt;MAX($P$34*($B92+$I$38-1),IF(AND($L$37=0,$P$34=0),"",$L$37-1)),0,YEARFRAC(MAX($P$34*($B92+$I$38-1),IF(AND($L$37=0,$P$34=0),"",$L$37-1)),MIN(CM$38,$E92),$P$20))-SUM($BF92:CL92))</f>
        <v>0</v>
      </c>
      <c r="CN92" s="446">
        <f>IF($E92=0,0,IF(MIN(CN$38,$E92)&lt;MAX($P$34*($B92+$I$38-1),IF(AND($L$37=0,$P$34=0),"",$L$37-1)),0,YEARFRAC(MAX($P$34*($B92+$I$38-1),IF(AND($L$37=0,$P$34=0),"",$L$37-1)),MIN(CN$38,$E92),$P$20))-SUM($BF92:CM92))</f>
        <v>0</v>
      </c>
      <c r="CO92" s="446">
        <f>IF($E92=0,0,IF(MIN(CO$38,$E92)&lt;MAX($P$34*($B92+$I$38-1),IF(AND($L$37=0,$P$34=0),"",$L$37-1)),0,YEARFRAC(MAX($P$34*($B92+$I$38-1),IF(AND($L$37=0,$P$34=0),"",$L$37-1)),MIN(CO$38,$E92),$P$20))-SUM($BF92:CN92))</f>
        <v>0</v>
      </c>
      <c r="CP92" s="446">
        <f>IF($E92=0,0,IF(MIN(CP$38,$E92)&lt;MAX($P$34*($B92+$I$38-1),IF(AND($L$37=0,$P$34=0),"",$L$37-1)),0,YEARFRAC(MAX($P$34*($B92+$I$38-1),IF(AND($L$37=0,$P$34=0),"",$L$37-1)),MIN(CP$38,$E92),$P$20))-SUM($BF92:CO92))</f>
        <v>0</v>
      </c>
      <c r="CQ92" s="446">
        <f>IF($E92=0,0,IF(MIN(CQ$38,$E92)&lt;MAX($P$34*($B92+$I$38-1),IF(AND($L$37=0,$P$34=0),"",$L$37-1)),0,YEARFRAC(MAX($P$34*($B92+$I$38-1),IF(AND($L$37=0,$P$34=0),"",$L$37-1)),MIN(CQ$38,$E92),$P$20))-SUM($BF92:CP92))</f>
        <v>0</v>
      </c>
    </row>
    <row r="93" spans="1:95" s="446" customFormat="1" ht="11.25" hidden="1" customHeight="1" x14ac:dyDescent="0.2">
      <c r="A93" s="152"/>
      <c r="B93" s="153" t="str">
        <f t="shared" si="15"/>
        <v/>
      </c>
      <c r="C93" s="29" t="str">
        <f>IF(B93="","",IF($L$35="SELIC - TRIBUTOS",VLOOKUP(DATE(YEAR($D$19),MONTH($D$19)-1,1),ÍNDICES!$A:$DE,HLOOKUP($BL$25,ÍNDICES!$B$3:$T$4,2)+11)-VLOOKUP(B93,ÍNDICES!$A:$DE,HLOOKUP($BL$25,ÍNDICES!$B$3:$T$4,2)+11)+1%,IF(C$38=$W$26,$J$35,IF(ISERROR(IF(B93&gt;$D$19,1,VLOOKUP(DATE(YEAR(B93),MONTH(B93)+IF($C$35=$S$23,1,0),1),ÍNDICES!$A:$DE,$Z$35+1))),"",IF(B93&gt;$D$19,1,VLOOKUP(DATE(YEAR(B93),MONTH(B93)+IF($C$35=$S$23,1,0),1),ÍNDICES!$A:$DE,$Z$35+1))))))</f>
        <v/>
      </c>
      <c r="D93" s="154" t="str">
        <f>IF(ISERROR(IF(OR($D$38=$Y$27,$B93=""),"",VLOOKUP(B93,ÍNDICES!A:DE,AF$35+1))),"",IF(OR($D$38=$Y$27,$B93=""),"",VLOOKUP(B93,ÍNDICES!A:DE,AF$35+1)))</f>
        <v/>
      </c>
      <c r="E93" s="153"/>
      <c r="F93" s="29" t="str">
        <f>IF(E93="","",IF($L$35="SELIC - TRIBUTOS",VLOOKUP(DATE(YEAR($D$19),MONTH($D$19)-1,1),ÍNDICES!$A:$DE,HLOOKUP($BL$25,ÍNDICES!$B$3:$T$4,2)+11)-VLOOKUP(E93,ÍNDICES!$A:$DE,HLOOKUP($BL$25,ÍNDICES!$B$3:$T$4,2)+11)+1%,IF(F$38=$W$26,$J$35,IF(ISERROR(IF(E93&gt;$D$19,1,VLOOKUP(DATE(YEAR(E93),MONTH(E93)+IF($C$35=$S$23,1,0),1),ÍNDICES!$A:$DE,$Z$35+1))),"",IF(E93&gt;$D$19,1,VLOOKUP(DATE(YEAR(E93),MONTH(E93)+IF($C$35=$S$23,1,0),1),ÍNDICES!$A:$DE,$Z$35+1))))))</f>
        <v/>
      </c>
      <c r="G93" s="155"/>
      <c r="H93" s="156" t="str">
        <f t="shared" si="11"/>
        <v/>
      </c>
      <c r="I93" s="29" t="str">
        <f t="shared" si="5"/>
        <v/>
      </c>
      <c r="J93" s="5">
        <f t="shared" si="6"/>
        <v>0</v>
      </c>
      <c r="K93" s="20">
        <f t="shared" ca="1" si="7"/>
        <v>0</v>
      </c>
      <c r="L93" s="5">
        <f t="shared" ca="1" si="8"/>
        <v>0</v>
      </c>
      <c r="M93" s="64">
        <f t="shared" si="12"/>
        <v>0</v>
      </c>
      <c r="N93" s="61">
        <f t="shared" ca="1" si="13"/>
        <v>0</v>
      </c>
      <c r="O93" s="5">
        <f t="shared" ca="1" si="14"/>
        <v>0</v>
      </c>
      <c r="P93" s="446" t="e">
        <f t="shared" si="9"/>
        <v>#VALUE!</v>
      </c>
      <c r="Q93" s="446" t="e">
        <f>IF(OR($B93="",MIN(Q$38,$D$19)&lt;MAX($P$34*($B93+IF($R$17="Distrato",$I$38-1,0)),IF(AND($L$37=0,$P$34=0),"",$L$37-1),IF($R$17="Distrato",$E93,0))),0,YEARFRAC(MAX($P$34*($B93+IF($R$17="Distrato",$I$38-1,0)),IF(AND($L$37=0,$P$34=0),"",$L$37-1),IF($R$17="Distrato",$E93,0)),MIN(Q$38,$D$19),$P$20))-SUM($P93:P93)</f>
        <v>#VALUE!</v>
      </c>
      <c r="R93" s="446" t="e">
        <f>IF(OR($B93="",MIN(R$38,$D$19)&lt;MAX($P$34*($B93+IF($R$17="Distrato",$I$38-1,0)),IF(AND($L$37=0,$P$34=0),"",$L$37-1),IF($R$17="Distrato",$E93,0))),0,YEARFRAC(MAX($P$34*($B93+IF($R$17="Distrato",$I$38-1,0)),IF(AND($L$37=0,$P$34=0),"",$L$37-1),IF($R$17="Distrato",$E93,0)),MIN(R$38,$D$19),$P$20))-SUM($P93:Q93)</f>
        <v>#VALUE!</v>
      </c>
      <c r="S93" s="446" t="e">
        <f>IF(OR($B93="",MIN(S$38,$D$19)&lt;MAX($P$34*($B93+IF($R$17="Distrato",$I$38-1,0)),IF(AND($L$37=0,$P$34=0),"",$L$37-1),IF($R$17="Distrato",$E93,0))),0,YEARFRAC(MAX($P$34*($B93+IF($R$17="Distrato",$I$38-1,0)),IF(AND($L$37=0,$P$34=0),"",$L$37-1),IF($R$17="Distrato",$E93,0)),MIN(S$38,$D$19),$P$20))-SUM($P93:R93)</f>
        <v>#VALUE!</v>
      </c>
      <c r="T93" s="446" t="e">
        <f>IF(OR($B93="",MIN(T$38,$D$19)&lt;MAX($P$34*($B93+IF($R$17="Distrato",$I$38-1,0)),IF(AND($L$37=0,$P$34=0),"",$L$37-1),IF($R$17="Distrato",$E93,0))),0,YEARFRAC(MAX($P$34*($B93+IF($R$17="Distrato",$I$38-1,0)),IF(AND($L$37=0,$P$34=0),"",$L$37-1),IF($R$17="Distrato",$E93,0)),MIN(T$38,$D$19),$P$20))-SUM($P93:S93)</f>
        <v>#VALUE!</v>
      </c>
      <c r="U93" s="446" t="e">
        <f>IF(OR($B93="",MIN(U$38,$D$19)&lt;MAX($P$34*($B93+IF($R$17="Distrato",$I$38-1,0)),IF(AND($L$37=0,$P$34=0),"",$L$37-1),IF($R$17="Distrato",$E93,0))),0,YEARFRAC(MAX($P$34*($B93+IF($R$17="Distrato",$I$38-1,0)),IF(AND($L$37=0,$P$34=0),"",$L$37-1),IF($R$17="Distrato",$E93,0)),MIN(U$38,$D$19),$P$20))-SUM($P93:T93)</f>
        <v>#VALUE!</v>
      </c>
      <c r="V93" s="446" t="e">
        <f>IF(OR($B93="",MIN(V$38,$D$19)&lt;MAX($P$34*($B93+IF($R$17="Distrato",$I$38-1,0)),IF(AND($L$37=0,$P$34=0),"",$L$37-1),IF($R$17="Distrato",$E93,0))),0,YEARFRAC(MAX($P$34*($B93+IF($R$17="Distrato",$I$38-1,0)),IF(AND($L$37=0,$P$34=0),"",$L$37-1),IF($R$17="Distrato",$E93,0)),MIN(V$38,$D$19),$P$20))-SUM($P93:U93)</f>
        <v>#VALUE!</v>
      </c>
      <c r="W93" s="446" t="e">
        <f>IF(OR($B93="",MIN(W$38,$D$19)&lt;MAX($P$34*($B93+IF($R$17="Distrato",$I$38-1,0)),IF(AND($L$37=0,$P$34=0),"",$L$37-1),IF($R$17="Distrato",$E93,0))),0,YEARFRAC(MAX($P$34*($B93+IF($R$17="Distrato",$I$38-1,0)),IF(AND($L$37=0,$P$34=0),"",$L$37-1),IF($R$17="Distrato",$E93,0)),MIN(W$38,$D$19),$P$20))-SUM($P93:V93)</f>
        <v>#VALUE!</v>
      </c>
      <c r="X93" s="446" t="e">
        <f>IF(OR($B93="",MIN(X$38,$D$19)&lt;MAX($P$34*($B93+IF($R$17="Distrato",$I$38-1,0)),IF(AND($L$37=0,$P$34=0),"",$L$37-1),IF($R$17="Distrato",$E93,0))),0,YEARFRAC(MAX($P$34*($B93+IF($R$17="Distrato",$I$38-1,0)),IF(AND($L$37=0,$P$34=0),"",$L$37-1),IF($R$17="Distrato",$E93,0)),MIN(X$38,$D$19),$P$20))-SUM($P93:W93)</f>
        <v>#VALUE!</v>
      </c>
      <c r="Y93" s="446" t="e">
        <f>IF(OR($B93="",MIN(Y$38,$D$19)&lt;MAX($P$34*($B93+IF($R$17="Distrato",$I$38-1,0)),IF(AND($L$37=0,$P$34=0),"",$L$37-1),IF($R$17="Distrato",$E93,0))),0,YEARFRAC(MAX($P$34*($B93+IF($R$17="Distrato",$I$38-1,0)),IF(AND($L$37=0,$P$34=0),"",$L$37-1),IF($R$17="Distrato",$E93,0)),MIN(Y$38,$D$19),$P$20))-SUM($P93:X93)</f>
        <v>#VALUE!</v>
      </c>
      <c r="Z93" s="446" t="e">
        <f>IF(OR($B93="",MIN(Z$38,$D$19)&lt;MAX($P$34*($B93+IF($R$17="Distrato",$I$38-1,0)),IF(AND($L$37=0,$P$34=0),"",$L$37-1),IF($R$17="Distrato",$E93,0))),0,YEARFRAC(MAX($P$34*($B93+IF($R$17="Distrato",$I$38-1,0)),IF(AND($L$37=0,$P$34=0),"",$L$37-1),IF($R$17="Distrato",$E93,0)),MIN(Z$38,$D$19),$P$20))-SUM($P93:Y93)</f>
        <v>#VALUE!</v>
      </c>
      <c r="AA93" s="446" t="e">
        <f>IF(OR($B93="",MIN(AA$38,$D$19)&lt;MAX($P$34*($B93+IF($R$17="Distrato",$I$38-1,0)),IF(AND($L$37=0,$P$34=0),"",$L$37-1),IF($R$17="Distrato",$E93,0))),0,YEARFRAC(MAX($P$34*($B93+IF($R$17="Distrato",$I$38-1,0)),IF(AND($L$37=0,$P$34=0),"",$L$37-1),IF($R$17="Distrato",$E93,0)),MIN(AA$38,$D$19),$P$20))-SUM($P93:Z93)</f>
        <v>#VALUE!</v>
      </c>
      <c r="AB93" s="446" t="e">
        <f>IF(OR($B93="",MIN(AB$38,$D$19)&lt;MAX($P$34*($B93+IF($R$17="Distrato",$I$38-1,0)),IF(AND($L$37=0,$P$34=0),"",$L$37-1),IF($R$17="Distrato",$E93,0))),0,YEARFRAC(MAX($P$34*($B93+IF($R$17="Distrato",$I$38-1,0)),IF(AND($L$37=0,$P$34=0),"",$L$37-1),IF($R$17="Distrato",$E93,0)),MIN(AB$38,$D$19),$P$20))-SUM($P93:AA93)</f>
        <v>#VALUE!</v>
      </c>
      <c r="AC93" s="446" t="e">
        <f>IF(OR($B93="",MIN(AC$38,$D$19)&lt;MAX($P$34*($B93+IF($R$17="Distrato",$I$38-1,0)),IF(AND($L$37=0,$P$34=0),"",$L$37-1),IF($R$17="Distrato",$E93,0))),0,YEARFRAC(MAX($P$34*($B93+IF($R$17="Distrato",$I$38-1,0)),IF(AND($L$37=0,$P$34=0),"",$L$37-1),IF($R$17="Distrato",$E93,0)),MIN(AC$38,$D$19),$P$20))-SUM($P93:AB93)</f>
        <v>#VALUE!</v>
      </c>
      <c r="AD93" s="446" t="e">
        <f>IF(OR($B93="",MIN(AD$38,$D$19)&lt;MAX($P$34*($B93+IF($R$17="Distrato",$I$38-1,0)),IF(AND($L$37=0,$P$34=0),"",$L$37-1),IF($R$17="Distrato",$E93,0))),0,YEARFRAC(MAX($P$34*($B93+IF($R$17="Distrato",$I$38-1,0)),IF(AND($L$37=0,$P$34=0),"",$L$37-1),IF($R$17="Distrato",$E93,0)),MIN(AD$38,$D$19),$P$20))-SUM($P93:AC93)</f>
        <v>#VALUE!</v>
      </c>
      <c r="AE93" s="446" t="e">
        <f>IF(OR($B93="",MIN(AE$38,$D$19)&lt;MAX($P$34*($B93+IF($R$17="Distrato",$I$38-1,0)),IF(AND($L$37=0,$P$34=0),"",$L$37-1),IF($R$17="Distrato",$E93,0))),0,YEARFRAC(MAX($P$34*($B93+IF($R$17="Distrato",$I$38-1,0)),IF(AND($L$37=0,$P$34=0),"",$L$37-1),IF($R$17="Distrato",$E93,0)),MIN(AE$38,$D$19),$P$20))-SUM($P93:AD93)</f>
        <v>#VALUE!</v>
      </c>
      <c r="AF93" s="446" t="e">
        <f>IF(OR($B93="",MIN(AF$38,$D$19)&lt;MAX($P$34*($B93+IF($R$17="Distrato",$I$38-1,0)),IF(AND($L$37=0,$P$34=0),"",$L$37-1),IF($R$17="Distrato",$E93,0))),0,YEARFRAC(MAX($P$34*($B93+IF($R$17="Distrato",$I$38-1,0)),IF(AND($L$37=0,$P$34=0),"",$L$37-1),IF($R$17="Distrato",$E93,0)),MIN(AF$38,$D$19),$P$20))-SUM($P93:AE93)</f>
        <v>#VALUE!</v>
      </c>
      <c r="AG93" s="446" t="e">
        <f>IF(OR($B93="",MIN(AG$38,$D$19)&lt;MAX($P$34*($B93+IF($R$17="Distrato",$I$38-1,0)),IF(AND($L$37=0,$P$34=0),"",$L$37-1),IF($R$17="Distrato",$E93,0))),0,YEARFRAC(MAX($P$34*($B93+IF($R$17="Distrato",$I$38-1,0)),IF(AND($L$37=0,$P$34=0),"",$L$37-1),IF($R$17="Distrato",$E93,0)),MIN(AG$38,$D$19),$P$20))-SUM($P93:AF93)</f>
        <v>#VALUE!</v>
      </c>
      <c r="AH93" s="446" t="e">
        <f>IF(OR($B93="",MIN(AH$38,$D$19)&lt;MAX($P$34*($B93+IF($R$17="Distrato",$I$38-1,0)),IF(AND($L$37=0,$P$34=0),"",$L$37-1),IF($R$17="Distrato",$E93,0))),0,YEARFRAC(MAX($P$34*($B93+IF($R$17="Distrato",$I$38-1,0)),IF(AND($L$37=0,$P$34=0),"",$L$37-1),IF($R$17="Distrato",$E93,0)),MIN(AH$38,$D$19),$P$20))-SUM($P93:AG93)</f>
        <v>#VALUE!</v>
      </c>
      <c r="AI93" s="446" t="e">
        <f>IF(OR($B93="",MIN(AI$38,$D$19)&lt;MAX($P$34*($B93+IF($R$17="Distrato",$I$38-1,0)),IF(AND($L$37=0,$P$34=0),"",$L$37-1),IF($R$17="Distrato",$E93,0))),0,YEARFRAC(MAX($P$34*($B93+IF($R$17="Distrato",$I$38-1,0)),IF(AND($L$37=0,$P$34=0),"",$L$37-1),IF($R$17="Distrato",$E93,0)),MIN(AI$38,$D$19),$P$20))-SUM($P93:AH93)</f>
        <v>#VALUE!</v>
      </c>
      <c r="AJ93" s="446" t="e">
        <f>IF(OR($B93="",MIN(AJ$38,$D$19)&lt;MAX($P$34*($B93+IF($R$17="Distrato",$I$38-1,0)),IF(AND($L$37=0,$P$34=0),"",$L$37-1),IF($R$17="Distrato",$E93,0))),0,YEARFRAC(MAX($P$34*($B93+IF($R$17="Distrato",$I$38-1,0)),IF(AND($L$37=0,$P$34=0),"",$L$37-1),IF($R$17="Distrato",$E93,0)),MIN(AJ$38,$D$19),$P$20))-SUM($P93:AI93)</f>
        <v>#VALUE!</v>
      </c>
      <c r="AK93" s="446" t="e">
        <f>IF(OR($B93="",MIN(AK$38,$D$19)&lt;MAX($P$34*($B93+IF($R$17="Distrato",$I$38-1,0)),IF(AND($L$37=0,$P$34=0),"",$L$37-1),IF($R$17="Distrato",$E93,0))),0,YEARFRAC(MAX($P$34*($B93+IF($R$17="Distrato",$I$38-1,0)),IF(AND($L$37=0,$P$34=0),"",$L$37-1),IF($R$17="Distrato",$E93,0)),MIN(AK$38,$D$19),$P$20))-SUM($P93:AJ93)</f>
        <v>#VALUE!</v>
      </c>
      <c r="AL93" s="446" t="e">
        <f>IF(OR($B93="",MIN(AL$38,$D$19)&lt;MAX($P$34*($B93+IF($R$17="Distrato",$I$38-1,0)),IF(AND($L$37=0,$P$34=0),"",$L$37-1),IF($R$17="Distrato",$E93,0))),0,YEARFRAC(MAX($P$34*($B93+IF($R$17="Distrato",$I$38-1,0)),IF(AND($L$37=0,$P$34=0),"",$L$37-1),IF($R$17="Distrato",$E93,0)),MIN(AL$38,$D$19),$P$20))-SUM($P93:AK93)</f>
        <v>#VALUE!</v>
      </c>
      <c r="AM93" s="446" t="e">
        <f>IF(OR($B93="",MIN(AM$38,$D$19)&lt;MAX($P$34*($B93+IF($R$17="Distrato",$I$38-1,0)),IF(AND($L$37=0,$P$34=0),"",$L$37-1),IF($R$17="Distrato",$E93,0))),0,YEARFRAC(MAX($P$34*($B93+IF($R$17="Distrato",$I$38-1,0)),IF(AND($L$37=0,$P$34=0),"",$L$37-1),IF($R$17="Distrato",$E93,0)),MIN(AM$38,$D$19),$P$20))-SUM($P93:AL93)</f>
        <v>#VALUE!</v>
      </c>
      <c r="AN93" s="446" t="e">
        <f>IF(OR($B93="",MIN(AN$38,$D$19)&lt;MAX($P$34*($B93+IF($R$17="Distrato",$I$38-1,0)),IF(AND($L$37=0,$P$34=0),"",$L$37-1),IF($R$17="Distrato",$E93,0))),0,YEARFRAC(MAX($P$34*($B93+IF($R$17="Distrato",$I$38-1,0)),IF(AND($L$37=0,$P$34=0),"",$L$37-1),IF($R$17="Distrato",$E93,0)),MIN(AN$38,$D$19),$P$20))-SUM($P93:AM93)</f>
        <v>#VALUE!</v>
      </c>
      <c r="AO93" s="446" t="e">
        <f>IF(OR($B93="",MIN(AO$38,$D$19)&lt;MAX($P$34*($B93+IF($R$17="Distrato",$I$38-1,0)),IF(AND($L$37=0,$P$34=0),"",$L$37-1),IF($R$17="Distrato",$E93,0))),0,YEARFRAC(MAX($P$34*($B93+IF($R$17="Distrato",$I$38-1,0)),IF(AND($L$37=0,$P$34=0),"",$L$37-1),IF($R$17="Distrato",$E93,0)),MIN(AO$38,$D$19),$P$20))-SUM($P93:AN93)</f>
        <v>#VALUE!</v>
      </c>
      <c r="AP93" s="446" t="e">
        <f>IF(OR($B93="",MIN(AP$38,$D$19)&lt;MAX($P$34*($B93+IF($R$17="Distrato",$I$38-1,0)),IF(AND($L$37=0,$P$34=0),"",$L$37-1),IF($R$17="Distrato",$E93,0))),0,YEARFRAC(MAX($P$34*($B93+IF($R$17="Distrato",$I$38-1,0)),IF(AND($L$37=0,$P$34=0),"",$L$37-1),IF($R$17="Distrato",$E93,0)),MIN(AP$38,$D$19),$P$20))-SUM($P93:AO93)</f>
        <v>#VALUE!</v>
      </c>
      <c r="AQ93" s="446" t="e">
        <f>IF(OR($B93="",MIN(AQ$38,$D$19)&lt;MAX($P$34*($B93+IF($R$17="Distrato",$I$38-1,0)),IF(AND($L$37=0,$P$34=0),"",$L$37-1),IF($R$17="Distrato",$E93,0))),0,YEARFRAC(MAX($P$34*($B93+IF($R$17="Distrato",$I$38-1,0)),IF(AND($L$37=0,$P$34=0),"",$L$37-1),IF($R$17="Distrato",$E93,0)),MIN(AQ$38,$D$19),$P$20))-SUM($P93:AP93)</f>
        <v>#VALUE!</v>
      </c>
      <c r="AR93" s="446" t="e">
        <f>IF(OR($B93="",MIN(AR$38,$D$19)&lt;MAX($P$34*($B93+IF($R$17="Distrato",$I$38-1,0)),IF(AND($L$37=0,$P$34=0),"",$L$37-1),IF($R$17="Distrato",$E93,0))),0,YEARFRAC(MAX($P$34*($B93+IF($R$17="Distrato",$I$38-1,0)),IF(AND($L$37=0,$P$34=0),"",$L$37-1),IF($R$17="Distrato",$E93,0)),MIN(AR$38,$D$19),$P$20))-SUM($P93:AQ93)</f>
        <v>#VALUE!</v>
      </c>
      <c r="AS93" s="446" t="e">
        <f>IF(OR($B93="",MIN(AS$38,$D$19)&lt;MAX($P$34*($B93+IF($R$17="Distrato",$I$38-1,0)),IF(AND($L$37=0,$P$34=0),"",$L$37-1),IF($R$17="Distrato",$E93,0))),0,YEARFRAC(MAX($P$34*($B93+IF($R$17="Distrato",$I$38-1,0)),IF(AND($L$37=0,$P$34=0),"",$L$37-1),IF($R$17="Distrato",$E93,0)),MIN(AS$38,$D$19),$P$20))-SUM($P93:AR93)</f>
        <v>#VALUE!</v>
      </c>
      <c r="AT93" s="446" t="e">
        <f>IF(OR($B93="",MIN(AT$38,$D$19)&lt;MAX($P$34*($B93+IF($R$17="Distrato",$I$38-1,0)),IF(AND($L$37=0,$P$34=0),"",$L$37-1),IF($R$17="Distrato",$E93,0))),0,YEARFRAC(MAX($P$34*($B93+IF($R$17="Distrato",$I$38-1,0)),IF(AND($L$37=0,$P$34=0),"",$L$37-1),IF($R$17="Distrato",$E93,0)),MIN(AT$38,$D$19),$P$20))-SUM($P93:AS93)</f>
        <v>#VALUE!</v>
      </c>
      <c r="AU93" s="446" t="e">
        <f>IF(OR($B93="",MIN(AU$38,$D$19)&lt;MAX($P$34*($B93+IF($R$17="Distrato",$I$38-1,0)),IF(AND($L$37=0,$P$34=0),"",$L$37-1),IF($R$17="Distrato",$E93,0))),0,YEARFRAC(MAX($P$34*($B93+IF($R$17="Distrato",$I$38-1,0)),IF(AND($L$37=0,$P$34=0),"",$L$37-1),IF($R$17="Distrato",$E93,0)),MIN(AU$38,$D$19),$P$20))-SUM($P93:AT93)</f>
        <v>#VALUE!</v>
      </c>
      <c r="AV93" s="446" t="e">
        <f>IF(OR($B93="",MIN(AV$38,$D$19)&lt;MAX($P$34*($B93+IF($R$17="Distrato",$I$38-1,0)),IF(AND($L$37=0,$P$34=0),"",$L$37-1),IF($R$17="Distrato",$E93,0))),0,YEARFRAC(MAX($P$34*($B93+IF($R$17="Distrato",$I$38-1,0)),IF(AND($L$37=0,$P$34=0),"",$L$37-1),IF($R$17="Distrato",$E93,0)),MIN(AV$38,$D$19),$P$20))-SUM($P93:AU93)</f>
        <v>#VALUE!</v>
      </c>
      <c r="AW93" s="446" t="e">
        <f>IF(OR($B93="",MIN(AW$38,$D$19)&lt;MAX($P$34*($B93+IF($R$17="Distrato",$I$38-1,0)),IF(AND($L$37=0,$P$34=0),"",$L$37-1),IF($R$17="Distrato",$E93,0))),0,YEARFRAC(MAX($P$34*($B93+IF($R$17="Distrato",$I$38-1,0)),IF(AND($L$37=0,$P$34=0),"",$L$37-1),IF($R$17="Distrato",$E93,0)),MIN(AW$38,$D$19),$P$20))-SUM($P93:AV93)</f>
        <v>#VALUE!</v>
      </c>
      <c r="AX93" s="446" t="e">
        <f>IF(OR($B93="",MIN(AX$38,$D$19)&lt;MAX($P$34*($B93+IF($R$17="Distrato",$I$38-1,0)),IF(AND($L$37=0,$P$34=0),"",$L$37-1),IF($R$17="Distrato",$E93,0))),0,YEARFRAC(MAX($P$34*($B93+IF($R$17="Distrato",$I$38-1,0)),IF(AND($L$37=0,$P$34=0),"",$L$37-1),IF($R$17="Distrato",$E93,0)),MIN(AX$38,$D$19),$P$20))-SUM($P93:AW93)</f>
        <v>#VALUE!</v>
      </c>
      <c r="AY93" s="446" t="e">
        <f>IF(OR($B93="",MIN(AY$38,$D$19)&lt;MAX($P$34*($B93+IF($R$17="Distrato",$I$38-1,0)),IF(AND($L$37=0,$P$34=0),"",$L$37-1),IF($R$17="Distrato",$E93,0))),0,YEARFRAC(MAX($P$34*($B93+IF($R$17="Distrato",$I$38-1,0)),IF(AND($L$37=0,$P$34=0),"",$L$37-1),IF($R$17="Distrato",$E93,0)),MIN(AY$38,$D$19),$P$20))-SUM($P93:AX93)</f>
        <v>#VALUE!</v>
      </c>
      <c r="AZ93" s="446" t="e">
        <f>IF(OR($B93="",MIN(AZ$38,$D$19)&lt;MAX($P$34*($B93+IF($R$17="Distrato",$I$38-1,0)),IF(AND($L$37=0,$P$34=0),"",$L$37-1),IF($R$17="Distrato",$E93,0))),0,YEARFRAC(MAX($P$34*($B93+IF($R$17="Distrato",$I$38-1,0)),IF(AND($L$37=0,$P$34=0),"",$L$37-1),IF($R$17="Distrato",$E93,0)),MIN(AZ$38,$D$19),$P$20))-SUM($P93:AY93)</f>
        <v>#VALUE!</v>
      </c>
      <c r="BA93" s="446" t="e">
        <f>IF(OR($B93="",MIN(BA$38,$D$19)&lt;MAX($P$34*($B93+IF($R$17="Distrato",$I$38-1,0)),IF(AND($L$37=0,$P$34=0),"",$L$37-1),IF($R$17="Distrato",$E93,0))),0,YEARFRAC(MAX($P$34*($B93+IF($R$17="Distrato",$I$38-1,0)),IF(AND($L$37=0,$P$34=0),"",$L$37-1),IF($R$17="Distrato",$E93,0)),MIN(BA$38,$D$19),$P$20))-SUM($P93:AZ93)</f>
        <v>#VALUE!</v>
      </c>
      <c r="BB93" s="447"/>
      <c r="BF93" s="446">
        <f t="shared" si="10"/>
        <v>0</v>
      </c>
      <c r="BG93" s="446">
        <f>IF($E93=0,0,IF(MIN(BG$38,$E93)&lt;MAX($P$34*($B93+$I$38-1),IF(AND($L$37=0,$P$34=0),"",$L$37-1)),0,YEARFRAC(MAX($P$34*($B93+$I$38-1),IF(AND($L$37=0,$P$34=0),"",$L$37-1)),MIN(BG$38,$E93),$P$20))-SUM($BF93:BF93))</f>
        <v>0</v>
      </c>
      <c r="BH93" s="446">
        <f>IF($E93=0,0,IF(MIN(BH$38,$E93)&lt;MAX($P$34*($B93+$I$38-1),IF(AND($L$37=0,$P$34=0),"",$L$37-1)),0,YEARFRAC(MAX($P$34*($B93+$I$38-1),IF(AND($L$37=0,$P$34=0),"",$L$37-1)),MIN(BH$38,$E93),$P$20))-SUM($BF93:BG93))</f>
        <v>0</v>
      </c>
      <c r="BI93" s="446">
        <f>IF($E93=0,0,IF(MIN(BI$38,$E93)&lt;MAX($P$34*($B93+$I$38-1),IF(AND($L$37=0,$P$34=0),"",$L$37-1)),0,YEARFRAC(MAX($P$34*($B93+$I$38-1),IF(AND($L$37=0,$P$34=0),"",$L$37-1)),MIN(BI$38,$E93),$P$20))-SUM($BF93:BH93))</f>
        <v>0</v>
      </c>
      <c r="BJ93" s="446">
        <f>IF($E93=0,0,IF(MIN(BJ$38,$E93)&lt;MAX($P$34*($B93+$I$38-1),IF(AND($L$37=0,$P$34=0),"",$L$37-1)),0,YEARFRAC(MAX($P$34*($B93+$I$38-1),IF(AND($L$37=0,$P$34=0),"",$L$37-1)),MIN(BJ$38,$E93),$P$20))-SUM($BF93:BI93))</f>
        <v>0</v>
      </c>
      <c r="BK93" s="446">
        <f>IF($E93=0,0,IF(MIN(BK$38,$E93)&lt;MAX($P$34*($B93+$I$38-1),IF(AND($L$37=0,$P$34=0),"",$L$37-1)),0,YEARFRAC(MAX($P$34*($B93+$I$38-1),IF(AND($L$37=0,$P$34=0),"",$L$37-1)),MIN(BK$38,$E93),$P$20))-SUM($BF93:BJ93))</f>
        <v>0</v>
      </c>
      <c r="BL93" s="446">
        <f>IF($E93=0,0,IF(MIN(BL$38,$E93)&lt;MAX($P$34*($B93+$I$38-1),IF(AND($L$37=0,$P$34=0),"",$L$37-1)),0,YEARFRAC(MAX($P$34*($B93+$I$38-1),IF(AND($L$37=0,$P$34=0),"",$L$37-1)),MIN(BL$38,$E93),$P$20))-SUM($BF93:BK93))</f>
        <v>0</v>
      </c>
      <c r="BM93" s="446">
        <f>IF($E93=0,0,IF(MIN(BM$38,$E93)&lt;MAX($P$34*($B93+$I$38-1),IF(AND($L$37=0,$P$34=0),"",$L$37-1)),0,YEARFRAC(MAX($P$34*($B93+$I$38-1),IF(AND($L$37=0,$P$34=0),"",$L$37-1)),MIN(BM$38,$E93),$P$20))-SUM($BF93:BL93))</f>
        <v>0</v>
      </c>
      <c r="BN93" s="446">
        <f>IF($E93=0,0,IF(MIN(BN$38,$E93)&lt;MAX($P$34*($B93+$I$38-1),IF(AND($L$37=0,$P$34=0),"",$L$37-1)),0,YEARFRAC(MAX($P$34*($B93+$I$38-1),IF(AND($L$37=0,$P$34=0),"",$L$37-1)),MIN(BN$38,$E93),$P$20))-SUM($BF93:BM93))</f>
        <v>0</v>
      </c>
      <c r="BO93" s="446">
        <f>IF($E93=0,0,IF(MIN(BO$38,$E93)&lt;MAX($P$34*($B93+$I$38-1),IF(AND($L$37=0,$P$34=0),"",$L$37-1)),0,YEARFRAC(MAX($P$34*($B93+$I$38-1),IF(AND($L$37=0,$P$34=0),"",$L$37-1)),MIN(BO$38,$E93),$P$20))-SUM($BF93:BN93))</f>
        <v>0</v>
      </c>
      <c r="BP93" s="446">
        <f>IF($E93=0,0,IF(MIN(BP$38,$E93)&lt;MAX($P$34*($B93+$I$38-1),IF(AND($L$37=0,$P$34=0),"",$L$37-1)),0,YEARFRAC(MAX($P$34*($B93+$I$38-1),IF(AND($L$37=0,$P$34=0),"",$L$37-1)),MIN(BP$38,$E93),$P$20))-SUM($BF93:BO93))</f>
        <v>0</v>
      </c>
      <c r="BQ93" s="446">
        <f>IF($E93=0,0,IF(MIN(BQ$38,$E93)&lt;MAX($P$34*($B93+$I$38-1),IF(AND($L$37=0,$P$34=0),"",$L$37-1)),0,YEARFRAC(MAX($P$34*($B93+$I$38-1),IF(AND($L$37=0,$P$34=0),"",$L$37-1)),MIN(BQ$38,$E93),$P$20))-SUM($BF93:BP93))</f>
        <v>0</v>
      </c>
      <c r="BR93" s="446">
        <f>IF($E93=0,0,IF(MIN(BR$38,$E93)&lt;MAX($P$34*($B93+$I$38-1),IF(AND($L$37=0,$P$34=0),"",$L$37-1)),0,YEARFRAC(MAX($P$34*($B93+$I$38-1),IF(AND($L$37=0,$P$34=0),"",$L$37-1)),MIN(BR$38,$E93),$P$20))-SUM($BF93:BQ93))</f>
        <v>0</v>
      </c>
      <c r="BS93" s="446">
        <f>IF($E93=0,0,IF(MIN(BS$38,$E93)&lt;MAX($P$34*($B93+$I$38-1),IF(AND($L$37=0,$P$34=0),"",$L$37-1)),0,YEARFRAC(MAX($P$34*($B93+$I$38-1),IF(AND($L$37=0,$P$34=0),"",$L$37-1)),MIN(BS$38,$E93),$P$20))-SUM($BF93:BR93))</f>
        <v>0</v>
      </c>
      <c r="BT93" s="446">
        <f>IF($E93=0,0,IF(MIN(BT$38,$E93)&lt;MAX($P$34*($B93+$I$38-1),IF(AND($L$37=0,$P$34=0),"",$L$37-1)),0,YEARFRAC(MAX($P$34*($B93+$I$38-1),IF(AND($L$37=0,$P$34=0),"",$L$37-1)),MIN(BT$38,$E93),$P$20))-SUM($BF93:BS93))</f>
        <v>0</v>
      </c>
      <c r="BU93" s="446">
        <f>IF($E93=0,0,IF(MIN(BU$38,$E93)&lt;MAX($P$34*($B93+$I$38-1),IF(AND($L$37=0,$P$34=0),"",$L$37-1)),0,YEARFRAC(MAX($P$34*($B93+$I$38-1),IF(AND($L$37=0,$P$34=0),"",$L$37-1)),MIN(BU$38,$E93),$P$20))-SUM($BF93:BT93))</f>
        <v>0</v>
      </c>
      <c r="BV93" s="446">
        <f>IF($E93=0,0,IF(MIN(BV$38,$E93)&lt;MAX($P$34*($B93+$I$38-1),IF(AND($L$37=0,$P$34=0),"",$L$37-1)),0,YEARFRAC(MAX($P$34*($B93+$I$38-1),IF(AND($L$37=0,$P$34=0),"",$L$37-1)),MIN(BV$38,$E93),$P$20))-SUM($BF93:BU93))</f>
        <v>0</v>
      </c>
      <c r="BW93" s="446">
        <f>IF($E93=0,0,IF(MIN(BW$38,$E93)&lt;MAX($P$34*($B93+$I$38-1),IF(AND($L$37=0,$P$34=0),"",$L$37-1)),0,YEARFRAC(MAX($P$34*($B93+$I$38-1),IF(AND($L$37=0,$P$34=0),"",$L$37-1)),MIN(BW$38,$E93),$P$20))-SUM($BF93:BV93))</f>
        <v>0</v>
      </c>
      <c r="BX93" s="446">
        <f>IF($E93=0,0,IF(MIN(BX$38,$E93)&lt;MAX($P$34*($B93+$I$38-1),IF(AND($L$37=0,$P$34=0),"",$L$37-1)),0,YEARFRAC(MAX($P$34*($B93+$I$38-1),IF(AND($L$37=0,$P$34=0),"",$L$37-1)),MIN(BX$38,$E93),$P$20))-SUM($BF93:BW93))</f>
        <v>0</v>
      </c>
      <c r="BY93" s="446">
        <f>IF($E93=0,0,IF(MIN(BY$38,$E93)&lt;MAX($P$34*($B93+$I$38-1),IF(AND($L$37=0,$P$34=0),"",$L$37-1)),0,YEARFRAC(MAX($P$34*($B93+$I$38-1),IF(AND($L$37=0,$P$34=0),"",$L$37-1)),MIN(BY$38,$E93),$P$20))-SUM($BF93:BX93))</f>
        <v>0</v>
      </c>
      <c r="BZ93" s="446">
        <f>IF($E93=0,0,IF(MIN(BZ$38,$E93)&lt;MAX($P$34*($B93+$I$38-1),IF(AND($L$37=0,$P$34=0),"",$L$37-1)),0,YEARFRAC(MAX($P$34*($B93+$I$38-1),IF(AND($L$37=0,$P$34=0),"",$L$37-1)),MIN(BZ$38,$E93),$P$20))-SUM($BF93:BY93))</f>
        <v>0</v>
      </c>
      <c r="CA93" s="446">
        <f>IF($E93=0,0,IF(MIN(CA$38,$E93)&lt;MAX($P$34*($B93+$I$38-1),IF(AND($L$37=0,$P$34=0),"",$L$37-1)),0,YEARFRAC(MAX($P$34*($B93+$I$38-1),IF(AND($L$37=0,$P$34=0),"",$L$37-1)),MIN(CA$38,$E93),$P$20))-SUM($BF93:BZ93))</f>
        <v>0</v>
      </c>
      <c r="CB93" s="446">
        <f>IF($E93=0,0,IF(MIN(CB$38,$E93)&lt;MAX($P$34*($B93+$I$38-1),IF(AND($L$37=0,$P$34=0),"",$L$37-1)),0,YEARFRAC(MAX($P$34*($B93+$I$38-1),IF(AND($L$37=0,$P$34=0),"",$L$37-1)),MIN(CB$38,$E93),$P$20))-SUM($BF93:CA93))</f>
        <v>0</v>
      </c>
      <c r="CC93" s="446">
        <f>IF($E93=0,0,IF(MIN(CC$38,$E93)&lt;MAX($P$34*($B93+$I$38-1),IF(AND($L$37=0,$P$34=0),"",$L$37-1)),0,YEARFRAC(MAX($P$34*($B93+$I$38-1),IF(AND($L$37=0,$P$34=0),"",$L$37-1)),MIN(CC$38,$E93),$P$20))-SUM($BF93:CB93))</f>
        <v>0</v>
      </c>
      <c r="CD93" s="446">
        <f>IF($E93=0,0,IF(MIN(CD$38,$E93)&lt;MAX($P$34*($B93+$I$38-1),IF(AND($L$37=0,$P$34=0),"",$L$37-1)),0,YEARFRAC(MAX($P$34*($B93+$I$38-1),IF(AND($L$37=0,$P$34=0),"",$L$37-1)),MIN(CD$38,$E93),$P$20))-SUM($BF93:CC93))</f>
        <v>0</v>
      </c>
      <c r="CE93" s="446">
        <f>IF($E93=0,0,IF(MIN(CE$38,$E93)&lt;MAX($P$34*($B93+$I$38-1),IF(AND($L$37=0,$P$34=0),"",$L$37-1)),0,YEARFRAC(MAX($P$34*($B93+$I$38-1),IF(AND($L$37=0,$P$34=0),"",$L$37-1)),MIN(CE$38,$E93),$P$20))-SUM($BF93:CD93))</f>
        <v>0</v>
      </c>
      <c r="CF93" s="446">
        <f>IF($E93=0,0,IF(MIN(CF$38,$E93)&lt;MAX($P$34*($B93+$I$38-1),IF(AND($L$37=0,$P$34=0),"",$L$37-1)),0,YEARFRAC(MAX($P$34*($B93+$I$38-1),IF(AND($L$37=0,$P$34=0),"",$L$37-1)),MIN(CF$38,$E93),$P$20))-SUM($BF93:CE93))</f>
        <v>0</v>
      </c>
      <c r="CG93" s="446">
        <f>IF($E93=0,0,IF(MIN(CG$38,$E93)&lt;MAX($P$34*($B93+$I$38-1),IF(AND($L$37=0,$P$34=0),"",$L$37-1)),0,YEARFRAC(MAX($P$34*($B93+$I$38-1),IF(AND($L$37=0,$P$34=0),"",$L$37-1)),MIN(CG$38,$E93),$P$20))-SUM($BF93:CF93))</f>
        <v>0</v>
      </c>
      <c r="CH93" s="446">
        <f>IF($E93=0,0,IF(MIN(CH$38,$E93)&lt;MAX($P$34*($B93+$I$38-1),IF(AND($L$37=0,$P$34=0),"",$L$37-1)),0,YEARFRAC(MAX($P$34*($B93+$I$38-1),IF(AND($L$37=0,$P$34=0),"",$L$37-1)),MIN(CH$38,$E93),$P$20))-SUM($BF93:CG93))</f>
        <v>0</v>
      </c>
      <c r="CI93" s="446">
        <f>IF($E93=0,0,IF(MIN(CI$38,$E93)&lt;MAX($P$34*($B93+$I$38-1),IF(AND($L$37=0,$P$34=0),"",$L$37-1)),0,YEARFRAC(MAX($P$34*($B93+$I$38-1),IF(AND($L$37=0,$P$34=0),"",$L$37-1)),MIN(CI$38,$E93),$P$20))-SUM($BF93:CH93))</f>
        <v>0</v>
      </c>
      <c r="CJ93" s="446">
        <f>IF($E93=0,0,IF(MIN(CJ$38,$E93)&lt;MAX($P$34*($B93+$I$38-1),IF(AND($L$37=0,$P$34=0),"",$L$37-1)),0,YEARFRAC(MAX($P$34*($B93+$I$38-1),IF(AND($L$37=0,$P$34=0),"",$L$37-1)),MIN(CJ$38,$E93),$P$20))-SUM($BF93:CI93))</f>
        <v>0</v>
      </c>
      <c r="CK93" s="446">
        <f>IF($E93=0,0,IF(MIN(CK$38,$E93)&lt;MAX($P$34*($B93+$I$38-1),IF(AND($L$37=0,$P$34=0),"",$L$37-1)),0,YEARFRAC(MAX($P$34*($B93+$I$38-1),IF(AND($L$37=0,$P$34=0),"",$L$37-1)),MIN(CK$38,$E93),$P$20))-SUM($BF93:CJ93))</f>
        <v>0</v>
      </c>
      <c r="CL93" s="446">
        <f>IF($E93=0,0,IF(MIN(CL$38,$E93)&lt;MAX($P$34*($B93+$I$38-1),IF(AND($L$37=0,$P$34=0),"",$L$37-1)),0,YEARFRAC(MAX($P$34*($B93+$I$38-1),IF(AND($L$37=0,$P$34=0),"",$L$37-1)),MIN(CL$38,$E93),$P$20))-SUM($BF93:CK93))</f>
        <v>0</v>
      </c>
      <c r="CM93" s="446">
        <f>IF($E93=0,0,IF(MIN(CM$38,$E93)&lt;MAX($P$34*($B93+$I$38-1),IF(AND($L$37=0,$P$34=0),"",$L$37-1)),0,YEARFRAC(MAX($P$34*($B93+$I$38-1),IF(AND($L$37=0,$P$34=0),"",$L$37-1)),MIN(CM$38,$E93),$P$20))-SUM($BF93:CL93))</f>
        <v>0</v>
      </c>
      <c r="CN93" s="446">
        <f>IF($E93=0,0,IF(MIN(CN$38,$E93)&lt;MAX($P$34*($B93+$I$38-1),IF(AND($L$37=0,$P$34=0),"",$L$37-1)),0,YEARFRAC(MAX($P$34*($B93+$I$38-1),IF(AND($L$37=0,$P$34=0),"",$L$37-1)),MIN(CN$38,$E93),$P$20))-SUM($BF93:CM93))</f>
        <v>0</v>
      </c>
      <c r="CO93" s="446">
        <f>IF($E93=0,0,IF(MIN(CO$38,$E93)&lt;MAX($P$34*($B93+$I$38-1),IF(AND($L$37=0,$P$34=0),"",$L$37-1)),0,YEARFRAC(MAX($P$34*($B93+$I$38-1),IF(AND($L$37=0,$P$34=0),"",$L$37-1)),MIN(CO$38,$E93),$P$20))-SUM($BF93:CN93))</f>
        <v>0</v>
      </c>
      <c r="CP93" s="446">
        <f>IF($E93=0,0,IF(MIN(CP$38,$E93)&lt;MAX($P$34*($B93+$I$38-1),IF(AND($L$37=0,$P$34=0),"",$L$37-1)),0,YEARFRAC(MAX($P$34*($B93+$I$38-1),IF(AND($L$37=0,$P$34=0),"",$L$37-1)),MIN(CP$38,$E93),$P$20))-SUM($BF93:CO93))</f>
        <v>0</v>
      </c>
      <c r="CQ93" s="446">
        <f>IF($E93=0,0,IF(MIN(CQ$38,$E93)&lt;MAX($P$34*($B93+$I$38-1),IF(AND($L$37=0,$P$34=0),"",$L$37-1)),0,YEARFRAC(MAX($P$34*($B93+$I$38-1),IF(AND($L$37=0,$P$34=0),"",$L$37-1)),MIN(CQ$38,$E93),$P$20))-SUM($BF93:CP93))</f>
        <v>0</v>
      </c>
    </row>
    <row r="94" spans="1:95" s="446" customFormat="1" ht="11.25" hidden="1" customHeight="1" x14ac:dyDescent="0.2">
      <c r="A94" s="152"/>
      <c r="B94" s="153" t="str">
        <f t="shared" si="15"/>
        <v/>
      </c>
      <c r="C94" s="29" t="str">
        <f>IF(B94="","",IF($L$35="SELIC - TRIBUTOS",VLOOKUP(DATE(YEAR($D$19),MONTH($D$19)-1,1),ÍNDICES!$A:$DE,HLOOKUP($BL$25,ÍNDICES!$B$3:$T$4,2)+11)-VLOOKUP(B94,ÍNDICES!$A:$DE,HLOOKUP($BL$25,ÍNDICES!$B$3:$T$4,2)+11)+1%,IF(C$38=$W$26,$J$35,IF(ISERROR(IF(B94&gt;$D$19,1,VLOOKUP(DATE(YEAR(B94),MONTH(B94)+IF($C$35=$S$23,1,0),1),ÍNDICES!$A:$DE,$Z$35+1))),"",IF(B94&gt;$D$19,1,VLOOKUP(DATE(YEAR(B94),MONTH(B94)+IF($C$35=$S$23,1,0),1),ÍNDICES!$A:$DE,$Z$35+1))))))</f>
        <v/>
      </c>
      <c r="D94" s="154" t="str">
        <f>IF(ISERROR(IF(OR($D$38=$Y$27,$B94=""),"",VLOOKUP(B94,ÍNDICES!A:DE,AF$35+1))),"",IF(OR($D$38=$Y$27,$B94=""),"",VLOOKUP(B94,ÍNDICES!A:DE,AF$35+1)))</f>
        <v/>
      </c>
      <c r="E94" s="153"/>
      <c r="F94" s="29" t="str">
        <f>IF(E94="","",IF($L$35="SELIC - TRIBUTOS",VLOOKUP(DATE(YEAR($D$19),MONTH($D$19)-1,1),ÍNDICES!$A:$DE,HLOOKUP($BL$25,ÍNDICES!$B$3:$T$4,2)+11)-VLOOKUP(E94,ÍNDICES!$A:$DE,HLOOKUP($BL$25,ÍNDICES!$B$3:$T$4,2)+11)+1%,IF(F$38=$W$26,$J$35,IF(ISERROR(IF(E94&gt;$D$19,1,VLOOKUP(DATE(YEAR(E94),MONTH(E94)+IF($C$35=$S$23,1,0),1),ÍNDICES!$A:$DE,$Z$35+1))),"",IF(E94&gt;$D$19,1,VLOOKUP(DATE(YEAR(E94),MONTH(E94)+IF($C$35=$S$23,1,0),1),ÍNDICES!$A:$DE,$Z$35+1))))))</f>
        <v/>
      </c>
      <c r="G94" s="155"/>
      <c r="H94" s="156" t="str">
        <f t="shared" si="11"/>
        <v/>
      </c>
      <c r="I94" s="29" t="str">
        <f t="shared" si="5"/>
        <v/>
      </c>
      <c r="J94" s="5">
        <f t="shared" si="6"/>
        <v>0</v>
      </c>
      <c r="K94" s="20">
        <f t="shared" ca="1" si="7"/>
        <v>0</v>
      </c>
      <c r="L94" s="5">
        <f t="shared" ca="1" si="8"/>
        <v>0</v>
      </c>
      <c r="M94" s="64">
        <f t="shared" si="12"/>
        <v>0</v>
      </c>
      <c r="N94" s="61">
        <f t="shared" ca="1" si="13"/>
        <v>0</v>
      </c>
      <c r="O94" s="5">
        <f t="shared" ca="1" si="14"/>
        <v>0</v>
      </c>
      <c r="P94" s="446" t="e">
        <f t="shared" si="9"/>
        <v>#VALUE!</v>
      </c>
      <c r="Q94" s="446" t="e">
        <f>IF(OR($B94="",MIN(Q$38,$D$19)&lt;MAX($P$34*($B94+IF($R$17="Distrato",$I$38-1,0)),IF(AND($L$37=0,$P$34=0),"",$L$37-1),IF($R$17="Distrato",$E94,0))),0,YEARFRAC(MAX($P$34*($B94+IF($R$17="Distrato",$I$38-1,0)),IF(AND($L$37=0,$P$34=0),"",$L$37-1),IF($R$17="Distrato",$E94,0)),MIN(Q$38,$D$19),$P$20))-SUM($P94:P94)</f>
        <v>#VALUE!</v>
      </c>
      <c r="R94" s="446" t="e">
        <f>IF(OR($B94="",MIN(R$38,$D$19)&lt;MAX($P$34*($B94+IF($R$17="Distrato",$I$38-1,0)),IF(AND($L$37=0,$P$34=0),"",$L$37-1),IF($R$17="Distrato",$E94,0))),0,YEARFRAC(MAX($P$34*($B94+IF($R$17="Distrato",$I$38-1,0)),IF(AND($L$37=0,$P$34=0),"",$L$37-1),IF($R$17="Distrato",$E94,0)),MIN(R$38,$D$19),$P$20))-SUM($P94:Q94)</f>
        <v>#VALUE!</v>
      </c>
      <c r="S94" s="446" t="e">
        <f>IF(OR($B94="",MIN(S$38,$D$19)&lt;MAX($P$34*($B94+IF($R$17="Distrato",$I$38-1,0)),IF(AND($L$37=0,$P$34=0),"",$L$37-1),IF($R$17="Distrato",$E94,0))),0,YEARFRAC(MAX($P$34*($B94+IF($R$17="Distrato",$I$38-1,0)),IF(AND($L$37=0,$P$34=0),"",$L$37-1),IF($R$17="Distrato",$E94,0)),MIN(S$38,$D$19),$P$20))-SUM($P94:R94)</f>
        <v>#VALUE!</v>
      </c>
      <c r="T94" s="446" t="e">
        <f>IF(OR($B94="",MIN(T$38,$D$19)&lt;MAX($P$34*($B94+IF($R$17="Distrato",$I$38-1,0)),IF(AND($L$37=0,$P$34=0),"",$L$37-1),IF($R$17="Distrato",$E94,0))),0,YEARFRAC(MAX($P$34*($B94+IF($R$17="Distrato",$I$38-1,0)),IF(AND($L$37=0,$P$34=0),"",$L$37-1),IF($R$17="Distrato",$E94,0)),MIN(T$38,$D$19),$P$20))-SUM($P94:S94)</f>
        <v>#VALUE!</v>
      </c>
      <c r="U94" s="446" t="e">
        <f>IF(OR($B94="",MIN(U$38,$D$19)&lt;MAX($P$34*($B94+IF($R$17="Distrato",$I$38-1,0)),IF(AND($L$37=0,$P$34=0),"",$L$37-1),IF($R$17="Distrato",$E94,0))),0,YEARFRAC(MAX($P$34*($B94+IF($R$17="Distrato",$I$38-1,0)),IF(AND($L$37=0,$P$34=0),"",$L$37-1),IF($R$17="Distrato",$E94,0)),MIN(U$38,$D$19),$P$20))-SUM($P94:T94)</f>
        <v>#VALUE!</v>
      </c>
      <c r="V94" s="446" t="e">
        <f>IF(OR($B94="",MIN(V$38,$D$19)&lt;MAX($P$34*($B94+IF($R$17="Distrato",$I$38-1,0)),IF(AND($L$37=0,$P$34=0),"",$L$37-1),IF($R$17="Distrato",$E94,0))),0,YEARFRAC(MAX($P$34*($B94+IF($R$17="Distrato",$I$38-1,0)),IF(AND($L$37=0,$P$34=0),"",$L$37-1),IF($R$17="Distrato",$E94,0)),MIN(V$38,$D$19),$P$20))-SUM($P94:U94)</f>
        <v>#VALUE!</v>
      </c>
      <c r="W94" s="446" t="e">
        <f>IF(OR($B94="",MIN(W$38,$D$19)&lt;MAX($P$34*($B94+IF($R$17="Distrato",$I$38-1,0)),IF(AND($L$37=0,$P$34=0),"",$L$37-1),IF($R$17="Distrato",$E94,0))),0,YEARFRAC(MAX($P$34*($B94+IF($R$17="Distrato",$I$38-1,0)),IF(AND($L$37=0,$P$34=0),"",$L$37-1),IF($R$17="Distrato",$E94,0)),MIN(W$38,$D$19),$P$20))-SUM($P94:V94)</f>
        <v>#VALUE!</v>
      </c>
      <c r="X94" s="446" t="e">
        <f>IF(OR($B94="",MIN(X$38,$D$19)&lt;MAX($P$34*($B94+IF($R$17="Distrato",$I$38-1,0)),IF(AND($L$37=0,$P$34=0),"",$L$37-1),IF($R$17="Distrato",$E94,0))),0,YEARFRAC(MAX($P$34*($B94+IF($R$17="Distrato",$I$38-1,0)),IF(AND($L$37=0,$P$34=0),"",$L$37-1),IF($R$17="Distrato",$E94,0)),MIN(X$38,$D$19),$P$20))-SUM($P94:W94)</f>
        <v>#VALUE!</v>
      </c>
      <c r="Y94" s="446" t="e">
        <f>IF(OR($B94="",MIN(Y$38,$D$19)&lt;MAX($P$34*($B94+IF($R$17="Distrato",$I$38-1,0)),IF(AND($L$37=0,$P$34=0),"",$L$37-1),IF($R$17="Distrato",$E94,0))),0,YEARFRAC(MAX($P$34*($B94+IF($R$17="Distrato",$I$38-1,0)),IF(AND($L$37=0,$P$34=0),"",$L$37-1),IF($R$17="Distrato",$E94,0)),MIN(Y$38,$D$19),$P$20))-SUM($P94:X94)</f>
        <v>#VALUE!</v>
      </c>
      <c r="Z94" s="446" t="e">
        <f>IF(OR($B94="",MIN(Z$38,$D$19)&lt;MAX($P$34*($B94+IF($R$17="Distrato",$I$38-1,0)),IF(AND($L$37=0,$P$34=0),"",$L$37-1),IF($R$17="Distrato",$E94,0))),0,YEARFRAC(MAX($P$34*($B94+IF($R$17="Distrato",$I$38-1,0)),IF(AND($L$37=0,$P$34=0),"",$L$37-1),IF($R$17="Distrato",$E94,0)),MIN(Z$38,$D$19),$P$20))-SUM($P94:Y94)</f>
        <v>#VALUE!</v>
      </c>
      <c r="AA94" s="446" t="e">
        <f>IF(OR($B94="",MIN(AA$38,$D$19)&lt;MAX($P$34*($B94+IF($R$17="Distrato",$I$38-1,0)),IF(AND($L$37=0,$P$34=0),"",$L$37-1),IF($R$17="Distrato",$E94,0))),0,YEARFRAC(MAX($P$34*($B94+IF($R$17="Distrato",$I$38-1,0)),IF(AND($L$37=0,$P$34=0),"",$L$37-1),IF($R$17="Distrato",$E94,0)),MIN(AA$38,$D$19),$P$20))-SUM($P94:Z94)</f>
        <v>#VALUE!</v>
      </c>
      <c r="AB94" s="446" t="e">
        <f>IF(OR($B94="",MIN(AB$38,$D$19)&lt;MAX($P$34*($B94+IF($R$17="Distrato",$I$38-1,0)),IF(AND($L$37=0,$P$34=0),"",$L$37-1),IF($R$17="Distrato",$E94,0))),0,YEARFRAC(MAX($P$34*($B94+IF($R$17="Distrato",$I$38-1,0)),IF(AND($L$37=0,$P$34=0),"",$L$37-1),IF($R$17="Distrato",$E94,0)),MIN(AB$38,$D$19),$P$20))-SUM($P94:AA94)</f>
        <v>#VALUE!</v>
      </c>
      <c r="AC94" s="446" t="e">
        <f>IF(OR($B94="",MIN(AC$38,$D$19)&lt;MAX($P$34*($B94+IF($R$17="Distrato",$I$38-1,0)),IF(AND($L$37=0,$P$34=0),"",$L$37-1),IF($R$17="Distrato",$E94,0))),0,YEARFRAC(MAX($P$34*($B94+IF($R$17="Distrato",$I$38-1,0)),IF(AND($L$37=0,$P$34=0),"",$L$37-1),IF($R$17="Distrato",$E94,0)),MIN(AC$38,$D$19),$P$20))-SUM($P94:AB94)</f>
        <v>#VALUE!</v>
      </c>
      <c r="AD94" s="446" t="e">
        <f>IF(OR($B94="",MIN(AD$38,$D$19)&lt;MAX($P$34*($B94+IF($R$17="Distrato",$I$38-1,0)),IF(AND($L$37=0,$P$34=0),"",$L$37-1),IF($R$17="Distrato",$E94,0))),0,YEARFRAC(MAX($P$34*($B94+IF($R$17="Distrato",$I$38-1,0)),IF(AND($L$37=0,$P$34=0),"",$L$37-1),IF($R$17="Distrato",$E94,0)),MIN(AD$38,$D$19),$P$20))-SUM($P94:AC94)</f>
        <v>#VALUE!</v>
      </c>
      <c r="AE94" s="446" t="e">
        <f>IF(OR($B94="",MIN(AE$38,$D$19)&lt;MAX($P$34*($B94+IF($R$17="Distrato",$I$38-1,0)),IF(AND($L$37=0,$P$34=0),"",$L$37-1),IF($R$17="Distrato",$E94,0))),0,YEARFRAC(MAX($P$34*($B94+IF($R$17="Distrato",$I$38-1,0)),IF(AND($L$37=0,$P$34=0),"",$L$37-1),IF($R$17="Distrato",$E94,0)),MIN(AE$38,$D$19),$P$20))-SUM($P94:AD94)</f>
        <v>#VALUE!</v>
      </c>
      <c r="AF94" s="446" t="e">
        <f>IF(OR($B94="",MIN(AF$38,$D$19)&lt;MAX($P$34*($B94+IF($R$17="Distrato",$I$38-1,0)),IF(AND($L$37=0,$P$34=0),"",$L$37-1),IF($R$17="Distrato",$E94,0))),0,YEARFRAC(MAX($P$34*($B94+IF($R$17="Distrato",$I$38-1,0)),IF(AND($L$37=0,$P$34=0),"",$L$37-1),IF($R$17="Distrato",$E94,0)),MIN(AF$38,$D$19),$P$20))-SUM($P94:AE94)</f>
        <v>#VALUE!</v>
      </c>
      <c r="AG94" s="446" t="e">
        <f>IF(OR($B94="",MIN(AG$38,$D$19)&lt;MAX($P$34*($B94+IF($R$17="Distrato",$I$38-1,0)),IF(AND($L$37=0,$P$34=0),"",$L$37-1),IF($R$17="Distrato",$E94,0))),0,YEARFRAC(MAX($P$34*($B94+IF($R$17="Distrato",$I$38-1,0)),IF(AND($L$37=0,$P$34=0),"",$L$37-1),IF($R$17="Distrato",$E94,0)),MIN(AG$38,$D$19),$P$20))-SUM($P94:AF94)</f>
        <v>#VALUE!</v>
      </c>
      <c r="AH94" s="446" t="e">
        <f>IF(OR($B94="",MIN(AH$38,$D$19)&lt;MAX($P$34*($B94+IF($R$17="Distrato",$I$38-1,0)),IF(AND($L$37=0,$P$34=0),"",$L$37-1),IF($R$17="Distrato",$E94,0))),0,YEARFRAC(MAX($P$34*($B94+IF($R$17="Distrato",$I$38-1,0)),IF(AND($L$37=0,$P$34=0),"",$L$37-1),IF($R$17="Distrato",$E94,0)),MIN(AH$38,$D$19),$P$20))-SUM($P94:AG94)</f>
        <v>#VALUE!</v>
      </c>
      <c r="AI94" s="446" t="e">
        <f>IF(OR($B94="",MIN(AI$38,$D$19)&lt;MAX($P$34*($B94+IF($R$17="Distrato",$I$38-1,0)),IF(AND($L$37=0,$P$34=0),"",$L$37-1),IF($R$17="Distrato",$E94,0))),0,YEARFRAC(MAX($P$34*($B94+IF($R$17="Distrato",$I$38-1,0)),IF(AND($L$37=0,$P$34=0),"",$L$37-1),IF($R$17="Distrato",$E94,0)),MIN(AI$38,$D$19),$P$20))-SUM($P94:AH94)</f>
        <v>#VALUE!</v>
      </c>
      <c r="AJ94" s="446" t="e">
        <f>IF(OR($B94="",MIN(AJ$38,$D$19)&lt;MAX($P$34*($B94+IF($R$17="Distrato",$I$38-1,0)),IF(AND($L$37=0,$P$34=0),"",$L$37-1),IF($R$17="Distrato",$E94,0))),0,YEARFRAC(MAX($P$34*($B94+IF($R$17="Distrato",$I$38-1,0)),IF(AND($L$37=0,$P$34=0),"",$L$37-1),IF($R$17="Distrato",$E94,0)),MIN(AJ$38,$D$19),$P$20))-SUM($P94:AI94)</f>
        <v>#VALUE!</v>
      </c>
      <c r="AK94" s="446" t="e">
        <f>IF(OR($B94="",MIN(AK$38,$D$19)&lt;MAX($P$34*($B94+IF($R$17="Distrato",$I$38-1,0)),IF(AND($L$37=0,$P$34=0),"",$L$37-1),IF($R$17="Distrato",$E94,0))),0,YEARFRAC(MAX($P$34*($B94+IF($R$17="Distrato",$I$38-1,0)),IF(AND($L$37=0,$P$34=0),"",$L$37-1),IF($R$17="Distrato",$E94,0)),MIN(AK$38,$D$19),$P$20))-SUM($P94:AJ94)</f>
        <v>#VALUE!</v>
      </c>
      <c r="AL94" s="446" t="e">
        <f>IF(OR($B94="",MIN(AL$38,$D$19)&lt;MAX($P$34*($B94+IF($R$17="Distrato",$I$38-1,0)),IF(AND($L$37=0,$P$34=0),"",$L$37-1),IF($R$17="Distrato",$E94,0))),0,YEARFRAC(MAX($P$34*($B94+IF($R$17="Distrato",$I$38-1,0)),IF(AND($L$37=0,$P$34=0),"",$L$37-1),IF($R$17="Distrato",$E94,0)),MIN(AL$38,$D$19),$P$20))-SUM($P94:AK94)</f>
        <v>#VALUE!</v>
      </c>
      <c r="AM94" s="446" t="e">
        <f>IF(OR($B94="",MIN(AM$38,$D$19)&lt;MAX($P$34*($B94+IF($R$17="Distrato",$I$38-1,0)),IF(AND($L$37=0,$P$34=0),"",$L$37-1),IF($R$17="Distrato",$E94,0))),0,YEARFRAC(MAX($P$34*($B94+IF($R$17="Distrato",$I$38-1,0)),IF(AND($L$37=0,$P$34=0),"",$L$37-1),IF($R$17="Distrato",$E94,0)),MIN(AM$38,$D$19),$P$20))-SUM($P94:AL94)</f>
        <v>#VALUE!</v>
      </c>
      <c r="AN94" s="446" t="e">
        <f>IF(OR($B94="",MIN(AN$38,$D$19)&lt;MAX($P$34*($B94+IF($R$17="Distrato",$I$38-1,0)),IF(AND($L$37=0,$P$34=0),"",$L$37-1),IF($R$17="Distrato",$E94,0))),0,YEARFRAC(MAX($P$34*($B94+IF($R$17="Distrato",$I$38-1,0)),IF(AND($L$37=0,$P$34=0),"",$L$37-1),IF($R$17="Distrato",$E94,0)),MIN(AN$38,$D$19),$P$20))-SUM($P94:AM94)</f>
        <v>#VALUE!</v>
      </c>
      <c r="AO94" s="446" t="e">
        <f>IF(OR($B94="",MIN(AO$38,$D$19)&lt;MAX($P$34*($B94+IF($R$17="Distrato",$I$38-1,0)),IF(AND($L$37=0,$P$34=0),"",$L$37-1),IF($R$17="Distrato",$E94,0))),0,YEARFRAC(MAX($P$34*($B94+IF($R$17="Distrato",$I$38-1,0)),IF(AND($L$37=0,$P$34=0),"",$L$37-1),IF($R$17="Distrato",$E94,0)),MIN(AO$38,$D$19),$P$20))-SUM($P94:AN94)</f>
        <v>#VALUE!</v>
      </c>
      <c r="AP94" s="446" t="e">
        <f>IF(OR($B94="",MIN(AP$38,$D$19)&lt;MAX($P$34*($B94+IF($R$17="Distrato",$I$38-1,0)),IF(AND($L$37=0,$P$34=0),"",$L$37-1),IF($R$17="Distrato",$E94,0))),0,YEARFRAC(MAX($P$34*($B94+IF($R$17="Distrato",$I$38-1,0)),IF(AND($L$37=0,$P$34=0),"",$L$37-1),IF($R$17="Distrato",$E94,0)),MIN(AP$38,$D$19),$P$20))-SUM($P94:AO94)</f>
        <v>#VALUE!</v>
      </c>
      <c r="AQ94" s="446" t="e">
        <f>IF(OR($B94="",MIN(AQ$38,$D$19)&lt;MAX($P$34*($B94+IF($R$17="Distrato",$I$38-1,0)),IF(AND($L$37=0,$P$34=0),"",$L$37-1),IF($R$17="Distrato",$E94,0))),0,YEARFRAC(MAX($P$34*($B94+IF($R$17="Distrato",$I$38-1,0)),IF(AND($L$37=0,$P$34=0),"",$L$37-1),IF($R$17="Distrato",$E94,0)),MIN(AQ$38,$D$19),$P$20))-SUM($P94:AP94)</f>
        <v>#VALUE!</v>
      </c>
      <c r="AR94" s="446" t="e">
        <f>IF(OR($B94="",MIN(AR$38,$D$19)&lt;MAX($P$34*($B94+IF($R$17="Distrato",$I$38-1,0)),IF(AND($L$37=0,$P$34=0),"",$L$37-1),IF($R$17="Distrato",$E94,0))),0,YEARFRAC(MAX($P$34*($B94+IF($R$17="Distrato",$I$38-1,0)),IF(AND($L$37=0,$P$34=0),"",$L$37-1),IF($R$17="Distrato",$E94,0)),MIN(AR$38,$D$19),$P$20))-SUM($P94:AQ94)</f>
        <v>#VALUE!</v>
      </c>
      <c r="AS94" s="446" t="e">
        <f>IF(OR($B94="",MIN(AS$38,$D$19)&lt;MAX($P$34*($B94+IF($R$17="Distrato",$I$38-1,0)),IF(AND($L$37=0,$P$34=0),"",$L$37-1),IF($R$17="Distrato",$E94,0))),0,YEARFRAC(MAX($P$34*($B94+IF($R$17="Distrato",$I$38-1,0)),IF(AND($L$37=0,$P$34=0),"",$L$37-1),IF($R$17="Distrato",$E94,0)),MIN(AS$38,$D$19),$P$20))-SUM($P94:AR94)</f>
        <v>#VALUE!</v>
      </c>
      <c r="AT94" s="446" t="e">
        <f>IF(OR($B94="",MIN(AT$38,$D$19)&lt;MAX($P$34*($B94+IF($R$17="Distrato",$I$38-1,0)),IF(AND($L$37=0,$P$34=0),"",$L$37-1),IF($R$17="Distrato",$E94,0))),0,YEARFRAC(MAX($P$34*($B94+IF($R$17="Distrato",$I$38-1,0)),IF(AND($L$37=0,$P$34=0),"",$L$37-1),IF($R$17="Distrato",$E94,0)),MIN(AT$38,$D$19),$P$20))-SUM($P94:AS94)</f>
        <v>#VALUE!</v>
      </c>
      <c r="AU94" s="446" t="e">
        <f>IF(OR($B94="",MIN(AU$38,$D$19)&lt;MAX($P$34*($B94+IF($R$17="Distrato",$I$38-1,0)),IF(AND($L$37=0,$P$34=0),"",$L$37-1),IF($R$17="Distrato",$E94,0))),0,YEARFRAC(MAX($P$34*($B94+IF($R$17="Distrato",$I$38-1,0)),IF(AND($L$37=0,$P$34=0),"",$L$37-1),IF($R$17="Distrato",$E94,0)),MIN(AU$38,$D$19),$P$20))-SUM($P94:AT94)</f>
        <v>#VALUE!</v>
      </c>
      <c r="AV94" s="446" t="e">
        <f>IF(OR($B94="",MIN(AV$38,$D$19)&lt;MAX($P$34*($B94+IF($R$17="Distrato",$I$38-1,0)),IF(AND($L$37=0,$P$34=0),"",$L$37-1),IF($R$17="Distrato",$E94,0))),0,YEARFRAC(MAX($P$34*($B94+IF($R$17="Distrato",$I$38-1,0)),IF(AND($L$37=0,$P$34=0),"",$L$37-1),IF($R$17="Distrato",$E94,0)),MIN(AV$38,$D$19),$P$20))-SUM($P94:AU94)</f>
        <v>#VALUE!</v>
      </c>
      <c r="AW94" s="446" t="e">
        <f>IF(OR($B94="",MIN(AW$38,$D$19)&lt;MAX($P$34*($B94+IF($R$17="Distrato",$I$38-1,0)),IF(AND($L$37=0,$P$34=0),"",$L$37-1),IF($R$17="Distrato",$E94,0))),0,YEARFRAC(MAX($P$34*($B94+IF($R$17="Distrato",$I$38-1,0)),IF(AND($L$37=0,$P$34=0),"",$L$37-1),IF($R$17="Distrato",$E94,0)),MIN(AW$38,$D$19),$P$20))-SUM($P94:AV94)</f>
        <v>#VALUE!</v>
      </c>
      <c r="AX94" s="446" t="e">
        <f>IF(OR($B94="",MIN(AX$38,$D$19)&lt;MAX($P$34*($B94+IF($R$17="Distrato",$I$38-1,0)),IF(AND($L$37=0,$P$34=0),"",$L$37-1),IF($R$17="Distrato",$E94,0))),0,YEARFRAC(MAX($P$34*($B94+IF($R$17="Distrato",$I$38-1,0)),IF(AND($L$37=0,$P$34=0),"",$L$37-1),IF($R$17="Distrato",$E94,0)),MIN(AX$38,$D$19),$P$20))-SUM($P94:AW94)</f>
        <v>#VALUE!</v>
      </c>
      <c r="AY94" s="446" t="e">
        <f>IF(OR($B94="",MIN(AY$38,$D$19)&lt;MAX($P$34*($B94+IF($R$17="Distrato",$I$38-1,0)),IF(AND($L$37=0,$P$34=0),"",$L$37-1),IF($R$17="Distrato",$E94,0))),0,YEARFRAC(MAX($P$34*($B94+IF($R$17="Distrato",$I$38-1,0)),IF(AND($L$37=0,$P$34=0),"",$L$37-1),IF($R$17="Distrato",$E94,0)),MIN(AY$38,$D$19),$P$20))-SUM($P94:AX94)</f>
        <v>#VALUE!</v>
      </c>
      <c r="AZ94" s="446" t="e">
        <f>IF(OR($B94="",MIN(AZ$38,$D$19)&lt;MAX($P$34*($B94+IF($R$17="Distrato",$I$38-1,0)),IF(AND($L$37=0,$P$34=0),"",$L$37-1),IF($R$17="Distrato",$E94,0))),0,YEARFRAC(MAX($P$34*($B94+IF($R$17="Distrato",$I$38-1,0)),IF(AND($L$37=0,$P$34=0),"",$L$37-1),IF($R$17="Distrato",$E94,0)),MIN(AZ$38,$D$19),$P$20))-SUM($P94:AY94)</f>
        <v>#VALUE!</v>
      </c>
      <c r="BA94" s="446" t="e">
        <f>IF(OR($B94="",MIN(BA$38,$D$19)&lt;MAX($P$34*($B94+IF($R$17="Distrato",$I$38-1,0)),IF(AND($L$37=0,$P$34=0),"",$L$37-1),IF($R$17="Distrato",$E94,0))),0,YEARFRAC(MAX($P$34*($B94+IF($R$17="Distrato",$I$38-1,0)),IF(AND($L$37=0,$P$34=0),"",$L$37-1),IF($R$17="Distrato",$E94,0)),MIN(BA$38,$D$19),$P$20))-SUM($P94:AZ94)</f>
        <v>#VALUE!</v>
      </c>
      <c r="BB94" s="447"/>
      <c r="BF94" s="446">
        <f t="shared" si="10"/>
        <v>0</v>
      </c>
      <c r="BG94" s="446">
        <f>IF($E94=0,0,IF(MIN(BG$38,$E94)&lt;MAX($P$34*($B94+$I$38-1),IF(AND($L$37=0,$P$34=0),"",$L$37-1)),0,YEARFRAC(MAX($P$34*($B94+$I$38-1),IF(AND($L$37=0,$P$34=0),"",$L$37-1)),MIN(BG$38,$E94),$P$20))-SUM($BF94:BF94))</f>
        <v>0</v>
      </c>
      <c r="BH94" s="446">
        <f>IF($E94=0,0,IF(MIN(BH$38,$E94)&lt;MAX($P$34*($B94+$I$38-1),IF(AND($L$37=0,$P$34=0),"",$L$37-1)),0,YEARFRAC(MAX($P$34*($B94+$I$38-1),IF(AND($L$37=0,$P$34=0),"",$L$37-1)),MIN(BH$38,$E94),$P$20))-SUM($BF94:BG94))</f>
        <v>0</v>
      </c>
      <c r="BI94" s="446">
        <f>IF($E94=0,0,IF(MIN(BI$38,$E94)&lt;MAX($P$34*($B94+$I$38-1),IF(AND($L$37=0,$P$34=0),"",$L$37-1)),0,YEARFRAC(MAX($P$34*($B94+$I$38-1),IF(AND($L$37=0,$P$34=0),"",$L$37-1)),MIN(BI$38,$E94),$P$20))-SUM($BF94:BH94))</f>
        <v>0</v>
      </c>
      <c r="BJ94" s="446">
        <f>IF($E94=0,0,IF(MIN(BJ$38,$E94)&lt;MAX($P$34*($B94+$I$38-1),IF(AND($L$37=0,$P$34=0),"",$L$37-1)),0,YEARFRAC(MAX($P$34*($B94+$I$38-1),IF(AND($L$37=0,$P$34=0),"",$L$37-1)),MIN(BJ$38,$E94),$P$20))-SUM($BF94:BI94))</f>
        <v>0</v>
      </c>
      <c r="BK94" s="446">
        <f>IF($E94=0,0,IF(MIN(BK$38,$E94)&lt;MAX($P$34*($B94+$I$38-1),IF(AND($L$37=0,$P$34=0),"",$L$37-1)),0,YEARFRAC(MAX($P$34*($B94+$I$38-1),IF(AND($L$37=0,$P$34=0),"",$L$37-1)),MIN(BK$38,$E94),$P$20))-SUM($BF94:BJ94))</f>
        <v>0</v>
      </c>
      <c r="BL94" s="446">
        <f>IF($E94=0,0,IF(MIN(BL$38,$E94)&lt;MAX($P$34*($B94+$I$38-1),IF(AND($L$37=0,$P$34=0),"",$L$37-1)),0,YEARFRAC(MAX($P$34*($B94+$I$38-1),IF(AND($L$37=0,$P$34=0),"",$L$37-1)),MIN(BL$38,$E94),$P$20))-SUM($BF94:BK94))</f>
        <v>0</v>
      </c>
      <c r="BM94" s="446">
        <f>IF($E94=0,0,IF(MIN(BM$38,$E94)&lt;MAX($P$34*($B94+$I$38-1),IF(AND($L$37=0,$P$34=0),"",$L$37-1)),0,YEARFRAC(MAX($P$34*($B94+$I$38-1),IF(AND($L$37=0,$P$34=0),"",$L$37-1)),MIN(BM$38,$E94),$P$20))-SUM($BF94:BL94))</f>
        <v>0</v>
      </c>
      <c r="BN94" s="446">
        <f>IF($E94=0,0,IF(MIN(BN$38,$E94)&lt;MAX($P$34*($B94+$I$38-1),IF(AND($L$37=0,$P$34=0),"",$L$37-1)),0,YEARFRAC(MAX($P$34*($B94+$I$38-1),IF(AND($L$37=0,$P$34=0),"",$L$37-1)),MIN(BN$38,$E94),$P$20))-SUM($BF94:BM94))</f>
        <v>0</v>
      </c>
      <c r="BO94" s="446">
        <f>IF($E94=0,0,IF(MIN(BO$38,$E94)&lt;MAX($P$34*($B94+$I$38-1),IF(AND($L$37=0,$P$34=0),"",$L$37-1)),0,YEARFRAC(MAX($P$34*($B94+$I$38-1),IF(AND($L$37=0,$P$34=0),"",$L$37-1)),MIN(BO$38,$E94),$P$20))-SUM($BF94:BN94))</f>
        <v>0</v>
      </c>
      <c r="BP94" s="446">
        <f>IF($E94=0,0,IF(MIN(BP$38,$E94)&lt;MAX($P$34*($B94+$I$38-1),IF(AND($L$37=0,$P$34=0),"",$L$37-1)),0,YEARFRAC(MAX($P$34*($B94+$I$38-1),IF(AND($L$37=0,$P$34=0),"",$L$37-1)),MIN(BP$38,$E94),$P$20))-SUM($BF94:BO94))</f>
        <v>0</v>
      </c>
      <c r="BQ94" s="446">
        <f>IF($E94=0,0,IF(MIN(BQ$38,$E94)&lt;MAX($P$34*($B94+$I$38-1),IF(AND($L$37=0,$P$34=0),"",$L$37-1)),0,YEARFRAC(MAX($P$34*($B94+$I$38-1),IF(AND($L$37=0,$P$34=0),"",$L$37-1)),MIN(BQ$38,$E94),$P$20))-SUM($BF94:BP94))</f>
        <v>0</v>
      </c>
      <c r="BR94" s="446">
        <f>IF($E94=0,0,IF(MIN(BR$38,$E94)&lt;MAX($P$34*($B94+$I$38-1),IF(AND($L$37=0,$P$34=0),"",$L$37-1)),0,YEARFRAC(MAX($P$34*($B94+$I$38-1),IF(AND($L$37=0,$P$34=0),"",$L$37-1)),MIN(BR$38,$E94),$P$20))-SUM($BF94:BQ94))</f>
        <v>0</v>
      </c>
      <c r="BS94" s="446">
        <f>IF($E94=0,0,IF(MIN(BS$38,$E94)&lt;MAX($P$34*($B94+$I$38-1),IF(AND($L$37=0,$P$34=0),"",$L$37-1)),0,YEARFRAC(MAX($P$34*($B94+$I$38-1),IF(AND($L$37=0,$P$34=0),"",$L$37-1)),MIN(BS$38,$E94),$P$20))-SUM($BF94:BR94))</f>
        <v>0</v>
      </c>
      <c r="BT94" s="446">
        <f>IF($E94=0,0,IF(MIN(BT$38,$E94)&lt;MAX($P$34*($B94+$I$38-1),IF(AND($L$37=0,$P$34=0),"",$L$37-1)),0,YEARFRAC(MAX($P$34*($B94+$I$38-1),IF(AND($L$37=0,$P$34=0),"",$L$37-1)),MIN(BT$38,$E94),$P$20))-SUM($BF94:BS94))</f>
        <v>0</v>
      </c>
      <c r="BU94" s="446">
        <f>IF($E94=0,0,IF(MIN(BU$38,$E94)&lt;MAX($P$34*($B94+$I$38-1),IF(AND($L$37=0,$P$34=0),"",$L$37-1)),0,YEARFRAC(MAX($P$34*($B94+$I$38-1),IF(AND($L$37=0,$P$34=0),"",$L$37-1)),MIN(BU$38,$E94),$P$20))-SUM($BF94:BT94))</f>
        <v>0</v>
      </c>
      <c r="BV94" s="446">
        <f>IF($E94=0,0,IF(MIN(BV$38,$E94)&lt;MAX($P$34*($B94+$I$38-1),IF(AND($L$37=0,$P$34=0),"",$L$37-1)),0,YEARFRAC(MAX($P$34*($B94+$I$38-1),IF(AND($L$37=0,$P$34=0),"",$L$37-1)),MIN(BV$38,$E94),$P$20))-SUM($BF94:BU94))</f>
        <v>0</v>
      </c>
      <c r="BW94" s="446">
        <f>IF($E94=0,0,IF(MIN(BW$38,$E94)&lt;MAX($P$34*($B94+$I$38-1),IF(AND($L$37=0,$P$34=0),"",$L$37-1)),0,YEARFRAC(MAX($P$34*($B94+$I$38-1),IF(AND($L$37=0,$P$34=0),"",$L$37-1)),MIN(BW$38,$E94),$P$20))-SUM($BF94:BV94))</f>
        <v>0</v>
      </c>
      <c r="BX94" s="446">
        <f>IF($E94=0,0,IF(MIN(BX$38,$E94)&lt;MAX($P$34*($B94+$I$38-1),IF(AND($L$37=0,$P$34=0),"",$L$37-1)),0,YEARFRAC(MAX($P$34*($B94+$I$38-1),IF(AND($L$37=0,$P$34=0),"",$L$37-1)),MIN(BX$38,$E94),$P$20))-SUM($BF94:BW94))</f>
        <v>0</v>
      </c>
      <c r="BY94" s="446">
        <f>IF($E94=0,0,IF(MIN(BY$38,$E94)&lt;MAX($P$34*($B94+$I$38-1),IF(AND($L$37=0,$P$34=0),"",$L$37-1)),0,YEARFRAC(MAX($P$34*($B94+$I$38-1),IF(AND($L$37=0,$P$34=0),"",$L$37-1)),MIN(BY$38,$E94),$P$20))-SUM($BF94:BX94))</f>
        <v>0</v>
      </c>
      <c r="BZ94" s="446">
        <f>IF($E94=0,0,IF(MIN(BZ$38,$E94)&lt;MAX($P$34*($B94+$I$38-1),IF(AND($L$37=0,$P$34=0),"",$L$37-1)),0,YEARFRAC(MAX($P$34*($B94+$I$38-1),IF(AND($L$37=0,$P$34=0),"",$L$37-1)),MIN(BZ$38,$E94),$P$20))-SUM($BF94:BY94))</f>
        <v>0</v>
      </c>
      <c r="CA94" s="446">
        <f>IF($E94=0,0,IF(MIN(CA$38,$E94)&lt;MAX($P$34*($B94+$I$38-1),IF(AND($L$37=0,$P$34=0),"",$L$37-1)),0,YEARFRAC(MAX($P$34*($B94+$I$38-1),IF(AND($L$37=0,$P$34=0),"",$L$37-1)),MIN(CA$38,$E94),$P$20))-SUM($BF94:BZ94))</f>
        <v>0</v>
      </c>
      <c r="CB94" s="446">
        <f>IF($E94=0,0,IF(MIN(CB$38,$E94)&lt;MAX($P$34*($B94+$I$38-1),IF(AND($L$37=0,$P$34=0),"",$L$37-1)),0,YEARFRAC(MAX($P$34*($B94+$I$38-1),IF(AND($L$37=0,$P$34=0),"",$L$37-1)),MIN(CB$38,$E94),$P$20))-SUM($BF94:CA94))</f>
        <v>0</v>
      </c>
      <c r="CC94" s="446">
        <f>IF($E94=0,0,IF(MIN(CC$38,$E94)&lt;MAX($P$34*($B94+$I$38-1),IF(AND($L$37=0,$P$34=0),"",$L$37-1)),0,YEARFRAC(MAX($P$34*($B94+$I$38-1),IF(AND($L$37=0,$P$34=0),"",$L$37-1)),MIN(CC$38,$E94),$P$20))-SUM($BF94:CB94))</f>
        <v>0</v>
      </c>
      <c r="CD94" s="446">
        <f>IF($E94=0,0,IF(MIN(CD$38,$E94)&lt;MAX($P$34*($B94+$I$38-1),IF(AND($L$37=0,$P$34=0),"",$L$37-1)),0,YEARFRAC(MAX($P$34*($B94+$I$38-1),IF(AND($L$37=0,$P$34=0),"",$L$37-1)),MIN(CD$38,$E94),$P$20))-SUM($BF94:CC94))</f>
        <v>0</v>
      </c>
      <c r="CE94" s="446">
        <f>IF($E94=0,0,IF(MIN(CE$38,$E94)&lt;MAX($P$34*($B94+$I$38-1),IF(AND($L$37=0,$P$34=0),"",$L$37-1)),0,YEARFRAC(MAX($P$34*($B94+$I$38-1),IF(AND($L$37=0,$P$34=0),"",$L$37-1)),MIN(CE$38,$E94),$P$20))-SUM($BF94:CD94))</f>
        <v>0</v>
      </c>
      <c r="CF94" s="446">
        <f>IF($E94=0,0,IF(MIN(CF$38,$E94)&lt;MAX($P$34*($B94+$I$38-1),IF(AND($L$37=0,$P$34=0),"",$L$37-1)),0,YEARFRAC(MAX($P$34*($B94+$I$38-1),IF(AND($L$37=0,$P$34=0),"",$L$37-1)),MIN(CF$38,$E94),$P$20))-SUM($BF94:CE94))</f>
        <v>0</v>
      </c>
      <c r="CG94" s="446">
        <f>IF($E94=0,0,IF(MIN(CG$38,$E94)&lt;MAX($P$34*($B94+$I$38-1),IF(AND($L$37=0,$P$34=0),"",$L$37-1)),0,YEARFRAC(MAX($P$34*($B94+$I$38-1),IF(AND($L$37=0,$P$34=0),"",$L$37-1)),MIN(CG$38,$E94),$P$20))-SUM($BF94:CF94))</f>
        <v>0</v>
      </c>
      <c r="CH94" s="446">
        <f>IF($E94=0,0,IF(MIN(CH$38,$E94)&lt;MAX($P$34*($B94+$I$38-1),IF(AND($L$37=0,$P$34=0),"",$L$37-1)),0,YEARFRAC(MAX($P$34*($B94+$I$38-1),IF(AND($L$37=0,$P$34=0),"",$L$37-1)),MIN(CH$38,$E94),$P$20))-SUM($BF94:CG94))</f>
        <v>0</v>
      </c>
      <c r="CI94" s="446">
        <f>IF($E94=0,0,IF(MIN(CI$38,$E94)&lt;MAX($P$34*($B94+$I$38-1),IF(AND($L$37=0,$P$34=0),"",$L$37-1)),0,YEARFRAC(MAX($P$34*($B94+$I$38-1),IF(AND($L$37=0,$P$34=0),"",$L$37-1)),MIN(CI$38,$E94),$P$20))-SUM($BF94:CH94))</f>
        <v>0</v>
      </c>
      <c r="CJ94" s="446">
        <f>IF($E94=0,0,IF(MIN(CJ$38,$E94)&lt;MAX($P$34*($B94+$I$38-1),IF(AND($L$37=0,$P$34=0),"",$L$37-1)),0,YEARFRAC(MAX($P$34*($B94+$I$38-1),IF(AND($L$37=0,$P$34=0),"",$L$37-1)),MIN(CJ$38,$E94),$P$20))-SUM($BF94:CI94))</f>
        <v>0</v>
      </c>
      <c r="CK94" s="446">
        <f>IF($E94=0,0,IF(MIN(CK$38,$E94)&lt;MAX($P$34*($B94+$I$38-1),IF(AND($L$37=0,$P$34=0),"",$L$37-1)),0,YEARFRAC(MAX($P$34*($B94+$I$38-1),IF(AND($L$37=0,$P$34=0),"",$L$37-1)),MIN(CK$38,$E94),$P$20))-SUM($BF94:CJ94))</f>
        <v>0</v>
      </c>
      <c r="CL94" s="446">
        <f>IF($E94=0,0,IF(MIN(CL$38,$E94)&lt;MAX($P$34*($B94+$I$38-1),IF(AND($L$37=0,$P$34=0),"",$L$37-1)),0,YEARFRAC(MAX($P$34*($B94+$I$38-1),IF(AND($L$37=0,$P$34=0),"",$L$37-1)),MIN(CL$38,$E94),$P$20))-SUM($BF94:CK94))</f>
        <v>0</v>
      </c>
      <c r="CM94" s="446">
        <f>IF($E94=0,0,IF(MIN(CM$38,$E94)&lt;MAX($P$34*($B94+$I$38-1),IF(AND($L$37=0,$P$34=0),"",$L$37-1)),0,YEARFRAC(MAX($P$34*($B94+$I$38-1),IF(AND($L$37=0,$P$34=0),"",$L$37-1)),MIN(CM$38,$E94),$P$20))-SUM($BF94:CL94))</f>
        <v>0</v>
      </c>
      <c r="CN94" s="446">
        <f>IF($E94=0,0,IF(MIN(CN$38,$E94)&lt;MAX($P$34*($B94+$I$38-1),IF(AND($L$37=0,$P$34=0),"",$L$37-1)),0,YEARFRAC(MAX($P$34*($B94+$I$38-1),IF(AND($L$37=0,$P$34=0),"",$L$37-1)),MIN(CN$38,$E94),$P$20))-SUM($BF94:CM94))</f>
        <v>0</v>
      </c>
      <c r="CO94" s="446">
        <f>IF($E94=0,0,IF(MIN(CO$38,$E94)&lt;MAX($P$34*($B94+$I$38-1),IF(AND($L$37=0,$P$34=0),"",$L$37-1)),0,YEARFRAC(MAX($P$34*($B94+$I$38-1),IF(AND($L$37=0,$P$34=0),"",$L$37-1)),MIN(CO$38,$E94),$P$20))-SUM($BF94:CN94))</f>
        <v>0</v>
      </c>
      <c r="CP94" s="446">
        <f>IF($E94=0,0,IF(MIN(CP$38,$E94)&lt;MAX($P$34*($B94+$I$38-1),IF(AND($L$37=0,$P$34=0),"",$L$37-1)),0,YEARFRAC(MAX($P$34*($B94+$I$38-1),IF(AND($L$37=0,$P$34=0),"",$L$37-1)),MIN(CP$38,$E94),$P$20))-SUM($BF94:CO94))</f>
        <v>0</v>
      </c>
      <c r="CQ94" s="446">
        <f>IF($E94=0,0,IF(MIN(CQ$38,$E94)&lt;MAX($P$34*($B94+$I$38-1),IF(AND($L$37=0,$P$34=0),"",$L$37-1)),0,YEARFRAC(MAX($P$34*($B94+$I$38-1),IF(AND($L$37=0,$P$34=0),"",$L$37-1)),MIN(CQ$38,$E94),$P$20))-SUM($BF94:CP94))</f>
        <v>0</v>
      </c>
    </row>
    <row r="95" spans="1:95" s="446" customFormat="1" ht="11.25" hidden="1" customHeight="1" x14ac:dyDescent="0.2">
      <c r="A95" s="152"/>
      <c r="B95" s="153" t="str">
        <f t="shared" si="15"/>
        <v/>
      </c>
      <c r="C95" s="29" t="str">
        <f>IF(B95="","",IF($L$35="SELIC - TRIBUTOS",VLOOKUP(DATE(YEAR($D$19),MONTH($D$19)-1,1),ÍNDICES!$A:$DE,HLOOKUP($BL$25,ÍNDICES!$B$3:$T$4,2)+11)-VLOOKUP(B95,ÍNDICES!$A:$DE,HLOOKUP($BL$25,ÍNDICES!$B$3:$T$4,2)+11)+1%,IF(C$38=$W$26,$J$35,IF(ISERROR(IF(B95&gt;$D$19,1,VLOOKUP(DATE(YEAR(B95),MONTH(B95)+IF($C$35=$S$23,1,0),1),ÍNDICES!$A:$DE,$Z$35+1))),"",IF(B95&gt;$D$19,1,VLOOKUP(DATE(YEAR(B95),MONTH(B95)+IF($C$35=$S$23,1,0),1),ÍNDICES!$A:$DE,$Z$35+1))))))</f>
        <v/>
      </c>
      <c r="D95" s="154" t="str">
        <f>IF(ISERROR(IF(OR($D$38=$Y$27,$B95=""),"",VLOOKUP(B95,ÍNDICES!A:DE,AF$35+1))),"",IF(OR($D$38=$Y$27,$B95=""),"",VLOOKUP(B95,ÍNDICES!A:DE,AF$35+1)))</f>
        <v/>
      </c>
      <c r="E95" s="153"/>
      <c r="F95" s="29" t="str">
        <f>IF(E95="","",IF($L$35="SELIC - TRIBUTOS",VLOOKUP(DATE(YEAR($D$19),MONTH($D$19)-1,1),ÍNDICES!$A:$DE,HLOOKUP($BL$25,ÍNDICES!$B$3:$T$4,2)+11)-VLOOKUP(E95,ÍNDICES!$A:$DE,HLOOKUP($BL$25,ÍNDICES!$B$3:$T$4,2)+11)+1%,IF(F$38=$W$26,$J$35,IF(ISERROR(IF(E95&gt;$D$19,1,VLOOKUP(DATE(YEAR(E95),MONTH(E95)+IF($C$35=$S$23,1,0),1),ÍNDICES!$A:$DE,$Z$35+1))),"",IF(E95&gt;$D$19,1,VLOOKUP(DATE(YEAR(E95),MONTH(E95)+IF($C$35=$S$23,1,0),1),ÍNDICES!$A:$DE,$Z$35+1))))))</f>
        <v/>
      </c>
      <c r="G95" s="155"/>
      <c r="H95" s="156" t="str">
        <f t="shared" si="11"/>
        <v/>
      </c>
      <c r="I95" s="29" t="str">
        <f t="shared" si="5"/>
        <v/>
      </c>
      <c r="J95" s="5">
        <f t="shared" si="6"/>
        <v>0</v>
      </c>
      <c r="K95" s="20">
        <f t="shared" ca="1" si="7"/>
        <v>0</v>
      </c>
      <c r="L95" s="5">
        <f t="shared" ca="1" si="8"/>
        <v>0</v>
      </c>
      <c r="M95" s="64">
        <f t="shared" si="12"/>
        <v>0</v>
      </c>
      <c r="N95" s="61">
        <f t="shared" ca="1" si="13"/>
        <v>0</v>
      </c>
      <c r="O95" s="5">
        <f t="shared" ca="1" si="14"/>
        <v>0</v>
      </c>
      <c r="P95" s="446" t="e">
        <f t="shared" si="9"/>
        <v>#VALUE!</v>
      </c>
      <c r="Q95" s="446" t="e">
        <f>IF(OR($B95="",MIN(Q$38,$D$19)&lt;MAX($P$34*($B95+IF($R$17="Distrato",$I$38-1,0)),IF(AND($L$37=0,$P$34=0),"",$L$37-1),IF($R$17="Distrato",$E95,0))),0,YEARFRAC(MAX($P$34*($B95+IF($R$17="Distrato",$I$38-1,0)),IF(AND($L$37=0,$P$34=0),"",$L$37-1),IF($R$17="Distrato",$E95,0)),MIN(Q$38,$D$19),$P$20))-SUM($P95:P95)</f>
        <v>#VALUE!</v>
      </c>
      <c r="R95" s="446" t="e">
        <f>IF(OR($B95="",MIN(R$38,$D$19)&lt;MAX($P$34*($B95+IF($R$17="Distrato",$I$38-1,0)),IF(AND($L$37=0,$P$34=0),"",$L$37-1),IF($R$17="Distrato",$E95,0))),0,YEARFRAC(MAX($P$34*($B95+IF($R$17="Distrato",$I$38-1,0)),IF(AND($L$37=0,$P$34=0),"",$L$37-1),IF($R$17="Distrato",$E95,0)),MIN(R$38,$D$19),$P$20))-SUM($P95:Q95)</f>
        <v>#VALUE!</v>
      </c>
      <c r="S95" s="446" t="e">
        <f>IF(OR($B95="",MIN(S$38,$D$19)&lt;MAX($P$34*($B95+IF($R$17="Distrato",$I$38-1,0)),IF(AND($L$37=0,$P$34=0),"",$L$37-1),IF($R$17="Distrato",$E95,0))),0,YEARFRAC(MAX($P$34*($B95+IF($R$17="Distrato",$I$38-1,0)),IF(AND($L$37=0,$P$34=0),"",$L$37-1),IF($R$17="Distrato",$E95,0)),MIN(S$38,$D$19),$P$20))-SUM($P95:R95)</f>
        <v>#VALUE!</v>
      </c>
      <c r="T95" s="446" t="e">
        <f>IF(OR($B95="",MIN(T$38,$D$19)&lt;MAX($P$34*($B95+IF($R$17="Distrato",$I$38-1,0)),IF(AND($L$37=0,$P$34=0),"",$L$37-1),IF($R$17="Distrato",$E95,0))),0,YEARFRAC(MAX($P$34*($B95+IF($R$17="Distrato",$I$38-1,0)),IF(AND($L$37=0,$P$34=0),"",$L$37-1),IF($R$17="Distrato",$E95,0)),MIN(T$38,$D$19),$P$20))-SUM($P95:S95)</f>
        <v>#VALUE!</v>
      </c>
      <c r="U95" s="446" t="e">
        <f>IF(OR($B95="",MIN(U$38,$D$19)&lt;MAX($P$34*($B95+IF($R$17="Distrato",$I$38-1,0)),IF(AND($L$37=0,$P$34=0),"",$L$37-1),IF($R$17="Distrato",$E95,0))),0,YEARFRAC(MAX($P$34*($B95+IF($R$17="Distrato",$I$38-1,0)),IF(AND($L$37=0,$P$34=0),"",$L$37-1),IF($R$17="Distrato",$E95,0)),MIN(U$38,$D$19),$P$20))-SUM($P95:T95)</f>
        <v>#VALUE!</v>
      </c>
      <c r="V95" s="446" t="e">
        <f>IF(OR($B95="",MIN(V$38,$D$19)&lt;MAX($P$34*($B95+IF($R$17="Distrato",$I$38-1,0)),IF(AND($L$37=0,$P$34=0),"",$L$37-1),IF($R$17="Distrato",$E95,0))),0,YEARFRAC(MAX($P$34*($B95+IF($R$17="Distrato",$I$38-1,0)),IF(AND($L$37=0,$P$34=0),"",$L$37-1),IF($R$17="Distrato",$E95,0)),MIN(V$38,$D$19),$P$20))-SUM($P95:U95)</f>
        <v>#VALUE!</v>
      </c>
      <c r="W95" s="446" t="e">
        <f>IF(OR($B95="",MIN(W$38,$D$19)&lt;MAX($P$34*($B95+IF($R$17="Distrato",$I$38-1,0)),IF(AND($L$37=0,$P$34=0),"",$L$37-1),IF($R$17="Distrato",$E95,0))),0,YEARFRAC(MAX($P$34*($B95+IF($R$17="Distrato",$I$38-1,0)),IF(AND($L$37=0,$P$34=0),"",$L$37-1),IF($R$17="Distrato",$E95,0)),MIN(W$38,$D$19),$P$20))-SUM($P95:V95)</f>
        <v>#VALUE!</v>
      </c>
      <c r="X95" s="446" t="e">
        <f>IF(OR($B95="",MIN(X$38,$D$19)&lt;MAX($P$34*($B95+IF($R$17="Distrato",$I$38-1,0)),IF(AND($L$37=0,$P$34=0),"",$L$37-1),IF($R$17="Distrato",$E95,0))),0,YEARFRAC(MAX($P$34*($B95+IF($R$17="Distrato",$I$38-1,0)),IF(AND($L$37=0,$P$34=0),"",$L$37-1),IF($R$17="Distrato",$E95,0)),MIN(X$38,$D$19),$P$20))-SUM($P95:W95)</f>
        <v>#VALUE!</v>
      </c>
      <c r="Y95" s="446" t="e">
        <f>IF(OR($B95="",MIN(Y$38,$D$19)&lt;MAX($P$34*($B95+IF($R$17="Distrato",$I$38-1,0)),IF(AND($L$37=0,$P$34=0),"",$L$37-1),IF($R$17="Distrato",$E95,0))),0,YEARFRAC(MAX($P$34*($B95+IF($R$17="Distrato",$I$38-1,0)),IF(AND($L$37=0,$P$34=0),"",$L$37-1),IF($R$17="Distrato",$E95,0)),MIN(Y$38,$D$19),$P$20))-SUM($P95:X95)</f>
        <v>#VALUE!</v>
      </c>
      <c r="Z95" s="446" t="e">
        <f>IF(OR($B95="",MIN(Z$38,$D$19)&lt;MAX($P$34*($B95+IF($R$17="Distrato",$I$38-1,0)),IF(AND($L$37=0,$P$34=0),"",$L$37-1),IF($R$17="Distrato",$E95,0))),0,YEARFRAC(MAX($P$34*($B95+IF($R$17="Distrato",$I$38-1,0)),IF(AND($L$37=0,$P$34=0),"",$L$37-1),IF($R$17="Distrato",$E95,0)),MIN(Z$38,$D$19),$P$20))-SUM($P95:Y95)</f>
        <v>#VALUE!</v>
      </c>
      <c r="AA95" s="446" t="e">
        <f>IF(OR($B95="",MIN(AA$38,$D$19)&lt;MAX($P$34*($B95+IF($R$17="Distrato",$I$38-1,0)),IF(AND($L$37=0,$P$34=0),"",$L$37-1),IF($R$17="Distrato",$E95,0))),0,YEARFRAC(MAX($P$34*($B95+IF($R$17="Distrato",$I$38-1,0)),IF(AND($L$37=0,$P$34=0),"",$L$37-1),IF($R$17="Distrato",$E95,0)),MIN(AA$38,$D$19),$P$20))-SUM($P95:Z95)</f>
        <v>#VALUE!</v>
      </c>
      <c r="AB95" s="446" t="e">
        <f>IF(OR($B95="",MIN(AB$38,$D$19)&lt;MAX($P$34*($B95+IF($R$17="Distrato",$I$38-1,0)),IF(AND($L$37=0,$P$34=0),"",$L$37-1),IF($R$17="Distrato",$E95,0))),0,YEARFRAC(MAX($P$34*($B95+IF($R$17="Distrato",$I$38-1,0)),IF(AND($L$37=0,$P$34=0),"",$L$37-1),IF($R$17="Distrato",$E95,0)),MIN(AB$38,$D$19),$P$20))-SUM($P95:AA95)</f>
        <v>#VALUE!</v>
      </c>
      <c r="AC95" s="446" t="e">
        <f>IF(OR($B95="",MIN(AC$38,$D$19)&lt;MAX($P$34*($B95+IF($R$17="Distrato",$I$38-1,0)),IF(AND($L$37=0,$P$34=0),"",$L$37-1),IF($R$17="Distrato",$E95,0))),0,YEARFRAC(MAX($P$34*($B95+IF($R$17="Distrato",$I$38-1,0)),IF(AND($L$37=0,$P$34=0),"",$L$37-1),IF($R$17="Distrato",$E95,0)),MIN(AC$38,$D$19),$P$20))-SUM($P95:AB95)</f>
        <v>#VALUE!</v>
      </c>
      <c r="AD95" s="446" t="e">
        <f>IF(OR($B95="",MIN(AD$38,$D$19)&lt;MAX($P$34*($B95+IF($R$17="Distrato",$I$38-1,0)),IF(AND($L$37=0,$P$34=0),"",$L$37-1),IF($R$17="Distrato",$E95,0))),0,YEARFRAC(MAX($P$34*($B95+IF($R$17="Distrato",$I$38-1,0)),IF(AND($L$37=0,$P$34=0),"",$L$37-1),IF($R$17="Distrato",$E95,0)),MIN(AD$38,$D$19),$P$20))-SUM($P95:AC95)</f>
        <v>#VALUE!</v>
      </c>
      <c r="AE95" s="446" t="e">
        <f>IF(OR($B95="",MIN(AE$38,$D$19)&lt;MAX($P$34*($B95+IF($R$17="Distrato",$I$38-1,0)),IF(AND($L$37=0,$P$34=0),"",$L$37-1),IF($R$17="Distrato",$E95,0))),0,YEARFRAC(MAX($P$34*($B95+IF($R$17="Distrato",$I$38-1,0)),IF(AND($L$37=0,$P$34=0),"",$L$37-1),IF($R$17="Distrato",$E95,0)),MIN(AE$38,$D$19),$P$20))-SUM($P95:AD95)</f>
        <v>#VALUE!</v>
      </c>
      <c r="AF95" s="446" t="e">
        <f>IF(OR($B95="",MIN(AF$38,$D$19)&lt;MAX($P$34*($B95+IF($R$17="Distrato",$I$38-1,0)),IF(AND($L$37=0,$P$34=0),"",$L$37-1),IF($R$17="Distrato",$E95,0))),0,YEARFRAC(MAX($P$34*($B95+IF($R$17="Distrato",$I$38-1,0)),IF(AND($L$37=0,$P$34=0),"",$L$37-1),IF($R$17="Distrato",$E95,0)),MIN(AF$38,$D$19),$P$20))-SUM($P95:AE95)</f>
        <v>#VALUE!</v>
      </c>
      <c r="AG95" s="446" t="e">
        <f>IF(OR($B95="",MIN(AG$38,$D$19)&lt;MAX($P$34*($B95+IF($R$17="Distrato",$I$38-1,0)),IF(AND($L$37=0,$P$34=0),"",$L$37-1),IF($R$17="Distrato",$E95,0))),0,YEARFRAC(MAX($P$34*($B95+IF($R$17="Distrato",$I$38-1,0)),IF(AND($L$37=0,$P$34=0),"",$L$37-1),IF($R$17="Distrato",$E95,0)),MIN(AG$38,$D$19),$P$20))-SUM($P95:AF95)</f>
        <v>#VALUE!</v>
      </c>
      <c r="AH95" s="446" t="e">
        <f>IF(OR($B95="",MIN(AH$38,$D$19)&lt;MAX($P$34*($B95+IF($R$17="Distrato",$I$38-1,0)),IF(AND($L$37=0,$P$34=0),"",$L$37-1),IF($R$17="Distrato",$E95,0))),0,YEARFRAC(MAX($P$34*($B95+IF($R$17="Distrato",$I$38-1,0)),IF(AND($L$37=0,$P$34=0),"",$L$37-1),IF($R$17="Distrato",$E95,0)),MIN(AH$38,$D$19),$P$20))-SUM($P95:AG95)</f>
        <v>#VALUE!</v>
      </c>
      <c r="AI95" s="446" t="e">
        <f>IF(OR($B95="",MIN(AI$38,$D$19)&lt;MAX($P$34*($B95+IF($R$17="Distrato",$I$38-1,0)),IF(AND($L$37=0,$P$34=0),"",$L$37-1),IF($R$17="Distrato",$E95,0))),0,YEARFRAC(MAX($P$34*($B95+IF($R$17="Distrato",$I$38-1,0)),IF(AND($L$37=0,$P$34=0),"",$L$37-1),IF($R$17="Distrato",$E95,0)),MIN(AI$38,$D$19),$P$20))-SUM($P95:AH95)</f>
        <v>#VALUE!</v>
      </c>
      <c r="AJ95" s="446" t="e">
        <f>IF(OR($B95="",MIN(AJ$38,$D$19)&lt;MAX($P$34*($B95+IF($R$17="Distrato",$I$38-1,0)),IF(AND($L$37=0,$P$34=0),"",$L$37-1),IF($R$17="Distrato",$E95,0))),0,YEARFRAC(MAX($P$34*($B95+IF($R$17="Distrato",$I$38-1,0)),IF(AND($L$37=0,$P$34=0),"",$L$37-1),IF($R$17="Distrato",$E95,0)),MIN(AJ$38,$D$19),$P$20))-SUM($P95:AI95)</f>
        <v>#VALUE!</v>
      </c>
      <c r="AK95" s="446" t="e">
        <f>IF(OR($B95="",MIN(AK$38,$D$19)&lt;MAX($P$34*($B95+IF($R$17="Distrato",$I$38-1,0)),IF(AND($L$37=0,$P$34=0),"",$L$37-1),IF($R$17="Distrato",$E95,0))),0,YEARFRAC(MAX($P$34*($B95+IF($R$17="Distrato",$I$38-1,0)),IF(AND($L$37=0,$P$34=0),"",$L$37-1),IF($R$17="Distrato",$E95,0)),MIN(AK$38,$D$19),$P$20))-SUM($P95:AJ95)</f>
        <v>#VALUE!</v>
      </c>
      <c r="AL95" s="446" t="e">
        <f>IF(OR($B95="",MIN(AL$38,$D$19)&lt;MAX($P$34*($B95+IF($R$17="Distrato",$I$38-1,0)),IF(AND($L$37=0,$P$34=0),"",$L$37-1),IF($R$17="Distrato",$E95,0))),0,YEARFRAC(MAX($P$34*($B95+IF($R$17="Distrato",$I$38-1,0)),IF(AND($L$37=0,$P$34=0),"",$L$37-1),IF($R$17="Distrato",$E95,0)),MIN(AL$38,$D$19),$P$20))-SUM($P95:AK95)</f>
        <v>#VALUE!</v>
      </c>
      <c r="AM95" s="446" t="e">
        <f>IF(OR($B95="",MIN(AM$38,$D$19)&lt;MAX($P$34*($B95+IF($R$17="Distrato",$I$38-1,0)),IF(AND($L$37=0,$P$34=0),"",$L$37-1),IF($R$17="Distrato",$E95,0))),0,YEARFRAC(MAX($P$34*($B95+IF($R$17="Distrato",$I$38-1,0)),IF(AND($L$37=0,$P$34=0),"",$L$37-1),IF($R$17="Distrato",$E95,0)),MIN(AM$38,$D$19),$P$20))-SUM($P95:AL95)</f>
        <v>#VALUE!</v>
      </c>
      <c r="AN95" s="446" t="e">
        <f>IF(OR($B95="",MIN(AN$38,$D$19)&lt;MAX($P$34*($B95+IF($R$17="Distrato",$I$38-1,0)),IF(AND($L$37=0,$P$34=0),"",$L$37-1),IF($R$17="Distrato",$E95,0))),0,YEARFRAC(MAX($P$34*($B95+IF($R$17="Distrato",$I$38-1,0)),IF(AND($L$37=0,$P$34=0),"",$L$37-1),IF($R$17="Distrato",$E95,0)),MIN(AN$38,$D$19),$P$20))-SUM($P95:AM95)</f>
        <v>#VALUE!</v>
      </c>
      <c r="AO95" s="446" t="e">
        <f>IF(OR($B95="",MIN(AO$38,$D$19)&lt;MAX($P$34*($B95+IF($R$17="Distrato",$I$38-1,0)),IF(AND($L$37=0,$P$34=0),"",$L$37-1),IF($R$17="Distrato",$E95,0))),0,YEARFRAC(MAX($P$34*($B95+IF($R$17="Distrato",$I$38-1,0)),IF(AND($L$37=0,$P$34=0),"",$L$37-1),IF($R$17="Distrato",$E95,0)),MIN(AO$38,$D$19),$P$20))-SUM($P95:AN95)</f>
        <v>#VALUE!</v>
      </c>
      <c r="AP95" s="446" t="e">
        <f>IF(OR($B95="",MIN(AP$38,$D$19)&lt;MAX($P$34*($B95+IF($R$17="Distrato",$I$38-1,0)),IF(AND($L$37=0,$P$34=0),"",$L$37-1),IF($R$17="Distrato",$E95,0))),0,YEARFRAC(MAX($P$34*($B95+IF($R$17="Distrato",$I$38-1,0)),IF(AND($L$37=0,$P$34=0),"",$L$37-1),IF($R$17="Distrato",$E95,0)),MIN(AP$38,$D$19),$P$20))-SUM($P95:AO95)</f>
        <v>#VALUE!</v>
      </c>
      <c r="AQ95" s="446" t="e">
        <f>IF(OR($B95="",MIN(AQ$38,$D$19)&lt;MAX($P$34*($B95+IF($R$17="Distrato",$I$38-1,0)),IF(AND($L$37=0,$P$34=0),"",$L$37-1),IF($R$17="Distrato",$E95,0))),0,YEARFRAC(MAX($P$34*($B95+IF($R$17="Distrato",$I$38-1,0)),IF(AND($L$37=0,$P$34=0),"",$L$37-1),IF($R$17="Distrato",$E95,0)),MIN(AQ$38,$D$19),$P$20))-SUM($P95:AP95)</f>
        <v>#VALUE!</v>
      </c>
      <c r="AR95" s="446" t="e">
        <f>IF(OR($B95="",MIN(AR$38,$D$19)&lt;MAX($P$34*($B95+IF($R$17="Distrato",$I$38-1,0)),IF(AND($L$37=0,$P$34=0),"",$L$37-1),IF($R$17="Distrato",$E95,0))),0,YEARFRAC(MAX($P$34*($B95+IF($R$17="Distrato",$I$38-1,0)),IF(AND($L$37=0,$P$34=0),"",$L$37-1),IF($R$17="Distrato",$E95,0)),MIN(AR$38,$D$19),$P$20))-SUM($P95:AQ95)</f>
        <v>#VALUE!</v>
      </c>
      <c r="AS95" s="446" t="e">
        <f>IF(OR($B95="",MIN(AS$38,$D$19)&lt;MAX($P$34*($B95+IF($R$17="Distrato",$I$38-1,0)),IF(AND($L$37=0,$P$34=0),"",$L$37-1),IF($R$17="Distrato",$E95,0))),0,YEARFRAC(MAX($P$34*($B95+IF($R$17="Distrato",$I$38-1,0)),IF(AND($L$37=0,$P$34=0),"",$L$37-1),IF($R$17="Distrato",$E95,0)),MIN(AS$38,$D$19),$P$20))-SUM($P95:AR95)</f>
        <v>#VALUE!</v>
      </c>
      <c r="AT95" s="446" t="e">
        <f>IF(OR($B95="",MIN(AT$38,$D$19)&lt;MAX($P$34*($B95+IF($R$17="Distrato",$I$38-1,0)),IF(AND($L$37=0,$P$34=0),"",$L$37-1),IF($R$17="Distrato",$E95,0))),0,YEARFRAC(MAX($P$34*($B95+IF($R$17="Distrato",$I$38-1,0)),IF(AND($L$37=0,$P$34=0),"",$L$37-1),IF($R$17="Distrato",$E95,0)),MIN(AT$38,$D$19),$P$20))-SUM($P95:AS95)</f>
        <v>#VALUE!</v>
      </c>
      <c r="AU95" s="446" t="e">
        <f>IF(OR($B95="",MIN(AU$38,$D$19)&lt;MAX($P$34*($B95+IF($R$17="Distrato",$I$38-1,0)),IF(AND($L$37=0,$P$34=0),"",$L$37-1),IF($R$17="Distrato",$E95,0))),0,YEARFRAC(MAX($P$34*($B95+IF($R$17="Distrato",$I$38-1,0)),IF(AND($L$37=0,$P$34=0),"",$L$37-1),IF($R$17="Distrato",$E95,0)),MIN(AU$38,$D$19),$P$20))-SUM($P95:AT95)</f>
        <v>#VALUE!</v>
      </c>
      <c r="AV95" s="446" t="e">
        <f>IF(OR($B95="",MIN(AV$38,$D$19)&lt;MAX($P$34*($B95+IF($R$17="Distrato",$I$38-1,0)),IF(AND($L$37=0,$P$34=0),"",$L$37-1),IF($R$17="Distrato",$E95,0))),0,YEARFRAC(MAX($P$34*($B95+IF($R$17="Distrato",$I$38-1,0)),IF(AND($L$37=0,$P$34=0),"",$L$37-1),IF($R$17="Distrato",$E95,0)),MIN(AV$38,$D$19),$P$20))-SUM($P95:AU95)</f>
        <v>#VALUE!</v>
      </c>
      <c r="AW95" s="446" t="e">
        <f>IF(OR($B95="",MIN(AW$38,$D$19)&lt;MAX($P$34*($B95+IF($R$17="Distrato",$I$38-1,0)),IF(AND($L$37=0,$P$34=0),"",$L$37-1),IF($R$17="Distrato",$E95,0))),0,YEARFRAC(MAX($P$34*($B95+IF($R$17="Distrato",$I$38-1,0)),IF(AND($L$37=0,$P$34=0),"",$L$37-1),IF($R$17="Distrato",$E95,0)),MIN(AW$38,$D$19),$P$20))-SUM($P95:AV95)</f>
        <v>#VALUE!</v>
      </c>
      <c r="AX95" s="446" t="e">
        <f>IF(OR($B95="",MIN(AX$38,$D$19)&lt;MAX($P$34*($B95+IF($R$17="Distrato",$I$38-1,0)),IF(AND($L$37=0,$P$34=0),"",$L$37-1),IF($R$17="Distrato",$E95,0))),0,YEARFRAC(MAX($P$34*($B95+IF($R$17="Distrato",$I$38-1,0)),IF(AND($L$37=0,$P$34=0),"",$L$37-1),IF($R$17="Distrato",$E95,0)),MIN(AX$38,$D$19),$P$20))-SUM($P95:AW95)</f>
        <v>#VALUE!</v>
      </c>
      <c r="AY95" s="446" t="e">
        <f>IF(OR($B95="",MIN(AY$38,$D$19)&lt;MAX($P$34*($B95+IF($R$17="Distrato",$I$38-1,0)),IF(AND($L$37=0,$P$34=0),"",$L$37-1),IF($R$17="Distrato",$E95,0))),0,YEARFRAC(MAX($P$34*($B95+IF($R$17="Distrato",$I$38-1,0)),IF(AND($L$37=0,$P$34=0),"",$L$37-1),IF($R$17="Distrato",$E95,0)),MIN(AY$38,$D$19),$P$20))-SUM($P95:AX95)</f>
        <v>#VALUE!</v>
      </c>
      <c r="AZ95" s="446" t="e">
        <f>IF(OR($B95="",MIN(AZ$38,$D$19)&lt;MAX($P$34*($B95+IF($R$17="Distrato",$I$38-1,0)),IF(AND($L$37=0,$P$34=0),"",$L$37-1),IF($R$17="Distrato",$E95,0))),0,YEARFRAC(MAX($P$34*($B95+IF($R$17="Distrato",$I$38-1,0)),IF(AND($L$37=0,$P$34=0),"",$L$37-1),IF($R$17="Distrato",$E95,0)),MIN(AZ$38,$D$19),$P$20))-SUM($P95:AY95)</f>
        <v>#VALUE!</v>
      </c>
      <c r="BA95" s="446" t="e">
        <f>IF(OR($B95="",MIN(BA$38,$D$19)&lt;MAX($P$34*($B95+IF($R$17="Distrato",$I$38-1,0)),IF(AND($L$37=0,$P$34=0),"",$L$37-1),IF($R$17="Distrato",$E95,0))),0,YEARFRAC(MAX($P$34*($B95+IF($R$17="Distrato",$I$38-1,0)),IF(AND($L$37=0,$P$34=0),"",$L$37-1),IF($R$17="Distrato",$E95,0)),MIN(BA$38,$D$19),$P$20))-SUM($P95:AZ95)</f>
        <v>#VALUE!</v>
      </c>
      <c r="BB95" s="447"/>
      <c r="BF95" s="446">
        <f t="shared" si="10"/>
        <v>0</v>
      </c>
      <c r="BG95" s="446">
        <f>IF($E95=0,0,IF(MIN(BG$38,$E95)&lt;MAX($P$34*($B95+$I$38-1),IF(AND($L$37=0,$P$34=0),"",$L$37-1)),0,YEARFRAC(MAX($P$34*($B95+$I$38-1),IF(AND($L$37=0,$P$34=0),"",$L$37-1)),MIN(BG$38,$E95),$P$20))-SUM($BF95:BF95))</f>
        <v>0</v>
      </c>
      <c r="BH95" s="446">
        <f>IF($E95=0,0,IF(MIN(BH$38,$E95)&lt;MAX($P$34*($B95+$I$38-1),IF(AND($L$37=0,$P$34=0),"",$L$37-1)),0,YEARFRAC(MAX($P$34*($B95+$I$38-1),IF(AND($L$37=0,$P$34=0),"",$L$37-1)),MIN(BH$38,$E95),$P$20))-SUM($BF95:BG95))</f>
        <v>0</v>
      </c>
      <c r="BI95" s="446">
        <f>IF($E95=0,0,IF(MIN(BI$38,$E95)&lt;MAX($P$34*($B95+$I$38-1),IF(AND($L$37=0,$P$34=0),"",$L$37-1)),0,YEARFRAC(MAX($P$34*($B95+$I$38-1),IF(AND($L$37=0,$P$34=0),"",$L$37-1)),MIN(BI$38,$E95),$P$20))-SUM($BF95:BH95))</f>
        <v>0</v>
      </c>
      <c r="BJ95" s="446">
        <f>IF($E95=0,0,IF(MIN(BJ$38,$E95)&lt;MAX($P$34*($B95+$I$38-1),IF(AND($L$37=0,$P$34=0),"",$L$37-1)),0,YEARFRAC(MAX($P$34*($B95+$I$38-1),IF(AND($L$37=0,$P$34=0),"",$L$37-1)),MIN(BJ$38,$E95),$P$20))-SUM($BF95:BI95))</f>
        <v>0</v>
      </c>
      <c r="BK95" s="446">
        <f>IF($E95=0,0,IF(MIN(BK$38,$E95)&lt;MAX($P$34*($B95+$I$38-1),IF(AND($L$37=0,$P$34=0),"",$L$37-1)),0,YEARFRAC(MAX($P$34*($B95+$I$38-1),IF(AND($L$37=0,$P$34=0),"",$L$37-1)),MIN(BK$38,$E95),$P$20))-SUM($BF95:BJ95))</f>
        <v>0</v>
      </c>
      <c r="BL95" s="446">
        <f>IF($E95=0,0,IF(MIN(BL$38,$E95)&lt;MAX($P$34*($B95+$I$38-1),IF(AND($L$37=0,$P$34=0),"",$L$37-1)),0,YEARFRAC(MAX($P$34*($B95+$I$38-1),IF(AND($L$37=0,$P$34=0),"",$L$37-1)),MIN(BL$38,$E95),$P$20))-SUM($BF95:BK95))</f>
        <v>0</v>
      </c>
      <c r="BM95" s="446">
        <f>IF($E95=0,0,IF(MIN(BM$38,$E95)&lt;MAX($P$34*($B95+$I$38-1),IF(AND($L$37=0,$P$34=0),"",$L$37-1)),0,YEARFRAC(MAX($P$34*($B95+$I$38-1),IF(AND($L$37=0,$P$34=0),"",$L$37-1)),MIN(BM$38,$E95),$P$20))-SUM($BF95:BL95))</f>
        <v>0</v>
      </c>
      <c r="BN95" s="446">
        <f>IF($E95=0,0,IF(MIN(BN$38,$E95)&lt;MAX($P$34*($B95+$I$38-1),IF(AND($L$37=0,$P$34=0),"",$L$37-1)),0,YEARFRAC(MAX($P$34*($B95+$I$38-1),IF(AND($L$37=0,$P$34=0),"",$L$37-1)),MIN(BN$38,$E95),$P$20))-SUM($BF95:BM95))</f>
        <v>0</v>
      </c>
      <c r="BO95" s="446">
        <f>IF($E95=0,0,IF(MIN(BO$38,$E95)&lt;MAX($P$34*($B95+$I$38-1),IF(AND($L$37=0,$P$34=0),"",$L$37-1)),0,YEARFRAC(MAX($P$34*($B95+$I$38-1),IF(AND($L$37=0,$P$34=0),"",$L$37-1)),MIN(BO$38,$E95),$P$20))-SUM($BF95:BN95))</f>
        <v>0</v>
      </c>
      <c r="BP95" s="446">
        <f>IF($E95=0,0,IF(MIN(BP$38,$E95)&lt;MAX($P$34*($B95+$I$38-1),IF(AND($L$37=0,$P$34=0),"",$L$37-1)),0,YEARFRAC(MAX($P$34*($B95+$I$38-1),IF(AND($L$37=0,$P$34=0),"",$L$37-1)),MIN(BP$38,$E95),$P$20))-SUM($BF95:BO95))</f>
        <v>0</v>
      </c>
      <c r="BQ95" s="446">
        <f>IF($E95=0,0,IF(MIN(BQ$38,$E95)&lt;MAX($P$34*($B95+$I$38-1),IF(AND($L$37=0,$P$34=0),"",$L$37-1)),0,YEARFRAC(MAX($P$34*($B95+$I$38-1),IF(AND($L$37=0,$P$34=0),"",$L$37-1)),MIN(BQ$38,$E95),$P$20))-SUM($BF95:BP95))</f>
        <v>0</v>
      </c>
      <c r="BR95" s="446">
        <f>IF($E95=0,0,IF(MIN(BR$38,$E95)&lt;MAX($P$34*($B95+$I$38-1),IF(AND($L$37=0,$P$34=0),"",$L$37-1)),0,YEARFRAC(MAX($P$34*($B95+$I$38-1),IF(AND($L$37=0,$P$34=0),"",$L$37-1)),MIN(BR$38,$E95),$P$20))-SUM($BF95:BQ95))</f>
        <v>0</v>
      </c>
      <c r="BS95" s="446">
        <f>IF($E95=0,0,IF(MIN(BS$38,$E95)&lt;MAX($P$34*($B95+$I$38-1),IF(AND($L$37=0,$P$34=0),"",$L$37-1)),0,YEARFRAC(MAX($P$34*($B95+$I$38-1),IF(AND($L$37=0,$P$34=0),"",$L$37-1)),MIN(BS$38,$E95),$P$20))-SUM($BF95:BR95))</f>
        <v>0</v>
      </c>
      <c r="BT95" s="446">
        <f>IF($E95=0,0,IF(MIN(BT$38,$E95)&lt;MAX($P$34*($B95+$I$38-1),IF(AND($L$37=0,$P$34=0),"",$L$37-1)),0,YEARFRAC(MAX($P$34*($B95+$I$38-1),IF(AND($L$37=0,$P$34=0),"",$L$37-1)),MIN(BT$38,$E95),$P$20))-SUM($BF95:BS95))</f>
        <v>0</v>
      </c>
      <c r="BU95" s="446">
        <f>IF($E95=0,0,IF(MIN(BU$38,$E95)&lt;MAX($P$34*($B95+$I$38-1),IF(AND($L$37=0,$P$34=0),"",$L$37-1)),0,YEARFRAC(MAX($P$34*($B95+$I$38-1),IF(AND($L$37=0,$P$34=0),"",$L$37-1)),MIN(BU$38,$E95),$P$20))-SUM($BF95:BT95))</f>
        <v>0</v>
      </c>
      <c r="BV95" s="446">
        <f>IF($E95=0,0,IF(MIN(BV$38,$E95)&lt;MAX($P$34*($B95+$I$38-1),IF(AND($L$37=0,$P$34=0),"",$L$37-1)),0,YEARFRAC(MAX($P$34*($B95+$I$38-1),IF(AND($L$37=0,$P$34=0),"",$L$37-1)),MIN(BV$38,$E95),$P$20))-SUM($BF95:BU95))</f>
        <v>0</v>
      </c>
      <c r="BW95" s="446">
        <f>IF($E95=0,0,IF(MIN(BW$38,$E95)&lt;MAX($P$34*($B95+$I$38-1),IF(AND($L$37=0,$P$34=0),"",$L$37-1)),0,YEARFRAC(MAX($P$34*($B95+$I$38-1),IF(AND($L$37=0,$P$34=0),"",$L$37-1)),MIN(BW$38,$E95),$P$20))-SUM($BF95:BV95))</f>
        <v>0</v>
      </c>
      <c r="BX95" s="446">
        <f>IF($E95=0,0,IF(MIN(BX$38,$E95)&lt;MAX($P$34*($B95+$I$38-1),IF(AND($L$37=0,$P$34=0),"",$L$37-1)),0,YEARFRAC(MAX($P$34*($B95+$I$38-1),IF(AND($L$37=0,$P$34=0),"",$L$37-1)),MIN(BX$38,$E95),$P$20))-SUM($BF95:BW95))</f>
        <v>0</v>
      </c>
      <c r="BY95" s="446">
        <f>IF($E95=0,0,IF(MIN(BY$38,$E95)&lt;MAX($P$34*($B95+$I$38-1),IF(AND($L$37=0,$P$34=0),"",$L$37-1)),0,YEARFRAC(MAX($P$34*($B95+$I$38-1),IF(AND($L$37=0,$P$34=0),"",$L$37-1)),MIN(BY$38,$E95),$P$20))-SUM($BF95:BX95))</f>
        <v>0</v>
      </c>
      <c r="BZ95" s="446">
        <f>IF($E95=0,0,IF(MIN(BZ$38,$E95)&lt;MAX($P$34*($B95+$I$38-1),IF(AND($L$37=0,$P$34=0),"",$L$37-1)),0,YEARFRAC(MAX($P$34*($B95+$I$38-1),IF(AND($L$37=0,$P$34=0),"",$L$37-1)),MIN(BZ$38,$E95),$P$20))-SUM($BF95:BY95))</f>
        <v>0</v>
      </c>
      <c r="CA95" s="446">
        <f>IF($E95=0,0,IF(MIN(CA$38,$E95)&lt;MAX($P$34*($B95+$I$38-1),IF(AND($L$37=0,$P$34=0),"",$L$37-1)),0,YEARFRAC(MAX($P$34*($B95+$I$38-1),IF(AND($L$37=0,$P$34=0),"",$L$37-1)),MIN(CA$38,$E95),$P$20))-SUM($BF95:BZ95))</f>
        <v>0</v>
      </c>
      <c r="CB95" s="446">
        <f>IF($E95=0,0,IF(MIN(CB$38,$E95)&lt;MAX($P$34*($B95+$I$38-1),IF(AND($L$37=0,$P$34=0),"",$L$37-1)),0,YEARFRAC(MAX($P$34*($B95+$I$38-1),IF(AND($L$37=0,$P$34=0),"",$L$37-1)),MIN(CB$38,$E95),$P$20))-SUM($BF95:CA95))</f>
        <v>0</v>
      </c>
      <c r="CC95" s="446">
        <f>IF($E95=0,0,IF(MIN(CC$38,$E95)&lt;MAX($P$34*($B95+$I$38-1),IF(AND($L$37=0,$P$34=0),"",$L$37-1)),0,YEARFRAC(MAX($P$34*($B95+$I$38-1),IF(AND($L$37=0,$P$34=0),"",$L$37-1)),MIN(CC$38,$E95),$P$20))-SUM($BF95:CB95))</f>
        <v>0</v>
      </c>
      <c r="CD95" s="446">
        <f>IF($E95=0,0,IF(MIN(CD$38,$E95)&lt;MAX($P$34*($B95+$I$38-1),IF(AND($L$37=0,$P$34=0),"",$L$37-1)),0,YEARFRAC(MAX($P$34*($B95+$I$38-1),IF(AND($L$37=0,$P$34=0),"",$L$37-1)),MIN(CD$38,$E95),$P$20))-SUM($BF95:CC95))</f>
        <v>0</v>
      </c>
      <c r="CE95" s="446">
        <f>IF($E95=0,0,IF(MIN(CE$38,$E95)&lt;MAX($P$34*($B95+$I$38-1),IF(AND($L$37=0,$P$34=0),"",$L$37-1)),0,YEARFRAC(MAX($P$34*($B95+$I$38-1),IF(AND($L$37=0,$P$34=0),"",$L$37-1)),MIN(CE$38,$E95),$P$20))-SUM($BF95:CD95))</f>
        <v>0</v>
      </c>
      <c r="CF95" s="446">
        <f>IF($E95=0,0,IF(MIN(CF$38,$E95)&lt;MAX($P$34*($B95+$I$38-1),IF(AND($L$37=0,$P$34=0),"",$L$37-1)),0,YEARFRAC(MAX($P$34*($B95+$I$38-1),IF(AND($L$37=0,$P$34=0),"",$L$37-1)),MIN(CF$38,$E95),$P$20))-SUM($BF95:CE95))</f>
        <v>0</v>
      </c>
      <c r="CG95" s="446">
        <f>IF($E95=0,0,IF(MIN(CG$38,$E95)&lt;MAX($P$34*($B95+$I$38-1),IF(AND($L$37=0,$P$34=0),"",$L$37-1)),0,YEARFRAC(MAX($P$34*($B95+$I$38-1),IF(AND($L$37=0,$P$34=0),"",$L$37-1)),MIN(CG$38,$E95),$P$20))-SUM($BF95:CF95))</f>
        <v>0</v>
      </c>
      <c r="CH95" s="446">
        <f>IF($E95=0,0,IF(MIN(CH$38,$E95)&lt;MAX($P$34*($B95+$I$38-1),IF(AND($L$37=0,$P$34=0),"",$L$37-1)),0,YEARFRAC(MAX($P$34*($B95+$I$38-1),IF(AND($L$37=0,$P$34=0),"",$L$37-1)),MIN(CH$38,$E95),$P$20))-SUM($BF95:CG95))</f>
        <v>0</v>
      </c>
      <c r="CI95" s="446">
        <f>IF($E95=0,0,IF(MIN(CI$38,$E95)&lt;MAX($P$34*($B95+$I$38-1),IF(AND($L$37=0,$P$34=0),"",$L$37-1)),0,YEARFRAC(MAX($P$34*($B95+$I$38-1),IF(AND($L$37=0,$P$34=0),"",$L$37-1)),MIN(CI$38,$E95),$P$20))-SUM($BF95:CH95))</f>
        <v>0</v>
      </c>
      <c r="CJ95" s="446">
        <f>IF($E95=0,0,IF(MIN(CJ$38,$E95)&lt;MAX($P$34*($B95+$I$38-1),IF(AND($L$37=0,$P$34=0),"",$L$37-1)),0,YEARFRAC(MAX($P$34*($B95+$I$38-1),IF(AND($L$37=0,$P$34=0),"",$L$37-1)),MIN(CJ$38,$E95),$P$20))-SUM($BF95:CI95))</f>
        <v>0</v>
      </c>
      <c r="CK95" s="446">
        <f>IF($E95=0,0,IF(MIN(CK$38,$E95)&lt;MAX($P$34*($B95+$I$38-1),IF(AND($L$37=0,$P$34=0),"",$L$37-1)),0,YEARFRAC(MAX($P$34*($B95+$I$38-1),IF(AND($L$37=0,$P$34=0),"",$L$37-1)),MIN(CK$38,$E95),$P$20))-SUM($BF95:CJ95))</f>
        <v>0</v>
      </c>
      <c r="CL95" s="446">
        <f>IF($E95=0,0,IF(MIN(CL$38,$E95)&lt;MAX($P$34*($B95+$I$38-1),IF(AND($L$37=0,$P$34=0),"",$L$37-1)),0,YEARFRAC(MAX($P$34*($B95+$I$38-1),IF(AND($L$37=0,$P$34=0),"",$L$37-1)),MIN(CL$38,$E95),$P$20))-SUM($BF95:CK95))</f>
        <v>0</v>
      </c>
      <c r="CM95" s="446">
        <f>IF($E95=0,0,IF(MIN(CM$38,$E95)&lt;MAX($P$34*($B95+$I$38-1),IF(AND($L$37=0,$P$34=0),"",$L$37-1)),0,YEARFRAC(MAX($P$34*($B95+$I$38-1),IF(AND($L$37=0,$P$34=0),"",$L$37-1)),MIN(CM$38,$E95),$P$20))-SUM($BF95:CL95))</f>
        <v>0</v>
      </c>
      <c r="CN95" s="446">
        <f>IF($E95=0,0,IF(MIN(CN$38,$E95)&lt;MAX($P$34*($B95+$I$38-1),IF(AND($L$37=0,$P$34=0),"",$L$37-1)),0,YEARFRAC(MAX($P$34*($B95+$I$38-1),IF(AND($L$37=0,$P$34=0),"",$L$37-1)),MIN(CN$38,$E95),$P$20))-SUM($BF95:CM95))</f>
        <v>0</v>
      </c>
      <c r="CO95" s="446">
        <f>IF($E95=0,0,IF(MIN(CO$38,$E95)&lt;MAX($P$34*($B95+$I$38-1),IF(AND($L$37=0,$P$34=0),"",$L$37-1)),0,YEARFRAC(MAX($P$34*($B95+$I$38-1),IF(AND($L$37=0,$P$34=0),"",$L$37-1)),MIN(CO$38,$E95),$P$20))-SUM($BF95:CN95))</f>
        <v>0</v>
      </c>
      <c r="CP95" s="446">
        <f>IF($E95=0,0,IF(MIN(CP$38,$E95)&lt;MAX($P$34*($B95+$I$38-1),IF(AND($L$37=0,$P$34=0),"",$L$37-1)),0,YEARFRAC(MAX($P$34*($B95+$I$38-1),IF(AND($L$37=0,$P$34=0),"",$L$37-1)),MIN(CP$38,$E95),$P$20))-SUM($BF95:CO95))</f>
        <v>0</v>
      </c>
      <c r="CQ95" s="446">
        <f>IF($E95=0,0,IF(MIN(CQ$38,$E95)&lt;MAX($P$34*($B95+$I$38-1),IF(AND($L$37=0,$P$34=0),"",$L$37-1)),0,YEARFRAC(MAX($P$34*($B95+$I$38-1),IF(AND($L$37=0,$P$34=0),"",$L$37-1)),MIN(CQ$38,$E95),$P$20))-SUM($BF95:CP95))</f>
        <v>0</v>
      </c>
    </row>
    <row r="96" spans="1:95" s="446" customFormat="1" ht="11.25" hidden="1" customHeight="1" x14ac:dyDescent="0.2">
      <c r="A96" s="152"/>
      <c r="B96" s="153" t="str">
        <f t="shared" si="15"/>
        <v/>
      </c>
      <c r="C96" s="29" t="str">
        <f>IF(B96="","",IF($L$35="SELIC - TRIBUTOS",VLOOKUP(DATE(YEAR($D$19),MONTH($D$19)-1,1),ÍNDICES!$A:$DE,HLOOKUP($BL$25,ÍNDICES!$B$3:$T$4,2)+11)-VLOOKUP(B96,ÍNDICES!$A:$DE,HLOOKUP($BL$25,ÍNDICES!$B$3:$T$4,2)+11)+1%,IF(C$38=$W$26,$J$35,IF(ISERROR(IF(B96&gt;$D$19,1,VLOOKUP(DATE(YEAR(B96),MONTH(B96)+IF($C$35=$S$23,1,0),1),ÍNDICES!$A:$DE,$Z$35+1))),"",IF(B96&gt;$D$19,1,VLOOKUP(DATE(YEAR(B96),MONTH(B96)+IF($C$35=$S$23,1,0),1),ÍNDICES!$A:$DE,$Z$35+1))))))</f>
        <v/>
      </c>
      <c r="D96" s="154" t="str">
        <f>IF(ISERROR(IF(OR($D$38=$Y$27,$B96=""),"",VLOOKUP(B96,ÍNDICES!A:DE,AF$35+1))),"",IF(OR($D$38=$Y$27,$B96=""),"",VLOOKUP(B96,ÍNDICES!A:DE,AF$35+1)))</f>
        <v/>
      </c>
      <c r="E96" s="153"/>
      <c r="F96" s="29" t="str">
        <f>IF(E96="","",IF($L$35="SELIC - TRIBUTOS",VLOOKUP(DATE(YEAR($D$19),MONTH($D$19)-1,1),ÍNDICES!$A:$DE,HLOOKUP($BL$25,ÍNDICES!$B$3:$T$4,2)+11)-VLOOKUP(E96,ÍNDICES!$A:$DE,HLOOKUP($BL$25,ÍNDICES!$B$3:$T$4,2)+11)+1%,IF(F$38=$W$26,$J$35,IF(ISERROR(IF(E96&gt;$D$19,1,VLOOKUP(DATE(YEAR(E96),MONTH(E96)+IF($C$35=$S$23,1,0),1),ÍNDICES!$A:$DE,$Z$35+1))),"",IF(E96&gt;$D$19,1,VLOOKUP(DATE(YEAR(E96),MONTH(E96)+IF($C$35=$S$23,1,0),1),ÍNDICES!$A:$DE,$Z$35+1))))))</f>
        <v/>
      </c>
      <c r="G96" s="155"/>
      <c r="H96" s="156" t="str">
        <f t="shared" si="11"/>
        <v/>
      </c>
      <c r="I96" s="29" t="str">
        <f t="shared" si="5"/>
        <v/>
      </c>
      <c r="J96" s="5">
        <f t="shared" si="6"/>
        <v>0</v>
      </c>
      <c r="K96" s="20">
        <f t="shared" ca="1" si="7"/>
        <v>0</v>
      </c>
      <c r="L96" s="5">
        <f t="shared" ca="1" si="8"/>
        <v>0</v>
      </c>
      <c r="M96" s="64">
        <f t="shared" si="12"/>
        <v>0</v>
      </c>
      <c r="N96" s="61">
        <f t="shared" ca="1" si="13"/>
        <v>0</v>
      </c>
      <c r="O96" s="5">
        <f t="shared" ca="1" si="14"/>
        <v>0</v>
      </c>
      <c r="P96" s="446" t="e">
        <f t="shared" si="9"/>
        <v>#VALUE!</v>
      </c>
      <c r="Q96" s="446" t="e">
        <f>IF(OR($B96="",MIN(Q$38,$D$19)&lt;MAX($P$34*($B96+IF($R$17="Distrato",$I$38-1,0)),IF(AND($L$37=0,$P$34=0),"",$L$37-1),IF($R$17="Distrato",$E96,0))),0,YEARFRAC(MAX($P$34*($B96+IF($R$17="Distrato",$I$38-1,0)),IF(AND($L$37=0,$P$34=0),"",$L$37-1),IF($R$17="Distrato",$E96,0)),MIN(Q$38,$D$19),$P$20))-SUM($P96:P96)</f>
        <v>#VALUE!</v>
      </c>
      <c r="R96" s="446" t="e">
        <f>IF(OR($B96="",MIN(R$38,$D$19)&lt;MAX($P$34*($B96+IF($R$17="Distrato",$I$38-1,0)),IF(AND($L$37=0,$P$34=0),"",$L$37-1),IF($R$17="Distrato",$E96,0))),0,YEARFRAC(MAX($P$34*($B96+IF($R$17="Distrato",$I$38-1,0)),IF(AND($L$37=0,$P$34=0),"",$L$37-1),IF($R$17="Distrato",$E96,0)),MIN(R$38,$D$19),$P$20))-SUM($P96:Q96)</f>
        <v>#VALUE!</v>
      </c>
      <c r="S96" s="446" t="e">
        <f>IF(OR($B96="",MIN(S$38,$D$19)&lt;MAX($P$34*($B96+IF($R$17="Distrato",$I$38-1,0)),IF(AND($L$37=0,$P$34=0),"",$L$37-1),IF($R$17="Distrato",$E96,0))),0,YEARFRAC(MAX($P$34*($B96+IF($R$17="Distrato",$I$38-1,0)),IF(AND($L$37=0,$P$34=0),"",$L$37-1),IF($R$17="Distrato",$E96,0)),MIN(S$38,$D$19),$P$20))-SUM($P96:R96)</f>
        <v>#VALUE!</v>
      </c>
      <c r="T96" s="446" t="e">
        <f>IF(OR($B96="",MIN(T$38,$D$19)&lt;MAX($P$34*($B96+IF($R$17="Distrato",$I$38-1,0)),IF(AND($L$37=0,$P$34=0),"",$L$37-1),IF($R$17="Distrato",$E96,0))),0,YEARFRAC(MAX($P$34*($B96+IF($R$17="Distrato",$I$38-1,0)),IF(AND($L$37=0,$P$34=0),"",$L$37-1),IF($R$17="Distrato",$E96,0)),MIN(T$38,$D$19),$P$20))-SUM($P96:S96)</f>
        <v>#VALUE!</v>
      </c>
      <c r="U96" s="446" t="e">
        <f>IF(OR($B96="",MIN(U$38,$D$19)&lt;MAX($P$34*($B96+IF($R$17="Distrato",$I$38-1,0)),IF(AND($L$37=0,$P$34=0),"",$L$37-1),IF($R$17="Distrato",$E96,0))),0,YEARFRAC(MAX($P$34*($B96+IF($R$17="Distrato",$I$38-1,0)),IF(AND($L$37=0,$P$34=0),"",$L$37-1),IF($R$17="Distrato",$E96,0)),MIN(U$38,$D$19),$P$20))-SUM($P96:T96)</f>
        <v>#VALUE!</v>
      </c>
      <c r="V96" s="446" t="e">
        <f>IF(OR($B96="",MIN(V$38,$D$19)&lt;MAX($P$34*($B96+IF($R$17="Distrato",$I$38-1,0)),IF(AND($L$37=0,$P$34=0),"",$L$37-1),IF($R$17="Distrato",$E96,0))),0,YEARFRAC(MAX($P$34*($B96+IF($R$17="Distrato",$I$38-1,0)),IF(AND($L$37=0,$P$34=0),"",$L$37-1),IF($R$17="Distrato",$E96,0)),MIN(V$38,$D$19),$P$20))-SUM($P96:U96)</f>
        <v>#VALUE!</v>
      </c>
      <c r="W96" s="446" t="e">
        <f>IF(OR($B96="",MIN(W$38,$D$19)&lt;MAX($P$34*($B96+IF($R$17="Distrato",$I$38-1,0)),IF(AND($L$37=0,$P$34=0),"",$L$37-1),IF($R$17="Distrato",$E96,0))),0,YEARFRAC(MAX($P$34*($B96+IF($R$17="Distrato",$I$38-1,0)),IF(AND($L$37=0,$P$34=0),"",$L$37-1),IF($R$17="Distrato",$E96,0)),MIN(W$38,$D$19),$P$20))-SUM($P96:V96)</f>
        <v>#VALUE!</v>
      </c>
      <c r="X96" s="446" t="e">
        <f>IF(OR($B96="",MIN(X$38,$D$19)&lt;MAX($P$34*($B96+IF($R$17="Distrato",$I$38-1,0)),IF(AND($L$37=0,$P$34=0),"",$L$37-1),IF($R$17="Distrato",$E96,0))),0,YEARFRAC(MAX($P$34*($B96+IF($R$17="Distrato",$I$38-1,0)),IF(AND($L$37=0,$P$34=0),"",$L$37-1),IF($R$17="Distrato",$E96,0)),MIN(X$38,$D$19),$P$20))-SUM($P96:W96)</f>
        <v>#VALUE!</v>
      </c>
      <c r="Y96" s="446" t="e">
        <f>IF(OR($B96="",MIN(Y$38,$D$19)&lt;MAX($P$34*($B96+IF($R$17="Distrato",$I$38-1,0)),IF(AND($L$37=0,$P$34=0),"",$L$37-1),IF($R$17="Distrato",$E96,0))),0,YEARFRAC(MAX($P$34*($B96+IF($R$17="Distrato",$I$38-1,0)),IF(AND($L$37=0,$P$34=0),"",$L$37-1),IF($R$17="Distrato",$E96,0)),MIN(Y$38,$D$19),$P$20))-SUM($P96:X96)</f>
        <v>#VALUE!</v>
      </c>
      <c r="Z96" s="446" t="e">
        <f>IF(OR($B96="",MIN(Z$38,$D$19)&lt;MAX($P$34*($B96+IF($R$17="Distrato",$I$38-1,0)),IF(AND($L$37=0,$P$34=0),"",$L$37-1),IF($R$17="Distrato",$E96,0))),0,YEARFRAC(MAX($P$34*($B96+IF($R$17="Distrato",$I$38-1,0)),IF(AND($L$37=0,$P$34=0),"",$L$37-1),IF($R$17="Distrato",$E96,0)),MIN(Z$38,$D$19),$P$20))-SUM($P96:Y96)</f>
        <v>#VALUE!</v>
      </c>
      <c r="AA96" s="446" t="e">
        <f>IF(OR($B96="",MIN(AA$38,$D$19)&lt;MAX($P$34*($B96+IF($R$17="Distrato",$I$38-1,0)),IF(AND($L$37=0,$P$34=0),"",$L$37-1),IF($R$17="Distrato",$E96,0))),0,YEARFRAC(MAX($P$34*($B96+IF($R$17="Distrato",$I$38-1,0)),IF(AND($L$37=0,$P$34=0),"",$L$37-1),IF($R$17="Distrato",$E96,0)),MIN(AA$38,$D$19),$P$20))-SUM($P96:Z96)</f>
        <v>#VALUE!</v>
      </c>
      <c r="AB96" s="446" t="e">
        <f>IF(OR($B96="",MIN(AB$38,$D$19)&lt;MAX($P$34*($B96+IF($R$17="Distrato",$I$38-1,0)),IF(AND($L$37=0,$P$34=0),"",$L$37-1),IF($R$17="Distrato",$E96,0))),0,YEARFRAC(MAX($P$34*($B96+IF($R$17="Distrato",$I$38-1,0)),IF(AND($L$37=0,$P$34=0),"",$L$37-1),IF($R$17="Distrato",$E96,0)),MIN(AB$38,$D$19),$P$20))-SUM($P96:AA96)</f>
        <v>#VALUE!</v>
      </c>
      <c r="AC96" s="446" t="e">
        <f>IF(OR($B96="",MIN(AC$38,$D$19)&lt;MAX($P$34*($B96+IF($R$17="Distrato",$I$38-1,0)),IF(AND($L$37=0,$P$34=0),"",$L$37-1),IF($R$17="Distrato",$E96,0))),0,YEARFRAC(MAX($P$34*($B96+IF($R$17="Distrato",$I$38-1,0)),IF(AND($L$37=0,$P$34=0),"",$L$37-1),IF($R$17="Distrato",$E96,0)),MIN(AC$38,$D$19),$P$20))-SUM($P96:AB96)</f>
        <v>#VALUE!</v>
      </c>
      <c r="AD96" s="446" t="e">
        <f>IF(OR($B96="",MIN(AD$38,$D$19)&lt;MAX($P$34*($B96+IF($R$17="Distrato",$I$38-1,0)),IF(AND($L$37=0,$P$34=0),"",$L$37-1),IF($R$17="Distrato",$E96,0))),0,YEARFRAC(MAX($P$34*($B96+IF($R$17="Distrato",$I$38-1,0)),IF(AND($L$37=0,$P$34=0),"",$L$37-1),IF($R$17="Distrato",$E96,0)),MIN(AD$38,$D$19),$P$20))-SUM($P96:AC96)</f>
        <v>#VALUE!</v>
      </c>
      <c r="AE96" s="446" t="e">
        <f>IF(OR($B96="",MIN(AE$38,$D$19)&lt;MAX($P$34*($B96+IF($R$17="Distrato",$I$38-1,0)),IF(AND($L$37=0,$P$34=0),"",$L$37-1),IF($R$17="Distrato",$E96,0))),0,YEARFRAC(MAX($P$34*($B96+IF($R$17="Distrato",$I$38-1,0)),IF(AND($L$37=0,$P$34=0),"",$L$37-1),IF($R$17="Distrato",$E96,0)),MIN(AE$38,$D$19),$P$20))-SUM($P96:AD96)</f>
        <v>#VALUE!</v>
      </c>
      <c r="AF96" s="446" t="e">
        <f>IF(OR($B96="",MIN(AF$38,$D$19)&lt;MAX($P$34*($B96+IF($R$17="Distrato",$I$38-1,0)),IF(AND($L$37=0,$P$34=0),"",$L$37-1),IF($R$17="Distrato",$E96,0))),0,YEARFRAC(MAX($P$34*($B96+IF($R$17="Distrato",$I$38-1,0)),IF(AND($L$37=0,$P$34=0),"",$L$37-1),IF($R$17="Distrato",$E96,0)),MIN(AF$38,$D$19),$P$20))-SUM($P96:AE96)</f>
        <v>#VALUE!</v>
      </c>
      <c r="AG96" s="446" t="e">
        <f>IF(OR($B96="",MIN(AG$38,$D$19)&lt;MAX($P$34*($B96+IF($R$17="Distrato",$I$38-1,0)),IF(AND($L$37=0,$P$34=0),"",$L$37-1),IF($R$17="Distrato",$E96,0))),0,YEARFRAC(MAX($P$34*($B96+IF($R$17="Distrato",$I$38-1,0)),IF(AND($L$37=0,$P$34=0),"",$L$37-1),IF($R$17="Distrato",$E96,0)),MIN(AG$38,$D$19),$P$20))-SUM($P96:AF96)</f>
        <v>#VALUE!</v>
      </c>
      <c r="AH96" s="446" t="e">
        <f>IF(OR($B96="",MIN(AH$38,$D$19)&lt;MAX($P$34*($B96+IF($R$17="Distrato",$I$38-1,0)),IF(AND($L$37=0,$P$34=0),"",$L$37-1),IF($R$17="Distrato",$E96,0))),0,YEARFRAC(MAX($P$34*($B96+IF($R$17="Distrato",$I$38-1,0)),IF(AND($L$37=0,$P$34=0),"",$L$37-1),IF($R$17="Distrato",$E96,0)),MIN(AH$38,$D$19),$P$20))-SUM($P96:AG96)</f>
        <v>#VALUE!</v>
      </c>
      <c r="AI96" s="446" t="e">
        <f>IF(OR($B96="",MIN(AI$38,$D$19)&lt;MAX($P$34*($B96+IF($R$17="Distrato",$I$38-1,0)),IF(AND($L$37=0,$P$34=0),"",$L$37-1),IF($R$17="Distrato",$E96,0))),0,YEARFRAC(MAX($P$34*($B96+IF($R$17="Distrato",$I$38-1,0)),IF(AND($L$37=0,$P$34=0),"",$L$37-1),IF($R$17="Distrato",$E96,0)),MIN(AI$38,$D$19),$P$20))-SUM($P96:AH96)</f>
        <v>#VALUE!</v>
      </c>
      <c r="AJ96" s="446" t="e">
        <f>IF(OR($B96="",MIN(AJ$38,$D$19)&lt;MAX($P$34*($B96+IF($R$17="Distrato",$I$38-1,0)),IF(AND($L$37=0,$P$34=0),"",$L$37-1),IF($R$17="Distrato",$E96,0))),0,YEARFRAC(MAX($P$34*($B96+IF($R$17="Distrato",$I$38-1,0)),IF(AND($L$37=0,$P$34=0),"",$L$37-1),IF($R$17="Distrato",$E96,0)),MIN(AJ$38,$D$19),$P$20))-SUM($P96:AI96)</f>
        <v>#VALUE!</v>
      </c>
      <c r="AK96" s="446" t="e">
        <f>IF(OR($B96="",MIN(AK$38,$D$19)&lt;MAX($P$34*($B96+IF($R$17="Distrato",$I$38-1,0)),IF(AND($L$37=0,$P$34=0),"",$L$37-1),IF($R$17="Distrato",$E96,0))),0,YEARFRAC(MAX($P$34*($B96+IF($R$17="Distrato",$I$38-1,0)),IF(AND($L$37=0,$P$34=0),"",$L$37-1),IF($R$17="Distrato",$E96,0)),MIN(AK$38,$D$19),$P$20))-SUM($P96:AJ96)</f>
        <v>#VALUE!</v>
      </c>
      <c r="AL96" s="446" t="e">
        <f>IF(OR($B96="",MIN(AL$38,$D$19)&lt;MAX($P$34*($B96+IF($R$17="Distrato",$I$38-1,0)),IF(AND($L$37=0,$P$34=0),"",$L$37-1),IF($R$17="Distrato",$E96,0))),0,YEARFRAC(MAX($P$34*($B96+IF($R$17="Distrato",$I$38-1,0)),IF(AND($L$37=0,$P$34=0),"",$L$37-1),IF($R$17="Distrato",$E96,0)),MIN(AL$38,$D$19),$P$20))-SUM($P96:AK96)</f>
        <v>#VALUE!</v>
      </c>
      <c r="AM96" s="446" t="e">
        <f>IF(OR($B96="",MIN(AM$38,$D$19)&lt;MAX($P$34*($B96+IF($R$17="Distrato",$I$38-1,0)),IF(AND($L$37=0,$P$34=0),"",$L$37-1),IF($R$17="Distrato",$E96,0))),0,YEARFRAC(MAX($P$34*($B96+IF($R$17="Distrato",$I$38-1,0)),IF(AND($L$37=0,$P$34=0),"",$L$37-1),IF($R$17="Distrato",$E96,0)),MIN(AM$38,$D$19),$P$20))-SUM($P96:AL96)</f>
        <v>#VALUE!</v>
      </c>
      <c r="AN96" s="446" t="e">
        <f>IF(OR($B96="",MIN(AN$38,$D$19)&lt;MAX($P$34*($B96+IF($R$17="Distrato",$I$38-1,0)),IF(AND($L$37=0,$P$34=0),"",$L$37-1),IF($R$17="Distrato",$E96,0))),0,YEARFRAC(MAX($P$34*($B96+IF($R$17="Distrato",$I$38-1,0)),IF(AND($L$37=0,$P$34=0),"",$L$37-1),IF($R$17="Distrato",$E96,0)),MIN(AN$38,$D$19),$P$20))-SUM($P96:AM96)</f>
        <v>#VALUE!</v>
      </c>
      <c r="AO96" s="446" t="e">
        <f>IF(OR($B96="",MIN(AO$38,$D$19)&lt;MAX($P$34*($B96+IF($R$17="Distrato",$I$38-1,0)),IF(AND($L$37=0,$P$34=0),"",$L$37-1),IF($R$17="Distrato",$E96,0))),0,YEARFRAC(MAX($P$34*($B96+IF($R$17="Distrato",$I$38-1,0)),IF(AND($L$37=0,$P$34=0),"",$L$37-1),IF($R$17="Distrato",$E96,0)),MIN(AO$38,$D$19),$P$20))-SUM($P96:AN96)</f>
        <v>#VALUE!</v>
      </c>
      <c r="AP96" s="446" t="e">
        <f>IF(OR($B96="",MIN(AP$38,$D$19)&lt;MAX($P$34*($B96+IF($R$17="Distrato",$I$38-1,0)),IF(AND($L$37=0,$P$34=0),"",$L$37-1),IF($R$17="Distrato",$E96,0))),0,YEARFRAC(MAX($P$34*($B96+IF($R$17="Distrato",$I$38-1,0)),IF(AND($L$37=0,$P$34=0),"",$L$37-1),IF($R$17="Distrato",$E96,0)),MIN(AP$38,$D$19),$P$20))-SUM($P96:AO96)</f>
        <v>#VALUE!</v>
      </c>
      <c r="AQ96" s="446" t="e">
        <f>IF(OR($B96="",MIN(AQ$38,$D$19)&lt;MAX($P$34*($B96+IF($R$17="Distrato",$I$38-1,0)),IF(AND($L$37=0,$P$34=0),"",$L$37-1),IF($R$17="Distrato",$E96,0))),0,YEARFRAC(MAX($P$34*($B96+IF($R$17="Distrato",$I$38-1,0)),IF(AND($L$37=0,$P$34=0),"",$L$37-1),IF($R$17="Distrato",$E96,0)),MIN(AQ$38,$D$19),$P$20))-SUM($P96:AP96)</f>
        <v>#VALUE!</v>
      </c>
      <c r="AR96" s="446" t="e">
        <f>IF(OR($B96="",MIN(AR$38,$D$19)&lt;MAX($P$34*($B96+IF($R$17="Distrato",$I$38-1,0)),IF(AND($L$37=0,$P$34=0),"",$L$37-1),IF($R$17="Distrato",$E96,0))),0,YEARFRAC(MAX($P$34*($B96+IF($R$17="Distrato",$I$38-1,0)),IF(AND($L$37=0,$P$34=0),"",$L$37-1),IF($R$17="Distrato",$E96,0)),MIN(AR$38,$D$19),$P$20))-SUM($P96:AQ96)</f>
        <v>#VALUE!</v>
      </c>
      <c r="AS96" s="446" t="e">
        <f>IF(OR($B96="",MIN(AS$38,$D$19)&lt;MAX($P$34*($B96+IF($R$17="Distrato",$I$38-1,0)),IF(AND($L$37=0,$P$34=0),"",$L$37-1),IF($R$17="Distrato",$E96,0))),0,YEARFRAC(MAX($P$34*($B96+IF($R$17="Distrato",$I$38-1,0)),IF(AND($L$37=0,$P$34=0),"",$L$37-1),IF($R$17="Distrato",$E96,0)),MIN(AS$38,$D$19),$P$20))-SUM($P96:AR96)</f>
        <v>#VALUE!</v>
      </c>
      <c r="AT96" s="446" t="e">
        <f>IF(OR($B96="",MIN(AT$38,$D$19)&lt;MAX($P$34*($B96+IF($R$17="Distrato",$I$38-1,0)),IF(AND($L$37=0,$P$34=0),"",$L$37-1),IF($R$17="Distrato",$E96,0))),0,YEARFRAC(MAX($P$34*($B96+IF($R$17="Distrato",$I$38-1,0)),IF(AND($L$37=0,$P$34=0),"",$L$37-1),IF($R$17="Distrato",$E96,0)),MIN(AT$38,$D$19),$P$20))-SUM($P96:AS96)</f>
        <v>#VALUE!</v>
      </c>
      <c r="AU96" s="446" t="e">
        <f>IF(OR($B96="",MIN(AU$38,$D$19)&lt;MAX($P$34*($B96+IF($R$17="Distrato",$I$38-1,0)),IF(AND($L$37=0,$P$34=0),"",$L$37-1),IF($R$17="Distrato",$E96,0))),0,YEARFRAC(MAX($P$34*($B96+IF($R$17="Distrato",$I$38-1,0)),IF(AND($L$37=0,$P$34=0),"",$L$37-1),IF($R$17="Distrato",$E96,0)),MIN(AU$38,$D$19),$P$20))-SUM($P96:AT96)</f>
        <v>#VALUE!</v>
      </c>
      <c r="AV96" s="446" t="e">
        <f>IF(OR($B96="",MIN(AV$38,$D$19)&lt;MAX($P$34*($B96+IF($R$17="Distrato",$I$38-1,0)),IF(AND($L$37=0,$P$34=0),"",$L$37-1),IF($R$17="Distrato",$E96,0))),0,YEARFRAC(MAX($P$34*($B96+IF($R$17="Distrato",$I$38-1,0)),IF(AND($L$37=0,$P$34=0),"",$L$37-1),IF($R$17="Distrato",$E96,0)),MIN(AV$38,$D$19),$P$20))-SUM($P96:AU96)</f>
        <v>#VALUE!</v>
      </c>
      <c r="AW96" s="446" t="e">
        <f>IF(OR($B96="",MIN(AW$38,$D$19)&lt;MAX($P$34*($B96+IF($R$17="Distrato",$I$38-1,0)),IF(AND($L$37=0,$P$34=0),"",$L$37-1),IF($R$17="Distrato",$E96,0))),0,YEARFRAC(MAX($P$34*($B96+IF($R$17="Distrato",$I$38-1,0)),IF(AND($L$37=0,$P$34=0),"",$L$37-1),IF($R$17="Distrato",$E96,0)),MIN(AW$38,$D$19),$P$20))-SUM($P96:AV96)</f>
        <v>#VALUE!</v>
      </c>
      <c r="AX96" s="446" t="e">
        <f>IF(OR($B96="",MIN(AX$38,$D$19)&lt;MAX($P$34*($B96+IF($R$17="Distrato",$I$38-1,0)),IF(AND($L$37=0,$P$34=0),"",$L$37-1),IF($R$17="Distrato",$E96,0))),0,YEARFRAC(MAX($P$34*($B96+IF($R$17="Distrato",$I$38-1,0)),IF(AND($L$37=0,$P$34=0),"",$L$37-1),IF($R$17="Distrato",$E96,0)),MIN(AX$38,$D$19),$P$20))-SUM($P96:AW96)</f>
        <v>#VALUE!</v>
      </c>
      <c r="AY96" s="446" t="e">
        <f>IF(OR($B96="",MIN(AY$38,$D$19)&lt;MAX($P$34*($B96+IF($R$17="Distrato",$I$38-1,0)),IF(AND($L$37=0,$P$34=0),"",$L$37-1),IF($R$17="Distrato",$E96,0))),0,YEARFRAC(MAX($P$34*($B96+IF($R$17="Distrato",$I$38-1,0)),IF(AND($L$37=0,$P$34=0),"",$L$37-1),IF($R$17="Distrato",$E96,0)),MIN(AY$38,$D$19),$P$20))-SUM($P96:AX96)</f>
        <v>#VALUE!</v>
      </c>
      <c r="AZ96" s="446" t="e">
        <f>IF(OR($B96="",MIN(AZ$38,$D$19)&lt;MAX($P$34*($B96+IF($R$17="Distrato",$I$38-1,0)),IF(AND($L$37=0,$P$34=0),"",$L$37-1),IF($R$17="Distrato",$E96,0))),0,YEARFRAC(MAX($P$34*($B96+IF($R$17="Distrato",$I$38-1,0)),IF(AND($L$37=0,$P$34=0),"",$L$37-1),IF($R$17="Distrato",$E96,0)),MIN(AZ$38,$D$19),$P$20))-SUM($P96:AY96)</f>
        <v>#VALUE!</v>
      </c>
      <c r="BA96" s="446" t="e">
        <f>IF(OR($B96="",MIN(BA$38,$D$19)&lt;MAX($P$34*($B96+IF($R$17="Distrato",$I$38-1,0)),IF(AND($L$37=0,$P$34=0),"",$L$37-1),IF($R$17="Distrato",$E96,0))),0,YEARFRAC(MAX($P$34*($B96+IF($R$17="Distrato",$I$38-1,0)),IF(AND($L$37=0,$P$34=0),"",$L$37-1),IF($R$17="Distrato",$E96,0)),MIN(BA$38,$D$19),$P$20))-SUM($P96:AZ96)</f>
        <v>#VALUE!</v>
      </c>
      <c r="BB96" s="447"/>
      <c r="BF96" s="446">
        <f t="shared" si="10"/>
        <v>0</v>
      </c>
      <c r="BG96" s="446">
        <f>IF($E96=0,0,IF(MIN(BG$38,$E96)&lt;MAX($P$34*($B96+$I$38-1),IF(AND($L$37=0,$P$34=0),"",$L$37-1)),0,YEARFRAC(MAX($P$34*($B96+$I$38-1),IF(AND($L$37=0,$P$34=0),"",$L$37-1)),MIN(BG$38,$E96),$P$20))-SUM($BF96:BF96))</f>
        <v>0</v>
      </c>
      <c r="BH96" s="446">
        <f>IF($E96=0,0,IF(MIN(BH$38,$E96)&lt;MAX($P$34*($B96+$I$38-1),IF(AND($L$37=0,$P$34=0),"",$L$37-1)),0,YEARFRAC(MAX($P$34*($B96+$I$38-1),IF(AND($L$37=0,$P$34=0),"",$L$37-1)),MIN(BH$38,$E96),$P$20))-SUM($BF96:BG96))</f>
        <v>0</v>
      </c>
      <c r="BI96" s="446">
        <f>IF($E96=0,0,IF(MIN(BI$38,$E96)&lt;MAX($P$34*($B96+$I$38-1),IF(AND($L$37=0,$P$34=0),"",$L$37-1)),0,YEARFRAC(MAX($P$34*($B96+$I$38-1),IF(AND($L$37=0,$P$34=0),"",$L$37-1)),MIN(BI$38,$E96),$P$20))-SUM($BF96:BH96))</f>
        <v>0</v>
      </c>
      <c r="BJ96" s="446">
        <f>IF($E96=0,0,IF(MIN(BJ$38,$E96)&lt;MAX($P$34*($B96+$I$38-1),IF(AND($L$37=0,$P$34=0),"",$L$37-1)),0,YEARFRAC(MAX($P$34*($B96+$I$38-1),IF(AND($L$37=0,$P$34=0),"",$L$37-1)),MIN(BJ$38,$E96),$P$20))-SUM($BF96:BI96))</f>
        <v>0</v>
      </c>
      <c r="BK96" s="446">
        <f>IF($E96=0,0,IF(MIN(BK$38,$E96)&lt;MAX($P$34*($B96+$I$38-1),IF(AND($L$37=0,$P$34=0),"",$L$37-1)),0,YEARFRAC(MAX($P$34*($B96+$I$38-1),IF(AND($L$37=0,$P$34=0),"",$L$37-1)),MIN(BK$38,$E96),$P$20))-SUM($BF96:BJ96))</f>
        <v>0</v>
      </c>
      <c r="BL96" s="446">
        <f>IF($E96=0,0,IF(MIN(BL$38,$E96)&lt;MAX($P$34*($B96+$I$38-1),IF(AND($L$37=0,$P$34=0),"",$L$37-1)),0,YEARFRAC(MAX($P$34*($B96+$I$38-1),IF(AND($L$37=0,$P$34=0),"",$L$37-1)),MIN(BL$38,$E96),$P$20))-SUM($BF96:BK96))</f>
        <v>0</v>
      </c>
      <c r="BM96" s="446">
        <f>IF($E96=0,0,IF(MIN(BM$38,$E96)&lt;MAX($P$34*($B96+$I$38-1),IF(AND($L$37=0,$P$34=0),"",$L$37-1)),0,YEARFRAC(MAX($P$34*($B96+$I$38-1),IF(AND($L$37=0,$P$34=0),"",$L$37-1)),MIN(BM$38,$E96),$P$20))-SUM($BF96:BL96))</f>
        <v>0</v>
      </c>
      <c r="BN96" s="446">
        <f>IF($E96=0,0,IF(MIN(BN$38,$E96)&lt;MAX($P$34*($B96+$I$38-1),IF(AND($L$37=0,$P$34=0),"",$L$37-1)),0,YEARFRAC(MAX($P$34*($B96+$I$38-1),IF(AND($L$37=0,$P$34=0),"",$L$37-1)),MIN(BN$38,$E96),$P$20))-SUM($BF96:BM96))</f>
        <v>0</v>
      </c>
      <c r="BO96" s="446">
        <f>IF($E96=0,0,IF(MIN(BO$38,$E96)&lt;MAX($P$34*($B96+$I$38-1),IF(AND($L$37=0,$P$34=0),"",$L$37-1)),0,YEARFRAC(MAX($P$34*($B96+$I$38-1),IF(AND($L$37=0,$P$34=0),"",$L$37-1)),MIN(BO$38,$E96),$P$20))-SUM($BF96:BN96))</f>
        <v>0</v>
      </c>
      <c r="BP96" s="446">
        <f>IF($E96=0,0,IF(MIN(BP$38,$E96)&lt;MAX($P$34*($B96+$I$38-1),IF(AND($L$37=0,$P$34=0),"",$L$37-1)),0,YEARFRAC(MAX($P$34*($B96+$I$38-1),IF(AND($L$37=0,$P$34=0),"",$L$37-1)),MIN(BP$38,$E96),$P$20))-SUM($BF96:BO96))</f>
        <v>0</v>
      </c>
      <c r="BQ96" s="446">
        <f>IF($E96=0,0,IF(MIN(BQ$38,$E96)&lt;MAX($P$34*($B96+$I$38-1),IF(AND($L$37=0,$P$34=0),"",$L$37-1)),0,YEARFRAC(MAX($P$34*($B96+$I$38-1),IF(AND($L$37=0,$P$34=0),"",$L$37-1)),MIN(BQ$38,$E96),$P$20))-SUM($BF96:BP96))</f>
        <v>0</v>
      </c>
      <c r="BR96" s="446">
        <f>IF($E96=0,0,IF(MIN(BR$38,$E96)&lt;MAX($P$34*($B96+$I$38-1),IF(AND($L$37=0,$P$34=0),"",$L$37-1)),0,YEARFRAC(MAX($P$34*($B96+$I$38-1),IF(AND($L$37=0,$P$34=0),"",$L$37-1)),MIN(BR$38,$E96),$P$20))-SUM($BF96:BQ96))</f>
        <v>0</v>
      </c>
      <c r="BS96" s="446">
        <f>IF($E96=0,0,IF(MIN(BS$38,$E96)&lt;MAX($P$34*($B96+$I$38-1),IF(AND($L$37=0,$P$34=0),"",$L$37-1)),0,YEARFRAC(MAX($P$34*($B96+$I$38-1),IF(AND($L$37=0,$P$34=0),"",$L$37-1)),MIN(BS$38,$E96),$P$20))-SUM($BF96:BR96))</f>
        <v>0</v>
      </c>
      <c r="BT96" s="446">
        <f>IF($E96=0,0,IF(MIN(BT$38,$E96)&lt;MAX($P$34*($B96+$I$38-1),IF(AND($L$37=0,$P$34=0),"",$L$37-1)),0,YEARFRAC(MAX($P$34*($B96+$I$38-1),IF(AND($L$37=0,$P$34=0),"",$L$37-1)),MIN(BT$38,$E96),$P$20))-SUM($BF96:BS96))</f>
        <v>0</v>
      </c>
      <c r="BU96" s="446">
        <f>IF($E96=0,0,IF(MIN(BU$38,$E96)&lt;MAX($P$34*($B96+$I$38-1),IF(AND($L$37=0,$P$34=0),"",$L$37-1)),0,YEARFRAC(MAX($P$34*($B96+$I$38-1),IF(AND($L$37=0,$P$34=0),"",$L$37-1)),MIN(BU$38,$E96),$P$20))-SUM($BF96:BT96))</f>
        <v>0</v>
      </c>
      <c r="BV96" s="446">
        <f>IF($E96=0,0,IF(MIN(BV$38,$E96)&lt;MAX($P$34*($B96+$I$38-1),IF(AND($L$37=0,$P$34=0),"",$L$37-1)),0,YEARFRAC(MAX($P$34*($B96+$I$38-1),IF(AND($L$37=0,$P$34=0),"",$L$37-1)),MIN(BV$38,$E96),$P$20))-SUM($BF96:BU96))</f>
        <v>0</v>
      </c>
      <c r="BW96" s="446">
        <f>IF($E96=0,0,IF(MIN(BW$38,$E96)&lt;MAX($P$34*($B96+$I$38-1),IF(AND($L$37=0,$P$34=0),"",$L$37-1)),0,YEARFRAC(MAX($P$34*($B96+$I$38-1),IF(AND($L$37=0,$P$34=0),"",$L$37-1)),MIN(BW$38,$E96),$P$20))-SUM($BF96:BV96))</f>
        <v>0</v>
      </c>
      <c r="BX96" s="446">
        <f>IF($E96=0,0,IF(MIN(BX$38,$E96)&lt;MAX($P$34*($B96+$I$38-1),IF(AND($L$37=0,$P$34=0),"",$L$37-1)),0,YEARFRAC(MAX($P$34*($B96+$I$38-1),IF(AND($L$37=0,$P$34=0),"",$L$37-1)),MIN(BX$38,$E96),$P$20))-SUM($BF96:BW96))</f>
        <v>0</v>
      </c>
      <c r="BY96" s="446">
        <f>IF($E96=0,0,IF(MIN(BY$38,$E96)&lt;MAX($P$34*($B96+$I$38-1),IF(AND($L$37=0,$P$34=0),"",$L$37-1)),0,YEARFRAC(MAX($P$34*($B96+$I$38-1),IF(AND($L$37=0,$P$34=0),"",$L$37-1)),MIN(BY$38,$E96),$P$20))-SUM($BF96:BX96))</f>
        <v>0</v>
      </c>
      <c r="BZ96" s="446">
        <f>IF($E96=0,0,IF(MIN(BZ$38,$E96)&lt;MAX($P$34*($B96+$I$38-1),IF(AND($L$37=0,$P$34=0),"",$L$37-1)),0,YEARFRAC(MAX($P$34*($B96+$I$38-1),IF(AND($L$37=0,$P$34=0),"",$L$37-1)),MIN(BZ$38,$E96),$P$20))-SUM($BF96:BY96))</f>
        <v>0</v>
      </c>
      <c r="CA96" s="446">
        <f>IF($E96=0,0,IF(MIN(CA$38,$E96)&lt;MAX($P$34*($B96+$I$38-1),IF(AND($L$37=0,$P$34=0),"",$L$37-1)),0,YEARFRAC(MAX($P$34*($B96+$I$38-1),IF(AND($L$37=0,$P$34=0),"",$L$37-1)),MIN(CA$38,$E96),$P$20))-SUM($BF96:BZ96))</f>
        <v>0</v>
      </c>
      <c r="CB96" s="446">
        <f>IF($E96=0,0,IF(MIN(CB$38,$E96)&lt;MAX($P$34*($B96+$I$38-1),IF(AND($L$37=0,$P$34=0),"",$L$37-1)),0,YEARFRAC(MAX($P$34*($B96+$I$38-1),IF(AND($L$37=0,$P$34=0),"",$L$37-1)),MIN(CB$38,$E96),$P$20))-SUM($BF96:CA96))</f>
        <v>0</v>
      </c>
      <c r="CC96" s="446">
        <f>IF($E96=0,0,IF(MIN(CC$38,$E96)&lt;MAX($P$34*($B96+$I$38-1),IF(AND($L$37=0,$P$34=0),"",$L$37-1)),0,YEARFRAC(MAX($P$34*($B96+$I$38-1),IF(AND($L$37=0,$P$34=0),"",$L$37-1)),MIN(CC$38,$E96),$P$20))-SUM($BF96:CB96))</f>
        <v>0</v>
      </c>
      <c r="CD96" s="446">
        <f>IF($E96=0,0,IF(MIN(CD$38,$E96)&lt;MAX($P$34*($B96+$I$38-1),IF(AND($L$37=0,$P$34=0),"",$L$37-1)),0,YEARFRAC(MAX($P$34*($B96+$I$38-1),IF(AND($L$37=0,$P$34=0),"",$L$37-1)),MIN(CD$38,$E96),$P$20))-SUM($BF96:CC96))</f>
        <v>0</v>
      </c>
      <c r="CE96" s="446">
        <f>IF($E96=0,0,IF(MIN(CE$38,$E96)&lt;MAX($P$34*($B96+$I$38-1),IF(AND($L$37=0,$P$34=0),"",$L$37-1)),0,YEARFRAC(MAX($P$34*($B96+$I$38-1),IF(AND($L$37=0,$P$34=0),"",$L$37-1)),MIN(CE$38,$E96),$P$20))-SUM($BF96:CD96))</f>
        <v>0</v>
      </c>
      <c r="CF96" s="446">
        <f>IF($E96=0,0,IF(MIN(CF$38,$E96)&lt;MAX($P$34*($B96+$I$38-1),IF(AND($L$37=0,$P$34=0),"",$L$37-1)),0,YEARFRAC(MAX($P$34*($B96+$I$38-1),IF(AND($L$37=0,$P$34=0),"",$L$37-1)),MIN(CF$38,$E96),$P$20))-SUM($BF96:CE96))</f>
        <v>0</v>
      </c>
      <c r="CG96" s="446">
        <f>IF($E96=0,0,IF(MIN(CG$38,$E96)&lt;MAX($P$34*($B96+$I$38-1),IF(AND($L$37=0,$P$34=0),"",$L$37-1)),0,YEARFRAC(MAX($P$34*($B96+$I$38-1),IF(AND($L$37=0,$P$34=0),"",$L$37-1)),MIN(CG$38,$E96),$P$20))-SUM($BF96:CF96))</f>
        <v>0</v>
      </c>
      <c r="CH96" s="446">
        <f>IF($E96=0,0,IF(MIN(CH$38,$E96)&lt;MAX($P$34*($B96+$I$38-1),IF(AND($L$37=0,$P$34=0),"",$L$37-1)),0,YEARFRAC(MAX($P$34*($B96+$I$38-1),IF(AND($L$37=0,$P$34=0),"",$L$37-1)),MIN(CH$38,$E96),$P$20))-SUM($BF96:CG96))</f>
        <v>0</v>
      </c>
      <c r="CI96" s="446">
        <f>IF($E96=0,0,IF(MIN(CI$38,$E96)&lt;MAX($P$34*($B96+$I$38-1),IF(AND($L$37=0,$P$34=0),"",$L$37-1)),0,YEARFRAC(MAX($P$34*($B96+$I$38-1),IF(AND($L$37=0,$P$34=0),"",$L$37-1)),MIN(CI$38,$E96),$P$20))-SUM($BF96:CH96))</f>
        <v>0</v>
      </c>
      <c r="CJ96" s="446">
        <f>IF($E96=0,0,IF(MIN(CJ$38,$E96)&lt;MAX($P$34*($B96+$I$38-1),IF(AND($L$37=0,$P$34=0),"",$L$37-1)),0,YEARFRAC(MAX($P$34*($B96+$I$38-1),IF(AND($L$37=0,$P$34=0),"",$L$37-1)),MIN(CJ$38,$E96),$P$20))-SUM($BF96:CI96))</f>
        <v>0</v>
      </c>
      <c r="CK96" s="446">
        <f>IF($E96=0,0,IF(MIN(CK$38,$E96)&lt;MAX($P$34*($B96+$I$38-1),IF(AND($L$37=0,$P$34=0),"",$L$37-1)),0,YEARFRAC(MAX($P$34*($B96+$I$38-1),IF(AND($L$37=0,$P$34=0),"",$L$37-1)),MIN(CK$38,$E96),$P$20))-SUM($BF96:CJ96))</f>
        <v>0</v>
      </c>
      <c r="CL96" s="446">
        <f>IF($E96=0,0,IF(MIN(CL$38,$E96)&lt;MAX($P$34*($B96+$I$38-1),IF(AND($L$37=0,$P$34=0),"",$L$37-1)),0,YEARFRAC(MAX($P$34*($B96+$I$38-1),IF(AND($L$37=0,$P$34=0),"",$L$37-1)),MIN(CL$38,$E96),$P$20))-SUM($BF96:CK96))</f>
        <v>0</v>
      </c>
      <c r="CM96" s="446">
        <f>IF($E96=0,0,IF(MIN(CM$38,$E96)&lt;MAX($P$34*($B96+$I$38-1),IF(AND($L$37=0,$P$34=0),"",$L$37-1)),0,YEARFRAC(MAX($P$34*($B96+$I$38-1),IF(AND($L$37=0,$P$34=0),"",$L$37-1)),MIN(CM$38,$E96),$P$20))-SUM($BF96:CL96))</f>
        <v>0</v>
      </c>
      <c r="CN96" s="446">
        <f>IF($E96=0,0,IF(MIN(CN$38,$E96)&lt;MAX($P$34*($B96+$I$38-1),IF(AND($L$37=0,$P$34=0),"",$L$37-1)),0,YEARFRAC(MAX($P$34*($B96+$I$38-1),IF(AND($L$37=0,$P$34=0),"",$L$37-1)),MIN(CN$38,$E96),$P$20))-SUM($BF96:CM96))</f>
        <v>0</v>
      </c>
      <c r="CO96" s="446">
        <f>IF($E96=0,0,IF(MIN(CO$38,$E96)&lt;MAX($P$34*($B96+$I$38-1),IF(AND($L$37=0,$P$34=0),"",$L$37-1)),0,YEARFRAC(MAX($P$34*($B96+$I$38-1),IF(AND($L$37=0,$P$34=0),"",$L$37-1)),MIN(CO$38,$E96),$P$20))-SUM($BF96:CN96))</f>
        <v>0</v>
      </c>
      <c r="CP96" s="446">
        <f>IF($E96=0,0,IF(MIN(CP$38,$E96)&lt;MAX($P$34*($B96+$I$38-1),IF(AND($L$37=0,$P$34=0),"",$L$37-1)),0,YEARFRAC(MAX($P$34*($B96+$I$38-1),IF(AND($L$37=0,$P$34=0),"",$L$37-1)),MIN(CP$38,$E96),$P$20))-SUM($BF96:CO96))</f>
        <v>0</v>
      </c>
      <c r="CQ96" s="446">
        <f>IF($E96=0,0,IF(MIN(CQ$38,$E96)&lt;MAX($P$34*($B96+$I$38-1),IF(AND($L$37=0,$P$34=0),"",$L$37-1)),0,YEARFRAC(MAX($P$34*($B96+$I$38-1),IF(AND($L$37=0,$P$34=0),"",$L$37-1)),MIN(CQ$38,$E96),$P$20))-SUM($BF96:CP96))</f>
        <v>0</v>
      </c>
    </row>
    <row r="97" spans="1:95" s="446" customFormat="1" ht="11.25" hidden="1" customHeight="1" x14ac:dyDescent="0.2">
      <c r="A97" s="152"/>
      <c r="B97" s="153" t="str">
        <f t="shared" si="15"/>
        <v/>
      </c>
      <c r="C97" s="29" t="str">
        <f>IF(B97="","",IF($L$35="SELIC - TRIBUTOS",VLOOKUP(DATE(YEAR($D$19),MONTH($D$19)-1,1),ÍNDICES!$A:$DE,HLOOKUP($BL$25,ÍNDICES!$B$3:$T$4,2)+11)-VLOOKUP(B97,ÍNDICES!$A:$DE,HLOOKUP($BL$25,ÍNDICES!$B$3:$T$4,2)+11)+1%,IF(C$38=$W$26,$J$35,IF(ISERROR(IF(B97&gt;$D$19,1,VLOOKUP(DATE(YEAR(B97),MONTH(B97)+IF($C$35=$S$23,1,0),1),ÍNDICES!$A:$DE,$Z$35+1))),"",IF(B97&gt;$D$19,1,VLOOKUP(DATE(YEAR(B97),MONTH(B97)+IF($C$35=$S$23,1,0),1),ÍNDICES!$A:$DE,$Z$35+1))))))</f>
        <v/>
      </c>
      <c r="D97" s="154" t="str">
        <f>IF(ISERROR(IF(OR($D$38=$Y$27,$B97=""),"",VLOOKUP(B97,ÍNDICES!A:DE,AF$35+1))),"",IF(OR($D$38=$Y$27,$B97=""),"",VLOOKUP(B97,ÍNDICES!A:DE,AF$35+1)))</f>
        <v/>
      </c>
      <c r="E97" s="153"/>
      <c r="F97" s="29" t="str">
        <f>IF(E97="","",IF($L$35="SELIC - TRIBUTOS",VLOOKUP(DATE(YEAR($D$19),MONTH($D$19)-1,1),ÍNDICES!$A:$DE,HLOOKUP($BL$25,ÍNDICES!$B$3:$T$4,2)+11)-VLOOKUP(E97,ÍNDICES!$A:$DE,HLOOKUP($BL$25,ÍNDICES!$B$3:$T$4,2)+11)+1%,IF(F$38=$W$26,$J$35,IF(ISERROR(IF(E97&gt;$D$19,1,VLOOKUP(DATE(YEAR(E97),MONTH(E97)+IF($C$35=$S$23,1,0),1),ÍNDICES!$A:$DE,$Z$35+1))),"",IF(E97&gt;$D$19,1,VLOOKUP(DATE(YEAR(E97),MONTH(E97)+IF($C$35=$S$23,1,0),1),ÍNDICES!$A:$DE,$Z$35+1))))))</f>
        <v/>
      </c>
      <c r="G97" s="155"/>
      <c r="H97" s="156" t="str">
        <f t="shared" si="11"/>
        <v/>
      </c>
      <c r="I97" s="29" t="str">
        <f t="shared" si="5"/>
        <v/>
      </c>
      <c r="J97" s="5">
        <f t="shared" si="6"/>
        <v>0</v>
      </c>
      <c r="K97" s="20">
        <f t="shared" ca="1" si="7"/>
        <v>0</v>
      </c>
      <c r="L97" s="5">
        <f t="shared" ca="1" si="8"/>
        <v>0</v>
      </c>
      <c r="M97" s="64">
        <f t="shared" si="12"/>
        <v>0</v>
      </c>
      <c r="N97" s="61">
        <f t="shared" ca="1" si="13"/>
        <v>0</v>
      </c>
      <c r="O97" s="5">
        <f t="shared" ca="1" si="14"/>
        <v>0</v>
      </c>
      <c r="P97" s="446" t="e">
        <f t="shared" si="9"/>
        <v>#VALUE!</v>
      </c>
      <c r="Q97" s="446" t="e">
        <f>IF(OR($B97="",MIN(Q$38,$D$19)&lt;MAX($P$34*($B97+IF($R$17="Distrato",$I$38-1,0)),IF(AND($L$37=0,$P$34=0),"",$L$37-1),IF($R$17="Distrato",$E97,0))),0,YEARFRAC(MAX($P$34*($B97+IF($R$17="Distrato",$I$38-1,0)),IF(AND($L$37=0,$P$34=0),"",$L$37-1),IF($R$17="Distrato",$E97,0)),MIN(Q$38,$D$19),$P$20))-SUM($P97:P97)</f>
        <v>#VALUE!</v>
      </c>
      <c r="R97" s="446" t="e">
        <f>IF(OR($B97="",MIN(R$38,$D$19)&lt;MAX($P$34*($B97+IF($R$17="Distrato",$I$38-1,0)),IF(AND($L$37=0,$P$34=0),"",$L$37-1),IF($R$17="Distrato",$E97,0))),0,YEARFRAC(MAX($P$34*($B97+IF($R$17="Distrato",$I$38-1,0)),IF(AND($L$37=0,$P$34=0),"",$L$37-1),IF($R$17="Distrato",$E97,0)),MIN(R$38,$D$19),$P$20))-SUM($P97:Q97)</f>
        <v>#VALUE!</v>
      </c>
      <c r="S97" s="446" t="e">
        <f>IF(OR($B97="",MIN(S$38,$D$19)&lt;MAX($P$34*($B97+IF($R$17="Distrato",$I$38-1,0)),IF(AND($L$37=0,$P$34=0),"",$L$37-1),IF($R$17="Distrato",$E97,0))),0,YEARFRAC(MAX($P$34*($B97+IF($R$17="Distrato",$I$38-1,0)),IF(AND($L$37=0,$P$34=0),"",$L$37-1),IF($R$17="Distrato",$E97,0)),MIN(S$38,$D$19),$P$20))-SUM($P97:R97)</f>
        <v>#VALUE!</v>
      </c>
      <c r="T97" s="446" t="e">
        <f>IF(OR($B97="",MIN(T$38,$D$19)&lt;MAX($P$34*($B97+IF($R$17="Distrato",$I$38-1,0)),IF(AND($L$37=0,$P$34=0),"",$L$37-1),IF($R$17="Distrato",$E97,0))),0,YEARFRAC(MAX($P$34*($B97+IF($R$17="Distrato",$I$38-1,0)),IF(AND($L$37=0,$P$34=0),"",$L$37-1),IF($R$17="Distrato",$E97,0)),MIN(T$38,$D$19),$P$20))-SUM($P97:S97)</f>
        <v>#VALUE!</v>
      </c>
      <c r="U97" s="446" t="e">
        <f>IF(OR($B97="",MIN(U$38,$D$19)&lt;MAX($P$34*($B97+IF($R$17="Distrato",$I$38-1,0)),IF(AND($L$37=0,$P$34=0),"",$L$37-1),IF($R$17="Distrato",$E97,0))),0,YEARFRAC(MAX($P$34*($B97+IF($R$17="Distrato",$I$38-1,0)),IF(AND($L$37=0,$P$34=0),"",$L$37-1),IF($R$17="Distrato",$E97,0)),MIN(U$38,$D$19),$P$20))-SUM($P97:T97)</f>
        <v>#VALUE!</v>
      </c>
      <c r="V97" s="446" t="e">
        <f>IF(OR($B97="",MIN(V$38,$D$19)&lt;MAX($P$34*($B97+IF($R$17="Distrato",$I$38-1,0)),IF(AND($L$37=0,$P$34=0),"",$L$37-1),IF($R$17="Distrato",$E97,0))),0,YEARFRAC(MAX($P$34*($B97+IF($R$17="Distrato",$I$38-1,0)),IF(AND($L$37=0,$P$34=0),"",$L$37-1),IF($R$17="Distrato",$E97,0)),MIN(V$38,$D$19),$P$20))-SUM($P97:U97)</f>
        <v>#VALUE!</v>
      </c>
      <c r="W97" s="446" t="e">
        <f>IF(OR($B97="",MIN(W$38,$D$19)&lt;MAX($P$34*($B97+IF($R$17="Distrato",$I$38-1,0)),IF(AND($L$37=0,$P$34=0),"",$L$37-1),IF($R$17="Distrato",$E97,0))),0,YEARFRAC(MAX($P$34*($B97+IF($R$17="Distrato",$I$38-1,0)),IF(AND($L$37=0,$P$34=0),"",$L$37-1),IF($R$17="Distrato",$E97,0)),MIN(W$38,$D$19),$P$20))-SUM($P97:V97)</f>
        <v>#VALUE!</v>
      </c>
      <c r="X97" s="446" t="e">
        <f>IF(OR($B97="",MIN(X$38,$D$19)&lt;MAX($P$34*($B97+IF($R$17="Distrato",$I$38-1,0)),IF(AND($L$37=0,$P$34=0),"",$L$37-1),IF($R$17="Distrato",$E97,0))),0,YEARFRAC(MAX($P$34*($B97+IF($R$17="Distrato",$I$38-1,0)),IF(AND($L$37=0,$P$34=0),"",$L$37-1),IF($R$17="Distrato",$E97,0)),MIN(X$38,$D$19),$P$20))-SUM($P97:W97)</f>
        <v>#VALUE!</v>
      </c>
      <c r="Y97" s="446" t="e">
        <f>IF(OR($B97="",MIN(Y$38,$D$19)&lt;MAX($P$34*($B97+IF($R$17="Distrato",$I$38-1,0)),IF(AND($L$37=0,$P$34=0),"",$L$37-1),IF($R$17="Distrato",$E97,0))),0,YEARFRAC(MAX($P$34*($B97+IF($R$17="Distrato",$I$38-1,0)),IF(AND($L$37=0,$P$34=0),"",$L$37-1),IF($R$17="Distrato",$E97,0)),MIN(Y$38,$D$19),$P$20))-SUM($P97:X97)</f>
        <v>#VALUE!</v>
      </c>
      <c r="Z97" s="446" t="e">
        <f>IF(OR($B97="",MIN(Z$38,$D$19)&lt;MAX($P$34*($B97+IF($R$17="Distrato",$I$38-1,0)),IF(AND($L$37=0,$P$34=0),"",$L$37-1),IF($R$17="Distrato",$E97,0))),0,YEARFRAC(MAX($P$34*($B97+IF($R$17="Distrato",$I$38-1,0)),IF(AND($L$37=0,$P$34=0),"",$L$37-1),IF($R$17="Distrato",$E97,0)),MIN(Z$38,$D$19),$P$20))-SUM($P97:Y97)</f>
        <v>#VALUE!</v>
      </c>
      <c r="AA97" s="446" t="e">
        <f>IF(OR($B97="",MIN(AA$38,$D$19)&lt;MAX($P$34*($B97+IF($R$17="Distrato",$I$38-1,0)),IF(AND($L$37=0,$P$34=0),"",$L$37-1),IF($R$17="Distrato",$E97,0))),0,YEARFRAC(MAX($P$34*($B97+IF($R$17="Distrato",$I$38-1,0)),IF(AND($L$37=0,$P$34=0),"",$L$37-1),IF($R$17="Distrato",$E97,0)),MIN(AA$38,$D$19),$P$20))-SUM($P97:Z97)</f>
        <v>#VALUE!</v>
      </c>
      <c r="AB97" s="446" t="e">
        <f>IF(OR($B97="",MIN(AB$38,$D$19)&lt;MAX($P$34*($B97+IF($R$17="Distrato",$I$38-1,0)),IF(AND($L$37=0,$P$34=0),"",$L$37-1),IF($R$17="Distrato",$E97,0))),0,YEARFRAC(MAX($P$34*($B97+IF($R$17="Distrato",$I$38-1,0)),IF(AND($L$37=0,$P$34=0),"",$L$37-1),IF($R$17="Distrato",$E97,0)),MIN(AB$38,$D$19),$P$20))-SUM($P97:AA97)</f>
        <v>#VALUE!</v>
      </c>
      <c r="AC97" s="446" t="e">
        <f>IF(OR($B97="",MIN(AC$38,$D$19)&lt;MAX($P$34*($B97+IF($R$17="Distrato",$I$38-1,0)),IF(AND($L$37=0,$P$34=0),"",$L$37-1),IF($R$17="Distrato",$E97,0))),0,YEARFRAC(MAX($P$34*($B97+IF($R$17="Distrato",$I$38-1,0)),IF(AND($L$37=0,$P$34=0),"",$L$37-1),IF($R$17="Distrato",$E97,0)),MIN(AC$38,$D$19),$P$20))-SUM($P97:AB97)</f>
        <v>#VALUE!</v>
      </c>
      <c r="AD97" s="446" t="e">
        <f>IF(OR($B97="",MIN(AD$38,$D$19)&lt;MAX($P$34*($B97+IF($R$17="Distrato",$I$38-1,0)),IF(AND($L$37=0,$P$34=0),"",$L$37-1),IF($R$17="Distrato",$E97,0))),0,YEARFRAC(MAX($P$34*($B97+IF($R$17="Distrato",$I$38-1,0)),IF(AND($L$37=0,$P$34=0),"",$L$37-1),IF($R$17="Distrato",$E97,0)),MIN(AD$38,$D$19),$P$20))-SUM($P97:AC97)</f>
        <v>#VALUE!</v>
      </c>
      <c r="AE97" s="446" t="e">
        <f>IF(OR($B97="",MIN(AE$38,$D$19)&lt;MAX($P$34*($B97+IF($R$17="Distrato",$I$38-1,0)),IF(AND($L$37=0,$P$34=0),"",$L$37-1),IF($R$17="Distrato",$E97,0))),0,YEARFRAC(MAX($P$34*($B97+IF($R$17="Distrato",$I$38-1,0)),IF(AND($L$37=0,$P$34=0),"",$L$37-1),IF($R$17="Distrato",$E97,0)),MIN(AE$38,$D$19),$P$20))-SUM($P97:AD97)</f>
        <v>#VALUE!</v>
      </c>
      <c r="AF97" s="446" t="e">
        <f>IF(OR($B97="",MIN(AF$38,$D$19)&lt;MAX($P$34*($B97+IF($R$17="Distrato",$I$38-1,0)),IF(AND($L$37=0,$P$34=0),"",$L$37-1),IF($R$17="Distrato",$E97,0))),0,YEARFRAC(MAX($P$34*($B97+IF($R$17="Distrato",$I$38-1,0)),IF(AND($L$37=0,$P$34=0),"",$L$37-1),IF($R$17="Distrato",$E97,0)),MIN(AF$38,$D$19),$P$20))-SUM($P97:AE97)</f>
        <v>#VALUE!</v>
      </c>
      <c r="AG97" s="446" t="e">
        <f>IF(OR($B97="",MIN(AG$38,$D$19)&lt;MAX($P$34*($B97+IF($R$17="Distrato",$I$38-1,0)),IF(AND($L$37=0,$P$34=0),"",$L$37-1),IF($R$17="Distrato",$E97,0))),0,YEARFRAC(MAX($P$34*($B97+IF($R$17="Distrato",$I$38-1,0)),IF(AND($L$37=0,$P$34=0),"",$L$37-1),IF($R$17="Distrato",$E97,0)),MIN(AG$38,$D$19),$P$20))-SUM($P97:AF97)</f>
        <v>#VALUE!</v>
      </c>
      <c r="AH97" s="446" t="e">
        <f>IF(OR($B97="",MIN(AH$38,$D$19)&lt;MAX($P$34*($B97+IF($R$17="Distrato",$I$38-1,0)),IF(AND($L$37=0,$P$34=0),"",$L$37-1),IF($R$17="Distrato",$E97,0))),0,YEARFRAC(MAX($P$34*($B97+IF($R$17="Distrato",$I$38-1,0)),IF(AND($L$37=0,$P$34=0),"",$L$37-1),IF($R$17="Distrato",$E97,0)),MIN(AH$38,$D$19),$P$20))-SUM($P97:AG97)</f>
        <v>#VALUE!</v>
      </c>
      <c r="AI97" s="446" t="e">
        <f>IF(OR($B97="",MIN(AI$38,$D$19)&lt;MAX($P$34*($B97+IF($R$17="Distrato",$I$38-1,0)),IF(AND($L$37=0,$P$34=0),"",$L$37-1),IF($R$17="Distrato",$E97,0))),0,YEARFRAC(MAX($P$34*($B97+IF($R$17="Distrato",$I$38-1,0)),IF(AND($L$37=0,$P$34=0),"",$L$37-1),IF($R$17="Distrato",$E97,0)),MIN(AI$38,$D$19),$P$20))-SUM($P97:AH97)</f>
        <v>#VALUE!</v>
      </c>
      <c r="AJ97" s="446" t="e">
        <f>IF(OR($B97="",MIN(AJ$38,$D$19)&lt;MAX($P$34*($B97+IF($R$17="Distrato",$I$38-1,0)),IF(AND($L$37=0,$P$34=0),"",$L$37-1),IF($R$17="Distrato",$E97,0))),0,YEARFRAC(MAX($P$34*($B97+IF($R$17="Distrato",$I$38-1,0)),IF(AND($L$37=0,$P$34=0),"",$L$37-1),IF($R$17="Distrato",$E97,0)),MIN(AJ$38,$D$19),$P$20))-SUM($P97:AI97)</f>
        <v>#VALUE!</v>
      </c>
      <c r="AK97" s="446" t="e">
        <f>IF(OR($B97="",MIN(AK$38,$D$19)&lt;MAX($P$34*($B97+IF($R$17="Distrato",$I$38-1,0)),IF(AND($L$37=0,$P$34=0),"",$L$37-1),IF($R$17="Distrato",$E97,0))),0,YEARFRAC(MAX($P$34*($B97+IF($R$17="Distrato",$I$38-1,0)),IF(AND($L$37=0,$P$34=0),"",$L$37-1),IF($R$17="Distrato",$E97,0)),MIN(AK$38,$D$19),$P$20))-SUM($P97:AJ97)</f>
        <v>#VALUE!</v>
      </c>
      <c r="AL97" s="446" t="e">
        <f>IF(OR($B97="",MIN(AL$38,$D$19)&lt;MAX($P$34*($B97+IF($R$17="Distrato",$I$38-1,0)),IF(AND($L$37=0,$P$34=0),"",$L$37-1),IF($R$17="Distrato",$E97,0))),0,YEARFRAC(MAX($P$34*($B97+IF($R$17="Distrato",$I$38-1,0)),IF(AND($L$37=0,$P$34=0),"",$L$37-1),IF($R$17="Distrato",$E97,0)),MIN(AL$38,$D$19),$P$20))-SUM($P97:AK97)</f>
        <v>#VALUE!</v>
      </c>
      <c r="AM97" s="446" t="e">
        <f>IF(OR($B97="",MIN(AM$38,$D$19)&lt;MAX($P$34*($B97+IF($R$17="Distrato",$I$38-1,0)),IF(AND($L$37=0,$P$34=0),"",$L$37-1),IF($R$17="Distrato",$E97,0))),0,YEARFRAC(MAX($P$34*($B97+IF($R$17="Distrato",$I$38-1,0)),IF(AND($L$37=0,$P$34=0),"",$L$37-1),IF($R$17="Distrato",$E97,0)),MIN(AM$38,$D$19),$P$20))-SUM($P97:AL97)</f>
        <v>#VALUE!</v>
      </c>
      <c r="AN97" s="446" t="e">
        <f>IF(OR($B97="",MIN(AN$38,$D$19)&lt;MAX($P$34*($B97+IF($R$17="Distrato",$I$38-1,0)),IF(AND($L$37=0,$P$34=0),"",$L$37-1),IF($R$17="Distrato",$E97,0))),0,YEARFRAC(MAX($P$34*($B97+IF($R$17="Distrato",$I$38-1,0)),IF(AND($L$37=0,$P$34=0),"",$L$37-1),IF($R$17="Distrato",$E97,0)),MIN(AN$38,$D$19),$P$20))-SUM($P97:AM97)</f>
        <v>#VALUE!</v>
      </c>
      <c r="AO97" s="446" t="e">
        <f>IF(OR($B97="",MIN(AO$38,$D$19)&lt;MAX($P$34*($B97+IF($R$17="Distrato",$I$38-1,0)),IF(AND($L$37=0,$P$34=0),"",$L$37-1),IF($R$17="Distrato",$E97,0))),0,YEARFRAC(MAX($P$34*($B97+IF($R$17="Distrato",$I$38-1,0)),IF(AND($L$37=0,$P$34=0),"",$L$37-1),IF($R$17="Distrato",$E97,0)),MIN(AO$38,$D$19),$P$20))-SUM($P97:AN97)</f>
        <v>#VALUE!</v>
      </c>
      <c r="AP97" s="446" t="e">
        <f>IF(OR($B97="",MIN(AP$38,$D$19)&lt;MAX($P$34*($B97+IF($R$17="Distrato",$I$38-1,0)),IF(AND($L$37=0,$P$34=0),"",$L$37-1),IF($R$17="Distrato",$E97,0))),0,YEARFRAC(MAX($P$34*($B97+IF($R$17="Distrato",$I$38-1,0)),IF(AND($L$37=0,$P$34=0),"",$L$37-1),IF($R$17="Distrato",$E97,0)),MIN(AP$38,$D$19),$P$20))-SUM($P97:AO97)</f>
        <v>#VALUE!</v>
      </c>
      <c r="AQ97" s="446" t="e">
        <f>IF(OR($B97="",MIN(AQ$38,$D$19)&lt;MAX($P$34*($B97+IF($R$17="Distrato",$I$38-1,0)),IF(AND($L$37=0,$P$34=0),"",$L$37-1),IF($R$17="Distrato",$E97,0))),0,YEARFRAC(MAX($P$34*($B97+IF($R$17="Distrato",$I$38-1,0)),IF(AND($L$37=0,$P$34=0),"",$L$37-1),IF($R$17="Distrato",$E97,0)),MIN(AQ$38,$D$19),$P$20))-SUM($P97:AP97)</f>
        <v>#VALUE!</v>
      </c>
      <c r="AR97" s="446" t="e">
        <f>IF(OR($B97="",MIN(AR$38,$D$19)&lt;MAX($P$34*($B97+IF($R$17="Distrato",$I$38-1,0)),IF(AND($L$37=0,$P$34=0),"",$L$37-1),IF($R$17="Distrato",$E97,0))),0,YEARFRAC(MAX($P$34*($B97+IF($R$17="Distrato",$I$38-1,0)),IF(AND($L$37=0,$P$34=0),"",$L$37-1),IF($R$17="Distrato",$E97,0)),MIN(AR$38,$D$19),$P$20))-SUM($P97:AQ97)</f>
        <v>#VALUE!</v>
      </c>
      <c r="AS97" s="446" t="e">
        <f>IF(OR($B97="",MIN(AS$38,$D$19)&lt;MAX($P$34*($B97+IF($R$17="Distrato",$I$38-1,0)),IF(AND($L$37=0,$P$34=0),"",$L$37-1),IF($R$17="Distrato",$E97,0))),0,YEARFRAC(MAX($P$34*($B97+IF($R$17="Distrato",$I$38-1,0)),IF(AND($L$37=0,$P$34=0),"",$L$37-1),IF($R$17="Distrato",$E97,0)),MIN(AS$38,$D$19),$P$20))-SUM($P97:AR97)</f>
        <v>#VALUE!</v>
      </c>
      <c r="AT97" s="446" t="e">
        <f>IF(OR($B97="",MIN(AT$38,$D$19)&lt;MAX($P$34*($B97+IF($R$17="Distrato",$I$38-1,0)),IF(AND($L$37=0,$P$34=0),"",$L$37-1),IF($R$17="Distrato",$E97,0))),0,YEARFRAC(MAX($P$34*($B97+IF($R$17="Distrato",$I$38-1,0)),IF(AND($L$37=0,$P$34=0),"",$L$37-1),IF($R$17="Distrato",$E97,0)),MIN(AT$38,$D$19),$P$20))-SUM($P97:AS97)</f>
        <v>#VALUE!</v>
      </c>
      <c r="AU97" s="446" t="e">
        <f>IF(OR($B97="",MIN(AU$38,$D$19)&lt;MAX($P$34*($B97+IF($R$17="Distrato",$I$38-1,0)),IF(AND($L$37=0,$P$34=0),"",$L$37-1),IF($R$17="Distrato",$E97,0))),0,YEARFRAC(MAX($P$34*($B97+IF($R$17="Distrato",$I$38-1,0)),IF(AND($L$37=0,$P$34=0),"",$L$37-1),IF($R$17="Distrato",$E97,0)),MIN(AU$38,$D$19),$P$20))-SUM($P97:AT97)</f>
        <v>#VALUE!</v>
      </c>
      <c r="AV97" s="446" t="e">
        <f>IF(OR($B97="",MIN(AV$38,$D$19)&lt;MAX($P$34*($B97+IF($R$17="Distrato",$I$38-1,0)),IF(AND($L$37=0,$P$34=0),"",$L$37-1),IF($R$17="Distrato",$E97,0))),0,YEARFRAC(MAX($P$34*($B97+IF($R$17="Distrato",$I$38-1,0)),IF(AND($L$37=0,$P$34=0),"",$L$37-1),IF($R$17="Distrato",$E97,0)),MIN(AV$38,$D$19),$P$20))-SUM($P97:AU97)</f>
        <v>#VALUE!</v>
      </c>
      <c r="AW97" s="446" t="e">
        <f>IF(OR($B97="",MIN(AW$38,$D$19)&lt;MAX($P$34*($B97+IF($R$17="Distrato",$I$38-1,0)),IF(AND($L$37=0,$P$34=0),"",$L$37-1),IF($R$17="Distrato",$E97,0))),0,YEARFRAC(MAX($P$34*($B97+IF($R$17="Distrato",$I$38-1,0)),IF(AND($L$37=0,$P$34=0),"",$L$37-1),IF($R$17="Distrato",$E97,0)),MIN(AW$38,$D$19),$P$20))-SUM($P97:AV97)</f>
        <v>#VALUE!</v>
      </c>
      <c r="AX97" s="446" t="e">
        <f>IF(OR($B97="",MIN(AX$38,$D$19)&lt;MAX($P$34*($B97+IF($R$17="Distrato",$I$38-1,0)),IF(AND($L$37=0,$P$34=0),"",$L$37-1),IF($R$17="Distrato",$E97,0))),0,YEARFRAC(MAX($P$34*($B97+IF($R$17="Distrato",$I$38-1,0)),IF(AND($L$37=0,$P$34=0),"",$L$37-1),IF($R$17="Distrato",$E97,0)),MIN(AX$38,$D$19),$P$20))-SUM($P97:AW97)</f>
        <v>#VALUE!</v>
      </c>
      <c r="AY97" s="446" t="e">
        <f>IF(OR($B97="",MIN(AY$38,$D$19)&lt;MAX($P$34*($B97+IF($R$17="Distrato",$I$38-1,0)),IF(AND($L$37=0,$P$34=0),"",$L$37-1),IF($R$17="Distrato",$E97,0))),0,YEARFRAC(MAX($P$34*($B97+IF($R$17="Distrato",$I$38-1,0)),IF(AND($L$37=0,$P$34=0),"",$L$37-1),IF($R$17="Distrato",$E97,0)),MIN(AY$38,$D$19),$P$20))-SUM($P97:AX97)</f>
        <v>#VALUE!</v>
      </c>
      <c r="AZ97" s="446" t="e">
        <f>IF(OR($B97="",MIN(AZ$38,$D$19)&lt;MAX($P$34*($B97+IF($R$17="Distrato",$I$38-1,0)),IF(AND($L$37=0,$P$34=0),"",$L$37-1),IF($R$17="Distrato",$E97,0))),0,YEARFRAC(MAX($P$34*($B97+IF($R$17="Distrato",$I$38-1,0)),IF(AND($L$37=0,$P$34=0),"",$L$37-1),IF($R$17="Distrato",$E97,0)),MIN(AZ$38,$D$19),$P$20))-SUM($P97:AY97)</f>
        <v>#VALUE!</v>
      </c>
      <c r="BA97" s="446" t="e">
        <f>IF(OR($B97="",MIN(BA$38,$D$19)&lt;MAX($P$34*($B97+IF($R$17="Distrato",$I$38-1,0)),IF(AND($L$37=0,$P$34=0),"",$L$37-1),IF($R$17="Distrato",$E97,0))),0,YEARFRAC(MAX($P$34*($B97+IF($R$17="Distrato",$I$38-1,0)),IF(AND($L$37=0,$P$34=0),"",$L$37-1),IF($R$17="Distrato",$E97,0)),MIN(BA$38,$D$19),$P$20))-SUM($P97:AZ97)</f>
        <v>#VALUE!</v>
      </c>
      <c r="BB97" s="447"/>
      <c r="BF97" s="446">
        <f t="shared" si="10"/>
        <v>0</v>
      </c>
      <c r="BG97" s="446">
        <f>IF($E97=0,0,IF(MIN(BG$38,$E97)&lt;MAX($P$34*($B97+$I$38-1),IF(AND($L$37=0,$P$34=0),"",$L$37-1)),0,YEARFRAC(MAX($P$34*($B97+$I$38-1),IF(AND($L$37=0,$P$34=0),"",$L$37-1)),MIN(BG$38,$E97),$P$20))-SUM($BF97:BF97))</f>
        <v>0</v>
      </c>
      <c r="BH97" s="446">
        <f>IF($E97=0,0,IF(MIN(BH$38,$E97)&lt;MAX($P$34*($B97+$I$38-1),IF(AND($L$37=0,$P$34=0),"",$L$37-1)),0,YEARFRAC(MAX($P$34*($B97+$I$38-1),IF(AND($L$37=0,$P$34=0),"",$L$37-1)),MIN(BH$38,$E97),$P$20))-SUM($BF97:BG97))</f>
        <v>0</v>
      </c>
      <c r="BI97" s="446">
        <f>IF($E97=0,0,IF(MIN(BI$38,$E97)&lt;MAX($P$34*($B97+$I$38-1),IF(AND($L$37=0,$P$34=0),"",$L$37-1)),0,YEARFRAC(MAX($P$34*($B97+$I$38-1),IF(AND($L$37=0,$P$34=0),"",$L$37-1)),MIN(BI$38,$E97),$P$20))-SUM($BF97:BH97))</f>
        <v>0</v>
      </c>
      <c r="BJ97" s="446">
        <f>IF($E97=0,0,IF(MIN(BJ$38,$E97)&lt;MAX($P$34*($B97+$I$38-1),IF(AND($L$37=0,$P$34=0),"",$L$37-1)),0,YEARFRAC(MAX($P$34*($B97+$I$38-1),IF(AND($L$37=0,$P$34=0),"",$L$37-1)),MIN(BJ$38,$E97),$P$20))-SUM($BF97:BI97))</f>
        <v>0</v>
      </c>
      <c r="BK97" s="446">
        <f>IF($E97=0,0,IF(MIN(BK$38,$E97)&lt;MAX($P$34*($B97+$I$38-1),IF(AND($L$37=0,$P$34=0),"",$L$37-1)),0,YEARFRAC(MAX($P$34*($B97+$I$38-1),IF(AND($L$37=0,$P$34=0),"",$L$37-1)),MIN(BK$38,$E97),$P$20))-SUM($BF97:BJ97))</f>
        <v>0</v>
      </c>
      <c r="BL97" s="446">
        <f>IF($E97=0,0,IF(MIN(BL$38,$E97)&lt;MAX($P$34*($B97+$I$38-1),IF(AND($L$37=0,$P$34=0),"",$L$37-1)),0,YEARFRAC(MAX($P$34*($B97+$I$38-1),IF(AND($L$37=0,$P$34=0),"",$L$37-1)),MIN(BL$38,$E97),$P$20))-SUM($BF97:BK97))</f>
        <v>0</v>
      </c>
      <c r="BM97" s="446">
        <f>IF($E97=0,0,IF(MIN(BM$38,$E97)&lt;MAX($P$34*($B97+$I$38-1),IF(AND($L$37=0,$P$34=0),"",$L$37-1)),0,YEARFRAC(MAX($P$34*($B97+$I$38-1),IF(AND($L$37=0,$P$34=0),"",$L$37-1)),MIN(BM$38,$E97),$P$20))-SUM($BF97:BL97))</f>
        <v>0</v>
      </c>
      <c r="BN97" s="446">
        <f>IF($E97=0,0,IF(MIN(BN$38,$E97)&lt;MAX($P$34*($B97+$I$38-1),IF(AND($L$37=0,$P$34=0),"",$L$37-1)),0,YEARFRAC(MAX($P$34*($B97+$I$38-1),IF(AND($L$37=0,$P$34=0),"",$L$37-1)),MIN(BN$38,$E97),$P$20))-SUM($BF97:BM97))</f>
        <v>0</v>
      </c>
      <c r="BO97" s="446">
        <f>IF($E97=0,0,IF(MIN(BO$38,$E97)&lt;MAX($P$34*($B97+$I$38-1),IF(AND($L$37=0,$P$34=0),"",$L$37-1)),0,YEARFRAC(MAX($P$34*($B97+$I$38-1),IF(AND($L$37=0,$P$34=0),"",$L$37-1)),MIN(BO$38,$E97),$P$20))-SUM($BF97:BN97))</f>
        <v>0</v>
      </c>
      <c r="BP97" s="446">
        <f>IF($E97=0,0,IF(MIN(BP$38,$E97)&lt;MAX($P$34*($B97+$I$38-1),IF(AND($L$37=0,$P$34=0),"",$L$37-1)),0,YEARFRAC(MAX($P$34*($B97+$I$38-1),IF(AND($L$37=0,$P$34=0),"",$L$37-1)),MIN(BP$38,$E97),$P$20))-SUM($BF97:BO97))</f>
        <v>0</v>
      </c>
      <c r="BQ97" s="446">
        <f>IF($E97=0,0,IF(MIN(BQ$38,$E97)&lt;MAX($P$34*($B97+$I$38-1),IF(AND($L$37=0,$P$34=0),"",$L$37-1)),0,YEARFRAC(MAX($P$34*($B97+$I$38-1),IF(AND($L$37=0,$P$34=0),"",$L$37-1)),MIN(BQ$38,$E97),$P$20))-SUM($BF97:BP97))</f>
        <v>0</v>
      </c>
      <c r="BR97" s="446">
        <f>IF($E97=0,0,IF(MIN(BR$38,$E97)&lt;MAX($P$34*($B97+$I$38-1),IF(AND($L$37=0,$P$34=0),"",$L$37-1)),0,YEARFRAC(MAX($P$34*($B97+$I$38-1),IF(AND($L$37=0,$P$34=0),"",$L$37-1)),MIN(BR$38,$E97),$P$20))-SUM($BF97:BQ97))</f>
        <v>0</v>
      </c>
      <c r="BS97" s="446">
        <f>IF($E97=0,0,IF(MIN(BS$38,$E97)&lt;MAX($P$34*($B97+$I$38-1),IF(AND($L$37=0,$P$34=0),"",$L$37-1)),0,YEARFRAC(MAX($P$34*($B97+$I$38-1),IF(AND($L$37=0,$P$34=0),"",$L$37-1)),MIN(BS$38,$E97),$P$20))-SUM($BF97:BR97))</f>
        <v>0</v>
      </c>
      <c r="BT97" s="446">
        <f>IF($E97=0,0,IF(MIN(BT$38,$E97)&lt;MAX($P$34*($B97+$I$38-1),IF(AND($L$37=0,$P$34=0),"",$L$37-1)),0,YEARFRAC(MAX($P$34*($B97+$I$38-1),IF(AND($L$37=0,$P$34=0),"",$L$37-1)),MIN(BT$38,$E97),$P$20))-SUM($BF97:BS97))</f>
        <v>0</v>
      </c>
      <c r="BU97" s="446">
        <f>IF($E97=0,0,IF(MIN(BU$38,$E97)&lt;MAX($P$34*($B97+$I$38-1),IF(AND($L$37=0,$P$34=0),"",$L$37-1)),0,YEARFRAC(MAX($P$34*($B97+$I$38-1),IF(AND($L$37=0,$P$34=0),"",$L$37-1)),MIN(BU$38,$E97),$P$20))-SUM($BF97:BT97))</f>
        <v>0</v>
      </c>
      <c r="BV97" s="446">
        <f>IF($E97=0,0,IF(MIN(BV$38,$E97)&lt;MAX($P$34*($B97+$I$38-1),IF(AND($L$37=0,$P$34=0),"",$L$37-1)),0,YEARFRAC(MAX($P$34*($B97+$I$38-1),IF(AND($L$37=0,$P$34=0),"",$L$37-1)),MIN(BV$38,$E97),$P$20))-SUM($BF97:BU97))</f>
        <v>0</v>
      </c>
      <c r="BW97" s="446">
        <f>IF($E97=0,0,IF(MIN(BW$38,$E97)&lt;MAX($P$34*($B97+$I$38-1),IF(AND($L$37=0,$P$34=0),"",$L$37-1)),0,YEARFRAC(MAX($P$34*($B97+$I$38-1),IF(AND($L$37=0,$P$34=0),"",$L$37-1)),MIN(BW$38,$E97),$P$20))-SUM($BF97:BV97))</f>
        <v>0</v>
      </c>
      <c r="BX97" s="446">
        <f>IF($E97=0,0,IF(MIN(BX$38,$E97)&lt;MAX($P$34*($B97+$I$38-1),IF(AND($L$37=0,$P$34=0),"",$L$37-1)),0,YEARFRAC(MAX($P$34*($B97+$I$38-1),IF(AND($L$37=0,$P$34=0),"",$L$37-1)),MIN(BX$38,$E97),$P$20))-SUM($BF97:BW97))</f>
        <v>0</v>
      </c>
      <c r="BY97" s="446">
        <f>IF($E97=0,0,IF(MIN(BY$38,$E97)&lt;MAX($P$34*($B97+$I$38-1),IF(AND($L$37=0,$P$34=0),"",$L$37-1)),0,YEARFRAC(MAX($P$34*($B97+$I$38-1),IF(AND($L$37=0,$P$34=0),"",$L$37-1)),MIN(BY$38,$E97),$P$20))-SUM($BF97:BX97))</f>
        <v>0</v>
      </c>
      <c r="BZ97" s="446">
        <f>IF($E97=0,0,IF(MIN(BZ$38,$E97)&lt;MAX($P$34*($B97+$I$38-1),IF(AND($L$37=0,$P$34=0),"",$L$37-1)),0,YEARFRAC(MAX($P$34*($B97+$I$38-1),IF(AND($L$37=0,$P$34=0),"",$L$37-1)),MIN(BZ$38,$E97),$P$20))-SUM($BF97:BY97))</f>
        <v>0</v>
      </c>
      <c r="CA97" s="446">
        <f>IF($E97=0,0,IF(MIN(CA$38,$E97)&lt;MAX($P$34*($B97+$I$38-1),IF(AND($L$37=0,$P$34=0),"",$L$37-1)),0,YEARFRAC(MAX($P$34*($B97+$I$38-1),IF(AND($L$37=0,$P$34=0),"",$L$37-1)),MIN(CA$38,$E97),$P$20))-SUM($BF97:BZ97))</f>
        <v>0</v>
      </c>
      <c r="CB97" s="446">
        <f>IF($E97=0,0,IF(MIN(CB$38,$E97)&lt;MAX($P$34*($B97+$I$38-1),IF(AND($L$37=0,$P$34=0),"",$L$37-1)),0,YEARFRAC(MAX($P$34*($B97+$I$38-1),IF(AND($L$37=0,$P$34=0),"",$L$37-1)),MIN(CB$38,$E97),$P$20))-SUM($BF97:CA97))</f>
        <v>0</v>
      </c>
      <c r="CC97" s="446">
        <f>IF($E97=0,0,IF(MIN(CC$38,$E97)&lt;MAX($P$34*($B97+$I$38-1),IF(AND($L$37=0,$P$34=0),"",$L$37-1)),0,YEARFRAC(MAX($P$34*($B97+$I$38-1),IF(AND($L$37=0,$P$34=0),"",$L$37-1)),MIN(CC$38,$E97),$P$20))-SUM($BF97:CB97))</f>
        <v>0</v>
      </c>
      <c r="CD97" s="446">
        <f>IF($E97=0,0,IF(MIN(CD$38,$E97)&lt;MAX($P$34*($B97+$I$38-1),IF(AND($L$37=0,$P$34=0),"",$L$37-1)),0,YEARFRAC(MAX($P$34*($B97+$I$38-1),IF(AND($L$37=0,$P$34=0),"",$L$37-1)),MIN(CD$38,$E97),$P$20))-SUM($BF97:CC97))</f>
        <v>0</v>
      </c>
      <c r="CE97" s="446">
        <f>IF($E97=0,0,IF(MIN(CE$38,$E97)&lt;MAX($P$34*($B97+$I$38-1),IF(AND($L$37=0,$P$34=0),"",$L$37-1)),0,YEARFRAC(MAX($P$34*($B97+$I$38-1),IF(AND($L$37=0,$P$34=0),"",$L$37-1)),MIN(CE$38,$E97),$P$20))-SUM($BF97:CD97))</f>
        <v>0</v>
      </c>
      <c r="CF97" s="446">
        <f>IF($E97=0,0,IF(MIN(CF$38,$E97)&lt;MAX($P$34*($B97+$I$38-1),IF(AND($L$37=0,$P$34=0),"",$L$37-1)),0,YEARFRAC(MAX($P$34*($B97+$I$38-1),IF(AND($L$37=0,$P$34=0),"",$L$37-1)),MIN(CF$38,$E97),$P$20))-SUM($BF97:CE97))</f>
        <v>0</v>
      </c>
      <c r="CG97" s="446">
        <f>IF($E97=0,0,IF(MIN(CG$38,$E97)&lt;MAX($P$34*($B97+$I$38-1),IF(AND($L$37=0,$P$34=0),"",$L$37-1)),0,YEARFRAC(MAX($P$34*($B97+$I$38-1),IF(AND($L$37=0,$P$34=0),"",$L$37-1)),MIN(CG$38,$E97),$P$20))-SUM($BF97:CF97))</f>
        <v>0</v>
      </c>
      <c r="CH97" s="446">
        <f>IF($E97=0,0,IF(MIN(CH$38,$E97)&lt;MAX($P$34*($B97+$I$38-1),IF(AND($L$37=0,$P$34=0),"",$L$37-1)),0,YEARFRAC(MAX($P$34*($B97+$I$38-1),IF(AND($L$37=0,$P$34=0),"",$L$37-1)),MIN(CH$38,$E97),$P$20))-SUM($BF97:CG97))</f>
        <v>0</v>
      </c>
      <c r="CI97" s="446">
        <f>IF($E97=0,0,IF(MIN(CI$38,$E97)&lt;MAX($P$34*($B97+$I$38-1),IF(AND($L$37=0,$P$34=0),"",$L$37-1)),0,YEARFRAC(MAX($P$34*($B97+$I$38-1),IF(AND($L$37=0,$P$34=0),"",$L$37-1)),MIN(CI$38,$E97),$P$20))-SUM($BF97:CH97))</f>
        <v>0</v>
      </c>
      <c r="CJ97" s="446">
        <f>IF($E97=0,0,IF(MIN(CJ$38,$E97)&lt;MAX($P$34*($B97+$I$38-1),IF(AND($L$37=0,$P$34=0),"",$L$37-1)),0,YEARFRAC(MAX($P$34*($B97+$I$38-1),IF(AND($L$37=0,$P$34=0),"",$L$37-1)),MIN(CJ$38,$E97),$P$20))-SUM($BF97:CI97))</f>
        <v>0</v>
      </c>
      <c r="CK97" s="446">
        <f>IF($E97=0,0,IF(MIN(CK$38,$E97)&lt;MAX($P$34*($B97+$I$38-1),IF(AND($L$37=0,$P$34=0),"",$L$37-1)),0,YEARFRAC(MAX($P$34*($B97+$I$38-1),IF(AND($L$37=0,$P$34=0),"",$L$37-1)),MIN(CK$38,$E97),$P$20))-SUM($BF97:CJ97))</f>
        <v>0</v>
      </c>
      <c r="CL97" s="446">
        <f>IF($E97=0,0,IF(MIN(CL$38,$E97)&lt;MAX($P$34*($B97+$I$38-1),IF(AND($L$37=0,$P$34=0),"",$L$37-1)),0,YEARFRAC(MAX($P$34*($B97+$I$38-1),IF(AND($L$37=0,$P$34=0),"",$L$37-1)),MIN(CL$38,$E97),$P$20))-SUM($BF97:CK97))</f>
        <v>0</v>
      </c>
      <c r="CM97" s="446">
        <f>IF($E97=0,0,IF(MIN(CM$38,$E97)&lt;MAX($P$34*($B97+$I$38-1),IF(AND($L$37=0,$P$34=0),"",$L$37-1)),0,YEARFRAC(MAX($P$34*($B97+$I$38-1),IF(AND($L$37=0,$P$34=0),"",$L$37-1)),MIN(CM$38,$E97),$P$20))-SUM($BF97:CL97))</f>
        <v>0</v>
      </c>
      <c r="CN97" s="446">
        <f>IF($E97=0,0,IF(MIN(CN$38,$E97)&lt;MAX($P$34*($B97+$I$38-1),IF(AND($L$37=0,$P$34=0),"",$L$37-1)),0,YEARFRAC(MAX($P$34*($B97+$I$38-1),IF(AND($L$37=0,$P$34=0),"",$L$37-1)),MIN(CN$38,$E97),$P$20))-SUM($BF97:CM97))</f>
        <v>0</v>
      </c>
      <c r="CO97" s="446">
        <f>IF($E97=0,0,IF(MIN(CO$38,$E97)&lt;MAX($P$34*($B97+$I$38-1),IF(AND($L$37=0,$P$34=0),"",$L$37-1)),0,YEARFRAC(MAX($P$34*($B97+$I$38-1),IF(AND($L$37=0,$P$34=0),"",$L$37-1)),MIN(CO$38,$E97),$P$20))-SUM($BF97:CN97))</f>
        <v>0</v>
      </c>
      <c r="CP97" s="446">
        <f>IF($E97=0,0,IF(MIN(CP$38,$E97)&lt;MAX($P$34*($B97+$I$38-1),IF(AND($L$37=0,$P$34=0),"",$L$37-1)),0,YEARFRAC(MAX($P$34*($B97+$I$38-1),IF(AND($L$37=0,$P$34=0),"",$L$37-1)),MIN(CP$38,$E97),$P$20))-SUM($BF97:CO97))</f>
        <v>0</v>
      </c>
      <c r="CQ97" s="446">
        <f>IF($E97=0,0,IF(MIN(CQ$38,$E97)&lt;MAX($P$34*($B97+$I$38-1),IF(AND($L$37=0,$P$34=0),"",$L$37-1)),0,YEARFRAC(MAX($P$34*($B97+$I$38-1),IF(AND($L$37=0,$P$34=0),"",$L$37-1)),MIN(CQ$38,$E97),$P$20))-SUM($BF97:CP97))</f>
        <v>0</v>
      </c>
    </row>
    <row r="98" spans="1:95" s="446" customFormat="1" ht="11.25" hidden="1" customHeight="1" x14ac:dyDescent="0.2">
      <c r="A98" s="152"/>
      <c r="B98" s="153" t="str">
        <f t="shared" si="15"/>
        <v/>
      </c>
      <c r="C98" s="29" t="str">
        <f>IF(B98="","",IF($L$35="SELIC - TRIBUTOS",VLOOKUP(DATE(YEAR($D$19),MONTH($D$19)-1,1),ÍNDICES!$A:$DE,HLOOKUP($BL$25,ÍNDICES!$B$3:$T$4,2)+11)-VLOOKUP(B98,ÍNDICES!$A:$DE,HLOOKUP($BL$25,ÍNDICES!$B$3:$T$4,2)+11)+1%,IF(C$38=$W$26,$J$35,IF(ISERROR(IF(B98&gt;$D$19,1,VLOOKUP(DATE(YEAR(B98),MONTH(B98)+IF($C$35=$S$23,1,0),1),ÍNDICES!$A:$DE,$Z$35+1))),"",IF(B98&gt;$D$19,1,VLOOKUP(DATE(YEAR(B98),MONTH(B98)+IF($C$35=$S$23,1,0),1),ÍNDICES!$A:$DE,$Z$35+1))))))</f>
        <v/>
      </c>
      <c r="D98" s="154" t="str">
        <f>IF(ISERROR(IF(OR($D$38=$Y$27,$B98=""),"",VLOOKUP(B98,ÍNDICES!A:DE,AF$35+1))),"",IF(OR($D$38=$Y$27,$B98=""),"",VLOOKUP(B98,ÍNDICES!A:DE,AF$35+1)))</f>
        <v/>
      </c>
      <c r="E98" s="153"/>
      <c r="F98" s="29" t="str">
        <f>IF(E98="","",IF($L$35="SELIC - TRIBUTOS",VLOOKUP(DATE(YEAR($D$19),MONTH($D$19)-1,1),ÍNDICES!$A:$DE,HLOOKUP($BL$25,ÍNDICES!$B$3:$T$4,2)+11)-VLOOKUP(E98,ÍNDICES!$A:$DE,HLOOKUP($BL$25,ÍNDICES!$B$3:$T$4,2)+11)+1%,IF(F$38=$W$26,$J$35,IF(ISERROR(IF(E98&gt;$D$19,1,VLOOKUP(DATE(YEAR(E98),MONTH(E98)+IF($C$35=$S$23,1,0),1),ÍNDICES!$A:$DE,$Z$35+1))),"",IF(E98&gt;$D$19,1,VLOOKUP(DATE(YEAR(E98),MONTH(E98)+IF($C$35=$S$23,1,0),1),ÍNDICES!$A:$DE,$Z$35+1))))))</f>
        <v/>
      </c>
      <c r="G98" s="155"/>
      <c r="H98" s="156" t="str">
        <f t="shared" si="11"/>
        <v/>
      </c>
      <c r="I98" s="29" t="str">
        <f t="shared" si="5"/>
        <v/>
      </c>
      <c r="J98" s="5">
        <f t="shared" si="6"/>
        <v>0</v>
      </c>
      <c r="K98" s="20">
        <f t="shared" ca="1" si="7"/>
        <v>0</v>
      </c>
      <c r="L98" s="5">
        <f t="shared" ca="1" si="8"/>
        <v>0</v>
      </c>
      <c r="M98" s="64">
        <f t="shared" si="12"/>
        <v>0</v>
      </c>
      <c r="N98" s="61">
        <f t="shared" ca="1" si="13"/>
        <v>0</v>
      </c>
      <c r="O98" s="5">
        <f t="shared" ca="1" si="14"/>
        <v>0</v>
      </c>
      <c r="P98" s="446" t="e">
        <f t="shared" si="9"/>
        <v>#VALUE!</v>
      </c>
      <c r="Q98" s="446" t="e">
        <f>IF(OR($B98="",MIN(Q$38,$D$19)&lt;MAX($P$34*($B98+IF($R$17="Distrato",$I$38-1,0)),IF(AND($L$37=0,$P$34=0),"",$L$37-1),IF($R$17="Distrato",$E98,0))),0,YEARFRAC(MAX($P$34*($B98+IF($R$17="Distrato",$I$38-1,0)),IF(AND($L$37=0,$P$34=0),"",$L$37-1),IF($R$17="Distrato",$E98,0)),MIN(Q$38,$D$19),$P$20))-SUM($P98:P98)</f>
        <v>#VALUE!</v>
      </c>
      <c r="R98" s="446" t="e">
        <f>IF(OR($B98="",MIN(R$38,$D$19)&lt;MAX($P$34*($B98+IF($R$17="Distrato",$I$38-1,0)),IF(AND($L$37=0,$P$34=0),"",$L$37-1),IF($R$17="Distrato",$E98,0))),0,YEARFRAC(MAX($P$34*($B98+IF($R$17="Distrato",$I$38-1,0)),IF(AND($L$37=0,$P$34=0),"",$L$37-1),IF($R$17="Distrato",$E98,0)),MIN(R$38,$D$19),$P$20))-SUM($P98:Q98)</f>
        <v>#VALUE!</v>
      </c>
      <c r="S98" s="446" t="e">
        <f>IF(OR($B98="",MIN(S$38,$D$19)&lt;MAX($P$34*($B98+IF($R$17="Distrato",$I$38-1,0)),IF(AND($L$37=0,$P$34=0),"",$L$37-1),IF($R$17="Distrato",$E98,0))),0,YEARFRAC(MAX($P$34*($B98+IF($R$17="Distrato",$I$38-1,0)),IF(AND($L$37=0,$P$34=0),"",$L$37-1),IF($R$17="Distrato",$E98,0)),MIN(S$38,$D$19),$P$20))-SUM($P98:R98)</f>
        <v>#VALUE!</v>
      </c>
      <c r="T98" s="446" t="e">
        <f>IF(OR($B98="",MIN(T$38,$D$19)&lt;MAX($P$34*($B98+IF($R$17="Distrato",$I$38-1,0)),IF(AND($L$37=0,$P$34=0),"",$L$37-1),IF($R$17="Distrato",$E98,0))),0,YEARFRAC(MAX($P$34*($B98+IF($R$17="Distrato",$I$38-1,0)),IF(AND($L$37=0,$P$34=0),"",$L$37-1),IF($R$17="Distrato",$E98,0)),MIN(T$38,$D$19),$P$20))-SUM($P98:S98)</f>
        <v>#VALUE!</v>
      </c>
      <c r="U98" s="446" t="e">
        <f>IF(OR($B98="",MIN(U$38,$D$19)&lt;MAX($P$34*($B98+IF($R$17="Distrato",$I$38-1,0)),IF(AND($L$37=0,$P$34=0),"",$L$37-1),IF($R$17="Distrato",$E98,0))),0,YEARFRAC(MAX($P$34*($B98+IF($R$17="Distrato",$I$38-1,0)),IF(AND($L$37=0,$P$34=0),"",$L$37-1),IF($R$17="Distrato",$E98,0)),MIN(U$38,$D$19),$P$20))-SUM($P98:T98)</f>
        <v>#VALUE!</v>
      </c>
      <c r="V98" s="446" t="e">
        <f>IF(OR($B98="",MIN(V$38,$D$19)&lt;MAX($P$34*($B98+IF($R$17="Distrato",$I$38-1,0)),IF(AND($L$37=0,$P$34=0),"",$L$37-1),IF($R$17="Distrato",$E98,0))),0,YEARFRAC(MAX($P$34*($B98+IF($R$17="Distrato",$I$38-1,0)),IF(AND($L$37=0,$P$34=0),"",$L$37-1),IF($R$17="Distrato",$E98,0)),MIN(V$38,$D$19),$P$20))-SUM($P98:U98)</f>
        <v>#VALUE!</v>
      </c>
      <c r="W98" s="446" t="e">
        <f>IF(OR($B98="",MIN(W$38,$D$19)&lt;MAX($P$34*($B98+IF($R$17="Distrato",$I$38-1,0)),IF(AND($L$37=0,$P$34=0),"",$L$37-1),IF($R$17="Distrato",$E98,0))),0,YEARFRAC(MAX($P$34*($B98+IF($R$17="Distrato",$I$38-1,0)),IF(AND($L$37=0,$P$34=0),"",$L$37-1),IF($R$17="Distrato",$E98,0)),MIN(W$38,$D$19),$P$20))-SUM($P98:V98)</f>
        <v>#VALUE!</v>
      </c>
      <c r="X98" s="446" t="e">
        <f>IF(OR($B98="",MIN(X$38,$D$19)&lt;MAX($P$34*($B98+IF($R$17="Distrato",$I$38-1,0)),IF(AND($L$37=0,$P$34=0),"",$L$37-1),IF($R$17="Distrato",$E98,0))),0,YEARFRAC(MAX($P$34*($B98+IF($R$17="Distrato",$I$38-1,0)),IF(AND($L$37=0,$P$34=0),"",$L$37-1),IF($R$17="Distrato",$E98,0)),MIN(X$38,$D$19),$P$20))-SUM($P98:W98)</f>
        <v>#VALUE!</v>
      </c>
      <c r="Y98" s="446" t="e">
        <f>IF(OR($B98="",MIN(Y$38,$D$19)&lt;MAX($P$34*($B98+IF($R$17="Distrato",$I$38-1,0)),IF(AND($L$37=0,$P$34=0),"",$L$37-1),IF($R$17="Distrato",$E98,0))),0,YEARFRAC(MAX($P$34*($B98+IF($R$17="Distrato",$I$38-1,0)),IF(AND($L$37=0,$P$34=0),"",$L$37-1),IF($R$17="Distrato",$E98,0)),MIN(Y$38,$D$19),$P$20))-SUM($P98:X98)</f>
        <v>#VALUE!</v>
      </c>
      <c r="Z98" s="446" t="e">
        <f>IF(OR($B98="",MIN(Z$38,$D$19)&lt;MAX($P$34*($B98+IF($R$17="Distrato",$I$38-1,0)),IF(AND($L$37=0,$P$34=0),"",$L$37-1),IF($R$17="Distrato",$E98,0))),0,YEARFRAC(MAX($P$34*($B98+IF($R$17="Distrato",$I$38-1,0)),IF(AND($L$37=0,$P$34=0),"",$L$37-1),IF($R$17="Distrato",$E98,0)),MIN(Z$38,$D$19),$P$20))-SUM($P98:Y98)</f>
        <v>#VALUE!</v>
      </c>
      <c r="AA98" s="446" t="e">
        <f>IF(OR($B98="",MIN(AA$38,$D$19)&lt;MAX($P$34*($B98+IF($R$17="Distrato",$I$38-1,0)),IF(AND($L$37=0,$P$34=0),"",$L$37-1),IF($R$17="Distrato",$E98,0))),0,YEARFRAC(MAX($P$34*($B98+IF($R$17="Distrato",$I$38-1,0)),IF(AND($L$37=0,$P$34=0),"",$L$37-1),IF($R$17="Distrato",$E98,0)),MIN(AA$38,$D$19),$P$20))-SUM($P98:Z98)</f>
        <v>#VALUE!</v>
      </c>
      <c r="AB98" s="446" t="e">
        <f>IF(OR($B98="",MIN(AB$38,$D$19)&lt;MAX($P$34*($B98+IF($R$17="Distrato",$I$38-1,0)),IF(AND($L$37=0,$P$34=0),"",$L$37-1),IF($R$17="Distrato",$E98,0))),0,YEARFRAC(MAX($P$34*($B98+IF($R$17="Distrato",$I$38-1,0)),IF(AND($L$37=0,$P$34=0),"",$L$37-1),IF($R$17="Distrato",$E98,0)),MIN(AB$38,$D$19),$P$20))-SUM($P98:AA98)</f>
        <v>#VALUE!</v>
      </c>
      <c r="AC98" s="446" t="e">
        <f>IF(OR($B98="",MIN(AC$38,$D$19)&lt;MAX($P$34*($B98+IF($R$17="Distrato",$I$38-1,0)),IF(AND($L$37=0,$P$34=0),"",$L$37-1),IF($R$17="Distrato",$E98,0))),0,YEARFRAC(MAX($P$34*($B98+IF($R$17="Distrato",$I$38-1,0)),IF(AND($L$37=0,$P$34=0),"",$L$37-1),IF($R$17="Distrato",$E98,0)),MIN(AC$38,$D$19),$P$20))-SUM($P98:AB98)</f>
        <v>#VALUE!</v>
      </c>
      <c r="AD98" s="446" t="e">
        <f>IF(OR($B98="",MIN(AD$38,$D$19)&lt;MAX($P$34*($B98+IF($R$17="Distrato",$I$38-1,0)),IF(AND($L$37=0,$P$34=0),"",$L$37-1),IF($R$17="Distrato",$E98,0))),0,YEARFRAC(MAX($P$34*($B98+IF($R$17="Distrato",$I$38-1,0)),IF(AND($L$37=0,$P$34=0),"",$L$37-1),IF($R$17="Distrato",$E98,0)),MIN(AD$38,$D$19),$P$20))-SUM($P98:AC98)</f>
        <v>#VALUE!</v>
      </c>
      <c r="AE98" s="446" t="e">
        <f>IF(OR($B98="",MIN(AE$38,$D$19)&lt;MAX($P$34*($B98+IF($R$17="Distrato",$I$38-1,0)),IF(AND($L$37=0,$P$34=0),"",$L$37-1),IF($R$17="Distrato",$E98,0))),0,YEARFRAC(MAX($P$34*($B98+IF($R$17="Distrato",$I$38-1,0)),IF(AND($L$37=0,$P$34=0),"",$L$37-1),IF($R$17="Distrato",$E98,0)),MIN(AE$38,$D$19),$P$20))-SUM($P98:AD98)</f>
        <v>#VALUE!</v>
      </c>
      <c r="AF98" s="446" t="e">
        <f>IF(OR($B98="",MIN(AF$38,$D$19)&lt;MAX($P$34*($B98+IF($R$17="Distrato",$I$38-1,0)),IF(AND($L$37=0,$P$34=0),"",$L$37-1),IF($R$17="Distrato",$E98,0))),0,YEARFRAC(MAX($P$34*($B98+IF($R$17="Distrato",$I$38-1,0)),IF(AND($L$37=0,$P$34=0),"",$L$37-1),IF($R$17="Distrato",$E98,0)),MIN(AF$38,$D$19),$P$20))-SUM($P98:AE98)</f>
        <v>#VALUE!</v>
      </c>
      <c r="AG98" s="446" t="e">
        <f>IF(OR($B98="",MIN(AG$38,$D$19)&lt;MAX($P$34*($B98+IF($R$17="Distrato",$I$38-1,0)),IF(AND($L$37=0,$P$34=0),"",$L$37-1),IF($R$17="Distrato",$E98,0))),0,YEARFRAC(MAX($P$34*($B98+IF($R$17="Distrato",$I$38-1,0)),IF(AND($L$37=0,$P$34=0),"",$L$37-1),IF($R$17="Distrato",$E98,0)),MIN(AG$38,$D$19),$P$20))-SUM($P98:AF98)</f>
        <v>#VALUE!</v>
      </c>
      <c r="AH98" s="446" t="e">
        <f>IF(OR($B98="",MIN(AH$38,$D$19)&lt;MAX($P$34*($B98+IF($R$17="Distrato",$I$38-1,0)),IF(AND($L$37=0,$P$34=0),"",$L$37-1),IF($R$17="Distrato",$E98,0))),0,YEARFRAC(MAX($P$34*($B98+IF($R$17="Distrato",$I$38-1,0)),IF(AND($L$37=0,$P$34=0),"",$L$37-1),IF($R$17="Distrato",$E98,0)),MIN(AH$38,$D$19),$P$20))-SUM($P98:AG98)</f>
        <v>#VALUE!</v>
      </c>
      <c r="AI98" s="446" t="e">
        <f>IF(OR($B98="",MIN(AI$38,$D$19)&lt;MAX($P$34*($B98+IF($R$17="Distrato",$I$38-1,0)),IF(AND($L$37=0,$P$34=0),"",$L$37-1),IF($R$17="Distrato",$E98,0))),0,YEARFRAC(MAX($P$34*($B98+IF($R$17="Distrato",$I$38-1,0)),IF(AND($L$37=0,$P$34=0),"",$L$37-1),IF($R$17="Distrato",$E98,0)),MIN(AI$38,$D$19),$P$20))-SUM($P98:AH98)</f>
        <v>#VALUE!</v>
      </c>
      <c r="AJ98" s="446" t="e">
        <f>IF(OR($B98="",MIN(AJ$38,$D$19)&lt;MAX($P$34*($B98+IF($R$17="Distrato",$I$38-1,0)),IF(AND($L$37=0,$P$34=0),"",$L$37-1),IF($R$17="Distrato",$E98,0))),0,YEARFRAC(MAX($P$34*($B98+IF($R$17="Distrato",$I$38-1,0)),IF(AND($L$37=0,$P$34=0),"",$L$37-1),IF($R$17="Distrato",$E98,0)),MIN(AJ$38,$D$19),$P$20))-SUM($P98:AI98)</f>
        <v>#VALUE!</v>
      </c>
      <c r="AK98" s="446" t="e">
        <f>IF(OR($B98="",MIN(AK$38,$D$19)&lt;MAX($P$34*($B98+IF($R$17="Distrato",$I$38-1,0)),IF(AND($L$37=0,$P$34=0),"",$L$37-1),IF($R$17="Distrato",$E98,0))),0,YEARFRAC(MAX($P$34*($B98+IF($R$17="Distrato",$I$38-1,0)),IF(AND($L$37=0,$P$34=0),"",$L$37-1),IF($R$17="Distrato",$E98,0)),MIN(AK$38,$D$19),$P$20))-SUM($P98:AJ98)</f>
        <v>#VALUE!</v>
      </c>
      <c r="AL98" s="446" t="e">
        <f>IF(OR($B98="",MIN(AL$38,$D$19)&lt;MAX($P$34*($B98+IF($R$17="Distrato",$I$38-1,0)),IF(AND($L$37=0,$P$34=0),"",$L$37-1),IF($R$17="Distrato",$E98,0))),0,YEARFRAC(MAX($P$34*($B98+IF($R$17="Distrato",$I$38-1,0)),IF(AND($L$37=0,$P$34=0),"",$L$37-1),IF($R$17="Distrato",$E98,0)),MIN(AL$38,$D$19),$P$20))-SUM($P98:AK98)</f>
        <v>#VALUE!</v>
      </c>
      <c r="AM98" s="446" t="e">
        <f>IF(OR($B98="",MIN(AM$38,$D$19)&lt;MAX($P$34*($B98+IF($R$17="Distrato",$I$38-1,0)),IF(AND($L$37=0,$P$34=0),"",$L$37-1),IF($R$17="Distrato",$E98,0))),0,YEARFRAC(MAX($P$34*($B98+IF($R$17="Distrato",$I$38-1,0)),IF(AND($L$37=0,$P$34=0),"",$L$37-1),IF($R$17="Distrato",$E98,0)),MIN(AM$38,$D$19),$P$20))-SUM($P98:AL98)</f>
        <v>#VALUE!</v>
      </c>
      <c r="AN98" s="446" t="e">
        <f>IF(OR($B98="",MIN(AN$38,$D$19)&lt;MAX($P$34*($B98+IF($R$17="Distrato",$I$38-1,0)),IF(AND($L$37=0,$P$34=0),"",$L$37-1),IF($R$17="Distrato",$E98,0))),0,YEARFRAC(MAX($P$34*($B98+IF($R$17="Distrato",$I$38-1,0)),IF(AND($L$37=0,$P$34=0),"",$L$37-1),IF($R$17="Distrato",$E98,0)),MIN(AN$38,$D$19),$P$20))-SUM($P98:AM98)</f>
        <v>#VALUE!</v>
      </c>
      <c r="AO98" s="446" t="e">
        <f>IF(OR($B98="",MIN(AO$38,$D$19)&lt;MAX($P$34*($B98+IF($R$17="Distrato",$I$38-1,0)),IF(AND($L$37=0,$P$34=0),"",$L$37-1),IF($R$17="Distrato",$E98,0))),0,YEARFRAC(MAX($P$34*($B98+IF($R$17="Distrato",$I$38-1,0)),IF(AND($L$37=0,$P$34=0),"",$L$37-1),IF($R$17="Distrato",$E98,0)),MIN(AO$38,$D$19),$P$20))-SUM($P98:AN98)</f>
        <v>#VALUE!</v>
      </c>
      <c r="AP98" s="446" t="e">
        <f>IF(OR($B98="",MIN(AP$38,$D$19)&lt;MAX($P$34*($B98+IF($R$17="Distrato",$I$38-1,0)),IF(AND($L$37=0,$P$34=0),"",$L$37-1),IF($R$17="Distrato",$E98,0))),0,YEARFRAC(MAX($P$34*($B98+IF($R$17="Distrato",$I$38-1,0)),IF(AND($L$37=0,$P$34=0),"",$L$37-1),IF($R$17="Distrato",$E98,0)),MIN(AP$38,$D$19),$P$20))-SUM($P98:AO98)</f>
        <v>#VALUE!</v>
      </c>
      <c r="AQ98" s="446" t="e">
        <f>IF(OR($B98="",MIN(AQ$38,$D$19)&lt;MAX($P$34*($B98+IF($R$17="Distrato",$I$38-1,0)),IF(AND($L$37=0,$P$34=0),"",$L$37-1),IF($R$17="Distrato",$E98,0))),0,YEARFRAC(MAX($P$34*($B98+IF($R$17="Distrato",$I$38-1,0)),IF(AND($L$37=0,$P$34=0),"",$L$37-1),IF($R$17="Distrato",$E98,0)),MIN(AQ$38,$D$19),$P$20))-SUM($P98:AP98)</f>
        <v>#VALUE!</v>
      </c>
      <c r="AR98" s="446" t="e">
        <f>IF(OR($B98="",MIN(AR$38,$D$19)&lt;MAX($P$34*($B98+IF($R$17="Distrato",$I$38-1,0)),IF(AND($L$37=0,$P$34=0),"",$L$37-1),IF($R$17="Distrato",$E98,0))),0,YEARFRAC(MAX($P$34*($B98+IF($R$17="Distrato",$I$38-1,0)),IF(AND($L$37=0,$P$34=0),"",$L$37-1),IF($R$17="Distrato",$E98,0)),MIN(AR$38,$D$19),$P$20))-SUM($P98:AQ98)</f>
        <v>#VALUE!</v>
      </c>
      <c r="AS98" s="446" t="e">
        <f>IF(OR($B98="",MIN(AS$38,$D$19)&lt;MAX($P$34*($B98+IF($R$17="Distrato",$I$38-1,0)),IF(AND($L$37=0,$P$34=0),"",$L$37-1),IF($R$17="Distrato",$E98,0))),0,YEARFRAC(MAX($P$34*($B98+IF($R$17="Distrato",$I$38-1,0)),IF(AND($L$37=0,$P$34=0),"",$L$37-1),IF($R$17="Distrato",$E98,0)),MIN(AS$38,$D$19),$P$20))-SUM($P98:AR98)</f>
        <v>#VALUE!</v>
      </c>
      <c r="AT98" s="446" t="e">
        <f>IF(OR($B98="",MIN(AT$38,$D$19)&lt;MAX($P$34*($B98+IF($R$17="Distrato",$I$38-1,0)),IF(AND($L$37=0,$P$34=0),"",$L$37-1),IF($R$17="Distrato",$E98,0))),0,YEARFRAC(MAX($P$34*($B98+IF($R$17="Distrato",$I$38-1,0)),IF(AND($L$37=0,$P$34=0),"",$L$37-1),IF($R$17="Distrato",$E98,0)),MIN(AT$38,$D$19),$P$20))-SUM($P98:AS98)</f>
        <v>#VALUE!</v>
      </c>
      <c r="AU98" s="446" t="e">
        <f>IF(OR($B98="",MIN(AU$38,$D$19)&lt;MAX($P$34*($B98+IF($R$17="Distrato",$I$38-1,0)),IF(AND($L$37=0,$P$34=0),"",$L$37-1),IF($R$17="Distrato",$E98,0))),0,YEARFRAC(MAX($P$34*($B98+IF($R$17="Distrato",$I$38-1,0)),IF(AND($L$37=0,$P$34=0),"",$L$37-1),IF($R$17="Distrato",$E98,0)),MIN(AU$38,$D$19),$P$20))-SUM($P98:AT98)</f>
        <v>#VALUE!</v>
      </c>
      <c r="AV98" s="446" t="e">
        <f>IF(OR($B98="",MIN(AV$38,$D$19)&lt;MAX($P$34*($B98+IF($R$17="Distrato",$I$38-1,0)),IF(AND($L$37=0,$P$34=0),"",$L$37-1),IF($R$17="Distrato",$E98,0))),0,YEARFRAC(MAX($P$34*($B98+IF($R$17="Distrato",$I$38-1,0)),IF(AND($L$37=0,$P$34=0),"",$L$37-1),IF($R$17="Distrato",$E98,0)),MIN(AV$38,$D$19),$P$20))-SUM($P98:AU98)</f>
        <v>#VALUE!</v>
      </c>
      <c r="AW98" s="446" t="e">
        <f>IF(OR($B98="",MIN(AW$38,$D$19)&lt;MAX($P$34*($B98+IF($R$17="Distrato",$I$38-1,0)),IF(AND($L$37=0,$P$34=0),"",$L$37-1),IF($R$17="Distrato",$E98,0))),0,YEARFRAC(MAX($P$34*($B98+IF($R$17="Distrato",$I$38-1,0)),IF(AND($L$37=0,$P$34=0),"",$L$37-1),IF($R$17="Distrato",$E98,0)),MIN(AW$38,$D$19),$P$20))-SUM($P98:AV98)</f>
        <v>#VALUE!</v>
      </c>
      <c r="AX98" s="446" t="e">
        <f>IF(OR($B98="",MIN(AX$38,$D$19)&lt;MAX($P$34*($B98+IF($R$17="Distrato",$I$38-1,0)),IF(AND($L$37=0,$P$34=0),"",$L$37-1),IF($R$17="Distrato",$E98,0))),0,YEARFRAC(MAX($P$34*($B98+IF($R$17="Distrato",$I$38-1,0)),IF(AND($L$37=0,$P$34=0),"",$L$37-1),IF($R$17="Distrato",$E98,0)),MIN(AX$38,$D$19),$P$20))-SUM($P98:AW98)</f>
        <v>#VALUE!</v>
      </c>
      <c r="AY98" s="446" t="e">
        <f>IF(OR($B98="",MIN(AY$38,$D$19)&lt;MAX($P$34*($B98+IF($R$17="Distrato",$I$38-1,0)),IF(AND($L$37=0,$P$34=0),"",$L$37-1),IF($R$17="Distrato",$E98,0))),0,YEARFRAC(MAX($P$34*($B98+IF($R$17="Distrato",$I$38-1,0)),IF(AND($L$37=0,$P$34=0),"",$L$37-1),IF($R$17="Distrato",$E98,0)),MIN(AY$38,$D$19),$P$20))-SUM($P98:AX98)</f>
        <v>#VALUE!</v>
      </c>
      <c r="AZ98" s="446" t="e">
        <f>IF(OR($B98="",MIN(AZ$38,$D$19)&lt;MAX($P$34*($B98+IF($R$17="Distrato",$I$38-1,0)),IF(AND($L$37=0,$P$34=0),"",$L$37-1),IF($R$17="Distrato",$E98,0))),0,YEARFRAC(MAX($P$34*($B98+IF($R$17="Distrato",$I$38-1,0)),IF(AND($L$37=0,$P$34=0),"",$L$37-1),IF($R$17="Distrato",$E98,0)),MIN(AZ$38,$D$19),$P$20))-SUM($P98:AY98)</f>
        <v>#VALUE!</v>
      </c>
      <c r="BA98" s="446" t="e">
        <f>IF(OR($B98="",MIN(BA$38,$D$19)&lt;MAX($P$34*($B98+IF($R$17="Distrato",$I$38-1,0)),IF(AND($L$37=0,$P$34=0),"",$L$37-1),IF($R$17="Distrato",$E98,0))),0,YEARFRAC(MAX($P$34*($B98+IF($R$17="Distrato",$I$38-1,0)),IF(AND($L$37=0,$P$34=0),"",$L$37-1),IF($R$17="Distrato",$E98,0)),MIN(BA$38,$D$19),$P$20))-SUM($P98:AZ98)</f>
        <v>#VALUE!</v>
      </c>
      <c r="BB98" s="447"/>
      <c r="BF98" s="446">
        <f t="shared" si="10"/>
        <v>0</v>
      </c>
      <c r="BG98" s="446">
        <f>IF($E98=0,0,IF(MIN(BG$38,$E98)&lt;MAX($P$34*($B98+$I$38-1),IF(AND($L$37=0,$P$34=0),"",$L$37-1)),0,YEARFRAC(MAX($P$34*($B98+$I$38-1),IF(AND($L$37=0,$P$34=0),"",$L$37-1)),MIN(BG$38,$E98),$P$20))-SUM($BF98:BF98))</f>
        <v>0</v>
      </c>
      <c r="BH98" s="446">
        <f>IF($E98=0,0,IF(MIN(BH$38,$E98)&lt;MAX($P$34*($B98+$I$38-1),IF(AND($L$37=0,$P$34=0),"",$L$37-1)),0,YEARFRAC(MAX($P$34*($B98+$I$38-1),IF(AND($L$37=0,$P$34=0),"",$L$37-1)),MIN(BH$38,$E98),$P$20))-SUM($BF98:BG98))</f>
        <v>0</v>
      </c>
      <c r="BI98" s="446">
        <f>IF($E98=0,0,IF(MIN(BI$38,$E98)&lt;MAX($P$34*($B98+$I$38-1),IF(AND($L$37=0,$P$34=0),"",$L$37-1)),0,YEARFRAC(MAX($P$34*($B98+$I$38-1),IF(AND($L$37=0,$P$34=0),"",$L$37-1)),MIN(BI$38,$E98),$P$20))-SUM($BF98:BH98))</f>
        <v>0</v>
      </c>
      <c r="BJ98" s="446">
        <f>IF($E98=0,0,IF(MIN(BJ$38,$E98)&lt;MAX($P$34*($B98+$I$38-1),IF(AND($L$37=0,$P$34=0),"",$L$37-1)),0,YEARFRAC(MAX($P$34*($B98+$I$38-1),IF(AND($L$37=0,$P$34=0),"",$L$37-1)),MIN(BJ$38,$E98),$P$20))-SUM($BF98:BI98))</f>
        <v>0</v>
      </c>
      <c r="BK98" s="446">
        <f>IF($E98=0,0,IF(MIN(BK$38,$E98)&lt;MAX($P$34*($B98+$I$38-1),IF(AND($L$37=0,$P$34=0),"",$L$37-1)),0,YEARFRAC(MAX($P$34*($B98+$I$38-1),IF(AND($L$37=0,$P$34=0),"",$L$37-1)),MIN(BK$38,$E98),$P$20))-SUM($BF98:BJ98))</f>
        <v>0</v>
      </c>
      <c r="BL98" s="446">
        <f>IF($E98=0,0,IF(MIN(BL$38,$E98)&lt;MAX($P$34*($B98+$I$38-1),IF(AND($L$37=0,$P$34=0),"",$L$37-1)),0,YEARFRAC(MAX($P$34*($B98+$I$38-1),IF(AND($L$37=0,$P$34=0),"",$L$37-1)),MIN(BL$38,$E98),$P$20))-SUM($BF98:BK98))</f>
        <v>0</v>
      </c>
      <c r="BM98" s="446">
        <f>IF($E98=0,0,IF(MIN(BM$38,$E98)&lt;MAX($P$34*($B98+$I$38-1),IF(AND($L$37=0,$P$34=0),"",$L$37-1)),0,YEARFRAC(MAX($P$34*($B98+$I$38-1),IF(AND($L$37=0,$P$34=0),"",$L$37-1)),MIN(BM$38,$E98),$P$20))-SUM($BF98:BL98))</f>
        <v>0</v>
      </c>
      <c r="BN98" s="446">
        <f>IF($E98=0,0,IF(MIN(BN$38,$E98)&lt;MAX($P$34*($B98+$I$38-1),IF(AND($L$37=0,$P$34=0),"",$L$37-1)),0,YEARFRAC(MAX($P$34*($B98+$I$38-1),IF(AND($L$37=0,$P$34=0),"",$L$37-1)),MIN(BN$38,$E98),$P$20))-SUM($BF98:BM98))</f>
        <v>0</v>
      </c>
      <c r="BO98" s="446">
        <f>IF($E98=0,0,IF(MIN(BO$38,$E98)&lt;MAX($P$34*($B98+$I$38-1),IF(AND($L$37=0,$P$34=0),"",$L$37-1)),0,YEARFRAC(MAX($P$34*($B98+$I$38-1),IF(AND($L$37=0,$P$34=0),"",$L$37-1)),MIN(BO$38,$E98),$P$20))-SUM($BF98:BN98))</f>
        <v>0</v>
      </c>
      <c r="BP98" s="446">
        <f>IF($E98=0,0,IF(MIN(BP$38,$E98)&lt;MAX($P$34*($B98+$I$38-1),IF(AND($L$37=0,$P$34=0),"",$L$37-1)),0,YEARFRAC(MAX($P$34*($B98+$I$38-1),IF(AND($L$37=0,$P$34=0),"",$L$37-1)),MIN(BP$38,$E98),$P$20))-SUM($BF98:BO98))</f>
        <v>0</v>
      </c>
      <c r="BQ98" s="446">
        <f>IF($E98=0,0,IF(MIN(BQ$38,$E98)&lt;MAX($P$34*($B98+$I$38-1),IF(AND($L$37=0,$P$34=0),"",$L$37-1)),0,YEARFRAC(MAX($P$34*($B98+$I$38-1),IF(AND($L$37=0,$P$34=0),"",$L$37-1)),MIN(BQ$38,$E98),$P$20))-SUM($BF98:BP98))</f>
        <v>0</v>
      </c>
      <c r="BR98" s="446">
        <f>IF($E98=0,0,IF(MIN(BR$38,$E98)&lt;MAX($P$34*($B98+$I$38-1),IF(AND($L$37=0,$P$34=0),"",$L$37-1)),0,YEARFRAC(MAX($P$34*($B98+$I$38-1),IF(AND($L$37=0,$P$34=0),"",$L$37-1)),MIN(BR$38,$E98),$P$20))-SUM($BF98:BQ98))</f>
        <v>0</v>
      </c>
      <c r="BS98" s="446">
        <f>IF($E98=0,0,IF(MIN(BS$38,$E98)&lt;MAX($P$34*($B98+$I$38-1),IF(AND($L$37=0,$P$34=0),"",$L$37-1)),0,YEARFRAC(MAX($P$34*($B98+$I$38-1),IF(AND($L$37=0,$P$34=0),"",$L$37-1)),MIN(BS$38,$E98),$P$20))-SUM($BF98:BR98))</f>
        <v>0</v>
      </c>
      <c r="BT98" s="446">
        <f>IF($E98=0,0,IF(MIN(BT$38,$E98)&lt;MAX($P$34*($B98+$I$38-1),IF(AND($L$37=0,$P$34=0),"",$L$37-1)),0,YEARFRAC(MAX($P$34*($B98+$I$38-1),IF(AND($L$37=0,$P$34=0),"",$L$37-1)),MIN(BT$38,$E98),$P$20))-SUM($BF98:BS98))</f>
        <v>0</v>
      </c>
      <c r="BU98" s="446">
        <f>IF($E98=0,0,IF(MIN(BU$38,$E98)&lt;MAX($P$34*($B98+$I$38-1),IF(AND($L$37=0,$P$34=0),"",$L$37-1)),0,YEARFRAC(MAX($P$34*($B98+$I$38-1),IF(AND($L$37=0,$P$34=0),"",$L$37-1)),MIN(BU$38,$E98),$P$20))-SUM($BF98:BT98))</f>
        <v>0</v>
      </c>
      <c r="BV98" s="446">
        <f>IF($E98=0,0,IF(MIN(BV$38,$E98)&lt;MAX($P$34*($B98+$I$38-1),IF(AND($L$37=0,$P$34=0),"",$L$37-1)),0,YEARFRAC(MAX($P$34*($B98+$I$38-1),IF(AND($L$37=0,$P$34=0),"",$L$37-1)),MIN(BV$38,$E98),$P$20))-SUM($BF98:BU98))</f>
        <v>0</v>
      </c>
      <c r="BW98" s="446">
        <f>IF($E98=0,0,IF(MIN(BW$38,$E98)&lt;MAX($P$34*($B98+$I$38-1),IF(AND($L$37=0,$P$34=0),"",$L$37-1)),0,YEARFRAC(MAX($P$34*($B98+$I$38-1),IF(AND($L$37=0,$P$34=0),"",$L$37-1)),MIN(BW$38,$E98),$P$20))-SUM($BF98:BV98))</f>
        <v>0</v>
      </c>
      <c r="BX98" s="446">
        <f>IF($E98=0,0,IF(MIN(BX$38,$E98)&lt;MAX($P$34*($B98+$I$38-1),IF(AND($L$37=0,$P$34=0),"",$L$37-1)),0,YEARFRAC(MAX($P$34*($B98+$I$38-1),IF(AND($L$37=0,$P$34=0),"",$L$37-1)),MIN(BX$38,$E98),$P$20))-SUM($BF98:BW98))</f>
        <v>0</v>
      </c>
      <c r="BY98" s="446">
        <f>IF($E98=0,0,IF(MIN(BY$38,$E98)&lt;MAX($P$34*($B98+$I$38-1),IF(AND($L$37=0,$P$34=0),"",$L$37-1)),0,YEARFRAC(MAX($P$34*($B98+$I$38-1),IF(AND($L$37=0,$P$34=0),"",$L$37-1)),MIN(BY$38,$E98),$P$20))-SUM($BF98:BX98))</f>
        <v>0</v>
      </c>
      <c r="BZ98" s="446">
        <f>IF($E98=0,0,IF(MIN(BZ$38,$E98)&lt;MAX($P$34*($B98+$I$38-1),IF(AND($L$37=0,$P$34=0),"",$L$37-1)),0,YEARFRAC(MAX($P$34*($B98+$I$38-1),IF(AND($L$37=0,$P$34=0),"",$L$37-1)),MIN(BZ$38,$E98),$P$20))-SUM($BF98:BY98))</f>
        <v>0</v>
      </c>
      <c r="CA98" s="446">
        <f>IF($E98=0,0,IF(MIN(CA$38,$E98)&lt;MAX($P$34*($B98+$I$38-1),IF(AND($L$37=0,$P$34=0),"",$L$37-1)),0,YEARFRAC(MAX($P$34*($B98+$I$38-1),IF(AND($L$37=0,$P$34=0),"",$L$37-1)),MIN(CA$38,$E98),$P$20))-SUM($BF98:BZ98))</f>
        <v>0</v>
      </c>
      <c r="CB98" s="446">
        <f>IF($E98=0,0,IF(MIN(CB$38,$E98)&lt;MAX($P$34*($B98+$I$38-1),IF(AND($L$37=0,$P$34=0),"",$L$37-1)),0,YEARFRAC(MAX($P$34*($B98+$I$38-1),IF(AND($L$37=0,$P$34=0),"",$L$37-1)),MIN(CB$38,$E98),$P$20))-SUM($BF98:CA98))</f>
        <v>0</v>
      </c>
      <c r="CC98" s="446">
        <f>IF($E98=0,0,IF(MIN(CC$38,$E98)&lt;MAX($P$34*($B98+$I$38-1),IF(AND($L$37=0,$P$34=0),"",$L$37-1)),0,YEARFRAC(MAX($P$34*($B98+$I$38-1),IF(AND($L$37=0,$P$34=0),"",$L$37-1)),MIN(CC$38,$E98),$P$20))-SUM($BF98:CB98))</f>
        <v>0</v>
      </c>
      <c r="CD98" s="446">
        <f>IF($E98=0,0,IF(MIN(CD$38,$E98)&lt;MAX($P$34*($B98+$I$38-1),IF(AND($L$37=0,$P$34=0),"",$L$37-1)),0,YEARFRAC(MAX($P$34*($B98+$I$38-1),IF(AND($L$37=0,$P$34=0),"",$L$37-1)),MIN(CD$38,$E98),$P$20))-SUM($BF98:CC98))</f>
        <v>0</v>
      </c>
      <c r="CE98" s="446">
        <f>IF($E98=0,0,IF(MIN(CE$38,$E98)&lt;MAX($P$34*($B98+$I$38-1),IF(AND($L$37=0,$P$34=0),"",$L$37-1)),0,YEARFRAC(MAX($P$34*($B98+$I$38-1),IF(AND($L$37=0,$P$34=0),"",$L$37-1)),MIN(CE$38,$E98),$P$20))-SUM($BF98:CD98))</f>
        <v>0</v>
      </c>
      <c r="CF98" s="446">
        <f>IF($E98=0,0,IF(MIN(CF$38,$E98)&lt;MAX($P$34*($B98+$I$38-1),IF(AND($L$37=0,$P$34=0),"",$L$37-1)),0,YEARFRAC(MAX($P$34*($B98+$I$38-1),IF(AND($L$37=0,$P$34=0),"",$L$37-1)),MIN(CF$38,$E98),$P$20))-SUM($BF98:CE98))</f>
        <v>0</v>
      </c>
      <c r="CG98" s="446">
        <f>IF($E98=0,0,IF(MIN(CG$38,$E98)&lt;MAX($P$34*($B98+$I$38-1),IF(AND($L$37=0,$P$34=0),"",$L$37-1)),0,YEARFRAC(MAX($P$34*($B98+$I$38-1),IF(AND($L$37=0,$P$34=0),"",$L$37-1)),MIN(CG$38,$E98),$P$20))-SUM($BF98:CF98))</f>
        <v>0</v>
      </c>
      <c r="CH98" s="446">
        <f>IF($E98=0,0,IF(MIN(CH$38,$E98)&lt;MAX($P$34*($B98+$I$38-1),IF(AND($L$37=0,$P$34=0),"",$L$37-1)),0,YEARFRAC(MAX($P$34*($B98+$I$38-1),IF(AND($L$37=0,$P$34=0),"",$L$37-1)),MIN(CH$38,$E98),$P$20))-SUM($BF98:CG98))</f>
        <v>0</v>
      </c>
      <c r="CI98" s="446">
        <f>IF($E98=0,0,IF(MIN(CI$38,$E98)&lt;MAX($P$34*($B98+$I$38-1),IF(AND($L$37=0,$P$34=0),"",$L$37-1)),0,YEARFRAC(MAX($P$34*($B98+$I$38-1),IF(AND($L$37=0,$P$34=0),"",$L$37-1)),MIN(CI$38,$E98),$P$20))-SUM($BF98:CH98))</f>
        <v>0</v>
      </c>
      <c r="CJ98" s="446">
        <f>IF($E98=0,0,IF(MIN(CJ$38,$E98)&lt;MAX($P$34*($B98+$I$38-1),IF(AND($L$37=0,$P$34=0),"",$L$37-1)),0,YEARFRAC(MAX($P$34*($B98+$I$38-1),IF(AND($L$37=0,$P$34=0),"",$L$37-1)),MIN(CJ$38,$E98),$P$20))-SUM($BF98:CI98))</f>
        <v>0</v>
      </c>
      <c r="CK98" s="446">
        <f>IF($E98=0,0,IF(MIN(CK$38,$E98)&lt;MAX($P$34*($B98+$I$38-1),IF(AND($L$37=0,$P$34=0),"",$L$37-1)),0,YEARFRAC(MAX($P$34*($B98+$I$38-1),IF(AND($L$37=0,$P$34=0),"",$L$37-1)),MIN(CK$38,$E98),$P$20))-SUM($BF98:CJ98))</f>
        <v>0</v>
      </c>
      <c r="CL98" s="446">
        <f>IF($E98=0,0,IF(MIN(CL$38,$E98)&lt;MAX($P$34*($B98+$I$38-1),IF(AND($L$37=0,$P$34=0),"",$L$37-1)),0,YEARFRAC(MAX($P$34*($B98+$I$38-1),IF(AND($L$37=0,$P$34=0),"",$L$37-1)),MIN(CL$38,$E98),$P$20))-SUM($BF98:CK98))</f>
        <v>0</v>
      </c>
      <c r="CM98" s="446">
        <f>IF($E98=0,0,IF(MIN(CM$38,$E98)&lt;MAX($P$34*($B98+$I$38-1),IF(AND($L$37=0,$P$34=0),"",$L$37-1)),0,YEARFRAC(MAX($P$34*($B98+$I$38-1),IF(AND($L$37=0,$P$34=0),"",$L$37-1)),MIN(CM$38,$E98),$P$20))-SUM($BF98:CL98))</f>
        <v>0</v>
      </c>
      <c r="CN98" s="446">
        <f>IF($E98=0,0,IF(MIN(CN$38,$E98)&lt;MAX($P$34*($B98+$I$38-1),IF(AND($L$37=0,$P$34=0),"",$L$37-1)),0,YEARFRAC(MAX($P$34*($B98+$I$38-1),IF(AND($L$37=0,$P$34=0),"",$L$37-1)),MIN(CN$38,$E98),$P$20))-SUM($BF98:CM98))</f>
        <v>0</v>
      </c>
      <c r="CO98" s="446">
        <f>IF($E98=0,0,IF(MIN(CO$38,$E98)&lt;MAX($P$34*($B98+$I$38-1),IF(AND($L$37=0,$P$34=0),"",$L$37-1)),0,YEARFRAC(MAX($P$34*($B98+$I$38-1),IF(AND($L$37=0,$P$34=0),"",$L$37-1)),MIN(CO$38,$E98),$P$20))-SUM($BF98:CN98))</f>
        <v>0</v>
      </c>
      <c r="CP98" s="446">
        <f>IF($E98=0,0,IF(MIN(CP$38,$E98)&lt;MAX($P$34*($B98+$I$38-1),IF(AND($L$37=0,$P$34=0),"",$L$37-1)),0,YEARFRAC(MAX($P$34*($B98+$I$38-1),IF(AND($L$37=0,$P$34=0),"",$L$37-1)),MIN(CP$38,$E98),$P$20))-SUM($BF98:CO98))</f>
        <v>0</v>
      </c>
      <c r="CQ98" s="446">
        <f>IF($E98=0,0,IF(MIN(CQ$38,$E98)&lt;MAX($P$34*($B98+$I$38-1),IF(AND($L$37=0,$P$34=0),"",$L$37-1)),0,YEARFRAC(MAX($P$34*($B98+$I$38-1),IF(AND($L$37=0,$P$34=0),"",$L$37-1)),MIN(CQ$38,$E98),$P$20))-SUM($BF98:CP98))</f>
        <v>0</v>
      </c>
    </row>
    <row r="99" spans="1:95" s="446" customFormat="1" ht="11.25" hidden="1" customHeight="1" x14ac:dyDescent="0.2">
      <c r="A99" s="152"/>
      <c r="B99" s="153" t="str">
        <f t="shared" si="15"/>
        <v/>
      </c>
      <c r="C99" s="29" t="str">
        <f>IF(B99="","",IF($L$35="SELIC - TRIBUTOS",VLOOKUP(DATE(YEAR($D$19),MONTH($D$19)-1,1),ÍNDICES!$A:$DE,HLOOKUP($BL$25,ÍNDICES!$B$3:$T$4,2)+11)-VLOOKUP(B99,ÍNDICES!$A:$DE,HLOOKUP($BL$25,ÍNDICES!$B$3:$T$4,2)+11)+1%,IF(C$38=$W$26,$J$35,IF(ISERROR(IF(B99&gt;$D$19,1,VLOOKUP(DATE(YEAR(B99),MONTH(B99)+IF($C$35=$S$23,1,0),1),ÍNDICES!$A:$DE,$Z$35+1))),"",IF(B99&gt;$D$19,1,VLOOKUP(DATE(YEAR(B99),MONTH(B99)+IF($C$35=$S$23,1,0),1),ÍNDICES!$A:$DE,$Z$35+1))))))</f>
        <v/>
      </c>
      <c r="D99" s="154" t="str">
        <f>IF(ISERROR(IF(OR($D$38=$Y$27,$B99=""),"",VLOOKUP(B99,ÍNDICES!A:DE,AF$35+1))),"",IF(OR($D$38=$Y$27,$B99=""),"",VLOOKUP(B99,ÍNDICES!A:DE,AF$35+1)))</f>
        <v/>
      </c>
      <c r="E99" s="153"/>
      <c r="F99" s="29" t="str">
        <f>IF(E99="","",IF($L$35="SELIC - TRIBUTOS",VLOOKUP(DATE(YEAR($D$19),MONTH($D$19)-1,1),ÍNDICES!$A:$DE,HLOOKUP($BL$25,ÍNDICES!$B$3:$T$4,2)+11)-VLOOKUP(E99,ÍNDICES!$A:$DE,HLOOKUP($BL$25,ÍNDICES!$B$3:$T$4,2)+11)+1%,IF(F$38=$W$26,$J$35,IF(ISERROR(IF(E99&gt;$D$19,1,VLOOKUP(DATE(YEAR(E99),MONTH(E99)+IF($C$35=$S$23,1,0),1),ÍNDICES!$A:$DE,$Z$35+1))),"",IF(E99&gt;$D$19,1,VLOOKUP(DATE(YEAR(E99),MONTH(E99)+IF($C$35=$S$23,1,0),1),ÍNDICES!$A:$DE,$Z$35+1))))))</f>
        <v/>
      </c>
      <c r="G99" s="155"/>
      <c r="H99" s="156" t="str">
        <f t="shared" si="11"/>
        <v/>
      </c>
      <c r="I99" s="29" t="str">
        <f t="shared" si="5"/>
        <v/>
      </c>
      <c r="J99" s="5">
        <f t="shared" si="6"/>
        <v>0</v>
      </c>
      <c r="K99" s="20">
        <f t="shared" ca="1" si="7"/>
        <v>0</v>
      </c>
      <c r="L99" s="5">
        <f t="shared" ca="1" si="8"/>
        <v>0</v>
      </c>
      <c r="M99" s="64">
        <f t="shared" si="12"/>
        <v>0</v>
      </c>
      <c r="N99" s="61">
        <f t="shared" ca="1" si="13"/>
        <v>0</v>
      </c>
      <c r="O99" s="5">
        <f t="shared" ca="1" si="14"/>
        <v>0</v>
      </c>
      <c r="P99" s="446" t="e">
        <f t="shared" si="9"/>
        <v>#VALUE!</v>
      </c>
      <c r="Q99" s="446" t="e">
        <f>IF(OR($B99="",MIN(Q$38,$D$19)&lt;MAX($P$34*($B99+IF($R$17="Distrato",$I$38-1,0)),IF(AND($L$37=0,$P$34=0),"",$L$37-1),IF($R$17="Distrato",$E99,0))),0,YEARFRAC(MAX($P$34*($B99+IF($R$17="Distrato",$I$38-1,0)),IF(AND($L$37=0,$P$34=0),"",$L$37-1),IF($R$17="Distrato",$E99,0)),MIN(Q$38,$D$19),$P$20))-SUM($P99:P99)</f>
        <v>#VALUE!</v>
      </c>
      <c r="R99" s="446" t="e">
        <f>IF(OR($B99="",MIN(R$38,$D$19)&lt;MAX($P$34*($B99+IF($R$17="Distrato",$I$38-1,0)),IF(AND($L$37=0,$P$34=0),"",$L$37-1),IF($R$17="Distrato",$E99,0))),0,YEARFRAC(MAX($P$34*($B99+IF($R$17="Distrato",$I$38-1,0)),IF(AND($L$37=0,$P$34=0),"",$L$37-1),IF($R$17="Distrato",$E99,0)),MIN(R$38,$D$19),$P$20))-SUM($P99:Q99)</f>
        <v>#VALUE!</v>
      </c>
      <c r="S99" s="446" t="e">
        <f>IF(OR($B99="",MIN(S$38,$D$19)&lt;MAX($P$34*($B99+IF($R$17="Distrato",$I$38-1,0)),IF(AND($L$37=0,$P$34=0),"",$L$37-1),IF($R$17="Distrato",$E99,0))),0,YEARFRAC(MAX($P$34*($B99+IF($R$17="Distrato",$I$38-1,0)),IF(AND($L$37=0,$P$34=0),"",$L$37-1),IF($R$17="Distrato",$E99,0)),MIN(S$38,$D$19),$P$20))-SUM($P99:R99)</f>
        <v>#VALUE!</v>
      </c>
      <c r="T99" s="446" t="e">
        <f>IF(OR($B99="",MIN(T$38,$D$19)&lt;MAX($P$34*($B99+IF($R$17="Distrato",$I$38-1,0)),IF(AND($L$37=0,$P$34=0),"",$L$37-1),IF($R$17="Distrato",$E99,0))),0,YEARFRAC(MAX($P$34*($B99+IF($R$17="Distrato",$I$38-1,0)),IF(AND($L$37=0,$P$34=0),"",$L$37-1),IF($R$17="Distrato",$E99,0)),MIN(T$38,$D$19),$P$20))-SUM($P99:S99)</f>
        <v>#VALUE!</v>
      </c>
      <c r="U99" s="446" t="e">
        <f>IF(OR($B99="",MIN(U$38,$D$19)&lt;MAX($P$34*($B99+IF($R$17="Distrato",$I$38-1,0)),IF(AND($L$37=0,$P$34=0),"",$L$37-1),IF($R$17="Distrato",$E99,0))),0,YEARFRAC(MAX($P$34*($B99+IF($R$17="Distrato",$I$38-1,0)),IF(AND($L$37=0,$P$34=0),"",$L$37-1),IF($R$17="Distrato",$E99,0)),MIN(U$38,$D$19),$P$20))-SUM($P99:T99)</f>
        <v>#VALUE!</v>
      </c>
      <c r="V99" s="446" t="e">
        <f>IF(OR($B99="",MIN(V$38,$D$19)&lt;MAX($P$34*($B99+IF($R$17="Distrato",$I$38-1,0)),IF(AND($L$37=0,$P$34=0),"",$L$37-1),IF($R$17="Distrato",$E99,0))),0,YEARFRAC(MAX($P$34*($B99+IF($R$17="Distrato",$I$38-1,0)),IF(AND($L$37=0,$P$34=0),"",$L$37-1),IF($R$17="Distrato",$E99,0)),MIN(V$38,$D$19),$P$20))-SUM($P99:U99)</f>
        <v>#VALUE!</v>
      </c>
      <c r="W99" s="446" t="e">
        <f>IF(OR($B99="",MIN(W$38,$D$19)&lt;MAX($P$34*($B99+IF($R$17="Distrato",$I$38-1,0)),IF(AND($L$37=0,$P$34=0),"",$L$37-1),IF($R$17="Distrato",$E99,0))),0,YEARFRAC(MAX($P$34*($B99+IF($R$17="Distrato",$I$38-1,0)),IF(AND($L$37=0,$P$34=0),"",$L$37-1),IF($R$17="Distrato",$E99,0)),MIN(W$38,$D$19),$P$20))-SUM($P99:V99)</f>
        <v>#VALUE!</v>
      </c>
      <c r="X99" s="446" t="e">
        <f>IF(OR($B99="",MIN(X$38,$D$19)&lt;MAX($P$34*($B99+IF($R$17="Distrato",$I$38-1,0)),IF(AND($L$37=0,$P$34=0),"",$L$37-1),IF($R$17="Distrato",$E99,0))),0,YEARFRAC(MAX($P$34*($B99+IF($R$17="Distrato",$I$38-1,0)),IF(AND($L$37=0,$P$34=0),"",$L$37-1),IF($R$17="Distrato",$E99,0)),MIN(X$38,$D$19),$P$20))-SUM($P99:W99)</f>
        <v>#VALUE!</v>
      </c>
      <c r="Y99" s="446" t="e">
        <f>IF(OR($B99="",MIN(Y$38,$D$19)&lt;MAX($P$34*($B99+IF($R$17="Distrato",$I$38-1,0)),IF(AND($L$37=0,$P$34=0),"",$L$37-1),IF($R$17="Distrato",$E99,0))),0,YEARFRAC(MAX($P$34*($B99+IF($R$17="Distrato",$I$38-1,0)),IF(AND($L$37=0,$P$34=0),"",$L$37-1),IF($R$17="Distrato",$E99,0)),MIN(Y$38,$D$19),$P$20))-SUM($P99:X99)</f>
        <v>#VALUE!</v>
      </c>
      <c r="Z99" s="446" t="e">
        <f>IF(OR($B99="",MIN(Z$38,$D$19)&lt;MAX($P$34*($B99+IF($R$17="Distrato",$I$38-1,0)),IF(AND($L$37=0,$P$34=0),"",$L$37-1),IF($R$17="Distrato",$E99,0))),0,YEARFRAC(MAX($P$34*($B99+IF($R$17="Distrato",$I$38-1,0)),IF(AND($L$37=0,$P$34=0),"",$L$37-1),IF($R$17="Distrato",$E99,0)),MIN(Z$38,$D$19),$P$20))-SUM($P99:Y99)</f>
        <v>#VALUE!</v>
      </c>
      <c r="AA99" s="446" t="e">
        <f>IF(OR($B99="",MIN(AA$38,$D$19)&lt;MAX($P$34*($B99+IF($R$17="Distrato",$I$38-1,0)),IF(AND($L$37=0,$P$34=0),"",$L$37-1),IF($R$17="Distrato",$E99,0))),0,YEARFRAC(MAX($P$34*($B99+IF($R$17="Distrato",$I$38-1,0)),IF(AND($L$37=0,$P$34=0),"",$L$37-1),IF($R$17="Distrato",$E99,0)),MIN(AA$38,$D$19),$P$20))-SUM($P99:Z99)</f>
        <v>#VALUE!</v>
      </c>
      <c r="AB99" s="446" t="e">
        <f>IF(OR($B99="",MIN(AB$38,$D$19)&lt;MAX($P$34*($B99+IF($R$17="Distrato",$I$38-1,0)),IF(AND($L$37=0,$P$34=0),"",$L$37-1),IF($R$17="Distrato",$E99,0))),0,YEARFRAC(MAX($P$34*($B99+IF($R$17="Distrato",$I$38-1,0)),IF(AND($L$37=0,$P$34=0),"",$L$37-1),IF($R$17="Distrato",$E99,0)),MIN(AB$38,$D$19),$P$20))-SUM($P99:AA99)</f>
        <v>#VALUE!</v>
      </c>
      <c r="AC99" s="446" t="e">
        <f>IF(OR($B99="",MIN(AC$38,$D$19)&lt;MAX($P$34*($B99+IF($R$17="Distrato",$I$38-1,0)),IF(AND($L$37=0,$P$34=0),"",$L$37-1),IF($R$17="Distrato",$E99,0))),0,YEARFRAC(MAX($P$34*($B99+IF($R$17="Distrato",$I$38-1,0)),IF(AND($L$37=0,$P$34=0),"",$L$37-1),IF($R$17="Distrato",$E99,0)),MIN(AC$38,$D$19),$P$20))-SUM($P99:AB99)</f>
        <v>#VALUE!</v>
      </c>
      <c r="AD99" s="446" t="e">
        <f>IF(OR($B99="",MIN(AD$38,$D$19)&lt;MAX($P$34*($B99+IF($R$17="Distrato",$I$38-1,0)),IF(AND($L$37=0,$P$34=0),"",$L$37-1),IF($R$17="Distrato",$E99,0))),0,YEARFRAC(MAX($P$34*($B99+IF($R$17="Distrato",$I$38-1,0)),IF(AND($L$37=0,$P$34=0),"",$L$37-1),IF($R$17="Distrato",$E99,0)),MIN(AD$38,$D$19),$P$20))-SUM($P99:AC99)</f>
        <v>#VALUE!</v>
      </c>
      <c r="AE99" s="446" t="e">
        <f>IF(OR($B99="",MIN(AE$38,$D$19)&lt;MAX($P$34*($B99+IF($R$17="Distrato",$I$38-1,0)),IF(AND($L$37=0,$P$34=0),"",$L$37-1),IF($R$17="Distrato",$E99,0))),0,YEARFRAC(MAX($P$34*($B99+IF($R$17="Distrato",$I$38-1,0)),IF(AND($L$37=0,$P$34=0),"",$L$37-1),IF($R$17="Distrato",$E99,0)),MIN(AE$38,$D$19),$P$20))-SUM($P99:AD99)</f>
        <v>#VALUE!</v>
      </c>
      <c r="AF99" s="446" t="e">
        <f>IF(OR($B99="",MIN(AF$38,$D$19)&lt;MAX($P$34*($B99+IF($R$17="Distrato",$I$38-1,0)),IF(AND($L$37=0,$P$34=0),"",$L$37-1),IF($R$17="Distrato",$E99,0))),0,YEARFRAC(MAX($P$34*($B99+IF($R$17="Distrato",$I$38-1,0)),IF(AND($L$37=0,$P$34=0),"",$L$37-1),IF($R$17="Distrato",$E99,0)),MIN(AF$38,$D$19),$P$20))-SUM($P99:AE99)</f>
        <v>#VALUE!</v>
      </c>
      <c r="AG99" s="446" t="e">
        <f>IF(OR($B99="",MIN(AG$38,$D$19)&lt;MAX($P$34*($B99+IF($R$17="Distrato",$I$38-1,0)),IF(AND($L$37=0,$P$34=0),"",$L$37-1),IF($R$17="Distrato",$E99,0))),0,YEARFRAC(MAX($P$34*($B99+IF($R$17="Distrato",$I$38-1,0)),IF(AND($L$37=0,$P$34=0),"",$L$37-1),IF($R$17="Distrato",$E99,0)),MIN(AG$38,$D$19),$P$20))-SUM($P99:AF99)</f>
        <v>#VALUE!</v>
      </c>
      <c r="AH99" s="446" t="e">
        <f>IF(OR($B99="",MIN(AH$38,$D$19)&lt;MAX($P$34*($B99+IF($R$17="Distrato",$I$38-1,0)),IF(AND($L$37=0,$P$34=0),"",$L$37-1),IF($R$17="Distrato",$E99,0))),0,YEARFRAC(MAX($P$34*($B99+IF($R$17="Distrato",$I$38-1,0)),IF(AND($L$37=0,$P$34=0),"",$L$37-1),IF($R$17="Distrato",$E99,0)),MIN(AH$38,$D$19),$P$20))-SUM($P99:AG99)</f>
        <v>#VALUE!</v>
      </c>
      <c r="AI99" s="446" t="e">
        <f>IF(OR($B99="",MIN(AI$38,$D$19)&lt;MAX($P$34*($B99+IF($R$17="Distrato",$I$38-1,0)),IF(AND($L$37=0,$P$34=0),"",$L$37-1),IF($R$17="Distrato",$E99,0))),0,YEARFRAC(MAX($P$34*($B99+IF($R$17="Distrato",$I$38-1,0)),IF(AND($L$37=0,$P$34=0),"",$L$37-1),IF($R$17="Distrato",$E99,0)),MIN(AI$38,$D$19),$P$20))-SUM($P99:AH99)</f>
        <v>#VALUE!</v>
      </c>
      <c r="AJ99" s="446" t="e">
        <f>IF(OR($B99="",MIN(AJ$38,$D$19)&lt;MAX($P$34*($B99+IF($R$17="Distrato",$I$38-1,0)),IF(AND($L$37=0,$P$34=0),"",$L$37-1),IF($R$17="Distrato",$E99,0))),0,YEARFRAC(MAX($P$34*($B99+IF($R$17="Distrato",$I$38-1,0)),IF(AND($L$37=0,$P$34=0),"",$L$37-1),IF($R$17="Distrato",$E99,0)),MIN(AJ$38,$D$19),$P$20))-SUM($P99:AI99)</f>
        <v>#VALUE!</v>
      </c>
      <c r="AK99" s="446" t="e">
        <f>IF(OR($B99="",MIN(AK$38,$D$19)&lt;MAX($P$34*($B99+IF($R$17="Distrato",$I$38-1,0)),IF(AND($L$37=0,$P$34=0),"",$L$37-1),IF($R$17="Distrato",$E99,0))),0,YEARFRAC(MAX($P$34*($B99+IF($R$17="Distrato",$I$38-1,0)),IF(AND($L$37=0,$P$34=0),"",$L$37-1),IF($R$17="Distrato",$E99,0)),MIN(AK$38,$D$19),$P$20))-SUM($P99:AJ99)</f>
        <v>#VALUE!</v>
      </c>
      <c r="AL99" s="446" t="e">
        <f>IF(OR($B99="",MIN(AL$38,$D$19)&lt;MAX($P$34*($B99+IF($R$17="Distrato",$I$38-1,0)),IF(AND($L$37=0,$P$34=0),"",$L$37-1),IF($R$17="Distrato",$E99,0))),0,YEARFRAC(MAX($P$34*($B99+IF($R$17="Distrato",$I$38-1,0)),IF(AND($L$37=0,$P$34=0),"",$L$37-1),IF($R$17="Distrato",$E99,0)),MIN(AL$38,$D$19),$P$20))-SUM($P99:AK99)</f>
        <v>#VALUE!</v>
      </c>
      <c r="AM99" s="446" t="e">
        <f>IF(OR($B99="",MIN(AM$38,$D$19)&lt;MAX($P$34*($B99+IF($R$17="Distrato",$I$38-1,0)),IF(AND($L$37=0,$P$34=0),"",$L$37-1),IF($R$17="Distrato",$E99,0))),0,YEARFRAC(MAX($P$34*($B99+IF($R$17="Distrato",$I$38-1,0)),IF(AND($L$37=0,$P$34=0),"",$L$37-1),IF($R$17="Distrato",$E99,0)),MIN(AM$38,$D$19),$P$20))-SUM($P99:AL99)</f>
        <v>#VALUE!</v>
      </c>
      <c r="AN99" s="446" t="e">
        <f>IF(OR($B99="",MIN(AN$38,$D$19)&lt;MAX($P$34*($B99+IF($R$17="Distrato",$I$38-1,0)),IF(AND($L$37=0,$P$34=0),"",$L$37-1),IF($R$17="Distrato",$E99,0))),0,YEARFRAC(MAX($P$34*($B99+IF($R$17="Distrato",$I$38-1,0)),IF(AND($L$37=0,$P$34=0),"",$L$37-1),IF($R$17="Distrato",$E99,0)),MIN(AN$38,$D$19),$P$20))-SUM($P99:AM99)</f>
        <v>#VALUE!</v>
      </c>
      <c r="AO99" s="446" t="e">
        <f>IF(OR($B99="",MIN(AO$38,$D$19)&lt;MAX($P$34*($B99+IF($R$17="Distrato",$I$38-1,0)),IF(AND($L$37=0,$P$34=0),"",$L$37-1),IF($R$17="Distrato",$E99,0))),0,YEARFRAC(MAX($P$34*($B99+IF($R$17="Distrato",$I$38-1,0)),IF(AND($L$37=0,$P$34=0),"",$L$37-1),IF($R$17="Distrato",$E99,0)),MIN(AO$38,$D$19),$P$20))-SUM($P99:AN99)</f>
        <v>#VALUE!</v>
      </c>
      <c r="AP99" s="446" t="e">
        <f>IF(OR($B99="",MIN(AP$38,$D$19)&lt;MAX($P$34*($B99+IF($R$17="Distrato",$I$38-1,0)),IF(AND($L$37=0,$P$34=0),"",$L$37-1),IF($R$17="Distrato",$E99,0))),0,YEARFRAC(MAX($P$34*($B99+IF($R$17="Distrato",$I$38-1,0)),IF(AND($L$37=0,$P$34=0),"",$L$37-1),IF($R$17="Distrato",$E99,0)),MIN(AP$38,$D$19),$P$20))-SUM($P99:AO99)</f>
        <v>#VALUE!</v>
      </c>
      <c r="AQ99" s="446" t="e">
        <f>IF(OR($B99="",MIN(AQ$38,$D$19)&lt;MAX($P$34*($B99+IF($R$17="Distrato",$I$38-1,0)),IF(AND($L$37=0,$P$34=0),"",$L$37-1),IF($R$17="Distrato",$E99,0))),0,YEARFRAC(MAX($P$34*($B99+IF($R$17="Distrato",$I$38-1,0)),IF(AND($L$37=0,$P$34=0),"",$L$37-1),IF($R$17="Distrato",$E99,0)),MIN(AQ$38,$D$19),$P$20))-SUM($P99:AP99)</f>
        <v>#VALUE!</v>
      </c>
      <c r="AR99" s="446" t="e">
        <f>IF(OR($B99="",MIN(AR$38,$D$19)&lt;MAX($P$34*($B99+IF($R$17="Distrato",$I$38-1,0)),IF(AND($L$37=0,$P$34=0),"",$L$37-1),IF($R$17="Distrato",$E99,0))),0,YEARFRAC(MAX($P$34*($B99+IF($R$17="Distrato",$I$38-1,0)),IF(AND($L$37=0,$P$34=0),"",$L$37-1),IF($R$17="Distrato",$E99,0)),MIN(AR$38,$D$19),$P$20))-SUM($P99:AQ99)</f>
        <v>#VALUE!</v>
      </c>
      <c r="AS99" s="446" t="e">
        <f>IF(OR($B99="",MIN(AS$38,$D$19)&lt;MAX($P$34*($B99+IF($R$17="Distrato",$I$38-1,0)),IF(AND($L$37=0,$P$34=0),"",$L$37-1),IF($R$17="Distrato",$E99,0))),0,YEARFRAC(MAX($P$34*($B99+IF($R$17="Distrato",$I$38-1,0)),IF(AND($L$37=0,$P$34=0),"",$L$37-1),IF($R$17="Distrato",$E99,0)),MIN(AS$38,$D$19),$P$20))-SUM($P99:AR99)</f>
        <v>#VALUE!</v>
      </c>
      <c r="AT99" s="446" t="e">
        <f>IF(OR($B99="",MIN(AT$38,$D$19)&lt;MAX($P$34*($B99+IF($R$17="Distrato",$I$38-1,0)),IF(AND($L$37=0,$P$34=0),"",$L$37-1),IF($R$17="Distrato",$E99,0))),0,YEARFRAC(MAX($P$34*($B99+IF($R$17="Distrato",$I$38-1,0)),IF(AND($L$37=0,$P$34=0),"",$L$37-1),IF($R$17="Distrato",$E99,0)),MIN(AT$38,$D$19),$P$20))-SUM($P99:AS99)</f>
        <v>#VALUE!</v>
      </c>
      <c r="AU99" s="446" t="e">
        <f>IF(OR($B99="",MIN(AU$38,$D$19)&lt;MAX($P$34*($B99+IF($R$17="Distrato",$I$38-1,0)),IF(AND($L$37=0,$P$34=0),"",$L$37-1),IF($R$17="Distrato",$E99,0))),0,YEARFRAC(MAX($P$34*($B99+IF($R$17="Distrato",$I$38-1,0)),IF(AND($L$37=0,$P$34=0),"",$L$37-1),IF($R$17="Distrato",$E99,0)),MIN(AU$38,$D$19),$P$20))-SUM($P99:AT99)</f>
        <v>#VALUE!</v>
      </c>
      <c r="AV99" s="446" t="e">
        <f>IF(OR($B99="",MIN(AV$38,$D$19)&lt;MAX($P$34*($B99+IF($R$17="Distrato",$I$38-1,0)),IF(AND($L$37=0,$P$34=0),"",$L$37-1),IF($R$17="Distrato",$E99,0))),0,YEARFRAC(MAX($P$34*($B99+IF($R$17="Distrato",$I$38-1,0)),IF(AND($L$37=0,$P$34=0),"",$L$37-1),IF($R$17="Distrato",$E99,0)),MIN(AV$38,$D$19),$P$20))-SUM($P99:AU99)</f>
        <v>#VALUE!</v>
      </c>
      <c r="AW99" s="446" t="e">
        <f>IF(OR($B99="",MIN(AW$38,$D$19)&lt;MAX($P$34*($B99+IF($R$17="Distrato",$I$38-1,0)),IF(AND($L$37=0,$P$34=0),"",$L$37-1),IF($R$17="Distrato",$E99,0))),0,YEARFRAC(MAX($P$34*($B99+IF($R$17="Distrato",$I$38-1,0)),IF(AND($L$37=0,$P$34=0),"",$L$37-1),IF($R$17="Distrato",$E99,0)),MIN(AW$38,$D$19),$P$20))-SUM($P99:AV99)</f>
        <v>#VALUE!</v>
      </c>
      <c r="AX99" s="446" t="e">
        <f>IF(OR($B99="",MIN(AX$38,$D$19)&lt;MAX($P$34*($B99+IF($R$17="Distrato",$I$38-1,0)),IF(AND($L$37=0,$P$34=0),"",$L$37-1),IF($R$17="Distrato",$E99,0))),0,YEARFRAC(MAX($P$34*($B99+IF($R$17="Distrato",$I$38-1,0)),IF(AND($L$37=0,$P$34=0),"",$L$37-1),IF($R$17="Distrato",$E99,0)),MIN(AX$38,$D$19),$P$20))-SUM($P99:AW99)</f>
        <v>#VALUE!</v>
      </c>
      <c r="AY99" s="446" t="e">
        <f>IF(OR($B99="",MIN(AY$38,$D$19)&lt;MAX($P$34*($B99+IF($R$17="Distrato",$I$38-1,0)),IF(AND($L$37=0,$P$34=0),"",$L$37-1),IF($R$17="Distrato",$E99,0))),0,YEARFRAC(MAX($P$34*($B99+IF($R$17="Distrato",$I$38-1,0)),IF(AND($L$37=0,$P$34=0),"",$L$37-1),IF($R$17="Distrato",$E99,0)),MIN(AY$38,$D$19),$P$20))-SUM($P99:AX99)</f>
        <v>#VALUE!</v>
      </c>
      <c r="AZ99" s="446" t="e">
        <f>IF(OR($B99="",MIN(AZ$38,$D$19)&lt;MAX($P$34*($B99+IF($R$17="Distrato",$I$38-1,0)),IF(AND($L$37=0,$P$34=0),"",$L$37-1),IF($R$17="Distrato",$E99,0))),0,YEARFRAC(MAX($P$34*($B99+IF($R$17="Distrato",$I$38-1,0)),IF(AND($L$37=0,$P$34=0),"",$L$37-1),IF($R$17="Distrato",$E99,0)),MIN(AZ$38,$D$19),$P$20))-SUM($P99:AY99)</f>
        <v>#VALUE!</v>
      </c>
      <c r="BA99" s="446" t="e">
        <f>IF(OR($B99="",MIN(BA$38,$D$19)&lt;MAX($P$34*($B99+IF($R$17="Distrato",$I$38-1,0)),IF(AND($L$37=0,$P$34=0),"",$L$37-1),IF($R$17="Distrato",$E99,0))),0,YEARFRAC(MAX($P$34*($B99+IF($R$17="Distrato",$I$38-1,0)),IF(AND($L$37=0,$P$34=0),"",$L$37-1),IF($R$17="Distrato",$E99,0)),MIN(BA$38,$D$19),$P$20))-SUM($P99:AZ99)</f>
        <v>#VALUE!</v>
      </c>
      <c r="BB99" s="447"/>
      <c r="BF99" s="446">
        <f t="shared" si="10"/>
        <v>0</v>
      </c>
      <c r="BG99" s="446">
        <f>IF($E99=0,0,IF(MIN(BG$38,$E99)&lt;MAX($P$34*($B99+$I$38-1),IF(AND($L$37=0,$P$34=0),"",$L$37-1)),0,YEARFRAC(MAX($P$34*($B99+$I$38-1),IF(AND($L$37=0,$P$34=0),"",$L$37-1)),MIN(BG$38,$E99),$P$20))-SUM($BF99:BF99))</f>
        <v>0</v>
      </c>
      <c r="BH99" s="446">
        <f>IF($E99=0,0,IF(MIN(BH$38,$E99)&lt;MAX($P$34*($B99+$I$38-1),IF(AND($L$37=0,$P$34=0),"",$L$37-1)),0,YEARFRAC(MAX($P$34*($B99+$I$38-1),IF(AND($L$37=0,$P$34=0),"",$L$37-1)),MIN(BH$38,$E99),$P$20))-SUM($BF99:BG99))</f>
        <v>0</v>
      </c>
      <c r="BI99" s="446">
        <f>IF($E99=0,0,IF(MIN(BI$38,$E99)&lt;MAX($P$34*($B99+$I$38-1),IF(AND($L$37=0,$P$34=0),"",$L$37-1)),0,YEARFRAC(MAX($P$34*($B99+$I$38-1),IF(AND($L$37=0,$P$34=0),"",$L$37-1)),MIN(BI$38,$E99),$P$20))-SUM($BF99:BH99))</f>
        <v>0</v>
      </c>
      <c r="BJ99" s="446">
        <f>IF($E99=0,0,IF(MIN(BJ$38,$E99)&lt;MAX($P$34*($B99+$I$38-1),IF(AND($L$37=0,$P$34=0),"",$L$37-1)),0,YEARFRAC(MAX($P$34*($B99+$I$38-1),IF(AND($L$37=0,$P$34=0),"",$L$37-1)),MIN(BJ$38,$E99),$P$20))-SUM($BF99:BI99))</f>
        <v>0</v>
      </c>
      <c r="BK99" s="446">
        <f>IF($E99=0,0,IF(MIN(BK$38,$E99)&lt;MAX($P$34*($B99+$I$38-1),IF(AND($L$37=0,$P$34=0),"",$L$37-1)),0,YEARFRAC(MAX($P$34*($B99+$I$38-1),IF(AND($L$37=0,$P$34=0),"",$L$37-1)),MIN(BK$38,$E99),$P$20))-SUM($BF99:BJ99))</f>
        <v>0</v>
      </c>
      <c r="BL99" s="446">
        <f>IF($E99=0,0,IF(MIN(BL$38,$E99)&lt;MAX($P$34*($B99+$I$38-1),IF(AND($L$37=0,$P$34=0),"",$L$37-1)),0,YEARFRAC(MAX($P$34*($B99+$I$38-1),IF(AND($L$37=0,$P$34=0),"",$L$37-1)),MIN(BL$38,$E99),$P$20))-SUM($BF99:BK99))</f>
        <v>0</v>
      </c>
      <c r="BM99" s="446">
        <f>IF($E99=0,0,IF(MIN(BM$38,$E99)&lt;MAX($P$34*($B99+$I$38-1),IF(AND($L$37=0,$P$34=0),"",$L$37-1)),0,YEARFRAC(MAX($P$34*($B99+$I$38-1),IF(AND($L$37=0,$P$34=0),"",$L$37-1)),MIN(BM$38,$E99),$P$20))-SUM($BF99:BL99))</f>
        <v>0</v>
      </c>
      <c r="BN99" s="446">
        <f>IF($E99=0,0,IF(MIN(BN$38,$E99)&lt;MAX($P$34*($B99+$I$38-1),IF(AND($L$37=0,$P$34=0),"",$L$37-1)),0,YEARFRAC(MAX($P$34*($B99+$I$38-1),IF(AND($L$37=0,$P$34=0),"",$L$37-1)),MIN(BN$38,$E99),$P$20))-SUM($BF99:BM99))</f>
        <v>0</v>
      </c>
      <c r="BO99" s="446">
        <f>IF($E99=0,0,IF(MIN(BO$38,$E99)&lt;MAX($P$34*($B99+$I$38-1),IF(AND($L$37=0,$P$34=0),"",$L$37-1)),0,YEARFRAC(MAX($P$34*($B99+$I$38-1),IF(AND($L$37=0,$P$34=0),"",$L$37-1)),MIN(BO$38,$E99),$P$20))-SUM($BF99:BN99))</f>
        <v>0</v>
      </c>
      <c r="BP99" s="446">
        <f>IF($E99=0,0,IF(MIN(BP$38,$E99)&lt;MAX($P$34*($B99+$I$38-1),IF(AND($L$37=0,$P$34=0),"",$L$37-1)),0,YEARFRAC(MAX($P$34*($B99+$I$38-1),IF(AND($L$37=0,$P$34=0),"",$L$37-1)),MIN(BP$38,$E99),$P$20))-SUM($BF99:BO99))</f>
        <v>0</v>
      </c>
      <c r="BQ99" s="446">
        <f>IF($E99=0,0,IF(MIN(BQ$38,$E99)&lt;MAX($P$34*($B99+$I$38-1),IF(AND($L$37=0,$P$34=0),"",$L$37-1)),0,YEARFRAC(MAX($P$34*($B99+$I$38-1),IF(AND($L$37=0,$P$34=0),"",$L$37-1)),MIN(BQ$38,$E99),$P$20))-SUM($BF99:BP99))</f>
        <v>0</v>
      </c>
      <c r="BR99" s="446">
        <f>IF($E99=0,0,IF(MIN(BR$38,$E99)&lt;MAX($P$34*($B99+$I$38-1),IF(AND($L$37=0,$P$34=0),"",$L$37-1)),0,YEARFRAC(MAX($P$34*($B99+$I$38-1),IF(AND($L$37=0,$P$34=0),"",$L$37-1)),MIN(BR$38,$E99),$P$20))-SUM($BF99:BQ99))</f>
        <v>0</v>
      </c>
      <c r="BS99" s="446">
        <f>IF($E99=0,0,IF(MIN(BS$38,$E99)&lt;MAX($P$34*($B99+$I$38-1),IF(AND($L$37=0,$P$34=0),"",$L$37-1)),0,YEARFRAC(MAX($P$34*($B99+$I$38-1),IF(AND($L$37=0,$P$34=0),"",$L$37-1)),MIN(BS$38,$E99),$P$20))-SUM($BF99:BR99))</f>
        <v>0</v>
      </c>
      <c r="BT99" s="446">
        <f>IF($E99=0,0,IF(MIN(BT$38,$E99)&lt;MAX($P$34*($B99+$I$38-1),IF(AND($L$37=0,$P$34=0),"",$L$37-1)),0,YEARFRAC(MAX($P$34*($B99+$I$38-1),IF(AND($L$37=0,$P$34=0),"",$L$37-1)),MIN(BT$38,$E99),$P$20))-SUM($BF99:BS99))</f>
        <v>0</v>
      </c>
      <c r="BU99" s="446">
        <f>IF($E99=0,0,IF(MIN(BU$38,$E99)&lt;MAX($P$34*($B99+$I$38-1),IF(AND($L$37=0,$P$34=0),"",$L$37-1)),0,YEARFRAC(MAX($P$34*($B99+$I$38-1),IF(AND($L$37=0,$P$34=0),"",$L$37-1)),MIN(BU$38,$E99),$P$20))-SUM($BF99:BT99))</f>
        <v>0</v>
      </c>
      <c r="BV99" s="446">
        <f>IF($E99=0,0,IF(MIN(BV$38,$E99)&lt;MAX($P$34*($B99+$I$38-1),IF(AND($L$37=0,$P$34=0),"",$L$37-1)),0,YEARFRAC(MAX($P$34*($B99+$I$38-1),IF(AND($L$37=0,$P$34=0),"",$L$37-1)),MIN(BV$38,$E99),$P$20))-SUM($BF99:BU99))</f>
        <v>0</v>
      </c>
      <c r="BW99" s="446">
        <f>IF($E99=0,0,IF(MIN(BW$38,$E99)&lt;MAX($P$34*($B99+$I$38-1),IF(AND($L$37=0,$P$34=0),"",$L$37-1)),0,YEARFRAC(MAX($P$34*($B99+$I$38-1),IF(AND($L$37=0,$P$34=0),"",$L$37-1)),MIN(BW$38,$E99),$P$20))-SUM($BF99:BV99))</f>
        <v>0</v>
      </c>
      <c r="BX99" s="446">
        <f>IF($E99=0,0,IF(MIN(BX$38,$E99)&lt;MAX($P$34*($B99+$I$38-1),IF(AND($L$37=0,$P$34=0),"",$L$37-1)),0,YEARFRAC(MAX($P$34*($B99+$I$38-1),IF(AND($L$37=0,$P$34=0),"",$L$37-1)),MIN(BX$38,$E99),$P$20))-SUM($BF99:BW99))</f>
        <v>0</v>
      </c>
      <c r="BY99" s="446">
        <f>IF($E99=0,0,IF(MIN(BY$38,$E99)&lt;MAX($P$34*($B99+$I$38-1),IF(AND($L$37=0,$P$34=0),"",$L$37-1)),0,YEARFRAC(MAX($P$34*($B99+$I$38-1),IF(AND($L$37=0,$P$34=0),"",$L$37-1)),MIN(BY$38,$E99),$P$20))-SUM($BF99:BX99))</f>
        <v>0</v>
      </c>
      <c r="BZ99" s="446">
        <f>IF($E99=0,0,IF(MIN(BZ$38,$E99)&lt;MAX($P$34*($B99+$I$38-1),IF(AND($L$37=0,$P$34=0),"",$L$37-1)),0,YEARFRAC(MAX($P$34*($B99+$I$38-1),IF(AND($L$37=0,$P$34=0),"",$L$37-1)),MIN(BZ$38,$E99),$P$20))-SUM($BF99:BY99))</f>
        <v>0</v>
      </c>
      <c r="CA99" s="446">
        <f>IF($E99=0,0,IF(MIN(CA$38,$E99)&lt;MAX($P$34*($B99+$I$38-1),IF(AND($L$37=0,$P$34=0),"",$L$37-1)),0,YEARFRAC(MAX($P$34*($B99+$I$38-1),IF(AND($L$37=0,$P$34=0),"",$L$37-1)),MIN(CA$38,$E99),$P$20))-SUM($BF99:BZ99))</f>
        <v>0</v>
      </c>
      <c r="CB99" s="446">
        <f>IF($E99=0,0,IF(MIN(CB$38,$E99)&lt;MAX($P$34*($B99+$I$38-1),IF(AND($L$37=0,$P$34=0),"",$L$37-1)),0,YEARFRAC(MAX($P$34*($B99+$I$38-1),IF(AND($L$37=0,$P$34=0),"",$L$37-1)),MIN(CB$38,$E99),$P$20))-SUM($BF99:CA99))</f>
        <v>0</v>
      </c>
      <c r="CC99" s="446">
        <f>IF($E99=0,0,IF(MIN(CC$38,$E99)&lt;MAX($P$34*($B99+$I$38-1),IF(AND($L$37=0,$P$34=0),"",$L$37-1)),0,YEARFRAC(MAX($P$34*($B99+$I$38-1),IF(AND($L$37=0,$P$34=0),"",$L$37-1)),MIN(CC$38,$E99),$P$20))-SUM($BF99:CB99))</f>
        <v>0</v>
      </c>
      <c r="CD99" s="446">
        <f>IF($E99=0,0,IF(MIN(CD$38,$E99)&lt;MAX($P$34*($B99+$I$38-1),IF(AND($L$37=0,$P$34=0),"",$L$37-1)),0,YEARFRAC(MAX($P$34*($B99+$I$38-1),IF(AND($L$37=0,$P$34=0),"",$L$37-1)),MIN(CD$38,$E99),$P$20))-SUM($BF99:CC99))</f>
        <v>0</v>
      </c>
      <c r="CE99" s="446">
        <f>IF($E99=0,0,IF(MIN(CE$38,$E99)&lt;MAX($P$34*($B99+$I$38-1),IF(AND($L$37=0,$P$34=0),"",$L$37-1)),0,YEARFRAC(MAX($P$34*($B99+$I$38-1),IF(AND($L$37=0,$P$34=0),"",$L$37-1)),MIN(CE$38,$E99),$P$20))-SUM($BF99:CD99))</f>
        <v>0</v>
      </c>
      <c r="CF99" s="446">
        <f>IF($E99=0,0,IF(MIN(CF$38,$E99)&lt;MAX($P$34*($B99+$I$38-1),IF(AND($L$37=0,$P$34=0),"",$L$37-1)),0,YEARFRAC(MAX($P$34*($B99+$I$38-1),IF(AND($L$37=0,$P$34=0),"",$L$37-1)),MIN(CF$38,$E99),$P$20))-SUM($BF99:CE99))</f>
        <v>0</v>
      </c>
      <c r="CG99" s="446">
        <f>IF($E99=0,0,IF(MIN(CG$38,$E99)&lt;MAX($P$34*($B99+$I$38-1),IF(AND($L$37=0,$P$34=0),"",$L$37-1)),0,YEARFRAC(MAX($P$34*($B99+$I$38-1),IF(AND($L$37=0,$P$34=0),"",$L$37-1)),MIN(CG$38,$E99),$P$20))-SUM($BF99:CF99))</f>
        <v>0</v>
      </c>
      <c r="CH99" s="446">
        <f>IF($E99=0,0,IF(MIN(CH$38,$E99)&lt;MAX($P$34*($B99+$I$38-1),IF(AND($L$37=0,$P$34=0),"",$L$37-1)),0,YEARFRAC(MAX($P$34*($B99+$I$38-1),IF(AND($L$37=0,$P$34=0),"",$L$37-1)),MIN(CH$38,$E99),$P$20))-SUM($BF99:CG99))</f>
        <v>0</v>
      </c>
      <c r="CI99" s="446">
        <f>IF($E99=0,0,IF(MIN(CI$38,$E99)&lt;MAX($P$34*($B99+$I$38-1),IF(AND($L$37=0,$P$34=0),"",$L$37-1)),0,YEARFRAC(MAX($P$34*($B99+$I$38-1),IF(AND($L$37=0,$P$34=0),"",$L$37-1)),MIN(CI$38,$E99),$P$20))-SUM($BF99:CH99))</f>
        <v>0</v>
      </c>
      <c r="CJ99" s="446">
        <f>IF($E99=0,0,IF(MIN(CJ$38,$E99)&lt;MAX($P$34*($B99+$I$38-1),IF(AND($L$37=0,$P$34=0),"",$L$37-1)),0,YEARFRAC(MAX($P$34*($B99+$I$38-1),IF(AND($L$37=0,$P$34=0),"",$L$37-1)),MIN(CJ$38,$E99),$P$20))-SUM($BF99:CI99))</f>
        <v>0</v>
      </c>
      <c r="CK99" s="446">
        <f>IF($E99=0,0,IF(MIN(CK$38,$E99)&lt;MAX($P$34*($B99+$I$38-1),IF(AND($L$37=0,$P$34=0),"",$L$37-1)),0,YEARFRAC(MAX($P$34*($B99+$I$38-1),IF(AND($L$37=0,$P$34=0),"",$L$37-1)),MIN(CK$38,$E99),$P$20))-SUM($BF99:CJ99))</f>
        <v>0</v>
      </c>
      <c r="CL99" s="446">
        <f>IF($E99=0,0,IF(MIN(CL$38,$E99)&lt;MAX($P$34*($B99+$I$38-1),IF(AND($L$37=0,$P$34=0),"",$L$37-1)),0,YEARFRAC(MAX($P$34*($B99+$I$38-1),IF(AND($L$37=0,$P$34=0),"",$L$37-1)),MIN(CL$38,$E99),$P$20))-SUM($BF99:CK99))</f>
        <v>0</v>
      </c>
      <c r="CM99" s="446">
        <f>IF($E99=0,0,IF(MIN(CM$38,$E99)&lt;MAX($P$34*($B99+$I$38-1),IF(AND($L$37=0,$P$34=0),"",$L$37-1)),0,YEARFRAC(MAX($P$34*($B99+$I$38-1),IF(AND($L$37=0,$P$34=0),"",$L$37-1)),MIN(CM$38,$E99),$P$20))-SUM($BF99:CL99))</f>
        <v>0</v>
      </c>
      <c r="CN99" s="446">
        <f>IF($E99=0,0,IF(MIN(CN$38,$E99)&lt;MAX($P$34*($B99+$I$38-1),IF(AND($L$37=0,$P$34=0),"",$L$37-1)),0,YEARFRAC(MAX($P$34*($B99+$I$38-1),IF(AND($L$37=0,$P$34=0),"",$L$37-1)),MIN(CN$38,$E99),$P$20))-SUM($BF99:CM99))</f>
        <v>0</v>
      </c>
      <c r="CO99" s="446">
        <f>IF($E99=0,0,IF(MIN(CO$38,$E99)&lt;MAX($P$34*($B99+$I$38-1),IF(AND($L$37=0,$P$34=0),"",$L$37-1)),0,YEARFRAC(MAX($P$34*($B99+$I$38-1),IF(AND($L$37=0,$P$34=0),"",$L$37-1)),MIN(CO$38,$E99),$P$20))-SUM($BF99:CN99))</f>
        <v>0</v>
      </c>
      <c r="CP99" s="446">
        <f>IF($E99=0,0,IF(MIN(CP$38,$E99)&lt;MAX($P$34*($B99+$I$38-1),IF(AND($L$37=0,$P$34=0),"",$L$37-1)),0,YEARFRAC(MAX($P$34*($B99+$I$38-1),IF(AND($L$37=0,$P$34=0),"",$L$37-1)),MIN(CP$38,$E99),$P$20))-SUM($BF99:CO99))</f>
        <v>0</v>
      </c>
      <c r="CQ99" s="446">
        <f>IF($E99=0,0,IF(MIN(CQ$38,$E99)&lt;MAX($P$34*($B99+$I$38-1),IF(AND($L$37=0,$P$34=0),"",$L$37-1)),0,YEARFRAC(MAX($P$34*($B99+$I$38-1),IF(AND($L$37=0,$P$34=0),"",$L$37-1)),MIN(CQ$38,$E99),$P$20))-SUM($BF99:CP99))</f>
        <v>0</v>
      </c>
    </row>
    <row r="100" spans="1:95" s="446" customFormat="1" ht="11.25" hidden="1" customHeight="1" x14ac:dyDescent="0.2">
      <c r="A100" s="152"/>
      <c r="B100" s="153" t="str">
        <f t="shared" si="15"/>
        <v/>
      </c>
      <c r="C100" s="29" t="str">
        <f>IF(B100="","",IF($L$35="SELIC - TRIBUTOS",VLOOKUP(DATE(YEAR($D$19),MONTH($D$19)-1,1),ÍNDICES!$A:$DE,HLOOKUP($BL$25,ÍNDICES!$B$3:$T$4,2)+11)-VLOOKUP(B100,ÍNDICES!$A:$DE,HLOOKUP($BL$25,ÍNDICES!$B$3:$T$4,2)+11)+1%,IF(C$38=$W$26,$J$35,IF(ISERROR(IF(B100&gt;$D$19,1,VLOOKUP(DATE(YEAR(B100),MONTH(B100)+IF($C$35=$S$23,1,0),1),ÍNDICES!$A:$DE,$Z$35+1))),"",IF(B100&gt;$D$19,1,VLOOKUP(DATE(YEAR(B100),MONTH(B100)+IF($C$35=$S$23,1,0),1),ÍNDICES!$A:$DE,$Z$35+1))))))</f>
        <v/>
      </c>
      <c r="D100" s="154" t="str">
        <f>IF(ISERROR(IF(OR($D$38=$Y$27,$B100=""),"",VLOOKUP(B100,ÍNDICES!A:DE,AF$35+1))),"",IF(OR($D$38=$Y$27,$B100=""),"",VLOOKUP(B100,ÍNDICES!A:DE,AF$35+1)))</f>
        <v/>
      </c>
      <c r="E100" s="153"/>
      <c r="F100" s="29" t="str">
        <f>IF(E100="","",IF($L$35="SELIC - TRIBUTOS",VLOOKUP(DATE(YEAR($D$19),MONTH($D$19)-1,1),ÍNDICES!$A:$DE,HLOOKUP($BL$25,ÍNDICES!$B$3:$T$4,2)+11)-VLOOKUP(E100,ÍNDICES!$A:$DE,HLOOKUP($BL$25,ÍNDICES!$B$3:$T$4,2)+11)+1%,IF(F$38=$W$26,$J$35,IF(ISERROR(IF(E100&gt;$D$19,1,VLOOKUP(DATE(YEAR(E100),MONTH(E100)+IF($C$35=$S$23,1,0),1),ÍNDICES!$A:$DE,$Z$35+1))),"",IF(E100&gt;$D$19,1,VLOOKUP(DATE(YEAR(E100),MONTH(E100)+IF($C$35=$S$23,1,0),1),ÍNDICES!$A:$DE,$Z$35+1))))))</f>
        <v/>
      </c>
      <c r="G100" s="155"/>
      <c r="H100" s="156" t="str">
        <f t="shared" si="11"/>
        <v/>
      </c>
      <c r="I100" s="29" t="str">
        <f t="shared" si="5"/>
        <v/>
      </c>
      <c r="J100" s="5">
        <f t="shared" si="6"/>
        <v>0</v>
      </c>
      <c r="K100" s="20">
        <f t="shared" ca="1" si="7"/>
        <v>0</v>
      </c>
      <c r="L100" s="5">
        <f t="shared" ca="1" si="8"/>
        <v>0</v>
      </c>
      <c r="M100" s="64">
        <f t="shared" si="12"/>
        <v>0</v>
      </c>
      <c r="N100" s="61">
        <f t="shared" ca="1" si="13"/>
        <v>0</v>
      </c>
      <c r="O100" s="5">
        <f t="shared" ca="1" si="14"/>
        <v>0</v>
      </c>
      <c r="P100" s="446" t="e">
        <f t="shared" si="9"/>
        <v>#VALUE!</v>
      </c>
      <c r="Q100" s="446" t="e">
        <f>IF(OR($B100="",MIN(Q$38,$D$19)&lt;MAX($P$34*($B100+IF($R$17="Distrato",$I$38-1,0)),IF(AND($L$37=0,$P$34=0),"",$L$37-1),IF($R$17="Distrato",$E100,0))),0,YEARFRAC(MAX($P$34*($B100+IF($R$17="Distrato",$I$38-1,0)),IF(AND($L$37=0,$P$34=0),"",$L$37-1),IF($R$17="Distrato",$E100,0)),MIN(Q$38,$D$19),$P$20))-SUM($P100:P100)</f>
        <v>#VALUE!</v>
      </c>
      <c r="R100" s="446" t="e">
        <f>IF(OR($B100="",MIN(R$38,$D$19)&lt;MAX($P$34*($B100+IF($R$17="Distrato",$I$38-1,0)),IF(AND($L$37=0,$P$34=0),"",$L$37-1),IF($R$17="Distrato",$E100,0))),0,YEARFRAC(MAX($P$34*($B100+IF($R$17="Distrato",$I$38-1,0)),IF(AND($L$37=0,$P$34=0),"",$L$37-1),IF($R$17="Distrato",$E100,0)),MIN(R$38,$D$19),$P$20))-SUM($P100:Q100)</f>
        <v>#VALUE!</v>
      </c>
      <c r="S100" s="446" t="e">
        <f>IF(OR($B100="",MIN(S$38,$D$19)&lt;MAX($P$34*($B100+IF($R$17="Distrato",$I$38-1,0)),IF(AND($L$37=0,$P$34=0),"",$L$37-1),IF($R$17="Distrato",$E100,0))),0,YEARFRAC(MAX($P$34*($B100+IF($R$17="Distrato",$I$38-1,0)),IF(AND($L$37=0,$P$34=0),"",$L$37-1),IF($R$17="Distrato",$E100,0)),MIN(S$38,$D$19),$P$20))-SUM($P100:R100)</f>
        <v>#VALUE!</v>
      </c>
      <c r="T100" s="446" t="e">
        <f>IF(OR($B100="",MIN(T$38,$D$19)&lt;MAX($P$34*($B100+IF($R$17="Distrato",$I$38-1,0)),IF(AND($L$37=0,$P$34=0),"",$L$37-1),IF($R$17="Distrato",$E100,0))),0,YEARFRAC(MAX($P$34*($B100+IF($R$17="Distrato",$I$38-1,0)),IF(AND($L$37=0,$P$34=0),"",$L$37-1),IF($R$17="Distrato",$E100,0)),MIN(T$38,$D$19),$P$20))-SUM($P100:S100)</f>
        <v>#VALUE!</v>
      </c>
      <c r="U100" s="446" t="e">
        <f>IF(OR($B100="",MIN(U$38,$D$19)&lt;MAX($P$34*($B100+IF($R$17="Distrato",$I$38-1,0)),IF(AND($L$37=0,$P$34=0),"",$L$37-1),IF($R$17="Distrato",$E100,0))),0,YEARFRAC(MAX($P$34*($B100+IF($R$17="Distrato",$I$38-1,0)),IF(AND($L$37=0,$P$34=0),"",$L$37-1),IF($R$17="Distrato",$E100,0)),MIN(U$38,$D$19),$P$20))-SUM($P100:T100)</f>
        <v>#VALUE!</v>
      </c>
      <c r="V100" s="446" t="e">
        <f>IF(OR($B100="",MIN(V$38,$D$19)&lt;MAX($P$34*($B100+IF($R$17="Distrato",$I$38-1,0)),IF(AND($L$37=0,$P$34=0),"",$L$37-1),IF($R$17="Distrato",$E100,0))),0,YEARFRAC(MAX($P$34*($B100+IF($R$17="Distrato",$I$38-1,0)),IF(AND($L$37=0,$P$34=0),"",$L$37-1),IF($R$17="Distrato",$E100,0)),MIN(V$38,$D$19),$P$20))-SUM($P100:U100)</f>
        <v>#VALUE!</v>
      </c>
      <c r="W100" s="446" t="e">
        <f>IF(OR($B100="",MIN(W$38,$D$19)&lt;MAX($P$34*($B100+IF($R$17="Distrato",$I$38-1,0)),IF(AND($L$37=0,$P$34=0),"",$L$37-1),IF($R$17="Distrato",$E100,0))),0,YEARFRAC(MAX($P$34*($B100+IF($R$17="Distrato",$I$38-1,0)),IF(AND($L$37=0,$P$34=0),"",$L$37-1),IF($R$17="Distrato",$E100,0)),MIN(W$38,$D$19),$P$20))-SUM($P100:V100)</f>
        <v>#VALUE!</v>
      </c>
      <c r="X100" s="446" t="e">
        <f>IF(OR($B100="",MIN(X$38,$D$19)&lt;MAX($P$34*($B100+IF($R$17="Distrato",$I$38-1,0)),IF(AND($L$37=0,$P$34=0),"",$L$37-1),IF($R$17="Distrato",$E100,0))),0,YEARFRAC(MAX($P$34*($B100+IF($R$17="Distrato",$I$38-1,0)),IF(AND($L$37=0,$P$34=0),"",$L$37-1),IF($R$17="Distrato",$E100,0)),MIN(X$38,$D$19),$P$20))-SUM($P100:W100)</f>
        <v>#VALUE!</v>
      </c>
      <c r="Y100" s="446" t="e">
        <f>IF(OR($B100="",MIN(Y$38,$D$19)&lt;MAX($P$34*($B100+IF($R$17="Distrato",$I$38-1,0)),IF(AND($L$37=0,$P$34=0),"",$L$37-1),IF($R$17="Distrato",$E100,0))),0,YEARFRAC(MAX($P$34*($B100+IF($R$17="Distrato",$I$38-1,0)),IF(AND($L$37=0,$P$34=0),"",$L$37-1),IF($R$17="Distrato",$E100,0)),MIN(Y$38,$D$19),$P$20))-SUM($P100:X100)</f>
        <v>#VALUE!</v>
      </c>
      <c r="Z100" s="446" t="e">
        <f>IF(OR($B100="",MIN(Z$38,$D$19)&lt;MAX($P$34*($B100+IF($R$17="Distrato",$I$38-1,0)),IF(AND($L$37=0,$P$34=0),"",$L$37-1),IF($R$17="Distrato",$E100,0))),0,YEARFRAC(MAX($P$34*($B100+IF($R$17="Distrato",$I$38-1,0)),IF(AND($L$37=0,$P$34=0),"",$L$37-1),IF($R$17="Distrato",$E100,0)),MIN(Z$38,$D$19),$P$20))-SUM($P100:Y100)</f>
        <v>#VALUE!</v>
      </c>
      <c r="AA100" s="446" t="e">
        <f>IF(OR($B100="",MIN(AA$38,$D$19)&lt;MAX($P$34*($B100+IF($R$17="Distrato",$I$38-1,0)),IF(AND($L$37=0,$P$34=0),"",$L$37-1),IF($R$17="Distrato",$E100,0))),0,YEARFRAC(MAX($P$34*($B100+IF($R$17="Distrato",$I$38-1,0)),IF(AND($L$37=0,$P$34=0),"",$L$37-1),IF($R$17="Distrato",$E100,0)),MIN(AA$38,$D$19),$P$20))-SUM($P100:Z100)</f>
        <v>#VALUE!</v>
      </c>
      <c r="AB100" s="446" t="e">
        <f>IF(OR($B100="",MIN(AB$38,$D$19)&lt;MAX($P$34*($B100+IF($R$17="Distrato",$I$38-1,0)),IF(AND($L$37=0,$P$34=0),"",$L$37-1),IF($R$17="Distrato",$E100,0))),0,YEARFRAC(MAX($P$34*($B100+IF($R$17="Distrato",$I$38-1,0)),IF(AND($L$37=0,$P$34=0),"",$L$37-1),IF($R$17="Distrato",$E100,0)),MIN(AB$38,$D$19),$P$20))-SUM($P100:AA100)</f>
        <v>#VALUE!</v>
      </c>
      <c r="AC100" s="446" t="e">
        <f>IF(OR($B100="",MIN(AC$38,$D$19)&lt;MAX($P$34*($B100+IF($R$17="Distrato",$I$38-1,0)),IF(AND($L$37=0,$P$34=0),"",$L$37-1),IF($R$17="Distrato",$E100,0))),0,YEARFRAC(MAX($P$34*($B100+IF($R$17="Distrato",$I$38-1,0)),IF(AND($L$37=0,$P$34=0),"",$L$37-1),IF($R$17="Distrato",$E100,0)),MIN(AC$38,$D$19),$P$20))-SUM($P100:AB100)</f>
        <v>#VALUE!</v>
      </c>
      <c r="AD100" s="446" t="e">
        <f>IF(OR($B100="",MIN(AD$38,$D$19)&lt;MAX($P$34*($B100+IF($R$17="Distrato",$I$38-1,0)),IF(AND($L$37=0,$P$34=0),"",$L$37-1),IF($R$17="Distrato",$E100,0))),0,YEARFRAC(MAX($P$34*($B100+IF($R$17="Distrato",$I$38-1,0)),IF(AND($L$37=0,$P$34=0),"",$L$37-1),IF($R$17="Distrato",$E100,0)),MIN(AD$38,$D$19),$P$20))-SUM($P100:AC100)</f>
        <v>#VALUE!</v>
      </c>
      <c r="AE100" s="446" t="e">
        <f>IF(OR($B100="",MIN(AE$38,$D$19)&lt;MAX($P$34*($B100+IF($R$17="Distrato",$I$38-1,0)),IF(AND($L$37=0,$P$34=0),"",$L$37-1),IF($R$17="Distrato",$E100,0))),0,YEARFRAC(MAX($P$34*($B100+IF($R$17="Distrato",$I$38-1,0)),IF(AND($L$37=0,$P$34=0),"",$L$37-1),IF($R$17="Distrato",$E100,0)),MIN(AE$38,$D$19),$P$20))-SUM($P100:AD100)</f>
        <v>#VALUE!</v>
      </c>
      <c r="AF100" s="446" t="e">
        <f>IF(OR($B100="",MIN(AF$38,$D$19)&lt;MAX($P$34*($B100+IF($R$17="Distrato",$I$38-1,0)),IF(AND($L$37=0,$P$34=0),"",$L$37-1),IF($R$17="Distrato",$E100,0))),0,YEARFRAC(MAX($P$34*($B100+IF($R$17="Distrato",$I$38-1,0)),IF(AND($L$37=0,$P$34=0),"",$L$37-1),IF($R$17="Distrato",$E100,0)),MIN(AF$38,$D$19),$P$20))-SUM($P100:AE100)</f>
        <v>#VALUE!</v>
      </c>
      <c r="AG100" s="446" t="e">
        <f>IF(OR($B100="",MIN(AG$38,$D$19)&lt;MAX($P$34*($B100+IF($R$17="Distrato",$I$38-1,0)),IF(AND($L$37=0,$P$34=0),"",$L$37-1),IF($R$17="Distrato",$E100,0))),0,YEARFRAC(MAX($P$34*($B100+IF($R$17="Distrato",$I$38-1,0)),IF(AND($L$37=0,$P$34=0),"",$L$37-1),IF($R$17="Distrato",$E100,0)),MIN(AG$38,$D$19),$P$20))-SUM($P100:AF100)</f>
        <v>#VALUE!</v>
      </c>
      <c r="AH100" s="446" t="e">
        <f>IF(OR($B100="",MIN(AH$38,$D$19)&lt;MAX($P$34*($B100+IF($R$17="Distrato",$I$38-1,0)),IF(AND($L$37=0,$P$34=0),"",$L$37-1),IF($R$17="Distrato",$E100,0))),0,YEARFRAC(MAX($P$34*($B100+IF($R$17="Distrato",$I$38-1,0)),IF(AND($L$37=0,$P$34=0),"",$L$37-1),IF($R$17="Distrato",$E100,0)),MIN(AH$38,$D$19),$P$20))-SUM($P100:AG100)</f>
        <v>#VALUE!</v>
      </c>
      <c r="AI100" s="446" t="e">
        <f>IF(OR($B100="",MIN(AI$38,$D$19)&lt;MAX($P$34*($B100+IF($R$17="Distrato",$I$38-1,0)),IF(AND($L$37=0,$P$34=0),"",$L$37-1),IF($R$17="Distrato",$E100,0))),0,YEARFRAC(MAX($P$34*($B100+IF($R$17="Distrato",$I$38-1,0)),IF(AND($L$37=0,$P$34=0),"",$L$37-1),IF($R$17="Distrato",$E100,0)),MIN(AI$38,$D$19),$P$20))-SUM($P100:AH100)</f>
        <v>#VALUE!</v>
      </c>
      <c r="AJ100" s="446" t="e">
        <f>IF(OR($B100="",MIN(AJ$38,$D$19)&lt;MAX($P$34*($B100+IF($R$17="Distrato",$I$38-1,0)),IF(AND($L$37=0,$P$34=0),"",$L$37-1),IF($R$17="Distrato",$E100,0))),0,YEARFRAC(MAX($P$34*($B100+IF($R$17="Distrato",$I$38-1,0)),IF(AND($L$37=0,$P$34=0),"",$L$37-1),IF($R$17="Distrato",$E100,0)),MIN(AJ$38,$D$19),$P$20))-SUM($P100:AI100)</f>
        <v>#VALUE!</v>
      </c>
      <c r="AK100" s="446" t="e">
        <f>IF(OR($B100="",MIN(AK$38,$D$19)&lt;MAX($P$34*($B100+IF($R$17="Distrato",$I$38-1,0)),IF(AND($L$37=0,$P$34=0),"",$L$37-1),IF($R$17="Distrato",$E100,0))),0,YEARFRAC(MAX($P$34*($B100+IF($R$17="Distrato",$I$38-1,0)),IF(AND($L$37=0,$P$34=0),"",$L$37-1),IF($R$17="Distrato",$E100,0)),MIN(AK$38,$D$19),$P$20))-SUM($P100:AJ100)</f>
        <v>#VALUE!</v>
      </c>
      <c r="AL100" s="446" t="e">
        <f>IF(OR($B100="",MIN(AL$38,$D$19)&lt;MAX($P$34*($B100+IF($R$17="Distrato",$I$38-1,0)),IF(AND($L$37=0,$P$34=0),"",$L$37-1),IF($R$17="Distrato",$E100,0))),0,YEARFRAC(MAX($P$34*($B100+IF($R$17="Distrato",$I$38-1,0)),IF(AND($L$37=0,$P$34=0),"",$L$37-1),IF($R$17="Distrato",$E100,0)),MIN(AL$38,$D$19),$P$20))-SUM($P100:AK100)</f>
        <v>#VALUE!</v>
      </c>
      <c r="AM100" s="446" t="e">
        <f>IF(OR($B100="",MIN(AM$38,$D$19)&lt;MAX($P$34*($B100+IF($R$17="Distrato",$I$38-1,0)),IF(AND($L$37=0,$P$34=0),"",$L$37-1),IF($R$17="Distrato",$E100,0))),0,YEARFRAC(MAX($P$34*($B100+IF($R$17="Distrato",$I$38-1,0)),IF(AND($L$37=0,$P$34=0),"",$L$37-1),IF($R$17="Distrato",$E100,0)),MIN(AM$38,$D$19),$P$20))-SUM($P100:AL100)</f>
        <v>#VALUE!</v>
      </c>
      <c r="AN100" s="446" t="e">
        <f>IF(OR($B100="",MIN(AN$38,$D$19)&lt;MAX($P$34*($B100+IF($R$17="Distrato",$I$38-1,0)),IF(AND($L$37=0,$P$34=0),"",$L$37-1),IF($R$17="Distrato",$E100,0))),0,YEARFRAC(MAX($P$34*($B100+IF($R$17="Distrato",$I$38-1,0)),IF(AND($L$37=0,$P$34=0),"",$L$37-1),IF($R$17="Distrato",$E100,0)),MIN(AN$38,$D$19),$P$20))-SUM($P100:AM100)</f>
        <v>#VALUE!</v>
      </c>
      <c r="AO100" s="446" t="e">
        <f>IF(OR($B100="",MIN(AO$38,$D$19)&lt;MAX($P$34*($B100+IF($R$17="Distrato",$I$38-1,0)),IF(AND($L$37=0,$P$34=0),"",$L$37-1),IF($R$17="Distrato",$E100,0))),0,YEARFRAC(MAX($P$34*($B100+IF($R$17="Distrato",$I$38-1,0)),IF(AND($L$37=0,$P$34=0),"",$L$37-1),IF($R$17="Distrato",$E100,0)),MIN(AO$38,$D$19),$P$20))-SUM($P100:AN100)</f>
        <v>#VALUE!</v>
      </c>
      <c r="AP100" s="446" t="e">
        <f>IF(OR($B100="",MIN(AP$38,$D$19)&lt;MAX($P$34*($B100+IF($R$17="Distrato",$I$38-1,0)),IF(AND($L$37=0,$P$34=0),"",$L$37-1),IF($R$17="Distrato",$E100,0))),0,YEARFRAC(MAX($P$34*($B100+IF($R$17="Distrato",$I$38-1,0)),IF(AND($L$37=0,$P$34=0),"",$L$37-1),IF($R$17="Distrato",$E100,0)),MIN(AP$38,$D$19),$P$20))-SUM($P100:AO100)</f>
        <v>#VALUE!</v>
      </c>
      <c r="AQ100" s="446" t="e">
        <f>IF(OR($B100="",MIN(AQ$38,$D$19)&lt;MAX($P$34*($B100+IF($R$17="Distrato",$I$38-1,0)),IF(AND($L$37=0,$P$34=0),"",$L$37-1),IF($R$17="Distrato",$E100,0))),0,YEARFRAC(MAX($P$34*($B100+IF($R$17="Distrato",$I$38-1,0)),IF(AND($L$37=0,$P$34=0),"",$L$37-1),IF($R$17="Distrato",$E100,0)),MIN(AQ$38,$D$19),$P$20))-SUM($P100:AP100)</f>
        <v>#VALUE!</v>
      </c>
      <c r="AR100" s="446" t="e">
        <f>IF(OR($B100="",MIN(AR$38,$D$19)&lt;MAX($P$34*($B100+IF($R$17="Distrato",$I$38-1,0)),IF(AND($L$37=0,$P$34=0),"",$L$37-1),IF($R$17="Distrato",$E100,0))),0,YEARFRAC(MAX($P$34*($B100+IF($R$17="Distrato",$I$38-1,0)),IF(AND($L$37=0,$P$34=0),"",$L$37-1),IF($R$17="Distrato",$E100,0)),MIN(AR$38,$D$19),$P$20))-SUM($P100:AQ100)</f>
        <v>#VALUE!</v>
      </c>
      <c r="AS100" s="446" t="e">
        <f>IF(OR($B100="",MIN(AS$38,$D$19)&lt;MAX($P$34*($B100+IF($R$17="Distrato",$I$38-1,0)),IF(AND($L$37=0,$P$34=0),"",$L$37-1),IF($R$17="Distrato",$E100,0))),0,YEARFRAC(MAX($P$34*($B100+IF($R$17="Distrato",$I$38-1,0)),IF(AND($L$37=0,$P$34=0),"",$L$37-1),IF($R$17="Distrato",$E100,0)),MIN(AS$38,$D$19),$P$20))-SUM($P100:AR100)</f>
        <v>#VALUE!</v>
      </c>
      <c r="AT100" s="446" t="e">
        <f>IF(OR($B100="",MIN(AT$38,$D$19)&lt;MAX($P$34*($B100+IF($R$17="Distrato",$I$38-1,0)),IF(AND($L$37=0,$P$34=0),"",$L$37-1),IF($R$17="Distrato",$E100,0))),0,YEARFRAC(MAX($P$34*($B100+IF($R$17="Distrato",$I$38-1,0)),IF(AND($L$37=0,$P$34=0),"",$L$37-1),IF($R$17="Distrato",$E100,0)),MIN(AT$38,$D$19),$P$20))-SUM($P100:AS100)</f>
        <v>#VALUE!</v>
      </c>
      <c r="AU100" s="446" t="e">
        <f>IF(OR($B100="",MIN(AU$38,$D$19)&lt;MAX($P$34*($B100+IF($R$17="Distrato",$I$38-1,0)),IF(AND($L$37=0,$P$34=0),"",$L$37-1),IF($R$17="Distrato",$E100,0))),0,YEARFRAC(MAX($P$34*($B100+IF($R$17="Distrato",$I$38-1,0)),IF(AND($L$37=0,$P$34=0),"",$L$37-1),IF($R$17="Distrato",$E100,0)),MIN(AU$38,$D$19),$P$20))-SUM($P100:AT100)</f>
        <v>#VALUE!</v>
      </c>
      <c r="AV100" s="446" t="e">
        <f>IF(OR($B100="",MIN(AV$38,$D$19)&lt;MAX($P$34*($B100+IF($R$17="Distrato",$I$38-1,0)),IF(AND($L$37=0,$P$34=0),"",$L$37-1),IF($R$17="Distrato",$E100,0))),0,YEARFRAC(MAX($P$34*($B100+IF($R$17="Distrato",$I$38-1,0)),IF(AND($L$37=0,$P$34=0),"",$L$37-1),IF($R$17="Distrato",$E100,0)),MIN(AV$38,$D$19),$P$20))-SUM($P100:AU100)</f>
        <v>#VALUE!</v>
      </c>
      <c r="AW100" s="446" t="e">
        <f>IF(OR($B100="",MIN(AW$38,$D$19)&lt;MAX($P$34*($B100+IF($R$17="Distrato",$I$38-1,0)),IF(AND($L$37=0,$P$34=0),"",$L$37-1),IF($R$17="Distrato",$E100,0))),0,YEARFRAC(MAX($P$34*($B100+IF($R$17="Distrato",$I$38-1,0)),IF(AND($L$37=0,$P$34=0),"",$L$37-1),IF($R$17="Distrato",$E100,0)),MIN(AW$38,$D$19),$P$20))-SUM($P100:AV100)</f>
        <v>#VALUE!</v>
      </c>
      <c r="AX100" s="446" t="e">
        <f>IF(OR($B100="",MIN(AX$38,$D$19)&lt;MAX($P$34*($B100+IF($R$17="Distrato",$I$38-1,0)),IF(AND($L$37=0,$P$34=0),"",$L$37-1),IF($R$17="Distrato",$E100,0))),0,YEARFRAC(MAX($P$34*($B100+IF($R$17="Distrato",$I$38-1,0)),IF(AND($L$37=0,$P$34=0),"",$L$37-1),IF($R$17="Distrato",$E100,0)),MIN(AX$38,$D$19),$P$20))-SUM($P100:AW100)</f>
        <v>#VALUE!</v>
      </c>
      <c r="AY100" s="446" t="e">
        <f>IF(OR($B100="",MIN(AY$38,$D$19)&lt;MAX($P$34*($B100+IF($R$17="Distrato",$I$38-1,0)),IF(AND($L$37=0,$P$34=0),"",$L$37-1),IF($R$17="Distrato",$E100,0))),0,YEARFRAC(MAX($P$34*($B100+IF($R$17="Distrato",$I$38-1,0)),IF(AND($L$37=0,$P$34=0),"",$L$37-1),IF($R$17="Distrato",$E100,0)),MIN(AY$38,$D$19),$P$20))-SUM($P100:AX100)</f>
        <v>#VALUE!</v>
      </c>
      <c r="AZ100" s="446" t="e">
        <f>IF(OR($B100="",MIN(AZ$38,$D$19)&lt;MAX($P$34*($B100+IF($R$17="Distrato",$I$38-1,0)),IF(AND($L$37=0,$P$34=0),"",$L$37-1),IF($R$17="Distrato",$E100,0))),0,YEARFRAC(MAX($P$34*($B100+IF($R$17="Distrato",$I$38-1,0)),IF(AND($L$37=0,$P$34=0),"",$L$37-1),IF($R$17="Distrato",$E100,0)),MIN(AZ$38,$D$19),$P$20))-SUM($P100:AY100)</f>
        <v>#VALUE!</v>
      </c>
      <c r="BA100" s="446" t="e">
        <f>IF(OR($B100="",MIN(BA$38,$D$19)&lt;MAX($P$34*($B100+IF($R$17="Distrato",$I$38-1,0)),IF(AND($L$37=0,$P$34=0),"",$L$37-1),IF($R$17="Distrato",$E100,0))),0,YEARFRAC(MAX($P$34*($B100+IF($R$17="Distrato",$I$38-1,0)),IF(AND($L$37=0,$P$34=0),"",$L$37-1),IF($R$17="Distrato",$E100,0)),MIN(BA$38,$D$19),$P$20))-SUM($P100:AZ100)</f>
        <v>#VALUE!</v>
      </c>
      <c r="BB100" s="447"/>
      <c r="BF100" s="446">
        <f t="shared" si="10"/>
        <v>0</v>
      </c>
      <c r="BG100" s="446">
        <f>IF($E100=0,0,IF(MIN(BG$38,$E100)&lt;MAX($P$34*($B100+$I$38-1),IF(AND($L$37=0,$P$34=0),"",$L$37-1)),0,YEARFRAC(MAX($P$34*($B100+$I$38-1),IF(AND($L$37=0,$P$34=0),"",$L$37-1)),MIN(BG$38,$E100),$P$20))-SUM($BF100:BF100))</f>
        <v>0</v>
      </c>
      <c r="BH100" s="446">
        <f>IF($E100=0,0,IF(MIN(BH$38,$E100)&lt;MAX($P$34*($B100+$I$38-1),IF(AND($L$37=0,$P$34=0),"",$L$37-1)),0,YEARFRAC(MAX($P$34*($B100+$I$38-1),IF(AND($L$37=0,$P$34=0),"",$L$37-1)),MIN(BH$38,$E100),$P$20))-SUM($BF100:BG100))</f>
        <v>0</v>
      </c>
      <c r="BI100" s="446">
        <f>IF($E100=0,0,IF(MIN(BI$38,$E100)&lt;MAX($P$34*($B100+$I$38-1),IF(AND($L$37=0,$P$34=0),"",$L$37-1)),0,YEARFRAC(MAX($P$34*($B100+$I$38-1),IF(AND($L$37=0,$P$34=0),"",$L$37-1)),MIN(BI$38,$E100),$P$20))-SUM($BF100:BH100))</f>
        <v>0</v>
      </c>
      <c r="BJ100" s="446">
        <f>IF($E100=0,0,IF(MIN(BJ$38,$E100)&lt;MAX($P$34*($B100+$I$38-1),IF(AND($L$37=0,$P$34=0),"",$L$37-1)),0,YEARFRAC(MAX($P$34*($B100+$I$38-1),IF(AND($L$37=0,$P$34=0),"",$L$37-1)),MIN(BJ$38,$E100),$P$20))-SUM($BF100:BI100))</f>
        <v>0</v>
      </c>
      <c r="BK100" s="446">
        <f>IF($E100=0,0,IF(MIN(BK$38,$E100)&lt;MAX($P$34*($B100+$I$38-1),IF(AND($L$37=0,$P$34=0),"",$L$37-1)),0,YEARFRAC(MAX($P$34*($B100+$I$38-1),IF(AND($L$37=0,$P$34=0),"",$L$37-1)),MIN(BK$38,$E100),$P$20))-SUM($BF100:BJ100))</f>
        <v>0</v>
      </c>
      <c r="BL100" s="446">
        <f>IF($E100=0,0,IF(MIN(BL$38,$E100)&lt;MAX($P$34*($B100+$I$38-1),IF(AND($L$37=0,$P$34=0),"",$L$37-1)),0,YEARFRAC(MAX($P$34*($B100+$I$38-1),IF(AND($L$37=0,$P$34=0),"",$L$37-1)),MIN(BL$38,$E100),$P$20))-SUM($BF100:BK100))</f>
        <v>0</v>
      </c>
      <c r="BM100" s="446">
        <f>IF($E100=0,0,IF(MIN(BM$38,$E100)&lt;MAX($P$34*($B100+$I$38-1),IF(AND($L$37=0,$P$34=0),"",$L$37-1)),0,YEARFRAC(MAX($P$34*($B100+$I$38-1),IF(AND($L$37=0,$P$34=0),"",$L$37-1)),MIN(BM$38,$E100),$P$20))-SUM($BF100:BL100))</f>
        <v>0</v>
      </c>
      <c r="BN100" s="446">
        <f>IF($E100=0,0,IF(MIN(BN$38,$E100)&lt;MAX($P$34*($B100+$I$38-1),IF(AND($L$37=0,$P$34=0),"",$L$37-1)),0,YEARFRAC(MAX($P$34*($B100+$I$38-1),IF(AND($L$37=0,$P$34=0),"",$L$37-1)),MIN(BN$38,$E100),$P$20))-SUM($BF100:BM100))</f>
        <v>0</v>
      </c>
      <c r="BO100" s="446">
        <f>IF($E100=0,0,IF(MIN(BO$38,$E100)&lt;MAX($P$34*($B100+$I$38-1),IF(AND($L$37=0,$P$34=0),"",$L$37-1)),0,YEARFRAC(MAX($P$34*($B100+$I$38-1),IF(AND($L$37=0,$P$34=0),"",$L$37-1)),MIN(BO$38,$E100),$P$20))-SUM($BF100:BN100))</f>
        <v>0</v>
      </c>
      <c r="BP100" s="446">
        <f>IF($E100=0,0,IF(MIN(BP$38,$E100)&lt;MAX($P$34*($B100+$I$38-1),IF(AND($L$37=0,$P$34=0),"",$L$37-1)),0,YEARFRAC(MAX($P$34*($B100+$I$38-1),IF(AND($L$37=0,$P$34=0),"",$L$37-1)),MIN(BP$38,$E100),$P$20))-SUM($BF100:BO100))</f>
        <v>0</v>
      </c>
      <c r="BQ100" s="446">
        <f>IF($E100=0,0,IF(MIN(BQ$38,$E100)&lt;MAX($P$34*($B100+$I$38-1),IF(AND($L$37=0,$P$34=0),"",$L$37-1)),0,YEARFRAC(MAX($P$34*($B100+$I$38-1),IF(AND($L$37=0,$P$34=0),"",$L$37-1)),MIN(BQ$38,$E100),$P$20))-SUM($BF100:BP100))</f>
        <v>0</v>
      </c>
      <c r="BR100" s="446">
        <f>IF($E100=0,0,IF(MIN(BR$38,$E100)&lt;MAX($P$34*($B100+$I$38-1),IF(AND($L$37=0,$P$34=0),"",$L$37-1)),0,YEARFRAC(MAX($P$34*($B100+$I$38-1),IF(AND($L$37=0,$P$34=0),"",$L$37-1)),MIN(BR$38,$E100),$P$20))-SUM($BF100:BQ100))</f>
        <v>0</v>
      </c>
      <c r="BS100" s="446">
        <f>IF($E100=0,0,IF(MIN(BS$38,$E100)&lt;MAX($P$34*($B100+$I$38-1),IF(AND($L$37=0,$P$34=0),"",$L$37-1)),0,YEARFRAC(MAX($P$34*($B100+$I$38-1),IF(AND($L$37=0,$P$34=0),"",$L$37-1)),MIN(BS$38,$E100),$P$20))-SUM($BF100:BR100))</f>
        <v>0</v>
      </c>
      <c r="BT100" s="446">
        <f>IF($E100=0,0,IF(MIN(BT$38,$E100)&lt;MAX($P$34*($B100+$I$38-1),IF(AND($L$37=0,$P$34=0),"",$L$37-1)),0,YEARFRAC(MAX($P$34*($B100+$I$38-1),IF(AND($L$37=0,$P$34=0),"",$L$37-1)),MIN(BT$38,$E100),$P$20))-SUM($BF100:BS100))</f>
        <v>0</v>
      </c>
      <c r="BU100" s="446">
        <f>IF($E100=0,0,IF(MIN(BU$38,$E100)&lt;MAX($P$34*($B100+$I$38-1),IF(AND($L$37=0,$P$34=0),"",$L$37-1)),0,YEARFRAC(MAX($P$34*($B100+$I$38-1),IF(AND($L$37=0,$P$34=0),"",$L$37-1)),MIN(BU$38,$E100),$P$20))-SUM($BF100:BT100))</f>
        <v>0</v>
      </c>
      <c r="BV100" s="446">
        <f>IF($E100=0,0,IF(MIN(BV$38,$E100)&lt;MAX($P$34*($B100+$I$38-1),IF(AND($L$37=0,$P$34=0),"",$L$37-1)),0,YEARFRAC(MAX($P$34*($B100+$I$38-1),IF(AND($L$37=0,$P$34=0),"",$L$37-1)),MIN(BV$38,$E100),$P$20))-SUM($BF100:BU100))</f>
        <v>0</v>
      </c>
      <c r="BW100" s="446">
        <f>IF($E100=0,0,IF(MIN(BW$38,$E100)&lt;MAX($P$34*($B100+$I$38-1),IF(AND($L$37=0,$P$34=0),"",$L$37-1)),0,YEARFRAC(MAX($P$34*($B100+$I$38-1),IF(AND($L$37=0,$P$34=0),"",$L$37-1)),MIN(BW$38,$E100),$P$20))-SUM($BF100:BV100))</f>
        <v>0</v>
      </c>
      <c r="BX100" s="446">
        <f>IF($E100=0,0,IF(MIN(BX$38,$E100)&lt;MAX($P$34*($B100+$I$38-1),IF(AND($L$37=0,$P$34=0),"",$L$37-1)),0,YEARFRAC(MAX($P$34*($B100+$I$38-1),IF(AND($L$37=0,$P$34=0),"",$L$37-1)),MIN(BX$38,$E100),$P$20))-SUM($BF100:BW100))</f>
        <v>0</v>
      </c>
      <c r="BY100" s="446">
        <f>IF($E100=0,0,IF(MIN(BY$38,$E100)&lt;MAX($P$34*($B100+$I$38-1),IF(AND($L$37=0,$P$34=0),"",$L$37-1)),0,YEARFRAC(MAX($P$34*($B100+$I$38-1),IF(AND($L$37=0,$P$34=0),"",$L$37-1)),MIN(BY$38,$E100),$P$20))-SUM($BF100:BX100))</f>
        <v>0</v>
      </c>
      <c r="BZ100" s="446">
        <f>IF($E100=0,0,IF(MIN(BZ$38,$E100)&lt;MAX($P$34*($B100+$I$38-1),IF(AND($L$37=0,$P$34=0),"",$L$37-1)),0,YEARFRAC(MAX($P$34*($B100+$I$38-1),IF(AND($L$37=0,$P$34=0),"",$L$37-1)),MIN(BZ$38,$E100),$P$20))-SUM($BF100:BY100))</f>
        <v>0</v>
      </c>
      <c r="CA100" s="446">
        <f>IF($E100=0,0,IF(MIN(CA$38,$E100)&lt;MAX($P$34*($B100+$I$38-1),IF(AND($L$37=0,$P$34=0),"",$L$37-1)),0,YEARFRAC(MAX($P$34*($B100+$I$38-1),IF(AND($L$37=0,$P$34=0),"",$L$37-1)),MIN(CA$38,$E100),$P$20))-SUM($BF100:BZ100))</f>
        <v>0</v>
      </c>
      <c r="CB100" s="446">
        <f>IF($E100=0,0,IF(MIN(CB$38,$E100)&lt;MAX($P$34*($B100+$I$38-1),IF(AND($L$37=0,$P$34=0),"",$L$37-1)),0,YEARFRAC(MAX($P$34*($B100+$I$38-1),IF(AND($L$37=0,$P$34=0),"",$L$37-1)),MIN(CB$38,$E100),$P$20))-SUM($BF100:CA100))</f>
        <v>0</v>
      </c>
      <c r="CC100" s="446">
        <f>IF($E100=0,0,IF(MIN(CC$38,$E100)&lt;MAX($P$34*($B100+$I$38-1),IF(AND($L$37=0,$P$34=0),"",$L$37-1)),0,YEARFRAC(MAX($P$34*($B100+$I$38-1),IF(AND($L$37=0,$P$34=0),"",$L$37-1)),MIN(CC$38,$E100),$P$20))-SUM($BF100:CB100))</f>
        <v>0</v>
      </c>
      <c r="CD100" s="446">
        <f>IF($E100=0,0,IF(MIN(CD$38,$E100)&lt;MAX($P$34*($B100+$I$38-1),IF(AND($L$37=0,$P$34=0),"",$L$37-1)),0,YEARFRAC(MAX($P$34*($B100+$I$38-1),IF(AND($L$37=0,$P$34=0),"",$L$37-1)),MIN(CD$38,$E100),$P$20))-SUM($BF100:CC100))</f>
        <v>0</v>
      </c>
      <c r="CE100" s="446">
        <f>IF($E100=0,0,IF(MIN(CE$38,$E100)&lt;MAX($P$34*($B100+$I$38-1),IF(AND($L$37=0,$P$34=0),"",$L$37-1)),0,YEARFRAC(MAX($P$34*($B100+$I$38-1),IF(AND($L$37=0,$P$34=0),"",$L$37-1)),MIN(CE$38,$E100),$P$20))-SUM($BF100:CD100))</f>
        <v>0</v>
      </c>
      <c r="CF100" s="446">
        <f>IF($E100=0,0,IF(MIN(CF$38,$E100)&lt;MAX($P$34*($B100+$I$38-1),IF(AND($L$37=0,$P$34=0),"",$L$37-1)),0,YEARFRAC(MAX($P$34*($B100+$I$38-1),IF(AND($L$37=0,$P$34=0),"",$L$37-1)),MIN(CF$38,$E100),$P$20))-SUM($BF100:CE100))</f>
        <v>0</v>
      </c>
      <c r="CG100" s="446">
        <f>IF($E100=0,0,IF(MIN(CG$38,$E100)&lt;MAX($P$34*($B100+$I$38-1),IF(AND($L$37=0,$P$34=0),"",$L$37-1)),0,YEARFRAC(MAX($P$34*($B100+$I$38-1),IF(AND($L$37=0,$P$34=0),"",$L$37-1)),MIN(CG$38,$E100),$P$20))-SUM($BF100:CF100))</f>
        <v>0</v>
      </c>
      <c r="CH100" s="446">
        <f>IF($E100=0,0,IF(MIN(CH$38,$E100)&lt;MAX($P$34*($B100+$I$38-1),IF(AND($L$37=0,$P$34=0),"",$L$37-1)),0,YEARFRAC(MAX($P$34*($B100+$I$38-1),IF(AND($L$37=0,$P$34=0),"",$L$37-1)),MIN(CH$38,$E100),$P$20))-SUM($BF100:CG100))</f>
        <v>0</v>
      </c>
      <c r="CI100" s="446">
        <f>IF($E100=0,0,IF(MIN(CI$38,$E100)&lt;MAX($P$34*($B100+$I$38-1),IF(AND($L$37=0,$P$34=0),"",$L$37-1)),0,YEARFRAC(MAX($P$34*($B100+$I$38-1),IF(AND($L$37=0,$P$34=0),"",$L$37-1)),MIN(CI$38,$E100),$P$20))-SUM($BF100:CH100))</f>
        <v>0</v>
      </c>
      <c r="CJ100" s="446">
        <f>IF($E100=0,0,IF(MIN(CJ$38,$E100)&lt;MAX($P$34*($B100+$I$38-1),IF(AND($L$37=0,$P$34=0),"",$L$37-1)),0,YEARFRAC(MAX($P$34*($B100+$I$38-1),IF(AND($L$37=0,$P$34=0),"",$L$37-1)),MIN(CJ$38,$E100),$P$20))-SUM($BF100:CI100))</f>
        <v>0</v>
      </c>
      <c r="CK100" s="446">
        <f>IF($E100=0,0,IF(MIN(CK$38,$E100)&lt;MAX($P$34*($B100+$I$38-1),IF(AND($L$37=0,$P$34=0),"",$L$37-1)),0,YEARFRAC(MAX($P$34*($B100+$I$38-1),IF(AND($L$37=0,$P$34=0),"",$L$37-1)),MIN(CK$38,$E100),$P$20))-SUM($BF100:CJ100))</f>
        <v>0</v>
      </c>
      <c r="CL100" s="446">
        <f>IF($E100=0,0,IF(MIN(CL$38,$E100)&lt;MAX($P$34*($B100+$I$38-1),IF(AND($L$37=0,$P$34=0),"",$L$37-1)),0,YEARFRAC(MAX($P$34*($B100+$I$38-1),IF(AND($L$37=0,$P$34=0),"",$L$37-1)),MIN(CL$38,$E100),$P$20))-SUM($BF100:CK100))</f>
        <v>0</v>
      </c>
      <c r="CM100" s="446">
        <f>IF($E100=0,0,IF(MIN(CM$38,$E100)&lt;MAX($P$34*($B100+$I$38-1),IF(AND($L$37=0,$P$34=0),"",$L$37-1)),0,YEARFRAC(MAX($P$34*($B100+$I$38-1),IF(AND($L$37=0,$P$34=0),"",$L$37-1)),MIN(CM$38,$E100),$P$20))-SUM($BF100:CL100))</f>
        <v>0</v>
      </c>
      <c r="CN100" s="446">
        <f>IF($E100=0,0,IF(MIN(CN$38,$E100)&lt;MAX($P$34*($B100+$I$38-1),IF(AND($L$37=0,$P$34=0),"",$L$37-1)),0,YEARFRAC(MAX($P$34*($B100+$I$38-1),IF(AND($L$37=0,$P$34=0),"",$L$37-1)),MIN(CN$38,$E100),$P$20))-SUM($BF100:CM100))</f>
        <v>0</v>
      </c>
      <c r="CO100" s="446">
        <f>IF($E100=0,0,IF(MIN(CO$38,$E100)&lt;MAX($P$34*($B100+$I$38-1),IF(AND($L$37=0,$P$34=0),"",$L$37-1)),0,YEARFRAC(MAX($P$34*($B100+$I$38-1),IF(AND($L$37=0,$P$34=0),"",$L$37-1)),MIN(CO$38,$E100),$P$20))-SUM($BF100:CN100))</f>
        <v>0</v>
      </c>
      <c r="CP100" s="446">
        <f>IF($E100=0,0,IF(MIN(CP$38,$E100)&lt;MAX($P$34*($B100+$I$38-1),IF(AND($L$37=0,$P$34=0),"",$L$37-1)),0,YEARFRAC(MAX($P$34*($B100+$I$38-1),IF(AND($L$37=0,$P$34=0),"",$L$37-1)),MIN(CP$38,$E100),$P$20))-SUM($BF100:CO100))</f>
        <v>0</v>
      </c>
      <c r="CQ100" s="446">
        <f>IF($E100=0,0,IF(MIN(CQ$38,$E100)&lt;MAX($P$34*($B100+$I$38-1),IF(AND($L$37=0,$P$34=0),"",$L$37-1)),0,YEARFRAC(MAX($P$34*($B100+$I$38-1),IF(AND($L$37=0,$P$34=0),"",$L$37-1)),MIN(CQ$38,$E100),$P$20))-SUM($BF100:CP100))</f>
        <v>0</v>
      </c>
    </row>
    <row r="101" spans="1:95" s="446" customFormat="1" ht="11.25" hidden="1" customHeight="1" x14ac:dyDescent="0.2">
      <c r="A101" s="152"/>
      <c r="B101" s="153" t="str">
        <f t="shared" si="15"/>
        <v/>
      </c>
      <c r="C101" s="29" t="str">
        <f>IF(B101="","",IF($L$35="SELIC - TRIBUTOS",VLOOKUP(DATE(YEAR($D$19),MONTH($D$19)-1,1),ÍNDICES!$A:$DE,HLOOKUP($BL$25,ÍNDICES!$B$3:$T$4,2)+11)-VLOOKUP(B101,ÍNDICES!$A:$DE,HLOOKUP($BL$25,ÍNDICES!$B$3:$T$4,2)+11)+1%,IF(C$38=$W$26,$J$35,IF(ISERROR(IF(B101&gt;$D$19,1,VLOOKUP(DATE(YEAR(B101),MONTH(B101)+IF($C$35=$S$23,1,0),1),ÍNDICES!$A:$DE,$Z$35+1))),"",IF(B101&gt;$D$19,1,VLOOKUP(DATE(YEAR(B101),MONTH(B101)+IF($C$35=$S$23,1,0),1),ÍNDICES!$A:$DE,$Z$35+1))))))</f>
        <v/>
      </c>
      <c r="D101" s="154" t="str">
        <f>IF(ISERROR(IF(OR($D$38=$Y$27,$B101=""),"",VLOOKUP(B101,ÍNDICES!A:DE,AF$35+1))),"",IF(OR($D$38=$Y$27,$B101=""),"",VLOOKUP(B101,ÍNDICES!A:DE,AF$35+1)))</f>
        <v/>
      </c>
      <c r="E101" s="153"/>
      <c r="F101" s="29" t="str">
        <f>IF(E101="","",IF($L$35="SELIC - TRIBUTOS",VLOOKUP(DATE(YEAR($D$19),MONTH($D$19)-1,1),ÍNDICES!$A:$DE,HLOOKUP($BL$25,ÍNDICES!$B$3:$T$4,2)+11)-VLOOKUP(E101,ÍNDICES!$A:$DE,HLOOKUP($BL$25,ÍNDICES!$B$3:$T$4,2)+11)+1%,IF(F$38=$W$26,$J$35,IF(ISERROR(IF(E101&gt;$D$19,1,VLOOKUP(DATE(YEAR(E101),MONTH(E101)+IF($C$35=$S$23,1,0),1),ÍNDICES!$A:$DE,$Z$35+1))),"",IF(E101&gt;$D$19,1,VLOOKUP(DATE(YEAR(E101),MONTH(E101)+IF($C$35=$S$23,1,0),1),ÍNDICES!$A:$DE,$Z$35+1))))))</f>
        <v/>
      </c>
      <c r="G101" s="155"/>
      <c r="H101" s="156" t="str">
        <f t="shared" si="11"/>
        <v/>
      </c>
      <c r="I101" s="29" t="str">
        <f t="shared" si="5"/>
        <v/>
      </c>
      <c r="J101" s="5">
        <f t="shared" si="6"/>
        <v>0</v>
      </c>
      <c r="K101" s="20">
        <f t="shared" ca="1" si="7"/>
        <v>0</v>
      </c>
      <c r="L101" s="5">
        <f t="shared" ca="1" si="8"/>
        <v>0</v>
      </c>
      <c r="M101" s="64">
        <f t="shared" si="12"/>
        <v>0</v>
      </c>
      <c r="N101" s="61">
        <f t="shared" ca="1" si="13"/>
        <v>0</v>
      </c>
      <c r="O101" s="5">
        <f t="shared" ca="1" si="14"/>
        <v>0</v>
      </c>
      <c r="P101" s="446" t="e">
        <f t="shared" si="9"/>
        <v>#VALUE!</v>
      </c>
      <c r="Q101" s="446" t="e">
        <f>IF(OR($B101="",MIN(Q$38,$D$19)&lt;MAX($P$34*($B101+IF($R$17="Distrato",$I$38-1,0)),IF(AND($L$37=0,$P$34=0),"",$L$37-1),IF($R$17="Distrato",$E101,0))),0,YEARFRAC(MAX($P$34*($B101+IF($R$17="Distrato",$I$38-1,0)),IF(AND($L$37=0,$P$34=0),"",$L$37-1),IF($R$17="Distrato",$E101,0)),MIN(Q$38,$D$19),$P$20))-SUM($P101:P101)</f>
        <v>#VALUE!</v>
      </c>
      <c r="R101" s="446" t="e">
        <f>IF(OR($B101="",MIN(R$38,$D$19)&lt;MAX($P$34*($B101+IF($R$17="Distrato",$I$38-1,0)),IF(AND($L$37=0,$P$34=0),"",$L$37-1),IF($R$17="Distrato",$E101,0))),0,YEARFRAC(MAX($P$34*($B101+IF($R$17="Distrato",$I$38-1,0)),IF(AND($L$37=0,$P$34=0),"",$L$37-1),IF($R$17="Distrato",$E101,0)),MIN(R$38,$D$19),$P$20))-SUM($P101:Q101)</f>
        <v>#VALUE!</v>
      </c>
      <c r="S101" s="446" t="e">
        <f>IF(OR($B101="",MIN(S$38,$D$19)&lt;MAX($P$34*($B101+IF($R$17="Distrato",$I$38-1,0)),IF(AND($L$37=0,$P$34=0),"",$L$37-1),IF($R$17="Distrato",$E101,0))),0,YEARFRAC(MAX($P$34*($B101+IF($R$17="Distrato",$I$38-1,0)),IF(AND($L$37=0,$P$34=0),"",$L$37-1),IF($R$17="Distrato",$E101,0)),MIN(S$38,$D$19),$P$20))-SUM($P101:R101)</f>
        <v>#VALUE!</v>
      </c>
      <c r="T101" s="446" t="e">
        <f>IF(OR($B101="",MIN(T$38,$D$19)&lt;MAX($P$34*($B101+IF($R$17="Distrato",$I$38-1,0)),IF(AND($L$37=0,$P$34=0),"",$L$37-1),IF($R$17="Distrato",$E101,0))),0,YEARFRAC(MAX($P$34*($B101+IF($R$17="Distrato",$I$38-1,0)),IF(AND($L$37=0,$P$34=0),"",$L$37-1),IF($R$17="Distrato",$E101,0)),MIN(T$38,$D$19),$P$20))-SUM($P101:S101)</f>
        <v>#VALUE!</v>
      </c>
      <c r="U101" s="446" t="e">
        <f>IF(OR($B101="",MIN(U$38,$D$19)&lt;MAX($P$34*($B101+IF($R$17="Distrato",$I$38-1,0)),IF(AND($L$37=0,$P$34=0),"",$L$37-1),IF($R$17="Distrato",$E101,0))),0,YEARFRAC(MAX($P$34*($B101+IF($R$17="Distrato",$I$38-1,0)),IF(AND($L$37=0,$P$34=0),"",$L$37-1),IF($R$17="Distrato",$E101,0)),MIN(U$38,$D$19),$P$20))-SUM($P101:T101)</f>
        <v>#VALUE!</v>
      </c>
      <c r="V101" s="446" t="e">
        <f>IF(OR($B101="",MIN(V$38,$D$19)&lt;MAX($P$34*($B101+IF($R$17="Distrato",$I$38-1,0)),IF(AND($L$37=0,$P$34=0),"",$L$37-1),IF($R$17="Distrato",$E101,0))),0,YEARFRAC(MAX($P$34*($B101+IF($R$17="Distrato",$I$38-1,0)),IF(AND($L$37=0,$P$34=0),"",$L$37-1),IF($R$17="Distrato",$E101,0)),MIN(V$38,$D$19),$P$20))-SUM($P101:U101)</f>
        <v>#VALUE!</v>
      </c>
      <c r="W101" s="446" t="e">
        <f>IF(OR($B101="",MIN(W$38,$D$19)&lt;MAX($P$34*($B101+IF($R$17="Distrato",$I$38-1,0)),IF(AND($L$37=0,$P$34=0),"",$L$37-1),IF($R$17="Distrato",$E101,0))),0,YEARFRAC(MAX($P$34*($B101+IF($R$17="Distrato",$I$38-1,0)),IF(AND($L$37=0,$P$34=0),"",$L$37-1),IF($R$17="Distrato",$E101,0)),MIN(W$38,$D$19),$P$20))-SUM($P101:V101)</f>
        <v>#VALUE!</v>
      </c>
      <c r="X101" s="446" t="e">
        <f>IF(OR($B101="",MIN(X$38,$D$19)&lt;MAX($P$34*($B101+IF($R$17="Distrato",$I$38-1,0)),IF(AND($L$37=0,$P$34=0),"",$L$37-1),IF($R$17="Distrato",$E101,0))),0,YEARFRAC(MAX($P$34*($B101+IF($R$17="Distrato",$I$38-1,0)),IF(AND($L$37=0,$P$34=0),"",$L$37-1),IF($R$17="Distrato",$E101,0)),MIN(X$38,$D$19),$P$20))-SUM($P101:W101)</f>
        <v>#VALUE!</v>
      </c>
      <c r="Y101" s="446" t="e">
        <f>IF(OR($B101="",MIN(Y$38,$D$19)&lt;MAX($P$34*($B101+IF($R$17="Distrato",$I$38-1,0)),IF(AND($L$37=0,$P$34=0),"",$L$37-1),IF($R$17="Distrato",$E101,0))),0,YEARFRAC(MAX($P$34*($B101+IF($R$17="Distrato",$I$38-1,0)),IF(AND($L$37=0,$P$34=0),"",$L$37-1),IF($R$17="Distrato",$E101,0)),MIN(Y$38,$D$19),$P$20))-SUM($P101:X101)</f>
        <v>#VALUE!</v>
      </c>
      <c r="Z101" s="446" t="e">
        <f>IF(OR($B101="",MIN(Z$38,$D$19)&lt;MAX($P$34*($B101+IF($R$17="Distrato",$I$38-1,0)),IF(AND($L$37=0,$P$34=0),"",$L$37-1),IF($R$17="Distrato",$E101,0))),0,YEARFRAC(MAX($P$34*($B101+IF($R$17="Distrato",$I$38-1,0)),IF(AND($L$37=0,$P$34=0),"",$L$37-1),IF($R$17="Distrato",$E101,0)),MIN(Z$38,$D$19),$P$20))-SUM($P101:Y101)</f>
        <v>#VALUE!</v>
      </c>
      <c r="AA101" s="446" t="e">
        <f>IF(OR($B101="",MIN(AA$38,$D$19)&lt;MAX($P$34*($B101+IF($R$17="Distrato",$I$38-1,0)),IF(AND($L$37=0,$P$34=0),"",$L$37-1),IF($R$17="Distrato",$E101,0))),0,YEARFRAC(MAX($P$34*($B101+IF($R$17="Distrato",$I$38-1,0)),IF(AND($L$37=0,$P$34=0),"",$L$37-1),IF($R$17="Distrato",$E101,0)),MIN(AA$38,$D$19),$P$20))-SUM($P101:Z101)</f>
        <v>#VALUE!</v>
      </c>
      <c r="AB101" s="446" t="e">
        <f>IF(OR($B101="",MIN(AB$38,$D$19)&lt;MAX($P$34*($B101+IF($R$17="Distrato",$I$38-1,0)),IF(AND($L$37=0,$P$34=0),"",$L$37-1),IF($R$17="Distrato",$E101,0))),0,YEARFRAC(MAX($P$34*($B101+IF($R$17="Distrato",$I$38-1,0)),IF(AND($L$37=0,$P$34=0),"",$L$37-1),IF($R$17="Distrato",$E101,0)),MIN(AB$38,$D$19),$P$20))-SUM($P101:AA101)</f>
        <v>#VALUE!</v>
      </c>
      <c r="AC101" s="446" t="e">
        <f>IF(OR($B101="",MIN(AC$38,$D$19)&lt;MAX($P$34*($B101+IF($R$17="Distrato",$I$38-1,0)),IF(AND($L$37=0,$P$34=0),"",$L$37-1),IF($R$17="Distrato",$E101,0))),0,YEARFRAC(MAX($P$34*($B101+IF($R$17="Distrato",$I$38-1,0)),IF(AND($L$37=0,$P$34=0),"",$L$37-1),IF($R$17="Distrato",$E101,0)),MIN(AC$38,$D$19),$P$20))-SUM($P101:AB101)</f>
        <v>#VALUE!</v>
      </c>
      <c r="AD101" s="446" t="e">
        <f>IF(OR($B101="",MIN(AD$38,$D$19)&lt;MAX($P$34*($B101+IF($R$17="Distrato",$I$38-1,0)),IF(AND($L$37=0,$P$34=0),"",$L$37-1),IF($R$17="Distrato",$E101,0))),0,YEARFRAC(MAX($P$34*($B101+IF($R$17="Distrato",$I$38-1,0)),IF(AND($L$37=0,$P$34=0),"",$L$37-1),IF($R$17="Distrato",$E101,0)),MIN(AD$38,$D$19),$P$20))-SUM($P101:AC101)</f>
        <v>#VALUE!</v>
      </c>
      <c r="AE101" s="446" t="e">
        <f>IF(OR($B101="",MIN(AE$38,$D$19)&lt;MAX($P$34*($B101+IF($R$17="Distrato",$I$38-1,0)),IF(AND($L$37=0,$P$34=0),"",$L$37-1),IF($R$17="Distrato",$E101,0))),0,YEARFRAC(MAX($P$34*($B101+IF($R$17="Distrato",$I$38-1,0)),IF(AND($L$37=0,$P$34=0),"",$L$37-1),IF($R$17="Distrato",$E101,0)),MIN(AE$38,$D$19),$P$20))-SUM($P101:AD101)</f>
        <v>#VALUE!</v>
      </c>
      <c r="AF101" s="446" t="e">
        <f>IF(OR($B101="",MIN(AF$38,$D$19)&lt;MAX($P$34*($B101+IF($R$17="Distrato",$I$38-1,0)),IF(AND($L$37=0,$P$34=0),"",$L$37-1),IF($R$17="Distrato",$E101,0))),0,YEARFRAC(MAX($P$34*($B101+IF($R$17="Distrato",$I$38-1,0)),IF(AND($L$37=0,$P$34=0),"",$L$37-1),IF($R$17="Distrato",$E101,0)),MIN(AF$38,$D$19),$P$20))-SUM($P101:AE101)</f>
        <v>#VALUE!</v>
      </c>
      <c r="AG101" s="446" t="e">
        <f>IF(OR($B101="",MIN(AG$38,$D$19)&lt;MAX($P$34*($B101+IF($R$17="Distrato",$I$38-1,0)),IF(AND($L$37=0,$P$34=0),"",$L$37-1),IF($R$17="Distrato",$E101,0))),0,YEARFRAC(MAX($P$34*($B101+IF($R$17="Distrato",$I$38-1,0)),IF(AND($L$37=0,$P$34=0),"",$L$37-1),IF($R$17="Distrato",$E101,0)),MIN(AG$38,$D$19),$P$20))-SUM($P101:AF101)</f>
        <v>#VALUE!</v>
      </c>
      <c r="AH101" s="446" t="e">
        <f>IF(OR($B101="",MIN(AH$38,$D$19)&lt;MAX($P$34*($B101+IF($R$17="Distrato",$I$38-1,0)),IF(AND($L$37=0,$P$34=0),"",$L$37-1),IF($R$17="Distrato",$E101,0))),0,YEARFRAC(MAX($P$34*($B101+IF($R$17="Distrato",$I$38-1,0)),IF(AND($L$37=0,$P$34=0),"",$L$37-1),IF($R$17="Distrato",$E101,0)),MIN(AH$38,$D$19),$P$20))-SUM($P101:AG101)</f>
        <v>#VALUE!</v>
      </c>
      <c r="AI101" s="446" t="e">
        <f>IF(OR($B101="",MIN(AI$38,$D$19)&lt;MAX($P$34*($B101+IF($R$17="Distrato",$I$38-1,0)),IF(AND($L$37=0,$P$34=0),"",$L$37-1),IF($R$17="Distrato",$E101,0))),0,YEARFRAC(MAX($P$34*($B101+IF($R$17="Distrato",$I$38-1,0)),IF(AND($L$37=0,$P$34=0),"",$L$37-1),IF($R$17="Distrato",$E101,0)),MIN(AI$38,$D$19),$P$20))-SUM($P101:AH101)</f>
        <v>#VALUE!</v>
      </c>
      <c r="AJ101" s="446" t="e">
        <f>IF(OR($B101="",MIN(AJ$38,$D$19)&lt;MAX($P$34*($B101+IF($R$17="Distrato",$I$38-1,0)),IF(AND($L$37=0,$P$34=0),"",$L$37-1),IF($R$17="Distrato",$E101,0))),0,YEARFRAC(MAX($P$34*($B101+IF($R$17="Distrato",$I$38-1,0)),IF(AND($L$37=0,$P$34=0),"",$L$37-1),IF($R$17="Distrato",$E101,0)),MIN(AJ$38,$D$19),$P$20))-SUM($P101:AI101)</f>
        <v>#VALUE!</v>
      </c>
      <c r="AK101" s="446" t="e">
        <f>IF(OR($B101="",MIN(AK$38,$D$19)&lt;MAX($P$34*($B101+IF($R$17="Distrato",$I$38-1,0)),IF(AND($L$37=0,$P$34=0),"",$L$37-1),IF($R$17="Distrato",$E101,0))),0,YEARFRAC(MAX($P$34*($B101+IF($R$17="Distrato",$I$38-1,0)),IF(AND($L$37=0,$P$34=0),"",$L$37-1),IF($R$17="Distrato",$E101,0)),MIN(AK$38,$D$19),$P$20))-SUM($P101:AJ101)</f>
        <v>#VALUE!</v>
      </c>
      <c r="AL101" s="446" t="e">
        <f>IF(OR($B101="",MIN(AL$38,$D$19)&lt;MAX($P$34*($B101+IF($R$17="Distrato",$I$38-1,0)),IF(AND($L$37=0,$P$34=0),"",$L$37-1),IF($R$17="Distrato",$E101,0))),0,YEARFRAC(MAX($P$34*($B101+IF($R$17="Distrato",$I$38-1,0)),IF(AND($L$37=0,$P$34=0),"",$L$37-1),IF($R$17="Distrato",$E101,0)),MIN(AL$38,$D$19),$P$20))-SUM($P101:AK101)</f>
        <v>#VALUE!</v>
      </c>
      <c r="AM101" s="446" t="e">
        <f>IF(OR($B101="",MIN(AM$38,$D$19)&lt;MAX($P$34*($B101+IF($R$17="Distrato",$I$38-1,0)),IF(AND($L$37=0,$P$34=0),"",$L$37-1),IF($R$17="Distrato",$E101,0))),0,YEARFRAC(MAX($P$34*($B101+IF($R$17="Distrato",$I$38-1,0)),IF(AND($L$37=0,$P$34=0),"",$L$37-1),IF($R$17="Distrato",$E101,0)),MIN(AM$38,$D$19),$P$20))-SUM($P101:AL101)</f>
        <v>#VALUE!</v>
      </c>
      <c r="AN101" s="446" t="e">
        <f>IF(OR($B101="",MIN(AN$38,$D$19)&lt;MAX($P$34*($B101+IF($R$17="Distrato",$I$38-1,0)),IF(AND($L$37=0,$P$34=0),"",$L$37-1),IF($R$17="Distrato",$E101,0))),0,YEARFRAC(MAX($P$34*($B101+IF($R$17="Distrato",$I$38-1,0)),IF(AND($L$37=0,$P$34=0),"",$L$37-1),IF($R$17="Distrato",$E101,0)),MIN(AN$38,$D$19),$P$20))-SUM($P101:AM101)</f>
        <v>#VALUE!</v>
      </c>
      <c r="AO101" s="446" t="e">
        <f>IF(OR($B101="",MIN(AO$38,$D$19)&lt;MAX($P$34*($B101+IF($R$17="Distrato",$I$38-1,0)),IF(AND($L$37=0,$P$34=0),"",$L$37-1),IF($R$17="Distrato",$E101,0))),0,YEARFRAC(MAX($P$34*($B101+IF($R$17="Distrato",$I$38-1,0)),IF(AND($L$37=0,$P$34=0),"",$L$37-1),IF($R$17="Distrato",$E101,0)),MIN(AO$38,$D$19),$P$20))-SUM($P101:AN101)</f>
        <v>#VALUE!</v>
      </c>
      <c r="AP101" s="446" t="e">
        <f>IF(OR($B101="",MIN(AP$38,$D$19)&lt;MAX($P$34*($B101+IF($R$17="Distrato",$I$38-1,0)),IF(AND($L$37=0,$P$34=0),"",$L$37-1),IF($R$17="Distrato",$E101,0))),0,YEARFRAC(MAX($P$34*($B101+IF($R$17="Distrato",$I$38-1,0)),IF(AND($L$37=0,$P$34=0),"",$L$37-1),IF($R$17="Distrato",$E101,0)),MIN(AP$38,$D$19),$P$20))-SUM($P101:AO101)</f>
        <v>#VALUE!</v>
      </c>
      <c r="AQ101" s="446" t="e">
        <f>IF(OR($B101="",MIN(AQ$38,$D$19)&lt;MAX($P$34*($B101+IF($R$17="Distrato",$I$38-1,0)),IF(AND($L$37=0,$P$34=0),"",$L$37-1),IF($R$17="Distrato",$E101,0))),0,YEARFRAC(MAX($P$34*($B101+IF($R$17="Distrato",$I$38-1,0)),IF(AND($L$37=0,$P$34=0),"",$L$37-1),IF($R$17="Distrato",$E101,0)),MIN(AQ$38,$D$19),$P$20))-SUM($P101:AP101)</f>
        <v>#VALUE!</v>
      </c>
      <c r="AR101" s="446" t="e">
        <f>IF(OR($B101="",MIN(AR$38,$D$19)&lt;MAX($P$34*($B101+IF($R$17="Distrato",$I$38-1,0)),IF(AND($L$37=0,$P$34=0),"",$L$37-1),IF($R$17="Distrato",$E101,0))),0,YEARFRAC(MAX($P$34*($B101+IF($R$17="Distrato",$I$38-1,0)),IF(AND($L$37=0,$P$34=0),"",$L$37-1),IF($R$17="Distrato",$E101,0)),MIN(AR$38,$D$19),$P$20))-SUM($P101:AQ101)</f>
        <v>#VALUE!</v>
      </c>
      <c r="AS101" s="446" t="e">
        <f>IF(OR($B101="",MIN(AS$38,$D$19)&lt;MAX($P$34*($B101+IF($R$17="Distrato",$I$38-1,0)),IF(AND($L$37=0,$P$34=0),"",$L$37-1),IF($R$17="Distrato",$E101,0))),0,YEARFRAC(MAX($P$34*($B101+IF($R$17="Distrato",$I$38-1,0)),IF(AND($L$37=0,$P$34=0),"",$L$37-1),IF($R$17="Distrato",$E101,0)),MIN(AS$38,$D$19),$P$20))-SUM($P101:AR101)</f>
        <v>#VALUE!</v>
      </c>
      <c r="AT101" s="446" t="e">
        <f>IF(OR($B101="",MIN(AT$38,$D$19)&lt;MAX($P$34*($B101+IF($R$17="Distrato",$I$38-1,0)),IF(AND($L$37=0,$P$34=0),"",$L$37-1),IF($R$17="Distrato",$E101,0))),0,YEARFRAC(MAX($P$34*($B101+IF($R$17="Distrato",$I$38-1,0)),IF(AND($L$37=0,$P$34=0),"",$L$37-1),IF($R$17="Distrato",$E101,0)),MIN(AT$38,$D$19),$P$20))-SUM($P101:AS101)</f>
        <v>#VALUE!</v>
      </c>
      <c r="AU101" s="446" t="e">
        <f>IF(OR($B101="",MIN(AU$38,$D$19)&lt;MAX($P$34*($B101+IF($R$17="Distrato",$I$38-1,0)),IF(AND($L$37=0,$P$34=0),"",$L$37-1),IF($R$17="Distrato",$E101,0))),0,YEARFRAC(MAX($P$34*($B101+IF($R$17="Distrato",$I$38-1,0)),IF(AND($L$37=0,$P$34=0),"",$L$37-1),IF($R$17="Distrato",$E101,0)),MIN(AU$38,$D$19),$P$20))-SUM($P101:AT101)</f>
        <v>#VALUE!</v>
      </c>
      <c r="AV101" s="446" t="e">
        <f>IF(OR($B101="",MIN(AV$38,$D$19)&lt;MAX($P$34*($B101+IF($R$17="Distrato",$I$38-1,0)),IF(AND($L$37=0,$P$34=0),"",$L$37-1),IF($R$17="Distrato",$E101,0))),0,YEARFRAC(MAX($P$34*($B101+IF($R$17="Distrato",$I$38-1,0)),IF(AND($L$37=0,$P$34=0),"",$L$37-1),IF($R$17="Distrato",$E101,0)),MIN(AV$38,$D$19),$P$20))-SUM($P101:AU101)</f>
        <v>#VALUE!</v>
      </c>
      <c r="AW101" s="446" t="e">
        <f>IF(OR($B101="",MIN(AW$38,$D$19)&lt;MAX($P$34*($B101+IF($R$17="Distrato",$I$38-1,0)),IF(AND($L$37=0,$P$34=0),"",$L$37-1),IF($R$17="Distrato",$E101,0))),0,YEARFRAC(MAX($P$34*($B101+IF($R$17="Distrato",$I$38-1,0)),IF(AND($L$37=0,$P$34=0),"",$L$37-1),IF($R$17="Distrato",$E101,0)),MIN(AW$38,$D$19),$P$20))-SUM($P101:AV101)</f>
        <v>#VALUE!</v>
      </c>
      <c r="AX101" s="446" t="e">
        <f>IF(OR($B101="",MIN(AX$38,$D$19)&lt;MAX($P$34*($B101+IF($R$17="Distrato",$I$38-1,0)),IF(AND($L$37=0,$P$34=0),"",$L$37-1),IF($R$17="Distrato",$E101,0))),0,YEARFRAC(MAX($P$34*($B101+IF($R$17="Distrato",$I$38-1,0)),IF(AND($L$37=0,$P$34=0),"",$L$37-1),IF($R$17="Distrato",$E101,0)),MIN(AX$38,$D$19),$P$20))-SUM($P101:AW101)</f>
        <v>#VALUE!</v>
      </c>
      <c r="AY101" s="446" t="e">
        <f>IF(OR($B101="",MIN(AY$38,$D$19)&lt;MAX($P$34*($B101+IF($R$17="Distrato",$I$38-1,0)),IF(AND($L$37=0,$P$34=0),"",$L$37-1),IF($R$17="Distrato",$E101,0))),0,YEARFRAC(MAX($P$34*($B101+IF($R$17="Distrato",$I$38-1,0)),IF(AND($L$37=0,$P$34=0),"",$L$37-1),IF($R$17="Distrato",$E101,0)),MIN(AY$38,$D$19),$P$20))-SUM($P101:AX101)</f>
        <v>#VALUE!</v>
      </c>
      <c r="AZ101" s="446" t="e">
        <f>IF(OR($B101="",MIN(AZ$38,$D$19)&lt;MAX($P$34*($B101+IF($R$17="Distrato",$I$38-1,0)),IF(AND($L$37=0,$P$34=0),"",$L$37-1),IF($R$17="Distrato",$E101,0))),0,YEARFRAC(MAX($P$34*($B101+IF($R$17="Distrato",$I$38-1,0)),IF(AND($L$37=0,$P$34=0),"",$L$37-1),IF($R$17="Distrato",$E101,0)),MIN(AZ$38,$D$19),$P$20))-SUM($P101:AY101)</f>
        <v>#VALUE!</v>
      </c>
      <c r="BA101" s="446" t="e">
        <f>IF(OR($B101="",MIN(BA$38,$D$19)&lt;MAX($P$34*($B101+IF($R$17="Distrato",$I$38-1,0)),IF(AND($L$37=0,$P$34=0),"",$L$37-1),IF($R$17="Distrato",$E101,0))),0,YEARFRAC(MAX($P$34*($B101+IF($R$17="Distrato",$I$38-1,0)),IF(AND($L$37=0,$P$34=0),"",$L$37-1),IF($R$17="Distrato",$E101,0)),MIN(BA$38,$D$19),$P$20))-SUM($P101:AZ101)</f>
        <v>#VALUE!</v>
      </c>
      <c r="BB101" s="447"/>
      <c r="BF101" s="446">
        <f t="shared" si="10"/>
        <v>0</v>
      </c>
      <c r="BG101" s="446">
        <f>IF($E101=0,0,IF(MIN(BG$38,$E101)&lt;MAX($P$34*($B101+$I$38-1),IF(AND($L$37=0,$P$34=0),"",$L$37-1)),0,YEARFRAC(MAX($P$34*($B101+$I$38-1),IF(AND($L$37=0,$P$34=0),"",$L$37-1)),MIN(BG$38,$E101),$P$20))-SUM($BF101:BF101))</f>
        <v>0</v>
      </c>
      <c r="BH101" s="446">
        <f>IF($E101=0,0,IF(MIN(BH$38,$E101)&lt;MAX($P$34*($B101+$I$38-1),IF(AND($L$37=0,$P$34=0),"",$L$37-1)),0,YEARFRAC(MAX($P$34*($B101+$I$38-1),IF(AND($L$37=0,$P$34=0),"",$L$37-1)),MIN(BH$38,$E101),$P$20))-SUM($BF101:BG101))</f>
        <v>0</v>
      </c>
      <c r="BI101" s="446">
        <f>IF($E101=0,0,IF(MIN(BI$38,$E101)&lt;MAX($P$34*($B101+$I$38-1),IF(AND($L$37=0,$P$34=0),"",$L$37-1)),0,YEARFRAC(MAX($P$34*($B101+$I$38-1),IF(AND($L$37=0,$P$34=0),"",$L$37-1)),MIN(BI$38,$E101),$P$20))-SUM($BF101:BH101))</f>
        <v>0</v>
      </c>
      <c r="BJ101" s="446">
        <f>IF($E101=0,0,IF(MIN(BJ$38,$E101)&lt;MAX($P$34*($B101+$I$38-1),IF(AND($L$37=0,$P$34=0),"",$L$37-1)),0,YEARFRAC(MAX($P$34*($B101+$I$38-1),IF(AND($L$37=0,$P$34=0),"",$L$37-1)),MIN(BJ$38,$E101),$P$20))-SUM($BF101:BI101))</f>
        <v>0</v>
      </c>
      <c r="BK101" s="446">
        <f>IF($E101=0,0,IF(MIN(BK$38,$E101)&lt;MAX($P$34*($B101+$I$38-1),IF(AND($L$37=0,$P$34=0),"",$L$37-1)),0,YEARFRAC(MAX($P$34*($B101+$I$38-1),IF(AND($L$37=0,$P$34=0),"",$L$37-1)),MIN(BK$38,$E101),$P$20))-SUM($BF101:BJ101))</f>
        <v>0</v>
      </c>
      <c r="BL101" s="446">
        <f>IF($E101=0,0,IF(MIN(BL$38,$E101)&lt;MAX($P$34*($B101+$I$38-1),IF(AND($L$37=0,$P$34=0),"",$L$37-1)),0,YEARFRAC(MAX($P$34*($B101+$I$38-1),IF(AND($L$37=0,$P$34=0),"",$L$37-1)),MIN(BL$38,$E101),$P$20))-SUM($BF101:BK101))</f>
        <v>0</v>
      </c>
      <c r="BM101" s="446">
        <f>IF($E101=0,0,IF(MIN(BM$38,$E101)&lt;MAX($P$34*($B101+$I$38-1),IF(AND($L$37=0,$P$34=0),"",$L$37-1)),0,YEARFRAC(MAX($P$34*($B101+$I$38-1),IF(AND($L$37=0,$P$34=0),"",$L$37-1)),MIN(BM$38,$E101),$P$20))-SUM($BF101:BL101))</f>
        <v>0</v>
      </c>
      <c r="BN101" s="446">
        <f>IF($E101=0,0,IF(MIN(BN$38,$E101)&lt;MAX($P$34*($B101+$I$38-1),IF(AND($L$37=0,$P$34=0),"",$L$37-1)),0,YEARFRAC(MAX($P$34*($B101+$I$38-1),IF(AND($L$37=0,$P$34=0),"",$L$37-1)),MIN(BN$38,$E101),$P$20))-SUM($BF101:BM101))</f>
        <v>0</v>
      </c>
      <c r="BO101" s="446">
        <f>IF($E101=0,0,IF(MIN(BO$38,$E101)&lt;MAX($P$34*($B101+$I$38-1),IF(AND($L$37=0,$P$34=0),"",$L$37-1)),0,YEARFRAC(MAX($P$34*($B101+$I$38-1),IF(AND($L$37=0,$P$34=0),"",$L$37-1)),MIN(BO$38,$E101),$P$20))-SUM($BF101:BN101))</f>
        <v>0</v>
      </c>
      <c r="BP101" s="446">
        <f>IF($E101=0,0,IF(MIN(BP$38,$E101)&lt;MAX($P$34*($B101+$I$38-1),IF(AND($L$37=0,$P$34=0),"",$L$37-1)),0,YEARFRAC(MAX($P$34*($B101+$I$38-1),IF(AND($L$37=0,$P$34=0),"",$L$37-1)),MIN(BP$38,$E101),$P$20))-SUM($BF101:BO101))</f>
        <v>0</v>
      </c>
      <c r="BQ101" s="446">
        <f>IF($E101=0,0,IF(MIN(BQ$38,$E101)&lt;MAX($P$34*($B101+$I$38-1),IF(AND($L$37=0,$P$34=0),"",$L$37-1)),0,YEARFRAC(MAX($P$34*($B101+$I$38-1),IF(AND($L$37=0,$P$34=0),"",$L$37-1)),MIN(BQ$38,$E101),$P$20))-SUM($BF101:BP101))</f>
        <v>0</v>
      </c>
      <c r="BR101" s="446">
        <f>IF($E101=0,0,IF(MIN(BR$38,$E101)&lt;MAX($P$34*($B101+$I$38-1),IF(AND($L$37=0,$P$34=0),"",$L$37-1)),0,YEARFRAC(MAX($P$34*($B101+$I$38-1),IF(AND($L$37=0,$P$34=0),"",$L$37-1)),MIN(BR$38,$E101),$P$20))-SUM($BF101:BQ101))</f>
        <v>0</v>
      </c>
      <c r="BS101" s="446">
        <f>IF($E101=0,0,IF(MIN(BS$38,$E101)&lt;MAX($P$34*($B101+$I$38-1),IF(AND($L$37=0,$P$34=0),"",$L$37-1)),0,YEARFRAC(MAX($P$34*($B101+$I$38-1),IF(AND($L$37=0,$P$34=0),"",$L$37-1)),MIN(BS$38,$E101),$P$20))-SUM($BF101:BR101))</f>
        <v>0</v>
      </c>
      <c r="BT101" s="446">
        <f>IF($E101=0,0,IF(MIN(BT$38,$E101)&lt;MAX($P$34*($B101+$I$38-1),IF(AND($L$37=0,$P$34=0),"",$L$37-1)),0,YEARFRAC(MAX($P$34*($B101+$I$38-1),IF(AND($L$37=0,$P$34=0),"",$L$37-1)),MIN(BT$38,$E101),$P$20))-SUM($BF101:BS101))</f>
        <v>0</v>
      </c>
      <c r="BU101" s="446">
        <f>IF($E101=0,0,IF(MIN(BU$38,$E101)&lt;MAX($P$34*($B101+$I$38-1),IF(AND($L$37=0,$P$34=0),"",$L$37-1)),0,YEARFRAC(MAX($P$34*($B101+$I$38-1),IF(AND($L$37=0,$P$34=0),"",$L$37-1)),MIN(BU$38,$E101),$P$20))-SUM($BF101:BT101))</f>
        <v>0</v>
      </c>
      <c r="BV101" s="446">
        <f>IF($E101=0,0,IF(MIN(BV$38,$E101)&lt;MAX($P$34*($B101+$I$38-1),IF(AND($L$37=0,$P$34=0),"",$L$37-1)),0,YEARFRAC(MAX($P$34*($B101+$I$38-1),IF(AND($L$37=0,$P$34=0),"",$L$37-1)),MIN(BV$38,$E101),$P$20))-SUM($BF101:BU101))</f>
        <v>0</v>
      </c>
      <c r="BW101" s="446">
        <f>IF($E101=0,0,IF(MIN(BW$38,$E101)&lt;MAX($P$34*($B101+$I$38-1),IF(AND($L$37=0,$P$34=0),"",$L$37-1)),0,YEARFRAC(MAX($P$34*($B101+$I$38-1),IF(AND($L$37=0,$P$34=0),"",$L$37-1)),MIN(BW$38,$E101),$P$20))-SUM($BF101:BV101))</f>
        <v>0</v>
      </c>
      <c r="BX101" s="446">
        <f>IF($E101=0,0,IF(MIN(BX$38,$E101)&lt;MAX($P$34*($B101+$I$38-1),IF(AND($L$37=0,$P$34=0),"",$L$37-1)),0,YEARFRAC(MAX($P$34*($B101+$I$38-1),IF(AND($L$37=0,$P$34=0),"",$L$37-1)),MIN(BX$38,$E101),$P$20))-SUM($BF101:BW101))</f>
        <v>0</v>
      </c>
      <c r="BY101" s="446">
        <f>IF($E101=0,0,IF(MIN(BY$38,$E101)&lt;MAX($P$34*($B101+$I$38-1),IF(AND($L$37=0,$P$34=0),"",$L$37-1)),0,YEARFRAC(MAX($P$34*($B101+$I$38-1),IF(AND($L$37=0,$P$34=0),"",$L$37-1)),MIN(BY$38,$E101),$P$20))-SUM($BF101:BX101))</f>
        <v>0</v>
      </c>
      <c r="BZ101" s="446">
        <f>IF($E101=0,0,IF(MIN(BZ$38,$E101)&lt;MAX($P$34*($B101+$I$38-1),IF(AND($L$37=0,$P$34=0),"",$L$37-1)),0,YEARFRAC(MAX($P$34*($B101+$I$38-1),IF(AND($L$37=0,$P$34=0),"",$L$37-1)),MIN(BZ$38,$E101),$P$20))-SUM($BF101:BY101))</f>
        <v>0</v>
      </c>
      <c r="CA101" s="446">
        <f>IF($E101=0,0,IF(MIN(CA$38,$E101)&lt;MAX($P$34*($B101+$I$38-1),IF(AND($L$37=0,$P$34=0),"",$L$37-1)),0,YEARFRAC(MAX($P$34*($B101+$I$38-1),IF(AND($L$37=0,$P$34=0),"",$L$37-1)),MIN(CA$38,$E101),$P$20))-SUM($BF101:BZ101))</f>
        <v>0</v>
      </c>
      <c r="CB101" s="446">
        <f>IF($E101=0,0,IF(MIN(CB$38,$E101)&lt;MAX($P$34*($B101+$I$38-1),IF(AND($L$37=0,$P$34=0),"",$L$37-1)),0,YEARFRAC(MAX($P$34*($B101+$I$38-1),IF(AND($L$37=0,$P$34=0),"",$L$37-1)),MIN(CB$38,$E101),$P$20))-SUM($BF101:CA101))</f>
        <v>0</v>
      </c>
      <c r="CC101" s="446">
        <f>IF($E101=0,0,IF(MIN(CC$38,$E101)&lt;MAX($P$34*($B101+$I$38-1),IF(AND($L$37=0,$P$34=0),"",$L$37-1)),0,YEARFRAC(MAX($P$34*($B101+$I$38-1),IF(AND($L$37=0,$P$34=0),"",$L$37-1)),MIN(CC$38,$E101),$P$20))-SUM($BF101:CB101))</f>
        <v>0</v>
      </c>
      <c r="CD101" s="446">
        <f>IF($E101=0,0,IF(MIN(CD$38,$E101)&lt;MAX($P$34*($B101+$I$38-1),IF(AND($L$37=0,$P$34=0),"",$L$37-1)),0,YEARFRAC(MAX($P$34*($B101+$I$38-1),IF(AND($L$37=0,$P$34=0),"",$L$37-1)),MIN(CD$38,$E101),$P$20))-SUM($BF101:CC101))</f>
        <v>0</v>
      </c>
      <c r="CE101" s="446">
        <f>IF($E101=0,0,IF(MIN(CE$38,$E101)&lt;MAX($P$34*($B101+$I$38-1),IF(AND($L$37=0,$P$34=0),"",$L$37-1)),0,YEARFRAC(MAX($P$34*($B101+$I$38-1),IF(AND($L$37=0,$P$34=0),"",$L$37-1)),MIN(CE$38,$E101),$P$20))-SUM($BF101:CD101))</f>
        <v>0</v>
      </c>
      <c r="CF101" s="446">
        <f>IF($E101=0,0,IF(MIN(CF$38,$E101)&lt;MAX($P$34*($B101+$I$38-1),IF(AND($L$37=0,$P$34=0),"",$L$37-1)),0,YEARFRAC(MAX($P$34*($B101+$I$38-1),IF(AND($L$37=0,$P$34=0),"",$L$37-1)),MIN(CF$38,$E101),$P$20))-SUM($BF101:CE101))</f>
        <v>0</v>
      </c>
      <c r="CG101" s="446">
        <f>IF($E101=0,0,IF(MIN(CG$38,$E101)&lt;MAX($P$34*($B101+$I$38-1),IF(AND($L$37=0,$P$34=0),"",$L$37-1)),0,YEARFRAC(MAX($P$34*($B101+$I$38-1),IF(AND($L$37=0,$P$34=0),"",$L$37-1)),MIN(CG$38,$E101),$P$20))-SUM($BF101:CF101))</f>
        <v>0</v>
      </c>
      <c r="CH101" s="446">
        <f>IF($E101=0,0,IF(MIN(CH$38,$E101)&lt;MAX($P$34*($B101+$I$38-1),IF(AND($L$37=0,$P$34=0),"",$L$37-1)),0,YEARFRAC(MAX($P$34*($B101+$I$38-1),IF(AND($L$37=0,$P$34=0),"",$L$37-1)),MIN(CH$38,$E101),$P$20))-SUM($BF101:CG101))</f>
        <v>0</v>
      </c>
      <c r="CI101" s="446">
        <f>IF($E101=0,0,IF(MIN(CI$38,$E101)&lt;MAX($P$34*($B101+$I$38-1),IF(AND($L$37=0,$P$34=0),"",$L$37-1)),0,YEARFRAC(MAX($P$34*($B101+$I$38-1),IF(AND($L$37=0,$P$34=0),"",$L$37-1)),MIN(CI$38,$E101),$P$20))-SUM($BF101:CH101))</f>
        <v>0</v>
      </c>
      <c r="CJ101" s="446">
        <f>IF($E101=0,0,IF(MIN(CJ$38,$E101)&lt;MAX($P$34*($B101+$I$38-1),IF(AND($L$37=0,$P$34=0),"",$L$37-1)),0,YEARFRAC(MAX($P$34*($B101+$I$38-1),IF(AND($L$37=0,$P$34=0),"",$L$37-1)),MIN(CJ$38,$E101),$P$20))-SUM($BF101:CI101))</f>
        <v>0</v>
      </c>
      <c r="CK101" s="446">
        <f>IF($E101=0,0,IF(MIN(CK$38,$E101)&lt;MAX($P$34*($B101+$I$38-1),IF(AND($L$37=0,$P$34=0),"",$L$37-1)),0,YEARFRAC(MAX($P$34*($B101+$I$38-1),IF(AND($L$37=0,$P$34=0),"",$L$37-1)),MIN(CK$38,$E101),$P$20))-SUM($BF101:CJ101))</f>
        <v>0</v>
      </c>
      <c r="CL101" s="446">
        <f>IF($E101=0,0,IF(MIN(CL$38,$E101)&lt;MAX($P$34*($B101+$I$38-1),IF(AND($L$37=0,$P$34=0),"",$L$37-1)),0,YEARFRAC(MAX($P$34*($B101+$I$38-1),IF(AND($L$37=0,$P$34=0),"",$L$37-1)),MIN(CL$38,$E101),$P$20))-SUM($BF101:CK101))</f>
        <v>0</v>
      </c>
      <c r="CM101" s="446">
        <f>IF($E101=0,0,IF(MIN(CM$38,$E101)&lt;MAX($P$34*($B101+$I$38-1),IF(AND($L$37=0,$P$34=0),"",$L$37-1)),0,YEARFRAC(MAX($P$34*($B101+$I$38-1),IF(AND($L$37=0,$P$34=0),"",$L$37-1)),MIN(CM$38,$E101),$P$20))-SUM($BF101:CL101))</f>
        <v>0</v>
      </c>
      <c r="CN101" s="446">
        <f>IF($E101=0,0,IF(MIN(CN$38,$E101)&lt;MAX($P$34*($B101+$I$38-1),IF(AND($L$37=0,$P$34=0),"",$L$37-1)),0,YEARFRAC(MAX($P$34*($B101+$I$38-1),IF(AND($L$37=0,$P$34=0),"",$L$37-1)),MIN(CN$38,$E101),$P$20))-SUM($BF101:CM101))</f>
        <v>0</v>
      </c>
      <c r="CO101" s="446">
        <f>IF($E101=0,0,IF(MIN(CO$38,$E101)&lt;MAX($P$34*($B101+$I$38-1),IF(AND($L$37=0,$P$34=0),"",$L$37-1)),0,YEARFRAC(MAX($P$34*($B101+$I$38-1),IF(AND($L$37=0,$P$34=0),"",$L$37-1)),MIN(CO$38,$E101),$P$20))-SUM($BF101:CN101))</f>
        <v>0</v>
      </c>
      <c r="CP101" s="446">
        <f>IF($E101=0,0,IF(MIN(CP$38,$E101)&lt;MAX($P$34*($B101+$I$38-1),IF(AND($L$37=0,$P$34=0),"",$L$37-1)),0,YEARFRAC(MAX($P$34*($B101+$I$38-1),IF(AND($L$37=0,$P$34=0),"",$L$37-1)),MIN(CP$38,$E101),$P$20))-SUM($BF101:CO101))</f>
        <v>0</v>
      </c>
      <c r="CQ101" s="446">
        <f>IF($E101=0,0,IF(MIN(CQ$38,$E101)&lt;MAX($P$34*($B101+$I$38-1),IF(AND($L$37=0,$P$34=0),"",$L$37-1)),0,YEARFRAC(MAX($P$34*($B101+$I$38-1),IF(AND($L$37=0,$P$34=0),"",$L$37-1)),MIN(CQ$38,$E101),$P$20))-SUM($BF101:CP101))</f>
        <v>0</v>
      </c>
    </row>
    <row r="102" spans="1:95" s="446" customFormat="1" ht="11.25" hidden="1" customHeight="1" x14ac:dyDescent="0.2">
      <c r="A102" s="152"/>
      <c r="B102" s="153" t="str">
        <f t="shared" si="15"/>
        <v/>
      </c>
      <c r="C102" s="29" t="str">
        <f>IF(B102="","",IF($L$35="SELIC - TRIBUTOS",VLOOKUP(DATE(YEAR($D$19),MONTH($D$19)-1,1),ÍNDICES!$A:$DE,HLOOKUP($BL$25,ÍNDICES!$B$3:$T$4,2)+11)-VLOOKUP(B102,ÍNDICES!$A:$DE,HLOOKUP($BL$25,ÍNDICES!$B$3:$T$4,2)+11)+1%,IF(C$38=$W$26,$J$35,IF(ISERROR(IF(B102&gt;$D$19,1,VLOOKUP(DATE(YEAR(B102),MONTH(B102)+IF($C$35=$S$23,1,0),1),ÍNDICES!$A:$DE,$Z$35+1))),"",IF(B102&gt;$D$19,1,VLOOKUP(DATE(YEAR(B102),MONTH(B102)+IF($C$35=$S$23,1,0),1),ÍNDICES!$A:$DE,$Z$35+1))))))</f>
        <v/>
      </c>
      <c r="D102" s="154" t="str">
        <f>IF(ISERROR(IF(OR($D$38=$Y$27,$B102=""),"",VLOOKUP(B102,ÍNDICES!A:DE,AF$35+1))),"",IF(OR($D$38=$Y$27,$B102=""),"",VLOOKUP(B102,ÍNDICES!A:DE,AF$35+1)))</f>
        <v/>
      </c>
      <c r="E102" s="153"/>
      <c r="F102" s="29" t="str">
        <f>IF(E102="","",IF($L$35="SELIC - TRIBUTOS",VLOOKUP(DATE(YEAR($D$19),MONTH($D$19)-1,1),ÍNDICES!$A:$DE,HLOOKUP($BL$25,ÍNDICES!$B$3:$T$4,2)+11)-VLOOKUP(E102,ÍNDICES!$A:$DE,HLOOKUP($BL$25,ÍNDICES!$B$3:$T$4,2)+11)+1%,IF(F$38=$W$26,$J$35,IF(ISERROR(IF(E102&gt;$D$19,1,VLOOKUP(DATE(YEAR(E102),MONTH(E102)+IF($C$35=$S$23,1,0),1),ÍNDICES!$A:$DE,$Z$35+1))),"",IF(E102&gt;$D$19,1,VLOOKUP(DATE(YEAR(E102),MONTH(E102)+IF($C$35=$S$23,1,0),1),ÍNDICES!$A:$DE,$Z$35+1))))))</f>
        <v/>
      </c>
      <c r="G102" s="155"/>
      <c r="H102" s="156" t="str">
        <f t="shared" si="11"/>
        <v/>
      </c>
      <c r="I102" s="29" t="str">
        <f t="shared" si="5"/>
        <v/>
      </c>
      <c r="J102" s="5">
        <f t="shared" si="6"/>
        <v>0</v>
      </c>
      <c r="K102" s="20">
        <f t="shared" ca="1" si="7"/>
        <v>0</v>
      </c>
      <c r="L102" s="5">
        <f t="shared" ca="1" si="8"/>
        <v>0</v>
      </c>
      <c r="M102" s="64">
        <f t="shared" si="12"/>
        <v>0</v>
      </c>
      <c r="N102" s="61">
        <f t="shared" ca="1" si="13"/>
        <v>0</v>
      </c>
      <c r="O102" s="5">
        <f t="shared" ca="1" si="14"/>
        <v>0</v>
      </c>
      <c r="P102" s="446" t="e">
        <f t="shared" si="9"/>
        <v>#VALUE!</v>
      </c>
      <c r="Q102" s="446" t="e">
        <f>IF(OR($B102="",MIN(Q$38,$D$19)&lt;MAX($P$34*($B102+IF($R$17="Distrato",$I$38-1,0)),IF(AND($L$37=0,$P$34=0),"",$L$37-1),IF($R$17="Distrato",$E102,0))),0,YEARFRAC(MAX($P$34*($B102+IF($R$17="Distrato",$I$38-1,0)),IF(AND($L$37=0,$P$34=0),"",$L$37-1),IF($R$17="Distrato",$E102,0)),MIN(Q$38,$D$19),$P$20))-SUM($P102:P102)</f>
        <v>#VALUE!</v>
      </c>
      <c r="R102" s="446" t="e">
        <f>IF(OR($B102="",MIN(R$38,$D$19)&lt;MAX($P$34*($B102+IF($R$17="Distrato",$I$38-1,0)),IF(AND($L$37=0,$P$34=0),"",$L$37-1),IF($R$17="Distrato",$E102,0))),0,YEARFRAC(MAX($P$34*($B102+IF($R$17="Distrato",$I$38-1,0)),IF(AND($L$37=0,$P$34=0),"",$L$37-1),IF($R$17="Distrato",$E102,0)),MIN(R$38,$D$19),$P$20))-SUM($P102:Q102)</f>
        <v>#VALUE!</v>
      </c>
      <c r="S102" s="446" t="e">
        <f>IF(OR($B102="",MIN(S$38,$D$19)&lt;MAX($P$34*($B102+IF($R$17="Distrato",$I$38-1,0)),IF(AND($L$37=0,$P$34=0),"",$L$37-1),IF($R$17="Distrato",$E102,0))),0,YEARFRAC(MAX($P$34*($B102+IF($R$17="Distrato",$I$38-1,0)),IF(AND($L$37=0,$P$34=0),"",$L$37-1),IF($R$17="Distrato",$E102,0)),MIN(S$38,$D$19),$P$20))-SUM($P102:R102)</f>
        <v>#VALUE!</v>
      </c>
      <c r="T102" s="446" t="e">
        <f>IF(OR($B102="",MIN(T$38,$D$19)&lt;MAX($P$34*($B102+IF($R$17="Distrato",$I$38-1,0)),IF(AND($L$37=0,$P$34=0),"",$L$37-1),IF($R$17="Distrato",$E102,0))),0,YEARFRAC(MAX($P$34*($B102+IF($R$17="Distrato",$I$38-1,0)),IF(AND($L$37=0,$P$34=0),"",$L$37-1),IF($R$17="Distrato",$E102,0)),MIN(T$38,$D$19),$P$20))-SUM($P102:S102)</f>
        <v>#VALUE!</v>
      </c>
      <c r="U102" s="446" t="e">
        <f>IF(OR($B102="",MIN(U$38,$D$19)&lt;MAX($P$34*($B102+IF($R$17="Distrato",$I$38-1,0)),IF(AND($L$37=0,$P$34=0),"",$L$37-1),IF($R$17="Distrato",$E102,0))),0,YEARFRAC(MAX($P$34*($B102+IF($R$17="Distrato",$I$38-1,0)),IF(AND($L$37=0,$P$34=0),"",$L$37-1),IF($R$17="Distrato",$E102,0)),MIN(U$38,$D$19),$P$20))-SUM($P102:T102)</f>
        <v>#VALUE!</v>
      </c>
      <c r="V102" s="446" t="e">
        <f>IF(OR($B102="",MIN(V$38,$D$19)&lt;MAX($P$34*($B102+IF($R$17="Distrato",$I$38-1,0)),IF(AND($L$37=0,$P$34=0),"",$L$37-1),IF($R$17="Distrato",$E102,0))),0,YEARFRAC(MAX($P$34*($B102+IF($R$17="Distrato",$I$38-1,0)),IF(AND($L$37=0,$P$34=0),"",$L$37-1),IF($R$17="Distrato",$E102,0)),MIN(V$38,$D$19),$P$20))-SUM($P102:U102)</f>
        <v>#VALUE!</v>
      </c>
      <c r="W102" s="446" t="e">
        <f>IF(OR($B102="",MIN(W$38,$D$19)&lt;MAX($P$34*($B102+IF($R$17="Distrato",$I$38-1,0)),IF(AND($L$37=0,$P$34=0),"",$L$37-1),IF($R$17="Distrato",$E102,0))),0,YEARFRAC(MAX($P$34*($B102+IF($R$17="Distrato",$I$38-1,0)),IF(AND($L$37=0,$P$34=0),"",$L$37-1),IF($R$17="Distrato",$E102,0)),MIN(W$38,$D$19),$P$20))-SUM($P102:V102)</f>
        <v>#VALUE!</v>
      </c>
      <c r="X102" s="446" t="e">
        <f>IF(OR($B102="",MIN(X$38,$D$19)&lt;MAX($P$34*($B102+IF($R$17="Distrato",$I$38-1,0)),IF(AND($L$37=0,$P$34=0),"",$L$37-1),IF($R$17="Distrato",$E102,0))),0,YEARFRAC(MAX($P$34*($B102+IF($R$17="Distrato",$I$38-1,0)),IF(AND($L$37=0,$P$34=0),"",$L$37-1),IF($R$17="Distrato",$E102,0)),MIN(X$38,$D$19),$P$20))-SUM($P102:W102)</f>
        <v>#VALUE!</v>
      </c>
      <c r="Y102" s="446" t="e">
        <f>IF(OR($B102="",MIN(Y$38,$D$19)&lt;MAX($P$34*($B102+IF($R$17="Distrato",$I$38-1,0)),IF(AND($L$37=0,$P$34=0),"",$L$37-1),IF($R$17="Distrato",$E102,0))),0,YEARFRAC(MAX($P$34*($B102+IF($R$17="Distrato",$I$38-1,0)),IF(AND($L$37=0,$P$34=0),"",$L$37-1),IF($R$17="Distrato",$E102,0)),MIN(Y$38,$D$19),$P$20))-SUM($P102:X102)</f>
        <v>#VALUE!</v>
      </c>
      <c r="Z102" s="446" t="e">
        <f>IF(OR($B102="",MIN(Z$38,$D$19)&lt;MAX($P$34*($B102+IF($R$17="Distrato",$I$38-1,0)),IF(AND($L$37=0,$P$34=0),"",$L$37-1),IF($R$17="Distrato",$E102,0))),0,YEARFRAC(MAX($P$34*($B102+IF($R$17="Distrato",$I$38-1,0)),IF(AND($L$37=0,$P$34=0),"",$L$37-1),IF($R$17="Distrato",$E102,0)),MIN(Z$38,$D$19),$P$20))-SUM($P102:Y102)</f>
        <v>#VALUE!</v>
      </c>
      <c r="AA102" s="446" t="e">
        <f>IF(OR($B102="",MIN(AA$38,$D$19)&lt;MAX($P$34*($B102+IF($R$17="Distrato",$I$38-1,0)),IF(AND($L$37=0,$P$34=0),"",$L$37-1),IF($R$17="Distrato",$E102,0))),0,YEARFRAC(MAX($P$34*($B102+IF($R$17="Distrato",$I$38-1,0)),IF(AND($L$37=0,$P$34=0),"",$L$37-1),IF($R$17="Distrato",$E102,0)),MIN(AA$38,$D$19),$P$20))-SUM($P102:Z102)</f>
        <v>#VALUE!</v>
      </c>
      <c r="AB102" s="446" t="e">
        <f>IF(OR($B102="",MIN(AB$38,$D$19)&lt;MAX($P$34*($B102+IF($R$17="Distrato",$I$38-1,0)),IF(AND($L$37=0,$P$34=0),"",$L$37-1),IF($R$17="Distrato",$E102,0))),0,YEARFRAC(MAX($P$34*($B102+IF($R$17="Distrato",$I$38-1,0)),IF(AND($L$37=0,$P$34=0),"",$L$37-1),IF($R$17="Distrato",$E102,0)),MIN(AB$38,$D$19),$P$20))-SUM($P102:AA102)</f>
        <v>#VALUE!</v>
      </c>
      <c r="AC102" s="446" t="e">
        <f>IF(OR($B102="",MIN(AC$38,$D$19)&lt;MAX($P$34*($B102+IF($R$17="Distrato",$I$38-1,0)),IF(AND($L$37=0,$P$34=0),"",$L$37-1),IF($R$17="Distrato",$E102,0))),0,YEARFRAC(MAX($P$34*($B102+IF($R$17="Distrato",$I$38-1,0)),IF(AND($L$37=0,$P$34=0),"",$L$37-1),IF($R$17="Distrato",$E102,0)),MIN(AC$38,$D$19),$P$20))-SUM($P102:AB102)</f>
        <v>#VALUE!</v>
      </c>
      <c r="AD102" s="446" t="e">
        <f>IF(OR($B102="",MIN(AD$38,$D$19)&lt;MAX($P$34*($B102+IF($R$17="Distrato",$I$38-1,0)),IF(AND($L$37=0,$P$34=0),"",$L$37-1),IF($R$17="Distrato",$E102,0))),0,YEARFRAC(MAX($P$34*($B102+IF($R$17="Distrato",$I$38-1,0)),IF(AND($L$37=0,$P$34=0),"",$L$37-1),IF($R$17="Distrato",$E102,0)),MIN(AD$38,$D$19),$P$20))-SUM($P102:AC102)</f>
        <v>#VALUE!</v>
      </c>
      <c r="AE102" s="446" t="e">
        <f>IF(OR($B102="",MIN(AE$38,$D$19)&lt;MAX($P$34*($B102+IF($R$17="Distrato",$I$38-1,0)),IF(AND($L$37=0,$P$34=0),"",$L$37-1),IF($R$17="Distrato",$E102,0))),0,YEARFRAC(MAX($P$34*($B102+IF($R$17="Distrato",$I$38-1,0)),IF(AND($L$37=0,$P$34=0),"",$L$37-1),IF($R$17="Distrato",$E102,0)),MIN(AE$38,$D$19),$P$20))-SUM($P102:AD102)</f>
        <v>#VALUE!</v>
      </c>
      <c r="AF102" s="446" t="e">
        <f>IF(OR($B102="",MIN(AF$38,$D$19)&lt;MAX($P$34*($B102+IF($R$17="Distrato",$I$38-1,0)),IF(AND($L$37=0,$P$34=0),"",$L$37-1),IF($R$17="Distrato",$E102,0))),0,YEARFRAC(MAX($P$34*($B102+IF($R$17="Distrato",$I$38-1,0)),IF(AND($L$37=0,$P$34=0),"",$L$37-1),IF($R$17="Distrato",$E102,0)),MIN(AF$38,$D$19),$P$20))-SUM($P102:AE102)</f>
        <v>#VALUE!</v>
      </c>
      <c r="AG102" s="446" t="e">
        <f>IF(OR($B102="",MIN(AG$38,$D$19)&lt;MAX($P$34*($B102+IF($R$17="Distrato",$I$38-1,0)),IF(AND($L$37=0,$P$34=0),"",$L$37-1),IF($R$17="Distrato",$E102,0))),0,YEARFRAC(MAX($P$34*($B102+IF($R$17="Distrato",$I$38-1,0)),IF(AND($L$37=0,$P$34=0),"",$L$37-1),IF($R$17="Distrato",$E102,0)),MIN(AG$38,$D$19),$P$20))-SUM($P102:AF102)</f>
        <v>#VALUE!</v>
      </c>
      <c r="AH102" s="446" t="e">
        <f>IF(OR($B102="",MIN(AH$38,$D$19)&lt;MAX($P$34*($B102+IF($R$17="Distrato",$I$38-1,0)),IF(AND($L$37=0,$P$34=0),"",$L$37-1),IF($R$17="Distrato",$E102,0))),0,YEARFRAC(MAX($P$34*($B102+IF($R$17="Distrato",$I$38-1,0)),IF(AND($L$37=0,$P$34=0),"",$L$37-1),IF($R$17="Distrato",$E102,0)),MIN(AH$38,$D$19),$P$20))-SUM($P102:AG102)</f>
        <v>#VALUE!</v>
      </c>
      <c r="AI102" s="446" t="e">
        <f>IF(OR($B102="",MIN(AI$38,$D$19)&lt;MAX($P$34*($B102+IF($R$17="Distrato",$I$38-1,0)),IF(AND($L$37=0,$P$34=0),"",$L$37-1),IF($R$17="Distrato",$E102,0))),0,YEARFRAC(MAX($P$34*($B102+IF($R$17="Distrato",$I$38-1,0)),IF(AND($L$37=0,$P$34=0),"",$L$37-1),IF($R$17="Distrato",$E102,0)),MIN(AI$38,$D$19),$P$20))-SUM($P102:AH102)</f>
        <v>#VALUE!</v>
      </c>
      <c r="AJ102" s="446" t="e">
        <f>IF(OR($B102="",MIN(AJ$38,$D$19)&lt;MAX($P$34*($B102+IF($R$17="Distrato",$I$38-1,0)),IF(AND($L$37=0,$P$34=0),"",$L$37-1),IF($R$17="Distrato",$E102,0))),0,YEARFRAC(MAX($P$34*($B102+IF($R$17="Distrato",$I$38-1,0)),IF(AND($L$37=0,$P$34=0),"",$L$37-1),IF($R$17="Distrato",$E102,0)),MIN(AJ$38,$D$19),$P$20))-SUM($P102:AI102)</f>
        <v>#VALUE!</v>
      </c>
      <c r="AK102" s="446" t="e">
        <f>IF(OR($B102="",MIN(AK$38,$D$19)&lt;MAX($P$34*($B102+IF($R$17="Distrato",$I$38-1,0)),IF(AND($L$37=0,$P$34=0),"",$L$37-1),IF($R$17="Distrato",$E102,0))),0,YEARFRAC(MAX($P$34*($B102+IF($R$17="Distrato",$I$38-1,0)),IF(AND($L$37=0,$P$34=0),"",$L$37-1),IF($R$17="Distrato",$E102,0)),MIN(AK$38,$D$19),$P$20))-SUM($P102:AJ102)</f>
        <v>#VALUE!</v>
      </c>
      <c r="AL102" s="446" t="e">
        <f>IF(OR($B102="",MIN(AL$38,$D$19)&lt;MAX($P$34*($B102+IF($R$17="Distrato",$I$38-1,0)),IF(AND($L$37=0,$P$34=0),"",$L$37-1),IF($R$17="Distrato",$E102,0))),0,YEARFRAC(MAX($P$34*($B102+IF($R$17="Distrato",$I$38-1,0)),IF(AND($L$37=0,$P$34=0),"",$L$37-1),IF($R$17="Distrato",$E102,0)),MIN(AL$38,$D$19),$P$20))-SUM($P102:AK102)</f>
        <v>#VALUE!</v>
      </c>
      <c r="AM102" s="446" t="e">
        <f>IF(OR($B102="",MIN(AM$38,$D$19)&lt;MAX($P$34*($B102+IF($R$17="Distrato",$I$38-1,0)),IF(AND($L$37=0,$P$34=0),"",$L$37-1),IF($R$17="Distrato",$E102,0))),0,YEARFRAC(MAX($P$34*($B102+IF($R$17="Distrato",$I$38-1,0)),IF(AND($L$37=0,$P$34=0),"",$L$37-1),IF($R$17="Distrato",$E102,0)),MIN(AM$38,$D$19),$P$20))-SUM($P102:AL102)</f>
        <v>#VALUE!</v>
      </c>
      <c r="AN102" s="446" t="e">
        <f>IF(OR($B102="",MIN(AN$38,$D$19)&lt;MAX($P$34*($B102+IF($R$17="Distrato",$I$38-1,0)),IF(AND($L$37=0,$P$34=0),"",$L$37-1),IF($R$17="Distrato",$E102,0))),0,YEARFRAC(MAX($P$34*($B102+IF($R$17="Distrato",$I$38-1,0)),IF(AND($L$37=0,$P$34=0),"",$L$37-1),IF($R$17="Distrato",$E102,0)),MIN(AN$38,$D$19),$P$20))-SUM($P102:AM102)</f>
        <v>#VALUE!</v>
      </c>
      <c r="AO102" s="446" t="e">
        <f>IF(OR($B102="",MIN(AO$38,$D$19)&lt;MAX($P$34*($B102+IF($R$17="Distrato",$I$38-1,0)),IF(AND($L$37=0,$P$34=0),"",$L$37-1),IF($R$17="Distrato",$E102,0))),0,YEARFRAC(MAX($P$34*($B102+IF($R$17="Distrato",$I$38-1,0)),IF(AND($L$37=0,$P$34=0),"",$L$37-1),IF($R$17="Distrato",$E102,0)),MIN(AO$38,$D$19),$P$20))-SUM($P102:AN102)</f>
        <v>#VALUE!</v>
      </c>
      <c r="AP102" s="446" t="e">
        <f>IF(OR($B102="",MIN(AP$38,$D$19)&lt;MAX($P$34*($B102+IF($R$17="Distrato",$I$38-1,0)),IF(AND($L$37=0,$P$34=0),"",$L$37-1),IF($R$17="Distrato",$E102,0))),0,YEARFRAC(MAX($P$34*($B102+IF($R$17="Distrato",$I$38-1,0)),IF(AND($L$37=0,$P$34=0),"",$L$37-1),IF($R$17="Distrato",$E102,0)),MIN(AP$38,$D$19),$P$20))-SUM($P102:AO102)</f>
        <v>#VALUE!</v>
      </c>
      <c r="AQ102" s="446" t="e">
        <f>IF(OR($B102="",MIN(AQ$38,$D$19)&lt;MAX($P$34*($B102+IF($R$17="Distrato",$I$38-1,0)),IF(AND($L$37=0,$P$34=0),"",$L$37-1),IF($R$17="Distrato",$E102,0))),0,YEARFRAC(MAX($P$34*($B102+IF($R$17="Distrato",$I$38-1,0)),IF(AND($L$37=0,$P$34=0),"",$L$37-1),IF($R$17="Distrato",$E102,0)),MIN(AQ$38,$D$19),$P$20))-SUM($P102:AP102)</f>
        <v>#VALUE!</v>
      </c>
      <c r="AR102" s="446" t="e">
        <f>IF(OR($B102="",MIN(AR$38,$D$19)&lt;MAX($P$34*($B102+IF($R$17="Distrato",$I$38-1,0)),IF(AND($L$37=0,$P$34=0),"",$L$37-1),IF($R$17="Distrato",$E102,0))),0,YEARFRAC(MAX($P$34*($B102+IF($R$17="Distrato",$I$38-1,0)),IF(AND($L$37=0,$P$34=0),"",$L$37-1),IF($R$17="Distrato",$E102,0)),MIN(AR$38,$D$19),$P$20))-SUM($P102:AQ102)</f>
        <v>#VALUE!</v>
      </c>
      <c r="AS102" s="446" t="e">
        <f>IF(OR($B102="",MIN(AS$38,$D$19)&lt;MAX($P$34*($B102+IF($R$17="Distrato",$I$38-1,0)),IF(AND($L$37=0,$P$34=0),"",$L$37-1),IF($R$17="Distrato",$E102,0))),0,YEARFRAC(MAX($P$34*($B102+IF($R$17="Distrato",$I$38-1,0)),IF(AND($L$37=0,$P$34=0),"",$L$37-1),IF($R$17="Distrato",$E102,0)),MIN(AS$38,$D$19),$P$20))-SUM($P102:AR102)</f>
        <v>#VALUE!</v>
      </c>
      <c r="AT102" s="446" t="e">
        <f>IF(OR($B102="",MIN(AT$38,$D$19)&lt;MAX($P$34*($B102+IF($R$17="Distrato",$I$38-1,0)),IF(AND($L$37=0,$P$34=0),"",$L$37-1),IF($R$17="Distrato",$E102,0))),0,YEARFRAC(MAX($P$34*($B102+IF($R$17="Distrato",$I$38-1,0)),IF(AND($L$37=0,$P$34=0),"",$L$37-1),IF($R$17="Distrato",$E102,0)),MIN(AT$38,$D$19),$P$20))-SUM($P102:AS102)</f>
        <v>#VALUE!</v>
      </c>
      <c r="AU102" s="446" t="e">
        <f>IF(OR($B102="",MIN(AU$38,$D$19)&lt;MAX($P$34*($B102+IF($R$17="Distrato",$I$38-1,0)),IF(AND($L$37=0,$P$34=0),"",$L$37-1),IF($R$17="Distrato",$E102,0))),0,YEARFRAC(MAX($P$34*($B102+IF($R$17="Distrato",$I$38-1,0)),IF(AND($L$37=0,$P$34=0),"",$L$37-1),IF($R$17="Distrato",$E102,0)),MIN(AU$38,$D$19),$P$20))-SUM($P102:AT102)</f>
        <v>#VALUE!</v>
      </c>
      <c r="AV102" s="446" t="e">
        <f>IF(OR($B102="",MIN(AV$38,$D$19)&lt;MAX($P$34*($B102+IF($R$17="Distrato",$I$38-1,0)),IF(AND($L$37=0,$P$34=0),"",$L$37-1),IF($R$17="Distrato",$E102,0))),0,YEARFRAC(MAX($P$34*($B102+IF($R$17="Distrato",$I$38-1,0)),IF(AND($L$37=0,$P$34=0),"",$L$37-1),IF($R$17="Distrato",$E102,0)),MIN(AV$38,$D$19),$P$20))-SUM($P102:AU102)</f>
        <v>#VALUE!</v>
      </c>
      <c r="AW102" s="446" t="e">
        <f>IF(OR($B102="",MIN(AW$38,$D$19)&lt;MAX($P$34*($B102+IF($R$17="Distrato",$I$38-1,0)),IF(AND($L$37=0,$P$34=0),"",$L$37-1),IF($R$17="Distrato",$E102,0))),0,YEARFRAC(MAX($P$34*($B102+IF($R$17="Distrato",$I$38-1,0)),IF(AND($L$37=0,$P$34=0),"",$L$37-1),IF($R$17="Distrato",$E102,0)),MIN(AW$38,$D$19),$P$20))-SUM($P102:AV102)</f>
        <v>#VALUE!</v>
      </c>
      <c r="AX102" s="446" t="e">
        <f>IF(OR($B102="",MIN(AX$38,$D$19)&lt;MAX($P$34*($B102+IF($R$17="Distrato",$I$38-1,0)),IF(AND($L$37=0,$P$34=0),"",$L$37-1),IF($R$17="Distrato",$E102,0))),0,YEARFRAC(MAX($P$34*($B102+IF($R$17="Distrato",$I$38-1,0)),IF(AND($L$37=0,$P$34=0),"",$L$37-1),IF($R$17="Distrato",$E102,0)),MIN(AX$38,$D$19),$P$20))-SUM($P102:AW102)</f>
        <v>#VALUE!</v>
      </c>
      <c r="AY102" s="446" t="e">
        <f>IF(OR($B102="",MIN(AY$38,$D$19)&lt;MAX($P$34*($B102+IF($R$17="Distrato",$I$38-1,0)),IF(AND($L$37=0,$P$34=0),"",$L$37-1),IF($R$17="Distrato",$E102,0))),0,YEARFRAC(MAX($P$34*($B102+IF($R$17="Distrato",$I$38-1,0)),IF(AND($L$37=0,$P$34=0),"",$L$37-1),IF($R$17="Distrato",$E102,0)),MIN(AY$38,$D$19),$P$20))-SUM($P102:AX102)</f>
        <v>#VALUE!</v>
      </c>
      <c r="AZ102" s="446" t="e">
        <f>IF(OR($B102="",MIN(AZ$38,$D$19)&lt;MAX($P$34*($B102+IF($R$17="Distrato",$I$38-1,0)),IF(AND($L$37=0,$P$34=0),"",$L$37-1),IF($R$17="Distrato",$E102,0))),0,YEARFRAC(MAX($P$34*($B102+IF($R$17="Distrato",$I$38-1,0)),IF(AND($L$37=0,$P$34=0),"",$L$37-1),IF($R$17="Distrato",$E102,0)),MIN(AZ$38,$D$19),$P$20))-SUM($P102:AY102)</f>
        <v>#VALUE!</v>
      </c>
      <c r="BA102" s="446" t="e">
        <f>IF(OR($B102="",MIN(BA$38,$D$19)&lt;MAX($P$34*($B102+IF($R$17="Distrato",$I$38-1,0)),IF(AND($L$37=0,$P$34=0),"",$L$37-1),IF($R$17="Distrato",$E102,0))),0,YEARFRAC(MAX($P$34*($B102+IF($R$17="Distrato",$I$38-1,0)),IF(AND($L$37=0,$P$34=0),"",$L$37-1),IF($R$17="Distrato",$E102,0)),MIN(BA$38,$D$19),$P$20))-SUM($P102:AZ102)</f>
        <v>#VALUE!</v>
      </c>
      <c r="BB102" s="447"/>
      <c r="BF102" s="446">
        <f t="shared" si="10"/>
        <v>0</v>
      </c>
      <c r="BG102" s="446">
        <f>IF($E102=0,0,IF(MIN(BG$38,$E102)&lt;MAX($P$34*($B102+$I$38-1),IF(AND($L$37=0,$P$34=0),"",$L$37-1)),0,YEARFRAC(MAX($P$34*($B102+$I$38-1),IF(AND($L$37=0,$P$34=0),"",$L$37-1)),MIN(BG$38,$E102),$P$20))-SUM($BF102:BF102))</f>
        <v>0</v>
      </c>
      <c r="BH102" s="446">
        <f>IF($E102=0,0,IF(MIN(BH$38,$E102)&lt;MAX($P$34*($B102+$I$38-1),IF(AND($L$37=0,$P$34=0),"",$L$37-1)),0,YEARFRAC(MAX($P$34*($B102+$I$38-1),IF(AND($L$37=0,$P$34=0),"",$L$37-1)),MIN(BH$38,$E102),$P$20))-SUM($BF102:BG102))</f>
        <v>0</v>
      </c>
      <c r="BI102" s="446">
        <f>IF($E102=0,0,IF(MIN(BI$38,$E102)&lt;MAX($P$34*($B102+$I$38-1),IF(AND($L$37=0,$P$34=0),"",$L$37-1)),0,YEARFRAC(MAX($P$34*($B102+$I$38-1),IF(AND($L$37=0,$P$34=0),"",$L$37-1)),MIN(BI$38,$E102),$P$20))-SUM($BF102:BH102))</f>
        <v>0</v>
      </c>
      <c r="BJ102" s="446">
        <f>IF($E102=0,0,IF(MIN(BJ$38,$E102)&lt;MAX($P$34*($B102+$I$38-1),IF(AND($L$37=0,$P$34=0),"",$L$37-1)),0,YEARFRAC(MAX($P$34*($B102+$I$38-1),IF(AND($L$37=0,$P$34=0),"",$L$37-1)),MIN(BJ$38,$E102),$P$20))-SUM($BF102:BI102))</f>
        <v>0</v>
      </c>
      <c r="BK102" s="446">
        <f>IF($E102=0,0,IF(MIN(BK$38,$E102)&lt;MAX($P$34*($B102+$I$38-1),IF(AND($L$37=0,$P$34=0),"",$L$37-1)),0,YEARFRAC(MAX($P$34*($B102+$I$38-1),IF(AND($L$37=0,$P$34=0),"",$L$37-1)),MIN(BK$38,$E102),$P$20))-SUM($BF102:BJ102))</f>
        <v>0</v>
      </c>
      <c r="BL102" s="446">
        <f>IF($E102=0,0,IF(MIN(BL$38,$E102)&lt;MAX($P$34*($B102+$I$38-1),IF(AND($L$37=0,$P$34=0),"",$L$37-1)),0,YEARFRAC(MAX($P$34*($B102+$I$38-1),IF(AND($L$37=0,$P$34=0),"",$L$37-1)),MIN(BL$38,$E102),$P$20))-SUM($BF102:BK102))</f>
        <v>0</v>
      </c>
      <c r="BM102" s="446">
        <f>IF($E102=0,0,IF(MIN(BM$38,$E102)&lt;MAX($P$34*($B102+$I$38-1),IF(AND($L$37=0,$P$34=0),"",$L$37-1)),0,YEARFRAC(MAX($P$34*($B102+$I$38-1),IF(AND($L$37=0,$P$34=0),"",$L$37-1)),MIN(BM$38,$E102),$P$20))-SUM($BF102:BL102))</f>
        <v>0</v>
      </c>
      <c r="BN102" s="446">
        <f>IF($E102=0,0,IF(MIN(BN$38,$E102)&lt;MAX($P$34*($B102+$I$38-1),IF(AND($L$37=0,$P$34=0),"",$L$37-1)),0,YEARFRAC(MAX($P$34*($B102+$I$38-1),IF(AND($L$37=0,$P$34=0),"",$L$37-1)),MIN(BN$38,$E102),$P$20))-SUM($BF102:BM102))</f>
        <v>0</v>
      </c>
      <c r="BO102" s="446">
        <f>IF($E102=0,0,IF(MIN(BO$38,$E102)&lt;MAX($P$34*($B102+$I$38-1),IF(AND($L$37=0,$P$34=0),"",$L$37-1)),0,YEARFRAC(MAX($P$34*($B102+$I$38-1),IF(AND($L$37=0,$P$34=0),"",$L$37-1)),MIN(BO$38,$E102),$P$20))-SUM($BF102:BN102))</f>
        <v>0</v>
      </c>
      <c r="BP102" s="446">
        <f>IF($E102=0,0,IF(MIN(BP$38,$E102)&lt;MAX($P$34*($B102+$I$38-1),IF(AND($L$37=0,$P$34=0),"",$L$37-1)),0,YEARFRAC(MAX($P$34*($B102+$I$38-1),IF(AND($L$37=0,$P$34=0),"",$L$37-1)),MIN(BP$38,$E102),$P$20))-SUM($BF102:BO102))</f>
        <v>0</v>
      </c>
      <c r="BQ102" s="446">
        <f>IF($E102=0,0,IF(MIN(BQ$38,$E102)&lt;MAX($P$34*($B102+$I$38-1),IF(AND($L$37=0,$P$34=0),"",$L$37-1)),0,YEARFRAC(MAX($P$34*($B102+$I$38-1),IF(AND($L$37=0,$P$34=0),"",$L$37-1)),MIN(BQ$38,$E102),$P$20))-SUM($BF102:BP102))</f>
        <v>0</v>
      </c>
      <c r="BR102" s="446">
        <f>IF($E102=0,0,IF(MIN(BR$38,$E102)&lt;MAX($P$34*($B102+$I$38-1),IF(AND($L$37=0,$P$34=0),"",$L$37-1)),0,YEARFRAC(MAX($P$34*($B102+$I$38-1),IF(AND($L$37=0,$P$34=0),"",$L$37-1)),MIN(BR$38,$E102),$P$20))-SUM($BF102:BQ102))</f>
        <v>0</v>
      </c>
      <c r="BS102" s="446">
        <f>IF($E102=0,0,IF(MIN(BS$38,$E102)&lt;MAX($P$34*($B102+$I$38-1),IF(AND($L$37=0,$P$34=0),"",$L$37-1)),0,YEARFRAC(MAX($P$34*($B102+$I$38-1),IF(AND($L$37=0,$P$34=0),"",$L$37-1)),MIN(BS$38,$E102),$P$20))-SUM($BF102:BR102))</f>
        <v>0</v>
      </c>
      <c r="BT102" s="446">
        <f>IF($E102=0,0,IF(MIN(BT$38,$E102)&lt;MAX($P$34*($B102+$I$38-1),IF(AND($L$37=0,$P$34=0),"",$L$37-1)),0,YEARFRAC(MAX($P$34*($B102+$I$38-1),IF(AND($L$37=0,$P$34=0),"",$L$37-1)),MIN(BT$38,$E102),$P$20))-SUM($BF102:BS102))</f>
        <v>0</v>
      </c>
      <c r="BU102" s="446">
        <f>IF($E102=0,0,IF(MIN(BU$38,$E102)&lt;MAX($P$34*($B102+$I$38-1),IF(AND($L$37=0,$P$34=0),"",$L$37-1)),0,YEARFRAC(MAX($P$34*($B102+$I$38-1),IF(AND($L$37=0,$P$34=0),"",$L$37-1)),MIN(BU$38,$E102),$P$20))-SUM($BF102:BT102))</f>
        <v>0</v>
      </c>
      <c r="BV102" s="446">
        <f>IF($E102=0,0,IF(MIN(BV$38,$E102)&lt;MAX($P$34*($B102+$I$38-1),IF(AND($L$37=0,$P$34=0),"",$L$37-1)),0,YEARFRAC(MAX($P$34*($B102+$I$38-1),IF(AND($L$37=0,$P$34=0),"",$L$37-1)),MIN(BV$38,$E102),$P$20))-SUM($BF102:BU102))</f>
        <v>0</v>
      </c>
      <c r="BW102" s="446">
        <f>IF($E102=0,0,IF(MIN(BW$38,$E102)&lt;MAX($P$34*($B102+$I$38-1),IF(AND($L$37=0,$P$34=0),"",$L$37-1)),0,YEARFRAC(MAX($P$34*($B102+$I$38-1),IF(AND($L$37=0,$P$34=0),"",$L$37-1)),MIN(BW$38,$E102),$P$20))-SUM($BF102:BV102))</f>
        <v>0</v>
      </c>
      <c r="BX102" s="446">
        <f>IF($E102=0,0,IF(MIN(BX$38,$E102)&lt;MAX($P$34*($B102+$I$38-1),IF(AND($L$37=0,$P$34=0),"",$L$37-1)),0,YEARFRAC(MAX($P$34*($B102+$I$38-1),IF(AND($L$37=0,$P$34=0),"",$L$37-1)),MIN(BX$38,$E102),$P$20))-SUM($BF102:BW102))</f>
        <v>0</v>
      </c>
      <c r="BY102" s="446">
        <f>IF($E102=0,0,IF(MIN(BY$38,$E102)&lt;MAX($P$34*($B102+$I$38-1),IF(AND($L$37=0,$P$34=0),"",$L$37-1)),0,YEARFRAC(MAX($P$34*($B102+$I$38-1),IF(AND($L$37=0,$P$34=0),"",$L$37-1)),MIN(BY$38,$E102),$P$20))-SUM($BF102:BX102))</f>
        <v>0</v>
      </c>
      <c r="BZ102" s="446">
        <f>IF($E102=0,0,IF(MIN(BZ$38,$E102)&lt;MAX($P$34*($B102+$I$38-1),IF(AND($L$37=0,$P$34=0),"",$L$37-1)),0,YEARFRAC(MAX($P$34*($B102+$I$38-1),IF(AND($L$37=0,$P$34=0),"",$L$37-1)),MIN(BZ$38,$E102),$P$20))-SUM($BF102:BY102))</f>
        <v>0</v>
      </c>
      <c r="CA102" s="446">
        <f>IF($E102=0,0,IF(MIN(CA$38,$E102)&lt;MAX($P$34*($B102+$I$38-1),IF(AND($L$37=0,$P$34=0),"",$L$37-1)),0,YEARFRAC(MAX($P$34*($B102+$I$38-1),IF(AND($L$37=0,$P$34=0),"",$L$37-1)),MIN(CA$38,$E102),$P$20))-SUM($BF102:BZ102))</f>
        <v>0</v>
      </c>
      <c r="CB102" s="446">
        <f>IF($E102=0,0,IF(MIN(CB$38,$E102)&lt;MAX($P$34*($B102+$I$38-1),IF(AND($L$37=0,$P$34=0),"",$L$37-1)),0,YEARFRAC(MAX($P$34*($B102+$I$38-1),IF(AND($L$37=0,$P$34=0),"",$L$37-1)),MIN(CB$38,$E102),$P$20))-SUM($BF102:CA102))</f>
        <v>0</v>
      </c>
      <c r="CC102" s="446">
        <f>IF($E102=0,0,IF(MIN(CC$38,$E102)&lt;MAX($P$34*($B102+$I$38-1),IF(AND($L$37=0,$P$34=0),"",$L$37-1)),0,YEARFRAC(MAX($P$34*($B102+$I$38-1),IF(AND($L$37=0,$P$34=0),"",$L$37-1)),MIN(CC$38,$E102),$P$20))-SUM($BF102:CB102))</f>
        <v>0</v>
      </c>
      <c r="CD102" s="446">
        <f>IF($E102=0,0,IF(MIN(CD$38,$E102)&lt;MAX($P$34*($B102+$I$38-1),IF(AND($L$37=0,$P$34=0),"",$L$37-1)),0,YEARFRAC(MAX($P$34*($B102+$I$38-1),IF(AND($L$37=0,$P$34=0),"",$L$37-1)),MIN(CD$38,$E102),$P$20))-SUM($BF102:CC102))</f>
        <v>0</v>
      </c>
      <c r="CE102" s="446">
        <f>IF($E102=0,0,IF(MIN(CE$38,$E102)&lt;MAX($P$34*($B102+$I$38-1),IF(AND($L$37=0,$P$34=0),"",$L$37-1)),0,YEARFRAC(MAX($P$34*($B102+$I$38-1),IF(AND($L$37=0,$P$34=0),"",$L$37-1)),MIN(CE$38,$E102),$P$20))-SUM($BF102:CD102))</f>
        <v>0</v>
      </c>
      <c r="CF102" s="446">
        <f>IF($E102=0,0,IF(MIN(CF$38,$E102)&lt;MAX($P$34*($B102+$I$38-1),IF(AND($L$37=0,$P$34=0),"",$L$37-1)),0,YEARFRAC(MAX($P$34*($B102+$I$38-1),IF(AND($L$37=0,$P$34=0),"",$L$37-1)),MIN(CF$38,$E102),$P$20))-SUM($BF102:CE102))</f>
        <v>0</v>
      </c>
      <c r="CG102" s="446">
        <f>IF($E102=0,0,IF(MIN(CG$38,$E102)&lt;MAX($P$34*($B102+$I$38-1),IF(AND($L$37=0,$P$34=0),"",$L$37-1)),0,YEARFRAC(MAX($P$34*($B102+$I$38-1),IF(AND($L$37=0,$P$34=0),"",$L$37-1)),MIN(CG$38,$E102),$P$20))-SUM($BF102:CF102))</f>
        <v>0</v>
      </c>
      <c r="CH102" s="446">
        <f>IF($E102=0,0,IF(MIN(CH$38,$E102)&lt;MAX($P$34*($B102+$I$38-1),IF(AND($L$37=0,$P$34=0),"",$L$37-1)),0,YEARFRAC(MAX($P$34*($B102+$I$38-1),IF(AND($L$37=0,$P$34=0),"",$L$37-1)),MIN(CH$38,$E102),$P$20))-SUM($BF102:CG102))</f>
        <v>0</v>
      </c>
      <c r="CI102" s="446">
        <f>IF($E102=0,0,IF(MIN(CI$38,$E102)&lt;MAX($P$34*($B102+$I$38-1),IF(AND($L$37=0,$P$34=0),"",$L$37-1)),0,YEARFRAC(MAX($P$34*($B102+$I$38-1),IF(AND($L$37=0,$P$34=0),"",$L$37-1)),MIN(CI$38,$E102),$P$20))-SUM($BF102:CH102))</f>
        <v>0</v>
      </c>
      <c r="CJ102" s="446">
        <f>IF($E102=0,0,IF(MIN(CJ$38,$E102)&lt;MAX($P$34*($B102+$I$38-1),IF(AND($L$37=0,$P$34=0),"",$L$37-1)),0,YEARFRAC(MAX($P$34*($B102+$I$38-1),IF(AND($L$37=0,$P$34=0),"",$L$37-1)),MIN(CJ$38,$E102),$P$20))-SUM($BF102:CI102))</f>
        <v>0</v>
      </c>
      <c r="CK102" s="446">
        <f>IF($E102=0,0,IF(MIN(CK$38,$E102)&lt;MAX($P$34*($B102+$I$38-1),IF(AND($L$37=0,$P$34=0),"",$L$37-1)),0,YEARFRAC(MAX($P$34*($B102+$I$38-1),IF(AND($L$37=0,$P$34=0),"",$L$37-1)),MIN(CK$38,$E102),$P$20))-SUM($BF102:CJ102))</f>
        <v>0</v>
      </c>
      <c r="CL102" s="446">
        <f>IF($E102=0,0,IF(MIN(CL$38,$E102)&lt;MAX($P$34*($B102+$I$38-1),IF(AND($L$37=0,$P$34=0),"",$L$37-1)),0,YEARFRAC(MAX($P$34*($B102+$I$38-1),IF(AND($L$37=0,$P$34=0),"",$L$37-1)),MIN(CL$38,$E102),$P$20))-SUM($BF102:CK102))</f>
        <v>0</v>
      </c>
      <c r="CM102" s="446">
        <f>IF($E102=0,0,IF(MIN(CM$38,$E102)&lt;MAX($P$34*($B102+$I$38-1),IF(AND($L$37=0,$P$34=0),"",$L$37-1)),0,YEARFRAC(MAX($P$34*($B102+$I$38-1),IF(AND($L$37=0,$P$34=0),"",$L$37-1)),MIN(CM$38,$E102),$P$20))-SUM($BF102:CL102))</f>
        <v>0</v>
      </c>
      <c r="CN102" s="446">
        <f>IF($E102=0,0,IF(MIN(CN$38,$E102)&lt;MAX($P$34*($B102+$I$38-1),IF(AND($L$37=0,$P$34=0),"",$L$37-1)),0,YEARFRAC(MAX($P$34*($B102+$I$38-1),IF(AND($L$37=0,$P$34=0),"",$L$37-1)),MIN(CN$38,$E102),$P$20))-SUM($BF102:CM102))</f>
        <v>0</v>
      </c>
      <c r="CO102" s="446">
        <f>IF($E102=0,0,IF(MIN(CO$38,$E102)&lt;MAX($P$34*($B102+$I$38-1),IF(AND($L$37=0,$P$34=0),"",$L$37-1)),0,YEARFRAC(MAX($P$34*($B102+$I$38-1),IF(AND($L$37=0,$P$34=0),"",$L$37-1)),MIN(CO$38,$E102),$P$20))-SUM($BF102:CN102))</f>
        <v>0</v>
      </c>
      <c r="CP102" s="446">
        <f>IF($E102=0,0,IF(MIN(CP$38,$E102)&lt;MAX($P$34*($B102+$I$38-1),IF(AND($L$37=0,$P$34=0),"",$L$37-1)),0,YEARFRAC(MAX($P$34*($B102+$I$38-1),IF(AND($L$37=0,$P$34=0),"",$L$37-1)),MIN(CP$38,$E102),$P$20))-SUM($BF102:CO102))</f>
        <v>0</v>
      </c>
      <c r="CQ102" s="446">
        <f>IF($E102=0,0,IF(MIN(CQ$38,$E102)&lt;MAX($P$34*($B102+$I$38-1),IF(AND($L$37=0,$P$34=0),"",$L$37-1)),0,YEARFRAC(MAX($P$34*($B102+$I$38-1),IF(AND($L$37=0,$P$34=0),"",$L$37-1)),MIN(CQ$38,$E102),$P$20))-SUM($BF102:CP102))</f>
        <v>0</v>
      </c>
    </row>
    <row r="103" spans="1:95" s="446" customFormat="1" ht="11.25" hidden="1" customHeight="1" x14ac:dyDescent="0.2">
      <c r="A103" s="152"/>
      <c r="B103" s="153" t="str">
        <f t="shared" si="15"/>
        <v/>
      </c>
      <c r="C103" s="29" t="str">
        <f>IF(B103="","",IF($L$35="SELIC - TRIBUTOS",VLOOKUP(DATE(YEAR($D$19),MONTH($D$19)-1,1),ÍNDICES!$A:$DE,HLOOKUP($BL$25,ÍNDICES!$B$3:$T$4,2)+11)-VLOOKUP(B103,ÍNDICES!$A:$DE,HLOOKUP($BL$25,ÍNDICES!$B$3:$T$4,2)+11)+1%,IF(C$38=$W$26,$J$35,IF(ISERROR(IF(B103&gt;$D$19,1,VLOOKUP(DATE(YEAR(B103),MONTH(B103)+IF($C$35=$S$23,1,0),1),ÍNDICES!$A:$DE,$Z$35+1))),"",IF(B103&gt;$D$19,1,VLOOKUP(DATE(YEAR(B103),MONTH(B103)+IF($C$35=$S$23,1,0),1),ÍNDICES!$A:$DE,$Z$35+1))))))</f>
        <v/>
      </c>
      <c r="D103" s="154" t="str">
        <f>IF(ISERROR(IF(OR($D$38=$Y$27,$B103=""),"",VLOOKUP(B103,ÍNDICES!A:DE,AF$35+1))),"",IF(OR($D$38=$Y$27,$B103=""),"",VLOOKUP(B103,ÍNDICES!A:DE,AF$35+1)))</f>
        <v/>
      </c>
      <c r="E103" s="153"/>
      <c r="F103" s="29" t="str">
        <f>IF(E103="","",IF($L$35="SELIC - TRIBUTOS",VLOOKUP(DATE(YEAR($D$19),MONTH($D$19)-1,1),ÍNDICES!$A:$DE,HLOOKUP($BL$25,ÍNDICES!$B$3:$T$4,2)+11)-VLOOKUP(E103,ÍNDICES!$A:$DE,HLOOKUP($BL$25,ÍNDICES!$B$3:$T$4,2)+11)+1%,IF(F$38=$W$26,$J$35,IF(ISERROR(IF(E103&gt;$D$19,1,VLOOKUP(DATE(YEAR(E103),MONTH(E103)+IF($C$35=$S$23,1,0),1),ÍNDICES!$A:$DE,$Z$35+1))),"",IF(E103&gt;$D$19,1,VLOOKUP(DATE(YEAR(E103),MONTH(E103)+IF($C$35=$S$23,1,0),1),ÍNDICES!$A:$DE,$Z$35+1))))))</f>
        <v/>
      </c>
      <c r="G103" s="155"/>
      <c r="H103" s="156" t="str">
        <f t="shared" si="11"/>
        <v/>
      </c>
      <c r="I103" s="29" t="str">
        <f t="shared" si="5"/>
        <v/>
      </c>
      <c r="J103" s="5">
        <f t="shared" si="6"/>
        <v>0</v>
      </c>
      <c r="K103" s="20">
        <f t="shared" ca="1" si="7"/>
        <v>0</v>
      </c>
      <c r="L103" s="5">
        <f t="shared" ca="1" si="8"/>
        <v>0</v>
      </c>
      <c r="M103" s="64">
        <f t="shared" si="12"/>
        <v>0</v>
      </c>
      <c r="N103" s="61">
        <f t="shared" ca="1" si="13"/>
        <v>0</v>
      </c>
      <c r="O103" s="5">
        <f t="shared" ca="1" si="14"/>
        <v>0</v>
      </c>
      <c r="P103" s="446" t="e">
        <f t="shared" si="9"/>
        <v>#VALUE!</v>
      </c>
      <c r="Q103" s="446" t="e">
        <f>IF(OR($B103="",MIN(Q$38,$D$19)&lt;MAX($P$34*($B103+IF($R$17="Distrato",$I$38-1,0)),IF(AND($L$37=0,$P$34=0),"",$L$37-1),IF($R$17="Distrato",$E103,0))),0,YEARFRAC(MAX($P$34*($B103+IF($R$17="Distrato",$I$38-1,0)),IF(AND($L$37=0,$P$34=0),"",$L$37-1),IF($R$17="Distrato",$E103,0)),MIN(Q$38,$D$19),$P$20))-SUM($P103:P103)</f>
        <v>#VALUE!</v>
      </c>
      <c r="R103" s="446" t="e">
        <f>IF(OR($B103="",MIN(R$38,$D$19)&lt;MAX($P$34*($B103+IF($R$17="Distrato",$I$38-1,0)),IF(AND($L$37=0,$P$34=0),"",$L$37-1),IF($R$17="Distrato",$E103,0))),0,YEARFRAC(MAX($P$34*($B103+IF($R$17="Distrato",$I$38-1,0)),IF(AND($L$37=0,$P$34=0),"",$L$37-1),IF($R$17="Distrato",$E103,0)),MIN(R$38,$D$19),$P$20))-SUM($P103:Q103)</f>
        <v>#VALUE!</v>
      </c>
      <c r="S103" s="446" t="e">
        <f>IF(OR($B103="",MIN(S$38,$D$19)&lt;MAX($P$34*($B103+IF($R$17="Distrato",$I$38-1,0)),IF(AND($L$37=0,$P$34=0),"",$L$37-1),IF($R$17="Distrato",$E103,0))),0,YEARFRAC(MAX($P$34*($B103+IF($R$17="Distrato",$I$38-1,0)),IF(AND($L$37=0,$P$34=0),"",$L$37-1),IF($R$17="Distrato",$E103,0)),MIN(S$38,$D$19),$P$20))-SUM($P103:R103)</f>
        <v>#VALUE!</v>
      </c>
      <c r="T103" s="446" t="e">
        <f>IF(OR($B103="",MIN(T$38,$D$19)&lt;MAX($P$34*($B103+IF($R$17="Distrato",$I$38-1,0)),IF(AND($L$37=0,$P$34=0),"",$L$37-1),IF($R$17="Distrato",$E103,0))),0,YEARFRAC(MAX($P$34*($B103+IF($R$17="Distrato",$I$38-1,0)),IF(AND($L$37=0,$P$34=0),"",$L$37-1),IF($R$17="Distrato",$E103,0)),MIN(T$38,$D$19),$P$20))-SUM($P103:S103)</f>
        <v>#VALUE!</v>
      </c>
      <c r="U103" s="446" t="e">
        <f>IF(OR($B103="",MIN(U$38,$D$19)&lt;MAX($P$34*($B103+IF($R$17="Distrato",$I$38-1,0)),IF(AND($L$37=0,$P$34=0),"",$L$37-1),IF($R$17="Distrato",$E103,0))),0,YEARFRAC(MAX($P$34*($B103+IF($R$17="Distrato",$I$38-1,0)),IF(AND($L$37=0,$P$34=0),"",$L$37-1),IF($R$17="Distrato",$E103,0)),MIN(U$38,$D$19),$P$20))-SUM($P103:T103)</f>
        <v>#VALUE!</v>
      </c>
      <c r="V103" s="446" t="e">
        <f>IF(OR($B103="",MIN(V$38,$D$19)&lt;MAX($P$34*($B103+IF($R$17="Distrato",$I$38-1,0)),IF(AND($L$37=0,$P$34=0),"",$L$37-1),IF($R$17="Distrato",$E103,0))),0,YEARFRAC(MAX($P$34*($B103+IF($R$17="Distrato",$I$38-1,0)),IF(AND($L$37=0,$P$34=0),"",$L$37-1),IF($R$17="Distrato",$E103,0)),MIN(V$38,$D$19),$P$20))-SUM($P103:U103)</f>
        <v>#VALUE!</v>
      </c>
      <c r="W103" s="446" t="e">
        <f>IF(OR($B103="",MIN(W$38,$D$19)&lt;MAX($P$34*($B103+IF($R$17="Distrato",$I$38-1,0)),IF(AND($L$37=0,$P$34=0),"",$L$37-1),IF($R$17="Distrato",$E103,0))),0,YEARFRAC(MAX($P$34*($B103+IF($R$17="Distrato",$I$38-1,0)),IF(AND($L$37=0,$P$34=0),"",$L$37-1),IF($R$17="Distrato",$E103,0)),MIN(W$38,$D$19),$P$20))-SUM($P103:V103)</f>
        <v>#VALUE!</v>
      </c>
      <c r="X103" s="446" t="e">
        <f>IF(OR($B103="",MIN(X$38,$D$19)&lt;MAX($P$34*($B103+IF($R$17="Distrato",$I$38-1,0)),IF(AND($L$37=0,$P$34=0),"",$L$37-1),IF($R$17="Distrato",$E103,0))),0,YEARFRAC(MAX($P$34*($B103+IF($R$17="Distrato",$I$38-1,0)),IF(AND($L$37=0,$P$34=0),"",$L$37-1),IF($R$17="Distrato",$E103,0)),MIN(X$38,$D$19),$P$20))-SUM($P103:W103)</f>
        <v>#VALUE!</v>
      </c>
      <c r="Y103" s="446" t="e">
        <f>IF(OR($B103="",MIN(Y$38,$D$19)&lt;MAX($P$34*($B103+IF($R$17="Distrato",$I$38-1,0)),IF(AND($L$37=0,$P$34=0),"",$L$37-1),IF($R$17="Distrato",$E103,0))),0,YEARFRAC(MAX($P$34*($B103+IF($R$17="Distrato",$I$38-1,0)),IF(AND($L$37=0,$P$34=0),"",$L$37-1),IF($R$17="Distrato",$E103,0)),MIN(Y$38,$D$19),$P$20))-SUM($P103:X103)</f>
        <v>#VALUE!</v>
      </c>
      <c r="Z103" s="446" t="e">
        <f>IF(OR($B103="",MIN(Z$38,$D$19)&lt;MAX($P$34*($B103+IF($R$17="Distrato",$I$38-1,0)),IF(AND($L$37=0,$P$34=0),"",$L$37-1),IF($R$17="Distrato",$E103,0))),0,YEARFRAC(MAX($P$34*($B103+IF($R$17="Distrato",$I$38-1,0)),IF(AND($L$37=0,$P$34=0),"",$L$37-1),IF($R$17="Distrato",$E103,0)),MIN(Z$38,$D$19),$P$20))-SUM($P103:Y103)</f>
        <v>#VALUE!</v>
      </c>
      <c r="AA103" s="446" t="e">
        <f>IF(OR($B103="",MIN(AA$38,$D$19)&lt;MAX($P$34*($B103+IF($R$17="Distrato",$I$38-1,0)),IF(AND($L$37=0,$P$34=0),"",$L$37-1),IF($R$17="Distrato",$E103,0))),0,YEARFRAC(MAX($P$34*($B103+IF($R$17="Distrato",$I$38-1,0)),IF(AND($L$37=0,$P$34=0),"",$L$37-1),IF($R$17="Distrato",$E103,0)),MIN(AA$38,$D$19),$P$20))-SUM($P103:Z103)</f>
        <v>#VALUE!</v>
      </c>
      <c r="AB103" s="446" t="e">
        <f>IF(OR($B103="",MIN(AB$38,$D$19)&lt;MAX($P$34*($B103+IF($R$17="Distrato",$I$38-1,0)),IF(AND($L$37=0,$P$34=0),"",$L$37-1),IF($R$17="Distrato",$E103,0))),0,YEARFRAC(MAX($P$34*($B103+IF($R$17="Distrato",$I$38-1,0)),IF(AND($L$37=0,$P$34=0),"",$L$37-1),IF($R$17="Distrato",$E103,0)),MIN(AB$38,$D$19),$P$20))-SUM($P103:AA103)</f>
        <v>#VALUE!</v>
      </c>
      <c r="AC103" s="446" t="e">
        <f>IF(OR($B103="",MIN(AC$38,$D$19)&lt;MAX($P$34*($B103+IF($R$17="Distrato",$I$38-1,0)),IF(AND($L$37=0,$P$34=0),"",$L$37-1),IF($R$17="Distrato",$E103,0))),0,YEARFRAC(MAX($P$34*($B103+IF($R$17="Distrato",$I$38-1,0)),IF(AND($L$37=0,$P$34=0),"",$L$37-1),IF($R$17="Distrato",$E103,0)),MIN(AC$38,$D$19),$P$20))-SUM($P103:AB103)</f>
        <v>#VALUE!</v>
      </c>
      <c r="AD103" s="446" t="e">
        <f>IF(OR($B103="",MIN(AD$38,$D$19)&lt;MAX($P$34*($B103+IF($R$17="Distrato",$I$38-1,0)),IF(AND($L$37=0,$P$34=0),"",$L$37-1),IF($R$17="Distrato",$E103,0))),0,YEARFRAC(MAX($P$34*($B103+IF($R$17="Distrato",$I$38-1,0)),IF(AND($L$37=0,$P$34=0),"",$L$37-1),IF($R$17="Distrato",$E103,0)),MIN(AD$38,$D$19),$P$20))-SUM($P103:AC103)</f>
        <v>#VALUE!</v>
      </c>
      <c r="AE103" s="446" t="e">
        <f>IF(OR($B103="",MIN(AE$38,$D$19)&lt;MAX($P$34*($B103+IF($R$17="Distrato",$I$38-1,0)),IF(AND($L$37=0,$P$34=0),"",$L$37-1),IF($R$17="Distrato",$E103,0))),0,YEARFRAC(MAX($P$34*($B103+IF($R$17="Distrato",$I$38-1,0)),IF(AND($L$37=0,$P$34=0),"",$L$37-1),IF($R$17="Distrato",$E103,0)),MIN(AE$38,$D$19),$P$20))-SUM($P103:AD103)</f>
        <v>#VALUE!</v>
      </c>
      <c r="AF103" s="446" t="e">
        <f>IF(OR($B103="",MIN(AF$38,$D$19)&lt;MAX($P$34*($B103+IF($R$17="Distrato",$I$38-1,0)),IF(AND($L$37=0,$P$34=0),"",$L$37-1),IF($R$17="Distrato",$E103,0))),0,YEARFRAC(MAX($P$34*($B103+IF($R$17="Distrato",$I$38-1,0)),IF(AND($L$37=0,$P$34=0),"",$L$37-1),IF($R$17="Distrato",$E103,0)),MIN(AF$38,$D$19),$P$20))-SUM($P103:AE103)</f>
        <v>#VALUE!</v>
      </c>
      <c r="AG103" s="446" t="e">
        <f>IF(OR($B103="",MIN(AG$38,$D$19)&lt;MAX($P$34*($B103+IF($R$17="Distrato",$I$38-1,0)),IF(AND($L$37=0,$P$34=0),"",$L$37-1),IF($R$17="Distrato",$E103,0))),0,YEARFRAC(MAX($P$34*($B103+IF($R$17="Distrato",$I$38-1,0)),IF(AND($L$37=0,$P$34=0),"",$L$37-1),IF($R$17="Distrato",$E103,0)),MIN(AG$38,$D$19),$P$20))-SUM($P103:AF103)</f>
        <v>#VALUE!</v>
      </c>
      <c r="AH103" s="446" t="e">
        <f>IF(OR($B103="",MIN(AH$38,$D$19)&lt;MAX($P$34*($B103+IF($R$17="Distrato",$I$38-1,0)),IF(AND($L$37=0,$P$34=0),"",$L$37-1),IF($R$17="Distrato",$E103,0))),0,YEARFRAC(MAX($P$34*($B103+IF($R$17="Distrato",$I$38-1,0)),IF(AND($L$37=0,$P$34=0),"",$L$37-1),IF($R$17="Distrato",$E103,0)),MIN(AH$38,$D$19),$P$20))-SUM($P103:AG103)</f>
        <v>#VALUE!</v>
      </c>
      <c r="AI103" s="446" t="e">
        <f>IF(OR($B103="",MIN(AI$38,$D$19)&lt;MAX($P$34*($B103+IF($R$17="Distrato",$I$38-1,0)),IF(AND($L$37=0,$P$34=0),"",$L$37-1),IF($R$17="Distrato",$E103,0))),0,YEARFRAC(MAX($P$34*($B103+IF($R$17="Distrato",$I$38-1,0)),IF(AND($L$37=0,$P$34=0),"",$L$37-1),IF($R$17="Distrato",$E103,0)),MIN(AI$38,$D$19),$P$20))-SUM($P103:AH103)</f>
        <v>#VALUE!</v>
      </c>
      <c r="AJ103" s="446" t="e">
        <f>IF(OR($B103="",MIN(AJ$38,$D$19)&lt;MAX($P$34*($B103+IF($R$17="Distrato",$I$38-1,0)),IF(AND($L$37=0,$P$34=0),"",$L$37-1),IF($R$17="Distrato",$E103,0))),0,YEARFRAC(MAX($P$34*($B103+IF($R$17="Distrato",$I$38-1,0)),IF(AND($L$37=0,$P$34=0),"",$L$37-1),IF($R$17="Distrato",$E103,0)),MIN(AJ$38,$D$19),$P$20))-SUM($P103:AI103)</f>
        <v>#VALUE!</v>
      </c>
      <c r="AK103" s="446" t="e">
        <f>IF(OR($B103="",MIN(AK$38,$D$19)&lt;MAX($P$34*($B103+IF($R$17="Distrato",$I$38-1,0)),IF(AND($L$37=0,$P$34=0),"",$L$37-1),IF($R$17="Distrato",$E103,0))),0,YEARFRAC(MAX($P$34*($B103+IF($R$17="Distrato",$I$38-1,0)),IF(AND($L$37=0,$P$34=0),"",$L$37-1),IF($R$17="Distrato",$E103,0)),MIN(AK$38,$D$19),$P$20))-SUM($P103:AJ103)</f>
        <v>#VALUE!</v>
      </c>
      <c r="AL103" s="446" t="e">
        <f>IF(OR($B103="",MIN(AL$38,$D$19)&lt;MAX($P$34*($B103+IF($R$17="Distrato",$I$38-1,0)),IF(AND($L$37=0,$P$34=0),"",$L$37-1),IF($R$17="Distrato",$E103,0))),0,YEARFRAC(MAX($P$34*($B103+IF($R$17="Distrato",$I$38-1,0)),IF(AND($L$37=0,$P$34=0),"",$L$37-1),IF($R$17="Distrato",$E103,0)),MIN(AL$38,$D$19),$P$20))-SUM($P103:AK103)</f>
        <v>#VALUE!</v>
      </c>
      <c r="AM103" s="446" t="e">
        <f>IF(OR($B103="",MIN(AM$38,$D$19)&lt;MAX($P$34*($B103+IF($R$17="Distrato",$I$38-1,0)),IF(AND($L$37=0,$P$34=0),"",$L$37-1),IF($R$17="Distrato",$E103,0))),0,YEARFRAC(MAX($P$34*($B103+IF($R$17="Distrato",$I$38-1,0)),IF(AND($L$37=0,$P$34=0),"",$L$37-1),IF($R$17="Distrato",$E103,0)),MIN(AM$38,$D$19),$P$20))-SUM($P103:AL103)</f>
        <v>#VALUE!</v>
      </c>
      <c r="AN103" s="446" t="e">
        <f>IF(OR($B103="",MIN(AN$38,$D$19)&lt;MAX($P$34*($B103+IF($R$17="Distrato",$I$38-1,0)),IF(AND($L$37=0,$P$34=0),"",$L$37-1),IF($R$17="Distrato",$E103,0))),0,YEARFRAC(MAX($P$34*($B103+IF($R$17="Distrato",$I$38-1,0)),IF(AND($L$37=0,$P$34=0),"",$L$37-1),IF($R$17="Distrato",$E103,0)),MIN(AN$38,$D$19),$P$20))-SUM($P103:AM103)</f>
        <v>#VALUE!</v>
      </c>
      <c r="AO103" s="446" t="e">
        <f>IF(OR($B103="",MIN(AO$38,$D$19)&lt;MAX($P$34*($B103+IF($R$17="Distrato",$I$38-1,0)),IF(AND($L$37=0,$P$34=0),"",$L$37-1),IF($R$17="Distrato",$E103,0))),0,YEARFRAC(MAX($P$34*($B103+IF($R$17="Distrato",$I$38-1,0)),IF(AND($L$37=0,$P$34=0),"",$L$37-1),IF($R$17="Distrato",$E103,0)),MIN(AO$38,$D$19),$P$20))-SUM($P103:AN103)</f>
        <v>#VALUE!</v>
      </c>
      <c r="AP103" s="446" t="e">
        <f>IF(OR($B103="",MIN(AP$38,$D$19)&lt;MAX($P$34*($B103+IF($R$17="Distrato",$I$38-1,0)),IF(AND($L$37=0,$P$34=0),"",$L$37-1),IF($R$17="Distrato",$E103,0))),0,YEARFRAC(MAX($P$34*($B103+IF($R$17="Distrato",$I$38-1,0)),IF(AND($L$37=0,$P$34=0),"",$L$37-1),IF($R$17="Distrato",$E103,0)),MIN(AP$38,$D$19),$P$20))-SUM($P103:AO103)</f>
        <v>#VALUE!</v>
      </c>
      <c r="AQ103" s="446" t="e">
        <f>IF(OR($B103="",MIN(AQ$38,$D$19)&lt;MAX($P$34*($B103+IF($R$17="Distrato",$I$38-1,0)),IF(AND($L$37=0,$P$34=0),"",$L$37-1),IF($R$17="Distrato",$E103,0))),0,YEARFRAC(MAX($P$34*($B103+IF($R$17="Distrato",$I$38-1,0)),IF(AND($L$37=0,$P$34=0),"",$L$37-1),IF($R$17="Distrato",$E103,0)),MIN(AQ$38,$D$19),$P$20))-SUM($P103:AP103)</f>
        <v>#VALUE!</v>
      </c>
      <c r="AR103" s="446" t="e">
        <f>IF(OR($B103="",MIN(AR$38,$D$19)&lt;MAX($P$34*($B103+IF($R$17="Distrato",$I$38-1,0)),IF(AND($L$37=0,$P$34=0),"",$L$37-1),IF($R$17="Distrato",$E103,0))),0,YEARFRAC(MAX($P$34*($B103+IF($R$17="Distrato",$I$38-1,0)),IF(AND($L$37=0,$P$34=0),"",$L$37-1),IF($R$17="Distrato",$E103,0)),MIN(AR$38,$D$19),$P$20))-SUM($P103:AQ103)</f>
        <v>#VALUE!</v>
      </c>
      <c r="AS103" s="446" t="e">
        <f>IF(OR($B103="",MIN(AS$38,$D$19)&lt;MAX($P$34*($B103+IF($R$17="Distrato",$I$38-1,0)),IF(AND($L$37=0,$P$34=0),"",$L$37-1),IF($R$17="Distrato",$E103,0))),0,YEARFRAC(MAX($P$34*($B103+IF($R$17="Distrato",$I$38-1,0)),IF(AND($L$37=0,$P$34=0),"",$L$37-1),IF($R$17="Distrato",$E103,0)),MIN(AS$38,$D$19),$P$20))-SUM($P103:AR103)</f>
        <v>#VALUE!</v>
      </c>
      <c r="AT103" s="446" t="e">
        <f>IF(OR($B103="",MIN(AT$38,$D$19)&lt;MAX($P$34*($B103+IF($R$17="Distrato",$I$38-1,0)),IF(AND($L$37=0,$P$34=0),"",$L$37-1),IF($R$17="Distrato",$E103,0))),0,YEARFRAC(MAX($P$34*($B103+IF($R$17="Distrato",$I$38-1,0)),IF(AND($L$37=0,$P$34=0),"",$L$37-1),IF($R$17="Distrato",$E103,0)),MIN(AT$38,$D$19),$P$20))-SUM($P103:AS103)</f>
        <v>#VALUE!</v>
      </c>
      <c r="AU103" s="446" t="e">
        <f>IF(OR($B103="",MIN(AU$38,$D$19)&lt;MAX($P$34*($B103+IF($R$17="Distrato",$I$38-1,0)),IF(AND($L$37=0,$P$34=0),"",$L$37-1),IF($R$17="Distrato",$E103,0))),0,YEARFRAC(MAX($P$34*($B103+IF($R$17="Distrato",$I$38-1,0)),IF(AND($L$37=0,$P$34=0),"",$L$37-1),IF($R$17="Distrato",$E103,0)),MIN(AU$38,$D$19),$P$20))-SUM($P103:AT103)</f>
        <v>#VALUE!</v>
      </c>
      <c r="AV103" s="446" t="e">
        <f>IF(OR($B103="",MIN(AV$38,$D$19)&lt;MAX($P$34*($B103+IF($R$17="Distrato",$I$38-1,0)),IF(AND($L$37=0,$P$34=0),"",$L$37-1),IF($R$17="Distrato",$E103,0))),0,YEARFRAC(MAX($P$34*($B103+IF($R$17="Distrato",$I$38-1,0)),IF(AND($L$37=0,$P$34=0),"",$L$37-1),IF($R$17="Distrato",$E103,0)),MIN(AV$38,$D$19),$P$20))-SUM($P103:AU103)</f>
        <v>#VALUE!</v>
      </c>
      <c r="AW103" s="446" t="e">
        <f>IF(OR($B103="",MIN(AW$38,$D$19)&lt;MAX($P$34*($B103+IF($R$17="Distrato",$I$38-1,0)),IF(AND($L$37=0,$P$34=0),"",$L$37-1),IF($R$17="Distrato",$E103,0))),0,YEARFRAC(MAX($P$34*($B103+IF($R$17="Distrato",$I$38-1,0)),IF(AND($L$37=0,$P$34=0),"",$L$37-1),IF($R$17="Distrato",$E103,0)),MIN(AW$38,$D$19),$P$20))-SUM($P103:AV103)</f>
        <v>#VALUE!</v>
      </c>
      <c r="AX103" s="446" t="e">
        <f>IF(OR($B103="",MIN(AX$38,$D$19)&lt;MAX($P$34*($B103+IF($R$17="Distrato",$I$38-1,0)),IF(AND($L$37=0,$P$34=0),"",$L$37-1),IF($R$17="Distrato",$E103,0))),0,YEARFRAC(MAX($P$34*($B103+IF($R$17="Distrato",$I$38-1,0)),IF(AND($L$37=0,$P$34=0),"",$L$37-1),IF($R$17="Distrato",$E103,0)),MIN(AX$38,$D$19),$P$20))-SUM($P103:AW103)</f>
        <v>#VALUE!</v>
      </c>
      <c r="AY103" s="446" t="e">
        <f>IF(OR($B103="",MIN(AY$38,$D$19)&lt;MAX($P$34*($B103+IF($R$17="Distrato",$I$38-1,0)),IF(AND($L$37=0,$P$34=0),"",$L$37-1),IF($R$17="Distrato",$E103,0))),0,YEARFRAC(MAX($P$34*($B103+IF($R$17="Distrato",$I$38-1,0)),IF(AND($L$37=0,$P$34=0),"",$L$37-1),IF($R$17="Distrato",$E103,0)),MIN(AY$38,$D$19),$P$20))-SUM($P103:AX103)</f>
        <v>#VALUE!</v>
      </c>
      <c r="AZ103" s="446" t="e">
        <f>IF(OR($B103="",MIN(AZ$38,$D$19)&lt;MAX($P$34*($B103+IF($R$17="Distrato",$I$38-1,0)),IF(AND($L$37=0,$P$34=0),"",$L$37-1),IF($R$17="Distrato",$E103,0))),0,YEARFRAC(MAX($P$34*($B103+IF($R$17="Distrato",$I$38-1,0)),IF(AND($L$37=0,$P$34=0),"",$L$37-1),IF($R$17="Distrato",$E103,0)),MIN(AZ$38,$D$19),$P$20))-SUM($P103:AY103)</f>
        <v>#VALUE!</v>
      </c>
      <c r="BA103" s="446" t="e">
        <f>IF(OR($B103="",MIN(BA$38,$D$19)&lt;MAX($P$34*($B103+IF($R$17="Distrato",$I$38-1,0)),IF(AND($L$37=0,$P$34=0),"",$L$37-1),IF($R$17="Distrato",$E103,0))),0,YEARFRAC(MAX($P$34*($B103+IF($R$17="Distrato",$I$38-1,0)),IF(AND($L$37=0,$P$34=0),"",$L$37-1),IF($R$17="Distrato",$E103,0)),MIN(BA$38,$D$19),$P$20))-SUM($P103:AZ103)</f>
        <v>#VALUE!</v>
      </c>
      <c r="BB103" s="447"/>
      <c r="BF103" s="446">
        <f t="shared" si="10"/>
        <v>0</v>
      </c>
      <c r="BG103" s="446">
        <f>IF($E103=0,0,IF(MIN(BG$38,$E103)&lt;MAX($P$34*($B103+$I$38-1),IF(AND($L$37=0,$P$34=0),"",$L$37-1)),0,YEARFRAC(MAX($P$34*($B103+$I$38-1),IF(AND($L$37=0,$P$34=0),"",$L$37-1)),MIN(BG$38,$E103),$P$20))-SUM($BF103:BF103))</f>
        <v>0</v>
      </c>
      <c r="BH103" s="446">
        <f>IF($E103=0,0,IF(MIN(BH$38,$E103)&lt;MAX($P$34*($B103+$I$38-1),IF(AND($L$37=0,$P$34=0),"",$L$37-1)),0,YEARFRAC(MAX($P$34*($B103+$I$38-1),IF(AND($L$37=0,$P$34=0),"",$L$37-1)),MIN(BH$38,$E103),$P$20))-SUM($BF103:BG103))</f>
        <v>0</v>
      </c>
      <c r="BI103" s="446">
        <f>IF($E103=0,0,IF(MIN(BI$38,$E103)&lt;MAX($P$34*($B103+$I$38-1),IF(AND($L$37=0,$P$34=0),"",$L$37-1)),0,YEARFRAC(MAX($P$34*($B103+$I$38-1),IF(AND($L$37=0,$P$34=0),"",$L$37-1)),MIN(BI$38,$E103),$P$20))-SUM($BF103:BH103))</f>
        <v>0</v>
      </c>
      <c r="BJ103" s="446">
        <f>IF($E103=0,0,IF(MIN(BJ$38,$E103)&lt;MAX($P$34*($B103+$I$38-1),IF(AND($L$37=0,$P$34=0),"",$L$37-1)),0,YEARFRAC(MAX($P$34*($B103+$I$38-1),IF(AND($L$37=0,$P$34=0),"",$L$37-1)),MIN(BJ$38,$E103),$P$20))-SUM($BF103:BI103))</f>
        <v>0</v>
      </c>
      <c r="BK103" s="446">
        <f>IF($E103=0,0,IF(MIN(BK$38,$E103)&lt;MAX($P$34*($B103+$I$38-1),IF(AND($L$37=0,$P$34=0),"",$L$37-1)),0,YEARFRAC(MAX($P$34*($B103+$I$38-1),IF(AND($L$37=0,$P$34=0),"",$L$37-1)),MIN(BK$38,$E103),$P$20))-SUM($BF103:BJ103))</f>
        <v>0</v>
      </c>
      <c r="BL103" s="446">
        <f>IF($E103=0,0,IF(MIN(BL$38,$E103)&lt;MAX($P$34*($B103+$I$38-1),IF(AND($L$37=0,$P$34=0),"",$L$37-1)),0,YEARFRAC(MAX($P$34*($B103+$I$38-1),IF(AND($L$37=0,$P$34=0),"",$L$37-1)),MIN(BL$38,$E103),$P$20))-SUM($BF103:BK103))</f>
        <v>0</v>
      </c>
      <c r="BM103" s="446">
        <f>IF($E103=0,0,IF(MIN(BM$38,$E103)&lt;MAX($P$34*($B103+$I$38-1),IF(AND($L$37=0,$P$34=0),"",$L$37-1)),0,YEARFRAC(MAX($P$34*($B103+$I$38-1),IF(AND($L$37=0,$P$34=0),"",$L$37-1)),MIN(BM$38,$E103),$P$20))-SUM($BF103:BL103))</f>
        <v>0</v>
      </c>
      <c r="BN103" s="446">
        <f>IF($E103=0,0,IF(MIN(BN$38,$E103)&lt;MAX($P$34*($B103+$I$38-1),IF(AND($L$37=0,$P$34=0),"",$L$37-1)),0,YEARFRAC(MAX($P$34*($B103+$I$38-1),IF(AND($L$37=0,$P$34=0),"",$L$37-1)),MIN(BN$38,$E103),$P$20))-SUM($BF103:BM103))</f>
        <v>0</v>
      </c>
      <c r="BO103" s="446">
        <f>IF($E103=0,0,IF(MIN(BO$38,$E103)&lt;MAX($P$34*($B103+$I$38-1),IF(AND($L$37=0,$P$34=0),"",$L$37-1)),0,YEARFRAC(MAX($P$34*($B103+$I$38-1),IF(AND($L$37=0,$P$34=0),"",$L$37-1)),MIN(BO$38,$E103),$P$20))-SUM($BF103:BN103))</f>
        <v>0</v>
      </c>
      <c r="BP103" s="446">
        <f>IF($E103=0,0,IF(MIN(BP$38,$E103)&lt;MAX($P$34*($B103+$I$38-1),IF(AND($L$37=0,$P$34=0),"",$L$37-1)),0,YEARFRAC(MAX($P$34*($B103+$I$38-1),IF(AND($L$37=0,$P$34=0),"",$L$37-1)),MIN(BP$38,$E103),$P$20))-SUM($BF103:BO103))</f>
        <v>0</v>
      </c>
      <c r="BQ103" s="446">
        <f>IF($E103=0,0,IF(MIN(BQ$38,$E103)&lt;MAX($P$34*($B103+$I$38-1),IF(AND($L$37=0,$P$34=0),"",$L$37-1)),0,YEARFRAC(MAX($P$34*($B103+$I$38-1),IF(AND($L$37=0,$P$34=0),"",$L$37-1)),MIN(BQ$38,$E103),$P$20))-SUM($BF103:BP103))</f>
        <v>0</v>
      </c>
      <c r="BR103" s="446">
        <f>IF($E103=0,0,IF(MIN(BR$38,$E103)&lt;MAX($P$34*($B103+$I$38-1),IF(AND($L$37=0,$P$34=0),"",$L$37-1)),0,YEARFRAC(MAX($P$34*($B103+$I$38-1),IF(AND($L$37=0,$P$34=0),"",$L$37-1)),MIN(BR$38,$E103),$P$20))-SUM($BF103:BQ103))</f>
        <v>0</v>
      </c>
      <c r="BS103" s="446">
        <f>IF($E103=0,0,IF(MIN(BS$38,$E103)&lt;MAX($P$34*($B103+$I$38-1),IF(AND($L$37=0,$P$34=0),"",$L$37-1)),0,YEARFRAC(MAX($P$34*($B103+$I$38-1),IF(AND($L$37=0,$P$34=0),"",$L$37-1)),MIN(BS$38,$E103),$P$20))-SUM($BF103:BR103))</f>
        <v>0</v>
      </c>
      <c r="BT103" s="446">
        <f>IF($E103=0,0,IF(MIN(BT$38,$E103)&lt;MAX($P$34*($B103+$I$38-1),IF(AND($L$37=0,$P$34=0),"",$L$37-1)),0,YEARFRAC(MAX($P$34*($B103+$I$38-1),IF(AND($L$37=0,$P$34=0),"",$L$37-1)),MIN(BT$38,$E103),$P$20))-SUM($BF103:BS103))</f>
        <v>0</v>
      </c>
      <c r="BU103" s="446">
        <f>IF($E103=0,0,IF(MIN(BU$38,$E103)&lt;MAX($P$34*($B103+$I$38-1),IF(AND($L$37=0,$P$34=0),"",$L$37-1)),0,YEARFRAC(MAX($P$34*($B103+$I$38-1),IF(AND($L$37=0,$P$34=0),"",$L$37-1)),MIN(BU$38,$E103),$P$20))-SUM($BF103:BT103))</f>
        <v>0</v>
      </c>
      <c r="BV103" s="446">
        <f>IF($E103=0,0,IF(MIN(BV$38,$E103)&lt;MAX($P$34*($B103+$I$38-1),IF(AND($L$37=0,$P$34=0),"",$L$37-1)),0,YEARFRAC(MAX($P$34*($B103+$I$38-1),IF(AND($L$37=0,$P$34=0),"",$L$37-1)),MIN(BV$38,$E103),$P$20))-SUM($BF103:BU103))</f>
        <v>0</v>
      </c>
      <c r="BW103" s="446">
        <f>IF($E103=0,0,IF(MIN(BW$38,$E103)&lt;MAX($P$34*($B103+$I$38-1),IF(AND($L$37=0,$P$34=0),"",$L$37-1)),0,YEARFRAC(MAX($P$34*($B103+$I$38-1),IF(AND($L$37=0,$P$34=0),"",$L$37-1)),MIN(BW$38,$E103),$P$20))-SUM($BF103:BV103))</f>
        <v>0</v>
      </c>
      <c r="BX103" s="446">
        <f>IF($E103=0,0,IF(MIN(BX$38,$E103)&lt;MAX($P$34*($B103+$I$38-1),IF(AND($L$37=0,$P$34=0),"",$L$37-1)),0,YEARFRAC(MAX($P$34*($B103+$I$38-1),IF(AND($L$37=0,$P$34=0),"",$L$37-1)),MIN(BX$38,$E103),$P$20))-SUM($BF103:BW103))</f>
        <v>0</v>
      </c>
      <c r="BY103" s="446">
        <f>IF($E103=0,0,IF(MIN(BY$38,$E103)&lt;MAX($P$34*($B103+$I$38-1),IF(AND($L$37=0,$P$34=0),"",$L$37-1)),0,YEARFRAC(MAX($P$34*($B103+$I$38-1),IF(AND($L$37=0,$P$34=0),"",$L$37-1)),MIN(BY$38,$E103),$P$20))-SUM($BF103:BX103))</f>
        <v>0</v>
      </c>
      <c r="BZ103" s="446">
        <f>IF($E103=0,0,IF(MIN(BZ$38,$E103)&lt;MAX($P$34*($B103+$I$38-1),IF(AND($L$37=0,$P$34=0),"",$L$37-1)),0,YEARFRAC(MAX($P$34*($B103+$I$38-1),IF(AND($L$37=0,$P$34=0),"",$L$37-1)),MIN(BZ$38,$E103),$P$20))-SUM($BF103:BY103))</f>
        <v>0</v>
      </c>
      <c r="CA103" s="446">
        <f>IF($E103=0,0,IF(MIN(CA$38,$E103)&lt;MAX($P$34*($B103+$I$38-1),IF(AND($L$37=0,$P$34=0),"",$L$37-1)),0,YEARFRAC(MAX($P$34*($B103+$I$38-1),IF(AND($L$37=0,$P$34=0),"",$L$37-1)),MIN(CA$38,$E103),$P$20))-SUM($BF103:BZ103))</f>
        <v>0</v>
      </c>
      <c r="CB103" s="446">
        <f>IF($E103=0,0,IF(MIN(CB$38,$E103)&lt;MAX($P$34*($B103+$I$38-1),IF(AND($L$37=0,$P$34=0),"",$L$37-1)),0,YEARFRAC(MAX($P$34*($B103+$I$38-1),IF(AND($L$37=0,$P$34=0),"",$L$37-1)),MIN(CB$38,$E103),$P$20))-SUM($BF103:CA103))</f>
        <v>0</v>
      </c>
      <c r="CC103" s="446">
        <f>IF($E103=0,0,IF(MIN(CC$38,$E103)&lt;MAX($P$34*($B103+$I$38-1),IF(AND($L$37=0,$P$34=0),"",$L$37-1)),0,YEARFRAC(MAX($P$34*($B103+$I$38-1),IF(AND($L$37=0,$P$34=0),"",$L$37-1)),MIN(CC$38,$E103),$P$20))-SUM($BF103:CB103))</f>
        <v>0</v>
      </c>
      <c r="CD103" s="446">
        <f>IF($E103=0,0,IF(MIN(CD$38,$E103)&lt;MAX($P$34*($B103+$I$38-1),IF(AND($L$37=0,$P$34=0),"",$L$37-1)),0,YEARFRAC(MAX($P$34*($B103+$I$38-1),IF(AND($L$37=0,$P$34=0),"",$L$37-1)),MIN(CD$38,$E103),$P$20))-SUM($BF103:CC103))</f>
        <v>0</v>
      </c>
      <c r="CE103" s="446">
        <f>IF($E103=0,0,IF(MIN(CE$38,$E103)&lt;MAX($P$34*($B103+$I$38-1),IF(AND($L$37=0,$P$34=0),"",$L$37-1)),0,YEARFRAC(MAX($P$34*($B103+$I$38-1),IF(AND($L$37=0,$P$34=0),"",$L$37-1)),MIN(CE$38,$E103),$P$20))-SUM($BF103:CD103))</f>
        <v>0</v>
      </c>
      <c r="CF103" s="446">
        <f>IF($E103=0,0,IF(MIN(CF$38,$E103)&lt;MAX($P$34*($B103+$I$38-1),IF(AND($L$37=0,$P$34=0),"",$L$37-1)),0,YEARFRAC(MAX($P$34*($B103+$I$38-1),IF(AND($L$37=0,$P$34=0),"",$L$37-1)),MIN(CF$38,$E103),$P$20))-SUM($BF103:CE103))</f>
        <v>0</v>
      </c>
      <c r="CG103" s="446">
        <f>IF($E103=0,0,IF(MIN(CG$38,$E103)&lt;MAX($P$34*($B103+$I$38-1),IF(AND($L$37=0,$P$34=0),"",$L$37-1)),0,YEARFRAC(MAX($P$34*($B103+$I$38-1),IF(AND($L$37=0,$P$34=0),"",$L$37-1)),MIN(CG$38,$E103),$P$20))-SUM($BF103:CF103))</f>
        <v>0</v>
      </c>
      <c r="CH103" s="446">
        <f>IF($E103=0,0,IF(MIN(CH$38,$E103)&lt;MAX($P$34*($B103+$I$38-1),IF(AND($L$37=0,$P$34=0),"",$L$37-1)),0,YEARFRAC(MAX($P$34*($B103+$I$38-1),IF(AND($L$37=0,$P$34=0),"",$L$37-1)),MIN(CH$38,$E103),$P$20))-SUM($BF103:CG103))</f>
        <v>0</v>
      </c>
      <c r="CI103" s="446">
        <f>IF($E103=0,0,IF(MIN(CI$38,$E103)&lt;MAX($P$34*($B103+$I$38-1),IF(AND($L$37=0,$P$34=0),"",$L$37-1)),0,YEARFRAC(MAX($P$34*($B103+$I$38-1),IF(AND($L$37=0,$P$34=0),"",$L$37-1)),MIN(CI$38,$E103),$P$20))-SUM($BF103:CH103))</f>
        <v>0</v>
      </c>
      <c r="CJ103" s="446">
        <f>IF($E103=0,0,IF(MIN(CJ$38,$E103)&lt;MAX($P$34*($B103+$I$38-1),IF(AND($L$37=0,$P$34=0),"",$L$37-1)),0,YEARFRAC(MAX($P$34*($B103+$I$38-1),IF(AND($L$37=0,$P$34=0),"",$L$37-1)),MIN(CJ$38,$E103),$P$20))-SUM($BF103:CI103))</f>
        <v>0</v>
      </c>
      <c r="CK103" s="446">
        <f>IF($E103=0,0,IF(MIN(CK$38,$E103)&lt;MAX($P$34*($B103+$I$38-1),IF(AND($L$37=0,$P$34=0),"",$L$37-1)),0,YEARFRAC(MAX($P$34*($B103+$I$38-1),IF(AND($L$37=0,$P$34=0),"",$L$37-1)),MIN(CK$38,$E103),$P$20))-SUM($BF103:CJ103))</f>
        <v>0</v>
      </c>
      <c r="CL103" s="446">
        <f>IF($E103=0,0,IF(MIN(CL$38,$E103)&lt;MAX($P$34*($B103+$I$38-1),IF(AND($L$37=0,$P$34=0),"",$L$37-1)),0,YEARFRAC(MAX($P$34*($B103+$I$38-1),IF(AND($L$37=0,$P$34=0),"",$L$37-1)),MIN(CL$38,$E103),$P$20))-SUM($BF103:CK103))</f>
        <v>0</v>
      </c>
      <c r="CM103" s="446">
        <f>IF($E103=0,0,IF(MIN(CM$38,$E103)&lt;MAX($P$34*($B103+$I$38-1),IF(AND($L$37=0,$P$34=0),"",$L$37-1)),0,YEARFRAC(MAX($P$34*($B103+$I$38-1),IF(AND($L$37=0,$P$34=0),"",$L$37-1)),MIN(CM$38,$E103),$P$20))-SUM($BF103:CL103))</f>
        <v>0</v>
      </c>
      <c r="CN103" s="446">
        <f>IF($E103=0,0,IF(MIN(CN$38,$E103)&lt;MAX($P$34*($B103+$I$38-1),IF(AND($L$37=0,$P$34=0),"",$L$37-1)),0,YEARFRAC(MAX($P$34*($B103+$I$38-1),IF(AND($L$37=0,$P$34=0),"",$L$37-1)),MIN(CN$38,$E103),$P$20))-SUM($BF103:CM103))</f>
        <v>0</v>
      </c>
      <c r="CO103" s="446">
        <f>IF($E103=0,0,IF(MIN(CO$38,$E103)&lt;MAX($P$34*($B103+$I$38-1),IF(AND($L$37=0,$P$34=0),"",$L$37-1)),0,YEARFRAC(MAX($P$34*($B103+$I$38-1),IF(AND($L$37=0,$P$34=0),"",$L$37-1)),MIN(CO$38,$E103),$P$20))-SUM($BF103:CN103))</f>
        <v>0</v>
      </c>
      <c r="CP103" s="446">
        <f>IF($E103=0,0,IF(MIN(CP$38,$E103)&lt;MAX($P$34*($B103+$I$38-1),IF(AND($L$37=0,$P$34=0),"",$L$37-1)),0,YEARFRAC(MAX($P$34*($B103+$I$38-1),IF(AND($L$37=0,$P$34=0),"",$L$37-1)),MIN(CP$38,$E103),$P$20))-SUM($BF103:CO103))</f>
        <v>0</v>
      </c>
      <c r="CQ103" s="446">
        <f>IF($E103=0,0,IF(MIN(CQ$38,$E103)&lt;MAX($P$34*($B103+$I$38-1),IF(AND($L$37=0,$P$34=0),"",$L$37-1)),0,YEARFRAC(MAX($P$34*($B103+$I$38-1),IF(AND($L$37=0,$P$34=0),"",$L$37-1)),MIN(CQ$38,$E103),$P$20))-SUM($BF103:CP103))</f>
        <v>0</v>
      </c>
    </row>
    <row r="104" spans="1:95" s="446" customFormat="1" ht="11.25" hidden="1" customHeight="1" x14ac:dyDescent="0.2">
      <c r="A104" s="152"/>
      <c r="B104" s="153" t="str">
        <f t="shared" si="15"/>
        <v/>
      </c>
      <c r="C104" s="29" t="str">
        <f>IF(B104="","",IF($L$35="SELIC - TRIBUTOS",VLOOKUP(DATE(YEAR($D$19),MONTH($D$19)-1,1),ÍNDICES!$A:$DE,HLOOKUP($BL$25,ÍNDICES!$B$3:$T$4,2)+11)-VLOOKUP(B104,ÍNDICES!$A:$DE,HLOOKUP($BL$25,ÍNDICES!$B$3:$T$4,2)+11)+1%,IF(C$38=$W$26,$J$35,IF(ISERROR(IF(B104&gt;$D$19,1,VLOOKUP(DATE(YEAR(B104),MONTH(B104)+IF($C$35=$S$23,1,0),1),ÍNDICES!$A:$DE,$Z$35+1))),"",IF(B104&gt;$D$19,1,VLOOKUP(DATE(YEAR(B104),MONTH(B104)+IF($C$35=$S$23,1,0),1),ÍNDICES!$A:$DE,$Z$35+1))))))</f>
        <v/>
      </c>
      <c r="D104" s="154" t="str">
        <f>IF(ISERROR(IF(OR($D$38=$Y$27,$B104=""),"",VLOOKUP(B104,ÍNDICES!A:DE,AF$35+1))),"",IF(OR($D$38=$Y$27,$B104=""),"",VLOOKUP(B104,ÍNDICES!A:DE,AF$35+1)))</f>
        <v/>
      </c>
      <c r="E104" s="153"/>
      <c r="F104" s="29" t="str">
        <f>IF(E104="","",IF($L$35="SELIC - TRIBUTOS",VLOOKUP(DATE(YEAR($D$19),MONTH($D$19)-1,1),ÍNDICES!$A:$DE,HLOOKUP($BL$25,ÍNDICES!$B$3:$T$4,2)+11)-VLOOKUP(E104,ÍNDICES!$A:$DE,HLOOKUP($BL$25,ÍNDICES!$B$3:$T$4,2)+11)+1%,IF(F$38=$W$26,$J$35,IF(ISERROR(IF(E104&gt;$D$19,1,VLOOKUP(DATE(YEAR(E104),MONTH(E104)+IF($C$35=$S$23,1,0),1),ÍNDICES!$A:$DE,$Z$35+1))),"",IF(E104&gt;$D$19,1,VLOOKUP(DATE(YEAR(E104),MONTH(E104)+IF($C$35=$S$23,1,0),1),ÍNDICES!$A:$DE,$Z$35+1))))))</f>
        <v/>
      </c>
      <c r="G104" s="155"/>
      <c r="H104" s="156" t="str">
        <f t="shared" si="11"/>
        <v/>
      </c>
      <c r="I104" s="29" t="str">
        <f t="shared" ref="I104:I167" si="16">IF(OR($L$35=$BL$25,B104=""),"",SUM(BF104:CF104))</f>
        <v/>
      </c>
      <c r="J104" s="5">
        <f t="shared" ref="J104:J167" si="17">IF(OR($L$35="SELIC - TRIBUTOS",B104=""),0,IF(D104="",0,D104)/C104*J$35*SUMPRODUCT($BF$37:$DD$37,$BF104:$DD104))</f>
        <v>0</v>
      </c>
      <c r="K104" s="20">
        <f t="shared" ref="K104:K167" ca="1" si="18">IF($L$35="SELIC - TRIBUTOS",$K$38*(-IFERROR(D104*(1+C104),0)-IF($R$17="Distrato",IFERROR(G104*(1+F104),0),0)),$K$38*(IFERROR(D104/C104*$J$35,0)-IF($R$17="Distrato",IFERROR(G104/F104*$J$35,0),0)))</f>
        <v>0</v>
      </c>
      <c r="L104" s="5">
        <f t="shared" ref="L104:L167" ca="1" si="19">IF(L$35="SELIC - TRIBUTOS",0,IFERROR(K104*SUMPRODUCT($P$37:$BA$37,$P104:$BA104),0))</f>
        <v>0</v>
      </c>
      <c r="M104" s="64">
        <f t="shared" si="12"/>
        <v>0</v>
      </c>
      <c r="N104" s="61">
        <f t="shared" ca="1" si="13"/>
        <v>0</v>
      </c>
      <c r="O104" s="5">
        <f t="shared" ca="1" si="14"/>
        <v>0</v>
      </c>
      <c r="P104" s="446" t="e">
        <f t="shared" ref="P104:P167" si="20">IF(OR($B104="",MIN(P$38,$D$19)&lt;MAX($P$34*($B104+IF($R$17="Distrato",$I$38-1,0)),IF(AND($L$37=0,$P$34=0),"",$L$37-1),IF($R$17="Distrato",$E104,0))),0,YEARFRAC(MAX($P$34*($B104+IF($R$17="Distrato",$I$38-1,0)),IF(AND($L$37=0,$P$34=0),"",$L$37-1),IF($R$17="Distrato",$E104,0)),MIN(P$38,$D$19),$P$20))</f>
        <v>#VALUE!</v>
      </c>
      <c r="Q104" s="446" t="e">
        <f>IF(OR($B104="",MIN(Q$38,$D$19)&lt;MAX($P$34*($B104+IF($R$17="Distrato",$I$38-1,0)),IF(AND($L$37=0,$P$34=0),"",$L$37-1),IF($R$17="Distrato",$E104,0))),0,YEARFRAC(MAX($P$34*($B104+IF($R$17="Distrato",$I$38-1,0)),IF(AND($L$37=0,$P$34=0),"",$L$37-1),IF($R$17="Distrato",$E104,0)),MIN(Q$38,$D$19),$P$20))-SUM($P104:P104)</f>
        <v>#VALUE!</v>
      </c>
      <c r="R104" s="446" t="e">
        <f>IF(OR($B104="",MIN(R$38,$D$19)&lt;MAX($P$34*($B104+IF($R$17="Distrato",$I$38-1,0)),IF(AND($L$37=0,$P$34=0),"",$L$37-1),IF($R$17="Distrato",$E104,0))),0,YEARFRAC(MAX($P$34*($B104+IF($R$17="Distrato",$I$38-1,0)),IF(AND($L$37=0,$P$34=0),"",$L$37-1),IF($R$17="Distrato",$E104,0)),MIN(R$38,$D$19),$P$20))-SUM($P104:Q104)</f>
        <v>#VALUE!</v>
      </c>
      <c r="S104" s="446" t="e">
        <f>IF(OR($B104="",MIN(S$38,$D$19)&lt;MAX($P$34*($B104+IF($R$17="Distrato",$I$38-1,0)),IF(AND($L$37=0,$P$34=0),"",$L$37-1),IF($R$17="Distrato",$E104,0))),0,YEARFRAC(MAX($P$34*($B104+IF($R$17="Distrato",$I$38-1,0)),IF(AND($L$37=0,$P$34=0),"",$L$37-1),IF($R$17="Distrato",$E104,0)),MIN(S$38,$D$19),$P$20))-SUM($P104:R104)</f>
        <v>#VALUE!</v>
      </c>
      <c r="T104" s="446" t="e">
        <f>IF(OR($B104="",MIN(T$38,$D$19)&lt;MAX($P$34*($B104+IF($R$17="Distrato",$I$38-1,0)),IF(AND($L$37=0,$P$34=0),"",$L$37-1),IF($R$17="Distrato",$E104,0))),0,YEARFRAC(MAX($P$34*($B104+IF($R$17="Distrato",$I$38-1,0)),IF(AND($L$37=0,$P$34=0),"",$L$37-1),IF($R$17="Distrato",$E104,0)),MIN(T$38,$D$19),$P$20))-SUM($P104:S104)</f>
        <v>#VALUE!</v>
      </c>
      <c r="U104" s="446" t="e">
        <f>IF(OR($B104="",MIN(U$38,$D$19)&lt;MAX($P$34*($B104+IF($R$17="Distrato",$I$38-1,0)),IF(AND($L$37=0,$P$34=0),"",$L$37-1),IF($R$17="Distrato",$E104,0))),0,YEARFRAC(MAX($P$34*($B104+IF($R$17="Distrato",$I$38-1,0)),IF(AND($L$37=0,$P$34=0),"",$L$37-1),IF($R$17="Distrato",$E104,0)),MIN(U$38,$D$19),$P$20))-SUM($P104:T104)</f>
        <v>#VALUE!</v>
      </c>
      <c r="V104" s="446" t="e">
        <f>IF(OR($B104="",MIN(V$38,$D$19)&lt;MAX($P$34*($B104+IF($R$17="Distrato",$I$38-1,0)),IF(AND($L$37=0,$P$34=0),"",$L$37-1),IF($R$17="Distrato",$E104,0))),0,YEARFRAC(MAX($P$34*($B104+IF($R$17="Distrato",$I$38-1,0)),IF(AND($L$37=0,$P$34=0),"",$L$37-1),IF($R$17="Distrato",$E104,0)),MIN(V$38,$D$19),$P$20))-SUM($P104:U104)</f>
        <v>#VALUE!</v>
      </c>
      <c r="W104" s="446" t="e">
        <f>IF(OR($B104="",MIN(W$38,$D$19)&lt;MAX($P$34*($B104+IF($R$17="Distrato",$I$38-1,0)),IF(AND($L$37=0,$P$34=0),"",$L$37-1),IF($R$17="Distrato",$E104,0))),0,YEARFRAC(MAX($P$34*($B104+IF($R$17="Distrato",$I$38-1,0)),IF(AND($L$37=0,$P$34=0),"",$L$37-1),IF($R$17="Distrato",$E104,0)),MIN(W$38,$D$19),$P$20))-SUM($P104:V104)</f>
        <v>#VALUE!</v>
      </c>
      <c r="X104" s="446" t="e">
        <f>IF(OR($B104="",MIN(X$38,$D$19)&lt;MAX($P$34*($B104+IF($R$17="Distrato",$I$38-1,0)),IF(AND($L$37=0,$P$34=0),"",$L$37-1),IF($R$17="Distrato",$E104,0))),0,YEARFRAC(MAX($P$34*($B104+IF($R$17="Distrato",$I$38-1,0)),IF(AND($L$37=0,$P$34=0),"",$L$37-1),IF($R$17="Distrato",$E104,0)),MIN(X$38,$D$19),$P$20))-SUM($P104:W104)</f>
        <v>#VALUE!</v>
      </c>
      <c r="Y104" s="446" t="e">
        <f>IF(OR($B104="",MIN(Y$38,$D$19)&lt;MAX($P$34*($B104+IF($R$17="Distrato",$I$38-1,0)),IF(AND($L$37=0,$P$34=0),"",$L$37-1),IF($R$17="Distrato",$E104,0))),0,YEARFRAC(MAX($P$34*($B104+IF($R$17="Distrato",$I$38-1,0)),IF(AND($L$37=0,$P$34=0),"",$L$37-1),IF($R$17="Distrato",$E104,0)),MIN(Y$38,$D$19),$P$20))-SUM($P104:X104)</f>
        <v>#VALUE!</v>
      </c>
      <c r="Z104" s="446" t="e">
        <f>IF(OR($B104="",MIN(Z$38,$D$19)&lt;MAX($P$34*($B104+IF($R$17="Distrato",$I$38-1,0)),IF(AND($L$37=0,$P$34=0),"",$L$37-1),IF($R$17="Distrato",$E104,0))),0,YEARFRAC(MAX($P$34*($B104+IF($R$17="Distrato",$I$38-1,0)),IF(AND($L$37=0,$P$34=0),"",$L$37-1),IF($R$17="Distrato",$E104,0)),MIN(Z$38,$D$19),$P$20))-SUM($P104:Y104)</f>
        <v>#VALUE!</v>
      </c>
      <c r="AA104" s="446" t="e">
        <f>IF(OR($B104="",MIN(AA$38,$D$19)&lt;MAX($P$34*($B104+IF($R$17="Distrato",$I$38-1,0)),IF(AND($L$37=0,$P$34=0),"",$L$37-1),IF($R$17="Distrato",$E104,0))),0,YEARFRAC(MAX($P$34*($B104+IF($R$17="Distrato",$I$38-1,0)),IF(AND($L$37=0,$P$34=0),"",$L$37-1),IF($R$17="Distrato",$E104,0)),MIN(AA$38,$D$19),$P$20))-SUM($P104:Z104)</f>
        <v>#VALUE!</v>
      </c>
      <c r="AB104" s="446" t="e">
        <f>IF(OR($B104="",MIN(AB$38,$D$19)&lt;MAX($P$34*($B104+IF($R$17="Distrato",$I$38-1,0)),IF(AND($L$37=0,$P$34=0),"",$L$37-1),IF($R$17="Distrato",$E104,0))),0,YEARFRAC(MAX($P$34*($B104+IF($R$17="Distrato",$I$38-1,0)),IF(AND($L$37=0,$P$34=0),"",$L$37-1),IF($R$17="Distrato",$E104,0)),MIN(AB$38,$D$19),$P$20))-SUM($P104:AA104)</f>
        <v>#VALUE!</v>
      </c>
      <c r="AC104" s="446" t="e">
        <f>IF(OR($B104="",MIN(AC$38,$D$19)&lt;MAX($P$34*($B104+IF($R$17="Distrato",$I$38-1,0)),IF(AND($L$37=0,$P$34=0),"",$L$37-1),IF($R$17="Distrato",$E104,0))),0,YEARFRAC(MAX($P$34*($B104+IF($R$17="Distrato",$I$38-1,0)),IF(AND($L$37=0,$P$34=0),"",$L$37-1),IF($R$17="Distrato",$E104,0)),MIN(AC$38,$D$19),$P$20))-SUM($P104:AB104)</f>
        <v>#VALUE!</v>
      </c>
      <c r="AD104" s="446" t="e">
        <f>IF(OR($B104="",MIN(AD$38,$D$19)&lt;MAX($P$34*($B104+IF($R$17="Distrato",$I$38-1,0)),IF(AND($L$37=0,$P$34=0),"",$L$37-1),IF($R$17="Distrato",$E104,0))),0,YEARFRAC(MAX($P$34*($B104+IF($R$17="Distrato",$I$38-1,0)),IF(AND($L$37=0,$P$34=0),"",$L$37-1),IF($R$17="Distrato",$E104,0)),MIN(AD$38,$D$19),$P$20))-SUM($P104:AC104)</f>
        <v>#VALUE!</v>
      </c>
      <c r="AE104" s="446" t="e">
        <f>IF(OR($B104="",MIN(AE$38,$D$19)&lt;MAX($P$34*($B104+IF($R$17="Distrato",$I$38-1,0)),IF(AND($L$37=0,$P$34=0),"",$L$37-1),IF($R$17="Distrato",$E104,0))),0,YEARFRAC(MAX($P$34*($B104+IF($R$17="Distrato",$I$38-1,0)),IF(AND($L$37=0,$P$34=0),"",$L$37-1),IF($R$17="Distrato",$E104,0)),MIN(AE$38,$D$19),$P$20))-SUM($P104:AD104)</f>
        <v>#VALUE!</v>
      </c>
      <c r="AF104" s="446" t="e">
        <f>IF(OR($B104="",MIN(AF$38,$D$19)&lt;MAX($P$34*($B104+IF($R$17="Distrato",$I$38-1,0)),IF(AND($L$37=0,$P$34=0),"",$L$37-1),IF($R$17="Distrato",$E104,0))),0,YEARFRAC(MAX($P$34*($B104+IF($R$17="Distrato",$I$38-1,0)),IF(AND($L$37=0,$P$34=0),"",$L$37-1),IF($R$17="Distrato",$E104,0)),MIN(AF$38,$D$19),$P$20))-SUM($P104:AE104)</f>
        <v>#VALUE!</v>
      </c>
      <c r="AG104" s="446" t="e">
        <f>IF(OR($B104="",MIN(AG$38,$D$19)&lt;MAX($P$34*($B104+IF($R$17="Distrato",$I$38-1,0)),IF(AND($L$37=0,$P$34=0),"",$L$37-1),IF($R$17="Distrato",$E104,0))),0,YEARFRAC(MAX($P$34*($B104+IF($R$17="Distrato",$I$38-1,0)),IF(AND($L$37=0,$P$34=0),"",$L$37-1),IF($R$17="Distrato",$E104,0)),MIN(AG$38,$D$19),$P$20))-SUM($P104:AF104)</f>
        <v>#VALUE!</v>
      </c>
      <c r="AH104" s="446" t="e">
        <f>IF(OR($B104="",MIN(AH$38,$D$19)&lt;MAX($P$34*($B104+IF($R$17="Distrato",$I$38-1,0)),IF(AND($L$37=0,$P$34=0),"",$L$37-1),IF($R$17="Distrato",$E104,0))),0,YEARFRAC(MAX($P$34*($B104+IF($R$17="Distrato",$I$38-1,0)),IF(AND($L$37=0,$P$34=0),"",$L$37-1),IF($R$17="Distrato",$E104,0)),MIN(AH$38,$D$19),$P$20))-SUM($P104:AG104)</f>
        <v>#VALUE!</v>
      </c>
      <c r="AI104" s="446" t="e">
        <f>IF(OR($B104="",MIN(AI$38,$D$19)&lt;MAX($P$34*($B104+IF($R$17="Distrato",$I$38-1,0)),IF(AND($L$37=0,$P$34=0),"",$L$37-1),IF($R$17="Distrato",$E104,0))),0,YEARFRAC(MAX($P$34*($B104+IF($R$17="Distrato",$I$38-1,0)),IF(AND($L$37=0,$P$34=0),"",$L$37-1),IF($R$17="Distrato",$E104,0)),MIN(AI$38,$D$19),$P$20))-SUM($P104:AH104)</f>
        <v>#VALUE!</v>
      </c>
      <c r="AJ104" s="446" t="e">
        <f>IF(OR($B104="",MIN(AJ$38,$D$19)&lt;MAX($P$34*($B104+IF($R$17="Distrato",$I$38-1,0)),IF(AND($L$37=0,$P$34=0),"",$L$37-1),IF($R$17="Distrato",$E104,0))),0,YEARFRAC(MAX($P$34*($B104+IF($R$17="Distrato",$I$38-1,0)),IF(AND($L$37=0,$P$34=0),"",$L$37-1),IF($R$17="Distrato",$E104,0)),MIN(AJ$38,$D$19),$P$20))-SUM($P104:AI104)</f>
        <v>#VALUE!</v>
      </c>
      <c r="AK104" s="446" t="e">
        <f>IF(OR($B104="",MIN(AK$38,$D$19)&lt;MAX($P$34*($B104+IF($R$17="Distrato",$I$38-1,0)),IF(AND($L$37=0,$P$34=0),"",$L$37-1),IF($R$17="Distrato",$E104,0))),0,YEARFRAC(MAX($P$34*($B104+IF($R$17="Distrato",$I$38-1,0)),IF(AND($L$37=0,$P$34=0),"",$L$37-1),IF($R$17="Distrato",$E104,0)),MIN(AK$38,$D$19),$P$20))-SUM($P104:AJ104)</f>
        <v>#VALUE!</v>
      </c>
      <c r="AL104" s="446" t="e">
        <f>IF(OR($B104="",MIN(AL$38,$D$19)&lt;MAX($P$34*($B104+IF($R$17="Distrato",$I$38-1,0)),IF(AND($L$37=0,$P$34=0),"",$L$37-1),IF($R$17="Distrato",$E104,0))),0,YEARFRAC(MAX($P$34*($B104+IF($R$17="Distrato",$I$38-1,0)),IF(AND($L$37=0,$P$34=0),"",$L$37-1),IF($R$17="Distrato",$E104,0)),MIN(AL$38,$D$19),$P$20))-SUM($P104:AK104)</f>
        <v>#VALUE!</v>
      </c>
      <c r="AM104" s="446" t="e">
        <f>IF(OR($B104="",MIN(AM$38,$D$19)&lt;MAX($P$34*($B104+IF($R$17="Distrato",$I$38-1,0)),IF(AND($L$37=0,$P$34=0),"",$L$37-1),IF($R$17="Distrato",$E104,0))),0,YEARFRAC(MAX($P$34*($B104+IF($R$17="Distrato",$I$38-1,0)),IF(AND($L$37=0,$P$34=0),"",$L$37-1),IF($R$17="Distrato",$E104,0)),MIN(AM$38,$D$19),$P$20))-SUM($P104:AL104)</f>
        <v>#VALUE!</v>
      </c>
      <c r="AN104" s="446" t="e">
        <f>IF(OR($B104="",MIN(AN$38,$D$19)&lt;MAX($P$34*($B104+IF($R$17="Distrato",$I$38-1,0)),IF(AND($L$37=0,$P$34=0),"",$L$37-1),IF($R$17="Distrato",$E104,0))),0,YEARFRAC(MAX($P$34*($B104+IF($R$17="Distrato",$I$38-1,0)),IF(AND($L$37=0,$P$34=0),"",$L$37-1),IF($R$17="Distrato",$E104,0)),MIN(AN$38,$D$19),$P$20))-SUM($P104:AM104)</f>
        <v>#VALUE!</v>
      </c>
      <c r="AO104" s="446" t="e">
        <f>IF(OR($B104="",MIN(AO$38,$D$19)&lt;MAX($P$34*($B104+IF($R$17="Distrato",$I$38-1,0)),IF(AND($L$37=0,$P$34=0),"",$L$37-1),IF($R$17="Distrato",$E104,0))),0,YEARFRAC(MAX($P$34*($B104+IF($R$17="Distrato",$I$38-1,0)),IF(AND($L$37=0,$P$34=0),"",$L$37-1),IF($R$17="Distrato",$E104,0)),MIN(AO$38,$D$19),$P$20))-SUM($P104:AN104)</f>
        <v>#VALUE!</v>
      </c>
      <c r="AP104" s="446" t="e">
        <f>IF(OR($B104="",MIN(AP$38,$D$19)&lt;MAX($P$34*($B104+IF($R$17="Distrato",$I$38-1,0)),IF(AND($L$37=0,$P$34=0),"",$L$37-1),IF($R$17="Distrato",$E104,0))),0,YEARFRAC(MAX($P$34*($B104+IF($R$17="Distrato",$I$38-1,0)),IF(AND($L$37=0,$P$34=0),"",$L$37-1),IF($R$17="Distrato",$E104,0)),MIN(AP$38,$D$19),$P$20))-SUM($P104:AO104)</f>
        <v>#VALUE!</v>
      </c>
      <c r="AQ104" s="446" t="e">
        <f>IF(OR($B104="",MIN(AQ$38,$D$19)&lt;MAX($P$34*($B104+IF($R$17="Distrato",$I$38-1,0)),IF(AND($L$37=0,$P$34=0),"",$L$37-1),IF($R$17="Distrato",$E104,0))),0,YEARFRAC(MAX($P$34*($B104+IF($R$17="Distrato",$I$38-1,0)),IF(AND($L$37=0,$P$34=0),"",$L$37-1),IF($R$17="Distrato",$E104,0)),MIN(AQ$38,$D$19),$P$20))-SUM($P104:AP104)</f>
        <v>#VALUE!</v>
      </c>
      <c r="AR104" s="446" t="e">
        <f>IF(OR($B104="",MIN(AR$38,$D$19)&lt;MAX($P$34*($B104+IF($R$17="Distrato",$I$38-1,0)),IF(AND($L$37=0,$P$34=0),"",$L$37-1),IF($R$17="Distrato",$E104,0))),0,YEARFRAC(MAX($P$34*($B104+IF($R$17="Distrato",$I$38-1,0)),IF(AND($L$37=0,$P$34=0),"",$L$37-1),IF($R$17="Distrato",$E104,0)),MIN(AR$38,$D$19),$P$20))-SUM($P104:AQ104)</f>
        <v>#VALUE!</v>
      </c>
      <c r="AS104" s="446" t="e">
        <f>IF(OR($B104="",MIN(AS$38,$D$19)&lt;MAX($P$34*($B104+IF($R$17="Distrato",$I$38-1,0)),IF(AND($L$37=0,$P$34=0),"",$L$37-1),IF($R$17="Distrato",$E104,0))),0,YEARFRAC(MAX($P$34*($B104+IF($R$17="Distrato",$I$38-1,0)),IF(AND($L$37=0,$P$34=0),"",$L$37-1),IF($R$17="Distrato",$E104,0)),MIN(AS$38,$D$19),$P$20))-SUM($P104:AR104)</f>
        <v>#VALUE!</v>
      </c>
      <c r="AT104" s="446" t="e">
        <f>IF(OR($B104="",MIN(AT$38,$D$19)&lt;MAX($P$34*($B104+IF($R$17="Distrato",$I$38-1,0)),IF(AND($L$37=0,$P$34=0),"",$L$37-1),IF($R$17="Distrato",$E104,0))),0,YEARFRAC(MAX($P$34*($B104+IF($R$17="Distrato",$I$38-1,0)),IF(AND($L$37=0,$P$34=0),"",$L$37-1),IF($R$17="Distrato",$E104,0)),MIN(AT$38,$D$19),$P$20))-SUM($P104:AS104)</f>
        <v>#VALUE!</v>
      </c>
      <c r="AU104" s="446" t="e">
        <f>IF(OR($B104="",MIN(AU$38,$D$19)&lt;MAX($P$34*($B104+IF($R$17="Distrato",$I$38-1,0)),IF(AND($L$37=0,$P$34=0),"",$L$37-1),IF($R$17="Distrato",$E104,0))),0,YEARFRAC(MAX($P$34*($B104+IF($R$17="Distrato",$I$38-1,0)),IF(AND($L$37=0,$P$34=0),"",$L$37-1),IF($R$17="Distrato",$E104,0)),MIN(AU$38,$D$19),$P$20))-SUM($P104:AT104)</f>
        <v>#VALUE!</v>
      </c>
      <c r="AV104" s="446" t="e">
        <f>IF(OR($B104="",MIN(AV$38,$D$19)&lt;MAX($P$34*($B104+IF($R$17="Distrato",$I$38-1,0)),IF(AND($L$37=0,$P$34=0),"",$L$37-1),IF($R$17="Distrato",$E104,0))),0,YEARFRAC(MAX($P$34*($B104+IF($R$17="Distrato",$I$38-1,0)),IF(AND($L$37=0,$P$34=0),"",$L$37-1),IF($R$17="Distrato",$E104,0)),MIN(AV$38,$D$19),$P$20))-SUM($P104:AU104)</f>
        <v>#VALUE!</v>
      </c>
      <c r="AW104" s="446" t="e">
        <f>IF(OR($B104="",MIN(AW$38,$D$19)&lt;MAX($P$34*($B104+IF($R$17="Distrato",$I$38-1,0)),IF(AND($L$37=0,$P$34=0),"",$L$37-1),IF($R$17="Distrato",$E104,0))),0,YEARFRAC(MAX($P$34*($B104+IF($R$17="Distrato",$I$38-1,0)),IF(AND($L$37=0,$P$34=0),"",$L$37-1),IF($R$17="Distrato",$E104,0)),MIN(AW$38,$D$19),$P$20))-SUM($P104:AV104)</f>
        <v>#VALUE!</v>
      </c>
      <c r="AX104" s="446" t="e">
        <f>IF(OR($B104="",MIN(AX$38,$D$19)&lt;MAX($P$34*($B104+IF($R$17="Distrato",$I$38-1,0)),IF(AND($L$37=0,$P$34=0),"",$L$37-1),IF($R$17="Distrato",$E104,0))),0,YEARFRAC(MAX($P$34*($B104+IF($R$17="Distrato",$I$38-1,0)),IF(AND($L$37=0,$P$34=0),"",$L$37-1),IF($R$17="Distrato",$E104,0)),MIN(AX$38,$D$19),$P$20))-SUM($P104:AW104)</f>
        <v>#VALUE!</v>
      </c>
      <c r="AY104" s="446" t="e">
        <f>IF(OR($B104="",MIN(AY$38,$D$19)&lt;MAX($P$34*($B104+IF($R$17="Distrato",$I$38-1,0)),IF(AND($L$37=0,$P$34=0),"",$L$37-1),IF($R$17="Distrato",$E104,0))),0,YEARFRAC(MAX($P$34*($B104+IF($R$17="Distrato",$I$38-1,0)),IF(AND($L$37=0,$P$34=0),"",$L$37-1),IF($R$17="Distrato",$E104,0)),MIN(AY$38,$D$19),$P$20))-SUM($P104:AX104)</f>
        <v>#VALUE!</v>
      </c>
      <c r="AZ104" s="446" t="e">
        <f>IF(OR($B104="",MIN(AZ$38,$D$19)&lt;MAX($P$34*($B104+IF($R$17="Distrato",$I$38-1,0)),IF(AND($L$37=0,$P$34=0),"",$L$37-1),IF($R$17="Distrato",$E104,0))),0,YEARFRAC(MAX($P$34*($B104+IF($R$17="Distrato",$I$38-1,0)),IF(AND($L$37=0,$P$34=0),"",$L$37-1),IF($R$17="Distrato",$E104,0)),MIN(AZ$38,$D$19),$P$20))-SUM($P104:AY104)</f>
        <v>#VALUE!</v>
      </c>
      <c r="BA104" s="446" t="e">
        <f>IF(OR($B104="",MIN(BA$38,$D$19)&lt;MAX($P$34*($B104+IF($R$17="Distrato",$I$38-1,0)),IF(AND($L$37=0,$P$34=0),"",$L$37-1),IF($R$17="Distrato",$E104,0))),0,YEARFRAC(MAX($P$34*($B104+IF($R$17="Distrato",$I$38-1,0)),IF(AND($L$37=0,$P$34=0),"",$L$37-1),IF($R$17="Distrato",$E104,0)),MIN(BA$38,$D$19),$P$20))-SUM($P104:AZ104)</f>
        <v>#VALUE!</v>
      </c>
      <c r="BB104" s="447"/>
      <c r="BF104" s="446">
        <f t="shared" ref="BF104:BF167" si="21">IF($E104=0,0,IF(MIN(BF$38,$E104)&lt;MAX($P$34*($B104+$I$38-1),IF(AND($L$37=0,$P$34=0),"",$L$37-1)),0,YEARFRAC(MAX($P$34*($B104+$I$38-1),IF(AND($L$37=0,$P$34=0),"",$L$37-1)),MIN(BF$38,$E104),$P$20)))</f>
        <v>0</v>
      </c>
      <c r="BG104" s="446">
        <f>IF($E104=0,0,IF(MIN(BG$38,$E104)&lt;MAX($P$34*($B104+$I$38-1),IF(AND($L$37=0,$P$34=0),"",$L$37-1)),0,YEARFRAC(MAX($P$34*($B104+$I$38-1),IF(AND($L$37=0,$P$34=0),"",$L$37-1)),MIN(BG$38,$E104),$P$20))-SUM($BF104:BF104))</f>
        <v>0</v>
      </c>
      <c r="BH104" s="446">
        <f>IF($E104=0,0,IF(MIN(BH$38,$E104)&lt;MAX($P$34*($B104+$I$38-1),IF(AND($L$37=0,$P$34=0),"",$L$37-1)),0,YEARFRAC(MAX($P$34*($B104+$I$38-1),IF(AND($L$37=0,$P$34=0),"",$L$37-1)),MIN(BH$38,$E104),$P$20))-SUM($BF104:BG104))</f>
        <v>0</v>
      </c>
      <c r="BI104" s="446">
        <f>IF($E104=0,0,IF(MIN(BI$38,$E104)&lt;MAX($P$34*($B104+$I$38-1),IF(AND($L$37=0,$P$34=0),"",$L$37-1)),0,YEARFRAC(MAX($P$34*($B104+$I$38-1),IF(AND($L$37=0,$P$34=0),"",$L$37-1)),MIN(BI$38,$E104),$P$20))-SUM($BF104:BH104))</f>
        <v>0</v>
      </c>
      <c r="BJ104" s="446">
        <f>IF($E104=0,0,IF(MIN(BJ$38,$E104)&lt;MAX($P$34*($B104+$I$38-1),IF(AND($L$37=0,$P$34=0),"",$L$37-1)),0,YEARFRAC(MAX($P$34*($B104+$I$38-1),IF(AND($L$37=0,$P$34=0),"",$L$37-1)),MIN(BJ$38,$E104),$P$20))-SUM($BF104:BI104))</f>
        <v>0</v>
      </c>
      <c r="BK104" s="446">
        <f>IF($E104=0,0,IF(MIN(BK$38,$E104)&lt;MAX($P$34*($B104+$I$38-1),IF(AND($L$37=0,$P$34=0),"",$L$37-1)),0,YEARFRAC(MAX($P$34*($B104+$I$38-1),IF(AND($L$37=0,$P$34=0),"",$L$37-1)),MIN(BK$38,$E104),$P$20))-SUM($BF104:BJ104))</f>
        <v>0</v>
      </c>
      <c r="BL104" s="446">
        <f>IF($E104=0,0,IF(MIN(BL$38,$E104)&lt;MAX($P$34*($B104+$I$38-1),IF(AND($L$37=0,$P$34=0),"",$L$37-1)),0,YEARFRAC(MAX($P$34*($B104+$I$38-1),IF(AND($L$37=0,$P$34=0),"",$L$37-1)),MIN(BL$38,$E104),$P$20))-SUM($BF104:BK104))</f>
        <v>0</v>
      </c>
      <c r="BM104" s="446">
        <f>IF($E104=0,0,IF(MIN(BM$38,$E104)&lt;MAX($P$34*($B104+$I$38-1),IF(AND($L$37=0,$P$34=0),"",$L$37-1)),0,YEARFRAC(MAX($P$34*($B104+$I$38-1),IF(AND($L$37=0,$P$34=0),"",$L$37-1)),MIN(BM$38,$E104),$P$20))-SUM($BF104:BL104))</f>
        <v>0</v>
      </c>
      <c r="BN104" s="446">
        <f>IF($E104=0,0,IF(MIN(BN$38,$E104)&lt;MAX($P$34*($B104+$I$38-1),IF(AND($L$37=0,$P$34=0),"",$L$37-1)),0,YEARFRAC(MAX($P$34*($B104+$I$38-1),IF(AND($L$37=0,$P$34=0),"",$L$37-1)),MIN(BN$38,$E104),$P$20))-SUM($BF104:BM104))</f>
        <v>0</v>
      </c>
      <c r="BO104" s="446">
        <f>IF($E104=0,0,IF(MIN(BO$38,$E104)&lt;MAX($P$34*($B104+$I$38-1),IF(AND($L$37=0,$P$34=0),"",$L$37-1)),0,YEARFRAC(MAX($P$34*($B104+$I$38-1),IF(AND($L$37=0,$P$34=0),"",$L$37-1)),MIN(BO$38,$E104),$P$20))-SUM($BF104:BN104))</f>
        <v>0</v>
      </c>
      <c r="BP104" s="446">
        <f>IF($E104=0,0,IF(MIN(BP$38,$E104)&lt;MAX($P$34*($B104+$I$38-1),IF(AND($L$37=0,$P$34=0),"",$L$37-1)),0,YEARFRAC(MAX($P$34*($B104+$I$38-1),IF(AND($L$37=0,$P$34=0),"",$L$37-1)),MIN(BP$38,$E104),$P$20))-SUM($BF104:BO104))</f>
        <v>0</v>
      </c>
      <c r="BQ104" s="446">
        <f>IF($E104=0,0,IF(MIN(BQ$38,$E104)&lt;MAX($P$34*($B104+$I$38-1),IF(AND($L$37=0,$P$34=0),"",$L$37-1)),0,YEARFRAC(MAX($P$34*($B104+$I$38-1),IF(AND($L$37=0,$P$34=0),"",$L$37-1)),MIN(BQ$38,$E104),$P$20))-SUM($BF104:BP104))</f>
        <v>0</v>
      </c>
      <c r="BR104" s="446">
        <f>IF($E104=0,0,IF(MIN(BR$38,$E104)&lt;MAX($P$34*($B104+$I$38-1),IF(AND($L$37=0,$P$34=0),"",$L$37-1)),0,YEARFRAC(MAX($P$34*($B104+$I$38-1),IF(AND($L$37=0,$P$34=0),"",$L$37-1)),MIN(BR$38,$E104),$P$20))-SUM($BF104:BQ104))</f>
        <v>0</v>
      </c>
      <c r="BS104" s="446">
        <f>IF($E104=0,0,IF(MIN(BS$38,$E104)&lt;MAX($P$34*($B104+$I$38-1),IF(AND($L$37=0,$P$34=0),"",$L$37-1)),0,YEARFRAC(MAX($P$34*($B104+$I$38-1),IF(AND($L$37=0,$P$34=0),"",$L$37-1)),MIN(BS$38,$E104),$P$20))-SUM($BF104:BR104))</f>
        <v>0</v>
      </c>
      <c r="BT104" s="446">
        <f>IF($E104=0,0,IF(MIN(BT$38,$E104)&lt;MAX($P$34*($B104+$I$38-1),IF(AND($L$37=0,$P$34=0),"",$L$37-1)),0,YEARFRAC(MAX($P$34*($B104+$I$38-1),IF(AND($L$37=0,$P$34=0),"",$L$37-1)),MIN(BT$38,$E104),$P$20))-SUM($BF104:BS104))</f>
        <v>0</v>
      </c>
      <c r="BU104" s="446">
        <f>IF($E104=0,0,IF(MIN(BU$38,$E104)&lt;MAX($P$34*($B104+$I$38-1),IF(AND($L$37=0,$P$34=0),"",$L$37-1)),0,YEARFRAC(MAX($P$34*($B104+$I$38-1),IF(AND($L$37=0,$P$34=0),"",$L$37-1)),MIN(BU$38,$E104),$P$20))-SUM($BF104:BT104))</f>
        <v>0</v>
      </c>
      <c r="BV104" s="446">
        <f>IF($E104=0,0,IF(MIN(BV$38,$E104)&lt;MAX($P$34*($B104+$I$38-1),IF(AND($L$37=0,$P$34=0),"",$L$37-1)),0,YEARFRAC(MAX($P$34*($B104+$I$38-1),IF(AND($L$37=0,$P$34=0),"",$L$37-1)),MIN(BV$38,$E104),$P$20))-SUM($BF104:BU104))</f>
        <v>0</v>
      </c>
      <c r="BW104" s="446">
        <f>IF($E104=0,0,IF(MIN(BW$38,$E104)&lt;MAX($P$34*($B104+$I$38-1),IF(AND($L$37=0,$P$34=0),"",$L$37-1)),0,YEARFRAC(MAX($P$34*($B104+$I$38-1),IF(AND($L$37=0,$P$34=0),"",$L$37-1)),MIN(BW$38,$E104),$P$20))-SUM($BF104:BV104))</f>
        <v>0</v>
      </c>
      <c r="BX104" s="446">
        <f>IF($E104=0,0,IF(MIN(BX$38,$E104)&lt;MAX($P$34*($B104+$I$38-1),IF(AND($L$37=0,$P$34=0),"",$L$37-1)),0,YEARFRAC(MAX($P$34*($B104+$I$38-1),IF(AND($L$37=0,$P$34=0),"",$L$37-1)),MIN(BX$38,$E104),$P$20))-SUM($BF104:BW104))</f>
        <v>0</v>
      </c>
      <c r="BY104" s="446">
        <f>IF($E104=0,0,IF(MIN(BY$38,$E104)&lt;MAX($P$34*($B104+$I$38-1),IF(AND($L$37=0,$P$34=0),"",$L$37-1)),0,YEARFRAC(MAX($P$34*($B104+$I$38-1),IF(AND($L$37=0,$P$34=0),"",$L$37-1)),MIN(BY$38,$E104),$P$20))-SUM($BF104:BX104))</f>
        <v>0</v>
      </c>
      <c r="BZ104" s="446">
        <f>IF($E104=0,0,IF(MIN(BZ$38,$E104)&lt;MAX($P$34*($B104+$I$38-1),IF(AND($L$37=0,$P$34=0),"",$L$37-1)),0,YEARFRAC(MAX($P$34*($B104+$I$38-1),IF(AND($L$37=0,$P$34=0),"",$L$37-1)),MIN(BZ$38,$E104),$P$20))-SUM($BF104:BY104))</f>
        <v>0</v>
      </c>
      <c r="CA104" s="446">
        <f>IF($E104=0,0,IF(MIN(CA$38,$E104)&lt;MAX($P$34*($B104+$I$38-1),IF(AND($L$37=0,$P$34=0),"",$L$37-1)),0,YEARFRAC(MAX($P$34*($B104+$I$38-1),IF(AND($L$37=0,$P$34=0),"",$L$37-1)),MIN(CA$38,$E104),$P$20))-SUM($BF104:BZ104))</f>
        <v>0</v>
      </c>
      <c r="CB104" s="446">
        <f>IF($E104=0,0,IF(MIN(CB$38,$E104)&lt;MAX($P$34*($B104+$I$38-1),IF(AND($L$37=0,$P$34=0),"",$L$37-1)),0,YEARFRAC(MAX($P$34*($B104+$I$38-1),IF(AND($L$37=0,$P$34=0),"",$L$37-1)),MIN(CB$38,$E104),$P$20))-SUM($BF104:CA104))</f>
        <v>0</v>
      </c>
      <c r="CC104" s="446">
        <f>IF($E104=0,0,IF(MIN(CC$38,$E104)&lt;MAX($P$34*($B104+$I$38-1),IF(AND($L$37=0,$P$34=0),"",$L$37-1)),0,YEARFRAC(MAX($P$34*($B104+$I$38-1),IF(AND($L$37=0,$P$34=0),"",$L$37-1)),MIN(CC$38,$E104),$P$20))-SUM($BF104:CB104))</f>
        <v>0</v>
      </c>
      <c r="CD104" s="446">
        <f>IF($E104=0,0,IF(MIN(CD$38,$E104)&lt;MAX($P$34*($B104+$I$38-1),IF(AND($L$37=0,$P$34=0),"",$L$37-1)),0,YEARFRAC(MAX($P$34*($B104+$I$38-1),IF(AND($L$37=0,$P$34=0),"",$L$37-1)),MIN(CD$38,$E104),$P$20))-SUM($BF104:CC104))</f>
        <v>0</v>
      </c>
      <c r="CE104" s="446">
        <f>IF($E104=0,0,IF(MIN(CE$38,$E104)&lt;MAX($P$34*($B104+$I$38-1),IF(AND($L$37=0,$P$34=0),"",$L$37-1)),0,YEARFRAC(MAX($P$34*($B104+$I$38-1),IF(AND($L$37=0,$P$34=0),"",$L$37-1)),MIN(CE$38,$E104),$P$20))-SUM($BF104:CD104))</f>
        <v>0</v>
      </c>
      <c r="CF104" s="446">
        <f>IF($E104=0,0,IF(MIN(CF$38,$E104)&lt;MAX($P$34*($B104+$I$38-1),IF(AND($L$37=0,$P$34=0),"",$L$37-1)),0,YEARFRAC(MAX($P$34*($B104+$I$38-1),IF(AND($L$37=0,$P$34=0),"",$L$37-1)),MIN(CF$38,$E104),$P$20))-SUM($BF104:CE104))</f>
        <v>0</v>
      </c>
      <c r="CG104" s="446">
        <f>IF($E104=0,0,IF(MIN(CG$38,$E104)&lt;MAX($P$34*($B104+$I$38-1),IF(AND($L$37=0,$P$34=0),"",$L$37-1)),0,YEARFRAC(MAX($P$34*($B104+$I$38-1),IF(AND($L$37=0,$P$34=0),"",$L$37-1)),MIN(CG$38,$E104),$P$20))-SUM($BF104:CF104))</f>
        <v>0</v>
      </c>
      <c r="CH104" s="446">
        <f>IF($E104=0,0,IF(MIN(CH$38,$E104)&lt;MAX($P$34*($B104+$I$38-1),IF(AND($L$37=0,$P$34=0),"",$L$37-1)),0,YEARFRAC(MAX($P$34*($B104+$I$38-1),IF(AND($L$37=0,$P$34=0),"",$L$37-1)),MIN(CH$38,$E104),$P$20))-SUM($BF104:CG104))</f>
        <v>0</v>
      </c>
      <c r="CI104" s="446">
        <f>IF($E104=0,0,IF(MIN(CI$38,$E104)&lt;MAX($P$34*($B104+$I$38-1),IF(AND($L$37=0,$P$34=0),"",$L$37-1)),0,YEARFRAC(MAX($P$34*($B104+$I$38-1),IF(AND($L$37=0,$P$34=0),"",$L$37-1)),MIN(CI$38,$E104),$P$20))-SUM($BF104:CH104))</f>
        <v>0</v>
      </c>
      <c r="CJ104" s="446">
        <f>IF($E104=0,0,IF(MIN(CJ$38,$E104)&lt;MAX($P$34*($B104+$I$38-1),IF(AND($L$37=0,$P$34=0),"",$L$37-1)),0,YEARFRAC(MAX($P$34*($B104+$I$38-1),IF(AND($L$37=0,$P$34=0),"",$L$37-1)),MIN(CJ$38,$E104),$P$20))-SUM($BF104:CI104))</f>
        <v>0</v>
      </c>
      <c r="CK104" s="446">
        <f>IF($E104=0,0,IF(MIN(CK$38,$E104)&lt;MAX($P$34*($B104+$I$38-1),IF(AND($L$37=0,$P$34=0),"",$L$37-1)),0,YEARFRAC(MAX($P$34*($B104+$I$38-1),IF(AND($L$37=0,$P$34=0),"",$L$37-1)),MIN(CK$38,$E104),$P$20))-SUM($BF104:CJ104))</f>
        <v>0</v>
      </c>
      <c r="CL104" s="446">
        <f>IF($E104=0,0,IF(MIN(CL$38,$E104)&lt;MAX($P$34*($B104+$I$38-1),IF(AND($L$37=0,$P$34=0),"",$L$37-1)),0,YEARFRAC(MAX($P$34*($B104+$I$38-1),IF(AND($L$37=0,$P$34=0),"",$L$37-1)),MIN(CL$38,$E104),$P$20))-SUM($BF104:CK104))</f>
        <v>0</v>
      </c>
      <c r="CM104" s="446">
        <f>IF($E104=0,0,IF(MIN(CM$38,$E104)&lt;MAX($P$34*($B104+$I$38-1),IF(AND($L$37=0,$P$34=0),"",$L$37-1)),0,YEARFRAC(MAX($P$34*($B104+$I$38-1),IF(AND($L$37=0,$P$34=0),"",$L$37-1)),MIN(CM$38,$E104),$P$20))-SUM($BF104:CL104))</f>
        <v>0</v>
      </c>
      <c r="CN104" s="446">
        <f>IF($E104=0,0,IF(MIN(CN$38,$E104)&lt;MAX($P$34*($B104+$I$38-1),IF(AND($L$37=0,$P$34=0),"",$L$37-1)),0,YEARFRAC(MAX($P$34*($B104+$I$38-1),IF(AND($L$37=0,$P$34=0),"",$L$37-1)),MIN(CN$38,$E104),$P$20))-SUM($BF104:CM104))</f>
        <v>0</v>
      </c>
      <c r="CO104" s="446">
        <f>IF($E104=0,0,IF(MIN(CO$38,$E104)&lt;MAX($P$34*($B104+$I$38-1),IF(AND($L$37=0,$P$34=0),"",$L$37-1)),0,YEARFRAC(MAX($P$34*($B104+$I$38-1),IF(AND($L$37=0,$P$34=0),"",$L$37-1)),MIN(CO$38,$E104),$P$20))-SUM($BF104:CN104))</f>
        <v>0</v>
      </c>
      <c r="CP104" s="446">
        <f>IF($E104=0,0,IF(MIN(CP$38,$E104)&lt;MAX($P$34*($B104+$I$38-1),IF(AND($L$37=0,$P$34=0),"",$L$37-1)),0,YEARFRAC(MAX($P$34*($B104+$I$38-1),IF(AND($L$37=0,$P$34=0),"",$L$37-1)),MIN(CP$38,$E104),$P$20))-SUM($BF104:CO104))</f>
        <v>0</v>
      </c>
      <c r="CQ104" s="446">
        <f>IF($E104=0,0,IF(MIN(CQ$38,$E104)&lt;MAX($P$34*($B104+$I$38-1),IF(AND($L$37=0,$P$34=0),"",$L$37-1)),0,YEARFRAC(MAX($P$34*($B104+$I$38-1),IF(AND($L$37=0,$P$34=0),"",$L$37-1)),MIN(CQ$38,$E104),$P$20))-SUM($BF104:CP104))</f>
        <v>0</v>
      </c>
    </row>
    <row r="105" spans="1:95" s="446" customFormat="1" ht="11.25" hidden="1" customHeight="1" x14ac:dyDescent="0.2">
      <c r="A105" s="152"/>
      <c r="B105" s="153" t="str">
        <f t="shared" si="15"/>
        <v/>
      </c>
      <c r="C105" s="29" t="str">
        <f>IF(B105="","",IF($L$35="SELIC - TRIBUTOS",VLOOKUP(DATE(YEAR($D$19),MONTH($D$19)-1,1),ÍNDICES!$A:$DE,HLOOKUP($BL$25,ÍNDICES!$B$3:$T$4,2)+11)-VLOOKUP(B105,ÍNDICES!$A:$DE,HLOOKUP($BL$25,ÍNDICES!$B$3:$T$4,2)+11)+1%,IF(C$38=$W$26,$J$35,IF(ISERROR(IF(B105&gt;$D$19,1,VLOOKUP(DATE(YEAR(B105),MONTH(B105)+IF($C$35=$S$23,1,0),1),ÍNDICES!$A:$DE,$Z$35+1))),"",IF(B105&gt;$D$19,1,VLOOKUP(DATE(YEAR(B105),MONTH(B105)+IF($C$35=$S$23,1,0),1),ÍNDICES!$A:$DE,$Z$35+1))))))</f>
        <v/>
      </c>
      <c r="D105" s="154" t="str">
        <f>IF(ISERROR(IF(OR($D$38=$Y$27,$B105=""),"",VLOOKUP(B105,ÍNDICES!A:DE,AF$35+1))),"",IF(OR($D$38=$Y$27,$B105=""),"",VLOOKUP(B105,ÍNDICES!A:DE,AF$35+1)))</f>
        <v/>
      </c>
      <c r="E105" s="153"/>
      <c r="F105" s="29" t="str">
        <f>IF(E105="","",IF($L$35="SELIC - TRIBUTOS",VLOOKUP(DATE(YEAR($D$19),MONTH($D$19)-1,1),ÍNDICES!$A:$DE,HLOOKUP($BL$25,ÍNDICES!$B$3:$T$4,2)+11)-VLOOKUP(E105,ÍNDICES!$A:$DE,HLOOKUP($BL$25,ÍNDICES!$B$3:$T$4,2)+11)+1%,IF(F$38=$W$26,$J$35,IF(ISERROR(IF(E105&gt;$D$19,1,VLOOKUP(DATE(YEAR(E105),MONTH(E105)+IF($C$35=$S$23,1,0),1),ÍNDICES!$A:$DE,$Z$35+1))),"",IF(E105&gt;$D$19,1,VLOOKUP(DATE(YEAR(E105),MONTH(E105)+IF($C$35=$S$23,1,0),1),ÍNDICES!$A:$DE,$Z$35+1))))))</f>
        <v/>
      </c>
      <c r="G105" s="155"/>
      <c r="H105" s="156" t="str">
        <f t="shared" ref="H105:H168" si="22">IF(E105="",IF(D105="","",D105),IF(ISERROR(D105/(IF(E105&lt;B105,1,C105/F105))-G105),-G105,D105/(IF(E105&lt;B105,1,C105/F105))-G105))</f>
        <v/>
      </c>
      <c r="I105" s="29" t="str">
        <f t="shared" si="16"/>
        <v/>
      </c>
      <c r="J105" s="5">
        <f t="shared" si="17"/>
        <v>0</v>
      </c>
      <c r="K105" s="20">
        <f t="shared" ca="1" si="18"/>
        <v>0</v>
      </c>
      <c r="L105" s="5">
        <f t="shared" ca="1" si="19"/>
        <v>0</v>
      </c>
      <c r="M105" s="64">
        <f t="shared" ref="M105:M168" si="23">IFERROR(SUM(P105:BA105),0)</f>
        <v>0</v>
      </c>
      <c r="N105" s="61">
        <f t="shared" ref="N105:N168" ca="1" si="24">IFERROR($N$38*(K105+IF(OR(L$35="SELIC - TRIBUTOS",$N$37="sobre principal"),0,J105+L105)),0)</f>
        <v>0</v>
      </c>
      <c r="O105" s="5">
        <f t="shared" ref="O105:O168" ca="1" si="25">IF(ISERROR((K105+J105+L105+N105)*O$38),"",(K105+J105+L105+N105)*O$38)</f>
        <v>0</v>
      </c>
      <c r="P105" s="446" t="e">
        <f t="shared" si="20"/>
        <v>#VALUE!</v>
      </c>
      <c r="Q105" s="446" t="e">
        <f>IF(OR($B105="",MIN(Q$38,$D$19)&lt;MAX($P$34*($B105+IF($R$17="Distrato",$I$38-1,0)),IF(AND($L$37=0,$P$34=0),"",$L$37-1),IF($R$17="Distrato",$E105,0))),0,YEARFRAC(MAX($P$34*($B105+IF($R$17="Distrato",$I$38-1,0)),IF(AND($L$37=0,$P$34=0),"",$L$37-1),IF($R$17="Distrato",$E105,0)),MIN(Q$38,$D$19),$P$20))-SUM($P105:P105)</f>
        <v>#VALUE!</v>
      </c>
      <c r="R105" s="446" t="e">
        <f>IF(OR($B105="",MIN(R$38,$D$19)&lt;MAX($P$34*($B105+IF($R$17="Distrato",$I$38-1,0)),IF(AND($L$37=0,$P$34=0),"",$L$37-1),IF($R$17="Distrato",$E105,0))),0,YEARFRAC(MAX($P$34*($B105+IF($R$17="Distrato",$I$38-1,0)),IF(AND($L$37=0,$P$34=0),"",$L$37-1),IF($R$17="Distrato",$E105,0)),MIN(R$38,$D$19),$P$20))-SUM($P105:Q105)</f>
        <v>#VALUE!</v>
      </c>
      <c r="S105" s="446" t="e">
        <f>IF(OR($B105="",MIN(S$38,$D$19)&lt;MAX($P$34*($B105+IF($R$17="Distrato",$I$38-1,0)),IF(AND($L$37=0,$P$34=0),"",$L$37-1),IF($R$17="Distrato",$E105,0))),0,YEARFRAC(MAX($P$34*($B105+IF($R$17="Distrato",$I$38-1,0)),IF(AND($L$37=0,$P$34=0),"",$L$37-1),IF($R$17="Distrato",$E105,0)),MIN(S$38,$D$19),$P$20))-SUM($P105:R105)</f>
        <v>#VALUE!</v>
      </c>
      <c r="T105" s="446" t="e">
        <f>IF(OR($B105="",MIN(T$38,$D$19)&lt;MAX($P$34*($B105+IF($R$17="Distrato",$I$38-1,0)),IF(AND($L$37=0,$P$34=0),"",$L$37-1),IF($R$17="Distrato",$E105,0))),0,YEARFRAC(MAX($P$34*($B105+IF($R$17="Distrato",$I$38-1,0)),IF(AND($L$37=0,$P$34=0),"",$L$37-1),IF($R$17="Distrato",$E105,0)),MIN(T$38,$D$19),$P$20))-SUM($P105:S105)</f>
        <v>#VALUE!</v>
      </c>
      <c r="U105" s="446" t="e">
        <f>IF(OR($B105="",MIN(U$38,$D$19)&lt;MAX($P$34*($B105+IF($R$17="Distrato",$I$38-1,0)),IF(AND($L$37=0,$P$34=0),"",$L$37-1),IF($R$17="Distrato",$E105,0))),0,YEARFRAC(MAX($P$34*($B105+IF($R$17="Distrato",$I$38-1,0)),IF(AND($L$37=0,$P$34=0),"",$L$37-1),IF($R$17="Distrato",$E105,0)),MIN(U$38,$D$19),$P$20))-SUM($P105:T105)</f>
        <v>#VALUE!</v>
      </c>
      <c r="V105" s="446" t="e">
        <f>IF(OR($B105="",MIN(V$38,$D$19)&lt;MAX($P$34*($B105+IF($R$17="Distrato",$I$38-1,0)),IF(AND($L$37=0,$P$34=0),"",$L$37-1),IF($R$17="Distrato",$E105,0))),0,YEARFRAC(MAX($P$34*($B105+IF($R$17="Distrato",$I$38-1,0)),IF(AND($L$37=0,$P$34=0),"",$L$37-1),IF($R$17="Distrato",$E105,0)),MIN(V$38,$D$19),$P$20))-SUM($P105:U105)</f>
        <v>#VALUE!</v>
      </c>
      <c r="W105" s="446" t="e">
        <f>IF(OR($B105="",MIN(W$38,$D$19)&lt;MAX($P$34*($B105+IF($R$17="Distrato",$I$38-1,0)),IF(AND($L$37=0,$P$34=0),"",$L$37-1),IF($R$17="Distrato",$E105,0))),0,YEARFRAC(MAX($P$34*($B105+IF($R$17="Distrato",$I$38-1,0)),IF(AND($L$37=0,$P$34=0),"",$L$37-1),IF($R$17="Distrato",$E105,0)),MIN(W$38,$D$19),$P$20))-SUM($P105:V105)</f>
        <v>#VALUE!</v>
      </c>
      <c r="X105" s="446" t="e">
        <f>IF(OR($B105="",MIN(X$38,$D$19)&lt;MAX($P$34*($B105+IF($R$17="Distrato",$I$38-1,0)),IF(AND($L$37=0,$P$34=0),"",$L$37-1),IF($R$17="Distrato",$E105,0))),0,YEARFRAC(MAX($P$34*($B105+IF($R$17="Distrato",$I$38-1,0)),IF(AND($L$37=0,$P$34=0),"",$L$37-1),IF($R$17="Distrato",$E105,0)),MIN(X$38,$D$19),$P$20))-SUM($P105:W105)</f>
        <v>#VALUE!</v>
      </c>
      <c r="Y105" s="446" t="e">
        <f>IF(OR($B105="",MIN(Y$38,$D$19)&lt;MAX($P$34*($B105+IF($R$17="Distrato",$I$38-1,0)),IF(AND($L$37=0,$P$34=0),"",$L$37-1),IF($R$17="Distrato",$E105,0))),0,YEARFRAC(MAX($P$34*($B105+IF($R$17="Distrato",$I$38-1,0)),IF(AND($L$37=0,$P$34=0),"",$L$37-1),IF($R$17="Distrato",$E105,0)),MIN(Y$38,$D$19),$P$20))-SUM($P105:X105)</f>
        <v>#VALUE!</v>
      </c>
      <c r="Z105" s="446" t="e">
        <f>IF(OR($B105="",MIN(Z$38,$D$19)&lt;MAX($P$34*($B105+IF($R$17="Distrato",$I$38-1,0)),IF(AND($L$37=0,$P$34=0),"",$L$37-1),IF($R$17="Distrato",$E105,0))),0,YEARFRAC(MAX($P$34*($B105+IF($R$17="Distrato",$I$38-1,0)),IF(AND($L$37=0,$P$34=0),"",$L$37-1),IF($R$17="Distrato",$E105,0)),MIN(Z$38,$D$19),$P$20))-SUM($P105:Y105)</f>
        <v>#VALUE!</v>
      </c>
      <c r="AA105" s="446" t="e">
        <f>IF(OR($B105="",MIN(AA$38,$D$19)&lt;MAX($P$34*($B105+IF($R$17="Distrato",$I$38-1,0)),IF(AND($L$37=0,$P$34=0),"",$L$37-1),IF($R$17="Distrato",$E105,0))),0,YEARFRAC(MAX($P$34*($B105+IF($R$17="Distrato",$I$38-1,0)),IF(AND($L$37=0,$P$34=0),"",$L$37-1),IF($R$17="Distrato",$E105,0)),MIN(AA$38,$D$19),$P$20))-SUM($P105:Z105)</f>
        <v>#VALUE!</v>
      </c>
      <c r="AB105" s="446" t="e">
        <f>IF(OR($B105="",MIN(AB$38,$D$19)&lt;MAX($P$34*($B105+IF($R$17="Distrato",$I$38-1,0)),IF(AND($L$37=0,$P$34=0),"",$L$37-1),IF($R$17="Distrato",$E105,0))),0,YEARFRAC(MAX($P$34*($B105+IF($R$17="Distrato",$I$38-1,0)),IF(AND($L$37=0,$P$34=0),"",$L$37-1),IF($R$17="Distrato",$E105,0)),MIN(AB$38,$D$19),$P$20))-SUM($P105:AA105)</f>
        <v>#VALUE!</v>
      </c>
      <c r="AC105" s="446" t="e">
        <f>IF(OR($B105="",MIN(AC$38,$D$19)&lt;MAX($P$34*($B105+IF($R$17="Distrato",$I$38-1,0)),IF(AND($L$37=0,$P$34=0),"",$L$37-1),IF($R$17="Distrato",$E105,0))),0,YEARFRAC(MAX($P$34*($B105+IF($R$17="Distrato",$I$38-1,0)),IF(AND($L$37=0,$P$34=0),"",$L$37-1),IF($R$17="Distrato",$E105,0)),MIN(AC$38,$D$19),$P$20))-SUM($P105:AB105)</f>
        <v>#VALUE!</v>
      </c>
      <c r="AD105" s="446" t="e">
        <f>IF(OR($B105="",MIN(AD$38,$D$19)&lt;MAX($P$34*($B105+IF($R$17="Distrato",$I$38-1,0)),IF(AND($L$37=0,$P$34=0),"",$L$37-1),IF($R$17="Distrato",$E105,0))),0,YEARFRAC(MAX($P$34*($B105+IF($R$17="Distrato",$I$38-1,0)),IF(AND($L$37=0,$P$34=0),"",$L$37-1),IF($R$17="Distrato",$E105,0)),MIN(AD$38,$D$19),$P$20))-SUM($P105:AC105)</f>
        <v>#VALUE!</v>
      </c>
      <c r="AE105" s="446" t="e">
        <f>IF(OR($B105="",MIN(AE$38,$D$19)&lt;MAX($P$34*($B105+IF($R$17="Distrato",$I$38-1,0)),IF(AND($L$37=0,$P$34=0),"",$L$37-1),IF($R$17="Distrato",$E105,0))),0,YEARFRAC(MAX($P$34*($B105+IF($R$17="Distrato",$I$38-1,0)),IF(AND($L$37=0,$P$34=0),"",$L$37-1),IF($R$17="Distrato",$E105,0)),MIN(AE$38,$D$19),$P$20))-SUM($P105:AD105)</f>
        <v>#VALUE!</v>
      </c>
      <c r="AF105" s="446" t="e">
        <f>IF(OR($B105="",MIN(AF$38,$D$19)&lt;MAX($P$34*($B105+IF($R$17="Distrato",$I$38-1,0)),IF(AND($L$37=0,$P$34=0),"",$L$37-1),IF($R$17="Distrato",$E105,0))),0,YEARFRAC(MAX($P$34*($B105+IF($R$17="Distrato",$I$38-1,0)),IF(AND($L$37=0,$P$34=0),"",$L$37-1),IF($R$17="Distrato",$E105,0)),MIN(AF$38,$D$19),$P$20))-SUM($P105:AE105)</f>
        <v>#VALUE!</v>
      </c>
      <c r="AG105" s="446" t="e">
        <f>IF(OR($B105="",MIN(AG$38,$D$19)&lt;MAX($P$34*($B105+IF($R$17="Distrato",$I$38-1,0)),IF(AND($L$37=0,$P$34=0),"",$L$37-1),IF($R$17="Distrato",$E105,0))),0,YEARFRAC(MAX($P$34*($B105+IF($R$17="Distrato",$I$38-1,0)),IF(AND($L$37=0,$P$34=0),"",$L$37-1),IF($R$17="Distrato",$E105,0)),MIN(AG$38,$D$19),$P$20))-SUM($P105:AF105)</f>
        <v>#VALUE!</v>
      </c>
      <c r="AH105" s="446" t="e">
        <f>IF(OR($B105="",MIN(AH$38,$D$19)&lt;MAX($P$34*($B105+IF($R$17="Distrato",$I$38-1,0)),IF(AND($L$37=0,$P$34=0),"",$L$37-1),IF($R$17="Distrato",$E105,0))),0,YEARFRAC(MAX($P$34*($B105+IF($R$17="Distrato",$I$38-1,0)),IF(AND($L$37=0,$P$34=0),"",$L$37-1),IF($R$17="Distrato",$E105,0)),MIN(AH$38,$D$19),$P$20))-SUM($P105:AG105)</f>
        <v>#VALUE!</v>
      </c>
      <c r="AI105" s="446" t="e">
        <f>IF(OR($B105="",MIN(AI$38,$D$19)&lt;MAX($P$34*($B105+IF($R$17="Distrato",$I$38-1,0)),IF(AND($L$37=0,$P$34=0),"",$L$37-1),IF($R$17="Distrato",$E105,0))),0,YEARFRAC(MAX($P$34*($B105+IF($R$17="Distrato",$I$38-1,0)),IF(AND($L$37=0,$P$34=0),"",$L$37-1),IF($R$17="Distrato",$E105,0)),MIN(AI$38,$D$19),$P$20))-SUM($P105:AH105)</f>
        <v>#VALUE!</v>
      </c>
      <c r="AJ105" s="446" t="e">
        <f>IF(OR($B105="",MIN(AJ$38,$D$19)&lt;MAX($P$34*($B105+IF($R$17="Distrato",$I$38-1,0)),IF(AND($L$37=0,$P$34=0),"",$L$37-1),IF($R$17="Distrato",$E105,0))),0,YEARFRAC(MAX($P$34*($B105+IF($R$17="Distrato",$I$38-1,0)),IF(AND($L$37=0,$P$34=0),"",$L$37-1),IF($R$17="Distrato",$E105,0)),MIN(AJ$38,$D$19),$P$20))-SUM($P105:AI105)</f>
        <v>#VALUE!</v>
      </c>
      <c r="AK105" s="446" t="e">
        <f>IF(OR($B105="",MIN(AK$38,$D$19)&lt;MAX($P$34*($B105+IF($R$17="Distrato",$I$38-1,0)),IF(AND($L$37=0,$P$34=0),"",$L$37-1),IF($R$17="Distrato",$E105,0))),0,YEARFRAC(MAX($P$34*($B105+IF($R$17="Distrato",$I$38-1,0)),IF(AND($L$37=0,$P$34=0),"",$L$37-1),IF($R$17="Distrato",$E105,0)),MIN(AK$38,$D$19),$P$20))-SUM($P105:AJ105)</f>
        <v>#VALUE!</v>
      </c>
      <c r="AL105" s="446" t="e">
        <f>IF(OR($B105="",MIN(AL$38,$D$19)&lt;MAX($P$34*($B105+IF($R$17="Distrato",$I$38-1,0)),IF(AND($L$37=0,$P$34=0),"",$L$37-1),IF($R$17="Distrato",$E105,0))),0,YEARFRAC(MAX($P$34*($B105+IF($R$17="Distrato",$I$38-1,0)),IF(AND($L$37=0,$P$34=0),"",$L$37-1),IF($R$17="Distrato",$E105,0)),MIN(AL$38,$D$19),$P$20))-SUM($P105:AK105)</f>
        <v>#VALUE!</v>
      </c>
      <c r="AM105" s="446" t="e">
        <f>IF(OR($B105="",MIN(AM$38,$D$19)&lt;MAX($P$34*($B105+IF($R$17="Distrato",$I$38-1,0)),IF(AND($L$37=0,$P$34=0),"",$L$37-1),IF($R$17="Distrato",$E105,0))),0,YEARFRAC(MAX($P$34*($B105+IF($R$17="Distrato",$I$38-1,0)),IF(AND($L$37=0,$P$34=0),"",$L$37-1),IF($R$17="Distrato",$E105,0)),MIN(AM$38,$D$19),$P$20))-SUM($P105:AL105)</f>
        <v>#VALUE!</v>
      </c>
      <c r="AN105" s="446" t="e">
        <f>IF(OR($B105="",MIN(AN$38,$D$19)&lt;MAX($P$34*($B105+IF($R$17="Distrato",$I$38-1,0)),IF(AND($L$37=0,$P$34=0),"",$L$37-1),IF($R$17="Distrato",$E105,0))),0,YEARFRAC(MAX($P$34*($B105+IF($R$17="Distrato",$I$38-1,0)),IF(AND($L$37=0,$P$34=0),"",$L$37-1),IF($R$17="Distrato",$E105,0)),MIN(AN$38,$D$19),$P$20))-SUM($P105:AM105)</f>
        <v>#VALUE!</v>
      </c>
      <c r="AO105" s="446" t="e">
        <f>IF(OR($B105="",MIN(AO$38,$D$19)&lt;MAX($P$34*($B105+IF($R$17="Distrato",$I$38-1,0)),IF(AND($L$37=0,$P$34=0),"",$L$37-1),IF($R$17="Distrato",$E105,0))),0,YEARFRAC(MAX($P$34*($B105+IF($R$17="Distrato",$I$38-1,0)),IF(AND($L$37=0,$P$34=0),"",$L$37-1),IF($R$17="Distrato",$E105,0)),MIN(AO$38,$D$19),$P$20))-SUM($P105:AN105)</f>
        <v>#VALUE!</v>
      </c>
      <c r="AP105" s="446" t="e">
        <f>IF(OR($B105="",MIN(AP$38,$D$19)&lt;MAX($P$34*($B105+IF($R$17="Distrato",$I$38-1,0)),IF(AND($L$37=0,$P$34=0),"",$L$37-1),IF($R$17="Distrato",$E105,0))),0,YEARFRAC(MAX($P$34*($B105+IF($R$17="Distrato",$I$38-1,0)),IF(AND($L$37=0,$P$34=0),"",$L$37-1),IF($R$17="Distrato",$E105,0)),MIN(AP$38,$D$19),$P$20))-SUM($P105:AO105)</f>
        <v>#VALUE!</v>
      </c>
      <c r="AQ105" s="446" t="e">
        <f>IF(OR($B105="",MIN(AQ$38,$D$19)&lt;MAX($P$34*($B105+IF($R$17="Distrato",$I$38-1,0)),IF(AND($L$37=0,$P$34=0),"",$L$37-1),IF($R$17="Distrato",$E105,0))),0,YEARFRAC(MAX($P$34*($B105+IF($R$17="Distrato",$I$38-1,0)),IF(AND($L$37=0,$P$34=0),"",$L$37-1),IF($R$17="Distrato",$E105,0)),MIN(AQ$38,$D$19),$P$20))-SUM($P105:AP105)</f>
        <v>#VALUE!</v>
      </c>
      <c r="AR105" s="446" t="e">
        <f>IF(OR($B105="",MIN(AR$38,$D$19)&lt;MAX($P$34*($B105+IF($R$17="Distrato",$I$38-1,0)),IF(AND($L$37=0,$P$34=0),"",$L$37-1),IF($R$17="Distrato",$E105,0))),0,YEARFRAC(MAX($P$34*($B105+IF($R$17="Distrato",$I$38-1,0)),IF(AND($L$37=0,$P$34=0),"",$L$37-1),IF($R$17="Distrato",$E105,0)),MIN(AR$38,$D$19),$P$20))-SUM($P105:AQ105)</f>
        <v>#VALUE!</v>
      </c>
      <c r="AS105" s="446" t="e">
        <f>IF(OR($B105="",MIN(AS$38,$D$19)&lt;MAX($P$34*($B105+IF($R$17="Distrato",$I$38-1,0)),IF(AND($L$37=0,$P$34=0),"",$L$37-1),IF($R$17="Distrato",$E105,0))),0,YEARFRAC(MAX($P$34*($B105+IF($R$17="Distrato",$I$38-1,0)),IF(AND($L$37=0,$P$34=0),"",$L$37-1),IF($R$17="Distrato",$E105,0)),MIN(AS$38,$D$19),$P$20))-SUM($P105:AR105)</f>
        <v>#VALUE!</v>
      </c>
      <c r="AT105" s="446" t="e">
        <f>IF(OR($B105="",MIN(AT$38,$D$19)&lt;MAX($P$34*($B105+IF($R$17="Distrato",$I$38-1,0)),IF(AND($L$37=0,$P$34=0),"",$L$37-1),IF($R$17="Distrato",$E105,0))),0,YEARFRAC(MAX($P$34*($B105+IF($R$17="Distrato",$I$38-1,0)),IF(AND($L$37=0,$P$34=0),"",$L$37-1),IF($R$17="Distrato",$E105,0)),MIN(AT$38,$D$19),$P$20))-SUM($P105:AS105)</f>
        <v>#VALUE!</v>
      </c>
      <c r="AU105" s="446" t="e">
        <f>IF(OR($B105="",MIN(AU$38,$D$19)&lt;MAX($P$34*($B105+IF($R$17="Distrato",$I$38-1,0)),IF(AND($L$37=0,$P$34=0),"",$L$37-1),IF($R$17="Distrato",$E105,0))),0,YEARFRAC(MAX($P$34*($B105+IF($R$17="Distrato",$I$38-1,0)),IF(AND($L$37=0,$P$34=0),"",$L$37-1),IF($R$17="Distrato",$E105,0)),MIN(AU$38,$D$19),$P$20))-SUM($P105:AT105)</f>
        <v>#VALUE!</v>
      </c>
      <c r="AV105" s="446" t="e">
        <f>IF(OR($B105="",MIN(AV$38,$D$19)&lt;MAX($P$34*($B105+IF($R$17="Distrato",$I$38-1,0)),IF(AND($L$37=0,$P$34=0),"",$L$37-1),IF($R$17="Distrato",$E105,0))),0,YEARFRAC(MAX($P$34*($B105+IF($R$17="Distrato",$I$38-1,0)),IF(AND($L$37=0,$P$34=0),"",$L$37-1),IF($R$17="Distrato",$E105,0)),MIN(AV$38,$D$19),$P$20))-SUM($P105:AU105)</f>
        <v>#VALUE!</v>
      </c>
      <c r="AW105" s="446" t="e">
        <f>IF(OR($B105="",MIN(AW$38,$D$19)&lt;MAX($P$34*($B105+IF($R$17="Distrato",$I$38-1,0)),IF(AND($L$37=0,$P$34=0),"",$L$37-1),IF($R$17="Distrato",$E105,0))),0,YEARFRAC(MAX($P$34*($B105+IF($R$17="Distrato",$I$38-1,0)),IF(AND($L$37=0,$P$34=0),"",$L$37-1),IF($R$17="Distrato",$E105,0)),MIN(AW$38,$D$19),$P$20))-SUM($P105:AV105)</f>
        <v>#VALUE!</v>
      </c>
      <c r="AX105" s="446" t="e">
        <f>IF(OR($B105="",MIN(AX$38,$D$19)&lt;MAX($P$34*($B105+IF($R$17="Distrato",$I$38-1,0)),IF(AND($L$37=0,$P$34=0),"",$L$37-1),IF($R$17="Distrato",$E105,0))),0,YEARFRAC(MAX($P$34*($B105+IF($R$17="Distrato",$I$38-1,0)),IF(AND($L$37=0,$P$34=0),"",$L$37-1),IF($R$17="Distrato",$E105,0)),MIN(AX$38,$D$19),$P$20))-SUM($P105:AW105)</f>
        <v>#VALUE!</v>
      </c>
      <c r="AY105" s="446" t="e">
        <f>IF(OR($B105="",MIN(AY$38,$D$19)&lt;MAX($P$34*($B105+IF($R$17="Distrato",$I$38-1,0)),IF(AND($L$37=0,$P$34=0),"",$L$37-1),IF($R$17="Distrato",$E105,0))),0,YEARFRAC(MAX($P$34*($B105+IF($R$17="Distrato",$I$38-1,0)),IF(AND($L$37=0,$P$34=0),"",$L$37-1),IF($R$17="Distrato",$E105,0)),MIN(AY$38,$D$19),$P$20))-SUM($P105:AX105)</f>
        <v>#VALUE!</v>
      </c>
      <c r="AZ105" s="446" t="e">
        <f>IF(OR($B105="",MIN(AZ$38,$D$19)&lt;MAX($P$34*($B105+IF($R$17="Distrato",$I$38-1,0)),IF(AND($L$37=0,$P$34=0),"",$L$37-1),IF($R$17="Distrato",$E105,0))),0,YEARFRAC(MAX($P$34*($B105+IF($R$17="Distrato",$I$38-1,0)),IF(AND($L$37=0,$P$34=0),"",$L$37-1),IF($R$17="Distrato",$E105,0)),MIN(AZ$38,$D$19),$P$20))-SUM($P105:AY105)</f>
        <v>#VALUE!</v>
      </c>
      <c r="BA105" s="446" t="e">
        <f>IF(OR($B105="",MIN(BA$38,$D$19)&lt;MAX($P$34*($B105+IF($R$17="Distrato",$I$38-1,0)),IF(AND($L$37=0,$P$34=0),"",$L$37-1),IF($R$17="Distrato",$E105,0))),0,YEARFRAC(MAX($P$34*($B105+IF($R$17="Distrato",$I$38-1,0)),IF(AND($L$37=0,$P$34=0),"",$L$37-1),IF($R$17="Distrato",$E105,0)),MIN(BA$38,$D$19),$P$20))-SUM($P105:AZ105)</f>
        <v>#VALUE!</v>
      </c>
      <c r="BB105" s="447"/>
      <c r="BF105" s="446">
        <f t="shared" si="21"/>
        <v>0</v>
      </c>
      <c r="BG105" s="446">
        <f>IF($E105=0,0,IF(MIN(BG$38,$E105)&lt;MAX($P$34*($B105+$I$38-1),IF(AND($L$37=0,$P$34=0),"",$L$37-1)),0,YEARFRAC(MAX($P$34*($B105+$I$38-1),IF(AND($L$37=0,$P$34=0),"",$L$37-1)),MIN(BG$38,$E105),$P$20))-SUM($BF105:BF105))</f>
        <v>0</v>
      </c>
      <c r="BH105" s="446">
        <f>IF($E105=0,0,IF(MIN(BH$38,$E105)&lt;MAX($P$34*($B105+$I$38-1),IF(AND($L$37=0,$P$34=0),"",$L$37-1)),0,YEARFRAC(MAX($P$34*($B105+$I$38-1),IF(AND($L$37=0,$P$34=0),"",$L$37-1)),MIN(BH$38,$E105),$P$20))-SUM($BF105:BG105))</f>
        <v>0</v>
      </c>
      <c r="BI105" s="446">
        <f>IF($E105=0,0,IF(MIN(BI$38,$E105)&lt;MAX($P$34*($B105+$I$38-1),IF(AND($L$37=0,$P$34=0),"",$L$37-1)),0,YEARFRAC(MAX($P$34*($B105+$I$38-1),IF(AND($L$37=0,$P$34=0),"",$L$37-1)),MIN(BI$38,$E105),$P$20))-SUM($BF105:BH105))</f>
        <v>0</v>
      </c>
      <c r="BJ105" s="446">
        <f>IF($E105=0,0,IF(MIN(BJ$38,$E105)&lt;MAX($P$34*($B105+$I$38-1),IF(AND($L$37=0,$P$34=0),"",$L$37-1)),0,YEARFRAC(MAX($P$34*($B105+$I$38-1),IF(AND($L$37=0,$P$34=0),"",$L$37-1)),MIN(BJ$38,$E105),$P$20))-SUM($BF105:BI105))</f>
        <v>0</v>
      </c>
      <c r="BK105" s="446">
        <f>IF($E105=0,0,IF(MIN(BK$38,$E105)&lt;MAX($P$34*($B105+$I$38-1),IF(AND($L$37=0,$P$34=0),"",$L$37-1)),0,YEARFRAC(MAX($P$34*($B105+$I$38-1),IF(AND($L$37=0,$P$34=0),"",$L$37-1)),MIN(BK$38,$E105),$P$20))-SUM($BF105:BJ105))</f>
        <v>0</v>
      </c>
      <c r="BL105" s="446">
        <f>IF($E105=0,0,IF(MIN(BL$38,$E105)&lt;MAX($P$34*($B105+$I$38-1),IF(AND($L$37=0,$P$34=0),"",$L$37-1)),0,YEARFRAC(MAX($P$34*($B105+$I$38-1),IF(AND($L$37=0,$P$34=0),"",$L$37-1)),MIN(BL$38,$E105),$P$20))-SUM($BF105:BK105))</f>
        <v>0</v>
      </c>
      <c r="BM105" s="446">
        <f>IF($E105=0,0,IF(MIN(BM$38,$E105)&lt;MAX($P$34*($B105+$I$38-1),IF(AND($L$37=0,$P$34=0),"",$L$37-1)),0,YEARFRAC(MAX($P$34*($B105+$I$38-1),IF(AND($L$37=0,$P$34=0),"",$L$37-1)),MIN(BM$38,$E105),$P$20))-SUM($BF105:BL105))</f>
        <v>0</v>
      </c>
      <c r="BN105" s="446">
        <f>IF($E105=0,0,IF(MIN(BN$38,$E105)&lt;MAX($P$34*($B105+$I$38-1),IF(AND($L$37=0,$P$34=0),"",$L$37-1)),0,YEARFRAC(MAX($P$34*($B105+$I$38-1),IF(AND($L$37=0,$P$34=0),"",$L$37-1)),MIN(BN$38,$E105),$P$20))-SUM($BF105:BM105))</f>
        <v>0</v>
      </c>
      <c r="BO105" s="446">
        <f>IF($E105=0,0,IF(MIN(BO$38,$E105)&lt;MAX($P$34*($B105+$I$38-1),IF(AND($L$37=0,$P$34=0),"",$L$37-1)),0,YEARFRAC(MAX($P$34*($B105+$I$38-1),IF(AND($L$37=0,$P$34=0),"",$L$37-1)),MIN(BO$38,$E105),$P$20))-SUM($BF105:BN105))</f>
        <v>0</v>
      </c>
      <c r="BP105" s="446">
        <f>IF($E105=0,0,IF(MIN(BP$38,$E105)&lt;MAX($P$34*($B105+$I$38-1),IF(AND($L$37=0,$P$34=0),"",$L$37-1)),0,YEARFRAC(MAX($P$34*($B105+$I$38-1),IF(AND($L$37=0,$P$34=0),"",$L$37-1)),MIN(BP$38,$E105),$P$20))-SUM($BF105:BO105))</f>
        <v>0</v>
      </c>
      <c r="BQ105" s="446">
        <f>IF($E105=0,0,IF(MIN(BQ$38,$E105)&lt;MAX($P$34*($B105+$I$38-1),IF(AND($L$37=0,$P$34=0),"",$L$37-1)),0,YEARFRAC(MAX($P$34*($B105+$I$38-1),IF(AND($L$37=0,$P$34=0),"",$L$37-1)),MIN(BQ$38,$E105),$P$20))-SUM($BF105:BP105))</f>
        <v>0</v>
      </c>
      <c r="BR105" s="446">
        <f>IF($E105=0,0,IF(MIN(BR$38,$E105)&lt;MAX($P$34*($B105+$I$38-1),IF(AND($L$37=0,$P$34=0),"",$L$37-1)),0,YEARFRAC(MAX($P$34*($B105+$I$38-1),IF(AND($L$37=0,$P$34=0),"",$L$37-1)),MIN(BR$38,$E105),$P$20))-SUM($BF105:BQ105))</f>
        <v>0</v>
      </c>
      <c r="BS105" s="446">
        <f>IF($E105=0,0,IF(MIN(BS$38,$E105)&lt;MAX($P$34*($B105+$I$38-1),IF(AND($L$37=0,$P$34=0),"",$L$37-1)),0,YEARFRAC(MAX($P$34*($B105+$I$38-1),IF(AND($L$37=0,$P$34=0),"",$L$37-1)),MIN(BS$38,$E105),$P$20))-SUM($BF105:BR105))</f>
        <v>0</v>
      </c>
      <c r="BT105" s="446">
        <f>IF($E105=0,0,IF(MIN(BT$38,$E105)&lt;MAX($P$34*($B105+$I$38-1),IF(AND($L$37=0,$P$34=0),"",$L$37-1)),0,YEARFRAC(MAX($P$34*($B105+$I$38-1),IF(AND($L$37=0,$P$34=0),"",$L$37-1)),MIN(BT$38,$E105),$P$20))-SUM($BF105:BS105))</f>
        <v>0</v>
      </c>
      <c r="BU105" s="446">
        <f>IF($E105=0,0,IF(MIN(BU$38,$E105)&lt;MAX($P$34*($B105+$I$38-1),IF(AND($L$37=0,$P$34=0),"",$L$37-1)),0,YEARFRAC(MAX($P$34*($B105+$I$38-1),IF(AND($L$37=0,$P$34=0),"",$L$37-1)),MIN(BU$38,$E105),$P$20))-SUM($BF105:BT105))</f>
        <v>0</v>
      </c>
      <c r="BV105" s="446">
        <f>IF($E105=0,0,IF(MIN(BV$38,$E105)&lt;MAX($P$34*($B105+$I$38-1),IF(AND($L$37=0,$P$34=0),"",$L$37-1)),0,YEARFRAC(MAX($P$34*($B105+$I$38-1),IF(AND($L$37=0,$P$34=0),"",$L$37-1)),MIN(BV$38,$E105),$P$20))-SUM($BF105:BU105))</f>
        <v>0</v>
      </c>
      <c r="BW105" s="446">
        <f>IF($E105=0,0,IF(MIN(BW$38,$E105)&lt;MAX($P$34*($B105+$I$38-1),IF(AND($L$37=0,$P$34=0),"",$L$37-1)),0,YEARFRAC(MAX($P$34*($B105+$I$38-1),IF(AND($L$37=0,$P$34=0),"",$L$37-1)),MIN(BW$38,$E105),$P$20))-SUM($BF105:BV105))</f>
        <v>0</v>
      </c>
      <c r="BX105" s="446">
        <f>IF($E105=0,0,IF(MIN(BX$38,$E105)&lt;MAX($P$34*($B105+$I$38-1),IF(AND($L$37=0,$P$34=0),"",$L$37-1)),0,YEARFRAC(MAX($P$34*($B105+$I$38-1),IF(AND($L$37=0,$P$34=0),"",$L$37-1)),MIN(BX$38,$E105),$P$20))-SUM($BF105:BW105))</f>
        <v>0</v>
      </c>
      <c r="BY105" s="446">
        <f>IF($E105=0,0,IF(MIN(BY$38,$E105)&lt;MAX($P$34*($B105+$I$38-1),IF(AND($L$37=0,$P$34=0),"",$L$37-1)),0,YEARFRAC(MAX($P$34*($B105+$I$38-1),IF(AND($L$37=0,$P$34=0),"",$L$37-1)),MIN(BY$38,$E105),$P$20))-SUM($BF105:BX105))</f>
        <v>0</v>
      </c>
      <c r="BZ105" s="446">
        <f>IF($E105=0,0,IF(MIN(BZ$38,$E105)&lt;MAX($P$34*($B105+$I$38-1),IF(AND($L$37=0,$P$34=0),"",$L$37-1)),0,YEARFRAC(MAX($P$34*($B105+$I$38-1),IF(AND($L$37=0,$P$34=0),"",$L$37-1)),MIN(BZ$38,$E105),$P$20))-SUM($BF105:BY105))</f>
        <v>0</v>
      </c>
      <c r="CA105" s="446">
        <f>IF($E105=0,0,IF(MIN(CA$38,$E105)&lt;MAX($P$34*($B105+$I$38-1),IF(AND($L$37=0,$P$34=0),"",$L$37-1)),0,YEARFRAC(MAX($P$34*($B105+$I$38-1),IF(AND($L$37=0,$P$34=0),"",$L$37-1)),MIN(CA$38,$E105),$P$20))-SUM($BF105:BZ105))</f>
        <v>0</v>
      </c>
      <c r="CB105" s="446">
        <f>IF($E105=0,0,IF(MIN(CB$38,$E105)&lt;MAX($P$34*($B105+$I$38-1),IF(AND($L$37=0,$P$34=0),"",$L$37-1)),0,YEARFRAC(MAX($P$34*($B105+$I$38-1),IF(AND($L$37=0,$P$34=0),"",$L$37-1)),MIN(CB$38,$E105),$P$20))-SUM($BF105:CA105))</f>
        <v>0</v>
      </c>
      <c r="CC105" s="446">
        <f>IF($E105=0,0,IF(MIN(CC$38,$E105)&lt;MAX($P$34*($B105+$I$38-1),IF(AND($L$37=0,$P$34=0),"",$L$37-1)),0,YEARFRAC(MAX($P$34*($B105+$I$38-1),IF(AND($L$37=0,$P$34=0),"",$L$37-1)),MIN(CC$38,$E105),$P$20))-SUM($BF105:CB105))</f>
        <v>0</v>
      </c>
      <c r="CD105" s="446">
        <f>IF($E105=0,0,IF(MIN(CD$38,$E105)&lt;MAX($P$34*($B105+$I$38-1),IF(AND($L$37=0,$P$34=0),"",$L$37-1)),0,YEARFRAC(MAX($P$34*($B105+$I$38-1),IF(AND($L$37=0,$P$34=0),"",$L$37-1)),MIN(CD$38,$E105),$P$20))-SUM($BF105:CC105))</f>
        <v>0</v>
      </c>
      <c r="CE105" s="446">
        <f>IF($E105=0,0,IF(MIN(CE$38,$E105)&lt;MAX($P$34*($B105+$I$38-1),IF(AND($L$37=0,$P$34=0),"",$L$37-1)),0,YEARFRAC(MAX($P$34*($B105+$I$38-1),IF(AND($L$37=0,$P$34=0),"",$L$37-1)),MIN(CE$38,$E105),$P$20))-SUM($BF105:CD105))</f>
        <v>0</v>
      </c>
      <c r="CF105" s="446">
        <f>IF($E105=0,0,IF(MIN(CF$38,$E105)&lt;MAX($P$34*($B105+$I$38-1),IF(AND($L$37=0,$P$34=0),"",$L$37-1)),0,YEARFRAC(MAX($P$34*($B105+$I$38-1),IF(AND($L$37=0,$P$34=0),"",$L$37-1)),MIN(CF$38,$E105),$P$20))-SUM($BF105:CE105))</f>
        <v>0</v>
      </c>
      <c r="CG105" s="446">
        <f>IF($E105=0,0,IF(MIN(CG$38,$E105)&lt;MAX($P$34*($B105+$I$38-1),IF(AND($L$37=0,$P$34=0),"",$L$37-1)),0,YEARFRAC(MAX($P$34*($B105+$I$38-1),IF(AND($L$37=0,$P$34=0),"",$L$37-1)),MIN(CG$38,$E105),$P$20))-SUM($BF105:CF105))</f>
        <v>0</v>
      </c>
      <c r="CH105" s="446">
        <f>IF($E105=0,0,IF(MIN(CH$38,$E105)&lt;MAX($P$34*($B105+$I$38-1),IF(AND($L$37=0,$P$34=0),"",$L$37-1)),0,YEARFRAC(MAX($P$34*($B105+$I$38-1),IF(AND($L$37=0,$P$34=0),"",$L$37-1)),MIN(CH$38,$E105),$P$20))-SUM($BF105:CG105))</f>
        <v>0</v>
      </c>
      <c r="CI105" s="446">
        <f>IF($E105=0,0,IF(MIN(CI$38,$E105)&lt;MAX($P$34*($B105+$I$38-1),IF(AND($L$37=0,$P$34=0),"",$L$37-1)),0,YEARFRAC(MAX($P$34*($B105+$I$38-1),IF(AND($L$37=0,$P$34=0),"",$L$37-1)),MIN(CI$38,$E105),$P$20))-SUM($BF105:CH105))</f>
        <v>0</v>
      </c>
      <c r="CJ105" s="446">
        <f>IF($E105=0,0,IF(MIN(CJ$38,$E105)&lt;MAX($P$34*($B105+$I$38-1),IF(AND($L$37=0,$P$34=0),"",$L$37-1)),0,YEARFRAC(MAX($P$34*($B105+$I$38-1),IF(AND($L$37=0,$P$34=0),"",$L$37-1)),MIN(CJ$38,$E105),$P$20))-SUM($BF105:CI105))</f>
        <v>0</v>
      </c>
      <c r="CK105" s="446">
        <f>IF($E105=0,0,IF(MIN(CK$38,$E105)&lt;MAX($P$34*($B105+$I$38-1),IF(AND($L$37=0,$P$34=0),"",$L$37-1)),0,YEARFRAC(MAX($P$34*($B105+$I$38-1),IF(AND($L$37=0,$P$34=0),"",$L$37-1)),MIN(CK$38,$E105),$P$20))-SUM($BF105:CJ105))</f>
        <v>0</v>
      </c>
      <c r="CL105" s="446">
        <f>IF($E105=0,0,IF(MIN(CL$38,$E105)&lt;MAX($P$34*($B105+$I$38-1),IF(AND($L$37=0,$P$34=0),"",$L$37-1)),0,YEARFRAC(MAX($P$34*($B105+$I$38-1),IF(AND($L$37=0,$P$34=0),"",$L$37-1)),MIN(CL$38,$E105),$P$20))-SUM($BF105:CK105))</f>
        <v>0</v>
      </c>
      <c r="CM105" s="446">
        <f>IF($E105=0,0,IF(MIN(CM$38,$E105)&lt;MAX($P$34*($B105+$I$38-1),IF(AND($L$37=0,$P$34=0),"",$L$37-1)),0,YEARFRAC(MAX($P$34*($B105+$I$38-1),IF(AND($L$37=0,$P$34=0),"",$L$37-1)),MIN(CM$38,$E105),$P$20))-SUM($BF105:CL105))</f>
        <v>0</v>
      </c>
      <c r="CN105" s="446">
        <f>IF($E105=0,0,IF(MIN(CN$38,$E105)&lt;MAX($P$34*($B105+$I$38-1),IF(AND($L$37=0,$P$34=0),"",$L$37-1)),0,YEARFRAC(MAX($P$34*($B105+$I$38-1),IF(AND($L$37=0,$P$34=0),"",$L$37-1)),MIN(CN$38,$E105),$P$20))-SUM($BF105:CM105))</f>
        <v>0</v>
      </c>
      <c r="CO105" s="446">
        <f>IF($E105=0,0,IF(MIN(CO$38,$E105)&lt;MAX($P$34*($B105+$I$38-1),IF(AND($L$37=0,$P$34=0),"",$L$37-1)),0,YEARFRAC(MAX($P$34*($B105+$I$38-1),IF(AND($L$37=0,$P$34=0),"",$L$37-1)),MIN(CO$38,$E105),$P$20))-SUM($BF105:CN105))</f>
        <v>0</v>
      </c>
      <c r="CP105" s="446">
        <f>IF($E105=0,0,IF(MIN(CP$38,$E105)&lt;MAX($P$34*($B105+$I$38-1),IF(AND($L$37=0,$P$34=0),"",$L$37-1)),0,YEARFRAC(MAX($P$34*($B105+$I$38-1),IF(AND($L$37=0,$P$34=0),"",$L$37-1)),MIN(CP$38,$E105),$P$20))-SUM($BF105:CO105))</f>
        <v>0</v>
      </c>
      <c r="CQ105" s="446">
        <f>IF($E105=0,0,IF(MIN(CQ$38,$E105)&lt;MAX($P$34*($B105+$I$38-1),IF(AND($L$37=0,$P$34=0),"",$L$37-1)),0,YEARFRAC(MAX($P$34*($B105+$I$38-1),IF(AND($L$37=0,$P$34=0),"",$L$37-1)),MIN(CQ$38,$E105),$P$20))-SUM($BF105:CP105))</f>
        <v>0</v>
      </c>
    </row>
    <row r="106" spans="1:95" s="446" customFormat="1" ht="11.25" hidden="1" customHeight="1" x14ac:dyDescent="0.2">
      <c r="A106" s="152"/>
      <c r="B106" s="153" t="str">
        <f t="shared" ref="B106:B169" si="26">IF(B105="","",IF(AND(MONTH(B105)=12,MONTH(B104)=11,$B$38="com 13º"),IF(B105&gt;$D$19,"",B105),IF(DATE(YEAR(B105),MONTH(B105)+1,DAY(B105))&gt;$D$19,"",DATE(YEAR(B105),MONTH(B105)+1,DAY(B105)))))</f>
        <v/>
      </c>
      <c r="C106" s="29" t="str">
        <f>IF(B106="","",IF($L$35="SELIC - TRIBUTOS",VLOOKUP(DATE(YEAR($D$19),MONTH($D$19)-1,1),ÍNDICES!$A:$DE,HLOOKUP($BL$25,ÍNDICES!$B$3:$T$4,2)+11)-VLOOKUP(B106,ÍNDICES!$A:$DE,HLOOKUP($BL$25,ÍNDICES!$B$3:$T$4,2)+11)+1%,IF(C$38=$W$26,$J$35,IF(ISERROR(IF(B106&gt;$D$19,1,VLOOKUP(DATE(YEAR(B106),MONTH(B106)+IF($C$35=$S$23,1,0),1),ÍNDICES!$A:$DE,$Z$35+1))),"",IF(B106&gt;$D$19,1,VLOOKUP(DATE(YEAR(B106),MONTH(B106)+IF($C$35=$S$23,1,0),1),ÍNDICES!$A:$DE,$Z$35+1))))))</f>
        <v/>
      </c>
      <c r="D106" s="154" t="str">
        <f>IF(ISERROR(IF(OR($D$38=$Y$27,$B106=""),"",VLOOKUP(B106,ÍNDICES!A:DE,AF$35+1))),"",IF(OR($D$38=$Y$27,$B106=""),"",VLOOKUP(B106,ÍNDICES!A:DE,AF$35+1)))</f>
        <v/>
      </c>
      <c r="E106" s="153"/>
      <c r="F106" s="29" t="str">
        <f>IF(E106="","",IF($L$35="SELIC - TRIBUTOS",VLOOKUP(DATE(YEAR($D$19),MONTH($D$19)-1,1),ÍNDICES!$A:$DE,HLOOKUP($BL$25,ÍNDICES!$B$3:$T$4,2)+11)-VLOOKUP(E106,ÍNDICES!$A:$DE,HLOOKUP($BL$25,ÍNDICES!$B$3:$T$4,2)+11)+1%,IF(F$38=$W$26,$J$35,IF(ISERROR(IF(E106&gt;$D$19,1,VLOOKUP(DATE(YEAR(E106),MONTH(E106)+IF($C$35=$S$23,1,0),1),ÍNDICES!$A:$DE,$Z$35+1))),"",IF(E106&gt;$D$19,1,VLOOKUP(DATE(YEAR(E106),MONTH(E106)+IF($C$35=$S$23,1,0),1),ÍNDICES!$A:$DE,$Z$35+1))))))</f>
        <v/>
      </c>
      <c r="G106" s="155"/>
      <c r="H106" s="156" t="str">
        <f t="shared" si="22"/>
        <v/>
      </c>
      <c r="I106" s="29" t="str">
        <f t="shared" si="16"/>
        <v/>
      </c>
      <c r="J106" s="5">
        <f t="shared" si="17"/>
        <v>0</v>
      </c>
      <c r="K106" s="20">
        <f t="shared" ca="1" si="18"/>
        <v>0</v>
      </c>
      <c r="L106" s="5">
        <f t="shared" ca="1" si="19"/>
        <v>0</v>
      </c>
      <c r="M106" s="64">
        <f t="shared" si="23"/>
        <v>0</v>
      </c>
      <c r="N106" s="61">
        <f t="shared" ca="1" si="24"/>
        <v>0</v>
      </c>
      <c r="O106" s="5">
        <f t="shared" ca="1" si="25"/>
        <v>0</v>
      </c>
      <c r="P106" s="446" t="e">
        <f t="shared" si="20"/>
        <v>#VALUE!</v>
      </c>
      <c r="Q106" s="446" t="e">
        <f>IF(OR($B106="",MIN(Q$38,$D$19)&lt;MAX($P$34*($B106+IF($R$17="Distrato",$I$38-1,0)),IF(AND($L$37=0,$P$34=0),"",$L$37-1),IF($R$17="Distrato",$E106,0))),0,YEARFRAC(MAX($P$34*($B106+IF($R$17="Distrato",$I$38-1,0)),IF(AND($L$37=0,$P$34=0),"",$L$37-1),IF($R$17="Distrato",$E106,0)),MIN(Q$38,$D$19),$P$20))-SUM($P106:P106)</f>
        <v>#VALUE!</v>
      </c>
      <c r="R106" s="446" t="e">
        <f>IF(OR($B106="",MIN(R$38,$D$19)&lt;MAX($P$34*($B106+IF($R$17="Distrato",$I$38-1,0)),IF(AND($L$37=0,$P$34=0),"",$L$37-1),IF($R$17="Distrato",$E106,0))),0,YEARFRAC(MAX($P$34*($B106+IF($R$17="Distrato",$I$38-1,0)),IF(AND($L$37=0,$P$34=0),"",$L$37-1),IF($R$17="Distrato",$E106,0)),MIN(R$38,$D$19),$P$20))-SUM($P106:Q106)</f>
        <v>#VALUE!</v>
      </c>
      <c r="S106" s="446" t="e">
        <f>IF(OR($B106="",MIN(S$38,$D$19)&lt;MAX($P$34*($B106+IF($R$17="Distrato",$I$38-1,0)),IF(AND($L$37=0,$P$34=0),"",$L$37-1),IF($R$17="Distrato",$E106,0))),0,YEARFRAC(MAX($P$34*($B106+IF($R$17="Distrato",$I$38-1,0)),IF(AND($L$37=0,$P$34=0),"",$L$37-1),IF($R$17="Distrato",$E106,0)),MIN(S$38,$D$19),$P$20))-SUM($P106:R106)</f>
        <v>#VALUE!</v>
      </c>
      <c r="T106" s="446" t="e">
        <f>IF(OR($B106="",MIN(T$38,$D$19)&lt;MAX($P$34*($B106+IF($R$17="Distrato",$I$38-1,0)),IF(AND($L$37=0,$P$34=0),"",$L$37-1),IF($R$17="Distrato",$E106,0))),0,YEARFRAC(MAX($P$34*($B106+IF($R$17="Distrato",$I$38-1,0)),IF(AND($L$37=0,$P$34=0),"",$L$37-1),IF($R$17="Distrato",$E106,0)),MIN(T$38,$D$19),$P$20))-SUM($P106:S106)</f>
        <v>#VALUE!</v>
      </c>
      <c r="U106" s="446" t="e">
        <f>IF(OR($B106="",MIN(U$38,$D$19)&lt;MAX($P$34*($B106+IF($R$17="Distrato",$I$38-1,0)),IF(AND($L$37=0,$P$34=0),"",$L$37-1),IF($R$17="Distrato",$E106,0))),0,YEARFRAC(MAX($P$34*($B106+IF($R$17="Distrato",$I$38-1,0)),IF(AND($L$37=0,$P$34=0),"",$L$37-1),IF($R$17="Distrato",$E106,0)),MIN(U$38,$D$19),$P$20))-SUM($P106:T106)</f>
        <v>#VALUE!</v>
      </c>
      <c r="V106" s="446" t="e">
        <f>IF(OR($B106="",MIN(V$38,$D$19)&lt;MAX($P$34*($B106+IF($R$17="Distrato",$I$38-1,0)),IF(AND($L$37=0,$P$34=0),"",$L$37-1),IF($R$17="Distrato",$E106,0))),0,YEARFRAC(MAX($P$34*($B106+IF($R$17="Distrato",$I$38-1,0)),IF(AND($L$37=0,$P$34=0),"",$L$37-1),IF($R$17="Distrato",$E106,0)),MIN(V$38,$D$19),$P$20))-SUM($P106:U106)</f>
        <v>#VALUE!</v>
      </c>
      <c r="W106" s="446" t="e">
        <f>IF(OR($B106="",MIN(W$38,$D$19)&lt;MAX($P$34*($B106+IF($R$17="Distrato",$I$38-1,0)),IF(AND($L$37=0,$P$34=0),"",$L$37-1),IF($R$17="Distrato",$E106,0))),0,YEARFRAC(MAX($P$34*($B106+IF($R$17="Distrato",$I$38-1,0)),IF(AND($L$37=0,$P$34=0),"",$L$37-1),IF($R$17="Distrato",$E106,0)),MIN(W$38,$D$19),$P$20))-SUM($P106:V106)</f>
        <v>#VALUE!</v>
      </c>
      <c r="X106" s="446" t="e">
        <f>IF(OR($B106="",MIN(X$38,$D$19)&lt;MAX($P$34*($B106+IF($R$17="Distrato",$I$38-1,0)),IF(AND($L$37=0,$P$34=0),"",$L$37-1),IF($R$17="Distrato",$E106,0))),0,YEARFRAC(MAX($P$34*($B106+IF($R$17="Distrato",$I$38-1,0)),IF(AND($L$37=0,$P$34=0),"",$L$37-1),IF($R$17="Distrato",$E106,0)),MIN(X$38,$D$19),$P$20))-SUM($P106:W106)</f>
        <v>#VALUE!</v>
      </c>
      <c r="Y106" s="446" t="e">
        <f>IF(OR($B106="",MIN(Y$38,$D$19)&lt;MAX($P$34*($B106+IF($R$17="Distrato",$I$38-1,0)),IF(AND($L$37=0,$P$34=0),"",$L$37-1),IF($R$17="Distrato",$E106,0))),0,YEARFRAC(MAX($P$34*($B106+IF($R$17="Distrato",$I$38-1,0)),IF(AND($L$37=0,$P$34=0),"",$L$37-1),IF($R$17="Distrato",$E106,0)),MIN(Y$38,$D$19),$P$20))-SUM($P106:X106)</f>
        <v>#VALUE!</v>
      </c>
      <c r="Z106" s="446" t="e">
        <f>IF(OR($B106="",MIN(Z$38,$D$19)&lt;MAX($P$34*($B106+IF($R$17="Distrato",$I$38-1,0)),IF(AND($L$37=0,$P$34=0),"",$L$37-1),IF($R$17="Distrato",$E106,0))),0,YEARFRAC(MAX($P$34*($B106+IF($R$17="Distrato",$I$38-1,0)),IF(AND($L$37=0,$P$34=0),"",$L$37-1),IF($R$17="Distrato",$E106,0)),MIN(Z$38,$D$19),$P$20))-SUM($P106:Y106)</f>
        <v>#VALUE!</v>
      </c>
      <c r="AA106" s="446" t="e">
        <f>IF(OR($B106="",MIN(AA$38,$D$19)&lt;MAX($P$34*($B106+IF($R$17="Distrato",$I$38-1,0)),IF(AND($L$37=0,$P$34=0),"",$L$37-1),IF($R$17="Distrato",$E106,0))),0,YEARFRAC(MAX($P$34*($B106+IF($R$17="Distrato",$I$38-1,0)),IF(AND($L$37=0,$P$34=0),"",$L$37-1),IF($R$17="Distrato",$E106,0)),MIN(AA$38,$D$19),$P$20))-SUM($P106:Z106)</f>
        <v>#VALUE!</v>
      </c>
      <c r="AB106" s="446" t="e">
        <f>IF(OR($B106="",MIN(AB$38,$D$19)&lt;MAX($P$34*($B106+IF($R$17="Distrato",$I$38-1,0)),IF(AND($L$37=0,$P$34=0),"",$L$37-1),IF($R$17="Distrato",$E106,0))),0,YEARFRAC(MAX($P$34*($B106+IF($R$17="Distrato",$I$38-1,0)),IF(AND($L$37=0,$P$34=0),"",$L$37-1),IF($R$17="Distrato",$E106,0)),MIN(AB$38,$D$19),$P$20))-SUM($P106:AA106)</f>
        <v>#VALUE!</v>
      </c>
      <c r="AC106" s="446" t="e">
        <f>IF(OR($B106="",MIN(AC$38,$D$19)&lt;MAX($P$34*($B106+IF($R$17="Distrato",$I$38-1,0)),IF(AND($L$37=0,$P$34=0),"",$L$37-1),IF($R$17="Distrato",$E106,0))),0,YEARFRAC(MAX($P$34*($B106+IF($R$17="Distrato",$I$38-1,0)),IF(AND($L$37=0,$P$34=0),"",$L$37-1),IF($R$17="Distrato",$E106,0)),MIN(AC$38,$D$19),$P$20))-SUM($P106:AB106)</f>
        <v>#VALUE!</v>
      </c>
      <c r="AD106" s="446" t="e">
        <f>IF(OR($B106="",MIN(AD$38,$D$19)&lt;MAX($P$34*($B106+IF($R$17="Distrato",$I$38-1,0)),IF(AND($L$37=0,$P$34=0),"",$L$37-1),IF($R$17="Distrato",$E106,0))),0,YEARFRAC(MAX($P$34*($B106+IF($R$17="Distrato",$I$38-1,0)),IF(AND($L$37=0,$P$34=0),"",$L$37-1),IF($R$17="Distrato",$E106,0)),MIN(AD$38,$D$19),$P$20))-SUM($P106:AC106)</f>
        <v>#VALUE!</v>
      </c>
      <c r="AE106" s="446" t="e">
        <f>IF(OR($B106="",MIN(AE$38,$D$19)&lt;MAX($P$34*($B106+IF($R$17="Distrato",$I$38-1,0)),IF(AND($L$37=0,$P$34=0),"",$L$37-1),IF($R$17="Distrato",$E106,0))),0,YEARFRAC(MAX($P$34*($B106+IF($R$17="Distrato",$I$38-1,0)),IF(AND($L$37=0,$P$34=0),"",$L$37-1),IF($R$17="Distrato",$E106,0)),MIN(AE$38,$D$19),$P$20))-SUM($P106:AD106)</f>
        <v>#VALUE!</v>
      </c>
      <c r="AF106" s="446" t="e">
        <f>IF(OR($B106="",MIN(AF$38,$D$19)&lt;MAX($P$34*($B106+IF($R$17="Distrato",$I$38-1,0)),IF(AND($L$37=0,$P$34=0),"",$L$37-1),IF($R$17="Distrato",$E106,0))),0,YEARFRAC(MAX($P$34*($B106+IF($R$17="Distrato",$I$38-1,0)),IF(AND($L$37=0,$P$34=0),"",$L$37-1),IF($R$17="Distrato",$E106,0)),MIN(AF$38,$D$19),$P$20))-SUM($P106:AE106)</f>
        <v>#VALUE!</v>
      </c>
      <c r="AG106" s="446" t="e">
        <f>IF(OR($B106="",MIN(AG$38,$D$19)&lt;MAX($P$34*($B106+IF($R$17="Distrato",$I$38-1,0)),IF(AND($L$37=0,$P$34=0),"",$L$37-1),IF($R$17="Distrato",$E106,0))),0,YEARFRAC(MAX($P$34*($B106+IF($R$17="Distrato",$I$38-1,0)),IF(AND($L$37=0,$P$34=0),"",$L$37-1),IF($R$17="Distrato",$E106,0)),MIN(AG$38,$D$19),$P$20))-SUM($P106:AF106)</f>
        <v>#VALUE!</v>
      </c>
      <c r="AH106" s="446" t="e">
        <f>IF(OR($B106="",MIN(AH$38,$D$19)&lt;MAX($P$34*($B106+IF($R$17="Distrato",$I$38-1,0)),IF(AND($L$37=0,$P$34=0),"",$L$37-1),IF($R$17="Distrato",$E106,0))),0,YEARFRAC(MAX($P$34*($B106+IF($R$17="Distrato",$I$38-1,0)),IF(AND($L$37=0,$P$34=0),"",$L$37-1),IF($R$17="Distrato",$E106,0)),MIN(AH$38,$D$19),$P$20))-SUM($P106:AG106)</f>
        <v>#VALUE!</v>
      </c>
      <c r="AI106" s="446" t="e">
        <f>IF(OR($B106="",MIN(AI$38,$D$19)&lt;MAX($P$34*($B106+IF($R$17="Distrato",$I$38-1,0)),IF(AND($L$37=0,$P$34=0),"",$L$37-1),IF($R$17="Distrato",$E106,0))),0,YEARFRAC(MAX($P$34*($B106+IF($R$17="Distrato",$I$38-1,0)),IF(AND($L$37=0,$P$34=0),"",$L$37-1),IF($R$17="Distrato",$E106,0)),MIN(AI$38,$D$19),$P$20))-SUM($P106:AH106)</f>
        <v>#VALUE!</v>
      </c>
      <c r="AJ106" s="446" t="e">
        <f>IF(OR($B106="",MIN(AJ$38,$D$19)&lt;MAX($P$34*($B106+IF($R$17="Distrato",$I$38-1,0)),IF(AND($L$37=0,$P$34=0),"",$L$37-1),IF($R$17="Distrato",$E106,0))),0,YEARFRAC(MAX($P$34*($B106+IF($R$17="Distrato",$I$38-1,0)),IF(AND($L$37=0,$P$34=0),"",$L$37-1),IF($R$17="Distrato",$E106,0)),MIN(AJ$38,$D$19),$P$20))-SUM($P106:AI106)</f>
        <v>#VALUE!</v>
      </c>
      <c r="AK106" s="446" t="e">
        <f>IF(OR($B106="",MIN(AK$38,$D$19)&lt;MAX($P$34*($B106+IF($R$17="Distrato",$I$38-1,0)),IF(AND($L$37=0,$P$34=0),"",$L$37-1),IF($R$17="Distrato",$E106,0))),0,YEARFRAC(MAX($P$34*($B106+IF($R$17="Distrato",$I$38-1,0)),IF(AND($L$37=0,$P$34=0),"",$L$37-1),IF($R$17="Distrato",$E106,0)),MIN(AK$38,$D$19),$P$20))-SUM($P106:AJ106)</f>
        <v>#VALUE!</v>
      </c>
      <c r="AL106" s="446" t="e">
        <f>IF(OR($B106="",MIN(AL$38,$D$19)&lt;MAX($P$34*($B106+IF($R$17="Distrato",$I$38-1,0)),IF(AND($L$37=0,$P$34=0),"",$L$37-1),IF($R$17="Distrato",$E106,0))),0,YEARFRAC(MAX($P$34*($B106+IF($R$17="Distrato",$I$38-1,0)),IF(AND($L$37=0,$P$34=0),"",$L$37-1),IF($R$17="Distrato",$E106,0)),MIN(AL$38,$D$19),$P$20))-SUM($P106:AK106)</f>
        <v>#VALUE!</v>
      </c>
      <c r="AM106" s="446" t="e">
        <f>IF(OR($B106="",MIN(AM$38,$D$19)&lt;MAX($P$34*($B106+IF($R$17="Distrato",$I$38-1,0)),IF(AND($L$37=0,$P$34=0),"",$L$37-1),IF($R$17="Distrato",$E106,0))),0,YEARFRAC(MAX($P$34*($B106+IF($R$17="Distrato",$I$38-1,0)),IF(AND($L$37=0,$P$34=0),"",$L$37-1),IF($R$17="Distrato",$E106,0)),MIN(AM$38,$D$19),$P$20))-SUM($P106:AL106)</f>
        <v>#VALUE!</v>
      </c>
      <c r="AN106" s="446" t="e">
        <f>IF(OR($B106="",MIN(AN$38,$D$19)&lt;MAX($P$34*($B106+IF($R$17="Distrato",$I$38-1,0)),IF(AND($L$37=0,$P$34=0),"",$L$37-1),IF($R$17="Distrato",$E106,0))),0,YEARFRAC(MAX($P$34*($B106+IF($R$17="Distrato",$I$38-1,0)),IF(AND($L$37=0,$P$34=0),"",$L$37-1),IF($R$17="Distrato",$E106,0)),MIN(AN$38,$D$19),$P$20))-SUM($P106:AM106)</f>
        <v>#VALUE!</v>
      </c>
      <c r="AO106" s="446" t="e">
        <f>IF(OR($B106="",MIN(AO$38,$D$19)&lt;MAX($P$34*($B106+IF($R$17="Distrato",$I$38-1,0)),IF(AND($L$37=0,$P$34=0),"",$L$37-1),IF($R$17="Distrato",$E106,0))),0,YEARFRAC(MAX($P$34*($B106+IF($R$17="Distrato",$I$38-1,0)),IF(AND($L$37=0,$P$34=0),"",$L$37-1),IF($R$17="Distrato",$E106,0)),MIN(AO$38,$D$19),$P$20))-SUM($P106:AN106)</f>
        <v>#VALUE!</v>
      </c>
      <c r="AP106" s="446" t="e">
        <f>IF(OR($B106="",MIN(AP$38,$D$19)&lt;MAX($P$34*($B106+IF($R$17="Distrato",$I$38-1,0)),IF(AND($L$37=0,$P$34=0),"",$L$37-1),IF($R$17="Distrato",$E106,0))),0,YEARFRAC(MAX($P$34*($B106+IF($R$17="Distrato",$I$38-1,0)),IF(AND($L$37=0,$P$34=0),"",$L$37-1),IF($R$17="Distrato",$E106,0)),MIN(AP$38,$D$19),$P$20))-SUM($P106:AO106)</f>
        <v>#VALUE!</v>
      </c>
      <c r="AQ106" s="446" t="e">
        <f>IF(OR($B106="",MIN(AQ$38,$D$19)&lt;MAX($P$34*($B106+IF($R$17="Distrato",$I$38-1,0)),IF(AND($L$37=0,$P$34=0),"",$L$37-1),IF($R$17="Distrato",$E106,0))),0,YEARFRAC(MAX($P$34*($B106+IF($R$17="Distrato",$I$38-1,0)),IF(AND($L$37=0,$P$34=0),"",$L$37-1),IF($R$17="Distrato",$E106,0)),MIN(AQ$38,$D$19),$P$20))-SUM($P106:AP106)</f>
        <v>#VALUE!</v>
      </c>
      <c r="AR106" s="446" t="e">
        <f>IF(OR($B106="",MIN(AR$38,$D$19)&lt;MAX($P$34*($B106+IF($R$17="Distrato",$I$38-1,0)),IF(AND($L$37=0,$P$34=0),"",$L$37-1),IF($R$17="Distrato",$E106,0))),0,YEARFRAC(MAX($P$34*($B106+IF($R$17="Distrato",$I$38-1,0)),IF(AND($L$37=0,$P$34=0),"",$L$37-1),IF($R$17="Distrato",$E106,0)),MIN(AR$38,$D$19),$P$20))-SUM($P106:AQ106)</f>
        <v>#VALUE!</v>
      </c>
      <c r="AS106" s="446" t="e">
        <f>IF(OR($B106="",MIN(AS$38,$D$19)&lt;MAX($P$34*($B106+IF($R$17="Distrato",$I$38-1,0)),IF(AND($L$37=0,$P$34=0),"",$L$37-1),IF($R$17="Distrato",$E106,0))),0,YEARFRAC(MAX($P$34*($B106+IF($R$17="Distrato",$I$38-1,0)),IF(AND($L$37=0,$P$34=0),"",$L$37-1),IF($R$17="Distrato",$E106,0)),MIN(AS$38,$D$19),$P$20))-SUM($P106:AR106)</f>
        <v>#VALUE!</v>
      </c>
      <c r="AT106" s="446" t="e">
        <f>IF(OR($B106="",MIN(AT$38,$D$19)&lt;MAX($P$34*($B106+IF($R$17="Distrato",$I$38-1,0)),IF(AND($L$37=0,$P$34=0),"",$L$37-1),IF($R$17="Distrato",$E106,0))),0,YEARFRAC(MAX($P$34*($B106+IF($R$17="Distrato",$I$38-1,0)),IF(AND($L$37=0,$P$34=0),"",$L$37-1),IF($R$17="Distrato",$E106,0)),MIN(AT$38,$D$19),$P$20))-SUM($P106:AS106)</f>
        <v>#VALUE!</v>
      </c>
      <c r="AU106" s="446" t="e">
        <f>IF(OR($B106="",MIN(AU$38,$D$19)&lt;MAX($P$34*($B106+IF($R$17="Distrato",$I$38-1,0)),IF(AND($L$37=0,$P$34=0),"",$L$37-1),IF($R$17="Distrato",$E106,0))),0,YEARFRAC(MAX($P$34*($B106+IF($R$17="Distrato",$I$38-1,0)),IF(AND($L$37=0,$P$34=0),"",$L$37-1),IF($R$17="Distrato",$E106,0)),MIN(AU$38,$D$19),$P$20))-SUM($P106:AT106)</f>
        <v>#VALUE!</v>
      </c>
      <c r="AV106" s="446" t="e">
        <f>IF(OR($B106="",MIN(AV$38,$D$19)&lt;MAX($P$34*($B106+IF($R$17="Distrato",$I$38-1,0)),IF(AND($L$37=0,$P$34=0),"",$L$37-1),IF($R$17="Distrato",$E106,0))),0,YEARFRAC(MAX($P$34*($B106+IF($R$17="Distrato",$I$38-1,0)),IF(AND($L$37=0,$P$34=0),"",$L$37-1),IF($R$17="Distrato",$E106,0)),MIN(AV$38,$D$19),$P$20))-SUM($P106:AU106)</f>
        <v>#VALUE!</v>
      </c>
      <c r="AW106" s="446" t="e">
        <f>IF(OR($B106="",MIN(AW$38,$D$19)&lt;MAX($P$34*($B106+IF($R$17="Distrato",$I$38-1,0)),IF(AND($L$37=0,$P$34=0),"",$L$37-1),IF($R$17="Distrato",$E106,0))),0,YEARFRAC(MAX($P$34*($B106+IF($R$17="Distrato",$I$38-1,0)),IF(AND($L$37=0,$P$34=0),"",$L$37-1),IF($R$17="Distrato",$E106,0)),MIN(AW$38,$D$19),$P$20))-SUM($P106:AV106)</f>
        <v>#VALUE!</v>
      </c>
      <c r="AX106" s="446" t="e">
        <f>IF(OR($B106="",MIN(AX$38,$D$19)&lt;MAX($P$34*($B106+IF($R$17="Distrato",$I$38-1,0)),IF(AND($L$37=0,$P$34=0),"",$L$37-1),IF($R$17="Distrato",$E106,0))),0,YEARFRAC(MAX($P$34*($B106+IF($R$17="Distrato",$I$38-1,0)),IF(AND($L$37=0,$P$34=0),"",$L$37-1),IF($R$17="Distrato",$E106,0)),MIN(AX$38,$D$19),$P$20))-SUM($P106:AW106)</f>
        <v>#VALUE!</v>
      </c>
      <c r="AY106" s="446" t="e">
        <f>IF(OR($B106="",MIN(AY$38,$D$19)&lt;MAX($P$34*($B106+IF($R$17="Distrato",$I$38-1,0)),IF(AND($L$37=0,$P$34=0),"",$L$37-1),IF($R$17="Distrato",$E106,0))),0,YEARFRAC(MAX($P$34*($B106+IF($R$17="Distrato",$I$38-1,0)),IF(AND($L$37=0,$P$34=0),"",$L$37-1),IF($R$17="Distrato",$E106,0)),MIN(AY$38,$D$19),$P$20))-SUM($P106:AX106)</f>
        <v>#VALUE!</v>
      </c>
      <c r="AZ106" s="446" t="e">
        <f>IF(OR($B106="",MIN(AZ$38,$D$19)&lt;MAX($P$34*($B106+IF($R$17="Distrato",$I$38-1,0)),IF(AND($L$37=0,$P$34=0),"",$L$37-1),IF($R$17="Distrato",$E106,0))),0,YEARFRAC(MAX($P$34*($B106+IF($R$17="Distrato",$I$38-1,0)),IF(AND($L$37=0,$P$34=0),"",$L$37-1),IF($R$17="Distrato",$E106,0)),MIN(AZ$38,$D$19),$P$20))-SUM($P106:AY106)</f>
        <v>#VALUE!</v>
      </c>
      <c r="BA106" s="446" t="e">
        <f>IF(OR($B106="",MIN(BA$38,$D$19)&lt;MAX($P$34*($B106+IF($R$17="Distrato",$I$38-1,0)),IF(AND($L$37=0,$P$34=0),"",$L$37-1),IF($R$17="Distrato",$E106,0))),0,YEARFRAC(MAX($P$34*($B106+IF($R$17="Distrato",$I$38-1,0)),IF(AND($L$37=0,$P$34=0),"",$L$37-1),IF($R$17="Distrato",$E106,0)),MIN(BA$38,$D$19),$P$20))-SUM($P106:AZ106)</f>
        <v>#VALUE!</v>
      </c>
      <c r="BB106" s="447"/>
      <c r="BF106" s="446">
        <f t="shared" si="21"/>
        <v>0</v>
      </c>
      <c r="BG106" s="446">
        <f>IF($E106=0,0,IF(MIN(BG$38,$E106)&lt;MAX($P$34*($B106+$I$38-1),IF(AND($L$37=0,$P$34=0),"",$L$37-1)),0,YEARFRAC(MAX($P$34*($B106+$I$38-1),IF(AND($L$37=0,$P$34=0),"",$L$37-1)),MIN(BG$38,$E106),$P$20))-SUM($BF106:BF106))</f>
        <v>0</v>
      </c>
      <c r="BH106" s="446">
        <f>IF($E106=0,0,IF(MIN(BH$38,$E106)&lt;MAX($P$34*($B106+$I$38-1),IF(AND($L$37=0,$P$34=0),"",$L$37-1)),0,YEARFRAC(MAX($P$34*($B106+$I$38-1),IF(AND($L$37=0,$P$34=0),"",$L$37-1)),MIN(BH$38,$E106),$P$20))-SUM($BF106:BG106))</f>
        <v>0</v>
      </c>
      <c r="BI106" s="446">
        <f>IF($E106=0,0,IF(MIN(BI$38,$E106)&lt;MAX($P$34*($B106+$I$38-1),IF(AND($L$37=0,$P$34=0),"",$L$37-1)),0,YEARFRAC(MAX($P$34*($B106+$I$38-1),IF(AND($L$37=0,$P$34=0),"",$L$37-1)),MIN(BI$38,$E106),$P$20))-SUM($BF106:BH106))</f>
        <v>0</v>
      </c>
      <c r="BJ106" s="446">
        <f>IF($E106=0,0,IF(MIN(BJ$38,$E106)&lt;MAX($P$34*($B106+$I$38-1),IF(AND($L$37=0,$P$34=0),"",$L$37-1)),0,YEARFRAC(MAX($P$34*($B106+$I$38-1),IF(AND($L$37=0,$P$34=0),"",$L$37-1)),MIN(BJ$38,$E106),$P$20))-SUM($BF106:BI106))</f>
        <v>0</v>
      </c>
      <c r="BK106" s="446">
        <f>IF($E106=0,0,IF(MIN(BK$38,$E106)&lt;MAX($P$34*($B106+$I$38-1),IF(AND($L$37=0,$P$34=0),"",$L$37-1)),0,YEARFRAC(MAX($P$34*($B106+$I$38-1),IF(AND($L$37=0,$P$34=0),"",$L$37-1)),MIN(BK$38,$E106),$P$20))-SUM($BF106:BJ106))</f>
        <v>0</v>
      </c>
      <c r="BL106" s="446">
        <f>IF($E106=0,0,IF(MIN(BL$38,$E106)&lt;MAX($P$34*($B106+$I$38-1),IF(AND($L$37=0,$P$34=0),"",$L$37-1)),0,YEARFRAC(MAX($P$34*($B106+$I$38-1),IF(AND($L$37=0,$P$34=0),"",$L$37-1)),MIN(BL$38,$E106),$P$20))-SUM($BF106:BK106))</f>
        <v>0</v>
      </c>
      <c r="BM106" s="446">
        <f>IF($E106=0,0,IF(MIN(BM$38,$E106)&lt;MAX($P$34*($B106+$I$38-1),IF(AND($L$37=0,$P$34=0),"",$L$37-1)),0,YEARFRAC(MAX($P$34*($B106+$I$38-1),IF(AND($L$37=0,$P$34=0),"",$L$37-1)),MIN(BM$38,$E106),$P$20))-SUM($BF106:BL106))</f>
        <v>0</v>
      </c>
      <c r="BN106" s="446">
        <f>IF($E106=0,0,IF(MIN(BN$38,$E106)&lt;MAX($P$34*($B106+$I$38-1),IF(AND($L$37=0,$P$34=0),"",$L$37-1)),0,YEARFRAC(MAX($P$34*($B106+$I$38-1),IF(AND($L$37=0,$P$34=0),"",$L$37-1)),MIN(BN$38,$E106),$P$20))-SUM($BF106:BM106))</f>
        <v>0</v>
      </c>
      <c r="BO106" s="446">
        <f>IF($E106=0,0,IF(MIN(BO$38,$E106)&lt;MAX($P$34*($B106+$I$38-1),IF(AND($L$37=0,$P$34=0),"",$L$37-1)),0,YEARFRAC(MAX($P$34*($B106+$I$38-1),IF(AND($L$37=0,$P$34=0),"",$L$37-1)),MIN(BO$38,$E106),$P$20))-SUM($BF106:BN106))</f>
        <v>0</v>
      </c>
      <c r="BP106" s="446">
        <f>IF($E106=0,0,IF(MIN(BP$38,$E106)&lt;MAX($P$34*($B106+$I$38-1),IF(AND($L$37=0,$P$34=0),"",$L$37-1)),0,YEARFRAC(MAX($P$34*($B106+$I$38-1),IF(AND($L$37=0,$P$34=0),"",$L$37-1)),MIN(BP$38,$E106),$P$20))-SUM($BF106:BO106))</f>
        <v>0</v>
      </c>
      <c r="BQ106" s="446">
        <f>IF($E106=0,0,IF(MIN(BQ$38,$E106)&lt;MAX($P$34*($B106+$I$38-1),IF(AND($L$37=0,$P$34=0),"",$L$37-1)),0,YEARFRAC(MAX($P$34*($B106+$I$38-1),IF(AND($L$37=0,$P$34=0),"",$L$37-1)),MIN(BQ$38,$E106),$P$20))-SUM($BF106:BP106))</f>
        <v>0</v>
      </c>
      <c r="BR106" s="446">
        <f>IF($E106=0,0,IF(MIN(BR$38,$E106)&lt;MAX($P$34*($B106+$I$38-1),IF(AND($L$37=0,$P$34=0),"",$L$37-1)),0,YEARFRAC(MAX($P$34*($B106+$I$38-1),IF(AND($L$37=0,$P$34=0),"",$L$37-1)),MIN(BR$38,$E106),$P$20))-SUM($BF106:BQ106))</f>
        <v>0</v>
      </c>
      <c r="BS106" s="446">
        <f>IF($E106=0,0,IF(MIN(BS$38,$E106)&lt;MAX($P$34*($B106+$I$38-1),IF(AND($L$37=0,$P$34=0),"",$L$37-1)),0,YEARFRAC(MAX($P$34*($B106+$I$38-1),IF(AND($L$37=0,$P$34=0),"",$L$37-1)),MIN(BS$38,$E106),$P$20))-SUM($BF106:BR106))</f>
        <v>0</v>
      </c>
      <c r="BT106" s="446">
        <f>IF($E106=0,0,IF(MIN(BT$38,$E106)&lt;MAX($P$34*($B106+$I$38-1),IF(AND($L$37=0,$P$34=0),"",$L$37-1)),0,YEARFRAC(MAX($P$34*($B106+$I$38-1),IF(AND($L$37=0,$P$34=0),"",$L$37-1)),MIN(BT$38,$E106),$P$20))-SUM($BF106:BS106))</f>
        <v>0</v>
      </c>
      <c r="BU106" s="446">
        <f>IF($E106=0,0,IF(MIN(BU$38,$E106)&lt;MAX($P$34*($B106+$I$38-1),IF(AND($L$37=0,$P$34=0),"",$L$37-1)),0,YEARFRAC(MAX($P$34*($B106+$I$38-1),IF(AND($L$37=0,$P$34=0),"",$L$37-1)),MIN(BU$38,$E106),$P$20))-SUM($BF106:BT106))</f>
        <v>0</v>
      </c>
      <c r="BV106" s="446">
        <f>IF($E106=0,0,IF(MIN(BV$38,$E106)&lt;MAX($P$34*($B106+$I$38-1),IF(AND($L$37=0,$P$34=0),"",$L$37-1)),0,YEARFRAC(MAX($P$34*($B106+$I$38-1),IF(AND($L$37=0,$P$34=0),"",$L$37-1)),MIN(BV$38,$E106),$P$20))-SUM($BF106:BU106))</f>
        <v>0</v>
      </c>
      <c r="BW106" s="446">
        <f>IF($E106=0,0,IF(MIN(BW$38,$E106)&lt;MAX($P$34*($B106+$I$38-1),IF(AND($L$37=0,$P$34=0),"",$L$37-1)),0,YEARFRAC(MAX($P$34*($B106+$I$38-1),IF(AND($L$37=0,$P$34=0),"",$L$37-1)),MIN(BW$38,$E106),$P$20))-SUM($BF106:BV106))</f>
        <v>0</v>
      </c>
      <c r="BX106" s="446">
        <f>IF($E106=0,0,IF(MIN(BX$38,$E106)&lt;MAX($P$34*($B106+$I$38-1),IF(AND($L$37=0,$P$34=0),"",$L$37-1)),0,YEARFRAC(MAX($P$34*($B106+$I$38-1),IF(AND($L$37=0,$P$34=0),"",$L$37-1)),MIN(BX$38,$E106),$P$20))-SUM($BF106:BW106))</f>
        <v>0</v>
      </c>
      <c r="BY106" s="446">
        <f>IF($E106=0,0,IF(MIN(BY$38,$E106)&lt;MAX($P$34*($B106+$I$38-1),IF(AND($L$37=0,$P$34=0),"",$L$37-1)),0,YEARFRAC(MAX($P$34*($B106+$I$38-1),IF(AND($L$37=0,$P$34=0),"",$L$37-1)),MIN(BY$38,$E106),$P$20))-SUM($BF106:BX106))</f>
        <v>0</v>
      </c>
      <c r="BZ106" s="446">
        <f>IF($E106=0,0,IF(MIN(BZ$38,$E106)&lt;MAX($P$34*($B106+$I$38-1),IF(AND($L$37=0,$P$34=0),"",$L$37-1)),0,YEARFRAC(MAX($P$34*($B106+$I$38-1),IF(AND($L$37=0,$P$34=0),"",$L$37-1)),MIN(BZ$38,$E106),$P$20))-SUM($BF106:BY106))</f>
        <v>0</v>
      </c>
      <c r="CA106" s="446">
        <f>IF($E106=0,0,IF(MIN(CA$38,$E106)&lt;MAX($P$34*($B106+$I$38-1),IF(AND($L$37=0,$P$34=0),"",$L$37-1)),0,YEARFRAC(MAX($P$34*($B106+$I$38-1),IF(AND($L$37=0,$P$34=0),"",$L$37-1)),MIN(CA$38,$E106),$P$20))-SUM($BF106:BZ106))</f>
        <v>0</v>
      </c>
      <c r="CB106" s="446">
        <f>IF($E106=0,0,IF(MIN(CB$38,$E106)&lt;MAX($P$34*($B106+$I$38-1),IF(AND($L$37=0,$P$34=0),"",$L$37-1)),0,YEARFRAC(MAX($P$34*($B106+$I$38-1),IF(AND($L$37=0,$P$34=0),"",$L$37-1)),MIN(CB$38,$E106),$P$20))-SUM($BF106:CA106))</f>
        <v>0</v>
      </c>
      <c r="CC106" s="446">
        <f>IF($E106=0,0,IF(MIN(CC$38,$E106)&lt;MAX($P$34*($B106+$I$38-1),IF(AND($L$37=0,$P$34=0),"",$L$37-1)),0,YEARFRAC(MAX($P$34*($B106+$I$38-1),IF(AND($L$37=0,$P$34=0),"",$L$37-1)),MIN(CC$38,$E106),$P$20))-SUM($BF106:CB106))</f>
        <v>0</v>
      </c>
      <c r="CD106" s="446">
        <f>IF($E106=0,0,IF(MIN(CD$38,$E106)&lt;MAX($P$34*($B106+$I$38-1),IF(AND($L$37=0,$P$34=0),"",$L$37-1)),0,YEARFRAC(MAX($P$34*($B106+$I$38-1),IF(AND($L$37=0,$P$34=0),"",$L$37-1)),MIN(CD$38,$E106),$P$20))-SUM($BF106:CC106))</f>
        <v>0</v>
      </c>
      <c r="CE106" s="446">
        <f>IF($E106=0,0,IF(MIN(CE$38,$E106)&lt;MAX($P$34*($B106+$I$38-1),IF(AND($L$37=0,$P$34=0),"",$L$37-1)),0,YEARFRAC(MAX($P$34*($B106+$I$38-1),IF(AND($L$37=0,$P$34=0),"",$L$37-1)),MIN(CE$38,$E106),$P$20))-SUM($BF106:CD106))</f>
        <v>0</v>
      </c>
      <c r="CF106" s="446">
        <f>IF($E106=0,0,IF(MIN(CF$38,$E106)&lt;MAX($P$34*($B106+$I$38-1),IF(AND($L$37=0,$P$34=0),"",$L$37-1)),0,YEARFRAC(MAX($P$34*($B106+$I$38-1),IF(AND($L$37=0,$P$34=0),"",$L$37-1)),MIN(CF$38,$E106),$P$20))-SUM($BF106:CE106))</f>
        <v>0</v>
      </c>
      <c r="CG106" s="446">
        <f>IF($E106=0,0,IF(MIN(CG$38,$E106)&lt;MAX($P$34*($B106+$I$38-1),IF(AND($L$37=0,$P$34=0),"",$L$37-1)),0,YEARFRAC(MAX($P$34*($B106+$I$38-1),IF(AND($L$37=0,$P$34=0),"",$L$37-1)),MIN(CG$38,$E106),$P$20))-SUM($BF106:CF106))</f>
        <v>0</v>
      </c>
      <c r="CH106" s="446">
        <f>IF($E106=0,0,IF(MIN(CH$38,$E106)&lt;MAX($P$34*($B106+$I$38-1),IF(AND($L$37=0,$P$34=0),"",$L$37-1)),0,YEARFRAC(MAX($P$34*($B106+$I$38-1),IF(AND($L$37=0,$P$34=0),"",$L$37-1)),MIN(CH$38,$E106),$P$20))-SUM($BF106:CG106))</f>
        <v>0</v>
      </c>
      <c r="CI106" s="446">
        <f>IF($E106=0,0,IF(MIN(CI$38,$E106)&lt;MAX($P$34*($B106+$I$38-1),IF(AND($L$37=0,$P$34=0),"",$L$37-1)),0,YEARFRAC(MAX($P$34*($B106+$I$38-1),IF(AND($L$37=0,$P$34=0),"",$L$37-1)),MIN(CI$38,$E106),$P$20))-SUM($BF106:CH106))</f>
        <v>0</v>
      </c>
      <c r="CJ106" s="446">
        <f>IF($E106=0,0,IF(MIN(CJ$38,$E106)&lt;MAX($P$34*($B106+$I$38-1),IF(AND($L$37=0,$P$34=0),"",$L$37-1)),0,YEARFRAC(MAX($P$34*($B106+$I$38-1),IF(AND($L$37=0,$P$34=0),"",$L$37-1)),MIN(CJ$38,$E106),$P$20))-SUM($BF106:CI106))</f>
        <v>0</v>
      </c>
      <c r="CK106" s="446">
        <f>IF($E106=0,0,IF(MIN(CK$38,$E106)&lt;MAX($P$34*($B106+$I$38-1),IF(AND($L$37=0,$P$34=0),"",$L$37-1)),0,YEARFRAC(MAX($P$34*($B106+$I$38-1),IF(AND($L$37=0,$P$34=0),"",$L$37-1)),MIN(CK$38,$E106),$P$20))-SUM($BF106:CJ106))</f>
        <v>0</v>
      </c>
      <c r="CL106" s="446">
        <f>IF($E106=0,0,IF(MIN(CL$38,$E106)&lt;MAX($P$34*($B106+$I$38-1),IF(AND($L$37=0,$P$34=0),"",$L$37-1)),0,YEARFRAC(MAX($P$34*($B106+$I$38-1),IF(AND($L$37=0,$P$34=0),"",$L$37-1)),MIN(CL$38,$E106),$P$20))-SUM($BF106:CK106))</f>
        <v>0</v>
      </c>
      <c r="CM106" s="446">
        <f>IF($E106=0,0,IF(MIN(CM$38,$E106)&lt;MAX($P$34*($B106+$I$38-1),IF(AND($L$37=0,$P$34=0),"",$L$37-1)),0,YEARFRAC(MAX($P$34*($B106+$I$38-1),IF(AND($L$37=0,$P$34=0),"",$L$37-1)),MIN(CM$38,$E106),$P$20))-SUM($BF106:CL106))</f>
        <v>0</v>
      </c>
      <c r="CN106" s="446">
        <f>IF($E106=0,0,IF(MIN(CN$38,$E106)&lt;MAX($P$34*($B106+$I$38-1),IF(AND($L$37=0,$P$34=0),"",$L$37-1)),0,YEARFRAC(MAX($P$34*($B106+$I$38-1),IF(AND($L$37=0,$P$34=0),"",$L$37-1)),MIN(CN$38,$E106),$P$20))-SUM($BF106:CM106))</f>
        <v>0</v>
      </c>
      <c r="CO106" s="446">
        <f>IF($E106=0,0,IF(MIN(CO$38,$E106)&lt;MAX($P$34*($B106+$I$38-1),IF(AND($L$37=0,$P$34=0),"",$L$37-1)),0,YEARFRAC(MAX($P$34*($B106+$I$38-1),IF(AND($L$37=0,$P$34=0),"",$L$37-1)),MIN(CO$38,$E106),$P$20))-SUM($BF106:CN106))</f>
        <v>0</v>
      </c>
      <c r="CP106" s="446">
        <f>IF($E106=0,0,IF(MIN(CP$38,$E106)&lt;MAX($P$34*($B106+$I$38-1),IF(AND($L$37=0,$P$34=0),"",$L$37-1)),0,YEARFRAC(MAX($P$34*($B106+$I$38-1),IF(AND($L$37=0,$P$34=0),"",$L$37-1)),MIN(CP$38,$E106),$P$20))-SUM($BF106:CO106))</f>
        <v>0</v>
      </c>
      <c r="CQ106" s="446">
        <f>IF($E106=0,0,IF(MIN(CQ$38,$E106)&lt;MAX($P$34*($B106+$I$38-1),IF(AND($L$37=0,$P$34=0),"",$L$37-1)),0,YEARFRAC(MAX($P$34*($B106+$I$38-1),IF(AND($L$37=0,$P$34=0),"",$L$37-1)),MIN(CQ$38,$E106),$P$20))-SUM($BF106:CP106))</f>
        <v>0</v>
      </c>
    </row>
    <row r="107" spans="1:95" s="446" customFormat="1" ht="11.25" hidden="1" customHeight="1" x14ac:dyDescent="0.2">
      <c r="A107" s="152"/>
      <c r="B107" s="153" t="str">
        <f t="shared" si="26"/>
        <v/>
      </c>
      <c r="C107" s="29" t="str">
        <f>IF(B107="","",IF($L$35="SELIC - TRIBUTOS",VLOOKUP(DATE(YEAR($D$19),MONTH($D$19)-1,1),ÍNDICES!$A:$DE,HLOOKUP($BL$25,ÍNDICES!$B$3:$T$4,2)+11)-VLOOKUP(B107,ÍNDICES!$A:$DE,HLOOKUP($BL$25,ÍNDICES!$B$3:$T$4,2)+11)+1%,IF(C$38=$W$26,$J$35,IF(ISERROR(IF(B107&gt;$D$19,1,VLOOKUP(DATE(YEAR(B107),MONTH(B107)+IF($C$35=$S$23,1,0),1),ÍNDICES!$A:$DE,$Z$35+1))),"",IF(B107&gt;$D$19,1,VLOOKUP(DATE(YEAR(B107),MONTH(B107)+IF($C$35=$S$23,1,0),1),ÍNDICES!$A:$DE,$Z$35+1))))))</f>
        <v/>
      </c>
      <c r="D107" s="154" t="str">
        <f>IF(ISERROR(IF(OR($D$38=$Y$27,$B107=""),"",VLOOKUP(B107,ÍNDICES!A:DE,AF$35+1))),"",IF(OR($D$38=$Y$27,$B107=""),"",VLOOKUP(B107,ÍNDICES!A:DE,AF$35+1)))</f>
        <v/>
      </c>
      <c r="E107" s="153"/>
      <c r="F107" s="29" t="str">
        <f>IF(E107="","",IF($L$35="SELIC - TRIBUTOS",VLOOKUP(DATE(YEAR($D$19),MONTH($D$19)-1,1),ÍNDICES!$A:$DE,HLOOKUP($BL$25,ÍNDICES!$B$3:$T$4,2)+11)-VLOOKUP(E107,ÍNDICES!$A:$DE,HLOOKUP($BL$25,ÍNDICES!$B$3:$T$4,2)+11)+1%,IF(F$38=$W$26,$J$35,IF(ISERROR(IF(E107&gt;$D$19,1,VLOOKUP(DATE(YEAR(E107),MONTH(E107)+IF($C$35=$S$23,1,0),1),ÍNDICES!$A:$DE,$Z$35+1))),"",IF(E107&gt;$D$19,1,VLOOKUP(DATE(YEAR(E107),MONTH(E107)+IF($C$35=$S$23,1,0),1),ÍNDICES!$A:$DE,$Z$35+1))))))</f>
        <v/>
      </c>
      <c r="G107" s="155"/>
      <c r="H107" s="156" t="str">
        <f t="shared" si="22"/>
        <v/>
      </c>
      <c r="I107" s="29" t="str">
        <f t="shared" si="16"/>
        <v/>
      </c>
      <c r="J107" s="5">
        <f t="shared" si="17"/>
        <v>0</v>
      </c>
      <c r="K107" s="20">
        <f t="shared" ca="1" si="18"/>
        <v>0</v>
      </c>
      <c r="L107" s="5">
        <f t="shared" ca="1" si="19"/>
        <v>0</v>
      </c>
      <c r="M107" s="64">
        <f t="shared" si="23"/>
        <v>0</v>
      </c>
      <c r="N107" s="61">
        <f t="shared" ca="1" si="24"/>
        <v>0</v>
      </c>
      <c r="O107" s="5">
        <f t="shared" ca="1" si="25"/>
        <v>0</v>
      </c>
      <c r="P107" s="446" t="e">
        <f t="shared" si="20"/>
        <v>#VALUE!</v>
      </c>
      <c r="Q107" s="446" t="e">
        <f>IF(OR($B107="",MIN(Q$38,$D$19)&lt;MAX($P$34*($B107+IF($R$17="Distrato",$I$38-1,0)),IF(AND($L$37=0,$P$34=0),"",$L$37-1),IF($R$17="Distrato",$E107,0))),0,YEARFRAC(MAX($P$34*($B107+IF($R$17="Distrato",$I$38-1,0)),IF(AND($L$37=0,$P$34=0),"",$L$37-1),IF($R$17="Distrato",$E107,0)),MIN(Q$38,$D$19),$P$20))-SUM($P107:P107)</f>
        <v>#VALUE!</v>
      </c>
      <c r="R107" s="446" t="e">
        <f>IF(OR($B107="",MIN(R$38,$D$19)&lt;MAX($P$34*($B107+IF($R$17="Distrato",$I$38-1,0)),IF(AND($L$37=0,$P$34=0),"",$L$37-1),IF($R$17="Distrato",$E107,0))),0,YEARFRAC(MAX($P$34*($B107+IF($R$17="Distrato",$I$38-1,0)),IF(AND($L$37=0,$P$34=0),"",$L$37-1),IF($R$17="Distrato",$E107,0)),MIN(R$38,$D$19),$P$20))-SUM($P107:Q107)</f>
        <v>#VALUE!</v>
      </c>
      <c r="S107" s="446" t="e">
        <f>IF(OR($B107="",MIN(S$38,$D$19)&lt;MAX($P$34*($B107+IF($R$17="Distrato",$I$38-1,0)),IF(AND($L$37=0,$P$34=0),"",$L$37-1),IF($R$17="Distrato",$E107,0))),0,YEARFRAC(MAX($P$34*($B107+IF($R$17="Distrato",$I$38-1,0)),IF(AND($L$37=0,$P$34=0),"",$L$37-1),IF($R$17="Distrato",$E107,0)),MIN(S$38,$D$19),$P$20))-SUM($P107:R107)</f>
        <v>#VALUE!</v>
      </c>
      <c r="T107" s="446" t="e">
        <f>IF(OR($B107="",MIN(T$38,$D$19)&lt;MAX($P$34*($B107+IF($R$17="Distrato",$I$38-1,0)),IF(AND($L$37=0,$P$34=0),"",$L$37-1),IF($R$17="Distrato",$E107,0))),0,YEARFRAC(MAX($P$34*($B107+IF($R$17="Distrato",$I$38-1,0)),IF(AND($L$37=0,$P$34=0),"",$L$37-1),IF($R$17="Distrato",$E107,0)),MIN(T$38,$D$19),$P$20))-SUM($P107:S107)</f>
        <v>#VALUE!</v>
      </c>
      <c r="U107" s="446" t="e">
        <f>IF(OR($B107="",MIN(U$38,$D$19)&lt;MAX($P$34*($B107+IF($R$17="Distrato",$I$38-1,0)),IF(AND($L$37=0,$P$34=0),"",$L$37-1),IF($R$17="Distrato",$E107,0))),0,YEARFRAC(MAX($P$34*($B107+IF($R$17="Distrato",$I$38-1,0)),IF(AND($L$37=0,$P$34=0),"",$L$37-1),IF($R$17="Distrato",$E107,0)),MIN(U$38,$D$19),$P$20))-SUM($P107:T107)</f>
        <v>#VALUE!</v>
      </c>
      <c r="V107" s="446" t="e">
        <f>IF(OR($B107="",MIN(V$38,$D$19)&lt;MAX($P$34*($B107+IF($R$17="Distrato",$I$38-1,0)),IF(AND($L$37=0,$P$34=0),"",$L$37-1),IF($R$17="Distrato",$E107,0))),0,YEARFRAC(MAX($P$34*($B107+IF($R$17="Distrato",$I$38-1,0)),IF(AND($L$37=0,$P$34=0),"",$L$37-1),IF($R$17="Distrato",$E107,0)),MIN(V$38,$D$19),$P$20))-SUM($P107:U107)</f>
        <v>#VALUE!</v>
      </c>
      <c r="W107" s="446" t="e">
        <f>IF(OR($B107="",MIN(W$38,$D$19)&lt;MAX($P$34*($B107+IF($R$17="Distrato",$I$38-1,0)),IF(AND($L$37=0,$P$34=0),"",$L$37-1),IF($R$17="Distrato",$E107,0))),0,YEARFRAC(MAX($P$34*($B107+IF($R$17="Distrato",$I$38-1,0)),IF(AND($L$37=0,$P$34=0),"",$L$37-1),IF($R$17="Distrato",$E107,0)),MIN(W$38,$D$19),$P$20))-SUM($P107:V107)</f>
        <v>#VALUE!</v>
      </c>
      <c r="X107" s="446" t="e">
        <f>IF(OR($B107="",MIN(X$38,$D$19)&lt;MAX($P$34*($B107+IF($R$17="Distrato",$I$38-1,0)),IF(AND($L$37=0,$P$34=0),"",$L$37-1),IF($R$17="Distrato",$E107,0))),0,YEARFRAC(MAX($P$34*($B107+IF($R$17="Distrato",$I$38-1,0)),IF(AND($L$37=0,$P$34=0),"",$L$37-1),IF($R$17="Distrato",$E107,0)),MIN(X$38,$D$19),$P$20))-SUM($P107:W107)</f>
        <v>#VALUE!</v>
      </c>
      <c r="Y107" s="446" t="e">
        <f>IF(OR($B107="",MIN(Y$38,$D$19)&lt;MAX($P$34*($B107+IF($R$17="Distrato",$I$38-1,0)),IF(AND($L$37=0,$P$34=0),"",$L$37-1),IF($R$17="Distrato",$E107,0))),0,YEARFRAC(MAX($P$34*($B107+IF($R$17="Distrato",$I$38-1,0)),IF(AND($L$37=0,$P$34=0),"",$L$37-1),IF($R$17="Distrato",$E107,0)),MIN(Y$38,$D$19),$P$20))-SUM($P107:X107)</f>
        <v>#VALUE!</v>
      </c>
      <c r="Z107" s="446" t="e">
        <f>IF(OR($B107="",MIN(Z$38,$D$19)&lt;MAX($P$34*($B107+IF($R$17="Distrato",$I$38-1,0)),IF(AND($L$37=0,$P$34=0),"",$L$37-1),IF($R$17="Distrato",$E107,0))),0,YEARFRAC(MAX($P$34*($B107+IF($R$17="Distrato",$I$38-1,0)),IF(AND($L$37=0,$P$34=0),"",$L$37-1),IF($R$17="Distrato",$E107,0)),MIN(Z$38,$D$19),$P$20))-SUM($P107:Y107)</f>
        <v>#VALUE!</v>
      </c>
      <c r="AA107" s="446" t="e">
        <f>IF(OR($B107="",MIN(AA$38,$D$19)&lt;MAX($P$34*($B107+IF($R$17="Distrato",$I$38-1,0)),IF(AND($L$37=0,$P$34=0),"",$L$37-1),IF($R$17="Distrato",$E107,0))),0,YEARFRAC(MAX($P$34*($B107+IF($R$17="Distrato",$I$38-1,0)),IF(AND($L$37=0,$P$34=0),"",$L$37-1),IF($R$17="Distrato",$E107,0)),MIN(AA$38,$D$19),$P$20))-SUM($P107:Z107)</f>
        <v>#VALUE!</v>
      </c>
      <c r="AB107" s="446" t="e">
        <f>IF(OR($B107="",MIN(AB$38,$D$19)&lt;MAX($P$34*($B107+IF($R$17="Distrato",$I$38-1,0)),IF(AND($L$37=0,$P$34=0),"",$L$37-1),IF($R$17="Distrato",$E107,0))),0,YEARFRAC(MAX($P$34*($B107+IF($R$17="Distrato",$I$38-1,0)),IF(AND($L$37=0,$P$34=0),"",$L$37-1),IF($R$17="Distrato",$E107,0)),MIN(AB$38,$D$19),$P$20))-SUM($P107:AA107)</f>
        <v>#VALUE!</v>
      </c>
      <c r="AC107" s="446" t="e">
        <f>IF(OR($B107="",MIN(AC$38,$D$19)&lt;MAX($P$34*($B107+IF($R$17="Distrato",$I$38-1,0)),IF(AND($L$37=0,$P$34=0),"",$L$37-1),IF($R$17="Distrato",$E107,0))),0,YEARFRAC(MAX($P$34*($B107+IF($R$17="Distrato",$I$38-1,0)),IF(AND($L$37=0,$P$34=0),"",$L$37-1),IF($R$17="Distrato",$E107,0)),MIN(AC$38,$D$19),$P$20))-SUM($P107:AB107)</f>
        <v>#VALUE!</v>
      </c>
      <c r="AD107" s="446" t="e">
        <f>IF(OR($B107="",MIN(AD$38,$D$19)&lt;MAX($P$34*($B107+IF($R$17="Distrato",$I$38-1,0)),IF(AND($L$37=0,$P$34=0),"",$L$37-1),IF($R$17="Distrato",$E107,0))),0,YEARFRAC(MAX($P$34*($B107+IF($R$17="Distrato",$I$38-1,0)),IF(AND($L$37=0,$P$34=0),"",$L$37-1),IF($R$17="Distrato",$E107,0)),MIN(AD$38,$D$19),$P$20))-SUM($P107:AC107)</f>
        <v>#VALUE!</v>
      </c>
      <c r="AE107" s="446" t="e">
        <f>IF(OR($B107="",MIN(AE$38,$D$19)&lt;MAX($P$34*($B107+IF($R$17="Distrato",$I$38-1,0)),IF(AND($L$37=0,$P$34=0),"",$L$37-1),IF($R$17="Distrato",$E107,0))),0,YEARFRAC(MAX($P$34*($B107+IF($R$17="Distrato",$I$38-1,0)),IF(AND($L$37=0,$P$34=0),"",$L$37-1),IF($R$17="Distrato",$E107,0)),MIN(AE$38,$D$19),$P$20))-SUM($P107:AD107)</f>
        <v>#VALUE!</v>
      </c>
      <c r="AF107" s="446" t="e">
        <f>IF(OR($B107="",MIN(AF$38,$D$19)&lt;MAX($P$34*($B107+IF($R$17="Distrato",$I$38-1,0)),IF(AND($L$37=0,$P$34=0),"",$L$37-1),IF($R$17="Distrato",$E107,0))),0,YEARFRAC(MAX($P$34*($B107+IF($R$17="Distrato",$I$38-1,0)),IF(AND($L$37=0,$P$34=0),"",$L$37-1),IF($R$17="Distrato",$E107,0)),MIN(AF$38,$D$19),$P$20))-SUM($P107:AE107)</f>
        <v>#VALUE!</v>
      </c>
      <c r="AG107" s="446" t="e">
        <f>IF(OR($B107="",MIN(AG$38,$D$19)&lt;MAX($P$34*($B107+IF($R$17="Distrato",$I$38-1,0)),IF(AND($L$37=0,$P$34=0),"",$L$37-1),IF($R$17="Distrato",$E107,0))),0,YEARFRAC(MAX($P$34*($B107+IF($R$17="Distrato",$I$38-1,0)),IF(AND($L$37=0,$P$34=0),"",$L$37-1),IF($R$17="Distrato",$E107,0)),MIN(AG$38,$D$19),$P$20))-SUM($P107:AF107)</f>
        <v>#VALUE!</v>
      </c>
      <c r="AH107" s="446" t="e">
        <f>IF(OR($B107="",MIN(AH$38,$D$19)&lt;MAX($P$34*($B107+IF($R$17="Distrato",$I$38-1,0)),IF(AND($L$37=0,$P$34=0),"",$L$37-1),IF($R$17="Distrato",$E107,0))),0,YEARFRAC(MAX($P$34*($B107+IF($R$17="Distrato",$I$38-1,0)),IF(AND($L$37=0,$P$34=0),"",$L$37-1),IF($R$17="Distrato",$E107,0)),MIN(AH$38,$D$19),$P$20))-SUM($P107:AG107)</f>
        <v>#VALUE!</v>
      </c>
      <c r="AI107" s="446" t="e">
        <f>IF(OR($B107="",MIN(AI$38,$D$19)&lt;MAX($P$34*($B107+IF($R$17="Distrato",$I$38-1,0)),IF(AND($L$37=0,$P$34=0),"",$L$37-1),IF($R$17="Distrato",$E107,0))),0,YEARFRAC(MAX($P$34*($B107+IF($R$17="Distrato",$I$38-1,0)),IF(AND($L$37=0,$P$34=0),"",$L$37-1),IF($R$17="Distrato",$E107,0)),MIN(AI$38,$D$19),$P$20))-SUM($P107:AH107)</f>
        <v>#VALUE!</v>
      </c>
      <c r="AJ107" s="446" t="e">
        <f>IF(OR($B107="",MIN(AJ$38,$D$19)&lt;MAX($P$34*($B107+IF($R$17="Distrato",$I$38-1,0)),IF(AND($L$37=0,$P$34=0),"",$L$37-1),IF($R$17="Distrato",$E107,0))),0,YEARFRAC(MAX($P$34*($B107+IF($R$17="Distrato",$I$38-1,0)),IF(AND($L$37=0,$P$34=0),"",$L$37-1),IF($R$17="Distrato",$E107,0)),MIN(AJ$38,$D$19),$P$20))-SUM($P107:AI107)</f>
        <v>#VALUE!</v>
      </c>
      <c r="AK107" s="446" t="e">
        <f>IF(OR($B107="",MIN(AK$38,$D$19)&lt;MAX($P$34*($B107+IF($R$17="Distrato",$I$38-1,0)),IF(AND($L$37=0,$P$34=0),"",$L$37-1),IF($R$17="Distrato",$E107,0))),0,YEARFRAC(MAX($P$34*($B107+IF($R$17="Distrato",$I$38-1,0)),IF(AND($L$37=0,$P$34=0),"",$L$37-1),IF($R$17="Distrato",$E107,0)),MIN(AK$38,$D$19),$P$20))-SUM($P107:AJ107)</f>
        <v>#VALUE!</v>
      </c>
      <c r="AL107" s="446" t="e">
        <f>IF(OR($B107="",MIN(AL$38,$D$19)&lt;MAX($P$34*($B107+IF($R$17="Distrato",$I$38-1,0)),IF(AND($L$37=0,$P$34=0),"",$L$37-1),IF($R$17="Distrato",$E107,0))),0,YEARFRAC(MAX($P$34*($B107+IF($R$17="Distrato",$I$38-1,0)),IF(AND($L$37=0,$P$34=0),"",$L$37-1),IF($R$17="Distrato",$E107,0)),MIN(AL$38,$D$19),$P$20))-SUM($P107:AK107)</f>
        <v>#VALUE!</v>
      </c>
      <c r="AM107" s="446" t="e">
        <f>IF(OR($B107="",MIN(AM$38,$D$19)&lt;MAX($P$34*($B107+IF($R$17="Distrato",$I$38-1,0)),IF(AND($L$37=0,$P$34=0),"",$L$37-1),IF($R$17="Distrato",$E107,0))),0,YEARFRAC(MAX($P$34*($B107+IF($R$17="Distrato",$I$38-1,0)),IF(AND($L$37=0,$P$34=0),"",$L$37-1),IF($R$17="Distrato",$E107,0)),MIN(AM$38,$D$19),$P$20))-SUM($P107:AL107)</f>
        <v>#VALUE!</v>
      </c>
      <c r="AN107" s="446" t="e">
        <f>IF(OR($B107="",MIN(AN$38,$D$19)&lt;MAX($P$34*($B107+IF($R$17="Distrato",$I$38-1,0)),IF(AND($L$37=0,$P$34=0),"",$L$37-1),IF($R$17="Distrato",$E107,0))),0,YEARFRAC(MAX($P$34*($B107+IF($R$17="Distrato",$I$38-1,0)),IF(AND($L$37=0,$P$34=0),"",$L$37-1),IF($R$17="Distrato",$E107,0)),MIN(AN$38,$D$19),$P$20))-SUM($P107:AM107)</f>
        <v>#VALUE!</v>
      </c>
      <c r="AO107" s="446" t="e">
        <f>IF(OR($B107="",MIN(AO$38,$D$19)&lt;MAX($P$34*($B107+IF($R$17="Distrato",$I$38-1,0)),IF(AND($L$37=0,$P$34=0),"",$L$37-1),IF($R$17="Distrato",$E107,0))),0,YEARFRAC(MAX($P$34*($B107+IF($R$17="Distrato",$I$38-1,0)),IF(AND($L$37=0,$P$34=0),"",$L$37-1),IF($R$17="Distrato",$E107,0)),MIN(AO$38,$D$19),$P$20))-SUM($P107:AN107)</f>
        <v>#VALUE!</v>
      </c>
      <c r="AP107" s="446" t="e">
        <f>IF(OR($B107="",MIN(AP$38,$D$19)&lt;MAX($P$34*($B107+IF($R$17="Distrato",$I$38-1,0)),IF(AND($L$37=0,$P$34=0),"",$L$37-1),IF($R$17="Distrato",$E107,0))),0,YEARFRAC(MAX($P$34*($B107+IF($R$17="Distrato",$I$38-1,0)),IF(AND($L$37=0,$P$34=0),"",$L$37-1),IF($R$17="Distrato",$E107,0)),MIN(AP$38,$D$19),$P$20))-SUM($P107:AO107)</f>
        <v>#VALUE!</v>
      </c>
      <c r="AQ107" s="446" t="e">
        <f>IF(OR($B107="",MIN(AQ$38,$D$19)&lt;MAX($P$34*($B107+IF($R$17="Distrato",$I$38-1,0)),IF(AND($L$37=0,$P$34=0),"",$L$37-1),IF($R$17="Distrato",$E107,0))),0,YEARFRAC(MAX($P$34*($B107+IF($R$17="Distrato",$I$38-1,0)),IF(AND($L$37=0,$P$34=0),"",$L$37-1),IF($R$17="Distrato",$E107,0)),MIN(AQ$38,$D$19),$P$20))-SUM($P107:AP107)</f>
        <v>#VALUE!</v>
      </c>
      <c r="AR107" s="446" t="e">
        <f>IF(OR($B107="",MIN(AR$38,$D$19)&lt;MAX($P$34*($B107+IF($R$17="Distrato",$I$38-1,0)),IF(AND($L$37=0,$P$34=0),"",$L$37-1),IF($R$17="Distrato",$E107,0))),0,YEARFRAC(MAX($P$34*($B107+IF($R$17="Distrato",$I$38-1,0)),IF(AND($L$37=0,$P$34=0),"",$L$37-1),IF($R$17="Distrato",$E107,0)),MIN(AR$38,$D$19),$P$20))-SUM($P107:AQ107)</f>
        <v>#VALUE!</v>
      </c>
      <c r="AS107" s="446" t="e">
        <f>IF(OR($B107="",MIN(AS$38,$D$19)&lt;MAX($P$34*($B107+IF($R$17="Distrato",$I$38-1,0)),IF(AND($L$37=0,$P$34=0),"",$L$37-1),IF($R$17="Distrato",$E107,0))),0,YEARFRAC(MAX($P$34*($B107+IF($R$17="Distrato",$I$38-1,0)),IF(AND($L$37=0,$P$34=0),"",$L$37-1),IF($R$17="Distrato",$E107,0)),MIN(AS$38,$D$19),$P$20))-SUM($P107:AR107)</f>
        <v>#VALUE!</v>
      </c>
      <c r="AT107" s="446" t="e">
        <f>IF(OR($B107="",MIN(AT$38,$D$19)&lt;MAX($P$34*($B107+IF($R$17="Distrato",$I$38-1,0)),IF(AND($L$37=0,$P$34=0),"",$L$37-1),IF($R$17="Distrato",$E107,0))),0,YEARFRAC(MAX($P$34*($B107+IF($R$17="Distrato",$I$38-1,0)),IF(AND($L$37=0,$P$34=0),"",$L$37-1),IF($R$17="Distrato",$E107,0)),MIN(AT$38,$D$19),$P$20))-SUM($P107:AS107)</f>
        <v>#VALUE!</v>
      </c>
      <c r="AU107" s="446" t="e">
        <f>IF(OR($B107="",MIN(AU$38,$D$19)&lt;MAX($P$34*($B107+IF($R$17="Distrato",$I$38-1,0)),IF(AND($L$37=0,$P$34=0),"",$L$37-1),IF($R$17="Distrato",$E107,0))),0,YEARFRAC(MAX($P$34*($B107+IF($R$17="Distrato",$I$38-1,0)),IF(AND($L$37=0,$P$34=0),"",$L$37-1),IF($R$17="Distrato",$E107,0)),MIN(AU$38,$D$19),$P$20))-SUM($P107:AT107)</f>
        <v>#VALUE!</v>
      </c>
      <c r="AV107" s="446" t="e">
        <f>IF(OR($B107="",MIN(AV$38,$D$19)&lt;MAX($P$34*($B107+IF($R$17="Distrato",$I$38-1,0)),IF(AND($L$37=0,$P$34=0),"",$L$37-1),IF($R$17="Distrato",$E107,0))),0,YEARFRAC(MAX($P$34*($B107+IF($R$17="Distrato",$I$38-1,0)),IF(AND($L$37=0,$P$34=0),"",$L$37-1),IF($R$17="Distrato",$E107,0)),MIN(AV$38,$D$19),$P$20))-SUM($P107:AU107)</f>
        <v>#VALUE!</v>
      </c>
      <c r="AW107" s="446" t="e">
        <f>IF(OR($B107="",MIN(AW$38,$D$19)&lt;MAX($P$34*($B107+IF($R$17="Distrato",$I$38-1,0)),IF(AND($L$37=0,$P$34=0),"",$L$37-1),IF($R$17="Distrato",$E107,0))),0,YEARFRAC(MAX($P$34*($B107+IF($R$17="Distrato",$I$38-1,0)),IF(AND($L$37=0,$P$34=0),"",$L$37-1),IF($R$17="Distrato",$E107,0)),MIN(AW$38,$D$19),$P$20))-SUM($P107:AV107)</f>
        <v>#VALUE!</v>
      </c>
      <c r="AX107" s="446" t="e">
        <f>IF(OR($B107="",MIN(AX$38,$D$19)&lt;MAX($P$34*($B107+IF($R$17="Distrato",$I$38-1,0)),IF(AND($L$37=0,$P$34=0),"",$L$37-1),IF($R$17="Distrato",$E107,0))),0,YEARFRAC(MAX($P$34*($B107+IF($R$17="Distrato",$I$38-1,0)),IF(AND($L$37=0,$P$34=0),"",$L$37-1),IF($R$17="Distrato",$E107,0)),MIN(AX$38,$D$19),$P$20))-SUM($P107:AW107)</f>
        <v>#VALUE!</v>
      </c>
      <c r="AY107" s="446" t="e">
        <f>IF(OR($B107="",MIN(AY$38,$D$19)&lt;MAX($P$34*($B107+IF($R$17="Distrato",$I$38-1,0)),IF(AND($L$37=0,$P$34=0),"",$L$37-1),IF($R$17="Distrato",$E107,0))),0,YEARFRAC(MAX($P$34*($B107+IF($R$17="Distrato",$I$38-1,0)),IF(AND($L$37=0,$P$34=0),"",$L$37-1),IF($R$17="Distrato",$E107,0)),MIN(AY$38,$D$19),$P$20))-SUM($P107:AX107)</f>
        <v>#VALUE!</v>
      </c>
      <c r="AZ107" s="446" t="e">
        <f>IF(OR($B107="",MIN(AZ$38,$D$19)&lt;MAX($P$34*($B107+IF($R$17="Distrato",$I$38-1,0)),IF(AND($L$37=0,$P$34=0),"",$L$37-1),IF($R$17="Distrato",$E107,0))),0,YEARFRAC(MAX($P$34*($B107+IF($R$17="Distrato",$I$38-1,0)),IF(AND($L$37=0,$P$34=0),"",$L$37-1),IF($R$17="Distrato",$E107,0)),MIN(AZ$38,$D$19),$P$20))-SUM($P107:AY107)</f>
        <v>#VALUE!</v>
      </c>
      <c r="BA107" s="446" t="e">
        <f>IF(OR($B107="",MIN(BA$38,$D$19)&lt;MAX($P$34*($B107+IF($R$17="Distrato",$I$38-1,0)),IF(AND($L$37=0,$P$34=0),"",$L$37-1),IF($R$17="Distrato",$E107,0))),0,YEARFRAC(MAX($P$34*($B107+IF($R$17="Distrato",$I$38-1,0)),IF(AND($L$37=0,$P$34=0),"",$L$37-1),IF($R$17="Distrato",$E107,0)),MIN(BA$38,$D$19),$P$20))-SUM($P107:AZ107)</f>
        <v>#VALUE!</v>
      </c>
      <c r="BB107" s="447"/>
      <c r="BF107" s="446">
        <f t="shared" si="21"/>
        <v>0</v>
      </c>
      <c r="BG107" s="446">
        <f>IF($E107=0,0,IF(MIN(BG$38,$E107)&lt;MAX($P$34*($B107+$I$38-1),IF(AND($L$37=0,$P$34=0),"",$L$37-1)),0,YEARFRAC(MAX($P$34*($B107+$I$38-1),IF(AND($L$37=0,$P$34=0),"",$L$37-1)),MIN(BG$38,$E107),$P$20))-SUM($BF107:BF107))</f>
        <v>0</v>
      </c>
      <c r="BH107" s="446">
        <f>IF($E107=0,0,IF(MIN(BH$38,$E107)&lt;MAX($P$34*($B107+$I$38-1),IF(AND($L$37=0,$P$34=0),"",$L$37-1)),0,YEARFRAC(MAX($P$34*($B107+$I$38-1),IF(AND($L$37=0,$P$34=0),"",$L$37-1)),MIN(BH$38,$E107),$P$20))-SUM($BF107:BG107))</f>
        <v>0</v>
      </c>
      <c r="BI107" s="446">
        <f>IF($E107=0,0,IF(MIN(BI$38,$E107)&lt;MAX($P$34*($B107+$I$38-1),IF(AND($L$37=0,$P$34=0),"",$L$37-1)),0,YEARFRAC(MAX($P$34*($B107+$I$38-1),IF(AND($L$37=0,$P$34=0),"",$L$37-1)),MIN(BI$38,$E107),$P$20))-SUM($BF107:BH107))</f>
        <v>0</v>
      </c>
      <c r="BJ107" s="446">
        <f>IF($E107=0,0,IF(MIN(BJ$38,$E107)&lt;MAX($P$34*($B107+$I$38-1),IF(AND($L$37=0,$P$34=0),"",$L$37-1)),0,YEARFRAC(MAX($P$34*($B107+$I$38-1),IF(AND($L$37=0,$P$34=0),"",$L$37-1)),MIN(BJ$38,$E107),$P$20))-SUM($BF107:BI107))</f>
        <v>0</v>
      </c>
      <c r="BK107" s="446">
        <f>IF($E107=0,0,IF(MIN(BK$38,$E107)&lt;MAX($P$34*($B107+$I$38-1),IF(AND($L$37=0,$P$34=0),"",$L$37-1)),0,YEARFRAC(MAX($P$34*($B107+$I$38-1),IF(AND($L$37=0,$P$34=0),"",$L$37-1)),MIN(BK$38,$E107),$P$20))-SUM($BF107:BJ107))</f>
        <v>0</v>
      </c>
      <c r="BL107" s="446">
        <f>IF($E107=0,0,IF(MIN(BL$38,$E107)&lt;MAX($P$34*($B107+$I$38-1),IF(AND($L$37=0,$P$34=0),"",$L$37-1)),0,YEARFRAC(MAX($P$34*($B107+$I$38-1),IF(AND($L$37=0,$P$34=0),"",$L$37-1)),MIN(BL$38,$E107),$P$20))-SUM($BF107:BK107))</f>
        <v>0</v>
      </c>
      <c r="BM107" s="446">
        <f>IF($E107=0,0,IF(MIN(BM$38,$E107)&lt;MAX($P$34*($B107+$I$38-1),IF(AND($L$37=0,$P$34=0),"",$L$37-1)),0,YEARFRAC(MAX($P$34*($B107+$I$38-1),IF(AND($L$37=0,$P$34=0),"",$L$37-1)),MIN(BM$38,$E107),$P$20))-SUM($BF107:BL107))</f>
        <v>0</v>
      </c>
      <c r="BN107" s="446">
        <f>IF($E107=0,0,IF(MIN(BN$38,$E107)&lt;MAX($P$34*($B107+$I$38-1),IF(AND($L$37=0,$P$34=0),"",$L$37-1)),0,YEARFRAC(MAX($P$34*($B107+$I$38-1),IF(AND($L$37=0,$P$34=0),"",$L$37-1)),MIN(BN$38,$E107),$P$20))-SUM($BF107:BM107))</f>
        <v>0</v>
      </c>
      <c r="BO107" s="446">
        <f>IF($E107=0,0,IF(MIN(BO$38,$E107)&lt;MAX($P$34*($B107+$I$38-1),IF(AND($L$37=0,$P$34=0),"",$L$37-1)),0,YEARFRAC(MAX($P$34*($B107+$I$38-1),IF(AND($L$37=0,$P$34=0),"",$L$37-1)),MIN(BO$38,$E107),$P$20))-SUM($BF107:BN107))</f>
        <v>0</v>
      </c>
      <c r="BP107" s="446">
        <f>IF($E107=0,0,IF(MIN(BP$38,$E107)&lt;MAX($P$34*($B107+$I$38-1),IF(AND($L$37=0,$P$34=0),"",$L$37-1)),0,YEARFRAC(MAX($P$34*($B107+$I$38-1),IF(AND($L$37=0,$P$34=0),"",$L$37-1)),MIN(BP$38,$E107),$P$20))-SUM($BF107:BO107))</f>
        <v>0</v>
      </c>
      <c r="BQ107" s="446">
        <f>IF($E107=0,0,IF(MIN(BQ$38,$E107)&lt;MAX($P$34*($B107+$I$38-1),IF(AND($L$37=0,$P$34=0),"",$L$37-1)),0,YEARFRAC(MAX($P$34*($B107+$I$38-1),IF(AND($L$37=0,$P$34=0),"",$L$37-1)),MIN(BQ$38,$E107),$P$20))-SUM($BF107:BP107))</f>
        <v>0</v>
      </c>
      <c r="BR107" s="446">
        <f>IF($E107=0,0,IF(MIN(BR$38,$E107)&lt;MAX($P$34*($B107+$I$38-1),IF(AND($L$37=0,$P$34=0),"",$L$37-1)),0,YEARFRAC(MAX($P$34*($B107+$I$38-1),IF(AND($L$37=0,$P$34=0),"",$L$37-1)),MIN(BR$38,$E107),$P$20))-SUM($BF107:BQ107))</f>
        <v>0</v>
      </c>
      <c r="BS107" s="446">
        <f>IF($E107=0,0,IF(MIN(BS$38,$E107)&lt;MAX($P$34*($B107+$I$38-1),IF(AND($L$37=0,$P$34=0),"",$L$37-1)),0,YEARFRAC(MAX($P$34*($B107+$I$38-1),IF(AND($L$37=0,$P$34=0),"",$L$37-1)),MIN(BS$38,$E107),$P$20))-SUM($BF107:BR107))</f>
        <v>0</v>
      </c>
      <c r="BT107" s="446">
        <f>IF($E107=0,0,IF(MIN(BT$38,$E107)&lt;MAX($P$34*($B107+$I$38-1),IF(AND($L$37=0,$P$34=0),"",$L$37-1)),0,YEARFRAC(MAX($P$34*($B107+$I$38-1),IF(AND($L$37=0,$P$34=0),"",$L$37-1)),MIN(BT$38,$E107),$P$20))-SUM($BF107:BS107))</f>
        <v>0</v>
      </c>
      <c r="BU107" s="446">
        <f>IF($E107=0,0,IF(MIN(BU$38,$E107)&lt;MAX($P$34*($B107+$I$38-1),IF(AND($L$37=0,$P$34=0),"",$L$37-1)),0,YEARFRAC(MAX($P$34*($B107+$I$38-1),IF(AND($L$37=0,$P$34=0),"",$L$37-1)),MIN(BU$38,$E107),$P$20))-SUM($BF107:BT107))</f>
        <v>0</v>
      </c>
      <c r="BV107" s="446">
        <f>IF($E107=0,0,IF(MIN(BV$38,$E107)&lt;MAX($P$34*($B107+$I$38-1),IF(AND($L$37=0,$P$34=0),"",$L$37-1)),0,YEARFRAC(MAX($P$34*($B107+$I$38-1),IF(AND($L$37=0,$P$34=0),"",$L$37-1)),MIN(BV$38,$E107),$P$20))-SUM($BF107:BU107))</f>
        <v>0</v>
      </c>
      <c r="BW107" s="446">
        <f>IF($E107=0,0,IF(MIN(BW$38,$E107)&lt;MAX($P$34*($B107+$I$38-1),IF(AND($L$37=0,$P$34=0),"",$L$37-1)),0,YEARFRAC(MAX($P$34*($B107+$I$38-1),IF(AND($L$37=0,$P$34=0),"",$L$37-1)),MIN(BW$38,$E107),$P$20))-SUM($BF107:BV107))</f>
        <v>0</v>
      </c>
      <c r="BX107" s="446">
        <f>IF($E107=0,0,IF(MIN(BX$38,$E107)&lt;MAX($P$34*($B107+$I$38-1),IF(AND($L$37=0,$P$34=0),"",$L$37-1)),0,YEARFRAC(MAX($P$34*($B107+$I$38-1),IF(AND($L$37=0,$P$34=0),"",$L$37-1)),MIN(BX$38,$E107),$P$20))-SUM($BF107:BW107))</f>
        <v>0</v>
      </c>
      <c r="BY107" s="446">
        <f>IF($E107=0,0,IF(MIN(BY$38,$E107)&lt;MAX($P$34*($B107+$I$38-1),IF(AND($L$37=0,$P$34=0),"",$L$37-1)),0,YEARFRAC(MAX($P$34*($B107+$I$38-1),IF(AND($L$37=0,$P$34=0),"",$L$37-1)),MIN(BY$38,$E107),$P$20))-SUM($BF107:BX107))</f>
        <v>0</v>
      </c>
      <c r="BZ107" s="446">
        <f>IF($E107=0,0,IF(MIN(BZ$38,$E107)&lt;MAX($P$34*($B107+$I$38-1),IF(AND($L$37=0,$P$34=0),"",$L$37-1)),0,YEARFRAC(MAX($P$34*($B107+$I$38-1),IF(AND($L$37=0,$P$34=0),"",$L$37-1)),MIN(BZ$38,$E107),$P$20))-SUM($BF107:BY107))</f>
        <v>0</v>
      </c>
      <c r="CA107" s="446">
        <f>IF($E107=0,0,IF(MIN(CA$38,$E107)&lt;MAX($P$34*($B107+$I$38-1),IF(AND($L$37=0,$P$34=0),"",$L$37-1)),0,YEARFRAC(MAX($P$34*($B107+$I$38-1),IF(AND($L$37=0,$P$34=0),"",$L$37-1)),MIN(CA$38,$E107),$P$20))-SUM($BF107:BZ107))</f>
        <v>0</v>
      </c>
      <c r="CB107" s="446">
        <f>IF($E107=0,0,IF(MIN(CB$38,$E107)&lt;MAX($P$34*($B107+$I$38-1),IF(AND($L$37=0,$P$34=0),"",$L$37-1)),0,YEARFRAC(MAX($P$34*($B107+$I$38-1),IF(AND($L$37=0,$P$34=0),"",$L$37-1)),MIN(CB$38,$E107),$P$20))-SUM($BF107:CA107))</f>
        <v>0</v>
      </c>
      <c r="CC107" s="446">
        <f>IF($E107=0,0,IF(MIN(CC$38,$E107)&lt;MAX($P$34*($B107+$I$38-1),IF(AND($L$37=0,$P$34=0),"",$L$37-1)),0,YEARFRAC(MAX($P$34*($B107+$I$38-1),IF(AND($L$37=0,$P$34=0),"",$L$37-1)),MIN(CC$38,$E107),$P$20))-SUM($BF107:CB107))</f>
        <v>0</v>
      </c>
      <c r="CD107" s="446">
        <f>IF($E107=0,0,IF(MIN(CD$38,$E107)&lt;MAX($P$34*($B107+$I$38-1),IF(AND($L$37=0,$P$34=0),"",$L$37-1)),0,YEARFRAC(MAX($P$34*($B107+$I$38-1),IF(AND($L$37=0,$P$34=0),"",$L$37-1)),MIN(CD$38,$E107),$P$20))-SUM($BF107:CC107))</f>
        <v>0</v>
      </c>
      <c r="CE107" s="446">
        <f>IF($E107=0,0,IF(MIN(CE$38,$E107)&lt;MAX($P$34*($B107+$I$38-1),IF(AND($L$37=0,$P$34=0),"",$L$37-1)),0,YEARFRAC(MAX($P$34*($B107+$I$38-1),IF(AND($L$37=0,$P$34=0),"",$L$37-1)),MIN(CE$38,$E107),$P$20))-SUM($BF107:CD107))</f>
        <v>0</v>
      </c>
      <c r="CF107" s="446">
        <f>IF($E107=0,0,IF(MIN(CF$38,$E107)&lt;MAX($P$34*($B107+$I$38-1),IF(AND($L$37=0,$P$34=0),"",$L$37-1)),0,YEARFRAC(MAX($P$34*($B107+$I$38-1),IF(AND($L$37=0,$P$34=0),"",$L$37-1)),MIN(CF$38,$E107),$P$20))-SUM($BF107:CE107))</f>
        <v>0</v>
      </c>
      <c r="CG107" s="446">
        <f>IF($E107=0,0,IF(MIN(CG$38,$E107)&lt;MAX($P$34*($B107+$I$38-1),IF(AND($L$37=0,$P$34=0),"",$L$37-1)),0,YEARFRAC(MAX($P$34*($B107+$I$38-1),IF(AND($L$37=0,$P$34=0),"",$L$37-1)),MIN(CG$38,$E107),$P$20))-SUM($BF107:CF107))</f>
        <v>0</v>
      </c>
      <c r="CH107" s="446">
        <f>IF($E107=0,0,IF(MIN(CH$38,$E107)&lt;MAX($P$34*($B107+$I$38-1),IF(AND($L$37=0,$P$34=0),"",$L$37-1)),0,YEARFRAC(MAX($P$34*($B107+$I$38-1),IF(AND($L$37=0,$P$34=0),"",$L$37-1)),MIN(CH$38,$E107),$P$20))-SUM($BF107:CG107))</f>
        <v>0</v>
      </c>
      <c r="CI107" s="446">
        <f>IF($E107=0,0,IF(MIN(CI$38,$E107)&lt;MAX($P$34*($B107+$I$38-1),IF(AND($L$37=0,$P$34=0),"",$L$37-1)),0,YEARFRAC(MAX($P$34*($B107+$I$38-1),IF(AND($L$37=0,$P$34=0),"",$L$37-1)),MIN(CI$38,$E107),$P$20))-SUM($BF107:CH107))</f>
        <v>0</v>
      </c>
      <c r="CJ107" s="446">
        <f>IF($E107=0,0,IF(MIN(CJ$38,$E107)&lt;MAX($P$34*($B107+$I$38-1),IF(AND($L$37=0,$P$34=0),"",$L$37-1)),0,YEARFRAC(MAX($P$34*($B107+$I$38-1),IF(AND($L$37=0,$P$34=0),"",$L$37-1)),MIN(CJ$38,$E107),$P$20))-SUM($BF107:CI107))</f>
        <v>0</v>
      </c>
      <c r="CK107" s="446">
        <f>IF($E107=0,0,IF(MIN(CK$38,$E107)&lt;MAX($P$34*($B107+$I$38-1),IF(AND($L$37=0,$P$34=0),"",$L$37-1)),0,YEARFRAC(MAX($P$34*($B107+$I$38-1),IF(AND($L$37=0,$P$34=0),"",$L$37-1)),MIN(CK$38,$E107),$P$20))-SUM($BF107:CJ107))</f>
        <v>0</v>
      </c>
      <c r="CL107" s="446">
        <f>IF($E107=0,0,IF(MIN(CL$38,$E107)&lt;MAX($P$34*($B107+$I$38-1),IF(AND($L$37=0,$P$34=0),"",$L$37-1)),0,YEARFRAC(MAX($P$34*($B107+$I$38-1),IF(AND($L$37=0,$P$34=0),"",$L$37-1)),MIN(CL$38,$E107),$P$20))-SUM($BF107:CK107))</f>
        <v>0</v>
      </c>
      <c r="CM107" s="446">
        <f>IF($E107=0,0,IF(MIN(CM$38,$E107)&lt;MAX($P$34*($B107+$I$38-1),IF(AND($L$37=0,$P$34=0),"",$L$37-1)),0,YEARFRAC(MAX($P$34*($B107+$I$38-1),IF(AND($L$37=0,$P$34=0),"",$L$37-1)),MIN(CM$38,$E107),$P$20))-SUM($BF107:CL107))</f>
        <v>0</v>
      </c>
      <c r="CN107" s="446">
        <f>IF($E107=0,0,IF(MIN(CN$38,$E107)&lt;MAX($P$34*($B107+$I$38-1),IF(AND($L$37=0,$P$34=0),"",$L$37-1)),0,YEARFRAC(MAX($P$34*($B107+$I$38-1),IF(AND($L$37=0,$P$34=0),"",$L$37-1)),MIN(CN$38,$E107),$P$20))-SUM($BF107:CM107))</f>
        <v>0</v>
      </c>
      <c r="CO107" s="446">
        <f>IF($E107=0,0,IF(MIN(CO$38,$E107)&lt;MAX($P$34*($B107+$I$38-1),IF(AND($L$37=0,$P$34=0),"",$L$37-1)),0,YEARFRAC(MAX($P$34*($B107+$I$38-1),IF(AND($L$37=0,$P$34=0),"",$L$37-1)),MIN(CO$38,$E107),$P$20))-SUM($BF107:CN107))</f>
        <v>0</v>
      </c>
      <c r="CP107" s="446">
        <f>IF($E107=0,0,IF(MIN(CP$38,$E107)&lt;MAX($P$34*($B107+$I$38-1),IF(AND($L$37=0,$P$34=0),"",$L$37-1)),0,YEARFRAC(MAX($P$34*($B107+$I$38-1),IF(AND($L$37=0,$P$34=0),"",$L$37-1)),MIN(CP$38,$E107),$P$20))-SUM($BF107:CO107))</f>
        <v>0</v>
      </c>
      <c r="CQ107" s="446">
        <f>IF($E107=0,0,IF(MIN(CQ$38,$E107)&lt;MAX($P$34*($B107+$I$38-1),IF(AND($L$37=0,$P$34=0),"",$L$37-1)),0,YEARFRAC(MAX($P$34*($B107+$I$38-1),IF(AND($L$37=0,$P$34=0),"",$L$37-1)),MIN(CQ$38,$E107),$P$20))-SUM($BF107:CP107))</f>
        <v>0</v>
      </c>
    </row>
    <row r="108" spans="1:95" s="446" customFormat="1" ht="11.25" hidden="1" customHeight="1" x14ac:dyDescent="0.2">
      <c r="A108" s="152"/>
      <c r="B108" s="153" t="str">
        <f t="shared" si="26"/>
        <v/>
      </c>
      <c r="C108" s="29" t="str">
        <f>IF(B108="","",IF($L$35="SELIC - TRIBUTOS",VLOOKUP(DATE(YEAR($D$19),MONTH($D$19)-1,1),ÍNDICES!$A:$DE,HLOOKUP($BL$25,ÍNDICES!$B$3:$T$4,2)+11)-VLOOKUP(B108,ÍNDICES!$A:$DE,HLOOKUP($BL$25,ÍNDICES!$B$3:$T$4,2)+11)+1%,IF(C$38=$W$26,$J$35,IF(ISERROR(IF(B108&gt;$D$19,1,VLOOKUP(DATE(YEAR(B108),MONTH(B108)+IF($C$35=$S$23,1,0),1),ÍNDICES!$A:$DE,$Z$35+1))),"",IF(B108&gt;$D$19,1,VLOOKUP(DATE(YEAR(B108),MONTH(B108)+IF($C$35=$S$23,1,0),1),ÍNDICES!$A:$DE,$Z$35+1))))))</f>
        <v/>
      </c>
      <c r="D108" s="154" t="str">
        <f>IF(ISERROR(IF(OR($D$38=$Y$27,$B108=""),"",VLOOKUP(B108,ÍNDICES!A:DE,AF$35+1))),"",IF(OR($D$38=$Y$27,$B108=""),"",VLOOKUP(B108,ÍNDICES!A:DE,AF$35+1)))</f>
        <v/>
      </c>
      <c r="E108" s="153"/>
      <c r="F108" s="29" t="str">
        <f>IF(E108="","",IF($L$35="SELIC - TRIBUTOS",VLOOKUP(DATE(YEAR($D$19),MONTH($D$19)-1,1),ÍNDICES!$A:$DE,HLOOKUP($BL$25,ÍNDICES!$B$3:$T$4,2)+11)-VLOOKUP(E108,ÍNDICES!$A:$DE,HLOOKUP($BL$25,ÍNDICES!$B$3:$T$4,2)+11)+1%,IF(F$38=$W$26,$J$35,IF(ISERROR(IF(E108&gt;$D$19,1,VLOOKUP(DATE(YEAR(E108),MONTH(E108)+IF($C$35=$S$23,1,0),1),ÍNDICES!$A:$DE,$Z$35+1))),"",IF(E108&gt;$D$19,1,VLOOKUP(DATE(YEAR(E108),MONTH(E108)+IF($C$35=$S$23,1,0),1),ÍNDICES!$A:$DE,$Z$35+1))))))</f>
        <v/>
      </c>
      <c r="G108" s="155"/>
      <c r="H108" s="156" t="str">
        <f t="shared" si="22"/>
        <v/>
      </c>
      <c r="I108" s="29" t="str">
        <f t="shared" si="16"/>
        <v/>
      </c>
      <c r="J108" s="5">
        <f t="shared" si="17"/>
        <v>0</v>
      </c>
      <c r="K108" s="20">
        <f t="shared" ca="1" si="18"/>
        <v>0</v>
      </c>
      <c r="L108" s="5">
        <f t="shared" ca="1" si="19"/>
        <v>0</v>
      </c>
      <c r="M108" s="64">
        <f t="shared" si="23"/>
        <v>0</v>
      </c>
      <c r="N108" s="61">
        <f t="shared" ca="1" si="24"/>
        <v>0</v>
      </c>
      <c r="O108" s="5">
        <f t="shared" ca="1" si="25"/>
        <v>0</v>
      </c>
      <c r="P108" s="446" t="e">
        <f t="shared" si="20"/>
        <v>#VALUE!</v>
      </c>
      <c r="Q108" s="446" t="e">
        <f>IF(OR($B108="",MIN(Q$38,$D$19)&lt;MAX($P$34*($B108+IF($R$17="Distrato",$I$38-1,0)),IF(AND($L$37=0,$P$34=0),"",$L$37-1),IF($R$17="Distrato",$E108,0))),0,YEARFRAC(MAX($P$34*($B108+IF($R$17="Distrato",$I$38-1,0)),IF(AND($L$37=0,$P$34=0),"",$L$37-1),IF($R$17="Distrato",$E108,0)),MIN(Q$38,$D$19),$P$20))-SUM($P108:P108)</f>
        <v>#VALUE!</v>
      </c>
      <c r="R108" s="446" t="e">
        <f>IF(OR($B108="",MIN(R$38,$D$19)&lt;MAX($P$34*($B108+IF($R$17="Distrato",$I$38-1,0)),IF(AND($L$37=0,$P$34=0),"",$L$37-1),IF($R$17="Distrato",$E108,0))),0,YEARFRAC(MAX($P$34*($B108+IF($R$17="Distrato",$I$38-1,0)),IF(AND($L$37=0,$P$34=0),"",$L$37-1),IF($R$17="Distrato",$E108,0)),MIN(R$38,$D$19),$P$20))-SUM($P108:Q108)</f>
        <v>#VALUE!</v>
      </c>
      <c r="S108" s="446" t="e">
        <f>IF(OR($B108="",MIN(S$38,$D$19)&lt;MAX($P$34*($B108+IF($R$17="Distrato",$I$38-1,0)),IF(AND($L$37=0,$P$34=0),"",$L$37-1),IF($R$17="Distrato",$E108,0))),0,YEARFRAC(MAX($P$34*($B108+IF($R$17="Distrato",$I$38-1,0)),IF(AND($L$37=0,$P$34=0),"",$L$37-1),IF($R$17="Distrato",$E108,0)),MIN(S$38,$D$19),$P$20))-SUM($P108:R108)</f>
        <v>#VALUE!</v>
      </c>
      <c r="T108" s="446" t="e">
        <f>IF(OR($B108="",MIN(T$38,$D$19)&lt;MAX($P$34*($B108+IF($R$17="Distrato",$I$38-1,0)),IF(AND($L$37=0,$P$34=0),"",$L$37-1),IF($R$17="Distrato",$E108,0))),0,YEARFRAC(MAX($P$34*($B108+IF($R$17="Distrato",$I$38-1,0)),IF(AND($L$37=0,$P$34=0),"",$L$37-1),IF($R$17="Distrato",$E108,0)),MIN(T$38,$D$19),$P$20))-SUM($P108:S108)</f>
        <v>#VALUE!</v>
      </c>
      <c r="U108" s="446" t="e">
        <f>IF(OR($B108="",MIN(U$38,$D$19)&lt;MAX($P$34*($B108+IF($R$17="Distrato",$I$38-1,0)),IF(AND($L$37=0,$P$34=0),"",$L$37-1),IF($R$17="Distrato",$E108,0))),0,YEARFRAC(MAX($P$34*($B108+IF($R$17="Distrato",$I$38-1,0)),IF(AND($L$37=0,$P$34=0),"",$L$37-1),IF($R$17="Distrato",$E108,0)),MIN(U$38,$D$19),$P$20))-SUM($P108:T108)</f>
        <v>#VALUE!</v>
      </c>
      <c r="V108" s="446" t="e">
        <f>IF(OR($B108="",MIN(V$38,$D$19)&lt;MAX($P$34*($B108+IF($R$17="Distrato",$I$38-1,0)),IF(AND($L$37=0,$P$34=0),"",$L$37-1),IF($R$17="Distrato",$E108,0))),0,YEARFRAC(MAX($P$34*($B108+IF($R$17="Distrato",$I$38-1,0)),IF(AND($L$37=0,$P$34=0),"",$L$37-1),IF($R$17="Distrato",$E108,0)),MIN(V$38,$D$19),$P$20))-SUM($P108:U108)</f>
        <v>#VALUE!</v>
      </c>
      <c r="W108" s="446" t="e">
        <f>IF(OR($B108="",MIN(W$38,$D$19)&lt;MAX($P$34*($B108+IF($R$17="Distrato",$I$38-1,0)),IF(AND($L$37=0,$P$34=0),"",$L$37-1),IF($R$17="Distrato",$E108,0))),0,YEARFRAC(MAX($P$34*($B108+IF($R$17="Distrato",$I$38-1,0)),IF(AND($L$37=0,$P$34=0),"",$L$37-1),IF($R$17="Distrato",$E108,0)),MIN(W$38,$D$19),$P$20))-SUM($P108:V108)</f>
        <v>#VALUE!</v>
      </c>
      <c r="X108" s="446" t="e">
        <f>IF(OR($B108="",MIN(X$38,$D$19)&lt;MAX($P$34*($B108+IF($R$17="Distrato",$I$38-1,0)),IF(AND($L$37=0,$P$34=0),"",$L$37-1),IF($R$17="Distrato",$E108,0))),0,YEARFRAC(MAX($P$34*($B108+IF($R$17="Distrato",$I$38-1,0)),IF(AND($L$37=0,$P$34=0),"",$L$37-1),IF($R$17="Distrato",$E108,0)),MIN(X$38,$D$19),$P$20))-SUM($P108:W108)</f>
        <v>#VALUE!</v>
      </c>
      <c r="Y108" s="446" t="e">
        <f>IF(OR($B108="",MIN(Y$38,$D$19)&lt;MAX($P$34*($B108+IF($R$17="Distrato",$I$38-1,0)),IF(AND($L$37=0,$P$34=0),"",$L$37-1),IF($R$17="Distrato",$E108,0))),0,YEARFRAC(MAX($P$34*($B108+IF($R$17="Distrato",$I$38-1,0)),IF(AND($L$37=0,$P$34=0),"",$L$37-1),IF($R$17="Distrato",$E108,0)),MIN(Y$38,$D$19),$P$20))-SUM($P108:X108)</f>
        <v>#VALUE!</v>
      </c>
      <c r="Z108" s="446" t="e">
        <f>IF(OR($B108="",MIN(Z$38,$D$19)&lt;MAX($P$34*($B108+IF($R$17="Distrato",$I$38-1,0)),IF(AND($L$37=0,$P$34=0),"",$L$37-1),IF($R$17="Distrato",$E108,0))),0,YEARFRAC(MAX($P$34*($B108+IF($R$17="Distrato",$I$38-1,0)),IF(AND($L$37=0,$P$34=0),"",$L$37-1),IF($R$17="Distrato",$E108,0)),MIN(Z$38,$D$19),$P$20))-SUM($P108:Y108)</f>
        <v>#VALUE!</v>
      </c>
      <c r="AA108" s="446" t="e">
        <f>IF(OR($B108="",MIN(AA$38,$D$19)&lt;MAX($P$34*($B108+IF($R$17="Distrato",$I$38-1,0)),IF(AND($L$37=0,$P$34=0),"",$L$37-1),IF($R$17="Distrato",$E108,0))),0,YEARFRAC(MAX($P$34*($B108+IF($R$17="Distrato",$I$38-1,0)),IF(AND($L$37=0,$P$34=0),"",$L$37-1),IF($R$17="Distrato",$E108,0)),MIN(AA$38,$D$19),$P$20))-SUM($P108:Z108)</f>
        <v>#VALUE!</v>
      </c>
      <c r="AB108" s="446" t="e">
        <f>IF(OR($B108="",MIN(AB$38,$D$19)&lt;MAX($P$34*($B108+IF($R$17="Distrato",$I$38-1,0)),IF(AND($L$37=0,$P$34=0),"",$L$37-1),IF($R$17="Distrato",$E108,0))),0,YEARFRAC(MAX($P$34*($B108+IF($R$17="Distrato",$I$38-1,0)),IF(AND($L$37=0,$P$34=0),"",$L$37-1),IF($R$17="Distrato",$E108,0)),MIN(AB$38,$D$19),$P$20))-SUM($P108:AA108)</f>
        <v>#VALUE!</v>
      </c>
      <c r="AC108" s="446" t="e">
        <f>IF(OR($B108="",MIN(AC$38,$D$19)&lt;MAX($P$34*($B108+IF($R$17="Distrato",$I$38-1,0)),IF(AND($L$37=0,$P$34=0),"",$L$37-1),IF($R$17="Distrato",$E108,0))),0,YEARFRAC(MAX($P$34*($B108+IF($R$17="Distrato",$I$38-1,0)),IF(AND($L$37=0,$P$34=0),"",$L$37-1),IF($R$17="Distrato",$E108,0)),MIN(AC$38,$D$19),$P$20))-SUM($P108:AB108)</f>
        <v>#VALUE!</v>
      </c>
      <c r="AD108" s="446" t="e">
        <f>IF(OR($B108="",MIN(AD$38,$D$19)&lt;MAX($P$34*($B108+IF($R$17="Distrato",$I$38-1,0)),IF(AND($L$37=0,$P$34=0),"",$L$37-1),IF($R$17="Distrato",$E108,0))),0,YEARFRAC(MAX($P$34*($B108+IF($R$17="Distrato",$I$38-1,0)),IF(AND($L$37=0,$P$34=0),"",$L$37-1),IF($R$17="Distrato",$E108,0)),MIN(AD$38,$D$19),$P$20))-SUM($P108:AC108)</f>
        <v>#VALUE!</v>
      </c>
      <c r="AE108" s="446" t="e">
        <f>IF(OR($B108="",MIN(AE$38,$D$19)&lt;MAX($P$34*($B108+IF($R$17="Distrato",$I$38-1,0)),IF(AND($L$37=0,$P$34=0),"",$L$37-1),IF($R$17="Distrato",$E108,0))),0,YEARFRAC(MAX($P$34*($B108+IF($R$17="Distrato",$I$38-1,0)),IF(AND($L$37=0,$P$34=0),"",$L$37-1),IF($R$17="Distrato",$E108,0)),MIN(AE$38,$D$19),$P$20))-SUM($P108:AD108)</f>
        <v>#VALUE!</v>
      </c>
      <c r="AF108" s="446" t="e">
        <f>IF(OR($B108="",MIN(AF$38,$D$19)&lt;MAX($P$34*($B108+IF($R$17="Distrato",$I$38-1,0)),IF(AND($L$37=0,$P$34=0),"",$L$37-1),IF($R$17="Distrato",$E108,0))),0,YEARFRAC(MAX($P$34*($B108+IF($R$17="Distrato",$I$38-1,0)),IF(AND($L$37=0,$P$34=0),"",$L$37-1),IF($R$17="Distrato",$E108,0)),MIN(AF$38,$D$19),$P$20))-SUM($P108:AE108)</f>
        <v>#VALUE!</v>
      </c>
      <c r="AG108" s="446" t="e">
        <f>IF(OR($B108="",MIN(AG$38,$D$19)&lt;MAX($P$34*($B108+IF($R$17="Distrato",$I$38-1,0)),IF(AND($L$37=0,$P$34=0),"",$L$37-1),IF($R$17="Distrato",$E108,0))),0,YEARFRAC(MAX($P$34*($B108+IF($R$17="Distrato",$I$38-1,0)),IF(AND($L$37=0,$P$34=0),"",$L$37-1),IF($R$17="Distrato",$E108,0)),MIN(AG$38,$D$19),$P$20))-SUM($P108:AF108)</f>
        <v>#VALUE!</v>
      </c>
      <c r="AH108" s="446" t="e">
        <f>IF(OR($B108="",MIN(AH$38,$D$19)&lt;MAX($P$34*($B108+IF($R$17="Distrato",$I$38-1,0)),IF(AND($L$37=0,$P$34=0),"",$L$37-1),IF($R$17="Distrato",$E108,0))),0,YEARFRAC(MAX($P$34*($B108+IF($R$17="Distrato",$I$38-1,0)),IF(AND($L$37=0,$P$34=0),"",$L$37-1),IF($R$17="Distrato",$E108,0)),MIN(AH$38,$D$19),$P$20))-SUM($P108:AG108)</f>
        <v>#VALUE!</v>
      </c>
      <c r="AI108" s="446" t="e">
        <f>IF(OR($B108="",MIN(AI$38,$D$19)&lt;MAX($P$34*($B108+IF($R$17="Distrato",$I$38-1,0)),IF(AND($L$37=0,$P$34=0),"",$L$37-1),IF($R$17="Distrato",$E108,0))),0,YEARFRAC(MAX($P$34*($B108+IF($R$17="Distrato",$I$38-1,0)),IF(AND($L$37=0,$P$34=0),"",$L$37-1),IF($R$17="Distrato",$E108,0)),MIN(AI$38,$D$19),$P$20))-SUM($P108:AH108)</f>
        <v>#VALUE!</v>
      </c>
      <c r="AJ108" s="446" t="e">
        <f>IF(OR($B108="",MIN(AJ$38,$D$19)&lt;MAX($P$34*($B108+IF($R$17="Distrato",$I$38-1,0)),IF(AND($L$37=0,$P$34=0),"",$L$37-1),IF($R$17="Distrato",$E108,0))),0,YEARFRAC(MAX($P$34*($B108+IF($R$17="Distrato",$I$38-1,0)),IF(AND($L$37=0,$P$34=0),"",$L$37-1),IF($R$17="Distrato",$E108,0)),MIN(AJ$38,$D$19),$P$20))-SUM($P108:AI108)</f>
        <v>#VALUE!</v>
      </c>
      <c r="AK108" s="446" t="e">
        <f>IF(OR($B108="",MIN(AK$38,$D$19)&lt;MAX($P$34*($B108+IF($R$17="Distrato",$I$38-1,0)),IF(AND($L$37=0,$P$34=0),"",$L$37-1),IF($R$17="Distrato",$E108,0))),0,YEARFRAC(MAX($P$34*($B108+IF($R$17="Distrato",$I$38-1,0)),IF(AND($L$37=0,$P$34=0),"",$L$37-1),IF($R$17="Distrato",$E108,0)),MIN(AK$38,$D$19),$P$20))-SUM($P108:AJ108)</f>
        <v>#VALUE!</v>
      </c>
      <c r="AL108" s="446" t="e">
        <f>IF(OR($B108="",MIN(AL$38,$D$19)&lt;MAX($P$34*($B108+IF($R$17="Distrato",$I$38-1,0)),IF(AND($L$37=0,$P$34=0),"",$L$37-1),IF($R$17="Distrato",$E108,0))),0,YEARFRAC(MAX($P$34*($B108+IF($R$17="Distrato",$I$38-1,0)),IF(AND($L$37=0,$P$34=0),"",$L$37-1),IF($R$17="Distrato",$E108,0)),MIN(AL$38,$D$19),$P$20))-SUM($P108:AK108)</f>
        <v>#VALUE!</v>
      </c>
      <c r="AM108" s="446" t="e">
        <f>IF(OR($B108="",MIN(AM$38,$D$19)&lt;MAX($P$34*($B108+IF($R$17="Distrato",$I$38-1,0)),IF(AND($L$37=0,$P$34=0),"",$L$37-1),IF($R$17="Distrato",$E108,0))),0,YEARFRAC(MAX($P$34*($B108+IF($R$17="Distrato",$I$38-1,0)),IF(AND($L$37=0,$P$34=0),"",$L$37-1),IF($R$17="Distrato",$E108,0)),MIN(AM$38,$D$19),$P$20))-SUM($P108:AL108)</f>
        <v>#VALUE!</v>
      </c>
      <c r="AN108" s="446" t="e">
        <f>IF(OR($B108="",MIN(AN$38,$D$19)&lt;MAX($P$34*($B108+IF($R$17="Distrato",$I$38-1,0)),IF(AND($L$37=0,$P$34=0),"",$L$37-1),IF($R$17="Distrato",$E108,0))),0,YEARFRAC(MAX($P$34*($B108+IF($R$17="Distrato",$I$38-1,0)),IF(AND($L$37=0,$P$34=0),"",$L$37-1),IF($R$17="Distrato",$E108,0)),MIN(AN$38,$D$19),$P$20))-SUM($P108:AM108)</f>
        <v>#VALUE!</v>
      </c>
      <c r="AO108" s="446" t="e">
        <f>IF(OR($B108="",MIN(AO$38,$D$19)&lt;MAX($P$34*($B108+IF($R$17="Distrato",$I$38-1,0)),IF(AND($L$37=0,$P$34=0),"",$L$37-1),IF($R$17="Distrato",$E108,0))),0,YEARFRAC(MAX($P$34*($B108+IF($R$17="Distrato",$I$38-1,0)),IF(AND($L$37=0,$P$34=0),"",$L$37-1),IF($R$17="Distrato",$E108,0)),MIN(AO$38,$D$19),$P$20))-SUM($P108:AN108)</f>
        <v>#VALUE!</v>
      </c>
      <c r="AP108" s="446" t="e">
        <f>IF(OR($B108="",MIN(AP$38,$D$19)&lt;MAX($P$34*($B108+IF($R$17="Distrato",$I$38-1,0)),IF(AND($L$37=0,$P$34=0),"",$L$37-1),IF($R$17="Distrato",$E108,0))),0,YEARFRAC(MAX($P$34*($B108+IF($R$17="Distrato",$I$38-1,0)),IF(AND($L$37=0,$P$34=0),"",$L$37-1),IF($R$17="Distrato",$E108,0)),MIN(AP$38,$D$19),$P$20))-SUM($P108:AO108)</f>
        <v>#VALUE!</v>
      </c>
      <c r="AQ108" s="446" t="e">
        <f>IF(OR($B108="",MIN(AQ$38,$D$19)&lt;MAX($P$34*($B108+IF($R$17="Distrato",$I$38-1,0)),IF(AND($L$37=0,$P$34=0),"",$L$37-1),IF($R$17="Distrato",$E108,0))),0,YEARFRAC(MAX($P$34*($B108+IF($R$17="Distrato",$I$38-1,0)),IF(AND($L$37=0,$P$34=0),"",$L$37-1),IF($R$17="Distrato",$E108,0)),MIN(AQ$38,$D$19),$P$20))-SUM($P108:AP108)</f>
        <v>#VALUE!</v>
      </c>
      <c r="AR108" s="446" t="e">
        <f>IF(OR($B108="",MIN(AR$38,$D$19)&lt;MAX($P$34*($B108+IF($R$17="Distrato",$I$38-1,0)),IF(AND($L$37=0,$P$34=0),"",$L$37-1),IF($R$17="Distrato",$E108,0))),0,YEARFRAC(MAX($P$34*($B108+IF($R$17="Distrato",$I$38-1,0)),IF(AND($L$37=0,$P$34=0),"",$L$37-1),IF($R$17="Distrato",$E108,0)),MIN(AR$38,$D$19),$P$20))-SUM($P108:AQ108)</f>
        <v>#VALUE!</v>
      </c>
      <c r="AS108" s="446" t="e">
        <f>IF(OR($B108="",MIN(AS$38,$D$19)&lt;MAX($P$34*($B108+IF($R$17="Distrato",$I$38-1,0)),IF(AND($L$37=0,$P$34=0),"",$L$37-1),IF($R$17="Distrato",$E108,0))),0,YEARFRAC(MAX($P$34*($B108+IF($R$17="Distrato",$I$38-1,0)),IF(AND($L$37=0,$P$34=0),"",$L$37-1),IF($R$17="Distrato",$E108,0)),MIN(AS$38,$D$19),$P$20))-SUM($P108:AR108)</f>
        <v>#VALUE!</v>
      </c>
      <c r="AT108" s="446" t="e">
        <f>IF(OR($B108="",MIN(AT$38,$D$19)&lt;MAX($P$34*($B108+IF($R$17="Distrato",$I$38-1,0)),IF(AND($L$37=0,$P$34=0),"",$L$37-1),IF($R$17="Distrato",$E108,0))),0,YEARFRAC(MAX($P$34*($B108+IF($R$17="Distrato",$I$38-1,0)),IF(AND($L$37=0,$P$34=0),"",$L$37-1),IF($R$17="Distrato",$E108,0)),MIN(AT$38,$D$19),$P$20))-SUM($P108:AS108)</f>
        <v>#VALUE!</v>
      </c>
      <c r="AU108" s="446" t="e">
        <f>IF(OR($B108="",MIN(AU$38,$D$19)&lt;MAX($P$34*($B108+IF($R$17="Distrato",$I$38-1,0)),IF(AND($L$37=0,$P$34=0),"",$L$37-1),IF($R$17="Distrato",$E108,0))),0,YEARFRAC(MAX($P$34*($B108+IF($R$17="Distrato",$I$38-1,0)),IF(AND($L$37=0,$P$34=0),"",$L$37-1),IF($R$17="Distrato",$E108,0)),MIN(AU$38,$D$19),$P$20))-SUM($P108:AT108)</f>
        <v>#VALUE!</v>
      </c>
      <c r="AV108" s="446" t="e">
        <f>IF(OR($B108="",MIN(AV$38,$D$19)&lt;MAX($P$34*($B108+IF($R$17="Distrato",$I$38-1,0)),IF(AND($L$37=0,$P$34=0),"",$L$37-1),IF($R$17="Distrato",$E108,0))),0,YEARFRAC(MAX($P$34*($B108+IF($R$17="Distrato",$I$38-1,0)),IF(AND($L$37=0,$P$34=0),"",$L$37-1),IF($R$17="Distrato",$E108,0)),MIN(AV$38,$D$19),$P$20))-SUM($P108:AU108)</f>
        <v>#VALUE!</v>
      </c>
      <c r="AW108" s="446" t="e">
        <f>IF(OR($B108="",MIN(AW$38,$D$19)&lt;MAX($P$34*($B108+IF($R$17="Distrato",$I$38-1,0)),IF(AND($L$37=0,$P$34=0),"",$L$37-1),IF($R$17="Distrato",$E108,0))),0,YEARFRAC(MAX($P$34*($B108+IF($R$17="Distrato",$I$38-1,0)),IF(AND($L$37=0,$P$34=0),"",$L$37-1),IF($R$17="Distrato",$E108,0)),MIN(AW$38,$D$19),$P$20))-SUM($P108:AV108)</f>
        <v>#VALUE!</v>
      </c>
      <c r="AX108" s="446" t="e">
        <f>IF(OR($B108="",MIN(AX$38,$D$19)&lt;MAX($P$34*($B108+IF($R$17="Distrato",$I$38-1,0)),IF(AND($L$37=0,$P$34=0),"",$L$37-1),IF($R$17="Distrato",$E108,0))),0,YEARFRAC(MAX($P$34*($B108+IF($R$17="Distrato",$I$38-1,0)),IF(AND($L$37=0,$P$34=0),"",$L$37-1),IF($R$17="Distrato",$E108,0)),MIN(AX$38,$D$19),$P$20))-SUM($P108:AW108)</f>
        <v>#VALUE!</v>
      </c>
      <c r="AY108" s="446" t="e">
        <f>IF(OR($B108="",MIN(AY$38,$D$19)&lt;MAX($P$34*($B108+IF($R$17="Distrato",$I$38-1,0)),IF(AND($L$37=0,$P$34=0),"",$L$37-1),IF($R$17="Distrato",$E108,0))),0,YEARFRAC(MAX($P$34*($B108+IF($R$17="Distrato",$I$38-1,0)),IF(AND($L$37=0,$P$34=0),"",$L$37-1),IF($R$17="Distrato",$E108,0)),MIN(AY$38,$D$19),$P$20))-SUM($P108:AX108)</f>
        <v>#VALUE!</v>
      </c>
      <c r="AZ108" s="446" t="e">
        <f>IF(OR($B108="",MIN(AZ$38,$D$19)&lt;MAX($P$34*($B108+IF($R$17="Distrato",$I$38-1,0)),IF(AND($L$37=0,$P$34=0),"",$L$37-1),IF($R$17="Distrato",$E108,0))),0,YEARFRAC(MAX($P$34*($B108+IF($R$17="Distrato",$I$38-1,0)),IF(AND($L$37=0,$P$34=0),"",$L$37-1),IF($R$17="Distrato",$E108,0)),MIN(AZ$38,$D$19),$P$20))-SUM($P108:AY108)</f>
        <v>#VALUE!</v>
      </c>
      <c r="BA108" s="446" t="e">
        <f>IF(OR($B108="",MIN(BA$38,$D$19)&lt;MAX($P$34*($B108+IF($R$17="Distrato",$I$38-1,0)),IF(AND($L$37=0,$P$34=0),"",$L$37-1),IF($R$17="Distrato",$E108,0))),0,YEARFRAC(MAX($P$34*($B108+IF($R$17="Distrato",$I$38-1,0)),IF(AND($L$37=0,$P$34=0),"",$L$37-1),IF($R$17="Distrato",$E108,0)),MIN(BA$38,$D$19),$P$20))-SUM($P108:AZ108)</f>
        <v>#VALUE!</v>
      </c>
      <c r="BB108" s="447"/>
      <c r="BF108" s="446">
        <f t="shared" si="21"/>
        <v>0</v>
      </c>
      <c r="BG108" s="446">
        <f>IF($E108=0,0,IF(MIN(BG$38,$E108)&lt;MAX($P$34*($B108+$I$38-1),IF(AND($L$37=0,$P$34=0),"",$L$37-1)),0,YEARFRAC(MAX($P$34*($B108+$I$38-1),IF(AND($L$37=0,$P$34=0),"",$L$37-1)),MIN(BG$38,$E108),$P$20))-SUM($BF108:BF108))</f>
        <v>0</v>
      </c>
      <c r="BH108" s="446">
        <f>IF($E108=0,0,IF(MIN(BH$38,$E108)&lt;MAX($P$34*($B108+$I$38-1),IF(AND($L$37=0,$P$34=0),"",$L$37-1)),0,YEARFRAC(MAX($P$34*($B108+$I$38-1),IF(AND($L$37=0,$P$34=0),"",$L$37-1)),MIN(BH$38,$E108),$P$20))-SUM($BF108:BG108))</f>
        <v>0</v>
      </c>
      <c r="BI108" s="446">
        <f>IF($E108=0,0,IF(MIN(BI$38,$E108)&lt;MAX($P$34*($B108+$I$38-1),IF(AND($L$37=0,$P$34=0),"",$L$37-1)),0,YEARFRAC(MAX($P$34*($B108+$I$38-1),IF(AND($L$37=0,$P$34=0),"",$L$37-1)),MIN(BI$38,$E108),$P$20))-SUM($BF108:BH108))</f>
        <v>0</v>
      </c>
      <c r="BJ108" s="446">
        <f>IF($E108=0,0,IF(MIN(BJ$38,$E108)&lt;MAX($P$34*($B108+$I$38-1),IF(AND($L$37=0,$P$34=0),"",$L$37-1)),0,YEARFRAC(MAX($P$34*($B108+$I$38-1),IF(AND($L$37=0,$P$34=0),"",$L$37-1)),MIN(BJ$38,$E108),$P$20))-SUM($BF108:BI108))</f>
        <v>0</v>
      </c>
      <c r="BK108" s="446">
        <f>IF($E108=0,0,IF(MIN(BK$38,$E108)&lt;MAX($P$34*($B108+$I$38-1),IF(AND($L$37=0,$P$34=0),"",$L$37-1)),0,YEARFRAC(MAX($P$34*($B108+$I$38-1),IF(AND($L$37=0,$P$34=0),"",$L$37-1)),MIN(BK$38,$E108),$P$20))-SUM($BF108:BJ108))</f>
        <v>0</v>
      </c>
      <c r="BL108" s="446">
        <f>IF($E108=0,0,IF(MIN(BL$38,$E108)&lt;MAX($P$34*($B108+$I$38-1),IF(AND($L$37=0,$P$34=0),"",$L$37-1)),0,YEARFRAC(MAX($P$34*($B108+$I$38-1),IF(AND($L$37=0,$P$34=0),"",$L$37-1)),MIN(BL$38,$E108),$P$20))-SUM($BF108:BK108))</f>
        <v>0</v>
      </c>
      <c r="BM108" s="446">
        <f>IF($E108=0,0,IF(MIN(BM$38,$E108)&lt;MAX($P$34*($B108+$I$38-1),IF(AND($L$37=0,$P$34=0),"",$L$37-1)),0,YEARFRAC(MAX($P$34*($B108+$I$38-1),IF(AND($L$37=0,$P$34=0),"",$L$37-1)),MIN(BM$38,$E108),$P$20))-SUM($BF108:BL108))</f>
        <v>0</v>
      </c>
      <c r="BN108" s="446">
        <f>IF($E108=0,0,IF(MIN(BN$38,$E108)&lt;MAX($P$34*($B108+$I$38-1),IF(AND($L$37=0,$P$34=0),"",$L$37-1)),0,YEARFRAC(MAX($P$34*($B108+$I$38-1),IF(AND($L$37=0,$P$34=0),"",$L$37-1)),MIN(BN$38,$E108),$P$20))-SUM($BF108:BM108))</f>
        <v>0</v>
      </c>
      <c r="BO108" s="446">
        <f>IF($E108=0,0,IF(MIN(BO$38,$E108)&lt;MAX($P$34*($B108+$I$38-1),IF(AND($L$37=0,$P$34=0),"",$L$37-1)),0,YEARFRAC(MAX($P$34*($B108+$I$38-1),IF(AND($L$37=0,$P$34=0),"",$L$37-1)),MIN(BO$38,$E108),$P$20))-SUM($BF108:BN108))</f>
        <v>0</v>
      </c>
      <c r="BP108" s="446">
        <f>IF($E108=0,0,IF(MIN(BP$38,$E108)&lt;MAX($P$34*($B108+$I$38-1),IF(AND($L$37=0,$P$34=0),"",$L$37-1)),0,YEARFRAC(MAX($P$34*($B108+$I$38-1),IF(AND($L$37=0,$P$34=0),"",$L$37-1)),MIN(BP$38,$E108),$P$20))-SUM($BF108:BO108))</f>
        <v>0</v>
      </c>
      <c r="BQ108" s="446">
        <f>IF($E108=0,0,IF(MIN(BQ$38,$E108)&lt;MAX($P$34*($B108+$I$38-1),IF(AND($L$37=0,$P$34=0),"",$L$37-1)),0,YEARFRAC(MAX($P$34*($B108+$I$38-1),IF(AND($L$37=0,$P$34=0),"",$L$37-1)),MIN(BQ$38,$E108),$P$20))-SUM($BF108:BP108))</f>
        <v>0</v>
      </c>
      <c r="BR108" s="446">
        <f>IF($E108=0,0,IF(MIN(BR$38,$E108)&lt;MAX($P$34*($B108+$I$38-1),IF(AND($L$37=0,$P$34=0),"",$L$37-1)),0,YEARFRAC(MAX($P$34*($B108+$I$38-1),IF(AND($L$37=0,$P$34=0),"",$L$37-1)),MIN(BR$38,$E108),$P$20))-SUM($BF108:BQ108))</f>
        <v>0</v>
      </c>
      <c r="BS108" s="446">
        <f>IF($E108=0,0,IF(MIN(BS$38,$E108)&lt;MAX($P$34*($B108+$I$38-1),IF(AND($L$37=0,$P$34=0),"",$L$37-1)),0,YEARFRAC(MAX($P$34*($B108+$I$38-1),IF(AND($L$37=0,$P$34=0),"",$L$37-1)),MIN(BS$38,$E108),$P$20))-SUM($BF108:BR108))</f>
        <v>0</v>
      </c>
      <c r="BT108" s="446">
        <f>IF($E108=0,0,IF(MIN(BT$38,$E108)&lt;MAX($P$34*($B108+$I$38-1),IF(AND($L$37=0,$P$34=0),"",$L$37-1)),0,YEARFRAC(MAX($P$34*($B108+$I$38-1),IF(AND($L$37=0,$P$34=0),"",$L$37-1)),MIN(BT$38,$E108),$P$20))-SUM($BF108:BS108))</f>
        <v>0</v>
      </c>
      <c r="BU108" s="446">
        <f>IF($E108=0,0,IF(MIN(BU$38,$E108)&lt;MAX($P$34*($B108+$I$38-1),IF(AND($L$37=0,$P$34=0),"",$L$37-1)),0,YEARFRAC(MAX($P$34*($B108+$I$38-1),IF(AND($L$37=0,$P$34=0),"",$L$37-1)),MIN(BU$38,$E108),$P$20))-SUM($BF108:BT108))</f>
        <v>0</v>
      </c>
      <c r="BV108" s="446">
        <f>IF($E108=0,0,IF(MIN(BV$38,$E108)&lt;MAX($P$34*($B108+$I$38-1),IF(AND($L$37=0,$P$34=0),"",$L$37-1)),0,YEARFRAC(MAX($P$34*($B108+$I$38-1),IF(AND($L$37=0,$P$34=0),"",$L$37-1)),MIN(BV$38,$E108),$P$20))-SUM($BF108:BU108))</f>
        <v>0</v>
      </c>
      <c r="BW108" s="446">
        <f>IF($E108=0,0,IF(MIN(BW$38,$E108)&lt;MAX($P$34*($B108+$I$38-1),IF(AND($L$37=0,$P$34=0),"",$L$37-1)),0,YEARFRAC(MAX($P$34*($B108+$I$38-1),IF(AND($L$37=0,$P$34=0),"",$L$37-1)),MIN(BW$38,$E108),$P$20))-SUM($BF108:BV108))</f>
        <v>0</v>
      </c>
      <c r="BX108" s="446">
        <f>IF($E108=0,0,IF(MIN(BX$38,$E108)&lt;MAX($P$34*($B108+$I$38-1),IF(AND($L$37=0,$P$34=0),"",$L$37-1)),0,YEARFRAC(MAX($P$34*($B108+$I$38-1),IF(AND($L$37=0,$P$34=0),"",$L$37-1)),MIN(BX$38,$E108),$P$20))-SUM($BF108:BW108))</f>
        <v>0</v>
      </c>
      <c r="BY108" s="446">
        <f>IF($E108=0,0,IF(MIN(BY$38,$E108)&lt;MAX($P$34*($B108+$I$38-1),IF(AND($L$37=0,$P$34=0),"",$L$37-1)),0,YEARFRAC(MAX($P$34*($B108+$I$38-1),IF(AND($L$37=0,$P$34=0),"",$L$37-1)),MIN(BY$38,$E108),$P$20))-SUM($BF108:BX108))</f>
        <v>0</v>
      </c>
      <c r="BZ108" s="446">
        <f>IF($E108=0,0,IF(MIN(BZ$38,$E108)&lt;MAX($P$34*($B108+$I$38-1),IF(AND($L$37=0,$P$34=0),"",$L$37-1)),0,YEARFRAC(MAX($P$34*($B108+$I$38-1),IF(AND($L$37=0,$P$34=0),"",$L$37-1)),MIN(BZ$38,$E108),$P$20))-SUM($BF108:BY108))</f>
        <v>0</v>
      </c>
      <c r="CA108" s="446">
        <f>IF($E108=0,0,IF(MIN(CA$38,$E108)&lt;MAX($P$34*($B108+$I$38-1),IF(AND($L$37=0,$P$34=0),"",$L$37-1)),0,YEARFRAC(MAX($P$34*($B108+$I$38-1),IF(AND($L$37=0,$P$34=0),"",$L$37-1)),MIN(CA$38,$E108),$P$20))-SUM($BF108:BZ108))</f>
        <v>0</v>
      </c>
      <c r="CB108" s="446">
        <f>IF($E108=0,0,IF(MIN(CB$38,$E108)&lt;MAX($P$34*($B108+$I$38-1),IF(AND($L$37=0,$P$34=0),"",$L$37-1)),0,YEARFRAC(MAX($P$34*($B108+$I$38-1),IF(AND($L$37=0,$P$34=0),"",$L$37-1)),MIN(CB$38,$E108),$P$20))-SUM($BF108:CA108))</f>
        <v>0</v>
      </c>
      <c r="CC108" s="446">
        <f>IF($E108=0,0,IF(MIN(CC$38,$E108)&lt;MAX($P$34*($B108+$I$38-1),IF(AND($L$37=0,$P$34=0),"",$L$37-1)),0,YEARFRAC(MAX($P$34*($B108+$I$38-1),IF(AND($L$37=0,$P$34=0),"",$L$37-1)),MIN(CC$38,$E108),$P$20))-SUM($BF108:CB108))</f>
        <v>0</v>
      </c>
      <c r="CD108" s="446">
        <f>IF($E108=0,0,IF(MIN(CD$38,$E108)&lt;MAX($P$34*($B108+$I$38-1),IF(AND($L$37=0,$P$34=0),"",$L$37-1)),0,YEARFRAC(MAX($P$34*($B108+$I$38-1),IF(AND($L$37=0,$P$34=0),"",$L$37-1)),MIN(CD$38,$E108),$P$20))-SUM($BF108:CC108))</f>
        <v>0</v>
      </c>
      <c r="CE108" s="446">
        <f>IF($E108=0,0,IF(MIN(CE$38,$E108)&lt;MAX($P$34*($B108+$I$38-1),IF(AND($L$37=0,$P$34=0),"",$L$37-1)),0,YEARFRAC(MAX($P$34*($B108+$I$38-1),IF(AND($L$37=0,$P$34=0),"",$L$37-1)),MIN(CE$38,$E108),$P$20))-SUM($BF108:CD108))</f>
        <v>0</v>
      </c>
      <c r="CF108" s="446">
        <f>IF($E108=0,0,IF(MIN(CF$38,$E108)&lt;MAX($P$34*($B108+$I$38-1),IF(AND($L$37=0,$P$34=0),"",$L$37-1)),0,YEARFRAC(MAX($P$34*($B108+$I$38-1),IF(AND($L$37=0,$P$34=0),"",$L$37-1)),MIN(CF$38,$E108),$P$20))-SUM($BF108:CE108))</f>
        <v>0</v>
      </c>
      <c r="CG108" s="446">
        <f>IF($E108=0,0,IF(MIN(CG$38,$E108)&lt;MAX($P$34*($B108+$I$38-1),IF(AND($L$37=0,$P$34=0),"",$L$37-1)),0,YEARFRAC(MAX($P$34*($B108+$I$38-1),IF(AND($L$37=0,$P$34=0),"",$L$37-1)),MIN(CG$38,$E108),$P$20))-SUM($BF108:CF108))</f>
        <v>0</v>
      </c>
      <c r="CH108" s="446">
        <f>IF($E108=0,0,IF(MIN(CH$38,$E108)&lt;MAX($P$34*($B108+$I$38-1),IF(AND($L$37=0,$P$34=0),"",$L$37-1)),0,YEARFRAC(MAX($P$34*($B108+$I$38-1),IF(AND($L$37=0,$P$34=0),"",$L$37-1)),MIN(CH$38,$E108),$P$20))-SUM($BF108:CG108))</f>
        <v>0</v>
      </c>
      <c r="CI108" s="446">
        <f>IF($E108=0,0,IF(MIN(CI$38,$E108)&lt;MAX($P$34*($B108+$I$38-1),IF(AND($L$37=0,$P$34=0),"",$L$37-1)),0,YEARFRAC(MAX($P$34*($B108+$I$38-1),IF(AND($L$37=0,$P$34=0),"",$L$37-1)),MIN(CI$38,$E108),$P$20))-SUM($BF108:CH108))</f>
        <v>0</v>
      </c>
      <c r="CJ108" s="446">
        <f>IF($E108=0,0,IF(MIN(CJ$38,$E108)&lt;MAX($P$34*($B108+$I$38-1),IF(AND($L$37=0,$P$34=0),"",$L$37-1)),0,YEARFRAC(MAX($P$34*($B108+$I$38-1),IF(AND($L$37=0,$P$34=0),"",$L$37-1)),MIN(CJ$38,$E108),$P$20))-SUM($BF108:CI108))</f>
        <v>0</v>
      </c>
      <c r="CK108" s="446">
        <f>IF($E108=0,0,IF(MIN(CK$38,$E108)&lt;MAX($P$34*($B108+$I$38-1),IF(AND($L$37=0,$P$34=0),"",$L$37-1)),0,YEARFRAC(MAX($P$34*($B108+$I$38-1),IF(AND($L$37=0,$P$34=0),"",$L$37-1)),MIN(CK$38,$E108),$P$20))-SUM($BF108:CJ108))</f>
        <v>0</v>
      </c>
      <c r="CL108" s="446">
        <f>IF($E108=0,0,IF(MIN(CL$38,$E108)&lt;MAX($P$34*($B108+$I$38-1),IF(AND($L$37=0,$P$34=0),"",$L$37-1)),0,YEARFRAC(MAX($P$34*($B108+$I$38-1),IF(AND($L$37=0,$P$34=0),"",$L$37-1)),MIN(CL$38,$E108),$P$20))-SUM($BF108:CK108))</f>
        <v>0</v>
      </c>
      <c r="CM108" s="446">
        <f>IF($E108=0,0,IF(MIN(CM$38,$E108)&lt;MAX($P$34*($B108+$I$38-1),IF(AND($L$37=0,$P$34=0),"",$L$37-1)),0,YEARFRAC(MAX($P$34*($B108+$I$38-1),IF(AND($L$37=0,$P$34=0),"",$L$37-1)),MIN(CM$38,$E108),$P$20))-SUM($BF108:CL108))</f>
        <v>0</v>
      </c>
      <c r="CN108" s="446">
        <f>IF($E108=0,0,IF(MIN(CN$38,$E108)&lt;MAX($P$34*($B108+$I$38-1),IF(AND($L$37=0,$P$34=0),"",$L$37-1)),0,YEARFRAC(MAX($P$34*($B108+$I$38-1),IF(AND($L$37=0,$P$34=0),"",$L$37-1)),MIN(CN$38,$E108),$P$20))-SUM($BF108:CM108))</f>
        <v>0</v>
      </c>
      <c r="CO108" s="446">
        <f>IF($E108=0,0,IF(MIN(CO$38,$E108)&lt;MAX($P$34*($B108+$I$38-1),IF(AND($L$37=0,$P$34=0),"",$L$37-1)),0,YEARFRAC(MAX($P$34*($B108+$I$38-1),IF(AND($L$37=0,$P$34=0),"",$L$37-1)),MIN(CO$38,$E108),$P$20))-SUM($BF108:CN108))</f>
        <v>0</v>
      </c>
      <c r="CP108" s="446">
        <f>IF($E108=0,0,IF(MIN(CP$38,$E108)&lt;MAX($P$34*($B108+$I$38-1),IF(AND($L$37=0,$P$34=0),"",$L$37-1)),0,YEARFRAC(MAX($P$34*($B108+$I$38-1),IF(AND($L$37=0,$P$34=0),"",$L$37-1)),MIN(CP$38,$E108),$P$20))-SUM($BF108:CO108))</f>
        <v>0</v>
      </c>
      <c r="CQ108" s="446">
        <f>IF($E108=0,0,IF(MIN(CQ$38,$E108)&lt;MAX($P$34*($B108+$I$38-1),IF(AND($L$37=0,$P$34=0),"",$L$37-1)),0,YEARFRAC(MAX($P$34*($B108+$I$38-1),IF(AND($L$37=0,$P$34=0),"",$L$37-1)),MIN(CQ$38,$E108),$P$20))-SUM($BF108:CP108))</f>
        <v>0</v>
      </c>
    </row>
    <row r="109" spans="1:95" s="446" customFormat="1" ht="11.25" hidden="1" customHeight="1" x14ac:dyDescent="0.2">
      <c r="A109" s="152"/>
      <c r="B109" s="153" t="str">
        <f t="shared" si="26"/>
        <v/>
      </c>
      <c r="C109" s="29" t="str">
        <f>IF(B109="","",IF($L$35="SELIC - TRIBUTOS",VLOOKUP(DATE(YEAR($D$19),MONTH($D$19)-1,1),ÍNDICES!$A:$DE,HLOOKUP($BL$25,ÍNDICES!$B$3:$T$4,2)+11)-VLOOKUP(B109,ÍNDICES!$A:$DE,HLOOKUP($BL$25,ÍNDICES!$B$3:$T$4,2)+11)+1%,IF(C$38=$W$26,$J$35,IF(ISERROR(IF(B109&gt;$D$19,1,VLOOKUP(DATE(YEAR(B109),MONTH(B109)+IF($C$35=$S$23,1,0),1),ÍNDICES!$A:$DE,$Z$35+1))),"",IF(B109&gt;$D$19,1,VLOOKUP(DATE(YEAR(B109),MONTH(B109)+IF($C$35=$S$23,1,0),1),ÍNDICES!$A:$DE,$Z$35+1))))))</f>
        <v/>
      </c>
      <c r="D109" s="154" t="str">
        <f>IF(ISERROR(IF(OR($D$38=$Y$27,$B109=""),"",VLOOKUP(B109,ÍNDICES!A:DE,AF$35+1))),"",IF(OR($D$38=$Y$27,$B109=""),"",VLOOKUP(B109,ÍNDICES!A:DE,AF$35+1)))</f>
        <v/>
      </c>
      <c r="E109" s="153"/>
      <c r="F109" s="29" t="str">
        <f>IF(E109="","",IF($L$35="SELIC - TRIBUTOS",VLOOKUP(DATE(YEAR($D$19),MONTH($D$19)-1,1),ÍNDICES!$A:$DE,HLOOKUP($BL$25,ÍNDICES!$B$3:$T$4,2)+11)-VLOOKUP(E109,ÍNDICES!$A:$DE,HLOOKUP($BL$25,ÍNDICES!$B$3:$T$4,2)+11)+1%,IF(F$38=$W$26,$J$35,IF(ISERROR(IF(E109&gt;$D$19,1,VLOOKUP(DATE(YEAR(E109),MONTH(E109)+IF($C$35=$S$23,1,0),1),ÍNDICES!$A:$DE,$Z$35+1))),"",IF(E109&gt;$D$19,1,VLOOKUP(DATE(YEAR(E109),MONTH(E109)+IF($C$35=$S$23,1,0),1),ÍNDICES!$A:$DE,$Z$35+1))))))</f>
        <v/>
      </c>
      <c r="G109" s="155"/>
      <c r="H109" s="156" t="str">
        <f t="shared" si="22"/>
        <v/>
      </c>
      <c r="I109" s="29" t="str">
        <f t="shared" si="16"/>
        <v/>
      </c>
      <c r="J109" s="5">
        <f t="shared" si="17"/>
        <v>0</v>
      </c>
      <c r="K109" s="20">
        <f t="shared" ca="1" si="18"/>
        <v>0</v>
      </c>
      <c r="L109" s="5">
        <f t="shared" ca="1" si="19"/>
        <v>0</v>
      </c>
      <c r="M109" s="64">
        <f t="shared" si="23"/>
        <v>0</v>
      </c>
      <c r="N109" s="61">
        <f t="shared" ca="1" si="24"/>
        <v>0</v>
      </c>
      <c r="O109" s="5">
        <f t="shared" ca="1" si="25"/>
        <v>0</v>
      </c>
      <c r="P109" s="446" t="e">
        <f t="shared" si="20"/>
        <v>#VALUE!</v>
      </c>
      <c r="Q109" s="446" t="e">
        <f>IF(OR($B109="",MIN(Q$38,$D$19)&lt;MAX($P$34*($B109+IF($R$17="Distrato",$I$38-1,0)),IF(AND($L$37=0,$P$34=0),"",$L$37-1),IF($R$17="Distrato",$E109,0))),0,YEARFRAC(MAX($P$34*($B109+IF($R$17="Distrato",$I$38-1,0)),IF(AND($L$37=0,$P$34=0),"",$L$37-1),IF($R$17="Distrato",$E109,0)),MIN(Q$38,$D$19),$P$20))-SUM($P109:P109)</f>
        <v>#VALUE!</v>
      </c>
      <c r="R109" s="446" t="e">
        <f>IF(OR($B109="",MIN(R$38,$D$19)&lt;MAX($P$34*($B109+IF($R$17="Distrato",$I$38-1,0)),IF(AND($L$37=0,$P$34=0),"",$L$37-1),IF($R$17="Distrato",$E109,0))),0,YEARFRAC(MAX($P$34*($B109+IF($R$17="Distrato",$I$38-1,0)),IF(AND($L$37=0,$P$34=0),"",$L$37-1),IF($R$17="Distrato",$E109,0)),MIN(R$38,$D$19),$P$20))-SUM($P109:Q109)</f>
        <v>#VALUE!</v>
      </c>
      <c r="S109" s="446" t="e">
        <f>IF(OR($B109="",MIN(S$38,$D$19)&lt;MAX($P$34*($B109+IF($R$17="Distrato",$I$38-1,0)),IF(AND($L$37=0,$P$34=0),"",$L$37-1),IF($R$17="Distrato",$E109,0))),0,YEARFRAC(MAX($P$34*($B109+IF($R$17="Distrato",$I$38-1,0)),IF(AND($L$37=0,$P$34=0),"",$L$37-1),IF($R$17="Distrato",$E109,0)),MIN(S$38,$D$19),$P$20))-SUM($P109:R109)</f>
        <v>#VALUE!</v>
      </c>
      <c r="T109" s="446" t="e">
        <f>IF(OR($B109="",MIN(T$38,$D$19)&lt;MAX($P$34*($B109+IF($R$17="Distrato",$I$38-1,0)),IF(AND($L$37=0,$P$34=0),"",$L$37-1),IF($R$17="Distrato",$E109,0))),0,YEARFRAC(MAX($P$34*($B109+IF($R$17="Distrato",$I$38-1,0)),IF(AND($L$37=0,$P$34=0),"",$L$37-1),IF($R$17="Distrato",$E109,0)),MIN(T$38,$D$19),$P$20))-SUM($P109:S109)</f>
        <v>#VALUE!</v>
      </c>
      <c r="U109" s="446" t="e">
        <f>IF(OR($B109="",MIN(U$38,$D$19)&lt;MAX($P$34*($B109+IF($R$17="Distrato",$I$38-1,0)),IF(AND($L$37=0,$P$34=0),"",$L$37-1),IF($R$17="Distrato",$E109,0))),0,YEARFRAC(MAX($P$34*($B109+IF($R$17="Distrato",$I$38-1,0)),IF(AND($L$37=0,$P$34=0),"",$L$37-1),IF($R$17="Distrato",$E109,0)),MIN(U$38,$D$19),$P$20))-SUM($P109:T109)</f>
        <v>#VALUE!</v>
      </c>
      <c r="V109" s="446" t="e">
        <f>IF(OR($B109="",MIN(V$38,$D$19)&lt;MAX($P$34*($B109+IF($R$17="Distrato",$I$38-1,0)),IF(AND($L$37=0,$P$34=0),"",$L$37-1),IF($R$17="Distrato",$E109,0))),0,YEARFRAC(MAX($P$34*($B109+IF($R$17="Distrato",$I$38-1,0)),IF(AND($L$37=0,$P$34=0),"",$L$37-1),IF($R$17="Distrato",$E109,0)),MIN(V$38,$D$19),$P$20))-SUM($P109:U109)</f>
        <v>#VALUE!</v>
      </c>
      <c r="W109" s="446" t="e">
        <f>IF(OR($B109="",MIN(W$38,$D$19)&lt;MAX($P$34*($B109+IF($R$17="Distrato",$I$38-1,0)),IF(AND($L$37=0,$P$34=0),"",$L$37-1),IF($R$17="Distrato",$E109,0))),0,YEARFRAC(MAX($P$34*($B109+IF($R$17="Distrato",$I$38-1,0)),IF(AND($L$37=0,$P$34=0),"",$L$37-1),IF($R$17="Distrato",$E109,0)),MIN(W$38,$D$19),$P$20))-SUM($P109:V109)</f>
        <v>#VALUE!</v>
      </c>
      <c r="X109" s="446" t="e">
        <f>IF(OR($B109="",MIN(X$38,$D$19)&lt;MAX($P$34*($B109+IF($R$17="Distrato",$I$38-1,0)),IF(AND($L$37=0,$P$34=0),"",$L$37-1),IF($R$17="Distrato",$E109,0))),0,YEARFRAC(MAX($P$34*($B109+IF($R$17="Distrato",$I$38-1,0)),IF(AND($L$37=0,$P$34=0),"",$L$37-1),IF($R$17="Distrato",$E109,0)),MIN(X$38,$D$19),$P$20))-SUM($P109:W109)</f>
        <v>#VALUE!</v>
      </c>
      <c r="Y109" s="446" t="e">
        <f>IF(OR($B109="",MIN(Y$38,$D$19)&lt;MAX($P$34*($B109+IF($R$17="Distrato",$I$38-1,0)),IF(AND($L$37=0,$P$34=0),"",$L$37-1),IF($R$17="Distrato",$E109,0))),0,YEARFRAC(MAX($P$34*($B109+IF($R$17="Distrato",$I$38-1,0)),IF(AND($L$37=0,$P$34=0),"",$L$37-1),IF($R$17="Distrato",$E109,0)),MIN(Y$38,$D$19),$P$20))-SUM($P109:X109)</f>
        <v>#VALUE!</v>
      </c>
      <c r="Z109" s="446" t="e">
        <f>IF(OR($B109="",MIN(Z$38,$D$19)&lt;MAX($P$34*($B109+IF($R$17="Distrato",$I$38-1,0)),IF(AND($L$37=0,$P$34=0),"",$L$37-1),IF($R$17="Distrato",$E109,0))),0,YEARFRAC(MAX($P$34*($B109+IF($R$17="Distrato",$I$38-1,0)),IF(AND($L$37=0,$P$34=0),"",$L$37-1),IF($R$17="Distrato",$E109,0)),MIN(Z$38,$D$19),$P$20))-SUM($P109:Y109)</f>
        <v>#VALUE!</v>
      </c>
      <c r="AA109" s="446" t="e">
        <f>IF(OR($B109="",MIN(AA$38,$D$19)&lt;MAX($P$34*($B109+IF($R$17="Distrato",$I$38-1,0)),IF(AND($L$37=0,$P$34=0),"",$L$37-1),IF($R$17="Distrato",$E109,0))),0,YEARFRAC(MAX($P$34*($B109+IF($R$17="Distrato",$I$38-1,0)),IF(AND($L$37=0,$P$34=0),"",$L$37-1),IF($R$17="Distrato",$E109,0)),MIN(AA$38,$D$19),$P$20))-SUM($P109:Z109)</f>
        <v>#VALUE!</v>
      </c>
      <c r="AB109" s="446" t="e">
        <f>IF(OR($B109="",MIN(AB$38,$D$19)&lt;MAX($P$34*($B109+IF($R$17="Distrato",$I$38-1,0)),IF(AND($L$37=0,$P$34=0),"",$L$37-1),IF($R$17="Distrato",$E109,0))),0,YEARFRAC(MAX($P$34*($B109+IF($R$17="Distrato",$I$38-1,0)),IF(AND($L$37=0,$P$34=0),"",$L$37-1),IF($R$17="Distrato",$E109,0)),MIN(AB$38,$D$19),$P$20))-SUM($P109:AA109)</f>
        <v>#VALUE!</v>
      </c>
      <c r="AC109" s="446" t="e">
        <f>IF(OR($B109="",MIN(AC$38,$D$19)&lt;MAX($P$34*($B109+IF($R$17="Distrato",$I$38-1,0)),IF(AND($L$37=0,$P$34=0),"",$L$37-1),IF($R$17="Distrato",$E109,0))),0,YEARFRAC(MAX($P$34*($B109+IF($R$17="Distrato",$I$38-1,0)),IF(AND($L$37=0,$P$34=0),"",$L$37-1),IF($R$17="Distrato",$E109,0)),MIN(AC$38,$D$19),$P$20))-SUM($P109:AB109)</f>
        <v>#VALUE!</v>
      </c>
      <c r="AD109" s="446" t="e">
        <f>IF(OR($B109="",MIN(AD$38,$D$19)&lt;MAX($P$34*($B109+IF($R$17="Distrato",$I$38-1,0)),IF(AND($L$37=0,$P$34=0),"",$L$37-1),IF($R$17="Distrato",$E109,0))),0,YEARFRAC(MAX($P$34*($B109+IF($R$17="Distrato",$I$38-1,0)),IF(AND($L$37=0,$P$34=0),"",$L$37-1),IF($R$17="Distrato",$E109,0)),MIN(AD$38,$D$19),$P$20))-SUM($P109:AC109)</f>
        <v>#VALUE!</v>
      </c>
      <c r="AE109" s="446" t="e">
        <f>IF(OR($B109="",MIN(AE$38,$D$19)&lt;MAX($P$34*($B109+IF($R$17="Distrato",$I$38-1,0)),IF(AND($L$37=0,$P$34=0),"",$L$37-1),IF($R$17="Distrato",$E109,0))),0,YEARFRAC(MAX($P$34*($B109+IF($R$17="Distrato",$I$38-1,0)),IF(AND($L$37=0,$P$34=0),"",$L$37-1),IF($R$17="Distrato",$E109,0)),MIN(AE$38,$D$19),$P$20))-SUM($P109:AD109)</f>
        <v>#VALUE!</v>
      </c>
      <c r="AF109" s="446" t="e">
        <f>IF(OR($B109="",MIN(AF$38,$D$19)&lt;MAX($P$34*($B109+IF($R$17="Distrato",$I$38-1,0)),IF(AND($L$37=0,$P$34=0),"",$L$37-1),IF($R$17="Distrato",$E109,0))),0,YEARFRAC(MAX($P$34*($B109+IF($R$17="Distrato",$I$38-1,0)),IF(AND($L$37=0,$P$34=0),"",$L$37-1),IF($R$17="Distrato",$E109,0)),MIN(AF$38,$D$19),$P$20))-SUM($P109:AE109)</f>
        <v>#VALUE!</v>
      </c>
      <c r="AG109" s="446" t="e">
        <f>IF(OR($B109="",MIN(AG$38,$D$19)&lt;MAX($P$34*($B109+IF($R$17="Distrato",$I$38-1,0)),IF(AND($L$37=0,$P$34=0),"",$L$37-1),IF($R$17="Distrato",$E109,0))),0,YEARFRAC(MAX($P$34*($B109+IF($R$17="Distrato",$I$38-1,0)),IF(AND($L$37=0,$P$34=0),"",$L$37-1),IF($R$17="Distrato",$E109,0)),MIN(AG$38,$D$19),$P$20))-SUM($P109:AF109)</f>
        <v>#VALUE!</v>
      </c>
      <c r="AH109" s="446" t="e">
        <f>IF(OR($B109="",MIN(AH$38,$D$19)&lt;MAX($P$34*($B109+IF($R$17="Distrato",$I$38-1,0)),IF(AND($L$37=0,$P$34=0),"",$L$37-1),IF($R$17="Distrato",$E109,0))),0,YEARFRAC(MAX($P$34*($B109+IF($R$17="Distrato",$I$38-1,0)),IF(AND($L$37=0,$P$34=0),"",$L$37-1),IF($R$17="Distrato",$E109,0)),MIN(AH$38,$D$19),$P$20))-SUM($P109:AG109)</f>
        <v>#VALUE!</v>
      </c>
      <c r="AI109" s="446" t="e">
        <f>IF(OR($B109="",MIN(AI$38,$D$19)&lt;MAX($P$34*($B109+IF($R$17="Distrato",$I$38-1,0)),IF(AND($L$37=0,$P$34=0),"",$L$37-1),IF($R$17="Distrato",$E109,0))),0,YEARFRAC(MAX($P$34*($B109+IF($R$17="Distrato",$I$38-1,0)),IF(AND($L$37=0,$P$34=0),"",$L$37-1),IF($R$17="Distrato",$E109,0)),MIN(AI$38,$D$19),$P$20))-SUM($P109:AH109)</f>
        <v>#VALUE!</v>
      </c>
      <c r="AJ109" s="446" t="e">
        <f>IF(OR($B109="",MIN(AJ$38,$D$19)&lt;MAX($P$34*($B109+IF($R$17="Distrato",$I$38-1,0)),IF(AND($L$37=0,$P$34=0),"",$L$37-1),IF($R$17="Distrato",$E109,0))),0,YEARFRAC(MAX($P$34*($B109+IF($R$17="Distrato",$I$38-1,0)),IF(AND($L$37=0,$P$34=0),"",$L$37-1),IF($R$17="Distrato",$E109,0)),MIN(AJ$38,$D$19),$P$20))-SUM($P109:AI109)</f>
        <v>#VALUE!</v>
      </c>
      <c r="AK109" s="446" t="e">
        <f>IF(OR($B109="",MIN(AK$38,$D$19)&lt;MAX($P$34*($B109+IF($R$17="Distrato",$I$38-1,0)),IF(AND($L$37=0,$P$34=0),"",$L$37-1),IF($R$17="Distrato",$E109,0))),0,YEARFRAC(MAX($P$34*($B109+IF($R$17="Distrato",$I$38-1,0)),IF(AND($L$37=0,$P$34=0),"",$L$37-1),IF($R$17="Distrato",$E109,0)),MIN(AK$38,$D$19),$P$20))-SUM($P109:AJ109)</f>
        <v>#VALUE!</v>
      </c>
      <c r="AL109" s="446" t="e">
        <f>IF(OR($B109="",MIN(AL$38,$D$19)&lt;MAX($P$34*($B109+IF($R$17="Distrato",$I$38-1,0)),IF(AND($L$37=0,$P$34=0),"",$L$37-1),IF($R$17="Distrato",$E109,0))),0,YEARFRAC(MAX($P$34*($B109+IF($R$17="Distrato",$I$38-1,0)),IF(AND($L$37=0,$P$34=0),"",$L$37-1),IF($R$17="Distrato",$E109,0)),MIN(AL$38,$D$19),$P$20))-SUM($P109:AK109)</f>
        <v>#VALUE!</v>
      </c>
      <c r="AM109" s="446" t="e">
        <f>IF(OR($B109="",MIN(AM$38,$D$19)&lt;MAX($P$34*($B109+IF($R$17="Distrato",$I$38-1,0)),IF(AND($L$37=0,$P$34=0),"",$L$37-1),IF($R$17="Distrato",$E109,0))),0,YEARFRAC(MAX($P$34*($B109+IF($R$17="Distrato",$I$38-1,0)),IF(AND($L$37=0,$P$34=0),"",$L$37-1),IF($R$17="Distrato",$E109,0)),MIN(AM$38,$D$19),$P$20))-SUM($P109:AL109)</f>
        <v>#VALUE!</v>
      </c>
      <c r="AN109" s="446" t="e">
        <f>IF(OR($B109="",MIN(AN$38,$D$19)&lt;MAX($P$34*($B109+IF($R$17="Distrato",$I$38-1,0)),IF(AND($L$37=0,$P$34=0),"",$L$37-1),IF($R$17="Distrato",$E109,0))),0,YEARFRAC(MAX($P$34*($B109+IF($R$17="Distrato",$I$38-1,0)),IF(AND($L$37=0,$P$34=0),"",$L$37-1),IF($R$17="Distrato",$E109,0)),MIN(AN$38,$D$19),$P$20))-SUM($P109:AM109)</f>
        <v>#VALUE!</v>
      </c>
      <c r="AO109" s="446" t="e">
        <f>IF(OR($B109="",MIN(AO$38,$D$19)&lt;MAX($P$34*($B109+IF($R$17="Distrato",$I$38-1,0)),IF(AND($L$37=0,$P$34=0),"",$L$37-1),IF($R$17="Distrato",$E109,0))),0,YEARFRAC(MAX($P$34*($B109+IF($R$17="Distrato",$I$38-1,0)),IF(AND($L$37=0,$P$34=0),"",$L$37-1),IF($R$17="Distrato",$E109,0)),MIN(AO$38,$D$19),$P$20))-SUM($P109:AN109)</f>
        <v>#VALUE!</v>
      </c>
      <c r="AP109" s="446" t="e">
        <f>IF(OR($B109="",MIN(AP$38,$D$19)&lt;MAX($P$34*($B109+IF($R$17="Distrato",$I$38-1,0)),IF(AND($L$37=0,$P$34=0),"",$L$37-1),IF($R$17="Distrato",$E109,0))),0,YEARFRAC(MAX($P$34*($B109+IF($R$17="Distrato",$I$38-1,0)),IF(AND($L$37=0,$P$34=0),"",$L$37-1),IF($R$17="Distrato",$E109,0)),MIN(AP$38,$D$19),$P$20))-SUM($P109:AO109)</f>
        <v>#VALUE!</v>
      </c>
      <c r="AQ109" s="446" t="e">
        <f>IF(OR($B109="",MIN(AQ$38,$D$19)&lt;MAX($P$34*($B109+IF($R$17="Distrato",$I$38-1,0)),IF(AND($L$37=0,$P$34=0),"",$L$37-1),IF($R$17="Distrato",$E109,0))),0,YEARFRAC(MAX($P$34*($B109+IF($R$17="Distrato",$I$38-1,0)),IF(AND($L$37=0,$P$34=0),"",$L$37-1),IF($R$17="Distrato",$E109,0)),MIN(AQ$38,$D$19),$P$20))-SUM($P109:AP109)</f>
        <v>#VALUE!</v>
      </c>
      <c r="AR109" s="446" t="e">
        <f>IF(OR($B109="",MIN(AR$38,$D$19)&lt;MAX($P$34*($B109+IF($R$17="Distrato",$I$38-1,0)),IF(AND($L$37=0,$P$34=0),"",$L$37-1),IF($R$17="Distrato",$E109,0))),0,YEARFRAC(MAX($P$34*($B109+IF($R$17="Distrato",$I$38-1,0)),IF(AND($L$37=0,$P$34=0),"",$L$37-1),IF($R$17="Distrato",$E109,0)),MIN(AR$38,$D$19),$P$20))-SUM($P109:AQ109)</f>
        <v>#VALUE!</v>
      </c>
      <c r="AS109" s="446" t="e">
        <f>IF(OR($B109="",MIN(AS$38,$D$19)&lt;MAX($P$34*($B109+IF($R$17="Distrato",$I$38-1,0)),IF(AND($L$37=0,$P$34=0),"",$L$37-1),IF($R$17="Distrato",$E109,0))),0,YEARFRAC(MAX($P$34*($B109+IF($R$17="Distrato",$I$38-1,0)),IF(AND($L$37=0,$P$34=0),"",$L$37-1),IF($R$17="Distrato",$E109,0)),MIN(AS$38,$D$19),$P$20))-SUM($P109:AR109)</f>
        <v>#VALUE!</v>
      </c>
      <c r="AT109" s="446" t="e">
        <f>IF(OR($B109="",MIN(AT$38,$D$19)&lt;MAX($P$34*($B109+IF($R$17="Distrato",$I$38-1,0)),IF(AND($L$37=0,$P$34=0),"",$L$37-1),IF($R$17="Distrato",$E109,0))),0,YEARFRAC(MAX($P$34*($B109+IF($R$17="Distrato",$I$38-1,0)),IF(AND($L$37=0,$P$34=0),"",$L$37-1),IF($R$17="Distrato",$E109,0)),MIN(AT$38,$D$19),$P$20))-SUM($P109:AS109)</f>
        <v>#VALUE!</v>
      </c>
      <c r="AU109" s="446" t="e">
        <f>IF(OR($B109="",MIN(AU$38,$D$19)&lt;MAX($P$34*($B109+IF($R$17="Distrato",$I$38-1,0)),IF(AND($L$37=0,$P$34=0),"",$L$37-1),IF($R$17="Distrato",$E109,0))),0,YEARFRAC(MAX($P$34*($B109+IF($R$17="Distrato",$I$38-1,0)),IF(AND($L$37=0,$P$34=0),"",$L$37-1),IF($R$17="Distrato",$E109,0)),MIN(AU$38,$D$19),$P$20))-SUM($P109:AT109)</f>
        <v>#VALUE!</v>
      </c>
      <c r="AV109" s="446" t="e">
        <f>IF(OR($B109="",MIN(AV$38,$D$19)&lt;MAX($P$34*($B109+IF($R$17="Distrato",$I$38-1,0)),IF(AND($L$37=0,$P$34=0),"",$L$37-1),IF($R$17="Distrato",$E109,0))),0,YEARFRAC(MAX($P$34*($B109+IF($R$17="Distrato",$I$38-1,0)),IF(AND($L$37=0,$P$34=0),"",$L$37-1),IF($R$17="Distrato",$E109,0)),MIN(AV$38,$D$19),$P$20))-SUM($P109:AU109)</f>
        <v>#VALUE!</v>
      </c>
      <c r="AW109" s="446" t="e">
        <f>IF(OR($B109="",MIN(AW$38,$D$19)&lt;MAX($P$34*($B109+IF($R$17="Distrato",$I$38-1,0)),IF(AND($L$37=0,$P$34=0),"",$L$37-1),IF($R$17="Distrato",$E109,0))),0,YEARFRAC(MAX($P$34*($B109+IF($R$17="Distrato",$I$38-1,0)),IF(AND($L$37=0,$P$34=0),"",$L$37-1),IF($R$17="Distrato",$E109,0)),MIN(AW$38,$D$19),$P$20))-SUM($P109:AV109)</f>
        <v>#VALUE!</v>
      </c>
      <c r="AX109" s="446" t="e">
        <f>IF(OR($B109="",MIN(AX$38,$D$19)&lt;MAX($P$34*($B109+IF($R$17="Distrato",$I$38-1,0)),IF(AND($L$37=0,$P$34=0),"",$L$37-1),IF($R$17="Distrato",$E109,0))),0,YEARFRAC(MAX($P$34*($B109+IF($R$17="Distrato",$I$38-1,0)),IF(AND($L$37=0,$P$34=0),"",$L$37-1),IF($R$17="Distrato",$E109,0)),MIN(AX$38,$D$19),$P$20))-SUM($P109:AW109)</f>
        <v>#VALUE!</v>
      </c>
      <c r="AY109" s="446" t="e">
        <f>IF(OR($B109="",MIN(AY$38,$D$19)&lt;MAX($P$34*($B109+IF($R$17="Distrato",$I$38-1,0)),IF(AND($L$37=0,$P$34=0),"",$L$37-1),IF($R$17="Distrato",$E109,0))),0,YEARFRAC(MAX($P$34*($B109+IF($R$17="Distrato",$I$38-1,0)),IF(AND($L$37=0,$P$34=0),"",$L$37-1),IF($R$17="Distrato",$E109,0)),MIN(AY$38,$D$19),$P$20))-SUM($P109:AX109)</f>
        <v>#VALUE!</v>
      </c>
      <c r="AZ109" s="446" t="e">
        <f>IF(OR($B109="",MIN(AZ$38,$D$19)&lt;MAX($P$34*($B109+IF($R$17="Distrato",$I$38-1,0)),IF(AND($L$37=0,$P$34=0),"",$L$37-1),IF($R$17="Distrato",$E109,0))),0,YEARFRAC(MAX($P$34*($B109+IF($R$17="Distrato",$I$38-1,0)),IF(AND($L$37=0,$P$34=0),"",$L$37-1),IF($R$17="Distrato",$E109,0)),MIN(AZ$38,$D$19),$P$20))-SUM($P109:AY109)</f>
        <v>#VALUE!</v>
      </c>
      <c r="BA109" s="446" t="e">
        <f>IF(OR($B109="",MIN(BA$38,$D$19)&lt;MAX($P$34*($B109+IF($R$17="Distrato",$I$38-1,0)),IF(AND($L$37=0,$P$34=0),"",$L$37-1),IF($R$17="Distrato",$E109,0))),0,YEARFRAC(MAX($P$34*($B109+IF($R$17="Distrato",$I$38-1,0)),IF(AND($L$37=0,$P$34=0),"",$L$37-1),IF($R$17="Distrato",$E109,0)),MIN(BA$38,$D$19),$P$20))-SUM($P109:AZ109)</f>
        <v>#VALUE!</v>
      </c>
      <c r="BB109" s="447"/>
      <c r="BF109" s="446">
        <f t="shared" si="21"/>
        <v>0</v>
      </c>
      <c r="BG109" s="446">
        <f>IF($E109=0,0,IF(MIN(BG$38,$E109)&lt;MAX($P$34*($B109+$I$38-1),IF(AND($L$37=0,$P$34=0),"",$L$37-1)),0,YEARFRAC(MAX($P$34*($B109+$I$38-1),IF(AND($L$37=0,$P$34=0),"",$L$37-1)),MIN(BG$38,$E109),$P$20))-SUM($BF109:BF109))</f>
        <v>0</v>
      </c>
      <c r="BH109" s="446">
        <f>IF($E109=0,0,IF(MIN(BH$38,$E109)&lt;MAX($P$34*($B109+$I$38-1),IF(AND($L$37=0,$P$34=0),"",$L$37-1)),0,YEARFRAC(MAX($P$34*($B109+$I$38-1),IF(AND($L$37=0,$P$34=0),"",$L$37-1)),MIN(BH$38,$E109),$P$20))-SUM($BF109:BG109))</f>
        <v>0</v>
      </c>
      <c r="BI109" s="446">
        <f>IF($E109=0,0,IF(MIN(BI$38,$E109)&lt;MAX($P$34*($B109+$I$38-1),IF(AND($L$37=0,$P$34=0),"",$L$37-1)),0,YEARFRAC(MAX($P$34*($B109+$I$38-1),IF(AND($L$37=0,$P$34=0),"",$L$37-1)),MIN(BI$38,$E109),$P$20))-SUM($BF109:BH109))</f>
        <v>0</v>
      </c>
      <c r="BJ109" s="446">
        <f>IF($E109=0,0,IF(MIN(BJ$38,$E109)&lt;MAX($P$34*($B109+$I$38-1),IF(AND($L$37=0,$P$34=0),"",$L$37-1)),0,YEARFRAC(MAX($P$34*($B109+$I$38-1),IF(AND($L$37=0,$P$34=0),"",$L$37-1)),MIN(BJ$38,$E109),$P$20))-SUM($BF109:BI109))</f>
        <v>0</v>
      </c>
      <c r="BK109" s="446">
        <f>IF($E109=0,0,IF(MIN(BK$38,$E109)&lt;MAX($P$34*($B109+$I$38-1),IF(AND($L$37=0,$P$34=0),"",$L$37-1)),0,YEARFRAC(MAX($P$34*($B109+$I$38-1),IF(AND($L$37=0,$P$34=0),"",$L$37-1)),MIN(BK$38,$E109),$P$20))-SUM($BF109:BJ109))</f>
        <v>0</v>
      </c>
      <c r="BL109" s="446">
        <f>IF($E109=0,0,IF(MIN(BL$38,$E109)&lt;MAX($P$34*($B109+$I$38-1),IF(AND($L$37=0,$P$34=0),"",$L$37-1)),0,YEARFRAC(MAX($P$34*($B109+$I$38-1),IF(AND($L$37=0,$P$34=0),"",$L$37-1)),MIN(BL$38,$E109),$P$20))-SUM($BF109:BK109))</f>
        <v>0</v>
      </c>
      <c r="BM109" s="446">
        <f>IF($E109=0,0,IF(MIN(BM$38,$E109)&lt;MAX($P$34*($B109+$I$38-1),IF(AND($L$37=0,$P$34=0),"",$L$37-1)),0,YEARFRAC(MAX($P$34*($B109+$I$38-1),IF(AND($L$37=0,$P$34=0),"",$L$37-1)),MIN(BM$38,$E109),$P$20))-SUM($BF109:BL109))</f>
        <v>0</v>
      </c>
      <c r="BN109" s="446">
        <f>IF($E109=0,0,IF(MIN(BN$38,$E109)&lt;MAX($P$34*($B109+$I$38-1),IF(AND($L$37=0,$P$34=0),"",$L$37-1)),0,YEARFRAC(MAX($P$34*($B109+$I$38-1),IF(AND($L$37=0,$P$34=0),"",$L$37-1)),MIN(BN$38,$E109),$P$20))-SUM($BF109:BM109))</f>
        <v>0</v>
      </c>
      <c r="BO109" s="446">
        <f>IF($E109=0,0,IF(MIN(BO$38,$E109)&lt;MAX($P$34*($B109+$I$38-1),IF(AND($L$37=0,$P$34=0),"",$L$37-1)),0,YEARFRAC(MAX($P$34*($B109+$I$38-1),IF(AND($L$37=0,$P$34=0),"",$L$37-1)),MIN(BO$38,$E109),$P$20))-SUM($BF109:BN109))</f>
        <v>0</v>
      </c>
      <c r="BP109" s="446">
        <f>IF($E109=0,0,IF(MIN(BP$38,$E109)&lt;MAX($P$34*($B109+$I$38-1),IF(AND($L$37=0,$P$34=0),"",$L$37-1)),0,YEARFRAC(MAX($P$34*($B109+$I$38-1),IF(AND($L$37=0,$P$34=0),"",$L$37-1)),MIN(BP$38,$E109),$P$20))-SUM($BF109:BO109))</f>
        <v>0</v>
      </c>
      <c r="BQ109" s="446">
        <f>IF($E109=0,0,IF(MIN(BQ$38,$E109)&lt;MAX($P$34*($B109+$I$38-1),IF(AND($L$37=0,$P$34=0),"",$L$37-1)),0,YEARFRAC(MAX($P$34*($B109+$I$38-1),IF(AND($L$37=0,$P$34=0),"",$L$37-1)),MIN(BQ$38,$E109),$P$20))-SUM($BF109:BP109))</f>
        <v>0</v>
      </c>
      <c r="BR109" s="446">
        <f>IF($E109=0,0,IF(MIN(BR$38,$E109)&lt;MAX($P$34*($B109+$I$38-1),IF(AND($L$37=0,$P$34=0),"",$L$37-1)),0,YEARFRAC(MAX($P$34*($B109+$I$38-1),IF(AND($L$37=0,$P$34=0),"",$L$37-1)),MIN(BR$38,$E109),$P$20))-SUM($BF109:BQ109))</f>
        <v>0</v>
      </c>
      <c r="BS109" s="446">
        <f>IF($E109=0,0,IF(MIN(BS$38,$E109)&lt;MAX($P$34*($B109+$I$38-1),IF(AND($L$37=0,$P$34=0),"",$L$37-1)),0,YEARFRAC(MAX($P$34*($B109+$I$38-1),IF(AND($L$37=0,$P$34=0),"",$L$37-1)),MIN(BS$38,$E109),$P$20))-SUM($BF109:BR109))</f>
        <v>0</v>
      </c>
      <c r="BT109" s="446">
        <f>IF($E109=0,0,IF(MIN(BT$38,$E109)&lt;MAX($P$34*($B109+$I$38-1),IF(AND($L$37=0,$P$34=0),"",$L$37-1)),0,YEARFRAC(MAX($P$34*($B109+$I$38-1),IF(AND($L$37=0,$P$34=0),"",$L$37-1)),MIN(BT$38,$E109),$P$20))-SUM($BF109:BS109))</f>
        <v>0</v>
      </c>
      <c r="BU109" s="446">
        <f>IF($E109=0,0,IF(MIN(BU$38,$E109)&lt;MAX($P$34*($B109+$I$38-1),IF(AND($L$37=0,$P$34=0),"",$L$37-1)),0,YEARFRAC(MAX($P$34*($B109+$I$38-1),IF(AND($L$37=0,$P$34=0),"",$L$37-1)),MIN(BU$38,$E109),$P$20))-SUM($BF109:BT109))</f>
        <v>0</v>
      </c>
      <c r="BV109" s="446">
        <f>IF($E109=0,0,IF(MIN(BV$38,$E109)&lt;MAX($P$34*($B109+$I$38-1),IF(AND($L$37=0,$P$34=0),"",$L$37-1)),0,YEARFRAC(MAX($P$34*($B109+$I$38-1),IF(AND($L$37=0,$P$34=0),"",$L$37-1)),MIN(BV$38,$E109),$P$20))-SUM($BF109:BU109))</f>
        <v>0</v>
      </c>
      <c r="BW109" s="446">
        <f>IF($E109=0,0,IF(MIN(BW$38,$E109)&lt;MAX($P$34*($B109+$I$38-1),IF(AND($L$37=0,$P$34=0),"",$L$37-1)),0,YEARFRAC(MAX($P$34*($B109+$I$38-1),IF(AND($L$37=0,$P$34=0),"",$L$37-1)),MIN(BW$38,$E109),$P$20))-SUM($BF109:BV109))</f>
        <v>0</v>
      </c>
      <c r="BX109" s="446">
        <f>IF($E109=0,0,IF(MIN(BX$38,$E109)&lt;MAX($P$34*($B109+$I$38-1),IF(AND($L$37=0,$P$34=0),"",$L$37-1)),0,YEARFRAC(MAX($P$34*($B109+$I$38-1),IF(AND($L$37=0,$P$34=0),"",$L$37-1)),MIN(BX$38,$E109),$P$20))-SUM($BF109:BW109))</f>
        <v>0</v>
      </c>
      <c r="BY109" s="446">
        <f>IF($E109=0,0,IF(MIN(BY$38,$E109)&lt;MAX($P$34*($B109+$I$38-1),IF(AND($L$37=0,$P$34=0),"",$L$37-1)),0,YEARFRAC(MAX($P$34*($B109+$I$38-1),IF(AND($L$37=0,$P$34=0),"",$L$37-1)),MIN(BY$38,$E109),$P$20))-SUM($BF109:BX109))</f>
        <v>0</v>
      </c>
      <c r="BZ109" s="446">
        <f>IF($E109=0,0,IF(MIN(BZ$38,$E109)&lt;MAX($P$34*($B109+$I$38-1),IF(AND($L$37=0,$P$34=0),"",$L$37-1)),0,YEARFRAC(MAX($P$34*($B109+$I$38-1),IF(AND($L$37=0,$P$34=0),"",$L$37-1)),MIN(BZ$38,$E109),$P$20))-SUM($BF109:BY109))</f>
        <v>0</v>
      </c>
      <c r="CA109" s="446">
        <f>IF($E109=0,0,IF(MIN(CA$38,$E109)&lt;MAX($P$34*($B109+$I$38-1),IF(AND($L$37=0,$P$34=0),"",$L$37-1)),0,YEARFRAC(MAX($P$34*($B109+$I$38-1),IF(AND($L$37=0,$P$34=0),"",$L$37-1)),MIN(CA$38,$E109),$P$20))-SUM($BF109:BZ109))</f>
        <v>0</v>
      </c>
      <c r="CB109" s="446">
        <f>IF($E109=0,0,IF(MIN(CB$38,$E109)&lt;MAX($P$34*($B109+$I$38-1),IF(AND($L$37=0,$P$34=0),"",$L$37-1)),0,YEARFRAC(MAX($P$34*($B109+$I$38-1),IF(AND($L$37=0,$P$34=0),"",$L$37-1)),MIN(CB$38,$E109),$P$20))-SUM($BF109:CA109))</f>
        <v>0</v>
      </c>
      <c r="CC109" s="446">
        <f>IF($E109=0,0,IF(MIN(CC$38,$E109)&lt;MAX($P$34*($B109+$I$38-1),IF(AND($L$37=0,$P$34=0),"",$L$37-1)),0,YEARFRAC(MAX($P$34*($B109+$I$38-1),IF(AND($L$37=0,$P$34=0),"",$L$37-1)),MIN(CC$38,$E109),$P$20))-SUM($BF109:CB109))</f>
        <v>0</v>
      </c>
      <c r="CD109" s="446">
        <f>IF($E109=0,0,IF(MIN(CD$38,$E109)&lt;MAX($P$34*($B109+$I$38-1),IF(AND($L$37=0,$P$34=0),"",$L$37-1)),0,YEARFRAC(MAX($P$34*($B109+$I$38-1),IF(AND($L$37=0,$P$34=0),"",$L$37-1)),MIN(CD$38,$E109),$P$20))-SUM($BF109:CC109))</f>
        <v>0</v>
      </c>
      <c r="CE109" s="446">
        <f>IF($E109=0,0,IF(MIN(CE$38,$E109)&lt;MAX($P$34*($B109+$I$38-1),IF(AND($L$37=0,$P$34=0),"",$L$37-1)),0,YEARFRAC(MAX($P$34*($B109+$I$38-1),IF(AND($L$37=0,$P$34=0),"",$L$37-1)),MIN(CE$38,$E109),$P$20))-SUM($BF109:CD109))</f>
        <v>0</v>
      </c>
      <c r="CF109" s="446">
        <f>IF($E109=0,0,IF(MIN(CF$38,$E109)&lt;MAX($P$34*($B109+$I$38-1),IF(AND($L$37=0,$P$34=0),"",$L$37-1)),0,YEARFRAC(MAX($P$34*($B109+$I$38-1),IF(AND($L$37=0,$P$34=0),"",$L$37-1)),MIN(CF$38,$E109),$P$20))-SUM($BF109:CE109))</f>
        <v>0</v>
      </c>
      <c r="CG109" s="446">
        <f>IF($E109=0,0,IF(MIN(CG$38,$E109)&lt;MAX($P$34*($B109+$I$38-1),IF(AND($L$37=0,$P$34=0),"",$L$37-1)),0,YEARFRAC(MAX($P$34*($B109+$I$38-1),IF(AND($L$37=0,$P$34=0),"",$L$37-1)),MIN(CG$38,$E109),$P$20))-SUM($BF109:CF109))</f>
        <v>0</v>
      </c>
      <c r="CH109" s="446">
        <f>IF($E109=0,0,IF(MIN(CH$38,$E109)&lt;MAX($P$34*($B109+$I$38-1),IF(AND($L$37=0,$P$34=0),"",$L$37-1)),0,YEARFRAC(MAX($P$34*($B109+$I$38-1),IF(AND($L$37=0,$P$34=0),"",$L$37-1)),MIN(CH$38,$E109),$P$20))-SUM($BF109:CG109))</f>
        <v>0</v>
      </c>
      <c r="CI109" s="446">
        <f>IF($E109=0,0,IF(MIN(CI$38,$E109)&lt;MAX($P$34*($B109+$I$38-1),IF(AND($L$37=0,$P$34=0),"",$L$37-1)),0,YEARFRAC(MAX($P$34*($B109+$I$38-1),IF(AND($L$37=0,$P$34=0),"",$L$37-1)),MIN(CI$38,$E109),$P$20))-SUM($BF109:CH109))</f>
        <v>0</v>
      </c>
      <c r="CJ109" s="446">
        <f>IF($E109=0,0,IF(MIN(CJ$38,$E109)&lt;MAX($P$34*($B109+$I$38-1),IF(AND($L$37=0,$P$34=0),"",$L$37-1)),0,YEARFRAC(MAX($P$34*($B109+$I$38-1),IF(AND($L$37=0,$P$34=0),"",$L$37-1)),MIN(CJ$38,$E109),$P$20))-SUM($BF109:CI109))</f>
        <v>0</v>
      </c>
      <c r="CK109" s="446">
        <f>IF($E109=0,0,IF(MIN(CK$38,$E109)&lt;MAX($P$34*($B109+$I$38-1),IF(AND($L$37=0,$P$34=0),"",$L$37-1)),0,YEARFRAC(MAX($P$34*($B109+$I$38-1),IF(AND($L$37=0,$P$34=0),"",$L$37-1)),MIN(CK$38,$E109),$P$20))-SUM($BF109:CJ109))</f>
        <v>0</v>
      </c>
      <c r="CL109" s="446">
        <f>IF($E109=0,0,IF(MIN(CL$38,$E109)&lt;MAX($P$34*($B109+$I$38-1),IF(AND($L$37=0,$P$34=0),"",$L$37-1)),0,YEARFRAC(MAX($P$34*($B109+$I$38-1),IF(AND($L$37=0,$P$34=0),"",$L$37-1)),MIN(CL$38,$E109),$P$20))-SUM($BF109:CK109))</f>
        <v>0</v>
      </c>
      <c r="CM109" s="446">
        <f>IF($E109=0,0,IF(MIN(CM$38,$E109)&lt;MAX($P$34*($B109+$I$38-1),IF(AND($L$37=0,$P$34=0),"",$L$37-1)),0,YEARFRAC(MAX($P$34*($B109+$I$38-1),IF(AND($L$37=0,$P$34=0),"",$L$37-1)),MIN(CM$38,$E109),$P$20))-SUM($BF109:CL109))</f>
        <v>0</v>
      </c>
      <c r="CN109" s="446">
        <f>IF($E109=0,0,IF(MIN(CN$38,$E109)&lt;MAX($P$34*($B109+$I$38-1),IF(AND($L$37=0,$P$34=0),"",$L$37-1)),0,YEARFRAC(MAX($P$34*($B109+$I$38-1),IF(AND($L$37=0,$P$34=0),"",$L$37-1)),MIN(CN$38,$E109),$P$20))-SUM($BF109:CM109))</f>
        <v>0</v>
      </c>
      <c r="CO109" s="446">
        <f>IF($E109=0,0,IF(MIN(CO$38,$E109)&lt;MAX($P$34*($B109+$I$38-1),IF(AND($L$37=0,$P$34=0),"",$L$37-1)),0,YEARFRAC(MAX($P$34*($B109+$I$38-1),IF(AND($L$37=0,$P$34=0),"",$L$37-1)),MIN(CO$38,$E109),$P$20))-SUM($BF109:CN109))</f>
        <v>0</v>
      </c>
      <c r="CP109" s="446">
        <f>IF($E109=0,0,IF(MIN(CP$38,$E109)&lt;MAX($P$34*($B109+$I$38-1),IF(AND($L$37=0,$P$34=0),"",$L$37-1)),0,YEARFRAC(MAX($P$34*($B109+$I$38-1),IF(AND($L$37=0,$P$34=0),"",$L$37-1)),MIN(CP$38,$E109),$P$20))-SUM($BF109:CO109))</f>
        <v>0</v>
      </c>
      <c r="CQ109" s="446">
        <f>IF($E109=0,0,IF(MIN(CQ$38,$E109)&lt;MAX($P$34*($B109+$I$38-1),IF(AND($L$37=0,$P$34=0),"",$L$37-1)),0,YEARFRAC(MAX($P$34*($B109+$I$38-1),IF(AND($L$37=0,$P$34=0),"",$L$37-1)),MIN(CQ$38,$E109),$P$20))-SUM($BF109:CP109))</f>
        <v>0</v>
      </c>
    </row>
    <row r="110" spans="1:95" s="446" customFormat="1" ht="11.25" hidden="1" customHeight="1" x14ac:dyDescent="0.2">
      <c r="A110" s="152"/>
      <c r="B110" s="153" t="str">
        <f t="shared" si="26"/>
        <v/>
      </c>
      <c r="C110" s="29" t="str">
        <f>IF(B110="","",IF($L$35="SELIC - TRIBUTOS",VLOOKUP(DATE(YEAR($D$19),MONTH($D$19)-1,1),ÍNDICES!$A:$DE,HLOOKUP($BL$25,ÍNDICES!$B$3:$T$4,2)+11)-VLOOKUP(B110,ÍNDICES!$A:$DE,HLOOKUP($BL$25,ÍNDICES!$B$3:$T$4,2)+11)+1%,IF(C$38=$W$26,$J$35,IF(ISERROR(IF(B110&gt;$D$19,1,VLOOKUP(DATE(YEAR(B110),MONTH(B110)+IF($C$35=$S$23,1,0),1),ÍNDICES!$A:$DE,$Z$35+1))),"",IF(B110&gt;$D$19,1,VLOOKUP(DATE(YEAR(B110),MONTH(B110)+IF($C$35=$S$23,1,0),1),ÍNDICES!$A:$DE,$Z$35+1))))))</f>
        <v/>
      </c>
      <c r="D110" s="154" t="str">
        <f>IF(ISERROR(IF(OR($D$38=$Y$27,$B110=""),"",VLOOKUP(B110,ÍNDICES!A:DE,AF$35+1))),"",IF(OR($D$38=$Y$27,$B110=""),"",VLOOKUP(B110,ÍNDICES!A:DE,AF$35+1)))</f>
        <v/>
      </c>
      <c r="E110" s="153"/>
      <c r="F110" s="29" t="str">
        <f>IF(E110="","",IF($L$35="SELIC - TRIBUTOS",VLOOKUP(DATE(YEAR($D$19),MONTH($D$19)-1,1),ÍNDICES!$A:$DE,HLOOKUP($BL$25,ÍNDICES!$B$3:$T$4,2)+11)-VLOOKUP(E110,ÍNDICES!$A:$DE,HLOOKUP($BL$25,ÍNDICES!$B$3:$T$4,2)+11)+1%,IF(F$38=$W$26,$J$35,IF(ISERROR(IF(E110&gt;$D$19,1,VLOOKUP(DATE(YEAR(E110),MONTH(E110)+IF($C$35=$S$23,1,0),1),ÍNDICES!$A:$DE,$Z$35+1))),"",IF(E110&gt;$D$19,1,VLOOKUP(DATE(YEAR(E110),MONTH(E110)+IF($C$35=$S$23,1,0),1),ÍNDICES!$A:$DE,$Z$35+1))))))</f>
        <v/>
      </c>
      <c r="G110" s="155"/>
      <c r="H110" s="156" t="str">
        <f t="shared" si="22"/>
        <v/>
      </c>
      <c r="I110" s="29" t="str">
        <f t="shared" si="16"/>
        <v/>
      </c>
      <c r="J110" s="5">
        <f t="shared" si="17"/>
        <v>0</v>
      </c>
      <c r="K110" s="20">
        <f t="shared" ca="1" si="18"/>
        <v>0</v>
      </c>
      <c r="L110" s="5">
        <f t="shared" ca="1" si="19"/>
        <v>0</v>
      </c>
      <c r="M110" s="64">
        <f t="shared" si="23"/>
        <v>0</v>
      </c>
      <c r="N110" s="61">
        <f t="shared" ca="1" si="24"/>
        <v>0</v>
      </c>
      <c r="O110" s="5">
        <f t="shared" ca="1" si="25"/>
        <v>0</v>
      </c>
      <c r="P110" s="446" t="e">
        <f t="shared" si="20"/>
        <v>#VALUE!</v>
      </c>
      <c r="Q110" s="446" t="e">
        <f>IF(OR($B110="",MIN(Q$38,$D$19)&lt;MAX($P$34*($B110+IF($R$17="Distrato",$I$38-1,0)),IF(AND($L$37=0,$P$34=0),"",$L$37-1),IF($R$17="Distrato",$E110,0))),0,YEARFRAC(MAX($P$34*($B110+IF($R$17="Distrato",$I$38-1,0)),IF(AND($L$37=0,$P$34=0),"",$L$37-1),IF($R$17="Distrato",$E110,0)),MIN(Q$38,$D$19),$P$20))-SUM($P110:P110)</f>
        <v>#VALUE!</v>
      </c>
      <c r="R110" s="446" t="e">
        <f>IF(OR($B110="",MIN(R$38,$D$19)&lt;MAX($P$34*($B110+IF($R$17="Distrato",$I$38-1,0)),IF(AND($L$37=0,$P$34=0),"",$L$37-1),IF($R$17="Distrato",$E110,0))),0,YEARFRAC(MAX($P$34*($B110+IF($R$17="Distrato",$I$38-1,0)),IF(AND($L$37=0,$P$34=0),"",$L$37-1),IF($R$17="Distrato",$E110,0)),MIN(R$38,$D$19),$P$20))-SUM($P110:Q110)</f>
        <v>#VALUE!</v>
      </c>
      <c r="S110" s="446" t="e">
        <f>IF(OR($B110="",MIN(S$38,$D$19)&lt;MAX($P$34*($B110+IF($R$17="Distrato",$I$38-1,0)),IF(AND($L$37=0,$P$34=0),"",$L$37-1),IF($R$17="Distrato",$E110,0))),0,YEARFRAC(MAX($P$34*($B110+IF($R$17="Distrato",$I$38-1,0)),IF(AND($L$37=0,$P$34=0),"",$L$37-1),IF($R$17="Distrato",$E110,0)),MIN(S$38,$D$19),$P$20))-SUM($P110:R110)</f>
        <v>#VALUE!</v>
      </c>
      <c r="T110" s="446" t="e">
        <f>IF(OR($B110="",MIN(T$38,$D$19)&lt;MAX($P$34*($B110+IF($R$17="Distrato",$I$38-1,0)),IF(AND($L$37=0,$P$34=0),"",$L$37-1),IF($R$17="Distrato",$E110,0))),0,YEARFRAC(MAX($P$34*($B110+IF($R$17="Distrato",$I$38-1,0)),IF(AND($L$37=0,$P$34=0),"",$L$37-1),IF($R$17="Distrato",$E110,0)),MIN(T$38,$D$19),$P$20))-SUM($P110:S110)</f>
        <v>#VALUE!</v>
      </c>
      <c r="U110" s="446" t="e">
        <f>IF(OR($B110="",MIN(U$38,$D$19)&lt;MAX($P$34*($B110+IF($R$17="Distrato",$I$38-1,0)),IF(AND($L$37=0,$P$34=0),"",$L$37-1),IF($R$17="Distrato",$E110,0))),0,YEARFRAC(MAX($P$34*($B110+IF($R$17="Distrato",$I$38-1,0)),IF(AND($L$37=0,$P$34=0),"",$L$37-1),IF($R$17="Distrato",$E110,0)),MIN(U$38,$D$19),$P$20))-SUM($P110:T110)</f>
        <v>#VALUE!</v>
      </c>
      <c r="V110" s="446" t="e">
        <f>IF(OR($B110="",MIN(V$38,$D$19)&lt;MAX($P$34*($B110+IF($R$17="Distrato",$I$38-1,0)),IF(AND($L$37=0,$P$34=0),"",$L$37-1),IF($R$17="Distrato",$E110,0))),0,YEARFRAC(MAX($P$34*($B110+IF($R$17="Distrato",$I$38-1,0)),IF(AND($L$37=0,$P$34=0),"",$L$37-1),IF($R$17="Distrato",$E110,0)),MIN(V$38,$D$19),$P$20))-SUM($P110:U110)</f>
        <v>#VALUE!</v>
      </c>
      <c r="W110" s="446" t="e">
        <f>IF(OR($B110="",MIN(W$38,$D$19)&lt;MAX($P$34*($B110+IF($R$17="Distrato",$I$38-1,0)),IF(AND($L$37=0,$P$34=0),"",$L$37-1),IF($R$17="Distrato",$E110,0))),0,YEARFRAC(MAX($P$34*($B110+IF($R$17="Distrato",$I$38-1,0)),IF(AND($L$37=0,$P$34=0),"",$L$37-1),IF($R$17="Distrato",$E110,0)),MIN(W$38,$D$19),$P$20))-SUM($P110:V110)</f>
        <v>#VALUE!</v>
      </c>
      <c r="X110" s="446" t="e">
        <f>IF(OR($B110="",MIN(X$38,$D$19)&lt;MAX($P$34*($B110+IF($R$17="Distrato",$I$38-1,0)),IF(AND($L$37=0,$P$34=0),"",$L$37-1),IF($R$17="Distrato",$E110,0))),0,YEARFRAC(MAX($P$34*($B110+IF($R$17="Distrato",$I$38-1,0)),IF(AND($L$37=0,$P$34=0),"",$L$37-1),IF($R$17="Distrato",$E110,0)),MIN(X$38,$D$19),$P$20))-SUM($P110:W110)</f>
        <v>#VALUE!</v>
      </c>
      <c r="Y110" s="446" t="e">
        <f>IF(OR($B110="",MIN(Y$38,$D$19)&lt;MAX($P$34*($B110+IF($R$17="Distrato",$I$38-1,0)),IF(AND($L$37=0,$P$34=0),"",$L$37-1),IF($R$17="Distrato",$E110,0))),0,YEARFRAC(MAX($P$34*($B110+IF($R$17="Distrato",$I$38-1,0)),IF(AND($L$37=0,$P$34=0),"",$L$37-1),IF($R$17="Distrato",$E110,0)),MIN(Y$38,$D$19),$P$20))-SUM($P110:X110)</f>
        <v>#VALUE!</v>
      </c>
      <c r="Z110" s="446" t="e">
        <f>IF(OR($B110="",MIN(Z$38,$D$19)&lt;MAX($P$34*($B110+IF($R$17="Distrato",$I$38-1,0)),IF(AND($L$37=0,$P$34=0),"",$L$37-1),IF($R$17="Distrato",$E110,0))),0,YEARFRAC(MAX($P$34*($B110+IF($R$17="Distrato",$I$38-1,0)),IF(AND($L$37=0,$P$34=0),"",$L$37-1),IF($R$17="Distrato",$E110,0)),MIN(Z$38,$D$19),$P$20))-SUM($P110:Y110)</f>
        <v>#VALUE!</v>
      </c>
      <c r="AA110" s="446" t="e">
        <f>IF(OR($B110="",MIN(AA$38,$D$19)&lt;MAX($P$34*($B110+IF($R$17="Distrato",$I$38-1,0)),IF(AND($L$37=0,$P$34=0),"",$L$37-1),IF($R$17="Distrato",$E110,0))),0,YEARFRAC(MAX($P$34*($B110+IF($R$17="Distrato",$I$38-1,0)),IF(AND($L$37=0,$P$34=0),"",$L$37-1),IF($R$17="Distrato",$E110,0)),MIN(AA$38,$D$19),$P$20))-SUM($P110:Z110)</f>
        <v>#VALUE!</v>
      </c>
      <c r="AB110" s="446" t="e">
        <f>IF(OR($B110="",MIN(AB$38,$D$19)&lt;MAX($P$34*($B110+IF($R$17="Distrato",$I$38-1,0)),IF(AND($L$37=0,$P$34=0),"",$L$37-1),IF($R$17="Distrato",$E110,0))),0,YEARFRAC(MAX($P$34*($B110+IF($R$17="Distrato",$I$38-1,0)),IF(AND($L$37=0,$P$34=0),"",$L$37-1),IF($R$17="Distrato",$E110,0)),MIN(AB$38,$D$19),$P$20))-SUM($P110:AA110)</f>
        <v>#VALUE!</v>
      </c>
      <c r="AC110" s="446" t="e">
        <f>IF(OR($B110="",MIN(AC$38,$D$19)&lt;MAX($P$34*($B110+IF($R$17="Distrato",$I$38-1,0)),IF(AND($L$37=0,$P$34=0),"",$L$37-1),IF($R$17="Distrato",$E110,0))),0,YEARFRAC(MAX($P$34*($B110+IF($R$17="Distrato",$I$38-1,0)),IF(AND($L$37=0,$P$34=0),"",$L$37-1),IF($R$17="Distrato",$E110,0)),MIN(AC$38,$D$19),$P$20))-SUM($P110:AB110)</f>
        <v>#VALUE!</v>
      </c>
      <c r="AD110" s="446" t="e">
        <f>IF(OR($B110="",MIN(AD$38,$D$19)&lt;MAX($P$34*($B110+IF($R$17="Distrato",$I$38-1,0)),IF(AND($L$37=0,$P$34=0),"",$L$37-1),IF($R$17="Distrato",$E110,0))),0,YEARFRAC(MAX($P$34*($B110+IF($R$17="Distrato",$I$38-1,0)),IF(AND($L$37=0,$P$34=0),"",$L$37-1),IF($R$17="Distrato",$E110,0)),MIN(AD$38,$D$19),$P$20))-SUM($P110:AC110)</f>
        <v>#VALUE!</v>
      </c>
      <c r="AE110" s="446" t="e">
        <f>IF(OR($B110="",MIN(AE$38,$D$19)&lt;MAX($P$34*($B110+IF($R$17="Distrato",$I$38-1,0)),IF(AND($L$37=0,$P$34=0),"",$L$37-1),IF($R$17="Distrato",$E110,0))),0,YEARFRAC(MAX($P$34*($B110+IF($R$17="Distrato",$I$38-1,0)),IF(AND($L$37=0,$P$34=0),"",$L$37-1),IF($R$17="Distrato",$E110,0)),MIN(AE$38,$D$19),$P$20))-SUM($P110:AD110)</f>
        <v>#VALUE!</v>
      </c>
      <c r="AF110" s="446" t="e">
        <f>IF(OR($B110="",MIN(AF$38,$D$19)&lt;MAX($P$34*($B110+IF($R$17="Distrato",$I$38-1,0)),IF(AND($L$37=0,$P$34=0),"",$L$37-1),IF($R$17="Distrato",$E110,0))),0,YEARFRAC(MAX($P$34*($B110+IF($R$17="Distrato",$I$38-1,0)),IF(AND($L$37=0,$P$34=0),"",$L$37-1),IF($R$17="Distrato",$E110,0)),MIN(AF$38,$D$19),$P$20))-SUM($P110:AE110)</f>
        <v>#VALUE!</v>
      </c>
      <c r="AG110" s="446" t="e">
        <f>IF(OR($B110="",MIN(AG$38,$D$19)&lt;MAX($P$34*($B110+IF($R$17="Distrato",$I$38-1,0)),IF(AND($L$37=0,$P$34=0),"",$L$37-1),IF($R$17="Distrato",$E110,0))),0,YEARFRAC(MAX($P$34*($B110+IF($R$17="Distrato",$I$38-1,0)),IF(AND($L$37=0,$P$34=0),"",$L$37-1),IF($R$17="Distrato",$E110,0)),MIN(AG$38,$D$19),$P$20))-SUM($P110:AF110)</f>
        <v>#VALUE!</v>
      </c>
      <c r="AH110" s="446" t="e">
        <f>IF(OR($B110="",MIN(AH$38,$D$19)&lt;MAX($P$34*($B110+IF($R$17="Distrato",$I$38-1,0)),IF(AND($L$37=0,$P$34=0),"",$L$37-1),IF($R$17="Distrato",$E110,0))),0,YEARFRAC(MAX($P$34*($B110+IF($R$17="Distrato",$I$38-1,0)),IF(AND($L$37=0,$P$34=0),"",$L$37-1),IF($R$17="Distrato",$E110,0)),MIN(AH$38,$D$19),$P$20))-SUM($P110:AG110)</f>
        <v>#VALUE!</v>
      </c>
      <c r="AI110" s="446" t="e">
        <f>IF(OR($B110="",MIN(AI$38,$D$19)&lt;MAX($P$34*($B110+IF($R$17="Distrato",$I$38-1,0)),IF(AND($L$37=0,$P$34=0),"",$L$37-1),IF($R$17="Distrato",$E110,0))),0,YEARFRAC(MAX($P$34*($B110+IF($R$17="Distrato",$I$38-1,0)),IF(AND($L$37=0,$P$34=0),"",$L$37-1),IF($R$17="Distrato",$E110,0)),MIN(AI$38,$D$19),$P$20))-SUM($P110:AH110)</f>
        <v>#VALUE!</v>
      </c>
      <c r="AJ110" s="446" t="e">
        <f>IF(OR($B110="",MIN(AJ$38,$D$19)&lt;MAX($P$34*($B110+IF($R$17="Distrato",$I$38-1,0)),IF(AND($L$37=0,$P$34=0),"",$L$37-1),IF($R$17="Distrato",$E110,0))),0,YEARFRAC(MAX($P$34*($B110+IF($R$17="Distrato",$I$38-1,0)),IF(AND($L$37=0,$P$34=0),"",$L$37-1),IF($R$17="Distrato",$E110,0)),MIN(AJ$38,$D$19),$P$20))-SUM($P110:AI110)</f>
        <v>#VALUE!</v>
      </c>
      <c r="AK110" s="446" t="e">
        <f>IF(OR($B110="",MIN(AK$38,$D$19)&lt;MAX($P$34*($B110+IF($R$17="Distrato",$I$38-1,0)),IF(AND($L$37=0,$P$34=0),"",$L$37-1),IF($R$17="Distrato",$E110,0))),0,YEARFRAC(MAX($P$34*($B110+IF($R$17="Distrato",$I$38-1,0)),IF(AND($L$37=0,$P$34=0),"",$L$37-1),IF($R$17="Distrato",$E110,0)),MIN(AK$38,$D$19),$P$20))-SUM($P110:AJ110)</f>
        <v>#VALUE!</v>
      </c>
      <c r="AL110" s="446" t="e">
        <f>IF(OR($B110="",MIN(AL$38,$D$19)&lt;MAX($P$34*($B110+IF($R$17="Distrato",$I$38-1,0)),IF(AND($L$37=0,$P$34=0),"",$L$37-1),IF($R$17="Distrato",$E110,0))),0,YEARFRAC(MAX($P$34*($B110+IF($R$17="Distrato",$I$38-1,0)),IF(AND($L$37=0,$P$34=0),"",$L$37-1),IF($R$17="Distrato",$E110,0)),MIN(AL$38,$D$19),$P$20))-SUM($P110:AK110)</f>
        <v>#VALUE!</v>
      </c>
      <c r="AM110" s="446" t="e">
        <f>IF(OR($B110="",MIN(AM$38,$D$19)&lt;MAX($P$34*($B110+IF($R$17="Distrato",$I$38-1,0)),IF(AND($L$37=0,$P$34=0),"",$L$37-1),IF($R$17="Distrato",$E110,0))),0,YEARFRAC(MAX($P$34*($B110+IF($R$17="Distrato",$I$38-1,0)),IF(AND($L$37=0,$P$34=0),"",$L$37-1),IF($R$17="Distrato",$E110,0)),MIN(AM$38,$D$19),$P$20))-SUM($P110:AL110)</f>
        <v>#VALUE!</v>
      </c>
      <c r="AN110" s="446" t="e">
        <f>IF(OR($B110="",MIN(AN$38,$D$19)&lt;MAX($P$34*($B110+IF($R$17="Distrato",$I$38-1,0)),IF(AND($L$37=0,$P$34=0),"",$L$37-1),IF($R$17="Distrato",$E110,0))),0,YEARFRAC(MAX($P$34*($B110+IF($R$17="Distrato",$I$38-1,0)),IF(AND($L$37=0,$P$34=0),"",$L$37-1),IF($R$17="Distrato",$E110,0)),MIN(AN$38,$D$19),$P$20))-SUM($P110:AM110)</f>
        <v>#VALUE!</v>
      </c>
      <c r="AO110" s="446" t="e">
        <f>IF(OR($B110="",MIN(AO$38,$D$19)&lt;MAX($P$34*($B110+IF($R$17="Distrato",$I$38-1,0)),IF(AND($L$37=0,$P$34=0),"",$L$37-1),IF($R$17="Distrato",$E110,0))),0,YEARFRAC(MAX($P$34*($B110+IF($R$17="Distrato",$I$38-1,0)),IF(AND($L$37=0,$P$34=0),"",$L$37-1),IF($R$17="Distrato",$E110,0)),MIN(AO$38,$D$19),$P$20))-SUM($P110:AN110)</f>
        <v>#VALUE!</v>
      </c>
      <c r="AP110" s="446" t="e">
        <f>IF(OR($B110="",MIN(AP$38,$D$19)&lt;MAX($P$34*($B110+IF($R$17="Distrato",$I$38-1,0)),IF(AND($L$37=0,$P$34=0),"",$L$37-1),IF($R$17="Distrato",$E110,0))),0,YEARFRAC(MAX($P$34*($B110+IF($R$17="Distrato",$I$38-1,0)),IF(AND($L$37=0,$P$34=0),"",$L$37-1),IF($R$17="Distrato",$E110,0)),MIN(AP$38,$D$19),$P$20))-SUM($P110:AO110)</f>
        <v>#VALUE!</v>
      </c>
      <c r="AQ110" s="446" t="e">
        <f>IF(OR($B110="",MIN(AQ$38,$D$19)&lt;MAX($P$34*($B110+IF($R$17="Distrato",$I$38-1,0)),IF(AND($L$37=0,$P$34=0),"",$L$37-1),IF($R$17="Distrato",$E110,0))),0,YEARFRAC(MAX($P$34*($B110+IF($R$17="Distrato",$I$38-1,0)),IF(AND($L$37=0,$P$34=0),"",$L$37-1),IF($R$17="Distrato",$E110,0)),MIN(AQ$38,$D$19),$P$20))-SUM($P110:AP110)</f>
        <v>#VALUE!</v>
      </c>
      <c r="AR110" s="446" t="e">
        <f>IF(OR($B110="",MIN(AR$38,$D$19)&lt;MAX($P$34*($B110+IF($R$17="Distrato",$I$38-1,0)),IF(AND($L$37=0,$P$34=0),"",$L$37-1),IF($R$17="Distrato",$E110,0))),0,YEARFRAC(MAX($P$34*($B110+IF($R$17="Distrato",$I$38-1,0)),IF(AND($L$37=0,$P$34=0),"",$L$37-1),IF($R$17="Distrato",$E110,0)),MIN(AR$38,$D$19),$P$20))-SUM($P110:AQ110)</f>
        <v>#VALUE!</v>
      </c>
      <c r="AS110" s="446" t="e">
        <f>IF(OR($B110="",MIN(AS$38,$D$19)&lt;MAX($P$34*($B110+IF($R$17="Distrato",$I$38-1,0)),IF(AND($L$37=0,$P$34=0),"",$L$37-1),IF($R$17="Distrato",$E110,0))),0,YEARFRAC(MAX($P$34*($B110+IF($R$17="Distrato",$I$38-1,0)),IF(AND($L$37=0,$P$34=0),"",$L$37-1),IF($R$17="Distrato",$E110,0)),MIN(AS$38,$D$19),$P$20))-SUM($P110:AR110)</f>
        <v>#VALUE!</v>
      </c>
      <c r="AT110" s="446" t="e">
        <f>IF(OR($B110="",MIN(AT$38,$D$19)&lt;MAX($P$34*($B110+IF($R$17="Distrato",$I$38-1,0)),IF(AND($L$37=0,$P$34=0),"",$L$37-1),IF($R$17="Distrato",$E110,0))),0,YEARFRAC(MAX($P$34*($B110+IF($R$17="Distrato",$I$38-1,0)),IF(AND($L$37=0,$P$34=0),"",$L$37-1),IF($R$17="Distrato",$E110,0)),MIN(AT$38,$D$19),$P$20))-SUM($P110:AS110)</f>
        <v>#VALUE!</v>
      </c>
      <c r="AU110" s="446" t="e">
        <f>IF(OR($B110="",MIN(AU$38,$D$19)&lt;MAX($P$34*($B110+IF($R$17="Distrato",$I$38-1,0)),IF(AND($L$37=0,$P$34=0),"",$L$37-1),IF($R$17="Distrato",$E110,0))),0,YEARFRAC(MAX($P$34*($B110+IF($R$17="Distrato",$I$38-1,0)),IF(AND($L$37=0,$P$34=0),"",$L$37-1),IF($R$17="Distrato",$E110,0)),MIN(AU$38,$D$19),$P$20))-SUM($P110:AT110)</f>
        <v>#VALUE!</v>
      </c>
      <c r="AV110" s="446" t="e">
        <f>IF(OR($B110="",MIN(AV$38,$D$19)&lt;MAX($P$34*($B110+IF($R$17="Distrato",$I$38-1,0)),IF(AND($L$37=0,$P$34=0),"",$L$37-1),IF($R$17="Distrato",$E110,0))),0,YEARFRAC(MAX($P$34*($B110+IF($R$17="Distrato",$I$38-1,0)),IF(AND($L$37=0,$P$34=0),"",$L$37-1),IF($R$17="Distrato",$E110,0)),MIN(AV$38,$D$19),$P$20))-SUM($P110:AU110)</f>
        <v>#VALUE!</v>
      </c>
      <c r="AW110" s="446" t="e">
        <f>IF(OR($B110="",MIN(AW$38,$D$19)&lt;MAX($P$34*($B110+IF($R$17="Distrato",$I$38-1,0)),IF(AND($L$37=0,$P$34=0),"",$L$37-1),IF($R$17="Distrato",$E110,0))),0,YEARFRAC(MAX($P$34*($B110+IF($R$17="Distrato",$I$38-1,0)),IF(AND($L$37=0,$P$34=0),"",$L$37-1),IF($R$17="Distrato",$E110,0)),MIN(AW$38,$D$19),$P$20))-SUM($P110:AV110)</f>
        <v>#VALUE!</v>
      </c>
      <c r="AX110" s="446" t="e">
        <f>IF(OR($B110="",MIN(AX$38,$D$19)&lt;MAX($P$34*($B110+IF($R$17="Distrato",$I$38-1,0)),IF(AND($L$37=0,$P$34=0),"",$L$37-1),IF($R$17="Distrato",$E110,0))),0,YEARFRAC(MAX($P$34*($B110+IF($R$17="Distrato",$I$38-1,0)),IF(AND($L$37=0,$P$34=0),"",$L$37-1),IF($R$17="Distrato",$E110,0)),MIN(AX$38,$D$19),$P$20))-SUM($P110:AW110)</f>
        <v>#VALUE!</v>
      </c>
      <c r="AY110" s="446" t="e">
        <f>IF(OR($B110="",MIN(AY$38,$D$19)&lt;MAX($P$34*($B110+IF($R$17="Distrato",$I$38-1,0)),IF(AND($L$37=0,$P$34=0),"",$L$37-1),IF($R$17="Distrato",$E110,0))),0,YEARFRAC(MAX($P$34*($B110+IF($R$17="Distrato",$I$38-1,0)),IF(AND($L$37=0,$P$34=0),"",$L$37-1),IF($R$17="Distrato",$E110,0)),MIN(AY$38,$D$19),$P$20))-SUM($P110:AX110)</f>
        <v>#VALUE!</v>
      </c>
      <c r="AZ110" s="446" t="e">
        <f>IF(OR($B110="",MIN(AZ$38,$D$19)&lt;MAX($P$34*($B110+IF($R$17="Distrato",$I$38-1,0)),IF(AND($L$37=0,$P$34=0),"",$L$37-1),IF($R$17="Distrato",$E110,0))),0,YEARFRAC(MAX($P$34*($B110+IF($R$17="Distrato",$I$38-1,0)),IF(AND($L$37=0,$P$34=0),"",$L$37-1),IF($R$17="Distrato",$E110,0)),MIN(AZ$38,$D$19),$P$20))-SUM($P110:AY110)</f>
        <v>#VALUE!</v>
      </c>
      <c r="BA110" s="446" t="e">
        <f>IF(OR($B110="",MIN(BA$38,$D$19)&lt;MAX($P$34*($B110+IF($R$17="Distrato",$I$38-1,0)),IF(AND($L$37=0,$P$34=0),"",$L$37-1),IF($R$17="Distrato",$E110,0))),0,YEARFRAC(MAX($P$34*($B110+IF($R$17="Distrato",$I$38-1,0)),IF(AND($L$37=0,$P$34=0),"",$L$37-1),IF($R$17="Distrato",$E110,0)),MIN(BA$38,$D$19),$P$20))-SUM($P110:AZ110)</f>
        <v>#VALUE!</v>
      </c>
      <c r="BB110" s="447"/>
      <c r="BF110" s="446">
        <f t="shared" si="21"/>
        <v>0</v>
      </c>
      <c r="BG110" s="446">
        <f>IF($E110=0,0,IF(MIN(BG$38,$E110)&lt;MAX($P$34*($B110+$I$38-1),IF(AND($L$37=0,$P$34=0),"",$L$37-1)),0,YEARFRAC(MAX($P$34*($B110+$I$38-1),IF(AND($L$37=0,$P$34=0),"",$L$37-1)),MIN(BG$38,$E110),$P$20))-SUM($BF110:BF110))</f>
        <v>0</v>
      </c>
      <c r="BH110" s="446">
        <f>IF($E110=0,0,IF(MIN(BH$38,$E110)&lt;MAX($P$34*($B110+$I$38-1),IF(AND($L$37=0,$P$34=0),"",$L$37-1)),0,YEARFRAC(MAX($P$34*($B110+$I$38-1),IF(AND($L$37=0,$P$34=0),"",$L$37-1)),MIN(BH$38,$E110),$P$20))-SUM($BF110:BG110))</f>
        <v>0</v>
      </c>
      <c r="BI110" s="446">
        <f>IF($E110=0,0,IF(MIN(BI$38,$E110)&lt;MAX($P$34*($B110+$I$38-1),IF(AND($L$37=0,$P$34=0),"",$L$37-1)),0,YEARFRAC(MAX($P$34*($B110+$I$38-1),IF(AND($L$37=0,$P$34=0),"",$L$37-1)),MIN(BI$38,$E110),$P$20))-SUM($BF110:BH110))</f>
        <v>0</v>
      </c>
      <c r="BJ110" s="446">
        <f>IF($E110=0,0,IF(MIN(BJ$38,$E110)&lt;MAX($P$34*($B110+$I$38-1),IF(AND($L$37=0,$P$34=0),"",$L$37-1)),0,YEARFRAC(MAX($P$34*($B110+$I$38-1),IF(AND($L$37=0,$P$34=0),"",$L$37-1)),MIN(BJ$38,$E110),$P$20))-SUM($BF110:BI110))</f>
        <v>0</v>
      </c>
      <c r="BK110" s="446">
        <f>IF($E110=0,0,IF(MIN(BK$38,$E110)&lt;MAX($P$34*($B110+$I$38-1),IF(AND($L$37=0,$P$34=0),"",$L$37-1)),0,YEARFRAC(MAX($P$34*($B110+$I$38-1),IF(AND($L$37=0,$P$34=0),"",$L$37-1)),MIN(BK$38,$E110),$P$20))-SUM($BF110:BJ110))</f>
        <v>0</v>
      </c>
      <c r="BL110" s="446">
        <f>IF($E110=0,0,IF(MIN(BL$38,$E110)&lt;MAX($P$34*($B110+$I$38-1),IF(AND($L$37=0,$P$34=0),"",$L$37-1)),0,YEARFRAC(MAX($P$34*($B110+$I$38-1),IF(AND($L$37=0,$P$34=0),"",$L$37-1)),MIN(BL$38,$E110),$P$20))-SUM($BF110:BK110))</f>
        <v>0</v>
      </c>
      <c r="BM110" s="446">
        <f>IF($E110=0,0,IF(MIN(BM$38,$E110)&lt;MAX($P$34*($B110+$I$38-1),IF(AND($L$37=0,$P$34=0),"",$L$37-1)),0,YEARFRAC(MAX($P$34*($B110+$I$38-1),IF(AND($L$37=0,$P$34=0),"",$L$37-1)),MIN(BM$38,$E110),$P$20))-SUM($BF110:BL110))</f>
        <v>0</v>
      </c>
      <c r="BN110" s="446">
        <f>IF($E110=0,0,IF(MIN(BN$38,$E110)&lt;MAX($P$34*($B110+$I$38-1),IF(AND($L$37=0,$P$34=0),"",$L$37-1)),0,YEARFRAC(MAX($P$34*($B110+$I$38-1),IF(AND($L$37=0,$P$34=0),"",$L$37-1)),MIN(BN$38,$E110),$P$20))-SUM($BF110:BM110))</f>
        <v>0</v>
      </c>
      <c r="BO110" s="446">
        <f>IF($E110=0,0,IF(MIN(BO$38,$E110)&lt;MAX($P$34*($B110+$I$38-1),IF(AND($L$37=0,$P$34=0),"",$L$37-1)),0,YEARFRAC(MAX($P$34*($B110+$I$38-1),IF(AND($L$37=0,$P$34=0),"",$L$37-1)),MIN(BO$38,$E110),$P$20))-SUM($BF110:BN110))</f>
        <v>0</v>
      </c>
      <c r="BP110" s="446">
        <f>IF($E110=0,0,IF(MIN(BP$38,$E110)&lt;MAX($P$34*($B110+$I$38-1),IF(AND($L$37=0,$P$34=0),"",$L$37-1)),0,YEARFRAC(MAX($P$34*($B110+$I$38-1),IF(AND($L$37=0,$P$34=0),"",$L$37-1)),MIN(BP$38,$E110),$P$20))-SUM($BF110:BO110))</f>
        <v>0</v>
      </c>
      <c r="BQ110" s="446">
        <f>IF($E110=0,0,IF(MIN(BQ$38,$E110)&lt;MAX($P$34*($B110+$I$38-1),IF(AND($L$37=0,$P$34=0),"",$L$37-1)),0,YEARFRAC(MAX($P$34*($B110+$I$38-1),IF(AND($L$37=0,$P$34=0),"",$L$37-1)),MIN(BQ$38,$E110),$P$20))-SUM($BF110:BP110))</f>
        <v>0</v>
      </c>
      <c r="BR110" s="446">
        <f>IF($E110=0,0,IF(MIN(BR$38,$E110)&lt;MAX($P$34*($B110+$I$38-1),IF(AND($L$37=0,$P$34=0),"",$L$37-1)),0,YEARFRAC(MAX($P$34*($B110+$I$38-1),IF(AND($L$37=0,$P$34=0),"",$L$37-1)),MIN(BR$38,$E110),$P$20))-SUM($BF110:BQ110))</f>
        <v>0</v>
      </c>
      <c r="BS110" s="446">
        <f>IF($E110=0,0,IF(MIN(BS$38,$E110)&lt;MAX($P$34*($B110+$I$38-1),IF(AND($L$37=0,$P$34=0),"",$L$37-1)),0,YEARFRAC(MAX($P$34*($B110+$I$38-1),IF(AND($L$37=0,$P$34=0),"",$L$37-1)),MIN(BS$38,$E110),$P$20))-SUM($BF110:BR110))</f>
        <v>0</v>
      </c>
      <c r="BT110" s="446">
        <f>IF($E110=0,0,IF(MIN(BT$38,$E110)&lt;MAX($P$34*($B110+$I$38-1),IF(AND($L$37=0,$P$34=0),"",$L$37-1)),0,YEARFRAC(MAX($P$34*($B110+$I$38-1),IF(AND($L$37=0,$P$34=0),"",$L$37-1)),MIN(BT$38,$E110),$P$20))-SUM($BF110:BS110))</f>
        <v>0</v>
      </c>
      <c r="BU110" s="446">
        <f>IF($E110=0,0,IF(MIN(BU$38,$E110)&lt;MAX($P$34*($B110+$I$38-1),IF(AND($L$37=0,$P$34=0),"",$L$37-1)),0,YEARFRAC(MAX($P$34*($B110+$I$38-1),IF(AND($L$37=0,$P$34=0),"",$L$37-1)),MIN(BU$38,$E110),$P$20))-SUM($BF110:BT110))</f>
        <v>0</v>
      </c>
      <c r="BV110" s="446">
        <f>IF($E110=0,0,IF(MIN(BV$38,$E110)&lt;MAX($P$34*($B110+$I$38-1),IF(AND($L$37=0,$P$34=0),"",$L$37-1)),0,YEARFRAC(MAX($P$34*($B110+$I$38-1),IF(AND($L$37=0,$P$34=0),"",$L$37-1)),MIN(BV$38,$E110),$P$20))-SUM($BF110:BU110))</f>
        <v>0</v>
      </c>
      <c r="BW110" s="446">
        <f>IF($E110=0,0,IF(MIN(BW$38,$E110)&lt;MAX($P$34*($B110+$I$38-1),IF(AND($L$37=0,$P$34=0),"",$L$37-1)),0,YEARFRAC(MAX($P$34*($B110+$I$38-1),IF(AND($L$37=0,$P$34=0),"",$L$37-1)),MIN(BW$38,$E110),$P$20))-SUM($BF110:BV110))</f>
        <v>0</v>
      </c>
      <c r="BX110" s="446">
        <f>IF($E110=0,0,IF(MIN(BX$38,$E110)&lt;MAX($P$34*($B110+$I$38-1),IF(AND($L$37=0,$P$34=0),"",$L$37-1)),0,YEARFRAC(MAX($P$34*($B110+$I$38-1),IF(AND($L$37=0,$P$34=0),"",$L$37-1)),MIN(BX$38,$E110),$P$20))-SUM($BF110:BW110))</f>
        <v>0</v>
      </c>
      <c r="BY110" s="446">
        <f>IF($E110=0,0,IF(MIN(BY$38,$E110)&lt;MAX($P$34*($B110+$I$38-1),IF(AND($L$37=0,$P$34=0),"",$L$37-1)),0,YEARFRAC(MAX($P$34*($B110+$I$38-1),IF(AND($L$37=0,$P$34=0),"",$L$37-1)),MIN(BY$38,$E110),$P$20))-SUM($BF110:BX110))</f>
        <v>0</v>
      </c>
      <c r="BZ110" s="446">
        <f>IF($E110=0,0,IF(MIN(BZ$38,$E110)&lt;MAX($P$34*($B110+$I$38-1),IF(AND($L$37=0,$P$34=0),"",$L$37-1)),0,YEARFRAC(MAX($P$34*($B110+$I$38-1),IF(AND($L$37=0,$P$34=0),"",$L$37-1)),MIN(BZ$38,$E110),$P$20))-SUM($BF110:BY110))</f>
        <v>0</v>
      </c>
      <c r="CA110" s="446">
        <f>IF($E110=0,0,IF(MIN(CA$38,$E110)&lt;MAX($P$34*($B110+$I$38-1),IF(AND($L$37=0,$P$34=0),"",$L$37-1)),0,YEARFRAC(MAX($P$34*($B110+$I$38-1),IF(AND($L$37=0,$P$34=0),"",$L$37-1)),MIN(CA$38,$E110),$P$20))-SUM($BF110:BZ110))</f>
        <v>0</v>
      </c>
      <c r="CB110" s="446">
        <f>IF($E110=0,0,IF(MIN(CB$38,$E110)&lt;MAX($P$34*($B110+$I$38-1),IF(AND($L$37=0,$P$34=0),"",$L$37-1)),0,YEARFRAC(MAX($P$34*($B110+$I$38-1),IF(AND($L$37=0,$P$34=0),"",$L$37-1)),MIN(CB$38,$E110),$P$20))-SUM($BF110:CA110))</f>
        <v>0</v>
      </c>
      <c r="CC110" s="446">
        <f>IF($E110=0,0,IF(MIN(CC$38,$E110)&lt;MAX($P$34*($B110+$I$38-1),IF(AND($L$37=0,$P$34=0),"",$L$37-1)),0,YEARFRAC(MAX($P$34*($B110+$I$38-1),IF(AND($L$37=0,$P$34=0),"",$L$37-1)),MIN(CC$38,$E110),$P$20))-SUM($BF110:CB110))</f>
        <v>0</v>
      </c>
      <c r="CD110" s="446">
        <f>IF($E110=0,0,IF(MIN(CD$38,$E110)&lt;MAX($P$34*($B110+$I$38-1),IF(AND($L$37=0,$P$34=0),"",$L$37-1)),0,YEARFRAC(MAX($P$34*($B110+$I$38-1),IF(AND($L$37=0,$P$34=0),"",$L$37-1)),MIN(CD$38,$E110),$P$20))-SUM($BF110:CC110))</f>
        <v>0</v>
      </c>
      <c r="CE110" s="446">
        <f>IF($E110=0,0,IF(MIN(CE$38,$E110)&lt;MAX($P$34*($B110+$I$38-1),IF(AND($L$37=0,$P$34=0),"",$L$37-1)),0,YEARFRAC(MAX($P$34*($B110+$I$38-1),IF(AND($L$37=0,$P$34=0),"",$L$37-1)),MIN(CE$38,$E110),$P$20))-SUM($BF110:CD110))</f>
        <v>0</v>
      </c>
      <c r="CF110" s="446">
        <f>IF($E110=0,0,IF(MIN(CF$38,$E110)&lt;MAX($P$34*($B110+$I$38-1),IF(AND($L$37=0,$P$34=0),"",$L$37-1)),0,YEARFRAC(MAX($P$34*($B110+$I$38-1),IF(AND($L$37=0,$P$34=0),"",$L$37-1)),MIN(CF$38,$E110),$P$20))-SUM($BF110:CE110))</f>
        <v>0</v>
      </c>
      <c r="CG110" s="446">
        <f>IF($E110=0,0,IF(MIN(CG$38,$E110)&lt;MAX($P$34*($B110+$I$38-1),IF(AND($L$37=0,$P$34=0),"",$L$37-1)),0,YEARFRAC(MAX($P$34*($B110+$I$38-1),IF(AND($L$37=0,$P$34=0),"",$L$37-1)),MIN(CG$38,$E110),$P$20))-SUM($BF110:CF110))</f>
        <v>0</v>
      </c>
      <c r="CH110" s="446">
        <f>IF($E110=0,0,IF(MIN(CH$38,$E110)&lt;MAX($P$34*($B110+$I$38-1),IF(AND($L$37=0,$P$34=0),"",$L$37-1)),0,YEARFRAC(MAX($P$34*($B110+$I$38-1),IF(AND($L$37=0,$P$34=0),"",$L$37-1)),MIN(CH$38,$E110),$P$20))-SUM($BF110:CG110))</f>
        <v>0</v>
      </c>
      <c r="CI110" s="446">
        <f>IF($E110=0,0,IF(MIN(CI$38,$E110)&lt;MAX($P$34*($B110+$I$38-1),IF(AND($L$37=0,$P$34=0),"",$L$37-1)),0,YEARFRAC(MAX($P$34*($B110+$I$38-1),IF(AND($L$37=0,$P$34=0),"",$L$37-1)),MIN(CI$38,$E110),$P$20))-SUM($BF110:CH110))</f>
        <v>0</v>
      </c>
      <c r="CJ110" s="446">
        <f>IF($E110=0,0,IF(MIN(CJ$38,$E110)&lt;MAX($P$34*($B110+$I$38-1),IF(AND($L$37=0,$P$34=0),"",$L$37-1)),0,YEARFRAC(MAX($P$34*($B110+$I$38-1),IF(AND($L$37=0,$P$34=0),"",$L$37-1)),MIN(CJ$38,$E110),$P$20))-SUM($BF110:CI110))</f>
        <v>0</v>
      </c>
      <c r="CK110" s="446">
        <f>IF($E110=0,0,IF(MIN(CK$38,$E110)&lt;MAX($P$34*($B110+$I$38-1),IF(AND($L$37=0,$P$34=0),"",$L$37-1)),0,YEARFRAC(MAX($P$34*($B110+$I$38-1),IF(AND($L$37=0,$P$34=0),"",$L$37-1)),MIN(CK$38,$E110),$P$20))-SUM($BF110:CJ110))</f>
        <v>0</v>
      </c>
      <c r="CL110" s="446">
        <f>IF($E110=0,0,IF(MIN(CL$38,$E110)&lt;MAX($P$34*($B110+$I$38-1),IF(AND($L$37=0,$P$34=0),"",$L$37-1)),0,YEARFRAC(MAX($P$34*($B110+$I$38-1),IF(AND($L$37=0,$P$34=0),"",$L$37-1)),MIN(CL$38,$E110),$P$20))-SUM($BF110:CK110))</f>
        <v>0</v>
      </c>
      <c r="CM110" s="446">
        <f>IF($E110=0,0,IF(MIN(CM$38,$E110)&lt;MAX($P$34*($B110+$I$38-1),IF(AND($L$37=0,$P$34=0),"",$L$37-1)),0,YEARFRAC(MAX($P$34*($B110+$I$38-1),IF(AND($L$37=0,$P$34=0),"",$L$37-1)),MIN(CM$38,$E110),$P$20))-SUM($BF110:CL110))</f>
        <v>0</v>
      </c>
      <c r="CN110" s="446">
        <f>IF($E110=0,0,IF(MIN(CN$38,$E110)&lt;MAX($P$34*($B110+$I$38-1),IF(AND($L$37=0,$P$34=0),"",$L$37-1)),0,YEARFRAC(MAX($P$34*($B110+$I$38-1),IF(AND($L$37=0,$P$34=0),"",$L$37-1)),MIN(CN$38,$E110),$P$20))-SUM($BF110:CM110))</f>
        <v>0</v>
      </c>
      <c r="CO110" s="446">
        <f>IF($E110=0,0,IF(MIN(CO$38,$E110)&lt;MAX($P$34*($B110+$I$38-1),IF(AND($L$37=0,$P$34=0),"",$L$37-1)),0,YEARFRAC(MAX($P$34*($B110+$I$38-1),IF(AND($L$37=0,$P$34=0),"",$L$37-1)),MIN(CO$38,$E110),$P$20))-SUM($BF110:CN110))</f>
        <v>0</v>
      </c>
      <c r="CP110" s="446">
        <f>IF($E110=0,0,IF(MIN(CP$38,$E110)&lt;MAX($P$34*($B110+$I$38-1),IF(AND($L$37=0,$P$34=0),"",$L$37-1)),0,YEARFRAC(MAX($P$34*($B110+$I$38-1),IF(AND($L$37=0,$P$34=0),"",$L$37-1)),MIN(CP$38,$E110),$P$20))-SUM($BF110:CO110))</f>
        <v>0</v>
      </c>
      <c r="CQ110" s="446">
        <f>IF($E110=0,0,IF(MIN(CQ$38,$E110)&lt;MAX($P$34*($B110+$I$38-1),IF(AND($L$37=0,$P$34=0),"",$L$37-1)),0,YEARFRAC(MAX($P$34*($B110+$I$38-1),IF(AND($L$37=0,$P$34=0),"",$L$37-1)),MIN(CQ$38,$E110),$P$20))-SUM($BF110:CP110))</f>
        <v>0</v>
      </c>
    </row>
    <row r="111" spans="1:95" s="446" customFormat="1" ht="11.25" hidden="1" customHeight="1" x14ac:dyDescent="0.2">
      <c r="A111" s="152"/>
      <c r="B111" s="153" t="str">
        <f t="shared" si="26"/>
        <v/>
      </c>
      <c r="C111" s="29" t="str">
        <f>IF(B111="","",IF($L$35="SELIC - TRIBUTOS",VLOOKUP(DATE(YEAR($D$19),MONTH($D$19)-1,1),ÍNDICES!$A:$DE,HLOOKUP($BL$25,ÍNDICES!$B$3:$T$4,2)+11)-VLOOKUP(B111,ÍNDICES!$A:$DE,HLOOKUP($BL$25,ÍNDICES!$B$3:$T$4,2)+11)+1%,IF(C$38=$W$26,$J$35,IF(ISERROR(IF(B111&gt;$D$19,1,VLOOKUP(DATE(YEAR(B111),MONTH(B111)+IF($C$35=$S$23,1,0),1),ÍNDICES!$A:$DE,$Z$35+1))),"",IF(B111&gt;$D$19,1,VLOOKUP(DATE(YEAR(B111),MONTH(B111)+IF($C$35=$S$23,1,0),1),ÍNDICES!$A:$DE,$Z$35+1))))))</f>
        <v/>
      </c>
      <c r="D111" s="154" t="str">
        <f>IF(ISERROR(IF(OR($D$38=$Y$27,$B111=""),"",VLOOKUP(B111,ÍNDICES!A:DE,AF$35+1))),"",IF(OR($D$38=$Y$27,$B111=""),"",VLOOKUP(B111,ÍNDICES!A:DE,AF$35+1)))</f>
        <v/>
      </c>
      <c r="E111" s="153"/>
      <c r="F111" s="29" t="str">
        <f>IF(E111="","",IF($L$35="SELIC - TRIBUTOS",VLOOKUP(DATE(YEAR($D$19),MONTH($D$19)-1,1),ÍNDICES!$A:$DE,HLOOKUP($BL$25,ÍNDICES!$B$3:$T$4,2)+11)-VLOOKUP(E111,ÍNDICES!$A:$DE,HLOOKUP($BL$25,ÍNDICES!$B$3:$T$4,2)+11)+1%,IF(F$38=$W$26,$J$35,IF(ISERROR(IF(E111&gt;$D$19,1,VLOOKUP(DATE(YEAR(E111),MONTH(E111)+IF($C$35=$S$23,1,0),1),ÍNDICES!$A:$DE,$Z$35+1))),"",IF(E111&gt;$D$19,1,VLOOKUP(DATE(YEAR(E111),MONTH(E111)+IF($C$35=$S$23,1,0),1),ÍNDICES!$A:$DE,$Z$35+1))))))</f>
        <v/>
      </c>
      <c r="G111" s="155"/>
      <c r="H111" s="156" t="str">
        <f t="shared" si="22"/>
        <v/>
      </c>
      <c r="I111" s="29" t="str">
        <f t="shared" si="16"/>
        <v/>
      </c>
      <c r="J111" s="5">
        <f t="shared" si="17"/>
        <v>0</v>
      </c>
      <c r="K111" s="20">
        <f t="shared" ca="1" si="18"/>
        <v>0</v>
      </c>
      <c r="L111" s="5">
        <f t="shared" ca="1" si="19"/>
        <v>0</v>
      </c>
      <c r="M111" s="64">
        <f t="shared" si="23"/>
        <v>0</v>
      </c>
      <c r="N111" s="61">
        <f t="shared" ca="1" si="24"/>
        <v>0</v>
      </c>
      <c r="O111" s="5">
        <f t="shared" ca="1" si="25"/>
        <v>0</v>
      </c>
      <c r="P111" s="446" t="e">
        <f t="shared" si="20"/>
        <v>#VALUE!</v>
      </c>
      <c r="Q111" s="446" t="e">
        <f>IF(OR($B111="",MIN(Q$38,$D$19)&lt;MAX($P$34*($B111+IF($R$17="Distrato",$I$38-1,0)),IF(AND($L$37=0,$P$34=0),"",$L$37-1),IF($R$17="Distrato",$E111,0))),0,YEARFRAC(MAX($P$34*($B111+IF($R$17="Distrato",$I$38-1,0)),IF(AND($L$37=0,$P$34=0),"",$L$37-1),IF($R$17="Distrato",$E111,0)),MIN(Q$38,$D$19),$P$20))-SUM($P111:P111)</f>
        <v>#VALUE!</v>
      </c>
      <c r="R111" s="446" t="e">
        <f>IF(OR($B111="",MIN(R$38,$D$19)&lt;MAX($P$34*($B111+IF($R$17="Distrato",$I$38-1,0)),IF(AND($L$37=0,$P$34=0),"",$L$37-1),IF($R$17="Distrato",$E111,0))),0,YEARFRAC(MAX($P$34*($B111+IF($R$17="Distrato",$I$38-1,0)),IF(AND($L$37=0,$P$34=0),"",$L$37-1),IF($R$17="Distrato",$E111,0)),MIN(R$38,$D$19),$P$20))-SUM($P111:Q111)</f>
        <v>#VALUE!</v>
      </c>
      <c r="S111" s="446" t="e">
        <f>IF(OR($B111="",MIN(S$38,$D$19)&lt;MAX($P$34*($B111+IF($R$17="Distrato",$I$38-1,0)),IF(AND($L$37=0,$P$34=0),"",$L$37-1),IF($R$17="Distrato",$E111,0))),0,YEARFRAC(MAX($P$34*($B111+IF($R$17="Distrato",$I$38-1,0)),IF(AND($L$37=0,$P$34=0),"",$L$37-1),IF($R$17="Distrato",$E111,0)),MIN(S$38,$D$19),$P$20))-SUM($P111:R111)</f>
        <v>#VALUE!</v>
      </c>
      <c r="T111" s="446" t="e">
        <f>IF(OR($B111="",MIN(T$38,$D$19)&lt;MAX($P$34*($B111+IF($R$17="Distrato",$I$38-1,0)),IF(AND($L$37=0,$P$34=0),"",$L$37-1),IF($R$17="Distrato",$E111,0))),0,YEARFRAC(MAX($P$34*($B111+IF($R$17="Distrato",$I$38-1,0)),IF(AND($L$37=0,$P$34=0),"",$L$37-1),IF($R$17="Distrato",$E111,0)),MIN(T$38,$D$19),$P$20))-SUM($P111:S111)</f>
        <v>#VALUE!</v>
      </c>
      <c r="U111" s="446" t="e">
        <f>IF(OR($B111="",MIN(U$38,$D$19)&lt;MAX($P$34*($B111+IF($R$17="Distrato",$I$38-1,0)),IF(AND($L$37=0,$P$34=0),"",$L$37-1),IF($R$17="Distrato",$E111,0))),0,YEARFRAC(MAX($P$34*($B111+IF($R$17="Distrato",$I$38-1,0)),IF(AND($L$37=0,$P$34=0),"",$L$37-1),IF($R$17="Distrato",$E111,0)),MIN(U$38,$D$19),$P$20))-SUM($P111:T111)</f>
        <v>#VALUE!</v>
      </c>
      <c r="V111" s="446" t="e">
        <f>IF(OR($B111="",MIN(V$38,$D$19)&lt;MAX($P$34*($B111+IF($R$17="Distrato",$I$38-1,0)),IF(AND($L$37=0,$P$34=0),"",$L$37-1),IF($R$17="Distrato",$E111,0))),0,YEARFRAC(MAX($P$34*($B111+IF($R$17="Distrato",$I$38-1,0)),IF(AND($L$37=0,$P$34=0),"",$L$37-1),IF($R$17="Distrato",$E111,0)),MIN(V$38,$D$19),$P$20))-SUM($P111:U111)</f>
        <v>#VALUE!</v>
      </c>
      <c r="W111" s="446" t="e">
        <f>IF(OR($B111="",MIN(W$38,$D$19)&lt;MAX($P$34*($B111+IF($R$17="Distrato",$I$38-1,0)),IF(AND($L$37=0,$P$34=0),"",$L$37-1),IF($R$17="Distrato",$E111,0))),0,YEARFRAC(MAX($P$34*($B111+IF($R$17="Distrato",$I$38-1,0)),IF(AND($L$37=0,$P$34=0),"",$L$37-1),IF($R$17="Distrato",$E111,0)),MIN(W$38,$D$19),$P$20))-SUM($P111:V111)</f>
        <v>#VALUE!</v>
      </c>
      <c r="X111" s="446" t="e">
        <f>IF(OR($B111="",MIN(X$38,$D$19)&lt;MAX($P$34*($B111+IF($R$17="Distrato",$I$38-1,0)),IF(AND($L$37=0,$P$34=0),"",$L$37-1),IF($R$17="Distrato",$E111,0))),0,YEARFRAC(MAX($P$34*($B111+IF($R$17="Distrato",$I$38-1,0)),IF(AND($L$37=0,$P$34=0),"",$L$37-1),IF($R$17="Distrato",$E111,0)),MIN(X$38,$D$19),$P$20))-SUM($P111:W111)</f>
        <v>#VALUE!</v>
      </c>
      <c r="Y111" s="446" t="e">
        <f>IF(OR($B111="",MIN(Y$38,$D$19)&lt;MAX($P$34*($B111+IF($R$17="Distrato",$I$38-1,0)),IF(AND($L$37=0,$P$34=0),"",$L$37-1),IF($R$17="Distrato",$E111,0))),0,YEARFRAC(MAX($P$34*($B111+IF($R$17="Distrato",$I$38-1,0)),IF(AND($L$37=0,$P$34=0),"",$L$37-1),IF($R$17="Distrato",$E111,0)),MIN(Y$38,$D$19),$P$20))-SUM($P111:X111)</f>
        <v>#VALUE!</v>
      </c>
      <c r="Z111" s="446" t="e">
        <f>IF(OR($B111="",MIN(Z$38,$D$19)&lt;MAX($P$34*($B111+IF($R$17="Distrato",$I$38-1,0)),IF(AND($L$37=0,$P$34=0),"",$L$37-1),IF($R$17="Distrato",$E111,0))),0,YEARFRAC(MAX($P$34*($B111+IF($R$17="Distrato",$I$38-1,0)),IF(AND($L$37=0,$P$34=0),"",$L$37-1),IF($R$17="Distrato",$E111,0)),MIN(Z$38,$D$19),$P$20))-SUM($P111:Y111)</f>
        <v>#VALUE!</v>
      </c>
      <c r="AA111" s="446" t="e">
        <f>IF(OR($B111="",MIN(AA$38,$D$19)&lt;MAX($P$34*($B111+IF($R$17="Distrato",$I$38-1,0)),IF(AND($L$37=0,$P$34=0),"",$L$37-1),IF($R$17="Distrato",$E111,0))),0,YEARFRAC(MAX($P$34*($B111+IF($R$17="Distrato",$I$38-1,0)),IF(AND($L$37=0,$P$34=0),"",$L$37-1),IF($R$17="Distrato",$E111,0)),MIN(AA$38,$D$19),$P$20))-SUM($P111:Z111)</f>
        <v>#VALUE!</v>
      </c>
      <c r="AB111" s="446" t="e">
        <f>IF(OR($B111="",MIN(AB$38,$D$19)&lt;MAX($P$34*($B111+IF($R$17="Distrato",$I$38-1,0)),IF(AND($L$37=0,$P$34=0),"",$L$37-1),IF($R$17="Distrato",$E111,0))),0,YEARFRAC(MAX($P$34*($B111+IF($R$17="Distrato",$I$38-1,0)),IF(AND($L$37=0,$P$34=0),"",$L$37-1),IF($R$17="Distrato",$E111,0)),MIN(AB$38,$D$19),$P$20))-SUM($P111:AA111)</f>
        <v>#VALUE!</v>
      </c>
      <c r="AC111" s="446" t="e">
        <f>IF(OR($B111="",MIN(AC$38,$D$19)&lt;MAX($P$34*($B111+IF($R$17="Distrato",$I$38-1,0)),IF(AND($L$37=0,$P$34=0),"",$L$37-1),IF($R$17="Distrato",$E111,0))),0,YEARFRAC(MAX($P$34*($B111+IF($R$17="Distrato",$I$38-1,0)),IF(AND($L$37=0,$P$34=0),"",$L$37-1),IF($R$17="Distrato",$E111,0)),MIN(AC$38,$D$19),$P$20))-SUM($P111:AB111)</f>
        <v>#VALUE!</v>
      </c>
      <c r="AD111" s="446" t="e">
        <f>IF(OR($B111="",MIN(AD$38,$D$19)&lt;MAX($P$34*($B111+IF($R$17="Distrato",$I$38-1,0)),IF(AND($L$37=0,$P$34=0),"",$L$37-1),IF($R$17="Distrato",$E111,0))),0,YEARFRAC(MAX($P$34*($B111+IF($R$17="Distrato",$I$38-1,0)),IF(AND($L$37=0,$P$34=0),"",$L$37-1),IF($R$17="Distrato",$E111,0)),MIN(AD$38,$D$19),$P$20))-SUM($P111:AC111)</f>
        <v>#VALUE!</v>
      </c>
      <c r="AE111" s="446" t="e">
        <f>IF(OR($B111="",MIN(AE$38,$D$19)&lt;MAX($P$34*($B111+IF($R$17="Distrato",$I$38-1,0)),IF(AND($L$37=0,$P$34=0),"",$L$37-1),IF($R$17="Distrato",$E111,0))),0,YEARFRAC(MAX($P$34*($B111+IF($R$17="Distrato",$I$38-1,0)),IF(AND($L$37=0,$P$34=0),"",$L$37-1),IF($R$17="Distrato",$E111,0)),MIN(AE$38,$D$19),$P$20))-SUM($P111:AD111)</f>
        <v>#VALUE!</v>
      </c>
      <c r="AF111" s="446" t="e">
        <f>IF(OR($B111="",MIN(AF$38,$D$19)&lt;MAX($P$34*($B111+IF($R$17="Distrato",$I$38-1,0)),IF(AND($L$37=0,$P$34=0),"",$L$37-1),IF($R$17="Distrato",$E111,0))),0,YEARFRAC(MAX($P$34*($B111+IF($R$17="Distrato",$I$38-1,0)),IF(AND($L$37=0,$P$34=0),"",$L$37-1),IF($R$17="Distrato",$E111,0)),MIN(AF$38,$D$19),$P$20))-SUM($P111:AE111)</f>
        <v>#VALUE!</v>
      </c>
      <c r="AG111" s="446" t="e">
        <f>IF(OR($B111="",MIN(AG$38,$D$19)&lt;MAX($P$34*($B111+IF($R$17="Distrato",$I$38-1,0)),IF(AND($L$37=0,$P$34=0),"",$L$37-1),IF($R$17="Distrato",$E111,0))),0,YEARFRAC(MAX($P$34*($B111+IF($R$17="Distrato",$I$38-1,0)),IF(AND($L$37=0,$P$34=0),"",$L$37-1),IF($R$17="Distrato",$E111,0)),MIN(AG$38,$D$19),$P$20))-SUM($P111:AF111)</f>
        <v>#VALUE!</v>
      </c>
      <c r="AH111" s="446" t="e">
        <f>IF(OR($B111="",MIN(AH$38,$D$19)&lt;MAX($P$34*($B111+IF($R$17="Distrato",$I$38-1,0)),IF(AND($L$37=0,$P$34=0),"",$L$37-1),IF($R$17="Distrato",$E111,0))),0,YEARFRAC(MAX($P$34*($B111+IF($R$17="Distrato",$I$38-1,0)),IF(AND($L$37=0,$P$34=0),"",$L$37-1),IF($R$17="Distrato",$E111,0)),MIN(AH$38,$D$19),$P$20))-SUM($P111:AG111)</f>
        <v>#VALUE!</v>
      </c>
      <c r="AI111" s="446" t="e">
        <f>IF(OR($B111="",MIN(AI$38,$D$19)&lt;MAX($P$34*($B111+IF($R$17="Distrato",$I$38-1,0)),IF(AND($L$37=0,$P$34=0),"",$L$37-1),IF($R$17="Distrato",$E111,0))),0,YEARFRAC(MAX($P$34*($B111+IF($R$17="Distrato",$I$38-1,0)),IF(AND($L$37=0,$P$34=0),"",$L$37-1),IF($R$17="Distrato",$E111,0)),MIN(AI$38,$D$19),$P$20))-SUM($P111:AH111)</f>
        <v>#VALUE!</v>
      </c>
      <c r="AJ111" s="446" t="e">
        <f>IF(OR($B111="",MIN(AJ$38,$D$19)&lt;MAX($P$34*($B111+IF($R$17="Distrato",$I$38-1,0)),IF(AND($L$37=0,$P$34=0),"",$L$37-1),IF($R$17="Distrato",$E111,0))),0,YEARFRAC(MAX($P$34*($B111+IF($R$17="Distrato",$I$38-1,0)),IF(AND($L$37=0,$P$34=0),"",$L$37-1),IF($R$17="Distrato",$E111,0)),MIN(AJ$38,$D$19),$P$20))-SUM($P111:AI111)</f>
        <v>#VALUE!</v>
      </c>
      <c r="AK111" s="446" t="e">
        <f>IF(OR($B111="",MIN(AK$38,$D$19)&lt;MAX($P$34*($B111+IF($R$17="Distrato",$I$38-1,0)),IF(AND($L$37=0,$P$34=0),"",$L$37-1),IF($R$17="Distrato",$E111,0))),0,YEARFRAC(MAX($P$34*($B111+IF($R$17="Distrato",$I$38-1,0)),IF(AND($L$37=0,$P$34=0),"",$L$37-1),IF($R$17="Distrato",$E111,0)),MIN(AK$38,$D$19),$P$20))-SUM($P111:AJ111)</f>
        <v>#VALUE!</v>
      </c>
      <c r="AL111" s="446" t="e">
        <f>IF(OR($B111="",MIN(AL$38,$D$19)&lt;MAX($P$34*($B111+IF($R$17="Distrato",$I$38-1,0)),IF(AND($L$37=0,$P$34=0),"",$L$37-1),IF($R$17="Distrato",$E111,0))),0,YEARFRAC(MAX($P$34*($B111+IF($R$17="Distrato",$I$38-1,0)),IF(AND($L$37=0,$P$34=0),"",$L$37-1),IF($R$17="Distrato",$E111,0)),MIN(AL$38,$D$19),$P$20))-SUM($P111:AK111)</f>
        <v>#VALUE!</v>
      </c>
      <c r="AM111" s="446" t="e">
        <f>IF(OR($B111="",MIN(AM$38,$D$19)&lt;MAX($P$34*($B111+IF($R$17="Distrato",$I$38-1,0)),IF(AND($L$37=0,$P$34=0),"",$L$37-1),IF($R$17="Distrato",$E111,0))),0,YEARFRAC(MAX($P$34*($B111+IF($R$17="Distrato",$I$38-1,0)),IF(AND($L$37=0,$P$34=0),"",$L$37-1),IF($R$17="Distrato",$E111,0)),MIN(AM$38,$D$19),$P$20))-SUM($P111:AL111)</f>
        <v>#VALUE!</v>
      </c>
      <c r="AN111" s="446" t="e">
        <f>IF(OR($B111="",MIN(AN$38,$D$19)&lt;MAX($P$34*($B111+IF($R$17="Distrato",$I$38-1,0)),IF(AND($L$37=0,$P$34=0),"",$L$37-1),IF($R$17="Distrato",$E111,0))),0,YEARFRAC(MAX($P$34*($B111+IF($R$17="Distrato",$I$38-1,0)),IF(AND($L$37=0,$P$34=0),"",$L$37-1),IF($R$17="Distrato",$E111,0)),MIN(AN$38,$D$19),$P$20))-SUM($P111:AM111)</f>
        <v>#VALUE!</v>
      </c>
      <c r="AO111" s="446" t="e">
        <f>IF(OR($B111="",MIN(AO$38,$D$19)&lt;MAX($P$34*($B111+IF($R$17="Distrato",$I$38-1,0)),IF(AND($L$37=0,$P$34=0),"",$L$37-1),IF($R$17="Distrato",$E111,0))),0,YEARFRAC(MAX($P$34*($B111+IF($R$17="Distrato",$I$38-1,0)),IF(AND($L$37=0,$P$34=0),"",$L$37-1),IF($R$17="Distrato",$E111,0)),MIN(AO$38,$D$19),$P$20))-SUM($P111:AN111)</f>
        <v>#VALUE!</v>
      </c>
      <c r="AP111" s="446" t="e">
        <f>IF(OR($B111="",MIN(AP$38,$D$19)&lt;MAX($P$34*($B111+IF($R$17="Distrato",$I$38-1,0)),IF(AND($L$37=0,$P$34=0),"",$L$37-1),IF($R$17="Distrato",$E111,0))),0,YEARFRAC(MAX($P$34*($B111+IF($R$17="Distrato",$I$38-1,0)),IF(AND($L$37=0,$P$34=0),"",$L$37-1),IF($R$17="Distrato",$E111,0)),MIN(AP$38,$D$19),$P$20))-SUM($P111:AO111)</f>
        <v>#VALUE!</v>
      </c>
      <c r="AQ111" s="446" t="e">
        <f>IF(OR($B111="",MIN(AQ$38,$D$19)&lt;MAX($P$34*($B111+IF($R$17="Distrato",$I$38-1,0)),IF(AND($L$37=0,$P$34=0),"",$L$37-1),IF($R$17="Distrato",$E111,0))),0,YEARFRAC(MAX($P$34*($B111+IF($R$17="Distrato",$I$38-1,0)),IF(AND($L$37=0,$P$34=0),"",$L$37-1),IF($R$17="Distrato",$E111,0)),MIN(AQ$38,$D$19),$P$20))-SUM($P111:AP111)</f>
        <v>#VALUE!</v>
      </c>
      <c r="AR111" s="446" t="e">
        <f>IF(OR($B111="",MIN(AR$38,$D$19)&lt;MAX($P$34*($B111+IF($R$17="Distrato",$I$38-1,0)),IF(AND($L$37=0,$P$34=0),"",$L$37-1),IF($R$17="Distrato",$E111,0))),0,YEARFRAC(MAX($P$34*($B111+IF($R$17="Distrato",$I$38-1,0)),IF(AND($L$37=0,$P$34=0),"",$L$37-1),IF($R$17="Distrato",$E111,0)),MIN(AR$38,$D$19),$P$20))-SUM($P111:AQ111)</f>
        <v>#VALUE!</v>
      </c>
      <c r="AS111" s="446" t="e">
        <f>IF(OR($B111="",MIN(AS$38,$D$19)&lt;MAX($P$34*($B111+IF($R$17="Distrato",$I$38-1,0)),IF(AND($L$37=0,$P$34=0),"",$L$37-1),IF($R$17="Distrato",$E111,0))),0,YEARFRAC(MAX($P$34*($B111+IF($R$17="Distrato",$I$38-1,0)),IF(AND($L$37=0,$P$34=0),"",$L$37-1),IF($R$17="Distrato",$E111,0)),MIN(AS$38,$D$19),$P$20))-SUM($P111:AR111)</f>
        <v>#VALUE!</v>
      </c>
      <c r="AT111" s="446" t="e">
        <f>IF(OR($B111="",MIN(AT$38,$D$19)&lt;MAX($P$34*($B111+IF($R$17="Distrato",$I$38-1,0)),IF(AND($L$37=0,$P$34=0),"",$L$37-1),IF($R$17="Distrato",$E111,0))),0,YEARFRAC(MAX($P$34*($B111+IF($R$17="Distrato",$I$38-1,0)),IF(AND($L$37=0,$P$34=0),"",$L$37-1),IF($R$17="Distrato",$E111,0)),MIN(AT$38,$D$19),$P$20))-SUM($P111:AS111)</f>
        <v>#VALUE!</v>
      </c>
      <c r="AU111" s="446" t="e">
        <f>IF(OR($B111="",MIN(AU$38,$D$19)&lt;MAX($P$34*($B111+IF($R$17="Distrato",$I$38-1,0)),IF(AND($L$37=0,$P$34=0),"",$L$37-1),IF($R$17="Distrato",$E111,0))),0,YEARFRAC(MAX($P$34*($B111+IF($R$17="Distrato",$I$38-1,0)),IF(AND($L$37=0,$P$34=0),"",$L$37-1),IF($R$17="Distrato",$E111,0)),MIN(AU$38,$D$19),$P$20))-SUM($P111:AT111)</f>
        <v>#VALUE!</v>
      </c>
      <c r="AV111" s="446" t="e">
        <f>IF(OR($B111="",MIN(AV$38,$D$19)&lt;MAX($P$34*($B111+IF($R$17="Distrato",$I$38-1,0)),IF(AND($L$37=0,$P$34=0),"",$L$37-1),IF($R$17="Distrato",$E111,0))),0,YEARFRAC(MAX($P$34*($B111+IF($R$17="Distrato",$I$38-1,0)),IF(AND($L$37=0,$P$34=0),"",$L$37-1),IF($R$17="Distrato",$E111,0)),MIN(AV$38,$D$19),$P$20))-SUM($P111:AU111)</f>
        <v>#VALUE!</v>
      </c>
      <c r="AW111" s="446" t="e">
        <f>IF(OR($B111="",MIN(AW$38,$D$19)&lt;MAX($P$34*($B111+IF($R$17="Distrato",$I$38-1,0)),IF(AND($L$37=0,$P$34=0),"",$L$37-1),IF($R$17="Distrato",$E111,0))),0,YEARFRAC(MAX($P$34*($B111+IF($R$17="Distrato",$I$38-1,0)),IF(AND($L$37=0,$P$34=0),"",$L$37-1),IF($R$17="Distrato",$E111,0)),MIN(AW$38,$D$19),$P$20))-SUM($P111:AV111)</f>
        <v>#VALUE!</v>
      </c>
      <c r="AX111" s="446" t="e">
        <f>IF(OR($B111="",MIN(AX$38,$D$19)&lt;MAX($P$34*($B111+IF($R$17="Distrato",$I$38-1,0)),IF(AND($L$37=0,$P$34=0),"",$L$37-1),IF($R$17="Distrato",$E111,0))),0,YEARFRAC(MAX($P$34*($B111+IF($R$17="Distrato",$I$38-1,0)),IF(AND($L$37=0,$P$34=0),"",$L$37-1),IF($R$17="Distrato",$E111,0)),MIN(AX$38,$D$19),$P$20))-SUM($P111:AW111)</f>
        <v>#VALUE!</v>
      </c>
      <c r="AY111" s="446" t="e">
        <f>IF(OR($B111="",MIN(AY$38,$D$19)&lt;MAX($P$34*($B111+IF($R$17="Distrato",$I$38-1,0)),IF(AND($L$37=0,$P$34=0),"",$L$37-1),IF($R$17="Distrato",$E111,0))),0,YEARFRAC(MAX($P$34*($B111+IF($R$17="Distrato",$I$38-1,0)),IF(AND($L$37=0,$P$34=0),"",$L$37-1),IF($R$17="Distrato",$E111,0)),MIN(AY$38,$D$19),$P$20))-SUM($P111:AX111)</f>
        <v>#VALUE!</v>
      </c>
      <c r="AZ111" s="446" t="e">
        <f>IF(OR($B111="",MIN(AZ$38,$D$19)&lt;MAX($P$34*($B111+IF($R$17="Distrato",$I$38-1,0)),IF(AND($L$37=0,$P$34=0),"",$L$37-1),IF($R$17="Distrato",$E111,0))),0,YEARFRAC(MAX($P$34*($B111+IF($R$17="Distrato",$I$38-1,0)),IF(AND($L$37=0,$P$34=0),"",$L$37-1),IF($R$17="Distrato",$E111,0)),MIN(AZ$38,$D$19),$P$20))-SUM($P111:AY111)</f>
        <v>#VALUE!</v>
      </c>
      <c r="BA111" s="446" t="e">
        <f>IF(OR($B111="",MIN(BA$38,$D$19)&lt;MAX($P$34*($B111+IF($R$17="Distrato",$I$38-1,0)),IF(AND($L$37=0,$P$34=0),"",$L$37-1),IF($R$17="Distrato",$E111,0))),0,YEARFRAC(MAX($P$34*($B111+IF($R$17="Distrato",$I$38-1,0)),IF(AND($L$37=0,$P$34=0),"",$L$37-1),IF($R$17="Distrato",$E111,0)),MIN(BA$38,$D$19),$P$20))-SUM($P111:AZ111)</f>
        <v>#VALUE!</v>
      </c>
      <c r="BB111" s="447"/>
      <c r="BF111" s="446">
        <f t="shared" si="21"/>
        <v>0</v>
      </c>
      <c r="BG111" s="446">
        <f>IF($E111=0,0,IF(MIN(BG$38,$E111)&lt;MAX($P$34*($B111+$I$38-1),IF(AND($L$37=0,$P$34=0),"",$L$37-1)),0,YEARFRAC(MAX($P$34*($B111+$I$38-1),IF(AND($L$37=0,$P$34=0),"",$L$37-1)),MIN(BG$38,$E111),$P$20))-SUM($BF111:BF111))</f>
        <v>0</v>
      </c>
      <c r="BH111" s="446">
        <f>IF($E111=0,0,IF(MIN(BH$38,$E111)&lt;MAX($P$34*($B111+$I$38-1),IF(AND($L$37=0,$P$34=0),"",$L$37-1)),0,YEARFRAC(MAX($P$34*($B111+$I$38-1),IF(AND($L$37=0,$P$34=0),"",$L$37-1)),MIN(BH$38,$E111),$P$20))-SUM($BF111:BG111))</f>
        <v>0</v>
      </c>
      <c r="BI111" s="446">
        <f>IF($E111=0,0,IF(MIN(BI$38,$E111)&lt;MAX($P$34*($B111+$I$38-1),IF(AND($L$37=0,$P$34=0),"",$L$37-1)),0,YEARFRAC(MAX($P$34*($B111+$I$38-1),IF(AND($L$37=0,$P$34=0),"",$L$37-1)),MIN(BI$38,$E111),$P$20))-SUM($BF111:BH111))</f>
        <v>0</v>
      </c>
      <c r="BJ111" s="446">
        <f>IF($E111=0,0,IF(MIN(BJ$38,$E111)&lt;MAX($P$34*($B111+$I$38-1),IF(AND($L$37=0,$P$34=0),"",$L$37-1)),0,YEARFRAC(MAX($P$34*($B111+$I$38-1),IF(AND($L$37=0,$P$34=0),"",$L$37-1)),MIN(BJ$38,$E111),$P$20))-SUM($BF111:BI111))</f>
        <v>0</v>
      </c>
      <c r="BK111" s="446">
        <f>IF($E111=0,0,IF(MIN(BK$38,$E111)&lt;MAX($P$34*($B111+$I$38-1),IF(AND($L$37=0,$P$34=0),"",$L$37-1)),0,YEARFRAC(MAX($P$34*($B111+$I$38-1),IF(AND($L$37=0,$P$34=0),"",$L$37-1)),MIN(BK$38,$E111),$P$20))-SUM($BF111:BJ111))</f>
        <v>0</v>
      </c>
      <c r="BL111" s="446">
        <f>IF($E111=0,0,IF(MIN(BL$38,$E111)&lt;MAX($P$34*($B111+$I$38-1),IF(AND($L$37=0,$P$34=0),"",$L$37-1)),0,YEARFRAC(MAX($P$34*($B111+$I$38-1),IF(AND($L$37=0,$P$34=0),"",$L$37-1)),MIN(BL$38,$E111),$P$20))-SUM($BF111:BK111))</f>
        <v>0</v>
      </c>
      <c r="BM111" s="446">
        <f>IF($E111=0,0,IF(MIN(BM$38,$E111)&lt;MAX($P$34*($B111+$I$38-1),IF(AND($L$37=0,$P$34=0),"",$L$37-1)),0,YEARFRAC(MAX($P$34*($B111+$I$38-1),IF(AND($L$37=0,$P$34=0),"",$L$37-1)),MIN(BM$38,$E111),$P$20))-SUM($BF111:BL111))</f>
        <v>0</v>
      </c>
      <c r="BN111" s="446">
        <f>IF($E111=0,0,IF(MIN(BN$38,$E111)&lt;MAX($P$34*($B111+$I$38-1),IF(AND($L$37=0,$P$34=0),"",$L$37-1)),0,YEARFRAC(MAX($P$34*($B111+$I$38-1),IF(AND($L$37=0,$P$34=0),"",$L$37-1)),MIN(BN$38,$E111),$P$20))-SUM($BF111:BM111))</f>
        <v>0</v>
      </c>
      <c r="BO111" s="446">
        <f>IF($E111=0,0,IF(MIN(BO$38,$E111)&lt;MAX($P$34*($B111+$I$38-1),IF(AND($L$37=0,$P$34=0),"",$L$37-1)),0,YEARFRAC(MAX($P$34*($B111+$I$38-1),IF(AND($L$37=0,$P$34=0),"",$L$37-1)),MIN(BO$38,$E111),$P$20))-SUM($BF111:BN111))</f>
        <v>0</v>
      </c>
      <c r="BP111" s="446">
        <f>IF($E111=0,0,IF(MIN(BP$38,$E111)&lt;MAX($P$34*($B111+$I$38-1),IF(AND($L$37=0,$P$34=0),"",$L$37-1)),0,YEARFRAC(MAX($P$34*($B111+$I$38-1),IF(AND($L$37=0,$P$34=0),"",$L$37-1)),MIN(BP$38,$E111),$P$20))-SUM($BF111:BO111))</f>
        <v>0</v>
      </c>
      <c r="BQ111" s="446">
        <f>IF($E111=0,0,IF(MIN(BQ$38,$E111)&lt;MAX($P$34*($B111+$I$38-1),IF(AND($L$37=0,$P$34=0),"",$L$37-1)),0,YEARFRAC(MAX($P$34*($B111+$I$38-1),IF(AND($L$37=0,$P$34=0),"",$L$37-1)),MIN(BQ$38,$E111),$P$20))-SUM($BF111:BP111))</f>
        <v>0</v>
      </c>
      <c r="BR111" s="446">
        <f>IF($E111=0,0,IF(MIN(BR$38,$E111)&lt;MAX($P$34*($B111+$I$38-1),IF(AND($L$37=0,$P$34=0),"",$L$37-1)),0,YEARFRAC(MAX($P$34*($B111+$I$38-1),IF(AND($L$37=0,$P$34=0),"",$L$37-1)),MIN(BR$38,$E111),$P$20))-SUM($BF111:BQ111))</f>
        <v>0</v>
      </c>
      <c r="BS111" s="446">
        <f>IF($E111=0,0,IF(MIN(BS$38,$E111)&lt;MAX($P$34*($B111+$I$38-1),IF(AND($L$37=0,$P$34=0),"",$L$37-1)),0,YEARFRAC(MAX($P$34*($B111+$I$38-1),IF(AND($L$37=0,$P$34=0),"",$L$37-1)),MIN(BS$38,$E111),$P$20))-SUM($BF111:BR111))</f>
        <v>0</v>
      </c>
      <c r="BT111" s="446">
        <f>IF($E111=0,0,IF(MIN(BT$38,$E111)&lt;MAX($P$34*($B111+$I$38-1),IF(AND($L$37=0,$P$34=0),"",$L$37-1)),0,YEARFRAC(MAX($P$34*($B111+$I$38-1),IF(AND($L$37=0,$P$34=0),"",$L$37-1)),MIN(BT$38,$E111),$P$20))-SUM($BF111:BS111))</f>
        <v>0</v>
      </c>
      <c r="BU111" s="446">
        <f>IF($E111=0,0,IF(MIN(BU$38,$E111)&lt;MAX($P$34*($B111+$I$38-1),IF(AND($L$37=0,$P$34=0),"",$L$37-1)),0,YEARFRAC(MAX($P$34*($B111+$I$38-1),IF(AND($L$37=0,$P$34=0),"",$L$37-1)),MIN(BU$38,$E111),$P$20))-SUM($BF111:BT111))</f>
        <v>0</v>
      </c>
      <c r="BV111" s="446">
        <f>IF($E111=0,0,IF(MIN(BV$38,$E111)&lt;MAX($P$34*($B111+$I$38-1),IF(AND($L$37=0,$P$34=0),"",$L$37-1)),0,YEARFRAC(MAX($P$34*($B111+$I$38-1),IF(AND($L$37=0,$P$34=0),"",$L$37-1)),MIN(BV$38,$E111),$P$20))-SUM($BF111:BU111))</f>
        <v>0</v>
      </c>
      <c r="BW111" s="446">
        <f>IF($E111=0,0,IF(MIN(BW$38,$E111)&lt;MAX($P$34*($B111+$I$38-1),IF(AND($L$37=0,$P$34=0),"",$L$37-1)),0,YEARFRAC(MAX($P$34*($B111+$I$38-1),IF(AND($L$37=0,$P$34=0),"",$L$37-1)),MIN(BW$38,$E111),$P$20))-SUM($BF111:BV111))</f>
        <v>0</v>
      </c>
      <c r="BX111" s="446">
        <f>IF($E111=0,0,IF(MIN(BX$38,$E111)&lt;MAX($P$34*($B111+$I$38-1),IF(AND($L$37=0,$P$34=0),"",$L$37-1)),0,YEARFRAC(MAX($P$34*($B111+$I$38-1),IF(AND($L$37=0,$P$34=0),"",$L$37-1)),MIN(BX$38,$E111),$P$20))-SUM($BF111:BW111))</f>
        <v>0</v>
      </c>
      <c r="BY111" s="446">
        <f>IF($E111=0,0,IF(MIN(BY$38,$E111)&lt;MAX($P$34*($B111+$I$38-1),IF(AND($L$37=0,$P$34=0),"",$L$37-1)),0,YEARFRAC(MAX($P$34*($B111+$I$38-1),IF(AND($L$37=0,$P$34=0),"",$L$37-1)),MIN(BY$38,$E111),$P$20))-SUM($BF111:BX111))</f>
        <v>0</v>
      </c>
      <c r="BZ111" s="446">
        <f>IF($E111=0,0,IF(MIN(BZ$38,$E111)&lt;MAX($P$34*($B111+$I$38-1),IF(AND($L$37=0,$P$34=0),"",$L$37-1)),0,YEARFRAC(MAX($P$34*($B111+$I$38-1),IF(AND($L$37=0,$P$34=0),"",$L$37-1)),MIN(BZ$38,$E111),$P$20))-SUM($BF111:BY111))</f>
        <v>0</v>
      </c>
      <c r="CA111" s="446">
        <f>IF($E111=0,0,IF(MIN(CA$38,$E111)&lt;MAX($P$34*($B111+$I$38-1),IF(AND($L$37=0,$P$34=0),"",$L$37-1)),0,YEARFRAC(MAX($P$34*($B111+$I$38-1),IF(AND($L$37=0,$P$34=0),"",$L$37-1)),MIN(CA$38,$E111),$P$20))-SUM($BF111:BZ111))</f>
        <v>0</v>
      </c>
      <c r="CB111" s="446">
        <f>IF($E111=0,0,IF(MIN(CB$38,$E111)&lt;MAX($P$34*($B111+$I$38-1),IF(AND($L$37=0,$P$34=0),"",$L$37-1)),0,YEARFRAC(MAX($P$34*($B111+$I$38-1),IF(AND($L$37=0,$P$34=0),"",$L$37-1)),MIN(CB$38,$E111),$P$20))-SUM($BF111:CA111))</f>
        <v>0</v>
      </c>
      <c r="CC111" s="446">
        <f>IF($E111=0,0,IF(MIN(CC$38,$E111)&lt;MAX($P$34*($B111+$I$38-1),IF(AND($L$37=0,$P$34=0),"",$L$37-1)),0,YEARFRAC(MAX($P$34*($B111+$I$38-1),IF(AND($L$37=0,$P$34=0),"",$L$37-1)),MIN(CC$38,$E111),$P$20))-SUM($BF111:CB111))</f>
        <v>0</v>
      </c>
      <c r="CD111" s="446">
        <f>IF($E111=0,0,IF(MIN(CD$38,$E111)&lt;MAX($P$34*($B111+$I$38-1),IF(AND($L$37=0,$P$34=0),"",$L$37-1)),0,YEARFRAC(MAX($P$34*($B111+$I$38-1),IF(AND($L$37=0,$P$34=0),"",$L$37-1)),MIN(CD$38,$E111),$P$20))-SUM($BF111:CC111))</f>
        <v>0</v>
      </c>
      <c r="CE111" s="446">
        <f>IF($E111=0,0,IF(MIN(CE$38,$E111)&lt;MAX($P$34*($B111+$I$38-1),IF(AND($L$37=0,$P$34=0),"",$L$37-1)),0,YEARFRAC(MAX($P$34*($B111+$I$38-1),IF(AND($L$37=0,$P$34=0),"",$L$37-1)),MIN(CE$38,$E111),$P$20))-SUM($BF111:CD111))</f>
        <v>0</v>
      </c>
      <c r="CF111" s="446">
        <f>IF($E111=0,0,IF(MIN(CF$38,$E111)&lt;MAX($P$34*($B111+$I$38-1),IF(AND($L$37=0,$P$34=0),"",$L$37-1)),0,YEARFRAC(MAX($P$34*($B111+$I$38-1),IF(AND($L$37=0,$P$34=0),"",$L$37-1)),MIN(CF$38,$E111),$P$20))-SUM($BF111:CE111))</f>
        <v>0</v>
      </c>
      <c r="CG111" s="446">
        <f>IF($E111=0,0,IF(MIN(CG$38,$E111)&lt;MAX($P$34*($B111+$I$38-1),IF(AND($L$37=0,$P$34=0),"",$L$37-1)),0,YEARFRAC(MAX($P$34*($B111+$I$38-1),IF(AND($L$37=0,$P$34=0),"",$L$37-1)),MIN(CG$38,$E111),$P$20))-SUM($BF111:CF111))</f>
        <v>0</v>
      </c>
      <c r="CH111" s="446">
        <f>IF($E111=0,0,IF(MIN(CH$38,$E111)&lt;MAX($P$34*($B111+$I$38-1),IF(AND($L$37=0,$P$34=0),"",$L$37-1)),0,YEARFRAC(MAX($P$34*($B111+$I$38-1),IF(AND($L$37=0,$P$34=0),"",$L$37-1)),MIN(CH$38,$E111),$P$20))-SUM($BF111:CG111))</f>
        <v>0</v>
      </c>
      <c r="CI111" s="446">
        <f>IF($E111=0,0,IF(MIN(CI$38,$E111)&lt;MAX($P$34*($B111+$I$38-1),IF(AND($L$37=0,$P$34=0),"",$L$37-1)),0,YEARFRAC(MAX($P$34*($B111+$I$38-1),IF(AND($L$37=0,$P$34=0),"",$L$37-1)),MIN(CI$38,$E111),$P$20))-SUM($BF111:CH111))</f>
        <v>0</v>
      </c>
      <c r="CJ111" s="446">
        <f>IF($E111=0,0,IF(MIN(CJ$38,$E111)&lt;MAX($P$34*($B111+$I$38-1),IF(AND($L$37=0,$P$34=0),"",$L$37-1)),0,YEARFRAC(MAX($P$34*($B111+$I$38-1),IF(AND($L$37=0,$P$34=0),"",$L$37-1)),MIN(CJ$38,$E111),$P$20))-SUM($BF111:CI111))</f>
        <v>0</v>
      </c>
      <c r="CK111" s="446">
        <f>IF($E111=0,0,IF(MIN(CK$38,$E111)&lt;MAX($P$34*($B111+$I$38-1),IF(AND($L$37=0,$P$34=0),"",$L$37-1)),0,YEARFRAC(MAX($P$34*($B111+$I$38-1),IF(AND($L$37=0,$P$34=0),"",$L$37-1)),MIN(CK$38,$E111),$P$20))-SUM($BF111:CJ111))</f>
        <v>0</v>
      </c>
      <c r="CL111" s="446">
        <f>IF($E111=0,0,IF(MIN(CL$38,$E111)&lt;MAX($P$34*($B111+$I$38-1),IF(AND($L$37=0,$P$34=0),"",$L$37-1)),0,YEARFRAC(MAX($P$34*($B111+$I$38-1),IF(AND($L$37=0,$P$34=0),"",$L$37-1)),MIN(CL$38,$E111),$P$20))-SUM($BF111:CK111))</f>
        <v>0</v>
      </c>
      <c r="CM111" s="446">
        <f>IF($E111=0,0,IF(MIN(CM$38,$E111)&lt;MAX($P$34*($B111+$I$38-1),IF(AND($L$37=0,$P$34=0),"",$L$37-1)),0,YEARFRAC(MAX($P$34*($B111+$I$38-1),IF(AND($L$37=0,$P$34=0),"",$L$37-1)),MIN(CM$38,$E111),$P$20))-SUM($BF111:CL111))</f>
        <v>0</v>
      </c>
      <c r="CN111" s="446">
        <f>IF($E111=0,0,IF(MIN(CN$38,$E111)&lt;MAX($P$34*($B111+$I$38-1),IF(AND($L$37=0,$P$34=0),"",$L$37-1)),0,YEARFRAC(MAX($P$34*($B111+$I$38-1),IF(AND($L$37=0,$P$34=0),"",$L$37-1)),MIN(CN$38,$E111),$P$20))-SUM($BF111:CM111))</f>
        <v>0</v>
      </c>
      <c r="CO111" s="446">
        <f>IF($E111=0,0,IF(MIN(CO$38,$E111)&lt;MAX($P$34*($B111+$I$38-1),IF(AND($L$37=0,$P$34=0),"",$L$37-1)),0,YEARFRAC(MAX($P$34*($B111+$I$38-1),IF(AND($L$37=0,$P$34=0),"",$L$37-1)),MIN(CO$38,$E111),$P$20))-SUM($BF111:CN111))</f>
        <v>0</v>
      </c>
      <c r="CP111" s="446">
        <f>IF($E111=0,0,IF(MIN(CP$38,$E111)&lt;MAX($P$34*($B111+$I$38-1),IF(AND($L$37=0,$P$34=0),"",$L$37-1)),0,YEARFRAC(MAX($P$34*($B111+$I$38-1),IF(AND($L$37=0,$P$34=0),"",$L$37-1)),MIN(CP$38,$E111),$P$20))-SUM($BF111:CO111))</f>
        <v>0</v>
      </c>
      <c r="CQ111" s="446">
        <f>IF($E111=0,0,IF(MIN(CQ$38,$E111)&lt;MAX($P$34*($B111+$I$38-1),IF(AND($L$37=0,$P$34=0),"",$L$37-1)),0,YEARFRAC(MAX($P$34*($B111+$I$38-1),IF(AND($L$37=0,$P$34=0),"",$L$37-1)),MIN(CQ$38,$E111),$P$20))-SUM($BF111:CP111))</f>
        <v>0</v>
      </c>
    </row>
    <row r="112" spans="1:95" s="446" customFormat="1" ht="11.25" hidden="1" customHeight="1" x14ac:dyDescent="0.2">
      <c r="A112" s="152"/>
      <c r="B112" s="153" t="str">
        <f t="shared" si="26"/>
        <v/>
      </c>
      <c r="C112" s="29" t="str">
        <f>IF(B112="","",IF($L$35="SELIC - TRIBUTOS",VLOOKUP(DATE(YEAR($D$19),MONTH($D$19)-1,1),ÍNDICES!$A:$DE,HLOOKUP($BL$25,ÍNDICES!$B$3:$T$4,2)+11)-VLOOKUP(B112,ÍNDICES!$A:$DE,HLOOKUP($BL$25,ÍNDICES!$B$3:$T$4,2)+11)+1%,IF(C$38=$W$26,$J$35,IF(ISERROR(IF(B112&gt;$D$19,1,VLOOKUP(DATE(YEAR(B112),MONTH(B112)+IF($C$35=$S$23,1,0),1),ÍNDICES!$A:$DE,$Z$35+1))),"",IF(B112&gt;$D$19,1,VLOOKUP(DATE(YEAR(B112),MONTH(B112)+IF($C$35=$S$23,1,0),1),ÍNDICES!$A:$DE,$Z$35+1))))))</f>
        <v/>
      </c>
      <c r="D112" s="154" t="str">
        <f>IF(ISERROR(IF(OR($D$38=$Y$27,$B112=""),"",VLOOKUP(B112,ÍNDICES!A:DE,AF$35+1))),"",IF(OR($D$38=$Y$27,$B112=""),"",VLOOKUP(B112,ÍNDICES!A:DE,AF$35+1)))</f>
        <v/>
      </c>
      <c r="E112" s="153"/>
      <c r="F112" s="29" t="str">
        <f>IF(E112="","",IF($L$35="SELIC - TRIBUTOS",VLOOKUP(DATE(YEAR($D$19),MONTH($D$19)-1,1),ÍNDICES!$A:$DE,HLOOKUP($BL$25,ÍNDICES!$B$3:$T$4,2)+11)-VLOOKUP(E112,ÍNDICES!$A:$DE,HLOOKUP($BL$25,ÍNDICES!$B$3:$T$4,2)+11)+1%,IF(F$38=$W$26,$J$35,IF(ISERROR(IF(E112&gt;$D$19,1,VLOOKUP(DATE(YEAR(E112),MONTH(E112)+IF($C$35=$S$23,1,0),1),ÍNDICES!$A:$DE,$Z$35+1))),"",IF(E112&gt;$D$19,1,VLOOKUP(DATE(YEAR(E112),MONTH(E112)+IF($C$35=$S$23,1,0),1),ÍNDICES!$A:$DE,$Z$35+1))))))</f>
        <v/>
      </c>
      <c r="G112" s="155"/>
      <c r="H112" s="156" t="str">
        <f t="shared" si="22"/>
        <v/>
      </c>
      <c r="I112" s="29" t="str">
        <f t="shared" si="16"/>
        <v/>
      </c>
      <c r="J112" s="5">
        <f t="shared" si="17"/>
        <v>0</v>
      </c>
      <c r="K112" s="20">
        <f t="shared" ca="1" si="18"/>
        <v>0</v>
      </c>
      <c r="L112" s="5">
        <f t="shared" ca="1" si="19"/>
        <v>0</v>
      </c>
      <c r="M112" s="64">
        <f t="shared" si="23"/>
        <v>0</v>
      </c>
      <c r="N112" s="61">
        <f t="shared" ca="1" si="24"/>
        <v>0</v>
      </c>
      <c r="O112" s="5">
        <f t="shared" ca="1" si="25"/>
        <v>0</v>
      </c>
      <c r="P112" s="446" t="e">
        <f t="shared" si="20"/>
        <v>#VALUE!</v>
      </c>
      <c r="Q112" s="446" t="e">
        <f>IF(OR($B112="",MIN(Q$38,$D$19)&lt;MAX($P$34*($B112+IF($R$17="Distrato",$I$38-1,0)),IF(AND($L$37=0,$P$34=0),"",$L$37-1),IF($R$17="Distrato",$E112,0))),0,YEARFRAC(MAX($P$34*($B112+IF($R$17="Distrato",$I$38-1,0)),IF(AND($L$37=0,$P$34=0),"",$L$37-1),IF($R$17="Distrato",$E112,0)),MIN(Q$38,$D$19),$P$20))-SUM($P112:P112)</f>
        <v>#VALUE!</v>
      </c>
      <c r="R112" s="446" t="e">
        <f>IF(OR($B112="",MIN(R$38,$D$19)&lt;MAX($P$34*($B112+IF($R$17="Distrato",$I$38-1,0)),IF(AND($L$37=0,$P$34=0),"",$L$37-1),IF($R$17="Distrato",$E112,0))),0,YEARFRAC(MAX($P$34*($B112+IF($R$17="Distrato",$I$38-1,0)),IF(AND($L$37=0,$P$34=0),"",$L$37-1),IF($R$17="Distrato",$E112,0)),MIN(R$38,$D$19),$P$20))-SUM($P112:Q112)</f>
        <v>#VALUE!</v>
      </c>
      <c r="S112" s="446" t="e">
        <f>IF(OR($B112="",MIN(S$38,$D$19)&lt;MAX($P$34*($B112+IF($R$17="Distrato",$I$38-1,0)),IF(AND($L$37=0,$P$34=0),"",$L$37-1),IF($R$17="Distrato",$E112,0))),0,YEARFRAC(MAX($P$34*($B112+IF($R$17="Distrato",$I$38-1,0)),IF(AND($L$37=0,$P$34=0),"",$L$37-1),IF($R$17="Distrato",$E112,0)),MIN(S$38,$D$19),$P$20))-SUM($P112:R112)</f>
        <v>#VALUE!</v>
      </c>
      <c r="T112" s="446" t="e">
        <f>IF(OR($B112="",MIN(T$38,$D$19)&lt;MAX($P$34*($B112+IF($R$17="Distrato",$I$38-1,0)),IF(AND($L$37=0,$P$34=0),"",$L$37-1),IF($R$17="Distrato",$E112,0))),0,YEARFRAC(MAX($P$34*($B112+IF($R$17="Distrato",$I$38-1,0)),IF(AND($L$37=0,$P$34=0),"",$L$37-1),IF($R$17="Distrato",$E112,0)),MIN(T$38,$D$19),$P$20))-SUM($P112:S112)</f>
        <v>#VALUE!</v>
      </c>
      <c r="U112" s="446" t="e">
        <f>IF(OR($B112="",MIN(U$38,$D$19)&lt;MAX($P$34*($B112+IF($R$17="Distrato",$I$38-1,0)),IF(AND($L$37=0,$P$34=0),"",$L$37-1),IF($R$17="Distrato",$E112,0))),0,YEARFRAC(MAX($P$34*($B112+IF($R$17="Distrato",$I$38-1,0)),IF(AND($L$37=0,$P$34=0),"",$L$37-1),IF($R$17="Distrato",$E112,0)),MIN(U$38,$D$19),$P$20))-SUM($P112:T112)</f>
        <v>#VALUE!</v>
      </c>
      <c r="V112" s="446" t="e">
        <f>IF(OR($B112="",MIN(V$38,$D$19)&lt;MAX($P$34*($B112+IF($R$17="Distrato",$I$38-1,0)),IF(AND($L$37=0,$P$34=0),"",$L$37-1),IF($R$17="Distrato",$E112,0))),0,YEARFRAC(MAX($P$34*($B112+IF($R$17="Distrato",$I$38-1,0)),IF(AND($L$37=0,$P$34=0),"",$L$37-1),IF($R$17="Distrato",$E112,0)),MIN(V$38,$D$19),$P$20))-SUM($P112:U112)</f>
        <v>#VALUE!</v>
      </c>
      <c r="W112" s="446" t="e">
        <f>IF(OR($B112="",MIN(W$38,$D$19)&lt;MAX($P$34*($B112+IF($R$17="Distrato",$I$38-1,0)),IF(AND($L$37=0,$P$34=0),"",$L$37-1),IF($R$17="Distrato",$E112,0))),0,YEARFRAC(MAX($P$34*($B112+IF($R$17="Distrato",$I$38-1,0)),IF(AND($L$37=0,$P$34=0),"",$L$37-1),IF($R$17="Distrato",$E112,0)),MIN(W$38,$D$19),$P$20))-SUM($P112:V112)</f>
        <v>#VALUE!</v>
      </c>
      <c r="X112" s="446" t="e">
        <f>IF(OR($B112="",MIN(X$38,$D$19)&lt;MAX($P$34*($B112+IF($R$17="Distrato",$I$38-1,0)),IF(AND($L$37=0,$P$34=0),"",$L$37-1),IF($R$17="Distrato",$E112,0))),0,YEARFRAC(MAX($P$34*($B112+IF($R$17="Distrato",$I$38-1,0)),IF(AND($L$37=0,$P$34=0),"",$L$37-1),IF($R$17="Distrato",$E112,0)),MIN(X$38,$D$19),$P$20))-SUM($P112:W112)</f>
        <v>#VALUE!</v>
      </c>
      <c r="Y112" s="446" t="e">
        <f>IF(OR($B112="",MIN(Y$38,$D$19)&lt;MAX($P$34*($B112+IF($R$17="Distrato",$I$38-1,0)),IF(AND($L$37=0,$P$34=0),"",$L$37-1),IF($R$17="Distrato",$E112,0))),0,YEARFRAC(MAX($P$34*($B112+IF($R$17="Distrato",$I$38-1,0)),IF(AND($L$37=0,$P$34=0),"",$L$37-1),IF($R$17="Distrato",$E112,0)),MIN(Y$38,$D$19),$P$20))-SUM($P112:X112)</f>
        <v>#VALUE!</v>
      </c>
      <c r="Z112" s="446" t="e">
        <f>IF(OR($B112="",MIN(Z$38,$D$19)&lt;MAX($P$34*($B112+IF($R$17="Distrato",$I$38-1,0)),IF(AND($L$37=0,$P$34=0),"",$L$37-1),IF($R$17="Distrato",$E112,0))),0,YEARFRAC(MAX($P$34*($B112+IF($R$17="Distrato",$I$38-1,0)),IF(AND($L$37=0,$P$34=0),"",$L$37-1),IF($R$17="Distrato",$E112,0)),MIN(Z$38,$D$19),$P$20))-SUM($P112:Y112)</f>
        <v>#VALUE!</v>
      </c>
      <c r="AA112" s="446" t="e">
        <f>IF(OR($B112="",MIN(AA$38,$D$19)&lt;MAX($P$34*($B112+IF($R$17="Distrato",$I$38-1,0)),IF(AND($L$37=0,$P$34=0),"",$L$37-1),IF($R$17="Distrato",$E112,0))),0,YEARFRAC(MAX($P$34*($B112+IF($R$17="Distrato",$I$38-1,0)),IF(AND($L$37=0,$P$34=0),"",$L$37-1),IF($R$17="Distrato",$E112,0)),MIN(AA$38,$D$19),$P$20))-SUM($P112:Z112)</f>
        <v>#VALUE!</v>
      </c>
      <c r="AB112" s="446" t="e">
        <f>IF(OR($B112="",MIN(AB$38,$D$19)&lt;MAX($P$34*($B112+IF($R$17="Distrato",$I$38-1,0)),IF(AND($L$37=0,$P$34=0),"",$L$37-1),IF($R$17="Distrato",$E112,0))),0,YEARFRAC(MAX($P$34*($B112+IF($R$17="Distrato",$I$38-1,0)),IF(AND($L$37=0,$P$34=0),"",$L$37-1),IF($R$17="Distrato",$E112,0)),MIN(AB$38,$D$19),$P$20))-SUM($P112:AA112)</f>
        <v>#VALUE!</v>
      </c>
      <c r="AC112" s="446" t="e">
        <f>IF(OR($B112="",MIN(AC$38,$D$19)&lt;MAX($P$34*($B112+IF($R$17="Distrato",$I$38-1,0)),IF(AND($L$37=0,$P$34=0),"",$L$37-1),IF($R$17="Distrato",$E112,0))),0,YEARFRAC(MAX($P$34*($B112+IF($R$17="Distrato",$I$38-1,0)),IF(AND($L$37=0,$P$34=0),"",$L$37-1),IF($R$17="Distrato",$E112,0)),MIN(AC$38,$D$19),$P$20))-SUM($P112:AB112)</f>
        <v>#VALUE!</v>
      </c>
      <c r="AD112" s="446" t="e">
        <f>IF(OR($B112="",MIN(AD$38,$D$19)&lt;MAX($P$34*($B112+IF($R$17="Distrato",$I$38-1,0)),IF(AND($L$37=0,$P$34=0),"",$L$37-1),IF($R$17="Distrato",$E112,0))),0,YEARFRAC(MAX($P$34*($B112+IF($R$17="Distrato",$I$38-1,0)),IF(AND($L$37=0,$P$34=0),"",$L$37-1),IF($R$17="Distrato",$E112,0)),MIN(AD$38,$D$19),$P$20))-SUM($P112:AC112)</f>
        <v>#VALUE!</v>
      </c>
      <c r="AE112" s="446" t="e">
        <f>IF(OR($B112="",MIN(AE$38,$D$19)&lt;MAX($P$34*($B112+IF($R$17="Distrato",$I$38-1,0)),IF(AND($L$37=0,$P$34=0),"",$L$37-1),IF($R$17="Distrato",$E112,0))),0,YEARFRAC(MAX($P$34*($B112+IF($R$17="Distrato",$I$38-1,0)),IF(AND($L$37=0,$P$34=0),"",$L$37-1),IF($R$17="Distrato",$E112,0)),MIN(AE$38,$D$19),$P$20))-SUM($P112:AD112)</f>
        <v>#VALUE!</v>
      </c>
      <c r="AF112" s="446" t="e">
        <f>IF(OR($B112="",MIN(AF$38,$D$19)&lt;MAX($P$34*($B112+IF($R$17="Distrato",$I$38-1,0)),IF(AND($L$37=0,$P$34=0),"",$L$37-1),IF($R$17="Distrato",$E112,0))),0,YEARFRAC(MAX($P$34*($B112+IF($R$17="Distrato",$I$38-1,0)),IF(AND($L$37=0,$P$34=0),"",$L$37-1),IF($R$17="Distrato",$E112,0)),MIN(AF$38,$D$19),$P$20))-SUM($P112:AE112)</f>
        <v>#VALUE!</v>
      </c>
      <c r="AG112" s="446" t="e">
        <f>IF(OR($B112="",MIN(AG$38,$D$19)&lt;MAX($P$34*($B112+IF($R$17="Distrato",$I$38-1,0)),IF(AND($L$37=0,$P$34=0),"",$L$37-1),IF($R$17="Distrato",$E112,0))),0,YEARFRAC(MAX($P$34*($B112+IF($R$17="Distrato",$I$38-1,0)),IF(AND($L$37=0,$P$34=0),"",$L$37-1),IF($R$17="Distrato",$E112,0)),MIN(AG$38,$D$19),$P$20))-SUM($P112:AF112)</f>
        <v>#VALUE!</v>
      </c>
      <c r="AH112" s="446" t="e">
        <f>IF(OR($B112="",MIN(AH$38,$D$19)&lt;MAX($P$34*($B112+IF($R$17="Distrato",$I$38-1,0)),IF(AND($L$37=0,$P$34=0),"",$L$37-1),IF($R$17="Distrato",$E112,0))),0,YEARFRAC(MAX($P$34*($B112+IF($R$17="Distrato",$I$38-1,0)),IF(AND($L$37=0,$P$34=0),"",$L$37-1),IF($R$17="Distrato",$E112,0)),MIN(AH$38,$D$19),$P$20))-SUM($P112:AG112)</f>
        <v>#VALUE!</v>
      </c>
      <c r="AI112" s="446" t="e">
        <f>IF(OR($B112="",MIN(AI$38,$D$19)&lt;MAX($P$34*($B112+IF($R$17="Distrato",$I$38-1,0)),IF(AND($L$37=0,$P$34=0),"",$L$37-1),IF($R$17="Distrato",$E112,0))),0,YEARFRAC(MAX($P$34*($B112+IF($R$17="Distrato",$I$38-1,0)),IF(AND($L$37=0,$P$34=0),"",$L$37-1),IF($R$17="Distrato",$E112,0)),MIN(AI$38,$D$19),$P$20))-SUM($P112:AH112)</f>
        <v>#VALUE!</v>
      </c>
      <c r="AJ112" s="446" t="e">
        <f>IF(OR($B112="",MIN(AJ$38,$D$19)&lt;MAX($P$34*($B112+IF($R$17="Distrato",$I$38-1,0)),IF(AND($L$37=0,$P$34=0),"",$L$37-1),IF($R$17="Distrato",$E112,0))),0,YEARFRAC(MAX($P$34*($B112+IF($R$17="Distrato",$I$38-1,0)),IF(AND($L$37=0,$P$34=0),"",$L$37-1),IF($R$17="Distrato",$E112,0)),MIN(AJ$38,$D$19),$P$20))-SUM($P112:AI112)</f>
        <v>#VALUE!</v>
      </c>
      <c r="AK112" s="446" t="e">
        <f>IF(OR($B112="",MIN(AK$38,$D$19)&lt;MAX($P$34*($B112+IF($R$17="Distrato",$I$38-1,0)),IF(AND($L$37=0,$P$34=0),"",$L$37-1),IF($R$17="Distrato",$E112,0))),0,YEARFRAC(MAX($P$34*($B112+IF($R$17="Distrato",$I$38-1,0)),IF(AND($L$37=0,$P$34=0),"",$L$37-1),IF($R$17="Distrato",$E112,0)),MIN(AK$38,$D$19),$P$20))-SUM($P112:AJ112)</f>
        <v>#VALUE!</v>
      </c>
      <c r="AL112" s="446" t="e">
        <f>IF(OR($B112="",MIN(AL$38,$D$19)&lt;MAX($P$34*($B112+IF($R$17="Distrato",$I$38-1,0)),IF(AND($L$37=0,$P$34=0),"",$L$37-1),IF($R$17="Distrato",$E112,0))),0,YEARFRAC(MAX($P$34*($B112+IF($R$17="Distrato",$I$38-1,0)),IF(AND($L$37=0,$P$34=0),"",$L$37-1),IF($R$17="Distrato",$E112,0)),MIN(AL$38,$D$19),$P$20))-SUM($P112:AK112)</f>
        <v>#VALUE!</v>
      </c>
      <c r="AM112" s="446" t="e">
        <f>IF(OR($B112="",MIN(AM$38,$D$19)&lt;MAX($P$34*($B112+IF($R$17="Distrato",$I$38-1,0)),IF(AND($L$37=0,$P$34=0),"",$L$37-1),IF($R$17="Distrato",$E112,0))),0,YEARFRAC(MAX($P$34*($B112+IF($R$17="Distrato",$I$38-1,0)),IF(AND($L$37=0,$P$34=0),"",$L$37-1),IF($R$17="Distrato",$E112,0)),MIN(AM$38,$D$19),$P$20))-SUM($P112:AL112)</f>
        <v>#VALUE!</v>
      </c>
      <c r="AN112" s="446" t="e">
        <f>IF(OR($B112="",MIN(AN$38,$D$19)&lt;MAX($P$34*($B112+IF($R$17="Distrato",$I$38-1,0)),IF(AND($L$37=0,$P$34=0),"",$L$37-1),IF($R$17="Distrato",$E112,0))),0,YEARFRAC(MAX($P$34*($B112+IF($R$17="Distrato",$I$38-1,0)),IF(AND($L$37=0,$P$34=0),"",$L$37-1),IF($R$17="Distrato",$E112,0)),MIN(AN$38,$D$19),$P$20))-SUM($P112:AM112)</f>
        <v>#VALUE!</v>
      </c>
      <c r="AO112" s="446" t="e">
        <f>IF(OR($B112="",MIN(AO$38,$D$19)&lt;MAX($P$34*($B112+IF($R$17="Distrato",$I$38-1,0)),IF(AND($L$37=0,$P$34=0),"",$L$37-1),IF($R$17="Distrato",$E112,0))),0,YEARFRAC(MAX($P$34*($B112+IF($R$17="Distrato",$I$38-1,0)),IF(AND($L$37=0,$P$34=0),"",$L$37-1),IF($R$17="Distrato",$E112,0)),MIN(AO$38,$D$19),$P$20))-SUM($P112:AN112)</f>
        <v>#VALUE!</v>
      </c>
      <c r="AP112" s="446" t="e">
        <f>IF(OR($B112="",MIN(AP$38,$D$19)&lt;MAX($P$34*($B112+IF($R$17="Distrato",$I$38-1,0)),IF(AND($L$37=0,$P$34=0),"",$L$37-1),IF($R$17="Distrato",$E112,0))),0,YEARFRAC(MAX($P$34*($B112+IF($R$17="Distrato",$I$38-1,0)),IF(AND($L$37=0,$P$34=0),"",$L$37-1),IF($R$17="Distrato",$E112,0)),MIN(AP$38,$D$19),$P$20))-SUM($P112:AO112)</f>
        <v>#VALUE!</v>
      </c>
      <c r="AQ112" s="446" t="e">
        <f>IF(OR($B112="",MIN(AQ$38,$D$19)&lt;MAX($P$34*($B112+IF($R$17="Distrato",$I$38-1,0)),IF(AND($L$37=0,$P$34=0),"",$L$37-1),IF($R$17="Distrato",$E112,0))),0,YEARFRAC(MAX($P$34*($B112+IF($R$17="Distrato",$I$38-1,0)),IF(AND($L$37=0,$P$34=0),"",$L$37-1),IF($R$17="Distrato",$E112,0)),MIN(AQ$38,$D$19),$P$20))-SUM($P112:AP112)</f>
        <v>#VALUE!</v>
      </c>
      <c r="AR112" s="446" t="e">
        <f>IF(OR($B112="",MIN(AR$38,$D$19)&lt;MAX($P$34*($B112+IF($R$17="Distrato",$I$38-1,0)),IF(AND($L$37=0,$P$34=0),"",$L$37-1),IF($R$17="Distrato",$E112,0))),0,YEARFRAC(MAX($P$34*($B112+IF($R$17="Distrato",$I$38-1,0)),IF(AND($L$37=0,$P$34=0),"",$L$37-1),IF($R$17="Distrato",$E112,0)),MIN(AR$38,$D$19),$P$20))-SUM($P112:AQ112)</f>
        <v>#VALUE!</v>
      </c>
      <c r="AS112" s="446" t="e">
        <f>IF(OR($B112="",MIN(AS$38,$D$19)&lt;MAX($P$34*($B112+IF($R$17="Distrato",$I$38-1,0)),IF(AND($L$37=0,$P$34=0),"",$L$37-1),IF($R$17="Distrato",$E112,0))),0,YEARFRAC(MAX($P$34*($B112+IF($R$17="Distrato",$I$38-1,0)),IF(AND($L$37=0,$P$34=0),"",$L$37-1),IF($R$17="Distrato",$E112,0)),MIN(AS$38,$D$19),$P$20))-SUM($P112:AR112)</f>
        <v>#VALUE!</v>
      </c>
      <c r="AT112" s="446" t="e">
        <f>IF(OR($B112="",MIN(AT$38,$D$19)&lt;MAX($P$34*($B112+IF($R$17="Distrato",$I$38-1,0)),IF(AND($L$37=0,$P$34=0),"",$L$37-1),IF($R$17="Distrato",$E112,0))),0,YEARFRAC(MAX($P$34*($B112+IF($R$17="Distrato",$I$38-1,0)),IF(AND($L$37=0,$P$34=0),"",$L$37-1),IF($R$17="Distrato",$E112,0)),MIN(AT$38,$D$19),$P$20))-SUM($P112:AS112)</f>
        <v>#VALUE!</v>
      </c>
      <c r="AU112" s="446" t="e">
        <f>IF(OR($B112="",MIN(AU$38,$D$19)&lt;MAX($P$34*($B112+IF($R$17="Distrato",$I$38-1,0)),IF(AND($L$37=0,$P$34=0),"",$L$37-1),IF($R$17="Distrato",$E112,0))),0,YEARFRAC(MAX($P$34*($B112+IF($R$17="Distrato",$I$38-1,0)),IF(AND($L$37=0,$P$34=0),"",$L$37-1),IF($R$17="Distrato",$E112,0)),MIN(AU$38,$D$19),$P$20))-SUM($P112:AT112)</f>
        <v>#VALUE!</v>
      </c>
      <c r="AV112" s="446" t="e">
        <f>IF(OR($B112="",MIN(AV$38,$D$19)&lt;MAX($P$34*($B112+IF($R$17="Distrato",$I$38-1,0)),IF(AND($L$37=0,$P$34=0),"",$L$37-1),IF($R$17="Distrato",$E112,0))),0,YEARFRAC(MAX($P$34*($B112+IF($R$17="Distrato",$I$38-1,0)),IF(AND($L$37=0,$P$34=0),"",$L$37-1),IF($R$17="Distrato",$E112,0)),MIN(AV$38,$D$19),$P$20))-SUM($P112:AU112)</f>
        <v>#VALUE!</v>
      </c>
      <c r="AW112" s="446" t="e">
        <f>IF(OR($B112="",MIN(AW$38,$D$19)&lt;MAX($P$34*($B112+IF($R$17="Distrato",$I$38-1,0)),IF(AND($L$37=0,$P$34=0),"",$L$37-1),IF($R$17="Distrato",$E112,0))),0,YEARFRAC(MAX($P$34*($B112+IF($R$17="Distrato",$I$38-1,0)),IF(AND($L$37=0,$P$34=0),"",$L$37-1),IF($R$17="Distrato",$E112,0)),MIN(AW$38,$D$19),$P$20))-SUM($P112:AV112)</f>
        <v>#VALUE!</v>
      </c>
      <c r="AX112" s="446" t="e">
        <f>IF(OR($B112="",MIN(AX$38,$D$19)&lt;MAX($P$34*($B112+IF($R$17="Distrato",$I$38-1,0)),IF(AND($L$37=0,$P$34=0),"",$L$37-1),IF($R$17="Distrato",$E112,0))),0,YEARFRAC(MAX($P$34*($B112+IF($R$17="Distrato",$I$38-1,0)),IF(AND($L$37=0,$P$34=0),"",$L$37-1),IF($R$17="Distrato",$E112,0)),MIN(AX$38,$D$19),$P$20))-SUM($P112:AW112)</f>
        <v>#VALUE!</v>
      </c>
      <c r="AY112" s="446" t="e">
        <f>IF(OR($B112="",MIN(AY$38,$D$19)&lt;MAX($P$34*($B112+IF($R$17="Distrato",$I$38-1,0)),IF(AND($L$37=0,$P$34=0),"",$L$37-1),IF($R$17="Distrato",$E112,0))),0,YEARFRAC(MAX($P$34*($B112+IF($R$17="Distrato",$I$38-1,0)),IF(AND($L$37=0,$P$34=0),"",$L$37-1),IF($R$17="Distrato",$E112,0)),MIN(AY$38,$D$19),$P$20))-SUM($P112:AX112)</f>
        <v>#VALUE!</v>
      </c>
      <c r="AZ112" s="446" t="e">
        <f>IF(OR($B112="",MIN(AZ$38,$D$19)&lt;MAX($P$34*($B112+IF($R$17="Distrato",$I$38-1,0)),IF(AND($L$37=0,$P$34=0),"",$L$37-1),IF($R$17="Distrato",$E112,0))),0,YEARFRAC(MAX($P$34*($B112+IF($R$17="Distrato",$I$38-1,0)),IF(AND($L$37=0,$P$34=0),"",$L$37-1),IF($R$17="Distrato",$E112,0)),MIN(AZ$38,$D$19),$P$20))-SUM($P112:AY112)</f>
        <v>#VALUE!</v>
      </c>
      <c r="BA112" s="446" t="e">
        <f>IF(OR($B112="",MIN(BA$38,$D$19)&lt;MAX($P$34*($B112+IF($R$17="Distrato",$I$38-1,0)),IF(AND($L$37=0,$P$34=0),"",$L$37-1),IF($R$17="Distrato",$E112,0))),0,YEARFRAC(MAX($P$34*($B112+IF($R$17="Distrato",$I$38-1,0)),IF(AND($L$37=0,$P$34=0),"",$L$37-1),IF($R$17="Distrato",$E112,0)),MIN(BA$38,$D$19),$P$20))-SUM($P112:AZ112)</f>
        <v>#VALUE!</v>
      </c>
      <c r="BB112" s="447"/>
      <c r="BF112" s="446">
        <f t="shared" si="21"/>
        <v>0</v>
      </c>
      <c r="BG112" s="446">
        <f>IF($E112=0,0,IF(MIN(BG$38,$E112)&lt;MAX($P$34*($B112+$I$38-1),IF(AND($L$37=0,$P$34=0),"",$L$37-1)),0,YEARFRAC(MAX($P$34*($B112+$I$38-1),IF(AND($L$37=0,$P$34=0),"",$L$37-1)),MIN(BG$38,$E112),$P$20))-SUM($BF112:BF112))</f>
        <v>0</v>
      </c>
      <c r="BH112" s="446">
        <f>IF($E112=0,0,IF(MIN(BH$38,$E112)&lt;MAX($P$34*($B112+$I$38-1),IF(AND($L$37=0,$P$34=0),"",$L$37-1)),0,YEARFRAC(MAX($P$34*($B112+$I$38-1),IF(AND($L$37=0,$P$34=0),"",$L$37-1)),MIN(BH$38,$E112),$P$20))-SUM($BF112:BG112))</f>
        <v>0</v>
      </c>
      <c r="BI112" s="446">
        <f>IF($E112=0,0,IF(MIN(BI$38,$E112)&lt;MAX($P$34*($B112+$I$38-1),IF(AND($L$37=0,$P$34=0),"",$L$37-1)),0,YEARFRAC(MAX($P$34*($B112+$I$38-1),IF(AND($L$37=0,$P$34=0),"",$L$37-1)),MIN(BI$38,$E112),$P$20))-SUM($BF112:BH112))</f>
        <v>0</v>
      </c>
      <c r="BJ112" s="446">
        <f>IF($E112=0,0,IF(MIN(BJ$38,$E112)&lt;MAX($P$34*($B112+$I$38-1),IF(AND($L$37=0,$P$34=0),"",$L$37-1)),0,YEARFRAC(MAX($P$34*($B112+$I$38-1),IF(AND($L$37=0,$P$34=0),"",$L$37-1)),MIN(BJ$38,$E112),$P$20))-SUM($BF112:BI112))</f>
        <v>0</v>
      </c>
      <c r="BK112" s="446">
        <f>IF($E112=0,0,IF(MIN(BK$38,$E112)&lt;MAX($P$34*($B112+$I$38-1),IF(AND($L$37=0,$P$34=0),"",$L$37-1)),0,YEARFRAC(MAX($P$34*($B112+$I$38-1),IF(AND($L$37=0,$P$34=0),"",$L$37-1)),MIN(BK$38,$E112),$P$20))-SUM($BF112:BJ112))</f>
        <v>0</v>
      </c>
      <c r="BL112" s="446">
        <f>IF($E112=0,0,IF(MIN(BL$38,$E112)&lt;MAX($P$34*($B112+$I$38-1),IF(AND($L$37=0,$P$34=0),"",$L$37-1)),0,YEARFRAC(MAX($P$34*($B112+$I$38-1),IF(AND($L$37=0,$P$34=0),"",$L$37-1)),MIN(BL$38,$E112),$P$20))-SUM($BF112:BK112))</f>
        <v>0</v>
      </c>
      <c r="BM112" s="446">
        <f>IF($E112=0,0,IF(MIN(BM$38,$E112)&lt;MAX($P$34*($B112+$I$38-1),IF(AND($L$37=0,$P$34=0),"",$L$37-1)),0,YEARFRAC(MAX($P$34*($B112+$I$38-1),IF(AND($L$37=0,$P$34=0),"",$L$37-1)),MIN(BM$38,$E112),$P$20))-SUM($BF112:BL112))</f>
        <v>0</v>
      </c>
      <c r="BN112" s="446">
        <f>IF($E112=0,0,IF(MIN(BN$38,$E112)&lt;MAX($P$34*($B112+$I$38-1),IF(AND($L$37=0,$P$34=0),"",$L$37-1)),0,YEARFRAC(MAX($P$34*($B112+$I$38-1),IF(AND($L$37=0,$P$34=0),"",$L$37-1)),MIN(BN$38,$E112),$P$20))-SUM($BF112:BM112))</f>
        <v>0</v>
      </c>
      <c r="BO112" s="446">
        <f>IF($E112=0,0,IF(MIN(BO$38,$E112)&lt;MAX($P$34*($B112+$I$38-1),IF(AND($L$37=0,$P$34=0),"",$L$37-1)),0,YEARFRAC(MAX($P$34*($B112+$I$38-1),IF(AND($L$37=0,$P$34=0),"",$L$37-1)),MIN(BO$38,$E112),$P$20))-SUM($BF112:BN112))</f>
        <v>0</v>
      </c>
      <c r="BP112" s="446">
        <f>IF($E112=0,0,IF(MIN(BP$38,$E112)&lt;MAX($P$34*($B112+$I$38-1),IF(AND($L$37=0,$P$34=0),"",$L$37-1)),0,YEARFRAC(MAX($P$34*($B112+$I$38-1),IF(AND($L$37=0,$P$34=0),"",$L$37-1)),MIN(BP$38,$E112),$P$20))-SUM($BF112:BO112))</f>
        <v>0</v>
      </c>
      <c r="BQ112" s="446">
        <f>IF($E112=0,0,IF(MIN(BQ$38,$E112)&lt;MAX($P$34*($B112+$I$38-1),IF(AND($L$37=0,$P$34=0),"",$L$37-1)),0,YEARFRAC(MAX($P$34*($B112+$I$38-1),IF(AND($L$37=0,$P$34=0),"",$L$37-1)),MIN(BQ$38,$E112),$P$20))-SUM($BF112:BP112))</f>
        <v>0</v>
      </c>
      <c r="BR112" s="446">
        <f>IF($E112=0,0,IF(MIN(BR$38,$E112)&lt;MAX($P$34*($B112+$I$38-1),IF(AND($L$37=0,$P$34=0),"",$L$37-1)),0,YEARFRAC(MAX($P$34*($B112+$I$38-1),IF(AND($L$37=0,$P$34=0),"",$L$37-1)),MIN(BR$38,$E112),$P$20))-SUM($BF112:BQ112))</f>
        <v>0</v>
      </c>
      <c r="BS112" s="446">
        <f>IF($E112=0,0,IF(MIN(BS$38,$E112)&lt;MAX($P$34*($B112+$I$38-1),IF(AND($L$37=0,$P$34=0),"",$L$37-1)),0,YEARFRAC(MAX($P$34*($B112+$I$38-1),IF(AND($L$37=0,$P$34=0),"",$L$37-1)),MIN(BS$38,$E112),$P$20))-SUM($BF112:BR112))</f>
        <v>0</v>
      </c>
      <c r="BT112" s="446">
        <f>IF($E112=0,0,IF(MIN(BT$38,$E112)&lt;MAX($P$34*($B112+$I$38-1),IF(AND($L$37=0,$P$34=0),"",$L$37-1)),0,YEARFRAC(MAX($P$34*($B112+$I$38-1),IF(AND($L$37=0,$P$34=0),"",$L$37-1)),MIN(BT$38,$E112),$P$20))-SUM($BF112:BS112))</f>
        <v>0</v>
      </c>
      <c r="BU112" s="446">
        <f>IF($E112=0,0,IF(MIN(BU$38,$E112)&lt;MAX($P$34*($B112+$I$38-1),IF(AND($L$37=0,$P$34=0),"",$L$37-1)),0,YEARFRAC(MAX($P$34*($B112+$I$38-1),IF(AND($L$37=0,$P$34=0),"",$L$37-1)),MIN(BU$38,$E112),$P$20))-SUM($BF112:BT112))</f>
        <v>0</v>
      </c>
      <c r="BV112" s="446">
        <f>IF($E112=0,0,IF(MIN(BV$38,$E112)&lt;MAX($P$34*($B112+$I$38-1),IF(AND($L$37=0,$P$34=0),"",$L$37-1)),0,YEARFRAC(MAX($P$34*($B112+$I$38-1),IF(AND($L$37=0,$P$34=0),"",$L$37-1)),MIN(BV$38,$E112),$P$20))-SUM($BF112:BU112))</f>
        <v>0</v>
      </c>
      <c r="BW112" s="446">
        <f>IF($E112=0,0,IF(MIN(BW$38,$E112)&lt;MAX($P$34*($B112+$I$38-1),IF(AND($L$37=0,$P$34=0),"",$L$37-1)),0,YEARFRAC(MAX($P$34*($B112+$I$38-1),IF(AND($L$37=0,$P$34=0),"",$L$37-1)),MIN(BW$38,$E112),$P$20))-SUM($BF112:BV112))</f>
        <v>0</v>
      </c>
      <c r="BX112" s="446">
        <f>IF($E112=0,0,IF(MIN(BX$38,$E112)&lt;MAX($P$34*($B112+$I$38-1),IF(AND($L$37=0,$P$34=0),"",$L$37-1)),0,YEARFRAC(MAX($P$34*($B112+$I$38-1),IF(AND($L$37=0,$P$34=0),"",$L$37-1)),MIN(BX$38,$E112),$P$20))-SUM($BF112:BW112))</f>
        <v>0</v>
      </c>
      <c r="BY112" s="446">
        <f>IF($E112=0,0,IF(MIN(BY$38,$E112)&lt;MAX($P$34*($B112+$I$38-1),IF(AND($L$37=0,$P$34=0),"",$L$37-1)),0,YEARFRAC(MAX($P$34*($B112+$I$38-1),IF(AND($L$37=0,$P$34=0),"",$L$37-1)),MIN(BY$38,$E112),$P$20))-SUM($BF112:BX112))</f>
        <v>0</v>
      </c>
      <c r="BZ112" s="446">
        <f>IF($E112=0,0,IF(MIN(BZ$38,$E112)&lt;MAX($P$34*($B112+$I$38-1),IF(AND($L$37=0,$P$34=0),"",$L$37-1)),0,YEARFRAC(MAX($P$34*($B112+$I$38-1),IF(AND($L$37=0,$P$34=0),"",$L$37-1)),MIN(BZ$38,$E112),$P$20))-SUM($BF112:BY112))</f>
        <v>0</v>
      </c>
      <c r="CA112" s="446">
        <f>IF($E112=0,0,IF(MIN(CA$38,$E112)&lt;MAX($P$34*($B112+$I$38-1),IF(AND($L$37=0,$P$34=0),"",$L$37-1)),0,YEARFRAC(MAX($P$34*($B112+$I$38-1),IF(AND($L$37=0,$P$34=0),"",$L$37-1)),MIN(CA$38,$E112),$P$20))-SUM($BF112:BZ112))</f>
        <v>0</v>
      </c>
      <c r="CB112" s="446">
        <f>IF($E112=0,0,IF(MIN(CB$38,$E112)&lt;MAX($P$34*($B112+$I$38-1),IF(AND($L$37=0,$P$34=0),"",$L$37-1)),0,YEARFRAC(MAX($P$34*($B112+$I$38-1),IF(AND($L$37=0,$P$34=0),"",$L$37-1)),MIN(CB$38,$E112),$P$20))-SUM($BF112:CA112))</f>
        <v>0</v>
      </c>
      <c r="CC112" s="446">
        <f>IF($E112=0,0,IF(MIN(CC$38,$E112)&lt;MAX($P$34*($B112+$I$38-1),IF(AND($L$37=0,$P$34=0),"",$L$37-1)),0,YEARFRAC(MAX($P$34*($B112+$I$38-1),IF(AND($L$37=0,$P$34=0),"",$L$37-1)),MIN(CC$38,$E112),$P$20))-SUM($BF112:CB112))</f>
        <v>0</v>
      </c>
      <c r="CD112" s="446">
        <f>IF($E112=0,0,IF(MIN(CD$38,$E112)&lt;MAX($P$34*($B112+$I$38-1),IF(AND($L$37=0,$P$34=0),"",$L$37-1)),0,YEARFRAC(MAX($P$34*($B112+$I$38-1),IF(AND($L$37=0,$P$34=0),"",$L$37-1)),MIN(CD$38,$E112),$P$20))-SUM($BF112:CC112))</f>
        <v>0</v>
      </c>
      <c r="CE112" s="446">
        <f>IF($E112=0,0,IF(MIN(CE$38,$E112)&lt;MAX($P$34*($B112+$I$38-1),IF(AND($L$37=0,$P$34=0),"",$L$37-1)),0,YEARFRAC(MAX($P$34*($B112+$I$38-1),IF(AND($L$37=0,$P$34=0),"",$L$37-1)),MIN(CE$38,$E112),$P$20))-SUM($BF112:CD112))</f>
        <v>0</v>
      </c>
      <c r="CF112" s="446">
        <f>IF($E112=0,0,IF(MIN(CF$38,$E112)&lt;MAX($P$34*($B112+$I$38-1),IF(AND($L$37=0,$P$34=0),"",$L$37-1)),0,YEARFRAC(MAX($P$34*($B112+$I$38-1),IF(AND($L$37=0,$P$34=0),"",$L$37-1)),MIN(CF$38,$E112),$P$20))-SUM($BF112:CE112))</f>
        <v>0</v>
      </c>
      <c r="CG112" s="446">
        <f>IF($E112=0,0,IF(MIN(CG$38,$E112)&lt;MAX($P$34*($B112+$I$38-1),IF(AND($L$37=0,$P$34=0),"",$L$37-1)),0,YEARFRAC(MAX($P$34*($B112+$I$38-1),IF(AND($L$37=0,$P$34=0),"",$L$37-1)),MIN(CG$38,$E112),$P$20))-SUM($BF112:CF112))</f>
        <v>0</v>
      </c>
      <c r="CH112" s="446">
        <f>IF($E112=0,0,IF(MIN(CH$38,$E112)&lt;MAX($P$34*($B112+$I$38-1),IF(AND($L$37=0,$P$34=0),"",$L$37-1)),0,YEARFRAC(MAX($P$34*($B112+$I$38-1),IF(AND($L$37=0,$P$34=0),"",$L$37-1)),MIN(CH$38,$E112),$P$20))-SUM($BF112:CG112))</f>
        <v>0</v>
      </c>
      <c r="CI112" s="446">
        <f>IF($E112=0,0,IF(MIN(CI$38,$E112)&lt;MAX($P$34*($B112+$I$38-1),IF(AND($L$37=0,$P$34=0),"",$L$37-1)),0,YEARFRAC(MAX($P$34*($B112+$I$38-1),IF(AND($L$37=0,$P$34=0),"",$L$37-1)),MIN(CI$38,$E112),$P$20))-SUM($BF112:CH112))</f>
        <v>0</v>
      </c>
      <c r="CJ112" s="446">
        <f>IF($E112=0,0,IF(MIN(CJ$38,$E112)&lt;MAX($P$34*($B112+$I$38-1),IF(AND($L$37=0,$P$34=0),"",$L$37-1)),0,YEARFRAC(MAX($P$34*($B112+$I$38-1),IF(AND($L$37=0,$P$34=0),"",$L$37-1)),MIN(CJ$38,$E112),$P$20))-SUM($BF112:CI112))</f>
        <v>0</v>
      </c>
      <c r="CK112" s="446">
        <f>IF($E112=0,0,IF(MIN(CK$38,$E112)&lt;MAX($P$34*($B112+$I$38-1),IF(AND($L$37=0,$P$34=0),"",$L$37-1)),0,YEARFRAC(MAX($P$34*($B112+$I$38-1),IF(AND($L$37=0,$P$34=0),"",$L$37-1)),MIN(CK$38,$E112),$P$20))-SUM($BF112:CJ112))</f>
        <v>0</v>
      </c>
      <c r="CL112" s="446">
        <f>IF($E112=0,0,IF(MIN(CL$38,$E112)&lt;MAX($P$34*($B112+$I$38-1),IF(AND($L$37=0,$P$34=0),"",$L$37-1)),0,YEARFRAC(MAX($P$34*($B112+$I$38-1),IF(AND($L$37=0,$P$34=0),"",$L$37-1)),MIN(CL$38,$E112),$P$20))-SUM($BF112:CK112))</f>
        <v>0</v>
      </c>
      <c r="CM112" s="446">
        <f>IF($E112=0,0,IF(MIN(CM$38,$E112)&lt;MAX($P$34*($B112+$I$38-1),IF(AND($L$37=0,$P$34=0),"",$L$37-1)),0,YEARFRAC(MAX($P$34*($B112+$I$38-1),IF(AND($L$37=0,$P$34=0),"",$L$37-1)),MIN(CM$38,$E112),$P$20))-SUM($BF112:CL112))</f>
        <v>0</v>
      </c>
      <c r="CN112" s="446">
        <f>IF($E112=0,0,IF(MIN(CN$38,$E112)&lt;MAX($P$34*($B112+$I$38-1),IF(AND($L$37=0,$P$34=0),"",$L$37-1)),0,YEARFRAC(MAX($P$34*($B112+$I$38-1),IF(AND($L$37=0,$P$34=0),"",$L$37-1)),MIN(CN$38,$E112),$P$20))-SUM($BF112:CM112))</f>
        <v>0</v>
      </c>
      <c r="CO112" s="446">
        <f>IF($E112=0,0,IF(MIN(CO$38,$E112)&lt;MAX($P$34*($B112+$I$38-1),IF(AND($L$37=0,$P$34=0),"",$L$37-1)),0,YEARFRAC(MAX($P$34*($B112+$I$38-1),IF(AND($L$37=0,$P$34=0),"",$L$37-1)),MIN(CO$38,$E112),$P$20))-SUM($BF112:CN112))</f>
        <v>0</v>
      </c>
      <c r="CP112" s="446">
        <f>IF($E112=0,0,IF(MIN(CP$38,$E112)&lt;MAX($P$34*($B112+$I$38-1),IF(AND($L$37=0,$P$34=0),"",$L$37-1)),0,YEARFRAC(MAX($P$34*($B112+$I$38-1),IF(AND($L$37=0,$P$34=0),"",$L$37-1)),MIN(CP$38,$E112),$P$20))-SUM($BF112:CO112))</f>
        <v>0</v>
      </c>
      <c r="CQ112" s="446">
        <f>IF($E112=0,0,IF(MIN(CQ$38,$E112)&lt;MAX($P$34*($B112+$I$38-1),IF(AND($L$37=0,$P$34=0),"",$L$37-1)),0,YEARFRAC(MAX($P$34*($B112+$I$38-1),IF(AND($L$37=0,$P$34=0),"",$L$37-1)),MIN(CQ$38,$E112),$P$20))-SUM($BF112:CP112))</f>
        <v>0</v>
      </c>
    </row>
    <row r="113" spans="1:95" s="446" customFormat="1" ht="11.25" hidden="1" customHeight="1" x14ac:dyDescent="0.2">
      <c r="A113" s="152"/>
      <c r="B113" s="153" t="str">
        <f t="shared" si="26"/>
        <v/>
      </c>
      <c r="C113" s="29" t="str">
        <f>IF(B113="","",IF($L$35="SELIC - TRIBUTOS",VLOOKUP(DATE(YEAR($D$19),MONTH($D$19)-1,1),ÍNDICES!$A:$DE,HLOOKUP($BL$25,ÍNDICES!$B$3:$T$4,2)+11)-VLOOKUP(B113,ÍNDICES!$A:$DE,HLOOKUP($BL$25,ÍNDICES!$B$3:$T$4,2)+11)+1%,IF(C$38=$W$26,$J$35,IF(ISERROR(IF(B113&gt;$D$19,1,VLOOKUP(DATE(YEAR(B113),MONTH(B113)+IF($C$35=$S$23,1,0),1),ÍNDICES!$A:$DE,$Z$35+1))),"",IF(B113&gt;$D$19,1,VLOOKUP(DATE(YEAR(B113),MONTH(B113)+IF($C$35=$S$23,1,0),1),ÍNDICES!$A:$DE,$Z$35+1))))))</f>
        <v/>
      </c>
      <c r="D113" s="154" t="str">
        <f>IF(ISERROR(IF(OR($D$38=$Y$27,$B113=""),"",VLOOKUP(B113,ÍNDICES!A:DE,AF$35+1))),"",IF(OR($D$38=$Y$27,$B113=""),"",VLOOKUP(B113,ÍNDICES!A:DE,AF$35+1)))</f>
        <v/>
      </c>
      <c r="E113" s="153"/>
      <c r="F113" s="29" t="str">
        <f>IF(E113="","",IF($L$35="SELIC - TRIBUTOS",VLOOKUP(DATE(YEAR($D$19),MONTH($D$19)-1,1),ÍNDICES!$A:$DE,HLOOKUP($BL$25,ÍNDICES!$B$3:$T$4,2)+11)-VLOOKUP(E113,ÍNDICES!$A:$DE,HLOOKUP($BL$25,ÍNDICES!$B$3:$T$4,2)+11)+1%,IF(F$38=$W$26,$J$35,IF(ISERROR(IF(E113&gt;$D$19,1,VLOOKUP(DATE(YEAR(E113),MONTH(E113)+IF($C$35=$S$23,1,0),1),ÍNDICES!$A:$DE,$Z$35+1))),"",IF(E113&gt;$D$19,1,VLOOKUP(DATE(YEAR(E113),MONTH(E113)+IF($C$35=$S$23,1,0),1),ÍNDICES!$A:$DE,$Z$35+1))))))</f>
        <v/>
      </c>
      <c r="G113" s="155"/>
      <c r="H113" s="156" t="str">
        <f t="shared" si="22"/>
        <v/>
      </c>
      <c r="I113" s="29" t="str">
        <f t="shared" si="16"/>
        <v/>
      </c>
      <c r="J113" s="5">
        <f t="shared" si="17"/>
        <v>0</v>
      </c>
      <c r="K113" s="20">
        <f t="shared" ca="1" si="18"/>
        <v>0</v>
      </c>
      <c r="L113" s="5">
        <f t="shared" ca="1" si="19"/>
        <v>0</v>
      </c>
      <c r="M113" s="64">
        <f t="shared" si="23"/>
        <v>0</v>
      </c>
      <c r="N113" s="61">
        <f t="shared" ca="1" si="24"/>
        <v>0</v>
      </c>
      <c r="O113" s="5">
        <f t="shared" ca="1" si="25"/>
        <v>0</v>
      </c>
      <c r="P113" s="446" t="e">
        <f t="shared" si="20"/>
        <v>#VALUE!</v>
      </c>
      <c r="Q113" s="446" t="e">
        <f>IF(OR($B113="",MIN(Q$38,$D$19)&lt;MAX($P$34*($B113+IF($R$17="Distrato",$I$38-1,0)),IF(AND($L$37=0,$P$34=0),"",$L$37-1),IF($R$17="Distrato",$E113,0))),0,YEARFRAC(MAX($P$34*($B113+IF($R$17="Distrato",$I$38-1,0)),IF(AND($L$37=0,$P$34=0),"",$L$37-1),IF($R$17="Distrato",$E113,0)),MIN(Q$38,$D$19),$P$20))-SUM($P113:P113)</f>
        <v>#VALUE!</v>
      </c>
      <c r="R113" s="446" t="e">
        <f>IF(OR($B113="",MIN(R$38,$D$19)&lt;MAX($P$34*($B113+IF($R$17="Distrato",$I$38-1,0)),IF(AND($L$37=0,$P$34=0),"",$L$37-1),IF($R$17="Distrato",$E113,0))),0,YEARFRAC(MAX($P$34*($B113+IF($R$17="Distrato",$I$38-1,0)),IF(AND($L$37=0,$P$34=0),"",$L$37-1),IF($R$17="Distrato",$E113,0)),MIN(R$38,$D$19),$P$20))-SUM($P113:Q113)</f>
        <v>#VALUE!</v>
      </c>
      <c r="S113" s="446" t="e">
        <f>IF(OR($B113="",MIN(S$38,$D$19)&lt;MAX($P$34*($B113+IF($R$17="Distrato",$I$38-1,0)),IF(AND($L$37=0,$P$34=0),"",$L$37-1),IF($R$17="Distrato",$E113,0))),0,YEARFRAC(MAX($P$34*($B113+IF($R$17="Distrato",$I$38-1,0)),IF(AND($L$37=0,$P$34=0),"",$L$37-1),IF($R$17="Distrato",$E113,0)),MIN(S$38,$D$19),$P$20))-SUM($P113:R113)</f>
        <v>#VALUE!</v>
      </c>
      <c r="T113" s="446" t="e">
        <f>IF(OR($B113="",MIN(T$38,$D$19)&lt;MAX($P$34*($B113+IF($R$17="Distrato",$I$38-1,0)),IF(AND($L$37=0,$P$34=0),"",$L$37-1),IF($R$17="Distrato",$E113,0))),0,YEARFRAC(MAX($P$34*($B113+IF($R$17="Distrato",$I$38-1,0)),IF(AND($L$37=0,$P$34=0),"",$L$37-1),IF($R$17="Distrato",$E113,0)),MIN(T$38,$D$19),$P$20))-SUM($P113:S113)</f>
        <v>#VALUE!</v>
      </c>
      <c r="U113" s="446" t="e">
        <f>IF(OR($B113="",MIN(U$38,$D$19)&lt;MAX($P$34*($B113+IF($R$17="Distrato",$I$38-1,0)),IF(AND($L$37=0,$P$34=0),"",$L$37-1),IF($R$17="Distrato",$E113,0))),0,YEARFRAC(MAX($P$34*($B113+IF($R$17="Distrato",$I$38-1,0)),IF(AND($L$37=0,$P$34=0),"",$L$37-1),IF($R$17="Distrato",$E113,0)),MIN(U$38,$D$19),$P$20))-SUM($P113:T113)</f>
        <v>#VALUE!</v>
      </c>
      <c r="V113" s="446" t="e">
        <f>IF(OR($B113="",MIN(V$38,$D$19)&lt;MAX($P$34*($B113+IF($R$17="Distrato",$I$38-1,0)),IF(AND($L$37=0,$P$34=0),"",$L$37-1),IF($R$17="Distrato",$E113,0))),0,YEARFRAC(MAX($P$34*($B113+IF($R$17="Distrato",$I$38-1,0)),IF(AND($L$37=0,$P$34=0),"",$L$37-1),IF($R$17="Distrato",$E113,0)),MIN(V$38,$D$19),$P$20))-SUM($P113:U113)</f>
        <v>#VALUE!</v>
      </c>
      <c r="W113" s="446" t="e">
        <f>IF(OR($B113="",MIN(W$38,$D$19)&lt;MAX($P$34*($B113+IF($R$17="Distrato",$I$38-1,0)),IF(AND($L$37=0,$P$34=0),"",$L$37-1),IF($R$17="Distrato",$E113,0))),0,YEARFRAC(MAX($P$34*($B113+IF($R$17="Distrato",$I$38-1,0)),IF(AND($L$37=0,$P$34=0),"",$L$37-1),IF($R$17="Distrato",$E113,0)),MIN(W$38,$D$19),$P$20))-SUM($P113:V113)</f>
        <v>#VALUE!</v>
      </c>
      <c r="X113" s="446" t="e">
        <f>IF(OR($B113="",MIN(X$38,$D$19)&lt;MAX($P$34*($B113+IF($R$17="Distrato",$I$38-1,0)),IF(AND($L$37=0,$P$34=0),"",$L$37-1),IF($R$17="Distrato",$E113,0))),0,YEARFRAC(MAX($P$34*($B113+IF($R$17="Distrato",$I$38-1,0)),IF(AND($L$37=0,$P$34=0),"",$L$37-1),IF($R$17="Distrato",$E113,0)),MIN(X$38,$D$19),$P$20))-SUM($P113:W113)</f>
        <v>#VALUE!</v>
      </c>
      <c r="Y113" s="446" t="e">
        <f>IF(OR($B113="",MIN(Y$38,$D$19)&lt;MAX($P$34*($B113+IF($R$17="Distrato",$I$38-1,0)),IF(AND($L$37=0,$P$34=0),"",$L$37-1),IF($R$17="Distrato",$E113,0))),0,YEARFRAC(MAX($P$34*($B113+IF($R$17="Distrato",$I$38-1,0)),IF(AND($L$37=0,$P$34=0),"",$L$37-1),IF($R$17="Distrato",$E113,0)),MIN(Y$38,$D$19),$P$20))-SUM($P113:X113)</f>
        <v>#VALUE!</v>
      </c>
      <c r="Z113" s="446" t="e">
        <f>IF(OR($B113="",MIN(Z$38,$D$19)&lt;MAX($P$34*($B113+IF($R$17="Distrato",$I$38-1,0)),IF(AND($L$37=0,$P$34=0),"",$L$37-1),IF($R$17="Distrato",$E113,0))),0,YEARFRAC(MAX($P$34*($B113+IF($R$17="Distrato",$I$38-1,0)),IF(AND($L$37=0,$P$34=0),"",$L$37-1),IF($R$17="Distrato",$E113,0)),MIN(Z$38,$D$19),$P$20))-SUM($P113:Y113)</f>
        <v>#VALUE!</v>
      </c>
      <c r="AA113" s="446" t="e">
        <f>IF(OR($B113="",MIN(AA$38,$D$19)&lt;MAX($P$34*($B113+IF($R$17="Distrato",$I$38-1,0)),IF(AND($L$37=0,$P$34=0),"",$L$37-1),IF($R$17="Distrato",$E113,0))),0,YEARFRAC(MAX($P$34*($B113+IF($R$17="Distrato",$I$38-1,0)),IF(AND($L$37=0,$P$34=0),"",$L$37-1),IF($R$17="Distrato",$E113,0)),MIN(AA$38,$D$19),$P$20))-SUM($P113:Z113)</f>
        <v>#VALUE!</v>
      </c>
      <c r="AB113" s="446" t="e">
        <f>IF(OR($B113="",MIN(AB$38,$D$19)&lt;MAX($P$34*($B113+IF($R$17="Distrato",$I$38-1,0)),IF(AND($L$37=0,$P$34=0),"",$L$37-1),IF($R$17="Distrato",$E113,0))),0,YEARFRAC(MAX($P$34*($B113+IF($R$17="Distrato",$I$38-1,0)),IF(AND($L$37=0,$P$34=0),"",$L$37-1),IF($R$17="Distrato",$E113,0)),MIN(AB$38,$D$19),$P$20))-SUM($P113:AA113)</f>
        <v>#VALUE!</v>
      </c>
      <c r="AC113" s="446" t="e">
        <f>IF(OR($B113="",MIN(AC$38,$D$19)&lt;MAX($P$34*($B113+IF($R$17="Distrato",$I$38-1,0)),IF(AND($L$37=0,$P$34=0),"",$L$37-1),IF($R$17="Distrato",$E113,0))),0,YEARFRAC(MAX($P$34*($B113+IF($R$17="Distrato",$I$38-1,0)),IF(AND($L$37=0,$P$34=0),"",$L$37-1),IF($R$17="Distrato",$E113,0)),MIN(AC$38,$D$19),$P$20))-SUM($P113:AB113)</f>
        <v>#VALUE!</v>
      </c>
      <c r="AD113" s="446" t="e">
        <f>IF(OR($B113="",MIN(AD$38,$D$19)&lt;MAX($P$34*($B113+IF($R$17="Distrato",$I$38-1,0)),IF(AND($L$37=0,$P$34=0),"",$L$37-1),IF($R$17="Distrato",$E113,0))),0,YEARFRAC(MAX($P$34*($B113+IF($R$17="Distrato",$I$38-1,0)),IF(AND($L$37=0,$P$34=0),"",$L$37-1),IF($R$17="Distrato",$E113,0)),MIN(AD$38,$D$19),$P$20))-SUM($P113:AC113)</f>
        <v>#VALUE!</v>
      </c>
      <c r="AE113" s="446" t="e">
        <f>IF(OR($B113="",MIN(AE$38,$D$19)&lt;MAX($P$34*($B113+IF($R$17="Distrato",$I$38-1,0)),IF(AND($L$37=0,$P$34=0),"",$L$37-1),IF($R$17="Distrato",$E113,0))),0,YEARFRAC(MAX($P$34*($B113+IF($R$17="Distrato",$I$38-1,0)),IF(AND($L$37=0,$P$34=0),"",$L$37-1),IF($R$17="Distrato",$E113,0)),MIN(AE$38,$D$19),$P$20))-SUM($P113:AD113)</f>
        <v>#VALUE!</v>
      </c>
      <c r="AF113" s="446" t="e">
        <f>IF(OR($B113="",MIN(AF$38,$D$19)&lt;MAX($P$34*($B113+IF($R$17="Distrato",$I$38-1,0)),IF(AND($L$37=0,$P$34=0),"",$L$37-1),IF($R$17="Distrato",$E113,0))),0,YEARFRAC(MAX($P$34*($B113+IF($R$17="Distrato",$I$38-1,0)),IF(AND($L$37=0,$P$34=0),"",$L$37-1),IF($R$17="Distrato",$E113,0)),MIN(AF$38,$D$19),$P$20))-SUM($P113:AE113)</f>
        <v>#VALUE!</v>
      </c>
      <c r="AG113" s="446" t="e">
        <f>IF(OR($B113="",MIN(AG$38,$D$19)&lt;MAX($P$34*($B113+IF($R$17="Distrato",$I$38-1,0)),IF(AND($L$37=0,$P$34=0),"",$L$37-1),IF($R$17="Distrato",$E113,0))),0,YEARFRAC(MAX($P$34*($B113+IF($R$17="Distrato",$I$38-1,0)),IF(AND($L$37=0,$P$34=0),"",$L$37-1),IF($R$17="Distrato",$E113,0)),MIN(AG$38,$D$19),$P$20))-SUM($P113:AF113)</f>
        <v>#VALUE!</v>
      </c>
      <c r="AH113" s="446" t="e">
        <f>IF(OR($B113="",MIN(AH$38,$D$19)&lt;MAX($P$34*($B113+IF($R$17="Distrato",$I$38-1,0)),IF(AND($L$37=0,$P$34=0),"",$L$37-1),IF($R$17="Distrato",$E113,0))),0,YEARFRAC(MAX($P$34*($B113+IF($R$17="Distrato",$I$38-1,0)),IF(AND($L$37=0,$P$34=0),"",$L$37-1),IF($R$17="Distrato",$E113,0)),MIN(AH$38,$D$19),$P$20))-SUM($P113:AG113)</f>
        <v>#VALUE!</v>
      </c>
      <c r="AI113" s="446" t="e">
        <f>IF(OR($B113="",MIN(AI$38,$D$19)&lt;MAX($P$34*($B113+IF($R$17="Distrato",$I$38-1,0)),IF(AND($L$37=0,$P$34=0),"",$L$37-1),IF($R$17="Distrato",$E113,0))),0,YEARFRAC(MAX($P$34*($B113+IF($R$17="Distrato",$I$38-1,0)),IF(AND($L$37=0,$P$34=0),"",$L$37-1),IF($R$17="Distrato",$E113,0)),MIN(AI$38,$D$19),$P$20))-SUM($P113:AH113)</f>
        <v>#VALUE!</v>
      </c>
      <c r="AJ113" s="446" t="e">
        <f>IF(OR($B113="",MIN(AJ$38,$D$19)&lt;MAX($P$34*($B113+IF($R$17="Distrato",$I$38-1,0)),IF(AND($L$37=0,$P$34=0),"",$L$37-1),IF($R$17="Distrato",$E113,0))),0,YEARFRAC(MAX($P$34*($B113+IF($R$17="Distrato",$I$38-1,0)),IF(AND($L$37=0,$P$34=0),"",$L$37-1),IF($R$17="Distrato",$E113,0)),MIN(AJ$38,$D$19),$P$20))-SUM($P113:AI113)</f>
        <v>#VALUE!</v>
      </c>
      <c r="AK113" s="446" t="e">
        <f>IF(OR($B113="",MIN(AK$38,$D$19)&lt;MAX($P$34*($B113+IF($R$17="Distrato",$I$38-1,0)),IF(AND($L$37=0,$P$34=0),"",$L$37-1),IF($R$17="Distrato",$E113,0))),0,YEARFRAC(MAX($P$34*($B113+IF($R$17="Distrato",$I$38-1,0)),IF(AND($L$37=0,$P$34=0),"",$L$37-1),IF($R$17="Distrato",$E113,0)),MIN(AK$38,$D$19),$P$20))-SUM($P113:AJ113)</f>
        <v>#VALUE!</v>
      </c>
      <c r="AL113" s="446" t="e">
        <f>IF(OR($B113="",MIN(AL$38,$D$19)&lt;MAX($P$34*($B113+IF($R$17="Distrato",$I$38-1,0)),IF(AND($L$37=0,$P$34=0),"",$L$37-1),IF($R$17="Distrato",$E113,0))),0,YEARFRAC(MAX($P$34*($B113+IF($R$17="Distrato",$I$38-1,0)),IF(AND($L$37=0,$P$34=0),"",$L$37-1),IF($R$17="Distrato",$E113,0)),MIN(AL$38,$D$19),$P$20))-SUM($P113:AK113)</f>
        <v>#VALUE!</v>
      </c>
      <c r="AM113" s="446" t="e">
        <f>IF(OR($B113="",MIN(AM$38,$D$19)&lt;MAX($P$34*($B113+IF($R$17="Distrato",$I$38-1,0)),IF(AND($L$37=0,$P$34=0),"",$L$37-1),IF($R$17="Distrato",$E113,0))),0,YEARFRAC(MAX($P$34*($B113+IF($R$17="Distrato",$I$38-1,0)),IF(AND($L$37=0,$P$34=0),"",$L$37-1),IF($R$17="Distrato",$E113,0)),MIN(AM$38,$D$19),$P$20))-SUM($P113:AL113)</f>
        <v>#VALUE!</v>
      </c>
      <c r="AN113" s="446" t="e">
        <f>IF(OR($B113="",MIN(AN$38,$D$19)&lt;MAX($P$34*($B113+IF($R$17="Distrato",$I$38-1,0)),IF(AND($L$37=0,$P$34=0),"",$L$37-1),IF($R$17="Distrato",$E113,0))),0,YEARFRAC(MAX($P$34*($B113+IF($R$17="Distrato",$I$38-1,0)),IF(AND($L$37=0,$P$34=0),"",$L$37-1),IF($R$17="Distrato",$E113,0)),MIN(AN$38,$D$19),$P$20))-SUM($P113:AM113)</f>
        <v>#VALUE!</v>
      </c>
      <c r="AO113" s="446" t="e">
        <f>IF(OR($B113="",MIN(AO$38,$D$19)&lt;MAX($P$34*($B113+IF($R$17="Distrato",$I$38-1,0)),IF(AND($L$37=0,$P$34=0),"",$L$37-1),IF($R$17="Distrato",$E113,0))),0,YEARFRAC(MAX($P$34*($B113+IF($R$17="Distrato",$I$38-1,0)),IF(AND($L$37=0,$P$34=0),"",$L$37-1),IF($R$17="Distrato",$E113,0)),MIN(AO$38,$D$19),$P$20))-SUM($P113:AN113)</f>
        <v>#VALUE!</v>
      </c>
      <c r="AP113" s="446" t="e">
        <f>IF(OR($B113="",MIN(AP$38,$D$19)&lt;MAX($P$34*($B113+IF($R$17="Distrato",$I$38-1,0)),IF(AND($L$37=0,$P$34=0),"",$L$37-1),IF($R$17="Distrato",$E113,0))),0,YEARFRAC(MAX($P$34*($B113+IF($R$17="Distrato",$I$38-1,0)),IF(AND($L$37=0,$P$34=0),"",$L$37-1),IF($R$17="Distrato",$E113,0)),MIN(AP$38,$D$19),$P$20))-SUM($P113:AO113)</f>
        <v>#VALUE!</v>
      </c>
      <c r="AQ113" s="446" t="e">
        <f>IF(OR($B113="",MIN(AQ$38,$D$19)&lt;MAX($P$34*($B113+IF($R$17="Distrato",$I$38-1,0)),IF(AND($L$37=0,$P$34=0),"",$L$37-1),IF($R$17="Distrato",$E113,0))),0,YEARFRAC(MAX($P$34*($B113+IF($R$17="Distrato",$I$38-1,0)),IF(AND($L$37=0,$P$34=0),"",$L$37-1),IF($R$17="Distrato",$E113,0)),MIN(AQ$38,$D$19),$P$20))-SUM($P113:AP113)</f>
        <v>#VALUE!</v>
      </c>
      <c r="AR113" s="446" t="e">
        <f>IF(OR($B113="",MIN(AR$38,$D$19)&lt;MAX($P$34*($B113+IF($R$17="Distrato",$I$38-1,0)),IF(AND($L$37=0,$P$34=0),"",$L$37-1),IF($R$17="Distrato",$E113,0))),0,YEARFRAC(MAX($P$34*($B113+IF($R$17="Distrato",$I$38-1,0)),IF(AND($L$37=0,$P$34=0),"",$L$37-1),IF($R$17="Distrato",$E113,0)),MIN(AR$38,$D$19),$P$20))-SUM($P113:AQ113)</f>
        <v>#VALUE!</v>
      </c>
      <c r="AS113" s="446" t="e">
        <f>IF(OR($B113="",MIN(AS$38,$D$19)&lt;MAX($P$34*($B113+IF($R$17="Distrato",$I$38-1,0)),IF(AND($L$37=0,$P$34=0),"",$L$37-1),IF($R$17="Distrato",$E113,0))),0,YEARFRAC(MAX($P$34*($B113+IF($R$17="Distrato",$I$38-1,0)),IF(AND($L$37=0,$P$34=0),"",$L$37-1),IF($R$17="Distrato",$E113,0)),MIN(AS$38,$D$19),$P$20))-SUM($P113:AR113)</f>
        <v>#VALUE!</v>
      </c>
      <c r="AT113" s="446" t="e">
        <f>IF(OR($B113="",MIN(AT$38,$D$19)&lt;MAX($P$34*($B113+IF($R$17="Distrato",$I$38-1,0)),IF(AND($L$37=0,$P$34=0),"",$L$37-1),IF($R$17="Distrato",$E113,0))),0,YEARFRAC(MAX($P$34*($B113+IF($R$17="Distrato",$I$38-1,0)),IF(AND($L$37=0,$P$34=0),"",$L$37-1),IF($R$17="Distrato",$E113,0)),MIN(AT$38,$D$19),$P$20))-SUM($P113:AS113)</f>
        <v>#VALUE!</v>
      </c>
      <c r="AU113" s="446" t="e">
        <f>IF(OR($B113="",MIN(AU$38,$D$19)&lt;MAX($P$34*($B113+IF($R$17="Distrato",$I$38-1,0)),IF(AND($L$37=0,$P$34=0),"",$L$37-1),IF($R$17="Distrato",$E113,0))),0,YEARFRAC(MAX($P$34*($B113+IF($R$17="Distrato",$I$38-1,0)),IF(AND($L$37=0,$P$34=0),"",$L$37-1),IF($R$17="Distrato",$E113,0)),MIN(AU$38,$D$19),$P$20))-SUM($P113:AT113)</f>
        <v>#VALUE!</v>
      </c>
      <c r="AV113" s="446" t="e">
        <f>IF(OR($B113="",MIN(AV$38,$D$19)&lt;MAX($P$34*($B113+IF($R$17="Distrato",$I$38-1,0)),IF(AND($L$37=0,$P$34=0),"",$L$37-1),IF($R$17="Distrato",$E113,0))),0,YEARFRAC(MAX($P$34*($B113+IF($R$17="Distrato",$I$38-1,0)),IF(AND($L$37=0,$P$34=0),"",$L$37-1),IF($R$17="Distrato",$E113,0)),MIN(AV$38,$D$19),$P$20))-SUM($P113:AU113)</f>
        <v>#VALUE!</v>
      </c>
      <c r="AW113" s="446" t="e">
        <f>IF(OR($B113="",MIN(AW$38,$D$19)&lt;MAX($P$34*($B113+IF($R$17="Distrato",$I$38-1,0)),IF(AND($L$37=0,$P$34=0),"",$L$37-1),IF($R$17="Distrato",$E113,0))),0,YEARFRAC(MAX($P$34*($B113+IF($R$17="Distrato",$I$38-1,0)),IF(AND($L$37=0,$P$34=0),"",$L$37-1),IF($R$17="Distrato",$E113,0)),MIN(AW$38,$D$19),$P$20))-SUM($P113:AV113)</f>
        <v>#VALUE!</v>
      </c>
      <c r="AX113" s="446" t="e">
        <f>IF(OR($B113="",MIN(AX$38,$D$19)&lt;MAX($P$34*($B113+IF($R$17="Distrato",$I$38-1,0)),IF(AND($L$37=0,$P$34=0),"",$L$37-1),IF($R$17="Distrato",$E113,0))),0,YEARFRAC(MAX($P$34*($B113+IF($R$17="Distrato",$I$38-1,0)),IF(AND($L$37=0,$P$34=0),"",$L$37-1),IF($R$17="Distrato",$E113,0)),MIN(AX$38,$D$19),$P$20))-SUM($P113:AW113)</f>
        <v>#VALUE!</v>
      </c>
      <c r="AY113" s="446" t="e">
        <f>IF(OR($B113="",MIN(AY$38,$D$19)&lt;MAX($P$34*($B113+IF($R$17="Distrato",$I$38-1,0)),IF(AND($L$37=0,$P$34=0),"",$L$37-1),IF($R$17="Distrato",$E113,0))),0,YEARFRAC(MAX($P$34*($B113+IF($R$17="Distrato",$I$38-1,0)),IF(AND($L$37=0,$P$34=0),"",$L$37-1),IF($R$17="Distrato",$E113,0)),MIN(AY$38,$D$19),$P$20))-SUM($P113:AX113)</f>
        <v>#VALUE!</v>
      </c>
      <c r="AZ113" s="446" t="e">
        <f>IF(OR($B113="",MIN(AZ$38,$D$19)&lt;MAX($P$34*($B113+IF($R$17="Distrato",$I$38-1,0)),IF(AND($L$37=0,$P$34=0),"",$L$37-1),IF($R$17="Distrato",$E113,0))),0,YEARFRAC(MAX($P$34*($B113+IF($R$17="Distrato",$I$38-1,0)),IF(AND($L$37=0,$P$34=0),"",$L$37-1),IF($R$17="Distrato",$E113,0)),MIN(AZ$38,$D$19),$P$20))-SUM($P113:AY113)</f>
        <v>#VALUE!</v>
      </c>
      <c r="BA113" s="446" t="e">
        <f>IF(OR($B113="",MIN(BA$38,$D$19)&lt;MAX($P$34*($B113+IF($R$17="Distrato",$I$38-1,0)),IF(AND($L$37=0,$P$34=0),"",$L$37-1),IF($R$17="Distrato",$E113,0))),0,YEARFRAC(MAX($P$34*($B113+IF($R$17="Distrato",$I$38-1,0)),IF(AND($L$37=0,$P$34=0),"",$L$37-1),IF($R$17="Distrato",$E113,0)),MIN(BA$38,$D$19),$P$20))-SUM($P113:AZ113)</f>
        <v>#VALUE!</v>
      </c>
      <c r="BB113" s="447"/>
      <c r="BF113" s="446">
        <f t="shared" si="21"/>
        <v>0</v>
      </c>
      <c r="BG113" s="446">
        <f>IF($E113=0,0,IF(MIN(BG$38,$E113)&lt;MAX($P$34*($B113+$I$38-1),IF(AND($L$37=0,$P$34=0),"",$L$37-1)),0,YEARFRAC(MAX($P$34*($B113+$I$38-1),IF(AND($L$37=0,$P$34=0),"",$L$37-1)),MIN(BG$38,$E113),$P$20))-SUM($BF113:BF113))</f>
        <v>0</v>
      </c>
      <c r="BH113" s="446">
        <f>IF($E113=0,0,IF(MIN(BH$38,$E113)&lt;MAX($P$34*($B113+$I$38-1),IF(AND($L$37=0,$P$34=0),"",$L$37-1)),0,YEARFRAC(MAX($P$34*($B113+$I$38-1),IF(AND($L$37=0,$P$34=0),"",$L$37-1)),MIN(BH$38,$E113),$P$20))-SUM($BF113:BG113))</f>
        <v>0</v>
      </c>
      <c r="BI113" s="446">
        <f>IF($E113=0,0,IF(MIN(BI$38,$E113)&lt;MAX($P$34*($B113+$I$38-1),IF(AND($L$37=0,$P$34=0),"",$L$37-1)),0,YEARFRAC(MAX($P$34*($B113+$I$38-1),IF(AND($L$37=0,$P$34=0),"",$L$37-1)),MIN(BI$38,$E113),$P$20))-SUM($BF113:BH113))</f>
        <v>0</v>
      </c>
      <c r="BJ113" s="446">
        <f>IF($E113=0,0,IF(MIN(BJ$38,$E113)&lt;MAX($P$34*($B113+$I$38-1),IF(AND($L$37=0,$P$34=0),"",$L$37-1)),0,YEARFRAC(MAX($P$34*($B113+$I$38-1),IF(AND($L$37=0,$P$34=0),"",$L$37-1)),MIN(BJ$38,$E113),$P$20))-SUM($BF113:BI113))</f>
        <v>0</v>
      </c>
      <c r="BK113" s="446">
        <f>IF($E113=0,0,IF(MIN(BK$38,$E113)&lt;MAX($P$34*($B113+$I$38-1),IF(AND($L$37=0,$P$34=0),"",$L$37-1)),0,YEARFRAC(MAX($P$34*($B113+$I$38-1),IF(AND($L$37=0,$P$34=0),"",$L$37-1)),MIN(BK$38,$E113),$P$20))-SUM($BF113:BJ113))</f>
        <v>0</v>
      </c>
      <c r="BL113" s="446">
        <f>IF($E113=0,0,IF(MIN(BL$38,$E113)&lt;MAX($P$34*($B113+$I$38-1),IF(AND($L$37=0,$P$34=0),"",$L$37-1)),0,YEARFRAC(MAX($P$34*($B113+$I$38-1),IF(AND($L$37=0,$P$34=0),"",$L$37-1)),MIN(BL$38,$E113),$P$20))-SUM($BF113:BK113))</f>
        <v>0</v>
      </c>
      <c r="BM113" s="446">
        <f>IF($E113=0,0,IF(MIN(BM$38,$E113)&lt;MAX($P$34*($B113+$I$38-1),IF(AND($L$37=0,$P$34=0),"",$L$37-1)),0,YEARFRAC(MAX($P$34*($B113+$I$38-1),IF(AND($L$37=0,$P$34=0),"",$L$37-1)),MIN(BM$38,$E113),$P$20))-SUM($BF113:BL113))</f>
        <v>0</v>
      </c>
      <c r="BN113" s="446">
        <f>IF($E113=0,0,IF(MIN(BN$38,$E113)&lt;MAX($P$34*($B113+$I$38-1),IF(AND($L$37=0,$P$34=0),"",$L$37-1)),0,YEARFRAC(MAX($P$34*($B113+$I$38-1),IF(AND($L$37=0,$P$34=0),"",$L$37-1)),MIN(BN$38,$E113),$P$20))-SUM($BF113:BM113))</f>
        <v>0</v>
      </c>
      <c r="BO113" s="446">
        <f>IF($E113=0,0,IF(MIN(BO$38,$E113)&lt;MAX($P$34*($B113+$I$38-1),IF(AND($L$37=0,$P$34=0),"",$L$37-1)),0,YEARFRAC(MAX($P$34*($B113+$I$38-1),IF(AND($L$37=0,$P$34=0),"",$L$37-1)),MIN(BO$38,$E113),$P$20))-SUM($BF113:BN113))</f>
        <v>0</v>
      </c>
      <c r="BP113" s="446">
        <f>IF($E113=0,0,IF(MIN(BP$38,$E113)&lt;MAX($P$34*($B113+$I$38-1),IF(AND($L$37=0,$P$34=0),"",$L$37-1)),0,YEARFRAC(MAX($P$34*($B113+$I$38-1),IF(AND($L$37=0,$P$34=0),"",$L$37-1)),MIN(BP$38,$E113),$P$20))-SUM($BF113:BO113))</f>
        <v>0</v>
      </c>
      <c r="BQ113" s="446">
        <f>IF($E113=0,0,IF(MIN(BQ$38,$E113)&lt;MAX($P$34*($B113+$I$38-1),IF(AND($L$37=0,$P$34=0),"",$L$37-1)),0,YEARFRAC(MAX($P$34*($B113+$I$38-1),IF(AND($L$37=0,$P$34=0),"",$L$37-1)),MIN(BQ$38,$E113),$P$20))-SUM($BF113:BP113))</f>
        <v>0</v>
      </c>
      <c r="BR113" s="446">
        <f>IF($E113=0,0,IF(MIN(BR$38,$E113)&lt;MAX($P$34*($B113+$I$38-1),IF(AND($L$37=0,$P$34=0),"",$L$37-1)),0,YEARFRAC(MAX($P$34*($B113+$I$38-1),IF(AND($L$37=0,$P$34=0),"",$L$37-1)),MIN(BR$38,$E113),$P$20))-SUM($BF113:BQ113))</f>
        <v>0</v>
      </c>
      <c r="BS113" s="446">
        <f>IF($E113=0,0,IF(MIN(BS$38,$E113)&lt;MAX($P$34*($B113+$I$38-1),IF(AND($L$37=0,$P$34=0),"",$L$37-1)),0,YEARFRAC(MAX($P$34*($B113+$I$38-1),IF(AND($L$37=0,$P$34=0),"",$L$37-1)),MIN(BS$38,$E113),$P$20))-SUM($BF113:BR113))</f>
        <v>0</v>
      </c>
      <c r="BT113" s="446">
        <f>IF($E113=0,0,IF(MIN(BT$38,$E113)&lt;MAX($P$34*($B113+$I$38-1),IF(AND($L$37=0,$P$34=0),"",$L$37-1)),0,YEARFRAC(MAX($P$34*($B113+$I$38-1),IF(AND($L$37=0,$P$34=0),"",$L$37-1)),MIN(BT$38,$E113),$P$20))-SUM($BF113:BS113))</f>
        <v>0</v>
      </c>
      <c r="BU113" s="446">
        <f>IF($E113=0,0,IF(MIN(BU$38,$E113)&lt;MAX($P$34*($B113+$I$38-1),IF(AND($L$37=0,$P$34=0),"",$L$37-1)),0,YEARFRAC(MAX($P$34*($B113+$I$38-1),IF(AND($L$37=0,$P$34=0),"",$L$37-1)),MIN(BU$38,$E113),$P$20))-SUM($BF113:BT113))</f>
        <v>0</v>
      </c>
      <c r="BV113" s="446">
        <f>IF($E113=0,0,IF(MIN(BV$38,$E113)&lt;MAX($P$34*($B113+$I$38-1),IF(AND($L$37=0,$P$34=0),"",$L$37-1)),0,YEARFRAC(MAX($P$34*($B113+$I$38-1),IF(AND($L$37=0,$P$34=0),"",$L$37-1)),MIN(BV$38,$E113),$P$20))-SUM($BF113:BU113))</f>
        <v>0</v>
      </c>
      <c r="BW113" s="446">
        <f>IF($E113=0,0,IF(MIN(BW$38,$E113)&lt;MAX($P$34*($B113+$I$38-1),IF(AND($L$37=0,$P$34=0),"",$L$37-1)),0,YEARFRAC(MAX($P$34*($B113+$I$38-1),IF(AND($L$37=0,$P$34=0),"",$L$37-1)),MIN(BW$38,$E113),$P$20))-SUM($BF113:BV113))</f>
        <v>0</v>
      </c>
      <c r="BX113" s="446">
        <f>IF($E113=0,0,IF(MIN(BX$38,$E113)&lt;MAX($P$34*($B113+$I$38-1),IF(AND($L$37=0,$P$34=0),"",$L$37-1)),0,YEARFRAC(MAX($P$34*($B113+$I$38-1),IF(AND($L$37=0,$P$34=0),"",$L$37-1)),MIN(BX$38,$E113),$P$20))-SUM($BF113:BW113))</f>
        <v>0</v>
      </c>
      <c r="BY113" s="446">
        <f>IF($E113=0,0,IF(MIN(BY$38,$E113)&lt;MAX($P$34*($B113+$I$38-1),IF(AND($L$37=0,$P$34=0),"",$L$37-1)),0,YEARFRAC(MAX($P$34*($B113+$I$38-1),IF(AND($L$37=0,$P$34=0),"",$L$37-1)),MIN(BY$38,$E113),$P$20))-SUM($BF113:BX113))</f>
        <v>0</v>
      </c>
      <c r="BZ113" s="446">
        <f>IF($E113=0,0,IF(MIN(BZ$38,$E113)&lt;MAX($P$34*($B113+$I$38-1),IF(AND($L$37=0,$P$34=0),"",$L$37-1)),0,YEARFRAC(MAX($P$34*($B113+$I$38-1),IF(AND($L$37=0,$P$34=0),"",$L$37-1)),MIN(BZ$38,$E113),$P$20))-SUM($BF113:BY113))</f>
        <v>0</v>
      </c>
      <c r="CA113" s="446">
        <f>IF($E113=0,0,IF(MIN(CA$38,$E113)&lt;MAX($P$34*($B113+$I$38-1),IF(AND($L$37=0,$P$34=0),"",$L$37-1)),0,YEARFRAC(MAX($P$34*($B113+$I$38-1),IF(AND($L$37=0,$P$34=0),"",$L$37-1)),MIN(CA$38,$E113),$P$20))-SUM($BF113:BZ113))</f>
        <v>0</v>
      </c>
      <c r="CB113" s="446">
        <f>IF($E113=0,0,IF(MIN(CB$38,$E113)&lt;MAX($P$34*($B113+$I$38-1),IF(AND($L$37=0,$P$34=0),"",$L$37-1)),0,YEARFRAC(MAX($P$34*($B113+$I$38-1),IF(AND($L$37=0,$P$34=0),"",$L$37-1)),MIN(CB$38,$E113),$P$20))-SUM($BF113:CA113))</f>
        <v>0</v>
      </c>
      <c r="CC113" s="446">
        <f>IF($E113=0,0,IF(MIN(CC$38,$E113)&lt;MAX($P$34*($B113+$I$38-1),IF(AND($L$37=0,$P$34=0),"",$L$37-1)),0,YEARFRAC(MAX($P$34*($B113+$I$38-1),IF(AND($L$37=0,$P$34=0),"",$L$37-1)),MIN(CC$38,$E113),$P$20))-SUM($BF113:CB113))</f>
        <v>0</v>
      </c>
      <c r="CD113" s="446">
        <f>IF($E113=0,0,IF(MIN(CD$38,$E113)&lt;MAX($P$34*($B113+$I$38-1),IF(AND($L$37=0,$P$34=0),"",$L$37-1)),0,YEARFRAC(MAX($P$34*($B113+$I$38-1),IF(AND($L$37=0,$P$34=0),"",$L$37-1)),MIN(CD$38,$E113),$P$20))-SUM($BF113:CC113))</f>
        <v>0</v>
      </c>
      <c r="CE113" s="446">
        <f>IF($E113=0,0,IF(MIN(CE$38,$E113)&lt;MAX($P$34*($B113+$I$38-1),IF(AND($L$37=0,$P$34=0),"",$L$37-1)),0,YEARFRAC(MAX($P$34*($B113+$I$38-1),IF(AND($L$37=0,$P$34=0),"",$L$37-1)),MIN(CE$38,$E113),$P$20))-SUM($BF113:CD113))</f>
        <v>0</v>
      </c>
      <c r="CF113" s="446">
        <f>IF($E113=0,0,IF(MIN(CF$38,$E113)&lt;MAX($P$34*($B113+$I$38-1),IF(AND($L$37=0,$P$34=0),"",$L$37-1)),0,YEARFRAC(MAX($P$34*($B113+$I$38-1),IF(AND($L$37=0,$P$34=0),"",$L$37-1)),MIN(CF$38,$E113),$P$20))-SUM($BF113:CE113))</f>
        <v>0</v>
      </c>
      <c r="CG113" s="446">
        <f>IF($E113=0,0,IF(MIN(CG$38,$E113)&lt;MAX($P$34*($B113+$I$38-1),IF(AND($L$37=0,$P$34=0),"",$L$37-1)),0,YEARFRAC(MAX($P$34*($B113+$I$38-1),IF(AND($L$37=0,$P$34=0),"",$L$37-1)),MIN(CG$38,$E113),$P$20))-SUM($BF113:CF113))</f>
        <v>0</v>
      </c>
      <c r="CH113" s="446">
        <f>IF($E113=0,0,IF(MIN(CH$38,$E113)&lt;MAX($P$34*($B113+$I$38-1),IF(AND($L$37=0,$P$34=0),"",$L$37-1)),0,YEARFRAC(MAX($P$34*($B113+$I$38-1),IF(AND($L$37=0,$P$34=0),"",$L$37-1)),MIN(CH$38,$E113),$P$20))-SUM($BF113:CG113))</f>
        <v>0</v>
      </c>
      <c r="CI113" s="446">
        <f>IF($E113=0,0,IF(MIN(CI$38,$E113)&lt;MAX($P$34*($B113+$I$38-1),IF(AND($L$37=0,$P$34=0),"",$L$37-1)),0,YEARFRAC(MAX($P$34*($B113+$I$38-1),IF(AND($L$37=0,$P$34=0),"",$L$37-1)),MIN(CI$38,$E113),$P$20))-SUM($BF113:CH113))</f>
        <v>0</v>
      </c>
      <c r="CJ113" s="446">
        <f>IF($E113=0,0,IF(MIN(CJ$38,$E113)&lt;MAX($P$34*($B113+$I$38-1),IF(AND($L$37=0,$P$34=0),"",$L$37-1)),0,YEARFRAC(MAX($P$34*($B113+$I$38-1),IF(AND($L$37=0,$P$34=0),"",$L$37-1)),MIN(CJ$38,$E113),$P$20))-SUM($BF113:CI113))</f>
        <v>0</v>
      </c>
      <c r="CK113" s="446">
        <f>IF($E113=0,0,IF(MIN(CK$38,$E113)&lt;MAX($P$34*($B113+$I$38-1),IF(AND($L$37=0,$P$34=0),"",$L$37-1)),0,YEARFRAC(MAX($P$34*($B113+$I$38-1),IF(AND($L$37=0,$P$34=0),"",$L$37-1)),MIN(CK$38,$E113),$P$20))-SUM($BF113:CJ113))</f>
        <v>0</v>
      </c>
      <c r="CL113" s="446">
        <f>IF($E113=0,0,IF(MIN(CL$38,$E113)&lt;MAX($P$34*($B113+$I$38-1),IF(AND($L$37=0,$P$34=0),"",$L$37-1)),0,YEARFRAC(MAX($P$34*($B113+$I$38-1),IF(AND($L$37=0,$P$34=0),"",$L$37-1)),MIN(CL$38,$E113),$P$20))-SUM($BF113:CK113))</f>
        <v>0</v>
      </c>
      <c r="CM113" s="446">
        <f>IF($E113=0,0,IF(MIN(CM$38,$E113)&lt;MAX($P$34*($B113+$I$38-1),IF(AND($L$37=0,$P$34=0),"",$L$37-1)),0,YEARFRAC(MAX($P$34*($B113+$I$38-1),IF(AND($L$37=0,$P$34=0),"",$L$37-1)),MIN(CM$38,$E113),$P$20))-SUM($BF113:CL113))</f>
        <v>0</v>
      </c>
      <c r="CN113" s="446">
        <f>IF($E113=0,0,IF(MIN(CN$38,$E113)&lt;MAX($P$34*($B113+$I$38-1),IF(AND($L$37=0,$P$34=0),"",$L$37-1)),0,YEARFRAC(MAX($P$34*($B113+$I$38-1),IF(AND($L$37=0,$P$34=0),"",$L$37-1)),MIN(CN$38,$E113),$P$20))-SUM($BF113:CM113))</f>
        <v>0</v>
      </c>
      <c r="CO113" s="446">
        <f>IF($E113=0,0,IF(MIN(CO$38,$E113)&lt;MAX($P$34*($B113+$I$38-1),IF(AND($L$37=0,$P$34=0),"",$L$37-1)),0,YEARFRAC(MAX($P$34*($B113+$I$38-1),IF(AND($L$37=0,$P$34=0),"",$L$37-1)),MIN(CO$38,$E113),$P$20))-SUM($BF113:CN113))</f>
        <v>0</v>
      </c>
      <c r="CP113" s="446">
        <f>IF($E113=0,0,IF(MIN(CP$38,$E113)&lt;MAX($P$34*($B113+$I$38-1),IF(AND($L$37=0,$P$34=0),"",$L$37-1)),0,YEARFRAC(MAX($P$34*($B113+$I$38-1),IF(AND($L$37=0,$P$34=0),"",$L$37-1)),MIN(CP$38,$E113),$P$20))-SUM($BF113:CO113))</f>
        <v>0</v>
      </c>
      <c r="CQ113" s="446">
        <f>IF($E113=0,0,IF(MIN(CQ$38,$E113)&lt;MAX($P$34*($B113+$I$38-1),IF(AND($L$37=0,$P$34=0),"",$L$37-1)),0,YEARFRAC(MAX($P$34*($B113+$I$38-1),IF(AND($L$37=0,$P$34=0),"",$L$37-1)),MIN(CQ$38,$E113),$P$20))-SUM($BF113:CP113))</f>
        <v>0</v>
      </c>
    </row>
    <row r="114" spans="1:95" s="446" customFormat="1" ht="11.25" hidden="1" customHeight="1" x14ac:dyDescent="0.2">
      <c r="A114" s="152"/>
      <c r="B114" s="153" t="str">
        <f t="shared" si="26"/>
        <v/>
      </c>
      <c r="C114" s="29" t="str">
        <f>IF(B114="","",IF($L$35="SELIC - TRIBUTOS",VLOOKUP(DATE(YEAR($D$19),MONTH($D$19)-1,1),ÍNDICES!$A:$DE,HLOOKUP($BL$25,ÍNDICES!$B$3:$T$4,2)+11)-VLOOKUP(B114,ÍNDICES!$A:$DE,HLOOKUP($BL$25,ÍNDICES!$B$3:$T$4,2)+11)+1%,IF(C$38=$W$26,$J$35,IF(ISERROR(IF(B114&gt;$D$19,1,VLOOKUP(DATE(YEAR(B114),MONTH(B114)+IF($C$35=$S$23,1,0),1),ÍNDICES!$A:$DE,$Z$35+1))),"",IF(B114&gt;$D$19,1,VLOOKUP(DATE(YEAR(B114),MONTH(B114)+IF($C$35=$S$23,1,0),1),ÍNDICES!$A:$DE,$Z$35+1))))))</f>
        <v/>
      </c>
      <c r="D114" s="154" t="str">
        <f>IF(ISERROR(IF(OR($D$38=$Y$27,$B114=""),"",VLOOKUP(B114,ÍNDICES!A:DE,AF$35+1))),"",IF(OR($D$38=$Y$27,$B114=""),"",VLOOKUP(B114,ÍNDICES!A:DE,AF$35+1)))</f>
        <v/>
      </c>
      <c r="E114" s="153"/>
      <c r="F114" s="29" t="str">
        <f>IF(E114="","",IF($L$35="SELIC - TRIBUTOS",VLOOKUP(DATE(YEAR($D$19),MONTH($D$19)-1,1),ÍNDICES!$A:$DE,HLOOKUP($BL$25,ÍNDICES!$B$3:$T$4,2)+11)-VLOOKUP(E114,ÍNDICES!$A:$DE,HLOOKUP($BL$25,ÍNDICES!$B$3:$T$4,2)+11)+1%,IF(F$38=$W$26,$J$35,IF(ISERROR(IF(E114&gt;$D$19,1,VLOOKUP(DATE(YEAR(E114),MONTH(E114)+IF($C$35=$S$23,1,0),1),ÍNDICES!$A:$DE,$Z$35+1))),"",IF(E114&gt;$D$19,1,VLOOKUP(DATE(YEAR(E114),MONTH(E114)+IF($C$35=$S$23,1,0),1),ÍNDICES!$A:$DE,$Z$35+1))))))</f>
        <v/>
      </c>
      <c r="G114" s="155"/>
      <c r="H114" s="156" t="str">
        <f t="shared" si="22"/>
        <v/>
      </c>
      <c r="I114" s="29" t="str">
        <f t="shared" si="16"/>
        <v/>
      </c>
      <c r="J114" s="5">
        <f t="shared" si="17"/>
        <v>0</v>
      </c>
      <c r="K114" s="20">
        <f t="shared" ca="1" si="18"/>
        <v>0</v>
      </c>
      <c r="L114" s="5">
        <f t="shared" ca="1" si="19"/>
        <v>0</v>
      </c>
      <c r="M114" s="64">
        <f t="shared" si="23"/>
        <v>0</v>
      </c>
      <c r="N114" s="61">
        <f t="shared" ca="1" si="24"/>
        <v>0</v>
      </c>
      <c r="O114" s="5">
        <f t="shared" ca="1" si="25"/>
        <v>0</v>
      </c>
      <c r="P114" s="446" t="e">
        <f t="shared" si="20"/>
        <v>#VALUE!</v>
      </c>
      <c r="Q114" s="446" t="e">
        <f>IF(OR($B114="",MIN(Q$38,$D$19)&lt;MAX($P$34*($B114+IF($R$17="Distrato",$I$38-1,0)),IF(AND($L$37=0,$P$34=0),"",$L$37-1),IF($R$17="Distrato",$E114,0))),0,YEARFRAC(MAX($P$34*($B114+IF($R$17="Distrato",$I$38-1,0)),IF(AND($L$37=0,$P$34=0),"",$L$37-1),IF($R$17="Distrato",$E114,0)),MIN(Q$38,$D$19),$P$20))-SUM($P114:P114)</f>
        <v>#VALUE!</v>
      </c>
      <c r="R114" s="446" t="e">
        <f>IF(OR($B114="",MIN(R$38,$D$19)&lt;MAX($P$34*($B114+IF($R$17="Distrato",$I$38-1,0)),IF(AND($L$37=0,$P$34=0),"",$L$37-1),IF($R$17="Distrato",$E114,0))),0,YEARFRAC(MAX($P$34*($B114+IF($R$17="Distrato",$I$38-1,0)),IF(AND($L$37=0,$P$34=0),"",$L$37-1),IF($R$17="Distrato",$E114,0)),MIN(R$38,$D$19),$P$20))-SUM($P114:Q114)</f>
        <v>#VALUE!</v>
      </c>
      <c r="S114" s="446" t="e">
        <f>IF(OR($B114="",MIN(S$38,$D$19)&lt;MAX($P$34*($B114+IF($R$17="Distrato",$I$38-1,0)),IF(AND($L$37=0,$P$34=0),"",$L$37-1),IF($R$17="Distrato",$E114,0))),0,YEARFRAC(MAX($P$34*($B114+IF($R$17="Distrato",$I$38-1,0)),IF(AND($L$37=0,$P$34=0),"",$L$37-1),IF($R$17="Distrato",$E114,0)),MIN(S$38,$D$19),$P$20))-SUM($P114:R114)</f>
        <v>#VALUE!</v>
      </c>
      <c r="T114" s="446" t="e">
        <f>IF(OR($B114="",MIN(T$38,$D$19)&lt;MAX($P$34*($B114+IF($R$17="Distrato",$I$38-1,0)),IF(AND($L$37=0,$P$34=0),"",$L$37-1),IF($R$17="Distrato",$E114,0))),0,YEARFRAC(MAX($P$34*($B114+IF($R$17="Distrato",$I$38-1,0)),IF(AND($L$37=0,$P$34=0),"",$L$37-1),IF($R$17="Distrato",$E114,0)),MIN(T$38,$D$19),$P$20))-SUM($P114:S114)</f>
        <v>#VALUE!</v>
      </c>
      <c r="U114" s="446" t="e">
        <f>IF(OR($B114="",MIN(U$38,$D$19)&lt;MAX($P$34*($B114+IF($R$17="Distrato",$I$38-1,0)),IF(AND($L$37=0,$P$34=0),"",$L$37-1),IF($R$17="Distrato",$E114,0))),0,YEARFRAC(MAX($P$34*($B114+IF($R$17="Distrato",$I$38-1,0)),IF(AND($L$37=0,$P$34=0),"",$L$37-1),IF($R$17="Distrato",$E114,0)),MIN(U$38,$D$19),$P$20))-SUM($P114:T114)</f>
        <v>#VALUE!</v>
      </c>
      <c r="V114" s="446" t="e">
        <f>IF(OR($B114="",MIN(V$38,$D$19)&lt;MAX($P$34*($B114+IF($R$17="Distrato",$I$38-1,0)),IF(AND($L$37=0,$P$34=0),"",$L$37-1),IF($R$17="Distrato",$E114,0))),0,YEARFRAC(MAX($P$34*($B114+IF($R$17="Distrato",$I$38-1,0)),IF(AND($L$37=0,$P$34=0),"",$L$37-1),IF($R$17="Distrato",$E114,0)),MIN(V$38,$D$19),$P$20))-SUM($P114:U114)</f>
        <v>#VALUE!</v>
      </c>
      <c r="W114" s="446" t="e">
        <f>IF(OR($B114="",MIN(W$38,$D$19)&lt;MAX($P$34*($B114+IF($R$17="Distrato",$I$38-1,0)),IF(AND($L$37=0,$P$34=0),"",$L$37-1),IF($R$17="Distrato",$E114,0))),0,YEARFRAC(MAX($P$34*($B114+IF($R$17="Distrato",$I$38-1,0)),IF(AND($L$37=0,$P$34=0),"",$L$37-1),IF($R$17="Distrato",$E114,0)),MIN(W$38,$D$19),$P$20))-SUM($P114:V114)</f>
        <v>#VALUE!</v>
      </c>
      <c r="X114" s="446" t="e">
        <f>IF(OR($B114="",MIN(X$38,$D$19)&lt;MAX($P$34*($B114+IF($R$17="Distrato",$I$38-1,0)),IF(AND($L$37=0,$P$34=0),"",$L$37-1),IF($R$17="Distrato",$E114,0))),0,YEARFRAC(MAX($P$34*($B114+IF($R$17="Distrato",$I$38-1,0)),IF(AND($L$37=0,$P$34=0),"",$L$37-1),IF($R$17="Distrato",$E114,0)),MIN(X$38,$D$19),$P$20))-SUM($P114:W114)</f>
        <v>#VALUE!</v>
      </c>
      <c r="Y114" s="446" t="e">
        <f>IF(OR($B114="",MIN(Y$38,$D$19)&lt;MAX($P$34*($B114+IF($R$17="Distrato",$I$38-1,0)),IF(AND($L$37=0,$P$34=0),"",$L$37-1),IF($R$17="Distrato",$E114,0))),0,YEARFRAC(MAX($P$34*($B114+IF($R$17="Distrato",$I$38-1,0)),IF(AND($L$37=0,$P$34=0),"",$L$37-1),IF($R$17="Distrato",$E114,0)),MIN(Y$38,$D$19),$P$20))-SUM($P114:X114)</f>
        <v>#VALUE!</v>
      </c>
      <c r="Z114" s="446" t="e">
        <f>IF(OR($B114="",MIN(Z$38,$D$19)&lt;MAX($P$34*($B114+IF($R$17="Distrato",$I$38-1,0)),IF(AND($L$37=0,$P$34=0),"",$L$37-1),IF($R$17="Distrato",$E114,0))),0,YEARFRAC(MAX($P$34*($B114+IF($R$17="Distrato",$I$38-1,0)),IF(AND($L$37=0,$P$34=0),"",$L$37-1),IF($R$17="Distrato",$E114,0)),MIN(Z$38,$D$19),$P$20))-SUM($P114:Y114)</f>
        <v>#VALUE!</v>
      </c>
      <c r="AA114" s="446" t="e">
        <f>IF(OR($B114="",MIN(AA$38,$D$19)&lt;MAX($P$34*($B114+IF($R$17="Distrato",$I$38-1,0)),IF(AND($L$37=0,$P$34=0),"",$L$37-1),IF($R$17="Distrato",$E114,0))),0,YEARFRAC(MAX($P$34*($B114+IF($R$17="Distrato",$I$38-1,0)),IF(AND($L$37=0,$P$34=0),"",$L$37-1),IF($R$17="Distrato",$E114,0)),MIN(AA$38,$D$19),$P$20))-SUM($P114:Z114)</f>
        <v>#VALUE!</v>
      </c>
      <c r="AB114" s="446" t="e">
        <f>IF(OR($B114="",MIN(AB$38,$D$19)&lt;MAX($P$34*($B114+IF($R$17="Distrato",$I$38-1,0)),IF(AND($L$37=0,$P$34=0),"",$L$37-1),IF($R$17="Distrato",$E114,0))),0,YEARFRAC(MAX($P$34*($B114+IF($R$17="Distrato",$I$38-1,0)),IF(AND($L$37=0,$P$34=0),"",$L$37-1),IF($R$17="Distrato",$E114,0)),MIN(AB$38,$D$19),$P$20))-SUM($P114:AA114)</f>
        <v>#VALUE!</v>
      </c>
      <c r="AC114" s="446" t="e">
        <f>IF(OR($B114="",MIN(AC$38,$D$19)&lt;MAX($P$34*($B114+IF($R$17="Distrato",$I$38-1,0)),IF(AND($L$37=0,$P$34=0),"",$L$37-1),IF($R$17="Distrato",$E114,0))),0,YEARFRAC(MAX($P$34*($B114+IF($R$17="Distrato",$I$38-1,0)),IF(AND($L$37=0,$P$34=0),"",$L$37-1),IF($R$17="Distrato",$E114,0)),MIN(AC$38,$D$19),$P$20))-SUM($P114:AB114)</f>
        <v>#VALUE!</v>
      </c>
      <c r="AD114" s="446" t="e">
        <f>IF(OR($B114="",MIN(AD$38,$D$19)&lt;MAX($P$34*($B114+IF($R$17="Distrato",$I$38-1,0)),IF(AND($L$37=0,$P$34=0),"",$L$37-1),IF($R$17="Distrato",$E114,0))),0,YEARFRAC(MAX($P$34*($B114+IF($R$17="Distrato",$I$38-1,0)),IF(AND($L$37=0,$P$34=0),"",$L$37-1),IF($R$17="Distrato",$E114,0)),MIN(AD$38,$D$19),$P$20))-SUM($P114:AC114)</f>
        <v>#VALUE!</v>
      </c>
      <c r="AE114" s="446" t="e">
        <f>IF(OR($B114="",MIN(AE$38,$D$19)&lt;MAX($P$34*($B114+IF($R$17="Distrato",$I$38-1,0)),IF(AND($L$37=0,$P$34=0),"",$L$37-1),IF($R$17="Distrato",$E114,0))),0,YEARFRAC(MAX($P$34*($B114+IF($R$17="Distrato",$I$38-1,0)),IF(AND($L$37=0,$P$34=0),"",$L$37-1),IF($R$17="Distrato",$E114,0)),MIN(AE$38,$D$19),$P$20))-SUM($P114:AD114)</f>
        <v>#VALUE!</v>
      </c>
      <c r="AF114" s="446" t="e">
        <f>IF(OR($B114="",MIN(AF$38,$D$19)&lt;MAX($P$34*($B114+IF($R$17="Distrato",$I$38-1,0)),IF(AND($L$37=0,$P$34=0),"",$L$37-1),IF($R$17="Distrato",$E114,0))),0,YEARFRAC(MAX($P$34*($B114+IF($R$17="Distrato",$I$38-1,0)),IF(AND($L$37=0,$P$34=0),"",$L$37-1),IF($R$17="Distrato",$E114,0)),MIN(AF$38,$D$19),$P$20))-SUM($P114:AE114)</f>
        <v>#VALUE!</v>
      </c>
      <c r="AG114" s="446" t="e">
        <f>IF(OR($B114="",MIN(AG$38,$D$19)&lt;MAX($P$34*($B114+IF($R$17="Distrato",$I$38-1,0)),IF(AND($L$37=0,$P$34=0),"",$L$37-1),IF($R$17="Distrato",$E114,0))),0,YEARFRAC(MAX($P$34*($B114+IF($R$17="Distrato",$I$38-1,0)),IF(AND($L$37=0,$P$34=0),"",$L$37-1),IF($R$17="Distrato",$E114,0)),MIN(AG$38,$D$19),$P$20))-SUM($P114:AF114)</f>
        <v>#VALUE!</v>
      </c>
      <c r="AH114" s="446" t="e">
        <f>IF(OR($B114="",MIN(AH$38,$D$19)&lt;MAX($P$34*($B114+IF($R$17="Distrato",$I$38-1,0)),IF(AND($L$37=0,$P$34=0),"",$L$37-1),IF($R$17="Distrato",$E114,0))),0,YEARFRAC(MAX($P$34*($B114+IF($R$17="Distrato",$I$38-1,0)),IF(AND($L$37=0,$P$34=0),"",$L$37-1),IF($R$17="Distrato",$E114,0)),MIN(AH$38,$D$19),$P$20))-SUM($P114:AG114)</f>
        <v>#VALUE!</v>
      </c>
      <c r="AI114" s="446" t="e">
        <f>IF(OR($B114="",MIN(AI$38,$D$19)&lt;MAX($P$34*($B114+IF($R$17="Distrato",$I$38-1,0)),IF(AND($L$37=0,$P$34=0),"",$L$37-1),IF($R$17="Distrato",$E114,0))),0,YEARFRAC(MAX($P$34*($B114+IF($R$17="Distrato",$I$38-1,0)),IF(AND($L$37=0,$P$34=0),"",$L$37-1),IF($R$17="Distrato",$E114,0)),MIN(AI$38,$D$19),$P$20))-SUM($P114:AH114)</f>
        <v>#VALUE!</v>
      </c>
      <c r="AJ114" s="446" t="e">
        <f>IF(OR($B114="",MIN(AJ$38,$D$19)&lt;MAX($P$34*($B114+IF($R$17="Distrato",$I$38-1,0)),IF(AND($L$37=0,$P$34=0),"",$L$37-1),IF($R$17="Distrato",$E114,0))),0,YEARFRAC(MAX($P$34*($B114+IF($R$17="Distrato",$I$38-1,0)),IF(AND($L$37=0,$P$34=0),"",$L$37-1),IF($R$17="Distrato",$E114,0)),MIN(AJ$38,$D$19),$P$20))-SUM($P114:AI114)</f>
        <v>#VALUE!</v>
      </c>
      <c r="AK114" s="446" t="e">
        <f>IF(OR($B114="",MIN(AK$38,$D$19)&lt;MAX($P$34*($B114+IF($R$17="Distrato",$I$38-1,0)),IF(AND($L$37=0,$P$34=0),"",$L$37-1),IF($R$17="Distrato",$E114,0))),0,YEARFRAC(MAX($P$34*($B114+IF($R$17="Distrato",$I$38-1,0)),IF(AND($L$37=0,$P$34=0),"",$L$37-1),IF($R$17="Distrato",$E114,0)),MIN(AK$38,$D$19),$P$20))-SUM($P114:AJ114)</f>
        <v>#VALUE!</v>
      </c>
      <c r="AL114" s="446" t="e">
        <f>IF(OR($B114="",MIN(AL$38,$D$19)&lt;MAX($P$34*($B114+IF($R$17="Distrato",$I$38-1,0)),IF(AND($L$37=0,$P$34=0),"",$L$37-1),IF($R$17="Distrato",$E114,0))),0,YEARFRAC(MAX($P$34*($B114+IF($R$17="Distrato",$I$38-1,0)),IF(AND($L$37=0,$P$34=0),"",$L$37-1),IF($R$17="Distrato",$E114,0)),MIN(AL$38,$D$19),$P$20))-SUM($P114:AK114)</f>
        <v>#VALUE!</v>
      </c>
      <c r="AM114" s="446" t="e">
        <f>IF(OR($B114="",MIN(AM$38,$D$19)&lt;MAX($P$34*($B114+IF($R$17="Distrato",$I$38-1,0)),IF(AND($L$37=0,$P$34=0),"",$L$37-1),IF($R$17="Distrato",$E114,0))),0,YEARFRAC(MAX($P$34*($B114+IF($R$17="Distrato",$I$38-1,0)),IF(AND($L$37=0,$P$34=0),"",$L$37-1),IF($R$17="Distrato",$E114,0)),MIN(AM$38,$D$19),$P$20))-SUM($P114:AL114)</f>
        <v>#VALUE!</v>
      </c>
      <c r="AN114" s="446" t="e">
        <f>IF(OR($B114="",MIN(AN$38,$D$19)&lt;MAX($P$34*($B114+IF($R$17="Distrato",$I$38-1,0)),IF(AND($L$37=0,$P$34=0),"",$L$37-1),IF($R$17="Distrato",$E114,0))),0,YEARFRAC(MAX($P$34*($B114+IF($R$17="Distrato",$I$38-1,0)),IF(AND($L$37=0,$P$34=0),"",$L$37-1),IF($R$17="Distrato",$E114,0)),MIN(AN$38,$D$19),$P$20))-SUM($P114:AM114)</f>
        <v>#VALUE!</v>
      </c>
      <c r="AO114" s="446" t="e">
        <f>IF(OR($B114="",MIN(AO$38,$D$19)&lt;MAX($P$34*($B114+IF($R$17="Distrato",$I$38-1,0)),IF(AND($L$37=0,$P$34=0),"",$L$37-1),IF($R$17="Distrato",$E114,0))),0,YEARFRAC(MAX($P$34*($B114+IF($R$17="Distrato",$I$38-1,0)),IF(AND($L$37=0,$P$34=0),"",$L$37-1),IF($R$17="Distrato",$E114,0)),MIN(AO$38,$D$19),$P$20))-SUM($P114:AN114)</f>
        <v>#VALUE!</v>
      </c>
      <c r="AP114" s="446" t="e">
        <f>IF(OR($B114="",MIN(AP$38,$D$19)&lt;MAX($P$34*($B114+IF($R$17="Distrato",$I$38-1,0)),IF(AND($L$37=0,$P$34=0),"",$L$37-1),IF($R$17="Distrato",$E114,0))),0,YEARFRAC(MAX($P$34*($B114+IF($R$17="Distrato",$I$38-1,0)),IF(AND($L$37=0,$P$34=0),"",$L$37-1),IF($R$17="Distrato",$E114,0)),MIN(AP$38,$D$19),$P$20))-SUM($P114:AO114)</f>
        <v>#VALUE!</v>
      </c>
      <c r="AQ114" s="446" t="e">
        <f>IF(OR($B114="",MIN(AQ$38,$D$19)&lt;MAX($P$34*($B114+IF($R$17="Distrato",$I$38-1,0)),IF(AND($L$37=0,$P$34=0),"",$L$37-1),IF($R$17="Distrato",$E114,0))),0,YEARFRAC(MAX($P$34*($B114+IF($R$17="Distrato",$I$38-1,0)),IF(AND($L$37=0,$P$34=0),"",$L$37-1),IF($R$17="Distrato",$E114,0)),MIN(AQ$38,$D$19),$P$20))-SUM($P114:AP114)</f>
        <v>#VALUE!</v>
      </c>
      <c r="AR114" s="446" t="e">
        <f>IF(OR($B114="",MIN(AR$38,$D$19)&lt;MAX($P$34*($B114+IF($R$17="Distrato",$I$38-1,0)),IF(AND($L$37=0,$P$34=0),"",$L$37-1),IF($R$17="Distrato",$E114,0))),0,YEARFRAC(MAX($P$34*($B114+IF($R$17="Distrato",$I$38-1,0)),IF(AND($L$37=0,$P$34=0),"",$L$37-1),IF($R$17="Distrato",$E114,0)),MIN(AR$38,$D$19),$P$20))-SUM($P114:AQ114)</f>
        <v>#VALUE!</v>
      </c>
      <c r="AS114" s="446" t="e">
        <f>IF(OR($B114="",MIN(AS$38,$D$19)&lt;MAX($P$34*($B114+IF($R$17="Distrato",$I$38-1,0)),IF(AND($L$37=0,$P$34=0),"",$L$37-1),IF($R$17="Distrato",$E114,0))),0,YEARFRAC(MAX($P$34*($B114+IF($R$17="Distrato",$I$38-1,0)),IF(AND($L$37=0,$P$34=0),"",$L$37-1),IF($R$17="Distrato",$E114,0)),MIN(AS$38,$D$19),$P$20))-SUM($P114:AR114)</f>
        <v>#VALUE!</v>
      </c>
      <c r="AT114" s="446" t="e">
        <f>IF(OR($B114="",MIN(AT$38,$D$19)&lt;MAX($P$34*($B114+IF($R$17="Distrato",$I$38-1,0)),IF(AND($L$37=0,$P$34=0),"",$L$37-1),IF($R$17="Distrato",$E114,0))),0,YEARFRAC(MAX($P$34*($B114+IF($R$17="Distrato",$I$38-1,0)),IF(AND($L$37=0,$P$34=0),"",$L$37-1),IF($R$17="Distrato",$E114,0)),MIN(AT$38,$D$19),$P$20))-SUM($P114:AS114)</f>
        <v>#VALUE!</v>
      </c>
      <c r="AU114" s="446" t="e">
        <f>IF(OR($B114="",MIN(AU$38,$D$19)&lt;MAX($P$34*($B114+IF($R$17="Distrato",$I$38-1,0)),IF(AND($L$37=0,$P$34=0),"",$L$37-1),IF($R$17="Distrato",$E114,0))),0,YEARFRAC(MAX($P$34*($B114+IF($R$17="Distrato",$I$38-1,0)),IF(AND($L$37=0,$P$34=0),"",$L$37-1),IF($R$17="Distrato",$E114,0)),MIN(AU$38,$D$19),$P$20))-SUM($P114:AT114)</f>
        <v>#VALUE!</v>
      </c>
      <c r="AV114" s="446" t="e">
        <f>IF(OR($B114="",MIN(AV$38,$D$19)&lt;MAX($P$34*($B114+IF($R$17="Distrato",$I$38-1,0)),IF(AND($L$37=0,$P$34=0),"",$L$37-1),IF($R$17="Distrato",$E114,0))),0,YEARFRAC(MAX($P$34*($B114+IF($R$17="Distrato",$I$38-1,0)),IF(AND($L$37=0,$P$34=0),"",$L$37-1),IF($R$17="Distrato",$E114,0)),MIN(AV$38,$D$19),$P$20))-SUM($P114:AU114)</f>
        <v>#VALUE!</v>
      </c>
      <c r="AW114" s="446" t="e">
        <f>IF(OR($B114="",MIN(AW$38,$D$19)&lt;MAX($P$34*($B114+IF($R$17="Distrato",$I$38-1,0)),IF(AND($L$37=0,$P$34=0),"",$L$37-1),IF($R$17="Distrato",$E114,0))),0,YEARFRAC(MAX($P$34*($B114+IF($R$17="Distrato",$I$38-1,0)),IF(AND($L$37=0,$P$34=0),"",$L$37-1),IF($R$17="Distrato",$E114,0)),MIN(AW$38,$D$19),$P$20))-SUM($P114:AV114)</f>
        <v>#VALUE!</v>
      </c>
      <c r="AX114" s="446" t="e">
        <f>IF(OR($B114="",MIN(AX$38,$D$19)&lt;MAX($P$34*($B114+IF($R$17="Distrato",$I$38-1,0)),IF(AND($L$37=0,$P$34=0),"",$L$37-1),IF($R$17="Distrato",$E114,0))),0,YEARFRAC(MAX($P$34*($B114+IF($R$17="Distrato",$I$38-1,0)),IF(AND($L$37=0,$P$34=0),"",$L$37-1),IF($R$17="Distrato",$E114,0)),MIN(AX$38,$D$19),$P$20))-SUM($P114:AW114)</f>
        <v>#VALUE!</v>
      </c>
      <c r="AY114" s="446" t="e">
        <f>IF(OR($B114="",MIN(AY$38,$D$19)&lt;MAX($P$34*($B114+IF($R$17="Distrato",$I$38-1,0)),IF(AND($L$37=0,$P$34=0),"",$L$37-1),IF($R$17="Distrato",$E114,0))),0,YEARFRAC(MAX($P$34*($B114+IF($R$17="Distrato",$I$38-1,0)),IF(AND($L$37=0,$P$34=0),"",$L$37-1),IF($R$17="Distrato",$E114,0)),MIN(AY$38,$D$19),$P$20))-SUM($P114:AX114)</f>
        <v>#VALUE!</v>
      </c>
      <c r="AZ114" s="446" t="e">
        <f>IF(OR($B114="",MIN(AZ$38,$D$19)&lt;MAX($P$34*($B114+IF($R$17="Distrato",$I$38-1,0)),IF(AND($L$37=0,$P$34=0),"",$L$37-1),IF($R$17="Distrato",$E114,0))),0,YEARFRAC(MAX($P$34*($B114+IF($R$17="Distrato",$I$38-1,0)),IF(AND($L$37=0,$P$34=0),"",$L$37-1),IF($R$17="Distrato",$E114,0)),MIN(AZ$38,$D$19),$P$20))-SUM($P114:AY114)</f>
        <v>#VALUE!</v>
      </c>
      <c r="BA114" s="446" t="e">
        <f>IF(OR($B114="",MIN(BA$38,$D$19)&lt;MAX($P$34*($B114+IF($R$17="Distrato",$I$38-1,0)),IF(AND($L$37=0,$P$34=0),"",$L$37-1),IF($R$17="Distrato",$E114,0))),0,YEARFRAC(MAX($P$34*($B114+IF($R$17="Distrato",$I$38-1,0)),IF(AND($L$37=0,$P$34=0),"",$L$37-1),IF($R$17="Distrato",$E114,0)),MIN(BA$38,$D$19),$P$20))-SUM($P114:AZ114)</f>
        <v>#VALUE!</v>
      </c>
      <c r="BB114" s="447"/>
      <c r="BF114" s="446">
        <f t="shared" si="21"/>
        <v>0</v>
      </c>
      <c r="BG114" s="446">
        <f>IF($E114=0,0,IF(MIN(BG$38,$E114)&lt;MAX($P$34*($B114+$I$38-1),IF(AND($L$37=0,$P$34=0),"",$L$37-1)),0,YEARFRAC(MAX($P$34*($B114+$I$38-1),IF(AND($L$37=0,$P$34=0),"",$L$37-1)),MIN(BG$38,$E114),$P$20))-SUM($BF114:BF114))</f>
        <v>0</v>
      </c>
      <c r="BH114" s="446">
        <f>IF($E114=0,0,IF(MIN(BH$38,$E114)&lt;MAX($P$34*($B114+$I$38-1),IF(AND($L$37=0,$P$34=0),"",$L$37-1)),0,YEARFRAC(MAX($P$34*($B114+$I$38-1),IF(AND($L$37=0,$P$34=0),"",$L$37-1)),MIN(BH$38,$E114),$P$20))-SUM($BF114:BG114))</f>
        <v>0</v>
      </c>
      <c r="BI114" s="446">
        <f>IF($E114=0,0,IF(MIN(BI$38,$E114)&lt;MAX($P$34*($B114+$I$38-1),IF(AND($L$37=0,$P$34=0),"",$L$37-1)),0,YEARFRAC(MAX($P$34*($B114+$I$38-1),IF(AND($L$37=0,$P$34=0),"",$L$37-1)),MIN(BI$38,$E114),$P$20))-SUM($BF114:BH114))</f>
        <v>0</v>
      </c>
      <c r="BJ114" s="446">
        <f>IF($E114=0,0,IF(MIN(BJ$38,$E114)&lt;MAX($P$34*($B114+$I$38-1),IF(AND($L$37=0,$P$34=0),"",$L$37-1)),0,YEARFRAC(MAX($P$34*($B114+$I$38-1),IF(AND($L$37=0,$P$34=0),"",$L$37-1)),MIN(BJ$38,$E114),$P$20))-SUM($BF114:BI114))</f>
        <v>0</v>
      </c>
      <c r="BK114" s="446">
        <f>IF($E114=0,0,IF(MIN(BK$38,$E114)&lt;MAX($P$34*($B114+$I$38-1),IF(AND($L$37=0,$P$34=0),"",$L$37-1)),0,YEARFRAC(MAX($P$34*($B114+$I$38-1),IF(AND($L$37=0,$P$34=0),"",$L$37-1)),MIN(BK$38,$E114),$P$20))-SUM($BF114:BJ114))</f>
        <v>0</v>
      </c>
      <c r="BL114" s="446">
        <f>IF($E114=0,0,IF(MIN(BL$38,$E114)&lt;MAX($P$34*($B114+$I$38-1),IF(AND($L$37=0,$P$34=0),"",$L$37-1)),0,YEARFRAC(MAX($P$34*($B114+$I$38-1),IF(AND($L$37=0,$P$34=0),"",$L$37-1)),MIN(BL$38,$E114),$P$20))-SUM($BF114:BK114))</f>
        <v>0</v>
      </c>
      <c r="BM114" s="446">
        <f>IF($E114=0,0,IF(MIN(BM$38,$E114)&lt;MAX($P$34*($B114+$I$38-1),IF(AND($L$37=0,$P$34=0),"",$L$37-1)),0,YEARFRAC(MAX($P$34*($B114+$I$38-1),IF(AND($L$37=0,$P$34=0),"",$L$37-1)),MIN(BM$38,$E114),$P$20))-SUM($BF114:BL114))</f>
        <v>0</v>
      </c>
      <c r="BN114" s="446">
        <f>IF($E114=0,0,IF(MIN(BN$38,$E114)&lt;MAX($P$34*($B114+$I$38-1),IF(AND($L$37=0,$P$34=0),"",$L$37-1)),0,YEARFRAC(MAX($P$34*($B114+$I$38-1),IF(AND($L$37=0,$P$34=0),"",$L$37-1)),MIN(BN$38,$E114),$P$20))-SUM($BF114:BM114))</f>
        <v>0</v>
      </c>
      <c r="BO114" s="446">
        <f>IF($E114=0,0,IF(MIN(BO$38,$E114)&lt;MAX($P$34*($B114+$I$38-1),IF(AND($L$37=0,$P$34=0),"",$L$37-1)),0,YEARFRAC(MAX($P$34*($B114+$I$38-1),IF(AND($L$37=0,$P$34=0),"",$L$37-1)),MIN(BO$38,$E114),$P$20))-SUM($BF114:BN114))</f>
        <v>0</v>
      </c>
      <c r="BP114" s="446">
        <f>IF($E114=0,0,IF(MIN(BP$38,$E114)&lt;MAX($P$34*($B114+$I$38-1),IF(AND($L$37=0,$P$34=0),"",$L$37-1)),0,YEARFRAC(MAX($P$34*($B114+$I$38-1),IF(AND($L$37=0,$P$34=0),"",$L$37-1)),MIN(BP$38,$E114),$P$20))-SUM($BF114:BO114))</f>
        <v>0</v>
      </c>
      <c r="BQ114" s="446">
        <f>IF($E114=0,0,IF(MIN(BQ$38,$E114)&lt;MAX($P$34*($B114+$I$38-1),IF(AND($L$37=0,$P$34=0),"",$L$37-1)),0,YEARFRAC(MAX($P$34*($B114+$I$38-1),IF(AND($L$37=0,$P$34=0),"",$L$37-1)),MIN(BQ$38,$E114),$P$20))-SUM($BF114:BP114))</f>
        <v>0</v>
      </c>
      <c r="BR114" s="446">
        <f>IF($E114=0,0,IF(MIN(BR$38,$E114)&lt;MAX($P$34*($B114+$I$38-1),IF(AND($L$37=0,$P$34=0),"",$L$37-1)),0,YEARFRAC(MAX($P$34*($B114+$I$38-1),IF(AND($L$37=0,$P$34=0),"",$L$37-1)),MIN(BR$38,$E114),$P$20))-SUM($BF114:BQ114))</f>
        <v>0</v>
      </c>
      <c r="BS114" s="446">
        <f>IF($E114=0,0,IF(MIN(BS$38,$E114)&lt;MAX($P$34*($B114+$I$38-1),IF(AND($L$37=0,$P$34=0),"",$L$37-1)),0,YEARFRAC(MAX($P$34*($B114+$I$38-1),IF(AND($L$37=0,$P$34=0),"",$L$37-1)),MIN(BS$38,$E114),$P$20))-SUM($BF114:BR114))</f>
        <v>0</v>
      </c>
      <c r="BT114" s="446">
        <f>IF($E114=0,0,IF(MIN(BT$38,$E114)&lt;MAX($P$34*($B114+$I$38-1),IF(AND($L$37=0,$P$34=0),"",$L$37-1)),0,YEARFRAC(MAX($P$34*($B114+$I$38-1),IF(AND($L$37=0,$P$34=0),"",$L$37-1)),MIN(BT$38,$E114),$P$20))-SUM($BF114:BS114))</f>
        <v>0</v>
      </c>
      <c r="BU114" s="446">
        <f>IF($E114=0,0,IF(MIN(BU$38,$E114)&lt;MAX($P$34*($B114+$I$38-1),IF(AND($L$37=0,$P$34=0),"",$L$37-1)),0,YEARFRAC(MAX($P$34*($B114+$I$38-1),IF(AND($L$37=0,$P$34=0),"",$L$37-1)),MIN(BU$38,$E114),$P$20))-SUM($BF114:BT114))</f>
        <v>0</v>
      </c>
      <c r="BV114" s="446">
        <f>IF($E114=0,0,IF(MIN(BV$38,$E114)&lt;MAX($P$34*($B114+$I$38-1),IF(AND($L$37=0,$P$34=0),"",$L$37-1)),0,YEARFRAC(MAX($P$34*($B114+$I$38-1),IF(AND($L$37=0,$P$34=0),"",$L$37-1)),MIN(BV$38,$E114),$P$20))-SUM($BF114:BU114))</f>
        <v>0</v>
      </c>
      <c r="BW114" s="446">
        <f>IF($E114=0,0,IF(MIN(BW$38,$E114)&lt;MAX($P$34*($B114+$I$38-1),IF(AND($L$37=0,$P$34=0),"",$L$37-1)),0,YEARFRAC(MAX($P$34*($B114+$I$38-1),IF(AND($L$37=0,$P$34=0),"",$L$37-1)),MIN(BW$38,$E114),$P$20))-SUM($BF114:BV114))</f>
        <v>0</v>
      </c>
      <c r="BX114" s="446">
        <f>IF($E114=0,0,IF(MIN(BX$38,$E114)&lt;MAX($P$34*($B114+$I$38-1),IF(AND($L$37=0,$P$34=0),"",$L$37-1)),0,YEARFRAC(MAX($P$34*($B114+$I$38-1),IF(AND($L$37=0,$P$34=0),"",$L$37-1)),MIN(BX$38,$E114),$P$20))-SUM($BF114:BW114))</f>
        <v>0</v>
      </c>
      <c r="BY114" s="446">
        <f>IF($E114=0,0,IF(MIN(BY$38,$E114)&lt;MAX($P$34*($B114+$I$38-1),IF(AND($L$37=0,$P$34=0),"",$L$37-1)),0,YEARFRAC(MAX($P$34*($B114+$I$38-1),IF(AND($L$37=0,$P$34=0),"",$L$37-1)),MIN(BY$38,$E114),$P$20))-SUM($BF114:BX114))</f>
        <v>0</v>
      </c>
      <c r="BZ114" s="446">
        <f>IF($E114=0,0,IF(MIN(BZ$38,$E114)&lt;MAX($P$34*($B114+$I$38-1),IF(AND($L$37=0,$P$34=0),"",$L$37-1)),0,YEARFRAC(MAX($P$34*($B114+$I$38-1),IF(AND($L$37=0,$P$34=0),"",$L$37-1)),MIN(BZ$38,$E114),$P$20))-SUM($BF114:BY114))</f>
        <v>0</v>
      </c>
      <c r="CA114" s="446">
        <f>IF($E114=0,0,IF(MIN(CA$38,$E114)&lt;MAX($P$34*($B114+$I$38-1),IF(AND($L$37=0,$P$34=0),"",$L$37-1)),0,YEARFRAC(MAX($P$34*($B114+$I$38-1),IF(AND($L$37=0,$P$34=0),"",$L$37-1)),MIN(CA$38,$E114),$P$20))-SUM($BF114:BZ114))</f>
        <v>0</v>
      </c>
      <c r="CB114" s="446">
        <f>IF($E114=0,0,IF(MIN(CB$38,$E114)&lt;MAX($P$34*($B114+$I$38-1),IF(AND($L$37=0,$P$34=0),"",$L$37-1)),0,YEARFRAC(MAX($P$34*($B114+$I$38-1),IF(AND($L$37=0,$P$34=0),"",$L$37-1)),MIN(CB$38,$E114),$P$20))-SUM($BF114:CA114))</f>
        <v>0</v>
      </c>
      <c r="CC114" s="446">
        <f>IF($E114=0,0,IF(MIN(CC$38,$E114)&lt;MAX($P$34*($B114+$I$38-1),IF(AND($L$37=0,$P$34=0),"",$L$37-1)),0,YEARFRAC(MAX($P$34*($B114+$I$38-1),IF(AND($L$37=0,$P$34=0),"",$L$37-1)),MIN(CC$38,$E114),$P$20))-SUM($BF114:CB114))</f>
        <v>0</v>
      </c>
      <c r="CD114" s="446">
        <f>IF($E114=0,0,IF(MIN(CD$38,$E114)&lt;MAX($P$34*($B114+$I$38-1),IF(AND($L$37=0,$P$34=0),"",$L$37-1)),0,YEARFRAC(MAX($P$34*($B114+$I$38-1),IF(AND($L$37=0,$P$34=0),"",$L$37-1)),MIN(CD$38,$E114),$P$20))-SUM($BF114:CC114))</f>
        <v>0</v>
      </c>
      <c r="CE114" s="446">
        <f>IF($E114=0,0,IF(MIN(CE$38,$E114)&lt;MAX($P$34*($B114+$I$38-1),IF(AND($L$37=0,$P$34=0),"",$L$37-1)),0,YEARFRAC(MAX($P$34*($B114+$I$38-1),IF(AND($L$37=0,$P$34=0),"",$L$37-1)),MIN(CE$38,$E114),$P$20))-SUM($BF114:CD114))</f>
        <v>0</v>
      </c>
      <c r="CF114" s="446">
        <f>IF($E114=0,0,IF(MIN(CF$38,$E114)&lt;MAX($P$34*($B114+$I$38-1),IF(AND($L$37=0,$P$34=0),"",$L$37-1)),0,YEARFRAC(MAX($P$34*($B114+$I$38-1),IF(AND($L$37=0,$P$34=0),"",$L$37-1)),MIN(CF$38,$E114),$P$20))-SUM($BF114:CE114))</f>
        <v>0</v>
      </c>
      <c r="CG114" s="446">
        <f>IF($E114=0,0,IF(MIN(CG$38,$E114)&lt;MAX($P$34*($B114+$I$38-1),IF(AND($L$37=0,$P$34=0),"",$L$37-1)),0,YEARFRAC(MAX($P$34*($B114+$I$38-1),IF(AND($L$37=0,$P$34=0),"",$L$37-1)),MIN(CG$38,$E114),$P$20))-SUM($BF114:CF114))</f>
        <v>0</v>
      </c>
      <c r="CH114" s="446">
        <f>IF($E114=0,0,IF(MIN(CH$38,$E114)&lt;MAX($P$34*($B114+$I$38-1),IF(AND($L$37=0,$P$34=0),"",$L$37-1)),0,YEARFRAC(MAX($P$34*($B114+$I$38-1),IF(AND($L$37=0,$P$34=0),"",$L$37-1)),MIN(CH$38,$E114),$P$20))-SUM($BF114:CG114))</f>
        <v>0</v>
      </c>
      <c r="CI114" s="446">
        <f>IF($E114=0,0,IF(MIN(CI$38,$E114)&lt;MAX($P$34*($B114+$I$38-1),IF(AND($L$37=0,$P$34=0),"",$L$37-1)),0,YEARFRAC(MAX($P$34*($B114+$I$38-1),IF(AND($L$37=0,$P$34=0),"",$L$37-1)),MIN(CI$38,$E114),$P$20))-SUM($BF114:CH114))</f>
        <v>0</v>
      </c>
      <c r="CJ114" s="446">
        <f>IF($E114=0,0,IF(MIN(CJ$38,$E114)&lt;MAX($P$34*($B114+$I$38-1),IF(AND($L$37=0,$P$34=0),"",$L$37-1)),0,YEARFRAC(MAX($P$34*($B114+$I$38-1),IF(AND($L$37=0,$P$34=0),"",$L$37-1)),MIN(CJ$38,$E114),$P$20))-SUM($BF114:CI114))</f>
        <v>0</v>
      </c>
      <c r="CK114" s="446">
        <f>IF($E114=0,0,IF(MIN(CK$38,$E114)&lt;MAX($P$34*($B114+$I$38-1),IF(AND($L$37=0,$P$34=0),"",$L$37-1)),0,YEARFRAC(MAX($P$34*($B114+$I$38-1),IF(AND($L$37=0,$P$34=0),"",$L$37-1)),MIN(CK$38,$E114),$P$20))-SUM($BF114:CJ114))</f>
        <v>0</v>
      </c>
      <c r="CL114" s="446">
        <f>IF($E114=0,0,IF(MIN(CL$38,$E114)&lt;MAX($P$34*($B114+$I$38-1),IF(AND($L$37=0,$P$34=0),"",$L$37-1)),0,YEARFRAC(MAX($P$34*($B114+$I$38-1),IF(AND($L$37=0,$P$34=0),"",$L$37-1)),MIN(CL$38,$E114),$P$20))-SUM($BF114:CK114))</f>
        <v>0</v>
      </c>
      <c r="CM114" s="446">
        <f>IF($E114=0,0,IF(MIN(CM$38,$E114)&lt;MAX($P$34*($B114+$I$38-1),IF(AND($L$37=0,$P$34=0),"",$L$37-1)),0,YEARFRAC(MAX($P$34*($B114+$I$38-1),IF(AND($L$37=0,$P$34=0),"",$L$37-1)),MIN(CM$38,$E114),$P$20))-SUM($BF114:CL114))</f>
        <v>0</v>
      </c>
      <c r="CN114" s="446">
        <f>IF($E114=0,0,IF(MIN(CN$38,$E114)&lt;MAX($P$34*($B114+$I$38-1),IF(AND($L$37=0,$P$34=0),"",$L$37-1)),0,YEARFRAC(MAX($P$34*($B114+$I$38-1),IF(AND($L$37=0,$P$34=0),"",$L$37-1)),MIN(CN$38,$E114),$P$20))-SUM($BF114:CM114))</f>
        <v>0</v>
      </c>
      <c r="CO114" s="446">
        <f>IF($E114=0,0,IF(MIN(CO$38,$E114)&lt;MAX($P$34*($B114+$I$38-1),IF(AND($L$37=0,$P$34=0),"",$L$37-1)),0,YEARFRAC(MAX($P$34*($B114+$I$38-1),IF(AND($L$37=0,$P$34=0),"",$L$37-1)),MIN(CO$38,$E114),$P$20))-SUM($BF114:CN114))</f>
        <v>0</v>
      </c>
      <c r="CP114" s="446">
        <f>IF($E114=0,0,IF(MIN(CP$38,$E114)&lt;MAX($P$34*($B114+$I$38-1),IF(AND($L$37=0,$P$34=0),"",$L$37-1)),0,YEARFRAC(MAX($P$34*($B114+$I$38-1),IF(AND($L$37=0,$P$34=0),"",$L$37-1)),MIN(CP$38,$E114),$P$20))-SUM($BF114:CO114))</f>
        <v>0</v>
      </c>
      <c r="CQ114" s="446">
        <f>IF($E114=0,0,IF(MIN(CQ$38,$E114)&lt;MAX($P$34*($B114+$I$38-1),IF(AND($L$37=0,$P$34=0),"",$L$37-1)),0,YEARFRAC(MAX($P$34*($B114+$I$38-1),IF(AND($L$37=0,$P$34=0),"",$L$37-1)),MIN(CQ$38,$E114),$P$20))-SUM($BF114:CP114))</f>
        <v>0</v>
      </c>
    </row>
    <row r="115" spans="1:95" s="446" customFormat="1" ht="11.25" hidden="1" customHeight="1" x14ac:dyDescent="0.2">
      <c r="A115" s="152"/>
      <c r="B115" s="153" t="str">
        <f t="shared" si="26"/>
        <v/>
      </c>
      <c r="C115" s="29" t="str">
        <f>IF(B115="","",IF($L$35="SELIC - TRIBUTOS",VLOOKUP(DATE(YEAR($D$19),MONTH($D$19)-1,1),ÍNDICES!$A:$DE,HLOOKUP($BL$25,ÍNDICES!$B$3:$T$4,2)+11)-VLOOKUP(B115,ÍNDICES!$A:$DE,HLOOKUP($BL$25,ÍNDICES!$B$3:$T$4,2)+11)+1%,IF(C$38=$W$26,$J$35,IF(ISERROR(IF(B115&gt;$D$19,1,VLOOKUP(DATE(YEAR(B115),MONTH(B115)+IF($C$35=$S$23,1,0),1),ÍNDICES!$A:$DE,$Z$35+1))),"",IF(B115&gt;$D$19,1,VLOOKUP(DATE(YEAR(B115),MONTH(B115)+IF($C$35=$S$23,1,0),1),ÍNDICES!$A:$DE,$Z$35+1))))))</f>
        <v/>
      </c>
      <c r="D115" s="154" t="str">
        <f>IF(ISERROR(IF(OR($D$38=$Y$27,$B115=""),"",VLOOKUP(B115,ÍNDICES!A:DE,AF$35+1))),"",IF(OR($D$38=$Y$27,$B115=""),"",VLOOKUP(B115,ÍNDICES!A:DE,AF$35+1)))</f>
        <v/>
      </c>
      <c r="E115" s="153"/>
      <c r="F115" s="29" t="str">
        <f>IF(E115="","",IF($L$35="SELIC - TRIBUTOS",VLOOKUP(DATE(YEAR($D$19),MONTH($D$19)-1,1),ÍNDICES!$A:$DE,HLOOKUP($BL$25,ÍNDICES!$B$3:$T$4,2)+11)-VLOOKUP(E115,ÍNDICES!$A:$DE,HLOOKUP($BL$25,ÍNDICES!$B$3:$T$4,2)+11)+1%,IF(F$38=$W$26,$J$35,IF(ISERROR(IF(E115&gt;$D$19,1,VLOOKUP(DATE(YEAR(E115),MONTH(E115)+IF($C$35=$S$23,1,0),1),ÍNDICES!$A:$DE,$Z$35+1))),"",IF(E115&gt;$D$19,1,VLOOKUP(DATE(YEAR(E115),MONTH(E115)+IF($C$35=$S$23,1,0),1),ÍNDICES!$A:$DE,$Z$35+1))))))</f>
        <v/>
      </c>
      <c r="G115" s="155"/>
      <c r="H115" s="156" t="str">
        <f t="shared" si="22"/>
        <v/>
      </c>
      <c r="I115" s="29" t="str">
        <f t="shared" si="16"/>
        <v/>
      </c>
      <c r="J115" s="5">
        <f t="shared" si="17"/>
        <v>0</v>
      </c>
      <c r="K115" s="20">
        <f t="shared" ca="1" si="18"/>
        <v>0</v>
      </c>
      <c r="L115" s="5">
        <f t="shared" ca="1" si="19"/>
        <v>0</v>
      </c>
      <c r="M115" s="64">
        <f t="shared" si="23"/>
        <v>0</v>
      </c>
      <c r="N115" s="61">
        <f t="shared" ca="1" si="24"/>
        <v>0</v>
      </c>
      <c r="O115" s="5">
        <f t="shared" ca="1" si="25"/>
        <v>0</v>
      </c>
      <c r="P115" s="446" t="e">
        <f t="shared" si="20"/>
        <v>#VALUE!</v>
      </c>
      <c r="Q115" s="446" t="e">
        <f>IF(OR($B115="",MIN(Q$38,$D$19)&lt;MAX($P$34*($B115+IF($R$17="Distrato",$I$38-1,0)),IF(AND($L$37=0,$P$34=0),"",$L$37-1),IF($R$17="Distrato",$E115,0))),0,YEARFRAC(MAX($P$34*($B115+IF($R$17="Distrato",$I$38-1,0)),IF(AND($L$37=0,$P$34=0),"",$L$37-1),IF($R$17="Distrato",$E115,0)),MIN(Q$38,$D$19),$P$20))-SUM($P115:P115)</f>
        <v>#VALUE!</v>
      </c>
      <c r="R115" s="446" t="e">
        <f>IF(OR($B115="",MIN(R$38,$D$19)&lt;MAX($P$34*($B115+IF($R$17="Distrato",$I$38-1,0)),IF(AND($L$37=0,$P$34=0),"",$L$37-1),IF($R$17="Distrato",$E115,0))),0,YEARFRAC(MAX($P$34*($B115+IF($R$17="Distrato",$I$38-1,0)),IF(AND($L$37=0,$P$34=0),"",$L$37-1),IF($R$17="Distrato",$E115,0)),MIN(R$38,$D$19),$P$20))-SUM($P115:Q115)</f>
        <v>#VALUE!</v>
      </c>
      <c r="S115" s="446" t="e">
        <f>IF(OR($B115="",MIN(S$38,$D$19)&lt;MAX($P$34*($B115+IF($R$17="Distrato",$I$38-1,0)),IF(AND($L$37=0,$P$34=0),"",$L$37-1),IF($R$17="Distrato",$E115,0))),0,YEARFRAC(MAX($P$34*($B115+IF($R$17="Distrato",$I$38-1,0)),IF(AND($L$37=0,$P$34=0),"",$L$37-1),IF($R$17="Distrato",$E115,0)),MIN(S$38,$D$19),$P$20))-SUM($P115:R115)</f>
        <v>#VALUE!</v>
      </c>
      <c r="T115" s="446" t="e">
        <f>IF(OR($B115="",MIN(T$38,$D$19)&lt;MAX($P$34*($B115+IF($R$17="Distrato",$I$38-1,0)),IF(AND($L$37=0,$P$34=0),"",$L$37-1),IF($R$17="Distrato",$E115,0))),0,YEARFRAC(MAX($P$34*($B115+IF($R$17="Distrato",$I$38-1,0)),IF(AND($L$37=0,$P$34=0),"",$L$37-1),IF($R$17="Distrato",$E115,0)),MIN(T$38,$D$19),$P$20))-SUM($P115:S115)</f>
        <v>#VALUE!</v>
      </c>
      <c r="U115" s="446" t="e">
        <f>IF(OR($B115="",MIN(U$38,$D$19)&lt;MAX($P$34*($B115+IF($R$17="Distrato",$I$38-1,0)),IF(AND($L$37=0,$P$34=0),"",$L$37-1),IF($R$17="Distrato",$E115,0))),0,YEARFRAC(MAX($P$34*($B115+IF($R$17="Distrato",$I$38-1,0)),IF(AND($L$37=0,$P$34=0),"",$L$37-1),IF($R$17="Distrato",$E115,0)),MIN(U$38,$D$19),$P$20))-SUM($P115:T115)</f>
        <v>#VALUE!</v>
      </c>
      <c r="V115" s="446" t="e">
        <f>IF(OR($B115="",MIN(V$38,$D$19)&lt;MAX($P$34*($B115+IF($R$17="Distrato",$I$38-1,0)),IF(AND($L$37=0,$P$34=0),"",$L$37-1),IF($R$17="Distrato",$E115,0))),0,YEARFRAC(MAX($P$34*($B115+IF($R$17="Distrato",$I$38-1,0)),IF(AND($L$37=0,$P$34=0),"",$L$37-1),IF($R$17="Distrato",$E115,0)),MIN(V$38,$D$19),$P$20))-SUM($P115:U115)</f>
        <v>#VALUE!</v>
      </c>
      <c r="W115" s="446" t="e">
        <f>IF(OR($B115="",MIN(W$38,$D$19)&lt;MAX($P$34*($B115+IF($R$17="Distrato",$I$38-1,0)),IF(AND($L$37=0,$P$34=0),"",$L$37-1),IF($R$17="Distrato",$E115,0))),0,YEARFRAC(MAX($P$34*($B115+IF($R$17="Distrato",$I$38-1,0)),IF(AND($L$37=0,$P$34=0),"",$L$37-1),IF($R$17="Distrato",$E115,0)),MIN(W$38,$D$19),$P$20))-SUM($P115:V115)</f>
        <v>#VALUE!</v>
      </c>
      <c r="X115" s="446" t="e">
        <f>IF(OR($B115="",MIN(X$38,$D$19)&lt;MAX($P$34*($B115+IF($R$17="Distrato",$I$38-1,0)),IF(AND($L$37=0,$P$34=0),"",$L$37-1),IF($R$17="Distrato",$E115,0))),0,YEARFRAC(MAX($P$34*($B115+IF($R$17="Distrato",$I$38-1,0)),IF(AND($L$37=0,$P$34=0),"",$L$37-1),IF($R$17="Distrato",$E115,0)),MIN(X$38,$D$19),$P$20))-SUM($P115:W115)</f>
        <v>#VALUE!</v>
      </c>
      <c r="Y115" s="446" t="e">
        <f>IF(OR($B115="",MIN(Y$38,$D$19)&lt;MAX($P$34*($B115+IF($R$17="Distrato",$I$38-1,0)),IF(AND($L$37=0,$P$34=0),"",$L$37-1),IF($R$17="Distrato",$E115,0))),0,YEARFRAC(MAX($P$34*($B115+IF($R$17="Distrato",$I$38-1,0)),IF(AND($L$37=0,$P$34=0),"",$L$37-1),IF($R$17="Distrato",$E115,0)),MIN(Y$38,$D$19),$P$20))-SUM($P115:X115)</f>
        <v>#VALUE!</v>
      </c>
      <c r="Z115" s="446" t="e">
        <f>IF(OR($B115="",MIN(Z$38,$D$19)&lt;MAX($P$34*($B115+IF($R$17="Distrato",$I$38-1,0)),IF(AND($L$37=0,$P$34=0),"",$L$37-1),IF($R$17="Distrato",$E115,0))),0,YEARFRAC(MAX($P$34*($B115+IF($R$17="Distrato",$I$38-1,0)),IF(AND($L$37=0,$P$34=0),"",$L$37-1),IF($R$17="Distrato",$E115,0)),MIN(Z$38,$D$19),$P$20))-SUM($P115:Y115)</f>
        <v>#VALUE!</v>
      </c>
      <c r="AA115" s="446" t="e">
        <f>IF(OR($B115="",MIN(AA$38,$D$19)&lt;MAX($P$34*($B115+IF($R$17="Distrato",$I$38-1,0)),IF(AND($L$37=0,$P$34=0),"",$L$37-1),IF($R$17="Distrato",$E115,0))),0,YEARFRAC(MAX($P$34*($B115+IF($R$17="Distrato",$I$38-1,0)),IF(AND($L$37=0,$P$34=0),"",$L$37-1),IF($R$17="Distrato",$E115,0)),MIN(AA$38,$D$19),$P$20))-SUM($P115:Z115)</f>
        <v>#VALUE!</v>
      </c>
      <c r="AB115" s="446" t="e">
        <f>IF(OR($B115="",MIN(AB$38,$D$19)&lt;MAX($P$34*($B115+IF($R$17="Distrato",$I$38-1,0)),IF(AND($L$37=0,$P$34=0),"",$L$37-1),IF($R$17="Distrato",$E115,0))),0,YEARFRAC(MAX($P$34*($B115+IF($R$17="Distrato",$I$38-1,0)),IF(AND($L$37=0,$P$34=0),"",$L$37-1),IF($R$17="Distrato",$E115,0)),MIN(AB$38,$D$19),$P$20))-SUM($P115:AA115)</f>
        <v>#VALUE!</v>
      </c>
      <c r="AC115" s="446" t="e">
        <f>IF(OR($B115="",MIN(AC$38,$D$19)&lt;MAX($P$34*($B115+IF($R$17="Distrato",$I$38-1,0)),IF(AND($L$37=0,$P$34=0),"",$L$37-1),IF($R$17="Distrato",$E115,0))),0,YEARFRAC(MAX($P$34*($B115+IF($R$17="Distrato",$I$38-1,0)),IF(AND($L$37=0,$P$34=0),"",$L$37-1),IF($R$17="Distrato",$E115,0)),MIN(AC$38,$D$19),$P$20))-SUM($P115:AB115)</f>
        <v>#VALUE!</v>
      </c>
      <c r="AD115" s="446" t="e">
        <f>IF(OR($B115="",MIN(AD$38,$D$19)&lt;MAX($P$34*($B115+IF($R$17="Distrato",$I$38-1,0)),IF(AND($L$37=0,$P$34=0),"",$L$37-1),IF($R$17="Distrato",$E115,0))),0,YEARFRAC(MAX($P$34*($B115+IF($R$17="Distrato",$I$38-1,0)),IF(AND($L$37=0,$P$34=0),"",$L$37-1),IF($R$17="Distrato",$E115,0)),MIN(AD$38,$D$19),$P$20))-SUM($P115:AC115)</f>
        <v>#VALUE!</v>
      </c>
      <c r="AE115" s="446" t="e">
        <f>IF(OR($B115="",MIN(AE$38,$D$19)&lt;MAX($P$34*($B115+IF($R$17="Distrato",$I$38-1,0)),IF(AND($L$37=0,$P$34=0),"",$L$37-1),IF($R$17="Distrato",$E115,0))),0,YEARFRAC(MAX($P$34*($B115+IF($R$17="Distrato",$I$38-1,0)),IF(AND($L$37=0,$P$34=0),"",$L$37-1),IF($R$17="Distrato",$E115,0)),MIN(AE$38,$D$19),$P$20))-SUM($P115:AD115)</f>
        <v>#VALUE!</v>
      </c>
      <c r="AF115" s="446" t="e">
        <f>IF(OR($B115="",MIN(AF$38,$D$19)&lt;MAX($P$34*($B115+IF($R$17="Distrato",$I$38-1,0)),IF(AND($L$37=0,$P$34=0),"",$L$37-1),IF($R$17="Distrato",$E115,0))),0,YEARFRAC(MAX($P$34*($B115+IF($R$17="Distrato",$I$38-1,0)),IF(AND($L$37=0,$P$34=0),"",$L$37-1),IF($R$17="Distrato",$E115,0)),MIN(AF$38,$D$19),$P$20))-SUM($P115:AE115)</f>
        <v>#VALUE!</v>
      </c>
      <c r="AG115" s="446" t="e">
        <f>IF(OR($B115="",MIN(AG$38,$D$19)&lt;MAX($P$34*($B115+IF($R$17="Distrato",$I$38-1,0)),IF(AND($L$37=0,$P$34=0),"",$L$37-1),IF($R$17="Distrato",$E115,0))),0,YEARFRAC(MAX($P$34*($B115+IF($R$17="Distrato",$I$38-1,0)),IF(AND($L$37=0,$P$34=0),"",$L$37-1),IF($R$17="Distrato",$E115,0)),MIN(AG$38,$D$19),$P$20))-SUM($P115:AF115)</f>
        <v>#VALUE!</v>
      </c>
      <c r="AH115" s="446" t="e">
        <f>IF(OR($B115="",MIN(AH$38,$D$19)&lt;MAX($P$34*($B115+IF($R$17="Distrato",$I$38-1,0)),IF(AND($L$37=0,$P$34=0),"",$L$37-1),IF($R$17="Distrato",$E115,0))),0,YEARFRAC(MAX($P$34*($B115+IF($R$17="Distrato",$I$38-1,0)),IF(AND($L$37=0,$P$34=0),"",$L$37-1),IF($R$17="Distrato",$E115,0)),MIN(AH$38,$D$19),$P$20))-SUM($P115:AG115)</f>
        <v>#VALUE!</v>
      </c>
      <c r="AI115" s="446" t="e">
        <f>IF(OR($B115="",MIN(AI$38,$D$19)&lt;MAX($P$34*($B115+IF($R$17="Distrato",$I$38-1,0)),IF(AND($L$37=0,$P$34=0),"",$L$37-1),IF($R$17="Distrato",$E115,0))),0,YEARFRAC(MAX($P$34*($B115+IF($R$17="Distrato",$I$38-1,0)),IF(AND($L$37=0,$P$34=0),"",$L$37-1),IF($R$17="Distrato",$E115,0)),MIN(AI$38,$D$19),$P$20))-SUM($P115:AH115)</f>
        <v>#VALUE!</v>
      </c>
      <c r="AJ115" s="446" t="e">
        <f>IF(OR($B115="",MIN(AJ$38,$D$19)&lt;MAX($P$34*($B115+IF($R$17="Distrato",$I$38-1,0)),IF(AND($L$37=0,$P$34=0),"",$L$37-1),IF($R$17="Distrato",$E115,0))),0,YEARFRAC(MAX($P$34*($B115+IF($R$17="Distrato",$I$38-1,0)),IF(AND($L$37=0,$P$34=0),"",$L$37-1),IF($R$17="Distrato",$E115,0)),MIN(AJ$38,$D$19),$P$20))-SUM($P115:AI115)</f>
        <v>#VALUE!</v>
      </c>
      <c r="AK115" s="446" t="e">
        <f>IF(OR($B115="",MIN(AK$38,$D$19)&lt;MAX($P$34*($B115+IF($R$17="Distrato",$I$38-1,0)),IF(AND($L$37=0,$P$34=0),"",$L$37-1),IF($R$17="Distrato",$E115,0))),0,YEARFRAC(MAX($P$34*($B115+IF($R$17="Distrato",$I$38-1,0)),IF(AND($L$37=0,$P$34=0),"",$L$37-1),IF($R$17="Distrato",$E115,0)),MIN(AK$38,$D$19),$P$20))-SUM($P115:AJ115)</f>
        <v>#VALUE!</v>
      </c>
      <c r="AL115" s="446" t="e">
        <f>IF(OR($B115="",MIN(AL$38,$D$19)&lt;MAX($P$34*($B115+IF($R$17="Distrato",$I$38-1,0)),IF(AND($L$37=0,$P$34=0),"",$L$37-1),IF($R$17="Distrato",$E115,0))),0,YEARFRAC(MAX($P$34*($B115+IF($R$17="Distrato",$I$38-1,0)),IF(AND($L$37=0,$P$34=0),"",$L$37-1),IF($R$17="Distrato",$E115,0)),MIN(AL$38,$D$19),$P$20))-SUM($P115:AK115)</f>
        <v>#VALUE!</v>
      </c>
      <c r="AM115" s="446" t="e">
        <f>IF(OR($B115="",MIN(AM$38,$D$19)&lt;MAX($P$34*($B115+IF($R$17="Distrato",$I$38-1,0)),IF(AND($L$37=0,$P$34=0),"",$L$37-1),IF($R$17="Distrato",$E115,0))),0,YEARFRAC(MAX($P$34*($B115+IF($R$17="Distrato",$I$38-1,0)),IF(AND($L$37=0,$P$34=0),"",$L$37-1),IF($R$17="Distrato",$E115,0)),MIN(AM$38,$D$19),$P$20))-SUM($P115:AL115)</f>
        <v>#VALUE!</v>
      </c>
      <c r="AN115" s="446" t="e">
        <f>IF(OR($B115="",MIN(AN$38,$D$19)&lt;MAX($P$34*($B115+IF($R$17="Distrato",$I$38-1,0)),IF(AND($L$37=0,$P$34=0),"",$L$37-1),IF($R$17="Distrato",$E115,0))),0,YEARFRAC(MAX($P$34*($B115+IF($R$17="Distrato",$I$38-1,0)),IF(AND($L$37=0,$P$34=0),"",$L$37-1),IF($R$17="Distrato",$E115,0)),MIN(AN$38,$D$19),$P$20))-SUM($P115:AM115)</f>
        <v>#VALUE!</v>
      </c>
      <c r="AO115" s="446" t="e">
        <f>IF(OR($B115="",MIN(AO$38,$D$19)&lt;MAX($P$34*($B115+IF($R$17="Distrato",$I$38-1,0)),IF(AND($L$37=0,$P$34=0),"",$L$37-1),IF($R$17="Distrato",$E115,0))),0,YEARFRAC(MAX($P$34*($B115+IF($R$17="Distrato",$I$38-1,0)),IF(AND($L$37=0,$P$34=0),"",$L$37-1),IF($R$17="Distrato",$E115,0)),MIN(AO$38,$D$19),$P$20))-SUM($P115:AN115)</f>
        <v>#VALUE!</v>
      </c>
      <c r="AP115" s="446" t="e">
        <f>IF(OR($B115="",MIN(AP$38,$D$19)&lt;MAX($P$34*($B115+IF($R$17="Distrato",$I$38-1,0)),IF(AND($L$37=0,$P$34=0),"",$L$37-1),IF($R$17="Distrato",$E115,0))),0,YEARFRAC(MAX($P$34*($B115+IF($R$17="Distrato",$I$38-1,0)),IF(AND($L$37=0,$P$34=0),"",$L$37-1),IF($R$17="Distrato",$E115,0)),MIN(AP$38,$D$19),$P$20))-SUM($P115:AO115)</f>
        <v>#VALUE!</v>
      </c>
      <c r="AQ115" s="446" t="e">
        <f>IF(OR($B115="",MIN(AQ$38,$D$19)&lt;MAX($P$34*($B115+IF($R$17="Distrato",$I$38-1,0)),IF(AND($L$37=0,$P$34=0),"",$L$37-1),IF($R$17="Distrato",$E115,0))),0,YEARFRAC(MAX($P$34*($B115+IF($R$17="Distrato",$I$38-1,0)),IF(AND($L$37=0,$P$34=0),"",$L$37-1),IF($R$17="Distrato",$E115,0)),MIN(AQ$38,$D$19),$P$20))-SUM($P115:AP115)</f>
        <v>#VALUE!</v>
      </c>
      <c r="AR115" s="446" t="e">
        <f>IF(OR($B115="",MIN(AR$38,$D$19)&lt;MAX($P$34*($B115+IF($R$17="Distrato",$I$38-1,0)),IF(AND($L$37=0,$P$34=0),"",$L$37-1),IF($R$17="Distrato",$E115,0))),0,YEARFRAC(MAX($P$34*($B115+IF($R$17="Distrato",$I$38-1,0)),IF(AND($L$37=0,$P$34=0),"",$L$37-1),IF($R$17="Distrato",$E115,0)),MIN(AR$38,$D$19),$P$20))-SUM($P115:AQ115)</f>
        <v>#VALUE!</v>
      </c>
      <c r="AS115" s="446" t="e">
        <f>IF(OR($B115="",MIN(AS$38,$D$19)&lt;MAX($P$34*($B115+IF($R$17="Distrato",$I$38-1,0)),IF(AND($L$37=0,$P$34=0),"",$L$37-1),IF($R$17="Distrato",$E115,0))),0,YEARFRAC(MAX($P$34*($B115+IF($R$17="Distrato",$I$38-1,0)),IF(AND($L$37=0,$P$34=0),"",$L$37-1),IF($R$17="Distrato",$E115,0)),MIN(AS$38,$D$19),$P$20))-SUM($P115:AR115)</f>
        <v>#VALUE!</v>
      </c>
      <c r="AT115" s="446" t="e">
        <f>IF(OR($B115="",MIN(AT$38,$D$19)&lt;MAX($P$34*($B115+IF($R$17="Distrato",$I$38-1,0)),IF(AND($L$37=0,$P$34=0),"",$L$37-1),IF($R$17="Distrato",$E115,0))),0,YEARFRAC(MAX($P$34*($B115+IF($R$17="Distrato",$I$38-1,0)),IF(AND($L$37=0,$P$34=0),"",$L$37-1),IF($R$17="Distrato",$E115,0)),MIN(AT$38,$D$19),$P$20))-SUM($P115:AS115)</f>
        <v>#VALUE!</v>
      </c>
      <c r="AU115" s="446" t="e">
        <f>IF(OR($B115="",MIN(AU$38,$D$19)&lt;MAX($P$34*($B115+IF($R$17="Distrato",$I$38-1,0)),IF(AND($L$37=0,$P$34=0),"",$L$37-1),IF($R$17="Distrato",$E115,0))),0,YEARFRAC(MAX($P$34*($B115+IF($R$17="Distrato",$I$38-1,0)),IF(AND($L$37=0,$P$34=0),"",$L$37-1),IF($R$17="Distrato",$E115,0)),MIN(AU$38,$D$19),$P$20))-SUM($P115:AT115)</f>
        <v>#VALUE!</v>
      </c>
      <c r="AV115" s="446" t="e">
        <f>IF(OR($B115="",MIN(AV$38,$D$19)&lt;MAX($P$34*($B115+IF($R$17="Distrato",$I$38-1,0)),IF(AND($L$37=0,$P$34=0),"",$L$37-1),IF($R$17="Distrato",$E115,0))),0,YEARFRAC(MAX($P$34*($B115+IF($R$17="Distrato",$I$38-1,0)),IF(AND($L$37=0,$P$34=0),"",$L$37-1),IF($R$17="Distrato",$E115,0)),MIN(AV$38,$D$19),$P$20))-SUM($P115:AU115)</f>
        <v>#VALUE!</v>
      </c>
      <c r="AW115" s="446" t="e">
        <f>IF(OR($B115="",MIN(AW$38,$D$19)&lt;MAX($P$34*($B115+IF($R$17="Distrato",$I$38-1,0)),IF(AND($L$37=0,$P$34=0),"",$L$37-1),IF($R$17="Distrato",$E115,0))),0,YEARFRAC(MAX($P$34*($B115+IF($R$17="Distrato",$I$38-1,0)),IF(AND($L$37=0,$P$34=0),"",$L$37-1),IF($R$17="Distrato",$E115,0)),MIN(AW$38,$D$19),$P$20))-SUM($P115:AV115)</f>
        <v>#VALUE!</v>
      </c>
      <c r="AX115" s="446" t="e">
        <f>IF(OR($B115="",MIN(AX$38,$D$19)&lt;MAX($P$34*($B115+IF($R$17="Distrato",$I$38-1,0)),IF(AND($L$37=0,$P$34=0),"",$L$37-1),IF($R$17="Distrato",$E115,0))),0,YEARFRAC(MAX($P$34*($B115+IF($R$17="Distrato",$I$38-1,0)),IF(AND($L$37=0,$P$34=0),"",$L$37-1),IF($R$17="Distrato",$E115,0)),MIN(AX$38,$D$19),$P$20))-SUM($P115:AW115)</f>
        <v>#VALUE!</v>
      </c>
      <c r="AY115" s="446" t="e">
        <f>IF(OR($B115="",MIN(AY$38,$D$19)&lt;MAX($P$34*($B115+IF($R$17="Distrato",$I$38-1,0)),IF(AND($L$37=0,$P$34=0),"",$L$37-1),IF($R$17="Distrato",$E115,0))),0,YEARFRAC(MAX($P$34*($B115+IF($R$17="Distrato",$I$38-1,0)),IF(AND($L$37=0,$P$34=0),"",$L$37-1),IF($R$17="Distrato",$E115,0)),MIN(AY$38,$D$19),$P$20))-SUM($P115:AX115)</f>
        <v>#VALUE!</v>
      </c>
      <c r="AZ115" s="446" t="e">
        <f>IF(OR($B115="",MIN(AZ$38,$D$19)&lt;MAX($P$34*($B115+IF($R$17="Distrato",$I$38-1,0)),IF(AND($L$37=0,$P$34=0),"",$L$37-1),IF($R$17="Distrato",$E115,0))),0,YEARFRAC(MAX($P$34*($B115+IF($R$17="Distrato",$I$38-1,0)),IF(AND($L$37=0,$P$34=0),"",$L$37-1),IF($R$17="Distrato",$E115,0)),MIN(AZ$38,$D$19),$P$20))-SUM($P115:AY115)</f>
        <v>#VALUE!</v>
      </c>
      <c r="BA115" s="446" t="e">
        <f>IF(OR($B115="",MIN(BA$38,$D$19)&lt;MAX($P$34*($B115+IF($R$17="Distrato",$I$38-1,0)),IF(AND($L$37=0,$P$34=0),"",$L$37-1),IF($R$17="Distrato",$E115,0))),0,YEARFRAC(MAX($P$34*($B115+IF($R$17="Distrato",$I$38-1,0)),IF(AND($L$37=0,$P$34=0),"",$L$37-1),IF($R$17="Distrato",$E115,0)),MIN(BA$38,$D$19),$P$20))-SUM($P115:AZ115)</f>
        <v>#VALUE!</v>
      </c>
      <c r="BB115" s="447"/>
      <c r="BF115" s="446">
        <f t="shared" si="21"/>
        <v>0</v>
      </c>
      <c r="BG115" s="446">
        <f>IF($E115=0,0,IF(MIN(BG$38,$E115)&lt;MAX($P$34*($B115+$I$38-1),IF(AND($L$37=0,$P$34=0),"",$L$37-1)),0,YEARFRAC(MAX($P$34*($B115+$I$38-1),IF(AND($L$37=0,$P$34=0),"",$L$37-1)),MIN(BG$38,$E115),$P$20))-SUM($BF115:BF115))</f>
        <v>0</v>
      </c>
      <c r="BH115" s="446">
        <f>IF($E115=0,0,IF(MIN(BH$38,$E115)&lt;MAX($P$34*($B115+$I$38-1),IF(AND($L$37=0,$P$34=0),"",$L$37-1)),0,YEARFRAC(MAX($P$34*($B115+$I$38-1),IF(AND($L$37=0,$P$34=0),"",$L$37-1)),MIN(BH$38,$E115),$P$20))-SUM($BF115:BG115))</f>
        <v>0</v>
      </c>
      <c r="BI115" s="446">
        <f>IF($E115=0,0,IF(MIN(BI$38,$E115)&lt;MAX($P$34*($B115+$I$38-1),IF(AND($L$37=0,$P$34=0),"",$L$37-1)),0,YEARFRAC(MAX($P$34*($B115+$I$38-1),IF(AND($L$37=0,$P$34=0),"",$L$37-1)),MIN(BI$38,$E115),$P$20))-SUM($BF115:BH115))</f>
        <v>0</v>
      </c>
      <c r="BJ115" s="446">
        <f>IF($E115=0,0,IF(MIN(BJ$38,$E115)&lt;MAX($P$34*($B115+$I$38-1),IF(AND($L$37=0,$P$34=0),"",$L$37-1)),0,YEARFRAC(MAX($P$34*($B115+$I$38-1),IF(AND($L$37=0,$P$34=0),"",$L$37-1)),MIN(BJ$38,$E115),$P$20))-SUM($BF115:BI115))</f>
        <v>0</v>
      </c>
      <c r="BK115" s="446">
        <f>IF($E115=0,0,IF(MIN(BK$38,$E115)&lt;MAX($P$34*($B115+$I$38-1),IF(AND($L$37=0,$P$34=0),"",$L$37-1)),0,YEARFRAC(MAX($P$34*($B115+$I$38-1),IF(AND($L$37=0,$P$34=0),"",$L$37-1)),MIN(BK$38,$E115),$P$20))-SUM($BF115:BJ115))</f>
        <v>0</v>
      </c>
      <c r="BL115" s="446">
        <f>IF($E115=0,0,IF(MIN(BL$38,$E115)&lt;MAX($P$34*($B115+$I$38-1),IF(AND($L$37=0,$P$34=0),"",$L$37-1)),0,YEARFRAC(MAX($P$34*($B115+$I$38-1),IF(AND($L$37=0,$P$34=0),"",$L$37-1)),MIN(BL$38,$E115),$P$20))-SUM($BF115:BK115))</f>
        <v>0</v>
      </c>
      <c r="BM115" s="446">
        <f>IF($E115=0,0,IF(MIN(BM$38,$E115)&lt;MAX($P$34*($B115+$I$38-1),IF(AND($L$37=0,$P$34=0),"",$L$37-1)),0,YEARFRAC(MAX($P$34*($B115+$I$38-1),IF(AND($L$37=0,$P$34=0),"",$L$37-1)),MIN(BM$38,$E115),$P$20))-SUM($BF115:BL115))</f>
        <v>0</v>
      </c>
      <c r="BN115" s="446">
        <f>IF($E115=0,0,IF(MIN(BN$38,$E115)&lt;MAX($P$34*($B115+$I$38-1),IF(AND($L$37=0,$P$34=0),"",$L$37-1)),0,YEARFRAC(MAX($P$34*($B115+$I$38-1),IF(AND($L$37=0,$P$34=0),"",$L$37-1)),MIN(BN$38,$E115),$P$20))-SUM($BF115:BM115))</f>
        <v>0</v>
      </c>
      <c r="BO115" s="446">
        <f>IF($E115=0,0,IF(MIN(BO$38,$E115)&lt;MAX($P$34*($B115+$I$38-1),IF(AND($L$37=0,$P$34=0),"",$L$37-1)),0,YEARFRAC(MAX($P$34*($B115+$I$38-1),IF(AND($L$37=0,$P$34=0),"",$L$37-1)),MIN(BO$38,$E115),$P$20))-SUM($BF115:BN115))</f>
        <v>0</v>
      </c>
      <c r="BP115" s="446">
        <f>IF($E115=0,0,IF(MIN(BP$38,$E115)&lt;MAX($P$34*($B115+$I$38-1),IF(AND($L$37=0,$P$34=0),"",$L$37-1)),0,YEARFRAC(MAX($P$34*($B115+$I$38-1),IF(AND($L$37=0,$P$34=0),"",$L$37-1)),MIN(BP$38,$E115),$P$20))-SUM($BF115:BO115))</f>
        <v>0</v>
      </c>
      <c r="BQ115" s="446">
        <f>IF($E115=0,0,IF(MIN(BQ$38,$E115)&lt;MAX($P$34*($B115+$I$38-1),IF(AND($L$37=0,$P$34=0),"",$L$37-1)),0,YEARFRAC(MAX($P$34*($B115+$I$38-1),IF(AND($L$37=0,$P$34=0),"",$L$37-1)),MIN(BQ$38,$E115),$P$20))-SUM($BF115:BP115))</f>
        <v>0</v>
      </c>
      <c r="BR115" s="446">
        <f>IF($E115=0,0,IF(MIN(BR$38,$E115)&lt;MAX($P$34*($B115+$I$38-1),IF(AND($L$37=0,$P$34=0),"",$L$37-1)),0,YEARFRAC(MAX($P$34*($B115+$I$38-1),IF(AND($L$37=0,$P$34=0),"",$L$37-1)),MIN(BR$38,$E115),$P$20))-SUM($BF115:BQ115))</f>
        <v>0</v>
      </c>
      <c r="BS115" s="446">
        <f>IF($E115=0,0,IF(MIN(BS$38,$E115)&lt;MAX($P$34*($B115+$I$38-1),IF(AND($L$37=0,$P$34=0),"",$L$37-1)),0,YEARFRAC(MAX($P$34*($B115+$I$38-1),IF(AND($L$37=0,$P$34=0),"",$L$37-1)),MIN(BS$38,$E115),$P$20))-SUM($BF115:BR115))</f>
        <v>0</v>
      </c>
      <c r="BT115" s="446">
        <f>IF($E115=0,0,IF(MIN(BT$38,$E115)&lt;MAX($P$34*($B115+$I$38-1),IF(AND($L$37=0,$P$34=0),"",$L$37-1)),0,YEARFRAC(MAX($P$34*($B115+$I$38-1),IF(AND($L$37=0,$P$34=0),"",$L$37-1)),MIN(BT$38,$E115),$P$20))-SUM($BF115:BS115))</f>
        <v>0</v>
      </c>
      <c r="BU115" s="446">
        <f>IF($E115=0,0,IF(MIN(BU$38,$E115)&lt;MAX($P$34*($B115+$I$38-1),IF(AND($L$37=0,$P$34=0),"",$L$37-1)),0,YEARFRAC(MAX($P$34*($B115+$I$38-1),IF(AND($L$37=0,$P$34=0),"",$L$37-1)),MIN(BU$38,$E115),$P$20))-SUM($BF115:BT115))</f>
        <v>0</v>
      </c>
      <c r="BV115" s="446">
        <f>IF($E115=0,0,IF(MIN(BV$38,$E115)&lt;MAX($P$34*($B115+$I$38-1),IF(AND($L$37=0,$P$34=0),"",$L$37-1)),0,YEARFRAC(MAX($P$34*($B115+$I$38-1),IF(AND($L$37=0,$P$34=0),"",$L$37-1)),MIN(BV$38,$E115),$P$20))-SUM($BF115:BU115))</f>
        <v>0</v>
      </c>
      <c r="BW115" s="446">
        <f>IF($E115=0,0,IF(MIN(BW$38,$E115)&lt;MAX($P$34*($B115+$I$38-1),IF(AND($L$37=0,$P$34=0),"",$L$37-1)),0,YEARFRAC(MAX($P$34*($B115+$I$38-1),IF(AND($L$37=0,$P$34=0),"",$L$37-1)),MIN(BW$38,$E115),$P$20))-SUM($BF115:BV115))</f>
        <v>0</v>
      </c>
      <c r="BX115" s="446">
        <f>IF($E115=0,0,IF(MIN(BX$38,$E115)&lt;MAX($P$34*($B115+$I$38-1),IF(AND($L$37=0,$P$34=0),"",$L$37-1)),0,YEARFRAC(MAX($P$34*($B115+$I$38-1),IF(AND($L$37=0,$P$34=0),"",$L$37-1)),MIN(BX$38,$E115),$P$20))-SUM($BF115:BW115))</f>
        <v>0</v>
      </c>
      <c r="BY115" s="446">
        <f>IF($E115=0,0,IF(MIN(BY$38,$E115)&lt;MAX($P$34*($B115+$I$38-1),IF(AND($L$37=0,$P$34=0),"",$L$37-1)),0,YEARFRAC(MAX($P$34*($B115+$I$38-1),IF(AND($L$37=0,$P$34=0),"",$L$37-1)),MIN(BY$38,$E115),$P$20))-SUM($BF115:BX115))</f>
        <v>0</v>
      </c>
      <c r="BZ115" s="446">
        <f>IF($E115=0,0,IF(MIN(BZ$38,$E115)&lt;MAX($P$34*($B115+$I$38-1),IF(AND($L$37=0,$P$34=0),"",$L$37-1)),0,YEARFRAC(MAX($P$34*($B115+$I$38-1),IF(AND($L$37=0,$P$34=0),"",$L$37-1)),MIN(BZ$38,$E115),$P$20))-SUM($BF115:BY115))</f>
        <v>0</v>
      </c>
      <c r="CA115" s="446">
        <f>IF($E115=0,0,IF(MIN(CA$38,$E115)&lt;MAX($P$34*($B115+$I$38-1),IF(AND($L$37=0,$P$34=0),"",$L$37-1)),0,YEARFRAC(MAX($P$34*($B115+$I$38-1),IF(AND($L$37=0,$P$34=0),"",$L$37-1)),MIN(CA$38,$E115),$P$20))-SUM($BF115:BZ115))</f>
        <v>0</v>
      </c>
      <c r="CB115" s="446">
        <f>IF($E115=0,0,IF(MIN(CB$38,$E115)&lt;MAX($P$34*($B115+$I$38-1),IF(AND($L$37=0,$P$34=0),"",$L$37-1)),0,YEARFRAC(MAX($P$34*($B115+$I$38-1),IF(AND($L$37=0,$P$34=0),"",$L$37-1)),MIN(CB$38,$E115),$P$20))-SUM($BF115:CA115))</f>
        <v>0</v>
      </c>
      <c r="CC115" s="446">
        <f>IF($E115=0,0,IF(MIN(CC$38,$E115)&lt;MAX($P$34*($B115+$I$38-1),IF(AND($L$37=0,$P$34=0),"",$L$37-1)),0,YEARFRAC(MAX($P$34*($B115+$I$38-1),IF(AND($L$37=0,$P$34=0),"",$L$37-1)),MIN(CC$38,$E115),$P$20))-SUM($BF115:CB115))</f>
        <v>0</v>
      </c>
      <c r="CD115" s="446">
        <f>IF($E115=0,0,IF(MIN(CD$38,$E115)&lt;MAX($P$34*($B115+$I$38-1),IF(AND($L$37=0,$P$34=0),"",$L$37-1)),0,YEARFRAC(MAX($P$34*($B115+$I$38-1),IF(AND($L$37=0,$P$34=0),"",$L$37-1)),MIN(CD$38,$E115),$P$20))-SUM($BF115:CC115))</f>
        <v>0</v>
      </c>
      <c r="CE115" s="446">
        <f>IF($E115=0,0,IF(MIN(CE$38,$E115)&lt;MAX($P$34*($B115+$I$38-1),IF(AND($L$37=0,$P$34=0),"",$L$37-1)),0,YEARFRAC(MAX($P$34*($B115+$I$38-1),IF(AND($L$37=0,$P$34=0),"",$L$37-1)),MIN(CE$38,$E115),$P$20))-SUM($BF115:CD115))</f>
        <v>0</v>
      </c>
      <c r="CF115" s="446">
        <f>IF($E115=0,0,IF(MIN(CF$38,$E115)&lt;MAX($P$34*($B115+$I$38-1),IF(AND($L$37=0,$P$34=0),"",$L$37-1)),0,YEARFRAC(MAX($P$34*($B115+$I$38-1),IF(AND($L$37=0,$P$34=0),"",$L$37-1)),MIN(CF$38,$E115),$P$20))-SUM($BF115:CE115))</f>
        <v>0</v>
      </c>
      <c r="CG115" s="446">
        <f>IF($E115=0,0,IF(MIN(CG$38,$E115)&lt;MAX($P$34*($B115+$I$38-1),IF(AND($L$37=0,$P$34=0),"",$L$37-1)),0,YEARFRAC(MAX($P$34*($B115+$I$38-1),IF(AND($L$37=0,$P$34=0),"",$L$37-1)),MIN(CG$38,$E115),$P$20))-SUM($BF115:CF115))</f>
        <v>0</v>
      </c>
      <c r="CH115" s="446">
        <f>IF($E115=0,0,IF(MIN(CH$38,$E115)&lt;MAX($P$34*($B115+$I$38-1),IF(AND($L$37=0,$P$34=0),"",$L$37-1)),0,YEARFRAC(MAX($P$34*($B115+$I$38-1),IF(AND($L$37=0,$P$34=0),"",$L$37-1)),MIN(CH$38,$E115),$P$20))-SUM($BF115:CG115))</f>
        <v>0</v>
      </c>
      <c r="CI115" s="446">
        <f>IF($E115=0,0,IF(MIN(CI$38,$E115)&lt;MAX($P$34*($B115+$I$38-1),IF(AND($L$37=0,$P$34=0),"",$L$37-1)),0,YEARFRAC(MAX($P$34*($B115+$I$38-1),IF(AND($L$37=0,$P$34=0),"",$L$37-1)),MIN(CI$38,$E115),$P$20))-SUM($BF115:CH115))</f>
        <v>0</v>
      </c>
      <c r="CJ115" s="446">
        <f>IF($E115=0,0,IF(MIN(CJ$38,$E115)&lt;MAX($P$34*($B115+$I$38-1),IF(AND($L$37=0,$P$34=0),"",$L$37-1)),0,YEARFRAC(MAX($P$34*($B115+$I$38-1),IF(AND($L$37=0,$P$34=0),"",$L$37-1)),MIN(CJ$38,$E115),$P$20))-SUM($BF115:CI115))</f>
        <v>0</v>
      </c>
      <c r="CK115" s="446">
        <f>IF($E115=0,0,IF(MIN(CK$38,$E115)&lt;MAX($P$34*($B115+$I$38-1),IF(AND($L$37=0,$P$34=0),"",$L$37-1)),0,YEARFRAC(MAX($P$34*($B115+$I$38-1),IF(AND($L$37=0,$P$34=0),"",$L$37-1)),MIN(CK$38,$E115),$P$20))-SUM($BF115:CJ115))</f>
        <v>0</v>
      </c>
      <c r="CL115" s="446">
        <f>IF($E115=0,0,IF(MIN(CL$38,$E115)&lt;MAX($P$34*($B115+$I$38-1),IF(AND($L$37=0,$P$34=0),"",$L$37-1)),0,YEARFRAC(MAX($P$34*($B115+$I$38-1),IF(AND($L$37=0,$P$34=0),"",$L$37-1)),MIN(CL$38,$E115),$P$20))-SUM($BF115:CK115))</f>
        <v>0</v>
      </c>
      <c r="CM115" s="446">
        <f>IF($E115=0,0,IF(MIN(CM$38,$E115)&lt;MAX($P$34*($B115+$I$38-1),IF(AND($L$37=0,$P$34=0),"",$L$37-1)),0,YEARFRAC(MAX($P$34*($B115+$I$38-1),IF(AND($L$37=0,$P$34=0),"",$L$37-1)),MIN(CM$38,$E115),$P$20))-SUM($BF115:CL115))</f>
        <v>0</v>
      </c>
      <c r="CN115" s="446">
        <f>IF($E115=0,0,IF(MIN(CN$38,$E115)&lt;MAX($P$34*($B115+$I$38-1),IF(AND($L$37=0,$P$34=0),"",$L$37-1)),0,YEARFRAC(MAX($P$34*($B115+$I$38-1),IF(AND($L$37=0,$P$34=0),"",$L$37-1)),MIN(CN$38,$E115),$P$20))-SUM($BF115:CM115))</f>
        <v>0</v>
      </c>
      <c r="CO115" s="446">
        <f>IF($E115=0,0,IF(MIN(CO$38,$E115)&lt;MAX($P$34*($B115+$I$38-1),IF(AND($L$37=0,$P$34=0),"",$L$37-1)),0,YEARFRAC(MAX($P$34*($B115+$I$38-1),IF(AND($L$37=0,$P$34=0),"",$L$37-1)),MIN(CO$38,$E115),$P$20))-SUM($BF115:CN115))</f>
        <v>0</v>
      </c>
      <c r="CP115" s="446">
        <f>IF($E115=0,0,IF(MIN(CP$38,$E115)&lt;MAX($P$34*($B115+$I$38-1),IF(AND($L$37=0,$P$34=0),"",$L$37-1)),0,YEARFRAC(MAX($P$34*($B115+$I$38-1),IF(AND($L$37=0,$P$34=0),"",$L$37-1)),MIN(CP$38,$E115),$P$20))-SUM($BF115:CO115))</f>
        <v>0</v>
      </c>
      <c r="CQ115" s="446">
        <f>IF($E115=0,0,IF(MIN(CQ$38,$E115)&lt;MAX($P$34*($B115+$I$38-1),IF(AND($L$37=0,$P$34=0),"",$L$37-1)),0,YEARFRAC(MAX($P$34*($B115+$I$38-1),IF(AND($L$37=0,$P$34=0),"",$L$37-1)),MIN(CQ$38,$E115),$P$20))-SUM($BF115:CP115))</f>
        <v>0</v>
      </c>
    </row>
    <row r="116" spans="1:95" s="446" customFormat="1" ht="11.25" hidden="1" customHeight="1" x14ac:dyDescent="0.2">
      <c r="A116" s="152"/>
      <c r="B116" s="153" t="str">
        <f t="shared" si="26"/>
        <v/>
      </c>
      <c r="C116" s="29" t="str">
        <f>IF(B116="","",IF($L$35="SELIC - TRIBUTOS",VLOOKUP(DATE(YEAR($D$19),MONTH($D$19)-1,1),ÍNDICES!$A:$DE,HLOOKUP($BL$25,ÍNDICES!$B$3:$T$4,2)+11)-VLOOKUP(B116,ÍNDICES!$A:$DE,HLOOKUP($BL$25,ÍNDICES!$B$3:$T$4,2)+11)+1%,IF(C$38=$W$26,$J$35,IF(ISERROR(IF(B116&gt;$D$19,1,VLOOKUP(DATE(YEAR(B116),MONTH(B116)+IF($C$35=$S$23,1,0),1),ÍNDICES!$A:$DE,$Z$35+1))),"",IF(B116&gt;$D$19,1,VLOOKUP(DATE(YEAR(B116),MONTH(B116)+IF($C$35=$S$23,1,0),1),ÍNDICES!$A:$DE,$Z$35+1))))))</f>
        <v/>
      </c>
      <c r="D116" s="154" t="str">
        <f>IF(ISERROR(IF(OR($D$38=$Y$27,$B116=""),"",VLOOKUP(B116,ÍNDICES!A:DE,AF$35+1))),"",IF(OR($D$38=$Y$27,$B116=""),"",VLOOKUP(B116,ÍNDICES!A:DE,AF$35+1)))</f>
        <v/>
      </c>
      <c r="E116" s="153"/>
      <c r="F116" s="29" t="str">
        <f>IF(E116="","",IF($L$35="SELIC - TRIBUTOS",VLOOKUP(DATE(YEAR($D$19),MONTH($D$19)-1,1),ÍNDICES!$A:$DE,HLOOKUP($BL$25,ÍNDICES!$B$3:$T$4,2)+11)-VLOOKUP(E116,ÍNDICES!$A:$DE,HLOOKUP($BL$25,ÍNDICES!$B$3:$T$4,2)+11)+1%,IF(F$38=$W$26,$J$35,IF(ISERROR(IF(E116&gt;$D$19,1,VLOOKUP(DATE(YEAR(E116),MONTH(E116)+IF($C$35=$S$23,1,0),1),ÍNDICES!$A:$DE,$Z$35+1))),"",IF(E116&gt;$D$19,1,VLOOKUP(DATE(YEAR(E116),MONTH(E116)+IF($C$35=$S$23,1,0),1),ÍNDICES!$A:$DE,$Z$35+1))))))</f>
        <v/>
      </c>
      <c r="G116" s="155"/>
      <c r="H116" s="156" t="str">
        <f t="shared" si="22"/>
        <v/>
      </c>
      <c r="I116" s="29" t="str">
        <f t="shared" si="16"/>
        <v/>
      </c>
      <c r="J116" s="5">
        <f t="shared" si="17"/>
        <v>0</v>
      </c>
      <c r="K116" s="20">
        <f t="shared" ca="1" si="18"/>
        <v>0</v>
      </c>
      <c r="L116" s="5">
        <f t="shared" ca="1" si="19"/>
        <v>0</v>
      </c>
      <c r="M116" s="64">
        <f t="shared" si="23"/>
        <v>0</v>
      </c>
      <c r="N116" s="61">
        <f t="shared" ca="1" si="24"/>
        <v>0</v>
      </c>
      <c r="O116" s="5">
        <f t="shared" ca="1" si="25"/>
        <v>0</v>
      </c>
      <c r="P116" s="446" t="e">
        <f t="shared" si="20"/>
        <v>#VALUE!</v>
      </c>
      <c r="Q116" s="446" t="e">
        <f>IF(OR($B116="",MIN(Q$38,$D$19)&lt;MAX($P$34*($B116+IF($R$17="Distrato",$I$38-1,0)),IF(AND($L$37=0,$P$34=0),"",$L$37-1),IF($R$17="Distrato",$E116,0))),0,YEARFRAC(MAX($P$34*($B116+IF($R$17="Distrato",$I$38-1,0)),IF(AND($L$37=0,$P$34=0),"",$L$37-1),IF($R$17="Distrato",$E116,0)),MIN(Q$38,$D$19),$P$20))-SUM($P116:P116)</f>
        <v>#VALUE!</v>
      </c>
      <c r="R116" s="446" t="e">
        <f>IF(OR($B116="",MIN(R$38,$D$19)&lt;MAX($P$34*($B116+IF($R$17="Distrato",$I$38-1,0)),IF(AND($L$37=0,$P$34=0),"",$L$37-1),IF($R$17="Distrato",$E116,0))),0,YEARFRAC(MAX($P$34*($B116+IF($R$17="Distrato",$I$38-1,0)),IF(AND($L$37=0,$P$34=0),"",$L$37-1),IF($R$17="Distrato",$E116,0)),MIN(R$38,$D$19),$P$20))-SUM($P116:Q116)</f>
        <v>#VALUE!</v>
      </c>
      <c r="S116" s="446" t="e">
        <f>IF(OR($B116="",MIN(S$38,$D$19)&lt;MAX($P$34*($B116+IF($R$17="Distrato",$I$38-1,0)),IF(AND($L$37=0,$P$34=0),"",$L$37-1),IF($R$17="Distrato",$E116,0))),0,YEARFRAC(MAX($P$34*($B116+IF($R$17="Distrato",$I$38-1,0)),IF(AND($L$37=0,$P$34=0),"",$L$37-1),IF($R$17="Distrato",$E116,0)),MIN(S$38,$D$19),$P$20))-SUM($P116:R116)</f>
        <v>#VALUE!</v>
      </c>
      <c r="T116" s="446" t="e">
        <f>IF(OR($B116="",MIN(T$38,$D$19)&lt;MAX($P$34*($B116+IF($R$17="Distrato",$I$38-1,0)),IF(AND($L$37=0,$P$34=0),"",$L$37-1),IF($R$17="Distrato",$E116,0))),0,YEARFRAC(MAX($P$34*($B116+IF($R$17="Distrato",$I$38-1,0)),IF(AND($L$37=0,$P$34=0),"",$L$37-1),IF($R$17="Distrato",$E116,0)),MIN(T$38,$D$19),$P$20))-SUM($P116:S116)</f>
        <v>#VALUE!</v>
      </c>
      <c r="U116" s="446" t="e">
        <f>IF(OR($B116="",MIN(U$38,$D$19)&lt;MAX($P$34*($B116+IF($R$17="Distrato",$I$38-1,0)),IF(AND($L$37=0,$P$34=0),"",$L$37-1),IF($R$17="Distrato",$E116,0))),0,YEARFRAC(MAX($P$34*($B116+IF($R$17="Distrato",$I$38-1,0)),IF(AND($L$37=0,$P$34=0),"",$L$37-1),IF($R$17="Distrato",$E116,0)),MIN(U$38,$D$19),$P$20))-SUM($P116:T116)</f>
        <v>#VALUE!</v>
      </c>
      <c r="V116" s="446" t="e">
        <f>IF(OR($B116="",MIN(V$38,$D$19)&lt;MAX($P$34*($B116+IF($R$17="Distrato",$I$38-1,0)),IF(AND($L$37=0,$P$34=0),"",$L$37-1),IF($R$17="Distrato",$E116,0))),0,YEARFRAC(MAX($P$34*($B116+IF($R$17="Distrato",$I$38-1,0)),IF(AND($L$37=0,$P$34=0),"",$L$37-1),IF($R$17="Distrato",$E116,0)),MIN(V$38,$D$19),$P$20))-SUM($P116:U116)</f>
        <v>#VALUE!</v>
      </c>
      <c r="W116" s="446" t="e">
        <f>IF(OR($B116="",MIN(W$38,$D$19)&lt;MAX($P$34*($B116+IF($R$17="Distrato",$I$38-1,0)),IF(AND($L$37=0,$P$34=0),"",$L$37-1),IF($R$17="Distrato",$E116,0))),0,YEARFRAC(MAX($P$34*($B116+IF($R$17="Distrato",$I$38-1,0)),IF(AND($L$37=0,$P$34=0),"",$L$37-1),IF($R$17="Distrato",$E116,0)),MIN(W$38,$D$19),$P$20))-SUM($P116:V116)</f>
        <v>#VALUE!</v>
      </c>
      <c r="X116" s="446" t="e">
        <f>IF(OR($B116="",MIN(X$38,$D$19)&lt;MAX($P$34*($B116+IF($R$17="Distrato",$I$38-1,0)),IF(AND($L$37=0,$P$34=0),"",$L$37-1),IF($R$17="Distrato",$E116,0))),0,YEARFRAC(MAX($P$34*($B116+IF($R$17="Distrato",$I$38-1,0)),IF(AND($L$37=0,$P$34=0),"",$L$37-1),IF($R$17="Distrato",$E116,0)),MIN(X$38,$D$19),$P$20))-SUM($P116:W116)</f>
        <v>#VALUE!</v>
      </c>
      <c r="Y116" s="446" t="e">
        <f>IF(OR($B116="",MIN(Y$38,$D$19)&lt;MAX($P$34*($B116+IF($R$17="Distrato",$I$38-1,0)),IF(AND($L$37=0,$P$34=0),"",$L$37-1),IF($R$17="Distrato",$E116,0))),0,YEARFRAC(MAX($P$34*($B116+IF($R$17="Distrato",$I$38-1,0)),IF(AND($L$37=0,$P$34=0),"",$L$37-1),IF($R$17="Distrato",$E116,0)),MIN(Y$38,$D$19),$P$20))-SUM($P116:X116)</f>
        <v>#VALUE!</v>
      </c>
      <c r="Z116" s="446" t="e">
        <f>IF(OR($B116="",MIN(Z$38,$D$19)&lt;MAX($P$34*($B116+IF($R$17="Distrato",$I$38-1,0)),IF(AND($L$37=0,$P$34=0),"",$L$37-1),IF($R$17="Distrato",$E116,0))),0,YEARFRAC(MAX($P$34*($B116+IF($R$17="Distrato",$I$38-1,0)),IF(AND($L$37=0,$P$34=0),"",$L$37-1),IF($R$17="Distrato",$E116,0)),MIN(Z$38,$D$19),$P$20))-SUM($P116:Y116)</f>
        <v>#VALUE!</v>
      </c>
      <c r="AA116" s="446" t="e">
        <f>IF(OR($B116="",MIN(AA$38,$D$19)&lt;MAX($P$34*($B116+IF($R$17="Distrato",$I$38-1,0)),IF(AND($L$37=0,$P$34=0),"",$L$37-1),IF($R$17="Distrato",$E116,0))),0,YEARFRAC(MAX($P$34*($B116+IF($R$17="Distrato",$I$38-1,0)),IF(AND($L$37=0,$P$34=0),"",$L$37-1),IF($R$17="Distrato",$E116,0)),MIN(AA$38,$D$19),$P$20))-SUM($P116:Z116)</f>
        <v>#VALUE!</v>
      </c>
      <c r="AB116" s="446" t="e">
        <f>IF(OR($B116="",MIN(AB$38,$D$19)&lt;MAX($P$34*($B116+IF($R$17="Distrato",$I$38-1,0)),IF(AND($L$37=0,$P$34=0),"",$L$37-1),IF($R$17="Distrato",$E116,0))),0,YEARFRAC(MAX($P$34*($B116+IF($R$17="Distrato",$I$38-1,0)),IF(AND($L$37=0,$P$34=0),"",$L$37-1),IF($R$17="Distrato",$E116,0)),MIN(AB$38,$D$19),$P$20))-SUM($P116:AA116)</f>
        <v>#VALUE!</v>
      </c>
      <c r="AC116" s="446" t="e">
        <f>IF(OR($B116="",MIN(AC$38,$D$19)&lt;MAX($P$34*($B116+IF($R$17="Distrato",$I$38-1,0)),IF(AND($L$37=0,$P$34=0),"",$L$37-1),IF($R$17="Distrato",$E116,0))),0,YEARFRAC(MAX($P$34*($B116+IF($R$17="Distrato",$I$38-1,0)),IF(AND($L$37=0,$P$34=0),"",$L$37-1),IF($R$17="Distrato",$E116,0)),MIN(AC$38,$D$19),$P$20))-SUM($P116:AB116)</f>
        <v>#VALUE!</v>
      </c>
      <c r="AD116" s="446" t="e">
        <f>IF(OR($B116="",MIN(AD$38,$D$19)&lt;MAX($P$34*($B116+IF($R$17="Distrato",$I$38-1,0)),IF(AND($L$37=0,$P$34=0),"",$L$37-1),IF($R$17="Distrato",$E116,0))),0,YEARFRAC(MAX($P$34*($B116+IF($R$17="Distrato",$I$38-1,0)),IF(AND($L$37=0,$P$34=0),"",$L$37-1),IF($R$17="Distrato",$E116,0)),MIN(AD$38,$D$19),$P$20))-SUM($P116:AC116)</f>
        <v>#VALUE!</v>
      </c>
      <c r="AE116" s="446" t="e">
        <f>IF(OR($B116="",MIN(AE$38,$D$19)&lt;MAX($P$34*($B116+IF($R$17="Distrato",$I$38-1,0)),IF(AND($L$37=0,$P$34=0),"",$L$37-1),IF($R$17="Distrato",$E116,0))),0,YEARFRAC(MAX($P$34*($B116+IF($R$17="Distrato",$I$38-1,0)),IF(AND($L$37=0,$P$34=0),"",$L$37-1),IF($R$17="Distrato",$E116,0)),MIN(AE$38,$D$19),$P$20))-SUM($P116:AD116)</f>
        <v>#VALUE!</v>
      </c>
      <c r="AF116" s="446" t="e">
        <f>IF(OR($B116="",MIN(AF$38,$D$19)&lt;MAX($P$34*($B116+IF($R$17="Distrato",$I$38-1,0)),IF(AND($L$37=0,$P$34=0),"",$L$37-1),IF($R$17="Distrato",$E116,0))),0,YEARFRAC(MAX($P$34*($B116+IF($R$17="Distrato",$I$38-1,0)),IF(AND($L$37=0,$P$34=0),"",$L$37-1),IF($R$17="Distrato",$E116,0)),MIN(AF$38,$D$19),$P$20))-SUM($P116:AE116)</f>
        <v>#VALUE!</v>
      </c>
      <c r="AG116" s="446" t="e">
        <f>IF(OR($B116="",MIN(AG$38,$D$19)&lt;MAX($P$34*($B116+IF($R$17="Distrato",$I$38-1,0)),IF(AND($L$37=0,$P$34=0),"",$L$37-1),IF($R$17="Distrato",$E116,0))),0,YEARFRAC(MAX($P$34*($B116+IF($R$17="Distrato",$I$38-1,0)),IF(AND($L$37=0,$P$34=0),"",$L$37-1),IF($R$17="Distrato",$E116,0)),MIN(AG$38,$D$19),$P$20))-SUM($P116:AF116)</f>
        <v>#VALUE!</v>
      </c>
      <c r="AH116" s="446" t="e">
        <f>IF(OR($B116="",MIN(AH$38,$D$19)&lt;MAX($P$34*($B116+IF($R$17="Distrato",$I$38-1,0)),IF(AND($L$37=0,$P$34=0),"",$L$37-1),IF($R$17="Distrato",$E116,0))),0,YEARFRAC(MAX($P$34*($B116+IF($R$17="Distrato",$I$38-1,0)),IF(AND($L$37=0,$P$34=0),"",$L$37-1),IF($R$17="Distrato",$E116,0)),MIN(AH$38,$D$19),$P$20))-SUM($P116:AG116)</f>
        <v>#VALUE!</v>
      </c>
      <c r="AI116" s="446" t="e">
        <f>IF(OR($B116="",MIN(AI$38,$D$19)&lt;MAX($P$34*($B116+IF($R$17="Distrato",$I$38-1,0)),IF(AND($L$37=0,$P$34=0),"",$L$37-1),IF($R$17="Distrato",$E116,0))),0,YEARFRAC(MAX($P$34*($B116+IF($R$17="Distrato",$I$38-1,0)),IF(AND($L$37=0,$P$34=0),"",$L$37-1),IF($R$17="Distrato",$E116,0)),MIN(AI$38,$D$19),$P$20))-SUM($P116:AH116)</f>
        <v>#VALUE!</v>
      </c>
      <c r="AJ116" s="446" t="e">
        <f>IF(OR($B116="",MIN(AJ$38,$D$19)&lt;MAX($P$34*($B116+IF($R$17="Distrato",$I$38-1,0)),IF(AND($L$37=0,$P$34=0),"",$L$37-1),IF($R$17="Distrato",$E116,0))),0,YEARFRAC(MAX($P$34*($B116+IF($R$17="Distrato",$I$38-1,0)),IF(AND($L$37=0,$P$34=0),"",$L$37-1),IF($R$17="Distrato",$E116,0)),MIN(AJ$38,$D$19),$P$20))-SUM($P116:AI116)</f>
        <v>#VALUE!</v>
      </c>
      <c r="AK116" s="446" t="e">
        <f>IF(OR($B116="",MIN(AK$38,$D$19)&lt;MAX($P$34*($B116+IF($R$17="Distrato",$I$38-1,0)),IF(AND($L$37=0,$P$34=0),"",$L$37-1),IF($R$17="Distrato",$E116,0))),0,YEARFRAC(MAX($P$34*($B116+IF($R$17="Distrato",$I$38-1,0)),IF(AND($L$37=0,$P$34=0),"",$L$37-1),IF($R$17="Distrato",$E116,0)),MIN(AK$38,$D$19),$P$20))-SUM($P116:AJ116)</f>
        <v>#VALUE!</v>
      </c>
      <c r="AL116" s="446" t="e">
        <f>IF(OR($B116="",MIN(AL$38,$D$19)&lt;MAX($P$34*($B116+IF($R$17="Distrato",$I$38-1,0)),IF(AND($L$37=0,$P$34=0),"",$L$37-1),IF($R$17="Distrato",$E116,0))),0,YEARFRAC(MAX($P$34*($B116+IF($R$17="Distrato",$I$38-1,0)),IF(AND($L$37=0,$P$34=0),"",$L$37-1),IF($R$17="Distrato",$E116,0)),MIN(AL$38,$D$19),$P$20))-SUM($P116:AK116)</f>
        <v>#VALUE!</v>
      </c>
      <c r="AM116" s="446" t="e">
        <f>IF(OR($B116="",MIN(AM$38,$D$19)&lt;MAX($P$34*($B116+IF($R$17="Distrato",$I$38-1,0)),IF(AND($L$37=0,$P$34=0),"",$L$37-1),IF($R$17="Distrato",$E116,0))),0,YEARFRAC(MAX($P$34*($B116+IF($R$17="Distrato",$I$38-1,0)),IF(AND($L$37=0,$P$34=0),"",$L$37-1),IF($R$17="Distrato",$E116,0)),MIN(AM$38,$D$19),$P$20))-SUM($P116:AL116)</f>
        <v>#VALUE!</v>
      </c>
      <c r="AN116" s="446" t="e">
        <f>IF(OR($B116="",MIN(AN$38,$D$19)&lt;MAX($P$34*($B116+IF($R$17="Distrato",$I$38-1,0)),IF(AND($L$37=0,$P$34=0),"",$L$37-1),IF($R$17="Distrato",$E116,0))),0,YEARFRAC(MAX($P$34*($B116+IF($R$17="Distrato",$I$38-1,0)),IF(AND($L$37=0,$P$34=0),"",$L$37-1),IF($R$17="Distrato",$E116,0)),MIN(AN$38,$D$19),$P$20))-SUM($P116:AM116)</f>
        <v>#VALUE!</v>
      </c>
      <c r="AO116" s="446" t="e">
        <f>IF(OR($B116="",MIN(AO$38,$D$19)&lt;MAX($P$34*($B116+IF($R$17="Distrato",$I$38-1,0)),IF(AND($L$37=0,$P$34=0),"",$L$37-1),IF($R$17="Distrato",$E116,0))),0,YEARFRAC(MAX($P$34*($B116+IF($R$17="Distrato",$I$38-1,0)),IF(AND($L$37=0,$P$34=0),"",$L$37-1),IF($R$17="Distrato",$E116,0)),MIN(AO$38,$D$19),$P$20))-SUM($P116:AN116)</f>
        <v>#VALUE!</v>
      </c>
      <c r="AP116" s="446" t="e">
        <f>IF(OR($B116="",MIN(AP$38,$D$19)&lt;MAX($P$34*($B116+IF($R$17="Distrato",$I$38-1,0)),IF(AND($L$37=0,$P$34=0),"",$L$37-1),IF($R$17="Distrato",$E116,0))),0,YEARFRAC(MAX($P$34*($B116+IF($R$17="Distrato",$I$38-1,0)),IF(AND($L$37=0,$P$34=0),"",$L$37-1),IF($R$17="Distrato",$E116,0)),MIN(AP$38,$D$19),$P$20))-SUM($P116:AO116)</f>
        <v>#VALUE!</v>
      </c>
      <c r="AQ116" s="446" t="e">
        <f>IF(OR($B116="",MIN(AQ$38,$D$19)&lt;MAX($P$34*($B116+IF($R$17="Distrato",$I$38-1,0)),IF(AND($L$37=0,$P$34=0),"",$L$37-1),IF($R$17="Distrato",$E116,0))),0,YEARFRAC(MAX($P$34*($B116+IF($R$17="Distrato",$I$38-1,0)),IF(AND($L$37=0,$P$34=0),"",$L$37-1),IF($R$17="Distrato",$E116,0)),MIN(AQ$38,$D$19),$P$20))-SUM($P116:AP116)</f>
        <v>#VALUE!</v>
      </c>
      <c r="AR116" s="446" t="e">
        <f>IF(OR($B116="",MIN(AR$38,$D$19)&lt;MAX($P$34*($B116+IF($R$17="Distrato",$I$38-1,0)),IF(AND($L$37=0,$P$34=0),"",$L$37-1),IF($R$17="Distrato",$E116,0))),0,YEARFRAC(MAX($P$34*($B116+IF($R$17="Distrato",$I$38-1,0)),IF(AND($L$37=0,$P$34=0),"",$L$37-1),IF($R$17="Distrato",$E116,0)),MIN(AR$38,$D$19),$P$20))-SUM($P116:AQ116)</f>
        <v>#VALUE!</v>
      </c>
      <c r="AS116" s="446" t="e">
        <f>IF(OR($B116="",MIN(AS$38,$D$19)&lt;MAX($P$34*($B116+IF($R$17="Distrato",$I$38-1,0)),IF(AND($L$37=0,$P$34=0),"",$L$37-1),IF($R$17="Distrato",$E116,0))),0,YEARFRAC(MAX($P$34*($B116+IF($R$17="Distrato",$I$38-1,0)),IF(AND($L$37=0,$P$34=0),"",$L$37-1),IF($R$17="Distrato",$E116,0)),MIN(AS$38,$D$19),$P$20))-SUM($P116:AR116)</f>
        <v>#VALUE!</v>
      </c>
      <c r="AT116" s="446" t="e">
        <f>IF(OR($B116="",MIN(AT$38,$D$19)&lt;MAX($P$34*($B116+IF($R$17="Distrato",$I$38-1,0)),IF(AND($L$37=0,$P$34=0),"",$L$37-1),IF($R$17="Distrato",$E116,0))),0,YEARFRAC(MAX($P$34*($B116+IF($R$17="Distrato",$I$38-1,0)),IF(AND($L$37=0,$P$34=0),"",$L$37-1),IF($R$17="Distrato",$E116,0)),MIN(AT$38,$D$19),$P$20))-SUM($P116:AS116)</f>
        <v>#VALUE!</v>
      </c>
      <c r="AU116" s="446" t="e">
        <f>IF(OR($B116="",MIN(AU$38,$D$19)&lt;MAX($P$34*($B116+IF($R$17="Distrato",$I$38-1,0)),IF(AND($L$37=0,$P$34=0),"",$L$37-1),IF($R$17="Distrato",$E116,0))),0,YEARFRAC(MAX($P$34*($B116+IF($R$17="Distrato",$I$38-1,0)),IF(AND($L$37=0,$P$34=0),"",$L$37-1),IF($R$17="Distrato",$E116,0)),MIN(AU$38,$D$19),$P$20))-SUM($P116:AT116)</f>
        <v>#VALUE!</v>
      </c>
      <c r="AV116" s="446" t="e">
        <f>IF(OR($B116="",MIN(AV$38,$D$19)&lt;MAX($P$34*($B116+IF($R$17="Distrato",$I$38-1,0)),IF(AND($L$37=0,$P$34=0),"",$L$37-1),IF($R$17="Distrato",$E116,0))),0,YEARFRAC(MAX($P$34*($B116+IF($R$17="Distrato",$I$38-1,0)),IF(AND($L$37=0,$P$34=0),"",$L$37-1),IF($R$17="Distrato",$E116,0)),MIN(AV$38,$D$19),$P$20))-SUM($P116:AU116)</f>
        <v>#VALUE!</v>
      </c>
      <c r="AW116" s="446" t="e">
        <f>IF(OR($B116="",MIN(AW$38,$D$19)&lt;MAX($P$34*($B116+IF($R$17="Distrato",$I$38-1,0)),IF(AND($L$37=0,$P$34=0),"",$L$37-1),IF($R$17="Distrato",$E116,0))),0,YEARFRAC(MAX($P$34*($B116+IF($R$17="Distrato",$I$38-1,0)),IF(AND($L$37=0,$P$34=0),"",$L$37-1),IF($R$17="Distrato",$E116,0)),MIN(AW$38,$D$19),$P$20))-SUM($P116:AV116)</f>
        <v>#VALUE!</v>
      </c>
      <c r="AX116" s="446" t="e">
        <f>IF(OR($B116="",MIN(AX$38,$D$19)&lt;MAX($P$34*($B116+IF($R$17="Distrato",$I$38-1,0)),IF(AND($L$37=0,$P$34=0),"",$L$37-1),IF($R$17="Distrato",$E116,0))),0,YEARFRAC(MAX($P$34*($B116+IF($R$17="Distrato",$I$38-1,0)),IF(AND($L$37=0,$P$34=0),"",$L$37-1),IF($R$17="Distrato",$E116,0)),MIN(AX$38,$D$19),$P$20))-SUM($P116:AW116)</f>
        <v>#VALUE!</v>
      </c>
      <c r="AY116" s="446" t="e">
        <f>IF(OR($B116="",MIN(AY$38,$D$19)&lt;MAX($P$34*($B116+IF($R$17="Distrato",$I$38-1,0)),IF(AND($L$37=0,$P$34=0),"",$L$37-1),IF($R$17="Distrato",$E116,0))),0,YEARFRAC(MAX($P$34*($B116+IF($R$17="Distrato",$I$38-1,0)),IF(AND($L$37=0,$P$34=0),"",$L$37-1),IF($R$17="Distrato",$E116,0)),MIN(AY$38,$D$19),$P$20))-SUM($P116:AX116)</f>
        <v>#VALUE!</v>
      </c>
      <c r="AZ116" s="446" t="e">
        <f>IF(OR($B116="",MIN(AZ$38,$D$19)&lt;MAX($P$34*($B116+IF($R$17="Distrato",$I$38-1,0)),IF(AND($L$37=0,$P$34=0),"",$L$37-1),IF($R$17="Distrato",$E116,0))),0,YEARFRAC(MAX($P$34*($B116+IF($R$17="Distrato",$I$38-1,0)),IF(AND($L$37=0,$P$34=0),"",$L$37-1),IF($R$17="Distrato",$E116,0)),MIN(AZ$38,$D$19),$P$20))-SUM($P116:AY116)</f>
        <v>#VALUE!</v>
      </c>
      <c r="BA116" s="446" t="e">
        <f>IF(OR($B116="",MIN(BA$38,$D$19)&lt;MAX($P$34*($B116+IF($R$17="Distrato",$I$38-1,0)),IF(AND($L$37=0,$P$34=0),"",$L$37-1),IF($R$17="Distrato",$E116,0))),0,YEARFRAC(MAX($P$34*($B116+IF($R$17="Distrato",$I$38-1,0)),IF(AND($L$37=0,$P$34=0),"",$L$37-1),IF($R$17="Distrato",$E116,0)),MIN(BA$38,$D$19),$P$20))-SUM($P116:AZ116)</f>
        <v>#VALUE!</v>
      </c>
      <c r="BB116" s="447"/>
      <c r="BF116" s="446">
        <f t="shared" si="21"/>
        <v>0</v>
      </c>
      <c r="BG116" s="446">
        <f>IF($E116=0,0,IF(MIN(BG$38,$E116)&lt;MAX($P$34*($B116+$I$38-1),IF(AND($L$37=0,$P$34=0),"",$L$37-1)),0,YEARFRAC(MAX($P$34*($B116+$I$38-1),IF(AND($L$37=0,$P$34=0),"",$L$37-1)),MIN(BG$38,$E116),$P$20))-SUM($BF116:BF116))</f>
        <v>0</v>
      </c>
      <c r="BH116" s="446">
        <f>IF($E116=0,0,IF(MIN(BH$38,$E116)&lt;MAX($P$34*($B116+$I$38-1),IF(AND($L$37=0,$P$34=0),"",$L$37-1)),0,YEARFRAC(MAX($P$34*($B116+$I$38-1),IF(AND($L$37=0,$P$34=0),"",$L$37-1)),MIN(BH$38,$E116),$P$20))-SUM($BF116:BG116))</f>
        <v>0</v>
      </c>
      <c r="BI116" s="446">
        <f>IF($E116=0,0,IF(MIN(BI$38,$E116)&lt;MAX($P$34*($B116+$I$38-1),IF(AND($L$37=0,$P$34=0),"",$L$37-1)),0,YEARFRAC(MAX($P$34*($B116+$I$38-1),IF(AND($L$37=0,$P$34=0),"",$L$37-1)),MIN(BI$38,$E116),$P$20))-SUM($BF116:BH116))</f>
        <v>0</v>
      </c>
      <c r="BJ116" s="446">
        <f>IF($E116=0,0,IF(MIN(BJ$38,$E116)&lt;MAX($P$34*($B116+$I$38-1),IF(AND($L$37=0,$P$34=0),"",$L$37-1)),0,YEARFRAC(MAX($P$34*($B116+$I$38-1),IF(AND($L$37=0,$P$34=0),"",$L$37-1)),MIN(BJ$38,$E116),$P$20))-SUM($BF116:BI116))</f>
        <v>0</v>
      </c>
      <c r="BK116" s="446">
        <f>IF($E116=0,0,IF(MIN(BK$38,$E116)&lt;MAX($P$34*($B116+$I$38-1),IF(AND($L$37=0,$P$34=0),"",$L$37-1)),0,YEARFRAC(MAX($P$34*($B116+$I$38-1),IF(AND($L$37=0,$P$34=0),"",$L$37-1)),MIN(BK$38,$E116),$P$20))-SUM($BF116:BJ116))</f>
        <v>0</v>
      </c>
      <c r="BL116" s="446">
        <f>IF($E116=0,0,IF(MIN(BL$38,$E116)&lt;MAX($P$34*($B116+$I$38-1),IF(AND($L$37=0,$P$34=0),"",$L$37-1)),0,YEARFRAC(MAX($P$34*($B116+$I$38-1),IF(AND($L$37=0,$P$34=0),"",$L$37-1)),MIN(BL$38,$E116),$P$20))-SUM($BF116:BK116))</f>
        <v>0</v>
      </c>
      <c r="BM116" s="446">
        <f>IF($E116=0,0,IF(MIN(BM$38,$E116)&lt;MAX($P$34*($B116+$I$38-1),IF(AND($L$37=0,$P$34=0),"",$L$37-1)),0,YEARFRAC(MAX($P$34*($B116+$I$38-1),IF(AND($L$37=0,$P$34=0),"",$L$37-1)),MIN(BM$38,$E116),$P$20))-SUM($BF116:BL116))</f>
        <v>0</v>
      </c>
      <c r="BN116" s="446">
        <f>IF($E116=0,0,IF(MIN(BN$38,$E116)&lt;MAX($P$34*($B116+$I$38-1),IF(AND($L$37=0,$P$34=0),"",$L$37-1)),0,YEARFRAC(MAX($P$34*($B116+$I$38-1),IF(AND($L$37=0,$P$34=0),"",$L$37-1)),MIN(BN$38,$E116),$P$20))-SUM($BF116:BM116))</f>
        <v>0</v>
      </c>
      <c r="BO116" s="446">
        <f>IF($E116=0,0,IF(MIN(BO$38,$E116)&lt;MAX($P$34*($B116+$I$38-1),IF(AND($L$37=0,$P$34=0),"",$L$37-1)),0,YEARFRAC(MAX($P$34*($B116+$I$38-1),IF(AND($L$37=0,$P$34=0),"",$L$37-1)),MIN(BO$38,$E116),$P$20))-SUM($BF116:BN116))</f>
        <v>0</v>
      </c>
      <c r="BP116" s="446">
        <f>IF($E116=0,0,IF(MIN(BP$38,$E116)&lt;MAX($P$34*($B116+$I$38-1),IF(AND($L$37=0,$P$34=0),"",$L$37-1)),0,YEARFRAC(MAX($P$34*($B116+$I$38-1),IF(AND($L$37=0,$P$34=0),"",$L$37-1)),MIN(BP$38,$E116),$P$20))-SUM($BF116:BO116))</f>
        <v>0</v>
      </c>
      <c r="BQ116" s="446">
        <f>IF($E116=0,0,IF(MIN(BQ$38,$E116)&lt;MAX($P$34*($B116+$I$38-1),IF(AND($L$37=0,$P$34=0),"",$L$37-1)),0,YEARFRAC(MAX($P$34*($B116+$I$38-1),IF(AND($L$37=0,$P$34=0),"",$L$37-1)),MIN(BQ$38,$E116),$P$20))-SUM($BF116:BP116))</f>
        <v>0</v>
      </c>
      <c r="BR116" s="446">
        <f>IF($E116=0,0,IF(MIN(BR$38,$E116)&lt;MAX($P$34*($B116+$I$38-1),IF(AND($L$37=0,$P$34=0),"",$L$37-1)),0,YEARFRAC(MAX($P$34*($B116+$I$38-1),IF(AND($L$37=0,$P$34=0),"",$L$37-1)),MIN(BR$38,$E116),$P$20))-SUM($BF116:BQ116))</f>
        <v>0</v>
      </c>
      <c r="BS116" s="446">
        <f>IF($E116=0,0,IF(MIN(BS$38,$E116)&lt;MAX($P$34*($B116+$I$38-1),IF(AND($L$37=0,$P$34=0),"",$L$37-1)),0,YEARFRAC(MAX($P$34*($B116+$I$38-1),IF(AND($L$37=0,$P$34=0),"",$L$37-1)),MIN(BS$38,$E116),$P$20))-SUM($BF116:BR116))</f>
        <v>0</v>
      </c>
      <c r="BT116" s="446">
        <f>IF($E116=0,0,IF(MIN(BT$38,$E116)&lt;MAX($P$34*($B116+$I$38-1),IF(AND($L$37=0,$P$34=0),"",$L$37-1)),0,YEARFRAC(MAX($P$34*($B116+$I$38-1),IF(AND($L$37=0,$P$34=0),"",$L$37-1)),MIN(BT$38,$E116),$P$20))-SUM($BF116:BS116))</f>
        <v>0</v>
      </c>
      <c r="BU116" s="446">
        <f>IF($E116=0,0,IF(MIN(BU$38,$E116)&lt;MAX($P$34*($B116+$I$38-1),IF(AND($L$37=0,$P$34=0),"",$L$37-1)),0,YEARFRAC(MAX($P$34*($B116+$I$38-1),IF(AND($L$37=0,$P$34=0),"",$L$37-1)),MIN(BU$38,$E116),$P$20))-SUM($BF116:BT116))</f>
        <v>0</v>
      </c>
      <c r="BV116" s="446">
        <f>IF($E116=0,0,IF(MIN(BV$38,$E116)&lt;MAX($P$34*($B116+$I$38-1),IF(AND($L$37=0,$P$34=0),"",$L$37-1)),0,YEARFRAC(MAX($P$34*($B116+$I$38-1),IF(AND($L$37=0,$P$34=0),"",$L$37-1)),MIN(BV$38,$E116),$P$20))-SUM($BF116:BU116))</f>
        <v>0</v>
      </c>
      <c r="BW116" s="446">
        <f>IF($E116=0,0,IF(MIN(BW$38,$E116)&lt;MAX($P$34*($B116+$I$38-1),IF(AND($L$37=0,$P$34=0),"",$L$37-1)),0,YEARFRAC(MAX($P$34*($B116+$I$38-1),IF(AND($L$37=0,$P$34=0),"",$L$37-1)),MIN(BW$38,$E116),$P$20))-SUM($BF116:BV116))</f>
        <v>0</v>
      </c>
      <c r="BX116" s="446">
        <f>IF($E116=0,0,IF(MIN(BX$38,$E116)&lt;MAX($P$34*($B116+$I$38-1),IF(AND($L$37=0,$P$34=0),"",$L$37-1)),0,YEARFRAC(MAX($P$34*($B116+$I$38-1),IF(AND($L$37=0,$P$34=0),"",$L$37-1)),MIN(BX$38,$E116),$P$20))-SUM($BF116:BW116))</f>
        <v>0</v>
      </c>
      <c r="BY116" s="446">
        <f>IF($E116=0,0,IF(MIN(BY$38,$E116)&lt;MAX($P$34*($B116+$I$38-1),IF(AND($L$37=0,$P$34=0),"",$L$37-1)),0,YEARFRAC(MAX($P$34*($B116+$I$38-1),IF(AND($L$37=0,$P$34=0),"",$L$37-1)),MIN(BY$38,$E116),$P$20))-SUM($BF116:BX116))</f>
        <v>0</v>
      </c>
      <c r="BZ116" s="446">
        <f>IF($E116=0,0,IF(MIN(BZ$38,$E116)&lt;MAX($P$34*($B116+$I$38-1),IF(AND($L$37=0,$P$34=0),"",$L$37-1)),0,YEARFRAC(MAX($P$34*($B116+$I$38-1),IF(AND($L$37=0,$P$34=0),"",$L$37-1)),MIN(BZ$38,$E116),$P$20))-SUM($BF116:BY116))</f>
        <v>0</v>
      </c>
      <c r="CA116" s="446">
        <f>IF($E116=0,0,IF(MIN(CA$38,$E116)&lt;MAX($P$34*($B116+$I$38-1),IF(AND($L$37=0,$P$34=0),"",$L$37-1)),0,YEARFRAC(MAX($P$34*($B116+$I$38-1),IF(AND($L$37=0,$P$34=0),"",$L$37-1)),MIN(CA$38,$E116),$P$20))-SUM($BF116:BZ116))</f>
        <v>0</v>
      </c>
      <c r="CB116" s="446">
        <f>IF($E116=0,0,IF(MIN(CB$38,$E116)&lt;MAX($P$34*($B116+$I$38-1),IF(AND($L$37=0,$P$34=0),"",$L$37-1)),0,YEARFRAC(MAX($P$34*($B116+$I$38-1),IF(AND($L$37=0,$P$34=0),"",$L$37-1)),MIN(CB$38,$E116),$P$20))-SUM($BF116:CA116))</f>
        <v>0</v>
      </c>
      <c r="CC116" s="446">
        <f>IF($E116=0,0,IF(MIN(CC$38,$E116)&lt;MAX($P$34*($B116+$I$38-1),IF(AND($L$37=0,$P$34=0),"",$L$37-1)),0,YEARFRAC(MAX($P$34*($B116+$I$38-1),IF(AND($L$37=0,$P$34=0),"",$L$37-1)),MIN(CC$38,$E116),$P$20))-SUM($BF116:CB116))</f>
        <v>0</v>
      </c>
      <c r="CD116" s="446">
        <f>IF($E116=0,0,IF(MIN(CD$38,$E116)&lt;MAX($P$34*($B116+$I$38-1),IF(AND($L$37=0,$P$34=0),"",$L$37-1)),0,YEARFRAC(MAX($P$34*($B116+$I$38-1),IF(AND($L$37=0,$P$34=0),"",$L$37-1)),MIN(CD$38,$E116),$P$20))-SUM($BF116:CC116))</f>
        <v>0</v>
      </c>
      <c r="CE116" s="446">
        <f>IF($E116=0,0,IF(MIN(CE$38,$E116)&lt;MAX($P$34*($B116+$I$38-1),IF(AND($L$37=0,$P$34=0),"",$L$37-1)),0,YEARFRAC(MAX($P$34*($B116+$I$38-1),IF(AND($L$37=0,$P$34=0),"",$L$37-1)),MIN(CE$38,$E116),$P$20))-SUM($BF116:CD116))</f>
        <v>0</v>
      </c>
      <c r="CF116" s="446">
        <f>IF($E116=0,0,IF(MIN(CF$38,$E116)&lt;MAX($P$34*($B116+$I$38-1),IF(AND($L$37=0,$P$34=0),"",$L$37-1)),0,YEARFRAC(MAX($P$34*($B116+$I$38-1),IF(AND($L$37=0,$P$34=0),"",$L$37-1)),MIN(CF$38,$E116),$P$20))-SUM($BF116:CE116))</f>
        <v>0</v>
      </c>
      <c r="CG116" s="446">
        <f>IF($E116=0,0,IF(MIN(CG$38,$E116)&lt;MAX($P$34*($B116+$I$38-1),IF(AND($L$37=0,$P$34=0),"",$L$37-1)),0,YEARFRAC(MAX($P$34*($B116+$I$38-1),IF(AND($L$37=0,$P$34=0),"",$L$37-1)),MIN(CG$38,$E116),$P$20))-SUM($BF116:CF116))</f>
        <v>0</v>
      </c>
      <c r="CH116" s="446">
        <f>IF($E116=0,0,IF(MIN(CH$38,$E116)&lt;MAX($P$34*($B116+$I$38-1),IF(AND($L$37=0,$P$34=0),"",$L$37-1)),0,YEARFRAC(MAX($P$34*($B116+$I$38-1),IF(AND($L$37=0,$P$34=0),"",$L$37-1)),MIN(CH$38,$E116),$P$20))-SUM($BF116:CG116))</f>
        <v>0</v>
      </c>
      <c r="CI116" s="446">
        <f>IF($E116=0,0,IF(MIN(CI$38,$E116)&lt;MAX($P$34*($B116+$I$38-1),IF(AND($L$37=0,$P$34=0),"",$L$37-1)),0,YEARFRAC(MAX($P$34*($B116+$I$38-1),IF(AND($L$37=0,$P$34=0),"",$L$37-1)),MIN(CI$38,$E116),$P$20))-SUM($BF116:CH116))</f>
        <v>0</v>
      </c>
      <c r="CJ116" s="446">
        <f>IF($E116=0,0,IF(MIN(CJ$38,$E116)&lt;MAX($P$34*($B116+$I$38-1),IF(AND($L$37=0,$P$34=0),"",$L$37-1)),0,YEARFRAC(MAX($P$34*($B116+$I$38-1),IF(AND($L$37=0,$P$34=0),"",$L$37-1)),MIN(CJ$38,$E116),$P$20))-SUM($BF116:CI116))</f>
        <v>0</v>
      </c>
      <c r="CK116" s="446">
        <f>IF($E116=0,0,IF(MIN(CK$38,$E116)&lt;MAX($P$34*($B116+$I$38-1),IF(AND($L$37=0,$P$34=0),"",$L$37-1)),0,YEARFRAC(MAX($P$34*($B116+$I$38-1),IF(AND($L$37=0,$P$34=0),"",$L$37-1)),MIN(CK$38,$E116),$P$20))-SUM($BF116:CJ116))</f>
        <v>0</v>
      </c>
      <c r="CL116" s="446">
        <f>IF($E116=0,0,IF(MIN(CL$38,$E116)&lt;MAX($P$34*($B116+$I$38-1),IF(AND($L$37=0,$P$34=0),"",$L$37-1)),0,YEARFRAC(MAX($P$34*($B116+$I$38-1),IF(AND($L$37=0,$P$34=0),"",$L$37-1)),MIN(CL$38,$E116),$P$20))-SUM($BF116:CK116))</f>
        <v>0</v>
      </c>
      <c r="CM116" s="446">
        <f>IF($E116=0,0,IF(MIN(CM$38,$E116)&lt;MAX($P$34*($B116+$I$38-1),IF(AND($L$37=0,$P$34=0),"",$L$37-1)),0,YEARFRAC(MAX($P$34*($B116+$I$38-1),IF(AND($L$37=0,$P$34=0),"",$L$37-1)),MIN(CM$38,$E116),$P$20))-SUM($BF116:CL116))</f>
        <v>0</v>
      </c>
      <c r="CN116" s="446">
        <f>IF($E116=0,0,IF(MIN(CN$38,$E116)&lt;MAX($P$34*($B116+$I$38-1),IF(AND($L$37=0,$P$34=0),"",$L$37-1)),0,YEARFRAC(MAX($P$34*($B116+$I$38-1),IF(AND($L$37=0,$P$34=0),"",$L$37-1)),MIN(CN$38,$E116),$P$20))-SUM($BF116:CM116))</f>
        <v>0</v>
      </c>
      <c r="CO116" s="446">
        <f>IF($E116=0,0,IF(MIN(CO$38,$E116)&lt;MAX($P$34*($B116+$I$38-1),IF(AND($L$37=0,$P$34=0),"",$L$37-1)),0,YEARFRAC(MAX($P$34*($B116+$I$38-1),IF(AND($L$37=0,$P$34=0),"",$L$37-1)),MIN(CO$38,$E116),$P$20))-SUM($BF116:CN116))</f>
        <v>0</v>
      </c>
      <c r="CP116" s="446">
        <f>IF($E116=0,0,IF(MIN(CP$38,$E116)&lt;MAX($P$34*($B116+$I$38-1),IF(AND($L$37=0,$P$34=0),"",$L$37-1)),0,YEARFRAC(MAX($P$34*($B116+$I$38-1),IF(AND($L$37=0,$P$34=0),"",$L$37-1)),MIN(CP$38,$E116),$P$20))-SUM($BF116:CO116))</f>
        <v>0</v>
      </c>
      <c r="CQ116" s="446">
        <f>IF($E116=0,0,IF(MIN(CQ$38,$E116)&lt;MAX($P$34*($B116+$I$38-1),IF(AND($L$37=0,$P$34=0),"",$L$37-1)),0,YEARFRAC(MAX($P$34*($B116+$I$38-1),IF(AND($L$37=0,$P$34=0),"",$L$37-1)),MIN(CQ$38,$E116),$P$20))-SUM($BF116:CP116))</f>
        <v>0</v>
      </c>
    </row>
    <row r="117" spans="1:95" s="446" customFormat="1" ht="11.25" hidden="1" customHeight="1" x14ac:dyDescent="0.2">
      <c r="A117" s="152"/>
      <c r="B117" s="153" t="str">
        <f t="shared" si="26"/>
        <v/>
      </c>
      <c r="C117" s="29" t="str">
        <f>IF(B117="","",IF($L$35="SELIC - TRIBUTOS",VLOOKUP(DATE(YEAR($D$19),MONTH($D$19)-1,1),ÍNDICES!$A:$DE,HLOOKUP($BL$25,ÍNDICES!$B$3:$T$4,2)+11)-VLOOKUP(B117,ÍNDICES!$A:$DE,HLOOKUP($BL$25,ÍNDICES!$B$3:$T$4,2)+11)+1%,IF(C$38=$W$26,$J$35,IF(ISERROR(IF(B117&gt;$D$19,1,VLOOKUP(DATE(YEAR(B117),MONTH(B117)+IF($C$35=$S$23,1,0),1),ÍNDICES!$A:$DE,$Z$35+1))),"",IF(B117&gt;$D$19,1,VLOOKUP(DATE(YEAR(B117),MONTH(B117)+IF($C$35=$S$23,1,0),1),ÍNDICES!$A:$DE,$Z$35+1))))))</f>
        <v/>
      </c>
      <c r="D117" s="154" t="str">
        <f>IF(ISERROR(IF(OR($D$38=$Y$27,$B117=""),"",VLOOKUP(B117,ÍNDICES!A:DE,AF$35+1))),"",IF(OR($D$38=$Y$27,$B117=""),"",VLOOKUP(B117,ÍNDICES!A:DE,AF$35+1)))</f>
        <v/>
      </c>
      <c r="E117" s="153"/>
      <c r="F117" s="29" t="str">
        <f>IF(E117="","",IF($L$35="SELIC - TRIBUTOS",VLOOKUP(DATE(YEAR($D$19),MONTH($D$19)-1,1),ÍNDICES!$A:$DE,HLOOKUP($BL$25,ÍNDICES!$B$3:$T$4,2)+11)-VLOOKUP(E117,ÍNDICES!$A:$DE,HLOOKUP($BL$25,ÍNDICES!$B$3:$T$4,2)+11)+1%,IF(F$38=$W$26,$J$35,IF(ISERROR(IF(E117&gt;$D$19,1,VLOOKUP(DATE(YEAR(E117),MONTH(E117)+IF($C$35=$S$23,1,0),1),ÍNDICES!$A:$DE,$Z$35+1))),"",IF(E117&gt;$D$19,1,VLOOKUP(DATE(YEAR(E117),MONTH(E117)+IF($C$35=$S$23,1,0),1),ÍNDICES!$A:$DE,$Z$35+1))))))</f>
        <v/>
      </c>
      <c r="G117" s="155"/>
      <c r="H117" s="156" t="str">
        <f t="shared" si="22"/>
        <v/>
      </c>
      <c r="I117" s="29" t="str">
        <f t="shared" si="16"/>
        <v/>
      </c>
      <c r="J117" s="5">
        <f t="shared" si="17"/>
        <v>0</v>
      </c>
      <c r="K117" s="20">
        <f t="shared" ca="1" si="18"/>
        <v>0</v>
      </c>
      <c r="L117" s="5">
        <f t="shared" ca="1" si="19"/>
        <v>0</v>
      </c>
      <c r="M117" s="64">
        <f t="shared" si="23"/>
        <v>0</v>
      </c>
      <c r="N117" s="61">
        <f t="shared" ca="1" si="24"/>
        <v>0</v>
      </c>
      <c r="O117" s="5">
        <f t="shared" ca="1" si="25"/>
        <v>0</v>
      </c>
      <c r="P117" s="446" t="e">
        <f t="shared" si="20"/>
        <v>#VALUE!</v>
      </c>
      <c r="Q117" s="446" t="e">
        <f>IF(OR($B117="",MIN(Q$38,$D$19)&lt;MAX($P$34*($B117+IF($R$17="Distrato",$I$38-1,0)),IF(AND($L$37=0,$P$34=0),"",$L$37-1),IF($R$17="Distrato",$E117,0))),0,YEARFRAC(MAX($P$34*($B117+IF($R$17="Distrato",$I$38-1,0)),IF(AND($L$37=0,$P$34=0),"",$L$37-1),IF($R$17="Distrato",$E117,0)),MIN(Q$38,$D$19),$P$20))-SUM($P117:P117)</f>
        <v>#VALUE!</v>
      </c>
      <c r="R117" s="446" t="e">
        <f>IF(OR($B117="",MIN(R$38,$D$19)&lt;MAX($P$34*($B117+IF($R$17="Distrato",$I$38-1,0)),IF(AND($L$37=0,$P$34=0),"",$L$37-1),IF($R$17="Distrato",$E117,0))),0,YEARFRAC(MAX($P$34*($B117+IF($R$17="Distrato",$I$38-1,0)),IF(AND($L$37=0,$P$34=0),"",$L$37-1),IF($R$17="Distrato",$E117,0)),MIN(R$38,$D$19),$P$20))-SUM($P117:Q117)</f>
        <v>#VALUE!</v>
      </c>
      <c r="S117" s="446" t="e">
        <f>IF(OR($B117="",MIN(S$38,$D$19)&lt;MAX($P$34*($B117+IF($R$17="Distrato",$I$38-1,0)),IF(AND($L$37=0,$P$34=0),"",$L$37-1),IF($R$17="Distrato",$E117,0))),0,YEARFRAC(MAX($P$34*($B117+IF($R$17="Distrato",$I$38-1,0)),IF(AND($L$37=0,$P$34=0),"",$L$37-1),IF($R$17="Distrato",$E117,0)),MIN(S$38,$D$19),$P$20))-SUM($P117:R117)</f>
        <v>#VALUE!</v>
      </c>
      <c r="T117" s="446" t="e">
        <f>IF(OR($B117="",MIN(T$38,$D$19)&lt;MAX($P$34*($B117+IF($R$17="Distrato",$I$38-1,0)),IF(AND($L$37=0,$P$34=0),"",$L$37-1),IF($R$17="Distrato",$E117,0))),0,YEARFRAC(MAX($P$34*($B117+IF($R$17="Distrato",$I$38-1,0)),IF(AND($L$37=0,$P$34=0),"",$L$37-1),IF($R$17="Distrato",$E117,0)),MIN(T$38,$D$19),$P$20))-SUM($P117:S117)</f>
        <v>#VALUE!</v>
      </c>
      <c r="U117" s="446" t="e">
        <f>IF(OR($B117="",MIN(U$38,$D$19)&lt;MAX($P$34*($B117+IF($R$17="Distrato",$I$38-1,0)),IF(AND($L$37=0,$P$34=0),"",$L$37-1),IF($R$17="Distrato",$E117,0))),0,YEARFRAC(MAX($P$34*($B117+IF($R$17="Distrato",$I$38-1,0)),IF(AND($L$37=0,$P$34=0),"",$L$37-1),IF($R$17="Distrato",$E117,0)),MIN(U$38,$D$19),$P$20))-SUM($P117:T117)</f>
        <v>#VALUE!</v>
      </c>
      <c r="V117" s="446" t="e">
        <f>IF(OR($B117="",MIN(V$38,$D$19)&lt;MAX($P$34*($B117+IF($R$17="Distrato",$I$38-1,0)),IF(AND($L$37=0,$P$34=0),"",$L$37-1),IF($R$17="Distrato",$E117,0))),0,YEARFRAC(MAX($P$34*($B117+IF($R$17="Distrato",$I$38-1,0)),IF(AND($L$37=0,$P$34=0),"",$L$37-1),IF($R$17="Distrato",$E117,0)),MIN(V$38,$D$19),$P$20))-SUM($P117:U117)</f>
        <v>#VALUE!</v>
      </c>
      <c r="W117" s="446" t="e">
        <f>IF(OR($B117="",MIN(W$38,$D$19)&lt;MAX($P$34*($B117+IF($R$17="Distrato",$I$38-1,0)),IF(AND($L$37=0,$P$34=0),"",$L$37-1),IF($R$17="Distrato",$E117,0))),0,YEARFRAC(MAX($P$34*($B117+IF($R$17="Distrato",$I$38-1,0)),IF(AND($L$37=0,$P$34=0),"",$L$37-1),IF($R$17="Distrato",$E117,0)),MIN(W$38,$D$19),$P$20))-SUM($P117:V117)</f>
        <v>#VALUE!</v>
      </c>
      <c r="X117" s="446" t="e">
        <f>IF(OR($B117="",MIN(X$38,$D$19)&lt;MAX($P$34*($B117+IF($R$17="Distrato",$I$38-1,0)),IF(AND($L$37=0,$P$34=0),"",$L$37-1),IF($R$17="Distrato",$E117,0))),0,YEARFRAC(MAX($P$34*($B117+IF($R$17="Distrato",$I$38-1,0)),IF(AND($L$37=0,$P$34=0),"",$L$37-1),IF($R$17="Distrato",$E117,0)),MIN(X$38,$D$19),$P$20))-SUM($P117:W117)</f>
        <v>#VALUE!</v>
      </c>
      <c r="Y117" s="446" t="e">
        <f>IF(OR($B117="",MIN(Y$38,$D$19)&lt;MAX($P$34*($B117+IF($R$17="Distrato",$I$38-1,0)),IF(AND($L$37=0,$P$34=0),"",$L$37-1),IF($R$17="Distrato",$E117,0))),0,YEARFRAC(MAX($P$34*($B117+IF($R$17="Distrato",$I$38-1,0)),IF(AND($L$37=0,$P$34=0),"",$L$37-1),IF($R$17="Distrato",$E117,0)),MIN(Y$38,$D$19),$P$20))-SUM($P117:X117)</f>
        <v>#VALUE!</v>
      </c>
      <c r="Z117" s="446" t="e">
        <f>IF(OR($B117="",MIN(Z$38,$D$19)&lt;MAX($P$34*($B117+IF($R$17="Distrato",$I$38-1,0)),IF(AND($L$37=0,$P$34=0),"",$L$37-1),IF($R$17="Distrato",$E117,0))),0,YEARFRAC(MAX($P$34*($B117+IF($R$17="Distrato",$I$38-1,0)),IF(AND($L$37=0,$P$34=0),"",$L$37-1),IF($R$17="Distrato",$E117,0)),MIN(Z$38,$D$19),$P$20))-SUM($P117:Y117)</f>
        <v>#VALUE!</v>
      </c>
      <c r="AA117" s="446" t="e">
        <f>IF(OR($B117="",MIN(AA$38,$D$19)&lt;MAX($P$34*($B117+IF($R$17="Distrato",$I$38-1,0)),IF(AND($L$37=0,$P$34=0),"",$L$37-1),IF($R$17="Distrato",$E117,0))),0,YEARFRAC(MAX($P$34*($B117+IF($R$17="Distrato",$I$38-1,0)),IF(AND($L$37=0,$P$34=0),"",$L$37-1),IF($R$17="Distrato",$E117,0)),MIN(AA$38,$D$19),$P$20))-SUM($P117:Z117)</f>
        <v>#VALUE!</v>
      </c>
      <c r="AB117" s="446" t="e">
        <f>IF(OR($B117="",MIN(AB$38,$D$19)&lt;MAX($P$34*($B117+IF($R$17="Distrato",$I$38-1,0)),IF(AND($L$37=0,$P$34=0),"",$L$37-1),IF($R$17="Distrato",$E117,0))),0,YEARFRAC(MAX($P$34*($B117+IF($R$17="Distrato",$I$38-1,0)),IF(AND($L$37=0,$P$34=0),"",$L$37-1),IF($R$17="Distrato",$E117,0)),MIN(AB$38,$D$19),$P$20))-SUM($P117:AA117)</f>
        <v>#VALUE!</v>
      </c>
      <c r="AC117" s="446" t="e">
        <f>IF(OR($B117="",MIN(AC$38,$D$19)&lt;MAX($P$34*($B117+IF($R$17="Distrato",$I$38-1,0)),IF(AND($L$37=0,$P$34=0),"",$L$37-1),IF($R$17="Distrato",$E117,0))),0,YEARFRAC(MAX($P$34*($B117+IF($R$17="Distrato",$I$38-1,0)),IF(AND($L$37=0,$P$34=0),"",$L$37-1),IF($R$17="Distrato",$E117,0)),MIN(AC$38,$D$19),$P$20))-SUM($P117:AB117)</f>
        <v>#VALUE!</v>
      </c>
      <c r="AD117" s="446" t="e">
        <f>IF(OR($B117="",MIN(AD$38,$D$19)&lt;MAX($P$34*($B117+IF($R$17="Distrato",$I$38-1,0)),IF(AND($L$37=0,$P$34=0),"",$L$37-1),IF($R$17="Distrato",$E117,0))),0,YEARFRAC(MAX($P$34*($B117+IF($R$17="Distrato",$I$38-1,0)),IF(AND($L$37=0,$P$34=0),"",$L$37-1),IF($R$17="Distrato",$E117,0)),MIN(AD$38,$D$19),$P$20))-SUM($P117:AC117)</f>
        <v>#VALUE!</v>
      </c>
      <c r="AE117" s="446" t="e">
        <f>IF(OR($B117="",MIN(AE$38,$D$19)&lt;MAX($P$34*($B117+IF($R$17="Distrato",$I$38-1,0)),IF(AND($L$37=0,$P$34=0),"",$L$37-1),IF($R$17="Distrato",$E117,0))),0,YEARFRAC(MAX($P$34*($B117+IF($R$17="Distrato",$I$38-1,0)),IF(AND($L$37=0,$P$34=0),"",$L$37-1),IF($R$17="Distrato",$E117,0)),MIN(AE$38,$D$19),$P$20))-SUM($P117:AD117)</f>
        <v>#VALUE!</v>
      </c>
      <c r="AF117" s="446" t="e">
        <f>IF(OR($B117="",MIN(AF$38,$D$19)&lt;MAX($P$34*($B117+IF($R$17="Distrato",$I$38-1,0)),IF(AND($L$37=0,$P$34=0),"",$L$37-1),IF($R$17="Distrato",$E117,0))),0,YEARFRAC(MAX($P$34*($B117+IF($R$17="Distrato",$I$38-1,0)),IF(AND($L$37=0,$P$34=0),"",$L$37-1),IF($R$17="Distrato",$E117,0)),MIN(AF$38,$D$19),$P$20))-SUM($P117:AE117)</f>
        <v>#VALUE!</v>
      </c>
      <c r="AG117" s="446" t="e">
        <f>IF(OR($B117="",MIN(AG$38,$D$19)&lt;MAX($P$34*($B117+IF($R$17="Distrato",$I$38-1,0)),IF(AND($L$37=0,$P$34=0),"",$L$37-1),IF($R$17="Distrato",$E117,0))),0,YEARFRAC(MAX($P$34*($B117+IF($R$17="Distrato",$I$38-1,0)),IF(AND($L$37=0,$P$34=0),"",$L$37-1),IF($R$17="Distrato",$E117,0)),MIN(AG$38,$D$19),$P$20))-SUM($P117:AF117)</f>
        <v>#VALUE!</v>
      </c>
      <c r="AH117" s="446" t="e">
        <f>IF(OR($B117="",MIN(AH$38,$D$19)&lt;MAX($P$34*($B117+IF($R$17="Distrato",$I$38-1,0)),IF(AND($L$37=0,$P$34=0),"",$L$37-1),IF($R$17="Distrato",$E117,0))),0,YEARFRAC(MAX($P$34*($B117+IF($R$17="Distrato",$I$38-1,0)),IF(AND($L$37=0,$P$34=0),"",$L$37-1),IF($R$17="Distrato",$E117,0)),MIN(AH$38,$D$19),$P$20))-SUM($P117:AG117)</f>
        <v>#VALUE!</v>
      </c>
      <c r="AI117" s="446" t="e">
        <f>IF(OR($B117="",MIN(AI$38,$D$19)&lt;MAX($P$34*($B117+IF($R$17="Distrato",$I$38-1,0)),IF(AND($L$37=0,$P$34=0),"",$L$37-1),IF($R$17="Distrato",$E117,0))),0,YEARFRAC(MAX($P$34*($B117+IF($R$17="Distrato",$I$38-1,0)),IF(AND($L$37=0,$P$34=0),"",$L$37-1),IF($R$17="Distrato",$E117,0)),MIN(AI$38,$D$19),$P$20))-SUM($P117:AH117)</f>
        <v>#VALUE!</v>
      </c>
      <c r="AJ117" s="446" t="e">
        <f>IF(OR($B117="",MIN(AJ$38,$D$19)&lt;MAX($P$34*($B117+IF($R$17="Distrato",$I$38-1,0)),IF(AND($L$37=0,$P$34=0),"",$L$37-1),IF($R$17="Distrato",$E117,0))),0,YEARFRAC(MAX($P$34*($B117+IF($R$17="Distrato",$I$38-1,0)),IF(AND($L$37=0,$P$34=0),"",$L$37-1),IF($R$17="Distrato",$E117,0)),MIN(AJ$38,$D$19),$P$20))-SUM($P117:AI117)</f>
        <v>#VALUE!</v>
      </c>
      <c r="AK117" s="446" t="e">
        <f>IF(OR($B117="",MIN(AK$38,$D$19)&lt;MAX($P$34*($B117+IF($R$17="Distrato",$I$38-1,0)),IF(AND($L$37=0,$P$34=0),"",$L$37-1),IF($R$17="Distrato",$E117,0))),0,YEARFRAC(MAX($P$34*($B117+IF($R$17="Distrato",$I$38-1,0)),IF(AND($L$37=0,$P$34=0),"",$L$37-1),IF($R$17="Distrato",$E117,0)),MIN(AK$38,$D$19),$P$20))-SUM($P117:AJ117)</f>
        <v>#VALUE!</v>
      </c>
      <c r="AL117" s="446" t="e">
        <f>IF(OR($B117="",MIN(AL$38,$D$19)&lt;MAX($P$34*($B117+IF($R$17="Distrato",$I$38-1,0)),IF(AND($L$37=0,$P$34=0),"",$L$37-1),IF($R$17="Distrato",$E117,0))),0,YEARFRAC(MAX($P$34*($B117+IF($R$17="Distrato",$I$38-1,0)),IF(AND($L$37=0,$P$34=0),"",$L$37-1),IF($R$17="Distrato",$E117,0)),MIN(AL$38,$D$19),$P$20))-SUM($P117:AK117)</f>
        <v>#VALUE!</v>
      </c>
      <c r="AM117" s="446" t="e">
        <f>IF(OR($B117="",MIN(AM$38,$D$19)&lt;MAX($P$34*($B117+IF($R$17="Distrato",$I$38-1,0)),IF(AND($L$37=0,$P$34=0),"",$L$37-1),IF($R$17="Distrato",$E117,0))),0,YEARFRAC(MAX($P$34*($B117+IF($R$17="Distrato",$I$38-1,0)),IF(AND($L$37=0,$P$34=0),"",$L$37-1),IF($R$17="Distrato",$E117,0)),MIN(AM$38,$D$19),$P$20))-SUM($P117:AL117)</f>
        <v>#VALUE!</v>
      </c>
      <c r="AN117" s="446" t="e">
        <f>IF(OR($B117="",MIN(AN$38,$D$19)&lt;MAX($P$34*($B117+IF($R$17="Distrato",$I$38-1,0)),IF(AND($L$37=0,$P$34=0),"",$L$37-1),IF($R$17="Distrato",$E117,0))),0,YEARFRAC(MAX($P$34*($B117+IF($R$17="Distrato",$I$38-1,0)),IF(AND($L$37=0,$P$34=0),"",$L$37-1),IF($R$17="Distrato",$E117,0)),MIN(AN$38,$D$19),$P$20))-SUM($P117:AM117)</f>
        <v>#VALUE!</v>
      </c>
      <c r="AO117" s="446" t="e">
        <f>IF(OR($B117="",MIN(AO$38,$D$19)&lt;MAX($P$34*($B117+IF($R$17="Distrato",$I$38-1,0)),IF(AND($L$37=0,$P$34=0),"",$L$37-1),IF($R$17="Distrato",$E117,0))),0,YEARFRAC(MAX($P$34*($B117+IF($R$17="Distrato",$I$38-1,0)),IF(AND($L$37=0,$P$34=0),"",$L$37-1),IF($R$17="Distrato",$E117,0)),MIN(AO$38,$D$19),$P$20))-SUM($P117:AN117)</f>
        <v>#VALUE!</v>
      </c>
      <c r="AP117" s="446" t="e">
        <f>IF(OR($B117="",MIN(AP$38,$D$19)&lt;MAX($P$34*($B117+IF($R$17="Distrato",$I$38-1,0)),IF(AND($L$37=0,$P$34=0),"",$L$37-1),IF($R$17="Distrato",$E117,0))),0,YEARFRAC(MAX($P$34*($B117+IF($R$17="Distrato",$I$38-1,0)),IF(AND($L$37=0,$P$34=0),"",$L$37-1),IF($R$17="Distrato",$E117,0)),MIN(AP$38,$D$19),$P$20))-SUM($P117:AO117)</f>
        <v>#VALUE!</v>
      </c>
      <c r="AQ117" s="446" t="e">
        <f>IF(OR($B117="",MIN(AQ$38,$D$19)&lt;MAX($P$34*($B117+IF($R$17="Distrato",$I$38-1,0)),IF(AND($L$37=0,$P$34=0),"",$L$37-1),IF($R$17="Distrato",$E117,0))),0,YEARFRAC(MAX($P$34*($B117+IF($R$17="Distrato",$I$38-1,0)),IF(AND($L$37=0,$P$34=0),"",$L$37-1),IF($R$17="Distrato",$E117,0)),MIN(AQ$38,$D$19),$P$20))-SUM($P117:AP117)</f>
        <v>#VALUE!</v>
      </c>
      <c r="AR117" s="446" t="e">
        <f>IF(OR($B117="",MIN(AR$38,$D$19)&lt;MAX($P$34*($B117+IF($R$17="Distrato",$I$38-1,0)),IF(AND($L$37=0,$P$34=0),"",$L$37-1),IF($R$17="Distrato",$E117,0))),0,YEARFRAC(MAX($P$34*($B117+IF($R$17="Distrato",$I$38-1,0)),IF(AND($L$37=0,$P$34=0),"",$L$37-1),IF($R$17="Distrato",$E117,0)),MIN(AR$38,$D$19),$P$20))-SUM($P117:AQ117)</f>
        <v>#VALUE!</v>
      </c>
      <c r="AS117" s="446" t="e">
        <f>IF(OR($B117="",MIN(AS$38,$D$19)&lt;MAX($P$34*($B117+IF($R$17="Distrato",$I$38-1,0)),IF(AND($L$37=0,$P$34=0),"",$L$37-1),IF($R$17="Distrato",$E117,0))),0,YEARFRAC(MAX($P$34*($B117+IF($R$17="Distrato",$I$38-1,0)),IF(AND($L$37=0,$P$34=0),"",$L$37-1),IF($R$17="Distrato",$E117,0)),MIN(AS$38,$D$19),$P$20))-SUM($P117:AR117)</f>
        <v>#VALUE!</v>
      </c>
      <c r="AT117" s="446" t="e">
        <f>IF(OR($B117="",MIN(AT$38,$D$19)&lt;MAX($P$34*($B117+IF($R$17="Distrato",$I$38-1,0)),IF(AND($L$37=0,$P$34=0),"",$L$37-1),IF($R$17="Distrato",$E117,0))),0,YEARFRAC(MAX($P$34*($B117+IF($R$17="Distrato",$I$38-1,0)),IF(AND($L$37=0,$P$34=0),"",$L$37-1),IF($R$17="Distrato",$E117,0)),MIN(AT$38,$D$19),$P$20))-SUM($P117:AS117)</f>
        <v>#VALUE!</v>
      </c>
      <c r="AU117" s="446" t="e">
        <f>IF(OR($B117="",MIN(AU$38,$D$19)&lt;MAX($P$34*($B117+IF($R$17="Distrato",$I$38-1,0)),IF(AND($L$37=0,$P$34=0),"",$L$37-1),IF($R$17="Distrato",$E117,0))),0,YEARFRAC(MAX($P$34*($B117+IF($R$17="Distrato",$I$38-1,0)),IF(AND($L$37=0,$P$34=0),"",$L$37-1),IF($R$17="Distrato",$E117,0)),MIN(AU$38,$D$19),$P$20))-SUM($P117:AT117)</f>
        <v>#VALUE!</v>
      </c>
      <c r="AV117" s="446" t="e">
        <f>IF(OR($B117="",MIN(AV$38,$D$19)&lt;MAX($P$34*($B117+IF($R$17="Distrato",$I$38-1,0)),IF(AND($L$37=0,$P$34=0),"",$L$37-1),IF($R$17="Distrato",$E117,0))),0,YEARFRAC(MAX($P$34*($B117+IF($R$17="Distrato",$I$38-1,0)),IF(AND($L$37=0,$P$34=0),"",$L$37-1),IF($R$17="Distrato",$E117,0)),MIN(AV$38,$D$19),$P$20))-SUM($P117:AU117)</f>
        <v>#VALUE!</v>
      </c>
      <c r="AW117" s="446" t="e">
        <f>IF(OR($B117="",MIN(AW$38,$D$19)&lt;MAX($P$34*($B117+IF($R$17="Distrato",$I$38-1,0)),IF(AND($L$37=0,$P$34=0),"",$L$37-1),IF($R$17="Distrato",$E117,0))),0,YEARFRAC(MAX($P$34*($B117+IF($R$17="Distrato",$I$38-1,0)),IF(AND($L$37=0,$P$34=0),"",$L$37-1),IF($R$17="Distrato",$E117,0)),MIN(AW$38,$D$19),$P$20))-SUM($P117:AV117)</f>
        <v>#VALUE!</v>
      </c>
      <c r="AX117" s="446" t="e">
        <f>IF(OR($B117="",MIN(AX$38,$D$19)&lt;MAX($P$34*($B117+IF($R$17="Distrato",$I$38-1,0)),IF(AND($L$37=0,$P$34=0),"",$L$37-1),IF($R$17="Distrato",$E117,0))),0,YEARFRAC(MAX($P$34*($B117+IF($R$17="Distrato",$I$38-1,0)),IF(AND($L$37=0,$P$34=0),"",$L$37-1),IF($R$17="Distrato",$E117,0)),MIN(AX$38,$D$19),$P$20))-SUM($P117:AW117)</f>
        <v>#VALUE!</v>
      </c>
      <c r="AY117" s="446" t="e">
        <f>IF(OR($B117="",MIN(AY$38,$D$19)&lt;MAX($P$34*($B117+IF($R$17="Distrato",$I$38-1,0)),IF(AND($L$37=0,$P$34=0),"",$L$37-1),IF($R$17="Distrato",$E117,0))),0,YEARFRAC(MAX($P$34*($B117+IF($R$17="Distrato",$I$38-1,0)),IF(AND($L$37=0,$P$34=0),"",$L$37-1),IF($R$17="Distrato",$E117,0)),MIN(AY$38,$D$19),$P$20))-SUM($P117:AX117)</f>
        <v>#VALUE!</v>
      </c>
      <c r="AZ117" s="446" t="e">
        <f>IF(OR($B117="",MIN(AZ$38,$D$19)&lt;MAX($P$34*($B117+IF($R$17="Distrato",$I$38-1,0)),IF(AND($L$37=0,$P$34=0),"",$L$37-1),IF($R$17="Distrato",$E117,0))),0,YEARFRAC(MAX($P$34*($B117+IF($R$17="Distrato",$I$38-1,0)),IF(AND($L$37=0,$P$34=0),"",$L$37-1),IF($R$17="Distrato",$E117,0)),MIN(AZ$38,$D$19),$P$20))-SUM($P117:AY117)</f>
        <v>#VALUE!</v>
      </c>
      <c r="BA117" s="446" t="e">
        <f>IF(OR($B117="",MIN(BA$38,$D$19)&lt;MAX($P$34*($B117+IF($R$17="Distrato",$I$38-1,0)),IF(AND($L$37=0,$P$34=0),"",$L$37-1),IF($R$17="Distrato",$E117,0))),0,YEARFRAC(MAX($P$34*($B117+IF($R$17="Distrato",$I$38-1,0)),IF(AND($L$37=0,$P$34=0),"",$L$37-1),IF($R$17="Distrato",$E117,0)),MIN(BA$38,$D$19),$P$20))-SUM($P117:AZ117)</f>
        <v>#VALUE!</v>
      </c>
      <c r="BB117" s="447"/>
      <c r="BF117" s="446">
        <f t="shared" si="21"/>
        <v>0</v>
      </c>
      <c r="BG117" s="446">
        <f>IF($E117=0,0,IF(MIN(BG$38,$E117)&lt;MAX($P$34*($B117+$I$38-1),IF(AND($L$37=0,$P$34=0),"",$L$37-1)),0,YEARFRAC(MAX($P$34*($B117+$I$38-1),IF(AND($L$37=0,$P$34=0),"",$L$37-1)),MIN(BG$38,$E117),$P$20))-SUM($BF117:BF117))</f>
        <v>0</v>
      </c>
      <c r="BH117" s="446">
        <f>IF($E117=0,0,IF(MIN(BH$38,$E117)&lt;MAX($P$34*($B117+$I$38-1),IF(AND($L$37=0,$P$34=0),"",$L$37-1)),0,YEARFRAC(MAX($P$34*($B117+$I$38-1),IF(AND($L$37=0,$P$34=0),"",$L$37-1)),MIN(BH$38,$E117),$P$20))-SUM($BF117:BG117))</f>
        <v>0</v>
      </c>
      <c r="BI117" s="446">
        <f>IF($E117=0,0,IF(MIN(BI$38,$E117)&lt;MAX($P$34*($B117+$I$38-1),IF(AND($L$37=0,$P$34=0),"",$L$37-1)),0,YEARFRAC(MAX($P$34*($B117+$I$38-1),IF(AND($L$37=0,$P$34=0),"",$L$37-1)),MIN(BI$38,$E117),$P$20))-SUM($BF117:BH117))</f>
        <v>0</v>
      </c>
      <c r="BJ117" s="446">
        <f>IF($E117=0,0,IF(MIN(BJ$38,$E117)&lt;MAX($P$34*($B117+$I$38-1),IF(AND($L$37=0,$P$34=0),"",$L$37-1)),0,YEARFRAC(MAX($P$34*($B117+$I$38-1),IF(AND($L$37=0,$P$34=0),"",$L$37-1)),MIN(BJ$38,$E117),$P$20))-SUM($BF117:BI117))</f>
        <v>0</v>
      </c>
      <c r="BK117" s="446">
        <f>IF($E117=0,0,IF(MIN(BK$38,$E117)&lt;MAX($P$34*($B117+$I$38-1),IF(AND($L$37=0,$P$34=0),"",$L$37-1)),0,YEARFRAC(MAX($P$34*($B117+$I$38-1),IF(AND($L$37=0,$P$34=0),"",$L$37-1)),MIN(BK$38,$E117),$P$20))-SUM($BF117:BJ117))</f>
        <v>0</v>
      </c>
      <c r="BL117" s="446">
        <f>IF($E117=0,0,IF(MIN(BL$38,$E117)&lt;MAX($P$34*($B117+$I$38-1),IF(AND($L$37=0,$P$34=0),"",$L$37-1)),0,YEARFRAC(MAX($P$34*($B117+$I$38-1),IF(AND($L$37=0,$P$34=0),"",$L$37-1)),MIN(BL$38,$E117),$P$20))-SUM($BF117:BK117))</f>
        <v>0</v>
      </c>
      <c r="BM117" s="446">
        <f>IF($E117=0,0,IF(MIN(BM$38,$E117)&lt;MAX($P$34*($B117+$I$38-1),IF(AND($L$37=0,$P$34=0),"",$L$37-1)),0,YEARFRAC(MAX($P$34*($B117+$I$38-1),IF(AND($L$37=0,$P$34=0),"",$L$37-1)),MIN(BM$38,$E117),$P$20))-SUM($BF117:BL117))</f>
        <v>0</v>
      </c>
      <c r="BN117" s="446">
        <f>IF($E117=0,0,IF(MIN(BN$38,$E117)&lt;MAX($P$34*($B117+$I$38-1),IF(AND($L$37=0,$P$34=0),"",$L$37-1)),0,YEARFRAC(MAX($P$34*($B117+$I$38-1),IF(AND($L$37=0,$P$34=0),"",$L$37-1)),MIN(BN$38,$E117),$P$20))-SUM($BF117:BM117))</f>
        <v>0</v>
      </c>
      <c r="BO117" s="446">
        <f>IF($E117=0,0,IF(MIN(BO$38,$E117)&lt;MAX($P$34*($B117+$I$38-1),IF(AND($L$37=0,$P$34=0),"",$L$37-1)),0,YEARFRAC(MAX($P$34*($B117+$I$38-1),IF(AND($L$37=0,$P$34=0),"",$L$37-1)),MIN(BO$38,$E117),$P$20))-SUM($BF117:BN117))</f>
        <v>0</v>
      </c>
      <c r="BP117" s="446">
        <f>IF($E117=0,0,IF(MIN(BP$38,$E117)&lt;MAX($P$34*($B117+$I$38-1),IF(AND($L$37=0,$P$34=0),"",$L$37-1)),0,YEARFRAC(MAX($P$34*($B117+$I$38-1),IF(AND($L$37=0,$P$34=0),"",$L$37-1)),MIN(BP$38,$E117),$P$20))-SUM($BF117:BO117))</f>
        <v>0</v>
      </c>
      <c r="BQ117" s="446">
        <f>IF($E117=0,0,IF(MIN(BQ$38,$E117)&lt;MAX($P$34*($B117+$I$38-1),IF(AND($L$37=0,$P$34=0),"",$L$37-1)),0,YEARFRAC(MAX($P$34*($B117+$I$38-1),IF(AND($L$37=0,$P$34=0),"",$L$37-1)),MIN(BQ$38,$E117),$P$20))-SUM($BF117:BP117))</f>
        <v>0</v>
      </c>
      <c r="BR117" s="446">
        <f>IF($E117=0,0,IF(MIN(BR$38,$E117)&lt;MAX($P$34*($B117+$I$38-1),IF(AND($L$37=0,$P$34=0),"",$L$37-1)),0,YEARFRAC(MAX($P$34*($B117+$I$38-1),IF(AND($L$37=0,$P$34=0),"",$L$37-1)),MIN(BR$38,$E117),$P$20))-SUM($BF117:BQ117))</f>
        <v>0</v>
      </c>
      <c r="BS117" s="446">
        <f>IF($E117=0,0,IF(MIN(BS$38,$E117)&lt;MAX($P$34*($B117+$I$38-1),IF(AND($L$37=0,$P$34=0),"",$L$37-1)),0,YEARFRAC(MAX($P$34*($B117+$I$38-1),IF(AND($L$37=0,$P$34=0),"",$L$37-1)),MIN(BS$38,$E117),$P$20))-SUM($BF117:BR117))</f>
        <v>0</v>
      </c>
      <c r="BT117" s="446">
        <f>IF($E117=0,0,IF(MIN(BT$38,$E117)&lt;MAX($P$34*($B117+$I$38-1),IF(AND($L$37=0,$P$34=0),"",$L$37-1)),0,YEARFRAC(MAX($P$34*($B117+$I$38-1),IF(AND($L$37=0,$P$34=0),"",$L$37-1)),MIN(BT$38,$E117),$P$20))-SUM($BF117:BS117))</f>
        <v>0</v>
      </c>
      <c r="BU117" s="446">
        <f>IF($E117=0,0,IF(MIN(BU$38,$E117)&lt;MAX($P$34*($B117+$I$38-1),IF(AND($L$37=0,$P$34=0),"",$L$37-1)),0,YEARFRAC(MAX($P$34*($B117+$I$38-1),IF(AND($L$37=0,$P$34=0),"",$L$37-1)),MIN(BU$38,$E117),$P$20))-SUM($BF117:BT117))</f>
        <v>0</v>
      </c>
      <c r="BV117" s="446">
        <f>IF($E117=0,0,IF(MIN(BV$38,$E117)&lt;MAX($P$34*($B117+$I$38-1),IF(AND($L$37=0,$P$34=0),"",$L$37-1)),0,YEARFRAC(MAX($P$34*($B117+$I$38-1),IF(AND($L$37=0,$P$34=0),"",$L$37-1)),MIN(BV$38,$E117),$P$20))-SUM($BF117:BU117))</f>
        <v>0</v>
      </c>
      <c r="BW117" s="446">
        <f>IF($E117=0,0,IF(MIN(BW$38,$E117)&lt;MAX($P$34*($B117+$I$38-1),IF(AND($L$37=0,$P$34=0),"",$L$37-1)),0,YEARFRAC(MAX($P$34*($B117+$I$38-1),IF(AND($L$37=0,$P$34=0),"",$L$37-1)),MIN(BW$38,$E117),$P$20))-SUM($BF117:BV117))</f>
        <v>0</v>
      </c>
      <c r="BX117" s="446">
        <f>IF($E117=0,0,IF(MIN(BX$38,$E117)&lt;MAX($P$34*($B117+$I$38-1),IF(AND($L$37=0,$P$34=0),"",$L$37-1)),0,YEARFRAC(MAX($P$34*($B117+$I$38-1),IF(AND($L$37=0,$P$34=0),"",$L$37-1)),MIN(BX$38,$E117),$P$20))-SUM($BF117:BW117))</f>
        <v>0</v>
      </c>
      <c r="BY117" s="446">
        <f>IF($E117=0,0,IF(MIN(BY$38,$E117)&lt;MAX($P$34*($B117+$I$38-1),IF(AND($L$37=0,$P$34=0),"",$L$37-1)),0,YEARFRAC(MAX($P$34*($B117+$I$38-1),IF(AND($L$37=0,$P$34=0),"",$L$37-1)),MIN(BY$38,$E117),$P$20))-SUM($BF117:BX117))</f>
        <v>0</v>
      </c>
      <c r="BZ117" s="446">
        <f>IF($E117=0,0,IF(MIN(BZ$38,$E117)&lt;MAX($P$34*($B117+$I$38-1),IF(AND($L$37=0,$P$34=0),"",$L$37-1)),0,YEARFRAC(MAX($P$34*($B117+$I$38-1),IF(AND($L$37=0,$P$34=0),"",$L$37-1)),MIN(BZ$38,$E117),$P$20))-SUM($BF117:BY117))</f>
        <v>0</v>
      </c>
      <c r="CA117" s="446">
        <f>IF($E117=0,0,IF(MIN(CA$38,$E117)&lt;MAX($P$34*($B117+$I$38-1),IF(AND($L$37=0,$P$34=0),"",$L$37-1)),0,YEARFRAC(MAX($P$34*($B117+$I$38-1),IF(AND($L$37=0,$P$34=0),"",$L$37-1)),MIN(CA$38,$E117),$P$20))-SUM($BF117:BZ117))</f>
        <v>0</v>
      </c>
      <c r="CB117" s="446">
        <f>IF($E117=0,0,IF(MIN(CB$38,$E117)&lt;MAX($P$34*($B117+$I$38-1),IF(AND($L$37=0,$P$34=0),"",$L$37-1)),0,YEARFRAC(MAX($P$34*($B117+$I$38-1),IF(AND($L$37=0,$P$34=0),"",$L$37-1)),MIN(CB$38,$E117),$P$20))-SUM($BF117:CA117))</f>
        <v>0</v>
      </c>
      <c r="CC117" s="446">
        <f>IF($E117=0,0,IF(MIN(CC$38,$E117)&lt;MAX($P$34*($B117+$I$38-1),IF(AND($L$37=0,$P$34=0),"",$L$37-1)),0,YEARFRAC(MAX($P$34*($B117+$I$38-1),IF(AND($L$37=0,$P$34=0),"",$L$37-1)),MIN(CC$38,$E117),$P$20))-SUM($BF117:CB117))</f>
        <v>0</v>
      </c>
      <c r="CD117" s="446">
        <f>IF($E117=0,0,IF(MIN(CD$38,$E117)&lt;MAX($P$34*($B117+$I$38-1),IF(AND($L$37=0,$P$34=0),"",$L$37-1)),0,YEARFRAC(MAX($P$34*($B117+$I$38-1),IF(AND($L$37=0,$P$34=0),"",$L$37-1)),MIN(CD$38,$E117),$P$20))-SUM($BF117:CC117))</f>
        <v>0</v>
      </c>
      <c r="CE117" s="446">
        <f>IF($E117=0,0,IF(MIN(CE$38,$E117)&lt;MAX($P$34*($B117+$I$38-1),IF(AND($L$37=0,$P$34=0),"",$L$37-1)),0,YEARFRAC(MAX($P$34*($B117+$I$38-1),IF(AND($L$37=0,$P$34=0),"",$L$37-1)),MIN(CE$38,$E117),$P$20))-SUM($BF117:CD117))</f>
        <v>0</v>
      </c>
      <c r="CF117" s="446">
        <f>IF($E117=0,0,IF(MIN(CF$38,$E117)&lt;MAX($P$34*($B117+$I$38-1),IF(AND($L$37=0,$P$34=0),"",$L$37-1)),0,YEARFRAC(MAX($P$34*($B117+$I$38-1),IF(AND($L$37=0,$P$34=0),"",$L$37-1)),MIN(CF$38,$E117),$P$20))-SUM($BF117:CE117))</f>
        <v>0</v>
      </c>
      <c r="CG117" s="446">
        <f>IF($E117=0,0,IF(MIN(CG$38,$E117)&lt;MAX($P$34*($B117+$I$38-1),IF(AND($L$37=0,$P$34=0),"",$L$37-1)),0,YEARFRAC(MAX($P$34*($B117+$I$38-1),IF(AND($L$37=0,$P$34=0),"",$L$37-1)),MIN(CG$38,$E117),$P$20))-SUM($BF117:CF117))</f>
        <v>0</v>
      </c>
      <c r="CH117" s="446">
        <f>IF($E117=0,0,IF(MIN(CH$38,$E117)&lt;MAX($P$34*($B117+$I$38-1),IF(AND($L$37=0,$P$34=0),"",$L$37-1)),0,YEARFRAC(MAX($P$34*($B117+$I$38-1),IF(AND($L$37=0,$P$34=0),"",$L$37-1)),MIN(CH$38,$E117),$P$20))-SUM($BF117:CG117))</f>
        <v>0</v>
      </c>
      <c r="CI117" s="446">
        <f>IF($E117=0,0,IF(MIN(CI$38,$E117)&lt;MAX($P$34*($B117+$I$38-1),IF(AND($L$37=0,$P$34=0),"",$L$37-1)),0,YEARFRAC(MAX($P$34*($B117+$I$38-1),IF(AND($L$37=0,$P$34=0),"",$L$37-1)),MIN(CI$38,$E117),$P$20))-SUM($BF117:CH117))</f>
        <v>0</v>
      </c>
      <c r="CJ117" s="446">
        <f>IF($E117=0,0,IF(MIN(CJ$38,$E117)&lt;MAX($P$34*($B117+$I$38-1),IF(AND($L$37=0,$P$34=0),"",$L$37-1)),0,YEARFRAC(MAX($P$34*($B117+$I$38-1),IF(AND($L$37=0,$P$34=0),"",$L$37-1)),MIN(CJ$38,$E117),$P$20))-SUM($BF117:CI117))</f>
        <v>0</v>
      </c>
      <c r="CK117" s="446">
        <f>IF($E117=0,0,IF(MIN(CK$38,$E117)&lt;MAX($P$34*($B117+$I$38-1),IF(AND($L$37=0,$P$34=0),"",$L$37-1)),0,YEARFRAC(MAX($P$34*($B117+$I$38-1),IF(AND($L$37=0,$P$34=0),"",$L$37-1)),MIN(CK$38,$E117),$P$20))-SUM($BF117:CJ117))</f>
        <v>0</v>
      </c>
      <c r="CL117" s="446">
        <f>IF($E117=0,0,IF(MIN(CL$38,$E117)&lt;MAX($P$34*($B117+$I$38-1),IF(AND($L$37=0,$P$34=0),"",$L$37-1)),0,YEARFRAC(MAX($P$34*($B117+$I$38-1),IF(AND($L$37=0,$P$34=0),"",$L$37-1)),MIN(CL$38,$E117),$P$20))-SUM($BF117:CK117))</f>
        <v>0</v>
      </c>
      <c r="CM117" s="446">
        <f>IF($E117=0,0,IF(MIN(CM$38,$E117)&lt;MAX($P$34*($B117+$I$38-1),IF(AND($L$37=0,$P$34=0),"",$L$37-1)),0,YEARFRAC(MAX($P$34*($B117+$I$38-1),IF(AND($L$37=0,$P$34=0),"",$L$37-1)),MIN(CM$38,$E117),$P$20))-SUM($BF117:CL117))</f>
        <v>0</v>
      </c>
      <c r="CN117" s="446">
        <f>IF($E117=0,0,IF(MIN(CN$38,$E117)&lt;MAX($P$34*($B117+$I$38-1),IF(AND($L$37=0,$P$34=0),"",$L$37-1)),0,YEARFRAC(MAX($P$34*($B117+$I$38-1),IF(AND($L$37=0,$P$34=0),"",$L$37-1)),MIN(CN$38,$E117),$P$20))-SUM($BF117:CM117))</f>
        <v>0</v>
      </c>
      <c r="CO117" s="446">
        <f>IF($E117=0,0,IF(MIN(CO$38,$E117)&lt;MAX($P$34*($B117+$I$38-1),IF(AND($L$37=0,$P$34=0),"",$L$37-1)),0,YEARFRAC(MAX($P$34*($B117+$I$38-1),IF(AND($L$37=0,$P$34=0),"",$L$37-1)),MIN(CO$38,$E117),$P$20))-SUM($BF117:CN117))</f>
        <v>0</v>
      </c>
      <c r="CP117" s="446">
        <f>IF($E117=0,0,IF(MIN(CP$38,$E117)&lt;MAX($P$34*($B117+$I$38-1),IF(AND($L$37=0,$P$34=0),"",$L$37-1)),0,YEARFRAC(MAX($P$34*($B117+$I$38-1),IF(AND($L$37=0,$P$34=0),"",$L$37-1)),MIN(CP$38,$E117),$P$20))-SUM($BF117:CO117))</f>
        <v>0</v>
      </c>
      <c r="CQ117" s="446">
        <f>IF($E117=0,0,IF(MIN(CQ$38,$E117)&lt;MAX($P$34*($B117+$I$38-1),IF(AND($L$37=0,$P$34=0),"",$L$37-1)),0,YEARFRAC(MAX($P$34*($B117+$I$38-1),IF(AND($L$37=0,$P$34=0),"",$L$37-1)),MIN(CQ$38,$E117),$P$20))-SUM($BF117:CP117))</f>
        <v>0</v>
      </c>
    </row>
    <row r="118" spans="1:95" s="446" customFormat="1" ht="11.25" hidden="1" customHeight="1" x14ac:dyDescent="0.2">
      <c r="A118" s="152"/>
      <c r="B118" s="153" t="str">
        <f t="shared" si="26"/>
        <v/>
      </c>
      <c r="C118" s="29" t="str">
        <f>IF(B118="","",IF($L$35="SELIC - TRIBUTOS",VLOOKUP(DATE(YEAR($D$19),MONTH($D$19)-1,1),ÍNDICES!$A:$DE,HLOOKUP($BL$25,ÍNDICES!$B$3:$T$4,2)+11)-VLOOKUP(B118,ÍNDICES!$A:$DE,HLOOKUP($BL$25,ÍNDICES!$B$3:$T$4,2)+11)+1%,IF(C$38=$W$26,$J$35,IF(ISERROR(IF(B118&gt;$D$19,1,VLOOKUP(DATE(YEAR(B118),MONTH(B118)+IF($C$35=$S$23,1,0),1),ÍNDICES!$A:$DE,$Z$35+1))),"",IF(B118&gt;$D$19,1,VLOOKUP(DATE(YEAR(B118),MONTH(B118)+IF($C$35=$S$23,1,0),1),ÍNDICES!$A:$DE,$Z$35+1))))))</f>
        <v/>
      </c>
      <c r="D118" s="154" t="str">
        <f>IF(ISERROR(IF(OR($D$38=$Y$27,$B118=""),"",VLOOKUP(B118,ÍNDICES!A:DE,AF$35+1))),"",IF(OR($D$38=$Y$27,$B118=""),"",VLOOKUP(B118,ÍNDICES!A:DE,AF$35+1)))</f>
        <v/>
      </c>
      <c r="E118" s="153"/>
      <c r="F118" s="29" t="str">
        <f>IF(E118="","",IF($L$35="SELIC - TRIBUTOS",VLOOKUP(DATE(YEAR($D$19),MONTH($D$19)-1,1),ÍNDICES!$A:$DE,HLOOKUP($BL$25,ÍNDICES!$B$3:$T$4,2)+11)-VLOOKUP(E118,ÍNDICES!$A:$DE,HLOOKUP($BL$25,ÍNDICES!$B$3:$T$4,2)+11)+1%,IF(F$38=$W$26,$J$35,IF(ISERROR(IF(E118&gt;$D$19,1,VLOOKUP(DATE(YEAR(E118),MONTH(E118)+IF($C$35=$S$23,1,0),1),ÍNDICES!$A:$DE,$Z$35+1))),"",IF(E118&gt;$D$19,1,VLOOKUP(DATE(YEAR(E118),MONTH(E118)+IF($C$35=$S$23,1,0),1),ÍNDICES!$A:$DE,$Z$35+1))))))</f>
        <v/>
      </c>
      <c r="G118" s="155"/>
      <c r="H118" s="156" t="str">
        <f t="shared" si="22"/>
        <v/>
      </c>
      <c r="I118" s="29" t="str">
        <f t="shared" si="16"/>
        <v/>
      </c>
      <c r="J118" s="5">
        <f t="shared" si="17"/>
        <v>0</v>
      </c>
      <c r="K118" s="20">
        <f t="shared" ca="1" si="18"/>
        <v>0</v>
      </c>
      <c r="L118" s="5">
        <f t="shared" ca="1" si="19"/>
        <v>0</v>
      </c>
      <c r="M118" s="64">
        <f t="shared" si="23"/>
        <v>0</v>
      </c>
      <c r="N118" s="61">
        <f t="shared" ca="1" si="24"/>
        <v>0</v>
      </c>
      <c r="O118" s="5">
        <f t="shared" ca="1" si="25"/>
        <v>0</v>
      </c>
      <c r="P118" s="446" t="e">
        <f t="shared" si="20"/>
        <v>#VALUE!</v>
      </c>
      <c r="Q118" s="446" t="e">
        <f>IF(OR($B118="",MIN(Q$38,$D$19)&lt;MAX($P$34*($B118+IF($R$17="Distrato",$I$38-1,0)),IF(AND($L$37=0,$P$34=0),"",$L$37-1),IF($R$17="Distrato",$E118,0))),0,YEARFRAC(MAX($P$34*($B118+IF($R$17="Distrato",$I$38-1,0)),IF(AND($L$37=0,$P$34=0),"",$L$37-1),IF($R$17="Distrato",$E118,0)),MIN(Q$38,$D$19),$P$20))-SUM($P118:P118)</f>
        <v>#VALUE!</v>
      </c>
      <c r="R118" s="446" t="e">
        <f>IF(OR($B118="",MIN(R$38,$D$19)&lt;MAX($P$34*($B118+IF($R$17="Distrato",$I$38-1,0)),IF(AND($L$37=0,$P$34=0),"",$L$37-1),IF($R$17="Distrato",$E118,0))),0,YEARFRAC(MAX($P$34*($B118+IF($R$17="Distrato",$I$38-1,0)),IF(AND($L$37=0,$P$34=0),"",$L$37-1),IF($R$17="Distrato",$E118,0)),MIN(R$38,$D$19),$P$20))-SUM($P118:Q118)</f>
        <v>#VALUE!</v>
      </c>
      <c r="S118" s="446" t="e">
        <f>IF(OR($B118="",MIN(S$38,$D$19)&lt;MAX($P$34*($B118+IF($R$17="Distrato",$I$38-1,0)),IF(AND($L$37=0,$P$34=0),"",$L$37-1),IF($R$17="Distrato",$E118,0))),0,YEARFRAC(MAX($P$34*($B118+IF($R$17="Distrato",$I$38-1,0)),IF(AND($L$37=0,$P$34=0),"",$L$37-1),IF($R$17="Distrato",$E118,0)),MIN(S$38,$D$19),$P$20))-SUM($P118:R118)</f>
        <v>#VALUE!</v>
      </c>
      <c r="T118" s="446" t="e">
        <f>IF(OR($B118="",MIN(T$38,$D$19)&lt;MAX($P$34*($B118+IF($R$17="Distrato",$I$38-1,0)),IF(AND($L$37=0,$P$34=0),"",$L$37-1),IF($R$17="Distrato",$E118,0))),0,YEARFRAC(MAX($P$34*($B118+IF($R$17="Distrato",$I$38-1,0)),IF(AND($L$37=0,$P$34=0),"",$L$37-1),IF($R$17="Distrato",$E118,0)),MIN(T$38,$D$19),$P$20))-SUM($P118:S118)</f>
        <v>#VALUE!</v>
      </c>
      <c r="U118" s="446" t="e">
        <f>IF(OR($B118="",MIN(U$38,$D$19)&lt;MAX($P$34*($B118+IF($R$17="Distrato",$I$38-1,0)),IF(AND($L$37=0,$P$34=0),"",$L$37-1),IF($R$17="Distrato",$E118,0))),0,YEARFRAC(MAX($P$34*($B118+IF($R$17="Distrato",$I$38-1,0)),IF(AND($L$37=0,$P$34=0),"",$L$37-1),IF($R$17="Distrato",$E118,0)),MIN(U$38,$D$19),$P$20))-SUM($P118:T118)</f>
        <v>#VALUE!</v>
      </c>
      <c r="V118" s="446" t="e">
        <f>IF(OR($B118="",MIN(V$38,$D$19)&lt;MAX($P$34*($B118+IF($R$17="Distrato",$I$38-1,0)),IF(AND($L$37=0,$P$34=0),"",$L$37-1),IF($R$17="Distrato",$E118,0))),0,YEARFRAC(MAX($P$34*($B118+IF($R$17="Distrato",$I$38-1,0)),IF(AND($L$37=0,$P$34=0),"",$L$37-1),IF($R$17="Distrato",$E118,0)),MIN(V$38,$D$19),$P$20))-SUM($P118:U118)</f>
        <v>#VALUE!</v>
      </c>
      <c r="W118" s="446" t="e">
        <f>IF(OR($B118="",MIN(W$38,$D$19)&lt;MAX($P$34*($B118+IF($R$17="Distrato",$I$38-1,0)),IF(AND($L$37=0,$P$34=0),"",$L$37-1),IF($R$17="Distrato",$E118,0))),0,YEARFRAC(MAX($P$34*($B118+IF($R$17="Distrato",$I$38-1,0)),IF(AND($L$37=0,$P$34=0),"",$L$37-1),IF($R$17="Distrato",$E118,0)),MIN(W$38,$D$19),$P$20))-SUM($P118:V118)</f>
        <v>#VALUE!</v>
      </c>
      <c r="X118" s="446" t="e">
        <f>IF(OR($B118="",MIN(X$38,$D$19)&lt;MAX($P$34*($B118+IF($R$17="Distrato",$I$38-1,0)),IF(AND($L$37=0,$P$34=0),"",$L$37-1),IF($R$17="Distrato",$E118,0))),0,YEARFRAC(MAX($P$34*($B118+IF($R$17="Distrato",$I$38-1,0)),IF(AND($L$37=0,$P$34=0),"",$L$37-1),IF($R$17="Distrato",$E118,0)),MIN(X$38,$D$19),$P$20))-SUM($P118:W118)</f>
        <v>#VALUE!</v>
      </c>
      <c r="Y118" s="446" t="e">
        <f>IF(OR($B118="",MIN(Y$38,$D$19)&lt;MAX($P$34*($B118+IF($R$17="Distrato",$I$38-1,0)),IF(AND($L$37=0,$P$34=0),"",$L$37-1),IF($R$17="Distrato",$E118,0))),0,YEARFRAC(MAX($P$34*($B118+IF($R$17="Distrato",$I$38-1,0)),IF(AND($L$37=0,$P$34=0),"",$L$37-1),IF($R$17="Distrato",$E118,0)),MIN(Y$38,$D$19),$P$20))-SUM($P118:X118)</f>
        <v>#VALUE!</v>
      </c>
      <c r="Z118" s="446" t="e">
        <f>IF(OR($B118="",MIN(Z$38,$D$19)&lt;MAX($P$34*($B118+IF($R$17="Distrato",$I$38-1,0)),IF(AND($L$37=0,$P$34=0),"",$L$37-1),IF($R$17="Distrato",$E118,0))),0,YEARFRAC(MAX($P$34*($B118+IF($R$17="Distrato",$I$38-1,0)),IF(AND($L$37=0,$P$34=0),"",$L$37-1),IF($R$17="Distrato",$E118,0)),MIN(Z$38,$D$19),$P$20))-SUM($P118:Y118)</f>
        <v>#VALUE!</v>
      </c>
      <c r="AA118" s="446" t="e">
        <f>IF(OR($B118="",MIN(AA$38,$D$19)&lt;MAX($P$34*($B118+IF($R$17="Distrato",$I$38-1,0)),IF(AND($L$37=0,$P$34=0),"",$L$37-1),IF($R$17="Distrato",$E118,0))),0,YEARFRAC(MAX($P$34*($B118+IF($R$17="Distrato",$I$38-1,0)),IF(AND($L$37=0,$P$34=0),"",$L$37-1),IF($R$17="Distrato",$E118,0)),MIN(AA$38,$D$19),$P$20))-SUM($P118:Z118)</f>
        <v>#VALUE!</v>
      </c>
      <c r="AB118" s="446" t="e">
        <f>IF(OR($B118="",MIN(AB$38,$D$19)&lt;MAX($P$34*($B118+IF($R$17="Distrato",$I$38-1,0)),IF(AND($L$37=0,$P$34=0),"",$L$37-1),IF($R$17="Distrato",$E118,0))),0,YEARFRAC(MAX($P$34*($B118+IF($R$17="Distrato",$I$38-1,0)),IF(AND($L$37=0,$P$34=0),"",$L$37-1),IF($R$17="Distrato",$E118,0)),MIN(AB$38,$D$19),$P$20))-SUM($P118:AA118)</f>
        <v>#VALUE!</v>
      </c>
      <c r="AC118" s="446" t="e">
        <f>IF(OR($B118="",MIN(AC$38,$D$19)&lt;MAX($P$34*($B118+IF($R$17="Distrato",$I$38-1,0)),IF(AND($L$37=0,$P$34=0),"",$L$37-1),IF($R$17="Distrato",$E118,0))),0,YEARFRAC(MAX($P$34*($B118+IF($R$17="Distrato",$I$38-1,0)),IF(AND($L$37=0,$P$34=0),"",$L$37-1),IF($R$17="Distrato",$E118,0)),MIN(AC$38,$D$19),$P$20))-SUM($P118:AB118)</f>
        <v>#VALUE!</v>
      </c>
      <c r="AD118" s="446" t="e">
        <f>IF(OR($B118="",MIN(AD$38,$D$19)&lt;MAX($P$34*($B118+IF($R$17="Distrato",$I$38-1,0)),IF(AND($L$37=0,$P$34=0),"",$L$37-1),IF($R$17="Distrato",$E118,0))),0,YEARFRAC(MAX($P$34*($B118+IF($R$17="Distrato",$I$38-1,0)),IF(AND($L$37=0,$P$34=0),"",$L$37-1),IF($R$17="Distrato",$E118,0)),MIN(AD$38,$D$19),$P$20))-SUM($P118:AC118)</f>
        <v>#VALUE!</v>
      </c>
      <c r="AE118" s="446" t="e">
        <f>IF(OR($B118="",MIN(AE$38,$D$19)&lt;MAX($P$34*($B118+IF($R$17="Distrato",$I$38-1,0)),IF(AND($L$37=0,$P$34=0),"",$L$37-1),IF($R$17="Distrato",$E118,0))),0,YEARFRAC(MAX($P$34*($B118+IF($R$17="Distrato",$I$38-1,0)),IF(AND($L$37=0,$P$34=0),"",$L$37-1),IF($R$17="Distrato",$E118,0)),MIN(AE$38,$D$19),$P$20))-SUM($P118:AD118)</f>
        <v>#VALUE!</v>
      </c>
      <c r="AF118" s="446" t="e">
        <f>IF(OR($B118="",MIN(AF$38,$D$19)&lt;MAX($P$34*($B118+IF($R$17="Distrato",$I$38-1,0)),IF(AND($L$37=0,$P$34=0),"",$L$37-1),IF($R$17="Distrato",$E118,0))),0,YEARFRAC(MAX($P$34*($B118+IF($R$17="Distrato",$I$38-1,0)),IF(AND($L$37=0,$P$34=0),"",$L$37-1),IF($R$17="Distrato",$E118,0)),MIN(AF$38,$D$19),$P$20))-SUM($P118:AE118)</f>
        <v>#VALUE!</v>
      </c>
      <c r="AG118" s="446" t="e">
        <f>IF(OR($B118="",MIN(AG$38,$D$19)&lt;MAX($P$34*($B118+IF($R$17="Distrato",$I$38-1,0)),IF(AND($L$37=0,$P$34=0),"",$L$37-1),IF($R$17="Distrato",$E118,0))),0,YEARFRAC(MAX($P$34*($B118+IF($R$17="Distrato",$I$38-1,0)),IF(AND($L$37=0,$P$34=0),"",$L$37-1),IF($R$17="Distrato",$E118,0)),MIN(AG$38,$D$19),$P$20))-SUM($P118:AF118)</f>
        <v>#VALUE!</v>
      </c>
      <c r="AH118" s="446" t="e">
        <f>IF(OR($B118="",MIN(AH$38,$D$19)&lt;MAX($P$34*($B118+IF($R$17="Distrato",$I$38-1,0)),IF(AND($L$37=0,$P$34=0),"",$L$37-1),IF($R$17="Distrato",$E118,0))),0,YEARFRAC(MAX($P$34*($B118+IF($R$17="Distrato",$I$38-1,0)),IF(AND($L$37=0,$P$34=0),"",$L$37-1),IF($R$17="Distrato",$E118,0)),MIN(AH$38,$D$19),$P$20))-SUM($P118:AG118)</f>
        <v>#VALUE!</v>
      </c>
      <c r="AI118" s="446" t="e">
        <f>IF(OR($B118="",MIN(AI$38,$D$19)&lt;MAX($P$34*($B118+IF($R$17="Distrato",$I$38-1,0)),IF(AND($L$37=0,$P$34=0),"",$L$37-1),IF($R$17="Distrato",$E118,0))),0,YEARFRAC(MAX($P$34*($B118+IF($R$17="Distrato",$I$38-1,0)),IF(AND($L$37=0,$P$34=0),"",$L$37-1),IF($R$17="Distrato",$E118,0)),MIN(AI$38,$D$19),$P$20))-SUM($P118:AH118)</f>
        <v>#VALUE!</v>
      </c>
      <c r="AJ118" s="446" t="e">
        <f>IF(OR($B118="",MIN(AJ$38,$D$19)&lt;MAX($P$34*($B118+IF($R$17="Distrato",$I$38-1,0)),IF(AND($L$37=0,$P$34=0),"",$L$37-1),IF($R$17="Distrato",$E118,0))),0,YEARFRAC(MAX($P$34*($B118+IF($R$17="Distrato",$I$38-1,0)),IF(AND($L$37=0,$P$34=0),"",$L$37-1),IF($R$17="Distrato",$E118,0)),MIN(AJ$38,$D$19),$P$20))-SUM($P118:AI118)</f>
        <v>#VALUE!</v>
      </c>
      <c r="AK118" s="446" t="e">
        <f>IF(OR($B118="",MIN(AK$38,$D$19)&lt;MAX($P$34*($B118+IF($R$17="Distrato",$I$38-1,0)),IF(AND($L$37=0,$P$34=0),"",$L$37-1),IF($R$17="Distrato",$E118,0))),0,YEARFRAC(MAX($P$34*($B118+IF($R$17="Distrato",$I$38-1,0)),IF(AND($L$37=0,$P$34=0),"",$L$37-1),IF($R$17="Distrato",$E118,0)),MIN(AK$38,$D$19),$P$20))-SUM($P118:AJ118)</f>
        <v>#VALUE!</v>
      </c>
      <c r="AL118" s="446" t="e">
        <f>IF(OR($B118="",MIN(AL$38,$D$19)&lt;MAX($P$34*($B118+IF($R$17="Distrato",$I$38-1,0)),IF(AND($L$37=0,$P$34=0),"",$L$37-1),IF($R$17="Distrato",$E118,0))),0,YEARFRAC(MAX($P$34*($B118+IF($R$17="Distrato",$I$38-1,0)),IF(AND($L$37=0,$P$34=0),"",$L$37-1),IF($R$17="Distrato",$E118,0)),MIN(AL$38,$D$19),$P$20))-SUM($P118:AK118)</f>
        <v>#VALUE!</v>
      </c>
      <c r="AM118" s="446" t="e">
        <f>IF(OR($B118="",MIN(AM$38,$D$19)&lt;MAX($P$34*($B118+IF($R$17="Distrato",$I$38-1,0)),IF(AND($L$37=0,$P$34=0),"",$L$37-1),IF($R$17="Distrato",$E118,0))),0,YEARFRAC(MAX($P$34*($B118+IF($R$17="Distrato",$I$38-1,0)),IF(AND($L$37=0,$P$34=0),"",$L$37-1),IF($R$17="Distrato",$E118,0)),MIN(AM$38,$D$19),$P$20))-SUM($P118:AL118)</f>
        <v>#VALUE!</v>
      </c>
      <c r="AN118" s="446" t="e">
        <f>IF(OR($B118="",MIN(AN$38,$D$19)&lt;MAX($P$34*($B118+IF($R$17="Distrato",$I$38-1,0)),IF(AND($L$37=0,$P$34=0),"",$L$37-1),IF($R$17="Distrato",$E118,0))),0,YEARFRAC(MAX($P$34*($B118+IF($R$17="Distrato",$I$38-1,0)),IF(AND($L$37=0,$P$34=0),"",$L$37-1),IF($R$17="Distrato",$E118,0)),MIN(AN$38,$D$19),$P$20))-SUM($P118:AM118)</f>
        <v>#VALUE!</v>
      </c>
      <c r="AO118" s="446" t="e">
        <f>IF(OR($B118="",MIN(AO$38,$D$19)&lt;MAX($P$34*($B118+IF($R$17="Distrato",$I$38-1,0)),IF(AND($L$37=0,$P$34=0),"",$L$37-1),IF($R$17="Distrato",$E118,0))),0,YEARFRAC(MAX($P$34*($B118+IF($R$17="Distrato",$I$38-1,0)),IF(AND($L$37=0,$P$34=0),"",$L$37-1),IF($R$17="Distrato",$E118,0)),MIN(AO$38,$D$19),$P$20))-SUM($P118:AN118)</f>
        <v>#VALUE!</v>
      </c>
      <c r="AP118" s="446" t="e">
        <f>IF(OR($B118="",MIN(AP$38,$D$19)&lt;MAX($P$34*($B118+IF($R$17="Distrato",$I$38-1,0)),IF(AND($L$37=0,$P$34=0),"",$L$37-1),IF($R$17="Distrato",$E118,0))),0,YEARFRAC(MAX($P$34*($B118+IF($R$17="Distrato",$I$38-1,0)),IF(AND($L$37=0,$P$34=0),"",$L$37-1),IF($R$17="Distrato",$E118,0)),MIN(AP$38,$D$19),$P$20))-SUM($P118:AO118)</f>
        <v>#VALUE!</v>
      </c>
      <c r="AQ118" s="446" t="e">
        <f>IF(OR($B118="",MIN(AQ$38,$D$19)&lt;MAX($P$34*($B118+IF($R$17="Distrato",$I$38-1,0)),IF(AND($L$37=0,$P$34=0),"",$L$37-1),IF($R$17="Distrato",$E118,0))),0,YEARFRAC(MAX($P$34*($B118+IF($R$17="Distrato",$I$38-1,0)),IF(AND($L$37=0,$P$34=0),"",$L$37-1),IF($R$17="Distrato",$E118,0)),MIN(AQ$38,$D$19),$P$20))-SUM($P118:AP118)</f>
        <v>#VALUE!</v>
      </c>
      <c r="AR118" s="446" t="e">
        <f>IF(OR($B118="",MIN(AR$38,$D$19)&lt;MAX($P$34*($B118+IF($R$17="Distrato",$I$38-1,0)),IF(AND($L$37=0,$P$34=0),"",$L$37-1),IF($R$17="Distrato",$E118,0))),0,YEARFRAC(MAX($P$34*($B118+IF($R$17="Distrato",$I$38-1,0)),IF(AND($L$37=0,$P$34=0),"",$L$37-1),IF($R$17="Distrato",$E118,0)),MIN(AR$38,$D$19),$P$20))-SUM($P118:AQ118)</f>
        <v>#VALUE!</v>
      </c>
      <c r="AS118" s="446" t="e">
        <f>IF(OR($B118="",MIN(AS$38,$D$19)&lt;MAX($P$34*($B118+IF($R$17="Distrato",$I$38-1,0)),IF(AND($L$37=0,$P$34=0),"",$L$37-1),IF($R$17="Distrato",$E118,0))),0,YEARFRAC(MAX($P$34*($B118+IF($R$17="Distrato",$I$38-1,0)),IF(AND($L$37=0,$P$34=0),"",$L$37-1),IF($R$17="Distrato",$E118,0)),MIN(AS$38,$D$19),$P$20))-SUM($P118:AR118)</f>
        <v>#VALUE!</v>
      </c>
      <c r="AT118" s="446" t="e">
        <f>IF(OR($B118="",MIN(AT$38,$D$19)&lt;MAX($P$34*($B118+IF($R$17="Distrato",$I$38-1,0)),IF(AND($L$37=0,$P$34=0),"",$L$37-1),IF($R$17="Distrato",$E118,0))),0,YEARFRAC(MAX($P$34*($B118+IF($R$17="Distrato",$I$38-1,0)),IF(AND($L$37=0,$P$34=0),"",$L$37-1),IF($R$17="Distrato",$E118,0)),MIN(AT$38,$D$19),$P$20))-SUM($P118:AS118)</f>
        <v>#VALUE!</v>
      </c>
      <c r="AU118" s="446" t="e">
        <f>IF(OR($B118="",MIN(AU$38,$D$19)&lt;MAX($P$34*($B118+IF($R$17="Distrato",$I$38-1,0)),IF(AND($L$37=0,$P$34=0),"",$L$37-1),IF($R$17="Distrato",$E118,0))),0,YEARFRAC(MAX($P$34*($B118+IF($R$17="Distrato",$I$38-1,0)),IF(AND($L$37=0,$P$34=0),"",$L$37-1),IF($R$17="Distrato",$E118,0)),MIN(AU$38,$D$19),$P$20))-SUM($P118:AT118)</f>
        <v>#VALUE!</v>
      </c>
      <c r="AV118" s="446" t="e">
        <f>IF(OR($B118="",MIN(AV$38,$D$19)&lt;MAX($P$34*($B118+IF($R$17="Distrato",$I$38-1,0)),IF(AND($L$37=0,$P$34=0),"",$L$37-1),IF($R$17="Distrato",$E118,0))),0,YEARFRAC(MAX($P$34*($B118+IF($R$17="Distrato",$I$38-1,0)),IF(AND($L$37=0,$P$34=0),"",$L$37-1),IF($R$17="Distrato",$E118,0)),MIN(AV$38,$D$19),$P$20))-SUM($P118:AU118)</f>
        <v>#VALUE!</v>
      </c>
      <c r="AW118" s="446" t="e">
        <f>IF(OR($B118="",MIN(AW$38,$D$19)&lt;MAX($P$34*($B118+IF($R$17="Distrato",$I$38-1,0)),IF(AND($L$37=0,$P$34=0),"",$L$37-1),IF($R$17="Distrato",$E118,0))),0,YEARFRAC(MAX($P$34*($B118+IF($R$17="Distrato",$I$38-1,0)),IF(AND($L$37=0,$P$34=0),"",$L$37-1),IF($R$17="Distrato",$E118,0)),MIN(AW$38,$D$19),$P$20))-SUM($P118:AV118)</f>
        <v>#VALUE!</v>
      </c>
      <c r="AX118" s="446" t="e">
        <f>IF(OR($B118="",MIN(AX$38,$D$19)&lt;MAX($P$34*($B118+IF($R$17="Distrato",$I$38-1,0)),IF(AND($L$37=0,$P$34=0),"",$L$37-1),IF($R$17="Distrato",$E118,0))),0,YEARFRAC(MAX($P$34*($B118+IF($R$17="Distrato",$I$38-1,0)),IF(AND($L$37=0,$P$34=0),"",$L$37-1),IF($R$17="Distrato",$E118,0)),MIN(AX$38,$D$19),$P$20))-SUM($P118:AW118)</f>
        <v>#VALUE!</v>
      </c>
      <c r="AY118" s="446" t="e">
        <f>IF(OR($B118="",MIN(AY$38,$D$19)&lt;MAX($P$34*($B118+IF($R$17="Distrato",$I$38-1,0)),IF(AND($L$37=0,$P$34=0),"",$L$37-1),IF($R$17="Distrato",$E118,0))),0,YEARFRAC(MAX($P$34*($B118+IF($R$17="Distrato",$I$38-1,0)),IF(AND($L$37=0,$P$34=0),"",$L$37-1),IF($R$17="Distrato",$E118,0)),MIN(AY$38,$D$19),$P$20))-SUM($P118:AX118)</f>
        <v>#VALUE!</v>
      </c>
      <c r="AZ118" s="446" t="e">
        <f>IF(OR($B118="",MIN(AZ$38,$D$19)&lt;MAX($P$34*($B118+IF($R$17="Distrato",$I$38-1,0)),IF(AND($L$37=0,$P$34=0),"",$L$37-1),IF($R$17="Distrato",$E118,0))),0,YEARFRAC(MAX($P$34*($B118+IF($R$17="Distrato",$I$38-1,0)),IF(AND($L$37=0,$P$34=0),"",$L$37-1),IF($R$17="Distrato",$E118,0)),MIN(AZ$38,$D$19),$P$20))-SUM($P118:AY118)</f>
        <v>#VALUE!</v>
      </c>
      <c r="BA118" s="446" t="e">
        <f>IF(OR($B118="",MIN(BA$38,$D$19)&lt;MAX($P$34*($B118+IF($R$17="Distrato",$I$38-1,0)),IF(AND($L$37=0,$P$34=0),"",$L$37-1),IF($R$17="Distrato",$E118,0))),0,YEARFRAC(MAX($P$34*($B118+IF($R$17="Distrato",$I$38-1,0)),IF(AND($L$37=0,$P$34=0),"",$L$37-1),IF($R$17="Distrato",$E118,0)),MIN(BA$38,$D$19),$P$20))-SUM($P118:AZ118)</f>
        <v>#VALUE!</v>
      </c>
      <c r="BB118" s="447"/>
      <c r="BF118" s="446">
        <f t="shared" si="21"/>
        <v>0</v>
      </c>
      <c r="BG118" s="446">
        <f>IF($E118=0,0,IF(MIN(BG$38,$E118)&lt;MAX($P$34*($B118+$I$38-1),IF(AND($L$37=0,$P$34=0),"",$L$37-1)),0,YEARFRAC(MAX($P$34*($B118+$I$38-1),IF(AND($L$37=0,$P$34=0),"",$L$37-1)),MIN(BG$38,$E118),$P$20))-SUM($BF118:BF118))</f>
        <v>0</v>
      </c>
      <c r="BH118" s="446">
        <f>IF($E118=0,0,IF(MIN(BH$38,$E118)&lt;MAX($P$34*($B118+$I$38-1),IF(AND($L$37=0,$P$34=0),"",$L$37-1)),0,YEARFRAC(MAX($P$34*($B118+$I$38-1),IF(AND($L$37=0,$P$34=0),"",$L$37-1)),MIN(BH$38,$E118),$P$20))-SUM($BF118:BG118))</f>
        <v>0</v>
      </c>
      <c r="BI118" s="446">
        <f>IF($E118=0,0,IF(MIN(BI$38,$E118)&lt;MAX($P$34*($B118+$I$38-1),IF(AND($L$37=0,$P$34=0),"",$L$37-1)),0,YEARFRAC(MAX($P$34*($B118+$I$38-1),IF(AND($L$37=0,$P$34=0),"",$L$37-1)),MIN(BI$38,$E118),$P$20))-SUM($BF118:BH118))</f>
        <v>0</v>
      </c>
      <c r="BJ118" s="446">
        <f>IF($E118=0,0,IF(MIN(BJ$38,$E118)&lt;MAX($P$34*($B118+$I$38-1),IF(AND($L$37=0,$P$34=0),"",$L$37-1)),0,YEARFRAC(MAX($P$34*($B118+$I$38-1),IF(AND($L$37=0,$P$34=0),"",$L$37-1)),MIN(BJ$38,$E118),$P$20))-SUM($BF118:BI118))</f>
        <v>0</v>
      </c>
      <c r="BK118" s="446">
        <f>IF($E118=0,0,IF(MIN(BK$38,$E118)&lt;MAX($P$34*($B118+$I$38-1),IF(AND($L$37=0,$P$34=0),"",$L$37-1)),0,YEARFRAC(MAX($P$34*($B118+$I$38-1),IF(AND($L$37=0,$P$34=0),"",$L$37-1)),MIN(BK$38,$E118),$P$20))-SUM($BF118:BJ118))</f>
        <v>0</v>
      </c>
      <c r="BL118" s="446">
        <f>IF($E118=0,0,IF(MIN(BL$38,$E118)&lt;MAX($P$34*($B118+$I$38-1),IF(AND($L$37=0,$P$34=0),"",$L$37-1)),0,YEARFRAC(MAX($P$34*($B118+$I$38-1),IF(AND($L$37=0,$P$34=0),"",$L$37-1)),MIN(BL$38,$E118),$P$20))-SUM($BF118:BK118))</f>
        <v>0</v>
      </c>
      <c r="BM118" s="446">
        <f>IF($E118=0,0,IF(MIN(BM$38,$E118)&lt;MAX($P$34*($B118+$I$38-1),IF(AND($L$37=0,$P$34=0),"",$L$37-1)),0,YEARFRAC(MAX($P$34*($B118+$I$38-1),IF(AND($L$37=0,$P$34=0),"",$L$37-1)),MIN(BM$38,$E118),$P$20))-SUM($BF118:BL118))</f>
        <v>0</v>
      </c>
      <c r="BN118" s="446">
        <f>IF($E118=0,0,IF(MIN(BN$38,$E118)&lt;MAX($P$34*($B118+$I$38-1),IF(AND($L$37=0,$P$34=0),"",$L$37-1)),0,YEARFRAC(MAX($P$34*($B118+$I$38-1),IF(AND($L$37=0,$P$34=0),"",$L$37-1)),MIN(BN$38,$E118),$P$20))-SUM($BF118:BM118))</f>
        <v>0</v>
      </c>
      <c r="BO118" s="446">
        <f>IF($E118=0,0,IF(MIN(BO$38,$E118)&lt;MAX($P$34*($B118+$I$38-1),IF(AND($L$37=0,$P$34=0),"",$L$37-1)),0,YEARFRAC(MAX($P$34*($B118+$I$38-1),IF(AND($L$37=0,$P$34=0),"",$L$37-1)),MIN(BO$38,$E118),$P$20))-SUM($BF118:BN118))</f>
        <v>0</v>
      </c>
      <c r="BP118" s="446">
        <f>IF($E118=0,0,IF(MIN(BP$38,$E118)&lt;MAX($P$34*($B118+$I$38-1),IF(AND($L$37=0,$P$34=0),"",$L$37-1)),0,YEARFRAC(MAX($P$34*($B118+$I$38-1),IF(AND($L$37=0,$P$34=0),"",$L$37-1)),MIN(BP$38,$E118),$P$20))-SUM($BF118:BO118))</f>
        <v>0</v>
      </c>
      <c r="BQ118" s="446">
        <f>IF($E118=0,0,IF(MIN(BQ$38,$E118)&lt;MAX($P$34*($B118+$I$38-1),IF(AND($L$37=0,$P$34=0),"",$L$37-1)),0,YEARFRAC(MAX($P$34*($B118+$I$38-1),IF(AND($L$37=0,$P$34=0),"",$L$37-1)),MIN(BQ$38,$E118),$P$20))-SUM($BF118:BP118))</f>
        <v>0</v>
      </c>
      <c r="BR118" s="446">
        <f>IF($E118=0,0,IF(MIN(BR$38,$E118)&lt;MAX($P$34*($B118+$I$38-1),IF(AND($L$37=0,$P$34=0),"",$L$37-1)),0,YEARFRAC(MAX($P$34*($B118+$I$38-1),IF(AND($L$37=0,$P$34=0),"",$L$37-1)),MIN(BR$38,$E118),$P$20))-SUM($BF118:BQ118))</f>
        <v>0</v>
      </c>
      <c r="BS118" s="446">
        <f>IF($E118=0,0,IF(MIN(BS$38,$E118)&lt;MAX($P$34*($B118+$I$38-1),IF(AND($L$37=0,$P$34=0),"",$L$37-1)),0,YEARFRAC(MAX($P$34*($B118+$I$38-1),IF(AND($L$37=0,$P$34=0),"",$L$37-1)),MIN(BS$38,$E118),$P$20))-SUM($BF118:BR118))</f>
        <v>0</v>
      </c>
      <c r="BT118" s="446">
        <f>IF($E118=0,0,IF(MIN(BT$38,$E118)&lt;MAX($P$34*($B118+$I$38-1),IF(AND($L$37=0,$P$34=0),"",$L$37-1)),0,YEARFRAC(MAX($P$34*($B118+$I$38-1),IF(AND($L$37=0,$P$34=0),"",$L$37-1)),MIN(BT$38,$E118),$P$20))-SUM($BF118:BS118))</f>
        <v>0</v>
      </c>
      <c r="BU118" s="446">
        <f>IF($E118=0,0,IF(MIN(BU$38,$E118)&lt;MAX($P$34*($B118+$I$38-1),IF(AND($L$37=0,$P$34=0),"",$L$37-1)),0,YEARFRAC(MAX($P$34*($B118+$I$38-1),IF(AND($L$37=0,$P$34=0),"",$L$37-1)),MIN(BU$38,$E118),$P$20))-SUM($BF118:BT118))</f>
        <v>0</v>
      </c>
      <c r="BV118" s="446">
        <f>IF($E118=0,0,IF(MIN(BV$38,$E118)&lt;MAX($P$34*($B118+$I$38-1),IF(AND($L$37=0,$P$34=0),"",$L$37-1)),0,YEARFRAC(MAX($P$34*($B118+$I$38-1),IF(AND($L$37=0,$P$34=0),"",$L$37-1)),MIN(BV$38,$E118),$P$20))-SUM($BF118:BU118))</f>
        <v>0</v>
      </c>
      <c r="BW118" s="446">
        <f>IF($E118=0,0,IF(MIN(BW$38,$E118)&lt;MAX($P$34*($B118+$I$38-1),IF(AND($L$37=0,$P$34=0),"",$L$37-1)),0,YEARFRAC(MAX($P$34*($B118+$I$38-1),IF(AND($L$37=0,$P$34=0),"",$L$37-1)),MIN(BW$38,$E118),$P$20))-SUM($BF118:BV118))</f>
        <v>0</v>
      </c>
      <c r="BX118" s="446">
        <f>IF($E118=0,0,IF(MIN(BX$38,$E118)&lt;MAX($P$34*($B118+$I$38-1),IF(AND($L$37=0,$P$34=0),"",$L$37-1)),0,YEARFRAC(MAX($P$34*($B118+$I$38-1),IF(AND($L$37=0,$P$34=0),"",$L$37-1)),MIN(BX$38,$E118),$P$20))-SUM($BF118:BW118))</f>
        <v>0</v>
      </c>
      <c r="BY118" s="446">
        <f>IF($E118=0,0,IF(MIN(BY$38,$E118)&lt;MAX($P$34*($B118+$I$38-1),IF(AND($L$37=0,$P$34=0),"",$L$37-1)),0,YEARFRAC(MAX($P$34*($B118+$I$38-1),IF(AND($L$37=0,$P$34=0),"",$L$37-1)),MIN(BY$38,$E118),$P$20))-SUM($BF118:BX118))</f>
        <v>0</v>
      </c>
      <c r="BZ118" s="446">
        <f>IF($E118=0,0,IF(MIN(BZ$38,$E118)&lt;MAX($P$34*($B118+$I$38-1),IF(AND($L$37=0,$P$34=0),"",$L$37-1)),0,YEARFRAC(MAX($P$34*($B118+$I$38-1),IF(AND($L$37=0,$P$34=0),"",$L$37-1)),MIN(BZ$38,$E118),$P$20))-SUM($BF118:BY118))</f>
        <v>0</v>
      </c>
      <c r="CA118" s="446">
        <f>IF($E118=0,0,IF(MIN(CA$38,$E118)&lt;MAX($P$34*($B118+$I$38-1),IF(AND($L$37=0,$P$34=0),"",$L$37-1)),0,YEARFRAC(MAX($P$34*($B118+$I$38-1),IF(AND($L$37=0,$P$34=0),"",$L$37-1)),MIN(CA$38,$E118),$P$20))-SUM($BF118:BZ118))</f>
        <v>0</v>
      </c>
      <c r="CB118" s="446">
        <f>IF($E118=0,0,IF(MIN(CB$38,$E118)&lt;MAX($P$34*($B118+$I$38-1),IF(AND($L$37=0,$P$34=0),"",$L$37-1)),0,YEARFRAC(MAX($P$34*($B118+$I$38-1),IF(AND($L$37=0,$P$34=0),"",$L$37-1)),MIN(CB$38,$E118),$P$20))-SUM($BF118:CA118))</f>
        <v>0</v>
      </c>
      <c r="CC118" s="446">
        <f>IF($E118=0,0,IF(MIN(CC$38,$E118)&lt;MAX($P$34*($B118+$I$38-1),IF(AND($L$37=0,$P$34=0),"",$L$37-1)),0,YEARFRAC(MAX($P$34*($B118+$I$38-1),IF(AND($L$37=0,$P$34=0),"",$L$37-1)),MIN(CC$38,$E118),$P$20))-SUM($BF118:CB118))</f>
        <v>0</v>
      </c>
      <c r="CD118" s="446">
        <f>IF($E118=0,0,IF(MIN(CD$38,$E118)&lt;MAX($P$34*($B118+$I$38-1),IF(AND($L$37=0,$P$34=0),"",$L$37-1)),0,YEARFRAC(MAX($P$34*($B118+$I$38-1),IF(AND($L$37=0,$P$34=0),"",$L$37-1)),MIN(CD$38,$E118),$P$20))-SUM($BF118:CC118))</f>
        <v>0</v>
      </c>
      <c r="CE118" s="446">
        <f>IF($E118=0,0,IF(MIN(CE$38,$E118)&lt;MAX($P$34*($B118+$I$38-1),IF(AND($L$37=0,$P$34=0),"",$L$37-1)),0,YEARFRAC(MAX($P$34*($B118+$I$38-1),IF(AND($L$37=0,$P$34=0),"",$L$37-1)),MIN(CE$38,$E118),$P$20))-SUM($BF118:CD118))</f>
        <v>0</v>
      </c>
      <c r="CF118" s="446">
        <f>IF($E118=0,0,IF(MIN(CF$38,$E118)&lt;MAX($P$34*($B118+$I$38-1),IF(AND($L$37=0,$P$34=0),"",$L$37-1)),0,YEARFRAC(MAX($P$34*($B118+$I$38-1),IF(AND($L$37=0,$P$34=0),"",$L$37-1)),MIN(CF$38,$E118),$P$20))-SUM($BF118:CE118))</f>
        <v>0</v>
      </c>
      <c r="CG118" s="446">
        <f>IF($E118=0,0,IF(MIN(CG$38,$E118)&lt;MAX($P$34*($B118+$I$38-1),IF(AND($L$37=0,$P$34=0),"",$L$37-1)),0,YEARFRAC(MAX($P$34*($B118+$I$38-1),IF(AND($L$37=0,$P$34=0),"",$L$37-1)),MIN(CG$38,$E118),$P$20))-SUM($BF118:CF118))</f>
        <v>0</v>
      </c>
      <c r="CH118" s="446">
        <f>IF($E118=0,0,IF(MIN(CH$38,$E118)&lt;MAX($P$34*($B118+$I$38-1),IF(AND($L$37=0,$P$34=0),"",$L$37-1)),0,YEARFRAC(MAX($P$34*($B118+$I$38-1),IF(AND($L$37=0,$P$34=0),"",$L$37-1)),MIN(CH$38,$E118),$P$20))-SUM($BF118:CG118))</f>
        <v>0</v>
      </c>
      <c r="CI118" s="446">
        <f>IF($E118=0,0,IF(MIN(CI$38,$E118)&lt;MAX($P$34*($B118+$I$38-1),IF(AND($L$37=0,$P$34=0),"",$L$37-1)),0,YEARFRAC(MAX($P$34*($B118+$I$38-1),IF(AND($L$37=0,$P$34=0),"",$L$37-1)),MIN(CI$38,$E118),$P$20))-SUM($BF118:CH118))</f>
        <v>0</v>
      </c>
      <c r="CJ118" s="446">
        <f>IF($E118=0,0,IF(MIN(CJ$38,$E118)&lt;MAX($P$34*($B118+$I$38-1),IF(AND($L$37=0,$P$34=0),"",$L$37-1)),0,YEARFRAC(MAX($P$34*($B118+$I$38-1),IF(AND($L$37=0,$P$34=0),"",$L$37-1)),MIN(CJ$38,$E118),$P$20))-SUM($BF118:CI118))</f>
        <v>0</v>
      </c>
      <c r="CK118" s="446">
        <f>IF($E118=0,0,IF(MIN(CK$38,$E118)&lt;MAX($P$34*($B118+$I$38-1),IF(AND($L$37=0,$P$34=0),"",$L$37-1)),0,YEARFRAC(MAX($P$34*($B118+$I$38-1),IF(AND($L$37=0,$P$34=0),"",$L$37-1)),MIN(CK$38,$E118),$P$20))-SUM($BF118:CJ118))</f>
        <v>0</v>
      </c>
      <c r="CL118" s="446">
        <f>IF($E118=0,0,IF(MIN(CL$38,$E118)&lt;MAX($P$34*($B118+$I$38-1),IF(AND($L$37=0,$P$34=0),"",$L$37-1)),0,YEARFRAC(MAX($P$34*($B118+$I$38-1),IF(AND($L$37=0,$P$34=0),"",$L$37-1)),MIN(CL$38,$E118),$P$20))-SUM($BF118:CK118))</f>
        <v>0</v>
      </c>
      <c r="CM118" s="446">
        <f>IF($E118=0,0,IF(MIN(CM$38,$E118)&lt;MAX($P$34*($B118+$I$38-1),IF(AND($L$37=0,$P$34=0),"",$L$37-1)),0,YEARFRAC(MAX($P$34*($B118+$I$38-1),IF(AND($L$37=0,$P$34=0),"",$L$37-1)),MIN(CM$38,$E118),$P$20))-SUM($BF118:CL118))</f>
        <v>0</v>
      </c>
      <c r="CN118" s="446">
        <f>IF($E118=0,0,IF(MIN(CN$38,$E118)&lt;MAX($P$34*($B118+$I$38-1),IF(AND($L$37=0,$P$34=0),"",$L$37-1)),0,YEARFRAC(MAX($P$34*($B118+$I$38-1),IF(AND($L$37=0,$P$34=0),"",$L$37-1)),MIN(CN$38,$E118),$P$20))-SUM($BF118:CM118))</f>
        <v>0</v>
      </c>
      <c r="CO118" s="446">
        <f>IF($E118=0,0,IF(MIN(CO$38,$E118)&lt;MAX($P$34*($B118+$I$38-1),IF(AND($L$37=0,$P$34=0),"",$L$37-1)),0,YEARFRAC(MAX($P$34*($B118+$I$38-1),IF(AND($L$37=0,$P$34=0),"",$L$37-1)),MIN(CO$38,$E118),$P$20))-SUM($BF118:CN118))</f>
        <v>0</v>
      </c>
      <c r="CP118" s="446">
        <f>IF($E118=0,0,IF(MIN(CP$38,$E118)&lt;MAX($P$34*($B118+$I$38-1),IF(AND($L$37=0,$P$34=0),"",$L$37-1)),0,YEARFRAC(MAX($P$34*($B118+$I$38-1),IF(AND($L$37=0,$P$34=0),"",$L$37-1)),MIN(CP$38,$E118),$P$20))-SUM($BF118:CO118))</f>
        <v>0</v>
      </c>
      <c r="CQ118" s="446">
        <f>IF($E118=0,0,IF(MIN(CQ$38,$E118)&lt;MAX($P$34*($B118+$I$38-1),IF(AND($L$37=0,$P$34=0),"",$L$37-1)),0,YEARFRAC(MAX($P$34*($B118+$I$38-1),IF(AND($L$37=0,$P$34=0),"",$L$37-1)),MIN(CQ$38,$E118),$P$20))-SUM($BF118:CP118))</f>
        <v>0</v>
      </c>
    </row>
    <row r="119" spans="1:95" s="446" customFormat="1" ht="11.25" hidden="1" customHeight="1" x14ac:dyDescent="0.2">
      <c r="A119" s="152"/>
      <c r="B119" s="153" t="str">
        <f t="shared" si="26"/>
        <v/>
      </c>
      <c r="C119" s="29" t="str">
        <f>IF(B119="","",IF($L$35="SELIC - TRIBUTOS",VLOOKUP(DATE(YEAR($D$19),MONTH($D$19)-1,1),ÍNDICES!$A:$DE,HLOOKUP($BL$25,ÍNDICES!$B$3:$T$4,2)+11)-VLOOKUP(B119,ÍNDICES!$A:$DE,HLOOKUP($BL$25,ÍNDICES!$B$3:$T$4,2)+11)+1%,IF(C$38=$W$26,$J$35,IF(ISERROR(IF(B119&gt;$D$19,1,VLOOKUP(DATE(YEAR(B119),MONTH(B119)+IF($C$35=$S$23,1,0),1),ÍNDICES!$A:$DE,$Z$35+1))),"",IF(B119&gt;$D$19,1,VLOOKUP(DATE(YEAR(B119),MONTH(B119)+IF($C$35=$S$23,1,0),1),ÍNDICES!$A:$DE,$Z$35+1))))))</f>
        <v/>
      </c>
      <c r="D119" s="154" t="str">
        <f>IF(ISERROR(IF(OR($D$38=$Y$27,$B119=""),"",VLOOKUP(B119,ÍNDICES!A:DE,AF$35+1))),"",IF(OR($D$38=$Y$27,$B119=""),"",VLOOKUP(B119,ÍNDICES!A:DE,AF$35+1)))</f>
        <v/>
      </c>
      <c r="E119" s="153"/>
      <c r="F119" s="29" t="str">
        <f>IF(E119="","",IF($L$35="SELIC - TRIBUTOS",VLOOKUP(DATE(YEAR($D$19),MONTH($D$19)-1,1),ÍNDICES!$A:$DE,HLOOKUP($BL$25,ÍNDICES!$B$3:$T$4,2)+11)-VLOOKUP(E119,ÍNDICES!$A:$DE,HLOOKUP($BL$25,ÍNDICES!$B$3:$T$4,2)+11)+1%,IF(F$38=$W$26,$J$35,IF(ISERROR(IF(E119&gt;$D$19,1,VLOOKUP(DATE(YEAR(E119),MONTH(E119)+IF($C$35=$S$23,1,0),1),ÍNDICES!$A:$DE,$Z$35+1))),"",IF(E119&gt;$D$19,1,VLOOKUP(DATE(YEAR(E119),MONTH(E119)+IF($C$35=$S$23,1,0),1),ÍNDICES!$A:$DE,$Z$35+1))))))</f>
        <v/>
      </c>
      <c r="G119" s="155"/>
      <c r="H119" s="156" t="str">
        <f t="shared" si="22"/>
        <v/>
      </c>
      <c r="I119" s="29" t="str">
        <f t="shared" si="16"/>
        <v/>
      </c>
      <c r="J119" s="5">
        <f t="shared" si="17"/>
        <v>0</v>
      </c>
      <c r="K119" s="20">
        <f t="shared" ca="1" si="18"/>
        <v>0</v>
      </c>
      <c r="L119" s="5">
        <f t="shared" ca="1" si="19"/>
        <v>0</v>
      </c>
      <c r="M119" s="64">
        <f t="shared" si="23"/>
        <v>0</v>
      </c>
      <c r="N119" s="61">
        <f t="shared" ca="1" si="24"/>
        <v>0</v>
      </c>
      <c r="O119" s="5">
        <f t="shared" ca="1" si="25"/>
        <v>0</v>
      </c>
      <c r="P119" s="446" t="e">
        <f t="shared" si="20"/>
        <v>#VALUE!</v>
      </c>
      <c r="Q119" s="446" t="e">
        <f>IF(OR($B119="",MIN(Q$38,$D$19)&lt;MAX($P$34*($B119+IF($R$17="Distrato",$I$38-1,0)),IF(AND($L$37=0,$P$34=0),"",$L$37-1),IF($R$17="Distrato",$E119,0))),0,YEARFRAC(MAX($P$34*($B119+IF($R$17="Distrato",$I$38-1,0)),IF(AND($L$37=0,$P$34=0),"",$L$37-1),IF($R$17="Distrato",$E119,0)),MIN(Q$38,$D$19),$P$20))-SUM($P119:P119)</f>
        <v>#VALUE!</v>
      </c>
      <c r="R119" s="446" t="e">
        <f>IF(OR($B119="",MIN(R$38,$D$19)&lt;MAX($P$34*($B119+IF($R$17="Distrato",$I$38-1,0)),IF(AND($L$37=0,$P$34=0),"",$L$37-1),IF($R$17="Distrato",$E119,0))),0,YEARFRAC(MAX($P$34*($B119+IF($R$17="Distrato",$I$38-1,0)),IF(AND($L$37=0,$P$34=0),"",$L$37-1),IF($R$17="Distrato",$E119,0)),MIN(R$38,$D$19),$P$20))-SUM($P119:Q119)</f>
        <v>#VALUE!</v>
      </c>
      <c r="S119" s="446" t="e">
        <f>IF(OR($B119="",MIN(S$38,$D$19)&lt;MAX($P$34*($B119+IF($R$17="Distrato",$I$38-1,0)),IF(AND($L$37=0,$P$34=0),"",$L$37-1),IF($R$17="Distrato",$E119,0))),0,YEARFRAC(MAX($P$34*($B119+IF($R$17="Distrato",$I$38-1,0)),IF(AND($L$37=0,$P$34=0),"",$L$37-1),IF($R$17="Distrato",$E119,0)),MIN(S$38,$D$19),$P$20))-SUM($P119:R119)</f>
        <v>#VALUE!</v>
      </c>
      <c r="T119" s="446" t="e">
        <f>IF(OR($B119="",MIN(T$38,$D$19)&lt;MAX($P$34*($B119+IF($R$17="Distrato",$I$38-1,0)),IF(AND($L$37=0,$P$34=0),"",$L$37-1),IF($R$17="Distrato",$E119,0))),0,YEARFRAC(MAX($P$34*($B119+IF($R$17="Distrato",$I$38-1,0)),IF(AND($L$37=0,$P$34=0),"",$L$37-1),IF($R$17="Distrato",$E119,0)),MIN(T$38,$D$19),$P$20))-SUM($P119:S119)</f>
        <v>#VALUE!</v>
      </c>
      <c r="U119" s="446" t="e">
        <f>IF(OR($B119="",MIN(U$38,$D$19)&lt;MAX($P$34*($B119+IF($R$17="Distrato",$I$38-1,0)),IF(AND($L$37=0,$P$34=0),"",$L$37-1),IF($R$17="Distrato",$E119,0))),0,YEARFRAC(MAX($P$34*($B119+IF($R$17="Distrato",$I$38-1,0)),IF(AND($L$37=0,$P$34=0),"",$L$37-1),IF($R$17="Distrato",$E119,0)),MIN(U$38,$D$19),$P$20))-SUM($P119:T119)</f>
        <v>#VALUE!</v>
      </c>
      <c r="V119" s="446" t="e">
        <f>IF(OR($B119="",MIN(V$38,$D$19)&lt;MAX($P$34*($B119+IF($R$17="Distrato",$I$38-1,0)),IF(AND($L$37=0,$P$34=0),"",$L$37-1),IF($R$17="Distrato",$E119,0))),0,YEARFRAC(MAX($P$34*($B119+IF($R$17="Distrato",$I$38-1,0)),IF(AND($L$37=0,$P$34=0),"",$L$37-1),IF($R$17="Distrato",$E119,0)),MIN(V$38,$D$19),$P$20))-SUM($P119:U119)</f>
        <v>#VALUE!</v>
      </c>
      <c r="W119" s="446" t="e">
        <f>IF(OR($B119="",MIN(W$38,$D$19)&lt;MAX($P$34*($B119+IF($R$17="Distrato",$I$38-1,0)),IF(AND($L$37=0,$P$34=0),"",$L$37-1),IF($R$17="Distrato",$E119,0))),0,YEARFRAC(MAX($P$34*($B119+IF($R$17="Distrato",$I$38-1,0)),IF(AND($L$37=0,$P$34=0),"",$L$37-1),IF($R$17="Distrato",$E119,0)),MIN(W$38,$D$19),$P$20))-SUM($P119:V119)</f>
        <v>#VALUE!</v>
      </c>
      <c r="X119" s="446" t="e">
        <f>IF(OR($B119="",MIN(X$38,$D$19)&lt;MAX($P$34*($B119+IF($R$17="Distrato",$I$38-1,0)),IF(AND($L$37=0,$P$34=0),"",$L$37-1),IF($R$17="Distrato",$E119,0))),0,YEARFRAC(MAX($P$34*($B119+IF($R$17="Distrato",$I$38-1,0)),IF(AND($L$37=0,$P$34=0),"",$L$37-1),IF($R$17="Distrato",$E119,0)),MIN(X$38,$D$19),$P$20))-SUM($P119:W119)</f>
        <v>#VALUE!</v>
      </c>
      <c r="Y119" s="446" t="e">
        <f>IF(OR($B119="",MIN(Y$38,$D$19)&lt;MAX($P$34*($B119+IF($R$17="Distrato",$I$38-1,0)),IF(AND($L$37=0,$P$34=0),"",$L$37-1),IF($R$17="Distrato",$E119,0))),0,YEARFRAC(MAX($P$34*($B119+IF($R$17="Distrato",$I$38-1,0)),IF(AND($L$37=0,$P$34=0),"",$L$37-1),IF($R$17="Distrato",$E119,0)),MIN(Y$38,$D$19),$P$20))-SUM($P119:X119)</f>
        <v>#VALUE!</v>
      </c>
      <c r="Z119" s="446" t="e">
        <f>IF(OR($B119="",MIN(Z$38,$D$19)&lt;MAX($P$34*($B119+IF($R$17="Distrato",$I$38-1,0)),IF(AND($L$37=0,$P$34=0),"",$L$37-1),IF($R$17="Distrato",$E119,0))),0,YEARFRAC(MAX($P$34*($B119+IF($R$17="Distrato",$I$38-1,0)),IF(AND($L$37=0,$P$34=0),"",$L$37-1),IF($R$17="Distrato",$E119,0)),MIN(Z$38,$D$19),$P$20))-SUM($P119:Y119)</f>
        <v>#VALUE!</v>
      </c>
      <c r="AA119" s="446" t="e">
        <f>IF(OR($B119="",MIN(AA$38,$D$19)&lt;MAX($P$34*($B119+IF($R$17="Distrato",$I$38-1,0)),IF(AND($L$37=0,$P$34=0),"",$L$37-1),IF($R$17="Distrato",$E119,0))),0,YEARFRAC(MAX($P$34*($B119+IF($R$17="Distrato",$I$38-1,0)),IF(AND($L$37=0,$P$34=0),"",$L$37-1),IF($R$17="Distrato",$E119,0)),MIN(AA$38,$D$19),$P$20))-SUM($P119:Z119)</f>
        <v>#VALUE!</v>
      </c>
      <c r="AB119" s="446" t="e">
        <f>IF(OR($B119="",MIN(AB$38,$D$19)&lt;MAX($P$34*($B119+IF($R$17="Distrato",$I$38-1,0)),IF(AND($L$37=0,$P$34=0),"",$L$37-1),IF($R$17="Distrato",$E119,0))),0,YEARFRAC(MAX($P$34*($B119+IF($R$17="Distrato",$I$38-1,0)),IF(AND($L$37=0,$P$34=0),"",$L$37-1),IF($R$17="Distrato",$E119,0)),MIN(AB$38,$D$19),$P$20))-SUM($P119:AA119)</f>
        <v>#VALUE!</v>
      </c>
      <c r="AC119" s="446" t="e">
        <f>IF(OR($B119="",MIN(AC$38,$D$19)&lt;MAX($P$34*($B119+IF($R$17="Distrato",$I$38-1,0)),IF(AND($L$37=0,$P$34=0),"",$L$37-1),IF($R$17="Distrato",$E119,0))),0,YEARFRAC(MAX($P$34*($B119+IF($R$17="Distrato",$I$38-1,0)),IF(AND($L$37=0,$P$34=0),"",$L$37-1),IF($R$17="Distrato",$E119,0)),MIN(AC$38,$D$19),$P$20))-SUM($P119:AB119)</f>
        <v>#VALUE!</v>
      </c>
      <c r="AD119" s="446" t="e">
        <f>IF(OR($B119="",MIN(AD$38,$D$19)&lt;MAX($P$34*($B119+IF($R$17="Distrato",$I$38-1,0)),IF(AND($L$37=0,$P$34=0),"",$L$37-1),IF($R$17="Distrato",$E119,0))),0,YEARFRAC(MAX($P$34*($B119+IF($R$17="Distrato",$I$38-1,0)),IF(AND($L$37=0,$P$34=0),"",$L$37-1),IF($R$17="Distrato",$E119,0)),MIN(AD$38,$D$19),$P$20))-SUM($P119:AC119)</f>
        <v>#VALUE!</v>
      </c>
      <c r="AE119" s="446" t="e">
        <f>IF(OR($B119="",MIN(AE$38,$D$19)&lt;MAX($P$34*($B119+IF($R$17="Distrato",$I$38-1,0)),IF(AND($L$37=0,$P$34=0),"",$L$37-1),IF($R$17="Distrato",$E119,0))),0,YEARFRAC(MAX($P$34*($B119+IF($R$17="Distrato",$I$38-1,0)),IF(AND($L$37=0,$P$34=0),"",$L$37-1),IF($R$17="Distrato",$E119,0)),MIN(AE$38,$D$19),$P$20))-SUM($P119:AD119)</f>
        <v>#VALUE!</v>
      </c>
      <c r="AF119" s="446" t="e">
        <f>IF(OR($B119="",MIN(AF$38,$D$19)&lt;MAX($P$34*($B119+IF($R$17="Distrato",$I$38-1,0)),IF(AND($L$37=0,$P$34=0),"",$L$37-1),IF($R$17="Distrato",$E119,0))),0,YEARFRAC(MAX($P$34*($B119+IF($R$17="Distrato",$I$38-1,0)),IF(AND($L$37=0,$P$34=0),"",$L$37-1),IF($R$17="Distrato",$E119,0)),MIN(AF$38,$D$19),$P$20))-SUM($P119:AE119)</f>
        <v>#VALUE!</v>
      </c>
      <c r="AG119" s="446" t="e">
        <f>IF(OR($B119="",MIN(AG$38,$D$19)&lt;MAX($P$34*($B119+IF($R$17="Distrato",$I$38-1,0)),IF(AND($L$37=0,$P$34=0),"",$L$37-1),IF($R$17="Distrato",$E119,0))),0,YEARFRAC(MAX($P$34*($B119+IF($R$17="Distrato",$I$38-1,0)),IF(AND($L$37=0,$P$34=0),"",$L$37-1),IF($R$17="Distrato",$E119,0)),MIN(AG$38,$D$19),$P$20))-SUM($P119:AF119)</f>
        <v>#VALUE!</v>
      </c>
      <c r="AH119" s="446" t="e">
        <f>IF(OR($B119="",MIN(AH$38,$D$19)&lt;MAX($P$34*($B119+IF($R$17="Distrato",$I$38-1,0)),IF(AND($L$37=0,$P$34=0),"",$L$37-1),IF($R$17="Distrato",$E119,0))),0,YEARFRAC(MAX($P$34*($B119+IF($R$17="Distrato",$I$38-1,0)),IF(AND($L$37=0,$P$34=0),"",$L$37-1),IF($R$17="Distrato",$E119,0)),MIN(AH$38,$D$19),$P$20))-SUM($P119:AG119)</f>
        <v>#VALUE!</v>
      </c>
      <c r="AI119" s="446" t="e">
        <f>IF(OR($B119="",MIN(AI$38,$D$19)&lt;MAX($P$34*($B119+IF($R$17="Distrato",$I$38-1,0)),IF(AND($L$37=0,$P$34=0),"",$L$37-1),IF($R$17="Distrato",$E119,0))),0,YEARFRAC(MAX($P$34*($B119+IF($R$17="Distrato",$I$38-1,0)),IF(AND($L$37=0,$P$34=0),"",$L$37-1),IF($R$17="Distrato",$E119,0)),MIN(AI$38,$D$19),$P$20))-SUM($P119:AH119)</f>
        <v>#VALUE!</v>
      </c>
      <c r="AJ119" s="446" t="e">
        <f>IF(OR($B119="",MIN(AJ$38,$D$19)&lt;MAX($P$34*($B119+IF($R$17="Distrato",$I$38-1,0)),IF(AND($L$37=0,$P$34=0),"",$L$37-1),IF($R$17="Distrato",$E119,0))),0,YEARFRAC(MAX($P$34*($B119+IF($R$17="Distrato",$I$38-1,0)),IF(AND($L$37=0,$P$34=0),"",$L$37-1),IF($R$17="Distrato",$E119,0)),MIN(AJ$38,$D$19),$P$20))-SUM($P119:AI119)</f>
        <v>#VALUE!</v>
      </c>
      <c r="AK119" s="446" t="e">
        <f>IF(OR($B119="",MIN(AK$38,$D$19)&lt;MAX($P$34*($B119+IF($R$17="Distrato",$I$38-1,0)),IF(AND($L$37=0,$P$34=0),"",$L$37-1),IF($R$17="Distrato",$E119,0))),0,YEARFRAC(MAX($P$34*($B119+IF($R$17="Distrato",$I$38-1,0)),IF(AND($L$37=0,$P$34=0),"",$L$37-1),IF($R$17="Distrato",$E119,0)),MIN(AK$38,$D$19),$P$20))-SUM($P119:AJ119)</f>
        <v>#VALUE!</v>
      </c>
      <c r="AL119" s="446" t="e">
        <f>IF(OR($B119="",MIN(AL$38,$D$19)&lt;MAX($P$34*($B119+IF($R$17="Distrato",$I$38-1,0)),IF(AND($L$37=0,$P$34=0),"",$L$37-1),IF($R$17="Distrato",$E119,0))),0,YEARFRAC(MAX($P$34*($B119+IF($R$17="Distrato",$I$38-1,0)),IF(AND($L$37=0,$P$34=0),"",$L$37-1),IF($R$17="Distrato",$E119,0)),MIN(AL$38,$D$19),$P$20))-SUM($P119:AK119)</f>
        <v>#VALUE!</v>
      </c>
      <c r="AM119" s="446" t="e">
        <f>IF(OR($B119="",MIN(AM$38,$D$19)&lt;MAX($P$34*($B119+IF($R$17="Distrato",$I$38-1,0)),IF(AND($L$37=0,$P$34=0),"",$L$37-1),IF($R$17="Distrato",$E119,0))),0,YEARFRAC(MAX($P$34*($B119+IF($R$17="Distrato",$I$38-1,0)),IF(AND($L$37=0,$P$34=0),"",$L$37-1),IF($R$17="Distrato",$E119,0)),MIN(AM$38,$D$19),$P$20))-SUM($P119:AL119)</f>
        <v>#VALUE!</v>
      </c>
      <c r="AN119" s="446" t="e">
        <f>IF(OR($B119="",MIN(AN$38,$D$19)&lt;MAX($P$34*($B119+IF($R$17="Distrato",$I$38-1,0)),IF(AND($L$37=0,$P$34=0),"",$L$37-1),IF($R$17="Distrato",$E119,0))),0,YEARFRAC(MAX($P$34*($B119+IF($R$17="Distrato",$I$38-1,0)),IF(AND($L$37=0,$P$34=0),"",$L$37-1),IF($R$17="Distrato",$E119,0)),MIN(AN$38,$D$19),$P$20))-SUM($P119:AM119)</f>
        <v>#VALUE!</v>
      </c>
      <c r="AO119" s="446" t="e">
        <f>IF(OR($B119="",MIN(AO$38,$D$19)&lt;MAX($P$34*($B119+IF($R$17="Distrato",$I$38-1,0)),IF(AND($L$37=0,$P$34=0),"",$L$37-1),IF($R$17="Distrato",$E119,0))),0,YEARFRAC(MAX($P$34*($B119+IF($R$17="Distrato",$I$38-1,0)),IF(AND($L$37=0,$P$34=0),"",$L$37-1),IF($R$17="Distrato",$E119,0)),MIN(AO$38,$D$19),$P$20))-SUM($P119:AN119)</f>
        <v>#VALUE!</v>
      </c>
      <c r="AP119" s="446" t="e">
        <f>IF(OR($B119="",MIN(AP$38,$D$19)&lt;MAX($P$34*($B119+IF($R$17="Distrato",$I$38-1,0)),IF(AND($L$37=0,$P$34=0),"",$L$37-1),IF($R$17="Distrato",$E119,0))),0,YEARFRAC(MAX($P$34*($B119+IF($R$17="Distrato",$I$38-1,0)),IF(AND($L$37=0,$P$34=0),"",$L$37-1),IF($R$17="Distrato",$E119,0)),MIN(AP$38,$D$19),$P$20))-SUM($P119:AO119)</f>
        <v>#VALUE!</v>
      </c>
      <c r="AQ119" s="446" t="e">
        <f>IF(OR($B119="",MIN(AQ$38,$D$19)&lt;MAX($P$34*($B119+IF($R$17="Distrato",$I$38-1,0)),IF(AND($L$37=0,$P$34=0),"",$L$37-1),IF($R$17="Distrato",$E119,0))),0,YEARFRAC(MAX($P$34*($B119+IF($R$17="Distrato",$I$38-1,0)),IF(AND($L$37=0,$P$34=0),"",$L$37-1),IF($R$17="Distrato",$E119,0)),MIN(AQ$38,$D$19),$P$20))-SUM($P119:AP119)</f>
        <v>#VALUE!</v>
      </c>
      <c r="AR119" s="446" t="e">
        <f>IF(OR($B119="",MIN(AR$38,$D$19)&lt;MAX($P$34*($B119+IF($R$17="Distrato",$I$38-1,0)),IF(AND($L$37=0,$P$34=0),"",$L$37-1),IF($R$17="Distrato",$E119,0))),0,YEARFRAC(MAX($P$34*($B119+IF($R$17="Distrato",$I$38-1,0)),IF(AND($L$37=0,$P$34=0),"",$L$37-1),IF($R$17="Distrato",$E119,0)),MIN(AR$38,$D$19),$P$20))-SUM($P119:AQ119)</f>
        <v>#VALUE!</v>
      </c>
      <c r="AS119" s="446" t="e">
        <f>IF(OR($B119="",MIN(AS$38,$D$19)&lt;MAX($P$34*($B119+IF($R$17="Distrato",$I$38-1,0)),IF(AND($L$37=0,$P$34=0),"",$L$37-1),IF($R$17="Distrato",$E119,0))),0,YEARFRAC(MAX($P$34*($B119+IF($R$17="Distrato",$I$38-1,0)),IF(AND($L$37=0,$P$34=0),"",$L$37-1),IF($R$17="Distrato",$E119,0)),MIN(AS$38,$D$19),$P$20))-SUM($P119:AR119)</f>
        <v>#VALUE!</v>
      </c>
      <c r="AT119" s="446" t="e">
        <f>IF(OR($B119="",MIN(AT$38,$D$19)&lt;MAX($P$34*($B119+IF($R$17="Distrato",$I$38-1,0)),IF(AND($L$37=0,$P$34=0),"",$L$37-1),IF($R$17="Distrato",$E119,0))),0,YEARFRAC(MAX($P$34*($B119+IF($R$17="Distrato",$I$38-1,0)),IF(AND($L$37=0,$P$34=0),"",$L$37-1),IF($R$17="Distrato",$E119,0)),MIN(AT$38,$D$19),$P$20))-SUM($P119:AS119)</f>
        <v>#VALUE!</v>
      </c>
      <c r="AU119" s="446" t="e">
        <f>IF(OR($B119="",MIN(AU$38,$D$19)&lt;MAX($P$34*($B119+IF($R$17="Distrato",$I$38-1,0)),IF(AND($L$37=0,$P$34=0),"",$L$37-1),IF($R$17="Distrato",$E119,0))),0,YEARFRAC(MAX($P$34*($B119+IF($R$17="Distrato",$I$38-1,0)),IF(AND($L$37=0,$P$34=0),"",$L$37-1),IF($R$17="Distrato",$E119,0)),MIN(AU$38,$D$19),$P$20))-SUM($P119:AT119)</f>
        <v>#VALUE!</v>
      </c>
      <c r="AV119" s="446" t="e">
        <f>IF(OR($B119="",MIN(AV$38,$D$19)&lt;MAX($P$34*($B119+IF($R$17="Distrato",$I$38-1,0)),IF(AND($L$37=0,$P$34=0),"",$L$37-1),IF($R$17="Distrato",$E119,0))),0,YEARFRAC(MAX($P$34*($B119+IF($R$17="Distrato",$I$38-1,0)),IF(AND($L$37=0,$P$34=0),"",$L$37-1),IF($R$17="Distrato",$E119,0)),MIN(AV$38,$D$19),$P$20))-SUM($P119:AU119)</f>
        <v>#VALUE!</v>
      </c>
      <c r="AW119" s="446" t="e">
        <f>IF(OR($B119="",MIN(AW$38,$D$19)&lt;MAX($P$34*($B119+IF($R$17="Distrato",$I$38-1,0)),IF(AND($L$37=0,$P$34=0),"",$L$37-1),IF($R$17="Distrato",$E119,0))),0,YEARFRAC(MAX($P$34*($B119+IF($R$17="Distrato",$I$38-1,0)),IF(AND($L$37=0,$P$34=0),"",$L$37-1),IF($R$17="Distrato",$E119,0)),MIN(AW$38,$D$19),$P$20))-SUM($P119:AV119)</f>
        <v>#VALUE!</v>
      </c>
      <c r="AX119" s="446" t="e">
        <f>IF(OR($B119="",MIN(AX$38,$D$19)&lt;MAX($P$34*($B119+IF($R$17="Distrato",$I$38-1,0)),IF(AND($L$37=0,$P$34=0),"",$L$37-1),IF($R$17="Distrato",$E119,0))),0,YEARFRAC(MAX($P$34*($B119+IF($R$17="Distrato",$I$38-1,0)),IF(AND($L$37=0,$P$34=0),"",$L$37-1),IF($R$17="Distrato",$E119,0)),MIN(AX$38,$D$19),$P$20))-SUM($P119:AW119)</f>
        <v>#VALUE!</v>
      </c>
      <c r="AY119" s="446" t="e">
        <f>IF(OR($B119="",MIN(AY$38,$D$19)&lt;MAX($P$34*($B119+IF($R$17="Distrato",$I$38-1,0)),IF(AND($L$37=0,$P$34=0),"",$L$37-1),IF($R$17="Distrato",$E119,0))),0,YEARFRAC(MAX($P$34*($B119+IF($R$17="Distrato",$I$38-1,0)),IF(AND($L$37=0,$P$34=0),"",$L$37-1),IF($R$17="Distrato",$E119,0)),MIN(AY$38,$D$19),$P$20))-SUM($P119:AX119)</f>
        <v>#VALUE!</v>
      </c>
      <c r="AZ119" s="446" t="e">
        <f>IF(OR($B119="",MIN(AZ$38,$D$19)&lt;MAX($P$34*($B119+IF($R$17="Distrato",$I$38-1,0)),IF(AND($L$37=0,$P$34=0),"",$L$37-1),IF($R$17="Distrato",$E119,0))),0,YEARFRAC(MAX($P$34*($B119+IF($R$17="Distrato",$I$38-1,0)),IF(AND($L$37=0,$P$34=0),"",$L$37-1),IF($R$17="Distrato",$E119,0)),MIN(AZ$38,$D$19),$P$20))-SUM($P119:AY119)</f>
        <v>#VALUE!</v>
      </c>
      <c r="BA119" s="446" t="e">
        <f>IF(OR($B119="",MIN(BA$38,$D$19)&lt;MAX($P$34*($B119+IF($R$17="Distrato",$I$38-1,0)),IF(AND($L$37=0,$P$34=0),"",$L$37-1),IF($R$17="Distrato",$E119,0))),0,YEARFRAC(MAX($P$34*($B119+IF($R$17="Distrato",$I$38-1,0)),IF(AND($L$37=0,$P$34=0),"",$L$37-1),IF($R$17="Distrato",$E119,0)),MIN(BA$38,$D$19),$P$20))-SUM($P119:AZ119)</f>
        <v>#VALUE!</v>
      </c>
      <c r="BB119" s="447"/>
      <c r="BF119" s="446">
        <f t="shared" si="21"/>
        <v>0</v>
      </c>
      <c r="BG119" s="446">
        <f>IF($E119=0,0,IF(MIN(BG$38,$E119)&lt;MAX($P$34*($B119+$I$38-1),IF(AND($L$37=0,$P$34=0),"",$L$37-1)),0,YEARFRAC(MAX($P$34*($B119+$I$38-1),IF(AND($L$37=0,$P$34=0),"",$L$37-1)),MIN(BG$38,$E119),$P$20))-SUM($BF119:BF119))</f>
        <v>0</v>
      </c>
      <c r="BH119" s="446">
        <f>IF($E119=0,0,IF(MIN(BH$38,$E119)&lt;MAX($P$34*($B119+$I$38-1),IF(AND($L$37=0,$P$34=0),"",$L$37-1)),0,YEARFRAC(MAX($P$34*($B119+$I$38-1),IF(AND($L$37=0,$P$34=0),"",$L$37-1)),MIN(BH$38,$E119),$P$20))-SUM($BF119:BG119))</f>
        <v>0</v>
      </c>
      <c r="BI119" s="446">
        <f>IF($E119=0,0,IF(MIN(BI$38,$E119)&lt;MAX($P$34*($B119+$I$38-1),IF(AND($L$37=0,$P$34=0),"",$L$37-1)),0,YEARFRAC(MAX($P$34*($B119+$I$38-1),IF(AND($L$37=0,$P$34=0),"",$L$37-1)),MIN(BI$38,$E119),$P$20))-SUM($BF119:BH119))</f>
        <v>0</v>
      </c>
      <c r="BJ119" s="446">
        <f>IF($E119=0,0,IF(MIN(BJ$38,$E119)&lt;MAX($P$34*($B119+$I$38-1),IF(AND($L$37=0,$P$34=0),"",$L$37-1)),0,YEARFRAC(MAX($P$34*($B119+$I$38-1),IF(AND($L$37=0,$P$34=0),"",$L$37-1)),MIN(BJ$38,$E119),$P$20))-SUM($BF119:BI119))</f>
        <v>0</v>
      </c>
      <c r="BK119" s="446">
        <f>IF($E119=0,0,IF(MIN(BK$38,$E119)&lt;MAX($P$34*($B119+$I$38-1),IF(AND($L$37=0,$P$34=0),"",$L$37-1)),0,YEARFRAC(MAX($P$34*($B119+$I$38-1),IF(AND($L$37=0,$P$34=0),"",$L$37-1)),MIN(BK$38,$E119),$P$20))-SUM($BF119:BJ119))</f>
        <v>0</v>
      </c>
      <c r="BL119" s="446">
        <f>IF($E119=0,0,IF(MIN(BL$38,$E119)&lt;MAX($P$34*($B119+$I$38-1),IF(AND($L$37=0,$P$34=0),"",$L$37-1)),0,YEARFRAC(MAX($P$34*($B119+$I$38-1),IF(AND($L$37=0,$P$34=0),"",$L$37-1)),MIN(BL$38,$E119),$P$20))-SUM($BF119:BK119))</f>
        <v>0</v>
      </c>
      <c r="BM119" s="446">
        <f>IF($E119=0,0,IF(MIN(BM$38,$E119)&lt;MAX($P$34*($B119+$I$38-1),IF(AND($L$37=0,$P$34=0),"",$L$37-1)),0,YEARFRAC(MAX($P$34*($B119+$I$38-1),IF(AND($L$37=0,$P$34=0),"",$L$37-1)),MIN(BM$38,$E119),$P$20))-SUM($BF119:BL119))</f>
        <v>0</v>
      </c>
      <c r="BN119" s="446">
        <f>IF($E119=0,0,IF(MIN(BN$38,$E119)&lt;MAX($P$34*($B119+$I$38-1),IF(AND($L$37=0,$P$34=0),"",$L$37-1)),0,YEARFRAC(MAX($P$34*($B119+$I$38-1),IF(AND($L$37=0,$P$34=0),"",$L$37-1)),MIN(BN$38,$E119),$P$20))-SUM($BF119:BM119))</f>
        <v>0</v>
      </c>
      <c r="BO119" s="446">
        <f>IF($E119=0,0,IF(MIN(BO$38,$E119)&lt;MAX($P$34*($B119+$I$38-1),IF(AND($L$37=0,$P$34=0),"",$L$37-1)),0,YEARFRAC(MAX($P$34*($B119+$I$38-1),IF(AND($L$37=0,$P$34=0),"",$L$37-1)),MIN(BO$38,$E119),$P$20))-SUM($BF119:BN119))</f>
        <v>0</v>
      </c>
      <c r="BP119" s="446">
        <f>IF($E119=0,0,IF(MIN(BP$38,$E119)&lt;MAX($P$34*($B119+$I$38-1),IF(AND($L$37=0,$P$34=0),"",$L$37-1)),0,YEARFRAC(MAX($P$34*($B119+$I$38-1),IF(AND($L$37=0,$P$34=0),"",$L$37-1)),MIN(BP$38,$E119),$P$20))-SUM($BF119:BO119))</f>
        <v>0</v>
      </c>
      <c r="BQ119" s="446">
        <f>IF($E119=0,0,IF(MIN(BQ$38,$E119)&lt;MAX($P$34*($B119+$I$38-1),IF(AND($L$37=0,$P$34=0),"",$L$37-1)),0,YEARFRAC(MAX($P$34*($B119+$I$38-1),IF(AND($L$37=0,$P$34=0),"",$L$37-1)),MIN(BQ$38,$E119),$P$20))-SUM($BF119:BP119))</f>
        <v>0</v>
      </c>
      <c r="BR119" s="446">
        <f>IF($E119=0,0,IF(MIN(BR$38,$E119)&lt;MAX($P$34*($B119+$I$38-1),IF(AND($L$37=0,$P$34=0),"",$L$37-1)),0,YEARFRAC(MAX($P$34*($B119+$I$38-1),IF(AND($L$37=0,$P$34=0),"",$L$37-1)),MIN(BR$38,$E119),$P$20))-SUM($BF119:BQ119))</f>
        <v>0</v>
      </c>
      <c r="BS119" s="446">
        <f>IF($E119=0,0,IF(MIN(BS$38,$E119)&lt;MAX($P$34*($B119+$I$38-1),IF(AND($L$37=0,$P$34=0),"",$L$37-1)),0,YEARFRAC(MAX($P$34*($B119+$I$38-1),IF(AND($L$37=0,$P$34=0),"",$L$37-1)),MIN(BS$38,$E119),$P$20))-SUM($BF119:BR119))</f>
        <v>0</v>
      </c>
      <c r="BT119" s="446">
        <f>IF($E119=0,0,IF(MIN(BT$38,$E119)&lt;MAX($P$34*($B119+$I$38-1),IF(AND($L$37=0,$P$34=0),"",$L$37-1)),0,YEARFRAC(MAX($P$34*($B119+$I$38-1),IF(AND($L$37=0,$P$34=0),"",$L$37-1)),MIN(BT$38,$E119),$P$20))-SUM($BF119:BS119))</f>
        <v>0</v>
      </c>
      <c r="BU119" s="446">
        <f>IF($E119=0,0,IF(MIN(BU$38,$E119)&lt;MAX($P$34*($B119+$I$38-1),IF(AND($L$37=0,$P$34=0),"",$L$37-1)),0,YEARFRAC(MAX($P$34*($B119+$I$38-1),IF(AND($L$37=0,$P$34=0),"",$L$37-1)),MIN(BU$38,$E119),$P$20))-SUM($BF119:BT119))</f>
        <v>0</v>
      </c>
      <c r="BV119" s="446">
        <f>IF($E119=0,0,IF(MIN(BV$38,$E119)&lt;MAX($P$34*($B119+$I$38-1),IF(AND($L$37=0,$P$34=0),"",$L$37-1)),0,YEARFRAC(MAX($P$34*($B119+$I$38-1),IF(AND($L$37=0,$P$34=0),"",$L$37-1)),MIN(BV$38,$E119),$P$20))-SUM($BF119:BU119))</f>
        <v>0</v>
      </c>
      <c r="BW119" s="446">
        <f>IF($E119=0,0,IF(MIN(BW$38,$E119)&lt;MAX($P$34*($B119+$I$38-1),IF(AND($L$37=0,$P$34=0),"",$L$37-1)),0,YEARFRAC(MAX($P$34*($B119+$I$38-1),IF(AND($L$37=0,$P$34=0),"",$L$37-1)),MIN(BW$38,$E119),$P$20))-SUM($BF119:BV119))</f>
        <v>0</v>
      </c>
      <c r="BX119" s="446">
        <f>IF($E119=0,0,IF(MIN(BX$38,$E119)&lt;MAX($P$34*($B119+$I$38-1),IF(AND($L$37=0,$P$34=0),"",$L$37-1)),0,YEARFRAC(MAX($P$34*($B119+$I$38-1),IF(AND($L$37=0,$P$34=0),"",$L$37-1)),MIN(BX$38,$E119),$P$20))-SUM($BF119:BW119))</f>
        <v>0</v>
      </c>
      <c r="BY119" s="446">
        <f>IF($E119=0,0,IF(MIN(BY$38,$E119)&lt;MAX($P$34*($B119+$I$38-1),IF(AND($L$37=0,$P$34=0),"",$L$37-1)),0,YEARFRAC(MAX($P$34*($B119+$I$38-1),IF(AND($L$37=0,$P$34=0),"",$L$37-1)),MIN(BY$38,$E119),$P$20))-SUM($BF119:BX119))</f>
        <v>0</v>
      </c>
      <c r="BZ119" s="446">
        <f>IF($E119=0,0,IF(MIN(BZ$38,$E119)&lt;MAX($P$34*($B119+$I$38-1),IF(AND($L$37=0,$P$34=0),"",$L$37-1)),0,YEARFRAC(MAX($P$34*($B119+$I$38-1),IF(AND($L$37=0,$P$34=0),"",$L$37-1)),MIN(BZ$38,$E119),$P$20))-SUM($BF119:BY119))</f>
        <v>0</v>
      </c>
      <c r="CA119" s="446">
        <f>IF($E119=0,0,IF(MIN(CA$38,$E119)&lt;MAX($P$34*($B119+$I$38-1),IF(AND($L$37=0,$P$34=0),"",$L$37-1)),0,YEARFRAC(MAX($P$34*($B119+$I$38-1),IF(AND($L$37=0,$P$34=0),"",$L$37-1)),MIN(CA$38,$E119),$P$20))-SUM($BF119:BZ119))</f>
        <v>0</v>
      </c>
      <c r="CB119" s="446">
        <f>IF($E119=0,0,IF(MIN(CB$38,$E119)&lt;MAX($P$34*($B119+$I$38-1),IF(AND($L$37=0,$P$34=0),"",$L$37-1)),0,YEARFRAC(MAX($P$34*($B119+$I$38-1),IF(AND($L$37=0,$P$34=0),"",$L$37-1)),MIN(CB$38,$E119),$P$20))-SUM($BF119:CA119))</f>
        <v>0</v>
      </c>
      <c r="CC119" s="446">
        <f>IF($E119=0,0,IF(MIN(CC$38,$E119)&lt;MAX($P$34*($B119+$I$38-1),IF(AND($L$37=0,$P$34=0),"",$L$37-1)),0,YEARFRAC(MAX($P$34*($B119+$I$38-1),IF(AND($L$37=0,$P$34=0),"",$L$37-1)),MIN(CC$38,$E119),$P$20))-SUM($BF119:CB119))</f>
        <v>0</v>
      </c>
      <c r="CD119" s="446">
        <f>IF($E119=0,0,IF(MIN(CD$38,$E119)&lt;MAX($P$34*($B119+$I$38-1),IF(AND($L$37=0,$P$34=0),"",$L$37-1)),0,YEARFRAC(MAX($P$34*($B119+$I$38-1),IF(AND($L$37=0,$P$34=0),"",$L$37-1)),MIN(CD$38,$E119),$P$20))-SUM($BF119:CC119))</f>
        <v>0</v>
      </c>
      <c r="CE119" s="446">
        <f>IF($E119=0,0,IF(MIN(CE$38,$E119)&lt;MAX($P$34*($B119+$I$38-1),IF(AND($L$37=0,$P$34=0),"",$L$37-1)),0,YEARFRAC(MAX($P$34*($B119+$I$38-1),IF(AND($L$37=0,$P$34=0),"",$L$37-1)),MIN(CE$38,$E119),$P$20))-SUM($BF119:CD119))</f>
        <v>0</v>
      </c>
      <c r="CF119" s="446">
        <f>IF($E119=0,0,IF(MIN(CF$38,$E119)&lt;MAX($P$34*($B119+$I$38-1),IF(AND($L$37=0,$P$34=0),"",$L$37-1)),0,YEARFRAC(MAX($P$34*($B119+$I$38-1),IF(AND($L$37=0,$P$34=0),"",$L$37-1)),MIN(CF$38,$E119),$P$20))-SUM($BF119:CE119))</f>
        <v>0</v>
      </c>
      <c r="CG119" s="446">
        <f>IF($E119=0,0,IF(MIN(CG$38,$E119)&lt;MAX($P$34*($B119+$I$38-1),IF(AND($L$37=0,$P$34=0),"",$L$37-1)),0,YEARFRAC(MAX($P$34*($B119+$I$38-1),IF(AND($L$37=0,$P$34=0),"",$L$37-1)),MIN(CG$38,$E119),$P$20))-SUM($BF119:CF119))</f>
        <v>0</v>
      </c>
      <c r="CH119" s="446">
        <f>IF($E119=0,0,IF(MIN(CH$38,$E119)&lt;MAX($P$34*($B119+$I$38-1),IF(AND($L$37=0,$P$34=0),"",$L$37-1)),0,YEARFRAC(MAX($P$34*($B119+$I$38-1),IF(AND($L$37=0,$P$34=0),"",$L$37-1)),MIN(CH$38,$E119),$P$20))-SUM($BF119:CG119))</f>
        <v>0</v>
      </c>
      <c r="CI119" s="446">
        <f>IF($E119=0,0,IF(MIN(CI$38,$E119)&lt;MAX($P$34*($B119+$I$38-1),IF(AND($L$37=0,$P$34=0),"",$L$37-1)),0,YEARFRAC(MAX($P$34*($B119+$I$38-1),IF(AND($L$37=0,$P$34=0),"",$L$37-1)),MIN(CI$38,$E119),$P$20))-SUM($BF119:CH119))</f>
        <v>0</v>
      </c>
      <c r="CJ119" s="446">
        <f>IF($E119=0,0,IF(MIN(CJ$38,$E119)&lt;MAX($P$34*($B119+$I$38-1),IF(AND($L$37=0,$P$34=0),"",$L$37-1)),0,YEARFRAC(MAX($P$34*($B119+$I$38-1),IF(AND($L$37=0,$P$34=0),"",$L$37-1)),MIN(CJ$38,$E119),$P$20))-SUM($BF119:CI119))</f>
        <v>0</v>
      </c>
      <c r="CK119" s="446">
        <f>IF($E119=0,0,IF(MIN(CK$38,$E119)&lt;MAX($P$34*($B119+$I$38-1),IF(AND($L$37=0,$P$34=0),"",$L$37-1)),0,YEARFRAC(MAX($P$34*($B119+$I$38-1),IF(AND($L$37=0,$P$34=0),"",$L$37-1)),MIN(CK$38,$E119),$P$20))-SUM($BF119:CJ119))</f>
        <v>0</v>
      </c>
      <c r="CL119" s="446">
        <f>IF($E119=0,0,IF(MIN(CL$38,$E119)&lt;MAX($P$34*($B119+$I$38-1),IF(AND($L$37=0,$P$34=0),"",$L$37-1)),0,YEARFRAC(MAX($P$34*($B119+$I$38-1),IF(AND($L$37=0,$P$34=0),"",$L$37-1)),MIN(CL$38,$E119),$P$20))-SUM($BF119:CK119))</f>
        <v>0</v>
      </c>
      <c r="CM119" s="446">
        <f>IF($E119=0,0,IF(MIN(CM$38,$E119)&lt;MAX($P$34*($B119+$I$38-1),IF(AND($L$37=0,$P$34=0),"",$L$37-1)),0,YEARFRAC(MAX($P$34*($B119+$I$38-1),IF(AND($L$37=0,$P$34=0),"",$L$37-1)),MIN(CM$38,$E119),$P$20))-SUM($BF119:CL119))</f>
        <v>0</v>
      </c>
      <c r="CN119" s="446">
        <f>IF($E119=0,0,IF(MIN(CN$38,$E119)&lt;MAX($P$34*($B119+$I$38-1),IF(AND($L$37=0,$P$34=0),"",$L$37-1)),0,YEARFRAC(MAX($P$34*($B119+$I$38-1),IF(AND($L$37=0,$P$34=0),"",$L$37-1)),MIN(CN$38,$E119),$P$20))-SUM($BF119:CM119))</f>
        <v>0</v>
      </c>
      <c r="CO119" s="446">
        <f>IF($E119=0,0,IF(MIN(CO$38,$E119)&lt;MAX($P$34*($B119+$I$38-1),IF(AND($L$37=0,$P$34=0),"",$L$37-1)),0,YEARFRAC(MAX($P$34*($B119+$I$38-1),IF(AND($L$37=0,$P$34=0),"",$L$37-1)),MIN(CO$38,$E119),$P$20))-SUM($BF119:CN119))</f>
        <v>0</v>
      </c>
      <c r="CP119" s="446">
        <f>IF($E119=0,0,IF(MIN(CP$38,$E119)&lt;MAX($P$34*($B119+$I$38-1),IF(AND($L$37=0,$P$34=0),"",$L$37-1)),0,YEARFRAC(MAX($P$34*($B119+$I$38-1),IF(AND($L$37=0,$P$34=0),"",$L$37-1)),MIN(CP$38,$E119),$P$20))-SUM($BF119:CO119))</f>
        <v>0</v>
      </c>
      <c r="CQ119" s="446">
        <f>IF($E119=0,0,IF(MIN(CQ$38,$E119)&lt;MAX($P$34*($B119+$I$38-1),IF(AND($L$37=0,$P$34=0),"",$L$37-1)),0,YEARFRAC(MAX($P$34*($B119+$I$38-1),IF(AND($L$37=0,$P$34=0),"",$L$37-1)),MIN(CQ$38,$E119),$P$20))-SUM($BF119:CP119))</f>
        <v>0</v>
      </c>
    </row>
    <row r="120" spans="1:95" s="446" customFormat="1" ht="11.25" hidden="1" customHeight="1" x14ac:dyDescent="0.2">
      <c r="A120" s="152"/>
      <c r="B120" s="153" t="str">
        <f t="shared" si="26"/>
        <v/>
      </c>
      <c r="C120" s="29" t="str">
        <f>IF(B120="","",IF($L$35="SELIC - TRIBUTOS",VLOOKUP(DATE(YEAR($D$19),MONTH($D$19)-1,1),ÍNDICES!$A:$DE,HLOOKUP($BL$25,ÍNDICES!$B$3:$T$4,2)+11)-VLOOKUP(B120,ÍNDICES!$A:$DE,HLOOKUP($BL$25,ÍNDICES!$B$3:$T$4,2)+11)+1%,IF(C$38=$W$26,$J$35,IF(ISERROR(IF(B120&gt;$D$19,1,VLOOKUP(DATE(YEAR(B120),MONTH(B120)+IF($C$35=$S$23,1,0),1),ÍNDICES!$A:$DE,$Z$35+1))),"",IF(B120&gt;$D$19,1,VLOOKUP(DATE(YEAR(B120),MONTH(B120)+IF($C$35=$S$23,1,0),1),ÍNDICES!$A:$DE,$Z$35+1))))))</f>
        <v/>
      </c>
      <c r="D120" s="154" t="str">
        <f>IF(ISERROR(IF(OR($D$38=$Y$27,$B120=""),"",VLOOKUP(B120,ÍNDICES!A:DE,AF$35+1))),"",IF(OR($D$38=$Y$27,$B120=""),"",VLOOKUP(B120,ÍNDICES!A:DE,AF$35+1)))</f>
        <v/>
      </c>
      <c r="E120" s="153"/>
      <c r="F120" s="29" t="str">
        <f>IF(E120="","",IF($L$35="SELIC - TRIBUTOS",VLOOKUP(DATE(YEAR($D$19),MONTH($D$19)-1,1),ÍNDICES!$A:$DE,HLOOKUP($BL$25,ÍNDICES!$B$3:$T$4,2)+11)-VLOOKUP(E120,ÍNDICES!$A:$DE,HLOOKUP($BL$25,ÍNDICES!$B$3:$T$4,2)+11)+1%,IF(F$38=$W$26,$J$35,IF(ISERROR(IF(E120&gt;$D$19,1,VLOOKUP(DATE(YEAR(E120),MONTH(E120)+IF($C$35=$S$23,1,0),1),ÍNDICES!$A:$DE,$Z$35+1))),"",IF(E120&gt;$D$19,1,VLOOKUP(DATE(YEAR(E120),MONTH(E120)+IF($C$35=$S$23,1,0),1),ÍNDICES!$A:$DE,$Z$35+1))))))</f>
        <v/>
      </c>
      <c r="G120" s="155"/>
      <c r="H120" s="156" t="str">
        <f t="shared" si="22"/>
        <v/>
      </c>
      <c r="I120" s="29" t="str">
        <f t="shared" si="16"/>
        <v/>
      </c>
      <c r="J120" s="5">
        <f t="shared" si="17"/>
        <v>0</v>
      </c>
      <c r="K120" s="20">
        <f t="shared" ca="1" si="18"/>
        <v>0</v>
      </c>
      <c r="L120" s="5">
        <f t="shared" ca="1" si="19"/>
        <v>0</v>
      </c>
      <c r="M120" s="64">
        <f t="shared" si="23"/>
        <v>0</v>
      </c>
      <c r="N120" s="61">
        <f t="shared" ca="1" si="24"/>
        <v>0</v>
      </c>
      <c r="O120" s="5">
        <f t="shared" ca="1" si="25"/>
        <v>0</v>
      </c>
      <c r="P120" s="446" t="e">
        <f t="shared" si="20"/>
        <v>#VALUE!</v>
      </c>
      <c r="Q120" s="446" t="e">
        <f>IF(OR($B120="",MIN(Q$38,$D$19)&lt;MAX($P$34*($B120+IF($R$17="Distrato",$I$38-1,0)),IF(AND($L$37=0,$P$34=0),"",$L$37-1),IF($R$17="Distrato",$E120,0))),0,YEARFRAC(MAX($P$34*($B120+IF($R$17="Distrato",$I$38-1,0)),IF(AND($L$37=0,$P$34=0),"",$L$37-1),IF($R$17="Distrato",$E120,0)),MIN(Q$38,$D$19),$P$20))-SUM($P120:P120)</f>
        <v>#VALUE!</v>
      </c>
      <c r="R120" s="446" t="e">
        <f>IF(OR($B120="",MIN(R$38,$D$19)&lt;MAX($P$34*($B120+IF($R$17="Distrato",$I$38-1,0)),IF(AND($L$37=0,$P$34=0),"",$L$37-1),IF($R$17="Distrato",$E120,0))),0,YEARFRAC(MAX($P$34*($B120+IF($R$17="Distrato",$I$38-1,0)),IF(AND($L$37=0,$P$34=0),"",$L$37-1),IF($R$17="Distrato",$E120,0)),MIN(R$38,$D$19),$P$20))-SUM($P120:Q120)</f>
        <v>#VALUE!</v>
      </c>
      <c r="S120" s="446" t="e">
        <f>IF(OR($B120="",MIN(S$38,$D$19)&lt;MAX($P$34*($B120+IF($R$17="Distrato",$I$38-1,0)),IF(AND($L$37=0,$P$34=0),"",$L$37-1),IF($R$17="Distrato",$E120,0))),0,YEARFRAC(MAX($P$34*($B120+IF($R$17="Distrato",$I$38-1,0)),IF(AND($L$37=0,$P$34=0),"",$L$37-1),IF($R$17="Distrato",$E120,0)),MIN(S$38,$D$19),$P$20))-SUM($P120:R120)</f>
        <v>#VALUE!</v>
      </c>
      <c r="T120" s="446" t="e">
        <f>IF(OR($B120="",MIN(T$38,$D$19)&lt;MAX($P$34*($B120+IF($R$17="Distrato",$I$38-1,0)),IF(AND($L$37=0,$P$34=0),"",$L$37-1),IF($R$17="Distrato",$E120,0))),0,YEARFRAC(MAX($P$34*($B120+IF($R$17="Distrato",$I$38-1,0)),IF(AND($L$37=0,$P$34=0),"",$L$37-1),IF($R$17="Distrato",$E120,0)),MIN(T$38,$D$19),$P$20))-SUM($P120:S120)</f>
        <v>#VALUE!</v>
      </c>
      <c r="U120" s="446" t="e">
        <f>IF(OR($B120="",MIN(U$38,$D$19)&lt;MAX($P$34*($B120+IF($R$17="Distrato",$I$38-1,0)),IF(AND($L$37=0,$P$34=0),"",$L$37-1),IF($R$17="Distrato",$E120,0))),0,YEARFRAC(MAX($P$34*($B120+IF($R$17="Distrato",$I$38-1,0)),IF(AND($L$37=0,$P$34=0),"",$L$37-1),IF($R$17="Distrato",$E120,0)),MIN(U$38,$D$19),$P$20))-SUM($P120:T120)</f>
        <v>#VALUE!</v>
      </c>
      <c r="V120" s="446" t="e">
        <f>IF(OR($B120="",MIN(V$38,$D$19)&lt;MAX($P$34*($B120+IF($R$17="Distrato",$I$38-1,0)),IF(AND($L$37=0,$P$34=0),"",$L$37-1),IF($R$17="Distrato",$E120,0))),0,YEARFRAC(MAX($P$34*($B120+IF($R$17="Distrato",$I$38-1,0)),IF(AND($L$37=0,$P$34=0),"",$L$37-1),IF($R$17="Distrato",$E120,0)),MIN(V$38,$D$19),$P$20))-SUM($P120:U120)</f>
        <v>#VALUE!</v>
      </c>
      <c r="W120" s="446" t="e">
        <f>IF(OR($B120="",MIN(W$38,$D$19)&lt;MAX($P$34*($B120+IF($R$17="Distrato",$I$38-1,0)),IF(AND($L$37=0,$P$34=0),"",$L$37-1),IF($R$17="Distrato",$E120,0))),0,YEARFRAC(MAX($P$34*($B120+IF($R$17="Distrato",$I$38-1,0)),IF(AND($L$37=0,$P$34=0),"",$L$37-1),IF($R$17="Distrato",$E120,0)),MIN(W$38,$D$19),$P$20))-SUM($P120:V120)</f>
        <v>#VALUE!</v>
      </c>
      <c r="X120" s="446" t="e">
        <f>IF(OR($B120="",MIN(X$38,$D$19)&lt;MAX($P$34*($B120+IF($R$17="Distrato",$I$38-1,0)),IF(AND($L$37=0,$P$34=0),"",$L$37-1),IF($R$17="Distrato",$E120,0))),0,YEARFRAC(MAX($P$34*($B120+IF($R$17="Distrato",$I$38-1,0)),IF(AND($L$37=0,$P$34=0),"",$L$37-1),IF($R$17="Distrato",$E120,0)),MIN(X$38,$D$19),$P$20))-SUM($P120:W120)</f>
        <v>#VALUE!</v>
      </c>
      <c r="Y120" s="446" t="e">
        <f>IF(OR($B120="",MIN(Y$38,$D$19)&lt;MAX($P$34*($B120+IF($R$17="Distrato",$I$38-1,0)),IF(AND($L$37=0,$P$34=0),"",$L$37-1),IF($R$17="Distrato",$E120,0))),0,YEARFRAC(MAX($P$34*($B120+IF($R$17="Distrato",$I$38-1,0)),IF(AND($L$37=0,$P$34=0),"",$L$37-1),IF($R$17="Distrato",$E120,0)),MIN(Y$38,$D$19),$P$20))-SUM($P120:X120)</f>
        <v>#VALUE!</v>
      </c>
      <c r="Z120" s="446" t="e">
        <f>IF(OR($B120="",MIN(Z$38,$D$19)&lt;MAX($P$34*($B120+IF($R$17="Distrato",$I$38-1,0)),IF(AND($L$37=0,$P$34=0),"",$L$37-1),IF($R$17="Distrato",$E120,0))),0,YEARFRAC(MAX($P$34*($B120+IF($R$17="Distrato",$I$38-1,0)),IF(AND($L$37=0,$P$34=0),"",$L$37-1),IF($R$17="Distrato",$E120,0)),MIN(Z$38,$D$19),$P$20))-SUM($P120:Y120)</f>
        <v>#VALUE!</v>
      </c>
      <c r="AA120" s="446" t="e">
        <f>IF(OR($B120="",MIN(AA$38,$D$19)&lt;MAX($P$34*($B120+IF($R$17="Distrato",$I$38-1,0)),IF(AND($L$37=0,$P$34=0),"",$L$37-1),IF($R$17="Distrato",$E120,0))),0,YEARFRAC(MAX($P$34*($B120+IF($R$17="Distrato",$I$38-1,0)),IF(AND($L$37=0,$P$34=0),"",$L$37-1),IF($R$17="Distrato",$E120,0)),MIN(AA$38,$D$19),$P$20))-SUM($P120:Z120)</f>
        <v>#VALUE!</v>
      </c>
      <c r="AB120" s="446" t="e">
        <f>IF(OR($B120="",MIN(AB$38,$D$19)&lt;MAX($P$34*($B120+IF($R$17="Distrato",$I$38-1,0)),IF(AND($L$37=0,$P$34=0),"",$L$37-1),IF($R$17="Distrato",$E120,0))),0,YEARFRAC(MAX($P$34*($B120+IF($R$17="Distrato",$I$38-1,0)),IF(AND($L$37=0,$P$34=0),"",$L$37-1),IF($R$17="Distrato",$E120,0)),MIN(AB$38,$D$19),$P$20))-SUM($P120:AA120)</f>
        <v>#VALUE!</v>
      </c>
      <c r="AC120" s="446" t="e">
        <f>IF(OR($B120="",MIN(AC$38,$D$19)&lt;MAX($P$34*($B120+IF($R$17="Distrato",$I$38-1,0)),IF(AND($L$37=0,$P$34=0),"",$L$37-1),IF($R$17="Distrato",$E120,0))),0,YEARFRAC(MAX($P$34*($B120+IF($R$17="Distrato",$I$38-1,0)),IF(AND($L$37=0,$P$34=0),"",$L$37-1),IF($R$17="Distrato",$E120,0)),MIN(AC$38,$D$19),$P$20))-SUM($P120:AB120)</f>
        <v>#VALUE!</v>
      </c>
      <c r="AD120" s="446" t="e">
        <f>IF(OR($B120="",MIN(AD$38,$D$19)&lt;MAX($P$34*($B120+IF($R$17="Distrato",$I$38-1,0)),IF(AND($L$37=0,$P$34=0),"",$L$37-1),IF($R$17="Distrato",$E120,0))),0,YEARFRAC(MAX($P$34*($B120+IF($R$17="Distrato",$I$38-1,0)),IF(AND($L$37=0,$P$34=0),"",$L$37-1),IF($R$17="Distrato",$E120,0)),MIN(AD$38,$D$19),$P$20))-SUM($P120:AC120)</f>
        <v>#VALUE!</v>
      </c>
      <c r="AE120" s="446" t="e">
        <f>IF(OR($B120="",MIN(AE$38,$D$19)&lt;MAX($P$34*($B120+IF($R$17="Distrato",$I$38-1,0)),IF(AND($L$37=0,$P$34=0),"",$L$37-1),IF($R$17="Distrato",$E120,0))),0,YEARFRAC(MAX($P$34*($B120+IF($R$17="Distrato",$I$38-1,0)),IF(AND($L$37=0,$P$34=0),"",$L$37-1),IF($R$17="Distrato",$E120,0)),MIN(AE$38,$D$19),$P$20))-SUM($P120:AD120)</f>
        <v>#VALUE!</v>
      </c>
      <c r="AF120" s="446" t="e">
        <f>IF(OR($B120="",MIN(AF$38,$D$19)&lt;MAX($P$34*($B120+IF($R$17="Distrato",$I$38-1,0)),IF(AND($L$37=0,$P$34=0),"",$L$37-1),IF($R$17="Distrato",$E120,0))),0,YEARFRAC(MAX($P$34*($B120+IF($R$17="Distrato",$I$38-1,0)),IF(AND($L$37=0,$P$34=0),"",$L$37-1),IF($R$17="Distrato",$E120,0)),MIN(AF$38,$D$19),$P$20))-SUM($P120:AE120)</f>
        <v>#VALUE!</v>
      </c>
      <c r="AG120" s="446" t="e">
        <f>IF(OR($B120="",MIN(AG$38,$D$19)&lt;MAX($P$34*($B120+IF($R$17="Distrato",$I$38-1,0)),IF(AND($L$37=0,$P$34=0),"",$L$37-1),IF($R$17="Distrato",$E120,0))),0,YEARFRAC(MAX($P$34*($B120+IF($R$17="Distrato",$I$38-1,0)),IF(AND($L$37=0,$P$34=0),"",$L$37-1),IF($R$17="Distrato",$E120,0)),MIN(AG$38,$D$19),$P$20))-SUM($P120:AF120)</f>
        <v>#VALUE!</v>
      </c>
      <c r="AH120" s="446" t="e">
        <f>IF(OR($B120="",MIN(AH$38,$D$19)&lt;MAX($P$34*($B120+IF($R$17="Distrato",$I$38-1,0)),IF(AND($L$37=0,$P$34=0),"",$L$37-1),IF($R$17="Distrato",$E120,0))),0,YEARFRAC(MAX($P$34*($B120+IF($R$17="Distrato",$I$38-1,0)),IF(AND($L$37=0,$P$34=0),"",$L$37-1),IF($R$17="Distrato",$E120,0)),MIN(AH$38,$D$19),$P$20))-SUM($P120:AG120)</f>
        <v>#VALUE!</v>
      </c>
      <c r="AI120" s="446" t="e">
        <f>IF(OR($B120="",MIN(AI$38,$D$19)&lt;MAX($P$34*($B120+IF($R$17="Distrato",$I$38-1,0)),IF(AND($L$37=0,$P$34=0),"",$L$37-1),IF($R$17="Distrato",$E120,0))),0,YEARFRAC(MAX($P$34*($B120+IF($R$17="Distrato",$I$38-1,0)),IF(AND($L$37=0,$P$34=0),"",$L$37-1),IF($R$17="Distrato",$E120,0)),MIN(AI$38,$D$19),$P$20))-SUM($P120:AH120)</f>
        <v>#VALUE!</v>
      </c>
      <c r="AJ120" s="446" t="e">
        <f>IF(OR($B120="",MIN(AJ$38,$D$19)&lt;MAX($P$34*($B120+IF($R$17="Distrato",$I$38-1,0)),IF(AND($L$37=0,$P$34=0),"",$L$37-1),IF($R$17="Distrato",$E120,0))),0,YEARFRAC(MAX($P$34*($B120+IF($R$17="Distrato",$I$38-1,0)),IF(AND($L$37=0,$P$34=0),"",$L$37-1),IF($R$17="Distrato",$E120,0)),MIN(AJ$38,$D$19),$P$20))-SUM($P120:AI120)</f>
        <v>#VALUE!</v>
      </c>
      <c r="AK120" s="446" t="e">
        <f>IF(OR($B120="",MIN(AK$38,$D$19)&lt;MAX($P$34*($B120+IF($R$17="Distrato",$I$38-1,0)),IF(AND($L$37=0,$P$34=0),"",$L$37-1),IF($R$17="Distrato",$E120,0))),0,YEARFRAC(MAX($P$34*($B120+IF($R$17="Distrato",$I$38-1,0)),IF(AND($L$37=0,$P$34=0),"",$L$37-1),IF($R$17="Distrato",$E120,0)),MIN(AK$38,$D$19),$P$20))-SUM($P120:AJ120)</f>
        <v>#VALUE!</v>
      </c>
      <c r="AL120" s="446" t="e">
        <f>IF(OR($B120="",MIN(AL$38,$D$19)&lt;MAX($P$34*($B120+IF($R$17="Distrato",$I$38-1,0)),IF(AND($L$37=0,$P$34=0),"",$L$37-1),IF($R$17="Distrato",$E120,0))),0,YEARFRAC(MAX($P$34*($B120+IF($R$17="Distrato",$I$38-1,0)),IF(AND($L$37=0,$P$34=0),"",$L$37-1),IF($R$17="Distrato",$E120,0)),MIN(AL$38,$D$19),$P$20))-SUM($P120:AK120)</f>
        <v>#VALUE!</v>
      </c>
      <c r="AM120" s="446" t="e">
        <f>IF(OR($B120="",MIN(AM$38,$D$19)&lt;MAX($P$34*($B120+IF($R$17="Distrato",$I$38-1,0)),IF(AND($L$37=0,$P$34=0),"",$L$37-1),IF($R$17="Distrato",$E120,0))),0,YEARFRAC(MAX($P$34*($B120+IF($R$17="Distrato",$I$38-1,0)),IF(AND($L$37=0,$P$34=0),"",$L$37-1),IF($R$17="Distrato",$E120,0)),MIN(AM$38,$D$19),$P$20))-SUM($P120:AL120)</f>
        <v>#VALUE!</v>
      </c>
      <c r="AN120" s="446" t="e">
        <f>IF(OR($B120="",MIN(AN$38,$D$19)&lt;MAX($P$34*($B120+IF($R$17="Distrato",$I$38-1,0)),IF(AND($L$37=0,$P$34=0),"",$L$37-1),IF($R$17="Distrato",$E120,0))),0,YEARFRAC(MAX($P$34*($B120+IF($R$17="Distrato",$I$38-1,0)),IF(AND($L$37=0,$P$34=0),"",$L$37-1),IF($R$17="Distrato",$E120,0)),MIN(AN$38,$D$19),$P$20))-SUM($P120:AM120)</f>
        <v>#VALUE!</v>
      </c>
      <c r="AO120" s="446" t="e">
        <f>IF(OR($B120="",MIN(AO$38,$D$19)&lt;MAX($P$34*($B120+IF($R$17="Distrato",$I$38-1,0)),IF(AND($L$37=0,$P$34=0),"",$L$37-1),IF($R$17="Distrato",$E120,0))),0,YEARFRAC(MAX($P$34*($B120+IF($R$17="Distrato",$I$38-1,0)),IF(AND($L$37=0,$P$34=0),"",$L$37-1),IF($R$17="Distrato",$E120,0)),MIN(AO$38,$D$19),$P$20))-SUM($P120:AN120)</f>
        <v>#VALUE!</v>
      </c>
      <c r="AP120" s="446" t="e">
        <f>IF(OR($B120="",MIN(AP$38,$D$19)&lt;MAX($P$34*($B120+IF($R$17="Distrato",$I$38-1,0)),IF(AND($L$37=0,$P$34=0),"",$L$37-1),IF($R$17="Distrato",$E120,0))),0,YEARFRAC(MAX($P$34*($B120+IF($R$17="Distrato",$I$38-1,0)),IF(AND($L$37=0,$P$34=0),"",$L$37-1),IF($R$17="Distrato",$E120,0)),MIN(AP$38,$D$19),$P$20))-SUM($P120:AO120)</f>
        <v>#VALUE!</v>
      </c>
      <c r="AQ120" s="446" t="e">
        <f>IF(OR($B120="",MIN(AQ$38,$D$19)&lt;MAX($P$34*($B120+IF($R$17="Distrato",$I$38-1,0)),IF(AND($L$37=0,$P$34=0),"",$L$37-1),IF($R$17="Distrato",$E120,0))),0,YEARFRAC(MAX($P$34*($B120+IF($R$17="Distrato",$I$38-1,0)),IF(AND($L$37=0,$P$34=0),"",$L$37-1),IF($R$17="Distrato",$E120,0)),MIN(AQ$38,$D$19),$P$20))-SUM($P120:AP120)</f>
        <v>#VALUE!</v>
      </c>
      <c r="AR120" s="446" t="e">
        <f>IF(OR($B120="",MIN(AR$38,$D$19)&lt;MAX($P$34*($B120+IF($R$17="Distrato",$I$38-1,0)),IF(AND($L$37=0,$P$34=0),"",$L$37-1),IF($R$17="Distrato",$E120,0))),0,YEARFRAC(MAX($P$34*($B120+IF($R$17="Distrato",$I$38-1,0)),IF(AND($L$37=0,$P$34=0),"",$L$37-1),IF($R$17="Distrato",$E120,0)),MIN(AR$38,$D$19),$P$20))-SUM($P120:AQ120)</f>
        <v>#VALUE!</v>
      </c>
      <c r="AS120" s="446" t="e">
        <f>IF(OR($B120="",MIN(AS$38,$D$19)&lt;MAX($P$34*($B120+IF($R$17="Distrato",$I$38-1,0)),IF(AND($L$37=0,$P$34=0),"",$L$37-1),IF($R$17="Distrato",$E120,0))),0,YEARFRAC(MAX($P$34*($B120+IF($R$17="Distrato",$I$38-1,0)),IF(AND($L$37=0,$P$34=0),"",$L$37-1),IF($R$17="Distrato",$E120,0)),MIN(AS$38,$D$19),$P$20))-SUM($P120:AR120)</f>
        <v>#VALUE!</v>
      </c>
      <c r="AT120" s="446" t="e">
        <f>IF(OR($B120="",MIN(AT$38,$D$19)&lt;MAX($P$34*($B120+IF($R$17="Distrato",$I$38-1,0)),IF(AND($L$37=0,$P$34=0),"",$L$37-1),IF($R$17="Distrato",$E120,0))),0,YEARFRAC(MAX($P$34*($B120+IF($R$17="Distrato",$I$38-1,0)),IF(AND($L$37=0,$P$34=0),"",$L$37-1),IF($R$17="Distrato",$E120,0)),MIN(AT$38,$D$19),$P$20))-SUM($P120:AS120)</f>
        <v>#VALUE!</v>
      </c>
      <c r="AU120" s="446" t="e">
        <f>IF(OR($B120="",MIN(AU$38,$D$19)&lt;MAX($P$34*($B120+IF($R$17="Distrato",$I$38-1,0)),IF(AND($L$37=0,$P$34=0),"",$L$37-1),IF($R$17="Distrato",$E120,0))),0,YEARFRAC(MAX($P$34*($B120+IF($R$17="Distrato",$I$38-1,0)),IF(AND($L$37=0,$P$34=0),"",$L$37-1),IF($R$17="Distrato",$E120,0)),MIN(AU$38,$D$19),$P$20))-SUM($P120:AT120)</f>
        <v>#VALUE!</v>
      </c>
      <c r="AV120" s="446" t="e">
        <f>IF(OR($B120="",MIN(AV$38,$D$19)&lt;MAX($P$34*($B120+IF($R$17="Distrato",$I$38-1,0)),IF(AND($L$37=0,$P$34=0),"",$L$37-1),IF($R$17="Distrato",$E120,0))),0,YEARFRAC(MAX($P$34*($B120+IF($R$17="Distrato",$I$38-1,0)),IF(AND($L$37=0,$P$34=0),"",$L$37-1),IF($R$17="Distrato",$E120,0)),MIN(AV$38,$D$19),$P$20))-SUM($P120:AU120)</f>
        <v>#VALUE!</v>
      </c>
      <c r="AW120" s="446" t="e">
        <f>IF(OR($B120="",MIN(AW$38,$D$19)&lt;MAX($P$34*($B120+IF($R$17="Distrato",$I$38-1,0)),IF(AND($L$37=0,$P$34=0),"",$L$37-1),IF($R$17="Distrato",$E120,0))),0,YEARFRAC(MAX($P$34*($B120+IF($R$17="Distrato",$I$38-1,0)),IF(AND($L$37=0,$P$34=0),"",$L$37-1),IF($R$17="Distrato",$E120,0)),MIN(AW$38,$D$19),$P$20))-SUM($P120:AV120)</f>
        <v>#VALUE!</v>
      </c>
      <c r="AX120" s="446" t="e">
        <f>IF(OR($B120="",MIN(AX$38,$D$19)&lt;MAX($P$34*($B120+IF($R$17="Distrato",$I$38-1,0)),IF(AND($L$37=0,$P$34=0),"",$L$37-1),IF($R$17="Distrato",$E120,0))),0,YEARFRAC(MAX($P$34*($B120+IF($R$17="Distrato",$I$38-1,0)),IF(AND($L$37=0,$P$34=0),"",$L$37-1),IF($R$17="Distrato",$E120,0)),MIN(AX$38,$D$19),$P$20))-SUM($P120:AW120)</f>
        <v>#VALUE!</v>
      </c>
      <c r="AY120" s="446" t="e">
        <f>IF(OR($B120="",MIN(AY$38,$D$19)&lt;MAX($P$34*($B120+IF($R$17="Distrato",$I$38-1,0)),IF(AND($L$37=0,$P$34=0),"",$L$37-1),IF($R$17="Distrato",$E120,0))),0,YEARFRAC(MAX($P$34*($B120+IF($R$17="Distrato",$I$38-1,0)),IF(AND($L$37=0,$P$34=0),"",$L$37-1),IF($R$17="Distrato",$E120,0)),MIN(AY$38,$D$19),$P$20))-SUM($P120:AX120)</f>
        <v>#VALUE!</v>
      </c>
      <c r="AZ120" s="446" t="e">
        <f>IF(OR($B120="",MIN(AZ$38,$D$19)&lt;MAX($P$34*($B120+IF($R$17="Distrato",$I$38-1,0)),IF(AND($L$37=0,$P$34=0),"",$L$37-1),IF($R$17="Distrato",$E120,0))),0,YEARFRAC(MAX($P$34*($B120+IF($R$17="Distrato",$I$38-1,0)),IF(AND($L$37=0,$P$34=0),"",$L$37-1),IF($R$17="Distrato",$E120,0)),MIN(AZ$38,$D$19),$P$20))-SUM($P120:AY120)</f>
        <v>#VALUE!</v>
      </c>
      <c r="BA120" s="446" t="e">
        <f>IF(OR($B120="",MIN(BA$38,$D$19)&lt;MAX($P$34*($B120+IF($R$17="Distrato",$I$38-1,0)),IF(AND($L$37=0,$P$34=0),"",$L$37-1),IF($R$17="Distrato",$E120,0))),0,YEARFRAC(MAX($P$34*($B120+IF($R$17="Distrato",$I$38-1,0)),IF(AND($L$37=0,$P$34=0),"",$L$37-1),IF($R$17="Distrato",$E120,0)),MIN(BA$38,$D$19),$P$20))-SUM($P120:AZ120)</f>
        <v>#VALUE!</v>
      </c>
      <c r="BB120" s="447"/>
      <c r="BF120" s="446">
        <f t="shared" si="21"/>
        <v>0</v>
      </c>
      <c r="BG120" s="446">
        <f>IF($E120=0,0,IF(MIN(BG$38,$E120)&lt;MAX($P$34*($B120+$I$38-1),IF(AND($L$37=0,$P$34=0),"",$L$37-1)),0,YEARFRAC(MAX($P$34*($B120+$I$38-1),IF(AND($L$37=0,$P$34=0),"",$L$37-1)),MIN(BG$38,$E120),$P$20))-SUM($BF120:BF120))</f>
        <v>0</v>
      </c>
      <c r="BH120" s="446">
        <f>IF($E120=0,0,IF(MIN(BH$38,$E120)&lt;MAX($P$34*($B120+$I$38-1),IF(AND($L$37=0,$P$34=0),"",$L$37-1)),0,YEARFRAC(MAX($P$34*($B120+$I$38-1),IF(AND($L$37=0,$P$34=0),"",$L$37-1)),MIN(BH$38,$E120),$P$20))-SUM($BF120:BG120))</f>
        <v>0</v>
      </c>
      <c r="BI120" s="446">
        <f>IF($E120=0,0,IF(MIN(BI$38,$E120)&lt;MAX($P$34*($B120+$I$38-1),IF(AND($L$37=0,$P$34=0),"",$L$37-1)),0,YEARFRAC(MAX($P$34*($B120+$I$38-1),IF(AND($L$37=0,$P$34=0),"",$L$37-1)),MIN(BI$38,$E120),$P$20))-SUM($BF120:BH120))</f>
        <v>0</v>
      </c>
      <c r="BJ120" s="446">
        <f>IF($E120=0,0,IF(MIN(BJ$38,$E120)&lt;MAX($P$34*($B120+$I$38-1),IF(AND($L$37=0,$P$34=0),"",$L$37-1)),0,YEARFRAC(MAX($P$34*($B120+$I$38-1),IF(AND($L$37=0,$P$34=0),"",$L$37-1)),MIN(BJ$38,$E120),$P$20))-SUM($BF120:BI120))</f>
        <v>0</v>
      </c>
      <c r="BK120" s="446">
        <f>IF($E120=0,0,IF(MIN(BK$38,$E120)&lt;MAX($P$34*($B120+$I$38-1),IF(AND($L$37=0,$P$34=0),"",$L$37-1)),0,YEARFRAC(MAX($P$34*($B120+$I$38-1),IF(AND($L$37=0,$P$34=0),"",$L$37-1)),MIN(BK$38,$E120),$P$20))-SUM($BF120:BJ120))</f>
        <v>0</v>
      </c>
      <c r="BL120" s="446">
        <f>IF($E120=0,0,IF(MIN(BL$38,$E120)&lt;MAX($P$34*($B120+$I$38-1),IF(AND($L$37=0,$P$34=0),"",$L$37-1)),0,YEARFRAC(MAX($P$34*($B120+$I$38-1),IF(AND($L$37=0,$P$34=0),"",$L$37-1)),MIN(BL$38,$E120),$P$20))-SUM($BF120:BK120))</f>
        <v>0</v>
      </c>
      <c r="BM120" s="446">
        <f>IF($E120=0,0,IF(MIN(BM$38,$E120)&lt;MAX($P$34*($B120+$I$38-1),IF(AND($L$37=0,$P$34=0),"",$L$37-1)),0,YEARFRAC(MAX($P$34*($B120+$I$38-1),IF(AND($L$37=0,$P$34=0),"",$L$37-1)),MIN(BM$38,$E120),$P$20))-SUM($BF120:BL120))</f>
        <v>0</v>
      </c>
      <c r="BN120" s="446">
        <f>IF($E120=0,0,IF(MIN(BN$38,$E120)&lt;MAX($P$34*($B120+$I$38-1),IF(AND($L$37=0,$P$34=0),"",$L$37-1)),0,YEARFRAC(MAX($P$34*($B120+$I$38-1),IF(AND($L$37=0,$P$34=0),"",$L$37-1)),MIN(BN$38,$E120),$P$20))-SUM($BF120:BM120))</f>
        <v>0</v>
      </c>
      <c r="BO120" s="446">
        <f>IF($E120=0,0,IF(MIN(BO$38,$E120)&lt;MAX($P$34*($B120+$I$38-1),IF(AND($L$37=0,$P$34=0),"",$L$37-1)),0,YEARFRAC(MAX($P$34*($B120+$I$38-1),IF(AND($L$37=0,$P$34=0),"",$L$37-1)),MIN(BO$38,$E120),$P$20))-SUM($BF120:BN120))</f>
        <v>0</v>
      </c>
      <c r="BP120" s="446">
        <f>IF($E120=0,0,IF(MIN(BP$38,$E120)&lt;MAX($P$34*($B120+$I$38-1),IF(AND($L$37=0,$P$34=0),"",$L$37-1)),0,YEARFRAC(MAX($P$34*($B120+$I$38-1),IF(AND($L$37=0,$P$34=0),"",$L$37-1)),MIN(BP$38,$E120),$P$20))-SUM($BF120:BO120))</f>
        <v>0</v>
      </c>
      <c r="BQ120" s="446">
        <f>IF($E120=0,0,IF(MIN(BQ$38,$E120)&lt;MAX($P$34*($B120+$I$38-1),IF(AND($L$37=0,$P$34=0),"",$L$37-1)),0,YEARFRAC(MAX($P$34*($B120+$I$38-1),IF(AND($L$37=0,$P$34=0),"",$L$37-1)),MIN(BQ$38,$E120),$P$20))-SUM($BF120:BP120))</f>
        <v>0</v>
      </c>
      <c r="BR120" s="446">
        <f>IF($E120=0,0,IF(MIN(BR$38,$E120)&lt;MAX($P$34*($B120+$I$38-1),IF(AND($L$37=0,$P$34=0),"",$L$37-1)),0,YEARFRAC(MAX($P$34*($B120+$I$38-1),IF(AND($L$37=0,$P$34=0),"",$L$37-1)),MIN(BR$38,$E120),$P$20))-SUM($BF120:BQ120))</f>
        <v>0</v>
      </c>
      <c r="BS120" s="446">
        <f>IF($E120=0,0,IF(MIN(BS$38,$E120)&lt;MAX($P$34*($B120+$I$38-1),IF(AND($L$37=0,$P$34=0),"",$L$37-1)),0,YEARFRAC(MAX($P$34*($B120+$I$38-1),IF(AND($L$37=0,$P$34=0),"",$L$37-1)),MIN(BS$38,$E120),$P$20))-SUM($BF120:BR120))</f>
        <v>0</v>
      </c>
      <c r="BT120" s="446">
        <f>IF($E120=0,0,IF(MIN(BT$38,$E120)&lt;MAX($P$34*($B120+$I$38-1),IF(AND($L$37=0,$P$34=0),"",$L$37-1)),0,YEARFRAC(MAX($P$34*($B120+$I$38-1),IF(AND($L$37=0,$P$34=0),"",$L$37-1)),MIN(BT$38,$E120),$P$20))-SUM($BF120:BS120))</f>
        <v>0</v>
      </c>
      <c r="BU120" s="446">
        <f>IF($E120=0,0,IF(MIN(BU$38,$E120)&lt;MAX($P$34*($B120+$I$38-1),IF(AND($L$37=0,$P$34=0),"",$L$37-1)),0,YEARFRAC(MAX($P$34*($B120+$I$38-1),IF(AND($L$37=0,$P$34=0),"",$L$37-1)),MIN(BU$38,$E120),$P$20))-SUM($BF120:BT120))</f>
        <v>0</v>
      </c>
      <c r="BV120" s="446">
        <f>IF($E120=0,0,IF(MIN(BV$38,$E120)&lt;MAX($P$34*($B120+$I$38-1),IF(AND($L$37=0,$P$34=0),"",$L$37-1)),0,YEARFRAC(MAX($P$34*($B120+$I$38-1),IF(AND($L$37=0,$P$34=0),"",$L$37-1)),MIN(BV$38,$E120),$P$20))-SUM($BF120:BU120))</f>
        <v>0</v>
      </c>
      <c r="BW120" s="446">
        <f>IF($E120=0,0,IF(MIN(BW$38,$E120)&lt;MAX($P$34*($B120+$I$38-1),IF(AND($L$37=0,$P$34=0),"",$L$37-1)),0,YEARFRAC(MAX($P$34*($B120+$I$38-1),IF(AND($L$37=0,$P$34=0),"",$L$37-1)),MIN(BW$38,$E120),$P$20))-SUM($BF120:BV120))</f>
        <v>0</v>
      </c>
      <c r="BX120" s="446">
        <f>IF($E120=0,0,IF(MIN(BX$38,$E120)&lt;MAX($P$34*($B120+$I$38-1),IF(AND($L$37=0,$P$34=0),"",$L$37-1)),0,YEARFRAC(MAX($P$34*($B120+$I$38-1),IF(AND($L$37=0,$P$34=0),"",$L$37-1)),MIN(BX$38,$E120),$P$20))-SUM($BF120:BW120))</f>
        <v>0</v>
      </c>
      <c r="BY120" s="446">
        <f>IF($E120=0,0,IF(MIN(BY$38,$E120)&lt;MAX($P$34*($B120+$I$38-1),IF(AND($L$37=0,$P$34=0),"",$L$37-1)),0,YEARFRAC(MAX($P$34*($B120+$I$38-1),IF(AND($L$37=0,$P$34=0),"",$L$37-1)),MIN(BY$38,$E120),$P$20))-SUM($BF120:BX120))</f>
        <v>0</v>
      </c>
      <c r="BZ120" s="446">
        <f>IF($E120=0,0,IF(MIN(BZ$38,$E120)&lt;MAX($P$34*($B120+$I$38-1),IF(AND($L$37=0,$P$34=0),"",$L$37-1)),0,YEARFRAC(MAX($P$34*($B120+$I$38-1),IF(AND($L$37=0,$P$34=0),"",$L$37-1)),MIN(BZ$38,$E120),$P$20))-SUM($BF120:BY120))</f>
        <v>0</v>
      </c>
      <c r="CA120" s="446">
        <f>IF($E120=0,0,IF(MIN(CA$38,$E120)&lt;MAX($P$34*($B120+$I$38-1),IF(AND($L$37=0,$P$34=0),"",$L$37-1)),0,YEARFRAC(MAX($P$34*($B120+$I$38-1),IF(AND($L$37=0,$P$34=0),"",$L$37-1)),MIN(CA$38,$E120),$P$20))-SUM($BF120:BZ120))</f>
        <v>0</v>
      </c>
      <c r="CB120" s="446">
        <f>IF($E120=0,0,IF(MIN(CB$38,$E120)&lt;MAX($P$34*($B120+$I$38-1),IF(AND($L$37=0,$P$34=0),"",$L$37-1)),0,YEARFRAC(MAX($P$34*($B120+$I$38-1),IF(AND($L$37=0,$P$34=0),"",$L$37-1)),MIN(CB$38,$E120),$P$20))-SUM($BF120:CA120))</f>
        <v>0</v>
      </c>
      <c r="CC120" s="446">
        <f>IF($E120=0,0,IF(MIN(CC$38,$E120)&lt;MAX($P$34*($B120+$I$38-1),IF(AND($L$37=0,$P$34=0),"",$L$37-1)),0,YEARFRAC(MAX($P$34*($B120+$I$38-1),IF(AND($L$37=0,$P$34=0),"",$L$37-1)),MIN(CC$38,$E120),$P$20))-SUM($BF120:CB120))</f>
        <v>0</v>
      </c>
      <c r="CD120" s="446">
        <f>IF($E120=0,0,IF(MIN(CD$38,$E120)&lt;MAX($P$34*($B120+$I$38-1),IF(AND($L$37=0,$P$34=0),"",$L$37-1)),0,YEARFRAC(MAX($P$34*($B120+$I$38-1),IF(AND($L$37=0,$P$34=0),"",$L$37-1)),MIN(CD$38,$E120),$P$20))-SUM($BF120:CC120))</f>
        <v>0</v>
      </c>
      <c r="CE120" s="446">
        <f>IF($E120=0,0,IF(MIN(CE$38,$E120)&lt;MAX($P$34*($B120+$I$38-1),IF(AND($L$37=0,$P$34=0),"",$L$37-1)),0,YEARFRAC(MAX($P$34*($B120+$I$38-1),IF(AND($L$37=0,$P$34=0),"",$L$37-1)),MIN(CE$38,$E120),$P$20))-SUM($BF120:CD120))</f>
        <v>0</v>
      </c>
      <c r="CF120" s="446">
        <f>IF($E120=0,0,IF(MIN(CF$38,$E120)&lt;MAX($P$34*($B120+$I$38-1),IF(AND($L$37=0,$P$34=0),"",$L$37-1)),0,YEARFRAC(MAX($P$34*($B120+$I$38-1),IF(AND($L$37=0,$P$34=0),"",$L$37-1)),MIN(CF$38,$E120),$P$20))-SUM($BF120:CE120))</f>
        <v>0</v>
      </c>
      <c r="CG120" s="446">
        <f>IF($E120=0,0,IF(MIN(CG$38,$E120)&lt;MAX($P$34*($B120+$I$38-1),IF(AND($L$37=0,$P$34=0),"",$L$37-1)),0,YEARFRAC(MAX($P$34*($B120+$I$38-1),IF(AND($L$37=0,$P$34=0),"",$L$37-1)),MIN(CG$38,$E120),$P$20))-SUM($BF120:CF120))</f>
        <v>0</v>
      </c>
      <c r="CH120" s="446">
        <f>IF($E120=0,0,IF(MIN(CH$38,$E120)&lt;MAX($P$34*($B120+$I$38-1),IF(AND($L$37=0,$P$34=0),"",$L$37-1)),0,YEARFRAC(MAX($P$34*($B120+$I$38-1),IF(AND($L$37=0,$P$34=0),"",$L$37-1)),MIN(CH$38,$E120),$P$20))-SUM($BF120:CG120))</f>
        <v>0</v>
      </c>
      <c r="CI120" s="446">
        <f>IF($E120=0,0,IF(MIN(CI$38,$E120)&lt;MAX($P$34*($B120+$I$38-1),IF(AND($L$37=0,$P$34=0),"",$L$37-1)),0,YEARFRAC(MAX($P$34*($B120+$I$38-1),IF(AND($L$37=0,$P$34=0),"",$L$37-1)),MIN(CI$38,$E120),$P$20))-SUM($BF120:CH120))</f>
        <v>0</v>
      </c>
      <c r="CJ120" s="446">
        <f>IF($E120=0,0,IF(MIN(CJ$38,$E120)&lt;MAX($P$34*($B120+$I$38-1),IF(AND($L$37=0,$P$34=0),"",$L$37-1)),0,YEARFRAC(MAX($P$34*($B120+$I$38-1),IF(AND($L$37=0,$P$34=0),"",$L$37-1)),MIN(CJ$38,$E120),$P$20))-SUM($BF120:CI120))</f>
        <v>0</v>
      </c>
      <c r="CK120" s="446">
        <f>IF($E120=0,0,IF(MIN(CK$38,$E120)&lt;MAX($P$34*($B120+$I$38-1),IF(AND($L$37=0,$P$34=0),"",$L$37-1)),0,YEARFRAC(MAX($P$34*($B120+$I$38-1),IF(AND($L$37=0,$P$34=0),"",$L$37-1)),MIN(CK$38,$E120),$P$20))-SUM($BF120:CJ120))</f>
        <v>0</v>
      </c>
      <c r="CL120" s="446">
        <f>IF($E120=0,0,IF(MIN(CL$38,$E120)&lt;MAX($P$34*($B120+$I$38-1),IF(AND($L$37=0,$P$34=0),"",$L$37-1)),0,YEARFRAC(MAX($P$34*($B120+$I$38-1),IF(AND($L$37=0,$P$34=0),"",$L$37-1)),MIN(CL$38,$E120),$P$20))-SUM($BF120:CK120))</f>
        <v>0</v>
      </c>
      <c r="CM120" s="446">
        <f>IF($E120=0,0,IF(MIN(CM$38,$E120)&lt;MAX($P$34*($B120+$I$38-1),IF(AND($L$37=0,$P$34=0),"",$L$37-1)),0,YEARFRAC(MAX($P$34*($B120+$I$38-1),IF(AND($L$37=0,$P$34=0),"",$L$37-1)),MIN(CM$38,$E120),$P$20))-SUM($BF120:CL120))</f>
        <v>0</v>
      </c>
      <c r="CN120" s="446">
        <f>IF($E120=0,0,IF(MIN(CN$38,$E120)&lt;MAX($P$34*($B120+$I$38-1),IF(AND($L$37=0,$P$34=0),"",$L$37-1)),0,YEARFRAC(MAX($P$34*($B120+$I$38-1),IF(AND($L$37=0,$P$34=0),"",$L$37-1)),MIN(CN$38,$E120),$P$20))-SUM($BF120:CM120))</f>
        <v>0</v>
      </c>
      <c r="CO120" s="446">
        <f>IF($E120=0,0,IF(MIN(CO$38,$E120)&lt;MAX($P$34*($B120+$I$38-1),IF(AND($L$37=0,$P$34=0),"",$L$37-1)),0,YEARFRAC(MAX($P$34*($B120+$I$38-1),IF(AND($L$37=0,$P$34=0),"",$L$37-1)),MIN(CO$38,$E120),$P$20))-SUM($BF120:CN120))</f>
        <v>0</v>
      </c>
      <c r="CP120" s="446">
        <f>IF($E120=0,0,IF(MIN(CP$38,$E120)&lt;MAX($P$34*($B120+$I$38-1),IF(AND($L$37=0,$P$34=0),"",$L$37-1)),0,YEARFRAC(MAX($P$34*($B120+$I$38-1),IF(AND($L$37=0,$P$34=0),"",$L$37-1)),MIN(CP$38,$E120),$P$20))-SUM($BF120:CO120))</f>
        <v>0</v>
      </c>
      <c r="CQ120" s="446">
        <f>IF($E120=0,0,IF(MIN(CQ$38,$E120)&lt;MAX($P$34*($B120+$I$38-1),IF(AND($L$37=0,$P$34=0),"",$L$37-1)),0,YEARFRAC(MAX($P$34*($B120+$I$38-1),IF(AND($L$37=0,$P$34=0),"",$L$37-1)),MIN(CQ$38,$E120),$P$20))-SUM($BF120:CP120))</f>
        <v>0</v>
      </c>
    </row>
    <row r="121" spans="1:95" s="446" customFormat="1" ht="11.25" hidden="1" customHeight="1" x14ac:dyDescent="0.2">
      <c r="A121" s="152"/>
      <c r="B121" s="153" t="str">
        <f t="shared" si="26"/>
        <v/>
      </c>
      <c r="C121" s="29" t="str">
        <f>IF(B121="","",IF($L$35="SELIC - TRIBUTOS",VLOOKUP(DATE(YEAR($D$19),MONTH($D$19)-1,1),ÍNDICES!$A:$DE,HLOOKUP($BL$25,ÍNDICES!$B$3:$T$4,2)+11)-VLOOKUP(B121,ÍNDICES!$A:$DE,HLOOKUP($BL$25,ÍNDICES!$B$3:$T$4,2)+11)+1%,IF(C$38=$W$26,$J$35,IF(ISERROR(IF(B121&gt;$D$19,1,VLOOKUP(DATE(YEAR(B121),MONTH(B121)+IF($C$35=$S$23,1,0),1),ÍNDICES!$A:$DE,$Z$35+1))),"",IF(B121&gt;$D$19,1,VLOOKUP(DATE(YEAR(B121),MONTH(B121)+IF($C$35=$S$23,1,0),1),ÍNDICES!$A:$DE,$Z$35+1))))))</f>
        <v/>
      </c>
      <c r="D121" s="154" t="str">
        <f>IF(ISERROR(IF(OR($D$38=$Y$27,$B121=""),"",VLOOKUP(B121,ÍNDICES!A:DE,AF$35+1))),"",IF(OR($D$38=$Y$27,$B121=""),"",VLOOKUP(B121,ÍNDICES!A:DE,AF$35+1)))</f>
        <v/>
      </c>
      <c r="E121" s="153"/>
      <c r="F121" s="29" t="str">
        <f>IF(E121="","",IF($L$35="SELIC - TRIBUTOS",VLOOKUP(DATE(YEAR($D$19),MONTH($D$19)-1,1),ÍNDICES!$A:$DE,HLOOKUP($BL$25,ÍNDICES!$B$3:$T$4,2)+11)-VLOOKUP(E121,ÍNDICES!$A:$DE,HLOOKUP($BL$25,ÍNDICES!$B$3:$T$4,2)+11)+1%,IF(F$38=$W$26,$J$35,IF(ISERROR(IF(E121&gt;$D$19,1,VLOOKUP(DATE(YEAR(E121),MONTH(E121)+IF($C$35=$S$23,1,0),1),ÍNDICES!$A:$DE,$Z$35+1))),"",IF(E121&gt;$D$19,1,VLOOKUP(DATE(YEAR(E121),MONTH(E121)+IF($C$35=$S$23,1,0),1),ÍNDICES!$A:$DE,$Z$35+1))))))</f>
        <v/>
      </c>
      <c r="G121" s="155"/>
      <c r="H121" s="156" t="str">
        <f t="shared" si="22"/>
        <v/>
      </c>
      <c r="I121" s="29" t="str">
        <f t="shared" si="16"/>
        <v/>
      </c>
      <c r="J121" s="5">
        <f t="shared" si="17"/>
        <v>0</v>
      </c>
      <c r="K121" s="20">
        <f t="shared" ca="1" si="18"/>
        <v>0</v>
      </c>
      <c r="L121" s="5">
        <f t="shared" ca="1" si="19"/>
        <v>0</v>
      </c>
      <c r="M121" s="64">
        <f t="shared" si="23"/>
        <v>0</v>
      </c>
      <c r="N121" s="61">
        <f t="shared" ca="1" si="24"/>
        <v>0</v>
      </c>
      <c r="O121" s="5">
        <f t="shared" ca="1" si="25"/>
        <v>0</v>
      </c>
      <c r="P121" s="446" t="e">
        <f t="shared" si="20"/>
        <v>#VALUE!</v>
      </c>
      <c r="Q121" s="446" t="e">
        <f>IF(OR($B121="",MIN(Q$38,$D$19)&lt;MAX($P$34*($B121+IF($R$17="Distrato",$I$38-1,0)),IF(AND($L$37=0,$P$34=0),"",$L$37-1),IF($R$17="Distrato",$E121,0))),0,YEARFRAC(MAX($P$34*($B121+IF($R$17="Distrato",$I$38-1,0)),IF(AND($L$37=0,$P$34=0),"",$L$37-1),IF($R$17="Distrato",$E121,0)),MIN(Q$38,$D$19),$P$20))-SUM($P121:P121)</f>
        <v>#VALUE!</v>
      </c>
      <c r="R121" s="446" t="e">
        <f>IF(OR($B121="",MIN(R$38,$D$19)&lt;MAX($P$34*($B121+IF($R$17="Distrato",$I$38-1,0)),IF(AND($L$37=0,$P$34=0),"",$L$37-1),IF($R$17="Distrato",$E121,0))),0,YEARFRAC(MAX($P$34*($B121+IF($R$17="Distrato",$I$38-1,0)),IF(AND($L$37=0,$P$34=0),"",$L$37-1),IF($R$17="Distrato",$E121,0)),MIN(R$38,$D$19),$P$20))-SUM($P121:Q121)</f>
        <v>#VALUE!</v>
      </c>
      <c r="S121" s="446" t="e">
        <f>IF(OR($B121="",MIN(S$38,$D$19)&lt;MAX($P$34*($B121+IF($R$17="Distrato",$I$38-1,0)),IF(AND($L$37=0,$P$34=0),"",$L$37-1),IF($R$17="Distrato",$E121,0))),0,YEARFRAC(MAX($P$34*($B121+IF($R$17="Distrato",$I$38-1,0)),IF(AND($L$37=0,$P$34=0),"",$L$37-1),IF($R$17="Distrato",$E121,0)),MIN(S$38,$D$19),$P$20))-SUM($P121:R121)</f>
        <v>#VALUE!</v>
      </c>
      <c r="T121" s="446" t="e">
        <f>IF(OR($B121="",MIN(T$38,$D$19)&lt;MAX($P$34*($B121+IF($R$17="Distrato",$I$38-1,0)),IF(AND($L$37=0,$P$34=0),"",$L$37-1),IF($R$17="Distrato",$E121,0))),0,YEARFRAC(MAX($P$34*($B121+IF($R$17="Distrato",$I$38-1,0)),IF(AND($L$37=0,$P$34=0),"",$L$37-1),IF($R$17="Distrato",$E121,0)),MIN(T$38,$D$19),$P$20))-SUM($P121:S121)</f>
        <v>#VALUE!</v>
      </c>
      <c r="U121" s="446" t="e">
        <f>IF(OR($B121="",MIN(U$38,$D$19)&lt;MAX($P$34*($B121+IF($R$17="Distrato",$I$38-1,0)),IF(AND($L$37=0,$P$34=0),"",$L$37-1),IF($R$17="Distrato",$E121,0))),0,YEARFRAC(MAX($P$34*($B121+IF($R$17="Distrato",$I$38-1,0)),IF(AND($L$37=0,$P$34=0),"",$L$37-1),IF($R$17="Distrato",$E121,0)),MIN(U$38,$D$19),$P$20))-SUM($P121:T121)</f>
        <v>#VALUE!</v>
      </c>
      <c r="V121" s="446" t="e">
        <f>IF(OR($B121="",MIN(V$38,$D$19)&lt;MAX($P$34*($B121+IF($R$17="Distrato",$I$38-1,0)),IF(AND($L$37=0,$P$34=0),"",$L$37-1),IF($R$17="Distrato",$E121,0))),0,YEARFRAC(MAX($P$34*($B121+IF($R$17="Distrato",$I$38-1,0)),IF(AND($L$37=0,$P$34=0),"",$L$37-1),IF($R$17="Distrato",$E121,0)),MIN(V$38,$D$19),$P$20))-SUM($P121:U121)</f>
        <v>#VALUE!</v>
      </c>
      <c r="W121" s="446" t="e">
        <f>IF(OR($B121="",MIN(W$38,$D$19)&lt;MAX($P$34*($B121+IF($R$17="Distrato",$I$38-1,0)),IF(AND($L$37=0,$P$34=0),"",$L$37-1),IF($R$17="Distrato",$E121,0))),0,YEARFRAC(MAX($P$34*($B121+IF($R$17="Distrato",$I$38-1,0)),IF(AND($L$37=0,$P$34=0),"",$L$37-1),IF($R$17="Distrato",$E121,0)),MIN(W$38,$D$19),$P$20))-SUM($P121:V121)</f>
        <v>#VALUE!</v>
      </c>
      <c r="X121" s="446" t="e">
        <f>IF(OR($B121="",MIN(X$38,$D$19)&lt;MAX($P$34*($B121+IF($R$17="Distrato",$I$38-1,0)),IF(AND($L$37=0,$P$34=0),"",$L$37-1),IF($R$17="Distrato",$E121,0))),0,YEARFRAC(MAX($P$34*($B121+IF($R$17="Distrato",$I$38-1,0)),IF(AND($L$37=0,$P$34=0),"",$L$37-1),IF($R$17="Distrato",$E121,0)),MIN(X$38,$D$19),$P$20))-SUM($P121:W121)</f>
        <v>#VALUE!</v>
      </c>
      <c r="Y121" s="446" t="e">
        <f>IF(OR($B121="",MIN(Y$38,$D$19)&lt;MAX($P$34*($B121+IF($R$17="Distrato",$I$38-1,0)),IF(AND($L$37=0,$P$34=0),"",$L$37-1),IF($R$17="Distrato",$E121,0))),0,YEARFRAC(MAX($P$34*($B121+IF($R$17="Distrato",$I$38-1,0)),IF(AND($L$37=0,$P$34=0),"",$L$37-1),IF($R$17="Distrato",$E121,0)),MIN(Y$38,$D$19),$P$20))-SUM($P121:X121)</f>
        <v>#VALUE!</v>
      </c>
      <c r="Z121" s="446" t="e">
        <f>IF(OR($B121="",MIN(Z$38,$D$19)&lt;MAX($P$34*($B121+IF($R$17="Distrato",$I$38-1,0)),IF(AND($L$37=0,$P$34=0),"",$L$37-1),IF($R$17="Distrato",$E121,0))),0,YEARFRAC(MAX($P$34*($B121+IF($R$17="Distrato",$I$38-1,0)),IF(AND($L$37=0,$P$34=0),"",$L$37-1),IF($R$17="Distrato",$E121,0)),MIN(Z$38,$D$19),$P$20))-SUM($P121:Y121)</f>
        <v>#VALUE!</v>
      </c>
      <c r="AA121" s="446" t="e">
        <f>IF(OR($B121="",MIN(AA$38,$D$19)&lt;MAX($P$34*($B121+IF($R$17="Distrato",$I$38-1,0)),IF(AND($L$37=0,$P$34=0),"",$L$37-1),IF($R$17="Distrato",$E121,0))),0,YEARFRAC(MAX($P$34*($B121+IF($R$17="Distrato",$I$38-1,0)),IF(AND($L$37=0,$P$34=0),"",$L$37-1),IF($R$17="Distrato",$E121,0)),MIN(AA$38,$D$19),$P$20))-SUM($P121:Z121)</f>
        <v>#VALUE!</v>
      </c>
      <c r="AB121" s="446" t="e">
        <f>IF(OR($B121="",MIN(AB$38,$D$19)&lt;MAX($P$34*($B121+IF($R$17="Distrato",$I$38-1,0)),IF(AND($L$37=0,$P$34=0),"",$L$37-1),IF($R$17="Distrato",$E121,0))),0,YEARFRAC(MAX($P$34*($B121+IF($R$17="Distrato",$I$38-1,0)),IF(AND($L$37=0,$P$34=0),"",$L$37-1),IF($R$17="Distrato",$E121,0)),MIN(AB$38,$D$19),$P$20))-SUM($P121:AA121)</f>
        <v>#VALUE!</v>
      </c>
      <c r="AC121" s="446" t="e">
        <f>IF(OR($B121="",MIN(AC$38,$D$19)&lt;MAX($P$34*($B121+IF($R$17="Distrato",$I$38-1,0)),IF(AND($L$37=0,$P$34=0),"",$L$37-1),IF($R$17="Distrato",$E121,0))),0,YEARFRAC(MAX($P$34*($B121+IF($R$17="Distrato",$I$38-1,0)),IF(AND($L$37=0,$P$34=0),"",$L$37-1),IF($R$17="Distrato",$E121,0)),MIN(AC$38,$D$19),$P$20))-SUM($P121:AB121)</f>
        <v>#VALUE!</v>
      </c>
      <c r="AD121" s="446" t="e">
        <f>IF(OR($B121="",MIN(AD$38,$D$19)&lt;MAX($P$34*($B121+IF($R$17="Distrato",$I$38-1,0)),IF(AND($L$37=0,$P$34=0),"",$L$37-1),IF($R$17="Distrato",$E121,0))),0,YEARFRAC(MAX($P$34*($B121+IF($R$17="Distrato",$I$38-1,0)),IF(AND($L$37=0,$P$34=0),"",$L$37-1),IF($R$17="Distrato",$E121,0)),MIN(AD$38,$D$19),$P$20))-SUM($P121:AC121)</f>
        <v>#VALUE!</v>
      </c>
      <c r="AE121" s="446" t="e">
        <f>IF(OR($B121="",MIN(AE$38,$D$19)&lt;MAX($P$34*($B121+IF($R$17="Distrato",$I$38-1,0)),IF(AND($L$37=0,$P$34=0),"",$L$37-1),IF($R$17="Distrato",$E121,0))),0,YEARFRAC(MAX($P$34*($B121+IF($R$17="Distrato",$I$38-1,0)),IF(AND($L$37=0,$P$34=0),"",$L$37-1),IF($R$17="Distrato",$E121,0)),MIN(AE$38,$D$19),$P$20))-SUM($P121:AD121)</f>
        <v>#VALUE!</v>
      </c>
      <c r="AF121" s="446" t="e">
        <f>IF(OR($B121="",MIN(AF$38,$D$19)&lt;MAX($P$34*($B121+IF($R$17="Distrato",$I$38-1,0)),IF(AND($L$37=0,$P$34=0),"",$L$37-1),IF($R$17="Distrato",$E121,0))),0,YEARFRAC(MAX($P$34*($B121+IF($R$17="Distrato",$I$38-1,0)),IF(AND($L$37=0,$P$34=0),"",$L$37-1),IF($R$17="Distrato",$E121,0)),MIN(AF$38,$D$19),$P$20))-SUM($P121:AE121)</f>
        <v>#VALUE!</v>
      </c>
      <c r="AG121" s="446" t="e">
        <f>IF(OR($B121="",MIN(AG$38,$D$19)&lt;MAX($P$34*($B121+IF($R$17="Distrato",$I$38-1,0)),IF(AND($L$37=0,$P$34=0),"",$L$37-1),IF($R$17="Distrato",$E121,0))),0,YEARFRAC(MAX($P$34*($B121+IF($R$17="Distrato",$I$38-1,0)),IF(AND($L$37=0,$P$34=0),"",$L$37-1),IF($R$17="Distrato",$E121,0)),MIN(AG$38,$D$19),$P$20))-SUM($P121:AF121)</f>
        <v>#VALUE!</v>
      </c>
      <c r="AH121" s="446" t="e">
        <f>IF(OR($B121="",MIN(AH$38,$D$19)&lt;MAX($P$34*($B121+IF($R$17="Distrato",$I$38-1,0)),IF(AND($L$37=0,$P$34=0),"",$L$37-1),IF($R$17="Distrato",$E121,0))),0,YEARFRAC(MAX($P$34*($B121+IF($R$17="Distrato",$I$38-1,0)),IF(AND($L$37=0,$P$34=0),"",$L$37-1),IF($R$17="Distrato",$E121,0)),MIN(AH$38,$D$19),$P$20))-SUM($P121:AG121)</f>
        <v>#VALUE!</v>
      </c>
      <c r="AI121" s="446" t="e">
        <f>IF(OR($B121="",MIN(AI$38,$D$19)&lt;MAX($P$34*($B121+IF($R$17="Distrato",$I$38-1,0)),IF(AND($L$37=0,$P$34=0),"",$L$37-1),IF($R$17="Distrato",$E121,0))),0,YEARFRAC(MAX($P$34*($B121+IF($R$17="Distrato",$I$38-1,0)),IF(AND($L$37=0,$P$34=0),"",$L$37-1),IF($R$17="Distrato",$E121,0)),MIN(AI$38,$D$19),$P$20))-SUM($P121:AH121)</f>
        <v>#VALUE!</v>
      </c>
      <c r="AJ121" s="446" t="e">
        <f>IF(OR($B121="",MIN(AJ$38,$D$19)&lt;MAX($P$34*($B121+IF($R$17="Distrato",$I$38-1,0)),IF(AND($L$37=0,$P$34=0),"",$L$37-1),IF($R$17="Distrato",$E121,0))),0,YEARFRAC(MAX($P$34*($B121+IF($R$17="Distrato",$I$38-1,0)),IF(AND($L$37=0,$P$34=0),"",$L$37-1),IF($R$17="Distrato",$E121,0)),MIN(AJ$38,$D$19),$P$20))-SUM($P121:AI121)</f>
        <v>#VALUE!</v>
      </c>
      <c r="AK121" s="446" t="e">
        <f>IF(OR($B121="",MIN(AK$38,$D$19)&lt;MAX($P$34*($B121+IF($R$17="Distrato",$I$38-1,0)),IF(AND($L$37=0,$P$34=0),"",$L$37-1),IF($R$17="Distrato",$E121,0))),0,YEARFRAC(MAX($P$34*($B121+IF($R$17="Distrato",$I$38-1,0)),IF(AND($L$37=0,$P$34=0),"",$L$37-1),IF($R$17="Distrato",$E121,0)),MIN(AK$38,$D$19),$P$20))-SUM($P121:AJ121)</f>
        <v>#VALUE!</v>
      </c>
      <c r="AL121" s="446" t="e">
        <f>IF(OR($B121="",MIN(AL$38,$D$19)&lt;MAX($P$34*($B121+IF($R$17="Distrato",$I$38-1,0)),IF(AND($L$37=0,$P$34=0),"",$L$37-1),IF($R$17="Distrato",$E121,0))),0,YEARFRAC(MAX($P$34*($B121+IF($R$17="Distrato",$I$38-1,0)),IF(AND($L$37=0,$P$34=0),"",$L$37-1),IF($R$17="Distrato",$E121,0)),MIN(AL$38,$D$19),$P$20))-SUM($P121:AK121)</f>
        <v>#VALUE!</v>
      </c>
      <c r="AM121" s="446" t="e">
        <f>IF(OR($B121="",MIN(AM$38,$D$19)&lt;MAX($P$34*($B121+IF($R$17="Distrato",$I$38-1,0)),IF(AND($L$37=0,$P$34=0),"",$L$37-1),IF($R$17="Distrato",$E121,0))),0,YEARFRAC(MAX($P$34*($B121+IF($R$17="Distrato",$I$38-1,0)),IF(AND($L$37=0,$P$34=0),"",$L$37-1),IF($R$17="Distrato",$E121,0)),MIN(AM$38,$D$19),$P$20))-SUM($P121:AL121)</f>
        <v>#VALUE!</v>
      </c>
      <c r="AN121" s="446" t="e">
        <f>IF(OR($B121="",MIN(AN$38,$D$19)&lt;MAX($P$34*($B121+IF($R$17="Distrato",$I$38-1,0)),IF(AND($L$37=0,$P$34=0),"",$L$37-1),IF($R$17="Distrato",$E121,0))),0,YEARFRAC(MAX($P$34*($B121+IF($R$17="Distrato",$I$38-1,0)),IF(AND($L$37=0,$P$34=0),"",$L$37-1),IF($R$17="Distrato",$E121,0)),MIN(AN$38,$D$19),$P$20))-SUM($P121:AM121)</f>
        <v>#VALUE!</v>
      </c>
      <c r="AO121" s="446" t="e">
        <f>IF(OR($B121="",MIN(AO$38,$D$19)&lt;MAX($P$34*($B121+IF($R$17="Distrato",$I$38-1,0)),IF(AND($L$37=0,$P$34=0),"",$L$37-1),IF($R$17="Distrato",$E121,0))),0,YEARFRAC(MAX($P$34*($B121+IF($R$17="Distrato",$I$38-1,0)),IF(AND($L$37=0,$P$34=0),"",$L$37-1),IF($R$17="Distrato",$E121,0)),MIN(AO$38,$D$19),$P$20))-SUM($P121:AN121)</f>
        <v>#VALUE!</v>
      </c>
      <c r="AP121" s="446" t="e">
        <f>IF(OR($B121="",MIN(AP$38,$D$19)&lt;MAX($P$34*($B121+IF($R$17="Distrato",$I$38-1,0)),IF(AND($L$37=0,$P$34=0),"",$L$37-1),IF($R$17="Distrato",$E121,0))),0,YEARFRAC(MAX($P$34*($B121+IF($R$17="Distrato",$I$38-1,0)),IF(AND($L$37=0,$P$34=0),"",$L$37-1),IF($R$17="Distrato",$E121,0)),MIN(AP$38,$D$19),$P$20))-SUM($P121:AO121)</f>
        <v>#VALUE!</v>
      </c>
      <c r="AQ121" s="446" t="e">
        <f>IF(OR($B121="",MIN(AQ$38,$D$19)&lt;MAX($P$34*($B121+IF($R$17="Distrato",$I$38-1,0)),IF(AND($L$37=0,$P$34=0),"",$L$37-1),IF($R$17="Distrato",$E121,0))),0,YEARFRAC(MAX($P$34*($B121+IF($R$17="Distrato",$I$38-1,0)),IF(AND($L$37=0,$P$34=0),"",$L$37-1),IF($R$17="Distrato",$E121,0)),MIN(AQ$38,$D$19),$P$20))-SUM($P121:AP121)</f>
        <v>#VALUE!</v>
      </c>
      <c r="AR121" s="446" t="e">
        <f>IF(OR($B121="",MIN(AR$38,$D$19)&lt;MAX($P$34*($B121+IF($R$17="Distrato",$I$38-1,0)),IF(AND($L$37=0,$P$34=0),"",$L$37-1),IF($R$17="Distrato",$E121,0))),0,YEARFRAC(MAX($P$34*($B121+IF($R$17="Distrato",$I$38-1,0)),IF(AND($L$37=0,$P$34=0),"",$L$37-1),IF($R$17="Distrato",$E121,0)),MIN(AR$38,$D$19),$P$20))-SUM($P121:AQ121)</f>
        <v>#VALUE!</v>
      </c>
      <c r="AS121" s="446" t="e">
        <f>IF(OR($B121="",MIN(AS$38,$D$19)&lt;MAX($P$34*($B121+IF($R$17="Distrato",$I$38-1,0)),IF(AND($L$37=0,$P$34=0),"",$L$37-1),IF($R$17="Distrato",$E121,0))),0,YEARFRAC(MAX($P$34*($B121+IF($R$17="Distrato",$I$38-1,0)),IF(AND($L$37=0,$P$34=0),"",$L$37-1),IF($R$17="Distrato",$E121,0)),MIN(AS$38,$D$19),$P$20))-SUM($P121:AR121)</f>
        <v>#VALUE!</v>
      </c>
      <c r="AT121" s="446" t="e">
        <f>IF(OR($B121="",MIN(AT$38,$D$19)&lt;MAX($P$34*($B121+IF($R$17="Distrato",$I$38-1,0)),IF(AND($L$37=0,$P$34=0),"",$L$37-1),IF($R$17="Distrato",$E121,0))),0,YEARFRAC(MAX($P$34*($B121+IF($R$17="Distrato",$I$38-1,0)),IF(AND($L$37=0,$P$34=0),"",$L$37-1),IF($R$17="Distrato",$E121,0)),MIN(AT$38,$D$19),$P$20))-SUM($P121:AS121)</f>
        <v>#VALUE!</v>
      </c>
      <c r="AU121" s="446" t="e">
        <f>IF(OR($B121="",MIN(AU$38,$D$19)&lt;MAX($P$34*($B121+IF($R$17="Distrato",$I$38-1,0)),IF(AND($L$37=0,$P$34=0),"",$L$37-1),IF($R$17="Distrato",$E121,0))),0,YEARFRAC(MAX($P$34*($B121+IF($R$17="Distrato",$I$38-1,0)),IF(AND($L$37=0,$P$34=0),"",$L$37-1),IF($R$17="Distrato",$E121,0)),MIN(AU$38,$D$19),$P$20))-SUM($P121:AT121)</f>
        <v>#VALUE!</v>
      </c>
      <c r="AV121" s="446" t="e">
        <f>IF(OR($B121="",MIN(AV$38,$D$19)&lt;MAX($P$34*($B121+IF($R$17="Distrato",$I$38-1,0)),IF(AND($L$37=0,$P$34=0),"",$L$37-1),IF($R$17="Distrato",$E121,0))),0,YEARFRAC(MAX($P$34*($B121+IF($R$17="Distrato",$I$38-1,0)),IF(AND($L$37=0,$P$34=0),"",$L$37-1),IF($R$17="Distrato",$E121,0)),MIN(AV$38,$D$19),$P$20))-SUM($P121:AU121)</f>
        <v>#VALUE!</v>
      </c>
      <c r="AW121" s="446" t="e">
        <f>IF(OR($B121="",MIN(AW$38,$D$19)&lt;MAX($P$34*($B121+IF($R$17="Distrato",$I$38-1,0)),IF(AND($L$37=0,$P$34=0),"",$L$37-1),IF($R$17="Distrato",$E121,0))),0,YEARFRAC(MAX($P$34*($B121+IF($R$17="Distrato",$I$38-1,0)),IF(AND($L$37=0,$P$34=0),"",$L$37-1),IF($R$17="Distrato",$E121,0)),MIN(AW$38,$D$19),$P$20))-SUM($P121:AV121)</f>
        <v>#VALUE!</v>
      </c>
      <c r="AX121" s="446" t="e">
        <f>IF(OR($B121="",MIN(AX$38,$D$19)&lt;MAX($P$34*($B121+IF($R$17="Distrato",$I$38-1,0)),IF(AND($L$37=0,$P$34=0),"",$L$37-1),IF($R$17="Distrato",$E121,0))),0,YEARFRAC(MAX($P$34*($B121+IF($R$17="Distrato",$I$38-1,0)),IF(AND($L$37=0,$P$34=0),"",$L$37-1),IF($R$17="Distrato",$E121,0)),MIN(AX$38,$D$19),$P$20))-SUM($P121:AW121)</f>
        <v>#VALUE!</v>
      </c>
      <c r="AY121" s="446" t="e">
        <f>IF(OR($B121="",MIN(AY$38,$D$19)&lt;MAX($P$34*($B121+IF($R$17="Distrato",$I$38-1,0)),IF(AND($L$37=0,$P$34=0),"",$L$37-1),IF($R$17="Distrato",$E121,0))),0,YEARFRAC(MAX($P$34*($B121+IF($R$17="Distrato",$I$38-1,0)),IF(AND($L$37=0,$P$34=0),"",$L$37-1),IF($R$17="Distrato",$E121,0)),MIN(AY$38,$D$19),$P$20))-SUM($P121:AX121)</f>
        <v>#VALUE!</v>
      </c>
      <c r="AZ121" s="446" t="e">
        <f>IF(OR($B121="",MIN(AZ$38,$D$19)&lt;MAX($P$34*($B121+IF($R$17="Distrato",$I$38-1,0)),IF(AND($L$37=0,$P$34=0),"",$L$37-1),IF($R$17="Distrato",$E121,0))),0,YEARFRAC(MAX($P$34*($B121+IF($R$17="Distrato",$I$38-1,0)),IF(AND($L$37=0,$P$34=0),"",$L$37-1),IF($R$17="Distrato",$E121,0)),MIN(AZ$38,$D$19),$P$20))-SUM($P121:AY121)</f>
        <v>#VALUE!</v>
      </c>
      <c r="BA121" s="446" t="e">
        <f>IF(OR($B121="",MIN(BA$38,$D$19)&lt;MAX($P$34*($B121+IF($R$17="Distrato",$I$38-1,0)),IF(AND($L$37=0,$P$34=0),"",$L$37-1),IF($R$17="Distrato",$E121,0))),0,YEARFRAC(MAX($P$34*($B121+IF($R$17="Distrato",$I$38-1,0)),IF(AND($L$37=0,$P$34=0),"",$L$37-1),IF($R$17="Distrato",$E121,0)),MIN(BA$38,$D$19),$P$20))-SUM($P121:AZ121)</f>
        <v>#VALUE!</v>
      </c>
      <c r="BB121" s="447"/>
      <c r="BF121" s="446">
        <f t="shared" si="21"/>
        <v>0</v>
      </c>
      <c r="BG121" s="446">
        <f>IF($E121=0,0,IF(MIN(BG$38,$E121)&lt;MAX($P$34*($B121+$I$38-1),IF(AND($L$37=0,$P$34=0),"",$L$37-1)),0,YEARFRAC(MAX($P$34*($B121+$I$38-1),IF(AND($L$37=0,$P$34=0),"",$L$37-1)),MIN(BG$38,$E121),$P$20))-SUM($BF121:BF121))</f>
        <v>0</v>
      </c>
      <c r="BH121" s="446">
        <f>IF($E121=0,0,IF(MIN(BH$38,$E121)&lt;MAX($P$34*($B121+$I$38-1),IF(AND($L$37=0,$P$34=0),"",$L$37-1)),0,YEARFRAC(MAX($P$34*($B121+$I$38-1),IF(AND($L$37=0,$P$34=0),"",$L$37-1)),MIN(BH$38,$E121),$P$20))-SUM($BF121:BG121))</f>
        <v>0</v>
      </c>
      <c r="BI121" s="446">
        <f>IF($E121=0,0,IF(MIN(BI$38,$E121)&lt;MAX($P$34*($B121+$I$38-1),IF(AND($L$37=0,$P$34=0),"",$L$37-1)),0,YEARFRAC(MAX($P$34*($B121+$I$38-1),IF(AND($L$37=0,$P$34=0),"",$L$37-1)),MIN(BI$38,$E121),$P$20))-SUM($BF121:BH121))</f>
        <v>0</v>
      </c>
      <c r="BJ121" s="446">
        <f>IF($E121=0,0,IF(MIN(BJ$38,$E121)&lt;MAX($P$34*($B121+$I$38-1),IF(AND($L$37=0,$P$34=0),"",$L$37-1)),0,YEARFRAC(MAX($P$34*($B121+$I$38-1),IF(AND($L$37=0,$P$34=0),"",$L$37-1)),MIN(BJ$38,$E121),$P$20))-SUM($BF121:BI121))</f>
        <v>0</v>
      </c>
      <c r="BK121" s="446">
        <f>IF($E121=0,0,IF(MIN(BK$38,$E121)&lt;MAX($P$34*($B121+$I$38-1),IF(AND($L$37=0,$P$34=0),"",$L$37-1)),0,YEARFRAC(MAX($P$34*($B121+$I$38-1),IF(AND($L$37=0,$P$34=0),"",$L$37-1)),MIN(BK$38,$E121),$P$20))-SUM($BF121:BJ121))</f>
        <v>0</v>
      </c>
      <c r="BL121" s="446">
        <f>IF($E121=0,0,IF(MIN(BL$38,$E121)&lt;MAX($P$34*($B121+$I$38-1),IF(AND($L$37=0,$P$34=0),"",$L$37-1)),0,YEARFRAC(MAX($P$34*($B121+$I$38-1),IF(AND($L$37=0,$P$34=0),"",$L$37-1)),MIN(BL$38,$E121),$P$20))-SUM($BF121:BK121))</f>
        <v>0</v>
      </c>
      <c r="BM121" s="446">
        <f>IF($E121=0,0,IF(MIN(BM$38,$E121)&lt;MAX($P$34*($B121+$I$38-1),IF(AND($L$37=0,$P$34=0),"",$L$37-1)),0,YEARFRAC(MAX($P$34*($B121+$I$38-1),IF(AND($L$37=0,$P$34=0),"",$L$37-1)),MIN(BM$38,$E121),$P$20))-SUM($BF121:BL121))</f>
        <v>0</v>
      </c>
      <c r="BN121" s="446">
        <f>IF($E121=0,0,IF(MIN(BN$38,$E121)&lt;MAX($P$34*($B121+$I$38-1),IF(AND($L$37=0,$P$34=0),"",$L$37-1)),0,YEARFRAC(MAX($P$34*($B121+$I$38-1),IF(AND($L$37=0,$P$34=0),"",$L$37-1)),MIN(BN$38,$E121),$P$20))-SUM($BF121:BM121))</f>
        <v>0</v>
      </c>
      <c r="BO121" s="446">
        <f>IF($E121=0,0,IF(MIN(BO$38,$E121)&lt;MAX($P$34*($B121+$I$38-1),IF(AND($L$37=0,$P$34=0),"",$L$37-1)),0,YEARFRAC(MAX($P$34*($B121+$I$38-1),IF(AND($L$37=0,$P$34=0),"",$L$37-1)),MIN(BO$38,$E121),$P$20))-SUM($BF121:BN121))</f>
        <v>0</v>
      </c>
      <c r="BP121" s="446">
        <f>IF($E121=0,0,IF(MIN(BP$38,$E121)&lt;MAX($P$34*($B121+$I$38-1),IF(AND($L$37=0,$P$34=0),"",$L$37-1)),0,YEARFRAC(MAX($P$34*($B121+$I$38-1),IF(AND($L$37=0,$P$34=0),"",$L$37-1)),MIN(BP$38,$E121),$P$20))-SUM($BF121:BO121))</f>
        <v>0</v>
      </c>
      <c r="BQ121" s="446">
        <f>IF($E121=0,0,IF(MIN(BQ$38,$E121)&lt;MAX($P$34*($B121+$I$38-1),IF(AND($L$37=0,$P$34=0),"",$L$37-1)),0,YEARFRAC(MAX($P$34*($B121+$I$38-1),IF(AND($L$37=0,$P$34=0),"",$L$37-1)),MIN(BQ$38,$E121),$P$20))-SUM($BF121:BP121))</f>
        <v>0</v>
      </c>
      <c r="BR121" s="446">
        <f>IF($E121=0,0,IF(MIN(BR$38,$E121)&lt;MAX($P$34*($B121+$I$38-1),IF(AND($L$37=0,$P$34=0),"",$L$37-1)),0,YEARFRAC(MAX($P$34*($B121+$I$38-1),IF(AND($L$37=0,$P$34=0),"",$L$37-1)),MIN(BR$38,$E121),$P$20))-SUM($BF121:BQ121))</f>
        <v>0</v>
      </c>
      <c r="BS121" s="446">
        <f>IF($E121=0,0,IF(MIN(BS$38,$E121)&lt;MAX($P$34*($B121+$I$38-1),IF(AND($L$37=0,$P$34=0),"",$L$37-1)),0,YEARFRAC(MAX($P$34*($B121+$I$38-1),IF(AND($L$37=0,$P$34=0),"",$L$37-1)),MIN(BS$38,$E121),$P$20))-SUM($BF121:BR121))</f>
        <v>0</v>
      </c>
      <c r="BT121" s="446">
        <f>IF($E121=0,0,IF(MIN(BT$38,$E121)&lt;MAX($P$34*($B121+$I$38-1),IF(AND($L$37=0,$P$34=0),"",$L$37-1)),0,YEARFRAC(MAX($P$34*($B121+$I$38-1),IF(AND($L$37=0,$P$34=0),"",$L$37-1)),MIN(BT$38,$E121),$P$20))-SUM($BF121:BS121))</f>
        <v>0</v>
      </c>
      <c r="BU121" s="446">
        <f>IF($E121=0,0,IF(MIN(BU$38,$E121)&lt;MAX($P$34*($B121+$I$38-1),IF(AND($L$37=0,$P$34=0),"",$L$37-1)),0,YEARFRAC(MAX($P$34*($B121+$I$38-1),IF(AND($L$37=0,$P$34=0),"",$L$37-1)),MIN(BU$38,$E121),$P$20))-SUM($BF121:BT121))</f>
        <v>0</v>
      </c>
      <c r="BV121" s="446">
        <f>IF($E121=0,0,IF(MIN(BV$38,$E121)&lt;MAX($P$34*($B121+$I$38-1),IF(AND($L$37=0,$P$34=0),"",$L$37-1)),0,YEARFRAC(MAX($P$34*($B121+$I$38-1),IF(AND($L$37=0,$P$34=0),"",$L$37-1)),MIN(BV$38,$E121),$P$20))-SUM($BF121:BU121))</f>
        <v>0</v>
      </c>
      <c r="BW121" s="446">
        <f>IF($E121=0,0,IF(MIN(BW$38,$E121)&lt;MAX($P$34*($B121+$I$38-1),IF(AND($L$37=0,$P$34=0),"",$L$37-1)),0,YEARFRAC(MAX($P$34*($B121+$I$38-1),IF(AND($L$37=0,$P$34=0),"",$L$37-1)),MIN(BW$38,$E121),$P$20))-SUM($BF121:BV121))</f>
        <v>0</v>
      </c>
      <c r="BX121" s="446">
        <f>IF($E121=0,0,IF(MIN(BX$38,$E121)&lt;MAX($P$34*($B121+$I$38-1),IF(AND($L$37=0,$P$34=0),"",$L$37-1)),0,YEARFRAC(MAX($P$34*($B121+$I$38-1),IF(AND($L$37=0,$P$34=0),"",$L$37-1)),MIN(BX$38,$E121),$P$20))-SUM($BF121:BW121))</f>
        <v>0</v>
      </c>
      <c r="BY121" s="446">
        <f>IF($E121=0,0,IF(MIN(BY$38,$E121)&lt;MAX($P$34*($B121+$I$38-1),IF(AND($L$37=0,$P$34=0),"",$L$37-1)),0,YEARFRAC(MAX($P$34*($B121+$I$38-1),IF(AND($L$37=0,$P$34=0),"",$L$37-1)),MIN(BY$38,$E121),$P$20))-SUM($BF121:BX121))</f>
        <v>0</v>
      </c>
      <c r="BZ121" s="446">
        <f>IF($E121=0,0,IF(MIN(BZ$38,$E121)&lt;MAX($P$34*($B121+$I$38-1),IF(AND($L$37=0,$P$34=0),"",$L$37-1)),0,YEARFRAC(MAX($P$34*($B121+$I$38-1),IF(AND($L$37=0,$P$34=0),"",$L$37-1)),MIN(BZ$38,$E121),$P$20))-SUM($BF121:BY121))</f>
        <v>0</v>
      </c>
      <c r="CA121" s="446">
        <f>IF($E121=0,0,IF(MIN(CA$38,$E121)&lt;MAX($P$34*($B121+$I$38-1),IF(AND($L$37=0,$P$34=0),"",$L$37-1)),0,YEARFRAC(MAX($P$34*($B121+$I$38-1),IF(AND($L$37=0,$P$34=0),"",$L$37-1)),MIN(CA$38,$E121),$P$20))-SUM($BF121:BZ121))</f>
        <v>0</v>
      </c>
      <c r="CB121" s="446">
        <f>IF($E121=0,0,IF(MIN(CB$38,$E121)&lt;MAX($P$34*($B121+$I$38-1),IF(AND($L$37=0,$P$34=0),"",$L$37-1)),0,YEARFRAC(MAX($P$34*($B121+$I$38-1),IF(AND($L$37=0,$P$34=0),"",$L$37-1)),MIN(CB$38,$E121),$P$20))-SUM($BF121:CA121))</f>
        <v>0</v>
      </c>
      <c r="CC121" s="446">
        <f>IF($E121=0,0,IF(MIN(CC$38,$E121)&lt;MAX($P$34*($B121+$I$38-1),IF(AND($L$37=0,$P$34=0),"",$L$37-1)),0,YEARFRAC(MAX($P$34*($B121+$I$38-1),IF(AND($L$37=0,$P$34=0),"",$L$37-1)),MIN(CC$38,$E121),$P$20))-SUM($BF121:CB121))</f>
        <v>0</v>
      </c>
      <c r="CD121" s="446">
        <f>IF($E121=0,0,IF(MIN(CD$38,$E121)&lt;MAX($P$34*($B121+$I$38-1),IF(AND($L$37=0,$P$34=0),"",$L$37-1)),0,YEARFRAC(MAX($P$34*($B121+$I$38-1),IF(AND($L$37=0,$P$34=0),"",$L$37-1)),MIN(CD$38,$E121),$P$20))-SUM($BF121:CC121))</f>
        <v>0</v>
      </c>
      <c r="CE121" s="446">
        <f>IF($E121=0,0,IF(MIN(CE$38,$E121)&lt;MAX($P$34*($B121+$I$38-1),IF(AND($L$37=0,$P$34=0),"",$L$37-1)),0,YEARFRAC(MAX($P$34*($B121+$I$38-1),IF(AND($L$37=0,$P$34=0),"",$L$37-1)),MIN(CE$38,$E121),$P$20))-SUM($BF121:CD121))</f>
        <v>0</v>
      </c>
      <c r="CF121" s="446">
        <f>IF($E121=0,0,IF(MIN(CF$38,$E121)&lt;MAX($P$34*($B121+$I$38-1),IF(AND($L$37=0,$P$34=0),"",$L$37-1)),0,YEARFRAC(MAX($P$34*($B121+$I$38-1),IF(AND($L$37=0,$P$34=0),"",$L$37-1)),MIN(CF$38,$E121),$P$20))-SUM($BF121:CE121))</f>
        <v>0</v>
      </c>
      <c r="CG121" s="446">
        <f>IF($E121=0,0,IF(MIN(CG$38,$E121)&lt;MAX($P$34*($B121+$I$38-1),IF(AND($L$37=0,$P$34=0),"",$L$37-1)),0,YEARFRAC(MAX($P$34*($B121+$I$38-1),IF(AND($L$37=0,$P$34=0),"",$L$37-1)),MIN(CG$38,$E121),$P$20))-SUM($BF121:CF121))</f>
        <v>0</v>
      </c>
      <c r="CH121" s="446">
        <f>IF($E121=0,0,IF(MIN(CH$38,$E121)&lt;MAX($P$34*($B121+$I$38-1),IF(AND($L$37=0,$P$34=0),"",$L$37-1)),0,YEARFRAC(MAX($P$34*($B121+$I$38-1),IF(AND($L$37=0,$P$34=0),"",$L$37-1)),MIN(CH$38,$E121),$P$20))-SUM($BF121:CG121))</f>
        <v>0</v>
      </c>
      <c r="CI121" s="446">
        <f>IF($E121=0,0,IF(MIN(CI$38,$E121)&lt;MAX($P$34*($B121+$I$38-1),IF(AND($L$37=0,$P$34=0),"",$L$37-1)),0,YEARFRAC(MAX($P$34*($B121+$I$38-1),IF(AND($L$37=0,$P$34=0),"",$L$37-1)),MIN(CI$38,$E121),$P$20))-SUM($BF121:CH121))</f>
        <v>0</v>
      </c>
      <c r="CJ121" s="446">
        <f>IF($E121=0,0,IF(MIN(CJ$38,$E121)&lt;MAX($P$34*($B121+$I$38-1),IF(AND($L$37=0,$P$34=0),"",$L$37-1)),0,YEARFRAC(MAX($P$34*($B121+$I$38-1),IF(AND($L$37=0,$P$34=0),"",$L$37-1)),MIN(CJ$38,$E121),$P$20))-SUM($BF121:CI121))</f>
        <v>0</v>
      </c>
      <c r="CK121" s="446">
        <f>IF($E121=0,0,IF(MIN(CK$38,$E121)&lt;MAX($P$34*($B121+$I$38-1),IF(AND($L$37=0,$P$34=0),"",$L$37-1)),0,YEARFRAC(MAX($P$34*($B121+$I$38-1),IF(AND($L$37=0,$P$34=0),"",$L$37-1)),MIN(CK$38,$E121),$P$20))-SUM($BF121:CJ121))</f>
        <v>0</v>
      </c>
      <c r="CL121" s="446">
        <f>IF($E121=0,0,IF(MIN(CL$38,$E121)&lt;MAX($P$34*($B121+$I$38-1),IF(AND($L$37=0,$P$34=0),"",$L$37-1)),0,YEARFRAC(MAX($P$34*($B121+$I$38-1),IF(AND($L$37=0,$P$34=0),"",$L$37-1)),MIN(CL$38,$E121),$P$20))-SUM($BF121:CK121))</f>
        <v>0</v>
      </c>
      <c r="CM121" s="446">
        <f>IF($E121=0,0,IF(MIN(CM$38,$E121)&lt;MAX($P$34*($B121+$I$38-1),IF(AND($L$37=0,$P$34=0),"",$L$37-1)),0,YEARFRAC(MAX($P$34*($B121+$I$38-1),IF(AND($L$37=0,$P$34=0),"",$L$37-1)),MIN(CM$38,$E121),$P$20))-SUM($BF121:CL121))</f>
        <v>0</v>
      </c>
      <c r="CN121" s="446">
        <f>IF($E121=0,0,IF(MIN(CN$38,$E121)&lt;MAX($P$34*($B121+$I$38-1),IF(AND($L$37=0,$P$34=0),"",$L$37-1)),0,YEARFRAC(MAX($P$34*($B121+$I$38-1),IF(AND($L$37=0,$P$34=0),"",$L$37-1)),MIN(CN$38,$E121),$P$20))-SUM($BF121:CM121))</f>
        <v>0</v>
      </c>
      <c r="CO121" s="446">
        <f>IF($E121=0,0,IF(MIN(CO$38,$E121)&lt;MAX($P$34*($B121+$I$38-1),IF(AND($L$37=0,$P$34=0),"",$L$37-1)),0,YEARFRAC(MAX($P$34*($B121+$I$38-1),IF(AND($L$37=0,$P$34=0),"",$L$37-1)),MIN(CO$38,$E121),$P$20))-SUM($BF121:CN121))</f>
        <v>0</v>
      </c>
      <c r="CP121" s="446">
        <f>IF($E121=0,0,IF(MIN(CP$38,$E121)&lt;MAX($P$34*($B121+$I$38-1),IF(AND($L$37=0,$P$34=0),"",$L$37-1)),0,YEARFRAC(MAX($P$34*($B121+$I$38-1),IF(AND($L$37=0,$P$34=0),"",$L$37-1)),MIN(CP$38,$E121),$P$20))-SUM($BF121:CO121))</f>
        <v>0</v>
      </c>
      <c r="CQ121" s="446">
        <f>IF($E121=0,0,IF(MIN(CQ$38,$E121)&lt;MAX($P$34*($B121+$I$38-1),IF(AND($L$37=0,$P$34=0),"",$L$37-1)),0,YEARFRAC(MAX($P$34*($B121+$I$38-1),IF(AND($L$37=0,$P$34=0),"",$L$37-1)),MIN(CQ$38,$E121),$P$20))-SUM($BF121:CP121))</f>
        <v>0</v>
      </c>
    </row>
    <row r="122" spans="1:95" s="446" customFormat="1" ht="11.25" hidden="1" customHeight="1" x14ac:dyDescent="0.2">
      <c r="A122" s="152"/>
      <c r="B122" s="153" t="str">
        <f t="shared" si="26"/>
        <v/>
      </c>
      <c r="C122" s="29" t="str">
        <f>IF(B122="","",IF($L$35="SELIC - TRIBUTOS",VLOOKUP(DATE(YEAR($D$19),MONTH($D$19)-1,1),ÍNDICES!$A:$DE,HLOOKUP($BL$25,ÍNDICES!$B$3:$T$4,2)+11)-VLOOKUP(B122,ÍNDICES!$A:$DE,HLOOKUP($BL$25,ÍNDICES!$B$3:$T$4,2)+11)+1%,IF(C$38=$W$26,$J$35,IF(ISERROR(IF(B122&gt;$D$19,1,VLOOKUP(DATE(YEAR(B122),MONTH(B122)+IF($C$35=$S$23,1,0),1),ÍNDICES!$A:$DE,$Z$35+1))),"",IF(B122&gt;$D$19,1,VLOOKUP(DATE(YEAR(B122),MONTH(B122)+IF($C$35=$S$23,1,0),1),ÍNDICES!$A:$DE,$Z$35+1))))))</f>
        <v/>
      </c>
      <c r="D122" s="154" t="str">
        <f>IF(ISERROR(IF(OR($D$38=$Y$27,$B122=""),"",VLOOKUP(B122,ÍNDICES!A:DE,AF$35+1))),"",IF(OR($D$38=$Y$27,$B122=""),"",VLOOKUP(B122,ÍNDICES!A:DE,AF$35+1)))</f>
        <v/>
      </c>
      <c r="E122" s="153"/>
      <c r="F122" s="29" t="str">
        <f>IF(E122="","",IF($L$35="SELIC - TRIBUTOS",VLOOKUP(DATE(YEAR($D$19),MONTH($D$19)-1,1),ÍNDICES!$A:$DE,HLOOKUP($BL$25,ÍNDICES!$B$3:$T$4,2)+11)-VLOOKUP(E122,ÍNDICES!$A:$DE,HLOOKUP($BL$25,ÍNDICES!$B$3:$T$4,2)+11)+1%,IF(F$38=$W$26,$J$35,IF(ISERROR(IF(E122&gt;$D$19,1,VLOOKUP(DATE(YEAR(E122),MONTH(E122)+IF($C$35=$S$23,1,0),1),ÍNDICES!$A:$DE,$Z$35+1))),"",IF(E122&gt;$D$19,1,VLOOKUP(DATE(YEAR(E122),MONTH(E122)+IF($C$35=$S$23,1,0),1),ÍNDICES!$A:$DE,$Z$35+1))))))</f>
        <v/>
      </c>
      <c r="G122" s="155"/>
      <c r="H122" s="156" t="str">
        <f t="shared" si="22"/>
        <v/>
      </c>
      <c r="I122" s="29" t="str">
        <f t="shared" si="16"/>
        <v/>
      </c>
      <c r="J122" s="5">
        <f t="shared" si="17"/>
        <v>0</v>
      </c>
      <c r="K122" s="20">
        <f t="shared" ca="1" si="18"/>
        <v>0</v>
      </c>
      <c r="L122" s="5">
        <f t="shared" ca="1" si="19"/>
        <v>0</v>
      </c>
      <c r="M122" s="64">
        <f t="shared" si="23"/>
        <v>0</v>
      </c>
      <c r="N122" s="61">
        <f t="shared" ca="1" si="24"/>
        <v>0</v>
      </c>
      <c r="O122" s="5">
        <f t="shared" ca="1" si="25"/>
        <v>0</v>
      </c>
      <c r="P122" s="446" t="e">
        <f t="shared" si="20"/>
        <v>#VALUE!</v>
      </c>
      <c r="Q122" s="446" t="e">
        <f>IF(OR($B122="",MIN(Q$38,$D$19)&lt;MAX($P$34*($B122+IF($R$17="Distrato",$I$38-1,0)),IF(AND($L$37=0,$P$34=0),"",$L$37-1),IF($R$17="Distrato",$E122,0))),0,YEARFRAC(MAX($P$34*($B122+IF($R$17="Distrato",$I$38-1,0)),IF(AND($L$37=0,$P$34=0),"",$L$37-1),IF($R$17="Distrato",$E122,0)),MIN(Q$38,$D$19),$P$20))-SUM($P122:P122)</f>
        <v>#VALUE!</v>
      </c>
      <c r="R122" s="446" t="e">
        <f>IF(OR($B122="",MIN(R$38,$D$19)&lt;MAX($P$34*($B122+IF($R$17="Distrato",$I$38-1,0)),IF(AND($L$37=0,$P$34=0),"",$L$37-1),IF($R$17="Distrato",$E122,0))),0,YEARFRAC(MAX($P$34*($B122+IF($R$17="Distrato",$I$38-1,0)),IF(AND($L$37=0,$P$34=0),"",$L$37-1),IF($R$17="Distrato",$E122,0)),MIN(R$38,$D$19),$P$20))-SUM($P122:Q122)</f>
        <v>#VALUE!</v>
      </c>
      <c r="S122" s="446" t="e">
        <f>IF(OR($B122="",MIN(S$38,$D$19)&lt;MAX($P$34*($B122+IF($R$17="Distrato",$I$38-1,0)),IF(AND($L$37=0,$P$34=0),"",$L$37-1),IF($R$17="Distrato",$E122,0))),0,YEARFRAC(MAX($P$34*($B122+IF($R$17="Distrato",$I$38-1,0)),IF(AND($L$37=0,$P$34=0),"",$L$37-1),IF($R$17="Distrato",$E122,0)),MIN(S$38,$D$19),$P$20))-SUM($P122:R122)</f>
        <v>#VALUE!</v>
      </c>
      <c r="T122" s="446" t="e">
        <f>IF(OR($B122="",MIN(T$38,$D$19)&lt;MAX($P$34*($B122+IF($R$17="Distrato",$I$38-1,0)),IF(AND($L$37=0,$P$34=0),"",$L$37-1),IF($R$17="Distrato",$E122,0))),0,YEARFRAC(MAX($P$34*($B122+IF($R$17="Distrato",$I$38-1,0)),IF(AND($L$37=0,$P$34=0),"",$L$37-1),IF($R$17="Distrato",$E122,0)),MIN(T$38,$D$19),$P$20))-SUM($P122:S122)</f>
        <v>#VALUE!</v>
      </c>
      <c r="U122" s="446" t="e">
        <f>IF(OR($B122="",MIN(U$38,$D$19)&lt;MAX($P$34*($B122+IF($R$17="Distrato",$I$38-1,0)),IF(AND($L$37=0,$P$34=0),"",$L$37-1),IF($R$17="Distrato",$E122,0))),0,YEARFRAC(MAX($P$34*($B122+IF($R$17="Distrato",$I$38-1,0)),IF(AND($L$37=0,$P$34=0),"",$L$37-1),IF($R$17="Distrato",$E122,0)),MIN(U$38,$D$19),$P$20))-SUM($P122:T122)</f>
        <v>#VALUE!</v>
      </c>
      <c r="V122" s="446" t="e">
        <f>IF(OR($B122="",MIN(V$38,$D$19)&lt;MAX($P$34*($B122+IF($R$17="Distrato",$I$38-1,0)),IF(AND($L$37=0,$P$34=0),"",$L$37-1),IF($R$17="Distrato",$E122,0))),0,YEARFRAC(MAX($P$34*($B122+IF($R$17="Distrato",$I$38-1,0)),IF(AND($L$37=0,$P$34=0),"",$L$37-1),IF($R$17="Distrato",$E122,0)),MIN(V$38,$D$19),$P$20))-SUM($P122:U122)</f>
        <v>#VALUE!</v>
      </c>
      <c r="W122" s="446" t="e">
        <f>IF(OR($B122="",MIN(W$38,$D$19)&lt;MAX($P$34*($B122+IF($R$17="Distrato",$I$38-1,0)),IF(AND($L$37=0,$P$34=0),"",$L$37-1),IF($R$17="Distrato",$E122,0))),0,YEARFRAC(MAX($P$34*($B122+IF($R$17="Distrato",$I$38-1,0)),IF(AND($L$37=0,$P$34=0),"",$L$37-1),IF($R$17="Distrato",$E122,0)),MIN(W$38,$D$19),$P$20))-SUM($P122:V122)</f>
        <v>#VALUE!</v>
      </c>
      <c r="X122" s="446" t="e">
        <f>IF(OR($B122="",MIN(X$38,$D$19)&lt;MAX($P$34*($B122+IF($R$17="Distrato",$I$38-1,0)),IF(AND($L$37=0,$P$34=0),"",$L$37-1),IF($R$17="Distrato",$E122,0))),0,YEARFRAC(MAX($P$34*($B122+IF($R$17="Distrato",$I$38-1,0)),IF(AND($L$37=0,$P$34=0),"",$L$37-1),IF($R$17="Distrato",$E122,0)),MIN(X$38,$D$19),$P$20))-SUM($P122:W122)</f>
        <v>#VALUE!</v>
      </c>
      <c r="Y122" s="446" t="e">
        <f>IF(OR($B122="",MIN(Y$38,$D$19)&lt;MAX($P$34*($B122+IF($R$17="Distrato",$I$38-1,0)),IF(AND($L$37=0,$P$34=0),"",$L$37-1),IF($R$17="Distrato",$E122,0))),0,YEARFRAC(MAX($P$34*($B122+IF($R$17="Distrato",$I$38-1,0)),IF(AND($L$37=0,$P$34=0),"",$L$37-1),IF($R$17="Distrato",$E122,0)),MIN(Y$38,$D$19),$P$20))-SUM($P122:X122)</f>
        <v>#VALUE!</v>
      </c>
      <c r="Z122" s="446" t="e">
        <f>IF(OR($B122="",MIN(Z$38,$D$19)&lt;MAX($P$34*($B122+IF($R$17="Distrato",$I$38-1,0)),IF(AND($L$37=0,$P$34=0),"",$L$37-1),IF($R$17="Distrato",$E122,0))),0,YEARFRAC(MAX($P$34*($B122+IF($R$17="Distrato",$I$38-1,0)),IF(AND($L$37=0,$P$34=0),"",$L$37-1),IF($R$17="Distrato",$E122,0)),MIN(Z$38,$D$19),$P$20))-SUM($P122:Y122)</f>
        <v>#VALUE!</v>
      </c>
      <c r="AA122" s="446" t="e">
        <f>IF(OR($B122="",MIN(AA$38,$D$19)&lt;MAX($P$34*($B122+IF($R$17="Distrato",$I$38-1,0)),IF(AND($L$37=0,$P$34=0),"",$L$37-1),IF($R$17="Distrato",$E122,0))),0,YEARFRAC(MAX($P$34*($B122+IF($R$17="Distrato",$I$38-1,0)),IF(AND($L$37=0,$P$34=0),"",$L$37-1),IF($R$17="Distrato",$E122,0)),MIN(AA$38,$D$19),$P$20))-SUM($P122:Z122)</f>
        <v>#VALUE!</v>
      </c>
      <c r="AB122" s="446" t="e">
        <f>IF(OR($B122="",MIN(AB$38,$D$19)&lt;MAX($P$34*($B122+IF($R$17="Distrato",$I$38-1,0)),IF(AND($L$37=0,$P$34=0),"",$L$37-1),IF($R$17="Distrato",$E122,0))),0,YEARFRAC(MAX($P$34*($B122+IF($R$17="Distrato",$I$38-1,0)),IF(AND($L$37=0,$P$34=0),"",$L$37-1),IF($R$17="Distrato",$E122,0)),MIN(AB$38,$D$19),$P$20))-SUM($P122:AA122)</f>
        <v>#VALUE!</v>
      </c>
      <c r="AC122" s="446" t="e">
        <f>IF(OR($B122="",MIN(AC$38,$D$19)&lt;MAX($P$34*($B122+IF($R$17="Distrato",$I$38-1,0)),IF(AND($L$37=0,$P$34=0),"",$L$37-1),IF($R$17="Distrato",$E122,0))),0,YEARFRAC(MAX($P$34*($B122+IF($R$17="Distrato",$I$38-1,0)),IF(AND($L$37=0,$P$34=0),"",$L$37-1),IF($R$17="Distrato",$E122,0)),MIN(AC$38,$D$19),$P$20))-SUM($P122:AB122)</f>
        <v>#VALUE!</v>
      </c>
      <c r="AD122" s="446" t="e">
        <f>IF(OR($B122="",MIN(AD$38,$D$19)&lt;MAX($P$34*($B122+IF($R$17="Distrato",$I$38-1,0)),IF(AND($L$37=0,$P$34=0),"",$L$37-1),IF($R$17="Distrato",$E122,0))),0,YEARFRAC(MAX($P$34*($B122+IF($R$17="Distrato",$I$38-1,0)),IF(AND($L$37=0,$P$34=0),"",$L$37-1),IF($R$17="Distrato",$E122,0)),MIN(AD$38,$D$19),$P$20))-SUM($P122:AC122)</f>
        <v>#VALUE!</v>
      </c>
      <c r="AE122" s="446" t="e">
        <f>IF(OR($B122="",MIN(AE$38,$D$19)&lt;MAX($P$34*($B122+IF($R$17="Distrato",$I$38-1,0)),IF(AND($L$37=0,$P$34=0),"",$L$37-1),IF($R$17="Distrato",$E122,0))),0,YEARFRAC(MAX($P$34*($B122+IF($R$17="Distrato",$I$38-1,0)),IF(AND($L$37=0,$P$34=0),"",$L$37-1),IF($R$17="Distrato",$E122,0)),MIN(AE$38,$D$19),$P$20))-SUM($P122:AD122)</f>
        <v>#VALUE!</v>
      </c>
      <c r="AF122" s="446" t="e">
        <f>IF(OR($B122="",MIN(AF$38,$D$19)&lt;MAX($P$34*($B122+IF($R$17="Distrato",$I$38-1,0)),IF(AND($L$37=0,$P$34=0),"",$L$37-1),IF($R$17="Distrato",$E122,0))),0,YEARFRAC(MAX($P$34*($B122+IF($R$17="Distrato",$I$38-1,0)),IF(AND($L$37=0,$P$34=0),"",$L$37-1),IF($R$17="Distrato",$E122,0)),MIN(AF$38,$D$19),$P$20))-SUM($P122:AE122)</f>
        <v>#VALUE!</v>
      </c>
      <c r="AG122" s="446" t="e">
        <f>IF(OR($B122="",MIN(AG$38,$D$19)&lt;MAX($P$34*($B122+IF($R$17="Distrato",$I$38-1,0)),IF(AND($L$37=0,$P$34=0),"",$L$37-1),IF($R$17="Distrato",$E122,0))),0,YEARFRAC(MAX($P$34*($B122+IF($R$17="Distrato",$I$38-1,0)),IF(AND($L$37=0,$P$34=0),"",$L$37-1),IF($R$17="Distrato",$E122,0)),MIN(AG$38,$D$19),$P$20))-SUM($P122:AF122)</f>
        <v>#VALUE!</v>
      </c>
      <c r="AH122" s="446" t="e">
        <f>IF(OR($B122="",MIN(AH$38,$D$19)&lt;MAX($P$34*($B122+IF($R$17="Distrato",$I$38-1,0)),IF(AND($L$37=0,$P$34=0),"",$L$37-1),IF($R$17="Distrato",$E122,0))),0,YEARFRAC(MAX($P$34*($B122+IF($R$17="Distrato",$I$38-1,0)),IF(AND($L$37=0,$P$34=0),"",$L$37-1),IF($R$17="Distrato",$E122,0)),MIN(AH$38,$D$19),$P$20))-SUM($P122:AG122)</f>
        <v>#VALUE!</v>
      </c>
      <c r="AI122" s="446" t="e">
        <f>IF(OR($B122="",MIN(AI$38,$D$19)&lt;MAX($P$34*($B122+IF($R$17="Distrato",$I$38-1,0)),IF(AND($L$37=0,$P$34=0),"",$L$37-1),IF($R$17="Distrato",$E122,0))),0,YEARFRAC(MAX($P$34*($B122+IF($R$17="Distrato",$I$38-1,0)),IF(AND($L$37=0,$P$34=0),"",$L$37-1),IF($R$17="Distrato",$E122,0)),MIN(AI$38,$D$19),$P$20))-SUM($P122:AH122)</f>
        <v>#VALUE!</v>
      </c>
      <c r="AJ122" s="446" t="e">
        <f>IF(OR($B122="",MIN(AJ$38,$D$19)&lt;MAX($P$34*($B122+IF($R$17="Distrato",$I$38-1,0)),IF(AND($L$37=0,$P$34=0),"",$L$37-1),IF($R$17="Distrato",$E122,0))),0,YEARFRAC(MAX($P$34*($B122+IF($R$17="Distrato",$I$38-1,0)),IF(AND($L$37=0,$P$34=0),"",$L$37-1),IF($R$17="Distrato",$E122,0)),MIN(AJ$38,$D$19),$P$20))-SUM($P122:AI122)</f>
        <v>#VALUE!</v>
      </c>
      <c r="AK122" s="446" t="e">
        <f>IF(OR($B122="",MIN(AK$38,$D$19)&lt;MAX($P$34*($B122+IF($R$17="Distrato",$I$38-1,0)),IF(AND($L$37=0,$P$34=0),"",$L$37-1),IF($R$17="Distrato",$E122,0))),0,YEARFRAC(MAX($P$34*($B122+IF($R$17="Distrato",$I$38-1,0)),IF(AND($L$37=0,$P$34=0),"",$L$37-1),IF($R$17="Distrato",$E122,0)),MIN(AK$38,$D$19),$P$20))-SUM($P122:AJ122)</f>
        <v>#VALUE!</v>
      </c>
      <c r="AL122" s="446" t="e">
        <f>IF(OR($B122="",MIN(AL$38,$D$19)&lt;MAX($P$34*($B122+IF($R$17="Distrato",$I$38-1,0)),IF(AND($L$37=0,$P$34=0),"",$L$37-1),IF($R$17="Distrato",$E122,0))),0,YEARFRAC(MAX($P$34*($B122+IF($R$17="Distrato",$I$38-1,0)),IF(AND($L$37=0,$P$34=0),"",$L$37-1),IF($R$17="Distrato",$E122,0)),MIN(AL$38,$D$19),$P$20))-SUM($P122:AK122)</f>
        <v>#VALUE!</v>
      </c>
      <c r="AM122" s="446" t="e">
        <f>IF(OR($B122="",MIN(AM$38,$D$19)&lt;MAX($P$34*($B122+IF($R$17="Distrato",$I$38-1,0)),IF(AND($L$37=0,$P$34=0),"",$L$37-1),IF($R$17="Distrato",$E122,0))),0,YEARFRAC(MAX($P$34*($B122+IF($R$17="Distrato",$I$38-1,0)),IF(AND($L$37=0,$P$34=0),"",$L$37-1),IF($R$17="Distrato",$E122,0)),MIN(AM$38,$D$19),$P$20))-SUM($P122:AL122)</f>
        <v>#VALUE!</v>
      </c>
      <c r="AN122" s="446" t="e">
        <f>IF(OR($B122="",MIN(AN$38,$D$19)&lt;MAX($P$34*($B122+IF($R$17="Distrato",$I$38-1,0)),IF(AND($L$37=0,$P$34=0),"",$L$37-1),IF($R$17="Distrato",$E122,0))),0,YEARFRAC(MAX($P$34*($B122+IF($R$17="Distrato",$I$38-1,0)),IF(AND($L$37=0,$P$34=0),"",$L$37-1),IF($R$17="Distrato",$E122,0)),MIN(AN$38,$D$19),$P$20))-SUM($P122:AM122)</f>
        <v>#VALUE!</v>
      </c>
      <c r="AO122" s="446" t="e">
        <f>IF(OR($B122="",MIN(AO$38,$D$19)&lt;MAX($P$34*($B122+IF($R$17="Distrato",$I$38-1,0)),IF(AND($L$37=0,$P$34=0),"",$L$37-1),IF($R$17="Distrato",$E122,0))),0,YEARFRAC(MAX($P$34*($B122+IF($R$17="Distrato",$I$38-1,0)),IF(AND($L$37=0,$P$34=0),"",$L$37-1),IF($R$17="Distrato",$E122,0)),MIN(AO$38,$D$19),$P$20))-SUM($P122:AN122)</f>
        <v>#VALUE!</v>
      </c>
      <c r="AP122" s="446" t="e">
        <f>IF(OR($B122="",MIN(AP$38,$D$19)&lt;MAX($P$34*($B122+IF($R$17="Distrato",$I$38-1,0)),IF(AND($L$37=0,$P$34=0),"",$L$37-1),IF($R$17="Distrato",$E122,0))),0,YEARFRAC(MAX($P$34*($B122+IF($R$17="Distrato",$I$38-1,0)),IF(AND($L$37=0,$P$34=0),"",$L$37-1),IF($R$17="Distrato",$E122,0)),MIN(AP$38,$D$19),$P$20))-SUM($P122:AO122)</f>
        <v>#VALUE!</v>
      </c>
      <c r="AQ122" s="446" t="e">
        <f>IF(OR($B122="",MIN(AQ$38,$D$19)&lt;MAX($P$34*($B122+IF($R$17="Distrato",$I$38-1,0)),IF(AND($L$37=0,$P$34=0),"",$L$37-1),IF($R$17="Distrato",$E122,0))),0,YEARFRAC(MAX($P$34*($B122+IF($R$17="Distrato",$I$38-1,0)),IF(AND($L$37=0,$P$34=0),"",$L$37-1),IF($R$17="Distrato",$E122,0)),MIN(AQ$38,$D$19),$P$20))-SUM($P122:AP122)</f>
        <v>#VALUE!</v>
      </c>
      <c r="AR122" s="446" t="e">
        <f>IF(OR($B122="",MIN(AR$38,$D$19)&lt;MAX($P$34*($B122+IF($R$17="Distrato",$I$38-1,0)),IF(AND($L$37=0,$P$34=0),"",$L$37-1),IF($R$17="Distrato",$E122,0))),0,YEARFRAC(MAX($P$34*($B122+IF($R$17="Distrato",$I$38-1,0)),IF(AND($L$37=0,$P$34=0),"",$L$37-1),IF($R$17="Distrato",$E122,0)),MIN(AR$38,$D$19),$P$20))-SUM($P122:AQ122)</f>
        <v>#VALUE!</v>
      </c>
      <c r="AS122" s="446" t="e">
        <f>IF(OR($B122="",MIN(AS$38,$D$19)&lt;MAX($P$34*($B122+IF($R$17="Distrato",$I$38-1,0)),IF(AND($L$37=0,$P$34=0),"",$L$37-1),IF($R$17="Distrato",$E122,0))),0,YEARFRAC(MAX($P$34*($B122+IF($R$17="Distrato",$I$38-1,0)),IF(AND($L$37=0,$P$34=0),"",$L$37-1),IF($R$17="Distrato",$E122,0)),MIN(AS$38,$D$19),$P$20))-SUM($P122:AR122)</f>
        <v>#VALUE!</v>
      </c>
      <c r="AT122" s="446" t="e">
        <f>IF(OR($B122="",MIN(AT$38,$D$19)&lt;MAX($P$34*($B122+IF($R$17="Distrato",$I$38-1,0)),IF(AND($L$37=0,$P$34=0),"",$L$37-1),IF($R$17="Distrato",$E122,0))),0,YEARFRAC(MAX($P$34*($B122+IF($R$17="Distrato",$I$38-1,0)),IF(AND($L$37=0,$P$34=0),"",$L$37-1),IF($R$17="Distrato",$E122,0)),MIN(AT$38,$D$19),$P$20))-SUM($P122:AS122)</f>
        <v>#VALUE!</v>
      </c>
      <c r="AU122" s="446" t="e">
        <f>IF(OR($B122="",MIN(AU$38,$D$19)&lt;MAX($P$34*($B122+IF($R$17="Distrato",$I$38-1,0)),IF(AND($L$37=0,$P$34=0),"",$L$37-1),IF($R$17="Distrato",$E122,0))),0,YEARFRAC(MAX($P$34*($B122+IF($R$17="Distrato",$I$38-1,0)),IF(AND($L$37=0,$P$34=0),"",$L$37-1),IF($R$17="Distrato",$E122,0)),MIN(AU$38,$D$19),$P$20))-SUM($P122:AT122)</f>
        <v>#VALUE!</v>
      </c>
      <c r="AV122" s="446" t="e">
        <f>IF(OR($B122="",MIN(AV$38,$D$19)&lt;MAX($P$34*($B122+IF($R$17="Distrato",$I$38-1,0)),IF(AND($L$37=0,$P$34=0),"",$L$37-1),IF($R$17="Distrato",$E122,0))),0,YEARFRAC(MAX($P$34*($B122+IF($R$17="Distrato",$I$38-1,0)),IF(AND($L$37=0,$P$34=0),"",$L$37-1),IF($R$17="Distrato",$E122,0)),MIN(AV$38,$D$19),$P$20))-SUM($P122:AU122)</f>
        <v>#VALUE!</v>
      </c>
      <c r="AW122" s="446" t="e">
        <f>IF(OR($B122="",MIN(AW$38,$D$19)&lt;MAX($P$34*($B122+IF($R$17="Distrato",$I$38-1,0)),IF(AND($L$37=0,$P$34=0),"",$L$37-1),IF($R$17="Distrato",$E122,0))),0,YEARFRAC(MAX($P$34*($B122+IF($R$17="Distrato",$I$38-1,0)),IF(AND($L$37=0,$P$34=0),"",$L$37-1),IF($R$17="Distrato",$E122,0)),MIN(AW$38,$D$19),$P$20))-SUM($P122:AV122)</f>
        <v>#VALUE!</v>
      </c>
      <c r="AX122" s="446" t="e">
        <f>IF(OR($B122="",MIN(AX$38,$D$19)&lt;MAX($P$34*($B122+IF($R$17="Distrato",$I$38-1,0)),IF(AND($L$37=0,$P$34=0),"",$L$37-1),IF($R$17="Distrato",$E122,0))),0,YEARFRAC(MAX($P$34*($B122+IF($R$17="Distrato",$I$38-1,0)),IF(AND($L$37=0,$P$34=0),"",$L$37-1),IF($R$17="Distrato",$E122,0)),MIN(AX$38,$D$19),$P$20))-SUM($P122:AW122)</f>
        <v>#VALUE!</v>
      </c>
      <c r="AY122" s="446" t="e">
        <f>IF(OR($B122="",MIN(AY$38,$D$19)&lt;MAX($P$34*($B122+IF($R$17="Distrato",$I$38-1,0)),IF(AND($L$37=0,$P$34=0),"",$L$37-1),IF($R$17="Distrato",$E122,0))),0,YEARFRAC(MAX($P$34*($B122+IF($R$17="Distrato",$I$38-1,0)),IF(AND($L$37=0,$P$34=0),"",$L$37-1),IF($R$17="Distrato",$E122,0)),MIN(AY$38,$D$19),$P$20))-SUM($P122:AX122)</f>
        <v>#VALUE!</v>
      </c>
      <c r="AZ122" s="446" t="e">
        <f>IF(OR($B122="",MIN(AZ$38,$D$19)&lt;MAX($P$34*($B122+IF($R$17="Distrato",$I$38-1,0)),IF(AND($L$37=0,$P$34=0),"",$L$37-1),IF($R$17="Distrato",$E122,0))),0,YEARFRAC(MAX($P$34*($B122+IF($R$17="Distrato",$I$38-1,0)),IF(AND($L$37=0,$P$34=0),"",$L$37-1),IF($R$17="Distrato",$E122,0)),MIN(AZ$38,$D$19),$P$20))-SUM($P122:AY122)</f>
        <v>#VALUE!</v>
      </c>
      <c r="BA122" s="446" t="e">
        <f>IF(OR($B122="",MIN(BA$38,$D$19)&lt;MAX($P$34*($B122+IF($R$17="Distrato",$I$38-1,0)),IF(AND($L$37=0,$P$34=0),"",$L$37-1),IF($R$17="Distrato",$E122,0))),0,YEARFRAC(MAX($P$34*($B122+IF($R$17="Distrato",$I$38-1,0)),IF(AND($L$37=0,$P$34=0),"",$L$37-1),IF($R$17="Distrato",$E122,0)),MIN(BA$38,$D$19),$P$20))-SUM($P122:AZ122)</f>
        <v>#VALUE!</v>
      </c>
      <c r="BB122" s="447"/>
      <c r="BF122" s="446">
        <f t="shared" si="21"/>
        <v>0</v>
      </c>
      <c r="BG122" s="446">
        <f>IF($E122=0,0,IF(MIN(BG$38,$E122)&lt;MAX($P$34*($B122+$I$38-1),IF(AND($L$37=0,$P$34=0),"",$L$37-1)),0,YEARFRAC(MAX($P$34*($B122+$I$38-1),IF(AND($L$37=0,$P$34=0),"",$L$37-1)),MIN(BG$38,$E122),$P$20))-SUM($BF122:BF122))</f>
        <v>0</v>
      </c>
      <c r="BH122" s="446">
        <f>IF($E122=0,0,IF(MIN(BH$38,$E122)&lt;MAX($P$34*($B122+$I$38-1),IF(AND($L$37=0,$P$34=0),"",$L$37-1)),0,YEARFRAC(MAX($P$34*($B122+$I$38-1),IF(AND($L$37=0,$P$34=0),"",$L$37-1)),MIN(BH$38,$E122),$P$20))-SUM($BF122:BG122))</f>
        <v>0</v>
      </c>
      <c r="BI122" s="446">
        <f>IF($E122=0,0,IF(MIN(BI$38,$E122)&lt;MAX($P$34*($B122+$I$38-1),IF(AND($L$37=0,$P$34=0),"",$L$37-1)),0,YEARFRAC(MAX($P$34*($B122+$I$38-1),IF(AND($L$37=0,$P$34=0),"",$L$37-1)),MIN(BI$38,$E122),$P$20))-SUM($BF122:BH122))</f>
        <v>0</v>
      </c>
      <c r="BJ122" s="446">
        <f>IF($E122=0,0,IF(MIN(BJ$38,$E122)&lt;MAX($P$34*($B122+$I$38-1),IF(AND($L$37=0,$P$34=0),"",$L$37-1)),0,YEARFRAC(MAX($P$34*($B122+$I$38-1),IF(AND($L$37=0,$P$34=0),"",$L$37-1)),MIN(BJ$38,$E122),$P$20))-SUM($BF122:BI122))</f>
        <v>0</v>
      </c>
      <c r="BK122" s="446">
        <f>IF($E122=0,0,IF(MIN(BK$38,$E122)&lt;MAX($P$34*($B122+$I$38-1),IF(AND($L$37=0,$P$34=0),"",$L$37-1)),0,YEARFRAC(MAX($P$34*($B122+$I$38-1),IF(AND($L$37=0,$P$34=0),"",$L$37-1)),MIN(BK$38,$E122),$P$20))-SUM($BF122:BJ122))</f>
        <v>0</v>
      </c>
      <c r="BL122" s="446">
        <f>IF($E122=0,0,IF(MIN(BL$38,$E122)&lt;MAX($P$34*($B122+$I$38-1),IF(AND($L$37=0,$P$34=0),"",$L$37-1)),0,YEARFRAC(MAX($P$34*($B122+$I$38-1),IF(AND($L$37=0,$P$34=0),"",$L$37-1)),MIN(BL$38,$E122),$P$20))-SUM($BF122:BK122))</f>
        <v>0</v>
      </c>
      <c r="BM122" s="446">
        <f>IF($E122=0,0,IF(MIN(BM$38,$E122)&lt;MAX($P$34*($B122+$I$38-1),IF(AND($L$37=0,$P$34=0),"",$L$37-1)),0,YEARFRAC(MAX($P$34*($B122+$I$38-1),IF(AND($L$37=0,$P$34=0),"",$L$37-1)),MIN(BM$38,$E122),$P$20))-SUM($BF122:BL122))</f>
        <v>0</v>
      </c>
      <c r="BN122" s="446">
        <f>IF($E122=0,0,IF(MIN(BN$38,$E122)&lt;MAX($P$34*($B122+$I$38-1),IF(AND($L$37=0,$P$34=0),"",$L$37-1)),0,YEARFRAC(MAX($P$34*($B122+$I$38-1),IF(AND($L$37=0,$P$34=0),"",$L$37-1)),MIN(BN$38,$E122),$P$20))-SUM($BF122:BM122))</f>
        <v>0</v>
      </c>
      <c r="BO122" s="446">
        <f>IF($E122=0,0,IF(MIN(BO$38,$E122)&lt;MAX($P$34*($B122+$I$38-1),IF(AND($L$37=0,$P$34=0),"",$L$37-1)),0,YEARFRAC(MAX($P$34*($B122+$I$38-1),IF(AND($L$37=0,$P$34=0),"",$L$37-1)),MIN(BO$38,$E122),$P$20))-SUM($BF122:BN122))</f>
        <v>0</v>
      </c>
      <c r="BP122" s="446">
        <f>IF($E122=0,0,IF(MIN(BP$38,$E122)&lt;MAX($P$34*($B122+$I$38-1),IF(AND($L$37=0,$P$34=0),"",$L$37-1)),0,YEARFRAC(MAX($P$34*($B122+$I$38-1),IF(AND($L$37=0,$P$34=0),"",$L$37-1)),MIN(BP$38,$E122),$P$20))-SUM($BF122:BO122))</f>
        <v>0</v>
      </c>
      <c r="BQ122" s="446">
        <f>IF($E122=0,0,IF(MIN(BQ$38,$E122)&lt;MAX($P$34*($B122+$I$38-1),IF(AND($L$37=0,$P$34=0),"",$L$37-1)),0,YEARFRAC(MAX($P$34*($B122+$I$38-1),IF(AND($L$37=0,$P$34=0),"",$L$37-1)),MIN(BQ$38,$E122),$P$20))-SUM($BF122:BP122))</f>
        <v>0</v>
      </c>
      <c r="BR122" s="446">
        <f>IF($E122=0,0,IF(MIN(BR$38,$E122)&lt;MAX($P$34*($B122+$I$38-1),IF(AND($L$37=0,$P$34=0),"",$L$37-1)),0,YEARFRAC(MAX($P$34*($B122+$I$38-1),IF(AND($L$37=0,$P$34=0),"",$L$37-1)),MIN(BR$38,$E122),$P$20))-SUM($BF122:BQ122))</f>
        <v>0</v>
      </c>
      <c r="BS122" s="446">
        <f>IF($E122=0,0,IF(MIN(BS$38,$E122)&lt;MAX($P$34*($B122+$I$38-1),IF(AND($L$37=0,$P$34=0),"",$L$37-1)),0,YEARFRAC(MAX($P$34*($B122+$I$38-1),IF(AND($L$37=0,$P$34=0),"",$L$37-1)),MIN(BS$38,$E122),$P$20))-SUM($BF122:BR122))</f>
        <v>0</v>
      </c>
      <c r="BT122" s="446">
        <f>IF($E122=0,0,IF(MIN(BT$38,$E122)&lt;MAX($P$34*($B122+$I$38-1),IF(AND($L$37=0,$P$34=0),"",$L$37-1)),0,YEARFRAC(MAX($P$34*($B122+$I$38-1),IF(AND($L$37=0,$P$34=0),"",$L$37-1)),MIN(BT$38,$E122),$P$20))-SUM($BF122:BS122))</f>
        <v>0</v>
      </c>
      <c r="BU122" s="446">
        <f>IF($E122=0,0,IF(MIN(BU$38,$E122)&lt;MAX($P$34*($B122+$I$38-1),IF(AND($L$37=0,$P$34=0),"",$L$37-1)),0,YEARFRAC(MAX($P$34*($B122+$I$38-1),IF(AND($L$37=0,$P$34=0),"",$L$37-1)),MIN(BU$38,$E122),$P$20))-SUM($BF122:BT122))</f>
        <v>0</v>
      </c>
      <c r="BV122" s="446">
        <f>IF($E122=0,0,IF(MIN(BV$38,$E122)&lt;MAX($P$34*($B122+$I$38-1),IF(AND($L$37=0,$P$34=0),"",$L$37-1)),0,YEARFRAC(MAX($P$34*($B122+$I$38-1),IF(AND($L$37=0,$P$34=0),"",$L$37-1)),MIN(BV$38,$E122),$P$20))-SUM($BF122:BU122))</f>
        <v>0</v>
      </c>
      <c r="BW122" s="446">
        <f>IF($E122=0,0,IF(MIN(BW$38,$E122)&lt;MAX($P$34*($B122+$I$38-1),IF(AND($L$37=0,$P$34=0),"",$L$37-1)),0,YEARFRAC(MAX($P$34*($B122+$I$38-1),IF(AND($L$37=0,$P$34=0),"",$L$37-1)),MIN(BW$38,$E122),$P$20))-SUM($BF122:BV122))</f>
        <v>0</v>
      </c>
      <c r="BX122" s="446">
        <f>IF($E122=0,0,IF(MIN(BX$38,$E122)&lt;MAX($P$34*($B122+$I$38-1),IF(AND($L$37=0,$P$34=0),"",$L$37-1)),0,YEARFRAC(MAX($P$34*($B122+$I$38-1),IF(AND($L$37=0,$P$34=0),"",$L$37-1)),MIN(BX$38,$E122),$P$20))-SUM($BF122:BW122))</f>
        <v>0</v>
      </c>
      <c r="BY122" s="446">
        <f>IF($E122=0,0,IF(MIN(BY$38,$E122)&lt;MAX($P$34*($B122+$I$38-1),IF(AND($L$37=0,$P$34=0),"",$L$37-1)),0,YEARFRAC(MAX($P$34*($B122+$I$38-1),IF(AND($L$37=0,$P$34=0),"",$L$37-1)),MIN(BY$38,$E122),$P$20))-SUM($BF122:BX122))</f>
        <v>0</v>
      </c>
      <c r="BZ122" s="446">
        <f>IF($E122=0,0,IF(MIN(BZ$38,$E122)&lt;MAX($P$34*($B122+$I$38-1),IF(AND($L$37=0,$P$34=0),"",$L$37-1)),0,YEARFRAC(MAX($P$34*($B122+$I$38-1),IF(AND($L$37=0,$P$34=0),"",$L$37-1)),MIN(BZ$38,$E122),$P$20))-SUM($BF122:BY122))</f>
        <v>0</v>
      </c>
      <c r="CA122" s="446">
        <f>IF($E122=0,0,IF(MIN(CA$38,$E122)&lt;MAX($P$34*($B122+$I$38-1),IF(AND($L$37=0,$P$34=0),"",$L$37-1)),0,YEARFRAC(MAX($P$34*($B122+$I$38-1),IF(AND($L$37=0,$P$34=0),"",$L$37-1)),MIN(CA$38,$E122),$P$20))-SUM($BF122:BZ122))</f>
        <v>0</v>
      </c>
      <c r="CB122" s="446">
        <f>IF($E122=0,0,IF(MIN(CB$38,$E122)&lt;MAX($P$34*($B122+$I$38-1),IF(AND($L$37=0,$P$34=0),"",$L$37-1)),0,YEARFRAC(MAX($P$34*($B122+$I$38-1),IF(AND($L$37=0,$P$34=0),"",$L$37-1)),MIN(CB$38,$E122),$P$20))-SUM($BF122:CA122))</f>
        <v>0</v>
      </c>
      <c r="CC122" s="446">
        <f>IF($E122=0,0,IF(MIN(CC$38,$E122)&lt;MAX($P$34*($B122+$I$38-1),IF(AND($L$37=0,$P$34=0),"",$L$37-1)),0,YEARFRAC(MAX($P$34*($B122+$I$38-1),IF(AND($L$37=0,$P$34=0),"",$L$37-1)),MIN(CC$38,$E122),$P$20))-SUM($BF122:CB122))</f>
        <v>0</v>
      </c>
      <c r="CD122" s="446">
        <f>IF($E122=0,0,IF(MIN(CD$38,$E122)&lt;MAX($P$34*($B122+$I$38-1),IF(AND($L$37=0,$P$34=0),"",$L$37-1)),0,YEARFRAC(MAX($P$34*($B122+$I$38-1),IF(AND($L$37=0,$P$34=0),"",$L$37-1)),MIN(CD$38,$E122),$P$20))-SUM($BF122:CC122))</f>
        <v>0</v>
      </c>
      <c r="CE122" s="446">
        <f>IF($E122=0,0,IF(MIN(CE$38,$E122)&lt;MAX($P$34*($B122+$I$38-1),IF(AND($L$37=0,$P$34=0),"",$L$37-1)),0,YEARFRAC(MAX($P$34*($B122+$I$38-1),IF(AND($L$37=0,$P$34=0),"",$L$37-1)),MIN(CE$38,$E122),$P$20))-SUM($BF122:CD122))</f>
        <v>0</v>
      </c>
      <c r="CF122" s="446">
        <f>IF($E122=0,0,IF(MIN(CF$38,$E122)&lt;MAX($P$34*($B122+$I$38-1),IF(AND($L$37=0,$P$34=0),"",$L$37-1)),0,YEARFRAC(MAX($P$34*($B122+$I$38-1),IF(AND($L$37=0,$P$34=0),"",$L$37-1)),MIN(CF$38,$E122),$P$20))-SUM($BF122:CE122))</f>
        <v>0</v>
      </c>
      <c r="CG122" s="446">
        <f>IF($E122=0,0,IF(MIN(CG$38,$E122)&lt;MAX($P$34*($B122+$I$38-1),IF(AND($L$37=0,$P$34=0),"",$L$37-1)),0,YEARFRAC(MAX($P$34*($B122+$I$38-1),IF(AND($L$37=0,$P$34=0),"",$L$37-1)),MIN(CG$38,$E122),$P$20))-SUM($BF122:CF122))</f>
        <v>0</v>
      </c>
      <c r="CH122" s="446">
        <f>IF($E122=0,0,IF(MIN(CH$38,$E122)&lt;MAX($P$34*($B122+$I$38-1),IF(AND($L$37=0,$P$34=0),"",$L$37-1)),0,YEARFRAC(MAX($P$34*($B122+$I$38-1),IF(AND($L$37=0,$P$34=0),"",$L$37-1)),MIN(CH$38,$E122),$P$20))-SUM($BF122:CG122))</f>
        <v>0</v>
      </c>
      <c r="CI122" s="446">
        <f>IF($E122=0,0,IF(MIN(CI$38,$E122)&lt;MAX($P$34*($B122+$I$38-1),IF(AND($L$37=0,$P$34=0),"",$L$37-1)),0,YEARFRAC(MAX($P$34*($B122+$I$38-1),IF(AND($L$37=0,$P$34=0),"",$L$37-1)),MIN(CI$38,$E122),$P$20))-SUM($BF122:CH122))</f>
        <v>0</v>
      </c>
      <c r="CJ122" s="446">
        <f>IF($E122=0,0,IF(MIN(CJ$38,$E122)&lt;MAX($P$34*($B122+$I$38-1),IF(AND($L$37=0,$P$34=0),"",$L$37-1)),0,YEARFRAC(MAX($P$34*($B122+$I$38-1),IF(AND($L$37=0,$P$34=0),"",$L$37-1)),MIN(CJ$38,$E122),$P$20))-SUM($BF122:CI122))</f>
        <v>0</v>
      </c>
      <c r="CK122" s="446">
        <f>IF($E122=0,0,IF(MIN(CK$38,$E122)&lt;MAX($P$34*($B122+$I$38-1),IF(AND($L$37=0,$P$34=0),"",$L$37-1)),0,YEARFRAC(MAX($P$34*($B122+$I$38-1),IF(AND($L$37=0,$P$34=0),"",$L$37-1)),MIN(CK$38,$E122),$P$20))-SUM($BF122:CJ122))</f>
        <v>0</v>
      </c>
      <c r="CL122" s="446">
        <f>IF($E122=0,0,IF(MIN(CL$38,$E122)&lt;MAX($P$34*($B122+$I$38-1),IF(AND($L$37=0,$P$34=0),"",$L$37-1)),0,YEARFRAC(MAX($P$34*($B122+$I$38-1),IF(AND($L$37=0,$P$34=0),"",$L$37-1)),MIN(CL$38,$E122),$P$20))-SUM($BF122:CK122))</f>
        <v>0</v>
      </c>
      <c r="CM122" s="446">
        <f>IF($E122=0,0,IF(MIN(CM$38,$E122)&lt;MAX($P$34*($B122+$I$38-1),IF(AND($L$37=0,$P$34=0),"",$L$37-1)),0,YEARFRAC(MAX($P$34*($B122+$I$38-1),IF(AND($L$37=0,$P$34=0),"",$L$37-1)),MIN(CM$38,$E122),$P$20))-SUM($BF122:CL122))</f>
        <v>0</v>
      </c>
      <c r="CN122" s="446">
        <f>IF($E122=0,0,IF(MIN(CN$38,$E122)&lt;MAX($P$34*($B122+$I$38-1),IF(AND($L$37=0,$P$34=0),"",$L$37-1)),0,YEARFRAC(MAX($P$34*($B122+$I$38-1),IF(AND($L$37=0,$P$34=0),"",$L$37-1)),MIN(CN$38,$E122),$P$20))-SUM($BF122:CM122))</f>
        <v>0</v>
      </c>
      <c r="CO122" s="446">
        <f>IF($E122=0,0,IF(MIN(CO$38,$E122)&lt;MAX($P$34*($B122+$I$38-1),IF(AND($L$37=0,$P$34=0),"",$L$37-1)),0,YEARFRAC(MAX($P$34*($B122+$I$38-1),IF(AND($L$37=0,$P$34=0),"",$L$37-1)),MIN(CO$38,$E122),$P$20))-SUM($BF122:CN122))</f>
        <v>0</v>
      </c>
      <c r="CP122" s="446">
        <f>IF($E122=0,0,IF(MIN(CP$38,$E122)&lt;MAX($P$34*($B122+$I$38-1),IF(AND($L$37=0,$P$34=0),"",$L$37-1)),0,YEARFRAC(MAX($P$34*($B122+$I$38-1),IF(AND($L$37=0,$P$34=0),"",$L$37-1)),MIN(CP$38,$E122),$P$20))-SUM($BF122:CO122))</f>
        <v>0</v>
      </c>
      <c r="CQ122" s="446">
        <f>IF($E122=0,0,IF(MIN(CQ$38,$E122)&lt;MAX($P$34*($B122+$I$38-1),IF(AND($L$37=0,$P$34=0),"",$L$37-1)),0,YEARFRAC(MAX($P$34*($B122+$I$38-1),IF(AND($L$37=0,$P$34=0),"",$L$37-1)),MIN(CQ$38,$E122),$P$20))-SUM($BF122:CP122))</f>
        <v>0</v>
      </c>
    </row>
    <row r="123" spans="1:95" s="446" customFormat="1" ht="11.25" hidden="1" customHeight="1" x14ac:dyDescent="0.2">
      <c r="A123" s="152"/>
      <c r="B123" s="153" t="str">
        <f t="shared" si="26"/>
        <v/>
      </c>
      <c r="C123" s="29" t="str">
        <f>IF(B123="","",IF($L$35="SELIC - TRIBUTOS",VLOOKUP(DATE(YEAR($D$19),MONTH($D$19)-1,1),ÍNDICES!$A:$DE,HLOOKUP($BL$25,ÍNDICES!$B$3:$T$4,2)+11)-VLOOKUP(B123,ÍNDICES!$A:$DE,HLOOKUP($BL$25,ÍNDICES!$B$3:$T$4,2)+11)+1%,IF(C$38=$W$26,$J$35,IF(ISERROR(IF(B123&gt;$D$19,1,VLOOKUP(DATE(YEAR(B123),MONTH(B123)+IF($C$35=$S$23,1,0),1),ÍNDICES!$A:$DE,$Z$35+1))),"",IF(B123&gt;$D$19,1,VLOOKUP(DATE(YEAR(B123),MONTH(B123)+IF($C$35=$S$23,1,0),1),ÍNDICES!$A:$DE,$Z$35+1))))))</f>
        <v/>
      </c>
      <c r="D123" s="154" t="str">
        <f>IF(ISERROR(IF(OR($D$38=$Y$27,$B123=""),"",VLOOKUP(B123,ÍNDICES!A:DE,AF$35+1))),"",IF(OR($D$38=$Y$27,$B123=""),"",VLOOKUP(B123,ÍNDICES!A:DE,AF$35+1)))</f>
        <v/>
      </c>
      <c r="E123" s="153"/>
      <c r="F123" s="29" t="str">
        <f>IF(E123="","",IF($L$35="SELIC - TRIBUTOS",VLOOKUP(DATE(YEAR($D$19),MONTH($D$19)-1,1),ÍNDICES!$A:$DE,HLOOKUP($BL$25,ÍNDICES!$B$3:$T$4,2)+11)-VLOOKUP(E123,ÍNDICES!$A:$DE,HLOOKUP($BL$25,ÍNDICES!$B$3:$T$4,2)+11)+1%,IF(F$38=$W$26,$J$35,IF(ISERROR(IF(E123&gt;$D$19,1,VLOOKUP(DATE(YEAR(E123),MONTH(E123)+IF($C$35=$S$23,1,0),1),ÍNDICES!$A:$DE,$Z$35+1))),"",IF(E123&gt;$D$19,1,VLOOKUP(DATE(YEAR(E123),MONTH(E123)+IF($C$35=$S$23,1,0),1),ÍNDICES!$A:$DE,$Z$35+1))))))</f>
        <v/>
      </c>
      <c r="G123" s="155"/>
      <c r="H123" s="156" t="str">
        <f t="shared" si="22"/>
        <v/>
      </c>
      <c r="I123" s="29" t="str">
        <f t="shared" si="16"/>
        <v/>
      </c>
      <c r="J123" s="5">
        <f t="shared" si="17"/>
        <v>0</v>
      </c>
      <c r="K123" s="20">
        <f t="shared" ca="1" si="18"/>
        <v>0</v>
      </c>
      <c r="L123" s="5">
        <f t="shared" ca="1" si="19"/>
        <v>0</v>
      </c>
      <c r="M123" s="64">
        <f t="shared" si="23"/>
        <v>0</v>
      </c>
      <c r="N123" s="61">
        <f t="shared" ca="1" si="24"/>
        <v>0</v>
      </c>
      <c r="O123" s="5">
        <f t="shared" ca="1" si="25"/>
        <v>0</v>
      </c>
      <c r="P123" s="446" t="e">
        <f t="shared" si="20"/>
        <v>#VALUE!</v>
      </c>
      <c r="Q123" s="446" t="e">
        <f>IF(OR($B123="",MIN(Q$38,$D$19)&lt;MAX($P$34*($B123+IF($R$17="Distrato",$I$38-1,0)),IF(AND($L$37=0,$P$34=0),"",$L$37-1),IF($R$17="Distrato",$E123,0))),0,YEARFRAC(MAX($P$34*($B123+IF($R$17="Distrato",$I$38-1,0)),IF(AND($L$37=0,$P$34=0),"",$L$37-1),IF($R$17="Distrato",$E123,0)),MIN(Q$38,$D$19),$P$20))-SUM($P123:P123)</f>
        <v>#VALUE!</v>
      </c>
      <c r="R123" s="446" t="e">
        <f>IF(OR($B123="",MIN(R$38,$D$19)&lt;MAX($P$34*($B123+IF($R$17="Distrato",$I$38-1,0)),IF(AND($L$37=0,$P$34=0),"",$L$37-1),IF($R$17="Distrato",$E123,0))),0,YEARFRAC(MAX($P$34*($B123+IF($R$17="Distrato",$I$38-1,0)),IF(AND($L$37=0,$P$34=0),"",$L$37-1),IF($R$17="Distrato",$E123,0)),MIN(R$38,$D$19),$P$20))-SUM($P123:Q123)</f>
        <v>#VALUE!</v>
      </c>
      <c r="S123" s="446" t="e">
        <f>IF(OR($B123="",MIN(S$38,$D$19)&lt;MAX($P$34*($B123+IF($R$17="Distrato",$I$38-1,0)),IF(AND($L$37=0,$P$34=0),"",$L$37-1),IF($R$17="Distrato",$E123,0))),0,YEARFRAC(MAX($P$34*($B123+IF($R$17="Distrato",$I$38-1,0)),IF(AND($L$37=0,$P$34=0),"",$L$37-1),IF($R$17="Distrato",$E123,0)),MIN(S$38,$D$19),$P$20))-SUM($P123:R123)</f>
        <v>#VALUE!</v>
      </c>
      <c r="T123" s="446" t="e">
        <f>IF(OR($B123="",MIN(T$38,$D$19)&lt;MAX($P$34*($B123+IF($R$17="Distrato",$I$38-1,0)),IF(AND($L$37=0,$P$34=0),"",$L$37-1),IF($R$17="Distrato",$E123,0))),0,YEARFRAC(MAX($P$34*($B123+IF($R$17="Distrato",$I$38-1,0)),IF(AND($L$37=0,$P$34=0),"",$L$37-1),IF($R$17="Distrato",$E123,0)),MIN(T$38,$D$19),$P$20))-SUM($P123:S123)</f>
        <v>#VALUE!</v>
      </c>
      <c r="U123" s="446" t="e">
        <f>IF(OR($B123="",MIN(U$38,$D$19)&lt;MAX($P$34*($B123+IF($R$17="Distrato",$I$38-1,0)),IF(AND($L$37=0,$P$34=0),"",$L$37-1),IF($R$17="Distrato",$E123,0))),0,YEARFRAC(MAX($P$34*($B123+IF($R$17="Distrato",$I$38-1,0)),IF(AND($L$37=0,$P$34=0),"",$L$37-1),IF($R$17="Distrato",$E123,0)),MIN(U$38,$D$19),$P$20))-SUM($P123:T123)</f>
        <v>#VALUE!</v>
      </c>
      <c r="V123" s="446" t="e">
        <f>IF(OR($B123="",MIN(V$38,$D$19)&lt;MAX($P$34*($B123+IF($R$17="Distrato",$I$38-1,0)),IF(AND($L$37=0,$P$34=0),"",$L$37-1),IF($R$17="Distrato",$E123,0))),0,YEARFRAC(MAX($P$34*($B123+IF($R$17="Distrato",$I$38-1,0)),IF(AND($L$37=0,$P$34=0),"",$L$37-1),IF($R$17="Distrato",$E123,0)),MIN(V$38,$D$19),$P$20))-SUM($P123:U123)</f>
        <v>#VALUE!</v>
      </c>
      <c r="W123" s="446" t="e">
        <f>IF(OR($B123="",MIN(W$38,$D$19)&lt;MAX($P$34*($B123+IF($R$17="Distrato",$I$38-1,0)),IF(AND($L$37=0,$P$34=0),"",$L$37-1),IF($R$17="Distrato",$E123,0))),0,YEARFRAC(MAX($P$34*($B123+IF($R$17="Distrato",$I$38-1,0)),IF(AND($L$37=0,$P$34=0),"",$L$37-1),IF($R$17="Distrato",$E123,0)),MIN(W$38,$D$19),$P$20))-SUM($P123:V123)</f>
        <v>#VALUE!</v>
      </c>
      <c r="X123" s="446" t="e">
        <f>IF(OR($B123="",MIN(X$38,$D$19)&lt;MAX($P$34*($B123+IF($R$17="Distrato",$I$38-1,0)),IF(AND($L$37=0,$P$34=0),"",$L$37-1),IF($R$17="Distrato",$E123,0))),0,YEARFRAC(MAX($P$34*($B123+IF($R$17="Distrato",$I$38-1,0)),IF(AND($L$37=0,$P$34=0),"",$L$37-1),IF($R$17="Distrato",$E123,0)),MIN(X$38,$D$19),$P$20))-SUM($P123:W123)</f>
        <v>#VALUE!</v>
      </c>
      <c r="Y123" s="446" t="e">
        <f>IF(OR($B123="",MIN(Y$38,$D$19)&lt;MAX($P$34*($B123+IF($R$17="Distrato",$I$38-1,0)),IF(AND($L$37=0,$P$34=0),"",$L$37-1),IF($R$17="Distrato",$E123,0))),0,YEARFRAC(MAX($P$34*($B123+IF($R$17="Distrato",$I$38-1,0)),IF(AND($L$37=0,$P$34=0),"",$L$37-1),IF($R$17="Distrato",$E123,0)),MIN(Y$38,$D$19),$P$20))-SUM($P123:X123)</f>
        <v>#VALUE!</v>
      </c>
      <c r="Z123" s="446" t="e">
        <f>IF(OR($B123="",MIN(Z$38,$D$19)&lt;MAX($P$34*($B123+IF($R$17="Distrato",$I$38-1,0)),IF(AND($L$37=0,$P$34=0),"",$L$37-1),IF($R$17="Distrato",$E123,0))),0,YEARFRAC(MAX($P$34*($B123+IF($R$17="Distrato",$I$38-1,0)),IF(AND($L$37=0,$P$34=0),"",$L$37-1),IF($R$17="Distrato",$E123,0)),MIN(Z$38,$D$19),$P$20))-SUM($P123:Y123)</f>
        <v>#VALUE!</v>
      </c>
      <c r="AA123" s="446" t="e">
        <f>IF(OR($B123="",MIN(AA$38,$D$19)&lt;MAX($P$34*($B123+IF($R$17="Distrato",$I$38-1,0)),IF(AND($L$37=0,$P$34=0),"",$L$37-1),IF($R$17="Distrato",$E123,0))),0,YEARFRAC(MAX($P$34*($B123+IF($R$17="Distrato",$I$38-1,0)),IF(AND($L$37=0,$P$34=0),"",$L$37-1),IF($R$17="Distrato",$E123,0)),MIN(AA$38,$D$19),$P$20))-SUM($P123:Z123)</f>
        <v>#VALUE!</v>
      </c>
      <c r="AB123" s="446" t="e">
        <f>IF(OR($B123="",MIN(AB$38,$D$19)&lt;MAX($P$34*($B123+IF($R$17="Distrato",$I$38-1,0)),IF(AND($L$37=0,$P$34=0),"",$L$37-1),IF($R$17="Distrato",$E123,0))),0,YEARFRAC(MAX($P$34*($B123+IF($R$17="Distrato",$I$38-1,0)),IF(AND($L$37=0,$P$34=0),"",$L$37-1),IF($R$17="Distrato",$E123,0)),MIN(AB$38,$D$19),$P$20))-SUM($P123:AA123)</f>
        <v>#VALUE!</v>
      </c>
      <c r="AC123" s="446" t="e">
        <f>IF(OR($B123="",MIN(AC$38,$D$19)&lt;MAX($P$34*($B123+IF($R$17="Distrato",$I$38-1,0)),IF(AND($L$37=0,$P$34=0),"",$L$37-1),IF($R$17="Distrato",$E123,0))),0,YEARFRAC(MAX($P$34*($B123+IF($R$17="Distrato",$I$38-1,0)),IF(AND($L$37=0,$P$34=0),"",$L$37-1),IF($R$17="Distrato",$E123,0)),MIN(AC$38,$D$19),$P$20))-SUM($P123:AB123)</f>
        <v>#VALUE!</v>
      </c>
      <c r="AD123" s="446" t="e">
        <f>IF(OR($B123="",MIN(AD$38,$D$19)&lt;MAX($P$34*($B123+IF($R$17="Distrato",$I$38-1,0)),IF(AND($L$37=0,$P$34=0),"",$L$37-1),IF($R$17="Distrato",$E123,0))),0,YEARFRAC(MAX($P$34*($B123+IF($R$17="Distrato",$I$38-1,0)),IF(AND($L$37=0,$P$34=0),"",$L$37-1),IF($R$17="Distrato",$E123,0)),MIN(AD$38,$D$19),$P$20))-SUM($P123:AC123)</f>
        <v>#VALUE!</v>
      </c>
      <c r="AE123" s="446" t="e">
        <f>IF(OR($B123="",MIN(AE$38,$D$19)&lt;MAX($P$34*($B123+IF($R$17="Distrato",$I$38-1,0)),IF(AND($L$37=0,$P$34=0),"",$L$37-1),IF($R$17="Distrato",$E123,0))),0,YEARFRAC(MAX($P$34*($B123+IF($R$17="Distrato",$I$38-1,0)),IF(AND($L$37=0,$P$34=0),"",$L$37-1),IF($R$17="Distrato",$E123,0)),MIN(AE$38,$D$19),$P$20))-SUM($P123:AD123)</f>
        <v>#VALUE!</v>
      </c>
      <c r="AF123" s="446" t="e">
        <f>IF(OR($B123="",MIN(AF$38,$D$19)&lt;MAX($P$34*($B123+IF($R$17="Distrato",$I$38-1,0)),IF(AND($L$37=0,$P$34=0),"",$L$37-1),IF($R$17="Distrato",$E123,0))),0,YEARFRAC(MAX($P$34*($B123+IF($R$17="Distrato",$I$38-1,0)),IF(AND($L$37=0,$P$34=0),"",$L$37-1),IF($R$17="Distrato",$E123,0)),MIN(AF$38,$D$19),$P$20))-SUM($P123:AE123)</f>
        <v>#VALUE!</v>
      </c>
      <c r="AG123" s="446" t="e">
        <f>IF(OR($B123="",MIN(AG$38,$D$19)&lt;MAX($P$34*($B123+IF($R$17="Distrato",$I$38-1,0)),IF(AND($L$37=0,$P$34=0),"",$L$37-1),IF($R$17="Distrato",$E123,0))),0,YEARFRAC(MAX($P$34*($B123+IF($R$17="Distrato",$I$38-1,0)),IF(AND($L$37=0,$P$34=0),"",$L$37-1),IF($R$17="Distrato",$E123,0)),MIN(AG$38,$D$19),$P$20))-SUM($P123:AF123)</f>
        <v>#VALUE!</v>
      </c>
      <c r="AH123" s="446" t="e">
        <f>IF(OR($B123="",MIN(AH$38,$D$19)&lt;MAX($P$34*($B123+IF($R$17="Distrato",$I$38-1,0)),IF(AND($L$37=0,$P$34=0),"",$L$37-1),IF($R$17="Distrato",$E123,0))),0,YEARFRAC(MAX($P$34*($B123+IF($R$17="Distrato",$I$38-1,0)),IF(AND($L$37=0,$P$34=0),"",$L$37-1),IF($R$17="Distrato",$E123,0)),MIN(AH$38,$D$19),$P$20))-SUM($P123:AG123)</f>
        <v>#VALUE!</v>
      </c>
      <c r="AI123" s="446" t="e">
        <f>IF(OR($B123="",MIN(AI$38,$D$19)&lt;MAX($P$34*($B123+IF($R$17="Distrato",$I$38-1,0)),IF(AND($L$37=0,$P$34=0),"",$L$37-1),IF($R$17="Distrato",$E123,0))),0,YEARFRAC(MAX($P$34*($B123+IF($R$17="Distrato",$I$38-1,0)),IF(AND($L$37=0,$P$34=0),"",$L$37-1),IF($R$17="Distrato",$E123,0)),MIN(AI$38,$D$19),$P$20))-SUM($P123:AH123)</f>
        <v>#VALUE!</v>
      </c>
      <c r="AJ123" s="446" t="e">
        <f>IF(OR($B123="",MIN(AJ$38,$D$19)&lt;MAX($P$34*($B123+IF($R$17="Distrato",$I$38-1,0)),IF(AND($L$37=0,$P$34=0),"",$L$37-1),IF($R$17="Distrato",$E123,0))),0,YEARFRAC(MAX($P$34*($B123+IF($R$17="Distrato",$I$38-1,0)),IF(AND($L$37=0,$P$34=0),"",$L$37-1),IF($R$17="Distrato",$E123,0)),MIN(AJ$38,$D$19),$P$20))-SUM($P123:AI123)</f>
        <v>#VALUE!</v>
      </c>
      <c r="AK123" s="446" t="e">
        <f>IF(OR($B123="",MIN(AK$38,$D$19)&lt;MAX($P$34*($B123+IF($R$17="Distrato",$I$38-1,0)),IF(AND($L$37=0,$P$34=0),"",$L$37-1),IF($R$17="Distrato",$E123,0))),0,YEARFRAC(MAX($P$34*($B123+IF($R$17="Distrato",$I$38-1,0)),IF(AND($L$37=0,$P$34=0),"",$L$37-1),IF($R$17="Distrato",$E123,0)),MIN(AK$38,$D$19),$P$20))-SUM($P123:AJ123)</f>
        <v>#VALUE!</v>
      </c>
      <c r="AL123" s="446" t="e">
        <f>IF(OR($B123="",MIN(AL$38,$D$19)&lt;MAX($P$34*($B123+IF($R$17="Distrato",$I$38-1,0)),IF(AND($L$37=0,$P$34=0),"",$L$37-1),IF($R$17="Distrato",$E123,0))),0,YEARFRAC(MAX($P$34*($B123+IF($R$17="Distrato",$I$38-1,0)),IF(AND($L$37=0,$P$34=0),"",$L$37-1),IF($R$17="Distrato",$E123,0)),MIN(AL$38,$D$19),$P$20))-SUM($P123:AK123)</f>
        <v>#VALUE!</v>
      </c>
      <c r="AM123" s="446" t="e">
        <f>IF(OR($B123="",MIN(AM$38,$D$19)&lt;MAX($P$34*($B123+IF($R$17="Distrato",$I$38-1,0)),IF(AND($L$37=0,$P$34=0),"",$L$37-1),IF($R$17="Distrato",$E123,0))),0,YEARFRAC(MAX($P$34*($B123+IF($R$17="Distrato",$I$38-1,0)),IF(AND($L$37=0,$P$34=0),"",$L$37-1),IF($R$17="Distrato",$E123,0)),MIN(AM$38,$D$19),$P$20))-SUM($P123:AL123)</f>
        <v>#VALUE!</v>
      </c>
      <c r="AN123" s="446" t="e">
        <f>IF(OR($B123="",MIN(AN$38,$D$19)&lt;MAX($P$34*($B123+IF($R$17="Distrato",$I$38-1,0)),IF(AND($L$37=0,$P$34=0),"",$L$37-1),IF($R$17="Distrato",$E123,0))),0,YEARFRAC(MAX($P$34*($B123+IF($R$17="Distrato",$I$38-1,0)),IF(AND($L$37=0,$P$34=0),"",$L$37-1),IF($R$17="Distrato",$E123,0)),MIN(AN$38,$D$19),$P$20))-SUM($P123:AM123)</f>
        <v>#VALUE!</v>
      </c>
      <c r="AO123" s="446" t="e">
        <f>IF(OR($B123="",MIN(AO$38,$D$19)&lt;MAX($P$34*($B123+IF($R$17="Distrato",$I$38-1,0)),IF(AND($L$37=0,$P$34=0),"",$L$37-1),IF($R$17="Distrato",$E123,0))),0,YEARFRAC(MAX($P$34*($B123+IF($R$17="Distrato",$I$38-1,0)),IF(AND($L$37=0,$P$34=0),"",$L$37-1),IF($R$17="Distrato",$E123,0)),MIN(AO$38,$D$19),$P$20))-SUM($P123:AN123)</f>
        <v>#VALUE!</v>
      </c>
      <c r="AP123" s="446" t="e">
        <f>IF(OR($B123="",MIN(AP$38,$D$19)&lt;MAX($P$34*($B123+IF($R$17="Distrato",$I$38-1,0)),IF(AND($L$37=0,$P$34=0),"",$L$37-1),IF($R$17="Distrato",$E123,0))),0,YEARFRAC(MAX($P$34*($B123+IF($R$17="Distrato",$I$38-1,0)),IF(AND($L$37=0,$P$34=0),"",$L$37-1),IF($R$17="Distrato",$E123,0)),MIN(AP$38,$D$19),$P$20))-SUM($P123:AO123)</f>
        <v>#VALUE!</v>
      </c>
      <c r="AQ123" s="446" t="e">
        <f>IF(OR($B123="",MIN(AQ$38,$D$19)&lt;MAX($P$34*($B123+IF($R$17="Distrato",$I$38-1,0)),IF(AND($L$37=0,$P$34=0),"",$L$37-1),IF($R$17="Distrato",$E123,0))),0,YEARFRAC(MAX($P$34*($B123+IF($R$17="Distrato",$I$38-1,0)),IF(AND($L$37=0,$P$34=0),"",$L$37-1),IF($R$17="Distrato",$E123,0)),MIN(AQ$38,$D$19),$P$20))-SUM($P123:AP123)</f>
        <v>#VALUE!</v>
      </c>
      <c r="AR123" s="446" t="e">
        <f>IF(OR($B123="",MIN(AR$38,$D$19)&lt;MAX($P$34*($B123+IF($R$17="Distrato",$I$38-1,0)),IF(AND($L$37=0,$P$34=0),"",$L$37-1),IF($R$17="Distrato",$E123,0))),0,YEARFRAC(MAX($P$34*($B123+IF($R$17="Distrato",$I$38-1,0)),IF(AND($L$37=0,$P$34=0),"",$L$37-1),IF($R$17="Distrato",$E123,0)),MIN(AR$38,$D$19),$P$20))-SUM($P123:AQ123)</f>
        <v>#VALUE!</v>
      </c>
      <c r="AS123" s="446" t="e">
        <f>IF(OR($B123="",MIN(AS$38,$D$19)&lt;MAX($P$34*($B123+IF($R$17="Distrato",$I$38-1,0)),IF(AND($L$37=0,$P$34=0),"",$L$37-1),IF($R$17="Distrato",$E123,0))),0,YEARFRAC(MAX($P$34*($B123+IF($R$17="Distrato",$I$38-1,0)),IF(AND($L$37=0,$P$34=0),"",$L$37-1),IF($R$17="Distrato",$E123,0)),MIN(AS$38,$D$19),$P$20))-SUM($P123:AR123)</f>
        <v>#VALUE!</v>
      </c>
      <c r="AT123" s="446" t="e">
        <f>IF(OR($B123="",MIN(AT$38,$D$19)&lt;MAX($P$34*($B123+IF($R$17="Distrato",$I$38-1,0)),IF(AND($L$37=0,$P$34=0),"",$L$37-1),IF($R$17="Distrato",$E123,0))),0,YEARFRAC(MAX($P$34*($B123+IF($R$17="Distrato",$I$38-1,0)),IF(AND($L$37=0,$P$34=0),"",$L$37-1),IF($R$17="Distrato",$E123,0)),MIN(AT$38,$D$19),$P$20))-SUM($P123:AS123)</f>
        <v>#VALUE!</v>
      </c>
      <c r="AU123" s="446" t="e">
        <f>IF(OR($B123="",MIN(AU$38,$D$19)&lt;MAX($P$34*($B123+IF($R$17="Distrato",$I$38-1,0)),IF(AND($L$37=0,$P$34=0),"",$L$37-1),IF($R$17="Distrato",$E123,0))),0,YEARFRAC(MAX($P$34*($B123+IF($R$17="Distrato",$I$38-1,0)),IF(AND($L$37=0,$P$34=0),"",$L$37-1),IF($R$17="Distrato",$E123,0)),MIN(AU$38,$D$19),$P$20))-SUM($P123:AT123)</f>
        <v>#VALUE!</v>
      </c>
      <c r="AV123" s="446" t="e">
        <f>IF(OR($B123="",MIN(AV$38,$D$19)&lt;MAX($P$34*($B123+IF($R$17="Distrato",$I$38-1,0)),IF(AND($L$37=0,$P$34=0),"",$L$37-1),IF($R$17="Distrato",$E123,0))),0,YEARFRAC(MAX($P$34*($B123+IF($R$17="Distrato",$I$38-1,0)),IF(AND($L$37=0,$P$34=0),"",$L$37-1),IF($R$17="Distrato",$E123,0)),MIN(AV$38,$D$19),$P$20))-SUM($P123:AU123)</f>
        <v>#VALUE!</v>
      </c>
      <c r="AW123" s="446" t="e">
        <f>IF(OR($B123="",MIN(AW$38,$D$19)&lt;MAX($P$34*($B123+IF($R$17="Distrato",$I$38-1,0)),IF(AND($L$37=0,$P$34=0),"",$L$37-1),IF($R$17="Distrato",$E123,0))),0,YEARFRAC(MAX($P$34*($B123+IF($R$17="Distrato",$I$38-1,0)),IF(AND($L$37=0,$P$34=0),"",$L$37-1),IF($R$17="Distrato",$E123,0)),MIN(AW$38,$D$19),$P$20))-SUM($P123:AV123)</f>
        <v>#VALUE!</v>
      </c>
      <c r="AX123" s="446" t="e">
        <f>IF(OR($B123="",MIN(AX$38,$D$19)&lt;MAX($P$34*($B123+IF($R$17="Distrato",$I$38-1,0)),IF(AND($L$37=0,$P$34=0),"",$L$37-1),IF($R$17="Distrato",$E123,0))),0,YEARFRAC(MAX($P$34*($B123+IF($R$17="Distrato",$I$38-1,0)),IF(AND($L$37=0,$P$34=0),"",$L$37-1),IF($R$17="Distrato",$E123,0)),MIN(AX$38,$D$19),$P$20))-SUM($P123:AW123)</f>
        <v>#VALUE!</v>
      </c>
      <c r="AY123" s="446" t="e">
        <f>IF(OR($B123="",MIN(AY$38,$D$19)&lt;MAX($P$34*($B123+IF($R$17="Distrato",$I$38-1,0)),IF(AND($L$37=0,$P$34=0),"",$L$37-1),IF($R$17="Distrato",$E123,0))),0,YEARFRAC(MAX($P$34*($B123+IF($R$17="Distrato",$I$38-1,0)),IF(AND($L$37=0,$P$34=0),"",$L$37-1),IF($R$17="Distrato",$E123,0)),MIN(AY$38,$D$19),$P$20))-SUM($P123:AX123)</f>
        <v>#VALUE!</v>
      </c>
      <c r="AZ123" s="446" t="e">
        <f>IF(OR($B123="",MIN(AZ$38,$D$19)&lt;MAX($P$34*($B123+IF($R$17="Distrato",$I$38-1,0)),IF(AND($L$37=0,$P$34=0),"",$L$37-1),IF($R$17="Distrato",$E123,0))),0,YEARFRAC(MAX($P$34*($B123+IF($R$17="Distrato",$I$38-1,0)),IF(AND($L$37=0,$P$34=0),"",$L$37-1),IF($R$17="Distrato",$E123,0)),MIN(AZ$38,$D$19),$P$20))-SUM($P123:AY123)</f>
        <v>#VALUE!</v>
      </c>
      <c r="BA123" s="446" t="e">
        <f>IF(OR($B123="",MIN(BA$38,$D$19)&lt;MAX($P$34*($B123+IF($R$17="Distrato",$I$38-1,0)),IF(AND($L$37=0,$P$34=0),"",$L$37-1),IF($R$17="Distrato",$E123,0))),0,YEARFRAC(MAX($P$34*($B123+IF($R$17="Distrato",$I$38-1,0)),IF(AND($L$37=0,$P$34=0),"",$L$37-1),IF($R$17="Distrato",$E123,0)),MIN(BA$38,$D$19),$P$20))-SUM($P123:AZ123)</f>
        <v>#VALUE!</v>
      </c>
      <c r="BB123" s="447"/>
      <c r="BF123" s="446">
        <f t="shared" si="21"/>
        <v>0</v>
      </c>
      <c r="BG123" s="446">
        <f>IF($E123=0,0,IF(MIN(BG$38,$E123)&lt;MAX($P$34*($B123+$I$38-1),IF(AND($L$37=0,$P$34=0),"",$L$37-1)),0,YEARFRAC(MAX($P$34*($B123+$I$38-1),IF(AND($L$37=0,$P$34=0),"",$L$37-1)),MIN(BG$38,$E123),$P$20))-SUM($BF123:BF123))</f>
        <v>0</v>
      </c>
      <c r="BH123" s="446">
        <f>IF($E123=0,0,IF(MIN(BH$38,$E123)&lt;MAX($P$34*($B123+$I$38-1),IF(AND($L$37=0,$P$34=0),"",$L$37-1)),0,YEARFRAC(MAX($P$34*($B123+$I$38-1),IF(AND($L$37=0,$P$34=0),"",$L$37-1)),MIN(BH$38,$E123),$P$20))-SUM($BF123:BG123))</f>
        <v>0</v>
      </c>
      <c r="BI123" s="446">
        <f>IF($E123=0,0,IF(MIN(BI$38,$E123)&lt;MAX($P$34*($B123+$I$38-1),IF(AND($L$37=0,$P$34=0),"",$L$37-1)),0,YEARFRAC(MAX($P$34*($B123+$I$38-1),IF(AND($L$37=0,$P$34=0),"",$L$37-1)),MIN(BI$38,$E123),$P$20))-SUM($BF123:BH123))</f>
        <v>0</v>
      </c>
      <c r="BJ123" s="446">
        <f>IF($E123=0,0,IF(MIN(BJ$38,$E123)&lt;MAX($P$34*($B123+$I$38-1),IF(AND($L$37=0,$P$34=0),"",$L$37-1)),0,YEARFRAC(MAX($P$34*($B123+$I$38-1),IF(AND($L$37=0,$P$34=0),"",$L$37-1)),MIN(BJ$38,$E123),$P$20))-SUM($BF123:BI123))</f>
        <v>0</v>
      </c>
      <c r="BK123" s="446">
        <f>IF($E123=0,0,IF(MIN(BK$38,$E123)&lt;MAX($P$34*($B123+$I$38-1),IF(AND($L$37=0,$P$34=0),"",$L$37-1)),0,YEARFRAC(MAX($P$34*($B123+$I$38-1),IF(AND($L$37=0,$P$34=0),"",$L$37-1)),MIN(BK$38,$E123),$P$20))-SUM($BF123:BJ123))</f>
        <v>0</v>
      </c>
      <c r="BL123" s="446">
        <f>IF($E123=0,0,IF(MIN(BL$38,$E123)&lt;MAX($P$34*($B123+$I$38-1),IF(AND($L$37=0,$P$34=0),"",$L$37-1)),0,YEARFRAC(MAX($P$34*($B123+$I$38-1),IF(AND($L$37=0,$P$34=0),"",$L$37-1)),MIN(BL$38,$E123),$P$20))-SUM($BF123:BK123))</f>
        <v>0</v>
      </c>
      <c r="BM123" s="446">
        <f>IF($E123=0,0,IF(MIN(BM$38,$E123)&lt;MAX($P$34*($B123+$I$38-1),IF(AND($L$37=0,$P$34=0),"",$L$37-1)),0,YEARFRAC(MAX($P$34*($B123+$I$38-1),IF(AND($L$37=0,$P$34=0),"",$L$37-1)),MIN(BM$38,$E123),$P$20))-SUM($BF123:BL123))</f>
        <v>0</v>
      </c>
      <c r="BN123" s="446">
        <f>IF($E123=0,0,IF(MIN(BN$38,$E123)&lt;MAX($P$34*($B123+$I$38-1),IF(AND($L$37=0,$P$34=0),"",$L$37-1)),0,YEARFRAC(MAX($P$34*($B123+$I$38-1),IF(AND($L$37=0,$P$34=0),"",$L$37-1)),MIN(BN$38,$E123),$P$20))-SUM($BF123:BM123))</f>
        <v>0</v>
      </c>
      <c r="BO123" s="446">
        <f>IF($E123=0,0,IF(MIN(BO$38,$E123)&lt;MAX($P$34*($B123+$I$38-1),IF(AND($L$37=0,$P$34=0),"",$L$37-1)),0,YEARFRAC(MAX($P$34*($B123+$I$38-1),IF(AND($L$37=0,$P$34=0),"",$L$37-1)),MIN(BO$38,$E123),$P$20))-SUM($BF123:BN123))</f>
        <v>0</v>
      </c>
      <c r="BP123" s="446">
        <f>IF($E123=0,0,IF(MIN(BP$38,$E123)&lt;MAX($P$34*($B123+$I$38-1),IF(AND($L$37=0,$P$34=0),"",$L$37-1)),0,YEARFRAC(MAX($P$34*($B123+$I$38-1),IF(AND($L$37=0,$P$34=0),"",$L$37-1)),MIN(BP$38,$E123),$P$20))-SUM($BF123:BO123))</f>
        <v>0</v>
      </c>
      <c r="BQ123" s="446">
        <f>IF($E123=0,0,IF(MIN(BQ$38,$E123)&lt;MAX($P$34*($B123+$I$38-1),IF(AND($L$37=0,$P$34=0),"",$L$37-1)),0,YEARFRAC(MAX($P$34*($B123+$I$38-1),IF(AND($L$37=0,$P$34=0),"",$L$37-1)),MIN(BQ$38,$E123),$P$20))-SUM($BF123:BP123))</f>
        <v>0</v>
      </c>
      <c r="BR123" s="446">
        <f>IF($E123=0,0,IF(MIN(BR$38,$E123)&lt;MAX($P$34*($B123+$I$38-1),IF(AND($L$37=0,$P$34=0),"",$L$37-1)),0,YEARFRAC(MAX($P$34*($B123+$I$38-1),IF(AND($L$37=0,$P$34=0),"",$L$37-1)),MIN(BR$38,$E123),$P$20))-SUM($BF123:BQ123))</f>
        <v>0</v>
      </c>
      <c r="BS123" s="446">
        <f>IF($E123=0,0,IF(MIN(BS$38,$E123)&lt;MAX($P$34*($B123+$I$38-1),IF(AND($L$37=0,$P$34=0),"",$L$37-1)),0,YEARFRAC(MAX($P$34*($B123+$I$38-1),IF(AND($L$37=0,$P$34=0),"",$L$37-1)),MIN(BS$38,$E123),$P$20))-SUM($BF123:BR123))</f>
        <v>0</v>
      </c>
      <c r="BT123" s="446">
        <f>IF($E123=0,0,IF(MIN(BT$38,$E123)&lt;MAX($P$34*($B123+$I$38-1),IF(AND($L$37=0,$P$34=0),"",$L$37-1)),0,YEARFRAC(MAX($P$34*($B123+$I$38-1),IF(AND($L$37=0,$P$34=0),"",$L$37-1)),MIN(BT$38,$E123),$P$20))-SUM($BF123:BS123))</f>
        <v>0</v>
      </c>
      <c r="BU123" s="446">
        <f>IF($E123=0,0,IF(MIN(BU$38,$E123)&lt;MAX($P$34*($B123+$I$38-1),IF(AND($L$37=0,$P$34=0),"",$L$37-1)),0,YEARFRAC(MAX($P$34*($B123+$I$38-1),IF(AND($L$37=0,$P$34=0),"",$L$37-1)),MIN(BU$38,$E123),$P$20))-SUM($BF123:BT123))</f>
        <v>0</v>
      </c>
      <c r="BV123" s="446">
        <f>IF($E123=0,0,IF(MIN(BV$38,$E123)&lt;MAX($P$34*($B123+$I$38-1),IF(AND($L$37=0,$P$34=0),"",$L$37-1)),0,YEARFRAC(MAX($P$34*($B123+$I$38-1),IF(AND($L$37=0,$P$34=0),"",$L$37-1)),MIN(BV$38,$E123),$P$20))-SUM($BF123:BU123))</f>
        <v>0</v>
      </c>
      <c r="BW123" s="446">
        <f>IF($E123=0,0,IF(MIN(BW$38,$E123)&lt;MAX($P$34*($B123+$I$38-1),IF(AND($L$37=0,$P$34=0),"",$L$37-1)),0,YEARFRAC(MAX($P$34*($B123+$I$38-1),IF(AND($L$37=0,$P$34=0),"",$L$37-1)),MIN(BW$38,$E123),$P$20))-SUM($BF123:BV123))</f>
        <v>0</v>
      </c>
      <c r="BX123" s="446">
        <f>IF($E123=0,0,IF(MIN(BX$38,$E123)&lt;MAX($P$34*($B123+$I$38-1),IF(AND($L$37=0,$P$34=0),"",$L$37-1)),0,YEARFRAC(MAX($P$34*($B123+$I$38-1),IF(AND($L$37=0,$P$34=0),"",$L$37-1)),MIN(BX$38,$E123),$P$20))-SUM($BF123:BW123))</f>
        <v>0</v>
      </c>
      <c r="BY123" s="446">
        <f>IF($E123=0,0,IF(MIN(BY$38,$E123)&lt;MAX($P$34*($B123+$I$38-1),IF(AND($L$37=0,$P$34=0),"",$L$37-1)),0,YEARFRAC(MAX($P$34*($B123+$I$38-1),IF(AND($L$37=0,$P$34=0),"",$L$37-1)),MIN(BY$38,$E123),$P$20))-SUM($BF123:BX123))</f>
        <v>0</v>
      </c>
      <c r="BZ123" s="446">
        <f>IF($E123=0,0,IF(MIN(BZ$38,$E123)&lt;MAX($P$34*($B123+$I$38-1),IF(AND($L$37=0,$P$34=0),"",$L$37-1)),0,YEARFRAC(MAX($P$34*($B123+$I$38-1),IF(AND($L$37=0,$P$34=0),"",$L$37-1)),MIN(BZ$38,$E123),$P$20))-SUM($BF123:BY123))</f>
        <v>0</v>
      </c>
      <c r="CA123" s="446">
        <f>IF($E123=0,0,IF(MIN(CA$38,$E123)&lt;MAX($P$34*($B123+$I$38-1),IF(AND($L$37=0,$P$34=0),"",$L$37-1)),0,YEARFRAC(MAX($P$34*($B123+$I$38-1),IF(AND($L$37=0,$P$34=0),"",$L$37-1)),MIN(CA$38,$E123),$P$20))-SUM($BF123:BZ123))</f>
        <v>0</v>
      </c>
      <c r="CB123" s="446">
        <f>IF($E123=0,0,IF(MIN(CB$38,$E123)&lt;MAX($P$34*($B123+$I$38-1),IF(AND($L$37=0,$P$34=0),"",$L$37-1)),0,YEARFRAC(MAX($P$34*($B123+$I$38-1),IF(AND($L$37=0,$P$34=0),"",$L$37-1)),MIN(CB$38,$E123),$P$20))-SUM($BF123:CA123))</f>
        <v>0</v>
      </c>
      <c r="CC123" s="446">
        <f>IF($E123=0,0,IF(MIN(CC$38,$E123)&lt;MAX($P$34*($B123+$I$38-1),IF(AND($L$37=0,$P$34=0),"",$L$37-1)),0,YEARFRAC(MAX($P$34*($B123+$I$38-1),IF(AND($L$37=0,$P$34=0),"",$L$37-1)),MIN(CC$38,$E123),$P$20))-SUM($BF123:CB123))</f>
        <v>0</v>
      </c>
      <c r="CD123" s="446">
        <f>IF($E123=0,0,IF(MIN(CD$38,$E123)&lt;MAX($P$34*($B123+$I$38-1),IF(AND($L$37=0,$P$34=0),"",$L$37-1)),0,YEARFRAC(MAX($P$34*($B123+$I$38-1),IF(AND($L$37=0,$P$34=0),"",$L$37-1)),MIN(CD$38,$E123),$P$20))-SUM($BF123:CC123))</f>
        <v>0</v>
      </c>
      <c r="CE123" s="446">
        <f>IF($E123=0,0,IF(MIN(CE$38,$E123)&lt;MAX($P$34*($B123+$I$38-1),IF(AND($L$37=0,$P$34=0),"",$L$37-1)),0,YEARFRAC(MAX($P$34*($B123+$I$38-1),IF(AND($L$37=0,$P$34=0),"",$L$37-1)),MIN(CE$38,$E123),$P$20))-SUM($BF123:CD123))</f>
        <v>0</v>
      </c>
      <c r="CF123" s="446">
        <f>IF($E123=0,0,IF(MIN(CF$38,$E123)&lt;MAX($P$34*($B123+$I$38-1),IF(AND($L$37=0,$P$34=0),"",$L$37-1)),0,YEARFRAC(MAX($P$34*($B123+$I$38-1),IF(AND($L$37=0,$P$34=0),"",$L$37-1)),MIN(CF$38,$E123),$P$20))-SUM($BF123:CE123))</f>
        <v>0</v>
      </c>
      <c r="CG123" s="446">
        <f>IF($E123=0,0,IF(MIN(CG$38,$E123)&lt;MAX($P$34*($B123+$I$38-1),IF(AND($L$37=0,$P$34=0),"",$L$37-1)),0,YEARFRAC(MAX($P$34*($B123+$I$38-1),IF(AND($L$37=0,$P$34=0),"",$L$37-1)),MIN(CG$38,$E123),$P$20))-SUM($BF123:CF123))</f>
        <v>0</v>
      </c>
      <c r="CH123" s="446">
        <f>IF($E123=0,0,IF(MIN(CH$38,$E123)&lt;MAX($P$34*($B123+$I$38-1),IF(AND($L$37=0,$P$34=0),"",$L$37-1)),0,YEARFRAC(MAX($P$34*($B123+$I$38-1),IF(AND($L$37=0,$P$34=0),"",$L$37-1)),MIN(CH$38,$E123),$P$20))-SUM($BF123:CG123))</f>
        <v>0</v>
      </c>
      <c r="CI123" s="446">
        <f>IF($E123=0,0,IF(MIN(CI$38,$E123)&lt;MAX($P$34*($B123+$I$38-1),IF(AND($L$37=0,$P$34=0),"",$L$37-1)),0,YEARFRAC(MAX($P$34*($B123+$I$38-1),IF(AND($L$37=0,$P$34=0),"",$L$37-1)),MIN(CI$38,$E123),$P$20))-SUM($BF123:CH123))</f>
        <v>0</v>
      </c>
      <c r="CJ123" s="446">
        <f>IF($E123=0,0,IF(MIN(CJ$38,$E123)&lt;MAX($P$34*($B123+$I$38-1),IF(AND($L$37=0,$P$34=0),"",$L$37-1)),0,YEARFRAC(MAX($P$34*($B123+$I$38-1),IF(AND($L$37=0,$P$34=0),"",$L$37-1)),MIN(CJ$38,$E123),$P$20))-SUM($BF123:CI123))</f>
        <v>0</v>
      </c>
      <c r="CK123" s="446">
        <f>IF($E123=0,0,IF(MIN(CK$38,$E123)&lt;MAX($P$34*($B123+$I$38-1),IF(AND($L$37=0,$P$34=0),"",$L$37-1)),0,YEARFRAC(MAX($P$34*($B123+$I$38-1),IF(AND($L$37=0,$P$34=0),"",$L$37-1)),MIN(CK$38,$E123),$P$20))-SUM($BF123:CJ123))</f>
        <v>0</v>
      </c>
      <c r="CL123" s="446">
        <f>IF($E123=0,0,IF(MIN(CL$38,$E123)&lt;MAX($P$34*($B123+$I$38-1),IF(AND($L$37=0,$P$34=0),"",$L$37-1)),0,YEARFRAC(MAX($P$34*($B123+$I$38-1),IF(AND($L$37=0,$P$34=0),"",$L$37-1)),MIN(CL$38,$E123),$P$20))-SUM($BF123:CK123))</f>
        <v>0</v>
      </c>
      <c r="CM123" s="446">
        <f>IF($E123=0,0,IF(MIN(CM$38,$E123)&lt;MAX($P$34*($B123+$I$38-1),IF(AND($L$37=0,$P$34=0),"",$L$37-1)),0,YEARFRAC(MAX($P$34*($B123+$I$38-1),IF(AND($L$37=0,$P$34=0),"",$L$37-1)),MIN(CM$38,$E123),$P$20))-SUM($BF123:CL123))</f>
        <v>0</v>
      </c>
      <c r="CN123" s="446">
        <f>IF($E123=0,0,IF(MIN(CN$38,$E123)&lt;MAX($P$34*($B123+$I$38-1),IF(AND($L$37=0,$P$34=0),"",$L$37-1)),0,YEARFRAC(MAX($P$34*($B123+$I$38-1),IF(AND($L$37=0,$P$34=0),"",$L$37-1)),MIN(CN$38,$E123),$P$20))-SUM($BF123:CM123))</f>
        <v>0</v>
      </c>
      <c r="CO123" s="446">
        <f>IF($E123=0,0,IF(MIN(CO$38,$E123)&lt;MAX($P$34*($B123+$I$38-1),IF(AND($L$37=0,$P$34=0),"",$L$37-1)),0,YEARFRAC(MAX($P$34*($B123+$I$38-1),IF(AND($L$37=0,$P$34=0),"",$L$37-1)),MIN(CO$38,$E123),$P$20))-SUM($BF123:CN123))</f>
        <v>0</v>
      </c>
      <c r="CP123" s="446">
        <f>IF($E123=0,0,IF(MIN(CP$38,$E123)&lt;MAX($P$34*($B123+$I$38-1),IF(AND($L$37=0,$P$34=0),"",$L$37-1)),0,YEARFRAC(MAX($P$34*($B123+$I$38-1),IF(AND($L$37=0,$P$34=0),"",$L$37-1)),MIN(CP$38,$E123),$P$20))-SUM($BF123:CO123))</f>
        <v>0</v>
      </c>
      <c r="CQ123" s="446">
        <f>IF($E123=0,0,IF(MIN(CQ$38,$E123)&lt;MAX($P$34*($B123+$I$38-1),IF(AND($L$37=0,$P$34=0),"",$L$37-1)),0,YEARFRAC(MAX($P$34*($B123+$I$38-1),IF(AND($L$37=0,$P$34=0),"",$L$37-1)),MIN(CQ$38,$E123),$P$20))-SUM($BF123:CP123))</f>
        <v>0</v>
      </c>
    </row>
    <row r="124" spans="1:95" s="446" customFormat="1" ht="11.25" hidden="1" customHeight="1" x14ac:dyDescent="0.2">
      <c r="A124" s="152"/>
      <c r="B124" s="153" t="str">
        <f t="shared" si="26"/>
        <v/>
      </c>
      <c r="C124" s="29" t="str">
        <f>IF(B124="","",IF($L$35="SELIC - TRIBUTOS",VLOOKUP(DATE(YEAR($D$19),MONTH($D$19)-1,1),ÍNDICES!$A:$DE,HLOOKUP($BL$25,ÍNDICES!$B$3:$T$4,2)+11)-VLOOKUP(B124,ÍNDICES!$A:$DE,HLOOKUP($BL$25,ÍNDICES!$B$3:$T$4,2)+11)+1%,IF(C$38=$W$26,$J$35,IF(ISERROR(IF(B124&gt;$D$19,1,VLOOKUP(DATE(YEAR(B124),MONTH(B124)+IF($C$35=$S$23,1,0),1),ÍNDICES!$A:$DE,$Z$35+1))),"",IF(B124&gt;$D$19,1,VLOOKUP(DATE(YEAR(B124),MONTH(B124)+IF($C$35=$S$23,1,0),1),ÍNDICES!$A:$DE,$Z$35+1))))))</f>
        <v/>
      </c>
      <c r="D124" s="154" t="str">
        <f>IF(ISERROR(IF(OR($D$38=$Y$27,$B124=""),"",VLOOKUP(B124,ÍNDICES!A:DE,AF$35+1))),"",IF(OR($D$38=$Y$27,$B124=""),"",VLOOKUP(B124,ÍNDICES!A:DE,AF$35+1)))</f>
        <v/>
      </c>
      <c r="E124" s="153"/>
      <c r="F124" s="29" t="str">
        <f>IF(E124="","",IF($L$35="SELIC - TRIBUTOS",VLOOKUP(DATE(YEAR($D$19),MONTH($D$19)-1,1),ÍNDICES!$A:$DE,HLOOKUP($BL$25,ÍNDICES!$B$3:$T$4,2)+11)-VLOOKUP(E124,ÍNDICES!$A:$DE,HLOOKUP($BL$25,ÍNDICES!$B$3:$T$4,2)+11)+1%,IF(F$38=$W$26,$J$35,IF(ISERROR(IF(E124&gt;$D$19,1,VLOOKUP(DATE(YEAR(E124),MONTH(E124)+IF($C$35=$S$23,1,0),1),ÍNDICES!$A:$DE,$Z$35+1))),"",IF(E124&gt;$D$19,1,VLOOKUP(DATE(YEAR(E124),MONTH(E124)+IF($C$35=$S$23,1,0),1),ÍNDICES!$A:$DE,$Z$35+1))))))</f>
        <v/>
      </c>
      <c r="G124" s="155"/>
      <c r="H124" s="156" t="str">
        <f t="shared" si="22"/>
        <v/>
      </c>
      <c r="I124" s="29" t="str">
        <f t="shared" si="16"/>
        <v/>
      </c>
      <c r="J124" s="5">
        <f t="shared" si="17"/>
        <v>0</v>
      </c>
      <c r="K124" s="20">
        <f t="shared" ca="1" si="18"/>
        <v>0</v>
      </c>
      <c r="L124" s="5">
        <f t="shared" ca="1" si="19"/>
        <v>0</v>
      </c>
      <c r="M124" s="64">
        <f t="shared" si="23"/>
        <v>0</v>
      </c>
      <c r="N124" s="61">
        <f t="shared" ca="1" si="24"/>
        <v>0</v>
      </c>
      <c r="O124" s="5">
        <f t="shared" ca="1" si="25"/>
        <v>0</v>
      </c>
      <c r="P124" s="446" t="e">
        <f t="shared" si="20"/>
        <v>#VALUE!</v>
      </c>
      <c r="Q124" s="446" t="e">
        <f>IF(OR($B124="",MIN(Q$38,$D$19)&lt;MAX($P$34*($B124+IF($R$17="Distrato",$I$38-1,0)),IF(AND($L$37=0,$P$34=0),"",$L$37-1),IF($R$17="Distrato",$E124,0))),0,YEARFRAC(MAX($P$34*($B124+IF($R$17="Distrato",$I$38-1,0)),IF(AND($L$37=0,$P$34=0),"",$L$37-1),IF($R$17="Distrato",$E124,0)),MIN(Q$38,$D$19),$P$20))-SUM($P124:P124)</f>
        <v>#VALUE!</v>
      </c>
      <c r="R124" s="446" t="e">
        <f>IF(OR($B124="",MIN(R$38,$D$19)&lt;MAX($P$34*($B124+IF($R$17="Distrato",$I$38-1,0)),IF(AND($L$37=0,$P$34=0),"",$L$37-1),IF($R$17="Distrato",$E124,0))),0,YEARFRAC(MAX($P$34*($B124+IF($R$17="Distrato",$I$38-1,0)),IF(AND($L$37=0,$P$34=0),"",$L$37-1),IF($R$17="Distrato",$E124,0)),MIN(R$38,$D$19),$P$20))-SUM($P124:Q124)</f>
        <v>#VALUE!</v>
      </c>
      <c r="S124" s="446" t="e">
        <f>IF(OR($B124="",MIN(S$38,$D$19)&lt;MAX($P$34*($B124+IF($R$17="Distrato",$I$38-1,0)),IF(AND($L$37=0,$P$34=0),"",$L$37-1),IF($R$17="Distrato",$E124,0))),0,YEARFRAC(MAX($P$34*($B124+IF($R$17="Distrato",$I$38-1,0)),IF(AND($L$37=0,$P$34=0),"",$L$37-1),IF($R$17="Distrato",$E124,0)),MIN(S$38,$D$19),$P$20))-SUM($P124:R124)</f>
        <v>#VALUE!</v>
      </c>
      <c r="T124" s="446" t="e">
        <f>IF(OR($B124="",MIN(T$38,$D$19)&lt;MAX($P$34*($B124+IF($R$17="Distrato",$I$38-1,0)),IF(AND($L$37=0,$P$34=0),"",$L$37-1),IF($R$17="Distrato",$E124,0))),0,YEARFRAC(MAX($P$34*($B124+IF($R$17="Distrato",$I$38-1,0)),IF(AND($L$37=0,$P$34=0),"",$L$37-1),IF($R$17="Distrato",$E124,0)),MIN(T$38,$D$19),$P$20))-SUM($P124:S124)</f>
        <v>#VALUE!</v>
      </c>
      <c r="U124" s="446" t="e">
        <f>IF(OR($B124="",MIN(U$38,$D$19)&lt;MAX($P$34*($B124+IF($R$17="Distrato",$I$38-1,0)),IF(AND($L$37=0,$P$34=0),"",$L$37-1),IF($R$17="Distrato",$E124,0))),0,YEARFRAC(MAX($P$34*($B124+IF($R$17="Distrato",$I$38-1,0)),IF(AND($L$37=0,$P$34=0),"",$L$37-1),IF($R$17="Distrato",$E124,0)),MIN(U$38,$D$19),$P$20))-SUM($P124:T124)</f>
        <v>#VALUE!</v>
      </c>
      <c r="V124" s="446" t="e">
        <f>IF(OR($B124="",MIN(V$38,$D$19)&lt;MAX($P$34*($B124+IF($R$17="Distrato",$I$38-1,0)),IF(AND($L$37=0,$P$34=0),"",$L$37-1),IF($R$17="Distrato",$E124,0))),0,YEARFRAC(MAX($P$34*($B124+IF($R$17="Distrato",$I$38-1,0)),IF(AND($L$37=0,$P$34=0),"",$L$37-1),IF($R$17="Distrato",$E124,0)),MIN(V$38,$D$19),$P$20))-SUM($P124:U124)</f>
        <v>#VALUE!</v>
      </c>
      <c r="W124" s="446" t="e">
        <f>IF(OR($B124="",MIN(W$38,$D$19)&lt;MAX($P$34*($B124+IF($R$17="Distrato",$I$38-1,0)),IF(AND($L$37=0,$P$34=0),"",$L$37-1),IF($R$17="Distrato",$E124,0))),0,YEARFRAC(MAX($P$34*($B124+IF($R$17="Distrato",$I$38-1,0)),IF(AND($L$37=0,$P$34=0),"",$L$37-1),IF($R$17="Distrato",$E124,0)),MIN(W$38,$D$19),$P$20))-SUM($P124:V124)</f>
        <v>#VALUE!</v>
      </c>
      <c r="X124" s="446" t="e">
        <f>IF(OR($B124="",MIN(X$38,$D$19)&lt;MAX($P$34*($B124+IF($R$17="Distrato",$I$38-1,0)),IF(AND($L$37=0,$P$34=0),"",$L$37-1),IF($R$17="Distrato",$E124,0))),0,YEARFRAC(MAX($P$34*($B124+IF($R$17="Distrato",$I$38-1,0)),IF(AND($L$37=0,$P$34=0),"",$L$37-1),IF($R$17="Distrato",$E124,0)),MIN(X$38,$D$19),$P$20))-SUM($P124:W124)</f>
        <v>#VALUE!</v>
      </c>
      <c r="Y124" s="446" t="e">
        <f>IF(OR($B124="",MIN(Y$38,$D$19)&lt;MAX($P$34*($B124+IF($R$17="Distrato",$I$38-1,0)),IF(AND($L$37=0,$P$34=0),"",$L$37-1),IF($R$17="Distrato",$E124,0))),0,YEARFRAC(MAX($P$34*($B124+IF($R$17="Distrato",$I$38-1,0)),IF(AND($L$37=0,$P$34=0),"",$L$37-1),IF($R$17="Distrato",$E124,0)),MIN(Y$38,$D$19),$P$20))-SUM($P124:X124)</f>
        <v>#VALUE!</v>
      </c>
      <c r="Z124" s="446" t="e">
        <f>IF(OR($B124="",MIN(Z$38,$D$19)&lt;MAX($P$34*($B124+IF($R$17="Distrato",$I$38-1,0)),IF(AND($L$37=0,$P$34=0),"",$L$37-1),IF($R$17="Distrato",$E124,0))),0,YEARFRAC(MAX($P$34*($B124+IF($R$17="Distrato",$I$38-1,0)),IF(AND($L$37=0,$P$34=0),"",$L$37-1),IF($R$17="Distrato",$E124,0)),MIN(Z$38,$D$19),$P$20))-SUM($P124:Y124)</f>
        <v>#VALUE!</v>
      </c>
      <c r="AA124" s="446" t="e">
        <f>IF(OR($B124="",MIN(AA$38,$D$19)&lt;MAX($P$34*($B124+IF($R$17="Distrato",$I$38-1,0)),IF(AND($L$37=0,$P$34=0),"",$L$37-1),IF($R$17="Distrato",$E124,0))),0,YEARFRAC(MAX($P$34*($B124+IF($R$17="Distrato",$I$38-1,0)),IF(AND($L$37=0,$P$34=0),"",$L$37-1),IF($R$17="Distrato",$E124,0)),MIN(AA$38,$D$19),$P$20))-SUM($P124:Z124)</f>
        <v>#VALUE!</v>
      </c>
      <c r="AB124" s="446" t="e">
        <f>IF(OR($B124="",MIN(AB$38,$D$19)&lt;MAX($P$34*($B124+IF($R$17="Distrato",$I$38-1,0)),IF(AND($L$37=0,$P$34=0),"",$L$37-1),IF($R$17="Distrato",$E124,0))),0,YEARFRAC(MAX($P$34*($B124+IF($R$17="Distrato",$I$38-1,0)),IF(AND($L$37=0,$P$34=0),"",$L$37-1),IF($R$17="Distrato",$E124,0)),MIN(AB$38,$D$19),$P$20))-SUM($P124:AA124)</f>
        <v>#VALUE!</v>
      </c>
      <c r="AC124" s="446" t="e">
        <f>IF(OR($B124="",MIN(AC$38,$D$19)&lt;MAX($P$34*($B124+IF($R$17="Distrato",$I$38-1,0)),IF(AND($L$37=0,$P$34=0),"",$L$37-1),IF($R$17="Distrato",$E124,0))),0,YEARFRAC(MAX($P$34*($B124+IF($R$17="Distrato",$I$38-1,0)),IF(AND($L$37=0,$P$34=0),"",$L$37-1),IF($R$17="Distrato",$E124,0)),MIN(AC$38,$D$19),$P$20))-SUM($P124:AB124)</f>
        <v>#VALUE!</v>
      </c>
      <c r="AD124" s="446" t="e">
        <f>IF(OR($B124="",MIN(AD$38,$D$19)&lt;MAX($P$34*($B124+IF($R$17="Distrato",$I$38-1,0)),IF(AND($L$37=0,$P$34=0),"",$L$37-1),IF($R$17="Distrato",$E124,0))),0,YEARFRAC(MAX($P$34*($B124+IF($R$17="Distrato",$I$38-1,0)),IF(AND($L$37=0,$P$34=0),"",$L$37-1),IF($R$17="Distrato",$E124,0)),MIN(AD$38,$D$19),$P$20))-SUM($P124:AC124)</f>
        <v>#VALUE!</v>
      </c>
      <c r="AE124" s="446" t="e">
        <f>IF(OR($B124="",MIN(AE$38,$D$19)&lt;MAX($P$34*($B124+IF($R$17="Distrato",$I$38-1,0)),IF(AND($L$37=0,$P$34=0),"",$L$37-1),IF($R$17="Distrato",$E124,0))),0,YEARFRAC(MAX($P$34*($B124+IF($R$17="Distrato",$I$38-1,0)),IF(AND($L$37=0,$P$34=0),"",$L$37-1),IF($R$17="Distrato",$E124,0)),MIN(AE$38,$D$19),$P$20))-SUM($P124:AD124)</f>
        <v>#VALUE!</v>
      </c>
      <c r="AF124" s="446" t="e">
        <f>IF(OR($B124="",MIN(AF$38,$D$19)&lt;MAX($P$34*($B124+IF($R$17="Distrato",$I$38-1,0)),IF(AND($L$37=0,$P$34=0),"",$L$37-1),IF($R$17="Distrato",$E124,0))),0,YEARFRAC(MAX($P$34*($B124+IF($R$17="Distrato",$I$38-1,0)),IF(AND($L$37=0,$P$34=0),"",$L$37-1),IF($R$17="Distrato",$E124,0)),MIN(AF$38,$D$19),$P$20))-SUM($P124:AE124)</f>
        <v>#VALUE!</v>
      </c>
      <c r="AG124" s="446" t="e">
        <f>IF(OR($B124="",MIN(AG$38,$D$19)&lt;MAX($P$34*($B124+IF($R$17="Distrato",$I$38-1,0)),IF(AND($L$37=0,$P$34=0),"",$L$37-1),IF($R$17="Distrato",$E124,0))),0,YEARFRAC(MAX($P$34*($B124+IF($R$17="Distrato",$I$38-1,0)),IF(AND($L$37=0,$P$34=0),"",$L$37-1),IF($R$17="Distrato",$E124,0)),MIN(AG$38,$D$19),$P$20))-SUM($P124:AF124)</f>
        <v>#VALUE!</v>
      </c>
      <c r="AH124" s="446" t="e">
        <f>IF(OR($B124="",MIN(AH$38,$D$19)&lt;MAX($P$34*($B124+IF($R$17="Distrato",$I$38-1,0)),IF(AND($L$37=0,$P$34=0),"",$L$37-1),IF($R$17="Distrato",$E124,0))),0,YEARFRAC(MAX($P$34*($B124+IF($R$17="Distrato",$I$38-1,0)),IF(AND($L$37=0,$P$34=0),"",$L$37-1),IF($R$17="Distrato",$E124,0)),MIN(AH$38,$D$19),$P$20))-SUM($P124:AG124)</f>
        <v>#VALUE!</v>
      </c>
      <c r="AI124" s="446" t="e">
        <f>IF(OR($B124="",MIN(AI$38,$D$19)&lt;MAX($P$34*($B124+IF($R$17="Distrato",$I$38-1,0)),IF(AND($L$37=0,$P$34=0),"",$L$37-1),IF($R$17="Distrato",$E124,0))),0,YEARFRAC(MAX($P$34*($B124+IF($R$17="Distrato",$I$38-1,0)),IF(AND($L$37=0,$P$34=0),"",$L$37-1),IF($R$17="Distrato",$E124,0)),MIN(AI$38,$D$19),$P$20))-SUM($P124:AH124)</f>
        <v>#VALUE!</v>
      </c>
      <c r="AJ124" s="446" t="e">
        <f>IF(OR($B124="",MIN(AJ$38,$D$19)&lt;MAX($P$34*($B124+IF($R$17="Distrato",$I$38-1,0)),IF(AND($L$37=0,$P$34=0),"",$L$37-1),IF($R$17="Distrato",$E124,0))),0,YEARFRAC(MAX($P$34*($B124+IF($R$17="Distrato",$I$38-1,0)),IF(AND($L$37=0,$P$34=0),"",$L$37-1),IF($R$17="Distrato",$E124,0)),MIN(AJ$38,$D$19),$P$20))-SUM($P124:AI124)</f>
        <v>#VALUE!</v>
      </c>
      <c r="AK124" s="446" t="e">
        <f>IF(OR($B124="",MIN(AK$38,$D$19)&lt;MAX($P$34*($B124+IF($R$17="Distrato",$I$38-1,0)),IF(AND($L$37=0,$P$34=0),"",$L$37-1),IF($R$17="Distrato",$E124,0))),0,YEARFRAC(MAX($P$34*($B124+IF($R$17="Distrato",$I$38-1,0)),IF(AND($L$37=0,$P$34=0),"",$L$37-1),IF($R$17="Distrato",$E124,0)),MIN(AK$38,$D$19),$P$20))-SUM($P124:AJ124)</f>
        <v>#VALUE!</v>
      </c>
      <c r="AL124" s="446" t="e">
        <f>IF(OR($B124="",MIN(AL$38,$D$19)&lt;MAX($P$34*($B124+IF($R$17="Distrato",$I$38-1,0)),IF(AND($L$37=0,$P$34=0),"",$L$37-1),IF($R$17="Distrato",$E124,0))),0,YEARFRAC(MAX($P$34*($B124+IF($R$17="Distrato",$I$38-1,0)),IF(AND($L$37=0,$P$34=0),"",$L$37-1),IF($R$17="Distrato",$E124,0)),MIN(AL$38,$D$19),$P$20))-SUM($P124:AK124)</f>
        <v>#VALUE!</v>
      </c>
      <c r="AM124" s="446" t="e">
        <f>IF(OR($B124="",MIN(AM$38,$D$19)&lt;MAX($P$34*($B124+IF($R$17="Distrato",$I$38-1,0)),IF(AND($L$37=0,$P$34=0),"",$L$37-1),IF($R$17="Distrato",$E124,0))),0,YEARFRAC(MAX($P$34*($B124+IF($R$17="Distrato",$I$38-1,0)),IF(AND($L$37=0,$P$34=0),"",$L$37-1),IF($R$17="Distrato",$E124,0)),MIN(AM$38,$D$19),$P$20))-SUM($P124:AL124)</f>
        <v>#VALUE!</v>
      </c>
      <c r="AN124" s="446" t="e">
        <f>IF(OR($B124="",MIN(AN$38,$D$19)&lt;MAX($P$34*($B124+IF($R$17="Distrato",$I$38-1,0)),IF(AND($L$37=0,$P$34=0),"",$L$37-1),IF($R$17="Distrato",$E124,0))),0,YEARFRAC(MAX($P$34*($B124+IF($R$17="Distrato",$I$38-1,0)),IF(AND($L$37=0,$P$34=0),"",$L$37-1),IF($R$17="Distrato",$E124,0)),MIN(AN$38,$D$19),$P$20))-SUM($P124:AM124)</f>
        <v>#VALUE!</v>
      </c>
      <c r="AO124" s="446" t="e">
        <f>IF(OR($B124="",MIN(AO$38,$D$19)&lt;MAX($P$34*($B124+IF($R$17="Distrato",$I$38-1,0)),IF(AND($L$37=0,$P$34=0),"",$L$37-1),IF($R$17="Distrato",$E124,0))),0,YEARFRAC(MAX($P$34*($B124+IF($R$17="Distrato",$I$38-1,0)),IF(AND($L$37=0,$P$34=0),"",$L$37-1),IF($R$17="Distrato",$E124,0)),MIN(AO$38,$D$19),$P$20))-SUM($P124:AN124)</f>
        <v>#VALUE!</v>
      </c>
      <c r="AP124" s="446" t="e">
        <f>IF(OR($B124="",MIN(AP$38,$D$19)&lt;MAX($P$34*($B124+IF($R$17="Distrato",$I$38-1,0)),IF(AND($L$37=0,$P$34=0),"",$L$37-1),IF($R$17="Distrato",$E124,0))),0,YEARFRAC(MAX($P$34*($B124+IF($R$17="Distrato",$I$38-1,0)),IF(AND($L$37=0,$P$34=0),"",$L$37-1),IF($R$17="Distrato",$E124,0)),MIN(AP$38,$D$19),$P$20))-SUM($P124:AO124)</f>
        <v>#VALUE!</v>
      </c>
      <c r="AQ124" s="446" t="e">
        <f>IF(OR($B124="",MIN(AQ$38,$D$19)&lt;MAX($P$34*($B124+IF($R$17="Distrato",$I$38-1,0)),IF(AND($L$37=0,$P$34=0),"",$L$37-1),IF($R$17="Distrato",$E124,0))),0,YEARFRAC(MAX($P$34*($B124+IF($R$17="Distrato",$I$38-1,0)),IF(AND($L$37=0,$P$34=0),"",$L$37-1),IF($R$17="Distrato",$E124,0)),MIN(AQ$38,$D$19),$P$20))-SUM($P124:AP124)</f>
        <v>#VALUE!</v>
      </c>
      <c r="AR124" s="446" t="e">
        <f>IF(OR($B124="",MIN(AR$38,$D$19)&lt;MAX($P$34*($B124+IF($R$17="Distrato",$I$38-1,0)),IF(AND($L$37=0,$P$34=0),"",$L$37-1),IF($R$17="Distrato",$E124,0))),0,YEARFRAC(MAX($P$34*($B124+IF($R$17="Distrato",$I$38-1,0)),IF(AND($L$37=0,$P$34=0),"",$L$37-1),IF($R$17="Distrato",$E124,0)),MIN(AR$38,$D$19),$P$20))-SUM($P124:AQ124)</f>
        <v>#VALUE!</v>
      </c>
      <c r="AS124" s="446" t="e">
        <f>IF(OR($B124="",MIN(AS$38,$D$19)&lt;MAX($P$34*($B124+IF($R$17="Distrato",$I$38-1,0)),IF(AND($L$37=0,$P$34=0),"",$L$37-1),IF($R$17="Distrato",$E124,0))),0,YEARFRAC(MAX($P$34*($B124+IF($R$17="Distrato",$I$38-1,0)),IF(AND($L$37=0,$P$34=0),"",$L$37-1),IF($R$17="Distrato",$E124,0)),MIN(AS$38,$D$19),$P$20))-SUM($P124:AR124)</f>
        <v>#VALUE!</v>
      </c>
      <c r="AT124" s="446" t="e">
        <f>IF(OR($B124="",MIN(AT$38,$D$19)&lt;MAX($P$34*($B124+IF($R$17="Distrato",$I$38-1,0)),IF(AND($L$37=0,$P$34=0),"",$L$37-1),IF($R$17="Distrato",$E124,0))),0,YEARFRAC(MAX($P$34*($B124+IF($R$17="Distrato",$I$38-1,0)),IF(AND($L$37=0,$P$34=0),"",$L$37-1),IF($R$17="Distrato",$E124,0)),MIN(AT$38,$D$19),$P$20))-SUM($P124:AS124)</f>
        <v>#VALUE!</v>
      </c>
      <c r="AU124" s="446" t="e">
        <f>IF(OR($B124="",MIN(AU$38,$D$19)&lt;MAX($P$34*($B124+IF($R$17="Distrato",$I$38-1,0)),IF(AND($L$37=0,$P$34=0),"",$L$37-1),IF($R$17="Distrato",$E124,0))),0,YEARFRAC(MAX($P$34*($B124+IF($R$17="Distrato",$I$38-1,0)),IF(AND($L$37=0,$P$34=0),"",$L$37-1),IF($R$17="Distrato",$E124,0)),MIN(AU$38,$D$19),$P$20))-SUM($P124:AT124)</f>
        <v>#VALUE!</v>
      </c>
      <c r="AV124" s="446" t="e">
        <f>IF(OR($B124="",MIN(AV$38,$D$19)&lt;MAX($P$34*($B124+IF($R$17="Distrato",$I$38-1,0)),IF(AND($L$37=0,$P$34=0),"",$L$37-1),IF($R$17="Distrato",$E124,0))),0,YEARFRAC(MAX($P$34*($B124+IF($R$17="Distrato",$I$38-1,0)),IF(AND($L$37=0,$P$34=0),"",$L$37-1),IF($R$17="Distrato",$E124,0)),MIN(AV$38,$D$19),$P$20))-SUM($P124:AU124)</f>
        <v>#VALUE!</v>
      </c>
      <c r="AW124" s="446" t="e">
        <f>IF(OR($B124="",MIN(AW$38,$D$19)&lt;MAX($P$34*($B124+IF($R$17="Distrato",$I$38-1,0)),IF(AND($L$37=0,$P$34=0),"",$L$37-1),IF($R$17="Distrato",$E124,0))),0,YEARFRAC(MAX($P$34*($B124+IF($R$17="Distrato",$I$38-1,0)),IF(AND($L$37=0,$P$34=0),"",$L$37-1),IF($R$17="Distrato",$E124,0)),MIN(AW$38,$D$19),$P$20))-SUM($P124:AV124)</f>
        <v>#VALUE!</v>
      </c>
      <c r="AX124" s="446" t="e">
        <f>IF(OR($B124="",MIN(AX$38,$D$19)&lt;MAX($P$34*($B124+IF($R$17="Distrato",$I$38-1,0)),IF(AND($L$37=0,$P$34=0),"",$L$37-1),IF($R$17="Distrato",$E124,0))),0,YEARFRAC(MAX($P$34*($B124+IF($R$17="Distrato",$I$38-1,0)),IF(AND($L$37=0,$P$34=0),"",$L$37-1),IF($R$17="Distrato",$E124,0)),MIN(AX$38,$D$19),$P$20))-SUM($P124:AW124)</f>
        <v>#VALUE!</v>
      </c>
      <c r="AY124" s="446" t="e">
        <f>IF(OR($B124="",MIN(AY$38,$D$19)&lt;MAX($P$34*($B124+IF($R$17="Distrato",$I$38-1,0)),IF(AND($L$37=0,$P$34=0),"",$L$37-1),IF($R$17="Distrato",$E124,0))),0,YEARFRAC(MAX($P$34*($B124+IF($R$17="Distrato",$I$38-1,0)),IF(AND($L$37=0,$P$34=0),"",$L$37-1),IF($R$17="Distrato",$E124,0)),MIN(AY$38,$D$19),$P$20))-SUM($P124:AX124)</f>
        <v>#VALUE!</v>
      </c>
      <c r="AZ124" s="446" t="e">
        <f>IF(OR($B124="",MIN(AZ$38,$D$19)&lt;MAX($P$34*($B124+IF($R$17="Distrato",$I$38-1,0)),IF(AND($L$37=0,$P$34=0),"",$L$37-1),IF($R$17="Distrato",$E124,0))),0,YEARFRAC(MAX($P$34*($B124+IF($R$17="Distrato",$I$38-1,0)),IF(AND($L$37=0,$P$34=0),"",$L$37-1),IF($R$17="Distrato",$E124,0)),MIN(AZ$38,$D$19),$P$20))-SUM($P124:AY124)</f>
        <v>#VALUE!</v>
      </c>
      <c r="BA124" s="446" t="e">
        <f>IF(OR($B124="",MIN(BA$38,$D$19)&lt;MAX($P$34*($B124+IF($R$17="Distrato",$I$38-1,0)),IF(AND($L$37=0,$P$34=0),"",$L$37-1),IF($R$17="Distrato",$E124,0))),0,YEARFRAC(MAX($P$34*($B124+IF($R$17="Distrato",$I$38-1,0)),IF(AND($L$37=0,$P$34=0),"",$L$37-1),IF($R$17="Distrato",$E124,0)),MIN(BA$38,$D$19),$P$20))-SUM($P124:AZ124)</f>
        <v>#VALUE!</v>
      </c>
      <c r="BB124" s="447"/>
      <c r="BF124" s="446">
        <f t="shared" si="21"/>
        <v>0</v>
      </c>
      <c r="BG124" s="446">
        <f>IF($E124=0,0,IF(MIN(BG$38,$E124)&lt;MAX($P$34*($B124+$I$38-1),IF(AND($L$37=0,$P$34=0),"",$L$37-1)),0,YEARFRAC(MAX($P$34*($B124+$I$38-1),IF(AND($L$37=0,$P$34=0),"",$L$37-1)),MIN(BG$38,$E124),$P$20))-SUM($BF124:BF124))</f>
        <v>0</v>
      </c>
      <c r="BH124" s="446">
        <f>IF($E124=0,0,IF(MIN(BH$38,$E124)&lt;MAX($P$34*($B124+$I$38-1),IF(AND($L$37=0,$P$34=0),"",$L$37-1)),0,YEARFRAC(MAX($P$34*($B124+$I$38-1),IF(AND($L$37=0,$P$34=0),"",$L$37-1)),MIN(BH$38,$E124),$P$20))-SUM($BF124:BG124))</f>
        <v>0</v>
      </c>
      <c r="BI124" s="446">
        <f>IF($E124=0,0,IF(MIN(BI$38,$E124)&lt;MAX($P$34*($B124+$I$38-1),IF(AND($L$37=0,$P$34=0),"",$L$37-1)),0,YEARFRAC(MAX($P$34*($B124+$I$38-1),IF(AND($L$37=0,$P$34=0),"",$L$37-1)),MIN(BI$38,$E124),$P$20))-SUM($BF124:BH124))</f>
        <v>0</v>
      </c>
      <c r="BJ124" s="446">
        <f>IF($E124=0,0,IF(MIN(BJ$38,$E124)&lt;MAX($P$34*($B124+$I$38-1),IF(AND($L$37=0,$P$34=0),"",$L$37-1)),0,YEARFRAC(MAX($P$34*($B124+$I$38-1),IF(AND($L$37=0,$P$34=0),"",$L$37-1)),MIN(BJ$38,$E124),$P$20))-SUM($BF124:BI124))</f>
        <v>0</v>
      </c>
      <c r="BK124" s="446">
        <f>IF($E124=0,0,IF(MIN(BK$38,$E124)&lt;MAX($P$34*($B124+$I$38-1),IF(AND($L$37=0,$P$34=0),"",$L$37-1)),0,YEARFRAC(MAX($P$34*($B124+$I$38-1),IF(AND($L$37=0,$P$34=0),"",$L$37-1)),MIN(BK$38,$E124),$P$20))-SUM($BF124:BJ124))</f>
        <v>0</v>
      </c>
      <c r="BL124" s="446">
        <f>IF($E124=0,0,IF(MIN(BL$38,$E124)&lt;MAX($P$34*($B124+$I$38-1),IF(AND($L$37=0,$P$34=0),"",$L$37-1)),0,YEARFRAC(MAX($P$34*($B124+$I$38-1),IF(AND($L$37=0,$P$34=0),"",$L$37-1)),MIN(BL$38,$E124),$P$20))-SUM($BF124:BK124))</f>
        <v>0</v>
      </c>
      <c r="BM124" s="446">
        <f>IF($E124=0,0,IF(MIN(BM$38,$E124)&lt;MAX($P$34*($B124+$I$38-1),IF(AND($L$37=0,$P$34=0),"",$L$37-1)),0,YEARFRAC(MAX($P$34*($B124+$I$38-1),IF(AND($L$37=0,$P$34=0),"",$L$37-1)),MIN(BM$38,$E124),$P$20))-SUM($BF124:BL124))</f>
        <v>0</v>
      </c>
      <c r="BN124" s="446">
        <f>IF($E124=0,0,IF(MIN(BN$38,$E124)&lt;MAX($P$34*($B124+$I$38-1),IF(AND($L$37=0,$P$34=0),"",$L$37-1)),0,YEARFRAC(MAX($P$34*($B124+$I$38-1),IF(AND($L$37=0,$P$34=0),"",$L$37-1)),MIN(BN$38,$E124),$P$20))-SUM($BF124:BM124))</f>
        <v>0</v>
      </c>
      <c r="BO124" s="446">
        <f>IF($E124=0,0,IF(MIN(BO$38,$E124)&lt;MAX($P$34*($B124+$I$38-1),IF(AND($L$37=0,$P$34=0),"",$L$37-1)),0,YEARFRAC(MAX($P$34*($B124+$I$38-1),IF(AND($L$37=0,$P$34=0),"",$L$37-1)),MIN(BO$38,$E124),$P$20))-SUM($BF124:BN124))</f>
        <v>0</v>
      </c>
      <c r="BP124" s="446">
        <f>IF($E124=0,0,IF(MIN(BP$38,$E124)&lt;MAX($P$34*($B124+$I$38-1),IF(AND($L$37=0,$P$34=0),"",$L$37-1)),0,YEARFRAC(MAX($P$34*($B124+$I$38-1),IF(AND($L$37=0,$P$34=0),"",$L$37-1)),MIN(BP$38,$E124),$P$20))-SUM($BF124:BO124))</f>
        <v>0</v>
      </c>
      <c r="BQ124" s="446">
        <f>IF($E124=0,0,IF(MIN(BQ$38,$E124)&lt;MAX($P$34*($B124+$I$38-1),IF(AND($L$37=0,$P$34=0),"",$L$37-1)),0,YEARFRAC(MAX($P$34*($B124+$I$38-1),IF(AND($L$37=0,$P$34=0),"",$L$37-1)),MIN(BQ$38,$E124),$P$20))-SUM($BF124:BP124))</f>
        <v>0</v>
      </c>
      <c r="BR124" s="446">
        <f>IF($E124=0,0,IF(MIN(BR$38,$E124)&lt;MAX($P$34*($B124+$I$38-1),IF(AND($L$37=0,$P$34=0),"",$L$37-1)),0,YEARFRAC(MAX($P$34*($B124+$I$38-1),IF(AND($L$37=0,$P$34=0),"",$L$37-1)),MIN(BR$38,$E124),$P$20))-SUM($BF124:BQ124))</f>
        <v>0</v>
      </c>
      <c r="BS124" s="446">
        <f>IF($E124=0,0,IF(MIN(BS$38,$E124)&lt;MAX($P$34*($B124+$I$38-1),IF(AND($L$37=0,$P$34=0),"",$L$37-1)),0,YEARFRAC(MAX($P$34*($B124+$I$38-1),IF(AND($L$37=0,$P$34=0),"",$L$37-1)),MIN(BS$38,$E124),$P$20))-SUM($BF124:BR124))</f>
        <v>0</v>
      </c>
      <c r="BT124" s="446">
        <f>IF($E124=0,0,IF(MIN(BT$38,$E124)&lt;MAX($P$34*($B124+$I$38-1),IF(AND($L$37=0,$P$34=0),"",$L$37-1)),0,YEARFRAC(MAX($P$34*($B124+$I$38-1),IF(AND($L$37=0,$P$34=0),"",$L$37-1)),MIN(BT$38,$E124),$P$20))-SUM($BF124:BS124))</f>
        <v>0</v>
      </c>
      <c r="BU124" s="446">
        <f>IF($E124=0,0,IF(MIN(BU$38,$E124)&lt;MAX($P$34*($B124+$I$38-1),IF(AND($L$37=0,$P$34=0),"",$L$37-1)),0,YEARFRAC(MAX($P$34*($B124+$I$38-1),IF(AND($L$37=0,$P$34=0),"",$L$37-1)),MIN(BU$38,$E124),$P$20))-SUM($BF124:BT124))</f>
        <v>0</v>
      </c>
      <c r="BV124" s="446">
        <f>IF($E124=0,0,IF(MIN(BV$38,$E124)&lt;MAX($P$34*($B124+$I$38-1),IF(AND($L$37=0,$P$34=0),"",$L$37-1)),0,YEARFRAC(MAX($P$34*($B124+$I$38-1),IF(AND($L$37=0,$P$34=0),"",$L$37-1)),MIN(BV$38,$E124),$P$20))-SUM($BF124:BU124))</f>
        <v>0</v>
      </c>
      <c r="BW124" s="446">
        <f>IF($E124=0,0,IF(MIN(BW$38,$E124)&lt;MAX($P$34*($B124+$I$38-1),IF(AND($L$37=0,$P$34=0),"",$L$37-1)),0,YEARFRAC(MAX($P$34*($B124+$I$38-1),IF(AND($L$37=0,$P$34=0),"",$L$37-1)),MIN(BW$38,$E124),$P$20))-SUM($BF124:BV124))</f>
        <v>0</v>
      </c>
      <c r="BX124" s="446">
        <f>IF($E124=0,0,IF(MIN(BX$38,$E124)&lt;MAX($P$34*($B124+$I$38-1),IF(AND($L$37=0,$P$34=0),"",$L$37-1)),0,YEARFRAC(MAX($P$34*($B124+$I$38-1),IF(AND($L$37=0,$P$34=0),"",$L$37-1)),MIN(BX$38,$E124),$P$20))-SUM($BF124:BW124))</f>
        <v>0</v>
      </c>
      <c r="BY124" s="446">
        <f>IF($E124=0,0,IF(MIN(BY$38,$E124)&lt;MAX($P$34*($B124+$I$38-1),IF(AND($L$37=0,$P$34=0),"",$L$37-1)),0,YEARFRAC(MAX($P$34*($B124+$I$38-1),IF(AND($L$37=0,$P$34=0),"",$L$37-1)),MIN(BY$38,$E124),$P$20))-SUM($BF124:BX124))</f>
        <v>0</v>
      </c>
      <c r="BZ124" s="446">
        <f>IF($E124=0,0,IF(MIN(BZ$38,$E124)&lt;MAX($P$34*($B124+$I$38-1),IF(AND($L$37=0,$P$34=0),"",$L$37-1)),0,YEARFRAC(MAX($P$34*($B124+$I$38-1),IF(AND($L$37=0,$P$34=0),"",$L$37-1)),MIN(BZ$38,$E124),$P$20))-SUM($BF124:BY124))</f>
        <v>0</v>
      </c>
      <c r="CA124" s="446">
        <f>IF($E124=0,0,IF(MIN(CA$38,$E124)&lt;MAX($P$34*($B124+$I$38-1),IF(AND($L$37=0,$P$34=0),"",$L$37-1)),0,YEARFRAC(MAX($P$34*($B124+$I$38-1),IF(AND($L$37=0,$P$34=0),"",$L$37-1)),MIN(CA$38,$E124),$P$20))-SUM($BF124:BZ124))</f>
        <v>0</v>
      </c>
      <c r="CB124" s="446">
        <f>IF($E124=0,0,IF(MIN(CB$38,$E124)&lt;MAX($P$34*($B124+$I$38-1),IF(AND($L$37=0,$P$34=0),"",$L$37-1)),0,YEARFRAC(MAX($P$34*($B124+$I$38-1),IF(AND($L$37=0,$P$34=0),"",$L$37-1)),MIN(CB$38,$E124),$P$20))-SUM($BF124:CA124))</f>
        <v>0</v>
      </c>
      <c r="CC124" s="446">
        <f>IF($E124=0,0,IF(MIN(CC$38,$E124)&lt;MAX($P$34*($B124+$I$38-1),IF(AND($L$37=0,$P$34=0),"",$L$37-1)),0,YEARFRAC(MAX($P$34*($B124+$I$38-1),IF(AND($L$37=0,$P$34=0),"",$L$37-1)),MIN(CC$38,$E124),$P$20))-SUM($BF124:CB124))</f>
        <v>0</v>
      </c>
      <c r="CD124" s="446">
        <f>IF($E124=0,0,IF(MIN(CD$38,$E124)&lt;MAX($P$34*($B124+$I$38-1),IF(AND($L$37=0,$P$34=0),"",$L$37-1)),0,YEARFRAC(MAX($P$34*($B124+$I$38-1),IF(AND($L$37=0,$P$34=0),"",$L$37-1)),MIN(CD$38,$E124),$P$20))-SUM($BF124:CC124))</f>
        <v>0</v>
      </c>
      <c r="CE124" s="446">
        <f>IF($E124=0,0,IF(MIN(CE$38,$E124)&lt;MAX($P$34*($B124+$I$38-1),IF(AND($L$37=0,$P$34=0),"",$L$37-1)),0,YEARFRAC(MAX($P$34*($B124+$I$38-1),IF(AND($L$37=0,$P$34=0),"",$L$37-1)),MIN(CE$38,$E124),$P$20))-SUM($BF124:CD124))</f>
        <v>0</v>
      </c>
      <c r="CF124" s="446">
        <f>IF($E124=0,0,IF(MIN(CF$38,$E124)&lt;MAX($P$34*($B124+$I$38-1),IF(AND($L$37=0,$P$34=0),"",$L$37-1)),0,YEARFRAC(MAX($P$34*($B124+$I$38-1),IF(AND($L$37=0,$P$34=0),"",$L$37-1)),MIN(CF$38,$E124),$P$20))-SUM($BF124:CE124))</f>
        <v>0</v>
      </c>
      <c r="CG124" s="446">
        <f>IF($E124=0,0,IF(MIN(CG$38,$E124)&lt;MAX($P$34*($B124+$I$38-1),IF(AND($L$37=0,$P$34=0),"",$L$37-1)),0,YEARFRAC(MAX($P$34*($B124+$I$38-1),IF(AND($L$37=0,$P$34=0),"",$L$37-1)),MIN(CG$38,$E124),$P$20))-SUM($BF124:CF124))</f>
        <v>0</v>
      </c>
      <c r="CH124" s="446">
        <f>IF($E124=0,0,IF(MIN(CH$38,$E124)&lt;MAX($P$34*($B124+$I$38-1),IF(AND($L$37=0,$P$34=0),"",$L$37-1)),0,YEARFRAC(MAX($P$34*($B124+$I$38-1),IF(AND($L$37=0,$P$34=0),"",$L$37-1)),MIN(CH$38,$E124),$P$20))-SUM($BF124:CG124))</f>
        <v>0</v>
      </c>
      <c r="CI124" s="446">
        <f>IF($E124=0,0,IF(MIN(CI$38,$E124)&lt;MAX($P$34*($B124+$I$38-1),IF(AND($L$37=0,$P$34=0),"",$L$37-1)),0,YEARFRAC(MAX($P$34*($B124+$I$38-1),IF(AND($L$37=0,$P$34=0),"",$L$37-1)),MIN(CI$38,$E124),$P$20))-SUM($BF124:CH124))</f>
        <v>0</v>
      </c>
      <c r="CJ124" s="446">
        <f>IF($E124=0,0,IF(MIN(CJ$38,$E124)&lt;MAX($P$34*($B124+$I$38-1),IF(AND($L$37=0,$P$34=0),"",$L$37-1)),0,YEARFRAC(MAX($P$34*($B124+$I$38-1),IF(AND($L$37=0,$P$34=0),"",$L$37-1)),MIN(CJ$38,$E124),$P$20))-SUM($BF124:CI124))</f>
        <v>0</v>
      </c>
      <c r="CK124" s="446">
        <f>IF($E124=0,0,IF(MIN(CK$38,$E124)&lt;MAX($P$34*($B124+$I$38-1),IF(AND($L$37=0,$P$34=0),"",$L$37-1)),0,YEARFRAC(MAX($P$34*($B124+$I$38-1),IF(AND($L$37=0,$P$34=0),"",$L$37-1)),MIN(CK$38,$E124),$P$20))-SUM($BF124:CJ124))</f>
        <v>0</v>
      </c>
      <c r="CL124" s="446">
        <f>IF($E124=0,0,IF(MIN(CL$38,$E124)&lt;MAX($P$34*($B124+$I$38-1),IF(AND($L$37=0,$P$34=0),"",$L$37-1)),0,YEARFRAC(MAX($P$34*($B124+$I$38-1),IF(AND($L$37=0,$P$34=0),"",$L$37-1)),MIN(CL$38,$E124),$P$20))-SUM($BF124:CK124))</f>
        <v>0</v>
      </c>
      <c r="CM124" s="446">
        <f>IF($E124=0,0,IF(MIN(CM$38,$E124)&lt;MAX($P$34*($B124+$I$38-1),IF(AND($L$37=0,$P$34=0),"",$L$37-1)),0,YEARFRAC(MAX($P$34*($B124+$I$38-1),IF(AND($L$37=0,$P$34=0),"",$L$37-1)),MIN(CM$38,$E124),$P$20))-SUM($BF124:CL124))</f>
        <v>0</v>
      </c>
      <c r="CN124" s="446">
        <f>IF($E124=0,0,IF(MIN(CN$38,$E124)&lt;MAX($P$34*($B124+$I$38-1),IF(AND($L$37=0,$P$34=0),"",$L$37-1)),0,YEARFRAC(MAX($P$34*($B124+$I$38-1),IF(AND($L$37=0,$P$34=0),"",$L$37-1)),MIN(CN$38,$E124),$P$20))-SUM($BF124:CM124))</f>
        <v>0</v>
      </c>
      <c r="CO124" s="446">
        <f>IF($E124=0,0,IF(MIN(CO$38,$E124)&lt;MAX($P$34*($B124+$I$38-1),IF(AND($L$37=0,$P$34=0),"",$L$37-1)),0,YEARFRAC(MAX($P$34*($B124+$I$38-1),IF(AND($L$37=0,$P$34=0),"",$L$37-1)),MIN(CO$38,$E124),$P$20))-SUM($BF124:CN124))</f>
        <v>0</v>
      </c>
      <c r="CP124" s="446">
        <f>IF($E124=0,0,IF(MIN(CP$38,$E124)&lt;MAX($P$34*($B124+$I$38-1),IF(AND($L$37=0,$P$34=0),"",$L$37-1)),0,YEARFRAC(MAX($P$34*($B124+$I$38-1),IF(AND($L$37=0,$P$34=0),"",$L$37-1)),MIN(CP$38,$E124),$P$20))-SUM($BF124:CO124))</f>
        <v>0</v>
      </c>
      <c r="CQ124" s="446">
        <f>IF($E124=0,0,IF(MIN(CQ$38,$E124)&lt;MAX($P$34*($B124+$I$38-1),IF(AND($L$37=0,$P$34=0),"",$L$37-1)),0,YEARFRAC(MAX($P$34*($B124+$I$38-1),IF(AND($L$37=0,$P$34=0),"",$L$37-1)),MIN(CQ$38,$E124),$P$20))-SUM($BF124:CP124))</f>
        <v>0</v>
      </c>
    </row>
    <row r="125" spans="1:95" s="446" customFormat="1" ht="11.25" hidden="1" customHeight="1" x14ac:dyDescent="0.2">
      <c r="A125" s="152"/>
      <c r="B125" s="153" t="str">
        <f t="shared" si="26"/>
        <v/>
      </c>
      <c r="C125" s="29" t="str">
        <f>IF(B125="","",IF($L$35="SELIC - TRIBUTOS",VLOOKUP(DATE(YEAR($D$19),MONTH($D$19)-1,1),ÍNDICES!$A:$DE,HLOOKUP($BL$25,ÍNDICES!$B$3:$T$4,2)+11)-VLOOKUP(B125,ÍNDICES!$A:$DE,HLOOKUP($BL$25,ÍNDICES!$B$3:$T$4,2)+11)+1%,IF(C$38=$W$26,$J$35,IF(ISERROR(IF(B125&gt;$D$19,1,VLOOKUP(DATE(YEAR(B125),MONTH(B125)+IF($C$35=$S$23,1,0),1),ÍNDICES!$A:$DE,$Z$35+1))),"",IF(B125&gt;$D$19,1,VLOOKUP(DATE(YEAR(B125),MONTH(B125)+IF($C$35=$S$23,1,0),1),ÍNDICES!$A:$DE,$Z$35+1))))))</f>
        <v/>
      </c>
      <c r="D125" s="154" t="str">
        <f>IF(ISERROR(IF(OR($D$38=$Y$27,$B125=""),"",VLOOKUP(B125,ÍNDICES!A:DE,AF$35+1))),"",IF(OR($D$38=$Y$27,$B125=""),"",VLOOKUP(B125,ÍNDICES!A:DE,AF$35+1)))</f>
        <v/>
      </c>
      <c r="E125" s="153"/>
      <c r="F125" s="29" t="str">
        <f>IF(E125="","",IF($L$35="SELIC - TRIBUTOS",VLOOKUP(DATE(YEAR($D$19),MONTH($D$19)-1,1),ÍNDICES!$A:$DE,HLOOKUP($BL$25,ÍNDICES!$B$3:$T$4,2)+11)-VLOOKUP(E125,ÍNDICES!$A:$DE,HLOOKUP($BL$25,ÍNDICES!$B$3:$T$4,2)+11)+1%,IF(F$38=$W$26,$J$35,IF(ISERROR(IF(E125&gt;$D$19,1,VLOOKUP(DATE(YEAR(E125),MONTH(E125)+IF($C$35=$S$23,1,0),1),ÍNDICES!$A:$DE,$Z$35+1))),"",IF(E125&gt;$D$19,1,VLOOKUP(DATE(YEAR(E125),MONTH(E125)+IF($C$35=$S$23,1,0),1),ÍNDICES!$A:$DE,$Z$35+1))))))</f>
        <v/>
      </c>
      <c r="G125" s="155"/>
      <c r="H125" s="156" t="str">
        <f t="shared" si="22"/>
        <v/>
      </c>
      <c r="I125" s="29" t="str">
        <f t="shared" si="16"/>
        <v/>
      </c>
      <c r="J125" s="5">
        <f t="shared" si="17"/>
        <v>0</v>
      </c>
      <c r="K125" s="20">
        <f t="shared" ca="1" si="18"/>
        <v>0</v>
      </c>
      <c r="L125" s="5">
        <f t="shared" ca="1" si="19"/>
        <v>0</v>
      </c>
      <c r="M125" s="64">
        <f t="shared" si="23"/>
        <v>0</v>
      </c>
      <c r="N125" s="61">
        <f t="shared" ca="1" si="24"/>
        <v>0</v>
      </c>
      <c r="O125" s="5">
        <f t="shared" ca="1" si="25"/>
        <v>0</v>
      </c>
      <c r="P125" s="446" t="e">
        <f t="shared" si="20"/>
        <v>#VALUE!</v>
      </c>
      <c r="Q125" s="446" t="e">
        <f>IF(OR($B125="",MIN(Q$38,$D$19)&lt;MAX($P$34*($B125+IF($R$17="Distrato",$I$38-1,0)),IF(AND($L$37=0,$P$34=0),"",$L$37-1),IF($R$17="Distrato",$E125,0))),0,YEARFRAC(MAX($P$34*($B125+IF($R$17="Distrato",$I$38-1,0)),IF(AND($L$37=0,$P$34=0),"",$L$37-1),IF($R$17="Distrato",$E125,0)),MIN(Q$38,$D$19),$P$20))-SUM($P125:P125)</f>
        <v>#VALUE!</v>
      </c>
      <c r="R125" s="446" t="e">
        <f>IF(OR($B125="",MIN(R$38,$D$19)&lt;MAX($P$34*($B125+IF($R$17="Distrato",$I$38-1,0)),IF(AND($L$37=0,$P$34=0),"",$L$37-1),IF($R$17="Distrato",$E125,0))),0,YEARFRAC(MAX($P$34*($B125+IF($R$17="Distrato",$I$38-1,0)),IF(AND($L$37=0,$P$34=0),"",$L$37-1),IF($R$17="Distrato",$E125,0)),MIN(R$38,$D$19),$P$20))-SUM($P125:Q125)</f>
        <v>#VALUE!</v>
      </c>
      <c r="S125" s="446" t="e">
        <f>IF(OR($B125="",MIN(S$38,$D$19)&lt;MAX($P$34*($B125+IF($R$17="Distrato",$I$38-1,0)),IF(AND($L$37=0,$P$34=0),"",$L$37-1),IF($R$17="Distrato",$E125,0))),0,YEARFRAC(MAX($P$34*($B125+IF($R$17="Distrato",$I$38-1,0)),IF(AND($L$37=0,$P$34=0),"",$L$37-1),IF($R$17="Distrato",$E125,0)),MIN(S$38,$D$19),$P$20))-SUM($P125:R125)</f>
        <v>#VALUE!</v>
      </c>
      <c r="T125" s="446" t="e">
        <f>IF(OR($B125="",MIN(T$38,$D$19)&lt;MAX($P$34*($B125+IF($R$17="Distrato",$I$38-1,0)),IF(AND($L$37=0,$P$34=0),"",$L$37-1),IF($R$17="Distrato",$E125,0))),0,YEARFRAC(MAX($P$34*($B125+IF($R$17="Distrato",$I$38-1,0)),IF(AND($L$37=0,$P$34=0),"",$L$37-1),IF($R$17="Distrato",$E125,0)),MIN(T$38,$D$19),$P$20))-SUM($P125:S125)</f>
        <v>#VALUE!</v>
      </c>
      <c r="U125" s="446" t="e">
        <f>IF(OR($B125="",MIN(U$38,$D$19)&lt;MAX($P$34*($B125+IF($R$17="Distrato",$I$38-1,0)),IF(AND($L$37=0,$P$34=0),"",$L$37-1),IF($R$17="Distrato",$E125,0))),0,YEARFRAC(MAX($P$34*($B125+IF($R$17="Distrato",$I$38-1,0)),IF(AND($L$37=0,$P$34=0),"",$L$37-1),IF($R$17="Distrato",$E125,0)),MIN(U$38,$D$19),$P$20))-SUM($P125:T125)</f>
        <v>#VALUE!</v>
      </c>
      <c r="V125" s="446" t="e">
        <f>IF(OR($B125="",MIN(V$38,$D$19)&lt;MAX($P$34*($B125+IF($R$17="Distrato",$I$38-1,0)),IF(AND($L$37=0,$P$34=0),"",$L$37-1),IF($R$17="Distrato",$E125,0))),0,YEARFRAC(MAX($P$34*($B125+IF($R$17="Distrato",$I$38-1,0)),IF(AND($L$37=0,$P$34=0),"",$L$37-1),IF($R$17="Distrato",$E125,0)),MIN(V$38,$D$19),$P$20))-SUM($P125:U125)</f>
        <v>#VALUE!</v>
      </c>
      <c r="W125" s="446" t="e">
        <f>IF(OR($B125="",MIN(W$38,$D$19)&lt;MAX($P$34*($B125+IF($R$17="Distrato",$I$38-1,0)),IF(AND($L$37=0,$P$34=0),"",$L$37-1),IF($R$17="Distrato",$E125,0))),0,YEARFRAC(MAX($P$34*($B125+IF($R$17="Distrato",$I$38-1,0)),IF(AND($L$37=0,$P$34=0),"",$L$37-1),IF($R$17="Distrato",$E125,0)),MIN(W$38,$D$19),$P$20))-SUM($P125:V125)</f>
        <v>#VALUE!</v>
      </c>
      <c r="X125" s="446" t="e">
        <f>IF(OR($B125="",MIN(X$38,$D$19)&lt;MAX($P$34*($B125+IF($R$17="Distrato",$I$38-1,0)),IF(AND($L$37=0,$P$34=0),"",$L$37-1),IF($R$17="Distrato",$E125,0))),0,YEARFRAC(MAX($P$34*($B125+IF($R$17="Distrato",$I$38-1,0)),IF(AND($L$37=0,$P$34=0),"",$L$37-1),IF($R$17="Distrato",$E125,0)),MIN(X$38,$D$19),$P$20))-SUM($P125:W125)</f>
        <v>#VALUE!</v>
      </c>
      <c r="Y125" s="446" t="e">
        <f>IF(OR($B125="",MIN(Y$38,$D$19)&lt;MAX($P$34*($B125+IF($R$17="Distrato",$I$38-1,0)),IF(AND($L$37=0,$P$34=0),"",$L$37-1),IF($R$17="Distrato",$E125,0))),0,YEARFRAC(MAX($P$34*($B125+IF($R$17="Distrato",$I$38-1,0)),IF(AND($L$37=0,$P$34=0),"",$L$37-1),IF($R$17="Distrato",$E125,0)),MIN(Y$38,$D$19),$P$20))-SUM($P125:X125)</f>
        <v>#VALUE!</v>
      </c>
      <c r="Z125" s="446" t="e">
        <f>IF(OR($B125="",MIN(Z$38,$D$19)&lt;MAX($P$34*($B125+IF($R$17="Distrato",$I$38-1,0)),IF(AND($L$37=0,$P$34=0),"",$L$37-1),IF($R$17="Distrato",$E125,0))),0,YEARFRAC(MAX($P$34*($B125+IF($R$17="Distrato",$I$38-1,0)),IF(AND($L$37=0,$P$34=0),"",$L$37-1),IF($R$17="Distrato",$E125,0)),MIN(Z$38,$D$19),$P$20))-SUM($P125:Y125)</f>
        <v>#VALUE!</v>
      </c>
      <c r="AA125" s="446" t="e">
        <f>IF(OR($B125="",MIN(AA$38,$D$19)&lt;MAX($P$34*($B125+IF($R$17="Distrato",$I$38-1,0)),IF(AND($L$37=0,$P$34=0),"",$L$37-1),IF($R$17="Distrato",$E125,0))),0,YEARFRAC(MAX($P$34*($B125+IF($R$17="Distrato",$I$38-1,0)),IF(AND($L$37=0,$P$34=0),"",$L$37-1),IF($R$17="Distrato",$E125,0)),MIN(AA$38,$D$19),$P$20))-SUM($P125:Z125)</f>
        <v>#VALUE!</v>
      </c>
      <c r="AB125" s="446" t="e">
        <f>IF(OR($B125="",MIN(AB$38,$D$19)&lt;MAX($P$34*($B125+IF($R$17="Distrato",$I$38-1,0)),IF(AND($L$37=0,$P$34=0),"",$L$37-1),IF($R$17="Distrato",$E125,0))),0,YEARFRAC(MAX($P$34*($B125+IF($R$17="Distrato",$I$38-1,0)),IF(AND($L$37=0,$P$34=0),"",$L$37-1),IF($R$17="Distrato",$E125,0)),MIN(AB$38,$D$19),$P$20))-SUM($P125:AA125)</f>
        <v>#VALUE!</v>
      </c>
      <c r="AC125" s="446" t="e">
        <f>IF(OR($B125="",MIN(AC$38,$D$19)&lt;MAX($P$34*($B125+IF($R$17="Distrato",$I$38-1,0)),IF(AND($L$37=0,$P$34=0),"",$L$37-1),IF($R$17="Distrato",$E125,0))),0,YEARFRAC(MAX($P$34*($B125+IF($R$17="Distrato",$I$38-1,0)),IF(AND($L$37=0,$P$34=0),"",$L$37-1),IF($R$17="Distrato",$E125,0)),MIN(AC$38,$D$19),$P$20))-SUM($P125:AB125)</f>
        <v>#VALUE!</v>
      </c>
      <c r="AD125" s="446" t="e">
        <f>IF(OR($B125="",MIN(AD$38,$D$19)&lt;MAX($P$34*($B125+IF($R$17="Distrato",$I$38-1,0)),IF(AND($L$37=0,$P$34=0),"",$L$37-1),IF($R$17="Distrato",$E125,0))),0,YEARFRAC(MAX($P$34*($B125+IF($R$17="Distrato",$I$38-1,0)),IF(AND($L$37=0,$P$34=0),"",$L$37-1),IF($R$17="Distrato",$E125,0)),MIN(AD$38,$D$19),$P$20))-SUM($P125:AC125)</f>
        <v>#VALUE!</v>
      </c>
      <c r="AE125" s="446" t="e">
        <f>IF(OR($B125="",MIN(AE$38,$D$19)&lt;MAX($P$34*($B125+IF($R$17="Distrato",$I$38-1,0)),IF(AND($L$37=0,$P$34=0),"",$L$37-1),IF($R$17="Distrato",$E125,0))),0,YEARFRAC(MAX($P$34*($B125+IF($R$17="Distrato",$I$38-1,0)),IF(AND($L$37=0,$P$34=0),"",$L$37-1),IF($R$17="Distrato",$E125,0)),MIN(AE$38,$D$19),$P$20))-SUM($P125:AD125)</f>
        <v>#VALUE!</v>
      </c>
      <c r="AF125" s="446" t="e">
        <f>IF(OR($B125="",MIN(AF$38,$D$19)&lt;MAX($P$34*($B125+IF($R$17="Distrato",$I$38-1,0)),IF(AND($L$37=0,$P$34=0),"",$L$37-1),IF($R$17="Distrato",$E125,0))),0,YEARFRAC(MAX($P$34*($B125+IF($R$17="Distrato",$I$38-1,0)),IF(AND($L$37=0,$P$34=0),"",$L$37-1),IF($R$17="Distrato",$E125,0)),MIN(AF$38,$D$19),$P$20))-SUM($P125:AE125)</f>
        <v>#VALUE!</v>
      </c>
      <c r="AG125" s="446" t="e">
        <f>IF(OR($B125="",MIN(AG$38,$D$19)&lt;MAX($P$34*($B125+IF($R$17="Distrato",$I$38-1,0)),IF(AND($L$37=0,$P$34=0),"",$L$37-1),IF($R$17="Distrato",$E125,0))),0,YEARFRAC(MAX($P$34*($B125+IF($R$17="Distrato",$I$38-1,0)),IF(AND($L$37=0,$P$34=0),"",$L$37-1),IF($R$17="Distrato",$E125,0)),MIN(AG$38,$D$19),$P$20))-SUM($P125:AF125)</f>
        <v>#VALUE!</v>
      </c>
      <c r="AH125" s="446" t="e">
        <f>IF(OR($B125="",MIN(AH$38,$D$19)&lt;MAX($P$34*($B125+IF($R$17="Distrato",$I$38-1,0)),IF(AND($L$37=0,$P$34=0),"",$L$37-1),IF($R$17="Distrato",$E125,0))),0,YEARFRAC(MAX($P$34*($B125+IF($R$17="Distrato",$I$38-1,0)),IF(AND($L$37=0,$P$34=0),"",$L$37-1),IF($R$17="Distrato",$E125,0)),MIN(AH$38,$D$19),$P$20))-SUM($P125:AG125)</f>
        <v>#VALUE!</v>
      </c>
      <c r="AI125" s="446" t="e">
        <f>IF(OR($B125="",MIN(AI$38,$D$19)&lt;MAX($P$34*($B125+IF($R$17="Distrato",$I$38-1,0)),IF(AND($L$37=0,$P$34=0),"",$L$37-1),IF($R$17="Distrato",$E125,0))),0,YEARFRAC(MAX($P$34*($B125+IF($R$17="Distrato",$I$38-1,0)),IF(AND($L$37=0,$P$34=0),"",$L$37-1),IF($R$17="Distrato",$E125,0)),MIN(AI$38,$D$19),$P$20))-SUM($P125:AH125)</f>
        <v>#VALUE!</v>
      </c>
      <c r="AJ125" s="446" t="e">
        <f>IF(OR($B125="",MIN(AJ$38,$D$19)&lt;MAX($P$34*($B125+IF($R$17="Distrato",$I$38-1,0)),IF(AND($L$37=0,$P$34=0),"",$L$37-1),IF($R$17="Distrato",$E125,0))),0,YEARFRAC(MAX($P$34*($B125+IF($R$17="Distrato",$I$38-1,0)),IF(AND($L$37=0,$P$34=0),"",$L$37-1),IF($R$17="Distrato",$E125,0)),MIN(AJ$38,$D$19),$P$20))-SUM($P125:AI125)</f>
        <v>#VALUE!</v>
      </c>
      <c r="AK125" s="446" t="e">
        <f>IF(OR($B125="",MIN(AK$38,$D$19)&lt;MAX($P$34*($B125+IF($R$17="Distrato",$I$38-1,0)),IF(AND($L$37=0,$P$34=0),"",$L$37-1),IF($R$17="Distrato",$E125,0))),0,YEARFRAC(MAX($P$34*($B125+IF($R$17="Distrato",$I$38-1,0)),IF(AND($L$37=0,$P$34=0),"",$L$37-1),IF($R$17="Distrato",$E125,0)),MIN(AK$38,$D$19),$P$20))-SUM($P125:AJ125)</f>
        <v>#VALUE!</v>
      </c>
      <c r="AL125" s="446" t="e">
        <f>IF(OR($B125="",MIN(AL$38,$D$19)&lt;MAX($P$34*($B125+IF($R$17="Distrato",$I$38-1,0)),IF(AND($L$37=0,$P$34=0),"",$L$37-1),IF($R$17="Distrato",$E125,0))),0,YEARFRAC(MAX($P$34*($B125+IF($R$17="Distrato",$I$38-1,0)),IF(AND($L$37=0,$P$34=0),"",$L$37-1),IF($R$17="Distrato",$E125,0)),MIN(AL$38,$D$19),$P$20))-SUM($P125:AK125)</f>
        <v>#VALUE!</v>
      </c>
      <c r="AM125" s="446" t="e">
        <f>IF(OR($B125="",MIN(AM$38,$D$19)&lt;MAX($P$34*($B125+IF($R$17="Distrato",$I$38-1,0)),IF(AND($L$37=0,$P$34=0),"",$L$37-1),IF($R$17="Distrato",$E125,0))),0,YEARFRAC(MAX($P$34*($B125+IF($R$17="Distrato",$I$38-1,0)),IF(AND($L$37=0,$P$34=0),"",$L$37-1),IF($R$17="Distrato",$E125,0)),MIN(AM$38,$D$19),$P$20))-SUM($P125:AL125)</f>
        <v>#VALUE!</v>
      </c>
      <c r="AN125" s="446" t="e">
        <f>IF(OR($B125="",MIN(AN$38,$D$19)&lt;MAX($P$34*($B125+IF($R$17="Distrato",$I$38-1,0)),IF(AND($L$37=0,$P$34=0),"",$L$37-1),IF($R$17="Distrato",$E125,0))),0,YEARFRAC(MAX($P$34*($B125+IF($R$17="Distrato",$I$38-1,0)),IF(AND($L$37=0,$P$34=0),"",$L$37-1),IF($R$17="Distrato",$E125,0)),MIN(AN$38,$D$19),$P$20))-SUM($P125:AM125)</f>
        <v>#VALUE!</v>
      </c>
      <c r="AO125" s="446" t="e">
        <f>IF(OR($B125="",MIN(AO$38,$D$19)&lt;MAX($P$34*($B125+IF($R$17="Distrato",$I$38-1,0)),IF(AND($L$37=0,$P$34=0),"",$L$37-1),IF($R$17="Distrato",$E125,0))),0,YEARFRAC(MAX($P$34*($B125+IF($R$17="Distrato",$I$38-1,0)),IF(AND($L$37=0,$P$34=0),"",$L$37-1),IF($R$17="Distrato",$E125,0)),MIN(AO$38,$D$19),$P$20))-SUM($P125:AN125)</f>
        <v>#VALUE!</v>
      </c>
      <c r="AP125" s="446" t="e">
        <f>IF(OR($B125="",MIN(AP$38,$D$19)&lt;MAX($P$34*($B125+IF($R$17="Distrato",$I$38-1,0)),IF(AND($L$37=0,$P$34=0),"",$L$37-1),IF($R$17="Distrato",$E125,0))),0,YEARFRAC(MAX($P$34*($B125+IF($R$17="Distrato",$I$38-1,0)),IF(AND($L$37=0,$P$34=0),"",$L$37-1),IF($R$17="Distrato",$E125,0)),MIN(AP$38,$D$19),$P$20))-SUM($P125:AO125)</f>
        <v>#VALUE!</v>
      </c>
      <c r="AQ125" s="446" t="e">
        <f>IF(OR($B125="",MIN(AQ$38,$D$19)&lt;MAX($P$34*($B125+IF($R$17="Distrato",$I$38-1,0)),IF(AND($L$37=0,$P$34=0),"",$L$37-1),IF($R$17="Distrato",$E125,0))),0,YEARFRAC(MAX($P$34*($B125+IF($R$17="Distrato",$I$38-1,0)),IF(AND($L$37=0,$P$34=0),"",$L$37-1),IF($R$17="Distrato",$E125,0)),MIN(AQ$38,$D$19),$P$20))-SUM($P125:AP125)</f>
        <v>#VALUE!</v>
      </c>
      <c r="AR125" s="446" t="e">
        <f>IF(OR($B125="",MIN(AR$38,$D$19)&lt;MAX($P$34*($B125+IF($R$17="Distrato",$I$38-1,0)),IF(AND($L$37=0,$P$34=0),"",$L$37-1),IF($R$17="Distrato",$E125,0))),0,YEARFRAC(MAX($P$34*($B125+IF($R$17="Distrato",$I$38-1,0)),IF(AND($L$37=0,$P$34=0),"",$L$37-1),IF($R$17="Distrato",$E125,0)),MIN(AR$38,$D$19),$P$20))-SUM($P125:AQ125)</f>
        <v>#VALUE!</v>
      </c>
      <c r="AS125" s="446" t="e">
        <f>IF(OR($B125="",MIN(AS$38,$D$19)&lt;MAX($P$34*($B125+IF($R$17="Distrato",$I$38-1,0)),IF(AND($L$37=0,$P$34=0),"",$L$37-1),IF($R$17="Distrato",$E125,0))),0,YEARFRAC(MAX($P$34*($B125+IF($R$17="Distrato",$I$38-1,0)),IF(AND($L$37=0,$P$34=0),"",$L$37-1),IF($R$17="Distrato",$E125,0)),MIN(AS$38,$D$19),$P$20))-SUM($P125:AR125)</f>
        <v>#VALUE!</v>
      </c>
      <c r="AT125" s="446" t="e">
        <f>IF(OR($B125="",MIN(AT$38,$D$19)&lt;MAX($P$34*($B125+IF($R$17="Distrato",$I$38-1,0)),IF(AND($L$37=0,$P$34=0),"",$L$37-1),IF($R$17="Distrato",$E125,0))),0,YEARFRAC(MAX($P$34*($B125+IF($R$17="Distrato",$I$38-1,0)),IF(AND($L$37=0,$P$34=0),"",$L$37-1),IF($R$17="Distrato",$E125,0)),MIN(AT$38,$D$19),$P$20))-SUM($P125:AS125)</f>
        <v>#VALUE!</v>
      </c>
      <c r="AU125" s="446" t="e">
        <f>IF(OR($B125="",MIN(AU$38,$D$19)&lt;MAX($P$34*($B125+IF($R$17="Distrato",$I$38-1,0)),IF(AND($L$37=0,$P$34=0),"",$L$37-1),IF($R$17="Distrato",$E125,0))),0,YEARFRAC(MAX($P$34*($B125+IF($R$17="Distrato",$I$38-1,0)),IF(AND($L$37=0,$P$34=0),"",$L$37-1),IF($R$17="Distrato",$E125,0)),MIN(AU$38,$D$19),$P$20))-SUM($P125:AT125)</f>
        <v>#VALUE!</v>
      </c>
      <c r="AV125" s="446" t="e">
        <f>IF(OR($B125="",MIN(AV$38,$D$19)&lt;MAX($P$34*($B125+IF($R$17="Distrato",$I$38-1,0)),IF(AND($L$37=0,$P$34=0),"",$L$37-1),IF($R$17="Distrato",$E125,0))),0,YEARFRAC(MAX($P$34*($B125+IF($R$17="Distrato",$I$38-1,0)),IF(AND($L$37=0,$P$34=0),"",$L$37-1),IF($R$17="Distrato",$E125,0)),MIN(AV$38,$D$19),$P$20))-SUM($P125:AU125)</f>
        <v>#VALUE!</v>
      </c>
      <c r="AW125" s="446" t="e">
        <f>IF(OR($B125="",MIN(AW$38,$D$19)&lt;MAX($P$34*($B125+IF($R$17="Distrato",$I$38-1,0)),IF(AND($L$37=0,$P$34=0),"",$L$37-1),IF($R$17="Distrato",$E125,0))),0,YEARFRAC(MAX($P$34*($B125+IF($R$17="Distrato",$I$38-1,0)),IF(AND($L$37=0,$P$34=0),"",$L$37-1),IF($R$17="Distrato",$E125,0)),MIN(AW$38,$D$19),$P$20))-SUM($P125:AV125)</f>
        <v>#VALUE!</v>
      </c>
      <c r="AX125" s="446" t="e">
        <f>IF(OR($B125="",MIN(AX$38,$D$19)&lt;MAX($P$34*($B125+IF($R$17="Distrato",$I$38-1,0)),IF(AND($L$37=0,$P$34=0),"",$L$37-1),IF($R$17="Distrato",$E125,0))),0,YEARFRAC(MAX($P$34*($B125+IF($R$17="Distrato",$I$38-1,0)),IF(AND($L$37=0,$P$34=0),"",$L$37-1),IF($R$17="Distrato",$E125,0)),MIN(AX$38,$D$19),$P$20))-SUM($P125:AW125)</f>
        <v>#VALUE!</v>
      </c>
      <c r="AY125" s="446" t="e">
        <f>IF(OR($B125="",MIN(AY$38,$D$19)&lt;MAX($P$34*($B125+IF($R$17="Distrato",$I$38-1,0)),IF(AND($L$37=0,$P$34=0),"",$L$37-1),IF($R$17="Distrato",$E125,0))),0,YEARFRAC(MAX($P$34*($B125+IF($R$17="Distrato",$I$38-1,0)),IF(AND($L$37=0,$P$34=0),"",$L$37-1),IF($R$17="Distrato",$E125,0)),MIN(AY$38,$D$19),$P$20))-SUM($P125:AX125)</f>
        <v>#VALUE!</v>
      </c>
      <c r="AZ125" s="446" t="e">
        <f>IF(OR($B125="",MIN(AZ$38,$D$19)&lt;MAX($P$34*($B125+IF($R$17="Distrato",$I$38-1,0)),IF(AND($L$37=0,$P$34=0),"",$L$37-1),IF($R$17="Distrato",$E125,0))),0,YEARFRAC(MAX($P$34*($B125+IF($R$17="Distrato",$I$38-1,0)),IF(AND($L$37=0,$P$34=0),"",$L$37-1),IF($R$17="Distrato",$E125,0)),MIN(AZ$38,$D$19),$P$20))-SUM($P125:AY125)</f>
        <v>#VALUE!</v>
      </c>
      <c r="BA125" s="446" t="e">
        <f>IF(OR($B125="",MIN(BA$38,$D$19)&lt;MAX($P$34*($B125+IF($R$17="Distrato",$I$38-1,0)),IF(AND($L$37=0,$P$34=0),"",$L$37-1),IF($R$17="Distrato",$E125,0))),0,YEARFRAC(MAX($P$34*($B125+IF($R$17="Distrato",$I$38-1,0)),IF(AND($L$37=0,$P$34=0),"",$L$37-1),IF($R$17="Distrato",$E125,0)),MIN(BA$38,$D$19),$P$20))-SUM($P125:AZ125)</f>
        <v>#VALUE!</v>
      </c>
      <c r="BB125" s="447"/>
      <c r="BF125" s="446">
        <f t="shared" si="21"/>
        <v>0</v>
      </c>
      <c r="BG125" s="446">
        <f>IF($E125=0,0,IF(MIN(BG$38,$E125)&lt;MAX($P$34*($B125+$I$38-1),IF(AND($L$37=0,$P$34=0),"",$L$37-1)),0,YEARFRAC(MAX($P$34*($B125+$I$38-1),IF(AND($L$37=0,$P$34=0),"",$L$37-1)),MIN(BG$38,$E125),$P$20))-SUM($BF125:BF125))</f>
        <v>0</v>
      </c>
      <c r="BH125" s="446">
        <f>IF($E125=0,0,IF(MIN(BH$38,$E125)&lt;MAX($P$34*($B125+$I$38-1),IF(AND($L$37=0,$P$34=0),"",$L$37-1)),0,YEARFRAC(MAX($P$34*($B125+$I$38-1),IF(AND($L$37=0,$P$34=0),"",$L$37-1)),MIN(BH$38,$E125),$P$20))-SUM($BF125:BG125))</f>
        <v>0</v>
      </c>
      <c r="BI125" s="446">
        <f>IF($E125=0,0,IF(MIN(BI$38,$E125)&lt;MAX($P$34*($B125+$I$38-1),IF(AND($L$37=0,$P$34=0),"",$L$37-1)),0,YEARFRAC(MAX($P$34*($B125+$I$38-1),IF(AND($L$37=0,$P$34=0),"",$L$37-1)),MIN(BI$38,$E125),$P$20))-SUM($BF125:BH125))</f>
        <v>0</v>
      </c>
      <c r="BJ125" s="446">
        <f>IF($E125=0,0,IF(MIN(BJ$38,$E125)&lt;MAX($P$34*($B125+$I$38-1),IF(AND($L$37=0,$P$34=0),"",$L$37-1)),0,YEARFRAC(MAX($P$34*($B125+$I$38-1),IF(AND($L$37=0,$P$34=0),"",$L$37-1)),MIN(BJ$38,$E125),$P$20))-SUM($BF125:BI125))</f>
        <v>0</v>
      </c>
      <c r="BK125" s="446">
        <f>IF($E125=0,0,IF(MIN(BK$38,$E125)&lt;MAX($P$34*($B125+$I$38-1),IF(AND($L$37=0,$P$34=0),"",$L$37-1)),0,YEARFRAC(MAX($P$34*($B125+$I$38-1),IF(AND($L$37=0,$P$34=0),"",$L$37-1)),MIN(BK$38,$E125),$P$20))-SUM($BF125:BJ125))</f>
        <v>0</v>
      </c>
      <c r="BL125" s="446">
        <f>IF($E125=0,0,IF(MIN(BL$38,$E125)&lt;MAX($P$34*($B125+$I$38-1),IF(AND($L$37=0,$P$34=0),"",$L$37-1)),0,YEARFRAC(MAX($P$34*($B125+$I$38-1),IF(AND($L$37=0,$P$34=0),"",$L$37-1)),MIN(BL$38,$E125),$P$20))-SUM($BF125:BK125))</f>
        <v>0</v>
      </c>
      <c r="BM125" s="446">
        <f>IF($E125=0,0,IF(MIN(BM$38,$E125)&lt;MAX($P$34*($B125+$I$38-1),IF(AND($L$37=0,$P$34=0),"",$L$37-1)),0,YEARFRAC(MAX($P$34*($B125+$I$38-1),IF(AND($L$37=0,$P$34=0),"",$L$37-1)),MIN(BM$38,$E125),$P$20))-SUM($BF125:BL125))</f>
        <v>0</v>
      </c>
      <c r="BN125" s="446">
        <f>IF($E125=0,0,IF(MIN(BN$38,$E125)&lt;MAX($P$34*($B125+$I$38-1),IF(AND($L$37=0,$P$34=0),"",$L$37-1)),0,YEARFRAC(MAX($P$34*($B125+$I$38-1),IF(AND($L$37=0,$P$34=0),"",$L$37-1)),MIN(BN$38,$E125),$P$20))-SUM($BF125:BM125))</f>
        <v>0</v>
      </c>
      <c r="BO125" s="446">
        <f>IF($E125=0,0,IF(MIN(BO$38,$E125)&lt;MAX($P$34*($B125+$I$38-1),IF(AND($L$37=0,$P$34=0),"",$L$37-1)),0,YEARFRAC(MAX($P$34*($B125+$I$38-1),IF(AND($L$37=0,$P$34=0),"",$L$37-1)),MIN(BO$38,$E125),$P$20))-SUM($BF125:BN125))</f>
        <v>0</v>
      </c>
      <c r="BP125" s="446">
        <f>IF($E125=0,0,IF(MIN(BP$38,$E125)&lt;MAX($P$34*($B125+$I$38-1),IF(AND($L$37=0,$P$34=0),"",$L$37-1)),0,YEARFRAC(MAX($P$34*($B125+$I$38-1),IF(AND($L$37=0,$P$34=0),"",$L$37-1)),MIN(BP$38,$E125),$P$20))-SUM($BF125:BO125))</f>
        <v>0</v>
      </c>
      <c r="BQ125" s="446">
        <f>IF($E125=0,0,IF(MIN(BQ$38,$E125)&lt;MAX($P$34*($B125+$I$38-1),IF(AND($L$37=0,$P$34=0),"",$L$37-1)),0,YEARFRAC(MAX($P$34*($B125+$I$38-1),IF(AND($L$37=0,$P$34=0),"",$L$37-1)),MIN(BQ$38,$E125),$P$20))-SUM($BF125:BP125))</f>
        <v>0</v>
      </c>
      <c r="BR125" s="446">
        <f>IF($E125=0,0,IF(MIN(BR$38,$E125)&lt;MAX($P$34*($B125+$I$38-1),IF(AND($L$37=0,$P$34=0),"",$L$37-1)),0,YEARFRAC(MAX($P$34*($B125+$I$38-1),IF(AND($L$37=0,$P$34=0),"",$L$37-1)),MIN(BR$38,$E125),$P$20))-SUM($BF125:BQ125))</f>
        <v>0</v>
      </c>
      <c r="BS125" s="446">
        <f>IF($E125=0,0,IF(MIN(BS$38,$E125)&lt;MAX($P$34*($B125+$I$38-1),IF(AND($L$37=0,$P$34=0),"",$L$37-1)),0,YEARFRAC(MAX($P$34*($B125+$I$38-1),IF(AND($L$37=0,$P$34=0),"",$L$37-1)),MIN(BS$38,$E125),$P$20))-SUM($BF125:BR125))</f>
        <v>0</v>
      </c>
      <c r="BT125" s="446">
        <f>IF($E125=0,0,IF(MIN(BT$38,$E125)&lt;MAX($P$34*($B125+$I$38-1),IF(AND($L$37=0,$P$34=0),"",$L$37-1)),0,YEARFRAC(MAX($P$34*($B125+$I$38-1),IF(AND($L$37=0,$P$34=0),"",$L$37-1)),MIN(BT$38,$E125),$P$20))-SUM($BF125:BS125))</f>
        <v>0</v>
      </c>
      <c r="BU125" s="446">
        <f>IF($E125=0,0,IF(MIN(BU$38,$E125)&lt;MAX($P$34*($B125+$I$38-1),IF(AND($L$37=0,$P$34=0),"",$L$37-1)),0,YEARFRAC(MAX($P$34*($B125+$I$38-1),IF(AND($L$37=0,$P$34=0),"",$L$37-1)),MIN(BU$38,$E125),$P$20))-SUM($BF125:BT125))</f>
        <v>0</v>
      </c>
      <c r="BV125" s="446">
        <f>IF($E125=0,0,IF(MIN(BV$38,$E125)&lt;MAX($P$34*($B125+$I$38-1),IF(AND($L$37=0,$P$34=0),"",$L$37-1)),0,YEARFRAC(MAX($P$34*($B125+$I$38-1),IF(AND($L$37=0,$P$34=0),"",$L$37-1)),MIN(BV$38,$E125),$P$20))-SUM($BF125:BU125))</f>
        <v>0</v>
      </c>
      <c r="BW125" s="446">
        <f>IF($E125=0,0,IF(MIN(BW$38,$E125)&lt;MAX($P$34*($B125+$I$38-1),IF(AND($L$37=0,$P$34=0),"",$L$37-1)),0,YEARFRAC(MAX($P$34*($B125+$I$38-1),IF(AND($L$37=0,$P$34=0),"",$L$37-1)),MIN(BW$38,$E125),$P$20))-SUM($BF125:BV125))</f>
        <v>0</v>
      </c>
      <c r="BX125" s="446">
        <f>IF($E125=0,0,IF(MIN(BX$38,$E125)&lt;MAX($P$34*($B125+$I$38-1),IF(AND($L$37=0,$P$34=0),"",$L$37-1)),0,YEARFRAC(MAX($P$34*($B125+$I$38-1),IF(AND($L$37=0,$P$34=0),"",$L$37-1)),MIN(BX$38,$E125),$P$20))-SUM($BF125:BW125))</f>
        <v>0</v>
      </c>
      <c r="BY125" s="446">
        <f>IF($E125=0,0,IF(MIN(BY$38,$E125)&lt;MAX($P$34*($B125+$I$38-1),IF(AND($L$37=0,$P$34=0),"",$L$37-1)),0,YEARFRAC(MAX($P$34*($B125+$I$38-1),IF(AND($L$37=0,$P$34=0),"",$L$37-1)),MIN(BY$38,$E125),$P$20))-SUM($BF125:BX125))</f>
        <v>0</v>
      </c>
      <c r="BZ125" s="446">
        <f>IF($E125=0,0,IF(MIN(BZ$38,$E125)&lt;MAX($P$34*($B125+$I$38-1),IF(AND($L$37=0,$P$34=0),"",$L$37-1)),0,YEARFRAC(MAX($P$34*($B125+$I$38-1),IF(AND($L$37=0,$P$34=0),"",$L$37-1)),MIN(BZ$38,$E125),$P$20))-SUM($BF125:BY125))</f>
        <v>0</v>
      </c>
      <c r="CA125" s="446">
        <f>IF($E125=0,0,IF(MIN(CA$38,$E125)&lt;MAX($P$34*($B125+$I$38-1),IF(AND($L$37=0,$P$34=0),"",$L$37-1)),0,YEARFRAC(MAX($P$34*($B125+$I$38-1),IF(AND($L$37=0,$P$34=0),"",$L$37-1)),MIN(CA$38,$E125),$P$20))-SUM($BF125:BZ125))</f>
        <v>0</v>
      </c>
      <c r="CB125" s="446">
        <f>IF($E125=0,0,IF(MIN(CB$38,$E125)&lt;MAX($P$34*($B125+$I$38-1),IF(AND($L$37=0,$P$34=0),"",$L$37-1)),0,YEARFRAC(MAX($P$34*($B125+$I$38-1),IF(AND($L$37=0,$P$34=0),"",$L$37-1)),MIN(CB$38,$E125),$P$20))-SUM($BF125:CA125))</f>
        <v>0</v>
      </c>
      <c r="CC125" s="446">
        <f>IF($E125=0,0,IF(MIN(CC$38,$E125)&lt;MAX($P$34*($B125+$I$38-1),IF(AND($L$37=0,$P$34=0),"",$L$37-1)),0,YEARFRAC(MAX($P$34*($B125+$I$38-1),IF(AND($L$37=0,$P$34=0),"",$L$37-1)),MIN(CC$38,$E125),$P$20))-SUM($BF125:CB125))</f>
        <v>0</v>
      </c>
      <c r="CD125" s="446">
        <f>IF($E125=0,0,IF(MIN(CD$38,$E125)&lt;MAX($P$34*($B125+$I$38-1),IF(AND($L$37=0,$P$34=0),"",$L$37-1)),0,YEARFRAC(MAX($P$34*($B125+$I$38-1),IF(AND($L$37=0,$P$34=0),"",$L$37-1)),MIN(CD$38,$E125),$P$20))-SUM($BF125:CC125))</f>
        <v>0</v>
      </c>
      <c r="CE125" s="446">
        <f>IF($E125=0,0,IF(MIN(CE$38,$E125)&lt;MAX($P$34*($B125+$I$38-1),IF(AND($L$37=0,$P$34=0),"",$L$37-1)),0,YEARFRAC(MAX($P$34*($B125+$I$38-1),IF(AND($L$37=0,$P$34=0),"",$L$37-1)),MIN(CE$38,$E125),$P$20))-SUM($BF125:CD125))</f>
        <v>0</v>
      </c>
      <c r="CF125" s="446">
        <f>IF($E125=0,0,IF(MIN(CF$38,$E125)&lt;MAX($P$34*($B125+$I$38-1),IF(AND($L$37=0,$P$34=0),"",$L$37-1)),0,YEARFRAC(MAX($P$34*($B125+$I$38-1),IF(AND($L$37=0,$P$34=0),"",$L$37-1)),MIN(CF$38,$E125),$P$20))-SUM($BF125:CE125))</f>
        <v>0</v>
      </c>
      <c r="CG125" s="446">
        <f>IF($E125=0,0,IF(MIN(CG$38,$E125)&lt;MAX($P$34*($B125+$I$38-1),IF(AND($L$37=0,$P$34=0),"",$L$37-1)),0,YEARFRAC(MAX($P$34*($B125+$I$38-1),IF(AND($L$37=0,$P$34=0),"",$L$37-1)),MIN(CG$38,$E125),$P$20))-SUM($BF125:CF125))</f>
        <v>0</v>
      </c>
      <c r="CH125" s="446">
        <f>IF($E125=0,0,IF(MIN(CH$38,$E125)&lt;MAX($P$34*($B125+$I$38-1),IF(AND($L$37=0,$P$34=0),"",$L$37-1)),0,YEARFRAC(MAX($P$34*($B125+$I$38-1),IF(AND($L$37=0,$P$34=0),"",$L$37-1)),MIN(CH$38,$E125),$P$20))-SUM($BF125:CG125))</f>
        <v>0</v>
      </c>
      <c r="CI125" s="446">
        <f>IF($E125=0,0,IF(MIN(CI$38,$E125)&lt;MAX($P$34*($B125+$I$38-1),IF(AND($L$37=0,$P$34=0),"",$L$37-1)),0,YEARFRAC(MAX($P$34*($B125+$I$38-1),IF(AND($L$37=0,$P$34=0),"",$L$37-1)),MIN(CI$38,$E125),$P$20))-SUM($BF125:CH125))</f>
        <v>0</v>
      </c>
      <c r="CJ125" s="446">
        <f>IF($E125=0,0,IF(MIN(CJ$38,$E125)&lt;MAX($P$34*($B125+$I$38-1),IF(AND($L$37=0,$P$34=0),"",$L$37-1)),0,YEARFRAC(MAX($P$34*($B125+$I$38-1),IF(AND($L$37=0,$P$34=0),"",$L$37-1)),MIN(CJ$38,$E125),$P$20))-SUM($BF125:CI125))</f>
        <v>0</v>
      </c>
      <c r="CK125" s="446">
        <f>IF($E125=0,0,IF(MIN(CK$38,$E125)&lt;MAX($P$34*($B125+$I$38-1),IF(AND($L$37=0,$P$34=0),"",$L$37-1)),0,YEARFRAC(MAX($P$34*($B125+$I$38-1),IF(AND($L$37=0,$P$34=0),"",$L$37-1)),MIN(CK$38,$E125),$P$20))-SUM($BF125:CJ125))</f>
        <v>0</v>
      </c>
      <c r="CL125" s="446">
        <f>IF($E125=0,0,IF(MIN(CL$38,$E125)&lt;MAX($P$34*($B125+$I$38-1),IF(AND($L$37=0,$P$34=0),"",$L$37-1)),0,YEARFRAC(MAX($P$34*($B125+$I$38-1),IF(AND($L$37=0,$P$34=0),"",$L$37-1)),MIN(CL$38,$E125),$P$20))-SUM($BF125:CK125))</f>
        <v>0</v>
      </c>
      <c r="CM125" s="446">
        <f>IF($E125=0,0,IF(MIN(CM$38,$E125)&lt;MAX($P$34*($B125+$I$38-1),IF(AND($L$37=0,$P$34=0),"",$L$37-1)),0,YEARFRAC(MAX($P$34*($B125+$I$38-1),IF(AND($L$37=0,$P$34=0),"",$L$37-1)),MIN(CM$38,$E125),$P$20))-SUM($BF125:CL125))</f>
        <v>0</v>
      </c>
      <c r="CN125" s="446">
        <f>IF($E125=0,0,IF(MIN(CN$38,$E125)&lt;MAX($P$34*($B125+$I$38-1),IF(AND($L$37=0,$P$34=0),"",$L$37-1)),0,YEARFRAC(MAX($P$34*($B125+$I$38-1),IF(AND($L$37=0,$P$34=0),"",$L$37-1)),MIN(CN$38,$E125),$P$20))-SUM($BF125:CM125))</f>
        <v>0</v>
      </c>
      <c r="CO125" s="446">
        <f>IF($E125=0,0,IF(MIN(CO$38,$E125)&lt;MAX($P$34*($B125+$I$38-1),IF(AND($L$37=0,$P$34=0),"",$L$37-1)),0,YEARFRAC(MAX($P$34*($B125+$I$38-1),IF(AND($L$37=0,$P$34=0),"",$L$37-1)),MIN(CO$38,$E125),$P$20))-SUM($BF125:CN125))</f>
        <v>0</v>
      </c>
      <c r="CP125" s="446">
        <f>IF($E125=0,0,IF(MIN(CP$38,$E125)&lt;MAX($P$34*($B125+$I$38-1),IF(AND($L$37=0,$P$34=0),"",$L$37-1)),0,YEARFRAC(MAX($P$34*($B125+$I$38-1),IF(AND($L$37=0,$P$34=0),"",$L$37-1)),MIN(CP$38,$E125),$P$20))-SUM($BF125:CO125))</f>
        <v>0</v>
      </c>
      <c r="CQ125" s="446">
        <f>IF($E125=0,0,IF(MIN(CQ$38,$E125)&lt;MAX($P$34*($B125+$I$38-1),IF(AND($L$37=0,$P$34=0),"",$L$37-1)),0,YEARFRAC(MAX($P$34*($B125+$I$38-1),IF(AND($L$37=0,$P$34=0),"",$L$37-1)),MIN(CQ$38,$E125),$P$20))-SUM($BF125:CP125))</f>
        <v>0</v>
      </c>
    </row>
    <row r="126" spans="1:95" s="446" customFormat="1" ht="11.25" hidden="1" customHeight="1" x14ac:dyDescent="0.2">
      <c r="A126" s="152"/>
      <c r="B126" s="153" t="str">
        <f t="shared" si="26"/>
        <v/>
      </c>
      <c r="C126" s="29" t="str">
        <f>IF(B126="","",IF($L$35="SELIC - TRIBUTOS",VLOOKUP(DATE(YEAR($D$19),MONTH($D$19)-1,1),ÍNDICES!$A:$DE,HLOOKUP($BL$25,ÍNDICES!$B$3:$T$4,2)+11)-VLOOKUP(B126,ÍNDICES!$A:$DE,HLOOKUP($BL$25,ÍNDICES!$B$3:$T$4,2)+11)+1%,IF(C$38=$W$26,$J$35,IF(ISERROR(IF(B126&gt;$D$19,1,VLOOKUP(DATE(YEAR(B126),MONTH(B126)+IF($C$35=$S$23,1,0),1),ÍNDICES!$A:$DE,$Z$35+1))),"",IF(B126&gt;$D$19,1,VLOOKUP(DATE(YEAR(B126),MONTH(B126)+IF($C$35=$S$23,1,0),1),ÍNDICES!$A:$DE,$Z$35+1))))))</f>
        <v/>
      </c>
      <c r="D126" s="154" t="str">
        <f>IF(ISERROR(IF(OR($D$38=$Y$27,$B126=""),"",VLOOKUP(B126,ÍNDICES!A:DE,AF$35+1))),"",IF(OR($D$38=$Y$27,$B126=""),"",VLOOKUP(B126,ÍNDICES!A:DE,AF$35+1)))</f>
        <v/>
      </c>
      <c r="E126" s="153"/>
      <c r="F126" s="29" t="str">
        <f>IF(E126="","",IF($L$35="SELIC - TRIBUTOS",VLOOKUP(DATE(YEAR($D$19),MONTH($D$19)-1,1),ÍNDICES!$A:$DE,HLOOKUP($BL$25,ÍNDICES!$B$3:$T$4,2)+11)-VLOOKUP(E126,ÍNDICES!$A:$DE,HLOOKUP($BL$25,ÍNDICES!$B$3:$T$4,2)+11)+1%,IF(F$38=$W$26,$J$35,IF(ISERROR(IF(E126&gt;$D$19,1,VLOOKUP(DATE(YEAR(E126),MONTH(E126)+IF($C$35=$S$23,1,0),1),ÍNDICES!$A:$DE,$Z$35+1))),"",IF(E126&gt;$D$19,1,VLOOKUP(DATE(YEAR(E126),MONTH(E126)+IF($C$35=$S$23,1,0),1),ÍNDICES!$A:$DE,$Z$35+1))))))</f>
        <v/>
      </c>
      <c r="G126" s="155"/>
      <c r="H126" s="156" t="str">
        <f t="shared" si="22"/>
        <v/>
      </c>
      <c r="I126" s="29" t="str">
        <f t="shared" si="16"/>
        <v/>
      </c>
      <c r="J126" s="5">
        <f t="shared" si="17"/>
        <v>0</v>
      </c>
      <c r="K126" s="20">
        <f t="shared" ca="1" si="18"/>
        <v>0</v>
      </c>
      <c r="L126" s="5">
        <f t="shared" ca="1" si="19"/>
        <v>0</v>
      </c>
      <c r="M126" s="64">
        <f t="shared" si="23"/>
        <v>0</v>
      </c>
      <c r="N126" s="61">
        <f t="shared" ca="1" si="24"/>
        <v>0</v>
      </c>
      <c r="O126" s="5">
        <f t="shared" ca="1" si="25"/>
        <v>0</v>
      </c>
      <c r="P126" s="446" t="e">
        <f t="shared" si="20"/>
        <v>#VALUE!</v>
      </c>
      <c r="Q126" s="446" t="e">
        <f>IF(OR($B126="",MIN(Q$38,$D$19)&lt;MAX($P$34*($B126+IF($R$17="Distrato",$I$38-1,0)),IF(AND($L$37=0,$P$34=0),"",$L$37-1),IF($R$17="Distrato",$E126,0))),0,YEARFRAC(MAX($P$34*($B126+IF($R$17="Distrato",$I$38-1,0)),IF(AND($L$37=0,$P$34=0),"",$L$37-1),IF($R$17="Distrato",$E126,0)),MIN(Q$38,$D$19),$P$20))-SUM($P126:P126)</f>
        <v>#VALUE!</v>
      </c>
      <c r="R126" s="446" t="e">
        <f>IF(OR($B126="",MIN(R$38,$D$19)&lt;MAX($P$34*($B126+IF($R$17="Distrato",$I$38-1,0)),IF(AND($L$37=0,$P$34=0),"",$L$37-1),IF($R$17="Distrato",$E126,0))),0,YEARFRAC(MAX($P$34*($B126+IF($R$17="Distrato",$I$38-1,0)),IF(AND($L$37=0,$P$34=0),"",$L$37-1),IF($R$17="Distrato",$E126,0)),MIN(R$38,$D$19),$P$20))-SUM($P126:Q126)</f>
        <v>#VALUE!</v>
      </c>
      <c r="S126" s="446" t="e">
        <f>IF(OR($B126="",MIN(S$38,$D$19)&lt;MAX($P$34*($B126+IF($R$17="Distrato",$I$38-1,0)),IF(AND($L$37=0,$P$34=0),"",$L$37-1),IF($R$17="Distrato",$E126,0))),0,YEARFRAC(MAX($P$34*($B126+IF($R$17="Distrato",$I$38-1,0)),IF(AND($L$37=0,$P$34=0),"",$L$37-1),IF($R$17="Distrato",$E126,0)),MIN(S$38,$D$19),$P$20))-SUM($P126:R126)</f>
        <v>#VALUE!</v>
      </c>
      <c r="T126" s="446" t="e">
        <f>IF(OR($B126="",MIN(T$38,$D$19)&lt;MAX($P$34*($B126+IF($R$17="Distrato",$I$38-1,0)),IF(AND($L$37=0,$P$34=0),"",$L$37-1),IF($R$17="Distrato",$E126,0))),0,YEARFRAC(MAX($P$34*($B126+IF($R$17="Distrato",$I$38-1,0)),IF(AND($L$37=0,$P$34=0),"",$L$37-1),IF($R$17="Distrato",$E126,0)),MIN(T$38,$D$19),$P$20))-SUM($P126:S126)</f>
        <v>#VALUE!</v>
      </c>
      <c r="U126" s="446" t="e">
        <f>IF(OR($B126="",MIN(U$38,$D$19)&lt;MAX($P$34*($B126+IF($R$17="Distrato",$I$38-1,0)),IF(AND($L$37=0,$P$34=0),"",$L$37-1),IF($R$17="Distrato",$E126,0))),0,YEARFRAC(MAX($P$34*($B126+IF($R$17="Distrato",$I$38-1,0)),IF(AND($L$37=0,$P$34=0),"",$L$37-1),IF($R$17="Distrato",$E126,0)),MIN(U$38,$D$19),$P$20))-SUM($P126:T126)</f>
        <v>#VALUE!</v>
      </c>
      <c r="V126" s="446" t="e">
        <f>IF(OR($B126="",MIN(V$38,$D$19)&lt;MAX($P$34*($B126+IF($R$17="Distrato",$I$38-1,0)),IF(AND($L$37=0,$P$34=0),"",$L$37-1),IF($R$17="Distrato",$E126,0))),0,YEARFRAC(MAX($P$34*($B126+IF($R$17="Distrato",$I$38-1,0)),IF(AND($L$37=0,$P$34=0),"",$L$37-1),IF($R$17="Distrato",$E126,0)),MIN(V$38,$D$19),$P$20))-SUM($P126:U126)</f>
        <v>#VALUE!</v>
      </c>
      <c r="W126" s="446" t="e">
        <f>IF(OR($B126="",MIN(W$38,$D$19)&lt;MAX($P$34*($B126+IF($R$17="Distrato",$I$38-1,0)),IF(AND($L$37=0,$P$34=0),"",$L$37-1),IF($R$17="Distrato",$E126,0))),0,YEARFRAC(MAX($P$34*($B126+IF($R$17="Distrato",$I$38-1,0)),IF(AND($L$37=0,$P$34=0),"",$L$37-1),IF($R$17="Distrato",$E126,0)),MIN(W$38,$D$19),$P$20))-SUM($P126:V126)</f>
        <v>#VALUE!</v>
      </c>
      <c r="X126" s="446" t="e">
        <f>IF(OR($B126="",MIN(X$38,$D$19)&lt;MAX($P$34*($B126+IF($R$17="Distrato",$I$38-1,0)),IF(AND($L$37=0,$P$34=0),"",$L$37-1),IF($R$17="Distrato",$E126,0))),0,YEARFRAC(MAX($P$34*($B126+IF($R$17="Distrato",$I$38-1,0)),IF(AND($L$37=0,$P$34=0),"",$L$37-1),IF($R$17="Distrato",$E126,0)),MIN(X$38,$D$19),$P$20))-SUM($P126:W126)</f>
        <v>#VALUE!</v>
      </c>
      <c r="Y126" s="446" t="e">
        <f>IF(OR($B126="",MIN(Y$38,$D$19)&lt;MAX($P$34*($B126+IF($R$17="Distrato",$I$38-1,0)),IF(AND($L$37=0,$P$34=0),"",$L$37-1),IF($R$17="Distrato",$E126,0))),0,YEARFRAC(MAX($P$34*($B126+IF($R$17="Distrato",$I$38-1,0)),IF(AND($L$37=0,$P$34=0),"",$L$37-1),IF($R$17="Distrato",$E126,0)),MIN(Y$38,$D$19),$P$20))-SUM($P126:X126)</f>
        <v>#VALUE!</v>
      </c>
      <c r="Z126" s="446" t="e">
        <f>IF(OR($B126="",MIN(Z$38,$D$19)&lt;MAX($P$34*($B126+IF($R$17="Distrato",$I$38-1,0)),IF(AND($L$37=0,$P$34=0),"",$L$37-1),IF($R$17="Distrato",$E126,0))),0,YEARFRAC(MAX($P$34*($B126+IF($R$17="Distrato",$I$38-1,0)),IF(AND($L$37=0,$P$34=0),"",$L$37-1),IF($R$17="Distrato",$E126,0)),MIN(Z$38,$D$19),$P$20))-SUM($P126:Y126)</f>
        <v>#VALUE!</v>
      </c>
      <c r="AA126" s="446" t="e">
        <f>IF(OR($B126="",MIN(AA$38,$D$19)&lt;MAX($P$34*($B126+IF($R$17="Distrato",$I$38-1,0)),IF(AND($L$37=0,$P$34=0),"",$L$37-1),IF($R$17="Distrato",$E126,0))),0,YEARFRAC(MAX($P$34*($B126+IF($R$17="Distrato",$I$38-1,0)),IF(AND($L$37=0,$P$34=0),"",$L$37-1),IF($R$17="Distrato",$E126,0)),MIN(AA$38,$D$19),$P$20))-SUM($P126:Z126)</f>
        <v>#VALUE!</v>
      </c>
      <c r="AB126" s="446" t="e">
        <f>IF(OR($B126="",MIN(AB$38,$D$19)&lt;MAX($P$34*($B126+IF($R$17="Distrato",$I$38-1,0)),IF(AND($L$37=0,$P$34=0),"",$L$37-1),IF($R$17="Distrato",$E126,0))),0,YEARFRAC(MAX($P$34*($B126+IF($R$17="Distrato",$I$38-1,0)),IF(AND($L$37=0,$P$34=0),"",$L$37-1),IF($R$17="Distrato",$E126,0)),MIN(AB$38,$D$19),$P$20))-SUM($P126:AA126)</f>
        <v>#VALUE!</v>
      </c>
      <c r="AC126" s="446" t="e">
        <f>IF(OR($B126="",MIN(AC$38,$D$19)&lt;MAX($P$34*($B126+IF($R$17="Distrato",$I$38-1,0)),IF(AND($L$37=0,$P$34=0),"",$L$37-1),IF($R$17="Distrato",$E126,0))),0,YEARFRAC(MAX($P$34*($B126+IF($R$17="Distrato",$I$38-1,0)),IF(AND($L$37=0,$P$34=0),"",$L$37-1),IF($R$17="Distrato",$E126,0)),MIN(AC$38,$D$19),$P$20))-SUM($P126:AB126)</f>
        <v>#VALUE!</v>
      </c>
      <c r="AD126" s="446" t="e">
        <f>IF(OR($B126="",MIN(AD$38,$D$19)&lt;MAX($P$34*($B126+IF($R$17="Distrato",$I$38-1,0)),IF(AND($L$37=0,$P$34=0),"",$L$37-1),IF($R$17="Distrato",$E126,0))),0,YEARFRAC(MAX($P$34*($B126+IF($R$17="Distrato",$I$38-1,0)),IF(AND($L$37=0,$P$34=0),"",$L$37-1),IF($R$17="Distrato",$E126,0)),MIN(AD$38,$D$19),$P$20))-SUM($P126:AC126)</f>
        <v>#VALUE!</v>
      </c>
      <c r="AE126" s="446" t="e">
        <f>IF(OR($B126="",MIN(AE$38,$D$19)&lt;MAX($P$34*($B126+IF($R$17="Distrato",$I$38-1,0)),IF(AND($L$37=0,$P$34=0),"",$L$37-1),IF($R$17="Distrato",$E126,0))),0,YEARFRAC(MAX($P$34*($B126+IF($R$17="Distrato",$I$38-1,0)),IF(AND($L$37=0,$P$34=0),"",$L$37-1),IF($R$17="Distrato",$E126,0)),MIN(AE$38,$D$19),$P$20))-SUM($P126:AD126)</f>
        <v>#VALUE!</v>
      </c>
      <c r="AF126" s="446" t="e">
        <f>IF(OR($B126="",MIN(AF$38,$D$19)&lt;MAX($P$34*($B126+IF($R$17="Distrato",$I$38-1,0)),IF(AND($L$37=0,$P$34=0),"",$L$37-1),IF($R$17="Distrato",$E126,0))),0,YEARFRAC(MAX($P$34*($B126+IF($R$17="Distrato",$I$38-1,0)),IF(AND($L$37=0,$P$34=0),"",$L$37-1),IF($R$17="Distrato",$E126,0)),MIN(AF$38,$D$19),$P$20))-SUM($P126:AE126)</f>
        <v>#VALUE!</v>
      </c>
      <c r="AG126" s="446" t="e">
        <f>IF(OR($B126="",MIN(AG$38,$D$19)&lt;MAX($P$34*($B126+IF($R$17="Distrato",$I$38-1,0)),IF(AND($L$37=0,$P$34=0),"",$L$37-1),IF($R$17="Distrato",$E126,0))),0,YEARFRAC(MAX($P$34*($B126+IF($R$17="Distrato",$I$38-1,0)),IF(AND($L$37=0,$P$34=0),"",$L$37-1),IF($R$17="Distrato",$E126,0)),MIN(AG$38,$D$19),$P$20))-SUM($P126:AF126)</f>
        <v>#VALUE!</v>
      </c>
      <c r="AH126" s="446" t="e">
        <f>IF(OR($B126="",MIN(AH$38,$D$19)&lt;MAX($P$34*($B126+IF($R$17="Distrato",$I$38-1,0)),IF(AND($L$37=0,$P$34=0),"",$L$37-1),IF($R$17="Distrato",$E126,0))),0,YEARFRAC(MAX($P$34*($B126+IF($R$17="Distrato",$I$38-1,0)),IF(AND($L$37=0,$P$34=0),"",$L$37-1),IF($R$17="Distrato",$E126,0)),MIN(AH$38,$D$19),$P$20))-SUM($P126:AG126)</f>
        <v>#VALUE!</v>
      </c>
      <c r="AI126" s="446" t="e">
        <f>IF(OR($B126="",MIN(AI$38,$D$19)&lt;MAX($P$34*($B126+IF($R$17="Distrato",$I$38-1,0)),IF(AND($L$37=0,$P$34=0),"",$L$37-1),IF($R$17="Distrato",$E126,0))),0,YEARFRAC(MAX($P$34*($B126+IF($R$17="Distrato",$I$38-1,0)),IF(AND($L$37=0,$P$34=0),"",$L$37-1),IF($R$17="Distrato",$E126,0)),MIN(AI$38,$D$19),$P$20))-SUM($P126:AH126)</f>
        <v>#VALUE!</v>
      </c>
      <c r="AJ126" s="446" t="e">
        <f>IF(OR($B126="",MIN(AJ$38,$D$19)&lt;MAX($P$34*($B126+IF($R$17="Distrato",$I$38-1,0)),IF(AND($L$37=0,$P$34=0),"",$L$37-1),IF($R$17="Distrato",$E126,0))),0,YEARFRAC(MAX($P$34*($B126+IF($R$17="Distrato",$I$38-1,0)),IF(AND($L$37=0,$P$34=0),"",$L$37-1),IF($R$17="Distrato",$E126,0)),MIN(AJ$38,$D$19),$P$20))-SUM($P126:AI126)</f>
        <v>#VALUE!</v>
      </c>
      <c r="AK126" s="446" t="e">
        <f>IF(OR($B126="",MIN(AK$38,$D$19)&lt;MAX($P$34*($B126+IF($R$17="Distrato",$I$38-1,0)),IF(AND($L$37=0,$P$34=0),"",$L$37-1),IF($R$17="Distrato",$E126,0))),0,YEARFRAC(MAX($P$34*($B126+IF($R$17="Distrato",$I$38-1,0)),IF(AND($L$37=0,$P$34=0),"",$L$37-1),IF($R$17="Distrato",$E126,0)),MIN(AK$38,$D$19),$P$20))-SUM($P126:AJ126)</f>
        <v>#VALUE!</v>
      </c>
      <c r="AL126" s="446" t="e">
        <f>IF(OR($B126="",MIN(AL$38,$D$19)&lt;MAX($P$34*($B126+IF($R$17="Distrato",$I$38-1,0)),IF(AND($L$37=0,$P$34=0),"",$L$37-1),IF($R$17="Distrato",$E126,0))),0,YEARFRAC(MAX($P$34*($B126+IF($R$17="Distrato",$I$38-1,0)),IF(AND($L$37=0,$P$34=0),"",$L$37-1),IF($R$17="Distrato",$E126,0)),MIN(AL$38,$D$19),$P$20))-SUM($P126:AK126)</f>
        <v>#VALUE!</v>
      </c>
      <c r="AM126" s="446" t="e">
        <f>IF(OR($B126="",MIN(AM$38,$D$19)&lt;MAX($P$34*($B126+IF($R$17="Distrato",$I$38-1,0)),IF(AND($L$37=0,$P$34=0),"",$L$37-1),IF($R$17="Distrato",$E126,0))),0,YEARFRAC(MAX($P$34*($B126+IF($R$17="Distrato",$I$38-1,0)),IF(AND($L$37=0,$P$34=0),"",$L$37-1),IF($R$17="Distrato",$E126,0)),MIN(AM$38,$D$19),$P$20))-SUM($P126:AL126)</f>
        <v>#VALUE!</v>
      </c>
      <c r="AN126" s="446" t="e">
        <f>IF(OR($B126="",MIN(AN$38,$D$19)&lt;MAX($P$34*($B126+IF($R$17="Distrato",$I$38-1,0)),IF(AND($L$37=0,$P$34=0),"",$L$37-1),IF($R$17="Distrato",$E126,0))),0,YEARFRAC(MAX($P$34*($B126+IF($R$17="Distrato",$I$38-1,0)),IF(AND($L$37=0,$P$34=0),"",$L$37-1),IF($R$17="Distrato",$E126,0)),MIN(AN$38,$D$19),$P$20))-SUM($P126:AM126)</f>
        <v>#VALUE!</v>
      </c>
      <c r="AO126" s="446" t="e">
        <f>IF(OR($B126="",MIN(AO$38,$D$19)&lt;MAX($P$34*($B126+IF($R$17="Distrato",$I$38-1,0)),IF(AND($L$37=0,$P$34=0),"",$L$37-1),IF($R$17="Distrato",$E126,0))),0,YEARFRAC(MAX($P$34*($B126+IF($R$17="Distrato",$I$38-1,0)),IF(AND($L$37=0,$P$34=0),"",$L$37-1),IF($R$17="Distrato",$E126,0)),MIN(AO$38,$D$19),$P$20))-SUM($P126:AN126)</f>
        <v>#VALUE!</v>
      </c>
      <c r="AP126" s="446" t="e">
        <f>IF(OR($B126="",MIN(AP$38,$D$19)&lt;MAX($P$34*($B126+IF($R$17="Distrato",$I$38-1,0)),IF(AND($L$37=0,$P$34=0),"",$L$37-1),IF($R$17="Distrato",$E126,0))),0,YEARFRAC(MAX($P$34*($B126+IF($R$17="Distrato",$I$38-1,0)),IF(AND($L$37=0,$P$34=0),"",$L$37-1),IF($R$17="Distrato",$E126,0)),MIN(AP$38,$D$19),$P$20))-SUM($P126:AO126)</f>
        <v>#VALUE!</v>
      </c>
      <c r="AQ126" s="446" t="e">
        <f>IF(OR($B126="",MIN(AQ$38,$D$19)&lt;MAX($P$34*($B126+IF($R$17="Distrato",$I$38-1,0)),IF(AND($L$37=0,$P$34=0),"",$L$37-1),IF($R$17="Distrato",$E126,0))),0,YEARFRAC(MAX($P$34*($B126+IF($R$17="Distrato",$I$38-1,0)),IF(AND($L$37=0,$P$34=0),"",$L$37-1),IF($R$17="Distrato",$E126,0)),MIN(AQ$38,$D$19),$P$20))-SUM($P126:AP126)</f>
        <v>#VALUE!</v>
      </c>
      <c r="AR126" s="446" t="e">
        <f>IF(OR($B126="",MIN(AR$38,$D$19)&lt;MAX($P$34*($B126+IF($R$17="Distrato",$I$38-1,0)),IF(AND($L$37=0,$P$34=0),"",$L$37-1),IF($R$17="Distrato",$E126,0))),0,YEARFRAC(MAX($P$34*($B126+IF($R$17="Distrato",$I$38-1,0)),IF(AND($L$37=0,$P$34=0),"",$L$37-1),IF($R$17="Distrato",$E126,0)),MIN(AR$38,$D$19),$P$20))-SUM($P126:AQ126)</f>
        <v>#VALUE!</v>
      </c>
      <c r="AS126" s="446" t="e">
        <f>IF(OR($B126="",MIN(AS$38,$D$19)&lt;MAX($P$34*($B126+IF($R$17="Distrato",$I$38-1,0)),IF(AND($L$37=0,$P$34=0),"",$L$37-1),IF($R$17="Distrato",$E126,0))),0,YEARFRAC(MAX($P$34*($B126+IF($R$17="Distrato",$I$38-1,0)),IF(AND($L$37=0,$P$34=0),"",$L$37-1),IF($R$17="Distrato",$E126,0)),MIN(AS$38,$D$19),$P$20))-SUM($P126:AR126)</f>
        <v>#VALUE!</v>
      </c>
      <c r="AT126" s="446" t="e">
        <f>IF(OR($B126="",MIN(AT$38,$D$19)&lt;MAX($P$34*($B126+IF($R$17="Distrato",$I$38-1,0)),IF(AND($L$37=0,$P$34=0),"",$L$37-1),IF($R$17="Distrato",$E126,0))),0,YEARFRAC(MAX($P$34*($B126+IF($R$17="Distrato",$I$38-1,0)),IF(AND($L$37=0,$P$34=0),"",$L$37-1),IF($R$17="Distrato",$E126,0)),MIN(AT$38,$D$19),$P$20))-SUM($P126:AS126)</f>
        <v>#VALUE!</v>
      </c>
      <c r="AU126" s="446" t="e">
        <f>IF(OR($B126="",MIN(AU$38,$D$19)&lt;MAX($P$34*($B126+IF($R$17="Distrato",$I$38-1,0)),IF(AND($L$37=0,$P$34=0),"",$L$37-1),IF($R$17="Distrato",$E126,0))),0,YEARFRAC(MAX($P$34*($B126+IF($R$17="Distrato",$I$38-1,0)),IF(AND($L$37=0,$P$34=0),"",$L$37-1),IF($R$17="Distrato",$E126,0)),MIN(AU$38,$D$19),$P$20))-SUM($P126:AT126)</f>
        <v>#VALUE!</v>
      </c>
      <c r="AV126" s="446" t="e">
        <f>IF(OR($B126="",MIN(AV$38,$D$19)&lt;MAX($P$34*($B126+IF($R$17="Distrato",$I$38-1,0)),IF(AND($L$37=0,$P$34=0),"",$L$37-1),IF($R$17="Distrato",$E126,0))),0,YEARFRAC(MAX($P$34*($B126+IF($R$17="Distrato",$I$38-1,0)),IF(AND($L$37=0,$P$34=0),"",$L$37-1),IF($R$17="Distrato",$E126,0)),MIN(AV$38,$D$19),$P$20))-SUM($P126:AU126)</f>
        <v>#VALUE!</v>
      </c>
      <c r="AW126" s="446" t="e">
        <f>IF(OR($B126="",MIN(AW$38,$D$19)&lt;MAX($P$34*($B126+IF($R$17="Distrato",$I$38-1,0)),IF(AND($L$37=0,$P$34=0),"",$L$37-1),IF($R$17="Distrato",$E126,0))),0,YEARFRAC(MAX($P$34*($B126+IF($R$17="Distrato",$I$38-1,0)),IF(AND($L$37=0,$P$34=0),"",$L$37-1),IF($R$17="Distrato",$E126,0)),MIN(AW$38,$D$19),$P$20))-SUM($P126:AV126)</f>
        <v>#VALUE!</v>
      </c>
      <c r="AX126" s="446" t="e">
        <f>IF(OR($B126="",MIN(AX$38,$D$19)&lt;MAX($P$34*($B126+IF($R$17="Distrato",$I$38-1,0)),IF(AND($L$37=0,$P$34=0),"",$L$37-1),IF($R$17="Distrato",$E126,0))),0,YEARFRAC(MAX($P$34*($B126+IF($R$17="Distrato",$I$38-1,0)),IF(AND($L$37=0,$P$34=0),"",$L$37-1),IF($R$17="Distrato",$E126,0)),MIN(AX$38,$D$19),$P$20))-SUM($P126:AW126)</f>
        <v>#VALUE!</v>
      </c>
      <c r="AY126" s="446" t="e">
        <f>IF(OR($B126="",MIN(AY$38,$D$19)&lt;MAX($P$34*($B126+IF($R$17="Distrato",$I$38-1,0)),IF(AND($L$37=0,$P$34=0),"",$L$37-1),IF($R$17="Distrato",$E126,0))),0,YEARFRAC(MAX($P$34*($B126+IF($R$17="Distrato",$I$38-1,0)),IF(AND($L$37=0,$P$34=0),"",$L$37-1),IF($R$17="Distrato",$E126,0)),MIN(AY$38,$D$19),$P$20))-SUM($P126:AX126)</f>
        <v>#VALUE!</v>
      </c>
      <c r="AZ126" s="446" t="e">
        <f>IF(OR($B126="",MIN(AZ$38,$D$19)&lt;MAX($P$34*($B126+IF($R$17="Distrato",$I$38-1,0)),IF(AND($L$37=0,$P$34=0),"",$L$37-1),IF($R$17="Distrato",$E126,0))),0,YEARFRAC(MAX($P$34*($B126+IF($R$17="Distrato",$I$38-1,0)),IF(AND($L$37=0,$P$34=0),"",$L$37-1),IF($R$17="Distrato",$E126,0)),MIN(AZ$38,$D$19),$P$20))-SUM($P126:AY126)</f>
        <v>#VALUE!</v>
      </c>
      <c r="BA126" s="446" t="e">
        <f>IF(OR($B126="",MIN(BA$38,$D$19)&lt;MAX($P$34*($B126+IF($R$17="Distrato",$I$38-1,0)),IF(AND($L$37=0,$P$34=0),"",$L$37-1),IF($R$17="Distrato",$E126,0))),0,YEARFRAC(MAX($P$34*($B126+IF($R$17="Distrato",$I$38-1,0)),IF(AND($L$37=0,$P$34=0),"",$L$37-1),IF($R$17="Distrato",$E126,0)),MIN(BA$38,$D$19),$P$20))-SUM($P126:AZ126)</f>
        <v>#VALUE!</v>
      </c>
      <c r="BB126" s="447"/>
      <c r="BF126" s="446">
        <f t="shared" si="21"/>
        <v>0</v>
      </c>
      <c r="BG126" s="446">
        <f>IF($E126=0,0,IF(MIN(BG$38,$E126)&lt;MAX($P$34*($B126+$I$38-1),IF(AND($L$37=0,$P$34=0),"",$L$37-1)),0,YEARFRAC(MAX($P$34*($B126+$I$38-1),IF(AND($L$37=0,$P$34=0),"",$L$37-1)),MIN(BG$38,$E126),$P$20))-SUM($BF126:BF126))</f>
        <v>0</v>
      </c>
      <c r="BH126" s="446">
        <f>IF($E126=0,0,IF(MIN(BH$38,$E126)&lt;MAX($P$34*($B126+$I$38-1),IF(AND($L$37=0,$P$34=0),"",$L$37-1)),0,YEARFRAC(MAX($P$34*($B126+$I$38-1),IF(AND($L$37=0,$P$34=0),"",$L$37-1)),MIN(BH$38,$E126),$P$20))-SUM($BF126:BG126))</f>
        <v>0</v>
      </c>
      <c r="BI126" s="446">
        <f>IF($E126=0,0,IF(MIN(BI$38,$E126)&lt;MAX($P$34*($B126+$I$38-1),IF(AND($L$37=0,$P$34=0),"",$L$37-1)),0,YEARFRAC(MAX($P$34*($B126+$I$38-1),IF(AND($L$37=0,$P$34=0),"",$L$37-1)),MIN(BI$38,$E126),$P$20))-SUM($BF126:BH126))</f>
        <v>0</v>
      </c>
      <c r="BJ126" s="446">
        <f>IF($E126=0,0,IF(MIN(BJ$38,$E126)&lt;MAX($P$34*($B126+$I$38-1),IF(AND($L$37=0,$P$34=0),"",$L$37-1)),0,YEARFRAC(MAX($P$34*($B126+$I$38-1),IF(AND($L$37=0,$P$34=0),"",$L$37-1)),MIN(BJ$38,$E126),$P$20))-SUM($BF126:BI126))</f>
        <v>0</v>
      </c>
      <c r="BK126" s="446">
        <f>IF($E126=0,0,IF(MIN(BK$38,$E126)&lt;MAX($P$34*($B126+$I$38-1),IF(AND($L$37=0,$P$34=0),"",$L$37-1)),0,YEARFRAC(MAX($P$34*($B126+$I$38-1),IF(AND($L$37=0,$P$34=0),"",$L$37-1)),MIN(BK$38,$E126),$P$20))-SUM($BF126:BJ126))</f>
        <v>0</v>
      </c>
      <c r="BL126" s="446">
        <f>IF($E126=0,0,IF(MIN(BL$38,$E126)&lt;MAX($P$34*($B126+$I$38-1),IF(AND($L$37=0,$P$34=0),"",$L$37-1)),0,YEARFRAC(MAX($P$34*($B126+$I$38-1),IF(AND($L$37=0,$P$34=0),"",$L$37-1)),MIN(BL$38,$E126),$P$20))-SUM($BF126:BK126))</f>
        <v>0</v>
      </c>
      <c r="BM126" s="446">
        <f>IF($E126=0,0,IF(MIN(BM$38,$E126)&lt;MAX($P$34*($B126+$I$38-1),IF(AND($L$37=0,$P$34=0),"",$L$37-1)),0,YEARFRAC(MAX($P$34*($B126+$I$38-1),IF(AND($L$37=0,$P$34=0),"",$L$37-1)),MIN(BM$38,$E126),$P$20))-SUM($BF126:BL126))</f>
        <v>0</v>
      </c>
      <c r="BN126" s="446">
        <f>IF($E126=0,0,IF(MIN(BN$38,$E126)&lt;MAX($P$34*($B126+$I$38-1),IF(AND($L$37=0,$P$34=0),"",$L$37-1)),0,YEARFRAC(MAX($P$34*($B126+$I$38-1),IF(AND($L$37=0,$P$34=0),"",$L$37-1)),MIN(BN$38,$E126),$P$20))-SUM($BF126:BM126))</f>
        <v>0</v>
      </c>
      <c r="BO126" s="446">
        <f>IF($E126=0,0,IF(MIN(BO$38,$E126)&lt;MAX($P$34*($B126+$I$38-1),IF(AND($L$37=0,$P$34=0),"",$L$37-1)),0,YEARFRAC(MAX($P$34*($B126+$I$38-1),IF(AND($L$37=0,$P$34=0),"",$L$37-1)),MIN(BO$38,$E126),$P$20))-SUM($BF126:BN126))</f>
        <v>0</v>
      </c>
      <c r="BP126" s="446">
        <f>IF($E126=0,0,IF(MIN(BP$38,$E126)&lt;MAX($P$34*($B126+$I$38-1),IF(AND($L$37=0,$P$34=0),"",$L$37-1)),0,YEARFRAC(MAX($P$34*($B126+$I$38-1),IF(AND($L$37=0,$P$34=0),"",$L$37-1)),MIN(BP$38,$E126),$P$20))-SUM($BF126:BO126))</f>
        <v>0</v>
      </c>
      <c r="BQ126" s="446">
        <f>IF($E126=0,0,IF(MIN(BQ$38,$E126)&lt;MAX($P$34*($B126+$I$38-1),IF(AND($L$37=0,$P$34=0),"",$L$37-1)),0,YEARFRAC(MAX($P$34*($B126+$I$38-1),IF(AND($L$37=0,$P$34=0),"",$L$37-1)),MIN(BQ$38,$E126),$P$20))-SUM($BF126:BP126))</f>
        <v>0</v>
      </c>
      <c r="BR126" s="446">
        <f>IF($E126=0,0,IF(MIN(BR$38,$E126)&lt;MAX($P$34*($B126+$I$38-1),IF(AND($L$37=0,$P$34=0),"",$L$37-1)),0,YEARFRAC(MAX($P$34*($B126+$I$38-1),IF(AND($L$37=0,$P$34=0),"",$L$37-1)),MIN(BR$38,$E126),$P$20))-SUM($BF126:BQ126))</f>
        <v>0</v>
      </c>
      <c r="BS126" s="446">
        <f>IF($E126=0,0,IF(MIN(BS$38,$E126)&lt;MAX($P$34*($B126+$I$38-1),IF(AND($L$37=0,$P$34=0),"",$L$37-1)),0,YEARFRAC(MAX($P$34*($B126+$I$38-1),IF(AND($L$37=0,$P$34=0),"",$L$37-1)),MIN(BS$38,$E126),$P$20))-SUM($BF126:BR126))</f>
        <v>0</v>
      </c>
      <c r="BT126" s="446">
        <f>IF($E126=0,0,IF(MIN(BT$38,$E126)&lt;MAX($P$34*($B126+$I$38-1),IF(AND($L$37=0,$P$34=0),"",$L$37-1)),0,YEARFRAC(MAX($P$34*($B126+$I$38-1),IF(AND($L$37=0,$P$34=0),"",$L$37-1)),MIN(BT$38,$E126),$P$20))-SUM($BF126:BS126))</f>
        <v>0</v>
      </c>
      <c r="BU126" s="446">
        <f>IF($E126=0,0,IF(MIN(BU$38,$E126)&lt;MAX($P$34*($B126+$I$38-1),IF(AND($L$37=0,$P$34=0),"",$L$37-1)),0,YEARFRAC(MAX($P$34*($B126+$I$38-1),IF(AND($L$37=0,$P$34=0),"",$L$37-1)),MIN(BU$38,$E126),$P$20))-SUM($BF126:BT126))</f>
        <v>0</v>
      </c>
      <c r="BV126" s="446">
        <f>IF($E126=0,0,IF(MIN(BV$38,$E126)&lt;MAX($P$34*($B126+$I$38-1),IF(AND($L$37=0,$P$34=0),"",$L$37-1)),0,YEARFRAC(MAX($P$34*($B126+$I$38-1),IF(AND($L$37=0,$P$34=0),"",$L$37-1)),MIN(BV$38,$E126),$P$20))-SUM($BF126:BU126))</f>
        <v>0</v>
      </c>
      <c r="BW126" s="446">
        <f>IF($E126=0,0,IF(MIN(BW$38,$E126)&lt;MAX($P$34*($B126+$I$38-1),IF(AND($L$37=0,$P$34=0),"",$L$37-1)),0,YEARFRAC(MAX($P$34*($B126+$I$38-1),IF(AND($L$37=0,$P$34=0),"",$L$37-1)),MIN(BW$38,$E126),$P$20))-SUM($BF126:BV126))</f>
        <v>0</v>
      </c>
      <c r="BX126" s="446">
        <f>IF($E126=0,0,IF(MIN(BX$38,$E126)&lt;MAX($P$34*($B126+$I$38-1),IF(AND($L$37=0,$P$34=0),"",$L$37-1)),0,YEARFRAC(MAX($P$34*($B126+$I$38-1),IF(AND($L$37=0,$P$34=0),"",$L$37-1)),MIN(BX$38,$E126),$P$20))-SUM($BF126:BW126))</f>
        <v>0</v>
      </c>
      <c r="BY126" s="446">
        <f>IF($E126=0,0,IF(MIN(BY$38,$E126)&lt;MAX($P$34*($B126+$I$38-1),IF(AND($L$37=0,$P$34=0),"",$L$37-1)),0,YEARFRAC(MAX($P$34*($B126+$I$38-1),IF(AND($L$37=0,$P$34=0),"",$L$37-1)),MIN(BY$38,$E126),$P$20))-SUM($BF126:BX126))</f>
        <v>0</v>
      </c>
      <c r="BZ126" s="446">
        <f>IF($E126=0,0,IF(MIN(BZ$38,$E126)&lt;MAX($P$34*($B126+$I$38-1),IF(AND($L$37=0,$P$34=0),"",$L$37-1)),0,YEARFRAC(MAX($P$34*($B126+$I$38-1),IF(AND($L$37=0,$P$34=0),"",$L$37-1)),MIN(BZ$38,$E126),$P$20))-SUM($BF126:BY126))</f>
        <v>0</v>
      </c>
      <c r="CA126" s="446">
        <f>IF($E126=0,0,IF(MIN(CA$38,$E126)&lt;MAX($P$34*($B126+$I$38-1),IF(AND($L$37=0,$P$34=0),"",$L$37-1)),0,YEARFRAC(MAX($P$34*($B126+$I$38-1),IF(AND($L$37=0,$P$34=0),"",$L$37-1)),MIN(CA$38,$E126),$P$20))-SUM($BF126:BZ126))</f>
        <v>0</v>
      </c>
      <c r="CB126" s="446">
        <f>IF($E126=0,0,IF(MIN(CB$38,$E126)&lt;MAX($P$34*($B126+$I$38-1),IF(AND($L$37=0,$P$34=0),"",$L$37-1)),0,YEARFRAC(MAX($P$34*($B126+$I$38-1),IF(AND($L$37=0,$P$34=0),"",$L$37-1)),MIN(CB$38,$E126),$P$20))-SUM($BF126:CA126))</f>
        <v>0</v>
      </c>
      <c r="CC126" s="446">
        <f>IF($E126=0,0,IF(MIN(CC$38,$E126)&lt;MAX($P$34*($B126+$I$38-1),IF(AND($L$37=0,$P$34=0),"",$L$37-1)),0,YEARFRAC(MAX($P$34*($B126+$I$38-1),IF(AND($L$37=0,$P$34=0),"",$L$37-1)),MIN(CC$38,$E126),$P$20))-SUM($BF126:CB126))</f>
        <v>0</v>
      </c>
      <c r="CD126" s="446">
        <f>IF($E126=0,0,IF(MIN(CD$38,$E126)&lt;MAX($P$34*($B126+$I$38-1),IF(AND($L$37=0,$P$34=0),"",$L$37-1)),0,YEARFRAC(MAX($P$34*($B126+$I$38-1),IF(AND($L$37=0,$P$34=0),"",$L$37-1)),MIN(CD$38,$E126),$P$20))-SUM($BF126:CC126))</f>
        <v>0</v>
      </c>
      <c r="CE126" s="446">
        <f>IF($E126=0,0,IF(MIN(CE$38,$E126)&lt;MAX($P$34*($B126+$I$38-1),IF(AND($L$37=0,$P$34=0),"",$L$37-1)),0,YEARFRAC(MAX($P$34*($B126+$I$38-1),IF(AND($L$37=0,$P$34=0),"",$L$37-1)),MIN(CE$38,$E126),$P$20))-SUM($BF126:CD126))</f>
        <v>0</v>
      </c>
      <c r="CF126" s="446">
        <f>IF($E126=0,0,IF(MIN(CF$38,$E126)&lt;MAX($P$34*($B126+$I$38-1),IF(AND($L$37=0,$P$34=0),"",$L$37-1)),0,YEARFRAC(MAX($P$34*($B126+$I$38-1),IF(AND($L$37=0,$P$34=0),"",$L$37-1)),MIN(CF$38,$E126),$P$20))-SUM($BF126:CE126))</f>
        <v>0</v>
      </c>
      <c r="CG126" s="446">
        <f>IF($E126=0,0,IF(MIN(CG$38,$E126)&lt;MAX($P$34*($B126+$I$38-1),IF(AND($L$37=0,$P$34=0),"",$L$37-1)),0,YEARFRAC(MAX($P$34*($B126+$I$38-1),IF(AND($L$37=0,$P$34=0),"",$L$37-1)),MIN(CG$38,$E126),$P$20))-SUM($BF126:CF126))</f>
        <v>0</v>
      </c>
      <c r="CH126" s="446">
        <f>IF($E126=0,0,IF(MIN(CH$38,$E126)&lt;MAX($P$34*($B126+$I$38-1),IF(AND($L$37=0,$P$34=0),"",$L$37-1)),0,YEARFRAC(MAX($P$34*($B126+$I$38-1),IF(AND($L$37=0,$P$34=0),"",$L$37-1)),MIN(CH$38,$E126),$P$20))-SUM($BF126:CG126))</f>
        <v>0</v>
      </c>
      <c r="CI126" s="446">
        <f>IF($E126=0,0,IF(MIN(CI$38,$E126)&lt;MAX($P$34*($B126+$I$38-1),IF(AND($L$37=0,$P$34=0),"",$L$37-1)),0,YEARFRAC(MAX($P$34*($B126+$I$38-1),IF(AND($L$37=0,$P$34=0),"",$L$37-1)),MIN(CI$38,$E126),$P$20))-SUM($BF126:CH126))</f>
        <v>0</v>
      </c>
      <c r="CJ126" s="446">
        <f>IF($E126=0,0,IF(MIN(CJ$38,$E126)&lt;MAX($P$34*($B126+$I$38-1),IF(AND($L$37=0,$P$34=0),"",$L$37-1)),0,YEARFRAC(MAX($P$34*($B126+$I$38-1),IF(AND($L$37=0,$P$34=0),"",$L$37-1)),MIN(CJ$38,$E126),$P$20))-SUM($BF126:CI126))</f>
        <v>0</v>
      </c>
      <c r="CK126" s="446">
        <f>IF($E126=0,0,IF(MIN(CK$38,$E126)&lt;MAX($P$34*($B126+$I$38-1),IF(AND($L$37=0,$P$34=0),"",$L$37-1)),0,YEARFRAC(MAX($P$34*($B126+$I$38-1),IF(AND($L$37=0,$P$34=0),"",$L$37-1)),MIN(CK$38,$E126),$P$20))-SUM($BF126:CJ126))</f>
        <v>0</v>
      </c>
      <c r="CL126" s="446">
        <f>IF($E126=0,0,IF(MIN(CL$38,$E126)&lt;MAX($P$34*($B126+$I$38-1),IF(AND($L$37=0,$P$34=0),"",$L$37-1)),0,YEARFRAC(MAX($P$34*($B126+$I$38-1),IF(AND($L$37=0,$P$34=0),"",$L$37-1)),MIN(CL$38,$E126),$P$20))-SUM($BF126:CK126))</f>
        <v>0</v>
      </c>
      <c r="CM126" s="446">
        <f>IF($E126=0,0,IF(MIN(CM$38,$E126)&lt;MAX($P$34*($B126+$I$38-1),IF(AND($L$37=0,$P$34=0),"",$L$37-1)),0,YEARFRAC(MAX($P$34*($B126+$I$38-1),IF(AND($L$37=0,$P$34=0),"",$L$37-1)),MIN(CM$38,$E126),$P$20))-SUM($BF126:CL126))</f>
        <v>0</v>
      </c>
      <c r="CN126" s="446">
        <f>IF($E126=0,0,IF(MIN(CN$38,$E126)&lt;MAX($P$34*($B126+$I$38-1),IF(AND($L$37=0,$P$34=0),"",$L$37-1)),0,YEARFRAC(MAX($P$34*($B126+$I$38-1),IF(AND($L$37=0,$P$34=0),"",$L$37-1)),MIN(CN$38,$E126),$P$20))-SUM($BF126:CM126))</f>
        <v>0</v>
      </c>
      <c r="CO126" s="446">
        <f>IF($E126=0,0,IF(MIN(CO$38,$E126)&lt;MAX($P$34*($B126+$I$38-1),IF(AND($L$37=0,$P$34=0),"",$L$37-1)),0,YEARFRAC(MAX($P$34*($B126+$I$38-1),IF(AND($L$37=0,$P$34=0),"",$L$37-1)),MIN(CO$38,$E126),$P$20))-SUM($BF126:CN126))</f>
        <v>0</v>
      </c>
      <c r="CP126" s="446">
        <f>IF($E126=0,0,IF(MIN(CP$38,$E126)&lt;MAX($P$34*($B126+$I$38-1),IF(AND($L$37=0,$P$34=0),"",$L$37-1)),0,YEARFRAC(MAX($P$34*($B126+$I$38-1),IF(AND($L$37=0,$P$34=0),"",$L$37-1)),MIN(CP$38,$E126),$P$20))-SUM($BF126:CO126))</f>
        <v>0</v>
      </c>
      <c r="CQ126" s="446">
        <f>IF($E126=0,0,IF(MIN(CQ$38,$E126)&lt;MAX($P$34*($B126+$I$38-1),IF(AND($L$37=0,$P$34=0),"",$L$37-1)),0,YEARFRAC(MAX($P$34*($B126+$I$38-1),IF(AND($L$37=0,$P$34=0),"",$L$37-1)),MIN(CQ$38,$E126),$P$20))-SUM($BF126:CP126))</f>
        <v>0</v>
      </c>
    </row>
    <row r="127" spans="1:95" s="446" customFormat="1" ht="11.25" hidden="1" customHeight="1" x14ac:dyDescent="0.2">
      <c r="A127" s="152"/>
      <c r="B127" s="153" t="str">
        <f t="shared" si="26"/>
        <v/>
      </c>
      <c r="C127" s="29" t="str">
        <f>IF(B127="","",IF($L$35="SELIC - TRIBUTOS",VLOOKUP(DATE(YEAR($D$19),MONTH($D$19)-1,1),ÍNDICES!$A:$DE,HLOOKUP($BL$25,ÍNDICES!$B$3:$T$4,2)+11)-VLOOKUP(B127,ÍNDICES!$A:$DE,HLOOKUP($BL$25,ÍNDICES!$B$3:$T$4,2)+11)+1%,IF(C$38=$W$26,$J$35,IF(ISERROR(IF(B127&gt;$D$19,1,VLOOKUP(DATE(YEAR(B127),MONTH(B127)+IF($C$35=$S$23,1,0),1),ÍNDICES!$A:$DE,$Z$35+1))),"",IF(B127&gt;$D$19,1,VLOOKUP(DATE(YEAR(B127),MONTH(B127)+IF($C$35=$S$23,1,0),1),ÍNDICES!$A:$DE,$Z$35+1))))))</f>
        <v/>
      </c>
      <c r="D127" s="154" t="str">
        <f>IF(ISERROR(IF(OR($D$38=$Y$27,$B127=""),"",VLOOKUP(B127,ÍNDICES!A:DE,AF$35+1))),"",IF(OR($D$38=$Y$27,$B127=""),"",VLOOKUP(B127,ÍNDICES!A:DE,AF$35+1)))</f>
        <v/>
      </c>
      <c r="E127" s="153"/>
      <c r="F127" s="29" t="str">
        <f>IF(E127="","",IF($L$35="SELIC - TRIBUTOS",VLOOKUP(DATE(YEAR($D$19),MONTH($D$19)-1,1),ÍNDICES!$A:$DE,HLOOKUP($BL$25,ÍNDICES!$B$3:$T$4,2)+11)-VLOOKUP(E127,ÍNDICES!$A:$DE,HLOOKUP($BL$25,ÍNDICES!$B$3:$T$4,2)+11)+1%,IF(F$38=$W$26,$J$35,IF(ISERROR(IF(E127&gt;$D$19,1,VLOOKUP(DATE(YEAR(E127),MONTH(E127)+IF($C$35=$S$23,1,0),1),ÍNDICES!$A:$DE,$Z$35+1))),"",IF(E127&gt;$D$19,1,VLOOKUP(DATE(YEAR(E127),MONTH(E127)+IF($C$35=$S$23,1,0),1),ÍNDICES!$A:$DE,$Z$35+1))))))</f>
        <v/>
      </c>
      <c r="G127" s="155"/>
      <c r="H127" s="156" t="str">
        <f t="shared" si="22"/>
        <v/>
      </c>
      <c r="I127" s="29" t="str">
        <f t="shared" si="16"/>
        <v/>
      </c>
      <c r="J127" s="5">
        <f t="shared" si="17"/>
        <v>0</v>
      </c>
      <c r="K127" s="20">
        <f t="shared" ca="1" si="18"/>
        <v>0</v>
      </c>
      <c r="L127" s="5">
        <f t="shared" ca="1" si="19"/>
        <v>0</v>
      </c>
      <c r="M127" s="64">
        <f t="shared" si="23"/>
        <v>0</v>
      </c>
      <c r="N127" s="61">
        <f t="shared" ca="1" si="24"/>
        <v>0</v>
      </c>
      <c r="O127" s="5">
        <f t="shared" ca="1" si="25"/>
        <v>0</v>
      </c>
      <c r="P127" s="446" t="e">
        <f t="shared" si="20"/>
        <v>#VALUE!</v>
      </c>
      <c r="Q127" s="446" t="e">
        <f>IF(OR($B127="",MIN(Q$38,$D$19)&lt;MAX($P$34*($B127+IF($R$17="Distrato",$I$38-1,0)),IF(AND($L$37=0,$P$34=0),"",$L$37-1),IF($R$17="Distrato",$E127,0))),0,YEARFRAC(MAX($P$34*($B127+IF($R$17="Distrato",$I$38-1,0)),IF(AND($L$37=0,$P$34=0),"",$L$37-1),IF($R$17="Distrato",$E127,0)),MIN(Q$38,$D$19),$P$20))-SUM($P127:P127)</f>
        <v>#VALUE!</v>
      </c>
      <c r="R127" s="446" t="e">
        <f>IF(OR($B127="",MIN(R$38,$D$19)&lt;MAX($P$34*($B127+IF($R$17="Distrato",$I$38-1,0)),IF(AND($L$37=0,$P$34=0),"",$L$37-1),IF($R$17="Distrato",$E127,0))),0,YEARFRAC(MAX($P$34*($B127+IF($R$17="Distrato",$I$38-1,0)),IF(AND($L$37=0,$P$34=0),"",$L$37-1),IF($R$17="Distrato",$E127,0)),MIN(R$38,$D$19),$P$20))-SUM($P127:Q127)</f>
        <v>#VALUE!</v>
      </c>
      <c r="S127" s="446" t="e">
        <f>IF(OR($B127="",MIN(S$38,$D$19)&lt;MAX($P$34*($B127+IF($R$17="Distrato",$I$38-1,0)),IF(AND($L$37=0,$P$34=0),"",$L$37-1),IF($R$17="Distrato",$E127,0))),0,YEARFRAC(MAX($P$34*($B127+IF($R$17="Distrato",$I$38-1,0)),IF(AND($L$37=0,$P$34=0),"",$L$37-1),IF($R$17="Distrato",$E127,0)),MIN(S$38,$D$19),$P$20))-SUM($P127:R127)</f>
        <v>#VALUE!</v>
      </c>
      <c r="T127" s="446" t="e">
        <f>IF(OR($B127="",MIN(T$38,$D$19)&lt;MAX($P$34*($B127+IF($R$17="Distrato",$I$38-1,0)),IF(AND($L$37=0,$P$34=0),"",$L$37-1),IF($R$17="Distrato",$E127,0))),0,YEARFRAC(MAX($P$34*($B127+IF($R$17="Distrato",$I$38-1,0)),IF(AND($L$37=0,$P$34=0),"",$L$37-1),IF($R$17="Distrato",$E127,0)),MIN(T$38,$D$19),$P$20))-SUM($P127:S127)</f>
        <v>#VALUE!</v>
      </c>
      <c r="U127" s="446" t="e">
        <f>IF(OR($B127="",MIN(U$38,$D$19)&lt;MAX($P$34*($B127+IF($R$17="Distrato",$I$38-1,0)),IF(AND($L$37=0,$P$34=0),"",$L$37-1),IF($R$17="Distrato",$E127,0))),0,YEARFRAC(MAX($P$34*($B127+IF($R$17="Distrato",$I$38-1,0)),IF(AND($L$37=0,$P$34=0),"",$L$37-1),IF($R$17="Distrato",$E127,0)),MIN(U$38,$D$19),$P$20))-SUM($P127:T127)</f>
        <v>#VALUE!</v>
      </c>
      <c r="V127" s="446" t="e">
        <f>IF(OR($B127="",MIN(V$38,$D$19)&lt;MAX($P$34*($B127+IF($R$17="Distrato",$I$38-1,0)),IF(AND($L$37=0,$P$34=0),"",$L$37-1),IF($R$17="Distrato",$E127,0))),0,YEARFRAC(MAX($P$34*($B127+IF($R$17="Distrato",$I$38-1,0)),IF(AND($L$37=0,$P$34=0),"",$L$37-1),IF($R$17="Distrato",$E127,0)),MIN(V$38,$D$19),$P$20))-SUM($P127:U127)</f>
        <v>#VALUE!</v>
      </c>
      <c r="W127" s="446" t="e">
        <f>IF(OR($B127="",MIN(W$38,$D$19)&lt;MAX($P$34*($B127+IF($R$17="Distrato",$I$38-1,0)),IF(AND($L$37=0,$P$34=0),"",$L$37-1),IF($R$17="Distrato",$E127,0))),0,YEARFRAC(MAX($P$34*($B127+IF($R$17="Distrato",$I$38-1,0)),IF(AND($L$37=0,$P$34=0),"",$L$37-1),IF($R$17="Distrato",$E127,0)),MIN(W$38,$D$19),$P$20))-SUM($P127:V127)</f>
        <v>#VALUE!</v>
      </c>
      <c r="X127" s="446" t="e">
        <f>IF(OR($B127="",MIN(X$38,$D$19)&lt;MAX($P$34*($B127+IF($R$17="Distrato",$I$38-1,0)),IF(AND($L$37=0,$P$34=0),"",$L$37-1),IF($R$17="Distrato",$E127,0))),0,YEARFRAC(MAX($P$34*($B127+IF($R$17="Distrato",$I$38-1,0)),IF(AND($L$37=0,$P$34=0),"",$L$37-1),IF($R$17="Distrato",$E127,0)),MIN(X$38,$D$19),$P$20))-SUM($P127:W127)</f>
        <v>#VALUE!</v>
      </c>
      <c r="Y127" s="446" t="e">
        <f>IF(OR($B127="",MIN(Y$38,$D$19)&lt;MAX($P$34*($B127+IF($R$17="Distrato",$I$38-1,0)),IF(AND($L$37=0,$P$34=0),"",$L$37-1),IF($R$17="Distrato",$E127,0))),0,YEARFRAC(MAX($P$34*($B127+IF($R$17="Distrato",$I$38-1,0)),IF(AND($L$37=0,$P$34=0),"",$L$37-1),IF($R$17="Distrato",$E127,0)),MIN(Y$38,$D$19),$P$20))-SUM($P127:X127)</f>
        <v>#VALUE!</v>
      </c>
      <c r="Z127" s="446" t="e">
        <f>IF(OR($B127="",MIN(Z$38,$D$19)&lt;MAX($P$34*($B127+IF($R$17="Distrato",$I$38-1,0)),IF(AND($L$37=0,$P$34=0),"",$L$37-1),IF($R$17="Distrato",$E127,0))),0,YEARFRAC(MAX($P$34*($B127+IF($R$17="Distrato",$I$38-1,0)),IF(AND($L$37=0,$P$34=0),"",$L$37-1),IF($R$17="Distrato",$E127,0)),MIN(Z$38,$D$19),$P$20))-SUM($P127:Y127)</f>
        <v>#VALUE!</v>
      </c>
      <c r="AA127" s="446" t="e">
        <f>IF(OR($B127="",MIN(AA$38,$D$19)&lt;MAX($P$34*($B127+IF($R$17="Distrato",$I$38-1,0)),IF(AND($L$37=0,$P$34=0),"",$L$37-1),IF($R$17="Distrato",$E127,0))),0,YEARFRAC(MAX($P$34*($B127+IF($R$17="Distrato",$I$38-1,0)),IF(AND($L$37=0,$P$34=0),"",$L$37-1),IF($R$17="Distrato",$E127,0)),MIN(AA$38,$D$19),$P$20))-SUM($P127:Z127)</f>
        <v>#VALUE!</v>
      </c>
      <c r="AB127" s="446" t="e">
        <f>IF(OR($B127="",MIN(AB$38,$D$19)&lt;MAX($P$34*($B127+IF($R$17="Distrato",$I$38-1,0)),IF(AND($L$37=0,$P$34=0),"",$L$37-1),IF($R$17="Distrato",$E127,0))),0,YEARFRAC(MAX($P$34*($B127+IF($R$17="Distrato",$I$38-1,0)),IF(AND($L$37=0,$P$34=0),"",$L$37-1),IF($R$17="Distrato",$E127,0)),MIN(AB$38,$D$19),$P$20))-SUM($P127:AA127)</f>
        <v>#VALUE!</v>
      </c>
      <c r="AC127" s="446" t="e">
        <f>IF(OR($B127="",MIN(AC$38,$D$19)&lt;MAX($P$34*($B127+IF($R$17="Distrato",$I$38-1,0)),IF(AND($L$37=0,$P$34=0),"",$L$37-1),IF($R$17="Distrato",$E127,0))),0,YEARFRAC(MAX($P$34*($B127+IF($R$17="Distrato",$I$38-1,0)),IF(AND($L$37=0,$P$34=0),"",$L$37-1),IF($R$17="Distrato",$E127,0)),MIN(AC$38,$D$19),$P$20))-SUM($P127:AB127)</f>
        <v>#VALUE!</v>
      </c>
      <c r="AD127" s="446" t="e">
        <f>IF(OR($B127="",MIN(AD$38,$D$19)&lt;MAX($P$34*($B127+IF($R$17="Distrato",$I$38-1,0)),IF(AND($L$37=0,$P$34=0),"",$L$37-1),IF($R$17="Distrato",$E127,0))),0,YEARFRAC(MAX($P$34*($B127+IF($R$17="Distrato",$I$38-1,0)),IF(AND($L$37=0,$P$34=0),"",$L$37-1),IF($R$17="Distrato",$E127,0)),MIN(AD$38,$D$19),$P$20))-SUM($P127:AC127)</f>
        <v>#VALUE!</v>
      </c>
      <c r="AE127" s="446" t="e">
        <f>IF(OR($B127="",MIN(AE$38,$D$19)&lt;MAX($P$34*($B127+IF($R$17="Distrato",$I$38-1,0)),IF(AND($L$37=0,$P$34=0),"",$L$37-1),IF($R$17="Distrato",$E127,0))),0,YEARFRAC(MAX($P$34*($B127+IF($R$17="Distrato",$I$38-1,0)),IF(AND($L$37=0,$P$34=0),"",$L$37-1),IF($R$17="Distrato",$E127,0)),MIN(AE$38,$D$19),$P$20))-SUM($P127:AD127)</f>
        <v>#VALUE!</v>
      </c>
      <c r="AF127" s="446" t="e">
        <f>IF(OR($B127="",MIN(AF$38,$D$19)&lt;MAX($P$34*($B127+IF($R$17="Distrato",$I$38-1,0)),IF(AND($L$37=0,$P$34=0),"",$L$37-1),IF($R$17="Distrato",$E127,0))),0,YEARFRAC(MAX($P$34*($B127+IF($R$17="Distrato",$I$38-1,0)),IF(AND($L$37=0,$P$34=0),"",$L$37-1),IF($R$17="Distrato",$E127,0)),MIN(AF$38,$D$19),$P$20))-SUM($P127:AE127)</f>
        <v>#VALUE!</v>
      </c>
      <c r="AG127" s="446" t="e">
        <f>IF(OR($B127="",MIN(AG$38,$D$19)&lt;MAX($P$34*($B127+IF($R$17="Distrato",$I$38-1,0)),IF(AND($L$37=0,$P$34=0),"",$L$37-1),IF($R$17="Distrato",$E127,0))),0,YEARFRAC(MAX($P$34*($B127+IF($R$17="Distrato",$I$38-1,0)),IF(AND($L$37=0,$P$34=0),"",$L$37-1),IF($R$17="Distrato",$E127,0)),MIN(AG$38,$D$19),$P$20))-SUM($P127:AF127)</f>
        <v>#VALUE!</v>
      </c>
      <c r="AH127" s="446" t="e">
        <f>IF(OR($B127="",MIN(AH$38,$D$19)&lt;MAX($P$34*($B127+IF($R$17="Distrato",$I$38-1,0)),IF(AND($L$37=0,$P$34=0),"",$L$37-1),IF($R$17="Distrato",$E127,0))),0,YEARFRAC(MAX($P$34*($B127+IF($R$17="Distrato",$I$38-1,0)),IF(AND($L$37=0,$P$34=0),"",$L$37-1),IF($R$17="Distrato",$E127,0)),MIN(AH$38,$D$19),$P$20))-SUM($P127:AG127)</f>
        <v>#VALUE!</v>
      </c>
      <c r="AI127" s="446" t="e">
        <f>IF(OR($B127="",MIN(AI$38,$D$19)&lt;MAX($P$34*($B127+IF($R$17="Distrato",$I$38-1,0)),IF(AND($L$37=0,$P$34=0),"",$L$37-1),IF($R$17="Distrato",$E127,0))),0,YEARFRAC(MAX($P$34*($B127+IF($R$17="Distrato",$I$38-1,0)),IF(AND($L$37=0,$P$34=0),"",$L$37-1),IF($R$17="Distrato",$E127,0)),MIN(AI$38,$D$19),$P$20))-SUM($P127:AH127)</f>
        <v>#VALUE!</v>
      </c>
      <c r="AJ127" s="446" t="e">
        <f>IF(OR($B127="",MIN(AJ$38,$D$19)&lt;MAX($P$34*($B127+IF($R$17="Distrato",$I$38-1,0)),IF(AND($L$37=0,$P$34=0),"",$L$37-1),IF($R$17="Distrato",$E127,0))),0,YEARFRAC(MAX($P$34*($B127+IF($R$17="Distrato",$I$38-1,0)),IF(AND($L$37=0,$P$34=0),"",$L$37-1),IF($R$17="Distrato",$E127,0)),MIN(AJ$38,$D$19),$P$20))-SUM($P127:AI127)</f>
        <v>#VALUE!</v>
      </c>
      <c r="AK127" s="446" t="e">
        <f>IF(OR($B127="",MIN(AK$38,$D$19)&lt;MAX($P$34*($B127+IF($R$17="Distrato",$I$38-1,0)),IF(AND($L$37=0,$P$34=0),"",$L$37-1),IF($R$17="Distrato",$E127,0))),0,YEARFRAC(MAX($P$34*($B127+IF($R$17="Distrato",$I$38-1,0)),IF(AND($L$37=0,$P$34=0),"",$L$37-1),IF($R$17="Distrato",$E127,0)),MIN(AK$38,$D$19),$P$20))-SUM($P127:AJ127)</f>
        <v>#VALUE!</v>
      </c>
      <c r="AL127" s="446" t="e">
        <f>IF(OR($B127="",MIN(AL$38,$D$19)&lt;MAX($P$34*($B127+IF($R$17="Distrato",$I$38-1,0)),IF(AND($L$37=0,$P$34=0),"",$L$37-1),IF($R$17="Distrato",$E127,0))),0,YEARFRAC(MAX($P$34*($B127+IF($R$17="Distrato",$I$38-1,0)),IF(AND($L$37=0,$P$34=0),"",$L$37-1),IF($R$17="Distrato",$E127,0)),MIN(AL$38,$D$19),$P$20))-SUM($P127:AK127)</f>
        <v>#VALUE!</v>
      </c>
      <c r="AM127" s="446" t="e">
        <f>IF(OR($B127="",MIN(AM$38,$D$19)&lt;MAX($P$34*($B127+IF($R$17="Distrato",$I$38-1,0)),IF(AND($L$37=0,$P$34=0),"",$L$37-1),IF($R$17="Distrato",$E127,0))),0,YEARFRAC(MAX($P$34*($B127+IF($R$17="Distrato",$I$38-1,0)),IF(AND($L$37=0,$P$34=0),"",$L$37-1),IF($R$17="Distrato",$E127,0)),MIN(AM$38,$D$19),$P$20))-SUM($P127:AL127)</f>
        <v>#VALUE!</v>
      </c>
      <c r="AN127" s="446" t="e">
        <f>IF(OR($B127="",MIN(AN$38,$D$19)&lt;MAX($P$34*($B127+IF($R$17="Distrato",$I$38-1,0)),IF(AND($L$37=0,$P$34=0),"",$L$37-1),IF($R$17="Distrato",$E127,0))),0,YEARFRAC(MAX($P$34*($B127+IF($R$17="Distrato",$I$38-1,0)),IF(AND($L$37=0,$P$34=0),"",$L$37-1),IF($R$17="Distrato",$E127,0)),MIN(AN$38,$D$19),$P$20))-SUM($P127:AM127)</f>
        <v>#VALUE!</v>
      </c>
      <c r="AO127" s="446" t="e">
        <f>IF(OR($B127="",MIN(AO$38,$D$19)&lt;MAX($P$34*($B127+IF($R$17="Distrato",$I$38-1,0)),IF(AND($L$37=0,$P$34=0),"",$L$37-1),IF($R$17="Distrato",$E127,0))),0,YEARFRAC(MAX($P$34*($B127+IF($R$17="Distrato",$I$38-1,0)),IF(AND($L$37=0,$P$34=0),"",$L$37-1),IF($R$17="Distrato",$E127,0)),MIN(AO$38,$D$19),$P$20))-SUM($P127:AN127)</f>
        <v>#VALUE!</v>
      </c>
      <c r="AP127" s="446" t="e">
        <f>IF(OR($B127="",MIN(AP$38,$D$19)&lt;MAX($P$34*($B127+IF($R$17="Distrato",$I$38-1,0)),IF(AND($L$37=0,$P$34=0),"",$L$37-1),IF($R$17="Distrato",$E127,0))),0,YEARFRAC(MAX($P$34*($B127+IF($R$17="Distrato",$I$38-1,0)),IF(AND($L$37=0,$P$34=0),"",$L$37-1),IF($R$17="Distrato",$E127,0)),MIN(AP$38,$D$19),$P$20))-SUM($P127:AO127)</f>
        <v>#VALUE!</v>
      </c>
      <c r="AQ127" s="446" t="e">
        <f>IF(OR($B127="",MIN(AQ$38,$D$19)&lt;MAX($P$34*($B127+IF($R$17="Distrato",$I$38-1,0)),IF(AND($L$37=0,$P$34=0),"",$L$37-1),IF($R$17="Distrato",$E127,0))),0,YEARFRAC(MAX($P$34*($B127+IF($R$17="Distrato",$I$38-1,0)),IF(AND($L$37=0,$P$34=0),"",$L$37-1),IF($R$17="Distrato",$E127,0)),MIN(AQ$38,$D$19),$P$20))-SUM($P127:AP127)</f>
        <v>#VALUE!</v>
      </c>
      <c r="AR127" s="446" t="e">
        <f>IF(OR($B127="",MIN(AR$38,$D$19)&lt;MAX($P$34*($B127+IF($R$17="Distrato",$I$38-1,0)),IF(AND($L$37=0,$P$34=0),"",$L$37-1),IF($R$17="Distrato",$E127,0))),0,YEARFRAC(MAX($P$34*($B127+IF($R$17="Distrato",$I$38-1,0)),IF(AND($L$37=0,$P$34=0),"",$L$37-1),IF($R$17="Distrato",$E127,0)),MIN(AR$38,$D$19),$P$20))-SUM($P127:AQ127)</f>
        <v>#VALUE!</v>
      </c>
      <c r="AS127" s="446" t="e">
        <f>IF(OR($B127="",MIN(AS$38,$D$19)&lt;MAX($P$34*($B127+IF($R$17="Distrato",$I$38-1,0)),IF(AND($L$37=0,$P$34=0),"",$L$37-1),IF($R$17="Distrato",$E127,0))),0,YEARFRAC(MAX($P$34*($B127+IF($R$17="Distrato",$I$38-1,0)),IF(AND($L$37=0,$P$34=0),"",$L$37-1),IF($R$17="Distrato",$E127,0)),MIN(AS$38,$D$19),$P$20))-SUM($P127:AR127)</f>
        <v>#VALUE!</v>
      </c>
      <c r="AT127" s="446" t="e">
        <f>IF(OR($B127="",MIN(AT$38,$D$19)&lt;MAX($P$34*($B127+IF($R$17="Distrato",$I$38-1,0)),IF(AND($L$37=0,$P$34=0),"",$L$37-1),IF($R$17="Distrato",$E127,0))),0,YEARFRAC(MAX($P$34*($B127+IF($R$17="Distrato",$I$38-1,0)),IF(AND($L$37=0,$P$34=0),"",$L$37-1),IF($R$17="Distrato",$E127,0)),MIN(AT$38,$D$19),$P$20))-SUM($P127:AS127)</f>
        <v>#VALUE!</v>
      </c>
      <c r="AU127" s="446" t="e">
        <f>IF(OR($B127="",MIN(AU$38,$D$19)&lt;MAX($P$34*($B127+IF($R$17="Distrato",$I$38-1,0)),IF(AND($L$37=0,$P$34=0),"",$L$37-1),IF($R$17="Distrato",$E127,0))),0,YEARFRAC(MAX($P$34*($B127+IF($R$17="Distrato",$I$38-1,0)),IF(AND($L$37=0,$P$34=0),"",$L$37-1),IF($R$17="Distrato",$E127,0)),MIN(AU$38,$D$19),$P$20))-SUM($P127:AT127)</f>
        <v>#VALUE!</v>
      </c>
      <c r="AV127" s="446" t="e">
        <f>IF(OR($B127="",MIN(AV$38,$D$19)&lt;MAX($P$34*($B127+IF($R$17="Distrato",$I$38-1,0)),IF(AND($L$37=0,$P$34=0),"",$L$37-1),IF($R$17="Distrato",$E127,0))),0,YEARFRAC(MAX($P$34*($B127+IF($R$17="Distrato",$I$38-1,0)),IF(AND($L$37=0,$P$34=0),"",$L$37-1),IF($R$17="Distrato",$E127,0)),MIN(AV$38,$D$19),$P$20))-SUM($P127:AU127)</f>
        <v>#VALUE!</v>
      </c>
      <c r="AW127" s="446" t="e">
        <f>IF(OR($B127="",MIN(AW$38,$D$19)&lt;MAX($P$34*($B127+IF($R$17="Distrato",$I$38-1,0)),IF(AND($L$37=0,$P$34=0),"",$L$37-1),IF($R$17="Distrato",$E127,0))),0,YEARFRAC(MAX($P$34*($B127+IF($R$17="Distrato",$I$38-1,0)),IF(AND($L$37=0,$P$34=0),"",$L$37-1),IF($R$17="Distrato",$E127,0)),MIN(AW$38,$D$19),$P$20))-SUM($P127:AV127)</f>
        <v>#VALUE!</v>
      </c>
      <c r="AX127" s="446" t="e">
        <f>IF(OR($B127="",MIN(AX$38,$D$19)&lt;MAX($P$34*($B127+IF($R$17="Distrato",$I$38-1,0)),IF(AND($L$37=0,$P$34=0),"",$L$37-1),IF($R$17="Distrato",$E127,0))),0,YEARFRAC(MAX($P$34*($B127+IF($R$17="Distrato",$I$38-1,0)),IF(AND($L$37=0,$P$34=0),"",$L$37-1),IF($R$17="Distrato",$E127,0)),MIN(AX$38,$D$19),$P$20))-SUM($P127:AW127)</f>
        <v>#VALUE!</v>
      </c>
      <c r="AY127" s="446" t="e">
        <f>IF(OR($B127="",MIN(AY$38,$D$19)&lt;MAX($P$34*($B127+IF($R$17="Distrato",$I$38-1,0)),IF(AND($L$37=0,$P$34=0),"",$L$37-1),IF($R$17="Distrato",$E127,0))),0,YEARFRAC(MAX($P$34*($B127+IF($R$17="Distrato",$I$38-1,0)),IF(AND($L$37=0,$P$34=0),"",$L$37-1),IF($R$17="Distrato",$E127,0)),MIN(AY$38,$D$19),$P$20))-SUM($P127:AX127)</f>
        <v>#VALUE!</v>
      </c>
      <c r="AZ127" s="446" t="e">
        <f>IF(OR($B127="",MIN(AZ$38,$D$19)&lt;MAX($P$34*($B127+IF($R$17="Distrato",$I$38-1,0)),IF(AND($L$37=0,$P$34=0),"",$L$37-1),IF($R$17="Distrato",$E127,0))),0,YEARFRAC(MAX($P$34*($B127+IF($R$17="Distrato",$I$38-1,0)),IF(AND($L$37=0,$P$34=0),"",$L$37-1),IF($R$17="Distrato",$E127,0)),MIN(AZ$38,$D$19),$P$20))-SUM($P127:AY127)</f>
        <v>#VALUE!</v>
      </c>
      <c r="BA127" s="446" t="e">
        <f>IF(OR($B127="",MIN(BA$38,$D$19)&lt;MAX($P$34*($B127+IF($R$17="Distrato",$I$38-1,0)),IF(AND($L$37=0,$P$34=0),"",$L$37-1),IF($R$17="Distrato",$E127,0))),0,YEARFRAC(MAX($P$34*($B127+IF($R$17="Distrato",$I$38-1,0)),IF(AND($L$37=0,$P$34=0),"",$L$37-1),IF($R$17="Distrato",$E127,0)),MIN(BA$38,$D$19),$P$20))-SUM($P127:AZ127)</f>
        <v>#VALUE!</v>
      </c>
      <c r="BB127" s="447"/>
      <c r="BF127" s="446">
        <f t="shared" si="21"/>
        <v>0</v>
      </c>
      <c r="BG127" s="446">
        <f>IF($E127=0,0,IF(MIN(BG$38,$E127)&lt;MAX($P$34*($B127+$I$38-1),IF(AND($L$37=0,$P$34=0),"",$L$37-1)),0,YEARFRAC(MAX($P$34*($B127+$I$38-1),IF(AND($L$37=0,$P$34=0),"",$L$37-1)),MIN(BG$38,$E127),$P$20))-SUM($BF127:BF127))</f>
        <v>0</v>
      </c>
      <c r="BH127" s="446">
        <f>IF($E127=0,0,IF(MIN(BH$38,$E127)&lt;MAX($P$34*($B127+$I$38-1),IF(AND($L$37=0,$P$34=0),"",$L$37-1)),0,YEARFRAC(MAX($P$34*($B127+$I$38-1),IF(AND($L$37=0,$P$34=0),"",$L$37-1)),MIN(BH$38,$E127),$P$20))-SUM($BF127:BG127))</f>
        <v>0</v>
      </c>
      <c r="BI127" s="446">
        <f>IF($E127=0,0,IF(MIN(BI$38,$E127)&lt;MAX($P$34*($B127+$I$38-1),IF(AND($L$37=0,$P$34=0),"",$L$37-1)),0,YEARFRAC(MAX($P$34*($B127+$I$38-1),IF(AND($L$37=0,$P$34=0),"",$L$37-1)),MIN(BI$38,$E127),$P$20))-SUM($BF127:BH127))</f>
        <v>0</v>
      </c>
      <c r="BJ127" s="446">
        <f>IF($E127=0,0,IF(MIN(BJ$38,$E127)&lt;MAX($P$34*($B127+$I$38-1),IF(AND($L$37=0,$P$34=0),"",$L$37-1)),0,YEARFRAC(MAX($P$34*($B127+$I$38-1),IF(AND($L$37=0,$P$34=0),"",$L$37-1)),MIN(BJ$38,$E127),$P$20))-SUM($BF127:BI127))</f>
        <v>0</v>
      </c>
      <c r="BK127" s="446">
        <f>IF($E127=0,0,IF(MIN(BK$38,$E127)&lt;MAX($P$34*($B127+$I$38-1),IF(AND($L$37=0,$P$34=0),"",$L$37-1)),0,YEARFRAC(MAX($P$34*($B127+$I$38-1),IF(AND($L$37=0,$P$34=0),"",$L$37-1)),MIN(BK$38,$E127),$P$20))-SUM($BF127:BJ127))</f>
        <v>0</v>
      </c>
      <c r="BL127" s="446">
        <f>IF($E127=0,0,IF(MIN(BL$38,$E127)&lt;MAX($P$34*($B127+$I$38-1),IF(AND($L$37=0,$P$34=0),"",$L$37-1)),0,YEARFRAC(MAX($P$34*($B127+$I$38-1),IF(AND($L$37=0,$P$34=0),"",$L$37-1)),MIN(BL$38,$E127),$P$20))-SUM($BF127:BK127))</f>
        <v>0</v>
      </c>
      <c r="BM127" s="446">
        <f>IF($E127=0,0,IF(MIN(BM$38,$E127)&lt;MAX($P$34*($B127+$I$38-1),IF(AND($L$37=0,$P$34=0),"",$L$37-1)),0,YEARFRAC(MAX($P$34*($B127+$I$38-1),IF(AND($L$37=0,$P$34=0),"",$L$37-1)),MIN(BM$38,$E127),$P$20))-SUM($BF127:BL127))</f>
        <v>0</v>
      </c>
      <c r="BN127" s="446">
        <f>IF($E127=0,0,IF(MIN(BN$38,$E127)&lt;MAX($P$34*($B127+$I$38-1),IF(AND($L$37=0,$P$34=0),"",$L$37-1)),0,YEARFRAC(MAX($P$34*($B127+$I$38-1),IF(AND($L$37=0,$P$34=0),"",$L$37-1)),MIN(BN$38,$E127),$P$20))-SUM($BF127:BM127))</f>
        <v>0</v>
      </c>
      <c r="BO127" s="446">
        <f>IF($E127=0,0,IF(MIN(BO$38,$E127)&lt;MAX($P$34*($B127+$I$38-1),IF(AND($L$37=0,$P$34=0),"",$L$37-1)),0,YEARFRAC(MAX($P$34*($B127+$I$38-1),IF(AND($L$37=0,$P$34=0),"",$L$37-1)),MIN(BO$38,$E127),$P$20))-SUM($BF127:BN127))</f>
        <v>0</v>
      </c>
      <c r="BP127" s="446">
        <f>IF($E127=0,0,IF(MIN(BP$38,$E127)&lt;MAX($P$34*($B127+$I$38-1),IF(AND($L$37=0,$P$34=0),"",$L$37-1)),0,YEARFRAC(MAX($P$34*($B127+$I$38-1),IF(AND($L$37=0,$P$34=0),"",$L$37-1)),MIN(BP$38,$E127),$P$20))-SUM($BF127:BO127))</f>
        <v>0</v>
      </c>
      <c r="BQ127" s="446">
        <f>IF($E127=0,0,IF(MIN(BQ$38,$E127)&lt;MAX($P$34*($B127+$I$38-1),IF(AND($L$37=0,$P$34=0),"",$L$37-1)),0,YEARFRAC(MAX($P$34*($B127+$I$38-1),IF(AND($L$37=0,$P$34=0),"",$L$37-1)),MIN(BQ$38,$E127),$P$20))-SUM($BF127:BP127))</f>
        <v>0</v>
      </c>
      <c r="BR127" s="446">
        <f>IF($E127=0,0,IF(MIN(BR$38,$E127)&lt;MAX($P$34*($B127+$I$38-1),IF(AND($L$37=0,$P$34=0),"",$L$37-1)),0,YEARFRAC(MAX($P$34*($B127+$I$38-1),IF(AND($L$37=0,$P$34=0),"",$L$37-1)),MIN(BR$38,$E127),$P$20))-SUM($BF127:BQ127))</f>
        <v>0</v>
      </c>
      <c r="BS127" s="446">
        <f>IF($E127=0,0,IF(MIN(BS$38,$E127)&lt;MAX($P$34*($B127+$I$38-1),IF(AND($L$37=0,$P$34=0),"",$L$37-1)),0,YEARFRAC(MAX($P$34*($B127+$I$38-1),IF(AND($L$37=0,$P$34=0),"",$L$37-1)),MIN(BS$38,$E127),$P$20))-SUM($BF127:BR127))</f>
        <v>0</v>
      </c>
      <c r="BT127" s="446">
        <f>IF($E127=0,0,IF(MIN(BT$38,$E127)&lt;MAX($P$34*($B127+$I$38-1),IF(AND($L$37=0,$P$34=0),"",$L$37-1)),0,YEARFRAC(MAX($P$34*($B127+$I$38-1),IF(AND($L$37=0,$P$34=0),"",$L$37-1)),MIN(BT$38,$E127),$P$20))-SUM($BF127:BS127))</f>
        <v>0</v>
      </c>
      <c r="BU127" s="446">
        <f>IF($E127=0,0,IF(MIN(BU$38,$E127)&lt;MAX($P$34*($B127+$I$38-1),IF(AND($L$37=0,$P$34=0),"",$L$37-1)),0,YEARFRAC(MAX($P$34*($B127+$I$38-1),IF(AND($L$37=0,$P$34=0),"",$L$37-1)),MIN(BU$38,$E127),$P$20))-SUM($BF127:BT127))</f>
        <v>0</v>
      </c>
      <c r="BV127" s="446">
        <f>IF($E127=0,0,IF(MIN(BV$38,$E127)&lt;MAX($P$34*($B127+$I$38-1),IF(AND($L$37=0,$P$34=0),"",$L$37-1)),0,YEARFRAC(MAX($P$34*($B127+$I$38-1),IF(AND($L$37=0,$P$34=0),"",$L$37-1)),MIN(BV$38,$E127),$P$20))-SUM($BF127:BU127))</f>
        <v>0</v>
      </c>
      <c r="BW127" s="446">
        <f>IF($E127=0,0,IF(MIN(BW$38,$E127)&lt;MAX($P$34*($B127+$I$38-1),IF(AND($L$37=0,$P$34=0),"",$L$37-1)),0,YEARFRAC(MAX($P$34*($B127+$I$38-1),IF(AND($L$37=0,$P$34=0),"",$L$37-1)),MIN(BW$38,$E127),$P$20))-SUM($BF127:BV127))</f>
        <v>0</v>
      </c>
      <c r="BX127" s="446">
        <f>IF($E127=0,0,IF(MIN(BX$38,$E127)&lt;MAX($P$34*($B127+$I$38-1),IF(AND($L$37=0,$P$34=0),"",$L$37-1)),0,YEARFRAC(MAX($P$34*($B127+$I$38-1),IF(AND($L$37=0,$P$34=0),"",$L$37-1)),MIN(BX$38,$E127),$P$20))-SUM($BF127:BW127))</f>
        <v>0</v>
      </c>
      <c r="BY127" s="446">
        <f>IF($E127=0,0,IF(MIN(BY$38,$E127)&lt;MAX($P$34*($B127+$I$38-1),IF(AND($L$37=0,$P$34=0),"",$L$37-1)),0,YEARFRAC(MAX($P$34*($B127+$I$38-1),IF(AND($L$37=0,$P$34=0),"",$L$37-1)),MIN(BY$38,$E127),$P$20))-SUM($BF127:BX127))</f>
        <v>0</v>
      </c>
      <c r="BZ127" s="446">
        <f>IF($E127=0,0,IF(MIN(BZ$38,$E127)&lt;MAX($P$34*($B127+$I$38-1),IF(AND($L$37=0,$P$34=0),"",$L$37-1)),0,YEARFRAC(MAX($P$34*($B127+$I$38-1),IF(AND($L$37=0,$P$34=0),"",$L$37-1)),MIN(BZ$38,$E127),$P$20))-SUM($BF127:BY127))</f>
        <v>0</v>
      </c>
      <c r="CA127" s="446">
        <f>IF($E127=0,0,IF(MIN(CA$38,$E127)&lt;MAX($P$34*($B127+$I$38-1),IF(AND($L$37=0,$P$34=0),"",$L$37-1)),0,YEARFRAC(MAX($P$34*($B127+$I$38-1),IF(AND($L$37=0,$P$34=0),"",$L$37-1)),MIN(CA$38,$E127),$P$20))-SUM($BF127:BZ127))</f>
        <v>0</v>
      </c>
      <c r="CB127" s="446">
        <f>IF($E127=0,0,IF(MIN(CB$38,$E127)&lt;MAX($P$34*($B127+$I$38-1),IF(AND($L$37=0,$P$34=0),"",$L$37-1)),0,YEARFRAC(MAX($P$34*($B127+$I$38-1),IF(AND($L$37=0,$P$34=0),"",$L$37-1)),MIN(CB$38,$E127),$P$20))-SUM($BF127:CA127))</f>
        <v>0</v>
      </c>
      <c r="CC127" s="446">
        <f>IF($E127=0,0,IF(MIN(CC$38,$E127)&lt;MAX($P$34*($B127+$I$38-1),IF(AND($L$37=0,$P$34=0),"",$L$37-1)),0,YEARFRAC(MAX($P$34*($B127+$I$38-1),IF(AND($L$37=0,$P$34=0),"",$L$37-1)),MIN(CC$38,$E127),$P$20))-SUM($BF127:CB127))</f>
        <v>0</v>
      </c>
      <c r="CD127" s="446">
        <f>IF($E127=0,0,IF(MIN(CD$38,$E127)&lt;MAX($P$34*($B127+$I$38-1),IF(AND($L$37=0,$P$34=0),"",$L$37-1)),0,YEARFRAC(MAX($P$34*($B127+$I$38-1),IF(AND($L$37=0,$P$34=0),"",$L$37-1)),MIN(CD$38,$E127),$P$20))-SUM($BF127:CC127))</f>
        <v>0</v>
      </c>
      <c r="CE127" s="446">
        <f>IF($E127=0,0,IF(MIN(CE$38,$E127)&lt;MAX($P$34*($B127+$I$38-1),IF(AND($L$37=0,$P$34=0),"",$L$37-1)),0,YEARFRAC(MAX($P$34*($B127+$I$38-1),IF(AND($L$37=0,$P$34=0),"",$L$37-1)),MIN(CE$38,$E127),$P$20))-SUM($BF127:CD127))</f>
        <v>0</v>
      </c>
      <c r="CF127" s="446">
        <f>IF($E127=0,0,IF(MIN(CF$38,$E127)&lt;MAX($P$34*($B127+$I$38-1),IF(AND($L$37=0,$P$34=0),"",$L$37-1)),0,YEARFRAC(MAX($P$34*($B127+$I$38-1),IF(AND($L$37=0,$P$34=0),"",$L$37-1)),MIN(CF$38,$E127),$P$20))-SUM($BF127:CE127))</f>
        <v>0</v>
      </c>
      <c r="CG127" s="446">
        <f>IF($E127=0,0,IF(MIN(CG$38,$E127)&lt;MAX($P$34*($B127+$I$38-1),IF(AND($L$37=0,$P$34=0),"",$L$37-1)),0,YEARFRAC(MAX($P$34*($B127+$I$38-1),IF(AND($L$37=0,$P$34=0),"",$L$37-1)),MIN(CG$38,$E127),$P$20))-SUM($BF127:CF127))</f>
        <v>0</v>
      </c>
      <c r="CH127" s="446">
        <f>IF($E127=0,0,IF(MIN(CH$38,$E127)&lt;MAX($P$34*($B127+$I$38-1),IF(AND($L$37=0,$P$34=0),"",$L$37-1)),0,YEARFRAC(MAX($P$34*($B127+$I$38-1),IF(AND($L$37=0,$P$34=0),"",$L$37-1)),MIN(CH$38,$E127),$P$20))-SUM($BF127:CG127))</f>
        <v>0</v>
      </c>
      <c r="CI127" s="446">
        <f>IF($E127=0,0,IF(MIN(CI$38,$E127)&lt;MAX($P$34*($B127+$I$38-1),IF(AND($L$37=0,$P$34=0),"",$L$37-1)),0,YEARFRAC(MAX($P$34*($B127+$I$38-1),IF(AND($L$37=0,$P$34=0),"",$L$37-1)),MIN(CI$38,$E127),$P$20))-SUM($BF127:CH127))</f>
        <v>0</v>
      </c>
      <c r="CJ127" s="446">
        <f>IF($E127=0,0,IF(MIN(CJ$38,$E127)&lt;MAX($P$34*($B127+$I$38-1),IF(AND($L$37=0,$P$34=0),"",$L$37-1)),0,YEARFRAC(MAX($P$34*($B127+$I$38-1),IF(AND($L$37=0,$P$34=0),"",$L$37-1)),MIN(CJ$38,$E127),$P$20))-SUM($BF127:CI127))</f>
        <v>0</v>
      </c>
      <c r="CK127" s="446">
        <f>IF($E127=0,0,IF(MIN(CK$38,$E127)&lt;MAX($P$34*($B127+$I$38-1),IF(AND($L$37=0,$P$34=0),"",$L$37-1)),0,YEARFRAC(MAX($P$34*($B127+$I$38-1),IF(AND($L$37=0,$P$34=0),"",$L$37-1)),MIN(CK$38,$E127),$P$20))-SUM($BF127:CJ127))</f>
        <v>0</v>
      </c>
      <c r="CL127" s="446">
        <f>IF($E127=0,0,IF(MIN(CL$38,$E127)&lt;MAX($P$34*($B127+$I$38-1),IF(AND($L$37=0,$P$34=0),"",$L$37-1)),0,YEARFRAC(MAX($P$34*($B127+$I$38-1),IF(AND($L$37=0,$P$34=0),"",$L$37-1)),MIN(CL$38,$E127),$P$20))-SUM($BF127:CK127))</f>
        <v>0</v>
      </c>
      <c r="CM127" s="446">
        <f>IF($E127=0,0,IF(MIN(CM$38,$E127)&lt;MAX($P$34*($B127+$I$38-1),IF(AND($L$37=0,$P$34=0),"",$L$37-1)),0,YEARFRAC(MAX($P$34*($B127+$I$38-1),IF(AND($L$37=0,$P$34=0),"",$L$37-1)),MIN(CM$38,$E127),$P$20))-SUM($BF127:CL127))</f>
        <v>0</v>
      </c>
      <c r="CN127" s="446">
        <f>IF($E127=0,0,IF(MIN(CN$38,$E127)&lt;MAX($P$34*($B127+$I$38-1),IF(AND($L$37=0,$P$34=0),"",$L$37-1)),0,YEARFRAC(MAX($P$34*($B127+$I$38-1),IF(AND($L$37=0,$P$34=0),"",$L$37-1)),MIN(CN$38,$E127),$P$20))-SUM($BF127:CM127))</f>
        <v>0</v>
      </c>
      <c r="CO127" s="446">
        <f>IF($E127=0,0,IF(MIN(CO$38,$E127)&lt;MAX($P$34*($B127+$I$38-1),IF(AND($L$37=0,$P$34=0),"",$L$37-1)),0,YEARFRAC(MAX($P$34*($B127+$I$38-1),IF(AND($L$37=0,$P$34=0),"",$L$37-1)),MIN(CO$38,$E127),$P$20))-SUM($BF127:CN127))</f>
        <v>0</v>
      </c>
      <c r="CP127" s="446">
        <f>IF($E127=0,0,IF(MIN(CP$38,$E127)&lt;MAX($P$34*($B127+$I$38-1),IF(AND($L$37=0,$P$34=0),"",$L$37-1)),0,YEARFRAC(MAX($P$34*($B127+$I$38-1),IF(AND($L$37=0,$P$34=0),"",$L$37-1)),MIN(CP$38,$E127),$P$20))-SUM($BF127:CO127))</f>
        <v>0</v>
      </c>
      <c r="CQ127" s="446">
        <f>IF($E127=0,0,IF(MIN(CQ$38,$E127)&lt;MAX($P$34*($B127+$I$38-1),IF(AND($L$37=0,$P$34=0),"",$L$37-1)),0,YEARFRAC(MAX($P$34*($B127+$I$38-1),IF(AND($L$37=0,$P$34=0),"",$L$37-1)),MIN(CQ$38,$E127),$P$20))-SUM($BF127:CP127))</f>
        <v>0</v>
      </c>
    </row>
    <row r="128" spans="1:95" s="446" customFormat="1" ht="11.25" hidden="1" customHeight="1" x14ac:dyDescent="0.2">
      <c r="A128" s="152"/>
      <c r="B128" s="153" t="str">
        <f t="shared" si="26"/>
        <v/>
      </c>
      <c r="C128" s="29" t="str">
        <f>IF(B128="","",IF($L$35="SELIC - TRIBUTOS",VLOOKUP(DATE(YEAR($D$19),MONTH($D$19)-1,1),ÍNDICES!$A:$DE,HLOOKUP($BL$25,ÍNDICES!$B$3:$T$4,2)+11)-VLOOKUP(B128,ÍNDICES!$A:$DE,HLOOKUP($BL$25,ÍNDICES!$B$3:$T$4,2)+11)+1%,IF(C$38=$W$26,$J$35,IF(ISERROR(IF(B128&gt;$D$19,1,VLOOKUP(DATE(YEAR(B128),MONTH(B128)+IF($C$35=$S$23,1,0),1),ÍNDICES!$A:$DE,$Z$35+1))),"",IF(B128&gt;$D$19,1,VLOOKUP(DATE(YEAR(B128),MONTH(B128)+IF($C$35=$S$23,1,0),1),ÍNDICES!$A:$DE,$Z$35+1))))))</f>
        <v/>
      </c>
      <c r="D128" s="154" t="str">
        <f>IF(ISERROR(IF(OR($D$38=$Y$27,$B128=""),"",VLOOKUP(B128,ÍNDICES!A:DE,AF$35+1))),"",IF(OR($D$38=$Y$27,$B128=""),"",VLOOKUP(B128,ÍNDICES!A:DE,AF$35+1)))</f>
        <v/>
      </c>
      <c r="E128" s="153"/>
      <c r="F128" s="29" t="str">
        <f>IF(E128="","",IF($L$35="SELIC - TRIBUTOS",VLOOKUP(DATE(YEAR($D$19),MONTH($D$19)-1,1),ÍNDICES!$A:$DE,HLOOKUP($BL$25,ÍNDICES!$B$3:$T$4,2)+11)-VLOOKUP(E128,ÍNDICES!$A:$DE,HLOOKUP($BL$25,ÍNDICES!$B$3:$T$4,2)+11)+1%,IF(F$38=$W$26,$J$35,IF(ISERROR(IF(E128&gt;$D$19,1,VLOOKUP(DATE(YEAR(E128),MONTH(E128)+IF($C$35=$S$23,1,0),1),ÍNDICES!$A:$DE,$Z$35+1))),"",IF(E128&gt;$D$19,1,VLOOKUP(DATE(YEAR(E128),MONTH(E128)+IF($C$35=$S$23,1,0),1),ÍNDICES!$A:$DE,$Z$35+1))))))</f>
        <v/>
      </c>
      <c r="G128" s="155"/>
      <c r="H128" s="156" t="str">
        <f t="shared" si="22"/>
        <v/>
      </c>
      <c r="I128" s="29" t="str">
        <f t="shared" si="16"/>
        <v/>
      </c>
      <c r="J128" s="5">
        <f t="shared" si="17"/>
        <v>0</v>
      </c>
      <c r="K128" s="20">
        <f t="shared" ca="1" si="18"/>
        <v>0</v>
      </c>
      <c r="L128" s="5">
        <f t="shared" ca="1" si="19"/>
        <v>0</v>
      </c>
      <c r="M128" s="64">
        <f t="shared" si="23"/>
        <v>0</v>
      </c>
      <c r="N128" s="61">
        <f t="shared" ca="1" si="24"/>
        <v>0</v>
      </c>
      <c r="O128" s="5">
        <f t="shared" ca="1" si="25"/>
        <v>0</v>
      </c>
      <c r="P128" s="446" t="e">
        <f t="shared" si="20"/>
        <v>#VALUE!</v>
      </c>
      <c r="Q128" s="446" t="e">
        <f>IF(OR($B128="",MIN(Q$38,$D$19)&lt;MAX($P$34*($B128+IF($R$17="Distrato",$I$38-1,0)),IF(AND($L$37=0,$P$34=0),"",$L$37-1),IF($R$17="Distrato",$E128,0))),0,YEARFRAC(MAX($P$34*($B128+IF($R$17="Distrato",$I$38-1,0)),IF(AND($L$37=0,$P$34=0),"",$L$37-1),IF($R$17="Distrato",$E128,0)),MIN(Q$38,$D$19),$P$20))-SUM($P128:P128)</f>
        <v>#VALUE!</v>
      </c>
      <c r="R128" s="446" t="e">
        <f>IF(OR($B128="",MIN(R$38,$D$19)&lt;MAX($P$34*($B128+IF($R$17="Distrato",$I$38-1,0)),IF(AND($L$37=0,$P$34=0),"",$L$37-1),IF($R$17="Distrato",$E128,0))),0,YEARFRAC(MAX($P$34*($B128+IF($R$17="Distrato",$I$38-1,0)),IF(AND($L$37=0,$P$34=0),"",$L$37-1),IF($R$17="Distrato",$E128,0)),MIN(R$38,$D$19),$P$20))-SUM($P128:Q128)</f>
        <v>#VALUE!</v>
      </c>
      <c r="S128" s="446" t="e">
        <f>IF(OR($B128="",MIN(S$38,$D$19)&lt;MAX($P$34*($B128+IF($R$17="Distrato",$I$38-1,0)),IF(AND($L$37=0,$P$34=0),"",$L$37-1),IF($R$17="Distrato",$E128,0))),0,YEARFRAC(MAX($P$34*($B128+IF($R$17="Distrato",$I$38-1,0)),IF(AND($L$37=0,$P$34=0),"",$L$37-1),IF($R$17="Distrato",$E128,0)),MIN(S$38,$D$19),$P$20))-SUM($P128:R128)</f>
        <v>#VALUE!</v>
      </c>
      <c r="T128" s="446" t="e">
        <f>IF(OR($B128="",MIN(T$38,$D$19)&lt;MAX($P$34*($B128+IF($R$17="Distrato",$I$38-1,0)),IF(AND($L$37=0,$P$34=0),"",$L$37-1),IF($R$17="Distrato",$E128,0))),0,YEARFRAC(MAX($P$34*($B128+IF($R$17="Distrato",$I$38-1,0)),IF(AND($L$37=0,$P$34=0),"",$L$37-1),IF($R$17="Distrato",$E128,0)),MIN(T$38,$D$19),$P$20))-SUM($P128:S128)</f>
        <v>#VALUE!</v>
      </c>
      <c r="U128" s="446" t="e">
        <f>IF(OR($B128="",MIN(U$38,$D$19)&lt;MAX($P$34*($B128+IF($R$17="Distrato",$I$38-1,0)),IF(AND($L$37=0,$P$34=0),"",$L$37-1),IF($R$17="Distrato",$E128,0))),0,YEARFRAC(MAX($P$34*($B128+IF($R$17="Distrato",$I$38-1,0)),IF(AND($L$37=0,$P$34=0),"",$L$37-1),IF($R$17="Distrato",$E128,0)),MIN(U$38,$D$19),$P$20))-SUM($P128:T128)</f>
        <v>#VALUE!</v>
      </c>
      <c r="V128" s="446" t="e">
        <f>IF(OR($B128="",MIN(V$38,$D$19)&lt;MAX($P$34*($B128+IF($R$17="Distrato",$I$38-1,0)),IF(AND($L$37=0,$P$34=0),"",$L$37-1),IF($R$17="Distrato",$E128,0))),0,YEARFRAC(MAX($P$34*($B128+IF($R$17="Distrato",$I$38-1,0)),IF(AND($L$37=0,$P$34=0),"",$L$37-1),IF($R$17="Distrato",$E128,0)),MIN(V$38,$D$19),$P$20))-SUM($P128:U128)</f>
        <v>#VALUE!</v>
      </c>
      <c r="W128" s="446" t="e">
        <f>IF(OR($B128="",MIN(W$38,$D$19)&lt;MAX($P$34*($B128+IF($R$17="Distrato",$I$38-1,0)),IF(AND($L$37=0,$P$34=0),"",$L$37-1),IF($R$17="Distrato",$E128,0))),0,YEARFRAC(MAX($P$34*($B128+IF($R$17="Distrato",$I$38-1,0)),IF(AND($L$37=0,$P$34=0),"",$L$37-1),IF($R$17="Distrato",$E128,0)),MIN(W$38,$D$19),$P$20))-SUM($P128:V128)</f>
        <v>#VALUE!</v>
      </c>
      <c r="X128" s="446" t="e">
        <f>IF(OR($B128="",MIN(X$38,$D$19)&lt;MAX($P$34*($B128+IF($R$17="Distrato",$I$38-1,0)),IF(AND($L$37=0,$P$34=0),"",$L$37-1),IF($R$17="Distrato",$E128,0))),0,YEARFRAC(MAX($P$34*($B128+IF($R$17="Distrato",$I$38-1,0)),IF(AND($L$37=0,$P$34=0),"",$L$37-1),IF($R$17="Distrato",$E128,0)),MIN(X$38,$D$19),$P$20))-SUM($P128:W128)</f>
        <v>#VALUE!</v>
      </c>
      <c r="Y128" s="446" t="e">
        <f>IF(OR($B128="",MIN(Y$38,$D$19)&lt;MAX($P$34*($B128+IF($R$17="Distrato",$I$38-1,0)),IF(AND($L$37=0,$P$34=0),"",$L$37-1),IF($R$17="Distrato",$E128,0))),0,YEARFRAC(MAX($P$34*($B128+IF($R$17="Distrato",$I$38-1,0)),IF(AND($L$37=0,$P$34=0),"",$L$37-1),IF($R$17="Distrato",$E128,0)),MIN(Y$38,$D$19),$P$20))-SUM($P128:X128)</f>
        <v>#VALUE!</v>
      </c>
      <c r="Z128" s="446" t="e">
        <f>IF(OR($B128="",MIN(Z$38,$D$19)&lt;MAX($P$34*($B128+IF($R$17="Distrato",$I$38-1,0)),IF(AND($L$37=0,$P$34=0),"",$L$37-1),IF($R$17="Distrato",$E128,0))),0,YEARFRAC(MAX($P$34*($B128+IF($R$17="Distrato",$I$38-1,0)),IF(AND($L$37=0,$P$34=0),"",$L$37-1),IF($R$17="Distrato",$E128,0)),MIN(Z$38,$D$19),$P$20))-SUM($P128:Y128)</f>
        <v>#VALUE!</v>
      </c>
      <c r="AA128" s="446" t="e">
        <f>IF(OR($B128="",MIN(AA$38,$D$19)&lt;MAX($P$34*($B128+IF($R$17="Distrato",$I$38-1,0)),IF(AND($L$37=0,$P$34=0),"",$L$37-1),IF($R$17="Distrato",$E128,0))),0,YEARFRAC(MAX($P$34*($B128+IF($R$17="Distrato",$I$38-1,0)),IF(AND($L$37=0,$P$34=0),"",$L$37-1),IF($R$17="Distrato",$E128,0)),MIN(AA$38,$D$19),$P$20))-SUM($P128:Z128)</f>
        <v>#VALUE!</v>
      </c>
      <c r="AB128" s="446" t="e">
        <f>IF(OR($B128="",MIN(AB$38,$D$19)&lt;MAX($P$34*($B128+IF($R$17="Distrato",$I$38-1,0)),IF(AND($L$37=0,$P$34=0),"",$L$37-1),IF($R$17="Distrato",$E128,0))),0,YEARFRAC(MAX($P$34*($B128+IF($R$17="Distrato",$I$38-1,0)),IF(AND($L$37=0,$P$34=0),"",$L$37-1),IF($R$17="Distrato",$E128,0)),MIN(AB$38,$D$19),$P$20))-SUM($P128:AA128)</f>
        <v>#VALUE!</v>
      </c>
      <c r="AC128" s="446" t="e">
        <f>IF(OR($B128="",MIN(AC$38,$D$19)&lt;MAX($P$34*($B128+IF($R$17="Distrato",$I$38-1,0)),IF(AND($L$37=0,$P$34=0),"",$L$37-1),IF($R$17="Distrato",$E128,0))),0,YEARFRAC(MAX($P$34*($B128+IF($R$17="Distrato",$I$38-1,0)),IF(AND($L$37=0,$P$34=0),"",$L$37-1),IF($R$17="Distrato",$E128,0)),MIN(AC$38,$D$19),$P$20))-SUM($P128:AB128)</f>
        <v>#VALUE!</v>
      </c>
      <c r="AD128" s="446" t="e">
        <f>IF(OR($B128="",MIN(AD$38,$D$19)&lt;MAX($P$34*($B128+IF($R$17="Distrato",$I$38-1,0)),IF(AND($L$37=0,$P$34=0),"",$L$37-1),IF($R$17="Distrato",$E128,0))),0,YEARFRAC(MAX($P$34*($B128+IF($R$17="Distrato",$I$38-1,0)),IF(AND($L$37=0,$P$34=0),"",$L$37-1),IF($R$17="Distrato",$E128,0)),MIN(AD$38,$D$19),$P$20))-SUM($P128:AC128)</f>
        <v>#VALUE!</v>
      </c>
      <c r="AE128" s="446" t="e">
        <f>IF(OR($B128="",MIN(AE$38,$D$19)&lt;MAX($P$34*($B128+IF($R$17="Distrato",$I$38-1,0)),IF(AND($L$37=0,$P$34=0),"",$L$37-1),IF($R$17="Distrato",$E128,0))),0,YEARFRAC(MAX($P$34*($B128+IF($R$17="Distrato",$I$38-1,0)),IF(AND($L$37=0,$P$34=0),"",$L$37-1),IF($R$17="Distrato",$E128,0)),MIN(AE$38,$D$19),$P$20))-SUM($P128:AD128)</f>
        <v>#VALUE!</v>
      </c>
      <c r="AF128" s="446" t="e">
        <f>IF(OR($B128="",MIN(AF$38,$D$19)&lt;MAX($P$34*($B128+IF($R$17="Distrato",$I$38-1,0)),IF(AND($L$37=0,$P$34=0),"",$L$37-1),IF($R$17="Distrato",$E128,0))),0,YEARFRAC(MAX($P$34*($B128+IF($R$17="Distrato",$I$38-1,0)),IF(AND($L$37=0,$P$34=0),"",$L$37-1),IF($R$17="Distrato",$E128,0)),MIN(AF$38,$D$19),$P$20))-SUM($P128:AE128)</f>
        <v>#VALUE!</v>
      </c>
      <c r="AG128" s="446" t="e">
        <f>IF(OR($B128="",MIN(AG$38,$D$19)&lt;MAX($P$34*($B128+IF($R$17="Distrato",$I$38-1,0)),IF(AND($L$37=0,$P$34=0),"",$L$37-1),IF($R$17="Distrato",$E128,0))),0,YEARFRAC(MAX($P$34*($B128+IF($R$17="Distrato",$I$38-1,0)),IF(AND($L$37=0,$P$34=0),"",$L$37-1),IF($R$17="Distrato",$E128,0)),MIN(AG$38,$D$19),$P$20))-SUM($P128:AF128)</f>
        <v>#VALUE!</v>
      </c>
      <c r="AH128" s="446" t="e">
        <f>IF(OR($B128="",MIN(AH$38,$D$19)&lt;MAX($P$34*($B128+IF($R$17="Distrato",$I$38-1,0)),IF(AND($L$37=0,$P$34=0),"",$L$37-1),IF($R$17="Distrato",$E128,0))),0,YEARFRAC(MAX($P$34*($B128+IF($R$17="Distrato",$I$38-1,0)),IF(AND($L$37=0,$P$34=0),"",$L$37-1),IF($R$17="Distrato",$E128,0)),MIN(AH$38,$D$19),$P$20))-SUM($P128:AG128)</f>
        <v>#VALUE!</v>
      </c>
      <c r="AI128" s="446" t="e">
        <f>IF(OR($B128="",MIN(AI$38,$D$19)&lt;MAX($P$34*($B128+IF($R$17="Distrato",$I$38-1,0)),IF(AND($L$37=0,$P$34=0),"",$L$37-1),IF($R$17="Distrato",$E128,0))),0,YEARFRAC(MAX($P$34*($B128+IF($R$17="Distrato",$I$38-1,0)),IF(AND($L$37=0,$P$34=0),"",$L$37-1),IF($R$17="Distrato",$E128,0)),MIN(AI$38,$D$19),$P$20))-SUM($P128:AH128)</f>
        <v>#VALUE!</v>
      </c>
      <c r="AJ128" s="446" t="e">
        <f>IF(OR($B128="",MIN(AJ$38,$D$19)&lt;MAX($P$34*($B128+IF($R$17="Distrato",$I$38-1,0)),IF(AND($L$37=0,$P$34=0),"",$L$37-1),IF($R$17="Distrato",$E128,0))),0,YEARFRAC(MAX($P$34*($B128+IF($R$17="Distrato",$I$38-1,0)),IF(AND($L$37=0,$P$34=0),"",$L$37-1),IF($R$17="Distrato",$E128,0)),MIN(AJ$38,$D$19),$P$20))-SUM($P128:AI128)</f>
        <v>#VALUE!</v>
      </c>
      <c r="AK128" s="446" t="e">
        <f>IF(OR($B128="",MIN(AK$38,$D$19)&lt;MAX($P$34*($B128+IF($R$17="Distrato",$I$38-1,0)),IF(AND($L$37=0,$P$34=0),"",$L$37-1),IF($R$17="Distrato",$E128,0))),0,YEARFRAC(MAX($P$34*($B128+IF($R$17="Distrato",$I$38-1,0)),IF(AND($L$37=0,$P$34=0),"",$L$37-1),IF($R$17="Distrato",$E128,0)),MIN(AK$38,$D$19),$P$20))-SUM($P128:AJ128)</f>
        <v>#VALUE!</v>
      </c>
      <c r="AL128" s="446" t="e">
        <f>IF(OR($B128="",MIN(AL$38,$D$19)&lt;MAX($P$34*($B128+IF($R$17="Distrato",$I$38-1,0)),IF(AND($L$37=0,$P$34=0),"",$L$37-1),IF($R$17="Distrato",$E128,0))),0,YEARFRAC(MAX($P$34*($B128+IF($R$17="Distrato",$I$38-1,0)),IF(AND($L$37=0,$P$34=0),"",$L$37-1),IF($R$17="Distrato",$E128,0)),MIN(AL$38,$D$19),$P$20))-SUM($P128:AK128)</f>
        <v>#VALUE!</v>
      </c>
      <c r="AM128" s="446" t="e">
        <f>IF(OR($B128="",MIN(AM$38,$D$19)&lt;MAX($P$34*($B128+IF($R$17="Distrato",$I$38-1,0)),IF(AND($L$37=0,$P$34=0),"",$L$37-1),IF($R$17="Distrato",$E128,0))),0,YEARFRAC(MAX($P$34*($B128+IF($R$17="Distrato",$I$38-1,0)),IF(AND($L$37=0,$P$34=0),"",$L$37-1),IF($R$17="Distrato",$E128,0)),MIN(AM$38,$D$19),$P$20))-SUM($P128:AL128)</f>
        <v>#VALUE!</v>
      </c>
      <c r="AN128" s="446" t="e">
        <f>IF(OR($B128="",MIN(AN$38,$D$19)&lt;MAX($P$34*($B128+IF($R$17="Distrato",$I$38-1,0)),IF(AND($L$37=0,$P$34=0),"",$L$37-1),IF($R$17="Distrato",$E128,0))),0,YEARFRAC(MAX($P$34*($B128+IF($R$17="Distrato",$I$38-1,0)),IF(AND($L$37=0,$P$34=0),"",$L$37-1),IF($R$17="Distrato",$E128,0)),MIN(AN$38,$D$19),$P$20))-SUM($P128:AM128)</f>
        <v>#VALUE!</v>
      </c>
      <c r="AO128" s="446" t="e">
        <f>IF(OR($B128="",MIN(AO$38,$D$19)&lt;MAX($P$34*($B128+IF($R$17="Distrato",$I$38-1,0)),IF(AND($L$37=0,$P$34=0),"",$L$37-1),IF($R$17="Distrato",$E128,0))),0,YEARFRAC(MAX($P$34*($B128+IF($R$17="Distrato",$I$38-1,0)),IF(AND($L$37=0,$P$34=0),"",$L$37-1),IF($R$17="Distrato",$E128,0)),MIN(AO$38,$D$19),$P$20))-SUM($P128:AN128)</f>
        <v>#VALUE!</v>
      </c>
      <c r="AP128" s="446" t="e">
        <f>IF(OR($B128="",MIN(AP$38,$D$19)&lt;MAX($P$34*($B128+IF($R$17="Distrato",$I$38-1,0)),IF(AND($L$37=0,$P$34=0),"",$L$37-1),IF($R$17="Distrato",$E128,0))),0,YEARFRAC(MAX($P$34*($B128+IF($R$17="Distrato",$I$38-1,0)),IF(AND($L$37=0,$P$34=0),"",$L$37-1),IF($R$17="Distrato",$E128,0)),MIN(AP$38,$D$19),$P$20))-SUM($P128:AO128)</f>
        <v>#VALUE!</v>
      </c>
      <c r="AQ128" s="446" t="e">
        <f>IF(OR($B128="",MIN(AQ$38,$D$19)&lt;MAX($P$34*($B128+IF($R$17="Distrato",$I$38-1,0)),IF(AND($L$37=0,$P$34=0),"",$L$37-1),IF($R$17="Distrato",$E128,0))),0,YEARFRAC(MAX($P$34*($B128+IF($R$17="Distrato",$I$38-1,0)),IF(AND($L$37=0,$P$34=0),"",$L$37-1),IF($R$17="Distrato",$E128,0)),MIN(AQ$38,$D$19),$P$20))-SUM($P128:AP128)</f>
        <v>#VALUE!</v>
      </c>
      <c r="AR128" s="446" t="e">
        <f>IF(OR($B128="",MIN(AR$38,$D$19)&lt;MAX($P$34*($B128+IF($R$17="Distrato",$I$38-1,0)),IF(AND($L$37=0,$P$34=0),"",$L$37-1),IF($R$17="Distrato",$E128,0))),0,YEARFRAC(MAX($P$34*($B128+IF($R$17="Distrato",$I$38-1,0)),IF(AND($L$37=0,$P$34=0),"",$L$37-1),IF($R$17="Distrato",$E128,0)),MIN(AR$38,$D$19),$P$20))-SUM($P128:AQ128)</f>
        <v>#VALUE!</v>
      </c>
      <c r="AS128" s="446" t="e">
        <f>IF(OR($B128="",MIN(AS$38,$D$19)&lt;MAX($P$34*($B128+IF($R$17="Distrato",$I$38-1,0)),IF(AND($L$37=0,$P$34=0),"",$L$37-1),IF($R$17="Distrato",$E128,0))),0,YEARFRAC(MAX($P$34*($B128+IF($R$17="Distrato",$I$38-1,0)),IF(AND($L$37=0,$P$34=0),"",$L$37-1),IF($R$17="Distrato",$E128,0)),MIN(AS$38,$D$19),$P$20))-SUM($P128:AR128)</f>
        <v>#VALUE!</v>
      </c>
      <c r="AT128" s="446" t="e">
        <f>IF(OR($B128="",MIN(AT$38,$D$19)&lt;MAX($P$34*($B128+IF($R$17="Distrato",$I$38-1,0)),IF(AND($L$37=0,$P$34=0),"",$L$37-1),IF($R$17="Distrato",$E128,0))),0,YEARFRAC(MAX($P$34*($B128+IF($R$17="Distrato",$I$38-1,0)),IF(AND($L$37=0,$P$34=0),"",$L$37-1),IF($R$17="Distrato",$E128,0)),MIN(AT$38,$D$19),$P$20))-SUM($P128:AS128)</f>
        <v>#VALUE!</v>
      </c>
      <c r="AU128" s="446" t="e">
        <f>IF(OR($B128="",MIN(AU$38,$D$19)&lt;MAX($P$34*($B128+IF($R$17="Distrato",$I$38-1,0)),IF(AND($L$37=0,$P$34=0),"",$L$37-1),IF($R$17="Distrato",$E128,0))),0,YEARFRAC(MAX($P$34*($B128+IF($R$17="Distrato",$I$38-1,0)),IF(AND($L$37=0,$P$34=0),"",$L$37-1),IF($R$17="Distrato",$E128,0)),MIN(AU$38,$D$19),$P$20))-SUM($P128:AT128)</f>
        <v>#VALUE!</v>
      </c>
      <c r="AV128" s="446" t="e">
        <f>IF(OR($B128="",MIN(AV$38,$D$19)&lt;MAX($P$34*($B128+IF($R$17="Distrato",$I$38-1,0)),IF(AND($L$37=0,$P$34=0),"",$L$37-1),IF($R$17="Distrato",$E128,0))),0,YEARFRAC(MAX($P$34*($B128+IF($R$17="Distrato",$I$38-1,0)),IF(AND($L$37=0,$P$34=0),"",$L$37-1),IF($R$17="Distrato",$E128,0)),MIN(AV$38,$D$19),$P$20))-SUM($P128:AU128)</f>
        <v>#VALUE!</v>
      </c>
      <c r="AW128" s="446" t="e">
        <f>IF(OR($B128="",MIN(AW$38,$D$19)&lt;MAX($P$34*($B128+IF($R$17="Distrato",$I$38-1,0)),IF(AND($L$37=0,$P$34=0),"",$L$37-1),IF($R$17="Distrato",$E128,0))),0,YEARFRAC(MAX($P$34*($B128+IF($R$17="Distrato",$I$38-1,0)),IF(AND($L$37=0,$P$34=0),"",$L$37-1),IF($R$17="Distrato",$E128,0)),MIN(AW$38,$D$19),$P$20))-SUM($P128:AV128)</f>
        <v>#VALUE!</v>
      </c>
      <c r="AX128" s="446" t="e">
        <f>IF(OR($B128="",MIN(AX$38,$D$19)&lt;MAX($P$34*($B128+IF($R$17="Distrato",$I$38-1,0)),IF(AND($L$37=0,$P$34=0),"",$L$37-1),IF($R$17="Distrato",$E128,0))),0,YEARFRAC(MAX($P$34*($B128+IF($R$17="Distrato",$I$38-1,0)),IF(AND($L$37=0,$P$34=0),"",$L$37-1),IF($R$17="Distrato",$E128,0)),MIN(AX$38,$D$19),$P$20))-SUM($P128:AW128)</f>
        <v>#VALUE!</v>
      </c>
      <c r="AY128" s="446" t="e">
        <f>IF(OR($B128="",MIN(AY$38,$D$19)&lt;MAX($P$34*($B128+IF($R$17="Distrato",$I$38-1,0)),IF(AND($L$37=0,$P$34=0),"",$L$37-1),IF($R$17="Distrato",$E128,0))),0,YEARFRAC(MAX($P$34*($B128+IF($R$17="Distrato",$I$38-1,0)),IF(AND($L$37=0,$P$34=0),"",$L$37-1),IF($R$17="Distrato",$E128,0)),MIN(AY$38,$D$19),$P$20))-SUM($P128:AX128)</f>
        <v>#VALUE!</v>
      </c>
      <c r="AZ128" s="446" t="e">
        <f>IF(OR($B128="",MIN(AZ$38,$D$19)&lt;MAX($P$34*($B128+IF($R$17="Distrato",$I$38-1,0)),IF(AND($L$37=0,$P$34=0),"",$L$37-1),IF($R$17="Distrato",$E128,0))),0,YEARFRAC(MAX($P$34*($B128+IF($R$17="Distrato",$I$38-1,0)),IF(AND($L$37=0,$P$34=0),"",$L$37-1),IF($R$17="Distrato",$E128,0)),MIN(AZ$38,$D$19),$P$20))-SUM($P128:AY128)</f>
        <v>#VALUE!</v>
      </c>
      <c r="BA128" s="446" t="e">
        <f>IF(OR($B128="",MIN(BA$38,$D$19)&lt;MAX($P$34*($B128+IF($R$17="Distrato",$I$38-1,0)),IF(AND($L$37=0,$P$34=0),"",$L$37-1),IF($R$17="Distrato",$E128,0))),0,YEARFRAC(MAX($P$34*($B128+IF($R$17="Distrato",$I$38-1,0)),IF(AND($L$37=0,$P$34=0),"",$L$37-1),IF($R$17="Distrato",$E128,0)),MIN(BA$38,$D$19),$P$20))-SUM($P128:AZ128)</f>
        <v>#VALUE!</v>
      </c>
      <c r="BB128" s="447"/>
      <c r="BF128" s="446">
        <f t="shared" si="21"/>
        <v>0</v>
      </c>
      <c r="BG128" s="446">
        <f>IF($E128=0,0,IF(MIN(BG$38,$E128)&lt;MAX($P$34*($B128+$I$38-1),IF(AND($L$37=0,$P$34=0),"",$L$37-1)),0,YEARFRAC(MAX($P$34*($B128+$I$38-1),IF(AND($L$37=0,$P$34=0),"",$L$37-1)),MIN(BG$38,$E128),$P$20))-SUM($BF128:BF128))</f>
        <v>0</v>
      </c>
      <c r="BH128" s="446">
        <f>IF($E128=0,0,IF(MIN(BH$38,$E128)&lt;MAX($P$34*($B128+$I$38-1),IF(AND($L$37=0,$P$34=0),"",$L$37-1)),0,YEARFRAC(MAX($P$34*($B128+$I$38-1),IF(AND($L$37=0,$P$34=0),"",$L$37-1)),MIN(BH$38,$E128),$P$20))-SUM($BF128:BG128))</f>
        <v>0</v>
      </c>
      <c r="BI128" s="446">
        <f>IF($E128=0,0,IF(MIN(BI$38,$E128)&lt;MAX($P$34*($B128+$I$38-1),IF(AND($L$37=0,$P$34=0),"",$L$37-1)),0,YEARFRAC(MAX($P$34*($B128+$I$38-1),IF(AND($L$37=0,$P$34=0),"",$L$37-1)),MIN(BI$38,$E128),$P$20))-SUM($BF128:BH128))</f>
        <v>0</v>
      </c>
      <c r="BJ128" s="446">
        <f>IF($E128=0,0,IF(MIN(BJ$38,$E128)&lt;MAX($P$34*($B128+$I$38-1),IF(AND($L$37=0,$P$34=0),"",$L$37-1)),0,YEARFRAC(MAX($P$34*($B128+$I$38-1),IF(AND($L$37=0,$P$34=0),"",$L$37-1)),MIN(BJ$38,$E128),$P$20))-SUM($BF128:BI128))</f>
        <v>0</v>
      </c>
      <c r="BK128" s="446">
        <f>IF($E128=0,0,IF(MIN(BK$38,$E128)&lt;MAX($P$34*($B128+$I$38-1),IF(AND($L$37=0,$P$34=0),"",$L$37-1)),0,YEARFRAC(MAX($P$34*($B128+$I$38-1),IF(AND($L$37=0,$P$34=0),"",$L$37-1)),MIN(BK$38,$E128),$P$20))-SUM($BF128:BJ128))</f>
        <v>0</v>
      </c>
      <c r="BL128" s="446">
        <f>IF($E128=0,0,IF(MIN(BL$38,$E128)&lt;MAX($P$34*($B128+$I$38-1),IF(AND($L$37=0,$P$34=0),"",$L$37-1)),0,YEARFRAC(MAX($P$34*($B128+$I$38-1),IF(AND($L$37=0,$P$34=0),"",$L$37-1)),MIN(BL$38,$E128),$P$20))-SUM($BF128:BK128))</f>
        <v>0</v>
      </c>
      <c r="BM128" s="446">
        <f>IF($E128=0,0,IF(MIN(BM$38,$E128)&lt;MAX($P$34*($B128+$I$38-1),IF(AND($L$37=0,$P$34=0),"",$L$37-1)),0,YEARFRAC(MAX($P$34*($B128+$I$38-1),IF(AND($L$37=0,$P$34=0),"",$L$37-1)),MIN(BM$38,$E128),$P$20))-SUM($BF128:BL128))</f>
        <v>0</v>
      </c>
      <c r="BN128" s="446">
        <f>IF($E128=0,0,IF(MIN(BN$38,$E128)&lt;MAX($P$34*($B128+$I$38-1),IF(AND($L$37=0,$P$34=0),"",$L$37-1)),0,YEARFRAC(MAX($P$34*($B128+$I$38-1),IF(AND($L$37=0,$P$34=0),"",$L$37-1)),MIN(BN$38,$E128),$P$20))-SUM($BF128:BM128))</f>
        <v>0</v>
      </c>
      <c r="BO128" s="446">
        <f>IF($E128=0,0,IF(MIN(BO$38,$E128)&lt;MAX($P$34*($B128+$I$38-1),IF(AND($L$37=0,$P$34=0),"",$L$37-1)),0,YEARFRAC(MAX($P$34*($B128+$I$38-1),IF(AND($L$37=0,$P$34=0),"",$L$37-1)),MIN(BO$38,$E128),$P$20))-SUM($BF128:BN128))</f>
        <v>0</v>
      </c>
      <c r="BP128" s="446">
        <f>IF($E128=0,0,IF(MIN(BP$38,$E128)&lt;MAX($P$34*($B128+$I$38-1),IF(AND($L$37=0,$P$34=0),"",$L$37-1)),0,YEARFRAC(MAX($P$34*($B128+$I$38-1),IF(AND($L$37=0,$P$34=0),"",$L$37-1)),MIN(BP$38,$E128),$P$20))-SUM($BF128:BO128))</f>
        <v>0</v>
      </c>
      <c r="BQ128" s="446">
        <f>IF($E128=0,0,IF(MIN(BQ$38,$E128)&lt;MAX($P$34*($B128+$I$38-1),IF(AND($L$37=0,$P$34=0),"",$L$37-1)),0,YEARFRAC(MAX($P$34*($B128+$I$38-1),IF(AND($L$37=0,$P$34=0),"",$L$37-1)),MIN(BQ$38,$E128),$P$20))-SUM($BF128:BP128))</f>
        <v>0</v>
      </c>
      <c r="BR128" s="446">
        <f>IF($E128=0,0,IF(MIN(BR$38,$E128)&lt;MAX($P$34*($B128+$I$38-1),IF(AND($L$37=0,$P$34=0),"",$L$37-1)),0,YEARFRAC(MAX($P$34*($B128+$I$38-1),IF(AND($L$37=0,$P$34=0),"",$L$37-1)),MIN(BR$38,$E128),$P$20))-SUM($BF128:BQ128))</f>
        <v>0</v>
      </c>
      <c r="BS128" s="446">
        <f>IF($E128=0,0,IF(MIN(BS$38,$E128)&lt;MAX($P$34*($B128+$I$38-1),IF(AND($L$37=0,$P$34=0),"",$L$37-1)),0,YEARFRAC(MAX($P$34*($B128+$I$38-1),IF(AND($L$37=0,$P$34=0),"",$L$37-1)),MIN(BS$38,$E128),$P$20))-SUM($BF128:BR128))</f>
        <v>0</v>
      </c>
      <c r="BT128" s="446">
        <f>IF($E128=0,0,IF(MIN(BT$38,$E128)&lt;MAX($P$34*($B128+$I$38-1),IF(AND($L$37=0,$P$34=0),"",$L$37-1)),0,YEARFRAC(MAX($P$34*($B128+$I$38-1),IF(AND($L$37=0,$P$34=0),"",$L$37-1)),MIN(BT$38,$E128),$P$20))-SUM($BF128:BS128))</f>
        <v>0</v>
      </c>
      <c r="BU128" s="446">
        <f>IF($E128=0,0,IF(MIN(BU$38,$E128)&lt;MAX($P$34*($B128+$I$38-1),IF(AND($L$37=0,$P$34=0),"",$L$37-1)),0,YEARFRAC(MAX($P$34*($B128+$I$38-1),IF(AND($L$37=0,$P$34=0),"",$L$37-1)),MIN(BU$38,$E128),$P$20))-SUM($BF128:BT128))</f>
        <v>0</v>
      </c>
      <c r="BV128" s="446">
        <f>IF($E128=0,0,IF(MIN(BV$38,$E128)&lt;MAX($P$34*($B128+$I$38-1),IF(AND($L$37=0,$P$34=0),"",$L$37-1)),0,YEARFRAC(MAX($P$34*($B128+$I$38-1),IF(AND($L$37=0,$P$34=0),"",$L$37-1)),MIN(BV$38,$E128),$P$20))-SUM($BF128:BU128))</f>
        <v>0</v>
      </c>
      <c r="BW128" s="446">
        <f>IF($E128=0,0,IF(MIN(BW$38,$E128)&lt;MAX($P$34*($B128+$I$38-1),IF(AND($L$37=0,$P$34=0),"",$L$37-1)),0,YEARFRAC(MAX($P$34*($B128+$I$38-1),IF(AND($L$37=0,$P$34=0),"",$L$37-1)),MIN(BW$38,$E128),$P$20))-SUM($BF128:BV128))</f>
        <v>0</v>
      </c>
      <c r="BX128" s="446">
        <f>IF($E128=0,0,IF(MIN(BX$38,$E128)&lt;MAX($P$34*($B128+$I$38-1),IF(AND($L$37=0,$P$34=0),"",$L$37-1)),0,YEARFRAC(MAX($P$34*($B128+$I$38-1),IF(AND($L$37=0,$P$34=0),"",$L$37-1)),MIN(BX$38,$E128),$P$20))-SUM($BF128:BW128))</f>
        <v>0</v>
      </c>
      <c r="BY128" s="446">
        <f>IF($E128=0,0,IF(MIN(BY$38,$E128)&lt;MAX($P$34*($B128+$I$38-1),IF(AND($L$37=0,$P$34=0),"",$L$37-1)),0,YEARFRAC(MAX($P$34*($B128+$I$38-1),IF(AND($L$37=0,$P$34=0),"",$L$37-1)),MIN(BY$38,$E128),$P$20))-SUM($BF128:BX128))</f>
        <v>0</v>
      </c>
      <c r="BZ128" s="446">
        <f>IF($E128=0,0,IF(MIN(BZ$38,$E128)&lt;MAX($P$34*($B128+$I$38-1),IF(AND($L$37=0,$P$34=0),"",$L$37-1)),0,YEARFRAC(MAX($P$34*($B128+$I$38-1),IF(AND($L$37=0,$P$34=0),"",$L$37-1)),MIN(BZ$38,$E128),$P$20))-SUM($BF128:BY128))</f>
        <v>0</v>
      </c>
      <c r="CA128" s="446">
        <f>IF($E128=0,0,IF(MIN(CA$38,$E128)&lt;MAX($P$34*($B128+$I$38-1),IF(AND($L$37=0,$P$34=0),"",$L$37-1)),0,YEARFRAC(MAX($P$34*($B128+$I$38-1),IF(AND($L$37=0,$P$34=0),"",$L$37-1)),MIN(CA$38,$E128),$P$20))-SUM($BF128:BZ128))</f>
        <v>0</v>
      </c>
      <c r="CB128" s="446">
        <f>IF($E128=0,0,IF(MIN(CB$38,$E128)&lt;MAX($P$34*($B128+$I$38-1),IF(AND($L$37=0,$P$34=0),"",$L$37-1)),0,YEARFRAC(MAX($P$34*($B128+$I$38-1),IF(AND($L$37=0,$P$34=0),"",$L$37-1)),MIN(CB$38,$E128),$P$20))-SUM($BF128:CA128))</f>
        <v>0</v>
      </c>
      <c r="CC128" s="446">
        <f>IF($E128=0,0,IF(MIN(CC$38,$E128)&lt;MAX($P$34*($B128+$I$38-1),IF(AND($L$37=0,$P$34=0),"",$L$37-1)),0,YEARFRAC(MAX($P$34*($B128+$I$38-1),IF(AND($L$37=0,$P$34=0),"",$L$37-1)),MIN(CC$38,$E128),$P$20))-SUM($BF128:CB128))</f>
        <v>0</v>
      </c>
      <c r="CD128" s="446">
        <f>IF($E128=0,0,IF(MIN(CD$38,$E128)&lt;MAX($P$34*($B128+$I$38-1),IF(AND($L$37=0,$P$34=0),"",$L$37-1)),0,YEARFRAC(MAX($P$34*($B128+$I$38-1),IF(AND($L$37=0,$P$34=0),"",$L$37-1)),MIN(CD$38,$E128),$P$20))-SUM($BF128:CC128))</f>
        <v>0</v>
      </c>
      <c r="CE128" s="446">
        <f>IF($E128=0,0,IF(MIN(CE$38,$E128)&lt;MAX($P$34*($B128+$I$38-1),IF(AND($L$37=0,$P$34=0),"",$L$37-1)),0,YEARFRAC(MAX($P$34*($B128+$I$38-1),IF(AND($L$37=0,$P$34=0),"",$L$37-1)),MIN(CE$38,$E128),$P$20))-SUM($BF128:CD128))</f>
        <v>0</v>
      </c>
      <c r="CF128" s="446">
        <f>IF($E128=0,0,IF(MIN(CF$38,$E128)&lt;MAX($P$34*($B128+$I$38-1),IF(AND($L$37=0,$P$34=0),"",$L$37-1)),0,YEARFRAC(MAX($P$34*($B128+$I$38-1),IF(AND($L$37=0,$P$34=0),"",$L$37-1)),MIN(CF$38,$E128),$P$20))-SUM($BF128:CE128))</f>
        <v>0</v>
      </c>
      <c r="CG128" s="446">
        <f>IF($E128=0,0,IF(MIN(CG$38,$E128)&lt;MAX($P$34*($B128+$I$38-1),IF(AND($L$37=0,$P$34=0),"",$L$37-1)),0,YEARFRAC(MAX($P$34*($B128+$I$38-1),IF(AND($L$37=0,$P$34=0),"",$L$37-1)),MIN(CG$38,$E128),$P$20))-SUM($BF128:CF128))</f>
        <v>0</v>
      </c>
      <c r="CH128" s="446">
        <f>IF($E128=0,0,IF(MIN(CH$38,$E128)&lt;MAX($P$34*($B128+$I$38-1),IF(AND($L$37=0,$P$34=0),"",$L$37-1)),0,YEARFRAC(MAX($P$34*($B128+$I$38-1),IF(AND($L$37=0,$P$34=0),"",$L$37-1)),MIN(CH$38,$E128),$P$20))-SUM($BF128:CG128))</f>
        <v>0</v>
      </c>
      <c r="CI128" s="446">
        <f>IF($E128=0,0,IF(MIN(CI$38,$E128)&lt;MAX($P$34*($B128+$I$38-1),IF(AND($L$37=0,$P$34=0),"",$L$37-1)),0,YEARFRAC(MAX($P$34*($B128+$I$38-1),IF(AND($L$37=0,$P$34=0),"",$L$37-1)),MIN(CI$38,$E128),$P$20))-SUM($BF128:CH128))</f>
        <v>0</v>
      </c>
      <c r="CJ128" s="446">
        <f>IF($E128=0,0,IF(MIN(CJ$38,$E128)&lt;MAX($P$34*($B128+$I$38-1),IF(AND($L$37=0,$P$34=0),"",$L$37-1)),0,YEARFRAC(MAX($P$34*($B128+$I$38-1),IF(AND($L$37=0,$P$34=0),"",$L$37-1)),MIN(CJ$38,$E128),$P$20))-SUM($BF128:CI128))</f>
        <v>0</v>
      </c>
      <c r="CK128" s="446">
        <f>IF($E128=0,0,IF(MIN(CK$38,$E128)&lt;MAX($P$34*($B128+$I$38-1),IF(AND($L$37=0,$P$34=0),"",$L$37-1)),0,YEARFRAC(MAX($P$34*($B128+$I$38-1),IF(AND($L$37=0,$P$34=0),"",$L$37-1)),MIN(CK$38,$E128),$P$20))-SUM($BF128:CJ128))</f>
        <v>0</v>
      </c>
      <c r="CL128" s="446">
        <f>IF($E128=0,0,IF(MIN(CL$38,$E128)&lt;MAX($P$34*($B128+$I$38-1),IF(AND($L$37=0,$P$34=0),"",$L$37-1)),0,YEARFRAC(MAX($P$34*($B128+$I$38-1),IF(AND($L$37=0,$P$34=0),"",$L$37-1)),MIN(CL$38,$E128),$P$20))-SUM($BF128:CK128))</f>
        <v>0</v>
      </c>
      <c r="CM128" s="446">
        <f>IF($E128=0,0,IF(MIN(CM$38,$E128)&lt;MAX($P$34*($B128+$I$38-1),IF(AND($L$37=0,$P$34=0),"",$L$37-1)),0,YEARFRAC(MAX($P$34*($B128+$I$38-1),IF(AND($L$37=0,$P$34=0),"",$L$37-1)),MIN(CM$38,$E128),$P$20))-SUM($BF128:CL128))</f>
        <v>0</v>
      </c>
      <c r="CN128" s="446">
        <f>IF($E128=0,0,IF(MIN(CN$38,$E128)&lt;MAX($P$34*($B128+$I$38-1),IF(AND($L$37=0,$P$34=0),"",$L$37-1)),0,YEARFRAC(MAX($P$34*($B128+$I$38-1),IF(AND($L$37=0,$P$34=0),"",$L$37-1)),MIN(CN$38,$E128),$P$20))-SUM($BF128:CM128))</f>
        <v>0</v>
      </c>
      <c r="CO128" s="446">
        <f>IF($E128=0,0,IF(MIN(CO$38,$E128)&lt;MAX($P$34*($B128+$I$38-1),IF(AND($L$37=0,$P$34=0),"",$L$37-1)),0,YEARFRAC(MAX($P$34*($B128+$I$38-1),IF(AND($L$37=0,$P$34=0),"",$L$37-1)),MIN(CO$38,$E128),$P$20))-SUM($BF128:CN128))</f>
        <v>0</v>
      </c>
      <c r="CP128" s="446">
        <f>IF($E128=0,0,IF(MIN(CP$38,$E128)&lt;MAX($P$34*($B128+$I$38-1),IF(AND($L$37=0,$P$34=0),"",$L$37-1)),0,YEARFRAC(MAX($P$34*($B128+$I$38-1),IF(AND($L$37=0,$P$34=0),"",$L$37-1)),MIN(CP$38,$E128),$P$20))-SUM($BF128:CO128))</f>
        <v>0</v>
      </c>
      <c r="CQ128" s="446">
        <f>IF($E128=0,0,IF(MIN(CQ$38,$E128)&lt;MAX($P$34*($B128+$I$38-1),IF(AND($L$37=0,$P$34=0),"",$L$37-1)),0,YEARFRAC(MAX($P$34*($B128+$I$38-1),IF(AND($L$37=0,$P$34=0),"",$L$37-1)),MIN(CQ$38,$E128),$P$20))-SUM($BF128:CP128))</f>
        <v>0</v>
      </c>
    </row>
    <row r="129" spans="1:95" s="446" customFormat="1" ht="11.25" hidden="1" customHeight="1" x14ac:dyDescent="0.2">
      <c r="A129" s="152"/>
      <c r="B129" s="153" t="str">
        <f t="shared" si="26"/>
        <v/>
      </c>
      <c r="C129" s="29" t="str">
        <f>IF(B129="","",IF($L$35="SELIC - TRIBUTOS",VLOOKUP(DATE(YEAR($D$19),MONTH($D$19)-1,1),ÍNDICES!$A:$DE,HLOOKUP($BL$25,ÍNDICES!$B$3:$T$4,2)+11)-VLOOKUP(B129,ÍNDICES!$A:$DE,HLOOKUP($BL$25,ÍNDICES!$B$3:$T$4,2)+11)+1%,IF(C$38=$W$26,$J$35,IF(ISERROR(IF(B129&gt;$D$19,1,VLOOKUP(DATE(YEAR(B129),MONTH(B129)+IF($C$35=$S$23,1,0),1),ÍNDICES!$A:$DE,$Z$35+1))),"",IF(B129&gt;$D$19,1,VLOOKUP(DATE(YEAR(B129),MONTH(B129)+IF($C$35=$S$23,1,0),1),ÍNDICES!$A:$DE,$Z$35+1))))))</f>
        <v/>
      </c>
      <c r="D129" s="154" t="str">
        <f>IF(ISERROR(IF(OR($D$38=$Y$27,$B129=""),"",VLOOKUP(B129,ÍNDICES!A:DE,AF$35+1))),"",IF(OR($D$38=$Y$27,$B129=""),"",VLOOKUP(B129,ÍNDICES!A:DE,AF$35+1)))</f>
        <v/>
      </c>
      <c r="E129" s="153"/>
      <c r="F129" s="29" t="str">
        <f>IF(E129="","",IF($L$35="SELIC - TRIBUTOS",VLOOKUP(DATE(YEAR($D$19),MONTH($D$19)-1,1),ÍNDICES!$A:$DE,HLOOKUP($BL$25,ÍNDICES!$B$3:$T$4,2)+11)-VLOOKUP(E129,ÍNDICES!$A:$DE,HLOOKUP($BL$25,ÍNDICES!$B$3:$T$4,2)+11)+1%,IF(F$38=$W$26,$J$35,IF(ISERROR(IF(E129&gt;$D$19,1,VLOOKUP(DATE(YEAR(E129),MONTH(E129)+IF($C$35=$S$23,1,0),1),ÍNDICES!$A:$DE,$Z$35+1))),"",IF(E129&gt;$D$19,1,VLOOKUP(DATE(YEAR(E129),MONTH(E129)+IF($C$35=$S$23,1,0),1),ÍNDICES!$A:$DE,$Z$35+1))))))</f>
        <v/>
      </c>
      <c r="G129" s="155"/>
      <c r="H129" s="156" t="str">
        <f t="shared" si="22"/>
        <v/>
      </c>
      <c r="I129" s="29" t="str">
        <f t="shared" si="16"/>
        <v/>
      </c>
      <c r="J129" s="5">
        <f t="shared" si="17"/>
        <v>0</v>
      </c>
      <c r="K129" s="20">
        <f t="shared" ca="1" si="18"/>
        <v>0</v>
      </c>
      <c r="L129" s="5">
        <f t="shared" ca="1" si="19"/>
        <v>0</v>
      </c>
      <c r="M129" s="64">
        <f t="shared" si="23"/>
        <v>0</v>
      </c>
      <c r="N129" s="61">
        <f t="shared" ca="1" si="24"/>
        <v>0</v>
      </c>
      <c r="O129" s="5">
        <f t="shared" ca="1" si="25"/>
        <v>0</v>
      </c>
      <c r="P129" s="446" t="e">
        <f t="shared" si="20"/>
        <v>#VALUE!</v>
      </c>
      <c r="Q129" s="446" t="e">
        <f>IF(OR($B129="",MIN(Q$38,$D$19)&lt;MAX($P$34*($B129+IF($R$17="Distrato",$I$38-1,0)),IF(AND($L$37=0,$P$34=0),"",$L$37-1),IF($R$17="Distrato",$E129,0))),0,YEARFRAC(MAX($P$34*($B129+IF($R$17="Distrato",$I$38-1,0)),IF(AND($L$37=0,$P$34=0),"",$L$37-1),IF($R$17="Distrato",$E129,0)),MIN(Q$38,$D$19),$P$20))-SUM($P129:P129)</f>
        <v>#VALUE!</v>
      </c>
      <c r="R129" s="446" t="e">
        <f>IF(OR($B129="",MIN(R$38,$D$19)&lt;MAX($P$34*($B129+IF($R$17="Distrato",$I$38-1,0)),IF(AND($L$37=0,$P$34=0),"",$L$37-1),IF($R$17="Distrato",$E129,0))),0,YEARFRAC(MAX($P$34*($B129+IF($R$17="Distrato",$I$38-1,0)),IF(AND($L$37=0,$P$34=0),"",$L$37-1),IF($R$17="Distrato",$E129,0)),MIN(R$38,$D$19),$P$20))-SUM($P129:Q129)</f>
        <v>#VALUE!</v>
      </c>
      <c r="S129" s="446" t="e">
        <f>IF(OR($B129="",MIN(S$38,$D$19)&lt;MAX($P$34*($B129+IF($R$17="Distrato",$I$38-1,0)),IF(AND($L$37=0,$P$34=0),"",$L$37-1),IF($R$17="Distrato",$E129,0))),0,YEARFRAC(MAX($P$34*($B129+IF($R$17="Distrato",$I$38-1,0)),IF(AND($L$37=0,$P$34=0),"",$L$37-1),IF($R$17="Distrato",$E129,0)),MIN(S$38,$D$19),$P$20))-SUM($P129:R129)</f>
        <v>#VALUE!</v>
      </c>
      <c r="T129" s="446" t="e">
        <f>IF(OR($B129="",MIN(T$38,$D$19)&lt;MAX($P$34*($B129+IF($R$17="Distrato",$I$38-1,0)),IF(AND($L$37=0,$P$34=0),"",$L$37-1),IF($R$17="Distrato",$E129,0))),0,YEARFRAC(MAX($P$34*($B129+IF($R$17="Distrato",$I$38-1,0)),IF(AND($L$37=0,$P$34=0),"",$L$37-1),IF($R$17="Distrato",$E129,0)),MIN(T$38,$D$19),$P$20))-SUM($P129:S129)</f>
        <v>#VALUE!</v>
      </c>
      <c r="U129" s="446" t="e">
        <f>IF(OR($B129="",MIN(U$38,$D$19)&lt;MAX($P$34*($B129+IF($R$17="Distrato",$I$38-1,0)),IF(AND($L$37=0,$P$34=0),"",$L$37-1),IF($R$17="Distrato",$E129,0))),0,YEARFRAC(MAX($P$34*($B129+IF($R$17="Distrato",$I$38-1,0)),IF(AND($L$37=0,$P$34=0),"",$L$37-1),IF($R$17="Distrato",$E129,0)),MIN(U$38,$D$19),$P$20))-SUM($P129:T129)</f>
        <v>#VALUE!</v>
      </c>
      <c r="V129" s="446" t="e">
        <f>IF(OR($B129="",MIN(V$38,$D$19)&lt;MAX($P$34*($B129+IF($R$17="Distrato",$I$38-1,0)),IF(AND($L$37=0,$P$34=0),"",$L$37-1),IF($R$17="Distrato",$E129,0))),0,YEARFRAC(MAX($P$34*($B129+IF($R$17="Distrato",$I$38-1,0)),IF(AND($L$37=0,$P$34=0),"",$L$37-1),IF($R$17="Distrato",$E129,0)),MIN(V$38,$D$19),$P$20))-SUM($P129:U129)</f>
        <v>#VALUE!</v>
      </c>
      <c r="W129" s="446" t="e">
        <f>IF(OR($B129="",MIN(W$38,$D$19)&lt;MAX($P$34*($B129+IF($R$17="Distrato",$I$38-1,0)),IF(AND($L$37=0,$P$34=0),"",$L$37-1),IF($R$17="Distrato",$E129,0))),0,YEARFRAC(MAX($P$34*($B129+IF($R$17="Distrato",$I$38-1,0)),IF(AND($L$37=0,$P$34=0),"",$L$37-1),IF($R$17="Distrato",$E129,0)),MIN(W$38,$D$19),$P$20))-SUM($P129:V129)</f>
        <v>#VALUE!</v>
      </c>
      <c r="X129" s="446" t="e">
        <f>IF(OR($B129="",MIN(X$38,$D$19)&lt;MAX($P$34*($B129+IF($R$17="Distrato",$I$38-1,0)),IF(AND($L$37=0,$P$34=0),"",$L$37-1),IF($R$17="Distrato",$E129,0))),0,YEARFRAC(MAX($P$34*($B129+IF($R$17="Distrato",$I$38-1,0)),IF(AND($L$37=0,$P$34=0),"",$L$37-1),IF($R$17="Distrato",$E129,0)),MIN(X$38,$D$19),$P$20))-SUM($P129:W129)</f>
        <v>#VALUE!</v>
      </c>
      <c r="Y129" s="446" t="e">
        <f>IF(OR($B129="",MIN(Y$38,$D$19)&lt;MAX($P$34*($B129+IF($R$17="Distrato",$I$38-1,0)),IF(AND($L$37=0,$P$34=0),"",$L$37-1),IF($R$17="Distrato",$E129,0))),0,YEARFRAC(MAX($P$34*($B129+IF($R$17="Distrato",$I$38-1,0)),IF(AND($L$37=0,$P$34=0),"",$L$37-1),IF($R$17="Distrato",$E129,0)),MIN(Y$38,$D$19),$P$20))-SUM($P129:X129)</f>
        <v>#VALUE!</v>
      </c>
      <c r="Z129" s="446" t="e">
        <f>IF(OR($B129="",MIN(Z$38,$D$19)&lt;MAX($P$34*($B129+IF($R$17="Distrato",$I$38-1,0)),IF(AND($L$37=0,$P$34=0),"",$L$37-1),IF($R$17="Distrato",$E129,0))),0,YEARFRAC(MAX($P$34*($B129+IF($R$17="Distrato",$I$38-1,0)),IF(AND($L$37=0,$P$34=0),"",$L$37-1),IF($R$17="Distrato",$E129,0)),MIN(Z$38,$D$19),$P$20))-SUM($P129:Y129)</f>
        <v>#VALUE!</v>
      </c>
      <c r="AA129" s="446" t="e">
        <f>IF(OR($B129="",MIN(AA$38,$D$19)&lt;MAX($P$34*($B129+IF($R$17="Distrato",$I$38-1,0)),IF(AND($L$37=0,$P$34=0),"",$L$37-1),IF($R$17="Distrato",$E129,0))),0,YEARFRAC(MAX($P$34*($B129+IF($R$17="Distrato",$I$38-1,0)),IF(AND($L$37=0,$P$34=0),"",$L$37-1),IF($R$17="Distrato",$E129,0)),MIN(AA$38,$D$19),$P$20))-SUM($P129:Z129)</f>
        <v>#VALUE!</v>
      </c>
      <c r="AB129" s="446" t="e">
        <f>IF(OR($B129="",MIN(AB$38,$D$19)&lt;MAX($P$34*($B129+IF($R$17="Distrato",$I$38-1,0)),IF(AND($L$37=0,$P$34=0),"",$L$37-1),IF($R$17="Distrato",$E129,0))),0,YEARFRAC(MAX($P$34*($B129+IF($R$17="Distrato",$I$38-1,0)),IF(AND($L$37=0,$P$34=0),"",$L$37-1),IF($R$17="Distrato",$E129,0)),MIN(AB$38,$D$19),$P$20))-SUM($P129:AA129)</f>
        <v>#VALUE!</v>
      </c>
      <c r="AC129" s="446" t="e">
        <f>IF(OR($B129="",MIN(AC$38,$D$19)&lt;MAX($P$34*($B129+IF($R$17="Distrato",$I$38-1,0)),IF(AND($L$37=0,$P$34=0),"",$L$37-1),IF($R$17="Distrato",$E129,0))),0,YEARFRAC(MAX($P$34*($B129+IF($R$17="Distrato",$I$38-1,0)),IF(AND($L$37=0,$P$34=0),"",$L$37-1),IF($R$17="Distrato",$E129,0)),MIN(AC$38,$D$19),$P$20))-SUM($P129:AB129)</f>
        <v>#VALUE!</v>
      </c>
      <c r="AD129" s="446" t="e">
        <f>IF(OR($B129="",MIN(AD$38,$D$19)&lt;MAX($P$34*($B129+IF($R$17="Distrato",$I$38-1,0)),IF(AND($L$37=0,$P$34=0),"",$L$37-1),IF($R$17="Distrato",$E129,0))),0,YEARFRAC(MAX($P$34*($B129+IF($R$17="Distrato",$I$38-1,0)),IF(AND($L$37=0,$P$34=0),"",$L$37-1),IF($R$17="Distrato",$E129,0)),MIN(AD$38,$D$19),$P$20))-SUM($P129:AC129)</f>
        <v>#VALUE!</v>
      </c>
      <c r="AE129" s="446" t="e">
        <f>IF(OR($B129="",MIN(AE$38,$D$19)&lt;MAX($P$34*($B129+IF($R$17="Distrato",$I$38-1,0)),IF(AND($L$37=0,$P$34=0),"",$L$37-1),IF($R$17="Distrato",$E129,0))),0,YEARFRAC(MAX($P$34*($B129+IF($R$17="Distrato",$I$38-1,0)),IF(AND($L$37=0,$P$34=0),"",$L$37-1),IF($R$17="Distrato",$E129,0)),MIN(AE$38,$D$19),$P$20))-SUM($P129:AD129)</f>
        <v>#VALUE!</v>
      </c>
      <c r="AF129" s="446" t="e">
        <f>IF(OR($B129="",MIN(AF$38,$D$19)&lt;MAX($P$34*($B129+IF($R$17="Distrato",$I$38-1,0)),IF(AND($L$37=0,$P$34=0),"",$L$37-1),IF($R$17="Distrato",$E129,0))),0,YEARFRAC(MAX($P$34*($B129+IF($R$17="Distrato",$I$38-1,0)),IF(AND($L$37=0,$P$34=0),"",$L$37-1),IF($R$17="Distrato",$E129,0)),MIN(AF$38,$D$19),$P$20))-SUM($P129:AE129)</f>
        <v>#VALUE!</v>
      </c>
      <c r="AG129" s="446" t="e">
        <f>IF(OR($B129="",MIN(AG$38,$D$19)&lt;MAX($P$34*($B129+IF($R$17="Distrato",$I$38-1,0)),IF(AND($L$37=0,$P$34=0),"",$L$37-1),IF($R$17="Distrato",$E129,0))),0,YEARFRAC(MAX($P$34*($B129+IF($R$17="Distrato",$I$38-1,0)),IF(AND($L$37=0,$P$34=0),"",$L$37-1),IF($R$17="Distrato",$E129,0)),MIN(AG$38,$D$19),$P$20))-SUM($P129:AF129)</f>
        <v>#VALUE!</v>
      </c>
      <c r="AH129" s="446" t="e">
        <f>IF(OR($B129="",MIN(AH$38,$D$19)&lt;MAX($P$34*($B129+IF($R$17="Distrato",$I$38-1,0)),IF(AND($L$37=0,$P$34=0),"",$L$37-1),IF($R$17="Distrato",$E129,0))),0,YEARFRAC(MAX($P$34*($B129+IF($R$17="Distrato",$I$38-1,0)),IF(AND($L$37=0,$P$34=0),"",$L$37-1),IF($R$17="Distrato",$E129,0)),MIN(AH$38,$D$19),$P$20))-SUM($P129:AG129)</f>
        <v>#VALUE!</v>
      </c>
      <c r="AI129" s="446" t="e">
        <f>IF(OR($B129="",MIN(AI$38,$D$19)&lt;MAX($P$34*($B129+IF($R$17="Distrato",$I$38-1,0)),IF(AND($L$37=0,$P$34=0),"",$L$37-1),IF($R$17="Distrato",$E129,0))),0,YEARFRAC(MAX($P$34*($B129+IF($R$17="Distrato",$I$38-1,0)),IF(AND($L$37=0,$P$34=0),"",$L$37-1),IF($R$17="Distrato",$E129,0)),MIN(AI$38,$D$19),$P$20))-SUM($P129:AH129)</f>
        <v>#VALUE!</v>
      </c>
      <c r="AJ129" s="446" t="e">
        <f>IF(OR($B129="",MIN(AJ$38,$D$19)&lt;MAX($P$34*($B129+IF($R$17="Distrato",$I$38-1,0)),IF(AND($L$37=0,$P$34=0),"",$L$37-1),IF($R$17="Distrato",$E129,0))),0,YEARFRAC(MAX($P$34*($B129+IF($R$17="Distrato",$I$38-1,0)),IF(AND($L$37=0,$P$34=0),"",$L$37-1),IF($R$17="Distrato",$E129,0)),MIN(AJ$38,$D$19),$P$20))-SUM($P129:AI129)</f>
        <v>#VALUE!</v>
      </c>
      <c r="AK129" s="446" t="e">
        <f>IF(OR($B129="",MIN(AK$38,$D$19)&lt;MAX($P$34*($B129+IF($R$17="Distrato",$I$38-1,0)),IF(AND($L$37=0,$P$34=0),"",$L$37-1),IF($R$17="Distrato",$E129,0))),0,YEARFRAC(MAX($P$34*($B129+IF($R$17="Distrato",$I$38-1,0)),IF(AND($L$37=0,$P$34=0),"",$L$37-1),IF($R$17="Distrato",$E129,0)),MIN(AK$38,$D$19),$P$20))-SUM($P129:AJ129)</f>
        <v>#VALUE!</v>
      </c>
      <c r="AL129" s="446" t="e">
        <f>IF(OR($B129="",MIN(AL$38,$D$19)&lt;MAX($P$34*($B129+IF($R$17="Distrato",$I$38-1,0)),IF(AND($L$37=0,$P$34=0),"",$L$37-1),IF($R$17="Distrato",$E129,0))),0,YEARFRAC(MAX($P$34*($B129+IF($R$17="Distrato",$I$38-1,0)),IF(AND($L$37=0,$P$34=0),"",$L$37-1),IF($R$17="Distrato",$E129,0)),MIN(AL$38,$D$19),$P$20))-SUM($P129:AK129)</f>
        <v>#VALUE!</v>
      </c>
      <c r="AM129" s="446" t="e">
        <f>IF(OR($B129="",MIN(AM$38,$D$19)&lt;MAX($P$34*($B129+IF($R$17="Distrato",$I$38-1,0)),IF(AND($L$37=0,$P$34=0),"",$L$37-1),IF($R$17="Distrato",$E129,0))),0,YEARFRAC(MAX($P$34*($B129+IF($R$17="Distrato",$I$38-1,0)),IF(AND($L$37=0,$P$34=0),"",$L$37-1),IF($R$17="Distrato",$E129,0)),MIN(AM$38,$D$19),$P$20))-SUM($P129:AL129)</f>
        <v>#VALUE!</v>
      </c>
      <c r="AN129" s="446" t="e">
        <f>IF(OR($B129="",MIN(AN$38,$D$19)&lt;MAX($P$34*($B129+IF($R$17="Distrato",$I$38-1,0)),IF(AND($L$37=0,$P$34=0),"",$L$37-1),IF($R$17="Distrato",$E129,0))),0,YEARFRAC(MAX($P$34*($B129+IF($R$17="Distrato",$I$38-1,0)),IF(AND($L$37=0,$P$34=0),"",$L$37-1),IF($R$17="Distrato",$E129,0)),MIN(AN$38,$D$19),$P$20))-SUM($P129:AM129)</f>
        <v>#VALUE!</v>
      </c>
      <c r="AO129" s="446" t="e">
        <f>IF(OR($B129="",MIN(AO$38,$D$19)&lt;MAX($P$34*($B129+IF($R$17="Distrato",$I$38-1,0)),IF(AND($L$37=0,$P$34=0),"",$L$37-1),IF($R$17="Distrato",$E129,0))),0,YEARFRAC(MAX($P$34*($B129+IF($R$17="Distrato",$I$38-1,0)),IF(AND($L$37=0,$P$34=0),"",$L$37-1),IF($R$17="Distrato",$E129,0)),MIN(AO$38,$D$19),$P$20))-SUM($P129:AN129)</f>
        <v>#VALUE!</v>
      </c>
      <c r="AP129" s="446" t="e">
        <f>IF(OR($B129="",MIN(AP$38,$D$19)&lt;MAX($P$34*($B129+IF($R$17="Distrato",$I$38-1,0)),IF(AND($L$37=0,$P$34=0),"",$L$37-1),IF($R$17="Distrato",$E129,0))),0,YEARFRAC(MAX($P$34*($B129+IF($R$17="Distrato",$I$38-1,0)),IF(AND($L$37=0,$P$34=0),"",$L$37-1),IF($R$17="Distrato",$E129,0)),MIN(AP$38,$D$19),$P$20))-SUM($P129:AO129)</f>
        <v>#VALUE!</v>
      </c>
      <c r="AQ129" s="446" t="e">
        <f>IF(OR($B129="",MIN(AQ$38,$D$19)&lt;MAX($P$34*($B129+IF($R$17="Distrato",$I$38-1,0)),IF(AND($L$37=0,$P$34=0),"",$L$37-1),IF($R$17="Distrato",$E129,0))),0,YEARFRAC(MAX($P$34*($B129+IF($R$17="Distrato",$I$38-1,0)),IF(AND($L$37=0,$P$34=0),"",$L$37-1),IF($R$17="Distrato",$E129,0)),MIN(AQ$38,$D$19),$P$20))-SUM($P129:AP129)</f>
        <v>#VALUE!</v>
      </c>
      <c r="AR129" s="446" t="e">
        <f>IF(OR($B129="",MIN(AR$38,$D$19)&lt;MAX($P$34*($B129+IF($R$17="Distrato",$I$38-1,0)),IF(AND($L$37=0,$P$34=0),"",$L$37-1),IF($R$17="Distrato",$E129,0))),0,YEARFRAC(MAX($P$34*($B129+IF($R$17="Distrato",$I$38-1,0)),IF(AND($L$37=0,$P$34=0),"",$L$37-1),IF($R$17="Distrato",$E129,0)),MIN(AR$38,$D$19),$P$20))-SUM($P129:AQ129)</f>
        <v>#VALUE!</v>
      </c>
      <c r="AS129" s="446" t="e">
        <f>IF(OR($B129="",MIN(AS$38,$D$19)&lt;MAX($P$34*($B129+IF($R$17="Distrato",$I$38-1,0)),IF(AND($L$37=0,$P$34=0),"",$L$37-1),IF($R$17="Distrato",$E129,0))),0,YEARFRAC(MAX($P$34*($B129+IF($R$17="Distrato",$I$38-1,0)),IF(AND($L$37=0,$P$34=0),"",$L$37-1),IF($R$17="Distrato",$E129,0)),MIN(AS$38,$D$19),$P$20))-SUM($P129:AR129)</f>
        <v>#VALUE!</v>
      </c>
      <c r="AT129" s="446" t="e">
        <f>IF(OR($B129="",MIN(AT$38,$D$19)&lt;MAX($P$34*($B129+IF($R$17="Distrato",$I$38-1,0)),IF(AND($L$37=0,$P$34=0),"",$L$37-1),IF($R$17="Distrato",$E129,0))),0,YEARFRAC(MAX($P$34*($B129+IF($R$17="Distrato",$I$38-1,0)),IF(AND($L$37=0,$P$34=0),"",$L$37-1),IF($R$17="Distrato",$E129,0)),MIN(AT$38,$D$19),$P$20))-SUM($P129:AS129)</f>
        <v>#VALUE!</v>
      </c>
      <c r="AU129" s="446" t="e">
        <f>IF(OR($B129="",MIN(AU$38,$D$19)&lt;MAX($P$34*($B129+IF($R$17="Distrato",$I$38-1,0)),IF(AND($L$37=0,$P$34=0),"",$L$37-1),IF($R$17="Distrato",$E129,0))),0,YEARFRAC(MAX($P$34*($B129+IF($R$17="Distrato",$I$38-1,0)),IF(AND($L$37=0,$P$34=0),"",$L$37-1),IF($R$17="Distrato",$E129,0)),MIN(AU$38,$D$19),$P$20))-SUM($P129:AT129)</f>
        <v>#VALUE!</v>
      </c>
      <c r="AV129" s="446" t="e">
        <f>IF(OR($B129="",MIN(AV$38,$D$19)&lt;MAX($P$34*($B129+IF($R$17="Distrato",$I$38-1,0)),IF(AND($L$37=0,$P$34=0),"",$L$37-1),IF($R$17="Distrato",$E129,0))),0,YEARFRAC(MAX($P$34*($B129+IF($R$17="Distrato",$I$38-1,0)),IF(AND($L$37=0,$P$34=0),"",$L$37-1),IF($R$17="Distrato",$E129,0)),MIN(AV$38,$D$19),$P$20))-SUM($P129:AU129)</f>
        <v>#VALUE!</v>
      </c>
      <c r="AW129" s="446" t="e">
        <f>IF(OR($B129="",MIN(AW$38,$D$19)&lt;MAX($P$34*($B129+IF($R$17="Distrato",$I$38-1,0)),IF(AND($L$37=0,$P$34=0),"",$L$37-1),IF($R$17="Distrato",$E129,0))),0,YEARFRAC(MAX($P$34*($B129+IF($R$17="Distrato",$I$38-1,0)),IF(AND($L$37=0,$P$34=0),"",$L$37-1),IF($R$17="Distrato",$E129,0)),MIN(AW$38,$D$19),$P$20))-SUM($P129:AV129)</f>
        <v>#VALUE!</v>
      </c>
      <c r="AX129" s="446" t="e">
        <f>IF(OR($B129="",MIN(AX$38,$D$19)&lt;MAX($P$34*($B129+IF($R$17="Distrato",$I$38-1,0)),IF(AND($L$37=0,$P$34=0),"",$L$37-1),IF($R$17="Distrato",$E129,0))),0,YEARFRAC(MAX($P$34*($B129+IF($R$17="Distrato",$I$38-1,0)),IF(AND($L$37=0,$P$34=0),"",$L$37-1),IF($R$17="Distrato",$E129,0)),MIN(AX$38,$D$19),$P$20))-SUM($P129:AW129)</f>
        <v>#VALUE!</v>
      </c>
      <c r="AY129" s="446" t="e">
        <f>IF(OR($B129="",MIN(AY$38,$D$19)&lt;MAX($P$34*($B129+IF($R$17="Distrato",$I$38-1,0)),IF(AND($L$37=0,$P$34=0),"",$L$37-1),IF($R$17="Distrato",$E129,0))),0,YEARFRAC(MAX($P$34*($B129+IF($R$17="Distrato",$I$38-1,0)),IF(AND($L$37=0,$P$34=0),"",$L$37-1),IF($R$17="Distrato",$E129,0)),MIN(AY$38,$D$19),$P$20))-SUM($P129:AX129)</f>
        <v>#VALUE!</v>
      </c>
      <c r="AZ129" s="446" t="e">
        <f>IF(OR($B129="",MIN(AZ$38,$D$19)&lt;MAX($P$34*($B129+IF($R$17="Distrato",$I$38-1,0)),IF(AND($L$37=0,$P$34=0),"",$L$37-1),IF($R$17="Distrato",$E129,0))),0,YEARFRAC(MAX($P$34*($B129+IF($R$17="Distrato",$I$38-1,0)),IF(AND($L$37=0,$P$34=0),"",$L$37-1),IF($R$17="Distrato",$E129,0)),MIN(AZ$38,$D$19),$P$20))-SUM($P129:AY129)</f>
        <v>#VALUE!</v>
      </c>
      <c r="BA129" s="446" t="e">
        <f>IF(OR($B129="",MIN(BA$38,$D$19)&lt;MAX($P$34*($B129+IF($R$17="Distrato",$I$38-1,0)),IF(AND($L$37=0,$P$34=0),"",$L$37-1),IF($R$17="Distrato",$E129,0))),0,YEARFRAC(MAX($P$34*($B129+IF($R$17="Distrato",$I$38-1,0)),IF(AND($L$37=0,$P$34=0),"",$L$37-1),IF($R$17="Distrato",$E129,0)),MIN(BA$38,$D$19),$P$20))-SUM($P129:AZ129)</f>
        <v>#VALUE!</v>
      </c>
      <c r="BB129" s="447"/>
      <c r="BF129" s="446">
        <f t="shared" si="21"/>
        <v>0</v>
      </c>
      <c r="BG129" s="446">
        <f>IF($E129=0,0,IF(MIN(BG$38,$E129)&lt;MAX($P$34*($B129+$I$38-1),IF(AND($L$37=0,$P$34=0),"",$L$37-1)),0,YEARFRAC(MAX($P$34*($B129+$I$38-1),IF(AND($L$37=0,$P$34=0),"",$L$37-1)),MIN(BG$38,$E129),$P$20))-SUM($BF129:BF129))</f>
        <v>0</v>
      </c>
      <c r="BH129" s="446">
        <f>IF($E129=0,0,IF(MIN(BH$38,$E129)&lt;MAX($P$34*($B129+$I$38-1),IF(AND($L$37=0,$P$34=0),"",$L$37-1)),0,YEARFRAC(MAX($P$34*($B129+$I$38-1),IF(AND($L$37=0,$P$34=0),"",$L$37-1)),MIN(BH$38,$E129),$P$20))-SUM($BF129:BG129))</f>
        <v>0</v>
      </c>
      <c r="BI129" s="446">
        <f>IF($E129=0,0,IF(MIN(BI$38,$E129)&lt;MAX($P$34*($B129+$I$38-1),IF(AND($L$37=0,$P$34=0),"",$L$37-1)),0,YEARFRAC(MAX($P$34*($B129+$I$38-1),IF(AND($L$37=0,$P$34=0),"",$L$37-1)),MIN(BI$38,$E129),$P$20))-SUM($BF129:BH129))</f>
        <v>0</v>
      </c>
      <c r="BJ129" s="446">
        <f>IF($E129=0,0,IF(MIN(BJ$38,$E129)&lt;MAX($P$34*($B129+$I$38-1),IF(AND($L$37=0,$P$34=0),"",$L$37-1)),0,YEARFRAC(MAX($P$34*($B129+$I$38-1),IF(AND($L$37=0,$P$34=0),"",$L$37-1)),MIN(BJ$38,$E129),$P$20))-SUM($BF129:BI129))</f>
        <v>0</v>
      </c>
      <c r="BK129" s="446">
        <f>IF($E129=0,0,IF(MIN(BK$38,$E129)&lt;MAX($P$34*($B129+$I$38-1),IF(AND($L$37=0,$P$34=0),"",$L$37-1)),0,YEARFRAC(MAX($P$34*($B129+$I$38-1),IF(AND($L$37=0,$P$34=0),"",$L$37-1)),MIN(BK$38,$E129),$P$20))-SUM($BF129:BJ129))</f>
        <v>0</v>
      </c>
      <c r="BL129" s="446">
        <f>IF($E129=0,0,IF(MIN(BL$38,$E129)&lt;MAX($P$34*($B129+$I$38-1),IF(AND($L$37=0,$P$34=0),"",$L$37-1)),0,YEARFRAC(MAX($P$34*($B129+$I$38-1),IF(AND($L$37=0,$P$34=0),"",$L$37-1)),MIN(BL$38,$E129),$P$20))-SUM($BF129:BK129))</f>
        <v>0</v>
      </c>
      <c r="BM129" s="446">
        <f>IF($E129=0,0,IF(MIN(BM$38,$E129)&lt;MAX($P$34*($B129+$I$38-1),IF(AND($L$37=0,$P$34=0),"",$L$37-1)),0,YEARFRAC(MAX($P$34*($B129+$I$38-1),IF(AND($L$37=0,$P$34=0),"",$L$37-1)),MIN(BM$38,$E129),$P$20))-SUM($BF129:BL129))</f>
        <v>0</v>
      </c>
      <c r="BN129" s="446">
        <f>IF($E129=0,0,IF(MIN(BN$38,$E129)&lt;MAX($P$34*($B129+$I$38-1),IF(AND($L$37=0,$P$34=0),"",$L$37-1)),0,YEARFRAC(MAX($P$34*($B129+$I$38-1),IF(AND($L$37=0,$P$34=0),"",$L$37-1)),MIN(BN$38,$E129),$P$20))-SUM($BF129:BM129))</f>
        <v>0</v>
      </c>
      <c r="BO129" s="446">
        <f>IF($E129=0,0,IF(MIN(BO$38,$E129)&lt;MAX($P$34*($B129+$I$38-1),IF(AND($L$37=0,$P$34=0),"",$L$37-1)),0,YEARFRAC(MAX($P$34*($B129+$I$38-1),IF(AND($L$37=0,$P$34=0),"",$L$37-1)),MIN(BO$38,$E129),$P$20))-SUM($BF129:BN129))</f>
        <v>0</v>
      </c>
      <c r="BP129" s="446">
        <f>IF($E129=0,0,IF(MIN(BP$38,$E129)&lt;MAX($P$34*($B129+$I$38-1),IF(AND($L$37=0,$P$34=0),"",$L$37-1)),0,YEARFRAC(MAX($P$34*($B129+$I$38-1),IF(AND($L$37=0,$P$34=0),"",$L$37-1)),MIN(BP$38,$E129),$P$20))-SUM($BF129:BO129))</f>
        <v>0</v>
      </c>
      <c r="BQ129" s="446">
        <f>IF($E129=0,0,IF(MIN(BQ$38,$E129)&lt;MAX($P$34*($B129+$I$38-1),IF(AND($L$37=0,$P$34=0),"",$L$37-1)),0,YEARFRAC(MAX($P$34*($B129+$I$38-1),IF(AND($L$37=0,$P$34=0),"",$L$37-1)),MIN(BQ$38,$E129),$P$20))-SUM($BF129:BP129))</f>
        <v>0</v>
      </c>
      <c r="BR129" s="446">
        <f>IF($E129=0,0,IF(MIN(BR$38,$E129)&lt;MAX($P$34*($B129+$I$38-1),IF(AND($L$37=0,$P$34=0),"",$L$37-1)),0,YEARFRAC(MAX($P$34*($B129+$I$38-1),IF(AND($L$37=0,$P$34=0),"",$L$37-1)),MIN(BR$38,$E129),$P$20))-SUM($BF129:BQ129))</f>
        <v>0</v>
      </c>
      <c r="BS129" s="446">
        <f>IF($E129=0,0,IF(MIN(BS$38,$E129)&lt;MAX($P$34*($B129+$I$38-1),IF(AND($L$37=0,$P$34=0),"",$L$37-1)),0,YEARFRAC(MAX($P$34*($B129+$I$38-1),IF(AND($L$37=0,$P$34=0),"",$L$37-1)),MIN(BS$38,$E129),$P$20))-SUM($BF129:BR129))</f>
        <v>0</v>
      </c>
      <c r="BT129" s="446">
        <f>IF($E129=0,0,IF(MIN(BT$38,$E129)&lt;MAX($P$34*($B129+$I$38-1),IF(AND($L$37=0,$P$34=0),"",$L$37-1)),0,YEARFRAC(MAX($P$34*($B129+$I$38-1),IF(AND($L$37=0,$P$34=0),"",$L$37-1)),MIN(BT$38,$E129),$P$20))-SUM($BF129:BS129))</f>
        <v>0</v>
      </c>
      <c r="BU129" s="446">
        <f>IF($E129=0,0,IF(MIN(BU$38,$E129)&lt;MAX($P$34*($B129+$I$38-1),IF(AND($L$37=0,$P$34=0),"",$L$37-1)),0,YEARFRAC(MAX($P$34*($B129+$I$38-1),IF(AND($L$37=0,$P$34=0),"",$L$37-1)),MIN(BU$38,$E129),$P$20))-SUM($BF129:BT129))</f>
        <v>0</v>
      </c>
      <c r="BV129" s="446">
        <f>IF($E129=0,0,IF(MIN(BV$38,$E129)&lt;MAX($P$34*($B129+$I$38-1),IF(AND($L$37=0,$P$34=0),"",$L$37-1)),0,YEARFRAC(MAX($P$34*($B129+$I$38-1),IF(AND($L$37=0,$P$34=0),"",$L$37-1)),MIN(BV$38,$E129),$P$20))-SUM($BF129:BU129))</f>
        <v>0</v>
      </c>
      <c r="BW129" s="446">
        <f>IF($E129=0,0,IF(MIN(BW$38,$E129)&lt;MAX($P$34*($B129+$I$38-1),IF(AND($L$37=0,$P$34=0),"",$L$37-1)),0,YEARFRAC(MAX($P$34*($B129+$I$38-1),IF(AND($L$37=0,$P$34=0),"",$L$37-1)),MIN(BW$38,$E129),$P$20))-SUM($BF129:BV129))</f>
        <v>0</v>
      </c>
      <c r="BX129" s="446">
        <f>IF($E129=0,0,IF(MIN(BX$38,$E129)&lt;MAX($P$34*($B129+$I$38-1),IF(AND($L$37=0,$P$34=0),"",$L$37-1)),0,YEARFRAC(MAX($P$34*($B129+$I$38-1),IF(AND($L$37=0,$P$34=0),"",$L$37-1)),MIN(BX$38,$E129),$P$20))-SUM($BF129:BW129))</f>
        <v>0</v>
      </c>
      <c r="BY129" s="446">
        <f>IF($E129=0,0,IF(MIN(BY$38,$E129)&lt;MAX($P$34*($B129+$I$38-1),IF(AND($L$37=0,$P$34=0),"",$L$37-1)),0,YEARFRAC(MAX($P$34*($B129+$I$38-1),IF(AND($L$37=0,$P$34=0),"",$L$37-1)),MIN(BY$38,$E129),$P$20))-SUM($BF129:BX129))</f>
        <v>0</v>
      </c>
      <c r="BZ129" s="446">
        <f>IF($E129=0,0,IF(MIN(BZ$38,$E129)&lt;MAX($P$34*($B129+$I$38-1),IF(AND($L$37=0,$P$34=0),"",$L$37-1)),0,YEARFRAC(MAX($P$34*($B129+$I$38-1),IF(AND($L$37=0,$P$34=0),"",$L$37-1)),MIN(BZ$38,$E129),$P$20))-SUM($BF129:BY129))</f>
        <v>0</v>
      </c>
      <c r="CA129" s="446">
        <f>IF($E129=0,0,IF(MIN(CA$38,$E129)&lt;MAX($P$34*($B129+$I$38-1),IF(AND($L$37=0,$P$34=0),"",$L$37-1)),0,YEARFRAC(MAX($P$34*($B129+$I$38-1),IF(AND($L$37=0,$P$34=0),"",$L$37-1)),MIN(CA$38,$E129),$P$20))-SUM($BF129:BZ129))</f>
        <v>0</v>
      </c>
      <c r="CB129" s="446">
        <f>IF($E129=0,0,IF(MIN(CB$38,$E129)&lt;MAX($P$34*($B129+$I$38-1),IF(AND($L$37=0,$P$34=0),"",$L$37-1)),0,YEARFRAC(MAX($P$34*($B129+$I$38-1),IF(AND($L$37=0,$P$34=0),"",$L$37-1)),MIN(CB$38,$E129),$P$20))-SUM($BF129:CA129))</f>
        <v>0</v>
      </c>
      <c r="CC129" s="446">
        <f>IF($E129=0,0,IF(MIN(CC$38,$E129)&lt;MAX($P$34*($B129+$I$38-1),IF(AND($L$37=0,$P$34=0),"",$L$37-1)),0,YEARFRAC(MAX($P$34*($B129+$I$38-1),IF(AND($L$37=0,$P$34=0),"",$L$37-1)),MIN(CC$38,$E129),$P$20))-SUM($BF129:CB129))</f>
        <v>0</v>
      </c>
      <c r="CD129" s="446">
        <f>IF($E129=0,0,IF(MIN(CD$38,$E129)&lt;MAX($P$34*($B129+$I$38-1),IF(AND($L$37=0,$P$34=0),"",$L$37-1)),0,YEARFRAC(MAX($P$34*($B129+$I$38-1),IF(AND($L$37=0,$P$34=0),"",$L$37-1)),MIN(CD$38,$E129),$P$20))-SUM($BF129:CC129))</f>
        <v>0</v>
      </c>
      <c r="CE129" s="446">
        <f>IF($E129=0,0,IF(MIN(CE$38,$E129)&lt;MAX($P$34*($B129+$I$38-1),IF(AND($L$37=0,$P$34=0),"",$L$37-1)),0,YEARFRAC(MAX($P$34*($B129+$I$38-1),IF(AND($L$37=0,$P$34=0),"",$L$37-1)),MIN(CE$38,$E129),$P$20))-SUM($BF129:CD129))</f>
        <v>0</v>
      </c>
      <c r="CF129" s="446">
        <f>IF($E129=0,0,IF(MIN(CF$38,$E129)&lt;MAX($P$34*($B129+$I$38-1),IF(AND($L$37=0,$P$34=0),"",$L$37-1)),0,YEARFRAC(MAX($P$34*($B129+$I$38-1),IF(AND($L$37=0,$P$34=0),"",$L$37-1)),MIN(CF$38,$E129),$P$20))-SUM($BF129:CE129))</f>
        <v>0</v>
      </c>
      <c r="CG129" s="446">
        <f>IF($E129=0,0,IF(MIN(CG$38,$E129)&lt;MAX($P$34*($B129+$I$38-1),IF(AND($L$37=0,$P$34=0),"",$L$37-1)),0,YEARFRAC(MAX($P$34*($B129+$I$38-1),IF(AND($L$37=0,$P$34=0),"",$L$37-1)),MIN(CG$38,$E129),$P$20))-SUM($BF129:CF129))</f>
        <v>0</v>
      </c>
      <c r="CH129" s="446">
        <f>IF($E129=0,0,IF(MIN(CH$38,$E129)&lt;MAX($P$34*($B129+$I$38-1),IF(AND($L$37=0,$P$34=0),"",$L$37-1)),0,YEARFRAC(MAX($P$34*($B129+$I$38-1),IF(AND($L$37=0,$P$34=0),"",$L$37-1)),MIN(CH$38,$E129),$P$20))-SUM($BF129:CG129))</f>
        <v>0</v>
      </c>
      <c r="CI129" s="446">
        <f>IF($E129=0,0,IF(MIN(CI$38,$E129)&lt;MAX($P$34*($B129+$I$38-1),IF(AND($L$37=0,$P$34=0),"",$L$37-1)),0,YEARFRAC(MAX($P$34*($B129+$I$38-1),IF(AND($L$37=0,$P$34=0),"",$L$37-1)),MIN(CI$38,$E129),$P$20))-SUM($BF129:CH129))</f>
        <v>0</v>
      </c>
      <c r="CJ129" s="446">
        <f>IF($E129=0,0,IF(MIN(CJ$38,$E129)&lt;MAX($P$34*($B129+$I$38-1),IF(AND($L$37=0,$P$34=0),"",$L$37-1)),0,YEARFRAC(MAX($P$34*($B129+$I$38-1),IF(AND($L$37=0,$P$34=0),"",$L$37-1)),MIN(CJ$38,$E129),$P$20))-SUM($BF129:CI129))</f>
        <v>0</v>
      </c>
      <c r="CK129" s="446">
        <f>IF($E129=0,0,IF(MIN(CK$38,$E129)&lt;MAX($P$34*($B129+$I$38-1),IF(AND($L$37=0,$P$34=0),"",$L$37-1)),0,YEARFRAC(MAX($P$34*($B129+$I$38-1),IF(AND($L$37=0,$P$34=0),"",$L$37-1)),MIN(CK$38,$E129),$P$20))-SUM($BF129:CJ129))</f>
        <v>0</v>
      </c>
      <c r="CL129" s="446">
        <f>IF($E129=0,0,IF(MIN(CL$38,$E129)&lt;MAX($P$34*($B129+$I$38-1),IF(AND($L$37=0,$P$34=0),"",$L$37-1)),0,YEARFRAC(MAX($P$34*($B129+$I$38-1),IF(AND($L$37=0,$P$34=0),"",$L$37-1)),MIN(CL$38,$E129),$P$20))-SUM($BF129:CK129))</f>
        <v>0</v>
      </c>
      <c r="CM129" s="446">
        <f>IF($E129=0,0,IF(MIN(CM$38,$E129)&lt;MAX($P$34*($B129+$I$38-1),IF(AND($L$37=0,$P$34=0),"",$L$37-1)),0,YEARFRAC(MAX($P$34*($B129+$I$38-1),IF(AND($L$37=0,$P$34=0),"",$L$37-1)),MIN(CM$38,$E129),$P$20))-SUM($BF129:CL129))</f>
        <v>0</v>
      </c>
      <c r="CN129" s="446">
        <f>IF($E129=0,0,IF(MIN(CN$38,$E129)&lt;MAX($P$34*($B129+$I$38-1),IF(AND($L$37=0,$P$34=0),"",$L$37-1)),0,YEARFRAC(MAX($P$34*($B129+$I$38-1),IF(AND($L$37=0,$P$34=0),"",$L$37-1)),MIN(CN$38,$E129),$P$20))-SUM($BF129:CM129))</f>
        <v>0</v>
      </c>
      <c r="CO129" s="446">
        <f>IF($E129=0,0,IF(MIN(CO$38,$E129)&lt;MAX($P$34*($B129+$I$38-1),IF(AND($L$37=0,$P$34=0),"",$L$37-1)),0,YEARFRAC(MAX($P$34*($B129+$I$38-1),IF(AND($L$37=0,$P$34=0),"",$L$37-1)),MIN(CO$38,$E129),$P$20))-SUM($BF129:CN129))</f>
        <v>0</v>
      </c>
      <c r="CP129" s="446">
        <f>IF($E129=0,0,IF(MIN(CP$38,$E129)&lt;MAX($P$34*($B129+$I$38-1),IF(AND($L$37=0,$P$34=0),"",$L$37-1)),0,YEARFRAC(MAX($P$34*($B129+$I$38-1),IF(AND($L$37=0,$P$34=0),"",$L$37-1)),MIN(CP$38,$E129),$P$20))-SUM($BF129:CO129))</f>
        <v>0</v>
      </c>
      <c r="CQ129" s="446">
        <f>IF($E129=0,0,IF(MIN(CQ$38,$E129)&lt;MAX($P$34*($B129+$I$38-1),IF(AND($L$37=0,$P$34=0),"",$L$37-1)),0,YEARFRAC(MAX($P$34*($B129+$I$38-1),IF(AND($L$37=0,$P$34=0),"",$L$37-1)),MIN(CQ$38,$E129),$P$20))-SUM($BF129:CP129))</f>
        <v>0</v>
      </c>
    </row>
    <row r="130" spans="1:95" s="446" customFormat="1" ht="11.25" hidden="1" customHeight="1" x14ac:dyDescent="0.2">
      <c r="A130" s="152"/>
      <c r="B130" s="153" t="str">
        <f t="shared" si="26"/>
        <v/>
      </c>
      <c r="C130" s="29" t="str">
        <f>IF(B130="","",IF($L$35="SELIC - TRIBUTOS",VLOOKUP(DATE(YEAR($D$19),MONTH($D$19)-1,1),ÍNDICES!$A:$DE,HLOOKUP($BL$25,ÍNDICES!$B$3:$T$4,2)+11)-VLOOKUP(B130,ÍNDICES!$A:$DE,HLOOKUP($BL$25,ÍNDICES!$B$3:$T$4,2)+11)+1%,IF(C$38=$W$26,$J$35,IF(ISERROR(IF(B130&gt;$D$19,1,VLOOKUP(DATE(YEAR(B130),MONTH(B130)+IF($C$35=$S$23,1,0),1),ÍNDICES!$A:$DE,$Z$35+1))),"",IF(B130&gt;$D$19,1,VLOOKUP(DATE(YEAR(B130),MONTH(B130)+IF($C$35=$S$23,1,0),1),ÍNDICES!$A:$DE,$Z$35+1))))))</f>
        <v/>
      </c>
      <c r="D130" s="154" t="str">
        <f>IF(ISERROR(IF(OR($D$38=$Y$27,$B130=""),"",VLOOKUP(B130,ÍNDICES!A:DE,AF$35+1))),"",IF(OR($D$38=$Y$27,$B130=""),"",VLOOKUP(B130,ÍNDICES!A:DE,AF$35+1)))</f>
        <v/>
      </c>
      <c r="E130" s="153"/>
      <c r="F130" s="29" t="str">
        <f>IF(E130="","",IF($L$35="SELIC - TRIBUTOS",VLOOKUP(DATE(YEAR($D$19),MONTH($D$19)-1,1),ÍNDICES!$A:$DE,HLOOKUP($BL$25,ÍNDICES!$B$3:$T$4,2)+11)-VLOOKUP(E130,ÍNDICES!$A:$DE,HLOOKUP($BL$25,ÍNDICES!$B$3:$T$4,2)+11)+1%,IF(F$38=$W$26,$J$35,IF(ISERROR(IF(E130&gt;$D$19,1,VLOOKUP(DATE(YEAR(E130),MONTH(E130)+IF($C$35=$S$23,1,0),1),ÍNDICES!$A:$DE,$Z$35+1))),"",IF(E130&gt;$D$19,1,VLOOKUP(DATE(YEAR(E130),MONTH(E130)+IF($C$35=$S$23,1,0),1),ÍNDICES!$A:$DE,$Z$35+1))))))</f>
        <v/>
      </c>
      <c r="G130" s="155"/>
      <c r="H130" s="156" t="str">
        <f t="shared" si="22"/>
        <v/>
      </c>
      <c r="I130" s="29" t="str">
        <f t="shared" si="16"/>
        <v/>
      </c>
      <c r="J130" s="5">
        <f t="shared" si="17"/>
        <v>0</v>
      </c>
      <c r="K130" s="20">
        <f t="shared" ca="1" si="18"/>
        <v>0</v>
      </c>
      <c r="L130" s="5">
        <f t="shared" ca="1" si="19"/>
        <v>0</v>
      </c>
      <c r="M130" s="64">
        <f t="shared" si="23"/>
        <v>0</v>
      </c>
      <c r="N130" s="61">
        <f t="shared" ca="1" si="24"/>
        <v>0</v>
      </c>
      <c r="O130" s="5">
        <f t="shared" ca="1" si="25"/>
        <v>0</v>
      </c>
      <c r="P130" s="446" t="e">
        <f t="shared" si="20"/>
        <v>#VALUE!</v>
      </c>
      <c r="Q130" s="446" t="e">
        <f>IF(OR($B130="",MIN(Q$38,$D$19)&lt;MAX($P$34*($B130+IF($R$17="Distrato",$I$38-1,0)),IF(AND($L$37=0,$P$34=0),"",$L$37-1),IF($R$17="Distrato",$E130,0))),0,YEARFRAC(MAX($P$34*($B130+IF($R$17="Distrato",$I$38-1,0)),IF(AND($L$37=0,$P$34=0),"",$L$37-1),IF($R$17="Distrato",$E130,0)),MIN(Q$38,$D$19),$P$20))-SUM($P130:P130)</f>
        <v>#VALUE!</v>
      </c>
      <c r="R130" s="446" t="e">
        <f>IF(OR($B130="",MIN(R$38,$D$19)&lt;MAX($P$34*($B130+IF($R$17="Distrato",$I$38-1,0)),IF(AND($L$37=0,$P$34=0),"",$L$37-1),IF($R$17="Distrato",$E130,0))),0,YEARFRAC(MAX($P$34*($B130+IF($R$17="Distrato",$I$38-1,0)),IF(AND($L$37=0,$P$34=0),"",$L$37-1),IF($R$17="Distrato",$E130,0)),MIN(R$38,$D$19),$P$20))-SUM($P130:Q130)</f>
        <v>#VALUE!</v>
      </c>
      <c r="S130" s="446" t="e">
        <f>IF(OR($B130="",MIN(S$38,$D$19)&lt;MAX($P$34*($B130+IF($R$17="Distrato",$I$38-1,0)),IF(AND($L$37=0,$P$34=0),"",$L$37-1),IF($R$17="Distrato",$E130,0))),0,YEARFRAC(MAX($P$34*($B130+IF($R$17="Distrato",$I$38-1,0)),IF(AND($L$37=0,$P$34=0),"",$L$37-1),IF($R$17="Distrato",$E130,0)),MIN(S$38,$D$19),$P$20))-SUM($P130:R130)</f>
        <v>#VALUE!</v>
      </c>
      <c r="T130" s="446" t="e">
        <f>IF(OR($B130="",MIN(T$38,$D$19)&lt;MAX($P$34*($B130+IF($R$17="Distrato",$I$38-1,0)),IF(AND($L$37=0,$P$34=0),"",$L$37-1),IF($R$17="Distrato",$E130,0))),0,YEARFRAC(MAX($P$34*($B130+IF($R$17="Distrato",$I$38-1,0)),IF(AND($L$37=0,$P$34=0),"",$L$37-1),IF($R$17="Distrato",$E130,0)),MIN(T$38,$D$19),$P$20))-SUM($P130:S130)</f>
        <v>#VALUE!</v>
      </c>
      <c r="U130" s="446" t="e">
        <f>IF(OR($B130="",MIN(U$38,$D$19)&lt;MAX($P$34*($B130+IF($R$17="Distrato",$I$38-1,0)),IF(AND($L$37=0,$P$34=0),"",$L$37-1),IF($R$17="Distrato",$E130,0))),0,YEARFRAC(MAX($P$34*($B130+IF($R$17="Distrato",$I$38-1,0)),IF(AND($L$37=0,$P$34=0),"",$L$37-1),IF($R$17="Distrato",$E130,0)),MIN(U$38,$D$19),$P$20))-SUM($P130:T130)</f>
        <v>#VALUE!</v>
      </c>
      <c r="V130" s="446" t="e">
        <f>IF(OR($B130="",MIN(V$38,$D$19)&lt;MAX($P$34*($B130+IF($R$17="Distrato",$I$38-1,0)),IF(AND($L$37=0,$P$34=0),"",$L$37-1),IF($R$17="Distrato",$E130,0))),0,YEARFRAC(MAX($P$34*($B130+IF($R$17="Distrato",$I$38-1,0)),IF(AND($L$37=0,$P$34=0),"",$L$37-1),IF($R$17="Distrato",$E130,0)),MIN(V$38,$D$19),$P$20))-SUM($P130:U130)</f>
        <v>#VALUE!</v>
      </c>
      <c r="W130" s="446" t="e">
        <f>IF(OR($B130="",MIN(W$38,$D$19)&lt;MAX($P$34*($B130+IF($R$17="Distrato",$I$38-1,0)),IF(AND($L$37=0,$P$34=0),"",$L$37-1),IF($R$17="Distrato",$E130,0))),0,YEARFRAC(MAX($P$34*($B130+IF($R$17="Distrato",$I$38-1,0)),IF(AND($L$37=0,$P$34=0),"",$L$37-1),IF($R$17="Distrato",$E130,0)),MIN(W$38,$D$19),$P$20))-SUM($P130:V130)</f>
        <v>#VALUE!</v>
      </c>
      <c r="X130" s="446" t="e">
        <f>IF(OR($B130="",MIN(X$38,$D$19)&lt;MAX($P$34*($B130+IF($R$17="Distrato",$I$38-1,0)),IF(AND($L$37=0,$P$34=0),"",$L$37-1),IF($R$17="Distrato",$E130,0))),0,YEARFRAC(MAX($P$34*($B130+IF($R$17="Distrato",$I$38-1,0)),IF(AND($L$37=0,$P$34=0),"",$L$37-1),IF($R$17="Distrato",$E130,0)),MIN(X$38,$D$19),$P$20))-SUM($P130:W130)</f>
        <v>#VALUE!</v>
      </c>
      <c r="Y130" s="446" t="e">
        <f>IF(OR($B130="",MIN(Y$38,$D$19)&lt;MAX($P$34*($B130+IF($R$17="Distrato",$I$38-1,0)),IF(AND($L$37=0,$P$34=0),"",$L$37-1),IF($R$17="Distrato",$E130,0))),0,YEARFRAC(MAX($P$34*($B130+IF($R$17="Distrato",$I$38-1,0)),IF(AND($L$37=0,$P$34=0),"",$L$37-1),IF($R$17="Distrato",$E130,0)),MIN(Y$38,$D$19),$P$20))-SUM($P130:X130)</f>
        <v>#VALUE!</v>
      </c>
      <c r="Z130" s="446" t="e">
        <f>IF(OR($B130="",MIN(Z$38,$D$19)&lt;MAX($P$34*($B130+IF($R$17="Distrato",$I$38-1,0)),IF(AND($L$37=0,$P$34=0),"",$L$37-1),IF($R$17="Distrato",$E130,0))),0,YEARFRAC(MAX($P$34*($B130+IF($R$17="Distrato",$I$38-1,0)),IF(AND($L$37=0,$P$34=0),"",$L$37-1),IF($R$17="Distrato",$E130,0)),MIN(Z$38,$D$19),$P$20))-SUM($P130:Y130)</f>
        <v>#VALUE!</v>
      </c>
      <c r="AA130" s="446" t="e">
        <f>IF(OR($B130="",MIN(AA$38,$D$19)&lt;MAX($P$34*($B130+IF($R$17="Distrato",$I$38-1,0)),IF(AND($L$37=0,$P$34=0),"",$L$37-1),IF($R$17="Distrato",$E130,0))),0,YEARFRAC(MAX($P$34*($B130+IF($R$17="Distrato",$I$38-1,0)),IF(AND($L$37=0,$P$34=0),"",$L$37-1),IF($R$17="Distrato",$E130,0)),MIN(AA$38,$D$19),$P$20))-SUM($P130:Z130)</f>
        <v>#VALUE!</v>
      </c>
      <c r="AB130" s="446" t="e">
        <f>IF(OR($B130="",MIN(AB$38,$D$19)&lt;MAX($P$34*($B130+IF($R$17="Distrato",$I$38-1,0)),IF(AND($L$37=0,$P$34=0),"",$L$37-1),IF($R$17="Distrato",$E130,0))),0,YEARFRAC(MAX($P$34*($B130+IF($R$17="Distrato",$I$38-1,0)),IF(AND($L$37=0,$P$34=0),"",$L$37-1),IF($R$17="Distrato",$E130,0)),MIN(AB$38,$D$19),$P$20))-SUM($P130:AA130)</f>
        <v>#VALUE!</v>
      </c>
      <c r="AC130" s="446" t="e">
        <f>IF(OR($B130="",MIN(AC$38,$D$19)&lt;MAX($P$34*($B130+IF($R$17="Distrato",$I$38-1,0)),IF(AND($L$37=0,$P$34=0),"",$L$37-1),IF($R$17="Distrato",$E130,0))),0,YEARFRAC(MAX($P$34*($B130+IF($R$17="Distrato",$I$38-1,0)),IF(AND($L$37=0,$P$34=0),"",$L$37-1),IF($R$17="Distrato",$E130,0)),MIN(AC$38,$D$19),$P$20))-SUM($P130:AB130)</f>
        <v>#VALUE!</v>
      </c>
      <c r="AD130" s="446" t="e">
        <f>IF(OR($B130="",MIN(AD$38,$D$19)&lt;MAX($P$34*($B130+IF($R$17="Distrato",$I$38-1,0)),IF(AND($L$37=0,$P$34=0),"",$L$37-1),IF($R$17="Distrato",$E130,0))),0,YEARFRAC(MAX($P$34*($B130+IF($R$17="Distrato",$I$38-1,0)),IF(AND($L$37=0,$P$34=0),"",$L$37-1),IF($R$17="Distrato",$E130,0)),MIN(AD$38,$D$19),$P$20))-SUM($P130:AC130)</f>
        <v>#VALUE!</v>
      </c>
      <c r="AE130" s="446" t="e">
        <f>IF(OR($B130="",MIN(AE$38,$D$19)&lt;MAX($P$34*($B130+IF($R$17="Distrato",$I$38-1,0)),IF(AND($L$37=0,$P$34=0),"",$L$37-1),IF($R$17="Distrato",$E130,0))),0,YEARFRAC(MAX($P$34*($B130+IF($R$17="Distrato",$I$38-1,0)),IF(AND($L$37=0,$P$34=0),"",$L$37-1),IF($R$17="Distrato",$E130,0)),MIN(AE$38,$D$19),$P$20))-SUM($P130:AD130)</f>
        <v>#VALUE!</v>
      </c>
      <c r="AF130" s="446" t="e">
        <f>IF(OR($B130="",MIN(AF$38,$D$19)&lt;MAX($P$34*($B130+IF($R$17="Distrato",$I$38-1,0)),IF(AND($L$37=0,$P$34=0),"",$L$37-1),IF($R$17="Distrato",$E130,0))),0,YEARFRAC(MAX($P$34*($B130+IF($R$17="Distrato",$I$38-1,0)),IF(AND($L$37=0,$P$34=0),"",$L$37-1),IF($R$17="Distrato",$E130,0)),MIN(AF$38,$D$19),$P$20))-SUM($P130:AE130)</f>
        <v>#VALUE!</v>
      </c>
      <c r="AG130" s="446" t="e">
        <f>IF(OR($B130="",MIN(AG$38,$D$19)&lt;MAX($P$34*($B130+IF($R$17="Distrato",$I$38-1,0)),IF(AND($L$37=0,$P$34=0),"",$L$37-1),IF($R$17="Distrato",$E130,0))),0,YEARFRAC(MAX($P$34*($B130+IF($R$17="Distrato",$I$38-1,0)),IF(AND($L$37=0,$P$34=0),"",$L$37-1),IF($R$17="Distrato",$E130,0)),MIN(AG$38,$D$19),$P$20))-SUM($P130:AF130)</f>
        <v>#VALUE!</v>
      </c>
      <c r="AH130" s="446" t="e">
        <f>IF(OR($B130="",MIN(AH$38,$D$19)&lt;MAX($P$34*($B130+IF($R$17="Distrato",$I$38-1,0)),IF(AND($L$37=0,$P$34=0),"",$L$37-1),IF($R$17="Distrato",$E130,0))),0,YEARFRAC(MAX($P$34*($B130+IF($R$17="Distrato",$I$38-1,0)),IF(AND($L$37=0,$P$34=0),"",$L$37-1),IF($R$17="Distrato",$E130,0)),MIN(AH$38,$D$19),$P$20))-SUM($P130:AG130)</f>
        <v>#VALUE!</v>
      </c>
      <c r="AI130" s="446" t="e">
        <f>IF(OR($B130="",MIN(AI$38,$D$19)&lt;MAX($P$34*($B130+IF($R$17="Distrato",$I$38-1,0)),IF(AND($L$37=0,$P$34=0),"",$L$37-1),IF($R$17="Distrato",$E130,0))),0,YEARFRAC(MAX($P$34*($B130+IF($R$17="Distrato",$I$38-1,0)),IF(AND($L$37=0,$P$34=0),"",$L$37-1),IF($R$17="Distrato",$E130,0)),MIN(AI$38,$D$19),$P$20))-SUM($P130:AH130)</f>
        <v>#VALUE!</v>
      </c>
      <c r="AJ130" s="446" t="e">
        <f>IF(OR($B130="",MIN(AJ$38,$D$19)&lt;MAX($P$34*($B130+IF($R$17="Distrato",$I$38-1,0)),IF(AND($L$37=0,$P$34=0),"",$L$37-1),IF($R$17="Distrato",$E130,0))),0,YEARFRAC(MAX($P$34*($B130+IF($R$17="Distrato",$I$38-1,0)),IF(AND($L$37=0,$P$34=0),"",$L$37-1),IF($R$17="Distrato",$E130,0)),MIN(AJ$38,$D$19),$P$20))-SUM($P130:AI130)</f>
        <v>#VALUE!</v>
      </c>
      <c r="AK130" s="446" t="e">
        <f>IF(OR($B130="",MIN(AK$38,$D$19)&lt;MAX($P$34*($B130+IF($R$17="Distrato",$I$38-1,0)),IF(AND($L$37=0,$P$34=0),"",$L$37-1),IF($R$17="Distrato",$E130,0))),0,YEARFRAC(MAX($P$34*($B130+IF($R$17="Distrato",$I$38-1,0)),IF(AND($L$37=0,$P$34=0),"",$L$37-1),IF($R$17="Distrato",$E130,0)),MIN(AK$38,$D$19),$P$20))-SUM($P130:AJ130)</f>
        <v>#VALUE!</v>
      </c>
      <c r="AL130" s="446" t="e">
        <f>IF(OR($B130="",MIN(AL$38,$D$19)&lt;MAX($P$34*($B130+IF($R$17="Distrato",$I$38-1,0)),IF(AND($L$37=0,$P$34=0),"",$L$37-1),IF($R$17="Distrato",$E130,0))),0,YEARFRAC(MAX($P$34*($B130+IF($R$17="Distrato",$I$38-1,0)),IF(AND($L$37=0,$P$34=0),"",$L$37-1),IF($R$17="Distrato",$E130,0)),MIN(AL$38,$D$19),$P$20))-SUM($P130:AK130)</f>
        <v>#VALUE!</v>
      </c>
      <c r="AM130" s="446" t="e">
        <f>IF(OR($B130="",MIN(AM$38,$D$19)&lt;MAX($P$34*($B130+IF($R$17="Distrato",$I$38-1,0)),IF(AND($L$37=0,$P$34=0),"",$L$37-1),IF($R$17="Distrato",$E130,0))),0,YEARFRAC(MAX($P$34*($B130+IF($R$17="Distrato",$I$38-1,0)),IF(AND($L$37=0,$P$34=0),"",$L$37-1),IF($R$17="Distrato",$E130,0)),MIN(AM$38,$D$19),$P$20))-SUM($P130:AL130)</f>
        <v>#VALUE!</v>
      </c>
      <c r="AN130" s="446" t="e">
        <f>IF(OR($B130="",MIN(AN$38,$D$19)&lt;MAX($P$34*($B130+IF($R$17="Distrato",$I$38-1,0)),IF(AND($L$37=0,$P$34=0),"",$L$37-1),IF($R$17="Distrato",$E130,0))),0,YEARFRAC(MAX($P$34*($B130+IF($R$17="Distrato",$I$38-1,0)),IF(AND($L$37=0,$P$34=0),"",$L$37-1),IF($R$17="Distrato",$E130,0)),MIN(AN$38,$D$19),$P$20))-SUM($P130:AM130)</f>
        <v>#VALUE!</v>
      </c>
      <c r="AO130" s="446" t="e">
        <f>IF(OR($B130="",MIN(AO$38,$D$19)&lt;MAX($P$34*($B130+IF($R$17="Distrato",$I$38-1,0)),IF(AND($L$37=0,$P$34=0),"",$L$37-1),IF($R$17="Distrato",$E130,0))),0,YEARFRAC(MAX($P$34*($B130+IF($R$17="Distrato",$I$38-1,0)),IF(AND($L$37=0,$P$34=0),"",$L$37-1),IF($R$17="Distrato",$E130,0)),MIN(AO$38,$D$19),$P$20))-SUM($P130:AN130)</f>
        <v>#VALUE!</v>
      </c>
      <c r="AP130" s="446" t="e">
        <f>IF(OR($B130="",MIN(AP$38,$D$19)&lt;MAX($P$34*($B130+IF($R$17="Distrato",$I$38-1,0)),IF(AND($L$37=0,$P$34=0),"",$L$37-1),IF($R$17="Distrato",$E130,0))),0,YEARFRAC(MAX($P$34*($B130+IF($R$17="Distrato",$I$38-1,0)),IF(AND($L$37=0,$P$34=0),"",$L$37-1),IF($R$17="Distrato",$E130,0)),MIN(AP$38,$D$19),$P$20))-SUM($P130:AO130)</f>
        <v>#VALUE!</v>
      </c>
      <c r="AQ130" s="446" t="e">
        <f>IF(OR($B130="",MIN(AQ$38,$D$19)&lt;MAX($P$34*($B130+IF($R$17="Distrato",$I$38-1,0)),IF(AND($L$37=0,$P$34=0),"",$L$37-1),IF($R$17="Distrato",$E130,0))),0,YEARFRAC(MAX($P$34*($B130+IF($R$17="Distrato",$I$38-1,0)),IF(AND($L$37=0,$P$34=0),"",$L$37-1),IF($R$17="Distrato",$E130,0)),MIN(AQ$38,$D$19),$P$20))-SUM($P130:AP130)</f>
        <v>#VALUE!</v>
      </c>
      <c r="AR130" s="446" t="e">
        <f>IF(OR($B130="",MIN(AR$38,$D$19)&lt;MAX($P$34*($B130+IF($R$17="Distrato",$I$38-1,0)),IF(AND($L$37=0,$P$34=0),"",$L$37-1),IF($R$17="Distrato",$E130,0))),0,YEARFRAC(MAX($P$34*($B130+IF($R$17="Distrato",$I$38-1,0)),IF(AND($L$37=0,$P$34=0),"",$L$37-1),IF($R$17="Distrato",$E130,0)),MIN(AR$38,$D$19),$P$20))-SUM($P130:AQ130)</f>
        <v>#VALUE!</v>
      </c>
      <c r="AS130" s="446" t="e">
        <f>IF(OR($B130="",MIN(AS$38,$D$19)&lt;MAX($P$34*($B130+IF($R$17="Distrato",$I$38-1,0)),IF(AND($L$37=0,$P$34=0),"",$L$37-1),IF($R$17="Distrato",$E130,0))),0,YEARFRAC(MAX($P$34*($B130+IF($R$17="Distrato",$I$38-1,0)),IF(AND($L$37=0,$P$34=0),"",$L$37-1),IF($R$17="Distrato",$E130,0)),MIN(AS$38,$D$19),$P$20))-SUM($P130:AR130)</f>
        <v>#VALUE!</v>
      </c>
      <c r="AT130" s="446" t="e">
        <f>IF(OR($B130="",MIN(AT$38,$D$19)&lt;MAX($P$34*($B130+IF($R$17="Distrato",$I$38-1,0)),IF(AND($L$37=0,$P$34=0),"",$L$37-1),IF($R$17="Distrato",$E130,0))),0,YEARFRAC(MAX($P$34*($B130+IF($R$17="Distrato",$I$38-1,0)),IF(AND($L$37=0,$P$34=0),"",$L$37-1),IF($R$17="Distrato",$E130,0)),MIN(AT$38,$D$19),$P$20))-SUM($P130:AS130)</f>
        <v>#VALUE!</v>
      </c>
      <c r="AU130" s="446" t="e">
        <f>IF(OR($B130="",MIN(AU$38,$D$19)&lt;MAX($P$34*($B130+IF($R$17="Distrato",$I$38-1,0)),IF(AND($L$37=0,$P$34=0),"",$L$37-1),IF($R$17="Distrato",$E130,0))),0,YEARFRAC(MAX($P$34*($B130+IF($R$17="Distrato",$I$38-1,0)),IF(AND($L$37=0,$P$34=0),"",$L$37-1),IF($R$17="Distrato",$E130,0)),MIN(AU$38,$D$19),$P$20))-SUM($P130:AT130)</f>
        <v>#VALUE!</v>
      </c>
      <c r="AV130" s="446" t="e">
        <f>IF(OR($B130="",MIN(AV$38,$D$19)&lt;MAX($P$34*($B130+IF($R$17="Distrato",$I$38-1,0)),IF(AND($L$37=0,$P$34=0),"",$L$37-1),IF($R$17="Distrato",$E130,0))),0,YEARFRAC(MAX($P$34*($B130+IF($R$17="Distrato",$I$38-1,0)),IF(AND($L$37=0,$P$34=0),"",$L$37-1),IF($R$17="Distrato",$E130,0)),MIN(AV$38,$D$19),$P$20))-SUM($P130:AU130)</f>
        <v>#VALUE!</v>
      </c>
      <c r="AW130" s="446" t="e">
        <f>IF(OR($B130="",MIN(AW$38,$D$19)&lt;MAX($P$34*($B130+IF($R$17="Distrato",$I$38-1,0)),IF(AND($L$37=0,$P$34=0),"",$L$37-1),IF($R$17="Distrato",$E130,0))),0,YEARFRAC(MAX($P$34*($B130+IF($R$17="Distrato",$I$38-1,0)),IF(AND($L$37=0,$P$34=0),"",$L$37-1),IF($R$17="Distrato",$E130,0)),MIN(AW$38,$D$19),$P$20))-SUM($P130:AV130)</f>
        <v>#VALUE!</v>
      </c>
      <c r="AX130" s="446" t="e">
        <f>IF(OR($B130="",MIN(AX$38,$D$19)&lt;MAX($P$34*($B130+IF($R$17="Distrato",$I$38-1,0)),IF(AND($L$37=0,$P$34=0),"",$L$37-1),IF($R$17="Distrato",$E130,0))),0,YEARFRAC(MAX($P$34*($B130+IF($R$17="Distrato",$I$38-1,0)),IF(AND($L$37=0,$P$34=0),"",$L$37-1),IF($R$17="Distrato",$E130,0)),MIN(AX$38,$D$19),$P$20))-SUM($P130:AW130)</f>
        <v>#VALUE!</v>
      </c>
      <c r="AY130" s="446" t="e">
        <f>IF(OR($B130="",MIN(AY$38,$D$19)&lt;MAX($P$34*($B130+IF($R$17="Distrato",$I$38-1,0)),IF(AND($L$37=0,$P$34=0),"",$L$37-1),IF($R$17="Distrato",$E130,0))),0,YEARFRAC(MAX($P$34*($B130+IF($R$17="Distrato",$I$38-1,0)),IF(AND($L$37=0,$P$34=0),"",$L$37-1),IF($R$17="Distrato",$E130,0)),MIN(AY$38,$D$19),$P$20))-SUM($P130:AX130)</f>
        <v>#VALUE!</v>
      </c>
      <c r="AZ130" s="446" t="e">
        <f>IF(OR($B130="",MIN(AZ$38,$D$19)&lt;MAX($P$34*($B130+IF($R$17="Distrato",$I$38-1,0)),IF(AND($L$37=0,$P$34=0),"",$L$37-1),IF($R$17="Distrato",$E130,0))),0,YEARFRAC(MAX($P$34*($B130+IF($R$17="Distrato",$I$38-1,0)),IF(AND($L$37=0,$P$34=0),"",$L$37-1),IF($R$17="Distrato",$E130,0)),MIN(AZ$38,$D$19),$P$20))-SUM($P130:AY130)</f>
        <v>#VALUE!</v>
      </c>
      <c r="BA130" s="446" t="e">
        <f>IF(OR($B130="",MIN(BA$38,$D$19)&lt;MAX($P$34*($B130+IF($R$17="Distrato",$I$38-1,0)),IF(AND($L$37=0,$P$34=0),"",$L$37-1),IF($R$17="Distrato",$E130,0))),0,YEARFRAC(MAX($P$34*($B130+IF($R$17="Distrato",$I$38-1,0)),IF(AND($L$37=0,$P$34=0),"",$L$37-1),IF($R$17="Distrato",$E130,0)),MIN(BA$38,$D$19),$P$20))-SUM($P130:AZ130)</f>
        <v>#VALUE!</v>
      </c>
      <c r="BB130" s="447"/>
      <c r="BF130" s="446">
        <f t="shared" si="21"/>
        <v>0</v>
      </c>
      <c r="BG130" s="446">
        <f>IF($E130=0,0,IF(MIN(BG$38,$E130)&lt;MAX($P$34*($B130+$I$38-1),IF(AND($L$37=0,$P$34=0),"",$L$37-1)),0,YEARFRAC(MAX($P$34*($B130+$I$38-1),IF(AND($L$37=0,$P$34=0),"",$L$37-1)),MIN(BG$38,$E130),$P$20))-SUM($BF130:BF130))</f>
        <v>0</v>
      </c>
      <c r="BH130" s="446">
        <f>IF($E130=0,0,IF(MIN(BH$38,$E130)&lt;MAX($P$34*($B130+$I$38-1),IF(AND($L$37=0,$P$34=0),"",$L$37-1)),0,YEARFRAC(MAX($P$34*($B130+$I$38-1),IF(AND($L$37=0,$P$34=0),"",$L$37-1)),MIN(BH$38,$E130),$P$20))-SUM($BF130:BG130))</f>
        <v>0</v>
      </c>
      <c r="BI130" s="446">
        <f>IF($E130=0,0,IF(MIN(BI$38,$E130)&lt;MAX($P$34*($B130+$I$38-1),IF(AND($L$37=0,$P$34=0),"",$L$37-1)),0,YEARFRAC(MAX($P$34*($B130+$I$38-1),IF(AND($L$37=0,$P$34=0),"",$L$37-1)),MIN(BI$38,$E130),$P$20))-SUM($BF130:BH130))</f>
        <v>0</v>
      </c>
      <c r="BJ130" s="446">
        <f>IF($E130=0,0,IF(MIN(BJ$38,$E130)&lt;MAX($P$34*($B130+$I$38-1),IF(AND($L$37=0,$P$34=0),"",$L$37-1)),0,YEARFRAC(MAX($P$34*($B130+$I$38-1),IF(AND($L$37=0,$P$34=0),"",$L$37-1)),MIN(BJ$38,$E130),$P$20))-SUM($BF130:BI130))</f>
        <v>0</v>
      </c>
      <c r="BK130" s="446">
        <f>IF($E130=0,0,IF(MIN(BK$38,$E130)&lt;MAX($P$34*($B130+$I$38-1),IF(AND($L$37=0,$P$34=0),"",$L$37-1)),0,YEARFRAC(MAX($P$34*($B130+$I$38-1),IF(AND($L$37=0,$P$34=0),"",$L$37-1)),MIN(BK$38,$E130),$P$20))-SUM($BF130:BJ130))</f>
        <v>0</v>
      </c>
      <c r="BL130" s="446">
        <f>IF($E130=0,0,IF(MIN(BL$38,$E130)&lt;MAX($P$34*($B130+$I$38-1),IF(AND($L$37=0,$P$34=0),"",$L$37-1)),0,YEARFRAC(MAX($P$34*($B130+$I$38-1),IF(AND($L$37=0,$P$34=0),"",$L$37-1)),MIN(BL$38,$E130),$P$20))-SUM($BF130:BK130))</f>
        <v>0</v>
      </c>
      <c r="BM130" s="446">
        <f>IF($E130=0,0,IF(MIN(BM$38,$E130)&lt;MAX($P$34*($B130+$I$38-1),IF(AND($L$37=0,$P$34=0),"",$L$37-1)),0,YEARFRAC(MAX($P$34*($B130+$I$38-1),IF(AND($L$37=0,$P$34=0),"",$L$37-1)),MIN(BM$38,$E130),$P$20))-SUM($BF130:BL130))</f>
        <v>0</v>
      </c>
      <c r="BN130" s="446">
        <f>IF($E130=0,0,IF(MIN(BN$38,$E130)&lt;MAX($P$34*($B130+$I$38-1),IF(AND($L$37=0,$P$34=0),"",$L$37-1)),0,YEARFRAC(MAX($P$34*($B130+$I$38-1),IF(AND($L$37=0,$P$34=0),"",$L$37-1)),MIN(BN$38,$E130),$P$20))-SUM($BF130:BM130))</f>
        <v>0</v>
      </c>
      <c r="BO130" s="446">
        <f>IF($E130=0,0,IF(MIN(BO$38,$E130)&lt;MAX($P$34*($B130+$I$38-1),IF(AND($L$37=0,$P$34=0),"",$L$37-1)),0,YEARFRAC(MAX($P$34*($B130+$I$38-1),IF(AND($L$37=0,$P$34=0),"",$L$37-1)),MIN(BO$38,$E130),$P$20))-SUM($BF130:BN130))</f>
        <v>0</v>
      </c>
      <c r="BP130" s="446">
        <f>IF($E130=0,0,IF(MIN(BP$38,$E130)&lt;MAX($P$34*($B130+$I$38-1),IF(AND($L$37=0,$P$34=0),"",$L$37-1)),0,YEARFRAC(MAX($P$34*($B130+$I$38-1),IF(AND($L$37=0,$P$34=0),"",$L$37-1)),MIN(BP$38,$E130),$P$20))-SUM($BF130:BO130))</f>
        <v>0</v>
      </c>
      <c r="BQ130" s="446">
        <f>IF($E130=0,0,IF(MIN(BQ$38,$E130)&lt;MAX($P$34*($B130+$I$38-1),IF(AND($L$37=0,$P$34=0),"",$L$37-1)),0,YEARFRAC(MAX($P$34*($B130+$I$38-1),IF(AND($L$37=0,$P$34=0),"",$L$37-1)),MIN(BQ$38,$E130),$P$20))-SUM($BF130:BP130))</f>
        <v>0</v>
      </c>
      <c r="BR130" s="446">
        <f>IF($E130=0,0,IF(MIN(BR$38,$E130)&lt;MAX($P$34*($B130+$I$38-1),IF(AND($L$37=0,$P$34=0),"",$L$37-1)),0,YEARFRAC(MAX($P$34*($B130+$I$38-1),IF(AND($L$37=0,$P$34=0),"",$L$37-1)),MIN(BR$38,$E130),$P$20))-SUM($BF130:BQ130))</f>
        <v>0</v>
      </c>
      <c r="BS130" s="446">
        <f>IF($E130=0,0,IF(MIN(BS$38,$E130)&lt;MAX($P$34*($B130+$I$38-1),IF(AND($L$37=0,$P$34=0),"",$L$37-1)),0,YEARFRAC(MAX($P$34*($B130+$I$38-1),IF(AND($L$37=0,$P$34=0),"",$L$37-1)),MIN(BS$38,$E130),$P$20))-SUM($BF130:BR130))</f>
        <v>0</v>
      </c>
      <c r="BT130" s="446">
        <f>IF($E130=0,0,IF(MIN(BT$38,$E130)&lt;MAX($P$34*($B130+$I$38-1),IF(AND($L$37=0,$P$34=0),"",$L$37-1)),0,YEARFRAC(MAX($P$34*($B130+$I$38-1),IF(AND($L$37=0,$P$34=0),"",$L$37-1)),MIN(BT$38,$E130),$P$20))-SUM($BF130:BS130))</f>
        <v>0</v>
      </c>
      <c r="BU130" s="446">
        <f>IF($E130=0,0,IF(MIN(BU$38,$E130)&lt;MAX($P$34*($B130+$I$38-1),IF(AND($L$37=0,$P$34=0),"",$L$37-1)),0,YEARFRAC(MAX($P$34*($B130+$I$38-1),IF(AND($L$37=0,$P$34=0),"",$L$37-1)),MIN(BU$38,$E130),$P$20))-SUM($BF130:BT130))</f>
        <v>0</v>
      </c>
      <c r="BV130" s="446">
        <f>IF($E130=0,0,IF(MIN(BV$38,$E130)&lt;MAX($P$34*($B130+$I$38-1),IF(AND($L$37=0,$P$34=0),"",$L$37-1)),0,YEARFRAC(MAX($P$34*($B130+$I$38-1),IF(AND($L$37=0,$P$34=0),"",$L$37-1)),MIN(BV$38,$E130),$P$20))-SUM($BF130:BU130))</f>
        <v>0</v>
      </c>
      <c r="BW130" s="446">
        <f>IF($E130=0,0,IF(MIN(BW$38,$E130)&lt;MAX($P$34*($B130+$I$38-1),IF(AND($L$37=0,$P$34=0),"",$L$37-1)),0,YEARFRAC(MAX($P$34*($B130+$I$38-1),IF(AND($L$37=0,$P$34=0),"",$L$37-1)),MIN(BW$38,$E130),$P$20))-SUM($BF130:BV130))</f>
        <v>0</v>
      </c>
      <c r="BX130" s="446">
        <f>IF($E130=0,0,IF(MIN(BX$38,$E130)&lt;MAX($P$34*($B130+$I$38-1),IF(AND($L$37=0,$P$34=0),"",$L$37-1)),0,YEARFRAC(MAX($P$34*($B130+$I$38-1),IF(AND($L$37=0,$P$34=0),"",$L$37-1)),MIN(BX$38,$E130),$P$20))-SUM($BF130:BW130))</f>
        <v>0</v>
      </c>
      <c r="BY130" s="446">
        <f>IF($E130=0,0,IF(MIN(BY$38,$E130)&lt;MAX($P$34*($B130+$I$38-1),IF(AND($L$37=0,$P$34=0),"",$L$37-1)),0,YEARFRAC(MAX($P$34*($B130+$I$38-1),IF(AND($L$37=0,$P$34=0),"",$L$37-1)),MIN(BY$38,$E130),$P$20))-SUM($BF130:BX130))</f>
        <v>0</v>
      </c>
      <c r="BZ130" s="446">
        <f>IF($E130=0,0,IF(MIN(BZ$38,$E130)&lt;MAX($P$34*($B130+$I$38-1),IF(AND($L$37=0,$P$34=0),"",$L$37-1)),0,YEARFRAC(MAX($P$34*($B130+$I$38-1),IF(AND($L$37=0,$P$34=0),"",$L$37-1)),MIN(BZ$38,$E130),$P$20))-SUM($BF130:BY130))</f>
        <v>0</v>
      </c>
      <c r="CA130" s="446">
        <f>IF($E130=0,0,IF(MIN(CA$38,$E130)&lt;MAX($P$34*($B130+$I$38-1),IF(AND($L$37=0,$P$34=0),"",$L$37-1)),0,YEARFRAC(MAX($P$34*($B130+$I$38-1),IF(AND($L$37=0,$P$34=0),"",$L$37-1)),MIN(CA$38,$E130),$P$20))-SUM($BF130:BZ130))</f>
        <v>0</v>
      </c>
      <c r="CB130" s="446">
        <f>IF($E130=0,0,IF(MIN(CB$38,$E130)&lt;MAX($P$34*($B130+$I$38-1),IF(AND($L$37=0,$P$34=0),"",$L$37-1)),0,YEARFRAC(MAX($P$34*($B130+$I$38-1),IF(AND($L$37=0,$P$34=0),"",$L$37-1)),MIN(CB$38,$E130),$P$20))-SUM($BF130:CA130))</f>
        <v>0</v>
      </c>
      <c r="CC130" s="446">
        <f>IF($E130=0,0,IF(MIN(CC$38,$E130)&lt;MAX($P$34*($B130+$I$38-1),IF(AND($L$37=0,$P$34=0),"",$L$37-1)),0,YEARFRAC(MAX($P$34*($B130+$I$38-1),IF(AND($L$37=0,$P$34=0),"",$L$37-1)),MIN(CC$38,$E130),$P$20))-SUM($BF130:CB130))</f>
        <v>0</v>
      </c>
      <c r="CD130" s="446">
        <f>IF($E130=0,0,IF(MIN(CD$38,$E130)&lt;MAX($P$34*($B130+$I$38-1),IF(AND($L$37=0,$P$34=0),"",$L$37-1)),0,YEARFRAC(MAX($P$34*($B130+$I$38-1),IF(AND($L$37=0,$P$34=0),"",$L$37-1)),MIN(CD$38,$E130),$P$20))-SUM($BF130:CC130))</f>
        <v>0</v>
      </c>
      <c r="CE130" s="446">
        <f>IF($E130=0,0,IF(MIN(CE$38,$E130)&lt;MAX($P$34*($B130+$I$38-1),IF(AND($L$37=0,$P$34=0),"",$L$37-1)),0,YEARFRAC(MAX($P$34*($B130+$I$38-1),IF(AND($L$37=0,$P$34=0),"",$L$37-1)),MIN(CE$38,$E130),$P$20))-SUM($BF130:CD130))</f>
        <v>0</v>
      </c>
      <c r="CF130" s="446">
        <f>IF($E130=0,0,IF(MIN(CF$38,$E130)&lt;MAX($P$34*($B130+$I$38-1),IF(AND($L$37=0,$P$34=0),"",$L$37-1)),0,YEARFRAC(MAX($P$34*($B130+$I$38-1),IF(AND($L$37=0,$P$34=0),"",$L$37-1)),MIN(CF$38,$E130),$P$20))-SUM($BF130:CE130))</f>
        <v>0</v>
      </c>
      <c r="CG130" s="446">
        <f>IF($E130=0,0,IF(MIN(CG$38,$E130)&lt;MAX($P$34*($B130+$I$38-1),IF(AND($L$37=0,$P$34=0),"",$L$37-1)),0,YEARFRAC(MAX($P$34*($B130+$I$38-1),IF(AND($L$37=0,$P$34=0),"",$L$37-1)),MIN(CG$38,$E130),$P$20))-SUM($BF130:CF130))</f>
        <v>0</v>
      </c>
      <c r="CH130" s="446">
        <f>IF($E130=0,0,IF(MIN(CH$38,$E130)&lt;MAX($P$34*($B130+$I$38-1),IF(AND($L$37=0,$P$34=0),"",$L$37-1)),0,YEARFRAC(MAX($P$34*($B130+$I$38-1),IF(AND($L$37=0,$P$34=0),"",$L$37-1)),MIN(CH$38,$E130),$P$20))-SUM($BF130:CG130))</f>
        <v>0</v>
      </c>
      <c r="CI130" s="446">
        <f>IF($E130=0,0,IF(MIN(CI$38,$E130)&lt;MAX($P$34*($B130+$I$38-1),IF(AND($L$37=0,$P$34=0),"",$L$37-1)),0,YEARFRAC(MAX($P$34*($B130+$I$38-1),IF(AND($L$37=0,$P$34=0),"",$L$37-1)),MIN(CI$38,$E130),$P$20))-SUM($BF130:CH130))</f>
        <v>0</v>
      </c>
      <c r="CJ130" s="446">
        <f>IF($E130=0,0,IF(MIN(CJ$38,$E130)&lt;MAX($P$34*($B130+$I$38-1),IF(AND($L$37=0,$P$34=0),"",$L$37-1)),0,YEARFRAC(MAX($P$34*($B130+$I$38-1),IF(AND($L$37=0,$P$34=0),"",$L$37-1)),MIN(CJ$38,$E130),$P$20))-SUM($BF130:CI130))</f>
        <v>0</v>
      </c>
      <c r="CK130" s="446">
        <f>IF($E130=0,0,IF(MIN(CK$38,$E130)&lt;MAX($P$34*($B130+$I$38-1),IF(AND($L$37=0,$P$34=0),"",$L$37-1)),0,YEARFRAC(MAX($P$34*($B130+$I$38-1),IF(AND($L$37=0,$P$34=0),"",$L$37-1)),MIN(CK$38,$E130),$P$20))-SUM($BF130:CJ130))</f>
        <v>0</v>
      </c>
      <c r="CL130" s="446">
        <f>IF($E130=0,0,IF(MIN(CL$38,$E130)&lt;MAX($P$34*($B130+$I$38-1),IF(AND($L$37=0,$P$34=0),"",$L$37-1)),0,YEARFRAC(MAX($P$34*($B130+$I$38-1),IF(AND($L$37=0,$P$34=0),"",$L$37-1)),MIN(CL$38,$E130),$P$20))-SUM($BF130:CK130))</f>
        <v>0</v>
      </c>
      <c r="CM130" s="446">
        <f>IF($E130=0,0,IF(MIN(CM$38,$E130)&lt;MAX($P$34*($B130+$I$38-1),IF(AND($L$37=0,$P$34=0),"",$L$37-1)),0,YEARFRAC(MAX($P$34*($B130+$I$38-1),IF(AND($L$37=0,$P$34=0),"",$L$37-1)),MIN(CM$38,$E130),$P$20))-SUM($BF130:CL130))</f>
        <v>0</v>
      </c>
      <c r="CN130" s="446">
        <f>IF($E130=0,0,IF(MIN(CN$38,$E130)&lt;MAX($P$34*($B130+$I$38-1),IF(AND($L$37=0,$P$34=0),"",$L$37-1)),0,YEARFRAC(MAX($P$34*($B130+$I$38-1),IF(AND($L$37=0,$P$34=0),"",$L$37-1)),MIN(CN$38,$E130),$P$20))-SUM($BF130:CM130))</f>
        <v>0</v>
      </c>
      <c r="CO130" s="446">
        <f>IF($E130=0,0,IF(MIN(CO$38,$E130)&lt;MAX($P$34*($B130+$I$38-1),IF(AND($L$37=0,$P$34=0),"",$L$37-1)),0,YEARFRAC(MAX($P$34*($B130+$I$38-1),IF(AND($L$37=0,$P$34=0),"",$L$37-1)),MIN(CO$38,$E130),$P$20))-SUM($BF130:CN130))</f>
        <v>0</v>
      </c>
      <c r="CP130" s="446">
        <f>IF($E130=0,0,IF(MIN(CP$38,$E130)&lt;MAX($P$34*($B130+$I$38-1),IF(AND($L$37=0,$P$34=0),"",$L$37-1)),0,YEARFRAC(MAX($P$34*($B130+$I$38-1),IF(AND($L$37=0,$P$34=0),"",$L$37-1)),MIN(CP$38,$E130),$P$20))-SUM($BF130:CO130))</f>
        <v>0</v>
      </c>
      <c r="CQ130" s="446">
        <f>IF($E130=0,0,IF(MIN(CQ$38,$E130)&lt;MAX($P$34*($B130+$I$38-1),IF(AND($L$37=0,$P$34=0),"",$L$37-1)),0,YEARFRAC(MAX($P$34*($B130+$I$38-1),IF(AND($L$37=0,$P$34=0),"",$L$37-1)),MIN(CQ$38,$E130),$P$20))-SUM($BF130:CP130))</f>
        <v>0</v>
      </c>
    </row>
    <row r="131" spans="1:95" s="446" customFormat="1" ht="11.25" hidden="1" customHeight="1" x14ac:dyDescent="0.2">
      <c r="A131" s="152"/>
      <c r="B131" s="153" t="str">
        <f t="shared" si="26"/>
        <v/>
      </c>
      <c r="C131" s="29" t="str">
        <f>IF(B131="","",IF($L$35="SELIC - TRIBUTOS",VLOOKUP(DATE(YEAR($D$19),MONTH($D$19)-1,1),ÍNDICES!$A:$DE,HLOOKUP($BL$25,ÍNDICES!$B$3:$T$4,2)+11)-VLOOKUP(B131,ÍNDICES!$A:$DE,HLOOKUP($BL$25,ÍNDICES!$B$3:$T$4,2)+11)+1%,IF(C$38=$W$26,$J$35,IF(ISERROR(IF(B131&gt;$D$19,1,VLOOKUP(DATE(YEAR(B131),MONTH(B131)+IF($C$35=$S$23,1,0),1),ÍNDICES!$A:$DE,$Z$35+1))),"",IF(B131&gt;$D$19,1,VLOOKUP(DATE(YEAR(B131),MONTH(B131)+IF($C$35=$S$23,1,0),1),ÍNDICES!$A:$DE,$Z$35+1))))))</f>
        <v/>
      </c>
      <c r="D131" s="154" t="str">
        <f>IF(ISERROR(IF(OR($D$38=$Y$27,$B131=""),"",VLOOKUP(B131,ÍNDICES!A:DE,AF$35+1))),"",IF(OR($D$38=$Y$27,$B131=""),"",VLOOKUP(B131,ÍNDICES!A:DE,AF$35+1)))</f>
        <v/>
      </c>
      <c r="E131" s="153"/>
      <c r="F131" s="29" t="str">
        <f>IF(E131="","",IF($L$35="SELIC - TRIBUTOS",VLOOKUP(DATE(YEAR($D$19),MONTH($D$19)-1,1),ÍNDICES!$A:$DE,HLOOKUP($BL$25,ÍNDICES!$B$3:$T$4,2)+11)-VLOOKUP(E131,ÍNDICES!$A:$DE,HLOOKUP($BL$25,ÍNDICES!$B$3:$T$4,2)+11)+1%,IF(F$38=$W$26,$J$35,IF(ISERROR(IF(E131&gt;$D$19,1,VLOOKUP(DATE(YEAR(E131),MONTH(E131)+IF($C$35=$S$23,1,0),1),ÍNDICES!$A:$DE,$Z$35+1))),"",IF(E131&gt;$D$19,1,VLOOKUP(DATE(YEAR(E131),MONTH(E131)+IF($C$35=$S$23,1,0),1),ÍNDICES!$A:$DE,$Z$35+1))))))</f>
        <v/>
      </c>
      <c r="G131" s="155"/>
      <c r="H131" s="156" t="str">
        <f t="shared" si="22"/>
        <v/>
      </c>
      <c r="I131" s="29" t="str">
        <f t="shared" si="16"/>
        <v/>
      </c>
      <c r="J131" s="5">
        <f t="shared" si="17"/>
        <v>0</v>
      </c>
      <c r="K131" s="20">
        <f t="shared" ca="1" si="18"/>
        <v>0</v>
      </c>
      <c r="L131" s="5">
        <f t="shared" ca="1" si="19"/>
        <v>0</v>
      </c>
      <c r="M131" s="64">
        <f t="shared" si="23"/>
        <v>0</v>
      </c>
      <c r="N131" s="61">
        <f t="shared" ca="1" si="24"/>
        <v>0</v>
      </c>
      <c r="O131" s="5">
        <f t="shared" ca="1" si="25"/>
        <v>0</v>
      </c>
      <c r="P131" s="446" t="e">
        <f t="shared" si="20"/>
        <v>#VALUE!</v>
      </c>
      <c r="Q131" s="446" t="e">
        <f>IF(OR($B131="",MIN(Q$38,$D$19)&lt;MAX($P$34*($B131+IF($R$17="Distrato",$I$38-1,0)),IF(AND($L$37=0,$P$34=0),"",$L$37-1),IF($R$17="Distrato",$E131,0))),0,YEARFRAC(MAX($P$34*($B131+IF($R$17="Distrato",$I$38-1,0)),IF(AND($L$37=0,$P$34=0),"",$L$37-1),IF($R$17="Distrato",$E131,0)),MIN(Q$38,$D$19),$P$20))-SUM($P131:P131)</f>
        <v>#VALUE!</v>
      </c>
      <c r="R131" s="446" t="e">
        <f>IF(OR($B131="",MIN(R$38,$D$19)&lt;MAX($P$34*($B131+IF($R$17="Distrato",$I$38-1,0)),IF(AND($L$37=0,$P$34=0),"",$L$37-1),IF($R$17="Distrato",$E131,0))),0,YEARFRAC(MAX($P$34*($B131+IF($R$17="Distrato",$I$38-1,0)),IF(AND($L$37=0,$P$34=0),"",$L$37-1),IF($R$17="Distrato",$E131,0)),MIN(R$38,$D$19),$P$20))-SUM($P131:Q131)</f>
        <v>#VALUE!</v>
      </c>
      <c r="S131" s="446" t="e">
        <f>IF(OR($B131="",MIN(S$38,$D$19)&lt;MAX($P$34*($B131+IF($R$17="Distrato",$I$38-1,0)),IF(AND($L$37=0,$P$34=0),"",$L$37-1),IF($R$17="Distrato",$E131,0))),0,YEARFRAC(MAX($P$34*($B131+IF($R$17="Distrato",$I$38-1,0)),IF(AND($L$37=0,$P$34=0),"",$L$37-1),IF($R$17="Distrato",$E131,0)),MIN(S$38,$D$19),$P$20))-SUM($P131:R131)</f>
        <v>#VALUE!</v>
      </c>
      <c r="T131" s="446" t="e">
        <f>IF(OR($B131="",MIN(T$38,$D$19)&lt;MAX($P$34*($B131+IF($R$17="Distrato",$I$38-1,0)),IF(AND($L$37=0,$P$34=0),"",$L$37-1),IF($R$17="Distrato",$E131,0))),0,YEARFRAC(MAX($P$34*($B131+IF($R$17="Distrato",$I$38-1,0)),IF(AND($L$37=0,$P$34=0),"",$L$37-1),IF($R$17="Distrato",$E131,0)),MIN(T$38,$D$19),$P$20))-SUM($P131:S131)</f>
        <v>#VALUE!</v>
      </c>
      <c r="U131" s="446" t="e">
        <f>IF(OR($B131="",MIN(U$38,$D$19)&lt;MAX($P$34*($B131+IF($R$17="Distrato",$I$38-1,0)),IF(AND($L$37=0,$P$34=0),"",$L$37-1),IF($R$17="Distrato",$E131,0))),0,YEARFRAC(MAX($P$34*($B131+IF($R$17="Distrato",$I$38-1,0)),IF(AND($L$37=0,$P$34=0),"",$L$37-1),IF($R$17="Distrato",$E131,0)),MIN(U$38,$D$19),$P$20))-SUM($P131:T131)</f>
        <v>#VALUE!</v>
      </c>
      <c r="V131" s="446" t="e">
        <f>IF(OR($B131="",MIN(V$38,$D$19)&lt;MAX($P$34*($B131+IF($R$17="Distrato",$I$38-1,0)),IF(AND($L$37=0,$P$34=0),"",$L$37-1),IF($R$17="Distrato",$E131,0))),0,YEARFRAC(MAX($P$34*($B131+IF($R$17="Distrato",$I$38-1,0)),IF(AND($L$37=0,$P$34=0),"",$L$37-1),IF($R$17="Distrato",$E131,0)),MIN(V$38,$D$19),$P$20))-SUM($P131:U131)</f>
        <v>#VALUE!</v>
      </c>
      <c r="W131" s="446" t="e">
        <f>IF(OR($B131="",MIN(W$38,$D$19)&lt;MAX($P$34*($B131+IF($R$17="Distrato",$I$38-1,0)),IF(AND($L$37=0,$P$34=0),"",$L$37-1),IF($R$17="Distrato",$E131,0))),0,YEARFRAC(MAX($P$34*($B131+IF($R$17="Distrato",$I$38-1,0)),IF(AND($L$37=0,$P$34=0),"",$L$37-1),IF($R$17="Distrato",$E131,0)),MIN(W$38,$D$19),$P$20))-SUM($P131:V131)</f>
        <v>#VALUE!</v>
      </c>
      <c r="X131" s="446" t="e">
        <f>IF(OR($B131="",MIN(X$38,$D$19)&lt;MAX($P$34*($B131+IF($R$17="Distrato",$I$38-1,0)),IF(AND($L$37=0,$P$34=0),"",$L$37-1),IF($R$17="Distrato",$E131,0))),0,YEARFRAC(MAX($P$34*($B131+IF($R$17="Distrato",$I$38-1,0)),IF(AND($L$37=0,$P$34=0),"",$L$37-1),IF($R$17="Distrato",$E131,0)),MIN(X$38,$D$19),$P$20))-SUM($P131:W131)</f>
        <v>#VALUE!</v>
      </c>
      <c r="Y131" s="446" t="e">
        <f>IF(OR($B131="",MIN(Y$38,$D$19)&lt;MAX($P$34*($B131+IF($R$17="Distrato",$I$38-1,0)),IF(AND($L$37=0,$P$34=0),"",$L$37-1),IF($R$17="Distrato",$E131,0))),0,YEARFRAC(MAX($P$34*($B131+IF($R$17="Distrato",$I$38-1,0)),IF(AND($L$37=0,$P$34=0),"",$L$37-1),IF($R$17="Distrato",$E131,0)),MIN(Y$38,$D$19),$P$20))-SUM($P131:X131)</f>
        <v>#VALUE!</v>
      </c>
      <c r="Z131" s="446" t="e">
        <f>IF(OR($B131="",MIN(Z$38,$D$19)&lt;MAX($P$34*($B131+IF($R$17="Distrato",$I$38-1,0)),IF(AND($L$37=0,$P$34=0),"",$L$37-1),IF($R$17="Distrato",$E131,0))),0,YEARFRAC(MAX($P$34*($B131+IF($R$17="Distrato",$I$38-1,0)),IF(AND($L$37=0,$P$34=0),"",$L$37-1),IF($R$17="Distrato",$E131,0)),MIN(Z$38,$D$19),$P$20))-SUM($P131:Y131)</f>
        <v>#VALUE!</v>
      </c>
      <c r="AA131" s="446" t="e">
        <f>IF(OR($B131="",MIN(AA$38,$D$19)&lt;MAX($P$34*($B131+IF($R$17="Distrato",$I$38-1,0)),IF(AND($L$37=0,$P$34=0),"",$L$37-1),IF($R$17="Distrato",$E131,0))),0,YEARFRAC(MAX($P$34*($B131+IF($R$17="Distrato",$I$38-1,0)),IF(AND($L$37=0,$P$34=0),"",$L$37-1),IF($R$17="Distrato",$E131,0)),MIN(AA$38,$D$19),$P$20))-SUM($P131:Z131)</f>
        <v>#VALUE!</v>
      </c>
      <c r="AB131" s="446" t="e">
        <f>IF(OR($B131="",MIN(AB$38,$D$19)&lt;MAX($P$34*($B131+IF($R$17="Distrato",$I$38-1,0)),IF(AND($L$37=0,$P$34=0),"",$L$37-1),IF($R$17="Distrato",$E131,0))),0,YEARFRAC(MAX($P$34*($B131+IF($R$17="Distrato",$I$38-1,0)),IF(AND($L$37=0,$P$34=0),"",$L$37-1),IF($R$17="Distrato",$E131,0)),MIN(AB$38,$D$19),$P$20))-SUM($P131:AA131)</f>
        <v>#VALUE!</v>
      </c>
      <c r="AC131" s="446" t="e">
        <f>IF(OR($B131="",MIN(AC$38,$D$19)&lt;MAX($P$34*($B131+IF($R$17="Distrato",$I$38-1,0)),IF(AND($L$37=0,$P$34=0),"",$L$37-1),IF($R$17="Distrato",$E131,0))),0,YEARFRAC(MAX($P$34*($B131+IF($R$17="Distrato",$I$38-1,0)),IF(AND($L$37=0,$P$34=0),"",$L$37-1),IF($R$17="Distrato",$E131,0)),MIN(AC$38,$D$19),$P$20))-SUM($P131:AB131)</f>
        <v>#VALUE!</v>
      </c>
      <c r="AD131" s="446" t="e">
        <f>IF(OR($B131="",MIN(AD$38,$D$19)&lt;MAX($P$34*($B131+IF($R$17="Distrato",$I$38-1,0)),IF(AND($L$37=0,$P$34=0),"",$L$37-1),IF($R$17="Distrato",$E131,0))),0,YEARFRAC(MAX($P$34*($B131+IF($R$17="Distrato",$I$38-1,0)),IF(AND($L$37=0,$P$34=0),"",$L$37-1),IF($R$17="Distrato",$E131,0)),MIN(AD$38,$D$19),$P$20))-SUM($P131:AC131)</f>
        <v>#VALUE!</v>
      </c>
      <c r="AE131" s="446" t="e">
        <f>IF(OR($B131="",MIN(AE$38,$D$19)&lt;MAX($P$34*($B131+IF($R$17="Distrato",$I$38-1,0)),IF(AND($L$37=0,$P$34=0),"",$L$37-1),IF($R$17="Distrato",$E131,0))),0,YEARFRAC(MAX($P$34*($B131+IF($R$17="Distrato",$I$38-1,0)),IF(AND($L$37=0,$P$34=0),"",$L$37-1),IF($R$17="Distrato",$E131,0)),MIN(AE$38,$D$19),$P$20))-SUM($P131:AD131)</f>
        <v>#VALUE!</v>
      </c>
      <c r="AF131" s="446" t="e">
        <f>IF(OR($B131="",MIN(AF$38,$D$19)&lt;MAX($P$34*($B131+IF($R$17="Distrato",$I$38-1,0)),IF(AND($L$37=0,$P$34=0),"",$L$37-1),IF($R$17="Distrato",$E131,0))),0,YEARFRAC(MAX($P$34*($B131+IF($R$17="Distrato",$I$38-1,0)),IF(AND($L$37=0,$P$34=0),"",$L$37-1),IF($R$17="Distrato",$E131,0)),MIN(AF$38,$D$19),$P$20))-SUM($P131:AE131)</f>
        <v>#VALUE!</v>
      </c>
      <c r="AG131" s="446" t="e">
        <f>IF(OR($B131="",MIN(AG$38,$D$19)&lt;MAX($P$34*($B131+IF($R$17="Distrato",$I$38-1,0)),IF(AND($L$37=0,$P$34=0),"",$L$37-1),IF($R$17="Distrato",$E131,0))),0,YEARFRAC(MAX($P$34*($B131+IF($R$17="Distrato",$I$38-1,0)),IF(AND($L$37=0,$P$34=0),"",$L$37-1),IF($R$17="Distrato",$E131,0)),MIN(AG$38,$D$19),$P$20))-SUM($P131:AF131)</f>
        <v>#VALUE!</v>
      </c>
      <c r="AH131" s="446" t="e">
        <f>IF(OR($B131="",MIN(AH$38,$D$19)&lt;MAX($P$34*($B131+IF($R$17="Distrato",$I$38-1,0)),IF(AND($L$37=0,$P$34=0),"",$L$37-1),IF($R$17="Distrato",$E131,0))),0,YEARFRAC(MAX($P$34*($B131+IF($R$17="Distrato",$I$38-1,0)),IF(AND($L$37=0,$P$34=0),"",$L$37-1),IF($R$17="Distrato",$E131,0)),MIN(AH$38,$D$19),$P$20))-SUM($P131:AG131)</f>
        <v>#VALUE!</v>
      </c>
      <c r="AI131" s="446" t="e">
        <f>IF(OR($B131="",MIN(AI$38,$D$19)&lt;MAX($P$34*($B131+IF($R$17="Distrato",$I$38-1,0)),IF(AND($L$37=0,$P$34=0),"",$L$37-1),IF($R$17="Distrato",$E131,0))),0,YEARFRAC(MAX($P$34*($B131+IF($R$17="Distrato",$I$38-1,0)),IF(AND($L$37=0,$P$34=0),"",$L$37-1),IF($R$17="Distrato",$E131,0)),MIN(AI$38,$D$19),$P$20))-SUM($P131:AH131)</f>
        <v>#VALUE!</v>
      </c>
      <c r="AJ131" s="446" t="e">
        <f>IF(OR($B131="",MIN(AJ$38,$D$19)&lt;MAX($P$34*($B131+IF($R$17="Distrato",$I$38-1,0)),IF(AND($L$37=0,$P$34=0),"",$L$37-1),IF($R$17="Distrato",$E131,0))),0,YEARFRAC(MAX($P$34*($B131+IF($R$17="Distrato",$I$38-1,0)),IF(AND($L$37=0,$P$34=0),"",$L$37-1),IF($R$17="Distrato",$E131,0)),MIN(AJ$38,$D$19),$P$20))-SUM($P131:AI131)</f>
        <v>#VALUE!</v>
      </c>
      <c r="AK131" s="446" t="e">
        <f>IF(OR($B131="",MIN(AK$38,$D$19)&lt;MAX($P$34*($B131+IF($R$17="Distrato",$I$38-1,0)),IF(AND($L$37=0,$P$34=0),"",$L$37-1),IF($R$17="Distrato",$E131,0))),0,YEARFRAC(MAX($P$34*($B131+IF($R$17="Distrato",$I$38-1,0)),IF(AND($L$37=0,$P$34=0),"",$L$37-1),IF($R$17="Distrato",$E131,0)),MIN(AK$38,$D$19),$P$20))-SUM($P131:AJ131)</f>
        <v>#VALUE!</v>
      </c>
      <c r="AL131" s="446" t="e">
        <f>IF(OR($B131="",MIN(AL$38,$D$19)&lt;MAX($P$34*($B131+IF($R$17="Distrato",$I$38-1,0)),IF(AND($L$37=0,$P$34=0),"",$L$37-1),IF($R$17="Distrato",$E131,0))),0,YEARFRAC(MAX($P$34*($B131+IF($R$17="Distrato",$I$38-1,0)),IF(AND($L$37=0,$P$34=0),"",$L$37-1),IF($R$17="Distrato",$E131,0)),MIN(AL$38,$D$19),$P$20))-SUM($P131:AK131)</f>
        <v>#VALUE!</v>
      </c>
      <c r="AM131" s="446" t="e">
        <f>IF(OR($B131="",MIN(AM$38,$D$19)&lt;MAX($P$34*($B131+IF($R$17="Distrato",$I$38-1,0)),IF(AND($L$37=0,$P$34=0),"",$L$37-1),IF($R$17="Distrato",$E131,0))),0,YEARFRAC(MAX($P$34*($B131+IF($R$17="Distrato",$I$38-1,0)),IF(AND($L$37=0,$P$34=0),"",$L$37-1),IF($R$17="Distrato",$E131,0)),MIN(AM$38,$D$19),$P$20))-SUM($P131:AL131)</f>
        <v>#VALUE!</v>
      </c>
      <c r="AN131" s="446" t="e">
        <f>IF(OR($B131="",MIN(AN$38,$D$19)&lt;MAX($P$34*($B131+IF($R$17="Distrato",$I$38-1,0)),IF(AND($L$37=0,$P$34=0),"",$L$37-1),IF($R$17="Distrato",$E131,0))),0,YEARFRAC(MAX($P$34*($B131+IF($R$17="Distrato",$I$38-1,0)),IF(AND($L$37=0,$P$34=0),"",$L$37-1),IF($R$17="Distrato",$E131,0)),MIN(AN$38,$D$19),$P$20))-SUM($P131:AM131)</f>
        <v>#VALUE!</v>
      </c>
      <c r="AO131" s="446" t="e">
        <f>IF(OR($B131="",MIN(AO$38,$D$19)&lt;MAX($P$34*($B131+IF($R$17="Distrato",$I$38-1,0)),IF(AND($L$37=0,$P$34=0),"",$L$37-1),IF($R$17="Distrato",$E131,0))),0,YEARFRAC(MAX($P$34*($B131+IF($R$17="Distrato",$I$38-1,0)),IF(AND($L$37=0,$P$34=0),"",$L$37-1),IF($R$17="Distrato",$E131,0)),MIN(AO$38,$D$19),$P$20))-SUM($P131:AN131)</f>
        <v>#VALUE!</v>
      </c>
      <c r="AP131" s="446" t="e">
        <f>IF(OR($B131="",MIN(AP$38,$D$19)&lt;MAX($P$34*($B131+IF($R$17="Distrato",$I$38-1,0)),IF(AND($L$37=0,$P$34=0),"",$L$37-1),IF($R$17="Distrato",$E131,0))),0,YEARFRAC(MAX($P$34*($B131+IF($R$17="Distrato",$I$38-1,0)),IF(AND($L$37=0,$P$34=0),"",$L$37-1),IF($R$17="Distrato",$E131,0)),MIN(AP$38,$D$19),$P$20))-SUM($P131:AO131)</f>
        <v>#VALUE!</v>
      </c>
      <c r="AQ131" s="446" t="e">
        <f>IF(OR($B131="",MIN(AQ$38,$D$19)&lt;MAX($P$34*($B131+IF($R$17="Distrato",$I$38-1,0)),IF(AND($L$37=0,$P$34=0),"",$L$37-1),IF($R$17="Distrato",$E131,0))),0,YEARFRAC(MAX($P$34*($B131+IF($R$17="Distrato",$I$38-1,0)),IF(AND($L$37=0,$P$34=0),"",$L$37-1),IF($R$17="Distrato",$E131,0)),MIN(AQ$38,$D$19),$P$20))-SUM($P131:AP131)</f>
        <v>#VALUE!</v>
      </c>
      <c r="AR131" s="446" t="e">
        <f>IF(OR($B131="",MIN(AR$38,$D$19)&lt;MAX($P$34*($B131+IF($R$17="Distrato",$I$38-1,0)),IF(AND($L$37=0,$P$34=0),"",$L$37-1),IF($R$17="Distrato",$E131,0))),0,YEARFRAC(MAX($P$34*($B131+IF($R$17="Distrato",$I$38-1,0)),IF(AND($L$37=0,$P$34=0),"",$L$37-1),IF($R$17="Distrato",$E131,0)),MIN(AR$38,$D$19),$P$20))-SUM($P131:AQ131)</f>
        <v>#VALUE!</v>
      </c>
      <c r="AS131" s="446" t="e">
        <f>IF(OR($B131="",MIN(AS$38,$D$19)&lt;MAX($P$34*($B131+IF($R$17="Distrato",$I$38-1,0)),IF(AND($L$37=0,$P$34=0),"",$L$37-1),IF($R$17="Distrato",$E131,0))),0,YEARFRAC(MAX($P$34*($B131+IF($R$17="Distrato",$I$38-1,0)),IF(AND($L$37=0,$P$34=0),"",$L$37-1),IF($R$17="Distrato",$E131,0)),MIN(AS$38,$D$19),$P$20))-SUM($P131:AR131)</f>
        <v>#VALUE!</v>
      </c>
      <c r="AT131" s="446" t="e">
        <f>IF(OR($B131="",MIN(AT$38,$D$19)&lt;MAX($P$34*($B131+IF($R$17="Distrato",$I$38-1,0)),IF(AND($L$37=0,$P$34=0),"",$L$37-1),IF($R$17="Distrato",$E131,0))),0,YEARFRAC(MAX($P$34*($B131+IF($R$17="Distrato",$I$38-1,0)),IF(AND($L$37=0,$P$34=0),"",$L$37-1),IF($R$17="Distrato",$E131,0)),MIN(AT$38,$D$19),$P$20))-SUM($P131:AS131)</f>
        <v>#VALUE!</v>
      </c>
      <c r="AU131" s="446" t="e">
        <f>IF(OR($B131="",MIN(AU$38,$D$19)&lt;MAX($P$34*($B131+IF($R$17="Distrato",$I$38-1,0)),IF(AND($L$37=0,$P$34=0),"",$L$37-1),IF($R$17="Distrato",$E131,0))),0,YEARFRAC(MAX($P$34*($B131+IF($R$17="Distrato",$I$38-1,0)),IF(AND($L$37=0,$P$34=0),"",$L$37-1),IF($R$17="Distrato",$E131,0)),MIN(AU$38,$D$19),$P$20))-SUM($P131:AT131)</f>
        <v>#VALUE!</v>
      </c>
      <c r="AV131" s="446" t="e">
        <f>IF(OR($B131="",MIN(AV$38,$D$19)&lt;MAX($P$34*($B131+IF($R$17="Distrato",$I$38-1,0)),IF(AND($L$37=0,$P$34=0),"",$L$37-1),IF($R$17="Distrato",$E131,0))),0,YEARFRAC(MAX($P$34*($B131+IF($R$17="Distrato",$I$38-1,0)),IF(AND($L$37=0,$P$34=0),"",$L$37-1),IF($R$17="Distrato",$E131,0)),MIN(AV$38,$D$19),$P$20))-SUM($P131:AU131)</f>
        <v>#VALUE!</v>
      </c>
      <c r="AW131" s="446" t="e">
        <f>IF(OR($B131="",MIN(AW$38,$D$19)&lt;MAX($P$34*($B131+IF($R$17="Distrato",$I$38-1,0)),IF(AND($L$37=0,$P$34=0),"",$L$37-1),IF($R$17="Distrato",$E131,0))),0,YEARFRAC(MAX($P$34*($B131+IF($R$17="Distrato",$I$38-1,0)),IF(AND($L$37=0,$P$34=0),"",$L$37-1),IF($R$17="Distrato",$E131,0)),MIN(AW$38,$D$19),$P$20))-SUM($P131:AV131)</f>
        <v>#VALUE!</v>
      </c>
      <c r="AX131" s="446" t="e">
        <f>IF(OR($B131="",MIN(AX$38,$D$19)&lt;MAX($P$34*($B131+IF($R$17="Distrato",$I$38-1,0)),IF(AND($L$37=0,$P$34=0),"",$L$37-1),IF($R$17="Distrato",$E131,0))),0,YEARFRAC(MAX($P$34*($B131+IF($R$17="Distrato",$I$38-1,0)),IF(AND($L$37=0,$P$34=0),"",$L$37-1),IF($R$17="Distrato",$E131,0)),MIN(AX$38,$D$19),$P$20))-SUM($P131:AW131)</f>
        <v>#VALUE!</v>
      </c>
      <c r="AY131" s="446" t="e">
        <f>IF(OR($B131="",MIN(AY$38,$D$19)&lt;MAX($P$34*($B131+IF($R$17="Distrato",$I$38-1,0)),IF(AND($L$37=0,$P$34=0),"",$L$37-1),IF($R$17="Distrato",$E131,0))),0,YEARFRAC(MAX($P$34*($B131+IF($R$17="Distrato",$I$38-1,0)),IF(AND($L$37=0,$P$34=0),"",$L$37-1),IF($R$17="Distrato",$E131,0)),MIN(AY$38,$D$19),$P$20))-SUM($P131:AX131)</f>
        <v>#VALUE!</v>
      </c>
      <c r="AZ131" s="446" t="e">
        <f>IF(OR($B131="",MIN(AZ$38,$D$19)&lt;MAX($P$34*($B131+IF($R$17="Distrato",$I$38-1,0)),IF(AND($L$37=0,$P$34=0),"",$L$37-1),IF($R$17="Distrato",$E131,0))),0,YEARFRAC(MAX($P$34*($B131+IF($R$17="Distrato",$I$38-1,0)),IF(AND($L$37=0,$P$34=0),"",$L$37-1),IF($R$17="Distrato",$E131,0)),MIN(AZ$38,$D$19),$P$20))-SUM($P131:AY131)</f>
        <v>#VALUE!</v>
      </c>
      <c r="BA131" s="446" t="e">
        <f>IF(OR($B131="",MIN(BA$38,$D$19)&lt;MAX($P$34*($B131+IF($R$17="Distrato",$I$38-1,0)),IF(AND($L$37=0,$P$34=0),"",$L$37-1),IF($R$17="Distrato",$E131,0))),0,YEARFRAC(MAX($P$34*($B131+IF($R$17="Distrato",$I$38-1,0)),IF(AND($L$37=0,$P$34=0),"",$L$37-1),IF($R$17="Distrato",$E131,0)),MIN(BA$38,$D$19),$P$20))-SUM($P131:AZ131)</f>
        <v>#VALUE!</v>
      </c>
      <c r="BB131" s="447"/>
      <c r="BF131" s="446">
        <f t="shared" si="21"/>
        <v>0</v>
      </c>
      <c r="BG131" s="446">
        <f>IF($E131=0,0,IF(MIN(BG$38,$E131)&lt;MAX($P$34*($B131+$I$38-1),IF(AND($L$37=0,$P$34=0),"",$L$37-1)),0,YEARFRAC(MAX($P$34*($B131+$I$38-1),IF(AND($L$37=0,$P$34=0),"",$L$37-1)),MIN(BG$38,$E131),$P$20))-SUM($BF131:BF131))</f>
        <v>0</v>
      </c>
      <c r="BH131" s="446">
        <f>IF($E131=0,0,IF(MIN(BH$38,$E131)&lt;MAX($P$34*($B131+$I$38-1),IF(AND($L$37=0,$P$34=0),"",$L$37-1)),0,YEARFRAC(MAX($P$34*($B131+$I$38-1),IF(AND($L$37=0,$P$34=0),"",$L$37-1)),MIN(BH$38,$E131),$P$20))-SUM($BF131:BG131))</f>
        <v>0</v>
      </c>
      <c r="BI131" s="446">
        <f>IF($E131=0,0,IF(MIN(BI$38,$E131)&lt;MAX($P$34*($B131+$I$38-1),IF(AND($L$37=0,$P$34=0),"",$L$37-1)),0,YEARFRAC(MAX($P$34*($B131+$I$38-1),IF(AND($L$37=0,$P$34=0),"",$L$37-1)),MIN(BI$38,$E131),$P$20))-SUM($BF131:BH131))</f>
        <v>0</v>
      </c>
      <c r="BJ131" s="446">
        <f>IF($E131=0,0,IF(MIN(BJ$38,$E131)&lt;MAX($P$34*($B131+$I$38-1),IF(AND($L$37=0,$P$34=0),"",$L$37-1)),0,YEARFRAC(MAX($P$34*($B131+$I$38-1),IF(AND($L$37=0,$P$34=0),"",$L$37-1)),MIN(BJ$38,$E131),$P$20))-SUM($BF131:BI131))</f>
        <v>0</v>
      </c>
      <c r="BK131" s="446">
        <f>IF($E131=0,0,IF(MIN(BK$38,$E131)&lt;MAX($P$34*($B131+$I$38-1),IF(AND($L$37=0,$P$34=0),"",$L$37-1)),0,YEARFRAC(MAX($P$34*($B131+$I$38-1),IF(AND($L$37=0,$P$34=0),"",$L$37-1)),MIN(BK$38,$E131),$P$20))-SUM($BF131:BJ131))</f>
        <v>0</v>
      </c>
      <c r="BL131" s="446">
        <f>IF($E131=0,0,IF(MIN(BL$38,$E131)&lt;MAX($P$34*($B131+$I$38-1),IF(AND($L$37=0,$P$34=0),"",$L$37-1)),0,YEARFRAC(MAX($P$34*($B131+$I$38-1),IF(AND($L$37=0,$P$34=0),"",$L$37-1)),MIN(BL$38,$E131),$P$20))-SUM($BF131:BK131))</f>
        <v>0</v>
      </c>
      <c r="BM131" s="446">
        <f>IF($E131=0,0,IF(MIN(BM$38,$E131)&lt;MAX($P$34*($B131+$I$38-1),IF(AND($L$37=0,$P$34=0),"",$L$37-1)),0,YEARFRAC(MAX($P$34*($B131+$I$38-1),IF(AND($L$37=0,$P$34=0),"",$L$37-1)),MIN(BM$38,$E131),$P$20))-SUM($BF131:BL131))</f>
        <v>0</v>
      </c>
      <c r="BN131" s="446">
        <f>IF($E131=0,0,IF(MIN(BN$38,$E131)&lt;MAX($P$34*($B131+$I$38-1),IF(AND($L$37=0,$P$34=0),"",$L$37-1)),0,YEARFRAC(MAX($P$34*($B131+$I$38-1),IF(AND($L$37=0,$P$34=0),"",$L$37-1)),MIN(BN$38,$E131),$P$20))-SUM($BF131:BM131))</f>
        <v>0</v>
      </c>
      <c r="BO131" s="446">
        <f>IF($E131=0,0,IF(MIN(BO$38,$E131)&lt;MAX($P$34*($B131+$I$38-1),IF(AND($L$37=0,$P$34=0),"",$L$37-1)),0,YEARFRAC(MAX($P$34*($B131+$I$38-1),IF(AND($L$37=0,$P$34=0),"",$L$37-1)),MIN(BO$38,$E131),$P$20))-SUM($BF131:BN131))</f>
        <v>0</v>
      </c>
      <c r="BP131" s="446">
        <f>IF($E131=0,0,IF(MIN(BP$38,$E131)&lt;MAX($P$34*($B131+$I$38-1),IF(AND($L$37=0,$P$34=0),"",$L$37-1)),0,YEARFRAC(MAX($P$34*($B131+$I$38-1),IF(AND($L$37=0,$P$34=0),"",$L$37-1)),MIN(BP$38,$E131),$P$20))-SUM($BF131:BO131))</f>
        <v>0</v>
      </c>
      <c r="BQ131" s="446">
        <f>IF($E131=0,0,IF(MIN(BQ$38,$E131)&lt;MAX($P$34*($B131+$I$38-1),IF(AND($L$37=0,$P$34=0),"",$L$37-1)),0,YEARFRAC(MAX($P$34*($B131+$I$38-1),IF(AND($L$37=0,$P$34=0),"",$L$37-1)),MIN(BQ$38,$E131),$P$20))-SUM($BF131:BP131))</f>
        <v>0</v>
      </c>
      <c r="BR131" s="446">
        <f>IF($E131=0,0,IF(MIN(BR$38,$E131)&lt;MAX($P$34*($B131+$I$38-1),IF(AND($L$37=0,$P$34=0),"",$L$37-1)),0,YEARFRAC(MAX($P$34*($B131+$I$38-1),IF(AND($L$37=0,$P$34=0),"",$L$37-1)),MIN(BR$38,$E131),$P$20))-SUM($BF131:BQ131))</f>
        <v>0</v>
      </c>
      <c r="BS131" s="446">
        <f>IF($E131=0,0,IF(MIN(BS$38,$E131)&lt;MAX($P$34*($B131+$I$38-1),IF(AND($L$37=0,$P$34=0),"",$L$37-1)),0,YEARFRAC(MAX($P$34*($B131+$I$38-1),IF(AND($L$37=0,$P$34=0),"",$L$37-1)),MIN(BS$38,$E131),$P$20))-SUM($BF131:BR131))</f>
        <v>0</v>
      </c>
      <c r="BT131" s="446">
        <f>IF($E131=0,0,IF(MIN(BT$38,$E131)&lt;MAX($P$34*($B131+$I$38-1),IF(AND($L$37=0,$P$34=0),"",$L$37-1)),0,YEARFRAC(MAX($P$34*($B131+$I$38-1),IF(AND($L$37=0,$P$34=0),"",$L$37-1)),MIN(BT$38,$E131),$P$20))-SUM($BF131:BS131))</f>
        <v>0</v>
      </c>
      <c r="BU131" s="446">
        <f>IF($E131=0,0,IF(MIN(BU$38,$E131)&lt;MAX($P$34*($B131+$I$38-1),IF(AND($L$37=0,$P$34=0),"",$L$37-1)),0,YEARFRAC(MAX($P$34*($B131+$I$38-1),IF(AND($L$37=0,$P$34=0),"",$L$37-1)),MIN(BU$38,$E131),$P$20))-SUM($BF131:BT131))</f>
        <v>0</v>
      </c>
      <c r="BV131" s="446">
        <f>IF($E131=0,0,IF(MIN(BV$38,$E131)&lt;MAX($P$34*($B131+$I$38-1),IF(AND($L$37=0,$P$34=0),"",$L$37-1)),0,YEARFRAC(MAX($P$34*($B131+$I$38-1),IF(AND($L$37=0,$P$34=0),"",$L$37-1)),MIN(BV$38,$E131),$P$20))-SUM($BF131:BU131))</f>
        <v>0</v>
      </c>
      <c r="BW131" s="446">
        <f>IF($E131=0,0,IF(MIN(BW$38,$E131)&lt;MAX($P$34*($B131+$I$38-1),IF(AND($L$37=0,$P$34=0),"",$L$37-1)),0,YEARFRAC(MAX($P$34*($B131+$I$38-1),IF(AND($L$37=0,$P$34=0),"",$L$37-1)),MIN(BW$38,$E131),$P$20))-SUM($BF131:BV131))</f>
        <v>0</v>
      </c>
      <c r="BX131" s="446">
        <f>IF($E131=0,0,IF(MIN(BX$38,$E131)&lt;MAX($P$34*($B131+$I$38-1),IF(AND($L$37=0,$P$34=0),"",$L$37-1)),0,YEARFRAC(MAX($P$34*($B131+$I$38-1),IF(AND($L$37=0,$P$34=0),"",$L$37-1)),MIN(BX$38,$E131),$P$20))-SUM($BF131:BW131))</f>
        <v>0</v>
      </c>
      <c r="BY131" s="446">
        <f>IF($E131=0,0,IF(MIN(BY$38,$E131)&lt;MAX($P$34*($B131+$I$38-1),IF(AND($L$37=0,$P$34=0),"",$L$37-1)),0,YEARFRAC(MAX($P$34*($B131+$I$38-1),IF(AND($L$37=0,$P$34=0),"",$L$37-1)),MIN(BY$38,$E131),$P$20))-SUM($BF131:BX131))</f>
        <v>0</v>
      </c>
      <c r="BZ131" s="446">
        <f>IF($E131=0,0,IF(MIN(BZ$38,$E131)&lt;MAX($P$34*($B131+$I$38-1),IF(AND($L$37=0,$P$34=0),"",$L$37-1)),0,YEARFRAC(MAX($P$34*($B131+$I$38-1),IF(AND($L$37=0,$P$34=0),"",$L$37-1)),MIN(BZ$38,$E131),$P$20))-SUM($BF131:BY131))</f>
        <v>0</v>
      </c>
      <c r="CA131" s="446">
        <f>IF($E131=0,0,IF(MIN(CA$38,$E131)&lt;MAX($P$34*($B131+$I$38-1),IF(AND($L$37=0,$P$34=0),"",$L$37-1)),0,YEARFRAC(MAX($P$34*($B131+$I$38-1),IF(AND($L$37=0,$P$34=0),"",$L$37-1)),MIN(CA$38,$E131),$P$20))-SUM($BF131:BZ131))</f>
        <v>0</v>
      </c>
      <c r="CB131" s="446">
        <f>IF($E131=0,0,IF(MIN(CB$38,$E131)&lt;MAX($P$34*($B131+$I$38-1),IF(AND($L$37=0,$P$34=0),"",$L$37-1)),0,YEARFRAC(MAX($P$34*($B131+$I$38-1),IF(AND($L$37=0,$P$34=0),"",$L$37-1)),MIN(CB$38,$E131),$P$20))-SUM($BF131:CA131))</f>
        <v>0</v>
      </c>
      <c r="CC131" s="446">
        <f>IF($E131=0,0,IF(MIN(CC$38,$E131)&lt;MAX($P$34*($B131+$I$38-1),IF(AND($L$37=0,$P$34=0),"",$L$37-1)),0,YEARFRAC(MAX($P$34*($B131+$I$38-1),IF(AND($L$37=0,$P$34=0),"",$L$37-1)),MIN(CC$38,$E131),$P$20))-SUM($BF131:CB131))</f>
        <v>0</v>
      </c>
      <c r="CD131" s="446">
        <f>IF($E131=0,0,IF(MIN(CD$38,$E131)&lt;MAX($P$34*($B131+$I$38-1),IF(AND($L$37=0,$P$34=0),"",$L$37-1)),0,YEARFRAC(MAX($P$34*($B131+$I$38-1),IF(AND($L$37=0,$P$34=0),"",$L$37-1)),MIN(CD$38,$E131),$P$20))-SUM($BF131:CC131))</f>
        <v>0</v>
      </c>
      <c r="CE131" s="446">
        <f>IF($E131=0,0,IF(MIN(CE$38,$E131)&lt;MAX($P$34*($B131+$I$38-1),IF(AND($L$37=0,$P$34=0),"",$L$37-1)),0,YEARFRAC(MAX($P$34*($B131+$I$38-1),IF(AND($L$37=0,$P$34=0),"",$L$37-1)),MIN(CE$38,$E131),$P$20))-SUM($BF131:CD131))</f>
        <v>0</v>
      </c>
      <c r="CF131" s="446">
        <f>IF($E131=0,0,IF(MIN(CF$38,$E131)&lt;MAX($P$34*($B131+$I$38-1),IF(AND($L$37=0,$P$34=0),"",$L$37-1)),0,YEARFRAC(MAX($P$34*($B131+$I$38-1),IF(AND($L$37=0,$P$34=0),"",$L$37-1)),MIN(CF$38,$E131),$P$20))-SUM($BF131:CE131))</f>
        <v>0</v>
      </c>
      <c r="CG131" s="446">
        <f>IF($E131=0,0,IF(MIN(CG$38,$E131)&lt;MAX($P$34*($B131+$I$38-1),IF(AND($L$37=0,$P$34=0),"",$L$37-1)),0,YEARFRAC(MAX($P$34*($B131+$I$38-1),IF(AND($L$37=0,$P$34=0),"",$L$37-1)),MIN(CG$38,$E131),$P$20))-SUM($BF131:CF131))</f>
        <v>0</v>
      </c>
      <c r="CH131" s="446">
        <f>IF($E131=0,0,IF(MIN(CH$38,$E131)&lt;MAX($P$34*($B131+$I$38-1),IF(AND($L$37=0,$P$34=0),"",$L$37-1)),0,YEARFRAC(MAX($P$34*($B131+$I$38-1),IF(AND($L$37=0,$P$34=0),"",$L$37-1)),MIN(CH$38,$E131),$P$20))-SUM($BF131:CG131))</f>
        <v>0</v>
      </c>
      <c r="CI131" s="446">
        <f>IF($E131=0,0,IF(MIN(CI$38,$E131)&lt;MAX($P$34*($B131+$I$38-1),IF(AND($L$37=0,$P$34=0),"",$L$37-1)),0,YEARFRAC(MAX($P$34*($B131+$I$38-1),IF(AND($L$37=0,$P$34=0),"",$L$37-1)),MIN(CI$38,$E131),$P$20))-SUM($BF131:CH131))</f>
        <v>0</v>
      </c>
      <c r="CJ131" s="446">
        <f>IF($E131=0,0,IF(MIN(CJ$38,$E131)&lt;MAX($P$34*($B131+$I$38-1),IF(AND($L$37=0,$P$34=0),"",$L$37-1)),0,YEARFRAC(MAX($P$34*($B131+$I$38-1),IF(AND($L$37=0,$P$34=0),"",$L$37-1)),MIN(CJ$38,$E131),$P$20))-SUM($BF131:CI131))</f>
        <v>0</v>
      </c>
      <c r="CK131" s="446">
        <f>IF($E131=0,0,IF(MIN(CK$38,$E131)&lt;MAX($P$34*($B131+$I$38-1),IF(AND($L$37=0,$P$34=0),"",$L$37-1)),0,YEARFRAC(MAX($P$34*($B131+$I$38-1),IF(AND($L$37=0,$P$34=0),"",$L$37-1)),MIN(CK$38,$E131),$P$20))-SUM($BF131:CJ131))</f>
        <v>0</v>
      </c>
      <c r="CL131" s="446">
        <f>IF($E131=0,0,IF(MIN(CL$38,$E131)&lt;MAX($P$34*($B131+$I$38-1),IF(AND($L$37=0,$P$34=0),"",$L$37-1)),0,YEARFRAC(MAX($P$34*($B131+$I$38-1),IF(AND($L$37=0,$P$34=0),"",$L$37-1)),MIN(CL$38,$E131),$P$20))-SUM($BF131:CK131))</f>
        <v>0</v>
      </c>
      <c r="CM131" s="446">
        <f>IF($E131=0,0,IF(MIN(CM$38,$E131)&lt;MAX($P$34*($B131+$I$38-1),IF(AND($L$37=0,$P$34=0),"",$L$37-1)),0,YEARFRAC(MAX($P$34*($B131+$I$38-1),IF(AND($L$37=0,$P$34=0),"",$L$37-1)),MIN(CM$38,$E131),$P$20))-SUM($BF131:CL131))</f>
        <v>0</v>
      </c>
      <c r="CN131" s="446">
        <f>IF($E131=0,0,IF(MIN(CN$38,$E131)&lt;MAX($P$34*($B131+$I$38-1),IF(AND($L$37=0,$P$34=0),"",$L$37-1)),0,YEARFRAC(MAX($P$34*($B131+$I$38-1),IF(AND($L$37=0,$P$34=0),"",$L$37-1)),MIN(CN$38,$E131),$P$20))-SUM($BF131:CM131))</f>
        <v>0</v>
      </c>
      <c r="CO131" s="446">
        <f>IF($E131=0,0,IF(MIN(CO$38,$E131)&lt;MAX($P$34*($B131+$I$38-1),IF(AND($L$37=0,$P$34=0),"",$L$37-1)),0,YEARFRAC(MAX($P$34*($B131+$I$38-1),IF(AND($L$37=0,$P$34=0),"",$L$37-1)),MIN(CO$38,$E131),$P$20))-SUM($BF131:CN131))</f>
        <v>0</v>
      </c>
      <c r="CP131" s="446">
        <f>IF($E131=0,0,IF(MIN(CP$38,$E131)&lt;MAX($P$34*($B131+$I$38-1),IF(AND($L$37=0,$P$34=0),"",$L$37-1)),0,YEARFRAC(MAX($P$34*($B131+$I$38-1),IF(AND($L$37=0,$P$34=0),"",$L$37-1)),MIN(CP$38,$E131),$P$20))-SUM($BF131:CO131))</f>
        <v>0</v>
      </c>
      <c r="CQ131" s="446">
        <f>IF($E131=0,0,IF(MIN(CQ$38,$E131)&lt;MAX($P$34*($B131+$I$38-1),IF(AND($L$37=0,$P$34=0),"",$L$37-1)),0,YEARFRAC(MAX($P$34*($B131+$I$38-1),IF(AND($L$37=0,$P$34=0),"",$L$37-1)),MIN(CQ$38,$E131),$P$20))-SUM($BF131:CP131))</f>
        <v>0</v>
      </c>
    </row>
    <row r="132" spans="1:95" s="446" customFormat="1" ht="11.25" hidden="1" customHeight="1" x14ac:dyDescent="0.2">
      <c r="A132" s="152"/>
      <c r="B132" s="153" t="str">
        <f t="shared" si="26"/>
        <v/>
      </c>
      <c r="C132" s="29" t="str">
        <f>IF(B132="","",IF($L$35="SELIC - TRIBUTOS",VLOOKUP(DATE(YEAR($D$19),MONTH($D$19)-1,1),ÍNDICES!$A:$DE,HLOOKUP($BL$25,ÍNDICES!$B$3:$T$4,2)+11)-VLOOKUP(B132,ÍNDICES!$A:$DE,HLOOKUP($BL$25,ÍNDICES!$B$3:$T$4,2)+11)+1%,IF(C$38=$W$26,$J$35,IF(ISERROR(IF(B132&gt;$D$19,1,VLOOKUP(DATE(YEAR(B132),MONTH(B132)+IF($C$35=$S$23,1,0),1),ÍNDICES!$A:$DE,$Z$35+1))),"",IF(B132&gt;$D$19,1,VLOOKUP(DATE(YEAR(B132),MONTH(B132)+IF($C$35=$S$23,1,0),1),ÍNDICES!$A:$DE,$Z$35+1))))))</f>
        <v/>
      </c>
      <c r="D132" s="154" t="str">
        <f>IF(ISERROR(IF(OR($D$38=$Y$27,$B132=""),"",VLOOKUP(B132,ÍNDICES!A:DE,AF$35+1))),"",IF(OR($D$38=$Y$27,$B132=""),"",VLOOKUP(B132,ÍNDICES!A:DE,AF$35+1)))</f>
        <v/>
      </c>
      <c r="E132" s="153"/>
      <c r="F132" s="29" t="str">
        <f>IF(E132="","",IF($L$35="SELIC - TRIBUTOS",VLOOKUP(DATE(YEAR($D$19),MONTH($D$19)-1,1),ÍNDICES!$A:$DE,HLOOKUP($BL$25,ÍNDICES!$B$3:$T$4,2)+11)-VLOOKUP(E132,ÍNDICES!$A:$DE,HLOOKUP($BL$25,ÍNDICES!$B$3:$T$4,2)+11)+1%,IF(F$38=$W$26,$J$35,IF(ISERROR(IF(E132&gt;$D$19,1,VLOOKUP(DATE(YEAR(E132),MONTH(E132)+IF($C$35=$S$23,1,0),1),ÍNDICES!$A:$DE,$Z$35+1))),"",IF(E132&gt;$D$19,1,VLOOKUP(DATE(YEAR(E132),MONTH(E132)+IF($C$35=$S$23,1,0),1),ÍNDICES!$A:$DE,$Z$35+1))))))</f>
        <v/>
      </c>
      <c r="G132" s="155"/>
      <c r="H132" s="156" t="str">
        <f t="shared" si="22"/>
        <v/>
      </c>
      <c r="I132" s="29" t="str">
        <f t="shared" si="16"/>
        <v/>
      </c>
      <c r="J132" s="5">
        <f t="shared" si="17"/>
        <v>0</v>
      </c>
      <c r="K132" s="20">
        <f t="shared" ca="1" si="18"/>
        <v>0</v>
      </c>
      <c r="L132" s="5">
        <f t="shared" ca="1" si="19"/>
        <v>0</v>
      </c>
      <c r="M132" s="64">
        <f t="shared" si="23"/>
        <v>0</v>
      </c>
      <c r="N132" s="61">
        <f t="shared" ca="1" si="24"/>
        <v>0</v>
      </c>
      <c r="O132" s="5">
        <f t="shared" ca="1" si="25"/>
        <v>0</v>
      </c>
      <c r="P132" s="446" t="e">
        <f t="shared" si="20"/>
        <v>#VALUE!</v>
      </c>
      <c r="Q132" s="446" t="e">
        <f>IF(OR($B132="",MIN(Q$38,$D$19)&lt;MAX($P$34*($B132+IF($R$17="Distrato",$I$38-1,0)),IF(AND($L$37=0,$P$34=0),"",$L$37-1),IF($R$17="Distrato",$E132,0))),0,YEARFRAC(MAX($P$34*($B132+IF($R$17="Distrato",$I$38-1,0)),IF(AND($L$37=0,$P$34=0),"",$L$37-1),IF($R$17="Distrato",$E132,0)),MIN(Q$38,$D$19),$P$20))-SUM($P132:P132)</f>
        <v>#VALUE!</v>
      </c>
      <c r="R132" s="446" t="e">
        <f>IF(OR($B132="",MIN(R$38,$D$19)&lt;MAX($P$34*($B132+IF($R$17="Distrato",$I$38-1,0)),IF(AND($L$37=0,$P$34=0),"",$L$37-1),IF($R$17="Distrato",$E132,0))),0,YEARFRAC(MAX($P$34*($B132+IF($R$17="Distrato",$I$38-1,0)),IF(AND($L$37=0,$P$34=0),"",$L$37-1),IF($R$17="Distrato",$E132,0)),MIN(R$38,$D$19),$P$20))-SUM($P132:Q132)</f>
        <v>#VALUE!</v>
      </c>
      <c r="S132" s="446" t="e">
        <f>IF(OR($B132="",MIN(S$38,$D$19)&lt;MAX($P$34*($B132+IF($R$17="Distrato",$I$38-1,0)),IF(AND($L$37=0,$P$34=0),"",$L$37-1),IF($R$17="Distrato",$E132,0))),0,YEARFRAC(MAX($P$34*($B132+IF($R$17="Distrato",$I$38-1,0)),IF(AND($L$37=0,$P$34=0),"",$L$37-1),IF($R$17="Distrato",$E132,0)),MIN(S$38,$D$19),$P$20))-SUM($P132:R132)</f>
        <v>#VALUE!</v>
      </c>
      <c r="T132" s="446" t="e">
        <f>IF(OR($B132="",MIN(T$38,$D$19)&lt;MAX($P$34*($B132+IF($R$17="Distrato",$I$38-1,0)),IF(AND($L$37=0,$P$34=0),"",$L$37-1),IF($R$17="Distrato",$E132,0))),0,YEARFRAC(MAX($P$34*($B132+IF($R$17="Distrato",$I$38-1,0)),IF(AND($L$37=0,$P$34=0),"",$L$37-1),IF($R$17="Distrato",$E132,0)),MIN(T$38,$D$19),$P$20))-SUM($P132:S132)</f>
        <v>#VALUE!</v>
      </c>
      <c r="U132" s="446" t="e">
        <f>IF(OR($B132="",MIN(U$38,$D$19)&lt;MAX($P$34*($B132+IF($R$17="Distrato",$I$38-1,0)),IF(AND($L$37=0,$P$34=0),"",$L$37-1),IF($R$17="Distrato",$E132,0))),0,YEARFRAC(MAX($P$34*($B132+IF($R$17="Distrato",$I$38-1,0)),IF(AND($L$37=0,$P$34=0),"",$L$37-1),IF($R$17="Distrato",$E132,0)),MIN(U$38,$D$19),$P$20))-SUM($P132:T132)</f>
        <v>#VALUE!</v>
      </c>
      <c r="V132" s="446" t="e">
        <f>IF(OR($B132="",MIN(V$38,$D$19)&lt;MAX($P$34*($B132+IF($R$17="Distrato",$I$38-1,0)),IF(AND($L$37=0,$P$34=0),"",$L$37-1),IF($R$17="Distrato",$E132,0))),0,YEARFRAC(MAX($P$34*($B132+IF($R$17="Distrato",$I$38-1,0)),IF(AND($L$37=0,$P$34=0),"",$L$37-1),IF($R$17="Distrato",$E132,0)),MIN(V$38,$D$19),$P$20))-SUM($P132:U132)</f>
        <v>#VALUE!</v>
      </c>
      <c r="W132" s="446" t="e">
        <f>IF(OR($B132="",MIN(W$38,$D$19)&lt;MAX($P$34*($B132+IF($R$17="Distrato",$I$38-1,0)),IF(AND($L$37=0,$P$34=0),"",$L$37-1),IF($R$17="Distrato",$E132,0))),0,YEARFRAC(MAX($P$34*($B132+IF($R$17="Distrato",$I$38-1,0)),IF(AND($L$37=0,$P$34=0),"",$L$37-1),IF($R$17="Distrato",$E132,0)),MIN(W$38,$D$19),$P$20))-SUM($P132:V132)</f>
        <v>#VALUE!</v>
      </c>
      <c r="X132" s="446" t="e">
        <f>IF(OR($B132="",MIN(X$38,$D$19)&lt;MAX($P$34*($B132+IF($R$17="Distrato",$I$38-1,0)),IF(AND($L$37=0,$P$34=0),"",$L$37-1),IF($R$17="Distrato",$E132,0))),0,YEARFRAC(MAX($P$34*($B132+IF($R$17="Distrato",$I$38-1,0)),IF(AND($L$37=0,$P$34=0),"",$L$37-1),IF($R$17="Distrato",$E132,0)),MIN(X$38,$D$19),$P$20))-SUM($P132:W132)</f>
        <v>#VALUE!</v>
      </c>
      <c r="Y132" s="446" t="e">
        <f>IF(OR($B132="",MIN(Y$38,$D$19)&lt;MAX($P$34*($B132+IF($R$17="Distrato",$I$38-1,0)),IF(AND($L$37=0,$P$34=0),"",$L$37-1),IF($R$17="Distrato",$E132,0))),0,YEARFRAC(MAX($P$34*($B132+IF($R$17="Distrato",$I$38-1,0)),IF(AND($L$37=0,$P$34=0),"",$L$37-1),IF($R$17="Distrato",$E132,0)),MIN(Y$38,$D$19),$P$20))-SUM($P132:X132)</f>
        <v>#VALUE!</v>
      </c>
      <c r="Z132" s="446" t="e">
        <f>IF(OR($B132="",MIN(Z$38,$D$19)&lt;MAX($P$34*($B132+IF($R$17="Distrato",$I$38-1,0)),IF(AND($L$37=0,$P$34=0),"",$L$37-1),IF($R$17="Distrato",$E132,0))),0,YEARFRAC(MAX($P$34*($B132+IF($R$17="Distrato",$I$38-1,0)),IF(AND($L$37=0,$P$34=0),"",$L$37-1),IF($R$17="Distrato",$E132,0)),MIN(Z$38,$D$19),$P$20))-SUM($P132:Y132)</f>
        <v>#VALUE!</v>
      </c>
      <c r="AA132" s="446" t="e">
        <f>IF(OR($B132="",MIN(AA$38,$D$19)&lt;MAX($P$34*($B132+IF($R$17="Distrato",$I$38-1,0)),IF(AND($L$37=0,$P$34=0),"",$L$37-1),IF($R$17="Distrato",$E132,0))),0,YEARFRAC(MAX($P$34*($B132+IF($R$17="Distrato",$I$38-1,0)),IF(AND($L$37=0,$P$34=0),"",$L$37-1),IF($R$17="Distrato",$E132,0)),MIN(AA$38,$D$19),$P$20))-SUM($P132:Z132)</f>
        <v>#VALUE!</v>
      </c>
      <c r="AB132" s="446" t="e">
        <f>IF(OR($B132="",MIN(AB$38,$D$19)&lt;MAX($P$34*($B132+IF($R$17="Distrato",$I$38-1,0)),IF(AND($L$37=0,$P$34=0),"",$L$37-1),IF($R$17="Distrato",$E132,0))),0,YEARFRAC(MAX($P$34*($B132+IF($R$17="Distrato",$I$38-1,0)),IF(AND($L$37=0,$P$34=0),"",$L$37-1),IF($R$17="Distrato",$E132,0)),MIN(AB$38,$D$19),$P$20))-SUM($P132:AA132)</f>
        <v>#VALUE!</v>
      </c>
      <c r="AC132" s="446" t="e">
        <f>IF(OR($B132="",MIN(AC$38,$D$19)&lt;MAX($P$34*($B132+IF($R$17="Distrato",$I$38-1,0)),IF(AND($L$37=0,$P$34=0),"",$L$37-1),IF($R$17="Distrato",$E132,0))),0,YEARFRAC(MAX($P$34*($B132+IF($R$17="Distrato",$I$38-1,0)),IF(AND($L$37=0,$P$34=0),"",$L$37-1),IF($R$17="Distrato",$E132,0)),MIN(AC$38,$D$19),$P$20))-SUM($P132:AB132)</f>
        <v>#VALUE!</v>
      </c>
      <c r="AD132" s="446" t="e">
        <f>IF(OR($B132="",MIN(AD$38,$D$19)&lt;MAX($P$34*($B132+IF($R$17="Distrato",$I$38-1,0)),IF(AND($L$37=0,$P$34=0),"",$L$37-1),IF($R$17="Distrato",$E132,0))),0,YEARFRAC(MAX($P$34*($B132+IF($R$17="Distrato",$I$38-1,0)),IF(AND($L$37=0,$P$34=0),"",$L$37-1),IF($R$17="Distrato",$E132,0)),MIN(AD$38,$D$19),$P$20))-SUM($P132:AC132)</f>
        <v>#VALUE!</v>
      </c>
      <c r="AE132" s="446" t="e">
        <f>IF(OR($B132="",MIN(AE$38,$D$19)&lt;MAX($P$34*($B132+IF($R$17="Distrato",$I$38-1,0)),IF(AND($L$37=0,$P$34=0),"",$L$37-1),IF($R$17="Distrato",$E132,0))),0,YEARFRAC(MAX($P$34*($B132+IF($R$17="Distrato",$I$38-1,0)),IF(AND($L$37=0,$P$34=0),"",$L$37-1),IF($R$17="Distrato",$E132,0)),MIN(AE$38,$D$19),$P$20))-SUM($P132:AD132)</f>
        <v>#VALUE!</v>
      </c>
      <c r="AF132" s="446" t="e">
        <f>IF(OR($B132="",MIN(AF$38,$D$19)&lt;MAX($P$34*($B132+IF($R$17="Distrato",$I$38-1,0)),IF(AND($L$37=0,$P$34=0),"",$L$37-1),IF($R$17="Distrato",$E132,0))),0,YEARFRAC(MAX($P$34*($B132+IF($R$17="Distrato",$I$38-1,0)),IF(AND($L$37=0,$P$34=0),"",$L$37-1),IF($R$17="Distrato",$E132,0)),MIN(AF$38,$D$19),$P$20))-SUM($P132:AE132)</f>
        <v>#VALUE!</v>
      </c>
      <c r="AG132" s="446" t="e">
        <f>IF(OR($B132="",MIN(AG$38,$D$19)&lt;MAX($P$34*($B132+IF($R$17="Distrato",$I$38-1,0)),IF(AND($L$37=0,$P$34=0),"",$L$37-1),IF($R$17="Distrato",$E132,0))),0,YEARFRAC(MAX($P$34*($B132+IF($R$17="Distrato",$I$38-1,0)),IF(AND($L$37=0,$P$34=0),"",$L$37-1),IF($R$17="Distrato",$E132,0)),MIN(AG$38,$D$19),$P$20))-SUM($P132:AF132)</f>
        <v>#VALUE!</v>
      </c>
      <c r="AH132" s="446" t="e">
        <f>IF(OR($B132="",MIN(AH$38,$D$19)&lt;MAX($P$34*($B132+IF($R$17="Distrato",$I$38-1,0)),IF(AND($L$37=0,$P$34=0),"",$L$37-1),IF($R$17="Distrato",$E132,0))),0,YEARFRAC(MAX($P$34*($B132+IF($R$17="Distrato",$I$38-1,0)),IF(AND($L$37=0,$P$34=0),"",$L$37-1),IF($R$17="Distrato",$E132,0)),MIN(AH$38,$D$19),$P$20))-SUM($P132:AG132)</f>
        <v>#VALUE!</v>
      </c>
      <c r="AI132" s="446" t="e">
        <f>IF(OR($B132="",MIN(AI$38,$D$19)&lt;MAX($P$34*($B132+IF($R$17="Distrato",$I$38-1,0)),IF(AND($L$37=0,$P$34=0),"",$L$37-1),IF($R$17="Distrato",$E132,0))),0,YEARFRAC(MAX($P$34*($B132+IF($R$17="Distrato",$I$38-1,0)),IF(AND($L$37=0,$P$34=0),"",$L$37-1),IF($R$17="Distrato",$E132,0)),MIN(AI$38,$D$19),$P$20))-SUM($P132:AH132)</f>
        <v>#VALUE!</v>
      </c>
      <c r="AJ132" s="446" t="e">
        <f>IF(OR($B132="",MIN(AJ$38,$D$19)&lt;MAX($P$34*($B132+IF($R$17="Distrato",$I$38-1,0)),IF(AND($L$37=0,$P$34=0),"",$L$37-1),IF($R$17="Distrato",$E132,0))),0,YEARFRAC(MAX($P$34*($B132+IF($R$17="Distrato",$I$38-1,0)),IF(AND($L$37=0,$P$34=0),"",$L$37-1),IF($R$17="Distrato",$E132,0)),MIN(AJ$38,$D$19),$P$20))-SUM($P132:AI132)</f>
        <v>#VALUE!</v>
      </c>
      <c r="AK132" s="446" t="e">
        <f>IF(OR($B132="",MIN(AK$38,$D$19)&lt;MAX($P$34*($B132+IF($R$17="Distrato",$I$38-1,0)),IF(AND($L$37=0,$P$34=0),"",$L$37-1),IF($R$17="Distrato",$E132,0))),0,YEARFRAC(MAX($P$34*($B132+IF($R$17="Distrato",$I$38-1,0)),IF(AND($L$37=0,$P$34=0),"",$L$37-1),IF($R$17="Distrato",$E132,0)),MIN(AK$38,$D$19),$P$20))-SUM($P132:AJ132)</f>
        <v>#VALUE!</v>
      </c>
      <c r="AL132" s="446" t="e">
        <f>IF(OR($B132="",MIN(AL$38,$D$19)&lt;MAX($P$34*($B132+IF($R$17="Distrato",$I$38-1,0)),IF(AND($L$37=0,$P$34=0),"",$L$37-1),IF($R$17="Distrato",$E132,0))),0,YEARFRAC(MAX($P$34*($B132+IF($R$17="Distrato",$I$38-1,0)),IF(AND($L$37=0,$P$34=0),"",$L$37-1),IF($R$17="Distrato",$E132,0)),MIN(AL$38,$D$19),$P$20))-SUM($P132:AK132)</f>
        <v>#VALUE!</v>
      </c>
      <c r="AM132" s="446" t="e">
        <f>IF(OR($B132="",MIN(AM$38,$D$19)&lt;MAX($P$34*($B132+IF($R$17="Distrato",$I$38-1,0)),IF(AND($L$37=0,$P$34=0),"",$L$37-1),IF($R$17="Distrato",$E132,0))),0,YEARFRAC(MAX($P$34*($B132+IF($R$17="Distrato",$I$38-1,0)),IF(AND($L$37=0,$P$34=0),"",$L$37-1),IF($R$17="Distrato",$E132,0)),MIN(AM$38,$D$19),$P$20))-SUM($P132:AL132)</f>
        <v>#VALUE!</v>
      </c>
      <c r="AN132" s="446" t="e">
        <f>IF(OR($B132="",MIN(AN$38,$D$19)&lt;MAX($P$34*($B132+IF($R$17="Distrato",$I$38-1,0)),IF(AND($L$37=0,$P$34=0),"",$L$37-1),IF($R$17="Distrato",$E132,0))),0,YEARFRAC(MAX($P$34*($B132+IF($R$17="Distrato",$I$38-1,0)),IF(AND($L$37=0,$P$34=0),"",$L$37-1),IF($R$17="Distrato",$E132,0)),MIN(AN$38,$D$19),$P$20))-SUM($P132:AM132)</f>
        <v>#VALUE!</v>
      </c>
      <c r="AO132" s="446" t="e">
        <f>IF(OR($B132="",MIN(AO$38,$D$19)&lt;MAX($P$34*($B132+IF($R$17="Distrato",$I$38-1,0)),IF(AND($L$37=0,$P$34=0),"",$L$37-1),IF($R$17="Distrato",$E132,0))),0,YEARFRAC(MAX($P$34*($B132+IF($R$17="Distrato",$I$38-1,0)),IF(AND($L$37=0,$P$34=0),"",$L$37-1),IF($R$17="Distrato",$E132,0)),MIN(AO$38,$D$19),$P$20))-SUM($P132:AN132)</f>
        <v>#VALUE!</v>
      </c>
      <c r="AP132" s="446" t="e">
        <f>IF(OR($B132="",MIN(AP$38,$D$19)&lt;MAX($P$34*($B132+IF($R$17="Distrato",$I$38-1,0)),IF(AND($L$37=0,$P$34=0),"",$L$37-1),IF($R$17="Distrato",$E132,0))),0,YEARFRAC(MAX($P$34*($B132+IF($R$17="Distrato",$I$38-1,0)),IF(AND($L$37=0,$P$34=0),"",$L$37-1),IF($R$17="Distrato",$E132,0)),MIN(AP$38,$D$19),$P$20))-SUM($P132:AO132)</f>
        <v>#VALUE!</v>
      </c>
      <c r="AQ132" s="446" t="e">
        <f>IF(OR($B132="",MIN(AQ$38,$D$19)&lt;MAX($P$34*($B132+IF($R$17="Distrato",$I$38-1,0)),IF(AND($L$37=0,$P$34=0),"",$L$37-1),IF($R$17="Distrato",$E132,0))),0,YEARFRAC(MAX($P$34*($B132+IF($R$17="Distrato",$I$38-1,0)),IF(AND($L$37=0,$P$34=0),"",$L$37-1),IF($R$17="Distrato",$E132,0)),MIN(AQ$38,$D$19),$P$20))-SUM($P132:AP132)</f>
        <v>#VALUE!</v>
      </c>
      <c r="AR132" s="446" t="e">
        <f>IF(OR($B132="",MIN(AR$38,$D$19)&lt;MAX($P$34*($B132+IF($R$17="Distrato",$I$38-1,0)),IF(AND($L$37=0,$P$34=0),"",$L$37-1),IF($R$17="Distrato",$E132,0))),0,YEARFRAC(MAX($P$34*($B132+IF($R$17="Distrato",$I$38-1,0)),IF(AND($L$37=0,$P$34=0),"",$L$37-1),IF($R$17="Distrato",$E132,0)),MIN(AR$38,$D$19),$P$20))-SUM($P132:AQ132)</f>
        <v>#VALUE!</v>
      </c>
      <c r="AS132" s="446" t="e">
        <f>IF(OR($B132="",MIN(AS$38,$D$19)&lt;MAX($P$34*($B132+IF($R$17="Distrato",$I$38-1,0)),IF(AND($L$37=0,$P$34=0),"",$L$37-1),IF($R$17="Distrato",$E132,0))),0,YEARFRAC(MAX($P$34*($B132+IF($R$17="Distrato",$I$38-1,0)),IF(AND($L$37=0,$P$34=0),"",$L$37-1),IF($R$17="Distrato",$E132,0)),MIN(AS$38,$D$19),$P$20))-SUM($P132:AR132)</f>
        <v>#VALUE!</v>
      </c>
      <c r="AT132" s="446" t="e">
        <f>IF(OR($B132="",MIN(AT$38,$D$19)&lt;MAX($P$34*($B132+IF($R$17="Distrato",$I$38-1,0)),IF(AND($L$37=0,$P$34=0),"",$L$37-1),IF($R$17="Distrato",$E132,0))),0,YEARFRAC(MAX($P$34*($B132+IF($R$17="Distrato",$I$38-1,0)),IF(AND($L$37=0,$P$34=0),"",$L$37-1),IF($R$17="Distrato",$E132,0)),MIN(AT$38,$D$19),$P$20))-SUM($P132:AS132)</f>
        <v>#VALUE!</v>
      </c>
      <c r="AU132" s="446" t="e">
        <f>IF(OR($B132="",MIN(AU$38,$D$19)&lt;MAX($P$34*($B132+IF($R$17="Distrato",$I$38-1,0)),IF(AND($L$37=0,$P$34=0),"",$L$37-1),IF($R$17="Distrato",$E132,0))),0,YEARFRAC(MAX($P$34*($B132+IF($R$17="Distrato",$I$38-1,0)),IF(AND($L$37=0,$P$34=0),"",$L$37-1),IF($R$17="Distrato",$E132,0)),MIN(AU$38,$D$19),$P$20))-SUM($P132:AT132)</f>
        <v>#VALUE!</v>
      </c>
      <c r="AV132" s="446" t="e">
        <f>IF(OR($B132="",MIN(AV$38,$D$19)&lt;MAX($P$34*($B132+IF($R$17="Distrato",$I$38-1,0)),IF(AND($L$37=0,$P$34=0),"",$L$37-1),IF($R$17="Distrato",$E132,0))),0,YEARFRAC(MAX($P$34*($B132+IF($R$17="Distrato",$I$38-1,0)),IF(AND($L$37=0,$P$34=0),"",$L$37-1),IF($R$17="Distrato",$E132,0)),MIN(AV$38,$D$19),$P$20))-SUM($P132:AU132)</f>
        <v>#VALUE!</v>
      </c>
      <c r="AW132" s="446" t="e">
        <f>IF(OR($B132="",MIN(AW$38,$D$19)&lt;MAX($P$34*($B132+IF($R$17="Distrato",$I$38-1,0)),IF(AND($L$37=0,$P$34=0),"",$L$37-1),IF($R$17="Distrato",$E132,0))),0,YEARFRAC(MAX($P$34*($B132+IF($R$17="Distrato",$I$38-1,0)),IF(AND($L$37=0,$P$34=0),"",$L$37-1),IF($R$17="Distrato",$E132,0)),MIN(AW$38,$D$19),$P$20))-SUM($P132:AV132)</f>
        <v>#VALUE!</v>
      </c>
      <c r="AX132" s="446" t="e">
        <f>IF(OR($B132="",MIN(AX$38,$D$19)&lt;MAX($P$34*($B132+IF($R$17="Distrato",$I$38-1,0)),IF(AND($L$37=0,$P$34=0),"",$L$37-1),IF($R$17="Distrato",$E132,0))),0,YEARFRAC(MAX($P$34*($B132+IF($R$17="Distrato",$I$38-1,0)),IF(AND($L$37=0,$P$34=0),"",$L$37-1),IF($R$17="Distrato",$E132,0)),MIN(AX$38,$D$19),$P$20))-SUM($P132:AW132)</f>
        <v>#VALUE!</v>
      </c>
      <c r="AY132" s="446" t="e">
        <f>IF(OR($B132="",MIN(AY$38,$D$19)&lt;MAX($P$34*($B132+IF($R$17="Distrato",$I$38-1,0)),IF(AND($L$37=0,$P$34=0),"",$L$37-1),IF($R$17="Distrato",$E132,0))),0,YEARFRAC(MAX($P$34*($B132+IF($R$17="Distrato",$I$38-1,0)),IF(AND($L$37=0,$P$34=0),"",$L$37-1),IF($R$17="Distrato",$E132,0)),MIN(AY$38,$D$19),$P$20))-SUM($P132:AX132)</f>
        <v>#VALUE!</v>
      </c>
      <c r="AZ132" s="446" t="e">
        <f>IF(OR($B132="",MIN(AZ$38,$D$19)&lt;MAX($P$34*($B132+IF($R$17="Distrato",$I$38-1,0)),IF(AND($L$37=0,$P$34=0),"",$L$37-1),IF($R$17="Distrato",$E132,0))),0,YEARFRAC(MAX($P$34*($B132+IF($R$17="Distrato",$I$38-1,0)),IF(AND($L$37=0,$P$34=0),"",$L$37-1),IF($R$17="Distrato",$E132,0)),MIN(AZ$38,$D$19),$P$20))-SUM($P132:AY132)</f>
        <v>#VALUE!</v>
      </c>
      <c r="BA132" s="446" t="e">
        <f>IF(OR($B132="",MIN(BA$38,$D$19)&lt;MAX($P$34*($B132+IF($R$17="Distrato",$I$38-1,0)),IF(AND($L$37=0,$P$34=0),"",$L$37-1),IF($R$17="Distrato",$E132,0))),0,YEARFRAC(MAX($P$34*($B132+IF($R$17="Distrato",$I$38-1,0)),IF(AND($L$37=0,$P$34=0),"",$L$37-1),IF($R$17="Distrato",$E132,0)),MIN(BA$38,$D$19),$P$20))-SUM($P132:AZ132)</f>
        <v>#VALUE!</v>
      </c>
      <c r="BB132" s="447"/>
      <c r="BF132" s="446">
        <f t="shared" si="21"/>
        <v>0</v>
      </c>
      <c r="BG132" s="446">
        <f>IF($E132=0,0,IF(MIN(BG$38,$E132)&lt;MAX($P$34*($B132+$I$38-1),IF(AND($L$37=0,$P$34=0),"",$L$37-1)),0,YEARFRAC(MAX($P$34*($B132+$I$38-1),IF(AND($L$37=0,$P$34=0),"",$L$37-1)),MIN(BG$38,$E132),$P$20))-SUM($BF132:BF132))</f>
        <v>0</v>
      </c>
      <c r="BH132" s="446">
        <f>IF($E132=0,0,IF(MIN(BH$38,$E132)&lt;MAX($P$34*($B132+$I$38-1),IF(AND($L$37=0,$P$34=0),"",$L$37-1)),0,YEARFRAC(MAX($P$34*($B132+$I$38-1),IF(AND($L$37=0,$P$34=0),"",$L$37-1)),MIN(BH$38,$E132),$P$20))-SUM($BF132:BG132))</f>
        <v>0</v>
      </c>
      <c r="BI132" s="446">
        <f>IF($E132=0,0,IF(MIN(BI$38,$E132)&lt;MAX($P$34*($B132+$I$38-1),IF(AND($L$37=0,$P$34=0),"",$L$37-1)),0,YEARFRAC(MAX($P$34*($B132+$I$38-1),IF(AND($L$37=0,$P$34=0),"",$L$37-1)),MIN(BI$38,$E132),$P$20))-SUM($BF132:BH132))</f>
        <v>0</v>
      </c>
      <c r="BJ132" s="446">
        <f>IF($E132=0,0,IF(MIN(BJ$38,$E132)&lt;MAX($P$34*($B132+$I$38-1),IF(AND($L$37=0,$P$34=0),"",$L$37-1)),0,YEARFRAC(MAX($P$34*($B132+$I$38-1),IF(AND($L$37=0,$P$34=0),"",$L$37-1)),MIN(BJ$38,$E132),$P$20))-SUM($BF132:BI132))</f>
        <v>0</v>
      </c>
      <c r="BK132" s="446">
        <f>IF($E132=0,0,IF(MIN(BK$38,$E132)&lt;MAX($P$34*($B132+$I$38-1),IF(AND($L$37=0,$P$34=0),"",$L$37-1)),0,YEARFRAC(MAX($P$34*($B132+$I$38-1),IF(AND($L$37=0,$P$34=0),"",$L$37-1)),MIN(BK$38,$E132),$P$20))-SUM($BF132:BJ132))</f>
        <v>0</v>
      </c>
      <c r="BL132" s="446">
        <f>IF($E132=0,0,IF(MIN(BL$38,$E132)&lt;MAX($P$34*($B132+$I$38-1),IF(AND($L$37=0,$P$34=0),"",$L$37-1)),0,YEARFRAC(MAX($P$34*($B132+$I$38-1),IF(AND($L$37=0,$P$34=0),"",$L$37-1)),MIN(BL$38,$E132),$P$20))-SUM($BF132:BK132))</f>
        <v>0</v>
      </c>
      <c r="BM132" s="446">
        <f>IF($E132=0,0,IF(MIN(BM$38,$E132)&lt;MAX($P$34*($B132+$I$38-1),IF(AND($L$37=0,$P$34=0),"",$L$37-1)),0,YEARFRAC(MAX($P$34*($B132+$I$38-1),IF(AND($L$37=0,$P$34=0),"",$L$37-1)),MIN(BM$38,$E132),$P$20))-SUM($BF132:BL132))</f>
        <v>0</v>
      </c>
      <c r="BN132" s="446">
        <f>IF($E132=0,0,IF(MIN(BN$38,$E132)&lt;MAX($P$34*($B132+$I$38-1),IF(AND($L$37=0,$P$34=0),"",$L$37-1)),0,YEARFRAC(MAX($P$34*($B132+$I$38-1),IF(AND($L$37=0,$P$34=0),"",$L$37-1)),MIN(BN$38,$E132),$P$20))-SUM($BF132:BM132))</f>
        <v>0</v>
      </c>
      <c r="BO132" s="446">
        <f>IF($E132=0,0,IF(MIN(BO$38,$E132)&lt;MAX($P$34*($B132+$I$38-1),IF(AND($L$37=0,$P$34=0),"",$L$37-1)),0,YEARFRAC(MAX($P$34*($B132+$I$38-1),IF(AND($L$37=0,$P$34=0),"",$L$37-1)),MIN(BO$38,$E132),$P$20))-SUM($BF132:BN132))</f>
        <v>0</v>
      </c>
      <c r="BP132" s="446">
        <f>IF($E132=0,0,IF(MIN(BP$38,$E132)&lt;MAX($P$34*($B132+$I$38-1),IF(AND($L$37=0,$P$34=0),"",$L$37-1)),0,YEARFRAC(MAX($P$34*($B132+$I$38-1),IF(AND($L$37=0,$P$34=0),"",$L$37-1)),MIN(BP$38,$E132),$P$20))-SUM($BF132:BO132))</f>
        <v>0</v>
      </c>
      <c r="BQ132" s="446">
        <f>IF($E132=0,0,IF(MIN(BQ$38,$E132)&lt;MAX($P$34*($B132+$I$38-1),IF(AND($L$37=0,$P$34=0),"",$L$37-1)),0,YEARFRAC(MAX($P$34*($B132+$I$38-1),IF(AND($L$37=0,$P$34=0),"",$L$37-1)),MIN(BQ$38,$E132),$P$20))-SUM($BF132:BP132))</f>
        <v>0</v>
      </c>
      <c r="BR132" s="446">
        <f>IF($E132=0,0,IF(MIN(BR$38,$E132)&lt;MAX($P$34*($B132+$I$38-1),IF(AND($L$37=0,$P$34=0),"",$L$37-1)),0,YEARFRAC(MAX($P$34*($B132+$I$38-1),IF(AND($L$37=0,$P$34=0),"",$L$37-1)),MIN(BR$38,$E132),$P$20))-SUM($BF132:BQ132))</f>
        <v>0</v>
      </c>
      <c r="BS132" s="446">
        <f>IF($E132=0,0,IF(MIN(BS$38,$E132)&lt;MAX($P$34*($B132+$I$38-1),IF(AND($L$37=0,$P$34=0),"",$L$37-1)),0,YEARFRAC(MAX($P$34*($B132+$I$38-1),IF(AND($L$37=0,$P$34=0),"",$L$37-1)),MIN(BS$38,$E132),$P$20))-SUM($BF132:BR132))</f>
        <v>0</v>
      </c>
      <c r="BT132" s="446">
        <f>IF($E132=0,0,IF(MIN(BT$38,$E132)&lt;MAX($P$34*($B132+$I$38-1),IF(AND($L$37=0,$P$34=0),"",$L$37-1)),0,YEARFRAC(MAX($P$34*($B132+$I$38-1),IF(AND($L$37=0,$P$34=0),"",$L$37-1)),MIN(BT$38,$E132),$P$20))-SUM($BF132:BS132))</f>
        <v>0</v>
      </c>
      <c r="BU132" s="446">
        <f>IF($E132=0,0,IF(MIN(BU$38,$E132)&lt;MAX($P$34*($B132+$I$38-1),IF(AND($L$37=0,$P$34=0),"",$L$37-1)),0,YEARFRAC(MAX($P$34*($B132+$I$38-1),IF(AND($L$37=0,$P$34=0),"",$L$37-1)),MIN(BU$38,$E132),$P$20))-SUM($BF132:BT132))</f>
        <v>0</v>
      </c>
      <c r="BV132" s="446">
        <f>IF($E132=0,0,IF(MIN(BV$38,$E132)&lt;MAX($P$34*($B132+$I$38-1),IF(AND($L$37=0,$P$34=0),"",$L$37-1)),0,YEARFRAC(MAX($P$34*($B132+$I$38-1),IF(AND($L$37=0,$P$34=0),"",$L$37-1)),MIN(BV$38,$E132),$P$20))-SUM($BF132:BU132))</f>
        <v>0</v>
      </c>
      <c r="BW132" s="446">
        <f>IF($E132=0,0,IF(MIN(BW$38,$E132)&lt;MAX($P$34*($B132+$I$38-1),IF(AND($L$37=0,$P$34=0),"",$L$37-1)),0,YEARFRAC(MAX($P$34*($B132+$I$38-1),IF(AND($L$37=0,$P$34=0),"",$L$37-1)),MIN(BW$38,$E132),$P$20))-SUM($BF132:BV132))</f>
        <v>0</v>
      </c>
      <c r="BX132" s="446">
        <f>IF($E132=0,0,IF(MIN(BX$38,$E132)&lt;MAX($P$34*($B132+$I$38-1),IF(AND($L$37=0,$P$34=0),"",$L$37-1)),0,YEARFRAC(MAX($P$34*($B132+$I$38-1),IF(AND($L$37=0,$P$34=0),"",$L$37-1)),MIN(BX$38,$E132),$P$20))-SUM($BF132:BW132))</f>
        <v>0</v>
      </c>
      <c r="BY132" s="446">
        <f>IF($E132=0,0,IF(MIN(BY$38,$E132)&lt;MAX($P$34*($B132+$I$38-1),IF(AND($L$37=0,$P$34=0),"",$L$37-1)),0,YEARFRAC(MAX($P$34*($B132+$I$38-1),IF(AND($L$37=0,$P$34=0),"",$L$37-1)),MIN(BY$38,$E132),$P$20))-SUM($BF132:BX132))</f>
        <v>0</v>
      </c>
      <c r="BZ132" s="446">
        <f>IF($E132=0,0,IF(MIN(BZ$38,$E132)&lt;MAX($P$34*($B132+$I$38-1),IF(AND($L$37=0,$P$34=0),"",$L$37-1)),0,YEARFRAC(MAX($P$34*($B132+$I$38-1),IF(AND($L$37=0,$P$34=0),"",$L$37-1)),MIN(BZ$38,$E132),$P$20))-SUM($BF132:BY132))</f>
        <v>0</v>
      </c>
      <c r="CA132" s="446">
        <f>IF($E132=0,0,IF(MIN(CA$38,$E132)&lt;MAX($P$34*($B132+$I$38-1),IF(AND($L$37=0,$P$34=0),"",$L$37-1)),0,YEARFRAC(MAX($P$34*($B132+$I$38-1),IF(AND($L$37=0,$P$34=0),"",$L$37-1)),MIN(CA$38,$E132),$P$20))-SUM($BF132:BZ132))</f>
        <v>0</v>
      </c>
      <c r="CB132" s="446">
        <f>IF($E132=0,0,IF(MIN(CB$38,$E132)&lt;MAX($P$34*($B132+$I$38-1),IF(AND($L$37=0,$P$34=0),"",$L$37-1)),0,YEARFRAC(MAX($P$34*($B132+$I$38-1),IF(AND($L$37=0,$P$34=0),"",$L$37-1)),MIN(CB$38,$E132),$P$20))-SUM($BF132:CA132))</f>
        <v>0</v>
      </c>
      <c r="CC132" s="446">
        <f>IF($E132=0,0,IF(MIN(CC$38,$E132)&lt;MAX($P$34*($B132+$I$38-1),IF(AND($L$37=0,$P$34=0),"",$L$37-1)),0,YEARFRAC(MAX($P$34*($B132+$I$38-1),IF(AND($L$37=0,$P$34=0),"",$L$37-1)),MIN(CC$38,$E132),$P$20))-SUM($BF132:CB132))</f>
        <v>0</v>
      </c>
      <c r="CD132" s="446">
        <f>IF($E132=0,0,IF(MIN(CD$38,$E132)&lt;MAX($P$34*($B132+$I$38-1),IF(AND($L$37=0,$P$34=0),"",$L$37-1)),0,YEARFRAC(MAX($P$34*($B132+$I$38-1),IF(AND($L$37=0,$P$34=0),"",$L$37-1)),MIN(CD$38,$E132),$P$20))-SUM($BF132:CC132))</f>
        <v>0</v>
      </c>
      <c r="CE132" s="446">
        <f>IF($E132=0,0,IF(MIN(CE$38,$E132)&lt;MAX($P$34*($B132+$I$38-1),IF(AND($L$37=0,$P$34=0),"",$L$37-1)),0,YEARFRAC(MAX($P$34*($B132+$I$38-1),IF(AND($L$37=0,$P$34=0),"",$L$37-1)),MIN(CE$38,$E132),$P$20))-SUM($BF132:CD132))</f>
        <v>0</v>
      </c>
      <c r="CF132" s="446">
        <f>IF($E132=0,0,IF(MIN(CF$38,$E132)&lt;MAX($P$34*($B132+$I$38-1),IF(AND($L$37=0,$P$34=0),"",$L$37-1)),0,YEARFRAC(MAX($P$34*($B132+$I$38-1),IF(AND($L$37=0,$P$34=0),"",$L$37-1)),MIN(CF$38,$E132),$P$20))-SUM($BF132:CE132))</f>
        <v>0</v>
      </c>
      <c r="CG132" s="446">
        <f>IF($E132=0,0,IF(MIN(CG$38,$E132)&lt;MAX($P$34*($B132+$I$38-1),IF(AND($L$37=0,$P$34=0),"",$L$37-1)),0,YEARFRAC(MAX($P$34*($B132+$I$38-1),IF(AND($L$37=0,$P$34=0),"",$L$37-1)),MIN(CG$38,$E132),$P$20))-SUM($BF132:CF132))</f>
        <v>0</v>
      </c>
      <c r="CH132" s="446">
        <f>IF($E132=0,0,IF(MIN(CH$38,$E132)&lt;MAX($P$34*($B132+$I$38-1),IF(AND($L$37=0,$P$34=0),"",$L$37-1)),0,YEARFRAC(MAX($P$34*($B132+$I$38-1),IF(AND($L$37=0,$P$34=0),"",$L$37-1)),MIN(CH$38,$E132),$P$20))-SUM($BF132:CG132))</f>
        <v>0</v>
      </c>
      <c r="CI132" s="446">
        <f>IF($E132=0,0,IF(MIN(CI$38,$E132)&lt;MAX($P$34*($B132+$I$38-1),IF(AND($L$37=0,$P$34=0),"",$L$37-1)),0,YEARFRAC(MAX($P$34*($B132+$I$38-1),IF(AND($L$37=0,$P$34=0),"",$L$37-1)),MIN(CI$38,$E132),$P$20))-SUM($BF132:CH132))</f>
        <v>0</v>
      </c>
      <c r="CJ132" s="446">
        <f>IF($E132=0,0,IF(MIN(CJ$38,$E132)&lt;MAX($P$34*($B132+$I$38-1),IF(AND($L$37=0,$P$34=0),"",$L$37-1)),0,YEARFRAC(MAX($P$34*($B132+$I$38-1),IF(AND($L$37=0,$P$34=0),"",$L$37-1)),MIN(CJ$38,$E132),$P$20))-SUM($BF132:CI132))</f>
        <v>0</v>
      </c>
      <c r="CK132" s="446">
        <f>IF($E132=0,0,IF(MIN(CK$38,$E132)&lt;MAX($P$34*($B132+$I$38-1),IF(AND($L$37=0,$P$34=0),"",$L$37-1)),0,YEARFRAC(MAX($P$34*($B132+$I$38-1),IF(AND($L$37=0,$P$34=0),"",$L$37-1)),MIN(CK$38,$E132),$P$20))-SUM($BF132:CJ132))</f>
        <v>0</v>
      </c>
      <c r="CL132" s="446">
        <f>IF($E132=0,0,IF(MIN(CL$38,$E132)&lt;MAX($P$34*($B132+$I$38-1),IF(AND($L$37=0,$P$34=0),"",$L$37-1)),0,YEARFRAC(MAX($P$34*($B132+$I$38-1),IF(AND($L$37=0,$P$34=0),"",$L$37-1)),MIN(CL$38,$E132),$P$20))-SUM($BF132:CK132))</f>
        <v>0</v>
      </c>
      <c r="CM132" s="446">
        <f>IF($E132=0,0,IF(MIN(CM$38,$E132)&lt;MAX($P$34*($B132+$I$38-1),IF(AND($L$37=0,$P$34=0),"",$L$37-1)),0,YEARFRAC(MAX($P$34*($B132+$I$38-1),IF(AND($L$37=0,$P$34=0),"",$L$37-1)),MIN(CM$38,$E132),$P$20))-SUM($BF132:CL132))</f>
        <v>0</v>
      </c>
      <c r="CN132" s="446">
        <f>IF($E132=0,0,IF(MIN(CN$38,$E132)&lt;MAX($P$34*($B132+$I$38-1),IF(AND($L$37=0,$P$34=0),"",$L$37-1)),0,YEARFRAC(MAX($P$34*($B132+$I$38-1),IF(AND($L$37=0,$P$34=0),"",$L$37-1)),MIN(CN$38,$E132),$P$20))-SUM($BF132:CM132))</f>
        <v>0</v>
      </c>
      <c r="CO132" s="446">
        <f>IF($E132=0,0,IF(MIN(CO$38,$E132)&lt;MAX($P$34*($B132+$I$38-1),IF(AND($L$37=0,$P$34=0),"",$L$37-1)),0,YEARFRAC(MAX($P$34*($B132+$I$38-1),IF(AND($L$37=0,$P$34=0),"",$L$37-1)),MIN(CO$38,$E132),$P$20))-SUM($BF132:CN132))</f>
        <v>0</v>
      </c>
      <c r="CP132" s="446">
        <f>IF($E132=0,0,IF(MIN(CP$38,$E132)&lt;MAX($P$34*($B132+$I$38-1),IF(AND($L$37=0,$P$34=0),"",$L$37-1)),0,YEARFRAC(MAX($P$34*($B132+$I$38-1),IF(AND($L$37=0,$P$34=0),"",$L$37-1)),MIN(CP$38,$E132),$P$20))-SUM($BF132:CO132))</f>
        <v>0</v>
      </c>
      <c r="CQ132" s="446">
        <f>IF($E132=0,0,IF(MIN(CQ$38,$E132)&lt;MAX($P$34*($B132+$I$38-1),IF(AND($L$37=0,$P$34=0),"",$L$37-1)),0,YEARFRAC(MAX($P$34*($B132+$I$38-1),IF(AND($L$37=0,$P$34=0),"",$L$37-1)),MIN(CQ$38,$E132),$P$20))-SUM($BF132:CP132))</f>
        <v>0</v>
      </c>
    </row>
    <row r="133" spans="1:95" s="446" customFormat="1" ht="11.25" hidden="1" customHeight="1" x14ac:dyDescent="0.2">
      <c r="A133" s="152"/>
      <c r="B133" s="153" t="str">
        <f t="shared" si="26"/>
        <v/>
      </c>
      <c r="C133" s="29" t="str">
        <f>IF(B133="","",IF($L$35="SELIC - TRIBUTOS",VLOOKUP(DATE(YEAR($D$19),MONTH($D$19)-1,1),ÍNDICES!$A:$DE,HLOOKUP($BL$25,ÍNDICES!$B$3:$T$4,2)+11)-VLOOKUP(B133,ÍNDICES!$A:$DE,HLOOKUP($BL$25,ÍNDICES!$B$3:$T$4,2)+11)+1%,IF(C$38=$W$26,$J$35,IF(ISERROR(IF(B133&gt;$D$19,1,VLOOKUP(DATE(YEAR(B133),MONTH(B133)+IF($C$35=$S$23,1,0),1),ÍNDICES!$A:$DE,$Z$35+1))),"",IF(B133&gt;$D$19,1,VLOOKUP(DATE(YEAR(B133),MONTH(B133)+IF($C$35=$S$23,1,0),1),ÍNDICES!$A:$DE,$Z$35+1))))))</f>
        <v/>
      </c>
      <c r="D133" s="154" t="str">
        <f>IF(ISERROR(IF(OR($D$38=$Y$27,$B133=""),"",VLOOKUP(B133,ÍNDICES!A:DE,AF$35+1))),"",IF(OR($D$38=$Y$27,$B133=""),"",VLOOKUP(B133,ÍNDICES!A:DE,AF$35+1)))</f>
        <v/>
      </c>
      <c r="E133" s="153"/>
      <c r="F133" s="29" t="str">
        <f>IF(E133="","",IF($L$35="SELIC - TRIBUTOS",VLOOKUP(DATE(YEAR($D$19),MONTH($D$19)-1,1),ÍNDICES!$A:$DE,HLOOKUP($BL$25,ÍNDICES!$B$3:$T$4,2)+11)-VLOOKUP(E133,ÍNDICES!$A:$DE,HLOOKUP($BL$25,ÍNDICES!$B$3:$T$4,2)+11)+1%,IF(F$38=$W$26,$J$35,IF(ISERROR(IF(E133&gt;$D$19,1,VLOOKUP(DATE(YEAR(E133),MONTH(E133)+IF($C$35=$S$23,1,0),1),ÍNDICES!$A:$DE,$Z$35+1))),"",IF(E133&gt;$D$19,1,VLOOKUP(DATE(YEAR(E133),MONTH(E133)+IF($C$35=$S$23,1,0),1),ÍNDICES!$A:$DE,$Z$35+1))))))</f>
        <v/>
      </c>
      <c r="G133" s="155"/>
      <c r="H133" s="156" t="str">
        <f t="shared" si="22"/>
        <v/>
      </c>
      <c r="I133" s="29" t="str">
        <f t="shared" si="16"/>
        <v/>
      </c>
      <c r="J133" s="5">
        <f t="shared" si="17"/>
        <v>0</v>
      </c>
      <c r="K133" s="20">
        <f t="shared" ca="1" si="18"/>
        <v>0</v>
      </c>
      <c r="L133" s="5">
        <f t="shared" ca="1" si="19"/>
        <v>0</v>
      </c>
      <c r="M133" s="64">
        <f t="shared" si="23"/>
        <v>0</v>
      </c>
      <c r="N133" s="61">
        <f t="shared" ca="1" si="24"/>
        <v>0</v>
      </c>
      <c r="O133" s="5">
        <f t="shared" ca="1" si="25"/>
        <v>0</v>
      </c>
      <c r="P133" s="446" t="e">
        <f t="shared" si="20"/>
        <v>#VALUE!</v>
      </c>
      <c r="Q133" s="446" t="e">
        <f>IF(OR($B133="",MIN(Q$38,$D$19)&lt;MAX($P$34*($B133+IF($R$17="Distrato",$I$38-1,0)),IF(AND($L$37=0,$P$34=0),"",$L$37-1),IF($R$17="Distrato",$E133,0))),0,YEARFRAC(MAX($P$34*($B133+IF($R$17="Distrato",$I$38-1,0)),IF(AND($L$37=0,$P$34=0),"",$L$37-1),IF($R$17="Distrato",$E133,0)),MIN(Q$38,$D$19),$P$20))-SUM($P133:P133)</f>
        <v>#VALUE!</v>
      </c>
      <c r="R133" s="446" t="e">
        <f>IF(OR($B133="",MIN(R$38,$D$19)&lt;MAX($P$34*($B133+IF($R$17="Distrato",$I$38-1,0)),IF(AND($L$37=0,$P$34=0),"",$L$37-1),IF($R$17="Distrato",$E133,0))),0,YEARFRAC(MAX($P$34*($B133+IF($R$17="Distrato",$I$38-1,0)),IF(AND($L$37=0,$P$34=0),"",$L$37-1),IF($R$17="Distrato",$E133,0)),MIN(R$38,$D$19),$P$20))-SUM($P133:Q133)</f>
        <v>#VALUE!</v>
      </c>
      <c r="S133" s="446" t="e">
        <f>IF(OR($B133="",MIN(S$38,$D$19)&lt;MAX($P$34*($B133+IF($R$17="Distrato",$I$38-1,0)),IF(AND($L$37=0,$P$34=0),"",$L$37-1),IF($R$17="Distrato",$E133,0))),0,YEARFRAC(MAX($P$34*($B133+IF($R$17="Distrato",$I$38-1,0)),IF(AND($L$37=0,$P$34=0),"",$L$37-1),IF($R$17="Distrato",$E133,0)),MIN(S$38,$D$19),$P$20))-SUM($P133:R133)</f>
        <v>#VALUE!</v>
      </c>
      <c r="T133" s="446" t="e">
        <f>IF(OR($B133="",MIN(T$38,$D$19)&lt;MAX($P$34*($B133+IF($R$17="Distrato",$I$38-1,0)),IF(AND($L$37=0,$P$34=0),"",$L$37-1),IF($R$17="Distrato",$E133,0))),0,YEARFRAC(MAX($P$34*($B133+IF($R$17="Distrato",$I$38-1,0)),IF(AND($L$37=0,$P$34=0),"",$L$37-1),IF($R$17="Distrato",$E133,0)),MIN(T$38,$D$19),$P$20))-SUM($P133:S133)</f>
        <v>#VALUE!</v>
      </c>
      <c r="U133" s="446" t="e">
        <f>IF(OR($B133="",MIN(U$38,$D$19)&lt;MAX($P$34*($B133+IF($R$17="Distrato",$I$38-1,0)),IF(AND($L$37=0,$P$34=0),"",$L$37-1),IF($R$17="Distrato",$E133,0))),0,YEARFRAC(MAX($P$34*($B133+IF($R$17="Distrato",$I$38-1,0)),IF(AND($L$37=0,$P$34=0),"",$L$37-1),IF($R$17="Distrato",$E133,0)),MIN(U$38,$D$19),$P$20))-SUM($P133:T133)</f>
        <v>#VALUE!</v>
      </c>
      <c r="V133" s="446" t="e">
        <f>IF(OR($B133="",MIN(V$38,$D$19)&lt;MAX($P$34*($B133+IF($R$17="Distrato",$I$38-1,0)),IF(AND($L$37=0,$P$34=0),"",$L$37-1),IF($R$17="Distrato",$E133,0))),0,YEARFRAC(MAX($P$34*($B133+IF($R$17="Distrato",$I$38-1,0)),IF(AND($L$37=0,$P$34=0),"",$L$37-1),IF($R$17="Distrato",$E133,0)),MIN(V$38,$D$19),$P$20))-SUM($P133:U133)</f>
        <v>#VALUE!</v>
      </c>
      <c r="W133" s="446" t="e">
        <f>IF(OR($B133="",MIN(W$38,$D$19)&lt;MAX($P$34*($B133+IF($R$17="Distrato",$I$38-1,0)),IF(AND($L$37=0,$P$34=0),"",$L$37-1),IF($R$17="Distrato",$E133,0))),0,YEARFRAC(MAX($P$34*($B133+IF($R$17="Distrato",$I$38-1,0)),IF(AND($L$37=0,$P$34=0),"",$L$37-1),IF($R$17="Distrato",$E133,0)),MIN(W$38,$D$19),$P$20))-SUM($P133:V133)</f>
        <v>#VALUE!</v>
      </c>
      <c r="X133" s="446" t="e">
        <f>IF(OR($B133="",MIN(X$38,$D$19)&lt;MAX($P$34*($B133+IF($R$17="Distrato",$I$38-1,0)),IF(AND($L$37=0,$P$34=0),"",$L$37-1),IF($R$17="Distrato",$E133,0))),0,YEARFRAC(MAX($P$34*($B133+IF($R$17="Distrato",$I$38-1,0)),IF(AND($L$37=0,$P$34=0),"",$L$37-1),IF($R$17="Distrato",$E133,0)),MIN(X$38,$D$19),$P$20))-SUM($P133:W133)</f>
        <v>#VALUE!</v>
      </c>
      <c r="Y133" s="446" t="e">
        <f>IF(OR($B133="",MIN(Y$38,$D$19)&lt;MAX($P$34*($B133+IF($R$17="Distrato",$I$38-1,0)),IF(AND($L$37=0,$P$34=0),"",$L$37-1),IF($R$17="Distrato",$E133,0))),0,YEARFRAC(MAX($P$34*($B133+IF($R$17="Distrato",$I$38-1,0)),IF(AND($L$37=0,$P$34=0),"",$L$37-1),IF($R$17="Distrato",$E133,0)),MIN(Y$38,$D$19),$P$20))-SUM($P133:X133)</f>
        <v>#VALUE!</v>
      </c>
      <c r="Z133" s="446" t="e">
        <f>IF(OR($B133="",MIN(Z$38,$D$19)&lt;MAX($P$34*($B133+IF($R$17="Distrato",$I$38-1,0)),IF(AND($L$37=0,$P$34=0),"",$L$37-1),IF($R$17="Distrato",$E133,0))),0,YEARFRAC(MAX($P$34*($B133+IF($R$17="Distrato",$I$38-1,0)),IF(AND($L$37=0,$P$34=0),"",$L$37-1),IF($R$17="Distrato",$E133,0)),MIN(Z$38,$D$19),$P$20))-SUM($P133:Y133)</f>
        <v>#VALUE!</v>
      </c>
      <c r="AA133" s="446" t="e">
        <f>IF(OR($B133="",MIN(AA$38,$D$19)&lt;MAX($P$34*($B133+IF($R$17="Distrato",$I$38-1,0)),IF(AND($L$37=0,$P$34=0),"",$L$37-1),IF($R$17="Distrato",$E133,0))),0,YEARFRAC(MAX($P$34*($B133+IF($R$17="Distrato",$I$38-1,0)),IF(AND($L$37=0,$P$34=0),"",$L$37-1),IF($R$17="Distrato",$E133,0)),MIN(AA$38,$D$19),$P$20))-SUM($P133:Z133)</f>
        <v>#VALUE!</v>
      </c>
      <c r="AB133" s="446" t="e">
        <f>IF(OR($B133="",MIN(AB$38,$D$19)&lt;MAX($P$34*($B133+IF($R$17="Distrato",$I$38-1,0)),IF(AND($L$37=0,$P$34=0),"",$L$37-1),IF($R$17="Distrato",$E133,0))),0,YEARFRAC(MAX($P$34*($B133+IF($R$17="Distrato",$I$38-1,0)),IF(AND($L$37=0,$P$34=0),"",$L$37-1),IF($R$17="Distrato",$E133,0)),MIN(AB$38,$D$19),$P$20))-SUM($P133:AA133)</f>
        <v>#VALUE!</v>
      </c>
      <c r="AC133" s="446" t="e">
        <f>IF(OR($B133="",MIN(AC$38,$D$19)&lt;MAX($P$34*($B133+IF($R$17="Distrato",$I$38-1,0)),IF(AND($L$37=0,$P$34=0),"",$L$37-1),IF($R$17="Distrato",$E133,0))),0,YEARFRAC(MAX($P$34*($B133+IF($R$17="Distrato",$I$38-1,0)),IF(AND($L$37=0,$P$34=0),"",$L$37-1),IF($R$17="Distrato",$E133,0)),MIN(AC$38,$D$19),$P$20))-SUM($P133:AB133)</f>
        <v>#VALUE!</v>
      </c>
      <c r="AD133" s="446" t="e">
        <f>IF(OR($B133="",MIN(AD$38,$D$19)&lt;MAX($P$34*($B133+IF($R$17="Distrato",$I$38-1,0)),IF(AND($L$37=0,$P$34=0),"",$L$37-1),IF($R$17="Distrato",$E133,0))),0,YEARFRAC(MAX($P$34*($B133+IF($R$17="Distrato",$I$38-1,0)),IF(AND($L$37=0,$P$34=0),"",$L$37-1),IF($R$17="Distrato",$E133,0)),MIN(AD$38,$D$19),$P$20))-SUM($P133:AC133)</f>
        <v>#VALUE!</v>
      </c>
      <c r="AE133" s="446" t="e">
        <f>IF(OR($B133="",MIN(AE$38,$D$19)&lt;MAX($P$34*($B133+IF($R$17="Distrato",$I$38-1,0)),IF(AND($L$37=0,$P$34=0),"",$L$37-1),IF($R$17="Distrato",$E133,0))),0,YEARFRAC(MAX($P$34*($B133+IF($R$17="Distrato",$I$38-1,0)),IF(AND($L$37=0,$P$34=0),"",$L$37-1),IF($R$17="Distrato",$E133,0)),MIN(AE$38,$D$19),$P$20))-SUM($P133:AD133)</f>
        <v>#VALUE!</v>
      </c>
      <c r="AF133" s="446" t="e">
        <f>IF(OR($B133="",MIN(AF$38,$D$19)&lt;MAX($P$34*($B133+IF($R$17="Distrato",$I$38-1,0)),IF(AND($L$37=0,$P$34=0),"",$L$37-1),IF($R$17="Distrato",$E133,0))),0,YEARFRAC(MAX($P$34*($B133+IF($R$17="Distrato",$I$38-1,0)),IF(AND($L$37=0,$P$34=0),"",$L$37-1),IF($R$17="Distrato",$E133,0)),MIN(AF$38,$D$19),$P$20))-SUM($P133:AE133)</f>
        <v>#VALUE!</v>
      </c>
      <c r="AG133" s="446" t="e">
        <f>IF(OR($B133="",MIN(AG$38,$D$19)&lt;MAX($P$34*($B133+IF($R$17="Distrato",$I$38-1,0)),IF(AND($L$37=0,$P$34=0),"",$L$37-1),IF($R$17="Distrato",$E133,0))),0,YEARFRAC(MAX($P$34*($B133+IF($R$17="Distrato",$I$38-1,0)),IF(AND($L$37=0,$P$34=0),"",$L$37-1),IF($R$17="Distrato",$E133,0)),MIN(AG$38,$D$19),$P$20))-SUM($P133:AF133)</f>
        <v>#VALUE!</v>
      </c>
      <c r="AH133" s="446" t="e">
        <f>IF(OR($B133="",MIN(AH$38,$D$19)&lt;MAX($P$34*($B133+IF($R$17="Distrato",$I$38-1,0)),IF(AND($L$37=0,$P$34=0),"",$L$37-1),IF($R$17="Distrato",$E133,0))),0,YEARFRAC(MAX($P$34*($B133+IF($R$17="Distrato",$I$38-1,0)),IF(AND($L$37=0,$P$34=0),"",$L$37-1),IF($R$17="Distrato",$E133,0)),MIN(AH$38,$D$19),$P$20))-SUM($P133:AG133)</f>
        <v>#VALUE!</v>
      </c>
      <c r="AI133" s="446" t="e">
        <f>IF(OR($B133="",MIN(AI$38,$D$19)&lt;MAX($P$34*($B133+IF($R$17="Distrato",$I$38-1,0)),IF(AND($L$37=0,$P$34=0),"",$L$37-1),IF($R$17="Distrato",$E133,0))),0,YEARFRAC(MAX($P$34*($B133+IF($R$17="Distrato",$I$38-1,0)),IF(AND($L$37=0,$P$34=0),"",$L$37-1),IF($R$17="Distrato",$E133,0)),MIN(AI$38,$D$19),$P$20))-SUM($P133:AH133)</f>
        <v>#VALUE!</v>
      </c>
      <c r="AJ133" s="446" t="e">
        <f>IF(OR($B133="",MIN(AJ$38,$D$19)&lt;MAX($P$34*($B133+IF($R$17="Distrato",$I$38-1,0)),IF(AND($L$37=0,$P$34=0),"",$L$37-1),IF($R$17="Distrato",$E133,0))),0,YEARFRAC(MAX($P$34*($B133+IF($R$17="Distrato",$I$38-1,0)),IF(AND($L$37=0,$P$34=0),"",$L$37-1),IF($R$17="Distrato",$E133,0)),MIN(AJ$38,$D$19),$P$20))-SUM($P133:AI133)</f>
        <v>#VALUE!</v>
      </c>
      <c r="AK133" s="446" t="e">
        <f>IF(OR($B133="",MIN(AK$38,$D$19)&lt;MAX($P$34*($B133+IF($R$17="Distrato",$I$38-1,0)),IF(AND($L$37=0,$P$34=0),"",$L$37-1),IF($R$17="Distrato",$E133,0))),0,YEARFRAC(MAX($P$34*($B133+IF($R$17="Distrato",$I$38-1,0)),IF(AND($L$37=0,$P$34=0),"",$L$37-1),IF($R$17="Distrato",$E133,0)),MIN(AK$38,$D$19),$P$20))-SUM($P133:AJ133)</f>
        <v>#VALUE!</v>
      </c>
      <c r="AL133" s="446" t="e">
        <f>IF(OR($B133="",MIN(AL$38,$D$19)&lt;MAX($P$34*($B133+IF($R$17="Distrato",$I$38-1,0)),IF(AND($L$37=0,$P$34=0),"",$L$37-1),IF($R$17="Distrato",$E133,0))),0,YEARFRAC(MAX($P$34*($B133+IF($R$17="Distrato",$I$38-1,0)),IF(AND($L$37=0,$P$34=0),"",$L$37-1),IF($R$17="Distrato",$E133,0)),MIN(AL$38,$D$19),$P$20))-SUM($P133:AK133)</f>
        <v>#VALUE!</v>
      </c>
      <c r="AM133" s="446" t="e">
        <f>IF(OR($B133="",MIN(AM$38,$D$19)&lt;MAX($P$34*($B133+IF($R$17="Distrato",$I$38-1,0)),IF(AND($L$37=0,$P$34=0),"",$L$37-1),IF($R$17="Distrato",$E133,0))),0,YEARFRAC(MAX($P$34*($B133+IF($R$17="Distrato",$I$38-1,0)),IF(AND($L$37=0,$P$34=0),"",$L$37-1),IF($R$17="Distrato",$E133,0)),MIN(AM$38,$D$19),$P$20))-SUM($P133:AL133)</f>
        <v>#VALUE!</v>
      </c>
      <c r="AN133" s="446" t="e">
        <f>IF(OR($B133="",MIN(AN$38,$D$19)&lt;MAX($P$34*($B133+IF($R$17="Distrato",$I$38-1,0)),IF(AND($L$37=0,$P$34=0),"",$L$37-1),IF($R$17="Distrato",$E133,0))),0,YEARFRAC(MAX($P$34*($B133+IF($R$17="Distrato",$I$38-1,0)),IF(AND($L$37=0,$P$34=0),"",$L$37-1),IF($R$17="Distrato",$E133,0)),MIN(AN$38,$D$19),$P$20))-SUM($P133:AM133)</f>
        <v>#VALUE!</v>
      </c>
      <c r="AO133" s="446" t="e">
        <f>IF(OR($B133="",MIN(AO$38,$D$19)&lt;MAX($P$34*($B133+IF($R$17="Distrato",$I$38-1,0)),IF(AND($L$37=0,$P$34=0),"",$L$37-1),IF($R$17="Distrato",$E133,0))),0,YEARFRAC(MAX($P$34*($B133+IF($R$17="Distrato",$I$38-1,0)),IF(AND($L$37=0,$P$34=0),"",$L$37-1),IF($R$17="Distrato",$E133,0)),MIN(AO$38,$D$19),$P$20))-SUM($P133:AN133)</f>
        <v>#VALUE!</v>
      </c>
      <c r="AP133" s="446" t="e">
        <f>IF(OR($B133="",MIN(AP$38,$D$19)&lt;MAX($P$34*($B133+IF($R$17="Distrato",$I$38-1,0)),IF(AND($L$37=0,$P$34=0),"",$L$37-1),IF($R$17="Distrato",$E133,0))),0,YEARFRAC(MAX($P$34*($B133+IF($R$17="Distrato",$I$38-1,0)),IF(AND($L$37=0,$P$34=0),"",$L$37-1),IF($R$17="Distrato",$E133,0)),MIN(AP$38,$D$19),$P$20))-SUM($P133:AO133)</f>
        <v>#VALUE!</v>
      </c>
      <c r="AQ133" s="446" t="e">
        <f>IF(OR($B133="",MIN(AQ$38,$D$19)&lt;MAX($P$34*($B133+IF($R$17="Distrato",$I$38-1,0)),IF(AND($L$37=0,$P$34=0),"",$L$37-1),IF($R$17="Distrato",$E133,0))),0,YEARFRAC(MAX($P$34*($B133+IF($R$17="Distrato",$I$38-1,0)),IF(AND($L$37=0,$P$34=0),"",$L$37-1),IF($R$17="Distrato",$E133,0)),MIN(AQ$38,$D$19),$P$20))-SUM($P133:AP133)</f>
        <v>#VALUE!</v>
      </c>
      <c r="AR133" s="446" t="e">
        <f>IF(OR($B133="",MIN(AR$38,$D$19)&lt;MAX($P$34*($B133+IF($R$17="Distrato",$I$38-1,0)),IF(AND($L$37=0,$P$34=0),"",$L$37-1),IF($R$17="Distrato",$E133,0))),0,YEARFRAC(MAX($P$34*($B133+IF($R$17="Distrato",$I$38-1,0)),IF(AND($L$37=0,$P$34=0),"",$L$37-1),IF($R$17="Distrato",$E133,0)),MIN(AR$38,$D$19),$P$20))-SUM($P133:AQ133)</f>
        <v>#VALUE!</v>
      </c>
      <c r="AS133" s="446" t="e">
        <f>IF(OR($B133="",MIN(AS$38,$D$19)&lt;MAX($P$34*($B133+IF($R$17="Distrato",$I$38-1,0)),IF(AND($L$37=0,$P$34=0),"",$L$37-1),IF($R$17="Distrato",$E133,0))),0,YEARFRAC(MAX($P$34*($B133+IF($R$17="Distrato",$I$38-1,0)),IF(AND($L$37=0,$P$34=0),"",$L$37-1),IF($R$17="Distrato",$E133,0)),MIN(AS$38,$D$19),$P$20))-SUM($P133:AR133)</f>
        <v>#VALUE!</v>
      </c>
      <c r="AT133" s="446" t="e">
        <f>IF(OR($B133="",MIN(AT$38,$D$19)&lt;MAX($P$34*($B133+IF($R$17="Distrato",$I$38-1,0)),IF(AND($L$37=0,$P$34=0),"",$L$37-1),IF($R$17="Distrato",$E133,0))),0,YEARFRAC(MAX($P$34*($B133+IF($R$17="Distrato",$I$38-1,0)),IF(AND($L$37=0,$P$34=0),"",$L$37-1),IF($R$17="Distrato",$E133,0)),MIN(AT$38,$D$19),$P$20))-SUM($P133:AS133)</f>
        <v>#VALUE!</v>
      </c>
      <c r="AU133" s="446" t="e">
        <f>IF(OR($B133="",MIN(AU$38,$D$19)&lt;MAX($P$34*($B133+IF($R$17="Distrato",$I$38-1,0)),IF(AND($L$37=0,$P$34=0),"",$L$37-1),IF($R$17="Distrato",$E133,0))),0,YEARFRAC(MAX($P$34*($B133+IF($R$17="Distrato",$I$38-1,0)),IF(AND($L$37=0,$P$34=0),"",$L$37-1),IF($R$17="Distrato",$E133,0)),MIN(AU$38,$D$19),$P$20))-SUM($P133:AT133)</f>
        <v>#VALUE!</v>
      </c>
      <c r="AV133" s="446" t="e">
        <f>IF(OR($B133="",MIN(AV$38,$D$19)&lt;MAX($P$34*($B133+IF($R$17="Distrato",$I$38-1,0)),IF(AND($L$37=0,$P$34=0),"",$L$37-1),IF($R$17="Distrato",$E133,0))),0,YEARFRAC(MAX($P$34*($B133+IF($R$17="Distrato",$I$38-1,0)),IF(AND($L$37=0,$P$34=0),"",$L$37-1),IF($R$17="Distrato",$E133,0)),MIN(AV$38,$D$19),$P$20))-SUM($P133:AU133)</f>
        <v>#VALUE!</v>
      </c>
      <c r="AW133" s="446" t="e">
        <f>IF(OR($B133="",MIN(AW$38,$D$19)&lt;MAX($P$34*($B133+IF($R$17="Distrato",$I$38-1,0)),IF(AND($L$37=0,$P$34=0),"",$L$37-1),IF($R$17="Distrato",$E133,0))),0,YEARFRAC(MAX($P$34*($B133+IF($R$17="Distrato",$I$38-1,0)),IF(AND($L$37=0,$P$34=0),"",$L$37-1),IF($R$17="Distrato",$E133,0)),MIN(AW$38,$D$19),$P$20))-SUM($P133:AV133)</f>
        <v>#VALUE!</v>
      </c>
      <c r="AX133" s="446" t="e">
        <f>IF(OR($B133="",MIN(AX$38,$D$19)&lt;MAX($P$34*($B133+IF($R$17="Distrato",$I$38-1,0)),IF(AND($L$37=0,$P$34=0),"",$L$37-1),IF($R$17="Distrato",$E133,0))),0,YEARFRAC(MAX($P$34*($B133+IF($R$17="Distrato",$I$38-1,0)),IF(AND($L$37=0,$P$34=0),"",$L$37-1),IF($R$17="Distrato",$E133,0)),MIN(AX$38,$D$19),$P$20))-SUM($P133:AW133)</f>
        <v>#VALUE!</v>
      </c>
      <c r="AY133" s="446" t="e">
        <f>IF(OR($B133="",MIN(AY$38,$D$19)&lt;MAX($P$34*($B133+IF($R$17="Distrato",$I$38-1,0)),IF(AND($L$37=0,$P$34=0),"",$L$37-1),IF($R$17="Distrato",$E133,0))),0,YEARFRAC(MAX($P$34*($B133+IF($R$17="Distrato",$I$38-1,0)),IF(AND($L$37=0,$P$34=0),"",$L$37-1),IF($R$17="Distrato",$E133,0)),MIN(AY$38,$D$19),$P$20))-SUM($P133:AX133)</f>
        <v>#VALUE!</v>
      </c>
      <c r="AZ133" s="446" t="e">
        <f>IF(OR($B133="",MIN(AZ$38,$D$19)&lt;MAX($P$34*($B133+IF($R$17="Distrato",$I$38-1,0)),IF(AND($L$37=0,$P$34=0),"",$L$37-1),IF($R$17="Distrato",$E133,0))),0,YEARFRAC(MAX($P$34*($B133+IF($R$17="Distrato",$I$38-1,0)),IF(AND($L$37=0,$P$34=0),"",$L$37-1),IF($R$17="Distrato",$E133,0)),MIN(AZ$38,$D$19),$P$20))-SUM($P133:AY133)</f>
        <v>#VALUE!</v>
      </c>
      <c r="BA133" s="446" t="e">
        <f>IF(OR($B133="",MIN(BA$38,$D$19)&lt;MAX($P$34*($B133+IF($R$17="Distrato",$I$38-1,0)),IF(AND($L$37=0,$P$34=0),"",$L$37-1),IF($R$17="Distrato",$E133,0))),0,YEARFRAC(MAX($P$34*($B133+IF($R$17="Distrato",$I$38-1,0)),IF(AND($L$37=0,$P$34=0),"",$L$37-1),IF($R$17="Distrato",$E133,0)),MIN(BA$38,$D$19),$P$20))-SUM($P133:AZ133)</f>
        <v>#VALUE!</v>
      </c>
      <c r="BB133" s="447"/>
      <c r="BF133" s="446">
        <f t="shared" si="21"/>
        <v>0</v>
      </c>
      <c r="BG133" s="446">
        <f>IF($E133=0,0,IF(MIN(BG$38,$E133)&lt;MAX($P$34*($B133+$I$38-1),IF(AND($L$37=0,$P$34=0),"",$L$37-1)),0,YEARFRAC(MAX($P$34*($B133+$I$38-1),IF(AND($L$37=0,$P$34=0),"",$L$37-1)),MIN(BG$38,$E133),$P$20))-SUM($BF133:BF133))</f>
        <v>0</v>
      </c>
      <c r="BH133" s="446">
        <f>IF($E133=0,0,IF(MIN(BH$38,$E133)&lt;MAX($P$34*($B133+$I$38-1),IF(AND($L$37=0,$P$34=0),"",$L$37-1)),0,YEARFRAC(MAX($P$34*($B133+$I$38-1),IF(AND($L$37=0,$P$34=0),"",$L$37-1)),MIN(BH$38,$E133),$P$20))-SUM($BF133:BG133))</f>
        <v>0</v>
      </c>
      <c r="BI133" s="446">
        <f>IF($E133=0,0,IF(MIN(BI$38,$E133)&lt;MAX($P$34*($B133+$I$38-1),IF(AND($L$37=0,$P$34=0),"",$L$37-1)),0,YEARFRAC(MAX($P$34*($B133+$I$38-1),IF(AND($L$37=0,$P$34=0),"",$L$37-1)),MIN(BI$38,$E133),$P$20))-SUM($BF133:BH133))</f>
        <v>0</v>
      </c>
      <c r="BJ133" s="446">
        <f>IF($E133=0,0,IF(MIN(BJ$38,$E133)&lt;MAX($P$34*($B133+$I$38-1),IF(AND($L$37=0,$P$34=0),"",$L$37-1)),0,YEARFRAC(MAX($P$34*($B133+$I$38-1),IF(AND($L$37=0,$P$34=0),"",$L$37-1)),MIN(BJ$38,$E133),$P$20))-SUM($BF133:BI133))</f>
        <v>0</v>
      </c>
      <c r="BK133" s="446">
        <f>IF($E133=0,0,IF(MIN(BK$38,$E133)&lt;MAX($P$34*($B133+$I$38-1),IF(AND($L$37=0,$P$34=0),"",$L$37-1)),0,YEARFRAC(MAX($P$34*($B133+$I$38-1),IF(AND($L$37=0,$P$34=0),"",$L$37-1)),MIN(BK$38,$E133),$P$20))-SUM($BF133:BJ133))</f>
        <v>0</v>
      </c>
      <c r="BL133" s="446">
        <f>IF($E133=0,0,IF(MIN(BL$38,$E133)&lt;MAX($P$34*($B133+$I$38-1),IF(AND($L$37=0,$P$34=0),"",$L$37-1)),0,YEARFRAC(MAX($P$34*($B133+$I$38-1),IF(AND($L$37=0,$P$34=0),"",$L$37-1)),MIN(BL$38,$E133),$P$20))-SUM($BF133:BK133))</f>
        <v>0</v>
      </c>
      <c r="BM133" s="446">
        <f>IF($E133=0,0,IF(MIN(BM$38,$E133)&lt;MAX($P$34*($B133+$I$38-1),IF(AND($L$37=0,$P$34=0),"",$L$37-1)),0,YEARFRAC(MAX($P$34*($B133+$I$38-1),IF(AND($L$37=0,$P$34=0),"",$L$37-1)),MIN(BM$38,$E133),$P$20))-SUM($BF133:BL133))</f>
        <v>0</v>
      </c>
      <c r="BN133" s="446">
        <f>IF($E133=0,0,IF(MIN(BN$38,$E133)&lt;MAX($P$34*($B133+$I$38-1),IF(AND($L$37=0,$P$34=0),"",$L$37-1)),0,YEARFRAC(MAX($P$34*($B133+$I$38-1),IF(AND($L$37=0,$P$34=0),"",$L$37-1)),MIN(BN$38,$E133),$P$20))-SUM($BF133:BM133))</f>
        <v>0</v>
      </c>
      <c r="BO133" s="446">
        <f>IF($E133=0,0,IF(MIN(BO$38,$E133)&lt;MAX($P$34*($B133+$I$38-1),IF(AND($L$37=0,$P$34=0),"",$L$37-1)),0,YEARFRAC(MAX($P$34*($B133+$I$38-1),IF(AND($L$37=0,$P$34=0),"",$L$37-1)),MIN(BO$38,$E133),$P$20))-SUM($BF133:BN133))</f>
        <v>0</v>
      </c>
      <c r="BP133" s="446">
        <f>IF($E133=0,0,IF(MIN(BP$38,$E133)&lt;MAX($P$34*($B133+$I$38-1),IF(AND($L$37=0,$P$34=0),"",$L$37-1)),0,YEARFRAC(MAX($P$34*($B133+$I$38-1),IF(AND($L$37=0,$P$34=0),"",$L$37-1)),MIN(BP$38,$E133),$P$20))-SUM($BF133:BO133))</f>
        <v>0</v>
      </c>
      <c r="BQ133" s="446">
        <f>IF($E133=0,0,IF(MIN(BQ$38,$E133)&lt;MAX($P$34*($B133+$I$38-1),IF(AND($L$37=0,$P$34=0),"",$L$37-1)),0,YEARFRAC(MAX($P$34*($B133+$I$38-1),IF(AND($L$37=0,$P$34=0),"",$L$37-1)),MIN(BQ$38,$E133),$P$20))-SUM($BF133:BP133))</f>
        <v>0</v>
      </c>
      <c r="BR133" s="446">
        <f>IF($E133=0,0,IF(MIN(BR$38,$E133)&lt;MAX($P$34*($B133+$I$38-1),IF(AND($L$37=0,$P$34=0),"",$L$37-1)),0,YEARFRAC(MAX($P$34*($B133+$I$38-1),IF(AND($L$37=0,$P$34=0),"",$L$37-1)),MIN(BR$38,$E133),$P$20))-SUM($BF133:BQ133))</f>
        <v>0</v>
      </c>
      <c r="BS133" s="446">
        <f>IF($E133=0,0,IF(MIN(BS$38,$E133)&lt;MAX($P$34*($B133+$I$38-1),IF(AND($L$37=0,$P$34=0),"",$L$37-1)),0,YEARFRAC(MAX($P$34*($B133+$I$38-1),IF(AND($L$37=0,$P$34=0),"",$L$37-1)),MIN(BS$38,$E133),$P$20))-SUM($BF133:BR133))</f>
        <v>0</v>
      </c>
      <c r="BT133" s="446">
        <f>IF($E133=0,0,IF(MIN(BT$38,$E133)&lt;MAX($P$34*($B133+$I$38-1),IF(AND($L$37=0,$P$34=0),"",$L$37-1)),0,YEARFRAC(MAX($P$34*($B133+$I$38-1),IF(AND($L$37=0,$P$34=0),"",$L$37-1)),MIN(BT$38,$E133),$P$20))-SUM($BF133:BS133))</f>
        <v>0</v>
      </c>
      <c r="BU133" s="446">
        <f>IF($E133=0,0,IF(MIN(BU$38,$E133)&lt;MAX($P$34*($B133+$I$38-1),IF(AND($L$37=0,$P$34=0),"",$L$37-1)),0,YEARFRAC(MAX($P$34*($B133+$I$38-1),IF(AND($L$37=0,$P$34=0),"",$L$37-1)),MIN(BU$38,$E133),$P$20))-SUM($BF133:BT133))</f>
        <v>0</v>
      </c>
      <c r="BV133" s="446">
        <f>IF($E133=0,0,IF(MIN(BV$38,$E133)&lt;MAX($P$34*($B133+$I$38-1),IF(AND($L$37=0,$P$34=0),"",$L$37-1)),0,YEARFRAC(MAX($P$34*($B133+$I$38-1),IF(AND($L$37=0,$P$34=0),"",$L$37-1)),MIN(BV$38,$E133),$P$20))-SUM($BF133:BU133))</f>
        <v>0</v>
      </c>
      <c r="BW133" s="446">
        <f>IF($E133=0,0,IF(MIN(BW$38,$E133)&lt;MAX($P$34*($B133+$I$38-1),IF(AND($L$37=0,$P$34=0),"",$L$37-1)),0,YEARFRAC(MAX($P$34*($B133+$I$38-1),IF(AND($L$37=0,$P$34=0),"",$L$37-1)),MIN(BW$38,$E133),$P$20))-SUM($BF133:BV133))</f>
        <v>0</v>
      </c>
      <c r="BX133" s="446">
        <f>IF($E133=0,0,IF(MIN(BX$38,$E133)&lt;MAX($P$34*($B133+$I$38-1),IF(AND($L$37=0,$P$34=0),"",$L$37-1)),0,YEARFRAC(MAX($P$34*($B133+$I$38-1),IF(AND($L$37=0,$P$34=0),"",$L$37-1)),MIN(BX$38,$E133),$P$20))-SUM($BF133:BW133))</f>
        <v>0</v>
      </c>
      <c r="BY133" s="446">
        <f>IF($E133=0,0,IF(MIN(BY$38,$E133)&lt;MAX($P$34*($B133+$I$38-1),IF(AND($L$37=0,$P$34=0),"",$L$37-1)),0,YEARFRAC(MAX($P$34*($B133+$I$38-1),IF(AND($L$37=0,$P$34=0),"",$L$37-1)),MIN(BY$38,$E133),$P$20))-SUM($BF133:BX133))</f>
        <v>0</v>
      </c>
      <c r="BZ133" s="446">
        <f>IF($E133=0,0,IF(MIN(BZ$38,$E133)&lt;MAX($P$34*($B133+$I$38-1),IF(AND($L$37=0,$P$34=0),"",$L$37-1)),0,YEARFRAC(MAX($P$34*($B133+$I$38-1),IF(AND($L$37=0,$P$34=0),"",$L$37-1)),MIN(BZ$38,$E133),$P$20))-SUM($BF133:BY133))</f>
        <v>0</v>
      </c>
      <c r="CA133" s="446">
        <f>IF($E133=0,0,IF(MIN(CA$38,$E133)&lt;MAX($P$34*($B133+$I$38-1),IF(AND($L$37=0,$P$34=0),"",$L$37-1)),0,YEARFRAC(MAX($P$34*($B133+$I$38-1),IF(AND($L$37=0,$P$34=0),"",$L$37-1)),MIN(CA$38,$E133),$P$20))-SUM($BF133:BZ133))</f>
        <v>0</v>
      </c>
      <c r="CB133" s="446">
        <f>IF($E133=0,0,IF(MIN(CB$38,$E133)&lt;MAX($P$34*($B133+$I$38-1),IF(AND($L$37=0,$P$34=0),"",$L$37-1)),0,YEARFRAC(MAX($P$34*($B133+$I$38-1),IF(AND($L$37=0,$P$34=0),"",$L$37-1)),MIN(CB$38,$E133),$P$20))-SUM($BF133:CA133))</f>
        <v>0</v>
      </c>
      <c r="CC133" s="446">
        <f>IF($E133=0,0,IF(MIN(CC$38,$E133)&lt;MAX($P$34*($B133+$I$38-1),IF(AND($L$37=0,$P$34=0),"",$L$37-1)),0,YEARFRAC(MAX($P$34*($B133+$I$38-1),IF(AND($L$37=0,$P$34=0),"",$L$37-1)),MIN(CC$38,$E133),$P$20))-SUM($BF133:CB133))</f>
        <v>0</v>
      </c>
      <c r="CD133" s="446">
        <f>IF($E133=0,0,IF(MIN(CD$38,$E133)&lt;MAX($P$34*($B133+$I$38-1),IF(AND($L$37=0,$P$34=0),"",$L$37-1)),0,YEARFRAC(MAX($P$34*($B133+$I$38-1),IF(AND($L$37=0,$P$34=0),"",$L$37-1)),MIN(CD$38,$E133),$P$20))-SUM($BF133:CC133))</f>
        <v>0</v>
      </c>
      <c r="CE133" s="446">
        <f>IF($E133=0,0,IF(MIN(CE$38,$E133)&lt;MAX($P$34*($B133+$I$38-1),IF(AND($L$37=0,$P$34=0),"",$L$37-1)),0,YEARFRAC(MAX($P$34*($B133+$I$38-1),IF(AND($L$37=0,$P$34=0),"",$L$37-1)),MIN(CE$38,$E133),$P$20))-SUM($BF133:CD133))</f>
        <v>0</v>
      </c>
      <c r="CF133" s="446">
        <f>IF($E133=0,0,IF(MIN(CF$38,$E133)&lt;MAX($P$34*($B133+$I$38-1),IF(AND($L$37=0,$P$34=0),"",$L$37-1)),0,YEARFRAC(MAX($P$34*($B133+$I$38-1),IF(AND($L$37=0,$P$34=0),"",$L$37-1)),MIN(CF$38,$E133),$P$20))-SUM($BF133:CE133))</f>
        <v>0</v>
      </c>
      <c r="CG133" s="446">
        <f>IF($E133=0,0,IF(MIN(CG$38,$E133)&lt;MAX($P$34*($B133+$I$38-1),IF(AND($L$37=0,$P$34=0),"",$L$37-1)),0,YEARFRAC(MAX($P$34*($B133+$I$38-1),IF(AND($L$37=0,$P$34=0),"",$L$37-1)),MIN(CG$38,$E133),$P$20))-SUM($BF133:CF133))</f>
        <v>0</v>
      </c>
      <c r="CH133" s="446">
        <f>IF($E133=0,0,IF(MIN(CH$38,$E133)&lt;MAX($P$34*($B133+$I$38-1),IF(AND($L$37=0,$P$34=0),"",$L$37-1)),0,YEARFRAC(MAX($P$34*($B133+$I$38-1),IF(AND($L$37=0,$P$34=0),"",$L$37-1)),MIN(CH$38,$E133),$P$20))-SUM($BF133:CG133))</f>
        <v>0</v>
      </c>
      <c r="CI133" s="446">
        <f>IF($E133=0,0,IF(MIN(CI$38,$E133)&lt;MAX($P$34*($B133+$I$38-1),IF(AND($L$37=0,$P$34=0),"",$L$37-1)),0,YEARFRAC(MAX($P$34*($B133+$I$38-1),IF(AND($L$37=0,$P$34=0),"",$L$37-1)),MIN(CI$38,$E133),$P$20))-SUM($BF133:CH133))</f>
        <v>0</v>
      </c>
      <c r="CJ133" s="446">
        <f>IF($E133=0,0,IF(MIN(CJ$38,$E133)&lt;MAX($P$34*($B133+$I$38-1),IF(AND($L$37=0,$P$34=0),"",$L$37-1)),0,YEARFRAC(MAX($P$34*($B133+$I$38-1),IF(AND($L$37=0,$P$34=0),"",$L$37-1)),MIN(CJ$38,$E133),$P$20))-SUM($BF133:CI133))</f>
        <v>0</v>
      </c>
      <c r="CK133" s="446">
        <f>IF($E133=0,0,IF(MIN(CK$38,$E133)&lt;MAX($P$34*($B133+$I$38-1),IF(AND($L$37=0,$P$34=0),"",$L$37-1)),0,YEARFRAC(MAX($P$34*($B133+$I$38-1),IF(AND($L$37=0,$P$34=0),"",$L$37-1)),MIN(CK$38,$E133),$P$20))-SUM($BF133:CJ133))</f>
        <v>0</v>
      </c>
      <c r="CL133" s="446">
        <f>IF($E133=0,0,IF(MIN(CL$38,$E133)&lt;MAX($P$34*($B133+$I$38-1),IF(AND($L$37=0,$P$34=0),"",$L$37-1)),0,YEARFRAC(MAX($P$34*($B133+$I$38-1),IF(AND($L$37=0,$P$34=0),"",$L$37-1)),MIN(CL$38,$E133),$P$20))-SUM($BF133:CK133))</f>
        <v>0</v>
      </c>
      <c r="CM133" s="446">
        <f>IF($E133=0,0,IF(MIN(CM$38,$E133)&lt;MAX($P$34*($B133+$I$38-1),IF(AND($L$37=0,$P$34=0),"",$L$37-1)),0,YEARFRAC(MAX($P$34*($B133+$I$38-1),IF(AND($L$37=0,$P$34=0),"",$L$37-1)),MIN(CM$38,$E133),$P$20))-SUM($BF133:CL133))</f>
        <v>0</v>
      </c>
      <c r="CN133" s="446">
        <f>IF($E133=0,0,IF(MIN(CN$38,$E133)&lt;MAX($P$34*($B133+$I$38-1),IF(AND($L$37=0,$P$34=0),"",$L$37-1)),0,YEARFRAC(MAX($P$34*($B133+$I$38-1),IF(AND($L$37=0,$P$34=0),"",$L$37-1)),MIN(CN$38,$E133),$P$20))-SUM($BF133:CM133))</f>
        <v>0</v>
      </c>
      <c r="CO133" s="446">
        <f>IF($E133=0,0,IF(MIN(CO$38,$E133)&lt;MAX($P$34*($B133+$I$38-1),IF(AND($L$37=0,$P$34=0),"",$L$37-1)),0,YEARFRAC(MAX($P$34*($B133+$I$38-1),IF(AND($L$37=0,$P$34=0),"",$L$37-1)),MIN(CO$38,$E133),$P$20))-SUM($BF133:CN133))</f>
        <v>0</v>
      </c>
      <c r="CP133" s="446">
        <f>IF($E133=0,0,IF(MIN(CP$38,$E133)&lt;MAX($P$34*($B133+$I$38-1),IF(AND($L$37=0,$P$34=0),"",$L$37-1)),0,YEARFRAC(MAX($P$34*($B133+$I$38-1),IF(AND($L$37=0,$P$34=0),"",$L$37-1)),MIN(CP$38,$E133),$P$20))-SUM($BF133:CO133))</f>
        <v>0</v>
      </c>
      <c r="CQ133" s="446">
        <f>IF($E133=0,0,IF(MIN(CQ$38,$E133)&lt;MAX($P$34*($B133+$I$38-1),IF(AND($L$37=0,$P$34=0),"",$L$37-1)),0,YEARFRAC(MAX($P$34*($B133+$I$38-1),IF(AND($L$37=0,$P$34=0),"",$L$37-1)),MIN(CQ$38,$E133),$P$20))-SUM($BF133:CP133))</f>
        <v>0</v>
      </c>
    </row>
    <row r="134" spans="1:95" s="446" customFormat="1" ht="11.25" hidden="1" customHeight="1" x14ac:dyDescent="0.2">
      <c r="A134" s="152"/>
      <c r="B134" s="153" t="str">
        <f t="shared" si="26"/>
        <v/>
      </c>
      <c r="C134" s="29" t="str">
        <f>IF(B134="","",IF($L$35="SELIC - TRIBUTOS",VLOOKUP(DATE(YEAR($D$19),MONTH($D$19)-1,1),ÍNDICES!$A:$DE,HLOOKUP($BL$25,ÍNDICES!$B$3:$T$4,2)+11)-VLOOKUP(B134,ÍNDICES!$A:$DE,HLOOKUP($BL$25,ÍNDICES!$B$3:$T$4,2)+11)+1%,IF(C$38=$W$26,$J$35,IF(ISERROR(IF(B134&gt;$D$19,1,VLOOKUP(DATE(YEAR(B134),MONTH(B134)+IF($C$35=$S$23,1,0),1),ÍNDICES!$A:$DE,$Z$35+1))),"",IF(B134&gt;$D$19,1,VLOOKUP(DATE(YEAR(B134),MONTH(B134)+IF($C$35=$S$23,1,0),1),ÍNDICES!$A:$DE,$Z$35+1))))))</f>
        <v/>
      </c>
      <c r="D134" s="154" t="str">
        <f>IF(ISERROR(IF(OR($D$38=$Y$27,$B134=""),"",VLOOKUP(B134,ÍNDICES!A:DE,AF$35+1))),"",IF(OR($D$38=$Y$27,$B134=""),"",VLOOKUP(B134,ÍNDICES!A:DE,AF$35+1)))</f>
        <v/>
      </c>
      <c r="E134" s="153"/>
      <c r="F134" s="29" t="str">
        <f>IF(E134="","",IF($L$35="SELIC - TRIBUTOS",VLOOKUP(DATE(YEAR($D$19),MONTH($D$19)-1,1),ÍNDICES!$A:$DE,HLOOKUP($BL$25,ÍNDICES!$B$3:$T$4,2)+11)-VLOOKUP(E134,ÍNDICES!$A:$DE,HLOOKUP($BL$25,ÍNDICES!$B$3:$T$4,2)+11)+1%,IF(F$38=$W$26,$J$35,IF(ISERROR(IF(E134&gt;$D$19,1,VLOOKUP(DATE(YEAR(E134),MONTH(E134)+IF($C$35=$S$23,1,0),1),ÍNDICES!$A:$DE,$Z$35+1))),"",IF(E134&gt;$D$19,1,VLOOKUP(DATE(YEAR(E134),MONTH(E134)+IF($C$35=$S$23,1,0),1),ÍNDICES!$A:$DE,$Z$35+1))))))</f>
        <v/>
      </c>
      <c r="G134" s="155"/>
      <c r="H134" s="156" t="str">
        <f t="shared" si="22"/>
        <v/>
      </c>
      <c r="I134" s="29" t="str">
        <f t="shared" si="16"/>
        <v/>
      </c>
      <c r="J134" s="5">
        <f t="shared" si="17"/>
        <v>0</v>
      </c>
      <c r="K134" s="20">
        <f t="shared" ca="1" si="18"/>
        <v>0</v>
      </c>
      <c r="L134" s="5">
        <f t="shared" ca="1" si="19"/>
        <v>0</v>
      </c>
      <c r="M134" s="64">
        <f t="shared" si="23"/>
        <v>0</v>
      </c>
      <c r="N134" s="61">
        <f t="shared" ca="1" si="24"/>
        <v>0</v>
      </c>
      <c r="O134" s="5">
        <f t="shared" ca="1" si="25"/>
        <v>0</v>
      </c>
      <c r="P134" s="446" t="e">
        <f t="shared" si="20"/>
        <v>#VALUE!</v>
      </c>
      <c r="Q134" s="446" t="e">
        <f>IF(OR($B134="",MIN(Q$38,$D$19)&lt;MAX($P$34*($B134+IF($R$17="Distrato",$I$38-1,0)),IF(AND($L$37=0,$P$34=0),"",$L$37-1),IF($R$17="Distrato",$E134,0))),0,YEARFRAC(MAX($P$34*($B134+IF($R$17="Distrato",$I$38-1,0)),IF(AND($L$37=0,$P$34=0),"",$L$37-1),IF($R$17="Distrato",$E134,0)),MIN(Q$38,$D$19),$P$20))-SUM($P134:P134)</f>
        <v>#VALUE!</v>
      </c>
      <c r="R134" s="446" t="e">
        <f>IF(OR($B134="",MIN(R$38,$D$19)&lt;MAX($P$34*($B134+IF($R$17="Distrato",$I$38-1,0)),IF(AND($L$37=0,$P$34=0),"",$L$37-1),IF($R$17="Distrato",$E134,0))),0,YEARFRAC(MAX($P$34*($B134+IF($R$17="Distrato",$I$38-1,0)),IF(AND($L$37=0,$P$34=0),"",$L$37-1),IF($R$17="Distrato",$E134,0)),MIN(R$38,$D$19),$P$20))-SUM($P134:Q134)</f>
        <v>#VALUE!</v>
      </c>
      <c r="S134" s="446" t="e">
        <f>IF(OR($B134="",MIN(S$38,$D$19)&lt;MAX($P$34*($B134+IF($R$17="Distrato",$I$38-1,0)),IF(AND($L$37=0,$P$34=0),"",$L$37-1),IF($R$17="Distrato",$E134,0))),0,YEARFRAC(MAX($P$34*($B134+IF($R$17="Distrato",$I$38-1,0)),IF(AND($L$37=0,$P$34=0),"",$L$37-1),IF($R$17="Distrato",$E134,0)),MIN(S$38,$D$19),$P$20))-SUM($P134:R134)</f>
        <v>#VALUE!</v>
      </c>
      <c r="T134" s="446" t="e">
        <f>IF(OR($B134="",MIN(T$38,$D$19)&lt;MAX($P$34*($B134+IF($R$17="Distrato",$I$38-1,0)),IF(AND($L$37=0,$P$34=0),"",$L$37-1),IF($R$17="Distrato",$E134,0))),0,YEARFRAC(MAX($P$34*($B134+IF($R$17="Distrato",$I$38-1,0)),IF(AND($L$37=0,$P$34=0),"",$L$37-1),IF($R$17="Distrato",$E134,0)),MIN(T$38,$D$19),$P$20))-SUM($P134:S134)</f>
        <v>#VALUE!</v>
      </c>
      <c r="U134" s="446" t="e">
        <f>IF(OR($B134="",MIN(U$38,$D$19)&lt;MAX($P$34*($B134+IF($R$17="Distrato",$I$38-1,0)),IF(AND($L$37=0,$P$34=0),"",$L$37-1),IF($R$17="Distrato",$E134,0))),0,YEARFRAC(MAX($P$34*($B134+IF($R$17="Distrato",$I$38-1,0)),IF(AND($L$37=0,$P$34=0),"",$L$37-1),IF($R$17="Distrato",$E134,0)),MIN(U$38,$D$19),$P$20))-SUM($P134:T134)</f>
        <v>#VALUE!</v>
      </c>
      <c r="V134" s="446" t="e">
        <f>IF(OR($B134="",MIN(V$38,$D$19)&lt;MAX($P$34*($B134+IF($R$17="Distrato",$I$38-1,0)),IF(AND($L$37=0,$P$34=0),"",$L$37-1),IF($R$17="Distrato",$E134,0))),0,YEARFRAC(MAX($P$34*($B134+IF($R$17="Distrato",$I$38-1,0)),IF(AND($L$37=0,$P$34=0),"",$L$37-1),IF($R$17="Distrato",$E134,0)),MIN(V$38,$D$19),$P$20))-SUM($P134:U134)</f>
        <v>#VALUE!</v>
      </c>
      <c r="W134" s="446" t="e">
        <f>IF(OR($B134="",MIN(W$38,$D$19)&lt;MAX($P$34*($B134+IF($R$17="Distrato",$I$38-1,0)),IF(AND($L$37=0,$P$34=0),"",$L$37-1),IF($R$17="Distrato",$E134,0))),0,YEARFRAC(MAX($P$34*($B134+IF($R$17="Distrato",$I$38-1,0)),IF(AND($L$37=0,$P$34=0),"",$L$37-1),IF($R$17="Distrato",$E134,0)),MIN(W$38,$D$19),$P$20))-SUM($P134:V134)</f>
        <v>#VALUE!</v>
      </c>
      <c r="X134" s="446" t="e">
        <f>IF(OR($B134="",MIN(X$38,$D$19)&lt;MAX($P$34*($B134+IF($R$17="Distrato",$I$38-1,0)),IF(AND($L$37=0,$P$34=0),"",$L$37-1),IF($R$17="Distrato",$E134,0))),0,YEARFRAC(MAX($P$34*($B134+IF($R$17="Distrato",$I$38-1,0)),IF(AND($L$37=0,$P$34=0),"",$L$37-1),IF($R$17="Distrato",$E134,0)),MIN(X$38,$D$19),$P$20))-SUM($P134:W134)</f>
        <v>#VALUE!</v>
      </c>
      <c r="Y134" s="446" t="e">
        <f>IF(OR($B134="",MIN(Y$38,$D$19)&lt;MAX($P$34*($B134+IF($R$17="Distrato",$I$38-1,0)),IF(AND($L$37=0,$P$34=0),"",$L$37-1),IF($R$17="Distrato",$E134,0))),0,YEARFRAC(MAX($P$34*($B134+IF($R$17="Distrato",$I$38-1,0)),IF(AND($L$37=0,$P$34=0),"",$L$37-1),IF($R$17="Distrato",$E134,0)),MIN(Y$38,$D$19),$P$20))-SUM($P134:X134)</f>
        <v>#VALUE!</v>
      </c>
      <c r="Z134" s="446" t="e">
        <f>IF(OR($B134="",MIN(Z$38,$D$19)&lt;MAX($P$34*($B134+IF($R$17="Distrato",$I$38-1,0)),IF(AND($L$37=0,$P$34=0),"",$L$37-1),IF($R$17="Distrato",$E134,0))),0,YEARFRAC(MAX($P$34*($B134+IF($R$17="Distrato",$I$38-1,0)),IF(AND($L$37=0,$P$34=0),"",$L$37-1),IF($R$17="Distrato",$E134,0)),MIN(Z$38,$D$19),$P$20))-SUM($P134:Y134)</f>
        <v>#VALUE!</v>
      </c>
      <c r="AA134" s="446" t="e">
        <f>IF(OR($B134="",MIN(AA$38,$D$19)&lt;MAX($P$34*($B134+IF($R$17="Distrato",$I$38-1,0)),IF(AND($L$37=0,$P$34=0),"",$L$37-1),IF($R$17="Distrato",$E134,0))),0,YEARFRAC(MAX($P$34*($B134+IF($R$17="Distrato",$I$38-1,0)),IF(AND($L$37=0,$P$34=0),"",$L$37-1),IF($R$17="Distrato",$E134,0)),MIN(AA$38,$D$19),$P$20))-SUM($P134:Z134)</f>
        <v>#VALUE!</v>
      </c>
      <c r="AB134" s="446" t="e">
        <f>IF(OR($B134="",MIN(AB$38,$D$19)&lt;MAX($P$34*($B134+IF($R$17="Distrato",$I$38-1,0)),IF(AND($L$37=0,$P$34=0),"",$L$37-1),IF($R$17="Distrato",$E134,0))),0,YEARFRAC(MAX($P$34*($B134+IF($R$17="Distrato",$I$38-1,0)),IF(AND($L$37=0,$P$34=0),"",$L$37-1),IF($R$17="Distrato",$E134,0)),MIN(AB$38,$D$19),$P$20))-SUM($P134:AA134)</f>
        <v>#VALUE!</v>
      </c>
      <c r="AC134" s="446" t="e">
        <f>IF(OR($B134="",MIN(AC$38,$D$19)&lt;MAX($P$34*($B134+IF($R$17="Distrato",$I$38-1,0)),IF(AND($L$37=0,$P$34=0),"",$L$37-1),IF($R$17="Distrato",$E134,0))),0,YEARFRAC(MAX($P$34*($B134+IF($R$17="Distrato",$I$38-1,0)),IF(AND($L$37=0,$P$34=0),"",$L$37-1),IF($R$17="Distrato",$E134,0)),MIN(AC$38,$D$19),$P$20))-SUM($P134:AB134)</f>
        <v>#VALUE!</v>
      </c>
      <c r="AD134" s="446" t="e">
        <f>IF(OR($B134="",MIN(AD$38,$D$19)&lt;MAX($P$34*($B134+IF($R$17="Distrato",$I$38-1,0)),IF(AND($L$37=0,$P$34=0),"",$L$37-1),IF($R$17="Distrato",$E134,0))),0,YEARFRAC(MAX($P$34*($B134+IF($R$17="Distrato",$I$38-1,0)),IF(AND($L$37=0,$P$34=0),"",$L$37-1),IF($R$17="Distrato",$E134,0)),MIN(AD$38,$D$19),$P$20))-SUM($P134:AC134)</f>
        <v>#VALUE!</v>
      </c>
      <c r="AE134" s="446" t="e">
        <f>IF(OR($B134="",MIN(AE$38,$D$19)&lt;MAX($P$34*($B134+IF($R$17="Distrato",$I$38-1,0)),IF(AND($L$37=0,$P$34=0),"",$L$37-1),IF($R$17="Distrato",$E134,0))),0,YEARFRAC(MAX($P$34*($B134+IF($R$17="Distrato",$I$38-1,0)),IF(AND($L$37=0,$P$34=0),"",$L$37-1),IF($R$17="Distrato",$E134,0)),MIN(AE$38,$D$19),$P$20))-SUM($P134:AD134)</f>
        <v>#VALUE!</v>
      </c>
      <c r="AF134" s="446" t="e">
        <f>IF(OR($B134="",MIN(AF$38,$D$19)&lt;MAX($P$34*($B134+IF($R$17="Distrato",$I$38-1,0)),IF(AND($L$37=0,$P$34=0),"",$L$37-1),IF($R$17="Distrato",$E134,0))),0,YEARFRAC(MAX($P$34*($B134+IF($R$17="Distrato",$I$38-1,0)),IF(AND($L$37=0,$P$34=0),"",$L$37-1),IF($R$17="Distrato",$E134,0)),MIN(AF$38,$D$19),$P$20))-SUM($P134:AE134)</f>
        <v>#VALUE!</v>
      </c>
      <c r="AG134" s="446" t="e">
        <f>IF(OR($B134="",MIN(AG$38,$D$19)&lt;MAX($P$34*($B134+IF($R$17="Distrato",$I$38-1,0)),IF(AND($L$37=0,$P$34=0),"",$L$37-1),IF($R$17="Distrato",$E134,0))),0,YEARFRAC(MAX($P$34*($B134+IF($R$17="Distrato",$I$38-1,0)),IF(AND($L$37=0,$P$34=0),"",$L$37-1),IF($R$17="Distrato",$E134,0)),MIN(AG$38,$D$19),$P$20))-SUM($P134:AF134)</f>
        <v>#VALUE!</v>
      </c>
      <c r="AH134" s="446" t="e">
        <f>IF(OR($B134="",MIN(AH$38,$D$19)&lt;MAX($P$34*($B134+IF($R$17="Distrato",$I$38-1,0)),IF(AND($L$37=0,$P$34=0),"",$L$37-1),IF($R$17="Distrato",$E134,0))),0,YEARFRAC(MAX($P$34*($B134+IF($R$17="Distrato",$I$38-1,0)),IF(AND($L$37=0,$P$34=0),"",$L$37-1),IF($R$17="Distrato",$E134,0)),MIN(AH$38,$D$19),$P$20))-SUM($P134:AG134)</f>
        <v>#VALUE!</v>
      </c>
      <c r="AI134" s="446" t="e">
        <f>IF(OR($B134="",MIN(AI$38,$D$19)&lt;MAX($P$34*($B134+IF($R$17="Distrato",$I$38-1,0)),IF(AND($L$37=0,$P$34=0),"",$L$37-1),IF($R$17="Distrato",$E134,0))),0,YEARFRAC(MAX($P$34*($B134+IF($R$17="Distrato",$I$38-1,0)),IF(AND($L$37=0,$P$34=0),"",$L$37-1),IF($R$17="Distrato",$E134,0)),MIN(AI$38,$D$19),$P$20))-SUM($P134:AH134)</f>
        <v>#VALUE!</v>
      </c>
      <c r="AJ134" s="446" t="e">
        <f>IF(OR($B134="",MIN(AJ$38,$D$19)&lt;MAX($P$34*($B134+IF($R$17="Distrato",$I$38-1,0)),IF(AND($L$37=0,$P$34=0),"",$L$37-1),IF($R$17="Distrato",$E134,0))),0,YEARFRAC(MAX($P$34*($B134+IF($R$17="Distrato",$I$38-1,0)),IF(AND($L$37=0,$P$34=0),"",$L$37-1),IF($R$17="Distrato",$E134,0)),MIN(AJ$38,$D$19),$P$20))-SUM($P134:AI134)</f>
        <v>#VALUE!</v>
      </c>
      <c r="AK134" s="446" t="e">
        <f>IF(OR($B134="",MIN(AK$38,$D$19)&lt;MAX($P$34*($B134+IF($R$17="Distrato",$I$38-1,0)),IF(AND($L$37=0,$P$34=0),"",$L$37-1),IF($R$17="Distrato",$E134,0))),0,YEARFRAC(MAX($P$34*($B134+IF($R$17="Distrato",$I$38-1,0)),IF(AND($L$37=0,$P$34=0),"",$L$37-1),IF($R$17="Distrato",$E134,0)),MIN(AK$38,$D$19),$P$20))-SUM($P134:AJ134)</f>
        <v>#VALUE!</v>
      </c>
      <c r="AL134" s="446" t="e">
        <f>IF(OR($B134="",MIN(AL$38,$D$19)&lt;MAX($P$34*($B134+IF($R$17="Distrato",$I$38-1,0)),IF(AND($L$37=0,$P$34=0),"",$L$37-1),IF($R$17="Distrato",$E134,0))),0,YEARFRAC(MAX($P$34*($B134+IF($R$17="Distrato",$I$38-1,0)),IF(AND($L$37=0,$P$34=0),"",$L$37-1),IF($R$17="Distrato",$E134,0)),MIN(AL$38,$D$19),$P$20))-SUM($P134:AK134)</f>
        <v>#VALUE!</v>
      </c>
      <c r="AM134" s="446" t="e">
        <f>IF(OR($B134="",MIN(AM$38,$D$19)&lt;MAX($P$34*($B134+IF($R$17="Distrato",$I$38-1,0)),IF(AND($L$37=0,$P$34=0),"",$L$37-1),IF($R$17="Distrato",$E134,0))),0,YEARFRAC(MAX($P$34*($B134+IF($R$17="Distrato",$I$38-1,0)),IF(AND($L$37=0,$P$34=0),"",$L$37-1),IF($R$17="Distrato",$E134,0)),MIN(AM$38,$D$19),$P$20))-SUM($P134:AL134)</f>
        <v>#VALUE!</v>
      </c>
      <c r="AN134" s="446" t="e">
        <f>IF(OR($B134="",MIN(AN$38,$D$19)&lt;MAX($P$34*($B134+IF($R$17="Distrato",$I$38-1,0)),IF(AND($L$37=0,$P$34=0),"",$L$37-1),IF($R$17="Distrato",$E134,0))),0,YEARFRAC(MAX($P$34*($B134+IF($R$17="Distrato",$I$38-1,0)),IF(AND($L$37=0,$P$34=0),"",$L$37-1),IF($R$17="Distrato",$E134,0)),MIN(AN$38,$D$19),$P$20))-SUM($P134:AM134)</f>
        <v>#VALUE!</v>
      </c>
      <c r="AO134" s="446" t="e">
        <f>IF(OR($B134="",MIN(AO$38,$D$19)&lt;MAX($P$34*($B134+IF($R$17="Distrato",$I$38-1,0)),IF(AND($L$37=0,$P$34=0),"",$L$37-1),IF($R$17="Distrato",$E134,0))),0,YEARFRAC(MAX($P$34*($B134+IF($R$17="Distrato",$I$38-1,0)),IF(AND($L$37=0,$P$34=0),"",$L$37-1),IF($R$17="Distrato",$E134,0)),MIN(AO$38,$D$19),$P$20))-SUM($P134:AN134)</f>
        <v>#VALUE!</v>
      </c>
      <c r="AP134" s="446" t="e">
        <f>IF(OR($B134="",MIN(AP$38,$D$19)&lt;MAX($P$34*($B134+IF($R$17="Distrato",$I$38-1,0)),IF(AND($L$37=0,$P$34=0),"",$L$37-1),IF($R$17="Distrato",$E134,0))),0,YEARFRAC(MAX($P$34*($B134+IF($R$17="Distrato",$I$38-1,0)),IF(AND($L$37=0,$P$34=0),"",$L$37-1),IF($R$17="Distrato",$E134,0)),MIN(AP$38,$D$19),$P$20))-SUM($P134:AO134)</f>
        <v>#VALUE!</v>
      </c>
      <c r="AQ134" s="446" t="e">
        <f>IF(OR($B134="",MIN(AQ$38,$D$19)&lt;MAX($P$34*($B134+IF($R$17="Distrato",$I$38-1,0)),IF(AND($L$37=0,$P$34=0),"",$L$37-1),IF($R$17="Distrato",$E134,0))),0,YEARFRAC(MAX($P$34*($B134+IF($R$17="Distrato",$I$38-1,0)),IF(AND($L$37=0,$P$34=0),"",$L$37-1),IF($R$17="Distrato",$E134,0)),MIN(AQ$38,$D$19),$P$20))-SUM($P134:AP134)</f>
        <v>#VALUE!</v>
      </c>
      <c r="AR134" s="446" t="e">
        <f>IF(OR($B134="",MIN(AR$38,$D$19)&lt;MAX($P$34*($B134+IF($R$17="Distrato",$I$38-1,0)),IF(AND($L$37=0,$P$34=0),"",$L$37-1),IF($R$17="Distrato",$E134,0))),0,YEARFRAC(MAX($P$34*($B134+IF($R$17="Distrato",$I$38-1,0)),IF(AND($L$37=0,$P$34=0),"",$L$37-1),IF($R$17="Distrato",$E134,0)),MIN(AR$38,$D$19),$P$20))-SUM($P134:AQ134)</f>
        <v>#VALUE!</v>
      </c>
      <c r="AS134" s="446" t="e">
        <f>IF(OR($B134="",MIN(AS$38,$D$19)&lt;MAX($P$34*($B134+IF($R$17="Distrato",$I$38-1,0)),IF(AND($L$37=0,$P$34=0),"",$L$37-1),IF($R$17="Distrato",$E134,0))),0,YEARFRAC(MAX($P$34*($B134+IF($R$17="Distrato",$I$38-1,0)),IF(AND($L$37=0,$P$34=0),"",$L$37-1),IF($R$17="Distrato",$E134,0)),MIN(AS$38,$D$19),$P$20))-SUM($P134:AR134)</f>
        <v>#VALUE!</v>
      </c>
      <c r="AT134" s="446" t="e">
        <f>IF(OR($B134="",MIN(AT$38,$D$19)&lt;MAX($P$34*($B134+IF($R$17="Distrato",$I$38-1,0)),IF(AND($L$37=0,$P$34=0),"",$L$37-1),IF($R$17="Distrato",$E134,0))),0,YEARFRAC(MAX($P$34*($B134+IF($R$17="Distrato",$I$38-1,0)),IF(AND($L$37=0,$P$34=0),"",$L$37-1),IF($R$17="Distrato",$E134,0)),MIN(AT$38,$D$19),$P$20))-SUM($P134:AS134)</f>
        <v>#VALUE!</v>
      </c>
      <c r="AU134" s="446" t="e">
        <f>IF(OR($B134="",MIN(AU$38,$D$19)&lt;MAX($P$34*($B134+IF($R$17="Distrato",$I$38-1,0)),IF(AND($L$37=0,$P$34=0),"",$L$37-1),IF($R$17="Distrato",$E134,0))),0,YEARFRAC(MAX($P$34*($B134+IF($R$17="Distrato",$I$38-1,0)),IF(AND($L$37=0,$P$34=0),"",$L$37-1),IF($R$17="Distrato",$E134,0)),MIN(AU$38,$D$19),$P$20))-SUM($P134:AT134)</f>
        <v>#VALUE!</v>
      </c>
      <c r="AV134" s="446" t="e">
        <f>IF(OR($B134="",MIN(AV$38,$D$19)&lt;MAX($P$34*($B134+IF($R$17="Distrato",$I$38-1,0)),IF(AND($L$37=0,$P$34=0),"",$L$37-1),IF($R$17="Distrato",$E134,0))),0,YEARFRAC(MAX($P$34*($B134+IF($R$17="Distrato",$I$38-1,0)),IF(AND($L$37=0,$P$34=0),"",$L$37-1),IF($R$17="Distrato",$E134,0)),MIN(AV$38,$D$19),$P$20))-SUM($P134:AU134)</f>
        <v>#VALUE!</v>
      </c>
      <c r="AW134" s="446" t="e">
        <f>IF(OR($B134="",MIN(AW$38,$D$19)&lt;MAX($P$34*($B134+IF($R$17="Distrato",$I$38-1,0)),IF(AND($L$37=0,$P$34=0),"",$L$37-1),IF($R$17="Distrato",$E134,0))),0,YEARFRAC(MAX($P$34*($B134+IF($R$17="Distrato",$I$38-1,0)),IF(AND($L$37=0,$P$34=0),"",$L$37-1),IF($R$17="Distrato",$E134,0)),MIN(AW$38,$D$19),$P$20))-SUM($P134:AV134)</f>
        <v>#VALUE!</v>
      </c>
      <c r="AX134" s="446" t="e">
        <f>IF(OR($B134="",MIN(AX$38,$D$19)&lt;MAX($P$34*($B134+IF($R$17="Distrato",$I$38-1,0)),IF(AND($L$37=0,$P$34=0),"",$L$37-1),IF($R$17="Distrato",$E134,0))),0,YEARFRAC(MAX($P$34*($B134+IF($R$17="Distrato",$I$38-1,0)),IF(AND($L$37=0,$P$34=0),"",$L$37-1),IF($R$17="Distrato",$E134,0)),MIN(AX$38,$D$19),$P$20))-SUM($P134:AW134)</f>
        <v>#VALUE!</v>
      </c>
      <c r="AY134" s="446" t="e">
        <f>IF(OR($B134="",MIN(AY$38,$D$19)&lt;MAX($P$34*($B134+IF($R$17="Distrato",$I$38-1,0)),IF(AND($L$37=0,$P$34=0),"",$L$37-1),IF($R$17="Distrato",$E134,0))),0,YEARFRAC(MAX($P$34*($B134+IF($R$17="Distrato",$I$38-1,0)),IF(AND($L$37=0,$P$34=0),"",$L$37-1),IF($R$17="Distrato",$E134,0)),MIN(AY$38,$D$19),$P$20))-SUM($P134:AX134)</f>
        <v>#VALUE!</v>
      </c>
      <c r="AZ134" s="446" t="e">
        <f>IF(OR($B134="",MIN(AZ$38,$D$19)&lt;MAX($P$34*($B134+IF($R$17="Distrato",$I$38-1,0)),IF(AND($L$37=0,$P$34=0),"",$L$37-1),IF($R$17="Distrato",$E134,0))),0,YEARFRAC(MAX($P$34*($B134+IF($R$17="Distrato",$I$38-1,0)),IF(AND($L$37=0,$P$34=0),"",$L$37-1),IF($R$17="Distrato",$E134,0)),MIN(AZ$38,$D$19),$P$20))-SUM($P134:AY134)</f>
        <v>#VALUE!</v>
      </c>
      <c r="BA134" s="446" t="e">
        <f>IF(OR($B134="",MIN(BA$38,$D$19)&lt;MAX($P$34*($B134+IF($R$17="Distrato",$I$38-1,0)),IF(AND($L$37=0,$P$34=0),"",$L$37-1),IF($R$17="Distrato",$E134,0))),0,YEARFRAC(MAX($P$34*($B134+IF($R$17="Distrato",$I$38-1,0)),IF(AND($L$37=0,$P$34=0),"",$L$37-1),IF($R$17="Distrato",$E134,0)),MIN(BA$38,$D$19),$P$20))-SUM($P134:AZ134)</f>
        <v>#VALUE!</v>
      </c>
      <c r="BB134" s="447"/>
      <c r="BF134" s="446">
        <f t="shared" si="21"/>
        <v>0</v>
      </c>
      <c r="BG134" s="446">
        <f>IF($E134=0,0,IF(MIN(BG$38,$E134)&lt;MAX($P$34*($B134+$I$38-1),IF(AND($L$37=0,$P$34=0),"",$L$37-1)),0,YEARFRAC(MAX($P$34*($B134+$I$38-1),IF(AND($L$37=0,$P$34=0),"",$L$37-1)),MIN(BG$38,$E134),$P$20))-SUM($BF134:BF134))</f>
        <v>0</v>
      </c>
      <c r="BH134" s="446">
        <f>IF($E134=0,0,IF(MIN(BH$38,$E134)&lt;MAX($P$34*($B134+$I$38-1),IF(AND($L$37=0,$P$34=0),"",$L$37-1)),0,YEARFRAC(MAX($P$34*($B134+$I$38-1),IF(AND($L$37=0,$P$34=0),"",$L$37-1)),MIN(BH$38,$E134),$P$20))-SUM($BF134:BG134))</f>
        <v>0</v>
      </c>
      <c r="BI134" s="446">
        <f>IF($E134=0,0,IF(MIN(BI$38,$E134)&lt;MAX($P$34*($B134+$I$38-1),IF(AND($L$37=0,$P$34=0),"",$L$37-1)),0,YEARFRAC(MAX($P$34*($B134+$I$38-1),IF(AND($L$37=0,$P$34=0),"",$L$37-1)),MIN(BI$38,$E134),$P$20))-SUM($BF134:BH134))</f>
        <v>0</v>
      </c>
      <c r="BJ134" s="446">
        <f>IF($E134=0,0,IF(MIN(BJ$38,$E134)&lt;MAX($P$34*($B134+$I$38-1),IF(AND($L$37=0,$P$34=0),"",$L$37-1)),0,YEARFRAC(MAX($P$34*($B134+$I$38-1),IF(AND($L$37=0,$P$34=0),"",$L$37-1)),MIN(BJ$38,$E134),$P$20))-SUM($BF134:BI134))</f>
        <v>0</v>
      </c>
      <c r="BK134" s="446">
        <f>IF($E134=0,0,IF(MIN(BK$38,$E134)&lt;MAX($P$34*($B134+$I$38-1),IF(AND($L$37=0,$P$34=0),"",$L$37-1)),0,YEARFRAC(MAX($P$34*($B134+$I$38-1),IF(AND($L$37=0,$P$34=0),"",$L$37-1)),MIN(BK$38,$E134),$P$20))-SUM($BF134:BJ134))</f>
        <v>0</v>
      </c>
      <c r="BL134" s="446">
        <f>IF($E134=0,0,IF(MIN(BL$38,$E134)&lt;MAX($P$34*($B134+$I$38-1),IF(AND($L$37=0,$P$34=0),"",$L$37-1)),0,YEARFRAC(MAX($P$34*($B134+$I$38-1),IF(AND($L$37=0,$P$34=0),"",$L$37-1)),MIN(BL$38,$E134),$P$20))-SUM($BF134:BK134))</f>
        <v>0</v>
      </c>
      <c r="BM134" s="446">
        <f>IF($E134=0,0,IF(MIN(BM$38,$E134)&lt;MAX($P$34*($B134+$I$38-1),IF(AND($L$37=0,$P$34=0),"",$L$37-1)),0,YEARFRAC(MAX($P$34*($B134+$I$38-1),IF(AND($L$37=0,$P$34=0),"",$L$37-1)),MIN(BM$38,$E134),$P$20))-SUM($BF134:BL134))</f>
        <v>0</v>
      </c>
      <c r="BN134" s="446">
        <f>IF($E134=0,0,IF(MIN(BN$38,$E134)&lt;MAX($P$34*($B134+$I$38-1),IF(AND($L$37=0,$P$34=0),"",$L$37-1)),0,YEARFRAC(MAX($P$34*($B134+$I$38-1),IF(AND($L$37=0,$P$34=0),"",$L$37-1)),MIN(BN$38,$E134),$P$20))-SUM($BF134:BM134))</f>
        <v>0</v>
      </c>
      <c r="BO134" s="446">
        <f>IF($E134=0,0,IF(MIN(BO$38,$E134)&lt;MAX($P$34*($B134+$I$38-1),IF(AND($L$37=0,$P$34=0),"",$L$37-1)),0,YEARFRAC(MAX($P$34*($B134+$I$38-1),IF(AND($L$37=0,$P$34=0),"",$L$37-1)),MIN(BO$38,$E134),$P$20))-SUM($BF134:BN134))</f>
        <v>0</v>
      </c>
      <c r="BP134" s="446">
        <f>IF($E134=0,0,IF(MIN(BP$38,$E134)&lt;MAX($P$34*($B134+$I$38-1),IF(AND($L$37=0,$P$34=0),"",$L$37-1)),0,YEARFRAC(MAX($P$34*($B134+$I$38-1),IF(AND($L$37=0,$P$34=0),"",$L$37-1)),MIN(BP$38,$E134),$P$20))-SUM($BF134:BO134))</f>
        <v>0</v>
      </c>
      <c r="BQ134" s="446">
        <f>IF($E134=0,0,IF(MIN(BQ$38,$E134)&lt;MAX($P$34*($B134+$I$38-1),IF(AND($L$37=0,$P$34=0),"",$L$37-1)),0,YEARFRAC(MAX($P$34*($B134+$I$38-1),IF(AND($L$37=0,$P$34=0),"",$L$37-1)),MIN(BQ$38,$E134),$P$20))-SUM($BF134:BP134))</f>
        <v>0</v>
      </c>
      <c r="BR134" s="446">
        <f>IF($E134=0,0,IF(MIN(BR$38,$E134)&lt;MAX($P$34*($B134+$I$38-1),IF(AND($L$37=0,$P$34=0),"",$L$37-1)),0,YEARFRAC(MAX($P$34*($B134+$I$38-1),IF(AND($L$37=0,$P$34=0),"",$L$37-1)),MIN(BR$38,$E134),$P$20))-SUM($BF134:BQ134))</f>
        <v>0</v>
      </c>
      <c r="BS134" s="446">
        <f>IF($E134=0,0,IF(MIN(BS$38,$E134)&lt;MAX($P$34*($B134+$I$38-1),IF(AND($L$37=0,$P$34=0),"",$L$37-1)),0,YEARFRAC(MAX($P$34*($B134+$I$38-1),IF(AND($L$37=0,$P$34=0),"",$L$37-1)),MIN(BS$38,$E134),$P$20))-SUM($BF134:BR134))</f>
        <v>0</v>
      </c>
      <c r="BT134" s="446">
        <f>IF($E134=0,0,IF(MIN(BT$38,$E134)&lt;MAX($P$34*($B134+$I$38-1),IF(AND($L$37=0,$P$34=0),"",$L$37-1)),0,YEARFRAC(MAX($P$34*($B134+$I$38-1),IF(AND($L$37=0,$P$34=0),"",$L$37-1)),MIN(BT$38,$E134),$P$20))-SUM($BF134:BS134))</f>
        <v>0</v>
      </c>
      <c r="BU134" s="446">
        <f>IF($E134=0,0,IF(MIN(BU$38,$E134)&lt;MAX($P$34*($B134+$I$38-1),IF(AND($L$37=0,$P$34=0),"",$L$37-1)),0,YEARFRAC(MAX($P$34*($B134+$I$38-1),IF(AND($L$37=0,$P$34=0),"",$L$37-1)),MIN(BU$38,$E134),$P$20))-SUM($BF134:BT134))</f>
        <v>0</v>
      </c>
      <c r="BV134" s="446">
        <f>IF($E134=0,0,IF(MIN(BV$38,$E134)&lt;MAX($P$34*($B134+$I$38-1),IF(AND($L$37=0,$P$34=0),"",$L$37-1)),0,YEARFRAC(MAX($P$34*($B134+$I$38-1),IF(AND($L$37=0,$P$34=0),"",$L$37-1)),MIN(BV$38,$E134),$P$20))-SUM($BF134:BU134))</f>
        <v>0</v>
      </c>
      <c r="BW134" s="446">
        <f>IF($E134=0,0,IF(MIN(BW$38,$E134)&lt;MAX($P$34*($B134+$I$38-1),IF(AND($L$37=0,$P$34=0),"",$L$37-1)),0,YEARFRAC(MAX($P$34*($B134+$I$38-1),IF(AND($L$37=0,$P$34=0),"",$L$37-1)),MIN(BW$38,$E134),$P$20))-SUM($BF134:BV134))</f>
        <v>0</v>
      </c>
      <c r="BX134" s="446">
        <f>IF($E134=0,0,IF(MIN(BX$38,$E134)&lt;MAX($P$34*($B134+$I$38-1),IF(AND($L$37=0,$P$34=0),"",$L$37-1)),0,YEARFRAC(MAX($P$34*($B134+$I$38-1),IF(AND($L$37=0,$P$34=0),"",$L$37-1)),MIN(BX$38,$E134),$P$20))-SUM($BF134:BW134))</f>
        <v>0</v>
      </c>
      <c r="BY134" s="446">
        <f>IF($E134=0,0,IF(MIN(BY$38,$E134)&lt;MAX($P$34*($B134+$I$38-1),IF(AND($L$37=0,$P$34=0),"",$L$37-1)),0,YEARFRAC(MAX($P$34*($B134+$I$38-1),IF(AND($L$37=0,$P$34=0),"",$L$37-1)),MIN(BY$38,$E134),$P$20))-SUM($BF134:BX134))</f>
        <v>0</v>
      </c>
      <c r="BZ134" s="446">
        <f>IF($E134=0,0,IF(MIN(BZ$38,$E134)&lt;MAX($P$34*($B134+$I$38-1),IF(AND($L$37=0,$P$34=0),"",$L$37-1)),0,YEARFRAC(MAX($P$34*($B134+$I$38-1),IF(AND($L$37=0,$P$34=0),"",$L$37-1)),MIN(BZ$38,$E134),$P$20))-SUM($BF134:BY134))</f>
        <v>0</v>
      </c>
      <c r="CA134" s="446">
        <f>IF($E134=0,0,IF(MIN(CA$38,$E134)&lt;MAX($P$34*($B134+$I$38-1),IF(AND($L$37=0,$P$34=0),"",$L$37-1)),0,YEARFRAC(MAX($P$34*($B134+$I$38-1),IF(AND($L$37=0,$P$34=0),"",$L$37-1)),MIN(CA$38,$E134),$P$20))-SUM($BF134:BZ134))</f>
        <v>0</v>
      </c>
      <c r="CB134" s="446">
        <f>IF($E134=0,0,IF(MIN(CB$38,$E134)&lt;MAX($P$34*($B134+$I$38-1),IF(AND($L$37=0,$P$34=0),"",$L$37-1)),0,YEARFRAC(MAX($P$34*($B134+$I$38-1),IF(AND($L$37=0,$P$34=0),"",$L$37-1)),MIN(CB$38,$E134),$P$20))-SUM($BF134:CA134))</f>
        <v>0</v>
      </c>
      <c r="CC134" s="446">
        <f>IF($E134=0,0,IF(MIN(CC$38,$E134)&lt;MAX($P$34*($B134+$I$38-1),IF(AND($L$37=0,$P$34=0),"",$L$37-1)),0,YEARFRAC(MAX($P$34*($B134+$I$38-1),IF(AND($L$37=0,$P$34=0),"",$L$37-1)),MIN(CC$38,$E134),$P$20))-SUM($BF134:CB134))</f>
        <v>0</v>
      </c>
      <c r="CD134" s="446">
        <f>IF($E134=0,0,IF(MIN(CD$38,$E134)&lt;MAX($P$34*($B134+$I$38-1),IF(AND($L$37=0,$P$34=0),"",$L$37-1)),0,YEARFRAC(MAX($P$34*($B134+$I$38-1),IF(AND($L$37=0,$P$34=0),"",$L$37-1)),MIN(CD$38,$E134),$P$20))-SUM($BF134:CC134))</f>
        <v>0</v>
      </c>
      <c r="CE134" s="446">
        <f>IF($E134=0,0,IF(MIN(CE$38,$E134)&lt;MAX($P$34*($B134+$I$38-1),IF(AND($L$37=0,$P$34=0),"",$L$37-1)),0,YEARFRAC(MAX($P$34*($B134+$I$38-1),IF(AND($L$37=0,$P$34=0),"",$L$37-1)),MIN(CE$38,$E134),$P$20))-SUM($BF134:CD134))</f>
        <v>0</v>
      </c>
      <c r="CF134" s="446">
        <f>IF($E134=0,0,IF(MIN(CF$38,$E134)&lt;MAX($P$34*($B134+$I$38-1),IF(AND($L$37=0,$P$34=0),"",$L$37-1)),0,YEARFRAC(MAX($P$34*($B134+$I$38-1),IF(AND($L$37=0,$P$34=0),"",$L$37-1)),MIN(CF$38,$E134),$P$20))-SUM($BF134:CE134))</f>
        <v>0</v>
      </c>
      <c r="CG134" s="446">
        <f>IF($E134=0,0,IF(MIN(CG$38,$E134)&lt;MAX($P$34*($B134+$I$38-1),IF(AND($L$37=0,$P$34=0),"",$L$37-1)),0,YEARFRAC(MAX($P$34*($B134+$I$38-1),IF(AND($L$37=0,$P$34=0),"",$L$37-1)),MIN(CG$38,$E134),$P$20))-SUM($BF134:CF134))</f>
        <v>0</v>
      </c>
      <c r="CH134" s="446">
        <f>IF($E134=0,0,IF(MIN(CH$38,$E134)&lt;MAX($P$34*($B134+$I$38-1),IF(AND($L$37=0,$P$34=0),"",$L$37-1)),0,YEARFRAC(MAX($P$34*($B134+$I$38-1),IF(AND($L$37=0,$P$34=0),"",$L$37-1)),MIN(CH$38,$E134),$P$20))-SUM($BF134:CG134))</f>
        <v>0</v>
      </c>
      <c r="CI134" s="446">
        <f>IF($E134=0,0,IF(MIN(CI$38,$E134)&lt;MAX($P$34*($B134+$I$38-1),IF(AND($L$37=0,$P$34=0),"",$L$37-1)),0,YEARFRAC(MAX($P$34*($B134+$I$38-1),IF(AND($L$37=0,$P$34=0),"",$L$37-1)),MIN(CI$38,$E134),$P$20))-SUM($BF134:CH134))</f>
        <v>0</v>
      </c>
      <c r="CJ134" s="446">
        <f>IF($E134=0,0,IF(MIN(CJ$38,$E134)&lt;MAX($P$34*($B134+$I$38-1),IF(AND($L$37=0,$P$34=0),"",$L$37-1)),0,YEARFRAC(MAX($P$34*($B134+$I$38-1),IF(AND($L$37=0,$P$34=0),"",$L$37-1)),MIN(CJ$38,$E134),$P$20))-SUM($BF134:CI134))</f>
        <v>0</v>
      </c>
      <c r="CK134" s="446">
        <f>IF($E134=0,0,IF(MIN(CK$38,$E134)&lt;MAX($P$34*($B134+$I$38-1),IF(AND($L$37=0,$P$34=0),"",$L$37-1)),0,YEARFRAC(MAX($P$34*($B134+$I$38-1),IF(AND($L$37=0,$P$34=0),"",$L$37-1)),MIN(CK$38,$E134),$P$20))-SUM($BF134:CJ134))</f>
        <v>0</v>
      </c>
      <c r="CL134" s="446">
        <f>IF($E134=0,0,IF(MIN(CL$38,$E134)&lt;MAX($P$34*($B134+$I$38-1),IF(AND($L$37=0,$P$34=0),"",$L$37-1)),0,YEARFRAC(MAX($P$34*($B134+$I$38-1),IF(AND($L$37=0,$P$34=0),"",$L$37-1)),MIN(CL$38,$E134),$P$20))-SUM($BF134:CK134))</f>
        <v>0</v>
      </c>
      <c r="CM134" s="446">
        <f>IF($E134=0,0,IF(MIN(CM$38,$E134)&lt;MAX($P$34*($B134+$I$38-1),IF(AND($L$37=0,$P$34=0),"",$L$37-1)),0,YEARFRAC(MAX($P$34*($B134+$I$38-1),IF(AND($L$37=0,$P$34=0),"",$L$37-1)),MIN(CM$38,$E134),$P$20))-SUM($BF134:CL134))</f>
        <v>0</v>
      </c>
      <c r="CN134" s="446">
        <f>IF($E134=0,0,IF(MIN(CN$38,$E134)&lt;MAX($P$34*($B134+$I$38-1),IF(AND($L$37=0,$P$34=0),"",$L$37-1)),0,YEARFRAC(MAX($P$34*($B134+$I$38-1),IF(AND($L$37=0,$P$34=0),"",$L$37-1)),MIN(CN$38,$E134),$P$20))-SUM($BF134:CM134))</f>
        <v>0</v>
      </c>
      <c r="CO134" s="446">
        <f>IF($E134=0,0,IF(MIN(CO$38,$E134)&lt;MAX($P$34*($B134+$I$38-1),IF(AND($L$37=0,$P$34=0),"",$L$37-1)),0,YEARFRAC(MAX($P$34*($B134+$I$38-1),IF(AND($L$37=0,$P$34=0),"",$L$37-1)),MIN(CO$38,$E134),$P$20))-SUM($BF134:CN134))</f>
        <v>0</v>
      </c>
      <c r="CP134" s="446">
        <f>IF($E134=0,0,IF(MIN(CP$38,$E134)&lt;MAX($P$34*($B134+$I$38-1),IF(AND($L$37=0,$P$34=0),"",$L$37-1)),0,YEARFRAC(MAX($P$34*($B134+$I$38-1),IF(AND($L$37=0,$P$34=0),"",$L$37-1)),MIN(CP$38,$E134),$P$20))-SUM($BF134:CO134))</f>
        <v>0</v>
      </c>
      <c r="CQ134" s="446">
        <f>IF($E134=0,0,IF(MIN(CQ$38,$E134)&lt;MAX($P$34*($B134+$I$38-1),IF(AND($L$37=0,$P$34=0),"",$L$37-1)),0,YEARFRAC(MAX($P$34*($B134+$I$38-1),IF(AND($L$37=0,$P$34=0),"",$L$37-1)),MIN(CQ$38,$E134),$P$20))-SUM($BF134:CP134))</f>
        <v>0</v>
      </c>
    </row>
    <row r="135" spans="1:95" s="446" customFormat="1" ht="11.25" hidden="1" customHeight="1" x14ac:dyDescent="0.2">
      <c r="A135" s="152"/>
      <c r="B135" s="153" t="str">
        <f t="shared" si="26"/>
        <v/>
      </c>
      <c r="C135" s="29" t="str">
        <f>IF(B135="","",IF($L$35="SELIC - TRIBUTOS",VLOOKUP(DATE(YEAR($D$19),MONTH($D$19)-1,1),ÍNDICES!$A:$DE,HLOOKUP($BL$25,ÍNDICES!$B$3:$T$4,2)+11)-VLOOKUP(B135,ÍNDICES!$A:$DE,HLOOKUP($BL$25,ÍNDICES!$B$3:$T$4,2)+11)+1%,IF(C$38=$W$26,$J$35,IF(ISERROR(IF(B135&gt;$D$19,1,VLOOKUP(DATE(YEAR(B135),MONTH(B135)+IF($C$35=$S$23,1,0),1),ÍNDICES!$A:$DE,$Z$35+1))),"",IF(B135&gt;$D$19,1,VLOOKUP(DATE(YEAR(B135),MONTH(B135)+IF($C$35=$S$23,1,0),1),ÍNDICES!$A:$DE,$Z$35+1))))))</f>
        <v/>
      </c>
      <c r="D135" s="154" t="str">
        <f>IF(ISERROR(IF(OR($D$38=$Y$27,$B135=""),"",VLOOKUP(B135,ÍNDICES!A:DE,AF$35+1))),"",IF(OR($D$38=$Y$27,$B135=""),"",VLOOKUP(B135,ÍNDICES!A:DE,AF$35+1)))</f>
        <v/>
      </c>
      <c r="E135" s="153"/>
      <c r="F135" s="29" t="str">
        <f>IF(E135="","",IF($L$35="SELIC - TRIBUTOS",VLOOKUP(DATE(YEAR($D$19),MONTH($D$19)-1,1),ÍNDICES!$A:$DE,HLOOKUP($BL$25,ÍNDICES!$B$3:$T$4,2)+11)-VLOOKUP(E135,ÍNDICES!$A:$DE,HLOOKUP($BL$25,ÍNDICES!$B$3:$T$4,2)+11)+1%,IF(F$38=$W$26,$J$35,IF(ISERROR(IF(E135&gt;$D$19,1,VLOOKUP(DATE(YEAR(E135),MONTH(E135)+IF($C$35=$S$23,1,0),1),ÍNDICES!$A:$DE,$Z$35+1))),"",IF(E135&gt;$D$19,1,VLOOKUP(DATE(YEAR(E135),MONTH(E135)+IF($C$35=$S$23,1,0),1),ÍNDICES!$A:$DE,$Z$35+1))))))</f>
        <v/>
      </c>
      <c r="G135" s="155"/>
      <c r="H135" s="156" t="str">
        <f t="shared" si="22"/>
        <v/>
      </c>
      <c r="I135" s="29" t="str">
        <f t="shared" si="16"/>
        <v/>
      </c>
      <c r="J135" s="5">
        <f t="shared" si="17"/>
        <v>0</v>
      </c>
      <c r="K135" s="20">
        <f t="shared" ca="1" si="18"/>
        <v>0</v>
      </c>
      <c r="L135" s="5">
        <f t="shared" ca="1" si="19"/>
        <v>0</v>
      </c>
      <c r="M135" s="64">
        <f t="shared" si="23"/>
        <v>0</v>
      </c>
      <c r="N135" s="61">
        <f t="shared" ca="1" si="24"/>
        <v>0</v>
      </c>
      <c r="O135" s="5">
        <f t="shared" ca="1" si="25"/>
        <v>0</v>
      </c>
      <c r="P135" s="446" t="e">
        <f t="shared" si="20"/>
        <v>#VALUE!</v>
      </c>
      <c r="Q135" s="446" t="e">
        <f>IF(OR($B135="",MIN(Q$38,$D$19)&lt;MAX($P$34*($B135+IF($R$17="Distrato",$I$38-1,0)),IF(AND($L$37=0,$P$34=0),"",$L$37-1),IF($R$17="Distrato",$E135,0))),0,YEARFRAC(MAX($P$34*($B135+IF($R$17="Distrato",$I$38-1,0)),IF(AND($L$37=0,$P$34=0),"",$L$37-1),IF($R$17="Distrato",$E135,0)),MIN(Q$38,$D$19),$P$20))-SUM($P135:P135)</f>
        <v>#VALUE!</v>
      </c>
      <c r="R135" s="446" t="e">
        <f>IF(OR($B135="",MIN(R$38,$D$19)&lt;MAX($P$34*($B135+IF($R$17="Distrato",$I$38-1,0)),IF(AND($L$37=0,$P$34=0),"",$L$37-1),IF($R$17="Distrato",$E135,0))),0,YEARFRAC(MAX($P$34*($B135+IF($R$17="Distrato",$I$38-1,0)),IF(AND($L$37=0,$P$34=0),"",$L$37-1),IF($R$17="Distrato",$E135,0)),MIN(R$38,$D$19),$P$20))-SUM($P135:Q135)</f>
        <v>#VALUE!</v>
      </c>
      <c r="S135" s="446" t="e">
        <f>IF(OR($B135="",MIN(S$38,$D$19)&lt;MAX($P$34*($B135+IF($R$17="Distrato",$I$38-1,0)),IF(AND($L$37=0,$P$34=0),"",$L$37-1),IF($R$17="Distrato",$E135,0))),0,YEARFRAC(MAX($P$34*($B135+IF($R$17="Distrato",$I$38-1,0)),IF(AND($L$37=0,$P$34=0),"",$L$37-1),IF($R$17="Distrato",$E135,0)),MIN(S$38,$D$19),$P$20))-SUM($P135:R135)</f>
        <v>#VALUE!</v>
      </c>
      <c r="T135" s="446" t="e">
        <f>IF(OR($B135="",MIN(T$38,$D$19)&lt;MAX($P$34*($B135+IF($R$17="Distrato",$I$38-1,0)),IF(AND($L$37=0,$P$34=0),"",$L$37-1),IF($R$17="Distrato",$E135,0))),0,YEARFRAC(MAX($P$34*($B135+IF($R$17="Distrato",$I$38-1,0)),IF(AND($L$37=0,$P$34=0),"",$L$37-1),IF($R$17="Distrato",$E135,0)),MIN(T$38,$D$19),$P$20))-SUM($P135:S135)</f>
        <v>#VALUE!</v>
      </c>
      <c r="U135" s="446" t="e">
        <f>IF(OR($B135="",MIN(U$38,$D$19)&lt;MAX($P$34*($B135+IF($R$17="Distrato",$I$38-1,0)),IF(AND($L$37=0,$P$34=0),"",$L$37-1),IF($R$17="Distrato",$E135,0))),0,YEARFRAC(MAX($P$34*($B135+IF($R$17="Distrato",$I$38-1,0)),IF(AND($L$37=0,$P$34=0),"",$L$37-1),IF($R$17="Distrato",$E135,0)),MIN(U$38,$D$19),$P$20))-SUM($P135:T135)</f>
        <v>#VALUE!</v>
      </c>
      <c r="V135" s="446" t="e">
        <f>IF(OR($B135="",MIN(V$38,$D$19)&lt;MAX($P$34*($B135+IF($R$17="Distrato",$I$38-1,0)),IF(AND($L$37=0,$P$34=0),"",$L$37-1),IF($R$17="Distrato",$E135,0))),0,YEARFRAC(MAX($P$34*($B135+IF($R$17="Distrato",$I$38-1,0)),IF(AND($L$37=0,$P$34=0),"",$L$37-1),IF($R$17="Distrato",$E135,0)),MIN(V$38,$D$19),$P$20))-SUM($P135:U135)</f>
        <v>#VALUE!</v>
      </c>
      <c r="W135" s="446" t="e">
        <f>IF(OR($B135="",MIN(W$38,$D$19)&lt;MAX($P$34*($B135+IF($R$17="Distrato",$I$38-1,0)),IF(AND($L$37=0,$P$34=0),"",$L$37-1),IF($R$17="Distrato",$E135,0))),0,YEARFRAC(MAX($P$34*($B135+IF($R$17="Distrato",$I$38-1,0)),IF(AND($L$37=0,$P$34=0),"",$L$37-1),IF($R$17="Distrato",$E135,0)),MIN(W$38,$D$19),$P$20))-SUM($P135:V135)</f>
        <v>#VALUE!</v>
      </c>
      <c r="X135" s="446" t="e">
        <f>IF(OR($B135="",MIN(X$38,$D$19)&lt;MAX($P$34*($B135+IF($R$17="Distrato",$I$38-1,0)),IF(AND($L$37=0,$P$34=0),"",$L$37-1),IF($R$17="Distrato",$E135,0))),0,YEARFRAC(MAX($P$34*($B135+IF($R$17="Distrato",$I$38-1,0)),IF(AND($L$37=0,$P$34=0),"",$L$37-1),IF($R$17="Distrato",$E135,0)),MIN(X$38,$D$19),$P$20))-SUM($P135:W135)</f>
        <v>#VALUE!</v>
      </c>
      <c r="Y135" s="446" t="e">
        <f>IF(OR($B135="",MIN(Y$38,$D$19)&lt;MAX($P$34*($B135+IF($R$17="Distrato",$I$38-1,0)),IF(AND($L$37=0,$P$34=0),"",$L$37-1),IF($R$17="Distrato",$E135,0))),0,YEARFRAC(MAX($P$34*($B135+IF($R$17="Distrato",$I$38-1,0)),IF(AND($L$37=0,$P$34=0),"",$L$37-1),IF($R$17="Distrato",$E135,0)),MIN(Y$38,$D$19),$P$20))-SUM($P135:X135)</f>
        <v>#VALUE!</v>
      </c>
      <c r="Z135" s="446" t="e">
        <f>IF(OR($B135="",MIN(Z$38,$D$19)&lt;MAX($P$34*($B135+IF($R$17="Distrato",$I$38-1,0)),IF(AND($L$37=0,$P$34=0),"",$L$37-1),IF($R$17="Distrato",$E135,0))),0,YEARFRAC(MAX($P$34*($B135+IF($R$17="Distrato",$I$38-1,0)),IF(AND($L$37=0,$P$34=0),"",$L$37-1),IF($R$17="Distrato",$E135,0)),MIN(Z$38,$D$19),$P$20))-SUM($P135:Y135)</f>
        <v>#VALUE!</v>
      </c>
      <c r="AA135" s="446" t="e">
        <f>IF(OR($B135="",MIN(AA$38,$D$19)&lt;MAX($P$34*($B135+IF($R$17="Distrato",$I$38-1,0)),IF(AND($L$37=0,$P$34=0),"",$L$37-1),IF($R$17="Distrato",$E135,0))),0,YEARFRAC(MAX($P$34*($B135+IF($R$17="Distrato",$I$38-1,0)),IF(AND($L$37=0,$P$34=0),"",$L$37-1),IF($R$17="Distrato",$E135,0)),MIN(AA$38,$D$19),$P$20))-SUM($P135:Z135)</f>
        <v>#VALUE!</v>
      </c>
      <c r="AB135" s="446" t="e">
        <f>IF(OR($B135="",MIN(AB$38,$D$19)&lt;MAX($P$34*($B135+IF($R$17="Distrato",$I$38-1,0)),IF(AND($L$37=0,$P$34=0),"",$L$37-1),IF($R$17="Distrato",$E135,0))),0,YEARFRAC(MAX($P$34*($B135+IF($R$17="Distrato",$I$38-1,0)),IF(AND($L$37=0,$P$34=0),"",$L$37-1),IF($R$17="Distrato",$E135,0)),MIN(AB$38,$D$19),$P$20))-SUM($P135:AA135)</f>
        <v>#VALUE!</v>
      </c>
      <c r="AC135" s="446" t="e">
        <f>IF(OR($B135="",MIN(AC$38,$D$19)&lt;MAX($P$34*($B135+IF($R$17="Distrato",$I$38-1,0)),IF(AND($L$37=0,$P$34=0),"",$L$37-1),IF($R$17="Distrato",$E135,0))),0,YEARFRAC(MAX($P$34*($B135+IF($R$17="Distrato",$I$38-1,0)),IF(AND($L$37=0,$P$34=0),"",$L$37-1),IF($R$17="Distrato",$E135,0)),MIN(AC$38,$D$19),$P$20))-SUM($P135:AB135)</f>
        <v>#VALUE!</v>
      </c>
      <c r="AD135" s="446" t="e">
        <f>IF(OR($B135="",MIN(AD$38,$D$19)&lt;MAX($P$34*($B135+IF($R$17="Distrato",$I$38-1,0)),IF(AND($L$37=0,$P$34=0),"",$L$37-1),IF($R$17="Distrato",$E135,0))),0,YEARFRAC(MAX($P$34*($B135+IF($R$17="Distrato",$I$38-1,0)),IF(AND($L$37=0,$P$34=0),"",$L$37-1),IF($R$17="Distrato",$E135,0)),MIN(AD$38,$D$19),$P$20))-SUM($P135:AC135)</f>
        <v>#VALUE!</v>
      </c>
      <c r="AE135" s="446" t="e">
        <f>IF(OR($B135="",MIN(AE$38,$D$19)&lt;MAX($P$34*($B135+IF($R$17="Distrato",$I$38-1,0)),IF(AND($L$37=0,$P$34=0),"",$L$37-1),IF($R$17="Distrato",$E135,0))),0,YEARFRAC(MAX($P$34*($B135+IF($R$17="Distrato",$I$38-1,0)),IF(AND($L$37=0,$P$34=0),"",$L$37-1),IF($R$17="Distrato",$E135,0)),MIN(AE$38,$D$19),$P$20))-SUM($P135:AD135)</f>
        <v>#VALUE!</v>
      </c>
      <c r="AF135" s="446" t="e">
        <f>IF(OR($B135="",MIN(AF$38,$D$19)&lt;MAX($P$34*($B135+IF($R$17="Distrato",$I$38-1,0)),IF(AND($L$37=0,$P$34=0),"",$L$37-1),IF($R$17="Distrato",$E135,0))),0,YEARFRAC(MAX($P$34*($B135+IF($R$17="Distrato",$I$38-1,0)),IF(AND($L$37=0,$P$34=0),"",$L$37-1),IF($R$17="Distrato",$E135,0)),MIN(AF$38,$D$19),$P$20))-SUM($P135:AE135)</f>
        <v>#VALUE!</v>
      </c>
      <c r="AG135" s="446" t="e">
        <f>IF(OR($B135="",MIN(AG$38,$D$19)&lt;MAX($P$34*($B135+IF($R$17="Distrato",$I$38-1,0)),IF(AND($L$37=0,$P$34=0),"",$L$37-1),IF($R$17="Distrato",$E135,0))),0,YEARFRAC(MAX($P$34*($B135+IF($R$17="Distrato",$I$38-1,0)),IF(AND($L$37=0,$P$34=0),"",$L$37-1),IF($R$17="Distrato",$E135,0)),MIN(AG$38,$D$19),$P$20))-SUM($P135:AF135)</f>
        <v>#VALUE!</v>
      </c>
      <c r="AH135" s="446" t="e">
        <f>IF(OR($B135="",MIN(AH$38,$D$19)&lt;MAX($P$34*($B135+IF($R$17="Distrato",$I$38-1,0)),IF(AND($L$37=0,$P$34=0),"",$L$37-1),IF($R$17="Distrato",$E135,0))),0,YEARFRAC(MAX($P$34*($B135+IF($R$17="Distrato",$I$38-1,0)),IF(AND($L$37=0,$P$34=0),"",$L$37-1),IF($R$17="Distrato",$E135,0)),MIN(AH$38,$D$19),$P$20))-SUM($P135:AG135)</f>
        <v>#VALUE!</v>
      </c>
      <c r="AI135" s="446" t="e">
        <f>IF(OR($B135="",MIN(AI$38,$D$19)&lt;MAX($P$34*($B135+IF($R$17="Distrato",$I$38-1,0)),IF(AND($L$37=0,$P$34=0),"",$L$37-1),IF($R$17="Distrato",$E135,0))),0,YEARFRAC(MAX($P$34*($B135+IF($R$17="Distrato",$I$38-1,0)),IF(AND($L$37=0,$P$34=0),"",$L$37-1),IF($R$17="Distrato",$E135,0)),MIN(AI$38,$D$19),$P$20))-SUM($P135:AH135)</f>
        <v>#VALUE!</v>
      </c>
      <c r="AJ135" s="446" t="e">
        <f>IF(OR($B135="",MIN(AJ$38,$D$19)&lt;MAX($P$34*($B135+IF($R$17="Distrato",$I$38-1,0)),IF(AND($L$37=0,$P$34=0),"",$L$37-1),IF($R$17="Distrato",$E135,0))),0,YEARFRAC(MAX($P$34*($B135+IF($R$17="Distrato",$I$38-1,0)),IF(AND($L$37=0,$P$34=0),"",$L$37-1),IF($R$17="Distrato",$E135,0)),MIN(AJ$38,$D$19),$P$20))-SUM($P135:AI135)</f>
        <v>#VALUE!</v>
      </c>
      <c r="AK135" s="446" t="e">
        <f>IF(OR($B135="",MIN(AK$38,$D$19)&lt;MAX($P$34*($B135+IF($R$17="Distrato",$I$38-1,0)),IF(AND($L$37=0,$P$34=0),"",$L$37-1),IF($R$17="Distrato",$E135,0))),0,YEARFRAC(MAX($P$34*($B135+IF($R$17="Distrato",$I$38-1,0)),IF(AND($L$37=0,$P$34=0),"",$L$37-1),IF($R$17="Distrato",$E135,0)),MIN(AK$38,$D$19),$P$20))-SUM($P135:AJ135)</f>
        <v>#VALUE!</v>
      </c>
      <c r="AL135" s="446" t="e">
        <f>IF(OR($B135="",MIN(AL$38,$D$19)&lt;MAX($P$34*($B135+IF($R$17="Distrato",$I$38-1,0)),IF(AND($L$37=0,$P$34=0),"",$L$37-1),IF($R$17="Distrato",$E135,0))),0,YEARFRAC(MAX($P$34*($B135+IF($R$17="Distrato",$I$38-1,0)),IF(AND($L$37=0,$P$34=0),"",$L$37-1),IF($R$17="Distrato",$E135,0)),MIN(AL$38,$D$19),$P$20))-SUM($P135:AK135)</f>
        <v>#VALUE!</v>
      </c>
      <c r="AM135" s="446" t="e">
        <f>IF(OR($B135="",MIN(AM$38,$D$19)&lt;MAX($P$34*($B135+IF($R$17="Distrato",$I$38-1,0)),IF(AND($L$37=0,$P$34=0),"",$L$37-1),IF($R$17="Distrato",$E135,0))),0,YEARFRAC(MAX($P$34*($B135+IF($R$17="Distrato",$I$38-1,0)),IF(AND($L$37=0,$P$34=0),"",$L$37-1),IF($R$17="Distrato",$E135,0)),MIN(AM$38,$D$19),$P$20))-SUM($P135:AL135)</f>
        <v>#VALUE!</v>
      </c>
      <c r="AN135" s="446" t="e">
        <f>IF(OR($B135="",MIN(AN$38,$D$19)&lt;MAX($P$34*($B135+IF($R$17="Distrato",$I$38-1,0)),IF(AND($L$37=0,$P$34=0),"",$L$37-1),IF($R$17="Distrato",$E135,0))),0,YEARFRAC(MAX($P$34*($B135+IF($R$17="Distrato",$I$38-1,0)),IF(AND($L$37=0,$P$34=0),"",$L$37-1),IF($R$17="Distrato",$E135,0)),MIN(AN$38,$D$19),$P$20))-SUM($P135:AM135)</f>
        <v>#VALUE!</v>
      </c>
      <c r="AO135" s="446" t="e">
        <f>IF(OR($B135="",MIN(AO$38,$D$19)&lt;MAX($P$34*($B135+IF($R$17="Distrato",$I$38-1,0)),IF(AND($L$37=0,$P$34=0),"",$L$37-1),IF($R$17="Distrato",$E135,0))),0,YEARFRAC(MAX($P$34*($B135+IF($R$17="Distrato",$I$38-1,0)),IF(AND($L$37=0,$P$34=0),"",$L$37-1),IF($R$17="Distrato",$E135,0)),MIN(AO$38,$D$19),$P$20))-SUM($P135:AN135)</f>
        <v>#VALUE!</v>
      </c>
      <c r="AP135" s="446" t="e">
        <f>IF(OR($B135="",MIN(AP$38,$D$19)&lt;MAX($P$34*($B135+IF($R$17="Distrato",$I$38-1,0)),IF(AND($L$37=0,$P$34=0),"",$L$37-1),IF($R$17="Distrato",$E135,0))),0,YEARFRAC(MAX($P$34*($B135+IF($R$17="Distrato",$I$38-1,0)),IF(AND($L$37=0,$P$34=0),"",$L$37-1),IF($R$17="Distrato",$E135,0)),MIN(AP$38,$D$19),$P$20))-SUM($P135:AO135)</f>
        <v>#VALUE!</v>
      </c>
      <c r="AQ135" s="446" t="e">
        <f>IF(OR($B135="",MIN(AQ$38,$D$19)&lt;MAX($P$34*($B135+IF($R$17="Distrato",$I$38-1,0)),IF(AND($L$37=0,$P$34=0),"",$L$37-1),IF($R$17="Distrato",$E135,0))),0,YEARFRAC(MAX($P$34*($B135+IF($R$17="Distrato",$I$38-1,0)),IF(AND($L$37=0,$P$34=0),"",$L$37-1),IF($R$17="Distrato",$E135,0)),MIN(AQ$38,$D$19),$P$20))-SUM($P135:AP135)</f>
        <v>#VALUE!</v>
      </c>
      <c r="AR135" s="446" t="e">
        <f>IF(OR($B135="",MIN(AR$38,$D$19)&lt;MAX($P$34*($B135+IF($R$17="Distrato",$I$38-1,0)),IF(AND($L$37=0,$P$34=0),"",$L$37-1),IF($R$17="Distrato",$E135,0))),0,YEARFRAC(MAX($P$34*($B135+IF($R$17="Distrato",$I$38-1,0)),IF(AND($L$37=0,$P$34=0),"",$L$37-1),IF($R$17="Distrato",$E135,0)),MIN(AR$38,$D$19),$P$20))-SUM($P135:AQ135)</f>
        <v>#VALUE!</v>
      </c>
      <c r="AS135" s="446" t="e">
        <f>IF(OR($B135="",MIN(AS$38,$D$19)&lt;MAX($P$34*($B135+IF($R$17="Distrato",$I$38-1,0)),IF(AND($L$37=0,$P$34=0),"",$L$37-1),IF($R$17="Distrato",$E135,0))),0,YEARFRAC(MAX($P$34*($B135+IF($R$17="Distrato",$I$38-1,0)),IF(AND($L$37=0,$P$34=0),"",$L$37-1),IF($R$17="Distrato",$E135,0)),MIN(AS$38,$D$19),$P$20))-SUM($P135:AR135)</f>
        <v>#VALUE!</v>
      </c>
      <c r="AT135" s="446" t="e">
        <f>IF(OR($B135="",MIN(AT$38,$D$19)&lt;MAX($P$34*($B135+IF($R$17="Distrato",$I$38-1,0)),IF(AND($L$37=0,$P$34=0),"",$L$37-1),IF($R$17="Distrato",$E135,0))),0,YEARFRAC(MAX($P$34*($B135+IF($R$17="Distrato",$I$38-1,0)),IF(AND($L$37=0,$P$34=0),"",$L$37-1),IF($R$17="Distrato",$E135,0)),MIN(AT$38,$D$19),$P$20))-SUM($P135:AS135)</f>
        <v>#VALUE!</v>
      </c>
      <c r="AU135" s="446" t="e">
        <f>IF(OR($B135="",MIN(AU$38,$D$19)&lt;MAX($P$34*($B135+IF($R$17="Distrato",$I$38-1,0)),IF(AND($L$37=0,$P$34=0),"",$L$37-1),IF($R$17="Distrato",$E135,0))),0,YEARFRAC(MAX($P$34*($B135+IF($R$17="Distrato",$I$38-1,0)),IF(AND($L$37=0,$P$34=0),"",$L$37-1),IF($R$17="Distrato",$E135,0)),MIN(AU$38,$D$19),$P$20))-SUM($P135:AT135)</f>
        <v>#VALUE!</v>
      </c>
      <c r="AV135" s="446" t="e">
        <f>IF(OR($B135="",MIN(AV$38,$D$19)&lt;MAX($P$34*($B135+IF($R$17="Distrato",$I$38-1,0)),IF(AND($L$37=0,$P$34=0),"",$L$37-1),IF($R$17="Distrato",$E135,0))),0,YEARFRAC(MAX($P$34*($B135+IF($R$17="Distrato",$I$38-1,0)),IF(AND($L$37=0,$P$34=0),"",$L$37-1),IF($R$17="Distrato",$E135,0)),MIN(AV$38,$D$19),$P$20))-SUM($P135:AU135)</f>
        <v>#VALUE!</v>
      </c>
      <c r="AW135" s="446" t="e">
        <f>IF(OR($B135="",MIN(AW$38,$D$19)&lt;MAX($P$34*($B135+IF($R$17="Distrato",$I$38-1,0)),IF(AND($L$37=0,$P$34=0),"",$L$37-1),IF($R$17="Distrato",$E135,0))),0,YEARFRAC(MAX($P$34*($B135+IF($R$17="Distrato",$I$38-1,0)),IF(AND($L$37=0,$P$34=0),"",$L$37-1),IF($R$17="Distrato",$E135,0)),MIN(AW$38,$D$19),$P$20))-SUM($P135:AV135)</f>
        <v>#VALUE!</v>
      </c>
      <c r="AX135" s="446" t="e">
        <f>IF(OR($B135="",MIN(AX$38,$D$19)&lt;MAX($P$34*($B135+IF($R$17="Distrato",$I$38-1,0)),IF(AND($L$37=0,$P$34=0),"",$L$37-1),IF($R$17="Distrato",$E135,0))),0,YEARFRAC(MAX($P$34*($B135+IF($R$17="Distrato",$I$38-1,0)),IF(AND($L$37=0,$P$34=0),"",$L$37-1),IF($R$17="Distrato",$E135,0)),MIN(AX$38,$D$19),$P$20))-SUM($P135:AW135)</f>
        <v>#VALUE!</v>
      </c>
      <c r="AY135" s="446" t="e">
        <f>IF(OR($B135="",MIN(AY$38,$D$19)&lt;MAX($P$34*($B135+IF($R$17="Distrato",$I$38-1,0)),IF(AND($L$37=0,$P$34=0),"",$L$37-1),IF($R$17="Distrato",$E135,0))),0,YEARFRAC(MAX($P$34*($B135+IF($R$17="Distrato",$I$38-1,0)),IF(AND($L$37=0,$P$34=0),"",$L$37-1),IF($R$17="Distrato",$E135,0)),MIN(AY$38,$D$19),$P$20))-SUM($P135:AX135)</f>
        <v>#VALUE!</v>
      </c>
      <c r="AZ135" s="446" t="e">
        <f>IF(OR($B135="",MIN(AZ$38,$D$19)&lt;MAX($P$34*($B135+IF($R$17="Distrato",$I$38-1,0)),IF(AND($L$37=0,$P$34=0),"",$L$37-1),IF($R$17="Distrato",$E135,0))),0,YEARFRAC(MAX($P$34*($B135+IF($R$17="Distrato",$I$38-1,0)),IF(AND($L$37=0,$P$34=0),"",$L$37-1),IF($R$17="Distrato",$E135,0)),MIN(AZ$38,$D$19),$P$20))-SUM($P135:AY135)</f>
        <v>#VALUE!</v>
      </c>
      <c r="BA135" s="446" t="e">
        <f>IF(OR($B135="",MIN(BA$38,$D$19)&lt;MAX($P$34*($B135+IF($R$17="Distrato",$I$38-1,0)),IF(AND($L$37=0,$P$34=0),"",$L$37-1),IF($R$17="Distrato",$E135,0))),0,YEARFRAC(MAX($P$34*($B135+IF($R$17="Distrato",$I$38-1,0)),IF(AND($L$37=0,$P$34=0),"",$L$37-1),IF($R$17="Distrato",$E135,0)),MIN(BA$38,$D$19),$P$20))-SUM($P135:AZ135)</f>
        <v>#VALUE!</v>
      </c>
      <c r="BB135" s="447"/>
      <c r="BF135" s="446">
        <f t="shared" si="21"/>
        <v>0</v>
      </c>
      <c r="BG135" s="446">
        <f>IF($E135=0,0,IF(MIN(BG$38,$E135)&lt;MAX($P$34*($B135+$I$38-1),IF(AND($L$37=0,$P$34=0),"",$L$37-1)),0,YEARFRAC(MAX($P$34*($B135+$I$38-1),IF(AND($L$37=0,$P$34=0),"",$L$37-1)),MIN(BG$38,$E135),$P$20))-SUM($BF135:BF135))</f>
        <v>0</v>
      </c>
      <c r="BH135" s="446">
        <f>IF($E135=0,0,IF(MIN(BH$38,$E135)&lt;MAX($P$34*($B135+$I$38-1),IF(AND($L$37=0,$P$34=0),"",$L$37-1)),0,YEARFRAC(MAX($P$34*($B135+$I$38-1),IF(AND($L$37=0,$P$34=0),"",$L$37-1)),MIN(BH$38,$E135),$P$20))-SUM($BF135:BG135))</f>
        <v>0</v>
      </c>
      <c r="BI135" s="446">
        <f>IF($E135=0,0,IF(MIN(BI$38,$E135)&lt;MAX($P$34*($B135+$I$38-1),IF(AND($L$37=0,$P$34=0),"",$L$37-1)),0,YEARFRAC(MAX($P$34*($B135+$I$38-1),IF(AND($L$37=0,$P$34=0),"",$L$37-1)),MIN(BI$38,$E135),$P$20))-SUM($BF135:BH135))</f>
        <v>0</v>
      </c>
      <c r="BJ135" s="446">
        <f>IF($E135=0,0,IF(MIN(BJ$38,$E135)&lt;MAX($P$34*($B135+$I$38-1),IF(AND($L$37=0,$P$34=0),"",$L$37-1)),0,YEARFRAC(MAX($P$34*($B135+$I$38-1),IF(AND($L$37=0,$P$34=0),"",$L$37-1)),MIN(BJ$38,$E135),$P$20))-SUM($BF135:BI135))</f>
        <v>0</v>
      </c>
      <c r="BK135" s="446">
        <f>IF($E135=0,0,IF(MIN(BK$38,$E135)&lt;MAX($P$34*($B135+$I$38-1),IF(AND($L$37=0,$P$34=0),"",$L$37-1)),0,YEARFRAC(MAX($P$34*($B135+$I$38-1),IF(AND($L$37=0,$P$34=0),"",$L$37-1)),MIN(BK$38,$E135),$P$20))-SUM($BF135:BJ135))</f>
        <v>0</v>
      </c>
      <c r="BL135" s="446">
        <f>IF($E135=0,0,IF(MIN(BL$38,$E135)&lt;MAX($P$34*($B135+$I$38-1),IF(AND($L$37=0,$P$34=0),"",$L$37-1)),0,YEARFRAC(MAX($P$34*($B135+$I$38-1),IF(AND($L$37=0,$P$34=0),"",$L$37-1)),MIN(BL$38,$E135),$P$20))-SUM($BF135:BK135))</f>
        <v>0</v>
      </c>
      <c r="BM135" s="446">
        <f>IF($E135=0,0,IF(MIN(BM$38,$E135)&lt;MAX($P$34*($B135+$I$38-1),IF(AND($L$37=0,$P$34=0),"",$L$37-1)),0,YEARFRAC(MAX($P$34*($B135+$I$38-1),IF(AND($L$37=0,$P$34=0),"",$L$37-1)),MIN(BM$38,$E135),$P$20))-SUM($BF135:BL135))</f>
        <v>0</v>
      </c>
      <c r="BN135" s="446">
        <f>IF($E135=0,0,IF(MIN(BN$38,$E135)&lt;MAX($P$34*($B135+$I$38-1),IF(AND($L$37=0,$P$34=0),"",$L$37-1)),0,YEARFRAC(MAX($P$34*($B135+$I$38-1),IF(AND($L$37=0,$P$34=0),"",$L$37-1)),MIN(BN$38,$E135),$P$20))-SUM($BF135:BM135))</f>
        <v>0</v>
      </c>
      <c r="BO135" s="446">
        <f>IF($E135=0,0,IF(MIN(BO$38,$E135)&lt;MAX($P$34*($B135+$I$38-1),IF(AND($L$37=0,$P$34=0),"",$L$37-1)),0,YEARFRAC(MAX($P$34*($B135+$I$38-1),IF(AND($L$37=0,$P$34=0),"",$L$37-1)),MIN(BO$38,$E135),$P$20))-SUM($BF135:BN135))</f>
        <v>0</v>
      </c>
      <c r="BP135" s="446">
        <f>IF($E135=0,0,IF(MIN(BP$38,$E135)&lt;MAX($P$34*($B135+$I$38-1),IF(AND($L$37=0,$P$34=0),"",$L$37-1)),0,YEARFRAC(MAX($P$34*($B135+$I$38-1),IF(AND($L$37=0,$P$34=0),"",$L$37-1)),MIN(BP$38,$E135),$P$20))-SUM($BF135:BO135))</f>
        <v>0</v>
      </c>
      <c r="BQ135" s="446">
        <f>IF($E135=0,0,IF(MIN(BQ$38,$E135)&lt;MAX($P$34*($B135+$I$38-1),IF(AND($L$37=0,$P$34=0),"",$L$37-1)),0,YEARFRAC(MAX($P$34*($B135+$I$38-1),IF(AND($L$37=0,$P$34=0),"",$L$37-1)),MIN(BQ$38,$E135),$P$20))-SUM($BF135:BP135))</f>
        <v>0</v>
      </c>
      <c r="BR135" s="446">
        <f>IF($E135=0,0,IF(MIN(BR$38,$E135)&lt;MAX($P$34*($B135+$I$38-1),IF(AND($L$37=0,$P$34=0),"",$L$37-1)),0,YEARFRAC(MAX($P$34*($B135+$I$38-1),IF(AND($L$37=0,$P$34=0),"",$L$37-1)),MIN(BR$38,$E135),$P$20))-SUM($BF135:BQ135))</f>
        <v>0</v>
      </c>
      <c r="BS135" s="446">
        <f>IF($E135=0,0,IF(MIN(BS$38,$E135)&lt;MAX($P$34*($B135+$I$38-1),IF(AND($L$37=0,$P$34=0),"",$L$37-1)),0,YEARFRAC(MAX($P$34*($B135+$I$38-1),IF(AND($L$37=0,$P$34=0),"",$L$37-1)),MIN(BS$38,$E135),$P$20))-SUM($BF135:BR135))</f>
        <v>0</v>
      </c>
      <c r="BT135" s="446">
        <f>IF($E135=0,0,IF(MIN(BT$38,$E135)&lt;MAX($P$34*($B135+$I$38-1),IF(AND($L$37=0,$P$34=0),"",$L$37-1)),0,YEARFRAC(MAX($P$34*($B135+$I$38-1),IF(AND($L$37=0,$P$34=0),"",$L$37-1)),MIN(BT$38,$E135),$P$20))-SUM($BF135:BS135))</f>
        <v>0</v>
      </c>
      <c r="BU135" s="446">
        <f>IF($E135=0,0,IF(MIN(BU$38,$E135)&lt;MAX($P$34*($B135+$I$38-1),IF(AND($L$37=0,$P$34=0),"",$L$37-1)),0,YEARFRAC(MAX($P$34*($B135+$I$38-1),IF(AND($L$37=0,$P$34=0),"",$L$37-1)),MIN(BU$38,$E135),$P$20))-SUM($BF135:BT135))</f>
        <v>0</v>
      </c>
      <c r="BV135" s="446">
        <f>IF($E135=0,0,IF(MIN(BV$38,$E135)&lt;MAX($P$34*($B135+$I$38-1),IF(AND($L$37=0,$P$34=0),"",$L$37-1)),0,YEARFRAC(MAX($P$34*($B135+$I$38-1),IF(AND($L$37=0,$P$34=0),"",$L$37-1)),MIN(BV$38,$E135),$P$20))-SUM($BF135:BU135))</f>
        <v>0</v>
      </c>
      <c r="BW135" s="446">
        <f>IF($E135=0,0,IF(MIN(BW$38,$E135)&lt;MAX($P$34*($B135+$I$38-1),IF(AND($L$37=0,$P$34=0),"",$L$37-1)),0,YEARFRAC(MAX($P$34*($B135+$I$38-1),IF(AND($L$37=0,$P$34=0),"",$L$37-1)),MIN(BW$38,$E135),$P$20))-SUM($BF135:BV135))</f>
        <v>0</v>
      </c>
      <c r="BX135" s="446">
        <f>IF($E135=0,0,IF(MIN(BX$38,$E135)&lt;MAX($P$34*($B135+$I$38-1),IF(AND($L$37=0,$P$34=0),"",$L$37-1)),0,YEARFRAC(MAX($P$34*($B135+$I$38-1),IF(AND($L$37=0,$P$34=0),"",$L$37-1)),MIN(BX$38,$E135),$P$20))-SUM($BF135:BW135))</f>
        <v>0</v>
      </c>
      <c r="BY135" s="446">
        <f>IF($E135=0,0,IF(MIN(BY$38,$E135)&lt;MAX($P$34*($B135+$I$38-1),IF(AND($L$37=0,$P$34=0),"",$L$37-1)),0,YEARFRAC(MAX($P$34*($B135+$I$38-1),IF(AND($L$37=0,$P$34=0),"",$L$37-1)),MIN(BY$38,$E135),$P$20))-SUM($BF135:BX135))</f>
        <v>0</v>
      </c>
      <c r="BZ135" s="446">
        <f>IF($E135=0,0,IF(MIN(BZ$38,$E135)&lt;MAX($P$34*($B135+$I$38-1),IF(AND($L$37=0,$P$34=0),"",$L$37-1)),0,YEARFRAC(MAX($P$34*($B135+$I$38-1),IF(AND($L$37=0,$P$34=0),"",$L$37-1)),MIN(BZ$38,$E135),$P$20))-SUM($BF135:BY135))</f>
        <v>0</v>
      </c>
      <c r="CA135" s="446">
        <f>IF($E135=0,0,IF(MIN(CA$38,$E135)&lt;MAX($P$34*($B135+$I$38-1),IF(AND($L$37=0,$P$34=0),"",$L$37-1)),0,YEARFRAC(MAX($P$34*($B135+$I$38-1),IF(AND($L$37=0,$P$34=0),"",$L$37-1)),MIN(CA$38,$E135),$P$20))-SUM($BF135:BZ135))</f>
        <v>0</v>
      </c>
      <c r="CB135" s="446">
        <f>IF($E135=0,0,IF(MIN(CB$38,$E135)&lt;MAX($P$34*($B135+$I$38-1),IF(AND($L$37=0,$P$34=0),"",$L$37-1)),0,YEARFRAC(MAX($P$34*($B135+$I$38-1),IF(AND($L$37=0,$P$34=0),"",$L$37-1)),MIN(CB$38,$E135),$P$20))-SUM($BF135:CA135))</f>
        <v>0</v>
      </c>
      <c r="CC135" s="446">
        <f>IF($E135=0,0,IF(MIN(CC$38,$E135)&lt;MAX($P$34*($B135+$I$38-1),IF(AND($L$37=0,$P$34=0),"",$L$37-1)),0,YEARFRAC(MAX($P$34*($B135+$I$38-1),IF(AND($L$37=0,$P$34=0),"",$L$37-1)),MIN(CC$38,$E135),$P$20))-SUM($BF135:CB135))</f>
        <v>0</v>
      </c>
      <c r="CD135" s="446">
        <f>IF($E135=0,0,IF(MIN(CD$38,$E135)&lt;MAX($P$34*($B135+$I$38-1),IF(AND($L$37=0,$P$34=0),"",$L$37-1)),0,YEARFRAC(MAX($P$34*($B135+$I$38-1),IF(AND($L$37=0,$P$34=0),"",$L$37-1)),MIN(CD$38,$E135),$P$20))-SUM($BF135:CC135))</f>
        <v>0</v>
      </c>
      <c r="CE135" s="446">
        <f>IF($E135=0,0,IF(MIN(CE$38,$E135)&lt;MAX($P$34*($B135+$I$38-1),IF(AND($L$37=0,$P$34=0),"",$L$37-1)),0,YEARFRAC(MAX($P$34*($B135+$I$38-1),IF(AND($L$37=0,$P$34=0),"",$L$37-1)),MIN(CE$38,$E135),$P$20))-SUM($BF135:CD135))</f>
        <v>0</v>
      </c>
      <c r="CF135" s="446">
        <f>IF($E135=0,0,IF(MIN(CF$38,$E135)&lt;MAX($P$34*($B135+$I$38-1),IF(AND($L$37=0,$P$34=0),"",$L$37-1)),0,YEARFRAC(MAX($P$34*($B135+$I$38-1),IF(AND($L$37=0,$P$34=0),"",$L$37-1)),MIN(CF$38,$E135),$P$20))-SUM($BF135:CE135))</f>
        <v>0</v>
      </c>
      <c r="CG135" s="446">
        <f>IF($E135=0,0,IF(MIN(CG$38,$E135)&lt;MAX($P$34*($B135+$I$38-1),IF(AND($L$37=0,$P$34=0),"",$L$37-1)),0,YEARFRAC(MAX($P$34*($B135+$I$38-1),IF(AND($L$37=0,$P$34=0),"",$L$37-1)),MIN(CG$38,$E135),$P$20))-SUM($BF135:CF135))</f>
        <v>0</v>
      </c>
      <c r="CH135" s="446">
        <f>IF($E135=0,0,IF(MIN(CH$38,$E135)&lt;MAX($P$34*($B135+$I$38-1),IF(AND($L$37=0,$P$34=0),"",$L$37-1)),0,YEARFRAC(MAX($P$34*($B135+$I$38-1),IF(AND($L$37=0,$P$34=0),"",$L$37-1)),MIN(CH$38,$E135),$P$20))-SUM($BF135:CG135))</f>
        <v>0</v>
      </c>
      <c r="CI135" s="446">
        <f>IF($E135=0,0,IF(MIN(CI$38,$E135)&lt;MAX($P$34*($B135+$I$38-1),IF(AND($L$37=0,$P$34=0),"",$L$37-1)),0,YEARFRAC(MAX($P$34*($B135+$I$38-1),IF(AND($L$37=0,$P$34=0),"",$L$37-1)),MIN(CI$38,$E135),$P$20))-SUM($BF135:CH135))</f>
        <v>0</v>
      </c>
      <c r="CJ135" s="446">
        <f>IF($E135=0,0,IF(MIN(CJ$38,$E135)&lt;MAX($P$34*($B135+$I$38-1),IF(AND($L$37=0,$P$34=0),"",$L$37-1)),0,YEARFRAC(MAX($P$34*($B135+$I$38-1),IF(AND($L$37=0,$P$34=0),"",$L$37-1)),MIN(CJ$38,$E135),$P$20))-SUM($BF135:CI135))</f>
        <v>0</v>
      </c>
      <c r="CK135" s="446">
        <f>IF($E135=0,0,IF(MIN(CK$38,$E135)&lt;MAX($P$34*($B135+$I$38-1),IF(AND($L$37=0,$P$34=0),"",$L$37-1)),0,YEARFRAC(MAX($P$34*($B135+$I$38-1),IF(AND($L$37=0,$P$34=0),"",$L$37-1)),MIN(CK$38,$E135),$P$20))-SUM($BF135:CJ135))</f>
        <v>0</v>
      </c>
      <c r="CL135" s="446">
        <f>IF($E135=0,0,IF(MIN(CL$38,$E135)&lt;MAX($P$34*($B135+$I$38-1),IF(AND($L$37=0,$P$34=0),"",$L$37-1)),0,YEARFRAC(MAX($P$34*($B135+$I$38-1),IF(AND($L$37=0,$P$34=0),"",$L$37-1)),MIN(CL$38,$E135),$P$20))-SUM($BF135:CK135))</f>
        <v>0</v>
      </c>
      <c r="CM135" s="446">
        <f>IF($E135=0,0,IF(MIN(CM$38,$E135)&lt;MAX($P$34*($B135+$I$38-1),IF(AND($L$37=0,$P$34=0),"",$L$37-1)),0,YEARFRAC(MAX($P$34*($B135+$I$38-1),IF(AND($L$37=0,$P$34=0),"",$L$37-1)),MIN(CM$38,$E135),$P$20))-SUM($BF135:CL135))</f>
        <v>0</v>
      </c>
      <c r="CN135" s="446">
        <f>IF($E135=0,0,IF(MIN(CN$38,$E135)&lt;MAX($P$34*($B135+$I$38-1),IF(AND($L$37=0,$P$34=0),"",$L$37-1)),0,YEARFRAC(MAX($P$34*($B135+$I$38-1),IF(AND($L$37=0,$P$34=0),"",$L$37-1)),MIN(CN$38,$E135),$P$20))-SUM($BF135:CM135))</f>
        <v>0</v>
      </c>
      <c r="CO135" s="446">
        <f>IF($E135=0,0,IF(MIN(CO$38,$E135)&lt;MAX($P$34*($B135+$I$38-1),IF(AND($L$37=0,$P$34=0),"",$L$37-1)),0,YEARFRAC(MAX($P$34*($B135+$I$38-1),IF(AND($L$37=0,$P$34=0),"",$L$37-1)),MIN(CO$38,$E135),$P$20))-SUM($BF135:CN135))</f>
        <v>0</v>
      </c>
      <c r="CP135" s="446">
        <f>IF($E135=0,0,IF(MIN(CP$38,$E135)&lt;MAX($P$34*($B135+$I$38-1),IF(AND($L$37=0,$P$34=0),"",$L$37-1)),0,YEARFRAC(MAX($P$34*($B135+$I$38-1),IF(AND($L$37=0,$P$34=0),"",$L$37-1)),MIN(CP$38,$E135),$P$20))-SUM($BF135:CO135))</f>
        <v>0</v>
      </c>
      <c r="CQ135" s="446">
        <f>IF($E135=0,0,IF(MIN(CQ$38,$E135)&lt;MAX($P$34*($B135+$I$38-1),IF(AND($L$37=0,$P$34=0),"",$L$37-1)),0,YEARFRAC(MAX($P$34*($B135+$I$38-1),IF(AND($L$37=0,$P$34=0),"",$L$37-1)),MIN(CQ$38,$E135),$P$20))-SUM($BF135:CP135))</f>
        <v>0</v>
      </c>
    </row>
    <row r="136" spans="1:95" s="446" customFormat="1" ht="11.25" hidden="1" customHeight="1" x14ac:dyDescent="0.2">
      <c r="A136" s="152"/>
      <c r="B136" s="153" t="str">
        <f t="shared" si="26"/>
        <v/>
      </c>
      <c r="C136" s="29" t="str">
        <f>IF(B136="","",IF($L$35="SELIC - TRIBUTOS",VLOOKUP(DATE(YEAR($D$19),MONTH($D$19)-1,1),ÍNDICES!$A:$DE,HLOOKUP($BL$25,ÍNDICES!$B$3:$T$4,2)+11)-VLOOKUP(B136,ÍNDICES!$A:$DE,HLOOKUP($BL$25,ÍNDICES!$B$3:$T$4,2)+11)+1%,IF(C$38=$W$26,$J$35,IF(ISERROR(IF(B136&gt;$D$19,1,VLOOKUP(DATE(YEAR(B136),MONTH(B136)+IF($C$35=$S$23,1,0),1),ÍNDICES!$A:$DE,$Z$35+1))),"",IF(B136&gt;$D$19,1,VLOOKUP(DATE(YEAR(B136),MONTH(B136)+IF($C$35=$S$23,1,0),1),ÍNDICES!$A:$DE,$Z$35+1))))))</f>
        <v/>
      </c>
      <c r="D136" s="154" t="str">
        <f>IF(ISERROR(IF(OR($D$38=$Y$27,$B136=""),"",VLOOKUP(B136,ÍNDICES!A:DE,AF$35+1))),"",IF(OR($D$38=$Y$27,$B136=""),"",VLOOKUP(B136,ÍNDICES!A:DE,AF$35+1)))</f>
        <v/>
      </c>
      <c r="E136" s="153"/>
      <c r="F136" s="29" t="str">
        <f>IF(E136="","",IF($L$35="SELIC - TRIBUTOS",VLOOKUP(DATE(YEAR($D$19),MONTH($D$19)-1,1),ÍNDICES!$A:$DE,HLOOKUP($BL$25,ÍNDICES!$B$3:$T$4,2)+11)-VLOOKUP(E136,ÍNDICES!$A:$DE,HLOOKUP($BL$25,ÍNDICES!$B$3:$T$4,2)+11)+1%,IF(F$38=$W$26,$J$35,IF(ISERROR(IF(E136&gt;$D$19,1,VLOOKUP(DATE(YEAR(E136),MONTH(E136)+IF($C$35=$S$23,1,0),1),ÍNDICES!$A:$DE,$Z$35+1))),"",IF(E136&gt;$D$19,1,VLOOKUP(DATE(YEAR(E136),MONTH(E136)+IF($C$35=$S$23,1,0),1),ÍNDICES!$A:$DE,$Z$35+1))))))</f>
        <v/>
      </c>
      <c r="G136" s="155"/>
      <c r="H136" s="156" t="str">
        <f t="shared" si="22"/>
        <v/>
      </c>
      <c r="I136" s="29" t="str">
        <f t="shared" si="16"/>
        <v/>
      </c>
      <c r="J136" s="5">
        <f t="shared" si="17"/>
        <v>0</v>
      </c>
      <c r="K136" s="20">
        <f t="shared" ca="1" si="18"/>
        <v>0</v>
      </c>
      <c r="L136" s="5">
        <f t="shared" ca="1" si="19"/>
        <v>0</v>
      </c>
      <c r="M136" s="64">
        <f t="shared" si="23"/>
        <v>0</v>
      </c>
      <c r="N136" s="61">
        <f t="shared" ca="1" si="24"/>
        <v>0</v>
      </c>
      <c r="O136" s="5">
        <f t="shared" ca="1" si="25"/>
        <v>0</v>
      </c>
      <c r="P136" s="446" t="e">
        <f t="shared" si="20"/>
        <v>#VALUE!</v>
      </c>
      <c r="Q136" s="446" t="e">
        <f>IF(OR($B136="",MIN(Q$38,$D$19)&lt;MAX($P$34*($B136+IF($R$17="Distrato",$I$38-1,0)),IF(AND($L$37=0,$P$34=0),"",$L$37-1),IF($R$17="Distrato",$E136,0))),0,YEARFRAC(MAX($P$34*($B136+IF($R$17="Distrato",$I$38-1,0)),IF(AND($L$37=0,$P$34=0),"",$L$37-1),IF($R$17="Distrato",$E136,0)),MIN(Q$38,$D$19),$P$20))-SUM($P136:P136)</f>
        <v>#VALUE!</v>
      </c>
      <c r="R136" s="446" t="e">
        <f>IF(OR($B136="",MIN(R$38,$D$19)&lt;MAX($P$34*($B136+IF($R$17="Distrato",$I$38-1,0)),IF(AND($L$37=0,$P$34=0),"",$L$37-1),IF($R$17="Distrato",$E136,0))),0,YEARFRAC(MAX($P$34*($B136+IF($R$17="Distrato",$I$38-1,0)),IF(AND($L$37=0,$P$34=0),"",$L$37-1),IF($R$17="Distrato",$E136,0)),MIN(R$38,$D$19),$P$20))-SUM($P136:Q136)</f>
        <v>#VALUE!</v>
      </c>
      <c r="S136" s="446" t="e">
        <f>IF(OR($B136="",MIN(S$38,$D$19)&lt;MAX($P$34*($B136+IF($R$17="Distrato",$I$38-1,0)),IF(AND($L$37=0,$P$34=0),"",$L$37-1),IF($R$17="Distrato",$E136,0))),0,YEARFRAC(MAX($P$34*($B136+IF($R$17="Distrato",$I$38-1,0)),IF(AND($L$37=0,$P$34=0),"",$L$37-1),IF($R$17="Distrato",$E136,0)),MIN(S$38,$D$19),$P$20))-SUM($P136:R136)</f>
        <v>#VALUE!</v>
      </c>
      <c r="T136" s="446" t="e">
        <f>IF(OR($B136="",MIN(T$38,$D$19)&lt;MAX($P$34*($B136+IF($R$17="Distrato",$I$38-1,0)),IF(AND($L$37=0,$P$34=0),"",$L$37-1),IF($R$17="Distrato",$E136,0))),0,YEARFRAC(MAX($P$34*($B136+IF($R$17="Distrato",$I$38-1,0)),IF(AND($L$37=0,$P$34=0),"",$L$37-1),IF($R$17="Distrato",$E136,0)),MIN(T$38,$D$19),$P$20))-SUM($P136:S136)</f>
        <v>#VALUE!</v>
      </c>
      <c r="U136" s="446" t="e">
        <f>IF(OR($B136="",MIN(U$38,$D$19)&lt;MAX($P$34*($B136+IF($R$17="Distrato",$I$38-1,0)),IF(AND($L$37=0,$P$34=0),"",$L$37-1),IF($R$17="Distrato",$E136,0))),0,YEARFRAC(MAX($P$34*($B136+IF($R$17="Distrato",$I$38-1,0)),IF(AND($L$37=0,$P$34=0),"",$L$37-1),IF($R$17="Distrato",$E136,0)),MIN(U$38,$D$19),$P$20))-SUM($P136:T136)</f>
        <v>#VALUE!</v>
      </c>
      <c r="V136" s="446" t="e">
        <f>IF(OR($B136="",MIN(V$38,$D$19)&lt;MAX($P$34*($B136+IF($R$17="Distrato",$I$38-1,0)),IF(AND($L$37=0,$P$34=0),"",$L$37-1),IF($R$17="Distrato",$E136,0))),0,YEARFRAC(MAX($P$34*($B136+IF($R$17="Distrato",$I$38-1,0)),IF(AND($L$37=0,$P$34=0),"",$L$37-1),IF($R$17="Distrato",$E136,0)),MIN(V$38,$D$19),$P$20))-SUM($P136:U136)</f>
        <v>#VALUE!</v>
      </c>
      <c r="W136" s="446" t="e">
        <f>IF(OR($B136="",MIN(W$38,$D$19)&lt;MAX($P$34*($B136+IF($R$17="Distrato",$I$38-1,0)),IF(AND($L$37=0,$P$34=0),"",$L$37-1),IF($R$17="Distrato",$E136,0))),0,YEARFRAC(MAX($P$34*($B136+IF($R$17="Distrato",$I$38-1,0)),IF(AND($L$37=0,$P$34=0),"",$L$37-1),IF($R$17="Distrato",$E136,0)),MIN(W$38,$D$19),$P$20))-SUM($P136:V136)</f>
        <v>#VALUE!</v>
      </c>
      <c r="X136" s="446" t="e">
        <f>IF(OR($B136="",MIN(X$38,$D$19)&lt;MAX($P$34*($B136+IF($R$17="Distrato",$I$38-1,0)),IF(AND($L$37=0,$P$34=0),"",$L$37-1),IF($R$17="Distrato",$E136,0))),0,YEARFRAC(MAX($P$34*($B136+IF($R$17="Distrato",$I$38-1,0)),IF(AND($L$37=0,$P$34=0),"",$L$37-1),IF($R$17="Distrato",$E136,0)),MIN(X$38,$D$19),$P$20))-SUM($P136:W136)</f>
        <v>#VALUE!</v>
      </c>
      <c r="Y136" s="446" t="e">
        <f>IF(OR($B136="",MIN(Y$38,$D$19)&lt;MAX($P$34*($B136+IF($R$17="Distrato",$I$38-1,0)),IF(AND($L$37=0,$P$34=0),"",$L$37-1),IF($R$17="Distrato",$E136,0))),0,YEARFRAC(MAX($P$34*($B136+IF($R$17="Distrato",$I$38-1,0)),IF(AND($L$37=0,$P$34=0),"",$L$37-1),IF($R$17="Distrato",$E136,0)),MIN(Y$38,$D$19),$P$20))-SUM($P136:X136)</f>
        <v>#VALUE!</v>
      </c>
      <c r="Z136" s="446" t="e">
        <f>IF(OR($B136="",MIN(Z$38,$D$19)&lt;MAX($P$34*($B136+IF($R$17="Distrato",$I$38-1,0)),IF(AND($L$37=0,$P$34=0),"",$L$37-1),IF($R$17="Distrato",$E136,0))),0,YEARFRAC(MAX($P$34*($B136+IF($R$17="Distrato",$I$38-1,0)),IF(AND($L$37=0,$P$34=0),"",$L$37-1),IF($R$17="Distrato",$E136,0)),MIN(Z$38,$D$19),$P$20))-SUM($P136:Y136)</f>
        <v>#VALUE!</v>
      </c>
      <c r="AA136" s="446" t="e">
        <f>IF(OR($B136="",MIN(AA$38,$D$19)&lt;MAX($P$34*($B136+IF($R$17="Distrato",$I$38-1,0)),IF(AND($L$37=0,$P$34=0),"",$L$37-1),IF($R$17="Distrato",$E136,0))),0,YEARFRAC(MAX($P$34*($B136+IF($R$17="Distrato",$I$38-1,0)),IF(AND($L$37=0,$P$34=0),"",$L$37-1),IF($R$17="Distrato",$E136,0)),MIN(AA$38,$D$19),$P$20))-SUM($P136:Z136)</f>
        <v>#VALUE!</v>
      </c>
      <c r="AB136" s="446" t="e">
        <f>IF(OR($B136="",MIN(AB$38,$D$19)&lt;MAX($P$34*($B136+IF($R$17="Distrato",$I$38-1,0)),IF(AND($L$37=0,$P$34=0),"",$L$37-1),IF($R$17="Distrato",$E136,0))),0,YEARFRAC(MAX($P$34*($B136+IF($R$17="Distrato",$I$38-1,0)),IF(AND($L$37=0,$P$34=0),"",$L$37-1),IF($R$17="Distrato",$E136,0)),MIN(AB$38,$D$19),$P$20))-SUM($P136:AA136)</f>
        <v>#VALUE!</v>
      </c>
      <c r="AC136" s="446" t="e">
        <f>IF(OR($B136="",MIN(AC$38,$D$19)&lt;MAX($P$34*($B136+IF($R$17="Distrato",$I$38-1,0)),IF(AND($L$37=0,$P$34=0),"",$L$37-1),IF($R$17="Distrato",$E136,0))),0,YEARFRAC(MAX($P$34*($B136+IF($R$17="Distrato",$I$38-1,0)),IF(AND($L$37=0,$P$34=0),"",$L$37-1),IF($R$17="Distrato",$E136,0)),MIN(AC$38,$D$19),$P$20))-SUM($P136:AB136)</f>
        <v>#VALUE!</v>
      </c>
      <c r="AD136" s="446" t="e">
        <f>IF(OR($B136="",MIN(AD$38,$D$19)&lt;MAX($P$34*($B136+IF($R$17="Distrato",$I$38-1,0)),IF(AND($L$37=0,$P$34=0),"",$L$37-1),IF($R$17="Distrato",$E136,0))),0,YEARFRAC(MAX($P$34*($B136+IF($R$17="Distrato",$I$38-1,0)),IF(AND($L$37=0,$P$34=0),"",$L$37-1),IF($R$17="Distrato",$E136,0)),MIN(AD$38,$D$19),$P$20))-SUM($P136:AC136)</f>
        <v>#VALUE!</v>
      </c>
      <c r="AE136" s="446" t="e">
        <f>IF(OR($B136="",MIN(AE$38,$D$19)&lt;MAX($P$34*($B136+IF($R$17="Distrato",$I$38-1,0)),IF(AND($L$37=0,$P$34=0),"",$L$37-1),IF($R$17="Distrato",$E136,0))),0,YEARFRAC(MAX($P$34*($B136+IF($R$17="Distrato",$I$38-1,0)),IF(AND($L$37=0,$P$34=0),"",$L$37-1),IF($R$17="Distrato",$E136,0)),MIN(AE$38,$D$19),$P$20))-SUM($P136:AD136)</f>
        <v>#VALUE!</v>
      </c>
      <c r="AF136" s="446" t="e">
        <f>IF(OR($B136="",MIN(AF$38,$D$19)&lt;MAX($P$34*($B136+IF($R$17="Distrato",$I$38-1,0)),IF(AND($L$37=0,$P$34=0),"",$L$37-1),IF($R$17="Distrato",$E136,0))),0,YEARFRAC(MAX($P$34*($B136+IF($R$17="Distrato",$I$38-1,0)),IF(AND($L$37=0,$P$34=0),"",$L$37-1),IF($R$17="Distrato",$E136,0)),MIN(AF$38,$D$19),$P$20))-SUM($P136:AE136)</f>
        <v>#VALUE!</v>
      </c>
      <c r="AG136" s="446" t="e">
        <f>IF(OR($B136="",MIN(AG$38,$D$19)&lt;MAX($P$34*($B136+IF($R$17="Distrato",$I$38-1,0)),IF(AND($L$37=0,$P$34=0),"",$L$37-1),IF($R$17="Distrato",$E136,0))),0,YEARFRAC(MAX($P$34*($B136+IF($R$17="Distrato",$I$38-1,0)),IF(AND($L$37=0,$P$34=0),"",$L$37-1),IF($R$17="Distrato",$E136,0)),MIN(AG$38,$D$19),$P$20))-SUM($P136:AF136)</f>
        <v>#VALUE!</v>
      </c>
      <c r="AH136" s="446" t="e">
        <f>IF(OR($B136="",MIN(AH$38,$D$19)&lt;MAX($P$34*($B136+IF($R$17="Distrato",$I$38-1,0)),IF(AND($L$37=0,$P$34=0),"",$L$37-1),IF($R$17="Distrato",$E136,0))),0,YEARFRAC(MAX($P$34*($B136+IF($R$17="Distrato",$I$38-1,0)),IF(AND($L$37=0,$P$34=0),"",$L$37-1),IF($R$17="Distrato",$E136,0)),MIN(AH$38,$D$19),$P$20))-SUM($P136:AG136)</f>
        <v>#VALUE!</v>
      </c>
      <c r="AI136" s="446" t="e">
        <f>IF(OR($B136="",MIN(AI$38,$D$19)&lt;MAX($P$34*($B136+IF($R$17="Distrato",$I$38-1,0)),IF(AND($L$37=0,$P$34=0),"",$L$37-1),IF($R$17="Distrato",$E136,0))),0,YEARFRAC(MAX($P$34*($B136+IF($R$17="Distrato",$I$38-1,0)),IF(AND($L$37=0,$P$34=0),"",$L$37-1),IF($R$17="Distrato",$E136,0)),MIN(AI$38,$D$19),$P$20))-SUM($P136:AH136)</f>
        <v>#VALUE!</v>
      </c>
      <c r="AJ136" s="446" t="e">
        <f>IF(OR($B136="",MIN(AJ$38,$D$19)&lt;MAX($P$34*($B136+IF($R$17="Distrato",$I$38-1,0)),IF(AND($L$37=0,$P$34=0),"",$L$37-1),IF($R$17="Distrato",$E136,0))),0,YEARFRAC(MAX($P$34*($B136+IF($R$17="Distrato",$I$38-1,0)),IF(AND($L$37=0,$P$34=0),"",$L$37-1),IF($R$17="Distrato",$E136,0)),MIN(AJ$38,$D$19),$P$20))-SUM($P136:AI136)</f>
        <v>#VALUE!</v>
      </c>
      <c r="AK136" s="446" t="e">
        <f>IF(OR($B136="",MIN(AK$38,$D$19)&lt;MAX($P$34*($B136+IF($R$17="Distrato",$I$38-1,0)),IF(AND($L$37=0,$P$34=0),"",$L$37-1),IF($R$17="Distrato",$E136,0))),0,YEARFRAC(MAX($P$34*($B136+IF($R$17="Distrato",$I$38-1,0)),IF(AND($L$37=0,$P$34=0),"",$L$37-1),IF($R$17="Distrato",$E136,0)),MIN(AK$38,$D$19),$P$20))-SUM($P136:AJ136)</f>
        <v>#VALUE!</v>
      </c>
      <c r="AL136" s="446" t="e">
        <f>IF(OR($B136="",MIN(AL$38,$D$19)&lt;MAX($P$34*($B136+IF($R$17="Distrato",$I$38-1,0)),IF(AND($L$37=0,$P$34=0),"",$L$37-1),IF($R$17="Distrato",$E136,0))),0,YEARFRAC(MAX($P$34*($B136+IF($R$17="Distrato",$I$38-1,0)),IF(AND($L$37=0,$P$34=0),"",$L$37-1),IF($R$17="Distrato",$E136,0)),MIN(AL$38,$D$19),$P$20))-SUM($P136:AK136)</f>
        <v>#VALUE!</v>
      </c>
      <c r="AM136" s="446" t="e">
        <f>IF(OR($B136="",MIN(AM$38,$D$19)&lt;MAX($P$34*($B136+IF($R$17="Distrato",$I$38-1,0)),IF(AND($L$37=0,$P$34=0),"",$L$37-1),IF($R$17="Distrato",$E136,0))),0,YEARFRAC(MAX($P$34*($B136+IF($R$17="Distrato",$I$38-1,0)),IF(AND($L$37=0,$P$34=0),"",$L$37-1),IF($R$17="Distrato",$E136,0)),MIN(AM$38,$D$19),$P$20))-SUM($P136:AL136)</f>
        <v>#VALUE!</v>
      </c>
      <c r="AN136" s="446" t="e">
        <f>IF(OR($B136="",MIN(AN$38,$D$19)&lt;MAX($P$34*($B136+IF($R$17="Distrato",$I$38-1,0)),IF(AND($L$37=0,$P$34=0),"",$L$37-1),IF($R$17="Distrato",$E136,0))),0,YEARFRAC(MAX($P$34*($B136+IF($R$17="Distrato",$I$38-1,0)),IF(AND($L$37=0,$P$34=0),"",$L$37-1),IF($R$17="Distrato",$E136,0)),MIN(AN$38,$D$19),$P$20))-SUM($P136:AM136)</f>
        <v>#VALUE!</v>
      </c>
      <c r="AO136" s="446" t="e">
        <f>IF(OR($B136="",MIN(AO$38,$D$19)&lt;MAX($P$34*($B136+IF($R$17="Distrato",$I$38-1,0)),IF(AND($L$37=0,$P$34=0),"",$L$37-1),IF($R$17="Distrato",$E136,0))),0,YEARFRAC(MAX($P$34*($B136+IF($R$17="Distrato",$I$38-1,0)),IF(AND($L$37=0,$P$34=0),"",$L$37-1),IF($R$17="Distrato",$E136,0)),MIN(AO$38,$D$19),$P$20))-SUM($P136:AN136)</f>
        <v>#VALUE!</v>
      </c>
      <c r="AP136" s="446" t="e">
        <f>IF(OR($B136="",MIN(AP$38,$D$19)&lt;MAX($P$34*($B136+IF($R$17="Distrato",$I$38-1,0)),IF(AND($L$37=0,$P$34=0),"",$L$37-1),IF($R$17="Distrato",$E136,0))),0,YEARFRAC(MAX($P$34*($B136+IF($R$17="Distrato",$I$38-1,0)),IF(AND($L$37=0,$P$34=0),"",$L$37-1),IF($R$17="Distrato",$E136,0)),MIN(AP$38,$D$19),$P$20))-SUM($P136:AO136)</f>
        <v>#VALUE!</v>
      </c>
      <c r="AQ136" s="446" t="e">
        <f>IF(OR($B136="",MIN(AQ$38,$D$19)&lt;MAX($P$34*($B136+IF($R$17="Distrato",$I$38-1,0)),IF(AND($L$37=0,$P$34=0),"",$L$37-1),IF($R$17="Distrato",$E136,0))),0,YEARFRAC(MAX($P$34*($B136+IF($R$17="Distrato",$I$38-1,0)),IF(AND($L$37=0,$P$34=0),"",$L$37-1),IF($R$17="Distrato",$E136,0)),MIN(AQ$38,$D$19),$P$20))-SUM($P136:AP136)</f>
        <v>#VALUE!</v>
      </c>
      <c r="AR136" s="446" t="e">
        <f>IF(OR($B136="",MIN(AR$38,$D$19)&lt;MAX($P$34*($B136+IF($R$17="Distrato",$I$38-1,0)),IF(AND($L$37=0,$P$34=0),"",$L$37-1),IF($R$17="Distrato",$E136,0))),0,YEARFRAC(MAX($P$34*($B136+IF($R$17="Distrato",$I$38-1,0)),IF(AND($L$37=0,$P$34=0),"",$L$37-1),IF($R$17="Distrato",$E136,0)),MIN(AR$38,$D$19),$P$20))-SUM($P136:AQ136)</f>
        <v>#VALUE!</v>
      </c>
      <c r="AS136" s="446" t="e">
        <f>IF(OR($B136="",MIN(AS$38,$D$19)&lt;MAX($P$34*($B136+IF($R$17="Distrato",$I$38-1,0)),IF(AND($L$37=0,$P$34=0),"",$L$37-1),IF($R$17="Distrato",$E136,0))),0,YEARFRAC(MAX($P$34*($B136+IF($R$17="Distrato",$I$38-1,0)),IF(AND($L$37=0,$P$34=0),"",$L$37-1),IF($R$17="Distrato",$E136,0)),MIN(AS$38,$D$19),$P$20))-SUM($P136:AR136)</f>
        <v>#VALUE!</v>
      </c>
      <c r="AT136" s="446" t="e">
        <f>IF(OR($B136="",MIN(AT$38,$D$19)&lt;MAX($P$34*($B136+IF($R$17="Distrato",$I$38-1,0)),IF(AND($L$37=0,$P$34=0),"",$L$37-1),IF($R$17="Distrato",$E136,0))),0,YEARFRAC(MAX($P$34*($B136+IF($R$17="Distrato",$I$38-1,0)),IF(AND($L$37=0,$P$34=0),"",$L$37-1),IF($R$17="Distrato",$E136,0)),MIN(AT$38,$D$19),$P$20))-SUM($P136:AS136)</f>
        <v>#VALUE!</v>
      </c>
      <c r="AU136" s="446" t="e">
        <f>IF(OR($B136="",MIN(AU$38,$D$19)&lt;MAX($P$34*($B136+IF($R$17="Distrato",$I$38-1,0)),IF(AND($L$37=0,$P$34=0),"",$L$37-1),IF($R$17="Distrato",$E136,0))),0,YEARFRAC(MAX($P$34*($B136+IF($R$17="Distrato",$I$38-1,0)),IF(AND($L$37=0,$P$34=0),"",$L$37-1),IF($R$17="Distrato",$E136,0)),MIN(AU$38,$D$19),$P$20))-SUM($P136:AT136)</f>
        <v>#VALUE!</v>
      </c>
      <c r="AV136" s="446" t="e">
        <f>IF(OR($B136="",MIN(AV$38,$D$19)&lt;MAX($P$34*($B136+IF($R$17="Distrato",$I$38-1,0)),IF(AND($L$37=0,$P$34=0),"",$L$37-1),IF($R$17="Distrato",$E136,0))),0,YEARFRAC(MAX($P$34*($B136+IF($R$17="Distrato",$I$38-1,0)),IF(AND($L$37=0,$P$34=0),"",$L$37-1),IF($R$17="Distrato",$E136,0)),MIN(AV$38,$D$19),$P$20))-SUM($P136:AU136)</f>
        <v>#VALUE!</v>
      </c>
      <c r="AW136" s="446" t="e">
        <f>IF(OR($B136="",MIN(AW$38,$D$19)&lt;MAX($P$34*($B136+IF($R$17="Distrato",$I$38-1,0)),IF(AND($L$37=0,$P$34=0),"",$L$37-1),IF($R$17="Distrato",$E136,0))),0,YEARFRAC(MAX($P$34*($B136+IF($R$17="Distrato",$I$38-1,0)),IF(AND($L$37=0,$P$34=0),"",$L$37-1),IF($R$17="Distrato",$E136,0)),MIN(AW$38,$D$19),$P$20))-SUM($P136:AV136)</f>
        <v>#VALUE!</v>
      </c>
      <c r="AX136" s="446" t="e">
        <f>IF(OR($B136="",MIN(AX$38,$D$19)&lt;MAX($P$34*($B136+IF($R$17="Distrato",$I$38-1,0)),IF(AND($L$37=0,$P$34=0),"",$L$37-1),IF($R$17="Distrato",$E136,0))),0,YEARFRAC(MAX($P$34*($B136+IF($R$17="Distrato",$I$38-1,0)),IF(AND($L$37=0,$P$34=0),"",$L$37-1),IF($R$17="Distrato",$E136,0)),MIN(AX$38,$D$19),$P$20))-SUM($P136:AW136)</f>
        <v>#VALUE!</v>
      </c>
      <c r="AY136" s="446" t="e">
        <f>IF(OR($B136="",MIN(AY$38,$D$19)&lt;MAX($P$34*($B136+IF($R$17="Distrato",$I$38-1,0)),IF(AND($L$37=0,$P$34=0),"",$L$37-1),IF($R$17="Distrato",$E136,0))),0,YEARFRAC(MAX($P$34*($B136+IF($R$17="Distrato",$I$38-1,0)),IF(AND($L$37=0,$P$34=0),"",$L$37-1),IF($R$17="Distrato",$E136,0)),MIN(AY$38,$D$19),$P$20))-SUM($P136:AX136)</f>
        <v>#VALUE!</v>
      </c>
      <c r="AZ136" s="446" t="e">
        <f>IF(OR($B136="",MIN(AZ$38,$D$19)&lt;MAX($P$34*($B136+IF($R$17="Distrato",$I$38-1,0)),IF(AND($L$37=0,$P$34=0),"",$L$37-1),IF($R$17="Distrato",$E136,0))),0,YEARFRAC(MAX($P$34*($B136+IF($R$17="Distrato",$I$38-1,0)),IF(AND($L$37=0,$P$34=0),"",$L$37-1),IF($R$17="Distrato",$E136,0)),MIN(AZ$38,$D$19),$P$20))-SUM($P136:AY136)</f>
        <v>#VALUE!</v>
      </c>
      <c r="BA136" s="446" t="e">
        <f>IF(OR($B136="",MIN(BA$38,$D$19)&lt;MAX($P$34*($B136+IF($R$17="Distrato",$I$38-1,0)),IF(AND($L$37=0,$P$34=0),"",$L$37-1),IF($R$17="Distrato",$E136,0))),0,YEARFRAC(MAX($P$34*($B136+IF($R$17="Distrato",$I$38-1,0)),IF(AND($L$37=0,$P$34=0),"",$L$37-1),IF($R$17="Distrato",$E136,0)),MIN(BA$38,$D$19),$P$20))-SUM($P136:AZ136)</f>
        <v>#VALUE!</v>
      </c>
      <c r="BB136" s="447"/>
      <c r="BF136" s="446">
        <f t="shared" si="21"/>
        <v>0</v>
      </c>
      <c r="BG136" s="446">
        <f>IF($E136=0,0,IF(MIN(BG$38,$E136)&lt;MAX($P$34*($B136+$I$38-1),IF(AND($L$37=0,$P$34=0),"",$L$37-1)),0,YEARFRAC(MAX($P$34*($B136+$I$38-1),IF(AND($L$37=0,$P$34=0),"",$L$37-1)),MIN(BG$38,$E136),$P$20))-SUM($BF136:BF136))</f>
        <v>0</v>
      </c>
      <c r="BH136" s="446">
        <f>IF($E136=0,0,IF(MIN(BH$38,$E136)&lt;MAX($P$34*($B136+$I$38-1),IF(AND($L$37=0,$P$34=0),"",$L$37-1)),0,YEARFRAC(MAX($P$34*($B136+$I$38-1),IF(AND($L$37=0,$P$34=0),"",$L$37-1)),MIN(BH$38,$E136),$P$20))-SUM($BF136:BG136))</f>
        <v>0</v>
      </c>
      <c r="BI136" s="446">
        <f>IF($E136=0,0,IF(MIN(BI$38,$E136)&lt;MAX($P$34*($B136+$I$38-1),IF(AND($L$37=0,$P$34=0),"",$L$37-1)),0,YEARFRAC(MAX($P$34*($B136+$I$38-1),IF(AND($L$37=0,$P$34=0),"",$L$37-1)),MIN(BI$38,$E136),$P$20))-SUM($BF136:BH136))</f>
        <v>0</v>
      </c>
      <c r="BJ136" s="446">
        <f>IF($E136=0,0,IF(MIN(BJ$38,$E136)&lt;MAX($P$34*($B136+$I$38-1),IF(AND($L$37=0,$P$34=0),"",$L$37-1)),0,YEARFRAC(MAX($P$34*($B136+$I$38-1),IF(AND($L$37=0,$P$34=0),"",$L$37-1)),MIN(BJ$38,$E136),$P$20))-SUM($BF136:BI136))</f>
        <v>0</v>
      </c>
      <c r="BK136" s="446">
        <f>IF($E136=0,0,IF(MIN(BK$38,$E136)&lt;MAX($P$34*($B136+$I$38-1),IF(AND($L$37=0,$P$34=0),"",$L$37-1)),0,YEARFRAC(MAX($P$34*($B136+$I$38-1),IF(AND($L$37=0,$P$34=0),"",$L$37-1)),MIN(BK$38,$E136),$P$20))-SUM($BF136:BJ136))</f>
        <v>0</v>
      </c>
      <c r="BL136" s="446">
        <f>IF($E136=0,0,IF(MIN(BL$38,$E136)&lt;MAX($P$34*($B136+$I$38-1),IF(AND($L$37=0,$P$34=0),"",$L$37-1)),0,YEARFRAC(MAX($P$34*($B136+$I$38-1),IF(AND($L$37=0,$P$34=0),"",$L$37-1)),MIN(BL$38,$E136),$P$20))-SUM($BF136:BK136))</f>
        <v>0</v>
      </c>
      <c r="BM136" s="446">
        <f>IF($E136=0,0,IF(MIN(BM$38,$E136)&lt;MAX($P$34*($B136+$I$38-1),IF(AND($L$37=0,$P$34=0),"",$L$37-1)),0,YEARFRAC(MAX($P$34*($B136+$I$38-1),IF(AND($L$37=0,$P$34=0),"",$L$37-1)),MIN(BM$38,$E136),$P$20))-SUM($BF136:BL136))</f>
        <v>0</v>
      </c>
      <c r="BN136" s="446">
        <f>IF($E136=0,0,IF(MIN(BN$38,$E136)&lt;MAX($P$34*($B136+$I$38-1),IF(AND($L$37=0,$P$34=0),"",$L$37-1)),0,YEARFRAC(MAX($P$34*($B136+$I$38-1),IF(AND($L$37=0,$P$34=0),"",$L$37-1)),MIN(BN$38,$E136),$P$20))-SUM($BF136:BM136))</f>
        <v>0</v>
      </c>
      <c r="BO136" s="446">
        <f>IF($E136=0,0,IF(MIN(BO$38,$E136)&lt;MAX($P$34*($B136+$I$38-1),IF(AND($L$37=0,$P$34=0),"",$L$37-1)),0,YEARFRAC(MAX($P$34*($B136+$I$38-1),IF(AND($L$37=0,$P$34=0),"",$L$37-1)),MIN(BO$38,$E136),$P$20))-SUM($BF136:BN136))</f>
        <v>0</v>
      </c>
      <c r="BP136" s="446">
        <f>IF($E136=0,0,IF(MIN(BP$38,$E136)&lt;MAX($P$34*($B136+$I$38-1),IF(AND($L$37=0,$P$34=0),"",$L$37-1)),0,YEARFRAC(MAX($P$34*($B136+$I$38-1),IF(AND($L$37=0,$P$34=0),"",$L$37-1)),MIN(BP$38,$E136),$P$20))-SUM($BF136:BO136))</f>
        <v>0</v>
      </c>
      <c r="BQ136" s="446">
        <f>IF($E136=0,0,IF(MIN(BQ$38,$E136)&lt;MAX($P$34*($B136+$I$38-1),IF(AND($L$37=0,$P$34=0),"",$L$37-1)),0,YEARFRAC(MAX($P$34*($B136+$I$38-1),IF(AND($L$37=0,$P$34=0),"",$L$37-1)),MIN(BQ$38,$E136),$P$20))-SUM($BF136:BP136))</f>
        <v>0</v>
      </c>
      <c r="BR136" s="446">
        <f>IF($E136=0,0,IF(MIN(BR$38,$E136)&lt;MAX($P$34*($B136+$I$38-1),IF(AND($L$37=0,$P$34=0),"",$L$37-1)),0,YEARFRAC(MAX($P$34*($B136+$I$38-1),IF(AND($L$37=0,$P$34=0),"",$L$37-1)),MIN(BR$38,$E136),$P$20))-SUM($BF136:BQ136))</f>
        <v>0</v>
      </c>
      <c r="BS136" s="446">
        <f>IF($E136=0,0,IF(MIN(BS$38,$E136)&lt;MAX($P$34*($B136+$I$38-1),IF(AND($L$37=0,$P$34=0),"",$L$37-1)),0,YEARFRAC(MAX($P$34*($B136+$I$38-1),IF(AND($L$37=0,$P$34=0),"",$L$37-1)),MIN(BS$38,$E136),$P$20))-SUM($BF136:BR136))</f>
        <v>0</v>
      </c>
      <c r="BT136" s="446">
        <f>IF($E136=0,0,IF(MIN(BT$38,$E136)&lt;MAX($P$34*($B136+$I$38-1),IF(AND($L$37=0,$P$34=0),"",$L$37-1)),0,YEARFRAC(MAX($P$34*($B136+$I$38-1),IF(AND($L$37=0,$P$34=0),"",$L$37-1)),MIN(BT$38,$E136),$P$20))-SUM($BF136:BS136))</f>
        <v>0</v>
      </c>
      <c r="BU136" s="446">
        <f>IF($E136=0,0,IF(MIN(BU$38,$E136)&lt;MAX($P$34*($B136+$I$38-1),IF(AND($L$37=0,$P$34=0),"",$L$37-1)),0,YEARFRAC(MAX($P$34*($B136+$I$38-1),IF(AND($L$37=0,$P$34=0),"",$L$37-1)),MIN(BU$38,$E136),$P$20))-SUM($BF136:BT136))</f>
        <v>0</v>
      </c>
      <c r="BV136" s="446">
        <f>IF($E136=0,0,IF(MIN(BV$38,$E136)&lt;MAX($P$34*($B136+$I$38-1),IF(AND($L$37=0,$P$34=0),"",$L$37-1)),0,YEARFRAC(MAX($P$34*($B136+$I$38-1),IF(AND($L$37=0,$P$34=0),"",$L$37-1)),MIN(BV$38,$E136),$P$20))-SUM($BF136:BU136))</f>
        <v>0</v>
      </c>
      <c r="BW136" s="446">
        <f>IF($E136=0,0,IF(MIN(BW$38,$E136)&lt;MAX($P$34*($B136+$I$38-1),IF(AND($L$37=0,$P$34=0),"",$L$37-1)),0,YEARFRAC(MAX($P$34*($B136+$I$38-1),IF(AND($L$37=0,$P$34=0),"",$L$37-1)),MIN(BW$38,$E136),$P$20))-SUM($BF136:BV136))</f>
        <v>0</v>
      </c>
      <c r="BX136" s="446">
        <f>IF($E136=0,0,IF(MIN(BX$38,$E136)&lt;MAX($P$34*($B136+$I$38-1),IF(AND($L$37=0,$P$34=0),"",$L$37-1)),0,YEARFRAC(MAX($P$34*($B136+$I$38-1),IF(AND($L$37=0,$P$34=0),"",$L$37-1)),MIN(BX$38,$E136),$P$20))-SUM($BF136:BW136))</f>
        <v>0</v>
      </c>
      <c r="BY136" s="446">
        <f>IF($E136=0,0,IF(MIN(BY$38,$E136)&lt;MAX($P$34*($B136+$I$38-1),IF(AND($L$37=0,$P$34=0),"",$L$37-1)),0,YEARFRAC(MAX($P$34*($B136+$I$38-1),IF(AND($L$37=0,$P$34=0),"",$L$37-1)),MIN(BY$38,$E136),$P$20))-SUM($BF136:BX136))</f>
        <v>0</v>
      </c>
      <c r="BZ136" s="446">
        <f>IF($E136=0,0,IF(MIN(BZ$38,$E136)&lt;MAX($P$34*($B136+$I$38-1),IF(AND($L$37=0,$P$34=0),"",$L$37-1)),0,YEARFRAC(MAX($P$34*($B136+$I$38-1),IF(AND($L$37=0,$P$34=0),"",$L$37-1)),MIN(BZ$38,$E136),$P$20))-SUM($BF136:BY136))</f>
        <v>0</v>
      </c>
      <c r="CA136" s="446">
        <f>IF($E136=0,0,IF(MIN(CA$38,$E136)&lt;MAX($P$34*($B136+$I$38-1),IF(AND($L$37=0,$P$34=0),"",$L$37-1)),0,YEARFRAC(MAX($P$34*($B136+$I$38-1),IF(AND($L$37=0,$P$34=0),"",$L$37-1)),MIN(CA$38,$E136),$P$20))-SUM($BF136:BZ136))</f>
        <v>0</v>
      </c>
      <c r="CB136" s="446">
        <f>IF($E136=0,0,IF(MIN(CB$38,$E136)&lt;MAX($P$34*($B136+$I$38-1),IF(AND($L$37=0,$P$34=0),"",$L$37-1)),0,YEARFRAC(MAX($P$34*($B136+$I$38-1),IF(AND($L$37=0,$P$34=0),"",$L$37-1)),MIN(CB$38,$E136),$P$20))-SUM($BF136:CA136))</f>
        <v>0</v>
      </c>
      <c r="CC136" s="446">
        <f>IF($E136=0,0,IF(MIN(CC$38,$E136)&lt;MAX($P$34*($B136+$I$38-1),IF(AND($L$37=0,$P$34=0),"",$L$37-1)),0,YEARFRAC(MAX($P$34*($B136+$I$38-1),IF(AND($L$37=0,$P$34=0),"",$L$37-1)),MIN(CC$38,$E136),$P$20))-SUM($BF136:CB136))</f>
        <v>0</v>
      </c>
      <c r="CD136" s="446">
        <f>IF($E136=0,0,IF(MIN(CD$38,$E136)&lt;MAX($P$34*($B136+$I$38-1),IF(AND($L$37=0,$P$34=0),"",$L$37-1)),0,YEARFRAC(MAX($P$34*($B136+$I$38-1),IF(AND($L$37=0,$P$34=0),"",$L$37-1)),MIN(CD$38,$E136),$P$20))-SUM($BF136:CC136))</f>
        <v>0</v>
      </c>
      <c r="CE136" s="446">
        <f>IF($E136=0,0,IF(MIN(CE$38,$E136)&lt;MAX($P$34*($B136+$I$38-1),IF(AND($L$37=0,$P$34=0),"",$L$37-1)),0,YEARFRAC(MAX($P$34*($B136+$I$38-1),IF(AND($L$37=0,$P$34=0),"",$L$37-1)),MIN(CE$38,$E136),$P$20))-SUM($BF136:CD136))</f>
        <v>0</v>
      </c>
      <c r="CF136" s="446">
        <f>IF($E136=0,0,IF(MIN(CF$38,$E136)&lt;MAX($P$34*($B136+$I$38-1),IF(AND($L$37=0,$P$34=0),"",$L$37-1)),0,YEARFRAC(MAX($P$34*($B136+$I$38-1),IF(AND($L$37=0,$P$34=0),"",$L$37-1)),MIN(CF$38,$E136),$P$20))-SUM($BF136:CE136))</f>
        <v>0</v>
      </c>
      <c r="CG136" s="446">
        <f>IF($E136=0,0,IF(MIN(CG$38,$E136)&lt;MAX($P$34*($B136+$I$38-1),IF(AND($L$37=0,$P$34=0),"",$L$37-1)),0,YEARFRAC(MAX($P$34*($B136+$I$38-1),IF(AND($L$37=0,$P$34=0),"",$L$37-1)),MIN(CG$38,$E136),$P$20))-SUM($BF136:CF136))</f>
        <v>0</v>
      </c>
      <c r="CH136" s="446">
        <f>IF($E136=0,0,IF(MIN(CH$38,$E136)&lt;MAX($P$34*($B136+$I$38-1),IF(AND($L$37=0,$P$34=0),"",$L$37-1)),0,YEARFRAC(MAX($P$34*($B136+$I$38-1),IF(AND($L$37=0,$P$34=0),"",$L$37-1)),MIN(CH$38,$E136),$P$20))-SUM($BF136:CG136))</f>
        <v>0</v>
      </c>
      <c r="CI136" s="446">
        <f>IF($E136=0,0,IF(MIN(CI$38,$E136)&lt;MAX($P$34*($B136+$I$38-1),IF(AND($L$37=0,$P$34=0),"",$L$37-1)),0,YEARFRAC(MAX($P$34*($B136+$I$38-1),IF(AND($L$37=0,$P$34=0),"",$L$37-1)),MIN(CI$38,$E136),$P$20))-SUM($BF136:CH136))</f>
        <v>0</v>
      </c>
      <c r="CJ136" s="446">
        <f>IF($E136=0,0,IF(MIN(CJ$38,$E136)&lt;MAX($P$34*($B136+$I$38-1),IF(AND($L$37=0,$P$34=0),"",$L$37-1)),0,YEARFRAC(MAX($P$34*($B136+$I$38-1),IF(AND($L$37=0,$P$34=0),"",$L$37-1)),MIN(CJ$38,$E136),$P$20))-SUM($BF136:CI136))</f>
        <v>0</v>
      </c>
      <c r="CK136" s="446">
        <f>IF($E136=0,0,IF(MIN(CK$38,$E136)&lt;MAX($P$34*($B136+$I$38-1),IF(AND($L$37=0,$P$34=0),"",$L$37-1)),0,YEARFRAC(MAX($P$34*($B136+$I$38-1),IF(AND($L$37=0,$P$34=0),"",$L$37-1)),MIN(CK$38,$E136),$P$20))-SUM($BF136:CJ136))</f>
        <v>0</v>
      </c>
      <c r="CL136" s="446">
        <f>IF($E136=0,0,IF(MIN(CL$38,$E136)&lt;MAX($P$34*($B136+$I$38-1),IF(AND($L$37=0,$P$34=0),"",$L$37-1)),0,YEARFRAC(MAX($P$34*($B136+$I$38-1),IF(AND($L$37=0,$P$34=0),"",$L$37-1)),MIN(CL$38,$E136),$P$20))-SUM($BF136:CK136))</f>
        <v>0</v>
      </c>
      <c r="CM136" s="446">
        <f>IF($E136=0,0,IF(MIN(CM$38,$E136)&lt;MAX($P$34*($B136+$I$38-1),IF(AND($L$37=0,$P$34=0),"",$L$37-1)),0,YEARFRAC(MAX($P$34*($B136+$I$38-1),IF(AND($L$37=0,$P$34=0),"",$L$37-1)),MIN(CM$38,$E136),$P$20))-SUM($BF136:CL136))</f>
        <v>0</v>
      </c>
      <c r="CN136" s="446">
        <f>IF($E136=0,0,IF(MIN(CN$38,$E136)&lt;MAX($P$34*($B136+$I$38-1),IF(AND($L$37=0,$P$34=0),"",$L$37-1)),0,YEARFRAC(MAX($P$34*($B136+$I$38-1),IF(AND($L$37=0,$P$34=0),"",$L$37-1)),MIN(CN$38,$E136),$P$20))-SUM($BF136:CM136))</f>
        <v>0</v>
      </c>
      <c r="CO136" s="446">
        <f>IF($E136=0,0,IF(MIN(CO$38,$E136)&lt;MAX($P$34*($B136+$I$38-1),IF(AND($L$37=0,$P$34=0),"",$L$37-1)),0,YEARFRAC(MAX($P$34*($B136+$I$38-1),IF(AND($L$37=0,$P$34=0),"",$L$37-1)),MIN(CO$38,$E136),$P$20))-SUM($BF136:CN136))</f>
        <v>0</v>
      </c>
      <c r="CP136" s="446">
        <f>IF($E136=0,0,IF(MIN(CP$38,$E136)&lt;MAX($P$34*($B136+$I$38-1),IF(AND($L$37=0,$P$34=0),"",$L$37-1)),0,YEARFRAC(MAX($P$34*($B136+$I$38-1),IF(AND($L$37=0,$P$34=0),"",$L$37-1)),MIN(CP$38,$E136),$P$20))-SUM($BF136:CO136))</f>
        <v>0</v>
      </c>
      <c r="CQ136" s="446">
        <f>IF($E136=0,0,IF(MIN(CQ$38,$E136)&lt;MAX($P$34*($B136+$I$38-1),IF(AND($L$37=0,$P$34=0),"",$L$37-1)),0,YEARFRAC(MAX($P$34*($B136+$I$38-1),IF(AND($L$37=0,$P$34=0),"",$L$37-1)),MIN(CQ$38,$E136),$P$20))-SUM($BF136:CP136))</f>
        <v>0</v>
      </c>
    </row>
    <row r="137" spans="1:95" s="446" customFormat="1" ht="11.25" hidden="1" customHeight="1" x14ac:dyDescent="0.2">
      <c r="A137" s="152"/>
      <c r="B137" s="153" t="str">
        <f t="shared" si="26"/>
        <v/>
      </c>
      <c r="C137" s="29" t="str">
        <f>IF(B137="","",IF($L$35="SELIC - TRIBUTOS",VLOOKUP(DATE(YEAR($D$19),MONTH($D$19)-1,1),ÍNDICES!$A:$DE,HLOOKUP($BL$25,ÍNDICES!$B$3:$T$4,2)+11)-VLOOKUP(B137,ÍNDICES!$A:$DE,HLOOKUP($BL$25,ÍNDICES!$B$3:$T$4,2)+11)+1%,IF(C$38=$W$26,$J$35,IF(ISERROR(IF(B137&gt;$D$19,1,VLOOKUP(DATE(YEAR(B137),MONTH(B137)+IF($C$35=$S$23,1,0),1),ÍNDICES!$A:$DE,$Z$35+1))),"",IF(B137&gt;$D$19,1,VLOOKUP(DATE(YEAR(B137),MONTH(B137)+IF($C$35=$S$23,1,0),1),ÍNDICES!$A:$DE,$Z$35+1))))))</f>
        <v/>
      </c>
      <c r="D137" s="154" t="str">
        <f>IF(ISERROR(IF(OR($D$38=$Y$27,$B137=""),"",VLOOKUP(B137,ÍNDICES!A:DE,AF$35+1))),"",IF(OR($D$38=$Y$27,$B137=""),"",VLOOKUP(B137,ÍNDICES!A:DE,AF$35+1)))</f>
        <v/>
      </c>
      <c r="E137" s="153"/>
      <c r="F137" s="29" t="str">
        <f>IF(E137="","",IF($L$35="SELIC - TRIBUTOS",VLOOKUP(DATE(YEAR($D$19),MONTH($D$19)-1,1),ÍNDICES!$A:$DE,HLOOKUP($BL$25,ÍNDICES!$B$3:$T$4,2)+11)-VLOOKUP(E137,ÍNDICES!$A:$DE,HLOOKUP($BL$25,ÍNDICES!$B$3:$T$4,2)+11)+1%,IF(F$38=$W$26,$J$35,IF(ISERROR(IF(E137&gt;$D$19,1,VLOOKUP(DATE(YEAR(E137),MONTH(E137)+IF($C$35=$S$23,1,0),1),ÍNDICES!$A:$DE,$Z$35+1))),"",IF(E137&gt;$D$19,1,VLOOKUP(DATE(YEAR(E137),MONTH(E137)+IF($C$35=$S$23,1,0),1),ÍNDICES!$A:$DE,$Z$35+1))))))</f>
        <v/>
      </c>
      <c r="G137" s="155"/>
      <c r="H137" s="156" t="str">
        <f t="shared" si="22"/>
        <v/>
      </c>
      <c r="I137" s="29" t="str">
        <f t="shared" si="16"/>
        <v/>
      </c>
      <c r="J137" s="5">
        <f t="shared" si="17"/>
        <v>0</v>
      </c>
      <c r="K137" s="20">
        <f t="shared" ca="1" si="18"/>
        <v>0</v>
      </c>
      <c r="L137" s="5">
        <f t="shared" ca="1" si="19"/>
        <v>0</v>
      </c>
      <c r="M137" s="64">
        <f t="shared" si="23"/>
        <v>0</v>
      </c>
      <c r="N137" s="61">
        <f t="shared" ca="1" si="24"/>
        <v>0</v>
      </c>
      <c r="O137" s="5">
        <f t="shared" ca="1" si="25"/>
        <v>0</v>
      </c>
      <c r="P137" s="446" t="e">
        <f t="shared" si="20"/>
        <v>#VALUE!</v>
      </c>
      <c r="Q137" s="446" t="e">
        <f>IF(OR($B137="",MIN(Q$38,$D$19)&lt;MAX($P$34*($B137+IF($R$17="Distrato",$I$38-1,0)),IF(AND($L$37=0,$P$34=0),"",$L$37-1),IF($R$17="Distrato",$E137,0))),0,YEARFRAC(MAX($P$34*($B137+IF($R$17="Distrato",$I$38-1,0)),IF(AND($L$37=0,$P$34=0),"",$L$37-1),IF($R$17="Distrato",$E137,0)),MIN(Q$38,$D$19),$P$20))-SUM($P137:P137)</f>
        <v>#VALUE!</v>
      </c>
      <c r="R137" s="446" t="e">
        <f>IF(OR($B137="",MIN(R$38,$D$19)&lt;MAX($P$34*($B137+IF($R$17="Distrato",$I$38-1,0)),IF(AND($L$37=0,$P$34=0),"",$L$37-1),IF($R$17="Distrato",$E137,0))),0,YEARFRAC(MAX($P$34*($B137+IF($R$17="Distrato",$I$38-1,0)),IF(AND($L$37=0,$P$34=0),"",$L$37-1),IF($R$17="Distrato",$E137,0)),MIN(R$38,$D$19),$P$20))-SUM($P137:Q137)</f>
        <v>#VALUE!</v>
      </c>
      <c r="S137" s="446" t="e">
        <f>IF(OR($B137="",MIN(S$38,$D$19)&lt;MAX($P$34*($B137+IF($R$17="Distrato",$I$38-1,0)),IF(AND($L$37=0,$P$34=0),"",$L$37-1),IF($R$17="Distrato",$E137,0))),0,YEARFRAC(MAX($P$34*($B137+IF($R$17="Distrato",$I$38-1,0)),IF(AND($L$37=0,$P$34=0),"",$L$37-1),IF($R$17="Distrato",$E137,0)),MIN(S$38,$D$19),$P$20))-SUM($P137:R137)</f>
        <v>#VALUE!</v>
      </c>
      <c r="T137" s="446" t="e">
        <f>IF(OR($B137="",MIN(T$38,$D$19)&lt;MAX($P$34*($B137+IF($R$17="Distrato",$I$38-1,0)),IF(AND($L$37=0,$P$34=0),"",$L$37-1),IF($R$17="Distrato",$E137,0))),0,YEARFRAC(MAX($P$34*($B137+IF($R$17="Distrato",$I$38-1,0)),IF(AND($L$37=0,$P$34=0),"",$L$37-1),IF($R$17="Distrato",$E137,0)),MIN(T$38,$D$19),$P$20))-SUM($P137:S137)</f>
        <v>#VALUE!</v>
      </c>
      <c r="U137" s="446" t="e">
        <f>IF(OR($B137="",MIN(U$38,$D$19)&lt;MAX($P$34*($B137+IF($R$17="Distrato",$I$38-1,0)),IF(AND($L$37=0,$P$34=0),"",$L$37-1),IF($R$17="Distrato",$E137,0))),0,YEARFRAC(MAX($P$34*($B137+IF($R$17="Distrato",$I$38-1,0)),IF(AND($L$37=0,$P$34=0),"",$L$37-1),IF($R$17="Distrato",$E137,0)),MIN(U$38,$D$19),$P$20))-SUM($P137:T137)</f>
        <v>#VALUE!</v>
      </c>
      <c r="V137" s="446" t="e">
        <f>IF(OR($B137="",MIN(V$38,$D$19)&lt;MAX($P$34*($B137+IF($R$17="Distrato",$I$38-1,0)),IF(AND($L$37=0,$P$34=0),"",$L$37-1),IF($R$17="Distrato",$E137,0))),0,YEARFRAC(MAX($P$34*($B137+IF($R$17="Distrato",$I$38-1,0)),IF(AND($L$37=0,$P$34=0),"",$L$37-1),IF($R$17="Distrato",$E137,0)),MIN(V$38,$D$19),$P$20))-SUM($P137:U137)</f>
        <v>#VALUE!</v>
      </c>
      <c r="W137" s="446" t="e">
        <f>IF(OR($B137="",MIN(W$38,$D$19)&lt;MAX($P$34*($B137+IF($R$17="Distrato",$I$38-1,0)),IF(AND($L$37=0,$P$34=0),"",$L$37-1),IF($R$17="Distrato",$E137,0))),0,YEARFRAC(MAX($P$34*($B137+IF($R$17="Distrato",$I$38-1,0)),IF(AND($L$37=0,$P$34=0),"",$L$37-1),IF($R$17="Distrato",$E137,0)),MIN(W$38,$D$19),$P$20))-SUM($P137:V137)</f>
        <v>#VALUE!</v>
      </c>
      <c r="X137" s="446" t="e">
        <f>IF(OR($B137="",MIN(X$38,$D$19)&lt;MAX($P$34*($B137+IF($R$17="Distrato",$I$38-1,0)),IF(AND($L$37=0,$P$34=0),"",$L$37-1),IF($R$17="Distrato",$E137,0))),0,YEARFRAC(MAX($P$34*($B137+IF($R$17="Distrato",$I$38-1,0)),IF(AND($L$37=0,$P$34=0),"",$L$37-1),IF($R$17="Distrato",$E137,0)),MIN(X$38,$D$19),$P$20))-SUM($P137:W137)</f>
        <v>#VALUE!</v>
      </c>
      <c r="Y137" s="446" t="e">
        <f>IF(OR($B137="",MIN(Y$38,$D$19)&lt;MAX($P$34*($B137+IF($R$17="Distrato",$I$38-1,0)),IF(AND($L$37=0,$P$34=0),"",$L$37-1),IF($R$17="Distrato",$E137,0))),0,YEARFRAC(MAX($P$34*($B137+IF($R$17="Distrato",$I$38-1,0)),IF(AND($L$37=0,$P$34=0),"",$L$37-1),IF($R$17="Distrato",$E137,0)),MIN(Y$38,$D$19),$P$20))-SUM($P137:X137)</f>
        <v>#VALUE!</v>
      </c>
      <c r="Z137" s="446" t="e">
        <f>IF(OR($B137="",MIN(Z$38,$D$19)&lt;MAX($P$34*($B137+IF($R$17="Distrato",$I$38-1,0)),IF(AND($L$37=0,$P$34=0),"",$L$37-1),IF($R$17="Distrato",$E137,0))),0,YEARFRAC(MAX($P$34*($B137+IF($R$17="Distrato",$I$38-1,0)),IF(AND($L$37=0,$P$34=0),"",$L$37-1),IF($R$17="Distrato",$E137,0)),MIN(Z$38,$D$19),$P$20))-SUM($P137:Y137)</f>
        <v>#VALUE!</v>
      </c>
      <c r="AA137" s="446" t="e">
        <f>IF(OR($B137="",MIN(AA$38,$D$19)&lt;MAX($P$34*($B137+IF($R$17="Distrato",$I$38-1,0)),IF(AND($L$37=0,$P$34=0),"",$L$37-1),IF($R$17="Distrato",$E137,0))),0,YEARFRAC(MAX($P$34*($B137+IF($R$17="Distrato",$I$38-1,0)),IF(AND($L$37=0,$P$34=0),"",$L$37-1),IF($R$17="Distrato",$E137,0)),MIN(AA$38,$D$19),$P$20))-SUM($P137:Z137)</f>
        <v>#VALUE!</v>
      </c>
      <c r="AB137" s="446" t="e">
        <f>IF(OR($B137="",MIN(AB$38,$D$19)&lt;MAX($P$34*($B137+IF($R$17="Distrato",$I$38-1,0)),IF(AND($L$37=0,$P$34=0),"",$L$37-1),IF($R$17="Distrato",$E137,0))),0,YEARFRAC(MAX($P$34*($B137+IF($R$17="Distrato",$I$38-1,0)),IF(AND($L$37=0,$P$34=0),"",$L$37-1),IF($R$17="Distrato",$E137,0)),MIN(AB$38,$D$19),$P$20))-SUM($P137:AA137)</f>
        <v>#VALUE!</v>
      </c>
      <c r="AC137" s="446" t="e">
        <f>IF(OR($B137="",MIN(AC$38,$D$19)&lt;MAX($P$34*($B137+IF($R$17="Distrato",$I$38-1,0)),IF(AND($L$37=0,$P$34=0),"",$L$37-1),IF($R$17="Distrato",$E137,0))),0,YEARFRAC(MAX($P$34*($B137+IF($R$17="Distrato",$I$38-1,0)),IF(AND($L$37=0,$P$34=0),"",$L$37-1),IF($R$17="Distrato",$E137,0)),MIN(AC$38,$D$19),$P$20))-SUM($P137:AB137)</f>
        <v>#VALUE!</v>
      </c>
      <c r="AD137" s="446" t="e">
        <f>IF(OR($B137="",MIN(AD$38,$D$19)&lt;MAX($P$34*($B137+IF($R$17="Distrato",$I$38-1,0)),IF(AND($L$37=0,$P$34=0),"",$L$37-1),IF($R$17="Distrato",$E137,0))),0,YEARFRAC(MAX($P$34*($B137+IF($R$17="Distrato",$I$38-1,0)),IF(AND($L$37=0,$P$34=0),"",$L$37-1),IF($R$17="Distrato",$E137,0)),MIN(AD$38,$D$19),$P$20))-SUM($P137:AC137)</f>
        <v>#VALUE!</v>
      </c>
      <c r="AE137" s="446" t="e">
        <f>IF(OR($B137="",MIN(AE$38,$D$19)&lt;MAX($P$34*($B137+IF($R$17="Distrato",$I$38-1,0)),IF(AND($L$37=0,$P$34=0),"",$L$37-1),IF($R$17="Distrato",$E137,0))),0,YEARFRAC(MAX($P$34*($B137+IF($R$17="Distrato",$I$38-1,0)),IF(AND($L$37=0,$P$34=0),"",$L$37-1),IF($R$17="Distrato",$E137,0)),MIN(AE$38,$D$19),$P$20))-SUM($P137:AD137)</f>
        <v>#VALUE!</v>
      </c>
      <c r="AF137" s="446" t="e">
        <f>IF(OR($B137="",MIN(AF$38,$D$19)&lt;MAX($P$34*($B137+IF($R$17="Distrato",$I$38-1,0)),IF(AND($L$37=0,$P$34=0),"",$L$37-1),IF($R$17="Distrato",$E137,0))),0,YEARFRAC(MAX($P$34*($B137+IF($R$17="Distrato",$I$38-1,0)),IF(AND($L$37=0,$P$34=0),"",$L$37-1),IF($R$17="Distrato",$E137,0)),MIN(AF$38,$D$19),$P$20))-SUM($P137:AE137)</f>
        <v>#VALUE!</v>
      </c>
      <c r="AG137" s="446" t="e">
        <f>IF(OR($B137="",MIN(AG$38,$D$19)&lt;MAX($P$34*($B137+IF($R$17="Distrato",$I$38-1,0)),IF(AND($L$37=0,$P$34=0),"",$L$37-1),IF($R$17="Distrato",$E137,0))),0,YEARFRAC(MAX($P$34*($B137+IF($R$17="Distrato",$I$38-1,0)),IF(AND($L$37=0,$P$34=0),"",$L$37-1),IF($R$17="Distrato",$E137,0)),MIN(AG$38,$D$19),$P$20))-SUM($P137:AF137)</f>
        <v>#VALUE!</v>
      </c>
      <c r="AH137" s="446" t="e">
        <f>IF(OR($B137="",MIN(AH$38,$D$19)&lt;MAX($P$34*($B137+IF($R$17="Distrato",$I$38-1,0)),IF(AND($L$37=0,$P$34=0),"",$L$37-1),IF($R$17="Distrato",$E137,0))),0,YEARFRAC(MAX($P$34*($B137+IF($R$17="Distrato",$I$38-1,0)),IF(AND($L$37=0,$P$34=0),"",$L$37-1),IF($R$17="Distrato",$E137,0)),MIN(AH$38,$D$19),$P$20))-SUM($P137:AG137)</f>
        <v>#VALUE!</v>
      </c>
      <c r="AI137" s="446" t="e">
        <f>IF(OR($B137="",MIN(AI$38,$D$19)&lt;MAX($P$34*($B137+IF($R$17="Distrato",$I$38-1,0)),IF(AND($L$37=0,$P$34=0),"",$L$37-1),IF($R$17="Distrato",$E137,0))),0,YEARFRAC(MAX($P$34*($B137+IF($R$17="Distrato",$I$38-1,0)),IF(AND($L$37=0,$P$34=0),"",$L$37-1),IF($R$17="Distrato",$E137,0)),MIN(AI$38,$D$19),$P$20))-SUM($P137:AH137)</f>
        <v>#VALUE!</v>
      </c>
      <c r="AJ137" s="446" t="e">
        <f>IF(OR($B137="",MIN(AJ$38,$D$19)&lt;MAX($P$34*($B137+IF($R$17="Distrato",$I$38-1,0)),IF(AND($L$37=0,$P$34=0),"",$L$37-1),IF($R$17="Distrato",$E137,0))),0,YEARFRAC(MAX($P$34*($B137+IF($R$17="Distrato",$I$38-1,0)),IF(AND($L$37=0,$P$34=0),"",$L$37-1),IF($R$17="Distrato",$E137,0)),MIN(AJ$38,$D$19),$P$20))-SUM($P137:AI137)</f>
        <v>#VALUE!</v>
      </c>
      <c r="AK137" s="446" t="e">
        <f>IF(OR($B137="",MIN(AK$38,$D$19)&lt;MAX($P$34*($B137+IF($R$17="Distrato",$I$38-1,0)),IF(AND($L$37=0,$P$34=0),"",$L$37-1),IF($R$17="Distrato",$E137,0))),0,YEARFRAC(MAX($P$34*($B137+IF($R$17="Distrato",$I$38-1,0)),IF(AND($L$37=0,$P$34=0),"",$L$37-1),IF($R$17="Distrato",$E137,0)),MIN(AK$38,$D$19),$P$20))-SUM($P137:AJ137)</f>
        <v>#VALUE!</v>
      </c>
      <c r="AL137" s="446" t="e">
        <f>IF(OR($B137="",MIN(AL$38,$D$19)&lt;MAX($P$34*($B137+IF($R$17="Distrato",$I$38-1,0)),IF(AND($L$37=0,$P$34=0),"",$L$37-1),IF($R$17="Distrato",$E137,0))),0,YEARFRAC(MAX($P$34*($B137+IF($R$17="Distrato",$I$38-1,0)),IF(AND($L$37=0,$P$34=0),"",$L$37-1),IF($R$17="Distrato",$E137,0)),MIN(AL$38,$D$19),$P$20))-SUM($P137:AK137)</f>
        <v>#VALUE!</v>
      </c>
      <c r="AM137" s="446" t="e">
        <f>IF(OR($B137="",MIN(AM$38,$D$19)&lt;MAX($P$34*($B137+IF($R$17="Distrato",$I$38-1,0)),IF(AND($L$37=0,$P$34=0),"",$L$37-1),IF($R$17="Distrato",$E137,0))),0,YEARFRAC(MAX($P$34*($B137+IF($R$17="Distrato",$I$38-1,0)),IF(AND($L$37=0,$P$34=0),"",$L$37-1),IF($R$17="Distrato",$E137,0)),MIN(AM$38,$D$19),$P$20))-SUM($P137:AL137)</f>
        <v>#VALUE!</v>
      </c>
      <c r="AN137" s="446" t="e">
        <f>IF(OR($B137="",MIN(AN$38,$D$19)&lt;MAX($P$34*($B137+IF($R$17="Distrato",$I$38-1,0)),IF(AND($L$37=0,$P$34=0),"",$L$37-1),IF($R$17="Distrato",$E137,0))),0,YEARFRAC(MAX($P$34*($B137+IF($R$17="Distrato",$I$38-1,0)),IF(AND($L$37=0,$P$34=0),"",$L$37-1),IF($R$17="Distrato",$E137,0)),MIN(AN$38,$D$19),$P$20))-SUM($P137:AM137)</f>
        <v>#VALUE!</v>
      </c>
      <c r="AO137" s="446" t="e">
        <f>IF(OR($B137="",MIN(AO$38,$D$19)&lt;MAX($P$34*($B137+IF($R$17="Distrato",$I$38-1,0)),IF(AND($L$37=0,$P$34=0),"",$L$37-1),IF($R$17="Distrato",$E137,0))),0,YEARFRAC(MAX($P$34*($B137+IF($R$17="Distrato",$I$38-1,0)),IF(AND($L$37=0,$P$34=0),"",$L$37-1),IF($R$17="Distrato",$E137,0)),MIN(AO$38,$D$19),$P$20))-SUM($P137:AN137)</f>
        <v>#VALUE!</v>
      </c>
      <c r="AP137" s="446" t="e">
        <f>IF(OR($B137="",MIN(AP$38,$D$19)&lt;MAX($P$34*($B137+IF($R$17="Distrato",$I$38-1,0)),IF(AND($L$37=0,$P$34=0),"",$L$37-1),IF($R$17="Distrato",$E137,0))),0,YEARFRAC(MAX($P$34*($B137+IF($R$17="Distrato",$I$38-1,0)),IF(AND($L$37=0,$P$34=0),"",$L$37-1),IF($R$17="Distrato",$E137,0)),MIN(AP$38,$D$19),$P$20))-SUM($P137:AO137)</f>
        <v>#VALUE!</v>
      </c>
      <c r="AQ137" s="446" t="e">
        <f>IF(OR($B137="",MIN(AQ$38,$D$19)&lt;MAX($P$34*($B137+IF($R$17="Distrato",$I$38-1,0)),IF(AND($L$37=0,$P$34=0),"",$L$37-1),IF($R$17="Distrato",$E137,0))),0,YEARFRAC(MAX($P$34*($B137+IF($R$17="Distrato",$I$38-1,0)),IF(AND($L$37=0,$P$34=0),"",$L$37-1),IF($R$17="Distrato",$E137,0)),MIN(AQ$38,$D$19),$P$20))-SUM($P137:AP137)</f>
        <v>#VALUE!</v>
      </c>
      <c r="AR137" s="446" t="e">
        <f>IF(OR($B137="",MIN(AR$38,$D$19)&lt;MAX($P$34*($B137+IF($R$17="Distrato",$I$38-1,0)),IF(AND($L$37=0,$P$34=0),"",$L$37-1),IF($R$17="Distrato",$E137,0))),0,YEARFRAC(MAX($P$34*($B137+IF($R$17="Distrato",$I$38-1,0)),IF(AND($L$37=0,$P$34=0),"",$L$37-1),IF($R$17="Distrato",$E137,0)),MIN(AR$38,$D$19),$P$20))-SUM($P137:AQ137)</f>
        <v>#VALUE!</v>
      </c>
      <c r="AS137" s="446" t="e">
        <f>IF(OR($B137="",MIN(AS$38,$D$19)&lt;MAX($P$34*($B137+IF($R$17="Distrato",$I$38-1,0)),IF(AND($L$37=0,$P$34=0),"",$L$37-1),IF($R$17="Distrato",$E137,0))),0,YEARFRAC(MAX($P$34*($B137+IF($R$17="Distrato",$I$38-1,0)),IF(AND($L$37=0,$P$34=0),"",$L$37-1),IF($R$17="Distrato",$E137,0)),MIN(AS$38,$D$19),$P$20))-SUM($P137:AR137)</f>
        <v>#VALUE!</v>
      </c>
      <c r="AT137" s="446" t="e">
        <f>IF(OR($B137="",MIN(AT$38,$D$19)&lt;MAX($P$34*($B137+IF($R$17="Distrato",$I$38-1,0)),IF(AND($L$37=0,$P$34=0),"",$L$37-1),IF($R$17="Distrato",$E137,0))),0,YEARFRAC(MAX($P$34*($B137+IF($R$17="Distrato",$I$38-1,0)),IF(AND($L$37=0,$P$34=0),"",$L$37-1),IF($R$17="Distrato",$E137,0)),MIN(AT$38,$D$19),$P$20))-SUM($P137:AS137)</f>
        <v>#VALUE!</v>
      </c>
      <c r="AU137" s="446" t="e">
        <f>IF(OR($B137="",MIN(AU$38,$D$19)&lt;MAX($P$34*($B137+IF($R$17="Distrato",$I$38-1,0)),IF(AND($L$37=0,$P$34=0),"",$L$37-1),IF($R$17="Distrato",$E137,0))),0,YEARFRAC(MAX($P$34*($B137+IF($R$17="Distrato",$I$38-1,0)),IF(AND($L$37=0,$P$34=0),"",$L$37-1),IF($R$17="Distrato",$E137,0)),MIN(AU$38,$D$19),$P$20))-SUM($P137:AT137)</f>
        <v>#VALUE!</v>
      </c>
      <c r="AV137" s="446" t="e">
        <f>IF(OR($B137="",MIN(AV$38,$D$19)&lt;MAX($P$34*($B137+IF($R$17="Distrato",$I$38-1,0)),IF(AND($L$37=0,$P$34=0),"",$L$37-1),IF($R$17="Distrato",$E137,0))),0,YEARFRAC(MAX($P$34*($B137+IF($R$17="Distrato",$I$38-1,0)),IF(AND($L$37=0,$P$34=0),"",$L$37-1),IF($R$17="Distrato",$E137,0)),MIN(AV$38,$D$19),$P$20))-SUM($P137:AU137)</f>
        <v>#VALUE!</v>
      </c>
      <c r="AW137" s="446" t="e">
        <f>IF(OR($B137="",MIN(AW$38,$D$19)&lt;MAX($P$34*($B137+IF($R$17="Distrato",$I$38-1,0)),IF(AND($L$37=0,$P$34=0),"",$L$37-1),IF($R$17="Distrato",$E137,0))),0,YEARFRAC(MAX($P$34*($B137+IF($R$17="Distrato",$I$38-1,0)),IF(AND($L$37=0,$P$34=0),"",$L$37-1),IF($R$17="Distrato",$E137,0)),MIN(AW$38,$D$19),$P$20))-SUM($P137:AV137)</f>
        <v>#VALUE!</v>
      </c>
      <c r="AX137" s="446" t="e">
        <f>IF(OR($B137="",MIN(AX$38,$D$19)&lt;MAX($P$34*($B137+IF($R$17="Distrato",$I$38-1,0)),IF(AND($L$37=0,$P$34=0),"",$L$37-1),IF($R$17="Distrato",$E137,0))),0,YEARFRAC(MAX($P$34*($B137+IF($R$17="Distrato",$I$38-1,0)),IF(AND($L$37=0,$P$34=0),"",$L$37-1),IF($R$17="Distrato",$E137,0)),MIN(AX$38,$D$19),$P$20))-SUM($P137:AW137)</f>
        <v>#VALUE!</v>
      </c>
      <c r="AY137" s="446" t="e">
        <f>IF(OR($B137="",MIN(AY$38,$D$19)&lt;MAX($P$34*($B137+IF($R$17="Distrato",$I$38-1,0)),IF(AND($L$37=0,$P$34=0),"",$L$37-1),IF($R$17="Distrato",$E137,0))),0,YEARFRAC(MAX($P$34*($B137+IF($R$17="Distrato",$I$38-1,0)),IF(AND($L$37=0,$P$34=0),"",$L$37-1),IF($R$17="Distrato",$E137,0)),MIN(AY$38,$D$19),$P$20))-SUM($P137:AX137)</f>
        <v>#VALUE!</v>
      </c>
      <c r="AZ137" s="446" t="e">
        <f>IF(OR($B137="",MIN(AZ$38,$D$19)&lt;MAX($P$34*($B137+IF($R$17="Distrato",$I$38-1,0)),IF(AND($L$37=0,$P$34=0),"",$L$37-1),IF($R$17="Distrato",$E137,0))),0,YEARFRAC(MAX($P$34*($B137+IF($R$17="Distrato",$I$38-1,0)),IF(AND($L$37=0,$P$34=0),"",$L$37-1),IF($R$17="Distrato",$E137,0)),MIN(AZ$38,$D$19),$P$20))-SUM($P137:AY137)</f>
        <v>#VALUE!</v>
      </c>
      <c r="BA137" s="446" t="e">
        <f>IF(OR($B137="",MIN(BA$38,$D$19)&lt;MAX($P$34*($B137+IF($R$17="Distrato",$I$38-1,0)),IF(AND($L$37=0,$P$34=0),"",$L$37-1),IF($R$17="Distrato",$E137,0))),0,YEARFRAC(MAX($P$34*($B137+IF($R$17="Distrato",$I$38-1,0)),IF(AND($L$37=0,$P$34=0),"",$L$37-1),IF($R$17="Distrato",$E137,0)),MIN(BA$38,$D$19),$P$20))-SUM($P137:AZ137)</f>
        <v>#VALUE!</v>
      </c>
      <c r="BB137" s="447"/>
      <c r="BF137" s="446">
        <f t="shared" si="21"/>
        <v>0</v>
      </c>
      <c r="BG137" s="446">
        <f>IF($E137=0,0,IF(MIN(BG$38,$E137)&lt;MAX($P$34*($B137+$I$38-1),IF(AND($L$37=0,$P$34=0),"",$L$37-1)),0,YEARFRAC(MAX($P$34*($B137+$I$38-1),IF(AND($L$37=0,$P$34=0),"",$L$37-1)),MIN(BG$38,$E137),$P$20))-SUM($BF137:BF137))</f>
        <v>0</v>
      </c>
      <c r="BH137" s="446">
        <f>IF($E137=0,0,IF(MIN(BH$38,$E137)&lt;MAX($P$34*($B137+$I$38-1),IF(AND($L$37=0,$P$34=0),"",$L$37-1)),0,YEARFRAC(MAX($P$34*($B137+$I$38-1),IF(AND($L$37=0,$P$34=0),"",$L$37-1)),MIN(BH$38,$E137),$P$20))-SUM($BF137:BG137))</f>
        <v>0</v>
      </c>
      <c r="BI137" s="446">
        <f>IF($E137=0,0,IF(MIN(BI$38,$E137)&lt;MAX($P$34*($B137+$I$38-1),IF(AND($L$37=0,$P$34=0),"",$L$37-1)),0,YEARFRAC(MAX($P$34*($B137+$I$38-1),IF(AND($L$37=0,$P$34=0),"",$L$37-1)),MIN(BI$38,$E137),$P$20))-SUM($BF137:BH137))</f>
        <v>0</v>
      </c>
      <c r="BJ137" s="446">
        <f>IF($E137=0,0,IF(MIN(BJ$38,$E137)&lt;MAX($P$34*($B137+$I$38-1),IF(AND($L$37=0,$P$34=0),"",$L$37-1)),0,YEARFRAC(MAX($P$34*($B137+$I$38-1),IF(AND($L$37=0,$P$34=0),"",$L$37-1)),MIN(BJ$38,$E137),$P$20))-SUM($BF137:BI137))</f>
        <v>0</v>
      </c>
      <c r="BK137" s="446">
        <f>IF($E137=0,0,IF(MIN(BK$38,$E137)&lt;MAX($P$34*($B137+$I$38-1),IF(AND($L$37=0,$P$34=0),"",$L$37-1)),0,YEARFRAC(MAX($P$34*($B137+$I$38-1),IF(AND($L$37=0,$P$34=0),"",$L$37-1)),MIN(BK$38,$E137),$P$20))-SUM($BF137:BJ137))</f>
        <v>0</v>
      </c>
      <c r="BL137" s="446">
        <f>IF($E137=0,0,IF(MIN(BL$38,$E137)&lt;MAX($P$34*($B137+$I$38-1),IF(AND($L$37=0,$P$34=0),"",$L$37-1)),0,YEARFRAC(MAX($P$34*($B137+$I$38-1),IF(AND($L$37=0,$P$34=0),"",$L$37-1)),MIN(BL$38,$E137),$P$20))-SUM($BF137:BK137))</f>
        <v>0</v>
      </c>
      <c r="BM137" s="446">
        <f>IF($E137=0,0,IF(MIN(BM$38,$E137)&lt;MAX($P$34*($B137+$I$38-1),IF(AND($L$37=0,$P$34=0),"",$L$37-1)),0,YEARFRAC(MAX($P$34*($B137+$I$38-1),IF(AND($L$37=0,$P$34=0),"",$L$37-1)),MIN(BM$38,$E137),$P$20))-SUM($BF137:BL137))</f>
        <v>0</v>
      </c>
      <c r="BN137" s="446">
        <f>IF($E137=0,0,IF(MIN(BN$38,$E137)&lt;MAX($P$34*($B137+$I$38-1),IF(AND($L$37=0,$P$34=0),"",$L$37-1)),0,YEARFRAC(MAX($P$34*($B137+$I$38-1),IF(AND($L$37=0,$P$34=0),"",$L$37-1)),MIN(BN$38,$E137),$P$20))-SUM($BF137:BM137))</f>
        <v>0</v>
      </c>
      <c r="BO137" s="446">
        <f>IF($E137=0,0,IF(MIN(BO$38,$E137)&lt;MAX($P$34*($B137+$I$38-1),IF(AND($L$37=0,$P$34=0),"",$L$37-1)),0,YEARFRAC(MAX($P$34*($B137+$I$38-1),IF(AND($L$37=0,$P$34=0),"",$L$37-1)),MIN(BO$38,$E137),$P$20))-SUM($BF137:BN137))</f>
        <v>0</v>
      </c>
      <c r="BP137" s="446">
        <f>IF($E137=0,0,IF(MIN(BP$38,$E137)&lt;MAX($P$34*($B137+$I$38-1),IF(AND($L$37=0,$P$34=0),"",$L$37-1)),0,YEARFRAC(MAX($P$34*($B137+$I$38-1),IF(AND($L$37=0,$P$34=0),"",$L$37-1)),MIN(BP$38,$E137),$P$20))-SUM($BF137:BO137))</f>
        <v>0</v>
      </c>
      <c r="BQ137" s="446">
        <f>IF($E137=0,0,IF(MIN(BQ$38,$E137)&lt;MAX($P$34*($B137+$I$38-1),IF(AND($L$37=0,$P$34=0),"",$L$37-1)),0,YEARFRAC(MAX($P$34*($B137+$I$38-1),IF(AND($L$37=0,$P$34=0),"",$L$37-1)),MIN(BQ$38,$E137),$P$20))-SUM($BF137:BP137))</f>
        <v>0</v>
      </c>
      <c r="BR137" s="446">
        <f>IF($E137=0,0,IF(MIN(BR$38,$E137)&lt;MAX($P$34*($B137+$I$38-1),IF(AND($L$37=0,$P$34=0),"",$L$37-1)),0,YEARFRAC(MAX($P$34*($B137+$I$38-1),IF(AND($L$37=0,$P$34=0),"",$L$37-1)),MIN(BR$38,$E137),$P$20))-SUM($BF137:BQ137))</f>
        <v>0</v>
      </c>
      <c r="BS137" s="446">
        <f>IF($E137=0,0,IF(MIN(BS$38,$E137)&lt;MAX($P$34*($B137+$I$38-1),IF(AND($L$37=0,$P$34=0),"",$L$37-1)),0,YEARFRAC(MAX($P$34*($B137+$I$38-1),IF(AND($L$37=0,$P$34=0),"",$L$37-1)),MIN(BS$38,$E137),$P$20))-SUM($BF137:BR137))</f>
        <v>0</v>
      </c>
      <c r="BT137" s="446">
        <f>IF($E137=0,0,IF(MIN(BT$38,$E137)&lt;MAX($P$34*($B137+$I$38-1),IF(AND($L$37=0,$P$34=0),"",$L$37-1)),0,YEARFRAC(MAX($P$34*($B137+$I$38-1),IF(AND($L$37=0,$P$34=0),"",$L$37-1)),MIN(BT$38,$E137),$P$20))-SUM($BF137:BS137))</f>
        <v>0</v>
      </c>
      <c r="BU137" s="446">
        <f>IF($E137=0,0,IF(MIN(BU$38,$E137)&lt;MAX($P$34*($B137+$I$38-1),IF(AND($L$37=0,$P$34=0),"",$L$37-1)),0,YEARFRAC(MAX($P$34*($B137+$I$38-1),IF(AND($L$37=0,$P$34=0),"",$L$37-1)),MIN(BU$38,$E137),$P$20))-SUM($BF137:BT137))</f>
        <v>0</v>
      </c>
      <c r="BV137" s="446">
        <f>IF($E137=0,0,IF(MIN(BV$38,$E137)&lt;MAX($P$34*($B137+$I$38-1),IF(AND($L$37=0,$P$34=0),"",$L$37-1)),0,YEARFRAC(MAX($P$34*($B137+$I$38-1),IF(AND($L$37=0,$P$34=0),"",$L$37-1)),MIN(BV$38,$E137),$P$20))-SUM($BF137:BU137))</f>
        <v>0</v>
      </c>
      <c r="BW137" s="446">
        <f>IF($E137=0,0,IF(MIN(BW$38,$E137)&lt;MAX($P$34*($B137+$I$38-1),IF(AND($L$37=0,$P$34=0),"",$L$37-1)),0,YEARFRAC(MAX($P$34*($B137+$I$38-1),IF(AND($L$37=0,$P$34=0),"",$L$37-1)),MIN(BW$38,$E137),$P$20))-SUM($BF137:BV137))</f>
        <v>0</v>
      </c>
      <c r="BX137" s="446">
        <f>IF($E137=0,0,IF(MIN(BX$38,$E137)&lt;MAX($P$34*($B137+$I$38-1),IF(AND($L$37=0,$P$34=0),"",$L$37-1)),0,YEARFRAC(MAX($P$34*($B137+$I$38-1),IF(AND($L$37=0,$P$34=0),"",$L$37-1)),MIN(BX$38,$E137),$P$20))-SUM($BF137:BW137))</f>
        <v>0</v>
      </c>
      <c r="BY137" s="446">
        <f>IF($E137=0,0,IF(MIN(BY$38,$E137)&lt;MAX($P$34*($B137+$I$38-1),IF(AND($L$37=0,$P$34=0),"",$L$37-1)),0,YEARFRAC(MAX($P$34*($B137+$I$38-1),IF(AND($L$37=0,$P$34=0),"",$L$37-1)),MIN(BY$38,$E137),$P$20))-SUM($BF137:BX137))</f>
        <v>0</v>
      </c>
      <c r="BZ137" s="446">
        <f>IF($E137=0,0,IF(MIN(BZ$38,$E137)&lt;MAX($P$34*($B137+$I$38-1),IF(AND($L$37=0,$P$34=0),"",$L$37-1)),0,YEARFRAC(MAX($P$34*($B137+$I$38-1),IF(AND($L$37=0,$P$34=0),"",$L$37-1)),MIN(BZ$38,$E137),$P$20))-SUM($BF137:BY137))</f>
        <v>0</v>
      </c>
      <c r="CA137" s="446">
        <f>IF($E137=0,0,IF(MIN(CA$38,$E137)&lt;MAX($P$34*($B137+$I$38-1),IF(AND($L$37=0,$P$34=0),"",$L$37-1)),0,YEARFRAC(MAX($P$34*($B137+$I$38-1),IF(AND($L$37=0,$P$34=0),"",$L$37-1)),MIN(CA$38,$E137),$P$20))-SUM($BF137:BZ137))</f>
        <v>0</v>
      </c>
      <c r="CB137" s="446">
        <f>IF($E137=0,0,IF(MIN(CB$38,$E137)&lt;MAX($P$34*($B137+$I$38-1),IF(AND($L$37=0,$P$34=0),"",$L$37-1)),0,YEARFRAC(MAX($P$34*($B137+$I$38-1),IF(AND($L$37=0,$P$34=0),"",$L$37-1)),MIN(CB$38,$E137),$P$20))-SUM($BF137:CA137))</f>
        <v>0</v>
      </c>
      <c r="CC137" s="446">
        <f>IF($E137=0,0,IF(MIN(CC$38,$E137)&lt;MAX($P$34*($B137+$I$38-1),IF(AND($L$37=0,$P$34=0),"",$L$37-1)),0,YEARFRAC(MAX($P$34*($B137+$I$38-1),IF(AND($L$37=0,$P$34=0),"",$L$37-1)),MIN(CC$38,$E137),$P$20))-SUM($BF137:CB137))</f>
        <v>0</v>
      </c>
      <c r="CD137" s="446">
        <f>IF($E137=0,0,IF(MIN(CD$38,$E137)&lt;MAX($P$34*($B137+$I$38-1),IF(AND($L$37=0,$P$34=0),"",$L$37-1)),0,YEARFRAC(MAX($P$34*($B137+$I$38-1),IF(AND($L$37=0,$P$34=0),"",$L$37-1)),MIN(CD$38,$E137),$P$20))-SUM($BF137:CC137))</f>
        <v>0</v>
      </c>
      <c r="CE137" s="446">
        <f>IF($E137=0,0,IF(MIN(CE$38,$E137)&lt;MAX($P$34*($B137+$I$38-1),IF(AND($L$37=0,$P$34=0),"",$L$37-1)),0,YEARFRAC(MAX($P$34*($B137+$I$38-1),IF(AND($L$37=0,$P$34=0),"",$L$37-1)),MIN(CE$38,$E137),$P$20))-SUM($BF137:CD137))</f>
        <v>0</v>
      </c>
      <c r="CF137" s="446">
        <f>IF($E137=0,0,IF(MIN(CF$38,$E137)&lt;MAX($P$34*($B137+$I$38-1),IF(AND($L$37=0,$P$34=0),"",$L$37-1)),0,YEARFRAC(MAX($P$34*($B137+$I$38-1),IF(AND($L$37=0,$P$34=0),"",$L$37-1)),MIN(CF$38,$E137),$P$20))-SUM($BF137:CE137))</f>
        <v>0</v>
      </c>
      <c r="CG137" s="446">
        <f>IF($E137=0,0,IF(MIN(CG$38,$E137)&lt;MAX($P$34*($B137+$I$38-1),IF(AND($L$37=0,$P$34=0),"",$L$37-1)),0,YEARFRAC(MAX($P$34*($B137+$I$38-1),IF(AND($L$37=0,$P$34=0),"",$L$37-1)),MIN(CG$38,$E137),$P$20))-SUM($BF137:CF137))</f>
        <v>0</v>
      </c>
      <c r="CH137" s="446">
        <f>IF($E137=0,0,IF(MIN(CH$38,$E137)&lt;MAX($P$34*($B137+$I$38-1),IF(AND($L$37=0,$P$34=0),"",$L$37-1)),0,YEARFRAC(MAX($P$34*($B137+$I$38-1),IF(AND($L$37=0,$P$34=0),"",$L$37-1)),MIN(CH$38,$E137),$P$20))-SUM($BF137:CG137))</f>
        <v>0</v>
      </c>
      <c r="CI137" s="446">
        <f>IF($E137=0,0,IF(MIN(CI$38,$E137)&lt;MAX($P$34*($B137+$I$38-1),IF(AND($L$37=0,$P$34=0),"",$L$37-1)),0,YEARFRAC(MAX($P$34*($B137+$I$38-1),IF(AND($L$37=0,$P$34=0),"",$L$37-1)),MIN(CI$38,$E137),$P$20))-SUM($BF137:CH137))</f>
        <v>0</v>
      </c>
      <c r="CJ137" s="446">
        <f>IF($E137=0,0,IF(MIN(CJ$38,$E137)&lt;MAX($P$34*($B137+$I$38-1),IF(AND($L$37=0,$P$34=0),"",$L$37-1)),0,YEARFRAC(MAX($P$34*($B137+$I$38-1),IF(AND($L$37=0,$P$34=0),"",$L$37-1)),MIN(CJ$38,$E137),$P$20))-SUM($BF137:CI137))</f>
        <v>0</v>
      </c>
      <c r="CK137" s="446">
        <f>IF($E137=0,0,IF(MIN(CK$38,$E137)&lt;MAX($P$34*($B137+$I$38-1),IF(AND($L$37=0,$P$34=0),"",$L$37-1)),0,YEARFRAC(MAX($P$34*($B137+$I$38-1),IF(AND($L$37=0,$P$34=0),"",$L$37-1)),MIN(CK$38,$E137),$P$20))-SUM($BF137:CJ137))</f>
        <v>0</v>
      </c>
      <c r="CL137" s="446">
        <f>IF($E137=0,0,IF(MIN(CL$38,$E137)&lt;MAX($P$34*($B137+$I$38-1),IF(AND($L$37=0,$P$34=0),"",$L$37-1)),0,YEARFRAC(MAX($P$34*($B137+$I$38-1),IF(AND($L$37=0,$P$34=0),"",$L$37-1)),MIN(CL$38,$E137),$P$20))-SUM($BF137:CK137))</f>
        <v>0</v>
      </c>
      <c r="CM137" s="446">
        <f>IF($E137=0,0,IF(MIN(CM$38,$E137)&lt;MAX($P$34*($B137+$I$38-1),IF(AND($L$37=0,$P$34=0),"",$L$37-1)),0,YEARFRAC(MAX($P$34*($B137+$I$38-1),IF(AND($L$37=0,$P$34=0),"",$L$37-1)),MIN(CM$38,$E137),$P$20))-SUM($BF137:CL137))</f>
        <v>0</v>
      </c>
      <c r="CN137" s="446">
        <f>IF($E137=0,0,IF(MIN(CN$38,$E137)&lt;MAX($P$34*($B137+$I$38-1),IF(AND($L$37=0,$P$34=0),"",$L$37-1)),0,YEARFRAC(MAX($P$34*($B137+$I$38-1),IF(AND($L$37=0,$P$34=0),"",$L$37-1)),MIN(CN$38,$E137),$P$20))-SUM($BF137:CM137))</f>
        <v>0</v>
      </c>
      <c r="CO137" s="446">
        <f>IF($E137=0,0,IF(MIN(CO$38,$E137)&lt;MAX($P$34*($B137+$I$38-1),IF(AND($L$37=0,$P$34=0),"",$L$37-1)),0,YEARFRAC(MAX($P$34*($B137+$I$38-1),IF(AND($L$37=0,$P$34=0),"",$L$37-1)),MIN(CO$38,$E137),$P$20))-SUM($BF137:CN137))</f>
        <v>0</v>
      </c>
      <c r="CP137" s="446">
        <f>IF($E137=0,0,IF(MIN(CP$38,$E137)&lt;MAX($P$34*($B137+$I$38-1),IF(AND($L$37=0,$P$34=0),"",$L$37-1)),0,YEARFRAC(MAX($P$34*($B137+$I$38-1),IF(AND($L$37=0,$P$34=0),"",$L$37-1)),MIN(CP$38,$E137),$P$20))-SUM($BF137:CO137))</f>
        <v>0</v>
      </c>
      <c r="CQ137" s="446">
        <f>IF($E137=0,0,IF(MIN(CQ$38,$E137)&lt;MAX($P$34*($B137+$I$38-1),IF(AND($L$37=0,$P$34=0),"",$L$37-1)),0,YEARFRAC(MAX($P$34*($B137+$I$38-1),IF(AND($L$37=0,$P$34=0),"",$L$37-1)),MIN(CQ$38,$E137),$P$20))-SUM($BF137:CP137))</f>
        <v>0</v>
      </c>
    </row>
    <row r="138" spans="1:95" s="446" customFormat="1" ht="11.25" hidden="1" customHeight="1" x14ac:dyDescent="0.2">
      <c r="A138" s="152"/>
      <c r="B138" s="153" t="str">
        <f t="shared" si="26"/>
        <v/>
      </c>
      <c r="C138" s="29" t="str">
        <f>IF(B138="","",IF($L$35="SELIC - TRIBUTOS",VLOOKUP(DATE(YEAR($D$19),MONTH($D$19)-1,1),ÍNDICES!$A:$DE,HLOOKUP($BL$25,ÍNDICES!$B$3:$T$4,2)+11)-VLOOKUP(B138,ÍNDICES!$A:$DE,HLOOKUP($BL$25,ÍNDICES!$B$3:$T$4,2)+11)+1%,IF(C$38=$W$26,$J$35,IF(ISERROR(IF(B138&gt;$D$19,1,VLOOKUP(DATE(YEAR(B138),MONTH(B138)+IF($C$35=$S$23,1,0),1),ÍNDICES!$A:$DE,$Z$35+1))),"",IF(B138&gt;$D$19,1,VLOOKUP(DATE(YEAR(B138),MONTH(B138)+IF($C$35=$S$23,1,0),1),ÍNDICES!$A:$DE,$Z$35+1))))))</f>
        <v/>
      </c>
      <c r="D138" s="154" t="str">
        <f>IF(ISERROR(IF(OR($D$38=$Y$27,$B138=""),"",VLOOKUP(B138,ÍNDICES!A:DE,AF$35+1))),"",IF(OR($D$38=$Y$27,$B138=""),"",VLOOKUP(B138,ÍNDICES!A:DE,AF$35+1)))</f>
        <v/>
      </c>
      <c r="E138" s="153"/>
      <c r="F138" s="29" t="str">
        <f>IF(E138="","",IF($L$35="SELIC - TRIBUTOS",VLOOKUP(DATE(YEAR($D$19),MONTH($D$19)-1,1),ÍNDICES!$A:$DE,HLOOKUP($BL$25,ÍNDICES!$B$3:$T$4,2)+11)-VLOOKUP(E138,ÍNDICES!$A:$DE,HLOOKUP($BL$25,ÍNDICES!$B$3:$T$4,2)+11)+1%,IF(F$38=$W$26,$J$35,IF(ISERROR(IF(E138&gt;$D$19,1,VLOOKUP(DATE(YEAR(E138),MONTH(E138)+IF($C$35=$S$23,1,0),1),ÍNDICES!$A:$DE,$Z$35+1))),"",IF(E138&gt;$D$19,1,VLOOKUP(DATE(YEAR(E138),MONTH(E138)+IF($C$35=$S$23,1,0),1),ÍNDICES!$A:$DE,$Z$35+1))))))</f>
        <v/>
      </c>
      <c r="G138" s="155"/>
      <c r="H138" s="156" t="str">
        <f t="shared" si="22"/>
        <v/>
      </c>
      <c r="I138" s="29" t="str">
        <f t="shared" si="16"/>
        <v/>
      </c>
      <c r="J138" s="5">
        <f t="shared" si="17"/>
        <v>0</v>
      </c>
      <c r="K138" s="20">
        <f t="shared" ca="1" si="18"/>
        <v>0</v>
      </c>
      <c r="L138" s="5">
        <f t="shared" ca="1" si="19"/>
        <v>0</v>
      </c>
      <c r="M138" s="64">
        <f t="shared" si="23"/>
        <v>0</v>
      </c>
      <c r="N138" s="61">
        <f t="shared" ca="1" si="24"/>
        <v>0</v>
      </c>
      <c r="O138" s="5">
        <f t="shared" ca="1" si="25"/>
        <v>0</v>
      </c>
      <c r="P138" s="446" t="e">
        <f t="shared" si="20"/>
        <v>#VALUE!</v>
      </c>
      <c r="Q138" s="446" t="e">
        <f>IF(OR($B138="",MIN(Q$38,$D$19)&lt;MAX($P$34*($B138+IF($R$17="Distrato",$I$38-1,0)),IF(AND($L$37=0,$P$34=0),"",$L$37-1),IF($R$17="Distrato",$E138,0))),0,YEARFRAC(MAX($P$34*($B138+IF($R$17="Distrato",$I$38-1,0)),IF(AND($L$37=0,$P$34=0),"",$L$37-1),IF($R$17="Distrato",$E138,0)),MIN(Q$38,$D$19),$P$20))-SUM($P138:P138)</f>
        <v>#VALUE!</v>
      </c>
      <c r="R138" s="446" t="e">
        <f>IF(OR($B138="",MIN(R$38,$D$19)&lt;MAX($P$34*($B138+IF($R$17="Distrato",$I$38-1,0)),IF(AND($L$37=0,$P$34=0),"",$L$37-1),IF($R$17="Distrato",$E138,0))),0,YEARFRAC(MAX($P$34*($B138+IF($R$17="Distrato",$I$38-1,0)),IF(AND($L$37=0,$P$34=0),"",$L$37-1),IF($R$17="Distrato",$E138,0)),MIN(R$38,$D$19),$P$20))-SUM($P138:Q138)</f>
        <v>#VALUE!</v>
      </c>
      <c r="S138" s="446" t="e">
        <f>IF(OR($B138="",MIN(S$38,$D$19)&lt;MAX($P$34*($B138+IF($R$17="Distrato",$I$38-1,0)),IF(AND($L$37=0,$P$34=0),"",$L$37-1),IF($R$17="Distrato",$E138,0))),0,YEARFRAC(MAX($P$34*($B138+IF($R$17="Distrato",$I$38-1,0)),IF(AND($L$37=0,$P$34=0),"",$L$37-1),IF($R$17="Distrato",$E138,0)),MIN(S$38,$D$19),$P$20))-SUM($P138:R138)</f>
        <v>#VALUE!</v>
      </c>
      <c r="T138" s="446" t="e">
        <f>IF(OR($B138="",MIN(T$38,$D$19)&lt;MAX($P$34*($B138+IF($R$17="Distrato",$I$38-1,0)),IF(AND($L$37=0,$P$34=0),"",$L$37-1),IF($R$17="Distrato",$E138,0))),0,YEARFRAC(MAX($P$34*($B138+IF($R$17="Distrato",$I$38-1,0)),IF(AND($L$37=0,$P$34=0),"",$L$37-1),IF($R$17="Distrato",$E138,0)),MIN(T$38,$D$19),$P$20))-SUM($P138:S138)</f>
        <v>#VALUE!</v>
      </c>
      <c r="U138" s="446" t="e">
        <f>IF(OR($B138="",MIN(U$38,$D$19)&lt;MAX($P$34*($B138+IF($R$17="Distrato",$I$38-1,0)),IF(AND($L$37=0,$P$34=0),"",$L$37-1),IF($R$17="Distrato",$E138,0))),0,YEARFRAC(MAX($P$34*($B138+IF($R$17="Distrato",$I$38-1,0)),IF(AND($L$37=0,$P$34=0),"",$L$37-1),IF($R$17="Distrato",$E138,0)),MIN(U$38,$D$19),$P$20))-SUM($P138:T138)</f>
        <v>#VALUE!</v>
      </c>
      <c r="V138" s="446" t="e">
        <f>IF(OR($B138="",MIN(V$38,$D$19)&lt;MAX($P$34*($B138+IF($R$17="Distrato",$I$38-1,0)),IF(AND($L$37=0,$P$34=0),"",$L$37-1),IF($R$17="Distrato",$E138,0))),0,YEARFRAC(MAX($P$34*($B138+IF($R$17="Distrato",$I$38-1,0)),IF(AND($L$37=0,$P$34=0),"",$L$37-1),IF($R$17="Distrato",$E138,0)),MIN(V$38,$D$19),$P$20))-SUM($P138:U138)</f>
        <v>#VALUE!</v>
      </c>
      <c r="W138" s="446" t="e">
        <f>IF(OR($B138="",MIN(W$38,$D$19)&lt;MAX($P$34*($B138+IF($R$17="Distrato",$I$38-1,0)),IF(AND($L$37=0,$P$34=0),"",$L$37-1),IF($R$17="Distrato",$E138,0))),0,YEARFRAC(MAX($P$34*($B138+IF($R$17="Distrato",$I$38-1,0)),IF(AND($L$37=0,$P$34=0),"",$L$37-1),IF($R$17="Distrato",$E138,0)),MIN(W$38,$D$19),$P$20))-SUM($P138:V138)</f>
        <v>#VALUE!</v>
      </c>
      <c r="X138" s="446" t="e">
        <f>IF(OR($B138="",MIN(X$38,$D$19)&lt;MAX($P$34*($B138+IF($R$17="Distrato",$I$38-1,0)),IF(AND($L$37=0,$P$34=0),"",$L$37-1),IF($R$17="Distrato",$E138,0))),0,YEARFRAC(MAX($P$34*($B138+IF($R$17="Distrato",$I$38-1,0)),IF(AND($L$37=0,$P$34=0),"",$L$37-1),IF($R$17="Distrato",$E138,0)),MIN(X$38,$D$19),$P$20))-SUM($P138:W138)</f>
        <v>#VALUE!</v>
      </c>
      <c r="Y138" s="446" t="e">
        <f>IF(OR($B138="",MIN(Y$38,$D$19)&lt;MAX($P$34*($B138+IF($R$17="Distrato",$I$38-1,0)),IF(AND($L$37=0,$P$34=0),"",$L$37-1),IF($R$17="Distrato",$E138,0))),0,YEARFRAC(MAX($P$34*($B138+IF($R$17="Distrato",$I$38-1,0)),IF(AND($L$37=0,$P$34=0),"",$L$37-1),IF($R$17="Distrato",$E138,0)),MIN(Y$38,$D$19),$P$20))-SUM($P138:X138)</f>
        <v>#VALUE!</v>
      </c>
      <c r="Z138" s="446" t="e">
        <f>IF(OR($B138="",MIN(Z$38,$D$19)&lt;MAX($P$34*($B138+IF($R$17="Distrato",$I$38-1,0)),IF(AND($L$37=0,$P$34=0),"",$L$37-1),IF($R$17="Distrato",$E138,0))),0,YEARFRAC(MAX($P$34*($B138+IF($R$17="Distrato",$I$38-1,0)),IF(AND($L$37=0,$P$34=0),"",$L$37-1),IF($R$17="Distrato",$E138,0)),MIN(Z$38,$D$19),$P$20))-SUM($P138:Y138)</f>
        <v>#VALUE!</v>
      </c>
      <c r="AA138" s="446" t="e">
        <f>IF(OR($B138="",MIN(AA$38,$D$19)&lt;MAX($P$34*($B138+IF($R$17="Distrato",$I$38-1,0)),IF(AND($L$37=0,$P$34=0),"",$L$37-1),IF($R$17="Distrato",$E138,0))),0,YEARFRAC(MAX($P$34*($B138+IF($R$17="Distrato",$I$38-1,0)),IF(AND($L$37=0,$P$34=0),"",$L$37-1),IF($R$17="Distrato",$E138,0)),MIN(AA$38,$D$19),$P$20))-SUM($P138:Z138)</f>
        <v>#VALUE!</v>
      </c>
      <c r="AB138" s="446" t="e">
        <f>IF(OR($B138="",MIN(AB$38,$D$19)&lt;MAX($P$34*($B138+IF($R$17="Distrato",$I$38-1,0)),IF(AND($L$37=0,$P$34=0),"",$L$37-1),IF($R$17="Distrato",$E138,0))),0,YEARFRAC(MAX($P$34*($B138+IF($R$17="Distrato",$I$38-1,0)),IF(AND($L$37=0,$P$34=0),"",$L$37-1),IF($R$17="Distrato",$E138,0)),MIN(AB$38,$D$19),$P$20))-SUM($P138:AA138)</f>
        <v>#VALUE!</v>
      </c>
      <c r="AC138" s="446" t="e">
        <f>IF(OR($B138="",MIN(AC$38,$D$19)&lt;MAX($P$34*($B138+IF($R$17="Distrato",$I$38-1,0)),IF(AND($L$37=0,$P$34=0),"",$L$37-1),IF($R$17="Distrato",$E138,0))),0,YEARFRAC(MAX($P$34*($B138+IF($R$17="Distrato",$I$38-1,0)),IF(AND($L$37=0,$P$34=0),"",$L$37-1),IF($R$17="Distrato",$E138,0)),MIN(AC$38,$D$19),$P$20))-SUM($P138:AB138)</f>
        <v>#VALUE!</v>
      </c>
      <c r="AD138" s="446" t="e">
        <f>IF(OR($B138="",MIN(AD$38,$D$19)&lt;MAX($P$34*($B138+IF($R$17="Distrato",$I$38-1,0)),IF(AND($L$37=0,$P$34=0),"",$L$37-1),IF($R$17="Distrato",$E138,0))),0,YEARFRAC(MAX($P$34*($B138+IF($R$17="Distrato",$I$38-1,0)),IF(AND($L$37=0,$P$34=0),"",$L$37-1),IF($R$17="Distrato",$E138,0)),MIN(AD$38,$D$19),$P$20))-SUM($P138:AC138)</f>
        <v>#VALUE!</v>
      </c>
      <c r="AE138" s="446" t="e">
        <f>IF(OR($B138="",MIN(AE$38,$D$19)&lt;MAX($P$34*($B138+IF($R$17="Distrato",$I$38-1,0)),IF(AND($L$37=0,$P$34=0),"",$L$37-1),IF($R$17="Distrato",$E138,0))),0,YEARFRAC(MAX($P$34*($B138+IF($R$17="Distrato",$I$38-1,0)),IF(AND($L$37=0,$P$34=0),"",$L$37-1),IF($R$17="Distrato",$E138,0)),MIN(AE$38,$D$19),$P$20))-SUM($P138:AD138)</f>
        <v>#VALUE!</v>
      </c>
      <c r="AF138" s="446" t="e">
        <f>IF(OR($B138="",MIN(AF$38,$D$19)&lt;MAX($P$34*($B138+IF($R$17="Distrato",$I$38-1,0)),IF(AND($L$37=0,$P$34=0),"",$L$37-1),IF($R$17="Distrato",$E138,0))),0,YEARFRAC(MAX($P$34*($B138+IF($R$17="Distrato",$I$38-1,0)),IF(AND($L$37=0,$P$34=0),"",$L$37-1),IF($R$17="Distrato",$E138,0)),MIN(AF$38,$D$19),$P$20))-SUM($P138:AE138)</f>
        <v>#VALUE!</v>
      </c>
      <c r="AG138" s="446" t="e">
        <f>IF(OR($B138="",MIN(AG$38,$D$19)&lt;MAX($P$34*($B138+IF($R$17="Distrato",$I$38-1,0)),IF(AND($L$37=0,$P$34=0),"",$L$37-1),IF($R$17="Distrato",$E138,0))),0,YEARFRAC(MAX($P$34*($B138+IF($R$17="Distrato",$I$38-1,0)),IF(AND($L$37=0,$P$34=0),"",$L$37-1),IF($R$17="Distrato",$E138,0)),MIN(AG$38,$D$19),$P$20))-SUM($P138:AF138)</f>
        <v>#VALUE!</v>
      </c>
      <c r="AH138" s="446" t="e">
        <f>IF(OR($B138="",MIN(AH$38,$D$19)&lt;MAX($P$34*($B138+IF($R$17="Distrato",$I$38-1,0)),IF(AND($L$37=0,$P$34=0),"",$L$37-1),IF($R$17="Distrato",$E138,0))),0,YEARFRAC(MAX($P$34*($B138+IF($R$17="Distrato",$I$38-1,0)),IF(AND($L$37=0,$P$34=0),"",$L$37-1),IF($R$17="Distrato",$E138,0)),MIN(AH$38,$D$19),$P$20))-SUM($P138:AG138)</f>
        <v>#VALUE!</v>
      </c>
      <c r="AI138" s="446" t="e">
        <f>IF(OR($B138="",MIN(AI$38,$D$19)&lt;MAX($P$34*($B138+IF($R$17="Distrato",$I$38-1,0)),IF(AND($L$37=0,$P$34=0),"",$L$37-1),IF($R$17="Distrato",$E138,0))),0,YEARFRAC(MAX($P$34*($B138+IF($R$17="Distrato",$I$38-1,0)),IF(AND($L$37=0,$P$34=0),"",$L$37-1),IF($R$17="Distrato",$E138,0)),MIN(AI$38,$D$19),$P$20))-SUM($P138:AH138)</f>
        <v>#VALUE!</v>
      </c>
      <c r="AJ138" s="446" t="e">
        <f>IF(OR($B138="",MIN(AJ$38,$D$19)&lt;MAX($P$34*($B138+IF($R$17="Distrato",$I$38-1,0)),IF(AND($L$37=0,$P$34=0),"",$L$37-1),IF($R$17="Distrato",$E138,0))),0,YEARFRAC(MAX($P$34*($B138+IF($R$17="Distrato",$I$38-1,0)),IF(AND($L$37=0,$P$34=0),"",$L$37-1),IF($R$17="Distrato",$E138,0)),MIN(AJ$38,$D$19),$P$20))-SUM($P138:AI138)</f>
        <v>#VALUE!</v>
      </c>
      <c r="AK138" s="446" t="e">
        <f>IF(OR($B138="",MIN(AK$38,$D$19)&lt;MAX($P$34*($B138+IF($R$17="Distrato",$I$38-1,0)),IF(AND($L$37=0,$P$34=0),"",$L$37-1),IF($R$17="Distrato",$E138,0))),0,YEARFRAC(MAX($P$34*($B138+IF($R$17="Distrato",$I$38-1,0)),IF(AND($L$37=0,$P$34=0),"",$L$37-1),IF($R$17="Distrato",$E138,0)),MIN(AK$38,$D$19),$P$20))-SUM($P138:AJ138)</f>
        <v>#VALUE!</v>
      </c>
      <c r="AL138" s="446" t="e">
        <f>IF(OR($B138="",MIN(AL$38,$D$19)&lt;MAX($P$34*($B138+IF($R$17="Distrato",$I$38-1,0)),IF(AND($L$37=0,$P$34=0),"",$L$37-1),IF($R$17="Distrato",$E138,0))),0,YEARFRAC(MAX($P$34*($B138+IF($R$17="Distrato",$I$38-1,0)),IF(AND($L$37=0,$P$34=0),"",$L$37-1),IF($R$17="Distrato",$E138,0)),MIN(AL$38,$D$19),$P$20))-SUM($P138:AK138)</f>
        <v>#VALUE!</v>
      </c>
      <c r="AM138" s="446" t="e">
        <f>IF(OR($B138="",MIN(AM$38,$D$19)&lt;MAX($P$34*($B138+IF($R$17="Distrato",$I$38-1,0)),IF(AND($L$37=0,$P$34=0),"",$L$37-1),IF($R$17="Distrato",$E138,0))),0,YEARFRAC(MAX($P$34*($B138+IF($R$17="Distrato",$I$38-1,0)),IF(AND($L$37=0,$P$34=0),"",$L$37-1),IF($R$17="Distrato",$E138,0)),MIN(AM$38,$D$19),$P$20))-SUM($P138:AL138)</f>
        <v>#VALUE!</v>
      </c>
      <c r="AN138" s="446" t="e">
        <f>IF(OR($B138="",MIN(AN$38,$D$19)&lt;MAX($P$34*($B138+IF($R$17="Distrato",$I$38-1,0)),IF(AND($L$37=0,$P$34=0),"",$L$37-1),IF($R$17="Distrato",$E138,0))),0,YEARFRAC(MAX($P$34*($B138+IF($R$17="Distrato",$I$38-1,0)),IF(AND($L$37=0,$P$34=0),"",$L$37-1),IF($R$17="Distrato",$E138,0)),MIN(AN$38,$D$19),$P$20))-SUM($P138:AM138)</f>
        <v>#VALUE!</v>
      </c>
      <c r="AO138" s="446" t="e">
        <f>IF(OR($B138="",MIN(AO$38,$D$19)&lt;MAX($P$34*($B138+IF($R$17="Distrato",$I$38-1,0)),IF(AND($L$37=0,$P$34=0),"",$L$37-1),IF($R$17="Distrato",$E138,0))),0,YEARFRAC(MAX($P$34*($B138+IF($R$17="Distrato",$I$38-1,0)),IF(AND($L$37=0,$P$34=0),"",$L$37-1),IF($R$17="Distrato",$E138,0)),MIN(AO$38,$D$19),$P$20))-SUM($P138:AN138)</f>
        <v>#VALUE!</v>
      </c>
      <c r="AP138" s="446" t="e">
        <f>IF(OR($B138="",MIN(AP$38,$D$19)&lt;MAX($P$34*($B138+IF($R$17="Distrato",$I$38-1,0)),IF(AND($L$37=0,$P$34=0),"",$L$37-1),IF($R$17="Distrato",$E138,0))),0,YEARFRAC(MAX($P$34*($B138+IF($R$17="Distrato",$I$38-1,0)),IF(AND($L$37=0,$P$34=0),"",$L$37-1),IF($R$17="Distrato",$E138,0)),MIN(AP$38,$D$19),$P$20))-SUM($P138:AO138)</f>
        <v>#VALUE!</v>
      </c>
      <c r="AQ138" s="446" t="e">
        <f>IF(OR($B138="",MIN(AQ$38,$D$19)&lt;MAX($P$34*($B138+IF($R$17="Distrato",$I$38-1,0)),IF(AND($L$37=0,$P$34=0),"",$L$37-1),IF($R$17="Distrato",$E138,0))),0,YEARFRAC(MAX($P$34*($B138+IF($R$17="Distrato",$I$38-1,0)),IF(AND($L$37=0,$P$34=0),"",$L$37-1),IF($R$17="Distrato",$E138,0)),MIN(AQ$38,$D$19),$P$20))-SUM($P138:AP138)</f>
        <v>#VALUE!</v>
      </c>
      <c r="AR138" s="446" t="e">
        <f>IF(OR($B138="",MIN(AR$38,$D$19)&lt;MAX($P$34*($B138+IF($R$17="Distrato",$I$38-1,0)),IF(AND($L$37=0,$P$34=0),"",$L$37-1),IF($R$17="Distrato",$E138,0))),0,YEARFRAC(MAX($P$34*($B138+IF($R$17="Distrato",$I$38-1,0)),IF(AND($L$37=0,$P$34=0),"",$L$37-1),IF($R$17="Distrato",$E138,0)),MIN(AR$38,$D$19),$P$20))-SUM($P138:AQ138)</f>
        <v>#VALUE!</v>
      </c>
      <c r="AS138" s="446" t="e">
        <f>IF(OR($B138="",MIN(AS$38,$D$19)&lt;MAX($P$34*($B138+IF($R$17="Distrato",$I$38-1,0)),IF(AND($L$37=0,$P$34=0),"",$L$37-1),IF($R$17="Distrato",$E138,0))),0,YEARFRAC(MAX($P$34*($B138+IF($R$17="Distrato",$I$38-1,0)),IF(AND($L$37=0,$P$34=0),"",$L$37-1),IF($R$17="Distrato",$E138,0)),MIN(AS$38,$D$19),$P$20))-SUM($P138:AR138)</f>
        <v>#VALUE!</v>
      </c>
      <c r="AT138" s="446" t="e">
        <f>IF(OR($B138="",MIN(AT$38,$D$19)&lt;MAX($P$34*($B138+IF($R$17="Distrato",$I$38-1,0)),IF(AND($L$37=0,$P$34=0),"",$L$37-1),IF($R$17="Distrato",$E138,0))),0,YEARFRAC(MAX($P$34*($B138+IF($R$17="Distrato",$I$38-1,0)),IF(AND($L$37=0,$P$34=0),"",$L$37-1),IF($R$17="Distrato",$E138,0)),MIN(AT$38,$D$19),$P$20))-SUM($P138:AS138)</f>
        <v>#VALUE!</v>
      </c>
      <c r="AU138" s="446" t="e">
        <f>IF(OR($B138="",MIN(AU$38,$D$19)&lt;MAX($P$34*($B138+IF($R$17="Distrato",$I$38-1,0)),IF(AND($L$37=0,$P$34=0),"",$L$37-1),IF($R$17="Distrato",$E138,0))),0,YEARFRAC(MAX($P$34*($B138+IF($R$17="Distrato",$I$38-1,0)),IF(AND($L$37=0,$P$34=0),"",$L$37-1),IF($R$17="Distrato",$E138,0)),MIN(AU$38,$D$19),$P$20))-SUM($P138:AT138)</f>
        <v>#VALUE!</v>
      </c>
      <c r="AV138" s="446" t="e">
        <f>IF(OR($B138="",MIN(AV$38,$D$19)&lt;MAX($P$34*($B138+IF($R$17="Distrato",$I$38-1,0)),IF(AND($L$37=0,$P$34=0),"",$L$37-1),IF($R$17="Distrato",$E138,0))),0,YEARFRAC(MAX($P$34*($B138+IF($R$17="Distrato",$I$38-1,0)),IF(AND($L$37=0,$P$34=0),"",$L$37-1),IF($R$17="Distrato",$E138,0)),MIN(AV$38,$D$19),$P$20))-SUM($P138:AU138)</f>
        <v>#VALUE!</v>
      </c>
      <c r="AW138" s="446" t="e">
        <f>IF(OR($B138="",MIN(AW$38,$D$19)&lt;MAX($P$34*($B138+IF($R$17="Distrato",$I$38-1,0)),IF(AND($L$37=0,$P$34=0),"",$L$37-1),IF($R$17="Distrato",$E138,0))),0,YEARFRAC(MAX($P$34*($B138+IF($R$17="Distrato",$I$38-1,0)),IF(AND($L$37=0,$P$34=0),"",$L$37-1),IF($R$17="Distrato",$E138,0)),MIN(AW$38,$D$19),$P$20))-SUM($P138:AV138)</f>
        <v>#VALUE!</v>
      </c>
      <c r="AX138" s="446" t="e">
        <f>IF(OR($B138="",MIN(AX$38,$D$19)&lt;MAX($P$34*($B138+IF($R$17="Distrato",$I$38-1,0)),IF(AND($L$37=0,$P$34=0),"",$L$37-1),IF($R$17="Distrato",$E138,0))),0,YEARFRAC(MAX($P$34*($B138+IF($R$17="Distrato",$I$38-1,0)),IF(AND($L$37=0,$P$34=0),"",$L$37-1),IF($R$17="Distrato",$E138,0)),MIN(AX$38,$D$19),$P$20))-SUM($P138:AW138)</f>
        <v>#VALUE!</v>
      </c>
      <c r="AY138" s="446" t="e">
        <f>IF(OR($B138="",MIN(AY$38,$D$19)&lt;MAX($P$34*($B138+IF($R$17="Distrato",$I$38-1,0)),IF(AND($L$37=0,$P$34=0),"",$L$37-1),IF($R$17="Distrato",$E138,0))),0,YEARFRAC(MAX($P$34*($B138+IF($R$17="Distrato",$I$38-1,0)),IF(AND($L$37=0,$P$34=0),"",$L$37-1),IF($R$17="Distrato",$E138,0)),MIN(AY$38,$D$19),$P$20))-SUM($P138:AX138)</f>
        <v>#VALUE!</v>
      </c>
      <c r="AZ138" s="446" t="e">
        <f>IF(OR($B138="",MIN(AZ$38,$D$19)&lt;MAX($P$34*($B138+IF($R$17="Distrato",$I$38-1,0)),IF(AND($L$37=0,$P$34=0),"",$L$37-1),IF($R$17="Distrato",$E138,0))),0,YEARFRAC(MAX($P$34*($B138+IF($R$17="Distrato",$I$38-1,0)),IF(AND($L$37=0,$P$34=0),"",$L$37-1),IF($R$17="Distrato",$E138,0)),MIN(AZ$38,$D$19),$P$20))-SUM($P138:AY138)</f>
        <v>#VALUE!</v>
      </c>
      <c r="BA138" s="446" t="e">
        <f>IF(OR($B138="",MIN(BA$38,$D$19)&lt;MAX($P$34*($B138+IF($R$17="Distrato",$I$38-1,0)),IF(AND($L$37=0,$P$34=0),"",$L$37-1),IF($R$17="Distrato",$E138,0))),0,YEARFRAC(MAX($P$34*($B138+IF($R$17="Distrato",$I$38-1,0)),IF(AND($L$37=0,$P$34=0),"",$L$37-1),IF($R$17="Distrato",$E138,0)),MIN(BA$38,$D$19),$P$20))-SUM($P138:AZ138)</f>
        <v>#VALUE!</v>
      </c>
      <c r="BB138" s="447"/>
      <c r="BF138" s="446">
        <f t="shared" si="21"/>
        <v>0</v>
      </c>
      <c r="BG138" s="446">
        <f>IF($E138=0,0,IF(MIN(BG$38,$E138)&lt;MAX($P$34*($B138+$I$38-1),IF(AND($L$37=0,$P$34=0),"",$L$37-1)),0,YEARFRAC(MAX($P$34*($B138+$I$38-1),IF(AND($L$37=0,$P$34=0),"",$L$37-1)),MIN(BG$38,$E138),$P$20))-SUM($BF138:BF138))</f>
        <v>0</v>
      </c>
      <c r="BH138" s="446">
        <f>IF($E138=0,0,IF(MIN(BH$38,$E138)&lt;MAX($P$34*($B138+$I$38-1),IF(AND($L$37=0,$P$34=0),"",$L$37-1)),0,YEARFRAC(MAX($P$34*($B138+$I$38-1),IF(AND($L$37=0,$P$34=0),"",$L$37-1)),MIN(BH$38,$E138),$P$20))-SUM($BF138:BG138))</f>
        <v>0</v>
      </c>
      <c r="BI138" s="446">
        <f>IF($E138=0,0,IF(MIN(BI$38,$E138)&lt;MAX($P$34*($B138+$I$38-1),IF(AND($L$37=0,$P$34=0),"",$L$37-1)),0,YEARFRAC(MAX($P$34*($B138+$I$38-1),IF(AND($L$37=0,$P$34=0),"",$L$37-1)),MIN(BI$38,$E138),$P$20))-SUM($BF138:BH138))</f>
        <v>0</v>
      </c>
      <c r="BJ138" s="446">
        <f>IF($E138=0,0,IF(MIN(BJ$38,$E138)&lt;MAX($P$34*($B138+$I$38-1),IF(AND($L$37=0,$P$34=0),"",$L$37-1)),0,YEARFRAC(MAX($P$34*($B138+$I$38-1),IF(AND($L$37=0,$P$34=0),"",$L$37-1)),MIN(BJ$38,$E138),$P$20))-SUM($BF138:BI138))</f>
        <v>0</v>
      </c>
      <c r="BK138" s="446">
        <f>IF($E138=0,0,IF(MIN(BK$38,$E138)&lt;MAX($P$34*($B138+$I$38-1),IF(AND($L$37=0,$P$34=0),"",$L$37-1)),0,YEARFRAC(MAX($P$34*($B138+$I$38-1),IF(AND($L$37=0,$P$34=0),"",$L$37-1)),MIN(BK$38,$E138),$P$20))-SUM($BF138:BJ138))</f>
        <v>0</v>
      </c>
      <c r="BL138" s="446">
        <f>IF($E138=0,0,IF(MIN(BL$38,$E138)&lt;MAX($P$34*($B138+$I$38-1),IF(AND($L$37=0,$P$34=0),"",$L$37-1)),0,YEARFRAC(MAX($P$34*($B138+$I$38-1),IF(AND($L$37=0,$P$34=0),"",$L$37-1)),MIN(BL$38,$E138),$P$20))-SUM($BF138:BK138))</f>
        <v>0</v>
      </c>
      <c r="BM138" s="446">
        <f>IF($E138=0,0,IF(MIN(BM$38,$E138)&lt;MAX($P$34*($B138+$I$38-1),IF(AND($L$37=0,$P$34=0),"",$L$37-1)),0,YEARFRAC(MAX($P$34*($B138+$I$38-1),IF(AND($L$37=0,$P$34=0),"",$L$37-1)),MIN(BM$38,$E138),$P$20))-SUM($BF138:BL138))</f>
        <v>0</v>
      </c>
      <c r="BN138" s="446">
        <f>IF($E138=0,0,IF(MIN(BN$38,$E138)&lt;MAX($P$34*($B138+$I$38-1),IF(AND($L$37=0,$P$34=0),"",$L$37-1)),0,YEARFRAC(MAX($P$34*($B138+$I$38-1),IF(AND($L$37=0,$P$34=0),"",$L$37-1)),MIN(BN$38,$E138),$P$20))-SUM($BF138:BM138))</f>
        <v>0</v>
      </c>
      <c r="BO138" s="446">
        <f>IF($E138=0,0,IF(MIN(BO$38,$E138)&lt;MAX($P$34*($B138+$I$38-1),IF(AND($L$37=0,$P$34=0),"",$L$37-1)),0,YEARFRAC(MAX($P$34*($B138+$I$38-1),IF(AND($L$37=0,$P$34=0),"",$L$37-1)),MIN(BO$38,$E138),$P$20))-SUM($BF138:BN138))</f>
        <v>0</v>
      </c>
      <c r="BP138" s="446">
        <f>IF($E138=0,0,IF(MIN(BP$38,$E138)&lt;MAX($P$34*($B138+$I$38-1),IF(AND($L$37=0,$P$34=0),"",$L$37-1)),0,YEARFRAC(MAX($P$34*($B138+$I$38-1),IF(AND($L$37=0,$P$34=0),"",$L$37-1)),MIN(BP$38,$E138),$P$20))-SUM($BF138:BO138))</f>
        <v>0</v>
      </c>
      <c r="BQ138" s="446">
        <f>IF($E138=0,0,IF(MIN(BQ$38,$E138)&lt;MAX($P$34*($B138+$I$38-1),IF(AND($L$37=0,$P$34=0),"",$L$37-1)),0,YEARFRAC(MAX($P$34*($B138+$I$38-1),IF(AND($L$37=0,$P$34=0),"",$L$37-1)),MIN(BQ$38,$E138),$P$20))-SUM($BF138:BP138))</f>
        <v>0</v>
      </c>
      <c r="BR138" s="446">
        <f>IF($E138=0,0,IF(MIN(BR$38,$E138)&lt;MAX($P$34*($B138+$I$38-1),IF(AND($L$37=0,$P$34=0),"",$L$37-1)),0,YEARFRAC(MAX($P$34*($B138+$I$38-1),IF(AND($L$37=0,$P$34=0),"",$L$37-1)),MIN(BR$38,$E138),$P$20))-SUM($BF138:BQ138))</f>
        <v>0</v>
      </c>
      <c r="BS138" s="446">
        <f>IF($E138=0,0,IF(MIN(BS$38,$E138)&lt;MAX($P$34*($B138+$I$38-1),IF(AND($L$37=0,$P$34=0),"",$L$37-1)),0,YEARFRAC(MAX($P$34*($B138+$I$38-1),IF(AND($L$37=0,$P$34=0),"",$L$37-1)),MIN(BS$38,$E138),$P$20))-SUM($BF138:BR138))</f>
        <v>0</v>
      </c>
      <c r="BT138" s="446">
        <f>IF($E138=0,0,IF(MIN(BT$38,$E138)&lt;MAX($P$34*($B138+$I$38-1),IF(AND($L$37=0,$P$34=0),"",$L$37-1)),0,YEARFRAC(MAX($P$34*($B138+$I$38-1),IF(AND($L$37=0,$P$34=0),"",$L$37-1)),MIN(BT$38,$E138),$P$20))-SUM($BF138:BS138))</f>
        <v>0</v>
      </c>
      <c r="BU138" s="446">
        <f>IF($E138=0,0,IF(MIN(BU$38,$E138)&lt;MAX($P$34*($B138+$I$38-1),IF(AND($L$37=0,$P$34=0),"",$L$37-1)),0,YEARFRAC(MAX($P$34*($B138+$I$38-1),IF(AND($L$37=0,$P$34=0),"",$L$37-1)),MIN(BU$38,$E138),$P$20))-SUM($BF138:BT138))</f>
        <v>0</v>
      </c>
      <c r="BV138" s="446">
        <f>IF($E138=0,0,IF(MIN(BV$38,$E138)&lt;MAX($P$34*($B138+$I$38-1),IF(AND($L$37=0,$P$34=0),"",$L$37-1)),0,YEARFRAC(MAX($P$34*($B138+$I$38-1),IF(AND($L$37=0,$P$34=0),"",$L$37-1)),MIN(BV$38,$E138),$P$20))-SUM($BF138:BU138))</f>
        <v>0</v>
      </c>
      <c r="BW138" s="446">
        <f>IF($E138=0,0,IF(MIN(BW$38,$E138)&lt;MAX($P$34*($B138+$I$38-1),IF(AND($L$37=0,$P$34=0),"",$L$37-1)),0,YEARFRAC(MAX($P$34*($B138+$I$38-1),IF(AND($L$37=0,$P$34=0),"",$L$37-1)),MIN(BW$38,$E138),$P$20))-SUM($BF138:BV138))</f>
        <v>0</v>
      </c>
      <c r="BX138" s="446">
        <f>IF($E138=0,0,IF(MIN(BX$38,$E138)&lt;MAX($P$34*($B138+$I$38-1),IF(AND($L$37=0,$P$34=0),"",$L$37-1)),0,YEARFRAC(MAX($P$34*($B138+$I$38-1),IF(AND($L$37=0,$P$34=0),"",$L$37-1)),MIN(BX$38,$E138),$P$20))-SUM($BF138:BW138))</f>
        <v>0</v>
      </c>
      <c r="BY138" s="446">
        <f>IF($E138=0,0,IF(MIN(BY$38,$E138)&lt;MAX($P$34*($B138+$I$38-1),IF(AND($L$37=0,$P$34=0),"",$L$37-1)),0,YEARFRAC(MAX($P$34*($B138+$I$38-1),IF(AND($L$37=0,$P$34=0),"",$L$37-1)),MIN(BY$38,$E138),$P$20))-SUM($BF138:BX138))</f>
        <v>0</v>
      </c>
      <c r="BZ138" s="446">
        <f>IF($E138=0,0,IF(MIN(BZ$38,$E138)&lt;MAX($P$34*($B138+$I$38-1),IF(AND($L$37=0,$P$34=0),"",$L$37-1)),0,YEARFRAC(MAX($P$34*($B138+$I$38-1),IF(AND($L$37=0,$P$34=0),"",$L$37-1)),MIN(BZ$38,$E138),$P$20))-SUM($BF138:BY138))</f>
        <v>0</v>
      </c>
      <c r="CA138" s="446">
        <f>IF($E138=0,0,IF(MIN(CA$38,$E138)&lt;MAX($P$34*($B138+$I$38-1),IF(AND($L$37=0,$P$34=0),"",$L$37-1)),0,YEARFRAC(MAX($P$34*($B138+$I$38-1),IF(AND($L$37=0,$P$34=0),"",$L$37-1)),MIN(CA$38,$E138),$P$20))-SUM($BF138:BZ138))</f>
        <v>0</v>
      </c>
      <c r="CB138" s="446">
        <f>IF($E138=0,0,IF(MIN(CB$38,$E138)&lt;MAX($P$34*($B138+$I$38-1),IF(AND($L$37=0,$P$34=0),"",$L$37-1)),0,YEARFRAC(MAX($P$34*($B138+$I$38-1),IF(AND($L$37=0,$P$34=0),"",$L$37-1)),MIN(CB$38,$E138),$P$20))-SUM($BF138:CA138))</f>
        <v>0</v>
      </c>
      <c r="CC138" s="446">
        <f>IF($E138=0,0,IF(MIN(CC$38,$E138)&lt;MAX($P$34*($B138+$I$38-1),IF(AND($L$37=0,$P$34=0),"",$L$37-1)),0,YEARFRAC(MAX($P$34*($B138+$I$38-1),IF(AND($L$37=0,$P$34=0),"",$L$37-1)),MIN(CC$38,$E138),$P$20))-SUM($BF138:CB138))</f>
        <v>0</v>
      </c>
      <c r="CD138" s="446">
        <f>IF($E138=0,0,IF(MIN(CD$38,$E138)&lt;MAX($P$34*($B138+$I$38-1),IF(AND($L$37=0,$P$34=0),"",$L$37-1)),0,YEARFRAC(MAX($P$34*($B138+$I$38-1),IF(AND($L$37=0,$P$34=0),"",$L$37-1)),MIN(CD$38,$E138),$P$20))-SUM($BF138:CC138))</f>
        <v>0</v>
      </c>
      <c r="CE138" s="446">
        <f>IF($E138=0,0,IF(MIN(CE$38,$E138)&lt;MAX($P$34*($B138+$I$38-1),IF(AND($L$37=0,$P$34=0),"",$L$37-1)),0,YEARFRAC(MAX($P$34*($B138+$I$38-1),IF(AND($L$37=0,$P$34=0),"",$L$37-1)),MIN(CE$38,$E138),$P$20))-SUM($BF138:CD138))</f>
        <v>0</v>
      </c>
      <c r="CF138" s="446">
        <f>IF($E138=0,0,IF(MIN(CF$38,$E138)&lt;MAX($P$34*($B138+$I$38-1),IF(AND($L$37=0,$P$34=0),"",$L$37-1)),0,YEARFRAC(MAX($P$34*($B138+$I$38-1),IF(AND($L$37=0,$P$34=0),"",$L$37-1)),MIN(CF$38,$E138),$P$20))-SUM($BF138:CE138))</f>
        <v>0</v>
      </c>
      <c r="CG138" s="446">
        <f>IF($E138=0,0,IF(MIN(CG$38,$E138)&lt;MAX($P$34*($B138+$I$38-1),IF(AND($L$37=0,$P$34=0),"",$L$37-1)),0,YEARFRAC(MAX($P$34*($B138+$I$38-1),IF(AND($L$37=0,$P$34=0),"",$L$37-1)),MIN(CG$38,$E138),$P$20))-SUM($BF138:CF138))</f>
        <v>0</v>
      </c>
      <c r="CH138" s="446">
        <f>IF($E138=0,0,IF(MIN(CH$38,$E138)&lt;MAX($P$34*($B138+$I$38-1),IF(AND($L$37=0,$P$34=0),"",$L$37-1)),0,YEARFRAC(MAX($P$34*($B138+$I$38-1),IF(AND($L$37=0,$P$34=0),"",$L$37-1)),MIN(CH$38,$E138),$P$20))-SUM($BF138:CG138))</f>
        <v>0</v>
      </c>
      <c r="CI138" s="446">
        <f>IF($E138=0,0,IF(MIN(CI$38,$E138)&lt;MAX($P$34*($B138+$I$38-1),IF(AND($L$37=0,$P$34=0),"",$L$37-1)),0,YEARFRAC(MAX($P$34*($B138+$I$38-1),IF(AND($L$37=0,$P$34=0),"",$L$37-1)),MIN(CI$38,$E138),$P$20))-SUM($BF138:CH138))</f>
        <v>0</v>
      </c>
      <c r="CJ138" s="446">
        <f>IF($E138=0,0,IF(MIN(CJ$38,$E138)&lt;MAX($P$34*($B138+$I$38-1),IF(AND($L$37=0,$P$34=0),"",$L$37-1)),0,YEARFRAC(MAX($P$34*($B138+$I$38-1),IF(AND($L$37=0,$P$34=0),"",$L$37-1)),MIN(CJ$38,$E138),$P$20))-SUM($BF138:CI138))</f>
        <v>0</v>
      </c>
      <c r="CK138" s="446">
        <f>IF($E138=0,0,IF(MIN(CK$38,$E138)&lt;MAX($P$34*($B138+$I$38-1),IF(AND($L$37=0,$P$34=0),"",$L$37-1)),0,YEARFRAC(MAX($P$34*($B138+$I$38-1),IF(AND($L$37=0,$P$34=0),"",$L$37-1)),MIN(CK$38,$E138),$P$20))-SUM($BF138:CJ138))</f>
        <v>0</v>
      </c>
      <c r="CL138" s="446">
        <f>IF($E138=0,0,IF(MIN(CL$38,$E138)&lt;MAX($P$34*($B138+$I$38-1),IF(AND($L$37=0,$P$34=0),"",$L$37-1)),0,YEARFRAC(MAX($P$34*($B138+$I$38-1),IF(AND($L$37=0,$P$34=0),"",$L$37-1)),MIN(CL$38,$E138),$P$20))-SUM($BF138:CK138))</f>
        <v>0</v>
      </c>
      <c r="CM138" s="446">
        <f>IF($E138=0,0,IF(MIN(CM$38,$E138)&lt;MAX($P$34*($B138+$I$38-1),IF(AND($L$37=0,$P$34=0),"",$L$37-1)),0,YEARFRAC(MAX($P$34*($B138+$I$38-1),IF(AND($L$37=0,$P$34=0),"",$L$37-1)),MIN(CM$38,$E138),$P$20))-SUM($BF138:CL138))</f>
        <v>0</v>
      </c>
      <c r="CN138" s="446">
        <f>IF($E138=0,0,IF(MIN(CN$38,$E138)&lt;MAX($P$34*($B138+$I$38-1),IF(AND($L$37=0,$P$34=0),"",$L$37-1)),0,YEARFRAC(MAX($P$34*($B138+$I$38-1),IF(AND($L$37=0,$P$34=0),"",$L$37-1)),MIN(CN$38,$E138),$P$20))-SUM($BF138:CM138))</f>
        <v>0</v>
      </c>
      <c r="CO138" s="446">
        <f>IF($E138=0,0,IF(MIN(CO$38,$E138)&lt;MAX($P$34*($B138+$I$38-1),IF(AND($L$37=0,$P$34=0),"",$L$37-1)),0,YEARFRAC(MAX($P$34*($B138+$I$38-1),IF(AND($L$37=0,$P$34=0),"",$L$37-1)),MIN(CO$38,$E138),$P$20))-SUM($BF138:CN138))</f>
        <v>0</v>
      </c>
      <c r="CP138" s="446">
        <f>IF($E138=0,0,IF(MIN(CP$38,$E138)&lt;MAX($P$34*($B138+$I$38-1),IF(AND($L$37=0,$P$34=0),"",$L$37-1)),0,YEARFRAC(MAX($P$34*($B138+$I$38-1),IF(AND($L$37=0,$P$34=0),"",$L$37-1)),MIN(CP$38,$E138),$P$20))-SUM($BF138:CO138))</f>
        <v>0</v>
      </c>
      <c r="CQ138" s="446">
        <f>IF($E138=0,0,IF(MIN(CQ$38,$E138)&lt;MAX($P$34*($B138+$I$38-1),IF(AND($L$37=0,$P$34=0),"",$L$37-1)),0,YEARFRAC(MAX($P$34*($B138+$I$38-1),IF(AND($L$37=0,$P$34=0),"",$L$37-1)),MIN(CQ$38,$E138),$P$20))-SUM($BF138:CP138))</f>
        <v>0</v>
      </c>
    </row>
    <row r="139" spans="1:95" s="446" customFormat="1" ht="11.25" hidden="1" customHeight="1" x14ac:dyDescent="0.2">
      <c r="A139" s="152"/>
      <c r="B139" s="153" t="str">
        <f t="shared" si="26"/>
        <v/>
      </c>
      <c r="C139" s="29" t="str">
        <f>IF(B139="","",IF($L$35="SELIC - TRIBUTOS",VLOOKUP(DATE(YEAR($D$19),MONTH($D$19)-1,1),ÍNDICES!$A:$DE,HLOOKUP($BL$25,ÍNDICES!$B$3:$T$4,2)+11)-VLOOKUP(B139,ÍNDICES!$A:$DE,HLOOKUP($BL$25,ÍNDICES!$B$3:$T$4,2)+11)+1%,IF(C$38=$W$26,$J$35,IF(ISERROR(IF(B139&gt;$D$19,1,VLOOKUP(DATE(YEAR(B139),MONTH(B139)+IF($C$35=$S$23,1,0),1),ÍNDICES!$A:$DE,$Z$35+1))),"",IF(B139&gt;$D$19,1,VLOOKUP(DATE(YEAR(B139),MONTH(B139)+IF($C$35=$S$23,1,0),1),ÍNDICES!$A:$DE,$Z$35+1))))))</f>
        <v/>
      </c>
      <c r="D139" s="154" t="str">
        <f>IF(ISERROR(IF(OR($D$38=$Y$27,$B139=""),"",VLOOKUP(B139,ÍNDICES!A:DE,AF$35+1))),"",IF(OR($D$38=$Y$27,$B139=""),"",VLOOKUP(B139,ÍNDICES!A:DE,AF$35+1)))</f>
        <v/>
      </c>
      <c r="E139" s="153"/>
      <c r="F139" s="29" t="str">
        <f>IF(E139="","",IF($L$35="SELIC - TRIBUTOS",VLOOKUP(DATE(YEAR($D$19),MONTH($D$19)-1,1),ÍNDICES!$A:$DE,HLOOKUP($BL$25,ÍNDICES!$B$3:$T$4,2)+11)-VLOOKUP(E139,ÍNDICES!$A:$DE,HLOOKUP($BL$25,ÍNDICES!$B$3:$T$4,2)+11)+1%,IF(F$38=$W$26,$J$35,IF(ISERROR(IF(E139&gt;$D$19,1,VLOOKUP(DATE(YEAR(E139),MONTH(E139)+IF($C$35=$S$23,1,0),1),ÍNDICES!$A:$DE,$Z$35+1))),"",IF(E139&gt;$D$19,1,VLOOKUP(DATE(YEAR(E139),MONTH(E139)+IF($C$35=$S$23,1,0),1),ÍNDICES!$A:$DE,$Z$35+1))))))</f>
        <v/>
      </c>
      <c r="G139" s="155"/>
      <c r="H139" s="156" t="str">
        <f t="shared" si="22"/>
        <v/>
      </c>
      <c r="I139" s="29" t="str">
        <f t="shared" si="16"/>
        <v/>
      </c>
      <c r="J139" s="5">
        <f t="shared" si="17"/>
        <v>0</v>
      </c>
      <c r="K139" s="20">
        <f t="shared" ca="1" si="18"/>
        <v>0</v>
      </c>
      <c r="L139" s="5">
        <f t="shared" ca="1" si="19"/>
        <v>0</v>
      </c>
      <c r="M139" s="64">
        <f t="shared" si="23"/>
        <v>0</v>
      </c>
      <c r="N139" s="61">
        <f t="shared" ca="1" si="24"/>
        <v>0</v>
      </c>
      <c r="O139" s="5">
        <f t="shared" ca="1" si="25"/>
        <v>0</v>
      </c>
      <c r="P139" s="446" t="e">
        <f t="shared" si="20"/>
        <v>#VALUE!</v>
      </c>
      <c r="Q139" s="446" t="e">
        <f>IF(OR($B139="",MIN(Q$38,$D$19)&lt;MAX($P$34*($B139+IF($R$17="Distrato",$I$38-1,0)),IF(AND($L$37=0,$P$34=0),"",$L$37-1),IF($R$17="Distrato",$E139,0))),0,YEARFRAC(MAX($P$34*($B139+IF($R$17="Distrato",$I$38-1,0)),IF(AND($L$37=0,$P$34=0),"",$L$37-1),IF($R$17="Distrato",$E139,0)),MIN(Q$38,$D$19),$P$20))-SUM($P139:P139)</f>
        <v>#VALUE!</v>
      </c>
      <c r="R139" s="446" t="e">
        <f>IF(OR($B139="",MIN(R$38,$D$19)&lt;MAX($P$34*($B139+IF($R$17="Distrato",$I$38-1,0)),IF(AND($L$37=0,$P$34=0),"",$L$37-1),IF($R$17="Distrato",$E139,0))),0,YEARFRAC(MAX($P$34*($B139+IF($R$17="Distrato",$I$38-1,0)),IF(AND($L$37=0,$P$34=0),"",$L$37-1),IF($R$17="Distrato",$E139,0)),MIN(R$38,$D$19),$P$20))-SUM($P139:Q139)</f>
        <v>#VALUE!</v>
      </c>
      <c r="S139" s="446" t="e">
        <f>IF(OR($B139="",MIN(S$38,$D$19)&lt;MAX($P$34*($B139+IF($R$17="Distrato",$I$38-1,0)),IF(AND($L$37=0,$P$34=0),"",$L$37-1),IF($R$17="Distrato",$E139,0))),0,YEARFRAC(MAX($P$34*($B139+IF($R$17="Distrato",$I$38-1,0)),IF(AND($L$37=0,$P$34=0),"",$L$37-1),IF($R$17="Distrato",$E139,0)),MIN(S$38,$D$19),$P$20))-SUM($P139:R139)</f>
        <v>#VALUE!</v>
      </c>
      <c r="T139" s="446" t="e">
        <f>IF(OR($B139="",MIN(T$38,$D$19)&lt;MAX($P$34*($B139+IF($R$17="Distrato",$I$38-1,0)),IF(AND($L$37=0,$P$34=0),"",$L$37-1),IF($R$17="Distrato",$E139,0))),0,YEARFRAC(MAX($P$34*($B139+IF($R$17="Distrato",$I$38-1,0)),IF(AND($L$37=0,$P$34=0),"",$L$37-1),IF($R$17="Distrato",$E139,0)),MIN(T$38,$D$19),$P$20))-SUM($P139:S139)</f>
        <v>#VALUE!</v>
      </c>
      <c r="U139" s="446" t="e">
        <f>IF(OR($B139="",MIN(U$38,$D$19)&lt;MAX($P$34*($B139+IF($R$17="Distrato",$I$38-1,0)),IF(AND($L$37=0,$P$34=0),"",$L$37-1),IF($R$17="Distrato",$E139,0))),0,YEARFRAC(MAX($P$34*($B139+IF($R$17="Distrato",$I$38-1,0)),IF(AND($L$37=0,$P$34=0),"",$L$37-1),IF($R$17="Distrato",$E139,0)),MIN(U$38,$D$19),$P$20))-SUM($P139:T139)</f>
        <v>#VALUE!</v>
      </c>
      <c r="V139" s="446" t="e">
        <f>IF(OR($B139="",MIN(V$38,$D$19)&lt;MAX($P$34*($B139+IF($R$17="Distrato",$I$38-1,0)),IF(AND($L$37=0,$P$34=0),"",$L$37-1),IF($R$17="Distrato",$E139,0))),0,YEARFRAC(MAX($P$34*($B139+IF($R$17="Distrato",$I$38-1,0)),IF(AND($L$37=0,$P$34=0),"",$L$37-1),IF($R$17="Distrato",$E139,0)),MIN(V$38,$D$19),$P$20))-SUM($P139:U139)</f>
        <v>#VALUE!</v>
      </c>
      <c r="W139" s="446" t="e">
        <f>IF(OR($B139="",MIN(W$38,$D$19)&lt;MAX($P$34*($B139+IF($R$17="Distrato",$I$38-1,0)),IF(AND($L$37=0,$P$34=0),"",$L$37-1),IF($R$17="Distrato",$E139,0))),0,YEARFRAC(MAX($P$34*($B139+IF($R$17="Distrato",$I$38-1,0)),IF(AND($L$37=0,$P$34=0),"",$L$37-1),IF($R$17="Distrato",$E139,0)),MIN(W$38,$D$19),$P$20))-SUM($P139:V139)</f>
        <v>#VALUE!</v>
      </c>
      <c r="X139" s="446" t="e">
        <f>IF(OR($B139="",MIN(X$38,$D$19)&lt;MAX($P$34*($B139+IF($R$17="Distrato",$I$38-1,0)),IF(AND($L$37=0,$P$34=0),"",$L$37-1),IF($R$17="Distrato",$E139,0))),0,YEARFRAC(MAX($P$34*($B139+IF($R$17="Distrato",$I$38-1,0)),IF(AND($L$37=0,$P$34=0),"",$L$37-1),IF($R$17="Distrato",$E139,0)),MIN(X$38,$D$19),$P$20))-SUM($P139:W139)</f>
        <v>#VALUE!</v>
      </c>
      <c r="Y139" s="446" t="e">
        <f>IF(OR($B139="",MIN(Y$38,$D$19)&lt;MAX($P$34*($B139+IF($R$17="Distrato",$I$38-1,0)),IF(AND($L$37=0,$P$34=0),"",$L$37-1),IF($R$17="Distrato",$E139,0))),0,YEARFRAC(MAX($P$34*($B139+IF($R$17="Distrato",$I$38-1,0)),IF(AND($L$37=0,$P$34=0),"",$L$37-1),IF($R$17="Distrato",$E139,0)),MIN(Y$38,$D$19),$P$20))-SUM($P139:X139)</f>
        <v>#VALUE!</v>
      </c>
      <c r="Z139" s="446" t="e">
        <f>IF(OR($B139="",MIN(Z$38,$D$19)&lt;MAX($P$34*($B139+IF($R$17="Distrato",$I$38-1,0)),IF(AND($L$37=0,$P$34=0),"",$L$37-1),IF($R$17="Distrato",$E139,0))),0,YEARFRAC(MAX($P$34*($B139+IF($R$17="Distrato",$I$38-1,0)),IF(AND($L$37=0,$P$34=0),"",$L$37-1),IF($R$17="Distrato",$E139,0)),MIN(Z$38,$D$19),$P$20))-SUM($P139:Y139)</f>
        <v>#VALUE!</v>
      </c>
      <c r="AA139" s="446" t="e">
        <f>IF(OR($B139="",MIN(AA$38,$D$19)&lt;MAX($P$34*($B139+IF($R$17="Distrato",$I$38-1,0)),IF(AND($L$37=0,$P$34=0),"",$L$37-1),IF($R$17="Distrato",$E139,0))),0,YEARFRAC(MAX($P$34*($B139+IF($R$17="Distrato",$I$38-1,0)),IF(AND($L$37=0,$P$34=0),"",$L$37-1),IF($R$17="Distrato",$E139,0)),MIN(AA$38,$D$19),$P$20))-SUM($P139:Z139)</f>
        <v>#VALUE!</v>
      </c>
      <c r="AB139" s="446" t="e">
        <f>IF(OR($B139="",MIN(AB$38,$D$19)&lt;MAX($P$34*($B139+IF($R$17="Distrato",$I$38-1,0)),IF(AND($L$37=0,$P$34=0),"",$L$37-1),IF($R$17="Distrato",$E139,0))),0,YEARFRAC(MAX($P$34*($B139+IF($R$17="Distrato",$I$38-1,0)),IF(AND($L$37=0,$P$34=0),"",$L$37-1),IF($R$17="Distrato",$E139,0)),MIN(AB$38,$D$19),$P$20))-SUM($P139:AA139)</f>
        <v>#VALUE!</v>
      </c>
      <c r="AC139" s="446" t="e">
        <f>IF(OR($B139="",MIN(AC$38,$D$19)&lt;MAX($P$34*($B139+IF($R$17="Distrato",$I$38-1,0)),IF(AND($L$37=0,$P$34=0),"",$L$37-1),IF($R$17="Distrato",$E139,0))),0,YEARFRAC(MAX($P$34*($B139+IF($R$17="Distrato",$I$38-1,0)),IF(AND($L$37=0,$P$34=0),"",$L$37-1),IF($R$17="Distrato",$E139,0)),MIN(AC$38,$D$19),$P$20))-SUM($P139:AB139)</f>
        <v>#VALUE!</v>
      </c>
      <c r="AD139" s="446" t="e">
        <f>IF(OR($B139="",MIN(AD$38,$D$19)&lt;MAX($P$34*($B139+IF($R$17="Distrato",$I$38-1,0)),IF(AND($L$37=0,$P$34=0),"",$L$37-1),IF($R$17="Distrato",$E139,0))),0,YEARFRAC(MAX($P$34*($B139+IF($R$17="Distrato",$I$38-1,0)),IF(AND($L$37=0,$P$34=0),"",$L$37-1),IF($R$17="Distrato",$E139,0)),MIN(AD$38,$D$19),$P$20))-SUM($P139:AC139)</f>
        <v>#VALUE!</v>
      </c>
      <c r="AE139" s="446" t="e">
        <f>IF(OR($B139="",MIN(AE$38,$D$19)&lt;MAX($P$34*($B139+IF($R$17="Distrato",$I$38-1,0)),IF(AND($L$37=0,$P$34=0),"",$L$37-1),IF($R$17="Distrato",$E139,0))),0,YEARFRAC(MAX($P$34*($B139+IF($R$17="Distrato",$I$38-1,0)),IF(AND($L$37=0,$P$34=0),"",$L$37-1),IF($R$17="Distrato",$E139,0)),MIN(AE$38,$D$19),$P$20))-SUM($P139:AD139)</f>
        <v>#VALUE!</v>
      </c>
      <c r="AF139" s="446" t="e">
        <f>IF(OR($B139="",MIN(AF$38,$D$19)&lt;MAX($P$34*($B139+IF($R$17="Distrato",$I$38-1,0)),IF(AND($L$37=0,$P$34=0),"",$L$37-1),IF($R$17="Distrato",$E139,0))),0,YEARFRAC(MAX($P$34*($B139+IF($R$17="Distrato",$I$38-1,0)),IF(AND($L$37=0,$P$34=0),"",$L$37-1),IF($R$17="Distrato",$E139,0)),MIN(AF$38,$D$19),$P$20))-SUM($P139:AE139)</f>
        <v>#VALUE!</v>
      </c>
      <c r="AG139" s="446" t="e">
        <f>IF(OR($B139="",MIN(AG$38,$D$19)&lt;MAX($P$34*($B139+IF($R$17="Distrato",$I$38-1,0)),IF(AND($L$37=0,$P$34=0),"",$L$37-1),IF($R$17="Distrato",$E139,0))),0,YEARFRAC(MAX($P$34*($B139+IF($R$17="Distrato",$I$38-1,0)),IF(AND($L$37=0,$P$34=0),"",$L$37-1),IF($R$17="Distrato",$E139,0)),MIN(AG$38,$D$19),$P$20))-SUM($P139:AF139)</f>
        <v>#VALUE!</v>
      </c>
      <c r="AH139" s="446" t="e">
        <f>IF(OR($B139="",MIN(AH$38,$D$19)&lt;MAX($P$34*($B139+IF($R$17="Distrato",$I$38-1,0)),IF(AND($L$37=0,$P$34=0),"",$L$37-1),IF($R$17="Distrato",$E139,0))),0,YEARFRAC(MAX($P$34*($B139+IF($R$17="Distrato",$I$38-1,0)),IF(AND($L$37=0,$P$34=0),"",$L$37-1),IF($R$17="Distrato",$E139,0)),MIN(AH$38,$D$19),$P$20))-SUM($P139:AG139)</f>
        <v>#VALUE!</v>
      </c>
      <c r="AI139" s="446" t="e">
        <f>IF(OR($B139="",MIN(AI$38,$D$19)&lt;MAX($P$34*($B139+IF($R$17="Distrato",$I$38-1,0)),IF(AND($L$37=0,$P$34=0),"",$L$37-1),IF($R$17="Distrato",$E139,0))),0,YEARFRAC(MAX($P$34*($B139+IF($R$17="Distrato",$I$38-1,0)),IF(AND($L$37=0,$P$34=0),"",$L$37-1),IF($R$17="Distrato",$E139,0)),MIN(AI$38,$D$19),$P$20))-SUM($P139:AH139)</f>
        <v>#VALUE!</v>
      </c>
      <c r="AJ139" s="446" t="e">
        <f>IF(OR($B139="",MIN(AJ$38,$D$19)&lt;MAX($P$34*($B139+IF($R$17="Distrato",$I$38-1,0)),IF(AND($L$37=0,$P$34=0),"",$L$37-1),IF($R$17="Distrato",$E139,0))),0,YEARFRAC(MAX($P$34*($B139+IF($R$17="Distrato",$I$38-1,0)),IF(AND($L$37=0,$P$34=0),"",$L$37-1),IF($R$17="Distrato",$E139,0)),MIN(AJ$38,$D$19),$P$20))-SUM($P139:AI139)</f>
        <v>#VALUE!</v>
      </c>
      <c r="AK139" s="446" t="e">
        <f>IF(OR($B139="",MIN(AK$38,$D$19)&lt;MAX($P$34*($B139+IF($R$17="Distrato",$I$38-1,0)),IF(AND($L$37=0,$P$34=0),"",$L$37-1),IF($R$17="Distrato",$E139,0))),0,YEARFRAC(MAX($P$34*($B139+IF($R$17="Distrato",$I$38-1,0)),IF(AND($L$37=0,$P$34=0),"",$L$37-1),IF($R$17="Distrato",$E139,0)),MIN(AK$38,$D$19),$P$20))-SUM($P139:AJ139)</f>
        <v>#VALUE!</v>
      </c>
      <c r="AL139" s="446" t="e">
        <f>IF(OR($B139="",MIN(AL$38,$D$19)&lt;MAX($P$34*($B139+IF($R$17="Distrato",$I$38-1,0)),IF(AND($L$37=0,$P$34=0),"",$L$37-1),IF($R$17="Distrato",$E139,0))),0,YEARFRAC(MAX($P$34*($B139+IF($R$17="Distrato",$I$38-1,0)),IF(AND($L$37=0,$P$34=0),"",$L$37-1),IF($R$17="Distrato",$E139,0)),MIN(AL$38,$D$19),$P$20))-SUM($P139:AK139)</f>
        <v>#VALUE!</v>
      </c>
      <c r="AM139" s="446" t="e">
        <f>IF(OR($B139="",MIN(AM$38,$D$19)&lt;MAX($P$34*($B139+IF($R$17="Distrato",$I$38-1,0)),IF(AND($L$37=0,$P$34=0),"",$L$37-1),IF($R$17="Distrato",$E139,0))),0,YEARFRAC(MAX($P$34*($B139+IF($R$17="Distrato",$I$38-1,0)),IF(AND($L$37=0,$P$34=0),"",$L$37-1),IF($R$17="Distrato",$E139,0)),MIN(AM$38,$D$19),$P$20))-SUM($P139:AL139)</f>
        <v>#VALUE!</v>
      </c>
      <c r="AN139" s="446" t="e">
        <f>IF(OR($B139="",MIN(AN$38,$D$19)&lt;MAX($P$34*($B139+IF($R$17="Distrato",$I$38-1,0)),IF(AND($L$37=0,$P$34=0),"",$L$37-1),IF($R$17="Distrato",$E139,0))),0,YEARFRAC(MAX($P$34*($B139+IF($R$17="Distrato",$I$38-1,0)),IF(AND($L$37=0,$P$34=0),"",$L$37-1),IF($R$17="Distrato",$E139,0)),MIN(AN$38,$D$19),$P$20))-SUM($P139:AM139)</f>
        <v>#VALUE!</v>
      </c>
      <c r="AO139" s="446" t="e">
        <f>IF(OR($B139="",MIN(AO$38,$D$19)&lt;MAX($P$34*($B139+IF($R$17="Distrato",$I$38-1,0)),IF(AND($L$37=0,$P$34=0),"",$L$37-1),IF($R$17="Distrato",$E139,0))),0,YEARFRAC(MAX($P$34*($B139+IF($R$17="Distrato",$I$38-1,0)),IF(AND($L$37=0,$P$34=0),"",$L$37-1),IF($R$17="Distrato",$E139,0)),MIN(AO$38,$D$19),$P$20))-SUM($P139:AN139)</f>
        <v>#VALUE!</v>
      </c>
      <c r="AP139" s="446" t="e">
        <f>IF(OR($B139="",MIN(AP$38,$D$19)&lt;MAX($P$34*($B139+IF($R$17="Distrato",$I$38-1,0)),IF(AND($L$37=0,$P$34=0),"",$L$37-1),IF($R$17="Distrato",$E139,0))),0,YEARFRAC(MAX($P$34*($B139+IF($R$17="Distrato",$I$38-1,0)),IF(AND($L$37=0,$P$34=0),"",$L$37-1),IF($R$17="Distrato",$E139,0)),MIN(AP$38,$D$19),$P$20))-SUM($P139:AO139)</f>
        <v>#VALUE!</v>
      </c>
      <c r="AQ139" s="446" t="e">
        <f>IF(OR($B139="",MIN(AQ$38,$D$19)&lt;MAX($P$34*($B139+IF($R$17="Distrato",$I$38-1,0)),IF(AND($L$37=0,$P$34=0),"",$L$37-1),IF($R$17="Distrato",$E139,0))),0,YEARFRAC(MAX($P$34*($B139+IF($R$17="Distrato",$I$38-1,0)),IF(AND($L$37=0,$P$34=0),"",$L$37-1),IF($R$17="Distrato",$E139,0)),MIN(AQ$38,$D$19),$P$20))-SUM($P139:AP139)</f>
        <v>#VALUE!</v>
      </c>
      <c r="AR139" s="446" t="e">
        <f>IF(OR($B139="",MIN(AR$38,$D$19)&lt;MAX($P$34*($B139+IF($R$17="Distrato",$I$38-1,0)),IF(AND($L$37=0,$P$34=0),"",$L$37-1),IF($R$17="Distrato",$E139,0))),0,YEARFRAC(MAX($P$34*($B139+IF($R$17="Distrato",$I$38-1,0)),IF(AND($L$37=0,$P$34=0),"",$L$37-1),IF($R$17="Distrato",$E139,0)),MIN(AR$38,$D$19),$P$20))-SUM($P139:AQ139)</f>
        <v>#VALUE!</v>
      </c>
      <c r="AS139" s="446" t="e">
        <f>IF(OR($B139="",MIN(AS$38,$D$19)&lt;MAX($P$34*($B139+IF($R$17="Distrato",$I$38-1,0)),IF(AND($L$37=0,$P$34=0),"",$L$37-1),IF($R$17="Distrato",$E139,0))),0,YEARFRAC(MAX($P$34*($B139+IF($R$17="Distrato",$I$38-1,0)),IF(AND($L$37=0,$P$34=0),"",$L$37-1),IF($R$17="Distrato",$E139,0)),MIN(AS$38,$D$19),$P$20))-SUM($P139:AR139)</f>
        <v>#VALUE!</v>
      </c>
      <c r="AT139" s="446" t="e">
        <f>IF(OR($B139="",MIN(AT$38,$D$19)&lt;MAX($P$34*($B139+IF($R$17="Distrato",$I$38-1,0)),IF(AND($L$37=0,$P$34=0),"",$L$37-1),IF($R$17="Distrato",$E139,0))),0,YEARFRAC(MAX($P$34*($B139+IF($R$17="Distrato",$I$38-1,0)),IF(AND($L$37=0,$P$34=0),"",$L$37-1),IF($R$17="Distrato",$E139,0)),MIN(AT$38,$D$19),$P$20))-SUM($P139:AS139)</f>
        <v>#VALUE!</v>
      </c>
      <c r="AU139" s="446" t="e">
        <f>IF(OR($B139="",MIN(AU$38,$D$19)&lt;MAX($P$34*($B139+IF($R$17="Distrato",$I$38-1,0)),IF(AND($L$37=0,$P$34=0),"",$L$37-1),IF($R$17="Distrato",$E139,0))),0,YEARFRAC(MAX($P$34*($B139+IF($R$17="Distrato",$I$38-1,0)),IF(AND($L$37=0,$P$34=0),"",$L$37-1),IF($R$17="Distrato",$E139,0)),MIN(AU$38,$D$19),$P$20))-SUM($P139:AT139)</f>
        <v>#VALUE!</v>
      </c>
      <c r="AV139" s="446" t="e">
        <f>IF(OR($B139="",MIN(AV$38,$D$19)&lt;MAX($P$34*($B139+IF($R$17="Distrato",$I$38-1,0)),IF(AND($L$37=0,$P$34=0),"",$L$37-1),IF($R$17="Distrato",$E139,0))),0,YEARFRAC(MAX($P$34*($B139+IF($R$17="Distrato",$I$38-1,0)),IF(AND($L$37=0,$P$34=0),"",$L$37-1),IF($R$17="Distrato",$E139,0)),MIN(AV$38,$D$19),$P$20))-SUM($P139:AU139)</f>
        <v>#VALUE!</v>
      </c>
      <c r="AW139" s="446" t="e">
        <f>IF(OR($B139="",MIN(AW$38,$D$19)&lt;MAX($P$34*($B139+IF($R$17="Distrato",$I$38-1,0)),IF(AND($L$37=0,$P$34=0),"",$L$37-1),IF($R$17="Distrato",$E139,0))),0,YEARFRAC(MAX($P$34*($B139+IF($R$17="Distrato",$I$38-1,0)),IF(AND($L$37=0,$P$34=0),"",$L$37-1),IF($R$17="Distrato",$E139,0)),MIN(AW$38,$D$19),$P$20))-SUM($P139:AV139)</f>
        <v>#VALUE!</v>
      </c>
      <c r="AX139" s="446" t="e">
        <f>IF(OR($B139="",MIN(AX$38,$D$19)&lt;MAX($P$34*($B139+IF($R$17="Distrato",$I$38-1,0)),IF(AND($L$37=0,$P$34=0),"",$L$37-1),IF($R$17="Distrato",$E139,0))),0,YEARFRAC(MAX($P$34*($B139+IF($R$17="Distrato",$I$38-1,0)),IF(AND($L$37=0,$P$34=0),"",$L$37-1),IF($R$17="Distrato",$E139,0)),MIN(AX$38,$D$19),$P$20))-SUM($P139:AW139)</f>
        <v>#VALUE!</v>
      </c>
      <c r="AY139" s="446" t="e">
        <f>IF(OR($B139="",MIN(AY$38,$D$19)&lt;MAX($P$34*($B139+IF($R$17="Distrato",$I$38-1,0)),IF(AND($L$37=0,$P$34=0),"",$L$37-1),IF($R$17="Distrato",$E139,0))),0,YEARFRAC(MAX($P$34*($B139+IF($R$17="Distrato",$I$38-1,0)),IF(AND($L$37=0,$P$34=0),"",$L$37-1),IF($R$17="Distrato",$E139,0)),MIN(AY$38,$D$19),$P$20))-SUM($P139:AX139)</f>
        <v>#VALUE!</v>
      </c>
      <c r="AZ139" s="446" t="e">
        <f>IF(OR($B139="",MIN(AZ$38,$D$19)&lt;MAX($P$34*($B139+IF($R$17="Distrato",$I$38-1,0)),IF(AND($L$37=0,$P$34=0),"",$L$37-1),IF($R$17="Distrato",$E139,0))),0,YEARFRAC(MAX($P$34*($B139+IF($R$17="Distrato",$I$38-1,0)),IF(AND($L$37=0,$P$34=0),"",$L$37-1),IF($R$17="Distrato",$E139,0)),MIN(AZ$38,$D$19),$P$20))-SUM($P139:AY139)</f>
        <v>#VALUE!</v>
      </c>
      <c r="BA139" s="446" t="e">
        <f>IF(OR($B139="",MIN(BA$38,$D$19)&lt;MAX($P$34*($B139+IF($R$17="Distrato",$I$38-1,0)),IF(AND($L$37=0,$P$34=0),"",$L$37-1),IF($R$17="Distrato",$E139,0))),0,YEARFRAC(MAX($P$34*($B139+IF($R$17="Distrato",$I$38-1,0)),IF(AND($L$37=0,$P$34=0),"",$L$37-1),IF($R$17="Distrato",$E139,0)),MIN(BA$38,$D$19),$P$20))-SUM($P139:AZ139)</f>
        <v>#VALUE!</v>
      </c>
      <c r="BB139" s="447"/>
      <c r="BF139" s="446">
        <f t="shared" si="21"/>
        <v>0</v>
      </c>
      <c r="BG139" s="446">
        <f>IF($E139=0,0,IF(MIN(BG$38,$E139)&lt;MAX($P$34*($B139+$I$38-1),IF(AND($L$37=0,$P$34=0),"",$L$37-1)),0,YEARFRAC(MAX($P$34*($B139+$I$38-1),IF(AND($L$37=0,$P$34=0),"",$L$37-1)),MIN(BG$38,$E139),$P$20))-SUM($BF139:BF139))</f>
        <v>0</v>
      </c>
      <c r="BH139" s="446">
        <f>IF($E139=0,0,IF(MIN(BH$38,$E139)&lt;MAX($P$34*($B139+$I$38-1),IF(AND($L$37=0,$P$34=0),"",$L$37-1)),0,YEARFRAC(MAX($P$34*($B139+$I$38-1),IF(AND($L$37=0,$P$34=0),"",$L$37-1)),MIN(BH$38,$E139),$P$20))-SUM($BF139:BG139))</f>
        <v>0</v>
      </c>
      <c r="BI139" s="446">
        <f>IF($E139=0,0,IF(MIN(BI$38,$E139)&lt;MAX($P$34*($B139+$I$38-1),IF(AND($L$37=0,$P$34=0),"",$L$37-1)),0,YEARFRAC(MAX($P$34*($B139+$I$38-1),IF(AND($L$37=0,$P$34=0),"",$L$37-1)),MIN(BI$38,$E139),$P$20))-SUM($BF139:BH139))</f>
        <v>0</v>
      </c>
      <c r="BJ139" s="446">
        <f>IF($E139=0,0,IF(MIN(BJ$38,$E139)&lt;MAX($P$34*($B139+$I$38-1),IF(AND($L$37=0,$P$34=0),"",$L$37-1)),0,YEARFRAC(MAX($P$34*($B139+$I$38-1),IF(AND($L$37=0,$P$34=0),"",$L$37-1)),MIN(BJ$38,$E139),$P$20))-SUM($BF139:BI139))</f>
        <v>0</v>
      </c>
      <c r="BK139" s="446">
        <f>IF($E139=0,0,IF(MIN(BK$38,$E139)&lt;MAX($P$34*($B139+$I$38-1),IF(AND($L$37=0,$P$34=0),"",$L$37-1)),0,YEARFRAC(MAX($P$34*($B139+$I$38-1),IF(AND($L$37=0,$P$34=0),"",$L$37-1)),MIN(BK$38,$E139),$P$20))-SUM($BF139:BJ139))</f>
        <v>0</v>
      </c>
      <c r="BL139" s="446">
        <f>IF($E139=0,0,IF(MIN(BL$38,$E139)&lt;MAX($P$34*($B139+$I$38-1),IF(AND($L$37=0,$P$34=0),"",$L$37-1)),0,YEARFRAC(MAX($P$34*($B139+$I$38-1),IF(AND($L$37=0,$P$34=0),"",$L$37-1)),MIN(BL$38,$E139),$P$20))-SUM($BF139:BK139))</f>
        <v>0</v>
      </c>
      <c r="BM139" s="446">
        <f>IF($E139=0,0,IF(MIN(BM$38,$E139)&lt;MAX($P$34*($B139+$I$38-1),IF(AND($L$37=0,$P$34=0),"",$L$37-1)),0,YEARFRAC(MAX($P$34*($B139+$I$38-1),IF(AND($L$37=0,$P$34=0),"",$L$37-1)),MIN(BM$38,$E139),$P$20))-SUM($BF139:BL139))</f>
        <v>0</v>
      </c>
      <c r="BN139" s="446">
        <f>IF($E139=0,0,IF(MIN(BN$38,$E139)&lt;MAX($P$34*($B139+$I$38-1),IF(AND($L$37=0,$P$34=0),"",$L$37-1)),0,YEARFRAC(MAX($P$34*($B139+$I$38-1),IF(AND($L$37=0,$P$34=0),"",$L$37-1)),MIN(BN$38,$E139),$P$20))-SUM($BF139:BM139))</f>
        <v>0</v>
      </c>
      <c r="BO139" s="446">
        <f>IF($E139=0,0,IF(MIN(BO$38,$E139)&lt;MAX($P$34*($B139+$I$38-1),IF(AND($L$37=0,$P$34=0),"",$L$37-1)),0,YEARFRAC(MAX($P$34*($B139+$I$38-1),IF(AND($L$37=0,$P$34=0),"",$L$37-1)),MIN(BO$38,$E139),$P$20))-SUM($BF139:BN139))</f>
        <v>0</v>
      </c>
      <c r="BP139" s="446">
        <f>IF($E139=0,0,IF(MIN(BP$38,$E139)&lt;MAX($P$34*($B139+$I$38-1),IF(AND($L$37=0,$P$34=0),"",$L$37-1)),0,YEARFRAC(MAX($P$34*($B139+$I$38-1),IF(AND($L$37=0,$P$34=0),"",$L$37-1)),MIN(BP$38,$E139),$P$20))-SUM($BF139:BO139))</f>
        <v>0</v>
      </c>
      <c r="BQ139" s="446">
        <f>IF($E139=0,0,IF(MIN(BQ$38,$E139)&lt;MAX($P$34*($B139+$I$38-1),IF(AND($L$37=0,$P$34=0),"",$L$37-1)),0,YEARFRAC(MAX($P$34*($B139+$I$38-1),IF(AND($L$37=0,$P$34=0),"",$L$37-1)),MIN(BQ$38,$E139),$P$20))-SUM($BF139:BP139))</f>
        <v>0</v>
      </c>
      <c r="BR139" s="446">
        <f>IF($E139=0,0,IF(MIN(BR$38,$E139)&lt;MAX($P$34*($B139+$I$38-1),IF(AND($L$37=0,$P$34=0),"",$L$37-1)),0,YEARFRAC(MAX($P$34*($B139+$I$38-1),IF(AND($L$37=0,$P$34=0),"",$L$37-1)),MIN(BR$38,$E139),$P$20))-SUM($BF139:BQ139))</f>
        <v>0</v>
      </c>
      <c r="BS139" s="446">
        <f>IF($E139=0,0,IF(MIN(BS$38,$E139)&lt;MAX($P$34*($B139+$I$38-1),IF(AND($L$37=0,$P$34=0),"",$L$37-1)),0,YEARFRAC(MAX($P$34*($B139+$I$38-1),IF(AND($L$37=0,$P$34=0),"",$L$37-1)),MIN(BS$38,$E139),$P$20))-SUM($BF139:BR139))</f>
        <v>0</v>
      </c>
      <c r="BT139" s="446">
        <f>IF($E139=0,0,IF(MIN(BT$38,$E139)&lt;MAX($P$34*($B139+$I$38-1),IF(AND($L$37=0,$P$34=0),"",$L$37-1)),0,YEARFRAC(MAX($P$34*($B139+$I$38-1),IF(AND($L$37=0,$P$34=0),"",$L$37-1)),MIN(BT$38,$E139),$P$20))-SUM($BF139:BS139))</f>
        <v>0</v>
      </c>
      <c r="BU139" s="446">
        <f>IF($E139=0,0,IF(MIN(BU$38,$E139)&lt;MAX($P$34*($B139+$I$38-1),IF(AND($L$37=0,$P$34=0),"",$L$37-1)),0,YEARFRAC(MAX($P$34*($B139+$I$38-1),IF(AND($L$37=0,$P$34=0),"",$L$37-1)),MIN(BU$38,$E139),$P$20))-SUM($BF139:BT139))</f>
        <v>0</v>
      </c>
      <c r="BV139" s="446">
        <f>IF($E139=0,0,IF(MIN(BV$38,$E139)&lt;MAX($P$34*($B139+$I$38-1),IF(AND($L$37=0,$P$34=0),"",$L$37-1)),0,YEARFRAC(MAX($P$34*($B139+$I$38-1),IF(AND($L$37=0,$P$34=0),"",$L$37-1)),MIN(BV$38,$E139),$P$20))-SUM($BF139:BU139))</f>
        <v>0</v>
      </c>
      <c r="BW139" s="446">
        <f>IF($E139=0,0,IF(MIN(BW$38,$E139)&lt;MAX($P$34*($B139+$I$38-1),IF(AND($L$37=0,$P$34=0),"",$L$37-1)),0,YEARFRAC(MAX($P$34*($B139+$I$38-1),IF(AND($L$37=0,$P$34=0),"",$L$37-1)),MIN(BW$38,$E139),$P$20))-SUM($BF139:BV139))</f>
        <v>0</v>
      </c>
      <c r="BX139" s="446">
        <f>IF($E139=0,0,IF(MIN(BX$38,$E139)&lt;MAX($P$34*($B139+$I$38-1),IF(AND($L$37=0,$P$34=0),"",$L$37-1)),0,YEARFRAC(MAX($P$34*($B139+$I$38-1),IF(AND($L$37=0,$P$34=0),"",$L$37-1)),MIN(BX$38,$E139),$P$20))-SUM($BF139:BW139))</f>
        <v>0</v>
      </c>
      <c r="BY139" s="446">
        <f>IF($E139=0,0,IF(MIN(BY$38,$E139)&lt;MAX($P$34*($B139+$I$38-1),IF(AND($L$37=0,$P$34=0),"",$L$37-1)),0,YEARFRAC(MAX($P$34*($B139+$I$38-1),IF(AND($L$37=0,$P$34=0),"",$L$37-1)),MIN(BY$38,$E139),$P$20))-SUM($BF139:BX139))</f>
        <v>0</v>
      </c>
      <c r="BZ139" s="446">
        <f>IF($E139=0,0,IF(MIN(BZ$38,$E139)&lt;MAX($P$34*($B139+$I$38-1),IF(AND($L$37=0,$P$34=0),"",$L$37-1)),0,YEARFRAC(MAX($P$34*($B139+$I$38-1),IF(AND($L$37=0,$P$34=0),"",$L$37-1)),MIN(BZ$38,$E139),$P$20))-SUM($BF139:BY139))</f>
        <v>0</v>
      </c>
      <c r="CA139" s="446">
        <f>IF($E139=0,0,IF(MIN(CA$38,$E139)&lt;MAX($P$34*($B139+$I$38-1),IF(AND($L$37=0,$P$34=0),"",$L$37-1)),0,YEARFRAC(MAX($P$34*($B139+$I$38-1),IF(AND($L$37=0,$P$34=0),"",$L$37-1)),MIN(CA$38,$E139),$P$20))-SUM($BF139:BZ139))</f>
        <v>0</v>
      </c>
      <c r="CB139" s="446">
        <f>IF($E139=0,0,IF(MIN(CB$38,$E139)&lt;MAX($P$34*($B139+$I$38-1),IF(AND($L$37=0,$P$34=0),"",$L$37-1)),0,YEARFRAC(MAX($P$34*($B139+$I$38-1),IF(AND($L$37=0,$P$34=0),"",$L$37-1)),MIN(CB$38,$E139),$P$20))-SUM($BF139:CA139))</f>
        <v>0</v>
      </c>
      <c r="CC139" s="446">
        <f>IF($E139=0,0,IF(MIN(CC$38,$E139)&lt;MAX($P$34*($B139+$I$38-1),IF(AND($L$37=0,$P$34=0),"",$L$37-1)),0,YEARFRAC(MAX($P$34*($B139+$I$38-1),IF(AND($L$37=0,$P$34=0),"",$L$37-1)),MIN(CC$38,$E139),$P$20))-SUM($BF139:CB139))</f>
        <v>0</v>
      </c>
      <c r="CD139" s="446">
        <f>IF($E139=0,0,IF(MIN(CD$38,$E139)&lt;MAX($P$34*($B139+$I$38-1),IF(AND($L$37=0,$P$34=0),"",$L$37-1)),0,YEARFRAC(MAX($P$34*($B139+$I$38-1),IF(AND($L$37=0,$P$34=0),"",$L$37-1)),MIN(CD$38,$E139),$P$20))-SUM($BF139:CC139))</f>
        <v>0</v>
      </c>
      <c r="CE139" s="446">
        <f>IF($E139=0,0,IF(MIN(CE$38,$E139)&lt;MAX($P$34*($B139+$I$38-1),IF(AND($L$37=0,$P$34=0),"",$L$37-1)),0,YEARFRAC(MAX($P$34*($B139+$I$38-1),IF(AND($L$37=0,$P$34=0),"",$L$37-1)),MIN(CE$38,$E139),$P$20))-SUM($BF139:CD139))</f>
        <v>0</v>
      </c>
      <c r="CF139" s="446">
        <f>IF($E139=0,0,IF(MIN(CF$38,$E139)&lt;MAX($P$34*($B139+$I$38-1),IF(AND($L$37=0,$P$34=0),"",$L$37-1)),0,YEARFRAC(MAX($P$34*($B139+$I$38-1),IF(AND($L$37=0,$P$34=0),"",$L$37-1)),MIN(CF$38,$E139),$P$20))-SUM($BF139:CE139))</f>
        <v>0</v>
      </c>
      <c r="CG139" s="446">
        <f>IF($E139=0,0,IF(MIN(CG$38,$E139)&lt;MAX($P$34*($B139+$I$38-1),IF(AND($L$37=0,$P$34=0),"",$L$37-1)),0,YEARFRAC(MAX($P$34*($B139+$I$38-1),IF(AND($L$37=0,$P$34=0),"",$L$37-1)),MIN(CG$38,$E139),$P$20))-SUM($BF139:CF139))</f>
        <v>0</v>
      </c>
      <c r="CH139" s="446">
        <f>IF($E139=0,0,IF(MIN(CH$38,$E139)&lt;MAX($P$34*($B139+$I$38-1),IF(AND($L$37=0,$P$34=0),"",$L$37-1)),0,YEARFRAC(MAX($P$34*($B139+$I$38-1),IF(AND($L$37=0,$P$34=0),"",$L$37-1)),MIN(CH$38,$E139),$P$20))-SUM($BF139:CG139))</f>
        <v>0</v>
      </c>
      <c r="CI139" s="446">
        <f>IF($E139=0,0,IF(MIN(CI$38,$E139)&lt;MAX($P$34*($B139+$I$38-1),IF(AND($L$37=0,$P$34=0),"",$L$37-1)),0,YEARFRAC(MAX($P$34*($B139+$I$38-1),IF(AND($L$37=0,$P$34=0),"",$L$37-1)),MIN(CI$38,$E139),$P$20))-SUM($BF139:CH139))</f>
        <v>0</v>
      </c>
      <c r="CJ139" s="446">
        <f>IF($E139=0,0,IF(MIN(CJ$38,$E139)&lt;MAX($P$34*($B139+$I$38-1),IF(AND($L$37=0,$P$34=0),"",$L$37-1)),0,YEARFRAC(MAX($P$34*($B139+$I$38-1),IF(AND($L$37=0,$P$34=0),"",$L$37-1)),MIN(CJ$38,$E139),$P$20))-SUM($BF139:CI139))</f>
        <v>0</v>
      </c>
      <c r="CK139" s="446">
        <f>IF($E139=0,0,IF(MIN(CK$38,$E139)&lt;MAX($P$34*($B139+$I$38-1),IF(AND($L$37=0,$P$34=0),"",$L$37-1)),0,YEARFRAC(MAX($P$34*($B139+$I$38-1),IF(AND($L$37=0,$P$34=0),"",$L$37-1)),MIN(CK$38,$E139),$P$20))-SUM($BF139:CJ139))</f>
        <v>0</v>
      </c>
      <c r="CL139" s="446">
        <f>IF($E139=0,0,IF(MIN(CL$38,$E139)&lt;MAX($P$34*($B139+$I$38-1),IF(AND($L$37=0,$P$34=0),"",$L$37-1)),0,YEARFRAC(MAX($P$34*($B139+$I$38-1),IF(AND($L$37=0,$P$34=0),"",$L$37-1)),MIN(CL$38,$E139),$P$20))-SUM($BF139:CK139))</f>
        <v>0</v>
      </c>
      <c r="CM139" s="446">
        <f>IF($E139=0,0,IF(MIN(CM$38,$E139)&lt;MAX($P$34*($B139+$I$38-1),IF(AND($L$37=0,$P$34=0),"",$L$37-1)),0,YEARFRAC(MAX($P$34*($B139+$I$38-1),IF(AND($L$37=0,$P$34=0),"",$L$37-1)),MIN(CM$38,$E139),$P$20))-SUM($BF139:CL139))</f>
        <v>0</v>
      </c>
      <c r="CN139" s="446">
        <f>IF($E139=0,0,IF(MIN(CN$38,$E139)&lt;MAX($P$34*($B139+$I$38-1),IF(AND($L$37=0,$P$34=0),"",$L$37-1)),0,YEARFRAC(MAX($P$34*($B139+$I$38-1),IF(AND($L$37=0,$P$34=0),"",$L$37-1)),MIN(CN$38,$E139),$P$20))-SUM($BF139:CM139))</f>
        <v>0</v>
      </c>
      <c r="CO139" s="446">
        <f>IF($E139=0,0,IF(MIN(CO$38,$E139)&lt;MAX($P$34*($B139+$I$38-1),IF(AND($L$37=0,$P$34=0),"",$L$37-1)),0,YEARFRAC(MAX($P$34*($B139+$I$38-1),IF(AND($L$37=0,$P$34=0),"",$L$37-1)),MIN(CO$38,$E139),$P$20))-SUM($BF139:CN139))</f>
        <v>0</v>
      </c>
      <c r="CP139" s="446">
        <f>IF($E139=0,0,IF(MIN(CP$38,$E139)&lt;MAX($P$34*($B139+$I$38-1),IF(AND($L$37=0,$P$34=0),"",$L$37-1)),0,YEARFRAC(MAX($P$34*($B139+$I$38-1),IF(AND($L$37=0,$P$34=0),"",$L$37-1)),MIN(CP$38,$E139),$P$20))-SUM($BF139:CO139))</f>
        <v>0</v>
      </c>
      <c r="CQ139" s="446">
        <f>IF($E139=0,0,IF(MIN(CQ$38,$E139)&lt;MAX($P$34*($B139+$I$38-1),IF(AND($L$37=0,$P$34=0),"",$L$37-1)),0,YEARFRAC(MAX($P$34*($B139+$I$38-1),IF(AND($L$37=0,$P$34=0),"",$L$37-1)),MIN(CQ$38,$E139),$P$20))-SUM($BF139:CP139))</f>
        <v>0</v>
      </c>
    </row>
    <row r="140" spans="1:95" s="446" customFormat="1" ht="11.25" hidden="1" customHeight="1" x14ac:dyDescent="0.2">
      <c r="A140" s="152"/>
      <c r="B140" s="153" t="str">
        <f t="shared" si="26"/>
        <v/>
      </c>
      <c r="C140" s="29" t="str">
        <f>IF(B140="","",IF($L$35="SELIC - TRIBUTOS",VLOOKUP(DATE(YEAR($D$19),MONTH($D$19)-1,1),ÍNDICES!$A:$DE,HLOOKUP($BL$25,ÍNDICES!$B$3:$T$4,2)+11)-VLOOKUP(B140,ÍNDICES!$A:$DE,HLOOKUP($BL$25,ÍNDICES!$B$3:$T$4,2)+11)+1%,IF(C$38=$W$26,$J$35,IF(ISERROR(IF(B140&gt;$D$19,1,VLOOKUP(DATE(YEAR(B140),MONTH(B140)+IF($C$35=$S$23,1,0),1),ÍNDICES!$A:$DE,$Z$35+1))),"",IF(B140&gt;$D$19,1,VLOOKUP(DATE(YEAR(B140),MONTH(B140)+IF($C$35=$S$23,1,0),1),ÍNDICES!$A:$DE,$Z$35+1))))))</f>
        <v/>
      </c>
      <c r="D140" s="154" t="str">
        <f>IF(ISERROR(IF(OR($D$38=$Y$27,$B140=""),"",VLOOKUP(B140,ÍNDICES!A:DE,AF$35+1))),"",IF(OR($D$38=$Y$27,$B140=""),"",VLOOKUP(B140,ÍNDICES!A:DE,AF$35+1)))</f>
        <v/>
      </c>
      <c r="E140" s="153"/>
      <c r="F140" s="29" t="str">
        <f>IF(E140="","",IF($L$35="SELIC - TRIBUTOS",VLOOKUP(DATE(YEAR($D$19),MONTH($D$19)-1,1),ÍNDICES!$A:$DE,HLOOKUP($BL$25,ÍNDICES!$B$3:$T$4,2)+11)-VLOOKUP(E140,ÍNDICES!$A:$DE,HLOOKUP($BL$25,ÍNDICES!$B$3:$T$4,2)+11)+1%,IF(F$38=$W$26,$J$35,IF(ISERROR(IF(E140&gt;$D$19,1,VLOOKUP(DATE(YEAR(E140),MONTH(E140)+IF($C$35=$S$23,1,0),1),ÍNDICES!$A:$DE,$Z$35+1))),"",IF(E140&gt;$D$19,1,VLOOKUP(DATE(YEAR(E140),MONTH(E140)+IF($C$35=$S$23,1,0),1),ÍNDICES!$A:$DE,$Z$35+1))))))</f>
        <v/>
      </c>
      <c r="G140" s="155"/>
      <c r="H140" s="156" t="str">
        <f t="shared" si="22"/>
        <v/>
      </c>
      <c r="I140" s="29" t="str">
        <f t="shared" si="16"/>
        <v/>
      </c>
      <c r="J140" s="5">
        <f t="shared" si="17"/>
        <v>0</v>
      </c>
      <c r="K140" s="20">
        <f t="shared" ca="1" si="18"/>
        <v>0</v>
      </c>
      <c r="L140" s="5">
        <f t="shared" ca="1" si="19"/>
        <v>0</v>
      </c>
      <c r="M140" s="64">
        <f t="shared" si="23"/>
        <v>0</v>
      </c>
      <c r="N140" s="61">
        <f t="shared" ca="1" si="24"/>
        <v>0</v>
      </c>
      <c r="O140" s="5">
        <f t="shared" ca="1" si="25"/>
        <v>0</v>
      </c>
      <c r="P140" s="446" t="e">
        <f t="shared" si="20"/>
        <v>#VALUE!</v>
      </c>
      <c r="Q140" s="446" t="e">
        <f>IF(OR($B140="",MIN(Q$38,$D$19)&lt;MAX($P$34*($B140+IF($R$17="Distrato",$I$38-1,0)),IF(AND($L$37=0,$P$34=0),"",$L$37-1),IF($R$17="Distrato",$E140,0))),0,YEARFRAC(MAX($P$34*($B140+IF($R$17="Distrato",$I$38-1,0)),IF(AND($L$37=0,$P$34=0),"",$L$37-1),IF($R$17="Distrato",$E140,0)),MIN(Q$38,$D$19),$P$20))-SUM($P140:P140)</f>
        <v>#VALUE!</v>
      </c>
      <c r="R140" s="446" t="e">
        <f>IF(OR($B140="",MIN(R$38,$D$19)&lt;MAX($P$34*($B140+IF($R$17="Distrato",$I$38-1,0)),IF(AND($L$37=0,$P$34=0),"",$L$37-1),IF($R$17="Distrato",$E140,0))),0,YEARFRAC(MAX($P$34*($B140+IF($R$17="Distrato",$I$38-1,0)),IF(AND($L$37=0,$P$34=0),"",$L$37-1),IF($R$17="Distrato",$E140,0)),MIN(R$38,$D$19),$P$20))-SUM($P140:Q140)</f>
        <v>#VALUE!</v>
      </c>
      <c r="S140" s="446" t="e">
        <f>IF(OR($B140="",MIN(S$38,$D$19)&lt;MAX($P$34*($B140+IF($R$17="Distrato",$I$38-1,0)),IF(AND($L$37=0,$P$34=0),"",$L$37-1),IF($R$17="Distrato",$E140,0))),0,YEARFRAC(MAX($P$34*($B140+IF($R$17="Distrato",$I$38-1,0)),IF(AND($L$37=0,$P$34=0),"",$L$37-1),IF($R$17="Distrato",$E140,0)),MIN(S$38,$D$19),$P$20))-SUM($P140:R140)</f>
        <v>#VALUE!</v>
      </c>
      <c r="T140" s="446" t="e">
        <f>IF(OR($B140="",MIN(T$38,$D$19)&lt;MAX($P$34*($B140+IF($R$17="Distrato",$I$38-1,0)),IF(AND($L$37=0,$P$34=0),"",$L$37-1),IF($R$17="Distrato",$E140,0))),0,YEARFRAC(MAX($P$34*($B140+IF($R$17="Distrato",$I$38-1,0)),IF(AND($L$37=0,$P$34=0),"",$L$37-1),IF($R$17="Distrato",$E140,0)),MIN(T$38,$D$19),$P$20))-SUM($P140:S140)</f>
        <v>#VALUE!</v>
      </c>
      <c r="U140" s="446" t="e">
        <f>IF(OR($B140="",MIN(U$38,$D$19)&lt;MAX($P$34*($B140+IF($R$17="Distrato",$I$38-1,0)),IF(AND($L$37=0,$P$34=0),"",$L$37-1),IF($R$17="Distrato",$E140,0))),0,YEARFRAC(MAX($P$34*($B140+IF($R$17="Distrato",$I$38-1,0)),IF(AND($L$37=0,$P$34=0),"",$L$37-1),IF($R$17="Distrato",$E140,0)),MIN(U$38,$D$19),$P$20))-SUM($P140:T140)</f>
        <v>#VALUE!</v>
      </c>
      <c r="V140" s="446" t="e">
        <f>IF(OR($B140="",MIN(V$38,$D$19)&lt;MAX($P$34*($B140+IF($R$17="Distrato",$I$38-1,0)),IF(AND($L$37=0,$P$34=0),"",$L$37-1),IF($R$17="Distrato",$E140,0))),0,YEARFRAC(MAX($P$34*($B140+IF($R$17="Distrato",$I$38-1,0)),IF(AND($L$37=0,$P$34=0),"",$L$37-1),IF($R$17="Distrato",$E140,0)),MIN(V$38,$D$19),$P$20))-SUM($P140:U140)</f>
        <v>#VALUE!</v>
      </c>
      <c r="W140" s="446" t="e">
        <f>IF(OR($B140="",MIN(W$38,$D$19)&lt;MAX($P$34*($B140+IF($R$17="Distrato",$I$38-1,0)),IF(AND($L$37=0,$P$34=0),"",$L$37-1),IF($R$17="Distrato",$E140,0))),0,YEARFRAC(MAX($P$34*($B140+IF($R$17="Distrato",$I$38-1,0)),IF(AND($L$37=0,$P$34=0),"",$L$37-1),IF($R$17="Distrato",$E140,0)),MIN(W$38,$D$19),$P$20))-SUM($P140:V140)</f>
        <v>#VALUE!</v>
      </c>
      <c r="X140" s="446" t="e">
        <f>IF(OR($B140="",MIN(X$38,$D$19)&lt;MAX($P$34*($B140+IF($R$17="Distrato",$I$38-1,0)),IF(AND($L$37=0,$P$34=0),"",$L$37-1),IF($R$17="Distrato",$E140,0))),0,YEARFRAC(MAX($P$34*($B140+IF($R$17="Distrato",$I$38-1,0)),IF(AND($L$37=0,$P$34=0),"",$L$37-1),IF($R$17="Distrato",$E140,0)),MIN(X$38,$D$19),$P$20))-SUM($P140:W140)</f>
        <v>#VALUE!</v>
      </c>
      <c r="Y140" s="446" t="e">
        <f>IF(OR($B140="",MIN(Y$38,$D$19)&lt;MAX($P$34*($B140+IF($R$17="Distrato",$I$38-1,0)),IF(AND($L$37=0,$P$34=0),"",$L$37-1),IF($R$17="Distrato",$E140,0))),0,YEARFRAC(MAX($P$34*($B140+IF($R$17="Distrato",$I$38-1,0)),IF(AND($L$37=0,$P$34=0),"",$L$37-1),IF($R$17="Distrato",$E140,0)),MIN(Y$38,$D$19),$P$20))-SUM($P140:X140)</f>
        <v>#VALUE!</v>
      </c>
      <c r="Z140" s="446" t="e">
        <f>IF(OR($B140="",MIN(Z$38,$D$19)&lt;MAX($P$34*($B140+IF($R$17="Distrato",$I$38-1,0)),IF(AND($L$37=0,$P$34=0),"",$L$37-1),IF($R$17="Distrato",$E140,0))),0,YEARFRAC(MAX($P$34*($B140+IF($R$17="Distrato",$I$38-1,0)),IF(AND($L$37=0,$P$34=0),"",$L$37-1),IF($R$17="Distrato",$E140,0)),MIN(Z$38,$D$19),$P$20))-SUM($P140:Y140)</f>
        <v>#VALUE!</v>
      </c>
      <c r="AA140" s="446" t="e">
        <f>IF(OR($B140="",MIN(AA$38,$D$19)&lt;MAX($P$34*($B140+IF($R$17="Distrato",$I$38-1,0)),IF(AND($L$37=0,$P$34=0),"",$L$37-1),IF($R$17="Distrato",$E140,0))),0,YEARFRAC(MAX($P$34*($B140+IF($R$17="Distrato",$I$38-1,0)),IF(AND($L$37=0,$P$34=0),"",$L$37-1),IF($R$17="Distrato",$E140,0)),MIN(AA$38,$D$19),$P$20))-SUM($P140:Z140)</f>
        <v>#VALUE!</v>
      </c>
      <c r="AB140" s="446" t="e">
        <f>IF(OR($B140="",MIN(AB$38,$D$19)&lt;MAX($P$34*($B140+IF($R$17="Distrato",$I$38-1,0)),IF(AND($L$37=0,$P$34=0),"",$L$37-1),IF($R$17="Distrato",$E140,0))),0,YEARFRAC(MAX($P$34*($B140+IF($R$17="Distrato",$I$38-1,0)),IF(AND($L$37=0,$P$34=0),"",$L$37-1),IF($R$17="Distrato",$E140,0)),MIN(AB$38,$D$19),$P$20))-SUM($P140:AA140)</f>
        <v>#VALUE!</v>
      </c>
      <c r="AC140" s="446" t="e">
        <f>IF(OR($B140="",MIN(AC$38,$D$19)&lt;MAX($P$34*($B140+IF($R$17="Distrato",$I$38-1,0)),IF(AND($L$37=0,$P$34=0),"",$L$37-1),IF($R$17="Distrato",$E140,0))),0,YEARFRAC(MAX($P$34*($B140+IF($R$17="Distrato",$I$38-1,0)),IF(AND($L$37=0,$P$34=0),"",$L$37-1),IF($R$17="Distrato",$E140,0)),MIN(AC$38,$D$19),$P$20))-SUM($P140:AB140)</f>
        <v>#VALUE!</v>
      </c>
      <c r="AD140" s="446" t="e">
        <f>IF(OR($B140="",MIN(AD$38,$D$19)&lt;MAX($P$34*($B140+IF($R$17="Distrato",$I$38-1,0)),IF(AND($L$37=0,$P$34=0),"",$L$37-1),IF($R$17="Distrato",$E140,0))),0,YEARFRAC(MAX($P$34*($B140+IF($R$17="Distrato",$I$38-1,0)),IF(AND($L$37=0,$P$34=0),"",$L$37-1),IF($R$17="Distrato",$E140,0)),MIN(AD$38,$D$19),$P$20))-SUM($P140:AC140)</f>
        <v>#VALUE!</v>
      </c>
      <c r="AE140" s="446" t="e">
        <f>IF(OR($B140="",MIN(AE$38,$D$19)&lt;MAX($P$34*($B140+IF($R$17="Distrato",$I$38-1,0)),IF(AND($L$37=0,$P$34=0),"",$L$37-1),IF($R$17="Distrato",$E140,0))),0,YEARFRAC(MAX($P$34*($B140+IF($R$17="Distrato",$I$38-1,0)),IF(AND($L$37=0,$P$34=0),"",$L$37-1),IF($R$17="Distrato",$E140,0)),MIN(AE$38,$D$19),$P$20))-SUM($P140:AD140)</f>
        <v>#VALUE!</v>
      </c>
      <c r="AF140" s="446" t="e">
        <f>IF(OR($B140="",MIN(AF$38,$D$19)&lt;MAX($P$34*($B140+IF($R$17="Distrato",$I$38-1,0)),IF(AND($L$37=0,$P$34=0),"",$L$37-1),IF($R$17="Distrato",$E140,0))),0,YEARFRAC(MAX($P$34*($B140+IF($R$17="Distrato",$I$38-1,0)),IF(AND($L$37=0,$P$34=0),"",$L$37-1),IF($R$17="Distrato",$E140,0)),MIN(AF$38,$D$19),$P$20))-SUM($P140:AE140)</f>
        <v>#VALUE!</v>
      </c>
      <c r="AG140" s="446" t="e">
        <f>IF(OR($B140="",MIN(AG$38,$D$19)&lt;MAX($P$34*($B140+IF($R$17="Distrato",$I$38-1,0)),IF(AND($L$37=0,$P$34=0),"",$L$37-1),IF($R$17="Distrato",$E140,0))),0,YEARFRAC(MAX($P$34*($B140+IF($R$17="Distrato",$I$38-1,0)),IF(AND($L$37=0,$P$34=0),"",$L$37-1),IF($R$17="Distrato",$E140,0)),MIN(AG$38,$D$19),$P$20))-SUM($P140:AF140)</f>
        <v>#VALUE!</v>
      </c>
      <c r="AH140" s="446" t="e">
        <f>IF(OR($B140="",MIN(AH$38,$D$19)&lt;MAX($P$34*($B140+IF($R$17="Distrato",$I$38-1,0)),IF(AND($L$37=0,$P$34=0),"",$L$37-1),IF($R$17="Distrato",$E140,0))),0,YEARFRAC(MAX($P$34*($B140+IF($R$17="Distrato",$I$38-1,0)),IF(AND($L$37=0,$P$34=0),"",$L$37-1),IF($R$17="Distrato",$E140,0)),MIN(AH$38,$D$19),$P$20))-SUM($P140:AG140)</f>
        <v>#VALUE!</v>
      </c>
      <c r="AI140" s="446" t="e">
        <f>IF(OR($B140="",MIN(AI$38,$D$19)&lt;MAX($P$34*($B140+IF($R$17="Distrato",$I$38-1,0)),IF(AND($L$37=0,$P$34=0),"",$L$37-1),IF($R$17="Distrato",$E140,0))),0,YEARFRAC(MAX($P$34*($B140+IF($R$17="Distrato",$I$38-1,0)),IF(AND($L$37=0,$P$34=0),"",$L$37-1),IF($R$17="Distrato",$E140,0)),MIN(AI$38,$D$19),$P$20))-SUM($P140:AH140)</f>
        <v>#VALUE!</v>
      </c>
      <c r="AJ140" s="446" t="e">
        <f>IF(OR($B140="",MIN(AJ$38,$D$19)&lt;MAX($P$34*($B140+IF($R$17="Distrato",$I$38-1,0)),IF(AND($L$37=0,$P$34=0),"",$L$37-1),IF($R$17="Distrato",$E140,0))),0,YEARFRAC(MAX($P$34*($B140+IF($R$17="Distrato",$I$38-1,0)),IF(AND($L$37=0,$P$34=0),"",$L$37-1),IF($R$17="Distrato",$E140,0)),MIN(AJ$38,$D$19),$P$20))-SUM($P140:AI140)</f>
        <v>#VALUE!</v>
      </c>
      <c r="AK140" s="446" t="e">
        <f>IF(OR($B140="",MIN(AK$38,$D$19)&lt;MAX($P$34*($B140+IF($R$17="Distrato",$I$38-1,0)),IF(AND($L$37=0,$P$34=0),"",$L$37-1),IF($R$17="Distrato",$E140,0))),0,YEARFRAC(MAX($P$34*($B140+IF($R$17="Distrato",$I$38-1,0)),IF(AND($L$37=0,$P$34=0),"",$L$37-1),IF($R$17="Distrato",$E140,0)),MIN(AK$38,$D$19),$P$20))-SUM($P140:AJ140)</f>
        <v>#VALUE!</v>
      </c>
      <c r="AL140" s="446" t="e">
        <f>IF(OR($B140="",MIN(AL$38,$D$19)&lt;MAX($P$34*($B140+IF($R$17="Distrato",$I$38-1,0)),IF(AND($L$37=0,$P$34=0),"",$L$37-1),IF($R$17="Distrato",$E140,0))),0,YEARFRAC(MAX($P$34*($B140+IF($R$17="Distrato",$I$38-1,0)),IF(AND($L$37=0,$P$34=0),"",$L$37-1),IF($R$17="Distrato",$E140,0)),MIN(AL$38,$D$19),$P$20))-SUM($P140:AK140)</f>
        <v>#VALUE!</v>
      </c>
      <c r="AM140" s="446" t="e">
        <f>IF(OR($B140="",MIN(AM$38,$D$19)&lt;MAX($P$34*($B140+IF($R$17="Distrato",$I$38-1,0)),IF(AND($L$37=0,$P$34=0),"",$L$37-1),IF($R$17="Distrato",$E140,0))),0,YEARFRAC(MAX($P$34*($B140+IF($R$17="Distrato",$I$38-1,0)),IF(AND($L$37=0,$P$34=0),"",$L$37-1),IF($R$17="Distrato",$E140,0)),MIN(AM$38,$D$19),$P$20))-SUM($P140:AL140)</f>
        <v>#VALUE!</v>
      </c>
      <c r="AN140" s="446" t="e">
        <f>IF(OR($B140="",MIN(AN$38,$D$19)&lt;MAX($P$34*($B140+IF($R$17="Distrato",$I$38-1,0)),IF(AND($L$37=0,$P$34=0),"",$L$37-1),IF($R$17="Distrato",$E140,0))),0,YEARFRAC(MAX($P$34*($B140+IF($R$17="Distrato",$I$38-1,0)),IF(AND($L$37=0,$P$34=0),"",$L$37-1),IF($R$17="Distrato",$E140,0)),MIN(AN$38,$D$19),$P$20))-SUM($P140:AM140)</f>
        <v>#VALUE!</v>
      </c>
      <c r="AO140" s="446" t="e">
        <f>IF(OR($B140="",MIN(AO$38,$D$19)&lt;MAX($P$34*($B140+IF($R$17="Distrato",$I$38-1,0)),IF(AND($L$37=0,$P$34=0),"",$L$37-1),IF($R$17="Distrato",$E140,0))),0,YEARFRAC(MAX($P$34*($B140+IF($R$17="Distrato",$I$38-1,0)),IF(AND($L$37=0,$P$34=0),"",$L$37-1),IF($R$17="Distrato",$E140,0)),MIN(AO$38,$D$19),$P$20))-SUM($P140:AN140)</f>
        <v>#VALUE!</v>
      </c>
      <c r="AP140" s="446" t="e">
        <f>IF(OR($B140="",MIN(AP$38,$D$19)&lt;MAX($P$34*($B140+IF($R$17="Distrato",$I$38-1,0)),IF(AND($L$37=0,$P$34=0),"",$L$37-1),IF($R$17="Distrato",$E140,0))),0,YEARFRAC(MAX($P$34*($B140+IF($R$17="Distrato",$I$38-1,0)),IF(AND($L$37=0,$P$34=0),"",$L$37-1),IF($R$17="Distrato",$E140,0)),MIN(AP$38,$D$19),$P$20))-SUM($P140:AO140)</f>
        <v>#VALUE!</v>
      </c>
      <c r="AQ140" s="446" t="e">
        <f>IF(OR($B140="",MIN(AQ$38,$D$19)&lt;MAX($P$34*($B140+IF($R$17="Distrato",$I$38-1,0)),IF(AND($L$37=0,$P$34=0),"",$L$37-1),IF($R$17="Distrato",$E140,0))),0,YEARFRAC(MAX($P$34*($B140+IF($R$17="Distrato",$I$38-1,0)),IF(AND($L$37=0,$P$34=0),"",$L$37-1),IF($R$17="Distrato",$E140,0)),MIN(AQ$38,$D$19),$P$20))-SUM($P140:AP140)</f>
        <v>#VALUE!</v>
      </c>
      <c r="AR140" s="446" t="e">
        <f>IF(OR($B140="",MIN(AR$38,$D$19)&lt;MAX($P$34*($B140+IF($R$17="Distrato",$I$38-1,0)),IF(AND($L$37=0,$P$34=0),"",$L$37-1),IF($R$17="Distrato",$E140,0))),0,YEARFRAC(MAX($P$34*($B140+IF($R$17="Distrato",$I$38-1,0)),IF(AND($L$37=0,$P$34=0),"",$L$37-1),IF($R$17="Distrato",$E140,0)),MIN(AR$38,$D$19),$P$20))-SUM($P140:AQ140)</f>
        <v>#VALUE!</v>
      </c>
      <c r="AS140" s="446" t="e">
        <f>IF(OR($B140="",MIN(AS$38,$D$19)&lt;MAX($P$34*($B140+IF($R$17="Distrato",$I$38-1,0)),IF(AND($L$37=0,$P$34=0),"",$L$37-1),IF($R$17="Distrato",$E140,0))),0,YEARFRAC(MAX($P$34*($B140+IF($R$17="Distrato",$I$38-1,0)),IF(AND($L$37=0,$P$34=0),"",$L$37-1),IF($R$17="Distrato",$E140,0)),MIN(AS$38,$D$19),$P$20))-SUM($P140:AR140)</f>
        <v>#VALUE!</v>
      </c>
      <c r="AT140" s="446" t="e">
        <f>IF(OR($B140="",MIN(AT$38,$D$19)&lt;MAX($P$34*($B140+IF($R$17="Distrato",$I$38-1,0)),IF(AND($L$37=0,$P$34=0),"",$L$37-1),IF($R$17="Distrato",$E140,0))),0,YEARFRAC(MAX($P$34*($B140+IF($R$17="Distrato",$I$38-1,0)),IF(AND($L$37=0,$P$34=0),"",$L$37-1),IF($R$17="Distrato",$E140,0)),MIN(AT$38,$D$19),$P$20))-SUM($P140:AS140)</f>
        <v>#VALUE!</v>
      </c>
      <c r="AU140" s="446" t="e">
        <f>IF(OR($B140="",MIN(AU$38,$D$19)&lt;MAX($P$34*($B140+IF($R$17="Distrato",$I$38-1,0)),IF(AND($L$37=0,$P$34=0),"",$L$37-1),IF($R$17="Distrato",$E140,0))),0,YEARFRAC(MAX($P$34*($B140+IF($R$17="Distrato",$I$38-1,0)),IF(AND($L$37=0,$P$34=0),"",$L$37-1),IF($R$17="Distrato",$E140,0)),MIN(AU$38,$D$19),$P$20))-SUM($P140:AT140)</f>
        <v>#VALUE!</v>
      </c>
      <c r="AV140" s="446" t="e">
        <f>IF(OR($B140="",MIN(AV$38,$D$19)&lt;MAX($P$34*($B140+IF($R$17="Distrato",$I$38-1,0)),IF(AND($L$37=0,$P$34=0),"",$L$37-1),IF($R$17="Distrato",$E140,0))),0,YEARFRAC(MAX($P$34*($B140+IF($R$17="Distrato",$I$38-1,0)),IF(AND($L$37=0,$P$34=0),"",$L$37-1),IF($R$17="Distrato",$E140,0)),MIN(AV$38,$D$19),$P$20))-SUM($P140:AU140)</f>
        <v>#VALUE!</v>
      </c>
      <c r="AW140" s="446" t="e">
        <f>IF(OR($B140="",MIN(AW$38,$D$19)&lt;MAX($P$34*($B140+IF($R$17="Distrato",$I$38-1,0)),IF(AND($L$37=0,$P$34=0),"",$L$37-1),IF($R$17="Distrato",$E140,0))),0,YEARFRAC(MAX($P$34*($B140+IF($R$17="Distrato",$I$38-1,0)),IF(AND($L$37=0,$P$34=0),"",$L$37-1),IF($R$17="Distrato",$E140,0)),MIN(AW$38,$D$19),$P$20))-SUM($P140:AV140)</f>
        <v>#VALUE!</v>
      </c>
      <c r="AX140" s="446" t="e">
        <f>IF(OR($B140="",MIN(AX$38,$D$19)&lt;MAX($P$34*($B140+IF($R$17="Distrato",$I$38-1,0)),IF(AND($L$37=0,$P$34=0),"",$L$37-1),IF($R$17="Distrato",$E140,0))),0,YEARFRAC(MAX($P$34*($B140+IF($R$17="Distrato",$I$38-1,0)),IF(AND($L$37=0,$P$34=0),"",$L$37-1),IF($R$17="Distrato",$E140,0)),MIN(AX$38,$D$19),$P$20))-SUM($P140:AW140)</f>
        <v>#VALUE!</v>
      </c>
      <c r="AY140" s="446" t="e">
        <f>IF(OR($B140="",MIN(AY$38,$D$19)&lt;MAX($P$34*($B140+IF($R$17="Distrato",$I$38-1,0)),IF(AND($L$37=0,$P$34=0),"",$L$37-1),IF($R$17="Distrato",$E140,0))),0,YEARFRAC(MAX($P$34*($B140+IF($R$17="Distrato",$I$38-1,0)),IF(AND($L$37=0,$P$34=0),"",$L$37-1),IF($R$17="Distrato",$E140,0)),MIN(AY$38,$D$19),$P$20))-SUM($P140:AX140)</f>
        <v>#VALUE!</v>
      </c>
      <c r="AZ140" s="446" t="e">
        <f>IF(OR($B140="",MIN(AZ$38,$D$19)&lt;MAX($P$34*($B140+IF($R$17="Distrato",$I$38-1,0)),IF(AND($L$37=0,$P$34=0),"",$L$37-1),IF($R$17="Distrato",$E140,0))),0,YEARFRAC(MAX($P$34*($B140+IF($R$17="Distrato",$I$38-1,0)),IF(AND($L$37=0,$P$34=0),"",$L$37-1),IF($R$17="Distrato",$E140,0)),MIN(AZ$38,$D$19),$P$20))-SUM($P140:AY140)</f>
        <v>#VALUE!</v>
      </c>
      <c r="BA140" s="446" t="e">
        <f>IF(OR($B140="",MIN(BA$38,$D$19)&lt;MAX($P$34*($B140+IF($R$17="Distrato",$I$38-1,0)),IF(AND($L$37=0,$P$34=0),"",$L$37-1),IF($R$17="Distrato",$E140,0))),0,YEARFRAC(MAX($P$34*($B140+IF($R$17="Distrato",$I$38-1,0)),IF(AND($L$37=0,$P$34=0),"",$L$37-1),IF($R$17="Distrato",$E140,0)),MIN(BA$38,$D$19),$P$20))-SUM($P140:AZ140)</f>
        <v>#VALUE!</v>
      </c>
      <c r="BB140" s="447"/>
      <c r="BF140" s="446">
        <f t="shared" si="21"/>
        <v>0</v>
      </c>
      <c r="BG140" s="446">
        <f>IF($E140=0,0,IF(MIN(BG$38,$E140)&lt;MAX($P$34*($B140+$I$38-1),IF(AND($L$37=0,$P$34=0),"",$L$37-1)),0,YEARFRAC(MAX($P$34*($B140+$I$38-1),IF(AND($L$37=0,$P$34=0),"",$L$37-1)),MIN(BG$38,$E140),$P$20))-SUM($BF140:BF140))</f>
        <v>0</v>
      </c>
      <c r="BH140" s="446">
        <f>IF($E140=0,0,IF(MIN(BH$38,$E140)&lt;MAX($P$34*($B140+$I$38-1),IF(AND($L$37=0,$P$34=0),"",$L$37-1)),0,YEARFRAC(MAX($P$34*($B140+$I$38-1),IF(AND($L$37=0,$P$34=0),"",$L$37-1)),MIN(BH$38,$E140),$P$20))-SUM($BF140:BG140))</f>
        <v>0</v>
      </c>
      <c r="BI140" s="446">
        <f>IF($E140=0,0,IF(MIN(BI$38,$E140)&lt;MAX($P$34*($B140+$I$38-1),IF(AND($L$37=0,$P$34=0),"",$L$37-1)),0,YEARFRAC(MAX($P$34*($B140+$I$38-1),IF(AND($L$37=0,$P$34=0),"",$L$37-1)),MIN(BI$38,$E140),$P$20))-SUM($BF140:BH140))</f>
        <v>0</v>
      </c>
      <c r="BJ140" s="446">
        <f>IF($E140=0,0,IF(MIN(BJ$38,$E140)&lt;MAX($P$34*($B140+$I$38-1),IF(AND($L$37=0,$P$34=0),"",$L$37-1)),0,YEARFRAC(MAX($P$34*($B140+$I$38-1),IF(AND($L$37=0,$P$34=0),"",$L$37-1)),MIN(BJ$38,$E140),$P$20))-SUM($BF140:BI140))</f>
        <v>0</v>
      </c>
      <c r="BK140" s="446">
        <f>IF($E140=0,0,IF(MIN(BK$38,$E140)&lt;MAX($P$34*($B140+$I$38-1),IF(AND($L$37=0,$P$34=0),"",$L$37-1)),0,YEARFRAC(MAX($P$34*($B140+$I$38-1),IF(AND($L$37=0,$P$34=0),"",$L$37-1)),MIN(BK$38,$E140),$P$20))-SUM($BF140:BJ140))</f>
        <v>0</v>
      </c>
      <c r="BL140" s="446">
        <f>IF($E140=0,0,IF(MIN(BL$38,$E140)&lt;MAX($P$34*($B140+$I$38-1),IF(AND($L$37=0,$P$34=0),"",$L$37-1)),0,YEARFRAC(MAX($P$34*($B140+$I$38-1),IF(AND($L$37=0,$P$34=0),"",$L$37-1)),MIN(BL$38,$E140),$P$20))-SUM($BF140:BK140))</f>
        <v>0</v>
      </c>
      <c r="BM140" s="446">
        <f>IF($E140=0,0,IF(MIN(BM$38,$E140)&lt;MAX($P$34*($B140+$I$38-1),IF(AND($L$37=0,$P$34=0),"",$L$37-1)),0,YEARFRAC(MAX($P$34*($B140+$I$38-1),IF(AND($L$37=0,$P$34=0),"",$L$37-1)),MIN(BM$38,$E140),$P$20))-SUM($BF140:BL140))</f>
        <v>0</v>
      </c>
      <c r="BN140" s="446">
        <f>IF($E140=0,0,IF(MIN(BN$38,$E140)&lt;MAX($P$34*($B140+$I$38-1),IF(AND($L$37=0,$P$34=0),"",$L$37-1)),0,YEARFRAC(MAX($P$34*($B140+$I$38-1),IF(AND($L$37=0,$P$34=0),"",$L$37-1)),MIN(BN$38,$E140),$P$20))-SUM($BF140:BM140))</f>
        <v>0</v>
      </c>
      <c r="BO140" s="446">
        <f>IF($E140=0,0,IF(MIN(BO$38,$E140)&lt;MAX($P$34*($B140+$I$38-1),IF(AND($L$37=0,$P$34=0),"",$L$37-1)),0,YEARFRAC(MAX($P$34*($B140+$I$38-1),IF(AND($L$37=0,$P$34=0),"",$L$37-1)),MIN(BO$38,$E140),$P$20))-SUM($BF140:BN140))</f>
        <v>0</v>
      </c>
      <c r="BP140" s="446">
        <f>IF($E140=0,0,IF(MIN(BP$38,$E140)&lt;MAX($P$34*($B140+$I$38-1),IF(AND($L$37=0,$P$34=0),"",$L$37-1)),0,YEARFRAC(MAX($P$34*($B140+$I$38-1),IF(AND($L$37=0,$P$34=0),"",$L$37-1)),MIN(BP$38,$E140),$P$20))-SUM($BF140:BO140))</f>
        <v>0</v>
      </c>
      <c r="BQ140" s="446">
        <f>IF($E140=0,0,IF(MIN(BQ$38,$E140)&lt;MAX($P$34*($B140+$I$38-1),IF(AND($L$37=0,$P$34=0),"",$L$37-1)),0,YEARFRAC(MAX($P$34*($B140+$I$38-1),IF(AND($L$37=0,$P$34=0),"",$L$37-1)),MIN(BQ$38,$E140),$P$20))-SUM($BF140:BP140))</f>
        <v>0</v>
      </c>
      <c r="BR140" s="446">
        <f>IF($E140=0,0,IF(MIN(BR$38,$E140)&lt;MAX($P$34*($B140+$I$38-1),IF(AND($L$37=0,$P$34=0),"",$L$37-1)),0,YEARFRAC(MAX($P$34*($B140+$I$38-1),IF(AND($L$37=0,$P$34=0),"",$L$37-1)),MIN(BR$38,$E140),$P$20))-SUM($BF140:BQ140))</f>
        <v>0</v>
      </c>
      <c r="BS140" s="446">
        <f>IF($E140=0,0,IF(MIN(BS$38,$E140)&lt;MAX($P$34*($B140+$I$38-1),IF(AND($L$37=0,$P$34=0),"",$L$37-1)),0,YEARFRAC(MAX($P$34*($B140+$I$38-1),IF(AND($L$37=0,$P$34=0),"",$L$37-1)),MIN(BS$38,$E140),$P$20))-SUM($BF140:BR140))</f>
        <v>0</v>
      </c>
      <c r="BT140" s="446">
        <f>IF($E140=0,0,IF(MIN(BT$38,$E140)&lt;MAX($P$34*($B140+$I$38-1),IF(AND($L$37=0,$P$34=0),"",$L$37-1)),0,YEARFRAC(MAX($P$34*($B140+$I$38-1),IF(AND($L$37=0,$P$34=0),"",$L$37-1)),MIN(BT$38,$E140),$P$20))-SUM($BF140:BS140))</f>
        <v>0</v>
      </c>
      <c r="BU140" s="446">
        <f>IF($E140=0,0,IF(MIN(BU$38,$E140)&lt;MAX($P$34*($B140+$I$38-1),IF(AND($L$37=0,$P$34=0),"",$L$37-1)),0,YEARFRAC(MAX($P$34*($B140+$I$38-1),IF(AND($L$37=0,$P$34=0),"",$L$37-1)),MIN(BU$38,$E140),$P$20))-SUM($BF140:BT140))</f>
        <v>0</v>
      </c>
      <c r="BV140" s="446">
        <f>IF($E140=0,0,IF(MIN(BV$38,$E140)&lt;MAX($P$34*($B140+$I$38-1),IF(AND($L$37=0,$P$34=0),"",$L$37-1)),0,YEARFRAC(MAX($P$34*($B140+$I$38-1),IF(AND($L$37=0,$P$34=0),"",$L$37-1)),MIN(BV$38,$E140),$P$20))-SUM($BF140:BU140))</f>
        <v>0</v>
      </c>
      <c r="BW140" s="446">
        <f>IF($E140=0,0,IF(MIN(BW$38,$E140)&lt;MAX($P$34*($B140+$I$38-1),IF(AND($L$37=0,$P$34=0),"",$L$37-1)),0,YEARFRAC(MAX($P$34*($B140+$I$38-1),IF(AND($L$37=0,$P$34=0),"",$L$37-1)),MIN(BW$38,$E140),$P$20))-SUM($BF140:BV140))</f>
        <v>0</v>
      </c>
      <c r="BX140" s="446">
        <f>IF($E140=0,0,IF(MIN(BX$38,$E140)&lt;MAX($P$34*($B140+$I$38-1),IF(AND($L$37=0,$P$34=0),"",$L$37-1)),0,YEARFRAC(MAX($P$34*($B140+$I$38-1),IF(AND($L$37=0,$P$34=0),"",$L$37-1)),MIN(BX$38,$E140),$P$20))-SUM($BF140:BW140))</f>
        <v>0</v>
      </c>
      <c r="BY140" s="446">
        <f>IF($E140=0,0,IF(MIN(BY$38,$E140)&lt;MAX($P$34*($B140+$I$38-1),IF(AND($L$37=0,$P$34=0),"",$L$37-1)),0,YEARFRAC(MAX($P$34*($B140+$I$38-1),IF(AND($L$37=0,$P$34=0),"",$L$37-1)),MIN(BY$38,$E140),$P$20))-SUM($BF140:BX140))</f>
        <v>0</v>
      </c>
      <c r="BZ140" s="446">
        <f>IF($E140=0,0,IF(MIN(BZ$38,$E140)&lt;MAX($P$34*($B140+$I$38-1),IF(AND($L$37=0,$P$34=0),"",$L$37-1)),0,YEARFRAC(MAX($P$34*($B140+$I$38-1),IF(AND($L$37=0,$P$34=0),"",$L$37-1)),MIN(BZ$38,$E140),$P$20))-SUM($BF140:BY140))</f>
        <v>0</v>
      </c>
      <c r="CA140" s="446">
        <f>IF($E140=0,0,IF(MIN(CA$38,$E140)&lt;MAX($P$34*($B140+$I$38-1),IF(AND($L$37=0,$P$34=0),"",$L$37-1)),0,YEARFRAC(MAX($P$34*($B140+$I$38-1),IF(AND($L$37=0,$P$34=0),"",$L$37-1)),MIN(CA$38,$E140),$P$20))-SUM($BF140:BZ140))</f>
        <v>0</v>
      </c>
      <c r="CB140" s="446">
        <f>IF($E140=0,0,IF(MIN(CB$38,$E140)&lt;MAX($P$34*($B140+$I$38-1),IF(AND($L$37=0,$P$34=0),"",$L$37-1)),0,YEARFRAC(MAX($P$34*($B140+$I$38-1),IF(AND($L$37=0,$P$34=0),"",$L$37-1)),MIN(CB$38,$E140),$P$20))-SUM($BF140:CA140))</f>
        <v>0</v>
      </c>
      <c r="CC140" s="446">
        <f>IF($E140=0,0,IF(MIN(CC$38,$E140)&lt;MAX($P$34*($B140+$I$38-1),IF(AND($L$37=0,$P$34=0),"",$L$37-1)),0,YEARFRAC(MAX($P$34*($B140+$I$38-1),IF(AND($L$37=0,$P$34=0),"",$L$37-1)),MIN(CC$38,$E140),$P$20))-SUM($BF140:CB140))</f>
        <v>0</v>
      </c>
      <c r="CD140" s="446">
        <f>IF($E140=0,0,IF(MIN(CD$38,$E140)&lt;MAX($P$34*($B140+$I$38-1),IF(AND($L$37=0,$P$34=0),"",$L$37-1)),0,YEARFRAC(MAX($P$34*($B140+$I$38-1),IF(AND($L$37=0,$P$34=0),"",$L$37-1)),MIN(CD$38,$E140),$P$20))-SUM($BF140:CC140))</f>
        <v>0</v>
      </c>
      <c r="CE140" s="446">
        <f>IF($E140=0,0,IF(MIN(CE$38,$E140)&lt;MAX($P$34*($B140+$I$38-1),IF(AND($L$37=0,$P$34=0),"",$L$37-1)),0,YEARFRAC(MAX($P$34*($B140+$I$38-1),IF(AND($L$37=0,$P$34=0),"",$L$37-1)),MIN(CE$38,$E140),$P$20))-SUM($BF140:CD140))</f>
        <v>0</v>
      </c>
      <c r="CF140" s="446">
        <f>IF($E140=0,0,IF(MIN(CF$38,$E140)&lt;MAX($P$34*($B140+$I$38-1),IF(AND($L$37=0,$P$34=0),"",$L$37-1)),0,YEARFRAC(MAX($P$34*($B140+$I$38-1),IF(AND($L$37=0,$P$34=0),"",$L$37-1)),MIN(CF$38,$E140),$P$20))-SUM($BF140:CE140))</f>
        <v>0</v>
      </c>
      <c r="CG140" s="446">
        <f>IF($E140=0,0,IF(MIN(CG$38,$E140)&lt;MAX($P$34*($B140+$I$38-1),IF(AND($L$37=0,$P$34=0),"",$L$37-1)),0,YEARFRAC(MAX($P$34*($B140+$I$38-1),IF(AND($L$37=0,$P$34=0),"",$L$37-1)),MIN(CG$38,$E140),$P$20))-SUM($BF140:CF140))</f>
        <v>0</v>
      </c>
      <c r="CH140" s="446">
        <f>IF($E140=0,0,IF(MIN(CH$38,$E140)&lt;MAX($P$34*($B140+$I$38-1),IF(AND($L$37=0,$P$34=0),"",$L$37-1)),0,YEARFRAC(MAX($P$34*($B140+$I$38-1),IF(AND($L$37=0,$P$34=0),"",$L$37-1)),MIN(CH$38,$E140),$P$20))-SUM($BF140:CG140))</f>
        <v>0</v>
      </c>
      <c r="CI140" s="446">
        <f>IF($E140=0,0,IF(MIN(CI$38,$E140)&lt;MAX($P$34*($B140+$I$38-1),IF(AND($L$37=0,$P$34=0),"",$L$37-1)),0,YEARFRAC(MAX($P$34*($B140+$I$38-1),IF(AND($L$37=0,$P$34=0),"",$L$37-1)),MIN(CI$38,$E140),$P$20))-SUM($BF140:CH140))</f>
        <v>0</v>
      </c>
      <c r="CJ140" s="446">
        <f>IF($E140=0,0,IF(MIN(CJ$38,$E140)&lt;MAX($P$34*($B140+$I$38-1),IF(AND($L$37=0,$P$34=0),"",$L$37-1)),0,YEARFRAC(MAX($P$34*($B140+$I$38-1),IF(AND($L$37=0,$P$34=0),"",$L$37-1)),MIN(CJ$38,$E140),$P$20))-SUM($BF140:CI140))</f>
        <v>0</v>
      </c>
      <c r="CK140" s="446">
        <f>IF($E140=0,0,IF(MIN(CK$38,$E140)&lt;MAX($P$34*($B140+$I$38-1),IF(AND($L$37=0,$P$34=0),"",$L$37-1)),0,YEARFRAC(MAX($P$34*($B140+$I$38-1),IF(AND($L$37=0,$P$34=0),"",$L$37-1)),MIN(CK$38,$E140),$P$20))-SUM($BF140:CJ140))</f>
        <v>0</v>
      </c>
      <c r="CL140" s="446">
        <f>IF($E140=0,0,IF(MIN(CL$38,$E140)&lt;MAX($P$34*($B140+$I$38-1),IF(AND($L$37=0,$P$34=0),"",$L$37-1)),0,YEARFRAC(MAX($P$34*($B140+$I$38-1),IF(AND($L$37=0,$P$34=0),"",$L$37-1)),MIN(CL$38,$E140),$P$20))-SUM($BF140:CK140))</f>
        <v>0</v>
      </c>
      <c r="CM140" s="446">
        <f>IF($E140=0,0,IF(MIN(CM$38,$E140)&lt;MAX($P$34*($B140+$I$38-1),IF(AND($L$37=0,$P$34=0),"",$L$37-1)),0,YEARFRAC(MAX($P$34*($B140+$I$38-1),IF(AND($L$37=0,$P$34=0),"",$L$37-1)),MIN(CM$38,$E140),$P$20))-SUM($BF140:CL140))</f>
        <v>0</v>
      </c>
      <c r="CN140" s="446">
        <f>IF($E140=0,0,IF(MIN(CN$38,$E140)&lt;MAX($P$34*($B140+$I$38-1),IF(AND($L$37=0,$P$34=0),"",$L$37-1)),0,YEARFRAC(MAX($P$34*($B140+$I$38-1),IF(AND($L$37=0,$P$34=0),"",$L$37-1)),MIN(CN$38,$E140),$P$20))-SUM($BF140:CM140))</f>
        <v>0</v>
      </c>
      <c r="CO140" s="446">
        <f>IF($E140=0,0,IF(MIN(CO$38,$E140)&lt;MAX($P$34*($B140+$I$38-1),IF(AND($L$37=0,$P$34=0),"",$L$37-1)),0,YEARFRAC(MAX($P$34*($B140+$I$38-1),IF(AND($L$37=0,$P$34=0),"",$L$37-1)),MIN(CO$38,$E140),$P$20))-SUM($BF140:CN140))</f>
        <v>0</v>
      </c>
      <c r="CP140" s="446">
        <f>IF($E140=0,0,IF(MIN(CP$38,$E140)&lt;MAX($P$34*($B140+$I$38-1),IF(AND($L$37=0,$P$34=0),"",$L$37-1)),0,YEARFRAC(MAX($P$34*($B140+$I$38-1),IF(AND($L$37=0,$P$34=0),"",$L$37-1)),MIN(CP$38,$E140),$P$20))-SUM($BF140:CO140))</f>
        <v>0</v>
      </c>
      <c r="CQ140" s="446">
        <f>IF($E140=0,0,IF(MIN(CQ$38,$E140)&lt;MAX($P$34*($B140+$I$38-1),IF(AND($L$37=0,$P$34=0),"",$L$37-1)),0,YEARFRAC(MAX($P$34*($B140+$I$38-1),IF(AND($L$37=0,$P$34=0),"",$L$37-1)),MIN(CQ$38,$E140),$P$20))-SUM($BF140:CP140))</f>
        <v>0</v>
      </c>
    </row>
    <row r="141" spans="1:95" s="446" customFormat="1" ht="11.25" hidden="1" customHeight="1" x14ac:dyDescent="0.2">
      <c r="A141" s="152"/>
      <c r="B141" s="153" t="str">
        <f t="shared" si="26"/>
        <v/>
      </c>
      <c r="C141" s="29" t="str">
        <f>IF(B141="","",IF($L$35="SELIC - TRIBUTOS",VLOOKUP(DATE(YEAR($D$19),MONTH($D$19)-1,1),ÍNDICES!$A:$DE,HLOOKUP($BL$25,ÍNDICES!$B$3:$T$4,2)+11)-VLOOKUP(B141,ÍNDICES!$A:$DE,HLOOKUP($BL$25,ÍNDICES!$B$3:$T$4,2)+11)+1%,IF(C$38=$W$26,$J$35,IF(ISERROR(IF(B141&gt;$D$19,1,VLOOKUP(DATE(YEAR(B141),MONTH(B141)+IF($C$35=$S$23,1,0),1),ÍNDICES!$A:$DE,$Z$35+1))),"",IF(B141&gt;$D$19,1,VLOOKUP(DATE(YEAR(B141),MONTH(B141)+IF($C$35=$S$23,1,0),1),ÍNDICES!$A:$DE,$Z$35+1))))))</f>
        <v/>
      </c>
      <c r="D141" s="154" t="str">
        <f>IF(ISERROR(IF(OR($D$38=$Y$27,$B141=""),"",VLOOKUP(B141,ÍNDICES!A:DE,AF$35+1))),"",IF(OR($D$38=$Y$27,$B141=""),"",VLOOKUP(B141,ÍNDICES!A:DE,AF$35+1)))</f>
        <v/>
      </c>
      <c r="E141" s="153"/>
      <c r="F141" s="29" t="str">
        <f>IF(E141="","",IF($L$35="SELIC - TRIBUTOS",VLOOKUP(DATE(YEAR($D$19),MONTH($D$19)-1,1),ÍNDICES!$A:$DE,HLOOKUP($BL$25,ÍNDICES!$B$3:$T$4,2)+11)-VLOOKUP(E141,ÍNDICES!$A:$DE,HLOOKUP($BL$25,ÍNDICES!$B$3:$T$4,2)+11)+1%,IF(F$38=$W$26,$J$35,IF(ISERROR(IF(E141&gt;$D$19,1,VLOOKUP(DATE(YEAR(E141),MONTH(E141)+IF($C$35=$S$23,1,0),1),ÍNDICES!$A:$DE,$Z$35+1))),"",IF(E141&gt;$D$19,1,VLOOKUP(DATE(YEAR(E141),MONTH(E141)+IF($C$35=$S$23,1,0),1),ÍNDICES!$A:$DE,$Z$35+1))))))</f>
        <v/>
      </c>
      <c r="G141" s="155"/>
      <c r="H141" s="156" t="str">
        <f t="shared" si="22"/>
        <v/>
      </c>
      <c r="I141" s="29" t="str">
        <f t="shared" si="16"/>
        <v/>
      </c>
      <c r="J141" s="5">
        <f t="shared" si="17"/>
        <v>0</v>
      </c>
      <c r="K141" s="20">
        <f t="shared" ca="1" si="18"/>
        <v>0</v>
      </c>
      <c r="L141" s="5">
        <f t="shared" ca="1" si="19"/>
        <v>0</v>
      </c>
      <c r="M141" s="64">
        <f t="shared" si="23"/>
        <v>0</v>
      </c>
      <c r="N141" s="61">
        <f t="shared" ca="1" si="24"/>
        <v>0</v>
      </c>
      <c r="O141" s="5">
        <f t="shared" ca="1" si="25"/>
        <v>0</v>
      </c>
      <c r="P141" s="446" t="e">
        <f t="shared" si="20"/>
        <v>#VALUE!</v>
      </c>
      <c r="Q141" s="446" t="e">
        <f>IF(OR($B141="",MIN(Q$38,$D$19)&lt;MAX($P$34*($B141+IF($R$17="Distrato",$I$38-1,0)),IF(AND($L$37=0,$P$34=0),"",$L$37-1),IF($R$17="Distrato",$E141,0))),0,YEARFRAC(MAX($P$34*($B141+IF($R$17="Distrato",$I$38-1,0)),IF(AND($L$37=0,$P$34=0),"",$L$37-1),IF($R$17="Distrato",$E141,0)),MIN(Q$38,$D$19),$P$20))-SUM($P141:P141)</f>
        <v>#VALUE!</v>
      </c>
      <c r="R141" s="446" t="e">
        <f>IF(OR($B141="",MIN(R$38,$D$19)&lt;MAX($P$34*($B141+IF($R$17="Distrato",$I$38-1,0)),IF(AND($L$37=0,$P$34=0),"",$L$37-1),IF($R$17="Distrato",$E141,0))),0,YEARFRAC(MAX($P$34*($B141+IF($R$17="Distrato",$I$38-1,0)),IF(AND($L$37=0,$P$34=0),"",$L$37-1),IF($R$17="Distrato",$E141,0)),MIN(R$38,$D$19),$P$20))-SUM($P141:Q141)</f>
        <v>#VALUE!</v>
      </c>
      <c r="S141" s="446" t="e">
        <f>IF(OR($B141="",MIN(S$38,$D$19)&lt;MAX($P$34*($B141+IF($R$17="Distrato",$I$38-1,0)),IF(AND($L$37=0,$P$34=0),"",$L$37-1),IF($R$17="Distrato",$E141,0))),0,YEARFRAC(MAX($P$34*($B141+IF($R$17="Distrato",$I$38-1,0)),IF(AND($L$37=0,$P$34=0),"",$L$37-1),IF($R$17="Distrato",$E141,0)),MIN(S$38,$D$19),$P$20))-SUM($P141:R141)</f>
        <v>#VALUE!</v>
      </c>
      <c r="T141" s="446" t="e">
        <f>IF(OR($B141="",MIN(T$38,$D$19)&lt;MAX($P$34*($B141+IF($R$17="Distrato",$I$38-1,0)),IF(AND($L$37=0,$P$34=0),"",$L$37-1),IF($R$17="Distrato",$E141,0))),0,YEARFRAC(MAX($P$34*($B141+IF($R$17="Distrato",$I$38-1,0)),IF(AND($L$37=0,$P$34=0),"",$L$37-1),IF($R$17="Distrato",$E141,0)),MIN(T$38,$D$19),$P$20))-SUM($P141:S141)</f>
        <v>#VALUE!</v>
      </c>
      <c r="U141" s="446" t="e">
        <f>IF(OR($B141="",MIN(U$38,$D$19)&lt;MAX($P$34*($B141+IF($R$17="Distrato",$I$38-1,0)),IF(AND($L$37=0,$P$34=0),"",$L$37-1),IF($R$17="Distrato",$E141,0))),0,YEARFRAC(MAX($P$34*($B141+IF($R$17="Distrato",$I$38-1,0)),IF(AND($L$37=0,$P$34=0),"",$L$37-1),IF($R$17="Distrato",$E141,0)),MIN(U$38,$D$19),$P$20))-SUM($P141:T141)</f>
        <v>#VALUE!</v>
      </c>
      <c r="V141" s="446" t="e">
        <f>IF(OR($B141="",MIN(V$38,$D$19)&lt;MAX($P$34*($B141+IF($R$17="Distrato",$I$38-1,0)),IF(AND($L$37=0,$P$34=0),"",$L$37-1),IF($R$17="Distrato",$E141,0))),0,YEARFRAC(MAX($P$34*($B141+IF($R$17="Distrato",$I$38-1,0)),IF(AND($L$37=0,$P$34=0),"",$L$37-1),IF($R$17="Distrato",$E141,0)),MIN(V$38,$D$19),$P$20))-SUM($P141:U141)</f>
        <v>#VALUE!</v>
      </c>
      <c r="W141" s="446" t="e">
        <f>IF(OR($B141="",MIN(W$38,$D$19)&lt;MAX($P$34*($B141+IF($R$17="Distrato",$I$38-1,0)),IF(AND($L$37=0,$P$34=0),"",$L$37-1),IF($R$17="Distrato",$E141,0))),0,YEARFRAC(MAX($P$34*($B141+IF($R$17="Distrato",$I$38-1,0)),IF(AND($L$37=0,$P$34=0),"",$L$37-1),IF($R$17="Distrato",$E141,0)),MIN(W$38,$D$19),$P$20))-SUM($P141:V141)</f>
        <v>#VALUE!</v>
      </c>
      <c r="X141" s="446" t="e">
        <f>IF(OR($B141="",MIN(X$38,$D$19)&lt;MAX($P$34*($B141+IF($R$17="Distrato",$I$38-1,0)),IF(AND($L$37=0,$P$34=0),"",$L$37-1),IF($R$17="Distrato",$E141,0))),0,YEARFRAC(MAX($P$34*($B141+IF($R$17="Distrato",$I$38-1,0)),IF(AND($L$37=0,$P$34=0),"",$L$37-1),IF($R$17="Distrato",$E141,0)),MIN(X$38,$D$19),$P$20))-SUM($P141:W141)</f>
        <v>#VALUE!</v>
      </c>
      <c r="Y141" s="446" t="e">
        <f>IF(OR($B141="",MIN(Y$38,$D$19)&lt;MAX($P$34*($B141+IF($R$17="Distrato",$I$38-1,0)),IF(AND($L$37=0,$P$34=0),"",$L$37-1),IF($R$17="Distrato",$E141,0))),0,YEARFRAC(MAX($P$34*($B141+IF($R$17="Distrato",$I$38-1,0)),IF(AND($L$37=0,$P$34=0),"",$L$37-1),IF($R$17="Distrato",$E141,0)),MIN(Y$38,$D$19),$P$20))-SUM($P141:X141)</f>
        <v>#VALUE!</v>
      </c>
      <c r="Z141" s="446" t="e">
        <f>IF(OR($B141="",MIN(Z$38,$D$19)&lt;MAX($P$34*($B141+IF($R$17="Distrato",$I$38-1,0)),IF(AND($L$37=0,$P$34=0),"",$L$37-1),IF($R$17="Distrato",$E141,0))),0,YEARFRAC(MAX($P$34*($B141+IF($R$17="Distrato",$I$38-1,0)),IF(AND($L$37=0,$P$34=0),"",$L$37-1),IF($R$17="Distrato",$E141,0)),MIN(Z$38,$D$19),$P$20))-SUM($P141:Y141)</f>
        <v>#VALUE!</v>
      </c>
      <c r="AA141" s="446" t="e">
        <f>IF(OR($B141="",MIN(AA$38,$D$19)&lt;MAX($P$34*($B141+IF($R$17="Distrato",$I$38-1,0)),IF(AND($L$37=0,$P$34=0),"",$L$37-1),IF($R$17="Distrato",$E141,0))),0,YEARFRAC(MAX($P$34*($B141+IF($R$17="Distrato",$I$38-1,0)),IF(AND($L$37=0,$P$34=0),"",$L$37-1),IF($R$17="Distrato",$E141,0)),MIN(AA$38,$D$19),$P$20))-SUM($P141:Z141)</f>
        <v>#VALUE!</v>
      </c>
      <c r="AB141" s="446" t="e">
        <f>IF(OR($B141="",MIN(AB$38,$D$19)&lt;MAX($P$34*($B141+IF($R$17="Distrato",$I$38-1,0)),IF(AND($L$37=0,$P$34=0),"",$L$37-1),IF($R$17="Distrato",$E141,0))),0,YEARFRAC(MAX($P$34*($B141+IF($R$17="Distrato",$I$38-1,0)),IF(AND($L$37=0,$P$34=0),"",$L$37-1),IF($R$17="Distrato",$E141,0)),MIN(AB$38,$D$19),$P$20))-SUM($P141:AA141)</f>
        <v>#VALUE!</v>
      </c>
      <c r="AC141" s="446" t="e">
        <f>IF(OR($B141="",MIN(AC$38,$D$19)&lt;MAX($P$34*($B141+IF($R$17="Distrato",$I$38-1,0)),IF(AND($L$37=0,$P$34=0),"",$L$37-1),IF($R$17="Distrato",$E141,0))),0,YEARFRAC(MAX($P$34*($B141+IF($R$17="Distrato",$I$38-1,0)),IF(AND($L$37=0,$P$34=0),"",$L$37-1),IF($R$17="Distrato",$E141,0)),MIN(AC$38,$D$19),$P$20))-SUM($P141:AB141)</f>
        <v>#VALUE!</v>
      </c>
      <c r="AD141" s="446" t="e">
        <f>IF(OR($B141="",MIN(AD$38,$D$19)&lt;MAX($P$34*($B141+IF($R$17="Distrato",$I$38-1,0)),IF(AND($L$37=0,$P$34=0),"",$L$37-1),IF($R$17="Distrato",$E141,0))),0,YEARFRAC(MAX($P$34*($B141+IF($R$17="Distrato",$I$38-1,0)),IF(AND($L$37=0,$P$34=0),"",$L$37-1),IF($R$17="Distrato",$E141,0)),MIN(AD$38,$D$19),$P$20))-SUM($P141:AC141)</f>
        <v>#VALUE!</v>
      </c>
      <c r="AE141" s="446" t="e">
        <f>IF(OR($B141="",MIN(AE$38,$D$19)&lt;MAX($P$34*($B141+IF($R$17="Distrato",$I$38-1,0)),IF(AND($L$37=0,$P$34=0),"",$L$37-1),IF($R$17="Distrato",$E141,0))),0,YEARFRAC(MAX($P$34*($B141+IF($R$17="Distrato",$I$38-1,0)),IF(AND($L$37=0,$P$34=0),"",$L$37-1),IF($R$17="Distrato",$E141,0)),MIN(AE$38,$D$19),$P$20))-SUM($P141:AD141)</f>
        <v>#VALUE!</v>
      </c>
      <c r="AF141" s="446" t="e">
        <f>IF(OR($B141="",MIN(AF$38,$D$19)&lt;MAX($P$34*($B141+IF($R$17="Distrato",$I$38-1,0)),IF(AND($L$37=0,$P$34=0),"",$L$37-1),IF($R$17="Distrato",$E141,0))),0,YEARFRAC(MAX($P$34*($B141+IF($R$17="Distrato",$I$38-1,0)),IF(AND($L$37=0,$P$34=0),"",$L$37-1),IF($R$17="Distrato",$E141,0)),MIN(AF$38,$D$19),$P$20))-SUM($P141:AE141)</f>
        <v>#VALUE!</v>
      </c>
      <c r="AG141" s="446" t="e">
        <f>IF(OR($B141="",MIN(AG$38,$D$19)&lt;MAX($P$34*($B141+IF($R$17="Distrato",$I$38-1,0)),IF(AND($L$37=0,$P$34=0),"",$L$37-1),IF($R$17="Distrato",$E141,0))),0,YEARFRAC(MAX($P$34*($B141+IF($R$17="Distrato",$I$38-1,0)),IF(AND($L$37=0,$P$34=0),"",$L$37-1),IF($R$17="Distrato",$E141,0)),MIN(AG$38,$D$19),$P$20))-SUM($P141:AF141)</f>
        <v>#VALUE!</v>
      </c>
      <c r="AH141" s="446" t="e">
        <f>IF(OR($B141="",MIN(AH$38,$D$19)&lt;MAX($P$34*($B141+IF($R$17="Distrato",$I$38-1,0)),IF(AND($L$37=0,$P$34=0),"",$L$37-1),IF($R$17="Distrato",$E141,0))),0,YEARFRAC(MAX($P$34*($B141+IF($R$17="Distrato",$I$38-1,0)),IF(AND($L$37=0,$P$34=0),"",$L$37-1),IF($R$17="Distrato",$E141,0)),MIN(AH$38,$D$19),$P$20))-SUM($P141:AG141)</f>
        <v>#VALUE!</v>
      </c>
      <c r="AI141" s="446" t="e">
        <f>IF(OR($B141="",MIN(AI$38,$D$19)&lt;MAX($P$34*($B141+IF($R$17="Distrato",$I$38-1,0)),IF(AND($L$37=0,$P$34=0),"",$L$37-1),IF($R$17="Distrato",$E141,0))),0,YEARFRAC(MAX($P$34*($B141+IF($R$17="Distrato",$I$38-1,0)),IF(AND($L$37=0,$P$34=0),"",$L$37-1),IF($R$17="Distrato",$E141,0)),MIN(AI$38,$D$19),$P$20))-SUM($P141:AH141)</f>
        <v>#VALUE!</v>
      </c>
      <c r="AJ141" s="446" t="e">
        <f>IF(OR($B141="",MIN(AJ$38,$D$19)&lt;MAX($P$34*($B141+IF($R$17="Distrato",$I$38-1,0)),IF(AND($L$37=0,$P$34=0),"",$L$37-1),IF($R$17="Distrato",$E141,0))),0,YEARFRAC(MAX($P$34*($B141+IF($R$17="Distrato",$I$38-1,0)),IF(AND($L$37=0,$P$34=0),"",$L$37-1),IF($R$17="Distrato",$E141,0)),MIN(AJ$38,$D$19),$P$20))-SUM($P141:AI141)</f>
        <v>#VALUE!</v>
      </c>
      <c r="AK141" s="446" t="e">
        <f>IF(OR($B141="",MIN(AK$38,$D$19)&lt;MAX($P$34*($B141+IF($R$17="Distrato",$I$38-1,0)),IF(AND($L$37=0,$P$34=0),"",$L$37-1),IF($R$17="Distrato",$E141,0))),0,YEARFRAC(MAX($P$34*($B141+IF($R$17="Distrato",$I$38-1,0)),IF(AND($L$37=0,$P$34=0),"",$L$37-1),IF($R$17="Distrato",$E141,0)),MIN(AK$38,$D$19),$P$20))-SUM($P141:AJ141)</f>
        <v>#VALUE!</v>
      </c>
      <c r="AL141" s="446" t="e">
        <f>IF(OR($B141="",MIN(AL$38,$D$19)&lt;MAX($P$34*($B141+IF($R$17="Distrato",$I$38-1,0)),IF(AND($L$37=0,$P$34=0),"",$L$37-1),IF($R$17="Distrato",$E141,0))),0,YEARFRAC(MAX($P$34*($B141+IF($R$17="Distrato",$I$38-1,0)),IF(AND($L$37=0,$P$34=0),"",$L$37-1),IF($R$17="Distrato",$E141,0)),MIN(AL$38,$D$19),$P$20))-SUM($P141:AK141)</f>
        <v>#VALUE!</v>
      </c>
      <c r="AM141" s="446" t="e">
        <f>IF(OR($B141="",MIN(AM$38,$D$19)&lt;MAX($P$34*($B141+IF($R$17="Distrato",$I$38-1,0)),IF(AND($L$37=0,$P$34=0),"",$L$37-1),IF($R$17="Distrato",$E141,0))),0,YEARFRAC(MAX($P$34*($B141+IF($R$17="Distrato",$I$38-1,0)),IF(AND($L$37=0,$P$34=0),"",$L$37-1),IF($R$17="Distrato",$E141,0)),MIN(AM$38,$D$19),$P$20))-SUM($P141:AL141)</f>
        <v>#VALUE!</v>
      </c>
      <c r="AN141" s="446" t="e">
        <f>IF(OR($B141="",MIN(AN$38,$D$19)&lt;MAX($P$34*($B141+IF($R$17="Distrato",$I$38-1,0)),IF(AND($L$37=0,$P$34=0),"",$L$37-1),IF($R$17="Distrato",$E141,0))),0,YEARFRAC(MAX($P$34*($B141+IF($R$17="Distrato",$I$38-1,0)),IF(AND($L$37=0,$P$34=0),"",$L$37-1),IF($R$17="Distrato",$E141,0)),MIN(AN$38,$D$19),$P$20))-SUM($P141:AM141)</f>
        <v>#VALUE!</v>
      </c>
      <c r="AO141" s="446" t="e">
        <f>IF(OR($B141="",MIN(AO$38,$D$19)&lt;MAX($P$34*($B141+IF($R$17="Distrato",$I$38-1,0)),IF(AND($L$37=0,$P$34=0),"",$L$37-1),IF($R$17="Distrato",$E141,0))),0,YEARFRAC(MAX($P$34*($B141+IF($R$17="Distrato",$I$38-1,0)),IF(AND($L$37=0,$P$34=0),"",$L$37-1),IF($R$17="Distrato",$E141,0)),MIN(AO$38,$D$19),$P$20))-SUM($P141:AN141)</f>
        <v>#VALUE!</v>
      </c>
      <c r="AP141" s="446" t="e">
        <f>IF(OR($B141="",MIN(AP$38,$D$19)&lt;MAX($P$34*($B141+IF($R$17="Distrato",$I$38-1,0)),IF(AND($L$37=0,$P$34=0),"",$L$37-1),IF($R$17="Distrato",$E141,0))),0,YEARFRAC(MAX($P$34*($B141+IF($R$17="Distrato",$I$38-1,0)),IF(AND($L$37=0,$P$34=0),"",$L$37-1),IF($R$17="Distrato",$E141,0)),MIN(AP$38,$D$19),$P$20))-SUM($P141:AO141)</f>
        <v>#VALUE!</v>
      </c>
      <c r="AQ141" s="446" t="e">
        <f>IF(OR($B141="",MIN(AQ$38,$D$19)&lt;MAX($P$34*($B141+IF($R$17="Distrato",$I$38-1,0)),IF(AND($L$37=0,$P$34=0),"",$L$37-1),IF($R$17="Distrato",$E141,0))),0,YEARFRAC(MAX($P$34*($B141+IF($R$17="Distrato",$I$38-1,0)),IF(AND($L$37=0,$P$34=0),"",$L$37-1),IF($R$17="Distrato",$E141,0)),MIN(AQ$38,$D$19),$P$20))-SUM($P141:AP141)</f>
        <v>#VALUE!</v>
      </c>
      <c r="AR141" s="446" t="e">
        <f>IF(OR($B141="",MIN(AR$38,$D$19)&lt;MAX($P$34*($B141+IF($R$17="Distrato",$I$38-1,0)),IF(AND($L$37=0,$P$34=0),"",$L$37-1),IF($R$17="Distrato",$E141,0))),0,YEARFRAC(MAX($P$34*($B141+IF($R$17="Distrato",$I$38-1,0)),IF(AND($L$37=0,$P$34=0),"",$L$37-1),IF($R$17="Distrato",$E141,0)),MIN(AR$38,$D$19),$P$20))-SUM($P141:AQ141)</f>
        <v>#VALUE!</v>
      </c>
      <c r="AS141" s="446" t="e">
        <f>IF(OR($B141="",MIN(AS$38,$D$19)&lt;MAX($P$34*($B141+IF($R$17="Distrato",$I$38-1,0)),IF(AND($L$37=0,$P$34=0),"",$L$37-1),IF($R$17="Distrato",$E141,0))),0,YEARFRAC(MAX($P$34*($B141+IF($R$17="Distrato",$I$38-1,0)),IF(AND($L$37=0,$P$34=0),"",$L$37-1),IF($R$17="Distrato",$E141,0)),MIN(AS$38,$D$19),$P$20))-SUM($P141:AR141)</f>
        <v>#VALUE!</v>
      </c>
      <c r="AT141" s="446" t="e">
        <f>IF(OR($B141="",MIN(AT$38,$D$19)&lt;MAX($P$34*($B141+IF($R$17="Distrato",$I$38-1,0)),IF(AND($L$37=0,$P$34=0),"",$L$37-1),IF($R$17="Distrato",$E141,0))),0,YEARFRAC(MAX($P$34*($B141+IF($R$17="Distrato",$I$38-1,0)),IF(AND($L$37=0,$P$34=0),"",$L$37-1),IF($R$17="Distrato",$E141,0)),MIN(AT$38,$D$19),$P$20))-SUM($P141:AS141)</f>
        <v>#VALUE!</v>
      </c>
      <c r="AU141" s="446" t="e">
        <f>IF(OR($B141="",MIN(AU$38,$D$19)&lt;MAX($P$34*($B141+IF($R$17="Distrato",$I$38-1,0)),IF(AND($L$37=0,$P$34=0),"",$L$37-1),IF($R$17="Distrato",$E141,0))),0,YEARFRAC(MAX($P$34*($B141+IF($R$17="Distrato",$I$38-1,0)),IF(AND($L$37=0,$P$34=0),"",$L$37-1),IF($R$17="Distrato",$E141,0)),MIN(AU$38,$D$19),$P$20))-SUM($P141:AT141)</f>
        <v>#VALUE!</v>
      </c>
      <c r="AV141" s="446" t="e">
        <f>IF(OR($B141="",MIN(AV$38,$D$19)&lt;MAX($P$34*($B141+IF($R$17="Distrato",$I$38-1,0)),IF(AND($L$37=0,$P$34=0),"",$L$37-1),IF($R$17="Distrato",$E141,0))),0,YEARFRAC(MAX($P$34*($B141+IF($R$17="Distrato",$I$38-1,0)),IF(AND($L$37=0,$P$34=0),"",$L$37-1),IF($R$17="Distrato",$E141,0)),MIN(AV$38,$D$19),$P$20))-SUM($P141:AU141)</f>
        <v>#VALUE!</v>
      </c>
      <c r="AW141" s="446" t="e">
        <f>IF(OR($B141="",MIN(AW$38,$D$19)&lt;MAX($P$34*($B141+IF($R$17="Distrato",$I$38-1,0)),IF(AND($L$37=0,$P$34=0),"",$L$37-1),IF($R$17="Distrato",$E141,0))),0,YEARFRAC(MAX($P$34*($B141+IF($R$17="Distrato",$I$38-1,0)),IF(AND($L$37=0,$P$34=0),"",$L$37-1),IF($R$17="Distrato",$E141,0)),MIN(AW$38,$D$19),$P$20))-SUM($P141:AV141)</f>
        <v>#VALUE!</v>
      </c>
      <c r="AX141" s="446" t="e">
        <f>IF(OR($B141="",MIN(AX$38,$D$19)&lt;MAX($P$34*($B141+IF($R$17="Distrato",$I$38-1,0)),IF(AND($L$37=0,$P$34=0),"",$L$37-1),IF($R$17="Distrato",$E141,0))),0,YEARFRAC(MAX($P$34*($B141+IF($R$17="Distrato",$I$38-1,0)),IF(AND($L$37=0,$P$34=0),"",$L$37-1),IF($R$17="Distrato",$E141,0)),MIN(AX$38,$D$19),$P$20))-SUM($P141:AW141)</f>
        <v>#VALUE!</v>
      </c>
      <c r="AY141" s="446" t="e">
        <f>IF(OR($B141="",MIN(AY$38,$D$19)&lt;MAX($P$34*($B141+IF($R$17="Distrato",$I$38-1,0)),IF(AND($L$37=0,$P$34=0),"",$L$37-1),IF($R$17="Distrato",$E141,0))),0,YEARFRAC(MAX($P$34*($B141+IF($R$17="Distrato",$I$38-1,0)),IF(AND($L$37=0,$P$34=0),"",$L$37-1),IF($R$17="Distrato",$E141,0)),MIN(AY$38,$D$19),$P$20))-SUM($P141:AX141)</f>
        <v>#VALUE!</v>
      </c>
      <c r="AZ141" s="446" t="e">
        <f>IF(OR($B141="",MIN(AZ$38,$D$19)&lt;MAX($P$34*($B141+IF($R$17="Distrato",$I$38-1,0)),IF(AND($L$37=0,$P$34=0),"",$L$37-1),IF($R$17="Distrato",$E141,0))),0,YEARFRAC(MAX($P$34*($B141+IF($R$17="Distrato",$I$38-1,0)),IF(AND($L$37=0,$P$34=0),"",$L$37-1),IF($R$17="Distrato",$E141,0)),MIN(AZ$38,$D$19),$P$20))-SUM($P141:AY141)</f>
        <v>#VALUE!</v>
      </c>
      <c r="BA141" s="446" t="e">
        <f>IF(OR($B141="",MIN(BA$38,$D$19)&lt;MAX($P$34*($B141+IF($R$17="Distrato",$I$38-1,0)),IF(AND($L$37=0,$P$34=0),"",$L$37-1),IF($R$17="Distrato",$E141,0))),0,YEARFRAC(MAX($P$34*($B141+IF($R$17="Distrato",$I$38-1,0)),IF(AND($L$37=0,$P$34=0),"",$L$37-1),IF($R$17="Distrato",$E141,0)),MIN(BA$38,$D$19),$P$20))-SUM($P141:AZ141)</f>
        <v>#VALUE!</v>
      </c>
      <c r="BB141" s="447"/>
      <c r="BF141" s="446">
        <f t="shared" si="21"/>
        <v>0</v>
      </c>
      <c r="BG141" s="446">
        <f>IF($E141=0,0,IF(MIN(BG$38,$E141)&lt;MAX($P$34*($B141+$I$38-1),IF(AND($L$37=0,$P$34=0),"",$L$37-1)),0,YEARFRAC(MAX($P$34*($B141+$I$38-1),IF(AND($L$37=0,$P$34=0),"",$L$37-1)),MIN(BG$38,$E141),$P$20))-SUM($BF141:BF141))</f>
        <v>0</v>
      </c>
      <c r="BH141" s="446">
        <f>IF($E141=0,0,IF(MIN(BH$38,$E141)&lt;MAX($P$34*($B141+$I$38-1),IF(AND($L$37=0,$P$34=0),"",$L$37-1)),0,YEARFRAC(MAX($P$34*($B141+$I$38-1),IF(AND($L$37=0,$P$34=0),"",$L$37-1)),MIN(BH$38,$E141),$P$20))-SUM($BF141:BG141))</f>
        <v>0</v>
      </c>
      <c r="BI141" s="446">
        <f>IF($E141=0,0,IF(MIN(BI$38,$E141)&lt;MAX($P$34*($B141+$I$38-1),IF(AND($L$37=0,$P$34=0),"",$L$37-1)),0,YEARFRAC(MAX($P$34*($B141+$I$38-1),IF(AND($L$37=0,$P$34=0),"",$L$37-1)),MIN(BI$38,$E141),$P$20))-SUM($BF141:BH141))</f>
        <v>0</v>
      </c>
      <c r="BJ141" s="446">
        <f>IF($E141=0,0,IF(MIN(BJ$38,$E141)&lt;MAX($P$34*($B141+$I$38-1),IF(AND($L$37=0,$P$34=0),"",$L$37-1)),0,YEARFRAC(MAX($P$34*($B141+$I$38-1),IF(AND($L$37=0,$P$34=0),"",$L$37-1)),MIN(BJ$38,$E141),$P$20))-SUM($BF141:BI141))</f>
        <v>0</v>
      </c>
      <c r="BK141" s="446">
        <f>IF($E141=0,0,IF(MIN(BK$38,$E141)&lt;MAX($P$34*($B141+$I$38-1),IF(AND($L$37=0,$P$34=0),"",$L$37-1)),0,YEARFRAC(MAX($P$34*($B141+$I$38-1),IF(AND($L$37=0,$P$34=0),"",$L$37-1)),MIN(BK$38,$E141),$P$20))-SUM($BF141:BJ141))</f>
        <v>0</v>
      </c>
      <c r="BL141" s="446">
        <f>IF($E141=0,0,IF(MIN(BL$38,$E141)&lt;MAX($P$34*($B141+$I$38-1),IF(AND($L$37=0,$P$34=0),"",$L$37-1)),0,YEARFRAC(MAX($P$34*($B141+$I$38-1),IF(AND($L$37=0,$P$34=0),"",$L$37-1)),MIN(BL$38,$E141),$P$20))-SUM($BF141:BK141))</f>
        <v>0</v>
      </c>
      <c r="BM141" s="446">
        <f>IF($E141=0,0,IF(MIN(BM$38,$E141)&lt;MAX($P$34*($B141+$I$38-1),IF(AND($L$37=0,$P$34=0),"",$L$37-1)),0,YEARFRAC(MAX($P$34*($B141+$I$38-1),IF(AND($L$37=0,$P$34=0),"",$L$37-1)),MIN(BM$38,$E141),$P$20))-SUM($BF141:BL141))</f>
        <v>0</v>
      </c>
      <c r="BN141" s="446">
        <f>IF($E141=0,0,IF(MIN(BN$38,$E141)&lt;MAX($P$34*($B141+$I$38-1),IF(AND($L$37=0,$P$34=0),"",$L$37-1)),0,YEARFRAC(MAX($P$34*($B141+$I$38-1),IF(AND($L$37=0,$P$34=0),"",$L$37-1)),MIN(BN$38,$E141),$P$20))-SUM($BF141:BM141))</f>
        <v>0</v>
      </c>
      <c r="BO141" s="446">
        <f>IF($E141=0,0,IF(MIN(BO$38,$E141)&lt;MAX($P$34*($B141+$I$38-1),IF(AND($L$37=0,$P$34=0),"",$L$37-1)),0,YEARFRAC(MAX($P$34*($B141+$I$38-1),IF(AND($L$37=0,$P$34=0),"",$L$37-1)),MIN(BO$38,$E141),$P$20))-SUM($BF141:BN141))</f>
        <v>0</v>
      </c>
      <c r="BP141" s="446">
        <f>IF($E141=0,0,IF(MIN(BP$38,$E141)&lt;MAX($P$34*($B141+$I$38-1),IF(AND($L$37=0,$P$34=0),"",$L$37-1)),0,YEARFRAC(MAX($P$34*($B141+$I$38-1),IF(AND($L$37=0,$P$34=0),"",$L$37-1)),MIN(BP$38,$E141),$P$20))-SUM($BF141:BO141))</f>
        <v>0</v>
      </c>
      <c r="BQ141" s="446">
        <f>IF($E141=0,0,IF(MIN(BQ$38,$E141)&lt;MAX($P$34*($B141+$I$38-1),IF(AND($L$37=0,$P$34=0),"",$L$37-1)),0,YEARFRAC(MAX($P$34*($B141+$I$38-1),IF(AND($L$37=0,$P$34=0),"",$L$37-1)),MIN(BQ$38,$E141),$P$20))-SUM($BF141:BP141))</f>
        <v>0</v>
      </c>
      <c r="BR141" s="446">
        <f>IF($E141=0,0,IF(MIN(BR$38,$E141)&lt;MAX($P$34*($B141+$I$38-1),IF(AND($L$37=0,$P$34=0),"",$L$37-1)),0,YEARFRAC(MAX($P$34*($B141+$I$38-1),IF(AND($L$37=0,$P$34=0),"",$L$37-1)),MIN(BR$38,$E141),$P$20))-SUM($BF141:BQ141))</f>
        <v>0</v>
      </c>
      <c r="BS141" s="446">
        <f>IF($E141=0,0,IF(MIN(BS$38,$E141)&lt;MAX($P$34*($B141+$I$38-1),IF(AND($L$37=0,$P$34=0),"",$L$37-1)),0,YEARFRAC(MAX($P$34*($B141+$I$38-1),IF(AND($L$37=0,$P$34=0),"",$L$37-1)),MIN(BS$38,$E141),$P$20))-SUM($BF141:BR141))</f>
        <v>0</v>
      </c>
      <c r="BT141" s="446">
        <f>IF($E141=0,0,IF(MIN(BT$38,$E141)&lt;MAX($P$34*($B141+$I$38-1),IF(AND($L$37=0,$P$34=0),"",$L$37-1)),0,YEARFRAC(MAX($P$34*($B141+$I$38-1),IF(AND($L$37=0,$P$34=0),"",$L$37-1)),MIN(BT$38,$E141),$P$20))-SUM($BF141:BS141))</f>
        <v>0</v>
      </c>
      <c r="BU141" s="446">
        <f>IF($E141=0,0,IF(MIN(BU$38,$E141)&lt;MAX($P$34*($B141+$I$38-1),IF(AND($L$37=0,$P$34=0),"",$L$37-1)),0,YEARFRAC(MAX($P$34*($B141+$I$38-1),IF(AND($L$37=0,$P$34=0),"",$L$37-1)),MIN(BU$38,$E141),$P$20))-SUM($BF141:BT141))</f>
        <v>0</v>
      </c>
      <c r="BV141" s="446">
        <f>IF($E141=0,0,IF(MIN(BV$38,$E141)&lt;MAX($P$34*($B141+$I$38-1),IF(AND($L$37=0,$P$34=0),"",$L$37-1)),0,YEARFRAC(MAX($P$34*($B141+$I$38-1),IF(AND($L$37=0,$P$34=0),"",$L$37-1)),MIN(BV$38,$E141),$P$20))-SUM($BF141:BU141))</f>
        <v>0</v>
      </c>
      <c r="BW141" s="446">
        <f>IF($E141=0,0,IF(MIN(BW$38,$E141)&lt;MAX($P$34*($B141+$I$38-1),IF(AND($L$37=0,$P$34=0),"",$L$37-1)),0,YEARFRAC(MAX($P$34*($B141+$I$38-1),IF(AND($L$37=0,$P$34=0),"",$L$37-1)),MIN(BW$38,$E141),$P$20))-SUM($BF141:BV141))</f>
        <v>0</v>
      </c>
      <c r="BX141" s="446">
        <f>IF($E141=0,0,IF(MIN(BX$38,$E141)&lt;MAX($P$34*($B141+$I$38-1),IF(AND($L$37=0,$P$34=0),"",$L$37-1)),0,YEARFRAC(MAX($P$34*($B141+$I$38-1),IF(AND($L$37=0,$P$34=0),"",$L$37-1)),MIN(BX$38,$E141),$P$20))-SUM($BF141:BW141))</f>
        <v>0</v>
      </c>
      <c r="BY141" s="446">
        <f>IF($E141=0,0,IF(MIN(BY$38,$E141)&lt;MAX($P$34*($B141+$I$38-1),IF(AND($L$37=0,$P$34=0),"",$L$37-1)),0,YEARFRAC(MAX($P$34*($B141+$I$38-1),IF(AND($L$37=0,$P$34=0),"",$L$37-1)),MIN(BY$38,$E141),$P$20))-SUM($BF141:BX141))</f>
        <v>0</v>
      </c>
      <c r="BZ141" s="446">
        <f>IF($E141=0,0,IF(MIN(BZ$38,$E141)&lt;MAX($P$34*($B141+$I$38-1),IF(AND($L$37=0,$P$34=0),"",$L$37-1)),0,YEARFRAC(MAX($P$34*($B141+$I$38-1),IF(AND($L$37=0,$P$34=0),"",$L$37-1)),MIN(BZ$38,$E141),$P$20))-SUM($BF141:BY141))</f>
        <v>0</v>
      </c>
      <c r="CA141" s="446">
        <f>IF($E141=0,0,IF(MIN(CA$38,$E141)&lt;MAX($P$34*($B141+$I$38-1),IF(AND($L$37=0,$P$34=0),"",$L$37-1)),0,YEARFRAC(MAX($P$34*($B141+$I$38-1),IF(AND($L$37=0,$P$34=0),"",$L$37-1)),MIN(CA$38,$E141),$P$20))-SUM($BF141:BZ141))</f>
        <v>0</v>
      </c>
      <c r="CB141" s="446">
        <f>IF($E141=0,0,IF(MIN(CB$38,$E141)&lt;MAX($P$34*($B141+$I$38-1),IF(AND($L$37=0,$P$34=0),"",$L$37-1)),0,YEARFRAC(MAX($P$34*($B141+$I$38-1),IF(AND($L$37=0,$P$34=0),"",$L$37-1)),MIN(CB$38,$E141),$P$20))-SUM($BF141:CA141))</f>
        <v>0</v>
      </c>
      <c r="CC141" s="446">
        <f>IF($E141=0,0,IF(MIN(CC$38,$E141)&lt;MAX($P$34*($B141+$I$38-1),IF(AND($L$37=0,$P$34=0),"",$L$37-1)),0,YEARFRAC(MAX($P$34*($B141+$I$38-1),IF(AND($L$37=0,$P$34=0),"",$L$37-1)),MIN(CC$38,$E141),$P$20))-SUM($BF141:CB141))</f>
        <v>0</v>
      </c>
      <c r="CD141" s="446">
        <f>IF($E141=0,0,IF(MIN(CD$38,$E141)&lt;MAX($P$34*($B141+$I$38-1),IF(AND($L$37=0,$P$34=0),"",$L$37-1)),0,YEARFRAC(MAX($P$34*($B141+$I$38-1),IF(AND($L$37=0,$P$34=0),"",$L$37-1)),MIN(CD$38,$E141),$P$20))-SUM($BF141:CC141))</f>
        <v>0</v>
      </c>
      <c r="CE141" s="446">
        <f>IF($E141=0,0,IF(MIN(CE$38,$E141)&lt;MAX($P$34*($B141+$I$38-1),IF(AND($L$37=0,$P$34=0),"",$L$37-1)),0,YEARFRAC(MAX($P$34*($B141+$I$38-1),IF(AND($L$37=0,$P$34=0),"",$L$37-1)),MIN(CE$38,$E141),$P$20))-SUM($BF141:CD141))</f>
        <v>0</v>
      </c>
      <c r="CF141" s="446">
        <f>IF($E141=0,0,IF(MIN(CF$38,$E141)&lt;MAX($P$34*($B141+$I$38-1),IF(AND($L$37=0,$P$34=0),"",$L$37-1)),0,YEARFRAC(MAX($P$34*($B141+$I$38-1),IF(AND($L$37=0,$P$34=0),"",$L$37-1)),MIN(CF$38,$E141),$P$20))-SUM($BF141:CE141))</f>
        <v>0</v>
      </c>
      <c r="CG141" s="446">
        <f>IF($E141=0,0,IF(MIN(CG$38,$E141)&lt;MAX($P$34*($B141+$I$38-1),IF(AND($L$37=0,$P$34=0),"",$L$37-1)),0,YEARFRAC(MAX($P$34*($B141+$I$38-1),IF(AND($L$37=0,$P$34=0),"",$L$37-1)),MIN(CG$38,$E141),$P$20))-SUM($BF141:CF141))</f>
        <v>0</v>
      </c>
      <c r="CH141" s="446">
        <f>IF($E141=0,0,IF(MIN(CH$38,$E141)&lt;MAX($P$34*($B141+$I$38-1),IF(AND($L$37=0,$P$34=0),"",$L$37-1)),0,YEARFRAC(MAX($P$34*($B141+$I$38-1),IF(AND($L$37=0,$P$34=0),"",$L$37-1)),MIN(CH$38,$E141),$P$20))-SUM($BF141:CG141))</f>
        <v>0</v>
      </c>
      <c r="CI141" s="446">
        <f>IF($E141=0,0,IF(MIN(CI$38,$E141)&lt;MAX($P$34*($B141+$I$38-1),IF(AND($L$37=0,$P$34=0),"",$L$37-1)),0,YEARFRAC(MAX($P$34*($B141+$I$38-1),IF(AND($L$37=0,$P$34=0),"",$L$37-1)),MIN(CI$38,$E141),$P$20))-SUM($BF141:CH141))</f>
        <v>0</v>
      </c>
      <c r="CJ141" s="446">
        <f>IF($E141=0,0,IF(MIN(CJ$38,$E141)&lt;MAX($P$34*($B141+$I$38-1),IF(AND($L$37=0,$P$34=0),"",$L$37-1)),0,YEARFRAC(MAX($P$34*($B141+$I$38-1),IF(AND($L$37=0,$P$34=0),"",$L$37-1)),MIN(CJ$38,$E141),$P$20))-SUM($BF141:CI141))</f>
        <v>0</v>
      </c>
      <c r="CK141" s="446">
        <f>IF($E141=0,0,IF(MIN(CK$38,$E141)&lt;MAX($P$34*($B141+$I$38-1),IF(AND($L$37=0,$P$34=0),"",$L$37-1)),0,YEARFRAC(MAX($P$34*($B141+$I$38-1),IF(AND($L$37=0,$P$34=0),"",$L$37-1)),MIN(CK$38,$E141),$P$20))-SUM($BF141:CJ141))</f>
        <v>0</v>
      </c>
      <c r="CL141" s="446">
        <f>IF($E141=0,0,IF(MIN(CL$38,$E141)&lt;MAX($P$34*($B141+$I$38-1),IF(AND($L$37=0,$P$34=0),"",$L$37-1)),0,YEARFRAC(MAX($P$34*($B141+$I$38-1),IF(AND($L$37=0,$P$34=0),"",$L$37-1)),MIN(CL$38,$E141),$P$20))-SUM($BF141:CK141))</f>
        <v>0</v>
      </c>
      <c r="CM141" s="446">
        <f>IF($E141=0,0,IF(MIN(CM$38,$E141)&lt;MAX($P$34*($B141+$I$38-1),IF(AND($L$37=0,$P$34=0),"",$L$37-1)),0,YEARFRAC(MAX($P$34*($B141+$I$38-1),IF(AND($L$37=0,$P$34=0),"",$L$37-1)),MIN(CM$38,$E141),$P$20))-SUM($BF141:CL141))</f>
        <v>0</v>
      </c>
      <c r="CN141" s="446">
        <f>IF($E141=0,0,IF(MIN(CN$38,$E141)&lt;MAX($P$34*($B141+$I$38-1),IF(AND($L$37=0,$P$34=0),"",$L$37-1)),0,YEARFRAC(MAX($P$34*($B141+$I$38-1),IF(AND($L$37=0,$P$34=0),"",$L$37-1)),MIN(CN$38,$E141),$P$20))-SUM($BF141:CM141))</f>
        <v>0</v>
      </c>
      <c r="CO141" s="446">
        <f>IF($E141=0,0,IF(MIN(CO$38,$E141)&lt;MAX($P$34*($B141+$I$38-1),IF(AND($L$37=0,$P$34=0),"",$L$37-1)),0,YEARFRAC(MAX($P$34*($B141+$I$38-1),IF(AND($L$37=0,$P$34=0),"",$L$37-1)),MIN(CO$38,$E141),$P$20))-SUM($BF141:CN141))</f>
        <v>0</v>
      </c>
      <c r="CP141" s="446">
        <f>IF($E141=0,0,IF(MIN(CP$38,$E141)&lt;MAX($P$34*($B141+$I$38-1),IF(AND($L$37=0,$P$34=0),"",$L$37-1)),0,YEARFRAC(MAX($P$34*($B141+$I$38-1),IF(AND($L$37=0,$P$34=0),"",$L$37-1)),MIN(CP$38,$E141),$P$20))-SUM($BF141:CO141))</f>
        <v>0</v>
      </c>
      <c r="CQ141" s="446">
        <f>IF($E141=0,0,IF(MIN(CQ$38,$E141)&lt;MAX($P$34*($B141+$I$38-1),IF(AND($L$37=0,$P$34=0),"",$L$37-1)),0,YEARFRAC(MAX($P$34*($B141+$I$38-1),IF(AND($L$37=0,$P$34=0),"",$L$37-1)),MIN(CQ$38,$E141),$P$20))-SUM($BF141:CP141))</f>
        <v>0</v>
      </c>
    </row>
    <row r="142" spans="1:95" s="446" customFormat="1" ht="11.25" hidden="1" customHeight="1" x14ac:dyDescent="0.2">
      <c r="A142" s="152"/>
      <c r="B142" s="153" t="str">
        <f t="shared" si="26"/>
        <v/>
      </c>
      <c r="C142" s="29" t="str">
        <f>IF(B142="","",IF($L$35="SELIC - TRIBUTOS",VLOOKUP(DATE(YEAR($D$19),MONTH($D$19)-1,1),ÍNDICES!$A:$DE,HLOOKUP($BL$25,ÍNDICES!$B$3:$T$4,2)+11)-VLOOKUP(B142,ÍNDICES!$A:$DE,HLOOKUP($BL$25,ÍNDICES!$B$3:$T$4,2)+11)+1%,IF(C$38=$W$26,$J$35,IF(ISERROR(IF(B142&gt;$D$19,1,VLOOKUP(DATE(YEAR(B142),MONTH(B142)+IF($C$35=$S$23,1,0),1),ÍNDICES!$A:$DE,$Z$35+1))),"",IF(B142&gt;$D$19,1,VLOOKUP(DATE(YEAR(B142),MONTH(B142)+IF($C$35=$S$23,1,0),1),ÍNDICES!$A:$DE,$Z$35+1))))))</f>
        <v/>
      </c>
      <c r="D142" s="154" t="str">
        <f>IF(ISERROR(IF(OR($D$38=$Y$27,$B142=""),"",VLOOKUP(B142,ÍNDICES!A:DE,AF$35+1))),"",IF(OR($D$38=$Y$27,$B142=""),"",VLOOKUP(B142,ÍNDICES!A:DE,AF$35+1)))</f>
        <v/>
      </c>
      <c r="E142" s="153"/>
      <c r="F142" s="29" t="str">
        <f>IF(E142="","",IF($L$35="SELIC - TRIBUTOS",VLOOKUP(DATE(YEAR($D$19),MONTH($D$19)-1,1),ÍNDICES!$A:$DE,HLOOKUP($BL$25,ÍNDICES!$B$3:$T$4,2)+11)-VLOOKUP(E142,ÍNDICES!$A:$DE,HLOOKUP($BL$25,ÍNDICES!$B$3:$T$4,2)+11)+1%,IF(F$38=$W$26,$J$35,IF(ISERROR(IF(E142&gt;$D$19,1,VLOOKUP(DATE(YEAR(E142),MONTH(E142)+IF($C$35=$S$23,1,0),1),ÍNDICES!$A:$DE,$Z$35+1))),"",IF(E142&gt;$D$19,1,VLOOKUP(DATE(YEAR(E142),MONTH(E142)+IF($C$35=$S$23,1,0),1),ÍNDICES!$A:$DE,$Z$35+1))))))</f>
        <v/>
      </c>
      <c r="G142" s="155"/>
      <c r="H142" s="156" t="str">
        <f t="shared" si="22"/>
        <v/>
      </c>
      <c r="I142" s="29" t="str">
        <f t="shared" si="16"/>
        <v/>
      </c>
      <c r="J142" s="5">
        <f t="shared" si="17"/>
        <v>0</v>
      </c>
      <c r="K142" s="20">
        <f t="shared" ca="1" si="18"/>
        <v>0</v>
      </c>
      <c r="L142" s="5">
        <f t="shared" ca="1" si="19"/>
        <v>0</v>
      </c>
      <c r="M142" s="64">
        <f t="shared" si="23"/>
        <v>0</v>
      </c>
      <c r="N142" s="61">
        <f t="shared" ca="1" si="24"/>
        <v>0</v>
      </c>
      <c r="O142" s="5">
        <f t="shared" ca="1" si="25"/>
        <v>0</v>
      </c>
      <c r="P142" s="446" t="e">
        <f t="shared" si="20"/>
        <v>#VALUE!</v>
      </c>
      <c r="Q142" s="446" t="e">
        <f>IF(OR($B142="",MIN(Q$38,$D$19)&lt;MAX($P$34*($B142+IF($R$17="Distrato",$I$38-1,0)),IF(AND($L$37=0,$P$34=0),"",$L$37-1),IF($R$17="Distrato",$E142,0))),0,YEARFRAC(MAX($P$34*($B142+IF($R$17="Distrato",$I$38-1,0)),IF(AND($L$37=0,$P$34=0),"",$L$37-1),IF($R$17="Distrato",$E142,0)),MIN(Q$38,$D$19),$P$20))-SUM($P142:P142)</f>
        <v>#VALUE!</v>
      </c>
      <c r="R142" s="446" t="e">
        <f>IF(OR($B142="",MIN(R$38,$D$19)&lt;MAX($P$34*($B142+IF($R$17="Distrato",$I$38-1,0)),IF(AND($L$37=0,$P$34=0),"",$L$37-1),IF($R$17="Distrato",$E142,0))),0,YEARFRAC(MAX($P$34*($B142+IF($R$17="Distrato",$I$38-1,0)),IF(AND($L$37=0,$P$34=0),"",$L$37-1),IF($R$17="Distrato",$E142,0)),MIN(R$38,$D$19),$P$20))-SUM($P142:Q142)</f>
        <v>#VALUE!</v>
      </c>
      <c r="S142" s="446" t="e">
        <f>IF(OR($B142="",MIN(S$38,$D$19)&lt;MAX($P$34*($B142+IF($R$17="Distrato",$I$38-1,0)),IF(AND($L$37=0,$P$34=0),"",$L$37-1),IF($R$17="Distrato",$E142,0))),0,YEARFRAC(MAX($P$34*($B142+IF($R$17="Distrato",$I$38-1,0)),IF(AND($L$37=0,$P$34=0),"",$L$37-1),IF($R$17="Distrato",$E142,0)),MIN(S$38,$D$19),$P$20))-SUM($P142:R142)</f>
        <v>#VALUE!</v>
      </c>
      <c r="T142" s="446" t="e">
        <f>IF(OR($B142="",MIN(T$38,$D$19)&lt;MAX($P$34*($B142+IF($R$17="Distrato",$I$38-1,0)),IF(AND($L$37=0,$P$34=0),"",$L$37-1),IF($R$17="Distrato",$E142,0))),0,YEARFRAC(MAX($P$34*($B142+IF($R$17="Distrato",$I$38-1,0)),IF(AND($L$37=0,$P$34=0),"",$L$37-1),IF($R$17="Distrato",$E142,0)),MIN(T$38,$D$19),$P$20))-SUM($P142:S142)</f>
        <v>#VALUE!</v>
      </c>
      <c r="U142" s="446" t="e">
        <f>IF(OR($B142="",MIN(U$38,$D$19)&lt;MAX($P$34*($B142+IF($R$17="Distrato",$I$38-1,0)),IF(AND($L$37=0,$P$34=0),"",$L$37-1),IF($R$17="Distrato",$E142,0))),0,YEARFRAC(MAX($P$34*($B142+IF($R$17="Distrato",$I$38-1,0)),IF(AND($L$37=0,$P$34=0),"",$L$37-1),IF($R$17="Distrato",$E142,0)),MIN(U$38,$D$19),$P$20))-SUM($P142:T142)</f>
        <v>#VALUE!</v>
      </c>
      <c r="V142" s="446" t="e">
        <f>IF(OR($B142="",MIN(V$38,$D$19)&lt;MAX($P$34*($B142+IF($R$17="Distrato",$I$38-1,0)),IF(AND($L$37=0,$P$34=0),"",$L$37-1),IF($R$17="Distrato",$E142,0))),0,YEARFRAC(MAX($P$34*($B142+IF($R$17="Distrato",$I$38-1,0)),IF(AND($L$37=0,$P$34=0),"",$L$37-1),IF($R$17="Distrato",$E142,0)),MIN(V$38,$D$19),$P$20))-SUM($P142:U142)</f>
        <v>#VALUE!</v>
      </c>
      <c r="W142" s="446" t="e">
        <f>IF(OR($B142="",MIN(W$38,$D$19)&lt;MAX($P$34*($B142+IF($R$17="Distrato",$I$38-1,0)),IF(AND($L$37=0,$P$34=0),"",$L$37-1),IF($R$17="Distrato",$E142,0))),0,YEARFRAC(MAX($P$34*($B142+IF($R$17="Distrato",$I$38-1,0)),IF(AND($L$37=0,$P$34=0),"",$L$37-1),IF($R$17="Distrato",$E142,0)),MIN(W$38,$D$19),$P$20))-SUM($P142:V142)</f>
        <v>#VALUE!</v>
      </c>
      <c r="X142" s="446" t="e">
        <f>IF(OR($B142="",MIN(X$38,$D$19)&lt;MAX($P$34*($B142+IF($R$17="Distrato",$I$38-1,0)),IF(AND($L$37=0,$P$34=0),"",$L$37-1),IF($R$17="Distrato",$E142,0))),0,YEARFRAC(MAX($P$34*($B142+IF($R$17="Distrato",$I$38-1,0)),IF(AND($L$37=0,$P$34=0),"",$L$37-1),IF($R$17="Distrato",$E142,0)),MIN(X$38,$D$19),$P$20))-SUM($P142:W142)</f>
        <v>#VALUE!</v>
      </c>
      <c r="Y142" s="446" t="e">
        <f>IF(OR($B142="",MIN(Y$38,$D$19)&lt;MAX($P$34*($B142+IF($R$17="Distrato",$I$38-1,0)),IF(AND($L$37=0,$P$34=0),"",$L$37-1),IF($R$17="Distrato",$E142,0))),0,YEARFRAC(MAX($P$34*($B142+IF($R$17="Distrato",$I$38-1,0)),IF(AND($L$37=0,$P$34=0),"",$L$37-1),IF($R$17="Distrato",$E142,0)),MIN(Y$38,$D$19),$P$20))-SUM($P142:X142)</f>
        <v>#VALUE!</v>
      </c>
      <c r="Z142" s="446" t="e">
        <f>IF(OR($B142="",MIN(Z$38,$D$19)&lt;MAX($P$34*($B142+IF($R$17="Distrato",$I$38-1,0)),IF(AND($L$37=0,$P$34=0),"",$L$37-1),IF($R$17="Distrato",$E142,0))),0,YEARFRAC(MAX($P$34*($B142+IF($R$17="Distrato",$I$38-1,0)),IF(AND($L$37=0,$P$34=0),"",$L$37-1),IF($R$17="Distrato",$E142,0)),MIN(Z$38,$D$19),$P$20))-SUM($P142:Y142)</f>
        <v>#VALUE!</v>
      </c>
      <c r="AA142" s="446" t="e">
        <f>IF(OR($B142="",MIN(AA$38,$D$19)&lt;MAX($P$34*($B142+IF($R$17="Distrato",$I$38-1,0)),IF(AND($L$37=0,$P$34=0),"",$L$37-1),IF($R$17="Distrato",$E142,0))),0,YEARFRAC(MAX($P$34*($B142+IF($R$17="Distrato",$I$38-1,0)),IF(AND($L$37=0,$P$34=0),"",$L$37-1),IF($R$17="Distrato",$E142,0)),MIN(AA$38,$D$19),$P$20))-SUM($P142:Z142)</f>
        <v>#VALUE!</v>
      </c>
      <c r="AB142" s="446" t="e">
        <f>IF(OR($B142="",MIN(AB$38,$D$19)&lt;MAX($P$34*($B142+IF($R$17="Distrato",$I$38-1,0)),IF(AND($L$37=0,$P$34=0),"",$L$37-1),IF($R$17="Distrato",$E142,0))),0,YEARFRAC(MAX($P$34*($B142+IF($R$17="Distrato",$I$38-1,0)),IF(AND($L$37=0,$P$34=0),"",$L$37-1),IF($R$17="Distrato",$E142,0)),MIN(AB$38,$D$19),$P$20))-SUM($P142:AA142)</f>
        <v>#VALUE!</v>
      </c>
      <c r="AC142" s="446" t="e">
        <f>IF(OR($B142="",MIN(AC$38,$D$19)&lt;MAX($P$34*($B142+IF($R$17="Distrato",$I$38-1,0)),IF(AND($L$37=0,$P$34=0),"",$L$37-1),IF($R$17="Distrato",$E142,0))),0,YEARFRAC(MAX($P$34*($B142+IF($R$17="Distrato",$I$38-1,0)),IF(AND($L$37=0,$P$34=0),"",$L$37-1),IF($R$17="Distrato",$E142,0)),MIN(AC$38,$D$19),$P$20))-SUM($P142:AB142)</f>
        <v>#VALUE!</v>
      </c>
      <c r="AD142" s="446" t="e">
        <f>IF(OR($B142="",MIN(AD$38,$D$19)&lt;MAX($P$34*($B142+IF($R$17="Distrato",$I$38-1,0)),IF(AND($L$37=0,$P$34=0),"",$L$37-1),IF($R$17="Distrato",$E142,0))),0,YEARFRAC(MAX($P$34*($B142+IF($R$17="Distrato",$I$38-1,0)),IF(AND($L$37=0,$P$34=0),"",$L$37-1),IF($R$17="Distrato",$E142,0)),MIN(AD$38,$D$19),$P$20))-SUM($P142:AC142)</f>
        <v>#VALUE!</v>
      </c>
      <c r="AE142" s="446" t="e">
        <f>IF(OR($B142="",MIN(AE$38,$D$19)&lt;MAX($P$34*($B142+IF($R$17="Distrato",$I$38-1,0)),IF(AND($L$37=0,$P$34=0),"",$L$37-1),IF($R$17="Distrato",$E142,0))),0,YEARFRAC(MAX($P$34*($B142+IF($R$17="Distrato",$I$38-1,0)),IF(AND($L$37=0,$P$34=0),"",$L$37-1),IF($R$17="Distrato",$E142,0)),MIN(AE$38,$D$19),$P$20))-SUM($P142:AD142)</f>
        <v>#VALUE!</v>
      </c>
      <c r="AF142" s="446" t="e">
        <f>IF(OR($B142="",MIN(AF$38,$D$19)&lt;MAX($P$34*($B142+IF($R$17="Distrato",$I$38-1,0)),IF(AND($L$37=0,$P$34=0),"",$L$37-1),IF($R$17="Distrato",$E142,0))),0,YEARFRAC(MAX($P$34*($B142+IF($R$17="Distrato",$I$38-1,0)),IF(AND($L$37=0,$P$34=0),"",$L$37-1),IF($R$17="Distrato",$E142,0)),MIN(AF$38,$D$19),$P$20))-SUM($P142:AE142)</f>
        <v>#VALUE!</v>
      </c>
      <c r="AG142" s="446" t="e">
        <f>IF(OR($B142="",MIN(AG$38,$D$19)&lt;MAX($P$34*($B142+IF($R$17="Distrato",$I$38-1,0)),IF(AND($L$37=0,$P$34=0),"",$L$37-1),IF($R$17="Distrato",$E142,0))),0,YEARFRAC(MAX($P$34*($B142+IF($R$17="Distrato",$I$38-1,0)),IF(AND($L$37=0,$P$34=0),"",$L$37-1),IF($R$17="Distrato",$E142,0)),MIN(AG$38,$D$19),$P$20))-SUM($P142:AF142)</f>
        <v>#VALUE!</v>
      </c>
      <c r="AH142" s="446" t="e">
        <f>IF(OR($B142="",MIN(AH$38,$D$19)&lt;MAX($P$34*($B142+IF($R$17="Distrato",$I$38-1,0)),IF(AND($L$37=0,$P$34=0),"",$L$37-1),IF($R$17="Distrato",$E142,0))),0,YEARFRAC(MAX($P$34*($B142+IF($R$17="Distrato",$I$38-1,0)),IF(AND($L$37=0,$P$34=0),"",$L$37-1),IF($R$17="Distrato",$E142,0)),MIN(AH$38,$D$19),$P$20))-SUM($P142:AG142)</f>
        <v>#VALUE!</v>
      </c>
      <c r="AI142" s="446" t="e">
        <f>IF(OR($B142="",MIN(AI$38,$D$19)&lt;MAX($P$34*($B142+IF($R$17="Distrato",$I$38-1,0)),IF(AND($L$37=0,$P$34=0),"",$L$37-1),IF($R$17="Distrato",$E142,0))),0,YEARFRAC(MAX($P$34*($B142+IF($R$17="Distrato",$I$38-1,0)),IF(AND($L$37=0,$P$34=0),"",$L$37-1),IF($R$17="Distrato",$E142,0)),MIN(AI$38,$D$19),$P$20))-SUM($P142:AH142)</f>
        <v>#VALUE!</v>
      </c>
      <c r="AJ142" s="446" t="e">
        <f>IF(OR($B142="",MIN(AJ$38,$D$19)&lt;MAX($P$34*($B142+IF($R$17="Distrato",$I$38-1,0)),IF(AND($L$37=0,$P$34=0),"",$L$37-1),IF($R$17="Distrato",$E142,0))),0,YEARFRAC(MAX($P$34*($B142+IF($R$17="Distrato",$I$38-1,0)),IF(AND($L$37=0,$P$34=0),"",$L$37-1),IF($R$17="Distrato",$E142,0)),MIN(AJ$38,$D$19),$P$20))-SUM($P142:AI142)</f>
        <v>#VALUE!</v>
      </c>
      <c r="AK142" s="446" t="e">
        <f>IF(OR($B142="",MIN(AK$38,$D$19)&lt;MAX($P$34*($B142+IF($R$17="Distrato",$I$38-1,0)),IF(AND($L$37=0,$P$34=0),"",$L$37-1),IF($R$17="Distrato",$E142,0))),0,YEARFRAC(MAX($P$34*($B142+IF($R$17="Distrato",$I$38-1,0)),IF(AND($L$37=0,$P$34=0),"",$L$37-1),IF($R$17="Distrato",$E142,0)),MIN(AK$38,$D$19),$P$20))-SUM($P142:AJ142)</f>
        <v>#VALUE!</v>
      </c>
      <c r="AL142" s="446" t="e">
        <f>IF(OR($B142="",MIN(AL$38,$D$19)&lt;MAX($P$34*($B142+IF($R$17="Distrato",$I$38-1,0)),IF(AND($L$37=0,$P$34=0),"",$L$37-1),IF($R$17="Distrato",$E142,0))),0,YEARFRAC(MAX($P$34*($B142+IF($R$17="Distrato",$I$38-1,0)),IF(AND($L$37=0,$P$34=0),"",$L$37-1),IF($R$17="Distrato",$E142,0)),MIN(AL$38,$D$19),$P$20))-SUM($P142:AK142)</f>
        <v>#VALUE!</v>
      </c>
      <c r="AM142" s="446" t="e">
        <f>IF(OR($B142="",MIN(AM$38,$D$19)&lt;MAX($P$34*($B142+IF($R$17="Distrato",$I$38-1,0)),IF(AND($L$37=0,$P$34=0),"",$L$37-1),IF($R$17="Distrato",$E142,0))),0,YEARFRAC(MAX($P$34*($B142+IF($R$17="Distrato",$I$38-1,0)),IF(AND($L$37=0,$P$34=0),"",$L$37-1),IF($R$17="Distrato",$E142,0)),MIN(AM$38,$D$19),$P$20))-SUM($P142:AL142)</f>
        <v>#VALUE!</v>
      </c>
      <c r="AN142" s="446" t="e">
        <f>IF(OR($B142="",MIN(AN$38,$D$19)&lt;MAX($P$34*($B142+IF($R$17="Distrato",$I$38-1,0)),IF(AND($L$37=0,$P$34=0),"",$L$37-1),IF($R$17="Distrato",$E142,0))),0,YEARFRAC(MAX($P$34*($B142+IF($R$17="Distrato",$I$38-1,0)),IF(AND($L$37=0,$P$34=0),"",$L$37-1),IF($R$17="Distrato",$E142,0)),MIN(AN$38,$D$19),$P$20))-SUM($P142:AM142)</f>
        <v>#VALUE!</v>
      </c>
      <c r="AO142" s="446" t="e">
        <f>IF(OR($B142="",MIN(AO$38,$D$19)&lt;MAX($P$34*($B142+IF($R$17="Distrato",$I$38-1,0)),IF(AND($L$37=0,$P$34=0),"",$L$37-1),IF($R$17="Distrato",$E142,0))),0,YEARFRAC(MAX($P$34*($B142+IF($R$17="Distrato",$I$38-1,0)),IF(AND($L$37=0,$P$34=0),"",$L$37-1),IF($R$17="Distrato",$E142,0)),MIN(AO$38,$D$19),$P$20))-SUM($P142:AN142)</f>
        <v>#VALUE!</v>
      </c>
      <c r="AP142" s="446" t="e">
        <f>IF(OR($B142="",MIN(AP$38,$D$19)&lt;MAX($P$34*($B142+IF($R$17="Distrato",$I$38-1,0)),IF(AND($L$37=0,$P$34=0),"",$L$37-1),IF($R$17="Distrato",$E142,0))),0,YEARFRAC(MAX($P$34*($B142+IF($R$17="Distrato",$I$38-1,0)),IF(AND($L$37=0,$P$34=0),"",$L$37-1),IF($R$17="Distrato",$E142,0)),MIN(AP$38,$D$19),$P$20))-SUM($P142:AO142)</f>
        <v>#VALUE!</v>
      </c>
      <c r="AQ142" s="446" t="e">
        <f>IF(OR($B142="",MIN(AQ$38,$D$19)&lt;MAX($P$34*($B142+IF($R$17="Distrato",$I$38-1,0)),IF(AND($L$37=0,$P$34=0),"",$L$37-1),IF($R$17="Distrato",$E142,0))),0,YEARFRAC(MAX($P$34*($B142+IF($R$17="Distrato",$I$38-1,0)),IF(AND($L$37=0,$P$34=0),"",$L$37-1),IF($R$17="Distrato",$E142,0)),MIN(AQ$38,$D$19),$P$20))-SUM($P142:AP142)</f>
        <v>#VALUE!</v>
      </c>
      <c r="AR142" s="446" t="e">
        <f>IF(OR($B142="",MIN(AR$38,$D$19)&lt;MAX($P$34*($B142+IF($R$17="Distrato",$I$38-1,0)),IF(AND($L$37=0,$P$34=0),"",$L$37-1),IF($R$17="Distrato",$E142,0))),0,YEARFRAC(MAX($P$34*($B142+IF($R$17="Distrato",$I$38-1,0)),IF(AND($L$37=0,$P$34=0),"",$L$37-1),IF($R$17="Distrato",$E142,0)),MIN(AR$38,$D$19),$P$20))-SUM($P142:AQ142)</f>
        <v>#VALUE!</v>
      </c>
      <c r="AS142" s="446" t="e">
        <f>IF(OR($B142="",MIN(AS$38,$D$19)&lt;MAX($P$34*($B142+IF($R$17="Distrato",$I$38-1,0)),IF(AND($L$37=0,$P$34=0),"",$L$37-1),IF($R$17="Distrato",$E142,0))),0,YEARFRAC(MAX($P$34*($B142+IF($R$17="Distrato",$I$38-1,0)),IF(AND($L$37=0,$P$34=0),"",$L$37-1),IF($R$17="Distrato",$E142,0)),MIN(AS$38,$D$19),$P$20))-SUM($P142:AR142)</f>
        <v>#VALUE!</v>
      </c>
      <c r="AT142" s="446" t="e">
        <f>IF(OR($B142="",MIN(AT$38,$D$19)&lt;MAX($P$34*($B142+IF($R$17="Distrato",$I$38-1,0)),IF(AND($L$37=0,$P$34=0),"",$L$37-1),IF($R$17="Distrato",$E142,0))),0,YEARFRAC(MAX($P$34*($B142+IF($R$17="Distrato",$I$38-1,0)),IF(AND($L$37=0,$P$34=0),"",$L$37-1),IF($R$17="Distrato",$E142,0)),MIN(AT$38,$D$19),$P$20))-SUM($P142:AS142)</f>
        <v>#VALUE!</v>
      </c>
      <c r="AU142" s="446" t="e">
        <f>IF(OR($B142="",MIN(AU$38,$D$19)&lt;MAX($P$34*($B142+IF($R$17="Distrato",$I$38-1,0)),IF(AND($L$37=0,$P$34=0),"",$L$37-1),IF($R$17="Distrato",$E142,0))),0,YEARFRAC(MAX($P$34*($B142+IF($R$17="Distrato",$I$38-1,0)),IF(AND($L$37=0,$P$34=0),"",$L$37-1),IF($R$17="Distrato",$E142,0)),MIN(AU$38,$D$19),$P$20))-SUM($P142:AT142)</f>
        <v>#VALUE!</v>
      </c>
      <c r="AV142" s="446" t="e">
        <f>IF(OR($B142="",MIN(AV$38,$D$19)&lt;MAX($P$34*($B142+IF($R$17="Distrato",$I$38-1,0)),IF(AND($L$37=0,$P$34=0),"",$L$37-1),IF($R$17="Distrato",$E142,0))),0,YEARFRAC(MAX($P$34*($B142+IF($R$17="Distrato",$I$38-1,0)),IF(AND($L$37=0,$P$34=0),"",$L$37-1),IF($R$17="Distrato",$E142,0)),MIN(AV$38,$D$19),$P$20))-SUM($P142:AU142)</f>
        <v>#VALUE!</v>
      </c>
      <c r="AW142" s="446" t="e">
        <f>IF(OR($B142="",MIN(AW$38,$D$19)&lt;MAX($P$34*($B142+IF($R$17="Distrato",$I$38-1,0)),IF(AND($L$37=0,$P$34=0),"",$L$37-1),IF($R$17="Distrato",$E142,0))),0,YEARFRAC(MAX($P$34*($B142+IF($R$17="Distrato",$I$38-1,0)),IF(AND($L$37=0,$P$34=0),"",$L$37-1),IF($R$17="Distrato",$E142,0)),MIN(AW$38,$D$19),$P$20))-SUM($P142:AV142)</f>
        <v>#VALUE!</v>
      </c>
      <c r="AX142" s="446" t="e">
        <f>IF(OR($B142="",MIN(AX$38,$D$19)&lt;MAX($P$34*($B142+IF($R$17="Distrato",$I$38-1,0)),IF(AND($L$37=0,$P$34=0),"",$L$37-1),IF($R$17="Distrato",$E142,0))),0,YEARFRAC(MAX($P$34*($B142+IF($R$17="Distrato",$I$38-1,0)),IF(AND($L$37=0,$P$34=0),"",$L$37-1),IF($R$17="Distrato",$E142,0)),MIN(AX$38,$D$19),$P$20))-SUM($P142:AW142)</f>
        <v>#VALUE!</v>
      </c>
      <c r="AY142" s="446" t="e">
        <f>IF(OR($B142="",MIN(AY$38,$D$19)&lt;MAX($P$34*($B142+IF($R$17="Distrato",$I$38-1,0)),IF(AND($L$37=0,$P$34=0),"",$L$37-1),IF($R$17="Distrato",$E142,0))),0,YEARFRAC(MAX($P$34*($B142+IF($R$17="Distrato",$I$38-1,0)),IF(AND($L$37=0,$P$34=0),"",$L$37-1),IF($R$17="Distrato",$E142,0)),MIN(AY$38,$D$19),$P$20))-SUM($P142:AX142)</f>
        <v>#VALUE!</v>
      </c>
      <c r="AZ142" s="446" t="e">
        <f>IF(OR($B142="",MIN(AZ$38,$D$19)&lt;MAX($P$34*($B142+IF($R$17="Distrato",$I$38-1,0)),IF(AND($L$37=0,$P$34=0),"",$L$37-1),IF($R$17="Distrato",$E142,0))),0,YEARFRAC(MAX($P$34*($B142+IF($R$17="Distrato",$I$38-1,0)),IF(AND($L$37=0,$P$34=0),"",$L$37-1),IF($R$17="Distrato",$E142,0)),MIN(AZ$38,$D$19),$P$20))-SUM($P142:AY142)</f>
        <v>#VALUE!</v>
      </c>
      <c r="BA142" s="446" t="e">
        <f>IF(OR($B142="",MIN(BA$38,$D$19)&lt;MAX($P$34*($B142+IF($R$17="Distrato",$I$38-1,0)),IF(AND($L$37=0,$P$34=0),"",$L$37-1),IF($R$17="Distrato",$E142,0))),0,YEARFRAC(MAX($P$34*($B142+IF($R$17="Distrato",$I$38-1,0)),IF(AND($L$37=0,$P$34=0),"",$L$37-1),IF($R$17="Distrato",$E142,0)),MIN(BA$38,$D$19),$P$20))-SUM($P142:AZ142)</f>
        <v>#VALUE!</v>
      </c>
      <c r="BB142" s="447"/>
      <c r="BF142" s="446">
        <f t="shared" si="21"/>
        <v>0</v>
      </c>
      <c r="BG142" s="446">
        <f>IF($E142=0,0,IF(MIN(BG$38,$E142)&lt;MAX($P$34*($B142+$I$38-1),IF(AND($L$37=0,$P$34=0),"",$L$37-1)),0,YEARFRAC(MAX($P$34*($B142+$I$38-1),IF(AND($L$37=0,$P$34=0),"",$L$37-1)),MIN(BG$38,$E142),$P$20))-SUM($BF142:BF142))</f>
        <v>0</v>
      </c>
      <c r="BH142" s="446">
        <f>IF($E142=0,0,IF(MIN(BH$38,$E142)&lt;MAX($P$34*($B142+$I$38-1),IF(AND($L$37=0,$P$34=0),"",$L$37-1)),0,YEARFRAC(MAX($P$34*($B142+$I$38-1),IF(AND($L$37=0,$P$34=0),"",$L$37-1)),MIN(BH$38,$E142),$P$20))-SUM($BF142:BG142))</f>
        <v>0</v>
      </c>
      <c r="BI142" s="446">
        <f>IF($E142=0,0,IF(MIN(BI$38,$E142)&lt;MAX($P$34*($B142+$I$38-1),IF(AND($L$37=0,$P$34=0),"",$L$37-1)),0,YEARFRAC(MAX($P$34*($B142+$I$38-1),IF(AND($L$37=0,$P$34=0),"",$L$37-1)),MIN(BI$38,$E142),$P$20))-SUM($BF142:BH142))</f>
        <v>0</v>
      </c>
      <c r="BJ142" s="446">
        <f>IF($E142=0,0,IF(MIN(BJ$38,$E142)&lt;MAX($P$34*($B142+$I$38-1),IF(AND($L$37=0,$P$34=0),"",$L$37-1)),0,YEARFRAC(MAX($P$34*($B142+$I$38-1),IF(AND($L$37=0,$P$34=0),"",$L$37-1)),MIN(BJ$38,$E142),$P$20))-SUM($BF142:BI142))</f>
        <v>0</v>
      </c>
      <c r="BK142" s="446">
        <f>IF($E142=0,0,IF(MIN(BK$38,$E142)&lt;MAX($P$34*($B142+$I$38-1),IF(AND($L$37=0,$P$34=0),"",$L$37-1)),0,YEARFRAC(MAX($P$34*($B142+$I$38-1),IF(AND($L$37=0,$P$34=0),"",$L$37-1)),MIN(BK$38,$E142),$P$20))-SUM($BF142:BJ142))</f>
        <v>0</v>
      </c>
      <c r="BL142" s="446">
        <f>IF($E142=0,0,IF(MIN(BL$38,$E142)&lt;MAX($P$34*($B142+$I$38-1),IF(AND($L$37=0,$P$34=0),"",$L$37-1)),0,YEARFRAC(MAX($P$34*($B142+$I$38-1),IF(AND($L$37=0,$P$34=0),"",$L$37-1)),MIN(BL$38,$E142),$P$20))-SUM($BF142:BK142))</f>
        <v>0</v>
      </c>
      <c r="BM142" s="446">
        <f>IF($E142=0,0,IF(MIN(BM$38,$E142)&lt;MAX($P$34*($B142+$I$38-1),IF(AND($L$37=0,$P$34=0),"",$L$37-1)),0,YEARFRAC(MAX($P$34*($B142+$I$38-1),IF(AND($L$37=0,$P$34=0),"",$L$37-1)),MIN(BM$38,$E142),$P$20))-SUM($BF142:BL142))</f>
        <v>0</v>
      </c>
      <c r="BN142" s="446">
        <f>IF($E142=0,0,IF(MIN(BN$38,$E142)&lt;MAX($P$34*($B142+$I$38-1),IF(AND($L$37=0,$P$34=0),"",$L$37-1)),0,YEARFRAC(MAX($P$34*($B142+$I$38-1),IF(AND($L$37=0,$P$34=0),"",$L$37-1)),MIN(BN$38,$E142),$P$20))-SUM($BF142:BM142))</f>
        <v>0</v>
      </c>
      <c r="BO142" s="446">
        <f>IF($E142=0,0,IF(MIN(BO$38,$E142)&lt;MAX($P$34*($B142+$I$38-1),IF(AND($L$37=0,$P$34=0),"",$L$37-1)),0,YEARFRAC(MAX($P$34*($B142+$I$38-1),IF(AND($L$37=0,$P$34=0),"",$L$37-1)),MIN(BO$38,$E142),$P$20))-SUM($BF142:BN142))</f>
        <v>0</v>
      </c>
      <c r="BP142" s="446">
        <f>IF($E142=0,0,IF(MIN(BP$38,$E142)&lt;MAX($P$34*($B142+$I$38-1),IF(AND($L$37=0,$P$34=0),"",$L$37-1)),0,YEARFRAC(MAX($P$34*($B142+$I$38-1),IF(AND($L$37=0,$P$34=0),"",$L$37-1)),MIN(BP$38,$E142),$P$20))-SUM($BF142:BO142))</f>
        <v>0</v>
      </c>
      <c r="BQ142" s="446">
        <f>IF($E142=0,0,IF(MIN(BQ$38,$E142)&lt;MAX($P$34*($B142+$I$38-1),IF(AND($L$37=0,$P$34=0),"",$L$37-1)),0,YEARFRAC(MAX($P$34*($B142+$I$38-1),IF(AND($L$37=0,$P$34=0),"",$L$37-1)),MIN(BQ$38,$E142),$P$20))-SUM($BF142:BP142))</f>
        <v>0</v>
      </c>
      <c r="BR142" s="446">
        <f>IF($E142=0,0,IF(MIN(BR$38,$E142)&lt;MAX($P$34*($B142+$I$38-1),IF(AND($L$37=0,$P$34=0),"",$L$37-1)),0,YEARFRAC(MAX($P$34*($B142+$I$38-1),IF(AND($L$37=0,$P$34=0),"",$L$37-1)),MIN(BR$38,$E142),$P$20))-SUM($BF142:BQ142))</f>
        <v>0</v>
      </c>
      <c r="BS142" s="446">
        <f>IF($E142=0,0,IF(MIN(BS$38,$E142)&lt;MAX($P$34*($B142+$I$38-1),IF(AND($L$37=0,$P$34=0),"",$L$37-1)),0,YEARFRAC(MAX($P$34*($B142+$I$38-1),IF(AND($L$37=0,$P$34=0),"",$L$37-1)),MIN(BS$38,$E142),$P$20))-SUM($BF142:BR142))</f>
        <v>0</v>
      </c>
      <c r="BT142" s="446">
        <f>IF($E142=0,0,IF(MIN(BT$38,$E142)&lt;MAX($P$34*($B142+$I$38-1),IF(AND($L$37=0,$P$34=0),"",$L$37-1)),0,YEARFRAC(MAX($P$34*($B142+$I$38-1),IF(AND($L$37=0,$P$34=0),"",$L$37-1)),MIN(BT$38,$E142),$P$20))-SUM($BF142:BS142))</f>
        <v>0</v>
      </c>
      <c r="BU142" s="446">
        <f>IF($E142=0,0,IF(MIN(BU$38,$E142)&lt;MAX($P$34*($B142+$I$38-1),IF(AND($L$37=0,$P$34=0),"",$L$37-1)),0,YEARFRAC(MAX($P$34*($B142+$I$38-1),IF(AND($L$37=0,$P$34=0),"",$L$37-1)),MIN(BU$38,$E142),$P$20))-SUM($BF142:BT142))</f>
        <v>0</v>
      </c>
      <c r="BV142" s="446">
        <f>IF($E142=0,0,IF(MIN(BV$38,$E142)&lt;MAX($P$34*($B142+$I$38-1),IF(AND($L$37=0,$P$34=0),"",$L$37-1)),0,YEARFRAC(MAX($P$34*($B142+$I$38-1),IF(AND($L$37=0,$P$34=0),"",$L$37-1)),MIN(BV$38,$E142),$P$20))-SUM($BF142:BU142))</f>
        <v>0</v>
      </c>
      <c r="BW142" s="446">
        <f>IF($E142=0,0,IF(MIN(BW$38,$E142)&lt;MAX($P$34*($B142+$I$38-1),IF(AND($L$37=0,$P$34=0),"",$L$37-1)),0,YEARFRAC(MAX($P$34*($B142+$I$38-1),IF(AND($L$37=0,$P$34=0),"",$L$37-1)),MIN(BW$38,$E142),$P$20))-SUM($BF142:BV142))</f>
        <v>0</v>
      </c>
      <c r="BX142" s="446">
        <f>IF($E142=0,0,IF(MIN(BX$38,$E142)&lt;MAX($P$34*($B142+$I$38-1),IF(AND($L$37=0,$P$34=0),"",$L$37-1)),0,YEARFRAC(MAX($P$34*($B142+$I$38-1),IF(AND($L$37=0,$P$34=0),"",$L$37-1)),MIN(BX$38,$E142),$P$20))-SUM($BF142:BW142))</f>
        <v>0</v>
      </c>
      <c r="BY142" s="446">
        <f>IF($E142=0,0,IF(MIN(BY$38,$E142)&lt;MAX($P$34*($B142+$I$38-1),IF(AND($L$37=0,$P$34=0),"",$L$37-1)),0,YEARFRAC(MAX($P$34*($B142+$I$38-1),IF(AND($L$37=0,$P$34=0),"",$L$37-1)),MIN(BY$38,$E142),$P$20))-SUM($BF142:BX142))</f>
        <v>0</v>
      </c>
      <c r="BZ142" s="446">
        <f>IF($E142=0,0,IF(MIN(BZ$38,$E142)&lt;MAX($P$34*($B142+$I$38-1),IF(AND($L$37=0,$P$34=0),"",$L$37-1)),0,YEARFRAC(MAX($P$34*($B142+$I$38-1),IF(AND($L$37=0,$P$34=0),"",$L$37-1)),MIN(BZ$38,$E142),$P$20))-SUM($BF142:BY142))</f>
        <v>0</v>
      </c>
      <c r="CA142" s="446">
        <f>IF($E142=0,0,IF(MIN(CA$38,$E142)&lt;MAX($P$34*($B142+$I$38-1),IF(AND($L$37=0,$P$34=0),"",$L$37-1)),0,YEARFRAC(MAX($P$34*($B142+$I$38-1),IF(AND($L$37=0,$P$34=0),"",$L$37-1)),MIN(CA$38,$E142),$P$20))-SUM($BF142:BZ142))</f>
        <v>0</v>
      </c>
      <c r="CB142" s="446">
        <f>IF($E142=0,0,IF(MIN(CB$38,$E142)&lt;MAX($P$34*($B142+$I$38-1),IF(AND($L$37=0,$P$34=0),"",$L$37-1)),0,YEARFRAC(MAX($P$34*($B142+$I$38-1),IF(AND($L$37=0,$P$34=0),"",$L$37-1)),MIN(CB$38,$E142),$P$20))-SUM($BF142:CA142))</f>
        <v>0</v>
      </c>
      <c r="CC142" s="446">
        <f>IF($E142=0,0,IF(MIN(CC$38,$E142)&lt;MAX($P$34*($B142+$I$38-1),IF(AND($L$37=0,$P$34=0),"",$L$37-1)),0,YEARFRAC(MAX($P$34*($B142+$I$38-1),IF(AND($L$37=0,$P$34=0),"",$L$37-1)),MIN(CC$38,$E142),$P$20))-SUM($BF142:CB142))</f>
        <v>0</v>
      </c>
      <c r="CD142" s="446">
        <f>IF($E142=0,0,IF(MIN(CD$38,$E142)&lt;MAX($P$34*($B142+$I$38-1),IF(AND($L$37=0,$P$34=0),"",$L$37-1)),0,YEARFRAC(MAX($P$34*($B142+$I$38-1),IF(AND($L$37=0,$P$34=0),"",$L$37-1)),MIN(CD$38,$E142),$P$20))-SUM($BF142:CC142))</f>
        <v>0</v>
      </c>
      <c r="CE142" s="446">
        <f>IF($E142=0,0,IF(MIN(CE$38,$E142)&lt;MAX($P$34*($B142+$I$38-1),IF(AND($L$37=0,$P$34=0),"",$L$37-1)),0,YEARFRAC(MAX($P$34*($B142+$I$38-1),IF(AND($L$37=0,$P$34=0),"",$L$37-1)),MIN(CE$38,$E142),$P$20))-SUM($BF142:CD142))</f>
        <v>0</v>
      </c>
      <c r="CF142" s="446">
        <f>IF($E142=0,0,IF(MIN(CF$38,$E142)&lt;MAX($P$34*($B142+$I$38-1),IF(AND($L$37=0,$P$34=0),"",$L$37-1)),0,YEARFRAC(MAX($P$34*($B142+$I$38-1),IF(AND($L$37=0,$P$34=0),"",$L$37-1)),MIN(CF$38,$E142),$P$20))-SUM($BF142:CE142))</f>
        <v>0</v>
      </c>
      <c r="CG142" s="446">
        <f>IF($E142=0,0,IF(MIN(CG$38,$E142)&lt;MAX($P$34*($B142+$I$38-1),IF(AND($L$37=0,$P$34=0),"",$L$37-1)),0,YEARFRAC(MAX($P$34*($B142+$I$38-1),IF(AND($L$37=0,$P$34=0),"",$L$37-1)),MIN(CG$38,$E142),$P$20))-SUM($BF142:CF142))</f>
        <v>0</v>
      </c>
      <c r="CH142" s="446">
        <f>IF($E142=0,0,IF(MIN(CH$38,$E142)&lt;MAX($P$34*($B142+$I$38-1),IF(AND($L$37=0,$P$34=0),"",$L$37-1)),0,YEARFRAC(MAX($P$34*($B142+$I$38-1),IF(AND($L$37=0,$P$34=0),"",$L$37-1)),MIN(CH$38,$E142),$P$20))-SUM($BF142:CG142))</f>
        <v>0</v>
      </c>
      <c r="CI142" s="446">
        <f>IF($E142=0,0,IF(MIN(CI$38,$E142)&lt;MAX($P$34*($B142+$I$38-1),IF(AND($L$37=0,$P$34=0),"",$L$37-1)),0,YEARFRAC(MAX($P$34*($B142+$I$38-1),IF(AND($L$37=0,$P$34=0),"",$L$37-1)),MIN(CI$38,$E142),$P$20))-SUM($BF142:CH142))</f>
        <v>0</v>
      </c>
      <c r="CJ142" s="446">
        <f>IF($E142=0,0,IF(MIN(CJ$38,$E142)&lt;MAX($P$34*($B142+$I$38-1),IF(AND($L$37=0,$P$34=0),"",$L$37-1)),0,YEARFRAC(MAX($P$34*($B142+$I$38-1),IF(AND($L$37=0,$P$34=0),"",$L$37-1)),MIN(CJ$38,$E142),$P$20))-SUM($BF142:CI142))</f>
        <v>0</v>
      </c>
      <c r="CK142" s="446">
        <f>IF($E142=0,0,IF(MIN(CK$38,$E142)&lt;MAX($P$34*($B142+$I$38-1),IF(AND($L$37=0,$P$34=0),"",$L$37-1)),0,YEARFRAC(MAX($P$34*($B142+$I$38-1),IF(AND($L$37=0,$P$34=0),"",$L$37-1)),MIN(CK$38,$E142),$P$20))-SUM($BF142:CJ142))</f>
        <v>0</v>
      </c>
      <c r="CL142" s="446">
        <f>IF($E142=0,0,IF(MIN(CL$38,$E142)&lt;MAX($P$34*($B142+$I$38-1),IF(AND($L$37=0,$P$34=0),"",$L$37-1)),0,YEARFRAC(MAX($P$34*($B142+$I$38-1),IF(AND($L$37=0,$P$34=0),"",$L$37-1)),MIN(CL$38,$E142),$P$20))-SUM($BF142:CK142))</f>
        <v>0</v>
      </c>
      <c r="CM142" s="446">
        <f>IF($E142=0,0,IF(MIN(CM$38,$E142)&lt;MAX($P$34*($B142+$I$38-1),IF(AND($L$37=0,$P$34=0),"",$L$37-1)),0,YEARFRAC(MAX($P$34*($B142+$I$38-1),IF(AND($L$37=0,$P$34=0),"",$L$37-1)),MIN(CM$38,$E142),$P$20))-SUM($BF142:CL142))</f>
        <v>0</v>
      </c>
      <c r="CN142" s="446">
        <f>IF($E142=0,0,IF(MIN(CN$38,$E142)&lt;MAX($P$34*($B142+$I$38-1),IF(AND($L$37=0,$P$34=0),"",$L$37-1)),0,YEARFRAC(MAX($P$34*($B142+$I$38-1),IF(AND($L$37=0,$P$34=0),"",$L$37-1)),MIN(CN$38,$E142),$P$20))-SUM($BF142:CM142))</f>
        <v>0</v>
      </c>
      <c r="CO142" s="446">
        <f>IF($E142=0,0,IF(MIN(CO$38,$E142)&lt;MAX($P$34*($B142+$I$38-1),IF(AND($L$37=0,$P$34=0),"",$L$37-1)),0,YEARFRAC(MAX($P$34*($B142+$I$38-1),IF(AND($L$37=0,$P$34=0),"",$L$37-1)),MIN(CO$38,$E142),$P$20))-SUM($BF142:CN142))</f>
        <v>0</v>
      </c>
      <c r="CP142" s="446">
        <f>IF($E142=0,0,IF(MIN(CP$38,$E142)&lt;MAX($P$34*($B142+$I$38-1),IF(AND($L$37=0,$P$34=0),"",$L$37-1)),0,YEARFRAC(MAX($P$34*($B142+$I$38-1),IF(AND($L$37=0,$P$34=0),"",$L$37-1)),MIN(CP$38,$E142),$P$20))-SUM($BF142:CO142))</f>
        <v>0</v>
      </c>
      <c r="CQ142" s="446">
        <f>IF($E142=0,0,IF(MIN(CQ$38,$E142)&lt;MAX($P$34*($B142+$I$38-1),IF(AND($L$37=0,$P$34=0),"",$L$37-1)),0,YEARFRAC(MAX($P$34*($B142+$I$38-1),IF(AND($L$37=0,$P$34=0),"",$L$37-1)),MIN(CQ$38,$E142),$P$20))-SUM($BF142:CP142))</f>
        <v>0</v>
      </c>
    </row>
    <row r="143" spans="1:95" s="446" customFormat="1" ht="11.25" hidden="1" customHeight="1" x14ac:dyDescent="0.2">
      <c r="A143" s="152"/>
      <c r="B143" s="153" t="str">
        <f t="shared" si="26"/>
        <v/>
      </c>
      <c r="C143" s="29" t="str">
        <f>IF(B143="","",IF($L$35="SELIC - TRIBUTOS",VLOOKUP(DATE(YEAR($D$19),MONTH($D$19)-1,1),ÍNDICES!$A:$DE,HLOOKUP($BL$25,ÍNDICES!$B$3:$T$4,2)+11)-VLOOKUP(B143,ÍNDICES!$A:$DE,HLOOKUP($BL$25,ÍNDICES!$B$3:$T$4,2)+11)+1%,IF(C$38=$W$26,$J$35,IF(ISERROR(IF(B143&gt;$D$19,1,VLOOKUP(DATE(YEAR(B143),MONTH(B143)+IF($C$35=$S$23,1,0),1),ÍNDICES!$A:$DE,$Z$35+1))),"",IF(B143&gt;$D$19,1,VLOOKUP(DATE(YEAR(B143),MONTH(B143)+IF($C$35=$S$23,1,0),1),ÍNDICES!$A:$DE,$Z$35+1))))))</f>
        <v/>
      </c>
      <c r="D143" s="154" t="str">
        <f>IF(ISERROR(IF(OR($D$38=$Y$27,$B143=""),"",VLOOKUP(B143,ÍNDICES!A:DE,AF$35+1))),"",IF(OR($D$38=$Y$27,$B143=""),"",VLOOKUP(B143,ÍNDICES!A:DE,AF$35+1)))</f>
        <v/>
      </c>
      <c r="E143" s="153"/>
      <c r="F143" s="29" t="str">
        <f>IF(E143="","",IF($L$35="SELIC - TRIBUTOS",VLOOKUP(DATE(YEAR($D$19),MONTH($D$19)-1,1),ÍNDICES!$A:$DE,HLOOKUP($BL$25,ÍNDICES!$B$3:$T$4,2)+11)-VLOOKUP(E143,ÍNDICES!$A:$DE,HLOOKUP($BL$25,ÍNDICES!$B$3:$T$4,2)+11)+1%,IF(F$38=$W$26,$J$35,IF(ISERROR(IF(E143&gt;$D$19,1,VLOOKUP(DATE(YEAR(E143),MONTH(E143)+IF($C$35=$S$23,1,0),1),ÍNDICES!$A:$DE,$Z$35+1))),"",IF(E143&gt;$D$19,1,VLOOKUP(DATE(YEAR(E143),MONTH(E143)+IF($C$35=$S$23,1,0),1),ÍNDICES!$A:$DE,$Z$35+1))))))</f>
        <v/>
      </c>
      <c r="G143" s="155"/>
      <c r="H143" s="156" t="str">
        <f t="shared" si="22"/>
        <v/>
      </c>
      <c r="I143" s="29" t="str">
        <f t="shared" si="16"/>
        <v/>
      </c>
      <c r="J143" s="5">
        <f t="shared" si="17"/>
        <v>0</v>
      </c>
      <c r="K143" s="20">
        <f t="shared" ca="1" si="18"/>
        <v>0</v>
      </c>
      <c r="L143" s="5">
        <f t="shared" ca="1" si="19"/>
        <v>0</v>
      </c>
      <c r="M143" s="64">
        <f t="shared" si="23"/>
        <v>0</v>
      </c>
      <c r="N143" s="61">
        <f t="shared" ca="1" si="24"/>
        <v>0</v>
      </c>
      <c r="O143" s="5">
        <f t="shared" ca="1" si="25"/>
        <v>0</v>
      </c>
      <c r="P143" s="446" t="e">
        <f t="shared" si="20"/>
        <v>#VALUE!</v>
      </c>
      <c r="Q143" s="446" t="e">
        <f>IF(OR($B143="",MIN(Q$38,$D$19)&lt;MAX($P$34*($B143+IF($R$17="Distrato",$I$38-1,0)),IF(AND($L$37=0,$P$34=0),"",$L$37-1),IF($R$17="Distrato",$E143,0))),0,YEARFRAC(MAX($P$34*($B143+IF($R$17="Distrato",$I$38-1,0)),IF(AND($L$37=0,$P$34=0),"",$L$37-1),IF($R$17="Distrato",$E143,0)),MIN(Q$38,$D$19),$P$20))-SUM($P143:P143)</f>
        <v>#VALUE!</v>
      </c>
      <c r="R143" s="446" t="e">
        <f>IF(OR($B143="",MIN(R$38,$D$19)&lt;MAX($P$34*($B143+IF($R$17="Distrato",$I$38-1,0)),IF(AND($L$37=0,$P$34=0),"",$L$37-1),IF($R$17="Distrato",$E143,0))),0,YEARFRAC(MAX($P$34*($B143+IF($R$17="Distrato",$I$38-1,0)),IF(AND($L$37=0,$P$34=0),"",$L$37-1),IF($R$17="Distrato",$E143,0)),MIN(R$38,$D$19),$P$20))-SUM($P143:Q143)</f>
        <v>#VALUE!</v>
      </c>
      <c r="S143" s="446" t="e">
        <f>IF(OR($B143="",MIN(S$38,$D$19)&lt;MAX($P$34*($B143+IF($R$17="Distrato",$I$38-1,0)),IF(AND($L$37=0,$P$34=0),"",$L$37-1),IF($R$17="Distrato",$E143,0))),0,YEARFRAC(MAX($P$34*($B143+IF($R$17="Distrato",$I$38-1,0)),IF(AND($L$37=0,$P$34=0),"",$L$37-1),IF($R$17="Distrato",$E143,0)),MIN(S$38,$D$19),$P$20))-SUM($P143:R143)</f>
        <v>#VALUE!</v>
      </c>
      <c r="T143" s="446" t="e">
        <f>IF(OR($B143="",MIN(T$38,$D$19)&lt;MAX($P$34*($B143+IF($R$17="Distrato",$I$38-1,0)),IF(AND($L$37=0,$P$34=0),"",$L$37-1),IF($R$17="Distrato",$E143,0))),0,YEARFRAC(MAX($P$34*($B143+IF($R$17="Distrato",$I$38-1,0)),IF(AND($L$37=0,$P$34=0),"",$L$37-1),IF($R$17="Distrato",$E143,0)),MIN(T$38,$D$19),$P$20))-SUM($P143:S143)</f>
        <v>#VALUE!</v>
      </c>
      <c r="U143" s="446" t="e">
        <f>IF(OR($B143="",MIN(U$38,$D$19)&lt;MAX($P$34*($B143+IF($R$17="Distrato",$I$38-1,0)),IF(AND($L$37=0,$P$34=0),"",$L$37-1),IF($R$17="Distrato",$E143,0))),0,YEARFRAC(MAX($P$34*($B143+IF($R$17="Distrato",$I$38-1,0)),IF(AND($L$37=0,$P$34=0),"",$L$37-1),IF($R$17="Distrato",$E143,0)),MIN(U$38,$D$19),$P$20))-SUM($P143:T143)</f>
        <v>#VALUE!</v>
      </c>
      <c r="V143" s="446" t="e">
        <f>IF(OR($B143="",MIN(V$38,$D$19)&lt;MAX($P$34*($B143+IF($R$17="Distrato",$I$38-1,0)),IF(AND($L$37=0,$P$34=0),"",$L$37-1),IF($R$17="Distrato",$E143,0))),0,YEARFRAC(MAX($P$34*($B143+IF($R$17="Distrato",$I$38-1,0)),IF(AND($L$37=0,$P$34=0),"",$L$37-1),IF($R$17="Distrato",$E143,0)),MIN(V$38,$D$19),$P$20))-SUM($P143:U143)</f>
        <v>#VALUE!</v>
      </c>
      <c r="W143" s="446" t="e">
        <f>IF(OR($B143="",MIN(W$38,$D$19)&lt;MAX($P$34*($B143+IF($R$17="Distrato",$I$38-1,0)),IF(AND($L$37=0,$P$34=0),"",$L$37-1),IF($R$17="Distrato",$E143,0))),0,YEARFRAC(MAX($P$34*($B143+IF($R$17="Distrato",$I$38-1,0)),IF(AND($L$37=0,$P$34=0),"",$L$37-1),IF($R$17="Distrato",$E143,0)),MIN(W$38,$D$19),$P$20))-SUM($P143:V143)</f>
        <v>#VALUE!</v>
      </c>
      <c r="X143" s="446" t="e">
        <f>IF(OR($B143="",MIN(X$38,$D$19)&lt;MAX($P$34*($B143+IF($R$17="Distrato",$I$38-1,0)),IF(AND($L$37=0,$P$34=0),"",$L$37-1),IF($R$17="Distrato",$E143,0))),0,YEARFRAC(MAX($P$34*($B143+IF($R$17="Distrato",$I$38-1,0)),IF(AND($L$37=0,$P$34=0),"",$L$37-1),IF($R$17="Distrato",$E143,0)),MIN(X$38,$D$19),$P$20))-SUM($P143:W143)</f>
        <v>#VALUE!</v>
      </c>
      <c r="Y143" s="446" t="e">
        <f>IF(OR($B143="",MIN(Y$38,$D$19)&lt;MAX($P$34*($B143+IF($R$17="Distrato",$I$38-1,0)),IF(AND($L$37=0,$P$34=0),"",$L$37-1),IF($R$17="Distrato",$E143,0))),0,YEARFRAC(MAX($P$34*($B143+IF($R$17="Distrato",$I$38-1,0)),IF(AND($L$37=0,$P$34=0),"",$L$37-1),IF($R$17="Distrato",$E143,0)),MIN(Y$38,$D$19),$P$20))-SUM($P143:X143)</f>
        <v>#VALUE!</v>
      </c>
      <c r="Z143" s="446" t="e">
        <f>IF(OR($B143="",MIN(Z$38,$D$19)&lt;MAX($P$34*($B143+IF($R$17="Distrato",$I$38-1,0)),IF(AND($L$37=0,$P$34=0),"",$L$37-1),IF($R$17="Distrato",$E143,0))),0,YEARFRAC(MAX($P$34*($B143+IF($R$17="Distrato",$I$38-1,0)),IF(AND($L$37=0,$P$34=0),"",$L$37-1),IF($R$17="Distrato",$E143,0)),MIN(Z$38,$D$19),$P$20))-SUM($P143:Y143)</f>
        <v>#VALUE!</v>
      </c>
      <c r="AA143" s="446" t="e">
        <f>IF(OR($B143="",MIN(AA$38,$D$19)&lt;MAX($P$34*($B143+IF($R$17="Distrato",$I$38-1,0)),IF(AND($L$37=0,$P$34=0),"",$L$37-1),IF($R$17="Distrato",$E143,0))),0,YEARFRAC(MAX($P$34*($B143+IF($R$17="Distrato",$I$38-1,0)),IF(AND($L$37=0,$P$34=0),"",$L$37-1),IF($R$17="Distrato",$E143,0)),MIN(AA$38,$D$19),$P$20))-SUM($P143:Z143)</f>
        <v>#VALUE!</v>
      </c>
      <c r="AB143" s="446" t="e">
        <f>IF(OR($B143="",MIN(AB$38,$D$19)&lt;MAX($P$34*($B143+IF($R$17="Distrato",$I$38-1,0)),IF(AND($L$37=0,$P$34=0),"",$L$37-1),IF($R$17="Distrato",$E143,0))),0,YEARFRAC(MAX($P$34*($B143+IF($R$17="Distrato",$I$38-1,0)),IF(AND($L$37=0,$P$34=0),"",$L$37-1),IF($R$17="Distrato",$E143,0)),MIN(AB$38,$D$19),$P$20))-SUM($P143:AA143)</f>
        <v>#VALUE!</v>
      </c>
      <c r="AC143" s="446" t="e">
        <f>IF(OR($B143="",MIN(AC$38,$D$19)&lt;MAX($P$34*($B143+IF($R$17="Distrato",$I$38-1,0)),IF(AND($L$37=0,$P$34=0),"",$L$37-1),IF($R$17="Distrato",$E143,0))),0,YEARFRAC(MAX($P$34*($B143+IF($R$17="Distrato",$I$38-1,0)),IF(AND($L$37=0,$P$34=0),"",$L$37-1),IF($R$17="Distrato",$E143,0)),MIN(AC$38,$D$19),$P$20))-SUM($P143:AB143)</f>
        <v>#VALUE!</v>
      </c>
      <c r="AD143" s="446" t="e">
        <f>IF(OR($B143="",MIN(AD$38,$D$19)&lt;MAX($P$34*($B143+IF($R$17="Distrato",$I$38-1,0)),IF(AND($L$37=0,$P$34=0),"",$L$37-1),IF($R$17="Distrato",$E143,0))),0,YEARFRAC(MAX($P$34*($B143+IF($R$17="Distrato",$I$38-1,0)),IF(AND($L$37=0,$P$34=0),"",$L$37-1),IF($R$17="Distrato",$E143,0)),MIN(AD$38,$D$19),$P$20))-SUM($P143:AC143)</f>
        <v>#VALUE!</v>
      </c>
      <c r="AE143" s="446" t="e">
        <f>IF(OR($B143="",MIN(AE$38,$D$19)&lt;MAX($P$34*($B143+IF($R$17="Distrato",$I$38-1,0)),IF(AND($L$37=0,$P$34=0),"",$L$37-1),IF($R$17="Distrato",$E143,0))),0,YEARFRAC(MAX($P$34*($B143+IF($R$17="Distrato",$I$38-1,0)),IF(AND($L$37=0,$P$34=0),"",$L$37-1),IF($R$17="Distrato",$E143,0)),MIN(AE$38,$D$19),$P$20))-SUM($P143:AD143)</f>
        <v>#VALUE!</v>
      </c>
      <c r="AF143" s="446" t="e">
        <f>IF(OR($B143="",MIN(AF$38,$D$19)&lt;MAX($P$34*($B143+IF($R$17="Distrato",$I$38-1,0)),IF(AND($L$37=0,$P$34=0),"",$L$37-1),IF($R$17="Distrato",$E143,0))),0,YEARFRAC(MAX($P$34*($B143+IF($R$17="Distrato",$I$38-1,0)),IF(AND($L$37=0,$P$34=0),"",$L$37-1),IF($R$17="Distrato",$E143,0)),MIN(AF$38,$D$19),$P$20))-SUM($P143:AE143)</f>
        <v>#VALUE!</v>
      </c>
      <c r="AG143" s="446" t="e">
        <f>IF(OR($B143="",MIN(AG$38,$D$19)&lt;MAX($P$34*($B143+IF($R$17="Distrato",$I$38-1,0)),IF(AND($L$37=0,$P$34=0),"",$L$37-1),IF($R$17="Distrato",$E143,0))),0,YEARFRAC(MAX($P$34*($B143+IF($R$17="Distrato",$I$38-1,0)),IF(AND($L$37=0,$P$34=0),"",$L$37-1),IF($R$17="Distrato",$E143,0)),MIN(AG$38,$D$19),$P$20))-SUM($P143:AF143)</f>
        <v>#VALUE!</v>
      </c>
      <c r="AH143" s="446" t="e">
        <f>IF(OR($B143="",MIN(AH$38,$D$19)&lt;MAX($P$34*($B143+IF($R$17="Distrato",$I$38-1,0)),IF(AND($L$37=0,$P$34=0),"",$L$37-1),IF($R$17="Distrato",$E143,0))),0,YEARFRAC(MAX($P$34*($B143+IF($R$17="Distrato",$I$38-1,0)),IF(AND($L$37=0,$P$34=0),"",$L$37-1),IF($R$17="Distrato",$E143,0)),MIN(AH$38,$D$19),$P$20))-SUM($P143:AG143)</f>
        <v>#VALUE!</v>
      </c>
      <c r="AI143" s="446" t="e">
        <f>IF(OR($B143="",MIN(AI$38,$D$19)&lt;MAX($P$34*($B143+IF($R$17="Distrato",$I$38-1,0)),IF(AND($L$37=0,$P$34=0),"",$L$37-1),IF($R$17="Distrato",$E143,0))),0,YEARFRAC(MAX($P$34*($B143+IF($R$17="Distrato",$I$38-1,0)),IF(AND($L$37=0,$P$34=0),"",$L$37-1),IF($R$17="Distrato",$E143,0)),MIN(AI$38,$D$19),$P$20))-SUM($P143:AH143)</f>
        <v>#VALUE!</v>
      </c>
      <c r="AJ143" s="446" t="e">
        <f>IF(OR($B143="",MIN(AJ$38,$D$19)&lt;MAX($P$34*($B143+IF($R$17="Distrato",$I$38-1,0)),IF(AND($L$37=0,$P$34=0),"",$L$37-1),IF($R$17="Distrato",$E143,0))),0,YEARFRAC(MAX($P$34*($B143+IF($R$17="Distrato",$I$38-1,0)),IF(AND($L$37=0,$P$34=0),"",$L$37-1),IF($R$17="Distrato",$E143,0)),MIN(AJ$38,$D$19),$P$20))-SUM($P143:AI143)</f>
        <v>#VALUE!</v>
      </c>
      <c r="AK143" s="446" t="e">
        <f>IF(OR($B143="",MIN(AK$38,$D$19)&lt;MAX($P$34*($B143+IF($R$17="Distrato",$I$38-1,0)),IF(AND($L$37=0,$P$34=0),"",$L$37-1),IF($R$17="Distrato",$E143,0))),0,YEARFRAC(MAX($P$34*($B143+IF($R$17="Distrato",$I$38-1,0)),IF(AND($L$37=0,$P$34=0),"",$L$37-1),IF($R$17="Distrato",$E143,0)),MIN(AK$38,$D$19),$P$20))-SUM($P143:AJ143)</f>
        <v>#VALUE!</v>
      </c>
      <c r="AL143" s="446" t="e">
        <f>IF(OR($B143="",MIN(AL$38,$D$19)&lt;MAX($P$34*($B143+IF($R$17="Distrato",$I$38-1,0)),IF(AND($L$37=0,$P$34=0),"",$L$37-1),IF($R$17="Distrato",$E143,0))),0,YEARFRAC(MAX($P$34*($B143+IF($R$17="Distrato",$I$38-1,0)),IF(AND($L$37=0,$P$34=0),"",$L$37-1),IF($R$17="Distrato",$E143,0)),MIN(AL$38,$D$19),$P$20))-SUM($P143:AK143)</f>
        <v>#VALUE!</v>
      </c>
      <c r="AM143" s="446" t="e">
        <f>IF(OR($B143="",MIN(AM$38,$D$19)&lt;MAX($P$34*($B143+IF($R$17="Distrato",$I$38-1,0)),IF(AND($L$37=0,$P$34=0),"",$L$37-1),IF($R$17="Distrato",$E143,0))),0,YEARFRAC(MAX($P$34*($B143+IF($R$17="Distrato",$I$38-1,0)),IF(AND($L$37=0,$P$34=0),"",$L$37-1),IF($R$17="Distrato",$E143,0)),MIN(AM$38,$D$19),$P$20))-SUM($P143:AL143)</f>
        <v>#VALUE!</v>
      </c>
      <c r="AN143" s="446" t="e">
        <f>IF(OR($B143="",MIN(AN$38,$D$19)&lt;MAX($P$34*($B143+IF($R$17="Distrato",$I$38-1,0)),IF(AND($L$37=0,$P$34=0),"",$L$37-1),IF($R$17="Distrato",$E143,0))),0,YEARFRAC(MAX($P$34*($B143+IF($R$17="Distrato",$I$38-1,0)),IF(AND($L$37=0,$P$34=0),"",$L$37-1),IF($R$17="Distrato",$E143,0)),MIN(AN$38,$D$19),$P$20))-SUM($P143:AM143)</f>
        <v>#VALUE!</v>
      </c>
      <c r="AO143" s="446" t="e">
        <f>IF(OR($B143="",MIN(AO$38,$D$19)&lt;MAX($P$34*($B143+IF($R$17="Distrato",$I$38-1,0)),IF(AND($L$37=0,$P$34=0),"",$L$37-1),IF($R$17="Distrato",$E143,0))),0,YEARFRAC(MAX($P$34*($B143+IF($R$17="Distrato",$I$38-1,0)),IF(AND($L$37=0,$P$34=0),"",$L$37-1),IF($R$17="Distrato",$E143,0)),MIN(AO$38,$D$19),$P$20))-SUM($P143:AN143)</f>
        <v>#VALUE!</v>
      </c>
      <c r="AP143" s="446" t="e">
        <f>IF(OR($B143="",MIN(AP$38,$D$19)&lt;MAX($P$34*($B143+IF($R$17="Distrato",$I$38-1,0)),IF(AND($L$37=0,$P$34=0),"",$L$37-1),IF($R$17="Distrato",$E143,0))),0,YEARFRAC(MAX($P$34*($B143+IF($R$17="Distrato",$I$38-1,0)),IF(AND($L$37=0,$P$34=0),"",$L$37-1),IF($R$17="Distrato",$E143,0)),MIN(AP$38,$D$19),$P$20))-SUM($P143:AO143)</f>
        <v>#VALUE!</v>
      </c>
      <c r="AQ143" s="446" t="e">
        <f>IF(OR($B143="",MIN(AQ$38,$D$19)&lt;MAX($P$34*($B143+IF($R$17="Distrato",$I$38-1,0)),IF(AND($L$37=0,$P$34=0),"",$L$37-1),IF($R$17="Distrato",$E143,0))),0,YEARFRAC(MAX($P$34*($B143+IF($R$17="Distrato",$I$38-1,0)),IF(AND($L$37=0,$P$34=0),"",$L$37-1),IF($R$17="Distrato",$E143,0)),MIN(AQ$38,$D$19),$P$20))-SUM($P143:AP143)</f>
        <v>#VALUE!</v>
      </c>
      <c r="AR143" s="446" t="e">
        <f>IF(OR($B143="",MIN(AR$38,$D$19)&lt;MAX($P$34*($B143+IF($R$17="Distrato",$I$38-1,0)),IF(AND($L$37=0,$P$34=0),"",$L$37-1),IF($R$17="Distrato",$E143,0))),0,YEARFRAC(MAX($P$34*($B143+IF($R$17="Distrato",$I$38-1,0)),IF(AND($L$37=0,$P$34=0),"",$L$37-1),IF($R$17="Distrato",$E143,0)),MIN(AR$38,$D$19),$P$20))-SUM($P143:AQ143)</f>
        <v>#VALUE!</v>
      </c>
      <c r="AS143" s="446" t="e">
        <f>IF(OR($B143="",MIN(AS$38,$D$19)&lt;MAX($P$34*($B143+IF($R$17="Distrato",$I$38-1,0)),IF(AND($L$37=0,$P$34=0),"",$L$37-1),IF($R$17="Distrato",$E143,0))),0,YEARFRAC(MAX($P$34*($B143+IF($R$17="Distrato",$I$38-1,0)),IF(AND($L$37=0,$P$34=0),"",$L$37-1),IF($R$17="Distrato",$E143,0)),MIN(AS$38,$D$19),$P$20))-SUM($P143:AR143)</f>
        <v>#VALUE!</v>
      </c>
      <c r="AT143" s="446" t="e">
        <f>IF(OR($B143="",MIN(AT$38,$D$19)&lt;MAX($P$34*($B143+IF($R$17="Distrato",$I$38-1,0)),IF(AND($L$37=0,$P$34=0),"",$L$37-1),IF($R$17="Distrato",$E143,0))),0,YEARFRAC(MAX($P$34*($B143+IF($R$17="Distrato",$I$38-1,0)),IF(AND($L$37=0,$P$34=0),"",$L$37-1),IF($R$17="Distrato",$E143,0)),MIN(AT$38,$D$19),$P$20))-SUM($P143:AS143)</f>
        <v>#VALUE!</v>
      </c>
      <c r="AU143" s="446" t="e">
        <f>IF(OR($B143="",MIN(AU$38,$D$19)&lt;MAX($P$34*($B143+IF($R$17="Distrato",$I$38-1,0)),IF(AND($L$37=0,$P$34=0),"",$L$37-1),IF($R$17="Distrato",$E143,0))),0,YEARFRAC(MAX($P$34*($B143+IF($R$17="Distrato",$I$38-1,0)),IF(AND($L$37=0,$P$34=0),"",$L$37-1),IF($R$17="Distrato",$E143,0)),MIN(AU$38,$D$19),$P$20))-SUM($P143:AT143)</f>
        <v>#VALUE!</v>
      </c>
      <c r="AV143" s="446" t="e">
        <f>IF(OR($B143="",MIN(AV$38,$D$19)&lt;MAX($P$34*($B143+IF($R$17="Distrato",$I$38-1,0)),IF(AND($L$37=0,$P$34=0),"",$L$37-1),IF($R$17="Distrato",$E143,0))),0,YEARFRAC(MAX($P$34*($B143+IF($R$17="Distrato",$I$38-1,0)),IF(AND($L$37=0,$P$34=0),"",$L$37-1),IF($R$17="Distrato",$E143,0)),MIN(AV$38,$D$19),$P$20))-SUM($P143:AU143)</f>
        <v>#VALUE!</v>
      </c>
      <c r="AW143" s="446" t="e">
        <f>IF(OR($B143="",MIN(AW$38,$D$19)&lt;MAX($P$34*($B143+IF($R$17="Distrato",$I$38-1,0)),IF(AND($L$37=0,$P$34=0),"",$L$37-1),IF($R$17="Distrato",$E143,0))),0,YEARFRAC(MAX($P$34*($B143+IF($R$17="Distrato",$I$38-1,0)),IF(AND($L$37=0,$P$34=0),"",$L$37-1),IF($R$17="Distrato",$E143,0)),MIN(AW$38,$D$19),$P$20))-SUM($P143:AV143)</f>
        <v>#VALUE!</v>
      </c>
      <c r="AX143" s="446" t="e">
        <f>IF(OR($B143="",MIN(AX$38,$D$19)&lt;MAX($P$34*($B143+IF($R$17="Distrato",$I$38-1,0)),IF(AND($L$37=0,$P$34=0),"",$L$37-1),IF($R$17="Distrato",$E143,0))),0,YEARFRAC(MAX($P$34*($B143+IF($R$17="Distrato",$I$38-1,0)),IF(AND($L$37=0,$P$34=0),"",$L$37-1),IF($R$17="Distrato",$E143,0)),MIN(AX$38,$D$19),$P$20))-SUM($P143:AW143)</f>
        <v>#VALUE!</v>
      </c>
      <c r="AY143" s="446" t="e">
        <f>IF(OR($B143="",MIN(AY$38,$D$19)&lt;MAX($P$34*($B143+IF($R$17="Distrato",$I$38-1,0)),IF(AND($L$37=0,$P$34=0),"",$L$37-1),IF($R$17="Distrato",$E143,0))),0,YEARFRAC(MAX($P$34*($B143+IF($R$17="Distrato",$I$38-1,0)),IF(AND($L$37=0,$P$34=0),"",$L$37-1),IF($R$17="Distrato",$E143,0)),MIN(AY$38,$D$19),$P$20))-SUM($P143:AX143)</f>
        <v>#VALUE!</v>
      </c>
      <c r="AZ143" s="446" t="e">
        <f>IF(OR($B143="",MIN(AZ$38,$D$19)&lt;MAX($P$34*($B143+IF($R$17="Distrato",$I$38-1,0)),IF(AND($L$37=0,$P$34=0),"",$L$37-1),IF($R$17="Distrato",$E143,0))),0,YEARFRAC(MAX($P$34*($B143+IF($R$17="Distrato",$I$38-1,0)),IF(AND($L$37=0,$P$34=0),"",$L$37-1),IF($R$17="Distrato",$E143,0)),MIN(AZ$38,$D$19),$P$20))-SUM($P143:AY143)</f>
        <v>#VALUE!</v>
      </c>
      <c r="BA143" s="446" t="e">
        <f>IF(OR($B143="",MIN(BA$38,$D$19)&lt;MAX($P$34*($B143+IF($R$17="Distrato",$I$38-1,0)),IF(AND($L$37=0,$P$34=0),"",$L$37-1),IF($R$17="Distrato",$E143,0))),0,YEARFRAC(MAX($P$34*($B143+IF($R$17="Distrato",$I$38-1,0)),IF(AND($L$37=0,$P$34=0),"",$L$37-1),IF($R$17="Distrato",$E143,0)),MIN(BA$38,$D$19),$P$20))-SUM($P143:AZ143)</f>
        <v>#VALUE!</v>
      </c>
      <c r="BB143" s="447"/>
      <c r="BF143" s="446">
        <f t="shared" si="21"/>
        <v>0</v>
      </c>
      <c r="BG143" s="446">
        <f>IF($E143=0,0,IF(MIN(BG$38,$E143)&lt;MAX($P$34*($B143+$I$38-1),IF(AND($L$37=0,$P$34=0),"",$L$37-1)),0,YEARFRAC(MAX($P$34*($B143+$I$38-1),IF(AND($L$37=0,$P$34=0),"",$L$37-1)),MIN(BG$38,$E143),$P$20))-SUM($BF143:BF143))</f>
        <v>0</v>
      </c>
      <c r="BH143" s="446">
        <f>IF($E143=0,0,IF(MIN(BH$38,$E143)&lt;MAX($P$34*($B143+$I$38-1),IF(AND($L$37=0,$P$34=0),"",$L$37-1)),0,YEARFRAC(MAX($P$34*($B143+$I$38-1),IF(AND($L$37=0,$P$34=0),"",$L$37-1)),MIN(BH$38,$E143),$P$20))-SUM($BF143:BG143))</f>
        <v>0</v>
      </c>
      <c r="BI143" s="446">
        <f>IF($E143=0,0,IF(MIN(BI$38,$E143)&lt;MAX($P$34*($B143+$I$38-1),IF(AND($L$37=0,$P$34=0),"",$L$37-1)),0,YEARFRAC(MAX($P$34*($B143+$I$38-1),IF(AND($L$37=0,$P$34=0),"",$L$37-1)),MIN(BI$38,$E143),$P$20))-SUM($BF143:BH143))</f>
        <v>0</v>
      </c>
      <c r="BJ143" s="446">
        <f>IF($E143=0,0,IF(MIN(BJ$38,$E143)&lt;MAX($P$34*($B143+$I$38-1),IF(AND($L$37=0,$P$34=0),"",$L$37-1)),0,YEARFRAC(MAX($P$34*($B143+$I$38-1),IF(AND($L$37=0,$P$34=0),"",$L$37-1)),MIN(BJ$38,$E143),$P$20))-SUM($BF143:BI143))</f>
        <v>0</v>
      </c>
      <c r="BK143" s="446">
        <f>IF($E143=0,0,IF(MIN(BK$38,$E143)&lt;MAX($P$34*($B143+$I$38-1),IF(AND($L$37=0,$P$34=0),"",$L$37-1)),0,YEARFRAC(MAX($P$34*($B143+$I$38-1),IF(AND($L$37=0,$P$34=0),"",$L$37-1)),MIN(BK$38,$E143),$P$20))-SUM($BF143:BJ143))</f>
        <v>0</v>
      </c>
      <c r="BL143" s="446">
        <f>IF($E143=0,0,IF(MIN(BL$38,$E143)&lt;MAX($P$34*($B143+$I$38-1),IF(AND($L$37=0,$P$34=0),"",$L$37-1)),0,YEARFRAC(MAX($P$34*($B143+$I$38-1),IF(AND($L$37=0,$P$34=0),"",$L$37-1)),MIN(BL$38,$E143),$P$20))-SUM($BF143:BK143))</f>
        <v>0</v>
      </c>
      <c r="BM143" s="446">
        <f>IF($E143=0,0,IF(MIN(BM$38,$E143)&lt;MAX($P$34*($B143+$I$38-1),IF(AND($L$37=0,$P$34=0),"",$L$37-1)),0,YEARFRAC(MAX($P$34*($B143+$I$38-1),IF(AND($L$37=0,$P$34=0),"",$L$37-1)),MIN(BM$38,$E143),$P$20))-SUM($BF143:BL143))</f>
        <v>0</v>
      </c>
      <c r="BN143" s="446">
        <f>IF($E143=0,0,IF(MIN(BN$38,$E143)&lt;MAX($P$34*($B143+$I$38-1),IF(AND($L$37=0,$P$34=0),"",$L$37-1)),0,YEARFRAC(MAX($P$34*($B143+$I$38-1),IF(AND($L$37=0,$P$34=0),"",$L$37-1)),MIN(BN$38,$E143),$P$20))-SUM($BF143:BM143))</f>
        <v>0</v>
      </c>
      <c r="BO143" s="446">
        <f>IF($E143=0,0,IF(MIN(BO$38,$E143)&lt;MAX($P$34*($B143+$I$38-1),IF(AND($L$37=0,$P$34=0),"",$L$37-1)),0,YEARFRAC(MAX($P$34*($B143+$I$38-1),IF(AND($L$37=0,$P$34=0),"",$L$37-1)),MIN(BO$38,$E143),$P$20))-SUM($BF143:BN143))</f>
        <v>0</v>
      </c>
      <c r="BP143" s="446">
        <f>IF($E143=0,0,IF(MIN(BP$38,$E143)&lt;MAX($P$34*($B143+$I$38-1),IF(AND($L$37=0,$P$34=0),"",$L$37-1)),0,YEARFRAC(MAX($P$34*($B143+$I$38-1),IF(AND($L$37=0,$P$34=0),"",$L$37-1)),MIN(BP$38,$E143),$P$20))-SUM($BF143:BO143))</f>
        <v>0</v>
      </c>
      <c r="BQ143" s="446">
        <f>IF($E143=0,0,IF(MIN(BQ$38,$E143)&lt;MAX($P$34*($B143+$I$38-1),IF(AND($L$37=0,$P$34=0),"",$L$37-1)),0,YEARFRAC(MAX($P$34*($B143+$I$38-1),IF(AND($L$37=0,$P$34=0),"",$L$37-1)),MIN(BQ$38,$E143),$P$20))-SUM($BF143:BP143))</f>
        <v>0</v>
      </c>
      <c r="BR143" s="446">
        <f>IF($E143=0,0,IF(MIN(BR$38,$E143)&lt;MAX($P$34*($B143+$I$38-1),IF(AND($L$37=0,$P$34=0),"",$L$37-1)),0,YEARFRAC(MAX($P$34*($B143+$I$38-1),IF(AND($L$37=0,$P$34=0),"",$L$37-1)),MIN(BR$38,$E143),$P$20))-SUM($BF143:BQ143))</f>
        <v>0</v>
      </c>
      <c r="BS143" s="446">
        <f>IF($E143=0,0,IF(MIN(BS$38,$E143)&lt;MAX($P$34*($B143+$I$38-1),IF(AND($L$37=0,$P$34=0),"",$L$37-1)),0,YEARFRAC(MAX($P$34*($B143+$I$38-1),IF(AND($L$37=0,$P$34=0),"",$L$37-1)),MIN(BS$38,$E143),$P$20))-SUM($BF143:BR143))</f>
        <v>0</v>
      </c>
      <c r="BT143" s="446">
        <f>IF($E143=0,0,IF(MIN(BT$38,$E143)&lt;MAX($P$34*($B143+$I$38-1),IF(AND($L$37=0,$P$34=0),"",$L$37-1)),0,YEARFRAC(MAX($P$34*($B143+$I$38-1),IF(AND($L$37=0,$P$34=0),"",$L$37-1)),MIN(BT$38,$E143),$P$20))-SUM($BF143:BS143))</f>
        <v>0</v>
      </c>
      <c r="BU143" s="446">
        <f>IF($E143=0,0,IF(MIN(BU$38,$E143)&lt;MAX($P$34*($B143+$I$38-1),IF(AND($L$37=0,$P$34=0),"",$L$37-1)),0,YEARFRAC(MAX($P$34*($B143+$I$38-1),IF(AND($L$37=0,$P$34=0),"",$L$37-1)),MIN(BU$38,$E143),$P$20))-SUM($BF143:BT143))</f>
        <v>0</v>
      </c>
      <c r="BV143" s="446">
        <f>IF($E143=0,0,IF(MIN(BV$38,$E143)&lt;MAX($P$34*($B143+$I$38-1),IF(AND($L$37=0,$P$34=0),"",$L$37-1)),0,YEARFRAC(MAX($P$34*($B143+$I$38-1),IF(AND($L$37=0,$P$34=0),"",$L$37-1)),MIN(BV$38,$E143),$P$20))-SUM($BF143:BU143))</f>
        <v>0</v>
      </c>
      <c r="BW143" s="446">
        <f>IF($E143=0,0,IF(MIN(BW$38,$E143)&lt;MAX($P$34*($B143+$I$38-1),IF(AND($L$37=0,$P$34=0),"",$L$37-1)),0,YEARFRAC(MAX($P$34*($B143+$I$38-1),IF(AND($L$37=0,$P$34=0),"",$L$37-1)),MIN(BW$38,$E143),$P$20))-SUM($BF143:BV143))</f>
        <v>0</v>
      </c>
      <c r="BX143" s="446">
        <f>IF($E143=0,0,IF(MIN(BX$38,$E143)&lt;MAX($P$34*($B143+$I$38-1),IF(AND($L$37=0,$P$34=0),"",$L$37-1)),0,YEARFRAC(MAX($P$34*($B143+$I$38-1),IF(AND($L$37=0,$P$34=0),"",$L$37-1)),MIN(BX$38,$E143),$P$20))-SUM($BF143:BW143))</f>
        <v>0</v>
      </c>
      <c r="BY143" s="446">
        <f>IF($E143=0,0,IF(MIN(BY$38,$E143)&lt;MAX($P$34*($B143+$I$38-1),IF(AND($L$37=0,$P$34=0),"",$L$37-1)),0,YEARFRAC(MAX($P$34*($B143+$I$38-1),IF(AND($L$37=0,$P$34=0),"",$L$37-1)),MIN(BY$38,$E143),$P$20))-SUM($BF143:BX143))</f>
        <v>0</v>
      </c>
      <c r="BZ143" s="446">
        <f>IF($E143=0,0,IF(MIN(BZ$38,$E143)&lt;MAX($P$34*($B143+$I$38-1),IF(AND($L$37=0,$P$34=0),"",$L$37-1)),0,YEARFRAC(MAX($P$34*($B143+$I$38-1),IF(AND($L$37=0,$P$34=0),"",$L$37-1)),MIN(BZ$38,$E143),$P$20))-SUM($BF143:BY143))</f>
        <v>0</v>
      </c>
      <c r="CA143" s="446">
        <f>IF($E143=0,0,IF(MIN(CA$38,$E143)&lt;MAX($P$34*($B143+$I$38-1),IF(AND($L$37=0,$P$34=0),"",$L$37-1)),0,YEARFRAC(MAX($P$34*($B143+$I$38-1),IF(AND($L$37=0,$P$34=0),"",$L$37-1)),MIN(CA$38,$E143),$P$20))-SUM($BF143:BZ143))</f>
        <v>0</v>
      </c>
      <c r="CB143" s="446">
        <f>IF($E143=0,0,IF(MIN(CB$38,$E143)&lt;MAX($P$34*($B143+$I$38-1),IF(AND($L$37=0,$P$34=0),"",$L$37-1)),0,YEARFRAC(MAX($P$34*($B143+$I$38-1),IF(AND($L$37=0,$P$34=0),"",$L$37-1)),MIN(CB$38,$E143),$P$20))-SUM($BF143:CA143))</f>
        <v>0</v>
      </c>
      <c r="CC143" s="446">
        <f>IF($E143=0,0,IF(MIN(CC$38,$E143)&lt;MAX($P$34*($B143+$I$38-1),IF(AND($L$37=0,$P$34=0),"",$L$37-1)),0,YEARFRAC(MAX($P$34*($B143+$I$38-1),IF(AND($L$37=0,$P$34=0),"",$L$37-1)),MIN(CC$38,$E143),$P$20))-SUM($BF143:CB143))</f>
        <v>0</v>
      </c>
      <c r="CD143" s="446">
        <f>IF($E143=0,0,IF(MIN(CD$38,$E143)&lt;MAX($P$34*($B143+$I$38-1),IF(AND($L$37=0,$P$34=0),"",$L$37-1)),0,YEARFRAC(MAX($P$34*($B143+$I$38-1),IF(AND($L$37=0,$P$34=0),"",$L$37-1)),MIN(CD$38,$E143),$P$20))-SUM($BF143:CC143))</f>
        <v>0</v>
      </c>
      <c r="CE143" s="446">
        <f>IF($E143=0,0,IF(MIN(CE$38,$E143)&lt;MAX($P$34*($B143+$I$38-1),IF(AND($L$37=0,$P$34=0),"",$L$37-1)),0,YEARFRAC(MAX($P$34*($B143+$I$38-1),IF(AND($L$37=0,$P$34=0),"",$L$37-1)),MIN(CE$38,$E143),$P$20))-SUM($BF143:CD143))</f>
        <v>0</v>
      </c>
      <c r="CF143" s="446">
        <f>IF($E143=0,0,IF(MIN(CF$38,$E143)&lt;MAX($P$34*($B143+$I$38-1),IF(AND($L$37=0,$P$34=0),"",$L$37-1)),0,YEARFRAC(MAX($P$34*($B143+$I$38-1),IF(AND($L$37=0,$P$34=0),"",$L$37-1)),MIN(CF$38,$E143),$P$20))-SUM($BF143:CE143))</f>
        <v>0</v>
      </c>
      <c r="CG143" s="446">
        <f>IF($E143=0,0,IF(MIN(CG$38,$E143)&lt;MAX($P$34*($B143+$I$38-1),IF(AND($L$37=0,$P$34=0),"",$L$37-1)),0,YEARFRAC(MAX($P$34*($B143+$I$38-1),IF(AND($L$37=0,$P$34=0),"",$L$37-1)),MIN(CG$38,$E143),$P$20))-SUM($BF143:CF143))</f>
        <v>0</v>
      </c>
      <c r="CH143" s="446">
        <f>IF($E143=0,0,IF(MIN(CH$38,$E143)&lt;MAX($P$34*($B143+$I$38-1),IF(AND($L$37=0,$P$34=0),"",$L$37-1)),0,YEARFRAC(MAX($P$34*($B143+$I$38-1),IF(AND($L$37=0,$P$34=0),"",$L$37-1)),MIN(CH$38,$E143),$P$20))-SUM($BF143:CG143))</f>
        <v>0</v>
      </c>
      <c r="CI143" s="446">
        <f>IF($E143=0,0,IF(MIN(CI$38,$E143)&lt;MAX($P$34*($B143+$I$38-1),IF(AND($L$37=0,$P$34=0),"",$L$37-1)),0,YEARFRAC(MAX($P$34*($B143+$I$38-1),IF(AND($L$37=0,$P$34=0),"",$L$37-1)),MIN(CI$38,$E143),$P$20))-SUM($BF143:CH143))</f>
        <v>0</v>
      </c>
      <c r="CJ143" s="446">
        <f>IF($E143=0,0,IF(MIN(CJ$38,$E143)&lt;MAX($P$34*($B143+$I$38-1),IF(AND($L$37=0,$P$34=0),"",$L$37-1)),0,YEARFRAC(MAX($P$34*($B143+$I$38-1),IF(AND($L$37=0,$P$34=0),"",$L$37-1)),MIN(CJ$38,$E143),$P$20))-SUM($BF143:CI143))</f>
        <v>0</v>
      </c>
      <c r="CK143" s="446">
        <f>IF($E143=0,0,IF(MIN(CK$38,$E143)&lt;MAX($P$34*($B143+$I$38-1),IF(AND($L$37=0,$P$34=0),"",$L$37-1)),0,YEARFRAC(MAX($P$34*($B143+$I$38-1),IF(AND($L$37=0,$P$34=0),"",$L$37-1)),MIN(CK$38,$E143),$P$20))-SUM($BF143:CJ143))</f>
        <v>0</v>
      </c>
      <c r="CL143" s="446">
        <f>IF($E143=0,0,IF(MIN(CL$38,$E143)&lt;MAX($P$34*($B143+$I$38-1),IF(AND($L$37=0,$P$34=0),"",$L$37-1)),0,YEARFRAC(MAX($P$34*($B143+$I$38-1),IF(AND($L$37=0,$P$34=0),"",$L$37-1)),MIN(CL$38,$E143),$P$20))-SUM($BF143:CK143))</f>
        <v>0</v>
      </c>
      <c r="CM143" s="446">
        <f>IF($E143=0,0,IF(MIN(CM$38,$E143)&lt;MAX($P$34*($B143+$I$38-1),IF(AND($L$37=0,$P$34=0),"",$L$37-1)),0,YEARFRAC(MAX($P$34*($B143+$I$38-1),IF(AND($L$37=0,$P$34=0),"",$L$37-1)),MIN(CM$38,$E143),$P$20))-SUM($BF143:CL143))</f>
        <v>0</v>
      </c>
      <c r="CN143" s="446">
        <f>IF($E143=0,0,IF(MIN(CN$38,$E143)&lt;MAX($P$34*($B143+$I$38-1),IF(AND($L$37=0,$P$34=0),"",$L$37-1)),0,YEARFRAC(MAX($P$34*($B143+$I$38-1),IF(AND($L$37=0,$P$34=0),"",$L$37-1)),MIN(CN$38,$E143),$P$20))-SUM($BF143:CM143))</f>
        <v>0</v>
      </c>
      <c r="CO143" s="446">
        <f>IF($E143=0,0,IF(MIN(CO$38,$E143)&lt;MAX($P$34*($B143+$I$38-1),IF(AND($L$37=0,$P$34=0),"",$L$37-1)),0,YEARFRAC(MAX($P$34*($B143+$I$38-1),IF(AND($L$37=0,$P$34=0),"",$L$37-1)),MIN(CO$38,$E143),$P$20))-SUM($BF143:CN143))</f>
        <v>0</v>
      </c>
      <c r="CP143" s="446">
        <f>IF($E143=0,0,IF(MIN(CP$38,$E143)&lt;MAX($P$34*($B143+$I$38-1),IF(AND($L$37=0,$P$34=0),"",$L$37-1)),0,YEARFRAC(MAX($P$34*($B143+$I$38-1),IF(AND($L$37=0,$P$34=0),"",$L$37-1)),MIN(CP$38,$E143),$P$20))-SUM($BF143:CO143))</f>
        <v>0</v>
      </c>
      <c r="CQ143" s="446">
        <f>IF($E143=0,0,IF(MIN(CQ$38,$E143)&lt;MAX($P$34*($B143+$I$38-1),IF(AND($L$37=0,$P$34=0),"",$L$37-1)),0,YEARFRAC(MAX($P$34*($B143+$I$38-1),IF(AND($L$37=0,$P$34=0),"",$L$37-1)),MIN(CQ$38,$E143),$P$20))-SUM($BF143:CP143))</f>
        <v>0</v>
      </c>
    </row>
    <row r="144" spans="1:95" s="446" customFormat="1" ht="11.25" hidden="1" customHeight="1" x14ac:dyDescent="0.2">
      <c r="A144" s="152"/>
      <c r="B144" s="153" t="str">
        <f t="shared" si="26"/>
        <v/>
      </c>
      <c r="C144" s="29" t="str">
        <f>IF(B144="","",IF($L$35="SELIC - TRIBUTOS",VLOOKUP(DATE(YEAR($D$19),MONTH($D$19)-1,1),ÍNDICES!$A:$DE,HLOOKUP($BL$25,ÍNDICES!$B$3:$T$4,2)+11)-VLOOKUP(B144,ÍNDICES!$A:$DE,HLOOKUP($BL$25,ÍNDICES!$B$3:$T$4,2)+11)+1%,IF(C$38=$W$26,$J$35,IF(ISERROR(IF(B144&gt;$D$19,1,VLOOKUP(DATE(YEAR(B144),MONTH(B144)+IF($C$35=$S$23,1,0),1),ÍNDICES!$A:$DE,$Z$35+1))),"",IF(B144&gt;$D$19,1,VLOOKUP(DATE(YEAR(B144),MONTH(B144)+IF($C$35=$S$23,1,0),1),ÍNDICES!$A:$DE,$Z$35+1))))))</f>
        <v/>
      </c>
      <c r="D144" s="154" t="str">
        <f>IF(ISERROR(IF(OR($D$38=$Y$27,$B144=""),"",VLOOKUP(B144,ÍNDICES!A:DE,AF$35+1))),"",IF(OR($D$38=$Y$27,$B144=""),"",VLOOKUP(B144,ÍNDICES!A:DE,AF$35+1)))</f>
        <v/>
      </c>
      <c r="E144" s="153"/>
      <c r="F144" s="29" t="str">
        <f>IF(E144="","",IF($L$35="SELIC - TRIBUTOS",VLOOKUP(DATE(YEAR($D$19),MONTH($D$19)-1,1),ÍNDICES!$A:$DE,HLOOKUP($BL$25,ÍNDICES!$B$3:$T$4,2)+11)-VLOOKUP(E144,ÍNDICES!$A:$DE,HLOOKUP($BL$25,ÍNDICES!$B$3:$T$4,2)+11)+1%,IF(F$38=$W$26,$J$35,IF(ISERROR(IF(E144&gt;$D$19,1,VLOOKUP(DATE(YEAR(E144),MONTH(E144)+IF($C$35=$S$23,1,0),1),ÍNDICES!$A:$DE,$Z$35+1))),"",IF(E144&gt;$D$19,1,VLOOKUP(DATE(YEAR(E144),MONTH(E144)+IF($C$35=$S$23,1,0),1),ÍNDICES!$A:$DE,$Z$35+1))))))</f>
        <v/>
      </c>
      <c r="G144" s="155"/>
      <c r="H144" s="156" t="str">
        <f t="shared" si="22"/>
        <v/>
      </c>
      <c r="I144" s="29" t="str">
        <f t="shared" si="16"/>
        <v/>
      </c>
      <c r="J144" s="5">
        <f t="shared" si="17"/>
        <v>0</v>
      </c>
      <c r="K144" s="20">
        <f t="shared" ca="1" si="18"/>
        <v>0</v>
      </c>
      <c r="L144" s="5">
        <f t="shared" ca="1" si="19"/>
        <v>0</v>
      </c>
      <c r="M144" s="64">
        <f t="shared" si="23"/>
        <v>0</v>
      </c>
      <c r="N144" s="61">
        <f t="shared" ca="1" si="24"/>
        <v>0</v>
      </c>
      <c r="O144" s="5">
        <f t="shared" ca="1" si="25"/>
        <v>0</v>
      </c>
      <c r="P144" s="446" t="e">
        <f t="shared" si="20"/>
        <v>#VALUE!</v>
      </c>
      <c r="Q144" s="446" t="e">
        <f>IF(OR($B144="",MIN(Q$38,$D$19)&lt;MAX($P$34*($B144+IF($R$17="Distrato",$I$38-1,0)),IF(AND($L$37=0,$P$34=0),"",$L$37-1),IF($R$17="Distrato",$E144,0))),0,YEARFRAC(MAX($P$34*($B144+IF($R$17="Distrato",$I$38-1,0)),IF(AND($L$37=0,$P$34=0),"",$L$37-1),IF($R$17="Distrato",$E144,0)),MIN(Q$38,$D$19),$P$20))-SUM($P144:P144)</f>
        <v>#VALUE!</v>
      </c>
      <c r="R144" s="446" t="e">
        <f>IF(OR($B144="",MIN(R$38,$D$19)&lt;MAX($P$34*($B144+IF($R$17="Distrato",$I$38-1,0)),IF(AND($L$37=0,$P$34=0),"",$L$37-1),IF($R$17="Distrato",$E144,0))),0,YEARFRAC(MAX($P$34*($B144+IF($R$17="Distrato",$I$38-1,0)),IF(AND($L$37=0,$P$34=0),"",$L$37-1),IF($R$17="Distrato",$E144,0)),MIN(R$38,$D$19),$P$20))-SUM($P144:Q144)</f>
        <v>#VALUE!</v>
      </c>
      <c r="S144" s="446" t="e">
        <f>IF(OR($B144="",MIN(S$38,$D$19)&lt;MAX($P$34*($B144+IF($R$17="Distrato",$I$38-1,0)),IF(AND($L$37=0,$P$34=0),"",$L$37-1),IF($R$17="Distrato",$E144,0))),0,YEARFRAC(MAX($P$34*($B144+IF($R$17="Distrato",$I$38-1,0)),IF(AND($L$37=0,$P$34=0),"",$L$37-1),IF($R$17="Distrato",$E144,0)),MIN(S$38,$D$19),$P$20))-SUM($P144:R144)</f>
        <v>#VALUE!</v>
      </c>
      <c r="T144" s="446" t="e">
        <f>IF(OR($B144="",MIN(T$38,$D$19)&lt;MAX($P$34*($B144+IF($R$17="Distrato",$I$38-1,0)),IF(AND($L$37=0,$P$34=0),"",$L$37-1),IF($R$17="Distrato",$E144,0))),0,YEARFRAC(MAX($P$34*($B144+IF($R$17="Distrato",$I$38-1,0)),IF(AND($L$37=0,$P$34=0),"",$L$37-1),IF($R$17="Distrato",$E144,0)),MIN(T$38,$D$19),$P$20))-SUM($P144:S144)</f>
        <v>#VALUE!</v>
      </c>
      <c r="U144" s="446" t="e">
        <f>IF(OR($B144="",MIN(U$38,$D$19)&lt;MAX($P$34*($B144+IF($R$17="Distrato",$I$38-1,0)),IF(AND($L$37=0,$P$34=0),"",$L$37-1),IF($R$17="Distrato",$E144,0))),0,YEARFRAC(MAX($P$34*($B144+IF($R$17="Distrato",$I$38-1,0)),IF(AND($L$37=0,$P$34=0),"",$L$37-1),IF($R$17="Distrato",$E144,0)),MIN(U$38,$D$19),$P$20))-SUM($P144:T144)</f>
        <v>#VALUE!</v>
      </c>
      <c r="V144" s="446" t="e">
        <f>IF(OR($B144="",MIN(V$38,$D$19)&lt;MAX($P$34*($B144+IF($R$17="Distrato",$I$38-1,0)),IF(AND($L$37=0,$P$34=0),"",$L$37-1),IF($R$17="Distrato",$E144,0))),0,YEARFRAC(MAX($P$34*($B144+IF($R$17="Distrato",$I$38-1,0)),IF(AND($L$37=0,$P$34=0),"",$L$37-1),IF($R$17="Distrato",$E144,0)),MIN(V$38,$D$19),$P$20))-SUM($P144:U144)</f>
        <v>#VALUE!</v>
      </c>
      <c r="W144" s="446" t="e">
        <f>IF(OR($B144="",MIN(W$38,$D$19)&lt;MAX($P$34*($B144+IF($R$17="Distrato",$I$38-1,0)),IF(AND($L$37=0,$P$34=0),"",$L$37-1),IF($R$17="Distrato",$E144,0))),0,YEARFRAC(MAX($P$34*($B144+IF($R$17="Distrato",$I$38-1,0)),IF(AND($L$37=0,$P$34=0),"",$L$37-1),IF($R$17="Distrato",$E144,0)),MIN(W$38,$D$19),$P$20))-SUM($P144:V144)</f>
        <v>#VALUE!</v>
      </c>
      <c r="X144" s="446" t="e">
        <f>IF(OR($B144="",MIN(X$38,$D$19)&lt;MAX($P$34*($B144+IF($R$17="Distrato",$I$38-1,0)),IF(AND($L$37=0,$P$34=0),"",$L$37-1),IF($R$17="Distrato",$E144,0))),0,YEARFRAC(MAX($P$34*($B144+IF($R$17="Distrato",$I$38-1,0)),IF(AND($L$37=0,$P$34=0),"",$L$37-1),IF($R$17="Distrato",$E144,0)),MIN(X$38,$D$19),$P$20))-SUM($P144:W144)</f>
        <v>#VALUE!</v>
      </c>
      <c r="Y144" s="446" t="e">
        <f>IF(OR($B144="",MIN(Y$38,$D$19)&lt;MAX($P$34*($B144+IF($R$17="Distrato",$I$38-1,0)),IF(AND($L$37=0,$P$34=0),"",$L$37-1),IF($R$17="Distrato",$E144,0))),0,YEARFRAC(MAX($P$34*($B144+IF($R$17="Distrato",$I$38-1,0)),IF(AND($L$37=0,$P$34=0),"",$L$37-1),IF($R$17="Distrato",$E144,0)),MIN(Y$38,$D$19),$P$20))-SUM($P144:X144)</f>
        <v>#VALUE!</v>
      </c>
      <c r="Z144" s="446" t="e">
        <f>IF(OR($B144="",MIN(Z$38,$D$19)&lt;MAX($P$34*($B144+IF($R$17="Distrato",$I$38-1,0)),IF(AND($L$37=0,$P$34=0),"",$L$37-1),IF($R$17="Distrato",$E144,0))),0,YEARFRAC(MAX($P$34*($B144+IF($R$17="Distrato",$I$38-1,0)),IF(AND($L$37=0,$P$34=0),"",$L$37-1),IF($R$17="Distrato",$E144,0)),MIN(Z$38,$D$19),$P$20))-SUM($P144:Y144)</f>
        <v>#VALUE!</v>
      </c>
      <c r="AA144" s="446" t="e">
        <f>IF(OR($B144="",MIN(AA$38,$D$19)&lt;MAX($P$34*($B144+IF($R$17="Distrato",$I$38-1,0)),IF(AND($L$37=0,$P$34=0),"",$L$37-1),IF($R$17="Distrato",$E144,0))),0,YEARFRAC(MAX($P$34*($B144+IF($R$17="Distrato",$I$38-1,0)),IF(AND($L$37=0,$P$34=0),"",$L$37-1),IF($R$17="Distrato",$E144,0)),MIN(AA$38,$D$19),$P$20))-SUM($P144:Z144)</f>
        <v>#VALUE!</v>
      </c>
      <c r="AB144" s="446" t="e">
        <f>IF(OR($B144="",MIN(AB$38,$D$19)&lt;MAX($P$34*($B144+IF($R$17="Distrato",$I$38-1,0)),IF(AND($L$37=0,$P$34=0),"",$L$37-1),IF($R$17="Distrato",$E144,0))),0,YEARFRAC(MAX($P$34*($B144+IF($R$17="Distrato",$I$38-1,0)),IF(AND($L$37=0,$P$34=0),"",$L$37-1),IF($R$17="Distrato",$E144,0)),MIN(AB$38,$D$19),$P$20))-SUM($P144:AA144)</f>
        <v>#VALUE!</v>
      </c>
      <c r="AC144" s="446" t="e">
        <f>IF(OR($B144="",MIN(AC$38,$D$19)&lt;MAX($P$34*($B144+IF($R$17="Distrato",$I$38-1,0)),IF(AND($L$37=0,$P$34=0),"",$L$37-1),IF($R$17="Distrato",$E144,0))),0,YEARFRAC(MAX($P$34*($B144+IF($R$17="Distrato",$I$38-1,0)),IF(AND($L$37=0,$P$34=0),"",$L$37-1),IF($R$17="Distrato",$E144,0)),MIN(AC$38,$D$19),$P$20))-SUM($P144:AB144)</f>
        <v>#VALUE!</v>
      </c>
      <c r="AD144" s="446" t="e">
        <f>IF(OR($B144="",MIN(AD$38,$D$19)&lt;MAX($P$34*($B144+IF($R$17="Distrato",$I$38-1,0)),IF(AND($L$37=0,$P$34=0),"",$L$37-1),IF($R$17="Distrato",$E144,0))),0,YEARFRAC(MAX($P$34*($B144+IF($R$17="Distrato",$I$38-1,0)),IF(AND($L$37=0,$P$34=0),"",$L$37-1),IF($R$17="Distrato",$E144,0)),MIN(AD$38,$D$19),$P$20))-SUM($P144:AC144)</f>
        <v>#VALUE!</v>
      </c>
      <c r="AE144" s="446" t="e">
        <f>IF(OR($B144="",MIN(AE$38,$D$19)&lt;MAX($P$34*($B144+IF($R$17="Distrato",$I$38-1,0)),IF(AND($L$37=0,$P$34=0),"",$L$37-1),IF($R$17="Distrato",$E144,0))),0,YEARFRAC(MAX($P$34*($B144+IF($R$17="Distrato",$I$38-1,0)),IF(AND($L$37=0,$P$34=0),"",$L$37-1),IF($R$17="Distrato",$E144,0)),MIN(AE$38,$D$19),$P$20))-SUM($P144:AD144)</f>
        <v>#VALUE!</v>
      </c>
      <c r="AF144" s="446" t="e">
        <f>IF(OR($B144="",MIN(AF$38,$D$19)&lt;MAX($P$34*($B144+IF($R$17="Distrato",$I$38-1,0)),IF(AND($L$37=0,$P$34=0),"",$L$37-1),IF($R$17="Distrato",$E144,0))),0,YEARFRAC(MAX($P$34*($B144+IF($R$17="Distrato",$I$38-1,0)),IF(AND($L$37=0,$P$34=0),"",$L$37-1),IF($R$17="Distrato",$E144,0)),MIN(AF$38,$D$19),$P$20))-SUM($P144:AE144)</f>
        <v>#VALUE!</v>
      </c>
      <c r="AG144" s="446" t="e">
        <f>IF(OR($B144="",MIN(AG$38,$D$19)&lt;MAX($P$34*($B144+IF($R$17="Distrato",$I$38-1,0)),IF(AND($L$37=0,$P$34=0),"",$L$37-1),IF($R$17="Distrato",$E144,0))),0,YEARFRAC(MAX($P$34*($B144+IF($R$17="Distrato",$I$38-1,0)),IF(AND($L$37=0,$P$34=0),"",$L$37-1),IF($R$17="Distrato",$E144,0)),MIN(AG$38,$D$19),$P$20))-SUM($P144:AF144)</f>
        <v>#VALUE!</v>
      </c>
      <c r="AH144" s="446" t="e">
        <f>IF(OR($B144="",MIN(AH$38,$D$19)&lt;MAX($P$34*($B144+IF($R$17="Distrato",$I$38-1,0)),IF(AND($L$37=0,$P$34=0),"",$L$37-1),IF($R$17="Distrato",$E144,0))),0,YEARFRAC(MAX($P$34*($B144+IF($R$17="Distrato",$I$38-1,0)),IF(AND($L$37=0,$P$34=0),"",$L$37-1),IF($R$17="Distrato",$E144,0)),MIN(AH$38,$D$19),$P$20))-SUM($P144:AG144)</f>
        <v>#VALUE!</v>
      </c>
      <c r="AI144" s="446" t="e">
        <f>IF(OR($B144="",MIN(AI$38,$D$19)&lt;MAX($P$34*($B144+IF($R$17="Distrato",$I$38-1,0)),IF(AND($L$37=0,$P$34=0),"",$L$37-1),IF($R$17="Distrato",$E144,0))),0,YEARFRAC(MAX($P$34*($B144+IF($R$17="Distrato",$I$38-1,0)),IF(AND($L$37=0,$P$34=0),"",$L$37-1),IF($R$17="Distrato",$E144,0)),MIN(AI$38,$D$19),$P$20))-SUM($P144:AH144)</f>
        <v>#VALUE!</v>
      </c>
      <c r="AJ144" s="446" t="e">
        <f>IF(OR($B144="",MIN(AJ$38,$D$19)&lt;MAX($P$34*($B144+IF($R$17="Distrato",$I$38-1,0)),IF(AND($L$37=0,$P$34=0),"",$L$37-1),IF($R$17="Distrato",$E144,0))),0,YEARFRAC(MAX($P$34*($B144+IF($R$17="Distrato",$I$38-1,0)),IF(AND($L$37=0,$P$34=0),"",$L$37-1),IF($R$17="Distrato",$E144,0)),MIN(AJ$38,$D$19),$P$20))-SUM($P144:AI144)</f>
        <v>#VALUE!</v>
      </c>
      <c r="AK144" s="446" t="e">
        <f>IF(OR($B144="",MIN(AK$38,$D$19)&lt;MAX($P$34*($B144+IF($R$17="Distrato",$I$38-1,0)),IF(AND($L$37=0,$P$34=0),"",$L$37-1),IF($R$17="Distrato",$E144,0))),0,YEARFRAC(MAX($P$34*($B144+IF($R$17="Distrato",$I$38-1,0)),IF(AND($L$37=0,$P$34=0),"",$L$37-1),IF($R$17="Distrato",$E144,0)),MIN(AK$38,$D$19),$P$20))-SUM($P144:AJ144)</f>
        <v>#VALUE!</v>
      </c>
      <c r="AL144" s="446" t="e">
        <f>IF(OR($B144="",MIN(AL$38,$D$19)&lt;MAX($P$34*($B144+IF($R$17="Distrato",$I$38-1,0)),IF(AND($L$37=0,$P$34=0),"",$L$37-1),IF($R$17="Distrato",$E144,0))),0,YEARFRAC(MAX($P$34*($B144+IF($R$17="Distrato",$I$38-1,0)),IF(AND($L$37=0,$P$34=0),"",$L$37-1),IF($R$17="Distrato",$E144,0)),MIN(AL$38,$D$19),$P$20))-SUM($P144:AK144)</f>
        <v>#VALUE!</v>
      </c>
      <c r="AM144" s="446" t="e">
        <f>IF(OR($B144="",MIN(AM$38,$D$19)&lt;MAX($P$34*($B144+IF($R$17="Distrato",$I$38-1,0)),IF(AND($L$37=0,$P$34=0),"",$L$37-1),IF($R$17="Distrato",$E144,0))),0,YEARFRAC(MAX($P$34*($B144+IF($R$17="Distrato",$I$38-1,0)),IF(AND($L$37=0,$P$34=0),"",$L$37-1),IF($R$17="Distrato",$E144,0)),MIN(AM$38,$D$19),$P$20))-SUM($P144:AL144)</f>
        <v>#VALUE!</v>
      </c>
      <c r="AN144" s="446" t="e">
        <f>IF(OR($B144="",MIN(AN$38,$D$19)&lt;MAX($P$34*($B144+IF($R$17="Distrato",$I$38-1,0)),IF(AND($L$37=0,$P$34=0),"",$L$37-1),IF($R$17="Distrato",$E144,0))),0,YEARFRAC(MAX($P$34*($B144+IF($R$17="Distrato",$I$38-1,0)),IF(AND($L$37=0,$P$34=0),"",$L$37-1),IF($R$17="Distrato",$E144,0)),MIN(AN$38,$D$19),$P$20))-SUM($P144:AM144)</f>
        <v>#VALUE!</v>
      </c>
      <c r="AO144" s="446" t="e">
        <f>IF(OR($B144="",MIN(AO$38,$D$19)&lt;MAX($P$34*($B144+IF($R$17="Distrato",$I$38-1,0)),IF(AND($L$37=0,$P$34=0),"",$L$37-1),IF($R$17="Distrato",$E144,0))),0,YEARFRAC(MAX($P$34*($B144+IF($R$17="Distrato",$I$38-1,0)),IF(AND($L$37=0,$P$34=0),"",$L$37-1),IF($R$17="Distrato",$E144,0)),MIN(AO$38,$D$19),$P$20))-SUM($P144:AN144)</f>
        <v>#VALUE!</v>
      </c>
      <c r="AP144" s="446" t="e">
        <f>IF(OR($B144="",MIN(AP$38,$D$19)&lt;MAX($P$34*($B144+IF($R$17="Distrato",$I$38-1,0)),IF(AND($L$37=0,$P$34=0),"",$L$37-1),IF($R$17="Distrato",$E144,0))),0,YEARFRAC(MAX($P$34*($B144+IF($R$17="Distrato",$I$38-1,0)),IF(AND($L$37=0,$P$34=0),"",$L$37-1),IF($R$17="Distrato",$E144,0)),MIN(AP$38,$D$19),$P$20))-SUM($P144:AO144)</f>
        <v>#VALUE!</v>
      </c>
      <c r="AQ144" s="446" t="e">
        <f>IF(OR($B144="",MIN(AQ$38,$D$19)&lt;MAX($P$34*($B144+IF($R$17="Distrato",$I$38-1,0)),IF(AND($L$37=0,$P$34=0),"",$L$37-1),IF($R$17="Distrato",$E144,0))),0,YEARFRAC(MAX($P$34*($B144+IF($R$17="Distrato",$I$38-1,0)),IF(AND($L$37=0,$P$34=0),"",$L$37-1),IF($R$17="Distrato",$E144,0)),MIN(AQ$38,$D$19),$P$20))-SUM($P144:AP144)</f>
        <v>#VALUE!</v>
      </c>
      <c r="AR144" s="446" t="e">
        <f>IF(OR($B144="",MIN(AR$38,$D$19)&lt;MAX($P$34*($B144+IF($R$17="Distrato",$I$38-1,0)),IF(AND($L$37=0,$P$34=0),"",$L$37-1),IF($R$17="Distrato",$E144,0))),0,YEARFRAC(MAX($P$34*($B144+IF($R$17="Distrato",$I$38-1,0)),IF(AND($L$37=0,$P$34=0),"",$L$37-1),IF($R$17="Distrato",$E144,0)),MIN(AR$38,$D$19),$P$20))-SUM($P144:AQ144)</f>
        <v>#VALUE!</v>
      </c>
      <c r="AS144" s="446" t="e">
        <f>IF(OR($B144="",MIN(AS$38,$D$19)&lt;MAX($P$34*($B144+IF($R$17="Distrato",$I$38-1,0)),IF(AND($L$37=0,$P$34=0),"",$L$37-1),IF($R$17="Distrato",$E144,0))),0,YEARFRAC(MAX($P$34*($B144+IF($R$17="Distrato",$I$38-1,0)),IF(AND($L$37=0,$P$34=0),"",$L$37-1),IF($R$17="Distrato",$E144,0)),MIN(AS$38,$D$19),$P$20))-SUM($P144:AR144)</f>
        <v>#VALUE!</v>
      </c>
      <c r="AT144" s="446" t="e">
        <f>IF(OR($B144="",MIN(AT$38,$D$19)&lt;MAX($P$34*($B144+IF($R$17="Distrato",$I$38-1,0)),IF(AND($L$37=0,$P$34=0),"",$L$37-1),IF($R$17="Distrato",$E144,0))),0,YEARFRAC(MAX($P$34*($B144+IF($R$17="Distrato",$I$38-1,0)),IF(AND($L$37=0,$P$34=0),"",$L$37-1),IF($R$17="Distrato",$E144,0)),MIN(AT$38,$D$19),$P$20))-SUM($P144:AS144)</f>
        <v>#VALUE!</v>
      </c>
      <c r="AU144" s="446" t="e">
        <f>IF(OR($B144="",MIN(AU$38,$D$19)&lt;MAX($P$34*($B144+IF($R$17="Distrato",$I$38-1,0)),IF(AND($L$37=0,$P$34=0),"",$L$37-1),IF($R$17="Distrato",$E144,0))),0,YEARFRAC(MAX($P$34*($B144+IF($R$17="Distrato",$I$38-1,0)),IF(AND($L$37=0,$P$34=0),"",$L$37-1),IF($R$17="Distrato",$E144,0)),MIN(AU$38,$D$19),$P$20))-SUM($P144:AT144)</f>
        <v>#VALUE!</v>
      </c>
      <c r="AV144" s="446" t="e">
        <f>IF(OR($B144="",MIN(AV$38,$D$19)&lt;MAX($P$34*($B144+IF($R$17="Distrato",$I$38-1,0)),IF(AND($L$37=0,$P$34=0),"",$L$37-1),IF($R$17="Distrato",$E144,0))),0,YEARFRAC(MAX($P$34*($B144+IF($R$17="Distrato",$I$38-1,0)),IF(AND($L$37=0,$P$34=0),"",$L$37-1),IF($R$17="Distrato",$E144,0)),MIN(AV$38,$D$19),$P$20))-SUM($P144:AU144)</f>
        <v>#VALUE!</v>
      </c>
      <c r="AW144" s="446" t="e">
        <f>IF(OR($B144="",MIN(AW$38,$D$19)&lt;MAX($P$34*($B144+IF($R$17="Distrato",$I$38-1,0)),IF(AND($L$37=0,$P$34=0),"",$L$37-1),IF($R$17="Distrato",$E144,0))),0,YEARFRAC(MAX($P$34*($B144+IF($R$17="Distrato",$I$38-1,0)),IF(AND($L$37=0,$P$34=0),"",$L$37-1),IF($R$17="Distrato",$E144,0)),MIN(AW$38,$D$19),$P$20))-SUM($P144:AV144)</f>
        <v>#VALUE!</v>
      </c>
      <c r="AX144" s="446" t="e">
        <f>IF(OR($B144="",MIN(AX$38,$D$19)&lt;MAX($P$34*($B144+IF($R$17="Distrato",$I$38-1,0)),IF(AND($L$37=0,$P$34=0),"",$L$37-1),IF($R$17="Distrato",$E144,0))),0,YEARFRAC(MAX($P$34*($B144+IF($R$17="Distrato",$I$38-1,0)),IF(AND($L$37=0,$P$34=0),"",$L$37-1),IF($R$17="Distrato",$E144,0)),MIN(AX$38,$D$19),$P$20))-SUM($P144:AW144)</f>
        <v>#VALUE!</v>
      </c>
      <c r="AY144" s="446" t="e">
        <f>IF(OR($B144="",MIN(AY$38,$D$19)&lt;MAX($P$34*($B144+IF($R$17="Distrato",$I$38-1,0)),IF(AND($L$37=0,$P$34=0),"",$L$37-1),IF($R$17="Distrato",$E144,0))),0,YEARFRAC(MAX($P$34*($B144+IF($R$17="Distrato",$I$38-1,0)),IF(AND($L$37=0,$P$34=0),"",$L$37-1),IF($R$17="Distrato",$E144,0)),MIN(AY$38,$D$19),$P$20))-SUM($P144:AX144)</f>
        <v>#VALUE!</v>
      </c>
      <c r="AZ144" s="446" t="e">
        <f>IF(OR($B144="",MIN(AZ$38,$D$19)&lt;MAX($P$34*($B144+IF($R$17="Distrato",$I$38-1,0)),IF(AND($L$37=0,$P$34=0),"",$L$37-1),IF($R$17="Distrato",$E144,0))),0,YEARFRAC(MAX($P$34*($B144+IF($R$17="Distrato",$I$38-1,0)),IF(AND($L$37=0,$P$34=0),"",$L$37-1),IF($R$17="Distrato",$E144,0)),MIN(AZ$38,$D$19),$P$20))-SUM($P144:AY144)</f>
        <v>#VALUE!</v>
      </c>
      <c r="BA144" s="446" t="e">
        <f>IF(OR($B144="",MIN(BA$38,$D$19)&lt;MAX($P$34*($B144+IF($R$17="Distrato",$I$38-1,0)),IF(AND($L$37=0,$P$34=0),"",$L$37-1),IF($R$17="Distrato",$E144,0))),0,YEARFRAC(MAX($P$34*($B144+IF($R$17="Distrato",$I$38-1,0)),IF(AND($L$37=0,$P$34=0),"",$L$37-1),IF($R$17="Distrato",$E144,0)),MIN(BA$38,$D$19),$P$20))-SUM($P144:AZ144)</f>
        <v>#VALUE!</v>
      </c>
      <c r="BB144" s="447"/>
      <c r="BF144" s="446">
        <f t="shared" si="21"/>
        <v>0</v>
      </c>
      <c r="BG144" s="446">
        <f>IF($E144=0,0,IF(MIN(BG$38,$E144)&lt;MAX($P$34*($B144+$I$38-1),IF(AND($L$37=0,$P$34=0),"",$L$37-1)),0,YEARFRAC(MAX($P$34*($B144+$I$38-1),IF(AND($L$37=0,$P$34=0),"",$L$37-1)),MIN(BG$38,$E144),$P$20))-SUM($BF144:BF144))</f>
        <v>0</v>
      </c>
      <c r="BH144" s="446">
        <f>IF($E144=0,0,IF(MIN(BH$38,$E144)&lt;MAX($P$34*($B144+$I$38-1),IF(AND($L$37=0,$P$34=0),"",$L$37-1)),0,YEARFRAC(MAX($P$34*($B144+$I$38-1),IF(AND($L$37=0,$P$34=0),"",$L$37-1)),MIN(BH$38,$E144),$P$20))-SUM($BF144:BG144))</f>
        <v>0</v>
      </c>
      <c r="BI144" s="446">
        <f>IF($E144=0,0,IF(MIN(BI$38,$E144)&lt;MAX($P$34*($B144+$I$38-1),IF(AND($L$37=0,$P$34=0),"",$L$37-1)),0,YEARFRAC(MAX($P$34*($B144+$I$38-1),IF(AND($L$37=0,$P$34=0),"",$L$37-1)),MIN(BI$38,$E144),$P$20))-SUM($BF144:BH144))</f>
        <v>0</v>
      </c>
      <c r="BJ144" s="446">
        <f>IF($E144=0,0,IF(MIN(BJ$38,$E144)&lt;MAX($P$34*($B144+$I$38-1),IF(AND($L$37=0,$P$34=0),"",$L$37-1)),0,YEARFRAC(MAX($P$34*($B144+$I$38-1),IF(AND($L$37=0,$P$34=0),"",$L$37-1)),MIN(BJ$38,$E144),$P$20))-SUM($BF144:BI144))</f>
        <v>0</v>
      </c>
      <c r="BK144" s="446">
        <f>IF($E144=0,0,IF(MIN(BK$38,$E144)&lt;MAX($P$34*($B144+$I$38-1),IF(AND($L$37=0,$P$34=0),"",$L$37-1)),0,YEARFRAC(MAX($P$34*($B144+$I$38-1),IF(AND($L$37=0,$P$34=0),"",$L$37-1)),MIN(BK$38,$E144),$P$20))-SUM($BF144:BJ144))</f>
        <v>0</v>
      </c>
      <c r="BL144" s="446">
        <f>IF($E144=0,0,IF(MIN(BL$38,$E144)&lt;MAX($P$34*($B144+$I$38-1),IF(AND($L$37=0,$P$34=0),"",$L$37-1)),0,YEARFRAC(MAX($P$34*($B144+$I$38-1),IF(AND($L$37=0,$P$34=0),"",$L$37-1)),MIN(BL$38,$E144),$P$20))-SUM($BF144:BK144))</f>
        <v>0</v>
      </c>
      <c r="BM144" s="446">
        <f>IF($E144=0,0,IF(MIN(BM$38,$E144)&lt;MAX($P$34*($B144+$I$38-1),IF(AND($L$37=0,$P$34=0),"",$L$37-1)),0,YEARFRAC(MAX($P$34*($B144+$I$38-1),IF(AND($L$37=0,$P$34=0),"",$L$37-1)),MIN(BM$38,$E144),$P$20))-SUM($BF144:BL144))</f>
        <v>0</v>
      </c>
      <c r="BN144" s="446">
        <f>IF($E144=0,0,IF(MIN(BN$38,$E144)&lt;MAX($P$34*($B144+$I$38-1),IF(AND($L$37=0,$P$34=0),"",$L$37-1)),0,YEARFRAC(MAX($P$34*($B144+$I$38-1),IF(AND($L$37=0,$P$34=0),"",$L$37-1)),MIN(BN$38,$E144),$P$20))-SUM($BF144:BM144))</f>
        <v>0</v>
      </c>
      <c r="BO144" s="446">
        <f>IF($E144=0,0,IF(MIN(BO$38,$E144)&lt;MAX($P$34*($B144+$I$38-1),IF(AND($L$37=0,$P$34=0),"",$L$37-1)),0,YEARFRAC(MAX($P$34*($B144+$I$38-1),IF(AND($L$37=0,$P$34=0),"",$L$37-1)),MIN(BO$38,$E144),$P$20))-SUM($BF144:BN144))</f>
        <v>0</v>
      </c>
      <c r="BP144" s="446">
        <f>IF($E144=0,0,IF(MIN(BP$38,$E144)&lt;MAX($P$34*($B144+$I$38-1),IF(AND($L$37=0,$P$34=0),"",$L$37-1)),0,YEARFRAC(MAX($P$34*($B144+$I$38-1),IF(AND($L$37=0,$P$34=0),"",$L$37-1)),MIN(BP$38,$E144),$P$20))-SUM($BF144:BO144))</f>
        <v>0</v>
      </c>
      <c r="BQ144" s="446">
        <f>IF($E144=0,0,IF(MIN(BQ$38,$E144)&lt;MAX($P$34*($B144+$I$38-1),IF(AND($L$37=0,$P$34=0),"",$L$37-1)),0,YEARFRAC(MAX($P$34*($B144+$I$38-1),IF(AND($L$37=0,$P$34=0),"",$L$37-1)),MIN(BQ$38,$E144),$P$20))-SUM($BF144:BP144))</f>
        <v>0</v>
      </c>
      <c r="BR144" s="446">
        <f>IF($E144=0,0,IF(MIN(BR$38,$E144)&lt;MAX($P$34*($B144+$I$38-1),IF(AND($L$37=0,$P$34=0),"",$L$37-1)),0,YEARFRAC(MAX($P$34*($B144+$I$38-1),IF(AND($L$37=0,$P$34=0),"",$L$37-1)),MIN(BR$38,$E144),$P$20))-SUM($BF144:BQ144))</f>
        <v>0</v>
      </c>
      <c r="BS144" s="446">
        <f>IF($E144=0,0,IF(MIN(BS$38,$E144)&lt;MAX($P$34*($B144+$I$38-1),IF(AND($L$37=0,$P$34=0),"",$L$37-1)),0,YEARFRAC(MAX($P$34*($B144+$I$38-1),IF(AND($L$37=0,$P$34=0),"",$L$37-1)),MIN(BS$38,$E144),$P$20))-SUM($BF144:BR144))</f>
        <v>0</v>
      </c>
      <c r="BT144" s="446">
        <f>IF($E144=0,0,IF(MIN(BT$38,$E144)&lt;MAX($P$34*($B144+$I$38-1),IF(AND($L$37=0,$P$34=0),"",$L$37-1)),0,YEARFRAC(MAX($P$34*($B144+$I$38-1),IF(AND($L$37=0,$P$34=0),"",$L$37-1)),MIN(BT$38,$E144),$P$20))-SUM($BF144:BS144))</f>
        <v>0</v>
      </c>
      <c r="BU144" s="446">
        <f>IF($E144=0,0,IF(MIN(BU$38,$E144)&lt;MAX($P$34*($B144+$I$38-1),IF(AND($L$37=0,$P$34=0),"",$L$37-1)),0,YEARFRAC(MAX($P$34*($B144+$I$38-1),IF(AND($L$37=0,$P$34=0),"",$L$37-1)),MIN(BU$38,$E144),$P$20))-SUM($BF144:BT144))</f>
        <v>0</v>
      </c>
      <c r="BV144" s="446">
        <f>IF($E144=0,0,IF(MIN(BV$38,$E144)&lt;MAX($P$34*($B144+$I$38-1),IF(AND($L$37=0,$P$34=0),"",$L$37-1)),0,YEARFRAC(MAX($P$34*($B144+$I$38-1),IF(AND($L$37=0,$P$34=0),"",$L$37-1)),MIN(BV$38,$E144),$P$20))-SUM($BF144:BU144))</f>
        <v>0</v>
      </c>
      <c r="BW144" s="446">
        <f>IF($E144=0,0,IF(MIN(BW$38,$E144)&lt;MAX($P$34*($B144+$I$38-1),IF(AND($L$37=0,$P$34=0),"",$L$37-1)),0,YEARFRAC(MAX($P$34*($B144+$I$38-1),IF(AND($L$37=0,$P$34=0),"",$L$37-1)),MIN(BW$38,$E144),$P$20))-SUM($BF144:BV144))</f>
        <v>0</v>
      </c>
      <c r="BX144" s="446">
        <f>IF($E144=0,0,IF(MIN(BX$38,$E144)&lt;MAX($P$34*($B144+$I$38-1),IF(AND($L$37=0,$P$34=0),"",$L$37-1)),0,YEARFRAC(MAX($P$34*($B144+$I$38-1),IF(AND($L$37=0,$P$34=0),"",$L$37-1)),MIN(BX$38,$E144),$P$20))-SUM($BF144:BW144))</f>
        <v>0</v>
      </c>
      <c r="BY144" s="446">
        <f>IF($E144=0,0,IF(MIN(BY$38,$E144)&lt;MAX($P$34*($B144+$I$38-1),IF(AND($L$37=0,$P$34=0),"",$L$37-1)),0,YEARFRAC(MAX($P$34*($B144+$I$38-1),IF(AND($L$37=0,$P$34=0),"",$L$37-1)),MIN(BY$38,$E144),$P$20))-SUM($BF144:BX144))</f>
        <v>0</v>
      </c>
      <c r="BZ144" s="446">
        <f>IF($E144=0,0,IF(MIN(BZ$38,$E144)&lt;MAX($P$34*($B144+$I$38-1),IF(AND($L$37=0,$P$34=0),"",$L$37-1)),0,YEARFRAC(MAX($P$34*($B144+$I$38-1),IF(AND($L$37=0,$P$34=0),"",$L$37-1)),MIN(BZ$38,$E144),$P$20))-SUM($BF144:BY144))</f>
        <v>0</v>
      </c>
      <c r="CA144" s="446">
        <f>IF($E144=0,0,IF(MIN(CA$38,$E144)&lt;MAX($P$34*($B144+$I$38-1),IF(AND($L$37=0,$P$34=0),"",$L$37-1)),0,YEARFRAC(MAX($P$34*($B144+$I$38-1),IF(AND($L$37=0,$P$34=0),"",$L$37-1)),MIN(CA$38,$E144),$P$20))-SUM($BF144:BZ144))</f>
        <v>0</v>
      </c>
      <c r="CB144" s="446">
        <f>IF($E144=0,0,IF(MIN(CB$38,$E144)&lt;MAX($P$34*($B144+$I$38-1),IF(AND($L$37=0,$P$34=0),"",$L$37-1)),0,YEARFRAC(MAX($P$34*($B144+$I$38-1),IF(AND($L$37=0,$P$34=0),"",$L$37-1)),MIN(CB$38,$E144),$P$20))-SUM($BF144:CA144))</f>
        <v>0</v>
      </c>
      <c r="CC144" s="446">
        <f>IF($E144=0,0,IF(MIN(CC$38,$E144)&lt;MAX($P$34*($B144+$I$38-1),IF(AND($L$37=0,$P$34=0),"",$L$37-1)),0,YEARFRAC(MAX($P$34*($B144+$I$38-1),IF(AND($L$37=0,$P$34=0),"",$L$37-1)),MIN(CC$38,$E144),$P$20))-SUM($BF144:CB144))</f>
        <v>0</v>
      </c>
      <c r="CD144" s="446">
        <f>IF($E144=0,0,IF(MIN(CD$38,$E144)&lt;MAX($P$34*($B144+$I$38-1),IF(AND($L$37=0,$P$34=0),"",$L$37-1)),0,YEARFRAC(MAX($P$34*($B144+$I$38-1),IF(AND($L$37=0,$P$34=0),"",$L$37-1)),MIN(CD$38,$E144),$P$20))-SUM($BF144:CC144))</f>
        <v>0</v>
      </c>
      <c r="CE144" s="446">
        <f>IF($E144=0,0,IF(MIN(CE$38,$E144)&lt;MAX($P$34*($B144+$I$38-1),IF(AND($L$37=0,$P$34=0),"",$L$37-1)),0,YEARFRAC(MAX($P$34*($B144+$I$38-1),IF(AND($L$37=0,$P$34=0),"",$L$37-1)),MIN(CE$38,$E144),$P$20))-SUM($BF144:CD144))</f>
        <v>0</v>
      </c>
      <c r="CF144" s="446">
        <f>IF($E144=0,0,IF(MIN(CF$38,$E144)&lt;MAX($P$34*($B144+$I$38-1),IF(AND($L$37=0,$P$34=0),"",$L$37-1)),0,YEARFRAC(MAX($P$34*($B144+$I$38-1),IF(AND($L$37=0,$P$34=0),"",$L$37-1)),MIN(CF$38,$E144),$P$20))-SUM($BF144:CE144))</f>
        <v>0</v>
      </c>
      <c r="CG144" s="446">
        <f>IF($E144=0,0,IF(MIN(CG$38,$E144)&lt;MAX($P$34*($B144+$I$38-1),IF(AND($L$37=0,$P$34=0),"",$L$37-1)),0,YEARFRAC(MAX($P$34*($B144+$I$38-1),IF(AND($L$37=0,$P$34=0),"",$L$37-1)),MIN(CG$38,$E144),$P$20))-SUM($BF144:CF144))</f>
        <v>0</v>
      </c>
      <c r="CH144" s="446">
        <f>IF($E144=0,0,IF(MIN(CH$38,$E144)&lt;MAX($P$34*($B144+$I$38-1),IF(AND($L$37=0,$P$34=0),"",$L$37-1)),0,YEARFRAC(MAX($P$34*($B144+$I$38-1),IF(AND($L$37=0,$P$34=0),"",$L$37-1)),MIN(CH$38,$E144),$P$20))-SUM($BF144:CG144))</f>
        <v>0</v>
      </c>
      <c r="CI144" s="446">
        <f>IF($E144=0,0,IF(MIN(CI$38,$E144)&lt;MAX($P$34*($B144+$I$38-1),IF(AND($L$37=0,$P$34=0),"",$L$37-1)),0,YEARFRAC(MAX($P$34*($B144+$I$38-1),IF(AND($L$37=0,$P$34=0),"",$L$37-1)),MIN(CI$38,$E144),$P$20))-SUM($BF144:CH144))</f>
        <v>0</v>
      </c>
      <c r="CJ144" s="446">
        <f>IF($E144=0,0,IF(MIN(CJ$38,$E144)&lt;MAX($P$34*($B144+$I$38-1),IF(AND($L$37=0,$P$34=0),"",$L$37-1)),0,YEARFRAC(MAX($P$34*($B144+$I$38-1),IF(AND($L$37=0,$P$34=0),"",$L$37-1)),MIN(CJ$38,$E144),$P$20))-SUM($BF144:CI144))</f>
        <v>0</v>
      </c>
      <c r="CK144" s="446">
        <f>IF($E144=0,0,IF(MIN(CK$38,$E144)&lt;MAX($P$34*($B144+$I$38-1),IF(AND($L$37=0,$P$34=0),"",$L$37-1)),0,YEARFRAC(MAX($P$34*($B144+$I$38-1),IF(AND($L$37=0,$P$34=0),"",$L$37-1)),MIN(CK$38,$E144),$P$20))-SUM($BF144:CJ144))</f>
        <v>0</v>
      </c>
      <c r="CL144" s="446">
        <f>IF($E144=0,0,IF(MIN(CL$38,$E144)&lt;MAX($P$34*($B144+$I$38-1),IF(AND($L$37=0,$P$34=0),"",$L$37-1)),0,YEARFRAC(MAX($P$34*($B144+$I$38-1),IF(AND($L$37=0,$P$34=0),"",$L$37-1)),MIN(CL$38,$E144),$P$20))-SUM($BF144:CK144))</f>
        <v>0</v>
      </c>
      <c r="CM144" s="446">
        <f>IF($E144=0,0,IF(MIN(CM$38,$E144)&lt;MAX($P$34*($B144+$I$38-1),IF(AND($L$37=0,$P$34=0),"",$L$37-1)),0,YEARFRAC(MAX($P$34*($B144+$I$38-1),IF(AND($L$37=0,$P$34=0),"",$L$37-1)),MIN(CM$38,$E144),$P$20))-SUM($BF144:CL144))</f>
        <v>0</v>
      </c>
      <c r="CN144" s="446">
        <f>IF($E144=0,0,IF(MIN(CN$38,$E144)&lt;MAX($P$34*($B144+$I$38-1),IF(AND($L$37=0,$P$34=0),"",$L$37-1)),0,YEARFRAC(MAX($P$34*($B144+$I$38-1),IF(AND($L$37=0,$P$34=0),"",$L$37-1)),MIN(CN$38,$E144),$P$20))-SUM($BF144:CM144))</f>
        <v>0</v>
      </c>
      <c r="CO144" s="446">
        <f>IF($E144=0,0,IF(MIN(CO$38,$E144)&lt;MAX($P$34*($B144+$I$38-1),IF(AND($L$37=0,$P$34=0),"",$L$37-1)),0,YEARFRAC(MAX($P$34*($B144+$I$38-1),IF(AND($L$37=0,$P$34=0),"",$L$37-1)),MIN(CO$38,$E144),$P$20))-SUM($BF144:CN144))</f>
        <v>0</v>
      </c>
      <c r="CP144" s="446">
        <f>IF($E144=0,0,IF(MIN(CP$38,$E144)&lt;MAX($P$34*($B144+$I$38-1),IF(AND($L$37=0,$P$34=0),"",$L$37-1)),0,YEARFRAC(MAX($P$34*($B144+$I$38-1),IF(AND($L$37=0,$P$34=0),"",$L$37-1)),MIN(CP$38,$E144),$P$20))-SUM($BF144:CO144))</f>
        <v>0</v>
      </c>
      <c r="CQ144" s="446">
        <f>IF($E144=0,0,IF(MIN(CQ$38,$E144)&lt;MAX($P$34*($B144+$I$38-1),IF(AND($L$37=0,$P$34=0),"",$L$37-1)),0,YEARFRAC(MAX($P$34*($B144+$I$38-1),IF(AND($L$37=0,$P$34=0),"",$L$37-1)),MIN(CQ$38,$E144),$P$20))-SUM($BF144:CP144))</f>
        <v>0</v>
      </c>
    </row>
    <row r="145" spans="1:95" s="446" customFormat="1" ht="11.25" hidden="1" customHeight="1" x14ac:dyDescent="0.2">
      <c r="A145" s="152"/>
      <c r="B145" s="153" t="str">
        <f t="shared" si="26"/>
        <v/>
      </c>
      <c r="C145" s="29" t="str">
        <f>IF(B145="","",IF($L$35="SELIC - TRIBUTOS",VLOOKUP(DATE(YEAR($D$19),MONTH($D$19)-1,1),ÍNDICES!$A:$DE,HLOOKUP($BL$25,ÍNDICES!$B$3:$T$4,2)+11)-VLOOKUP(B145,ÍNDICES!$A:$DE,HLOOKUP($BL$25,ÍNDICES!$B$3:$T$4,2)+11)+1%,IF(C$38=$W$26,$J$35,IF(ISERROR(IF(B145&gt;$D$19,1,VLOOKUP(DATE(YEAR(B145),MONTH(B145)+IF($C$35=$S$23,1,0),1),ÍNDICES!$A:$DE,$Z$35+1))),"",IF(B145&gt;$D$19,1,VLOOKUP(DATE(YEAR(B145),MONTH(B145)+IF($C$35=$S$23,1,0),1),ÍNDICES!$A:$DE,$Z$35+1))))))</f>
        <v/>
      </c>
      <c r="D145" s="154" t="str">
        <f>IF(ISERROR(IF(OR($D$38=$Y$27,$B145=""),"",VLOOKUP(B145,ÍNDICES!A:DE,AF$35+1))),"",IF(OR($D$38=$Y$27,$B145=""),"",VLOOKUP(B145,ÍNDICES!A:DE,AF$35+1)))</f>
        <v/>
      </c>
      <c r="E145" s="153"/>
      <c r="F145" s="29" t="str">
        <f>IF(E145="","",IF($L$35="SELIC - TRIBUTOS",VLOOKUP(DATE(YEAR($D$19),MONTH($D$19)-1,1),ÍNDICES!$A:$DE,HLOOKUP($BL$25,ÍNDICES!$B$3:$T$4,2)+11)-VLOOKUP(E145,ÍNDICES!$A:$DE,HLOOKUP($BL$25,ÍNDICES!$B$3:$T$4,2)+11)+1%,IF(F$38=$W$26,$J$35,IF(ISERROR(IF(E145&gt;$D$19,1,VLOOKUP(DATE(YEAR(E145),MONTH(E145)+IF($C$35=$S$23,1,0),1),ÍNDICES!$A:$DE,$Z$35+1))),"",IF(E145&gt;$D$19,1,VLOOKUP(DATE(YEAR(E145),MONTH(E145)+IF($C$35=$S$23,1,0),1),ÍNDICES!$A:$DE,$Z$35+1))))))</f>
        <v/>
      </c>
      <c r="G145" s="155"/>
      <c r="H145" s="156" t="str">
        <f t="shared" si="22"/>
        <v/>
      </c>
      <c r="I145" s="29" t="str">
        <f t="shared" si="16"/>
        <v/>
      </c>
      <c r="J145" s="5">
        <f t="shared" si="17"/>
        <v>0</v>
      </c>
      <c r="K145" s="20">
        <f t="shared" ca="1" si="18"/>
        <v>0</v>
      </c>
      <c r="L145" s="5">
        <f t="shared" ca="1" si="19"/>
        <v>0</v>
      </c>
      <c r="M145" s="64">
        <f t="shared" si="23"/>
        <v>0</v>
      </c>
      <c r="N145" s="61">
        <f t="shared" ca="1" si="24"/>
        <v>0</v>
      </c>
      <c r="O145" s="5">
        <f t="shared" ca="1" si="25"/>
        <v>0</v>
      </c>
      <c r="P145" s="446" t="e">
        <f t="shared" si="20"/>
        <v>#VALUE!</v>
      </c>
      <c r="Q145" s="446" t="e">
        <f>IF(OR($B145="",MIN(Q$38,$D$19)&lt;MAX($P$34*($B145+IF($R$17="Distrato",$I$38-1,0)),IF(AND($L$37=0,$P$34=0),"",$L$37-1),IF($R$17="Distrato",$E145,0))),0,YEARFRAC(MAX($P$34*($B145+IF($R$17="Distrato",$I$38-1,0)),IF(AND($L$37=0,$P$34=0),"",$L$37-1),IF($R$17="Distrato",$E145,0)),MIN(Q$38,$D$19),$P$20))-SUM($P145:P145)</f>
        <v>#VALUE!</v>
      </c>
      <c r="R145" s="446" t="e">
        <f>IF(OR($B145="",MIN(R$38,$D$19)&lt;MAX($P$34*($B145+IF($R$17="Distrato",$I$38-1,0)),IF(AND($L$37=0,$P$34=0),"",$L$37-1),IF($R$17="Distrato",$E145,0))),0,YEARFRAC(MAX($P$34*($B145+IF($R$17="Distrato",$I$38-1,0)),IF(AND($L$37=0,$P$34=0),"",$L$37-1),IF($R$17="Distrato",$E145,0)),MIN(R$38,$D$19),$P$20))-SUM($P145:Q145)</f>
        <v>#VALUE!</v>
      </c>
      <c r="S145" s="446" t="e">
        <f>IF(OR($B145="",MIN(S$38,$D$19)&lt;MAX($P$34*($B145+IF($R$17="Distrato",$I$38-1,0)),IF(AND($L$37=0,$P$34=0),"",$L$37-1),IF($R$17="Distrato",$E145,0))),0,YEARFRAC(MAX($P$34*($B145+IF($R$17="Distrato",$I$38-1,0)),IF(AND($L$37=0,$P$34=0),"",$L$37-1),IF($R$17="Distrato",$E145,0)),MIN(S$38,$D$19),$P$20))-SUM($P145:R145)</f>
        <v>#VALUE!</v>
      </c>
      <c r="T145" s="446" t="e">
        <f>IF(OR($B145="",MIN(T$38,$D$19)&lt;MAX($P$34*($B145+IF($R$17="Distrato",$I$38-1,0)),IF(AND($L$37=0,$P$34=0),"",$L$37-1),IF($R$17="Distrato",$E145,0))),0,YEARFRAC(MAX($P$34*($B145+IF($R$17="Distrato",$I$38-1,0)),IF(AND($L$37=0,$P$34=0),"",$L$37-1),IF($R$17="Distrato",$E145,0)),MIN(T$38,$D$19),$P$20))-SUM($P145:S145)</f>
        <v>#VALUE!</v>
      </c>
      <c r="U145" s="446" t="e">
        <f>IF(OR($B145="",MIN(U$38,$D$19)&lt;MAX($P$34*($B145+IF($R$17="Distrato",$I$38-1,0)),IF(AND($L$37=0,$P$34=0),"",$L$37-1),IF($R$17="Distrato",$E145,0))),0,YEARFRAC(MAX($P$34*($B145+IF($R$17="Distrato",$I$38-1,0)),IF(AND($L$37=0,$P$34=0),"",$L$37-1),IF($R$17="Distrato",$E145,0)),MIN(U$38,$D$19),$P$20))-SUM($P145:T145)</f>
        <v>#VALUE!</v>
      </c>
      <c r="V145" s="446" t="e">
        <f>IF(OR($B145="",MIN(V$38,$D$19)&lt;MAX($P$34*($B145+IF($R$17="Distrato",$I$38-1,0)),IF(AND($L$37=0,$P$34=0),"",$L$37-1),IF($R$17="Distrato",$E145,0))),0,YEARFRAC(MAX($P$34*($B145+IF($R$17="Distrato",$I$38-1,0)),IF(AND($L$37=0,$P$34=0),"",$L$37-1),IF($R$17="Distrato",$E145,0)),MIN(V$38,$D$19),$P$20))-SUM($P145:U145)</f>
        <v>#VALUE!</v>
      </c>
      <c r="W145" s="446" t="e">
        <f>IF(OR($B145="",MIN(W$38,$D$19)&lt;MAX($P$34*($B145+IF($R$17="Distrato",$I$38-1,0)),IF(AND($L$37=0,$P$34=0),"",$L$37-1),IF($R$17="Distrato",$E145,0))),0,YEARFRAC(MAX($P$34*($B145+IF($R$17="Distrato",$I$38-1,0)),IF(AND($L$37=0,$P$34=0),"",$L$37-1),IF($R$17="Distrato",$E145,0)),MIN(W$38,$D$19),$P$20))-SUM($P145:V145)</f>
        <v>#VALUE!</v>
      </c>
      <c r="X145" s="446" t="e">
        <f>IF(OR($B145="",MIN(X$38,$D$19)&lt;MAX($P$34*($B145+IF($R$17="Distrato",$I$38-1,0)),IF(AND($L$37=0,$P$34=0),"",$L$37-1),IF($R$17="Distrato",$E145,0))),0,YEARFRAC(MAX($P$34*($B145+IF($R$17="Distrato",$I$38-1,0)),IF(AND($L$37=0,$P$34=0),"",$L$37-1),IF($R$17="Distrato",$E145,0)),MIN(X$38,$D$19),$P$20))-SUM($P145:W145)</f>
        <v>#VALUE!</v>
      </c>
      <c r="Y145" s="446" t="e">
        <f>IF(OR($B145="",MIN(Y$38,$D$19)&lt;MAX($P$34*($B145+IF($R$17="Distrato",$I$38-1,0)),IF(AND($L$37=0,$P$34=0),"",$L$37-1),IF($R$17="Distrato",$E145,0))),0,YEARFRAC(MAX($P$34*($B145+IF($R$17="Distrato",$I$38-1,0)),IF(AND($L$37=0,$P$34=0),"",$L$37-1),IF($R$17="Distrato",$E145,0)),MIN(Y$38,$D$19),$P$20))-SUM($P145:X145)</f>
        <v>#VALUE!</v>
      </c>
      <c r="Z145" s="446" t="e">
        <f>IF(OR($B145="",MIN(Z$38,$D$19)&lt;MAX($P$34*($B145+IF($R$17="Distrato",$I$38-1,0)),IF(AND($L$37=0,$P$34=0),"",$L$37-1),IF($R$17="Distrato",$E145,0))),0,YEARFRAC(MAX($P$34*($B145+IF($R$17="Distrato",$I$38-1,0)),IF(AND($L$37=0,$P$34=0),"",$L$37-1),IF($R$17="Distrato",$E145,0)),MIN(Z$38,$D$19),$P$20))-SUM($P145:Y145)</f>
        <v>#VALUE!</v>
      </c>
      <c r="AA145" s="446" t="e">
        <f>IF(OR($B145="",MIN(AA$38,$D$19)&lt;MAX($P$34*($B145+IF($R$17="Distrato",$I$38-1,0)),IF(AND($L$37=0,$P$34=0),"",$L$37-1),IF($R$17="Distrato",$E145,0))),0,YEARFRAC(MAX($P$34*($B145+IF($R$17="Distrato",$I$38-1,0)),IF(AND($L$37=0,$P$34=0),"",$L$37-1),IF($R$17="Distrato",$E145,0)),MIN(AA$38,$D$19),$P$20))-SUM($P145:Z145)</f>
        <v>#VALUE!</v>
      </c>
      <c r="AB145" s="446" t="e">
        <f>IF(OR($B145="",MIN(AB$38,$D$19)&lt;MAX($P$34*($B145+IF($R$17="Distrato",$I$38-1,0)),IF(AND($L$37=0,$P$34=0),"",$L$37-1),IF($R$17="Distrato",$E145,0))),0,YEARFRAC(MAX($P$34*($B145+IF($R$17="Distrato",$I$38-1,0)),IF(AND($L$37=0,$P$34=0),"",$L$37-1),IF($R$17="Distrato",$E145,0)),MIN(AB$38,$D$19),$P$20))-SUM($P145:AA145)</f>
        <v>#VALUE!</v>
      </c>
      <c r="AC145" s="446" t="e">
        <f>IF(OR($B145="",MIN(AC$38,$D$19)&lt;MAX($P$34*($B145+IF($R$17="Distrato",$I$38-1,0)),IF(AND($L$37=0,$P$34=0),"",$L$37-1),IF($R$17="Distrato",$E145,0))),0,YEARFRAC(MAX($P$34*($B145+IF($R$17="Distrato",$I$38-1,0)),IF(AND($L$37=0,$P$34=0),"",$L$37-1),IF($R$17="Distrato",$E145,0)),MIN(AC$38,$D$19),$P$20))-SUM($P145:AB145)</f>
        <v>#VALUE!</v>
      </c>
      <c r="AD145" s="446" t="e">
        <f>IF(OR($B145="",MIN(AD$38,$D$19)&lt;MAX($P$34*($B145+IF($R$17="Distrato",$I$38-1,0)),IF(AND($L$37=0,$P$34=0),"",$L$37-1),IF($R$17="Distrato",$E145,0))),0,YEARFRAC(MAX($P$34*($B145+IF($R$17="Distrato",$I$38-1,0)),IF(AND($L$37=0,$P$34=0),"",$L$37-1),IF($R$17="Distrato",$E145,0)),MIN(AD$38,$D$19),$P$20))-SUM($P145:AC145)</f>
        <v>#VALUE!</v>
      </c>
      <c r="AE145" s="446" t="e">
        <f>IF(OR($B145="",MIN(AE$38,$D$19)&lt;MAX($P$34*($B145+IF($R$17="Distrato",$I$38-1,0)),IF(AND($L$37=0,$P$34=0),"",$L$37-1),IF($R$17="Distrato",$E145,0))),0,YEARFRAC(MAX($P$34*($B145+IF($R$17="Distrato",$I$38-1,0)),IF(AND($L$37=0,$P$34=0),"",$L$37-1),IF($R$17="Distrato",$E145,0)),MIN(AE$38,$D$19),$P$20))-SUM($P145:AD145)</f>
        <v>#VALUE!</v>
      </c>
      <c r="AF145" s="446" t="e">
        <f>IF(OR($B145="",MIN(AF$38,$D$19)&lt;MAX($P$34*($B145+IF($R$17="Distrato",$I$38-1,0)),IF(AND($L$37=0,$P$34=0),"",$L$37-1),IF($R$17="Distrato",$E145,0))),0,YEARFRAC(MAX($P$34*($B145+IF($R$17="Distrato",$I$38-1,0)),IF(AND($L$37=0,$P$34=0),"",$L$37-1),IF($R$17="Distrato",$E145,0)),MIN(AF$38,$D$19),$P$20))-SUM($P145:AE145)</f>
        <v>#VALUE!</v>
      </c>
      <c r="AG145" s="446" t="e">
        <f>IF(OR($B145="",MIN(AG$38,$D$19)&lt;MAX($P$34*($B145+IF($R$17="Distrato",$I$38-1,0)),IF(AND($L$37=0,$P$34=0),"",$L$37-1),IF($R$17="Distrato",$E145,0))),0,YEARFRAC(MAX($P$34*($B145+IF($R$17="Distrato",$I$38-1,0)),IF(AND($L$37=0,$P$34=0),"",$L$37-1),IF($R$17="Distrato",$E145,0)),MIN(AG$38,$D$19),$P$20))-SUM($P145:AF145)</f>
        <v>#VALUE!</v>
      </c>
      <c r="AH145" s="446" t="e">
        <f>IF(OR($B145="",MIN(AH$38,$D$19)&lt;MAX($P$34*($B145+IF($R$17="Distrato",$I$38-1,0)),IF(AND($L$37=0,$P$34=0),"",$L$37-1),IF($R$17="Distrato",$E145,0))),0,YEARFRAC(MAX($P$34*($B145+IF($R$17="Distrato",$I$38-1,0)),IF(AND($L$37=0,$P$34=0),"",$L$37-1),IF($R$17="Distrato",$E145,0)),MIN(AH$38,$D$19),$P$20))-SUM($P145:AG145)</f>
        <v>#VALUE!</v>
      </c>
      <c r="AI145" s="446" t="e">
        <f>IF(OR($B145="",MIN(AI$38,$D$19)&lt;MAX($P$34*($B145+IF($R$17="Distrato",$I$38-1,0)),IF(AND($L$37=0,$P$34=0),"",$L$37-1),IF($R$17="Distrato",$E145,0))),0,YEARFRAC(MAX($P$34*($B145+IF($R$17="Distrato",$I$38-1,0)),IF(AND($L$37=0,$P$34=0),"",$L$37-1),IF($R$17="Distrato",$E145,0)),MIN(AI$38,$D$19),$P$20))-SUM($P145:AH145)</f>
        <v>#VALUE!</v>
      </c>
      <c r="AJ145" s="446" t="e">
        <f>IF(OR($B145="",MIN(AJ$38,$D$19)&lt;MAX($P$34*($B145+IF($R$17="Distrato",$I$38-1,0)),IF(AND($L$37=0,$P$34=0),"",$L$37-1),IF($R$17="Distrato",$E145,0))),0,YEARFRAC(MAX($P$34*($B145+IF($R$17="Distrato",$I$38-1,0)),IF(AND($L$37=0,$P$34=0),"",$L$37-1),IF($R$17="Distrato",$E145,0)),MIN(AJ$38,$D$19),$P$20))-SUM($P145:AI145)</f>
        <v>#VALUE!</v>
      </c>
      <c r="AK145" s="446" t="e">
        <f>IF(OR($B145="",MIN(AK$38,$D$19)&lt;MAX($P$34*($B145+IF($R$17="Distrato",$I$38-1,0)),IF(AND($L$37=0,$P$34=0),"",$L$37-1),IF($R$17="Distrato",$E145,0))),0,YEARFRAC(MAX($P$34*($B145+IF($R$17="Distrato",$I$38-1,0)),IF(AND($L$37=0,$P$34=0),"",$L$37-1),IF($R$17="Distrato",$E145,0)),MIN(AK$38,$D$19),$P$20))-SUM($P145:AJ145)</f>
        <v>#VALUE!</v>
      </c>
      <c r="AL145" s="446" t="e">
        <f>IF(OR($B145="",MIN(AL$38,$D$19)&lt;MAX($P$34*($B145+IF($R$17="Distrato",$I$38-1,0)),IF(AND($L$37=0,$P$34=0),"",$L$37-1),IF($R$17="Distrato",$E145,0))),0,YEARFRAC(MAX($P$34*($B145+IF($R$17="Distrato",$I$38-1,0)),IF(AND($L$37=0,$P$34=0),"",$L$37-1),IF($R$17="Distrato",$E145,0)),MIN(AL$38,$D$19),$P$20))-SUM($P145:AK145)</f>
        <v>#VALUE!</v>
      </c>
      <c r="AM145" s="446" t="e">
        <f>IF(OR($B145="",MIN(AM$38,$D$19)&lt;MAX($P$34*($B145+IF($R$17="Distrato",$I$38-1,0)),IF(AND($L$37=0,$P$34=0),"",$L$37-1),IF($R$17="Distrato",$E145,0))),0,YEARFRAC(MAX($P$34*($B145+IF($R$17="Distrato",$I$38-1,0)),IF(AND($L$37=0,$P$34=0),"",$L$37-1),IF($R$17="Distrato",$E145,0)),MIN(AM$38,$D$19),$P$20))-SUM($P145:AL145)</f>
        <v>#VALUE!</v>
      </c>
      <c r="AN145" s="446" t="e">
        <f>IF(OR($B145="",MIN(AN$38,$D$19)&lt;MAX($P$34*($B145+IF($R$17="Distrato",$I$38-1,0)),IF(AND($L$37=0,$P$34=0),"",$L$37-1),IF($R$17="Distrato",$E145,0))),0,YEARFRAC(MAX($P$34*($B145+IF($R$17="Distrato",$I$38-1,0)),IF(AND($L$37=0,$P$34=0),"",$L$37-1),IF($R$17="Distrato",$E145,0)),MIN(AN$38,$D$19),$P$20))-SUM($P145:AM145)</f>
        <v>#VALUE!</v>
      </c>
      <c r="AO145" s="446" t="e">
        <f>IF(OR($B145="",MIN(AO$38,$D$19)&lt;MAX($P$34*($B145+IF($R$17="Distrato",$I$38-1,0)),IF(AND($L$37=0,$P$34=0),"",$L$37-1),IF($R$17="Distrato",$E145,0))),0,YEARFRAC(MAX($P$34*($B145+IF($R$17="Distrato",$I$38-1,0)),IF(AND($L$37=0,$P$34=0),"",$L$37-1),IF($R$17="Distrato",$E145,0)),MIN(AO$38,$D$19),$P$20))-SUM($P145:AN145)</f>
        <v>#VALUE!</v>
      </c>
      <c r="AP145" s="446" t="e">
        <f>IF(OR($B145="",MIN(AP$38,$D$19)&lt;MAX($P$34*($B145+IF($R$17="Distrato",$I$38-1,0)),IF(AND($L$37=0,$P$34=0),"",$L$37-1),IF($R$17="Distrato",$E145,0))),0,YEARFRAC(MAX($P$34*($B145+IF($R$17="Distrato",$I$38-1,0)),IF(AND($L$37=0,$P$34=0),"",$L$37-1),IF($R$17="Distrato",$E145,0)),MIN(AP$38,$D$19),$P$20))-SUM($P145:AO145)</f>
        <v>#VALUE!</v>
      </c>
      <c r="AQ145" s="446" t="e">
        <f>IF(OR($B145="",MIN(AQ$38,$D$19)&lt;MAX($P$34*($B145+IF($R$17="Distrato",$I$38-1,0)),IF(AND($L$37=0,$P$34=0),"",$L$37-1),IF($R$17="Distrato",$E145,0))),0,YEARFRAC(MAX($P$34*($B145+IF($R$17="Distrato",$I$38-1,0)),IF(AND($L$37=0,$P$34=0),"",$L$37-1),IF($R$17="Distrato",$E145,0)),MIN(AQ$38,$D$19),$P$20))-SUM($P145:AP145)</f>
        <v>#VALUE!</v>
      </c>
      <c r="AR145" s="446" t="e">
        <f>IF(OR($B145="",MIN(AR$38,$D$19)&lt;MAX($P$34*($B145+IF($R$17="Distrato",$I$38-1,0)),IF(AND($L$37=0,$P$34=0),"",$L$37-1),IF($R$17="Distrato",$E145,0))),0,YEARFRAC(MAX($P$34*($B145+IF($R$17="Distrato",$I$38-1,0)),IF(AND($L$37=0,$P$34=0),"",$L$37-1),IF($R$17="Distrato",$E145,0)),MIN(AR$38,$D$19),$P$20))-SUM($P145:AQ145)</f>
        <v>#VALUE!</v>
      </c>
      <c r="AS145" s="446" t="e">
        <f>IF(OR($B145="",MIN(AS$38,$D$19)&lt;MAX($P$34*($B145+IF($R$17="Distrato",$I$38-1,0)),IF(AND($L$37=0,$P$34=0),"",$L$37-1),IF($R$17="Distrato",$E145,0))),0,YEARFRAC(MAX($P$34*($B145+IF($R$17="Distrato",$I$38-1,0)),IF(AND($L$37=0,$P$34=0),"",$L$37-1),IF($R$17="Distrato",$E145,0)),MIN(AS$38,$D$19),$P$20))-SUM($P145:AR145)</f>
        <v>#VALUE!</v>
      </c>
      <c r="AT145" s="446" t="e">
        <f>IF(OR($B145="",MIN(AT$38,$D$19)&lt;MAX($P$34*($B145+IF($R$17="Distrato",$I$38-1,0)),IF(AND($L$37=0,$P$34=0),"",$L$37-1),IF($R$17="Distrato",$E145,0))),0,YEARFRAC(MAX($P$34*($B145+IF($R$17="Distrato",$I$38-1,0)),IF(AND($L$37=0,$P$34=0),"",$L$37-1),IF($R$17="Distrato",$E145,0)),MIN(AT$38,$D$19),$P$20))-SUM($P145:AS145)</f>
        <v>#VALUE!</v>
      </c>
      <c r="AU145" s="446" t="e">
        <f>IF(OR($B145="",MIN(AU$38,$D$19)&lt;MAX($P$34*($B145+IF($R$17="Distrato",$I$38-1,0)),IF(AND($L$37=0,$P$34=0),"",$L$37-1),IF($R$17="Distrato",$E145,0))),0,YEARFRAC(MAX($P$34*($B145+IF($R$17="Distrato",$I$38-1,0)),IF(AND($L$37=0,$P$34=0),"",$L$37-1),IF($R$17="Distrato",$E145,0)),MIN(AU$38,$D$19),$P$20))-SUM($P145:AT145)</f>
        <v>#VALUE!</v>
      </c>
      <c r="AV145" s="446" t="e">
        <f>IF(OR($B145="",MIN(AV$38,$D$19)&lt;MAX($P$34*($B145+IF($R$17="Distrato",$I$38-1,0)),IF(AND($L$37=0,$P$34=0),"",$L$37-1),IF($R$17="Distrato",$E145,0))),0,YEARFRAC(MAX($P$34*($B145+IF($R$17="Distrato",$I$38-1,0)),IF(AND($L$37=0,$P$34=0),"",$L$37-1),IF($R$17="Distrato",$E145,0)),MIN(AV$38,$D$19),$P$20))-SUM($P145:AU145)</f>
        <v>#VALUE!</v>
      </c>
      <c r="AW145" s="446" t="e">
        <f>IF(OR($B145="",MIN(AW$38,$D$19)&lt;MAX($P$34*($B145+IF($R$17="Distrato",$I$38-1,0)),IF(AND($L$37=0,$P$34=0),"",$L$37-1),IF($R$17="Distrato",$E145,0))),0,YEARFRAC(MAX($P$34*($B145+IF($R$17="Distrato",$I$38-1,0)),IF(AND($L$37=0,$P$34=0),"",$L$37-1),IF($R$17="Distrato",$E145,0)),MIN(AW$38,$D$19),$P$20))-SUM($P145:AV145)</f>
        <v>#VALUE!</v>
      </c>
      <c r="AX145" s="446" t="e">
        <f>IF(OR($B145="",MIN(AX$38,$D$19)&lt;MAX($P$34*($B145+IF($R$17="Distrato",$I$38-1,0)),IF(AND($L$37=0,$P$34=0),"",$L$37-1),IF($R$17="Distrato",$E145,0))),0,YEARFRAC(MAX($P$34*($B145+IF($R$17="Distrato",$I$38-1,0)),IF(AND($L$37=0,$P$34=0),"",$L$37-1),IF($R$17="Distrato",$E145,0)),MIN(AX$38,$D$19),$P$20))-SUM($P145:AW145)</f>
        <v>#VALUE!</v>
      </c>
      <c r="AY145" s="446" t="e">
        <f>IF(OR($B145="",MIN(AY$38,$D$19)&lt;MAX($P$34*($B145+IF($R$17="Distrato",$I$38-1,0)),IF(AND($L$37=0,$P$34=0),"",$L$37-1),IF($R$17="Distrato",$E145,0))),0,YEARFRAC(MAX($P$34*($B145+IF($R$17="Distrato",$I$38-1,0)),IF(AND($L$37=0,$P$34=0),"",$L$37-1),IF($R$17="Distrato",$E145,0)),MIN(AY$38,$D$19),$P$20))-SUM($P145:AX145)</f>
        <v>#VALUE!</v>
      </c>
      <c r="AZ145" s="446" t="e">
        <f>IF(OR($B145="",MIN(AZ$38,$D$19)&lt;MAX($P$34*($B145+IF($R$17="Distrato",$I$38-1,0)),IF(AND($L$37=0,$P$34=0),"",$L$37-1),IF($R$17="Distrato",$E145,0))),0,YEARFRAC(MAX($P$34*($B145+IF($R$17="Distrato",$I$38-1,0)),IF(AND($L$37=0,$P$34=0),"",$L$37-1),IF($R$17="Distrato",$E145,0)),MIN(AZ$38,$D$19),$P$20))-SUM($P145:AY145)</f>
        <v>#VALUE!</v>
      </c>
      <c r="BA145" s="446" t="e">
        <f>IF(OR($B145="",MIN(BA$38,$D$19)&lt;MAX($P$34*($B145+IF($R$17="Distrato",$I$38-1,0)),IF(AND($L$37=0,$P$34=0),"",$L$37-1),IF($R$17="Distrato",$E145,0))),0,YEARFRAC(MAX($P$34*($B145+IF($R$17="Distrato",$I$38-1,0)),IF(AND($L$37=0,$P$34=0),"",$L$37-1),IF($R$17="Distrato",$E145,0)),MIN(BA$38,$D$19),$P$20))-SUM($P145:AZ145)</f>
        <v>#VALUE!</v>
      </c>
      <c r="BB145" s="447"/>
      <c r="BF145" s="446">
        <f t="shared" si="21"/>
        <v>0</v>
      </c>
      <c r="BG145" s="446">
        <f>IF($E145=0,0,IF(MIN(BG$38,$E145)&lt;MAX($P$34*($B145+$I$38-1),IF(AND($L$37=0,$P$34=0),"",$L$37-1)),0,YEARFRAC(MAX($P$34*($B145+$I$38-1),IF(AND($L$37=0,$P$34=0),"",$L$37-1)),MIN(BG$38,$E145),$P$20))-SUM($BF145:BF145))</f>
        <v>0</v>
      </c>
      <c r="BH145" s="446">
        <f>IF($E145=0,0,IF(MIN(BH$38,$E145)&lt;MAX($P$34*($B145+$I$38-1),IF(AND($L$37=0,$P$34=0),"",$L$37-1)),0,YEARFRAC(MAX($P$34*($B145+$I$38-1),IF(AND($L$37=0,$P$34=0),"",$L$37-1)),MIN(BH$38,$E145),$P$20))-SUM($BF145:BG145))</f>
        <v>0</v>
      </c>
      <c r="BI145" s="446">
        <f>IF($E145=0,0,IF(MIN(BI$38,$E145)&lt;MAX($P$34*($B145+$I$38-1),IF(AND($L$37=0,$P$34=0),"",$L$37-1)),0,YEARFRAC(MAX($P$34*($B145+$I$38-1),IF(AND($L$37=0,$P$34=0),"",$L$37-1)),MIN(BI$38,$E145),$P$20))-SUM($BF145:BH145))</f>
        <v>0</v>
      </c>
      <c r="BJ145" s="446">
        <f>IF($E145=0,0,IF(MIN(BJ$38,$E145)&lt;MAX($P$34*($B145+$I$38-1),IF(AND($L$37=0,$P$34=0),"",$L$37-1)),0,YEARFRAC(MAX($P$34*($B145+$I$38-1),IF(AND($L$37=0,$P$34=0),"",$L$37-1)),MIN(BJ$38,$E145),$P$20))-SUM($BF145:BI145))</f>
        <v>0</v>
      </c>
      <c r="BK145" s="446">
        <f>IF($E145=0,0,IF(MIN(BK$38,$E145)&lt;MAX($P$34*($B145+$I$38-1),IF(AND($L$37=0,$P$34=0),"",$L$37-1)),0,YEARFRAC(MAX($P$34*($B145+$I$38-1),IF(AND($L$37=0,$P$34=0),"",$L$37-1)),MIN(BK$38,$E145),$P$20))-SUM($BF145:BJ145))</f>
        <v>0</v>
      </c>
      <c r="BL145" s="446">
        <f>IF($E145=0,0,IF(MIN(BL$38,$E145)&lt;MAX($P$34*($B145+$I$38-1),IF(AND($L$37=0,$P$34=0),"",$L$37-1)),0,YEARFRAC(MAX($P$34*($B145+$I$38-1),IF(AND($L$37=0,$P$34=0),"",$L$37-1)),MIN(BL$38,$E145),$P$20))-SUM($BF145:BK145))</f>
        <v>0</v>
      </c>
      <c r="BM145" s="446">
        <f>IF($E145=0,0,IF(MIN(BM$38,$E145)&lt;MAX($P$34*($B145+$I$38-1),IF(AND($L$37=0,$P$34=0),"",$L$37-1)),0,YEARFRAC(MAX($P$34*($B145+$I$38-1),IF(AND($L$37=0,$P$34=0),"",$L$37-1)),MIN(BM$38,$E145),$P$20))-SUM($BF145:BL145))</f>
        <v>0</v>
      </c>
      <c r="BN145" s="446">
        <f>IF($E145=0,0,IF(MIN(BN$38,$E145)&lt;MAX($P$34*($B145+$I$38-1),IF(AND($L$37=0,$P$34=0),"",$L$37-1)),0,YEARFRAC(MAX($P$34*($B145+$I$38-1),IF(AND($L$37=0,$P$34=0),"",$L$37-1)),MIN(BN$38,$E145),$P$20))-SUM($BF145:BM145))</f>
        <v>0</v>
      </c>
      <c r="BO145" s="446">
        <f>IF($E145=0,0,IF(MIN(BO$38,$E145)&lt;MAX($P$34*($B145+$I$38-1),IF(AND($L$37=0,$P$34=0),"",$L$37-1)),0,YEARFRAC(MAX($P$34*($B145+$I$38-1),IF(AND($L$37=0,$P$34=0),"",$L$37-1)),MIN(BO$38,$E145),$P$20))-SUM($BF145:BN145))</f>
        <v>0</v>
      </c>
      <c r="BP145" s="446">
        <f>IF($E145=0,0,IF(MIN(BP$38,$E145)&lt;MAX($P$34*($B145+$I$38-1),IF(AND($L$37=0,$P$34=0),"",$L$37-1)),0,YEARFRAC(MAX($P$34*($B145+$I$38-1),IF(AND($L$37=0,$P$34=0),"",$L$37-1)),MIN(BP$38,$E145),$P$20))-SUM($BF145:BO145))</f>
        <v>0</v>
      </c>
      <c r="BQ145" s="446">
        <f>IF($E145=0,0,IF(MIN(BQ$38,$E145)&lt;MAX($P$34*($B145+$I$38-1),IF(AND($L$37=0,$P$34=0),"",$L$37-1)),0,YEARFRAC(MAX($P$34*($B145+$I$38-1),IF(AND($L$37=0,$P$34=0),"",$L$37-1)),MIN(BQ$38,$E145),$P$20))-SUM($BF145:BP145))</f>
        <v>0</v>
      </c>
      <c r="BR145" s="446">
        <f>IF($E145=0,0,IF(MIN(BR$38,$E145)&lt;MAX($P$34*($B145+$I$38-1),IF(AND($L$37=0,$P$34=0),"",$L$37-1)),0,YEARFRAC(MAX($P$34*($B145+$I$38-1),IF(AND($L$37=0,$P$34=0),"",$L$37-1)),MIN(BR$38,$E145),$P$20))-SUM($BF145:BQ145))</f>
        <v>0</v>
      </c>
      <c r="BS145" s="446">
        <f>IF($E145=0,0,IF(MIN(BS$38,$E145)&lt;MAX($P$34*($B145+$I$38-1),IF(AND($L$37=0,$P$34=0),"",$L$37-1)),0,YEARFRAC(MAX($P$34*($B145+$I$38-1),IF(AND($L$37=0,$P$34=0),"",$L$37-1)),MIN(BS$38,$E145),$P$20))-SUM($BF145:BR145))</f>
        <v>0</v>
      </c>
      <c r="BT145" s="446">
        <f>IF($E145=0,0,IF(MIN(BT$38,$E145)&lt;MAX($P$34*($B145+$I$38-1),IF(AND($L$37=0,$P$34=0),"",$L$37-1)),0,YEARFRAC(MAX($P$34*($B145+$I$38-1),IF(AND($L$37=0,$P$34=0),"",$L$37-1)),MIN(BT$38,$E145),$P$20))-SUM($BF145:BS145))</f>
        <v>0</v>
      </c>
      <c r="BU145" s="446">
        <f>IF($E145=0,0,IF(MIN(BU$38,$E145)&lt;MAX($P$34*($B145+$I$38-1),IF(AND($L$37=0,$P$34=0),"",$L$37-1)),0,YEARFRAC(MAX($P$34*($B145+$I$38-1),IF(AND($L$37=0,$P$34=0),"",$L$37-1)),MIN(BU$38,$E145),$P$20))-SUM($BF145:BT145))</f>
        <v>0</v>
      </c>
      <c r="BV145" s="446">
        <f>IF($E145=0,0,IF(MIN(BV$38,$E145)&lt;MAX($P$34*($B145+$I$38-1),IF(AND($L$37=0,$P$34=0),"",$L$37-1)),0,YEARFRAC(MAX($P$34*($B145+$I$38-1),IF(AND($L$37=0,$P$34=0),"",$L$37-1)),MIN(BV$38,$E145),$P$20))-SUM($BF145:BU145))</f>
        <v>0</v>
      </c>
      <c r="BW145" s="446">
        <f>IF($E145=0,0,IF(MIN(BW$38,$E145)&lt;MAX($P$34*($B145+$I$38-1),IF(AND($L$37=0,$P$34=0),"",$L$37-1)),0,YEARFRAC(MAX($P$34*($B145+$I$38-1),IF(AND($L$37=0,$P$34=0),"",$L$37-1)),MIN(BW$38,$E145),$P$20))-SUM($BF145:BV145))</f>
        <v>0</v>
      </c>
      <c r="BX145" s="446">
        <f>IF($E145=0,0,IF(MIN(BX$38,$E145)&lt;MAX($P$34*($B145+$I$38-1),IF(AND($L$37=0,$P$34=0),"",$L$37-1)),0,YEARFRAC(MAX($P$34*($B145+$I$38-1),IF(AND($L$37=0,$P$34=0),"",$L$37-1)),MIN(BX$38,$E145),$P$20))-SUM($BF145:BW145))</f>
        <v>0</v>
      </c>
      <c r="BY145" s="446">
        <f>IF($E145=0,0,IF(MIN(BY$38,$E145)&lt;MAX($P$34*($B145+$I$38-1),IF(AND($L$37=0,$P$34=0),"",$L$37-1)),0,YEARFRAC(MAX($P$34*($B145+$I$38-1),IF(AND($L$37=0,$P$34=0),"",$L$37-1)),MIN(BY$38,$E145),$P$20))-SUM($BF145:BX145))</f>
        <v>0</v>
      </c>
      <c r="BZ145" s="446">
        <f>IF($E145=0,0,IF(MIN(BZ$38,$E145)&lt;MAX($P$34*($B145+$I$38-1),IF(AND($L$37=0,$P$34=0),"",$L$37-1)),0,YEARFRAC(MAX($P$34*($B145+$I$38-1),IF(AND($L$37=0,$P$34=0),"",$L$37-1)),MIN(BZ$38,$E145),$P$20))-SUM($BF145:BY145))</f>
        <v>0</v>
      </c>
      <c r="CA145" s="446">
        <f>IF($E145=0,0,IF(MIN(CA$38,$E145)&lt;MAX($P$34*($B145+$I$38-1),IF(AND($L$37=0,$P$34=0),"",$L$37-1)),0,YEARFRAC(MAX($P$34*($B145+$I$38-1),IF(AND($L$37=0,$P$34=0),"",$L$37-1)),MIN(CA$38,$E145),$P$20))-SUM($BF145:BZ145))</f>
        <v>0</v>
      </c>
      <c r="CB145" s="446">
        <f>IF($E145=0,0,IF(MIN(CB$38,$E145)&lt;MAX($P$34*($B145+$I$38-1),IF(AND($L$37=0,$P$34=0),"",$L$37-1)),0,YEARFRAC(MAX($P$34*($B145+$I$38-1),IF(AND($L$37=0,$P$34=0),"",$L$37-1)),MIN(CB$38,$E145),$P$20))-SUM($BF145:CA145))</f>
        <v>0</v>
      </c>
      <c r="CC145" s="446">
        <f>IF($E145=0,0,IF(MIN(CC$38,$E145)&lt;MAX($P$34*($B145+$I$38-1),IF(AND($L$37=0,$P$34=0),"",$L$37-1)),0,YEARFRAC(MAX($P$34*($B145+$I$38-1),IF(AND($L$37=0,$P$34=0),"",$L$37-1)),MIN(CC$38,$E145),$P$20))-SUM($BF145:CB145))</f>
        <v>0</v>
      </c>
      <c r="CD145" s="446">
        <f>IF($E145=0,0,IF(MIN(CD$38,$E145)&lt;MAX($P$34*($B145+$I$38-1),IF(AND($L$37=0,$P$34=0),"",$L$37-1)),0,YEARFRAC(MAX($P$34*($B145+$I$38-1),IF(AND($L$37=0,$P$34=0),"",$L$37-1)),MIN(CD$38,$E145),$P$20))-SUM($BF145:CC145))</f>
        <v>0</v>
      </c>
      <c r="CE145" s="446">
        <f>IF($E145=0,0,IF(MIN(CE$38,$E145)&lt;MAX($P$34*($B145+$I$38-1),IF(AND($L$37=0,$P$34=0),"",$L$37-1)),0,YEARFRAC(MAX($P$34*($B145+$I$38-1),IF(AND($L$37=0,$P$34=0),"",$L$37-1)),MIN(CE$38,$E145),$P$20))-SUM($BF145:CD145))</f>
        <v>0</v>
      </c>
      <c r="CF145" s="446">
        <f>IF($E145=0,0,IF(MIN(CF$38,$E145)&lt;MAX($P$34*($B145+$I$38-1),IF(AND($L$37=0,$P$34=0),"",$L$37-1)),0,YEARFRAC(MAX($P$34*($B145+$I$38-1),IF(AND($L$37=0,$P$34=0),"",$L$37-1)),MIN(CF$38,$E145),$P$20))-SUM($BF145:CE145))</f>
        <v>0</v>
      </c>
      <c r="CG145" s="446">
        <f>IF($E145=0,0,IF(MIN(CG$38,$E145)&lt;MAX($P$34*($B145+$I$38-1),IF(AND($L$37=0,$P$34=0),"",$L$37-1)),0,YEARFRAC(MAX($P$34*($B145+$I$38-1),IF(AND($L$37=0,$P$34=0),"",$L$37-1)),MIN(CG$38,$E145),$P$20))-SUM($BF145:CF145))</f>
        <v>0</v>
      </c>
      <c r="CH145" s="446">
        <f>IF($E145=0,0,IF(MIN(CH$38,$E145)&lt;MAX($P$34*($B145+$I$38-1),IF(AND($L$37=0,$P$34=0),"",$L$37-1)),0,YEARFRAC(MAX($P$34*($B145+$I$38-1),IF(AND($L$37=0,$P$34=0),"",$L$37-1)),MIN(CH$38,$E145),$P$20))-SUM($BF145:CG145))</f>
        <v>0</v>
      </c>
      <c r="CI145" s="446">
        <f>IF($E145=0,0,IF(MIN(CI$38,$E145)&lt;MAX($P$34*($B145+$I$38-1),IF(AND($L$37=0,$P$34=0),"",$L$37-1)),0,YEARFRAC(MAX($P$34*($B145+$I$38-1),IF(AND($L$37=0,$P$34=0),"",$L$37-1)),MIN(CI$38,$E145),$P$20))-SUM($BF145:CH145))</f>
        <v>0</v>
      </c>
      <c r="CJ145" s="446">
        <f>IF($E145=0,0,IF(MIN(CJ$38,$E145)&lt;MAX($P$34*($B145+$I$38-1),IF(AND($L$37=0,$P$34=0),"",$L$37-1)),0,YEARFRAC(MAX($P$34*($B145+$I$38-1),IF(AND($L$37=0,$P$34=0),"",$L$37-1)),MIN(CJ$38,$E145),$P$20))-SUM($BF145:CI145))</f>
        <v>0</v>
      </c>
      <c r="CK145" s="446">
        <f>IF($E145=0,0,IF(MIN(CK$38,$E145)&lt;MAX($P$34*($B145+$I$38-1),IF(AND($L$37=0,$P$34=0),"",$L$37-1)),0,YEARFRAC(MAX($P$34*($B145+$I$38-1),IF(AND($L$37=0,$P$34=0),"",$L$37-1)),MIN(CK$38,$E145),$P$20))-SUM($BF145:CJ145))</f>
        <v>0</v>
      </c>
      <c r="CL145" s="446">
        <f>IF($E145=0,0,IF(MIN(CL$38,$E145)&lt;MAX($P$34*($B145+$I$38-1),IF(AND($L$37=0,$P$34=0),"",$L$37-1)),0,YEARFRAC(MAX($P$34*($B145+$I$38-1),IF(AND($L$37=0,$P$34=0),"",$L$37-1)),MIN(CL$38,$E145),$P$20))-SUM($BF145:CK145))</f>
        <v>0</v>
      </c>
      <c r="CM145" s="446">
        <f>IF($E145=0,0,IF(MIN(CM$38,$E145)&lt;MAX($P$34*($B145+$I$38-1),IF(AND($L$37=0,$P$34=0),"",$L$37-1)),0,YEARFRAC(MAX($P$34*($B145+$I$38-1),IF(AND($L$37=0,$P$34=0),"",$L$37-1)),MIN(CM$38,$E145),$P$20))-SUM($BF145:CL145))</f>
        <v>0</v>
      </c>
      <c r="CN145" s="446">
        <f>IF($E145=0,0,IF(MIN(CN$38,$E145)&lt;MAX($P$34*($B145+$I$38-1),IF(AND($L$37=0,$P$34=0),"",$L$37-1)),0,YEARFRAC(MAX($P$34*($B145+$I$38-1),IF(AND($L$37=0,$P$34=0),"",$L$37-1)),MIN(CN$38,$E145),$P$20))-SUM($BF145:CM145))</f>
        <v>0</v>
      </c>
      <c r="CO145" s="446">
        <f>IF($E145=0,0,IF(MIN(CO$38,$E145)&lt;MAX($P$34*($B145+$I$38-1),IF(AND($L$37=0,$P$34=0),"",$L$37-1)),0,YEARFRAC(MAX($P$34*($B145+$I$38-1),IF(AND($L$37=0,$P$34=0),"",$L$37-1)),MIN(CO$38,$E145),$P$20))-SUM($BF145:CN145))</f>
        <v>0</v>
      </c>
      <c r="CP145" s="446">
        <f>IF($E145=0,0,IF(MIN(CP$38,$E145)&lt;MAX($P$34*($B145+$I$38-1),IF(AND($L$37=0,$P$34=0),"",$L$37-1)),0,YEARFRAC(MAX($P$34*($B145+$I$38-1),IF(AND($L$37=0,$P$34=0),"",$L$37-1)),MIN(CP$38,$E145),$P$20))-SUM($BF145:CO145))</f>
        <v>0</v>
      </c>
      <c r="CQ145" s="446">
        <f>IF($E145=0,0,IF(MIN(CQ$38,$E145)&lt;MAX($P$34*($B145+$I$38-1),IF(AND($L$37=0,$P$34=0),"",$L$37-1)),0,YEARFRAC(MAX($P$34*($B145+$I$38-1),IF(AND($L$37=0,$P$34=0),"",$L$37-1)),MIN(CQ$38,$E145),$P$20))-SUM($BF145:CP145))</f>
        <v>0</v>
      </c>
    </row>
    <row r="146" spans="1:95" s="446" customFormat="1" ht="11.25" hidden="1" customHeight="1" x14ac:dyDescent="0.2">
      <c r="A146" s="152"/>
      <c r="B146" s="153" t="str">
        <f t="shared" si="26"/>
        <v/>
      </c>
      <c r="C146" s="29" t="str">
        <f>IF(B146="","",IF($L$35="SELIC - TRIBUTOS",VLOOKUP(DATE(YEAR($D$19),MONTH($D$19)-1,1),ÍNDICES!$A:$DE,HLOOKUP($BL$25,ÍNDICES!$B$3:$T$4,2)+11)-VLOOKUP(B146,ÍNDICES!$A:$DE,HLOOKUP($BL$25,ÍNDICES!$B$3:$T$4,2)+11)+1%,IF(C$38=$W$26,$J$35,IF(ISERROR(IF(B146&gt;$D$19,1,VLOOKUP(DATE(YEAR(B146),MONTH(B146)+IF($C$35=$S$23,1,0),1),ÍNDICES!$A:$DE,$Z$35+1))),"",IF(B146&gt;$D$19,1,VLOOKUP(DATE(YEAR(B146),MONTH(B146)+IF($C$35=$S$23,1,0),1),ÍNDICES!$A:$DE,$Z$35+1))))))</f>
        <v/>
      </c>
      <c r="D146" s="154" t="str">
        <f>IF(ISERROR(IF(OR($D$38=$Y$27,$B146=""),"",VLOOKUP(B146,ÍNDICES!A:DE,AF$35+1))),"",IF(OR($D$38=$Y$27,$B146=""),"",VLOOKUP(B146,ÍNDICES!A:DE,AF$35+1)))</f>
        <v/>
      </c>
      <c r="E146" s="153"/>
      <c r="F146" s="29" t="str">
        <f>IF(E146="","",IF($L$35="SELIC - TRIBUTOS",VLOOKUP(DATE(YEAR($D$19),MONTH($D$19)-1,1),ÍNDICES!$A:$DE,HLOOKUP($BL$25,ÍNDICES!$B$3:$T$4,2)+11)-VLOOKUP(E146,ÍNDICES!$A:$DE,HLOOKUP($BL$25,ÍNDICES!$B$3:$T$4,2)+11)+1%,IF(F$38=$W$26,$J$35,IF(ISERROR(IF(E146&gt;$D$19,1,VLOOKUP(DATE(YEAR(E146),MONTH(E146)+IF($C$35=$S$23,1,0),1),ÍNDICES!$A:$DE,$Z$35+1))),"",IF(E146&gt;$D$19,1,VLOOKUP(DATE(YEAR(E146),MONTH(E146)+IF($C$35=$S$23,1,0),1),ÍNDICES!$A:$DE,$Z$35+1))))))</f>
        <v/>
      </c>
      <c r="G146" s="155"/>
      <c r="H146" s="156" t="str">
        <f t="shared" si="22"/>
        <v/>
      </c>
      <c r="I146" s="29" t="str">
        <f t="shared" si="16"/>
        <v/>
      </c>
      <c r="J146" s="5">
        <f t="shared" si="17"/>
        <v>0</v>
      </c>
      <c r="K146" s="20">
        <f t="shared" ca="1" si="18"/>
        <v>0</v>
      </c>
      <c r="L146" s="5">
        <f t="shared" ca="1" si="19"/>
        <v>0</v>
      </c>
      <c r="M146" s="64">
        <f t="shared" si="23"/>
        <v>0</v>
      </c>
      <c r="N146" s="61">
        <f t="shared" ca="1" si="24"/>
        <v>0</v>
      </c>
      <c r="O146" s="5">
        <f t="shared" ca="1" si="25"/>
        <v>0</v>
      </c>
      <c r="P146" s="446" t="e">
        <f t="shared" si="20"/>
        <v>#VALUE!</v>
      </c>
      <c r="Q146" s="446" t="e">
        <f>IF(OR($B146="",MIN(Q$38,$D$19)&lt;MAX($P$34*($B146+IF($R$17="Distrato",$I$38-1,0)),IF(AND($L$37=0,$P$34=0),"",$L$37-1),IF($R$17="Distrato",$E146,0))),0,YEARFRAC(MAX($P$34*($B146+IF($R$17="Distrato",$I$38-1,0)),IF(AND($L$37=0,$P$34=0),"",$L$37-1),IF($R$17="Distrato",$E146,0)),MIN(Q$38,$D$19),$P$20))-SUM($P146:P146)</f>
        <v>#VALUE!</v>
      </c>
      <c r="R146" s="446" t="e">
        <f>IF(OR($B146="",MIN(R$38,$D$19)&lt;MAX($P$34*($B146+IF($R$17="Distrato",$I$38-1,0)),IF(AND($L$37=0,$P$34=0),"",$L$37-1),IF($R$17="Distrato",$E146,0))),0,YEARFRAC(MAX($P$34*($B146+IF($R$17="Distrato",$I$38-1,0)),IF(AND($L$37=0,$P$34=0),"",$L$37-1),IF($R$17="Distrato",$E146,0)),MIN(R$38,$D$19),$P$20))-SUM($P146:Q146)</f>
        <v>#VALUE!</v>
      </c>
      <c r="S146" s="446" t="e">
        <f>IF(OR($B146="",MIN(S$38,$D$19)&lt;MAX($P$34*($B146+IF($R$17="Distrato",$I$38-1,0)),IF(AND($L$37=0,$P$34=0),"",$L$37-1),IF($R$17="Distrato",$E146,0))),0,YEARFRAC(MAX($P$34*($B146+IF($R$17="Distrato",$I$38-1,0)),IF(AND($L$37=0,$P$34=0),"",$L$37-1),IF($R$17="Distrato",$E146,0)),MIN(S$38,$D$19),$P$20))-SUM($P146:R146)</f>
        <v>#VALUE!</v>
      </c>
      <c r="T146" s="446" t="e">
        <f>IF(OR($B146="",MIN(T$38,$D$19)&lt;MAX($P$34*($B146+IF($R$17="Distrato",$I$38-1,0)),IF(AND($L$37=0,$P$34=0),"",$L$37-1),IF($R$17="Distrato",$E146,0))),0,YEARFRAC(MAX($P$34*($B146+IF($R$17="Distrato",$I$38-1,0)),IF(AND($L$37=0,$P$34=0),"",$L$37-1),IF($R$17="Distrato",$E146,0)),MIN(T$38,$D$19),$P$20))-SUM($P146:S146)</f>
        <v>#VALUE!</v>
      </c>
      <c r="U146" s="446" t="e">
        <f>IF(OR($B146="",MIN(U$38,$D$19)&lt;MAX($P$34*($B146+IF($R$17="Distrato",$I$38-1,0)),IF(AND($L$37=0,$P$34=0),"",$L$37-1),IF($R$17="Distrato",$E146,0))),0,YEARFRAC(MAX($P$34*($B146+IF($R$17="Distrato",$I$38-1,0)),IF(AND($L$37=0,$P$34=0),"",$L$37-1),IF($R$17="Distrato",$E146,0)),MIN(U$38,$D$19),$P$20))-SUM($P146:T146)</f>
        <v>#VALUE!</v>
      </c>
      <c r="V146" s="446" t="e">
        <f>IF(OR($B146="",MIN(V$38,$D$19)&lt;MAX($P$34*($B146+IF($R$17="Distrato",$I$38-1,0)),IF(AND($L$37=0,$P$34=0),"",$L$37-1),IF($R$17="Distrato",$E146,0))),0,YEARFRAC(MAX($P$34*($B146+IF($R$17="Distrato",$I$38-1,0)),IF(AND($L$37=0,$P$34=0),"",$L$37-1),IF($R$17="Distrato",$E146,0)),MIN(V$38,$D$19),$P$20))-SUM($P146:U146)</f>
        <v>#VALUE!</v>
      </c>
      <c r="W146" s="446" t="e">
        <f>IF(OR($B146="",MIN(W$38,$D$19)&lt;MAX($P$34*($B146+IF($R$17="Distrato",$I$38-1,0)),IF(AND($L$37=0,$P$34=0),"",$L$37-1),IF($R$17="Distrato",$E146,0))),0,YEARFRAC(MAX($P$34*($B146+IF($R$17="Distrato",$I$38-1,0)),IF(AND($L$37=0,$P$34=0),"",$L$37-1),IF($R$17="Distrato",$E146,0)),MIN(W$38,$D$19),$P$20))-SUM($P146:V146)</f>
        <v>#VALUE!</v>
      </c>
      <c r="X146" s="446" t="e">
        <f>IF(OR($B146="",MIN(X$38,$D$19)&lt;MAX($P$34*($B146+IF($R$17="Distrato",$I$38-1,0)),IF(AND($L$37=0,$P$34=0),"",$L$37-1),IF($R$17="Distrato",$E146,0))),0,YEARFRAC(MAX($P$34*($B146+IF($R$17="Distrato",$I$38-1,0)),IF(AND($L$37=0,$P$34=0),"",$L$37-1),IF($R$17="Distrato",$E146,0)),MIN(X$38,$D$19),$P$20))-SUM($P146:W146)</f>
        <v>#VALUE!</v>
      </c>
      <c r="Y146" s="446" t="e">
        <f>IF(OR($B146="",MIN(Y$38,$D$19)&lt;MAX($P$34*($B146+IF($R$17="Distrato",$I$38-1,0)),IF(AND($L$37=0,$P$34=0),"",$L$37-1),IF($R$17="Distrato",$E146,0))),0,YEARFRAC(MAX($P$34*($B146+IF($R$17="Distrato",$I$38-1,0)),IF(AND($L$37=0,$P$34=0),"",$L$37-1),IF($R$17="Distrato",$E146,0)),MIN(Y$38,$D$19),$P$20))-SUM($P146:X146)</f>
        <v>#VALUE!</v>
      </c>
      <c r="Z146" s="446" t="e">
        <f>IF(OR($B146="",MIN(Z$38,$D$19)&lt;MAX($P$34*($B146+IF($R$17="Distrato",$I$38-1,0)),IF(AND($L$37=0,$P$34=0),"",$L$37-1),IF($R$17="Distrato",$E146,0))),0,YEARFRAC(MAX($P$34*($B146+IF($R$17="Distrato",$I$38-1,0)),IF(AND($L$37=0,$P$34=0),"",$L$37-1),IF($R$17="Distrato",$E146,0)),MIN(Z$38,$D$19),$P$20))-SUM($P146:Y146)</f>
        <v>#VALUE!</v>
      </c>
      <c r="AA146" s="446" t="e">
        <f>IF(OR($B146="",MIN(AA$38,$D$19)&lt;MAX($P$34*($B146+IF($R$17="Distrato",$I$38-1,0)),IF(AND($L$37=0,$P$34=0),"",$L$37-1),IF($R$17="Distrato",$E146,0))),0,YEARFRAC(MAX($P$34*($B146+IF($R$17="Distrato",$I$38-1,0)),IF(AND($L$37=0,$P$34=0),"",$L$37-1),IF($R$17="Distrato",$E146,0)),MIN(AA$38,$D$19),$P$20))-SUM($P146:Z146)</f>
        <v>#VALUE!</v>
      </c>
      <c r="AB146" s="446" t="e">
        <f>IF(OR($B146="",MIN(AB$38,$D$19)&lt;MAX($P$34*($B146+IF($R$17="Distrato",$I$38-1,0)),IF(AND($L$37=0,$P$34=0),"",$L$37-1),IF($R$17="Distrato",$E146,0))),0,YEARFRAC(MAX($P$34*($B146+IF($R$17="Distrato",$I$38-1,0)),IF(AND($L$37=0,$P$34=0),"",$L$37-1),IF($R$17="Distrato",$E146,0)),MIN(AB$38,$D$19),$P$20))-SUM($P146:AA146)</f>
        <v>#VALUE!</v>
      </c>
      <c r="AC146" s="446" t="e">
        <f>IF(OR($B146="",MIN(AC$38,$D$19)&lt;MAX($P$34*($B146+IF($R$17="Distrato",$I$38-1,0)),IF(AND($L$37=0,$P$34=0),"",$L$37-1),IF($R$17="Distrato",$E146,0))),0,YEARFRAC(MAX($P$34*($B146+IF($R$17="Distrato",$I$38-1,0)),IF(AND($L$37=0,$P$34=0),"",$L$37-1),IF($R$17="Distrato",$E146,0)),MIN(AC$38,$D$19),$P$20))-SUM($P146:AB146)</f>
        <v>#VALUE!</v>
      </c>
      <c r="AD146" s="446" t="e">
        <f>IF(OR($B146="",MIN(AD$38,$D$19)&lt;MAX($P$34*($B146+IF($R$17="Distrato",$I$38-1,0)),IF(AND($L$37=0,$P$34=0),"",$L$37-1),IF($R$17="Distrato",$E146,0))),0,YEARFRAC(MAX($P$34*($B146+IF($R$17="Distrato",$I$38-1,0)),IF(AND($L$37=0,$P$34=0),"",$L$37-1),IF($R$17="Distrato",$E146,0)),MIN(AD$38,$D$19),$P$20))-SUM($P146:AC146)</f>
        <v>#VALUE!</v>
      </c>
      <c r="AE146" s="446" t="e">
        <f>IF(OR($B146="",MIN(AE$38,$D$19)&lt;MAX($P$34*($B146+IF($R$17="Distrato",$I$38-1,0)),IF(AND($L$37=0,$P$34=0),"",$L$37-1),IF($R$17="Distrato",$E146,0))),0,YEARFRAC(MAX($P$34*($B146+IF($R$17="Distrato",$I$38-1,0)),IF(AND($L$37=0,$P$34=0),"",$L$37-1),IF($R$17="Distrato",$E146,0)),MIN(AE$38,$D$19),$P$20))-SUM($P146:AD146)</f>
        <v>#VALUE!</v>
      </c>
      <c r="AF146" s="446" t="e">
        <f>IF(OR($B146="",MIN(AF$38,$D$19)&lt;MAX($P$34*($B146+IF($R$17="Distrato",$I$38-1,0)),IF(AND($L$37=0,$P$34=0),"",$L$37-1),IF($R$17="Distrato",$E146,0))),0,YEARFRAC(MAX($P$34*($B146+IF($R$17="Distrato",$I$38-1,0)),IF(AND($L$37=0,$P$34=0),"",$L$37-1),IF($R$17="Distrato",$E146,0)),MIN(AF$38,$D$19),$P$20))-SUM($P146:AE146)</f>
        <v>#VALUE!</v>
      </c>
      <c r="AG146" s="446" t="e">
        <f>IF(OR($B146="",MIN(AG$38,$D$19)&lt;MAX($P$34*($B146+IF($R$17="Distrato",$I$38-1,0)),IF(AND($L$37=0,$P$34=0),"",$L$37-1),IF($R$17="Distrato",$E146,0))),0,YEARFRAC(MAX($P$34*($B146+IF($R$17="Distrato",$I$38-1,0)),IF(AND($L$37=0,$P$34=0),"",$L$37-1),IF($R$17="Distrato",$E146,0)),MIN(AG$38,$D$19),$P$20))-SUM($P146:AF146)</f>
        <v>#VALUE!</v>
      </c>
      <c r="AH146" s="446" t="e">
        <f>IF(OR($B146="",MIN(AH$38,$D$19)&lt;MAX($P$34*($B146+IF($R$17="Distrato",$I$38-1,0)),IF(AND($L$37=0,$P$34=0),"",$L$37-1),IF($R$17="Distrato",$E146,0))),0,YEARFRAC(MAX($P$34*($B146+IF($R$17="Distrato",$I$38-1,0)),IF(AND($L$37=0,$P$34=0),"",$L$37-1),IF($R$17="Distrato",$E146,0)),MIN(AH$38,$D$19),$P$20))-SUM($P146:AG146)</f>
        <v>#VALUE!</v>
      </c>
      <c r="AI146" s="446" t="e">
        <f>IF(OR($B146="",MIN(AI$38,$D$19)&lt;MAX($P$34*($B146+IF($R$17="Distrato",$I$38-1,0)),IF(AND($L$37=0,$P$34=0),"",$L$37-1),IF($R$17="Distrato",$E146,0))),0,YEARFRAC(MAX($P$34*($B146+IF($R$17="Distrato",$I$38-1,0)),IF(AND($L$37=0,$P$34=0),"",$L$37-1),IF($R$17="Distrato",$E146,0)),MIN(AI$38,$D$19),$P$20))-SUM($P146:AH146)</f>
        <v>#VALUE!</v>
      </c>
      <c r="AJ146" s="446" t="e">
        <f>IF(OR($B146="",MIN(AJ$38,$D$19)&lt;MAX($P$34*($B146+IF($R$17="Distrato",$I$38-1,0)),IF(AND($L$37=0,$P$34=0),"",$L$37-1),IF($R$17="Distrato",$E146,0))),0,YEARFRAC(MAX($P$34*($B146+IF($R$17="Distrato",$I$38-1,0)),IF(AND($L$37=0,$P$34=0),"",$L$37-1),IF($R$17="Distrato",$E146,0)),MIN(AJ$38,$D$19),$P$20))-SUM($P146:AI146)</f>
        <v>#VALUE!</v>
      </c>
      <c r="AK146" s="446" t="e">
        <f>IF(OR($B146="",MIN(AK$38,$D$19)&lt;MAX($P$34*($B146+IF($R$17="Distrato",$I$38-1,0)),IF(AND($L$37=0,$P$34=0),"",$L$37-1),IF($R$17="Distrato",$E146,0))),0,YEARFRAC(MAX($P$34*($B146+IF($R$17="Distrato",$I$38-1,0)),IF(AND($L$37=0,$P$34=0),"",$L$37-1),IF($R$17="Distrato",$E146,0)),MIN(AK$38,$D$19),$P$20))-SUM($P146:AJ146)</f>
        <v>#VALUE!</v>
      </c>
      <c r="AL146" s="446" t="e">
        <f>IF(OR($B146="",MIN(AL$38,$D$19)&lt;MAX($P$34*($B146+IF($R$17="Distrato",$I$38-1,0)),IF(AND($L$37=0,$P$34=0),"",$L$37-1),IF($R$17="Distrato",$E146,0))),0,YEARFRAC(MAX($P$34*($B146+IF($R$17="Distrato",$I$38-1,0)),IF(AND($L$37=0,$P$34=0),"",$L$37-1),IF($R$17="Distrato",$E146,0)),MIN(AL$38,$D$19),$P$20))-SUM($P146:AK146)</f>
        <v>#VALUE!</v>
      </c>
      <c r="AM146" s="446" t="e">
        <f>IF(OR($B146="",MIN(AM$38,$D$19)&lt;MAX($P$34*($B146+IF($R$17="Distrato",$I$38-1,0)),IF(AND($L$37=0,$P$34=0),"",$L$37-1),IF($R$17="Distrato",$E146,0))),0,YEARFRAC(MAX($P$34*($B146+IF($R$17="Distrato",$I$38-1,0)),IF(AND($L$37=0,$P$34=0),"",$L$37-1),IF($R$17="Distrato",$E146,0)),MIN(AM$38,$D$19),$P$20))-SUM($P146:AL146)</f>
        <v>#VALUE!</v>
      </c>
      <c r="AN146" s="446" t="e">
        <f>IF(OR($B146="",MIN(AN$38,$D$19)&lt;MAX($P$34*($B146+IF($R$17="Distrato",$I$38-1,0)),IF(AND($L$37=0,$P$34=0),"",$L$37-1),IF($R$17="Distrato",$E146,0))),0,YEARFRAC(MAX($P$34*($B146+IF($R$17="Distrato",$I$38-1,0)),IF(AND($L$37=0,$P$34=0),"",$L$37-1),IF($R$17="Distrato",$E146,0)),MIN(AN$38,$D$19),$P$20))-SUM($P146:AM146)</f>
        <v>#VALUE!</v>
      </c>
      <c r="AO146" s="446" t="e">
        <f>IF(OR($B146="",MIN(AO$38,$D$19)&lt;MAX($P$34*($B146+IF($R$17="Distrato",$I$38-1,0)),IF(AND($L$37=0,$P$34=0),"",$L$37-1),IF($R$17="Distrato",$E146,0))),0,YEARFRAC(MAX($P$34*($B146+IF($R$17="Distrato",$I$38-1,0)),IF(AND($L$37=0,$P$34=0),"",$L$37-1),IF($R$17="Distrato",$E146,0)),MIN(AO$38,$D$19),$P$20))-SUM($P146:AN146)</f>
        <v>#VALUE!</v>
      </c>
      <c r="AP146" s="446" t="e">
        <f>IF(OR($B146="",MIN(AP$38,$D$19)&lt;MAX($P$34*($B146+IF($R$17="Distrato",$I$38-1,0)),IF(AND($L$37=0,$P$34=0),"",$L$37-1),IF($R$17="Distrato",$E146,0))),0,YEARFRAC(MAX($P$34*($B146+IF($R$17="Distrato",$I$38-1,0)),IF(AND($L$37=0,$P$34=0),"",$L$37-1),IF($R$17="Distrato",$E146,0)),MIN(AP$38,$D$19),$P$20))-SUM($P146:AO146)</f>
        <v>#VALUE!</v>
      </c>
      <c r="AQ146" s="446" t="e">
        <f>IF(OR($B146="",MIN(AQ$38,$D$19)&lt;MAX($P$34*($B146+IF($R$17="Distrato",$I$38-1,0)),IF(AND($L$37=0,$P$34=0),"",$L$37-1),IF($R$17="Distrato",$E146,0))),0,YEARFRAC(MAX($P$34*($B146+IF($R$17="Distrato",$I$38-1,0)),IF(AND($L$37=0,$P$34=0),"",$L$37-1),IF($R$17="Distrato",$E146,0)),MIN(AQ$38,$D$19),$P$20))-SUM($P146:AP146)</f>
        <v>#VALUE!</v>
      </c>
      <c r="AR146" s="446" t="e">
        <f>IF(OR($B146="",MIN(AR$38,$D$19)&lt;MAX($P$34*($B146+IF($R$17="Distrato",$I$38-1,0)),IF(AND($L$37=0,$P$34=0),"",$L$37-1),IF($R$17="Distrato",$E146,0))),0,YEARFRAC(MAX($P$34*($B146+IF($R$17="Distrato",$I$38-1,0)),IF(AND($L$37=0,$P$34=0),"",$L$37-1),IF($R$17="Distrato",$E146,0)),MIN(AR$38,$D$19),$P$20))-SUM($P146:AQ146)</f>
        <v>#VALUE!</v>
      </c>
      <c r="AS146" s="446" t="e">
        <f>IF(OR($B146="",MIN(AS$38,$D$19)&lt;MAX($P$34*($B146+IF($R$17="Distrato",$I$38-1,0)),IF(AND($L$37=0,$P$34=0),"",$L$37-1),IF($R$17="Distrato",$E146,0))),0,YEARFRAC(MAX($P$34*($B146+IF($R$17="Distrato",$I$38-1,0)),IF(AND($L$37=0,$P$34=0),"",$L$37-1),IF($R$17="Distrato",$E146,0)),MIN(AS$38,$D$19),$P$20))-SUM($P146:AR146)</f>
        <v>#VALUE!</v>
      </c>
      <c r="AT146" s="446" t="e">
        <f>IF(OR($B146="",MIN(AT$38,$D$19)&lt;MAX($P$34*($B146+IF($R$17="Distrato",$I$38-1,0)),IF(AND($L$37=0,$P$34=0),"",$L$37-1),IF($R$17="Distrato",$E146,0))),0,YEARFRAC(MAX($P$34*($B146+IF($R$17="Distrato",$I$38-1,0)),IF(AND($L$37=0,$P$34=0),"",$L$37-1),IF($R$17="Distrato",$E146,0)),MIN(AT$38,$D$19),$P$20))-SUM($P146:AS146)</f>
        <v>#VALUE!</v>
      </c>
      <c r="AU146" s="446" t="e">
        <f>IF(OR($B146="",MIN(AU$38,$D$19)&lt;MAX($P$34*($B146+IF($R$17="Distrato",$I$38-1,0)),IF(AND($L$37=0,$P$34=0),"",$L$37-1),IF($R$17="Distrato",$E146,0))),0,YEARFRAC(MAX($P$34*($B146+IF($R$17="Distrato",$I$38-1,0)),IF(AND($L$37=0,$P$34=0),"",$L$37-1),IF($R$17="Distrato",$E146,0)),MIN(AU$38,$D$19),$P$20))-SUM($P146:AT146)</f>
        <v>#VALUE!</v>
      </c>
      <c r="AV146" s="446" t="e">
        <f>IF(OR($B146="",MIN(AV$38,$D$19)&lt;MAX($P$34*($B146+IF($R$17="Distrato",$I$38-1,0)),IF(AND($L$37=0,$P$34=0),"",$L$37-1),IF($R$17="Distrato",$E146,0))),0,YEARFRAC(MAX($P$34*($B146+IF($R$17="Distrato",$I$38-1,0)),IF(AND($L$37=0,$P$34=0),"",$L$37-1),IF($R$17="Distrato",$E146,0)),MIN(AV$38,$D$19),$P$20))-SUM($P146:AU146)</f>
        <v>#VALUE!</v>
      </c>
      <c r="AW146" s="446" t="e">
        <f>IF(OR($B146="",MIN(AW$38,$D$19)&lt;MAX($P$34*($B146+IF($R$17="Distrato",$I$38-1,0)),IF(AND($L$37=0,$P$34=0),"",$L$37-1),IF($R$17="Distrato",$E146,0))),0,YEARFRAC(MAX($P$34*($B146+IF($R$17="Distrato",$I$38-1,0)),IF(AND($L$37=0,$P$34=0),"",$L$37-1),IF($R$17="Distrato",$E146,0)),MIN(AW$38,$D$19),$P$20))-SUM($P146:AV146)</f>
        <v>#VALUE!</v>
      </c>
      <c r="AX146" s="446" t="e">
        <f>IF(OR($B146="",MIN(AX$38,$D$19)&lt;MAX($P$34*($B146+IF($R$17="Distrato",$I$38-1,0)),IF(AND($L$37=0,$P$34=0),"",$L$37-1),IF($R$17="Distrato",$E146,0))),0,YEARFRAC(MAX($P$34*($B146+IF($R$17="Distrato",$I$38-1,0)),IF(AND($L$37=0,$P$34=0),"",$L$37-1),IF($R$17="Distrato",$E146,0)),MIN(AX$38,$D$19),$P$20))-SUM($P146:AW146)</f>
        <v>#VALUE!</v>
      </c>
      <c r="AY146" s="446" t="e">
        <f>IF(OR($B146="",MIN(AY$38,$D$19)&lt;MAX($P$34*($B146+IF($R$17="Distrato",$I$38-1,0)),IF(AND($L$37=0,$P$34=0),"",$L$37-1),IF($R$17="Distrato",$E146,0))),0,YEARFRAC(MAX($P$34*($B146+IF($R$17="Distrato",$I$38-1,0)),IF(AND($L$37=0,$P$34=0),"",$L$37-1),IF($R$17="Distrato",$E146,0)),MIN(AY$38,$D$19),$P$20))-SUM($P146:AX146)</f>
        <v>#VALUE!</v>
      </c>
      <c r="AZ146" s="446" t="e">
        <f>IF(OR($B146="",MIN(AZ$38,$D$19)&lt;MAX($P$34*($B146+IF($R$17="Distrato",$I$38-1,0)),IF(AND($L$37=0,$P$34=0),"",$L$37-1),IF($R$17="Distrato",$E146,0))),0,YEARFRAC(MAX($P$34*($B146+IF($R$17="Distrato",$I$38-1,0)),IF(AND($L$37=0,$P$34=0),"",$L$37-1),IF($R$17="Distrato",$E146,0)),MIN(AZ$38,$D$19),$P$20))-SUM($P146:AY146)</f>
        <v>#VALUE!</v>
      </c>
      <c r="BA146" s="446" t="e">
        <f>IF(OR($B146="",MIN(BA$38,$D$19)&lt;MAX($P$34*($B146+IF($R$17="Distrato",$I$38-1,0)),IF(AND($L$37=0,$P$34=0),"",$L$37-1),IF($R$17="Distrato",$E146,0))),0,YEARFRAC(MAX($P$34*($B146+IF($R$17="Distrato",$I$38-1,0)),IF(AND($L$37=0,$P$34=0),"",$L$37-1),IF($R$17="Distrato",$E146,0)),MIN(BA$38,$D$19),$P$20))-SUM($P146:AZ146)</f>
        <v>#VALUE!</v>
      </c>
      <c r="BB146" s="447"/>
      <c r="BF146" s="446">
        <f t="shared" si="21"/>
        <v>0</v>
      </c>
      <c r="BG146" s="446">
        <f>IF($E146=0,0,IF(MIN(BG$38,$E146)&lt;MAX($P$34*($B146+$I$38-1),IF(AND($L$37=0,$P$34=0),"",$L$37-1)),0,YEARFRAC(MAX($P$34*($B146+$I$38-1),IF(AND($L$37=0,$P$34=0),"",$L$37-1)),MIN(BG$38,$E146),$P$20))-SUM($BF146:BF146))</f>
        <v>0</v>
      </c>
      <c r="BH146" s="446">
        <f>IF($E146=0,0,IF(MIN(BH$38,$E146)&lt;MAX($P$34*($B146+$I$38-1),IF(AND($L$37=0,$P$34=0),"",$L$37-1)),0,YEARFRAC(MAX($P$34*($B146+$I$38-1),IF(AND($L$37=0,$P$34=0),"",$L$37-1)),MIN(BH$38,$E146),$P$20))-SUM($BF146:BG146))</f>
        <v>0</v>
      </c>
      <c r="BI146" s="446">
        <f>IF($E146=0,0,IF(MIN(BI$38,$E146)&lt;MAX($P$34*($B146+$I$38-1),IF(AND($L$37=0,$P$34=0),"",$L$37-1)),0,YEARFRAC(MAX($P$34*($B146+$I$38-1),IF(AND($L$37=0,$P$34=0),"",$L$37-1)),MIN(BI$38,$E146),$P$20))-SUM($BF146:BH146))</f>
        <v>0</v>
      </c>
      <c r="BJ146" s="446">
        <f>IF($E146=0,0,IF(MIN(BJ$38,$E146)&lt;MAX($P$34*($B146+$I$38-1),IF(AND($L$37=0,$P$34=0),"",$L$37-1)),0,YEARFRAC(MAX($P$34*($B146+$I$38-1),IF(AND($L$37=0,$P$34=0),"",$L$37-1)),MIN(BJ$38,$E146),$P$20))-SUM($BF146:BI146))</f>
        <v>0</v>
      </c>
      <c r="BK146" s="446">
        <f>IF($E146=0,0,IF(MIN(BK$38,$E146)&lt;MAX($P$34*($B146+$I$38-1),IF(AND($L$37=0,$P$34=0),"",$L$37-1)),0,YEARFRAC(MAX($P$34*($B146+$I$38-1),IF(AND($L$37=0,$P$34=0),"",$L$37-1)),MIN(BK$38,$E146),$P$20))-SUM($BF146:BJ146))</f>
        <v>0</v>
      </c>
      <c r="BL146" s="446">
        <f>IF($E146=0,0,IF(MIN(BL$38,$E146)&lt;MAX($P$34*($B146+$I$38-1),IF(AND($L$37=0,$P$34=0),"",$L$37-1)),0,YEARFRAC(MAX($P$34*($B146+$I$38-1),IF(AND($L$37=0,$P$34=0),"",$L$37-1)),MIN(BL$38,$E146),$P$20))-SUM($BF146:BK146))</f>
        <v>0</v>
      </c>
      <c r="BM146" s="446">
        <f>IF($E146=0,0,IF(MIN(BM$38,$E146)&lt;MAX($P$34*($B146+$I$38-1),IF(AND($L$37=0,$P$34=0),"",$L$37-1)),0,YEARFRAC(MAX($P$34*($B146+$I$38-1),IF(AND($L$37=0,$P$34=0),"",$L$37-1)),MIN(BM$38,$E146),$P$20))-SUM($BF146:BL146))</f>
        <v>0</v>
      </c>
      <c r="BN146" s="446">
        <f>IF($E146=0,0,IF(MIN(BN$38,$E146)&lt;MAX($P$34*($B146+$I$38-1),IF(AND($L$37=0,$P$34=0),"",$L$37-1)),0,YEARFRAC(MAX($P$34*($B146+$I$38-1),IF(AND($L$37=0,$P$34=0),"",$L$37-1)),MIN(BN$38,$E146),$P$20))-SUM($BF146:BM146))</f>
        <v>0</v>
      </c>
      <c r="BO146" s="446">
        <f>IF($E146=0,0,IF(MIN(BO$38,$E146)&lt;MAX($P$34*($B146+$I$38-1),IF(AND($L$37=0,$P$34=0),"",$L$37-1)),0,YEARFRAC(MAX($P$34*($B146+$I$38-1),IF(AND($L$37=0,$P$34=0),"",$L$37-1)),MIN(BO$38,$E146),$P$20))-SUM($BF146:BN146))</f>
        <v>0</v>
      </c>
      <c r="BP146" s="446">
        <f>IF($E146=0,0,IF(MIN(BP$38,$E146)&lt;MAX($P$34*($B146+$I$38-1),IF(AND($L$37=0,$P$34=0),"",$L$37-1)),0,YEARFRAC(MAX($P$34*($B146+$I$38-1),IF(AND($L$37=0,$P$34=0),"",$L$37-1)),MIN(BP$38,$E146),$P$20))-SUM($BF146:BO146))</f>
        <v>0</v>
      </c>
      <c r="BQ146" s="446">
        <f>IF($E146=0,0,IF(MIN(BQ$38,$E146)&lt;MAX($P$34*($B146+$I$38-1),IF(AND($L$37=0,$P$34=0),"",$L$37-1)),0,YEARFRAC(MAX($P$34*($B146+$I$38-1),IF(AND($L$37=0,$P$34=0),"",$L$37-1)),MIN(BQ$38,$E146),$P$20))-SUM($BF146:BP146))</f>
        <v>0</v>
      </c>
      <c r="BR146" s="446">
        <f>IF($E146=0,0,IF(MIN(BR$38,$E146)&lt;MAX($P$34*($B146+$I$38-1),IF(AND($L$37=0,$P$34=0),"",$L$37-1)),0,YEARFRAC(MAX($P$34*($B146+$I$38-1),IF(AND($L$37=0,$P$34=0),"",$L$37-1)),MIN(BR$38,$E146),$P$20))-SUM($BF146:BQ146))</f>
        <v>0</v>
      </c>
      <c r="BS146" s="446">
        <f>IF($E146=0,0,IF(MIN(BS$38,$E146)&lt;MAX($P$34*($B146+$I$38-1),IF(AND($L$37=0,$P$34=0),"",$L$37-1)),0,YEARFRAC(MAX($P$34*($B146+$I$38-1),IF(AND($L$37=0,$P$34=0),"",$L$37-1)),MIN(BS$38,$E146),$P$20))-SUM($BF146:BR146))</f>
        <v>0</v>
      </c>
      <c r="BT146" s="446">
        <f>IF($E146=0,0,IF(MIN(BT$38,$E146)&lt;MAX($P$34*($B146+$I$38-1),IF(AND($L$37=0,$P$34=0),"",$L$37-1)),0,YEARFRAC(MAX($P$34*($B146+$I$38-1),IF(AND($L$37=0,$P$34=0),"",$L$37-1)),MIN(BT$38,$E146),$P$20))-SUM($BF146:BS146))</f>
        <v>0</v>
      </c>
      <c r="BU146" s="446">
        <f>IF($E146=0,0,IF(MIN(BU$38,$E146)&lt;MAX($P$34*($B146+$I$38-1),IF(AND($L$37=0,$P$34=0),"",$L$37-1)),0,YEARFRAC(MAX($P$34*($B146+$I$38-1),IF(AND($L$37=0,$P$34=0),"",$L$37-1)),MIN(BU$38,$E146),$P$20))-SUM($BF146:BT146))</f>
        <v>0</v>
      </c>
      <c r="BV146" s="446">
        <f>IF($E146=0,0,IF(MIN(BV$38,$E146)&lt;MAX($P$34*($B146+$I$38-1),IF(AND($L$37=0,$P$34=0),"",$L$37-1)),0,YEARFRAC(MAX($P$34*($B146+$I$38-1),IF(AND($L$37=0,$P$34=0),"",$L$37-1)),MIN(BV$38,$E146),$P$20))-SUM($BF146:BU146))</f>
        <v>0</v>
      </c>
      <c r="BW146" s="446">
        <f>IF($E146=0,0,IF(MIN(BW$38,$E146)&lt;MAX($P$34*($B146+$I$38-1),IF(AND($L$37=0,$P$34=0),"",$L$37-1)),0,YEARFRAC(MAX($P$34*($B146+$I$38-1),IF(AND($L$37=0,$P$34=0),"",$L$37-1)),MIN(BW$38,$E146),$P$20))-SUM($BF146:BV146))</f>
        <v>0</v>
      </c>
      <c r="BX146" s="446">
        <f>IF($E146=0,0,IF(MIN(BX$38,$E146)&lt;MAX($P$34*($B146+$I$38-1),IF(AND($L$37=0,$P$34=0),"",$L$37-1)),0,YEARFRAC(MAX($P$34*($B146+$I$38-1),IF(AND($L$37=0,$P$34=0),"",$L$37-1)),MIN(BX$38,$E146),$P$20))-SUM($BF146:BW146))</f>
        <v>0</v>
      </c>
      <c r="BY146" s="446">
        <f>IF($E146=0,0,IF(MIN(BY$38,$E146)&lt;MAX($P$34*($B146+$I$38-1),IF(AND($L$37=0,$P$34=0),"",$L$37-1)),0,YEARFRAC(MAX($P$34*($B146+$I$38-1),IF(AND($L$37=0,$P$34=0),"",$L$37-1)),MIN(BY$38,$E146),$P$20))-SUM($BF146:BX146))</f>
        <v>0</v>
      </c>
      <c r="BZ146" s="446">
        <f>IF($E146=0,0,IF(MIN(BZ$38,$E146)&lt;MAX($P$34*($B146+$I$38-1),IF(AND($L$37=0,$P$34=0),"",$L$37-1)),0,YEARFRAC(MAX($P$34*($B146+$I$38-1),IF(AND($L$37=0,$P$34=0),"",$L$37-1)),MIN(BZ$38,$E146),$P$20))-SUM($BF146:BY146))</f>
        <v>0</v>
      </c>
      <c r="CA146" s="446">
        <f>IF($E146=0,0,IF(MIN(CA$38,$E146)&lt;MAX($P$34*($B146+$I$38-1),IF(AND($L$37=0,$P$34=0),"",$L$37-1)),0,YEARFRAC(MAX($P$34*($B146+$I$38-1),IF(AND($L$37=0,$P$34=0),"",$L$37-1)),MIN(CA$38,$E146),$P$20))-SUM($BF146:BZ146))</f>
        <v>0</v>
      </c>
      <c r="CB146" s="446">
        <f>IF($E146=0,0,IF(MIN(CB$38,$E146)&lt;MAX($P$34*($B146+$I$38-1),IF(AND($L$37=0,$P$34=0),"",$L$37-1)),0,YEARFRAC(MAX($P$34*($B146+$I$38-1),IF(AND($L$37=0,$P$34=0),"",$L$37-1)),MIN(CB$38,$E146),$P$20))-SUM($BF146:CA146))</f>
        <v>0</v>
      </c>
      <c r="CC146" s="446">
        <f>IF($E146=0,0,IF(MIN(CC$38,$E146)&lt;MAX($P$34*($B146+$I$38-1),IF(AND($L$37=0,$P$34=0),"",$L$37-1)),0,YEARFRAC(MAX($P$34*($B146+$I$38-1),IF(AND($L$37=0,$P$34=0),"",$L$37-1)),MIN(CC$38,$E146),$P$20))-SUM($BF146:CB146))</f>
        <v>0</v>
      </c>
      <c r="CD146" s="446">
        <f>IF($E146=0,0,IF(MIN(CD$38,$E146)&lt;MAX($P$34*($B146+$I$38-1),IF(AND($L$37=0,$P$34=0),"",$L$37-1)),0,YEARFRAC(MAX($P$34*($B146+$I$38-1),IF(AND($L$37=0,$P$34=0),"",$L$37-1)),MIN(CD$38,$E146),$P$20))-SUM($BF146:CC146))</f>
        <v>0</v>
      </c>
      <c r="CE146" s="446">
        <f>IF($E146=0,0,IF(MIN(CE$38,$E146)&lt;MAX($P$34*($B146+$I$38-1),IF(AND($L$37=0,$P$34=0),"",$L$37-1)),0,YEARFRAC(MAX($P$34*($B146+$I$38-1),IF(AND($L$37=0,$P$34=0),"",$L$37-1)),MIN(CE$38,$E146),$P$20))-SUM($BF146:CD146))</f>
        <v>0</v>
      </c>
      <c r="CF146" s="446">
        <f>IF($E146=0,0,IF(MIN(CF$38,$E146)&lt;MAX($P$34*($B146+$I$38-1),IF(AND($L$37=0,$P$34=0),"",$L$37-1)),0,YEARFRAC(MAX($P$34*($B146+$I$38-1),IF(AND($L$37=0,$P$34=0),"",$L$37-1)),MIN(CF$38,$E146),$P$20))-SUM($BF146:CE146))</f>
        <v>0</v>
      </c>
      <c r="CG146" s="446">
        <f>IF($E146=0,0,IF(MIN(CG$38,$E146)&lt;MAX($P$34*($B146+$I$38-1),IF(AND($L$37=0,$P$34=0),"",$L$37-1)),0,YEARFRAC(MAX($P$34*($B146+$I$38-1),IF(AND($L$37=0,$P$34=0),"",$L$37-1)),MIN(CG$38,$E146),$P$20))-SUM($BF146:CF146))</f>
        <v>0</v>
      </c>
      <c r="CH146" s="446">
        <f>IF($E146=0,0,IF(MIN(CH$38,$E146)&lt;MAX($P$34*($B146+$I$38-1),IF(AND($L$37=0,$P$34=0),"",$L$37-1)),0,YEARFRAC(MAX($P$34*($B146+$I$38-1),IF(AND($L$37=0,$P$34=0),"",$L$37-1)),MIN(CH$38,$E146),$P$20))-SUM($BF146:CG146))</f>
        <v>0</v>
      </c>
      <c r="CI146" s="446">
        <f>IF($E146=0,0,IF(MIN(CI$38,$E146)&lt;MAX($P$34*($B146+$I$38-1),IF(AND($L$37=0,$P$34=0),"",$L$37-1)),0,YEARFRAC(MAX($P$34*($B146+$I$38-1),IF(AND($L$37=0,$P$34=0),"",$L$37-1)),MIN(CI$38,$E146),$P$20))-SUM($BF146:CH146))</f>
        <v>0</v>
      </c>
      <c r="CJ146" s="446">
        <f>IF($E146=0,0,IF(MIN(CJ$38,$E146)&lt;MAX($P$34*($B146+$I$38-1),IF(AND($L$37=0,$P$34=0),"",$L$37-1)),0,YEARFRAC(MAX($P$34*($B146+$I$38-1),IF(AND($L$37=0,$P$34=0),"",$L$37-1)),MIN(CJ$38,$E146),$P$20))-SUM($BF146:CI146))</f>
        <v>0</v>
      </c>
      <c r="CK146" s="446">
        <f>IF($E146=0,0,IF(MIN(CK$38,$E146)&lt;MAX($P$34*($B146+$I$38-1),IF(AND($L$37=0,$P$34=0),"",$L$37-1)),0,YEARFRAC(MAX($P$34*($B146+$I$38-1),IF(AND($L$37=0,$P$34=0),"",$L$37-1)),MIN(CK$38,$E146),$P$20))-SUM($BF146:CJ146))</f>
        <v>0</v>
      </c>
      <c r="CL146" s="446">
        <f>IF($E146=0,0,IF(MIN(CL$38,$E146)&lt;MAX($P$34*($B146+$I$38-1),IF(AND($L$37=0,$P$34=0),"",$L$37-1)),0,YEARFRAC(MAX($P$34*($B146+$I$38-1),IF(AND($L$37=0,$P$34=0),"",$L$37-1)),MIN(CL$38,$E146),$P$20))-SUM($BF146:CK146))</f>
        <v>0</v>
      </c>
      <c r="CM146" s="446">
        <f>IF($E146=0,0,IF(MIN(CM$38,$E146)&lt;MAX($P$34*($B146+$I$38-1),IF(AND($L$37=0,$P$34=0),"",$L$37-1)),0,YEARFRAC(MAX($P$34*($B146+$I$38-1),IF(AND($L$37=0,$P$34=0),"",$L$37-1)),MIN(CM$38,$E146),$P$20))-SUM($BF146:CL146))</f>
        <v>0</v>
      </c>
      <c r="CN146" s="446">
        <f>IF($E146=0,0,IF(MIN(CN$38,$E146)&lt;MAX($P$34*($B146+$I$38-1),IF(AND($L$37=0,$P$34=0),"",$L$37-1)),0,YEARFRAC(MAX($P$34*($B146+$I$38-1),IF(AND($L$37=0,$P$34=0),"",$L$37-1)),MIN(CN$38,$E146),$P$20))-SUM($BF146:CM146))</f>
        <v>0</v>
      </c>
      <c r="CO146" s="446">
        <f>IF($E146=0,0,IF(MIN(CO$38,$E146)&lt;MAX($P$34*($B146+$I$38-1),IF(AND($L$37=0,$P$34=0),"",$L$37-1)),0,YEARFRAC(MAX($P$34*($B146+$I$38-1),IF(AND($L$37=0,$P$34=0),"",$L$37-1)),MIN(CO$38,$E146),$P$20))-SUM($BF146:CN146))</f>
        <v>0</v>
      </c>
      <c r="CP146" s="446">
        <f>IF($E146=0,0,IF(MIN(CP$38,$E146)&lt;MAX($P$34*($B146+$I$38-1),IF(AND($L$37=0,$P$34=0),"",$L$37-1)),0,YEARFRAC(MAX($P$34*($B146+$I$38-1),IF(AND($L$37=0,$P$34=0),"",$L$37-1)),MIN(CP$38,$E146),$P$20))-SUM($BF146:CO146))</f>
        <v>0</v>
      </c>
      <c r="CQ146" s="446">
        <f>IF($E146=0,0,IF(MIN(CQ$38,$E146)&lt;MAX($P$34*($B146+$I$38-1),IF(AND($L$37=0,$P$34=0),"",$L$37-1)),0,YEARFRAC(MAX($P$34*($B146+$I$38-1),IF(AND($L$37=0,$P$34=0),"",$L$37-1)),MIN(CQ$38,$E146),$P$20))-SUM($BF146:CP146))</f>
        <v>0</v>
      </c>
    </row>
    <row r="147" spans="1:95" s="446" customFormat="1" ht="11.25" hidden="1" customHeight="1" x14ac:dyDescent="0.2">
      <c r="A147" s="152"/>
      <c r="B147" s="153" t="str">
        <f t="shared" si="26"/>
        <v/>
      </c>
      <c r="C147" s="29" t="str">
        <f>IF(B147="","",IF($L$35="SELIC - TRIBUTOS",VLOOKUP(DATE(YEAR($D$19),MONTH($D$19)-1,1),ÍNDICES!$A:$DE,HLOOKUP($BL$25,ÍNDICES!$B$3:$T$4,2)+11)-VLOOKUP(B147,ÍNDICES!$A:$DE,HLOOKUP($BL$25,ÍNDICES!$B$3:$T$4,2)+11)+1%,IF(C$38=$W$26,$J$35,IF(ISERROR(IF(B147&gt;$D$19,1,VLOOKUP(DATE(YEAR(B147),MONTH(B147)+IF($C$35=$S$23,1,0),1),ÍNDICES!$A:$DE,$Z$35+1))),"",IF(B147&gt;$D$19,1,VLOOKUP(DATE(YEAR(B147),MONTH(B147)+IF($C$35=$S$23,1,0),1),ÍNDICES!$A:$DE,$Z$35+1))))))</f>
        <v/>
      </c>
      <c r="D147" s="154" t="str">
        <f>IF(ISERROR(IF(OR($D$38=$Y$27,$B147=""),"",VLOOKUP(B147,ÍNDICES!A:DE,AF$35+1))),"",IF(OR($D$38=$Y$27,$B147=""),"",VLOOKUP(B147,ÍNDICES!A:DE,AF$35+1)))</f>
        <v/>
      </c>
      <c r="E147" s="153"/>
      <c r="F147" s="29" t="str">
        <f>IF(E147="","",IF($L$35="SELIC - TRIBUTOS",VLOOKUP(DATE(YEAR($D$19),MONTH($D$19)-1,1),ÍNDICES!$A:$DE,HLOOKUP($BL$25,ÍNDICES!$B$3:$T$4,2)+11)-VLOOKUP(E147,ÍNDICES!$A:$DE,HLOOKUP($BL$25,ÍNDICES!$B$3:$T$4,2)+11)+1%,IF(F$38=$W$26,$J$35,IF(ISERROR(IF(E147&gt;$D$19,1,VLOOKUP(DATE(YEAR(E147),MONTH(E147)+IF($C$35=$S$23,1,0),1),ÍNDICES!$A:$DE,$Z$35+1))),"",IF(E147&gt;$D$19,1,VLOOKUP(DATE(YEAR(E147),MONTH(E147)+IF($C$35=$S$23,1,0),1),ÍNDICES!$A:$DE,$Z$35+1))))))</f>
        <v/>
      </c>
      <c r="G147" s="155"/>
      <c r="H147" s="156" t="str">
        <f t="shared" si="22"/>
        <v/>
      </c>
      <c r="I147" s="29" t="str">
        <f t="shared" si="16"/>
        <v/>
      </c>
      <c r="J147" s="5">
        <f t="shared" si="17"/>
        <v>0</v>
      </c>
      <c r="K147" s="20">
        <f t="shared" ca="1" si="18"/>
        <v>0</v>
      </c>
      <c r="L147" s="5">
        <f t="shared" ca="1" si="19"/>
        <v>0</v>
      </c>
      <c r="M147" s="64">
        <f t="shared" si="23"/>
        <v>0</v>
      </c>
      <c r="N147" s="61">
        <f t="shared" ca="1" si="24"/>
        <v>0</v>
      </c>
      <c r="O147" s="5">
        <f t="shared" ca="1" si="25"/>
        <v>0</v>
      </c>
      <c r="P147" s="446" t="e">
        <f t="shared" si="20"/>
        <v>#VALUE!</v>
      </c>
      <c r="Q147" s="446" t="e">
        <f>IF(OR($B147="",MIN(Q$38,$D$19)&lt;MAX($P$34*($B147+IF($R$17="Distrato",$I$38-1,0)),IF(AND($L$37=0,$P$34=0),"",$L$37-1),IF($R$17="Distrato",$E147,0))),0,YEARFRAC(MAX($P$34*($B147+IF($R$17="Distrato",$I$38-1,0)),IF(AND($L$37=0,$P$34=0),"",$L$37-1),IF($R$17="Distrato",$E147,0)),MIN(Q$38,$D$19),$P$20))-SUM($P147:P147)</f>
        <v>#VALUE!</v>
      </c>
      <c r="R147" s="446" t="e">
        <f>IF(OR($B147="",MIN(R$38,$D$19)&lt;MAX($P$34*($B147+IF($R$17="Distrato",$I$38-1,0)),IF(AND($L$37=0,$P$34=0),"",$L$37-1),IF($R$17="Distrato",$E147,0))),0,YEARFRAC(MAX($P$34*($B147+IF($R$17="Distrato",$I$38-1,0)),IF(AND($L$37=0,$P$34=0),"",$L$37-1),IF($R$17="Distrato",$E147,0)),MIN(R$38,$D$19),$P$20))-SUM($P147:Q147)</f>
        <v>#VALUE!</v>
      </c>
      <c r="S147" s="446" t="e">
        <f>IF(OR($B147="",MIN(S$38,$D$19)&lt;MAX($P$34*($B147+IF($R$17="Distrato",$I$38-1,0)),IF(AND($L$37=0,$P$34=0),"",$L$37-1),IF($R$17="Distrato",$E147,0))),0,YEARFRAC(MAX($P$34*($B147+IF($R$17="Distrato",$I$38-1,0)),IF(AND($L$37=0,$P$34=0),"",$L$37-1),IF($R$17="Distrato",$E147,0)),MIN(S$38,$D$19),$P$20))-SUM($P147:R147)</f>
        <v>#VALUE!</v>
      </c>
      <c r="T147" s="446" t="e">
        <f>IF(OR($B147="",MIN(T$38,$D$19)&lt;MAX($P$34*($B147+IF($R$17="Distrato",$I$38-1,0)),IF(AND($L$37=0,$P$34=0),"",$L$37-1),IF($R$17="Distrato",$E147,0))),0,YEARFRAC(MAX($P$34*($B147+IF($R$17="Distrato",$I$38-1,0)),IF(AND($L$37=0,$P$34=0),"",$L$37-1),IF($R$17="Distrato",$E147,0)),MIN(T$38,$D$19),$P$20))-SUM($P147:S147)</f>
        <v>#VALUE!</v>
      </c>
      <c r="U147" s="446" t="e">
        <f>IF(OR($B147="",MIN(U$38,$D$19)&lt;MAX($P$34*($B147+IF($R$17="Distrato",$I$38-1,0)),IF(AND($L$37=0,$P$34=0),"",$L$37-1),IF($R$17="Distrato",$E147,0))),0,YEARFRAC(MAX($P$34*($B147+IF($R$17="Distrato",$I$38-1,0)),IF(AND($L$37=0,$P$34=0),"",$L$37-1),IF($R$17="Distrato",$E147,0)),MIN(U$38,$D$19),$P$20))-SUM($P147:T147)</f>
        <v>#VALUE!</v>
      </c>
      <c r="V147" s="446" t="e">
        <f>IF(OR($B147="",MIN(V$38,$D$19)&lt;MAX($P$34*($B147+IF($R$17="Distrato",$I$38-1,0)),IF(AND($L$37=0,$P$34=0),"",$L$37-1),IF($R$17="Distrato",$E147,0))),0,YEARFRAC(MAX($P$34*($B147+IF($R$17="Distrato",$I$38-1,0)),IF(AND($L$37=0,$P$34=0),"",$L$37-1),IF($R$17="Distrato",$E147,0)),MIN(V$38,$D$19),$P$20))-SUM($P147:U147)</f>
        <v>#VALUE!</v>
      </c>
      <c r="W147" s="446" t="e">
        <f>IF(OR($B147="",MIN(W$38,$D$19)&lt;MAX($P$34*($B147+IF($R$17="Distrato",$I$38-1,0)),IF(AND($L$37=0,$P$34=0),"",$L$37-1),IF($R$17="Distrato",$E147,0))),0,YEARFRAC(MAX($P$34*($B147+IF($R$17="Distrato",$I$38-1,0)),IF(AND($L$37=0,$P$34=0),"",$L$37-1),IF($R$17="Distrato",$E147,0)),MIN(W$38,$D$19),$P$20))-SUM($P147:V147)</f>
        <v>#VALUE!</v>
      </c>
      <c r="X147" s="446" t="e">
        <f>IF(OR($B147="",MIN(X$38,$D$19)&lt;MAX($P$34*($B147+IF($R$17="Distrato",$I$38-1,0)),IF(AND($L$37=0,$P$34=0),"",$L$37-1),IF($R$17="Distrato",$E147,0))),0,YEARFRAC(MAX($P$34*($B147+IF($R$17="Distrato",$I$38-1,0)),IF(AND($L$37=0,$P$34=0),"",$L$37-1),IF($R$17="Distrato",$E147,0)),MIN(X$38,$D$19),$P$20))-SUM($P147:W147)</f>
        <v>#VALUE!</v>
      </c>
      <c r="Y147" s="446" t="e">
        <f>IF(OR($B147="",MIN(Y$38,$D$19)&lt;MAX($P$34*($B147+IF($R$17="Distrato",$I$38-1,0)),IF(AND($L$37=0,$P$34=0),"",$L$37-1),IF($R$17="Distrato",$E147,0))),0,YEARFRAC(MAX($P$34*($B147+IF($R$17="Distrato",$I$38-1,0)),IF(AND($L$37=0,$P$34=0),"",$L$37-1),IF($R$17="Distrato",$E147,0)),MIN(Y$38,$D$19),$P$20))-SUM($P147:X147)</f>
        <v>#VALUE!</v>
      </c>
      <c r="Z147" s="446" t="e">
        <f>IF(OR($B147="",MIN(Z$38,$D$19)&lt;MAX($P$34*($B147+IF($R$17="Distrato",$I$38-1,0)),IF(AND($L$37=0,$P$34=0),"",$L$37-1),IF($R$17="Distrato",$E147,0))),0,YEARFRAC(MAX($P$34*($B147+IF($R$17="Distrato",$I$38-1,0)),IF(AND($L$37=0,$P$34=0),"",$L$37-1),IF($R$17="Distrato",$E147,0)),MIN(Z$38,$D$19),$P$20))-SUM($P147:Y147)</f>
        <v>#VALUE!</v>
      </c>
      <c r="AA147" s="446" t="e">
        <f>IF(OR($B147="",MIN(AA$38,$D$19)&lt;MAX($P$34*($B147+IF($R$17="Distrato",$I$38-1,0)),IF(AND($L$37=0,$P$34=0),"",$L$37-1),IF($R$17="Distrato",$E147,0))),0,YEARFRAC(MAX($P$34*($B147+IF($R$17="Distrato",$I$38-1,0)),IF(AND($L$37=0,$P$34=0),"",$L$37-1),IF($R$17="Distrato",$E147,0)),MIN(AA$38,$D$19),$P$20))-SUM($P147:Z147)</f>
        <v>#VALUE!</v>
      </c>
      <c r="AB147" s="446" t="e">
        <f>IF(OR($B147="",MIN(AB$38,$D$19)&lt;MAX($P$34*($B147+IF($R$17="Distrato",$I$38-1,0)),IF(AND($L$37=0,$P$34=0),"",$L$37-1),IF($R$17="Distrato",$E147,0))),0,YEARFRAC(MAX($P$34*($B147+IF($R$17="Distrato",$I$38-1,0)),IF(AND($L$37=0,$P$34=0),"",$L$37-1),IF($R$17="Distrato",$E147,0)),MIN(AB$38,$D$19),$P$20))-SUM($P147:AA147)</f>
        <v>#VALUE!</v>
      </c>
      <c r="AC147" s="446" t="e">
        <f>IF(OR($B147="",MIN(AC$38,$D$19)&lt;MAX($P$34*($B147+IF($R$17="Distrato",$I$38-1,0)),IF(AND($L$37=0,$P$34=0),"",$L$37-1),IF($R$17="Distrato",$E147,0))),0,YEARFRAC(MAX($P$34*($B147+IF($R$17="Distrato",$I$38-1,0)),IF(AND($L$37=0,$P$34=0),"",$L$37-1),IF($R$17="Distrato",$E147,0)),MIN(AC$38,$D$19),$P$20))-SUM($P147:AB147)</f>
        <v>#VALUE!</v>
      </c>
      <c r="AD147" s="446" t="e">
        <f>IF(OR($B147="",MIN(AD$38,$D$19)&lt;MAX($P$34*($B147+IF($R$17="Distrato",$I$38-1,0)),IF(AND($L$37=0,$P$34=0),"",$L$37-1),IF($R$17="Distrato",$E147,0))),0,YEARFRAC(MAX($P$34*($B147+IF($R$17="Distrato",$I$38-1,0)),IF(AND($L$37=0,$P$34=0),"",$L$37-1),IF($R$17="Distrato",$E147,0)),MIN(AD$38,$D$19),$P$20))-SUM($P147:AC147)</f>
        <v>#VALUE!</v>
      </c>
      <c r="AE147" s="446" t="e">
        <f>IF(OR($B147="",MIN(AE$38,$D$19)&lt;MAX($P$34*($B147+IF($R$17="Distrato",$I$38-1,0)),IF(AND($L$37=0,$P$34=0),"",$L$37-1),IF($R$17="Distrato",$E147,0))),0,YEARFRAC(MAX($P$34*($B147+IF($R$17="Distrato",$I$38-1,0)),IF(AND($L$37=0,$P$34=0),"",$L$37-1),IF($R$17="Distrato",$E147,0)),MIN(AE$38,$D$19),$P$20))-SUM($P147:AD147)</f>
        <v>#VALUE!</v>
      </c>
      <c r="AF147" s="446" t="e">
        <f>IF(OR($B147="",MIN(AF$38,$D$19)&lt;MAX($P$34*($B147+IF($R$17="Distrato",$I$38-1,0)),IF(AND($L$37=0,$P$34=0),"",$L$37-1),IF($R$17="Distrato",$E147,0))),0,YEARFRAC(MAX($P$34*($B147+IF($R$17="Distrato",$I$38-1,0)),IF(AND($L$37=0,$P$34=0),"",$L$37-1),IF($R$17="Distrato",$E147,0)),MIN(AF$38,$D$19),$P$20))-SUM($P147:AE147)</f>
        <v>#VALUE!</v>
      </c>
      <c r="AG147" s="446" t="e">
        <f>IF(OR($B147="",MIN(AG$38,$D$19)&lt;MAX($P$34*($B147+IF($R$17="Distrato",$I$38-1,0)),IF(AND($L$37=0,$P$34=0),"",$L$37-1),IF($R$17="Distrato",$E147,0))),0,YEARFRAC(MAX($P$34*($B147+IF($R$17="Distrato",$I$38-1,0)),IF(AND($L$37=0,$P$34=0),"",$L$37-1),IF($R$17="Distrato",$E147,0)),MIN(AG$38,$D$19),$P$20))-SUM($P147:AF147)</f>
        <v>#VALUE!</v>
      </c>
      <c r="AH147" s="446" t="e">
        <f>IF(OR($B147="",MIN(AH$38,$D$19)&lt;MAX($P$34*($B147+IF($R$17="Distrato",$I$38-1,0)),IF(AND($L$37=0,$P$34=0),"",$L$37-1),IF($R$17="Distrato",$E147,0))),0,YEARFRAC(MAX($P$34*($B147+IF($R$17="Distrato",$I$38-1,0)),IF(AND($L$37=0,$P$34=0),"",$L$37-1),IF($R$17="Distrato",$E147,0)),MIN(AH$38,$D$19),$P$20))-SUM($P147:AG147)</f>
        <v>#VALUE!</v>
      </c>
      <c r="AI147" s="446" t="e">
        <f>IF(OR($B147="",MIN(AI$38,$D$19)&lt;MAX($P$34*($B147+IF($R$17="Distrato",$I$38-1,0)),IF(AND($L$37=0,$P$34=0),"",$L$37-1),IF($R$17="Distrato",$E147,0))),0,YEARFRAC(MAX($P$34*($B147+IF($R$17="Distrato",$I$38-1,0)),IF(AND($L$37=0,$P$34=0),"",$L$37-1),IF($R$17="Distrato",$E147,0)),MIN(AI$38,$D$19),$P$20))-SUM($P147:AH147)</f>
        <v>#VALUE!</v>
      </c>
      <c r="AJ147" s="446" t="e">
        <f>IF(OR($B147="",MIN(AJ$38,$D$19)&lt;MAX($P$34*($B147+IF($R$17="Distrato",$I$38-1,0)),IF(AND($L$37=0,$P$34=0),"",$L$37-1),IF($R$17="Distrato",$E147,0))),0,YEARFRAC(MAX($P$34*($B147+IF($R$17="Distrato",$I$38-1,0)),IF(AND($L$37=0,$P$34=0),"",$L$37-1),IF($R$17="Distrato",$E147,0)),MIN(AJ$38,$D$19),$P$20))-SUM($P147:AI147)</f>
        <v>#VALUE!</v>
      </c>
      <c r="AK147" s="446" t="e">
        <f>IF(OR($B147="",MIN(AK$38,$D$19)&lt;MAX($P$34*($B147+IF($R$17="Distrato",$I$38-1,0)),IF(AND($L$37=0,$P$34=0),"",$L$37-1),IF($R$17="Distrato",$E147,0))),0,YEARFRAC(MAX($P$34*($B147+IF($R$17="Distrato",$I$38-1,0)),IF(AND($L$37=0,$P$34=0),"",$L$37-1),IF($R$17="Distrato",$E147,0)),MIN(AK$38,$D$19),$P$20))-SUM($P147:AJ147)</f>
        <v>#VALUE!</v>
      </c>
      <c r="AL147" s="446" t="e">
        <f>IF(OR($B147="",MIN(AL$38,$D$19)&lt;MAX($P$34*($B147+IF($R$17="Distrato",$I$38-1,0)),IF(AND($L$37=0,$P$34=0),"",$L$37-1),IF($R$17="Distrato",$E147,0))),0,YEARFRAC(MAX($P$34*($B147+IF($R$17="Distrato",$I$38-1,0)),IF(AND($L$37=0,$P$34=0),"",$L$37-1),IF($R$17="Distrato",$E147,0)),MIN(AL$38,$D$19),$P$20))-SUM($P147:AK147)</f>
        <v>#VALUE!</v>
      </c>
      <c r="AM147" s="446" t="e">
        <f>IF(OR($B147="",MIN(AM$38,$D$19)&lt;MAX($P$34*($B147+IF($R$17="Distrato",$I$38-1,0)),IF(AND($L$37=0,$P$34=0),"",$L$37-1),IF($R$17="Distrato",$E147,0))),0,YEARFRAC(MAX($P$34*($B147+IF($R$17="Distrato",$I$38-1,0)),IF(AND($L$37=0,$P$34=0),"",$L$37-1),IF($R$17="Distrato",$E147,0)),MIN(AM$38,$D$19),$P$20))-SUM($P147:AL147)</f>
        <v>#VALUE!</v>
      </c>
      <c r="AN147" s="446" t="e">
        <f>IF(OR($B147="",MIN(AN$38,$D$19)&lt;MAX($P$34*($B147+IF($R$17="Distrato",$I$38-1,0)),IF(AND($L$37=0,$P$34=0),"",$L$37-1),IF($R$17="Distrato",$E147,0))),0,YEARFRAC(MAX($P$34*($B147+IF($R$17="Distrato",$I$38-1,0)),IF(AND($L$37=0,$P$34=0),"",$L$37-1),IF($R$17="Distrato",$E147,0)),MIN(AN$38,$D$19),$P$20))-SUM($P147:AM147)</f>
        <v>#VALUE!</v>
      </c>
      <c r="AO147" s="446" t="e">
        <f>IF(OR($B147="",MIN(AO$38,$D$19)&lt;MAX($P$34*($B147+IF($R$17="Distrato",$I$38-1,0)),IF(AND($L$37=0,$P$34=0),"",$L$37-1),IF($R$17="Distrato",$E147,0))),0,YEARFRAC(MAX($P$34*($B147+IF($R$17="Distrato",$I$38-1,0)),IF(AND($L$37=0,$P$34=0),"",$L$37-1),IF($R$17="Distrato",$E147,0)),MIN(AO$38,$D$19),$P$20))-SUM($P147:AN147)</f>
        <v>#VALUE!</v>
      </c>
      <c r="AP147" s="446" t="e">
        <f>IF(OR($B147="",MIN(AP$38,$D$19)&lt;MAX($P$34*($B147+IF($R$17="Distrato",$I$38-1,0)),IF(AND($L$37=0,$P$34=0),"",$L$37-1),IF($R$17="Distrato",$E147,0))),0,YEARFRAC(MAX($P$34*($B147+IF($R$17="Distrato",$I$38-1,0)),IF(AND($L$37=0,$P$34=0),"",$L$37-1),IF($R$17="Distrato",$E147,0)),MIN(AP$38,$D$19),$P$20))-SUM($P147:AO147)</f>
        <v>#VALUE!</v>
      </c>
      <c r="AQ147" s="446" t="e">
        <f>IF(OR($B147="",MIN(AQ$38,$D$19)&lt;MAX($P$34*($B147+IF($R$17="Distrato",$I$38-1,0)),IF(AND($L$37=0,$P$34=0),"",$L$37-1),IF($R$17="Distrato",$E147,0))),0,YEARFRAC(MAX($P$34*($B147+IF($R$17="Distrato",$I$38-1,0)),IF(AND($L$37=0,$P$34=0),"",$L$37-1),IF($R$17="Distrato",$E147,0)),MIN(AQ$38,$D$19),$P$20))-SUM($P147:AP147)</f>
        <v>#VALUE!</v>
      </c>
      <c r="AR147" s="446" t="e">
        <f>IF(OR($B147="",MIN(AR$38,$D$19)&lt;MAX($P$34*($B147+IF($R$17="Distrato",$I$38-1,0)),IF(AND($L$37=0,$P$34=0),"",$L$37-1),IF($R$17="Distrato",$E147,0))),0,YEARFRAC(MAX($P$34*($B147+IF($R$17="Distrato",$I$38-1,0)),IF(AND($L$37=0,$P$34=0),"",$L$37-1),IF($R$17="Distrato",$E147,0)),MIN(AR$38,$D$19),$P$20))-SUM($P147:AQ147)</f>
        <v>#VALUE!</v>
      </c>
      <c r="AS147" s="446" t="e">
        <f>IF(OR($B147="",MIN(AS$38,$D$19)&lt;MAX($P$34*($B147+IF($R$17="Distrato",$I$38-1,0)),IF(AND($L$37=0,$P$34=0),"",$L$37-1),IF($R$17="Distrato",$E147,0))),0,YEARFRAC(MAX($P$34*($B147+IF($R$17="Distrato",$I$38-1,0)),IF(AND($L$37=0,$P$34=0),"",$L$37-1),IF($R$17="Distrato",$E147,0)),MIN(AS$38,$D$19),$P$20))-SUM($P147:AR147)</f>
        <v>#VALUE!</v>
      </c>
      <c r="AT147" s="446" t="e">
        <f>IF(OR($B147="",MIN(AT$38,$D$19)&lt;MAX($P$34*($B147+IF($R$17="Distrato",$I$38-1,0)),IF(AND($L$37=0,$P$34=0),"",$L$37-1),IF($R$17="Distrato",$E147,0))),0,YEARFRAC(MAX($P$34*($B147+IF($R$17="Distrato",$I$38-1,0)),IF(AND($L$37=0,$P$34=0),"",$L$37-1),IF($R$17="Distrato",$E147,0)),MIN(AT$38,$D$19),$P$20))-SUM($P147:AS147)</f>
        <v>#VALUE!</v>
      </c>
      <c r="AU147" s="446" t="e">
        <f>IF(OR($B147="",MIN(AU$38,$D$19)&lt;MAX($P$34*($B147+IF($R$17="Distrato",$I$38-1,0)),IF(AND($L$37=0,$P$34=0),"",$L$37-1),IF($R$17="Distrato",$E147,0))),0,YEARFRAC(MAX($P$34*($B147+IF($R$17="Distrato",$I$38-1,0)),IF(AND($L$37=0,$P$34=0),"",$L$37-1),IF($R$17="Distrato",$E147,0)),MIN(AU$38,$D$19),$P$20))-SUM($P147:AT147)</f>
        <v>#VALUE!</v>
      </c>
      <c r="AV147" s="446" t="e">
        <f>IF(OR($B147="",MIN(AV$38,$D$19)&lt;MAX($P$34*($B147+IF($R$17="Distrato",$I$38-1,0)),IF(AND($L$37=0,$P$34=0),"",$L$37-1),IF($R$17="Distrato",$E147,0))),0,YEARFRAC(MAX($P$34*($B147+IF($R$17="Distrato",$I$38-1,0)),IF(AND($L$37=0,$P$34=0),"",$L$37-1),IF($R$17="Distrato",$E147,0)),MIN(AV$38,$D$19),$P$20))-SUM($P147:AU147)</f>
        <v>#VALUE!</v>
      </c>
      <c r="AW147" s="446" t="e">
        <f>IF(OR($B147="",MIN(AW$38,$D$19)&lt;MAX($P$34*($B147+IF($R$17="Distrato",$I$38-1,0)),IF(AND($L$37=0,$P$34=0),"",$L$37-1),IF($R$17="Distrato",$E147,0))),0,YEARFRAC(MAX($P$34*($B147+IF($R$17="Distrato",$I$38-1,0)),IF(AND($L$37=0,$P$34=0),"",$L$37-1),IF($R$17="Distrato",$E147,0)),MIN(AW$38,$D$19),$P$20))-SUM($P147:AV147)</f>
        <v>#VALUE!</v>
      </c>
      <c r="AX147" s="446" t="e">
        <f>IF(OR($B147="",MIN(AX$38,$D$19)&lt;MAX($P$34*($B147+IF($R$17="Distrato",$I$38-1,0)),IF(AND($L$37=0,$P$34=0),"",$L$37-1),IF($R$17="Distrato",$E147,0))),0,YEARFRAC(MAX($P$34*($B147+IF($R$17="Distrato",$I$38-1,0)),IF(AND($L$37=0,$P$34=0),"",$L$37-1),IF($R$17="Distrato",$E147,0)),MIN(AX$38,$D$19),$P$20))-SUM($P147:AW147)</f>
        <v>#VALUE!</v>
      </c>
      <c r="AY147" s="446" t="e">
        <f>IF(OR($B147="",MIN(AY$38,$D$19)&lt;MAX($P$34*($B147+IF($R$17="Distrato",$I$38-1,0)),IF(AND($L$37=0,$P$34=0),"",$L$37-1),IF($R$17="Distrato",$E147,0))),0,YEARFRAC(MAX($P$34*($B147+IF($R$17="Distrato",$I$38-1,0)),IF(AND($L$37=0,$P$34=0),"",$L$37-1),IF($R$17="Distrato",$E147,0)),MIN(AY$38,$D$19),$P$20))-SUM($P147:AX147)</f>
        <v>#VALUE!</v>
      </c>
      <c r="AZ147" s="446" t="e">
        <f>IF(OR($B147="",MIN(AZ$38,$D$19)&lt;MAX($P$34*($B147+IF($R$17="Distrato",$I$38-1,0)),IF(AND($L$37=0,$P$34=0),"",$L$37-1),IF($R$17="Distrato",$E147,0))),0,YEARFRAC(MAX($P$34*($B147+IF($R$17="Distrato",$I$38-1,0)),IF(AND($L$37=0,$P$34=0),"",$L$37-1),IF($R$17="Distrato",$E147,0)),MIN(AZ$38,$D$19),$P$20))-SUM($P147:AY147)</f>
        <v>#VALUE!</v>
      </c>
      <c r="BA147" s="446" t="e">
        <f>IF(OR($B147="",MIN(BA$38,$D$19)&lt;MAX($P$34*($B147+IF($R$17="Distrato",$I$38-1,0)),IF(AND($L$37=0,$P$34=0),"",$L$37-1),IF($R$17="Distrato",$E147,0))),0,YEARFRAC(MAX($P$34*($B147+IF($R$17="Distrato",$I$38-1,0)),IF(AND($L$37=0,$P$34=0),"",$L$37-1),IF($R$17="Distrato",$E147,0)),MIN(BA$38,$D$19),$P$20))-SUM($P147:AZ147)</f>
        <v>#VALUE!</v>
      </c>
      <c r="BB147" s="447"/>
      <c r="BF147" s="446">
        <f t="shared" si="21"/>
        <v>0</v>
      </c>
      <c r="BG147" s="446">
        <f>IF($E147=0,0,IF(MIN(BG$38,$E147)&lt;MAX($P$34*($B147+$I$38-1),IF(AND($L$37=0,$P$34=0),"",$L$37-1)),0,YEARFRAC(MAX($P$34*($B147+$I$38-1),IF(AND($L$37=0,$P$34=0),"",$L$37-1)),MIN(BG$38,$E147),$P$20))-SUM($BF147:BF147))</f>
        <v>0</v>
      </c>
      <c r="BH147" s="446">
        <f>IF($E147=0,0,IF(MIN(BH$38,$E147)&lt;MAX($P$34*($B147+$I$38-1),IF(AND($L$37=0,$P$34=0),"",$L$37-1)),0,YEARFRAC(MAX($P$34*($B147+$I$38-1),IF(AND($L$37=0,$P$34=0),"",$L$37-1)),MIN(BH$38,$E147),$P$20))-SUM($BF147:BG147))</f>
        <v>0</v>
      </c>
      <c r="BI147" s="446">
        <f>IF($E147=0,0,IF(MIN(BI$38,$E147)&lt;MAX($P$34*($B147+$I$38-1),IF(AND($L$37=0,$P$34=0),"",$L$37-1)),0,YEARFRAC(MAX($P$34*($B147+$I$38-1),IF(AND($L$37=0,$P$34=0),"",$L$37-1)),MIN(BI$38,$E147),$P$20))-SUM($BF147:BH147))</f>
        <v>0</v>
      </c>
      <c r="BJ147" s="446">
        <f>IF($E147=0,0,IF(MIN(BJ$38,$E147)&lt;MAX($P$34*($B147+$I$38-1),IF(AND($L$37=0,$P$34=0),"",$L$37-1)),0,YEARFRAC(MAX($P$34*($B147+$I$38-1),IF(AND($L$37=0,$P$34=0),"",$L$37-1)),MIN(BJ$38,$E147),$P$20))-SUM($BF147:BI147))</f>
        <v>0</v>
      </c>
      <c r="BK147" s="446">
        <f>IF($E147=0,0,IF(MIN(BK$38,$E147)&lt;MAX($P$34*($B147+$I$38-1),IF(AND($L$37=0,$P$34=0),"",$L$37-1)),0,YEARFRAC(MAX($P$34*($B147+$I$38-1),IF(AND($L$37=0,$P$34=0),"",$L$37-1)),MIN(BK$38,$E147),$P$20))-SUM($BF147:BJ147))</f>
        <v>0</v>
      </c>
      <c r="BL147" s="446">
        <f>IF($E147=0,0,IF(MIN(BL$38,$E147)&lt;MAX($P$34*($B147+$I$38-1),IF(AND($L$37=0,$P$34=0),"",$L$37-1)),0,YEARFRAC(MAX($P$34*($B147+$I$38-1),IF(AND($L$37=0,$P$34=0),"",$L$37-1)),MIN(BL$38,$E147),$P$20))-SUM($BF147:BK147))</f>
        <v>0</v>
      </c>
      <c r="BM147" s="446">
        <f>IF($E147=0,0,IF(MIN(BM$38,$E147)&lt;MAX($P$34*($B147+$I$38-1),IF(AND($L$37=0,$P$34=0),"",$L$37-1)),0,YEARFRAC(MAX($P$34*($B147+$I$38-1),IF(AND($L$37=0,$P$34=0),"",$L$37-1)),MIN(BM$38,$E147),$P$20))-SUM($BF147:BL147))</f>
        <v>0</v>
      </c>
      <c r="BN147" s="446">
        <f>IF($E147=0,0,IF(MIN(BN$38,$E147)&lt;MAX($P$34*($B147+$I$38-1),IF(AND($L$37=0,$P$34=0),"",$L$37-1)),0,YEARFRAC(MAX($P$34*($B147+$I$38-1),IF(AND($L$37=0,$P$34=0),"",$L$37-1)),MIN(BN$38,$E147),$P$20))-SUM($BF147:BM147))</f>
        <v>0</v>
      </c>
      <c r="BO147" s="446">
        <f>IF($E147=0,0,IF(MIN(BO$38,$E147)&lt;MAX($P$34*($B147+$I$38-1),IF(AND($L$37=0,$P$34=0),"",$L$37-1)),0,YEARFRAC(MAX($P$34*($B147+$I$38-1),IF(AND($L$37=0,$P$34=0),"",$L$37-1)),MIN(BO$38,$E147),$P$20))-SUM($BF147:BN147))</f>
        <v>0</v>
      </c>
      <c r="BP147" s="446">
        <f>IF($E147=0,0,IF(MIN(BP$38,$E147)&lt;MAX($P$34*($B147+$I$38-1),IF(AND($L$37=0,$P$34=0),"",$L$37-1)),0,YEARFRAC(MAX($P$34*($B147+$I$38-1),IF(AND($L$37=0,$P$34=0),"",$L$37-1)),MIN(BP$38,$E147),$P$20))-SUM($BF147:BO147))</f>
        <v>0</v>
      </c>
      <c r="BQ147" s="446">
        <f>IF($E147=0,0,IF(MIN(BQ$38,$E147)&lt;MAX($P$34*($B147+$I$38-1),IF(AND($L$37=0,$P$34=0),"",$L$37-1)),0,YEARFRAC(MAX($P$34*($B147+$I$38-1),IF(AND($L$37=0,$P$34=0),"",$L$37-1)),MIN(BQ$38,$E147),$P$20))-SUM($BF147:BP147))</f>
        <v>0</v>
      </c>
      <c r="BR147" s="446">
        <f>IF($E147=0,0,IF(MIN(BR$38,$E147)&lt;MAX($P$34*($B147+$I$38-1),IF(AND($L$37=0,$P$34=0),"",$L$37-1)),0,YEARFRAC(MAX($P$34*($B147+$I$38-1),IF(AND($L$37=0,$P$34=0),"",$L$37-1)),MIN(BR$38,$E147),$P$20))-SUM($BF147:BQ147))</f>
        <v>0</v>
      </c>
      <c r="BS147" s="446">
        <f>IF($E147=0,0,IF(MIN(BS$38,$E147)&lt;MAX($P$34*($B147+$I$38-1),IF(AND($L$37=0,$P$34=0),"",$L$37-1)),0,YEARFRAC(MAX($P$34*($B147+$I$38-1),IF(AND($L$37=0,$P$34=0),"",$L$37-1)),MIN(BS$38,$E147),$P$20))-SUM($BF147:BR147))</f>
        <v>0</v>
      </c>
      <c r="BT147" s="446">
        <f>IF($E147=0,0,IF(MIN(BT$38,$E147)&lt;MAX($P$34*($B147+$I$38-1),IF(AND($L$37=0,$P$34=0),"",$L$37-1)),0,YEARFRAC(MAX($P$34*($B147+$I$38-1),IF(AND($L$37=0,$P$34=0),"",$L$37-1)),MIN(BT$38,$E147),$P$20))-SUM($BF147:BS147))</f>
        <v>0</v>
      </c>
      <c r="BU147" s="446">
        <f>IF($E147=0,0,IF(MIN(BU$38,$E147)&lt;MAX($P$34*($B147+$I$38-1),IF(AND($L$37=0,$P$34=0),"",$L$37-1)),0,YEARFRAC(MAX($P$34*($B147+$I$38-1),IF(AND($L$37=0,$P$34=0),"",$L$37-1)),MIN(BU$38,$E147),$P$20))-SUM($BF147:BT147))</f>
        <v>0</v>
      </c>
      <c r="BV147" s="446">
        <f>IF($E147=0,0,IF(MIN(BV$38,$E147)&lt;MAX($P$34*($B147+$I$38-1),IF(AND($L$37=0,$P$34=0),"",$L$37-1)),0,YEARFRAC(MAX($P$34*($B147+$I$38-1),IF(AND($L$37=0,$P$34=0),"",$L$37-1)),MIN(BV$38,$E147),$P$20))-SUM($BF147:BU147))</f>
        <v>0</v>
      </c>
      <c r="BW147" s="446">
        <f>IF($E147=0,0,IF(MIN(BW$38,$E147)&lt;MAX($P$34*($B147+$I$38-1),IF(AND($L$37=0,$P$34=0),"",$L$37-1)),0,YEARFRAC(MAX($P$34*($B147+$I$38-1),IF(AND($L$37=0,$P$34=0),"",$L$37-1)),MIN(BW$38,$E147),$P$20))-SUM($BF147:BV147))</f>
        <v>0</v>
      </c>
      <c r="BX147" s="446">
        <f>IF($E147=0,0,IF(MIN(BX$38,$E147)&lt;MAX($P$34*($B147+$I$38-1),IF(AND($L$37=0,$P$34=0),"",$L$37-1)),0,YEARFRAC(MAX($P$34*($B147+$I$38-1),IF(AND($L$37=0,$P$34=0),"",$L$37-1)),MIN(BX$38,$E147),$P$20))-SUM($BF147:BW147))</f>
        <v>0</v>
      </c>
      <c r="BY147" s="446">
        <f>IF($E147=0,0,IF(MIN(BY$38,$E147)&lt;MAX($P$34*($B147+$I$38-1),IF(AND($L$37=0,$P$34=0),"",$L$37-1)),0,YEARFRAC(MAX($P$34*($B147+$I$38-1),IF(AND($L$37=0,$P$34=0),"",$L$37-1)),MIN(BY$38,$E147),$P$20))-SUM($BF147:BX147))</f>
        <v>0</v>
      </c>
      <c r="BZ147" s="446">
        <f>IF($E147=0,0,IF(MIN(BZ$38,$E147)&lt;MAX($P$34*($B147+$I$38-1),IF(AND($L$37=0,$P$34=0),"",$L$37-1)),0,YEARFRAC(MAX($P$34*($B147+$I$38-1),IF(AND($L$37=0,$P$34=0),"",$L$37-1)),MIN(BZ$38,$E147),$P$20))-SUM($BF147:BY147))</f>
        <v>0</v>
      </c>
      <c r="CA147" s="446">
        <f>IF($E147=0,0,IF(MIN(CA$38,$E147)&lt;MAX($P$34*($B147+$I$38-1),IF(AND($L$37=0,$P$34=0),"",$L$37-1)),0,YEARFRAC(MAX($P$34*($B147+$I$38-1),IF(AND($L$37=0,$P$34=0),"",$L$37-1)),MIN(CA$38,$E147),$P$20))-SUM($BF147:BZ147))</f>
        <v>0</v>
      </c>
      <c r="CB147" s="446">
        <f>IF($E147=0,0,IF(MIN(CB$38,$E147)&lt;MAX($P$34*($B147+$I$38-1),IF(AND($L$37=0,$P$34=0),"",$L$37-1)),0,YEARFRAC(MAX($P$34*($B147+$I$38-1),IF(AND($L$37=0,$P$34=0),"",$L$37-1)),MIN(CB$38,$E147),$P$20))-SUM($BF147:CA147))</f>
        <v>0</v>
      </c>
      <c r="CC147" s="446">
        <f>IF($E147=0,0,IF(MIN(CC$38,$E147)&lt;MAX($P$34*($B147+$I$38-1),IF(AND($L$37=0,$P$34=0),"",$L$37-1)),0,YEARFRAC(MAX($P$34*($B147+$I$38-1),IF(AND($L$37=0,$P$34=0),"",$L$37-1)),MIN(CC$38,$E147),$P$20))-SUM($BF147:CB147))</f>
        <v>0</v>
      </c>
      <c r="CD147" s="446">
        <f>IF($E147=0,0,IF(MIN(CD$38,$E147)&lt;MAX($P$34*($B147+$I$38-1),IF(AND($L$37=0,$P$34=0),"",$L$37-1)),0,YEARFRAC(MAX($P$34*($B147+$I$38-1),IF(AND($L$37=0,$P$34=0),"",$L$37-1)),MIN(CD$38,$E147),$P$20))-SUM($BF147:CC147))</f>
        <v>0</v>
      </c>
      <c r="CE147" s="446">
        <f>IF($E147=0,0,IF(MIN(CE$38,$E147)&lt;MAX($P$34*($B147+$I$38-1),IF(AND($L$37=0,$P$34=0),"",$L$37-1)),0,YEARFRAC(MAX($P$34*($B147+$I$38-1),IF(AND($L$37=0,$P$34=0),"",$L$37-1)),MIN(CE$38,$E147),$P$20))-SUM($BF147:CD147))</f>
        <v>0</v>
      </c>
      <c r="CF147" s="446">
        <f>IF($E147=0,0,IF(MIN(CF$38,$E147)&lt;MAX($P$34*($B147+$I$38-1),IF(AND($L$37=0,$P$34=0),"",$L$37-1)),0,YEARFRAC(MAX($P$34*($B147+$I$38-1),IF(AND($L$37=0,$P$34=0),"",$L$37-1)),MIN(CF$38,$E147),$P$20))-SUM($BF147:CE147))</f>
        <v>0</v>
      </c>
      <c r="CG147" s="446">
        <f>IF($E147=0,0,IF(MIN(CG$38,$E147)&lt;MAX($P$34*($B147+$I$38-1),IF(AND($L$37=0,$P$34=0),"",$L$37-1)),0,YEARFRAC(MAX($P$34*($B147+$I$38-1),IF(AND($L$37=0,$P$34=0),"",$L$37-1)),MIN(CG$38,$E147),$P$20))-SUM($BF147:CF147))</f>
        <v>0</v>
      </c>
      <c r="CH147" s="446">
        <f>IF($E147=0,0,IF(MIN(CH$38,$E147)&lt;MAX($P$34*($B147+$I$38-1),IF(AND($L$37=0,$P$34=0),"",$L$37-1)),0,YEARFRAC(MAX($P$34*($B147+$I$38-1),IF(AND($L$37=0,$P$34=0),"",$L$37-1)),MIN(CH$38,$E147),$P$20))-SUM($BF147:CG147))</f>
        <v>0</v>
      </c>
      <c r="CI147" s="446">
        <f>IF($E147=0,0,IF(MIN(CI$38,$E147)&lt;MAX($P$34*($B147+$I$38-1),IF(AND($L$37=0,$P$34=0),"",$L$37-1)),0,YEARFRAC(MAX($P$34*($B147+$I$38-1),IF(AND($L$37=0,$P$34=0),"",$L$37-1)),MIN(CI$38,$E147),$P$20))-SUM($BF147:CH147))</f>
        <v>0</v>
      </c>
      <c r="CJ147" s="446">
        <f>IF($E147=0,0,IF(MIN(CJ$38,$E147)&lt;MAX($P$34*($B147+$I$38-1),IF(AND($L$37=0,$P$34=0),"",$L$37-1)),0,YEARFRAC(MAX($P$34*($B147+$I$38-1),IF(AND($L$37=0,$P$34=0),"",$L$37-1)),MIN(CJ$38,$E147),$P$20))-SUM($BF147:CI147))</f>
        <v>0</v>
      </c>
      <c r="CK147" s="446">
        <f>IF($E147=0,0,IF(MIN(CK$38,$E147)&lt;MAX($P$34*($B147+$I$38-1),IF(AND($L$37=0,$P$34=0),"",$L$37-1)),0,YEARFRAC(MAX($P$34*($B147+$I$38-1),IF(AND($L$37=0,$P$34=0),"",$L$37-1)),MIN(CK$38,$E147),$P$20))-SUM($BF147:CJ147))</f>
        <v>0</v>
      </c>
      <c r="CL147" s="446">
        <f>IF($E147=0,0,IF(MIN(CL$38,$E147)&lt;MAX($P$34*($B147+$I$38-1),IF(AND($L$37=0,$P$34=0),"",$L$37-1)),0,YEARFRAC(MAX($P$34*($B147+$I$38-1),IF(AND($L$37=0,$P$34=0),"",$L$37-1)),MIN(CL$38,$E147),$P$20))-SUM($BF147:CK147))</f>
        <v>0</v>
      </c>
      <c r="CM147" s="446">
        <f>IF($E147=0,0,IF(MIN(CM$38,$E147)&lt;MAX($P$34*($B147+$I$38-1),IF(AND($L$37=0,$P$34=0),"",$L$37-1)),0,YEARFRAC(MAX($P$34*($B147+$I$38-1),IF(AND($L$37=0,$P$34=0),"",$L$37-1)),MIN(CM$38,$E147),$P$20))-SUM($BF147:CL147))</f>
        <v>0</v>
      </c>
      <c r="CN147" s="446">
        <f>IF($E147=0,0,IF(MIN(CN$38,$E147)&lt;MAX($P$34*($B147+$I$38-1),IF(AND($L$37=0,$P$34=0),"",$L$37-1)),0,YEARFRAC(MAX($P$34*($B147+$I$38-1),IF(AND($L$37=0,$P$34=0),"",$L$37-1)),MIN(CN$38,$E147),$P$20))-SUM($BF147:CM147))</f>
        <v>0</v>
      </c>
      <c r="CO147" s="446">
        <f>IF($E147=0,0,IF(MIN(CO$38,$E147)&lt;MAX($P$34*($B147+$I$38-1),IF(AND($L$37=0,$P$34=0),"",$L$37-1)),0,YEARFRAC(MAX($P$34*($B147+$I$38-1),IF(AND($L$37=0,$P$34=0),"",$L$37-1)),MIN(CO$38,$E147),$P$20))-SUM($BF147:CN147))</f>
        <v>0</v>
      </c>
      <c r="CP147" s="446">
        <f>IF($E147=0,0,IF(MIN(CP$38,$E147)&lt;MAX($P$34*($B147+$I$38-1),IF(AND($L$37=0,$P$34=0),"",$L$37-1)),0,YEARFRAC(MAX($P$34*($B147+$I$38-1),IF(AND($L$37=0,$P$34=0),"",$L$37-1)),MIN(CP$38,$E147),$P$20))-SUM($BF147:CO147))</f>
        <v>0</v>
      </c>
      <c r="CQ147" s="446">
        <f>IF($E147=0,0,IF(MIN(CQ$38,$E147)&lt;MAX($P$34*($B147+$I$38-1),IF(AND($L$37=0,$P$34=0),"",$L$37-1)),0,YEARFRAC(MAX($P$34*($B147+$I$38-1),IF(AND($L$37=0,$P$34=0),"",$L$37-1)),MIN(CQ$38,$E147),$P$20))-SUM($BF147:CP147))</f>
        <v>0</v>
      </c>
    </row>
    <row r="148" spans="1:95" s="446" customFormat="1" ht="11.25" hidden="1" customHeight="1" x14ac:dyDescent="0.2">
      <c r="A148" s="152"/>
      <c r="B148" s="153" t="str">
        <f t="shared" si="26"/>
        <v/>
      </c>
      <c r="C148" s="29" t="str">
        <f>IF(B148="","",IF($L$35="SELIC - TRIBUTOS",VLOOKUP(DATE(YEAR($D$19),MONTH($D$19)-1,1),ÍNDICES!$A:$DE,HLOOKUP($BL$25,ÍNDICES!$B$3:$T$4,2)+11)-VLOOKUP(B148,ÍNDICES!$A:$DE,HLOOKUP($BL$25,ÍNDICES!$B$3:$T$4,2)+11)+1%,IF(C$38=$W$26,$J$35,IF(ISERROR(IF(B148&gt;$D$19,1,VLOOKUP(DATE(YEAR(B148),MONTH(B148)+IF($C$35=$S$23,1,0),1),ÍNDICES!$A:$DE,$Z$35+1))),"",IF(B148&gt;$D$19,1,VLOOKUP(DATE(YEAR(B148),MONTH(B148)+IF($C$35=$S$23,1,0),1),ÍNDICES!$A:$DE,$Z$35+1))))))</f>
        <v/>
      </c>
      <c r="D148" s="154" t="str">
        <f>IF(ISERROR(IF(OR($D$38=$Y$27,$B148=""),"",VLOOKUP(B148,ÍNDICES!A:DE,AF$35+1))),"",IF(OR($D$38=$Y$27,$B148=""),"",VLOOKUP(B148,ÍNDICES!A:DE,AF$35+1)))</f>
        <v/>
      </c>
      <c r="E148" s="153"/>
      <c r="F148" s="29" t="str">
        <f>IF(E148="","",IF($L$35="SELIC - TRIBUTOS",VLOOKUP(DATE(YEAR($D$19),MONTH($D$19)-1,1),ÍNDICES!$A:$DE,HLOOKUP($BL$25,ÍNDICES!$B$3:$T$4,2)+11)-VLOOKUP(E148,ÍNDICES!$A:$DE,HLOOKUP($BL$25,ÍNDICES!$B$3:$T$4,2)+11)+1%,IF(F$38=$W$26,$J$35,IF(ISERROR(IF(E148&gt;$D$19,1,VLOOKUP(DATE(YEAR(E148),MONTH(E148)+IF($C$35=$S$23,1,0),1),ÍNDICES!$A:$DE,$Z$35+1))),"",IF(E148&gt;$D$19,1,VLOOKUP(DATE(YEAR(E148),MONTH(E148)+IF($C$35=$S$23,1,0),1),ÍNDICES!$A:$DE,$Z$35+1))))))</f>
        <v/>
      </c>
      <c r="G148" s="155"/>
      <c r="H148" s="156" t="str">
        <f t="shared" si="22"/>
        <v/>
      </c>
      <c r="I148" s="29" t="str">
        <f t="shared" si="16"/>
        <v/>
      </c>
      <c r="J148" s="5">
        <f t="shared" si="17"/>
        <v>0</v>
      </c>
      <c r="K148" s="20">
        <f t="shared" ca="1" si="18"/>
        <v>0</v>
      </c>
      <c r="L148" s="5">
        <f t="shared" ca="1" si="19"/>
        <v>0</v>
      </c>
      <c r="M148" s="64">
        <f t="shared" si="23"/>
        <v>0</v>
      </c>
      <c r="N148" s="61">
        <f t="shared" ca="1" si="24"/>
        <v>0</v>
      </c>
      <c r="O148" s="5">
        <f t="shared" ca="1" si="25"/>
        <v>0</v>
      </c>
      <c r="P148" s="446" t="e">
        <f t="shared" si="20"/>
        <v>#VALUE!</v>
      </c>
      <c r="Q148" s="446" t="e">
        <f>IF(OR($B148="",MIN(Q$38,$D$19)&lt;MAX($P$34*($B148+IF($R$17="Distrato",$I$38-1,0)),IF(AND($L$37=0,$P$34=0),"",$L$37-1),IF($R$17="Distrato",$E148,0))),0,YEARFRAC(MAX($P$34*($B148+IF($R$17="Distrato",$I$38-1,0)),IF(AND($L$37=0,$P$34=0),"",$L$37-1),IF($R$17="Distrato",$E148,0)),MIN(Q$38,$D$19),$P$20))-SUM($P148:P148)</f>
        <v>#VALUE!</v>
      </c>
      <c r="R148" s="446" t="e">
        <f>IF(OR($B148="",MIN(R$38,$D$19)&lt;MAX($P$34*($B148+IF($R$17="Distrato",$I$38-1,0)),IF(AND($L$37=0,$P$34=0),"",$L$37-1),IF($R$17="Distrato",$E148,0))),0,YEARFRAC(MAX($P$34*($B148+IF($R$17="Distrato",$I$38-1,0)),IF(AND($L$37=0,$P$34=0),"",$L$37-1),IF($R$17="Distrato",$E148,0)),MIN(R$38,$D$19),$P$20))-SUM($P148:Q148)</f>
        <v>#VALUE!</v>
      </c>
      <c r="S148" s="446" t="e">
        <f>IF(OR($B148="",MIN(S$38,$D$19)&lt;MAX($P$34*($B148+IF($R$17="Distrato",$I$38-1,0)),IF(AND($L$37=0,$P$34=0),"",$L$37-1),IF($R$17="Distrato",$E148,0))),0,YEARFRAC(MAX($P$34*($B148+IF($R$17="Distrato",$I$38-1,0)),IF(AND($L$37=0,$P$34=0),"",$L$37-1),IF($R$17="Distrato",$E148,0)),MIN(S$38,$D$19),$P$20))-SUM($P148:R148)</f>
        <v>#VALUE!</v>
      </c>
      <c r="T148" s="446" t="e">
        <f>IF(OR($B148="",MIN(T$38,$D$19)&lt;MAX($P$34*($B148+IF($R$17="Distrato",$I$38-1,0)),IF(AND($L$37=0,$P$34=0),"",$L$37-1),IF($R$17="Distrato",$E148,0))),0,YEARFRAC(MAX($P$34*($B148+IF($R$17="Distrato",$I$38-1,0)),IF(AND($L$37=0,$P$34=0),"",$L$37-1),IF($R$17="Distrato",$E148,0)),MIN(T$38,$D$19),$P$20))-SUM($P148:S148)</f>
        <v>#VALUE!</v>
      </c>
      <c r="U148" s="446" t="e">
        <f>IF(OR($B148="",MIN(U$38,$D$19)&lt;MAX($P$34*($B148+IF($R$17="Distrato",$I$38-1,0)),IF(AND($L$37=0,$P$34=0),"",$L$37-1),IF($R$17="Distrato",$E148,0))),0,YEARFRAC(MAX($P$34*($B148+IF($R$17="Distrato",$I$38-1,0)),IF(AND($L$37=0,$P$34=0),"",$L$37-1),IF($R$17="Distrato",$E148,0)),MIN(U$38,$D$19),$P$20))-SUM($P148:T148)</f>
        <v>#VALUE!</v>
      </c>
      <c r="V148" s="446" t="e">
        <f>IF(OR($B148="",MIN(V$38,$D$19)&lt;MAX($P$34*($B148+IF($R$17="Distrato",$I$38-1,0)),IF(AND($L$37=0,$P$34=0),"",$L$37-1),IF($R$17="Distrato",$E148,0))),0,YEARFRAC(MAX($P$34*($B148+IF($R$17="Distrato",$I$38-1,0)),IF(AND($L$37=0,$P$34=0),"",$L$37-1),IF($R$17="Distrato",$E148,0)),MIN(V$38,$D$19),$P$20))-SUM($P148:U148)</f>
        <v>#VALUE!</v>
      </c>
      <c r="W148" s="446" t="e">
        <f>IF(OR($B148="",MIN(W$38,$D$19)&lt;MAX($P$34*($B148+IF($R$17="Distrato",$I$38-1,0)),IF(AND($L$37=0,$P$34=0),"",$L$37-1),IF($R$17="Distrato",$E148,0))),0,YEARFRAC(MAX($P$34*($B148+IF($R$17="Distrato",$I$38-1,0)),IF(AND($L$37=0,$P$34=0),"",$L$37-1),IF($R$17="Distrato",$E148,0)),MIN(W$38,$D$19),$P$20))-SUM($P148:V148)</f>
        <v>#VALUE!</v>
      </c>
      <c r="X148" s="446" t="e">
        <f>IF(OR($B148="",MIN(X$38,$D$19)&lt;MAX($P$34*($B148+IF($R$17="Distrato",$I$38-1,0)),IF(AND($L$37=0,$P$34=0),"",$L$37-1),IF($R$17="Distrato",$E148,0))),0,YEARFRAC(MAX($P$34*($B148+IF($R$17="Distrato",$I$38-1,0)),IF(AND($L$37=0,$P$34=0),"",$L$37-1),IF($R$17="Distrato",$E148,0)),MIN(X$38,$D$19),$P$20))-SUM($P148:W148)</f>
        <v>#VALUE!</v>
      </c>
      <c r="Y148" s="446" t="e">
        <f>IF(OR($B148="",MIN(Y$38,$D$19)&lt;MAX($P$34*($B148+IF($R$17="Distrato",$I$38-1,0)),IF(AND($L$37=0,$P$34=0),"",$L$37-1),IF($R$17="Distrato",$E148,0))),0,YEARFRAC(MAX($P$34*($B148+IF($R$17="Distrato",$I$38-1,0)),IF(AND($L$37=0,$P$34=0),"",$L$37-1),IF($R$17="Distrato",$E148,0)),MIN(Y$38,$D$19),$P$20))-SUM($P148:X148)</f>
        <v>#VALUE!</v>
      </c>
      <c r="Z148" s="446" t="e">
        <f>IF(OR($B148="",MIN(Z$38,$D$19)&lt;MAX($P$34*($B148+IF($R$17="Distrato",$I$38-1,0)),IF(AND($L$37=0,$P$34=0),"",$L$37-1),IF($R$17="Distrato",$E148,0))),0,YEARFRAC(MAX($P$34*($B148+IF($R$17="Distrato",$I$38-1,0)),IF(AND($L$37=0,$P$34=0),"",$L$37-1),IF($R$17="Distrato",$E148,0)),MIN(Z$38,$D$19),$P$20))-SUM($P148:Y148)</f>
        <v>#VALUE!</v>
      </c>
      <c r="AA148" s="446" t="e">
        <f>IF(OR($B148="",MIN(AA$38,$D$19)&lt;MAX($P$34*($B148+IF($R$17="Distrato",$I$38-1,0)),IF(AND($L$37=0,$P$34=0),"",$L$37-1),IF($R$17="Distrato",$E148,0))),0,YEARFRAC(MAX($P$34*($B148+IF($R$17="Distrato",$I$38-1,0)),IF(AND($L$37=0,$P$34=0),"",$L$37-1),IF($R$17="Distrato",$E148,0)),MIN(AA$38,$D$19),$P$20))-SUM($P148:Z148)</f>
        <v>#VALUE!</v>
      </c>
      <c r="AB148" s="446" t="e">
        <f>IF(OR($B148="",MIN(AB$38,$D$19)&lt;MAX($P$34*($B148+IF($R$17="Distrato",$I$38-1,0)),IF(AND($L$37=0,$P$34=0),"",$L$37-1),IF($R$17="Distrato",$E148,0))),0,YEARFRAC(MAX($P$34*($B148+IF($R$17="Distrato",$I$38-1,0)),IF(AND($L$37=0,$P$34=0),"",$L$37-1),IF($R$17="Distrato",$E148,0)),MIN(AB$38,$D$19),$P$20))-SUM($P148:AA148)</f>
        <v>#VALUE!</v>
      </c>
      <c r="AC148" s="446" t="e">
        <f>IF(OR($B148="",MIN(AC$38,$D$19)&lt;MAX($P$34*($B148+IF($R$17="Distrato",$I$38-1,0)),IF(AND($L$37=0,$P$34=0),"",$L$37-1),IF($R$17="Distrato",$E148,0))),0,YEARFRAC(MAX($P$34*($B148+IF($R$17="Distrato",$I$38-1,0)),IF(AND($L$37=0,$P$34=0),"",$L$37-1),IF($R$17="Distrato",$E148,0)),MIN(AC$38,$D$19),$P$20))-SUM($P148:AB148)</f>
        <v>#VALUE!</v>
      </c>
      <c r="AD148" s="446" t="e">
        <f>IF(OR($B148="",MIN(AD$38,$D$19)&lt;MAX($P$34*($B148+IF($R$17="Distrato",$I$38-1,0)),IF(AND($L$37=0,$P$34=0),"",$L$37-1),IF($R$17="Distrato",$E148,0))),0,YEARFRAC(MAX($P$34*($B148+IF($R$17="Distrato",$I$38-1,0)),IF(AND($L$37=0,$P$34=0),"",$L$37-1),IF($R$17="Distrato",$E148,0)),MIN(AD$38,$D$19),$P$20))-SUM($P148:AC148)</f>
        <v>#VALUE!</v>
      </c>
      <c r="AE148" s="446" t="e">
        <f>IF(OR($B148="",MIN(AE$38,$D$19)&lt;MAX($P$34*($B148+IF($R$17="Distrato",$I$38-1,0)),IF(AND($L$37=0,$P$34=0),"",$L$37-1),IF($R$17="Distrato",$E148,0))),0,YEARFRAC(MAX($P$34*($B148+IF($R$17="Distrato",$I$38-1,0)),IF(AND($L$37=0,$P$34=0),"",$L$37-1),IF($R$17="Distrato",$E148,0)),MIN(AE$38,$D$19),$P$20))-SUM($P148:AD148)</f>
        <v>#VALUE!</v>
      </c>
      <c r="AF148" s="446" t="e">
        <f>IF(OR($B148="",MIN(AF$38,$D$19)&lt;MAX($P$34*($B148+IF($R$17="Distrato",$I$38-1,0)),IF(AND($L$37=0,$P$34=0),"",$L$37-1),IF($R$17="Distrato",$E148,0))),0,YEARFRAC(MAX($P$34*($B148+IF($R$17="Distrato",$I$38-1,0)),IF(AND($L$37=0,$P$34=0),"",$L$37-1),IF($R$17="Distrato",$E148,0)),MIN(AF$38,$D$19),$P$20))-SUM($P148:AE148)</f>
        <v>#VALUE!</v>
      </c>
      <c r="AG148" s="446" t="e">
        <f>IF(OR($B148="",MIN(AG$38,$D$19)&lt;MAX($P$34*($B148+IF($R$17="Distrato",$I$38-1,0)),IF(AND($L$37=0,$P$34=0),"",$L$37-1),IF($R$17="Distrato",$E148,0))),0,YEARFRAC(MAX($P$34*($B148+IF($R$17="Distrato",$I$38-1,0)),IF(AND($L$37=0,$P$34=0),"",$L$37-1),IF($R$17="Distrato",$E148,0)),MIN(AG$38,$D$19),$P$20))-SUM($P148:AF148)</f>
        <v>#VALUE!</v>
      </c>
      <c r="AH148" s="446" t="e">
        <f>IF(OR($B148="",MIN(AH$38,$D$19)&lt;MAX($P$34*($B148+IF($R$17="Distrato",$I$38-1,0)),IF(AND($L$37=0,$P$34=0),"",$L$37-1),IF($R$17="Distrato",$E148,0))),0,YEARFRAC(MAX($P$34*($B148+IF($R$17="Distrato",$I$38-1,0)),IF(AND($L$37=0,$P$34=0),"",$L$37-1),IF($R$17="Distrato",$E148,0)),MIN(AH$38,$D$19),$P$20))-SUM($P148:AG148)</f>
        <v>#VALUE!</v>
      </c>
      <c r="AI148" s="446" t="e">
        <f>IF(OR($B148="",MIN(AI$38,$D$19)&lt;MAX($P$34*($B148+IF($R$17="Distrato",$I$38-1,0)),IF(AND($L$37=0,$P$34=0),"",$L$37-1),IF($R$17="Distrato",$E148,0))),0,YEARFRAC(MAX($P$34*($B148+IF($R$17="Distrato",$I$38-1,0)),IF(AND($L$37=0,$P$34=0),"",$L$37-1),IF($R$17="Distrato",$E148,0)),MIN(AI$38,$D$19),$P$20))-SUM($P148:AH148)</f>
        <v>#VALUE!</v>
      </c>
      <c r="AJ148" s="446" t="e">
        <f>IF(OR($B148="",MIN(AJ$38,$D$19)&lt;MAX($P$34*($B148+IF($R$17="Distrato",$I$38-1,0)),IF(AND($L$37=0,$P$34=0),"",$L$37-1),IF($R$17="Distrato",$E148,0))),0,YEARFRAC(MAX($P$34*($B148+IF($R$17="Distrato",$I$38-1,0)),IF(AND($L$37=0,$P$34=0),"",$L$37-1),IF($R$17="Distrato",$E148,0)),MIN(AJ$38,$D$19),$P$20))-SUM($P148:AI148)</f>
        <v>#VALUE!</v>
      </c>
      <c r="AK148" s="446" t="e">
        <f>IF(OR($B148="",MIN(AK$38,$D$19)&lt;MAX($P$34*($B148+IF($R$17="Distrato",$I$38-1,0)),IF(AND($L$37=0,$P$34=0),"",$L$37-1),IF($R$17="Distrato",$E148,0))),0,YEARFRAC(MAX($P$34*($B148+IF($R$17="Distrato",$I$38-1,0)),IF(AND($L$37=0,$P$34=0),"",$L$37-1),IF($R$17="Distrato",$E148,0)),MIN(AK$38,$D$19),$P$20))-SUM($P148:AJ148)</f>
        <v>#VALUE!</v>
      </c>
      <c r="AL148" s="446" t="e">
        <f>IF(OR($B148="",MIN(AL$38,$D$19)&lt;MAX($P$34*($B148+IF($R$17="Distrato",$I$38-1,0)),IF(AND($L$37=0,$P$34=0),"",$L$37-1),IF($R$17="Distrato",$E148,0))),0,YEARFRAC(MAX($P$34*($B148+IF($R$17="Distrato",$I$38-1,0)),IF(AND($L$37=0,$P$34=0),"",$L$37-1),IF($R$17="Distrato",$E148,0)),MIN(AL$38,$D$19),$P$20))-SUM($P148:AK148)</f>
        <v>#VALUE!</v>
      </c>
      <c r="AM148" s="446" t="e">
        <f>IF(OR($B148="",MIN(AM$38,$D$19)&lt;MAX($P$34*($B148+IF($R$17="Distrato",$I$38-1,0)),IF(AND($L$37=0,$P$34=0),"",$L$37-1),IF($R$17="Distrato",$E148,0))),0,YEARFRAC(MAX($P$34*($B148+IF($R$17="Distrato",$I$38-1,0)),IF(AND($L$37=0,$P$34=0),"",$L$37-1),IF($R$17="Distrato",$E148,0)),MIN(AM$38,$D$19),$P$20))-SUM($P148:AL148)</f>
        <v>#VALUE!</v>
      </c>
      <c r="AN148" s="446" t="e">
        <f>IF(OR($B148="",MIN(AN$38,$D$19)&lt;MAX($P$34*($B148+IF($R$17="Distrato",$I$38-1,0)),IF(AND($L$37=0,$P$34=0),"",$L$37-1),IF($R$17="Distrato",$E148,0))),0,YEARFRAC(MAX($P$34*($B148+IF($R$17="Distrato",$I$38-1,0)),IF(AND($L$37=0,$P$34=0),"",$L$37-1),IF($R$17="Distrato",$E148,0)),MIN(AN$38,$D$19),$P$20))-SUM($P148:AM148)</f>
        <v>#VALUE!</v>
      </c>
      <c r="AO148" s="446" t="e">
        <f>IF(OR($B148="",MIN(AO$38,$D$19)&lt;MAX($P$34*($B148+IF($R$17="Distrato",$I$38-1,0)),IF(AND($L$37=0,$P$34=0),"",$L$37-1),IF($R$17="Distrato",$E148,0))),0,YEARFRAC(MAX($P$34*($B148+IF($R$17="Distrato",$I$38-1,0)),IF(AND($L$37=0,$P$34=0),"",$L$37-1),IF($R$17="Distrato",$E148,0)),MIN(AO$38,$D$19),$P$20))-SUM($P148:AN148)</f>
        <v>#VALUE!</v>
      </c>
      <c r="AP148" s="446" t="e">
        <f>IF(OR($B148="",MIN(AP$38,$D$19)&lt;MAX($P$34*($B148+IF($R$17="Distrato",$I$38-1,0)),IF(AND($L$37=0,$P$34=0),"",$L$37-1),IF($R$17="Distrato",$E148,0))),0,YEARFRAC(MAX($P$34*($B148+IF($R$17="Distrato",$I$38-1,0)),IF(AND($L$37=0,$P$34=0),"",$L$37-1),IF($R$17="Distrato",$E148,0)),MIN(AP$38,$D$19),$P$20))-SUM($P148:AO148)</f>
        <v>#VALUE!</v>
      </c>
      <c r="AQ148" s="446" t="e">
        <f>IF(OR($B148="",MIN(AQ$38,$D$19)&lt;MAX($P$34*($B148+IF($R$17="Distrato",$I$38-1,0)),IF(AND($L$37=0,$P$34=0),"",$L$37-1),IF($R$17="Distrato",$E148,0))),0,YEARFRAC(MAX($P$34*($B148+IF($R$17="Distrato",$I$38-1,0)),IF(AND($L$37=0,$P$34=0),"",$L$37-1),IF($R$17="Distrato",$E148,0)),MIN(AQ$38,$D$19),$P$20))-SUM($P148:AP148)</f>
        <v>#VALUE!</v>
      </c>
      <c r="AR148" s="446" t="e">
        <f>IF(OR($B148="",MIN(AR$38,$D$19)&lt;MAX($P$34*($B148+IF($R$17="Distrato",$I$38-1,0)),IF(AND($L$37=0,$P$34=0),"",$L$37-1),IF($R$17="Distrato",$E148,0))),0,YEARFRAC(MAX($P$34*($B148+IF($R$17="Distrato",$I$38-1,0)),IF(AND($L$37=0,$P$34=0),"",$L$37-1),IF($R$17="Distrato",$E148,0)),MIN(AR$38,$D$19),$P$20))-SUM($P148:AQ148)</f>
        <v>#VALUE!</v>
      </c>
      <c r="AS148" s="446" t="e">
        <f>IF(OR($B148="",MIN(AS$38,$D$19)&lt;MAX($P$34*($B148+IF($R$17="Distrato",$I$38-1,0)),IF(AND($L$37=0,$P$34=0),"",$L$37-1),IF($R$17="Distrato",$E148,0))),0,YEARFRAC(MAX($P$34*($B148+IF($R$17="Distrato",$I$38-1,0)),IF(AND($L$37=0,$P$34=0),"",$L$37-1),IF($R$17="Distrato",$E148,0)),MIN(AS$38,$D$19),$P$20))-SUM($P148:AR148)</f>
        <v>#VALUE!</v>
      </c>
      <c r="AT148" s="446" t="e">
        <f>IF(OR($B148="",MIN(AT$38,$D$19)&lt;MAX($P$34*($B148+IF($R$17="Distrato",$I$38-1,0)),IF(AND($L$37=0,$P$34=0),"",$L$37-1),IF($R$17="Distrato",$E148,0))),0,YEARFRAC(MAX($P$34*($B148+IF($R$17="Distrato",$I$38-1,0)),IF(AND($L$37=0,$P$34=0),"",$L$37-1),IF($R$17="Distrato",$E148,0)),MIN(AT$38,$D$19),$P$20))-SUM($P148:AS148)</f>
        <v>#VALUE!</v>
      </c>
      <c r="AU148" s="446" t="e">
        <f>IF(OR($B148="",MIN(AU$38,$D$19)&lt;MAX($P$34*($B148+IF($R$17="Distrato",$I$38-1,0)),IF(AND($L$37=0,$P$34=0),"",$L$37-1),IF($R$17="Distrato",$E148,0))),0,YEARFRAC(MAX($P$34*($B148+IF($R$17="Distrato",$I$38-1,0)),IF(AND($L$37=0,$P$34=0),"",$L$37-1),IF($R$17="Distrato",$E148,0)),MIN(AU$38,$D$19),$P$20))-SUM($P148:AT148)</f>
        <v>#VALUE!</v>
      </c>
      <c r="AV148" s="446" t="e">
        <f>IF(OR($B148="",MIN(AV$38,$D$19)&lt;MAX($P$34*($B148+IF($R$17="Distrato",$I$38-1,0)),IF(AND($L$37=0,$P$34=0),"",$L$37-1),IF($R$17="Distrato",$E148,0))),0,YEARFRAC(MAX($P$34*($B148+IF($R$17="Distrato",$I$38-1,0)),IF(AND($L$37=0,$P$34=0),"",$L$37-1),IF($R$17="Distrato",$E148,0)),MIN(AV$38,$D$19),$P$20))-SUM($P148:AU148)</f>
        <v>#VALUE!</v>
      </c>
      <c r="AW148" s="446" t="e">
        <f>IF(OR($B148="",MIN(AW$38,$D$19)&lt;MAX($P$34*($B148+IF($R$17="Distrato",$I$38-1,0)),IF(AND($L$37=0,$P$34=0),"",$L$37-1),IF($R$17="Distrato",$E148,0))),0,YEARFRAC(MAX($P$34*($B148+IF($R$17="Distrato",$I$38-1,0)),IF(AND($L$37=0,$P$34=0),"",$L$37-1),IF($R$17="Distrato",$E148,0)),MIN(AW$38,$D$19),$P$20))-SUM($P148:AV148)</f>
        <v>#VALUE!</v>
      </c>
      <c r="AX148" s="446" t="e">
        <f>IF(OR($B148="",MIN(AX$38,$D$19)&lt;MAX($P$34*($B148+IF($R$17="Distrato",$I$38-1,0)),IF(AND($L$37=0,$P$34=0),"",$L$37-1),IF($R$17="Distrato",$E148,0))),0,YEARFRAC(MAX($P$34*($B148+IF($R$17="Distrato",$I$38-1,0)),IF(AND($L$37=0,$P$34=0),"",$L$37-1),IF($R$17="Distrato",$E148,0)),MIN(AX$38,$D$19),$P$20))-SUM($P148:AW148)</f>
        <v>#VALUE!</v>
      </c>
      <c r="AY148" s="446" t="e">
        <f>IF(OR($B148="",MIN(AY$38,$D$19)&lt;MAX($P$34*($B148+IF($R$17="Distrato",$I$38-1,0)),IF(AND($L$37=0,$P$34=0),"",$L$37-1),IF($R$17="Distrato",$E148,0))),0,YEARFRAC(MAX($P$34*($B148+IF($R$17="Distrato",$I$38-1,0)),IF(AND($L$37=0,$P$34=0),"",$L$37-1),IF($R$17="Distrato",$E148,0)),MIN(AY$38,$D$19),$P$20))-SUM($P148:AX148)</f>
        <v>#VALUE!</v>
      </c>
      <c r="AZ148" s="446" t="e">
        <f>IF(OR($B148="",MIN(AZ$38,$D$19)&lt;MAX($P$34*($B148+IF($R$17="Distrato",$I$38-1,0)),IF(AND($L$37=0,$P$34=0),"",$L$37-1),IF($R$17="Distrato",$E148,0))),0,YEARFRAC(MAX($P$34*($B148+IF($R$17="Distrato",$I$38-1,0)),IF(AND($L$37=0,$P$34=0),"",$L$37-1),IF($R$17="Distrato",$E148,0)),MIN(AZ$38,$D$19),$P$20))-SUM($P148:AY148)</f>
        <v>#VALUE!</v>
      </c>
      <c r="BA148" s="446" t="e">
        <f>IF(OR($B148="",MIN(BA$38,$D$19)&lt;MAX($P$34*($B148+IF($R$17="Distrato",$I$38-1,0)),IF(AND($L$37=0,$P$34=0),"",$L$37-1),IF($R$17="Distrato",$E148,0))),0,YEARFRAC(MAX($P$34*($B148+IF($R$17="Distrato",$I$38-1,0)),IF(AND($L$37=0,$P$34=0),"",$L$37-1),IF($R$17="Distrato",$E148,0)),MIN(BA$38,$D$19),$P$20))-SUM($P148:AZ148)</f>
        <v>#VALUE!</v>
      </c>
      <c r="BB148" s="447"/>
      <c r="BF148" s="446">
        <f t="shared" si="21"/>
        <v>0</v>
      </c>
      <c r="BG148" s="446">
        <f>IF($E148=0,0,IF(MIN(BG$38,$E148)&lt;MAX($P$34*($B148+$I$38-1),IF(AND($L$37=0,$P$34=0),"",$L$37-1)),0,YEARFRAC(MAX($P$34*($B148+$I$38-1),IF(AND($L$37=0,$P$34=0),"",$L$37-1)),MIN(BG$38,$E148),$P$20))-SUM($BF148:BF148))</f>
        <v>0</v>
      </c>
      <c r="BH148" s="446">
        <f>IF($E148=0,0,IF(MIN(BH$38,$E148)&lt;MAX($P$34*($B148+$I$38-1),IF(AND($L$37=0,$P$34=0),"",$L$37-1)),0,YEARFRAC(MAX($P$34*($B148+$I$38-1),IF(AND($L$37=0,$P$34=0),"",$L$37-1)),MIN(BH$38,$E148),$P$20))-SUM($BF148:BG148))</f>
        <v>0</v>
      </c>
      <c r="BI148" s="446">
        <f>IF($E148=0,0,IF(MIN(BI$38,$E148)&lt;MAX($P$34*($B148+$I$38-1),IF(AND($L$37=0,$P$34=0),"",$L$37-1)),0,YEARFRAC(MAX($P$34*($B148+$I$38-1),IF(AND($L$37=0,$P$34=0),"",$L$37-1)),MIN(BI$38,$E148),$P$20))-SUM($BF148:BH148))</f>
        <v>0</v>
      </c>
      <c r="BJ148" s="446">
        <f>IF($E148=0,0,IF(MIN(BJ$38,$E148)&lt;MAX($P$34*($B148+$I$38-1),IF(AND($L$37=0,$P$34=0),"",$L$37-1)),0,YEARFRAC(MAX($P$34*($B148+$I$38-1),IF(AND($L$37=0,$P$34=0),"",$L$37-1)),MIN(BJ$38,$E148),$P$20))-SUM($BF148:BI148))</f>
        <v>0</v>
      </c>
      <c r="BK148" s="446">
        <f>IF($E148=0,0,IF(MIN(BK$38,$E148)&lt;MAX($P$34*($B148+$I$38-1),IF(AND($L$37=0,$P$34=0),"",$L$37-1)),0,YEARFRAC(MAX($P$34*($B148+$I$38-1),IF(AND($L$37=0,$P$34=0),"",$L$37-1)),MIN(BK$38,$E148),$P$20))-SUM($BF148:BJ148))</f>
        <v>0</v>
      </c>
      <c r="BL148" s="446">
        <f>IF($E148=0,0,IF(MIN(BL$38,$E148)&lt;MAX($P$34*($B148+$I$38-1),IF(AND($L$37=0,$P$34=0),"",$L$37-1)),0,YEARFRAC(MAX($P$34*($B148+$I$38-1),IF(AND($L$37=0,$P$34=0),"",$L$37-1)),MIN(BL$38,$E148),$P$20))-SUM($BF148:BK148))</f>
        <v>0</v>
      </c>
      <c r="BM148" s="446">
        <f>IF($E148=0,0,IF(MIN(BM$38,$E148)&lt;MAX($P$34*($B148+$I$38-1),IF(AND($L$37=0,$P$34=0),"",$L$37-1)),0,YEARFRAC(MAX($P$34*($B148+$I$38-1),IF(AND($L$37=0,$P$34=0),"",$L$37-1)),MIN(BM$38,$E148),$P$20))-SUM($BF148:BL148))</f>
        <v>0</v>
      </c>
      <c r="BN148" s="446">
        <f>IF($E148=0,0,IF(MIN(BN$38,$E148)&lt;MAX($P$34*($B148+$I$38-1),IF(AND($L$37=0,$P$34=0),"",$L$37-1)),0,YEARFRAC(MAX($P$34*($B148+$I$38-1),IF(AND($L$37=0,$P$34=0),"",$L$37-1)),MIN(BN$38,$E148),$P$20))-SUM($BF148:BM148))</f>
        <v>0</v>
      </c>
      <c r="BO148" s="446">
        <f>IF($E148=0,0,IF(MIN(BO$38,$E148)&lt;MAX($P$34*($B148+$I$38-1),IF(AND($L$37=0,$P$34=0),"",$L$37-1)),0,YEARFRAC(MAX($P$34*($B148+$I$38-1),IF(AND($L$37=0,$P$34=0),"",$L$37-1)),MIN(BO$38,$E148),$P$20))-SUM($BF148:BN148))</f>
        <v>0</v>
      </c>
      <c r="BP148" s="446">
        <f>IF($E148=0,0,IF(MIN(BP$38,$E148)&lt;MAX($P$34*($B148+$I$38-1),IF(AND($L$37=0,$P$34=0),"",$L$37-1)),0,YEARFRAC(MAX($P$34*($B148+$I$38-1),IF(AND($L$37=0,$P$34=0),"",$L$37-1)),MIN(BP$38,$E148),$P$20))-SUM($BF148:BO148))</f>
        <v>0</v>
      </c>
      <c r="BQ148" s="446">
        <f>IF($E148=0,0,IF(MIN(BQ$38,$E148)&lt;MAX($P$34*($B148+$I$38-1),IF(AND($L$37=0,$P$34=0),"",$L$37-1)),0,YEARFRAC(MAX($P$34*($B148+$I$38-1),IF(AND($L$37=0,$P$34=0),"",$L$37-1)),MIN(BQ$38,$E148),$P$20))-SUM($BF148:BP148))</f>
        <v>0</v>
      </c>
      <c r="BR148" s="446">
        <f>IF($E148=0,0,IF(MIN(BR$38,$E148)&lt;MAX($P$34*($B148+$I$38-1),IF(AND($L$37=0,$P$34=0),"",$L$37-1)),0,YEARFRAC(MAX($P$34*($B148+$I$38-1),IF(AND($L$37=0,$P$34=0),"",$L$37-1)),MIN(BR$38,$E148),$P$20))-SUM($BF148:BQ148))</f>
        <v>0</v>
      </c>
      <c r="BS148" s="446">
        <f>IF($E148=0,0,IF(MIN(BS$38,$E148)&lt;MAX($P$34*($B148+$I$38-1),IF(AND($L$37=0,$P$34=0),"",$L$37-1)),0,YEARFRAC(MAX($P$34*($B148+$I$38-1),IF(AND($L$37=0,$P$34=0),"",$L$37-1)),MIN(BS$38,$E148),$P$20))-SUM($BF148:BR148))</f>
        <v>0</v>
      </c>
      <c r="BT148" s="446">
        <f>IF($E148=0,0,IF(MIN(BT$38,$E148)&lt;MAX($P$34*($B148+$I$38-1),IF(AND($L$37=0,$P$34=0),"",$L$37-1)),0,YEARFRAC(MAX($P$34*($B148+$I$38-1),IF(AND($L$37=0,$P$34=0),"",$L$37-1)),MIN(BT$38,$E148),$P$20))-SUM($BF148:BS148))</f>
        <v>0</v>
      </c>
      <c r="BU148" s="446">
        <f>IF($E148=0,0,IF(MIN(BU$38,$E148)&lt;MAX($P$34*($B148+$I$38-1),IF(AND($L$37=0,$P$34=0),"",$L$37-1)),0,YEARFRAC(MAX($P$34*($B148+$I$38-1),IF(AND($L$37=0,$P$34=0),"",$L$37-1)),MIN(BU$38,$E148),$P$20))-SUM($BF148:BT148))</f>
        <v>0</v>
      </c>
      <c r="BV148" s="446">
        <f>IF($E148=0,0,IF(MIN(BV$38,$E148)&lt;MAX($P$34*($B148+$I$38-1),IF(AND($L$37=0,$P$34=0),"",$L$37-1)),0,YEARFRAC(MAX($P$34*($B148+$I$38-1),IF(AND($L$37=0,$P$34=0),"",$L$37-1)),MIN(BV$38,$E148),$P$20))-SUM($BF148:BU148))</f>
        <v>0</v>
      </c>
      <c r="BW148" s="446">
        <f>IF($E148=0,0,IF(MIN(BW$38,$E148)&lt;MAX($P$34*($B148+$I$38-1),IF(AND($L$37=0,$P$34=0),"",$L$37-1)),0,YEARFRAC(MAX($P$34*($B148+$I$38-1),IF(AND($L$37=0,$P$34=0),"",$L$37-1)),MIN(BW$38,$E148),$P$20))-SUM($BF148:BV148))</f>
        <v>0</v>
      </c>
      <c r="BX148" s="446">
        <f>IF($E148=0,0,IF(MIN(BX$38,$E148)&lt;MAX($P$34*($B148+$I$38-1),IF(AND($L$37=0,$P$34=0),"",$L$37-1)),0,YEARFRAC(MAX($P$34*($B148+$I$38-1),IF(AND($L$37=0,$P$34=0),"",$L$37-1)),MIN(BX$38,$E148),$P$20))-SUM($BF148:BW148))</f>
        <v>0</v>
      </c>
      <c r="BY148" s="446">
        <f>IF($E148=0,0,IF(MIN(BY$38,$E148)&lt;MAX($P$34*($B148+$I$38-1),IF(AND($L$37=0,$P$34=0),"",$L$37-1)),0,YEARFRAC(MAX($P$34*($B148+$I$38-1),IF(AND($L$37=0,$P$34=0),"",$L$37-1)),MIN(BY$38,$E148),$P$20))-SUM($BF148:BX148))</f>
        <v>0</v>
      </c>
      <c r="BZ148" s="446">
        <f>IF($E148=0,0,IF(MIN(BZ$38,$E148)&lt;MAX($P$34*($B148+$I$38-1),IF(AND($L$37=0,$P$34=0),"",$L$37-1)),0,YEARFRAC(MAX($P$34*($B148+$I$38-1),IF(AND($L$37=0,$P$34=0),"",$L$37-1)),MIN(BZ$38,$E148),$P$20))-SUM($BF148:BY148))</f>
        <v>0</v>
      </c>
      <c r="CA148" s="446">
        <f>IF($E148=0,0,IF(MIN(CA$38,$E148)&lt;MAX($P$34*($B148+$I$38-1),IF(AND($L$37=0,$P$34=0),"",$L$37-1)),0,YEARFRAC(MAX($P$34*($B148+$I$38-1),IF(AND($L$37=0,$P$34=0),"",$L$37-1)),MIN(CA$38,$E148),$P$20))-SUM($BF148:BZ148))</f>
        <v>0</v>
      </c>
      <c r="CB148" s="446">
        <f>IF($E148=0,0,IF(MIN(CB$38,$E148)&lt;MAX($P$34*($B148+$I$38-1),IF(AND($L$37=0,$P$34=0),"",$L$37-1)),0,YEARFRAC(MAX($P$34*($B148+$I$38-1),IF(AND($L$37=0,$P$34=0),"",$L$37-1)),MIN(CB$38,$E148),$P$20))-SUM($BF148:CA148))</f>
        <v>0</v>
      </c>
      <c r="CC148" s="446">
        <f>IF($E148=0,0,IF(MIN(CC$38,$E148)&lt;MAX($P$34*($B148+$I$38-1),IF(AND($L$37=0,$P$34=0),"",$L$37-1)),0,YEARFRAC(MAX($P$34*($B148+$I$38-1),IF(AND($L$37=0,$P$34=0),"",$L$37-1)),MIN(CC$38,$E148),$P$20))-SUM($BF148:CB148))</f>
        <v>0</v>
      </c>
      <c r="CD148" s="446">
        <f>IF($E148=0,0,IF(MIN(CD$38,$E148)&lt;MAX($P$34*($B148+$I$38-1),IF(AND($L$37=0,$P$34=0),"",$L$37-1)),0,YEARFRAC(MAX($P$34*($B148+$I$38-1),IF(AND($L$37=0,$P$34=0),"",$L$37-1)),MIN(CD$38,$E148),$P$20))-SUM($BF148:CC148))</f>
        <v>0</v>
      </c>
      <c r="CE148" s="446">
        <f>IF($E148=0,0,IF(MIN(CE$38,$E148)&lt;MAX($P$34*($B148+$I$38-1),IF(AND($L$37=0,$P$34=0),"",$L$37-1)),0,YEARFRAC(MAX($P$34*($B148+$I$38-1),IF(AND($L$37=0,$P$34=0),"",$L$37-1)),MIN(CE$38,$E148),$P$20))-SUM($BF148:CD148))</f>
        <v>0</v>
      </c>
      <c r="CF148" s="446">
        <f>IF($E148=0,0,IF(MIN(CF$38,$E148)&lt;MAX($P$34*($B148+$I$38-1),IF(AND($L$37=0,$P$34=0),"",$L$37-1)),0,YEARFRAC(MAX($P$34*($B148+$I$38-1),IF(AND($L$37=0,$P$34=0),"",$L$37-1)),MIN(CF$38,$E148),$P$20))-SUM($BF148:CE148))</f>
        <v>0</v>
      </c>
      <c r="CG148" s="446">
        <f>IF($E148=0,0,IF(MIN(CG$38,$E148)&lt;MAX($P$34*($B148+$I$38-1),IF(AND($L$37=0,$P$34=0),"",$L$37-1)),0,YEARFRAC(MAX($P$34*($B148+$I$38-1),IF(AND($L$37=0,$P$34=0),"",$L$37-1)),MIN(CG$38,$E148),$P$20))-SUM($BF148:CF148))</f>
        <v>0</v>
      </c>
      <c r="CH148" s="446">
        <f>IF($E148=0,0,IF(MIN(CH$38,$E148)&lt;MAX($P$34*($B148+$I$38-1),IF(AND($L$37=0,$P$34=0),"",$L$37-1)),0,YEARFRAC(MAX($P$34*($B148+$I$38-1),IF(AND($L$37=0,$P$34=0),"",$L$37-1)),MIN(CH$38,$E148),$P$20))-SUM($BF148:CG148))</f>
        <v>0</v>
      </c>
      <c r="CI148" s="446">
        <f>IF($E148=0,0,IF(MIN(CI$38,$E148)&lt;MAX($P$34*($B148+$I$38-1),IF(AND($L$37=0,$P$34=0),"",$L$37-1)),0,YEARFRAC(MAX($P$34*($B148+$I$38-1),IF(AND($L$37=0,$P$34=0),"",$L$37-1)),MIN(CI$38,$E148),$P$20))-SUM($BF148:CH148))</f>
        <v>0</v>
      </c>
      <c r="CJ148" s="446">
        <f>IF($E148=0,0,IF(MIN(CJ$38,$E148)&lt;MAX($P$34*($B148+$I$38-1),IF(AND($L$37=0,$P$34=0),"",$L$37-1)),0,YEARFRAC(MAX($P$34*($B148+$I$38-1),IF(AND($L$37=0,$P$34=0),"",$L$37-1)),MIN(CJ$38,$E148),$P$20))-SUM($BF148:CI148))</f>
        <v>0</v>
      </c>
      <c r="CK148" s="446">
        <f>IF($E148=0,0,IF(MIN(CK$38,$E148)&lt;MAX($P$34*($B148+$I$38-1),IF(AND($L$37=0,$P$34=0),"",$L$37-1)),0,YEARFRAC(MAX($P$34*($B148+$I$38-1),IF(AND($L$37=0,$P$34=0),"",$L$37-1)),MIN(CK$38,$E148),$P$20))-SUM($BF148:CJ148))</f>
        <v>0</v>
      </c>
      <c r="CL148" s="446">
        <f>IF($E148=0,0,IF(MIN(CL$38,$E148)&lt;MAX($P$34*($B148+$I$38-1),IF(AND($L$37=0,$P$34=0),"",$L$37-1)),0,YEARFRAC(MAX($P$34*($B148+$I$38-1),IF(AND($L$37=0,$P$34=0),"",$L$37-1)),MIN(CL$38,$E148),$P$20))-SUM($BF148:CK148))</f>
        <v>0</v>
      </c>
      <c r="CM148" s="446">
        <f>IF($E148=0,0,IF(MIN(CM$38,$E148)&lt;MAX($P$34*($B148+$I$38-1),IF(AND($L$37=0,$P$34=0),"",$L$37-1)),0,YEARFRAC(MAX($P$34*($B148+$I$38-1),IF(AND($L$37=0,$P$34=0),"",$L$37-1)),MIN(CM$38,$E148),$P$20))-SUM($BF148:CL148))</f>
        <v>0</v>
      </c>
      <c r="CN148" s="446">
        <f>IF($E148=0,0,IF(MIN(CN$38,$E148)&lt;MAX($P$34*($B148+$I$38-1),IF(AND($L$37=0,$P$34=0),"",$L$37-1)),0,YEARFRAC(MAX($P$34*($B148+$I$38-1),IF(AND($L$37=0,$P$34=0),"",$L$37-1)),MIN(CN$38,$E148),$P$20))-SUM($BF148:CM148))</f>
        <v>0</v>
      </c>
      <c r="CO148" s="446">
        <f>IF($E148=0,0,IF(MIN(CO$38,$E148)&lt;MAX($P$34*($B148+$I$38-1),IF(AND($L$37=0,$P$34=0),"",$L$37-1)),0,YEARFRAC(MAX($P$34*($B148+$I$38-1),IF(AND($L$37=0,$P$34=0),"",$L$37-1)),MIN(CO$38,$E148),$P$20))-SUM($BF148:CN148))</f>
        <v>0</v>
      </c>
      <c r="CP148" s="446">
        <f>IF($E148=0,0,IF(MIN(CP$38,$E148)&lt;MAX($P$34*($B148+$I$38-1),IF(AND($L$37=0,$P$34=0),"",$L$37-1)),0,YEARFRAC(MAX($P$34*($B148+$I$38-1),IF(AND($L$37=0,$P$34=0),"",$L$37-1)),MIN(CP$38,$E148),$P$20))-SUM($BF148:CO148))</f>
        <v>0</v>
      </c>
      <c r="CQ148" s="446">
        <f>IF($E148=0,0,IF(MIN(CQ$38,$E148)&lt;MAX($P$34*($B148+$I$38-1),IF(AND($L$37=0,$P$34=0),"",$L$37-1)),0,YEARFRAC(MAX($P$34*($B148+$I$38-1),IF(AND($L$37=0,$P$34=0),"",$L$37-1)),MIN(CQ$38,$E148),$P$20))-SUM($BF148:CP148))</f>
        <v>0</v>
      </c>
    </row>
    <row r="149" spans="1:95" s="446" customFormat="1" ht="11.25" hidden="1" customHeight="1" x14ac:dyDescent="0.2">
      <c r="A149" s="152"/>
      <c r="B149" s="153" t="str">
        <f t="shared" si="26"/>
        <v/>
      </c>
      <c r="C149" s="29" t="str">
        <f>IF(B149="","",IF($L$35="SELIC - TRIBUTOS",VLOOKUP(DATE(YEAR($D$19),MONTH($D$19)-1,1),ÍNDICES!$A:$DE,HLOOKUP($BL$25,ÍNDICES!$B$3:$T$4,2)+11)-VLOOKUP(B149,ÍNDICES!$A:$DE,HLOOKUP($BL$25,ÍNDICES!$B$3:$T$4,2)+11)+1%,IF(C$38=$W$26,$J$35,IF(ISERROR(IF(B149&gt;$D$19,1,VLOOKUP(DATE(YEAR(B149),MONTH(B149)+IF($C$35=$S$23,1,0),1),ÍNDICES!$A:$DE,$Z$35+1))),"",IF(B149&gt;$D$19,1,VLOOKUP(DATE(YEAR(B149),MONTH(B149)+IF($C$35=$S$23,1,0),1),ÍNDICES!$A:$DE,$Z$35+1))))))</f>
        <v/>
      </c>
      <c r="D149" s="154" t="str">
        <f>IF(ISERROR(IF(OR($D$38=$Y$27,$B149=""),"",VLOOKUP(B149,ÍNDICES!A:DE,AF$35+1))),"",IF(OR($D$38=$Y$27,$B149=""),"",VLOOKUP(B149,ÍNDICES!A:DE,AF$35+1)))</f>
        <v/>
      </c>
      <c r="E149" s="153"/>
      <c r="F149" s="29" t="str">
        <f>IF(E149="","",IF($L$35="SELIC - TRIBUTOS",VLOOKUP(DATE(YEAR($D$19),MONTH($D$19)-1,1),ÍNDICES!$A:$DE,HLOOKUP($BL$25,ÍNDICES!$B$3:$T$4,2)+11)-VLOOKUP(E149,ÍNDICES!$A:$DE,HLOOKUP($BL$25,ÍNDICES!$B$3:$T$4,2)+11)+1%,IF(F$38=$W$26,$J$35,IF(ISERROR(IF(E149&gt;$D$19,1,VLOOKUP(DATE(YEAR(E149),MONTH(E149)+IF($C$35=$S$23,1,0),1),ÍNDICES!$A:$DE,$Z$35+1))),"",IF(E149&gt;$D$19,1,VLOOKUP(DATE(YEAR(E149),MONTH(E149)+IF($C$35=$S$23,1,0),1),ÍNDICES!$A:$DE,$Z$35+1))))))</f>
        <v/>
      </c>
      <c r="G149" s="155"/>
      <c r="H149" s="156" t="str">
        <f t="shared" si="22"/>
        <v/>
      </c>
      <c r="I149" s="29" t="str">
        <f t="shared" si="16"/>
        <v/>
      </c>
      <c r="J149" s="5">
        <f t="shared" si="17"/>
        <v>0</v>
      </c>
      <c r="K149" s="20">
        <f t="shared" ca="1" si="18"/>
        <v>0</v>
      </c>
      <c r="L149" s="5">
        <f t="shared" ca="1" si="19"/>
        <v>0</v>
      </c>
      <c r="M149" s="64">
        <f t="shared" si="23"/>
        <v>0</v>
      </c>
      <c r="N149" s="61">
        <f t="shared" ca="1" si="24"/>
        <v>0</v>
      </c>
      <c r="O149" s="5">
        <f t="shared" ca="1" si="25"/>
        <v>0</v>
      </c>
      <c r="P149" s="446" t="e">
        <f t="shared" si="20"/>
        <v>#VALUE!</v>
      </c>
      <c r="Q149" s="446" t="e">
        <f>IF(OR($B149="",MIN(Q$38,$D$19)&lt;MAX($P$34*($B149+IF($R$17="Distrato",$I$38-1,0)),IF(AND($L$37=0,$P$34=0),"",$L$37-1),IF($R$17="Distrato",$E149,0))),0,YEARFRAC(MAX($P$34*($B149+IF($R$17="Distrato",$I$38-1,0)),IF(AND($L$37=0,$P$34=0),"",$L$37-1),IF($R$17="Distrato",$E149,0)),MIN(Q$38,$D$19),$P$20))-SUM($P149:P149)</f>
        <v>#VALUE!</v>
      </c>
      <c r="R149" s="446" t="e">
        <f>IF(OR($B149="",MIN(R$38,$D$19)&lt;MAX($P$34*($B149+IF($R$17="Distrato",$I$38-1,0)),IF(AND($L$37=0,$P$34=0),"",$L$37-1),IF($R$17="Distrato",$E149,0))),0,YEARFRAC(MAX($P$34*($B149+IF($R$17="Distrato",$I$38-1,0)),IF(AND($L$37=0,$P$34=0),"",$L$37-1),IF($R$17="Distrato",$E149,0)),MIN(R$38,$D$19),$P$20))-SUM($P149:Q149)</f>
        <v>#VALUE!</v>
      </c>
      <c r="S149" s="446" t="e">
        <f>IF(OR($B149="",MIN(S$38,$D$19)&lt;MAX($P$34*($B149+IF($R$17="Distrato",$I$38-1,0)),IF(AND($L$37=0,$P$34=0),"",$L$37-1),IF($R$17="Distrato",$E149,0))),0,YEARFRAC(MAX($P$34*($B149+IF($R$17="Distrato",$I$38-1,0)),IF(AND($L$37=0,$P$34=0),"",$L$37-1),IF($R$17="Distrato",$E149,0)),MIN(S$38,$D$19),$P$20))-SUM($P149:R149)</f>
        <v>#VALUE!</v>
      </c>
      <c r="T149" s="446" t="e">
        <f>IF(OR($B149="",MIN(T$38,$D$19)&lt;MAX($P$34*($B149+IF($R$17="Distrato",$I$38-1,0)),IF(AND($L$37=0,$P$34=0),"",$L$37-1),IF($R$17="Distrato",$E149,0))),0,YEARFRAC(MAX($P$34*($B149+IF($R$17="Distrato",$I$38-1,0)),IF(AND($L$37=0,$P$34=0),"",$L$37-1),IF($R$17="Distrato",$E149,0)),MIN(T$38,$D$19),$P$20))-SUM($P149:S149)</f>
        <v>#VALUE!</v>
      </c>
      <c r="U149" s="446" t="e">
        <f>IF(OR($B149="",MIN(U$38,$D$19)&lt;MAX($P$34*($B149+IF($R$17="Distrato",$I$38-1,0)),IF(AND($L$37=0,$P$34=0),"",$L$37-1),IF($R$17="Distrato",$E149,0))),0,YEARFRAC(MAX($P$34*($B149+IF($R$17="Distrato",$I$38-1,0)),IF(AND($L$37=0,$P$34=0),"",$L$37-1),IF($R$17="Distrato",$E149,0)),MIN(U$38,$D$19),$P$20))-SUM($P149:T149)</f>
        <v>#VALUE!</v>
      </c>
      <c r="V149" s="446" t="e">
        <f>IF(OR($B149="",MIN(V$38,$D$19)&lt;MAX($P$34*($B149+IF($R$17="Distrato",$I$38-1,0)),IF(AND($L$37=0,$P$34=0),"",$L$37-1),IF($R$17="Distrato",$E149,0))),0,YEARFRAC(MAX($P$34*($B149+IF($R$17="Distrato",$I$38-1,0)),IF(AND($L$37=0,$P$34=0),"",$L$37-1),IF($R$17="Distrato",$E149,0)),MIN(V$38,$D$19),$P$20))-SUM($P149:U149)</f>
        <v>#VALUE!</v>
      </c>
      <c r="W149" s="446" t="e">
        <f>IF(OR($B149="",MIN(W$38,$D$19)&lt;MAX($P$34*($B149+IF($R$17="Distrato",$I$38-1,0)),IF(AND($L$37=0,$P$34=0),"",$L$37-1),IF($R$17="Distrato",$E149,0))),0,YEARFRAC(MAX($P$34*($B149+IF($R$17="Distrato",$I$38-1,0)),IF(AND($L$37=0,$P$34=0),"",$L$37-1),IF($R$17="Distrato",$E149,0)),MIN(W$38,$D$19),$P$20))-SUM($P149:V149)</f>
        <v>#VALUE!</v>
      </c>
      <c r="X149" s="446" t="e">
        <f>IF(OR($B149="",MIN(X$38,$D$19)&lt;MAX($P$34*($B149+IF($R$17="Distrato",$I$38-1,0)),IF(AND($L$37=0,$P$34=0),"",$L$37-1),IF($R$17="Distrato",$E149,0))),0,YEARFRAC(MAX($P$34*($B149+IF($R$17="Distrato",$I$38-1,0)),IF(AND($L$37=0,$P$34=0),"",$L$37-1),IF($R$17="Distrato",$E149,0)),MIN(X$38,$D$19),$P$20))-SUM($P149:W149)</f>
        <v>#VALUE!</v>
      </c>
      <c r="Y149" s="446" t="e">
        <f>IF(OR($B149="",MIN(Y$38,$D$19)&lt;MAX($P$34*($B149+IF($R$17="Distrato",$I$38-1,0)),IF(AND($L$37=0,$P$34=0),"",$L$37-1),IF($R$17="Distrato",$E149,0))),0,YEARFRAC(MAX($P$34*($B149+IF($R$17="Distrato",$I$38-1,0)),IF(AND($L$37=0,$P$34=0),"",$L$37-1),IF($R$17="Distrato",$E149,0)),MIN(Y$38,$D$19),$P$20))-SUM($P149:X149)</f>
        <v>#VALUE!</v>
      </c>
      <c r="Z149" s="446" t="e">
        <f>IF(OR($B149="",MIN(Z$38,$D$19)&lt;MAX($P$34*($B149+IF($R$17="Distrato",$I$38-1,0)),IF(AND($L$37=0,$P$34=0),"",$L$37-1),IF($R$17="Distrato",$E149,0))),0,YEARFRAC(MAX($P$34*($B149+IF($R$17="Distrato",$I$38-1,0)),IF(AND($L$37=0,$P$34=0),"",$L$37-1),IF($R$17="Distrato",$E149,0)),MIN(Z$38,$D$19),$P$20))-SUM($P149:Y149)</f>
        <v>#VALUE!</v>
      </c>
      <c r="AA149" s="446" t="e">
        <f>IF(OR($B149="",MIN(AA$38,$D$19)&lt;MAX($P$34*($B149+IF($R$17="Distrato",$I$38-1,0)),IF(AND($L$37=0,$P$34=0),"",$L$37-1),IF($R$17="Distrato",$E149,0))),0,YEARFRAC(MAX($P$34*($B149+IF($R$17="Distrato",$I$38-1,0)),IF(AND($L$37=0,$P$34=0),"",$L$37-1),IF($R$17="Distrato",$E149,0)),MIN(AA$38,$D$19),$P$20))-SUM($P149:Z149)</f>
        <v>#VALUE!</v>
      </c>
      <c r="AB149" s="446" t="e">
        <f>IF(OR($B149="",MIN(AB$38,$D$19)&lt;MAX($P$34*($B149+IF($R$17="Distrato",$I$38-1,0)),IF(AND($L$37=0,$P$34=0),"",$L$37-1),IF($R$17="Distrato",$E149,0))),0,YEARFRAC(MAX($P$34*($B149+IF($R$17="Distrato",$I$38-1,0)),IF(AND($L$37=0,$P$34=0),"",$L$37-1),IF($R$17="Distrato",$E149,0)),MIN(AB$38,$D$19),$P$20))-SUM($P149:AA149)</f>
        <v>#VALUE!</v>
      </c>
      <c r="AC149" s="446" t="e">
        <f>IF(OR($B149="",MIN(AC$38,$D$19)&lt;MAX($P$34*($B149+IF($R$17="Distrato",$I$38-1,0)),IF(AND($L$37=0,$P$34=0),"",$L$37-1),IF($R$17="Distrato",$E149,0))),0,YEARFRAC(MAX($P$34*($B149+IF($R$17="Distrato",$I$38-1,0)),IF(AND($L$37=0,$P$34=0),"",$L$37-1),IF($R$17="Distrato",$E149,0)),MIN(AC$38,$D$19),$P$20))-SUM($P149:AB149)</f>
        <v>#VALUE!</v>
      </c>
      <c r="AD149" s="446" t="e">
        <f>IF(OR($B149="",MIN(AD$38,$D$19)&lt;MAX($P$34*($B149+IF($R$17="Distrato",$I$38-1,0)),IF(AND($L$37=0,$P$34=0),"",$L$37-1),IF($R$17="Distrato",$E149,0))),0,YEARFRAC(MAX($P$34*($B149+IF($R$17="Distrato",$I$38-1,0)),IF(AND($L$37=0,$P$34=0),"",$L$37-1),IF($R$17="Distrato",$E149,0)),MIN(AD$38,$D$19),$P$20))-SUM($P149:AC149)</f>
        <v>#VALUE!</v>
      </c>
      <c r="AE149" s="446" t="e">
        <f>IF(OR($B149="",MIN(AE$38,$D$19)&lt;MAX($P$34*($B149+IF($R$17="Distrato",$I$38-1,0)),IF(AND($L$37=0,$P$34=0),"",$L$37-1),IF($R$17="Distrato",$E149,0))),0,YEARFRAC(MAX($P$34*($B149+IF($R$17="Distrato",$I$38-1,0)),IF(AND($L$37=0,$P$34=0),"",$L$37-1),IF($R$17="Distrato",$E149,0)),MIN(AE$38,$D$19),$P$20))-SUM($P149:AD149)</f>
        <v>#VALUE!</v>
      </c>
      <c r="AF149" s="446" t="e">
        <f>IF(OR($B149="",MIN(AF$38,$D$19)&lt;MAX($P$34*($B149+IF($R$17="Distrato",$I$38-1,0)),IF(AND($L$37=0,$P$34=0),"",$L$37-1),IF($R$17="Distrato",$E149,0))),0,YEARFRAC(MAX($P$34*($B149+IF($R$17="Distrato",$I$38-1,0)),IF(AND($L$37=0,$P$34=0),"",$L$37-1),IF($R$17="Distrato",$E149,0)),MIN(AF$38,$D$19),$P$20))-SUM($P149:AE149)</f>
        <v>#VALUE!</v>
      </c>
      <c r="AG149" s="446" t="e">
        <f>IF(OR($B149="",MIN(AG$38,$D$19)&lt;MAX($P$34*($B149+IF($R$17="Distrato",$I$38-1,0)),IF(AND($L$37=0,$P$34=0),"",$L$37-1),IF($R$17="Distrato",$E149,0))),0,YEARFRAC(MAX($P$34*($B149+IF($R$17="Distrato",$I$38-1,0)),IF(AND($L$37=0,$P$34=0),"",$L$37-1),IF($R$17="Distrato",$E149,0)),MIN(AG$38,$D$19),$P$20))-SUM($P149:AF149)</f>
        <v>#VALUE!</v>
      </c>
      <c r="AH149" s="446" t="e">
        <f>IF(OR($B149="",MIN(AH$38,$D$19)&lt;MAX($P$34*($B149+IF($R$17="Distrato",$I$38-1,0)),IF(AND($L$37=0,$P$34=0),"",$L$37-1),IF($R$17="Distrato",$E149,0))),0,YEARFRAC(MAX($P$34*($B149+IF($R$17="Distrato",$I$38-1,0)),IF(AND($L$37=0,$P$34=0),"",$L$37-1),IF($R$17="Distrato",$E149,0)),MIN(AH$38,$D$19),$P$20))-SUM($P149:AG149)</f>
        <v>#VALUE!</v>
      </c>
      <c r="AI149" s="446" t="e">
        <f>IF(OR($B149="",MIN(AI$38,$D$19)&lt;MAX($P$34*($B149+IF($R$17="Distrato",$I$38-1,0)),IF(AND($L$37=0,$P$34=0),"",$L$37-1),IF($R$17="Distrato",$E149,0))),0,YEARFRAC(MAX($P$34*($B149+IF($R$17="Distrato",$I$38-1,0)),IF(AND($L$37=0,$P$34=0),"",$L$37-1),IF($R$17="Distrato",$E149,0)),MIN(AI$38,$D$19),$P$20))-SUM($P149:AH149)</f>
        <v>#VALUE!</v>
      </c>
      <c r="AJ149" s="446" t="e">
        <f>IF(OR($B149="",MIN(AJ$38,$D$19)&lt;MAX($P$34*($B149+IF($R$17="Distrato",$I$38-1,0)),IF(AND($L$37=0,$P$34=0),"",$L$37-1),IF($R$17="Distrato",$E149,0))),0,YEARFRAC(MAX($P$34*($B149+IF($R$17="Distrato",$I$38-1,0)),IF(AND($L$37=0,$P$34=0),"",$L$37-1),IF($R$17="Distrato",$E149,0)),MIN(AJ$38,$D$19),$P$20))-SUM($P149:AI149)</f>
        <v>#VALUE!</v>
      </c>
      <c r="AK149" s="446" t="e">
        <f>IF(OR($B149="",MIN(AK$38,$D$19)&lt;MAX($P$34*($B149+IF($R$17="Distrato",$I$38-1,0)),IF(AND($L$37=0,$P$34=0),"",$L$37-1),IF($R$17="Distrato",$E149,0))),0,YEARFRAC(MAX($P$34*($B149+IF($R$17="Distrato",$I$38-1,0)),IF(AND($L$37=0,$P$34=0),"",$L$37-1),IF($R$17="Distrato",$E149,0)),MIN(AK$38,$D$19),$P$20))-SUM($P149:AJ149)</f>
        <v>#VALUE!</v>
      </c>
      <c r="AL149" s="446" t="e">
        <f>IF(OR($B149="",MIN(AL$38,$D$19)&lt;MAX($P$34*($B149+IF($R$17="Distrato",$I$38-1,0)),IF(AND($L$37=0,$P$34=0),"",$L$37-1),IF($R$17="Distrato",$E149,0))),0,YEARFRAC(MAX($P$34*($B149+IF($R$17="Distrato",$I$38-1,0)),IF(AND($L$37=0,$P$34=0),"",$L$37-1),IF($R$17="Distrato",$E149,0)),MIN(AL$38,$D$19),$P$20))-SUM($P149:AK149)</f>
        <v>#VALUE!</v>
      </c>
      <c r="AM149" s="446" t="e">
        <f>IF(OR($B149="",MIN(AM$38,$D$19)&lt;MAX($P$34*($B149+IF($R$17="Distrato",$I$38-1,0)),IF(AND($L$37=0,$P$34=0),"",$L$37-1),IF($R$17="Distrato",$E149,0))),0,YEARFRAC(MAX($P$34*($B149+IF($R$17="Distrato",$I$38-1,0)),IF(AND($L$37=0,$P$34=0),"",$L$37-1),IF($R$17="Distrato",$E149,0)),MIN(AM$38,$D$19),$P$20))-SUM($P149:AL149)</f>
        <v>#VALUE!</v>
      </c>
      <c r="AN149" s="446" t="e">
        <f>IF(OR($B149="",MIN(AN$38,$D$19)&lt;MAX($P$34*($B149+IF($R$17="Distrato",$I$38-1,0)),IF(AND($L$37=0,$P$34=0),"",$L$37-1),IF($R$17="Distrato",$E149,0))),0,YEARFRAC(MAX($P$34*($B149+IF($R$17="Distrato",$I$38-1,0)),IF(AND($L$37=0,$P$34=0),"",$L$37-1),IF($R$17="Distrato",$E149,0)),MIN(AN$38,$D$19),$P$20))-SUM($P149:AM149)</f>
        <v>#VALUE!</v>
      </c>
      <c r="AO149" s="446" t="e">
        <f>IF(OR($B149="",MIN(AO$38,$D$19)&lt;MAX($P$34*($B149+IF($R$17="Distrato",$I$38-1,0)),IF(AND($L$37=0,$P$34=0),"",$L$37-1),IF($R$17="Distrato",$E149,0))),0,YEARFRAC(MAX($P$34*($B149+IF($R$17="Distrato",$I$38-1,0)),IF(AND($L$37=0,$P$34=0),"",$L$37-1),IF($R$17="Distrato",$E149,0)),MIN(AO$38,$D$19),$P$20))-SUM($P149:AN149)</f>
        <v>#VALUE!</v>
      </c>
      <c r="AP149" s="446" t="e">
        <f>IF(OR($B149="",MIN(AP$38,$D$19)&lt;MAX($P$34*($B149+IF($R$17="Distrato",$I$38-1,0)),IF(AND($L$37=0,$P$34=0),"",$L$37-1),IF($R$17="Distrato",$E149,0))),0,YEARFRAC(MAX($P$34*($B149+IF($R$17="Distrato",$I$38-1,0)),IF(AND($L$37=0,$P$34=0),"",$L$37-1),IF($R$17="Distrato",$E149,0)),MIN(AP$38,$D$19),$P$20))-SUM($P149:AO149)</f>
        <v>#VALUE!</v>
      </c>
      <c r="AQ149" s="446" t="e">
        <f>IF(OR($B149="",MIN(AQ$38,$D$19)&lt;MAX($P$34*($B149+IF($R$17="Distrato",$I$38-1,0)),IF(AND($L$37=0,$P$34=0),"",$L$37-1),IF($R$17="Distrato",$E149,0))),0,YEARFRAC(MAX($P$34*($B149+IF($R$17="Distrato",$I$38-1,0)),IF(AND($L$37=0,$P$34=0),"",$L$37-1),IF($R$17="Distrato",$E149,0)),MIN(AQ$38,$D$19),$P$20))-SUM($P149:AP149)</f>
        <v>#VALUE!</v>
      </c>
      <c r="AR149" s="446" t="e">
        <f>IF(OR($B149="",MIN(AR$38,$D$19)&lt;MAX($P$34*($B149+IF($R$17="Distrato",$I$38-1,0)),IF(AND($L$37=0,$P$34=0),"",$L$37-1),IF($R$17="Distrato",$E149,0))),0,YEARFRAC(MAX($P$34*($B149+IF($R$17="Distrato",$I$38-1,0)),IF(AND($L$37=0,$P$34=0),"",$L$37-1),IF($R$17="Distrato",$E149,0)),MIN(AR$38,$D$19),$P$20))-SUM($P149:AQ149)</f>
        <v>#VALUE!</v>
      </c>
      <c r="AS149" s="446" t="e">
        <f>IF(OR($B149="",MIN(AS$38,$D$19)&lt;MAX($P$34*($B149+IF($R$17="Distrato",$I$38-1,0)),IF(AND($L$37=0,$P$34=0),"",$L$37-1),IF($R$17="Distrato",$E149,0))),0,YEARFRAC(MAX($P$34*($B149+IF($R$17="Distrato",$I$38-1,0)),IF(AND($L$37=0,$P$34=0),"",$L$37-1),IF($R$17="Distrato",$E149,0)),MIN(AS$38,$D$19),$P$20))-SUM($P149:AR149)</f>
        <v>#VALUE!</v>
      </c>
      <c r="AT149" s="446" t="e">
        <f>IF(OR($B149="",MIN(AT$38,$D$19)&lt;MAX($P$34*($B149+IF($R$17="Distrato",$I$38-1,0)),IF(AND($L$37=0,$P$34=0),"",$L$37-1),IF($R$17="Distrato",$E149,0))),0,YEARFRAC(MAX($P$34*($B149+IF($R$17="Distrato",$I$38-1,0)),IF(AND($L$37=0,$P$34=0),"",$L$37-1),IF($R$17="Distrato",$E149,0)),MIN(AT$38,$D$19),$P$20))-SUM($P149:AS149)</f>
        <v>#VALUE!</v>
      </c>
      <c r="AU149" s="446" t="e">
        <f>IF(OR($B149="",MIN(AU$38,$D$19)&lt;MAX($P$34*($B149+IF($R$17="Distrato",$I$38-1,0)),IF(AND($L$37=0,$P$34=0),"",$L$37-1),IF($R$17="Distrato",$E149,0))),0,YEARFRAC(MAX($P$34*($B149+IF($R$17="Distrato",$I$38-1,0)),IF(AND($L$37=0,$P$34=0),"",$L$37-1),IF($R$17="Distrato",$E149,0)),MIN(AU$38,$D$19),$P$20))-SUM($P149:AT149)</f>
        <v>#VALUE!</v>
      </c>
      <c r="AV149" s="446" t="e">
        <f>IF(OR($B149="",MIN(AV$38,$D$19)&lt;MAX($P$34*($B149+IF($R$17="Distrato",$I$38-1,0)),IF(AND($L$37=0,$P$34=0),"",$L$37-1),IF($R$17="Distrato",$E149,0))),0,YEARFRAC(MAX($P$34*($B149+IF($R$17="Distrato",$I$38-1,0)),IF(AND($L$37=0,$P$34=0),"",$L$37-1),IF($R$17="Distrato",$E149,0)),MIN(AV$38,$D$19),$P$20))-SUM($P149:AU149)</f>
        <v>#VALUE!</v>
      </c>
      <c r="AW149" s="446" t="e">
        <f>IF(OR($B149="",MIN(AW$38,$D$19)&lt;MAX($P$34*($B149+IF($R$17="Distrato",$I$38-1,0)),IF(AND($L$37=0,$P$34=0),"",$L$37-1),IF($R$17="Distrato",$E149,0))),0,YEARFRAC(MAX($P$34*($B149+IF($R$17="Distrato",$I$38-1,0)),IF(AND($L$37=0,$P$34=0),"",$L$37-1),IF($R$17="Distrato",$E149,0)),MIN(AW$38,$D$19),$P$20))-SUM($P149:AV149)</f>
        <v>#VALUE!</v>
      </c>
      <c r="AX149" s="446" t="e">
        <f>IF(OR($B149="",MIN(AX$38,$D$19)&lt;MAX($P$34*($B149+IF($R$17="Distrato",$I$38-1,0)),IF(AND($L$37=0,$P$34=0),"",$L$37-1),IF($R$17="Distrato",$E149,0))),0,YEARFRAC(MAX($P$34*($B149+IF($R$17="Distrato",$I$38-1,0)),IF(AND($L$37=0,$P$34=0),"",$L$37-1),IF($R$17="Distrato",$E149,0)),MIN(AX$38,$D$19),$P$20))-SUM($P149:AW149)</f>
        <v>#VALUE!</v>
      </c>
      <c r="AY149" s="446" t="e">
        <f>IF(OR($B149="",MIN(AY$38,$D$19)&lt;MAX($P$34*($B149+IF($R$17="Distrato",$I$38-1,0)),IF(AND($L$37=0,$P$34=0),"",$L$37-1),IF($R$17="Distrato",$E149,0))),0,YEARFRAC(MAX($P$34*($B149+IF($R$17="Distrato",$I$38-1,0)),IF(AND($L$37=0,$P$34=0),"",$L$37-1),IF($R$17="Distrato",$E149,0)),MIN(AY$38,$D$19),$P$20))-SUM($P149:AX149)</f>
        <v>#VALUE!</v>
      </c>
      <c r="AZ149" s="446" t="e">
        <f>IF(OR($B149="",MIN(AZ$38,$D$19)&lt;MAX($P$34*($B149+IF($R$17="Distrato",$I$38-1,0)),IF(AND($L$37=0,$P$34=0),"",$L$37-1),IF($R$17="Distrato",$E149,0))),0,YEARFRAC(MAX($P$34*($B149+IF($R$17="Distrato",$I$38-1,0)),IF(AND($L$37=0,$P$34=0),"",$L$37-1),IF($R$17="Distrato",$E149,0)),MIN(AZ$38,$D$19),$P$20))-SUM($P149:AY149)</f>
        <v>#VALUE!</v>
      </c>
      <c r="BA149" s="446" t="e">
        <f>IF(OR($B149="",MIN(BA$38,$D$19)&lt;MAX($P$34*($B149+IF($R$17="Distrato",$I$38-1,0)),IF(AND($L$37=0,$P$34=0),"",$L$37-1),IF($R$17="Distrato",$E149,0))),0,YEARFRAC(MAX($P$34*($B149+IF($R$17="Distrato",$I$38-1,0)),IF(AND($L$37=0,$P$34=0),"",$L$37-1),IF($R$17="Distrato",$E149,0)),MIN(BA$38,$D$19),$P$20))-SUM($P149:AZ149)</f>
        <v>#VALUE!</v>
      </c>
      <c r="BB149" s="447"/>
      <c r="BF149" s="446">
        <f t="shared" si="21"/>
        <v>0</v>
      </c>
      <c r="BG149" s="446">
        <f>IF($E149=0,0,IF(MIN(BG$38,$E149)&lt;MAX($P$34*($B149+$I$38-1),IF(AND($L$37=0,$P$34=0),"",$L$37-1)),0,YEARFRAC(MAX($P$34*($B149+$I$38-1),IF(AND($L$37=0,$P$34=0),"",$L$37-1)),MIN(BG$38,$E149),$P$20))-SUM($BF149:BF149))</f>
        <v>0</v>
      </c>
      <c r="BH149" s="446">
        <f>IF($E149=0,0,IF(MIN(BH$38,$E149)&lt;MAX($P$34*($B149+$I$38-1),IF(AND($L$37=0,$P$34=0),"",$L$37-1)),0,YEARFRAC(MAX($P$34*($B149+$I$38-1),IF(AND($L$37=0,$P$34=0),"",$L$37-1)),MIN(BH$38,$E149),$P$20))-SUM($BF149:BG149))</f>
        <v>0</v>
      </c>
      <c r="BI149" s="446">
        <f>IF($E149=0,0,IF(MIN(BI$38,$E149)&lt;MAX($P$34*($B149+$I$38-1),IF(AND($L$37=0,$P$34=0),"",$L$37-1)),0,YEARFRAC(MAX($P$34*($B149+$I$38-1),IF(AND($L$37=0,$P$34=0),"",$L$37-1)),MIN(BI$38,$E149),$P$20))-SUM($BF149:BH149))</f>
        <v>0</v>
      </c>
      <c r="BJ149" s="446">
        <f>IF($E149=0,0,IF(MIN(BJ$38,$E149)&lt;MAX($P$34*($B149+$I$38-1),IF(AND($L$37=0,$P$34=0),"",$L$37-1)),0,YEARFRAC(MAX($P$34*($B149+$I$38-1),IF(AND($L$37=0,$P$34=0),"",$L$37-1)),MIN(BJ$38,$E149),$P$20))-SUM($BF149:BI149))</f>
        <v>0</v>
      </c>
      <c r="BK149" s="446">
        <f>IF($E149=0,0,IF(MIN(BK$38,$E149)&lt;MAX($P$34*($B149+$I$38-1),IF(AND($L$37=0,$P$34=0),"",$L$37-1)),0,YEARFRAC(MAX($P$34*($B149+$I$38-1),IF(AND($L$37=0,$P$34=0),"",$L$37-1)),MIN(BK$38,$E149),$P$20))-SUM($BF149:BJ149))</f>
        <v>0</v>
      </c>
      <c r="BL149" s="446">
        <f>IF($E149=0,0,IF(MIN(BL$38,$E149)&lt;MAX($P$34*($B149+$I$38-1),IF(AND($L$37=0,$P$34=0),"",$L$37-1)),0,YEARFRAC(MAX($P$34*($B149+$I$38-1),IF(AND($L$37=0,$P$34=0),"",$L$37-1)),MIN(BL$38,$E149),$P$20))-SUM($BF149:BK149))</f>
        <v>0</v>
      </c>
      <c r="BM149" s="446">
        <f>IF($E149=0,0,IF(MIN(BM$38,$E149)&lt;MAX($P$34*($B149+$I$38-1),IF(AND($L$37=0,$P$34=0),"",$L$37-1)),0,YEARFRAC(MAX($P$34*($B149+$I$38-1),IF(AND($L$37=0,$P$34=0),"",$L$37-1)),MIN(BM$38,$E149),$P$20))-SUM($BF149:BL149))</f>
        <v>0</v>
      </c>
      <c r="BN149" s="446">
        <f>IF($E149=0,0,IF(MIN(BN$38,$E149)&lt;MAX($P$34*($B149+$I$38-1),IF(AND($L$37=0,$P$34=0),"",$L$37-1)),0,YEARFRAC(MAX($P$34*($B149+$I$38-1),IF(AND($L$37=0,$P$34=0),"",$L$37-1)),MIN(BN$38,$E149),$P$20))-SUM($BF149:BM149))</f>
        <v>0</v>
      </c>
      <c r="BO149" s="446">
        <f>IF($E149=0,0,IF(MIN(BO$38,$E149)&lt;MAX($P$34*($B149+$I$38-1),IF(AND($L$37=0,$P$34=0),"",$L$37-1)),0,YEARFRAC(MAX($P$34*($B149+$I$38-1),IF(AND($L$37=0,$P$34=0),"",$L$37-1)),MIN(BO$38,$E149),$P$20))-SUM($BF149:BN149))</f>
        <v>0</v>
      </c>
      <c r="BP149" s="446">
        <f>IF($E149=0,0,IF(MIN(BP$38,$E149)&lt;MAX($P$34*($B149+$I$38-1),IF(AND($L$37=0,$P$34=0),"",$L$37-1)),0,YEARFRAC(MAX($P$34*($B149+$I$38-1),IF(AND($L$37=0,$P$34=0),"",$L$37-1)),MIN(BP$38,$E149),$P$20))-SUM($BF149:BO149))</f>
        <v>0</v>
      </c>
      <c r="BQ149" s="446">
        <f>IF($E149=0,0,IF(MIN(BQ$38,$E149)&lt;MAX($P$34*($B149+$I$38-1),IF(AND($L$37=0,$P$34=0),"",$L$37-1)),0,YEARFRAC(MAX($P$34*($B149+$I$38-1),IF(AND($L$37=0,$P$34=0),"",$L$37-1)),MIN(BQ$38,$E149),$P$20))-SUM($BF149:BP149))</f>
        <v>0</v>
      </c>
      <c r="BR149" s="446">
        <f>IF($E149=0,0,IF(MIN(BR$38,$E149)&lt;MAX($P$34*($B149+$I$38-1),IF(AND($L$37=0,$P$34=0),"",$L$37-1)),0,YEARFRAC(MAX($P$34*($B149+$I$38-1),IF(AND($L$37=0,$P$34=0),"",$L$37-1)),MIN(BR$38,$E149),$P$20))-SUM($BF149:BQ149))</f>
        <v>0</v>
      </c>
      <c r="BS149" s="446">
        <f>IF($E149=0,0,IF(MIN(BS$38,$E149)&lt;MAX($P$34*($B149+$I$38-1),IF(AND($L$37=0,$P$34=0),"",$L$37-1)),0,YEARFRAC(MAX($P$34*($B149+$I$38-1),IF(AND($L$37=0,$P$34=0),"",$L$37-1)),MIN(BS$38,$E149),$P$20))-SUM($BF149:BR149))</f>
        <v>0</v>
      </c>
      <c r="BT149" s="446">
        <f>IF($E149=0,0,IF(MIN(BT$38,$E149)&lt;MAX($P$34*($B149+$I$38-1),IF(AND($L$37=0,$P$34=0),"",$L$37-1)),0,YEARFRAC(MAX($P$34*($B149+$I$38-1),IF(AND($L$37=0,$P$34=0),"",$L$37-1)),MIN(BT$38,$E149),$P$20))-SUM($BF149:BS149))</f>
        <v>0</v>
      </c>
      <c r="BU149" s="446">
        <f>IF($E149=0,0,IF(MIN(BU$38,$E149)&lt;MAX($P$34*($B149+$I$38-1),IF(AND($L$37=0,$P$34=0),"",$L$37-1)),0,YEARFRAC(MAX($P$34*($B149+$I$38-1),IF(AND($L$37=0,$P$34=0),"",$L$37-1)),MIN(BU$38,$E149),$P$20))-SUM($BF149:BT149))</f>
        <v>0</v>
      </c>
      <c r="BV149" s="446">
        <f>IF($E149=0,0,IF(MIN(BV$38,$E149)&lt;MAX($P$34*($B149+$I$38-1),IF(AND($L$37=0,$P$34=0),"",$L$37-1)),0,YEARFRAC(MAX($P$34*($B149+$I$38-1),IF(AND($L$37=0,$P$34=0),"",$L$37-1)),MIN(BV$38,$E149),$P$20))-SUM($BF149:BU149))</f>
        <v>0</v>
      </c>
      <c r="BW149" s="446">
        <f>IF($E149=0,0,IF(MIN(BW$38,$E149)&lt;MAX($P$34*($B149+$I$38-1),IF(AND($L$37=0,$P$34=0),"",$L$37-1)),0,YEARFRAC(MAX($P$34*($B149+$I$38-1),IF(AND($L$37=0,$P$34=0),"",$L$37-1)),MIN(BW$38,$E149),$P$20))-SUM($BF149:BV149))</f>
        <v>0</v>
      </c>
      <c r="BX149" s="446">
        <f>IF($E149=0,0,IF(MIN(BX$38,$E149)&lt;MAX($P$34*($B149+$I$38-1),IF(AND($L$37=0,$P$34=0),"",$L$37-1)),0,YEARFRAC(MAX($P$34*($B149+$I$38-1),IF(AND($L$37=0,$P$34=0),"",$L$37-1)),MIN(BX$38,$E149),$P$20))-SUM($BF149:BW149))</f>
        <v>0</v>
      </c>
      <c r="BY149" s="446">
        <f>IF($E149=0,0,IF(MIN(BY$38,$E149)&lt;MAX($P$34*($B149+$I$38-1),IF(AND($L$37=0,$P$34=0),"",$L$37-1)),0,YEARFRAC(MAX($P$34*($B149+$I$38-1),IF(AND($L$37=0,$P$34=0),"",$L$37-1)),MIN(BY$38,$E149),$P$20))-SUM($BF149:BX149))</f>
        <v>0</v>
      </c>
      <c r="BZ149" s="446">
        <f>IF($E149=0,0,IF(MIN(BZ$38,$E149)&lt;MAX($P$34*($B149+$I$38-1),IF(AND($L$37=0,$P$34=0),"",$L$37-1)),0,YEARFRAC(MAX($P$34*($B149+$I$38-1),IF(AND($L$37=0,$P$34=0),"",$L$37-1)),MIN(BZ$38,$E149),$P$20))-SUM($BF149:BY149))</f>
        <v>0</v>
      </c>
      <c r="CA149" s="446">
        <f>IF($E149=0,0,IF(MIN(CA$38,$E149)&lt;MAX($P$34*($B149+$I$38-1),IF(AND($L$37=0,$P$34=0),"",$L$37-1)),0,YEARFRAC(MAX($P$34*($B149+$I$38-1),IF(AND($L$37=0,$P$34=0),"",$L$37-1)),MIN(CA$38,$E149),$P$20))-SUM($BF149:BZ149))</f>
        <v>0</v>
      </c>
      <c r="CB149" s="446">
        <f>IF($E149=0,0,IF(MIN(CB$38,$E149)&lt;MAX($P$34*($B149+$I$38-1),IF(AND($L$37=0,$P$34=0),"",$L$37-1)),0,YEARFRAC(MAX($P$34*($B149+$I$38-1),IF(AND($L$37=0,$P$34=0),"",$L$37-1)),MIN(CB$38,$E149),$P$20))-SUM($BF149:CA149))</f>
        <v>0</v>
      </c>
      <c r="CC149" s="446">
        <f>IF($E149=0,0,IF(MIN(CC$38,$E149)&lt;MAX($P$34*($B149+$I$38-1),IF(AND($L$37=0,$P$34=0),"",$L$37-1)),0,YEARFRAC(MAX($P$34*($B149+$I$38-1),IF(AND($L$37=0,$P$34=0),"",$L$37-1)),MIN(CC$38,$E149),$P$20))-SUM($BF149:CB149))</f>
        <v>0</v>
      </c>
      <c r="CD149" s="446">
        <f>IF($E149=0,0,IF(MIN(CD$38,$E149)&lt;MAX($P$34*($B149+$I$38-1),IF(AND($L$37=0,$P$34=0),"",$L$37-1)),0,YEARFRAC(MAX($P$34*($B149+$I$38-1),IF(AND($L$37=0,$P$34=0),"",$L$37-1)),MIN(CD$38,$E149),$P$20))-SUM($BF149:CC149))</f>
        <v>0</v>
      </c>
      <c r="CE149" s="446">
        <f>IF($E149=0,0,IF(MIN(CE$38,$E149)&lt;MAX($P$34*($B149+$I$38-1),IF(AND($L$37=0,$P$34=0),"",$L$37-1)),0,YEARFRAC(MAX($P$34*($B149+$I$38-1),IF(AND($L$37=0,$P$34=0),"",$L$37-1)),MIN(CE$38,$E149),$P$20))-SUM($BF149:CD149))</f>
        <v>0</v>
      </c>
      <c r="CF149" s="446">
        <f>IF($E149=0,0,IF(MIN(CF$38,$E149)&lt;MAX($P$34*($B149+$I$38-1),IF(AND($L$37=0,$P$34=0),"",$L$37-1)),0,YEARFRAC(MAX($P$34*($B149+$I$38-1),IF(AND($L$37=0,$P$34=0),"",$L$37-1)),MIN(CF$38,$E149),$P$20))-SUM($BF149:CE149))</f>
        <v>0</v>
      </c>
      <c r="CG149" s="446">
        <f>IF($E149=0,0,IF(MIN(CG$38,$E149)&lt;MAX($P$34*($B149+$I$38-1),IF(AND($L$37=0,$P$34=0),"",$L$37-1)),0,YEARFRAC(MAX($P$34*($B149+$I$38-1),IF(AND($L$37=0,$P$34=0),"",$L$37-1)),MIN(CG$38,$E149),$P$20))-SUM($BF149:CF149))</f>
        <v>0</v>
      </c>
      <c r="CH149" s="446">
        <f>IF($E149=0,0,IF(MIN(CH$38,$E149)&lt;MAX($P$34*($B149+$I$38-1),IF(AND($L$37=0,$P$34=0),"",$L$37-1)),0,YEARFRAC(MAX($P$34*($B149+$I$38-1),IF(AND($L$37=0,$P$34=0),"",$L$37-1)),MIN(CH$38,$E149),$P$20))-SUM($BF149:CG149))</f>
        <v>0</v>
      </c>
      <c r="CI149" s="446">
        <f>IF($E149=0,0,IF(MIN(CI$38,$E149)&lt;MAX($P$34*($B149+$I$38-1),IF(AND($L$37=0,$P$34=0),"",$L$37-1)),0,YEARFRAC(MAX($P$34*($B149+$I$38-1),IF(AND($L$37=0,$P$34=0),"",$L$37-1)),MIN(CI$38,$E149),$P$20))-SUM($BF149:CH149))</f>
        <v>0</v>
      </c>
      <c r="CJ149" s="446">
        <f>IF($E149=0,0,IF(MIN(CJ$38,$E149)&lt;MAX($P$34*($B149+$I$38-1),IF(AND($L$37=0,$P$34=0),"",$L$37-1)),0,YEARFRAC(MAX($P$34*($B149+$I$38-1),IF(AND($L$37=0,$P$34=0),"",$L$37-1)),MIN(CJ$38,$E149),$P$20))-SUM($BF149:CI149))</f>
        <v>0</v>
      </c>
      <c r="CK149" s="446">
        <f>IF($E149=0,0,IF(MIN(CK$38,$E149)&lt;MAX($P$34*($B149+$I$38-1),IF(AND($L$37=0,$P$34=0),"",$L$37-1)),0,YEARFRAC(MAX($P$34*($B149+$I$38-1),IF(AND($L$37=0,$P$34=0),"",$L$37-1)),MIN(CK$38,$E149),$P$20))-SUM($BF149:CJ149))</f>
        <v>0</v>
      </c>
      <c r="CL149" s="446">
        <f>IF($E149=0,0,IF(MIN(CL$38,$E149)&lt;MAX($P$34*($B149+$I$38-1),IF(AND($L$37=0,$P$34=0),"",$L$37-1)),0,YEARFRAC(MAX($P$34*($B149+$I$38-1),IF(AND($L$37=0,$P$34=0),"",$L$37-1)),MIN(CL$38,$E149),$P$20))-SUM($BF149:CK149))</f>
        <v>0</v>
      </c>
      <c r="CM149" s="446">
        <f>IF($E149=0,0,IF(MIN(CM$38,$E149)&lt;MAX($P$34*($B149+$I$38-1),IF(AND($L$37=0,$P$34=0),"",$L$37-1)),0,YEARFRAC(MAX($P$34*($B149+$I$38-1),IF(AND($L$37=0,$P$34=0),"",$L$37-1)),MIN(CM$38,$E149),$P$20))-SUM($BF149:CL149))</f>
        <v>0</v>
      </c>
      <c r="CN149" s="446">
        <f>IF($E149=0,0,IF(MIN(CN$38,$E149)&lt;MAX($P$34*($B149+$I$38-1),IF(AND($L$37=0,$P$34=0),"",$L$37-1)),0,YEARFRAC(MAX($P$34*($B149+$I$38-1),IF(AND($L$37=0,$P$34=0),"",$L$37-1)),MIN(CN$38,$E149),$P$20))-SUM($BF149:CM149))</f>
        <v>0</v>
      </c>
      <c r="CO149" s="446">
        <f>IF($E149=0,0,IF(MIN(CO$38,$E149)&lt;MAX($P$34*($B149+$I$38-1),IF(AND($L$37=0,$P$34=0),"",$L$37-1)),0,YEARFRAC(MAX($P$34*($B149+$I$38-1),IF(AND($L$37=0,$P$34=0),"",$L$37-1)),MIN(CO$38,$E149),$P$20))-SUM($BF149:CN149))</f>
        <v>0</v>
      </c>
      <c r="CP149" s="446">
        <f>IF($E149=0,0,IF(MIN(CP$38,$E149)&lt;MAX($P$34*($B149+$I$38-1),IF(AND($L$37=0,$P$34=0),"",$L$37-1)),0,YEARFRAC(MAX($P$34*($B149+$I$38-1),IF(AND($L$37=0,$P$34=0),"",$L$37-1)),MIN(CP$38,$E149),$P$20))-SUM($BF149:CO149))</f>
        <v>0</v>
      </c>
      <c r="CQ149" s="446">
        <f>IF($E149=0,0,IF(MIN(CQ$38,$E149)&lt;MAX($P$34*($B149+$I$38-1),IF(AND($L$37=0,$P$34=0),"",$L$37-1)),0,YEARFRAC(MAX($P$34*($B149+$I$38-1),IF(AND($L$37=0,$P$34=0),"",$L$37-1)),MIN(CQ$38,$E149),$P$20))-SUM($BF149:CP149))</f>
        <v>0</v>
      </c>
    </row>
    <row r="150" spans="1:95" s="446" customFormat="1" ht="11.25" hidden="1" customHeight="1" x14ac:dyDescent="0.2">
      <c r="A150" s="152"/>
      <c r="B150" s="153" t="str">
        <f t="shared" si="26"/>
        <v/>
      </c>
      <c r="C150" s="29" t="str">
        <f>IF(B150="","",IF($L$35="SELIC - TRIBUTOS",VLOOKUP(DATE(YEAR($D$19),MONTH($D$19)-1,1),ÍNDICES!$A:$DE,HLOOKUP($BL$25,ÍNDICES!$B$3:$T$4,2)+11)-VLOOKUP(B150,ÍNDICES!$A:$DE,HLOOKUP($BL$25,ÍNDICES!$B$3:$T$4,2)+11)+1%,IF(C$38=$W$26,$J$35,IF(ISERROR(IF(B150&gt;$D$19,1,VLOOKUP(DATE(YEAR(B150),MONTH(B150)+IF($C$35=$S$23,1,0),1),ÍNDICES!$A:$DE,$Z$35+1))),"",IF(B150&gt;$D$19,1,VLOOKUP(DATE(YEAR(B150),MONTH(B150)+IF($C$35=$S$23,1,0),1),ÍNDICES!$A:$DE,$Z$35+1))))))</f>
        <v/>
      </c>
      <c r="D150" s="154" t="str">
        <f>IF(ISERROR(IF(OR($D$38=$Y$27,$B150=""),"",VLOOKUP(B150,ÍNDICES!A:DE,AF$35+1))),"",IF(OR($D$38=$Y$27,$B150=""),"",VLOOKUP(B150,ÍNDICES!A:DE,AF$35+1)))</f>
        <v/>
      </c>
      <c r="E150" s="153"/>
      <c r="F150" s="29" t="str">
        <f>IF(E150="","",IF($L$35="SELIC - TRIBUTOS",VLOOKUP(DATE(YEAR($D$19),MONTH($D$19)-1,1),ÍNDICES!$A:$DE,HLOOKUP($BL$25,ÍNDICES!$B$3:$T$4,2)+11)-VLOOKUP(E150,ÍNDICES!$A:$DE,HLOOKUP($BL$25,ÍNDICES!$B$3:$T$4,2)+11)+1%,IF(F$38=$W$26,$J$35,IF(ISERROR(IF(E150&gt;$D$19,1,VLOOKUP(DATE(YEAR(E150),MONTH(E150)+IF($C$35=$S$23,1,0),1),ÍNDICES!$A:$DE,$Z$35+1))),"",IF(E150&gt;$D$19,1,VLOOKUP(DATE(YEAR(E150),MONTH(E150)+IF($C$35=$S$23,1,0),1),ÍNDICES!$A:$DE,$Z$35+1))))))</f>
        <v/>
      </c>
      <c r="G150" s="155"/>
      <c r="H150" s="156" t="str">
        <f t="shared" si="22"/>
        <v/>
      </c>
      <c r="I150" s="29" t="str">
        <f t="shared" si="16"/>
        <v/>
      </c>
      <c r="J150" s="5">
        <f t="shared" si="17"/>
        <v>0</v>
      </c>
      <c r="K150" s="20">
        <f t="shared" ca="1" si="18"/>
        <v>0</v>
      </c>
      <c r="L150" s="5">
        <f t="shared" ca="1" si="19"/>
        <v>0</v>
      </c>
      <c r="M150" s="64">
        <f t="shared" si="23"/>
        <v>0</v>
      </c>
      <c r="N150" s="61">
        <f t="shared" ca="1" si="24"/>
        <v>0</v>
      </c>
      <c r="O150" s="5">
        <f t="shared" ca="1" si="25"/>
        <v>0</v>
      </c>
      <c r="P150" s="446" t="e">
        <f t="shared" si="20"/>
        <v>#VALUE!</v>
      </c>
      <c r="Q150" s="446" t="e">
        <f>IF(OR($B150="",MIN(Q$38,$D$19)&lt;MAX($P$34*($B150+IF($R$17="Distrato",$I$38-1,0)),IF(AND($L$37=0,$P$34=0),"",$L$37-1),IF($R$17="Distrato",$E150,0))),0,YEARFRAC(MAX($P$34*($B150+IF($R$17="Distrato",$I$38-1,0)),IF(AND($L$37=0,$P$34=0),"",$L$37-1),IF($R$17="Distrato",$E150,0)),MIN(Q$38,$D$19),$P$20))-SUM($P150:P150)</f>
        <v>#VALUE!</v>
      </c>
      <c r="R150" s="446" t="e">
        <f>IF(OR($B150="",MIN(R$38,$D$19)&lt;MAX($P$34*($B150+IF($R$17="Distrato",$I$38-1,0)),IF(AND($L$37=0,$P$34=0),"",$L$37-1),IF($R$17="Distrato",$E150,0))),0,YEARFRAC(MAX($P$34*($B150+IF($R$17="Distrato",$I$38-1,0)),IF(AND($L$37=0,$P$34=0),"",$L$37-1),IF($R$17="Distrato",$E150,0)),MIN(R$38,$D$19),$P$20))-SUM($P150:Q150)</f>
        <v>#VALUE!</v>
      </c>
      <c r="S150" s="446" t="e">
        <f>IF(OR($B150="",MIN(S$38,$D$19)&lt;MAX($P$34*($B150+IF($R$17="Distrato",$I$38-1,0)),IF(AND($L$37=0,$P$34=0),"",$L$37-1),IF($R$17="Distrato",$E150,0))),0,YEARFRAC(MAX($P$34*($B150+IF($R$17="Distrato",$I$38-1,0)),IF(AND($L$37=0,$P$34=0),"",$L$37-1),IF($R$17="Distrato",$E150,0)),MIN(S$38,$D$19),$P$20))-SUM($P150:R150)</f>
        <v>#VALUE!</v>
      </c>
      <c r="T150" s="446" t="e">
        <f>IF(OR($B150="",MIN(T$38,$D$19)&lt;MAX($P$34*($B150+IF($R$17="Distrato",$I$38-1,0)),IF(AND($L$37=0,$P$34=0),"",$L$37-1),IF($R$17="Distrato",$E150,0))),0,YEARFRAC(MAX($P$34*($B150+IF($R$17="Distrato",$I$38-1,0)),IF(AND($L$37=0,$P$34=0),"",$L$37-1),IF($R$17="Distrato",$E150,0)),MIN(T$38,$D$19),$P$20))-SUM($P150:S150)</f>
        <v>#VALUE!</v>
      </c>
      <c r="U150" s="446" t="e">
        <f>IF(OR($B150="",MIN(U$38,$D$19)&lt;MAX($P$34*($B150+IF($R$17="Distrato",$I$38-1,0)),IF(AND($L$37=0,$P$34=0),"",$L$37-1),IF($R$17="Distrato",$E150,0))),0,YEARFRAC(MAX($P$34*($B150+IF($R$17="Distrato",$I$38-1,0)),IF(AND($L$37=0,$P$34=0),"",$L$37-1),IF($R$17="Distrato",$E150,0)),MIN(U$38,$D$19),$P$20))-SUM($P150:T150)</f>
        <v>#VALUE!</v>
      </c>
      <c r="V150" s="446" t="e">
        <f>IF(OR($B150="",MIN(V$38,$D$19)&lt;MAX($P$34*($B150+IF($R$17="Distrato",$I$38-1,0)),IF(AND($L$37=0,$P$34=0),"",$L$37-1),IF($R$17="Distrato",$E150,0))),0,YEARFRAC(MAX($P$34*($B150+IF($R$17="Distrato",$I$38-1,0)),IF(AND($L$37=0,$P$34=0),"",$L$37-1),IF($R$17="Distrato",$E150,0)),MIN(V$38,$D$19),$P$20))-SUM($P150:U150)</f>
        <v>#VALUE!</v>
      </c>
      <c r="W150" s="446" t="e">
        <f>IF(OR($B150="",MIN(W$38,$D$19)&lt;MAX($P$34*($B150+IF($R$17="Distrato",$I$38-1,0)),IF(AND($L$37=0,$P$34=0),"",$L$37-1),IF($R$17="Distrato",$E150,0))),0,YEARFRAC(MAX($P$34*($B150+IF($R$17="Distrato",$I$38-1,0)),IF(AND($L$37=0,$P$34=0),"",$L$37-1),IF($R$17="Distrato",$E150,0)),MIN(W$38,$D$19),$P$20))-SUM($P150:V150)</f>
        <v>#VALUE!</v>
      </c>
      <c r="X150" s="446" t="e">
        <f>IF(OR($B150="",MIN(X$38,$D$19)&lt;MAX($P$34*($B150+IF($R$17="Distrato",$I$38-1,0)),IF(AND($L$37=0,$P$34=0),"",$L$37-1),IF($R$17="Distrato",$E150,0))),0,YEARFRAC(MAX($P$34*($B150+IF($R$17="Distrato",$I$38-1,0)),IF(AND($L$37=0,$P$34=0),"",$L$37-1),IF($R$17="Distrato",$E150,0)),MIN(X$38,$D$19),$P$20))-SUM($P150:W150)</f>
        <v>#VALUE!</v>
      </c>
      <c r="Y150" s="446" t="e">
        <f>IF(OR($B150="",MIN(Y$38,$D$19)&lt;MAX($P$34*($B150+IF($R$17="Distrato",$I$38-1,0)),IF(AND($L$37=0,$P$34=0),"",$L$37-1),IF($R$17="Distrato",$E150,0))),0,YEARFRAC(MAX($P$34*($B150+IF($R$17="Distrato",$I$38-1,0)),IF(AND($L$37=0,$P$34=0),"",$L$37-1),IF($R$17="Distrato",$E150,0)),MIN(Y$38,$D$19),$P$20))-SUM($P150:X150)</f>
        <v>#VALUE!</v>
      </c>
      <c r="Z150" s="446" t="e">
        <f>IF(OR($B150="",MIN(Z$38,$D$19)&lt;MAX($P$34*($B150+IF($R$17="Distrato",$I$38-1,0)),IF(AND($L$37=0,$P$34=0),"",$L$37-1),IF($R$17="Distrato",$E150,0))),0,YEARFRAC(MAX($P$34*($B150+IF($R$17="Distrato",$I$38-1,0)),IF(AND($L$37=0,$P$34=0),"",$L$37-1),IF($R$17="Distrato",$E150,0)),MIN(Z$38,$D$19),$P$20))-SUM($P150:Y150)</f>
        <v>#VALUE!</v>
      </c>
      <c r="AA150" s="446" t="e">
        <f>IF(OR($B150="",MIN(AA$38,$D$19)&lt;MAX($P$34*($B150+IF($R$17="Distrato",$I$38-1,0)),IF(AND($L$37=0,$P$34=0),"",$L$37-1),IF($R$17="Distrato",$E150,0))),0,YEARFRAC(MAX($P$34*($B150+IF($R$17="Distrato",$I$38-1,0)),IF(AND($L$37=0,$P$34=0),"",$L$37-1),IF($R$17="Distrato",$E150,0)),MIN(AA$38,$D$19),$P$20))-SUM($P150:Z150)</f>
        <v>#VALUE!</v>
      </c>
      <c r="AB150" s="446" t="e">
        <f>IF(OR($B150="",MIN(AB$38,$D$19)&lt;MAX($P$34*($B150+IF($R$17="Distrato",$I$38-1,0)),IF(AND($L$37=0,$P$34=0),"",$L$37-1),IF($R$17="Distrato",$E150,0))),0,YEARFRAC(MAX($P$34*($B150+IF($R$17="Distrato",$I$38-1,0)),IF(AND($L$37=0,$P$34=0),"",$L$37-1),IF($R$17="Distrato",$E150,0)),MIN(AB$38,$D$19),$P$20))-SUM($P150:AA150)</f>
        <v>#VALUE!</v>
      </c>
      <c r="AC150" s="446" t="e">
        <f>IF(OR($B150="",MIN(AC$38,$D$19)&lt;MAX($P$34*($B150+IF($R$17="Distrato",$I$38-1,0)),IF(AND($L$37=0,$P$34=0),"",$L$37-1),IF($R$17="Distrato",$E150,0))),0,YEARFRAC(MAX($P$34*($B150+IF($R$17="Distrato",$I$38-1,0)),IF(AND($L$37=0,$P$34=0),"",$L$37-1),IF($R$17="Distrato",$E150,0)),MIN(AC$38,$D$19),$P$20))-SUM($P150:AB150)</f>
        <v>#VALUE!</v>
      </c>
      <c r="AD150" s="446" t="e">
        <f>IF(OR($B150="",MIN(AD$38,$D$19)&lt;MAX($P$34*($B150+IF($R$17="Distrato",$I$38-1,0)),IF(AND($L$37=0,$P$34=0),"",$L$37-1),IF($R$17="Distrato",$E150,0))),0,YEARFRAC(MAX($P$34*($B150+IF($R$17="Distrato",$I$38-1,0)),IF(AND($L$37=0,$P$34=0),"",$L$37-1),IF($R$17="Distrato",$E150,0)),MIN(AD$38,$D$19),$P$20))-SUM($P150:AC150)</f>
        <v>#VALUE!</v>
      </c>
      <c r="AE150" s="446" t="e">
        <f>IF(OR($B150="",MIN(AE$38,$D$19)&lt;MAX($P$34*($B150+IF($R$17="Distrato",$I$38-1,0)),IF(AND($L$37=0,$P$34=0),"",$L$37-1),IF($R$17="Distrato",$E150,0))),0,YEARFRAC(MAX($P$34*($B150+IF($R$17="Distrato",$I$38-1,0)),IF(AND($L$37=0,$P$34=0),"",$L$37-1),IF($R$17="Distrato",$E150,0)),MIN(AE$38,$D$19),$P$20))-SUM($P150:AD150)</f>
        <v>#VALUE!</v>
      </c>
      <c r="AF150" s="446" t="e">
        <f>IF(OR($B150="",MIN(AF$38,$D$19)&lt;MAX($P$34*($B150+IF($R$17="Distrato",$I$38-1,0)),IF(AND($L$37=0,$P$34=0),"",$L$37-1),IF($R$17="Distrato",$E150,0))),0,YEARFRAC(MAX($P$34*($B150+IF($R$17="Distrato",$I$38-1,0)),IF(AND($L$37=0,$P$34=0),"",$L$37-1),IF($R$17="Distrato",$E150,0)),MIN(AF$38,$D$19),$P$20))-SUM($P150:AE150)</f>
        <v>#VALUE!</v>
      </c>
      <c r="AG150" s="446" t="e">
        <f>IF(OR($B150="",MIN(AG$38,$D$19)&lt;MAX($P$34*($B150+IF($R$17="Distrato",$I$38-1,0)),IF(AND($L$37=0,$P$34=0),"",$L$37-1),IF($R$17="Distrato",$E150,0))),0,YEARFRAC(MAX($P$34*($B150+IF($R$17="Distrato",$I$38-1,0)),IF(AND($L$37=0,$P$34=0),"",$L$37-1),IF($R$17="Distrato",$E150,0)),MIN(AG$38,$D$19),$P$20))-SUM($P150:AF150)</f>
        <v>#VALUE!</v>
      </c>
      <c r="AH150" s="446" t="e">
        <f>IF(OR($B150="",MIN(AH$38,$D$19)&lt;MAX($P$34*($B150+IF($R$17="Distrato",$I$38-1,0)),IF(AND($L$37=0,$P$34=0),"",$L$37-1),IF($R$17="Distrato",$E150,0))),0,YEARFRAC(MAX($P$34*($B150+IF($R$17="Distrato",$I$38-1,0)),IF(AND($L$37=0,$P$34=0),"",$L$37-1),IF($R$17="Distrato",$E150,0)),MIN(AH$38,$D$19),$P$20))-SUM($P150:AG150)</f>
        <v>#VALUE!</v>
      </c>
      <c r="AI150" s="446" t="e">
        <f>IF(OR($B150="",MIN(AI$38,$D$19)&lt;MAX($P$34*($B150+IF($R$17="Distrato",$I$38-1,0)),IF(AND($L$37=0,$P$34=0),"",$L$37-1),IF($R$17="Distrato",$E150,0))),0,YEARFRAC(MAX($P$34*($B150+IF($R$17="Distrato",$I$38-1,0)),IF(AND($L$37=0,$P$34=0),"",$L$37-1),IF($R$17="Distrato",$E150,0)),MIN(AI$38,$D$19),$P$20))-SUM($P150:AH150)</f>
        <v>#VALUE!</v>
      </c>
      <c r="AJ150" s="446" t="e">
        <f>IF(OR($B150="",MIN(AJ$38,$D$19)&lt;MAX($P$34*($B150+IF($R$17="Distrato",$I$38-1,0)),IF(AND($L$37=0,$P$34=0),"",$L$37-1),IF($R$17="Distrato",$E150,0))),0,YEARFRAC(MAX($P$34*($B150+IF($R$17="Distrato",$I$38-1,0)),IF(AND($L$37=0,$P$34=0),"",$L$37-1),IF($R$17="Distrato",$E150,0)),MIN(AJ$38,$D$19),$P$20))-SUM($P150:AI150)</f>
        <v>#VALUE!</v>
      </c>
      <c r="AK150" s="446" t="e">
        <f>IF(OR($B150="",MIN(AK$38,$D$19)&lt;MAX($P$34*($B150+IF($R$17="Distrato",$I$38-1,0)),IF(AND($L$37=0,$P$34=0),"",$L$37-1),IF($R$17="Distrato",$E150,0))),0,YEARFRAC(MAX($P$34*($B150+IF($R$17="Distrato",$I$38-1,0)),IF(AND($L$37=0,$P$34=0),"",$L$37-1),IF($R$17="Distrato",$E150,0)),MIN(AK$38,$D$19),$P$20))-SUM($P150:AJ150)</f>
        <v>#VALUE!</v>
      </c>
      <c r="AL150" s="446" t="e">
        <f>IF(OR($B150="",MIN(AL$38,$D$19)&lt;MAX($P$34*($B150+IF($R$17="Distrato",$I$38-1,0)),IF(AND($L$37=0,$P$34=0),"",$L$37-1),IF($R$17="Distrato",$E150,0))),0,YEARFRAC(MAX($P$34*($B150+IF($R$17="Distrato",$I$38-1,0)),IF(AND($L$37=0,$P$34=0),"",$L$37-1),IF($R$17="Distrato",$E150,0)),MIN(AL$38,$D$19),$P$20))-SUM($P150:AK150)</f>
        <v>#VALUE!</v>
      </c>
      <c r="AM150" s="446" t="e">
        <f>IF(OR($B150="",MIN(AM$38,$D$19)&lt;MAX($P$34*($B150+IF($R$17="Distrato",$I$38-1,0)),IF(AND($L$37=0,$P$34=0),"",$L$37-1),IF($R$17="Distrato",$E150,0))),0,YEARFRAC(MAX($P$34*($B150+IF($R$17="Distrato",$I$38-1,0)),IF(AND($L$37=0,$P$34=0),"",$L$37-1),IF($R$17="Distrato",$E150,0)),MIN(AM$38,$D$19),$P$20))-SUM($P150:AL150)</f>
        <v>#VALUE!</v>
      </c>
      <c r="AN150" s="446" t="e">
        <f>IF(OR($B150="",MIN(AN$38,$D$19)&lt;MAX($P$34*($B150+IF($R$17="Distrato",$I$38-1,0)),IF(AND($L$37=0,$P$34=0),"",$L$37-1),IF($R$17="Distrato",$E150,0))),0,YEARFRAC(MAX($P$34*($B150+IF($R$17="Distrato",$I$38-1,0)),IF(AND($L$37=0,$P$34=0),"",$L$37-1),IF($R$17="Distrato",$E150,0)),MIN(AN$38,$D$19),$P$20))-SUM($P150:AM150)</f>
        <v>#VALUE!</v>
      </c>
      <c r="AO150" s="446" t="e">
        <f>IF(OR($B150="",MIN(AO$38,$D$19)&lt;MAX($P$34*($B150+IF($R$17="Distrato",$I$38-1,0)),IF(AND($L$37=0,$P$34=0),"",$L$37-1),IF($R$17="Distrato",$E150,0))),0,YEARFRAC(MAX($P$34*($B150+IF($R$17="Distrato",$I$38-1,0)),IF(AND($L$37=0,$P$34=0),"",$L$37-1),IF($R$17="Distrato",$E150,0)),MIN(AO$38,$D$19),$P$20))-SUM($P150:AN150)</f>
        <v>#VALUE!</v>
      </c>
      <c r="AP150" s="446" t="e">
        <f>IF(OR($B150="",MIN(AP$38,$D$19)&lt;MAX($P$34*($B150+IF($R$17="Distrato",$I$38-1,0)),IF(AND($L$37=0,$P$34=0),"",$L$37-1),IF($R$17="Distrato",$E150,0))),0,YEARFRAC(MAX($P$34*($B150+IF($R$17="Distrato",$I$38-1,0)),IF(AND($L$37=0,$P$34=0),"",$L$37-1),IF($R$17="Distrato",$E150,0)),MIN(AP$38,$D$19),$P$20))-SUM($P150:AO150)</f>
        <v>#VALUE!</v>
      </c>
      <c r="AQ150" s="446" t="e">
        <f>IF(OR($B150="",MIN(AQ$38,$D$19)&lt;MAX($P$34*($B150+IF($R$17="Distrato",$I$38-1,0)),IF(AND($L$37=0,$P$34=0),"",$L$37-1),IF($R$17="Distrato",$E150,0))),0,YEARFRAC(MAX($P$34*($B150+IF($R$17="Distrato",$I$38-1,0)),IF(AND($L$37=0,$P$34=0),"",$L$37-1),IF($R$17="Distrato",$E150,0)),MIN(AQ$38,$D$19),$P$20))-SUM($P150:AP150)</f>
        <v>#VALUE!</v>
      </c>
      <c r="AR150" s="446" t="e">
        <f>IF(OR($B150="",MIN(AR$38,$D$19)&lt;MAX($P$34*($B150+IF($R$17="Distrato",$I$38-1,0)),IF(AND($L$37=0,$P$34=0),"",$L$37-1),IF($R$17="Distrato",$E150,0))),0,YEARFRAC(MAX($P$34*($B150+IF($R$17="Distrato",$I$38-1,0)),IF(AND($L$37=0,$P$34=0),"",$L$37-1),IF($R$17="Distrato",$E150,0)),MIN(AR$38,$D$19),$P$20))-SUM($P150:AQ150)</f>
        <v>#VALUE!</v>
      </c>
      <c r="AS150" s="446" t="e">
        <f>IF(OR($B150="",MIN(AS$38,$D$19)&lt;MAX($P$34*($B150+IF($R$17="Distrato",$I$38-1,0)),IF(AND($L$37=0,$P$34=0),"",$L$37-1),IF($R$17="Distrato",$E150,0))),0,YEARFRAC(MAX($P$34*($B150+IF($R$17="Distrato",$I$38-1,0)),IF(AND($L$37=0,$P$34=0),"",$L$37-1),IF($R$17="Distrato",$E150,0)),MIN(AS$38,$D$19),$P$20))-SUM($P150:AR150)</f>
        <v>#VALUE!</v>
      </c>
      <c r="AT150" s="446" t="e">
        <f>IF(OR($B150="",MIN(AT$38,$D$19)&lt;MAX($P$34*($B150+IF($R$17="Distrato",$I$38-1,0)),IF(AND($L$37=0,$P$34=0),"",$L$37-1),IF($R$17="Distrato",$E150,0))),0,YEARFRAC(MAX($P$34*($B150+IF($R$17="Distrato",$I$38-1,0)),IF(AND($L$37=0,$P$34=0),"",$L$37-1),IF($R$17="Distrato",$E150,0)),MIN(AT$38,$D$19),$P$20))-SUM($P150:AS150)</f>
        <v>#VALUE!</v>
      </c>
      <c r="AU150" s="446" t="e">
        <f>IF(OR($B150="",MIN(AU$38,$D$19)&lt;MAX($P$34*($B150+IF($R$17="Distrato",$I$38-1,0)),IF(AND($L$37=0,$P$34=0),"",$L$37-1),IF($R$17="Distrato",$E150,0))),0,YEARFRAC(MAX($P$34*($B150+IF($R$17="Distrato",$I$38-1,0)),IF(AND($L$37=0,$P$34=0),"",$L$37-1),IF($R$17="Distrato",$E150,0)),MIN(AU$38,$D$19),$P$20))-SUM($P150:AT150)</f>
        <v>#VALUE!</v>
      </c>
      <c r="AV150" s="446" t="e">
        <f>IF(OR($B150="",MIN(AV$38,$D$19)&lt;MAX($P$34*($B150+IF($R$17="Distrato",$I$38-1,0)),IF(AND($L$37=0,$P$34=0),"",$L$37-1),IF($R$17="Distrato",$E150,0))),0,YEARFRAC(MAX($P$34*($B150+IF($R$17="Distrato",$I$38-1,0)),IF(AND($L$37=0,$P$34=0),"",$L$37-1),IF($R$17="Distrato",$E150,0)),MIN(AV$38,$D$19),$P$20))-SUM($P150:AU150)</f>
        <v>#VALUE!</v>
      </c>
      <c r="AW150" s="446" t="e">
        <f>IF(OR($B150="",MIN(AW$38,$D$19)&lt;MAX($P$34*($B150+IF($R$17="Distrato",$I$38-1,0)),IF(AND($L$37=0,$P$34=0),"",$L$37-1),IF($R$17="Distrato",$E150,0))),0,YEARFRAC(MAX($P$34*($B150+IF($R$17="Distrato",$I$38-1,0)),IF(AND($L$37=0,$P$34=0),"",$L$37-1),IF($R$17="Distrato",$E150,0)),MIN(AW$38,$D$19),$P$20))-SUM($P150:AV150)</f>
        <v>#VALUE!</v>
      </c>
      <c r="AX150" s="446" t="e">
        <f>IF(OR($B150="",MIN(AX$38,$D$19)&lt;MAX($P$34*($B150+IF($R$17="Distrato",$I$38-1,0)),IF(AND($L$37=0,$P$34=0),"",$L$37-1),IF($R$17="Distrato",$E150,0))),0,YEARFRAC(MAX($P$34*($B150+IF($R$17="Distrato",$I$38-1,0)),IF(AND($L$37=0,$P$34=0),"",$L$37-1),IF($R$17="Distrato",$E150,0)),MIN(AX$38,$D$19),$P$20))-SUM($P150:AW150)</f>
        <v>#VALUE!</v>
      </c>
      <c r="AY150" s="446" t="e">
        <f>IF(OR($B150="",MIN(AY$38,$D$19)&lt;MAX($P$34*($B150+IF($R$17="Distrato",$I$38-1,0)),IF(AND($L$37=0,$P$34=0),"",$L$37-1),IF($R$17="Distrato",$E150,0))),0,YEARFRAC(MAX($P$34*($B150+IF($R$17="Distrato",$I$38-1,0)),IF(AND($L$37=0,$P$34=0),"",$L$37-1),IF($R$17="Distrato",$E150,0)),MIN(AY$38,$D$19),$P$20))-SUM($P150:AX150)</f>
        <v>#VALUE!</v>
      </c>
      <c r="AZ150" s="446" t="e">
        <f>IF(OR($B150="",MIN(AZ$38,$D$19)&lt;MAX($P$34*($B150+IF($R$17="Distrato",$I$38-1,0)),IF(AND($L$37=0,$P$34=0),"",$L$37-1),IF($R$17="Distrato",$E150,0))),0,YEARFRAC(MAX($P$34*($B150+IF($R$17="Distrato",$I$38-1,0)),IF(AND($L$37=0,$P$34=0),"",$L$37-1),IF($R$17="Distrato",$E150,0)),MIN(AZ$38,$D$19),$P$20))-SUM($P150:AY150)</f>
        <v>#VALUE!</v>
      </c>
      <c r="BA150" s="446" t="e">
        <f>IF(OR($B150="",MIN(BA$38,$D$19)&lt;MAX($P$34*($B150+IF($R$17="Distrato",$I$38-1,0)),IF(AND($L$37=0,$P$34=0),"",$L$37-1),IF($R$17="Distrato",$E150,0))),0,YEARFRAC(MAX($P$34*($B150+IF($R$17="Distrato",$I$38-1,0)),IF(AND($L$37=0,$P$34=0),"",$L$37-1),IF($R$17="Distrato",$E150,0)),MIN(BA$38,$D$19),$P$20))-SUM($P150:AZ150)</f>
        <v>#VALUE!</v>
      </c>
      <c r="BB150" s="447"/>
      <c r="BF150" s="446">
        <f t="shared" si="21"/>
        <v>0</v>
      </c>
      <c r="BG150" s="446">
        <f>IF($E150=0,0,IF(MIN(BG$38,$E150)&lt;MAX($P$34*($B150+$I$38-1),IF(AND($L$37=0,$P$34=0),"",$L$37-1)),0,YEARFRAC(MAX($P$34*($B150+$I$38-1),IF(AND($L$37=0,$P$34=0),"",$L$37-1)),MIN(BG$38,$E150),$P$20))-SUM($BF150:BF150))</f>
        <v>0</v>
      </c>
      <c r="BH150" s="446">
        <f>IF($E150=0,0,IF(MIN(BH$38,$E150)&lt;MAX($P$34*($B150+$I$38-1),IF(AND($L$37=0,$P$34=0),"",$L$37-1)),0,YEARFRAC(MAX($P$34*($B150+$I$38-1),IF(AND($L$37=0,$P$34=0),"",$L$37-1)),MIN(BH$38,$E150),$P$20))-SUM($BF150:BG150))</f>
        <v>0</v>
      </c>
      <c r="BI150" s="446">
        <f>IF($E150=0,0,IF(MIN(BI$38,$E150)&lt;MAX($P$34*($B150+$I$38-1),IF(AND($L$37=0,$P$34=0),"",$L$37-1)),0,YEARFRAC(MAX($P$34*($B150+$I$38-1),IF(AND($L$37=0,$P$34=0),"",$L$37-1)),MIN(BI$38,$E150),$P$20))-SUM($BF150:BH150))</f>
        <v>0</v>
      </c>
      <c r="BJ150" s="446">
        <f>IF($E150=0,0,IF(MIN(BJ$38,$E150)&lt;MAX($P$34*($B150+$I$38-1),IF(AND($L$37=0,$P$34=0),"",$L$37-1)),0,YEARFRAC(MAX($P$34*($B150+$I$38-1),IF(AND($L$37=0,$P$34=0),"",$L$37-1)),MIN(BJ$38,$E150),$P$20))-SUM($BF150:BI150))</f>
        <v>0</v>
      </c>
      <c r="BK150" s="446">
        <f>IF($E150=0,0,IF(MIN(BK$38,$E150)&lt;MAX($P$34*($B150+$I$38-1),IF(AND($L$37=0,$P$34=0),"",$L$37-1)),0,YEARFRAC(MAX($P$34*($B150+$I$38-1),IF(AND($L$37=0,$P$34=0),"",$L$37-1)),MIN(BK$38,$E150),$P$20))-SUM($BF150:BJ150))</f>
        <v>0</v>
      </c>
      <c r="BL150" s="446">
        <f>IF($E150=0,0,IF(MIN(BL$38,$E150)&lt;MAX($P$34*($B150+$I$38-1),IF(AND($L$37=0,$P$34=0),"",$L$37-1)),0,YEARFRAC(MAX($P$34*($B150+$I$38-1),IF(AND($L$37=0,$P$34=0),"",$L$37-1)),MIN(BL$38,$E150),$P$20))-SUM($BF150:BK150))</f>
        <v>0</v>
      </c>
      <c r="BM150" s="446">
        <f>IF($E150=0,0,IF(MIN(BM$38,$E150)&lt;MAX($P$34*($B150+$I$38-1),IF(AND($L$37=0,$P$34=0),"",$L$37-1)),0,YEARFRAC(MAX($P$34*($B150+$I$38-1),IF(AND($L$37=0,$P$34=0),"",$L$37-1)),MIN(BM$38,$E150),$P$20))-SUM($BF150:BL150))</f>
        <v>0</v>
      </c>
      <c r="BN150" s="446">
        <f>IF($E150=0,0,IF(MIN(BN$38,$E150)&lt;MAX($P$34*($B150+$I$38-1),IF(AND($L$37=0,$P$34=0),"",$L$37-1)),0,YEARFRAC(MAX($P$34*($B150+$I$38-1),IF(AND($L$37=0,$P$34=0),"",$L$37-1)),MIN(BN$38,$E150),$P$20))-SUM($BF150:BM150))</f>
        <v>0</v>
      </c>
      <c r="BO150" s="446">
        <f>IF($E150=0,0,IF(MIN(BO$38,$E150)&lt;MAX($P$34*($B150+$I$38-1),IF(AND($L$37=0,$P$34=0),"",$L$37-1)),0,YEARFRAC(MAX($P$34*($B150+$I$38-1),IF(AND($L$37=0,$P$34=0),"",$L$37-1)),MIN(BO$38,$E150),$P$20))-SUM($BF150:BN150))</f>
        <v>0</v>
      </c>
      <c r="BP150" s="446">
        <f>IF($E150=0,0,IF(MIN(BP$38,$E150)&lt;MAX($P$34*($B150+$I$38-1),IF(AND($L$37=0,$P$34=0),"",$L$37-1)),0,YEARFRAC(MAX($P$34*($B150+$I$38-1),IF(AND($L$37=0,$P$34=0),"",$L$37-1)),MIN(BP$38,$E150),$P$20))-SUM($BF150:BO150))</f>
        <v>0</v>
      </c>
      <c r="BQ150" s="446">
        <f>IF($E150=0,0,IF(MIN(BQ$38,$E150)&lt;MAX($P$34*($B150+$I$38-1),IF(AND($L$37=0,$P$34=0),"",$L$37-1)),0,YEARFRAC(MAX($P$34*($B150+$I$38-1),IF(AND($L$37=0,$P$34=0),"",$L$37-1)),MIN(BQ$38,$E150),$P$20))-SUM($BF150:BP150))</f>
        <v>0</v>
      </c>
      <c r="BR150" s="446">
        <f>IF($E150=0,0,IF(MIN(BR$38,$E150)&lt;MAX($P$34*($B150+$I$38-1),IF(AND($L$37=0,$P$34=0),"",$L$37-1)),0,YEARFRAC(MAX($P$34*($B150+$I$38-1),IF(AND($L$37=0,$P$34=0),"",$L$37-1)),MIN(BR$38,$E150),$P$20))-SUM($BF150:BQ150))</f>
        <v>0</v>
      </c>
      <c r="BS150" s="446">
        <f>IF($E150=0,0,IF(MIN(BS$38,$E150)&lt;MAX($P$34*($B150+$I$38-1),IF(AND($L$37=0,$P$34=0),"",$L$37-1)),0,YEARFRAC(MAX($P$34*($B150+$I$38-1),IF(AND($L$37=0,$P$34=0),"",$L$37-1)),MIN(BS$38,$E150),$P$20))-SUM($BF150:BR150))</f>
        <v>0</v>
      </c>
      <c r="BT150" s="446">
        <f>IF($E150=0,0,IF(MIN(BT$38,$E150)&lt;MAX($P$34*($B150+$I$38-1),IF(AND($L$37=0,$P$34=0),"",$L$37-1)),0,YEARFRAC(MAX($P$34*($B150+$I$38-1),IF(AND($L$37=0,$P$34=0),"",$L$37-1)),MIN(BT$38,$E150),$P$20))-SUM($BF150:BS150))</f>
        <v>0</v>
      </c>
      <c r="BU150" s="446">
        <f>IF($E150=0,0,IF(MIN(BU$38,$E150)&lt;MAX($P$34*($B150+$I$38-1),IF(AND($L$37=0,$P$34=0),"",$L$37-1)),0,YEARFRAC(MAX($P$34*($B150+$I$38-1),IF(AND($L$37=0,$P$34=0),"",$L$37-1)),MIN(BU$38,$E150),$P$20))-SUM($BF150:BT150))</f>
        <v>0</v>
      </c>
      <c r="BV150" s="446">
        <f>IF($E150=0,0,IF(MIN(BV$38,$E150)&lt;MAX($P$34*($B150+$I$38-1),IF(AND($L$37=0,$P$34=0),"",$L$37-1)),0,YEARFRAC(MAX($P$34*($B150+$I$38-1),IF(AND($L$37=0,$P$34=0),"",$L$37-1)),MIN(BV$38,$E150),$P$20))-SUM($BF150:BU150))</f>
        <v>0</v>
      </c>
      <c r="BW150" s="446">
        <f>IF($E150=0,0,IF(MIN(BW$38,$E150)&lt;MAX($P$34*($B150+$I$38-1),IF(AND($L$37=0,$P$34=0),"",$L$37-1)),0,YEARFRAC(MAX($P$34*($B150+$I$38-1),IF(AND($L$37=0,$P$34=0),"",$L$37-1)),MIN(BW$38,$E150),$P$20))-SUM($BF150:BV150))</f>
        <v>0</v>
      </c>
      <c r="BX150" s="446">
        <f>IF($E150=0,0,IF(MIN(BX$38,$E150)&lt;MAX($P$34*($B150+$I$38-1),IF(AND($L$37=0,$P$34=0),"",$L$37-1)),0,YEARFRAC(MAX($P$34*($B150+$I$38-1),IF(AND($L$37=0,$P$34=0),"",$L$37-1)),MIN(BX$38,$E150),$P$20))-SUM($BF150:BW150))</f>
        <v>0</v>
      </c>
      <c r="BY150" s="446">
        <f>IF($E150=0,0,IF(MIN(BY$38,$E150)&lt;MAX($P$34*($B150+$I$38-1),IF(AND($L$37=0,$P$34=0),"",$L$37-1)),0,YEARFRAC(MAX($P$34*($B150+$I$38-1),IF(AND($L$37=0,$P$34=0),"",$L$37-1)),MIN(BY$38,$E150),$P$20))-SUM($BF150:BX150))</f>
        <v>0</v>
      </c>
      <c r="BZ150" s="446">
        <f>IF($E150=0,0,IF(MIN(BZ$38,$E150)&lt;MAX($P$34*($B150+$I$38-1),IF(AND($L$37=0,$P$34=0),"",$L$37-1)),0,YEARFRAC(MAX($P$34*($B150+$I$38-1),IF(AND($L$37=0,$P$34=0),"",$L$37-1)),MIN(BZ$38,$E150),$P$20))-SUM($BF150:BY150))</f>
        <v>0</v>
      </c>
      <c r="CA150" s="446">
        <f>IF($E150=0,0,IF(MIN(CA$38,$E150)&lt;MAX($P$34*($B150+$I$38-1),IF(AND($L$37=0,$P$34=0),"",$L$37-1)),0,YEARFRAC(MAX($P$34*($B150+$I$38-1),IF(AND($L$37=0,$P$34=0),"",$L$37-1)),MIN(CA$38,$E150),$P$20))-SUM($BF150:BZ150))</f>
        <v>0</v>
      </c>
      <c r="CB150" s="446">
        <f>IF($E150=0,0,IF(MIN(CB$38,$E150)&lt;MAX($P$34*($B150+$I$38-1),IF(AND($L$37=0,$P$34=0),"",$L$37-1)),0,YEARFRAC(MAX($P$34*($B150+$I$38-1),IF(AND($L$37=0,$P$34=0),"",$L$37-1)),MIN(CB$38,$E150),$P$20))-SUM($BF150:CA150))</f>
        <v>0</v>
      </c>
      <c r="CC150" s="446">
        <f>IF($E150=0,0,IF(MIN(CC$38,$E150)&lt;MAX($P$34*($B150+$I$38-1),IF(AND($L$37=0,$P$34=0),"",$L$37-1)),0,YEARFRAC(MAX($P$34*($B150+$I$38-1),IF(AND($L$37=0,$P$34=0),"",$L$37-1)),MIN(CC$38,$E150),$P$20))-SUM($BF150:CB150))</f>
        <v>0</v>
      </c>
      <c r="CD150" s="446">
        <f>IF($E150=0,0,IF(MIN(CD$38,$E150)&lt;MAX($P$34*($B150+$I$38-1),IF(AND($L$37=0,$P$34=0),"",$L$37-1)),0,YEARFRAC(MAX($P$34*($B150+$I$38-1),IF(AND($L$37=0,$P$34=0),"",$L$37-1)),MIN(CD$38,$E150),$P$20))-SUM($BF150:CC150))</f>
        <v>0</v>
      </c>
      <c r="CE150" s="446">
        <f>IF($E150=0,0,IF(MIN(CE$38,$E150)&lt;MAX($P$34*($B150+$I$38-1),IF(AND($L$37=0,$P$34=0),"",$L$37-1)),0,YEARFRAC(MAX($P$34*($B150+$I$38-1),IF(AND($L$37=0,$P$34=0),"",$L$37-1)),MIN(CE$38,$E150),$P$20))-SUM($BF150:CD150))</f>
        <v>0</v>
      </c>
      <c r="CF150" s="446">
        <f>IF($E150=0,0,IF(MIN(CF$38,$E150)&lt;MAX($P$34*($B150+$I$38-1),IF(AND($L$37=0,$P$34=0),"",$L$37-1)),0,YEARFRAC(MAX($P$34*($B150+$I$38-1),IF(AND($L$37=0,$P$34=0),"",$L$37-1)),MIN(CF$38,$E150),$P$20))-SUM($BF150:CE150))</f>
        <v>0</v>
      </c>
      <c r="CG150" s="446">
        <f>IF($E150=0,0,IF(MIN(CG$38,$E150)&lt;MAX($P$34*($B150+$I$38-1),IF(AND($L$37=0,$P$34=0),"",$L$37-1)),0,YEARFRAC(MAX($P$34*($B150+$I$38-1),IF(AND($L$37=0,$P$34=0),"",$L$37-1)),MIN(CG$38,$E150),$P$20))-SUM($BF150:CF150))</f>
        <v>0</v>
      </c>
      <c r="CH150" s="446">
        <f>IF($E150=0,0,IF(MIN(CH$38,$E150)&lt;MAX($P$34*($B150+$I$38-1),IF(AND($L$37=0,$P$34=0),"",$L$37-1)),0,YEARFRAC(MAX($P$34*($B150+$I$38-1),IF(AND($L$37=0,$P$34=0),"",$L$37-1)),MIN(CH$38,$E150),$P$20))-SUM($BF150:CG150))</f>
        <v>0</v>
      </c>
      <c r="CI150" s="446">
        <f>IF($E150=0,0,IF(MIN(CI$38,$E150)&lt;MAX($P$34*($B150+$I$38-1),IF(AND($L$37=0,$P$34=0),"",$L$37-1)),0,YEARFRAC(MAX($P$34*($B150+$I$38-1),IF(AND($L$37=0,$P$34=0),"",$L$37-1)),MIN(CI$38,$E150),$P$20))-SUM($BF150:CH150))</f>
        <v>0</v>
      </c>
      <c r="CJ150" s="446">
        <f>IF($E150=0,0,IF(MIN(CJ$38,$E150)&lt;MAX($P$34*($B150+$I$38-1),IF(AND($L$37=0,$P$34=0),"",$L$37-1)),0,YEARFRAC(MAX($P$34*($B150+$I$38-1),IF(AND($L$37=0,$P$34=0),"",$L$37-1)),MIN(CJ$38,$E150),$P$20))-SUM($BF150:CI150))</f>
        <v>0</v>
      </c>
      <c r="CK150" s="446">
        <f>IF($E150=0,0,IF(MIN(CK$38,$E150)&lt;MAX($P$34*($B150+$I$38-1),IF(AND($L$37=0,$P$34=0),"",$L$37-1)),0,YEARFRAC(MAX($P$34*($B150+$I$38-1),IF(AND($L$37=0,$P$34=0),"",$L$37-1)),MIN(CK$38,$E150),$P$20))-SUM($BF150:CJ150))</f>
        <v>0</v>
      </c>
      <c r="CL150" s="446">
        <f>IF($E150=0,0,IF(MIN(CL$38,$E150)&lt;MAX($P$34*($B150+$I$38-1),IF(AND($L$37=0,$P$34=0),"",$L$37-1)),0,YEARFRAC(MAX($P$34*($B150+$I$38-1),IF(AND($L$37=0,$P$34=0),"",$L$37-1)),MIN(CL$38,$E150),$P$20))-SUM($BF150:CK150))</f>
        <v>0</v>
      </c>
      <c r="CM150" s="446">
        <f>IF($E150=0,0,IF(MIN(CM$38,$E150)&lt;MAX($P$34*($B150+$I$38-1),IF(AND($L$37=0,$P$34=0),"",$L$37-1)),0,YEARFRAC(MAX($P$34*($B150+$I$38-1),IF(AND($L$37=0,$P$34=0),"",$L$37-1)),MIN(CM$38,$E150),$P$20))-SUM($BF150:CL150))</f>
        <v>0</v>
      </c>
      <c r="CN150" s="446">
        <f>IF($E150=0,0,IF(MIN(CN$38,$E150)&lt;MAX($P$34*($B150+$I$38-1),IF(AND($L$37=0,$P$34=0),"",$L$37-1)),0,YEARFRAC(MAX($P$34*($B150+$I$38-1),IF(AND($L$37=0,$P$34=0),"",$L$37-1)),MIN(CN$38,$E150),$P$20))-SUM($BF150:CM150))</f>
        <v>0</v>
      </c>
      <c r="CO150" s="446">
        <f>IF($E150=0,0,IF(MIN(CO$38,$E150)&lt;MAX($P$34*($B150+$I$38-1),IF(AND($L$37=0,$P$34=0),"",$L$37-1)),0,YEARFRAC(MAX($P$34*($B150+$I$38-1),IF(AND($L$37=0,$P$34=0),"",$L$37-1)),MIN(CO$38,$E150),$P$20))-SUM($BF150:CN150))</f>
        <v>0</v>
      </c>
      <c r="CP150" s="446">
        <f>IF($E150=0,0,IF(MIN(CP$38,$E150)&lt;MAX($P$34*($B150+$I$38-1),IF(AND($L$37=0,$P$34=0),"",$L$37-1)),0,YEARFRAC(MAX($P$34*($B150+$I$38-1),IF(AND($L$37=0,$P$34=0),"",$L$37-1)),MIN(CP$38,$E150),$P$20))-SUM($BF150:CO150))</f>
        <v>0</v>
      </c>
      <c r="CQ150" s="446">
        <f>IF($E150=0,0,IF(MIN(CQ$38,$E150)&lt;MAX($P$34*($B150+$I$38-1),IF(AND($L$37=0,$P$34=0),"",$L$37-1)),0,YEARFRAC(MAX($P$34*($B150+$I$38-1),IF(AND($L$37=0,$P$34=0),"",$L$37-1)),MIN(CQ$38,$E150),$P$20))-SUM($BF150:CP150))</f>
        <v>0</v>
      </c>
    </row>
    <row r="151" spans="1:95" s="446" customFormat="1" ht="11.25" hidden="1" customHeight="1" x14ac:dyDescent="0.2">
      <c r="A151" s="152"/>
      <c r="B151" s="153" t="str">
        <f t="shared" si="26"/>
        <v/>
      </c>
      <c r="C151" s="29" t="str">
        <f>IF(B151="","",IF($L$35="SELIC - TRIBUTOS",VLOOKUP(DATE(YEAR($D$19),MONTH($D$19)-1,1),ÍNDICES!$A:$DE,HLOOKUP($BL$25,ÍNDICES!$B$3:$T$4,2)+11)-VLOOKUP(B151,ÍNDICES!$A:$DE,HLOOKUP($BL$25,ÍNDICES!$B$3:$T$4,2)+11)+1%,IF(C$38=$W$26,$J$35,IF(ISERROR(IF(B151&gt;$D$19,1,VLOOKUP(DATE(YEAR(B151),MONTH(B151)+IF($C$35=$S$23,1,0),1),ÍNDICES!$A:$DE,$Z$35+1))),"",IF(B151&gt;$D$19,1,VLOOKUP(DATE(YEAR(B151),MONTH(B151)+IF($C$35=$S$23,1,0),1),ÍNDICES!$A:$DE,$Z$35+1))))))</f>
        <v/>
      </c>
      <c r="D151" s="154" t="str">
        <f>IF(ISERROR(IF(OR($D$38=$Y$27,$B151=""),"",VLOOKUP(B151,ÍNDICES!A:DE,AF$35+1))),"",IF(OR($D$38=$Y$27,$B151=""),"",VLOOKUP(B151,ÍNDICES!A:DE,AF$35+1)))</f>
        <v/>
      </c>
      <c r="E151" s="153"/>
      <c r="F151" s="29" t="str">
        <f>IF(E151="","",IF($L$35="SELIC - TRIBUTOS",VLOOKUP(DATE(YEAR($D$19),MONTH($D$19)-1,1),ÍNDICES!$A:$DE,HLOOKUP($BL$25,ÍNDICES!$B$3:$T$4,2)+11)-VLOOKUP(E151,ÍNDICES!$A:$DE,HLOOKUP($BL$25,ÍNDICES!$B$3:$T$4,2)+11)+1%,IF(F$38=$W$26,$J$35,IF(ISERROR(IF(E151&gt;$D$19,1,VLOOKUP(DATE(YEAR(E151),MONTH(E151)+IF($C$35=$S$23,1,0),1),ÍNDICES!$A:$DE,$Z$35+1))),"",IF(E151&gt;$D$19,1,VLOOKUP(DATE(YEAR(E151),MONTH(E151)+IF($C$35=$S$23,1,0),1),ÍNDICES!$A:$DE,$Z$35+1))))))</f>
        <v/>
      </c>
      <c r="G151" s="155"/>
      <c r="H151" s="156" t="str">
        <f t="shared" si="22"/>
        <v/>
      </c>
      <c r="I151" s="29" t="str">
        <f t="shared" si="16"/>
        <v/>
      </c>
      <c r="J151" s="5">
        <f t="shared" si="17"/>
        <v>0</v>
      </c>
      <c r="K151" s="20">
        <f t="shared" ca="1" si="18"/>
        <v>0</v>
      </c>
      <c r="L151" s="5">
        <f t="shared" ca="1" si="19"/>
        <v>0</v>
      </c>
      <c r="M151" s="64">
        <f t="shared" si="23"/>
        <v>0</v>
      </c>
      <c r="N151" s="61">
        <f t="shared" ca="1" si="24"/>
        <v>0</v>
      </c>
      <c r="O151" s="5">
        <f t="shared" ca="1" si="25"/>
        <v>0</v>
      </c>
      <c r="P151" s="446" t="e">
        <f t="shared" si="20"/>
        <v>#VALUE!</v>
      </c>
      <c r="Q151" s="446" t="e">
        <f>IF(OR($B151="",MIN(Q$38,$D$19)&lt;MAX($P$34*($B151+IF($R$17="Distrato",$I$38-1,0)),IF(AND($L$37=0,$P$34=0),"",$L$37-1),IF($R$17="Distrato",$E151,0))),0,YEARFRAC(MAX($P$34*($B151+IF($R$17="Distrato",$I$38-1,0)),IF(AND($L$37=0,$P$34=0),"",$L$37-1),IF($R$17="Distrato",$E151,0)),MIN(Q$38,$D$19),$P$20))-SUM($P151:P151)</f>
        <v>#VALUE!</v>
      </c>
      <c r="R151" s="446" t="e">
        <f>IF(OR($B151="",MIN(R$38,$D$19)&lt;MAX($P$34*($B151+IF($R$17="Distrato",$I$38-1,0)),IF(AND($L$37=0,$P$34=0),"",$L$37-1),IF($R$17="Distrato",$E151,0))),0,YEARFRAC(MAX($P$34*($B151+IF($R$17="Distrato",$I$38-1,0)),IF(AND($L$37=0,$P$34=0),"",$L$37-1),IF($R$17="Distrato",$E151,0)),MIN(R$38,$D$19),$P$20))-SUM($P151:Q151)</f>
        <v>#VALUE!</v>
      </c>
      <c r="S151" s="446" t="e">
        <f>IF(OR($B151="",MIN(S$38,$D$19)&lt;MAX($P$34*($B151+IF($R$17="Distrato",$I$38-1,0)),IF(AND($L$37=0,$P$34=0),"",$L$37-1),IF($R$17="Distrato",$E151,0))),0,YEARFRAC(MAX($P$34*($B151+IF($R$17="Distrato",$I$38-1,0)),IF(AND($L$37=0,$P$34=0),"",$L$37-1),IF($R$17="Distrato",$E151,0)),MIN(S$38,$D$19),$P$20))-SUM($P151:R151)</f>
        <v>#VALUE!</v>
      </c>
      <c r="T151" s="446" t="e">
        <f>IF(OR($B151="",MIN(T$38,$D$19)&lt;MAX($P$34*($B151+IF($R$17="Distrato",$I$38-1,0)),IF(AND($L$37=0,$P$34=0),"",$L$37-1),IF($R$17="Distrato",$E151,0))),0,YEARFRAC(MAX($P$34*($B151+IF($R$17="Distrato",$I$38-1,0)),IF(AND($L$37=0,$P$34=0),"",$L$37-1),IF($R$17="Distrato",$E151,0)),MIN(T$38,$D$19),$P$20))-SUM($P151:S151)</f>
        <v>#VALUE!</v>
      </c>
      <c r="U151" s="446" t="e">
        <f>IF(OR($B151="",MIN(U$38,$D$19)&lt;MAX($P$34*($B151+IF($R$17="Distrato",$I$38-1,0)),IF(AND($L$37=0,$P$34=0),"",$L$37-1),IF($R$17="Distrato",$E151,0))),0,YEARFRAC(MAX($P$34*($B151+IF($R$17="Distrato",$I$38-1,0)),IF(AND($L$37=0,$P$34=0),"",$L$37-1),IF($R$17="Distrato",$E151,0)),MIN(U$38,$D$19),$P$20))-SUM($P151:T151)</f>
        <v>#VALUE!</v>
      </c>
      <c r="V151" s="446" t="e">
        <f>IF(OR($B151="",MIN(V$38,$D$19)&lt;MAX($P$34*($B151+IF($R$17="Distrato",$I$38-1,0)),IF(AND($L$37=0,$P$34=0),"",$L$37-1),IF($R$17="Distrato",$E151,0))),0,YEARFRAC(MAX($P$34*($B151+IF($R$17="Distrato",$I$38-1,0)),IF(AND($L$37=0,$P$34=0),"",$L$37-1),IF($R$17="Distrato",$E151,0)),MIN(V$38,$D$19),$P$20))-SUM($P151:U151)</f>
        <v>#VALUE!</v>
      </c>
      <c r="W151" s="446" t="e">
        <f>IF(OR($B151="",MIN(W$38,$D$19)&lt;MAX($P$34*($B151+IF($R$17="Distrato",$I$38-1,0)),IF(AND($L$37=0,$P$34=0),"",$L$37-1),IF($R$17="Distrato",$E151,0))),0,YEARFRAC(MAX($P$34*($B151+IF($R$17="Distrato",$I$38-1,0)),IF(AND($L$37=0,$P$34=0),"",$L$37-1),IF($R$17="Distrato",$E151,0)),MIN(W$38,$D$19),$P$20))-SUM($P151:V151)</f>
        <v>#VALUE!</v>
      </c>
      <c r="X151" s="446" t="e">
        <f>IF(OR($B151="",MIN(X$38,$D$19)&lt;MAX($P$34*($B151+IF($R$17="Distrato",$I$38-1,0)),IF(AND($L$37=0,$P$34=0),"",$L$37-1),IF($R$17="Distrato",$E151,0))),0,YEARFRAC(MAX($P$34*($B151+IF($R$17="Distrato",$I$38-1,0)),IF(AND($L$37=0,$P$34=0),"",$L$37-1),IF($R$17="Distrato",$E151,0)),MIN(X$38,$D$19),$P$20))-SUM($P151:W151)</f>
        <v>#VALUE!</v>
      </c>
      <c r="Y151" s="446" t="e">
        <f>IF(OR($B151="",MIN(Y$38,$D$19)&lt;MAX($P$34*($B151+IF($R$17="Distrato",$I$38-1,0)),IF(AND($L$37=0,$P$34=0),"",$L$37-1),IF($R$17="Distrato",$E151,0))),0,YEARFRAC(MAX($P$34*($B151+IF($R$17="Distrato",$I$38-1,0)),IF(AND($L$37=0,$P$34=0),"",$L$37-1),IF($R$17="Distrato",$E151,0)),MIN(Y$38,$D$19),$P$20))-SUM($P151:X151)</f>
        <v>#VALUE!</v>
      </c>
      <c r="Z151" s="446" t="e">
        <f>IF(OR($B151="",MIN(Z$38,$D$19)&lt;MAX($P$34*($B151+IF($R$17="Distrato",$I$38-1,0)),IF(AND($L$37=0,$P$34=0),"",$L$37-1),IF($R$17="Distrato",$E151,0))),0,YEARFRAC(MAX($P$34*($B151+IF($R$17="Distrato",$I$38-1,0)),IF(AND($L$37=0,$P$34=0),"",$L$37-1),IF($R$17="Distrato",$E151,0)),MIN(Z$38,$D$19),$P$20))-SUM($P151:Y151)</f>
        <v>#VALUE!</v>
      </c>
      <c r="AA151" s="446" t="e">
        <f>IF(OR($B151="",MIN(AA$38,$D$19)&lt;MAX($P$34*($B151+IF($R$17="Distrato",$I$38-1,0)),IF(AND($L$37=0,$P$34=0),"",$L$37-1),IF($R$17="Distrato",$E151,0))),0,YEARFRAC(MAX($P$34*($B151+IF($R$17="Distrato",$I$38-1,0)),IF(AND($L$37=0,$P$34=0),"",$L$37-1),IF($R$17="Distrato",$E151,0)),MIN(AA$38,$D$19),$P$20))-SUM($P151:Z151)</f>
        <v>#VALUE!</v>
      </c>
      <c r="AB151" s="446" t="e">
        <f>IF(OR($B151="",MIN(AB$38,$D$19)&lt;MAX($P$34*($B151+IF($R$17="Distrato",$I$38-1,0)),IF(AND($L$37=0,$P$34=0),"",$L$37-1),IF($R$17="Distrato",$E151,0))),0,YEARFRAC(MAX($P$34*($B151+IF($R$17="Distrato",$I$38-1,0)),IF(AND($L$37=0,$P$34=0),"",$L$37-1),IF($R$17="Distrato",$E151,0)),MIN(AB$38,$D$19),$P$20))-SUM($P151:AA151)</f>
        <v>#VALUE!</v>
      </c>
      <c r="AC151" s="446" t="e">
        <f>IF(OR($B151="",MIN(AC$38,$D$19)&lt;MAX($P$34*($B151+IF($R$17="Distrato",$I$38-1,0)),IF(AND($L$37=0,$P$34=0),"",$L$37-1),IF($R$17="Distrato",$E151,0))),0,YEARFRAC(MAX($P$34*($B151+IF($R$17="Distrato",$I$38-1,0)),IF(AND($L$37=0,$P$34=0),"",$L$37-1),IF($R$17="Distrato",$E151,0)),MIN(AC$38,$D$19),$P$20))-SUM($P151:AB151)</f>
        <v>#VALUE!</v>
      </c>
      <c r="AD151" s="446" t="e">
        <f>IF(OR($B151="",MIN(AD$38,$D$19)&lt;MAX($P$34*($B151+IF($R$17="Distrato",$I$38-1,0)),IF(AND($L$37=0,$P$34=0),"",$L$37-1),IF($R$17="Distrato",$E151,0))),0,YEARFRAC(MAX($P$34*($B151+IF($R$17="Distrato",$I$38-1,0)),IF(AND($L$37=0,$P$34=0),"",$L$37-1),IF($R$17="Distrato",$E151,0)),MIN(AD$38,$D$19),$P$20))-SUM($P151:AC151)</f>
        <v>#VALUE!</v>
      </c>
      <c r="AE151" s="446" t="e">
        <f>IF(OR($B151="",MIN(AE$38,$D$19)&lt;MAX($P$34*($B151+IF($R$17="Distrato",$I$38-1,0)),IF(AND($L$37=0,$P$34=0),"",$L$37-1),IF($R$17="Distrato",$E151,0))),0,YEARFRAC(MAX($P$34*($B151+IF($R$17="Distrato",$I$38-1,0)),IF(AND($L$37=0,$P$34=0),"",$L$37-1),IF($R$17="Distrato",$E151,0)),MIN(AE$38,$D$19),$P$20))-SUM($P151:AD151)</f>
        <v>#VALUE!</v>
      </c>
      <c r="AF151" s="446" t="e">
        <f>IF(OR($B151="",MIN(AF$38,$D$19)&lt;MAX($P$34*($B151+IF($R$17="Distrato",$I$38-1,0)),IF(AND($L$37=0,$P$34=0),"",$L$37-1),IF($R$17="Distrato",$E151,0))),0,YEARFRAC(MAX($P$34*($B151+IF($R$17="Distrato",$I$38-1,0)),IF(AND($L$37=0,$P$34=0),"",$L$37-1),IF($R$17="Distrato",$E151,0)),MIN(AF$38,$D$19),$P$20))-SUM($P151:AE151)</f>
        <v>#VALUE!</v>
      </c>
      <c r="AG151" s="446" t="e">
        <f>IF(OR($B151="",MIN(AG$38,$D$19)&lt;MAX($P$34*($B151+IF($R$17="Distrato",$I$38-1,0)),IF(AND($L$37=0,$P$34=0),"",$L$37-1),IF($R$17="Distrato",$E151,0))),0,YEARFRAC(MAX($P$34*($B151+IF($R$17="Distrato",$I$38-1,0)),IF(AND($L$37=0,$P$34=0),"",$L$37-1),IF($R$17="Distrato",$E151,0)),MIN(AG$38,$D$19),$P$20))-SUM($P151:AF151)</f>
        <v>#VALUE!</v>
      </c>
      <c r="AH151" s="446" t="e">
        <f>IF(OR($B151="",MIN(AH$38,$D$19)&lt;MAX($P$34*($B151+IF($R$17="Distrato",$I$38-1,0)),IF(AND($L$37=0,$P$34=0),"",$L$37-1),IF($R$17="Distrato",$E151,0))),0,YEARFRAC(MAX($P$34*($B151+IF($R$17="Distrato",$I$38-1,0)),IF(AND($L$37=0,$P$34=0),"",$L$37-1),IF($R$17="Distrato",$E151,0)),MIN(AH$38,$D$19),$P$20))-SUM($P151:AG151)</f>
        <v>#VALUE!</v>
      </c>
      <c r="AI151" s="446" t="e">
        <f>IF(OR($B151="",MIN(AI$38,$D$19)&lt;MAX($P$34*($B151+IF($R$17="Distrato",$I$38-1,0)),IF(AND($L$37=0,$P$34=0),"",$L$37-1),IF($R$17="Distrato",$E151,0))),0,YEARFRAC(MAX($P$34*($B151+IF($R$17="Distrato",$I$38-1,0)),IF(AND($L$37=0,$P$34=0),"",$L$37-1),IF($R$17="Distrato",$E151,0)),MIN(AI$38,$D$19),$P$20))-SUM($P151:AH151)</f>
        <v>#VALUE!</v>
      </c>
      <c r="AJ151" s="446" t="e">
        <f>IF(OR($B151="",MIN(AJ$38,$D$19)&lt;MAX($P$34*($B151+IF($R$17="Distrato",$I$38-1,0)),IF(AND($L$37=0,$P$34=0),"",$L$37-1),IF($R$17="Distrato",$E151,0))),0,YEARFRAC(MAX($P$34*($B151+IF($R$17="Distrato",$I$38-1,0)),IF(AND($L$37=0,$P$34=0),"",$L$37-1),IF($R$17="Distrato",$E151,0)),MIN(AJ$38,$D$19),$P$20))-SUM($P151:AI151)</f>
        <v>#VALUE!</v>
      </c>
      <c r="AK151" s="446" t="e">
        <f>IF(OR($B151="",MIN(AK$38,$D$19)&lt;MAX($P$34*($B151+IF($R$17="Distrato",$I$38-1,0)),IF(AND($L$37=0,$P$34=0),"",$L$37-1),IF($R$17="Distrato",$E151,0))),0,YEARFRAC(MAX($P$34*($B151+IF($R$17="Distrato",$I$38-1,0)),IF(AND($L$37=0,$P$34=0),"",$L$37-1),IF($R$17="Distrato",$E151,0)),MIN(AK$38,$D$19),$P$20))-SUM($P151:AJ151)</f>
        <v>#VALUE!</v>
      </c>
      <c r="AL151" s="446" t="e">
        <f>IF(OR($B151="",MIN(AL$38,$D$19)&lt;MAX($P$34*($B151+IF($R$17="Distrato",$I$38-1,0)),IF(AND($L$37=0,$P$34=0),"",$L$37-1),IF($R$17="Distrato",$E151,0))),0,YEARFRAC(MAX($P$34*($B151+IF($R$17="Distrato",$I$38-1,0)),IF(AND($L$37=0,$P$34=0),"",$L$37-1),IF($R$17="Distrato",$E151,0)),MIN(AL$38,$D$19),$P$20))-SUM($P151:AK151)</f>
        <v>#VALUE!</v>
      </c>
      <c r="AM151" s="446" t="e">
        <f>IF(OR($B151="",MIN(AM$38,$D$19)&lt;MAX($P$34*($B151+IF($R$17="Distrato",$I$38-1,0)),IF(AND($L$37=0,$P$34=0),"",$L$37-1),IF($R$17="Distrato",$E151,0))),0,YEARFRAC(MAX($P$34*($B151+IF($R$17="Distrato",$I$38-1,0)),IF(AND($L$37=0,$P$34=0),"",$L$37-1),IF($R$17="Distrato",$E151,0)),MIN(AM$38,$D$19),$P$20))-SUM($P151:AL151)</f>
        <v>#VALUE!</v>
      </c>
      <c r="AN151" s="446" t="e">
        <f>IF(OR($B151="",MIN(AN$38,$D$19)&lt;MAX($P$34*($B151+IF($R$17="Distrato",$I$38-1,0)),IF(AND($L$37=0,$P$34=0),"",$L$37-1),IF($R$17="Distrato",$E151,0))),0,YEARFRAC(MAX($P$34*($B151+IF($R$17="Distrato",$I$38-1,0)),IF(AND($L$37=0,$P$34=0),"",$L$37-1),IF($R$17="Distrato",$E151,0)),MIN(AN$38,$D$19),$P$20))-SUM($P151:AM151)</f>
        <v>#VALUE!</v>
      </c>
      <c r="AO151" s="446" t="e">
        <f>IF(OR($B151="",MIN(AO$38,$D$19)&lt;MAX($P$34*($B151+IF($R$17="Distrato",$I$38-1,0)),IF(AND($L$37=0,$P$34=0),"",$L$37-1),IF($R$17="Distrato",$E151,0))),0,YEARFRAC(MAX($P$34*($B151+IF($R$17="Distrato",$I$38-1,0)),IF(AND($L$37=0,$P$34=0),"",$L$37-1),IF($R$17="Distrato",$E151,0)),MIN(AO$38,$D$19),$P$20))-SUM($P151:AN151)</f>
        <v>#VALUE!</v>
      </c>
      <c r="AP151" s="446" t="e">
        <f>IF(OR($B151="",MIN(AP$38,$D$19)&lt;MAX($P$34*($B151+IF($R$17="Distrato",$I$38-1,0)),IF(AND($L$37=0,$P$34=0),"",$L$37-1),IF($R$17="Distrato",$E151,0))),0,YEARFRAC(MAX($P$34*($B151+IF($R$17="Distrato",$I$38-1,0)),IF(AND($L$37=0,$P$34=0),"",$L$37-1),IF($R$17="Distrato",$E151,0)),MIN(AP$38,$D$19),$P$20))-SUM($P151:AO151)</f>
        <v>#VALUE!</v>
      </c>
      <c r="AQ151" s="446" t="e">
        <f>IF(OR($B151="",MIN(AQ$38,$D$19)&lt;MAX($P$34*($B151+IF($R$17="Distrato",$I$38-1,0)),IF(AND($L$37=0,$P$34=0),"",$L$37-1),IF($R$17="Distrato",$E151,0))),0,YEARFRAC(MAX($P$34*($B151+IF($R$17="Distrato",$I$38-1,0)),IF(AND($L$37=0,$P$34=0),"",$L$37-1),IF($R$17="Distrato",$E151,0)),MIN(AQ$38,$D$19),$P$20))-SUM($P151:AP151)</f>
        <v>#VALUE!</v>
      </c>
      <c r="AR151" s="446" t="e">
        <f>IF(OR($B151="",MIN(AR$38,$D$19)&lt;MAX($P$34*($B151+IF($R$17="Distrato",$I$38-1,0)),IF(AND($L$37=0,$P$34=0),"",$L$37-1),IF($R$17="Distrato",$E151,0))),0,YEARFRAC(MAX($P$34*($B151+IF($R$17="Distrato",$I$38-1,0)),IF(AND($L$37=0,$P$34=0),"",$L$37-1),IF($R$17="Distrato",$E151,0)),MIN(AR$38,$D$19),$P$20))-SUM($P151:AQ151)</f>
        <v>#VALUE!</v>
      </c>
      <c r="AS151" s="446" t="e">
        <f>IF(OR($B151="",MIN(AS$38,$D$19)&lt;MAX($P$34*($B151+IF($R$17="Distrato",$I$38-1,0)),IF(AND($L$37=0,$P$34=0),"",$L$37-1),IF($R$17="Distrato",$E151,0))),0,YEARFRAC(MAX($P$34*($B151+IF($R$17="Distrato",$I$38-1,0)),IF(AND($L$37=0,$P$34=0),"",$L$37-1),IF($R$17="Distrato",$E151,0)),MIN(AS$38,$D$19),$P$20))-SUM($P151:AR151)</f>
        <v>#VALUE!</v>
      </c>
      <c r="AT151" s="446" t="e">
        <f>IF(OR($B151="",MIN(AT$38,$D$19)&lt;MAX($P$34*($B151+IF($R$17="Distrato",$I$38-1,0)),IF(AND($L$37=0,$P$34=0),"",$L$37-1),IF($R$17="Distrato",$E151,0))),0,YEARFRAC(MAX($P$34*($B151+IF($R$17="Distrato",$I$38-1,0)),IF(AND($L$37=0,$P$34=0),"",$L$37-1),IF($R$17="Distrato",$E151,0)),MIN(AT$38,$D$19),$P$20))-SUM($P151:AS151)</f>
        <v>#VALUE!</v>
      </c>
      <c r="AU151" s="446" t="e">
        <f>IF(OR($B151="",MIN(AU$38,$D$19)&lt;MAX($P$34*($B151+IF($R$17="Distrato",$I$38-1,0)),IF(AND($L$37=0,$P$34=0),"",$L$37-1),IF($R$17="Distrato",$E151,0))),0,YEARFRAC(MAX($P$34*($B151+IF($R$17="Distrato",$I$38-1,0)),IF(AND($L$37=0,$P$34=0),"",$L$37-1),IF($R$17="Distrato",$E151,0)),MIN(AU$38,$D$19),$P$20))-SUM($P151:AT151)</f>
        <v>#VALUE!</v>
      </c>
      <c r="AV151" s="446" t="e">
        <f>IF(OR($B151="",MIN(AV$38,$D$19)&lt;MAX($P$34*($B151+IF($R$17="Distrato",$I$38-1,0)),IF(AND($L$37=0,$P$34=0),"",$L$37-1),IF($R$17="Distrato",$E151,0))),0,YEARFRAC(MAX($P$34*($B151+IF($R$17="Distrato",$I$38-1,0)),IF(AND($L$37=0,$P$34=0),"",$L$37-1),IF($R$17="Distrato",$E151,0)),MIN(AV$38,$D$19),$P$20))-SUM($P151:AU151)</f>
        <v>#VALUE!</v>
      </c>
      <c r="AW151" s="446" t="e">
        <f>IF(OR($B151="",MIN(AW$38,$D$19)&lt;MAX($P$34*($B151+IF($R$17="Distrato",$I$38-1,0)),IF(AND($L$37=0,$P$34=0),"",$L$37-1),IF($R$17="Distrato",$E151,0))),0,YEARFRAC(MAX($P$34*($B151+IF($R$17="Distrato",$I$38-1,0)),IF(AND($L$37=0,$P$34=0),"",$L$37-1),IF($R$17="Distrato",$E151,0)),MIN(AW$38,$D$19),$P$20))-SUM($P151:AV151)</f>
        <v>#VALUE!</v>
      </c>
      <c r="AX151" s="446" t="e">
        <f>IF(OR($B151="",MIN(AX$38,$D$19)&lt;MAX($P$34*($B151+IF($R$17="Distrato",$I$38-1,0)),IF(AND($L$37=0,$P$34=0),"",$L$37-1),IF($R$17="Distrato",$E151,0))),0,YEARFRAC(MAX($P$34*($B151+IF($R$17="Distrato",$I$38-1,0)),IF(AND($L$37=0,$P$34=0),"",$L$37-1),IF($R$17="Distrato",$E151,0)),MIN(AX$38,$D$19),$P$20))-SUM($P151:AW151)</f>
        <v>#VALUE!</v>
      </c>
      <c r="AY151" s="446" t="e">
        <f>IF(OR($B151="",MIN(AY$38,$D$19)&lt;MAX($P$34*($B151+IF($R$17="Distrato",$I$38-1,0)),IF(AND($L$37=0,$P$34=0),"",$L$37-1),IF($R$17="Distrato",$E151,0))),0,YEARFRAC(MAX($P$34*($B151+IF($R$17="Distrato",$I$38-1,0)),IF(AND($L$37=0,$P$34=0),"",$L$37-1),IF($R$17="Distrato",$E151,0)),MIN(AY$38,$D$19),$P$20))-SUM($P151:AX151)</f>
        <v>#VALUE!</v>
      </c>
      <c r="AZ151" s="446" t="e">
        <f>IF(OR($B151="",MIN(AZ$38,$D$19)&lt;MAX($P$34*($B151+IF($R$17="Distrato",$I$38-1,0)),IF(AND($L$37=0,$P$34=0),"",$L$37-1),IF($R$17="Distrato",$E151,0))),0,YEARFRAC(MAX($P$34*($B151+IF($R$17="Distrato",$I$38-1,0)),IF(AND($L$37=0,$P$34=0),"",$L$37-1),IF($R$17="Distrato",$E151,0)),MIN(AZ$38,$D$19),$P$20))-SUM($P151:AY151)</f>
        <v>#VALUE!</v>
      </c>
      <c r="BA151" s="446" t="e">
        <f>IF(OR($B151="",MIN(BA$38,$D$19)&lt;MAX($P$34*($B151+IF($R$17="Distrato",$I$38-1,0)),IF(AND($L$37=0,$P$34=0),"",$L$37-1),IF($R$17="Distrato",$E151,0))),0,YEARFRAC(MAX($P$34*($B151+IF($R$17="Distrato",$I$38-1,0)),IF(AND($L$37=0,$P$34=0),"",$L$37-1),IF($R$17="Distrato",$E151,0)),MIN(BA$38,$D$19),$P$20))-SUM($P151:AZ151)</f>
        <v>#VALUE!</v>
      </c>
      <c r="BB151" s="447"/>
      <c r="BF151" s="446">
        <f t="shared" si="21"/>
        <v>0</v>
      </c>
      <c r="BG151" s="446">
        <f>IF($E151=0,0,IF(MIN(BG$38,$E151)&lt;MAX($P$34*($B151+$I$38-1),IF(AND($L$37=0,$P$34=0),"",$L$37-1)),0,YEARFRAC(MAX($P$34*($B151+$I$38-1),IF(AND($L$37=0,$P$34=0),"",$L$37-1)),MIN(BG$38,$E151),$P$20))-SUM($BF151:BF151))</f>
        <v>0</v>
      </c>
      <c r="BH151" s="446">
        <f>IF($E151=0,0,IF(MIN(BH$38,$E151)&lt;MAX($P$34*($B151+$I$38-1),IF(AND($L$37=0,$P$34=0),"",$L$37-1)),0,YEARFRAC(MAX($P$34*($B151+$I$38-1),IF(AND($L$37=0,$P$34=0),"",$L$37-1)),MIN(BH$38,$E151),$P$20))-SUM($BF151:BG151))</f>
        <v>0</v>
      </c>
      <c r="BI151" s="446">
        <f>IF($E151=0,0,IF(MIN(BI$38,$E151)&lt;MAX($P$34*($B151+$I$38-1),IF(AND($L$37=0,$P$34=0),"",$L$37-1)),0,YEARFRAC(MAX($P$34*($B151+$I$38-1),IF(AND($L$37=0,$P$34=0),"",$L$37-1)),MIN(BI$38,$E151),$P$20))-SUM($BF151:BH151))</f>
        <v>0</v>
      </c>
      <c r="BJ151" s="446">
        <f>IF($E151=0,0,IF(MIN(BJ$38,$E151)&lt;MAX($P$34*($B151+$I$38-1),IF(AND($L$37=0,$P$34=0),"",$L$37-1)),0,YEARFRAC(MAX($P$34*($B151+$I$38-1),IF(AND($L$37=0,$P$34=0),"",$L$37-1)),MIN(BJ$38,$E151),$P$20))-SUM($BF151:BI151))</f>
        <v>0</v>
      </c>
      <c r="BK151" s="446">
        <f>IF($E151=0,0,IF(MIN(BK$38,$E151)&lt;MAX($P$34*($B151+$I$38-1),IF(AND($L$37=0,$P$34=0),"",$L$37-1)),0,YEARFRAC(MAX($P$34*($B151+$I$38-1),IF(AND($L$37=0,$P$34=0),"",$L$37-1)),MIN(BK$38,$E151),$P$20))-SUM($BF151:BJ151))</f>
        <v>0</v>
      </c>
      <c r="BL151" s="446">
        <f>IF($E151=0,0,IF(MIN(BL$38,$E151)&lt;MAX($P$34*($B151+$I$38-1),IF(AND($L$37=0,$P$34=0),"",$L$37-1)),0,YEARFRAC(MAX($P$34*($B151+$I$38-1),IF(AND($L$37=0,$P$34=0),"",$L$37-1)),MIN(BL$38,$E151),$P$20))-SUM($BF151:BK151))</f>
        <v>0</v>
      </c>
      <c r="BM151" s="446">
        <f>IF($E151=0,0,IF(MIN(BM$38,$E151)&lt;MAX($P$34*($B151+$I$38-1),IF(AND($L$37=0,$P$34=0),"",$L$37-1)),0,YEARFRAC(MAX($P$34*($B151+$I$38-1),IF(AND($L$37=0,$P$34=0),"",$L$37-1)),MIN(BM$38,$E151),$P$20))-SUM($BF151:BL151))</f>
        <v>0</v>
      </c>
      <c r="BN151" s="446">
        <f>IF($E151=0,0,IF(MIN(BN$38,$E151)&lt;MAX($P$34*($B151+$I$38-1),IF(AND($L$37=0,$P$34=0),"",$L$37-1)),0,YEARFRAC(MAX($P$34*($B151+$I$38-1),IF(AND($L$37=0,$P$34=0),"",$L$37-1)),MIN(BN$38,$E151),$P$20))-SUM($BF151:BM151))</f>
        <v>0</v>
      </c>
      <c r="BO151" s="446">
        <f>IF($E151=0,0,IF(MIN(BO$38,$E151)&lt;MAX($P$34*($B151+$I$38-1),IF(AND($L$37=0,$P$34=0),"",$L$37-1)),0,YEARFRAC(MAX($P$34*($B151+$I$38-1),IF(AND($L$37=0,$P$34=0),"",$L$37-1)),MIN(BO$38,$E151),$P$20))-SUM($BF151:BN151))</f>
        <v>0</v>
      </c>
      <c r="BP151" s="446">
        <f>IF($E151=0,0,IF(MIN(BP$38,$E151)&lt;MAX($P$34*($B151+$I$38-1),IF(AND($L$37=0,$P$34=0),"",$L$37-1)),0,YEARFRAC(MAX($P$34*($B151+$I$38-1),IF(AND($L$37=0,$P$34=0),"",$L$37-1)),MIN(BP$38,$E151),$P$20))-SUM($BF151:BO151))</f>
        <v>0</v>
      </c>
      <c r="BQ151" s="446">
        <f>IF($E151=0,0,IF(MIN(BQ$38,$E151)&lt;MAX($P$34*($B151+$I$38-1),IF(AND($L$37=0,$P$34=0),"",$L$37-1)),0,YEARFRAC(MAX($P$34*($B151+$I$38-1),IF(AND($L$37=0,$P$34=0),"",$L$37-1)),MIN(BQ$38,$E151),$P$20))-SUM($BF151:BP151))</f>
        <v>0</v>
      </c>
      <c r="BR151" s="446">
        <f>IF($E151=0,0,IF(MIN(BR$38,$E151)&lt;MAX($P$34*($B151+$I$38-1),IF(AND($L$37=0,$P$34=0),"",$L$37-1)),0,YEARFRAC(MAX($P$34*($B151+$I$38-1),IF(AND($L$37=0,$P$34=0),"",$L$37-1)),MIN(BR$38,$E151),$P$20))-SUM($BF151:BQ151))</f>
        <v>0</v>
      </c>
      <c r="BS151" s="446">
        <f>IF($E151=0,0,IF(MIN(BS$38,$E151)&lt;MAX($P$34*($B151+$I$38-1),IF(AND($L$37=0,$P$34=0),"",$L$37-1)),0,YEARFRAC(MAX($P$34*($B151+$I$38-1),IF(AND($L$37=0,$P$34=0),"",$L$37-1)),MIN(BS$38,$E151),$P$20))-SUM($BF151:BR151))</f>
        <v>0</v>
      </c>
      <c r="BT151" s="446">
        <f>IF($E151=0,0,IF(MIN(BT$38,$E151)&lt;MAX($P$34*($B151+$I$38-1),IF(AND($L$37=0,$P$34=0),"",$L$37-1)),0,YEARFRAC(MAX($P$34*($B151+$I$38-1),IF(AND($L$37=0,$P$34=0),"",$L$37-1)),MIN(BT$38,$E151),$P$20))-SUM($BF151:BS151))</f>
        <v>0</v>
      </c>
      <c r="BU151" s="446">
        <f>IF($E151=0,0,IF(MIN(BU$38,$E151)&lt;MAX($P$34*($B151+$I$38-1),IF(AND($L$37=0,$P$34=0),"",$L$37-1)),0,YEARFRAC(MAX($P$34*($B151+$I$38-1),IF(AND($L$37=0,$P$34=0),"",$L$37-1)),MIN(BU$38,$E151),$P$20))-SUM($BF151:BT151))</f>
        <v>0</v>
      </c>
      <c r="BV151" s="446">
        <f>IF($E151=0,0,IF(MIN(BV$38,$E151)&lt;MAX($P$34*($B151+$I$38-1),IF(AND($L$37=0,$P$34=0),"",$L$37-1)),0,YEARFRAC(MAX($P$34*($B151+$I$38-1),IF(AND($L$37=0,$P$34=0),"",$L$37-1)),MIN(BV$38,$E151),$P$20))-SUM($BF151:BU151))</f>
        <v>0</v>
      </c>
      <c r="BW151" s="446">
        <f>IF($E151=0,0,IF(MIN(BW$38,$E151)&lt;MAX($P$34*($B151+$I$38-1),IF(AND($L$37=0,$P$34=0),"",$L$37-1)),0,YEARFRAC(MAX($P$34*($B151+$I$38-1),IF(AND($L$37=0,$P$34=0),"",$L$37-1)),MIN(BW$38,$E151),$P$20))-SUM($BF151:BV151))</f>
        <v>0</v>
      </c>
      <c r="BX151" s="446">
        <f>IF($E151=0,0,IF(MIN(BX$38,$E151)&lt;MAX($P$34*($B151+$I$38-1),IF(AND($L$37=0,$P$34=0),"",$L$37-1)),0,YEARFRAC(MAX($P$34*($B151+$I$38-1),IF(AND($L$37=0,$P$34=0),"",$L$37-1)),MIN(BX$38,$E151),$P$20))-SUM($BF151:BW151))</f>
        <v>0</v>
      </c>
      <c r="BY151" s="446">
        <f>IF($E151=0,0,IF(MIN(BY$38,$E151)&lt;MAX($P$34*($B151+$I$38-1),IF(AND($L$37=0,$P$34=0),"",$L$37-1)),0,YEARFRAC(MAX($P$34*($B151+$I$38-1),IF(AND($L$37=0,$P$34=0),"",$L$37-1)),MIN(BY$38,$E151),$P$20))-SUM($BF151:BX151))</f>
        <v>0</v>
      </c>
      <c r="BZ151" s="446">
        <f>IF($E151=0,0,IF(MIN(BZ$38,$E151)&lt;MAX($P$34*($B151+$I$38-1),IF(AND($L$37=0,$P$34=0),"",$L$37-1)),0,YEARFRAC(MAX($P$34*($B151+$I$38-1),IF(AND($L$37=0,$P$34=0),"",$L$37-1)),MIN(BZ$38,$E151),$P$20))-SUM($BF151:BY151))</f>
        <v>0</v>
      </c>
      <c r="CA151" s="446">
        <f>IF($E151=0,0,IF(MIN(CA$38,$E151)&lt;MAX($P$34*($B151+$I$38-1),IF(AND($L$37=0,$P$34=0),"",$L$37-1)),0,YEARFRAC(MAX($P$34*($B151+$I$38-1),IF(AND($L$37=0,$P$34=0),"",$L$37-1)),MIN(CA$38,$E151),$P$20))-SUM($BF151:BZ151))</f>
        <v>0</v>
      </c>
      <c r="CB151" s="446">
        <f>IF($E151=0,0,IF(MIN(CB$38,$E151)&lt;MAX($P$34*($B151+$I$38-1),IF(AND($L$37=0,$P$34=0),"",$L$37-1)),0,YEARFRAC(MAX($P$34*($B151+$I$38-1),IF(AND($L$37=0,$P$34=0),"",$L$37-1)),MIN(CB$38,$E151),$P$20))-SUM($BF151:CA151))</f>
        <v>0</v>
      </c>
      <c r="CC151" s="446">
        <f>IF($E151=0,0,IF(MIN(CC$38,$E151)&lt;MAX($P$34*($B151+$I$38-1),IF(AND($L$37=0,$P$34=0),"",$L$37-1)),0,YEARFRAC(MAX($P$34*($B151+$I$38-1),IF(AND($L$37=0,$P$34=0),"",$L$37-1)),MIN(CC$38,$E151),$P$20))-SUM($BF151:CB151))</f>
        <v>0</v>
      </c>
      <c r="CD151" s="446">
        <f>IF($E151=0,0,IF(MIN(CD$38,$E151)&lt;MAX($P$34*($B151+$I$38-1),IF(AND($L$37=0,$P$34=0),"",$L$37-1)),0,YEARFRAC(MAX($P$34*($B151+$I$38-1),IF(AND($L$37=0,$P$34=0),"",$L$37-1)),MIN(CD$38,$E151),$P$20))-SUM($BF151:CC151))</f>
        <v>0</v>
      </c>
      <c r="CE151" s="446">
        <f>IF($E151=0,0,IF(MIN(CE$38,$E151)&lt;MAX($P$34*($B151+$I$38-1),IF(AND($L$37=0,$P$34=0),"",$L$37-1)),0,YEARFRAC(MAX($P$34*($B151+$I$38-1),IF(AND($L$37=0,$P$34=0),"",$L$37-1)),MIN(CE$38,$E151),$P$20))-SUM($BF151:CD151))</f>
        <v>0</v>
      </c>
      <c r="CF151" s="446">
        <f>IF($E151=0,0,IF(MIN(CF$38,$E151)&lt;MAX($P$34*($B151+$I$38-1),IF(AND($L$37=0,$P$34=0),"",$L$37-1)),0,YEARFRAC(MAX($P$34*($B151+$I$38-1),IF(AND($L$37=0,$P$34=0),"",$L$37-1)),MIN(CF$38,$E151),$P$20))-SUM($BF151:CE151))</f>
        <v>0</v>
      </c>
      <c r="CG151" s="446">
        <f>IF($E151=0,0,IF(MIN(CG$38,$E151)&lt;MAX($P$34*($B151+$I$38-1),IF(AND($L$37=0,$P$34=0),"",$L$37-1)),0,YEARFRAC(MAX($P$34*($B151+$I$38-1),IF(AND($L$37=0,$P$34=0),"",$L$37-1)),MIN(CG$38,$E151),$P$20))-SUM($BF151:CF151))</f>
        <v>0</v>
      </c>
      <c r="CH151" s="446">
        <f>IF($E151=0,0,IF(MIN(CH$38,$E151)&lt;MAX($P$34*($B151+$I$38-1),IF(AND($L$37=0,$P$34=0),"",$L$37-1)),0,YEARFRAC(MAX($P$34*($B151+$I$38-1),IF(AND($L$37=0,$P$34=0),"",$L$37-1)),MIN(CH$38,$E151),$P$20))-SUM($BF151:CG151))</f>
        <v>0</v>
      </c>
      <c r="CI151" s="446">
        <f>IF($E151=0,0,IF(MIN(CI$38,$E151)&lt;MAX($P$34*($B151+$I$38-1),IF(AND($L$37=0,$P$34=0),"",$L$37-1)),0,YEARFRAC(MAX($P$34*($B151+$I$38-1),IF(AND($L$37=0,$P$34=0),"",$L$37-1)),MIN(CI$38,$E151),$P$20))-SUM($BF151:CH151))</f>
        <v>0</v>
      </c>
      <c r="CJ151" s="446">
        <f>IF($E151=0,0,IF(MIN(CJ$38,$E151)&lt;MAX($P$34*($B151+$I$38-1),IF(AND($L$37=0,$P$34=0),"",$L$37-1)),0,YEARFRAC(MAX($P$34*($B151+$I$38-1),IF(AND($L$37=0,$P$34=0),"",$L$37-1)),MIN(CJ$38,$E151),$P$20))-SUM($BF151:CI151))</f>
        <v>0</v>
      </c>
      <c r="CK151" s="446">
        <f>IF($E151=0,0,IF(MIN(CK$38,$E151)&lt;MAX($P$34*($B151+$I$38-1),IF(AND($L$37=0,$P$34=0),"",$L$37-1)),0,YEARFRAC(MAX($P$34*($B151+$I$38-1),IF(AND($L$37=0,$P$34=0),"",$L$37-1)),MIN(CK$38,$E151),$P$20))-SUM($BF151:CJ151))</f>
        <v>0</v>
      </c>
      <c r="CL151" s="446">
        <f>IF($E151=0,0,IF(MIN(CL$38,$E151)&lt;MAX($P$34*($B151+$I$38-1),IF(AND($L$37=0,$P$34=0),"",$L$37-1)),0,YEARFRAC(MAX($P$34*($B151+$I$38-1),IF(AND($L$37=0,$P$34=0),"",$L$37-1)),MIN(CL$38,$E151),$P$20))-SUM($BF151:CK151))</f>
        <v>0</v>
      </c>
      <c r="CM151" s="446">
        <f>IF($E151=0,0,IF(MIN(CM$38,$E151)&lt;MAX($P$34*($B151+$I$38-1),IF(AND($L$37=0,$P$34=0),"",$L$37-1)),0,YEARFRAC(MAX($P$34*($B151+$I$38-1),IF(AND($L$37=0,$P$34=0),"",$L$37-1)),MIN(CM$38,$E151),$P$20))-SUM($BF151:CL151))</f>
        <v>0</v>
      </c>
      <c r="CN151" s="446">
        <f>IF($E151=0,0,IF(MIN(CN$38,$E151)&lt;MAX($P$34*($B151+$I$38-1),IF(AND($L$37=0,$P$34=0),"",$L$37-1)),0,YEARFRAC(MAX($P$34*($B151+$I$38-1),IF(AND($L$37=0,$P$34=0),"",$L$37-1)),MIN(CN$38,$E151),$P$20))-SUM($BF151:CM151))</f>
        <v>0</v>
      </c>
      <c r="CO151" s="446">
        <f>IF($E151=0,0,IF(MIN(CO$38,$E151)&lt;MAX($P$34*($B151+$I$38-1),IF(AND($L$37=0,$P$34=0),"",$L$37-1)),0,YEARFRAC(MAX($P$34*($B151+$I$38-1),IF(AND($L$37=0,$P$34=0),"",$L$37-1)),MIN(CO$38,$E151),$P$20))-SUM($BF151:CN151))</f>
        <v>0</v>
      </c>
      <c r="CP151" s="446">
        <f>IF($E151=0,0,IF(MIN(CP$38,$E151)&lt;MAX($P$34*($B151+$I$38-1),IF(AND($L$37=0,$P$34=0),"",$L$37-1)),0,YEARFRAC(MAX($P$34*($B151+$I$38-1),IF(AND($L$37=0,$P$34=0),"",$L$37-1)),MIN(CP$38,$E151),$P$20))-SUM($BF151:CO151))</f>
        <v>0</v>
      </c>
      <c r="CQ151" s="446">
        <f>IF($E151=0,0,IF(MIN(CQ$38,$E151)&lt;MAX($P$34*($B151+$I$38-1),IF(AND($L$37=0,$P$34=0),"",$L$37-1)),0,YEARFRAC(MAX($P$34*($B151+$I$38-1),IF(AND($L$37=0,$P$34=0),"",$L$37-1)),MIN(CQ$38,$E151),$P$20))-SUM($BF151:CP151))</f>
        <v>0</v>
      </c>
    </row>
    <row r="152" spans="1:95" s="446" customFormat="1" ht="11.25" hidden="1" customHeight="1" x14ac:dyDescent="0.2">
      <c r="A152" s="152"/>
      <c r="B152" s="153" t="str">
        <f t="shared" si="26"/>
        <v/>
      </c>
      <c r="C152" s="29" t="str">
        <f>IF(B152="","",IF($L$35="SELIC - TRIBUTOS",VLOOKUP(DATE(YEAR($D$19),MONTH($D$19)-1,1),ÍNDICES!$A:$DE,HLOOKUP($BL$25,ÍNDICES!$B$3:$T$4,2)+11)-VLOOKUP(B152,ÍNDICES!$A:$DE,HLOOKUP($BL$25,ÍNDICES!$B$3:$T$4,2)+11)+1%,IF(C$38=$W$26,$J$35,IF(ISERROR(IF(B152&gt;$D$19,1,VLOOKUP(DATE(YEAR(B152),MONTH(B152)+IF($C$35=$S$23,1,0),1),ÍNDICES!$A:$DE,$Z$35+1))),"",IF(B152&gt;$D$19,1,VLOOKUP(DATE(YEAR(B152),MONTH(B152)+IF($C$35=$S$23,1,0),1),ÍNDICES!$A:$DE,$Z$35+1))))))</f>
        <v/>
      </c>
      <c r="D152" s="154" t="str">
        <f>IF(ISERROR(IF(OR($D$38=$Y$27,$B152=""),"",VLOOKUP(B152,ÍNDICES!A:DE,AF$35+1))),"",IF(OR($D$38=$Y$27,$B152=""),"",VLOOKUP(B152,ÍNDICES!A:DE,AF$35+1)))</f>
        <v/>
      </c>
      <c r="E152" s="153"/>
      <c r="F152" s="29" t="str">
        <f>IF(E152="","",IF($L$35="SELIC - TRIBUTOS",VLOOKUP(DATE(YEAR($D$19),MONTH($D$19)-1,1),ÍNDICES!$A:$DE,HLOOKUP($BL$25,ÍNDICES!$B$3:$T$4,2)+11)-VLOOKUP(E152,ÍNDICES!$A:$DE,HLOOKUP($BL$25,ÍNDICES!$B$3:$T$4,2)+11)+1%,IF(F$38=$W$26,$J$35,IF(ISERROR(IF(E152&gt;$D$19,1,VLOOKUP(DATE(YEAR(E152),MONTH(E152)+IF($C$35=$S$23,1,0),1),ÍNDICES!$A:$DE,$Z$35+1))),"",IF(E152&gt;$D$19,1,VLOOKUP(DATE(YEAR(E152),MONTH(E152)+IF($C$35=$S$23,1,0),1),ÍNDICES!$A:$DE,$Z$35+1))))))</f>
        <v/>
      </c>
      <c r="G152" s="155"/>
      <c r="H152" s="156" t="str">
        <f t="shared" si="22"/>
        <v/>
      </c>
      <c r="I152" s="29" t="str">
        <f t="shared" si="16"/>
        <v/>
      </c>
      <c r="J152" s="5">
        <f t="shared" si="17"/>
        <v>0</v>
      </c>
      <c r="K152" s="20">
        <f t="shared" ca="1" si="18"/>
        <v>0</v>
      </c>
      <c r="L152" s="5">
        <f t="shared" ca="1" si="19"/>
        <v>0</v>
      </c>
      <c r="M152" s="64">
        <f t="shared" si="23"/>
        <v>0</v>
      </c>
      <c r="N152" s="61">
        <f t="shared" ca="1" si="24"/>
        <v>0</v>
      </c>
      <c r="O152" s="5">
        <f t="shared" ca="1" si="25"/>
        <v>0</v>
      </c>
      <c r="P152" s="446" t="e">
        <f t="shared" si="20"/>
        <v>#VALUE!</v>
      </c>
      <c r="Q152" s="446" t="e">
        <f>IF(OR($B152="",MIN(Q$38,$D$19)&lt;MAX($P$34*($B152+IF($R$17="Distrato",$I$38-1,0)),IF(AND($L$37=0,$P$34=0),"",$L$37-1),IF($R$17="Distrato",$E152,0))),0,YEARFRAC(MAX($P$34*($B152+IF($R$17="Distrato",$I$38-1,0)),IF(AND($L$37=0,$P$34=0),"",$L$37-1),IF($R$17="Distrato",$E152,0)),MIN(Q$38,$D$19),$P$20))-SUM($P152:P152)</f>
        <v>#VALUE!</v>
      </c>
      <c r="R152" s="446" t="e">
        <f>IF(OR($B152="",MIN(R$38,$D$19)&lt;MAX($P$34*($B152+IF($R$17="Distrato",$I$38-1,0)),IF(AND($L$37=0,$P$34=0),"",$L$37-1),IF($R$17="Distrato",$E152,0))),0,YEARFRAC(MAX($P$34*($B152+IF($R$17="Distrato",$I$38-1,0)),IF(AND($L$37=0,$P$34=0),"",$L$37-1),IF($R$17="Distrato",$E152,0)),MIN(R$38,$D$19),$P$20))-SUM($P152:Q152)</f>
        <v>#VALUE!</v>
      </c>
      <c r="S152" s="446" t="e">
        <f>IF(OR($B152="",MIN(S$38,$D$19)&lt;MAX($P$34*($B152+IF($R$17="Distrato",$I$38-1,0)),IF(AND($L$37=0,$P$34=0),"",$L$37-1),IF($R$17="Distrato",$E152,0))),0,YEARFRAC(MAX($P$34*($B152+IF($R$17="Distrato",$I$38-1,0)),IF(AND($L$37=0,$P$34=0),"",$L$37-1),IF($R$17="Distrato",$E152,0)),MIN(S$38,$D$19),$P$20))-SUM($P152:R152)</f>
        <v>#VALUE!</v>
      </c>
      <c r="T152" s="446" t="e">
        <f>IF(OR($B152="",MIN(T$38,$D$19)&lt;MAX($P$34*($B152+IF($R$17="Distrato",$I$38-1,0)),IF(AND($L$37=0,$P$34=0),"",$L$37-1),IF($R$17="Distrato",$E152,0))),0,YEARFRAC(MAX($P$34*($B152+IF($R$17="Distrato",$I$38-1,0)),IF(AND($L$37=0,$P$34=0),"",$L$37-1),IF($R$17="Distrato",$E152,0)),MIN(T$38,$D$19),$P$20))-SUM($P152:S152)</f>
        <v>#VALUE!</v>
      </c>
      <c r="U152" s="446" t="e">
        <f>IF(OR($B152="",MIN(U$38,$D$19)&lt;MAX($P$34*($B152+IF($R$17="Distrato",$I$38-1,0)),IF(AND($L$37=0,$P$34=0),"",$L$37-1),IF($R$17="Distrato",$E152,0))),0,YEARFRAC(MAX($P$34*($B152+IF($R$17="Distrato",$I$38-1,0)),IF(AND($L$37=0,$P$34=0),"",$L$37-1),IF($R$17="Distrato",$E152,0)),MIN(U$38,$D$19),$P$20))-SUM($P152:T152)</f>
        <v>#VALUE!</v>
      </c>
      <c r="V152" s="446" t="e">
        <f>IF(OR($B152="",MIN(V$38,$D$19)&lt;MAX($P$34*($B152+IF($R$17="Distrato",$I$38-1,0)),IF(AND($L$37=0,$P$34=0),"",$L$37-1),IF($R$17="Distrato",$E152,0))),0,YEARFRAC(MAX($P$34*($B152+IF($R$17="Distrato",$I$38-1,0)),IF(AND($L$37=0,$P$34=0),"",$L$37-1),IF($R$17="Distrato",$E152,0)),MIN(V$38,$D$19),$P$20))-SUM($P152:U152)</f>
        <v>#VALUE!</v>
      </c>
      <c r="W152" s="446" t="e">
        <f>IF(OR($B152="",MIN(W$38,$D$19)&lt;MAX($P$34*($B152+IF($R$17="Distrato",$I$38-1,0)),IF(AND($L$37=0,$P$34=0),"",$L$37-1),IF($R$17="Distrato",$E152,0))),0,YEARFRAC(MAX($P$34*($B152+IF($R$17="Distrato",$I$38-1,0)),IF(AND($L$37=0,$P$34=0),"",$L$37-1),IF($R$17="Distrato",$E152,0)),MIN(W$38,$D$19),$P$20))-SUM($P152:V152)</f>
        <v>#VALUE!</v>
      </c>
      <c r="X152" s="446" t="e">
        <f>IF(OR($B152="",MIN(X$38,$D$19)&lt;MAX($P$34*($B152+IF($R$17="Distrato",$I$38-1,0)),IF(AND($L$37=0,$P$34=0),"",$L$37-1),IF($R$17="Distrato",$E152,0))),0,YEARFRAC(MAX($P$34*($B152+IF($R$17="Distrato",$I$38-1,0)),IF(AND($L$37=0,$P$34=0),"",$L$37-1),IF($R$17="Distrato",$E152,0)),MIN(X$38,$D$19),$P$20))-SUM($P152:W152)</f>
        <v>#VALUE!</v>
      </c>
      <c r="Y152" s="446" t="e">
        <f>IF(OR($B152="",MIN(Y$38,$D$19)&lt;MAX($P$34*($B152+IF($R$17="Distrato",$I$38-1,0)),IF(AND($L$37=0,$P$34=0),"",$L$37-1),IF($R$17="Distrato",$E152,0))),0,YEARFRAC(MAX($P$34*($B152+IF($R$17="Distrato",$I$38-1,0)),IF(AND($L$37=0,$P$34=0),"",$L$37-1),IF($R$17="Distrato",$E152,0)),MIN(Y$38,$D$19),$P$20))-SUM($P152:X152)</f>
        <v>#VALUE!</v>
      </c>
      <c r="Z152" s="446" t="e">
        <f>IF(OR($B152="",MIN(Z$38,$D$19)&lt;MAX($P$34*($B152+IF($R$17="Distrato",$I$38-1,0)),IF(AND($L$37=0,$P$34=0),"",$L$37-1),IF($R$17="Distrato",$E152,0))),0,YEARFRAC(MAX($P$34*($B152+IF($R$17="Distrato",$I$38-1,0)),IF(AND($L$37=0,$P$34=0),"",$L$37-1),IF($R$17="Distrato",$E152,0)),MIN(Z$38,$D$19),$P$20))-SUM($P152:Y152)</f>
        <v>#VALUE!</v>
      </c>
      <c r="AA152" s="446" t="e">
        <f>IF(OR($B152="",MIN(AA$38,$D$19)&lt;MAX($P$34*($B152+IF($R$17="Distrato",$I$38-1,0)),IF(AND($L$37=0,$P$34=0),"",$L$37-1),IF($R$17="Distrato",$E152,0))),0,YEARFRAC(MAX($P$34*($B152+IF($R$17="Distrato",$I$38-1,0)),IF(AND($L$37=0,$P$34=0),"",$L$37-1),IF($R$17="Distrato",$E152,0)),MIN(AA$38,$D$19),$P$20))-SUM($P152:Z152)</f>
        <v>#VALUE!</v>
      </c>
      <c r="AB152" s="446" t="e">
        <f>IF(OR($B152="",MIN(AB$38,$D$19)&lt;MAX($P$34*($B152+IF($R$17="Distrato",$I$38-1,0)),IF(AND($L$37=0,$P$34=0),"",$L$37-1),IF($R$17="Distrato",$E152,0))),0,YEARFRAC(MAX($P$34*($B152+IF($R$17="Distrato",$I$38-1,0)),IF(AND($L$37=0,$P$34=0),"",$L$37-1),IF($R$17="Distrato",$E152,0)),MIN(AB$38,$D$19),$P$20))-SUM($P152:AA152)</f>
        <v>#VALUE!</v>
      </c>
      <c r="AC152" s="446" t="e">
        <f>IF(OR($B152="",MIN(AC$38,$D$19)&lt;MAX($P$34*($B152+IF($R$17="Distrato",$I$38-1,0)),IF(AND($L$37=0,$P$34=0),"",$L$37-1),IF($R$17="Distrato",$E152,0))),0,YEARFRAC(MAX($P$34*($B152+IF($R$17="Distrato",$I$38-1,0)),IF(AND($L$37=0,$P$34=0),"",$L$37-1),IF($R$17="Distrato",$E152,0)),MIN(AC$38,$D$19),$P$20))-SUM($P152:AB152)</f>
        <v>#VALUE!</v>
      </c>
      <c r="AD152" s="446" t="e">
        <f>IF(OR($B152="",MIN(AD$38,$D$19)&lt;MAX($P$34*($B152+IF($R$17="Distrato",$I$38-1,0)),IF(AND($L$37=0,$P$34=0),"",$L$37-1),IF($R$17="Distrato",$E152,0))),0,YEARFRAC(MAX($P$34*($B152+IF($R$17="Distrato",$I$38-1,0)),IF(AND($L$37=0,$P$34=0),"",$L$37-1),IF($R$17="Distrato",$E152,0)),MIN(AD$38,$D$19),$P$20))-SUM($P152:AC152)</f>
        <v>#VALUE!</v>
      </c>
      <c r="AE152" s="446" t="e">
        <f>IF(OR($B152="",MIN(AE$38,$D$19)&lt;MAX($P$34*($B152+IF($R$17="Distrato",$I$38-1,0)),IF(AND($L$37=0,$P$34=0),"",$L$37-1),IF($R$17="Distrato",$E152,0))),0,YEARFRAC(MAX($P$34*($B152+IF($R$17="Distrato",$I$38-1,0)),IF(AND($L$37=0,$P$34=0),"",$L$37-1),IF($R$17="Distrato",$E152,0)),MIN(AE$38,$D$19),$P$20))-SUM($P152:AD152)</f>
        <v>#VALUE!</v>
      </c>
      <c r="AF152" s="446" t="e">
        <f>IF(OR($B152="",MIN(AF$38,$D$19)&lt;MAX($P$34*($B152+IF($R$17="Distrato",$I$38-1,0)),IF(AND($L$37=0,$P$34=0),"",$L$37-1),IF($R$17="Distrato",$E152,0))),0,YEARFRAC(MAX($P$34*($B152+IF($R$17="Distrato",$I$38-1,0)),IF(AND($L$37=0,$P$34=0),"",$L$37-1),IF($R$17="Distrato",$E152,0)),MIN(AF$38,$D$19),$P$20))-SUM($P152:AE152)</f>
        <v>#VALUE!</v>
      </c>
      <c r="AG152" s="446" t="e">
        <f>IF(OR($B152="",MIN(AG$38,$D$19)&lt;MAX($P$34*($B152+IF($R$17="Distrato",$I$38-1,0)),IF(AND($L$37=0,$P$34=0),"",$L$37-1),IF($R$17="Distrato",$E152,0))),0,YEARFRAC(MAX($P$34*($B152+IF($R$17="Distrato",$I$38-1,0)),IF(AND($L$37=0,$P$34=0),"",$L$37-1),IF($R$17="Distrato",$E152,0)),MIN(AG$38,$D$19),$P$20))-SUM($P152:AF152)</f>
        <v>#VALUE!</v>
      </c>
      <c r="AH152" s="446" t="e">
        <f>IF(OR($B152="",MIN(AH$38,$D$19)&lt;MAX($P$34*($B152+IF($R$17="Distrato",$I$38-1,0)),IF(AND($L$37=0,$P$34=0),"",$L$37-1),IF($R$17="Distrato",$E152,0))),0,YEARFRAC(MAX($P$34*($B152+IF($R$17="Distrato",$I$38-1,0)),IF(AND($L$37=0,$P$34=0),"",$L$37-1),IF($R$17="Distrato",$E152,0)),MIN(AH$38,$D$19),$P$20))-SUM($P152:AG152)</f>
        <v>#VALUE!</v>
      </c>
      <c r="AI152" s="446" t="e">
        <f>IF(OR($B152="",MIN(AI$38,$D$19)&lt;MAX($P$34*($B152+IF($R$17="Distrato",$I$38-1,0)),IF(AND($L$37=0,$P$34=0),"",$L$37-1),IF($R$17="Distrato",$E152,0))),0,YEARFRAC(MAX($P$34*($B152+IF($R$17="Distrato",$I$38-1,0)),IF(AND($L$37=0,$P$34=0),"",$L$37-1),IF($R$17="Distrato",$E152,0)),MIN(AI$38,$D$19),$P$20))-SUM($P152:AH152)</f>
        <v>#VALUE!</v>
      </c>
      <c r="AJ152" s="446" t="e">
        <f>IF(OR($B152="",MIN(AJ$38,$D$19)&lt;MAX($P$34*($B152+IF($R$17="Distrato",$I$38-1,0)),IF(AND($L$37=0,$P$34=0),"",$L$37-1),IF($R$17="Distrato",$E152,0))),0,YEARFRAC(MAX($P$34*($B152+IF($R$17="Distrato",$I$38-1,0)),IF(AND($L$37=0,$P$34=0),"",$L$37-1),IF($R$17="Distrato",$E152,0)),MIN(AJ$38,$D$19),$P$20))-SUM($P152:AI152)</f>
        <v>#VALUE!</v>
      </c>
      <c r="AK152" s="446" t="e">
        <f>IF(OR($B152="",MIN(AK$38,$D$19)&lt;MAX($P$34*($B152+IF($R$17="Distrato",$I$38-1,0)),IF(AND($L$37=0,$P$34=0),"",$L$37-1),IF($R$17="Distrato",$E152,0))),0,YEARFRAC(MAX($P$34*($B152+IF($R$17="Distrato",$I$38-1,0)),IF(AND($L$37=0,$P$34=0),"",$L$37-1),IF($R$17="Distrato",$E152,0)),MIN(AK$38,$D$19),$P$20))-SUM($P152:AJ152)</f>
        <v>#VALUE!</v>
      </c>
      <c r="AL152" s="446" t="e">
        <f>IF(OR($B152="",MIN(AL$38,$D$19)&lt;MAX($P$34*($B152+IF($R$17="Distrato",$I$38-1,0)),IF(AND($L$37=0,$P$34=0),"",$L$37-1),IF($R$17="Distrato",$E152,0))),0,YEARFRAC(MAX($P$34*($B152+IF($R$17="Distrato",$I$38-1,0)),IF(AND($L$37=0,$P$34=0),"",$L$37-1),IF($R$17="Distrato",$E152,0)),MIN(AL$38,$D$19),$P$20))-SUM($P152:AK152)</f>
        <v>#VALUE!</v>
      </c>
      <c r="AM152" s="446" t="e">
        <f>IF(OR($B152="",MIN(AM$38,$D$19)&lt;MAX($P$34*($B152+IF($R$17="Distrato",$I$38-1,0)),IF(AND($L$37=0,$P$34=0),"",$L$37-1),IF($R$17="Distrato",$E152,0))),0,YEARFRAC(MAX($P$34*($B152+IF($R$17="Distrato",$I$38-1,0)),IF(AND($L$37=0,$P$34=0),"",$L$37-1),IF($R$17="Distrato",$E152,0)),MIN(AM$38,$D$19),$P$20))-SUM($P152:AL152)</f>
        <v>#VALUE!</v>
      </c>
      <c r="AN152" s="446" t="e">
        <f>IF(OR($B152="",MIN(AN$38,$D$19)&lt;MAX($P$34*($B152+IF($R$17="Distrato",$I$38-1,0)),IF(AND($L$37=0,$P$34=0),"",$L$37-1),IF($R$17="Distrato",$E152,0))),0,YEARFRAC(MAX($P$34*($B152+IF($R$17="Distrato",$I$38-1,0)),IF(AND($L$37=0,$P$34=0),"",$L$37-1),IF($R$17="Distrato",$E152,0)),MIN(AN$38,$D$19),$P$20))-SUM($P152:AM152)</f>
        <v>#VALUE!</v>
      </c>
      <c r="AO152" s="446" t="e">
        <f>IF(OR($B152="",MIN(AO$38,$D$19)&lt;MAX($P$34*($B152+IF($R$17="Distrato",$I$38-1,0)),IF(AND($L$37=0,$P$34=0),"",$L$37-1),IF($R$17="Distrato",$E152,0))),0,YEARFRAC(MAX($P$34*($B152+IF($R$17="Distrato",$I$38-1,0)),IF(AND($L$37=0,$P$34=0),"",$L$37-1),IF($R$17="Distrato",$E152,0)),MIN(AO$38,$D$19),$P$20))-SUM($P152:AN152)</f>
        <v>#VALUE!</v>
      </c>
      <c r="AP152" s="446" t="e">
        <f>IF(OR($B152="",MIN(AP$38,$D$19)&lt;MAX($P$34*($B152+IF($R$17="Distrato",$I$38-1,0)),IF(AND($L$37=0,$P$34=0),"",$L$37-1),IF($R$17="Distrato",$E152,0))),0,YEARFRAC(MAX($P$34*($B152+IF($R$17="Distrato",$I$38-1,0)),IF(AND($L$37=0,$P$34=0),"",$L$37-1),IF($R$17="Distrato",$E152,0)),MIN(AP$38,$D$19),$P$20))-SUM($P152:AO152)</f>
        <v>#VALUE!</v>
      </c>
      <c r="AQ152" s="446" t="e">
        <f>IF(OR($B152="",MIN(AQ$38,$D$19)&lt;MAX($P$34*($B152+IF($R$17="Distrato",$I$38-1,0)),IF(AND($L$37=0,$P$34=0),"",$L$37-1),IF($R$17="Distrato",$E152,0))),0,YEARFRAC(MAX($P$34*($B152+IF($R$17="Distrato",$I$38-1,0)),IF(AND($L$37=0,$P$34=0),"",$L$37-1),IF($R$17="Distrato",$E152,0)),MIN(AQ$38,$D$19),$P$20))-SUM($P152:AP152)</f>
        <v>#VALUE!</v>
      </c>
      <c r="AR152" s="446" t="e">
        <f>IF(OR($B152="",MIN(AR$38,$D$19)&lt;MAX($P$34*($B152+IF($R$17="Distrato",$I$38-1,0)),IF(AND($L$37=0,$P$34=0),"",$L$37-1),IF($R$17="Distrato",$E152,0))),0,YEARFRAC(MAX($P$34*($B152+IF($R$17="Distrato",$I$38-1,0)),IF(AND($L$37=0,$P$34=0),"",$L$37-1),IF($R$17="Distrato",$E152,0)),MIN(AR$38,$D$19),$P$20))-SUM($P152:AQ152)</f>
        <v>#VALUE!</v>
      </c>
      <c r="AS152" s="446" t="e">
        <f>IF(OR($B152="",MIN(AS$38,$D$19)&lt;MAX($P$34*($B152+IF($R$17="Distrato",$I$38-1,0)),IF(AND($L$37=0,$P$34=0),"",$L$37-1),IF($R$17="Distrato",$E152,0))),0,YEARFRAC(MAX($P$34*($B152+IF($R$17="Distrato",$I$38-1,0)),IF(AND($L$37=0,$P$34=0),"",$L$37-1),IF($R$17="Distrato",$E152,0)),MIN(AS$38,$D$19),$P$20))-SUM($P152:AR152)</f>
        <v>#VALUE!</v>
      </c>
      <c r="AT152" s="446" t="e">
        <f>IF(OR($B152="",MIN(AT$38,$D$19)&lt;MAX($P$34*($B152+IF($R$17="Distrato",$I$38-1,0)),IF(AND($L$37=0,$P$34=0),"",$L$37-1),IF($R$17="Distrato",$E152,0))),0,YEARFRAC(MAX($P$34*($B152+IF($R$17="Distrato",$I$38-1,0)),IF(AND($L$37=0,$P$34=0),"",$L$37-1),IF($R$17="Distrato",$E152,0)),MIN(AT$38,$D$19),$P$20))-SUM($P152:AS152)</f>
        <v>#VALUE!</v>
      </c>
      <c r="AU152" s="446" t="e">
        <f>IF(OR($B152="",MIN(AU$38,$D$19)&lt;MAX($P$34*($B152+IF($R$17="Distrato",$I$38-1,0)),IF(AND($L$37=0,$P$34=0),"",$L$37-1),IF($R$17="Distrato",$E152,0))),0,YEARFRAC(MAX($P$34*($B152+IF($R$17="Distrato",$I$38-1,0)),IF(AND($L$37=0,$P$34=0),"",$L$37-1),IF($R$17="Distrato",$E152,0)),MIN(AU$38,$D$19),$P$20))-SUM($P152:AT152)</f>
        <v>#VALUE!</v>
      </c>
      <c r="AV152" s="446" t="e">
        <f>IF(OR($B152="",MIN(AV$38,$D$19)&lt;MAX($P$34*($B152+IF($R$17="Distrato",$I$38-1,0)),IF(AND($L$37=0,$P$34=0),"",$L$37-1),IF($R$17="Distrato",$E152,0))),0,YEARFRAC(MAX($P$34*($B152+IF($R$17="Distrato",$I$38-1,0)),IF(AND($L$37=0,$P$34=0),"",$L$37-1),IF($R$17="Distrato",$E152,0)),MIN(AV$38,$D$19),$P$20))-SUM($P152:AU152)</f>
        <v>#VALUE!</v>
      </c>
      <c r="AW152" s="446" t="e">
        <f>IF(OR($B152="",MIN(AW$38,$D$19)&lt;MAX($P$34*($B152+IF($R$17="Distrato",$I$38-1,0)),IF(AND($L$37=0,$P$34=0),"",$L$37-1),IF($R$17="Distrato",$E152,0))),0,YEARFRAC(MAX($P$34*($B152+IF($R$17="Distrato",$I$38-1,0)),IF(AND($L$37=0,$P$34=0),"",$L$37-1),IF($R$17="Distrato",$E152,0)),MIN(AW$38,$D$19),$P$20))-SUM($P152:AV152)</f>
        <v>#VALUE!</v>
      </c>
      <c r="AX152" s="446" t="e">
        <f>IF(OR($B152="",MIN(AX$38,$D$19)&lt;MAX($P$34*($B152+IF($R$17="Distrato",$I$38-1,0)),IF(AND($L$37=0,$P$34=0),"",$L$37-1),IF($R$17="Distrato",$E152,0))),0,YEARFRAC(MAX($P$34*($B152+IF($R$17="Distrato",$I$38-1,0)),IF(AND($L$37=0,$P$34=0),"",$L$37-1),IF($R$17="Distrato",$E152,0)),MIN(AX$38,$D$19),$P$20))-SUM($P152:AW152)</f>
        <v>#VALUE!</v>
      </c>
      <c r="AY152" s="446" t="e">
        <f>IF(OR($B152="",MIN(AY$38,$D$19)&lt;MAX($P$34*($B152+IF($R$17="Distrato",$I$38-1,0)),IF(AND($L$37=0,$P$34=0),"",$L$37-1),IF($R$17="Distrato",$E152,0))),0,YEARFRAC(MAX($P$34*($B152+IF($R$17="Distrato",$I$38-1,0)),IF(AND($L$37=0,$P$34=0),"",$L$37-1),IF($R$17="Distrato",$E152,0)),MIN(AY$38,$D$19),$P$20))-SUM($P152:AX152)</f>
        <v>#VALUE!</v>
      </c>
      <c r="AZ152" s="446" t="e">
        <f>IF(OR($B152="",MIN(AZ$38,$D$19)&lt;MAX($P$34*($B152+IF($R$17="Distrato",$I$38-1,0)),IF(AND($L$37=0,$P$34=0),"",$L$37-1),IF($R$17="Distrato",$E152,0))),0,YEARFRAC(MAX($P$34*($B152+IF($R$17="Distrato",$I$38-1,0)),IF(AND($L$37=0,$P$34=0),"",$L$37-1),IF($R$17="Distrato",$E152,0)),MIN(AZ$38,$D$19),$P$20))-SUM($P152:AY152)</f>
        <v>#VALUE!</v>
      </c>
      <c r="BA152" s="446" t="e">
        <f>IF(OR($B152="",MIN(BA$38,$D$19)&lt;MAX($P$34*($B152+IF($R$17="Distrato",$I$38-1,0)),IF(AND($L$37=0,$P$34=0),"",$L$37-1),IF($R$17="Distrato",$E152,0))),0,YEARFRAC(MAX($P$34*($B152+IF($R$17="Distrato",$I$38-1,0)),IF(AND($L$37=0,$P$34=0),"",$L$37-1),IF($R$17="Distrato",$E152,0)),MIN(BA$38,$D$19),$P$20))-SUM($P152:AZ152)</f>
        <v>#VALUE!</v>
      </c>
      <c r="BB152" s="447"/>
      <c r="BF152" s="446">
        <f t="shared" si="21"/>
        <v>0</v>
      </c>
      <c r="BG152" s="446">
        <f>IF($E152=0,0,IF(MIN(BG$38,$E152)&lt;MAX($P$34*($B152+$I$38-1),IF(AND($L$37=0,$P$34=0),"",$L$37-1)),0,YEARFRAC(MAX($P$34*($B152+$I$38-1),IF(AND($L$37=0,$P$34=0),"",$L$37-1)),MIN(BG$38,$E152),$P$20))-SUM($BF152:BF152))</f>
        <v>0</v>
      </c>
      <c r="BH152" s="446">
        <f>IF($E152=0,0,IF(MIN(BH$38,$E152)&lt;MAX($P$34*($B152+$I$38-1),IF(AND($L$37=0,$P$34=0),"",$L$37-1)),0,YEARFRAC(MAX($P$34*($B152+$I$38-1),IF(AND($L$37=0,$P$34=0),"",$L$37-1)),MIN(BH$38,$E152),$P$20))-SUM($BF152:BG152))</f>
        <v>0</v>
      </c>
      <c r="BI152" s="446">
        <f>IF($E152=0,0,IF(MIN(BI$38,$E152)&lt;MAX($P$34*($B152+$I$38-1),IF(AND($L$37=0,$P$34=0),"",$L$37-1)),0,YEARFRAC(MAX($P$34*($B152+$I$38-1),IF(AND($L$37=0,$P$34=0),"",$L$37-1)),MIN(BI$38,$E152),$P$20))-SUM($BF152:BH152))</f>
        <v>0</v>
      </c>
      <c r="BJ152" s="446">
        <f>IF($E152=0,0,IF(MIN(BJ$38,$E152)&lt;MAX($P$34*($B152+$I$38-1),IF(AND($L$37=0,$P$34=0),"",$L$37-1)),0,YEARFRAC(MAX($P$34*($B152+$I$38-1),IF(AND($L$37=0,$P$34=0),"",$L$37-1)),MIN(BJ$38,$E152),$P$20))-SUM($BF152:BI152))</f>
        <v>0</v>
      </c>
      <c r="BK152" s="446">
        <f>IF($E152=0,0,IF(MIN(BK$38,$E152)&lt;MAX($P$34*($B152+$I$38-1),IF(AND($L$37=0,$P$34=0),"",$L$37-1)),0,YEARFRAC(MAX($P$34*($B152+$I$38-1),IF(AND($L$37=0,$P$34=0),"",$L$37-1)),MIN(BK$38,$E152),$P$20))-SUM($BF152:BJ152))</f>
        <v>0</v>
      </c>
      <c r="BL152" s="446">
        <f>IF($E152=0,0,IF(MIN(BL$38,$E152)&lt;MAX($P$34*($B152+$I$38-1),IF(AND($L$37=0,$P$34=0),"",$L$37-1)),0,YEARFRAC(MAX($P$34*($B152+$I$38-1),IF(AND($L$37=0,$P$34=0),"",$L$37-1)),MIN(BL$38,$E152),$P$20))-SUM($BF152:BK152))</f>
        <v>0</v>
      </c>
      <c r="BM152" s="446">
        <f>IF($E152=0,0,IF(MIN(BM$38,$E152)&lt;MAX($P$34*($B152+$I$38-1),IF(AND($L$37=0,$P$34=0),"",$L$37-1)),0,YEARFRAC(MAX($P$34*($B152+$I$38-1),IF(AND($L$37=0,$P$34=0),"",$L$37-1)),MIN(BM$38,$E152),$P$20))-SUM($BF152:BL152))</f>
        <v>0</v>
      </c>
      <c r="BN152" s="446">
        <f>IF($E152=0,0,IF(MIN(BN$38,$E152)&lt;MAX($P$34*($B152+$I$38-1),IF(AND($L$37=0,$P$34=0),"",$L$37-1)),0,YEARFRAC(MAX($P$34*($B152+$I$38-1),IF(AND($L$37=0,$P$34=0),"",$L$37-1)),MIN(BN$38,$E152),$P$20))-SUM($BF152:BM152))</f>
        <v>0</v>
      </c>
      <c r="BO152" s="446">
        <f>IF($E152=0,0,IF(MIN(BO$38,$E152)&lt;MAX($P$34*($B152+$I$38-1),IF(AND($L$37=0,$P$34=0),"",$L$37-1)),0,YEARFRAC(MAX($P$34*($B152+$I$38-1),IF(AND($L$37=0,$P$34=0),"",$L$37-1)),MIN(BO$38,$E152),$P$20))-SUM($BF152:BN152))</f>
        <v>0</v>
      </c>
      <c r="BP152" s="446">
        <f>IF($E152=0,0,IF(MIN(BP$38,$E152)&lt;MAX($P$34*($B152+$I$38-1),IF(AND($L$37=0,$P$34=0),"",$L$37-1)),0,YEARFRAC(MAX($P$34*($B152+$I$38-1),IF(AND($L$37=0,$P$34=0),"",$L$37-1)),MIN(BP$38,$E152),$P$20))-SUM($BF152:BO152))</f>
        <v>0</v>
      </c>
      <c r="BQ152" s="446">
        <f>IF($E152=0,0,IF(MIN(BQ$38,$E152)&lt;MAX($P$34*($B152+$I$38-1),IF(AND($L$37=0,$P$34=0),"",$L$37-1)),0,YEARFRAC(MAX($P$34*($B152+$I$38-1),IF(AND($L$37=0,$P$34=0),"",$L$37-1)),MIN(BQ$38,$E152),$P$20))-SUM($BF152:BP152))</f>
        <v>0</v>
      </c>
      <c r="BR152" s="446">
        <f>IF($E152=0,0,IF(MIN(BR$38,$E152)&lt;MAX($P$34*($B152+$I$38-1),IF(AND($L$37=0,$P$34=0),"",$L$37-1)),0,YEARFRAC(MAX($P$34*($B152+$I$38-1),IF(AND($L$37=0,$P$34=0),"",$L$37-1)),MIN(BR$38,$E152),$P$20))-SUM($BF152:BQ152))</f>
        <v>0</v>
      </c>
      <c r="BS152" s="446">
        <f>IF($E152=0,0,IF(MIN(BS$38,$E152)&lt;MAX($P$34*($B152+$I$38-1),IF(AND($L$37=0,$P$34=0),"",$L$37-1)),0,YEARFRAC(MAX($P$34*($B152+$I$38-1),IF(AND($L$37=0,$P$34=0),"",$L$37-1)),MIN(BS$38,$E152),$P$20))-SUM($BF152:BR152))</f>
        <v>0</v>
      </c>
      <c r="BT152" s="446">
        <f>IF($E152=0,0,IF(MIN(BT$38,$E152)&lt;MAX($P$34*($B152+$I$38-1),IF(AND($L$37=0,$P$34=0),"",$L$37-1)),0,YEARFRAC(MAX($P$34*($B152+$I$38-1),IF(AND($L$37=0,$P$34=0),"",$L$37-1)),MIN(BT$38,$E152),$P$20))-SUM($BF152:BS152))</f>
        <v>0</v>
      </c>
      <c r="BU152" s="446">
        <f>IF($E152=0,0,IF(MIN(BU$38,$E152)&lt;MAX($P$34*($B152+$I$38-1),IF(AND($L$37=0,$P$34=0),"",$L$37-1)),0,YEARFRAC(MAX($P$34*($B152+$I$38-1),IF(AND($L$37=0,$P$34=0),"",$L$37-1)),MIN(BU$38,$E152),$P$20))-SUM($BF152:BT152))</f>
        <v>0</v>
      </c>
      <c r="BV152" s="446">
        <f>IF($E152=0,0,IF(MIN(BV$38,$E152)&lt;MAX($P$34*($B152+$I$38-1),IF(AND($L$37=0,$P$34=0),"",$L$37-1)),0,YEARFRAC(MAX($P$34*($B152+$I$38-1),IF(AND($L$37=0,$P$34=0),"",$L$37-1)),MIN(BV$38,$E152),$P$20))-SUM($BF152:BU152))</f>
        <v>0</v>
      </c>
      <c r="BW152" s="446">
        <f>IF($E152=0,0,IF(MIN(BW$38,$E152)&lt;MAX($P$34*($B152+$I$38-1),IF(AND($L$37=0,$P$34=0),"",$L$37-1)),0,YEARFRAC(MAX($P$34*($B152+$I$38-1),IF(AND($L$37=0,$P$34=0),"",$L$37-1)),MIN(BW$38,$E152),$P$20))-SUM($BF152:BV152))</f>
        <v>0</v>
      </c>
      <c r="BX152" s="446">
        <f>IF($E152=0,0,IF(MIN(BX$38,$E152)&lt;MAX($P$34*($B152+$I$38-1),IF(AND($L$37=0,$P$34=0),"",$L$37-1)),0,YEARFRAC(MAX($P$34*($B152+$I$38-1),IF(AND($L$37=0,$P$34=0),"",$L$37-1)),MIN(BX$38,$E152),$P$20))-SUM($BF152:BW152))</f>
        <v>0</v>
      </c>
      <c r="BY152" s="446">
        <f>IF($E152=0,0,IF(MIN(BY$38,$E152)&lt;MAX($P$34*($B152+$I$38-1),IF(AND($L$37=0,$P$34=0),"",$L$37-1)),0,YEARFRAC(MAX($P$34*($B152+$I$38-1),IF(AND($L$37=0,$P$34=0),"",$L$37-1)),MIN(BY$38,$E152),$P$20))-SUM($BF152:BX152))</f>
        <v>0</v>
      </c>
      <c r="BZ152" s="446">
        <f>IF($E152=0,0,IF(MIN(BZ$38,$E152)&lt;MAX($P$34*($B152+$I$38-1),IF(AND($L$37=0,$P$34=0),"",$L$37-1)),0,YEARFRAC(MAX($P$34*($B152+$I$38-1),IF(AND($L$37=0,$P$34=0),"",$L$37-1)),MIN(BZ$38,$E152),$P$20))-SUM($BF152:BY152))</f>
        <v>0</v>
      </c>
      <c r="CA152" s="446">
        <f>IF($E152=0,0,IF(MIN(CA$38,$E152)&lt;MAX($P$34*($B152+$I$38-1),IF(AND($L$37=0,$P$34=0),"",$L$37-1)),0,YEARFRAC(MAX($P$34*($B152+$I$38-1),IF(AND($L$37=0,$P$34=0),"",$L$37-1)),MIN(CA$38,$E152),$P$20))-SUM($BF152:BZ152))</f>
        <v>0</v>
      </c>
      <c r="CB152" s="446">
        <f>IF($E152=0,0,IF(MIN(CB$38,$E152)&lt;MAX($P$34*($B152+$I$38-1),IF(AND($L$37=0,$P$34=0),"",$L$37-1)),0,YEARFRAC(MAX($P$34*($B152+$I$38-1),IF(AND($L$37=0,$P$34=0),"",$L$37-1)),MIN(CB$38,$E152),$P$20))-SUM($BF152:CA152))</f>
        <v>0</v>
      </c>
      <c r="CC152" s="446">
        <f>IF($E152=0,0,IF(MIN(CC$38,$E152)&lt;MAX($P$34*($B152+$I$38-1),IF(AND($L$37=0,$P$34=0),"",$L$37-1)),0,YEARFRAC(MAX($P$34*($B152+$I$38-1),IF(AND($L$37=0,$P$34=0),"",$L$37-1)),MIN(CC$38,$E152),$P$20))-SUM($BF152:CB152))</f>
        <v>0</v>
      </c>
      <c r="CD152" s="446">
        <f>IF($E152=0,0,IF(MIN(CD$38,$E152)&lt;MAX($P$34*($B152+$I$38-1),IF(AND($L$37=0,$P$34=0),"",$L$37-1)),0,YEARFRAC(MAX($P$34*($B152+$I$38-1),IF(AND($L$37=0,$P$34=0),"",$L$37-1)),MIN(CD$38,$E152),$P$20))-SUM($BF152:CC152))</f>
        <v>0</v>
      </c>
      <c r="CE152" s="446">
        <f>IF($E152=0,0,IF(MIN(CE$38,$E152)&lt;MAX($P$34*($B152+$I$38-1),IF(AND($L$37=0,$P$34=0),"",$L$37-1)),0,YEARFRAC(MAX($P$34*($B152+$I$38-1),IF(AND($L$37=0,$P$34=0),"",$L$37-1)),MIN(CE$38,$E152),$P$20))-SUM($BF152:CD152))</f>
        <v>0</v>
      </c>
      <c r="CF152" s="446">
        <f>IF($E152=0,0,IF(MIN(CF$38,$E152)&lt;MAX($P$34*($B152+$I$38-1),IF(AND($L$37=0,$P$34=0),"",$L$37-1)),0,YEARFRAC(MAX($P$34*($B152+$I$38-1),IF(AND($L$37=0,$P$34=0),"",$L$37-1)),MIN(CF$38,$E152),$P$20))-SUM($BF152:CE152))</f>
        <v>0</v>
      </c>
      <c r="CG152" s="446">
        <f>IF($E152=0,0,IF(MIN(CG$38,$E152)&lt;MAX($P$34*($B152+$I$38-1),IF(AND($L$37=0,$P$34=0),"",$L$37-1)),0,YEARFRAC(MAX($P$34*($B152+$I$38-1),IF(AND($L$37=0,$P$34=0),"",$L$37-1)),MIN(CG$38,$E152),$P$20))-SUM($BF152:CF152))</f>
        <v>0</v>
      </c>
      <c r="CH152" s="446">
        <f>IF($E152=0,0,IF(MIN(CH$38,$E152)&lt;MAX($P$34*($B152+$I$38-1),IF(AND($L$37=0,$P$34=0),"",$L$37-1)),0,YEARFRAC(MAX($P$34*($B152+$I$38-1),IF(AND($L$37=0,$P$34=0),"",$L$37-1)),MIN(CH$38,$E152),$P$20))-SUM($BF152:CG152))</f>
        <v>0</v>
      </c>
      <c r="CI152" s="446">
        <f>IF($E152=0,0,IF(MIN(CI$38,$E152)&lt;MAX($P$34*($B152+$I$38-1),IF(AND($L$37=0,$P$34=0),"",$L$37-1)),0,YEARFRAC(MAX($P$34*($B152+$I$38-1),IF(AND($L$37=0,$P$34=0),"",$L$37-1)),MIN(CI$38,$E152),$P$20))-SUM($BF152:CH152))</f>
        <v>0</v>
      </c>
      <c r="CJ152" s="446">
        <f>IF($E152=0,0,IF(MIN(CJ$38,$E152)&lt;MAX($P$34*($B152+$I$38-1),IF(AND($L$37=0,$P$34=0),"",$L$37-1)),0,YEARFRAC(MAX($P$34*($B152+$I$38-1),IF(AND($L$37=0,$P$34=0),"",$L$37-1)),MIN(CJ$38,$E152),$P$20))-SUM($BF152:CI152))</f>
        <v>0</v>
      </c>
      <c r="CK152" s="446">
        <f>IF($E152=0,0,IF(MIN(CK$38,$E152)&lt;MAX($P$34*($B152+$I$38-1),IF(AND($L$37=0,$P$34=0),"",$L$37-1)),0,YEARFRAC(MAX($P$34*($B152+$I$38-1),IF(AND($L$37=0,$P$34=0),"",$L$37-1)),MIN(CK$38,$E152),$P$20))-SUM($BF152:CJ152))</f>
        <v>0</v>
      </c>
      <c r="CL152" s="446">
        <f>IF($E152=0,0,IF(MIN(CL$38,$E152)&lt;MAX($P$34*($B152+$I$38-1),IF(AND($L$37=0,$P$34=0),"",$L$37-1)),0,YEARFRAC(MAX($P$34*($B152+$I$38-1),IF(AND($L$37=0,$P$34=0),"",$L$37-1)),MIN(CL$38,$E152),$P$20))-SUM($BF152:CK152))</f>
        <v>0</v>
      </c>
      <c r="CM152" s="446">
        <f>IF($E152=0,0,IF(MIN(CM$38,$E152)&lt;MAX($P$34*($B152+$I$38-1),IF(AND($L$37=0,$P$34=0),"",$L$37-1)),0,YEARFRAC(MAX($P$34*($B152+$I$38-1),IF(AND($L$37=0,$P$34=0),"",$L$37-1)),MIN(CM$38,$E152),$P$20))-SUM($BF152:CL152))</f>
        <v>0</v>
      </c>
      <c r="CN152" s="446">
        <f>IF($E152=0,0,IF(MIN(CN$38,$E152)&lt;MAX($P$34*($B152+$I$38-1),IF(AND($L$37=0,$P$34=0),"",$L$37-1)),0,YEARFRAC(MAX($P$34*($B152+$I$38-1),IF(AND($L$37=0,$P$34=0),"",$L$37-1)),MIN(CN$38,$E152),$P$20))-SUM($BF152:CM152))</f>
        <v>0</v>
      </c>
      <c r="CO152" s="446">
        <f>IF($E152=0,0,IF(MIN(CO$38,$E152)&lt;MAX($P$34*($B152+$I$38-1),IF(AND($L$37=0,$P$34=0),"",$L$37-1)),0,YEARFRAC(MAX($P$34*($B152+$I$38-1),IF(AND($L$37=0,$P$34=0),"",$L$37-1)),MIN(CO$38,$E152),$P$20))-SUM($BF152:CN152))</f>
        <v>0</v>
      </c>
      <c r="CP152" s="446">
        <f>IF($E152=0,0,IF(MIN(CP$38,$E152)&lt;MAX($P$34*($B152+$I$38-1),IF(AND($L$37=0,$P$34=0),"",$L$37-1)),0,YEARFRAC(MAX($P$34*($B152+$I$38-1),IF(AND($L$37=0,$P$34=0),"",$L$37-1)),MIN(CP$38,$E152),$P$20))-SUM($BF152:CO152))</f>
        <v>0</v>
      </c>
      <c r="CQ152" s="446">
        <f>IF($E152=0,0,IF(MIN(CQ$38,$E152)&lt;MAX($P$34*($B152+$I$38-1),IF(AND($L$37=0,$P$34=0),"",$L$37-1)),0,YEARFRAC(MAX($P$34*($B152+$I$38-1),IF(AND($L$37=0,$P$34=0),"",$L$37-1)),MIN(CQ$38,$E152),$P$20))-SUM($BF152:CP152))</f>
        <v>0</v>
      </c>
    </row>
    <row r="153" spans="1:95" s="446" customFormat="1" ht="11.25" hidden="1" customHeight="1" x14ac:dyDescent="0.2">
      <c r="A153" s="152"/>
      <c r="B153" s="153" t="str">
        <f t="shared" si="26"/>
        <v/>
      </c>
      <c r="C153" s="29" t="str">
        <f>IF(B153="","",IF($L$35="SELIC - TRIBUTOS",VLOOKUP(DATE(YEAR($D$19),MONTH($D$19)-1,1),ÍNDICES!$A:$DE,HLOOKUP($BL$25,ÍNDICES!$B$3:$T$4,2)+11)-VLOOKUP(B153,ÍNDICES!$A:$DE,HLOOKUP($BL$25,ÍNDICES!$B$3:$T$4,2)+11)+1%,IF(C$38=$W$26,$J$35,IF(ISERROR(IF(B153&gt;$D$19,1,VLOOKUP(DATE(YEAR(B153),MONTH(B153)+IF($C$35=$S$23,1,0),1),ÍNDICES!$A:$DE,$Z$35+1))),"",IF(B153&gt;$D$19,1,VLOOKUP(DATE(YEAR(B153),MONTH(B153)+IF($C$35=$S$23,1,0),1),ÍNDICES!$A:$DE,$Z$35+1))))))</f>
        <v/>
      </c>
      <c r="D153" s="154" t="str">
        <f>IF(ISERROR(IF(OR($D$38=$Y$27,$B153=""),"",VLOOKUP(B153,ÍNDICES!A:DE,AF$35+1))),"",IF(OR($D$38=$Y$27,$B153=""),"",VLOOKUP(B153,ÍNDICES!A:DE,AF$35+1)))</f>
        <v/>
      </c>
      <c r="E153" s="153"/>
      <c r="F153" s="29" t="str">
        <f>IF(E153="","",IF($L$35="SELIC - TRIBUTOS",VLOOKUP(DATE(YEAR($D$19),MONTH($D$19)-1,1),ÍNDICES!$A:$DE,HLOOKUP($BL$25,ÍNDICES!$B$3:$T$4,2)+11)-VLOOKUP(E153,ÍNDICES!$A:$DE,HLOOKUP($BL$25,ÍNDICES!$B$3:$T$4,2)+11)+1%,IF(F$38=$W$26,$J$35,IF(ISERROR(IF(E153&gt;$D$19,1,VLOOKUP(DATE(YEAR(E153),MONTH(E153)+IF($C$35=$S$23,1,0),1),ÍNDICES!$A:$DE,$Z$35+1))),"",IF(E153&gt;$D$19,1,VLOOKUP(DATE(YEAR(E153),MONTH(E153)+IF($C$35=$S$23,1,0),1),ÍNDICES!$A:$DE,$Z$35+1))))))</f>
        <v/>
      </c>
      <c r="G153" s="155"/>
      <c r="H153" s="156" t="str">
        <f t="shared" si="22"/>
        <v/>
      </c>
      <c r="I153" s="29" t="str">
        <f t="shared" si="16"/>
        <v/>
      </c>
      <c r="J153" s="5">
        <f t="shared" si="17"/>
        <v>0</v>
      </c>
      <c r="K153" s="20">
        <f t="shared" ca="1" si="18"/>
        <v>0</v>
      </c>
      <c r="L153" s="5">
        <f t="shared" ca="1" si="19"/>
        <v>0</v>
      </c>
      <c r="M153" s="64">
        <f t="shared" si="23"/>
        <v>0</v>
      </c>
      <c r="N153" s="61">
        <f t="shared" ca="1" si="24"/>
        <v>0</v>
      </c>
      <c r="O153" s="5">
        <f t="shared" ca="1" si="25"/>
        <v>0</v>
      </c>
      <c r="P153" s="446" t="e">
        <f t="shared" si="20"/>
        <v>#VALUE!</v>
      </c>
      <c r="Q153" s="446" t="e">
        <f>IF(OR($B153="",MIN(Q$38,$D$19)&lt;MAX($P$34*($B153+IF($R$17="Distrato",$I$38-1,0)),IF(AND($L$37=0,$P$34=0),"",$L$37-1),IF($R$17="Distrato",$E153,0))),0,YEARFRAC(MAX($P$34*($B153+IF($R$17="Distrato",$I$38-1,0)),IF(AND($L$37=0,$P$34=0),"",$L$37-1),IF($R$17="Distrato",$E153,0)),MIN(Q$38,$D$19),$P$20))-SUM($P153:P153)</f>
        <v>#VALUE!</v>
      </c>
      <c r="R153" s="446" t="e">
        <f>IF(OR($B153="",MIN(R$38,$D$19)&lt;MAX($P$34*($B153+IF($R$17="Distrato",$I$38-1,0)),IF(AND($L$37=0,$P$34=0),"",$L$37-1),IF($R$17="Distrato",$E153,0))),0,YEARFRAC(MAX($P$34*($B153+IF($R$17="Distrato",$I$38-1,0)),IF(AND($L$37=0,$P$34=0),"",$L$37-1),IF($R$17="Distrato",$E153,0)),MIN(R$38,$D$19),$P$20))-SUM($P153:Q153)</f>
        <v>#VALUE!</v>
      </c>
      <c r="S153" s="446" t="e">
        <f>IF(OR($B153="",MIN(S$38,$D$19)&lt;MAX($P$34*($B153+IF($R$17="Distrato",$I$38-1,0)),IF(AND($L$37=0,$P$34=0),"",$L$37-1),IF($R$17="Distrato",$E153,0))),0,YEARFRAC(MAX($P$34*($B153+IF($R$17="Distrato",$I$38-1,0)),IF(AND($L$37=0,$P$34=0),"",$L$37-1),IF($R$17="Distrato",$E153,0)),MIN(S$38,$D$19),$P$20))-SUM($P153:R153)</f>
        <v>#VALUE!</v>
      </c>
      <c r="T153" s="446" t="e">
        <f>IF(OR($B153="",MIN(T$38,$D$19)&lt;MAX($P$34*($B153+IF($R$17="Distrato",$I$38-1,0)),IF(AND($L$37=0,$P$34=0),"",$L$37-1),IF($R$17="Distrato",$E153,0))),0,YEARFRAC(MAX($P$34*($B153+IF($R$17="Distrato",$I$38-1,0)),IF(AND($L$37=0,$P$34=0),"",$L$37-1),IF($R$17="Distrato",$E153,0)),MIN(T$38,$D$19),$P$20))-SUM($P153:S153)</f>
        <v>#VALUE!</v>
      </c>
      <c r="U153" s="446" t="e">
        <f>IF(OR($B153="",MIN(U$38,$D$19)&lt;MAX($P$34*($B153+IF($R$17="Distrato",$I$38-1,0)),IF(AND($L$37=0,$P$34=0),"",$L$37-1),IF($R$17="Distrato",$E153,0))),0,YEARFRAC(MAX($P$34*($B153+IF($R$17="Distrato",$I$38-1,0)),IF(AND($L$37=0,$P$34=0),"",$L$37-1),IF($R$17="Distrato",$E153,0)),MIN(U$38,$D$19),$P$20))-SUM($P153:T153)</f>
        <v>#VALUE!</v>
      </c>
      <c r="V153" s="446" t="e">
        <f>IF(OR($B153="",MIN(V$38,$D$19)&lt;MAX($P$34*($B153+IF($R$17="Distrato",$I$38-1,0)),IF(AND($L$37=0,$P$34=0),"",$L$37-1),IF($R$17="Distrato",$E153,0))),0,YEARFRAC(MAX($P$34*($B153+IF($R$17="Distrato",$I$38-1,0)),IF(AND($L$37=0,$P$34=0),"",$L$37-1),IF($R$17="Distrato",$E153,0)),MIN(V$38,$D$19),$P$20))-SUM($P153:U153)</f>
        <v>#VALUE!</v>
      </c>
      <c r="W153" s="446" t="e">
        <f>IF(OR($B153="",MIN(W$38,$D$19)&lt;MAX($P$34*($B153+IF($R$17="Distrato",$I$38-1,0)),IF(AND($L$37=0,$P$34=0),"",$L$37-1),IF($R$17="Distrato",$E153,0))),0,YEARFRAC(MAX($P$34*($B153+IF($R$17="Distrato",$I$38-1,0)),IF(AND($L$37=0,$P$34=0),"",$L$37-1),IF($R$17="Distrato",$E153,0)),MIN(W$38,$D$19),$P$20))-SUM($P153:V153)</f>
        <v>#VALUE!</v>
      </c>
      <c r="X153" s="446" t="e">
        <f>IF(OR($B153="",MIN(X$38,$D$19)&lt;MAX($P$34*($B153+IF($R$17="Distrato",$I$38-1,0)),IF(AND($L$37=0,$P$34=0),"",$L$37-1),IF($R$17="Distrato",$E153,0))),0,YEARFRAC(MAX($P$34*($B153+IF($R$17="Distrato",$I$38-1,0)),IF(AND($L$37=0,$P$34=0),"",$L$37-1),IF($R$17="Distrato",$E153,0)),MIN(X$38,$D$19),$P$20))-SUM($P153:W153)</f>
        <v>#VALUE!</v>
      </c>
      <c r="Y153" s="446" t="e">
        <f>IF(OR($B153="",MIN(Y$38,$D$19)&lt;MAX($P$34*($B153+IF($R$17="Distrato",$I$38-1,0)),IF(AND($L$37=0,$P$34=0),"",$L$37-1),IF($R$17="Distrato",$E153,0))),0,YEARFRAC(MAX($P$34*($B153+IF($R$17="Distrato",$I$38-1,0)),IF(AND($L$37=0,$P$34=0),"",$L$37-1),IF($R$17="Distrato",$E153,0)),MIN(Y$38,$D$19),$P$20))-SUM($P153:X153)</f>
        <v>#VALUE!</v>
      </c>
      <c r="Z153" s="446" t="e">
        <f>IF(OR($B153="",MIN(Z$38,$D$19)&lt;MAX($P$34*($B153+IF($R$17="Distrato",$I$38-1,0)),IF(AND($L$37=0,$P$34=0),"",$L$37-1),IF($R$17="Distrato",$E153,0))),0,YEARFRAC(MAX($P$34*($B153+IF($R$17="Distrato",$I$38-1,0)),IF(AND($L$37=0,$P$34=0),"",$L$37-1),IF($R$17="Distrato",$E153,0)),MIN(Z$38,$D$19),$P$20))-SUM($P153:Y153)</f>
        <v>#VALUE!</v>
      </c>
      <c r="AA153" s="446" t="e">
        <f>IF(OR($B153="",MIN(AA$38,$D$19)&lt;MAX($P$34*($B153+IF($R$17="Distrato",$I$38-1,0)),IF(AND($L$37=0,$P$34=0),"",$L$37-1),IF($R$17="Distrato",$E153,0))),0,YEARFRAC(MAX($P$34*($B153+IF($R$17="Distrato",$I$38-1,0)),IF(AND($L$37=0,$P$34=0),"",$L$37-1),IF($R$17="Distrato",$E153,0)),MIN(AA$38,$D$19),$P$20))-SUM($P153:Z153)</f>
        <v>#VALUE!</v>
      </c>
      <c r="AB153" s="446" t="e">
        <f>IF(OR($B153="",MIN(AB$38,$D$19)&lt;MAX($P$34*($B153+IF($R$17="Distrato",$I$38-1,0)),IF(AND($L$37=0,$P$34=0),"",$L$37-1),IF($R$17="Distrato",$E153,0))),0,YEARFRAC(MAX($P$34*($B153+IF($R$17="Distrato",$I$38-1,0)),IF(AND($L$37=0,$P$34=0),"",$L$37-1),IF($R$17="Distrato",$E153,0)),MIN(AB$38,$D$19),$P$20))-SUM($P153:AA153)</f>
        <v>#VALUE!</v>
      </c>
      <c r="AC153" s="446" t="e">
        <f>IF(OR($B153="",MIN(AC$38,$D$19)&lt;MAX($P$34*($B153+IF($R$17="Distrato",$I$38-1,0)),IF(AND($L$37=0,$P$34=0),"",$L$37-1),IF($R$17="Distrato",$E153,0))),0,YEARFRAC(MAX($P$34*($B153+IF($R$17="Distrato",$I$38-1,0)),IF(AND($L$37=0,$P$34=0),"",$L$37-1),IF($R$17="Distrato",$E153,0)),MIN(AC$38,$D$19),$P$20))-SUM($P153:AB153)</f>
        <v>#VALUE!</v>
      </c>
      <c r="AD153" s="446" t="e">
        <f>IF(OR($B153="",MIN(AD$38,$D$19)&lt;MAX($P$34*($B153+IF($R$17="Distrato",$I$38-1,0)),IF(AND($L$37=0,$P$34=0),"",$L$37-1),IF($R$17="Distrato",$E153,0))),0,YEARFRAC(MAX($P$34*($B153+IF($R$17="Distrato",$I$38-1,0)),IF(AND($L$37=0,$P$34=0),"",$L$37-1),IF($R$17="Distrato",$E153,0)),MIN(AD$38,$D$19),$P$20))-SUM($P153:AC153)</f>
        <v>#VALUE!</v>
      </c>
      <c r="AE153" s="446" t="e">
        <f>IF(OR($B153="",MIN(AE$38,$D$19)&lt;MAX($P$34*($B153+IF($R$17="Distrato",$I$38-1,0)),IF(AND($L$37=0,$P$34=0),"",$L$37-1),IF($R$17="Distrato",$E153,0))),0,YEARFRAC(MAX($P$34*($B153+IF($R$17="Distrato",$I$38-1,0)),IF(AND($L$37=0,$P$34=0),"",$L$37-1),IF($R$17="Distrato",$E153,0)),MIN(AE$38,$D$19),$P$20))-SUM($P153:AD153)</f>
        <v>#VALUE!</v>
      </c>
      <c r="AF153" s="446" t="e">
        <f>IF(OR($B153="",MIN(AF$38,$D$19)&lt;MAX($P$34*($B153+IF($R$17="Distrato",$I$38-1,0)),IF(AND($L$37=0,$P$34=0),"",$L$37-1),IF($R$17="Distrato",$E153,0))),0,YEARFRAC(MAX($P$34*($B153+IF($R$17="Distrato",$I$38-1,0)),IF(AND($L$37=0,$P$34=0),"",$L$37-1),IF($R$17="Distrato",$E153,0)),MIN(AF$38,$D$19),$P$20))-SUM($P153:AE153)</f>
        <v>#VALUE!</v>
      </c>
      <c r="AG153" s="446" t="e">
        <f>IF(OR($B153="",MIN(AG$38,$D$19)&lt;MAX($P$34*($B153+IF($R$17="Distrato",$I$38-1,0)),IF(AND($L$37=0,$P$34=0),"",$L$37-1),IF($R$17="Distrato",$E153,0))),0,YEARFRAC(MAX($P$34*($B153+IF($R$17="Distrato",$I$38-1,0)),IF(AND($L$37=0,$P$34=0),"",$L$37-1),IF($R$17="Distrato",$E153,0)),MIN(AG$38,$D$19),$P$20))-SUM($P153:AF153)</f>
        <v>#VALUE!</v>
      </c>
      <c r="AH153" s="446" t="e">
        <f>IF(OR($B153="",MIN(AH$38,$D$19)&lt;MAX($P$34*($B153+IF($R$17="Distrato",$I$38-1,0)),IF(AND($L$37=0,$P$34=0),"",$L$37-1),IF($R$17="Distrato",$E153,0))),0,YEARFRAC(MAX($P$34*($B153+IF($R$17="Distrato",$I$38-1,0)),IF(AND($L$37=0,$P$34=0),"",$L$37-1),IF($R$17="Distrato",$E153,0)),MIN(AH$38,$D$19),$P$20))-SUM($P153:AG153)</f>
        <v>#VALUE!</v>
      </c>
      <c r="AI153" s="446" t="e">
        <f>IF(OR($B153="",MIN(AI$38,$D$19)&lt;MAX($P$34*($B153+IF($R$17="Distrato",$I$38-1,0)),IF(AND($L$37=0,$P$34=0),"",$L$37-1),IF($R$17="Distrato",$E153,0))),0,YEARFRAC(MAX($P$34*($B153+IF($R$17="Distrato",$I$38-1,0)),IF(AND($L$37=0,$P$34=0),"",$L$37-1),IF($R$17="Distrato",$E153,0)),MIN(AI$38,$D$19),$P$20))-SUM($P153:AH153)</f>
        <v>#VALUE!</v>
      </c>
      <c r="AJ153" s="446" t="e">
        <f>IF(OR($B153="",MIN(AJ$38,$D$19)&lt;MAX($P$34*($B153+IF($R$17="Distrato",$I$38-1,0)),IF(AND($L$37=0,$P$34=0),"",$L$37-1),IF($R$17="Distrato",$E153,0))),0,YEARFRAC(MAX($P$34*($B153+IF($R$17="Distrato",$I$38-1,0)),IF(AND($L$37=0,$P$34=0),"",$L$37-1),IF($R$17="Distrato",$E153,0)),MIN(AJ$38,$D$19),$P$20))-SUM($P153:AI153)</f>
        <v>#VALUE!</v>
      </c>
      <c r="AK153" s="446" t="e">
        <f>IF(OR($B153="",MIN(AK$38,$D$19)&lt;MAX($P$34*($B153+IF($R$17="Distrato",$I$38-1,0)),IF(AND($L$37=0,$P$34=0),"",$L$37-1),IF($R$17="Distrato",$E153,0))),0,YEARFRAC(MAX($P$34*($B153+IF($R$17="Distrato",$I$38-1,0)),IF(AND($L$37=0,$P$34=0),"",$L$37-1),IF($R$17="Distrato",$E153,0)),MIN(AK$38,$D$19),$P$20))-SUM($P153:AJ153)</f>
        <v>#VALUE!</v>
      </c>
      <c r="AL153" s="446" t="e">
        <f>IF(OR($B153="",MIN(AL$38,$D$19)&lt;MAX($P$34*($B153+IF($R$17="Distrato",$I$38-1,0)),IF(AND($L$37=0,$P$34=0),"",$L$37-1),IF($R$17="Distrato",$E153,0))),0,YEARFRAC(MAX($P$34*($B153+IF($R$17="Distrato",$I$38-1,0)),IF(AND($L$37=0,$P$34=0),"",$L$37-1),IF($R$17="Distrato",$E153,0)),MIN(AL$38,$D$19),$P$20))-SUM($P153:AK153)</f>
        <v>#VALUE!</v>
      </c>
      <c r="AM153" s="446" t="e">
        <f>IF(OR($B153="",MIN(AM$38,$D$19)&lt;MAX($P$34*($B153+IF($R$17="Distrato",$I$38-1,0)),IF(AND($L$37=0,$P$34=0),"",$L$37-1),IF($R$17="Distrato",$E153,0))),0,YEARFRAC(MAX($P$34*($B153+IF($R$17="Distrato",$I$38-1,0)),IF(AND($L$37=0,$P$34=0),"",$L$37-1),IF($R$17="Distrato",$E153,0)),MIN(AM$38,$D$19),$P$20))-SUM($P153:AL153)</f>
        <v>#VALUE!</v>
      </c>
      <c r="AN153" s="446" t="e">
        <f>IF(OR($B153="",MIN(AN$38,$D$19)&lt;MAX($P$34*($B153+IF($R$17="Distrato",$I$38-1,0)),IF(AND($L$37=0,$P$34=0),"",$L$37-1),IF($R$17="Distrato",$E153,0))),0,YEARFRAC(MAX($P$34*($B153+IF($R$17="Distrato",$I$38-1,0)),IF(AND($L$37=0,$P$34=0),"",$L$37-1),IF($R$17="Distrato",$E153,0)),MIN(AN$38,$D$19),$P$20))-SUM($P153:AM153)</f>
        <v>#VALUE!</v>
      </c>
      <c r="AO153" s="446" t="e">
        <f>IF(OR($B153="",MIN(AO$38,$D$19)&lt;MAX($P$34*($B153+IF($R$17="Distrato",$I$38-1,0)),IF(AND($L$37=0,$P$34=0),"",$L$37-1),IF($R$17="Distrato",$E153,0))),0,YEARFRAC(MAX($P$34*($B153+IF($R$17="Distrato",$I$38-1,0)),IF(AND($L$37=0,$P$34=0),"",$L$37-1),IF($R$17="Distrato",$E153,0)),MIN(AO$38,$D$19),$P$20))-SUM($P153:AN153)</f>
        <v>#VALUE!</v>
      </c>
      <c r="AP153" s="446" t="e">
        <f>IF(OR($B153="",MIN(AP$38,$D$19)&lt;MAX($P$34*($B153+IF($R$17="Distrato",$I$38-1,0)),IF(AND($L$37=0,$P$34=0),"",$L$37-1),IF($R$17="Distrato",$E153,0))),0,YEARFRAC(MAX($P$34*($B153+IF($R$17="Distrato",$I$38-1,0)),IF(AND($L$37=0,$P$34=0),"",$L$37-1),IF($R$17="Distrato",$E153,0)),MIN(AP$38,$D$19),$P$20))-SUM($P153:AO153)</f>
        <v>#VALUE!</v>
      </c>
      <c r="AQ153" s="446" t="e">
        <f>IF(OR($B153="",MIN(AQ$38,$D$19)&lt;MAX($P$34*($B153+IF($R$17="Distrato",$I$38-1,0)),IF(AND($L$37=0,$P$34=0),"",$L$37-1),IF($R$17="Distrato",$E153,0))),0,YEARFRAC(MAX($P$34*($B153+IF($R$17="Distrato",$I$38-1,0)),IF(AND($L$37=0,$P$34=0),"",$L$37-1),IF($R$17="Distrato",$E153,0)),MIN(AQ$38,$D$19),$P$20))-SUM($P153:AP153)</f>
        <v>#VALUE!</v>
      </c>
      <c r="AR153" s="446" t="e">
        <f>IF(OR($B153="",MIN(AR$38,$D$19)&lt;MAX($P$34*($B153+IF($R$17="Distrato",$I$38-1,0)),IF(AND($L$37=0,$P$34=0),"",$L$37-1),IF($R$17="Distrato",$E153,0))),0,YEARFRAC(MAX($P$34*($B153+IF($R$17="Distrato",$I$38-1,0)),IF(AND($L$37=0,$P$34=0),"",$L$37-1),IF($R$17="Distrato",$E153,0)),MIN(AR$38,$D$19),$P$20))-SUM($P153:AQ153)</f>
        <v>#VALUE!</v>
      </c>
      <c r="AS153" s="446" t="e">
        <f>IF(OR($B153="",MIN(AS$38,$D$19)&lt;MAX($P$34*($B153+IF($R$17="Distrato",$I$38-1,0)),IF(AND($L$37=0,$P$34=0),"",$L$37-1),IF($R$17="Distrato",$E153,0))),0,YEARFRAC(MAX($P$34*($B153+IF($R$17="Distrato",$I$38-1,0)),IF(AND($L$37=0,$P$34=0),"",$L$37-1),IF($R$17="Distrato",$E153,0)),MIN(AS$38,$D$19),$P$20))-SUM($P153:AR153)</f>
        <v>#VALUE!</v>
      </c>
      <c r="AT153" s="446" t="e">
        <f>IF(OR($B153="",MIN(AT$38,$D$19)&lt;MAX($P$34*($B153+IF($R$17="Distrato",$I$38-1,0)),IF(AND($L$37=0,$P$34=0),"",$L$37-1),IF($R$17="Distrato",$E153,0))),0,YEARFRAC(MAX($P$34*($B153+IF($R$17="Distrato",$I$38-1,0)),IF(AND($L$37=0,$P$34=0),"",$L$37-1),IF($R$17="Distrato",$E153,0)),MIN(AT$38,$D$19),$P$20))-SUM($P153:AS153)</f>
        <v>#VALUE!</v>
      </c>
      <c r="AU153" s="446" t="e">
        <f>IF(OR($B153="",MIN(AU$38,$D$19)&lt;MAX($P$34*($B153+IF($R$17="Distrato",$I$38-1,0)),IF(AND($L$37=0,$P$34=0),"",$L$37-1),IF($R$17="Distrato",$E153,0))),0,YEARFRAC(MAX($P$34*($B153+IF($R$17="Distrato",$I$38-1,0)),IF(AND($L$37=0,$P$34=0),"",$L$37-1),IF($R$17="Distrato",$E153,0)),MIN(AU$38,$D$19),$P$20))-SUM($P153:AT153)</f>
        <v>#VALUE!</v>
      </c>
      <c r="AV153" s="446" t="e">
        <f>IF(OR($B153="",MIN(AV$38,$D$19)&lt;MAX($P$34*($B153+IF($R$17="Distrato",$I$38-1,0)),IF(AND($L$37=0,$P$34=0),"",$L$37-1),IF($R$17="Distrato",$E153,0))),0,YEARFRAC(MAX($P$34*($B153+IF($R$17="Distrato",$I$38-1,0)),IF(AND($L$37=0,$P$34=0),"",$L$37-1),IF($R$17="Distrato",$E153,0)),MIN(AV$38,$D$19),$P$20))-SUM($P153:AU153)</f>
        <v>#VALUE!</v>
      </c>
      <c r="AW153" s="446" t="e">
        <f>IF(OR($B153="",MIN(AW$38,$D$19)&lt;MAX($P$34*($B153+IF($R$17="Distrato",$I$38-1,0)),IF(AND($L$37=0,$P$34=0),"",$L$37-1),IF($R$17="Distrato",$E153,0))),0,YEARFRAC(MAX($P$34*($B153+IF($R$17="Distrato",$I$38-1,0)),IF(AND($L$37=0,$P$34=0),"",$L$37-1),IF($R$17="Distrato",$E153,0)),MIN(AW$38,$D$19),$P$20))-SUM($P153:AV153)</f>
        <v>#VALUE!</v>
      </c>
      <c r="AX153" s="446" t="e">
        <f>IF(OR($B153="",MIN(AX$38,$D$19)&lt;MAX($P$34*($B153+IF($R$17="Distrato",$I$38-1,0)),IF(AND($L$37=0,$P$34=0),"",$L$37-1),IF($R$17="Distrato",$E153,0))),0,YEARFRAC(MAX($P$34*($B153+IF($R$17="Distrato",$I$38-1,0)),IF(AND($L$37=0,$P$34=0),"",$L$37-1),IF($R$17="Distrato",$E153,0)),MIN(AX$38,$D$19),$P$20))-SUM($P153:AW153)</f>
        <v>#VALUE!</v>
      </c>
      <c r="AY153" s="446" t="e">
        <f>IF(OR($B153="",MIN(AY$38,$D$19)&lt;MAX($P$34*($B153+IF($R$17="Distrato",$I$38-1,0)),IF(AND($L$37=0,$P$34=0),"",$L$37-1),IF($R$17="Distrato",$E153,0))),0,YEARFRAC(MAX($P$34*($B153+IF($R$17="Distrato",$I$38-1,0)),IF(AND($L$37=0,$P$34=0),"",$L$37-1),IF($R$17="Distrato",$E153,0)),MIN(AY$38,$D$19),$P$20))-SUM($P153:AX153)</f>
        <v>#VALUE!</v>
      </c>
      <c r="AZ153" s="446" t="e">
        <f>IF(OR($B153="",MIN(AZ$38,$D$19)&lt;MAX($P$34*($B153+IF($R$17="Distrato",$I$38-1,0)),IF(AND($L$37=0,$P$34=0),"",$L$37-1),IF($R$17="Distrato",$E153,0))),0,YEARFRAC(MAX($P$34*($B153+IF($R$17="Distrato",$I$38-1,0)),IF(AND($L$37=0,$P$34=0),"",$L$37-1),IF($R$17="Distrato",$E153,0)),MIN(AZ$38,$D$19),$P$20))-SUM($P153:AY153)</f>
        <v>#VALUE!</v>
      </c>
      <c r="BA153" s="446" t="e">
        <f>IF(OR($B153="",MIN(BA$38,$D$19)&lt;MAX($P$34*($B153+IF($R$17="Distrato",$I$38-1,0)),IF(AND($L$37=0,$P$34=0),"",$L$37-1),IF($R$17="Distrato",$E153,0))),0,YEARFRAC(MAX($P$34*($B153+IF($R$17="Distrato",$I$38-1,0)),IF(AND($L$37=0,$P$34=0),"",$L$37-1),IF($R$17="Distrato",$E153,0)),MIN(BA$38,$D$19),$P$20))-SUM($P153:AZ153)</f>
        <v>#VALUE!</v>
      </c>
      <c r="BB153" s="447"/>
      <c r="BF153" s="446">
        <f t="shared" si="21"/>
        <v>0</v>
      </c>
      <c r="BG153" s="446">
        <f>IF($E153=0,0,IF(MIN(BG$38,$E153)&lt;MAX($P$34*($B153+$I$38-1),IF(AND($L$37=0,$P$34=0),"",$L$37-1)),0,YEARFRAC(MAX($P$34*($B153+$I$38-1),IF(AND($L$37=0,$P$34=0),"",$L$37-1)),MIN(BG$38,$E153),$P$20))-SUM($BF153:BF153))</f>
        <v>0</v>
      </c>
      <c r="BH153" s="446">
        <f>IF($E153=0,0,IF(MIN(BH$38,$E153)&lt;MAX($P$34*($B153+$I$38-1),IF(AND($L$37=0,$P$34=0),"",$L$37-1)),0,YEARFRAC(MAX($P$34*($B153+$I$38-1),IF(AND($L$37=0,$P$34=0),"",$L$37-1)),MIN(BH$38,$E153),$P$20))-SUM($BF153:BG153))</f>
        <v>0</v>
      </c>
      <c r="BI153" s="446">
        <f>IF($E153=0,0,IF(MIN(BI$38,$E153)&lt;MAX($P$34*($B153+$I$38-1),IF(AND($L$37=0,$P$34=0),"",$L$37-1)),0,YEARFRAC(MAX($P$34*($B153+$I$38-1),IF(AND($L$37=0,$P$34=0),"",$L$37-1)),MIN(BI$38,$E153),$P$20))-SUM($BF153:BH153))</f>
        <v>0</v>
      </c>
      <c r="BJ153" s="446">
        <f>IF($E153=0,0,IF(MIN(BJ$38,$E153)&lt;MAX($P$34*($B153+$I$38-1),IF(AND($L$37=0,$P$34=0),"",$L$37-1)),0,YEARFRAC(MAX($P$34*($B153+$I$38-1),IF(AND($L$37=0,$P$34=0),"",$L$37-1)),MIN(BJ$38,$E153),$P$20))-SUM($BF153:BI153))</f>
        <v>0</v>
      </c>
      <c r="BK153" s="446">
        <f>IF($E153=0,0,IF(MIN(BK$38,$E153)&lt;MAX($P$34*($B153+$I$38-1),IF(AND($L$37=0,$P$34=0),"",$L$37-1)),0,YEARFRAC(MAX($P$34*($B153+$I$38-1),IF(AND($L$37=0,$P$34=0),"",$L$37-1)),MIN(BK$38,$E153),$P$20))-SUM($BF153:BJ153))</f>
        <v>0</v>
      </c>
      <c r="BL153" s="446">
        <f>IF($E153=0,0,IF(MIN(BL$38,$E153)&lt;MAX($P$34*($B153+$I$38-1),IF(AND($L$37=0,$P$34=0),"",$L$37-1)),0,YEARFRAC(MAX($P$34*($B153+$I$38-1),IF(AND($L$37=0,$P$34=0),"",$L$37-1)),MIN(BL$38,$E153),$P$20))-SUM($BF153:BK153))</f>
        <v>0</v>
      </c>
      <c r="BM153" s="446">
        <f>IF($E153=0,0,IF(MIN(BM$38,$E153)&lt;MAX($P$34*($B153+$I$38-1),IF(AND($L$37=0,$P$34=0),"",$L$37-1)),0,YEARFRAC(MAX($P$34*($B153+$I$38-1),IF(AND($L$37=0,$P$34=0),"",$L$37-1)),MIN(BM$38,$E153),$P$20))-SUM($BF153:BL153))</f>
        <v>0</v>
      </c>
      <c r="BN153" s="446">
        <f>IF($E153=0,0,IF(MIN(BN$38,$E153)&lt;MAX($P$34*($B153+$I$38-1),IF(AND($L$37=0,$P$34=0),"",$L$37-1)),0,YEARFRAC(MAX($P$34*($B153+$I$38-1),IF(AND($L$37=0,$P$34=0),"",$L$37-1)),MIN(BN$38,$E153),$P$20))-SUM($BF153:BM153))</f>
        <v>0</v>
      </c>
      <c r="BO153" s="446">
        <f>IF($E153=0,0,IF(MIN(BO$38,$E153)&lt;MAX($P$34*($B153+$I$38-1),IF(AND($L$37=0,$P$34=0),"",$L$37-1)),0,YEARFRAC(MAX($P$34*($B153+$I$38-1),IF(AND($L$37=0,$P$34=0),"",$L$37-1)),MIN(BO$38,$E153),$P$20))-SUM($BF153:BN153))</f>
        <v>0</v>
      </c>
      <c r="BP153" s="446">
        <f>IF($E153=0,0,IF(MIN(BP$38,$E153)&lt;MAX($P$34*($B153+$I$38-1),IF(AND($L$37=0,$P$34=0),"",$L$37-1)),0,YEARFRAC(MAX($P$34*($B153+$I$38-1),IF(AND($L$37=0,$P$34=0),"",$L$37-1)),MIN(BP$38,$E153),$P$20))-SUM($BF153:BO153))</f>
        <v>0</v>
      </c>
      <c r="BQ153" s="446">
        <f>IF($E153=0,0,IF(MIN(BQ$38,$E153)&lt;MAX($P$34*($B153+$I$38-1),IF(AND($L$37=0,$P$34=0),"",$L$37-1)),0,YEARFRAC(MAX($P$34*($B153+$I$38-1),IF(AND($L$37=0,$P$34=0),"",$L$37-1)),MIN(BQ$38,$E153),$P$20))-SUM($BF153:BP153))</f>
        <v>0</v>
      </c>
      <c r="BR153" s="446">
        <f>IF($E153=0,0,IF(MIN(BR$38,$E153)&lt;MAX($P$34*($B153+$I$38-1),IF(AND($L$37=0,$P$34=0),"",$L$37-1)),0,YEARFRAC(MAX($P$34*($B153+$I$38-1),IF(AND($L$37=0,$P$34=0),"",$L$37-1)),MIN(BR$38,$E153),$P$20))-SUM($BF153:BQ153))</f>
        <v>0</v>
      </c>
      <c r="BS153" s="446">
        <f>IF($E153=0,0,IF(MIN(BS$38,$E153)&lt;MAX($P$34*($B153+$I$38-1),IF(AND($L$37=0,$P$34=0),"",$L$37-1)),0,YEARFRAC(MAX($P$34*($B153+$I$38-1),IF(AND($L$37=0,$P$34=0),"",$L$37-1)),MIN(BS$38,$E153),$P$20))-SUM($BF153:BR153))</f>
        <v>0</v>
      </c>
      <c r="BT153" s="446">
        <f>IF($E153=0,0,IF(MIN(BT$38,$E153)&lt;MAX($P$34*($B153+$I$38-1),IF(AND($L$37=0,$P$34=0),"",$L$37-1)),0,YEARFRAC(MAX($P$34*($B153+$I$38-1),IF(AND($L$37=0,$P$34=0),"",$L$37-1)),MIN(BT$38,$E153),$P$20))-SUM($BF153:BS153))</f>
        <v>0</v>
      </c>
      <c r="BU153" s="446">
        <f>IF($E153=0,0,IF(MIN(BU$38,$E153)&lt;MAX($P$34*($B153+$I$38-1),IF(AND($L$37=0,$P$34=0),"",$L$37-1)),0,YEARFRAC(MAX($P$34*($B153+$I$38-1),IF(AND($L$37=0,$P$34=0),"",$L$37-1)),MIN(BU$38,$E153),$P$20))-SUM($BF153:BT153))</f>
        <v>0</v>
      </c>
      <c r="BV153" s="446">
        <f>IF($E153=0,0,IF(MIN(BV$38,$E153)&lt;MAX($P$34*($B153+$I$38-1),IF(AND($L$37=0,$P$34=0),"",$L$37-1)),0,YEARFRAC(MAX($P$34*($B153+$I$38-1),IF(AND($L$37=0,$P$34=0),"",$L$37-1)),MIN(BV$38,$E153),$P$20))-SUM($BF153:BU153))</f>
        <v>0</v>
      </c>
      <c r="BW153" s="446">
        <f>IF($E153=0,0,IF(MIN(BW$38,$E153)&lt;MAX($P$34*($B153+$I$38-1),IF(AND($L$37=0,$P$34=0),"",$L$37-1)),0,YEARFRAC(MAX($P$34*($B153+$I$38-1),IF(AND($L$37=0,$P$34=0),"",$L$37-1)),MIN(BW$38,$E153),$P$20))-SUM($BF153:BV153))</f>
        <v>0</v>
      </c>
      <c r="BX153" s="446">
        <f>IF($E153=0,0,IF(MIN(BX$38,$E153)&lt;MAX($P$34*($B153+$I$38-1),IF(AND($L$37=0,$P$34=0),"",$L$37-1)),0,YEARFRAC(MAX($P$34*($B153+$I$38-1),IF(AND($L$37=0,$P$34=0),"",$L$37-1)),MIN(BX$38,$E153),$P$20))-SUM($BF153:BW153))</f>
        <v>0</v>
      </c>
      <c r="BY153" s="446">
        <f>IF($E153=0,0,IF(MIN(BY$38,$E153)&lt;MAX($P$34*($B153+$I$38-1),IF(AND($L$37=0,$P$34=0),"",$L$37-1)),0,YEARFRAC(MAX($P$34*($B153+$I$38-1),IF(AND($L$37=0,$P$34=0),"",$L$37-1)),MIN(BY$38,$E153),$P$20))-SUM($BF153:BX153))</f>
        <v>0</v>
      </c>
      <c r="BZ153" s="446">
        <f>IF($E153=0,0,IF(MIN(BZ$38,$E153)&lt;MAX($P$34*($B153+$I$38-1),IF(AND($L$37=0,$P$34=0),"",$L$37-1)),0,YEARFRAC(MAX($P$34*($B153+$I$38-1),IF(AND($L$37=0,$P$34=0),"",$L$37-1)),MIN(BZ$38,$E153),$P$20))-SUM($BF153:BY153))</f>
        <v>0</v>
      </c>
      <c r="CA153" s="446">
        <f>IF($E153=0,0,IF(MIN(CA$38,$E153)&lt;MAX($P$34*($B153+$I$38-1),IF(AND($L$37=0,$P$34=0),"",$L$37-1)),0,YEARFRAC(MAX($P$34*($B153+$I$38-1),IF(AND($L$37=0,$P$34=0),"",$L$37-1)),MIN(CA$38,$E153),$P$20))-SUM($BF153:BZ153))</f>
        <v>0</v>
      </c>
      <c r="CB153" s="446">
        <f>IF($E153=0,0,IF(MIN(CB$38,$E153)&lt;MAX($P$34*($B153+$I$38-1),IF(AND($L$37=0,$P$34=0),"",$L$37-1)),0,YEARFRAC(MAX($P$34*($B153+$I$38-1),IF(AND($L$37=0,$P$34=0),"",$L$37-1)),MIN(CB$38,$E153),$P$20))-SUM($BF153:CA153))</f>
        <v>0</v>
      </c>
      <c r="CC153" s="446">
        <f>IF($E153=0,0,IF(MIN(CC$38,$E153)&lt;MAX($P$34*($B153+$I$38-1),IF(AND($L$37=0,$P$34=0),"",$L$37-1)),0,YEARFRAC(MAX($P$34*($B153+$I$38-1),IF(AND($L$37=0,$P$34=0),"",$L$37-1)),MIN(CC$38,$E153),$P$20))-SUM($BF153:CB153))</f>
        <v>0</v>
      </c>
      <c r="CD153" s="446">
        <f>IF($E153=0,0,IF(MIN(CD$38,$E153)&lt;MAX($P$34*($B153+$I$38-1),IF(AND($L$37=0,$P$34=0),"",$L$37-1)),0,YEARFRAC(MAX($P$34*($B153+$I$38-1),IF(AND($L$37=0,$P$34=0),"",$L$37-1)),MIN(CD$38,$E153),$P$20))-SUM($BF153:CC153))</f>
        <v>0</v>
      </c>
      <c r="CE153" s="446">
        <f>IF($E153=0,0,IF(MIN(CE$38,$E153)&lt;MAX($P$34*($B153+$I$38-1),IF(AND($L$37=0,$P$34=0),"",$L$37-1)),0,YEARFRAC(MAX($P$34*($B153+$I$38-1),IF(AND($L$37=0,$P$34=0),"",$L$37-1)),MIN(CE$38,$E153),$P$20))-SUM($BF153:CD153))</f>
        <v>0</v>
      </c>
      <c r="CF153" s="446">
        <f>IF($E153=0,0,IF(MIN(CF$38,$E153)&lt;MAX($P$34*($B153+$I$38-1),IF(AND($L$37=0,$P$34=0),"",$L$37-1)),0,YEARFRAC(MAX($P$34*($B153+$I$38-1),IF(AND($L$37=0,$P$34=0),"",$L$37-1)),MIN(CF$38,$E153),$P$20))-SUM($BF153:CE153))</f>
        <v>0</v>
      </c>
      <c r="CG153" s="446">
        <f>IF($E153=0,0,IF(MIN(CG$38,$E153)&lt;MAX($P$34*($B153+$I$38-1),IF(AND($L$37=0,$P$34=0),"",$L$37-1)),0,YEARFRAC(MAX($P$34*($B153+$I$38-1),IF(AND($L$37=0,$P$34=0),"",$L$37-1)),MIN(CG$38,$E153),$P$20))-SUM($BF153:CF153))</f>
        <v>0</v>
      </c>
      <c r="CH153" s="446">
        <f>IF($E153=0,0,IF(MIN(CH$38,$E153)&lt;MAX($P$34*($B153+$I$38-1),IF(AND($L$37=0,$P$34=0),"",$L$37-1)),0,YEARFRAC(MAX($P$34*($B153+$I$38-1),IF(AND($L$37=0,$P$34=0),"",$L$37-1)),MIN(CH$38,$E153),$P$20))-SUM($BF153:CG153))</f>
        <v>0</v>
      </c>
      <c r="CI153" s="446">
        <f>IF($E153=0,0,IF(MIN(CI$38,$E153)&lt;MAX($P$34*($B153+$I$38-1),IF(AND($L$37=0,$P$34=0),"",$L$37-1)),0,YEARFRAC(MAX($P$34*($B153+$I$38-1),IF(AND($L$37=0,$P$34=0),"",$L$37-1)),MIN(CI$38,$E153),$P$20))-SUM($BF153:CH153))</f>
        <v>0</v>
      </c>
      <c r="CJ153" s="446">
        <f>IF($E153=0,0,IF(MIN(CJ$38,$E153)&lt;MAX($P$34*($B153+$I$38-1),IF(AND($L$37=0,$P$34=0),"",$L$37-1)),0,YEARFRAC(MAX($P$34*($B153+$I$38-1),IF(AND($L$37=0,$P$34=0),"",$L$37-1)),MIN(CJ$38,$E153),$P$20))-SUM($BF153:CI153))</f>
        <v>0</v>
      </c>
      <c r="CK153" s="446">
        <f>IF($E153=0,0,IF(MIN(CK$38,$E153)&lt;MAX($P$34*($B153+$I$38-1),IF(AND($L$37=0,$P$34=0),"",$L$37-1)),0,YEARFRAC(MAX($P$34*($B153+$I$38-1),IF(AND($L$37=0,$P$34=0),"",$L$37-1)),MIN(CK$38,$E153),$P$20))-SUM($BF153:CJ153))</f>
        <v>0</v>
      </c>
      <c r="CL153" s="446">
        <f>IF($E153=0,0,IF(MIN(CL$38,$E153)&lt;MAX($P$34*($B153+$I$38-1),IF(AND($L$37=0,$P$34=0),"",$L$37-1)),0,YEARFRAC(MAX($P$34*($B153+$I$38-1),IF(AND($L$37=0,$P$34=0),"",$L$37-1)),MIN(CL$38,$E153),$P$20))-SUM($BF153:CK153))</f>
        <v>0</v>
      </c>
      <c r="CM153" s="446">
        <f>IF($E153=0,0,IF(MIN(CM$38,$E153)&lt;MAX($P$34*($B153+$I$38-1),IF(AND($L$37=0,$P$34=0),"",$L$37-1)),0,YEARFRAC(MAX($P$34*($B153+$I$38-1),IF(AND($L$37=0,$P$34=0),"",$L$37-1)),MIN(CM$38,$E153),$P$20))-SUM($BF153:CL153))</f>
        <v>0</v>
      </c>
      <c r="CN153" s="446">
        <f>IF($E153=0,0,IF(MIN(CN$38,$E153)&lt;MAX($P$34*($B153+$I$38-1),IF(AND($L$37=0,$P$34=0),"",$L$37-1)),0,YEARFRAC(MAX($P$34*($B153+$I$38-1),IF(AND($L$37=0,$P$34=0),"",$L$37-1)),MIN(CN$38,$E153),$P$20))-SUM($BF153:CM153))</f>
        <v>0</v>
      </c>
      <c r="CO153" s="446">
        <f>IF($E153=0,0,IF(MIN(CO$38,$E153)&lt;MAX($P$34*($B153+$I$38-1),IF(AND($L$37=0,$P$34=0),"",$L$37-1)),0,YEARFRAC(MAX($P$34*($B153+$I$38-1),IF(AND($L$37=0,$P$34=0),"",$L$37-1)),MIN(CO$38,$E153),$P$20))-SUM($BF153:CN153))</f>
        <v>0</v>
      </c>
      <c r="CP153" s="446">
        <f>IF($E153=0,0,IF(MIN(CP$38,$E153)&lt;MAX($P$34*($B153+$I$38-1),IF(AND($L$37=0,$P$34=0),"",$L$37-1)),0,YEARFRAC(MAX($P$34*($B153+$I$38-1),IF(AND($L$37=0,$P$34=0),"",$L$37-1)),MIN(CP$38,$E153),$P$20))-SUM($BF153:CO153))</f>
        <v>0</v>
      </c>
      <c r="CQ153" s="446">
        <f>IF($E153=0,0,IF(MIN(CQ$38,$E153)&lt;MAX($P$34*($B153+$I$38-1),IF(AND($L$37=0,$P$34=0),"",$L$37-1)),0,YEARFRAC(MAX($P$34*($B153+$I$38-1),IF(AND($L$37=0,$P$34=0),"",$L$37-1)),MIN(CQ$38,$E153),$P$20))-SUM($BF153:CP153))</f>
        <v>0</v>
      </c>
    </row>
    <row r="154" spans="1:95" s="446" customFormat="1" ht="11.25" hidden="1" customHeight="1" x14ac:dyDescent="0.2">
      <c r="A154" s="152"/>
      <c r="B154" s="153" t="str">
        <f t="shared" si="26"/>
        <v/>
      </c>
      <c r="C154" s="29" t="str">
        <f>IF(B154="","",IF($L$35="SELIC - TRIBUTOS",VLOOKUP(DATE(YEAR($D$19),MONTH($D$19)-1,1),ÍNDICES!$A:$DE,HLOOKUP($BL$25,ÍNDICES!$B$3:$T$4,2)+11)-VLOOKUP(B154,ÍNDICES!$A:$DE,HLOOKUP($BL$25,ÍNDICES!$B$3:$T$4,2)+11)+1%,IF(C$38=$W$26,$J$35,IF(ISERROR(IF(B154&gt;$D$19,1,VLOOKUP(DATE(YEAR(B154),MONTH(B154)+IF($C$35=$S$23,1,0),1),ÍNDICES!$A:$DE,$Z$35+1))),"",IF(B154&gt;$D$19,1,VLOOKUP(DATE(YEAR(B154),MONTH(B154)+IF($C$35=$S$23,1,0),1),ÍNDICES!$A:$DE,$Z$35+1))))))</f>
        <v/>
      </c>
      <c r="D154" s="154" t="str">
        <f>IF(ISERROR(IF(OR($D$38=$Y$27,$B154=""),"",VLOOKUP(B154,ÍNDICES!A:DE,AF$35+1))),"",IF(OR($D$38=$Y$27,$B154=""),"",VLOOKUP(B154,ÍNDICES!A:DE,AF$35+1)))</f>
        <v/>
      </c>
      <c r="E154" s="153"/>
      <c r="F154" s="29" t="str">
        <f>IF(E154="","",IF($L$35="SELIC - TRIBUTOS",VLOOKUP(DATE(YEAR($D$19),MONTH($D$19)-1,1),ÍNDICES!$A:$DE,HLOOKUP($BL$25,ÍNDICES!$B$3:$T$4,2)+11)-VLOOKUP(E154,ÍNDICES!$A:$DE,HLOOKUP($BL$25,ÍNDICES!$B$3:$T$4,2)+11)+1%,IF(F$38=$W$26,$J$35,IF(ISERROR(IF(E154&gt;$D$19,1,VLOOKUP(DATE(YEAR(E154),MONTH(E154)+IF($C$35=$S$23,1,0),1),ÍNDICES!$A:$DE,$Z$35+1))),"",IF(E154&gt;$D$19,1,VLOOKUP(DATE(YEAR(E154),MONTH(E154)+IF($C$35=$S$23,1,0),1),ÍNDICES!$A:$DE,$Z$35+1))))))</f>
        <v/>
      </c>
      <c r="G154" s="155"/>
      <c r="H154" s="156" t="str">
        <f t="shared" si="22"/>
        <v/>
      </c>
      <c r="I154" s="29" t="str">
        <f t="shared" si="16"/>
        <v/>
      </c>
      <c r="J154" s="5">
        <f t="shared" si="17"/>
        <v>0</v>
      </c>
      <c r="K154" s="20">
        <f t="shared" ca="1" si="18"/>
        <v>0</v>
      </c>
      <c r="L154" s="5">
        <f t="shared" ca="1" si="19"/>
        <v>0</v>
      </c>
      <c r="M154" s="64">
        <f t="shared" si="23"/>
        <v>0</v>
      </c>
      <c r="N154" s="61">
        <f t="shared" ca="1" si="24"/>
        <v>0</v>
      </c>
      <c r="O154" s="5">
        <f t="shared" ca="1" si="25"/>
        <v>0</v>
      </c>
      <c r="P154" s="446" t="e">
        <f t="shared" si="20"/>
        <v>#VALUE!</v>
      </c>
      <c r="Q154" s="446" t="e">
        <f>IF(OR($B154="",MIN(Q$38,$D$19)&lt;MAX($P$34*($B154+IF($R$17="Distrato",$I$38-1,0)),IF(AND($L$37=0,$P$34=0),"",$L$37-1),IF($R$17="Distrato",$E154,0))),0,YEARFRAC(MAX($P$34*($B154+IF($R$17="Distrato",$I$38-1,0)),IF(AND($L$37=0,$P$34=0),"",$L$37-1),IF($R$17="Distrato",$E154,0)),MIN(Q$38,$D$19),$P$20))-SUM($P154:P154)</f>
        <v>#VALUE!</v>
      </c>
      <c r="R154" s="446" t="e">
        <f>IF(OR($B154="",MIN(R$38,$D$19)&lt;MAX($P$34*($B154+IF($R$17="Distrato",$I$38-1,0)),IF(AND($L$37=0,$P$34=0),"",$L$37-1),IF($R$17="Distrato",$E154,0))),0,YEARFRAC(MAX($P$34*($B154+IF($R$17="Distrato",$I$38-1,0)),IF(AND($L$37=0,$P$34=0),"",$L$37-1),IF($R$17="Distrato",$E154,0)),MIN(R$38,$D$19),$P$20))-SUM($P154:Q154)</f>
        <v>#VALUE!</v>
      </c>
      <c r="S154" s="446" t="e">
        <f>IF(OR($B154="",MIN(S$38,$D$19)&lt;MAX($P$34*($B154+IF($R$17="Distrato",$I$38-1,0)),IF(AND($L$37=0,$P$34=0),"",$L$37-1),IF($R$17="Distrato",$E154,0))),0,YEARFRAC(MAX($P$34*($B154+IF($R$17="Distrato",$I$38-1,0)),IF(AND($L$37=0,$P$34=0),"",$L$37-1),IF($R$17="Distrato",$E154,0)),MIN(S$38,$D$19),$P$20))-SUM($P154:R154)</f>
        <v>#VALUE!</v>
      </c>
      <c r="T154" s="446" t="e">
        <f>IF(OR($B154="",MIN(T$38,$D$19)&lt;MAX($P$34*($B154+IF($R$17="Distrato",$I$38-1,0)),IF(AND($L$37=0,$P$34=0),"",$L$37-1),IF($R$17="Distrato",$E154,0))),0,YEARFRAC(MAX($P$34*($B154+IF($R$17="Distrato",$I$38-1,0)),IF(AND($L$37=0,$P$34=0),"",$L$37-1),IF($R$17="Distrato",$E154,0)),MIN(T$38,$D$19),$P$20))-SUM($P154:S154)</f>
        <v>#VALUE!</v>
      </c>
      <c r="U154" s="446" t="e">
        <f>IF(OR($B154="",MIN(U$38,$D$19)&lt;MAX($P$34*($B154+IF($R$17="Distrato",$I$38-1,0)),IF(AND($L$37=0,$P$34=0),"",$L$37-1),IF($R$17="Distrato",$E154,0))),0,YEARFRAC(MAX($P$34*($B154+IF($R$17="Distrato",$I$38-1,0)),IF(AND($L$37=0,$P$34=0),"",$L$37-1),IF($R$17="Distrato",$E154,0)),MIN(U$38,$D$19),$P$20))-SUM($P154:T154)</f>
        <v>#VALUE!</v>
      </c>
      <c r="V154" s="446" t="e">
        <f>IF(OR($B154="",MIN(V$38,$D$19)&lt;MAX($P$34*($B154+IF($R$17="Distrato",$I$38-1,0)),IF(AND($L$37=0,$P$34=0),"",$L$37-1),IF($R$17="Distrato",$E154,0))),0,YEARFRAC(MAX($P$34*($B154+IF($R$17="Distrato",$I$38-1,0)),IF(AND($L$37=0,$P$34=0),"",$L$37-1),IF($R$17="Distrato",$E154,0)),MIN(V$38,$D$19),$P$20))-SUM($P154:U154)</f>
        <v>#VALUE!</v>
      </c>
      <c r="W154" s="446" t="e">
        <f>IF(OR($B154="",MIN(W$38,$D$19)&lt;MAX($P$34*($B154+IF($R$17="Distrato",$I$38-1,0)),IF(AND($L$37=0,$P$34=0),"",$L$37-1),IF($R$17="Distrato",$E154,0))),0,YEARFRAC(MAX($P$34*($B154+IF($R$17="Distrato",$I$38-1,0)),IF(AND($L$37=0,$P$34=0),"",$L$37-1),IF($R$17="Distrato",$E154,0)),MIN(W$38,$D$19),$P$20))-SUM($P154:V154)</f>
        <v>#VALUE!</v>
      </c>
      <c r="X154" s="446" t="e">
        <f>IF(OR($B154="",MIN(X$38,$D$19)&lt;MAX($P$34*($B154+IF($R$17="Distrato",$I$38-1,0)),IF(AND($L$37=0,$P$34=0),"",$L$37-1),IF($R$17="Distrato",$E154,0))),0,YEARFRAC(MAX($P$34*($B154+IF($R$17="Distrato",$I$38-1,0)),IF(AND($L$37=0,$P$34=0),"",$L$37-1),IF($R$17="Distrato",$E154,0)),MIN(X$38,$D$19),$P$20))-SUM($P154:W154)</f>
        <v>#VALUE!</v>
      </c>
      <c r="Y154" s="446" t="e">
        <f>IF(OR($B154="",MIN(Y$38,$D$19)&lt;MAX($P$34*($B154+IF($R$17="Distrato",$I$38-1,0)),IF(AND($L$37=0,$P$34=0),"",$L$37-1),IF($R$17="Distrato",$E154,0))),0,YEARFRAC(MAX($P$34*($B154+IF($R$17="Distrato",$I$38-1,0)),IF(AND($L$37=0,$P$34=0),"",$L$37-1),IF($R$17="Distrato",$E154,0)),MIN(Y$38,$D$19),$P$20))-SUM($P154:X154)</f>
        <v>#VALUE!</v>
      </c>
      <c r="Z154" s="446" t="e">
        <f>IF(OR($B154="",MIN(Z$38,$D$19)&lt;MAX($P$34*($B154+IF($R$17="Distrato",$I$38-1,0)),IF(AND($L$37=0,$P$34=0),"",$L$37-1),IF($R$17="Distrato",$E154,0))),0,YEARFRAC(MAX($P$34*($B154+IF($R$17="Distrato",$I$38-1,0)),IF(AND($L$37=0,$P$34=0),"",$L$37-1),IF($R$17="Distrato",$E154,0)),MIN(Z$38,$D$19),$P$20))-SUM($P154:Y154)</f>
        <v>#VALUE!</v>
      </c>
      <c r="AA154" s="446" t="e">
        <f>IF(OR($B154="",MIN(AA$38,$D$19)&lt;MAX($P$34*($B154+IF($R$17="Distrato",$I$38-1,0)),IF(AND($L$37=0,$P$34=0),"",$L$37-1),IF($R$17="Distrato",$E154,0))),0,YEARFRAC(MAX($P$34*($B154+IF($R$17="Distrato",$I$38-1,0)),IF(AND($L$37=0,$P$34=0),"",$L$37-1),IF($R$17="Distrato",$E154,0)),MIN(AA$38,$D$19),$P$20))-SUM($P154:Z154)</f>
        <v>#VALUE!</v>
      </c>
      <c r="AB154" s="446" t="e">
        <f>IF(OR($B154="",MIN(AB$38,$D$19)&lt;MAX($P$34*($B154+IF($R$17="Distrato",$I$38-1,0)),IF(AND($L$37=0,$P$34=0),"",$L$37-1),IF($R$17="Distrato",$E154,0))),0,YEARFRAC(MAX($P$34*($B154+IF($R$17="Distrato",$I$38-1,0)),IF(AND($L$37=0,$P$34=0),"",$L$37-1),IF($R$17="Distrato",$E154,0)),MIN(AB$38,$D$19),$P$20))-SUM($P154:AA154)</f>
        <v>#VALUE!</v>
      </c>
      <c r="AC154" s="446" t="e">
        <f>IF(OR($B154="",MIN(AC$38,$D$19)&lt;MAX($P$34*($B154+IF($R$17="Distrato",$I$38-1,0)),IF(AND($L$37=0,$P$34=0),"",$L$37-1),IF($R$17="Distrato",$E154,0))),0,YEARFRAC(MAX($P$34*($B154+IF($R$17="Distrato",$I$38-1,0)),IF(AND($L$37=0,$P$34=0),"",$L$37-1),IF($R$17="Distrato",$E154,0)),MIN(AC$38,$D$19),$P$20))-SUM($P154:AB154)</f>
        <v>#VALUE!</v>
      </c>
      <c r="AD154" s="446" t="e">
        <f>IF(OR($B154="",MIN(AD$38,$D$19)&lt;MAX($P$34*($B154+IF($R$17="Distrato",$I$38-1,0)),IF(AND($L$37=0,$P$34=0),"",$L$37-1),IF($R$17="Distrato",$E154,0))),0,YEARFRAC(MAX($P$34*($B154+IF($R$17="Distrato",$I$38-1,0)),IF(AND($L$37=0,$P$34=0),"",$L$37-1),IF($R$17="Distrato",$E154,0)),MIN(AD$38,$D$19),$P$20))-SUM($P154:AC154)</f>
        <v>#VALUE!</v>
      </c>
      <c r="AE154" s="446" t="e">
        <f>IF(OR($B154="",MIN(AE$38,$D$19)&lt;MAX($P$34*($B154+IF($R$17="Distrato",$I$38-1,0)),IF(AND($L$37=0,$P$34=0),"",$L$37-1),IF($R$17="Distrato",$E154,0))),0,YEARFRAC(MAX($P$34*($B154+IF($R$17="Distrato",$I$38-1,0)),IF(AND($L$37=0,$P$34=0),"",$L$37-1),IF($R$17="Distrato",$E154,0)),MIN(AE$38,$D$19),$P$20))-SUM($P154:AD154)</f>
        <v>#VALUE!</v>
      </c>
      <c r="AF154" s="446" t="e">
        <f>IF(OR($B154="",MIN(AF$38,$D$19)&lt;MAX($P$34*($B154+IF($R$17="Distrato",$I$38-1,0)),IF(AND($L$37=0,$P$34=0),"",$L$37-1),IF($R$17="Distrato",$E154,0))),0,YEARFRAC(MAX($P$34*($B154+IF($R$17="Distrato",$I$38-1,0)),IF(AND($L$37=0,$P$34=0),"",$L$37-1),IF($R$17="Distrato",$E154,0)),MIN(AF$38,$D$19),$P$20))-SUM($P154:AE154)</f>
        <v>#VALUE!</v>
      </c>
      <c r="AG154" s="446" t="e">
        <f>IF(OR($B154="",MIN(AG$38,$D$19)&lt;MAX($P$34*($B154+IF($R$17="Distrato",$I$38-1,0)),IF(AND($L$37=0,$P$34=0),"",$L$37-1),IF($R$17="Distrato",$E154,0))),0,YEARFRAC(MAX($P$34*($B154+IF($R$17="Distrato",$I$38-1,0)),IF(AND($L$37=0,$P$34=0),"",$L$37-1),IF($R$17="Distrato",$E154,0)),MIN(AG$38,$D$19),$P$20))-SUM($P154:AF154)</f>
        <v>#VALUE!</v>
      </c>
      <c r="AH154" s="446" t="e">
        <f>IF(OR($B154="",MIN(AH$38,$D$19)&lt;MAX($P$34*($B154+IF($R$17="Distrato",$I$38-1,0)),IF(AND($L$37=0,$P$34=0),"",$L$37-1),IF($R$17="Distrato",$E154,0))),0,YEARFRAC(MAX($P$34*($B154+IF($R$17="Distrato",$I$38-1,0)),IF(AND($L$37=0,$P$34=0),"",$L$37-1),IF($R$17="Distrato",$E154,0)),MIN(AH$38,$D$19),$P$20))-SUM($P154:AG154)</f>
        <v>#VALUE!</v>
      </c>
      <c r="AI154" s="446" t="e">
        <f>IF(OR($B154="",MIN(AI$38,$D$19)&lt;MAX($P$34*($B154+IF($R$17="Distrato",$I$38-1,0)),IF(AND($L$37=0,$P$34=0),"",$L$37-1),IF($R$17="Distrato",$E154,0))),0,YEARFRAC(MAX($P$34*($B154+IF($R$17="Distrato",$I$38-1,0)),IF(AND($L$37=0,$P$34=0),"",$L$37-1),IF($R$17="Distrato",$E154,0)),MIN(AI$38,$D$19),$P$20))-SUM($P154:AH154)</f>
        <v>#VALUE!</v>
      </c>
      <c r="AJ154" s="446" t="e">
        <f>IF(OR($B154="",MIN(AJ$38,$D$19)&lt;MAX($P$34*($B154+IF($R$17="Distrato",$I$38-1,0)),IF(AND($L$37=0,$P$34=0),"",$L$37-1),IF($R$17="Distrato",$E154,0))),0,YEARFRAC(MAX($P$34*($B154+IF($R$17="Distrato",$I$38-1,0)),IF(AND($L$37=0,$P$34=0),"",$L$37-1),IF($R$17="Distrato",$E154,0)),MIN(AJ$38,$D$19),$P$20))-SUM($P154:AI154)</f>
        <v>#VALUE!</v>
      </c>
      <c r="AK154" s="446" t="e">
        <f>IF(OR($B154="",MIN(AK$38,$D$19)&lt;MAX($P$34*($B154+IF($R$17="Distrato",$I$38-1,0)),IF(AND($L$37=0,$P$34=0),"",$L$37-1),IF($R$17="Distrato",$E154,0))),0,YEARFRAC(MAX($P$34*($B154+IF($R$17="Distrato",$I$38-1,0)),IF(AND($L$37=0,$P$34=0),"",$L$37-1),IF($R$17="Distrato",$E154,0)),MIN(AK$38,$D$19),$P$20))-SUM($P154:AJ154)</f>
        <v>#VALUE!</v>
      </c>
      <c r="AL154" s="446" t="e">
        <f>IF(OR($B154="",MIN(AL$38,$D$19)&lt;MAX($P$34*($B154+IF($R$17="Distrato",$I$38-1,0)),IF(AND($L$37=0,$P$34=0),"",$L$37-1),IF($R$17="Distrato",$E154,0))),0,YEARFRAC(MAX($P$34*($B154+IF($R$17="Distrato",$I$38-1,0)),IF(AND($L$37=0,$P$34=0),"",$L$37-1),IF($R$17="Distrato",$E154,0)),MIN(AL$38,$D$19),$P$20))-SUM($P154:AK154)</f>
        <v>#VALUE!</v>
      </c>
      <c r="AM154" s="446" t="e">
        <f>IF(OR($B154="",MIN(AM$38,$D$19)&lt;MAX($P$34*($B154+IF($R$17="Distrato",$I$38-1,0)),IF(AND($L$37=0,$P$34=0),"",$L$37-1),IF($R$17="Distrato",$E154,0))),0,YEARFRAC(MAX($P$34*($B154+IF($R$17="Distrato",$I$38-1,0)),IF(AND($L$37=0,$P$34=0),"",$L$37-1),IF($R$17="Distrato",$E154,0)),MIN(AM$38,$D$19),$P$20))-SUM($P154:AL154)</f>
        <v>#VALUE!</v>
      </c>
      <c r="AN154" s="446" t="e">
        <f>IF(OR($B154="",MIN(AN$38,$D$19)&lt;MAX($P$34*($B154+IF($R$17="Distrato",$I$38-1,0)),IF(AND($L$37=0,$P$34=0),"",$L$37-1),IF($R$17="Distrato",$E154,0))),0,YEARFRAC(MAX($P$34*($B154+IF($R$17="Distrato",$I$38-1,0)),IF(AND($L$37=0,$P$34=0),"",$L$37-1),IF($R$17="Distrato",$E154,0)),MIN(AN$38,$D$19),$P$20))-SUM($P154:AM154)</f>
        <v>#VALUE!</v>
      </c>
      <c r="AO154" s="446" t="e">
        <f>IF(OR($B154="",MIN(AO$38,$D$19)&lt;MAX($P$34*($B154+IF($R$17="Distrato",$I$38-1,0)),IF(AND($L$37=0,$P$34=0),"",$L$37-1),IF($R$17="Distrato",$E154,0))),0,YEARFRAC(MAX($P$34*($B154+IF($R$17="Distrato",$I$38-1,0)),IF(AND($L$37=0,$P$34=0),"",$L$37-1),IF($R$17="Distrato",$E154,0)),MIN(AO$38,$D$19),$P$20))-SUM($P154:AN154)</f>
        <v>#VALUE!</v>
      </c>
      <c r="AP154" s="446" t="e">
        <f>IF(OR($B154="",MIN(AP$38,$D$19)&lt;MAX($P$34*($B154+IF($R$17="Distrato",$I$38-1,0)),IF(AND($L$37=0,$P$34=0),"",$L$37-1),IF($R$17="Distrato",$E154,0))),0,YEARFRAC(MAX($P$34*($B154+IF($R$17="Distrato",$I$38-1,0)),IF(AND($L$37=0,$P$34=0),"",$L$37-1),IF($R$17="Distrato",$E154,0)),MIN(AP$38,$D$19),$P$20))-SUM($P154:AO154)</f>
        <v>#VALUE!</v>
      </c>
      <c r="AQ154" s="446" t="e">
        <f>IF(OR($B154="",MIN(AQ$38,$D$19)&lt;MAX($P$34*($B154+IF($R$17="Distrato",$I$38-1,0)),IF(AND($L$37=0,$P$34=0),"",$L$37-1),IF($R$17="Distrato",$E154,0))),0,YEARFRAC(MAX($P$34*($B154+IF($R$17="Distrato",$I$38-1,0)),IF(AND($L$37=0,$P$34=0),"",$L$37-1),IF($R$17="Distrato",$E154,0)),MIN(AQ$38,$D$19),$P$20))-SUM($P154:AP154)</f>
        <v>#VALUE!</v>
      </c>
      <c r="AR154" s="446" t="e">
        <f>IF(OR($B154="",MIN(AR$38,$D$19)&lt;MAX($P$34*($B154+IF($R$17="Distrato",$I$38-1,0)),IF(AND($L$37=0,$P$34=0),"",$L$37-1),IF($R$17="Distrato",$E154,0))),0,YEARFRAC(MAX($P$34*($B154+IF($R$17="Distrato",$I$38-1,0)),IF(AND($L$37=0,$P$34=0),"",$L$37-1),IF($R$17="Distrato",$E154,0)),MIN(AR$38,$D$19),$P$20))-SUM($P154:AQ154)</f>
        <v>#VALUE!</v>
      </c>
      <c r="AS154" s="446" t="e">
        <f>IF(OR($B154="",MIN(AS$38,$D$19)&lt;MAX($P$34*($B154+IF($R$17="Distrato",$I$38-1,0)),IF(AND($L$37=0,$P$34=0),"",$L$37-1),IF($R$17="Distrato",$E154,0))),0,YEARFRAC(MAX($P$34*($B154+IF($R$17="Distrato",$I$38-1,0)),IF(AND($L$37=0,$P$34=0),"",$L$37-1),IF($R$17="Distrato",$E154,0)),MIN(AS$38,$D$19),$P$20))-SUM($P154:AR154)</f>
        <v>#VALUE!</v>
      </c>
      <c r="AT154" s="446" t="e">
        <f>IF(OR($B154="",MIN(AT$38,$D$19)&lt;MAX($P$34*($B154+IF($R$17="Distrato",$I$38-1,0)),IF(AND($L$37=0,$P$34=0),"",$L$37-1),IF($R$17="Distrato",$E154,0))),0,YEARFRAC(MAX($P$34*($B154+IF($R$17="Distrato",$I$38-1,0)),IF(AND($L$37=0,$P$34=0),"",$L$37-1),IF($R$17="Distrato",$E154,0)),MIN(AT$38,$D$19),$P$20))-SUM($P154:AS154)</f>
        <v>#VALUE!</v>
      </c>
      <c r="AU154" s="446" t="e">
        <f>IF(OR($B154="",MIN(AU$38,$D$19)&lt;MAX($P$34*($B154+IF($R$17="Distrato",$I$38-1,0)),IF(AND($L$37=0,$P$34=0),"",$L$37-1),IF($R$17="Distrato",$E154,0))),0,YEARFRAC(MAX($P$34*($B154+IF($R$17="Distrato",$I$38-1,0)),IF(AND($L$37=0,$P$34=0),"",$L$37-1),IF($R$17="Distrato",$E154,0)),MIN(AU$38,$D$19),$P$20))-SUM($P154:AT154)</f>
        <v>#VALUE!</v>
      </c>
      <c r="AV154" s="446" t="e">
        <f>IF(OR($B154="",MIN(AV$38,$D$19)&lt;MAX($P$34*($B154+IF($R$17="Distrato",$I$38-1,0)),IF(AND($L$37=0,$P$34=0),"",$L$37-1),IF($R$17="Distrato",$E154,0))),0,YEARFRAC(MAX($P$34*($B154+IF($R$17="Distrato",$I$38-1,0)),IF(AND($L$37=0,$P$34=0),"",$L$37-1),IF($R$17="Distrato",$E154,0)),MIN(AV$38,$D$19),$P$20))-SUM($P154:AU154)</f>
        <v>#VALUE!</v>
      </c>
      <c r="AW154" s="446" t="e">
        <f>IF(OR($B154="",MIN(AW$38,$D$19)&lt;MAX($P$34*($B154+IF($R$17="Distrato",$I$38-1,0)),IF(AND($L$37=0,$P$34=0),"",$L$37-1),IF($R$17="Distrato",$E154,0))),0,YEARFRAC(MAX($P$34*($B154+IF($R$17="Distrato",$I$38-1,0)),IF(AND($L$37=0,$P$34=0),"",$L$37-1),IF($R$17="Distrato",$E154,0)),MIN(AW$38,$D$19),$P$20))-SUM($P154:AV154)</f>
        <v>#VALUE!</v>
      </c>
      <c r="AX154" s="446" t="e">
        <f>IF(OR($B154="",MIN(AX$38,$D$19)&lt;MAX($P$34*($B154+IF($R$17="Distrato",$I$38-1,0)),IF(AND($L$37=0,$P$34=0),"",$L$37-1),IF($R$17="Distrato",$E154,0))),0,YEARFRAC(MAX($P$34*($B154+IF($R$17="Distrato",$I$38-1,0)),IF(AND($L$37=0,$P$34=0),"",$L$37-1),IF($R$17="Distrato",$E154,0)),MIN(AX$38,$D$19),$P$20))-SUM($P154:AW154)</f>
        <v>#VALUE!</v>
      </c>
      <c r="AY154" s="446" t="e">
        <f>IF(OR($B154="",MIN(AY$38,$D$19)&lt;MAX($P$34*($B154+IF($R$17="Distrato",$I$38-1,0)),IF(AND($L$37=0,$P$34=0),"",$L$37-1),IF($R$17="Distrato",$E154,0))),0,YEARFRAC(MAX($P$34*($B154+IF($R$17="Distrato",$I$38-1,0)),IF(AND($L$37=0,$P$34=0),"",$L$37-1),IF($R$17="Distrato",$E154,0)),MIN(AY$38,$D$19),$P$20))-SUM($P154:AX154)</f>
        <v>#VALUE!</v>
      </c>
      <c r="AZ154" s="446" t="e">
        <f>IF(OR($B154="",MIN(AZ$38,$D$19)&lt;MAX($P$34*($B154+IF($R$17="Distrato",$I$38-1,0)),IF(AND($L$37=0,$P$34=0),"",$L$37-1),IF($R$17="Distrato",$E154,0))),0,YEARFRAC(MAX($P$34*($B154+IF($R$17="Distrato",$I$38-1,0)),IF(AND($L$37=0,$P$34=0),"",$L$37-1),IF($R$17="Distrato",$E154,0)),MIN(AZ$38,$D$19),$P$20))-SUM($P154:AY154)</f>
        <v>#VALUE!</v>
      </c>
      <c r="BA154" s="446" t="e">
        <f>IF(OR($B154="",MIN(BA$38,$D$19)&lt;MAX($P$34*($B154+IF($R$17="Distrato",$I$38-1,0)),IF(AND($L$37=0,$P$34=0),"",$L$37-1),IF($R$17="Distrato",$E154,0))),0,YEARFRAC(MAX($P$34*($B154+IF($R$17="Distrato",$I$38-1,0)),IF(AND($L$37=0,$P$34=0),"",$L$37-1),IF($R$17="Distrato",$E154,0)),MIN(BA$38,$D$19),$P$20))-SUM($P154:AZ154)</f>
        <v>#VALUE!</v>
      </c>
      <c r="BB154" s="447"/>
      <c r="BF154" s="446">
        <f t="shared" si="21"/>
        <v>0</v>
      </c>
      <c r="BG154" s="446">
        <f>IF($E154=0,0,IF(MIN(BG$38,$E154)&lt;MAX($P$34*($B154+$I$38-1),IF(AND($L$37=0,$P$34=0),"",$L$37-1)),0,YEARFRAC(MAX($P$34*($B154+$I$38-1),IF(AND($L$37=0,$P$34=0),"",$L$37-1)),MIN(BG$38,$E154),$P$20))-SUM($BF154:BF154))</f>
        <v>0</v>
      </c>
      <c r="BH154" s="446">
        <f>IF($E154=0,0,IF(MIN(BH$38,$E154)&lt;MAX($P$34*($B154+$I$38-1),IF(AND($L$37=0,$P$34=0),"",$L$37-1)),0,YEARFRAC(MAX($P$34*($B154+$I$38-1),IF(AND($L$37=0,$P$34=0),"",$L$37-1)),MIN(BH$38,$E154),$P$20))-SUM($BF154:BG154))</f>
        <v>0</v>
      </c>
      <c r="BI154" s="446">
        <f>IF($E154=0,0,IF(MIN(BI$38,$E154)&lt;MAX($P$34*($B154+$I$38-1),IF(AND($L$37=0,$P$34=0),"",$L$37-1)),0,YEARFRAC(MAX($P$34*($B154+$I$38-1),IF(AND($L$37=0,$P$34=0),"",$L$37-1)),MIN(BI$38,$E154),$P$20))-SUM($BF154:BH154))</f>
        <v>0</v>
      </c>
      <c r="BJ154" s="446">
        <f>IF($E154=0,0,IF(MIN(BJ$38,$E154)&lt;MAX($P$34*($B154+$I$38-1),IF(AND($L$37=0,$P$34=0),"",$L$37-1)),0,YEARFRAC(MAX($P$34*($B154+$I$38-1),IF(AND($L$37=0,$P$34=0),"",$L$37-1)),MIN(BJ$38,$E154),$P$20))-SUM($BF154:BI154))</f>
        <v>0</v>
      </c>
      <c r="BK154" s="446">
        <f>IF($E154=0,0,IF(MIN(BK$38,$E154)&lt;MAX($P$34*($B154+$I$38-1),IF(AND($L$37=0,$P$34=0),"",$L$37-1)),0,YEARFRAC(MAX($P$34*($B154+$I$38-1),IF(AND($L$37=0,$P$34=0),"",$L$37-1)),MIN(BK$38,$E154),$P$20))-SUM($BF154:BJ154))</f>
        <v>0</v>
      </c>
      <c r="BL154" s="446">
        <f>IF($E154=0,0,IF(MIN(BL$38,$E154)&lt;MAX($P$34*($B154+$I$38-1),IF(AND($L$37=0,$P$34=0),"",$L$37-1)),0,YEARFRAC(MAX($P$34*($B154+$I$38-1),IF(AND($L$37=0,$P$34=0),"",$L$37-1)),MIN(BL$38,$E154),$P$20))-SUM($BF154:BK154))</f>
        <v>0</v>
      </c>
      <c r="BM154" s="446">
        <f>IF($E154=0,0,IF(MIN(BM$38,$E154)&lt;MAX($P$34*($B154+$I$38-1),IF(AND($L$37=0,$P$34=0),"",$L$37-1)),0,YEARFRAC(MAX($P$34*($B154+$I$38-1),IF(AND($L$37=0,$P$34=0),"",$L$37-1)),MIN(BM$38,$E154),$P$20))-SUM($BF154:BL154))</f>
        <v>0</v>
      </c>
      <c r="BN154" s="446">
        <f>IF($E154=0,0,IF(MIN(BN$38,$E154)&lt;MAX($P$34*($B154+$I$38-1),IF(AND($L$37=0,$P$34=0),"",$L$37-1)),0,YEARFRAC(MAX($P$34*($B154+$I$38-1),IF(AND($L$37=0,$P$34=0),"",$L$37-1)),MIN(BN$38,$E154),$P$20))-SUM($BF154:BM154))</f>
        <v>0</v>
      </c>
      <c r="BO154" s="446">
        <f>IF($E154=0,0,IF(MIN(BO$38,$E154)&lt;MAX($P$34*($B154+$I$38-1),IF(AND($L$37=0,$P$34=0),"",$L$37-1)),0,YEARFRAC(MAX($P$34*($B154+$I$38-1),IF(AND($L$37=0,$P$34=0),"",$L$37-1)),MIN(BO$38,$E154),$P$20))-SUM($BF154:BN154))</f>
        <v>0</v>
      </c>
      <c r="BP154" s="446">
        <f>IF($E154=0,0,IF(MIN(BP$38,$E154)&lt;MAX($P$34*($B154+$I$38-1),IF(AND($L$37=0,$P$34=0),"",$L$37-1)),0,YEARFRAC(MAX($P$34*($B154+$I$38-1),IF(AND($L$37=0,$P$34=0),"",$L$37-1)),MIN(BP$38,$E154),$P$20))-SUM($BF154:BO154))</f>
        <v>0</v>
      </c>
      <c r="BQ154" s="446">
        <f>IF($E154=0,0,IF(MIN(BQ$38,$E154)&lt;MAX($P$34*($B154+$I$38-1),IF(AND($L$37=0,$P$34=0),"",$L$37-1)),0,YEARFRAC(MAX($P$34*($B154+$I$38-1),IF(AND($L$37=0,$P$34=0),"",$L$37-1)),MIN(BQ$38,$E154),$P$20))-SUM($BF154:BP154))</f>
        <v>0</v>
      </c>
      <c r="BR154" s="446">
        <f>IF($E154=0,0,IF(MIN(BR$38,$E154)&lt;MAX($P$34*($B154+$I$38-1),IF(AND($L$37=0,$P$34=0),"",$L$37-1)),0,YEARFRAC(MAX($P$34*($B154+$I$38-1),IF(AND($L$37=0,$P$34=0),"",$L$37-1)),MIN(BR$38,$E154),$P$20))-SUM($BF154:BQ154))</f>
        <v>0</v>
      </c>
      <c r="BS154" s="446">
        <f>IF($E154=0,0,IF(MIN(BS$38,$E154)&lt;MAX($P$34*($B154+$I$38-1),IF(AND($L$37=0,$P$34=0),"",$L$37-1)),0,YEARFRAC(MAX($P$34*($B154+$I$38-1),IF(AND($L$37=0,$P$34=0),"",$L$37-1)),MIN(BS$38,$E154),$P$20))-SUM($BF154:BR154))</f>
        <v>0</v>
      </c>
      <c r="BT154" s="446">
        <f>IF($E154=0,0,IF(MIN(BT$38,$E154)&lt;MAX($P$34*($B154+$I$38-1),IF(AND($L$37=0,$P$34=0),"",$L$37-1)),0,YEARFRAC(MAX($P$34*($B154+$I$38-1),IF(AND($L$37=0,$P$34=0),"",$L$37-1)),MIN(BT$38,$E154),$P$20))-SUM($BF154:BS154))</f>
        <v>0</v>
      </c>
      <c r="BU154" s="446">
        <f>IF($E154=0,0,IF(MIN(BU$38,$E154)&lt;MAX($P$34*($B154+$I$38-1),IF(AND($L$37=0,$P$34=0),"",$L$37-1)),0,YEARFRAC(MAX($P$34*($B154+$I$38-1),IF(AND($L$37=0,$P$34=0),"",$L$37-1)),MIN(BU$38,$E154),$P$20))-SUM($BF154:BT154))</f>
        <v>0</v>
      </c>
      <c r="BV154" s="446">
        <f>IF($E154=0,0,IF(MIN(BV$38,$E154)&lt;MAX($P$34*($B154+$I$38-1),IF(AND($L$37=0,$P$34=0),"",$L$37-1)),0,YEARFRAC(MAX($P$34*($B154+$I$38-1),IF(AND($L$37=0,$P$34=0),"",$L$37-1)),MIN(BV$38,$E154),$P$20))-SUM($BF154:BU154))</f>
        <v>0</v>
      </c>
      <c r="BW154" s="446">
        <f>IF($E154=0,0,IF(MIN(BW$38,$E154)&lt;MAX($P$34*($B154+$I$38-1),IF(AND($L$37=0,$P$34=0),"",$L$37-1)),0,YEARFRAC(MAX($P$34*($B154+$I$38-1),IF(AND($L$37=0,$P$34=0),"",$L$37-1)),MIN(BW$38,$E154),$P$20))-SUM($BF154:BV154))</f>
        <v>0</v>
      </c>
      <c r="BX154" s="446">
        <f>IF($E154=0,0,IF(MIN(BX$38,$E154)&lt;MAX($P$34*($B154+$I$38-1),IF(AND($L$37=0,$P$34=0),"",$L$37-1)),0,YEARFRAC(MAX($P$34*($B154+$I$38-1),IF(AND($L$37=0,$P$34=0),"",$L$37-1)),MIN(BX$38,$E154),$P$20))-SUM($BF154:BW154))</f>
        <v>0</v>
      </c>
      <c r="BY154" s="446">
        <f>IF($E154=0,0,IF(MIN(BY$38,$E154)&lt;MAX($P$34*($B154+$I$38-1),IF(AND($L$37=0,$P$34=0),"",$L$37-1)),0,YEARFRAC(MAX($P$34*($B154+$I$38-1),IF(AND($L$37=0,$P$34=0),"",$L$37-1)),MIN(BY$38,$E154),$P$20))-SUM($BF154:BX154))</f>
        <v>0</v>
      </c>
      <c r="BZ154" s="446">
        <f>IF($E154=0,0,IF(MIN(BZ$38,$E154)&lt;MAX($P$34*($B154+$I$38-1),IF(AND($L$37=0,$P$34=0),"",$L$37-1)),0,YEARFRAC(MAX($P$34*($B154+$I$38-1),IF(AND($L$37=0,$P$34=0),"",$L$37-1)),MIN(BZ$38,$E154),$P$20))-SUM($BF154:BY154))</f>
        <v>0</v>
      </c>
      <c r="CA154" s="446">
        <f>IF($E154=0,0,IF(MIN(CA$38,$E154)&lt;MAX($P$34*($B154+$I$38-1),IF(AND($L$37=0,$P$34=0),"",$L$37-1)),0,YEARFRAC(MAX($P$34*($B154+$I$38-1),IF(AND($L$37=0,$P$34=0),"",$L$37-1)),MIN(CA$38,$E154),$P$20))-SUM($BF154:BZ154))</f>
        <v>0</v>
      </c>
      <c r="CB154" s="446">
        <f>IF($E154=0,0,IF(MIN(CB$38,$E154)&lt;MAX($P$34*($B154+$I$38-1),IF(AND($L$37=0,$P$34=0),"",$L$37-1)),0,YEARFRAC(MAX($P$34*($B154+$I$38-1),IF(AND($L$37=0,$P$34=0),"",$L$37-1)),MIN(CB$38,$E154),$P$20))-SUM($BF154:CA154))</f>
        <v>0</v>
      </c>
      <c r="CC154" s="446">
        <f>IF($E154=0,0,IF(MIN(CC$38,$E154)&lt;MAX($P$34*($B154+$I$38-1),IF(AND($L$37=0,$P$34=0),"",$L$37-1)),0,YEARFRAC(MAX($P$34*($B154+$I$38-1),IF(AND($L$37=0,$P$34=0),"",$L$37-1)),MIN(CC$38,$E154),$P$20))-SUM($BF154:CB154))</f>
        <v>0</v>
      </c>
      <c r="CD154" s="446">
        <f>IF($E154=0,0,IF(MIN(CD$38,$E154)&lt;MAX($P$34*($B154+$I$38-1),IF(AND($L$37=0,$P$34=0),"",$L$37-1)),0,YEARFRAC(MAX($P$34*($B154+$I$38-1),IF(AND($L$37=0,$P$34=0),"",$L$37-1)),MIN(CD$38,$E154),$P$20))-SUM($BF154:CC154))</f>
        <v>0</v>
      </c>
      <c r="CE154" s="446">
        <f>IF($E154=0,0,IF(MIN(CE$38,$E154)&lt;MAX($P$34*($B154+$I$38-1),IF(AND($L$37=0,$P$34=0),"",$L$37-1)),0,YEARFRAC(MAX($P$34*($B154+$I$38-1),IF(AND($L$37=0,$P$34=0),"",$L$37-1)),MIN(CE$38,$E154),$P$20))-SUM($BF154:CD154))</f>
        <v>0</v>
      </c>
      <c r="CF154" s="446">
        <f>IF($E154=0,0,IF(MIN(CF$38,$E154)&lt;MAX($P$34*($B154+$I$38-1),IF(AND($L$37=0,$P$34=0),"",$L$37-1)),0,YEARFRAC(MAX($P$34*($B154+$I$38-1),IF(AND($L$37=0,$P$34=0),"",$L$37-1)),MIN(CF$38,$E154),$P$20))-SUM($BF154:CE154))</f>
        <v>0</v>
      </c>
      <c r="CG154" s="446">
        <f>IF($E154=0,0,IF(MIN(CG$38,$E154)&lt;MAX($P$34*($B154+$I$38-1),IF(AND($L$37=0,$P$34=0),"",$L$37-1)),0,YEARFRAC(MAX($P$34*($B154+$I$38-1),IF(AND($L$37=0,$P$34=0),"",$L$37-1)),MIN(CG$38,$E154),$P$20))-SUM($BF154:CF154))</f>
        <v>0</v>
      </c>
      <c r="CH154" s="446">
        <f>IF($E154=0,0,IF(MIN(CH$38,$E154)&lt;MAX($P$34*($B154+$I$38-1),IF(AND($L$37=0,$P$34=0),"",$L$37-1)),0,YEARFRAC(MAX($P$34*($B154+$I$38-1),IF(AND($L$37=0,$P$34=0),"",$L$37-1)),MIN(CH$38,$E154),$P$20))-SUM($BF154:CG154))</f>
        <v>0</v>
      </c>
      <c r="CI154" s="446">
        <f>IF($E154=0,0,IF(MIN(CI$38,$E154)&lt;MAX($P$34*($B154+$I$38-1),IF(AND($L$37=0,$P$34=0),"",$L$37-1)),0,YEARFRAC(MAX($P$34*($B154+$I$38-1),IF(AND($L$37=0,$P$34=0),"",$L$37-1)),MIN(CI$38,$E154),$P$20))-SUM($BF154:CH154))</f>
        <v>0</v>
      </c>
      <c r="CJ154" s="446">
        <f>IF($E154=0,0,IF(MIN(CJ$38,$E154)&lt;MAX($P$34*($B154+$I$38-1),IF(AND($L$37=0,$P$34=0),"",$L$37-1)),0,YEARFRAC(MAX($P$34*($B154+$I$38-1),IF(AND($L$37=0,$P$34=0),"",$L$37-1)),MIN(CJ$38,$E154),$P$20))-SUM($BF154:CI154))</f>
        <v>0</v>
      </c>
      <c r="CK154" s="446">
        <f>IF($E154=0,0,IF(MIN(CK$38,$E154)&lt;MAX($P$34*($B154+$I$38-1),IF(AND($L$37=0,$P$34=0),"",$L$37-1)),0,YEARFRAC(MAX($P$34*($B154+$I$38-1),IF(AND($L$37=0,$P$34=0),"",$L$37-1)),MIN(CK$38,$E154),$P$20))-SUM($BF154:CJ154))</f>
        <v>0</v>
      </c>
      <c r="CL154" s="446">
        <f>IF($E154=0,0,IF(MIN(CL$38,$E154)&lt;MAX($P$34*($B154+$I$38-1),IF(AND($L$37=0,$P$34=0),"",$L$37-1)),0,YEARFRAC(MAX($P$34*($B154+$I$38-1),IF(AND($L$37=0,$P$34=0),"",$L$37-1)),MIN(CL$38,$E154),$P$20))-SUM($BF154:CK154))</f>
        <v>0</v>
      </c>
      <c r="CM154" s="446">
        <f>IF($E154=0,0,IF(MIN(CM$38,$E154)&lt;MAX($P$34*($B154+$I$38-1),IF(AND($L$37=0,$P$34=0),"",$L$37-1)),0,YEARFRAC(MAX($P$34*($B154+$I$38-1),IF(AND($L$37=0,$P$34=0),"",$L$37-1)),MIN(CM$38,$E154),$P$20))-SUM($BF154:CL154))</f>
        <v>0</v>
      </c>
      <c r="CN154" s="446">
        <f>IF($E154=0,0,IF(MIN(CN$38,$E154)&lt;MAX($P$34*($B154+$I$38-1),IF(AND($L$37=0,$P$34=0),"",$L$37-1)),0,YEARFRAC(MAX($P$34*($B154+$I$38-1),IF(AND($L$37=0,$P$34=0),"",$L$37-1)),MIN(CN$38,$E154),$P$20))-SUM($BF154:CM154))</f>
        <v>0</v>
      </c>
      <c r="CO154" s="446">
        <f>IF($E154=0,0,IF(MIN(CO$38,$E154)&lt;MAX($P$34*($B154+$I$38-1),IF(AND($L$37=0,$P$34=0),"",$L$37-1)),0,YEARFRAC(MAX($P$34*($B154+$I$38-1),IF(AND($L$37=0,$P$34=0),"",$L$37-1)),MIN(CO$38,$E154),$P$20))-SUM($BF154:CN154))</f>
        <v>0</v>
      </c>
      <c r="CP154" s="446">
        <f>IF($E154=0,0,IF(MIN(CP$38,$E154)&lt;MAX($P$34*($B154+$I$38-1),IF(AND($L$37=0,$P$34=0),"",$L$37-1)),0,YEARFRAC(MAX($P$34*($B154+$I$38-1),IF(AND($L$37=0,$P$34=0),"",$L$37-1)),MIN(CP$38,$E154),$P$20))-SUM($BF154:CO154))</f>
        <v>0</v>
      </c>
      <c r="CQ154" s="446">
        <f>IF($E154=0,0,IF(MIN(CQ$38,$E154)&lt;MAX($P$34*($B154+$I$38-1),IF(AND($L$37=0,$P$34=0),"",$L$37-1)),0,YEARFRAC(MAX($P$34*($B154+$I$38-1),IF(AND($L$37=0,$P$34=0),"",$L$37-1)),MIN(CQ$38,$E154),$P$20))-SUM($BF154:CP154))</f>
        <v>0</v>
      </c>
    </row>
    <row r="155" spans="1:95" s="446" customFormat="1" ht="11.25" hidden="1" customHeight="1" x14ac:dyDescent="0.2">
      <c r="A155" s="152"/>
      <c r="B155" s="153" t="str">
        <f t="shared" si="26"/>
        <v/>
      </c>
      <c r="C155" s="29" t="str">
        <f>IF(B155="","",IF($L$35="SELIC - TRIBUTOS",VLOOKUP(DATE(YEAR($D$19),MONTH($D$19)-1,1),ÍNDICES!$A:$DE,HLOOKUP($BL$25,ÍNDICES!$B$3:$T$4,2)+11)-VLOOKUP(B155,ÍNDICES!$A:$DE,HLOOKUP($BL$25,ÍNDICES!$B$3:$T$4,2)+11)+1%,IF(C$38=$W$26,$J$35,IF(ISERROR(IF(B155&gt;$D$19,1,VLOOKUP(DATE(YEAR(B155),MONTH(B155)+IF($C$35=$S$23,1,0),1),ÍNDICES!$A:$DE,$Z$35+1))),"",IF(B155&gt;$D$19,1,VLOOKUP(DATE(YEAR(B155),MONTH(B155)+IF($C$35=$S$23,1,0),1),ÍNDICES!$A:$DE,$Z$35+1))))))</f>
        <v/>
      </c>
      <c r="D155" s="154" t="str">
        <f>IF(ISERROR(IF(OR($D$38=$Y$27,$B155=""),"",VLOOKUP(B155,ÍNDICES!A:DE,AF$35+1))),"",IF(OR($D$38=$Y$27,$B155=""),"",VLOOKUP(B155,ÍNDICES!A:DE,AF$35+1)))</f>
        <v/>
      </c>
      <c r="E155" s="153"/>
      <c r="F155" s="29" t="str">
        <f>IF(E155="","",IF($L$35="SELIC - TRIBUTOS",VLOOKUP(DATE(YEAR($D$19),MONTH($D$19)-1,1),ÍNDICES!$A:$DE,HLOOKUP($BL$25,ÍNDICES!$B$3:$T$4,2)+11)-VLOOKUP(E155,ÍNDICES!$A:$DE,HLOOKUP($BL$25,ÍNDICES!$B$3:$T$4,2)+11)+1%,IF(F$38=$W$26,$J$35,IF(ISERROR(IF(E155&gt;$D$19,1,VLOOKUP(DATE(YEAR(E155),MONTH(E155)+IF($C$35=$S$23,1,0),1),ÍNDICES!$A:$DE,$Z$35+1))),"",IF(E155&gt;$D$19,1,VLOOKUP(DATE(YEAR(E155),MONTH(E155)+IF($C$35=$S$23,1,0),1),ÍNDICES!$A:$DE,$Z$35+1))))))</f>
        <v/>
      </c>
      <c r="G155" s="155"/>
      <c r="H155" s="156" t="str">
        <f t="shared" si="22"/>
        <v/>
      </c>
      <c r="I155" s="29" t="str">
        <f t="shared" si="16"/>
        <v/>
      </c>
      <c r="J155" s="5">
        <f t="shared" si="17"/>
        <v>0</v>
      </c>
      <c r="K155" s="20">
        <f t="shared" ca="1" si="18"/>
        <v>0</v>
      </c>
      <c r="L155" s="5">
        <f t="shared" ca="1" si="19"/>
        <v>0</v>
      </c>
      <c r="M155" s="64">
        <f t="shared" si="23"/>
        <v>0</v>
      </c>
      <c r="N155" s="61">
        <f t="shared" ca="1" si="24"/>
        <v>0</v>
      </c>
      <c r="O155" s="5">
        <f t="shared" ca="1" si="25"/>
        <v>0</v>
      </c>
      <c r="P155" s="446" t="e">
        <f t="shared" si="20"/>
        <v>#VALUE!</v>
      </c>
      <c r="Q155" s="446" t="e">
        <f>IF(OR($B155="",MIN(Q$38,$D$19)&lt;MAX($P$34*($B155+IF($R$17="Distrato",$I$38-1,0)),IF(AND($L$37=0,$P$34=0),"",$L$37-1),IF($R$17="Distrato",$E155,0))),0,YEARFRAC(MAX($P$34*($B155+IF($R$17="Distrato",$I$38-1,0)),IF(AND($L$37=0,$P$34=0),"",$L$37-1),IF($R$17="Distrato",$E155,0)),MIN(Q$38,$D$19),$P$20))-SUM($P155:P155)</f>
        <v>#VALUE!</v>
      </c>
      <c r="R155" s="446" t="e">
        <f>IF(OR($B155="",MIN(R$38,$D$19)&lt;MAX($P$34*($B155+IF($R$17="Distrato",$I$38-1,0)),IF(AND($L$37=0,$P$34=0),"",$L$37-1),IF($R$17="Distrato",$E155,0))),0,YEARFRAC(MAX($P$34*($B155+IF($R$17="Distrato",$I$38-1,0)),IF(AND($L$37=0,$P$34=0),"",$L$37-1),IF($R$17="Distrato",$E155,0)),MIN(R$38,$D$19),$P$20))-SUM($P155:Q155)</f>
        <v>#VALUE!</v>
      </c>
      <c r="S155" s="446" t="e">
        <f>IF(OR($B155="",MIN(S$38,$D$19)&lt;MAX($P$34*($B155+IF($R$17="Distrato",$I$38-1,0)),IF(AND($L$37=0,$P$34=0),"",$L$37-1),IF($R$17="Distrato",$E155,0))),0,YEARFRAC(MAX($P$34*($B155+IF($R$17="Distrato",$I$38-1,0)),IF(AND($L$37=0,$P$34=0),"",$L$37-1),IF($R$17="Distrato",$E155,0)),MIN(S$38,$D$19),$P$20))-SUM($P155:R155)</f>
        <v>#VALUE!</v>
      </c>
      <c r="T155" s="446" t="e">
        <f>IF(OR($B155="",MIN(T$38,$D$19)&lt;MAX($P$34*($B155+IF($R$17="Distrato",$I$38-1,0)),IF(AND($L$37=0,$P$34=0),"",$L$37-1),IF($R$17="Distrato",$E155,0))),0,YEARFRAC(MAX($P$34*($B155+IF($R$17="Distrato",$I$38-1,0)),IF(AND($L$37=0,$P$34=0),"",$L$37-1),IF($R$17="Distrato",$E155,0)),MIN(T$38,$D$19),$P$20))-SUM($P155:S155)</f>
        <v>#VALUE!</v>
      </c>
      <c r="U155" s="446" t="e">
        <f>IF(OR($B155="",MIN(U$38,$D$19)&lt;MAX($P$34*($B155+IF($R$17="Distrato",$I$38-1,0)),IF(AND($L$37=0,$P$34=0),"",$L$37-1),IF($R$17="Distrato",$E155,0))),0,YEARFRAC(MAX($P$34*($B155+IF($R$17="Distrato",$I$38-1,0)),IF(AND($L$37=0,$P$34=0),"",$L$37-1),IF($R$17="Distrato",$E155,0)),MIN(U$38,$D$19),$P$20))-SUM($P155:T155)</f>
        <v>#VALUE!</v>
      </c>
      <c r="V155" s="446" t="e">
        <f>IF(OR($B155="",MIN(V$38,$D$19)&lt;MAX($P$34*($B155+IF($R$17="Distrato",$I$38-1,0)),IF(AND($L$37=0,$P$34=0),"",$L$37-1),IF($R$17="Distrato",$E155,0))),0,YEARFRAC(MAX($P$34*($B155+IF($R$17="Distrato",$I$38-1,0)),IF(AND($L$37=0,$P$34=0),"",$L$37-1),IF($R$17="Distrato",$E155,0)),MIN(V$38,$D$19),$P$20))-SUM($P155:U155)</f>
        <v>#VALUE!</v>
      </c>
      <c r="W155" s="446" t="e">
        <f>IF(OR($B155="",MIN(W$38,$D$19)&lt;MAX($P$34*($B155+IF($R$17="Distrato",$I$38-1,0)),IF(AND($L$37=0,$P$34=0),"",$L$37-1),IF($R$17="Distrato",$E155,0))),0,YEARFRAC(MAX($P$34*($B155+IF($R$17="Distrato",$I$38-1,0)),IF(AND($L$37=0,$P$34=0),"",$L$37-1),IF($R$17="Distrato",$E155,0)),MIN(W$38,$D$19),$P$20))-SUM($P155:V155)</f>
        <v>#VALUE!</v>
      </c>
      <c r="X155" s="446" t="e">
        <f>IF(OR($B155="",MIN(X$38,$D$19)&lt;MAX($P$34*($B155+IF($R$17="Distrato",$I$38-1,0)),IF(AND($L$37=0,$P$34=0),"",$L$37-1),IF($R$17="Distrato",$E155,0))),0,YEARFRAC(MAX($P$34*($B155+IF($R$17="Distrato",$I$38-1,0)),IF(AND($L$37=0,$P$34=0),"",$L$37-1),IF($R$17="Distrato",$E155,0)),MIN(X$38,$D$19),$P$20))-SUM($P155:W155)</f>
        <v>#VALUE!</v>
      </c>
      <c r="Y155" s="446" t="e">
        <f>IF(OR($B155="",MIN(Y$38,$D$19)&lt;MAX($P$34*($B155+IF($R$17="Distrato",$I$38-1,0)),IF(AND($L$37=0,$P$34=0),"",$L$37-1),IF($R$17="Distrato",$E155,0))),0,YEARFRAC(MAX($P$34*($B155+IF($R$17="Distrato",$I$38-1,0)),IF(AND($L$37=0,$P$34=0),"",$L$37-1),IF($R$17="Distrato",$E155,0)),MIN(Y$38,$D$19),$P$20))-SUM($P155:X155)</f>
        <v>#VALUE!</v>
      </c>
      <c r="Z155" s="446" t="e">
        <f>IF(OR($B155="",MIN(Z$38,$D$19)&lt;MAX($P$34*($B155+IF($R$17="Distrato",$I$38-1,0)),IF(AND($L$37=0,$P$34=0),"",$L$37-1),IF($R$17="Distrato",$E155,0))),0,YEARFRAC(MAX($P$34*($B155+IF($R$17="Distrato",$I$38-1,0)),IF(AND($L$37=0,$P$34=0),"",$L$37-1),IF($R$17="Distrato",$E155,0)),MIN(Z$38,$D$19),$P$20))-SUM($P155:Y155)</f>
        <v>#VALUE!</v>
      </c>
      <c r="AA155" s="446" t="e">
        <f>IF(OR($B155="",MIN(AA$38,$D$19)&lt;MAX($P$34*($B155+IF($R$17="Distrato",$I$38-1,0)),IF(AND($L$37=0,$P$34=0),"",$L$37-1),IF($R$17="Distrato",$E155,0))),0,YEARFRAC(MAX($P$34*($B155+IF($R$17="Distrato",$I$38-1,0)),IF(AND($L$37=0,$P$34=0),"",$L$37-1),IF($R$17="Distrato",$E155,0)),MIN(AA$38,$D$19),$P$20))-SUM($P155:Z155)</f>
        <v>#VALUE!</v>
      </c>
      <c r="AB155" s="446" t="e">
        <f>IF(OR($B155="",MIN(AB$38,$D$19)&lt;MAX($P$34*($B155+IF($R$17="Distrato",$I$38-1,0)),IF(AND($L$37=0,$P$34=0),"",$L$37-1),IF($R$17="Distrato",$E155,0))),0,YEARFRAC(MAX($P$34*($B155+IF($R$17="Distrato",$I$38-1,0)),IF(AND($L$37=0,$P$34=0),"",$L$37-1),IF($R$17="Distrato",$E155,0)),MIN(AB$38,$D$19),$P$20))-SUM($P155:AA155)</f>
        <v>#VALUE!</v>
      </c>
      <c r="AC155" s="446" t="e">
        <f>IF(OR($B155="",MIN(AC$38,$D$19)&lt;MAX($P$34*($B155+IF($R$17="Distrato",$I$38-1,0)),IF(AND($L$37=0,$P$34=0),"",$L$37-1),IF($R$17="Distrato",$E155,0))),0,YEARFRAC(MAX($P$34*($B155+IF($R$17="Distrato",$I$38-1,0)),IF(AND($L$37=0,$P$34=0),"",$L$37-1),IF($R$17="Distrato",$E155,0)),MIN(AC$38,$D$19),$P$20))-SUM($P155:AB155)</f>
        <v>#VALUE!</v>
      </c>
      <c r="AD155" s="446" t="e">
        <f>IF(OR($B155="",MIN(AD$38,$D$19)&lt;MAX($P$34*($B155+IF($R$17="Distrato",$I$38-1,0)),IF(AND($L$37=0,$P$34=0),"",$L$37-1),IF($R$17="Distrato",$E155,0))),0,YEARFRAC(MAX($P$34*($B155+IF($R$17="Distrato",$I$38-1,0)),IF(AND($L$37=0,$P$34=0),"",$L$37-1),IF($R$17="Distrato",$E155,0)),MIN(AD$38,$D$19),$P$20))-SUM($P155:AC155)</f>
        <v>#VALUE!</v>
      </c>
      <c r="AE155" s="446" t="e">
        <f>IF(OR($B155="",MIN(AE$38,$D$19)&lt;MAX($P$34*($B155+IF($R$17="Distrato",$I$38-1,0)),IF(AND($L$37=0,$P$34=0),"",$L$37-1),IF($R$17="Distrato",$E155,0))),0,YEARFRAC(MAX($P$34*($B155+IF($R$17="Distrato",$I$38-1,0)),IF(AND($L$37=0,$P$34=0),"",$L$37-1),IF($R$17="Distrato",$E155,0)),MIN(AE$38,$D$19),$P$20))-SUM($P155:AD155)</f>
        <v>#VALUE!</v>
      </c>
      <c r="AF155" s="446" t="e">
        <f>IF(OR($B155="",MIN(AF$38,$D$19)&lt;MAX($P$34*($B155+IF($R$17="Distrato",$I$38-1,0)),IF(AND($L$37=0,$P$34=0),"",$L$37-1),IF($R$17="Distrato",$E155,0))),0,YEARFRAC(MAX($P$34*($B155+IF($R$17="Distrato",$I$38-1,0)),IF(AND($L$37=0,$P$34=0),"",$L$37-1),IF($R$17="Distrato",$E155,0)),MIN(AF$38,$D$19),$P$20))-SUM($P155:AE155)</f>
        <v>#VALUE!</v>
      </c>
      <c r="AG155" s="446" t="e">
        <f>IF(OR($B155="",MIN(AG$38,$D$19)&lt;MAX($P$34*($B155+IF($R$17="Distrato",$I$38-1,0)),IF(AND($L$37=0,$P$34=0),"",$L$37-1),IF($R$17="Distrato",$E155,0))),0,YEARFRAC(MAX($P$34*($B155+IF($R$17="Distrato",$I$38-1,0)),IF(AND($L$37=0,$P$34=0),"",$L$37-1),IF($R$17="Distrato",$E155,0)),MIN(AG$38,$D$19),$P$20))-SUM($P155:AF155)</f>
        <v>#VALUE!</v>
      </c>
      <c r="AH155" s="446" t="e">
        <f>IF(OR($B155="",MIN(AH$38,$D$19)&lt;MAX($P$34*($B155+IF($R$17="Distrato",$I$38-1,0)),IF(AND($L$37=0,$P$34=0),"",$L$37-1),IF($R$17="Distrato",$E155,0))),0,YEARFRAC(MAX($P$34*($B155+IF($R$17="Distrato",$I$38-1,0)),IF(AND($L$37=0,$P$34=0),"",$L$37-1),IF($R$17="Distrato",$E155,0)),MIN(AH$38,$D$19),$P$20))-SUM($P155:AG155)</f>
        <v>#VALUE!</v>
      </c>
      <c r="AI155" s="446" t="e">
        <f>IF(OR($B155="",MIN(AI$38,$D$19)&lt;MAX($P$34*($B155+IF($R$17="Distrato",$I$38-1,0)),IF(AND($L$37=0,$P$34=0),"",$L$37-1),IF($R$17="Distrato",$E155,0))),0,YEARFRAC(MAX($P$34*($B155+IF($R$17="Distrato",$I$38-1,0)),IF(AND($L$37=0,$P$34=0),"",$L$37-1),IF($R$17="Distrato",$E155,0)),MIN(AI$38,$D$19),$P$20))-SUM($P155:AH155)</f>
        <v>#VALUE!</v>
      </c>
      <c r="AJ155" s="446" t="e">
        <f>IF(OR($B155="",MIN(AJ$38,$D$19)&lt;MAX($P$34*($B155+IF($R$17="Distrato",$I$38-1,0)),IF(AND($L$37=0,$P$34=0),"",$L$37-1),IF($R$17="Distrato",$E155,0))),0,YEARFRAC(MAX($P$34*($B155+IF($R$17="Distrato",$I$38-1,0)),IF(AND($L$37=0,$P$34=0),"",$L$37-1),IF($R$17="Distrato",$E155,0)),MIN(AJ$38,$D$19),$P$20))-SUM($P155:AI155)</f>
        <v>#VALUE!</v>
      </c>
      <c r="AK155" s="446" t="e">
        <f>IF(OR($B155="",MIN(AK$38,$D$19)&lt;MAX($P$34*($B155+IF($R$17="Distrato",$I$38-1,0)),IF(AND($L$37=0,$P$34=0),"",$L$37-1),IF($R$17="Distrato",$E155,0))),0,YEARFRAC(MAX($P$34*($B155+IF($R$17="Distrato",$I$38-1,0)),IF(AND($L$37=0,$P$34=0),"",$L$37-1),IF($R$17="Distrato",$E155,0)),MIN(AK$38,$D$19),$P$20))-SUM($P155:AJ155)</f>
        <v>#VALUE!</v>
      </c>
      <c r="AL155" s="446" t="e">
        <f>IF(OR($B155="",MIN(AL$38,$D$19)&lt;MAX($P$34*($B155+IF($R$17="Distrato",$I$38-1,0)),IF(AND($L$37=0,$P$34=0),"",$L$37-1),IF($R$17="Distrato",$E155,0))),0,YEARFRAC(MAX($P$34*($B155+IF($R$17="Distrato",$I$38-1,0)),IF(AND($L$37=0,$P$34=0),"",$L$37-1),IF($R$17="Distrato",$E155,0)),MIN(AL$38,$D$19),$P$20))-SUM($P155:AK155)</f>
        <v>#VALUE!</v>
      </c>
      <c r="AM155" s="446" t="e">
        <f>IF(OR($B155="",MIN(AM$38,$D$19)&lt;MAX($P$34*($B155+IF($R$17="Distrato",$I$38-1,0)),IF(AND($L$37=0,$P$34=0),"",$L$37-1),IF($R$17="Distrato",$E155,0))),0,YEARFRAC(MAX($P$34*($B155+IF($R$17="Distrato",$I$38-1,0)),IF(AND($L$37=0,$P$34=0),"",$L$37-1),IF($R$17="Distrato",$E155,0)),MIN(AM$38,$D$19),$P$20))-SUM($P155:AL155)</f>
        <v>#VALUE!</v>
      </c>
      <c r="AN155" s="446" t="e">
        <f>IF(OR($B155="",MIN(AN$38,$D$19)&lt;MAX($P$34*($B155+IF($R$17="Distrato",$I$38-1,0)),IF(AND($L$37=0,$P$34=0),"",$L$37-1),IF($R$17="Distrato",$E155,0))),0,YEARFRAC(MAX($P$34*($B155+IF($R$17="Distrato",$I$38-1,0)),IF(AND($L$37=0,$P$34=0),"",$L$37-1),IF($R$17="Distrato",$E155,0)),MIN(AN$38,$D$19),$P$20))-SUM($P155:AM155)</f>
        <v>#VALUE!</v>
      </c>
      <c r="AO155" s="446" t="e">
        <f>IF(OR($B155="",MIN(AO$38,$D$19)&lt;MAX($P$34*($B155+IF($R$17="Distrato",$I$38-1,0)),IF(AND($L$37=0,$P$34=0),"",$L$37-1),IF($R$17="Distrato",$E155,0))),0,YEARFRAC(MAX($P$34*($B155+IF($R$17="Distrato",$I$38-1,0)),IF(AND($L$37=0,$P$34=0),"",$L$37-1),IF($R$17="Distrato",$E155,0)),MIN(AO$38,$D$19),$P$20))-SUM($P155:AN155)</f>
        <v>#VALUE!</v>
      </c>
      <c r="AP155" s="446" t="e">
        <f>IF(OR($B155="",MIN(AP$38,$D$19)&lt;MAX($P$34*($B155+IF($R$17="Distrato",$I$38-1,0)),IF(AND($L$37=0,$P$34=0),"",$L$37-1),IF($R$17="Distrato",$E155,0))),0,YEARFRAC(MAX($P$34*($B155+IF($R$17="Distrato",$I$38-1,0)),IF(AND($L$37=0,$P$34=0),"",$L$37-1),IF($R$17="Distrato",$E155,0)),MIN(AP$38,$D$19),$P$20))-SUM($P155:AO155)</f>
        <v>#VALUE!</v>
      </c>
      <c r="AQ155" s="446" t="e">
        <f>IF(OR($B155="",MIN(AQ$38,$D$19)&lt;MAX($P$34*($B155+IF($R$17="Distrato",$I$38-1,0)),IF(AND($L$37=0,$P$34=0),"",$L$37-1),IF($R$17="Distrato",$E155,0))),0,YEARFRAC(MAX($P$34*($B155+IF($R$17="Distrato",$I$38-1,0)),IF(AND($L$37=0,$P$34=0),"",$L$37-1),IF($R$17="Distrato",$E155,0)),MIN(AQ$38,$D$19),$P$20))-SUM($P155:AP155)</f>
        <v>#VALUE!</v>
      </c>
      <c r="AR155" s="446" t="e">
        <f>IF(OR($B155="",MIN(AR$38,$D$19)&lt;MAX($P$34*($B155+IF($R$17="Distrato",$I$38-1,0)),IF(AND($L$37=0,$P$34=0),"",$L$37-1),IF($R$17="Distrato",$E155,0))),0,YEARFRAC(MAX($P$34*($B155+IF($R$17="Distrato",$I$38-1,0)),IF(AND($L$37=0,$P$34=0),"",$L$37-1),IF($R$17="Distrato",$E155,0)),MIN(AR$38,$D$19),$P$20))-SUM($P155:AQ155)</f>
        <v>#VALUE!</v>
      </c>
      <c r="AS155" s="446" t="e">
        <f>IF(OR($B155="",MIN(AS$38,$D$19)&lt;MAX($P$34*($B155+IF($R$17="Distrato",$I$38-1,0)),IF(AND($L$37=0,$P$34=0),"",$L$37-1),IF($R$17="Distrato",$E155,0))),0,YEARFRAC(MAX($P$34*($B155+IF($R$17="Distrato",$I$38-1,0)),IF(AND($L$37=0,$P$34=0),"",$L$37-1),IF($R$17="Distrato",$E155,0)),MIN(AS$38,$D$19),$P$20))-SUM($P155:AR155)</f>
        <v>#VALUE!</v>
      </c>
      <c r="AT155" s="446" t="e">
        <f>IF(OR($B155="",MIN(AT$38,$D$19)&lt;MAX($P$34*($B155+IF($R$17="Distrato",$I$38-1,0)),IF(AND($L$37=0,$P$34=0),"",$L$37-1),IF($R$17="Distrato",$E155,0))),0,YEARFRAC(MAX($P$34*($B155+IF($R$17="Distrato",$I$38-1,0)),IF(AND($L$37=0,$P$34=0),"",$L$37-1),IF($R$17="Distrato",$E155,0)),MIN(AT$38,$D$19),$P$20))-SUM($P155:AS155)</f>
        <v>#VALUE!</v>
      </c>
      <c r="AU155" s="446" t="e">
        <f>IF(OR($B155="",MIN(AU$38,$D$19)&lt;MAX($P$34*($B155+IF($R$17="Distrato",$I$38-1,0)),IF(AND($L$37=0,$P$34=0),"",$L$37-1),IF($R$17="Distrato",$E155,0))),0,YEARFRAC(MAX($P$34*($B155+IF($R$17="Distrato",$I$38-1,0)),IF(AND($L$37=0,$P$34=0),"",$L$37-1),IF($R$17="Distrato",$E155,0)),MIN(AU$38,$D$19),$P$20))-SUM($P155:AT155)</f>
        <v>#VALUE!</v>
      </c>
      <c r="AV155" s="446" t="e">
        <f>IF(OR($B155="",MIN(AV$38,$D$19)&lt;MAX($P$34*($B155+IF($R$17="Distrato",$I$38-1,0)),IF(AND($L$37=0,$P$34=0),"",$L$37-1),IF($R$17="Distrato",$E155,0))),0,YEARFRAC(MAX($P$34*($B155+IF($R$17="Distrato",$I$38-1,0)),IF(AND($L$37=0,$P$34=0),"",$L$37-1),IF($R$17="Distrato",$E155,0)),MIN(AV$38,$D$19),$P$20))-SUM($P155:AU155)</f>
        <v>#VALUE!</v>
      </c>
      <c r="AW155" s="446" t="e">
        <f>IF(OR($B155="",MIN(AW$38,$D$19)&lt;MAX($P$34*($B155+IF($R$17="Distrato",$I$38-1,0)),IF(AND($L$37=0,$P$34=0),"",$L$37-1),IF($R$17="Distrato",$E155,0))),0,YEARFRAC(MAX($P$34*($B155+IF($R$17="Distrato",$I$38-1,0)),IF(AND($L$37=0,$P$34=0),"",$L$37-1),IF($R$17="Distrato",$E155,0)),MIN(AW$38,$D$19),$P$20))-SUM($P155:AV155)</f>
        <v>#VALUE!</v>
      </c>
      <c r="AX155" s="446" t="e">
        <f>IF(OR($B155="",MIN(AX$38,$D$19)&lt;MAX($P$34*($B155+IF($R$17="Distrato",$I$38-1,0)),IF(AND($L$37=0,$P$34=0),"",$L$37-1),IF($R$17="Distrato",$E155,0))),0,YEARFRAC(MAX($P$34*($B155+IF($R$17="Distrato",$I$38-1,0)),IF(AND($L$37=0,$P$34=0),"",$L$37-1),IF($R$17="Distrato",$E155,0)),MIN(AX$38,$D$19),$P$20))-SUM($P155:AW155)</f>
        <v>#VALUE!</v>
      </c>
      <c r="AY155" s="446" t="e">
        <f>IF(OR($B155="",MIN(AY$38,$D$19)&lt;MAX($P$34*($B155+IF($R$17="Distrato",$I$38-1,0)),IF(AND($L$37=0,$P$34=0),"",$L$37-1),IF($R$17="Distrato",$E155,0))),0,YEARFRAC(MAX($P$34*($B155+IF($R$17="Distrato",$I$38-1,0)),IF(AND($L$37=0,$P$34=0),"",$L$37-1),IF($R$17="Distrato",$E155,0)),MIN(AY$38,$D$19),$P$20))-SUM($P155:AX155)</f>
        <v>#VALUE!</v>
      </c>
      <c r="AZ155" s="446" t="e">
        <f>IF(OR($B155="",MIN(AZ$38,$D$19)&lt;MAX($P$34*($B155+IF($R$17="Distrato",$I$38-1,0)),IF(AND($L$37=0,$P$34=0),"",$L$37-1),IF($R$17="Distrato",$E155,0))),0,YEARFRAC(MAX($P$34*($B155+IF($R$17="Distrato",$I$38-1,0)),IF(AND($L$37=0,$P$34=0),"",$L$37-1),IF($R$17="Distrato",$E155,0)),MIN(AZ$38,$D$19),$P$20))-SUM($P155:AY155)</f>
        <v>#VALUE!</v>
      </c>
      <c r="BA155" s="446" t="e">
        <f>IF(OR($B155="",MIN(BA$38,$D$19)&lt;MAX($P$34*($B155+IF($R$17="Distrato",$I$38-1,0)),IF(AND($L$37=0,$P$34=0),"",$L$37-1),IF($R$17="Distrato",$E155,0))),0,YEARFRAC(MAX($P$34*($B155+IF($R$17="Distrato",$I$38-1,0)),IF(AND($L$37=0,$P$34=0),"",$L$37-1),IF($R$17="Distrato",$E155,0)),MIN(BA$38,$D$19),$P$20))-SUM($P155:AZ155)</f>
        <v>#VALUE!</v>
      </c>
      <c r="BB155" s="447"/>
      <c r="BF155" s="446">
        <f t="shared" si="21"/>
        <v>0</v>
      </c>
      <c r="BG155" s="446">
        <f>IF($E155=0,0,IF(MIN(BG$38,$E155)&lt;MAX($P$34*($B155+$I$38-1),IF(AND($L$37=0,$P$34=0),"",$L$37-1)),0,YEARFRAC(MAX($P$34*($B155+$I$38-1),IF(AND($L$37=0,$P$34=0),"",$L$37-1)),MIN(BG$38,$E155),$P$20))-SUM($BF155:BF155))</f>
        <v>0</v>
      </c>
      <c r="BH155" s="446">
        <f>IF($E155=0,0,IF(MIN(BH$38,$E155)&lt;MAX($P$34*($B155+$I$38-1),IF(AND($L$37=0,$P$34=0),"",$L$37-1)),0,YEARFRAC(MAX($P$34*($B155+$I$38-1),IF(AND($L$37=0,$P$34=0),"",$L$37-1)),MIN(BH$38,$E155),$P$20))-SUM($BF155:BG155))</f>
        <v>0</v>
      </c>
      <c r="BI155" s="446">
        <f>IF($E155=0,0,IF(MIN(BI$38,$E155)&lt;MAX($P$34*($B155+$I$38-1),IF(AND($L$37=0,$P$34=0),"",$L$37-1)),0,YEARFRAC(MAX($P$34*($B155+$I$38-1),IF(AND($L$37=0,$P$34=0),"",$L$37-1)),MIN(BI$38,$E155),$P$20))-SUM($BF155:BH155))</f>
        <v>0</v>
      </c>
      <c r="BJ155" s="446">
        <f>IF($E155=0,0,IF(MIN(BJ$38,$E155)&lt;MAX($P$34*($B155+$I$38-1),IF(AND($L$37=0,$P$34=0),"",$L$37-1)),0,YEARFRAC(MAX($P$34*($B155+$I$38-1),IF(AND($L$37=0,$P$34=0),"",$L$37-1)),MIN(BJ$38,$E155),$P$20))-SUM($BF155:BI155))</f>
        <v>0</v>
      </c>
      <c r="BK155" s="446">
        <f>IF($E155=0,0,IF(MIN(BK$38,$E155)&lt;MAX($P$34*($B155+$I$38-1),IF(AND($L$37=0,$P$34=0),"",$L$37-1)),0,YEARFRAC(MAX($P$34*($B155+$I$38-1),IF(AND($L$37=0,$P$34=0),"",$L$37-1)),MIN(BK$38,$E155),$P$20))-SUM($BF155:BJ155))</f>
        <v>0</v>
      </c>
      <c r="BL155" s="446">
        <f>IF($E155=0,0,IF(MIN(BL$38,$E155)&lt;MAX($P$34*($B155+$I$38-1),IF(AND($L$37=0,$P$34=0),"",$L$37-1)),0,YEARFRAC(MAX($P$34*($B155+$I$38-1),IF(AND($L$37=0,$P$34=0),"",$L$37-1)),MIN(BL$38,$E155),$P$20))-SUM($BF155:BK155))</f>
        <v>0</v>
      </c>
      <c r="BM155" s="446">
        <f>IF($E155=0,0,IF(MIN(BM$38,$E155)&lt;MAX($P$34*($B155+$I$38-1),IF(AND($L$37=0,$P$34=0),"",$L$37-1)),0,YEARFRAC(MAX($P$34*($B155+$I$38-1),IF(AND($L$37=0,$P$34=0),"",$L$37-1)),MIN(BM$38,$E155),$P$20))-SUM($BF155:BL155))</f>
        <v>0</v>
      </c>
      <c r="BN155" s="446">
        <f>IF($E155=0,0,IF(MIN(BN$38,$E155)&lt;MAX($P$34*($B155+$I$38-1),IF(AND($L$37=0,$P$34=0),"",$L$37-1)),0,YEARFRAC(MAX($P$34*($B155+$I$38-1),IF(AND($L$37=0,$P$34=0),"",$L$37-1)),MIN(BN$38,$E155),$P$20))-SUM($BF155:BM155))</f>
        <v>0</v>
      </c>
      <c r="BO155" s="446">
        <f>IF($E155=0,0,IF(MIN(BO$38,$E155)&lt;MAX($P$34*($B155+$I$38-1),IF(AND($L$37=0,$P$34=0),"",$L$37-1)),0,YEARFRAC(MAX($P$34*($B155+$I$38-1),IF(AND($L$37=0,$P$34=0),"",$L$37-1)),MIN(BO$38,$E155),$P$20))-SUM($BF155:BN155))</f>
        <v>0</v>
      </c>
      <c r="BP155" s="446">
        <f>IF($E155=0,0,IF(MIN(BP$38,$E155)&lt;MAX($P$34*($B155+$I$38-1),IF(AND($L$37=0,$P$34=0),"",$L$37-1)),0,YEARFRAC(MAX($P$34*($B155+$I$38-1),IF(AND($L$37=0,$P$34=0),"",$L$37-1)),MIN(BP$38,$E155),$P$20))-SUM($BF155:BO155))</f>
        <v>0</v>
      </c>
      <c r="BQ155" s="446">
        <f>IF($E155=0,0,IF(MIN(BQ$38,$E155)&lt;MAX($P$34*($B155+$I$38-1),IF(AND($L$37=0,$P$34=0),"",$L$37-1)),0,YEARFRAC(MAX($P$34*($B155+$I$38-1),IF(AND($L$37=0,$P$34=0),"",$L$37-1)),MIN(BQ$38,$E155),$P$20))-SUM($BF155:BP155))</f>
        <v>0</v>
      </c>
      <c r="BR155" s="446">
        <f>IF($E155=0,0,IF(MIN(BR$38,$E155)&lt;MAX($P$34*($B155+$I$38-1),IF(AND($L$37=0,$P$34=0),"",$L$37-1)),0,YEARFRAC(MAX($P$34*($B155+$I$38-1),IF(AND($L$37=0,$P$34=0),"",$L$37-1)),MIN(BR$38,$E155),$P$20))-SUM($BF155:BQ155))</f>
        <v>0</v>
      </c>
      <c r="BS155" s="446">
        <f>IF($E155=0,0,IF(MIN(BS$38,$E155)&lt;MAX($P$34*($B155+$I$38-1),IF(AND($L$37=0,$P$34=0),"",$L$37-1)),0,YEARFRAC(MAX($P$34*($B155+$I$38-1),IF(AND($L$37=0,$P$34=0),"",$L$37-1)),MIN(BS$38,$E155),$P$20))-SUM($BF155:BR155))</f>
        <v>0</v>
      </c>
      <c r="BT155" s="446">
        <f>IF($E155=0,0,IF(MIN(BT$38,$E155)&lt;MAX($P$34*($B155+$I$38-1),IF(AND($L$37=0,$P$34=0),"",$L$37-1)),0,YEARFRAC(MAX($P$34*($B155+$I$38-1),IF(AND($L$37=0,$P$34=0),"",$L$37-1)),MIN(BT$38,$E155),$P$20))-SUM($BF155:BS155))</f>
        <v>0</v>
      </c>
      <c r="BU155" s="446">
        <f>IF($E155=0,0,IF(MIN(BU$38,$E155)&lt;MAX($P$34*($B155+$I$38-1),IF(AND($L$37=0,$P$34=0),"",$L$37-1)),0,YEARFRAC(MAX($P$34*($B155+$I$38-1),IF(AND($L$37=0,$P$34=0),"",$L$37-1)),MIN(BU$38,$E155),$P$20))-SUM($BF155:BT155))</f>
        <v>0</v>
      </c>
      <c r="BV155" s="446">
        <f>IF($E155=0,0,IF(MIN(BV$38,$E155)&lt;MAX($P$34*($B155+$I$38-1),IF(AND($L$37=0,$P$34=0),"",$L$37-1)),0,YEARFRAC(MAX($P$34*($B155+$I$38-1),IF(AND($L$37=0,$P$34=0),"",$L$37-1)),MIN(BV$38,$E155),$P$20))-SUM($BF155:BU155))</f>
        <v>0</v>
      </c>
      <c r="BW155" s="446">
        <f>IF($E155=0,0,IF(MIN(BW$38,$E155)&lt;MAX($P$34*($B155+$I$38-1),IF(AND($L$37=0,$P$34=0),"",$L$37-1)),0,YEARFRAC(MAX($P$34*($B155+$I$38-1),IF(AND($L$37=0,$P$34=0),"",$L$37-1)),MIN(BW$38,$E155),$P$20))-SUM($BF155:BV155))</f>
        <v>0</v>
      </c>
      <c r="BX155" s="446">
        <f>IF($E155=0,0,IF(MIN(BX$38,$E155)&lt;MAX($P$34*($B155+$I$38-1),IF(AND($L$37=0,$P$34=0),"",$L$37-1)),0,YEARFRAC(MAX($P$34*($B155+$I$38-1),IF(AND($L$37=0,$P$34=0),"",$L$37-1)),MIN(BX$38,$E155),$P$20))-SUM($BF155:BW155))</f>
        <v>0</v>
      </c>
      <c r="BY155" s="446">
        <f>IF($E155=0,0,IF(MIN(BY$38,$E155)&lt;MAX($P$34*($B155+$I$38-1),IF(AND($L$37=0,$P$34=0),"",$L$37-1)),0,YEARFRAC(MAX($P$34*($B155+$I$38-1),IF(AND($L$37=0,$P$34=0),"",$L$37-1)),MIN(BY$38,$E155),$P$20))-SUM($BF155:BX155))</f>
        <v>0</v>
      </c>
      <c r="BZ155" s="446">
        <f>IF($E155=0,0,IF(MIN(BZ$38,$E155)&lt;MAX($P$34*($B155+$I$38-1),IF(AND($L$37=0,$P$34=0),"",$L$37-1)),0,YEARFRAC(MAX($P$34*($B155+$I$38-1),IF(AND($L$37=0,$P$34=0),"",$L$37-1)),MIN(BZ$38,$E155),$P$20))-SUM($BF155:BY155))</f>
        <v>0</v>
      </c>
      <c r="CA155" s="446">
        <f>IF($E155=0,0,IF(MIN(CA$38,$E155)&lt;MAX($P$34*($B155+$I$38-1),IF(AND($L$37=0,$P$34=0),"",$L$37-1)),0,YEARFRAC(MAX($P$34*($B155+$I$38-1),IF(AND($L$37=0,$P$34=0),"",$L$37-1)),MIN(CA$38,$E155),$P$20))-SUM($BF155:BZ155))</f>
        <v>0</v>
      </c>
      <c r="CB155" s="446">
        <f>IF($E155=0,0,IF(MIN(CB$38,$E155)&lt;MAX($P$34*($B155+$I$38-1),IF(AND($L$37=0,$P$34=0),"",$L$37-1)),0,YEARFRAC(MAX($P$34*($B155+$I$38-1),IF(AND($L$37=0,$P$34=0),"",$L$37-1)),MIN(CB$38,$E155),$P$20))-SUM($BF155:CA155))</f>
        <v>0</v>
      </c>
      <c r="CC155" s="446">
        <f>IF($E155=0,0,IF(MIN(CC$38,$E155)&lt;MAX($P$34*($B155+$I$38-1),IF(AND($L$37=0,$P$34=0),"",$L$37-1)),0,YEARFRAC(MAX($P$34*($B155+$I$38-1),IF(AND($L$37=0,$P$34=0),"",$L$37-1)),MIN(CC$38,$E155),$P$20))-SUM($BF155:CB155))</f>
        <v>0</v>
      </c>
      <c r="CD155" s="446">
        <f>IF($E155=0,0,IF(MIN(CD$38,$E155)&lt;MAX($P$34*($B155+$I$38-1),IF(AND($L$37=0,$P$34=0),"",$L$37-1)),0,YEARFRAC(MAX($P$34*($B155+$I$38-1),IF(AND($L$37=0,$P$34=0),"",$L$37-1)),MIN(CD$38,$E155),$P$20))-SUM($BF155:CC155))</f>
        <v>0</v>
      </c>
      <c r="CE155" s="446">
        <f>IF($E155=0,0,IF(MIN(CE$38,$E155)&lt;MAX($P$34*($B155+$I$38-1),IF(AND($L$37=0,$P$34=0),"",$L$37-1)),0,YEARFRAC(MAX($P$34*($B155+$I$38-1),IF(AND($L$37=0,$P$34=0),"",$L$37-1)),MIN(CE$38,$E155),$P$20))-SUM($BF155:CD155))</f>
        <v>0</v>
      </c>
      <c r="CF155" s="446">
        <f>IF($E155=0,0,IF(MIN(CF$38,$E155)&lt;MAX($P$34*($B155+$I$38-1),IF(AND($L$37=0,$P$34=0),"",$L$37-1)),0,YEARFRAC(MAX($P$34*($B155+$I$38-1),IF(AND($L$37=0,$P$34=0),"",$L$37-1)),MIN(CF$38,$E155),$P$20))-SUM($BF155:CE155))</f>
        <v>0</v>
      </c>
      <c r="CG155" s="446">
        <f>IF($E155=0,0,IF(MIN(CG$38,$E155)&lt;MAX($P$34*($B155+$I$38-1),IF(AND($L$37=0,$P$34=0),"",$L$37-1)),0,YEARFRAC(MAX($P$34*($B155+$I$38-1),IF(AND($L$37=0,$P$34=0),"",$L$37-1)),MIN(CG$38,$E155),$P$20))-SUM($BF155:CF155))</f>
        <v>0</v>
      </c>
      <c r="CH155" s="446">
        <f>IF($E155=0,0,IF(MIN(CH$38,$E155)&lt;MAX($P$34*($B155+$I$38-1),IF(AND($L$37=0,$P$34=0),"",$L$37-1)),0,YEARFRAC(MAX($P$34*($B155+$I$38-1),IF(AND($L$37=0,$P$34=0),"",$L$37-1)),MIN(CH$38,$E155),$P$20))-SUM($BF155:CG155))</f>
        <v>0</v>
      </c>
      <c r="CI155" s="446">
        <f>IF($E155=0,0,IF(MIN(CI$38,$E155)&lt;MAX($P$34*($B155+$I$38-1),IF(AND($L$37=0,$P$34=0),"",$L$37-1)),0,YEARFRAC(MAX($P$34*($B155+$I$38-1),IF(AND($L$37=0,$P$34=0),"",$L$37-1)),MIN(CI$38,$E155),$P$20))-SUM($BF155:CH155))</f>
        <v>0</v>
      </c>
      <c r="CJ155" s="446">
        <f>IF($E155=0,0,IF(MIN(CJ$38,$E155)&lt;MAX($P$34*($B155+$I$38-1),IF(AND($L$37=0,$P$34=0),"",$L$37-1)),0,YEARFRAC(MAX($P$34*($B155+$I$38-1),IF(AND($L$37=0,$P$34=0),"",$L$37-1)),MIN(CJ$38,$E155),$P$20))-SUM($BF155:CI155))</f>
        <v>0</v>
      </c>
      <c r="CK155" s="446">
        <f>IF($E155=0,0,IF(MIN(CK$38,$E155)&lt;MAX($P$34*($B155+$I$38-1),IF(AND($L$37=0,$P$34=0),"",$L$37-1)),0,YEARFRAC(MAX($P$34*($B155+$I$38-1),IF(AND($L$37=0,$P$34=0),"",$L$37-1)),MIN(CK$38,$E155),$P$20))-SUM($BF155:CJ155))</f>
        <v>0</v>
      </c>
      <c r="CL155" s="446">
        <f>IF($E155=0,0,IF(MIN(CL$38,$E155)&lt;MAX($P$34*($B155+$I$38-1),IF(AND($L$37=0,$P$34=0),"",$L$37-1)),0,YEARFRAC(MAX($P$34*($B155+$I$38-1),IF(AND($L$37=0,$P$34=0),"",$L$37-1)),MIN(CL$38,$E155),$P$20))-SUM($BF155:CK155))</f>
        <v>0</v>
      </c>
      <c r="CM155" s="446">
        <f>IF($E155=0,0,IF(MIN(CM$38,$E155)&lt;MAX($P$34*($B155+$I$38-1),IF(AND($L$37=0,$P$34=0),"",$L$37-1)),0,YEARFRAC(MAX($P$34*($B155+$I$38-1),IF(AND($L$37=0,$P$34=0),"",$L$37-1)),MIN(CM$38,$E155),$P$20))-SUM($BF155:CL155))</f>
        <v>0</v>
      </c>
      <c r="CN155" s="446">
        <f>IF($E155=0,0,IF(MIN(CN$38,$E155)&lt;MAX($P$34*($B155+$I$38-1),IF(AND($L$37=0,$P$34=0),"",$L$37-1)),0,YEARFRAC(MAX($P$34*($B155+$I$38-1),IF(AND($L$37=0,$P$34=0),"",$L$37-1)),MIN(CN$38,$E155),$P$20))-SUM($BF155:CM155))</f>
        <v>0</v>
      </c>
      <c r="CO155" s="446">
        <f>IF($E155=0,0,IF(MIN(CO$38,$E155)&lt;MAX($P$34*($B155+$I$38-1),IF(AND($L$37=0,$P$34=0),"",$L$37-1)),0,YEARFRAC(MAX($P$34*($B155+$I$38-1),IF(AND($L$37=0,$P$34=0),"",$L$37-1)),MIN(CO$38,$E155),$P$20))-SUM($BF155:CN155))</f>
        <v>0</v>
      </c>
      <c r="CP155" s="446">
        <f>IF($E155=0,0,IF(MIN(CP$38,$E155)&lt;MAX($P$34*($B155+$I$38-1),IF(AND($L$37=0,$P$34=0),"",$L$37-1)),0,YEARFRAC(MAX($P$34*($B155+$I$38-1),IF(AND($L$37=0,$P$34=0),"",$L$37-1)),MIN(CP$38,$E155),$P$20))-SUM($BF155:CO155))</f>
        <v>0</v>
      </c>
      <c r="CQ155" s="446">
        <f>IF($E155=0,0,IF(MIN(CQ$38,$E155)&lt;MAX($P$34*($B155+$I$38-1),IF(AND($L$37=0,$P$34=0),"",$L$37-1)),0,YEARFRAC(MAX($P$34*($B155+$I$38-1),IF(AND($L$37=0,$P$34=0),"",$L$37-1)),MIN(CQ$38,$E155),$P$20))-SUM($BF155:CP155))</f>
        <v>0</v>
      </c>
    </row>
    <row r="156" spans="1:95" s="446" customFormat="1" ht="11.25" hidden="1" customHeight="1" x14ac:dyDescent="0.2">
      <c r="A156" s="152"/>
      <c r="B156" s="153" t="str">
        <f t="shared" si="26"/>
        <v/>
      </c>
      <c r="C156" s="29" t="str">
        <f>IF(B156="","",IF($L$35="SELIC - TRIBUTOS",VLOOKUP(DATE(YEAR($D$19),MONTH($D$19)-1,1),ÍNDICES!$A:$DE,HLOOKUP($BL$25,ÍNDICES!$B$3:$T$4,2)+11)-VLOOKUP(B156,ÍNDICES!$A:$DE,HLOOKUP($BL$25,ÍNDICES!$B$3:$T$4,2)+11)+1%,IF(C$38=$W$26,$J$35,IF(ISERROR(IF(B156&gt;$D$19,1,VLOOKUP(DATE(YEAR(B156),MONTH(B156)+IF($C$35=$S$23,1,0),1),ÍNDICES!$A:$DE,$Z$35+1))),"",IF(B156&gt;$D$19,1,VLOOKUP(DATE(YEAR(B156),MONTH(B156)+IF($C$35=$S$23,1,0),1),ÍNDICES!$A:$DE,$Z$35+1))))))</f>
        <v/>
      </c>
      <c r="D156" s="154" t="str">
        <f>IF(ISERROR(IF(OR($D$38=$Y$27,$B156=""),"",VLOOKUP(B156,ÍNDICES!A:DE,AF$35+1))),"",IF(OR($D$38=$Y$27,$B156=""),"",VLOOKUP(B156,ÍNDICES!A:DE,AF$35+1)))</f>
        <v/>
      </c>
      <c r="E156" s="153"/>
      <c r="F156" s="29" t="str">
        <f>IF(E156="","",IF($L$35="SELIC - TRIBUTOS",VLOOKUP(DATE(YEAR($D$19),MONTH($D$19)-1,1),ÍNDICES!$A:$DE,HLOOKUP($BL$25,ÍNDICES!$B$3:$T$4,2)+11)-VLOOKUP(E156,ÍNDICES!$A:$DE,HLOOKUP($BL$25,ÍNDICES!$B$3:$T$4,2)+11)+1%,IF(F$38=$W$26,$J$35,IF(ISERROR(IF(E156&gt;$D$19,1,VLOOKUP(DATE(YEAR(E156),MONTH(E156)+IF($C$35=$S$23,1,0),1),ÍNDICES!$A:$DE,$Z$35+1))),"",IF(E156&gt;$D$19,1,VLOOKUP(DATE(YEAR(E156),MONTH(E156)+IF($C$35=$S$23,1,0),1),ÍNDICES!$A:$DE,$Z$35+1))))))</f>
        <v/>
      </c>
      <c r="G156" s="155"/>
      <c r="H156" s="156" t="str">
        <f t="shared" si="22"/>
        <v/>
      </c>
      <c r="I156" s="29" t="str">
        <f t="shared" si="16"/>
        <v/>
      </c>
      <c r="J156" s="5">
        <f t="shared" si="17"/>
        <v>0</v>
      </c>
      <c r="K156" s="20">
        <f t="shared" ca="1" si="18"/>
        <v>0</v>
      </c>
      <c r="L156" s="5">
        <f t="shared" ca="1" si="19"/>
        <v>0</v>
      </c>
      <c r="M156" s="64">
        <f t="shared" si="23"/>
        <v>0</v>
      </c>
      <c r="N156" s="61">
        <f t="shared" ca="1" si="24"/>
        <v>0</v>
      </c>
      <c r="O156" s="5">
        <f t="shared" ca="1" si="25"/>
        <v>0</v>
      </c>
      <c r="P156" s="446" t="e">
        <f t="shared" si="20"/>
        <v>#VALUE!</v>
      </c>
      <c r="Q156" s="446" t="e">
        <f>IF(OR($B156="",MIN(Q$38,$D$19)&lt;MAX($P$34*($B156+IF($R$17="Distrato",$I$38-1,0)),IF(AND($L$37=0,$P$34=0),"",$L$37-1),IF($R$17="Distrato",$E156,0))),0,YEARFRAC(MAX($P$34*($B156+IF($R$17="Distrato",$I$38-1,0)),IF(AND($L$37=0,$P$34=0),"",$L$37-1),IF($R$17="Distrato",$E156,0)),MIN(Q$38,$D$19),$P$20))-SUM($P156:P156)</f>
        <v>#VALUE!</v>
      </c>
      <c r="R156" s="446" t="e">
        <f>IF(OR($B156="",MIN(R$38,$D$19)&lt;MAX($P$34*($B156+IF($R$17="Distrato",$I$38-1,0)),IF(AND($L$37=0,$P$34=0),"",$L$37-1),IF($R$17="Distrato",$E156,0))),0,YEARFRAC(MAX($P$34*($B156+IF($R$17="Distrato",$I$38-1,0)),IF(AND($L$37=0,$P$34=0),"",$L$37-1),IF($R$17="Distrato",$E156,0)),MIN(R$38,$D$19),$P$20))-SUM($P156:Q156)</f>
        <v>#VALUE!</v>
      </c>
      <c r="S156" s="446" t="e">
        <f>IF(OR($B156="",MIN(S$38,$D$19)&lt;MAX($P$34*($B156+IF($R$17="Distrato",$I$38-1,0)),IF(AND($L$37=0,$P$34=0),"",$L$37-1),IF($R$17="Distrato",$E156,0))),0,YEARFRAC(MAX($P$34*($B156+IF($R$17="Distrato",$I$38-1,0)),IF(AND($L$37=0,$P$34=0),"",$L$37-1),IF($R$17="Distrato",$E156,0)),MIN(S$38,$D$19),$P$20))-SUM($P156:R156)</f>
        <v>#VALUE!</v>
      </c>
      <c r="T156" s="446" t="e">
        <f>IF(OR($B156="",MIN(T$38,$D$19)&lt;MAX($P$34*($B156+IF($R$17="Distrato",$I$38-1,0)),IF(AND($L$37=0,$P$34=0),"",$L$37-1),IF($R$17="Distrato",$E156,0))),0,YEARFRAC(MAX($P$34*($B156+IF($R$17="Distrato",$I$38-1,0)),IF(AND($L$37=0,$P$34=0),"",$L$37-1),IF($R$17="Distrato",$E156,0)),MIN(T$38,$D$19),$P$20))-SUM($P156:S156)</f>
        <v>#VALUE!</v>
      </c>
      <c r="U156" s="446" t="e">
        <f>IF(OR($B156="",MIN(U$38,$D$19)&lt;MAX($P$34*($B156+IF($R$17="Distrato",$I$38-1,0)),IF(AND($L$37=0,$P$34=0),"",$L$37-1),IF($R$17="Distrato",$E156,0))),0,YEARFRAC(MAX($P$34*($B156+IF($R$17="Distrato",$I$38-1,0)),IF(AND($L$37=0,$P$34=0),"",$L$37-1),IF($R$17="Distrato",$E156,0)),MIN(U$38,$D$19),$P$20))-SUM($P156:T156)</f>
        <v>#VALUE!</v>
      </c>
      <c r="V156" s="446" t="e">
        <f>IF(OR($B156="",MIN(V$38,$D$19)&lt;MAX($P$34*($B156+IF($R$17="Distrato",$I$38-1,0)),IF(AND($L$37=0,$P$34=0),"",$L$37-1),IF($R$17="Distrato",$E156,0))),0,YEARFRAC(MAX($P$34*($B156+IF($R$17="Distrato",$I$38-1,0)),IF(AND($L$37=0,$P$34=0),"",$L$37-1),IF($R$17="Distrato",$E156,0)),MIN(V$38,$D$19),$P$20))-SUM($P156:U156)</f>
        <v>#VALUE!</v>
      </c>
      <c r="W156" s="446" t="e">
        <f>IF(OR($B156="",MIN(W$38,$D$19)&lt;MAX($P$34*($B156+IF($R$17="Distrato",$I$38-1,0)),IF(AND($L$37=0,$P$34=0),"",$L$37-1),IF($R$17="Distrato",$E156,0))),0,YEARFRAC(MAX($P$34*($B156+IF($R$17="Distrato",$I$38-1,0)),IF(AND($L$37=0,$P$34=0),"",$L$37-1),IF($R$17="Distrato",$E156,0)),MIN(W$38,$D$19),$P$20))-SUM($P156:V156)</f>
        <v>#VALUE!</v>
      </c>
      <c r="X156" s="446" t="e">
        <f>IF(OR($B156="",MIN(X$38,$D$19)&lt;MAX($P$34*($B156+IF($R$17="Distrato",$I$38-1,0)),IF(AND($L$37=0,$P$34=0),"",$L$37-1),IF($R$17="Distrato",$E156,0))),0,YEARFRAC(MAX($P$34*($B156+IF($R$17="Distrato",$I$38-1,0)),IF(AND($L$37=0,$P$34=0),"",$L$37-1),IF($R$17="Distrato",$E156,0)),MIN(X$38,$D$19),$P$20))-SUM($P156:W156)</f>
        <v>#VALUE!</v>
      </c>
      <c r="Y156" s="446" t="e">
        <f>IF(OR($B156="",MIN(Y$38,$D$19)&lt;MAX($P$34*($B156+IF($R$17="Distrato",$I$38-1,0)),IF(AND($L$37=0,$P$34=0),"",$L$37-1),IF($R$17="Distrato",$E156,0))),0,YEARFRAC(MAX($P$34*($B156+IF($R$17="Distrato",$I$38-1,0)),IF(AND($L$37=0,$P$34=0),"",$L$37-1),IF($R$17="Distrato",$E156,0)),MIN(Y$38,$D$19),$P$20))-SUM($P156:X156)</f>
        <v>#VALUE!</v>
      </c>
      <c r="Z156" s="446" t="e">
        <f>IF(OR($B156="",MIN(Z$38,$D$19)&lt;MAX($P$34*($B156+IF($R$17="Distrato",$I$38-1,0)),IF(AND($L$37=0,$P$34=0),"",$L$37-1),IF($R$17="Distrato",$E156,0))),0,YEARFRAC(MAX($P$34*($B156+IF($R$17="Distrato",$I$38-1,0)),IF(AND($L$37=0,$P$34=0),"",$L$37-1),IF($R$17="Distrato",$E156,0)),MIN(Z$38,$D$19),$P$20))-SUM($P156:Y156)</f>
        <v>#VALUE!</v>
      </c>
      <c r="AA156" s="446" t="e">
        <f>IF(OR($B156="",MIN(AA$38,$D$19)&lt;MAX($P$34*($B156+IF($R$17="Distrato",$I$38-1,0)),IF(AND($L$37=0,$P$34=0),"",$L$37-1),IF($R$17="Distrato",$E156,0))),0,YEARFRAC(MAX($P$34*($B156+IF($R$17="Distrato",$I$38-1,0)),IF(AND($L$37=0,$P$34=0),"",$L$37-1),IF($R$17="Distrato",$E156,0)),MIN(AA$38,$D$19),$P$20))-SUM($P156:Z156)</f>
        <v>#VALUE!</v>
      </c>
      <c r="AB156" s="446" t="e">
        <f>IF(OR($B156="",MIN(AB$38,$D$19)&lt;MAX($P$34*($B156+IF($R$17="Distrato",$I$38-1,0)),IF(AND($L$37=0,$P$34=0),"",$L$37-1),IF($R$17="Distrato",$E156,0))),0,YEARFRAC(MAX($P$34*($B156+IF($R$17="Distrato",$I$38-1,0)),IF(AND($L$37=0,$P$34=0),"",$L$37-1),IF($R$17="Distrato",$E156,0)),MIN(AB$38,$D$19),$P$20))-SUM($P156:AA156)</f>
        <v>#VALUE!</v>
      </c>
      <c r="AC156" s="446" t="e">
        <f>IF(OR($B156="",MIN(AC$38,$D$19)&lt;MAX($P$34*($B156+IF($R$17="Distrato",$I$38-1,0)),IF(AND($L$37=0,$P$34=0),"",$L$37-1),IF($R$17="Distrato",$E156,0))),0,YEARFRAC(MAX($P$34*($B156+IF($R$17="Distrato",$I$38-1,0)),IF(AND($L$37=0,$P$34=0),"",$L$37-1),IF($R$17="Distrato",$E156,0)),MIN(AC$38,$D$19),$P$20))-SUM($P156:AB156)</f>
        <v>#VALUE!</v>
      </c>
      <c r="AD156" s="446" t="e">
        <f>IF(OR($B156="",MIN(AD$38,$D$19)&lt;MAX($P$34*($B156+IF($R$17="Distrato",$I$38-1,0)),IF(AND($L$37=0,$P$34=0),"",$L$37-1),IF($R$17="Distrato",$E156,0))),0,YEARFRAC(MAX($P$34*($B156+IF($R$17="Distrato",$I$38-1,0)),IF(AND($L$37=0,$P$34=0),"",$L$37-1),IF($R$17="Distrato",$E156,0)),MIN(AD$38,$D$19),$P$20))-SUM($P156:AC156)</f>
        <v>#VALUE!</v>
      </c>
      <c r="AE156" s="446" t="e">
        <f>IF(OR($B156="",MIN(AE$38,$D$19)&lt;MAX($P$34*($B156+IF($R$17="Distrato",$I$38-1,0)),IF(AND($L$37=0,$P$34=0),"",$L$37-1),IF($R$17="Distrato",$E156,0))),0,YEARFRAC(MAX($P$34*($B156+IF($R$17="Distrato",$I$38-1,0)),IF(AND($L$37=0,$P$34=0),"",$L$37-1),IF($R$17="Distrato",$E156,0)),MIN(AE$38,$D$19),$P$20))-SUM($P156:AD156)</f>
        <v>#VALUE!</v>
      </c>
      <c r="AF156" s="446" t="e">
        <f>IF(OR($B156="",MIN(AF$38,$D$19)&lt;MAX($P$34*($B156+IF($R$17="Distrato",$I$38-1,0)),IF(AND($L$37=0,$P$34=0),"",$L$37-1),IF($R$17="Distrato",$E156,0))),0,YEARFRAC(MAX($P$34*($B156+IF($R$17="Distrato",$I$38-1,0)),IF(AND($L$37=0,$P$34=0),"",$L$37-1),IF($R$17="Distrato",$E156,0)),MIN(AF$38,$D$19),$P$20))-SUM($P156:AE156)</f>
        <v>#VALUE!</v>
      </c>
      <c r="AG156" s="446" t="e">
        <f>IF(OR($B156="",MIN(AG$38,$D$19)&lt;MAX($P$34*($B156+IF($R$17="Distrato",$I$38-1,0)),IF(AND($L$37=0,$P$34=0),"",$L$37-1),IF($R$17="Distrato",$E156,0))),0,YEARFRAC(MAX($P$34*($B156+IF($R$17="Distrato",$I$38-1,0)),IF(AND($L$37=0,$P$34=0),"",$L$37-1),IF($R$17="Distrato",$E156,0)),MIN(AG$38,$D$19),$P$20))-SUM($P156:AF156)</f>
        <v>#VALUE!</v>
      </c>
      <c r="AH156" s="446" t="e">
        <f>IF(OR($B156="",MIN(AH$38,$D$19)&lt;MAX($P$34*($B156+IF($R$17="Distrato",$I$38-1,0)),IF(AND($L$37=0,$P$34=0),"",$L$37-1),IF($R$17="Distrato",$E156,0))),0,YEARFRAC(MAX($P$34*($B156+IF($R$17="Distrato",$I$38-1,0)),IF(AND($L$37=0,$P$34=0),"",$L$37-1),IF($R$17="Distrato",$E156,0)),MIN(AH$38,$D$19),$P$20))-SUM($P156:AG156)</f>
        <v>#VALUE!</v>
      </c>
      <c r="AI156" s="446" t="e">
        <f>IF(OR($B156="",MIN(AI$38,$D$19)&lt;MAX($P$34*($B156+IF($R$17="Distrato",$I$38-1,0)),IF(AND($L$37=0,$P$34=0),"",$L$37-1),IF($R$17="Distrato",$E156,0))),0,YEARFRAC(MAX($P$34*($B156+IF($R$17="Distrato",$I$38-1,0)),IF(AND($L$37=0,$P$34=0),"",$L$37-1),IF($R$17="Distrato",$E156,0)),MIN(AI$38,$D$19),$P$20))-SUM($P156:AH156)</f>
        <v>#VALUE!</v>
      </c>
      <c r="AJ156" s="446" t="e">
        <f>IF(OR($B156="",MIN(AJ$38,$D$19)&lt;MAX($P$34*($B156+IF($R$17="Distrato",$I$38-1,0)),IF(AND($L$37=0,$P$34=0),"",$L$37-1),IF($R$17="Distrato",$E156,0))),0,YEARFRAC(MAX($P$34*($B156+IF($R$17="Distrato",$I$38-1,0)),IF(AND($L$37=0,$P$34=0),"",$L$37-1),IF($R$17="Distrato",$E156,0)),MIN(AJ$38,$D$19),$P$20))-SUM($P156:AI156)</f>
        <v>#VALUE!</v>
      </c>
      <c r="AK156" s="446" t="e">
        <f>IF(OR($B156="",MIN(AK$38,$D$19)&lt;MAX($P$34*($B156+IF($R$17="Distrato",$I$38-1,0)),IF(AND($L$37=0,$P$34=0),"",$L$37-1),IF($R$17="Distrato",$E156,0))),0,YEARFRAC(MAX($P$34*($B156+IF($R$17="Distrato",$I$38-1,0)),IF(AND($L$37=0,$P$34=0),"",$L$37-1),IF($R$17="Distrato",$E156,0)),MIN(AK$38,$D$19),$P$20))-SUM($P156:AJ156)</f>
        <v>#VALUE!</v>
      </c>
      <c r="AL156" s="446" t="e">
        <f>IF(OR($B156="",MIN(AL$38,$D$19)&lt;MAX($P$34*($B156+IF($R$17="Distrato",$I$38-1,0)),IF(AND($L$37=0,$P$34=0),"",$L$37-1),IF($R$17="Distrato",$E156,0))),0,YEARFRAC(MAX($P$34*($B156+IF($R$17="Distrato",$I$38-1,0)),IF(AND($L$37=0,$P$34=0),"",$L$37-1),IF($R$17="Distrato",$E156,0)),MIN(AL$38,$D$19),$P$20))-SUM($P156:AK156)</f>
        <v>#VALUE!</v>
      </c>
      <c r="AM156" s="446" t="e">
        <f>IF(OR($B156="",MIN(AM$38,$D$19)&lt;MAX($P$34*($B156+IF($R$17="Distrato",$I$38-1,0)),IF(AND($L$37=0,$P$34=0),"",$L$37-1),IF($R$17="Distrato",$E156,0))),0,YEARFRAC(MAX($P$34*($B156+IF($R$17="Distrato",$I$38-1,0)),IF(AND($L$37=0,$P$34=0),"",$L$37-1),IF($R$17="Distrato",$E156,0)),MIN(AM$38,$D$19),$P$20))-SUM($P156:AL156)</f>
        <v>#VALUE!</v>
      </c>
      <c r="AN156" s="446" t="e">
        <f>IF(OR($B156="",MIN(AN$38,$D$19)&lt;MAX($P$34*($B156+IF($R$17="Distrato",$I$38-1,0)),IF(AND($L$37=0,$P$34=0),"",$L$37-1),IF($R$17="Distrato",$E156,0))),0,YEARFRAC(MAX($P$34*($B156+IF($R$17="Distrato",$I$38-1,0)),IF(AND($L$37=0,$P$34=0),"",$L$37-1),IF($R$17="Distrato",$E156,0)),MIN(AN$38,$D$19),$P$20))-SUM($P156:AM156)</f>
        <v>#VALUE!</v>
      </c>
      <c r="AO156" s="446" t="e">
        <f>IF(OR($B156="",MIN(AO$38,$D$19)&lt;MAX($P$34*($B156+IF($R$17="Distrato",$I$38-1,0)),IF(AND($L$37=0,$P$34=0),"",$L$37-1),IF($R$17="Distrato",$E156,0))),0,YEARFRAC(MAX($P$34*($B156+IF($R$17="Distrato",$I$38-1,0)),IF(AND($L$37=0,$P$34=0),"",$L$37-1),IF($R$17="Distrato",$E156,0)),MIN(AO$38,$D$19),$P$20))-SUM($P156:AN156)</f>
        <v>#VALUE!</v>
      </c>
      <c r="AP156" s="446" t="e">
        <f>IF(OR($B156="",MIN(AP$38,$D$19)&lt;MAX($P$34*($B156+IF($R$17="Distrato",$I$38-1,0)),IF(AND($L$37=0,$P$34=0),"",$L$37-1),IF($R$17="Distrato",$E156,0))),0,YEARFRAC(MAX($P$34*($B156+IF($R$17="Distrato",$I$38-1,0)),IF(AND($L$37=0,$P$34=0),"",$L$37-1),IF($R$17="Distrato",$E156,0)),MIN(AP$38,$D$19),$P$20))-SUM($P156:AO156)</f>
        <v>#VALUE!</v>
      </c>
      <c r="AQ156" s="446" t="e">
        <f>IF(OR($B156="",MIN(AQ$38,$D$19)&lt;MAX($P$34*($B156+IF($R$17="Distrato",$I$38-1,0)),IF(AND($L$37=0,$P$34=0),"",$L$37-1),IF($R$17="Distrato",$E156,0))),0,YEARFRAC(MAX($P$34*($B156+IF($R$17="Distrato",$I$38-1,0)),IF(AND($L$37=0,$P$34=0),"",$L$37-1),IF($R$17="Distrato",$E156,0)),MIN(AQ$38,$D$19),$P$20))-SUM($P156:AP156)</f>
        <v>#VALUE!</v>
      </c>
      <c r="AR156" s="446" t="e">
        <f>IF(OR($B156="",MIN(AR$38,$D$19)&lt;MAX($P$34*($B156+IF($R$17="Distrato",$I$38-1,0)),IF(AND($L$37=0,$P$34=0),"",$L$37-1),IF($R$17="Distrato",$E156,0))),0,YEARFRAC(MAX($P$34*($B156+IF($R$17="Distrato",$I$38-1,0)),IF(AND($L$37=0,$P$34=0),"",$L$37-1),IF($R$17="Distrato",$E156,0)),MIN(AR$38,$D$19),$P$20))-SUM($P156:AQ156)</f>
        <v>#VALUE!</v>
      </c>
      <c r="AS156" s="446" t="e">
        <f>IF(OR($B156="",MIN(AS$38,$D$19)&lt;MAX($P$34*($B156+IF($R$17="Distrato",$I$38-1,0)),IF(AND($L$37=0,$P$34=0),"",$L$37-1),IF($R$17="Distrato",$E156,0))),0,YEARFRAC(MAX($P$34*($B156+IF($R$17="Distrato",$I$38-1,0)),IF(AND($L$37=0,$P$34=0),"",$L$37-1),IF($R$17="Distrato",$E156,0)),MIN(AS$38,$D$19),$P$20))-SUM($P156:AR156)</f>
        <v>#VALUE!</v>
      </c>
      <c r="AT156" s="446" t="e">
        <f>IF(OR($B156="",MIN(AT$38,$D$19)&lt;MAX($P$34*($B156+IF($R$17="Distrato",$I$38-1,0)),IF(AND($L$37=0,$P$34=0),"",$L$37-1),IF($R$17="Distrato",$E156,0))),0,YEARFRAC(MAX($P$34*($B156+IF($R$17="Distrato",$I$38-1,0)),IF(AND($L$37=0,$P$34=0),"",$L$37-1),IF($R$17="Distrato",$E156,0)),MIN(AT$38,$D$19),$P$20))-SUM($P156:AS156)</f>
        <v>#VALUE!</v>
      </c>
      <c r="AU156" s="446" t="e">
        <f>IF(OR($B156="",MIN(AU$38,$D$19)&lt;MAX($P$34*($B156+IF($R$17="Distrato",$I$38-1,0)),IF(AND($L$37=0,$P$34=0),"",$L$37-1),IF($R$17="Distrato",$E156,0))),0,YEARFRAC(MAX($P$34*($B156+IF($R$17="Distrato",$I$38-1,0)),IF(AND($L$37=0,$P$34=0),"",$L$37-1),IF($R$17="Distrato",$E156,0)),MIN(AU$38,$D$19),$P$20))-SUM($P156:AT156)</f>
        <v>#VALUE!</v>
      </c>
      <c r="AV156" s="446" t="e">
        <f>IF(OR($B156="",MIN(AV$38,$D$19)&lt;MAX($P$34*($B156+IF($R$17="Distrato",$I$38-1,0)),IF(AND($L$37=0,$P$34=0),"",$L$37-1),IF($R$17="Distrato",$E156,0))),0,YEARFRAC(MAX($P$34*($B156+IF($R$17="Distrato",$I$38-1,0)),IF(AND($L$37=0,$P$34=0),"",$L$37-1),IF($R$17="Distrato",$E156,0)),MIN(AV$38,$D$19),$P$20))-SUM($P156:AU156)</f>
        <v>#VALUE!</v>
      </c>
      <c r="AW156" s="446" t="e">
        <f>IF(OR($B156="",MIN(AW$38,$D$19)&lt;MAX($P$34*($B156+IF($R$17="Distrato",$I$38-1,0)),IF(AND($L$37=0,$P$34=0),"",$L$37-1),IF($R$17="Distrato",$E156,0))),0,YEARFRAC(MAX($P$34*($B156+IF($R$17="Distrato",$I$38-1,0)),IF(AND($L$37=0,$P$34=0),"",$L$37-1),IF($R$17="Distrato",$E156,0)),MIN(AW$38,$D$19),$P$20))-SUM($P156:AV156)</f>
        <v>#VALUE!</v>
      </c>
      <c r="AX156" s="446" t="e">
        <f>IF(OR($B156="",MIN(AX$38,$D$19)&lt;MAX($P$34*($B156+IF($R$17="Distrato",$I$38-1,0)),IF(AND($L$37=0,$P$34=0),"",$L$37-1),IF($R$17="Distrato",$E156,0))),0,YEARFRAC(MAX($P$34*($B156+IF($R$17="Distrato",$I$38-1,0)),IF(AND($L$37=0,$P$34=0),"",$L$37-1),IF($R$17="Distrato",$E156,0)),MIN(AX$38,$D$19),$P$20))-SUM($P156:AW156)</f>
        <v>#VALUE!</v>
      </c>
      <c r="AY156" s="446" t="e">
        <f>IF(OR($B156="",MIN(AY$38,$D$19)&lt;MAX($P$34*($B156+IF($R$17="Distrato",$I$38-1,0)),IF(AND($L$37=0,$P$34=0),"",$L$37-1),IF($R$17="Distrato",$E156,0))),0,YEARFRAC(MAX($P$34*($B156+IF($R$17="Distrato",$I$38-1,0)),IF(AND($L$37=0,$P$34=0),"",$L$37-1),IF($R$17="Distrato",$E156,0)),MIN(AY$38,$D$19),$P$20))-SUM($P156:AX156)</f>
        <v>#VALUE!</v>
      </c>
      <c r="AZ156" s="446" t="e">
        <f>IF(OR($B156="",MIN(AZ$38,$D$19)&lt;MAX($P$34*($B156+IF($R$17="Distrato",$I$38-1,0)),IF(AND($L$37=0,$P$34=0),"",$L$37-1),IF($R$17="Distrato",$E156,0))),0,YEARFRAC(MAX($P$34*($B156+IF($R$17="Distrato",$I$38-1,0)),IF(AND($L$37=0,$P$34=0),"",$L$37-1),IF($R$17="Distrato",$E156,0)),MIN(AZ$38,$D$19),$P$20))-SUM($P156:AY156)</f>
        <v>#VALUE!</v>
      </c>
      <c r="BA156" s="446" t="e">
        <f>IF(OR($B156="",MIN(BA$38,$D$19)&lt;MAX($P$34*($B156+IF($R$17="Distrato",$I$38-1,0)),IF(AND($L$37=0,$P$34=0),"",$L$37-1),IF($R$17="Distrato",$E156,0))),0,YEARFRAC(MAX($P$34*($B156+IF($R$17="Distrato",$I$38-1,0)),IF(AND($L$37=0,$P$34=0),"",$L$37-1),IF($R$17="Distrato",$E156,0)),MIN(BA$38,$D$19),$P$20))-SUM($P156:AZ156)</f>
        <v>#VALUE!</v>
      </c>
      <c r="BB156" s="447"/>
      <c r="BF156" s="446">
        <f t="shared" si="21"/>
        <v>0</v>
      </c>
      <c r="BG156" s="446">
        <f>IF($E156=0,0,IF(MIN(BG$38,$E156)&lt;MAX($P$34*($B156+$I$38-1),IF(AND($L$37=0,$P$34=0),"",$L$37-1)),0,YEARFRAC(MAX($P$34*($B156+$I$38-1),IF(AND($L$37=0,$P$34=0),"",$L$37-1)),MIN(BG$38,$E156),$P$20))-SUM($BF156:BF156))</f>
        <v>0</v>
      </c>
      <c r="BH156" s="446">
        <f>IF($E156=0,0,IF(MIN(BH$38,$E156)&lt;MAX($P$34*($B156+$I$38-1),IF(AND($L$37=0,$P$34=0),"",$L$37-1)),0,YEARFRAC(MAX($P$34*($B156+$I$38-1),IF(AND($L$37=0,$P$34=0),"",$L$37-1)),MIN(BH$38,$E156),$P$20))-SUM($BF156:BG156))</f>
        <v>0</v>
      </c>
      <c r="BI156" s="446">
        <f>IF($E156=0,0,IF(MIN(BI$38,$E156)&lt;MAX($P$34*($B156+$I$38-1),IF(AND($L$37=0,$P$34=0),"",$L$37-1)),0,YEARFRAC(MAX($P$34*($B156+$I$38-1),IF(AND($L$37=0,$P$34=0),"",$L$37-1)),MIN(BI$38,$E156),$P$20))-SUM($BF156:BH156))</f>
        <v>0</v>
      </c>
      <c r="BJ156" s="446">
        <f>IF($E156=0,0,IF(MIN(BJ$38,$E156)&lt;MAX($P$34*($B156+$I$38-1),IF(AND($L$37=0,$P$34=0),"",$L$37-1)),0,YEARFRAC(MAX($P$34*($B156+$I$38-1),IF(AND($L$37=0,$P$34=0),"",$L$37-1)),MIN(BJ$38,$E156),$P$20))-SUM($BF156:BI156))</f>
        <v>0</v>
      </c>
      <c r="BK156" s="446">
        <f>IF($E156=0,0,IF(MIN(BK$38,$E156)&lt;MAX($P$34*($B156+$I$38-1),IF(AND($L$37=0,$P$34=0),"",$L$37-1)),0,YEARFRAC(MAX($P$34*($B156+$I$38-1),IF(AND($L$37=0,$P$34=0),"",$L$37-1)),MIN(BK$38,$E156),$P$20))-SUM($BF156:BJ156))</f>
        <v>0</v>
      </c>
      <c r="BL156" s="446">
        <f>IF($E156=0,0,IF(MIN(BL$38,$E156)&lt;MAX($P$34*($B156+$I$38-1),IF(AND($L$37=0,$P$34=0),"",$L$37-1)),0,YEARFRAC(MAX($P$34*($B156+$I$38-1),IF(AND($L$37=0,$P$34=0),"",$L$37-1)),MIN(BL$38,$E156),$P$20))-SUM($BF156:BK156))</f>
        <v>0</v>
      </c>
      <c r="BM156" s="446">
        <f>IF($E156=0,0,IF(MIN(BM$38,$E156)&lt;MAX($P$34*($B156+$I$38-1),IF(AND($L$37=0,$P$34=0),"",$L$37-1)),0,YEARFRAC(MAX($P$34*($B156+$I$38-1),IF(AND($L$37=0,$P$34=0),"",$L$37-1)),MIN(BM$38,$E156),$P$20))-SUM($BF156:BL156))</f>
        <v>0</v>
      </c>
      <c r="BN156" s="446">
        <f>IF($E156=0,0,IF(MIN(BN$38,$E156)&lt;MAX($P$34*($B156+$I$38-1),IF(AND($L$37=0,$P$34=0),"",$L$37-1)),0,YEARFRAC(MAX($P$34*($B156+$I$38-1),IF(AND($L$37=0,$P$34=0),"",$L$37-1)),MIN(BN$38,$E156),$P$20))-SUM($BF156:BM156))</f>
        <v>0</v>
      </c>
      <c r="BO156" s="446">
        <f>IF($E156=0,0,IF(MIN(BO$38,$E156)&lt;MAX($P$34*($B156+$I$38-1),IF(AND($L$37=0,$P$34=0),"",$L$37-1)),0,YEARFRAC(MAX($P$34*($B156+$I$38-1),IF(AND($L$37=0,$P$34=0),"",$L$37-1)),MIN(BO$38,$E156),$P$20))-SUM($BF156:BN156))</f>
        <v>0</v>
      </c>
      <c r="BP156" s="446">
        <f>IF($E156=0,0,IF(MIN(BP$38,$E156)&lt;MAX($P$34*($B156+$I$38-1),IF(AND($L$37=0,$P$34=0),"",$L$37-1)),0,YEARFRAC(MAX($P$34*($B156+$I$38-1),IF(AND($L$37=0,$P$34=0),"",$L$37-1)),MIN(BP$38,$E156),$P$20))-SUM($BF156:BO156))</f>
        <v>0</v>
      </c>
      <c r="BQ156" s="446">
        <f>IF($E156=0,0,IF(MIN(BQ$38,$E156)&lt;MAX($P$34*($B156+$I$38-1),IF(AND($L$37=0,$P$34=0),"",$L$37-1)),0,YEARFRAC(MAX($P$34*($B156+$I$38-1),IF(AND($L$37=0,$P$34=0),"",$L$37-1)),MIN(BQ$38,$E156),$P$20))-SUM($BF156:BP156))</f>
        <v>0</v>
      </c>
      <c r="BR156" s="446">
        <f>IF($E156=0,0,IF(MIN(BR$38,$E156)&lt;MAX($P$34*($B156+$I$38-1),IF(AND($L$37=0,$P$34=0),"",$L$37-1)),0,YEARFRAC(MAX($P$34*($B156+$I$38-1),IF(AND($L$37=0,$P$34=0),"",$L$37-1)),MIN(BR$38,$E156),$P$20))-SUM($BF156:BQ156))</f>
        <v>0</v>
      </c>
      <c r="BS156" s="446">
        <f>IF($E156=0,0,IF(MIN(BS$38,$E156)&lt;MAX($P$34*($B156+$I$38-1),IF(AND($L$37=0,$P$34=0),"",$L$37-1)),0,YEARFRAC(MAX($P$34*($B156+$I$38-1),IF(AND($L$37=0,$P$34=0),"",$L$37-1)),MIN(BS$38,$E156),$P$20))-SUM($BF156:BR156))</f>
        <v>0</v>
      </c>
      <c r="BT156" s="446">
        <f>IF($E156=0,0,IF(MIN(BT$38,$E156)&lt;MAX($P$34*($B156+$I$38-1),IF(AND($L$37=0,$P$34=0),"",$L$37-1)),0,YEARFRAC(MAX($P$34*($B156+$I$38-1),IF(AND($L$37=0,$P$34=0),"",$L$37-1)),MIN(BT$38,$E156),$P$20))-SUM($BF156:BS156))</f>
        <v>0</v>
      </c>
      <c r="BU156" s="446">
        <f>IF($E156=0,0,IF(MIN(BU$38,$E156)&lt;MAX($P$34*($B156+$I$38-1),IF(AND($L$37=0,$P$34=0),"",$L$37-1)),0,YEARFRAC(MAX($P$34*($B156+$I$38-1),IF(AND($L$37=0,$P$34=0),"",$L$37-1)),MIN(BU$38,$E156),$P$20))-SUM($BF156:BT156))</f>
        <v>0</v>
      </c>
      <c r="BV156" s="446">
        <f>IF($E156=0,0,IF(MIN(BV$38,$E156)&lt;MAX($P$34*($B156+$I$38-1),IF(AND($L$37=0,$P$34=0),"",$L$37-1)),0,YEARFRAC(MAX($P$34*($B156+$I$38-1),IF(AND($L$37=0,$P$34=0),"",$L$37-1)),MIN(BV$38,$E156),$P$20))-SUM($BF156:BU156))</f>
        <v>0</v>
      </c>
      <c r="BW156" s="446">
        <f>IF($E156=0,0,IF(MIN(BW$38,$E156)&lt;MAX($P$34*($B156+$I$38-1),IF(AND($L$37=0,$P$34=0),"",$L$37-1)),0,YEARFRAC(MAX($P$34*($B156+$I$38-1),IF(AND($L$37=0,$P$34=0),"",$L$37-1)),MIN(BW$38,$E156),$P$20))-SUM($BF156:BV156))</f>
        <v>0</v>
      </c>
      <c r="BX156" s="446">
        <f>IF($E156=0,0,IF(MIN(BX$38,$E156)&lt;MAX($P$34*($B156+$I$38-1),IF(AND($L$37=0,$P$34=0),"",$L$37-1)),0,YEARFRAC(MAX($P$34*($B156+$I$38-1),IF(AND($L$37=0,$P$34=0),"",$L$37-1)),MIN(BX$38,$E156),$P$20))-SUM($BF156:BW156))</f>
        <v>0</v>
      </c>
      <c r="BY156" s="446">
        <f>IF($E156=0,0,IF(MIN(BY$38,$E156)&lt;MAX($P$34*($B156+$I$38-1),IF(AND($L$37=0,$P$34=0),"",$L$37-1)),0,YEARFRAC(MAX($P$34*($B156+$I$38-1),IF(AND($L$37=0,$P$34=0),"",$L$37-1)),MIN(BY$38,$E156),$P$20))-SUM($BF156:BX156))</f>
        <v>0</v>
      </c>
      <c r="BZ156" s="446">
        <f>IF($E156=0,0,IF(MIN(BZ$38,$E156)&lt;MAX($P$34*($B156+$I$38-1),IF(AND($L$37=0,$P$34=0),"",$L$37-1)),0,YEARFRAC(MAX($P$34*($B156+$I$38-1),IF(AND($L$37=0,$P$34=0),"",$L$37-1)),MIN(BZ$38,$E156),$P$20))-SUM($BF156:BY156))</f>
        <v>0</v>
      </c>
      <c r="CA156" s="446">
        <f>IF($E156=0,0,IF(MIN(CA$38,$E156)&lt;MAX($P$34*($B156+$I$38-1),IF(AND($L$37=0,$P$34=0),"",$L$37-1)),0,YEARFRAC(MAX($P$34*($B156+$I$38-1),IF(AND($L$37=0,$P$34=0),"",$L$37-1)),MIN(CA$38,$E156),$P$20))-SUM($BF156:BZ156))</f>
        <v>0</v>
      </c>
      <c r="CB156" s="446">
        <f>IF($E156=0,0,IF(MIN(CB$38,$E156)&lt;MAX($P$34*($B156+$I$38-1),IF(AND($L$37=0,$P$34=0),"",$L$37-1)),0,YEARFRAC(MAX($P$34*($B156+$I$38-1),IF(AND($L$37=0,$P$34=0),"",$L$37-1)),MIN(CB$38,$E156),$P$20))-SUM($BF156:CA156))</f>
        <v>0</v>
      </c>
      <c r="CC156" s="446">
        <f>IF($E156=0,0,IF(MIN(CC$38,$E156)&lt;MAX($P$34*($B156+$I$38-1),IF(AND($L$37=0,$P$34=0),"",$L$37-1)),0,YEARFRAC(MAX($P$34*($B156+$I$38-1),IF(AND($L$37=0,$P$34=0),"",$L$37-1)),MIN(CC$38,$E156),$P$20))-SUM($BF156:CB156))</f>
        <v>0</v>
      </c>
      <c r="CD156" s="446">
        <f>IF($E156=0,0,IF(MIN(CD$38,$E156)&lt;MAX($P$34*($B156+$I$38-1),IF(AND($L$37=0,$P$34=0),"",$L$37-1)),0,YEARFRAC(MAX($P$34*($B156+$I$38-1),IF(AND($L$37=0,$P$34=0),"",$L$37-1)),MIN(CD$38,$E156),$P$20))-SUM($BF156:CC156))</f>
        <v>0</v>
      </c>
      <c r="CE156" s="446">
        <f>IF($E156=0,0,IF(MIN(CE$38,$E156)&lt;MAX($P$34*($B156+$I$38-1),IF(AND($L$37=0,$P$34=0),"",$L$37-1)),0,YEARFRAC(MAX($P$34*($B156+$I$38-1),IF(AND($L$37=0,$P$34=0),"",$L$37-1)),MIN(CE$38,$E156),$P$20))-SUM($BF156:CD156))</f>
        <v>0</v>
      </c>
      <c r="CF156" s="446">
        <f>IF($E156=0,0,IF(MIN(CF$38,$E156)&lt;MAX($P$34*($B156+$I$38-1),IF(AND($L$37=0,$P$34=0),"",$L$37-1)),0,YEARFRAC(MAX($P$34*($B156+$I$38-1),IF(AND($L$37=0,$P$34=0),"",$L$37-1)),MIN(CF$38,$E156),$P$20))-SUM($BF156:CE156))</f>
        <v>0</v>
      </c>
      <c r="CG156" s="446">
        <f>IF($E156=0,0,IF(MIN(CG$38,$E156)&lt;MAX($P$34*($B156+$I$38-1),IF(AND($L$37=0,$P$34=0),"",$L$37-1)),0,YEARFRAC(MAX($P$34*($B156+$I$38-1),IF(AND($L$37=0,$P$34=0),"",$L$37-1)),MIN(CG$38,$E156),$P$20))-SUM($BF156:CF156))</f>
        <v>0</v>
      </c>
      <c r="CH156" s="446">
        <f>IF($E156=0,0,IF(MIN(CH$38,$E156)&lt;MAX($P$34*($B156+$I$38-1),IF(AND($L$37=0,$P$34=0),"",$L$37-1)),0,YEARFRAC(MAX($P$34*($B156+$I$38-1),IF(AND($L$37=0,$P$34=0),"",$L$37-1)),MIN(CH$38,$E156),$P$20))-SUM($BF156:CG156))</f>
        <v>0</v>
      </c>
      <c r="CI156" s="446">
        <f>IF($E156=0,0,IF(MIN(CI$38,$E156)&lt;MAX($P$34*($B156+$I$38-1),IF(AND($L$37=0,$P$34=0),"",$L$37-1)),0,YEARFRAC(MAX($P$34*($B156+$I$38-1),IF(AND($L$37=0,$P$34=0),"",$L$37-1)),MIN(CI$38,$E156),$P$20))-SUM($BF156:CH156))</f>
        <v>0</v>
      </c>
      <c r="CJ156" s="446">
        <f>IF($E156=0,0,IF(MIN(CJ$38,$E156)&lt;MAX($P$34*($B156+$I$38-1),IF(AND($L$37=0,$P$34=0),"",$L$37-1)),0,YEARFRAC(MAX($P$34*($B156+$I$38-1),IF(AND($L$37=0,$P$34=0),"",$L$37-1)),MIN(CJ$38,$E156),$P$20))-SUM($BF156:CI156))</f>
        <v>0</v>
      </c>
      <c r="CK156" s="446">
        <f>IF($E156=0,0,IF(MIN(CK$38,$E156)&lt;MAX($P$34*($B156+$I$38-1),IF(AND($L$37=0,$P$34=0),"",$L$37-1)),0,YEARFRAC(MAX($P$34*($B156+$I$38-1),IF(AND($L$37=0,$P$34=0),"",$L$37-1)),MIN(CK$38,$E156),$P$20))-SUM($BF156:CJ156))</f>
        <v>0</v>
      </c>
      <c r="CL156" s="446">
        <f>IF($E156=0,0,IF(MIN(CL$38,$E156)&lt;MAX($P$34*($B156+$I$38-1),IF(AND($L$37=0,$P$34=0),"",$L$37-1)),0,YEARFRAC(MAX($P$34*($B156+$I$38-1),IF(AND($L$37=0,$P$34=0),"",$L$37-1)),MIN(CL$38,$E156),$P$20))-SUM($BF156:CK156))</f>
        <v>0</v>
      </c>
      <c r="CM156" s="446">
        <f>IF($E156=0,0,IF(MIN(CM$38,$E156)&lt;MAX($P$34*($B156+$I$38-1),IF(AND($L$37=0,$P$34=0),"",$L$37-1)),0,YEARFRAC(MAX($P$34*($B156+$I$38-1),IF(AND($L$37=0,$P$34=0),"",$L$37-1)),MIN(CM$38,$E156),$P$20))-SUM($BF156:CL156))</f>
        <v>0</v>
      </c>
      <c r="CN156" s="446">
        <f>IF($E156=0,0,IF(MIN(CN$38,$E156)&lt;MAX($P$34*($B156+$I$38-1),IF(AND($L$37=0,$P$34=0),"",$L$37-1)),0,YEARFRAC(MAX($P$34*($B156+$I$38-1),IF(AND($L$37=0,$P$34=0),"",$L$37-1)),MIN(CN$38,$E156),$P$20))-SUM($BF156:CM156))</f>
        <v>0</v>
      </c>
      <c r="CO156" s="446">
        <f>IF($E156=0,0,IF(MIN(CO$38,$E156)&lt;MAX($P$34*($B156+$I$38-1),IF(AND($L$37=0,$P$34=0),"",$L$37-1)),0,YEARFRAC(MAX($P$34*($B156+$I$38-1),IF(AND($L$37=0,$P$34=0),"",$L$37-1)),MIN(CO$38,$E156),$P$20))-SUM($BF156:CN156))</f>
        <v>0</v>
      </c>
      <c r="CP156" s="446">
        <f>IF($E156=0,0,IF(MIN(CP$38,$E156)&lt;MAX($P$34*($B156+$I$38-1),IF(AND($L$37=0,$P$34=0),"",$L$37-1)),0,YEARFRAC(MAX($P$34*($B156+$I$38-1),IF(AND($L$37=0,$P$34=0),"",$L$37-1)),MIN(CP$38,$E156),$P$20))-SUM($BF156:CO156))</f>
        <v>0</v>
      </c>
      <c r="CQ156" s="446">
        <f>IF($E156=0,0,IF(MIN(CQ$38,$E156)&lt;MAX($P$34*($B156+$I$38-1),IF(AND($L$37=0,$P$34=0),"",$L$37-1)),0,YEARFRAC(MAX($P$34*($B156+$I$38-1),IF(AND($L$37=0,$P$34=0),"",$L$37-1)),MIN(CQ$38,$E156),$P$20))-SUM($BF156:CP156))</f>
        <v>0</v>
      </c>
    </row>
    <row r="157" spans="1:95" s="446" customFormat="1" ht="11.25" hidden="1" customHeight="1" x14ac:dyDescent="0.2">
      <c r="A157" s="152"/>
      <c r="B157" s="153" t="str">
        <f t="shared" si="26"/>
        <v/>
      </c>
      <c r="C157" s="29" t="str">
        <f>IF(B157="","",IF($L$35="SELIC - TRIBUTOS",VLOOKUP(DATE(YEAR($D$19),MONTH($D$19)-1,1),ÍNDICES!$A:$DE,HLOOKUP($BL$25,ÍNDICES!$B$3:$T$4,2)+11)-VLOOKUP(B157,ÍNDICES!$A:$DE,HLOOKUP($BL$25,ÍNDICES!$B$3:$T$4,2)+11)+1%,IF(C$38=$W$26,$J$35,IF(ISERROR(IF(B157&gt;$D$19,1,VLOOKUP(DATE(YEAR(B157),MONTH(B157)+IF($C$35=$S$23,1,0),1),ÍNDICES!$A:$DE,$Z$35+1))),"",IF(B157&gt;$D$19,1,VLOOKUP(DATE(YEAR(B157),MONTH(B157)+IF($C$35=$S$23,1,0),1),ÍNDICES!$A:$DE,$Z$35+1))))))</f>
        <v/>
      </c>
      <c r="D157" s="154" t="str">
        <f>IF(ISERROR(IF(OR($D$38=$Y$27,$B157=""),"",VLOOKUP(B157,ÍNDICES!A:DE,AF$35+1))),"",IF(OR($D$38=$Y$27,$B157=""),"",VLOOKUP(B157,ÍNDICES!A:DE,AF$35+1)))</f>
        <v/>
      </c>
      <c r="E157" s="153"/>
      <c r="F157" s="29" t="str">
        <f>IF(E157="","",IF($L$35="SELIC - TRIBUTOS",VLOOKUP(DATE(YEAR($D$19),MONTH($D$19)-1,1),ÍNDICES!$A:$DE,HLOOKUP($BL$25,ÍNDICES!$B$3:$T$4,2)+11)-VLOOKUP(E157,ÍNDICES!$A:$DE,HLOOKUP($BL$25,ÍNDICES!$B$3:$T$4,2)+11)+1%,IF(F$38=$W$26,$J$35,IF(ISERROR(IF(E157&gt;$D$19,1,VLOOKUP(DATE(YEAR(E157),MONTH(E157)+IF($C$35=$S$23,1,0),1),ÍNDICES!$A:$DE,$Z$35+1))),"",IF(E157&gt;$D$19,1,VLOOKUP(DATE(YEAR(E157),MONTH(E157)+IF($C$35=$S$23,1,0),1),ÍNDICES!$A:$DE,$Z$35+1))))))</f>
        <v/>
      </c>
      <c r="G157" s="155"/>
      <c r="H157" s="156" t="str">
        <f t="shared" si="22"/>
        <v/>
      </c>
      <c r="I157" s="29" t="str">
        <f t="shared" si="16"/>
        <v/>
      </c>
      <c r="J157" s="5">
        <f t="shared" si="17"/>
        <v>0</v>
      </c>
      <c r="K157" s="20">
        <f t="shared" ca="1" si="18"/>
        <v>0</v>
      </c>
      <c r="L157" s="5">
        <f t="shared" ca="1" si="19"/>
        <v>0</v>
      </c>
      <c r="M157" s="64">
        <f t="shared" si="23"/>
        <v>0</v>
      </c>
      <c r="N157" s="61">
        <f t="shared" ca="1" si="24"/>
        <v>0</v>
      </c>
      <c r="O157" s="5">
        <f t="shared" ca="1" si="25"/>
        <v>0</v>
      </c>
      <c r="P157" s="446" t="e">
        <f t="shared" si="20"/>
        <v>#VALUE!</v>
      </c>
      <c r="Q157" s="446" t="e">
        <f>IF(OR($B157="",MIN(Q$38,$D$19)&lt;MAX($P$34*($B157+IF($R$17="Distrato",$I$38-1,0)),IF(AND($L$37=0,$P$34=0),"",$L$37-1),IF($R$17="Distrato",$E157,0))),0,YEARFRAC(MAX($P$34*($B157+IF($R$17="Distrato",$I$38-1,0)),IF(AND($L$37=0,$P$34=0),"",$L$37-1),IF($R$17="Distrato",$E157,0)),MIN(Q$38,$D$19),$P$20))-SUM($P157:P157)</f>
        <v>#VALUE!</v>
      </c>
      <c r="R157" s="446" t="e">
        <f>IF(OR($B157="",MIN(R$38,$D$19)&lt;MAX($P$34*($B157+IF($R$17="Distrato",$I$38-1,0)),IF(AND($L$37=0,$P$34=0),"",$L$37-1),IF($R$17="Distrato",$E157,0))),0,YEARFRAC(MAX($P$34*($B157+IF($R$17="Distrato",$I$38-1,0)),IF(AND($L$37=0,$P$34=0),"",$L$37-1),IF($R$17="Distrato",$E157,0)),MIN(R$38,$D$19),$P$20))-SUM($P157:Q157)</f>
        <v>#VALUE!</v>
      </c>
      <c r="S157" s="446" t="e">
        <f>IF(OR($B157="",MIN(S$38,$D$19)&lt;MAX($P$34*($B157+IF($R$17="Distrato",$I$38-1,0)),IF(AND($L$37=0,$P$34=0),"",$L$37-1),IF($R$17="Distrato",$E157,0))),0,YEARFRAC(MAX($P$34*($B157+IF($R$17="Distrato",$I$38-1,0)),IF(AND($L$37=0,$P$34=0),"",$L$37-1),IF($R$17="Distrato",$E157,0)),MIN(S$38,$D$19),$P$20))-SUM($P157:R157)</f>
        <v>#VALUE!</v>
      </c>
      <c r="T157" s="446" t="e">
        <f>IF(OR($B157="",MIN(T$38,$D$19)&lt;MAX($P$34*($B157+IF($R$17="Distrato",$I$38-1,0)),IF(AND($L$37=0,$P$34=0),"",$L$37-1),IF($R$17="Distrato",$E157,0))),0,YEARFRAC(MAX($P$34*($B157+IF($R$17="Distrato",$I$38-1,0)),IF(AND($L$37=0,$P$34=0),"",$L$37-1),IF($R$17="Distrato",$E157,0)),MIN(T$38,$D$19),$P$20))-SUM($P157:S157)</f>
        <v>#VALUE!</v>
      </c>
      <c r="U157" s="446" t="e">
        <f>IF(OR($B157="",MIN(U$38,$D$19)&lt;MAX($P$34*($B157+IF($R$17="Distrato",$I$38-1,0)),IF(AND($L$37=0,$P$34=0),"",$L$37-1),IF($R$17="Distrato",$E157,0))),0,YEARFRAC(MAX($P$34*($B157+IF($R$17="Distrato",$I$38-1,0)),IF(AND($L$37=0,$P$34=0),"",$L$37-1),IF($R$17="Distrato",$E157,0)),MIN(U$38,$D$19),$P$20))-SUM($P157:T157)</f>
        <v>#VALUE!</v>
      </c>
      <c r="V157" s="446" t="e">
        <f>IF(OR($B157="",MIN(V$38,$D$19)&lt;MAX($P$34*($B157+IF($R$17="Distrato",$I$38-1,0)),IF(AND($L$37=0,$P$34=0),"",$L$37-1),IF($R$17="Distrato",$E157,0))),0,YEARFRAC(MAX($P$34*($B157+IF($R$17="Distrato",$I$38-1,0)),IF(AND($L$37=0,$P$34=0),"",$L$37-1),IF($R$17="Distrato",$E157,0)),MIN(V$38,$D$19),$P$20))-SUM($P157:U157)</f>
        <v>#VALUE!</v>
      </c>
      <c r="W157" s="446" t="e">
        <f>IF(OR($B157="",MIN(W$38,$D$19)&lt;MAX($P$34*($B157+IF($R$17="Distrato",$I$38-1,0)),IF(AND($L$37=0,$P$34=0),"",$L$37-1),IF($R$17="Distrato",$E157,0))),0,YEARFRAC(MAX($P$34*($B157+IF($R$17="Distrato",$I$38-1,0)),IF(AND($L$37=0,$P$34=0),"",$L$37-1),IF($R$17="Distrato",$E157,0)),MIN(W$38,$D$19),$P$20))-SUM($P157:V157)</f>
        <v>#VALUE!</v>
      </c>
      <c r="X157" s="446" t="e">
        <f>IF(OR($B157="",MIN(X$38,$D$19)&lt;MAX($P$34*($B157+IF($R$17="Distrato",$I$38-1,0)),IF(AND($L$37=0,$P$34=0),"",$L$37-1),IF($R$17="Distrato",$E157,0))),0,YEARFRAC(MAX($P$34*($B157+IF($R$17="Distrato",$I$38-1,0)),IF(AND($L$37=0,$P$34=0),"",$L$37-1),IF($R$17="Distrato",$E157,0)),MIN(X$38,$D$19),$P$20))-SUM($P157:W157)</f>
        <v>#VALUE!</v>
      </c>
      <c r="Y157" s="446" t="e">
        <f>IF(OR($B157="",MIN(Y$38,$D$19)&lt;MAX($P$34*($B157+IF($R$17="Distrato",$I$38-1,0)),IF(AND($L$37=0,$P$34=0),"",$L$37-1),IF($R$17="Distrato",$E157,0))),0,YEARFRAC(MAX($P$34*($B157+IF($R$17="Distrato",$I$38-1,0)),IF(AND($L$37=0,$P$34=0),"",$L$37-1),IF($R$17="Distrato",$E157,0)),MIN(Y$38,$D$19),$P$20))-SUM($P157:X157)</f>
        <v>#VALUE!</v>
      </c>
      <c r="Z157" s="446" t="e">
        <f>IF(OR($B157="",MIN(Z$38,$D$19)&lt;MAX($P$34*($B157+IF($R$17="Distrato",$I$38-1,0)),IF(AND($L$37=0,$P$34=0),"",$L$37-1),IF($R$17="Distrato",$E157,0))),0,YEARFRAC(MAX($P$34*($B157+IF($R$17="Distrato",$I$38-1,0)),IF(AND($L$37=0,$P$34=0),"",$L$37-1),IF($R$17="Distrato",$E157,0)),MIN(Z$38,$D$19),$P$20))-SUM($P157:Y157)</f>
        <v>#VALUE!</v>
      </c>
      <c r="AA157" s="446" t="e">
        <f>IF(OR($B157="",MIN(AA$38,$D$19)&lt;MAX($P$34*($B157+IF($R$17="Distrato",$I$38-1,0)),IF(AND($L$37=0,$P$34=0),"",$L$37-1),IF($R$17="Distrato",$E157,0))),0,YEARFRAC(MAX($P$34*($B157+IF($R$17="Distrato",$I$38-1,0)),IF(AND($L$37=0,$P$34=0),"",$L$37-1),IF($R$17="Distrato",$E157,0)),MIN(AA$38,$D$19),$P$20))-SUM($P157:Z157)</f>
        <v>#VALUE!</v>
      </c>
      <c r="AB157" s="446" t="e">
        <f>IF(OR($B157="",MIN(AB$38,$D$19)&lt;MAX($P$34*($B157+IF($R$17="Distrato",$I$38-1,0)),IF(AND($L$37=0,$P$34=0),"",$L$37-1),IF($R$17="Distrato",$E157,0))),0,YEARFRAC(MAX($P$34*($B157+IF($R$17="Distrato",$I$38-1,0)),IF(AND($L$37=0,$P$34=0),"",$L$37-1),IF($R$17="Distrato",$E157,0)),MIN(AB$38,$D$19),$P$20))-SUM($P157:AA157)</f>
        <v>#VALUE!</v>
      </c>
      <c r="AC157" s="446" t="e">
        <f>IF(OR($B157="",MIN(AC$38,$D$19)&lt;MAX($P$34*($B157+IF($R$17="Distrato",$I$38-1,0)),IF(AND($L$37=0,$P$34=0),"",$L$37-1),IF($R$17="Distrato",$E157,0))),0,YEARFRAC(MAX($P$34*($B157+IF($R$17="Distrato",$I$38-1,0)),IF(AND($L$37=0,$P$34=0),"",$L$37-1),IF($R$17="Distrato",$E157,0)),MIN(AC$38,$D$19),$P$20))-SUM($P157:AB157)</f>
        <v>#VALUE!</v>
      </c>
      <c r="AD157" s="446" t="e">
        <f>IF(OR($B157="",MIN(AD$38,$D$19)&lt;MAX($P$34*($B157+IF($R$17="Distrato",$I$38-1,0)),IF(AND($L$37=0,$P$34=0),"",$L$37-1),IF($R$17="Distrato",$E157,0))),0,YEARFRAC(MAX($P$34*($B157+IF($R$17="Distrato",$I$38-1,0)),IF(AND($L$37=0,$P$34=0),"",$L$37-1),IF($R$17="Distrato",$E157,0)),MIN(AD$38,$D$19),$P$20))-SUM($P157:AC157)</f>
        <v>#VALUE!</v>
      </c>
      <c r="AE157" s="446" t="e">
        <f>IF(OR($B157="",MIN(AE$38,$D$19)&lt;MAX($P$34*($B157+IF($R$17="Distrato",$I$38-1,0)),IF(AND($L$37=0,$P$34=0),"",$L$37-1),IF($R$17="Distrato",$E157,0))),0,YEARFRAC(MAX($P$34*($B157+IF($R$17="Distrato",$I$38-1,0)),IF(AND($L$37=0,$P$34=0),"",$L$37-1),IF($R$17="Distrato",$E157,0)),MIN(AE$38,$D$19),$P$20))-SUM($P157:AD157)</f>
        <v>#VALUE!</v>
      </c>
      <c r="AF157" s="446" t="e">
        <f>IF(OR($B157="",MIN(AF$38,$D$19)&lt;MAX($P$34*($B157+IF($R$17="Distrato",$I$38-1,0)),IF(AND($L$37=0,$P$34=0),"",$L$37-1),IF($R$17="Distrato",$E157,0))),0,YEARFRAC(MAX($P$34*($B157+IF($R$17="Distrato",$I$38-1,0)),IF(AND($L$37=0,$P$34=0),"",$L$37-1),IF($R$17="Distrato",$E157,0)),MIN(AF$38,$D$19),$P$20))-SUM($P157:AE157)</f>
        <v>#VALUE!</v>
      </c>
      <c r="AG157" s="446" t="e">
        <f>IF(OR($B157="",MIN(AG$38,$D$19)&lt;MAX($P$34*($B157+IF($R$17="Distrato",$I$38-1,0)),IF(AND($L$37=0,$P$34=0),"",$L$37-1),IF($R$17="Distrato",$E157,0))),0,YEARFRAC(MAX($P$34*($B157+IF($R$17="Distrato",$I$38-1,0)),IF(AND($L$37=0,$P$34=0),"",$L$37-1),IF($R$17="Distrato",$E157,0)),MIN(AG$38,$D$19),$P$20))-SUM($P157:AF157)</f>
        <v>#VALUE!</v>
      </c>
      <c r="AH157" s="446" t="e">
        <f>IF(OR($B157="",MIN(AH$38,$D$19)&lt;MAX($P$34*($B157+IF($R$17="Distrato",$I$38-1,0)),IF(AND($L$37=0,$P$34=0),"",$L$37-1),IF($R$17="Distrato",$E157,0))),0,YEARFRAC(MAX($P$34*($B157+IF($R$17="Distrato",$I$38-1,0)),IF(AND($L$37=0,$P$34=0),"",$L$37-1),IF($R$17="Distrato",$E157,0)),MIN(AH$38,$D$19),$P$20))-SUM($P157:AG157)</f>
        <v>#VALUE!</v>
      </c>
      <c r="AI157" s="446" t="e">
        <f>IF(OR($B157="",MIN(AI$38,$D$19)&lt;MAX($P$34*($B157+IF($R$17="Distrato",$I$38-1,0)),IF(AND($L$37=0,$P$34=0),"",$L$37-1),IF($R$17="Distrato",$E157,0))),0,YEARFRAC(MAX($P$34*($B157+IF($R$17="Distrato",$I$38-1,0)),IF(AND($L$37=0,$P$34=0),"",$L$37-1),IF($R$17="Distrato",$E157,0)),MIN(AI$38,$D$19),$P$20))-SUM($P157:AH157)</f>
        <v>#VALUE!</v>
      </c>
      <c r="AJ157" s="446" t="e">
        <f>IF(OR($B157="",MIN(AJ$38,$D$19)&lt;MAX($P$34*($B157+IF($R$17="Distrato",$I$38-1,0)),IF(AND($L$37=0,$P$34=0),"",$L$37-1),IF($R$17="Distrato",$E157,0))),0,YEARFRAC(MAX($P$34*($B157+IF($R$17="Distrato",$I$38-1,0)),IF(AND($L$37=0,$P$34=0),"",$L$37-1),IF($R$17="Distrato",$E157,0)),MIN(AJ$38,$D$19),$P$20))-SUM($P157:AI157)</f>
        <v>#VALUE!</v>
      </c>
      <c r="AK157" s="446" t="e">
        <f>IF(OR($B157="",MIN(AK$38,$D$19)&lt;MAX($P$34*($B157+IF($R$17="Distrato",$I$38-1,0)),IF(AND($L$37=0,$P$34=0),"",$L$37-1),IF($R$17="Distrato",$E157,0))),0,YEARFRAC(MAX($P$34*($B157+IF($R$17="Distrato",$I$38-1,0)),IF(AND($L$37=0,$P$34=0),"",$L$37-1),IF($R$17="Distrato",$E157,0)),MIN(AK$38,$D$19),$P$20))-SUM($P157:AJ157)</f>
        <v>#VALUE!</v>
      </c>
      <c r="AL157" s="446" t="e">
        <f>IF(OR($B157="",MIN(AL$38,$D$19)&lt;MAX($P$34*($B157+IF($R$17="Distrato",$I$38-1,0)),IF(AND($L$37=0,$P$34=0),"",$L$37-1),IF($R$17="Distrato",$E157,0))),0,YEARFRAC(MAX($P$34*($B157+IF($R$17="Distrato",$I$38-1,0)),IF(AND($L$37=0,$P$34=0),"",$L$37-1),IF($R$17="Distrato",$E157,0)),MIN(AL$38,$D$19),$P$20))-SUM($P157:AK157)</f>
        <v>#VALUE!</v>
      </c>
      <c r="AM157" s="446" t="e">
        <f>IF(OR($B157="",MIN(AM$38,$D$19)&lt;MAX($P$34*($B157+IF($R$17="Distrato",$I$38-1,0)),IF(AND($L$37=0,$P$34=0),"",$L$37-1),IF($R$17="Distrato",$E157,0))),0,YEARFRAC(MAX($P$34*($B157+IF($R$17="Distrato",$I$38-1,0)),IF(AND($L$37=0,$P$34=0),"",$L$37-1),IF($R$17="Distrato",$E157,0)),MIN(AM$38,$D$19),$P$20))-SUM($P157:AL157)</f>
        <v>#VALUE!</v>
      </c>
      <c r="AN157" s="446" t="e">
        <f>IF(OR($B157="",MIN(AN$38,$D$19)&lt;MAX($P$34*($B157+IF($R$17="Distrato",$I$38-1,0)),IF(AND($L$37=0,$P$34=0),"",$L$37-1),IF($R$17="Distrato",$E157,0))),0,YEARFRAC(MAX($P$34*($B157+IF($R$17="Distrato",$I$38-1,0)),IF(AND($L$37=0,$P$34=0),"",$L$37-1),IF($R$17="Distrato",$E157,0)),MIN(AN$38,$D$19),$P$20))-SUM($P157:AM157)</f>
        <v>#VALUE!</v>
      </c>
      <c r="AO157" s="446" t="e">
        <f>IF(OR($B157="",MIN(AO$38,$D$19)&lt;MAX($P$34*($B157+IF($R$17="Distrato",$I$38-1,0)),IF(AND($L$37=0,$P$34=0),"",$L$37-1),IF($R$17="Distrato",$E157,0))),0,YEARFRAC(MAX($P$34*($B157+IF($R$17="Distrato",$I$38-1,0)),IF(AND($L$37=0,$P$34=0),"",$L$37-1),IF($R$17="Distrato",$E157,0)),MIN(AO$38,$D$19),$P$20))-SUM($P157:AN157)</f>
        <v>#VALUE!</v>
      </c>
      <c r="AP157" s="446" t="e">
        <f>IF(OR($B157="",MIN(AP$38,$D$19)&lt;MAX($P$34*($B157+IF($R$17="Distrato",$I$38-1,0)),IF(AND($L$37=0,$P$34=0),"",$L$37-1),IF($R$17="Distrato",$E157,0))),0,YEARFRAC(MAX($P$34*($B157+IF($R$17="Distrato",$I$38-1,0)),IF(AND($L$37=0,$P$34=0),"",$L$37-1),IF($R$17="Distrato",$E157,0)),MIN(AP$38,$D$19),$P$20))-SUM($P157:AO157)</f>
        <v>#VALUE!</v>
      </c>
      <c r="AQ157" s="446" t="e">
        <f>IF(OR($B157="",MIN(AQ$38,$D$19)&lt;MAX($P$34*($B157+IF($R$17="Distrato",$I$38-1,0)),IF(AND($L$37=0,$P$34=0),"",$L$37-1),IF($R$17="Distrato",$E157,0))),0,YEARFRAC(MAX($P$34*($B157+IF($R$17="Distrato",$I$38-1,0)),IF(AND($L$37=0,$P$34=0),"",$L$37-1),IF($R$17="Distrato",$E157,0)),MIN(AQ$38,$D$19),$P$20))-SUM($P157:AP157)</f>
        <v>#VALUE!</v>
      </c>
      <c r="AR157" s="446" t="e">
        <f>IF(OR($B157="",MIN(AR$38,$D$19)&lt;MAX($P$34*($B157+IF($R$17="Distrato",$I$38-1,0)),IF(AND($L$37=0,$P$34=0),"",$L$37-1),IF($R$17="Distrato",$E157,0))),0,YEARFRAC(MAX($P$34*($B157+IF($R$17="Distrato",$I$38-1,0)),IF(AND($L$37=0,$P$34=0),"",$L$37-1),IF($R$17="Distrato",$E157,0)),MIN(AR$38,$D$19),$P$20))-SUM($P157:AQ157)</f>
        <v>#VALUE!</v>
      </c>
      <c r="AS157" s="446" t="e">
        <f>IF(OR($B157="",MIN(AS$38,$D$19)&lt;MAX($P$34*($B157+IF($R$17="Distrato",$I$38-1,0)),IF(AND($L$37=0,$P$34=0),"",$L$37-1),IF($R$17="Distrato",$E157,0))),0,YEARFRAC(MAX($P$34*($B157+IF($R$17="Distrato",$I$38-1,0)),IF(AND($L$37=0,$P$34=0),"",$L$37-1),IF($R$17="Distrato",$E157,0)),MIN(AS$38,$D$19),$P$20))-SUM($P157:AR157)</f>
        <v>#VALUE!</v>
      </c>
      <c r="AT157" s="446" t="e">
        <f>IF(OR($B157="",MIN(AT$38,$D$19)&lt;MAX($P$34*($B157+IF($R$17="Distrato",$I$38-1,0)),IF(AND($L$37=0,$P$34=0),"",$L$37-1),IF($R$17="Distrato",$E157,0))),0,YEARFRAC(MAX($P$34*($B157+IF($R$17="Distrato",$I$38-1,0)),IF(AND($L$37=0,$P$34=0),"",$L$37-1),IF($R$17="Distrato",$E157,0)),MIN(AT$38,$D$19),$P$20))-SUM($P157:AS157)</f>
        <v>#VALUE!</v>
      </c>
      <c r="AU157" s="446" t="e">
        <f>IF(OR($B157="",MIN(AU$38,$D$19)&lt;MAX($P$34*($B157+IF($R$17="Distrato",$I$38-1,0)),IF(AND($L$37=0,$P$34=0),"",$L$37-1),IF($R$17="Distrato",$E157,0))),0,YEARFRAC(MAX($P$34*($B157+IF($R$17="Distrato",$I$38-1,0)),IF(AND($L$37=0,$P$34=0),"",$L$37-1),IF($R$17="Distrato",$E157,0)),MIN(AU$38,$D$19),$P$20))-SUM($P157:AT157)</f>
        <v>#VALUE!</v>
      </c>
      <c r="AV157" s="446" t="e">
        <f>IF(OR($B157="",MIN(AV$38,$D$19)&lt;MAX($P$34*($B157+IF($R$17="Distrato",$I$38-1,0)),IF(AND($L$37=0,$P$34=0),"",$L$37-1),IF($R$17="Distrato",$E157,0))),0,YEARFRAC(MAX($P$34*($B157+IF($R$17="Distrato",$I$38-1,0)),IF(AND($L$37=0,$P$34=0),"",$L$37-1),IF($R$17="Distrato",$E157,0)),MIN(AV$38,$D$19),$P$20))-SUM($P157:AU157)</f>
        <v>#VALUE!</v>
      </c>
      <c r="AW157" s="446" t="e">
        <f>IF(OR($B157="",MIN(AW$38,$D$19)&lt;MAX($P$34*($B157+IF($R$17="Distrato",$I$38-1,0)),IF(AND($L$37=0,$P$34=0),"",$L$37-1),IF($R$17="Distrato",$E157,0))),0,YEARFRAC(MAX($P$34*($B157+IF($R$17="Distrato",$I$38-1,0)),IF(AND($L$37=0,$P$34=0),"",$L$37-1),IF($R$17="Distrato",$E157,0)),MIN(AW$38,$D$19),$P$20))-SUM($P157:AV157)</f>
        <v>#VALUE!</v>
      </c>
      <c r="AX157" s="446" t="e">
        <f>IF(OR($B157="",MIN(AX$38,$D$19)&lt;MAX($P$34*($B157+IF($R$17="Distrato",$I$38-1,0)),IF(AND($L$37=0,$P$34=0),"",$L$37-1),IF($R$17="Distrato",$E157,0))),0,YEARFRAC(MAX($P$34*($B157+IF($R$17="Distrato",$I$38-1,0)),IF(AND($L$37=0,$P$34=0),"",$L$37-1),IF($R$17="Distrato",$E157,0)),MIN(AX$38,$D$19),$P$20))-SUM($P157:AW157)</f>
        <v>#VALUE!</v>
      </c>
      <c r="AY157" s="446" t="e">
        <f>IF(OR($B157="",MIN(AY$38,$D$19)&lt;MAX($P$34*($B157+IF($R$17="Distrato",$I$38-1,0)),IF(AND($L$37=0,$P$34=0),"",$L$37-1),IF($R$17="Distrato",$E157,0))),0,YEARFRAC(MAX($P$34*($B157+IF($R$17="Distrato",$I$38-1,0)),IF(AND($L$37=0,$P$34=0),"",$L$37-1),IF($R$17="Distrato",$E157,0)),MIN(AY$38,$D$19),$P$20))-SUM($P157:AX157)</f>
        <v>#VALUE!</v>
      </c>
      <c r="AZ157" s="446" t="e">
        <f>IF(OR($B157="",MIN(AZ$38,$D$19)&lt;MAX($P$34*($B157+IF($R$17="Distrato",$I$38-1,0)),IF(AND($L$37=0,$P$34=0),"",$L$37-1),IF($R$17="Distrato",$E157,0))),0,YEARFRAC(MAX($P$34*($B157+IF($R$17="Distrato",$I$38-1,0)),IF(AND($L$37=0,$P$34=0),"",$L$37-1),IF($R$17="Distrato",$E157,0)),MIN(AZ$38,$D$19),$P$20))-SUM($P157:AY157)</f>
        <v>#VALUE!</v>
      </c>
      <c r="BA157" s="446" t="e">
        <f>IF(OR($B157="",MIN(BA$38,$D$19)&lt;MAX($P$34*($B157+IF($R$17="Distrato",$I$38-1,0)),IF(AND($L$37=0,$P$34=0),"",$L$37-1),IF($R$17="Distrato",$E157,0))),0,YEARFRAC(MAX($P$34*($B157+IF($R$17="Distrato",$I$38-1,0)),IF(AND($L$37=0,$P$34=0),"",$L$37-1),IF($R$17="Distrato",$E157,0)),MIN(BA$38,$D$19),$P$20))-SUM($P157:AZ157)</f>
        <v>#VALUE!</v>
      </c>
      <c r="BB157" s="447"/>
      <c r="BF157" s="446">
        <f t="shared" si="21"/>
        <v>0</v>
      </c>
      <c r="BG157" s="446">
        <f>IF($E157=0,0,IF(MIN(BG$38,$E157)&lt;MAX($P$34*($B157+$I$38-1),IF(AND($L$37=0,$P$34=0),"",$L$37-1)),0,YEARFRAC(MAX($P$34*($B157+$I$38-1),IF(AND($L$37=0,$P$34=0),"",$L$37-1)),MIN(BG$38,$E157),$P$20))-SUM($BF157:BF157))</f>
        <v>0</v>
      </c>
      <c r="BH157" s="446">
        <f>IF($E157=0,0,IF(MIN(BH$38,$E157)&lt;MAX($P$34*($B157+$I$38-1),IF(AND($L$37=0,$P$34=0),"",$L$37-1)),0,YEARFRAC(MAX($P$34*($B157+$I$38-1),IF(AND($L$37=0,$P$34=0),"",$L$37-1)),MIN(BH$38,$E157),$P$20))-SUM($BF157:BG157))</f>
        <v>0</v>
      </c>
      <c r="BI157" s="446">
        <f>IF($E157=0,0,IF(MIN(BI$38,$E157)&lt;MAX($P$34*($B157+$I$38-1),IF(AND($L$37=0,$P$34=0),"",$L$37-1)),0,YEARFRAC(MAX($P$34*($B157+$I$38-1),IF(AND($L$37=0,$P$34=0),"",$L$37-1)),MIN(BI$38,$E157),$P$20))-SUM($BF157:BH157))</f>
        <v>0</v>
      </c>
      <c r="BJ157" s="446">
        <f>IF($E157=0,0,IF(MIN(BJ$38,$E157)&lt;MAX($P$34*($B157+$I$38-1),IF(AND($L$37=0,$P$34=0),"",$L$37-1)),0,YEARFRAC(MAX($P$34*($B157+$I$38-1),IF(AND($L$37=0,$P$34=0),"",$L$37-1)),MIN(BJ$38,$E157),$P$20))-SUM($BF157:BI157))</f>
        <v>0</v>
      </c>
      <c r="BK157" s="446">
        <f>IF($E157=0,0,IF(MIN(BK$38,$E157)&lt;MAX($P$34*($B157+$I$38-1),IF(AND($L$37=0,$P$34=0),"",$L$37-1)),0,YEARFRAC(MAX($P$34*($B157+$I$38-1),IF(AND($L$37=0,$P$34=0),"",$L$37-1)),MIN(BK$38,$E157),$P$20))-SUM($BF157:BJ157))</f>
        <v>0</v>
      </c>
      <c r="BL157" s="446">
        <f>IF($E157=0,0,IF(MIN(BL$38,$E157)&lt;MAX($P$34*($B157+$I$38-1),IF(AND($L$37=0,$P$34=0),"",$L$37-1)),0,YEARFRAC(MAX($P$34*($B157+$I$38-1),IF(AND($L$37=0,$P$34=0),"",$L$37-1)),MIN(BL$38,$E157),$P$20))-SUM($BF157:BK157))</f>
        <v>0</v>
      </c>
      <c r="BM157" s="446">
        <f>IF($E157=0,0,IF(MIN(BM$38,$E157)&lt;MAX($P$34*($B157+$I$38-1),IF(AND($L$37=0,$P$34=0),"",$L$37-1)),0,YEARFRAC(MAX($P$34*($B157+$I$38-1),IF(AND($L$37=0,$P$34=0),"",$L$37-1)),MIN(BM$38,$E157),$P$20))-SUM($BF157:BL157))</f>
        <v>0</v>
      </c>
      <c r="BN157" s="446">
        <f>IF($E157=0,0,IF(MIN(BN$38,$E157)&lt;MAX($P$34*($B157+$I$38-1),IF(AND($L$37=0,$P$34=0),"",$L$37-1)),0,YEARFRAC(MAX($P$34*($B157+$I$38-1),IF(AND($L$37=0,$P$34=0),"",$L$37-1)),MIN(BN$38,$E157),$P$20))-SUM($BF157:BM157))</f>
        <v>0</v>
      </c>
      <c r="BO157" s="446">
        <f>IF($E157=0,0,IF(MIN(BO$38,$E157)&lt;MAX($P$34*($B157+$I$38-1),IF(AND($L$37=0,$P$34=0),"",$L$37-1)),0,YEARFRAC(MAX($P$34*($B157+$I$38-1),IF(AND($L$37=0,$P$34=0),"",$L$37-1)),MIN(BO$38,$E157),$P$20))-SUM($BF157:BN157))</f>
        <v>0</v>
      </c>
      <c r="BP157" s="446">
        <f>IF($E157=0,0,IF(MIN(BP$38,$E157)&lt;MAX($P$34*($B157+$I$38-1),IF(AND($L$37=0,$P$34=0),"",$L$37-1)),0,YEARFRAC(MAX($P$34*($B157+$I$38-1),IF(AND($L$37=0,$P$34=0),"",$L$37-1)),MIN(BP$38,$E157),$P$20))-SUM($BF157:BO157))</f>
        <v>0</v>
      </c>
      <c r="BQ157" s="446">
        <f>IF($E157=0,0,IF(MIN(BQ$38,$E157)&lt;MAX($P$34*($B157+$I$38-1),IF(AND($L$37=0,$P$34=0),"",$L$37-1)),0,YEARFRAC(MAX($P$34*($B157+$I$38-1),IF(AND($L$37=0,$P$34=0),"",$L$37-1)),MIN(BQ$38,$E157),$P$20))-SUM($BF157:BP157))</f>
        <v>0</v>
      </c>
      <c r="BR157" s="446">
        <f>IF($E157=0,0,IF(MIN(BR$38,$E157)&lt;MAX($P$34*($B157+$I$38-1),IF(AND($L$37=0,$P$34=0),"",$L$37-1)),0,YEARFRAC(MAX($P$34*($B157+$I$38-1),IF(AND($L$37=0,$P$34=0),"",$L$37-1)),MIN(BR$38,$E157),$P$20))-SUM($BF157:BQ157))</f>
        <v>0</v>
      </c>
      <c r="BS157" s="446">
        <f>IF($E157=0,0,IF(MIN(BS$38,$E157)&lt;MAX($P$34*($B157+$I$38-1),IF(AND($L$37=0,$P$34=0),"",$L$37-1)),0,YEARFRAC(MAX($P$34*($B157+$I$38-1),IF(AND($L$37=0,$P$34=0),"",$L$37-1)),MIN(BS$38,$E157),$P$20))-SUM($BF157:BR157))</f>
        <v>0</v>
      </c>
      <c r="BT157" s="446">
        <f>IF($E157=0,0,IF(MIN(BT$38,$E157)&lt;MAX($P$34*($B157+$I$38-1),IF(AND($L$37=0,$P$34=0),"",$L$37-1)),0,YEARFRAC(MAX($P$34*($B157+$I$38-1),IF(AND($L$37=0,$P$34=0),"",$L$37-1)),MIN(BT$38,$E157),$P$20))-SUM($BF157:BS157))</f>
        <v>0</v>
      </c>
      <c r="BU157" s="446">
        <f>IF($E157=0,0,IF(MIN(BU$38,$E157)&lt;MAX($P$34*($B157+$I$38-1),IF(AND($L$37=0,$P$34=0),"",$L$37-1)),0,YEARFRAC(MAX($P$34*($B157+$I$38-1),IF(AND($L$37=0,$P$34=0),"",$L$37-1)),MIN(BU$38,$E157),$P$20))-SUM($BF157:BT157))</f>
        <v>0</v>
      </c>
      <c r="BV157" s="446">
        <f>IF($E157=0,0,IF(MIN(BV$38,$E157)&lt;MAX($P$34*($B157+$I$38-1),IF(AND($L$37=0,$P$34=0),"",$L$37-1)),0,YEARFRAC(MAX($P$34*($B157+$I$38-1),IF(AND($L$37=0,$P$34=0),"",$L$37-1)),MIN(BV$38,$E157),$P$20))-SUM($BF157:BU157))</f>
        <v>0</v>
      </c>
      <c r="BW157" s="446">
        <f>IF($E157=0,0,IF(MIN(BW$38,$E157)&lt;MAX($P$34*($B157+$I$38-1),IF(AND($L$37=0,$P$34=0),"",$L$37-1)),0,YEARFRAC(MAX($P$34*($B157+$I$38-1),IF(AND($L$37=0,$P$34=0),"",$L$37-1)),MIN(BW$38,$E157),$P$20))-SUM($BF157:BV157))</f>
        <v>0</v>
      </c>
      <c r="BX157" s="446">
        <f>IF($E157=0,0,IF(MIN(BX$38,$E157)&lt;MAX($P$34*($B157+$I$38-1),IF(AND($L$37=0,$P$34=0),"",$L$37-1)),0,YEARFRAC(MAX($P$34*($B157+$I$38-1),IF(AND($L$37=0,$P$34=0),"",$L$37-1)),MIN(BX$38,$E157),$P$20))-SUM($BF157:BW157))</f>
        <v>0</v>
      </c>
      <c r="BY157" s="446">
        <f>IF($E157=0,0,IF(MIN(BY$38,$E157)&lt;MAX($P$34*($B157+$I$38-1),IF(AND($L$37=0,$P$34=0),"",$L$37-1)),0,YEARFRAC(MAX($P$34*($B157+$I$38-1),IF(AND($L$37=0,$P$34=0),"",$L$37-1)),MIN(BY$38,$E157),$P$20))-SUM($BF157:BX157))</f>
        <v>0</v>
      </c>
      <c r="BZ157" s="446">
        <f>IF($E157=0,0,IF(MIN(BZ$38,$E157)&lt;MAX($P$34*($B157+$I$38-1),IF(AND($L$37=0,$P$34=0),"",$L$37-1)),0,YEARFRAC(MAX($P$34*($B157+$I$38-1),IF(AND($L$37=0,$P$34=0),"",$L$37-1)),MIN(BZ$38,$E157),$P$20))-SUM($BF157:BY157))</f>
        <v>0</v>
      </c>
      <c r="CA157" s="446">
        <f>IF($E157=0,0,IF(MIN(CA$38,$E157)&lt;MAX($P$34*($B157+$I$38-1),IF(AND($L$37=0,$P$34=0),"",$L$37-1)),0,YEARFRAC(MAX($P$34*($B157+$I$38-1),IF(AND($L$37=0,$P$34=0),"",$L$37-1)),MIN(CA$38,$E157),$P$20))-SUM($BF157:BZ157))</f>
        <v>0</v>
      </c>
      <c r="CB157" s="446">
        <f>IF($E157=0,0,IF(MIN(CB$38,$E157)&lt;MAX($P$34*($B157+$I$38-1),IF(AND($L$37=0,$P$34=0),"",$L$37-1)),0,YEARFRAC(MAX($P$34*($B157+$I$38-1),IF(AND($L$37=0,$P$34=0),"",$L$37-1)),MIN(CB$38,$E157),$P$20))-SUM($BF157:CA157))</f>
        <v>0</v>
      </c>
      <c r="CC157" s="446">
        <f>IF($E157=0,0,IF(MIN(CC$38,$E157)&lt;MAX($P$34*($B157+$I$38-1),IF(AND($L$37=0,$P$34=0),"",$L$37-1)),0,YEARFRAC(MAX($P$34*($B157+$I$38-1),IF(AND($L$37=0,$P$34=0),"",$L$37-1)),MIN(CC$38,$E157),$P$20))-SUM($BF157:CB157))</f>
        <v>0</v>
      </c>
      <c r="CD157" s="446">
        <f>IF($E157=0,0,IF(MIN(CD$38,$E157)&lt;MAX($P$34*($B157+$I$38-1),IF(AND($L$37=0,$P$34=0),"",$L$37-1)),0,YEARFRAC(MAX($P$34*($B157+$I$38-1),IF(AND($L$37=0,$P$34=0),"",$L$37-1)),MIN(CD$38,$E157),$P$20))-SUM($BF157:CC157))</f>
        <v>0</v>
      </c>
      <c r="CE157" s="446">
        <f>IF($E157=0,0,IF(MIN(CE$38,$E157)&lt;MAX($P$34*($B157+$I$38-1),IF(AND($L$37=0,$P$34=0),"",$L$37-1)),0,YEARFRAC(MAX($P$34*($B157+$I$38-1),IF(AND($L$37=0,$P$34=0),"",$L$37-1)),MIN(CE$38,$E157),$P$20))-SUM($BF157:CD157))</f>
        <v>0</v>
      </c>
      <c r="CF157" s="446">
        <f>IF($E157=0,0,IF(MIN(CF$38,$E157)&lt;MAX($P$34*($B157+$I$38-1),IF(AND($L$37=0,$P$34=0),"",$L$37-1)),0,YEARFRAC(MAX($P$34*($B157+$I$38-1),IF(AND($L$37=0,$P$34=0),"",$L$37-1)),MIN(CF$38,$E157),$P$20))-SUM($BF157:CE157))</f>
        <v>0</v>
      </c>
      <c r="CG157" s="446">
        <f>IF($E157=0,0,IF(MIN(CG$38,$E157)&lt;MAX($P$34*($B157+$I$38-1),IF(AND($L$37=0,$P$34=0),"",$L$37-1)),0,YEARFRAC(MAX($P$34*($B157+$I$38-1),IF(AND($L$37=0,$P$34=0),"",$L$37-1)),MIN(CG$38,$E157),$P$20))-SUM($BF157:CF157))</f>
        <v>0</v>
      </c>
      <c r="CH157" s="446">
        <f>IF($E157=0,0,IF(MIN(CH$38,$E157)&lt;MAX($P$34*($B157+$I$38-1),IF(AND($L$37=0,$P$34=0),"",$L$37-1)),0,YEARFRAC(MAX($P$34*($B157+$I$38-1),IF(AND($L$37=0,$P$34=0),"",$L$37-1)),MIN(CH$38,$E157),$P$20))-SUM($BF157:CG157))</f>
        <v>0</v>
      </c>
      <c r="CI157" s="446">
        <f>IF($E157=0,0,IF(MIN(CI$38,$E157)&lt;MAX($P$34*($B157+$I$38-1),IF(AND($L$37=0,$P$34=0),"",$L$37-1)),0,YEARFRAC(MAX($P$34*($B157+$I$38-1),IF(AND($L$37=0,$P$34=0),"",$L$37-1)),MIN(CI$38,$E157),$P$20))-SUM($BF157:CH157))</f>
        <v>0</v>
      </c>
      <c r="CJ157" s="446">
        <f>IF($E157=0,0,IF(MIN(CJ$38,$E157)&lt;MAX($P$34*($B157+$I$38-1),IF(AND($L$37=0,$P$34=0),"",$L$37-1)),0,YEARFRAC(MAX($P$34*($B157+$I$38-1),IF(AND($L$37=0,$P$34=0),"",$L$37-1)),MIN(CJ$38,$E157),$P$20))-SUM($BF157:CI157))</f>
        <v>0</v>
      </c>
      <c r="CK157" s="446">
        <f>IF($E157=0,0,IF(MIN(CK$38,$E157)&lt;MAX($P$34*($B157+$I$38-1),IF(AND($L$37=0,$P$34=0),"",$L$37-1)),0,YEARFRAC(MAX($P$34*($B157+$I$38-1),IF(AND($L$37=0,$P$34=0),"",$L$37-1)),MIN(CK$38,$E157),$P$20))-SUM($BF157:CJ157))</f>
        <v>0</v>
      </c>
      <c r="CL157" s="446">
        <f>IF($E157=0,0,IF(MIN(CL$38,$E157)&lt;MAX($P$34*($B157+$I$38-1),IF(AND($L$37=0,$P$34=0),"",$L$37-1)),0,YEARFRAC(MAX($P$34*($B157+$I$38-1),IF(AND($L$37=0,$P$34=0),"",$L$37-1)),MIN(CL$38,$E157),$P$20))-SUM($BF157:CK157))</f>
        <v>0</v>
      </c>
      <c r="CM157" s="446">
        <f>IF($E157=0,0,IF(MIN(CM$38,$E157)&lt;MAX($P$34*($B157+$I$38-1),IF(AND($L$37=0,$P$34=0),"",$L$37-1)),0,YEARFRAC(MAX($P$34*($B157+$I$38-1),IF(AND($L$37=0,$P$34=0),"",$L$37-1)),MIN(CM$38,$E157),$P$20))-SUM($BF157:CL157))</f>
        <v>0</v>
      </c>
      <c r="CN157" s="446">
        <f>IF($E157=0,0,IF(MIN(CN$38,$E157)&lt;MAX($P$34*($B157+$I$38-1),IF(AND($L$37=0,$P$34=0),"",$L$37-1)),0,YEARFRAC(MAX($P$34*($B157+$I$38-1),IF(AND($L$37=0,$P$34=0),"",$L$37-1)),MIN(CN$38,$E157),$P$20))-SUM($BF157:CM157))</f>
        <v>0</v>
      </c>
      <c r="CO157" s="446">
        <f>IF($E157=0,0,IF(MIN(CO$38,$E157)&lt;MAX($P$34*($B157+$I$38-1),IF(AND($L$37=0,$P$34=0),"",$L$37-1)),0,YEARFRAC(MAX($P$34*($B157+$I$38-1),IF(AND($L$37=0,$P$34=0),"",$L$37-1)),MIN(CO$38,$E157),$P$20))-SUM($BF157:CN157))</f>
        <v>0</v>
      </c>
      <c r="CP157" s="446">
        <f>IF($E157=0,0,IF(MIN(CP$38,$E157)&lt;MAX($P$34*($B157+$I$38-1),IF(AND($L$37=0,$P$34=0),"",$L$37-1)),0,YEARFRAC(MAX($P$34*($B157+$I$38-1),IF(AND($L$37=0,$P$34=0),"",$L$37-1)),MIN(CP$38,$E157),$P$20))-SUM($BF157:CO157))</f>
        <v>0</v>
      </c>
      <c r="CQ157" s="446">
        <f>IF($E157=0,0,IF(MIN(CQ$38,$E157)&lt;MAX($P$34*($B157+$I$38-1),IF(AND($L$37=0,$P$34=0),"",$L$37-1)),0,YEARFRAC(MAX($P$34*($B157+$I$38-1),IF(AND($L$37=0,$P$34=0),"",$L$37-1)),MIN(CQ$38,$E157),$P$20))-SUM($BF157:CP157))</f>
        <v>0</v>
      </c>
    </row>
    <row r="158" spans="1:95" s="446" customFormat="1" ht="11.25" hidden="1" customHeight="1" x14ac:dyDescent="0.2">
      <c r="A158" s="152"/>
      <c r="B158" s="153" t="str">
        <f t="shared" si="26"/>
        <v/>
      </c>
      <c r="C158" s="29" t="str">
        <f>IF(B158="","",IF($L$35="SELIC - TRIBUTOS",VLOOKUP(DATE(YEAR($D$19),MONTH($D$19)-1,1),ÍNDICES!$A:$DE,HLOOKUP($BL$25,ÍNDICES!$B$3:$T$4,2)+11)-VLOOKUP(B158,ÍNDICES!$A:$DE,HLOOKUP($BL$25,ÍNDICES!$B$3:$T$4,2)+11)+1%,IF(C$38=$W$26,$J$35,IF(ISERROR(IF(B158&gt;$D$19,1,VLOOKUP(DATE(YEAR(B158),MONTH(B158)+IF($C$35=$S$23,1,0),1),ÍNDICES!$A:$DE,$Z$35+1))),"",IF(B158&gt;$D$19,1,VLOOKUP(DATE(YEAR(B158),MONTH(B158)+IF($C$35=$S$23,1,0),1),ÍNDICES!$A:$DE,$Z$35+1))))))</f>
        <v/>
      </c>
      <c r="D158" s="154" t="str">
        <f>IF(ISERROR(IF(OR($D$38=$Y$27,$B158=""),"",VLOOKUP(B158,ÍNDICES!A:DE,AF$35+1))),"",IF(OR($D$38=$Y$27,$B158=""),"",VLOOKUP(B158,ÍNDICES!A:DE,AF$35+1)))</f>
        <v/>
      </c>
      <c r="E158" s="153"/>
      <c r="F158" s="29" t="str">
        <f>IF(E158="","",IF($L$35="SELIC - TRIBUTOS",VLOOKUP(DATE(YEAR($D$19),MONTH($D$19)-1,1),ÍNDICES!$A:$DE,HLOOKUP($BL$25,ÍNDICES!$B$3:$T$4,2)+11)-VLOOKUP(E158,ÍNDICES!$A:$DE,HLOOKUP($BL$25,ÍNDICES!$B$3:$T$4,2)+11)+1%,IF(F$38=$W$26,$J$35,IF(ISERROR(IF(E158&gt;$D$19,1,VLOOKUP(DATE(YEAR(E158),MONTH(E158)+IF($C$35=$S$23,1,0),1),ÍNDICES!$A:$DE,$Z$35+1))),"",IF(E158&gt;$D$19,1,VLOOKUP(DATE(YEAR(E158),MONTH(E158)+IF($C$35=$S$23,1,0),1),ÍNDICES!$A:$DE,$Z$35+1))))))</f>
        <v/>
      </c>
      <c r="G158" s="155"/>
      <c r="H158" s="156" t="str">
        <f t="shared" si="22"/>
        <v/>
      </c>
      <c r="I158" s="29" t="str">
        <f t="shared" si="16"/>
        <v/>
      </c>
      <c r="J158" s="5">
        <f t="shared" si="17"/>
        <v>0</v>
      </c>
      <c r="K158" s="20">
        <f t="shared" ca="1" si="18"/>
        <v>0</v>
      </c>
      <c r="L158" s="5">
        <f t="shared" ca="1" si="19"/>
        <v>0</v>
      </c>
      <c r="M158" s="64">
        <f t="shared" si="23"/>
        <v>0</v>
      </c>
      <c r="N158" s="61">
        <f t="shared" ca="1" si="24"/>
        <v>0</v>
      </c>
      <c r="O158" s="5">
        <f t="shared" ca="1" si="25"/>
        <v>0</v>
      </c>
      <c r="P158" s="446" t="e">
        <f t="shared" si="20"/>
        <v>#VALUE!</v>
      </c>
      <c r="Q158" s="446" t="e">
        <f>IF(OR($B158="",MIN(Q$38,$D$19)&lt;MAX($P$34*($B158+IF($R$17="Distrato",$I$38-1,0)),IF(AND($L$37=0,$P$34=0),"",$L$37-1),IF($R$17="Distrato",$E158,0))),0,YEARFRAC(MAX($P$34*($B158+IF($R$17="Distrato",$I$38-1,0)),IF(AND($L$37=0,$P$34=0),"",$L$37-1),IF($R$17="Distrato",$E158,0)),MIN(Q$38,$D$19),$P$20))-SUM($P158:P158)</f>
        <v>#VALUE!</v>
      </c>
      <c r="R158" s="446" t="e">
        <f>IF(OR($B158="",MIN(R$38,$D$19)&lt;MAX($P$34*($B158+IF($R$17="Distrato",$I$38-1,0)),IF(AND($L$37=0,$P$34=0),"",$L$37-1),IF($R$17="Distrato",$E158,0))),0,YEARFRAC(MAX($P$34*($B158+IF($R$17="Distrato",$I$38-1,0)),IF(AND($L$37=0,$P$34=0),"",$L$37-1),IF($R$17="Distrato",$E158,0)),MIN(R$38,$D$19),$P$20))-SUM($P158:Q158)</f>
        <v>#VALUE!</v>
      </c>
      <c r="S158" s="446" t="e">
        <f>IF(OR($B158="",MIN(S$38,$D$19)&lt;MAX($P$34*($B158+IF($R$17="Distrato",$I$38-1,0)),IF(AND($L$37=0,$P$34=0),"",$L$37-1),IF($R$17="Distrato",$E158,0))),0,YEARFRAC(MAX($P$34*($B158+IF($R$17="Distrato",$I$38-1,0)),IF(AND($L$37=0,$P$34=0),"",$L$37-1),IF($R$17="Distrato",$E158,0)),MIN(S$38,$D$19),$P$20))-SUM($P158:R158)</f>
        <v>#VALUE!</v>
      </c>
      <c r="T158" s="446" t="e">
        <f>IF(OR($B158="",MIN(T$38,$D$19)&lt;MAX($P$34*($B158+IF($R$17="Distrato",$I$38-1,0)),IF(AND($L$37=0,$P$34=0),"",$L$37-1),IF($R$17="Distrato",$E158,0))),0,YEARFRAC(MAX($P$34*($B158+IF($R$17="Distrato",$I$38-1,0)),IF(AND($L$37=0,$P$34=0),"",$L$37-1),IF($R$17="Distrato",$E158,0)),MIN(T$38,$D$19),$P$20))-SUM($P158:S158)</f>
        <v>#VALUE!</v>
      </c>
      <c r="U158" s="446" t="e">
        <f>IF(OR($B158="",MIN(U$38,$D$19)&lt;MAX($P$34*($B158+IF($R$17="Distrato",$I$38-1,0)),IF(AND($L$37=0,$P$34=0),"",$L$37-1),IF($R$17="Distrato",$E158,0))),0,YEARFRAC(MAX($P$34*($B158+IF($R$17="Distrato",$I$38-1,0)),IF(AND($L$37=0,$P$34=0),"",$L$37-1),IF($R$17="Distrato",$E158,0)),MIN(U$38,$D$19),$P$20))-SUM($P158:T158)</f>
        <v>#VALUE!</v>
      </c>
      <c r="V158" s="446" t="e">
        <f>IF(OR($B158="",MIN(V$38,$D$19)&lt;MAX($P$34*($B158+IF($R$17="Distrato",$I$38-1,0)),IF(AND($L$37=0,$P$34=0),"",$L$37-1),IF($R$17="Distrato",$E158,0))),0,YEARFRAC(MAX($P$34*($B158+IF($R$17="Distrato",$I$38-1,0)),IF(AND($L$37=0,$P$34=0),"",$L$37-1),IF($R$17="Distrato",$E158,0)),MIN(V$38,$D$19),$P$20))-SUM($P158:U158)</f>
        <v>#VALUE!</v>
      </c>
      <c r="W158" s="446" t="e">
        <f>IF(OR($B158="",MIN(W$38,$D$19)&lt;MAX($P$34*($B158+IF($R$17="Distrato",$I$38-1,0)),IF(AND($L$37=0,$P$34=0),"",$L$37-1),IF($R$17="Distrato",$E158,0))),0,YEARFRAC(MAX($P$34*($B158+IF($R$17="Distrato",$I$38-1,0)),IF(AND($L$37=0,$P$34=0),"",$L$37-1),IF($R$17="Distrato",$E158,0)),MIN(W$38,$D$19),$P$20))-SUM($P158:V158)</f>
        <v>#VALUE!</v>
      </c>
      <c r="X158" s="446" t="e">
        <f>IF(OR($B158="",MIN(X$38,$D$19)&lt;MAX($P$34*($B158+IF($R$17="Distrato",$I$38-1,0)),IF(AND($L$37=0,$P$34=0),"",$L$37-1),IF($R$17="Distrato",$E158,0))),0,YEARFRAC(MAX($P$34*($B158+IF($R$17="Distrato",$I$38-1,0)),IF(AND($L$37=0,$P$34=0),"",$L$37-1),IF($R$17="Distrato",$E158,0)),MIN(X$38,$D$19),$P$20))-SUM($P158:W158)</f>
        <v>#VALUE!</v>
      </c>
      <c r="Y158" s="446" t="e">
        <f>IF(OR($B158="",MIN(Y$38,$D$19)&lt;MAX($P$34*($B158+IF($R$17="Distrato",$I$38-1,0)),IF(AND($L$37=0,$P$34=0),"",$L$37-1),IF($R$17="Distrato",$E158,0))),0,YEARFRAC(MAX($P$34*($B158+IF($R$17="Distrato",$I$38-1,0)),IF(AND($L$37=0,$P$34=0),"",$L$37-1),IF($R$17="Distrato",$E158,0)),MIN(Y$38,$D$19),$P$20))-SUM($P158:X158)</f>
        <v>#VALUE!</v>
      </c>
      <c r="Z158" s="446" t="e">
        <f>IF(OR($B158="",MIN(Z$38,$D$19)&lt;MAX($P$34*($B158+IF($R$17="Distrato",$I$38-1,0)),IF(AND($L$37=0,$P$34=0),"",$L$37-1),IF($R$17="Distrato",$E158,0))),0,YEARFRAC(MAX($P$34*($B158+IF($R$17="Distrato",$I$38-1,0)),IF(AND($L$37=0,$P$34=0),"",$L$37-1),IF($R$17="Distrato",$E158,0)),MIN(Z$38,$D$19),$P$20))-SUM($P158:Y158)</f>
        <v>#VALUE!</v>
      </c>
      <c r="AA158" s="446" t="e">
        <f>IF(OR($B158="",MIN(AA$38,$D$19)&lt;MAX($P$34*($B158+IF($R$17="Distrato",$I$38-1,0)),IF(AND($L$37=0,$P$34=0),"",$L$37-1),IF($R$17="Distrato",$E158,0))),0,YEARFRAC(MAX($P$34*($B158+IF($R$17="Distrato",$I$38-1,0)),IF(AND($L$37=0,$P$34=0),"",$L$37-1),IF($R$17="Distrato",$E158,0)),MIN(AA$38,$D$19),$P$20))-SUM($P158:Z158)</f>
        <v>#VALUE!</v>
      </c>
      <c r="AB158" s="446" t="e">
        <f>IF(OR($B158="",MIN(AB$38,$D$19)&lt;MAX($P$34*($B158+IF($R$17="Distrato",$I$38-1,0)),IF(AND($L$37=0,$P$34=0),"",$L$37-1),IF($R$17="Distrato",$E158,0))),0,YEARFRAC(MAX($P$34*($B158+IF($R$17="Distrato",$I$38-1,0)),IF(AND($L$37=0,$P$34=0),"",$L$37-1),IF($R$17="Distrato",$E158,0)),MIN(AB$38,$D$19),$P$20))-SUM($P158:AA158)</f>
        <v>#VALUE!</v>
      </c>
      <c r="AC158" s="446" t="e">
        <f>IF(OR($B158="",MIN(AC$38,$D$19)&lt;MAX($P$34*($B158+IF($R$17="Distrato",$I$38-1,0)),IF(AND($L$37=0,$P$34=0),"",$L$37-1),IF($R$17="Distrato",$E158,0))),0,YEARFRAC(MAX($P$34*($B158+IF($R$17="Distrato",$I$38-1,0)),IF(AND($L$37=0,$P$34=0),"",$L$37-1),IF($R$17="Distrato",$E158,0)),MIN(AC$38,$D$19),$P$20))-SUM($P158:AB158)</f>
        <v>#VALUE!</v>
      </c>
      <c r="AD158" s="446" t="e">
        <f>IF(OR($B158="",MIN(AD$38,$D$19)&lt;MAX($P$34*($B158+IF($R$17="Distrato",$I$38-1,0)),IF(AND($L$37=0,$P$34=0),"",$L$37-1),IF($R$17="Distrato",$E158,0))),0,YEARFRAC(MAX($P$34*($B158+IF($R$17="Distrato",$I$38-1,0)),IF(AND($L$37=0,$P$34=0),"",$L$37-1),IF($R$17="Distrato",$E158,0)),MIN(AD$38,$D$19),$P$20))-SUM($P158:AC158)</f>
        <v>#VALUE!</v>
      </c>
      <c r="AE158" s="446" t="e">
        <f>IF(OR($B158="",MIN(AE$38,$D$19)&lt;MAX($P$34*($B158+IF($R$17="Distrato",$I$38-1,0)),IF(AND($L$37=0,$P$34=0),"",$L$37-1),IF($R$17="Distrato",$E158,0))),0,YEARFRAC(MAX($P$34*($B158+IF($R$17="Distrato",$I$38-1,0)),IF(AND($L$37=0,$P$34=0),"",$L$37-1),IF($R$17="Distrato",$E158,0)),MIN(AE$38,$D$19),$P$20))-SUM($P158:AD158)</f>
        <v>#VALUE!</v>
      </c>
      <c r="AF158" s="446" t="e">
        <f>IF(OR($B158="",MIN(AF$38,$D$19)&lt;MAX($P$34*($B158+IF($R$17="Distrato",$I$38-1,0)),IF(AND($L$37=0,$P$34=0),"",$L$37-1),IF($R$17="Distrato",$E158,0))),0,YEARFRAC(MAX($P$34*($B158+IF($R$17="Distrato",$I$38-1,0)),IF(AND($L$37=0,$P$34=0),"",$L$37-1),IF($R$17="Distrato",$E158,0)),MIN(AF$38,$D$19),$P$20))-SUM($P158:AE158)</f>
        <v>#VALUE!</v>
      </c>
      <c r="AG158" s="446" t="e">
        <f>IF(OR($B158="",MIN(AG$38,$D$19)&lt;MAX($P$34*($B158+IF($R$17="Distrato",$I$38-1,0)),IF(AND($L$37=0,$P$34=0),"",$L$37-1),IF($R$17="Distrato",$E158,0))),0,YEARFRAC(MAX($P$34*($B158+IF($R$17="Distrato",$I$38-1,0)),IF(AND($L$37=0,$P$34=0),"",$L$37-1),IF($R$17="Distrato",$E158,0)),MIN(AG$38,$D$19),$P$20))-SUM($P158:AF158)</f>
        <v>#VALUE!</v>
      </c>
      <c r="AH158" s="446" t="e">
        <f>IF(OR($B158="",MIN(AH$38,$D$19)&lt;MAX($P$34*($B158+IF($R$17="Distrato",$I$38-1,0)),IF(AND($L$37=0,$P$34=0),"",$L$37-1),IF($R$17="Distrato",$E158,0))),0,YEARFRAC(MAX($P$34*($B158+IF($R$17="Distrato",$I$38-1,0)),IF(AND($L$37=0,$P$34=0),"",$L$37-1),IF($R$17="Distrato",$E158,0)),MIN(AH$38,$D$19),$P$20))-SUM($P158:AG158)</f>
        <v>#VALUE!</v>
      </c>
      <c r="AI158" s="446" t="e">
        <f>IF(OR($B158="",MIN(AI$38,$D$19)&lt;MAX($P$34*($B158+IF($R$17="Distrato",$I$38-1,0)),IF(AND($L$37=0,$P$34=0),"",$L$37-1),IF($R$17="Distrato",$E158,0))),0,YEARFRAC(MAX($P$34*($B158+IF($R$17="Distrato",$I$38-1,0)),IF(AND($L$37=0,$P$34=0),"",$L$37-1),IF($R$17="Distrato",$E158,0)),MIN(AI$38,$D$19),$P$20))-SUM($P158:AH158)</f>
        <v>#VALUE!</v>
      </c>
      <c r="AJ158" s="446" t="e">
        <f>IF(OR($B158="",MIN(AJ$38,$D$19)&lt;MAX($P$34*($B158+IF($R$17="Distrato",$I$38-1,0)),IF(AND($L$37=0,$P$34=0),"",$L$37-1),IF($R$17="Distrato",$E158,0))),0,YEARFRAC(MAX($P$34*($B158+IF($R$17="Distrato",$I$38-1,0)),IF(AND($L$37=0,$P$34=0),"",$L$37-1),IF($R$17="Distrato",$E158,0)),MIN(AJ$38,$D$19),$P$20))-SUM($P158:AI158)</f>
        <v>#VALUE!</v>
      </c>
      <c r="AK158" s="446" t="e">
        <f>IF(OR($B158="",MIN(AK$38,$D$19)&lt;MAX($P$34*($B158+IF($R$17="Distrato",$I$38-1,0)),IF(AND($L$37=0,$P$34=0),"",$L$37-1),IF($R$17="Distrato",$E158,0))),0,YEARFRAC(MAX($P$34*($B158+IF($R$17="Distrato",$I$38-1,0)),IF(AND($L$37=0,$P$34=0),"",$L$37-1),IF($R$17="Distrato",$E158,0)),MIN(AK$38,$D$19),$P$20))-SUM($P158:AJ158)</f>
        <v>#VALUE!</v>
      </c>
      <c r="AL158" s="446" t="e">
        <f>IF(OR($B158="",MIN(AL$38,$D$19)&lt;MAX($P$34*($B158+IF($R$17="Distrato",$I$38-1,0)),IF(AND($L$37=0,$P$34=0),"",$L$37-1),IF($R$17="Distrato",$E158,0))),0,YEARFRAC(MAX($P$34*($B158+IF($R$17="Distrato",$I$38-1,0)),IF(AND($L$37=0,$P$34=0),"",$L$37-1),IF($R$17="Distrato",$E158,0)),MIN(AL$38,$D$19),$P$20))-SUM($P158:AK158)</f>
        <v>#VALUE!</v>
      </c>
      <c r="AM158" s="446" t="e">
        <f>IF(OR($B158="",MIN(AM$38,$D$19)&lt;MAX($P$34*($B158+IF($R$17="Distrato",$I$38-1,0)),IF(AND($L$37=0,$P$34=0),"",$L$37-1),IF($R$17="Distrato",$E158,0))),0,YEARFRAC(MAX($P$34*($B158+IF($R$17="Distrato",$I$38-1,0)),IF(AND($L$37=0,$P$34=0),"",$L$37-1),IF($R$17="Distrato",$E158,0)),MIN(AM$38,$D$19),$P$20))-SUM($P158:AL158)</f>
        <v>#VALUE!</v>
      </c>
      <c r="AN158" s="446" t="e">
        <f>IF(OR($B158="",MIN(AN$38,$D$19)&lt;MAX($P$34*($B158+IF($R$17="Distrato",$I$38-1,0)),IF(AND($L$37=0,$P$34=0),"",$L$37-1),IF($R$17="Distrato",$E158,0))),0,YEARFRAC(MAX($P$34*($B158+IF($R$17="Distrato",$I$38-1,0)),IF(AND($L$37=0,$P$34=0),"",$L$37-1),IF($R$17="Distrato",$E158,0)),MIN(AN$38,$D$19),$P$20))-SUM($P158:AM158)</f>
        <v>#VALUE!</v>
      </c>
      <c r="AO158" s="446" t="e">
        <f>IF(OR($B158="",MIN(AO$38,$D$19)&lt;MAX($P$34*($B158+IF($R$17="Distrato",$I$38-1,0)),IF(AND($L$37=0,$P$34=0),"",$L$37-1),IF($R$17="Distrato",$E158,0))),0,YEARFRAC(MAX($P$34*($B158+IF($R$17="Distrato",$I$38-1,0)),IF(AND($L$37=0,$P$34=0),"",$L$37-1),IF($R$17="Distrato",$E158,0)),MIN(AO$38,$D$19),$P$20))-SUM($P158:AN158)</f>
        <v>#VALUE!</v>
      </c>
      <c r="AP158" s="446" t="e">
        <f>IF(OR($B158="",MIN(AP$38,$D$19)&lt;MAX($P$34*($B158+IF($R$17="Distrato",$I$38-1,0)),IF(AND($L$37=0,$P$34=0),"",$L$37-1),IF($R$17="Distrato",$E158,0))),0,YEARFRAC(MAX($P$34*($B158+IF($R$17="Distrato",$I$38-1,0)),IF(AND($L$37=0,$P$34=0),"",$L$37-1),IF($R$17="Distrato",$E158,0)),MIN(AP$38,$D$19),$P$20))-SUM($P158:AO158)</f>
        <v>#VALUE!</v>
      </c>
      <c r="AQ158" s="446" t="e">
        <f>IF(OR($B158="",MIN(AQ$38,$D$19)&lt;MAX($P$34*($B158+IF($R$17="Distrato",$I$38-1,0)),IF(AND($L$37=0,$P$34=0),"",$L$37-1),IF($R$17="Distrato",$E158,0))),0,YEARFRAC(MAX($P$34*($B158+IF($R$17="Distrato",$I$38-1,0)),IF(AND($L$37=0,$P$34=0),"",$L$37-1),IF($R$17="Distrato",$E158,0)),MIN(AQ$38,$D$19),$P$20))-SUM($P158:AP158)</f>
        <v>#VALUE!</v>
      </c>
      <c r="AR158" s="446" t="e">
        <f>IF(OR($B158="",MIN(AR$38,$D$19)&lt;MAX($P$34*($B158+IF($R$17="Distrato",$I$38-1,0)),IF(AND($L$37=0,$P$34=0),"",$L$37-1),IF($R$17="Distrato",$E158,0))),0,YEARFRAC(MAX($P$34*($B158+IF($R$17="Distrato",$I$38-1,0)),IF(AND($L$37=0,$P$34=0),"",$L$37-1),IF($R$17="Distrato",$E158,0)),MIN(AR$38,$D$19),$P$20))-SUM($P158:AQ158)</f>
        <v>#VALUE!</v>
      </c>
      <c r="AS158" s="446" t="e">
        <f>IF(OR($B158="",MIN(AS$38,$D$19)&lt;MAX($P$34*($B158+IF($R$17="Distrato",$I$38-1,0)),IF(AND($L$37=0,$P$34=0),"",$L$37-1),IF($R$17="Distrato",$E158,0))),0,YEARFRAC(MAX($P$34*($B158+IF($R$17="Distrato",$I$38-1,0)),IF(AND($L$37=0,$P$34=0),"",$L$37-1),IF($R$17="Distrato",$E158,0)),MIN(AS$38,$D$19),$P$20))-SUM($P158:AR158)</f>
        <v>#VALUE!</v>
      </c>
      <c r="AT158" s="446" t="e">
        <f>IF(OR($B158="",MIN(AT$38,$D$19)&lt;MAX($P$34*($B158+IF($R$17="Distrato",$I$38-1,0)),IF(AND($L$37=0,$P$34=0),"",$L$37-1),IF($R$17="Distrato",$E158,0))),0,YEARFRAC(MAX($P$34*($B158+IF($R$17="Distrato",$I$38-1,0)),IF(AND($L$37=0,$P$34=0),"",$L$37-1),IF($R$17="Distrato",$E158,0)),MIN(AT$38,$D$19),$P$20))-SUM($P158:AS158)</f>
        <v>#VALUE!</v>
      </c>
      <c r="AU158" s="446" t="e">
        <f>IF(OR($B158="",MIN(AU$38,$D$19)&lt;MAX($P$34*($B158+IF($R$17="Distrato",$I$38-1,0)),IF(AND($L$37=0,$P$34=0),"",$L$37-1),IF($R$17="Distrato",$E158,0))),0,YEARFRAC(MAX($P$34*($B158+IF($R$17="Distrato",$I$38-1,0)),IF(AND($L$37=0,$P$34=0),"",$L$37-1),IF($R$17="Distrato",$E158,0)),MIN(AU$38,$D$19),$P$20))-SUM($P158:AT158)</f>
        <v>#VALUE!</v>
      </c>
      <c r="AV158" s="446" t="e">
        <f>IF(OR($B158="",MIN(AV$38,$D$19)&lt;MAX($P$34*($B158+IF($R$17="Distrato",$I$38-1,0)),IF(AND($L$37=0,$P$34=0),"",$L$37-1),IF($R$17="Distrato",$E158,0))),0,YEARFRAC(MAX($P$34*($B158+IF($R$17="Distrato",$I$38-1,0)),IF(AND($L$37=0,$P$34=0),"",$L$37-1),IF($R$17="Distrato",$E158,0)),MIN(AV$38,$D$19),$P$20))-SUM($P158:AU158)</f>
        <v>#VALUE!</v>
      </c>
      <c r="AW158" s="446" t="e">
        <f>IF(OR($B158="",MIN(AW$38,$D$19)&lt;MAX($P$34*($B158+IF($R$17="Distrato",$I$38-1,0)),IF(AND($L$37=0,$P$34=0),"",$L$37-1),IF($R$17="Distrato",$E158,0))),0,YEARFRAC(MAX($P$34*($B158+IF($R$17="Distrato",$I$38-1,0)),IF(AND($L$37=0,$P$34=0),"",$L$37-1),IF($R$17="Distrato",$E158,0)),MIN(AW$38,$D$19),$P$20))-SUM($P158:AV158)</f>
        <v>#VALUE!</v>
      </c>
      <c r="AX158" s="446" t="e">
        <f>IF(OR($B158="",MIN(AX$38,$D$19)&lt;MAX($P$34*($B158+IF($R$17="Distrato",$I$38-1,0)),IF(AND($L$37=0,$P$34=0),"",$L$37-1),IF($R$17="Distrato",$E158,0))),0,YEARFRAC(MAX($P$34*($B158+IF($R$17="Distrato",$I$38-1,0)),IF(AND($L$37=0,$P$34=0),"",$L$37-1),IF($R$17="Distrato",$E158,0)),MIN(AX$38,$D$19),$P$20))-SUM($P158:AW158)</f>
        <v>#VALUE!</v>
      </c>
      <c r="AY158" s="446" t="e">
        <f>IF(OR($B158="",MIN(AY$38,$D$19)&lt;MAX($P$34*($B158+IF($R$17="Distrato",$I$38-1,0)),IF(AND($L$37=0,$P$34=0),"",$L$37-1),IF($R$17="Distrato",$E158,0))),0,YEARFRAC(MAX($P$34*($B158+IF($R$17="Distrato",$I$38-1,0)),IF(AND($L$37=0,$P$34=0),"",$L$37-1),IF($R$17="Distrato",$E158,0)),MIN(AY$38,$D$19),$P$20))-SUM($P158:AX158)</f>
        <v>#VALUE!</v>
      </c>
      <c r="AZ158" s="446" t="e">
        <f>IF(OR($B158="",MIN(AZ$38,$D$19)&lt;MAX($P$34*($B158+IF($R$17="Distrato",$I$38-1,0)),IF(AND($L$37=0,$P$34=0),"",$L$37-1),IF($R$17="Distrato",$E158,0))),0,YEARFRAC(MAX($P$34*($B158+IF($R$17="Distrato",$I$38-1,0)),IF(AND($L$37=0,$P$34=0),"",$L$37-1),IF($R$17="Distrato",$E158,0)),MIN(AZ$38,$D$19),$P$20))-SUM($P158:AY158)</f>
        <v>#VALUE!</v>
      </c>
      <c r="BA158" s="446" t="e">
        <f>IF(OR($B158="",MIN(BA$38,$D$19)&lt;MAX($P$34*($B158+IF($R$17="Distrato",$I$38-1,0)),IF(AND($L$37=0,$P$34=0),"",$L$37-1),IF($R$17="Distrato",$E158,0))),0,YEARFRAC(MAX($P$34*($B158+IF($R$17="Distrato",$I$38-1,0)),IF(AND($L$37=0,$P$34=0),"",$L$37-1),IF($R$17="Distrato",$E158,0)),MIN(BA$38,$D$19),$P$20))-SUM($P158:AZ158)</f>
        <v>#VALUE!</v>
      </c>
      <c r="BB158" s="447"/>
      <c r="BF158" s="446">
        <f t="shared" si="21"/>
        <v>0</v>
      </c>
      <c r="BG158" s="446">
        <f>IF($E158=0,0,IF(MIN(BG$38,$E158)&lt;MAX($P$34*($B158+$I$38-1),IF(AND($L$37=0,$P$34=0),"",$L$37-1)),0,YEARFRAC(MAX($P$34*($B158+$I$38-1),IF(AND($L$37=0,$P$34=0),"",$L$37-1)),MIN(BG$38,$E158),$P$20))-SUM($BF158:BF158))</f>
        <v>0</v>
      </c>
      <c r="BH158" s="446">
        <f>IF($E158=0,0,IF(MIN(BH$38,$E158)&lt;MAX($P$34*($B158+$I$38-1),IF(AND($L$37=0,$P$34=0),"",$L$37-1)),0,YEARFRAC(MAX($P$34*($B158+$I$38-1),IF(AND($L$37=0,$P$34=0),"",$L$37-1)),MIN(BH$38,$E158),$P$20))-SUM($BF158:BG158))</f>
        <v>0</v>
      </c>
      <c r="BI158" s="446">
        <f>IF($E158=0,0,IF(MIN(BI$38,$E158)&lt;MAX($P$34*($B158+$I$38-1),IF(AND($L$37=0,$P$34=0),"",$L$37-1)),0,YEARFRAC(MAX($P$34*($B158+$I$38-1),IF(AND($L$37=0,$P$34=0),"",$L$37-1)),MIN(BI$38,$E158),$P$20))-SUM($BF158:BH158))</f>
        <v>0</v>
      </c>
      <c r="BJ158" s="446">
        <f>IF($E158=0,0,IF(MIN(BJ$38,$E158)&lt;MAX($P$34*($B158+$I$38-1),IF(AND($L$37=0,$P$34=0),"",$L$37-1)),0,YEARFRAC(MAX($P$34*($B158+$I$38-1),IF(AND($L$37=0,$P$34=0),"",$L$37-1)),MIN(BJ$38,$E158),$P$20))-SUM($BF158:BI158))</f>
        <v>0</v>
      </c>
      <c r="BK158" s="446">
        <f>IF($E158=0,0,IF(MIN(BK$38,$E158)&lt;MAX($P$34*($B158+$I$38-1),IF(AND($L$37=0,$P$34=0),"",$L$37-1)),0,YEARFRAC(MAX($P$34*($B158+$I$38-1),IF(AND($L$37=0,$P$34=0),"",$L$37-1)),MIN(BK$38,$E158),$P$20))-SUM($BF158:BJ158))</f>
        <v>0</v>
      </c>
      <c r="BL158" s="446">
        <f>IF($E158=0,0,IF(MIN(BL$38,$E158)&lt;MAX($P$34*($B158+$I$38-1),IF(AND($L$37=0,$P$34=0),"",$L$37-1)),0,YEARFRAC(MAX($P$34*($B158+$I$38-1),IF(AND($L$37=0,$P$34=0),"",$L$37-1)),MIN(BL$38,$E158),$P$20))-SUM($BF158:BK158))</f>
        <v>0</v>
      </c>
      <c r="BM158" s="446">
        <f>IF($E158=0,0,IF(MIN(BM$38,$E158)&lt;MAX($P$34*($B158+$I$38-1),IF(AND($L$37=0,$P$34=0),"",$L$37-1)),0,YEARFRAC(MAX($P$34*($B158+$I$38-1),IF(AND($L$37=0,$P$34=0),"",$L$37-1)),MIN(BM$38,$E158),$P$20))-SUM($BF158:BL158))</f>
        <v>0</v>
      </c>
      <c r="BN158" s="446">
        <f>IF($E158=0,0,IF(MIN(BN$38,$E158)&lt;MAX($P$34*($B158+$I$38-1),IF(AND($L$37=0,$P$34=0),"",$L$37-1)),0,YEARFRAC(MAX($P$34*($B158+$I$38-1),IF(AND($L$37=0,$P$34=0),"",$L$37-1)),MIN(BN$38,$E158),$P$20))-SUM($BF158:BM158))</f>
        <v>0</v>
      </c>
      <c r="BO158" s="446">
        <f>IF($E158=0,0,IF(MIN(BO$38,$E158)&lt;MAX($P$34*($B158+$I$38-1),IF(AND($L$37=0,$P$34=0),"",$L$37-1)),0,YEARFRAC(MAX($P$34*($B158+$I$38-1),IF(AND($L$37=0,$P$34=0),"",$L$37-1)),MIN(BO$38,$E158),$P$20))-SUM($BF158:BN158))</f>
        <v>0</v>
      </c>
      <c r="BP158" s="446">
        <f>IF($E158=0,0,IF(MIN(BP$38,$E158)&lt;MAX($P$34*($B158+$I$38-1),IF(AND($L$37=0,$P$34=0),"",$L$37-1)),0,YEARFRAC(MAX($P$34*($B158+$I$38-1),IF(AND($L$37=0,$P$34=0),"",$L$37-1)),MIN(BP$38,$E158),$P$20))-SUM($BF158:BO158))</f>
        <v>0</v>
      </c>
      <c r="BQ158" s="446">
        <f>IF($E158=0,0,IF(MIN(BQ$38,$E158)&lt;MAX($P$34*($B158+$I$38-1),IF(AND($L$37=0,$P$34=0),"",$L$37-1)),0,YEARFRAC(MAX($P$34*($B158+$I$38-1),IF(AND($L$37=0,$P$34=0),"",$L$37-1)),MIN(BQ$38,$E158),$P$20))-SUM($BF158:BP158))</f>
        <v>0</v>
      </c>
      <c r="BR158" s="446">
        <f>IF($E158=0,0,IF(MIN(BR$38,$E158)&lt;MAX($P$34*($B158+$I$38-1),IF(AND($L$37=0,$P$34=0),"",$L$37-1)),0,YEARFRAC(MAX($P$34*($B158+$I$38-1),IF(AND($L$37=0,$P$34=0),"",$L$37-1)),MIN(BR$38,$E158),$P$20))-SUM($BF158:BQ158))</f>
        <v>0</v>
      </c>
      <c r="BS158" s="446">
        <f>IF($E158=0,0,IF(MIN(BS$38,$E158)&lt;MAX($P$34*($B158+$I$38-1),IF(AND($L$37=0,$P$34=0),"",$L$37-1)),0,YEARFRAC(MAX($P$34*($B158+$I$38-1),IF(AND($L$37=0,$P$34=0),"",$L$37-1)),MIN(BS$38,$E158),$P$20))-SUM($BF158:BR158))</f>
        <v>0</v>
      </c>
      <c r="BT158" s="446">
        <f>IF($E158=0,0,IF(MIN(BT$38,$E158)&lt;MAX($P$34*($B158+$I$38-1),IF(AND($L$37=0,$P$34=0),"",$L$37-1)),0,YEARFRAC(MAX($P$34*($B158+$I$38-1),IF(AND($L$37=0,$P$34=0),"",$L$37-1)),MIN(BT$38,$E158),$P$20))-SUM($BF158:BS158))</f>
        <v>0</v>
      </c>
      <c r="BU158" s="446">
        <f>IF($E158=0,0,IF(MIN(BU$38,$E158)&lt;MAX($P$34*($B158+$I$38-1),IF(AND($L$37=0,$P$34=0),"",$L$37-1)),0,YEARFRAC(MAX($P$34*($B158+$I$38-1),IF(AND($L$37=0,$P$34=0),"",$L$37-1)),MIN(BU$38,$E158),$P$20))-SUM($BF158:BT158))</f>
        <v>0</v>
      </c>
      <c r="BV158" s="446">
        <f>IF($E158=0,0,IF(MIN(BV$38,$E158)&lt;MAX($P$34*($B158+$I$38-1),IF(AND($L$37=0,$P$34=0),"",$L$37-1)),0,YEARFRAC(MAX($P$34*($B158+$I$38-1),IF(AND($L$37=0,$P$34=0),"",$L$37-1)),MIN(BV$38,$E158),$P$20))-SUM($BF158:BU158))</f>
        <v>0</v>
      </c>
      <c r="BW158" s="446">
        <f>IF($E158=0,0,IF(MIN(BW$38,$E158)&lt;MAX($P$34*($B158+$I$38-1),IF(AND($L$37=0,$P$34=0),"",$L$37-1)),0,YEARFRAC(MAX($P$34*($B158+$I$38-1),IF(AND($L$37=0,$P$34=0),"",$L$37-1)),MIN(BW$38,$E158),$P$20))-SUM($BF158:BV158))</f>
        <v>0</v>
      </c>
      <c r="BX158" s="446">
        <f>IF($E158=0,0,IF(MIN(BX$38,$E158)&lt;MAX($P$34*($B158+$I$38-1),IF(AND($L$37=0,$P$34=0),"",$L$37-1)),0,YEARFRAC(MAX($P$34*($B158+$I$38-1),IF(AND($L$37=0,$P$34=0),"",$L$37-1)),MIN(BX$38,$E158),$P$20))-SUM($BF158:BW158))</f>
        <v>0</v>
      </c>
      <c r="BY158" s="446">
        <f>IF($E158=0,0,IF(MIN(BY$38,$E158)&lt;MAX($P$34*($B158+$I$38-1),IF(AND($L$37=0,$P$34=0),"",$L$37-1)),0,YEARFRAC(MAX($P$34*($B158+$I$38-1),IF(AND($L$37=0,$P$34=0),"",$L$37-1)),MIN(BY$38,$E158),$P$20))-SUM($BF158:BX158))</f>
        <v>0</v>
      </c>
      <c r="BZ158" s="446">
        <f>IF($E158=0,0,IF(MIN(BZ$38,$E158)&lt;MAX($P$34*($B158+$I$38-1),IF(AND($L$37=0,$P$34=0),"",$L$37-1)),0,YEARFRAC(MAX($P$34*($B158+$I$38-1),IF(AND($L$37=0,$P$34=0),"",$L$37-1)),MIN(BZ$38,$E158),$P$20))-SUM($BF158:BY158))</f>
        <v>0</v>
      </c>
      <c r="CA158" s="446">
        <f>IF($E158=0,0,IF(MIN(CA$38,$E158)&lt;MAX($P$34*($B158+$I$38-1),IF(AND($L$37=0,$P$34=0),"",$L$37-1)),0,YEARFRAC(MAX($P$34*($B158+$I$38-1),IF(AND($L$37=0,$P$34=0),"",$L$37-1)),MIN(CA$38,$E158),$P$20))-SUM($BF158:BZ158))</f>
        <v>0</v>
      </c>
      <c r="CB158" s="446">
        <f>IF($E158=0,0,IF(MIN(CB$38,$E158)&lt;MAX($P$34*($B158+$I$38-1),IF(AND($L$37=0,$P$34=0),"",$L$37-1)),0,YEARFRAC(MAX($P$34*($B158+$I$38-1),IF(AND($L$37=0,$P$34=0),"",$L$37-1)),MIN(CB$38,$E158),$P$20))-SUM($BF158:CA158))</f>
        <v>0</v>
      </c>
      <c r="CC158" s="446">
        <f>IF($E158=0,0,IF(MIN(CC$38,$E158)&lt;MAX($P$34*($B158+$I$38-1),IF(AND($L$37=0,$P$34=0),"",$L$37-1)),0,YEARFRAC(MAX($P$34*($B158+$I$38-1),IF(AND($L$37=0,$P$34=0),"",$L$37-1)),MIN(CC$38,$E158),$P$20))-SUM($BF158:CB158))</f>
        <v>0</v>
      </c>
      <c r="CD158" s="446">
        <f>IF($E158=0,0,IF(MIN(CD$38,$E158)&lt;MAX($P$34*($B158+$I$38-1),IF(AND($L$37=0,$P$34=0),"",$L$37-1)),0,YEARFRAC(MAX($P$34*($B158+$I$38-1),IF(AND($L$37=0,$P$34=0),"",$L$37-1)),MIN(CD$38,$E158),$P$20))-SUM($BF158:CC158))</f>
        <v>0</v>
      </c>
      <c r="CE158" s="446">
        <f>IF($E158=0,0,IF(MIN(CE$38,$E158)&lt;MAX($P$34*($B158+$I$38-1),IF(AND($L$37=0,$P$34=0),"",$L$37-1)),0,YEARFRAC(MAX($P$34*($B158+$I$38-1),IF(AND($L$37=0,$P$34=0),"",$L$37-1)),MIN(CE$38,$E158),$P$20))-SUM($BF158:CD158))</f>
        <v>0</v>
      </c>
      <c r="CF158" s="446">
        <f>IF($E158=0,0,IF(MIN(CF$38,$E158)&lt;MAX($P$34*($B158+$I$38-1),IF(AND($L$37=0,$P$34=0),"",$L$37-1)),0,YEARFRAC(MAX($P$34*($B158+$I$38-1),IF(AND($L$37=0,$P$34=0),"",$L$37-1)),MIN(CF$38,$E158),$P$20))-SUM($BF158:CE158))</f>
        <v>0</v>
      </c>
      <c r="CG158" s="446">
        <f>IF($E158=0,0,IF(MIN(CG$38,$E158)&lt;MAX($P$34*($B158+$I$38-1),IF(AND($L$37=0,$P$34=0),"",$L$37-1)),0,YEARFRAC(MAX($P$34*($B158+$I$38-1),IF(AND($L$37=0,$P$34=0),"",$L$37-1)),MIN(CG$38,$E158),$P$20))-SUM($BF158:CF158))</f>
        <v>0</v>
      </c>
      <c r="CH158" s="446">
        <f>IF($E158=0,0,IF(MIN(CH$38,$E158)&lt;MAX($P$34*($B158+$I$38-1),IF(AND($L$37=0,$P$34=0),"",$L$37-1)),0,YEARFRAC(MAX($P$34*($B158+$I$38-1),IF(AND($L$37=0,$P$34=0),"",$L$37-1)),MIN(CH$38,$E158),$P$20))-SUM($BF158:CG158))</f>
        <v>0</v>
      </c>
      <c r="CI158" s="446">
        <f>IF($E158=0,0,IF(MIN(CI$38,$E158)&lt;MAX($P$34*($B158+$I$38-1),IF(AND($L$37=0,$P$34=0),"",$L$37-1)),0,YEARFRAC(MAX($P$34*($B158+$I$38-1),IF(AND($L$37=0,$P$34=0),"",$L$37-1)),MIN(CI$38,$E158),$P$20))-SUM($BF158:CH158))</f>
        <v>0</v>
      </c>
      <c r="CJ158" s="446">
        <f>IF($E158=0,0,IF(MIN(CJ$38,$E158)&lt;MAX($P$34*($B158+$I$38-1),IF(AND($L$37=0,$P$34=0),"",$L$37-1)),0,YEARFRAC(MAX($P$34*($B158+$I$38-1),IF(AND($L$37=0,$P$34=0),"",$L$37-1)),MIN(CJ$38,$E158),$P$20))-SUM($BF158:CI158))</f>
        <v>0</v>
      </c>
      <c r="CK158" s="446">
        <f>IF($E158=0,0,IF(MIN(CK$38,$E158)&lt;MAX($P$34*($B158+$I$38-1),IF(AND($L$37=0,$P$34=0),"",$L$37-1)),0,YEARFRAC(MAX($P$34*($B158+$I$38-1),IF(AND($L$37=0,$P$34=0),"",$L$37-1)),MIN(CK$38,$E158),$P$20))-SUM($BF158:CJ158))</f>
        <v>0</v>
      </c>
      <c r="CL158" s="446">
        <f>IF($E158=0,0,IF(MIN(CL$38,$E158)&lt;MAX($P$34*($B158+$I$38-1),IF(AND($L$37=0,$P$34=0),"",$L$37-1)),0,YEARFRAC(MAX($P$34*($B158+$I$38-1),IF(AND($L$37=0,$P$34=0),"",$L$37-1)),MIN(CL$38,$E158),$P$20))-SUM($BF158:CK158))</f>
        <v>0</v>
      </c>
      <c r="CM158" s="446">
        <f>IF($E158=0,0,IF(MIN(CM$38,$E158)&lt;MAX($P$34*($B158+$I$38-1),IF(AND($L$37=0,$P$34=0),"",$L$37-1)),0,YEARFRAC(MAX($P$34*($B158+$I$38-1),IF(AND($L$37=0,$P$34=0),"",$L$37-1)),MIN(CM$38,$E158),$P$20))-SUM($BF158:CL158))</f>
        <v>0</v>
      </c>
      <c r="CN158" s="446">
        <f>IF($E158=0,0,IF(MIN(CN$38,$E158)&lt;MAX($P$34*($B158+$I$38-1),IF(AND($L$37=0,$P$34=0),"",$L$37-1)),0,YEARFRAC(MAX($P$34*($B158+$I$38-1),IF(AND($L$37=0,$P$34=0),"",$L$37-1)),MIN(CN$38,$E158),$P$20))-SUM($BF158:CM158))</f>
        <v>0</v>
      </c>
      <c r="CO158" s="446">
        <f>IF($E158=0,0,IF(MIN(CO$38,$E158)&lt;MAX($P$34*($B158+$I$38-1),IF(AND($L$37=0,$P$34=0),"",$L$37-1)),0,YEARFRAC(MAX($P$34*($B158+$I$38-1),IF(AND($L$37=0,$P$34=0),"",$L$37-1)),MIN(CO$38,$E158),$P$20))-SUM($BF158:CN158))</f>
        <v>0</v>
      </c>
      <c r="CP158" s="446">
        <f>IF($E158=0,0,IF(MIN(CP$38,$E158)&lt;MAX($P$34*($B158+$I$38-1),IF(AND($L$37=0,$P$34=0),"",$L$37-1)),0,YEARFRAC(MAX($P$34*($B158+$I$38-1),IF(AND($L$37=0,$P$34=0),"",$L$37-1)),MIN(CP$38,$E158),$P$20))-SUM($BF158:CO158))</f>
        <v>0</v>
      </c>
      <c r="CQ158" s="446">
        <f>IF($E158=0,0,IF(MIN(CQ$38,$E158)&lt;MAX($P$34*($B158+$I$38-1),IF(AND($L$37=0,$P$34=0),"",$L$37-1)),0,YEARFRAC(MAX($P$34*($B158+$I$38-1),IF(AND($L$37=0,$P$34=0),"",$L$37-1)),MIN(CQ$38,$E158),$P$20))-SUM($BF158:CP158))</f>
        <v>0</v>
      </c>
    </row>
    <row r="159" spans="1:95" s="446" customFormat="1" ht="11.25" hidden="1" customHeight="1" x14ac:dyDescent="0.2">
      <c r="A159" s="152"/>
      <c r="B159" s="153" t="str">
        <f t="shared" si="26"/>
        <v/>
      </c>
      <c r="C159" s="29" t="str">
        <f>IF(B159="","",IF($L$35="SELIC - TRIBUTOS",VLOOKUP(DATE(YEAR($D$19),MONTH($D$19)-1,1),ÍNDICES!$A:$DE,HLOOKUP($BL$25,ÍNDICES!$B$3:$T$4,2)+11)-VLOOKUP(B159,ÍNDICES!$A:$DE,HLOOKUP($BL$25,ÍNDICES!$B$3:$T$4,2)+11)+1%,IF(C$38=$W$26,$J$35,IF(ISERROR(IF(B159&gt;$D$19,1,VLOOKUP(DATE(YEAR(B159),MONTH(B159)+IF($C$35=$S$23,1,0),1),ÍNDICES!$A:$DE,$Z$35+1))),"",IF(B159&gt;$D$19,1,VLOOKUP(DATE(YEAR(B159),MONTH(B159)+IF($C$35=$S$23,1,0),1),ÍNDICES!$A:$DE,$Z$35+1))))))</f>
        <v/>
      </c>
      <c r="D159" s="154" t="str">
        <f>IF(ISERROR(IF(OR($D$38=$Y$27,$B159=""),"",VLOOKUP(B159,ÍNDICES!A:DE,AF$35+1))),"",IF(OR($D$38=$Y$27,$B159=""),"",VLOOKUP(B159,ÍNDICES!A:DE,AF$35+1)))</f>
        <v/>
      </c>
      <c r="E159" s="153"/>
      <c r="F159" s="29" t="str">
        <f>IF(E159="","",IF($L$35="SELIC - TRIBUTOS",VLOOKUP(DATE(YEAR($D$19),MONTH($D$19)-1,1),ÍNDICES!$A:$DE,HLOOKUP($BL$25,ÍNDICES!$B$3:$T$4,2)+11)-VLOOKUP(E159,ÍNDICES!$A:$DE,HLOOKUP($BL$25,ÍNDICES!$B$3:$T$4,2)+11)+1%,IF(F$38=$W$26,$J$35,IF(ISERROR(IF(E159&gt;$D$19,1,VLOOKUP(DATE(YEAR(E159),MONTH(E159)+IF($C$35=$S$23,1,0),1),ÍNDICES!$A:$DE,$Z$35+1))),"",IF(E159&gt;$D$19,1,VLOOKUP(DATE(YEAR(E159),MONTH(E159)+IF($C$35=$S$23,1,0),1),ÍNDICES!$A:$DE,$Z$35+1))))))</f>
        <v/>
      </c>
      <c r="G159" s="155"/>
      <c r="H159" s="156" t="str">
        <f t="shared" si="22"/>
        <v/>
      </c>
      <c r="I159" s="29" t="str">
        <f t="shared" si="16"/>
        <v/>
      </c>
      <c r="J159" s="5">
        <f t="shared" si="17"/>
        <v>0</v>
      </c>
      <c r="K159" s="20">
        <f t="shared" ca="1" si="18"/>
        <v>0</v>
      </c>
      <c r="L159" s="5">
        <f t="shared" ca="1" si="19"/>
        <v>0</v>
      </c>
      <c r="M159" s="64">
        <f t="shared" si="23"/>
        <v>0</v>
      </c>
      <c r="N159" s="61">
        <f t="shared" ca="1" si="24"/>
        <v>0</v>
      </c>
      <c r="O159" s="5">
        <f t="shared" ca="1" si="25"/>
        <v>0</v>
      </c>
      <c r="P159" s="446" t="e">
        <f t="shared" si="20"/>
        <v>#VALUE!</v>
      </c>
      <c r="Q159" s="446" t="e">
        <f>IF(OR($B159="",MIN(Q$38,$D$19)&lt;MAX($P$34*($B159+IF($R$17="Distrato",$I$38-1,0)),IF(AND($L$37=0,$P$34=0),"",$L$37-1),IF($R$17="Distrato",$E159,0))),0,YEARFRAC(MAX($P$34*($B159+IF($R$17="Distrato",$I$38-1,0)),IF(AND($L$37=0,$P$34=0),"",$L$37-1),IF($R$17="Distrato",$E159,0)),MIN(Q$38,$D$19),$P$20))-SUM($P159:P159)</f>
        <v>#VALUE!</v>
      </c>
      <c r="R159" s="446" t="e">
        <f>IF(OR($B159="",MIN(R$38,$D$19)&lt;MAX($P$34*($B159+IF($R$17="Distrato",$I$38-1,0)),IF(AND($L$37=0,$P$34=0),"",$L$37-1),IF($R$17="Distrato",$E159,0))),0,YEARFRAC(MAX($P$34*($B159+IF($R$17="Distrato",$I$38-1,0)),IF(AND($L$37=0,$P$34=0),"",$L$37-1),IF($R$17="Distrato",$E159,0)),MIN(R$38,$D$19),$P$20))-SUM($P159:Q159)</f>
        <v>#VALUE!</v>
      </c>
      <c r="S159" s="446" t="e">
        <f>IF(OR($B159="",MIN(S$38,$D$19)&lt;MAX($P$34*($B159+IF($R$17="Distrato",$I$38-1,0)),IF(AND($L$37=0,$P$34=0),"",$L$37-1),IF($R$17="Distrato",$E159,0))),0,YEARFRAC(MAX($P$34*($B159+IF($R$17="Distrato",$I$38-1,0)),IF(AND($L$37=0,$P$34=0),"",$L$37-1),IF($R$17="Distrato",$E159,0)),MIN(S$38,$D$19),$P$20))-SUM($P159:R159)</f>
        <v>#VALUE!</v>
      </c>
      <c r="T159" s="446" t="e">
        <f>IF(OR($B159="",MIN(T$38,$D$19)&lt;MAX($P$34*($B159+IF($R$17="Distrato",$I$38-1,0)),IF(AND($L$37=0,$P$34=0),"",$L$37-1),IF($R$17="Distrato",$E159,0))),0,YEARFRAC(MAX($P$34*($B159+IF($R$17="Distrato",$I$38-1,0)),IF(AND($L$37=0,$P$34=0),"",$L$37-1),IF($R$17="Distrato",$E159,0)),MIN(T$38,$D$19),$P$20))-SUM($P159:S159)</f>
        <v>#VALUE!</v>
      </c>
      <c r="U159" s="446" t="e">
        <f>IF(OR($B159="",MIN(U$38,$D$19)&lt;MAX($P$34*($B159+IF($R$17="Distrato",$I$38-1,0)),IF(AND($L$37=0,$P$34=0),"",$L$37-1),IF($R$17="Distrato",$E159,0))),0,YEARFRAC(MAX($P$34*($B159+IF($R$17="Distrato",$I$38-1,0)),IF(AND($L$37=0,$P$34=0),"",$L$37-1),IF($R$17="Distrato",$E159,0)),MIN(U$38,$D$19),$P$20))-SUM($P159:T159)</f>
        <v>#VALUE!</v>
      </c>
      <c r="V159" s="446" t="e">
        <f>IF(OR($B159="",MIN(V$38,$D$19)&lt;MAX($P$34*($B159+IF($R$17="Distrato",$I$38-1,0)),IF(AND($L$37=0,$P$34=0),"",$L$37-1),IF($R$17="Distrato",$E159,0))),0,YEARFRAC(MAX($P$34*($B159+IF($R$17="Distrato",$I$38-1,0)),IF(AND($L$37=0,$P$34=0),"",$L$37-1),IF($R$17="Distrato",$E159,0)),MIN(V$38,$D$19),$P$20))-SUM($P159:U159)</f>
        <v>#VALUE!</v>
      </c>
      <c r="W159" s="446" t="e">
        <f>IF(OR($B159="",MIN(W$38,$D$19)&lt;MAX($P$34*($B159+IF($R$17="Distrato",$I$38-1,0)),IF(AND($L$37=0,$P$34=0),"",$L$37-1),IF($R$17="Distrato",$E159,0))),0,YEARFRAC(MAX($P$34*($B159+IF($R$17="Distrato",$I$38-1,0)),IF(AND($L$37=0,$P$34=0),"",$L$37-1),IF($R$17="Distrato",$E159,0)),MIN(W$38,$D$19),$P$20))-SUM($P159:V159)</f>
        <v>#VALUE!</v>
      </c>
      <c r="X159" s="446" t="e">
        <f>IF(OR($B159="",MIN(X$38,$D$19)&lt;MAX($P$34*($B159+IF($R$17="Distrato",$I$38-1,0)),IF(AND($L$37=0,$P$34=0),"",$L$37-1),IF($R$17="Distrato",$E159,0))),0,YEARFRAC(MAX($P$34*($B159+IF($R$17="Distrato",$I$38-1,0)),IF(AND($L$37=0,$P$34=0),"",$L$37-1),IF($R$17="Distrato",$E159,0)),MIN(X$38,$D$19),$P$20))-SUM($P159:W159)</f>
        <v>#VALUE!</v>
      </c>
      <c r="Y159" s="446" t="e">
        <f>IF(OR($B159="",MIN(Y$38,$D$19)&lt;MAX($P$34*($B159+IF($R$17="Distrato",$I$38-1,0)),IF(AND($L$37=0,$P$34=0),"",$L$37-1),IF($R$17="Distrato",$E159,0))),0,YEARFRAC(MAX($P$34*($B159+IF($R$17="Distrato",$I$38-1,0)),IF(AND($L$37=0,$P$34=0),"",$L$37-1),IF($R$17="Distrato",$E159,0)),MIN(Y$38,$D$19),$P$20))-SUM($P159:X159)</f>
        <v>#VALUE!</v>
      </c>
      <c r="Z159" s="446" t="e">
        <f>IF(OR($B159="",MIN(Z$38,$D$19)&lt;MAX($P$34*($B159+IF($R$17="Distrato",$I$38-1,0)),IF(AND($L$37=0,$P$34=0),"",$L$37-1),IF($R$17="Distrato",$E159,0))),0,YEARFRAC(MAX($P$34*($B159+IF($R$17="Distrato",$I$38-1,0)),IF(AND($L$37=0,$P$34=0),"",$L$37-1),IF($R$17="Distrato",$E159,0)),MIN(Z$38,$D$19),$P$20))-SUM($P159:Y159)</f>
        <v>#VALUE!</v>
      </c>
      <c r="AA159" s="446" t="e">
        <f>IF(OR($B159="",MIN(AA$38,$D$19)&lt;MAX($P$34*($B159+IF($R$17="Distrato",$I$38-1,0)),IF(AND($L$37=0,$P$34=0),"",$L$37-1),IF($R$17="Distrato",$E159,0))),0,YEARFRAC(MAX($P$34*($B159+IF($R$17="Distrato",$I$38-1,0)),IF(AND($L$37=0,$P$34=0),"",$L$37-1),IF($R$17="Distrato",$E159,0)),MIN(AA$38,$D$19),$P$20))-SUM($P159:Z159)</f>
        <v>#VALUE!</v>
      </c>
      <c r="AB159" s="446" t="e">
        <f>IF(OR($B159="",MIN(AB$38,$D$19)&lt;MAX($P$34*($B159+IF($R$17="Distrato",$I$38-1,0)),IF(AND($L$37=0,$P$34=0),"",$L$37-1),IF($R$17="Distrato",$E159,0))),0,YEARFRAC(MAX($P$34*($B159+IF($R$17="Distrato",$I$38-1,0)),IF(AND($L$37=0,$P$34=0),"",$L$37-1),IF($R$17="Distrato",$E159,0)),MIN(AB$38,$D$19),$P$20))-SUM($P159:AA159)</f>
        <v>#VALUE!</v>
      </c>
      <c r="AC159" s="446" t="e">
        <f>IF(OR($B159="",MIN(AC$38,$D$19)&lt;MAX($P$34*($B159+IF($R$17="Distrato",$I$38-1,0)),IF(AND($L$37=0,$P$34=0),"",$L$37-1),IF($R$17="Distrato",$E159,0))),0,YEARFRAC(MAX($P$34*($B159+IF($R$17="Distrato",$I$38-1,0)),IF(AND($L$37=0,$P$34=0),"",$L$37-1),IF($R$17="Distrato",$E159,0)),MIN(AC$38,$D$19),$P$20))-SUM($P159:AB159)</f>
        <v>#VALUE!</v>
      </c>
      <c r="AD159" s="446" t="e">
        <f>IF(OR($B159="",MIN(AD$38,$D$19)&lt;MAX($P$34*($B159+IF($R$17="Distrato",$I$38-1,0)),IF(AND($L$37=0,$P$34=0),"",$L$37-1),IF($R$17="Distrato",$E159,0))),0,YEARFRAC(MAX($P$34*($B159+IF($R$17="Distrato",$I$38-1,0)),IF(AND($L$37=0,$P$34=0),"",$L$37-1),IF($R$17="Distrato",$E159,0)),MIN(AD$38,$D$19),$P$20))-SUM($P159:AC159)</f>
        <v>#VALUE!</v>
      </c>
      <c r="AE159" s="446" t="e">
        <f>IF(OR($B159="",MIN(AE$38,$D$19)&lt;MAX($P$34*($B159+IF($R$17="Distrato",$I$38-1,0)),IF(AND($L$37=0,$P$34=0),"",$L$37-1),IF($R$17="Distrato",$E159,0))),0,YEARFRAC(MAX($P$34*($B159+IF($R$17="Distrato",$I$38-1,0)),IF(AND($L$37=0,$P$34=0),"",$L$37-1),IF($R$17="Distrato",$E159,0)),MIN(AE$38,$D$19),$P$20))-SUM($P159:AD159)</f>
        <v>#VALUE!</v>
      </c>
      <c r="AF159" s="446" t="e">
        <f>IF(OR($B159="",MIN(AF$38,$D$19)&lt;MAX($P$34*($B159+IF($R$17="Distrato",$I$38-1,0)),IF(AND($L$37=0,$P$34=0),"",$L$37-1),IF($R$17="Distrato",$E159,0))),0,YEARFRAC(MAX($P$34*($B159+IF($R$17="Distrato",$I$38-1,0)),IF(AND($L$37=0,$P$34=0),"",$L$37-1),IF($R$17="Distrato",$E159,0)),MIN(AF$38,$D$19),$P$20))-SUM($P159:AE159)</f>
        <v>#VALUE!</v>
      </c>
      <c r="AG159" s="446" t="e">
        <f>IF(OR($B159="",MIN(AG$38,$D$19)&lt;MAX($P$34*($B159+IF($R$17="Distrato",$I$38-1,0)),IF(AND($L$37=0,$P$34=0),"",$L$37-1),IF($R$17="Distrato",$E159,0))),0,YEARFRAC(MAX($P$34*($B159+IF($R$17="Distrato",$I$38-1,0)),IF(AND($L$37=0,$P$34=0),"",$L$37-1),IF($R$17="Distrato",$E159,0)),MIN(AG$38,$D$19),$P$20))-SUM($P159:AF159)</f>
        <v>#VALUE!</v>
      </c>
      <c r="AH159" s="446" t="e">
        <f>IF(OR($B159="",MIN(AH$38,$D$19)&lt;MAX($P$34*($B159+IF($R$17="Distrato",$I$38-1,0)),IF(AND($L$37=0,$P$34=0),"",$L$37-1),IF($R$17="Distrato",$E159,0))),0,YEARFRAC(MAX($P$34*($B159+IF($R$17="Distrato",$I$38-1,0)),IF(AND($L$37=0,$P$34=0),"",$L$37-1),IF($R$17="Distrato",$E159,0)),MIN(AH$38,$D$19),$P$20))-SUM($P159:AG159)</f>
        <v>#VALUE!</v>
      </c>
      <c r="AI159" s="446" t="e">
        <f>IF(OR($B159="",MIN(AI$38,$D$19)&lt;MAX($P$34*($B159+IF($R$17="Distrato",$I$38-1,0)),IF(AND($L$37=0,$P$34=0),"",$L$37-1),IF($R$17="Distrato",$E159,0))),0,YEARFRAC(MAX($P$34*($B159+IF($R$17="Distrato",$I$38-1,0)),IF(AND($L$37=0,$P$34=0),"",$L$37-1),IF($R$17="Distrato",$E159,0)),MIN(AI$38,$D$19),$P$20))-SUM($P159:AH159)</f>
        <v>#VALUE!</v>
      </c>
      <c r="AJ159" s="446" t="e">
        <f>IF(OR($B159="",MIN(AJ$38,$D$19)&lt;MAX($P$34*($B159+IF($R$17="Distrato",$I$38-1,0)),IF(AND($L$37=0,$P$34=0),"",$L$37-1),IF($R$17="Distrato",$E159,0))),0,YEARFRAC(MAX($P$34*($B159+IF($R$17="Distrato",$I$38-1,0)),IF(AND($L$37=0,$P$34=0),"",$L$37-1),IF($R$17="Distrato",$E159,0)),MIN(AJ$38,$D$19),$P$20))-SUM($P159:AI159)</f>
        <v>#VALUE!</v>
      </c>
      <c r="AK159" s="446" t="e">
        <f>IF(OR($B159="",MIN(AK$38,$D$19)&lt;MAX($P$34*($B159+IF($R$17="Distrato",$I$38-1,0)),IF(AND($L$37=0,$P$34=0),"",$L$37-1),IF($R$17="Distrato",$E159,0))),0,YEARFRAC(MAX($P$34*($B159+IF($R$17="Distrato",$I$38-1,0)),IF(AND($L$37=0,$P$34=0),"",$L$37-1),IF($R$17="Distrato",$E159,0)),MIN(AK$38,$D$19),$P$20))-SUM($P159:AJ159)</f>
        <v>#VALUE!</v>
      </c>
      <c r="AL159" s="446" t="e">
        <f>IF(OR($B159="",MIN(AL$38,$D$19)&lt;MAX($P$34*($B159+IF($R$17="Distrato",$I$38-1,0)),IF(AND($L$37=0,$P$34=0),"",$L$37-1),IF($R$17="Distrato",$E159,0))),0,YEARFRAC(MAX($P$34*($B159+IF($R$17="Distrato",$I$38-1,0)),IF(AND($L$37=0,$P$34=0),"",$L$37-1),IF($R$17="Distrato",$E159,0)),MIN(AL$38,$D$19),$P$20))-SUM($P159:AK159)</f>
        <v>#VALUE!</v>
      </c>
      <c r="AM159" s="446" t="e">
        <f>IF(OR($B159="",MIN(AM$38,$D$19)&lt;MAX($P$34*($B159+IF($R$17="Distrato",$I$38-1,0)),IF(AND($L$37=0,$P$34=0),"",$L$37-1),IF($R$17="Distrato",$E159,0))),0,YEARFRAC(MAX($P$34*($B159+IF($R$17="Distrato",$I$38-1,0)),IF(AND($L$37=0,$P$34=0),"",$L$37-1),IF($R$17="Distrato",$E159,0)),MIN(AM$38,$D$19),$P$20))-SUM($P159:AL159)</f>
        <v>#VALUE!</v>
      </c>
      <c r="AN159" s="446" t="e">
        <f>IF(OR($B159="",MIN(AN$38,$D$19)&lt;MAX($P$34*($B159+IF($R$17="Distrato",$I$38-1,0)),IF(AND($L$37=0,$P$34=0),"",$L$37-1),IF($R$17="Distrato",$E159,0))),0,YEARFRAC(MAX($P$34*($B159+IF($R$17="Distrato",$I$38-1,0)),IF(AND($L$37=0,$P$34=0),"",$L$37-1),IF($R$17="Distrato",$E159,0)),MIN(AN$38,$D$19),$P$20))-SUM($P159:AM159)</f>
        <v>#VALUE!</v>
      </c>
      <c r="AO159" s="446" t="e">
        <f>IF(OR($B159="",MIN(AO$38,$D$19)&lt;MAX($P$34*($B159+IF($R$17="Distrato",$I$38-1,0)),IF(AND($L$37=0,$P$34=0),"",$L$37-1),IF($R$17="Distrato",$E159,0))),0,YEARFRAC(MAX($P$34*($B159+IF($R$17="Distrato",$I$38-1,0)),IF(AND($L$37=0,$P$34=0),"",$L$37-1),IF($R$17="Distrato",$E159,0)),MIN(AO$38,$D$19),$P$20))-SUM($P159:AN159)</f>
        <v>#VALUE!</v>
      </c>
      <c r="AP159" s="446" t="e">
        <f>IF(OR($B159="",MIN(AP$38,$D$19)&lt;MAX($P$34*($B159+IF($R$17="Distrato",$I$38-1,0)),IF(AND($L$37=0,$P$34=0),"",$L$37-1),IF($R$17="Distrato",$E159,0))),0,YEARFRAC(MAX($P$34*($B159+IF($R$17="Distrato",$I$38-1,0)),IF(AND($L$37=0,$P$34=0),"",$L$37-1),IF($R$17="Distrato",$E159,0)),MIN(AP$38,$D$19),$P$20))-SUM($P159:AO159)</f>
        <v>#VALUE!</v>
      </c>
      <c r="AQ159" s="446" t="e">
        <f>IF(OR($B159="",MIN(AQ$38,$D$19)&lt;MAX($P$34*($B159+IF($R$17="Distrato",$I$38-1,0)),IF(AND($L$37=0,$P$34=0),"",$L$37-1),IF($R$17="Distrato",$E159,0))),0,YEARFRAC(MAX($P$34*($B159+IF($R$17="Distrato",$I$38-1,0)),IF(AND($L$37=0,$P$34=0),"",$L$37-1),IF($R$17="Distrato",$E159,0)),MIN(AQ$38,$D$19),$P$20))-SUM($P159:AP159)</f>
        <v>#VALUE!</v>
      </c>
      <c r="AR159" s="446" t="e">
        <f>IF(OR($B159="",MIN(AR$38,$D$19)&lt;MAX($P$34*($B159+IF($R$17="Distrato",$I$38-1,0)),IF(AND($L$37=0,$P$34=0),"",$L$37-1),IF($R$17="Distrato",$E159,0))),0,YEARFRAC(MAX($P$34*($B159+IF($R$17="Distrato",$I$38-1,0)),IF(AND($L$37=0,$P$34=0),"",$L$37-1),IF($R$17="Distrato",$E159,0)),MIN(AR$38,$D$19),$P$20))-SUM($P159:AQ159)</f>
        <v>#VALUE!</v>
      </c>
      <c r="AS159" s="446" t="e">
        <f>IF(OR($B159="",MIN(AS$38,$D$19)&lt;MAX($P$34*($B159+IF($R$17="Distrato",$I$38-1,0)),IF(AND($L$37=0,$P$34=0),"",$L$37-1),IF($R$17="Distrato",$E159,0))),0,YEARFRAC(MAX($P$34*($B159+IF($R$17="Distrato",$I$38-1,0)),IF(AND($L$37=0,$P$34=0),"",$L$37-1),IF($R$17="Distrato",$E159,0)),MIN(AS$38,$D$19),$P$20))-SUM($P159:AR159)</f>
        <v>#VALUE!</v>
      </c>
      <c r="AT159" s="446" t="e">
        <f>IF(OR($B159="",MIN(AT$38,$D$19)&lt;MAX($P$34*($B159+IF($R$17="Distrato",$I$38-1,0)),IF(AND($L$37=0,$P$34=0),"",$L$37-1),IF($R$17="Distrato",$E159,0))),0,YEARFRAC(MAX($P$34*($B159+IF($R$17="Distrato",$I$38-1,0)),IF(AND($L$37=0,$P$34=0),"",$L$37-1),IF($R$17="Distrato",$E159,0)),MIN(AT$38,$D$19),$P$20))-SUM($P159:AS159)</f>
        <v>#VALUE!</v>
      </c>
      <c r="AU159" s="446" t="e">
        <f>IF(OR($B159="",MIN(AU$38,$D$19)&lt;MAX($P$34*($B159+IF($R$17="Distrato",$I$38-1,0)),IF(AND($L$37=0,$P$34=0),"",$L$37-1),IF($R$17="Distrato",$E159,0))),0,YEARFRAC(MAX($P$34*($B159+IF($R$17="Distrato",$I$38-1,0)),IF(AND($L$37=0,$P$34=0),"",$L$37-1),IF($R$17="Distrato",$E159,0)),MIN(AU$38,$D$19),$P$20))-SUM($P159:AT159)</f>
        <v>#VALUE!</v>
      </c>
      <c r="AV159" s="446" t="e">
        <f>IF(OR($B159="",MIN(AV$38,$D$19)&lt;MAX($P$34*($B159+IF($R$17="Distrato",$I$38-1,0)),IF(AND($L$37=0,$P$34=0),"",$L$37-1),IF($R$17="Distrato",$E159,0))),0,YEARFRAC(MAX($P$34*($B159+IF($R$17="Distrato",$I$38-1,0)),IF(AND($L$37=0,$P$34=0),"",$L$37-1),IF($R$17="Distrato",$E159,0)),MIN(AV$38,$D$19),$P$20))-SUM($P159:AU159)</f>
        <v>#VALUE!</v>
      </c>
      <c r="AW159" s="446" t="e">
        <f>IF(OR($B159="",MIN(AW$38,$D$19)&lt;MAX($P$34*($B159+IF($R$17="Distrato",$I$38-1,0)),IF(AND($L$37=0,$P$34=0),"",$L$37-1),IF($R$17="Distrato",$E159,0))),0,YEARFRAC(MAX($P$34*($B159+IF($R$17="Distrato",$I$38-1,0)),IF(AND($L$37=0,$P$34=0),"",$L$37-1),IF($R$17="Distrato",$E159,0)),MIN(AW$38,$D$19),$P$20))-SUM($P159:AV159)</f>
        <v>#VALUE!</v>
      </c>
      <c r="AX159" s="446" t="e">
        <f>IF(OR($B159="",MIN(AX$38,$D$19)&lt;MAX($P$34*($B159+IF($R$17="Distrato",$I$38-1,0)),IF(AND($L$37=0,$P$34=0),"",$L$37-1),IF($R$17="Distrato",$E159,0))),0,YEARFRAC(MAX($P$34*($B159+IF($R$17="Distrato",$I$38-1,0)),IF(AND($L$37=0,$P$34=0),"",$L$37-1),IF($R$17="Distrato",$E159,0)),MIN(AX$38,$D$19),$P$20))-SUM($P159:AW159)</f>
        <v>#VALUE!</v>
      </c>
      <c r="AY159" s="446" t="e">
        <f>IF(OR($B159="",MIN(AY$38,$D$19)&lt;MAX($P$34*($B159+IF($R$17="Distrato",$I$38-1,0)),IF(AND($L$37=0,$P$34=0),"",$L$37-1),IF($R$17="Distrato",$E159,0))),0,YEARFRAC(MAX($P$34*($B159+IF($R$17="Distrato",$I$38-1,0)),IF(AND($L$37=0,$P$34=0),"",$L$37-1),IF($R$17="Distrato",$E159,0)),MIN(AY$38,$D$19),$P$20))-SUM($P159:AX159)</f>
        <v>#VALUE!</v>
      </c>
      <c r="AZ159" s="446" t="e">
        <f>IF(OR($B159="",MIN(AZ$38,$D$19)&lt;MAX($P$34*($B159+IF($R$17="Distrato",$I$38-1,0)),IF(AND($L$37=0,$P$34=0),"",$L$37-1),IF($R$17="Distrato",$E159,0))),0,YEARFRAC(MAX($P$34*($B159+IF($R$17="Distrato",$I$38-1,0)),IF(AND($L$37=0,$P$34=0),"",$L$37-1),IF($R$17="Distrato",$E159,0)),MIN(AZ$38,$D$19),$P$20))-SUM($P159:AY159)</f>
        <v>#VALUE!</v>
      </c>
      <c r="BA159" s="446" t="e">
        <f>IF(OR($B159="",MIN(BA$38,$D$19)&lt;MAX($P$34*($B159+IF($R$17="Distrato",$I$38-1,0)),IF(AND($L$37=0,$P$34=0),"",$L$37-1),IF($R$17="Distrato",$E159,0))),0,YEARFRAC(MAX($P$34*($B159+IF($R$17="Distrato",$I$38-1,0)),IF(AND($L$37=0,$P$34=0),"",$L$37-1),IF($R$17="Distrato",$E159,0)),MIN(BA$38,$D$19),$P$20))-SUM($P159:AZ159)</f>
        <v>#VALUE!</v>
      </c>
      <c r="BB159" s="447"/>
      <c r="BF159" s="446">
        <f t="shared" si="21"/>
        <v>0</v>
      </c>
      <c r="BG159" s="446">
        <f>IF($E159=0,0,IF(MIN(BG$38,$E159)&lt;MAX($P$34*($B159+$I$38-1),IF(AND($L$37=0,$P$34=0),"",$L$37-1)),0,YEARFRAC(MAX($P$34*($B159+$I$38-1),IF(AND($L$37=0,$P$34=0),"",$L$37-1)),MIN(BG$38,$E159),$P$20))-SUM($BF159:BF159))</f>
        <v>0</v>
      </c>
      <c r="BH159" s="446">
        <f>IF($E159=0,0,IF(MIN(BH$38,$E159)&lt;MAX($P$34*($B159+$I$38-1),IF(AND($L$37=0,$P$34=0),"",$L$37-1)),0,YEARFRAC(MAX($P$34*($B159+$I$38-1),IF(AND($L$37=0,$P$34=0),"",$L$37-1)),MIN(BH$38,$E159),$P$20))-SUM($BF159:BG159))</f>
        <v>0</v>
      </c>
      <c r="BI159" s="446">
        <f>IF($E159=0,0,IF(MIN(BI$38,$E159)&lt;MAX($P$34*($B159+$I$38-1),IF(AND($L$37=0,$P$34=0),"",$L$37-1)),0,YEARFRAC(MAX($P$34*($B159+$I$38-1),IF(AND($L$37=0,$P$34=0),"",$L$37-1)),MIN(BI$38,$E159),$P$20))-SUM($BF159:BH159))</f>
        <v>0</v>
      </c>
      <c r="BJ159" s="446">
        <f>IF($E159=0,0,IF(MIN(BJ$38,$E159)&lt;MAX($P$34*($B159+$I$38-1),IF(AND($L$37=0,$P$34=0),"",$L$37-1)),0,YEARFRAC(MAX($P$34*($B159+$I$38-1),IF(AND($L$37=0,$P$34=0),"",$L$37-1)),MIN(BJ$38,$E159),$P$20))-SUM($BF159:BI159))</f>
        <v>0</v>
      </c>
      <c r="BK159" s="446">
        <f>IF($E159=0,0,IF(MIN(BK$38,$E159)&lt;MAX($P$34*($B159+$I$38-1),IF(AND($L$37=0,$P$34=0),"",$L$37-1)),0,YEARFRAC(MAX($P$34*($B159+$I$38-1),IF(AND($L$37=0,$P$34=0),"",$L$37-1)),MIN(BK$38,$E159),$P$20))-SUM($BF159:BJ159))</f>
        <v>0</v>
      </c>
      <c r="BL159" s="446">
        <f>IF($E159=0,0,IF(MIN(BL$38,$E159)&lt;MAX($P$34*($B159+$I$38-1),IF(AND($L$37=0,$P$34=0),"",$L$37-1)),0,YEARFRAC(MAX($P$34*($B159+$I$38-1),IF(AND($L$37=0,$P$34=0),"",$L$37-1)),MIN(BL$38,$E159),$P$20))-SUM($BF159:BK159))</f>
        <v>0</v>
      </c>
      <c r="BM159" s="446">
        <f>IF($E159=0,0,IF(MIN(BM$38,$E159)&lt;MAX($P$34*($B159+$I$38-1),IF(AND($L$37=0,$P$34=0),"",$L$37-1)),0,YEARFRAC(MAX($P$34*($B159+$I$38-1),IF(AND($L$37=0,$P$34=0),"",$L$37-1)),MIN(BM$38,$E159),$P$20))-SUM($BF159:BL159))</f>
        <v>0</v>
      </c>
      <c r="BN159" s="446">
        <f>IF($E159=0,0,IF(MIN(BN$38,$E159)&lt;MAX($P$34*($B159+$I$38-1),IF(AND($L$37=0,$P$34=0),"",$L$37-1)),0,YEARFRAC(MAX($P$34*($B159+$I$38-1),IF(AND($L$37=0,$P$34=0),"",$L$37-1)),MIN(BN$38,$E159),$P$20))-SUM($BF159:BM159))</f>
        <v>0</v>
      </c>
      <c r="BO159" s="446">
        <f>IF($E159=0,0,IF(MIN(BO$38,$E159)&lt;MAX($P$34*($B159+$I$38-1),IF(AND($L$37=0,$P$34=0),"",$L$37-1)),0,YEARFRAC(MAX($P$34*($B159+$I$38-1),IF(AND($L$37=0,$P$34=0),"",$L$37-1)),MIN(BO$38,$E159),$P$20))-SUM($BF159:BN159))</f>
        <v>0</v>
      </c>
      <c r="BP159" s="446">
        <f>IF($E159=0,0,IF(MIN(BP$38,$E159)&lt;MAX($P$34*($B159+$I$38-1),IF(AND($L$37=0,$P$34=0),"",$L$37-1)),0,YEARFRAC(MAX($P$34*($B159+$I$38-1),IF(AND($L$37=0,$P$34=0),"",$L$37-1)),MIN(BP$38,$E159),$P$20))-SUM($BF159:BO159))</f>
        <v>0</v>
      </c>
      <c r="BQ159" s="446">
        <f>IF($E159=0,0,IF(MIN(BQ$38,$E159)&lt;MAX($P$34*($B159+$I$38-1),IF(AND($L$37=0,$P$34=0),"",$L$37-1)),0,YEARFRAC(MAX($P$34*($B159+$I$38-1),IF(AND($L$37=0,$P$34=0),"",$L$37-1)),MIN(BQ$38,$E159),$P$20))-SUM($BF159:BP159))</f>
        <v>0</v>
      </c>
      <c r="BR159" s="446">
        <f>IF($E159=0,0,IF(MIN(BR$38,$E159)&lt;MAX($P$34*($B159+$I$38-1),IF(AND($L$37=0,$P$34=0),"",$L$37-1)),0,YEARFRAC(MAX($P$34*($B159+$I$38-1),IF(AND($L$37=0,$P$34=0),"",$L$37-1)),MIN(BR$38,$E159),$P$20))-SUM($BF159:BQ159))</f>
        <v>0</v>
      </c>
      <c r="BS159" s="446">
        <f>IF($E159=0,0,IF(MIN(BS$38,$E159)&lt;MAX($P$34*($B159+$I$38-1),IF(AND($L$37=0,$P$34=0),"",$L$37-1)),0,YEARFRAC(MAX($P$34*($B159+$I$38-1),IF(AND($L$37=0,$P$34=0),"",$L$37-1)),MIN(BS$38,$E159),$P$20))-SUM($BF159:BR159))</f>
        <v>0</v>
      </c>
      <c r="BT159" s="446">
        <f>IF($E159=0,0,IF(MIN(BT$38,$E159)&lt;MAX($P$34*($B159+$I$38-1),IF(AND($L$37=0,$P$34=0),"",$L$37-1)),0,YEARFRAC(MAX($P$34*($B159+$I$38-1),IF(AND($L$37=0,$P$34=0),"",$L$37-1)),MIN(BT$38,$E159),$P$20))-SUM($BF159:BS159))</f>
        <v>0</v>
      </c>
      <c r="BU159" s="446">
        <f>IF($E159=0,0,IF(MIN(BU$38,$E159)&lt;MAX($P$34*($B159+$I$38-1),IF(AND($L$37=0,$P$34=0),"",$L$37-1)),0,YEARFRAC(MAX($P$34*($B159+$I$38-1),IF(AND($L$37=0,$P$34=0),"",$L$37-1)),MIN(BU$38,$E159),$P$20))-SUM($BF159:BT159))</f>
        <v>0</v>
      </c>
      <c r="BV159" s="446">
        <f>IF($E159=0,0,IF(MIN(BV$38,$E159)&lt;MAX($P$34*($B159+$I$38-1),IF(AND($L$37=0,$P$34=0),"",$L$37-1)),0,YEARFRAC(MAX($P$34*($B159+$I$38-1),IF(AND($L$37=0,$P$34=0),"",$L$37-1)),MIN(BV$38,$E159),$P$20))-SUM($BF159:BU159))</f>
        <v>0</v>
      </c>
      <c r="BW159" s="446">
        <f>IF($E159=0,0,IF(MIN(BW$38,$E159)&lt;MAX($P$34*($B159+$I$38-1),IF(AND($L$37=0,$P$34=0),"",$L$37-1)),0,YEARFRAC(MAX($P$34*($B159+$I$38-1),IF(AND($L$37=0,$P$34=0),"",$L$37-1)),MIN(BW$38,$E159),$P$20))-SUM($BF159:BV159))</f>
        <v>0</v>
      </c>
      <c r="BX159" s="446">
        <f>IF($E159=0,0,IF(MIN(BX$38,$E159)&lt;MAX($P$34*($B159+$I$38-1),IF(AND($L$37=0,$P$34=0),"",$L$37-1)),0,YEARFRAC(MAX($P$34*($B159+$I$38-1),IF(AND($L$37=0,$P$34=0),"",$L$37-1)),MIN(BX$38,$E159),$P$20))-SUM($BF159:BW159))</f>
        <v>0</v>
      </c>
      <c r="BY159" s="446">
        <f>IF($E159=0,0,IF(MIN(BY$38,$E159)&lt;MAX($P$34*($B159+$I$38-1),IF(AND($L$37=0,$P$34=0),"",$L$37-1)),0,YEARFRAC(MAX($P$34*($B159+$I$38-1),IF(AND($L$37=0,$P$34=0),"",$L$37-1)),MIN(BY$38,$E159),$P$20))-SUM($BF159:BX159))</f>
        <v>0</v>
      </c>
      <c r="BZ159" s="446">
        <f>IF($E159=0,0,IF(MIN(BZ$38,$E159)&lt;MAX($P$34*($B159+$I$38-1),IF(AND($L$37=0,$P$34=0),"",$L$37-1)),0,YEARFRAC(MAX($P$34*($B159+$I$38-1),IF(AND($L$37=0,$P$34=0),"",$L$37-1)),MIN(BZ$38,$E159),$P$20))-SUM($BF159:BY159))</f>
        <v>0</v>
      </c>
      <c r="CA159" s="446">
        <f>IF($E159=0,0,IF(MIN(CA$38,$E159)&lt;MAX($P$34*($B159+$I$38-1),IF(AND($L$37=0,$P$34=0),"",$L$37-1)),0,YEARFRAC(MAX($P$34*($B159+$I$38-1),IF(AND($L$37=0,$P$34=0),"",$L$37-1)),MIN(CA$38,$E159),$P$20))-SUM($BF159:BZ159))</f>
        <v>0</v>
      </c>
      <c r="CB159" s="446">
        <f>IF($E159=0,0,IF(MIN(CB$38,$E159)&lt;MAX($P$34*($B159+$I$38-1),IF(AND($L$37=0,$P$34=0),"",$L$37-1)),0,YEARFRAC(MAX($P$34*($B159+$I$38-1),IF(AND($L$37=0,$P$34=0),"",$L$37-1)),MIN(CB$38,$E159),$P$20))-SUM($BF159:CA159))</f>
        <v>0</v>
      </c>
      <c r="CC159" s="446">
        <f>IF($E159=0,0,IF(MIN(CC$38,$E159)&lt;MAX($P$34*($B159+$I$38-1),IF(AND($L$37=0,$P$34=0),"",$L$37-1)),0,YEARFRAC(MAX($P$34*($B159+$I$38-1),IF(AND($L$37=0,$P$34=0),"",$L$37-1)),MIN(CC$38,$E159),$P$20))-SUM($BF159:CB159))</f>
        <v>0</v>
      </c>
      <c r="CD159" s="446">
        <f>IF($E159=0,0,IF(MIN(CD$38,$E159)&lt;MAX($P$34*($B159+$I$38-1),IF(AND($L$37=0,$P$34=0),"",$L$37-1)),0,YEARFRAC(MAX($P$34*($B159+$I$38-1),IF(AND($L$37=0,$P$34=0),"",$L$37-1)),MIN(CD$38,$E159),$P$20))-SUM($BF159:CC159))</f>
        <v>0</v>
      </c>
      <c r="CE159" s="446">
        <f>IF($E159=0,0,IF(MIN(CE$38,$E159)&lt;MAX($P$34*($B159+$I$38-1),IF(AND($L$37=0,$P$34=0),"",$L$37-1)),0,YEARFRAC(MAX($P$34*($B159+$I$38-1),IF(AND($L$37=0,$P$34=0),"",$L$37-1)),MIN(CE$38,$E159),$P$20))-SUM($BF159:CD159))</f>
        <v>0</v>
      </c>
      <c r="CF159" s="446">
        <f>IF($E159=0,0,IF(MIN(CF$38,$E159)&lt;MAX($P$34*($B159+$I$38-1),IF(AND($L$37=0,$P$34=0),"",$L$37-1)),0,YEARFRAC(MAX($P$34*($B159+$I$38-1),IF(AND($L$37=0,$P$34=0),"",$L$37-1)),MIN(CF$38,$E159),$P$20))-SUM($BF159:CE159))</f>
        <v>0</v>
      </c>
      <c r="CG159" s="446">
        <f>IF($E159=0,0,IF(MIN(CG$38,$E159)&lt;MAX($P$34*($B159+$I$38-1),IF(AND($L$37=0,$P$34=0),"",$L$37-1)),0,YEARFRAC(MAX($P$34*($B159+$I$38-1),IF(AND($L$37=0,$P$34=0),"",$L$37-1)),MIN(CG$38,$E159),$P$20))-SUM($BF159:CF159))</f>
        <v>0</v>
      </c>
      <c r="CH159" s="446">
        <f>IF($E159=0,0,IF(MIN(CH$38,$E159)&lt;MAX($P$34*($B159+$I$38-1),IF(AND($L$37=0,$P$34=0),"",$L$37-1)),0,YEARFRAC(MAX($P$34*($B159+$I$38-1),IF(AND($L$37=0,$P$34=0),"",$L$37-1)),MIN(CH$38,$E159),$P$20))-SUM($BF159:CG159))</f>
        <v>0</v>
      </c>
      <c r="CI159" s="446">
        <f>IF($E159=0,0,IF(MIN(CI$38,$E159)&lt;MAX($P$34*($B159+$I$38-1),IF(AND($L$37=0,$P$34=0),"",$L$37-1)),0,YEARFRAC(MAX($P$34*($B159+$I$38-1),IF(AND($L$37=0,$P$34=0),"",$L$37-1)),MIN(CI$38,$E159),$P$20))-SUM($BF159:CH159))</f>
        <v>0</v>
      </c>
      <c r="CJ159" s="446">
        <f>IF($E159=0,0,IF(MIN(CJ$38,$E159)&lt;MAX($P$34*($B159+$I$38-1),IF(AND($L$37=0,$P$34=0),"",$L$37-1)),0,YEARFRAC(MAX($P$34*($B159+$I$38-1),IF(AND($L$37=0,$P$34=0),"",$L$37-1)),MIN(CJ$38,$E159),$P$20))-SUM($BF159:CI159))</f>
        <v>0</v>
      </c>
      <c r="CK159" s="446">
        <f>IF($E159=0,0,IF(MIN(CK$38,$E159)&lt;MAX($P$34*($B159+$I$38-1),IF(AND($L$37=0,$P$34=0),"",$L$37-1)),0,YEARFRAC(MAX($P$34*($B159+$I$38-1),IF(AND($L$37=0,$P$34=0),"",$L$37-1)),MIN(CK$38,$E159),$P$20))-SUM($BF159:CJ159))</f>
        <v>0</v>
      </c>
      <c r="CL159" s="446">
        <f>IF($E159=0,0,IF(MIN(CL$38,$E159)&lt;MAX($P$34*($B159+$I$38-1),IF(AND($L$37=0,$P$34=0),"",$L$37-1)),0,YEARFRAC(MAX($P$34*($B159+$I$38-1),IF(AND($L$37=0,$P$34=0),"",$L$37-1)),MIN(CL$38,$E159),$P$20))-SUM($BF159:CK159))</f>
        <v>0</v>
      </c>
      <c r="CM159" s="446">
        <f>IF($E159=0,0,IF(MIN(CM$38,$E159)&lt;MAX($P$34*($B159+$I$38-1),IF(AND($L$37=0,$P$34=0),"",$L$37-1)),0,YEARFRAC(MAX($P$34*($B159+$I$38-1),IF(AND($L$37=0,$P$34=0),"",$L$37-1)),MIN(CM$38,$E159),$P$20))-SUM($BF159:CL159))</f>
        <v>0</v>
      </c>
      <c r="CN159" s="446">
        <f>IF($E159=0,0,IF(MIN(CN$38,$E159)&lt;MAX($P$34*($B159+$I$38-1),IF(AND($L$37=0,$P$34=0),"",$L$37-1)),0,YEARFRAC(MAX($P$34*($B159+$I$38-1),IF(AND($L$37=0,$P$34=0),"",$L$37-1)),MIN(CN$38,$E159),$P$20))-SUM($BF159:CM159))</f>
        <v>0</v>
      </c>
      <c r="CO159" s="446">
        <f>IF($E159=0,0,IF(MIN(CO$38,$E159)&lt;MAX($P$34*($B159+$I$38-1),IF(AND($L$37=0,$P$34=0),"",$L$37-1)),0,YEARFRAC(MAX($P$34*($B159+$I$38-1),IF(AND($L$37=0,$P$34=0),"",$L$37-1)),MIN(CO$38,$E159),$P$20))-SUM($BF159:CN159))</f>
        <v>0</v>
      </c>
      <c r="CP159" s="446">
        <f>IF($E159=0,0,IF(MIN(CP$38,$E159)&lt;MAX($P$34*($B159+$I$38-1),IF(AND($L$37=0,$P$34=0),"",$L$37-1)),0,YEARFRAC(MAX($P$34*($B159+$I$38-1),IF(AND($L$37=0,$P$34=0),"",$L$37-1)),MIN(CP$38,$E159),$P$20))-SUM($BF159:CO159))</f>
        <v>0</v>
      </c>
      <c r="CQ159" s="446">
        <f>IF($E159=0,0,IF(MIN(CQ$38,$E159)&lt;MAX($P$34*($B159+$I$38-1),IF(AND($L$37=0,$P$34=0),"",$L$37-1)),0,YEARFRAC(MAX($P$34*($B159+$I$38-1),IF(AND($L$37=0,$P$34=0),"",$L$37-1)),MIN(CQ$38,$E159),$P$20))-SUM($BF159:CP159))</f>
        <v>0</v>
      </c>
    </row>
    <row r="160" spans="1:95" s="446" customFormat="1" ht="11.25" hidden="1" customHeight="1" x14ac:dyDescent="0.2">
      <c r="A160" s="152"/>
      <c r="B160" s="153" t="str">
        <f t="shared" si="26"/>
        <v/>
      </c>
      <c r="C160" s="29" t="str">
        <f>IF(B160="","",IF($L$35="SELIC - TRIBUTOS",VLOOKUP(DATE(YEAR($D$19),MONTH($D$19)-1,1),ÍNDICES!$A:$DE,HLOOKUP($BL$25,ÍNDICES!$B$3:$T$4,2)+11)-VLOOKUP(B160,ÍNDICES!$A:$DE,HLOOKUP($BL$25,ÍNDICES!$B$3:$T$4,2)+11)+1%,IF(C$38=$W$26,$J$35,IF(ISERROR(IF(B160&gt;$D$19,1,VLOOKUP(DATE(YEAR(B160),MONTH(B160)+IF($C$35=$S$23,1,0),1),ÍNDICES!$A:$DE,$Z$35+1))),"",IF(B160&gt;$D$19,1,VLOOKUP(DATE(YEAR(B160),MONTH(B160)+IF($C$35=$S$23,1,0),1),ÍNDICES!$A:$DE,$Z$35+1))))))</f>
        <v/>
      </c>
      <c r="D160" s="154" t="str">
        <f>IF(ISERROR(IF(OR($D$38=$Y$27,$B160=""),"",VLOOKUP(B160,ÍNDICES!A:DE,AF$35+1))),"",IF(OR($D$38=$Y$27,$B160=""),"",VLOOKUP(B160,ÍNDICES!A:DE,AF$35+1)))</f>
        <v/>
      </c>
      <c r="E160" s="153"/>
      <c r="F160" s="29" t="str">
        <f>IF(E160="","",IF($L$35="SELIC - TRIBUTOS",VLOOKUP(DATE(YEAR($D$19),MONTH($D$19)-1,1),ÍNDICES!$A:$DE,HLOOKUP($BL$25,ÍNDICES!$B$3:$T$4,2)+11)-VLOOKUP(E160,ÍNDICES!$A:$DE,HLOOKUP($BL$25,ÍNDICES!$B$3:$T$4,2)+11)+1%,IF(F$38=$W$26,$J$35,IF(ISERROR(IF(E160&gt;$D$19,1,VLOOKUP(DATE(YEAR(E160),MONTH(E160)+IF($C$35=$S$23,1,0),1),ÍNDICES!$A:$DE,$Z$35+1))),"",IF(E160&gt;$D$19,1,VLOOKUP(DATE(YEAR(E160),MONTH(E160)+IF($C$35=$S$23,1,0),1),ÍNDICES!$A:$DE,$Z$35+1))))))</f>
        <v/>
      </c>
      <c r="G160" s="155"/>
      <c r="H160" s="156" t="str">
        <f t="shared" si="22"/>
        <v/>
      </c>
      <c r="I160" s="29" t="str">
        <f t="shared" si="16"/>
        <v/>
      </c>
      <c r="J160" s="5">
        <f t="shared" si="17"/>
        <v>0</v>
      </c>
      <c r="K160" s="20">
        <f t="shared" ca="1" si="18"/>
        <v>0</v>
      </c>
      <c r="L160" s="5">
        <f t="shared" ca="1" si="19"/>
        <v>0</v>
      </c>
      <c r="M160" s="64">
        <f t="shared" si="23"/>
        <v>0</v>
      </c>
      <c r="N160" s="61">
        <f t="shared" ca="1" si="24"/>
        <v>0</v>
      </c>
      <c r="O160" s="5">
        <f t="shared" ca="1" si="25"/>
        <v>0</v>
      </c>
      <c r="P160" s="446" t="e">
        <f t="shared" si="20"/>
        <v>#VALUE!</v>
      </c>
      <c r="Q160" s="446" t="e">
        <f>IF(OR($B160="",MIN(Q$38,$D$19)&lt;MAX($P$34*($B160+IF($R$17="Distrato",$I$38-1,0)),IF(AND($L$37=0,$P$34=0),"",$L$37-1),IF($R$17="Distrato",$E160,0))),0,YEARFRAC(MAX($P$34*($B160+IF($R$17="Distrato",$I$38-1,0)),IF(AND($L$37=0,$P$34=0),"",$L$37-1),IF($R$17="Distrato",$E160,0)),MIN(Q$38,$D$19),$P$20))-SUM($P160:P160)</f>
        <v>#VALUE!</v>
      </c>
      <c r="R160" s="446" t="e">
        <f>IF(OR($B160="",MIN(R$38,$D$19)&lt;MAX($P$34*($B160+IF($R$17="Distrato",$I$38-1,0)),IF(AND($L$37=0,$P$34=0),"",$L$37-1),IF($R$17="Distrato",$E160,0))),0,YEARFRAC(MAX($P$34*($B160+IF($R$17="Distrato",$I$38-1,0)),IF(AND($L$37=0,$P$34=0),"",$L$37-1),IF($R$17="Distrato",$E160,0)),MIN(R$38,$D$19),$P$20))-SUM($P160:Q160)</f>
        <v>#VALUE!</v>
      </c>
      <c r="S160" s="446" t="e">
        <f>IF(OR($B160="",MIN(S$38,$D$19)&lt;MAX($P$34*($B160+IF($R$17="Distrato",$I$38-1,0)),IF(AND($L$37=0,$P$34=0),"",$L$37-1),IF($R$17="Distrato",$E160,0))),0,YEARFRAC(MAX($P$34*($B160+IF($R$17="Distrato",$I$38-1,0)),IF(AND($L$37=0,$P$34=0),"",$L$37-1),IF($R$17="Distrato",$E160,0)),MIN(S$38,$D$19),$P$20))-SUM($P160:R160)</f>
        <v>#VALUE!</v>
      </c>
      <c r="T160" s="446" t="e">
        <f>IF(OR($B160="",MIN(T$38,$D$19)&lt;MAX($P$34*($B160+IF($R$17="Distrato",$I$38-1,0)),IF(AND($L$37=0,$P$34=0),"",$L$37-1),IF($R$17="Distrato",$E160,0))),0,YEARFRAC(MAX($P$34*($B160+IF($R$17="Distrato",$I$38-1,0)),IF(AND($L$37=0,$P$34=0),"",$L$37-1),IF($R$17="Distrato",$E160,0)),MIN(T$38,$D$19),$P$20))-SUM($P160:S160)</f>
        <v>#VALUE!</v>
      </c>
      <c r="U160" s="446" t="e">
        <f>IF(OR($B160="",MIN(U$38,$D$19)&lt;MAX($P$34*($B160+IF($R$17="Distrato",$I$38-1,0)),IF(AND($L$37=0,$P$34=0),"",$L$37-1),IF($R$17="Distrato",$E160,0))),0,YEARFRAC(MAX($P$34*($B160+IF($R$17="Distrato",$I$38-1,0)),IF(AND($L$37=0,$P$34=0),"",$L$37-1),IF($R$17="Distrato",$E160,0)),MIN(U$38,$D$19),$P$20))-SUM($P160:T160)</f>
        <v>#VALUE!</v>
      </c>
      <c r="V160" s="446" t="e">
        <f>IF(OR($B160="",MIN(V$38,$D$19)&lt;MAX($P$34*($B160+IF($R$17="Distrato",$I$38-1,0)),IF(AND($L$37=0,$P$34=0),"",$L$37-1),IF($R$17="Distrato",$E160,0))),0,YEARFRAC(MAX($P$34*($B160+IF($R$17="Distrato",$I$38-1,0)),IF(AND($L$37=0,$P$34=0),"",$L$37-1),IF($R$17="Distrato",$E160,0)),MIN(V$38,$D$19),$P$20))-SUM($P160:U160)</f>
        <v>#VALUE!</v>
      </c>
      <c r="W160" s="446" t="e">
        <f>IF(OR($B160="",MIN(W$38,$D$19)&lt;MAX($P$34*($B160+IF($R$17="Distrato",$I$38-1,0)),IF(AND($L$37=0,$P$34=0),"",$L$37-1),IF($R$17="Distrato",$E160,0))),0,YEARFRAC(MAX($P$34*($B160+IF($R$17="Distrato",$I$38-1,0)),IF(AND($L$37=0,$P$34=0),"",$L$37-1),IF($R$17="Distrato",$E160,0)),MIN(W$38,$D$19),$P$20))-SUM($P160:V160)</f>
        <v>#VALUE!</v>
      </c>
      <c r="X160" s="446" t="e">
        <f>IF(OR($B160="",MIN(X$38,$D$19)&lt;MAX($P$34*($B160+IF($R$17="Distrato",$I$38-1,0)),IF(AND($L$37=0,$P$34=0),"",$L$37-1),IF($R$17="Distrato",$E160,0))),0,YEARFRAC(MAX($P$34*($B160+IF($R$17="Distrato",$I$38-1,0)),IF(AND($L$37=0,$P$34=0),"",$L$37-1),IF($R$17="Distrato",$E160,0)),MIN(X$38,$D$19),$P$20))-SUM($P160:W160)</f>
        <v>#VALUE!</v>
      </c>
      <c r="Y160" s="446" t="e">
        <f>IF(OR($B160="",MIN(Y$38,$D$19)&lt;MAX($P$34*($B160+IF($R$17="Distrato",$I$38-1,0)),IF(AND($L$37=0,$P$34=0),"",$L$37-1),IF($R$17="Distrato",$E160,0))),0,YEARFRAC(MAX($P$34*($B160+IF($R$17="Distrato",$I$38-1,0)),IF(AND($L$37=0,$P$34=0),"",$L$37-1),IF($R$17="Distrato",$E160,0)),MIN(Y$38,$D$19),$P$20))-SUM($P160:X160)</f>
        <v>#VALUE!</v>
      </c>
      <c r="Z160" s="446" t="e">
        <f>IF(OR($B160="",MIN(Z$38,$D$19)&lt;MAX($P$34*($B160+IF($R$17="Distrato",$I$38-1,0)),IF(AND($L$37=0,$P$34=0),"",$L$37-1),IF($R$17="Distrato",$E160,0))),0,YEARFRAC(MAX($P$34*($B160+IF($R$17="Distrato",$I$38-1,0)),IF(AND($L$37=0,$P$34=0),"",$L$37-1),IF($R$17="Distrato",$E160,0)),MIN(Z$38,$D$19),$P$20))-SUM($P160:Y160)</f>
        <v>#VALUE!</v>
      </c>
      <c r="AA160" s="446" t="e">
        <f>IF(OR($B160="",MIN(AA$38,$D$19)&lt;MAX($P$34*($B160+IF($R$17="Distrato",$I$38-1,0)),IF(AND($L$37=0,$P$34=0),"",$L$37-1),IF($R$17="Distrato",$E160,0))),0,YEARFRAC(MAX($P$34*($B160+IF($R$17="Distrato",$I$38-1,0)),IF(AND($L$37=0,$P$34=0),"",$L$37-1),IF($R$17="Distrato",$E160,0)),MIN(AA$38,$D$19),$P$20))-SUM($P160:Z160)</f>
        <v>#VALUE!</v>
      </c>
      <c r="AB160" s="446" t="e">
        <f>IF(OR($B160="",MIN(AB$38,$D$19)&lt;MAX($P$34*($B160+IF($R$17="Distrato",$I$38-1,0)),IF(AND($L$37=0,$P$34=0),"",$L$37-1),IF($R$17="Distrato",$E160,0))),0,YEARFRAC(MAX($P$34*($B160+IF($R$17="Distrato",$I$38-1,0)),IF(AND($L$37=0,$P$34=0),"",$L$37-1),IF($R$17="Distrato",$E160,0)),MIN(AB$38,$D$19),$P$20))-SUM($P160:AA160)</f>
        <v>#VALUE!</v>
      </c>
      <c r="AC160" s="446" t="e">
        <f>IF(OR($B160="",MIN(AC$38,$D$19)&lt;MAX($P$34*($B160+IF($R$17="Distrato",$I$38-1,0)),IF(AND($L$37=0,$P$34=0),"",$L$37-1),IF($R$17="Distrato",$E160,0))),0,YEARFRAC(MAX($P$34*($B160+IF($R$17="Distrato",$I$38-1,0)),IF(AND($L$37=0,$P$34=0),"",$L$37-1),IF($R$17="Distrato",$E160,0)),MIN(AC$38,$D$19),$P$20))-SUM($P160:AB160)</f>
        <v>#VALUE!</v>
      </c>
      <c r="AD160" s="446" t="e">
        <f>IF(OR($B160="",MIN(AD$38,$D$19)&lt;MAX($P$34*($B160+IF($R$17="Distrato",$I$38-1,0)),IF(AND($L$37=0,$P$34=0),"",$L$37-1),IF($R$17="Distrato",$E160,0))),0,YEARFRAC(MAX($P$34*($B160+IF($R$17="Distrato",$I$38-1,0)),IF(AND($L$37=0,$P$34=0),"",$L$37-1),IF($R$17="Distrato",$E160,0)),MIN(AD$38,$D$19),$P$20))-SUM($P160:AC160)</f>
        <v>#VALUE!</v>
      </c>
      <c r="AE160" s="446" t="e">
        <f>IF(OR($B160="",MIN(AE$38,$D$19)&lt;MAX($P$34*($B160+IF($R$17="Distrato",$I$38-1,0)),IF(AND($L$37=0,$P$34=0),"",$L$37-1),IF($R$17="Distrato",$E160,0))),0,YEARFRAC(MAX($P$34*($B160+IF($R$17="Distrato",$I$38-1,0)),IF(AND($L$37=0,$P$34=0),"",$L$37-1),IF($R$17="Distrato",$E160,0)),MIN(AE$38,$D$19),$P$20))-SUM($P160:AD160)</f>
        <v>#VALUE!</v>
      </c>
      <c r="AF160" s="446" t="e">
        <f>IF(OR($B160="",MIN(AF$38,$D$19)&lt;MAX($P$34*($B160+IF($R$17="Distrato",$I$38-1,0)),IF(AND($L$37=0,$P$34=0),"",$L$37-1),IF($R$17="Distrato",$E160,0))),0,YEARFRAC(MAX($P$34*($B160+IF($R$17="Distrato",$I$38-1,0)),IF(AND($L$37=0,$P$34=0),"",$L$37-1),IF($R$17="Distrato",$E160,0)),MIN(AF$38,$D$19),$P$20))-SUM($P160:AE160)</f>
        <v>#VALUE!</v>
      </c>
      <c r="AG160" s="446" t="e">
        <f>IF(OR($B160="",MIN(AG$38,$D$19)&lt;MAX($P$34*($B160+IF($R$17="Distrato",$I$38-1,0)),IF(AND($L$37=0,$P$34=0),"",$L$37-1),IF($R$17="Distrato",$E160,0))),0,YEARFRAC(MAX($P$34*($B160+IF($R$17="Distrato",$I$38-1,0)),IF(AND($L$37=0,$P$34=0),"",$L$37-1),IF($R$17="Distrato",$E160,0)),MIN(AG$38,$D$19),$P$20))-SUM($P160:AF160)</f>
        <v>#VALUE!</v>
      </c>
      <c r="AH160" s="446" t="e">
        <f>IF(OR($B160="",MIN(AH$38,$D$19)&lt;MAX($P$34*($B160+IF($R$17="Distrato",$I$38-1,0)),IF(AND($L$37=0,$P$34=0),"",$L$37-1),IF($R$17="Distrato",$E160,0))),0,YEARFRAC(MAX($P$34*($B160+IF($R$17="Distrato",$I$38-1,0)),IF(AND($L$37=0,$P$34=0),"",$L$37-1),IF($R$17="Distrato",$E160,0)),MIN(AH$38,$D$19),$P$20))-SUM($P160:AG160)</f>
        <v>#VALUE!</v>
      </c>
      <c r="AI160" s="446" t="e">
        <f>IF(OR($B160="",MIN(AI$38,$D$19)&lt;MAX($P$34*($B160+IF($R$17="Distrato",$I$38-1,0)),IF(AND($L$37=0,$P$34=0),"",$L$37-1),IF($R$17="Distrato",$E160,0))),0,YEARFRAC(MAX($P$34*($B160+IF($R$17="Distrato",$I$38-1,0)),IF(AND($L$37=0,$P$34=0),"",$L$37-1),IF($R$17="Distrato",$E160,0)),MIN(AI$38,$D$19),$P$20))-SUM($P160:AH160)</f>
        <v>#VALUE!</v>
      </c>
      <c r="AJ160" s="446" t="e">
        <f>IF(OR($B160="",MIN(AJ$38,$D$19)&lt;MAX($P$34*($B160+IF($R$17="Distrato",$I$38-1,0)),IF(AND($L$37=0,$P$34=0),"",$L$37-1),IF($R$17="Distrato",$E160,0))),0,YEARFRAC(MAX($P$34*($B160+IF($R$17="Distrato",$I$38-1,0)),IF(AND($L$37=0,$P$34=0),"",$L$37-1),IF($R$17="Distrato",$E160,0)),MIN(AJ$38,$D$19),$P$20))-SUM($P160:AI160)</f>
        <v>#VALUE!</v>
      </c>
      <c r="AK160" s="446" t="e">
        <f>IF(OR($B160="",MIN(AK$38,$D$19)&lt;MAX($P$34*($B160+IF($R$17="Distrato",$I$38-1,0)),IF(AND($L$37=0,$P$34=0),"",$L$37-1),IF($R$17="Distrato",$E160,0))),0,YEARFRAC(MAX($P$34*($B160+IF($R$17="Distrato",$I$38-1,0)),IF(AND($L$37=0,$P$34=0),"",$L$37-1),IF($R$17="Distrato",$E160,0)),MIN(AK$38,$D$19),$P$20))-SUM($P160:AJ160)</f>
        <v>#VALUE!</v>
      </c>
      <c r="AL160" s="446" t="e">
        <f>IF(OR($B160="",MIN(AL$38,$D$19)&lt;MAX($P$34*($B160+IF($R$17="Distrato",$I$38-1,0)),IF(AND($L$37=0,$P$34=0),"",$L$37-1),IF($R$17="Distrato",$E160,0))),0,YEARFRAC(MAX($P$34*($B160+IF($R$17="Distrato",$I$38-1,0)),IF(AND($L$37=0,$P$34=0),"",$L$37-1),IF($R$17="Distrato",$E160,0)),MIN(AL$38,$D$19),$P$20))-SUM($P160:AK160)</f>
        <v>#VALUE!</v>
      </c>
      <c r="AM160" s="446" t="e">
        <f>IF(OR($B160="",MIN(AM$38,$D$19)&lt;MAX($P$34*($B160+IF($R$17="Distrato",$I$38-1,0)),IF(AND($L$37=0,$P$34=0),"",$L$37-1),IF($R$17="Distrato",$E160,0))),0,YEARFRAC(MAX($P$34*($B160+IF($R$17="Distrato",$I$38-1,0)),IF(AND($L$37=0,$P$34=0),"",$L$37-1),IF($R$17="Distrato",$E160,0)),MIN(AM$38,$D$19),$P$20))-SUM($P160:AL160)</f>
        <v>#VALUE!</v>
      </c>
      <c r="AN160" s="446" t="e">
        <f>IF(OR($B160="",MIN(AN$38,$D$19)&lt;MAX($P$34*($B160+IF($R$17="Distrato",$I$38-1,0)),IF(AND($L$37=0,$P$34=0),"",$L$37-1),IF($R$17="Distrato",$E160,0))),0,YEARFRAC(MAX($P$34*($B160+IF($R$17="Distrato",$I$38-1,0)),IF(AND($L$37=0,$P$34=0),"",$L$37-1),IF($R$17="Distrato",$E160,0)),MIN(AN$38,$D$19),$P$20))-SUM($P160:AM160)</f>
        <v>#VALUE!</v>
      </c>
      <c r="AO160" s="446" t="e">
        <f>IF(OR($B160="",MIN(AO$38,$D$19)&lt;MAX($P$34*($B160+IF($R$17="Distrato",$I$38-1,0)),IF(AND($L$37=0,$P$34=0),"",$L$37-1),IF($R$17="Distrato",$E160,0))),0,YEARFRAC(MAX($P$34*($B160+IF($R$17="Distrato",$I$38-1,0)),IF(AND($L$37=0,$P$34=0),"",$L$37-1),IF($R$17="Distrato",$E160,0)),MIN(AO$38,$D$19),$P$20))-SUM($P160:AN160)</f>
        <v>#VALUE!</v>
      </c>
      <c r="AP160" s="446" t="e">
        <f>IF(OR($B160="",MIN(AP$38,$D$19)&lt;MAX($P$34*($B160+IF($R$17="Distrato",$I$38-1,0)),IF(AND($L$37=0,$P$34=0),"",$L$37-1),IF($R$17="Distrato",$E160,0))),0,YEARFRAC(MAX($P$34*($B160+IF($R$17="Distrato",$I$38-1,0)),IF(AND($L$37=0,$P$34=0),"",$L$37-1),IF($R$17="Distrato",$E160,0)),MIN(AP$38,$D$19),$P$20))-SUM($P160:AO160)</f>
        <v>#VALUE!</v>
      </c>
      <c r="AQ160" s="446" t="e">
        <f>IF(OR($B160="",MIN(AQ$38,$D$19)&lt;MAX($P$34*($B160+IF($R$17="Distrato",$I$38-1,0)),IF(AND($L$37=0,$P$34=0),"",$L$37-1),IF($R$17="Distrato",$E160,0))),0,YEARFRAC(MAX($P$34*($B160+IF($R$17="Distrato",$I$38-1,0)),IF(AND($L$37=0,$P$34=0),"",$L$37-1),IF($R$17="Distrato",$E160,0)),MIN(AQ$38,$D$19),$P$20))-SUM($P160:AP160)</f>
        <v>#VALUE!</v>
      </c>
      <c r="AR160" s="446" t="e">
        <f>IF(OR($B160="",MIN(AR$38,$D$19)&lt;MAX($P$34*($B160+IF($R$17="Distrato",$I$38-1,0)),IF(AND($L$37=0,$P$34=0),"",$L$37-1),IF($R$17="Distrato",$E160,0))),0,YEARFRAC(MAX($P$34*($B160+IF($R$17="Distrato",$I$38-1,0)),IF(AND($L$37=0,$P$34=0),"",$L$37-1),IF($R$17="Distrato",$E160,0)),MIN(AR$38,$D$19),$P$20))-SUM($P160:AQ160)</f>
        <v>#VALUE!</v>
      </c>
      <c r="AS160" s="446" t="e">
        <f>IF(OR($B160="",MIN(AS$38,$D$19)&lt;MAX($P$34*($B160+IF($R$17="Distrato",$I$38-1,0)),IF(AND($L$37=0,$P$34=0),"",$L$37-1),IF($R$17="Distrato",$E160,0))),0,YEARFRAC(MAX($P$34*($B160+IF($R$17="Distrato",$I$38-1,0)),IF(AND($L$37=0,$P$34=0),"",$L$37-1),IF($R$17="Distrato",$E160,0)),MIN(AS$38,$D$19),$P$20))-SUM($P160:AR160)</f>
        <v>#VALUE!</v>
      </c>
      <c r="AT160" s="446" t="e">
        <f>IF(OR($B160="",MIN(AT$38,$D$19)&lt;MAX($P$34*($B160+IF($R$17="Distrato",$I$38-1,0)),IF(AND($L$37=0,$P$34=0),"",$L$37-1),IF($R$17="Distrato",$E160,0))),0,YEARFRAC(MAX($P$34*($B160+IF($R$17="Distrato",$I$38-1,0)),IF(AND($L$37=0,$P$34=0),"",$L$37-1),IF($R$17="Distrato",$E160,0)),MIN(AT$38,$D$19),$P$20))-SUM($P160:AS160)</f>
        <v>#VALUE!</v>
      </c>
      <c r="AU160" s="446" t="e">
        <f>IF(OR($B160="",MIN(AU$38,$D$19)&lt;MAX($P$34*($B160+IF($R$17="Distrato",$I$38-1,0)),IF(AND($L$37=0,$P$34=0),"",$L$37-1),IF($R$17="Distrato",$E160,0))),0,YEARFRAC(MAX($P$34*($B160+IF($R$17="Distrato",$I$38-1,0)),IF(AND($L$37=0,$P$34=0),"",$L$37-1),IF($R$17="Distrato",$E160,0)),MIN(AU$38,$D$19),$P$20))-SUM($P160:AT160)</f>
        <v>#VALUE!</v>
      </c>
      <c r="AV160" s="446" t="e">
        <f>IF(OR($B160="",MIN(AV$38,$D$19)&lt;MAX($P$34*($B160+IF($R$17="Distrato",$I$38-1,0)),IF(AND($L$37=0,$P$34=0),"",$L$37-1),IF($R$17="Distrato",$E160,0))),0,YEARFRAC(MAX($P$34*($B160+IF($R$17="Distrato",$I$38-1,0)),IF(AND($L$37=0,$P$34=0),"",$L$37-1),IF($R$17="Distrato",$E160,0)),MIN(AV$38,$D$19),$P$20))-SUM($P160:AU160)</f>
        <v>#VALUE!</v>
      </c>
      <c r="AW160" s="446" t="e">
        <f>IF(OR($B160="",MIN(AW$38,$D$19)&lt;MAX($P$34*($B160+IF($R$17="Distrato",$I$38-1,0)),IF(AND($L$37=0,$P$34=0),"",$L$37-1),IF($R$17="Distrato",$E160,0))),0,YEARFRAC(MAX($P$34*($B160+IF($R$17="Distrato",$I$38-1,0)),IF(AND($L$37=0,$P$34=0),"",$L$37-1),IF($R$17="Distrato",$E160,0)),MIN(AW$38,$D$19),$P$20))-SUM($P160:AV160)</f>
        <v>#VALUE!</v>
      </c>
      <c r="AX160" s="446" t="e">
        <f>IF(OR($B160="",MIN(AX$38,$D$19)&lt;MAX($P$34*($B160+IF($R$17="Distrato",$I$38-1,0)),IF(AND($L$37=0,$P$34=0),"",$L$37-1),IF($R$17="Distrato",$E160,0))),0,YEARFRAC(MAX($P$34*($B160+IF($R$17="Distrato",$I$38-1,0)),IF(AND($L$37=0,$P$34=0),"",$L$37-1),IF($R$17="Distrato",$E160,0)),MIN(AX$38,$D$19),$P$20))-SUM($P160:AW160)</f>
        <v>#VALUE!</v>
      </c>
      <c r="AY160" s="446" t="e">
        <f>IF(OR($B160="",MIN(AY$38,$D$19)&lt;MAX($P$34*($B160+IF($R$17="Distrato",$I$38-1,0)),IF(AND($L$37=0,$P$34=0),"",$L$37-1),IF($R$17="Distrato",$E160,0))),0,YEARFRAC(MAX($P$34*($B160+IF($R$17="Distrato",$I$38-1,0)),IF(AND($L$37=0,$P$34=0),"",$L$37-1),IF($R$17="Distrato",$E160,0)),MIN(AY$38,$D$19),$P$20))-SUM($P160:AX160)</f>
        <v>#VALUE!</v>
      </c>
      <c r="AZ160" s="446" t="e">
        <f>IF(OR($B160="",MIN(AZ$38,$D$19)&lt;MAX($P$34*($B160+IF($R$17="Distrato",$I$38-1,0)),IF(AND($L$37=0,$P$34=0),"",$L$37-1),IF($R$17="Distrato",$E160,0))),0,YEARFRAC(MAX($P$34*($B160+IF($R$17="Distrato",$I$38-1,0)),IF(AND($L$37=0,$P$34=0),"",$L$37-1),IF($R$17="Distrato",$E160,0)),MIN(AZ$38,$D$19),$P$20))-SUM($P160:AY160)</f>
        <v>#VALUE!</v>
      </c>
      <c r="BA160" s="446" t="e">
        <f>IF(OR($B160="",MIN(BA$38,$D$19)&lt;MAX($P$34*($B160+IF($R$17="Distrato",$I$38-1,0)),IF(AND($L$37=0,$P$34=0),"",$L$37-1),IF($R$17="Distrato",$E160,0))),0,YEARFRAC(MAX($P$34*($B160+IF($R$17="Distrato",$I$38-1,0)),IF(AND($L$37=0,$P$34=0),"",$L$37-1),IF($R$17="Distrato",$E160,0)),MIN(BA$38,$D$19),$P$20))-SUM($P160:AZ160)</f>
        <v>#VALUE!</v>
      </c>
      <c r="BB160" s="447"/>
      <c r="BF160" s="446">
        <f t="shared" si="21"/>
        <v>0</v>
      </c>
      <c r="BG160" s="446">
        <f>IF($E160=0,0,IF(MIN(BG$38,$E160)&lt;MAX($P$34*($B160+$I$38-1),IF(AND($L$37=0,$P$34=0),"",$L$37-1)),0,YEARFRAC(MAX($P$34*($B160+$I$38-1),IF(AND($L$37=0,$P$34=0),"",$L$37-1)),MIN(BG$38,$E160),$P$20))-SUM($BF160:BF160))</f>
        <v>0</v>
      </c>
      <c r="BH160" s="446">
        <f>IF($E160=0,0,IF(MIN(BH$38,$E160)&lt;MAX($P$34*($B160+$I$38-1),IF(AND($L$37=0,$P$34=0),"",$L$37-1)),0,YEARFRAC(MAX($P$34*($B160+$I$38-1),IF(AND($L$37=0,$P$34=0),"",$L$37-1)),MIN(BH$38,$E160),$P$20))-SUM($BF160:BG160))</f>
        <v>0</v>
      </c>
      <c r="BI160" s="446">
        <f>IF($E160=0,0,IF(MIN(BI$38,$E160)&lt;MAX($P$34*($B160+$I$38-1),IF(AND($L$37=0,$P$34=0),"",$L$37-1)),0,YEARFRAC(MAX($P$34*($B160+$I$38-1),IF(AND($L$37=0,$P$34=0),"",$L$37-1)),MIN(BI$38,$E160),$P$20))-SUM($BF160:BH160))</f>
        <v>0</v>
      </c>
      <c r="BJ160" s="446">
        <f>IF($E160=0,0,IF(MIN(BJ$38,$E160)&lt;MAX($P$34*($B160+$I$38-1),IF(AND($L$37=0,$P$34=0),"",$L$37-1)),0,YEARFRAC(MAX($P$34*($B160+$I$38-1),IF(AND($L$37=0,$P$34=0),"",$L$37-1)),MIN(BJ$38,$E160),$P$20))-SUM($BF160:BI160))</f>
        <v>0</v>
      </c>
      <c r="BK160" s="446">
        <f>IF($E160=0,0,IF(MIN(BK$38,$E160)&lt;MAX($P$34*($B160+$I$38-1),IF(AND($L$37=0,$P$34=0),"",$L$37-1)),0,YEARFRAC(MAX($P$34*($B160+$I$38-1),IF(AND($L$37=0,$P$34=0),"",$L$37-1)),MIN(BK$38,$E160),$P$20))-SUM($BF160:BJ160))</f>
        <v>0</v>
      </c>
      <c r="BL160" s="446">
        <f>IF($E160=0,0,IF(MIN(BL$38,$E160)&lt;MAX($P$34*($B160+$I$38-1),IF(AND($L$37=0,$P$34=0),"",$L$37-1)),0,YEARFRAC(MAX($P$34*($B160+$I$38-1),IF(AND($L$37=0,$P$34=0),"",$L$37-1)),MIN(BL$38,$E160),$P$20))-SUM($BF160:BK160))</f>
        <v>0</v>
      </c>
      <c r="BM160" s="446">
        <f>IF($E160=0,0,IF(MIN(BM$38,$E160)&lt;MAX($P$34*($B160+$I$38-1),IF(AND($L$37=0,$P$34=0),"",$L$37-1)),0,YEARFRAC(MAX($P$34*($B160+$I$38-1),IF(AND($L$37=0,$P$34=0),"",$L$37-1)),MIN(BM$38,$E160),$P$20))-SUM($BF160:BL160))</f>
        <v>0</v>
      </c>
      <c r="BN160" s="446">
        <f>IF($E160=0,0,IF(MIN(BN$38,$E160)&lt;MAX($P$34*($B160+$I$38-1),IF(AND($L$37=0,$P$34=0),"",$L$37-1)),0,YEARFRAC(MAX($P$34*($B160+$I$38-1),IF(AND($L$37=0,$P$34=0),"",$L$37-1)),MIN(BN$38,$E160),$P$20))-SUM($BF160:BM160))</f>
        <v>0</v>
      </c>
      <c r="BO160" s="446">
        <f>IF($E160=0,0,IF(MIN(BO$38,$E160)&lt;MAX($P$34*($B160+$I$38-1),IF(AND($L$37=0,$P$34=0),"",$L$37-1)),0,YEARFRAC(MAX($P$34*($B160+$I$38-1),IF(AND($L$37=0,$P$34=0),"",$L$37-1)),MIN(BO$38,$E160),$P$20))-SUM($BF160:BN160))</f>
        <v>0</v>
      </c>
      <c r="BP160" s="446">
        <f>IF($E160=0,0,IF(MIN(BP$38,$E160)&lt;MAX($P$34*($B160+$I$38-1),IF(AND($L$37=0,$P$34=0),"",$L$37-1)),0,YEARFRAC(MAX($P$34*($B160+$I$38-1),IF(AND($L$37=0,$P$34=0),"",$L$37-1)),MIN(BP$38,$E160),$P$20))-SUM($BF160:BO160))</f>
        <v>0</v>
      </c>
      <c r="BQ160" s="446">
        <f>IF($E160=0,0,IF(MIN(BQ$38,$E160)&lt;MAX($P$34*($B160+$I$38-1),IF(AND($L$37=0,$P$34=0),"",$L$37-1)),0,YEARFRAC(MAX($P$34*($B160+$I$38-1),IF(AND($L$37=0,$P$34=0),"",$L$37-1)),MIN(BQ$38,$E160),$P$20))-SUM($BF160:BP160))</f>
        <v>0</v>
      </c>
      <c r="BR160" s="446">
        <f>IF($E160=0,0,IF(MIN(BR$38,$E160)&lt;MAX($P$34*($B160+$I$38-1),IF(AND($L$37=0,$P$34=0),"",$L$37-1)),0,YEARFRAC(MAX($P$34*($B160+$I$38-1),IF(AND($L$37=0,$P$34=0),"",$L$37-1)),MIN(BR$38,$E160),$P$20))-SUM($BF160:BQ160))</f>
        <v>0</v>
      </c>
      <c r="BS160" s="446">
        <f>IF($E160=0,0,IF(MIN(BS$38,$E160)&lt;MAX($P$34*($B160+$I$38-1),IF(AND($L$37=0,$P$34=0),"",$L$37-1)),0,YEARFRAC(MAX($P$34*($B160+$I$38-1),IF(AND($L$37=0,$P$34=0),"",$L$37-1)),MIN(BS$38,$E160),$P$20))-SUM($BF160:BR160))</f>
        <v>0</v>
      </c>
      <c r="BT160" s="446">
        <f>IF($E160=0,0,IF(MIN(BT$38,$E160)&lt;MAX($P$34*($B160+$I$38-1),IF(AND($L$37=0,$P$34=0),"",$L$37-1)),0,YEARFRAC(MAX($P$34*($B160+$I$38-1),IF(AND($L$37=0,$P$34=0),"",$L$37-1)),MIN(BT$38,$E160),$P$20))-SUM($BF160:BS160))</f>
        <v>0</v>
      </c>
      <c r="BU160" s="446">
        <f>IF($E160=0,0,IF(MIN(BU$38,$E160)&lt;MAX($P$34*($B160+$I$38-1),IF(AND($L$37=0,$P$34=0),"",$L$37-1)),0,YEARFRAC(MAX($P$34*($B160+$I$38-1),IF(AND($L$37=0,$P$34=0),"",$L$37-1)),MIN(BU$38,$E160),$P$20))-SUM($BF160:BT160))</f>
        <v>0</v>
      </c>
      <c r="BV160" s="446">
        <f>IF($E160=0,0,IF(MIN(BV$38,$E160)&lt;MAX($P$34*($B160+$I$38-1),IF(AND($L$37=0,$P$34=0),"",$L$37-1)),0,YEARFRAC(MAX($P$34*($B160+$I$38-1),IF(AND($L$37=0,$P$34=0),"",$L$37-1)),MIN(BV$38,$E160),$P$20))-SUM($BF160:BU160))</f>
        <v>0</v>
      </c>
      <c r="BW160" s="446">
        <f>IF($E160=0,0,IF(MIN(BW$38,$E160)&lt;MAX($P$34*($B160+$I$38-1),IF(AND($L$37=0,$P$34=0),"",$L$37-1)),0,YEARFRAC(MAX($P$34*($B160+$I$38-1),IF(AND($L$37=0,$P$34=0),"",$L$37-1)),MIN(BW$38,$E160),$P$20))-SUM($BF160:BV160))</f>
        <v>0</v>
      </c>
      <c r="BX160" s="446">
        <f>IF($E160=0,0,IF(MIN(BX$38,$E160)&lt;MAX($P$34*($B160+$I$38-1),IF(AND($L$37=0,$P$34=0),"",$L$37-1)),0,YEARFRAC(MAX($P$34*($B160+$I$38-1),IF(AND($L$37=0,$P$34=0),"",$L$37-1)),MIN(BX$38,$E160),$P$20))-SUM($BF160:BW160))</f>
        <v>0</v>
      </c>
      <c r="BY160" s="446">
        <f>IF($E160=0,0,IF(MIN(BY$38,$E160)&lt;MAX($P$34*($B160+$I$38-1),IF(AND($L$37=0,$P$34=0),"",$L$37-1)),0,YEARFRAC(MAX($P$34*($B160+$I$38-1),IF(AND($L$37=0,$P$34=0),"",$L$37-1)),MIN(BY$38,$E160),$P$20))-SUM($BF160:BX160))</f>
        <v>0</v>
      </c>
      <c r="BZ160" s="446">
        <f>IF($E160=0,0,IF(MIN(BZ$38,$E160)&lt;MAX($P$34*($B160+$I$38-1),IF(AND($L$37=0,$P$34=0),"",$L$37-1)),0,YEARFRAC(MAX($P$34*($B160+$I$38-1),IF(AND($L$37=0,$P$34=0),"",$L$37-1)),MIN(BZ$38,$E160),$P$20))-SUM($BF160:BY160))</f>
        <v>0</v>
      </c>
      <c r="CA160" s="446">
        <f>IF($E160=0,0,IF(MIN(CA$38,$E160)&lt;MAX($P$34*($B160+$I$38-1),IF(AND($L$37=0,$P$34=0),"",$L$37-1)),0,YEARFRAC(MAX($P$34*($B160+$I$38-1),IF(AND($L$37=0,$P$34=0),"",$L$37-1)),MIN(CA$38,$E160),$P$20))-SUM($BF160:BZ160))</f>
        <v>0</v>
      </c>
      <c r="CB160" s="446">
        <f>IF($E160=0,0,IF(MIN(CB$38,$E160)&lt;MAX($P$34*($B160+$I$38-1),IF(AND($L$37=0,$P$34=0),"",$L$37-1)),0,YEARFRAC(MAX($P$34*($B160+$I$38-1),IF(AND($L$37=0,$P$34=0),"",$L$37-1)),MIN(CB$38,$E160),$P$20))-SUM($BF160:CA160))</f>
        <v>0</v>
      </c>
      <c r="CC160" s="446">
        <f>IF($E160=0,0,IF(MIN(CC$38,$E160)&lt;MAX($P$34*($B160+$I$38-1),IF(AND($L$37=0,$P$34=0),"",$L$37-1)),0,YEARFRAC(MAX($P$34*($B160+$I$38-1),IF(AND($L$37=0,$P$34=0),"",$L$37-1)),MIN(CC$38,$E160),$P$20))-SUM($BF160:CB160))</f>
        <v>0</v>
      </c>
      <c r="CD160" s="446">
        <f>IF($E160=0,0,IF(MIN(CD$38,$E160)&lt;MAX($P$34*($B160+$I$38-1),IF(AND($L$37=0,$P$34=0),"",$L$37-1)),0,YEARFRAC(MAX($P$34*($B160+$I$38-1),IF(AND($L$37=0,$P$34=0),"",$L$37-1)),MIN(CD$38,$E160),$P$20))-SUM($BF160:CC160))</f>
        <v>0</v>
      </c>
      <c r="CE160" s="446">
        <f>IF($E160=0,0,IF(MIN(CE$38,$E160)&lt;MAX($P$34*($B160+$I$38-1),IF(AND($L$37=0,$P$34=0),"",$L$37-1)),0,YEARFRAC(MAX($P$34*($B160+$I$38-1),IF(AND($L$37=0,$P$34=0),"",$L$37-1)),MIN(CE$38,$E160),$P$20))-SUM($BF160:CD160))</f>
        <v>0</v>
      </c>
      <c r="CF160" s="446">
        <f>IF($E160=0,0,IF(MIN(CF$38,$E160)&lt;MAX($P$34*($B160+$I$38-1),IF(AND($L$37=0,$P$34=0),"",$L$37-1)),0,YEARFRAC(MAX($P$34*($B160+$I$38-1),IF(AND($L$37=0,$P$34=0),"",$L$37-1)),MIN(CF$38,$E160),$P$20))-SUM($BF160:CE160))</f>
        <v>0</v>
      </c>
      <c r="CG160" s="446">
        <f>IF($E160=0,0,IF(MIN(CG$38,$E160)&lt;MAX($P$34*($B160+$I$38-1),IF(AND($L$37=0,$P$34=0),"",$L$37-1)),0,YEARFRAC(MAX($P$34*($B160+$I$38-1),IF(AND($L$37=0,$P$34=0),"",$L$37-1)),MIN(CG$38,$E160),$P$20))-SUM($BF160:CF160))</f>
        <v>0</v>
      </c>
      <c r="CH160" s="446">
        <f>IF($E160=0,0,IF(MIN(CH$38,$E160)&lt;MAX($P$34*($B160+$I$38-1),IF(AND($L$37=0,$P$34=0),"",$L$37-1)),0,YEARFRAC(MAX($P$34*($B160+$I$38-1),IF(AND($L$37=0,$P$34=0),"",$L$37-1)),MIN(CH$38,$E160),$P$20))-SUM($BF160:CG160))</f>
        <v>0</v>
      </c>
      <c r="CI160" s="446">
        <f>IF($E160=0,0,IF(MIN(CI$38,$E160)&lt;MAX($P$34*($B160+$I$38-1),IF(AND($L$37=0,$P$34=0),"",$L$37-1)),0,YEARFRAC(MAX($P$34*($B160+$I$38-1),IF(AND($L$37=0,$P$34=0),"",$L$37-1)),MIN(CI$38,$E160),$P$20))-SUM($BF160:CH160))</f>
        <v>0</v>
      </c>
      <c r="CJ160" s="446">
        <f>IF($E160=0,0,IF(MIN(CJ$38,$E160)&lt;MAX($P$34*($B160+$I$38-1),IF(AND($L$37=0,$P$34=0),"",$L$37-1)),0,YEARFRAC(MAX($P$34*($B160+$I$38-1),IF(AND($L$37=0,$P$34=0),"",$L$37-1)),MIN(CJ$38,$E160),$P$20))-SUM($BF160:CI160))</f>
        <v>0</v>
      </c>
      <c r="CK160" s="446">
        <f>IF($E160=0,0,IF(MIN(CK$38,$E160)&lt;MAX($P$34*($B160+$I$38-1),IF(AND($L$37=0,$P$34=0),"",$L$37-1)),0,YEARFRAC(MAX($P$34*($B160+$I$38-1),IF(AND($L$37=0,$P$34=0),"",$L$37-1)),MIN(CK$38,$E160),$P$20))-SUM($BF160:CJ160))</f>
        <v>0</v>
      </c>
      <c r="CL160" s="446">
        <f>IF($E160=0,0,IF(MIN(CL$38,$E160)&lt;MAX($P$34*($B160+$I$38-1),IF(AND($L$37=0,$P$34=0),"",$L$37-1)),0,YEARFRAC(MAX($P$34*($B160+$I$38-1),IF(AND($L$37=0,$P$34=0),"",$L$37-1)),MIN(CL$38,$E160),$P$20))-SUM($BF160:CK160))</f>
        <v>0</v>
      </c>
      <c r="CM160" s="446">
        <f>IF($E160=0,0,IF(MIN(CM$38,$E160)&lt;MAX($P$34*($B160+$I$38-1),IF(AND($L$37=0,$P$34=0),"",$L$37-1)),0,YEARFRAC(MAX($P$34*($B160+$I$38-1),IF(AND($L$37=0,$P$34=0),"",$L$37-1)),MIN(CM$38,$E160),$P$20))-SUM($BF160:CL160))</f>
        <v>0</v>
      </c>
      <c r="CN160" s="446">
        <f>IF($E160=0,0,IF(MIN(CN$38,$E160)&lt;MAX($P$34*($B160+$I$38-1),IF(AND($L$37=0,$P$34=0),"",$L$37-1)),0,YEARFRAC(MAX($P$34*($B160+$I$38-1),IF(AND($L$37=0,$P$34=0),"",$L$37-1)),MIN(CN$38,$E160),$P$20))-SUM($BF160:CM160))</f>
        <v>0</v>
      </c>
      <c r="CO160" s="446">
        <f>IF($E160=0,0,IF(MIN(CO$38,$E160)&lt;MAX($P$34*($B160+$I$38-1),IF(AND($L$37=0,$P$34=0),"",$L$37-1)),0,YEARFRAC(MAX($P$34*($B160+$I$38-1),IF(AND($L$37=0,$P$34=0),"",$L$37-1)),MIN(CO$38,$E160),$P$20))-SUM($BF160:CN160))</f>
        <v>0</v>
      </c>
      <c r="CP160" s="446">
        <f>IF($E160=0,0,IF(MIN(CP$38,$E160)&lt;MAX($P$34*($B160+$I$38-1),IF(AND($L$37=0,$P$34=0),"",$L$37-1)),0,YEARFRAC(MAX($P$34*($B160+$I$38-1),IF(AND($L$37=0,$P$34=0),"",$L$37-1)),MIN(CP$38,$E160),$P$20))-SUM($BF160:CO160))</f>
        <v>0</v>
      </c>
      <c r="CQ160" s="446">
        <f>IF($E160=0,0,IF(MIN(CQ$38,$E160)&lt;MAX($P$34*($B160+$I$38-1),IF(AND($L$37=0,$P$34=0),"",$L$37-1)),0,YEARFRAC(MAX($P$34*($B160+$I$38-1),IF(AND($L$37=0,$P$34=0),"",$L$37-1)),MIN(CQ$38,$E160),$P$20))-SUM($BF160:CP160))</f>
        <v>0</v>
      </c>
    </row>
    <row r="161" spans="1:95" s="446" customFormat="1" ht="11.25" hidden="1" customHeight="1" x14ac:dyDescent="0.2">
      <c r="A161" s="152"/>
      <c r="B161" s="153" t="str">
        <f t="shared" si="26"/>
        <v/>
      </c>
      <c r="C161" s="29" t="str">
        <f>IF(B161="","",IF($L$35="SELIC - TRIBUTOS",VLOOKUP(DATE(YEAR($D$19),MONTH($D$19)-1,1),ÍNDICES!$A:$DE,HLOOKUP($BL$25,ÍNDICES!$B$3:$T$4,2)+11)-VLOOKUP(B161,ÍNDICES!$A:$DE,HLOOKUP($BL$25,ÍNDICES!$B$3:$T$4,2)+11)+1%,IF(C$38=$W$26,$J$35,IF(ISERROR(IF(B161&gt;$D$19,1,VLOOKUP(DATE(YEAR(B161),MONTH(B161)+IF($C$35=$S$23,1,0),1),ÍNDICES!$A:$DE,$Z$35+1))),"",IF(B161&gt;$D$19,1,VLOOKUP(DATE(YEAR(B161),MONTH(B161)+IF($C$35=$S$23,1,0),1),ÍNDICES!$A:$DE,$Z$35+1))))))</f>
        <v/>
      </c>
      <c r="D161" s="154" t="str">
        <f>IF(ISERROR(IF(OR($D$38=$Y$27,$B161=""),"",VLOOKUP(B161,ÍNDICES!A:DE,AF$35+1))),"",IF(OR($D$38=$Y$27,$B161=""),"",VLOOKUP(B161,ÍNDICES!A:DE,AF$35+1)))</f>
        <v/>
      </c>
      <c r="E161" s="153"/>
      <c r="F161" s="29" t="str">
        <f>IF(E161="","",IF($L$35="SELIC - TRIBUTOS",VLOOKUP(DATE(YEAR($D$19),MONTH($D$19)-1,1),ÍNDICES!$A:$DE,HLOOKUP($BL$25,ÍNDICES!$B$3:$T$4,2)+11)-VLOOKUP(E161,ÍNDICES!$A:$DE,HLOOKUP($BL$25,ÍNDICES!$B$3:$T$4,2)+11)+1%,IF(F$38=$W$26,$J$35,IF(ISERROR(IF(E161&gt;$D$19,1,VLOOKUP(DATE(YEAR(E161),MONTH(E161)+IF($C$35=$S$23,1,0),1),ÍNDICES!$A:$DE,$Z$35+1))),"",IF(E161&gt;$D$19,1,VLOOKUP(DATE(YEAR(E161),MONTH(E161)+IF($C$35=$S$23,1,0),1),ÍNDICES!$A:$DE,$Z$35+1))))))</f>
        <v/>
      </c>
      <c r="G161" s="155"/>
      <c r="H161" s="156" t="str">
        <f t="shared" si="22"/>
        <v/>
      </c>
      <c r="I161" s="29" t="str">
        <f t="shared" si="16"/>
        <v/>
      </c>
      <c r="J161" s="5">
        <f t="shared" si="17"/>
        <v>0</v>
      </c>
      <c r="K161" s="20">
        <f t="shared" ca="1" si="18"/>
        <v>0</v>
      </c>
      <c r="L161" s="5">
        <f t="shared" ca="1" si="19"/>
        <v>0</v>
      </c>
      <c r="M161" s="64">
        <f t="shared" si="23"/>
        <v>0</v>
      </c>
      <c r="N161" s="61">
        <f t="shared" ca="1" si="24"/>
        <v>0</v>
      </c>
      <c r="O161" s="5">
        <f t="shared" ca="1" si="25"/>
        <v>0</v>
      </c>
      <c r="P161" s="446" t="e">
        <f t="shared" si="20"/>
        <v>#VALUE!</v>
      </c>
      <c r="Q161" s="446" t="e">
        <f>IF(OR($B161="",MIN(Q$38,$D$19)&lt;MAX($P$34*($B161+IF($R$17="Distrato",$I$38-1,0)),IF(AND($L$37=0,$P$34=0),"",$L$37-1),IF($R$17="Distrato",$E161,0))),0,YEARFRAC(MAX($P$34*($B161+IF($R$17="Distrato",$I$38-1,0)),IF(AND($L$37=0,$P$34=0),"",$L$37-1),IF($R$17="Distrato",$E161,0)),MIN(Q$38,$D$19),$P$20))-SUM($P161:P161)</f>
        <v>#VALUE!</v>
      </c>
      <c r="R161" s="446" t="e">
        <f>IF(OR($B161="",MIN(R$38,$D$19)&lt;MAX($P$34*($B161+IF($R$17="Distrato",$I$38-1,0)),IF(AND($L$37=0,$P$34=0),"",$L$37-1),IF($R$17="Distrato",$E161,0))),0,YEARFRAC(MAX($P$34*($B161+IF($R$17="Distrato",$I$38-1,0)),IF(AND($L$37=0,$P$34=0),"",$L$37-1),IF($R$17="Distrato",$E161,0)),MIN(R$38,$D$19),$P$20))-SUM($P161:Q161)</f>
        <v>#VALUE!</v>
      </c>
      <c r="S161" s="446" t="e">
        <f>IF(OR($B161="",MIN(S$38,$D$19)&lt;MAX($P$34*($B161+IF($R$17="Distrato",$I$38-1,0)),IF(AND($L$37=0,$P$34=0),"",$L$37-1),IF($R$17="Distrato",$E161,0))),0,YEARFRAC(MAX($P$34*($B161+IF($R$17="Distrato",$I$38-1,0)),IF(AND($L$37=0,$P$34=0),"",$L$37-1),IF($R$17="Distrato",$E161,0)),MIN(S$38,$D$19),$P$20))-SUM($P161:R161)</f>
        <v>#VALUE!</v>
      </c>
      <c r="T161" s="446" t="e">
        <f>IF(OR($B161="",MIN(T$38,$D$19)&lt;MAX($P$34*($B161+IF($R$17="Distrato",$I$38-1,0)),IF(AND($L$37=0,$P$34=0),"",$L$37-1),IF($R$17="Distrato",$E161,0))),0,YEARFRAC(MAX($P$34*($B161+IF($R$17="Distrato",$I$38-1,0)),IF(AND($L$37=0,$P$34=0),"",$L$37-1),IF($R$17="Distrato",$E161,0)),MIN(T$38,$D$19),$P$20))-SUM($P161:S161)</f>
        <v>#VALUE!</v>
      </c>
      <c r="U161" s="446" t="e">
        <f>IF(OR($B161="",MIN(U$38,$D$19)&lt;MAX($P$34*($B161+IF($R$17="Distrato",$I$38-1,0)),IF(AND($L$37=0,$P$34=0),"",$L$37-1),IF($R$17="Distrato",$E161,0))),0,YEARFRAC(MAX($P$34*($B161+IF($R$17="Distrato",$I$38-1,0)),IF(AND($L$37=0,$P$34=0),"",$L$37-1),IF($R$17="Distrato",$E161,0)),MIN(U$38,$D$19),$P$20))-SUM($P161:T161)</f>
        <v>#VALUE!</v>
      </c>
      <c r="V161" s="446" t="e">
        <f>IF(OR($B161="",MIN(V$38,$D$19)&lt;MAX($P$34*($B161+IF($R$17="Distrato",$I$38-1,0)),IF(AND($L$37=0,$P$34=0),"",$L$37-1),IF($R$17="Distrato",$E161,0))),0,YEARFRAC(MAX($P$34*($B161+IF($R$17="Distrato",$I$38-1,0)),IF(AND($L$37=0,$P$34=0),"",$L$37-1),IF($R$17="Distrato",$E161,0)),MIN(V$38,$D$19),$P$20))-SUM($P161:U161)</f>
        <v>#VALUE!</v>
      </c>
      <c r="W161" s="446" t="e">
        <f>IF(OR($B161="",MIN(W$38,$D$19)&lt;MAX($P$34*($B161+IF($R$17="Distrato",$I$38-1,0)),IF(AND($L$37=0,$P$34=0),"",$L$37-1),IF($R$17="Distrato",$E161,0))),0,YEARFRAC(MAX($P$34*($B161+IF($R$17="Distrato",$I$38-1,0)),IF(AND($L$37=0,$P$34=0),"",$L$37-1),IF($R$17="Distrato",$E161,0)),MIN(W$38,$D$19),$P$20))-SUM($P161:V161)</f>
        <v>#VALUE!</v>
      </c>
      <c r="X161" s="446" t="e">
        <f>IF(OR($B161="",MIN(X$38,$D$19)&lt;MAX($P$34*($B161+IF($R$17="Distrato",$I$38-1,0)),IF(AND($L$37=0,$P$34=0),"",$L$37-1),IF($R$17="Distrato",$E161,0))),0,YEARFRAC(MAX($P$34*($B161+IF($R$17="Distrato",$I$38-1,0)),IF(AND($L$37=0,$P$34=0),"",$L$37-1),IF($R$17="Distrato",$E161,0)),MIN(X$38,$D$19),$P$20))-SUM($P161:W161)</f>
        <v>#VALUE!</v>
      </c>
      <c r="Y161" s="446" t="e">
        <f>IF(OR($B161="",MIN(Y$38,$D$19)&lt;MAX($P$34*($B161+IF($R$17="Distrato",$I$38-1,0)),IF(AND($L$37=0,$P$34=0),"",$L$37-1),IF($R$17="Distrato",$E161,0))),0,YEARFRAC(MAX($P$34*($B161+IF($R$17="Distrato",$I$38-1,0)),IF(AND($L$37=0,$P$34=0),"",$L$37-1),IF($R$17="Distrato",$E161,0)),MIN(Y$38,$D$19),$P$20))-SUM($P161:X161)</f>
        <v>#VALUE!</v>
      </c>
      <c r="Z161" s="446" t="e">
        <f>IF(OR($B161="",MIN(Z$38,$D$19)&lt;MAX($P$34*($B161+IF($R$17="Distrato",$I$38-1,0)),IF(AND($L$37=0,$P$34=0),"",$L$37-1),IF($R$17="Distrato",$E161,0))),0,YEARFRAC(MAX($P$34*($B161+IF($R$17="Distrato",$I$38-1,0)),IF(AND($L$37=0,$P$34=0),"",$L$37-1),IF($R$17="Distrato",$E161,0)),MIN(Z$38,$D$19),$P$20))-SUM($P161:Y161)</f>
        <v>#VALUE!</v>
      </c>
      <c r="AA161" s="446" t="e">
        <f>IF(OR($B161="",MIN(AA$38,$D$19)&lt;MAX($P$34*($B161+IF($R$17="Distrato",$I$38-1,0)),IF(AND($L$37=0,$P$34=0),"",$L$37-1),IF($R$17="Distrato",$E161,0))),0,YEARFRAC(MAX($P$34*($B161+IF($R$17="Distrato",$I$38-1,0)),IF(AND($L$37=0,$P$34=0),"",$L$37-1),IF($R$17="Distrato",$E161,0)),MIN(AA$38,$D$19),$P$20))-SUM($P161:Z161)</f>
        <v>#VALUE!</v>
      </c>
      <c r="AB161" s="446" t="e">
        <f>IF(OR($B161="",MIN(AB$38,$D$19)&lt;MAX($P$34*($B161+IF($R$17="Distrato",$I$38-1,0)),IF(AND($L$37=0,$P$34=0),"",$L$37-1),IF($R$17="Distrato",$E161,0))),0,YEARFRAC(MAX($P$34*($B161+IF($R$17="Distrato",$I$38-1,0)),IF(AND($L$37=0,$P$34=0),"",$L$37-1),IF($R$17="Distrato",$E161,0)),MIN(AB$38,$D$19),$P$20))-SUM($P161:AA161)</f>
        <v>#VALUE!</v>
      </c>
      <c r="AC161" s="446" t="e">
        <f>IF(OR($B161="",MIN(AC$38,$D$19)&lt;MAX($P$34*($B161+IF($R$17="Distrato",$I$38-1,0)),IF(AND($L$37=0,$P$34=0),"",$L$37-1),IF($R$17="Distrato",$E161,0))),0,YEARFRAC(MAX($P$34*($B161+IF($R$17="Distrato",$I$38-1,0)),IF(AND($L$37=0,$P$34=0),"",$L$37-1),IF($R$17="Distrato",$E161,0)),MIN(AC$38,$D$19),$P$20))-SUM($P161:AB161)</f>
        <v>#VALUE!</v>
      </c>
      <c r="AD161" s="446" t="e">
        <f>IF(OR($B161="",MIN(AD$38,$D$19)&lt;MAX($P$34*($B161+IF($R$17="Distrato",$I$38-1,0)),IF(AND($L$37=0,$P$34=0),"",$L$37-1),IF($R$17="Distrato",$E161,0))),0,YEARFRAC(MAX($P$34*($B161+IF($R$17="Distrato",$I$38-1,0)),IF(AND($L$37=0,$P$34=0),"",$L$37-1),IF($R$17="Distrato",$E161,0)),MIN(AD$38,$D$19),$P$20))-SUM($P161:AC161)</f>
        <v>#VALUE!</v>
      </c>
      <c r="AE161" s="446" t="e">
        <f>IF(OR($B161="",MIN(AE$38,$D$19)&lt;MAX($P$34*($B161+IF($R$17="Distrato",$I$38-1,0)),IF(AND($L$37=0,$P$34=0),"",$L$37-1),IF($R$17="Distrato",$E161,0))),0,YEARFRAC(MAX($P$34*($B161+IF($R$17="Distrato",$I$38-1,0)),IF(AND($L$37=0,$P$34=0),"",$L$37-1),IF($R$17="Distrato",$E161,0)),MIN(AE$38,$D$19),$P$20))-SUM($P161:AD161)</f>
        <v>#VALUE!</v>
      </c>
      <c r="AF161" s="446" t="e">
        <f>IF(OR($B161="",MIN(AF$38,$D$19)&lt;MAX($P$34*($B161+IF($R$17="Distrato",$I$38-1,0)),IF(AND($L$37=0,$P$34=0),"",$L$37-1),IF($R$17="Distrato",$E161,0))),0,YEARFRAC(MAX($P$34*($B161+IF($R$17="Distrato",$I$38-1,0)),IF(AND($L$37=0,$P$34=0),"",$L$37-1),IF($R$17="Distrato",$E161,0)),MIN(AF$38,$D$19),$P$20))-SUM($P161:AE161)</f>
        <v>#VALUE!</v>
      </c>
      <c r="AG161" s="446" t="e">
        <f>IF(OR($B161="",MIN(AG$38,$D$19)&lt;MAX($P$34*($B161+IF($R$17="Distrato",$I$38-1,0)),IF(AND($L$37=0,$P$34=0),"",$L$37-1),IF($R$17="Distrato",$E161,0))),0,YEARFRAC(MAX($P$34*($B161+IF($R$17="Distrato",$I$38-1,0)),IF(AND($L$37=0,$P$34=0),"",$L$37-1),IF($R$17="Distrato",$E161,0)),MIN(AG$38,$D$19),$P$20))-SUM($P161:AF161)</f>
        <v>#VALUE!</v>
      </c>
      <c r="AH161" s="446" t="e">
        <f>IF(OR($B161="",MIN(AH$38,$D$19)&lt;MAX($P$34*($B161+IF($R$17="Distrato",$I$38-1,0)),IF(AND($L$37=0,$P$34=0),"",$L$37-1),IF($R$17="Distrato",$E161,0))),0,YEARFRAC(MAX($P$34*($B161+IF($R$17="Distrato",$I$38-1,0)),IF(AND($L$37=0,$P$34=0),"",$L$37-1),IF($R$17="Distrato",$E161,0)),MIN(AH$38,$D$19),$P$20))-SUM($P161:AG161)</f>
        <v>#VALUE!</v>
      </c>
      <c r="AI161" s="446" t="e">
        <f>IF(OR($B161="",MIN(AI$38,$D$19)&lt;MAX($P$34*($B161+IF($R$17="Distrato",$I$38-1,0)),IF(AND($L$37=0,$P$34=0),"",$L$37-1),IF($R$17="Distrato",$E161,0))),0,YEARFRAC(MAX($P$34*($B161+IF($R$17="Distrato",$I$38-1,0)),IF(AND($L$37=0,$P$34=0),"",$L$37-1),IF($R$17="Distrato",$E161,0)),MIN(AI$38,$D$19),$P$20))-SUM($P161:AH161)</f>
        <v>#VALUE!</v>
      </c>
      <c r="AJ161" s="446" t="e">
        <f>IF(OR($B161="",MIN(AJ$38,$D$19)&lt;MAX($P$34*($B161+IF($R$17="Distrato",$I$38-1,0)),IF(AND($L$37=0,$P$34=0),"",$L$37-1),IF($R$17="Distrato",$E161,0))),0,YEARFRAC(MAX($P$34*($B161+IF($R$17="Distrato",$I$38-1,0)),IF(AND($L$37=0,$P$34=0),"",$L$37-1),IF($R$17="Distrato",$E161,0)),MIN(AJ$38,$D$19),$P$20))-SUM($P161:AI161)</f>
        <v>#VALUE!</v>
      </c>
      <c r="AK161" s="446" t="e">
        <f>IF(OR($B161="",MIN(AK$38,$D$19)&lt;MAX($P$34*($B161+IF($R$17="Distrato",$I$38-1,0)),IF(AND($L$37=0,$P$34=0),"",$L$37-1),IF($R$17="Distrato",$E161,0))),0,YEARFRAC(MAX($P$34*($B161+IF($R$17="Distrato",$I$38-1,0)),IF(AND($L$37=0,$P$34=0),"",$L$37-1),IF($R$17="Distrato",$E161,0)),MIN(AK$38,$D$19),$P$20))-SUM($P161:AJ161)</f>
        <v>#VALUE!</v>
      </c>
      <c r="AL161" s="446" t="e">
        <f>IF(OR($B161="",MIN(AL$38,$D$19)&lt;MAX($P$34*($B161+IF($R$17="Distrato",$I$38-1,0)),IF(AND($L$37=0,$P$34=0),"",$L$37-1),IF($R$17="Distrato",$E161,0))),0,YEARFRAC(MAX($P$34*($B161+IF($R$17="Distrato",$I$38-1,0)),IF(AND($L$37=0,$P$34=0),"",$L$37-1),IF($R$17="Distrato",$E161,0)),MIN(AL$38,$D$19),$P$20))-SUM($P161:AK161)</f>
        <v>#VALUE!</v>
      </c>
      <c r="AM161" s="446" t="e">
        <f>IF(OR($B161="",MIN(AM$38,$D$19)&lt;MAX($P$34*($B161+IF($R$17="Distrato",$I$38-1,0)),IF(AND($L$37=0,$P$34=0),"",$L$37-1),IF($R$17="Distrato",$E161,0))),0,YEARFRAC(MAX($P$34*($B161+IF($R$17="Distrato",$I$38-1,0)),IF(AND($L$37=0,$P$34=0),"",$L$37-1),IF($R$17="Distrato",$E161,0)),MIN(AM$38,$D$19),$P$20))-SUM($P161:AL161)</f>
        <v>#VALUE!</v>
      </c>
      <c r="AN161" s="446" t="e">
        <f>IF(OR($B161="",MIN(AN$38,$D$19)&lt;MAX($P$34*($B161+IF($R$17="Distrato",$I$38-1,0)),IF(AND($L$37=0,$P$34=0),"",$L$37-1),IF($R$17="Distrato",$E161,0))),0,YEARFRAC(MAX($P$34*($B161+IF($R$17="Distrato",$I$38-1,0)),IF(AND($L$37=0,$P$34=0),"",$L$37-1),IF($R$17="Distrato",$E161,0)),MIN(AN$38,$D$19),$P$20))-SUM($P161:AM161)</f>
        <v>#VALUE!</v>
      </c>
      <c r="AO161" s="446" t="e">
        <f>IF(OR($B161="",MIN(AO$38,$D$19)&lt;MAX($P$34*($B161+IF($R$17="Distrato",$I$38-1,0)),IF(AND($L$37=0,$P$34=0),"",$L$37-1),IF($R$17="Distrato",$E161,0))),0,YEARFRAC(MAX($P$34*($B161+IF($R$17="Distrato",$I$38-1,0)),IF(AND($L$37=0,$P$34=0),"",$L$37-1),IF($R$17="Distrato",$E161,0)),MIN(AO$38,$D$19),$P$20))-SUM($P161:AN161)</f>
        <v>#VALUE!</v>
      </c>
      <c r="AP161" s="446" t="e">
        <f>IF(OR($B161="",MIN(AP$38,$D$19)&lt;MAX($P$34*($B161+IF($R$17="Distrato",$I$38-1,0)),IF(AND($L$37=0,$P$34=0),"",$L$37-1),IF($R$17="Distrato",$E161,0))),0,YEARFRAC(MAX($P$34*($B161+IF($R$17="Distrato",$I$38-1,0)),IF(AND($L$37=0,$P$34=0),"",$L$37-1),IF($R$17="Distrato",$E161,0)),MIN(AP$38,$D$19),$P$20))-SUM($P161:AO161)</f>
        <v>#VALUE!</v>
      </c>
      <c r="AQ161" s="446" t="e">
        <f>IF(OR($B161="",MIN(AQ$38,$D$19)&lt;MAX($P$34*($B161+IF($R$17="Distrato",$I$38-1,0)),IF(AND($L$37=0,$P$34=0),"",$L$37-1),IF($R$17="Distrato",$E161,0))),0,YEARFRAC(MAX($P$34*($B161+IF($R$17="Distrato",$I$38-1,0)),IF(AND($L$37=0,$P$34=0),"",$L$37-1),IF($R$17="Distrato",$E161,0)),MIN(AQ$38,$D$19),$P$20))-SUM($P161:AP161)</f>
        <v>#VALUE!</v>
      </c>
      <c r="AR161" s="446" t="e">
        <f>IF(OR($B161="",MIN(AR$38,$D$19)&lt;MAX($P$34*($B161+IF($R$17="Distrato",$I$38-1,0)),IF(AND($L$37=0,$P$34=0),"",$L$37-1),IF($R$17="Distrato",$E161,0))),0,YEARFRAC(MAX($P$34*($B161+IF($R$17="Distrato",$I$38-1,0)),IF(AND($L$37=0,$P$34=0),"",$L$37-1),IF($R$17="Distrato",$E161,0)),MIN(AR$38,$D$19),$P$20))-SUM($P161:AQ161)</f>
        <v>#VALUE!</v>
      </c>
      <c r="AS161" s="446" t="e">
        <f>IF(OR($B161="",MIN(AS$38,$D$19)&lt;MAX($P$34*($B161+IF($R$17="Distrato",$I$38-1,0)),IF(AND($L$37=0,$P$34=0),"",$L$37-1),IF($R$17="Distrato",$E161,0))),0,YEARFRAC(MAX($P$34*($B161+IF($R$17="Distrato",$I$38-1,0)),IF(AND($L$37=0,$P$34=0),"",$L$37-1),IF($R$17="Distrato",$E161,0)),MIN(AS$38,$D$19),$P$20))-SUM($P161:AR161)</f>
        <v>#VALUE!</v>
      </c>
      <c r="AT161" s="446" t="e">
        <f>IF(OR($B161="",MIN(AT$38,$D$19)&lt;MAX($P$34*($B161+IF($R$17="Distrato",$I$38-1,0)),IF(AND($L$37=0,$P$34=0),"",$L$37-1),IF($R$17="Distrato",$E161,0))),0,YEARFRAC(MAX($P$34*($B161+IF($R$17="Distrato",$I$38-1,0)),IF(AND($L$37=0,$P$34=0),"",$L$37-1),IF($R$17="Distrato",$E161,0)),MIN(AT$38,$D$19),$P$20))-SUM($P161:AS161)</f>
        <v>#VALUE!</v>
      </c>
      <c r="AU161" s="446" t="e">
        <f>IF(OR($B161="",MIN(AU$38,$D$19)&lt;MAX($P$34*($B161+IF($R$17="Distrato",$I$38-1,0)),IF(AND($L$37=0,$P$34=0),"",$L$37-1),IF($R$17="Distrato",$E161,0))),0,YEARFRAC(MAX($P$34*($B161+IF($R$17="Distrato",$I$38-1,0)),IF(AND($L$37=0,$P$34=0),"",$L$37-1),IF($R$17="Distrato",$E161,0)),MIN(AU$38,$D$19),$P$20))-SUM($P161:AT161)</f>
        <v>#VALUE!</v>
      </c>
      <c r="AV161" s="446" t="e">
        <f>IF(OR($B161="",MIN(AV$38,$D$19)&lt;MAX($P$34*($B161+IF($R$17="Distrato",$I$38-1,0)),IF(AND($L$37=0,$P$34=0),"",$L$37-1),IF($R$17="Distrato",$E161,0))),0,YEARFRAC(MAX($P$34*($B161+IF($R$17="Distrato",$I$38-1,0)),IF(AND($L$37=0,$P$34=0),"",$L$37-1),IF($R$17="Distrato",$E161,0)),MIN(AV$38,$D$19),$P$20))-SUM($P161:AU161)</f>
        <v>#VALUE!</v>
      </c>
      <c r="AW161" s="446" t="e">
        <f>IF(OR($B161="",MIN(AW$38,$D$19)&lt;MAX($P$34*($B161+IF($R$17="Distrato",$I$38-1,0)),IF(AND($L$37=0,$P$34=0),"",$L$37-1),IF($R$17="Distrato",$E161,0))),0,YEARFRAC(MAX($P$34*($B161+IF($R$17="Distrato",$I$38-1,0)),IF(AND($L$37=0,$P$34=0),"",$L$37-1),IF($R$17="Distrato",$E161,0)),MIN(AW$38,$D$19),$P$20))-SUM($P161:AV161)</f>
        <v>#VALUE!</v>
      </c>
      <c r="AX161" s="446" t="e">
        <f>IF(OR($B161="",MIN(AX$38,$D$19)&lt;MAX($P$34*($B161+IF($R$17="Distrato",$I$38-1,0)),IF(AND($L$37=0,$P$34=0),"",$L$37-1),IF($R$17="Distrato",$E161,0))),0,YEARFRAC(MAX($P$34*($B161+IF($R$17="Distrato",$I$38-1,0)),IF(AND($L$37=0,$P$34=0),"",$L$37-1),IF($R$17="Distrato",$E161,0)),MIN(AX$38,$D$19),$P$20))-SUM($P161:AW161)</f>
        <v>#VALUE!</v>
      </c>
      <c r="AY161" s="446" t="e">
        <f>IF(OR($B161="",MIN(AY$38,$D$19)&lt;MAX($P$34*($B161+IF($R$17="Distrato",$I$38-1,0)),IF(AND($L$37=0,$P$34=0),"",$L$37-1),IF($R$17="Distrato",$E161,0))),0,YEARFRAC(MAX($P$34*($B161+IF($R$17="Distrato",$I$38-1,0)),IF(AND($L$37=0,$P$34=0),"",$L$37-1),IF($R$17="Distrato",$E161,0)),MIN(AY$38,$D$19),$P$20))-SUM($P161:AX161)</f>
        <v>#VALUE!</v>
      </c>
      <c r="AZ161" s="446" t="e">
        <f>IF(OR($B161="",MIN(AZ$38,$D$19)&lt;MAX($P$34*($B161+IF($R$17="Distrato",$I$38-1,0)),IF(AND($L$37=0,$P$34=0),"",$L$37-1),IF($R$17="Distrato",$E161,0))),0,YEARFRAC(MAX($P$34*($B161+IF($R$17="Distrato",$I$38-1,0)),IF(AND($L$37=0,$P$34=0),"",$L$37-1),IF($R$17="Distrato",$E161,0)),MIN(AZ$38,$D$19),$P$20))-SUM($P161:AY161)</f>
        <v>#VALUE!</v>
      </c>
      <c r="BA161" s="446" t="e">
        <f>IF(OR($B161="",MIN(BA$38,$D$19)&lt;MAX($P$34*($B161+IF($R$17="Distrato",$I$38-1,0)),IF(AND($L$37=0,$P$34=0),"",$L$37-1),IF($R$17="Distrato",$E161,0))),0,YEARFRAC(MAX($P$34*($B161+IF($R$17="Distrato",$I$38-1,0)),IF(AND($L$37=0,$P$34=0),"",$L$37-1),IF($R$17="Distrato",$E161,0)),MIN(BA$38,$D$19),$P$20))-SUM($P161:AZ161)</f>
        <v>#VALUE!</v>
      </c>
      <c r="BB161" s="447"/>
      <c r="BF161" s="446">
        <f t="shared" si="21"/>
        <v>0</v>
      </c>
      <c r="BG161" s="446">
        <f>IF($E161=0,0,IF(MIN(BG$38,$E161)&lt;MAX($P$34*($B161+$I$38-1),IF(AND($L$37=0,$P$34=0),"",$L$37-1)),0,YEARFRAC(MAX($P$34*($B161+$I$38-1),IF(AND($L$37=0,$P$34=0),"",$L$37-1)),MIN(BG$38,$E161),$P$20))-SUM($BF161:BF161))</f>
        <v>0</v>
      </c>
      <c r="BH161" s="446">
        <f>IF($E161=0,0,IF(MIN(BH$38,$E161)&lt;MAX($P$34*($B161+$I$38-1),IF(AND($L$37=0,$P$34=0),"",$L$37-1)),0,YEARFRAC(MAX($P$34*($B161+$I$38-1),IF(AND($L$37=0,$P$34=0),"",$L$37-1)),MIN(BH$38,$E161),$P$20))-SUM($BF161:BG161))</f>
        <v>0</v>
      </c>
      <c r="BI161" s="446">
        <f>IF($E161=0,0,IF(MIN(BI$38,$E161)&lt;MAX($P$34*($B161+$I$38-1),IF(AND($L$37=0,$P$34=0),"",$L$37-1)),0,YEARFRAC(MAX($P$34*($B161+$I$38-1),IF(AND($L$37=0,$P$34=0),"",$L$37-1)),MIN(BI$38,$E161),$P$20))-SUM($BF161:BH161))</f>
        <v>0</v>
      </c>
      <c r="BJ161" s="446">
        <f>IF($E161=0,0,IF(MIN(BJ$38,$E161)&lt;MAX($P$34*($B161+$I$38-1),IF(AND($L$37=0,$P$34=0),"",$L$37-1)),0,YEARFRAC(MAX($P$34*($B161+$I$38-1),IF(AND($L$37=0,$P$34=0),"",$L$37-1)),MIN(BJ$38,$E161),$P$20))-SUM($BF161:BI161))</f>
        <v>0</v>
      </c>
      <c r="BK161" s="446">
        <f>IF($E161=0,0,IF(MIN(BK$38,$E161)&lt;MAX($P$34*($B161+$I$38-1),IF(AND($L$37=0,$P$34=0),"",$L$37-1)),0,YEARFRAC(MAX($P$34*($B161+$I$38-1),IF(AND($L$37=0,$P$34=0),"",$L$37-1)),MIN(BK$38,$E161),$P$20))-SUM($BF161:BJ161))</f>
        <v>0</v>
      </c>
      <c r="BL161" s="446">
        <f>IF($E161=0,0,IF(MIN(BL$38,$E161)&lt;MAX($P$34*($B161+$I$38-1),IF(AND($L$37=0,$P$34=0),"",$L$37-1)),0,YEARFRAC(MAX($P$34*($B161+$I$38-1),IF(AND($L$37=0,$P$34=0),"",$L$37-1)),MIN(BL$38,$E161),$P$20))-SUM($BF161:BK161))</f>
        <v>0</v>
      </c>
      <c r="BM161" s="446">
        <f>IF($E161=0,0,IF(MIN(BM$38,$E161)&lt;MAX($P$34*($B161+$I$38-1),IF(AND($L$37=0,$P$34=0),"",$L$37-1)),0,YEARFRAC(MAX($P$34*($B161+$I$38-1),IF(AND($L$37=0,$P$34=0),"",$L$37-1)),MIN(BM$38,$E161),$P$20))-SUM($BF161:BL161))</f>
        <v>0</v>
      </c>
      <c r="BN161" s="446">
        <f>IF($E161=0,0,IF(MIN(BN$38,$E161)&lt;MAX($P$34*($B161+$I$38-1),IF(AND($L$37=0,$P$34=0),"",$L$37-1)),0,YEARFRAC(MAX($P$34*($B161+$I$38-1),IF(AND($L$37=0,$P$34=0),"",$L$37-1)),MIN(BN$38,$E161),$P$20))-SUM($BF161:BM161))</f>
        <v>0</v>
      </c>
      <c r="BO161" s="446">
        <f>IF($E161=0,0,IF(MIN(BO$38,$E161)&lt;MAX($P$34*($B161+$I$38-1),IF(AND($L$37=0,$P$34=0),"",$L$37-1)),0,YEARFRAC(MAX($P$34*($B161+$I$38-1),IF(AND($L$37=0,$P$34=0),"",$L$37-1)),MIN(BO$38,$E161),$P$20))-SUM($BF161:BN161))</f>
        <v>0</v>
      </c>
      <c r="BP161" s="446">
        <f>IF($E161=0,0,IF(MIN(BP$38,$E161)&lt;MAX($P$34*($B161+$I$38-1),IF(AND($L$37=0,$P$34=0),"",$L$37-1)),0,YEARFRAC(MAX($P$34*($B161+$I$38-1),IF(AND($L$37=0,$P$34=0),"",$L$37-1)),MIN(BP$38,$E161),$P$20))-SUM($BF161:BO161))</f>
        <v>0</v>
      </c>
      <c r="BQ161" s="446">
        <f>IF($E161=0,0,IF(MIN(BQ$38,$E161)&lt;MAX($P$34*($B161+$I$38-1),IF(AND($L$37=0,$P$34=0),"",$L$37-1)),0,YEARFRAC(MAX($P$34*($B161+$I$38-1),IF(AND($L$37=0,$P$34=0),"",$L$37-1)),MIN(BQ$38,$E161),$P$20))-SUM($BF161:BP161))</f>
        <v>0</v>
      </c>
      <c r="BR161" s="446">
        <f>IF($E161=0,0,IF(MIN(BR$38,$E161)&lt;MAX($P$34*($B161+$I$38-1),IF(AND($L$37=0,$P$34=0),"",$L$37-1)),0,YEARFRAC(MAX($P$34*($B161+$I$38-1),IF(AND($L$37=0,$P$34=0),"",$L$37-1)),MIN(BR$38,$E161),$P$20))-SUM($BF161:BQ161))</f>
        <v>0</v>
      </c>
      <c r="BS161" s="446">
        <f>IF($E161=0,0,IF(MIN(BS$38,$E161)&lt;MAX($P$34*($B161+$I$38-1),IF(AND($L$37=0,$P$34=0),"",$L$37-1)),0,YEARFRAC(MAX($P$34*($B161+$I$38-1),IF(AND($L$37=0,$P$34=0),"",$L$37-1)),MIN(BS$38,$E161),$P$20))-SUM($BF161:BR161))</f>
        <v>0</v>
      </c>
      <c r="BT161" s="446">
        <f>IF($E161=0,0,IF(MIN(BT$38,$E161)&lt;MAX($P$34*($B161+$I$38-1),IF(AND($L$37=0,$P$34=0),"",$L$37-1)),0,YEARFRAC(MAX($P$34*($B161+$I$38-1),IF(AND($L$37=0,$P$34=0),"",$L$37-1)),MIN(BT$38,$E161),$P$20))-SUM($BF161:BS161))</f>
        <v>0</v>
      </c>
      <c r="BU161" s="446">
        <f>IF($E161=0,0,IF(MIN(BU$38,$E161)&lt;MAX($P$34*($B161+$I$38-1),IF(AND($L$37=0,$P$34=0),"",$L$37-1)),0,YEARFRAC(MAX($P$34*($B161+$I$38-1),IF(AND($L$37=0,$P$34=0),"",$L$37-1)),MIN(BU$38,$E161),$P$20))-SUM($BF161:BT161))</f>
        <v>0</v>
      </c>
      <c r="BV161" s="446">
        <f>IF($E161=0,0,IF(MIN(BV$38,$E161)&lt;MAX($P$34*($B161+$I$38-1),IF(AND($L$37=0,$P$34=0),"",$L$37-1)),0,YEARFRAC(MAX($P$34*($B161+$I$38-1),IF(AND($L$37=0,$P$34=0),"",$L$37-1)),MIN(BV$38,$E161),$P$20))-SUM($BF161:BU161))</f>
        <v>0</v>
      </c>
      <c r="BW161" s="446">
        <f>IF($E161=0,0,IF(MIN(BW$38,$E161)&lt;MAX($P$34*($B161+$I$38-1),IF(AND($L$37=0,$P$34=0),"",$L$37-1)),0,YEARFRAC(MAX($P$34*($B161+$I$38-1),IF(AND($L$37=0,$P$34=0),"",$L$37-1)),MIN(BW$38,$E161),$P$20))-SUM($BF161:BV161))</f>
        <v>0</v>
      </c>
      <c r="BX161" s="446">
        <f>IF($E161=0,0,IF(MIN(BX$38,$E161)&lt;MAX($P$34*($B161+$I$38-1),IF(AND($L$37=0,$P$34=0),"",$L$37-1)),0,YEARFRAC(MAX($P$34*($B161+$I$38-1),IF(AND($L$37=0,$P$34=0),"",$L$37-1)),MIN(BX$38,$E161),$P$20))-SUM($BF161:BW161))</f>
        <v>0</v>
      </c>
      <c r="BY161" s="446">
        <f>IF($E161=0,0,IF(MIN(BY$38,$E161)&lt;MAX($P$34*($B161+$I$38-1),IF(AND($L$37=0,$P$34=0),"",$L$37-1)),0,YEARFRAC(MAX($P$34*($B161+$I$38-1),IF(AND($L$37=0,$P$34=0),"",$L$37-1)),MIN(BY$38,$E161),$P$20))-SUM($BF161:BX161))</f>
        <v>0</v>
      </c>
      <c r="BZ161" s="446">
        <f>IF($E161=0,0,IF(MIN(BZ$38,$E161)&lt;MAX($P$34*($B161+$I$38-1),IF(AND($L$37=0,$P$34=0),"",$L$37-1)),0,YEARFRAC(MAX($P$34*($B161+$I$38-1),IF(AND($L$37=0,$P$34=0),"",$L$37-1)),MIN(BZ$38,$E161),$P$20))-SUM($BF161:BY161))</f>
        <v>0</v>
      </c>
      <c r="CA161" s="446">
        <f>IF($E161=0,0,IF(MIN(CA$38,$E161)&lt;MAX($P$34*($B161+$I$38-1),IF(AND($L$37=0,$P$34=0),"",$L$37-1)),0,YEARFRAC(MAX($P$34*($B161+$I$38-1),IF(AND($L$37=0,$P$34=0),"",$L$37-1)),MIN(CA$38,$E161),$P$20))-SUM($BF161:BZ161))</f>
        <v>0</v>
      </c>
      <c r="CB161" s="446">
        <f>IF($E161=0,0,IF(MIN(CB$38,$E161)&lt;MAX($P$34*($B161+$I$38-1),IF(AND($L$37=0,$P$34=0),"",$L$37-1)),0,YEARFRAC(MAX($P$34*($B161+$I$38-1),IF(AND($L$37=0,$P$34=0),"",$L$37-1)),MIN(CB$38,$E161),$P$20))-SUM($BF161:CA161))</f>
        <v>0</v>
      </c>
      <c r="CC161" s="446">
        <f>IF($E161=0,0,IF(MIN(CC$38,$E161)&lt;MAX($P$34*($B161+$I$38-1),IF(AND($L$37=0,$P$34=0),"",$L$37-1)),0,YEARFRAC(MAX($P$34*($B161+$I$38-1),IF(AND($L$37=0,$P$34=0),"",$L$37-1)),MIN(CC$38,$E161),$P$20))-SUM($BF161:CB161))</f>
        <v>0</v>
      </c>
      <c r="CD161" s="446">
        <f>IF($E161=0,0,IF(MIN(CD$38,$E161)&lt;MAX($P$34*($B161+$I$38-1),IF(AND($L$37=0,$P$34=0),"",$L$37-1)),0,YEARFRAC(MAX($P$34*($B161+$I$38-1),IF(AND($L$37=0,$P$34=0),"",$L$37-1)),MIN(CD$38,$E161),$P$20))-SUM($BF161:CC161))</f>
        <v>0</v>
      </c>
      <c r="CE161" s="446">
        <f>IF($E161=0,0,IF(MIN(CE$38,$E161)&lt;MAX($P$34*($B161+$I$38-1),IF(AND($L$37=0,$P$34=0),"",$L$37-1)),0,YEARFRAC(MAX($P$34*($B161+$I$38-1),IF(AND($L$37=0,$P$34=0),"",$L$37-1)),MIN(CE$38,$E161),$P$20))-SUM($BF161:CD161))</f>
        <v>0</v>
      </c>
      <c r="CF161" s="446">
        <f>IF($E161=0,0,IF(MIN(CF$38,$E161)&lt;MAX($P$34*($B161+$I$38-1),IF(AND($L$37=0,$P$34=0),"",$L$37-1)),0,YEARFRAC(MAX($P$34*($B161+$I$38-1),IF(AND($L$37=0,$P$34=0),"",$L$37-1)),MIN(CF$38,$E161),$P$20))-SUM($BF161:CE161))</f>
        <v>0</v>
      </c>
      <c r="CG161" s="446">
        <f>IF($E161=0,0,IF(MIN(CG$38,$E161)&lt;MAX($P$34*($B161+$I$38-1),IF(AND($L$37=0,$P$34=0),"",$L$37-1)),0,YEARFRAC(MAX($P$34*($B161+$I$38-1),IF(AND($L$37=0,$P$34=0),"",$L$37-1)),MIN(CG$38,$E161),$P$20))-SUM($BF161:CF161))</f>
        <v>0</v>
      </c>
      <c r="CH161" s="446">
        <f>IF($E161=0,0,IF(MIN(CH$38,$E161)&lt;MAX($P$34*($B161+$I$38-1),IF(AND($L$37=0,$P$34=0),"",$L$37-1)),0,YEARFRAC(MAX($P$34*($B161+$I$38-1),IF(AND($L$37=0,$P$34=0),"",$L$37-1)),MIN(CH$38,$E161),$P$20))-SUM($BF161:CG161))</f>
        <v>0</v>
      </c>
      <c r="CI161" s="446">
        <f>IF($E161=0,0,IF(MIN(CI$38,$E161)&lt;MAX($P$34*($B161+$I$38-1),IF(AND($L$37=0,$P$34=0),"",$L$37-1)),0,YEARFRAC(MAX($P$34*($B161+$I$38-1),IF(AND($L$37=0,$P$34=0),"",$L$37-1)),MIN(CI$38,$E161),$P$20))-SUM($BF161:CH161))</f>
        <v>0</v>
      </c>
      <c r="CJ161" s="446">
        <f>IF($E161=0,0,IF(MIN(CJ$38,$E161)&lt;MAX($P$34*($B161+$I$38-1),IF(AND($L$37=0,$P$34=0),"",$L$37-1)),0,YEARFRAC(MAX($P$34*($B161+$I$38-1),IF(AND($L$37=0,$P$34=0),"",$L$37-1)),MIN(CJ$38,$E161),$P$20))-SUM($BF161:CI161))</f>
        <v>0</v>
      </c>
      <c r="CK161" s="446">
        <f>IF($E161=0,0,IF(MIN(CK$38,$E161)&lt;MAX($P$34*($B161+$I$38-1),IF(AND($L$37=0,$P$34=0),"",$L$37-1)),0,YEARFRAC(MAX($P$34*($B161+$I$38-1),IF(AND($L$37=0,$P$34=0),"",$L$37-1)),MIN(CK$38,$E161),$P$20))-SUM($BF161:CJ161))</f>
        <v>0</v>
      </c>
      <c r="CL161" s="446">
        <f>IF($E161=0,0,IF(MIN(CL$38,$E161)&lt;MAX($P$34*($B161+$I$38-1),IF(AND($L$37=0,$P$34=0),"",$L$37-1)),0,YEARFRAC(MAX($P$34*($B161+$I$38-1),IF(AND($L$37=0,$P$34=0),"",$L$37-1)),MIN(CL$38,$E161),$P$20))-SUM($BF161:CK161))</f>
        <v>0</v>
      </c>
      <c r="CM161" s="446">
        <f>IF($E161=0,0,IF(MIN(CM$38,$E161)&lt;MAX($P$34*($B161+$I$38-1),IF(AND($L$37=0,$P$34=0),"",$L$37-1)),0,YEARFRAC(MAX($P$34*($B161+$I$38-1),IF(AND($L$37=0,$P$34=0),"",$L$37-1)),MIN(CM$38,$E161),$P$20))-SUM($BF161:CL161))</f>
        <v>0</v>
      </c>
      <c r="CN161" s="446">
        <f>IF($E161=0,0,IF(MIN(CN$38,$E161)&lt;MAX($P$34*($B161+$I$38-1),IF(AND($L$37=0,$P$34=0),"",$L$37-1)),0,YEARFRAC(MAX($P$34*($B161+$I$38-1),IF(AND($L$37=0,$P$34=0),"",$L$37-1)),MIN(CN$38,$E161),$P$20))-SUM($BF161:CM161))</f>
        <v>0</v>
      </c>
      <c r="CO161" s="446">
        <f>IF($E161=0,0,IF(MIN(CO$38,$E161)&lt;MAX($P$34*($B161+$I$38-1),IF(AND($L$37=0,$P$34=0),"",$L$37-1)),0,YEARFRAC(MAX($P$34*($B161+$I$38-1),IF(AND($L$37=0,$P$34=0),"",$L$37-1)),MIN(CO$38,$E161),$P$20))-SUM($BF161:CN161))</f>
        <v>0</v>
      </c>
      <c r="CP161" s="446">
        <f>IF($E161=0,0,IF(MIN(CP$38,$E161)&lt;MAX($P$34*($B161+$I$38-1),IF(AND($L$37=0,$P$34=0),"",$L$37-1)),0,YEARFRAC(MAX($P$34*($B161+$I$38-1),IF(AND($L$37=0,$P$34=0),"",$L$37-1)),MIN(CP$38,$E161),$P$20))-SUM($BF161:CO161))</f>
        <v>0</v>
      </c>
      <c r="CQ161" s="446">
        <f>IF($E161=0,0,IF(MIN(CQ$38,$E161)&lt;MAX($P$34*($B161+$I$38-1),IF(AND($L$37=0,$P$34=0),"",$L$37-1)),0,YEARFRAC(MAX($P$34*($B161+$I$38-1),IF(AND($L$37=0,$P$34=0),"",$L$37-1)),MIN(CQ$38,$E161),$P$20))-SUM($BF161:CP161))</f>
        <v>0</v>
      </c>
    </row>
    <row r="162" spans="1:95" s="446" customFormat="1" ht="11.25" hidden="1" customHeight="1" x14ac:dyDescent="0.2">
      <c r="A162" s="152"/>
      <c r="B162" s="153" t="str">
        <f t="shared" si="26"/>
        <v/>
      </c>
      <c r="C162" s="29" t="str">
        <f>IF(B162="","",IF($L$35="SELIC - TRIBUTOS",VLOOKUP(DATE(YEAR($D$19),MONTH($D$19)-1,1),ÍNDICES!$A:$DE,HLOOKUP($BL$25,ÍNDICES!$B$3:$T$4,2)+11)-VLOOKUP(B162,ÍNDICES!$A:$DE,HLOOKUP($BL$25,ÍNDICES!$B$3:$T$4,2)+11)+1%,IF(C$38=$W$26,$J$35,IF(ISERROR(IF(B162&gt;$D$19,1,VLOOKUP(DATE(YEAR(B162),MONTH(B162)+IF($C$35=$S$23,1,0),1),ÍNDICES!$A:$DE,$Z$35+1))),"",IF(B162&gt;$D$19,1,VLOOKUP(DATE(YEAR(B162),MONTH(B162)+IF($C$35=$S$23,1,0),1),ÍNDICES!$A:$DE,$Z$35+1))))))</f>
        <v/>
      </c>
      <c r="D162" s="154" t="str">
        <f>IF(ISERROR(IF(OR($D$38=$Y$27,$B162=""),"",VLOOKUP(B162,ÍNDICES!A:DE,AF$35+1))),"",IF(OR($D$38=$Y$27,$B162=""),"",VLOOKUP(B162,ÍNDICES!A:DE,AF$35+1)))</f>
        <v/>
      </c>
      <c r="E162" s="153"/>
      <c r="F162" s="29" t="str">
        <f>IF(E162="","",IF($L$35="SELIC - TRIBUTOS",VLOOKUP(DATE(YEAR($D$19),MONTH($D$19)-1,1),ÍNDICES!$A:$DE,HLOOKUP($BL$25,ÍNDICES!$B$3:$T$4,2)+11)-VLOOKUP(E162,ÍNDICES!$A:$DE,HLOOKUP($BL$25,ÍNDICES!$B$3:$T$4,2)+11)+1%,IF(F$38=$W$26,$J$35,IF(ISERROR(IF(E162&gt;$D$19,1,VLOOKUP(DATE(YEAR(E162),MONTH(E162)+IF($C$35=$S$23,1,0),1),ÍNDICES!$A:$DE,$Z$35+1))),"",IF(E162&gt;$D$19,1,VLOOKUP(DATE(YEAR(E162),MONTH(E162)+IF($C$35=$S$23,1,0),1),ÍNDICES!$A:$DE,$Z$35+1))))))</f>
        <v/>
      </c>
      <c r="G162" s="155"/>
      <c r="H162" s="156" t="str">
        <f t="shared" si="22"/>
        <v/>
      </c>
      <c r="I162" s="29" t="str">
        <f t="shared" si="16"/>
        <v/>
      </c>
      <c r="J162" s="5">
        <f t="shared" si="17"/>
        <v>0</v>
      </c>
      <c r="K162" s="20">
        <f t="shared" ca="1" si="18"/>
        <v>0</v>
      </c>
      <c r="L162" s="5">
        <f t="shared" ca="1" si="19"/>
        <v>0</v>
      </c>
      <c r="M162" s="64">
        <f t="shared" si="23"/>
        <v>0</v>
      </c>
      <c r="N162" s="61">
        <f t="shared" ca="1" si="24"/>
        <v>0</v>
      </c>
      <c r="O162" s="5">
        <f t="shared" ca="1" si="25"/>
        <v>0</v>
      </c>
      <c r="P162" s="446" t="e">
        <f t="shared" si="20"/>
        <v>#VALUE!</v>
      </c>
      <c r="Q162" s="446" t="e">
        <f>IF(OR($B162="",MIN(Q$38,$D$19)&lt;MAX($P$34*($B162+IF($R$17="Distrato",$I$38-1,0)),IF(AND($L$37=0,$P$34=0),"",$L$37-1),IF($R$17="Distrato",$E162,0))),0,YEARFRAC(MAX($P$34*($B162+IF($R$17="Distrato",$I$38-1,0)),IF(AND($L$37=0,$P$34=0),"",$L$37-1),IF($R$17="Distrato",$E162,0)),MIN(Q$38,$D$19),$P$20))-SUM($P162:P162)</f>
        <v>#VALUE!</v>
      </c>
      <c r="R162" s="446" t="e">
        <f>IF(OR($B162="",MIN(R$38,$D$19)&lt;MAX($P$34*($B162+IF($R$17="Distrato",$I$38-1,0)),IF(AND($L$37=0,$P$34=0),"",$L$37-1),IF($R$17="Distrato",$E162,0))),0,YEARFRAC(MAX($P$34*($B162+IF($R$17="Distrato",$I$38-1,0)),IF(AND($L$37=0,$P$34=0),"",$L$37-1),IF($R$17="Distrato",$E162,0)),MIN(R$38,$D$19),$P$20))-SUM($P162:Q162)</f>
        <v>#VALUE!</v>
      </c>
      <c r="S162" s="446" t="e">
        <f>IF(OR($B162="",MIN(S$38,$D$19)&lt;MAX($P$34*($B162+IF($R$17="Distrato",$I$38-1,0)),IF(AND($L$37=0,$P$34=0),"",$L$37-1),IF($R$17="Distrato",$E162,0))),0,YEARFRAC(MAX($P$34*($B162+IF($R$17="Distrato",$I$38-1,0)),IF(AND($L$37=0,$P$34=0),"",$L$37-1),IF($R$17="Distrato",$E162,0)),MIN(S$38,$D$19),$P$20))-SUM($P162:R162)</f>
        <v>#VALUE!</v>
      </c>
      <c r="T162" s="446" t="e">
        <f>IF(OR($B162="",MIN(T$38,$D$19)&lt;MAX($P$34*($B162+IF($R$17="Distrato",$I$38-1,0)),IF(AND($L$37=0,$P$34=0),"",$L$37-1),IF($R$17="Distrato",$E162,0))),0,YEARFRAC(MAX($P$34*($B162+IF($R$17="Distrato",$I$38-1,0)),IF(AND($L$37=0,$P$34=0),"",$L$37-1),IF($R$17="Distrato",$E162,0)),MIN(T$38,$D$19),$P$20))-SUM($P162:S162)</f>
        <v>#VALUE!</v>
      </c>
      <c r="U162" s="446" t="e">
        <f>IF(OR($B162="",MIN(U$38,$D$19)&lt;MAX($P$34*($B162+IF($R$17="Distrato",$I$38-1,0)),IF(AND($L$37=0,$P$34=0),"",$L$37-1),IF($R$17="Distrato",$E162,0))),0,YEARFRAC(MAX($P$34*($B162+IF($R$17="Distrato",$I$38-1,0)),IF(AND($L$37=0,$P$34=0),"",$L$37-1),IF($R$17="Distrato",$E162,0)),MIN(U$38,$D$19),$P$20))-SUM($P162:T162)</f>
        <v>#VALUE!</v>
      </c>
      <c r="V162" s="446" t="e">
        <f>IF(OR($B162="",MIN(V$38,$D$19)&lt;MAX($P$34*($B162+IF($R$17="Distrato",$I$38-1,0)),IF(AND($L$37=0,$P$34=0),"",$L$37-1),IF($R$17="Distrato",$E162,0))),0,YEARFRAC(MAX($P$34*($B162+IF($R$17="Distrato",$I$38-1,0)),IF(AND($L$37=0,$P$34=0),"",$L$37-1),IF($R$17="Distrato",$E162,0)),MIN(V$38,$D$19),$P$20))-SUM($P162:U162)</f>
        <v>#VALUE!</v>
      </c>
      <c r="W162" s="446" t="e">
        <f>IF(OR($B162="",MIN(W$38,$D$19)&lt;MAX($P$34*($B162+IF($R$17="Distrato",$I$38-1,0)),IF(AND($L$37=0,$P$34=0),"",$L$37-1),IF($R$17="Distrato",$E162,0))),0,YEARFRAC(MAX($P$34*($B162+IF($R$17="Distrato",$I$38-1,0)),IF(AND($L$37=0,$P$34=0),"",$L$37-1),IF($R$17="Distrato",$E162,0)),MIN(W$38,$D$19),$P$20))-SUM($P162:V162)</f>
        <v>#VALUE!</v>
      </c>
      <c r="X162" s="446" t="e">
        <f>IF(OR($B162="",MIN(X$38,$D$19)&lt;MAX($P$34*($B162+IF($R$17="Distrato",$I$38-1,0)),IF(AND($L$37=0,$P$34=0),"",$L$37-1),IF($R$17="Distrato",$E162,0))),0,YEARFRAC(MAX($P$34*($B162+IF($R$17="Distrato",$I$38-1,0)),IF(AND($L$37=0,$P$34=0),"",$L$37-1),IF($R$17="Distrato",$E162,0)),MIN(X$38,$D$19),$P$20))-SUM($P162:W162)</f>
        <v>#VALUE!</v>
      </c>
      <c r="Y162" s="446" t="e">
        <f>IF(OR($B162="",MIN(Y$38,$D$19)&lt;MAX($P$34*($B162+IF($R$17="Distrato",$I$38-1,0)),IF(AND($L$37=0,$P$34=0),"",$L$37-1),IF($R$17="Distrato",$E162,0))),0,YEARFRAC(MAX($P$34*($B162+IF($R$17="Distrato",$I$38-1,0)),IF(AND($L$37=0,$P$34=0),"",$L$37-1),IF($R$17="Distrato",$E162,0)),MIN(Y$38,$D$19),$P$20))-SUM($P162:X162)</f>
        <v>#VALUE!</v>
      </c>
      <c r="Z162" s="446" t="e">
        <f>IF(OR($B162="",MIN(Z$38,$D$19)&lt;MAX($P$34*($B162+IF($R$17="Distrato",$I$38-1,0)),IF(AND($L$37=0,$P$34=0),"",$L$37-1),IF($R$17="Distrato",$E162,0))),0,YEARFRAC(MAX($P$34*($B162+IF($R$17="Distrato",$I$38-1,0)),IF(AND($L$37=0,$P$34=0),"",$L$37-1),IF($R$17="Distrato",$E162,0)),MIN(Z$38,$D$19),$P$20))-SUM($P162:Y162)</f>
        <v>#VALUE!</v>
      </c>
      <c r="AA162" s="446" t="e">
        <f>IF(OR($B162="",MIN(AA$38,$D$19)&lt;MAX($P$34*($B162+IF($R$17="Distrato",$I$38-1,0)),IF(AND($L$37=0,$P$34=0),"",$L$37-1),IF($R$17="Distrato",$E162,0))),0,YEARFRAC(MAX($P$34*($B162+IF($R$17="Distrato",$I$38-1,0)),IF(AND($L$37=0,$P$34=0),"",$L$37-1),IF($R$17="Distrato",$E162,0)),MIN(AA$38,$D$19),$P$20))-SUM($P162:Z162)</f>
        <v>#VALUE!</v>
      </c>
      <c r="AB162" s="446" t="e">
        <f>IF(OR($B162="",MIN(AB$38,$D$19)&lt;MAX($P$34*($B162+IF($R$17="Distrato",$I$38-1,0)),IF(AND($L$37=0,$P$34=0),"",$L$37-1),IF($R$17="Distrato",$E162,0))),0,YEARFRAC(MAX($P$34*($B162+IF($R$17="Distrato",$I$38-1,0)),IF(AND($L$37=0,$P$34=0),"",$L$37-1),IF($R$17="Distrato",$E162,0)),MIN(AB$38,$D$19),$P$20))-SUM($P162:AA162)</f>
        <v>#VALUE!</v>
      </c>
      <c r="AC162" s="446" t="e">
        <f>IF(OR($B162="",MIN(AC$38,$D$19)&lt;MAX($P$34*($B162+IF($R$17="Distrato",$I$38-1,0)),IF(AND($L$37=0,$P$34=0),"",$L$37-1),IF($R$17="Distrato",$E162,0))),0,YEARFRAC(MAX($P$34*($B162+IF($R$17="Distrato",$I$38-1,0)),IF(AND($L$37=0,$P$34=0),"",$L$37-1),IF($R$17="Distrato",$E162,0)),MIN(AC$38,$D$19),$P$20))-SUM($P162:AB162)</f>
        <v>#VALUE!</v>
      </c>
      <c r="AD162" s="446" t="e">
        <f>IF(OR($B162="",MIN(AD$38,$D$19)&lt;MAX($P$34*($B162+IF($R$17="Distrato",$I$38-1,0)),IF(AND($L$37=0,$P$34=0),"",$L$37-1),IF($R$17="Distrato",$E162,0))),0,YEARFRAC(MAX($P$34*($B162+IF($R$17="Distrato",$I$38-1,0)),IF(AND($L$37=0,$P$34=0),"",$L$37-1),IF($R$17="Distrato",$E162,0)),MIN(AD$38,$D$19),$P$20))-SUM($P162:AC162)</f>
        <v>#VALUE!</v>
      </c>
      <c r="AE162" s="446" t="e">
        <f>IF(OR($B162="",MIN(AE$38,$D$19)&lt;MAX($P$34*($B162+IF($R$17="Distrato",$I$38-1,0)),IF(AND($L$37=0,$P$34=0),"",$L$37-1),IF($R$17="Distrato",$E162,0))),0,YEARFRAC(MAX($P$34*($B162+IF($R$17="Distrato",$I$38-1,0)),IF(AND($L$37=0,$P$34=0),"",$L$37-1),IF($R$17="Distrato",$E162,0)),MIN(AE$38,$D$19),$P$20))-SUM($P162:AD162)</f>
        <v>#VALUE!</v>
      </c>
      <c r="AF162" s="446" t="e">
        <f>IF(OR($B162="",MIN(AF$38,$D$19)&lt;MAX($P$34*($B162+IF($R$17="Distrato",$I$38-1,0)),IF(AND($L$37=0,$P$34=0),"",$L$37-1),IF($R$17="Distrato",$E162,0))),0,YEARFRAC(MAX($P$34*($B162+IF($R$17="Distrato",$I$38-1,0)),IF(AND($L$37=0,$P$34=0),"",$L$37-1),IF($R$17="Distrato",$E162,0)),MIN(AF$38,$D$19),$P$20))-SUM($P162:AE162)</f>
        <v>#VALUE!</v>
      </c>
      <c r="AG162" s="446" t="e">
        <f>IF(OR($B162="",MIN(AG$38,$D$19)&lt;MAX($P$34*($B162+IF($R$17="Distrato",$I$38-1,0)),IF(AND($L$37=0,$P$34=0),"",$L$37-1),IF($R$17="Distrato",$E162,0))),0,YEARFRAC(MAX($P$34*($B162+IF($R$17="Distrato",$I$38-1,0)),IF(AND($L$37=0,$P$34=0),"",$L$37-1),IF($R$17="Distrato",$E162,0)),MIN(AG$38,$D$19),$P$20))-SUM($P162:AF162)</f>
        <v>#VALUE!</v>
      </c>
      <c r="AH162" s="446" t="e">
        <f>IF(OR($B162="",MIN(AH$38,$D$19)&lt;MAX($P$34*($B162+IF($R$17="Distrato",$I$38-1,0)),IF(AND($L$37=0,$P$34=0),"",$L$37-1),IF($R$17="Distrato",$E162,0))),0,YEARFRAC(MAX($P$34*($B162+IF($R$17="Distrato",$I$38-1,0)),IF(AND($L$37=0,$P$34=0),"",$L$37-1),IF($R$17="Distrato",$E162,0)),MIN(AH$38,$D$19),$P$20))-SUM($P162:AG162)</f>
        <v>#VALUE!</v>
      </c>
      <c r="AI162" s="446" t="e">
        <f>IF(OR($B162="",MIN(AI$38,$D$19)&lt;MAX($P$34*($B162+IF($R$17="Distrato",$I$38-1,0)),IF(AND($L$37=0,$P$34=0),"",$L$37-1),IF($R$17="Distrato",$E162,0))),0,YEARFRAC(MAX($P$34*($B162+IF($R$17="Distrato",$I$38-1,0)),IF(AND($L$37=0,$P$34=0),"",$L$37-1),IF($R$17="Distrato",$E162,0)),MIN(AI$38,$D$19),$P$20))-SUM($P162:AH162)</f>
        <v>#VALUE!</v>
      </c>
      <c r="AJ162" s="446" t="e">
        <f>IF(OR($B162="",MIN(AJ$38,$D$19)&lt;MAX($P$34*($B162+IF($R$17="Distrato",$I$38-1,0)),IF(AND($L$37=0,$P$34=0),"",$L$37-1),IF($R$17="Distrato",$E162,0))),0,YEARFRAC(MAX($P$34*($B162+IF($R$17="Distrato",$I$38-1,0)),IF(AND($L$37=0,$P$34=0),"",$L$37-1),IF($R$17="Distrato",$E162,0)),MIN(AJ$38,$D$19),$P$20))-SUM($P162:AI162)</f>
        <v>#VALUE!</v>
      </c>
      <c r="AK162" s="446" t="e">
        <f>IF(OR($B162="",MIN(AK$38,$D$19)&lt;MAX($P$34*($B162+IF($R$17="Distrato",$I$38-1,0)),IF(AND($L$37=0,$P$34=0),"",$L$37-1),IF($R$17="Distrato",$E162,0))),0,YEARFRAC(MAX($P$34*($B162+IF($R$17="Distrato",$I$38-1,0)),IF(AND($L$37=0,$P$34=0),"",$L$37-1),IF($R$17="Distrato",$E162,0)),MIN(AK$38,$D$19),$P$20))-SUM($P162:AJ162)</f>
        <v>#VALUE!</v>
      </c>
      <c r="AL162" s="446" t="e">
        <f>IF(OR($B162="",MIN(AL$38,$D$19)&lt;MAX($P$34*($B162+IF($R$17="Distrato",$I$38-1,0)),IF(AND($L$37=0,$P$34=0),"",$L$37-1),IF($R$17="Distrato",$E162,0))),0,YEARFRAC(MAX($P$34*($B162+IF($R$17="Distrato",$I$38-1,0)),IF(AND($L$37=0,$P$34=0),"",$L$37-1),IF($R$17="Distrato",$E162,0)),MIN(AL$38,$D$19),$P$20))-SUM($P162:AK162)</f>
        <v>#VALUE!</v>
      </c>
      <c r="AM162" s="446" t="e">
        <f>IF(OR($B162="",MIN(AM$38,$D$19)&lt;MAX($P$34*($B162+IF($R$17="Distrato",$I$38-1,0)),IF(AND($L$37=0,$P$34=0),"",$L$37-1),IF($R$17="Distrato",$E162,0))),0,YEARFRAC(MAX($P$34*($B162+IF($R$17="Distrato",$I$38-1,0)),IF(AND($L$37=0,$P$34=0),"",$L$37-1),IF($R$17="Distrato",$E162,0)),MIN(AM$38,$D$19),$P$20))-SUM($P162:AL162)</f>
        <v>#VALUE!</v>
      </c>
      <c r="AN162" s="446" t="e">
        <f>IF(OR($B162="",MIN(AN$38,$D$19)&lt;MAX($P$34*($B162+IF($R$17="Distrato",$I$38-1,0)),IF(AND($L$37=0,$P$34=0),"",$L$37-1),IF($R$17="Distrato",$E162,0))),0,YEARFRAC(MAX($P$34*($B162+IF($R$17="Distrato",$I$38-1,0)),IF(AND($L$37=0,$P$34=0),"",$L$37-1),IF($R$17="Distrato",$E162,0)),MIN(AN$38,$D$19),$P$20))-SUM($P162:AM162)</f>
        <v>#VALUE!</v>
      </c>
      <c r="AO162" s="446" t="e">
        <f>IF(OR($B162="",MIN(AO$38,$D$19)&lt;MAX($P$34*($B162+IF($R$17="Distrato",$I$38-1,0)),IF(AND($L$37=0,$P$34=0),"",$L$37-1),IF($R$17="Distrato",$E162,0))),0,YEARFRAC(MAX($P$34*($B162+IF($R$17="Distrato",$I$38-1,0)),IF(AND($L$37=0,$P$34=0),"",$L$37-1),IF($R$17="Distrato",$E162,0)),MIN(AO$38,$D$19),$P$20))-SUM($P162:AN162)</f>
        <v>#VALUE!</v>
      </c>
      <c r="AP162" s="446" t="e">
        <f>IF(OR($B162="",MIN(AP$38,$D$19)&lt;MAX($P$34*($B162+IF($R$17="Distrato",$I$38-1,0)),IF(AND($L$37=0,$P$34=0),"",$L$37-1),IF($R$17="Distrato",$E162,0))),0,YEARFRAC(MAX($P$34*($B162+IF($R$17="Distrato",$I$38-1,0)),IF(AND($L$37=0,$P$34=0),"",$L$37-1),IF($R$17="Distrato",$E162,0)),MIN(AP$38,$D$19),$P$20))-SUM($P162:AO162)</f>
        <v>#VALUE!</v>
      </c>
      <c r="AQ162" s="446" t="e">
        <f>IF(OR($B162="",MIN(AQ$38,$D$19)&lt;MAX($P$34*($B162+IF($R$17="Distrato",$I$38-1,0)),IF(AND($L$37=0,$P$34=0),"",$L$37-1),IF($R$17="Distrato",$E162,0))),0,YEARFRAC(MAX($P$34*($B162+IF($R$17="Distrato",$I$38-1,0)),IF(AND($L$37=0,$P$34=0),"",$L$37-1),IF($R$17="Distrato",$E162,0)),MIN(AQ$38,$D$19),$P$20))-SUM($P162:AP162)</f>
        <v>#VALUE!</v>
      </c>
      <c r="AR162" s="446" t="e">
        <f>IF(OR($B162="",MIN(AR$38,$D$19)&lt;MAX($P$34*($B162+IF($R$17="Distrato",$I$38-1,0)),IF(AND($L$37=0,$P$34=0),"",$L$37-1),IF($R$17="Distrato",$E162,0))),0,YEARFRAC(MAX($P$34*($B162+IF($R$17="Distrato",$I$38-1,0)),IF(AND($L$37=0,$P$34=0),"",$L$37-1),IF($R$17="Distrato",$E162,0)),MIN(AR$38,$D$19),$P$20))-SUM($P162:AQ162)</f>
        <v>#VALUE!</v>
      </c>
      <c r="AS162" s="446" t="e">
        <f>IF(OR($B162="",MIN(AS$38,$D$19)&lt;MAX($P$34*($B162+IF($R$17="Distrato",$I$38-1,0)),IF(AND($L$37=0,$P$34=0),"",$L$37-1),IF($R$17="Distrato",$E162,0))),0,YEARFRAC(MAX($P$34*($B162+IF($R$17="Distrato",$I$38-1,0)),IF(AND($L$37=0,$P$34=0),"",$L$37-1),IF($R$17="Distrato",$E162,0)),MIN(AS$38,$D$19),$P$20))-SUM($P162:AR162)</f>
        <v>#VALUE!</v>
      </c>
      <c r="AT162" s="446" t="e">
        <f>IF(OR($B162="",MIN(AT$38,$D$19)&lt;MAX($P$34*($B162+IF($R$17="Distrato",$I$38-1,0)),IF(AND($L$37=0,$P$34=0),"",$L$37-1),IF($R$17="Distrato",$E162,0))),0,YEARFRAC(MAX($P$34*($B162+IF($R$17="Distrato",$I$38-1,0)),IF(AND($L$37=0,$P$34=0),"",$L$37-1),IF($R$17="Distrato",$E162,0)),MIN(AT$38,$D$19),$P$20))-SUM($P162:AS162)</f>
        <v>#VALUE!</v>
      </c>
      <c r="AU162" s="446" t="e">
        <f>IF(OR($B162="",MIN(AU$38,$D$19)&lt;MAX($P$34*($B162+IF($R$17="Distrato",$I$38-1,0)),IF(AND($L$37=0,$P$34=0),"",$L$37-1),IF($R$17="Distrato",$E162,0))),0,YEARFRAC(MAX($P$34*($B162+IF($R$17="Distrato",$I$38-1,0)),IF(AND($L$37=0,$P$34=0),"",$L$37-1),IF($R$17="Distrato",$E162,0)),MIN(AU$38,$D$19),$P$20))-SUM($P162:AT162)</f>
        <v>#VALUE!</v>
      </c>
      <c r="AV162" s="446" t="e">
        <f>IF(OR($B162="",MIN(AV$38,$D$19)&lt;MAX($P$34*($B162+IF($R$17="Distrato",$I$38-1,0)),IF(AND($L$37=0,$P$34=0),"",$L$37-1),IF($R$17="Distrato",$E162,0))),0,YEARFRAC(MAX($P$34*($B162+IF($R$17="Distrato",$I$38-1,0)),IF(AND($L$37=0,$P$34=0),"",$L$37-1),IF($R$17="Distrato",$E162,0)),MIN(AV$38,$D$19),$P$20))-SUM($P162:AU162)</f>
        <v>#VALUE!</v>
      </c>
      <c r="AW162" s="446" t="e">
        <f>IF(OR($B162="",MIN(AW$38,$D$19)&lt;MAX($P$34*($B162+IF($R$17="Distrato",$I$38-1,0)),IF(AND($L$37=0,$P$34=0),"",$L$37-1),IF($R$17="Distrato",$E162,0))),0,YEARFRAC(MAX($P$34*($B162+IF($R$17="Distrato",$I$38-1,0)),IF(AND($L$37=0,$P$34=0),"",$L$37-1),IF($R$17="Distrato",$E162,0)),MIN(AW$38,$D$19),$P$20))-SUM($P162:AV162)</f>
        <v>#VALUE!</v>
      </c>
      <c r="AX162" s="446" t="e">
        <f>IF(OR($B162="",MIN(AX$38,$D$19)&lt;MAX($P$34*($B162+IF($R$17="Distrato",$I$38-1,0)),IF(AND($L$37=0,$P$34=0),"",$L$37-1),IF($R$17="Distrato",$E162,0))),0,YEARFRAC(MAX($P$34*($B162+IF($R$17="Distrato",$I$38-1,0)),IF(AND($L$37=0,$P$34=0),"",$L$37-1),IF($R$17="Distrato",$E162,0)),MIN(AX$38,$D$19),$P$20))-SUM($P162:AW162)</f>
        <v>#VALUE!</v>
      </c>
      <c r="AY162" s="446" t="e">
        <f>IF(OR($B162="",MIN(AY$38,$D$19)&lt;MAX($P$34*($B162+IF($R$17="Distrato",$I$38-1,0)),IF(AND($L$37=0,$P$34=0),"",$L$37-1),IF($R$17="Distrato",$E162,0))),0,YEARFRAC(MAX($P$34*($B162+IF($R$17="Distrato",$I$38-1,0)),IF(AND($L$37=0,$P$34=0),"",$L$37-1),IF($R$17="Distrato",$E162,0)),MIN(AY$38,$D$19),$P$20))-SUM($P162:AX162)</f>
        <v>#VALUE!</v>
      </c>
      <c r="AZ162" s="446" t="e">
        <f>IF(OR($B162="",MIN(AZ$38,$D$19)&lt;MAX($P$34*($B162+IF($R$17="Distrato",$I$38-1,0)),IF(AND($L$37=0,$P$34=0),"",$L$37-1),IF($R$17="Distrato",$E162,0))),0,YEARFRAC(MAX($P$34*($B162+IF($R$17="Distrato",$I$38-1,0)),IF(AND($L$37=0,$P$34=0),"",$L$37-1),IF($R$17="Distrato",$E162,0)),MIN(AZ$38,$D$19),$P$20))-SUM($P162:AY162)</f>
        <v>#VALUE!</v>
      </c>
      <c r="BA162" s="446" t="e">
        <f>IF(OR($B162="",MIN(BA$38,$D$19)&lt;MAX($P$34*($B162+IF($R$17="Distrato",$I$38-1,0)),IF(AND($L$37=0,$P$34=0),"",$L$37-1),IF($R$17="Distrato",$E162,0))),0,YEARFRAC(MAX($P$34*($B162+IF($R$17="Distrato",$I$38-1,0)),IF(AND($L$37=0,$P$34=0),"",$L$37-1),IF($R$17="Distrato",$E162,0)),MIN(BA$38,$D$19),$P$20))-SUM($P162:AZ162)</f>
        <v>#VALUE!</v>
      </c>
      <c r="BB162" s="447"/>
      <c r="BF162" s="446">
        <f t="shared" si="21"/>
        <v>0</v>
      </c>
      <c r="BG162" s="446">
        <f>IF($E162=0,0,IF(MIN(BG$38,$E162)&lt;MAX($P$34*($B162+$I$38-1),IF(AND($L$37=0,$P$34=0),"",$L$37-1)),0,YEARFRAC(MAX($P$34*($B162+$I$38-1),IF(AND($L$37=0,$P$34=0),"",$L$37-1)),MIN(BG$38,$E162),$P$20))-SUM($BF162:BF162))</f>
        <v>0</v>
      </c>
      <c r="BH162" s="446">
        <f>IF($E162=0,0,IF(MIN(BH$38,$E162)&lt;MAX($P$34*($B162+$I$38-1),IF(AND($L$37=0,$P$34=0),"",$L$37-1)),0,YEARFRAC(MAX($P$34*($B162+$I$38-1),IF(AND($L$37=0,$P$34=0),"",$L$37-1)),MIN(BH$38,$E162),$P$20))-SUM($BF162:BG162))</f>
        <v>0</v>
      </c>
      <c r="BI162" s="446">
        <f>IF($E162=0,0,IF(MIN(BI$38,$E162)&lt;MAX($P$34*($B162+$I$38-1),IF(AND($L$37=0,$P$34=0),"",$L$37-1)),0,YEARFRAC(MAX($P$34*($B162+$I$38-1),IF(AND($L$37=0,$P$34=0),"",$L$37-1)),MIN(BI$38,$E162),$P$20))-SUM($BF162:BH162))</f>
        <v>0</v>
      </c>
      <c r="BJ162" s="446">
        <f>IF($E162=0,0,IF(MIN(BJ$38,$E162)&lt;MAX($P$34*($B162+$I$38-1),IF(AND($L$37=0,$P$34=0),"",$L$37-1)),0,YEARFRAC(MAX($P$34*($B162+$I$38-1),IF(AND($L$37=0,$P$34=0),"",$L$37-1)),MIN(BJ$38,$E162),$P$20))-SUM($BF162:BI162))</f>
        <v>0</v>
      </c>
      <c r="BK162" s="446">
        <f>IF($E162=0,0,IF(MIN(BK$38,$E162)&lt;MAX($P$34*($B162+$I$38-1),IF(AND($L$37=0,$P$34=0),"",$L$37-1)),0,YEARFRAC(MAX($P$34*($B162+$I$38-1),IF(AND($L$37=0,$P$34=0),"",$L$37-1)),MIN(BK$38,$E162),$P$20))-SUM($BF162:BJ162))</f>
        <v>0</v>
      </c>
      <c r="BL162" s="446">
        <f>IF($E162=0,0,IF(MIN(BL$38,$E162)&lt;MAX($P$34*($B162+$I$38-1),IF(AND($L$37=0,$P$34=0),"",$L$37-1)),0,YEARFRAC(MAX($P$34*($B162+$I$38-1),IF(AND($L$37=0,$P$34=0),"",$L$37-1)),MIN(BL$38,$E162),$P$20))-SUM($BF162:BK162))</f>
        <v>0</v>
      </c>
      <c r="BM162" s="446">
        <f>IF($E162=0,0,IF(MIN(BM$38,$E162)&lt;MAX($P$34*($B162+$I$38-1),IF(AND($L$37=0,$P$34=0),"",$L$37-1)),0,YEARFRAC(MAX($P$34*($B162+$I$38-1),IF(AND($L$37=0,$P$34=0),"",$L$37-1)),MIN(BM$38,$E162),$P$20))-SUM($BF162:BL162))</f>
        <v>0</v>
      </c>
      <c r="BN162" s="446">
        <f>IF($E162=0,0,IF(MIN(BN$38,$E162)&lt;MAX($P$34*($B162+$I$38-1),IF(AND($L$37=0,$P$34=0),"",$L$37-1)),0,YEARFRAC(MAX($P$34*($B162+$I$38-1),IF(AND($L$37=0,$P$34=0),"",$L$37-1)),MIN(BN$38,$E162),$P$20))-SUM($BF162:BM162))</f>
        <v>0</v>
      </c>
      <c r="BO162" s="446">
        <f>IF($E162=0,0,IF(MIN(BO$38,$E162)&lt;MAX($P$34*($B162+$I$38-1),IF(AND($L$37=0,$P$34=0),"",$L$37-1)),0,YEARFRAC(MAX($P$34*($B162+$I$38-1),IF(AND($L$37=0,$P$34=0),"",$L$37-1)),MIN(BO$38,$E162),$P$20))-SUM($BF162:BN162))</f>
        <v>0</v>
      </c>
      <c r="BP162" s="446">
        <f>IF($E162=0,0,IF(MIN(BP$38,$E162)&lt;MAX($P$34*($B162+$I$38-1),IF(AND($L$37=0,$P$34=0),"",$L$37-1)),0,YEARFRAC(MAX($P$34*($B162+$I$38-1),IF(AND($L$37=0,$P$34=0),"",$L$37-1)),MIN(BP$38,$E162),$P$20))-SUM($BF162:BO162))</f>
        <v>0</v>
      </c>
      <c r="BQ162" s="446">
        <f>IF($E162=0,0,IF(MIN(BQ$38,$E162)&lt;MAX($P$34*($B162+$I$38-1),IF(AND($L$37=0,$P$34=0),"",$L$37-1)),0,YEARFRAC(MAX($P$34*($B162+$I$38-1),IF(AND($L$37=0,$P$34=0),"",$L$37-1)),MIN(BQ$38,$E162),$P$20))-SUM($BF162:BP162))</f>
        <v>0</v>
      </c>
      <c r="BR162" s="446">
        <f>IF($E162=0,0,IF(MIN(BR$38,$E162)&lt;MAX($P$34*($B162+$I$38-1),IF(AND($L$37=0,$P$34=0),"",$L$37-1)),0,YEARFRAC(MAX($P$34*($B162+$I$38-1),IF(AND($L$37=0,$P$34=0),"",$L$37-1)),MIN(BR$38,$E162),$P$20))-SUM($BF162:BQ162))</f>
        <v>0</v>
      </c>
      <c r="BS162" s="446">
        <f>IF($E162=0,0,IF(MIN(BS$38,$E162)&lt;MAX($P$34*($B162+$I$38-1),IF(AND($L$37=0,$P$34=0),"",$L$37-1)),0,YEARFRAC(MAX($P$34*($B162+$I$38-1),IF(AND($L$37=0,$P$34=0),"",$L$37-1)),MIN(BS$38,$E162),$P$20))-SUM($BF162:BR162))</f>
        <v>0</v>
      </c>
      <c r="BT162" s="446">
        <f>IF($E162=0,0,IF(MIN(BT$38,$E162)&lt;MAX($P$34*($B162+$I$38-1),IF(AND($L$37=0,$P$34=0),"",$L$37-1)),0,YEARFRAC(MAX($P$34*($B162+$I$38-1),IF(AND($L$37=0,$P$34=0),"",$L$37-1)),MIN(BT$38,$E162),$P$20))-SUM($BF162:BS162))</f>
        <v>0</v>
      </c>
      <c r="BU162" s="446">
        <f>IF($E162=0,0,IF(MIN(BU$38,$E162)&lt;MAX($P$34*($B162+$I$38-1),IF(AND($L$37=0,$P$34=0),"",$L$37-1)),0,YEARFRAC(MAX($P$34*($B162+$I$38-1),IF(AND($L$37=0,$P$34=0),"",$L$37-1)),MIN(BU$38,$E162),$P$20))-SUM($BF162:BT162))</f>
        <v>0</v>
      </c>
      <c r="BV162" s="446">
        <f>IF($E162=0,0,IF(MIN(BV$38,$E162)&lt;MAX($P$34*($B162+$I$38-1),IF(AND($L$37=0,$P$34=0),"",$L$37-1)),0,YEARFRAC(MAX($P$34*($B162+$I$38-1),IF(AND($L$37=0,$P$34=0),"",$L$37-1)),MIN(BV$38,$E162),$P$20))-SUM($BF162:BU162))</f>
        <v>0</v>
      </c>
      <c r="BW162" s="446">
        <f>IF($E162=0,0,IF(MIN(BW$38,$E162)&lt;MAX($P$34*($B162+$I$38-1),IF(AND($L$37=0,$P$34=0),"",$L$37-1)),0,YEARFRAC(MAX($P$34*($B162+$I$38-1),IF(AND($L$37=0,$P$34=0),"",$L$37-1)),MIN(BW$38,$E162),$P$20))-SUM($BF162:BV162))</f>
        <v>0</v>
      </c>
      <c r="BX162" s="446">
        <f>IF($E162=0,0,IF(MIN(BX$38,$E162)&lt;MAX($P$34*($B162+$I$38-1),IF(AND($L$37=0,$P$34=0),"",$L$37-1)),0,YEARFRAC(MAX($P$34*($B162+$I$38-1),IF(AND($L$37=0,$P$34=0),"",$L$37-1)),MIN(BX$38,$E162),$P$20))-SUM($BF162:BW162))</f>
        <v>0</v>
      </c>
      <c r="BY162" s="446">
        <f>IF($E162=0,0,IF(MIN(BY$38,$E162)&lt;MAX($P$34*($B162+$I$38-1),IF(AND($L$37=0,$P$34=0),"",$L$37-1)),0,YEARFRAC(MAX($P$34*($B162+$I$38-1),IF(AND($L$37=0,$P$34=0),"",$L$37-1)),MIN(BY$38,$E162),$P$20))-SUM($BF162:BX162))</f>
        <v>0</v>
      </c>
      <c r="BZ162" s="446">
        <f>IF($E162=0,0,IF(MIN(BZ$38,$E162)&lt;MAX($P$34*($B162+$I$38-1),IF(AND($L$37=0,$P$34=0),"",$L$37-1)),0,YEARFRAC(MAX($P$34*($B162+$I$38-1),IF(AND($L$37=0,$P$34=0),"",$L$37-1)),MIN(BZ$38,$E162),$P$20))-SUM($BF162:BY162))</f>
        <v>0</v>
      </c>
      <c r="CA162" s="446">
        <f>IF($E162=0,0,IF(MIN(CA$38,$E162)&lt;MAX($P$34*($B162+$I$38-1),IF(AND($L$37=0,$P$34=0),"",$L$37-1)),0,YEARFRAC(MAX($P$34*($B162+$I$38-1),IF(AND($L$37=0,$P$34=0),"",$L$37-1)),MIN(CA$38,$E162),$P$20))-SUM($BF162:BZ162))</f>
        <v>0</v>
      </c>
      <c r="CB162" s="446">
        <f>IF($E162=0,0,IF(MIN(CB$38,$E162)&lt;MAX($P$34*($B162+$I$38-1),IF(AND($L$37=0,$P$34=0),"",$L$37-1)),0,YEARFRAC(MAX($P$34*($B162+$I$38-1),IF(AND($L$37=0,$P$34=0),"",$L$37-1)),MIN(CB$38,$E162),$P$20))-SUM($BF162:CA162))</f>
        <v>0</v>
      </c>
      <c r="CC162" s="446">
        <f>IF($E162=0,0,IF(MIN(CC$38,$E162)&lt;MAX($P$34*($B162+$I$38-1),IF(AND($L$37=0,$P$34=0),"",$L$37-1)),0,YEARFRAC(MAX($P$34*($B162+$I$38-1),IF(AND($L$37=0,$P$34=0),"",$L$37-1)),MIN(CC$38,$E162),$P$20))-SUM($BF162:CB162))</f>
        <v>0</v>
      </c>
      <c r="CD162" s="446">
        <f>IF($E162=0,0,IF(MIN(CD$38,$E162)&lt;MAX($P$34*($B162+$I$38-1),IF(AND($L$37=0,$P$34=0),"",$L$37-1)),0,YEARFRAC(MAX($P$34*($B162+$I$38-1),IF(AND($L$37=0,$P$34=0),"",$L$37-1)),MIN(CD$38,$E162),$P$20))-SUM($BF162:CC162))</f>
        <v>0</v>
      </c>
      <c r="CE162" s="446">
        <f>IF($E162=0,0,IF(MIN(CE$38,$E162)&lt;MAX($P$34*($B162+$I$38-1),IF(AND($L$37=0,$P$34=0),"",$L$37-1)),0,YEARFRAC(MAX($P$34*($B162+$I$38-1),IF(AND($L$37=0,$P$34=0),"",$L$37-1)),MIN(CE$38,$E162),$P$20))-SUM($BF162:CD162))</f>
        <v>0</v>
      </c>
      <c r="CF162" s="446">
        <f>IF($E162=0,0,IF(MIN(CF$38,$E162)&lt;MAX($P$34*($B162+$I$38-1),IF(AND($L$37=0,$P$34=0),"",$L$37-1)),0,YEARFRAC(MAX($P$34*($B162+$I$38-1),IF(AND($L$37=0,$P$34=0),"",$L$37-1)),MIN(CF$38,$E162),$P$20))-SUM($BF162:CE162))</f>
        <v>0</v>
      </c>
      <c r="CG162" s="446">
        <f>IF($E162=0,0,IF(MIN(CG$38,$E162)&lt;MAX($P$34*($B162+$I$38-1),IF(AND($L$37=0,$P$34=0),"",$L$37-1)),0,YEARFRAC(MAX($P$34*($B162+$I$38-1),IF(AND($L$37=0,$P$34=0),"",$L$37-1)),MIN(CG$38,$E162),$P$20))-SUM($BF162:CF162))</f>
        <v>0</v>
      </c>
      <c r="CH162" s="446">
        <f>IF($E162=0,0,IF(MIN(CH$38,$E162)&lt;MAX($P$34*($B162+$I$38-1),IF(AND($L$37=0,$P$34=0),"",$L$37-1)),0,YEARFRAC(MAX($P$34*($B162+$I$38-1),IF(AND($L$37=0,$P$34=0),"",$L$37-1)),MIN(CH$38,$E162),$P$20))-SUM($BF162:CG162))</f>
        <v>0</v>
      </c>
      <c r="CI162" s="446">
        <f>IF($E162=0,0,IF(MIN(CI$38,$E162)&lt;MAX($P$34*($B162+$I$38-1),IF(AND($L$37=0,$P$34=0),"",$L$37-1)),0,YEARFRAC(MAX($P$34*($B162+$I$38-1),IF(AND($L$37=0,$P$34=0),"",$L$37-1)),MIN(CI$38,$E162),$P$20))-SUM($BF162:CH162))</f>
        <v>0</v>
      </c>
      <c r="CJ162" s="446">
        <f>IF($E162=0,0,IF(MIN(CJ$38,$E162)&lt;MAX($P$34*($B162+$I$38-1),IF(AND($L$37=0,$P$34=0),"",$L$37-1)),0,YEARFRAC(MAX($P$34*($B162+$I$38-1),IF(AND($L$37=0,$P$34=0),"",$L$37-1)),MIN(CJ$38,$E162),$P$20))-SUM($BF162:CI162))</f>
        <v>0</v>
      </c>
      <c r="CK162" s="446">
        <f>IF($E162=0,0,IF(MIN(CK$38,$E162)&lt;MAX($P$34*($B162+$I$38-1),IF(AND($L$37=0,$P$34=0),"",$L$37-1)),0,YEARFRAC(MAX($P$34*($B162+$I$38-1),IF(AND($L$37=0,$P$34=0),"",$L$37-1)),MIN(CK$38,$E162),$P$20))-SUM($BF162:CJ162))</f>
        <v>0</v>
      </c>
      <c r="CL162" s="446">
        <f>IF($E162=0,0,IF(MIN(CL$38,$E162)&lt;MAX($P$34*($B162+$I$38-1),IF(AND($L$37=0,$P$34=0),"",$L$37-1)),0,YEARFRAC(MAX($P$34*($B162+$I$38-1),IF(AND($L$37=0,$P$34=0),"",$L$37-1)),MIN(CL$38,$E162),$P$20))-SUM($BF162:CK162))</f>
        <v>0</v>
      </c>
      <c r="CM162" s="446">
        <f>IF($E162=0,0,IF(MIN(CM$38,$E162)&lt;MAX($P$34*($B162+$I$38-1),IF(AND($L$37=0,$P$34=0),"",$L$37-1)),0,YEARFRAC(MAX($P$34*($B162+$I$38-1),IF(AND($L$37=0,$P$34=0),"",$L$37-1)),MIN(CM$38,$E162),$P$20))-SUM($BF162:CL162))</f>
        <v>0</v>
      </c>
      <c r="CN162" s="446">
        <f>IF($E162=0,0,IF(MIN(CN$38,$E162)&lt;MAX($P$34*($B162+$I$38-1),IF(AND($L$37=0,$P$34=0),"",$L$37-1)),0,YEARFRAC(MAX($P$34*($B162+$I$38-1),IF(AND($L$37=0,$P$34=0),"",$L$37-1)),MIN(CN$38,$E162),$P$20))-SUM($BF162:CM162))</f>
        <v>0</v>
      </c>
      <c r="CO162" s="446">
        <f>IF($E162=0,0,IF(MIN(CO$38,$E162)&lt;MAX($P$34*($B162+$I$38-1),IF(AND($L$37=0,$P$34=0),"",$L$37-1)),0,YEARFRAC(MAX($P$34*($B162+$I$38-1),IF(AND($L$37=0,$P$34=0),"",$L$37-1)),MIN(CO$38,$E162),$P$20))-SUM($BF162:CN162))</f>
        <v>0</v>
      </c>
      <c r="CP162" s="446">
        <f>IF($E162=0,0,IF(MIN(CP$38,$E162)&lt;MAX($P$34*($B162+$I$38-1),IF(AND($L$37=0,$P$34=0),"",$L$37-1)),0,YEARFRAC(MAX($P$34*($B162+$I$38-1),IF(AND($L$37=0,$P$34=0),"",$L$37-1)),MIN(CP$38,$E162),$P$20))-SUM($BF162:CO162))</f>
        <v>0</v>
      </c>
      <c r="CQ162" s="446">
        <f>IF($E162=0,0,IF(MIN(CQ$38,$E162)&lt;MAX($P$34*($B162+$I$38-1),IF(AND($L$37=0,$P$34=0),"",$L$37-1)),0,YEARFRAC(MAX($P$34*($B162+$I$38-1),IF(AND($L$37=0,$P$34=0),"",$L$37-1)),MIN(CQ$38,$E162),$P$20))-SUM($BF162:CP162))</f>
        <v>0</v>
      </c>
    </row>
    <row r="163" spans="1:95" s="446" customFormat="1" ht="11.25" hidden="1" customHeight="1" x14ac:dyDescent="0.2">
      <c r="A163" s="152"/>
      <c r="B163" s="153" t="str">
        <f t="shared" si="26"/>
        <v/>
      </c>
      <c r="C163" s="29" t="str">
        <f>IF(B163="","",IF($L$35="SELIC - TRIBUTOS",VLOOKUP(DATE(YEAR($D$19),MONTH($D$19)-1,1),ÍNDICES!$A:$DE,HLOOKUP($BL$25,ÍNDICES!$B$3:$T$4,2)+11)-VLOOKUP(B163,ÍNDICES!$A:$DE,HLOOKUP($BL$25,ÍNDICES!$B$3:$T$4,2)+11)+1%,IF(C$38=$W$26,$J$35,IF(ISERROR(IF(B163&gt;$D$19,1,VLOOKUP(DATE(YEAR(B163),MONTH(B163)+IF($C$35=$S$23,1,0),1),ÍNDICES!$A:$DE,$Z$35+1))),"",IF(B163&gt;$D$19,1,VLOOKUP(DATE(YEAR(B163),MONTH(B163)+IF($C$35=$S$23,1,0),1),ÍNDICES!$A:$DE,$Z$35+1))))))</f>
        <v/>
      </c>
      <c r="D163" s="154" t="str">
        <f>IF(ISERROR(IF(OR($D$38=$Y$27,$B163=""),"",VLOOKUP(B163,ÍNDICES!A:DE,AF$35+1))),"",IF(OR($D$38=$Y$27,$B163=""),"",VLOOKUP(B163,ÍNDICES!A:DE,AF$35+1)))</f>
        <v/>
      </c>
      <c r="E163" s="153"/>
      <c r="F163" s="29" t="str">
        <f>IF(E163="","",IF($L$35="SELIC - TRIBUTOS",VLOOKUP(DATE(YEAR($D$19),MONTH($D$19)-1,1),ÍNDICES!$A:$DE,HLOOKUP($BL$25,ÍNDICES!$B$3:$T$4,2)+11)-VLOOKUP(E163,ÍNDICES!$A:$DE,HLOOKUP($BL$25,ÍNDICES!$B$3:$T$4,2)+11)+1%,IF(F$38=$W$26,$J$35,IF(ISERROR(IF(E163&gt;$D$19,1,VLOOKUP(DATE(YEAR(E163),MONTH(E163)+IF($C$35=$S$23,1,0),1),ÍNDICES!$A:$DE,$Z$35+1))),"",IF(E163&gt;$D$19,1,VLOOKUP(DATE(YEAR(E163),MONTH(E163)+IF($C$35=$S$23,1,0),1),ÍNDICES!$A:$DE,$Z$35+1))))))</f>
        <v/>
      </c>
      <c r="G163" s="155"/>
      <c r="H163" s="156" t="str">
        <f t="shared" si="22"/>
        <v/>
      </c>
      <c r="I163" s="29" t="str">
        <f t="shared" si="16"/>
        <v/>
      </c>
      <c r="J163" s="5">
        <f t="shared" si="17"/>
        <v>0</v>
      </c>
      <c r="K163" s="20">
        <f t="shared" ca="1" si="18"/>
        <v>0</v>
      </c>
      <c r="L163" s="5">
        <f t="shared" ca="1" si="19"/>
        <v>0</v>
      </c>
      <c r="M163" s="64">
        <f t="shared" si="23"/>
        <v>0</v>
      </c>
      <c r="N163" s="61">
        <f t="shared" ca="1" si="24"/>
        <v>0</v>
      </c>
      <c r="O163" s="5">
        <f t="shared" ca="1" si="25"/>
        <v>0</v>
      </c>
      <c r="P163" s="446" t="e">
        <f t="shared" si="20"/>
        <v>#VALUE!</v>
      </c>
      <c r="Q163" s="446" t="e">
        <f>IF(OR($B163="",MIN(Q$38,$D$19)&lt;MAX($P$34*($B163+IF($R$17="Distrato",$I$38-1,0)),IF(AND($L$37=0,$P$34=0),"",$L$37-1),IF($R$17="Distrato",$E163,0))),0,YEARFRAC(MAX($P$34*($B163+IF($R$17="Distrato",$I$38-1,0)),IF(AND($L$37=0,$P$34=0),"",$L$37-1),IF($R$17="Distrato",$E163,0)),MIN(Q$38,$D$19),$P$20))-SUM($P163:P163)</f>
        <v>#VALUE!</v>
      </c>
      <c r="R163" s="446" t="e">
        <f>IF(OR($B163="",MIN(R$38,$D$19)&lt;MAX($P$34*($B163+IF($R$17="Distrato",$I$38-1,0)),IF(AND($L$37=0,$P$34=0),"",$L$37-1),IF($R$17="Distrato",$E163,0))),0,YEARFRAC(MAX($P$34*($B163+IF($R$17="Distrato",$I$38-1,0)),IF(AND($L$37=0,$P$34=0),"",$L$37-1),IF($R$17="Distrato",$E163,0)),MIN(R$38,$D$19),$P$20))-SUM($P163:Q163)</f>
        <v>#VALUE!</v>
      </c>
      <c r="S163" s="446" t="e">
        <f>IF(OR($B163="",MIN(S$38,$D$19)&lt;MAX($P$34*($B163+IF($R$17="Distrato",$I$38-1,0)),IF(AND($L$37=0,$P$34=0),"",$L$37-1),IF($R$17="Distrato",$E163,0))),0,YEARFRAC(MAX($P$34*($B163+IF($R$17="Distrato",$I$38-1,0)),IF(AND($L$37=0,$P$34=0),"",$L$37-1),IF($R$17="Distrato",$E163,0)),MIN(S$38,$D$19),$P$20))-SUM($P163:R163)</f>
        <v>#VALUE!</v>
      </c>
      <c r="T163" s="446" t="e">
        <f>IF(OR($B163="",MIN(T$38,$D$19)&lt;MAX($P$34*($B163+IF($R$17="Distrato",$I$38-1,0)),IF(AND($L$37=0,$P$34=0),"",$L$37-1),IF($R$17="Distrato",$E163,0))),0,YEARFRAC(MAX($P$34*($B163+IF($R$17="Distrato",$I$38-1,0)),IF(AND($L$37=0,$P$34=0),"",$L$37-1),IF($R$17="Distrato",$E163,0)),MIN(T$38,$D$19),$P$20))-SUM($P163:S163)</f>
        <v>#VALUE!</v>
      </c>
      <c r="U163" s="446" t="e">
        <f>IF(OR($B163="",MIN(U$38,$D$19)&lt;MAX($P$34*($B163+IF($R$17="Distrato",$I$38-1,0)),IF(AND($L$37=0,$P$34=0),"",$L$37-1),IF($R$17="Distrato",$E163,0))),0,YEARFRAC(MAX($P$34*($B163+IF($R$17="Distrato",$I$38-1,0)),IF(AND($L$37=0,$P$34=0),"",$L$37-1),IF($R$17="Distrato",$E163,0)),MIN(U$38,$D$19),$P$20))-SUM($P163:T163)</f>
        <v>#VALUE!</v>
      </c>
      <c r="V163" s="446" t="e">
        <f>IF(OR($B163="",MIN(V$38,$D$19)&lt;MAX($P$34*($B163+IF($R$17="Distrato",$I$38-1,0)),IF(AND($L$37=0,$P$34=0),"",$L$37-1),IF($R$17="Distrato",$E163,0))),0,YEARFRAC(MAX($P$34*($B163+IF($R$17="Distrato",$I$38-1,0)),IF(AND($L$37=0,$P$34=0),"",$L$37-1),IF($R$17="Distrato",$E163,0)),MIN(V$38,$D$19),$P$20))-SUM($P163:U163)</f>
        <v>#VALUE!</v>
      </c>
      <c r="W163" s="446" t="e">
        <f>IF(OR($B163="",MIN(W$38,$D$19)&lt;MAX($P$34*($B163+IF($R$17="Distrato",$I$38-1,0)),IF(AND($L$37=0,$P$34=0),"",$L$37-1),IF($R$17="Distrato",$E163,0))),0,YEARFRAC(MAX($P$34*($B163+IF($R$17="Distrato",$I$38-1,0)),IF(AND($L$37=0,$P$34=0),"",$L$37-1),IF($R$17="Distrato",$E163,0)),MIN(W$38,$D$19),$P$20))-SUM($P163:V163)</f>
        <v>#VALUE!</v>
      </c>
      <c r="X163" s="446" t="e">
        <f>IF(OR($B163="",MIN(X$38,$D$19)&lt;MAX($P$34*($B163+IF($R$17="Distrato",$I$38-1,0)),IF(AND($L$37=0,$P$34=0),"",$L$37-1),IF($R$17="Distrato",$E163,0))),0,YEARFRAC(MAX($P$34*($B163+IF($R$17="Distrato",$I$38-1,0)),IF(AND($L$37=0,$P$34=0),"",$L$37-1),IF($R$17="Distrato",$E163,0)),MIN(X$38,$D$19),$P$20))-SUM($P163:W163)</f>
        <v>#VALUE!</v>
      </c>
      <c r="Y163" s="446" t="e">
        <f>IF(OR($B163="",MIN(Y$38,$D$19)&lt;MAX($P$34*($B163+IF($R$17="Distrato",$I$38-1,0)),IF(AND($L$37=0,$P$34=0),"",$L$37-1),IF($R$17="Distrato",$E163,0))),0,YEARFRAC(MAX($P$34*($B163+IF($R$17="Distrato",$I$38-1,0)),IF(AND($L$37=0,$P$34=0),"",$L$37-1),IF($R$17="Distrato",$E163,0)),MIN(Y$38,$D$19),$P$20))-SUM($P163:X163)</f>
        <v>#VALUE!</v>
      </c>
      <c r="Z163" s="446" t="e">
        <f>IF(OR($B163="",MIN(Z$38,$D$19)&lt;MAX($P$34*($B163+IF($R$17="Distrato",$I$38-1,0)),IF(AND($L$37=0,$P$34=0),"",$L$37-1),IF($R$17="Distrato",$E163,0))),0,YEARFRAC(MAX($P$34*($B163+IF($R$17="Distrato",$I$38-1,0)),IF(AND($L$37=0,$P$34=0),"",$L$37-1),IF($R$17="Distrato",$E163,0)),MIN(Z$38,$D$19),$P$20))-SUM($P163:Y163)</f>
        <v>#VALUE!</v>
      </c>
      <c r="AA163" s="446" t="e">
        <f>IF(OR($B163="",MIN(AA$38,$D$19)&lt;MAX($P$34*($B163+IF($R$17="Distrato",$I$38-1,0)),IF(AND($L$37=0,$P$34=0),"",$L$37-1),IF($R$17="Distrato",$E163,0))),0,YEARFRAC(MAX($P$34*($B163+IF($R$17="Distrato",$I$38-1,0)),IF(AND($L$37=0,$P$34=0),"",$L$37-1),IF($R$17="Distrato",$E163,0)),MIN(AA$38,$D$19),$P$20))-SUM($P163:Z163)</f>
        <v>#VALUE!</v>
      </c>
      <c r="AB163" s="446" t="e">
        <f>IF(OR($B163="",MIN(AB$38,$D$19)&lt;MAX($P$34*($B163+IF($R$17="Distrato",$I$38-1,0)),IF(AND($L$37=0,$P$34=0),"",$L$37-1),IF($R$17="Distrato",$E163,0))),0,YEARFRAC(MAX($P$34*($B163+IF($R$17="Distrato",$I$38-1,0)),IF(AND($L$37=0,$P$34=0),"",$L$37-1),IF($R$17="Distrato",$E163,0)),MIN(AB$38,$D$19),$P$20))-SUM($P163:AA163)</f>
        <v>#VALUE!</v>
      </c>
      <c r="AC163" s="446" t="e">
        <f>IF(OR($B163="",MIN(AC$38,$D$19)&lt;MAX($P$34*($B163+IF($R$17="Distrato",$I$38-1,0)),IF(AND($L$37=0,$P$34=0),"",$L$37-1),IF($R$17="Distrato",$E163,0))),0,YEARFRAC(MAX($P$34*($B163+IF($R$17="Distrato",$I$38-1,0)),IF(AND($L$37=0,$P$34=0),"",$L$37-1),IF($R$17="Distrato",$E163,0)),MIN(AC$38,$D$19),$P$20))-SUM($P163:AB163)</f>
        <v>#VALUE!</v>
      </c>
      <c r="AD163" s="446" t="e">
        <f>IF(OR($B163="",MIN(AD$38,$D$19)&lt;MAX($P$34*($B163+IF($R$17="Distrato",$I$38-1,0)),IF(AND($L$37=0,$P$34=0),"",$L$37-1),IF($R$17="Distrato",$E163,0))),0,YEARFRAC(MAX($P$34*($B163+IF($R$17="Distrato",$I$38-1,0)),IF(AND($L$37=0,$P$34=0),"",$L$37-1),IF($R$17="Distrato",$E163,0)),MIN(AD$38,$D$19),$P$20))-SUM($P163:AC163)</f>
        <v>#VALUE!</v>
      </c>
      <c r="AE163" s="446" t="e">
        <f>IF(OR($B163="",MIN(AE$38,$D$19)&lt;MAX($P$34*($B163+IF($R$17="Distrato",$I$38-1,0)),IF(AND($L$37=0,$P$34=0),"",$L$37-1),IF($R$17="Distrato",$E163,0))),0,YEARFRAC(MAX($P$34*($B163+IF($R$17="Distrato",$I$38-1,0)),IF(AND($L$37=0,$P$34=0),"",$L$37-1),IF($R$17="Distrato",$E163,0)),MIN(AE$38,$D$19),$P$20))-SUM($P163:AD163)</f>
        <v>#VALUE!</v>
      </c>
      <c r="AF163" s="446" t="e">
        <f>IF(OR($B163="",MIN(AF$38,$D$19)&lt;MAX($P$34*($B163+IF($R$17="Distrato",$I$38-1,0)),IF(AND($L$37=0,$P$34=0),"",$L$37-1),IF($R$17="Distrato",$E163,0))),0,YEARFRAC(MAX($P$34*($B163+IF($R$17="Distrato",$I$38-1,0)),IF(AND($L$37=0,$P$34=0),"",$L$37-1),IF($R$17="Distrato",$E163,0)),MIN(AF$38,$D$19),$P$20))-SUM($P163:AE163)</f>
        <v>#VALUE!</v>
      </c>
      <c r="AG163" s="446" t="e">
        <f>IF(OR($B163="",MIN(AG$38,$D$19)&lt;MAX($P$34*($B163+IF($R$17="Distrato",$I$38-1,0)),IF(AND($L$37=0,$P$34=0),"",$L$37-1),IF($R$17="Distrato",$E163,0))),0,YEARFRAC(MAX($P$34*($B163+IF($R$17="Distrato",$I$38-1,0)),IF(AND($L$37=0,$P$34=0),"",$L$37-1),IF($R$17="Distrato",$E163,0)),MIN(AG$38,$D$19),$P$20))-SUM($P163:AF163)</f>
        <v>#VALUE!</v>
      </c>
      <c r="AH163" s="446" t="e">
        <f>IF(OR($B163="",MIN(AH$38,$D$19)&lt;MAX($P$34*($B163+IF($R$17="Distrato",$I$38-1,0)),IF(AND($L$37=0,$P$34=0),"",$L$37-1),IF($R$17="Distrato",$E163,0))),0,YEARFRAC(MAX($P$34*($B163+IF($R$17="Distrato",$I$38-1,0)),IF(AND($L$37=0,$P$34=0),"",$L$37-1),IF($R$17="Distrato",$E163,0)),MIN(AH$38,$D$19),$P$20))-SUM($P163:AG163)</f>
        <v>#VALUE!</v>
      </c>
      <c r="AI163" s="446" t="e">
        <f>IF(OR($B163="",MIN(AI$38,$D$19)&lt;MAX($P$34*($B163+IF($R$17="Distrato",$I$38-1,0)),IF(AND($L$37=0,$P$34=0),"",$L$37-1),IF($R$17="Distrato",$E163,0))),0,YEARFRAC(MAX($P$34*($B163+IF($R$17="Distrato",$I$38-1,0)),IF(AND($L$37=0,$P$34=0),"",$L$37-1),IF($R$17="Distrato",$E163,0)),MIN(AI$38,$D$19),$P$20))-SUM($P163:AH163)</f>
        <v>#VALUE!</v>
      </c>
      <c r="AJ163" s="446" t="e">
        <f>IF(OR($B163="",MIN(AJ$38,$D$19)&lt;MAX($P$34*($B163+IF($R$17="Distrato",$I$38-1,0)),IF(AND($L$37=0,$P$34=0),"",$L$37-1),IF($R$17="Distrato",$E163,0))),0,YEARFRAC(MAX($P$34*($B163+IF($R$17="Distrato",$I$38-1,0)),IF(AND($L$37=0,$P$34=0),"",$L$37-1),IF($R$17="Distrato",$E163,0)),MIN(AJ$38,$D$19),$P$20))-SUM($P163:AI163)</f>
        <v>#VALUE!</v>
      </c>
      <c r="AK163" s="446" t="e">
        <f>IF(OR($B163="",MIN(AK$38,$D$19)&lt;MAX($P$34*($B163+IF($R$17="Distrato",$I$38-1,0)),IF(AND($L$37=0,$P$34=0),"",$L$37-1),IF($R$17="Distrato",$E163,0))),0,YEARFRAC(MAX($P$34*($B163+IF($R$17="Distrato",$I$38-1,0)),IF(AND($L$37=0,$P$34=0),"",$L$37-1),IF($R$17="Distrato",$E163,0)),MIN(AK$38,$D$19),$P$20))-SUM($P163:AJ163)</f>
        <v>#VALUE!</v>
      </c>
      <c r="AL163" s="446" t="e">
        <f>IF(OR($B163="",MIN(AL$38,$D$19)&lt;MAX($P$34*($B163+IF($R$17="Distrato",$I$38-1,0)),IF(AND($L$37=0,$P$34=0),"",$L$37-1),IF($R$17="Distrato",$E163,0))),0,YEARFRAC(MAX($P$34*($B163+IF($R$17="Distrato",$I$38-1,0)),IF(AND($L$37=0,$P$34=0),"",$L$37-1),IF($R$17="Distrato",$E163,0)),MIN(AL$38,$D$19),$P$20))-SUM($P163:AK163)</f>
        <v>#VALUE!</v>
      </c>
      <c r="AM163" s="446" t="e">
        <f>IF(OR($B163="",MIN(AM$38,$D$19)&lt;MAX($P$34*($B163+IF($R$17="Distrato",$I$38-1,0)),IF(AND($L$37=0,$P$34=0),"",$L$37-1),IF($R$17="Distrato",$E163,0))),0,YEARFRAC(MAX($P$34*($B163+IF($R$17="Distrato",$I$38-1,0)),IF(AND($L$37=0,$P$34=0),"",$L$37-1),IF($R$17="Distrato",$E163,0)),MIN(AM$38,$D$19),$P$20))-SUM($P163:AL163)</f>
        <v>#VALUE!</v>
      </c>
      <c r="AN163" s="446" t="e">
        <f>IF(OR($B163="",MIN(AN$38,$D$19)&lt;MAX($P$34*($B163+IF($R$17="Distrato",$I$38-1,0)),IF(AND($L$37=0,$P$34=0),"",$L$37-1),IF($R$17="Distrato",$E163,0))),0,YEARFRAC(MAX($P$34*($B163+IF($R$17="Distrato",$I$38-1,0)),IF(AND($L$37=0,$P$34=0),"",$L$37-1),IF($R$17="Distrato",$E163,0)),MIN(AN$38,$D$19),$P$20))-SUM($P163:AM163)</f>
        <v>#VALUE!</v>
      </c>
      <c r="AO163" s="446" t="e">
        <f>IF(OR($B163="",MIN(AO$38,$D$19)&lt;MAX($P$34*($B163+IF($R$17="Distrato",$I$38-1,0)),IF(AND($L$37=0,$P$34=0),"",$L$37-1),IF($R$17="Distrato",$E163,0))),0,YEARFRAC(MAX($P$34*($B163+IF($R$17="Distrato",$I$38-1,0)),IF(AND($L$37=0,$P$34=0),"",$L$37-1),IF($R$17="Distrato",$E163,0)),MIN(AO$38,$D$19),$P$20))-SUM($P163:AN163)</f>
        <v>#VALUE!</v>
      </c>
      <c r="AP163" s="446" t="e">
        <f>IF(OR($B163="",MIN(AP$38,$D$19)&lt;MAX($P$34*($B163+IF($R$17="Distrato",$I$38-1,0)),IF(AND($L$37=0,$P$34=0),"",$L$37-1),IF($R$17="Distrato",$E163,0))),0,YEARFRAC(MAX($P$34*($B163+IF($R$17="Distrato",$I$38-1,0)),IF(AND($L$37=0,$P$34=0),"",$L$37-1),IF($R$17="Distrato",$E163,0)),MIN(AP$38,$D$19),$P$20))-SUM($P163:AO163)</f>
        <v>#VALUE!</v>
      </c>
      <c r="AQ163" s="446" t="e">
        <f>IF(OR($B163="",MIN(AQ$38,$D$19)&lt;MAX($P$34*($B163+IF($R$17="Distrato",$I$38-1,0)),IF(AND($L$37=0,$P$34=0),"",$L$37-1),IF($R$17="Distrato",$E163,0))),0,YEARFRAC(MAX($P$34*($B163+IF($R$17="Distrato",$I$38-1,0)),IF(AND($L$37=0,$P$34=0),"",$L$37-1),IF($R$17="Distrato",$E163,0)),MIN(AQ$38,$D$19),$P$20))-SUM($P163:AP163)</f>
        <v>#VALUE!</v>
      </c>
      <c r="AR163" s="446" t="e">
        <f>IF(OR($B163="",MIN(AR$38,$D$19)&lt;MAX($P$34*($B163+IF($R$17="Distrato",$I$38-1,0)),IF(AND($L$37=0,$P$34=0),"",$L$37-1),IF($R$17="Distrato",$E163,0))),0,YEARFRAC(MAX($P$34*($B163+IF($R$17="Distrato",$I$38-1,0)),IF(AND($L$37=0,$P$34=0),"",$L$37-1),IF($R$17="Distrato",$E163,0)),MIN(AR$38,$D$19),$P$20))-SUM($P163:AQ163)</f>
        <v>#VALUE!</v>
      </c>
      <c r="AS163" s="446" t="e">
        <f>IF(OR($B163="",MIN(AS$38,$D$19)&lt;MAX($P$34*($B163+IF($R$17="Distrato",$I$38-1,0)),IF(AND($L$37=0,$P$34=0),"",$L$37-1),IF($R$17="Distrato",$E163,0))),0,YEARFRAC(MAX($P$34*($B163+IF($R$17="Distrato",$I$38-1,0)),IF(AND($L$37=0,$P$34=0),"",$L$37-1),IF($R$17="Distrato",$E163,0)),MIN(AS$38,$D$19),$P$20))-SUM($P163:AR163)</f>
        <v>#VALUE!</v>
      </c>
      <c r="AT163" s="446" t="e">
        <f>IF(OR($B163="",MIN(AT$38,$D$19)&lt;MAX($P$34*($B163+IF($R$17="Distrato",$I$38-1,0)),IF(AND($L$37=0,$P$34=0),"",$L$37-1),IF($R$17="Distrato",$E163,0))),0,YEARFRAC(MAX($P$34*($B163+IF($R$17="Distrato",$I$38-1,0)),IF(AND($L$37=0,$P$34=0),"",$L$37-1),IF($R$17="Distrato",$E163,0)),MIN(AT$38,$D$19),$P$20))-SUM($P163:AS163)</f>
        <v>#VALUE!</v>
      </c>
      <c r="AU163" s="446" t="e">
        <f>IF(OR($B163="",MIN(AU$38,$D$19)&lt;MAX($P$34*($B163+IF($R$17="Distrato",$I$38-1,0)),IF(AND($L$37=0,$P$34=0),"",$L$37-1),IF($R$17="Distrato",$E163,0))),0,YEARFRAC(MAX($P$34*($B163+IF($R$17="Distrato",$I$38-1,0)),IF(AND($L$37=0,$P$34=0),"",$L$37-1),IF($R$17="Distrato",$E163,0)),MIN(AU$38,$D$19),$P$20))-SUM($P163:AT163)</f>
        <v>#VALUE!</v>
      </c>
      <c r="AV163" s="446" t="e">
        <f>IF(OR($B163="",MIN(AV$38,$D$19)&lt;MAX($P$34*($B163+IF($R$17="Distrato",$I$38-1,0)),IF(AND($L$37=0,$P$34=0),"",$L$37-1),IF($R$17="Distrato",$E163,0))),0,YEARFRAC(MAX($P$34*($B163+IF($R$17="Distrato",$I$38-1,0)),IF(AND($L$37=0,$P$34=0),"",$L$37-1),IF($R$17="Distrato",$E163,0)),MIN(AV$38,$D$19),$P$20))-SUM($P163:AU163)</f>
        <v>#VALUE!</v>
      </c>
      <c r="AW163" s="446" t="e">
        <f>IF(OR($B163="",MIN(AW$38,$D$19)&lt;MAX($P$34*($B163+IF($R$17="Distrato",$I$38-1,0)),IF(AND($L$37=0,$P$34=0),"",$L$37-1),IF($R$17="Distrato",$E163,0))),0,YEARFRAC(MAX($P$34*($B163+IF($R$17="Distrato",$I$38-1,0)),IF(AND($L$37=0,$P$34=0),"",$L$37-1),IF($R$17="Distrato",$E163,0)),MIN(AW$38,$D$19),$P$20))-SUM($P163:AV163)</f>
        <v>#VALUE!</v>
      </c>
      <c r="AX163" s="446" t="e">
        <f>IF(OR($B163="",MIN(AX$38,$D$19)&lt;MAX($P$34*($B163+IF($R$17="Distrato",$I$38-1,0)),IF(AND($L$37=0,$P$34=0),"",$L$37-1),IF($R$17="Distrato",$E163,0))),0,YEARFRAC(MAX($P$34*($B163+IF($R$17="Distrato",$I$38-1,0)),IF(AND($L$37=0,$P$34=0),"",$L$37-1),IF($R$17="Distrato",$E163,0)),MIN(AX$38,$D$19),$P$20))-SUM($P163:AW163)</f>
        <v>#VALUE!</v>
      </c>
      <c r="AY163" s="446" t="e">
        <f>IF(OR($B163="",MIN(AY$38,$D$19)&lt;MAX($P$34*($B163+IF($R$17="Distrato",$I$38-1,0)),IF(AND($L$37=0,$P$34=0),"",$L$37-1),IF($R$17="Distrato",$E163,0))),0,YEARFRAC(MAX($P$34*($B163+IF($R$17="Distrato",$I$38-1,0)),IF(AND($L$37=0,$P$34=0),"",$L$37-1),IF($R$17="Distrato",$E163,0)),MIN(AY$38,$D$19),$P$20))-SUM($P163:AX163)</f>
        <v>#VALUE!</v>
      </c>
      <c r="AZ163" s="446" t="e">
        <f>IF(OR($B163="",MIN(AZ$38,$D$19)&lt;MAX($P$34*($B163+IF($R$17="Distrato",$I$38-1,0)),IF(AND($L$37=0,$P$34=0),"",$L$37-1),IF($R$17="Distrato",$E163,0))),0,YEARFRAC(MAX($P$34*($B163+IF($R$17="Distrato",$I$38-1,0)),IF(AND($L$37=0,$P$34=0),"",$L$37-1),IF($R$17="Distrato",$E163,0)),MIN(AZ$38,$D$19),$P$20))-SUM($P163:AY163)</f>
        <v>#VALUE!</v>
      </c>
      <c r="BA163" s="446" t="e">
        <f>IF(OR($B163="",MIN(BA$38,$D$19)&lt;MAX($P$34*($B163+IF($R$17="Distrato",$I$38-1,0)),IF(AND($L$37=0,$P$34=0),"",$L$37-1),IF($R$17="Distrato",$E163,0))),0,YEARFRAC(MAX($P$34*($B163+IF($R$17="Distrato",$I$38-1,0)),IF(AND($L$37=0,$P$34=0),"",$L$37-1),IF($R$17="Distrato",$E163,0)),MIN(BA$38,$D$19),$P$20))-SUM($P163:AZ163)</f>
        <v>#VALUE!</v>
      </c>
      <c r="BB163" s="447"/>
      <c r="BF163" s="446">
        <f t="shared" si="21"/>
        <v>0</v>
      </c>
      <c r="BG163" s="446">
        <f>IF($E163=0,0,IF(MIN(BG$38,$E163)&lt;MAX($P$34*($B163+$I$38-1),IF(AND($L$37=0,$P$34=0),"",$L$37-1)),0,YEARFRAC(MAX($P$34*($B163+$I$38-1),IF(AND($L$37=0,$P$34=0),"",$L$37-1)),MIN(BG$38,$E163),$P$20))-SUM($BF163:BF163))</f>
        <v>0</v>
      </c>
      <c r="BH163" s="446">
        <f>IF($E163=0,0,IF(MIN(BH$38,$E163)&lt;MAX($P$34*($B163+$I$38-1),IF(AND($L$37=0,$P$34=0),"",$L$37-1)),0,YEARFRAC(MAX($P$34*($B163+$I$38-1),IF(AND($L$37=0,$P$34=0),"",$L$37-1)),MIN(BH$38,$E163),$P$20))-SUM($BF163:BG163))</f>
        <v>0</v>
      </c>
      <c r="BI163" s="446">
        <f>IF($E163=0,0,IF(MIN(BI$38,$E163)&lt;MAX($P$34*($B163+$I$38-1),IF(AND($L$37=0,$P$34=0),"",$L$37-1)),0,YEARFRAC(MAX($P$34*($B163+$I$38-1),IF(AND($L$37=0,$P$34=0),"",$L$37-1)),MIN(BI$38,$E163),$P$20))-SUM($BF163:BH163))</f>
        <v>0</v>
      </c>
      <c r="BJ163" s="446">
        <f>IF($E163=0,0,IF(MIN(BJ$38,$E163)&lt;MAX($P$34*($B163+$I$38-1),IF(AND($L$37=0,$P$34=0),"",$L$37-1)),0,YEARFRAC(MAX($P$34*($B163+$I$38-1),IF(AND($L$37=0,$P$34=0),"",$L$37-1)),MIN(BJ$38,$E163),$P$20))-SUM($BF163:BI163))</f>
        <v>0</v>
      </c>
      <c r="BK163" s="446">
        <f>IF($E163=0,0,IF(MIN(BK$38,$E163)&lt;MAX($P$34*($B163+$I$38-1),IF(AND($L$37=0,$P$34=0),"",$L$37-1)),0,YEARFRAC(MAX($P$34*($B163+$I$38-1),IF(AND($L$37=0,$P$34=0),"",$L$37-1)),MIN(BK$38,$E163),$P$20))-SUM($BF163:BJ163))</f>
        <v>0</v>
      </c>
      <c r="BL163" s="446">
        <f>IF($E163=0,0,IF(MIN(BL$38,$E163)&lt;MAX($P$34*($B163+$I$38-1),IF(AND($L$37=0,$P$34=0),"",$L$37-1)),0,YEARFRAC(MAX($P$34*($B163+$I$38-1),IF(AND($L$37=0,$P$34=0),"",$L$37-1)),MIN(BL$38,$E163),$P$20))-SUM($BF163:BK163))</f>
        <v>0</v>
      </c>
      <c r="BM163" s="446">
        <f>IF($E163=0,0,IF(MIN(BM$38,$E163)&lt;MAX($P$34*($B163+$I$38-1),IF(AND($L$37=0,$P$34=0),"",$L$37-1)),0,YEARFRAC(MAX($P$34*($B163+$I$38-1),IF(AND($L$37=0,$P$34=0),"",$L$37-1)),MIN(BM$38,$E163),$P$20))-SUM($BF163:BL163))</f>
        <v>0</v>
      </c>
      <c r="BN163" s="446">
        <f>IF($E163=0,0,IF(MIN(BN$38,$E163)&lt;MAX($P$34*($B163+$I$38-1),IF(AND($L$37=0,$P$34=0),"",$L$37-1)),0,YEARFRAC(MAX($P$34*($B163+$I$38-1),IF(AND($L$37=0,$P$34=0),"",$L$37-1)),MIN(BN$38,$E163),$P$20))-SUM($BF163:BM163))</f>
        <v>0</v>
      </c>
      <c r="BO163" s="446">
        <f>IF($E163=0,0,IF(MIN(BO$38,$E163)&lt;MAX($P$34*($B163+$I$38-1),IF(AND($L$37=0,$P$34=0),"",$L$37-1)),0,YEARFRAC(MAX($P$34*($B163+$I$38-1),IF(AND($L$37=0,$P$34=0),"",$L$37-1)),MIN(BO$38,$E163),$P$20))-SUM($BF163:BN163))</f>
        <v>0</v>
      </c>
      <c r="BP163" s="446">
        <f>IF($E163=0,0,IF(MIN(BP$38,$E163)&lt;MAX($P$34*($B163+$I$38-1),IF(AND($L$37=0,$P$34=0),"",$L$37-1)),0,YEARFRAC(MAX($P$34*($B163+$I$38-1),IF(AND($L$37=0,$P$34=0),"",$L$37-1)),MIN(BP$38,$E163),$P$20))-SUM($BF163:BO163))</f>
        <v>0</v>
      </c>
      <c r="BQ163" s="446">
        <f>IF($E163=0,0,IF(MIN(BQ$38,$E163)&lt;MAX($P$34*($B163+$I$38-1),IF(AND($L$37=0,$P$34=0),"",$L$37-1)),0,YEARFRAC(MAX($P$34*($B163+$I$38-1),IF(AND($L$37=0,$P$34=0),"",$L$37-1)),MIN(BQ$38,$E163),$P$20))-SUM($BF163:BP163))</f>
        <v>0</v>
      </c>
      <c r="BR163" s="446">
        <f>IF($E163=0,0,IF(MIN(BR$38,$E163)&lt;MAX($P$34*($B163+$I$38-1),IF(AND($L$37=0,$P$34=0),"",$L$37-1)),0,YEARFRAC(MAX($P$34*($B163+$I$38-1),IF(AND($L$37=0,$P$34=0),"",$L$37-1)),MIN(BR$38,$E163),$P$20))-SUM($BF163:BQ163))</f>
        <v>0</v>
      </c>
      <c r="BS163" s="446">
        <f>IF($E163=0,0,IF(MIN(BS$38,$E163)&lt;MAX($P$34*($B163+$I$38-1),IF(AND($L$37=0,$P$34=0),"",$L$37-1)),0,YEARFRAC(MAX($P$34*($B163+$I$38-1),IF(AND($L$37=0,$P$34=0),"",$L$37-1)),MIN(BS$38,$E163),$P$20))-SUM($BF163:BR163))</f>
        <v>0</v>
      </c>
      <c r="BT163" s="446">
        <f>IF($E163=0,0,IF(MIN(BT$38,$E163)&lt;MAX($P$34*($B163+$I$38-1),IF(AND($L$37=0,$P$34=0),"",$L$37-1)),0,YEARFRAC(MAX($P$34*($B163+$I$38-1),IF(AND($L$37=0,$P$34=0),"",$L$37-1)),MIN(BT$38,$E163),$P$20))-SUM($BF163:BS163))</f>
        <v>0</v>
      </c>
      <c r="BU163" s="446">
        <f>IF($E163=0,0,IF(MIN(BU$38,$E163)&lt;MAX($P$34*($B163+$I$38-1),IF(AND($L$37=0,$P$34=0),"",$L$37-1)),0,YEARFRAC(MAX($P$34*($B163+$I$38-1),IF(AND($L$37=0,$P$34=0),"",$L$37-1)),MIN(BU$38,$E163),$P$20))-SUM($BF163:BT163))</f>
        <v>0</v>
      </c>
      <c r="BV163" s="446">
        <f>IF($E163=0,0,IF(MIN(BV$38,$E163)&lt;MAX($P$34*($B163+$I$38-1),IF(AND($L$37=0,$P$34=0),"",$L$37-1)),0,YEARFRAC(MAX($P$34*($B163+$I$38-1),IF(AND($L$37=0,$P$34=0),"",$L$37-1)),MIN(BV$38,$E163),$P$20))-SUM($BF163:BU163))</f>
        <v>0</v>
      </c>
      <c r="BW163" s="446">
        <f>IF($E163=0,0,IF(MIN(BW$38,$E163)&lt;MAX($P$34*($B163+$I$38-1),IF(AND($L$37=0,$P$34=0),"",$L$37-1)),0,YEARFRAC(MAX($P$34*($B163+$I$38-1),IF(AND($L$37=0,$P$34=0),"",$L$37-1)),MIN(BW$38,$E163),$P$20))-SUM($BF163:BV163))</f>
        <v>0</v>
      </c>
      <c r="BX163" s="446">
        <f>IF($E163=0,0,IF(MIN(BX$38,$E163)&lt;MAX($P$34*($B163+$I$38-1),IF(AND($L$37=0,$P$34=0),"",$L$37-1)),0,YEARFRAC(MAX($P$34*($B163+$I$38-1),IF(AND($L$37=0,$P$34=0),"",$L$37-1)),MIN(BX$38,$E163),$P$20))-SUM($BF163:BW163))</f>
        <v>0</v>
      </c>
      <c r="BY163" s="446">
        <f>IF($E163=0,0,IF(MIN(BY$38,$E163)&lt;MAX($P$34*($B163+$I$38-1),IF(AND($L$37=0,$P$34=0),"",$L$37-1)),0,YEARFRAC(MAX($P$34*($B163+$I$38-1),IF(AND($L$37=0,$P$34=0),"",$L$37-1)),MIN(BY$38,$E163),$P$20))-SUM($BF163:BX163))</f>
        <v>0</v>
      </c>
      <c r="BZ163" s="446">
        <f>IF($E163=0,0,IF(MIN(BZ$38,$E163)&lt;MAX($P$34*($B163+$I$38-1),IF(AND($L$37=0,$P$34=0),"",$L$37-1)),0,YEARFRAC(MAX($P$34*($B163+$I$38-1),IF(AND($L$37=0,$P$34=0),"",$L$37-1)),MIN(BZ$38,$E163),$P$20))-SUM($BF163:BY163))</f>
        <v>0</v>
      </c>
      <c r="CA163" s="446">
        <f>IF($E163=0,0,IF(MIN(CA$38,$E163)&lt;MAX($P$34*($B163+$I$38-1),IF(AND($L$37=0,$P$34=0),"",$L$37-1)),0,YEARFRAC(MAX($P$34*($B163+$I$38-1),IF(AND($L$37=0,$P$34=0),"",$L$37-1)),MIN(CA$38,$E163),$P$20))-SUM($BF163:BZ163))</f>
        <v>0</v>
      </c>
      <c r="CB163" s="446">
        <f>IF($E163=0,0,IF(MIN(CB$38,$E163)&lt;MAX($P$34*($B163+$I$38-1),IF(AND($L$37=0,$P$34=0),"",$L$37-1)),0,YEARFRAC(MAX($P$34*($B163+$I$38-1),IF(AND($L$37=0,$P$34=0),"",$L$37-1)),MIN(CB$38,$E163),$P$20))-SUM($BF163:CA163))</f>
        <v>0</v>
      </c>
      <c r="CC163" s="446">
        <f>IF($E163=0,0,IF(MIN(CC$38,$E163)&lt;MAX($P$34*($B163+$I$38-1),IF(AND($L$37=0,$P$34=0),"",$L$37-1)),0,YEARFRAC(MAX($P$34*($B163+$I$38-1),IF(AND($L$37=0,$P$34=0),"",$L$37-1)),MIN(CC$38,$E163),$P$20))-SUM($BF163:CB163))</f>
        <v>0</v>
      </c>
      <c r="CD163" s="446">
        <f>IF($E163=0,0,IF(MIN(CD$38,$E163)&lt;MAX($P$34*($B163+$I$38-1),IF(AND($L$37=0,$P$34=0),"",$L$37-1)),0,YEARFRAC(MAX($P$34*($B163+$I$38-1),IF(AND($L$37=0,$P$34=0),"",$L$37-1)),MIN(CD$38,$E163),$P$20))-SUM($BF163:CC163))</f>
        <v>0</v>
      </c>
      <c r="CE163" s="446">
        <f>IF($E163=0,0,IF(MIN(CE$38,$E163)&lt;MAX($P$34*($B163+$I$38-1),IF(AND($L$37=0,$P$34=0),"",$L$37-1)),0,YEARFRAC(MAX($P$34*($B163+$I$38-1),IF(AND($L$37=0,$P$34=0),"",$L$37-1)),MIN(CE$38,$E163),$P$20))-SUM($BF163:CD163))</f>
        <v>0</v>
      </c>
      <c r="CF163" s="446">
        <f>IF($E163=0,0,IF(MIN(CF$38,$E163)&lt;MAX($P$34*($B163+$I$38-1),IF(AND($L$37=0,$P$34=0),"",$L$37-1)),0,YEARFRAC(MAX($P$34*($B163+$I$38-1),IF(AND($L$37=0,$P$34=0),"",$L$37-1)),MIN(CF$38,$E163),$P$20))-SUM($BF163:CE163))</f>
        <v>0</v>
      </c>
      <c r="CG163" s="446">
        <f>IF($E163=0,0,IF(MIN(CG$38,$E163)&lt;MAX($P$34*($B163+$I$38-1),IF(AND($L$37=0,$P$34=0),"",$L$37-1)),0,YEARFRAC(MAX($P$34*($B163+$I$38-1),IF(AND($L$37=0,$P$34=0),"",$L$37-1)),MIN(CG$38,$E163),$P$20))-SUM($BF163:CF163))</f>
        <v>0</v>
      </c>
      <c r="CH163" s="446">
        <f>IF($E163=0,0,IF(MIN(CH$38,$E163)&lt;MAX($P$34*($B163+$I$38-1),IF(AND($L$37=0,$P$34=0),"",$L$37-1)),0,YEARFRAC(MAX($P$34*($B163+$I$38-1),IF(AND($L$37=0,$P$34=0),"",$L$37-1)),MIN(CH$38,$E163),$P$20))-SUM($BF163:CG163))</f>
        <v>0</v>
      </c>
      <c r="CI163" s="446">
        <f>IF($E163=0,0,IF(MIN(CI$38,$E163)&lt;MAX($P$34*($B163+$I$38-1),IF(AND($L$37=0,$P$34=0),"",$L$37-1)),0,YEARFRAC(MAX($P$34*($B163+$I$38-1),IF(AND($L$37=0,$P$34=0),"",$L$37-1)),MIN(CI$38,$E163),$P$20))-SUM($BF163:CH163))</f>
        <v>0</v>
      </c>
      <c r="CJ163" s="446">
        <f>IF($E163=0,0,IF(MIN(CJ$38,$E163)&lt;MAX($P$34*($B163+$I$38-1),IF(AND($L$37=0,$P$34=0),"",$L$37-1)),0,YEARFRAC(MAX($P$34*($B163+$I$38-1),IF(AND($L$37=0,$P$34=0),"",$L$37-1)),MIN(CJ$38,$E163),$P$20))-SUM($BF163:CI163))</f>
        <v>0</v>
      </c>
      <c r="CK163" s="446">
        <f>IF($E163=0,0,IF(MIN(CK$38,$E163)&lt;MAX($P$34*($B163+$I$38-1),IF(AND($L$37=0,$P$34=0),"",$L$37-1)),0,YEARFRAC(MAX($P$34*($B163+$I$38-1),IF(AND($L$37=0,$P$34=0),"",$L$37-1)),MIN(CK$38,$E163),$P$20))-SUM($BF163:CJ163))</f>
        <v>0</v>
      </c>
      <c r="CL163" s="446">
        <f>IF($E163=0,0,IF(MIN(CL$38,$E163)&lt;MAX($P$34*($B163+$I$38-1),IF(AND($L$37=0,$P$34=0),"",$L$37-1)),0,YEARFRAC(MAX($P$34*($B163+$I$38-1),IF(AND($L$37=0,$P$34=0),"",$L$37-1)),MIN(CL$38,$E163),$P$20))-SUM($BF163:CK163))</f>
        <v>0</v>
      </c>
      <c r="CM163" s="446">
        <f>IF($E163=0,0,IF(MIN(CM$38,$E163)&lt;MAX($P$34*($B163+$I$38-1),IF(AND($L$37=0,$P$34=0),"",$L$37-1)),0,YEARFRAC(MAX($P$34*($B163+$I$38-1),IF(AND($L$37=0,$P$34=0),"",$L$37-1)),MIN(CM$38,$E163),$P$20))-SUM($BF163:CL163))</f>
        <v>0</v>
      </c>
      <c r="CN163" s="446">
        <f>IF($E163=0,0,IF(MIN(CN$38,$E163)&lt;MAX($P$34*($B163+$I$38-1),IF(AND($L$37=0,$P$34=0),"",$L$37-1)),0,YEARFRAC(MAX($P$34*($B163+$I$38-1),IF(AND($L$37=0,$P$34=0),"",$L$37-1)),MIN(CN$38,$E163),$P$20))-SUM($BF163:CM163))</f>
        <v>0</v>
      </c>
      <c r="CO163" s="446">
        <f>IF($E163=0,0,IF(MIN(CO$38,$E163)&lt;MAX($P$34*($B163+$I$38-1),IF(AND($L$37=0,$P$34=0),"",$L$37-1)),0,YEARFRAC(MAX($P$34*($B163+$I$38-1),IF(AND($L$37=0,$P$34=0),"",$L$37-1)),MIN(CO$38,$E163),$P$20))-SUM($BF163:CN163))</f>
        <v>0</v>
      </c>
      <c r="CP163" s="446">
        <f>IF($E163=0,0,IF(MIN(CP$38,$E163)&lt;MAX($P$34*($B163+$I$38-1),IF(AND($L$37=0,$P$34=0),"",$L$37-1)),0,YEARFRAC(MAX($P$34*($B163+$I$38-1),IF(AND($L$37=0,$P$34=0),"",$L$37-1)),MIN(CP$38,$E163),$P$20))-SUM($BF163:CO163))</f>
        <v>0</v>
      </c>
      <c r="CQ163" s="446">
        <f>IF($E163=0,0,IF(MIN(CQ$38,$E163)&lt;MAX($P$34*($B163+$I$38-1),IF(AND($L$37=0,$P$34=0),"",$L$37-1)),0,YEARFRAC(MAX($P$34*($B163+$I$38-1),IF(AND($L$37=0,$P$34=0),"",$L$37-1)),MIN(CQ$38,$E163),$P$20))-SUM($BF163:CP163))</f>
        <v>0</v>
      </c>
    </row>
    <row r="164" spans="1:95" s="446" customFormat="1" ht="11.25" hidden="1" customHeight="1" x14ac:dyDescent="0.2">
      <c r="A164" s="152"/>
      <c r="B164" s="153" t="str">
        <f t="shared" si="26"/>
        <v/>
      </c>
      <c r="C164" s="29" t="str">
        <f>IF(B164="","",IF($L$35="SELIC - TRIBUTOS",VLOOKUP(DATE(YEAR($D$19),MONTH($D$19)-1,1),ÍNDICES!$A:$DE,HLOOKUP($BL$25,ÍNDICES!$B$3:$T$4,2)+11)-VLOOKUP(B164,ÍNDICES!$A:$DE,HLOOKUP($BL$25,ÍNDICES!$B$3:$T$4,2)+11)+1%,IF(C$38=$W$26,$J$35,IF(ISERROR(IF(B164&gt;$D$19,1,VLOOKUP(DATE(YEAR(B164),MONTH(B164)+IF($C$35=$S$23,1,0),1),ÍNDICES!$A:$DE,$Z$35+1))),"",IF(B164&gt;$D$19,1,VLOOKUP(DATE(YEAR(B164),MONTH(B164)+IF($C$35=$S$23,1,0),1),ÍNDICES!$A:$DE,$Z$35+1))))))</f>
        <v/>
      </c>
      <c r="D164" s="154" t="str">
        <f>IF(ISERROR(IF(OR($D$38=$Y$27,$B164=""),"",VLOOKUP(B164,ÍNDICES!A:DE,AF$35+1))),"",IF(OR($D$38=$Y$27,$B164=""),"",VLOOKUP(B164,ÍNDICES!A:DE,AF$35+1)))</f>
        <v/>
      </c>
      <c r="E164" s="153"/>
      <c r="F164" s="29" t="str">
        <f>IF(E164="","",IF($L$35="SELIC - TRIBUTOS",VLOOKUP(DATE(YEAR($D$19),MONTH($D$19)-1,1),ÍNDICES!$A:$DE,HLOOKUP($BL$25,ÍNDICES!$B$3:$T$4,2)+11)-VLOOKUP(E164,ÍNDICES!$A:$DE,HLOOKUP($BL$25,ÍNDICES!$B$3:$T$4,2)+11)+1%,IF(F$38=$W$26,$J$35,IF(ISERROR(IF(E164&gt;$D$19,1,VLOOKUP(DATE(YEAR(E164),MONTH(E164)+IF($C$35=$S$23,1,0),1),ÍNDICES!$A:$DE,$Z$35+1))),"",IF(E164&gt;$D$19,1,VLOOKUP(DATE(YEAR(E164),MONTH(E164)+IF($C$35=$S$23,1,0),1),ÍNDICES!$A:$DE,$Z$35+1))))))</f>
        <v/>
      </c>
      <c r="G164" s="155"/>
      <c r="H164" s="156" t="str">
        <f t="shared" si="22"/>
        <v/>
      </c>
      <c r="I164" s="29" t="str">
        <f t="shared" si="16"/>
        <v/>
      </c>
      <c r="J164" s="5">
        <f t="shared" si="17"/>
        <v>0</v>
      </c>
      <c r="K164" s="20">
        <f t="shared" ca="1" si="18"/>
        <v>0</v>
      </c>
      <c r="L164" s="5">
        <f t="shared" ca="1" si="19"/>
        <v>0</v>
      </c>
      <c r="M164" s="64">
        <f t="shared" si="23"/>
        <v>0</v>
      </c>
      <c r="N164" s="61">
        <f t="shared" ca="1" si="24"/>
        <v>0</v>
      </c>
      <c r="O164" s="5">
        <f t="shared" ca="1" si="25"/>
        <v>0</v>
      </c>
      <c r="P164" s="446" t="e">
        <f t="shared" si="20"/>
        <v>#VALUE!</v>
      </c>
      <c r="Q164" s="446" t="e">
        <f>IF(OR($B164="",MIN(Q$38,$D$19)&lt;MAX($P$34*($B164+IF($R$17="Distrato",$I$38-1,0)),IF(AND($L$37=0,$P$34=0),"",$L$37-1),IF($R$17="Distrato",$E164,0))),0,YEARFRAC(MAX($P$34*($B164+IF($R$17="Distrato",$I$38-1,0)),IF(AND($L$37=0,$P$34=0),"",$L$37-1),IF($R$17="Distrato",$E164,0)),MIN(Q$38,$D$19),$P$20))-SUM($P164:P164)</f>
        <v>#VALUE!</v>
      </c>
      <c r="R164" s="446" t="e">
        <f>IF(OR($B164="",MIN(R$38,$D$19)&lt;MAX($P$34*($B164+IF($R$17="Distrato",$I$38-1,0)),IF(AND($L$37=0,$P$34=0),"",$L$37-1),IF($R$17="Distrato",$E164,0))),0,YEARFRAC(MAX($P$34*($B164+IF($R$17="Distrato",$I$38-1,0)),IF(AND($L$37=0,$P$34=0),"",$L$37-1),IF($R$17="Distrato",$E164,0)),MIN(R$38,$D$19),$P$20))-SUM($P164:Q164)</f>
        <v>#VALUE!</v>
      </c>
      <c r="S164" s="446" t="e">
        <f>IF(OR($B164="",MIN(S$38,$D$19)&lt;MAX($P$34*($B164+IF($R$17="Distrato",$I$38-1,0)),IF(AND($L$37=0,$P$34=0),"",$L$37-1),IF($R$17="Distrato",$E164,0))),0,YEARFRAC(MAX($P$34*($B164+IF($R$17="Distrato",$I$38-1,0)),IF(AND($L$37=0,$P$34=0),"",$L$37-1),IF($R$17="Distrato",$E164,0)),MIN(S$38,$D$19),$P$20))-SUM($P164:R164)</f>
        <v>#VALUE!</v>
      </c>
      <c r="T164" s="446" t="e">
        <f>IF(OR($B164="",MIN(T$38,$D$19)&lt;MAX($P$34*($B164+IF($R$17="Distrato",$I$38-1,0)),IF(AND($L$37=0,$P$34=0),"",$L$37-1),IF($R$17="Distrato",$E164,0))),0,YEARFRAC(MAX($P$34*($B164+IF($R$17="Distrato",$I$38-1,0)),IF(AND($L$37=0,$P$34=0),"",$L$37-1),IF($R$17="Distrato",$E164,0)),MIN(T$38,$D$19),$P$20))-SUM($P164:S164)</f>
        <v>#VALUE!</v>
      </c>
      <c r="U164" s="446" t="e">
        <f>IF(OR($B164="",MIN(U$38,$D$19)&lt;MAX($P$34*($B164+IF($R$17="Distrato",$I$38-1,0)),IF(AND($L$37=0,$P$34=0),"",$L$37-1),IF($R$17="Distrato",$E164,0))),0,YEARFRAC(MAX($P$34*($B164+IF($R$17="Distrato",$I$38-1,0)),IF(AND($L$37=0,$P$34=0),"",$L$37-1),IF($R$17="Distrato",$E164,0)),MIN(U$38,$D$19),$P$20))-SUM($P164:T164)</f>
        <v>#VALUE!</v>
      </c>
      <c r="V164" s="446" t="e">
        <f>IF(OR($B164="",MIN(V$38,$D$19)&lt;MAX($P$34*($B164+IF($R$17="Distrato",$I$38-1,0)),IF(AND($L$37=0,$P$34=0),"",$L$37-1),IF($R$17="Distrato",$E164,0))),0,YEARFRAC(MAX($P$34*($B164+IF($R$17="Distrato",$I$38-1,0)),IF(AND($L$37=0,$P$34=0),"",$L$37-1),IF($R$17="Distrato",$E164,0)),MIN(V$38,$D$19),$P$20))-SUM($P164:U164)</f>
        <v>#VALUE!</v>
      </c>
      <c r="W164" s="446" t="e">
        <f>IF(OR($B164="",MIN(W$38,$D$19)&lt;MAX($P$34*($B164+IF($R$17="Distrato",$I$38-1,0)),IF(AND($L$37=0,$P$34=0),"",$L$37-1),IF($R$17="Distrato",$E164,0))),0,YEARFRAC(MAX($P$34*($B164+IF($R$17="Distrato",$I$38-1,0)),IF(AND($L$37=0,$P$34=0),"",$L$37-1),IF($R$17="Distrato",$E164,0)),MIN(W$38,$D$19),$P$20))-SUM($P164:V164)</f>
        <v>#VALUE!</v>
      </c>
      <c r="X164" s="446" t="e">
        <f>IF(OR($B164="",MIN(X$38,$D$19)&lt;MAX($P$34*($B164+IF($R$17="Distrato",$I$38-1,0)),IF(AND($L$37=0,$P$34=0),"",$L$37-1),IF($R$17="Distrato",$E164,0))),0,YEARFRAC(MAX($P$34*($B164+IF($R$17="Distrato",$I$38-1,0)),IF(AND($L$37=0,$P$34=0),"",$L$37-1),IF($R$17="Distrato",$E164,0)),MIN(X$38,$D$19),$P$20))-SUM($P164:W164)</f>
        <v>#VALUE!</v>
      </c>
      <c r="Y164" s="446" t="e">
        <f>IF(OR($B164="",MIN(Y$38,$D$19)&lt;MAX($P$34*($B164+IF($R$17="Distrato",$I$38-1,0)),IF(AND($L$37=0,$P$34=0),"",$L$37-1),IF($R$17="Distrato",$E164,0))),0,YEARFRAC(MAX($P$34*($B164+IF($R$17="Distrato",$I$38-1,0)),IF(AND($L$37=0,$P$34=0),"",$L$37-1),IF($R$17="Distrato",$E164,0)),MIN(Y$38,$D$19),$P$20))-SUM($P164:X164)</f>
        <v>#VALUE!</v>
      </c>
      <c r="Z164" s="446" t="e">
        <f>IF(OR($B164="",MIN(Z$38,$D$19)&lt;MAX($P$34*($B164+IF($R$17="Distrato",$I$38-1,0)),IF(AND($L$37=0,$P$34=0),"",$L$37-1),IF($R$17="Distrato",$E164,0))),0,YEARFRAC(MAX($P$34*($B164+IF($R$17="Distrato",$I$38-1,0)),IF(AND($L$37=0,$P$34=0),"",$L$37-1),IF($R$17="Distrato",$E164,0)),MIN(Z$38,$D$19),$P$20))-SUM($P164:Y164)</f>
        <v>#VALUE!</v>
      </c>
      <c r="AA164" s="446" t="e">
        <f>IF(OR($B164="",MIN(AA$38,$D$19)&lt;MAX($P$34*($B164+IF($R$17="Distrato",$I$38-1,0)),IF(AND($L$37=0,$P$34=0),"",$L$37-1),IF($R$17="Distrato",$E164,0))),0,YEARFRAC(MAX($P$34*($B164+IF($R$17="Distrato",$I$38-1,0)),IF(AND($L$37=0,$P$34=0),"",$L$37-1),IF($R$17="Distrato",$E164,0)),MIN(AA$38,$D$19),$P$20))-SUM($P164:Z164)</f>
        <v>#VALUE!</v>
      </c>
      <c r="AB164" s="446" t="e">
        <f>IF(OR($B164="",MIN(AB$38,$D$19)&lt;MAX($P$34*($B164+IF($R$17="Distrato",$I$38-1,0)),IF(AND($L$37=0,$P$34=0),"",$L$37-1),IF($R$17="Distrato",$E164,0))),0,YEARFRAC(MAX($P$34*($B164+IF($R$17="Distrato",$I$38-1,0)),IF(AND($L$37=0,$P$34=0),"",$L$37-1),IF($R$17="Distrato",$E164,0)),MIN(AB$38,$D$19),$P$20))-SUM($P164:AA164)</f>
        <v>#VALUE!</v>
      </c>
      <c r="AC164" s="446" t="e">
        <f>IF(OR($B164="",MIN(AC$38,$D$19)&lt;MAX($P$34*($B164+IF($R$17="Distrato",$I$38-1,0)),IF(AND($L$37=0,$P$34=0),"",$L$37-1),IF($R$17="Distrato",$E164,0))),0,YEARFRAC(MAX($P$34*($B164+IF($R$17="Distrato",$I$38-1,0)),IF(AND($L$37=0,$P$34=0),"",$L$37-1),IF($R$17="Distrato",$E164,0)),MIN(AC$38,$D$19),$P$20))-SUM($P164:AB164)</f>
        <v>#VALUE!</v>
      </c>
      <c r="AD164" s="446" t="e">
        <f>IF(OR($B164="",MIN(AD$38,$D$19)&lt;MAX($P$34*($B164+IF($R$17="Distrato",$I$38-1,0)),IF(AND($L$37=0,$P$34=0),"",$L$37-1),IF($R$17="Distrato",$E164,0))),0,YEARFRAC(MAX($P$34*($B164+IF($R$17="Distrato",$I$38-1,0)),IF(AND($L$37=0,$P$34=0),"",$L$37-1),IF($R$17="Distrato",$E164,0)),MIN(AD$38,$D$19),$P$20))-SUM($P164:AC164)</f>
        <v>#VALUE!</v>
      </c>
      <c r="AE164" s="446" t="e">
        <f>IF(OR($B164="",MIN(AE$38,$D$19)&lt;MAX($P$34*($B164+IF($R$17="Distrato",$I$38-1,0)),IF(AND($L$37=0,$P$34=0),"",$L$37-1),IF($R$17="Distrato",$E164,0))),0,YEARFRAC(MAX($P$34*($B164+IF($R$17="Distrato",$I$38-1,0)),IF(AND($L$37=0,$P$34=0),"",$L$37-1),IF($R$17="Distrato",$E164,0)),MIN(AE$38,$D$19),$P$20))-SUM($P164:AD164)</f>
        <v>#VALUE!</v>
      </c>
      <c r="AF164" s="446" t="e">
        <f>IF(OR($B164="",MIN(AF$38,$D$19)&lt;MAX($P$34*($B164+IF($R$17="Distrato",$I$38-1,0)),IF(AND($L$37=0,$P$34=0),"",$L$37-1),IF($R$17="Distrato",$E164,0))),0,YEARFRAC(MAX($P$34*($B164+IF($R$17="Distrato",$I$38-1,0)),IF(AND($L$37=0,$P$34=0),"",$L$37-1),IF($R$17="Distrato",$E164,0)),MIN(AF$38,$D$19),$P$20))-SUM($P164:AE164)</f>
        <v>#VALUE!</v>
      </c>
      <c r="AG164" s="446" t="e">
        <f>IF(OR($B164="",MIN(AG$38,$D$19)&lt;MAX($P$34*($B164+IF($R$17="Distrato",$I$38-1,0)),IF(AND($L$37=0,$P$34=0),"",$L$37-1),IF($R$17="Distrato",$E164,0))),0,YEARFRAC(MAX($P$34*($B164+IF($R$17="Distrato",$I$38-1,0)),IF(AND($L$37=0,$P$34=0),"",$L$37-1),IF($R$17="Distrato",$E164,0)),MIN(AG$38,$D$19),$P$20))-SUM($P164:AF164)</f>
        <v>#VALUE!</v>
      </c>
      <c r="AH164" s="446" t="e">
        <f>IF(OR($B164="",MIN(AH$38,$D$19)&lt;MAX($P$34*($B164+IF($R$17="Distrato",$I$38-1,0)),IF(AND($L$37=0,$P$34=0),"",$L$37-1),IF($R$17="Distrato",$E164,0))),0,YEARFRAC(MAX($P$34*($B164+IF($R$17="Distrato",$I$38-1,0)),IF(AND($L$37=0,$P$34=0),"",$L$37-1),IF($R$17="Distrato",$E164,0)),MIN(AH$38,$D$19),$P$20))-SUM($P164:AG164)</f>
        <v>#VALUE!</v>
      </c>
      <c r="AI164" s="446" t="e">
        <f>IF(OR($B164="",MIN(AI$38,$D$19)&lt;MAX($P$34*($B164+IF($R$17="Distrato",$I$38-1,0)),IF(AND($L$37=0,$P$34=0),"",$L$37-1),IF($R$17="Distrato",$E164,0))),0,YEARFRAC(MAX($P$34*($B164+IF($R$17="Distrato",$I$38-1,0)),IF(AND($L$37=0,$P$34=0),"",$L$37-1),IF($R$17="Distrato",$E164,0)),MIN(AI$38,$D$19),$P$20))-SUM($P164:AH164)</f>
        <v>#VALUE!</v>
      </c>
      <c r="AJ164" s="446" t="e">
        <f>IF(OR($B164="",MIN(AJ$38,$D$19)&lt;MAX($P$34*($B164+IF($R$17="Distrato",$I$38-1,0)),IF(AND($L$37=0,$P$34=0),"",$L$37-1),IF($R$17="Distrato",$E164,0))),0,YEARFRAC(MAX($P$34*($B164+IF($R$17="Distrato",$I$38-1,0)),IF(AND($L$37=0,$P$34=0),"",$L$37-1),IF($R$17="Distrato",$E164,0)),MIN(AJ$38,$D$19),$P$20))-SUM($P164:AI164)</f>
        <v>#VALUE!</v>
      </c>
      <c r="AK164" s="446" t="e">
        <f>IF(OR($B164="",MIN(AK$38,$D$19)&lt;MAX($P$34*($B164+IF($R$17="Distrato",$I$38-1,0)),IF(AND($L$37=0,$P$34=0),"",$L$37-1),IF($R$17="Distrato",$E164,0))),0,YEARFRAC(MAX($P$34*($B164+IF($R$17="Distrato",$I$38-1,0)),IF(AND($L$37=0,$P$34=0),"",$L$37-1),IF($R$17="Distrato",$E164,0)),MIN(AK$38,$D$19),$P$20))-SUM($P164:AJ164)</f>
        <v>#VALUE!</v>
      </c>
      <c r="AL164" s="446" t="e">
        <f>IF(OR($B164="",MIN(AL$38,$D$19)&lt;MAX($P$34*($B164+IF($R$17="Distrato",$I$38-1,0)),IF(AND($L$37=0,$P$34=0),"",$L$37-1),IF($R$17="Distrato",$E164,0))),0,YEARFRAC(MAX($P$34*($B164+IF($R$17="Distrato",$I$38-1,0)),IF(AND($L$37=0,$P$34=0),"",$L$37-1),IF($R$17="Distrato",$E164,0)),MIN(AL$38,$D$19),$P$20))-SUM($P164:AK164)</f>
        <v>#VALUE!</v>
      </c>
      <c r="AM164" s="446" t="e">
        <f>IF(OR($B164="",MIN(AM$38,$D$19)&lt;MAX($P$34*($B164+IF($R$17="Distrato",$I$38-1,0)),IF(AND($L$37=0,$P$34=0),"",$L$37-1),IF($R$17="Distrato",$E164,0))),0,YEARFRAC(MAX($P$34*($B164+IF($R$17="Distrato",$I$38-1,0)),IF(AND($L$37=0,$P$34=0),"",$L$37-1),IF($R$17="Distrato",$E164,0)),MIN(AM$38,$D$19),$P$20))-SUM($P164:AL164)</f>
        <v>#VALUE!</v>
      </c>
      <c r="AN164" s="446" t="e">
        <f>IF(OR($B164="",MIN(AN$38,$D$19)&lt;MAX($P$34*($B164+IF($R$17="Distrato",$I$38-1,0)),IF(AND($L$37=0,$P$34=0),"",$L$37-1),IF($R$17="Distrato",$E164,0))),0,YEARFRAC(MAX($P$34*($B164+IF($R$17="Distrato",$I$38-1,0)),IF(AND($L$37=0,$P$34=0),"",$L$37-1),IF($R$17="Distrato",$E164,0)),MIN(AN$38,$D$19),$P$20))-SUM($P164:AM164)</f>
        <v>#VALUE!</v>
      </c>
      <c r="AO164" s="446" t="e">
        <f>IF(OR($B164="",MIN(AO$38,$D$19)&lt;MAX($P$34*($B164+IF($R$17="Distrato",$I$38-1,0)),IF(AND($L$37=0,$P$34=0),"",$L$37-1),IF($R$17="Distrato",$E164,0))),0,YEARFRAC(MAX($P$34*($B164+IF($R$17="Distrato",$I$38-1,0)),IF(AND($L$37=0,$P$34=0),"",$L$37-1),IF($R$17="Distrato",$E164,0)),MIN(AO$38,$D$19),$P$20))-SUM($P164:AN164)</f>
        <v>#VALUE!</v>
      </c>
      <c r="AP164" s="446" t="e">
        <f>IF(OR($B164="",MIN(AP$38,$D$19)&lt;MAX($P$34*($B164+IF($R$17="Distrato",$I$38-1,0)),IF(AND($L$37=0,$P$34=0),"",$L$37-1),IF($R$17="Distrato",$E164,0))),0,YEARFRAC(MAX($P$34*($B164+IF($R$17="Distrato",$I$38-1,0)),IF(AND($L$37=0,$P$34=0),"",$L$37-1),IF($R$17="Distrato",$E164,0)),MIN(AP$38,$D$19),$P$20))-SUM($P164:AO164)</f>
        <v>#VALUE!</v>
      </c>
      <c r="AQ164" s="446" t="e">
        <f>IF(OR($B164="",MIN(AQ$38,$D$19)&lt;MAX($P$34*($B164+IF($R$17="Distrato",$I$38-1,0)),IF(AND($L$37=0,$P$34=0),"",$L$37-1),IF($R$17="Distrato",$E164,0))),0,YEARFRAC(MAX($P$34*($B164+IF($R$17="Distrato",$I$38-1,0)),IF(AND($L$37=0,$P$34=0),"",$L$37-1),IF($R$17="Distrato",$E164,0)),MIN(AQ$38,$D$19),$P$20))-SUM($P164:AP164)</f>
        <v>#VALUE!</v>
      </c>
      <c r="AR164" s="446" t="e">
        <f>IF(OR($B164="",MIN(AR$38,$D$19)&lt;MAX($P$34*($B164+IF($R$17="Distrato",$I$38-1,0)),IF(AND($L$37=0,$P$34=0),"",$L$37-1),IF($R$17="Distrato",$E164,0))),0,YEARFRAC(MAX($P$34*($B164+IF($R$17="Distrato",$I$38-1,0)),IF(AND($L$37=0,$P$34=0),"",$L$37-1),IF($R$17="Distrato",$E164,0)),MIN(AR$38,$D$19),$P$20))-SUM($P164:AQ164)</f>
        <v>#VALUE!</v>
      </c>
      <c r="AS164" s="446" t="e">
        <f>IF(OR($B164="",MIN(AS$38,$D$19)&lt;MAX($P$34*($B164+IF($R$17="Distrato",$I$38-1,0)),IF(AND($L$37=0,$P$34=0),"",$L$37-1),IF($R$17="Distrato",$E164,0))),0,YEARFRAC(MAX($P$34*($B164+IF($R$17="Distrato",$I$38-1,0)),IF(AND($L$37=0,$P$34=0),"",$L$37-1),IF($R$17="Distrato",$E164,0)),MIN(AS$38,$D$19),$P$20))-SUM($P164:AR164)</f>
        <v>#VALUE!</v>
      </c>
      <c r="AT164" s="446" t="e">
        <f>IF(OR($B164="",MIN(AT$38,$D$19)&lt;MAX($P$34*($B164+IF($R$17="Distrato",$I$38-1,0)),IF(AND($L$37=0,$P$34=0),"",$L$37-1),IF($R$17="Distrato",$E164,0))),0,YEARFRAC(MAX($P$34*($B164+IF($R$17="Distrato",$I$38-1,0)),IF(AND($L$37=0,$P$34=0),"",$L$37-1),IF($R$17="Distrato",$E164,0)),MIN(AT$38,$D$19),$P$20))-SUM($P164:AS164)</f>
        <v>#VALUE!</v>
      </c>
      <c r="AU164" s="446" t="e">
        <f>IF(OR($B164="",MIN(AU$38,$D$19)&lt;MAX($P$34*($B164+IF($R$17="Distrato",$I$38-1,0)),IF(AND($L$37=0,$P$34=0),"",$L$37-1),IF($R$17="Distrato",$E164,0))),0,YEARFRAC(MAX($P$34*($B164+IF($R$17="Distrato",$I$38-1,0)),IF(AND($L$37=0,$P$34=0),"",$L$37-1),IF($R$17="Distrato",$E164,0)),MIN(AU$38,$D$19),$P$20))-SUM($P164:AT164)</f>
        <v>#VALUE!</v>
      </c>
      <c r="AV164" s="446" t="e">
        <f>IF(OR($B164="",MIN(AV$38,$D$19)&lt;MAX($P$34*($B164+IF($R$17="Distrato",$I$38-1,0)),IF(AND($L$37=0,$P$34=0),"",$L$37-1),IF($R$17="Distrato",$E164,0))),0,YEARFRAC(MAX($P$34*($B164+IF($R$17="Distrato",$I$38-1,0)),IF(AND($L$37=0,$P$34=0),"",$L$37-1),IF($R$17="Distrato",$E164,0)),MIN(AV$38,$D$19),$P$20))-SUM($P164:AU164)</f>
        <v>#VALUE!</v>
      </c>
      <c r="AW164" s="446" t="e">
        <f>IF(OR($B164="",MIN(AW$38,$D$19)&lt;MAX($P$34*($B164+IF($R$17="Distrato",$I$38-1,0)),IF(AND($L$37=0,$P$34=0),"",$L$37-1),IF($R$17="Distrato",$E164,0))),0,YEARFRAC(MAX($P$34*($B164+IF($R$17="Distrato",$I$38-1,0)),IF(AND($L$37=0,$P$34=0),"",$L$37-1),IF($R$17="Distrato",$E164,0)),MIN(AW$38,$D$19),$P$20))-SUM($P164:AV164)</f>
        <v>#VALUE!</v>
      </c>
      <c r="AX164" s="446" t="e">
        <f>IF(OR($B164="",MIN(AX$38,$D$19)&lt;MAX($P$34*($B164+IF($R$17="Distrato",$I$38-1,0)),IF(AND($L$37=0,$P$34=0),"",$L$37-1),IF($R$17="Distrato",$E164,0))),0,YEARFRAC(MAX($P$34*($B164+IF($R$17="Distrato",$I$38-1,0)),IF(AND($L$37=0,$P$34=0),"",$L$37-1),IF($R$17="Distrato",$E164,0)),MIN(AX$38,$D$19),$P$20))-SUM($P164:AW164)</f>
        <v>#VALUE!</v>
      </c>
      <c r="AY164" s="446" t="e">
        <f>IF(OR($B164="",MIN(AY$38,$D$19)&lt;MAX($P$34*($B164+IF($R$17="Distrato",$I$38-1,0)),IF(AND($L$37=0,$P$34=0),"",$L$37-1),IF($R$17="Distrato",$E164,0))),0,YEARFRAC(MAX($P$34*($B164+IF($R$17="Distrato",$I$38-1,0)),IF(AND($L$37=0,$P$34=0),"",$L$37-1),IF($R$17="Distrato",$E164,0)),MIN(AY$38,$D$19),$P$20))-SUM($P164:AX164)</f>
        <v>#VALUE!</v>
      </c>
      <c r="AZ164" s="446" t="e">
        <f>IF(OR($B164="",MIN(AZ$38,$D$19)&lt;MAX($P$34*($B164+IF($R$17="Distrato",$I$38-1,0)),IF(AND($L$37=0,$P$34=0),"",$L$37-1),IF($R$17="Distrato",$E164,0))),0,YEARFRAC(MAX($P$34*($B164+IF($R$17="Distrato",$I$38-1,0)),IF(AND($L$37=0,$P$34=0),"",$L$37-1),IF($R$17="Distrato",$E164,0)),MIN(AZ$38,$D$19),$P$20))-SUM($P164:AY164)</f>
        <v>#VALUE!</v>
      </c>
      <c r="BA164" s="446" t="e">
        <f>IF(OR($B164="",MIN(BA$38,$D$19)&lt;MAX($P$34*($B164+IF($R$17="Distrato",$I$38-1,0)),IF(AND($L$37=0,$P$34=0),"",$L$37-1),IF($R$17="Distrato",$E164,0))),0,YEARFRAC(MAX($P$34*($B164+IF($R$17="Distrato",$I$38-1,0)),IF(AND($L$37=0,$P$34=0),"",$L$37-1),IF($R$17="Distrato",$E164,0)),MIN(BA$38,$D$19),$P$20))-SUM($P164:AZ164)</f>
        <v>#VALUE!</v>
      </c>
      <c r="BB164" s="447"/>
      <c r="BF164" s="446">
        <f t="shared" si="21"/>
        <v>0</v>
      </c>
      <c r="BG164" s="446">
        <f>IF($E164=0,0,IF(MIN(BG$38,$E164)&lt;MAX($P$34*($B164+$I$38-1),IF(AND($L$37=0,$P$34=0),"",$L$37-1)),0,YEARFRAC(MAX($P$34*($B164+$I$38-1),IF(AND($L$37=0,$P$34=0),"",$L$37-1)),MIN(BG$38,$E164),$P$20))-SUM($BF164:BF164))</f>
        <v>0</v>
      </c>
      <c r="BH164" s="446">
        <f>IF($E164=0,0,IF(MIN(BH$38,$E164)&lt;MAX($P$34*($B164+$I$38-1),IF(AND($L$37=0,$P$34=0),"",$L$37-1)),0,YEARFRAC(MAX($P$34*($B164+$I$38-1),IF(AND($L$37=0,$P$34=0),"",$L$37-1)),MIN(BH$38,$E164),$P$20))-SUM($BF164:BG164))</f>
        <v>0</v>
      </c>
      <c r="BI164" s="446">
        <f>IF($E164=0,0,IF(MIN(BI$38,$E164)&lt;MAX($P$34*($B164+$I$38-1),IF(AND($L$37=0,$P$34=0),"",$L$37-1)),0,YEARFRAC(MAX($P$34*($B164+$I$38-1),IF(AND($L$37=0,$P$34=0),"",$L$37-1)),MIN(BI$38,$E164),$P$20))-SUM($BF164:BH164))</f>
        <v>0</v>
      </c>
      <c r="BJ164" s="446">
        <f>IF($E164=0,0,IF(MIN(BJ$38,$E164)&lt;MAX($P$34*($B164+$I$38-1),IF(AND($L$37=0,$P$34=0),"",$L$37-1)),0,YEARFRAC(MAX($P$34*($B164+$I$38-1),IF(AND($L$37=0,$P$34=0),"",$L$37-1)),MIN(BJ$38,$E164),$P$20))-SUM($BF164:BI164))</f>
        <v>0</v>
      </c>
      <c r="BK164" s="446">
        <f>IF($E164=0,0,IF(MIN(BK$38,$E164)&lt;MAX($P$34*($B164+$I$38-1),IF(AND($L$37=0,$P$34=0),"",$L$37-1)),0,YEARFRAC(MAX($P$34*($B164+$I$38-1),IF(AND($L$37=0,$P$34=0),"",$L$37-1)),MIN(BK$38,$E164),$P$20))-SUM($BF164:BJ164))</f>
        <v>0</v>
      </c>
      <c r="BL164" s="446">
        <f>IF($E164=0,0,IF(MIN(BL$38,$E164)&lt;MAX($P$34*($B164+$I$38-1),IF(AND($L$37=0,$P$34=0),"",$L$37-1)),0,YEARFRAC(MAX($P$34*($B164+$I$38-1),IF(AND($L$37=0,$P$34=0),"",$L$37-1)),MIN(BL$38,$E164),$P$20))-SUM($BF164:BK164))</f>
        <v>0</v>
      </c>
      <c r="BM164" s="446">
        <f>IF($E164=0,0,IF(MIN(BM$38,$E164)&lt;MAX($P$34*($B164+$I$38-1),IF(AND($L$37=0,$P$34=0),"",$L$37-1)),0,YEARFRAC(MAX($P$34*($B164+$I$38-1),IF(AND($L$37=0,$P$34=0),"",$L$37-1)),MIN(BM$38,$E164),$P$20))-SUM($BF164:BL164))</f>
        <v>0</v>
      </c>
      <c r="BN164" s="446">
        <f>IF($E164=0,0,IF(MIN(BN$38,$E164)&lt;MAX($P$34*($B164+$I$38-1),IF(AND($L$37=0,$P$34=0),"",$L$37-1)),0,YEARFRAC(MAX($P$34*($B164+$I$38-1),IF(AND($L$37=0,$P$34=0),"",$L$37-1)),MIN(BN$38,$E164),$P$20))-SUM($BF164:BM164))</f>
        <v>0</v>
      </c>
      <c r="BO164" s="446">
        <f>IF($E164=0,0,IF(MIN(BO$38,$E164)&lt;MAX($P$34*($B164+$I$38-1),IF(AND($L$37=0,$P$34=0),"",$L$37-1)),0,YEARFRAC(MAX($P$34*($B164+$I$38-1),IF(AND($L$37=0,$P$34=0),"",$L$37-1)),MIN(BO$38,$E164),$P$20))-SUM($BF164:BN164))</f>
        <v>0</v>
      </c>
      <c r="BP164" s="446">
        <f>IF($E164=0,0,IF(MIN(BP$38,$E164)&lt;MAX($P$34*($B164+$I$38-1),IF(AND($L$37=0,$P$34=0),"",$L$37-1)),0,YEARFRAC(MAX($P$34*($B164+$I$38-1),IF(AND($L$37=0,$P$34=0),"",$L$37-1)),MIN(BP$38,$E164),$P$20))-SUM($BF164:BO164))</f>
        <v>0</v>
      </c>
      <c r="BQ164" s="446">
        <f>IF($E164=0,0,IF(MIN(BQ$38,$E164)&lt;MAX($P$34*($B164+$I$38-1),IF(AND($L$37=0,$P$34=0),"",$L$37-1)),0,YEARFRAC(MAX($P$34*($B164+$I$38-1),IF(AND($L$37=0,$P$34=0),"",$L$37-1)),MIN(BQ$38,$E164),$P$20))-SUM($BF164:BP164))</f>
        <v>0</v>
      </c>
      <c r="BR164" s="446">
        <f>IF($E164=0,0,IF(MIN(BR$38,$E164)&lt;MAX($P$34*($B164+$I$38-1),IF(AND($L$37=0,$P$34=0),"",$L$37-1)),0,YEARFRAC(MAX($P$34*($B164+$I$38-1),IF(AND($L$37=0,$P$34=0),"",$L$37-1)),MIN(BR$38,$E164),$P$20))-SUM($BF164:BQ164))</f>
        <v>0</v>
      </c>
      <c r="BS164" s="446">
        <f>IF($E164=0,0,IF(MIN(BS$38,$E164)&lt;MAX($P$34*($B164+$I$38-1),IF(AND($L$37=0,$P$34=0),"",$L$37-1)),0,YEARFRAC(MAX($P$34*($B164+$I$38-1),IF(AND($L$37=0,$P$34=0),"",$L$37-1)),MIN(BS$38,$E164),$P$20))-SUM($BF164:BR164))</f>
        <v>0</v>
      </c>
      <c r="BT164" s="446">
        <f>IF($E164=0,0,IF(MIN(BT$38,$E164)&lt;MAX($P$34*($B164+$I$38-1),IF(AND($L$37=0,$P$34=0),"",$L$37-1)),0,YEARFRAC(MAX($P$34*($B164+$I$38-1),IF(AND($L$37=0,$P$34=0),"",$L$37-1)),MIN(BT$38,$E164),$P$20))-SUM($BF164:BS164))</f>
        <v>0</v>
      </c>
      <c r="BU164" s="446">
        <f>IF($E164=0,0,IF(MIN(BU$38,$E164)&lt;MAX($P$34*($B164+$I$38-1),IF(AND($L$37=0,$P$34=0),"",$L$37-1)),0,YEARFRAC(MAX($P$34*($B164+$I$38-1),IF(AND($L$37=0,$P$34=0),"",$L$37-1)),MIN(BU$38,$E164),$P$20))-SUM($BF164:BT164))</f>
        <v>0</v>
      </c>
      <c r="BV164" s="446">
        <f>IF($E164=0,0,IF(MIN(BV$38,$E164)&lt;MAX($P$34*($B164+$I$38-1),IF(AND($L$37=0,$P$34=0),"",$L$37-1)),0,YEARFRAC(MAX($P$34*($B164+$I$38-1),IF(AND($L$37=0,$P$34=0),"",$L$37-1)),MIN(BV$38,$E164),$P$20))-SUM($BF164:BU164))</f>
        <v>0</v>
      </c>
      <c r="BW164" s="446">
        <f>IF($E164=0,0,IF(MIN(BW$38,$E164)&lt;MAX($P$34*($B164+$I$38-1),IF(AND($L$37=0,$P$34=0),"",$L$37-1)),0,YEARFRAC(MAX($P$34*($B164+$I$38-1),IF(AND($L$37=0,$P$34=0),"",$L$37-1)),MIN(BW$38,$E164),$P$20))-SUM($BF164:BV164))</f>
        <v>0</v>
      </c>
      <c r="BX164" s="446">
        <f>IF($E164=0,0,IF(MIN(BX$38,$E164)&lt;MAX($P$34*($B164+$I$38-1),IF(AND($L$37=0,$P$34=0),"",$L$37-1)),0,YEARFRAC(MAX($P$34*($B164+$I$38-1),IF(AND($L$37=0,$P$34=0),"",$L$37-1)),MIN(BX$38,$E164),$P$20))-SUM($BF164:BW164))</f>
        <v>0</v>
      </c>
      <c r="BY164" s="446">
        <f>IF($E164=0,0,IF(MIN(BY$38,$E164)&lt;MAX($P$34*($B164+$I$38-1),IF(AND($L$37=0,$P$34=0),"",$L$37-1)),0,YEARFRAC(MAX($P$34*($B164+$I$38-1),IF(AND($L$37=0,$P$34=0),"",$L$37-1)),MIN(BY$38,$E164),$P$20))-SUM($BF164:BX164))</f>
        <v>0</v>
      </c>
      <c r="BZ164" s="446">
        <f>IF($E164=0,0,IF(MIN(BZ$38,$E164)&lt;MAX($P$34*($B164+$I$38-1),IF(AND($L$37=0,$P$34=0),"",$L$37-1)),0,YEARFRAC(MAX($P$34*($B164+$I$38-1),IF(AND($L$37=0,$P$34=0),"",$L$37-1)),MIN(BZ$38,$E164),$P$20))-SUM($BF164:BY164))</f>
        <v>0</v>
      </c>
      <c r="CA164" s="446">
        <f>IF($E164=0,0,IF(MIN(CA$38,$E164)&lt;MAX($P$34*($B164+$I$38-1),IF(AND($L$37=0,$P$34=0),"",$L$37-1)),0,YEARFRAC(MAX($P$34*($B164+$I$38-1),IF(AND($L$37=0,$P$34=0),"",$L$37-1)),MIN(CA$38,$E164),$P$20))-SUM($BF164:BZ164))</f>
        <v>0</v>
      </c>
      <c r="CB164" s="446">
        <f>IF($E164=0,0,IF(MIN(CB$38,$E164)&lt;MAX($P$34*($B164+$I$38-1),IF(AND($L$37=0,$P$34=0),"",$L$37-1)),0,YEARFRAC(MAX($P$34*($B164+$I$38-1),IF(AND($L$37=0,$P$34=0),"",$L$37-1)),MIN(CB$38,$E164),$P$20))-SUM($BF164:CA164))</f>
        <v>0</v>
      </c>
      <c r="CC164" s="446">
        <f>IF($E164=0,0,IF(MIN(CC$38,$E164)&lt;MAX($P$34*($B164+$I$38-1),IF(AND($L$37=0,$P$34=0),"",$L$37-1)),0,YEARFRAC(MAX($P$34*($B164+$I$38-1),IF(AND($L$37=0,$P$34=0),"",$L$37-1)),MIN(CC$38,$E164),$P$20))-SUM($BF164:CB164))</f>
        <v>0</v>
      </c>
      <c r="CD164" s="446">
        <f>IF($E164=0,0,IF(MIN(CD$38,$E164)&lt;MAX($P$34*($B164+$I$38-1),IF(AND($L$37=0,$P$34=0),"",$L$37-1)),0,YEARFRAC(MAX($P$34*($B164+$I$38-1),IF(AND($L$37=0,$P$34=0),"",$L$37-1)),MIN(CD$38,$E164),$P$20))-SUM($BF164:CC164))</f>
        <v>0</v>
      </c>
      <c r="CE164" s="446">
        <f>IF($E164=0,0,IF(MIN(CE$38,$E164)&lt;MAX($P$34*($B164+$I$38-1),IF(AND($L$37=0,$P$34=0),"",$L$37-1)),0,YEARFRAC(MAX($P$34*($B164+$I$38-1),IF(AND($L$37=0,$P$34=0),"",$L$37-1)),MIN(CE$38,$E164),$P$20))-SUM($BF164:CD164))</f>
        <v>0</v>
      </c>
      <c r="CF164" s="446">
        <f>IF($E164=0,0,IF(MIN(CF$38,$E164)&lt;MAX($P$34*($B164+$I$38-1),IF(AND($L$37=0,$P$34=0),"",$L$37-1)),0,YEARFRAC(MAX($P$34*($B164+$I$38-1),IF(AND($L$37=0,$P$34=0),"",$L$37-1)),MIN(CF$38,$E164),$P$20))-SUM($BF164:CE164))</f>
        <v>0</v>
      </c>
      <c r="CG164" s="446">
        <f>IF($E164=0,0,IF(MIN(CG$38,$E164)&lt;MAX($P$34*($B164+$I$38-1),IF(AND($L$37=0,$P$34=0),"",$L$37-1)),0,YEARFRAC(MAX($P$34*($B164+$I$38-1),IF(AND($L$37=0,$P$34=0),"",$L$37-1)),MIN(CG$38,$E164),$P$20))-SUM($BF164:CF164))</f>
        <v>0</v>
      </c>
      <c r="CH164" s="446">
        <f>IF($E164=0,0,IF(MIN(CH$38,$E164)&lt;MAX($P$34*($B164+$I$38-1),IF(AND($L$37=0,$P$34=0),"",$L$37-1)),0,YEARFRAC(MAX($P$34*($B164+$I$38-1),IF(AND($L$37=0,$P$34=0),"",$L$37-1)),MIN(CH$38,$E164),$P$20))-SUM($BF164:CG164))</f>
        <v>0</v>
      </c>
      <c r="CI164" s="446">
        <f>IF($E164=0,0,IF(MIN(CI$38,$E164)&lt;MAX($P$34*($B164+$I$38-1),IF(AND($L$37=0,$P$34=0),"",$L$37-1)),0,YEARFRAC(MAX($P$34*($B164+$I$38-1),IF(AND($L$37=0,$P$34=0),"",$L$37-1)),MIN(CI$38,$E164),$P$20))-SUM($BF164:CH164))</f>
        <v>0</v>
      </c>
      <c r="CJ164" s="446">
        <f>IF($E164=0,0,IF(MIN(CJ$38,$E164)&lt;MAX($P$34*($B164+$I$38-1),IF(AND($L$37=0,$P$34=0),"",$L$37-1)),0,YEARFRAC(MAX($P$34*($B164+$I$38-1),IF(AND($L$37=0,$P$34=0),"",$L$37-1)),MIN(CJ$38,$E164),$P$20))-SUM($BF164:CI164))</f>
        <v>0</v>
      </c>
      <c r="CK164" s="446">
        <f>IF($E164=0,0,IF(MIN(CK$38,$E164)&lt;MAX($P$34*($B164+$I$38-1),IF(AND($L$37=0,$P$34=0),"",$L$37-1)),0,YEARFRAC(MAX($P$34*($B164+$I$38-1),IF(AND($L$37=0,$P$34=0),"",$L$37-1)),MIN(CK$38,$E164),$P$20))-SUM($BF164:CJ164))</f>
        <v>0</v>
      </c>
      <c r="CL164" s="446">
        <f>IF($E164=0,0,IF(MIN(CL$38,$E164)&lt;MAX($P$34*($B164+$I$38-1),IF(AND($L$37=0,$P$34=0),"",$L$37-1)),0,YEARFRAC(MAX($P$34*($B164+$I$38-1),IF(AND($L$37=0,$P$34=0),"",$L$37-1)),MIN(CL$38,$E164),$P$20))-SUM($BF164:CK164))</f>
        <v>0</v>
      </c>
      <c r="CM164" s="446">
        <f>IF($E164=0,0,IF(MIN(CM$38,$E164)&lt;MAX($P$34*($B164+$I$38-1),IF(AND($L$37=0,$P$34=0),"",$L$37-1)),0,YEARFRAC(MAX($P$34*($B164+$I$38-1),IF(AND($L$37=0,$P$34=0),"",$L$37-1)),MIN(CM$38,$E164),$P$20))-SUM($BF164:CL164))</f>
        <v>0</v>
      </c>
      <c r="CN164" s="446">
        <f>IF($E164=0,0,IF(MIN(CN$38,$E164)&lt;MAX($P$34*($B164+$I$38-1),IF(AND($L$37=0,$P$34=0),"",$L$37-1)),0,YEARFRAC(MAX($P$34*($B164+$I$38-1),IF(AND($L$37=0,$P$34=0),"",$L$37-1)),MIN(CN$38,$E164),$P$20))-SUM($BF164:CM164))</f>
        <v>0</v>
      </c>
      <c r="CO164" s="446">
        <f>IF($E164=0,0,IF(MIN(CO$38,$E164)&lt;MAX($P$34*($B164+$I$38-1),IF(AND($L$37=0,$P$34=0),"",$L$37-1)),0,YEARFRAC(MAX($P$34*($B164+$I$38-1),IF(AND($L$37=0,$P$34=0),"",$L$37-1)),MIN(CO$38,$E164),$P$20))-SUM($BF164:CN164))</f>
        <v>0</v>
      </c>
      <c r="CP164" s="446">
        <f>IF($E164=0,0,IF(MIN(CP$38,$E164)&lt;MAX($P$34*($B164+$I$38-1),IF(AND($L$37=0,$P$34=0),"",$L$37-1)),0,YEARFRAC(MAX($P$34*($B164+$I$38-1),IF(AND($L$37=0,$P$34=0),"",$L$37-1)),MIN(CP$38,$E164),$P$20))-SUM($BF164:CO164))</f>
        <v>0</v>
      </c>
      <c r="CQ164" s="446">
        <f>IF($E164=0,0,IF(MIN(CQ$38,$E164)&lt;MAX($P$34*($B164+$I$38-1),IF(AND($L$37=0,$P$34=0),"",$L$37-1)),0,YEARFRAC(MAX($P$34*($B164+$I$38-1),IF(AND($L$37=0,$P$34=0),"",$L$37-1)),MIN(CQ$38,$E164),$P$20))-SUM($BF164:CP164))</f>
        <v>0</v>
      </c>
    </row>
    <row r="165" spans="1:95" s="446" customFormat="1" ht="11.25" hidden="1" customHeight="1" x14ac:dyDescent="0.2">
      <c r="A165" s="152"/>
      <c r="B165" s="153" t="str">
        <f t="shared" si="26"/>
        <v/>
      </c>
      <c r="C165" s="29" t="str">
        <f>IF(B165="","",IF($L$35="SELIC - TRIBUTOS",VLOOKUP(DATE(YEAR($D$19),MONTH($D$19)-1,1),ÍNDICES!$A:$DE,HLOOKUP($BL$25,ÍNDICES!$B$3:$T$4,2)+11)-VLOOKUP(B165,ÍNDICES!$A:$DE,HLOOKUP($BL$25,ÍNDICES!$B$3:$T$4,2)+11)+1%,IF(C$38=$W$26,$J$35,IF(ISERROR(IF(B165&gt;$D$19,1,VLOOKUP(DATE(YEAR(B165),MONTH(B165)+IF($C$35=$S$23,1,0),1),ÍNDICES!$A:$DE,$Z$35+1))),"",IF(B165&gt;$D$19,1,VLOOKUP(DATE(YEAR(B165),MONTH(B165)+IF($C$35=$S$23,1,0),1),ÍNDICES!$A:$DE,$Z$35+1))))))</f>
        <v/>
      </c>
      <c r="D165" s="154" t="str">
        <f>IF(ISERROR(IF(OR($D$38=$Y$27,$B165=""),"",VLOOKUP(B165,ÍNDICES!A:DE,AF$35+1))),"",IF(OR($D$38=$Y$27,$B165=""),"",VLOOKUP(B165,ÍNDICES!A:DE,AF$35+1)))</f>
        <v/>
      </c>
      <c r="E165" s="153"/>
      <c r="F165" s="29" t="str">
        <f>IF(E165="","",IF($L$35="SELIC - TRIBUTOS",VLOOKUP(DATE(YEAR($D$19),MONTH($D$19)-1,1),ÍNDICES!$A:$DE,HLOOKUP($BL$25,ÍNDICES!$B$3:$T$4,2)+11)-VLOOKUP(E165,ÍNDICES!$A:$DE,HLOOKUP($BL$25,ÍNDICES!$B$3:$T$4,2)+11)+1%,IF(F$38=$W$26,$J$35,IF(ISERROR(IF(E165&gt;$D$19,1,VLOOKUP(DATE(YEAR(E165),MONTH(E165)+IF($C$35=$S$23,1,0),1),ÍNDICES!$A:$DE,$Z$35+1))),"",IF(E165&gt;$D$19,1,VLOOKUP(DATE(YEAR(E165),MONTH(E165)+IF($C$35=$S$23,1,0),1),ÍNDICES!$A:$DE,$Z$35+1))))))</f>
        <v/>
      </c>
      <c r="G165" s="155"/>
      <c r="H165" s="156" t="str">
        <f t="shared" si="22"/>
        <v/>
      </c>
      <c r="I165" s="29" t="str">
        <f t="shared" si="16"/>
        <v/>
      </c>
      <c r="J165" s="5">
        <f t="shared" si="17"/>
        <v>0</v>
      </c>
      <c r="K165" s="20">
        <f t="shared" ca="1" si="18"/>
        <v>0</v>
      </c>
      <c r="L165" s="5">
        <f t="shared" ca="1" si="19"/>
        <v>0</v>
      </c>
      <c r="M165" s="64">
        <f t="shared" si="23"/>
        <v>0</v>
      </c>
      <c r="N165" s="61">
        <f t="shared" ca="1" si="24"/>
        <v>0</v>
      </c>
      <c r="O165" s="5">
        <f t="shared" ca="1" si="25"/>
        <v>0</v>
      </c>
      <c r="P165" s="446" t="e">
        <f t="shared" si="20"/>
        <v>#VALUE!</v>
      </c>
      <c r="Q165" s="446" t="e">
        <f>IF(OR($B165="",MIN(Q$38,$D$19)&lt;MAX($P$34*($B165+IF($R$17="Distrato",$I$38-1,0)),IF(AND($L$37=0,$P$34=0),"",$L$37-1),IF($R$17="Distrato",$E165,0))),0,YEARFRAC(MAX($P$34*($B165+IF($R$17="Distrato",$I$38-1,0)),IF(AND($L$37=0,$P$34=0),"",$L$37-1),IF($R$17="Distrato",$E165,0)),MIN(Q$38,$D$19),$P$20))-SUM($P165:P165)</f>
        <v>#VALUE!</v>
      </c>
      <c r="R165" s="446" t="e">
        <f>IF(OR($B165="",MIN(R$38,$D$19)&lt;MAX($P$34*($B165+IF($R$17="Distrato",$I$38-1,0)),IF(AND($L$37=0,$P$34=0),"",$L$37-1),IF($R$17="Distrato",$E165,0))),0,YEARFRAC(MAX($P$34*($B165+IF($R$17="Distrato",$I$38-1,0)),IF(AND($L$37=0,$P$34=0),"",$L$37-1),IF($R$17="Distrato",$E165,0)),MIN(R$38,$D$19),$P$20))-SUM($P165:Q165)</f>
        <v>#VALUE!</v>
      </c>
      <c r="S165" s="446" t="e">
        <f>IF(OR($B165="",MIN(S$38,$D$19)&lt;MAX($P$34*($B165+IF($R$17="Distrato",$I$38-1,0)),IF(AND($L$37=0,$P$34=0),"",$L$37-1),IF($R$17="Distrato",$E165,0))),0,YEARFRAC(MAX($P$34*($B165+IF($R$17="Distrato",$I$38-1,0)),IF(AND($L$37=0,$P$34=0),"",$L$37-1),IF($R$17="Distrato",$E165,0)),MIN(S$38,$D$19),$P$20))-SUM($P165:R165)</f>
        <v>#VALUE!</v>
      </c>
      <c r="T165" s="446" t="e">
        <f>IF(OR($B165="",MIN(T$38,$D$19)&lt;MAX($P$34*($B165+IF($R$17="Distrato",$I$38-1,0)),IF(AND($L$37=0,$P$34=0),"",$L$37-1),IF($R$17="Distrato",$E165,0))),0,YEARFRAC(MAX($P$34*($B165+IF($R$17="Distrato",$I$38-1,0)),IF(AND($L$37=0,$P$34=0),"",$L$37-1),IF($R$17="Distrato",$E165,0)),MIN(T$38,$D$19),$P$20))-SUM($P165:S165)</f>
        <v>#VALUE!</v>
      </c>
      <c r="U165" s="446" t="e">
        <f>IF(OR($B165="",MIN(U$38,$D$19)&lt;MAX($P$34*($B165+IF($R$17="Distrato",$I$38-1,0)),IF(AND($L$37=0,$P$34=0),"",$L$37-1),IF($R$17="Distrato",$E165,0))),0,YEARFRAC(MAX($P$34*($B165+IF($R$17="Distrato",$I$38-1,0)),IF(AND($L$37=0,$P$34=0),"",$L$37-1),IF($R$17="Distrato",$E165,0)),MIN(U$38,$D$19),$P$20))-SUM($P165:T165)</f>
        <v>#VALUE!</v>
      </c>
      <c r="V165" s="446" t="e">
        <f>IF(OR($B165="",MIN(V$38,$D$19)&lt;MAX($P$34*($B165+IF($R$17="Distrato",$I$38-1,0)),IF(AND($L$37=0,$P$34=0),"",$L$37-1),IF($R$17="Distrato",$E165,0))),0,YEARFRAC(MAX($P$34*($B165+IF($R$17="Distrato",$I$38-1,0)),IF(AND($L$37=0,$P$34=0),"",$L$37-1),IF($R$17="Distrato",$E165,0)),MIN(V$38,$D$19),$P$20))-SUM($P165:U165)</f>
        <v>#VALUE!</v>
      </c>
      <c r="W165" s="446" t="e">
        <f>IF(OR($B165="",MIN(W$38,$D$19)&lt;MAX($P$34*($B165+IF($R$17="Distrato",$I$38-1,0)),IF(AND($L$37=0,$P$34=0),"",$L$37-1),IF($R$17="Distrato",$E165,0))),0,YEARFRAC(MAX($P$34*($B165+IF($R$17="Distrato",$I$38-1,0)),IF(AND($L$37=0,$P$34=0),"",$L$37-1),IF($R$17="Distrato",$E165,0)),MIN(W$38,$D$19),$P$20))-SUM($P165:V165)</f>
        <v>#VALUE!</v>
      </c>
      <c r="X165" s="446" t="e">
        <f>IF(OR($B165="",MIN(X$38,$D$19)&lt;MAX($P$34*($B165+IF($R$17="Distrato",$I$38-1,0)),IF(AND($L$37=0,$P$34=0),"",$L$37-1),IF($R$17="Distrato",$E165,0))),0,YEARFRAC(MAX($P$34*($B165+IF($R$17="Distrato",$I$38-1,0)),IF(AND($L$37=0,$P$34=0),"",$L$37-1),IF($R$17="Distrato",$E165,0)),MIN(X$38,$D$19),$P$20))-SUM($P165:W165)</f>
        <v>#VALUE!</v>
      </c>
      <c r="Y165" s="446" t="e">
        <f>IF(OR($B165="",MIN(Y$38,$D$19)&lt;MAX($P$34*($B165+IF($R$17="Distrato",$I$38-1,0)),IF(AND($L$37=0,$P$34=0),"",$L$37-1),IF($R$17="Distrato",$E165,0))),0,YEARFRAC(MAX($P$34*($B165+IF($R$17="Distrato",$I$38-1,0)),IF(AND($L$37=0,$P$34=0),"",$L$37-1),IF($R$17="Distrato",$E165,0)),MIN(Y$38,$D$19),$P$20))-SUM($P165:X165)</f>
        <v>#VALUE!</v>
      </c>
      <c r="Z165" s="446" t="e">
        <f>IF(OR($B165="",MIN(Z$38,$D$19)&lt;MAX($P$34*($B165+IF($R$17="Distrato",$I$38-1,0)),IF(AND($L$37=0,$P$34=0),"",$L$37-1),IF($R$17="Distrato",$E165,0))),0,YEARFRAC(MAX($P$34*($B165+IF($R$17="Distrato",$I$38-1,0)),IF(AND($L$37=0,$P$34=0),"",$L$37-1),IF($R$17="Distrato",$E165,0)),MIN(Z$38,$D$19),$P$20))-SUM($P165:Y165)</f>
        <v>#VALUE!</v>
      </c>
      <c r="AA165" s="446" t="e">
        <f>IF(OR($B165="",MIN(AA$38,$D$19)&lt;MAX($P$34*($B165+IF($R$17="Distrato",$I$38-1,0)),IF(AND($L$37=0,$P$34=0),"",$L$37-1),IF($R$17="Distrato",$E165,0))),0,YEARFRAC(MAX($P$34*($B165+IF($R$17="Distrato",$I$38-1,0)),IF(AND($L$37=0,$P$34=0),"",$L$37-1),IF($R$17="Distrato",$E165,0)),MIN(AA$38,$D$19),$P$20))-SUM($P165:Z165)</f>
        <v>#VALUE!</v>
      </c>
      <c r="AB165" s="446" t="e">
        <f>IF(OR($B165="",MIN(AB$38,$D$19)&lt;MAX($P$34*($B165+IF($R$17="Distrato",$I$38-1,0)),IF(AND($L$37=0,$P$34=0),"",$L$37-1),IF($R$17="Distrato",$E165,0))),0,YEARFRAC(MAX($P$34*($B165+IF($R$17="Distrato",$I$38-1,0)),IF(AND($L$37=0,$P$34=0),"",$L$37-1),IF($R$17="Distrato",$E165,0)),MIN(AB$38,$D$19),$P$20))-SUM($P165:AA165)</f>
        <v>#VALUE!</v>
      </c>
      <c r="AC165" s="446" t="e">
        <f>IF(OR($B165="",MIN(AC$38,$D$19)&lt;MAX($P$34*($B165+IF($R$17="Distrato",$I$38-1,0)),IF(AND($L$37=0,$P$34=0),"",$L$37-1),IF($R$17="Distrato",$E165,0))),0,YEARFRAC(MAX($P$34*($B165+IF($R$17="Distrato",$I$38-1,0)),IF(AND($L$37=0,$P$34=0),"",$L$37-1),IF($R$17="Distrato",$E165,0)),MIN(AC$38,$D$19),$P$20))-SUM($P165:AB165)</f>
        <v>#VALUE!</v>
      </c>
      <c r="AD165" s="446" t="e">
        <f>IF(OR($B165="",MIN(AD$38,$D$19)&lt;MAX($P$34*($B165+IF($R$17="Distrato",$I$38-1,0)),IF(AND($L$37=0,$P$34=0),"",$L$37-1),IF($R$17="Distrato",$E165,0))),0,YEARFRAC(MAX($P$34*($B165+IF($R$17="Distrato",$I$38-1,0)),IF(AND($L$37=0,$P$34=0),"",$L$37-1),IF($R$17="Distrato",$E165,0)),MIN(AD$38,$D$19),$P$20))-SUM($P165:AC165)</f>
        <v>#VALUE!</v>
      </c>
      <c r="AE165" s="446" t="e">
        <f>IF(OR($B165="",MIN(AE$38,$D$19)&lt;MAX($P$34*($B165+IF($R$17="Distrato",$I$38-1,0)),IF(AND($L$37=0,$P$34=0),"",$L$37-1),IF($R$17="Distrato",$E165,0))),0,YEARFRAC(MAX($P$34*($B165+IF($R$17="Distrato",$I$38-1,0)),IF(AND($L$37=0,$P$34=0),"",$L$37-1),IF($R$17="Distrato",$E165,0)),MIN(AE$38,$D$19),$P$20))-SUM($P165:AD165)</f>
        <v>#VALUE!</v>
      </c>
      <c r="AF165" s="446" t="e">
        <f>IF(OR($B165="",MIN(AF$38,$D$19)&lt;MAX($P$34*($B165+IF($R$17="Distrato",$I$38-1,0)),IF(AND($L$37=0,$P$34=0),"",$L$37-1),IF($R$17="Distrato",$E165,0))),0,YEARFRAC(MAX($P$34*($B165+IF($R$17="Distrato",$I$38-1,0)),IF(AND($L$37=0,$P$34=0),"",$L$37-1),IF($R$17="Distrato",$E165,0)),MIN(AF$38,$D$19),$P$20))-SUM($P165:AE165)</f>
        <v>#VALUE!</v>
      </c>
      <c r="AG165" s="446" t="e">
        <f>IF(OR($B165="",MIN(AG$38,$D$19)&lt;MAX($P$34*($B165+IF($R$17="Distrato",$I$38-1,0)),IF(AND($L$37=0,$P$34=0),"",$L$37-1),IF($R$17="Distrato",$E165,0))),0,YEARFRAC(MAX($P$34*($B165+IF($R$17="Distrato",$I$38-1,0)),IF(AND($L$37=0,$P$34=0),"",$L$37-1),IF($R$17="Distrato",$E165,0)),MIN(AG$38,$D$19),$P$20))-SUM($P165:AF165)</f>
        <v>#VALUE!</v>
      </c>
      <c r="AH165" s="446" t="e">
        <f>IF(OR($B165="",MIN(AH$38,$D$19)&lt;MAX($P$34*($B165+IF($R$17="Distrato",$I$38-1,0)),IF(AND($L$37=0,$P$34=0),"",$L$37-1),IF($R$17="Distrato",$E165,0))),0,YEARFRAC(MAX($P$34*($B165+IF($R$17="Distrato",$I$38-1,0)),IF(AND($L$37=0,$P$34=0),"",$L$37-1),IF($R$17="Distrato",$E165,0)),MIN(AH$38,$D$19),$P$20))-SUM($P165:AG165)</f>
        <v>#VALUE!</v>
      </c>
      <c r="AI165" s="446" t="e">
        <f>IF(OR($B165="",MIN(AI$38,$D$19)&lt;MAX($P$34*($B165+IF($R$17="Distrato",$I$38-1,0)),IF(AND($L$37=0,$P$34=0),"",$L$37-1),IF($R$17="Distrato",$E165,0))),0,YEARFRAC(MAX($P$34*($B165+IF($R$17="Distrato",$I$38-1,0)),IF(AND($L$37=0,$P$34=0),"",$L$37-1),IF($R$17="Distrato",$E165,0)),MIN(AI$38,$D$19),$P$20))-SUM($P165:AH165)</f>
        <v>#VALUE!</v>
      </c>
      <c r="AJ165" s="446" t="e">
        <f>IF(OR($B165="",MIN(AJ$38,$D$19)&lt;MAX($P$34*($B165+IF($R$17="Distrato",$I$38-1,0)),IF(AND($L$37=0,$P$34=0),"",$L$37-1),IF($R$17="Distrato",$E165,0))),0,YEARFRAC(MAX($P$34*($B165+IF($R$17="Distrato",$I$38-1,0)),IF(AND($L$37=0,$P$34=0),"",$L$37-1),IF($R$17="Distrato",$E165,0)),MIN(AJ$38,$D$19),$P$20))-SUM($P165:AI165)</f>
        <v>#VALUE!</v>
      </c>
      <c r="AK165" s="446" t="e">
        <f>IF(OR($B165="",MIN(AK$38,$D$19)&lt;MAX($P$34*($B165+IF($R$17="Distrato",$I$38-1,0)),IF(AND($L$37=0,$P$34=0),"",$L$37-1),IF($R$17="Distrato",$E165,0))),0,YEARFRAC(MAX($P$34*($B165+IF($R$17="Distrato",$I$38-1,0)),IF(AND($L$37=0,$P$34=0),"",$L$37-1),IF($R$17="Distrato",$E165,0)),MIN(AK$38,$D$19),$P$20))-SUM($P165:AJ165)</f>
        <v>#VALUE!</v>
      </c>
      <c r="AL165" s="446" t="e">
        <f>IF(OR($B165="",MIN(AL$38,$D$19)&lt;MAX($P$34*($B165+IF($R$17="Distrato",$I$38-1,0)),IF(AND($L$37=0,$P$34=0),"",$L$37-1),IF($R$17="Distrato",$E165,0))),0,YEARFRAC(MAX($P$34*($B165+IF($R$17="Distrato",$I$38-1,0)),IF(AND($L$37=0,$P$34=0),"",$L$37-1),IF($R$17="Distrato",$E165,0)),MIN(AL$38,$D$19),$P$20))-SUM($P165:AK165)</f>
        <v>#VALUE!</v>
      </c>
      <c r="AM165" s="446" t="e">
        <f>IF(OR($B165="",MIN(AM$38,$D$19)&lt;MAX($P$34*($B165+IF($R$17="Distrato",$I$38-1,0)),IF(AND($L$37=0,$P$34=0),"",$L$37-1),IF($R$17="Distrato",$E165,0))),0,YEARFRAC(MAX($P$34*($B165+IF($R$17="Distrato",$I$38-1,0)),IF(AND($L$37=0,$P$34=0),"",$L$37-1),IF($R$17="Distrato",$E165,0)),MIN(AM$38,$D$19),$P$20))-SUM($P165:AL165)</f>
        <v>#VALUE!</v>
      </c>
      <c r="AN165" s="446" t="e">
        <f>IF(OR($B165="",MIN(AN$38,$D$19)&lt;MAX($P$34*($B165+IF($R$17="Distrato",$I$38-1,0)),IF(AND($L$37=0,$P$34=0),"",$L$37-1),IF($R$17="Distrato",$E165,0))),0,YEARFRAC(MAX($P$34*($B165+IF($R$17="Distrato",$I$38-1,0)),IF(AND($L$37=0,$P$34=0),"",$L$37-1),IF($R$17="Distrato",$E165,0)),MIN(AN$38,$D$19),$P$20))-SUM($P165:AM165)</f>
        <v>#VALUE!</v>
      </c>
      <c r="AO165" s="446" t="e">
        <f>IF(OR($B165="",MIN(AO$38,$D$19)&lt;MAX($P$34*($B165+IF($R$17="Distrato",$I$38-1,0)),IF(AND($L$37=0,$P$34=0),"",$L$37-1),IF($R$17="Distrato",$E165,0))),0,YEARFRAC(MAX($P$34*($B165+IF($R$17="Distrato",$I$38-1,0)),IF(AND($L$37=0,$P$34=0),"",$L$37-1),IF($R$17="Distrato",$E165,0)),MIN(AO$38,$D$19),$P$20))-SUM($P165:AN165)</f>
        <v>#VALUE!</v>
      </c>
      <c r="AP165" s="446" t="e">
        <f>IF(OR($B165="",MIN(AP$38,$D$19)&lt;MAX($P$34*($B165+IF($R$17="Distrato",$I$38-1,0)),IF(AND($L$37=0,$P$34=0),"",$L$37-1),IF($R$17="Distrato",$E165,0))),0,YEARFRAC(MAX($P$34*($B165+IF($R$17="Distrato",$I$38-1,0)),IF(AND($L$37=0,$P$34=0),"",$L$37-1),IF($R$17="Distrato",$E165,0)),MIN(AP$38,$D$19),$P$20))-SUM($P165:AO165)</f>
        <v>#VALUE!</v>
      </c>
      <c r="AQ165" s="446" t="e">
        <f>IF(OR($B165="",MIN(AQ$38,$D$19)&lt;MAX($P$34*($B165+IF($R$17="Distrato",$I$38-1,0)),IF(AND($L$37=0,$P$34=0),"",$L$37-1),IF($R$17="Distrato",$E165,0))),0,YEARFRAC(MAX($P$34*($B165+IF($R$17="Distrato",$I$38-1,0)),IF(AND($L$37=0,$P$34=0),"",$L$37-1),IF($R$17="Distrato",$E165,0)),MIN(AQ$38,$D$19),$P$20))-SUM($P165:AP165)</f>
        <v>#VALUE!</v>
      </c>
      <c r="AR165" s="446" t="e">
        <f>IF(OR($B165="",MIN(AR$38,$D$19)&lt;MAX($P$34*($B165+IF($R$17="Distrato",$I$38-1,0)),IF(AND($L$37=0,$P$34=0),"",$L$37-1),IF($R$17="Distrato",$E165,0))),0,YEARFRAC(MAX($P$34*($B165+IF($R$17="Distrato",$I$38-1,0)),IF(AND($L$37=0,$P$34=0),"",$L$37-1),IF($R$17="Distrato",$E165,0)),MIN(AR$38,$D$19),$P$20))-SUM($P165:AQ165)</f>
        <v>#VALUE!</v>
      </c>
      <c r="AS165" s="446" t="e">
        <f>IF(OR($B165="",MIN(AS$38,$D$19)&lt;MAX($P$34*($B165+IF($R$17="Distrato",$I$38-1,0)),IF(AND($L$37=0,$P$34=0),"",$L$37-1),IF($R$17="Distrato",$E165,0))),0,YEARFRAC(MAX($P$34*($B165+IF($R$17="Distrato",$I$38-1,0)),IF(AND($L$37=0,$P$34=0),"",$L$37-1),IF($R$17="Distrato",$E165,0)),MIN(AS$38,$D$19),$P$20))-SUM($P165:AR165)</f>
        <v>#VALUE!</v>
      </c>
      <c r="AT165" s="446" t="e">
        <f>IF(OR($B165="",MIN(AT$38,$D$19)&lt;MAX($P$34*($B165+IF($R$17="Distrato",$I$38-1,0)),IF(AND($L$37=0,$P$34=0),"",$L$37-1),IF($R$17="Distrato",$E165,0))),0,YEARFRAC(MAX($P$34*($B165+IF($R$17="Distrato",$I$38-1,0)),IF(AND($L$37=0,$P$34=0),"",$L$37-1),IF($R$17="Distrato",$E165,0)),MIN(AT$38,$D$19),$P$20))-SUM($P165:AS165)</f>
        <v>#VALUE!</v>
      </c>
      <c r="AU165" s="446" t="e">
        <f>IF(OR($B165="",MIN(AU$38,$D$19)&lt;MAX($P$34*($B165+IF($R$17="Distrato",$I$38-1,0)),IF(AND($L$37=0,$P$34=0),"",$L$37-1),IF($R$17="Distrato",$E165,0))),0,YEARFRAC(MAX($P$34*($B165+IF($R$17="Distrato",$I$38-1,0)),IF(AND($L$37=0,$P$34=0),"",$L$37-1),IF($R$17="Distrato",$E165,0)),MIN(AU$38,$D$19),$P$20))-SUM($P165:AT165)</f>
        <v>#VALUE!</v>
      </c>
      <c r="AV165" s="446" t="e">
        <f>IF(OR($B165="",MIN(AV$38,$D$19)&lt;MAX($P$34*($B165+IF($R$17="Distrato",$I$38-1,0)),IF(AND($L$37=0,$P$34=0),"",$L$37-1),IF($R$17="Distrato",$E165,0))),0,YEARFRAC(MAX($P$34*($B165+IF($R$17="Distrato",$I$38-1,0)),IF(AND($L$37=0,$P$34=0),"",$L$37-1),IF($R$17="Distrato",$E165,0)),MIN(AV$38,$D$19),$P$20))-SUM($P165:AU165)</f>
        <v>#VALUE!</v>
      </c>
      <c r="AW165" s="446" t="e">
        <f>IF(OR($B165="",MIN(AW$38,$D$19)&lt;MAX($P$34*($B165+IF($R$17="Distrato",$I$38-1,0)),IF(AND($L$37=0,$P$34=0),"",$L$37-1),IF($R$17="Distrato",$E165,0))),0,YEARFRAC(MAX($P$34*($B165+IF($R$17="Distrato",$I$38-1,0)),IF(AND($L$37=0,$P$34=0),"",$L$37-1),IF($R$17="Distrato",$E165,0)),MIN(AW$38,$D$19),$P$20))-SUM($P165:AV165)</f>
        <v>#VALUE!</v>
      </c>
      <c r="AX165" s="446" t="e">
        <f>IF(OR($B165="",MIN(AX$38,$D$19)&lt;MAX($P$34*($B165+IF($R$17="Distrato",$I$38-1,0)),IF(AND($L$37=0,$P$34=0),"",$L$37-1),IF($R$17="Distrato",$E165,0))),0,YEARFRAC(MAX($P$34*($B165+IF($R$17="Distrato",$I$38-1,0)),IF(AND($L$37=0,$P$34=0),"",$L$37-1),IF($R$17="Distrato",$E165,0)),MIN(AX$38,$D$19),$P$20))-SUM($P165:AW165)</f>
        <v>#VALUE!</v>
      </c>
      <c r="AY165" s="446" t="e">
        <f>IF(OR($B165="",MIN(AY$38,$D$19)&lt;MAX($P$34*($B165+IF($R$17="Distrato",$I$38-1,0)),IF(AND($L$37=0,$P$34=0),"",$L$37-1),IF($R$17="Distrato",$E165,0))),0,YEARFRAC(MAX($P$34*($B165+IF($R$17="Distrato",$I$38-1,0)),IF(AND($L$37=0,$P$34=0),"",$L$37-1),IF($R$17="Distrato",$E165,0)),MIN(AY$38,$D$19),$P$20))-SUM($P165:AX165)</f>
        <v>#VALUE!</v>
      </c>
      <c r="AZ165" s="446" t="e">
        <f>IF(OR($B165="",MIN(AZ$38,$D$19)&lt;MAX($P$34*($B165+IF($R$17="Distrato",$I$38-1,0)),IF(AND($L$37=0,$P$34=0),"",$L$37-1),IF($R$17="Distrato",$E165,0))),0,YEARFRAC(MAX($P$34*($B165+IF($R$17="Distrato",$I$38-1,0)),IF(AND($L$37=0,$P$34=0),"",$L$37-1),IF($R$17="Distrato",$E165,0)),MIN(AZ$38,$D$19),$P$20))-SUM($P165:AY165)</f>
        <v>#VALUE!</v>
      </c>
      <c r="BA165" s="446" t="e">
        <f>IF(OR($B165="",MIN(BA$38,$D$19)&lt;MAX($P$34*($B165+IF($R$17="Distrato",$I$38-1,0)),IF(AND($L$37=0,$P$34=0),"",$L$37-1),IF($R$17="Distrato",$E165,0))),0,YEARFRAC(MAX($P$34*($B165+IF($R$17="Distrato",$I$38-1,0)),IF(AND($L$37=0,$P$34=0),"",$L$37-1),IF($R$17="Distrato",$E165,0)),MIN(BA$38,$D$19),$P$20))-SUM($P165:AZ165)</f>
        <v>#VALUE!</v>
      </c>
      <c r="BB165" s="447"/>
      <c r="BF165" s="446">
        <f t="shared" si="21"/>
        <v>0</v>
      </c>
      <c r="BG165" s="446">
        <f>IF($E165=0,0,IF(MIN(BG$38,$E165)&lt;MAX($P$34*($B165+$I$38-1),IF(AND($L$37=0,$P$34=0),"",$L$37-1)),0,YEARFRAC(MAX($P$34*($B165+$I$38-1),IF(AND($L$37=0,$P$34=0),"",$L$37-1)),MIN(BG$38,$E165),$P$20))-SUM($BF165:BF165))</f>
        <v>0</v>
      </c>
      <c r="BH165" s="446">
        <f>IF($E165=0,0,IF(MIN(BH$38,$E165)&lt;MAX($P$34*($B165+$I$38-1),IF(AND($L$37=0,$P$34=0),"",$L$37-1)),0,YEARFRAC(MAX($P$34*($B165+$I$38-1),IF(AND($L$37=0,$P$34=0),"",$L$37-1)),MIN(BH$38,$E165),$P$20))-SUM($BF165:BG165))</f>
        <v>0</v>
      </c>
      <c r="BI165" s="446">
        <f>IF($E165=0,0,IF(MIN(BI$38,$E165)&lt;MAX($P$34*($B165+$I$38-1),IF(AND($L$37=0,$P$34=0),"",$L$37-1)),0,YEARFRAC(MAX($P$34*($B165+$I$38-1),IF(AND($L$37=0,$P$34=0),"",$L$37-1)),MIN(BI$38,$E165),$P$20))-SUM($BF165:BH165))</f>
        <v>0</v>
      </c>
      <c r="BJ165" s="446">
        <f>IF($E165=0,0,IF(MIN(BJ$38,$E165)&lt;MAX($P$34*($B165+$I$38-1),IF(AND($L$37=0,$P$34=0),"",$L$37-1)),0,YEARFRAC(MAX($P$34*($B165+$I$38-1),IF(AND($L$37=0,$P$34=0),"",$L$37-1)),MIN(BJ$38,$E165),$P$20))-SUM($BF165:BI165))</f>
        <v>0</v>
      </c>
      <c r="BK165" s="446">
        <f>IF($E165=0,0,IF(MIN(BK$38,$E165)&lt;MAX($P$34*($B165+$I$38-1),IF(AND($L$37=0,$P$34=0),"",$L$37-1)),0,YEARFRAC(MAX($P$34*($B165+$I$38-1),IF(AND($L$37=0,$P$34=0),"",$L$37-1)),MIN(BK$38,$E165),$P$20))-SUM($BF165:BJ165))</f>
        <v>0</v>
      </c>
      <c r="BL165" s="446">
        <f>IF($E165=0,0,IF(MIN(BL$38,$E165)&lt;MAX($P$34*($B165+$I$38-1),IF(AND($L$37=0,$P$34=0),"",$L$37-1)),0,YEARFRAC(MAX($P$34*($B165+$I$38-1),IF(AND($L$37=0,$P$34=0),"",$L$37-1)),MIN(BL$38,$E165),$P$20))-SUM($BF165:BK165))</f>
        <v>0</v>
      </c>
      <c r="BM165" s="446">
        <f>IF($E165=0,0,IF(MIN(BM$38,$E165)&lt;MAX($P$34*($B165+$I$38-1),IF(AND($L$37=0,$P$34=0),"",$L$37-1)),0,YEARFRAC(MAX($P$34*($B165+$I$38-1),IF(AND($L$37=0,$P$34=0),"",$L$37-1)),MIN(BM$38,$E165),$P$20))-SUM($BF165:BL165))</f>
        <v>0</v>
      </c>
      <c r="BN165" s="446">
        <f>IF($E165=0,0,IF(MIN(BN$38,$E165)&lt;MAX($P$34*($B165+$I$38-1),IF(AND($L$37=0,$P$34=0),"",$L$37-1)),0,YEARFRAC(MAX($P$34*($B165+$I$38-1),IF(AND($L$37=0,$P$34=0),"",$L$37-1)),MIN(BN$38,$E165),$P$20))-SUM($BF165:BM165))</f>
        <v>0</v>
      </c>
      <c r="BO165" s="446">
        <f>IF($E165=0,0,IF(MIN(BO$38,$E165)&lt;MAX($P$34*($B165+$I$38-1),IF(AND($L$37=0,$P$34=0),"",$L$37-1)),0,YEARFRAC(MAX($P$34*($B165+$I$38-1),IF(AND($L$37=0,$P$34=0),"",$L$37-1)),MIN(BO$38,$E165),$P$20))-SUM($BF165:BN165))</f>
        <v>0</v>
      </c>
      <c r="BP165" s="446">
        <f>IF($E165=0,0,IF(MIN(BP$38,$E165)&lt;MAX($P$34*($B165+$I$38-1),IF(AND($L$37=0,$P$34=0),"",$L$37-1)),0,YEARFRAC(MAX($P$34*($B165+$I$38-1),IF(AND($L$37=0,$P$34=0),"",$L$37-1)),MIN(BP$38,$E165),$P$20))-SUM($BF165:BO165))</f>
        <v>0</v>
      </c>
      <c r="BQ165" s="446">
        <f>IF($E165=0,0,IF(MIN(BQ$38,$E165)&lt;MAX($P$34*($B165+$I$38-1),IF(AND($L$37=0,$P$34=0),"",$L$37-1)),0,YEARFRAC(MAX($P$34*($B165+$I$38-1),IF(AND($L$37=0,$P$34=0),"",$L$37-1)),MIN(BQ$38,$E165),$P$20))-SUM($BF165:BP165))</f>
        <v>0</v>
      </c>
      <c r="BR165" s="446">
        <f>IF($E165=0,0,IF(MIN(BR$38,$E165)&lt;MAX($P$34*($B165+$I$38-1),IF(AND($L$37=0,$P$34=0),"",$L$37-1)),0,YEARFRAC(MAX($P$34*($B165+$I$38-1),IF(AND($L$37=0,$P$34=0),"",$L$37-1)),MIN(BR$38,$E165),$P$20))-SUM($BF165:BQ165))</f>
        <v>0</v>
      </c>
      <c r="BS165" s="446">
        <f>IF($E165=0,0,IF(MIN(BS$38,$E165)&lt;MAX($P$34*($B165+$I$38-1),IF(AND($L$37=0,$P$34=0),"",$L$37-1)),0,YEARFRAC(MAX($P$34*($B165+$I$38-1),IF(AND($L$37=0,$P$34=0),"",$L$37-1)),MIN(BS$38,$E165),$P$20))-SUM($BF165:BR165))</f>
        <v>0</v>
      </c>
      <c r="BT165" s="446">
        <f>IF($E165=0,0,IF(MIN(BT$38,$E165)&lt;MAX($P$34*($B165+$I$38-1),IF(AND($L$37=0,$P$34=0),"",$L$37-1)),0,YEARFRAC(MAX($P$34*($B165+$I$38-1),IF(AND($L$37=0,$P$34=0),"",$L$37-1)),MIN(BT$38,$E165),$P$20))-SUM($BF165:BS165))</f>
        <v>0</v>
      </c>
      <c r="BU165" s="446">
        <f>IF($E165=0,0,IF(MIN(BU$38,$E165)&lt;MAX($P$34*($B165+$I$38-1),IF(AND($L$37=0,$P$34=0),"",$L$37-1)),0,YEARFRAC(MAX($P$34*($B165+$I$38-1),IF(AND($L$37=0,$P$34=0),"",$L$37-1)),MIN(BU$38,$E165),$P$20))-SUM($BF165:BT165))</f>
        <v>0</v>
      </c>
      <c r="BV165" s="446">
        <f>IF($E165=0,0,IF(MIN(BV$38,$E165)&lt;MAX($P$34*($B165+$I$38-1),IF(AND($L$37=0,$P$34=0),"",$L$37-1)),0,YEARFRAC(MAX($P$34*($B165+$I$38-1),IF(AND($L$37=0,$P$34=0),"",$L$37-1)),MIN(BV$38,$E165),$P$20))-SUM($BF165:BU165))</f>
        <v>0</v>
      </c>
      <c r="BW165" s="446">
        <f>IF($E165=0,0,IF(MIN(BW$38,$E165)&lt;MAX($P$34*($B165+$I$38-1),IF(AND($L$37=0,$P$34=0),"",$L$37-1)),0,YEARFRAC(MAX($P$34*($B165+$I$38-1),IF(AND($L$37=0,$P$34=0),"",$L$37-1)),MIN(BW$38,$E165),$P$20))-SUM($BF165:BV165))</f>
        <v>0</v>
      </c>
      <c r="BX165" s="446">
        <f>IF($E165=0,0,IF(MIN(BX$38,$E165)&lt;MAX($P$34*($B165+$I$38-1),IF(AND($L$37=0,$P$34=0),"",$L$37-1)),0,YEARFRAC(MAX($P$34*($B165+$I$38-1),IF(AND($L$37=0,$P$34=0),"",$L$37-1)),MIN(BX$38,$E165),$P$20))-SUM($BF165:BW165))</f>
        <v>0</v>
      </c>
      <c r="BY165" s="446">
        <f>IF($E165=0,0,IF(MIN(BY$38,$E165)&lt;MAX($P$34*($B165+$I$38-1),IF(AND($L$37=0,$P$34=0),"",$L$37-1)),0,YEARFRAC(MAX($P$34*($B165+$I$38-1),IF(AND($L$37=0,$P$34=0),"",$L$37-1)),MIN(BY$38,$E165),$P$20))-SUM($BF165:BX165))</f>
        <v>0</v>
      </c>
      <c r="BZ165" s="446">
        <f>IF($E165=0,0,IF(MIN(BZ$38,$E165)&lt;MAX($P$34*($B165+$I$38-1),IF(AND($L$37=0,$P$34=0),"",$L$37-1)),0,YEARFRAC(MAX($P$34*($B165+$I$38-1),IF(AND($L$37=0,$P$34=0),"",$L$37-1)),MIN(BZ$38,$E165),$P$20))-SUM($BF165:BY165))</f>
        <v>0</v>
      </c>
      <c r="CA165" s="446">
        <f>IF($E165=0,0,IF(MIN(CA$38,$E165)&lt;MAX($P$34*($B165+$I$38-1),IF(AND($L$37=0,$P$34=0),"",$L$37-1)),0,YEARFRAC(MAX($P$34*($B165+$I$38-1),IF(AND($L$37=0,$P$34=0),"",$L$37-1)),MIN(CA$38,$E165),$P$20))-SUM($BF165:BZ165))</f>
        <v>0</v>
      </c>
      <c r="CB165" s="446">
        <f>IF($E165=0,0,IF(MIN(CB$38,$E165)&lt;MAX($P$34*($B165+$I$38-1),IF(AND($L$37=0,$P$34=0),"",$L$37-1)),0,YEARFRAC(MAX($P$34*($B165+$I$38-1),IF(AND($L$37=0,$P$34=0),"",$L$37-1)),MIN(CB$38,$E165),$P$20))-SUM($BF165:CA165))</f>
        <v>0</v>
      </c>
      <c r="CC165" s="446">
        <f>IF($E165=0,0,IF(MIN(CC$38,$E165)&lt;MAX($P$34*($B165+$I$38-1),IF(AND($L$37=0,$P$34=0),"",$L$37-1)),0,YEARFRAC(MAX($P$34*($B165+$I$38-1),IF(AND($L$37=0,$P$34=0),"",$L$37-1)),MIN(CC$38,$E165),$P$20))-SUM($BF165:CB165))</f>
        <v>0</v>
      </c>
      <c r="CD165" s="446">
        <f>IF($E165=0,0,IF(MIN(CD$38,$E165)&lt;MAX($P$34*($B165+$I$38-1),IF(AND($L$37=0,$P$34=0),"",$L$37-1)),0,YEARFRAC(MAX($P$34*($B165+$I$38-1),IF(AND($L$37=0,$P$34=0),"",$L$37-1)),MIN(CD$38,$E165),$P$20))-SUM($BF165:CC165))</f>
        <v>0</v>
      </c>
      <c r="CE165" s="446">
        <f>IF($E165=0,0,IF(MIN(CE$38,$E165)&lt;MAX($P$34*($B165+$I$38-1),IF(AND($L$37=0,$P$34=0),"",$L$37-1)),0,YEARFRAC(MAX($P$34*($B165+$I$38-1),IF(AND($L$37=0,$P$34=0),"",$L$37-1)),MIN(CE$38,$E165),$P$20))-SUM($BF165:CD165))</f>
        <v>0</v>
      </c>
      <c r="CF165" s="446">
        <f>IF($E165=0,0,IF(MIN(CF$38,$E165)&lt;MAX($P$34*($B165+$I$38-1),IF(AND($L$37=0,$P$34=0),"",$L$37-1)),0,YEARFRAC(MAX($P$34*($B165+$I$38-1),IF(AND($L$37=0,$P$34=0),"",$L$37-1)),MIN(CF$38,$E165),$P$20))-SUM($BF165:CE165))</f>
        <v>0</v>
      </c>
      <c r="CG165" s="446">
        <f>IF($E165=0,0,IF(MIN(CG$38,$E165)&lt;MAX($P$34*($B165+$I$38-1),IF(AND($L$37=0,$P$34=0),"",$L$37-1)),0,YEARFRAC(MAX($P$34*($B165+$I$38-1),IF(AND($L$37=0,$P$34=0),"",$L$37-1)),MIN(CG$38,$E165),$P$20))-SUM($BF165:CF165))</f>
        <v>0</v>
      </c>
      <c r="CH165" s="446">
        <f>IF($E165=0,0,IF(MIN(CH$38,$E165)&lt;MAX($P$34*($B165+$I$38-1),IF(AND($L$37=0,$P$34=0),"",$L$37-1)),0,YEARFRAC(MAX($P$34*($B165+$I$38-1),IF(AND($L$37=0,$P$34=0),"",$L$37-1)),MIN(CH$38,$E165),$P$20))-SUM($BF165:CG165))</f>
        <v>0</v>
      </c>
      <c r="CI165" s="446">
        <f>IF($E165=0,0,IF(MIN(CI$38,$E165)&lt;MAX($P$34*($B165+$I$38-1),IF(AND($L$37=0,$P$34=0),"",$L$37-1)),0,YEARFRAC(MAX($P$34*($B165+$I$38-1),IF(AND($L$37=0,$P$34=0),"",$L$37-1)),MIN(CI$38,$E165),$P$20))-SUM($BF165:CH165))</f>
        <v>0</v>
      </c>
      <c r="CJ165" s="446">
        <f>IF($E165=0,0,IF(MIN(CJ$38,$E165)&lt;MAX($P$34*($B165+$I$38-1),IF(AND($L$37=0,$P$34=0),"",$L$37-1)),0,YEARFRAC(MAX($P$34*($B165+$I$38-1),IF(AND($L$37=0,$P$34=0),"",$L$37-1)),MIN(CJ$38,$E165),$P$20))-SUM($BF165:CI165))</f>
        <v>0</v>
      </c>
      <c r="CK165" s="446">
        <f>IF($E165=0,0,IF(MIN(CK$38,$E165)&lt;MAX($P$34*($B165+$I$38-1),IF(AND($L$37=0,$P$34=0),"",$L$37-1)),0,YEARFRAC(MAX($P$34*($B165+$I$38-1),IF(AND($L$37=0,$P$34=0),"",$L$37-1)),MIN(CK$38,$E165),$P$20))-SUM($BF165:CJ165))</f>
        <v>0</v>
      </c>
      <c r="CL165" s="446">
        <f>IF($E165=0,0,IF(MIN(CL$38,$E165)&lt;MAX($P$34*($B165+$I$38-1),IF(AND($L$37=0,$P$34=0),"",$L$37-1)),0,YEARFRAC(MAX($P$34*($B165+$I$38-1),IF(AND($L$37=0,$P$34=0),"",$L$37-1)),MIN(CL$38,$E165),$P$20))-SUM($BF165:CK165))</f>
        <v>0</v>
      </c>
      <c r="CM165" s="446">
        <f>IF($E165=0,0,IF(MIN(CM$38,$E165)&lt;MAX($P$34*($B165+$I$38-1),IF(AND($L$37=0,$P$34=0),"",$L$37-1)),0,YEARFRAC(MAX($P$34*($B165+$I$38-1),IF(AND($L$37=0,$P$34=0),"",$L$37-1)),MIN(CM$38,$E165),$P$20))-SUM($BF165:CL165))</f>
        <v>0</v>
      </c>
      <c r="CN165" s="446">
        <f>IF($E165=0,0,IF(MIN(CN$38,$E165)&lt;MAX($P$34*($B165+$I$38-1),IF(AND($L$37=0,$P$34=0),"",$L$37-1)),0,YEARFRAC(MAX($P$34*($B165+$I$38-1),IF(AND($L$37=0,$P$34=0),"",$L$37-1)),MIN(CN$38,$E165),$P$20))-SUM($BF165:CM165))</f>
        <v>0</v>
      </c>
      <c r="CO165" s="446">
        <f>IF($E165=0,0,IF(MIN(CO$38,$E165)&lt;MAX($P$34*($B165+$I$38-1),IF(AND($L$37=0,$P$34=0),"",$L$37-1)),0,YEARFRAC(MAX($P$34*($B165+$I$38-1),IF(AND($L$37=0,$P$34=0),"",$L$37-1)),MIN(CO$38,$E165),$P$20))-SUM($BF165:CN165))</f>
        <v>0</v>
      </c>
      <c r="CP165" s="446">
        <f>IF($E165=0,0,IF(MIN(CP$38,$E165)&lt;MAX($P$34*($B165+$I$38-1),IF(AND($L$37=0,$P$34=0),"",$L$37-1)),0,YEARFRAC(MAX($P$34*($B165+$I$38-1),IF(AND($L$37=0,$P$34=0),"",$L$37-1)),MIN(CP$38,$E165),$P$20))-SUM($BF165:CO165))</f>
        <v>0</v>
      </c>
      <c r="CQ165" s="446">
        <f>IF($E165=0,0,IF(MIN(CQ$38,$E165)&lt;MAX($P$34*($B165+$I$38-1),IF(AND($L$37=0,$P$34=0),"",$L$37-1)),0,YEARFRAC(MAX($P$34*($B165+$I$38-1),IF(AND($L$37=0,$P$34=0),"",$L$37-1)),MIN(CQ$38,$E165),$P$20))-SUM($BF165:CP165))</f>
        <v>0</v>
      </c>
    </row>
    <row r="166" spans="1:95" s="446" customFormat="1" ht="11.25" hidden="1" customHeight="1" x14ac:dyDescent="0.2">
      <c r="A166" s="152"/>
      <c r="B166" s="153" t="str">
        <f t="shared" si="26"/>
        <v/>
      </c>
      <c r="C166" s="29" t="str">
        <f>IF(B166="","",IF($L$35="SELIC - TRIBUTOS",VLOOKUP(DATE(YEAR($D$19),MONTH($D$19)-1,1),ÍNDICES!$A:$DE,HLOOKUP($BL$25,ÍNDICES!$B$3:$T$4,2)+11)-VLOOKUP(B166,ÍNDICES!$A:$DE,HLOOKUP($BL$25,ÍNDICES!$B$3:$T$4,2)+11)+1%,IF(C$38=$W$26,$J$35,IF(ISERROR(IF(B166&gt;$D$19,1,VLOOKUP(DATE(YEAR(B166),MONTH(B166)+IF($C$35=$S$23,1,0),1),ÍNDICES!$A:$DE,$Z$35+1))),"",IF(B166&gt;$D$19,1,VLOOKUP(DATE(YEAR(B166),MONTH(B166)+IF($C$35=$S$23,1,0),1),ÍNDICES!$A:$DE,$Z$35+1))))))</f>
        <v/>
      </c>
      <c r="D166" s="154" t="str">
        <f>IF(ISERROR(IF(OR($D$38=$Y$27,$B166=""),"",VLOOKUP(B166,ÍNDICES!A:DE,AF$35+1))),"",IF(OR($D$38=$Y$27,$B166=""),"",VLOOKUP(B166,ÍNDICES!A:DE,AF$35+1)))</f>
        <v/>
      </c>
      <c r="E166" s="153"/>
      <c r="F166" s="29" t="str">
        <f>IF(E166="","",IF($L$35="SELIC - TRIBUTOS",VLOOKUP(DATE(YEAR($D$19),MONTH($D$19)-1,1),ÍNDICES!$A:$DE,HLOOKUP($BL$25,ÍNDICES!$B$3:$T$4,2)+11)-VLOOKUP(E166,ÍNDICES!$A:$DE,HLOOKUP($BL$25,ÍNDICES!$B$3:$T$4,2)+11)+1%,IF(F$38=$W$26,$J$35,IF(ISERROR(IF(E166&gt;$D$19,1,VLOOKUP(DATE(YEAR(E166),MONTH(E166)+IF($C$35=$S$23,1,0),1),ÍNDICES!$A:$DE,$Z$35+1))),"",IF(E166&gt;$D$19,1,VLOOKUP(DATE(YEAR(E166),MONTH(E166)+IF($C$35=$S$23,1,0),1),ÍNDICES!$A:$DE,$Z$35+1))))))</f>
        <v/>
      </c>
      <c r="G166" s="155"/>
      <c r="H166" s="156" t="str">
        <f t="shared" si="22"/>
        <v/>
      </c>
      <c r="I166" s="29" t="str">
        <f t="shared" si="16"/>
        <v/>
      </c>
      <c r="J166" s="5">
        <f t="shared" si="17"/>
        <v>0</v>
      </c>
      <c r="K166" s="20">
        <f t="shared" ca="1" si="18"/>
        <v>0</v>
      </c>
      <c r="L166" s="5">
        <f t="shared" ca="1" si="19"/>
        <v>0</v>
      </c>
      <c r="M166" s="64">
        <f t="shared" si="23"/>
        <v>0</v>
      </c>
      <c r="N166" s="61">
        <f t="shared" ca="1" si="24"/>
        <v>0</v>
      </c>
      <c r="O166" s="5">
        <f t="shared" ca="1" si="25"/>
        <v>0</v>
      </c>
      <c r="P166" s="446" t="e">
        <f t="shared" si="20"/>
        <v>#VALUE!</v>
      </c>
      <c r="Q166" s="446" t="e">
        <f>IF(OR($B166="",MIN(Q$38,$D$19)&lt;MAX($P$34*($B166+IF($R$17="Distrato",$I$38-1,0)),IF(AND($L$37=0,$P$34=0),"",$L$37-1),IF($R$17="Distrato",$E166,0))),0,YEARFRAC(MAX($P$34*($B166+IF($R$17="Distrato",$I$38-1,0)),IF(AND($L$37=0,$P$34=0),"",$L$37-1),IF($R$17="Distrato",$E166,0)),MIN(Q$38,$D$19),$P$20))-SUM($P166:P166)</f>
        <v>#VALUE!</v>
      </c>
      <c r="R166" s="446" t="e">
        <f>IF(OR($B166="",MIN(R$38,$D$19)&lt;MAX($P$34*($B166+IF($R$17="Distrato",$I$38-1,0)),IF(AND($L$37=0,$P$34=0),"",$L$37-1),IF($R$17="Distrato",$E166,0))),0,YEARFRAC(MAX($P$34*($B166+IF($R$17="Distrato",$I$38-1,0)),IF(AND($L$37=0,$P$34=0),"",$L$37-1),IF($R$17="Distrato",$E166,0)),MIN(R$38,$D$19),$P$20))-SUM($P166:Q166)</f>
        <v>#VALUE!</v>
      </c>
      <c r="S166" s="446" t="e">
        <f>IF(OR($B166="",MIN(S$38,$D$19)&lt;MAX($P$34*($B166+IF($R$17="Distrato",$I$38-1,0)),IF(AND($L$37=0,$P$34=0),"",$L$37-1),IF($R$17="Distrato",$E166,0))),0,YEARFRAC(MAX($P$34*($B166+IF($R$17="Distrato",$I$38-1,0)),IF(AND($L$37=0,$P$34=0),"",$L$37-1),IF($R$17="Distrato",$E166,0)),MIN(S$38,$D$19),$P$20))-SUM($P166:R166)</f>
        <v>#VALUE!</v>
      </c>
      <c r="T166" s="446" t="e">
        <f>IF(OR($B166="",MIN(T$38,$D$19)&lt;MAX($P$34*($B166+IF($R$17="Distrato",$I$38-1,0)),IF(AND($L$37=0,$P$34=0),"",$L$37-1),IF($R$17="Distrato",$E166,0))),0,YEARFRAC(MAX($P$34*($B166+IF($R$17="Distrato",$I$38-1,0)),IF(AND($L$37=0,$P$34=0),"",$L$37-1),IF($R$17="Distrato",$E166,0)),MIN(T$38,$D$19),$P$20))-SUM($P166:S166)</f>
        <v>#VALUE!</v>
      </c>
      <c r="U166" s="446" t="e">
        <f>IF(OR($B166="",MIN(U$38,$D$19)&lt;MAX($P$34*($B166+IF($R$17="Distrato",$I$38-1,0)),IF(AND($L$37=0,$P$34=0),"",$L$37-1),IF($R$17="Distrato",$E166,0))),0,YEARFRAC(MAX($P$34*($B166+IF($R$17="Distrato",$I$38-1,0)),IF(AND($L$37=0,$P$34=0),"",$L$37-1),IF($R$17="Distrato",$E166,0)),MIN(U$38,$D$19),$P$20))-SUM($P166:T166)</f>
        <v>#VALUE!</v>
      </c>
      <c r="V166" s="446" t="e">
        <f>IF(OR($B166="",MIN(V$38,$D$19)&lt;MAX($P$34*($B166+IF($R$17="Distrato",$I$38-1,0)),IF(AND($L$37=0,$P$34=0),"",$L$37-1),IF($R$17="Distrato",$E166,0))),0,YEARFRAC(MAX($P$34*($B166+IF($R$17="Distrato",$I$38-1,0)),IF(AND($L$37=0,$P$34=0),"",$L$37-1),IF($R$17="Distrato",$E166,0)),MIN(V$38,$D$19),$P$20))-SUM($P166:U166)</f>
        <v>#VALUE!</v>
      </c>
      <c r="W166" s="446" t="e">
        <f>IF(OR($B166="",MIN(W$38,$D$19)&lt;MAX($P$34*($B166+IF($R$17="Distrato",$I$38-1,0)),IF(AND($L$37=0,$P$34=0),"",$L$37-1),IF($R$17="Distrato",$E166,0))),0,YEARFRAC(MAX($P$34*($B166+IF($R$17="Distrato",$I$38-1,0)),IF(AND($L$37=0,$P$34=0),"",$L$37-1),IF($R$17="Distrato",$E166,0)),MIN(W$38,$D$19),$P$20))-SUM($P166:V166)</f>
        <v>#VALUE!</v>
      </c>
      <c r="X166" s="446" t="e">
        <f>IF(OR($B166="",MIN(X$38,$D$19)&lt;MAX($P$34*($B166+IF($R$17="Distrato",$I$38-1,0)),IF(AND($L$37=0,$P$34=0),"",$L$37-1),IF($R$17="Distrato",$E166,0))),0,YEARFRAC(MAX($P$34*($B166+IF($R$17="Distrato",$I$38-1,0)),IF(AND($L$37=0,$P$34=0),"",$L$37-1),IF($R$17="Distrato",$E166,0)),MIN(X$38,$D$19),$P$20))-SUM($P166:W166)</f>
        <v>#VALUE!</v>
      </c>
      <c r="Y166" s="446" t="e">
        <f>IF(OR($B166="",MIN(Y$38,$D$19)&lt;MAX($P$34*($B166+IF($R$17="Distrato",$I$38-1,0)),IF(AND($L$37=0,$P$34=0),"",$L$37-1),IF($R$17="Distrato",$E166,0))),0,YEARFRAC(MAX($P$34*($B166+IF($R$17="Distrato",$I$38-1,0)),IF(AND($L$37=0,$P$34=0),"",$L$37-1),IF($R$17="Distrato",$E166,0)),MIN(Y$38,$D$19),$P$20))-SUM($P166:X166)</f>
        <v>#VALUE!</v>
      </c>
      <c r="Z166" s="446" t="e">
        <f>IF(OR($B166="",MIN(Z$38,$D$19)&lt;MAX($P$34*($B166+IF($R$17="Distrato",$I$38-1,0)),IF(AND($L$37=0,$P$34=0),"",$L$37-1),IF($R$17="Distrato",$E166,0))),0,YEARFRAC(MAX($P$34*($B166+IF($R$17="Distrato",$I$38-1,0)),IF(AND($L$37=0,$P$34=0),"",$L$37-1),IF($R$17="Distrato",$E166,0)),MIN(Z$38,$D$19),$P$20))-SUM($P166:Y166)</f>
        <v>#VALUE!</v>
      </c>
      <c r="AA166" s="446" t="e">
        <f>IF(OR($B166="",MIN(AA$38,$D$19)&lt;MAX($P$34*($B166+IF($R$17="Distrato",$I$38-1,0)),IF(AND($L$37=0,$P$34=0),"",$L$37-1),IF($R$17="Distrato",$E166,0))),0,YEARFRAC(MAX($P$34*($B166+IF($R$17="Distrato",$I$38-1,0)),IF(AND($L$37=0,$P$34=0),"",$L$37-1),IF($R$17="Distrato",$E166,0)),MIN(AA$38,$D$19),$P$20))-SUM($P166:Z166)</f>
        <v>#VALUE!</v>
      </c>
      <c r="AB166" s="446" t="e">
        <f>IF(OR($B166="",MIN(AB$38,$D$19)&lt;MAX($P$34*($B166+IF($R$17="Distrato",$I$38-1,0)),IF(AND($L$37=0,$P$34=0),"",$L$37-1),IF($R$17="Distrato",$E166,0))),0,YEARFRAC(MAX($P$34*($B166+IF($R$17="Distrato",$I$38-1,0)),IF(AND($L$37=0,$P$34=0),"",$L$37-1),IF($R$17="Distrato",$E166,0)),MIN(AB$38,$D$19),$P$20))-SUM($P166:AA166)</f>
        <v>#VALUE!</v>
      </c>
      <c r="AC166" s="446" t="e">
        <f>IF(OR($B166="",MIN(AC$38,$D$19)&lt;MAX($P$34*($B166+IF($R$17="Distrato",$I$38-1,0)),IF(AND($L$37=0,$P$34=0),"",$L$37-1),IF($R$17="Distrato",$E166,0))),0,YEARFRAC(MAX($P$34*($B166+IF($R$17="Distrato",$I$38-1,0)),IF(AND($L$37=0,$P$34=0),"",$L$37-1),IF($R$17="Distrato",$E166,0)),MIN(AC$38,$D$19),$P$20))-SUM($P166:AB166)</f>
        <v>#VALUE!</v>
      </c>
      <c r="AD166" s="446" t="e">
        <f>IF(OR($B166="",MIN(AD$38,$D$19)&lt;MAX($P$34*($B166+IF($R$17="Distrato",$I$38-1,0)),IF(AND($L$37=0,$P$34=0),"",$L$37-1),IF($R$17="Distrato",$E166,0))),0,YEARFRAC(MAX($P$34*($B166+IF($R$17="Distrato",$I$38-1,0)),IF(AND($L$37=0,$P$34=0),"",$L$37-1),IF($R$17="Distrato",$E166,0)),MIN(AD$38,$D$19),$P$20))-SUM($P166:AC166)</f>
        <v>#VALUE!</v>
      </c>
      <c r="AE166" s="446" t="e">
        <f>IF(OR($B166="",MIN(AE$38,$D$19)&lt;MAX($P$34*($B166+IF($R$17="Distrato",$I$38-1,0)),IF(AND($L$37=0,$P$34=0),"",$L$37-1),IF($R$17="Distrato",$E166,0))),0,YEARFRAC(MAX($P$34*($B166+IF($R$17="Distrato",$I$38-1,0)),IF(AND($L$37=0,$P$34=0),"",$L$37-1),IF($R$17="Distrato",$E166,0)),MIN(AE$38,$D$19),$P$20))-SUM($P166:AD166)</f>
        <v>#VALUE!</v>
      </c>
      <c r="AF166" s="446" t="e">
        <f>IF(OR($B166="",MIN(AF$38,$D$19)&lt;MAX($P$34*($B166+IF($R$17="Distrato",$I$38-1,0)),IF(AND($L$37=0,$P$34=0),"",$L$37-1),IF($R$17="Distrato",$E166,0))),0,YEARFRAC(MAX($P$34*($B166+IF($R$17="Distrato",$I$38-1,0)),IF(AND($L$37=0,$P$34=0),"",$L$37-1),IF($R$17="Distrato",$E166,0)),MIN(AF$38,$D$19),$P$20))-SUM($P166:AE166)</f>
        <v>#VALUE!</v>
      </c>
      <c r="AG166" s="446" t="e">
        <f>IF(OR($B166="",MIN(AG$38,$D$19)&lt;MAX($P$34*($B166+IF($R$17="Distrato",$I$38-1,0)),IF(AND($L$37=0,$P$34=0),"",$L$37-1),IF($R$17="Distrato",$E166,0))),0,YEARFRAC(MAX($P$34*($B166+IF($R$17="Distrato",$I$38-1,0)),IF(AND($L$37=0,$P$34=0),"",$L$37-1),IF($R$17="Distrato",$E166,0)),MIN(AG$38,$D$19),$P$20))-SUM($P166:AF166)</f>
        <v>#VALUE!</v>
      </c>
      <c r="AH166" s="446" t="e">
        <f>IF(OR($B166="",MIN(AH$38,$D$19)&lt;MAX($P$34*($B166+IF($R$17="Distrato",$I$38-1,0)),IF(AND($L$37=0,$P$34=0),"",$L$37-1),IF($R$17="Distrato",$E166,0))),0,YEARFRAC(MAX($P$34*($B166+IF($R$17="Distrato",$I$38-1,0)),IF(AND($L$37=0,$P$34=0),"",$L$37-1),IF($R$17="Distrato",$E166,0)),MIN(AH$38,$D$19),$P$20))-SUM($P166:AG166)</f>
        <v>#VALUE!</v>
      </c>
      <c r="AI166" s="446" t="e">
        <f>IF(OR($B166="",MIN(AI$38,$D$19)&lt;MAX($P$34*($B166+IF($R$17="Distrato",$I$38-1,0)),IF(AND($L$37=0,$P$34=0),"",$L$37-1),IF($R$17="Distrato",$E166,0))),0,YEARFRAC(MAX($P$34*($B166+IF($R$17="Distrato",$I$38-1,0)),IF(AND($L$37=0,$P$34=0),"",$L$37-1),IF($R$17="Distrato",$E166,0)),MIN(AI$38,$D$19),$P$20))-SUM($P166:AH166)</f>
        <v>#VALUE!</v>
      </c>
      <c r="AJ166" s="446" t="e">
        <f>IF(OR($B166="",MIN(AJ$38,$D$19)&lt;MAX($P$34*($B166+IF($R$17="Distrato",$I$38-1,0)),IF(AND($L$37=0,$P$34=0),"",$L$37-1),IF($R$17="Distrato",$E166,0))),0,YEARFRAC(MAX($P$34*($B166+IF($R$17="Distrato",$I$38-1,0)),IF(AND($L$37=0,$P$34=0),"",$L$37-1),IF($R$17="Distrato",$E166,0)),MIN(AJ$38,$D$19),$P$20))-SUM($P166:AI166)</f>
        <v>#VALUE!</v>
      </c>
      <c r="AK166" s="446" t="e">
        <f>IF(OR($B166="",MIN(AK$38,$D$19)&lt;MAX($P$34*($B166+IF($R$17="Distrato",$I$38-1,0)),IF(AND($L$37=0,$P$34=0),"",$L$37-1),IF($R$17="Distrato",$E166,0))),0,YEARFRAC(MAX($P$34*($B166+IF($R$17="Distrato",$I$38-1,0)),IF(AND($L$37=0,$P$34=0),"",$L$37-1),IF($R$17="Distrato",$E166,0)),MIN(AK$38,$D$19),$P$20))-SUM($P166:AJ166)</f>
        <v>#VALUE!</v>
      </c>
      <c r="AL166" s="446" t="e">
        <f>IF(OR($B166="",MIN(AL$38,$D$19)&lt;MAX($P$34*($B166+IF($R$17="Distrato",$I$38-1,0)),IF(AND($L$37=0,$P$34=0),"",$L$37-1),IF($R$17="Distrato",$E166,0))),0,YEARFRAC(MAX($P$34*($B166+IF($R$17="Distrato",$I$38-1,0)),IF(AND($L$37=0,$P$34=0),"",$L$37-1),IF($R$17="Distrato",$E166,0)),MIN(AL$38,$D$19),$P$20))-SUM($P166:AK166)</f>
        <v>#VALUE!</v>
      </c>
      <c r="AM166" s="446" t="e">
        <f>IF(OR($B166="",MIN(AM$38,$D$19)&lt;MAX($P$34*($B166+IF($R$17="Distrato",$I$38-1,0)),IF(AND($L$37=0,$P$34=0),"",$L$37-1),IF($R$17="Distrato",$E166,0))),0,YEARFRAC(MAX($P$34*($B166+IF($R$17="Distrato",$I$38-1,0)),IF(AND($L$37=0,$P$34=0),"",$L$37-1),IF($R$17="Distrato",$E166,0)),MIN(AM$38,$D$19),$P$20))-SUM($P166:AL166)</f>
        <v>#VALUE!</v>
      </c>
      <c r="AN166" s="446" t="e">
        <f>IF(OR($B166="",MIN(AN$38,$D$19)&lt;MAX($P$34*($B166+IF($R$17="Distrato",$I$38-1,0)),IF(AND($L$37=0,$P$34=0),"",$L$37-1),IF($R$17="Distrato",$E166,0))),0,YEARFRAC(MAX($P$34*($B166+IF($R$17="Distrato",$I$38-1,0)),IF(AND($L$37=0,$P$34=0),"",$L$37-1),IF($R$17="Distrato",$E166,0)),MIN(AN$38,$D$19),$P$20))-SUM($P166:AM166)</f>
        <v>#VALUE!</v>
      </c>
      <c r="AO166" s="446" t="e">
        <f>IF(OR($B166="",MIN(AO$38,$D$19)&lt;MAX($P$34*($B166+IF($R$17="Distrato",$I$38-1,0)),IF(AND($L$37=0,$P$34=0),"",$L$37-1),IF($R$17="Distrato",$E166,0))),0,YEARFRAC(MAX($P$34*($B166+IF($R$17="Distrato",$I$38-1,0)),IF(AND($L$37=0,$P$34=0),"",$L$37-1),IF($R$17="Distrato",$E166,0)),MIN(AO$38,$D$19),$P$20))-SUM($P166:AN166)</f>
        <v>#VALUE!</v>
      </c>
      <c r="AP166" s="446" t="e">
        <f>IF(OR($B166="",MIN(AP$38,$D$19)&lt;MAX($P$34*($B166+IF($R$17="Distrato",$I$38-1,0)),IF(AND($L$37=0,$P$34=0),"",$L$37-1),IF($R$17="Distrato",$E166,0))),0,YEARFRAC(MAX($P$34*($B166+IF($R$17="Distrato",$I$38-1,0)),IF(AND($L$37=0,$P$34=0),"",$L$37-1),IF($R$17="Distrato",$E166,0)),MIN(AP$38,$D$19),$P$20))-SUM($P166:AO166)</f>
        <v>#VALUE!</v>
      </c>
      <c r="AQ166" s="446" t="e">
        <f>IF(OR($B166="",MIN(AQ$38,$D$19)&lt;MAX($P$34*($B166+IF($R$17="Distrato",$I$38-1,0)),IF(AND($L$37=0,$P$34=0),"",$L$37-1),IF($R$17="Distrato",$E166,0))),0,YEARFRAC(MAX($P$34*($B166+IF($R$17="Distrato",$I$38-1,0)),IF(AND($L$37=0,$P$34=0),"",$L$37-1),IF($R$17="Distrato",$E166,0)),MIN(AQ$38,$D$19),$P$20))-SUM($P166:AP166)</f>
        <v>#VALUE!</v>
      </c>
      <c r="AR166" s="446" t="e">
        <f>IF(OR($B166="",MIN(AR$38,$D$19)&lt;MAX($P$34*($B166+IF($R$17="Distrato",$I$38-1,0)),IF(AND($L$37=0,$P$34=0),"",$L$37-1),IF($R$17="Distrato",$E166,0))),0,YEARFRAC(MAX($P$34*($B166+IF($R$17="Distrato",$I$38-1,0)),IF(AND($L$37=0,$P$34=0),"",$L$37-1),IF($R$17="Distrato",$E166,0)),MIN(AR$38,$D$19),$P$20))-SUM($P166:AQ166)</f>
        <v>#VALUE!</v>
      </c>
      <c r="AS166" s="446" t="e">
        <f>IF(OR($B166="",MIN(AS$38,$D$19)&lt;MAX($P$34*($B166+IF($R$17="Distrato",$I$38-1,0)),IF(AND($L$37=0,$P$34=0),"",$L$37-1),IF($R$17="Distrato",$E166,0))),0,YEARFRAC(MAX($P$34*($B166+IF($R$17="Distrato",$I$38-1,0)),IF(AND($L$37=0,$P$34=0),"",$L$37-1),IF($R$17="Distrato",$E166,0)),MIN(AS$38,$D$19),$P$20))-SUM($P166:AR166)</f>
        <v>#VALUE!</v>
      </c>
      <c r="AT166" s="446" t="e">
        <f>IF(OR($B166="",MIN(AT$38,$D$19)&lt;MAX($P$34*($B166+IF($R$17="Distrato",$I$38-1,0)),IF(AND($L$37=0,$P$34=0),"",$L$37-1),IF($R$17="Distrato",$E166,0))),0,YEARFRAC(MAX($P$34*($B166+IF($R$17="Distrato",$I$38-1,0)),IF(AND($L$37=0,$P$34=0),"",$L$37-1),IF($R$17="Distrato",$E166,0)),MIN(AT$38,$D$19),$P$20))-SUM($P166:AS166)</f>
        <v>#VALUE!</v>
      </c>
      <c r="AU166" s="446" t="e">
        <f>IF(OR($B166="",MIN(AU$38,$D$19)&lt;MAX($P$34*($B166+IF($R$17="Distrato",$I$38-1,0)),IF(AND($L$37=0,$P$34=0),"",$L$37-1),IF($R$17="Distrato",$E166,0))),0,YEARFRAC(MAX($P$34*($B166+IF($R$17="Distrato",$I$38-1,0)),IF(AND($L$37=0,$P$34=0),"",$L$37-1),IF($R$17="Distrato",$E166,0)),MIN(AU$38,$D$19),$P$20))-SUM($P166:AT166)</f>
        <v>#VALUE!</v>
      </c>
      <c r="AV166" s="446" t="e">
        <f>IF(OR($B166="",MIN(AV$38,$D$19)&lt;MAX($P$34*($B166+IF($R$17="Distrato",$I$38-1,0)),IF(AND($L$37=0,$P$34=0),"",$L$37-1),IF($R$17="Distrato",$E166,0))),0,YEARFRAC(MAX($P$34*($B166+IF($R$17="Distrato",$I$38-1,0)),IF(AND($L$37=0,$P$34=0),"",$L$37-1),IF($R$17="Distrato",$E166,0)),MIN(AV$38,$D$19),$P$20))-SUM($P166:AU166)</f>
        <v>#VALUE!</v>
      </c>
      <c r="AW166" s="446" t="e">
        <f>IF(OR($B166="",MIN(AW$38,$D$19)&lt;MAX($P$34*($B166+IF($R$17="Distrato",$I$38-1,0)),IF(AND($L$37=0,$P$34=0),"",$L$37-1),IF($R$17="Distrato",$E166,0))),0,YEARFRAC(MAX($P$34*($B166+IF($R$17="Distrato",$I$38-1,0)),IF(AND($L$37=0,$P$34=0),"",$L$37-1),IF($R$17="Distrato",$E166,0)),MIN(AW$38,$D$19),$P$20))-SUM($P166:AV166)</f>
        <v>#VALUE!</v>
      </c>
      <c r="AX166" s="446" t="e">
        <f>IF(OR($B166="",MIN(AX$38,$D$19)&lt;MAX($P$34*($B166+IF($R$17="Distrato",$I$38-1,0)),IF(AND($L$37=0,$P$34=0),"",$L$37-1),IF($R$17="Distrato",$E166,0))),0,YEARFRAC(MAX($P$34*($B166+IF($R$17="Distrato",$I$38-1,0)),IF(AND($L$37=0,$P$34=0),"",$L$37-1),IF($R$17="Distrato",$E166,0)),MIN(AX$38,$D$19),$P$20))-SUM($P166:AW166)</f>
        <v>#VALUE!</v>
      </c>
      <c r="AY166" s="446" t="e">
        <f>IF(OR($B166="",MIN(AY$38,$D$19)&lt;MAX($P$34*($B166+IF($R$17="Distrato",$I$38-1,0)),IF(AND($L$37=0,$P$34=0),"",$L$37-1),IF($R$17="Distrato",$E166,0))),0,YEARFRAC(MAX($P$34*($B166+IF($R$17="Distrato",$I$38-1,0)),IF(AND($L$37=0,$P$34=0),"",$L$37-1),IF($R$17="Distrato",$E166,0)),MIN(AY$38,$D$19),$P$20))-SUM($P166:AX166)</f>
        <v>#VALUE!</v>
      </c>
      <c r="AZ166" s="446" t="e">
        <f>IF(OR($B166="",MIN(AZ$38,$D$19)&lt;MAX($P$34*($B166+IF($R$17="Distrato",$I$38-1,0)),IF(AND($L$37=0,$P$34=0),"",$L$37-1),IF($R$17="Distrato",$E166,0))),0,YEARFRAC(MAX($P$34*($B166+IF($R$17="Distrato",$I$38-1,0)),IF(AND($L$37=0,$P$34=0),"",$L$37-1),IF($R$17="Distrato",$E166,0)),MIN(AZ$38,$D$19),$P$20))-SUM($P166:AY166)</f>
        <v>#VALUE!</v>
      </c>
      <c r="BA166" s="446" t="e">
        <f>IF(OR($B166="",MIN(BA$38,$D$19)&lt;MAX($P$34*($B166+IF($R$17="Distrato",$I$38-1,0)),IF(AND($L$37=0,$P$34=0),"",$L$37-1),IF($R$17="Distrato",$E166,0))),0,YEARFRAC(MAX($P$34*($B166+IF($R$17="Distrato",$I$38-1,0)),IF(AND($L$37=0,$P$34=0),"",$L$37-1),IF($R$17="Distrato",$E166,0)),MIN(BA$38,$D$19),$P$20))-SUM($P166:AZ166)</f>
        <v>#VALUE!</v>
      </c>
      <c r="BB166" s="447"/>
      <c r="BF166" s="446">
        <f t="shared" si="21"/>
        <v>0</v>
      </c>
      <c r="BG166" s="446">
        <f>IF($E166=0,0,IF(MIN(BG$38,$E166)&lt;MAX($P$34*($B166+$I$38-1),IF(AND($L$37=0,$P$34=0),"",$L$37-1)),0,YEARFRAC(MAX($P$34*($B166+$I$38-1),IF(AND($L$37=0,$P$34=0),"",$L$37-1)),MIN(BG$38,$E166),$P$20))-SUM($BF166:BF166))</f>
        <v>0</v>
      </c>
      <c r="BH166" s="446">
        <f>IF($E166=0,0,IF(MIN(BH$38,$E166)&lt;MAX($P$34*($B166+$I$38-1),IF(AND($L$37=0,$P$34=0),"",$L$37-1)),0,YEARFRAC(MAX($P$34*($B166+$I$38-1),IF(AND($L$37=0,$P$34=0),"",$L$37-1)),MIN(BH$38,$E166),$P$20))-SUM($BF166:BG166))</f>
        <v>0</v>
      </c>
      <c r="BI166" s="446">
        <f>IF($E166=0,0,IF(MIN(BI$38,$E166)&lt;MAX($P$34*($B166+$I$38-1),IF(AND($L$37=0,$P$34=0),"",$L$37-1)),0,YEARFRAC(MAX($P$34*($B166+$I$38-1),IF(AND($L$37=0,$P$34=0),"",$L$37-1)),MIN(BI$38,$E166),$P$20))-SUM($BF166:BH166))</f>
        <v>0</v>
      </c>
      <c r="BJ166" s="446">
        <f>IF($E166=0,0,IF(MIN(BJ$38,$E166)&lt;MAX($P$34*($B166+$I$38-1),IF(AND($L$37=0,$P$34=0),"",$L$37-1)),0,YEARFRAC(MAX($P$34*($B166+$I$38-1),IF(AND($L$37=0,$P$34=0),"",$L$37-1)),MIN(BJ$38,$E166),$P$20))-SUM($BF166:BI166))</f>
        <v>0</v>
      </c>
      <c r="BK166" s="446">
        <f>IF($E166=0,0,IF(MIN(BK$38,$E166)&lt;MAX($P$34*($B166+$I$38-1),IF(AND($L$37=0,$P$34=0),"",$L$37-1)),0,YEARFRAC(MAX($P$34*($B166+$I$38-1),IF(AND($L$37=0,$P$34=0),"",$L$37-1)),MIN(BK$38,$E166),$P$20))-SUM($BF166:BJ166))</f>
        <v>0</v>
      </c>
      <c r="BL166" s="446">
        <f>IF($E166=0,0,IF(MIN(BL$38,$E166)&lt;MAX($P$34*($B166+$I$38-1),IF(AND($L$37=0,$P$34=0),"",$L$37-1)),0,YEARFRAC(MAX($P$34*($B166+$I$38-1),IF(AND($L$37=0,$P$34=0),"",$L$37-1)),MIN(BL$38,$E166),$P$20))-SUM($BF166:BK166))</f>
        <v>0</v>
      </c>
      <c r="BM166" s="446">
        <f>IF($E166=0,0,IF(MIN(BM$38,$E166)&lt;MAX($P$34*($B166+$I$38-1),IF(AND($L$37=0,$P$34=0),"",$L$37-1)),0,YEARFRAC(MAX($P$34*($B166+$I$38-1),IF(AND($L$37=0,$P$34=0),"",$L$37-1)),MIN(BM$38,$E166),$P$20))-SUM($BF166:BL166))</f>
        <v>0</v>
      </c>
      <c r="BN166" s="446">
        <f>IF($E166=0,0,IF(MIN(BN$38,$E166)&lt;MAX($P$34*($B166+$I$38-1),IF(AND($L$37=0,$P$34=0),"",$L$37-1)),0,YEARFRAC(MAX($P$34*($B166+$I$38-1),IF(AND($L$37=0,$P$34=0),"",$L$37-1)),MIN(BN$38,$E166),$P$20))-SUM($BF166:BM166))</f>
        <v>0</v>
      </c>
      <c r="BO166" s="446">
        <f>IF($E166=0,0,IF(MIN(BO$38,$E166)&lt;MAX($P$34*($B166+$I$38-1),IF(AND($L$37=0,$P$34=0),"",$L$37-1)),0,YEARFRAC(MAX($P$34*($B166+$I$38-1),IF(AND($L$37=0,$P$34=0),"",$L$37-1)),MIN(BO$38,$E166),$P$20))-SUM($BF166:BN166))</f>
        <v>0</v>
      </c>
      <c r="BP166" s="446">
        <f>IF($E166=0,0,IF(MIN(BP$38,$E166)&lt;MAX($P$34*($B166+$I$38-1),IF(AND($L$37=0,$P$34=0),"",$L$37-1)),0,YEARFRAC(MAX($P$34*($B166+$I$38-1),IF(AND($L$37=0,$P$34=0),"",$L$37-1)),MIN(BP$38,$E166),$P$20))-SUM($BF166:BO166))</f>
        <v>0</v>
      </c>
      <c r="BQ166" s="446">
        <f>IF($E166=0,0,IF(MIN(BQ$38,$E166)&lt;MAX($P$34*($B166+$I$38-1),IF(AND($L$37=0,$P$34=0),"",$L$37-1)),0,YEARFRAC(MAX($P$34*($B166+$I$38-1),IF(AND($L$37=0,$P$34=0),"",$L$37-1)),MIN(BQ$38,$E166),$P$20))-SUM($BF166:BP166))</f>
        <v>0</v>
      </c>
      <c r="BR166" s="446">
        <f>IF($E166=0,0,IF(MIN(BR$38,$E166)&lt;MAX($P$34*($B166+$I$38-1),IF(AND($L$37=0,$P$34=0),"",$L$37-1)),0,YEARFRAC(MAX($P$34*($B166+$I$38-1),IF(AND($L$37=0,$P$34=0),"",$L$37-1)),MIN(BR$38,$E166),$P$20))-SUM($BF166:BQ166))</f>
        <v>0</v>
      </c>
      <c r="BS166" s="446">
        <f>IF($E166=0,0,IF(MIN(BS$38,$E166)&lt;MAX($P$34*($B166+$I$38-1),IF(AND($L$37=0,$P$34=0),"",$L$37-1)),0,YEARFRAC(MAX($P$34*($B166+$I$38-1),IF(AND($L$37=0,$P$34=0),"",$L$37-1)),MIN(BS$38,$E166),$P$20))-SUM($BF166:BR166))</f>
        <v>0</v>
      </c>
      <c r="BT166" s="446">
        <f>IF($E166=0,0,IF(MIN(BT$38,$E166)&lt;MAX($P$34*($B166+$I$38-1),IF(AND($L$37=0,$P$34=0),"",$L$37-1)),0,YEARFRAC(MAX($P$34*($B166+$I$38-1),IF(AND($L$37=0,$P$34=0),"",$L$37-1)),MIN(BT$38,$E166),$P$20))-SUM($BF166:BS166))</f>
        <v>0</v>
      </c>
      <c r="BU166" s="446">
        <f>IF($E166=0,0,IF(MIN(BU$38,$E166)&lt;MAX($P$34*($B166+$I$38-1),IF(AND($L$37=0,$P$34=0),"",$L$37-1)),0,YEARFRAC(MAX($P$34*($B166+$I$38-1),IF(AND($L$37=0,$P$34=0),"",$L$37-1)),MIN(BU$38,$E166),$P$20))-SUM($BF166:BT166))</f>
        <v>0</v>
      </c>
      <c r="BV166" s="446">
        <f>IF($E166=0,0,IF(MIN(BV$38,$E166)&lt;MAX($P$34*($B166+$I$38-1),IF(AND($L$37=0,$P$34=0),"",$L$37-1)),0,YEARFRAC(MAX($P$34*($B166+$I$38-1),IF(AND($L$37=0,$P$34=0),"",$L$37-1)),MIN(BV$38,$E166),$P$20))-SUM($BF166:BU166))</f>
        <v>0</v>
      </c>
      <c r="BW166" s="446">
        <f>IF($E166=0,0,IF(MIN(BW$38,$E166)&lt;MAX($P$34*($B166+$I$38-1),IF(AND($L$37=0,$P$34=0),"",$L$37-1)),0,YEARFRAC(MAX($P$34*($B166+$I$38-1),IF(AND($L$37=0,$P$34=0),"",$L$37-1)),MIN(BW$38,$E166),$P$20))-SUM($BF166:BV166))</f>
        <v>0</v>
      </c>
      <c r="BX166" s="446">
        <f>IF($E166=0,0,IF(MIN(BX$38,$E166)&lt;MAX($P$34*($B166+$I$38-1),IF(AND($L$37=0,$P$34=0),"",$L$37-1)),0,YEARFRAC(MAX($P$34*($B166+$I$38-1),IF(AND($L$37=0,$P$34=0),"",$L$37-1)),MIN(BX$38,$E166),$P$20))-SUM($BF166:BW166))</f>
        <v>0</v>
      </c>
      <c r="BY166" s="446">
        <f>IF($E166=0,0,IF(MIN(BY$38,$E166)&lt;MAX($P$34*($B166+$I$38-1),IF(AND($L$37=0,$P$34=0),"",$L$37-1)),0,YEARFRAC(MAX($P$34*($B166+$I$38-1),IF(AND($L$37=0,$P$34=0),"",$L$37-1)),MIN(BY$38,$E166),$P$20))-SUM($BF166:BX166))</f>
        <v>0</v>
      </c>
      <c r="BZ166" s="446">
        <f>IF($E166=0,0,IF(MIN(BZ$38,$E166)&lt;MAX($P$34*($B166+$I$38-1),IF(AND($L$37=0,$P$34=0),"",$L$37-1)),0,YEARFRAC(MAX($P$34*($B166+$I$38-1),IF(AND($L$37=0,$P$34=0),"",$L$37-1)),MIN(BZ$38,$E166),$P$20))-SUM($BF166:BY166))</f>
        <v>0</v>
      </c>
      <c r="CA166" s="446">
        <f>IF($E166=0,0,IF(MIN(CA$38,$E166)&lt;MAX($P$34*($B166+$I$38-1),IF(AND($L$37=0,$P$34=0),"",$L$37-1)),0,YEARFRAC(MAX($P$34*($B166+$I$38-1),IF(AND($L$37=0,$P$34=0),"",$L$37-1)),MIN(CA$38,$E166),$P$20))-SUM($BF166:BZ166))</f>
        <v>0</v>
      </c>
      <c r="CB166" s="446">
        <f>IF($E166=0,0,IF(MIN(CB$38,$E166)&lt;MAX($P$34*($B166+$I$38-1),IF(AND($L$37=0,$P$34=0),"",$L$37-1)),0,YEARFRAC(MAX($P$34*($B166+$I$38-1),IF(AND($L$37=0,$P$34=0),"",$L$37-1)),MIN(CB$38,$E166),$P$20))-SUM($BF166:CA166))</f>
        <v>0</v>
      </c>
      <c r="CC166" s="446">
        <f>IF($E166=0,0,IF(MIN(CC$38,$E166)&lt;MAX($P$34*($B166+$I$38-1),IF(AND($L$37=0,$P$34=0),"",$L$37-1)),0,YEARFRAC(MAX($P$34*($B166+$I$38-1),IF(AND($L$37=0,$P$34=0),"",$L$37-1)),MIN(CC$38,$E166),$P$20))-SUM($BF166:CB166))</f>
        <v>0</v>
      </c>
      <c r="CD166" s="446">
        <f>IF($E166=0,0,IF(MIN(CD$38,$E166)&lt;MAX($P$34*($B166+$I$38-1),IF(AND($L$37=0,$P$34=0),"",$L$37-1)),0,YEARFRAC(MAX($P$34*($B166+$I$38-1),IF(AND($L$37=0,$P$34=0),"",$L$37-1)),MIN(CD$38,$E166),$P$20))-SUM($BF166:CC166))</f>
        <v>0</v>
      </c>
      <c r="CE166" s="446">
        <f>IF($E166=0,0,IF(MIN(CE$38,$E166)&lt;MAX($P$34*($B166+$I$38-1),IF(AND($L$37=0,$P$34=0),"",$L$37-1)),0,YEARFRAC(MAX($P$34*($B166+$I$38-1),IF(AND($L$37=0,$P$34=0),"",$L$37-1)),MIN(CE$38,$E166),$P$20))-SUM($BF166:CD166))</f>
        <v>0</v>
      </c>
      <c r="CF166" s="446">
        <f>IF($E166=0,0,IF(MIN(CF$38,$E166)&lt;MAX($P$34*($B166+$I$38-1),IF(AND($L$37=0,$P$34=0),"",$L$37-1)),0,YEARFRAC(MAX($P$34*($B166+$I$38-1),IF(AND($L$37=0,$P$34=0),"",$L$37-1)),MIN(CF$38,$E166),$P$20))-SUM($BF166:CE166))</f>
        <v>0</v>
      </c>
      <c r="CG166" s="446">
        <f>IF($E166=0,0,IF(MIN(CG$38,$E166)&lt;MAX($P$34*($B166+$I$38-1),IF(AND($L$37=0,$P$34=0),"",$L$37-1)),0,YEARFRAC(MAX($P$34*($B166+$I$38-1),IF(AND($L$37=0,$P$34=0),"",$L$37-1)),MIN(CG$38,$E166),$P$20))-SUM($BF166:CF166))</f>
        <v>0</v>
      </c>
      <c r="CH166" s="446">
        <f>IF($E166=0,0,IF(MIN(CH$38,$E166)&lt;MAX($P$34*($B166+$I$38-1),IF(AND($L$37=0,$P$34=0),"",$L$37-1)),0,YEARFRAC(MAX($P$34*($B166+$I$38-1),IF(AND($L$37=0,$P$34=0),"",$L$37-1)),MIN(CH$38,$E166),$P$20))-SUM($BF166:CG166))</f>
        <v>0</v>
      </c>
      <c r="CI166" s="446">
        <f>IF($E166=0,0,IF(MIN(CI$38,$E166)&lt;MAX($P$34*($B166+$I$38-1),IF(AND($L$37=0,$P$34=0),"",$L$37-1)),0,YEARFRAC(MAX($P$34*($B166+$I$38-1),IF(AND($L$37=0,$P$34=0),"",$L$37-1)),MIN(CI$38,$E166),$P$20))-SUM($BF166:CH166))</f>
        <v>0</v>
      </c>
      <c r="CJ166" s="446">
        <f>IF($E166=0,0,IF(MIN(CJ$38,$E166)&lt;MAX($P$34*($B166+$I$38-1),IF(AND($L$37=0,$P$34=0),"",$L$37-1)),0,YEARFRAC(MAX($P$34*($B166+$I$38-1),IF(AND($L$37=0,$P$34=0),"",$L$37-1)),MIN(CJ$38,$E166),$P$20))-SUM($BF166:CI166))</f>
        <v>0</v>
      </c>
      <c r="CK166" s="446">
        <f>IF($E166=0,0,IF(MIN(CK$38,$E166)&lt;MAX($P$34*($B166+$I$38-1),IF(AND($L$37=0,$P$34=0),"",$L$37-1)),0,YEARFRAC(MAX($P$34*($B166+$I$38-1),IF(AND($L$37=0,$P$34=0),"",$L$37-1)),MIN(CK$38,$E166),$P$20))-SUM($BF166:CJ166))</f>
        <v>0</v>
      </c>
      <c r="CL166" s="446">
        <f>IF($E166=0,0,IF(MIN(CL$38,$E166)&lt;MAX($P$34*($B166+$I$38-1),IF(AND($L$37=0,$P$34=0),"",$L$37-1)),0,YEARFRAC(MAX($P$34*($B166+$I$38-1),IF(AND($L$37=0,$P$34=0),"",$L$37-1)),MIN(CL$38,$E166),$P$20))-SUM($BF166:CK166))</f>
        <v>0</v>
      </c>
      <c r="CM166" s="446">
        <f>IF($E166=0,0,IF(MIN(CM$38,$E166)&lt;MAX($P$34*($B166+$I$38-1),IF(AND($L$37=0,$P$34=0),"",$L$37-1)),0,YEARFRAC(MAX($P$34*($B166+$I$38-1),IF(AND($L$37=0,$P$34=0),"",$L$37-1)),MIN(CM$38,$E166),$P$20))-SUM($BF166:CL166))</f>
        <v>0</v>
      </c>
      <c r="CN166" s="446">
        <f>IF($E166=0,0,IF(MIN(CN$38,$E166)&lt;MAX($P$34*($B166+$I$38-1),IF(AND($L$37=0,$P$34=0),"",$L$37-1)),0,YEARFRAC(MAX($P$34*($B166+$I$38-1),IF(AND($L$37=0,$P$34=0),"",$L$37-1)),MIN(CN$38,$E166),$P$20))-SUM($BF166:CM166))</f>
        <v>0</v>
      </c>
      <c r="CO166" s="446">
        <f>IF($E166=0,0,IF(MIN(CO$38,$E166)&lt;MAX($P$34*($B166+$I$38-1),IF(AND($L$37=0,$P$34=0),"",$L$37-1)),0,YEARFRAC(MAX($P$34*($B166+$I$38-1),IF(AND($L$37=0,$P$34=0),"",$L$37-1)),MIN(CO$38,$E166),$P$20))-SUM($BF166:CN166))</f>
        <v>0</v>
      </c>
      <c r="CP166" s="446">
        <f>IF($E166=0,0,IF(MIN(CP$38,$E166)&lt;MAX($P$34*($B166+$I$38-1),IF(AND($L$37=0,$P$34=0),"",$L$37-1)),0,YEARFRAC(MAX($P$34*($B166+$I$38-1),IF(AND($L$37=0,$P$34=0),"",$L$37-1)),MIN(CP$38,$E166),$P$20))-SUM($BF166:CO166))</f>
        <v>0</v>
      </c>
      <c r="CQ166" s="446">
        <f>IF($E166=0,0,IF(MIN(CQ$38,$E166)&lt;MAX($P$34*($B166+$I$38-1),IF(AND($L$37=0,$P$34=0),"",$L$37-1)),0,YEARFRAC(MAX($P$34*($B166+$I$38-1),IF(AND($L$37=0,$P$34=0),"",$L$37-1)),MIN(CQ$38,$E166),$P$20))-SUM($BF166:CP166))</f>
        <v>0</v>
      </c>
    </row>
    <row r="167" spans="1:95" s="446" customFormat="1" ht="11.25" hidden="1" customHeight="1" x14ac:dyDescent="0.2">
      <c r="A167" s="152"/>
      <c r="B167" s="153" t="str">
        <f t="shared" si="26"/>
        <v/>
      </c>
      <c r="C167" s="29" t="str">
        <f>IF(B167="","",IF($L$35="SELIC - TRIBUTOS",VLOOKUP(DATE(YEAR($D$19),MONTH($D$19)-1,1),ÍNDICES!$A:$DE,HLOOKUP($BL$25,ÍNDICES!$B$3:$T$4,2)+11)-VLOOKUP(B167,ÍNDICES!$A:$DE,HLOOKUP($BL$25,ÍNDICES!$B$3:$T$4,2)+11)+1%,IF(C$38=$W$26,$J$35,IF(ISERROR(IF(B167&gt;$D$19,1,VLOOKUP(DATE(YEAR(B167),MONTH(B167)+IF($C$35=$S$23,1,0),1),ÍNDICES!$A:$DE,$Z$35+1))),"",IF(B167&gt;$D$19,1,VLOOKUP(DATE(YEAR(B167),MONTH(B167)+IF($C$35=$S$23,1,0),1),ÍNDICES!$A:$DE,$Z$35+1))))))</f>
        <v/>
      </c>
      <c r="D167" s="154" t="str">
        <f>IF(ISERROR(IF(OR($D$38=$Y$27,$B167=""),"",VLOOKUP(B167,ÍNDICES!A:DE,AF$35+1))),"",IF(OR($D$38=$Y$27,$B167=""),"",VLOOKUP(B167,ÍNDICES!A:DE,AF$35+1)))</f>
        <v/>
      </c>
      <c r="E167" s="153"/>
      <c r="F167" s="29" t="str">
        <f>IF(E167="","",IF($L$35="SELIC - TRIBUTOS",VLOOKUP(DATE(YEAR($D$19),MONTH($D$19)-1,1),ÍNDICES!$A:$DE,HLOOKUP($BL$25,ÍNDICES!$B$3:$T$4,2)+11)-VLOOKUP(E167,ÍNDICES!$A:$DE,HLOOKUP($BL$25,ÍNDICES!$B$3:$T$4,2)+11)+1%,IF(F$38=$W$26,$J$35,IF(ISERROR(IF(E167&gt;$D$19,1,VLOOKUP(DATE(YEAR(E167),MONTH(E167)+IF($C$35=$S$23,1,0),1),ÍNDICES!$A:$DE,$Z$35+1))),"",IF(E167&gt;$D$19,1,VLOOKUP(DATE(YEAR(E167),MONTH(E167)+IF($C$35=$S$23,1,0),1),ÍNDICES!$A:$DE,$Z$35+1))))))</f>
        <v/>
      </c>
      <c r="G167" s="155"/>
      <c r="H167" s="156" t="str">
        <f t="shared" si="22"/>
        <v/>
      </c>
      <c r="I167" s="29" t="str">
        <f t="shared" si="16"/>
        <v/>
      </c>
      <c r="J167" s="5">
        <f t="shared" si="17"/>
        <v>0</v>
      </c>
      <c r="K167" s="20">
        <f t="shared" ca="1" si="18"/>
        <v>0</v>
      </c>
      <c r="L167" s="5">
        <f t="shared" ca="1" si="19"/>
        <v>0</v>
      </c>
      <c r="M167" s="64">
        <f t="shared" si="23"/>
        <v>0</v>
      </c>
      <c r="N167" s="61">
        <f t="shared" ca="1" si="24"/>
        <v>0</v>
      </c>
      <c r="O167" s="5">
        <f t="shared" ca="1" si="25"/>
        <v>0</v>
      </c>
      <c r="P167" s="446" t="e">
        <f t="shared" si="20"/>
        <v>#VALUE!</v>
      </c>
      <c r="Q167" s="446" t="e">
        <f>IF(OR($B167="",MIN(Q$38,$D$19)&lt;MAX($P$34*($B167+IF($R$17="Distrato",$I$38-1,0)),IF(AND($L$37=0,$P$34=0),"",$L$37-1),IF($R$17="Distrato",$E167,0))),0,YEARFRAC(MAX($P$34*($B167+IF($R$17="Distrato",$I$38-1,0)),IF(AND($L$37=0,$P$34=0),"",$L$37-1),IF($R$17="Distrato",$E167,0)),MIN(Q$38,$D$19),$P$20))-SUM($P167:P167)</f>
        <v>#VALUE!</v>
      </c>
      <c r="R167" s="446" t="e">
        <f>IF(OR($B167="",MIN(R$38,$D$19)&lt;MAX($P$34*($B167+IF($R$17="Distrato",$I$38-1,0)),IF(AND($L$37=0,$P$34=0),"",$L$37-1),IF($R$17="Distrato",$E167,0))),0,YEARFRAC(MAX($P$34*($B167+IF($R$17="Distrato",$I$38-1,0)),IF(AND($L$37=0,$P$34=0),"",$L$37-1),IF($R$17="Distrato",$E167,0)),MIN(R$38,$D$19),$P$20))-SUM($P167:Q167)</f>
        <v>#VALUE!</v>
      </c>
      <c r="S167" s="446" t="e">
        <f>IF(OR($B167="",MIN(S$38,$D$19)&lt;MAX($P$34*($B167+IF($R$17="Distrato",$I$38-1,0)),IF(AND($L$37=0,$P$34=0),"",$L$37-1),IF($R$17="Distrato",$E167,0))),0,YEARFRAC(MAX($P$34*($B167+IF($R$17="Distrato",$I$38-1,0)),IF(AND($L$37=0,$P$34=0),"",$L$37-1),IF($R$17="Distrato",$E167,0)),MIN(S$38,$D$19),$P$20))-SUM($P167:R167)</f>
        <v>#VALUE!</v>
      </c>
      <c r="T167" s="446" t="e">
        <f>IF(OR($B167="",MIN(T$38,$D$19)&lt;MAX($P$34*($B167+IF($R$17="Distrato",$I$38-1,0)),IF(AND($L$37=0,$P$34=0),"",$L$37-1),IF($R$17="Distrato",$E167,0))),0,YEARFRAC(MAX($P$34*($B167+IF($R$17="Distrato",$I$38-1,0)),IF(AND($L$37=0,$P$34=0),"",$L$37-1),IF($R$17="Distrato",$E167,0)),MIN(T$38,$D$19),$P$20))-SUM($P167:S167)</f>
        <v>#VALUE!</v>
      </c>
      <c r="U167" s="446" t="e">
        <f>IF(OR($B167="",MIN(U$38,$D$19)&lt;MAX($P$34*($B167+IF($R$17="Distrato",$I$38-1,0)),IF(AND($L$37=0,$P$34=0),"",$L$37-1),IF($R$17="Distrato",$E167,0))),0,YEARFRAC(MAX($P$34*($B167+IF($R$17="Distrato",$I$38-1,0)),IF(AND($L$37=0,$P$34=0),"",$L$37-1),IF($R$17="Distrato",$E167,0)),MIN(U$38,$D$19),$P$20))-SUM($P167:T167)</f>
        <v>#VALUE!</v>
      </c>
      <c r="V167" s="446" t="e">
        <f>IF(OR($B167="",MIN(V$38,$D$19)&lt;MAX($P$34*($B167+IF($R$17="Distrato",$I$38-1,0)),IF(AND($L$37=0,$P$34=0),"",$L$37-1),IF($R$17="Distrato",$E167,0))),0,YEARFRAC(MAX($P$34*($B167+IF($R$17="Distrato",$I$38-1,0)),IF(AND($L$37=0,$P$34=0),"",$L$37-1),IF($R$17="Distrato",$E167,0)),MIN(V$38,$D$19),$P$20))-SUM($P167:U167)</f>
        <v>#VALUE!</v>
      </c>
      <c r="W167" s="446" t="e">
        <f>IF(OR($B167="",MIN(W$38,$D$19)&lt;MAX($P$34*($B167+IF($R$17="Distrato",$I$38-1,0)),IF(AND($L$37=0,$P$34=0),"",$L$37-1),IF($R$17="Distrato",$E167,0))),0,YEARFRAC(MAX($P$34*($B167+IF($R$17="Distrato",$I$38-1,0)),IF(AND($L$37=0,$P$34=0),"",$L$37-1),IF($R$17="Distrato",$E167,0)),MIN(W$38,$D$19),$P$20))-SUM($P167:V167)</f>
        <v>#VALUE!</v>
      </c>
      <c r="X167" s="446" t="e">
        <f>IF(OR($B167="",MIN(X$38,$D$19)&lt;MAX($P$34*($B167+IF($R$17="Distrato",$I$38-1,0)),IF(AND($L$37=0,$P$34=0),"",$L$37-1),IF($R$17="Distrato",$E167,0))),0,YEARFRAC(MAX($P$34*($B167+IF($R$17="Distrato",$I$38-1,0)),IF(AND($L$37=0,$P$34=0),"",$L$37-1),IF($R$17="Distrato",$E167,0)),MIN(X$38,$D$19),$P$20))-SUM($P167:W167)</f>
        <v>#VALUE!</v>
      </c>
      <c r="Y167" s="446" t="e">
        <f>IF(OR($B167="",MIN(Y$38,$D$19)&lt;MAX($P$34*($B167+IF($R$17="Distrato",$I$38-1,0)),IF(AND($L$37=0,$P$34=0),"",$L$37-1),IF($R$17="Distrato",$E167,0))),0,YEARFRAC(MAX($P$34*($B167+IF($R$17="Distrato",$I$38-1,0)),IF(AND($L$37=0,$P$34=0),"",$L$37-1),IF($R$17="Distrato",$E167,0)),MIN(Y$38,$D$19),$P$20))-SUM($P167:X167)</f>
        <v>#VALUE!</v>
      </c>
      <c r="Z167" s="446" t="e">
        <f>IF(OR($B167="",MIN(Z$38,$D$19)&lt;MAX($P$34*($B167+IF($R$17="Distrato",$I$38-1,0)),IF(AND($L$37=0,$P$34=0),"",$L$37-1),IF($R$17="Distrato",$E167,0))),0,YEARFRAC(MAX($P$34*($B167+IF($R$17="Distrato",$I$38-1,0)),IF(AND($L$37=0,$P$34=0),"",$L$37-1),IF($R$17="Distrato",$E167,0)),MIN(Z$38,$D$19),$P$20))-SUM($P167:Y167)</f>
        <v>#VALUE!</v>
      </c>
      <c r="AA167" s="446" t="e">
        <f>IF(OR($B167="",MIN(AA$38,$D$19)&lt;MAX($P$34*($B167+IF($R$17="Distrato",$I$38-1,0)),IF(AND($L$37=0,$P$34=0),"",$L$37-1),IF($R$17="Distrato",$E167,0))),0,YEARFRAC(MAX($P$34*($B167+IF($R$17="Distrato",$I$38-1,0)),IF(AND($L$37=0,$P$34=0),"",$L$37-1),IF($R$17="Distrato",$E167,0)),MIN(AA$38,$D$19),$P$20))-SUM($P167:Z167)</f>
        <v>#VALUE!</v>
      </c>
      <c r="AB167" s="446" t="e">
        <f>IF(OR($B167="",MIN(AB$38,$D$19)&lt;MAX($P$34*($B167+IF($R$17="Distrato",$I$38-1,0)),IF(AND($L$37=0,$P$34=0),"",$L$37-1),IF($R$17="Distrato",$E167,0))),0,YEARFRAC(MAX($P$34*($B167+IF($R$17="Distrato",$I$38-1,0)),IF(AND($L$37=0,$P$34=0),"",$L$37-1),IF($R$17="Distrato",$E167,0)),MIN(AB$38,$D$19),$P$20))-SUM($P167:AA167)</f>
        <v>#VALUE!</v>
      </c>
      <c r="AC167" s="446" t="e">
        <f>IF(OR($B167="",MIN(AC$38,$D$19)&lt;MAX($P$34*($B167+IF($R$17="Distrato",$I$38-1,0)),IF(AND($L$37=0,$P$34=0),"",$L$37-1),IF($R$17="Distrato",$E167,0))),0,YEARFRAC(MAX($P$34*($B167+IF($R$17="Distrato",$I$38-1,0)),IF(AND($L$37=0,$P$34=0),"",$L$37-1),IF($R$17="Distrato",$E167,0)),MIN(AC$38,$D$19),$P$20))-SUM($P167:AB167)</f>
        <v>#VALUE!</v>
      </c>
      <c r="AD167" s="446" t="e">
        <f>IF(OR($B167="",MIN(AD$38,$D$19)&lt;MAX($P$34*($B167+IF($R$17="Distrato",$I$38-1,0)),IF(AND($L$37=0,$P$34=0),"",$L$37-1),IF($R$17="Distrato",$E167,0))),0,YEARFRAC(MAX($P$34*($B167+IF($R$17="Distrato",$I$38-1,0)),IF(AND($L$37=0,$P$34=0),"",$L$37-1),IF($R$17="Distrato",$E167,0)),MIN(AD$38,$D$19),$P$20))-SUM($P167:AC167)</f>
        <v>#VALUE!</v>
      </c>
      <c r="AE167" s="446" t="e">
        <f>IF(OR($B167="",MIN(AE$38,$D$19)&lt;MAX($P$34*($B167+IF($R$17="Distrato",$I$38-1,0)),IF(AND($L$37=0,$P$34=0),"",$L$37-1),IF($R$17="Distrato",$E167,0))),0,YEARFRAC(MAX($P$34*($B167+IF($R$17="Distrato",$I$38-1,0)),IF(AND($L$37=0,$P$34=0),"",$L$37-1),IF($R$17="Distrato",$E167,0)),MIN(AE$38,$D$19),$P$20))-SUM($P167:AD167)</f>
        <v>#VALUE!</v>
      </c>
      <c r="AF167" s="446" t="e">
        <f>IF(OR($B167="",MIN(AF$38,$D$19)&lt;MAX($P$34*($B167+IF($R$17="Distrato",$I$38-1,0)),IF(AND($L$37=0,$P$34=0),"",$L$37-1),IF($R$17="Distrato",$E167,0))),0,YEARFRAC(MAX($P$34*($B167+IF($R$17="Distrato",$I$38-1,0)),IF(AND($L$37=0,$P$34=0),"",$L$37-1),IF($R$17="Distrato",$E167,0)),MIN(AF$38,$D$19),$P$20))-SUM($P167:AE167)</f>
        <v>#VALUE!</v>
      </c>
      <c r="AG167" s="446" t="e">
        <f>IF(OR($B167="",MIN(AG$38,$D$19)&lt;MAX($P$34*($B167+IF($R$17="Distrato",$I$38-1,0)),IF(AND($L$37=0,$P$34=0),"",$L$37-1),IF($R$17="Distrato",$E167,0))),0,YEARFRAC(MAX($P$34*($B167+IF($R$17="Distrato",$I$38-1,0)),IF(AND($L$37=0,$P$34=0),"",$L$37-1),IF($R$17="Distrato",$E167,0)),MIN(AG$38,$D$19),$P$20))-SUM($P167:AF167)</f>
        <v>#VALUE!</v>
      </c>
      <c r="AH167" s="446" t="e">
        <f>IF(OR($B167="",MIN(AH$38,$D$19)&lt;MAX($P$34*($B167+IF($R$17="Distrato",$I$38-1,0)),IF(AND($L$37=0,$P$34=0),"",$L$37-1),IF($R$17="Distrato",$E167,0))),0,YEARFRAC(MAX($P$34*($B167+IF($R$17="Distrato",$I$38-1,0)),IF(AND($L$37=0,$P$34=0),"",$L$37-1),IF($R$17="Distrato",$E167,0)),MIN(AH$38,$D$19),$P$20))-SUM($P167:AG167)</f>
        <v>#VALUE!</v>
      </c>
      <c r="AI167" s="446" t="e">
        <f>IF(OR($B167="",MIN(AI$38,$D$19)&lt;MAX($P$34*($B167+IF($R$17="Distrato",$I$38-1,0)),IF(AND($L$37=0,$P$34=0),"",$L$37-1),IF($R$17="Distrato",$E167,0))),0,YEARFRAC(MAX($P$34*($B167+IF($R$17="Distrato",$I$38-1,0)),IF(AND($L$37=0,$P$34=0),"",$L$37-1),IF($R$17="Distrato",$E167,0)),MIN(AI$38,$D$19),$P$20))-SUM($P167:AH167)</f>
        <v>#VALUE!</v>
      </c>
      <c r="AJ167" s="446" t="e">
        <f>IF(OR($B167="",MIN(AJ$38,$D$19)&lt;MAX($P$34*($B167+IF($R$17="Distrato",$I$38-1,0)),IF(AND($L$37=0,$P$34=0),"",$L$37-1),IF($R$17="Distrato",$E167,0))),0,YEARFRAC(MAX($P$34*($B167+IF($R$17="Distrato",$I$38-1,0)),IF(AND($L$37=0,$P$34=0),"",$L$37-1),IF($R$17="Distrato",$E167,0)),MIN(AJ$38,$D$19),$P$20))-SUM($P167:AI167)</f>
        <v>#VALUE!</v>
      </c>
      <c r="AK167" s="446" t="e">
        <f>IF(OR($B167="",MIN(AK$38,$D$19)&lt;MAX($P$34*($B167+IF($R$17="Distrato",$I$38-1,0)),IF(AND($L$37=0,$P$34=0),"",$L$37-1),IF($R$17="Distrato",$E167,0))),0,YEARFRAC(MAX($P$34*($B167+IF($R$17="Distrato",$I$38-1,0)),IF(AND($L$37=0,$P$34=0),"",$L$37-1),IF($R$17="Distrato",$E167,0)),MIN(AK$38,$D$19),$P$20))-SUM($P167:AJ167)</f>
        <v>#VALUE!</v>
      </c>
      <c r="AL167" s="446" t="e">
        <f>IF(OR($B167="",MIN(AL$38,$D$19)&lt;MAX($P$34*($B167+IF($R$17="Distrato",$I$38-1,0)),IF(AND($L$37=0,$P$34=0),"",$L$37-1),IF($R$17="Distrato",$E167,0))),0,YEARFRAC(MAX($P$34*($B167+IF($R$17="Distrato",$I$38-1,0)),IF(AND($L$37=0,$P$34=0),"",$L$37-1),IF($R$17="Distrato",$E167,0)),MIN(AL$38,$D$19),$P$20))-SUM($P167:AK167)</f>
        <v>#VALUE!</v>
      </c>
      <c r="AM167" s="446" t="e">
        <f>IF(OR($B167="",MIN(AM$38,$D$19)&lt;MAX($P$34*($B167+IF($R$17="Distrato",$I$38-1,0)),IF(AND($L$37=0,$P$34=0),"",$L$37-1),IF($R$17="Distrato",$E167,0))),0,YEARFRAC(MAX($P$34*($B167+IF($R$17="Distrato",$I$38-1,0)),IF(AND($L$37=0,$P$34=0),"",$L$37-1),IF($R$17="Distrato",$E167,0)),MIN(AM$38,$D$19),$P$20))-SUM($P167:AL167)</f>
        <v>#VALUE!</v>
      </c>
      <c r="AN167" s="446" t="e">
        <f>IF(OR($B167="",MIN(AN$38,$D$19)&lt;MAX($P$34*($B167+IF($R$17="Distrato",$I$38-1,0)),IF(AND($L$37=0,$P$34=0),"",$L$37-1),IF($R$17="Distrato",$E167,0))),0,YEARFRAC(MAX($P$34*($B167+IF($R$17="Distrato",$I$38-1,0)),IF(AND($L$37=0,$P$34=0),"",$L$37-1),IF($R$17="Distrato",$E167,0)),MIN(AN$38,$D$19),$P$20))-SUM($P167:AM167)</f>
        <v>#VALUE!</v>
      </c>
      <c r="AO167" s="446" t="e">
        <f>IF(OR($B167="",MIN(AO$38,$D$19)&lt;MAX($P$34*($B167+IF($R$17="Distrato",$I$38-1,0)),IF(AND($L$37=0,$P$34=0),"",$L$37-1),IF($R$17="Distrato",$E167,0))),0,YEARFRAC(MAX($P$34*($B167+IF($R$17="Distrato",$I$38-1,0)),IF(AND($L$37=0,$P$34=0),"",$L$37-1),IF($R$17="Distrato",$E167,0)),MIN(AO$38,$D$19),$P$20))-SUM($P167:AN167)</f>
        <v>#VALUE!</v>
      </c>
      <c r="AP167" s="446" t="e">
        <f>IF(OR($B167="",MIN(AP$38,$D$19)&lt;MAX($P$34*($B167+IF($R$17="Distrato",$I$38-1,0)),IF(AND($L$37=0,$P$34=0),"",$L$37-1),IF($R$17="Distrato",$E167,0))),0,YEARFRAC(MAX($P$34*($B167+IF($R$17="Distrato",$I$38-1,0)),IF(AND($L$37=0,$P$34=0),"",$L$37-1),IF($R$17="Distrato",$E167,0)),MIN(AP$38,$D$19),$P$20))-SUM($P167:AO167)</f>
        <v>#VALUE!</v>
      </c>
      <c r="AQ167" s="446" t="e">
        <f>IF(OR($B167="",MIN(AQ$38,$D$19)&lt;MAX($P$34*($B167+IF($R$17="Distrato",$I$38-1,0)),IF(AND($L$37=0,$P$34=0),"",$L$37-1),IF($R$17="Distrato",$E167,0))),0,YEARFRAC(MAX($P$34*($B167+IF($R$17="Distrato",$I$38-1,0)),IF(AND($L$37=0,$P$34=0),"",$L$37-1),IF($R$17="Distrato",$E167,0)),MIN(AQ$38,$D$19),$P$20))-SUM($P167:AP167)</f>
        <v>#VALUE!</v>
      </c>
      <c r="AR167" s="446" t="e">
        <f>IF(OR($B167="",MIN(AR$38,$D$19)&lt;MAX($P$34*($B167+IF($R$17="Distrato",$I$38-1,0)),IF(AND($L$37=0,$P$34=0),"",$L$37-1),IF($R$17="Distrato",$E167,0))),0,YEARFRAC(MAX($P$34*($B167+IF($R$17="Distrato",$I$38-1,0)),IF(AND($L$37=0,$P$34=0),"",$L$37-1),IF($R$17="Distrato",$E167,0)),MIN(AR$38,$D$19),$P$20))-SUM($P167:AQ167)</f>
        <v>#VALUE!</v>
      </c>
      <c r="AS167" s="446" t="e">
        <f>IF(OR($B167="",MIN(AS$38,$D$19)&lt;MAX($P$34*($B167+IF($R$17="Distrato",$I$38-1,0)),IF(AND($L$37=0,$P$34=0),"",$L$37-1),IF($R$17="Distrato",$E167,0))),0,YEARFRAC(MAX($P$34*($B167+IF($R$17="Distrato",$I$38-1,0)),IF(AND($L$37=0,$P$34=0),"",$L$37-1),IF($R$17="Distrato",$E167,0)),MIN(AS$38,$D$19),$P$20))-SUM($P167:AR167)</f>
        <v>#VALUE!</v>
      </c>
      <c r="AT167" s="446" t="e">
        <f>IF(OR($B167="",MIN(AT$38,$D$19)&lt;MAX($P$34*($B167+IF($R$17="Distrato",$I$38-1,0)),IF(AND($L$37=0,$P$34=0),"",$L$37-1),IF($R$17="Distrato",$E167,0))),0,YEARFRAC(MAX($P$34*($B167+IF($R$17="Distrato",$I$38-1,0)),IF(AND($L$37=0,$P$34=0),"",$L$37-1),IF($R$17="Distrato",$E167,0)),MIN(AT$38,$D$19),$P$20))-SUM($P167:AS167)</f>
        <v>#VALUE!</v>
      </c>
      <c r="AU167" s="446" t="e">
        <f>IF(OR($B167="",MIN(AU$38,$D$19)&lt;MAX($P$34*($B167+IF($R$17="Distrato",$I$38-1,0)),IF(AND($L$37=0,$P$34=0),"",$L$37-1),IF($R$17="Distrato",$E167,0))),0,YEARFRAC(MAX($P$34*($B167+IF($R$17="Distrato",$I$38-1,0)),IF(AND($L$37=0,$P$34=0),"",$L$37-1),IF($R$17="Distrato",$E167,0)),MIN(AU$38,$D$19),$P$20))-SUM($P167:AT167)</f>
        <v>#VALUE!</v>
      </c>
      <c r="AV167" s="446" t="e">
        <f>IF(OR($B167="",MIN(AV$38,$D$19)&lt;MAX($P$34*($B167+IF($R$17="Distrato",$I$38-1,0)),IF(AND($L$37=0,$P$34=0),"",$L$37-1),IF($R$17="Distrato",$E167,0))),0,YEARFRAC(MAX($P$34*($B167+IF($R$17="Distrato",$I$38-1,0)),IF(AND($L$37=0,$P$34=0),"",$L$37-1),IF($R$17="Distrato",$E167,0)),MIN(AV$38,$D$19),$P$20))-SUM($P167:AU167)</f>
        <v>#VALUE!</v>
      </c>
      <c r="AW167" s="446" t="e">
        <f>IF(OR($B167="",MIN(AW$38,$D$19)&lt;MAX($P$34*($B167+IF($R$17="Distrato",$I$38-1,0)),IF(AND($L$37=0,$P$34=0),"",$L$37-1),IF($R$17="Distrato",$E167,0))),0,YEARFRAC(MAX($P$34*($B167+IF($R$17="Distrato",$I$38-1,0)),IF(AND($L$37=0,$P$34=0),"",$L$37-1),IF($R$17="Distrato",$E167,0)),MIN(AW$38,$D$19),$P$20))-SUM($P167:AV167)</f>
        <v>#VALUE!</v>
      </c>
      <c r="AX167" s="446" t="e">
        <f>IF(OR($B167="",MIN(AX$38,$D$19)&lt;MAX($P$34*($B167+IF($R$17="Distrato",$I$38-1,0)),IF(AND($L$37=0,$P$34=0),"",$L$37-1),IF($R$17="Distrato",$E167,0))),0,YEARFRAC(MAX($P$34*($B167+IF($R$17="Distrato",$I$38-1,0)),IF(AND($L$37=0,$P$34=0),"",$L$37-1),IF($R$17="Distrato",$E167,0)),MIN(AX$38,$D$19),$P$20))-SUM($P167:AW167)</f>
        <v>#VALUE!</v>
      </c>
      <c r="AY167" s="446" t="e">
        <f>IF(OR($B167="",MIN(AY$38,$D$19)&lt;MAX($P$34*($B167+IF($R$17="Distrato",$I$38-1,0)),IF(AND($L$37=0,$P$34=0),"",$L$37-1),IF($R$17="Distrato",$E167,0))),0,YEARFRAC(MAX($P$34*($B167+IF($R$17="Distrato",$I$38-1,0)),IF(AND($L$37=0,$P$34=0),"",$L$37-1),IF($R$17="Distrato",$E167,0)),MIN(AY$38,$D$19),$P$20))-SUM($P167:AX167)</f>
        <v>#VALUE!</v>
      </c>
      <c r="AZ167" s="446" t="e">
        <f>IF(OR($B167="",MIN(AZ$38,$D$19)&lt;MAX($P$34*($B167+IF($R$17="Distrato",$I$38-1,0)),IF(AND($L$37=0,$P$34=0),"",$L$37-1),IF($R$17="Distrato",$E167,0))),0,YEARFRAC(MAX($P$34*($B167+IF($R$17="Distrato",$I$38-1,0)),IF(AND($L$37=0,$P$34=0),"",$L$37-1),IF($R$17="Distrato",$E167,0)),MIN(AZ$38,$D$19),$P$20))-SUM($P167:AY167)</f>
        <v>#VALUE!</v>
      </c>
      <c r="BA167" s="446" t="e">
        <f>IF(OR($B167="",MIN(BA$38,$D$19)&lt;MAX($P$34*($B167+IF($R$17="Distrato",$I$38-1,0)),IF(AND($L$37=0,$P$34=0),"",$L$37-1),IF($R$17="Distrato",$E167,0))),0,YEARFRAC(MAX($P$34*($B167+IF($R$17="Distrato",$I$38-1,0)),IF(AND($L$37=0,$P$34=0),"",$L$37-1),IF($R$17="Distrato",$E167,0)),MIN(BA$38,$D$19),$P$20))-SUM($P167:AZ167)</f>
        <v>#VALUE!</v>
      </c>
      <c r="BB167" s="447"/>
      <c r="BF167" s="446">
        <f t="shared" si="21"/>
        <v>0</v>
      </c>
      <c r="BG167" s="446">
        <f>IF($E167=0,0,IF(MIN(BG$38,$E167)&lt;MAX($P$34*($B167+$I$38-1),IF(AND($L$37=0,$P$34=0),"",$L$37-1)),0,YEARFRAC(MAX($P$34*($B167+$I$38-1),IF(AND($L$37=0,$P$34=0),"",$L$37-1)),MIN(BG$38,$E167),$P$20))-SUM($BF167:BF167))</f>
        <v>0</v>
      </c>
      <c r="BH167" s="446">
        <f>IF($E167=0,0,IF(MIN(BH$38,$E167)&lt;MAX($P$34*($B167+$I$38-1),IF(AND($L$37=0,$P$34=0),"",$L$37-1)),0,YEARFRAC(MAX($P$34*($B167+$I$38-1),IF(AND($L$37=0,$P$34=0),"",$L$37-1)),MIN(BH$38,$E167),$P$20))-SUM($BF167:BG167))</f>
        <v>0</v>
      </c>
      <c r="BI167" s="446">
        <f>IF($E167=0,0,IF(MIN(BI$38,$E167)&lt;MAX($P$34*($B167+$I$38-1),IF(AND($L$37=0,$P$34=0),"",$L$37-1)),0,YEARFRAC(MAX($P$34*($B167+$I$38-1),IF(AND($L$37=0,$P$34=0),"",$L$37-1)),MIN(BI$38,$E167),$P$20))-SUM($BF167:BH167))</f>
        <v>0</v>
      </c>
      <c r="BJ167" s="446">
        <f>IF($E167=0,0,IF(MIN(BJ$38,$E167)&lt;MAX($P$34*($B167+$I$38-1),IF(AND($L$37=0,$P$34=0),"",$L$37-1)),0,YEARFRAC(MAX($P$34*($B167+$I$38-1),IF(AND($L$37=0,$P$34=0),"",$L$37-1)),MIN(BJ$38,$E167),$P$20))-SUM($BF167:BI167))</f>
        <v>0</v>
      </c>
      <c r="BK167" s="446">
        <f>IF($E167=0,0,IF(MIN(BK$38,$E167)&lt;MAX($P$34*($B167+$I$38-1),IF(AND($L$37=0,$P$34=0),"",$L$37-1)),0,YEARFRAC(MAX($P$34*($B167+$I$38-1),IF(AND($L$37=0,$P$34=0),"",$L$37-1)),MIN(BK$38,$E167),$P$20))-SUM($BF167:BJ167))</f>
        <v>0</v>
      </c>
      <c r="BL167" s="446">
        <f>IF($E167=0,0,IF(MIN(BL$38,$E167)&lt;MAX($P$34*($B167+$I$38-1),IF(AND($L$37=0,$P$34=0),"",$L$37-1)),0,YEARFRAC(MAX($P$34*($B167+$I$38-1),IF(AND($L$37=0,$P$34=0),"",$L$37-1)),MIN(BL$38,$E167),$P$20))-SUM($BF167:BK167))</f>
        <v>0</v>
      </c>
      <c r="BM167" s="446">
        <f>IF($E167=0,0,IF(MIN(BM$38,$E167)&lt;MAX($P$34*($B167+$I$38-1),IF(AND($L$37=0,$P$34=0),"",$L$37-1)),0,YEARFRAC(MAX($P$34*($B167+$I$38-1),IF(AND($L$37=0,$P$34=0),"",$L$37-1)),MIN(BM$38,$E167),$P$20))-SUM($BF167:BL167))</f>
        <v>0</v>
      </c>
      <c r="BN167" s="446">
        <f>IF($E167=0,0,IF(MIN(BN$38,$E167)&lt;MAX($P$34*($B167+$I$38-1),IF(AND($L$37=0,$P$34=0),"",$L$37-1)),0,YEARFRAC(MAX($P$34*($B167+$I$38-1),IF(AND($L$37=0,$P$34=0),"",$L$37-1)),MIN(BN$38,$E167),$P$20))-SUM($BF167:BM167))</f>
        <v>0</v>
      </c>
      <c r="BO167" s="446">
        <f>IF($E167=0,0,IF(MIN(BO$38,$E167)&lt;MAX($P$34*($B167+$I$38-1),IF(AND($L$37=0,$P$34=0),"",$L$37-1)),0,YEARFRAC(MAX($P$34*($B167+$I$38-1),IF(AND($L$37=0,$P$34=0),"",$L$37-1)),MIN(BO$38,$E167),$P$20))-SUM($BF167:BN167))</f>
        <v>0</v>
      </c>
      <c r="BP167" s="446">
        <f>IF($E167=0,0,IF(MIN(BP$38,$E167)&lt;MAX($P$34*($B167+$I$38-1),IF(AND($L$37=0,$P$34=0),"",$L$37-1)),0,YEARFRAC(MAX($P$34*($B167+$I$38-1),IF(AND($L$37=0,$P$34=0),"",$L$37-1)),MIN(BP$38,$E167),$P$20))-SUM($BF167:BO167))</f>
        <v>0</v>
      </c>
      <c r="BQ167" s="446">
        <f>IF($E167=0,0,IF(MIN(BQ$38,$E167)&lt;MAX($P$34*($B167+$I$38-1),IF(AND($L$37=0,$P$34=0),"",$L$37-1)),0,YEARFRAC(MAX($P$34*($B167+$I$38-1),IF(AND($L$37=0,$P$34=0),"",$L$37-1)),MIN(BQ$38,$E167),$P$20))-SUM($BF167:BP167))</f>
        <v>0</v>
      </c>
      <c r="BR167" s="446">
        <f>IF($E167=0,0,IF(MIN(BR$38,$E167)&lt;MAX($P$34*($B167+$I$38-1),IF(AND($L$37=0,$P$34=0),"",$L$37-1)),0,YEARFRAC(MAX($P$34*($B167+$I$38-1),IF(AND($L$37=0,$P$34=0),"",$L$37-1)),MIN(BR$38,$E167),$P$20))-SUM($BF167:BQ167))</f>
        <v>0</v>
      </c>
      <c r="BS167" s="446">
        <f>IF($E167=0,0,IF(MIN(BS$38,$E167)&lt;MAX($P$34*($B167+$I$38-1),IF(AND($L$37=0,$P$34=0),"",$L$37-1)),0,YEARFRAC(MAX($P$34*($B167+$I$38-1),IF(AND($L$37=0,$P$34=0),"",$L$37-1)),MIN(BS$38,$E167),$P$20))-SUM($BF167:BR167))</f>
        <v>0</v>
      </c>
      <c r="BT167" s="446">
        <f>IF($E167=0,0,IF(MIN(BT$38,$E167)&lt;MAX($P$34*($B167+$I$38-1),IF(AND($L$37=0,$P$34=0),"",$L$37-1)),0,YEARFRAC(MAX($P$34*($B167+$I$38-1),IF(AND($L$37=0,$P$34=0),"",$L$37-1)),MIN(BT$38,$E167),$P$20))-SUM($BF167:BS167))</f>
        <v>0</v>
      </c>
      <c r="BU167" s="446">
        <f>IF($E167=0,0,IF(MIN(BU$38,$E167)&lt;MAX($P$34*($B167+$I$38-1),IF(AND($L$37=0,$P$34=0),"",$L$37-1)),0,YEARFRAC(MAX($P$34*($B167+$I$38-1),IF(AND($L$37=0,$P$34=0),"",$L$37-1)),MIN(BU$38,$E167),$P$20))-SUM($BF167:BT167))</f>
        <v>0</v>
      </c>
      <c r="BV167" s="446">
        <f>IF($E167=0,0,IF(MIN(BV$38,$E167)&lt;MAX($P$34*($B167+$I$38-1),IF(AND($L$37=0,$P$34=0),"",$L$37-1)),0,YEARFRAC(MAX($P$34*($B167+$I$38-1),IF(AND($L$37=0,$P$34=0),"",$L$37-1)),MIN(BV$38,$E167),$P$20))-SUM($BF167:BU167))</f>
        <v>0</v>
      </c>
      <c r="BW167" s="446">
        <f>IF($E167=0,0,IF(MIN(BW$38,$E167)&lt;MAX($P$34*($B167+$I$38-1),IF(AND($L$37=0,$P$34=0),"",$L$37-1)),0,YEARFRAC(MAX($P$34*($B167+$I$38-1),IF(AND($L$37=0,$P$34=0),"",$L$37-1)),MIN(BW$38,$E167),$P$20))-SUM($BF167:BV167))</f>
        <v>0</v>
      </c>
      <c r="BX167" s="446">
        <f>IF($E167=0,0,IF(MIN(BX$38,$E167)&lt;MAX($P$34*($B167+$I$38-1),IF(AND($L$37=0,$P$34=0),"",$L$37-1)),0,YEARFRAC(MAX($P$34*($B167+$I$38-1),IF(AND($L$37=0,$P$34=0),"",$L$37-1)),MIN(BX$38,$E167),$P$20))-SUM($BF167:BW167))</f>
        <v>0</v>
      </c>
      <c r="BY167" s="446">
        <f>IF($E167=0,0,IF(MIN(BY$38,$E167)&lt;MAX($P$34*($B167+$I$38-1),IF(AND($L$37=0,$P$34=0),"",$L$37-1)),0,YEARFRAC(MAX($P$34*($B167+$I$38-1),IF(AND($L$37=0,$P$34=0),"",$L$37-1)),MIN(BY$38,$E167),$P$20))-SUM($BF167:BX167))</f>
        <v>0</v>
      </c>
      <c r="BZ167" s="446">
        <f>IF($E167=0,0,IF(MIN(BZ$38,$E167)&lt;MAX($P$34*($B167+$I$38-1),IF(AND($L$37=0,$P$34=0),"",$L$37-1)),0,YEARFRAC(MAX($P$34*($B167+$I$38-1),IF(AND($L$37=0,$P$34=0),"",$L$37-1)),MIN(BZ$38,$E167),$P$20))-SUM($BF167:BY167))</f>
        <v>0</v>
      </c>
      <c r="CA167" s="446">
        <f>IF($E167=0,0,IF(MIN(CA$38,$E167)&lt;MAX($P$34*($B167+$I$38-1),IF(AND($L$37=0,$P$34=0),"",$L$37-1)),0,YEARFRAC(MAX($P$34*($B167+$I$38-1),IF(AND($L$37=0,$P$34=0),"",$L$37-1)),MIN(CA$38,$E167),$P$20))-SUM($BF167:BZ167))</f>
        <v>0</v>
      </c>
      <c r="CB167" s="446">
        <f>IF($E167=0,0,IF(MIN(CB$38,$E167)&lt;MAX($P$34*($B167+$I$38-1),IF(AND($L$37=0,$P$34=0),"",$L$37-1)),0,YEARFRAC(MAX($P$34*($B167+$I$38-1),IF(AND($L$37=0,$P$34=0),"",$L$37-1)),MIN(CB$38,$E167),$P$20))-SUM($BF167:CA167))</f>
        <v>0</v>
      </c>
      <c r="CC167" s="446">
        <f>IF($E167=0,0,IF(MIN(CC$38,$E167)&lt;MAX($P$34*($B167+$I$38-1),IF(AND($L$37=0,$P$34=0),"",$L$37-1)),0,YEARFRAC(MAX($P$34*($B167+$I$38-1),IF(AND($L$37=0,$P$34=0),"",$L$37-1)),MIN(CC$38,$E167),$P$20))-SUM($BF167:CB167))</f>
        <v>0</v>
      </c>
      <c r="CD167" s="446">
        <f>IF($E167=0,0,IF(MIN(CD$38,$E167)&lt;MAX($P$34*($B167+$I$38-1),IF(AND($L$37=0,$P$34=0),"",$L$37-1)),0,YEARFRAC(MAX($P$34*($B167+$I$38-1),IF(AND($L$37=0,$P$34=0),"",$L$37-1)),MIN(CD$38,$E167),$P$20))-SUM($BF167:CC167))</f>
        <v>0</v>
      </c>
      <c r="CE167" s="446">
        <f>IF($E167=0,0,IF(MIN(CE$38,$E167)&lt;MAX($P$34*($B167+$I$38-1),IF(AND($L$37=0,$P$34=0),"",$L$37-1)),0,YEARFRAC(MAX($P$34*($B167+$I$38-1),IF(AND($L$37=0,$P$34=0),"",$L$37-1)),MIN(CE$38,$E167),$P$20))-SUM($BF167:CD167))</f>
        <v>0</v>
      </c>
      <c r="CF167" s="446">
        <f>IF($E167=0,0,IF(MIN(CF$38,$E167)&lt;MAX($P$34*($B167+$I$38-1),IF(AND($L$37=0,$P$34=0),"",$L$37-1)),0,YEARFRAC(MAX($P$34*($B167+$I$38-1),IF(AND($L$37=0,$P$34=0),"",$L$37-1)),MIN(CF$38,$E167),$P$20))-SUM($BF167:CE167))</f>
        <v>0</v>
      </c>
      <c r="CG167" s="446">
        <f>IF($E167=0,0,IF(MIN(CG$38,$E167)&lt;MAX($P$34*($B167+$I$38-1),IF(AND($L$37=0,$P$34=0),"",$L$37-1)),0,YEARFRAC(MAX($P$34*($B167+$I$38-1),IF(AND($L$37=0,$P$34=0),"",$L$37-1)),MIN(CG$38,$E167),$P$20))-SUM($BF167:CF167))</f>
        <v>0</v>
      </c>
      <c r="CH167" s="446">
        <f>IF($E167=0,0,IF(MIN(CH$38,$E167)&lt;MAX($P$34*($B167+$I$38-1),IF(AND($L$37=0,$P$34=0),"",$L$37-1)),0,YEARFRAC(MAX($P$34*($B167+$I$38-1),IF(AND($L$37=0,$P$34=0),"",$L$37-1)),MIN(CH$38,$E167),$P$20))-SUM($BF167:CG167))</f>
        <v>0</v>
      </c>
      <c r="CI167" s="446">
        <f>IF($E167=0,0,IF(MIN(CI$38,$E167)&lt;MAX($P$34*($B167+$I$38-1),IF(AND($L$37=0,$P$34=0),"",$L$37-1)),0,YEARFRAC(MAX($P$34*($B167+$I$38-1),IF(AND($L$37=0,$P$34=0),"",$L$37-1)),MIN(CI$38,$E167),$P$20))-SUM($BF167:CH167))</f>
        <v>0</v>
      </c>
      <c r="CJ167" s="446">
        <f>IF($E167=0,0,IF(MIN(CJ$38,$E167)&lt;MAX($P$34*($B167+$I$38-1),IF(AND($L$37=0,$P$34=0),"",$L$37-1)),0,YEARFRAC(MAX($P$34*($B167+$I$38-1),IF(AND($L$37=0,$P$34=0),"",$L$37-1)),MIN(CJ$38,$E167),$P$20))-SUM($BF167:CI167))</f>
        <v>0</v>
      </c>
      <c r="CK167" s="446">
        <f>IF($E167=0,0,IF(MIN(CK$38,$E167)&lt;MAX($P$34*($B167+$I$38-1),IF(AND($L$37=0,$P$34=0),"",$L$37-1)),0,YEARFRAC(MAX($P$34*($B167+$I$38-1),IF(AND($L$37=0,$P$34=0),"",$L$37-1)),MIN(CK$38,$E167),$P$20))-SUM($BF167:CJ167))</f>
        <v>0</v>
      </c>
      <c r="CL167" s="446">
        <f>IF($E167=0,0,IF(MIN(CL$38,$E167)&lt;MAX($P$34*($B167+$I$38-1),IF(AND($L$37=0,$P$34=0),"",$L$37-1)),0,YEARFRAC(MAX($P$34*($B167+$I$38-1),IF(AND($L$37=0,$P$34=0),"",$L$37-1)),MIN(CL$38,$E167),$P$20))-SUM($BF167:CK167))</f>
        <v>0</v>
      </c>
      <c r="CM167" s="446">
        <f>IF($E167=0,0,IF(MIN(CM$38,$E167)&lt;MAX($P$34*($B167+$I$38-1),IF(AND($L$37=0,$P$34=0),"",$L$37-1)),0,YEARFRAC(MAX($P$34*($B167+$I$38-1),IF(AND($L$37=0,$P$34=0),"",$L$37-1)),MIN(CM$38,$E167),$P$20))-SUM($BF167:CL167))</f>
        <v>0</v>
      </c>
      <c r="CN167" s="446">
        <f>IF($E167=0,0,IF(MIN(CN$38,$E167)&lt;MAX($P$34*($B167+$I$38-1),IF(AND($L$37=0,$P$34=0),"",$L$37-1)),0,YEARFRAC(MAX($P$34*($B167+$I$38-1),IF(AND($L$37=0,$P$34=0),"",$L$37-1)),MIN(CN$38,$E167),$P$20))-SUM($BF167:CM167))</f>
        <v>0</v>
      </c>
      <c r="CO167" s="446">
        <f>IF($E167=0,0,IF(MIN(CO$38,$E167)&lt;MAX($P$34*($B167+$I$38-1),IF(AND($L$37=0,$P$34=0),"",$L$37-1)),0,YEARFRAC(MAX($P$34*($B167+$I$38-1),IF(AND($L$37=0,$P$34=0),"",$L$37-1)),MIN(CO$38,$E167),$P$20))-SUM($BF167:CN167))</f>
        <v>0</v>
      </c>
      <c r="CP167" s="446">
        <f>IF($E167=0,0,IF(MIN(CP$38,$E167)&lt;MAX($P$34*($B167+$I$38-1),IF(AND($L$37=0,$P$34=0),"",$L$37-1)),0,YEARFRAC(MAX($P$34*($B167+$I$38-1),IF(AND($L$37=0,$P$34=0),"",$L$37-1)),MIN(CP$38,$E167),$P$20))-SUM($BF167:CO167))</f>
        <v>0</v>
      </c>
      <c r="CQ167" s="446">
        <f>IF($E167=0,0,IF(MIN(CQ$38,$E167)&lt;MAX($P$34*($B167+$I$38-1),IF(AND($L$37=0,$P$34=0),"",$L$37-1)),0,YEARFRAC(MAX($P$34*($B167+$I$38-1),IF(AND($L$37=0,$P$34=0),"",$L$37-1)),MIN(CQ$38,$E167),$P$20))-SUM($BF167:CP167))</f>
        <v>0</v>
      </c>
    </row>
    <row r="168" spans="1:95" s="446" customFormat="1" ht="11.25" hidden="1" customHeight="1" x14ac:dyDescent="0.2">
      <c r="A168" s="152"/>
      <c r="B168" s="153" t="str">
        <f t="shared" si="26"/>
        <v/>
      </c>
      <c r="C168" s="29" t="str">
        <f>IF(B168="","",IF($L$35="SELIC - TRIBUTOS",VLOOKUP(DATE(YEAR($D$19),MONTH($D$19)-1,1),ÍNDICES!$A:$DE,HLOOKUP($BL$25,ÍNDICES!$B$3:$T$4,2)+11)-VLOOKUP(B168,ÍNDICES!$A:$DE,HLOOKUP($BL$25,ÍNDICES!$B$3:$T$4,2)+11)+1%,IF(C$38=$W$26,$J$35,IF(ISERROR(IF(B168&gt;$D$19,1,VLOOKUP(DATE(YEAR(B168),MONTH(B168)+IF($C$35=$S$23,1,0),1),ÍNDICES!$A:$DE,$Z$35+1))),"",IF(B168&gt;$D$19,1,VLOOKUP(DATE(YEAR(B168),MONTH(B168)+IF($C$35=$S$23,1,0),1),ÍNDICES!$A:$DE,$Z$35+1))))))</f>
        <v/>
      </c>
      <c r="D168" s="154" t="str">
        <f>IF(ISERROR(IF(OR($D$38=$Y$27,$B168=""),"",VLOOKUP(B168,ÍNDICES!A:DE,AF$35+1))),"",IF(OR($D$38=$Y$27,$B168=""),"",VLOOKUP(B168,ÍNDICES!A:DE,AF$35+1)))</f>
        <v/>
      </c>
      <c r="E168" s="153"/>
      <c r="F168" s="29" t="str">
        <f>IF(E168="","",IF($L$35="SELIC - TRIBUTOS",VLOOKUP(DATE(YEAR($D$19),MONTH($D$19)-1,1),ÍNDICES!$A:$DE,HLOOKUP($BL$25,ÍNDICES!$B$3:$T$4,2)+11)-VLOOKUP(E168,ÍNDICES!$A:$DE,HLOOKUP($BL$25,ÍNDICES!$B$3:$T$4,2)+11)+1%,IF(F$38=$W$26,$J$35,IF(ISERROR(IF(E168&gt;$D$19,1,VLOOKUP(DATE(YEAR(E168),MONTH(E168)+IF($C$35=$S$23,1,0),1),ÍNDICES!$A:$DE,$Z$35+1))),"",IF(E168&gt;$D$19,1,VLOOKUP(DATE(YEAR(E168),MONTH(E168)+IF($C$35=$S$23,1,0),1),ÍNDICES!$A:$DE,$Z$35+1))))))</f>
        <v/>
      </c>
      <c r="G168" s="155"/>
      <c r="H168" s="156" t="str">
        <f t="shared" si="22"/>
        <v/>
      </c>
      <c r="I168" s="29" t="str">
        <f t="shared" ref="I168:I231" si="27">IF(OR($L$35=$BL$25,B168=""),"",SUM(BF168:CF168))</f>
        <v/>
      </c>
      <c r="J168" s="5">
        <f t="shared" ref="J168:J231" si="28">IF(OR($L$35="SELIC - TRIBUTOS",B168=""),0,IF(D168="",0,D168)/C168*J$35*SUMPRODUCT($BF$37:$DD$37,$BF168:$DD168))</f>
        <v>0</v>
      </c>
      <c r="K168" s="20">
        <f t="shared" ref="K168:K231" ca="1" si="29">IF($L$35="SELIC - TRIBUTOS",$K$38*(-IFERROR(D168*(1+C168),0)-IF($R$17="Distrato",IFERROR(G168*(1+F168),0),0)),$K$38*(IFERROR(D168/C168*$J$35,0)-IF($R$17="Distrato",IFERROR(G168/F168*$J$35,0),0)))</f>
        <v>0</v>
      </c>
      <c r="L168" s="5">
        <f t="shared" ref="L168:L231" ca="1" si="30">IF(L$35="SELIC - TRIBUTOS",0,IFERROR(K168*SUMPRODUCT($P$37:$BA$37,$P168:$BA168),0))</f>
        <v>0</v>
      </c>
      <c r="M168" s="64">
        <f t="shared" si="23"/>
        <v>0</v>
      </c>
      <c r="N168" s="61">
        <f t="shared" ca="1" si="24"/>
        <v>0</v>
      </c>
      <c r="O168" s="5">
        <f t="shared" ca="1" si="25"/>
        <v>0</v>
      </c>
      <c r="P168" s="446" t="e">
        <f t="shared" ref="P168:P231" si="31">IF(OR($B168="",MIN(P$38,$D$19)&lt;MAX($P$34*($B168+IF($R$17="Distrato",$I$38-1,0)),IF(AND($L$37=0,$P$34=0),"",$L$37-1),IF($R$17="Distrato",$E168,0))),0,YEARFRAC(MAX($P$34*($B168+IF($R$17="Distrato",$I$38-1,0)),IF(AND($L$37=0,$P$34=0),"",$L$37-1),IF($R$17="Distrato",$E168,0)),MIN(P$38,$D$19),$P$20))</f>
        <v>#VALUE!</v>
      </c>
      <c r="Q168" s="446" t="e">
        <f>IF(OR($B168="",MIN(Q$38,$D$19)&lt;MAX($P$34*($B168+IF($R$17="Distrato",$I$38-1,0)),IF(AND($L$37=0,$P$34=0),"",$L$37-1),IF($R$17="Distrato",$E168,0))),0,YEARFRAC(MAX($P$34*($B168+IF($R$17="Distrato",$I$38-1,0)),IF(AND($L$37=0,$P$34=0),"",$L$37-1),IF($R$17="Distrato",$E168,0)),MIN(Q$38,$D$19),$P$20))-SUM($P168:P168)</f>
        <v>#VALUE!</v>
      </c>
      <c r="R168" s="446" t="e">
        <f>IF(OR($B168="",MIN(R$38,$D$19)&lt;MAX($P$34*($B168+IF($R$17="Distrato",$I$38-1,0)),IF(AND($L$37=0,$P$34=0),"",$L$37-1),IF($R$17="Distrato",$E168,0))),0,YEARFRAC(MAX($P$34*($B168+IF($R$17="Distrato",$I$38-1,0)),IF(AND($L$37=0,$P$34=0),"",$L$37-1),IF($R$17="Distrato",$E168,0)),MIN(R$38,$D$19),$P$20))-SUM($P168:Q168)</f>
        <v>#VALUE!</v>
      </c>
      <c r="S168" s="446" t="e">
        <f>IF(OR($B168="",MIN(S$38,$D$19)&lt;MAX($P$34*($B168+IF($R$17="Distrato",$I$38-1,0)),IF(AND($L$37=0,$P$34=0),"",$L$37-1),IF($R$17="Distrato",$E168,0))),0,YEARFRAC(MAX($P$34*($B168+IF($R$17="Distrato",$I$38-1,0)),IF(AND($L$37=0,$P$34=0),"",$L$37-1),IF($R$17="Distrato",$E168,0)),MIN(S$38,$D$19),$P$20))-SUM($P168:R168)</f>
        <v>#VALUE!</v>
      </c>
      <c r="T168" s="446" t="e">
        <f>IF(OR($B168="",MIN(T$38,$D$19)&lt;MAX($P$34*($B168+IF($R$17="Distrato",$I$38-1,0)),IF(AND($L$37=0,$P$34=0),"",$L$37-1),IF($R$17="Distrato",$E168,0))),0,YEARFRAC(MAX($P$34*($B168+IF($R$17="Distrato",$I$38-1,0)),IF(AND($L$37=0,$P$34=0),"",$L$37-1),IF($R$17="Distrato",$E168,0)),MIN(T$38,$D$19),$P$20))-SUM($P168:S168)</f>
        <v>#VALUE!</v>
      </c>
      <c r="U168" s="446" t="e">
        <f>IF(OR($B168="",MIN(U$38,$D$19)&lt;MAX($P$34*($B168+IF($R$17="Distrato",$I$38-1,0)),IF(AND($L$37=0,$P$34=0),"",$L$37-1),IF($R$17="Distrato",$E168,0))),0,YEARFRAC(MAX($P$34*($B168+IF($R$17="Distrato",$I$38-1,0)),IF(AND($L$37=0,$P$34=0),"",$L$37-1),IF($R$17="Distrato",$E168,0)),MIN(U$38,$D$19),$P$20))-SUM($P168:T168)</f>
        <v>#VALUE!</v>
      </c>
      <c r="V168" s="446" t="e">
        <f>IF(OR($B168="",MIN(V$38,$D$19)&lt;MAX($P$34*($B168+IF($R$17="Distrato",$I$38-1,0)),IF(AND($L$37=0,$P$34=0),"",$L$37-1),IF($R$17="Distrato",$E168,0))),0,YEARFRAC(MAX($P$34*($B168+IF($R$17="Distrato",$I$38-1,0)),IF(AND($L$37=0,$P$34=0),"",$L$37-1),IF($R$17="Distrato",$E168,0)),MIN(V$38,$D$19),$P$20))-SUM($P168:U168)</f>
        <v>#VALUE!</v>
      </c>
      <c r="W168" s="446" t="e">
        <f>IF(OR($B168="",MIN(W$38,$D$19)&lt;MAX($P$34*($B168+IF($R$17="Distrato",$I$38-1,0)),IF(AND($L$37=0,$P$34=0),"",$L$37-1),IF($R$17="Distrato",$E168,0))),0,YEARFRAC(MAX($P$34*($B168+IF($R$17="Distrato",$I$38-1,0)),IF(AND($L$37=0,$P$34=0),"",$L$37-1),IF($R$17="Distrato",$E168,0)),MIN(W$38,$D$19),$P$20))-SUM($P168:V168)</f>
        <v>#VALUE!</v>
      </c>
      <c r="X168" s="446" t="e">
        <f>IF(OR($B168="",MIN(X$38,$D$19)&lt;MAX($P$34*($B168+IF($R$17="Distrato",$I$38-1,0)),IF(AND($L$37=0,$P$34=0),"",$L$37-1),IF($R$17="Distrato",$E168,0))),0,YEARFRAC(MAX($P$34*($B168+IF($R$17="Distrato",$I$38-1,0)),IF(AND($L$37=0,$P$34=0),"",$L$37-1),IF($R$17="Distrato",$E168,0)),MIN(X$38,$D$19),$P$20))-SUM($P168:W168)</f>
        <v>#VALUE!</v>
      </c>
      <c r="Y168" s="446" t="e">
        <f>IF(OR($B168="",MIN(Y$38,$D$19)&lt;MAX($P$34*($B168+IF($R$17="Distrato",$I$38-1,0)),IF(AND($L$37=0,$P$34=0),"",$L$37-1),IF($R$17="Distrato",$E168,0))),0,YEARFRAC(MAX($P$34*($B168+IF($R$17="Distrato",$I$38-1,0)),IF(AND($L$37=0,$P$34=0),"",$L$37-1),IF($R$17="Distrato",$E168,0)),MIN(Y$38,$D$19),$P$20))-SUM($P168:X168)</f>
        <v>#VALUE!</v>
      </c>
      <c r="Z168" s="446" t="e">
        <f>IF(OR($B168="",MIN(Z$38,$D$19)&lt;MAX($P$34*($B168+IF($R$17="Distrato",$I$38-1,0)),IF(AND($L$37=0,$P$34=0),"",$L$37-1),IF($R$17="Distrato",$E168,0))),0,YEARFRAC(MAX($P$34*($B168+IF($R$17="Distrato",$I$38-1,0)),IF(AND($L$37=0,$P$34=0),"",$L$37-1),IF($R$17="Distrato",$E168,0)),MIN(Z$38,$D$19),$P$20))-SUM($P168:Y168)</f>
        <v>#VALUE!</v>
      </c>
      <c r="AA168" s="446" t="e">
        <f>IF(OR($B168="",MIN(AA$38,$D$19)&lt;MAX($P$34*($B168+IF($R$17="Distrato",$I$38-1,0)),IF(AND($L$37=0,$P$34=0),"",$L$37-1),IF($R$17="Distrato",$E168,0))),0,YEARFRAC(MAX($P$34*($B168+IF($R$17="Distrato",$I$38-1,0)),IF(AND($L$37=0,$P$34=0),"",$L$37-1),IF($R$17="Distrato",$E168,0)),MIN(AA$38,$D$19),$P$20))-SUM($P168:Z168)</f>
        <v>#VALUE!</v>
      </c>
      <c r="AB168" s="446" t="e">
        <f>IF(OR($B168="",MIN(AB$38,$D$19)&lt;MAX($P$34*($B168+IF($R$17="Distrato",$I$38-1,0)),IF(AND($L$37=0,$P$34=0),"",$L$37-1),IF($R$17="Distrato",$E168,0))),0,YEARFRAC(MAX($P$34*($B168+IF($R$17="Distrato",$I$38-1,0)),IF(AND($L$37=0,$P$34=0),"",$L$37-1),IF($R$17="Distrato",$E168,0)),MIN(AB$38,$D$19),$P$20))-SUM($P168:AA168)</f>
        <v>#VALUE!</v>
      </c>
      <c r="AC168" s="446" t="e">
        <f>IF(OR($B168="",MIN(AC$38,$D$19)&lt;MAX($P$34*($B168+IF($R$17="Distrato",$I$38-1,0)),IF(AND($L$37=0,$P$34=0),"",$L$37-1),IF($R$17="Distrato",$E168,0))),0,YEARFRAC(MAX($P$34*($B168+IF($R$17="Distrato",$I$38-1,0)),IF(AND($L$37=0,$P$34=0),"",$L$37-1),IF($R$17="Distrato",$E168,0)),MIN(AC$38,$D$19),$P$20))-SUM($P168:AB168)</f>
        <v>#VALUE!</v>
      </c>
      <c r="AD168" s="446" t="e">
        <f>IF(OR($B168="",MIN(AD$38,$D$19)&lt;MAX($P$34*($B168+IF($R$17="Distrato",$I$38-1,0)),IF(AND($L$37=0,$P$34=0),"",$L$37-1),IF($R$17="Distrato",$E168,0))),0,YEARFRAC(MAX($P$34*($B168+IF($R$17="Distrato",$I$38-1,0)),IF(AND($L$37=0,$P$34=0),"",$L$37-1),IF($R$17="Distrato",$E168,0)),MIN(AD$38,$D$19),$P$20))-SUM($P168:AC168)</f>
        <v>#VALUE!</v>
      </c>
      <c r="AE168" s="446" t="e">
        <f>IF(OR($B168="",MIN(AE$38,$D$19)&lt;MAX($P$34*($B168+IF($R$17="Distrato",$I$38-1,0)),IF(AND($L$37=0,$P$34=0),"",$L$37-1),IF($R$17="Distrato",$E168,0))),0,YEARFRAC(MAX($P$34*($B168+IF($R$17="Distrato",$I$38-1,0)),IF(AND($L$37=0,$P$34=0),"",$L$37-1),IF($R$17="Distrato",$E168,0)),MIN(AE$38,$D$19),$P$20))-SUM($P168:AD168)</f>
        <v>#VALUE!</v>
      </c>
      <c r="AF168" s="446" t="e">
        <f>IF(OR($B168="",MIN(AF$38,$D$19)&lt;MAX($P$34*($B168+IF($R$17="Distrato",$I$38-1,0)),IF(AND($L$37=0,$P$34=0),"",$L$37-1),IF($R$17="Distrato",$E168,0))),0,YEARFRAC(MAX($P$34*($B168+IF($R$17="Distrato",$I$38-1,0)),IF(AND($L$37=0,$P$34=0),"",$L$37-1),IF($R$17="Distrato",$E168,0)),MIN(AF$38,$D$19),$P$20))-SUM($P168:AE168)</f>
        <v>#VALUE!</v>
      </c>
      <c r="AG168" s="446" t="e">
        <f>IF(OR($B168="",MIN(AG$38,$D$19)&lt;MAX($P$34*($B168+IF($R$17="Distrato",$I$38-1,0)),IF(AND($L$37=0,$P$34=0),"",$L$37-1),IF($R$17="Distrato",$E168,0))),0,YEARFRAC(MAX($P$34*($B168+IF($R$17="Distrato",$I$38-1,0)),IF(AND($L$37=0,$P$34=0),"",$L$37-1),IF($R$17="Distrato",$E168,0)),MIN(AG$38,$D$19),$P$20))-SUM($P168:AF168)</f>
        <v>#VALUE!</v>
      </c>
      <c r="AH168" s="446" t="e">
        <f>IF(OR($B168="",MIN(AH$38,$D$19)&lt;MAX($P$34*($B168+IF($R$17="Distrato",$I$38-1,0)),IF(AND($L$37=0,$P$34=0),"",$L$37-1),IF($R$17="Distrato",$E168,0))),0,YEARFRAC(MAX($P$34*($B168+IF($R$17="Distrato",$I$38-1,0)),IF(AND($L$37=0,$P$34=0),"",$L$37-1),IF($R$17="Distrato",$E168,0)),MIN(AH$38,$D$19),$P$20))-SUM($P168:AG168)</f>
        <v>#VALUE!</v>
      </c>
      <c r="AI168" s="446" t="e">
        <f>IF(OR($B168="",MIN(AI$38,$D$19)&lt;MAX($P$34*($B168+IF($R$17="Distrato",$I$38-1,0)),IF(AND($L$37=0,$P$34=0),"",$L$37-1),IF($R$17="Distrato",$E168,0))),0,YEARFRAC(MAX($P$34*($B168+IF($R$17="Distrato",$I$38-1,0)),IF(AND($L$37=0,$P$34=0),"",$L$37-1),IF($R$17="Distrato",$E168,0)),MIN(AI$38,$D$19),$P$20))-SUM($P168:AH168)</f>
        <v>#VALUE!</v>
      </c>
      <c r="AJ168" s="446" t="e">
        <f>IF(OR($B168="",MIN(AJ$38,$D$19)&lt;MAX($P$34*($B168+IF($R$17="Distrato",$I$38-1,0)),IF(AND($L$37=0,$P$34=0),"",$L$37-1),IF($R$17="Distrato",$E168,0))),0,YEARFRAC(MAX($P$34*($B168+IF($R$17="Distrato",$I$38-1,0)),IF(AND($L$37=0,$P$34=0),"",$L$37-1),IF($R$17="Distrato",$E168,0)),MIN(AJ$38,$D$19),$P$20))-SUM($P168:AI168)</f>
        <v>#VALUE!</v>
      </c>
      <c r="AK168" s="446" t="e">
        <f>IF(OR($B168="",MIN(AK$38,$D$19)&lt;MAX($P$34*($B168+IF($R$17="Distrato",$I$38-1,0)),IF(AND($L$37=0,$P$34=0),"",$L$37-1),IF($R$17="Distrato",$E168,0))),0,YEARFRAC(MAX($P$34*($B168+IF($R$17="Distrato",$I$38-1,0)),IF(AND($L$37=0,$P$34=0),"",$L$37-1),IF($R$17="Distrato",$E168,0)),MIN(AK$38,$D$19),$P$20))-SUM($P168:AJ168)</f>
        <v>#VALUE!</v>
      </c>
      <c r="AL168" s="446" t="e">
        <f>IF(OR($B168="",MIN(AL$38,$D$19)&lt;MAX($P$34*($B168+IF($R$17="Distrato",$I$38-1,0)),IF(AND($L$37=0,$P$34=0),"",$L$37-1),IF($R$17="Distrato",$E168,0))),0,YEARFRAC(MAX($P$34*($B168+IF($R$17="Distrato",$I$38-1,0)),IF(AND($L$37=0,$P$34=0),"",$L$37-1),IF($R$17="Distrato",$E168,0)),MIN(AL$38,$D$19),$P$20))-SUM($P168:AK168)</f>
        <v>#VALUE!</v>
      </c>
      <c r="AM168" s="446" t="e">
        <f>IF(OR($B168="",MIN(AM$38,$D$19)&lt;MAX($P$34*($B168+IF($R$17="Distrato",$I$38-1,0)),IF(AND($L$37=0,$P$34=0),"",$L$37-1),IF($R$17="Distrato",$E168,0))),0,YEARFRAC(MAX($P$34*($B168+IF($R$17="Distrato",$I$38-1,0)),IF(AND($L$37=0,$P$34=0),"",$L$37-1),IF($R$17="Distrato",$E168,0)),MIN(AM$38,$D$19),$P$20))-SUM($P168:AL168)</f>
        <v>#VALUE!</v>
      </c>
      <c r="AN168" s="446" t="e">
        <f>IF(OR($B168="",MIN(AN$38,$D$19)&lt;MAX($P$34*($B168+IF($R$17="Distrato",$I$38-1,0)),IF(AND($L$37=0,$P$34=0),"",$L$37-1),IF($R$17="Distrato",$E168,0))),0,YEARFRAC(MAX($P$34*($B168+IF($R$17="Distrato",$I$38-1,0)),IF(AND($L$37=0,$P$34=0),"",$L$37-1),IF($R$17="Distrato",$E168,0)),MIN(AN$38,$D$19),$P$20))-SUM($P168:AM168)</f>
        <v>#VALUE!</v>
      </c>
      <c r="AO168" s="446" t="e">
        <f>IF(OR($B168="",MIN(AO$38,$D$19)&lt;MAX($P$34*($B168+IF($R$17="Distrato",$I$38-1,0)),IF(AND($L$37=0,$P$34=0),"",$L$37-1),IF($R$17="Distrato",$E168,0))),0,YEARFRAC(MAX($P$34*($B168+IF($R$17="Distrato",$I$38-1,0)),IF(AND($L$37=0,$P$34=0),"",$L$37-1),IF($R$17="Distrato",$E168,0)),MIN(AO$38,$D$19),$P$20))-SUM($P168:AN168)</f>
        <v>#VALUE!</v>
      </c>
      <c r="AP168" s="446" t="e">
        <f>IF(OR($B168="",MIN(AP$38,$D$19)&lt;MAX($P$34*($B168+IF($R$17="Distrato",$I$38-1,0)),IF(AND($L$37=0,$P$34=0),"",$L$37-1),IF($R$17="Distrato",$E168,0))),0,YEARFRAC(MAX($P$34*($B168+IF($R$17="Distrato",$I$38-1,0)),IF(AND($L$37=0,$P$34=0),"",$L$37-1),IF($R$17="Distrato",$E168,0)),MIN(AP$38,$D$19),$P$20))-SUM($P168:AO168)</f>
        <v>#VALUE!</v>
      </c>
      <c r="AQ168" s="446" t="e">
        <f>IF(OR($B168="",MIN(AQ$38,$D$19)&lt;MAX($P$34*($B168+IF($R$17="Distrato",$I$38-1,0)),IF(AND($L$37=0,$P$34=0),"",$L$37-1),IF($R$17="Distrato",$E168,0))),0,YEARFRAC(MAX($P$34*($B168+IF($R$17="Distrato",$I$38-1,0)),IF(AND($L$37=0,$P$34=0),"",$L$37-1),IF($R$17="Distrato",$E168,0)),MIN(AQ$38,$D$19),$P$20))-SUM($P168:AP168)</f>
        <v>#VALUE!</v>
      </c>
      <c r="AR168" s="446" t="e">
        <f>IF(OR($B168="",MIN(AR$38,$D$19)&lt;MAX($P$34*($B168+IF($R$17="Distrato",$I$38-1,0)),IF(AND($L$37=0,$P$34=0),"",$L$37-1),IF($R$17="Distrato",$E168,0))),0,YEARFRAC(MAX($P$34*($B168+IF($R$17="Distrato",$I$38-1,0)),IF(AND($L$37=0,$P$34=0),"",$L$37-1),IF($R$17="Distrato",$E168,0)),MIN(AR$38,$D$19),$P$20))-SUM($P168:AQ168)</f>
        <v>#VALUE!</v>
      </c>
      <c r="AS168" s="446" t="e">
        <f>IF(OR($B168="",MIN(AS$38,$D$19)&lt;MAX($P$34*($B168+IF($R$17="Distrato",$I$38-1,0)),IF(AND($L$37=0,$P$34=0),"",$L$37-1),IF($R$17="Distrato",$E168,0))),0,YEARFRAC(MAX($P$34*($B168+IF($R$17="Distrato",$I$38-1,0)),IF(AND($L$37=0,$P$34=0),"",$L$37-1),IF($R$17="Distrato",$E168,0)),MIN(AS$38,$D$19),$P$20))-SUM($P168:AR168)</f>
        <v>#VALUE!</v>
      </c>
      <c r="AT168" s="446" t="e">
        <f>IF(OR($B168="",MIN(AT$38,$D$19)&lt;MAX($P$34*($B168+IF($R$17="Distrato",$I$38-1,0)),IF(AND($L$37=0,$P$34=0),"",$L$37-1),IF($R$17="Distrato",$E168,0))),0,YEARFRAC(MAX($P$34*($B168+IF($R$17="Distrato",$I$38-1,0)),IF(AND($L$37=0,$P$34=0),"",$L$37-1),IF($R$17="Distrato",$E168,0)),MIN(AT$38,$D$19),$P$20))-SUM($P168:AS168)</f>
        <v>#VALUE!</v>
      </c>
      <c r="AU168" s="446" t="e">
        <f>IF(OR($B168="",MIN(AU$38,$D$19)&lt;MAX($P$34*($B168+IF($R$17="Distrato",$I$38-1,0)),IF(AND($L$37=0,$P$34=0),"",$L$37-1),IF($R$17="Distrato",$E168,0))),0,YEARFRAC(MAX($P$34*($B168+IF($R$17="Distrato",$I$38-1,0)),IF(AND($L$37=0,$P$34=0),"",$L$37-1),IF($R$17="Distrato",$E168,0)),MIN(AU$38,$D$19),$P$20))-SUM($P168:AT168)</f>
        <v>#VALUE!</v>
      </c>
      <c r="AV168" s="446" t="e">
        <f>IF(OR($B168="",MIN(AV$38,$D$19)&lt;MAX($P$34*($B168+IF($R$17="Distrato",$I$38-1,0)),IF(AND($L$37=0,$P$34=0),"",$L$37-1),IF($R$17="Distrato",$E168,0))),0,YEARFRAC(MAX($P$34*($B168+IF($R$17="Distrato",$I$38-1,0)),IF(AND($L$37=0,$P$34=0),"",$L$37-1),IF($R$17="Distrato",$E168,0)),MIN(AV$38,$D$19),$P$20))-SUM($P168:AU168)</f>
        <v>#VALUE!</v>
      </c>
      <c r="AW168" s="446" t="e">
        <f>IF(OR($B168="",MIN(AW$38,$D$19)&lt;MAX($P$34*($B168+IF($R$17="Distrato",$I$38-1,0)),IF(AND($L$37=0,$P$34=0),"",$L$37-1),IF($R$17="Distrato",$E168,0))),0,YEARFRAC(MAX($P$34*($B168+IF($R$17="Distrato",$I$38-1,0)),IF(AND($L$37=0,$P$34=0),"",$L$37-1),IF($R$17="Distrato",$E168,0)),MIN(AW$38,$D$19),$P$20))-SUM($P168:AV168)</f>
        <v>#VALUE!</v>
      </c>
      <c r="AX168" s="446" t="e">
        <f>IF(OR($B168="",MIN(AX$38,$D$19)&lt;MAX($P$34*($B168+IF($R$17="Distrato",$I$38-1,0)),IF(AND($L$37=0,$P$34=0),"",$L$37-1),IF($R$17="Distrato",$E168,0))),0,YEARFRAC(MAX($P$34*($B168+IF($R$17="Distrato",$I$38-1,0)),IF(AND($L$37=0,$P$34=0),"",$L$37-1),IF($R$17="Distrato",$E168,0)),MIN(AX$38,$D$19),$P$20))-SUM($P168:AW168)</f>
        <v>#VALUE!</v>
      </c>
      <c r="AY168" s="446" t="e">
        <f>IF(OR($B168="",MIN(AY$38,$D$19)&lt;MAX($P$34*($B168+IF($R$17="Distrato",$I$38-1,0)),IF(AND($L$37=0,$P$34=0),"",$L$37-1),IF($R$17="Distrato",$E168,0))),0,YEARFRAC(MAX($P$34*($B168+IF($R$17="Distrato",$I$38-1,0)),IF(AND($L$37=0,$P$34=0),"",$L$37-1),IF($R$17="Distrato",$E168,0)),MIN(AY$38,$D$19),$P$20))-SUM($P168:AX168)</f>
        <v>#VALUE!</v>
      </c>
      <c r="AZ168" s="446" t="e">
        <f>IF(OR($B168="",MIN(AZ$38,$D$19)&lt;MAX($P$34*($B168+IF($R$17="Distrato",$I$38-1,0)),IF(AND($L$37=0,$P$34=0),"",$L$37-1),IF($R$17="Distrato",$E168,0))),0,YEARFRAC(MAX($P$34*($B168+IF($R$17="Distrato",$I$38-1,0)),IF(AND($L$37=0,$P$34=0),"",$L$37-1),IF($R$17="Distrato",$E168,0)),MIN(AZ$38,$D$19),$P$20))-SUM($P168:AY168)</f>
        <v>#VALUE!</v>
      </c>
      <c r="BA168" s="446" t="e">
        <f>IF(OR($B168="",MIN(BA$38,$D$19)&lt;MAX($P$34*($B168+IF($R$17="Distrato",$I$38-1,0)),IF(AND($L$37=0,$P$34=0),"",$L$37-1),IF($R$17="Distrato",$E168,0))),0,YEARFRAC(MAX($P$34*($B168+IF($R$17="Distrato",$I$38-1,0)),IF(AND($L$37=0,$P$34=0),"",$L$37-1),IF($R$17="Distrato",$E168,0)),MIN(BA$38,$D$19),$P$20))-SUM($P168:AZ168)</f>
        <v>#VALUE!</v>
      </c>
      <c r="BB168" s="447"/>
      <c r="BF168" s="446">
        <f t="shared" ref="BF168:BF231" si="32">IF($E168=0,0,IF(MIN(BF$38,$E168)&lt;MAX($P$34*($B168+$I$38-1),IF(AND($L$37=0,$P$34=0),"",$L$37-1)),0,YEARFRAC(MAX($P$34*($B168+$I$38-1),IF(AND($L$37=0,$P$34=0),"",$L$37-1)),MIN(BF$38,$E168),$P$20)))</f>
        <v>0</v>
      </c>
      <c r="BG168" s="446">
        <f>IF($E168=0,0,IF(MIN(BG$38,$E168)&lt;MAX($P$34*($B168+$I$38-1),IF(AND($L$37=0,$P$34=0),"",$L$37-1)),0,YEARFRAC(MAX($P$34*($B168+$I$38-1),IF(AND($L$37=0,$P$34=0),"",$L$37-1)),MIN(BG$38,$E168),$P$20))-SUM($BF168:BF168))</f>
        <v>0</v>
      </c>
      <c r="BH168" s="446">
        <f>IF($E168=0,0,IF(MIN(BH$38,$E168)&lt;MAX($P$34*($B168+$I$38-1),IF(AND($L$37=0,$P$34=0),"",$L$37-1)),0,YEARFRAC(MAX($P$34*($B168+$I$38-1),IF(AND($L$37=0,$P$34=0),"",$L$37-1)),MIN(BH$38,$E168),$P$20))-SUM($BF168:BG168))</f>
        <v>0</v>
      </c>
      <c r="BI168" s="446">
        <f>IF($E168=0,0,IF(MIN(BI$38,$E168)&lt;MAX($P$34*($B168+$I$38-1),IF(AND($L$37=0,$P$34=0),"",$L$37-1)),0,YEARFRAC(MAX($P$34*($B168+$I$38-1),IF(AND($L$37=0,$P$34=0),"",$L$37-1)),MIN(BI$38,$E168),$P$20))-SUM($BF168:BH168))</f>
        <v>0</v>
      </c>
      <c r="BJ168" s="446">
        <f>IF($E168=0,0,IF(MIN(BJ$38,$E168)&lt;MAX($P$34*($B168+$I$38-1),IF(AND($L$37=0,$P$34=0),"",$L$37-1)),0,YEARFRAC(MAX($P$34*($B168+$I$38-1),IF(AND($L$37=0,$P$34=0),"",$L$37-1)),MIN(BJ$38,$E168),$P$20))-SUM($BF168:BI168))</f>
        <v>0</v>
      </c>
      <c r="BK168" s="446">
        <f>IF($E168=0,0,IF(MIN(BK$38,$E168)&lt;MAX($P$34*($B168+$I$38-1),IF(AND($L$37=0,$P$34=0),"",$L$37-1)),0,YEARFRAC(MAX($P$34*($B168+$I$38-1),IF(AND($L$37=0,$P$34=0),"",$L$37-1)),MIN(BK$38,$E168),$P$20))-SUM($BF168:BJ168))</f>
        <v>0</v>
      </c>
      <c r="BL168" s="446">
        <f>IF($E168=0,0,IF(MIN(BL$38,$E168)&lt;MAX($P$34*($B168+$I$38-1),IF(AND($L$37=0,$P$34=0),"",$L$37-1)),0,YEARFRAC(MAX($P$34*($B168+$I$38-1),IF(AND($L$37=0,$P$34=0),"",$L$37-1)),MIN(BL$38,$E168),$P$20))-SUM($BF168:BK168))</f>
        <v>0</v>
      </c>
      <c r="BM168" s="446">
        <f>IF($E168=0,0,IF(MIN(BM$38,$E168)&lt;MAX($P$34*($B168+$I$38-1),IF(AND($L$37=0,$P$34=0),"",$L$37-1)),0,YEARFRAC(MAX($P$34*($B168+$I$38-1),IF(AND($L$37=0,$P$34=0),"",$L$37-1)),MIN(BM$38,$E168),$P$20))-SUM($BF168:BL168))</f>
        <v>0</v>
      </c>
      <c r="BN168" s="446">
        <f>IF($E168=0,0,IF(MIN(BN$38,$E168)&lt;MAX($P$34*($B168+$I$38-1),IF(AND($L$37=0,$P$34=0),"",$L$37-1)),0,YEARFRAC(MAX($P$34*($B168+$I$38-1),IF(AND($L$37=0,$P$34=0),"",$L$37-1)),MIN(BN$38,$E168),$P$20))-SUM($BF168:BM168))</f>
        <v>0</v>
      </c>
      <c r="BO168" s="446">
        <f>IF($E168=0,0,IF(MIN(BO$38,$E168)&lt;MAX($P$34*($B168+$I$38-1),IF(AND($L$37=0,$P$34=0),"",$L$37-1)),0,YEARFRAC(MAX($P$34*($B168+$I$38-1),IF(AND($L$37=0,$P$34=0),"",$L$37-1)),MIN(BO$38,$E168),$P$20))-SUM($BF168:BN168))</f>
        <v>0</v>
      </c>
      <c r="BP168" s="446">
        <f>IF($E168=0,0,IF(MIN(BP$38,$E168)&lt;MAX($P$34*($B168+$I$38-1),IF(AND($L$37=0,$P$34=0),"",$L$37-1)),0,YEARFRAC(MAX($P$34*($B168+$I$38-1),IF(AND($L$37=0,$P$34=0),"",$L$37-1)),MIN(BP$38,$E168),$P$20))-SUM($BF168:BO168))</f>
        <v>0</v>
      </c>
      <c r="BQ168" s="446">
        <f>IF($E168=0,0,IF(MIN(BQ$38,$E168)&lt;MAX($P$34*($B168+$I$38-1),IF(AND($L$37=0,$P$34=0),"",$L$37-1)),0,YEARFRAC(MAX($P$34*($B168+$I$38-1),IF(AND($L$37=0,$P$34=0),"",$L$37-1)),MIN(BQ$38,$E168),$P$20))-SUM($BF168:BP168))</f>
        <v>0</v>
      </c>
      <c r="BR168" s="446">
        <f>IF($E168=0,0,IF(MIN(BR$38,$E168)&lt;MAX($P$34*($B168+$I$38-1),IF(AND($L$37=0,$P$34=0),"",$L$37-1)),0,YEARFRAC(MAX($P$34*($B168+$I$38-1),IF(AND($L$37=0,$P$34=0),"",$L$37-1)),MIN(BR$38,$E168),$P$20))-SUM($BF168:BQ168))</f>
        <v>0</v>
      </c>
      <c r="BS168" s="446">
        <f>IF($E168=0,0,IF(MIN(BS$38,$E168)&lt;MAX($P$34*($B168+$I$38-1),IF(AND($L$37=0,$P$34=0),"",$L$37-1)),0,YEARFRAC(MAX($P$34*($B168+$I$38-1),IF(AND($L$37=0,$P$34=0),"",$L$37-1)),MIN(BS$38,$E168),$P$20))-SUM($BF168:BR168))</f>
        <v>0</v>
      </c>
      <c r="BT168" s="446">
        <f>IF($E168=0,0,IF(MIN(BT$38,$E168)&lt;MAX($P$34*($B168+$I$38-1),IF(AND($L$37=0,$P$34=0),"",$L$37-1)),0,YEARFRAC(MAX($P$34*($B168+$I$38-1),IF(AND($L$37=0,$P$34=0),"",$L$37-1)),MIN(BT$38,$E168),$P$20))-SUM($BF168:BS168))</f>
        <v>0</v>
      </c>
      <c r="BU168" s="446">
        <f>IF($E168=0,0,IF(MIN(BU$38,$E168)&lt;MAX($P$34*($B168+$I$38-1),IF(AND($L$37=0,$P$34=0),"",$L$37-1)),0,YEARFRAC(MAX($P$34*($B168+$I$38-1),IF(AND($L$37=0,$P$34=0),"",$L$37-1)),MIN(BU$38,$E168),$P$20))-SUM($BF168:BT168))</f>
        <v>0</v>
      </c>
      <c r="BV168" s="446">
        <f>IF($E168=0,0,IF(MIN(BV$38,$E168)&lt;MAX($P$34*($B168+$I$38-1),IF(AND($L$37=0,$P$34=0),"",$L$37-1)),0,YEARFRAC(MAX($P$34*($B168+$I$38-1),IF(AND($L$37=0,$P$34=0),"",$L$37-1)),MIN(BV$38,$E168),$P$20))-SUM($BF168:BU168))</f>
        <v>0</v>
      </c>
      <c r="BW168" s="446">
        <f>IF($E168=0,0,IF(MIN(BW$38,$E168)&lt;MAX($P$34*($B168+$I$38-1),IF(AND($L$37=0,$P$34=0),"",$L$37-1)),0,YEARFRAC(MAX($P$34*($B168+$I$38-1),IF(AND($L$37=0,$P$34=0),"",$L$37-1)),MIN(BW$38,$E168),$P$20))-SUM($BF168:BV168))</f>
        <v>0</v>
      </c>
      <c r="BX168" s="446">
        <f>IF($E168=0,0,IF(MIN(BX$38,$E168)&lt;MAX($P$34*($B168+$I$38-1),IF(AND($L$37=0,$P$34=0),"",$L$37-1)),0,YEARFRAC(MAX($P$34*($B168+$I$38-1),IF(AND($L$37=0,$P$34=0),"",$L$37-1)),MIN(BX$38,$E168),$P$20))-SUM($BF168:BW168))</f>
        <v>0</v>
      </c>
      <c r="BY168" s="446">
        <f>IF($E168=0,0,IF(MIN(BY$38,$E168)&lt;MAX($P$34*($B168+$I$38-1),IF(AND($L$37=0,$P$34=0),"",$L$37-1)),0,YEARFRAC(MAX($P$34*($B168+$I$38-1),IF(AND($L$37=0,$P$34=0),"",$L$37-1)),MIN(BY$38,$E168),$P$20))-SUM($BF168:BX168))</f>
        <v>0</v>
      </c>
      <c r="BZ168" s="446">
        <f>IF($E168=0,0,IF(MIN(BZ$38,$E168)&lt;MAX($P$34*($B168+$I$38-1),IF(AND($L$37=0,$P$34=0),"",$L$37-1)),0,YEARFRAC(MAX($P$34*($B168+$I$38-1),IF(AND($L$37=0,$P$34=0),"",$L$37-1)),MIN(BZ$38,$E168),$P$20))-SUM($BF168:BY168))</f>
        <v>0</v>
      </c>
      <c r="CA168" s="446">
        <f>IF($E168=0,0,IF(MIN(CA$38,$E168)&lt;MAX($P$34*($B168+$I$38-1),IF(AND($L$37=0,$P$34=0),"",$L$37-1)),0,YEARFRAC(MAX($P$34*($B168+$I$38-1),IF(AND($L$37=0,$P$34=0),"",$L$37-1)),MIN(CA$38,$E168),$P$20))-SUM($BF168:BZ168))</f>
        <v>0</v>
      </c>
      <c r="CB168" s="446">
        <f>IF($E168=0,0,IF(MIN(CB$38,$E168)&lt;MAX($P$34*($B168+$I$38-1),IF(AND($L$37=0,$P$34=0),"",$L$37-1)),0,YEARFRAC(MAX($P$34*($B168+$I$38-1),IF(AND($L$37=0,$P$34=0),"",$L$37-1)),MIN(CB$38,$E168),$P$20))-SUM($BF168:CA168))</f>
        <v>0</v>
      </c>
      <c r="CC168" s="446">
        <f>IF($E168=0,0,IF(MIN(CC$38,$E168)&lt;MAX($P$34*($B168+$I$38-1),IF(AND($L$37=0,$P$34=0),"",$L$37-1)),0,YEARFRAC(MAX($P$34*($B168+$I$38-1),IF(AND($L$37=0,$P$34=0),"",$L$37-1)),MIN(CC$38,$E168),$P$20))-SUM($BF168:CB168))</f>
        <v>0</v>
      </c>
      <c r="CD168" s="446">
        <f>IF($E168=0,0,IF(MIN(CD$38,$E168)&lt;MAX($P$34*($B168+$I$38-1),IF(AND($L$37=0,$P$34=0),"",$L$37-1)),0,YEARFRAC(MAX($P$34*($B168+$I$38-1),IF(AND($L$37=0,$P$34=0),"",$L$37-1)),MIN(CD$38,$E168),$P$20))-SUM($BF168:CC168))</f>
        <v>0</v>
      </c>
      <c r="CE168" s="446">
        <f>IF($E168=0,0,IF(MIN(CE$38,$E168)&lt;MAX($P$34*($B168+$I$38-1),IF(AND($L$37=0,$P$34=0),"",$L$37-1)),0,YEARFRAC(MAX($P$34*($B168+$I$38-1),IF(AND($L$37=0,$P$34=0),"",$L$37-1)),MIN(CE$38,$E168),$P$20))-SUM($BF168:CD168))</f>
        <v>0</v>
      </c>
      <c r="CF168" s="446">
        <f>IF($E168=0,0,IF(MIN(CF$38,$E168)&lt;MAX($P$34*($B168+$I$38-1),IF(AND($L$37=0,$P$34=0),"",$L$37-1)),0,YEARFRAC(MAX($P$34*($B168+$I$38-1),IF(AND($L$37=0,$P$34=0),"",$L$37-1)),MIN(CF$38,$E168),$P$20))-SUM($BF168:CE168))</f>
        <v>0</v>
      </c>
      <c r="CG168" s="446">
        <f>IF($E168=0,0,IF(MIN(CG$38,$E168)&lt;MAX($P$34*($B168+$I$38-1),IF(AND($L$37=0,$P$34=0),"",$L$37-1)),0,YEARFRAC(MAX($P$34*($B168+$I$38-1),IF(AND($L$37=0,$P$34=0),"",$L$37-1)),MIN(CG$38,$E168),$P$20))-SUM($BF168:CF168))</f>
        <v>0</v>
      </c>
      <c r="CH168" s="446">
        <f>IF($E168=0,0,IF(MIN(CH$38,$E168)&lt;MAX($P$34*($B168+$I$38-1),IF(AND($L$37=0,$P$34=0),"",$L$37-1)),0,YEARFRAC(MAX($P$34*($B168+$I$38-1),IF(AND($L$37=0,$P$34=0),"",$L$37-1)),MIN(CH$38,$E168),$P$20))-SUM($BF168:CG168))</f>
        <v>0</v>
      </c>
      <c r="CI168" s="446">
        <f>IF($E168=0,0,IF(MIN(CI$38,$E168)&lt;MAX($P$34*($B168+$I$38-1),IF(AND($L$37=0,$P$34=0),"",$L$37-1)),0,YEARFRAC(MAX($P$34*($B168+$I$38-1),IF(AND($L$37=0,$P$34=0),"",$L$37-1)),MIN(CI$38,$E168),$P$20))-SUM($BF168:CH168))</f>
        <v>0</v>
      </c>
      <c r="CJ168" s="446">
        <f>IF($E168=0,0,IF(MIN(CJ$38,$E168)&lt;MAX($P$34*($B168+$I$38-1),IF(AND($L$37=0,$P$34=0),"",$L$37-1)),0,YEARFRAC(MAX($P$34*($B168+$I$38-1),IF(AND($L$37=0,$P$34=0),"",$L$37-1)),MIN(CJ$38,$E168),$P$20))-SUM($BF168:CI168))</f>
        <v>0</v>
      </c>
      <c r="CK168" s="446">
        <f>IF($E168=0,0,IF(MIN(CK$38,$E168)&lt;MAX($P$34*($B168+$I$38-1),IF(AND($L$37=0,$P$34=0),"",$L$37-1)),0,YEARFRAC(MAX($P$34*($B168+$I$38-1),IF(AND($L$37=0,$P$34=0),"",$L$37-1)),MIN(CK$38,$E168),$P$20))-SUM($BF168:CJ168))</f>
        <v>0</v>
      </c>
      <c r="CL168" s="446">
        <f>IF($E168=0,0,IF(MIN(CL$38,$E168)&lt;MAX($P$34*($B168+$I$38-1),IF(AND($L$37=0,$P$34=0),"",$L$37-1)),0,YEARFRAC(MAX($P$34*($B168+$I$38-1),IF(AND($L$37=0,$P$34=0),"",$L$37-1)),MIN(CL$38,$E168),$P$20))-SUM($BF168:CK168))</f>
        <v>0</v>
      </c>
      <c r="CM168" s="446">
        <f>IF($E168=0,0,IF(MIN(CM$38,$E168)&lt;MAX($P$34*($B168+$I$38-1),IF(AND($L$37=0,$P$34=0),"",$L$37-1)),0,YEARFRAC(MAX($P$34*($B168+$I$38-1),IF(AND($L$37=0,$P$34=0),"",$L$37-1)),MIN(CM$38,$E168),$P$20))-SUM($BF168:CL168))</f>
        <v>0</v>
      </c>
      <c r="CN168" s="446">
        <f>IF($E168=0,0,IF(MIN(CN$38,$E168)&lt;MAX($P$34*($B168+$I$38-1),IF(AND($L$37=0,$P$34=0),"",$L$37-1)),0,YEARFRAC(MAX($P$34*($B168+$I$38-1),IF(AND($L$37=0,$P$34=0),"",$L$37-1)),MIN(CN$38,$E168),$P$20))-SUM($BF168:CM168))</f>
        <v>0</v>
      </c>
      <c r="CO168" s="446">
        <f>IF($E168=0,0,IF(MIN(CO$38,$E168)&lt;MAX($P$34*($B168+$I$38-1),IF(AND($L$37=0,$P$34=0),"",$L$37-1)),0,YEARFRAC(MAX($P$34*($B168+$I$38-1),IF(AND($L$37=0,$P$34=0),"",$L$37-1)),MIN(CO$38,$E168),$P$20))-SUM($BF168:CN168))</f>
        <v>0</v>
      </c>
      <c r="CP168" s="446">
        <f>IF($E168=0,0,IF(MIN(CP$38,$E168)&lt;MAX($P$34*($B168+$I$38-1),IF(AND($L$37=0,$P$34=0),"",$L$37-1)),0,YEARFRAC(MAX($P$34*($B168+$I$38-1),IF(AND($L$37=0,$P$34=0),"",$L$37-1)),MIN(CP$38,$E168),$P$20))-SUM($BF168:CO168))</f>
        <v>0</v>
      </c>
      <c r="CQ168" s="446">
        <f>IF($E168=0,0,IF(MIN(CQ$38,$E168)&lt;MAX($P$34*($B168+$I$38-1),IF(AND($L$37=0,$P$34=0),"",$L$37-1)),0,YEARFRAC(MAX($P$34*($B168+$I$38-1),IF(AND($L$37=0,$P$34=0),"",$L$37-1)),MIN(CQ$38,$E168),$P$20))-SUM($BF168:CP168))</f>
        <v>0</v>
      </c>
    </row>
    <row r="169" spans="1:95" s="446" customFormat="1" ht="11.25" hidden="1" customHeight="1" x14ac:dyDescent="0.2">
      <c r="A169" s="152"/>
      <c r="B169" s="153" t="str">
        <f t="shared" si="26"/>
        <v/>
      </c>
      <c r="C169" s="29" t="str">
        <f>IF(B169="","",IF($L$35="SELIC - TRIBUTOS",VLOOKUP(DATE(YEAR($D$19),MONTH($D$19)-1,1),ÍNDICES!$A:$DE,HLOOKUP($BL$25,ÍNDICES!$B$3:$T$4,2)+11)-VLOOKUP(B169,ÍNDICES!$A:$DE,HLOOKUP($BL$25,ÍNDICES!$B$3:$T$4,2)+11)+1%,IF(C$38=$W$26,$J$35,IF(ISERROR(IF(B169&gt;$D$19,1,VLOOKUP(DATE(YEAR(B169),MONTH(B169)+IF($C$35=$S$23,1,0),1),ÍNDICES!$A:$DE,$Z$35+1))),"",IF(B169&gt;$D$19,1,VLOOKUP(DATE(YEAR(B169),MONTH(B169)+IF($C$35=$S$23,1,0),1),ÍNDICES!$A:$DE,$Z$35+1))))))</f>
        <v/>
      </c>
      <c r="D169" s="154" t="str">
        <f>IF(ISERROR(IF(OR($D$38=$Y$27,$B169=""),"",VLOOKUP(B169,ÍNDICES!A:DE,AF$35+1))),"",IF(OR($D$38=$Y$27,$B169=""),"",VLOOKUP(B169,ÍNDICES!A:DE,AF$35+1)))</f>
        <v/>
      </c>
      <c r="E169" s="153"/>
      <c r="F169" s="29" t="str">
        <f>IF(E169="","",IF($L$35="SELIC - TRIBUTOS",VLOOKUP(DATE(YEAR($D$19),MONTH($D$19)-1,1),ÍNDICES!$A:$DE,HLOOKUP($BL$25,ÍNDICES!$B$3:$T$4,2)+11)-VLOOKUP(E169,ÍNDICES!$A:$DE,HLOOKUP($BL$25,ÍNDICES!$B$3:$T$4,2)+11)+1%,IF(F$38=$W$26,$J$35,IF(ISERROR(IF(E169&gt;$D$19,1,VLOOKUP(DATE(YEAR(E169),MONTH(E169)+IF($C$35=$S$23,1,0),1),ÍNDICES!$A:$DE,$Z$35+1))),"",IF(E169&gt;$D$19,1,VLOOKUP(DATE(YEAR(E169),MONTH(E169)+IF($C$35=$S$23,1,0),1),ÍNDICES!$A:$DE,$Z$35+1))))))</f>
        <v/>
      </c>
      <c r="G169" s="155"/>
      <c r="H169" s="156" t="str">
        <f t="shared" ref="H169:H232" si="33">IF(E169="",IF(D169="","",D169),IF(ISERROR(D169/(IF(E169&lt;B169,1,C169/F169))-G169),-G169,D169/(IF(E169&lt;B169,1,C169/F169))-G169))</f>
        <v/>
      </c>
      <c r="I169" s="29" t="str">
        <f t="shared" si="27"/>
        <v/>
      </c>
      <c r="J169" s="5">
        <f t="shared" si="28"/>
        <v>0</v>
      </c>
      <c r="K169" s="20">
        <f t="shared" ca="1" si="29"/>
        <v>0</v>
      </c>
      <c r="L169" s="5">
        <f t="shared" ca="1" si="30"/>
        <v>0</v>
      </c>
      <c r="M169" s="64">
        <f t="shared" ref="M169:M232" si="34">IFERROR(SUM(P169:BA169),0)</f>
        <v>0</v>
      </c>
      <c r="N169" s="61">
        <f t="shared" ref="N169:N232" ca="1" si="35">IFERROR($N$38*(K169+IF(OR(L$35="SELIC - TRIBUTOS",$N$37="sobre principal"),0,J169+L169)),0)</f>
        <v>0</v>
      </c>
      <c r="O169" s="5">
        <f t="shared" ref="O169:O232" ca="1" si="36">IF(ISERROR((K169+J169+L169+N169)*O$38),"",(K169+J169+L169+N169)*O$38)</f>
        <v>0</v>
      </c>
      <c r="P169" s="446" t="e">
        <f t="shared" si="31"/>
        <v>#VALUE!</v>
      </c>
      <c r="Q169" s="446" t="e">
        <f>IF(OR($B169="",MIN(Q$38,$D$19)&lt;MAX($P$34*($B169+IF($R$17="Distrato",$I$38-1,0)),IF(AND($L$37=0,$P$34=0),"",$L$37-1),IF($R$17="Distrato",$E169,0))),0,YEARFRAC(MAX($P$34*($B169+IF($R$17="Distrato",$I$38-1,0)),IF(AND($L$37=0,$P$34=0),"",$L$37-1),IF($R$17="Distrato",$E169,0)),MIN(Q$38,$D$19),$P$20))-SUM($P169:P169)</f>
        <v>#VALUE!</v>
      </c>
      <c r="R169" s="446" t="e">
        <f>IF(OR($B169="",MIN(R$38,$D$19)&lt;MAX($P$34*($B169+IF($R$17="Distrato",$I$38-1,0)),IF(AND($L$37=0,$P$34=0),"",$L$37-1),IF($R$17="Distrato",$E169,0))),0,YEARFRAC(MAX($P$34*($B169+IF($R$17="Distrato",$I$38-1,0)),IF(AND($L$37=0,$P$34=0),"",$L$37-1),IF($R$17="Distrato",$E169,0)),MIN(R$38,$D$19),$P$20))-SUM($P169:Q169)</f>
        <v>#VALUE!</v>
      </c>
      <c r="S169" s="446" t="e">
        <f>IF(OR($B169="",MIN(S$38,$D$19)&lt;MAX($P$34*($B169+IF($R$17="Distrato",$I$38-1,0)),IF(AND($L$37=0,$P$34=0),"",$L$37-1),IF($R$17="Distrato",$E169,0))),0,YEARFRAC(MAX($P$34*($B169+IF($R$17="Distrato",$I$38-1,0)),IF(AND($L$37=0,$P$34=0),"",$L$37-1),IF($R$17="Distrato",$E169,0)),MIN(S$38,$D$19),$P$20))-SUM($P169:R169)</f>
        <v>#VALUE!</v>
      </c>
      <c r="T169" s="446" t="e">
        <f>IF(OR($B169="",MIN(T$38,$D$19)&lt;MAX($P$34*($B169+IF($R$17="Distrato",$I$38-1,0)),IF(AND($L$37=0,$P$34=0),"",$L$37-1),IF($R$17="Distrato",$E169,0))),0,YEARFRAC(MAX($P$34*($B169+IF($R$17="Distrato",$I$38-1,0)),IF(AND($L$37=0,$P$34=0),"",$L$37-1),IF($R$17="Distrato",$E169,0)),MIN(T$38,$D$19),$P$20))-SUM($P169:S169)</f>
        <v>#VALUE!</v>
      </c>
      <c r="U169" s="446" t="e">
        <f>IF(OR($B169="",MIN(U$38,$D$19)&lt;MAX($P$34*($B169+IF($R$17="Distrato",$I$38-1,0)),IF(AND($L$37=0,$P$34=0),"",$L$37-1),IF($R$17="Distrato",$E169,0))),0,YEARFRAC(MAX($P$34*($B169+IF($R$17="Distrato",$I$38-1,0)),IF(AND($L$37=0,$P$34=0),"",$L$37-1),IF($R$17="Distrato",$E169,0)),MIN(U$38,$D$19),$P$20))-SUM($P169:T169)</f>
        <v>#VALUE!</v>
      </c>
      <c r="V169" s="446" t="e">
        <f>IF(OR($B169="",MIN(V$38,$D$19)&lt;MAX($P$34*($B169+IF($R$17="Distrato",$I$38-1,0)),IF(AND($L$37=0,$P$34=0),"",$L$37-1),IF($R$17="Distrato",$E169,0))),0,YEARFRAC(MAX($P$34*($B169+IF($R$17="Distrato",$I$38-1,0)),IF(AND($L$37=0,$P$34=0),"",$L$37-1),IF($R$17="Distrato",$E169,0)),MIN(V$38,$D$19),$P$20))-SUM($P169:U169)</f>
        <v>#VALUE!</v>
      </c>
      <c r="W169" s="446" t="e">
        <f>IF(OR($B169="",MIN(W$38,$D$19)&lt;MAX($P$34*($B169+IF($R$17="Distrato",$I$38-1,0)),IF(AND($L$37=0,$P$34=0),"",$L$37-1),IF($R$17="Distrato",$E169,0))),0,YEARFRAC(MAX($P$34*($B169+IF($R$17="Distrato",$I$38-1,0)),IF(AND($L$37=0,$P$34=0),"",$L$37-1),IF($R$17="Distrato",$E169,0)),MIN(W$38,$D$19),$P$20))-SUM($P169:V169)</f>
        <v>#VALUE!</v>
      </c>
      <c r="X169" s="446" t="e">
        <f>IF(OR($B169="",MIN(X$38,$D$19)&lt;MAX($P$34*($B169+IF($R$17="Distrato",$I$38-1,0)),IF(AND($L$37=0,$P$34=0),"",$L$37-1),IF($R$17="Distrato",$E169,0))),0,YEARFRAC(MAX($P$34*($B169+IF($R$17="Distrato",$I$38-1,0)),IF(AND($L$37=0,$P$34=0),"",$L$37-1),IF($R$17="Distrato",$E169,0)),MIN(X$38,$D$19),$P$20))-SUM($P169:W169)</f>
        <v>#VALUE!</v>
      </c>
      <c r="Y169" s="446" t="e">
        <f>IF(OR($B169="",MIN(Y$38,$D$19)&lt;MAX($P$34*($B169+IF($R$17="Distrato",$I$38-1,0)),IF(AND($L$37=0,$P$34=0),"",$L$37-1),IF($R$17="Distrato",$E169,0))),0,YEARFRAC(MAX($P$34*($B169+IF($R$17="Distrato",$I$38-1,0)),IF(AND($L$37=0,$P$34=0),"",$L$37-1),IF($R$17="Distrato",$E169,0)),MIN(Y$38,$D$19),$P$20))-SUM($P169:X169)</f>
        <v>#VALUE!</v>
      </c>
      <c r="Z169" s="446" t="e">
        <f>IF(OR($B169="",MIN(Z$38,$D$19)&lt;MAX($P$34*($B169+IF($R$17="Distrato",$I$38-1,0)),IF(AND($L$37=0,$P$34=0),"",$L$37-1),IF($R$17="Distrato",$E169,0))),0,YEARFRAC(MAX($P$34*($B169+IF($R$17="Distrato",$I$38-1,0)),IF(AND($L$37=0,$P$34=0),"",$L$37-1),IF($R$17="Distrato",$E169,0)),MIN(Z$38,$D$19),$P$20))-SUM($P169:Y169)</f>
        <v>#VALUE!</v>
      </c>
      <c r="AA169" s="446" t="e">
        <f>IF(OR($B169="",MIN(AA$38,$D$19)&lt;MAX($P$34*($B169+IF($R$17="Distrato",$I$38-1,0)),IF(AND($L$37=0,$P$34=0),"",$L$37-1),IF($R$17="Distrato",$E169,0))),0,YEARFRAC(MAX($P$34*($B169+IF($R$17="Distrato",$I$38-1,0)),IF(AND($L$37=0,$P$34=0),"",$L$37-1),IF($R$17="Distrato",$E169,0)),MIN(AA$38,$D$19),$P$20))-SUM($P169:Z169)</f>
        <v>#VALUE!</v>
      </c>
      <c r="AB169" s="446" t="e">
        <f>IF(OR($B169="",MIN(AB$38,$D$19)&lt;MAX($P$34*($B169+IF($R$17="Distrato",$I$38-1,0)),IF(AND($L$37=0,$P$34=0),"",$L$37-1),IF($R$17="Distrato",$E169,0))),0,YEARFRAC(MAX($P$34*($B169+IF($R$17="Distrato",$I$38-1,0)),IF(AND($L$37=0,$P$34=0),"",$L$37-1),IF($R$17="Distrato",$E169,0)),MIN(AB$38,$D$19),$P$20))-SUM($P169:AA169)</f>
        <v>#VALUE!</v>
      </c>
      <c r="AC169" s="446" t="e">
        <f>IF(OR($B169="",MIN(AC$38,$D$19)&lt;MAX($P$34*($B169+IF($R$17="Distrato",$I$38-1,0)),IF(AND($L$37=0,$P$34=0),"",$L$37-1),IF($R$17="Distrato",$E169,0))),0,YEARFRAC(MAX($P$34*($B169+IF($R$17="Distrato",$I$38-1,0)),IF(AND($L$37=0,$P$34=0),"",$L$37-1),IF($R$17="Distrato",$E169,0)),MIN(AC$38,$D$19),$P$20))-SUM($P169:AB169)</f>
        <v>#VALUE!</v>
      </c>
      <c r="AD169" s="446" t="e">
        <f>IF(OR($B169="",MIN(AD$38,$D$19)&lt;MAX($P$34*($B169+IF($R$17="Distrato",$I$38-1,0)),IF(AND($L$37=0,$P$34=0),"",$L$37-1),IF($R$17="Distrato",$E169,0))),0,YEARFRAC(MAX($P$34*($B169+IF($R$17="Distrato",$I$38-1,0)),IF(AND($L$37=0,$P$34=0),"",$L$37-1),IF($R$17="Distrato",$E169,0)),MIN(AD$38,$D$19),$P$20))-SUM($P169:AC169)</f>
        <v>#VALUE!</v>
      </c>
      <c r="AE169" s="446" t="e">
        <f>IF(OR($B169="",MIN(AE$38,$D$19)&lt;MAX($P$34*($B169+IF($R$17="Distrato",$I$38-1,0)),IF(AND($L$37=0,$P$34=0),"",$L$37-1),IF($R$17="Distrato",$E169,0))),0,YEARFRAC(MAX($P$34*($B169+IF($R$17="Distrato",$I$38-1,0)),IF(AND($L$37=0,$P$34=0),"",$L$37-1),IF($R$17="Distrato",$E169,0)),MIN(AE$38,$D$19),$P$20))-SUM($P169:AD169)</f>
        <v>#VALUE!</v>
      </c>
      <c r="AF169" s="446" t="e">
        <f>IF(OR($B169="",MIN(AF$38,$D$19)&lt;MAX($P$34*($B169+IF($R$17="Distrato",$I$38-1,0)),IF(AND($L$37=0,$P$34=0),"",$L$37-1),IF($R$17="Distrato",$E169,0))),0,YEARFRAC(MAX($P$34*($B169+IF($R$17="Distrato",$I$38-1,0)),IF(AND($L$37=0,$P$34=0),"",$L$37-1),IF($R$17="Distrato",$E169,0)),MIN(AF$38,$D$19),$P$20))-SUM($P169:AE169)</f>
        <v>#VALUE!</v>
      </c>
      <c r="AG169" s="446" t="e">
        <f>IF(OR($B169="",MIN(AG$38,$D$19)&lt;MAX($P$34*($B169+IF($R$17="Distrato",$I$38-1,0)),IF(AND($L$37=0,$P$34=0),"",$L$37-1),IF($R$17="Distrato",$E169,0))),0,YEARFRAC(MAX($P$34*($B169+IF($R$17="Distrato",$I$38-1,0)),IF(AND($L$37=0,$P$34=0),"",$L$37-1),IF($R$17="Distrato",$E169,0)),MIN(AG$38,$D$19),$P$20))-SUM($P169:AF169)</f>
        <v>#VALUE!</v>
      </c>
      <c r="AH169" s="446" t="e">
        <f>IF(OR($B169="",MIN(AH$38,$D$19)&lt;MAX($P$34*($B169+IF($R$17="Distrato",$I$38-1,0)),IF(AND($L$37=0,$P$34=0),"",$L$37-1),IF($R$17="Distrato",$E169,0))),0,YEARFRAC(MAX($P$34*($B169+IF($R$17="Distrato",$I$38-1,0)),IF(AND($L$37=0,$P$34=0),"",$L$37-1),IF($R$17="Distrato",$E169,0)),MIN(AH$38,$D$19),$P$20))-SUM($P169:AG169)</f>
        <v>#VALUE!</v>
      </c>
      <c r="AI169" s="446" t="e">
        <f>IF(OR($B169="",MIN(AI$38,$D$19)&lt;MAX($P$34*($B169+IF($R$17="Distrato",$I$38-1,0)),IF(AND($L$37=0,$P$34=0),"",$L$37-1),IF($R$17="Distrato",$E169,0))),0,YEARFRAC(MAX($P$34*($B169+IF($R$17="Distrato",$I$38-1,0)),IF(AND($L$37=0,$P$34=0),"",$L$37-1),IF($R$17="Distrato",$E169,0)),MIN(AI$38,$D$19),$P$20))-SUM($P169:AH169)</f>
        <v>#VALUE!</v>
      </c>
      <c r="AJ169" s="446" t="e">
        <f>IF(OR($B169="",MIN(AJ$38,$D$19)&lt;MAX($P$34*($B169+IF($R$17="Distrato",$I$38-1,0)),IF(AND($L$37=0,$P$34=0),"",$L$37-1),IF($R$17="Distrato",$E169,0))),0,YEARFRAC(MAX($P$34*($B169+IF($R$17="Distrato",$I$38-1,0)),IF(AND($L$37=0,$P$34=0),"",$L$37-1),IF($R$17="Distrato",$E169,0)),MIN(AJ$38,$D$19),$P$20))-SUM($P169:AI169)</f>
        <v>#VALUE!</v>
      </c>
      <c r="AK169" s="446" t="e">
        <f>IF(OR($B169="",MIN(AK$38,$D$19)&lt;MAX($P$34*($B169+IF($R$17="Distrato",$I$38-1,0)),IF(AND($L$37=0,$P$34=0),"",$L$37-1),IF($R$17="Distrato",$E169,0))),0,YEARFRAC(MAX($P$34*($B169+IF($R$17="Distrato",$I$38-1,0)),IF(AND($L$37=0,$P$34=0),"",$L$37-1),IF($R$17="Distrato",$E169,0)),MIN(AK$38,$D$19),$P$20))-SUM($P169:AJ169)</f>
        <v>#VALUE!</v>
      </c>
      <c r="AL169" s="446" t="e">
        <f>IF(OR($B169="",MIN(AL$38,$D$19)&lt;MAX($P$34*($B169+IF($R$17="Distrato",$I$38-1,0)),IF(AND($L$37=0,$P$34=0),"",$L$37-1),IF($R$17="Distrato",$E169,0))),0,YEARFRAC(MAX($P$34*($B169+IF($R$17="Distrato",$I$38-1,0)),IF(AND($L$37=0,$P$34=0),"",$L$37-1),IF($R$17="Distrato",$E169,0)),MIN(AL$38,$D$19),$P$20))-SUM($P169:AK169)</f>
        <v>#VALUE!</v>
      </c>
      <c r="AM169" s="446" t="e">
        <f>IF(OR($B169="",MIN(AM$38,$D$19)&lt;MAX($P$34*($B169+IF($R$17="Distrato",$I$38-1,0)),IF(AND($L$37=0,$P$34=0),"",$L$37-1),IF($R$17="Distrato",$E169,0))),0,YEARFRAC(MAX($P$34*($B169+IF($R$17="Distrato",$I$38-1,0)),IF(AND($L$37=0,$P$34=0),"",$L$37-1),IF($R$17="Distrato",$E169,0)),MIN(AM$38,$D$19),$P$20))-SUM($P169:AL169)</f>
        <v>#VALUE!</v>
      </c>
      <c r="AN169" s="446" t="e">
        <f>IF(OR($B169="",MIN(AN$38,$D$19)&lt;MAX($P$34*($B169+IF($R$17="Distrato",$I$38-1,0)),IF(AND($L$37=0,$P$34=0),"",$L$37-1),IF($R$17="Distrato",$E169,0))),0,YEARFRAC(MAX($P$34*($B169+IF($R$17="Distrato",$I$38-1,0)),IF(AND($L$37=0,$P$34=0),"",$L$37-1),IF($R$17="Distrato",$E169,0)),MIN(AN$38,$D$19),$P$20))-SUM($P169:AM169)</f>
        <v>#VALUE!</v>
      </c>
      <c r="AO169" s="446" t="e">
        <f>IF(OR($B169="",MIN(AO$38,$D$19)&lt;MAX($P$34*($B169+IF($R$17="Distrato",$I$38-1,0)),IF(AND($L$37=0,$P$34=0),"",$L$37-1),IF($R$17="Distrato",$E169,0))),0,YEARFRAC(MAX($P$34*($B169+IF($R$17="Distrato",$I$38-1,0)),IF(AND($L$37=0,$P$34=0),"",$L$37-1),IF($R$17="Distrato",$E169,0)),MIN(AO$38,$D$19),$P$20))-SUM($P169:AN169)</f>
        <v>#VALUE!</v>
      </c>
      <c r="AP169" s="446" t="e">
        <f>IF(OR($B169="",MIN(AP$38,$D$19)&lt;MAX($P$34*($B169+IF($R$17="Distrato",$I$38-1,0)),IF(AND($L$37=0,$P$34=0),"",$L$37-1),IF($R$17="Distrato",$E169,0))),0,YEARFRAC(MAX($P$34*($B169+IF($R$17="Distrato",$I$38-1,0)),IF(AND($L$37=0,$P$34=0),"",$L$37-1),IF($R$17="Distrato",$E169,0)),MIN(AP$38,$D$19),$P$20))-SUM($P169:AO169)</f>
        <v>#VALUE!</v>
      </c>
      <c r="AQ169" s="446" t="e">
        <f>IF(OR($B169="",MIN(AQ$38,$D$19)&lt;MAX($P$34*($B169+IF($R$17="Distrato",$I$38-1,0)),IF(AND($L$37=0,$P$34=0),"",$L$37-1),IF($R$17="Distrato",$E169,0))),0,YEARFRAC(MAX($P$34*($B169+IF($R$17="Distrato",$I$38-1,0)),IF(AND($L$37=0,$P$34=0),"",$L$37-1),IF($R$17="Distrato",$E169,0)),MIN(AQ$38,$D$19),$P$20))-SUM($P169:AP169)</f>
        <v>#VALUE!</v>
      </c>
      <c r="AR169" s="446" t="e">
        <f>IF(OR($B169="",MIN(AR$38,$D$19)&lt;MAX($P$34*($B169+IF($R$17="Distrato",$I$38-1,0)),IF(AND($L$37=0,$P$34=0),"",$L$37-1),IF($R$17="Distrato",$E169,0))),0,YEARFRAC(MAX($P$34*($B169+IF($R$17="Distrato",$I$38-1,0)),IF(AND($L$37=0,$P$34=0),"",$L$37-1),IF($R$17="Distrato",$E169,0)),MIN(AR$38,$D$19),$P$20))-SUM($P169:AQ169)</f>
        <v>#VALUE!</v>
      </c>
      <c r="AS169" s="446" t="e">
        <f>IF(OR($B169="",MIN(AS$38,$D$19)&lt;MAX($P$34*($B169+IF($R$17="Distrato",$I$38-1,0)),IF(AND($L$37=0,$P$34=0),"",$L$37-1),IF($R$17="Distrato",$E169,0))),0,YEARFRAC(MAX($P$34*($B169+IF($R$17="Distrato",$I$38-1,0)),IF(AND($L$37=0,$P$34=0),"",$L$37-1),IF($R$17="Distrato",$E169,0)),MIN(AS$38,$D$19),$P$20))-SUM($P169:AR169)</f>
        <v>#VALUE!</v>
      </c>
      <c r="AT169" s="446" t="e">
        <f>IF(OR($B169="",MIN(AT$38,$D$19)&lt;MAX($P$34*($B169+IF($R$17="Distrato",$I$38-1,0)),IF(AND($L$37=0,$P$34=0),"",$L$37-1),IF($R$17="Distrato",$E169,0))),0,YEARFRAC(MAX($P$34*($B169+IF($R$17="Distrato",$I$38-1,0)),IF(AND($L$37=0,$P$34=0),"",$L$37-1),IF($R$17="Distrato",$E169,0)),MIN(AT$38,$D$19),$P$20))-SUM($P169:AS169)</f>
        <v>#VALUE!</v>
      </c>
      <c r="AU169" s="446" t="e">
        <f>IF(OR($B169="",MIN(AU$38,$D$19)&lt;MAX($P$34*($B169+IF($R$17="Distrato",$I$38-1,0)),IF(AND($L$37=0,$P$34=0),"",$L$37-1),IF($R$17="Distrato",$E169,0))),0,YEARFRAC(MAX($P$34*($B169+IF($R$17="Distrato",$I$38-1,0)),IF(AND($L$37=0,$P$34=0),"",$L$37-1),IF($R$17="Distrato",$E169,0)),MIN(AU$38,$D$19),$P$20))-SUM($P169:AT169)</f>
        <v>#VALUE!</v>
      </c>
      <c r="AV169" s="446" t="e">
        <f>IF(OR($B169="",MIN(AV$38,$D$19)&lt;MAX($P$34*($B169+IF($R$17="Distrato",$I$38-1,0)),IF(AND($L$37=0,$P$34=0),"",$L$37-1),IF($R$17="Distrato",$E169,0))),0,YEARFRAC(MAX($P$34*($B169+IF($R$17="Distrato",$I$38-1,0)),IF(AND($L$37=0,$P$34=0),"",$L$37-1),IF($R$17="Distrato",$E169,0)),MIN(AV$38,$D$19),$P$20))-SUM($P169:AU169)</f>
        <v>#VALUE!</v>
      </c>
      <c r="AW169" s="446" t="e">
        <f>IF(OR($B169="",MIN(AW$38,$D$19)&lt;MAX($P$34*($B169+IF($R$17="Distrato",$I$38-1,0)),IF(AND($L$37=0,$P$34=0),"",$L$37-1),IF($R$17="Distrato",$E169,0))),0,YEARFRAC(MAX($P$34*($B169+IF($R$17="Distrato",$I$38-1,0)),IF(AND($L$37=0,$P$34=0),"",$L$37-1),IF($R$17="Distrato",$E169,0)),MIN(AW$38,$D$19),$P$20))-SUM($P169:AV169)</f>
        <v>#VALUE!</v>
      </c>
      <c r="AX169" s="446" t="e">
        <f>IF(OR($B169="",MIN(AX$38,$D$19)&lt;MAX($P$34*($B169+IF($R$17="Distrato",$I$38-1,0)),IF(AND($L$37=0,$P$34=0),"",$L$37-1),IF($R$17="Distrato",$E169,0))),0,YEARFRAC(MAX($P$34*($B169+IF($R$17="Distrato",$I$38-1,0)),IF(AND($L$37=0,$P$34=0),"",$L$37-1),IF($R$17="Distrato",$E169,0)),MIN(AX$38,$D$19),$P$20))-SUM($P169:AW169)</f>
        <v>#VALUE!</v>
      </c>
      <c r="AY169" s="446" t="e">
        <f>IF(OR($B169="",MIN(AY$38,$D$19)&lt;MAX($P$34*($B169+IF($R$17="Distrato",$I$38-1,0)),IF(AND($L$37=0,$P$34=0),"",$L$37-1),IF($R$17="Distrato",$E169,0))),0,YEARFRAC(MAX($P$34*($B169+IF($R$17="Distrato",$I$38-1,0)),IF(AND($L$37=0,$P$34=0),"",$L$37-1),IF($R$17="Distrato",$E169,0)),MIN(AY$38,$D$19),$P$20))-SUM($P169:AX169)</f>
        <v>#VALUE!</v>
      </c>
      <c r="AZ169" s="446" t="e">
        <f>IF(OR($B169="",MIN(AZ$38,$D$19)&lt;MAX($P$34*($B169+IF($R$17="Distrato",$I$38-1,0)),IF(AND($L$37=0,$P$34=0),"",$L$37-1),IF($R$17="Distrato",$E169,0))),0,YEARFRAC(MAX($P$34*($B169+IF($R$17="Distrato",$I$38-1,0)),IF(AND($L$37=0,$P$34=0),"",$L$37-1),IF($R$17="Distrato",$E169,0)),MIN(AZ$38,$D$19),$P$20))-SUM($P169:AY169)</f>
        <v>#VALUE!</v>
      </c>
      <c r="BA169" s="446" t="e">
        <f>IF(OR($B169="",MIN(BA$38,$D$19)&lt;MAX($P$34*($B169+IF($R$17="Distrato",$I$38-1,0)),IF(AND($L$37=0,$P$34=0),"",$L$37-1),IF($R$17="Distrato",$E169,0))),0,YEARFRAC(MAX($P$34*($B169+IF($R$17="Distrato",$I$38-1,0)),IF(AND($L$37=0,$P$34=0),"",$L$37-1),IF($R$17="Distrato",$E169,0)),MIN(BA$38,$D$19),$P$20))-SUM($P169:AZ169)</f>
        <v>#VALUE!</v>
      </c>
      <c r="BB169" s="447"/>
      <c r="BF169" s="446">
        <f t="shared" si="32"/>
        <v>0</v>
      </c>
      <c r="BG169" s="446">
        <f>IF($E169=0,0,IF(MIN(BG$38,$E169)&lt;MAX($P$34*($B169+$I$38-1),IF(AND($L$37=0,$P$34=0),"",$L$37-1)),0,YEARFRAC(MAX($P$34*($B169+$I$38-1),IF(AND($L$37=0,$P$34=0),"",$L$37-1)),MIN(BG$38,$E169),$P$20))-SUM($BF169:BF169))</f>
        <v>0</v>
      </c>
      <c r="BH169" s="446">
        <f>IF($E169=0,0,IF(MIN(BH$38,$E169)&lt;MAX($P$34*($B169+$I$38-1),IF(AND($L$37=0,$P$34=0),"",$L$37-1)),0,YEARFRAC(MAX($P$34*($B169+$I$38-1),IF(AND($L$37=0,$P$34=0),"",$L$37-1)),MIN(BH$38,$E169),$P$20))-SUM($BF169:BG169))</f>
        <v>0</v>
      </c>
      <c r="BI169" s="446">
        <f>IF($E169=0,0,IF(MIN(BI$38,$E169)&lt;MAX($P$34*($B169+$I$38-1),IF(AND($L$37=0,$P$34=0),"",$L$37-1)),0,YEARFRAC(MAX($P$34*($B169+$I$38-1),IF(AND($L$37=0,$P$34=0),"",$L$37-1)),MIN(BI$38,$E169),$P$20))-SUM($BF169:BH169))</f>
        <v>0</v>
      </c>
      <c r="BJ169" s="446">
        <f>IF($E169=0,0,IF(MIN(BJ$38,$E169)&lt;MAX($P$34*($B169+$I$38-1),IF(AND($L$37=0,$P$34=0),"",$L$37-1)),0,YEARFRAC(MAX($P$34*($B169+$I$38-1),IF(AND($L$37=0,$P$34=0),"",$L$37-1)),MIN(BJ$38,$E169),$P$20))-SUM($BF169:BI169))</f>
        <v>0</v>
      </c>
      <c r="BK169" s="446">
        <f>IF($E169=0,0,IF(MIN(BK$38,$E169)&lt;MAX($P$34*($B169+$I$38-1),IF(AND($L$37=0,$P$34=0),"",$L$37-1)),0,YEARFRAC(MAX($P$34*($B169+$I$38-1),IF(AND($L$37=0,$P$34=0),"",$L$37-1)),MIN(BK$38,$E169),$P$20))-SUM($BF169:BJ169))</f>
        <v>0</v>
      </c>
      <c r="BL169" s="446">
        <f>IF($E169=0,0,IF(MIN(BL$38,$E169)&lt;MAX($P$34*($B169+$I$38-1),IF(AND($L$37=0,$P$34=0),"",$L$37-1)),0,YEARFRAC(MAX($P$34*($B169+$I$38-1),IF(AND($L$37=0,$P$34=0),"",$L$37-1)),MIN(BL$38,$E169),$P$20))-SUM($BF169:BK169))</f>
        <v>0</v>
      </c>
      <c r="BM169" s="446">
        <f>IF($E169=0,0,IF(MIN(BM$38,$E169)&lt;MAX($P$34*($B169+$I$38-1),IF(AND($L$37=0,$P$34=0),"",$L$37-1)),0,YEARFRAC(MAX($P$34*($B169+$I$38-1),IF(AND($L$37=0,$P$34=0),"",$L$37-1)),MIN(BM$38,$E169),$P$20))-SUM($BF169:BL169))</f>
        <v>0</v>
      </c>
      <c r="BN169" s="446">
        <f>IF($E169=0,0,IF(MIN(BN$38,$E169)&lt;MAX($P$34*($B169+$I$38-1),IF(AND($L$37=0,$P$34=0),"",$L$37-1)),0,YEARFRAC(MAX($P$34*($B169+$I$38-1),IF(AND($L$37=0,$P$34=0),"",$L$37-1)),MIN(BN$38,$E169),$P$20))-SUM($BF169:BM169))</f>
        <v>0</v>
      </c>
      <c r="BO169" s="446">
        <f>IF($E169=0,0,IF(MIN(BO$38,$E169)&lt;MAX($P$34*($B169+$I$38-1),IF(AND($L$37=0,$P$34=0),"",$L$37-1)),0,YEARFRAC(MAX($P$34*($B169+$I$38-1),IF(AND($L$37=0,$P$34=0),"",$L$37-1)),MIN(BO$38,$E169),$P$20))-SUM($BF169:BN169))</f>
        <v>0</v>
      </c>
      <c r="BP169" s="446">
        <f>IF($E169=0,0,IF(MIN(BP$38,$E169)&lt;MAX($P$34*($B169+$I$38-1),IF(AND($L$37=0,$P$34=0),"",$L$37-1)),0,YEARFRAC(MAX($P$34*($B169+$I$38-1),IF(AND($L$37=0,$P$34=0),"",$L$37-1)),MIN(BP$38,$E169),$P$20))-SUM($BF169:BO169))</f>
        <v>0</v>
      </c>
      <c r="BQ169" s="446">
        <f>IF($E169=0,0,IF(MIN(BQ$38,$E169)&lt;MAX($P$34*($B169+$I$38-1),IF(AND($L$37=0,$P$34=0),"",$L$37-1)),0,YEARFRAC(MAX($P$34*($B169+$I$38-1),IF(AND($L$37=0,$P$34=0),"",$L$37-1)),MIN(BQ$38,$E169),$P$20))-SUM($BF169:BP169))</f>
        <v>0</v>
      </c>
      <c r="BR169" s="446">
        <f>IF($E169=0,0,IF(MIN(BR$38,$E169)&lt;MAX($P$34*($B169+$I$38-1),IF(AND($L$37=0,$P$34=0),"",$L$37-1)),0,YEARFRAC(MAX($P$34*($B169+$I$38-1),IF(AND($L$37=0,$P$34=0),"",$L$37-1)),MIN(BR$38,$E169),$P$20))-SUM($BF169:BQ169))</f>
        <v>0</v>
      </c>
      <c r="BS169" s="446">
        <f>IF($E169=0,0,IF(MIN(BS$38,$E169)&lt;MAX($P$34*($B169+$I$38-1),IF(AND($L$37=0,$P$34=0),"",$L$37-1)),0,YEARFRAC(MAX($P$34*($B169+$I$38-1),IF(AND($L$37=0,$P$34=0),"",$L$37-1)),MIN(BS$38,$E169),$P$20))-SUM($BF169:BR169))</f>
        <v>0</v>
      </c>
      <c r="BT169" s="446">
        <f>IF($E169=0,0,IF(MIN(BT$38,$E169)&lt;MAX($P$34*($B169+$I$38-1),IF(AND($L$37=0,$P$34=0),"",$L$37-1)),0,YEARFRAC(MAX($P$34*($B169+$I$38-1),IF(AND($L$37=0,$P$34=0),"",$L$37-1)),MIN(BT$38,$E169),$P$20))-SUM($BF169:BS169))</f>
        <v>0</v>
      </c>
      <c r="BU169" s="446">
        <f>IF($E169=0,0,IF(MIN(BU$38,$E169)&lt;MAX($P$34*($B169+$I$38-1),IF(AND($L$37=0,$P$34=0),"",$L$37-1)),0,YEARFRAC(MAX($P$34*($B169+$I$38-1),IF(AND($L$37=0,$P$34=0),"",$L$37-1)),MIN(BU$38,$E169),$P$20))-SUM($BF169:BT169))</f>
        <v>0</v>
      </c>
      <c r="BV169" s="446">
        <f>IF($E169=0,0,IF(MIN(BV$38,$E169)&lt;MAX($P$34*($B169+$I$38-1),IF(AND($L$37=0,$P$34=0),"",$L$37-1)),0,YEARFRAC(MAX($P$34*($B169+$I$38-1),IF(AND($L$37=0,$P$34=0),"",$L$37-1)),MIN(BV$38,$E169),$P$20))-SUM($BF169:BU169))</f>
        <v>0</v>
      </c>
      <c r="BW169" s="446">
        <f>IF($E169=0,0,IF(MIN(BW$38,$E169)&lt;MAX($P$34*($B169+$I$38-1),IF(AND($L$37=0,$P$34=0),"",$L$37-1)),0,YEARFRAC(MAX($P$34*($B169+$I$38-1),IF(AND($L$37=0,$P$34=0),"",$L$37-1)),MIN(BW$38,$E169),$P$20))-SUM($BF169:BV169))</f>
        <v>0</v>
      </c>
      <c r="BX169" s="446">
        <f>IF($E169=0,0,IF(MIN(BX$38,$E169)&lt;MAX($P$34*($B169+$I$38-1),IF(AND($L$37=0,$P$34=0),"",$L$37-1)),0,YEARFRAC(MAX($P$34*($B169+$I$38-1),IF(AND($L$37=0,$P$34=0),"",$L$37-1)),MIN(BX$38,$E169),$P$20))-SUM($BF169:BW169))</f>
        <v>0</v>
      </c>
      <c r="BY169" s="446">
        <f>IF($E169=0,0,IF(MIN(BY$38,$E169)&lt;MAX($P$34*($B169+$I$38-1),IF(AND($L$37=0,$P$34=0),"",$L$37-1)),0,YEARFRAC(MAX($P$34*($B169+$I$38-1),IF(AND($L$37=0,$P$34=0),"",$L$37-1)),MIN(BY$38,$E169),$P$20))-SUM($BF169:BX169))</f>
        <v>0</v>
      </c>
      <c r="BZ169" s="446">
        <f>IF($E169=0,0,IF(MIN(BZ$38,$E169)&lt;MAX($P$34*($B169+$I$38-1),IF(AND($L$37=0,$P$34=0),"",$L$37-1)),0,YEARFRAC(MAX($P$34*($B169+$I$38-1),IF(AND($L$37=0,$P$34=0),"",$L$37-1)),MIN(BZ$38,$E169),$P$20))-SUM($BF169:BY169))</f>
        <v>0</v>
      </c>
      <c r="CA169" s="446">
        <f>IF($E169=0,0,IF(MIN(CA$38,$E169)&lt;MAX($P$34*($B169+$I$38-1),IF(AND($L$37=0,$P$34=0),"",$L$37-1)),0,YEARFRAC(MAX($P$34*($B169+$I$38-1),IF(AND($L$37=0,$P$34=0),"",$L$37-1)),MIN(CA$38,$E169),$P$20))-SUM($BF169:BZ169))</f>
        <v>0</v>
      </c>
      <c r="CB169" s="446">
        <f>IF($E169=0,0,IF(MIN(CB$38,$E169)&lt;MAX($P$34*($B169+$I$38-1),IF(AND($L$37=0,$P$34=0),"",$L$37-1)),0,YEARFRAC(MAX($P$34*($B169+$I$38-1),IF(AND($L$37=0,$P$34=0),"",$L$37-1)),MIN(CB$38,$E169),$P$20))-SUM($BF169:CA169))</f>
        <v>0</v>
      </c>
      <c r="CC169" s="446">
        <f>IF($E169=0,0,IF(MIN(CC$38,$E169)&lt;MAX($P$34*($B169+$I$38-1),IF(AND($L$37=0,$P$34=0),"",$L$37-1)),0,YEARFRAC(MAX($P$34*($B169+$I$38-1),IF(AND($L$37=0,$P$34=0),"",$L$37-1)),MIN(CC$38,$E169),$P$20))-SUM($BF169:CB169))</f>
        <v>0</v>
      </c>
      <c r="CD169" s="446">
        <f>IF($E169=0,0,IF(MIN(CD$38,$E169)&lt;MAX($P$34*($B169+$I$38-1),IF(AND($L$37=0,$P$34=0),"",$L$37-1)),0,YEARFRAC(MAX($P$34*($B169+$I$38-1),IF(AND($L$37=0,$P$34=0),"",$L$37-1)),MIN(CD$38,$E169),$P$20))-SUM($BF169:CC169))</f>
        <v>0</v>
      </c>
      <c r="CE169" s="446">
        <f>IF($E169=0,0,IF(MIN(CE$38,$E169)&lt;MAX($P$34*($B169+$I$38-1),IF(AND($L$37=0,$P$34=0),"",$L$37-1)),0,YEARFRAC(MAX($P$34*($B169+$I$38-1),IF(AND($L$37=0,$P$34=0),"",$L$37-1)),MIN(CE$38,$E169),$P$20))-SUM($BF169:CD169))</f>
        <v>0</v>
      </c>
      <c r="CF169" s="446">
        <f>IF($E169=0,0,IF(MIN(CF$38,$E169)&lt;MAX($P$34*($B169+$I$38-1),IF(AND($L$37=0,$P$34=0),"",$L$37-1)),0,YEARFRAC(MAX($P$34*($B169+$I$38-1),IF(AND($L$37=0,$P$34=0),"",$L$37-1)),MIN(CF$38,$E169),$P$20))-SUM($BF169:CE169))</f>
        <v>0</v>
      </c>
      <c r="CG169" s="446">
        <f>IF($E169=0,0,IF(MIN(CG$38,$E169)&lt;MAX($P$34*($B169+$I$38-1),IF(AND($L$37=0,$P$34=0),"",$L$37-1)),0,YEARFRAC(MAX($P$34*($B169+$I$38-1),IF(AND($L$37=0,$P$34=0),"",$L$37-1)),MIN(CG$38,$E169),$P$20))-SUM($BF169:CF169))</f>
        <v>0</v>
      </c>
      <c r="CH169" s="446">
        <f>IF($E169=0,0,IF(MIN(CH$38,$E169)&lt;MAX($P$34*($B169+$I$38-1),IF(AND($L$37=0,$P$34=0),"",$L$37-1)),0,YEARFRAC(MAX($P$34*($B169+$I$38-1),IF(AND($L$37=0,$P$34=0),"",$L$37-1)),MIN(CH$38,$E169),$P$20))-SUM($BF169:CG169))</f>
        <v>0</v>
      </c>
      <c r="CI169" s="446">
        <f>IF($E169=0,0,IF(MIN(CI$38,$E169)&lt;MAX($P$34*($B169+$I$38-1),IF(AND($L$37=0,$P$34=0),"",$L$37-1)),0,YEARFRAC(MAX($P$34*($B169+$I$38-1),IF(AND($L$37=0,$P$34=0),"",$L$37-1)),MIN(CI$38,$E169),$P$20))-SUM($BF169:CH169))</f>
        <v>0</v>
      </c>
      <c r="CJ169" s="446">
        <f>IF($E169=0,0,IF(MIN(CJ$38,$E169)&lt;MAX($P$34*($B169+$I$38-1),IF(AND($L$37=0,$P$34=0),"",$L$37-1)),0,YEARFRAC(MAX($P$34*($B169+$I$38-1),IF(AND($L$37=0,$P$34=0),"",$L$37-1)),MIN(CJ$38,$E169),$P$20))-SUM($BF169:CI169))</f>
        <v>0</v>
      </c>
      <c r="CK169" s="446">
        <f>IF($E169=0,0,IF(MIN(CK$38,$E169)&lt;MAX($P$34*($B169+$I$38-1),IF(AND($L$37=0,$P$34=0),"",$L$37-1)),0,YEARFRAC(MAX($P$34*($B169+$I$38-1),IF(AND($L$37=0,$P$34=0),"",$L$37-1)),MIN(CK$38,$E169),$P$20))-SUM($BF169:CJ169))</f>
        <v>0</v>
      </c>
      <c r="CL169" s="446">
        <f>IF($E169=0,0,IF(MIN(CL$38,$E169)&lt;MAX($P$34*($B169+$I$38-1),IF(AND($L$37=0,$P$34=0),"",$L$37-1)),0,YEARFRAC(MAX($P$34*($B169+$I$38-1),IF(AND($L$37=0,$P$34=0),"",$L$37-1)),MIN(CL$38,$E169),$P$20))-SUM($BF169:CK169))</f>
        <v>0</v>
      </c>
      <c r="CM169" s="446">
        <f>IF($E169=0,0,IF(MIN(CM$38,$E169)&lt;MAX($P$34*($B169+$I$38-1),IF(AND($L$37=0,$P$34=0),"",$L$37-1)),0,YEARFRAC(MAX($P$34*($B169+$I$38-1),IF(AND($L$37=0,$P$34=0),"",$L$37-1)),MIN(CM$38,$E169),$P$20))-SUM($BF169:CL169))</f>
        <v>0</v>
      </c>
      <c r="CN169" s="446">
        <f>IF($E169=0,0,IF(MIN(CN$38,$E169)&lt;MAX($P$34*($B169+$I$38-1),IF(AND($L$37=0,$P$34=0),"",$L$37-1)),0,YEARFRAC(MAX($P$34*($B169+$I$38-1),IF(AND($L$37=0,$P$34=0),"",$L$37-1)),MIN(CN$38,$E169),$P$20))-SUM($BF169:CM169))</f>
        <v>0</v>
      </c>
      <c r="CO169" s="446">
        <f>IF($E169=0,0,IF(MIN(CO$38,$E169)&lt;MAX($P$34*($B169+$I$38-1),IF(AND($L$37=0,$P$34=0),"",$L$37-1)),0,YEARFRAC(MAX($P$34*($B169+$I$38-1),IF(AND($L$37=0,$P$34=0),"",$L$37-1)),MIN(CO$38,$E169),$P$20))-SUM($BF169:CN169))</f>
        <v>0</v>
      </c>
      <c r="CP169" s="446">
        <f>IF($E169=0,0,IF(MIN(CP$38,$E169)&lt;MAX($P$34*($B169+$I$38-1),IF(AND($L$37=0,$P$34=0),"",$L$37-1)),0,YEARFRAC(MAX($P$34*($B169+$I$38-1),IF(AND($L$37=0,$P$34=0),"",$L$37-1)),MIN(CP$38,$E169),$P$20))-SUM($BF169:CO169))</f>
        <v>0</v>
      </c>
      <c r="CQ169" s="446">
        <f>IF($E169=0,0,IF(MIN(CQ$38,$E169)&lt;MAX($P$34*($B169+$I$38-1),IF(AND($L$37=0,$P$34=0),"",$L$37-1)),0,YEARFRAC(MAX($P$34*($B169+$I$38-1),IF(AND($L$37=0,$P$34=0),"",$L$37-1)),MIN(CQ$38,$E169),$P$20))-SUM($BF169:CP169))</f>
        <v>0</v>
      </c>
    </row>
    <row r="170" spans="1:95" s="446" customFormat="1" ht="11.25" hidden="1" customHeight="1" x14ac:dyDescent="0.2">
      <c r="A170" s="152"/>
      <c r="B170" s="153" t="str">
        <f t="shared" ref="B170:B233" si="37">IF(B169="","",IF(AND(MONTH(B169)=12,MONTH(B168)=11,$B$38="com 13º"),IF(B169&gt;$D$19,"",B169),IF(DATE(YEAR(B169),MONTH(B169)+1,DAY(B169))&gt;$D$19,"",DATE(YEAR(B169),MONTH(B169)+1,DAY(B169)))))</f>
        <v/>
      </c>
      <c r="C170" s="29" t="str">
        <f>IF(B170="","",IF($L$35="SELIC - TRIBUTOS",VLOOKUP(DATE(YEAR($D$19),MONTH($D$19)-1,1),ÍNDICES!$A:$DE,HLOOKUP($BL$25,ÍNDICES!$B$3:$T$4,2)+11)-VLOOKUP(B170,ÍNDICES!$A:$DE,HLOOKUP($BL$25,ÍNDICES!$B$3:$T$4,2)+11)+1%,IF(C$38=$W$26,$J$35,IF(ISERROR(IF(B170&gt;$D$19,1,VLOOKUP(DATE(YEAR(B170),MONTH(B170)+IF($C$35=$S$23,1,0),1),ÍNDICES!$A:$DE,$Z$35+1))),"",IF(B170&gt;$D$19,1,VLOOKUP(DATE(YEAR(B170),MONTH(B170)+IF($C$35=$S$23,1,0),1),ÍNDICES!$A:$DE,$Z$35+1))))))</f>
        <v/>
      </c>
      <c r="D170" s="154" t="str">
        <f>IF(ISERROR(IF(OR($D$38=$Y$27,$B170=""),"",VLOOKUP(B170,ÍNDICES!A:DE,AF$35+1))),"",IF(OR($D$38=$Y$27,$B170=""),"",VLOOKUP(B170,ÍNDICES!A:DE,AF$35+1)))</f>
        <v/>
      </c>
      <c r="E170" s="153"/>
      <c r="F170" s="29" t="str">
        <f>IF(E170="","",IF($L$35="SELIC - TRIBUTOS",VLOOKUP(DATE(YEAR($D$19),MONTH($D$19)-1,1),ÍNDICES!$A:$DE,HLOOKUP($BL$25,ÍNDICES!$B$3:$T$4,2)+11)-VLOOKUP(E170,ÍNDICES!$A:$DE,HLOOKUP($BL$25,ÍNDICES!$B$3:$T$4,2)+11)+1%,IF(F$38=$W$26,$J$35,IF(ISERROR(IF(E170&gt;$D$19,1,VLOOKUP(DATE(YEAR(E170),MONTH(E170)+IF($C$35=$S$23,1,0),1),ÍNDICES!$A:$DE,$Z$35+1))),"",IF(E170&gt;$D$19,1,VLOOKUP(DATE(YEAR(E170),MONTH(E170)+IF($C$35=$S$23,1,0),1),ÍNDICES!$A:$DE,$Z$35+1))))))</f>
        <v/>
      </c>
      <c r="G170" s="155"/>
      <c r="H170" s="156" t="str">
        <f t="shared" si="33"/>
        <v/>
      </c>
      <c r="I170" s="29" t="str">
        <f t="shared" si="27"/>
        <v/>
      </c>
      <c r="J170" s="5">
        <f t="shared" si="28"/>
        <v>0</v>
      </c>
      <c r="K170" s="20">
        <f t="shared" ca="1" si="29"/>
        <v>0</v>
      </c>
      <c r="L170" s="5">
        <f t="shared" ca="1" si="30"/>
        <v>0</v>
      </c>
      <c r="M170" s="64">
        <f t="shared" si="34"/>
        <v>0</v>
      </c>
      <c r="N170" s="61">
        <f t="shared" ca="1" si="35"/>
        <v>0</v>
      </c>
      <c r="O170" s="5">
        <f t="shared" ca="1" si="36"/>
        <v>0</v>
      </c>
      <c r="P170" s="446" t="e">
        <f t="shared" si="31"/>
        <v>#VALUE!</v>
      </c>
      <c r="Q170" s="446" t="e">
        <f>IF(OR($B170="",MIN(Q$38,$D$19)&lt;MAX($P$34*($B170+IF($R$17="Distrato",$I$38-1,0)),IF(AND($L$37=0,$P$34=0),"",$L$37-1),IF($R$17="Distrato",$E170,0))),0,YEARFRAC(MAX($P$34*($B170+IF($R$17="Distrato",$I$38-1,0)),IF(AND($L$37=0,$P$34=0),"",$L$37-1),IF($R$17="Distrato",$E170,0)),MIN(Q$38,$D$19),$P$20))-SUM($P170:P170)</f>
        <v>#VALUE!</v>
      </c>
      <c r="R170" s="446" t="e">
        <f>IF(OR($B170="",MIN(R$38,$D$19)&lt;MAX($P$34*($B170+IF($R$17="Distrato",$I$38-1,0)),IF(AND($L$37=0,$P$34=0),"",$L$37-1),IF($R$17="Distrato",$E170,0))),0,YEARFRAC(MAX($P$34*($B170+IF($R$17="Distrato",$I$38-1,0)),IF(AND($L$37=0,$P$34=0),"",$L$37-1),IF($R$17="Distrato",$E170,0)),MIN(R$38,$D$19),$P$20))-SUM($P170:Q170)</f>
        <v>#VALUE!</v>
      </c>
      <c r="S170" s="446" t="e">
        <f>IF(OR($B170="",MIN(S$38,$D$19)&lt;MAX($P$34*($B170+IF($R$17="Distrato",$I$38-1,0)),IF(AND($L$37=0,$P$34=0),"",$L$37-1),IF($R$17="Distrato",$E170,0))),0,YEARFRAC(MAX($P$34*($B170+IF($R$17="Distrato",$I$38-1,0)),IF(AND($L$37=0,$P$34=0),"",$L$37-1),IF($R$17="Distrato",$E170,0)),MIN(S$38,$D$19),$P$20))-SUM($P170:R170)</f>
        <v>#VALUE!</v>
      </c>
      <c r="T170" s="446" t="e">
        <f>IF(OR($B170="",MIN(T$38,$D$19)&lt;MAX($P$34*($B170+IF($R$17="Distrato",$I$38-1,0)),IF(AND($L$37=0,$P$34=0),"",$L$37-1),IF($R$17="Distrato",$E170,0))),0,YEARFRAC(MAX($P$34*($B170+IF($R$17="Distrato",$I$38-1,0)),IF(AND($L$37=0,$P$34=0),"",$L$37-1),IF($R$17="Distrato",$E170,0)),MIN(T$38,$D$19),$P$20))-SUM($P170:S170)</f>
        <v>#VALUE!</v>
      </c>
      <c r="U170" s="446" t="e">
        <f>IF(OR($B170="",MIN(U$38,$D$19)&lt;MAX($P$34*($B170+IF($R$17="Distrato",$I$38-1,0)),IF(AND($L$37=0,$P$34=0),"",$L$37-1),IF($R$17="Distrato",$E170,0))),0,YEARFRAC(MAX($P$34*($B170+IF($R$17="Distrato",$I$38-1,0)),IF(AND($L$37=0,$P$34=0),"",$L$37-1),IF($R$17="Distrato",$E170,0)),MIN(U$38,$D$19),$P$20))-SUM($P170:T170)</f>
        <v>#VALUE!</v>
      </c>
      <c r="V170" s="446" t="e">
        <f>IF(OR($B170="",MIN(V$38,$D$19)&lt;MAX($P$34*($B170+IF($R$17="Distrato",$I$38-1,0)),IF(AND($L$37=0,$P$34=0),"",$L$37-1),IF($R$17="Distrato",$E170,0))),0,YEARFRAC(MAX($P$34*($B170+IF($R$17="Distrato",$I$38-1,0)),IF(AND($L$37=0,$P$34=0),"",$L$37-1),IF($R$17="Distrato",$E170,0)),MIN(V$38,$D$19),$P$20))-SUM($P170:U170)</f>
        <v>#VALUE!</v>
      </c>
      <c r="W170" s="446" t="e">
        <f>IF(OR($B170="",MIN(W$38,$D$19)&lt;MAX($P$34*($B170+IF($R$17="Distrato",$I$38-1,0)),IF(AND($L$37=0,$P$34=0),"",$L$37-1),IF($R$17="Distrato",$E170,0))),0,YEARFRAC(MAX($P$34*($B170+IF($R$17="Distrato",$I$38-1,0)),IF(AND($L$37=0,$P$34=0),"",$L$37-1),IF($R$17="Distrato",$E170,0)),MIN(W$38,$D$19),$P$20))-SUM($P170:V170)</f>
        <v>#VALUE!</v>
      </c>
      <c r="X170" s="446" t="e">
        <f>IF(OR($B170="",MIN(X$38,$D$19)&lt;MAX($P$34*($B170+IF($R$17="Distrato",$I$38-1,0)),IF(AND($L$37=0,$P$34=0),"",$L$37-1),IF($R$17="Distrato",$E170,0))),0,YEARFRAC(MAX($P$34*($B170+IF($R$17="Distrato",$I$38-1,0)),IF(AND($L$37=0,$P$34=0),"",$L$37-1),IF($R$17="Distrato",$E170,0)),MIN(X$38,$D$19),$P$20))-SUM($P170:W170)</f>
        <v>#VALUE!</v>
      </c>
      <c r="Y170" s="446" t="e">
        <f>IF(OR($B170="",MIN(Y$38,$D$19)&lt;MAX($P$34*($B170+IF($R$17="Distrato",$I$38-1,0)),IF(AND($L$37=0,$P$34=0),"",$L$37-1),IF($R$17="Distrato",$E170,0))),0,YEARFRAC(MAX($P$34*($B170+IF($R$17="Distrato",$I$38-1,0)),IF(AND($L$37=0,$P$34=0),"",$L$37-1),IF($R$17="Distrato",$E170,0)),MIN(Y$38,$D$19),$P$20))-SUM($P170:X170)</f>
        <v>#VALUE!</v>
      </c>
      <c r="Z170" s="446" t="e">
        <f>IF(OR($B170="",MIN(Z$38,$D$19)&lt;MAX($P$34*($B170+IF($R$17="Distrato",$I$38-1,0)),IF(AND($L$37=0,$P$34=0),"",$L$37-1),IF($R$17="Distrato",$E170,0))),0,YEARFRAC(MAX($P$34*($B170+IF($R$17="Distrato",$I$38-1,0)),IF(AND($L$37=0,$P$34=0),"",$L$37-1),IF($R$17="Distrato",$E170,0)),MIN(Z$38,$D$19),$P$20))-SUM($P170:Y170)</f>
        <v>#VALUE!</v>
      </c>
      <c r="AA170" s="446" t="e">
        <f>IF(OR($B170="",MIN(AA$38,$D$19)&lt;MAX($P$34*($B170+IF($R$17="Distrato",$I$38-1,0)),IF(AND($L$37=0,$P$34=0),"",$L$37-1),IF($R$17="Distrato",$E170,0))),0,YEARFRAC(MAX($P$34*($B170+IF($R$17="Distrato",$I$38-1,0)),IF(AND($L$37=0,$P$34=0),"",$L$37-1),IF($R$17="Distrato",$E170,0)),MIN(AA$38,$D$19),$P$20))-SUM($P170:Z170)</f>
        <v>#VALUE!</v>
      </c>
      <c r="AB170" s="446" t="e">
        <f>IF(OR($B170="",MIN(AB$38,$D$19)&lt;MAX($P$34*($B170+IF($R$17="Distrato",$I$38-1,0)),IF(AND($L$37=0,$P$34=0),"",$L$37-1),IF($R$17="Distrato",$E170,0))),0,YEARFRAC(MAX($P$34*($B170+IF($R$17="Distrato",$I$38-1,0)),IF(AND($L$37=0,$P$34=0),"",$L$37-1),IF($R$17="Distrato",$E170,0)),MIN(AB$38,$D$19),$P$20))-SUM($P170:AA170)</f>
        <v>#VALUE!</v>
      </c>
      <c r="AC170" s="446" t="e">
        <f>IF(OR($B170="",MIN(AC$38,$D$19)&lt;MAX($P$34*($B170+IF($R$17="Distrato",$I$38-1,0)),IF(AND($L$37=0,$P$34=0),"",$L$37-1),IF($R$17="Distrato",$E170,0))),0,YEARFRAC(MAX($P$34*($B170+IF($R$17="Distrato",$I$38-1,0)),IF(AND($L$37=0,$P$34=0),"",$L$37-1),IF($R$17="Distrato",$E170,0)),MIN(AC$38,$D$19),$P$20))-SUM($P170:AB170)</f>
        <v>#VALUE!</v>
      </c>
      <c r="AD170" s="446" t="e">
        <f>IF(OR($B170="",MIN(AD$38,$D$19)&lt;MAX($P$34*($B170+IF($R$17="Distrato",$I$38-1,0)),IF(AND($L$37=0,$P$34=0),"",$L$37-1),IF($R$17="Distrato",$E170,0))),0,YEARFRAC(MAX($P$34*($B170+IF($R$17="Distrato",$I$38-1,0)),IF(AND($L$37=0,$P$34=0),"",$L$37-1),IF($R$17="Distrato",$E170,0)),MIN(AD$38,$D$19),$P$20))-SUM($P170:AC170)</f>
        <v>#VALUE!</v>
      </c>
      <c r="AE170" s="446" t="e">
        <f>IF(OR($B170="",MIN(AE$38,$D$19)&lt;MAX($P$34*($B170+IF($R$17="Distrato",$I$38-1,0)),IF(AND($L$37=0,$P$34=0),"",$L$37-1),IF($R$17="Distrato",$E170,0))),0,YEARFRAC(MAX($P$34*($B170+IF($R$17="Distrato",$I$38-1,0)),IF(AND($L$37=0,$P$34=0),"",$L$37-1),IF($R$17="Distrato",$E170,0)),MIN(AE$38,$D$19),$P$20))-SUM($P170:AD170)</f>
        <v>#VALUE!</v>
      </c>
      <c r="AF170" s="446" t="e">
        <f>IF(OR($B170="",MIN(AF$38,$D$19)&lt;MAX($P$34*($B170+IF($R$17="Distrato",$I$38-1,0)),IF(AND($L$37=0,$P$34=0),"",$L$37-1),IF($R$17="Distrato",$E170,0))),0,YEARFRAC(MAX($P$34*($B170+IF($R$17="Distrato",$I$38-1,0)),IF(AND($L$37=0,$P$34=0),"",$L$37-1),IF($R$17="Distrato",$E170,0)),MIN(AF$38,$D$19),$P$20))-SUM($P170:AE170)</f>
        <v>#VALUE!</v>
      </c>
      <c r="AG170" s="446" t="e">
        <f>IF(OR($B170="",MIN(AG$38,$D$19)&lt;MAX($P$34*($B170+IF($R$17="Distrato",$I$38-1,0)),IF(AND($L$37=0,$P$34=0),"",$L$37-1),IF($R$17="Distrato",$E170,0))),0,YEARFRAC(MAX($P$34*($B170+IF($R$17="Distrato",$I$38-1,0)),IF(AND($L$37=0,$P$34=0),"",$L$37-1),IF($R$17="Distrato",$E170,0)),MIN(AG$38,$D$19),$P$20))-SUM($P170:AF170)</f>
        <v>#VALUE!</v>
      </c>
      <c r="AH170" s="446" t="e">
        <f>IF(OR($B170="",MIN(AH$38,$D$19)&lt;MAX($P$34*($B170+IF($R$17="Distrato",$I$38-1,0)),IF(AND($L$37=0,$P$34=0),"",$L$37-1),IF($R$17="Distrato",$E170,0))),0,YEARFRAC(MAX($P$34*($B170+IF($R$17="Distrato",$I$38-1,0)),IF(AND($L$37=0,$P$34=0),"",$L$37-1),IF($R$17="Distrato",$E170,0)),MIN(AH$38,$D$19),$P$20))-SUM($P170:AG170)</f>
        <v>#VALUE!</v>
      </c>
      <c r="AI170" s="446" t="e">
        <f>IF(OR($B170="",MIN(AI$38,$D$19)&lt;MAX($P$34*($B170+IF($R$17="Distrato",$I$38-1,0)),IF(AND($L$37=0,$P$34=0),"",$L$37-1),IF($R$17="Distrato",$E170,0))),0,YEARFRAC(MAX($P$34*($B170+IF($R$17="Distrato",$I$38-1,0)),IF(AND($L$37=0,$P$34=0),"",$L$37-1),IF($R$17="Distrato",$E170,0)),MIN(AI$38,$D$19),$P$20))-SUM($P170:AH170)</f>
        <v>#VALUE!</v>
      </c>
      <c r="AJ170" s="446" t="e">
        <f>IF(OR($B170="",MIN(AJ$38,$D$19)&lt;MAX($P$34*($B170+IF($R$17="Distrato",$I$38-1,0)),IF(AND($L$37=0,$P$34=0),"",$L$37-1),IF($R$17="Distrato",$E170,0))),0,YEARFRAC(MAX($P$34*($B170+IF($R$17="Distrato",$I$38-1,0)),IF(AND($L$37=0,$P$34=0),"",$L$37-1),IF($R$17="Distrato",$E170,0)),MIN(AJ$38,$D$19),$P$20))-SUM($P170:AI170)</f>
        <v>#VALUE!</v>
      </c>
      <c r="AK170" s="446" t="e">
        <f>IF(OR($B170="",MIN(AK$38,$D$19)&lt;MAX($P$34*($B170+IF($R$17="Distrato",$I$38-1,0)),IF(AND($L$37=0,$P$34=0),"",$L$37-1),IF($R$17="Distrato",$E170,0))),0,YEARFRAC(MAX($P$34*($B170+IF($R$17="Distrato",$I$38-1,0)),IF(AND($L$37=0,$P$34=0),"",$L$37-1),IF($R$17="Distrato",$E170,0)),MIN(AK$38,$D$19),$P$20))-SUM($P170:AJ170)</f>
        <v>#VALUE!</v>
      </c>
      <c r="AL170" s="446" t="e">
        <f>IF(OR($B170="",MIN(AL$38,$D$19)&lt;MAX($P$34*($B170+IF($R$17="Distrato",$I$38-1,0)),IF(AND($L$37=0,$P$34=0),"",$L$37-1),IF($R$17="Distrato",$E170,0))),0,YEARFRAC(MAX($P$34*($B170+IF($R$17="Distrato",$I$38-1,0)),IF(AND($L$37=0,$P$34=0),"",$L$37-1),IF($R$17="Distrato",$E170,0)),MIN(AL$38,$D$19),$P$20))-SUM($P170:AK170)</f>
        <v>#VALUE!</v>
      </c>
      <c r="AM170" s="446" t="e">
        <f>IF(OR($B170="",MIN(AM$38,$D$19)&lt;MAX($P$34*($B170+IF($R$17="Distrato",$I$38-1,0)),IF(AND($L$37=0,$P$34=0),"",$L$37-1),IF($R$17="Distrato",$E170,0))),0,YEARFRAC(MAX($P$34*($B170+IF($R$17="Distrato",$I$38-1,0)),IF(AND($L$37=0,$P$34=0),"",$L$37-1),IF($R$17="Distrato",$E170,0)),MIN(AM$38,$D$19),$P$20))-SUM($P170:AL170)</f>
        <v>#VALUE!</v>
      </c>
      <c r="AN170" s="446" t="e">
        <f>IF(OR($B170="",MIN(AN$38,$D$19)&lt;MAX($P$34*($B170+IF($R$17="Distrato",$I$38-1,0)),IF(AND($L$37=0,$P$34=0),"",$L$37-1),IF($R$17="Distrato",$E170,0))),0,YEARFRAC(MAX($P$34*($B170+IF($R$17="Distrato",$I$38-1,0)),IF(AND($L$37=0,$P$34=0),"",$L$37-1),IF($R$17="Distrato",$E170,0)),MIN(AN$38,$D$19),$P$20))-SUM($P170:AM170)</f>
        <v>#VALUE!</v>
      </c>
      <c r="AO170" s="446" t="e">
        <f>IF(OR($B170="",MIN(AO$38,$D$19)&lt;MAX($P$34*($B170+IF($R$17="Distrato",$I$38-1,0)),IF(AND($L$37=0,$P$34=0),"",$L$37-1),IF($R$17="Distrato",$E170,0))),0,YEARFRAC(MAX($P$34*($B170+IF($R$17="Distrato",$I$38-1,0)),IF(AND($L$37=0,$P$34=0),"",$L$37-1),IF($R$17="Distrato",$E170,0)),MIN(AO$38,$D$19),$P$20))-SUM($P170:AN170)</f>
        <v>#VALUE!</v>
      </c>
      <c r="AP170" s="446" t="e">
        <f>IF(OR($B170="",MIN(AP$38,$D$19)&lt;MAX($P$34*($B170+IF($R$17="Distrato",$I$38-1,0)),IF(AND($L$37=0,$P$34=0),"",$L$37-1),IF($R$17="Distrato",$E170,0))),0,YEARFRAC(MAX($P$34*($B170+IF($R$17="Distrato",$I$38-1,0)),IF(AND($L$37=0,$P$34=0),"",$L$37-1),IF($R$17="Distrato",$E170,0)),MIN(AP$38,$D$19),$P$20))-SUM($P170:AO170)</f>
        <v>#VALUE!</v>
      </c>
      <c r="AQ170" s="446" t="e">
        <f>IF(OR($B170="",MIN(AQ$38,$D$19)&lt;MAX($P$34*($B170+IF($R$17="Distrato",$I$38-1,0)),IF(AND($L$37=0,$P$34=0),"",$L$37-1),IF($R$17="Distrato",$E170,0))),0,YEARFRAC(MAX($P$34*($B170+IF($R$17="Distrato",$I$38-1,0)),IF(AND($L$37=0,$P$34=0),"",$L$37-1),IF($R$17="Distrato",$E170,0)),MIN(AQ$38,$D$19),$P$20))-SUM($P170:AP170)</f>
        <v>#VALUE!</v>
      </c>
      <c r="AR170" s="446" t="e">
        <f>IF(OR($B170="",MIN(AR$38,$D$19)&lt;MAX($P$34*($B170+IF($R$17="Distrato",$I$38-1,0)),IF(AND($L$37=0,$P$34=0),"",$L$37-1),IF($R$17="Distrato",$E170,0))),0,YEARFRAC(MAX($P$34*($B170+IF($R$17="Distrato",$I$38-1,0)),IF(AND($L$37=0,$P$34=0),"",$L$37-1),IF($R$17="Distrato",$E170,0)),MIN(AR$38,$D$19),$P$20))-SUM($P170:AQ170)</f>
        <v>#VALUE!</v>
      </c>
      <c r="AS170" s="446" t="e">
        <f>IF(OR($B170="",MIN(AS$38,$D$19)&lt;MAX($P$34*($B170+IF($R$17="Distrato",$I$38-1,0)),IF(AND($L$37=0,$P$34=0),"",$L$37-1),IF($R$17="Distrato",$E170,0))),0,YEARFRAC(MAX($P$34*($B170+IF($R$17="Distrato",$I$38-1,0)),IF(AND($L$37=0,$P$34=0),"",$L$37-1),IF($R$17="Distrato",$E170,0)),MIN(AS$38,$D$19),$P$20))-SUM($P170:AR170)</f>
        <v>#VALUE!</v>
      </c>
      <c r="AT170" s="446" t="e">
        <f>IF(OR($B170="",MIN(AT$38,$D$19)&lt;MAX($P$34*($B170+IF($R$17="Distrato",$I$38-1,0)),IF(AND($L$37=0,$P$34=0),"",$L$37-1),IF($R$17="Distrato",$E170,0))),0,YEARFRAC(MAX($P$34*($B170+IF($R$17="Distrato",$I$38-1,0)),IF(AND($L$37=0,$P$34=0),"",$L$37-1),IF($R$17="Distrato",$E170,0)),MIN(AT$38,$D$19),$P$20))-SUM($P170:AS170)</f>
        <v>#VALUE!</v>
      </c>
      <c r="AU170" s="446" t="e">
        <f>IF(OR($B170="",MIN(AU$38,$D$19)&lt;MAX($P$34*($B170+IF($R$17="Distrato",$I$38-1,0)),IF(AND($L$37=0,$P$34=0),"",$L$37-1),IF($R$17="Distrato",$E170,0))),0,YEARFRAC(MAX($P$34*($B170+IF($R$17="Distrato",$I$38-1,0)),IF(AND($L$37=0,$P$34=0),"",$L$37-1),IF($R$17="Distrato",$E170,0)),MIN(AU$38,$D$19),$P$20))-SUM($P170:AT170)</f>
        <v>#VALUE!</v>
      </c>
      <c r="AV170" s="446" t="e">
        <f>IF(OR($B170="",MIN(AV$38,$D$19)&lt;MAX($P$34*($B170+IF($R$17="Distrato",$I$38-1,0)),IF(AND($L$37=0,$P$34=0),"",$L$37-1),IF($R$17="Distrato",$E170,0))),0,YEARFRAC(MAX($P$34*($B170+IF($R$17="Distrato",$I$38-1,0)),IF(AND($L$37=0,$P$34=0),"",$L$37-1),IF($R$17="Distrato",$E170,0)),MIN(AV$38,$D$19),$P$20))-SUM($P170:AU170)</f>
        <v>#VALUE!</v>
      </c>
      <c r="AW170" s="446" t="e">
        <f>IF(OR($B170="",MIN(AW$38,$D$19)&lt;MAX($P$34*($B170+IF($R$17="Distrato",$I$38-1,0)),IF(AND($L$37=0,$P$34=0),"",$L$37-1),IF($R$17="Distrato",$E170,0))),0,YEARFRAC(MAX($P$34*($B170+IF($R$17="Distrato",$I$38-1,0)),IF(AND($L$37=0,$P$34=0),"",$L$37-1),IF($R$17="Distrato",$E170,0)),MIN(AW$38,$D$19),$P$20))-SUM($P170:AV170)</f>
        <v>#VALUE!</v>
      </c>
      <c r="AX170" s="446" t="e">
        <f>IF(OR($B170="",MIN(AX$38,$D$19)&lt;MAX($P$34*($B170+IF($R$17="Distrato",$I$38-1,0)),IF(AND($L$37=0,$P$34=0),"",$L$37-1),IF($R$17="Distrato",$E170,0))),0,YEARFRAC(MAX($P$34*($B170+IF($R$17="Distrato",$I$38-1,0)),IF(AND($L$37=0,$P$34=0),"",$L$37-1),IF($R$17="Distrato",$E170,0)),MIN(AX$38,$D$19),$P$20))-SUM($P170:AW170)</f>
        <v>#VALUE!</v>
      </c>
      <c r="AY170" s="446" t="e">
        <f>IF(OR($B170="",MIN(AY$38,$D$19)&lt;MAX($P$34*($B170+IF($R$17="Distrato",$I$38-1,0)),IF(AND($L$37=0,$P$34=0),"",$L$37-1),IF($R$17="Distrato",$E170,0))),0,YEARFRAC(MAX($P$34*($B170+IF($R$17="Distrato",$I$38-1,0)),IF(AND($L$37=0,$P$34=0),"",$L$37-1),IF($R$17="Distrato",$E170,0)),MIN(AY$38,$D$19),$P$20))-SUM($P170:AX170)</f>
        <v>#VALUE!</v>
      </c>
      <c r="AZ170" s="446" t="e">
        <f>IF(OR($B170="",MIN(AZ$38,$D$19)&lt;MAX($P$34*($B170+IF($R$17="Distrato",$I$38-1,0)),IF(AND($L$37=0,$P$34=0),"",$L$37-1),IF($R$17="Distrato",$E170,0))),0,YEARFRAC(MAX($P$34*($B170+IF($R$17="Distrato",$I$38-1,0)),IF(AND($L$37=0,$P$34=0),"",$L$37-1),IF($R$17="Distrato",$E170,0)),MIN(AZ$38,$D$19),$P$20))-SUM($P170:AY170)</f>
        <v>#VALUE!</v>
      </c>
      <c r="BA170" s="446" t="e">
        <f>IF(OR($B170="",MIN(BA$38,$D$19)&lt;MAX($P$34*($B170+IF($R$17="Distrato",$I$38-1,0)),IF(AND($L$37=0,$P$34=0),"",$L$37-1),IF($R$17="Distrato",$E170,0))),0,YEARFRAC(MAX($P$34*($B170+IF($R$17="Distrato",$I$38-1,0)),IF(AND($L$37=0,$P$34=0),"",$L$37-1),IF($R$17="Distrato",$E170,0)),MIN(BA$38,$D$19),$P$20))-SUM($P170:AZ170)</f>
        <v>#VALUE!</v>
      </c>
      <c r="BB170" s="447"/>
      <c r="BF170" s="446">
        <f t="shared" si="32"/>
        <v>0</v>
      </c>
      <c r="BG170" s="446">
        <f>IF($E170=0,0,IF(MIN(BG$38,$E170)&lt;MAX($P$34*($B170+$I$38-1),IF(AND($L$37=0,$P$34=0),"",$L$37-1)),0,YEARFRAC(MAX($P$34*($B170+$I$38-1),IF(AND($L$37=0,$P$34=0),"",$L$37-1)),MIN(BG$38,$E170),$P$20))-SUM($BF170:BF170))</f>
        <v>0</v>
      </c>
      <c r="BH170" s="446">
        <f>IF($E170=0,0,IF(MIN(BH$38,$E170)&lt;MAX($P$34*($B170+$I$38-1),IF(AND($L$37=0,$P$34=0),"",$L$37-1)),0,YEARFRAC(MAX($P$34*($B170+$I$38-1),IF(AND($L$37=0,$P$34=0),"",$L$37-1)),MIN(BH$38,$E170),$P$20))-SUM($BF170:BG170))</f>
        <v>0</v>
      </c>
      <c r="BI170" s="446">
        <f>IF($E170=0,0,IF(MIN(BI$38,$E170)&lt;MAX($P$34*($B170+$I$38-1),IF(AND($L$37=0,$P$34=0),"",$L$37-1)),0,YEARFRAC(MAX($P$34*($B170+$I$38-1),IF(AND($L$37=0,$P$34=0),"",$L$37-1)),MIN(BI$38,$E170),$P$20))-SUM($BF170:BH170))</f>
        <v>0</v>
      </c>
      <c r="BJ170" s="446">
        <f>IF($E170=0,0,IF(MIN(BJ$38,$E170)&lt;MAX($P$34*($B170+$I$38-1),IF(AND($L$37=0,$P$34=0),"",$L$37-1)),0,YEARFRAC(MAX($P$34*($B170+$I$38-1),IF(AND($L$37=0,$P$34=0),"",$L$37-1)),MIN(BJ$38,$E170),$P$20))-SUM($BF170:BI170))</f>
        <v>0</v>
      </c>
      <c r="BK170" s="446">
        <f>IF($E170=0,0,IF(MIN(BK$38,$E170)&lt;MAX($P$34*($B170+$I$38-1),IF(AND($L$37=0,$P$34=0),"",$L$37-1)),0,YEARFRAC(MAX($P$34*($B170+$I$38-1),IF(AND($L$37=0,$P$34=0),"",$L$37-1)),MIN(BK$38,$E170),$P$20))-SUM($BF170:BJ170))</f>
        <v>0</v>
      </c>
      <c r="BL170" s="446">
        <f>IF($E170=0,0,IF(MIN(BL$38,$E170)&lt;MAX($P$34*($B170+$I$38-1),IF(AND($L$37=0,$P$34=0),"",$L$37-1)),0,YEARFRAC(MAX($P$34*($B170+$I$38-1),IF(AND($L$37=0,$P$34=0),"",$L$37-1)),MIN(BL$38,$E170),$P$20))-SUM($BF170:BK170))</f>
        <v>0</v>
      </c>
      <c r="BM170" s="446">
        <f>IF($E170=0,0,IF(MIN(BM$38,$E170)&lt;MAX($P$34*($B170+$I$38-1),IF(AND($L$37=0,$P$34=0),"",$L$37-1)),0,YEARFRAC(MAX($P$34*($B170+$I$38-1),IF(AND($L$37=0,$P$34=0),"",$L$37-1)),MIN(BM$38,$E170),$P$20))-SUM($BF170:BL170))</f>
        <v>0</v>
      </c>
      <c r="BN170" s="446">
        <f>IF($E170=0,0,IF(MIN(BN$38,$E170)&lt;MAX($P$34*($B170+$I$38-1),IF(AND($L$37=0,$P$34=0),"",$L$37-1)),0,YEARFRAC(MAX($P$34*($B170+$I$38-1),IF(AND($L$37=0,$P$34=0),"",$L$37-1)),MIN(BN$38,$E170),$P$20))-SUM($BF170:BM170))</f>
        <v>0</v>
      </c>
      <c r="BO170" s="446">
        <f>IF($E170=0,0,IF(MIN(BO$38,$E170)&lt;MAX($P$34*($B170+$I$38-1),IF(AND($L$37=0,$P$34=0),"",$L$37-1)),0,YEARFRAC(MAX($P$34*($B170+$I$38-1),IF(AND($L$37=0,$P$34=0),"",$L$37-1)),MIN(BO$38,$E170),$P$20))-SUM($BF170:BN170))</f>
        <v>0</v>
      </c>
      <c r="BP170" s="446">
        <f>IF($E170=0,0,IF(MIN(BP$38,$E170)&lt;MAX($P$34*($B170+$I$38-1),IF(AND($L$37=0,$P$34=0),"",$L$37-1)),0,YEARFRAC(MAX($P$34*($B170+$I$38-1),IF(AND($L$37=0,$P$34=0),"",$L$37-1)),MIN(BP$38,$E170),$P$20))-SUM($BF170:BO170))</f>
        <v>0</v>
      </c>
      <c r="BQ170" s="446">
        <f>IF($E170=0,0,IF(MIN(BQ$38,$E170)&lt;MAX($P$34*($B170+$I$38-1),IF(AND($L$37=0,$P$34=0),"",$L$37-1)),0,YEARFRAC(MAX($P$34*($B170+$I$38-1),IF(AND($L$37=0,$P$34=0),"",$L$37-1)),MIN(BQ$38,$E170),$P$20))-SUM($BF170:BP170))</f>
        <v>0</v>
      </c>
      <c r="BR170" s="446">
        <f>IF($E170=0,0,IF(MIN(BR$38,$E170)&lt;MAX($P$34*($B170+$I$38-1),IF(AND($L$37=0,$P$34=0),"",$L$37-1)),0,YEARFRAC(MAX($P$34*($B170+$I$38-1),IF(AND($L$37=0,$P$34=0),"",$L$37-1)),MIN(BR$38,$E170),$P$20))-SUM($BF170:BQ170))</f>
        <v>0</v>
      </c>
      <c r="BS170" s="446">
        <f>IF($E170=0,0,IF(MIN(BS$38,$E170)&lt;MAX($P$34*($B170+$I$38-1),IF(AND($L$37=0,$P$34=0),"",$L$37-1)),0,YEARFRAC(MAX($P$34*($B170+$I$38-1),IF(AND($L$37=0,$P$34=0),"",$L$37-1)),MIN(BS$38,$E170),$P$20))-SUM($BF170:BR170))</f>
        <v>0</v>
      </c>
      <c r="BT170" s="446">
        <f>IF($E170=0,0,IF(MIN(BT$38,$E170)&lt;MAX($P$34*($B170+$I$38-1),IF(AND($L$37=0,$P$34=0),"",$L$37-1)),0,YEARFRAC(MAX($P$34*($B170+$I$38-1),IF(AND($L$37=0,$P$34=0),"",$L$37-1)),MIN(BT$38,$E170),$P$20))-SUM($BF170:BS170))</f>
        <v>0</v>
      </c>
      <c r="BU170" s="446">
        <f>IF($E170=0,0,IF(MIN(BU$38,$E170)&lt;MAX($P$34*($B170+$I$38-1),IF(AND($L$37=0,$P$34=0),"",$L$37-1)),0,YEARFRAC(MAX($P$34*($B170+$I$38-1),IF(AND($L$37=0,$P$34=0),"",$L$37-1)),MIN(BU$38,$E170),$P$20))-SUM($BF170:BT170))</f>
        <v>0</v>
      </c>
      <c r="BV170" s="446">
        <f>IF($E170=0,0,IF(MIN(BV$38,$E170)&lt;MAX($P$34*($B170+$I$38-1),IF(AND($L$37=0,$P$34=0),"",$L$37-1)),0,YEARFRAC(MAX($P$34*($B170+$I$38-1),IF(AND($L$37=0,$P$34=0),"",$L$37-1)),MIN(BV$38,$E170),$P$20))-SUM($BF170:BU170))</f>
        <v>0</v>
      </c>
      <c r="BW170" s="446">
        <f>IF($E170=0,0,IF(MIN(BW$38,$E170)&lt;MAX($P$34*($B170+$I$38-1),IF(AND($L$37=0,$P$34=0),"",$L$37-1)),0,YEARFRAC(MAX($P$34*($B170+$I$38-1),IF(AND($L$37=0,$P$34=0),"",$L$37-1)),MIN(BW$38,$E170),$P$20))-SUM($BF170:BV170))</f>
        <v>0</v>
      </c>
      <c r="BX170" s="446">
        <f>IF($E170=0,0,IF(MIN(BX$38,$E170)&lt;MAX($P$34*($B170+$I$38-1),IF(AND($L$37=0,$P$34=0),"",$L$37-1)),0,YEARFRAC(MAX($P$34*($B170+$I$38-1),IF(AND($L$37=0,$P$34=0),"",$L$37-1)),MIN(BX$38,$E170),$P$20))-SUM($BF170:BW170))</f>
        <v>0</v>
      </c>
      <c r="BY170" s="446">
        <f>IF($E170=0,0,IF(MIN(BY$38,$E170)&lt;MAX($P$34*($B170+$I$38-1),IF(AND($L$37=0,$P$34=0),"",$L$37-1)),0,YEARFRAC(MAX($P$34*($B170+$I$38-1),IF(AND($L$37=0,$P$34=0),"",$L$37-1)),MIN(BY$38,$E170),$P$20))-SUM($BF170:BX170))</f>
        <v>0</v>
      </c>
      <c r="BZ170" s="446">
        <f>IF($E170=0,0,IF(MIN(BZ$38,$E170)&lt;MAX($P$34*($B170+$I$38-1),IF(AND($L$37=0,$P$34=0),"",$L$37-1)),0,YEARFRAC(MAX($P$34*($B170+$I$38-1),IF(AND($L$37=0,$P$34=0),"",$L$37-1)),MIN(BZ$38,$E170),$P$20))-SUM($BF170:BY170))</f>
        <v>0</v>
      </c>
      <c r="CA170" s="446">
        <f>IF($E170=0,0,IF(MIN(CA$38,$E170)&lt;MAX($P$34*($B170+$I$38-1),IF(AND($L$37=0,$P$34=0),"",$L$37-1)),0,YEARFRAC(MAX($P$34*($B170+$I$38-1),IF(AND($L$37=0,$P$34=0),"",$L$37-1)),MIN(CA$38,$E170),$P$20))-SUM($BF170:BZ170))</f>
        <v>0</v>
      </c>
      <c r="CB170" s="446">
        <f>IF($E170=0,0,IF(MIN(CB$38,$E170)&lt;MAX($P$34*($B170+$I$38-1),IF(AND($L$37=0,$P$34=0),"",$L$37-1)),0,YEARFRAC(MAX($P$34*($B170+$I$38-1),IF(AND($L$37=0,$P$34=0),"",$L$37-1)),MIN(CB$38,$E170),$P$20))-SUM($BF170:CA170))</f>
        <v>0</v>
      </c>
      <c r="CC170" s="446">
        <f>IF($E170=0,0,IF(MIN(CC$38,$E170)&lt;MAX($P$34*($B170+$I$38-1),IF(AND($L$37=0,$P$34=0),"",$L$37-1)),0,YEARFRAC(MAX($P$34*($B170+$I$38-1),IF(AND($L$37=0,$P$34=0),"",$L$37-1)),MIN(CC$38,$E170),$P$20))-SUM($BF170:CB170))</f>
        <v>0</v>
      </c>
      <c r="CD170" s="446">
        <f>IF($E170=0,0,IF(MIN(CD$38,$E170)&lt;MAX($P$34*($B170+$I$38-1),IF(AND($L$37=0,$P$34=0),"",$L$37-1)),0,YEARFRAC(MAX($P$34*($B170+$I$38-1),IF(AND($L$37=0,$P$34=0),"",$L$37-1)),MIN(CD$38,$E170),$P$20))-SUM($BF170:CC170))</f>
        <v>0</v>
      </c>
      <c r="CE170" s="446">
        <f>IF($E170=0,0,IF(MIN(CE$38,$E170)&lt;MAX($P$34*($B170+$I$38-1),IF(AND($L$37=0,$P$34=0),"",$L$37-1)),0,YEARFRAC(MAX($P$34*($B170+$I$38-1),IF(AND($L$37=0,$P$34=0),"",$L$37-1)),MIN(CE$38,$E170),$P$20))-SUM($BF170:CD170))</f>
        <v>0</v>
      </c>
      <c r="CF170" s="446">
        <f>IF($E170=0,0,IF(MIN(CF$38,$E170)&lt;MAX($P$34*($B170+$I$38-1),IF(AND($L$37=0,$P$34=0),"",$L$37-1)),0,YEARFRAC(MAX($P$34*($B170+$I$38-1),IF(AND($L$37=0,$P$34=0),"",$L$37-1)),MIN(CF$38,$E170),$P$20))-SUM($BF170:CE170))</f>
        <v>0</v>
      </c>
      <c r="CG170" s="446">
        <f>IF($E170=0,0,IF(MIN(CG$38,$E170)&lt;MAX($P$34*($B170+$I$38-1),IF(AND($L$37=0,$P$34=0),"",$L$37-1)),0,YEARFRAC(MAX($P$34*($B170+$I$38-1),IF(AND($L$37=0,$P$34=0),"",$L$37-1)),MIN(CG$38,$E170),$P$20))-SUM($BF170:CF170))</f>
        <v>0</v>
      </c>
      <c r="CH170" s="446">
        <f>IF($E170=0,0,IF(MIN(CH$38,$E170)&lt;MAX($P$34*($B170+$I$38-1),IF(AND($L$37=0,$P$34=0),"",$L$37-1)),0,YEARFRAC(MAX($P$34*($B170+$I$38-1),IF(AND($L$37=0,$P$34=0),"",$L$37-1)),MIN(CH$38,$E170),$P$20))-SUM($BF170:CG170))</f>
        <v>0</v>
      </c>
      <c r="CI170" s="446">
        <f>IF($E170=0,0,IF(MIN(CI$38,$E170)&lt;MAX($P$34*($B170+$I$38-1),IF(AND($L$37=0,$P$34=0),"",$L$37-1)),0,YEARFRAC(MAX($P$34*($B170+$I$38-1),IF(AND($L$37=0,$P$34=0),"",$L$37-1)),MIN(CI$38,$E170),$P$20))-SUM($BF170:CH170))</f>
        <v>0</v>
      </c>
      <c r="CJ170" s="446">
        <f>IF($E170=0,0,IF(MIN(CJ$38,$E170)&lt;MAX($P$34*($B170+$I$38-1),IF(AND($L$37=0,$P$34=0),"",$L$37-1)),0,YEARFRAC(MAX($P$34*($B170+$I$38-1),IF(AND($L$37=0,$P$34=0),"",$L$37-1)),MIN(CJ$38,$E170),$P$20))-SUM($BF170:CI170))</f>
        <v>0</v>
      </c>
      <c r="CK170" s="446">
        <f>IF($E170=0,0,IF(MIN(CK$38,$E170)&lt;MAX($P$34*($B170+$I$38-1),IF(AND($L$37=0,$P$34=0),"",$L$37-1)),0,YEARFRAC(MAX($P$34*($B170+$I$38-1),IF(AND($L$37=0,$P$34=0),"",$L$37-1)),MIN(CK$38,$E170),$P$20))-SUM($BF170:CJ170))</f>
        <v>0</v>
      </c>
      <c r="CL170" s="446">
        <f>IF($E170=0,0,IF(MIN(CL$38,$E170)&lt;MAX($P$34*($B170+$I$38-1),IF(AND($L$37=0,$P$34=0),"",$L$37-1)),0,YEARFRAC(MAX($P$34*($B170+$I$38-1),IF(AND($L$37=0,$P$34=0),"",$L$37-1)),MIN(CL$38,$E170),$P$20))-SUM($BF170:CK170))</f>
        <v>0</v>
      </c>
      <c r="CM170" s="446">
        <f>IF($E170=0,0,IF(MIN(CM$38,$E170)&lt;MAX($P$34*($B170+$I$38-1),IF(AND($L$37=0,$P$34=0),"",$L$37-1)),0,YEARFRAC(MAX($P$34*($B170+$I$38-1),IF(AND($L$37=0,$P$34=0),"",$L$37-1)),MIN(CM$38,$E170),$P$20))-SUM($BF170:CL170))</f>
        <v>0</v>
      </c>
      <c r="CN170" s="446">
        <f>IF($E170=0,0,IF(MIN(CN$38,$E170)&lt;MAX($P$34*($B170+$I$38-1),IF(AND($L$37=0,$P$34=0),"",$L$37-1)),0,YEARFRAC(MAX($P$34*($B170+$I$38-1),IF(AND($L$37=0,$P$34=0),"",$L$37-1)),MIN(CN$38,$E170),$P$20))-SUM($BF170:CM170))</f>
        <v>0</v>
      </c>
      <c r="CO170" s="446">
        <f>IF($E170=0,0,IF(MIN(CO$38,$E170)&lt;MAX($P$34*($B170+$I$38-1),IF(AND($L$37=0,$P$34=0),"",$L$37-1)),0,YEARFRAC(MAX($P$34*($B170+$I$38-1),IF(AND($L$37=0,$P$34=0),"",$L$37-1)),MIN(CO$38,$E170),$P$20))-SUM($BF170:CN170))</f>
        <v>0</v>
      </c>
      <c r="CP170" s="446">
        <f>IF($E170=0,0,IF(MIN(CP$38,$E170)&lt;MAX($P$34*($B170+$I$38-1),IF(AND($L$37=0,$P$34=0),"",$L$37-1)),0,YEARFRAC(MAX($P$34*($B170+$I$38-1),IF(AND($L$37=0,$P$34=0),"",$L$37-1)),MIN(CP$38,$E170),$P$20))-SUM($BF170:CO170))</f>
        <v>0</v>
      </c>
      <c r="CQ170" s="446">
        <f>IF($E170=0,0,IF(MIN(CQ$38,$E170)&lt;MAX($P$34*($B170+$I$38-1),IF(AND($L$37=0,$P$34=0),"",$L$37-1)),0,YEARFRAC(MAX($P$34*($B170+$I$38-1),IF(AND($L$37=0,$P$34=0),"",$L$37-1)),MIN(CQ$38,$E170),$P$20))-SUM($BF170:CP170))</f>
        <v>0</v>
      </c>
    </row>
    <row r="171" spans="1:95" s="446" customFormat="1" ht="11.25" hidden="1" customHeight="1" x14ac:dyDescent="0.2">
      <c r="A171" s="152"/>
      <c r="B171" s="153" t="str">
        <f t="shared" si="37"/>
        <v/>
      </c>
      <c r="C171" s="29" t="str">
        <f>IF(B171="","",IF($L$35="SELIC - TRIBUTOS",VLOOKUP(DATE(YEAR($D$19),MONTH($D$19)-1,1),ÍNDICES!$A:$DE,HLOOKUP($BL$25,ÍNDICES!$B$3:$T$4,2)+11)-VLOOKUP(B171,ÍNDICES!$A:$DE,HLOOKUP($BL$25,ÍNDICES!$B$3:$T$4,2)+11)+1%,IF(C$38=$W$26,$J$35,IF(ISERROR(IF(B171&gt;$D$19,1,VLOOKUP(DATE(YEAR(B171),MONTH(B171)+IF($C$35=$S$23,1,0),1),ÍNDICES!$A:$DE,$Z$35+1))),"",IF(B171&gt;$D$19,1,VLOOKUP(DATE(YEAR(B171),MONTH(B171)+IF($C$35=$S$23,1,0),1),ÍNDICES!$A:$DE,$Z$35+1))))))</f>
        <v/>
      </c>
      <c r="D171" s="154" t="str">
        <f>IF(ISERROR(IF(OR($D$38=$Y$27,$B171=""),"",VLOOKUP(B171,ÍNDICES!A:DE,AF$35+1))),"",IF(OR($D$38=$Y$27,$B171=""),"",VLOOKUP(B171,ÍNDICES!A:DE,AF$35+1)))</f>
        <v/>
      </c>
      <c r="E171" s="153"/>
      <c r="F171" s="29" t="str">
        <f>IF(E171="","",IF($L$35="SELIC - TRIBUTOS",VLOOKUP(DATE(YEAR($D$19),MONTH($D$19)-1,1),ÍNDICES!$A:$DE,HLOOKUP($BL$25,ÍNDICES!$B$3:$T$4,2)+11)-VLOOKUP(E171,ÍNDICES!$A:$DE,HLOOKUP($BL$25,ÍNDICES!$B$3:$T$4,2)+11)+1%,IF(F$38=$W$26,$J$35,IF(ISERROR(IF(E171&gt;$D$19,1,VLOOKUP(DATE(YEAR(E171),MONTH(E171)+IF($C$35=$S$23,1,0),1),ÍNDICES!$A:$DE,$Z$35+1))),"",IF(E171&gt;$D$19,1,VLOOKUP(DATE(YEAR(E171),MONTH(E171)+IF($C$35=$S$23,1,0),1),ÍNDICES!$A:$DE,$Z$35+1))))))</f>
        <v/>
      </c>
      <c r="G171" s="155"/>
      <c r="H171" s="156" t="str">
        <f t="shared" si="33"/>
        <v/>
      </c>
      <c r="I171" s="29" t="str">
        <f t="shared" si="27"/>
        <v/>
      </c>
      <c r="J171" s="5">
        <f t="shared" si="28"/>
        <v>0</v>
      </c>
      <c r="K171" s="20">
        <f t="shared" ca="1" si="29"/>
        <v>0</v>
      </c>
      <c r="L171" s="5">
        <f t="shared" ca="1" si="30"/>
        <v>0</v>
      </c>
      <c r="M171" s="64">
        <f t="shared" si="34"/>
        <v>0</v>
      </c>
      <c r="N171" s="61">
        <f t="shared" ca="1" si="35"/>
        <v>0</v>
      </c>
      <c r="O171" s="5">
        <f t="shared" ca="1" si="36"/>
        <v>0</v>
      </c>
      <c r="P171" s="446" t="e">
        <f t="shared" si="31"/>
        <v>#VALUE!</v>
      </c>
      <c r="Q171" s="446" t="e">
        <f>IF(OR($B171="",MIN(Q$38,$D$19)&lt;MAX($P$34*($B171+IF($R$17="Distrato",$I$38-1,0)),IF(AND($L$37=0,$P$34=0),"",$L$37-1),IF($R$17="Distrato",$E171,0))),0,YEARFRAC(MAX($P$34*($B171+IF($R$17="Distrato",$I$38-1,0)),IF(AND($L$37=0,$P$34=0),"",$L$37-1),IF($R$17="Distrato",$E171,0)),MIN(Q$38,$D$19),$P$20))-SUM($P171:P171)</f>
        <v>#VALUE!</v>
      </c>
      <c r="R171" s="446" t="e">
        <f>IF(OR($B171="",MIN(R$38,$D$19)&lt;MAX($P$34*($B171+IF($R$17="Distrato",$I$38-1,0)),IF(AND($L$37=0,$P$34=0),"",$L$37-1),IF($R$17="Distrato",$E171,0))),0,YEARFRAC(MAX($P$34*($B171+IF($R$17="Distrato",$I$38-1,0)),IF(AND($L$37=0,$P$34=0),"",$L$37-1),IF($R$17="Distrato",$E171,0)),MIN(R$38,$D$19),$P$20))-SUM($P171:Q171)</f>
        <v>#VALUE!</v>
      </c>
      <c r="S171" s="446" t="e">
        <f>IF(OR($B171="",MIN(S$38,$D$19)&lt;MAX($P$34*($B171+IF($R$17="Distrato",$I$38-1,0)),IF(AND($L$37=0,$P$34=0),"",$L$37-1),IF($R$17="Distrato",$E171,0))),0,YEARFRAC(MAX($P$34*($B171+IF($R$17="Distrato",$I$38-1,0)),IF(AND($L$37=0,$P$34=0),"",$L$37-1),IF($R$17="Distrato",$E171,0)),MIN(S$38,$D$19),$P$20))-SUM($P171:R171)</f>
        <v>#VALUE!</v>
      </c>
      <c r="T171" s="446" t="e">
        <f>IF(OR($B171="",MIN(T$38,$D$19)&lt;MAX($P$34*($B171+IF($R$17="Distrato",$I$38-1,0)),IF(AND($L$37=0,$P$34=0),"",$L$37-1),IF($R$17="Distrato",$E171,0))),0,YEARFRAC(MAX($P$34*($B171+IF($R$17="Distrato",$I$38-1,0)),IF(AND($L$37=0,$P$34=0),"",$L$37-1),IF($R$17="Distrato",$E171,0)),MIN(T$38,$D$19),$P$20))-SUM($P171:S171)</f>
        <v>#VALUE!</v>
      </c>
      <c r="U171" s="446" t="e">
        <f>IF(OR($B171="",MIN(U$38,$D$19)&lt;MAX($P$34*($B171+IF($R$17="Distrato",$I$38-1,0)),IF(AND($L$37=0,$P$34=0),"",$L$37-1),IF($R$17="Distrato",$E171,0))),0,YEARFRAC(MAX($P$34*($B171+IF($R$17="Distrato",$I$38-1,0)),IF(AND($L$37=0,$P$34=0),"",$L$37-1),IF($R$17="Distrato",$E171,0)),MIN(U$38,$D$19),$P$20))-SUM($P171:T171)</f>
        <v>#VALUE!</v>
      </c>
      <c r="V171" s="446" t="e">
        <f>IF(OR($B171="",MIN(V$38,$D$19)&lt;MAX($P$34*($B171+IF($R$17="Distrato",$I$38-1,0)),IF(AND($L$37=0,$P$34=0),"",$L$37-1),IF($R$17="Distrato",$E171,0))),0,YEARFRAC(MAX($P$34*($B171+IF($R$17="Distrato",$I$38-1,0)),IF(AND($L$37=0,$P$34=0),"",$L$37-1),IF($R$17="Distrato",$E171,0)),MIN(V$38,$D$19),$P$20))-SUM($P171:U171)</f>
        <v>#VALUE!</v>
      </c>
      <c r="W171" s="446" t="e">
        <f>IF(OR($B171="",MIN(W$38,$D$19)&lt;MAX($P$34*($B171+IF($R$17="Distrato",$I$38-1,0)),IF(AND($L$37=0,$P$34=0),"",$L$37-1),IF($R$17="Distrato",$E171,0))),0,YEARFRAC(MAX($P$34*($B171+IF($R$17="Distrato",$I$38-1,0)),IF(AND($L$37=0,$P$34=0),"",$L$37-1),IF($R$17="Distrato",$E171,0)),MIN(W$38,$D$19),$P$20))-SUM($P171:V171)</f>
        <v>#VALUE!</v>
      </c>
      <c r="X171" s="446" t="e">
        <f>IF(OR($B171="",MIN(X$38,$D$19)&lt;MAX($P$34*($B171+IF($R$17="Distrato",$I$38-1,0)),IF(AND($L$37=0,$P$34=0),"",$L$37-1),IF($R$17="Distrato",$E171,0))),0,YEARFRAC(MAX($P$34*($B171+IF($R$17="Distrato",$I$38-1,0)),IF(AND($L$37=0,$P$34=0),"",$L$37-1),IF($R$17="Distrato",$E171,0)),MIN(X$38,$D$19),$P$20))-SUM($P171:W171)</f>
        <v>#VALUE!</v>
      </c>
      <c r="Y171" s="446" t="e">
        <f>IF(OR($B171="",MIN(Y$38,$D$19)&lt;MAX($P$34*($B171+IF($R$17="Distrato",$I$38-1,0)),IF(AND($L$37=0,$P$34=0),"",$L$37-1),IF($R$17="Distrato",$E171,0))),0,YEARFRAC(MAX($P$34*($B171+IF($R$17="Distrato",$I$38-1,0)),IF(AND($L$37=0,$P$34=0),"",$L$37-1),IF($R$17="Distrato",$E171,0)),MIN(Y$38,$D$19),$P$20))-SUM($P171:X171)</f>
        <v>#VALUE!</v>
      </c>
      <c r="Z171" s="446" t="e">
        <f>IF(OR($B171="",MIN(Z$38,$D$19)&lt;MAX($P$34*($B171+IF($R$17="Distrato",$I$38-1,0)),IF(AND($L$37=0,$P$34=0),"",$L$37-1),IF($R$17="Distrato",$E171,0))),0,YEARFRAC(MAX($P$34*($B171+IF($R$17="Distrato",$I$38-1,0)),IF(AND($L$37=0,$P$34=0),"",$L$37-1),IF($R$17="Distrato",$E171,0)),MIN(Z$38,$D$19),$P$20))-SUM($P171:Y171)</f>
        <v>#VALUE!</v>
      </c>
      <c r="AA171" s="446" t="e">
        <f>IF(OR($B171="",MIN(AA$38,$D$19)&lt;MAX($P$34*($B171+IF($R$17="Distrato",$I$38-1,0)),IF(AND($L$37=0,$P$34=0),"",$L$37-1),IF($R$17="Distrato",$E171,0))),0,YEARFRAC(MAX($P$34*($B171+IF($R$17="Distrato",$I$38-1,0)),IF(AND($L$37=0,$P$34=0),"",$L$37-1),IF($R$17="Distrato",$E171,0)),MIN(AA$38,$D$19),$P$20))-SUM($P171:Z171)</f>
        <v>#VALUE!</v>
      </c>
      <c r="AB171" s="446" t="e">
        <f>IF(OR($B171="",MIN(AB$38,$D$19)&lt;MAX($P$34*($B171+IF($R$17="Distrato",$I$38-1,0)),IF(AND($L$37=0,$P$34=0),"",$L$37-1),IF($R$17="Distrato",$E171,0))),0,YEARFRAC(MAX($P$34*($B171+IF($R$17="Distrato",$I$38-1,0)),IF(AND($L$37=0,$P$34=0),"",$L$37-1),IF($R$17="Distrato",$E171,0)),MIN(AB$38,$D$19),$P$20))-SUM($P171:AA171)</f>
        <v>#VALUE!</v>
      </c>
      <c r="AC171" s="446" t="e">
        <f>IF(OR($B171="",MIN(AC$38,$D$19)&lt;MAX($P$34*($B171+IF($R$17="Distrato",$I$38-1,0)),IF(AND($L$37=0,$P$34=0),"",$L$37-1),IF($R$17="Distrato",$E171,0))),0,YEARFRAC(MAX($P$34*($B171+IF($R$17="Distrato",$I$38-1,0)),IF(AND($L$37=0,$P$34=0),"",$L$37-1),IF($R$17="Distrato",$E171,0)),MIN(AC$38,$D$19),$P$20))-SUM($P171:AB171)</f>
        <v>#VALUE!</v>
      </c>
      <c r="AD171" s="446" t="e">
        <f>IF(OR($B171="",MIN(AD$38,$D$19)&lt;MAX($P$34*($B171+IF($R$17="Distrato",$I$38-1,0)),IF(AND($L$37=0,$P$34=0),"",$L$37-1),IF($R$17="Distrato",$E171,0))),0,YEARFRAC(MAX($P$34*($B171+IF($R$17="Distrato",$I$38-1,0)),IF(AND($L$37=0,$P$34=0),"",$L$37-1),IF($R$17="Distrato",$E171,0)),MIN(AD$38,$D$19),$P$20))-SUM($P171:AC171)</f>
        <v>#VALUE!</v>
      </c>
      <c r="AE171" s="446" t="e">
        <f>IF(OR($B171="",MIN(AE$38,$D$19)&lt;MAX($P$34*($B171+IF($R$17="Distrato",$I$38-1,0)),IF(AND($L$37=0,$P$34=0),"",$L$37-1),IF($R$17="Distrato",$E171,0))),0,YEARFRAC(MAX($P$34*($B171+IF($R$17="Distrato",$I$38-1,0)),IF(AND($L$37=0,$P$34=0),"",$L$37-1),IF($R$17="Distrato",$E171,0)),MIN(AE$38,$D$19),$P$20))-SUM($P171:AD171)</f>
        <v>#VALUE!</v>
      </c>
      <c r="AF171" s="446" t="e">
        <f>IF(OR($B171="",MIN(AF$38,$D$19)&lt;MAX($P$34*($B171+IF($R$17="Distrato",$I$38-1,0)),IF(AND($L$37=0,$P$34=0),"",$L$37-1),IF($R$17="Distrato",$E171,0))),0,YEARFRAC(MAX($P$34*($B171+IF($R$17="Distrato",$I$38-1,0)),IF(AND($L$37=0,$P$34=0),"",$L$37-1),IF($R$17="Distrato",$E171,0)),MIN(AF$38,$D$19),$P$20))-SUM($P171:AE171)</f>
        <v>#VALUE!</v>
      </c>
      <c r="AG171" s="446" t="e">
        <f>IF(OR($B171="",MIN(AG$38,$D$19)&lt;MAX($P$34*($B171+IF($R$17="Distrato",$I$38-1,0)),IF(AND($L$37=0,$P$34=0),"",$L$37-1),IF($R$17="Distrato",$E171,0))),0,YEARFRAC(MAX($P$34*($B171+IF($R$17="Distrato",$I$38-1,0)),IF(AND($L$37=0,$P$34=0),"",$L$37-1),IF($R$17="Distrato",$E171,0)),MIN(AG$38,$D$19),$P$20))-SUM($P171:AF171)</f>
        <v>#VALUE!</v>
      </c>
      <c r="AH171" s="446" t="e">
        <f>IF(OR($B171="",MIN(AH$38,$D$19)&lt;MAX($P$34*($B171+IF($R$17="Distrato",$I$38-1,0)),IF(AND($L$37=0,$P$34=0),"",$L$37-1),IF($R$17="Distrato",$E171,0))),0,YEARFRAC(MAX($P$34*($B171+IF($R$17="Distrato",$I$38-1,0)),IF(AND($L$37=0,$P$34=0),"",$L$37-1),IF($R$17="Distrato",$E171,0)),MIN(AH$38,$D$19),$P$20))-SUM($P171:AG171)</f>
        <v>#VALUE!</v>
      </c>
      <c r="AI171" s="446" t="e">
        <f>IF(OR($B171="",MIN(AI$38,$D$19)&lt;MAX($P$34*($B171+IF($R$17="Distrato",$I$38-1,0)),IF(AND($L$37=0,$P$34=0),"",$L$37-1),IF($R$17="Distrato",$E171,0))),0,YEARFRAC(MAX($P$34*($B171+IF($R$17="Distrato",$I$38-1,0)),IF(AND($L$37=0,$P$34=0),"",$L$37-1),IF($R$17="Distrato",$E171,0)),MIN(AI$38,$D$19),$P$20))-SUM($P171:AH171)</f>
        <v>#VALUE!</v>
      </c>
      <c r="AJ171" s="446" t="e">
        <f>IF(OR($B171="",MIN(AJ$38,$D$19)&lt;MAX($P$34*($B171+IF($R$17="Distrato",$I$38-1,0)),IF(AND($L$37=0,$P$34=0),"",$L$37-1),IF($R$17="Distrato",$E171,0))),0,YEARFRAC(MAX($P$34*($B171+IF($R$17="Distrato",$I$38-1,0)),IF(AND($L$37=0,$P$34=0),"",$L$37-1),IF($R$17="Distrato",$E171,0)),MIN(AJ$38,$D$19),$P$20))-SUM($P171:AI171)</f>
        <v>#VALUE!</v>
      </c>
      <c r="AK171" s="446" t="e">
        <f>IF(OR($B171="",MIN(AK$38,$D$19)&lt;MAX($P$34*($B171+IF($R$17="Distrato",$I$38-1,0)),IF(AND($L$37=0,$P$34=0),"",$L$37-1),IF($R$17="Distrato",$E171,0))),0,YEARFRAC(MAX($P$34*($B171+IF($R$17="Distrato",$I$38-1,0)),IF(AND($L$37=0,$P$34=0),"",$L$37-1),IF($R$17="Distrato",$E171,0)),MIN(AK$38,$D$19),$P$20))-SUM($P171:AJ171)</f>
        <v>#VALUE!</v>
      </c>
      <c r="AL171" s="446" t="e">
        <f>IF(OR($B171="",MIN(AL$38,$D$19)&lt;MAX($P$34*($B171+IF($R$17="Distrato",$I$38-1,0)),IF(AND($L$37=0,$P$34=0),"",$L$37-1),IF($R$17="Distrato",$E171,0))),0,YEARFRAC(MAX($P$34*($B171+IF($R$17="Distrato",$I$38-1,0)),IF(AND($L$37=0,$P$34=0),"",$L$37-1),IF($R$17="Distrato",$E171,0)),MIN(AL$38,$D$19),$P$20))-SUM($P171:AK171)</f>
        <v>#VALUE!</v>
      </c>
      <c r="AM171" s="446" t="e">
        <f>IF(OR($B171="",MIN(AM$38,$D$19)&lt;MAX($P$34*($B171+IF($R$17="Distrato",$I$38-1,0)),IF(AND($L$37=0,$P$34=0),"",$L$37-1),IF($R$17="Distrato",$E171,0))),0,YEARFRAC(MAX($P$34*($B171+IF($R$17="Distrato",$I$38-1,0)),IF(AND($L$37=0,$P$34=0),"",$L$37-1),IF($R$17="Distrato",$E171,0)),MIN(AM$38,$D$19),$P$20))-SUM($P171:AL171)</f>
        <v>#VALUE!</v>
      </c>
      <c r="AN171" s="446" t="e">
        <f>IF(OR($B171="",MIN(AN$38,$D$19)&lt;MAX($P$34*($B171+IF($R$17="Distrato",$I$38-1,0)),IF(AND($L$37=0,$P$34=0),"",$L$37-1),IF($R$17="Distrato",$E171,0))),0,YEARFRAC(MAX($P$34*($B171+IF($R$17="Distrato",$I$38-1,0)),IF(AND($L$37=0,$P$34=0),"",$L$37-1),IF($R$17="Distrato",$E171,0)),MIN(AN$38,$D$19),$P$20))-SUM($P171:AM171)</f>
        <v>#VALUE!</v>
      </c>
      <c r="AO171" s="446" t="e">
        <f>IF(OR($B171="",MIN(AO$38,$D$19)&lt;MAX($P$34*($B171+IF($R$17="Distrato",$I$38-1,0)),IF(AND($L$37=0,$P$34=0),"",$L$37-1),IF($R$17="Distrato",$E171,0))),0,YEARFRAC(MAX($P$34*($B171+IF($R$17="Distrato",$I$38-1,0)),IF(AND($L$37=0,$P$34=0),"",$L$37-1),IF($R$17="Distrato",$E171,0)),MIN(AO$38,$D$19),$P$20))-SUM($P171:AN171)</f>
        <v>#VALUE!</v>
      </c>
      <c r="AP171" s="446" t="e">
        <f>IF(OR($B171="",MIN(AP$38,$D$19)&lt;MAX($P$34*($B171+IF($R$17="Distrato",$I$38-1,0)),IF(AND($L$37=0,$P$34=0),"",$L$37-1),IF($R$17="Distrato",$E171,0))),0,YEARFRAC(MAX($P$34*($B171+IF($R$17="Distrato",$I$38-1,0)),IF(AND($L$37=0,$P$34=0),"",$L$37-1),IF($R$17="Distrato",$E171,0)),MIN(AP$38,$D$19),$P$20))-SUM($P171:AO171)</f>
        <v>#VALUE!</v>
      </c>
      <c r="AQ171" s="446" t="e">
        <f>IF(OR($B171="",MIN(AQ$38,$D$19)&lt;MAX($P$34*($B171+IF($R$17="Distrato",$I$38-1,0)),IF(AND($L$37=0,$P$34=0),"",$L$37-1),IF($R$17="Distrato",$E171,0))),0,YEARFRAC(MAX($P$34*($B171+IF($R$17="Distrato",$I$38-1,0)),IF(AND($L$37=0,$P$34=0),"",$L$37-1),IF($R$17="Distrato",$E171,0)),MIN(AQ$38,$D$19),$P$20))-SUM($P171:AP171)</f>
        <v>#VALUE!</v>
      </c>
      <c r="AR171" s="446" t="e">
        <f>IF(OR($B171="",MIN(AR$38,$D$19)&lt;MAX($P$34*($B171+IF($R$17="Distrato",$I$38-1,0)),IF(AND($L$37=0,$P$34=0),"",$L$37-1),IF($R$17="Distrato",$E171,0))),0,YEARFRAC(MAX($P$34*($B171+IF($R$17="Distrato",$I$38-1,0)),IF(AND($L$37=0,$P$34=0),"",$L$37-1),IF($R$17="Distrato",$E171,0)),MIN(AR$38,$D$19),$P$20))-SUM($P171:AQ171)</f>
        <v>#VALUE!</v>
      </c>
      <c r="AS171" s="446" t="e">
        <f>IF(OR($B171="",MIN(AS$38,$D$19)&lt;MAX($P$34*($B171+IF($R$17="Distrato",$I$38-1,0)),IF(AND($L$37=0,$P$34=0),"",$L$37-1),IF($R$17="Distrato",$E171,0))),0,YEARFRAC(MAX($P$34*($B171+IF($R$17="Distrato",$I$38-1,0)),IF(AND($L$37=0,$P$34=0),"",$L$37-1),IF($R$17="Distrato",$E171,0)),MIN(AS$38,$D$19),$P$20))-SUM($P171:AR171)</f>
        <v>#VALUE!</v>
      </c>
      <c r="AT171" s="446" t="e">
        <f>IF(OR($B171="",MIN(AT$38,$D$19)&lt;MAX($P$34*($B171+IF($R$17="Distrato",$I$38-1,0)),IF(AND($L$37=0,$P$34=0),"",$L$37-1),IF($R$17="Distrato",$E171,0))),0,YEARFRAC(MAX($P$34*($B171+IF($R$17="Distrato",$I$38-1,0)),IF(AND($L$37=0,$P$34=0),"",$L$37-1),IF($R$17="Distrato",$E171,0)),MIN(AT$38,$D$19),$P$20))-SUM($P171:AS171)</f>
        <v>#VALUE!</v>
      </c>
      <c r="AU171" s="446" t="e">
        <f>IF(OR($B171="",MIN(AU$38,$D$19)&lt;MAX($P$34*($B171+IF($R$17="Distrato",$I$38-1,0)),IF(AND($L$37=0,$P$34=0),"",$L$37-1),IF($R$17="Distrato",$E171,0))),0,YEARFRAC(MAX($P$34*($B171+IF($R$17="Distrato",$I$38-1,0)),IF(AND($L$37=0,$P$34=0),"",$L$37-1),IF($R$17="Distrato",$E171,0)),MIN(AU$38,$D$19),$P$20))-SUM($P171:AT171)</f>
        <v>#VALUE!</v>
      </c>
      <c r="AV171" s="446" t="e">
        <f>IF(OR($B171="",MIN(AV$38,$D$19)&lt;MAX($P$34*($B171+IF($R$17="Distrato",$I$38-1,0)),IF(AND($L$37=0,$P$34=0),"",$L$37-1),IF($R$17="Distrato",$E171,0))),0,YEARFRAC(MAX($P$34*($B171+IF($R$17="Distrato",$I$38-1,0)),IF(AND($L$37=0,$P$34=0),"",$L$37-1),IF($R$17="Distrato",$E171,0)),MIN(AV$38,$D$19),$P$20))-SUM($P171:AU171)</f>
        <v>#VALUE!</v>
      </c>
      <c r="AW171" s="446" t="e">
        <f>IF(OR($B171="",MIN(AW$38,$D$19)&lt;MAX($P$34*($B171+IF($R$17="Distrato",$I$38-1,0)),IF(AND($L$37=0,$P$34=0),"",$L$37-1),IF($R$17="Distrato",$E171,0))),0,YEARFRAC(MAX($P$34*($B171+IF($R$17="Distrato",$I$38-1,0)),IF(AND($L$37=0,$P$34=0),"",$L$37-1),IF($R$17="Distrato",$E171,0)),MIN(AW$38,$D$19),$P$20))-SUM($P171:AV171)</f>
        <v>#VALUE!</v>
      </c>
      <c r="AX171" s="446" t="e">
        <f>IF(OR($B171="",MIN(AX$38,$D$19)&lt;MAX($P$34*($B171+IF($R$17="Distrato",$I$38-1,0)),IF(AND($L$37=0,$P$34=0),"",$L$37-1),IF($R$17="Distrato",$E171,0))),0,YEARFRAC(MAX($P$34*($B171+IF($R$17="Distrato",$I$38-1,0)),IF(AND($L$37=0,$P$34=0),"",$L$37-1),IF($R$17="Distrato",$E171,0)),MIN(AX$38,$D$19),$P$20))-SUM($P171:AW171)</f>
        <v>#VALUE!</v>
      </c>
      <c r="AY171" s="446" t="e">
        <f>IF(OR($B171="",MIN(AY$38,$D$19)&lt;MAX($P$34*($B171+IF($R$17="Distrato",$I$38-1,0)),IF(AND($L$37=0,$P$34=0),"",$L$37-1),IF($R$17="Distrato",$E171,0))),0,YEARFRAC(MAX($P$34*($B171+IF($R$17="Distrato",$I$38-1,0)),IF(AND($L$37=0,$P$34=0),"",$L$37-1),IF($R$17="Distrato",$E171,0)),MIN(AY$38,$D$19),$P$20))-SUM($P171:AX171)</f>
        <v>#VALUE!</v>
      </c>
      <c r="AZ171" s="446" t="e">
        <f>IF(OR($B171="",MIN(AZ$38,$D$19)&lt;MAX($P$34*($B171+IF($R$17="Distrato",$I$38-1,0)),IF(AND($L$37=0,$P$34=0),"",$L$37-1),IF($R$17="Distrato",$E171,0))),0,YEARFRAC(MAX($P$34*($B171+IF($R$17="Distrato",$I$38-1,0)),IF(AND($L$37=0,$P$34=0),"",$L$37-1),IF($R$17="Distrato",$E171,0)),MIN(AZ$38,$D$19),$P$20))-SUM($P171:AY171)</f>
        <v>#VALUE!</v>
      </c>
      <c r="BA171" s="446" t="e">
        <f>IF(OR($B171="",MIN(BA$38,$D$19)&lt;MAX($P$34*($B171+IF($R$17="Distrato",$I$38-1,0)),IF(AND($L$37=0,$P$34=0),"",$L$37-1),IF($R$17="Distrato",$E171,0))),0,YEARFRAC(MAX($P$34*($B171+IF($R$17="Distrato",$I$38-1,0)),IF(AND($L$37=0,$P$34=0),"",$L$37-1),IF($R$17="Distrato",$E171,0)),MIN(BA$38,$D$19),$P$20))-SUM($P171:AZ171)</f>
        <v>#VALUE!</v>
      </c>
      <c r="BB171" s="447"/>
      <c r="BF171" s="446">
        <f t="shared" si="32"/>
        <v>0</v>
      </c>
      <c r="BG171" s="446">
        <f>IF($E171=0,0,IF(MIN(BG$38,$E171)&lt;MAX($P$34*($B171+$I$38-1),IF(AND($L$37=0,$P$34=0),"",$L$37-1)),0,YEARFRAC(MAX($P$34*($B171+$I$38-1),IF(AND($L$37=0,$P$34=0),"",$L$37-1)),MIN(BG$38,$E171),$P$20))-SUM($BF171:BF171))</f>
        <v>0</v>
      </c>
      <c r="BH171" s="446">
        <f>IF($E171=0,0,IF(MIN(BH$38,$E171)&lt;MAX($P$34*($B171+$I$38-1),IF(AND($L$37=0,$P$34=0),"",$L$37-1)),0,YEARFRAC(MAX($P$34*($B171+$I$38-1),IF(AND($L$37=0,$P$34=0),"",$L$37-1)),MIN(BH$38,$E171),$P$20))-SUM($BF171:BG171))</f>
        <v>0</v>
      </c>
      <c r="BI171" s="446">
        <f>IF($E171=0,0,IF(MIN(BI$38,$E171)&lt;MAX($P$34*($B171+$I$38-1),IF(AND($L$37=0,$P$34=0),"",$L$37-1)),0,YEARFRAC(MAX($P$34*($B171+$I$38-1),IF(AND($L$37=0,$P$34=0),"",$L$37-1)),MIN(BI$38,$E171),$P$20))-SUM($BF171:BH171))</f>
        <v>0</v>
      </c>
      <c r="BJ171" s="446">
        <f>IF($E171=0,0,IF(MIN(BJ$38,$E171)&lt;MAX($P$34*($B171+$I$38-1),IF(AND($L$37=0,$P$34=0),"",$L$37-1)),0,YEARFRAC(MAX($P$34*($B171+$I$38-1),IF(AND($L$37=0,$P$34=0),"",$L$37-1)),MIN(BJ$38,$E171),$P$20))-SUM($BF171:BI171))</f>
        <v>0</v>
      </c>
      <c r="BK171" s="446">
        <f>IF($E171=0,0,IF(MIN(BK$38,$E171)&lt;MAX($P$34*($B171+$I$38-1),IF(AND($L$37=0,$P$34=0),"",$L$37-1)),0,YEARFRAC(MAX($P$34*($B171+$I$38-1),IF(AND($L$37=0,$P$34=0),"",$L$37-1)),MIN(BK$38,$E171),$P$20))-SUM($BF171:BJ171))</f>
        <v>0</v>
      </c>
      <c r="BL171" s="446">
        <f>IF($E171=0,0,IF(MIN(BL$38,$E171)&lt;MAX($P$34*($B171+$I$38-1),IF(AND($L$37=0,$P$34=0),"",$L$37-1)),0,YEARFRAC(MAX($P$34*($B171+$I$38-1),IF(AND($L$37=0,$P$34=0),"",$L$37-1)),MIN(BL$38,$E171),$P$20))-SUM($BF171:BK171))</f>
        <v>0</v>
      </c>
      <c r="BM171" s="446">
        <f>IF($E171=0,0,IF(MIN(BM$38,$E171)&lt;MAX($P$34*($B171+$I$38-1),IF(AND($L$37=0,$P$34=0),"",$L$37-1)),0,YEARFRAC(MAX($P$34*($B171+$I$38-1),IF(AND($L$37=0,$P$34=0),"",$L$37-1)),MIN(BM$38,$E171),$P$20))-SUM($BF171:BL171))</f>
        <v>0</v>
      </c>
      <c r="BN171" s="446">
        <f>IF($E171=0,0,IF(MIN(BN$38,$E171)&lt;MAX($P$34*($B171+$I$38-1),IF(AND($L$37=0,$P$34=0),"",$L$37-1)),0,YEARFRAC(MAX($P$34*($B171+$I$38-1),IF(AND($L$37=0,$P$34=0),"",$L$37-1)),MIN(BN$38,$E171),$P$20))-SUM($BF171:BM171))</f>
        <v>0</v>
      </c>
      <c r="BO171" s="446">
        <f>IF($E171=0,0,IF(MIN(BO$38,$E171)&lt;MAX($P$34*($B171+$I$38-1),IF(AND($L$37=0,$P$34=0),"",$L$37-1)),0,YEARFRAC(MAX($P$34*($B171+$I$38-1),IF(AND($L$37=0,$P$34=0),"",$L$37-1)),MIN(BO$38,$E171),$P$20))-SUM($BF171:BN171))</f>
        <v>0</v>
      </c>
      <c r="BP171" s="446">
        <f>IF($E171=0,0,IF(MIN(BP$38,$E171)&lt;MAX($P$34*($B171+$I$38-1),IF(AND($L$37=0,$P$34=0),"",$L$37-1)),0,YEARFRAC(MAX($P$34*($B171+$I$38-1),IF(AND($L$37=0,$P$34=0),"",$L$37-1)),MIN(BP$38,$E171),$P$20))-SUM($BF171:BO171))</f>
        <v>0</v>
      </c>
      <c r="BQ171" s="446">
        <f>IF($E171=0,0,IF(MIN(BQ$38,$E171)&lt;MAX($P$34*($B171+$I$38-1),IF(AND($L$37=0,$P$34=0),"",$L$37-1)),0,YEARFRAC(MAX($P$34*($B171+$I$38-1),IF(AND($L$37=0,$P$34=0),"",$L$37-1)),MIN(BQ$38,$E171),$P$20))-SUM($BF171:BP171))</f>
        <v>0</v>
      </c>
      <c r="BR171" s="446">
        <f>IF($E171=0,0,IF(MIN(BR$38,$E171)&lt;MAX($P$34*($B171+$I$38-1),IF(AND($L$37=0,$P$34=0),"",$L$37-1)),0,YEARFRAC(MAX($P$34*($B171+$I$38-1),IF(AND($L$37=0,$P$34=0),"",$L$37-1)),MIN(BR$38,$E171),$P$20))-SUM($BF171:BQ171))</f>
        <v>0</v>
      </c>
      <c r="BS171" s="446">
        <f>IF($E171=0,0,IF(MIN(BS$38,$E171)&lt;MAX($P$34*($B171+$I$38-1),IF(AND($L$37=0,$P$34=0),"",$L$37-1)),0,YEARFRAC(MAX($P$34*($B171+$I$38-1),IF(AND($L$37=0,$P$34=0),"",$L$37-1)),MIN(BS$38,$E171),$P$20))-SUM($BF171:BR171))</f>
        <v>0</v>
      </c>
      <c r="BT171" s="446">
        <f>IF($E171=0,0,IF(MIN(BT$38,$E171)&lt;MAX($P$34*($B171+$I$38-1),IF(AND($L$37=0,$P$34=0),"",$L$37-1)),0,YEARFRAC(MAX($P$34*($B171+$I$38-1),IF(AND($L$37=0,$P$34=0),"",$L$37-1)),MIN(BT$38,$E171),$P$20))-SUM($BF171:BS171))</f>
        <v>0</v>
      </c>
      <c r="BU171" s="446">
        <f>IF($E171=0,0,IF(MIN(BU$38,$E171)&lt;MAX($P$34*($B171+$I$38-1),IF(AND($L$37=0,$P$34=0),"",$L$37-1)),0,YEARFRAC(MAX($P$34*($B171+$I$38-1),IF(AND($L$37=0,$P$34=0),"",$L$37-1)),MIN(BU$38,$E171),$P$20))-SUM($BF171:BT171))</f>
        <v>0</v>
      </c>
      <c r="BV171" s="446">
        <f>IF($E171=0,0,IF(MIN(BV$38,$E171)&lt;MAX($P$34*($B171+$I$38-1),IF(AND($L$37=0,$P$34=0),"",$L$37-1)),0,YEARFRAC(MAX($P$34*($B171+$I$38-1),IF(AND($L$37=0,$P$34=0),"",$L$37-1)),MIN(BV$38,$E171),$P$20))-SUM($BF171:BU171))</f>
        <v>0</v>
      </c>
      <c r="BW171" s="446">
        <f>IF($E171=0,0,IF(MIN(BW$38,$E171)&lt;MAX($P$34*($B171+$I$38-1),IF(AND($L$37=0,$P$34=0),"",$L$37-1)),0,YEARFRAC(MAX($P$34*($B171+$I$38-1),IF(AND($L$37=0,$P$34=0),"",$L$37-1)),MIN(BW$38,$E171),$P$20))-SUM($BF171:BV171))</f>
        <v>0</v>
      </c>
      <c r="BX171" s="446">
        <f>IF($E171=0,0,IF(MIN(BX$38,$E171)&lt;MAX($P$34*($B171+$I$38-1),IF(AND($L$37=0,$P$34=0),"",$L$37-1)),0,YEARFRAC(MAX($P$34*($B171+$I$38-1),IF(AND($L$37=0,$P$34=0),"",$L$37-1)),MIN(BX$38,$E171),$P$20))-SUM($BF171:BW171))</f>
        <v>0</v>
      </c>
      <c r="BY171" s="446">
        <f>IF($E171=0,0,IF(MIN(BY$38,$E171)&lt;MAX($P$34*($B171+$I$38-1),IF(AND($L$37=0,$P$34=0),"",$L$37-1)),0,YEARFRAC(MAX($P$34*($B171+$I$38-1),IF(AND($L$37=0,$P$34=0),"",$L$37-1)),MIN(BY$38,$E171),$P$20))-SUM($BF171:BX171))</f>
        <v>0</v>
      </c>
      <c r="BZ171" s="446">
        <f>IF($E171=0,0,IF(MIN(BZ$38,$E171)&lt;MAX($P$34*($B171+$I$38-1),IF(AND($L$37=0,$P$34=0),"",$L$37-1)),0,YEARFRAC(MAX($P$34*($B171+$I$38-1),IF(AND($L$37=0,$P$34=0),"",$L$37-1)),MIN(BZ$38,$E171),$P$20))-SUM($BF171:BY171))</f>
        <v>0</v>
      </c>
      <c r="CA171" s="446">
        <f>IF($E171=0,0,IF(MIN(CA$38,$E171)&lt;MAX($P$34*($B171+$I$38-1),IF(AND($L$37=0,$P$34=0),"",$L$37-1)),0,YEARFRAC(MAX($P$34*($B171+$I$38-1),IF(AND($L$37=0,$P$34=0),"",$L$37-1)),MIN(CA$38,$E171),$P$20))-SUM($BF171:BZ171))</f>
        <v>0</v>
      </c>
      <c r="CB171" s="446">
        <f>IF($E171=0,0,IF(MIN(CB$38,$E171)&lt;MAX($P$34*($B171+$I$38-1),IF(AND($L$37=0,$P$34=0),"",$L$37-1)),0,YEARFRAC(MAX($P$34*($B171+$I$38-1),IF(AND($L$37=0,$P$34=0),"",$L$37-1)),MIN(CB$38,$E171),$P$20))-SUM($BF171:CA171))</f>
        <v>0</v>
      </c>
      <c r="CC171" s="446">
        <f>IF($E171=0,0,IF(MIN(CC$38,$E171)&lt;MAX($P$34*($B171+$I$38-1),IF(AND($L$37=0,$P$34=0),"",$L$37-1)),0,YEARFRAC(MAX($P$34*($B171+$I$38-1),IF(AND($L$37=0,$P$34=0),"",$L$37-1)),MIN(CC$38,$E171),$P$20))-SUM($BF171:CB171))</f>
        <v>0</v>
      </c>
      <c r="CD171" s="446">
        <f>IF($E171=0,0,IF(MIN(CD$38,$E171)&lt;MAX($P$34*($B171+$I$38-1),IF(AND($L$37=0,$P$34=0),"",$L$37-1)),0,YEARFRAC(MAX($P$34*($B171+$I$38-1),IF(AND($L$37=0,$P$34=0),"",$L$37-1)),MIN(CD$38,$E171),$P$20))-SUM($BF171:CC171))</f>
        <v>0</v>
      </c>
      <c r="CE171" s="446">
        <f>IF($E171=0,0,IF(MIN(CE$38,$E171)&lt;MAX($P$34*($B171+$I$38-1),IF(AND($L$37=0,$P$34=0),"",$L$37-1)),0,YEARFRAC(MAX($P$34*($B171+$I$38-1),IF(AND($L$37=0,$P$34=0),"",$L$37-1)),MIN(CE$38,$E171),$P$20))-SUM($BF171:CD171))</f>
        <v>0</v>
      </c>
      <c r="CF171" s="446">
        <f>IF($E171=0,0,IF(MIN(CF$38,$E171)&lt;MAX($P$34*($B171+$I$38-1),IF(AND($L$37=0,$P$34=0),"",$L$37-1)),0,YEARFRAC(MAX($P$34*($B171+$I$38-1),IF(AND($L$37=0,$P$34=0),"",$L$37-1)),MIN(CF$38,$E171),$P$20))-SUM($BF171:CE171))</f>
        <v>0</v>
      </c>
      <c r="CG171" s="446">
        <f>IF($E171=0,0,IF(MIN(CG$38,$E171)&lt;MAX($P$34*($B171+$I$38-1),IF(AND($L$37=0,$P$34=0),"",$L$37-1)),0,YEARFRAC(MAX($P$34*($B171+$I$38-1),IF(AND($L$37=0,$P$34=0),"",$L$37-1)),MIN(CG$38,$E171),$P$20))-SUM($BF171:CF171))</f>
        <v>0</v>
      </c>
      <c r="CH171" s="446">
        <f>IF($E171=0,0,IF(MIN(CH$38,$E171)&lt;MAX($P$34*($B171+$I$38-1),IF(AND($L$37=0,$P$34=0),"",$L$37-1)),0,YEARFRAC(MAX($P$34*($B171+$I$38-1),IF(AND($L$37=0,$P$34=0),"",$L$37-1)),MIN(CH$38,$E171),$P$20))-SUM($BF171:CG171))</f>
        <v>0</v>
      </c>
      <c r="CI171" s="446">
        <f>IF($E171=0,0,IF(MIN(CI$38,$E171)&lt;MAX($P$34*($B171+$I$38-1),IF(AND($L$37=0,$P$34=0),"",$L$37-1)),0,YEARFRAC(MAX($P$34*($B171+$I$38-1),IF(AND($L$37=0,$P$34=0),"",$L$37-1)),MIN(CI$38,$E171),$P$20))-SUM($BF171:CH171))</f>
        <v>0</v>
      </c>
      <c r="CJ171" s="446">
        <f>IF($E171=0,0,IF(MIN(CJ$38,$E171)&lt;MAX($P$34*($B171+$I$38-1),IF(AND($L$37=0,$P$34=0),"",$L$37-1)),0,YEARFRAC(MAX($P$34*($B171+$I$38-1),IF(AND($L$37=0,$P$34=0),"",$L$37-1)),MIN(CJ$38,$E171),$P$20))-SUM($BF171:CI171))</f>
        <v>0</v>
      </c>
      <c r="CK171" s="446">
        <f>IF($E171=0,0,IF(MIN(CK$38,$E171)&lt;MAX($P$34*($B171+$I$38-1),IF(AND($L$37=0,$P$34=0),"",$L$37-1)),0,YEARFRAC(MAX($P$34*($B171+$I$38-1),IF(AND($L$37=0,$P$34=0),"",$L$37-1)),MIN(CK$38,$E171),$P$20))-SUM($BF171:CJ171))</f>
        <v>0</v>
      </c>
      <c r="CL171" s="446">
        <f>IF($E171=0,0,IF(MIN(CL$38,$E171)&lt;MAX($P$34*($B171+$I$38-1),IF(AND($L$37=0,$P$34=0),"",$L$37-1)),0,YEARFRAC(MAX($P$34*($B171+$I$38-1),IF(AND($L$37=0,$P$34=0),"",$L$37-1)),MIN(CL$38,$E171),$P$20))-SUM($BF171:CK171))</f>
        <v>0</v>
      </c>
      <c r="CM171" s="446">
        <f>IF($E171=0,0,IF(MIN(CM$38,$E171)&lt;MAX($P$34*($B171+$I$38-1),IF(AND($L$37=0,$P$34=0),"",$L$37-1)),0,YEARFRAC(MAX($P$34*($B171+$I$38-1),IF(AND($L$37=0,$P$34=0),"",$L$37-1)),MIN(CM$38,$E171),$P$20))-SUM($BF171:CL171))</f>
        <v>0</v>
      </c>
      <c r="CN171" s="446">
        <f>IF($E171=0,0,IF(MIN(CN$38,$E171)&lt;MAX($P$34*($B171+$I$38-1),IF(AND($L$37=0,$P$34=0),"",$L$37-1)),0,YEARFRAC(MAX($P$34*($B171+$I$38-1),IF(AND($L$37=0,$P$34=0),"",$L$37-1)),MIN(CN$38,$E171),$P$20))-SUM($BF171:CM171))</f>
        <v>0</v>
      </c>
      <c r="CO171" s="446">
        <f>IF($E171=0,0,IF(MIN(CO$38,$E171)&lt;MAX($P$34*($B171+$I$38-1),IF(AND($L$37=0,$P$34=0),"",$L$37-1)),0,YEARFRAC(MAX($P$34*($B171+$I$38-1),IF(AND($L$37=0,$P$34=0),"",$L$37-1)),MIN(CO$38,$E171),$P$20))-SUM($BF171:CN171))</f>
        <v>0</v>
      </c>
      <c r="CP171" s="446">
        <f>IF($E171=0,0,IF(MIN(CP$38,$E171)&lt;MAX($P$34*($B171+$I$38-1),IF(AND($L$37=0,$P$34=0),"",$L$37-1)),0,YEARFRAC(MAX($P$34*($B171+$I$38-1),IF(AND($L$37=0,$P$34=0),"",$L$37-1)),MIN(CP$38,$E171),$P$20))-SUM($BF171:CO171))</f>
        <v>0</v>
      </c>
      <c r="CQ171" s="446">
        <f>IF($E171=0,0,IF(MIN(CQ$38,$E171)&lt;MAX($P$34*($B171+$I$38-1),IF(AND($L$37=0,$P$34=0),"",$L$37-1)),0,YEARFRAC(MAX($P$34*($B171+$I$38-1),IF(AND($L$37=0,$P$34=0),"",$L$37-1)),MIN(CQ$38,$E171),$P$20))-SUM($BF171:CP171))</f>
        <v>0</v>
      </c>
    </row>
    <row r="172" spans="1:95" s="446" customFormat="1" ht="11.25" hidden="1" customHeight="1" x14ac:dyDescent="0.2">
      <c r="A172" s="152"/>
      <c r="B172" s="153" t="str">
        <f t="shared" si="37"/>
        <v/>
      </c>
      <c r="C172" s="29" t="str">
        <f>IF(B172="","",IF($L$35="SELIC - TRIBUTOS",VLOOKUP(DATE(YEAR($D$19),MONTH($D$19)-1,1),ÍNDICES!$A:$DE,HLOOKUP($BL$25,ÍNDICES!$B$3:$T$4,2)+11)-VLOOKUP(B172,ÍNDICES!$A:$DE,HLOOKUP($BL$25,ÍNDICES!$B$3:$T$4,2)+11)+1%,IF(C$38=$W$26,$J$35,IF(ISERROR(IF(B172&gt;$D$19,1,VLOOKUP(DATE(YEAR(B172),MONTH(B172)+IF($C$35=$S$23,1,0),1),ÍNDICES!$A:$DE,$Z$35+1))),"",IF(B172&gt;$D$19,1,VLOOKUP(DATE(YEAR(B172),MONTH(B172)+IF($C$35=$S$23,1,0),1),ÍNDICES!$A:$DE,$Z$35+1))))))</f>
        <v/>
      </c>
      <c r="D172" s="154" t="str">
        <f>IF(ISERROR(IF(OR($D$38=$Y$27,$B172=""),"",VLOOKUP(B172,ÍNDICES!A:DE,AF$35+1))),"",IF(OR($D$38=$Y$27,$B172=""),"",VLOOKUP(B172,ÍNDICES!A:DE,AF$35+1)))</f>
        <v/>
      </c>
      <c r="E172" s="153"/>
      <c r="F172" s="29" t="str">
        <f>IF(E172="","",IF($L$35="SELIC - TRIBUTOS",VLOOKUP(DATE(YEAR($D$19),MONTH($D$19)-1,1),ÍNDICES!$A:$DE,HLOOKUP($BL$25,ÍNDICES!$B$3:$T$4,2)+11)-VLOOKUP(E172,ÍNDICES!$A:$DE,HLOOKUP($BL$25,ÍNDICES!$B$3:$T$4,2)+11)+1%,IF(F$38=$W$26,$J$35,IF(ISERROR(IF(E172&gt;$D$19,1,VLOOKUP(DATE(YEAR(E172),MONTH(E172)+IF($C$35=$S$23,1,0),1),ÍNDICES!$A:$DE,$Z$35+1))),"",IF(E172&gt;$D$19,1,VLOOKUP(DATE(YEAR(E172),MONTH(E172)+IF($C$35=$S$23,1,0),1),ÍNDICES!$A:$DE,$Z$35+1))))))</f>
        <v/>
      </c>
      <c r="G172" s="155"/>
      <c r="H172" s="156" t="str">
        <f t="shared" si="33"/>
        <v/>
      </c>
      <c r="I172" s="29" t="str">
        <f t="shared" si="27"/>
        <v/>
      </c>
      <c r="J172" s="5">
        <f t="shared" si="28"/>
        <v>0</v>
      </c>
      <c r="K172" s="20">
        <f t="shared" ca="1" si="29"/>
        <v>0</v>
      </c>
      <c r="L172" s="5">
        <f t="shared" ca="1" si="30"/>
        <v>0</v>
      </c>
      <c r="M172" s="64">
        <f t="shared" si="34"/>
        <v>0</v>
      </c>
      <c r="N172" s="61">
        <f t="shared" ca="1" si="35"/>
        <v>0</v>
      </c>
      <c r="O172" s="5">
        <f t="shared" ca="1" si="36"/>
        <v>0</v>
      </c>
      <c r="P172" s="446" t="e">
        <f t="shared" si="31"/>
        <v>#VALUE!</v>
      </c>
      <c r="Q172" s="446" t="e">
        <f>IF(OR($B172="",MIN(Q$38,$D$19)&lt;MAX($P$34*($B172+IF($R$17="Distrato",$I$38-1,0)),IF(AND($L$37=0,$P$34=0),"",$L$37-1),IF($R$17="Distrato",$E172,0))),0,YEARFRAC(MAX($P$34*($B172+IF($R$17="Distrato",$I$38-1,0)),IF(AND($L$37=0,$P$34=0),"",$L$37-1),IF($R$17="Distrato",$E172,0)),MIN(Q$38,$D$19),$P$20))-SUM($P172:P172)</f>
        <v>#VALUE!</v>
      </c>
      <c r="R172" s="446" t="e">
        <f>IF(OR($B172="",MIN(R$38,$D$19)&lt;MAX($P$34*($B172+IF($R$17="Distrato",$I$38-1,0)),IF(AND($L$37=0,$P$34=0),"",$L$37-1),IF($R$17="Distrato",$E172,0))),0,YEARFRAC(MAX($P$34*($B172+IF($R$17="Distrato",$I$38-1,0)),IF(AND($L$37=0,$P$34=0),"",$L$37-1),IF($R$17="Distrato",$E172,0)),MIN(R$38,$D$19),$P$20))-SUM($P172:Q172)</f>
        <v>#VALUE!</v>
      </c>
      <c r="S172" s="446" t="e">
        <f>IF(OR($B172="",MIN(S$38,$D$19)&lt;MAX($P$34*($B172+IF($R$17="Distrato",$I$38-1,0)),IF(AND($L$37=0,$P$34=0),"",$L$37-1),IF($R$17="Distrato",$E172,0))),0,YEARFRAC(MAX($P$34*($B172+IF($R$17="Distrato",$I$38-1,0)),IF(AND($L$37=0,$P$34=0),"",$L$37-1),IF($R$17="Distrato",$E172,0)),MIN(S$38,$D$19),$P$20))-SUM($P172:R172)</f>
        <v>#VALUE!</v>
      </c>
      <c r="T172" s="446" t="e">
        <f>IF(OR($B172="",MIN(T$38,$D$19)&lt;MAX($P$34*($B172+IF($R$17="Distrato",$I$38-1,0)),IF(AND($L$37=0,$P$34=0),"",$L$37-1),IF($R$17="Distrato",$E172,0))),0,YEARFRAC(MAX($P$34*($B172+IF($R$17="Distrato",$I$38-1,0)),IF(AND($L$37=0,$P$34=0),"",$L$37-1),IF($R$17="Distrato",$E172,0)),MIN(T$38,$D$19),$P$20))-SUM($P172:S172)</f>
        <v>#VALUE!</v>
      </c>
      <c r="U172" s="446" t="e">
        <f>IF(OR($B172="",MIN(U$38,$D$19)&lt;MAX($P$34*($B172+IF($R$17="Distrato",$I$38-1,0)),IF(AND($L$37=0,$P$34=0),"",$L$37-1),IF($R$17="Distrato",$E172,0))),0,YEARFRAC(MAX($P$34*($B172+IF($R$17="Distrato",$I$38-1,0)),IF(AND($L$37=0,$P$34=0),"",$L$37-1),IF($R$17="Distrato",$E172,0)),MIN(U$38,$D$19),$P$20))-SUM($P172:T172)</f>
        <v>#VALUE!</v>
      </c>
      <c r="V172" s="446" t="e">
        <f>IF(OR($B172="",MIN(V$38,$D$19)&lt;MAX($P$34*($B172+IF($R$17="Distrato",$I$38-1,0)),IF(AND($L$37=0,$P$34=0),"",$L$37-1),IF($R$17="Distrato",$E172,0))),0,YEARFRAC(MAX($P$34*($B172+IF($R$17="Distrato",$I$38-1,0)),IF(AND($L$37=0,$P$34=0),"",$L$37-1),IF($R$17="Distrato",$E172,0)),MIN(V$38,$D$19),$P$20))-SUM($P172:U172)</f>
        <v>#VALUE!</v>
      </c>
      <c r="W172" s="446" t="e">
        <f>IF(OR($B172="",MIN(W$38,$D$19)&lt;MAX($P$34*($B172+IF($R$17="Distrato",$I$38-1,0)),IF(AND($L$37=0,$P$34=0),"",$L$37-1),IF($R$17="Distrato",$E172,0))),0,YEARFRAC(MAX($P$34*($B172+IF($R$17="Distrato",$I$38-1,0)),IF(AND($L$37=0,$P$34=0),"",$L$37-1),IF($R$17="Distrato",$E172,0)),MIN(W$38,$D$19),$P$20))-SUM($P172:V172)</f>
        <v>#VALUE!</v>
      </c>
      <c r="X172" s="446" t="e">
        <f>IF(OR($B172="",MIN(X$38,$D$19)&lt;MAX($P$34*($B172+IF($R$17="Distrato",$I$38-1,0)),IF(AND($L$37=0,$P$34=0),"",$L$37-1),IF($R$17="Distrato",$E172,0))),0,YEARFRAC(MAX($P$34*($B172+IF($R$17="Distrato",$I$38-1,0)),IF(AND($L$37=0,$P$34=0),"",$L$37-1),IF($R$17="Distrato",$E172,0)),MIN(X$38,$D$19),$P$20))-SUM($P172:W172)</f>
        <v>#VALUE!</v>
      </c>
      <c r="Y172" s="446" t="e">
        <f>IF(OR($B172="",MIN(Y$38,$D$19)&lt;MAX($P$34*($B172+IF($R$17="Distrato",$I$38-1,0)),IF(AND($L$37=0,$P$34=0),"",$L$37-1),IF($R$17="Distrato",$E172,0))),0,YEARFRAC(MAX($P$34*($B172+IF($R$17="Distrato",$I$38-1,0)),IF(AND($L$37=0,$P$34=0),"",$L$37-1),IF($R$17="Distrato",$E172,0)),MIN(Y$38,$D$19),$P$20))-SUM($P172:X172)</f>
        <v>#VALUE!</v>
      </c>
      <c r="Z172" s="446" t="e">
        <f>IF(OR($B172="",MIN(Z$38,$D$19)&lt;MAX($P$34*($B172+IF($R$17="Distrato",$I$38-1,0)),IF(AND($L$37=0,$P$34=0),"",$L$37-1),IF($R$17="Distrato",$E172,0))),0,YEARFRAC(MAX($P$34*($B172+IF($R$17="Distrato",$I$38-1,0)),IF(AND($L$37=0,$P$34=0),"",$L$37-1),IF($R$17="Distrato",$E172,0)),MIN(Z$38,$D$19),$P$20))-SUM($P172:Y172)</f>
        <v>#VALUE!</v>
      </c>
      <c r="AA172" s="446" t="e">
        <f>IF(OR($B172="",MIN(AA$38,$D$19)&lt;MAX($P$34*($B172+IF($R$17="Distrato",$I$38-1,0)),IF(AND($L$37=0,$P$34=0),"",$L$37-1),IF($R$17="Distrato",$E172,0))),0,YEARFRAC(MAX($P$34*($B172+IF($R$17="Distrato",$I$38-1,0)),IF(AND($L$37=0,$P$34=0),"",$L$37-1),IF($R$17="Distrato",$E172,0)),MIN(AA$38,$D$19),$P$20))-SUM($P172:Z172)</f>
        <v>#VALUE!</v>
      </c>
      <c r="AB172" s="446" t="e">
        <f>IF(OR($B172="",MIN(AB$38,$D$19)&lt;MAX($P$34*($B172+IF($R$17="Distrato",$I$38-1,0)),IF(AND($L$37=0,$P$34=0),"",$L$37-1),IF($R$17="Distrato",$E172,0))),0,YEARFRAC(MAX($P$34*($B172+IF($R$17="Distrato",$I$38-1,0)),IF(AND($L$37=0,$P$34=0),"",$L$37-1),IF($R$17="Distrato",$E172,0)),MIN(AB$38,$D$19),$P$20))-SUM($P172:AA172)</f>
        <v>#VALUE!</v>
      </c>
      <c r="AC172" s="446" t="e">
        <f>IF(OR($B172="",MIN(AC$38,$D$19)&lt;MAX($P$34*($B172+IF($R$17="Distrato",$I$38-1,0)),IF(AND($L$37=0,$P$34=0),"",$L$37-1),IF($R$17="Distrato",$E172,0))),0,YEARFRAC(MAX($P$34*($B172+IF($R$17="Distrato",$I$38-1,0)),IF(AND($L$37=0,$P$34=0),"",$L$37-1),IF($R$17="Distrato",$E172,0)),MIN(AC$38,$D$19),$P$20))-SUM($P172:AB172)</f>
        <v>#VALUE!</v>
      </c>
      <c r="AD172" s="446" t="e">
        <f>IF(OR($B172="",MIN(AD$38,$D$19)&lt;MAX($P$34*($B172+IF($R$17="Distrato",$I$38-1,0)),IF(AND($L$37=0,$P$34=0),"",$L$37-1),IF($R$17="Distrato",$E172,0))),0,YEARFRAC(MAX($P$34*($B172+IF($R$17="Distrato",$I$38-1,0)),IF(AND($L$37=0,$P$34=0),"",$L$37-1),IF($R$17="Distrato",$E172,0)),MIN(AD$38,$D$19),$P$20))-SUM($P172:AC172)</f>
        <v>#VALUE!</v>
      </c>
      <c r="AE172" s="446" t="e">
        <f>IF(OR($B172="",MIN(AE$38,$D$19)&lt;MAX($P$34*($B172+IF($R$17="Distrato",$I$38-1,0)),IF(AND($L$37=0,$P$34=0),"",$L$37-1),IF($R$17="Distrato",$E172,0))),0,YEARFRAC(MAX($P$34*($B172+IF($R$17="Distrato",$I$38-1,0)),IF(AND($L$37=0,$P$34=0),"",$L$37-1),IF($R$17="Distrato",$E172,0)),MIN(AE$38,$D$19),$P$20))-SUM($P172:AD172)</f>
        <v>#VALUE!</v>
      </c>
      <c r="AF172" s="446" t="e">
        <f>IF(OR($B172="",MIN(AF$38,$D$19)&lt;MAX($P$34*($B172+IF($R$17="Distrato",$I$38-1,0)),IF(AND($L$37=0,$P$34=0),"",$L$37-1),IF($R$17="Distrato",$E172,0))),0,YEARFRAC(MAX($P$34*($B172+IF($R$17="Distrato",$I$38-1,0)),IF(AND($L$37=0,$P$34=0),"",$L$37-1),IF($R$17="Distrato",$E172,0)),MIN(AF$38,$D$19),$P$20))-SUM($P172:AE172)</f>
        <v>#VALUE!</v>
      </c>
      <c r="AG172" s="446" t="e">
        <f>IF(OR($B172="",MIN(AG$38,$D$19)&lt;MAX($P$34*($B172+IF($R$17="Distrato",$I$38-1,0)),IF(AND($L$37=0,$P$34=0),"",$L$37-1),IF($R$17="Distrato",$E172,0))),0,YEARFRAC(MAX($P$34*($B172+IF($R$17="Distrato",$I$38-1,0)),IF(AND($L$37=0,$P$34=0),"",$L$37-1),IF($R$17="Distrato",$E172,0)),MIN(AG$38,$D$19),$P$20))-SUM($P172:AF172)</f>
        <v>#VALUE!</v>
      </c>
      <c r="AH172" s="446" t="e">
        <f>IF(OR($B172="",MIN(AH$38,$D$19)&lt;MAX($P$34*($B172+IF($R$17="Distrato",$I$38-1,0)),IF(AND($L$37=0,$P$34=0),"",$L$37-1),IF($R$17="Distrato",$E172,0))),0,YEARFRAC(MAX($P$34*($B172+IF($R$17="Distrato",$I$38-1,0)),IF(AND($L$37=0,$P$34=0),"",$L$37-1),IF($R$17="Distrato",$E172,0)),MIN(AH$38,$D$19),$P$20))-SUM($P172:AG172)</f>
        <v>#VALUE!</v>
      </c>
      <c r="AI172" s="446" t="e">
        <f>IF(OR($B172="",MIN(AI$38,$D$19)&lt;MAX($P$34*($B172+IF($R$17="Distrato",$I$38-1,0)),IF(AND($L$37=0,$P$34=0),"",$L$37-1),IF($R$17="Distrato",$E172,0))),0,YEARFRAC(MAX($P$34*($B172+IF($R$17="Distrato",$I$38-1,0)),IF(AND($L$37=0,$P$34=0),"",$L$37-1),IF($R$17="Distrato",$E172,0)),MIN(AI$38,$D$19),$P$20))-SUM($P172:AH172)</f>
        <v>#VALUE!</v>
      </c>
      <c r="AJ172" s="446" t="e">
        <f>IF(OR($B172="",MIN(AJ$38,$D$19)&lt;MAX($P$34*($B172+IF($R$17="Distrato",$I$38-1,0)),IF(AND($L$37=0,$P$34=0),"",$L$37-1),IF($R$17="Distrato",$E172,0))),0,YEARFRAC(MAX($P$34*($B172+IF($R$17="Distrato",$I$38-1,0)),IF(AND($L$37=0,$P$34=0),"",$L$37-1),IF($R$17="Distrato",$E172,0)),MIN(AJ$38,$D$19),$P$20))-SUM($P172:AI172)</f>
        <v>#VALUE!</v>
      </c>
      <c r="AK172" s="446" t="e">
        <f>IF(OR($B172="",MIN(AK$38,$D$19)&lt;MAX($P$34*($B172+IF($R$17="Distrato",$I$38-1,0)),IF(AND($L$37=0,$P$34=0),"",$L$37-1),IF($R$17="Distrato",$E172,0))),0,YEARFRAC(MAX($P$34*($B172+IF($R$17="Distrato",$I$38-1,0)),IF(AND($L$37=0,$P$34=0),"",$L$37-1),IF($R$17="Distrato",$E172,0)),MIN(AK$38,$D$19),$P$20))-SUM($P172:AJ172)</f>
        <v>#VALUE!</v>
      </c>
      <c r="AL172" s="446" t="e">
        <f>IF(OR($B172="",MIN(AL$38,$D$19)&lt;MAX($P$34*($B172+IF($R$17="Distrato",$I$38-1,0)),IF(AND($L$37=0,$P$34=0),"",$L$37-1),IF($R$17="Distrato",$E172,0))),0,YEARFRAC(MAX($P$34*($B172+IF($R$17="Distrato",$I$38-1,0)),IF(AND($L$37=0,$P$34=0),"",$L$37-1),IF($R$17="Distrato",$E172,0)),MIN(AL$38,$D$19),$P$20))-SUM($P172:AK172)</f>
        <v>#VALUE!</v>
      </c>
      <c r="AM172" s="446" t="e">
        <f>IF(OR($B172="",MIN(AM$38,$D$19)&lt;MAX($P$34*($B172+IF($R$17="Distrato",$I$38-1,0)),IF(AND($L$37=0,$P$34=0),"",$L$37-1),IF($R$17="Distrato",$E172,0))),0,YEARFRAC(MAX($P$34*($B172+IF($R$17="Distrato",$I$38-1,0)),IF(AND($L$37=0,$P$34=0),"",$L$37-1),IF($R$17="Distrato",$E172,0)),MIN(AM$38,$D$19),$P$20))-SUM($P172:AL172)</f>
        <v>#VALUE!</v>
      </c>
      <c r="AN172" s="446" t="e">
        <f>IF(OR($B172="",MIN(AN$38,$D$19)&lt;MAX($P$34*($B172+IF($R$17="Distrato",$I$38-1,0)),IF(AND($L$37=0,$P$34=0),"",$L$37-1),IF($R$17="Distrato",$E172,0))),0,YEARFRAC(MAX($P$34*($B172+IF($R$17="Distrato",$I$38-1,0)),IF(AND($L$37=0,$P$34=0),"",$L$37-1),IF($R$17="Distrato",$E172,0)),MIN(AN$38,$D$19),$P$20))-SUM($P172:AM172)</f>
        <v>#VALUE!</v>
      </c>
      <c r="AO172" s="446" t="e">
        <f>IF(OR($B172="",MIN(AO$38,$D$19)&lt;MAX($P$34*($B172+IF($R$17="Distrato",$I$38-1,0)),IF(AND($L$37=0,$P$34=0),"",$L$37-1),IF($R$17="Distrato",$E172,0))),0,YEARFRAC(MAX($P$34*($B172+IF($R$17="Distrato",$I$38-1,0)),IF(AND($L$37=0,$P$34=0),"",$L$37-1),IF($R$17="Distrato",$E172,0)),MIN(AO$38,$D$19),$P$20))-SUM($P172:AN172)</f>
        <v>#VALUE!</v>
      </c>
      <c r="AP172" s="446" t="e">
        <f>IF(OR($B172="",MIN(AP$38,$D$19)&lt;MAX($P$34*($B172+IF($R$17="Distrato",$I$38-1,0)),IF(AND($L$37=0,$P$34=0),"",$L$37-1),IF($R$17="Distrato",$E172,0))),0,YEARFRAC(MAX($P$34*($B172+IF($R$17="Distrato",$I$38-1,0)),IF(AND($L$37=0,$P$34=0),"",$L$37-1),IF($R$17="Distrato",$E172,0)),MIN(AP$38,$D$19),$P$20))-SUM($P172:AO172)</f>
        <v>#VALUE!</v>
      </c>
      <c r="AQ172" s="446" t="e">
        <f>IF(OR($B172="",MIN(AQ$38,$D$19)&lt;MAX($P$34*($B172+IF($R$17="Distrato",$I$38-1,0)),IF(AND($L$37=0,$P$34=0),"",$L$37-1),IF($R$17="Distrato",$E172,0))),0,YEARFRAC(MAX($P$34*($B172+IF($R$17="Distrato",$I$38-1,0)),IF(AND($L$37=0,$P$34=0),"",$L$37-1),IF($R$17="Distrato",$E172,0)),MIN(AQ$38,$D$19),$P$20))-SUM($P172:AP172)</f>
        <v>#VALUE!</v>
      </c>
      <c r="AR172" s="446" t="e">
        <f>IF(OR($B172="",MIN(AR$38,$D$19)&lt;MAX($P$34*($B172+IF($R$17="Distrato",$I$38-1,0)),IF(AND($L$37=0,$P$34=0),"",$L$37-1),IF($R$17="Distrato",$E172,0))),0,YEARFRAC(MAX($P$34*($B172+IF($R$17="Distrato",$I$38-1,0)),IF(AND($L$37=0,$P$34=0),"",$L$37-1),IF($R$17="Distrato",$E172,0)),MIN(AR$38,$D$19),$P$20))-SUM($P172:AQ172)</f>
        <v>#VALUE!</v>
      </c>
      <c r="AS172" s="446" t="e">
        <f>IF(OR($B172="",MIN(AS$38,$D$19)&lt;MAX($P$34*($B172+IF($R$17="Distrato",$I$38-1,0)),IF(AND($L$37=0,$P$34=0),"",$L$37-1),IF($R$17="Distrato",$E172,0))),0,YEARFRAC(MAX($P$34*($B172+IF($R$17="Distrato",$I$38-1,0)),IF(AND($L$37=0,$P$34=0),"",$L$37-1),IF($R$17="Distrato",$E172,0)),MIN(AS$38,$D$19),$P$20))-SUM($P172:AR172)</f>
        <v>#VALUE!</v>
      </c>
      <c r="AT172" s="446" t="e">
        <f>IF(OR($B172="",MIN(AT$38,$D$19)&lt;MAX($P$34*($B172+IF($R$17="Distrato",$I$38-1,0)),IF(AND($L$37=0,$P$34=0),"",$L$37-1),IF($R$17="Distrato",$E172,0))),0,YEARFRAC(MAX($P$34*($B172+IF($R$17="Distrato",$I$38-1,0)),IF(AND($L$37=0,$P$34=0),"",$L$37-1),IF($R$17="Distrato",$E172,0)),MIN(AT$38,$D$19),$P$20))-SUM($P172:AS172)</f>
        <v>#VALUE!</v>
      </c>
      <c r="AU172" s="446" t="e">
        <f>IF(OR($B172="",MIN(AU$38,$D$19)&lt;MAX($P$34*($B172+IF($R$17="Distrato",$I$38-1,0)),IF(AND($L$37=0,$P$34=0),"",$L$37-1),IF($R$17="Distrato",$E172,0))),0,YEARFRAC(MAX($P$34*($B172+IF($R$17="Distrato",$I$38-1,0)),IF(AND($L$37=0,$P$34=0),"",$L$37-1),IF($R$17="Distrato",$E172,0)),MIN(AU$38,$D$19),$P$20))-SUM($P172:AT172)</f>
        <v>#VALUE!</v>
      </c>
      <c r="AV172" s="446" t="e">
        <f>IF(OR($B172="",MIN(AV$38,$D$19)&lt;MAX($P$34*($B172+IF($R$17="Distrato",$I$38-1,0)),IF(AND($L$37=0,$P$34=0),"",$L$37-1),IF($R$17="Distrato",$E172,0))),0,YEARFRAC(MAX($P$34*($B172+IF($R$17="Distrato",$I$38-1,0)),IF(AND($L$37=0,$P$34=0),"",$L$37-1),IF($R$17="Distrato",$E172,0)),MIN(AV$38,$D$19),$P$20))-SUM($P172:AU172)</f>
        <v>#VALUE!</v>
      </c>
      <c r="AW172" s="446" t="e">
        <f>IF(OR($B172="",MIN(AW$38,$D$19)&lt;MAX($P$34*($B172+IF($R$17="Distrato",$I$38-1,0)),IF(AND($L$37=0,$P$34=0),"",$L$37-1),IF($R$17="Distrato",$E172,0))),0,YEARFRAC(MAX($P$34*($B172+IF($R$17="Distrato",$I$38-1,0)),IF(AND($L$37=0,$P$34=0),"",$L$37-1),IF($R$17="Distrato",$E172,0)),MIN(AW$38,$D$19),$P$20))-SUM($P172:AV172)</f>
        <v>#VALUE!</v>
      </c>
      <c r="AX172" s="446" t="e">
        <f>IF(OR($B172="",MIN(AX$38,$D$19)&lt;MAX($P$34*($B172+IF($R$17="Distrato",$I$38-1,0)),IF(AND($L$37=0,$P$34=0),"",$L$37-1),IF($R$17="Distrato",$E172,0))),0,YEARFRAC(MAX($P$34*($B172+IF($R$17="Distrato",$I$38-1,0)),IF(AND($L$37=0,$P$34=0),"",$L$37-1),IF($R$17="Distrato",$E172,0)),MIN(AX$38,$D$19),$P$20))-SUM($P172:AW172)</f>
        <v>#VALUE!</v>
      </c>
      <c r="AY172" s="446" t="e">
        <f>IF(OR($B172="",MIN(AY$38,$D$19)&lt;MAX($P$34*($B172+IF($R$17="Distrato",$I$38-1,0)),IF(AND($L$37=0,$P$34=0),"",$L$37-1),IF($R$17="Distrato",$E172,0))),0,YEARFRAC(MAX($P$34*($B172+IF($R$17="Distrato",$I$38-1,0)),IF(AND($L$37=0,$P$34=0),"",$L$37-1),IF($R$17="Distrato",$E172,0)),MIN(AY$38,$D$19),$P$20))-SUM($P172:AX172)</f>
        <v>#VALUE!</v>
      </c>
      <c r="AZ172" s="446" t="e">
        <f>IF(OR($B172="",MIN(AZ$38,$D$19)&lt;MAX($P$34*($B172+IF($R$17="Distrato",$I$38-1,0)),IF(AND($L$37=0,$P$34=0),"",$L$37-1),IF($R$17="Distrato",$E172,0))),0,YEARFRAC(MAX($P$34*($B172+IF($R$17="Distrato",$I$38-1,0)),IF(AND($L$37=0,$P$34=0),"",$L$37-1),IF($R$17="Distrato",$E172,0)),MIN(AZ$38,$D$19),$P$20))-SUM($P172:AY172)</f>
        <v>#VALUE!</v>
      </c>
      <c r="BA172" s="446" t="e">
        <f>IF(OR($B172="",MIN(BA$38,$D$19)&lt;MAX($P$34*($B172+IF($R$17="Distrato",$I$38-1,0)),IF(AND($L$37=0,$P$34=0),"",$L$37-1),IF($R$17="Distrato",$E172,0))),0,YEARFRAC(MAX($P$34*($B172+IF($R$17="Distrato",$I$38-1,0)),IF(AND($L$37=0,$P$34=0),"",$L$37-1),IF($R$17="Distrato",$E172,0)),MIN(BA$38,$D$19),$P$20))-SUM($P172:AZ172)</f>
        <v>#VALUE!</v>
      </c>
      <c r="BB172" s="447"/>
      <c r="BF172" s="446">
        <f t="shared" si="32"/>
        <v>0</v>
      </c>
      <c r="BG172" s="446">
        <f>IF($E172=0,0,IF(MIN(BG$38,$E172)&lt;MAX($P$34*($B172+$I$38-1),IF(AND($L$37=0,$P$34=0),"",$L$37-1)),0,YEARFRAC(MAX($P$34*($B172+$I$38-1),IF(AND($L$37=0,$P$34=0),"",$L$37-1)),MIN(BG$38,$E172),$P$20))-SUM($BF172:BF172))</f>
        <v>0</v>
      </c>
      <c r="BH172" s="446">
        <f>IF($E172=0,0,IF(MIN(BH$38,$E172)&lt;MAX($P$34*($B172+$I$38-1),IF(AND($L$37=0,$P$34=0),"",$L$37-1)),0,YEARFRAC(MAX($P$34*($B172+$I$38-1),IF(AND($L$37=0,$P$34=0),"",$L$37-1)),MIN(BH$38,$E172),$P$20))-SUM($BF172:BG172))</f>
        <v>0</v>
      </c>
      <c r="BI172" s="446">
        <f>IF($E172=0,0,IF(MIN(BI$38,$E172)&lt;MAX($P$34*($B172+$I$38-1),IF(AND($L$37=0,$P$34=0),"",$L$37-1)),0,YEARFRAC(MAX($P$34*($B172+$I$38-1),IF(AND($L$37=0,$P$34=0),"",$L$37-1)),MIN(BI$38,$E172),$P$20))-SUM($BF172:BH172))</f>
        <v>0</v>
      </c>
      <c r="BJ172" s="446">
        <f>IF($E172=0,0,IF(MIN(BJ$38,$E172)&lt;MAX($P$34*($B172+$I$38-1),IF(AND($L$37=0,$P$34=0),"",$L$37-1)),0,YEARFRAC(MAX($P$34*($B172+$I$38-1),IF(AND($L$37=0,$P$34=0),"",$L$37-1)),MIN(BJ$38,$E172),$P$20))-SUM($BF172:BI172))</f>
        <v>0</v>
      </c>
      <c r="BK172" s="446">
        <f>IF($E172=0,0,IF(MIN(BK$38,$E172)&lt;MAX($P$34*($B172+$I$38-1),IF(AND($L$37=0,$P$34=0),"",$L$37-1)),0,YEARFRAC(MAX($P$34*($B172+$I$38-1),IF(AND($L$37=0,$P$34=0),"",$L$37-1)),MIN(BK$38,$E172),$P$20))-SUM($BF172:BJ172))</f>
        <v>0</v>
      </c>
      <c r="BL172" s="446">
        <f>IF($E172=0,0,IF(MIN(BL$38,$E172)&lt;MAX($P$34*($B172+$I$38-1),IF(AND($L$37=0,$P$34=0),"",$L$37-1)),0,YEARFRAC(MAX($P$34*($B172+$I$38-1),IF(AND($L$37=0,$P$34=0),"",$L$37-1)),MIN(BL$38,$E172),$P$20))-SUM($BF172:BK172))</f>
        <v>0</v>
      </c>
      <c r="BM172" s="446">
        <f>IF($E172=0,0,IF(MIN(BM$38,$E172)&lt;MAX($P$34*($B172+$I$38-1),IF(AND($L$37=0,$P$34=0),"",$L$37-1)),0,YEARFRAC(MAX($P$34*($B172+$I$38-1),IF(AND($L$37=0,$P$34=0),"",$L$37-1)),MIN(BM$38,$E172),$P$20))-SUM($BF172:BL172))</f>
        <v>0</v>
      </c>
      <c r="BN172" s="446">
        <f>IF($E172=0,0,IF(MIN(BN$38,$E172)&lt;MAX($P$34*($B172+$I$38-1),IF(AND($L$37=0,$P$34=0),"",$L$37-1)),0,YEARFRAC(MAX($P$34*($B172+$I$38-1),IF(AND($L$37=0,$P$34=0),"",$L$37-1)),MIN(BN$38,$E172),$P$20))-SUM($BF172:BM172))</f>
        <v>0</v>
      </c>
      <c r="BO172" s="446">
        <f>IF($E172=0,0,IF(MIN(BO$38,$E172)&lt;MAX($P$34*($B172+$I$38-1),IF(AND($L$37=0,$P$34=0),"",$L$37-1)),0,YEARFRAC(MAX($P$34*($B172+$I$38-1),IF(AND($L$37=0,$P$34=0),"",$L$37-1)),MIN(BO$38,$E172),$P$20))-SUM($BF172:BN172))</f>
        <v>0</v>
      </c>
      <c r="BP172" s="446">
        <f>IF($E172=0,0,IF(MIN(BP$38,$E172)&lt;MAX($P$34*($B172+$I$38-1),IF(AND($L$37=0,$P$34=0),"",$L$37-1)),0,YEARFRAC(MAX($P$34*($B172+$I$38-1),IF(AND($L$37=0,$P$34=0),"",$L$37-1)),MIN(BP$38,$E172),$P$20))-SUM($BF172:BO172))</f>
        <v>0</v>
      </c>
      <c r="BQ172" s="446">
        <f>IF($E172=0,0,IF(MIN(BQ$38,$E172)&lt;MAX($P$34*($B172+$I$38-1),IF(AND($L$37=0,$P$34=0),"",$L$37-1)),0,YEARFRAC(MAX($P$34*($B172+$I$38-1),IF(AND($L$37=0,$P$34=0),"",$L$37-1)),MIN(BQ$38,$E172),$P$20))-SUM($BF172:BP172))</f>
        <v>0</v>
      </c>
      <c r="BR172" s="446">
        <f>IF($E172=0,0,IF(MIN(BR$38,$E172)&lt;MAX($P$34*($B172+$I$38-1),IF(AND($L$37=0,$P$34=0),"",$L$37-1)),0,YEARFRAC(MAX($P$34*($B172+$I$38-1),IF(AND($L$37=0,$P$34=0),"",$L$37-1)),MIN(BR$38,$E172),$P$20))-SUM($BF172:BQ172))</f>
        <v>0</v>
      </c>
      <c r="BS172" s="446">
        <f>IF($E172=0,0,IF(MIN(BS$38,$E172)&lt;MAX($P$34*($B172+$I$38-1),IF(AND($L$37=0,$P$34=0),"",$L$37-1)),0,YEARFRAC(MAX($P$34*($B172+$I$38-1),IF(AND($L$37=0,$P$34=0),"",$L$37-1)),MIN(BS$38,$E172),$P$20))-SUM($BF172:BR172))</f>
        <v>0</v>
      </c>
      <c r="BT172" s="446">
        <f>IF($E172=0,0,IF(MIN(BT$38,$E172)&lt;MAX($P$34*($B172+$I$38-1),IF(AND($L$37=0,$P$34=0),"",$L$37-1)),0,YEARFRAC(MAX($P$34*($B172+$I$38-1),IF(AND($L$37=0,$P$34=0),"",$L$37-1)),MIN(BT$38,$E172),$P$20))-SUM($BF172:BS172))</f>
        <v>0</v>
      </c>
      <c r="BU172" s="446">
        <f>IF($E172=0,0,IF(MIN(BU$38,$E172)&lt;MAX($P$34*($B172+$I$38-1),IF(AND($L$37=0,$P$34=0),"",$L$37-1)),0,YEARFRAC(MAX($P$34*($B172+$I$38-1),IF(AND($L$37=0,$P$34=0),"",$L$37-1)),MIN(BU$38,$E172),$P$20))-SUM($BF172:BT172))</f>
        <v>0</v>
      </c>
      <c r="BV172" s="446">
        <f>IF($E172=0,0,IF(MIN(BV$38,$E172)&lt;MAX($P$34*($B172+$I$38-1),IF(AND($L$37=0,$P$34=0),"",$L$37-1)),0,YEARFRAC(MAX($P$34*($B172+$I$38-1),IF(AND($L$37=0,$P$34=0),"",$L$37-1)),MIN(BV$38,$E172),$P$20))-SUM($BF172:BU172))</f>
        <v>0</v>
      </c>
      <c r="BW172" s="446">
        <f>IF($E172=0,0,IF(MIN(BW$38,$E172)&lt;MAX($P$34*($B172+$I$38-1),IF(AND($L$37=0,$P$34=0),"",$L$37-1)),0,YEARFRAC(MAX($P$34*($B172+$I$38-1),IF(AND($L$37=0,$P$34=0),"",$L$37-1)),MIN(BW$38,$E172),$P$20))-SUM($BF172:BV172))</f>
        <v>0</v>
      </c>
      <c r="BX172" s="446">
        <f>IF($E172=0,0,IF(MIN(BX$38,$E172)&lt;MAX($P$34*($B172+$I$38-1),IF(AND($L$37=0,$P$34=0),"",$L$37-1)),0,YEARFRAC(MAX($P$34*($B172+$I$38-1),IF(AND($L$37=0,$P$34=0),"",$L$37-1)),MIN(BX$38,$E172),$P$20))-SUM($BF172:BW172))</f>
        <v>0</v>
      </c>
      <c r="BY172" s="446">
        <f>IF($E172=0,0,IF(MIN(BY$38,$E172)&lt;MAX($P$34*($B172+$I$38-1),IF(AND($L$37=0,$P$34=0),"",$L$37-1)),0,YEARFRAC(MAX($P$34*($B172+$I$38-1),IF(AND($L$37=0,$P$34=0),"",$L$37-1)),MIN(BY$38,$E172),$P$20))-SUM($BF172:BX172))</f>
        <v>0</v>
      </c>
      <c r="BZ172" s="446">
        <f>IF($E172=0,0,IF(MIN(BZ$38,$E172)&lt;MAX($P$34*($B172+$I$38-1),IF(AND($L$37=0,$P$34=0),"",$L$37-1)),0,YEARFRAC(MAX($P$34*($B172+$I$38-1),IF(AND($L$37=0,$P$34=0),"",$L$37-1)),MIN(BZ$38,$E172),$P$20))-SUM($BF172:BY172))</f>
        <v>0</v>
      </c>
      <c r="CA172" s="446">
        <f>IF($E172=0,0,IF(MIN(CA$38,$E172)&lt;MAX($P$34*($B172+$I$38-1),IF(AND($L$37=0,$P$34=0),"",$L$37-1)),0,YEARFRAC(MAX($P$34*($B172+$I$38-1),IF(AND($L$37=0,$P$34=0),"",$L$37-1)),MIN(CA$38,$E172),$P$20))-SUM($BF172:BZ172))</f>
        <v>0</v>
      </c>
      <c r="CB172" s="446">
        <f>IF($E172=0,0,IF(MIN(CB$38,$E172)&lt;MAX($P$34*($B172+$I$38-1),IF(AND($L$37=0,$P$34=0),"",$L$37-1)),0,YEARFRAC(MAX($P$34*($B172+$I$38-1),IF(AND($L$37=0,$P$34=0),"",$L$37-1)),MIN(CB$38,$E172),$P$20))-SUM($BF172:CA172))</f>
        <v>0</v>
      </c>
      <c r="CC172" s="446">
        <f>IF($E172=0,0,IF(MIN(CC$38,$E172)&lt;MAX($P$34*($B172+$I$38-1),IF(AND($L$37=0,$P$34=0),"",$L$37-1)),0,YEARFRAC(MAX($P$34*($B172+$I$38-1),IF(AND($L$37=0,$P$34=0),"",$L$37-1)),MIN(CC$38,$E172),$P$20))-SUM($BF172:CB172))</f>
        <v>0</v>
      </c>
      <c r="CD172" s="446">
        <f>IF($E172=0,0,IF(MIN(CD$38,$E172)&lt;MAX($P$34*($B172+$I$38-1),IF(AND($L$37=0,$P$34=0),"",$L$37-1)),0,YEARFRAC(MAX($P$34*($B172+$I$38-1),IF(AND($L$37=0,$P$34=0),"",$L$37-1)),MIN(CD$38,$E172),$P$20))-SUM($BF172:CC172))</f>
        <v>0</v>
      </c>
      <c r="CE172" s="446">
        <f>IF($E172=0,0,IF(MIN(CE$38,$E172)&lt;MAX($P$34*($B172+$I$38-1),IF(AND($L$37=0,$P$34=0),"",$L$37-1)),0,YEARFRAC(MAX($P$34*($B172+$I$38-1),IF(AND($L$37=0,$P$34=0),"",$L$37-1)),MIN(CE$38,$E172),$P$20))-SUM($BF172:CD172))</f>
        <v>0</v>
      </c>
      <c r="CF172" s="446">
        <f>IF($E172=0,0,IF(MIN(CF$38,$E172)&lt;MAX($P$34*($B172+$I$38-1),IF(AND($L$37=0,$P$34=0),"",$L$37-1)),0,YEARFRAC(MAX($P$34*($B172+$I$38-1),IF(AND($L$37=0,$P$34=0),"",$L$37-1)),MIN(CF$38,$E172),$P$20))-SUM($BF172:CE172))</f>
        <v>0</v>
      </c>
      <c r="CG172" s="446">
        <f>IF($E172=0,0,IF(MIN(CG$38,$E172)&lt;MAX($P$34*($B172+$I$38-1),IF(AND($L$37=0,$P$34=0),"",$L$37-1)),0,YEARFRAC(MAX($P$34*($B172+$I$38-1),IF(AND($L$37=0,$P$34=0),"",$L$37-1)),MIN(CG$38,$E172),$P$20))-SUM($BF172:CF172))</f>
        <v>0</v>
      </c>
      <c r="CH172" s="446">
        <f>IF($E172=0,0,IF(MIN(CH$38,$E172)&lt;MAX($P$34*($B172+$I$38-1),IF(AND($L$37=0,$P$34=0),"",$L$37-1)),0,YEARFRAC(MAX($P$34*($B172+$I$38-1),IF(AND($L$37=0,$P$34=0),"",$L$37-1)),MIN(CH$38,$E172),$P$20))-SUM($BF172:CG172))</f>
        <v>0</v>
      </c>
      <c r="CI172" s="446">
        <f>IF($E172=0,0,IF(MIN(CI$38,$E172)&lt;MAX($P$34*($B172+$I$38-1),IF(AND($L$37=0,$P$34=0),"",$L$37-1)),0,YEARFRAC(MAX($P$34*($B172+$I$38-1),IF(AND($L$37=0,$P$34=0),"",$L$37-1)),MIN(CI$38,$E172),$P$20))-SUM($BF172:CH172))</f>
        <v>0</v>
      </c>
      <c r="CJ172" s="446">
        <f>IF($E172=0,0,IF(MIN(CJ$38,$E172)&lt;MAX($P$34*($B172+$I$38-1),IF(AND($L$37=0,$P$34=0),"",$L$37-1)),0,YEARFRAC(MAX($P$34*($B172+$I$38-1),IF(AND($L$37=0,$P$34=0),"",$L$37-1)),MIN(CJ$38,$E172),$P$20))-SUM($BF172:CI172))</f>
        <v>0</v>
      </c>
      <c r="CK172" s="446">
        <f>IF($E172=0,0,IF(MIN(CK$38,$E172)&lt;MAX($P$34*($B172+$I$38-1),IF(AND($L$37=0,$P$34=0),"",$L$37-1)),0,YEARFRAC(MAX($P$34*($B172+$I$38-1),IF(AND($L$37=0,$P$34=0),"",$L$37-1)),MIN(CK$38,$E172),$P$20))-SUM($BF172:CJ172))</f>
        <v>0</v>
      </c>
      <c r="CL172" s="446">
        <f>IF($E172=0,0,IF(MIN(CL$38,$E172)&lt;MAX($P$34*($B172+$I$38-1),IF(AND($L$37=0,$P$34=0),"",$L$37-1)),0,YEARFRAC(MAX($P$34*($B172+$I$38-1),IF(AND($L$37=0,$P$34=0),"",$L$37-1)),MIN(CL$38,$E172),$P$20))-SUM($BF172:CK172))</f>
        <v>0</v>
      </c>
      <c r="CM172" s="446">
        <f>IF($E172=0,0,IF(MIN(CM$38,$E172)&lt;MAX($P$34*($B172+$I$38-1),IF(AND($L$37=0,$P$34=0),"",$L$37-1)),0,YEARFRAC(MAX($P$34*($B172+$I$38-1),IF(AND($L$37=0,$P$34=0),"",$L$37-1)),MIN(CM$38,$E172),$P$20))-SUM($BF172:CL172))</f>
        <v>0</v>
      </c>
      <c r="CN172" s="446">
        <f>IF($E172=0,0,IF(MIN(CN$38,$E172)&lt;MAX($P$34*($B172+$I$38-1),IF(AND($L$37=0,$P$34=0),"",$L$37-1)),0,YEARFRAC(MAX($P$34*($B172+$I$38-1),IF(AND($L$37=0,$P$34=0),"",$L$37-1)),MIN(CN$38,$E172),$P$20))-SUM($BF172:CM172))</f>
        <v>0</v>
      </c>
      <c r="CO172" s="446">
        <f>IF($E172=0,0,IF(MIN(CO$38,$E172)&lt;MAX($P$34*($B172+$I$38-1),IF(AND($L$37=0,$P$34=0),"",$L$37-1)),0,YEARFRAC(MAX($P$34*($B172+$I$38-1),IF(AND($L$37=0,$P$34=0),"",$L$37-1)),MIN(CO$38,$E172),$P$20))-SUM($BF172:CN172))</f>
        <v>0</v>
      </c>
      <c r="CP172" s="446">
        <f>IF($E172=0,0,IF(MIN(CP$38,$E172)&lt;MAX($P$34*($B172+$I$38-1),IF(AND($L$37=0,$P$34=0),"",$L$37-1)),0,YEARFRAC(MAX($P$34*($B172+$I$38-1),IF(AND($L$37=0,$P$34=0),"",$L$37-1)),MIN(CP$38,$E172),$P$20))-SUM($BF172:CO172))</f>
        <v>0</v>
      </c>
      <c r="CQ172" s="446">
        <f>IF($E172=0,0,IF(MIN(CQ$38,$E172)&lt;MAX($P$34*($B172+$I$38-1),IF(AND($L$37=0,$P$34=0),"",$L$37-1)),0,YEARFRAC(MAX($P$34*($B172+$I$38-1),IF(AND($L$37=0,$P$34=0),"",$L$37-1)),MIN(CQ$38,$E172),$P$20))-SUM($BF172:CP172))</f>
        <v>0</v>
      </c>
    </row>
    <row r="173" spans="1:95" s="446" customFormat="1" ht="11.25" hidden="1" customHeight="1" x14ac:dyDescent="0.2">
      <c r="A173" s="152"/>
      <c r="B173" s="153" t="str">
        <f t="shared" si="37"/>
        <v/>
      </c>
      <c r="C173" s="29" t="str">
        <f>IF(B173="","",IF($L$35="SELIC - TRIBUTOS",VLOOKUP(DATE(YEAR($D$19),MONTH($D$19)-1,1),ÍNDICES!$A:$DE,HLOOKUP($BL$25,ÍNDICES!$B$3:$T$4,2)+11)-VLOOKUP(B173,ÍNDICES!$A:$DE,HLOOKUP($BL$25,ÍNDICES!$B$3:$T$4,2)+11)+1%,IF(C$38=$W$26,$J$35,IF(ISERROR(IF(B173&gt;$D$19,1,VLOOKUP(DATE(YEAR(B173),MONTH(B173)+IF($C$35=$S$23,1,0),1),ÍNDICES!$A:$DE,$Z$35+1))),"",IF(B173&gt;$D$19,1,VLOOKUP(DATE(YEAR(B173),MONTH(B173)+IF($C$35=$S$23,1,0),1),ÍNDICES!$A:$DE,$Z$35+1))))))</f>
        <v/>
      </c>
      <c r="D173" s="154" t="str">
        <f>IF(ISERROR(IF(OR($D$38=$Y$27,$B173=""),"",VLOOKUP(B173,ÍNDICES!A:DE,AF$35+1))),"",IF(OR($D$38=$Y$27,$B173=""),"",VLOOKUP(B173,ÍNDICES!A:DE,AF$35+1)))</f>
        <v/>
      </c>
      <c r="E173" s="153"/>
      <c r="F173" s="29" t="str">
        <f>IF(E173="","",IF($L$35="SELIC - TRIBUTOS",VLOOKUP(DATE(YEAR($D$19),MONTH($D$19)-1,1),ÍNDICES!$A:$DE,HLOOKUP($BL$25,ÍNDICES!$B$3:$T$4,2)+11)-VLOOKUP(E173,ÍNDICES!$A:$DE,HLOOKUP($BL$25,ÍNDICES!$B$3:$T$4,2)+11)+1%,IF(F$38=$W$26,$J$35,IF(ISERROR(IF(E173&gt;$D$19,1,VLOOKUP(DATE(YEAR(E173),MONTH(E173)+IF($C$35=$S$23,1,0),1),ÍNDICES!$A:$DE,$Z$35+1))),"",IF(E173&gt;$D$19,1,VLOOKUP(DATE(YEAR(E173),MONTH(E173)+IF($C$35=$S$23,1,0),1),ÍNDICES!$A:$DE,$Z$35+1))))))</f>
        <v/>
      </c>
      <c r="G173" s="155"/>
      <c r="H173" s="156" t="str">
        <f t="shared" si="33"/>
        <v/>
      </c>
      <c r="I173" s="29" t="str">
        <f t="shared" si="27"/>
        <v/>
      </c>
      <c r="J173" s="5">
        <f t="shared" si="28"/>
        <v>0</v>
      </c>
      <c r="K173" s="20">
        <f t="shared" ca="1" si="29"/>
        <v>0</v>
      </c>
      <c r="L173" s="5">
        <f t="shared" ca="1" si="30"/>
        <v>0</v>
      </c>
      <c r="M173" s="64">
        <f t="shared" si="34"/>
        <v>0</v>
      </c>
      <c r="N173" s="61">
        <f t="shared" ca="1" si="35"/>
        <v>0</v>
      </c>
      <c r="O173" s="5">
        <f t="shared" ca="1" si="36"/>
        <v>0</v>
      </c>
      <c r="P173" s="446" t="e">
        <f t="shared" si="31"/>
        <v>#VALUE!</v>
      </c>
      <c r="Q173" s="446" t="e">
        <f>IF(OR($B173="",MIN(Q$38,$D$19)&lt;MAX($P$34*($B173+IF($R$17="Distrato",$I$38-1,0)),IF(AND($L$37=0,$P$34=0),"",$L$37-1),IF($R$17="Distrato",$E173,0))),0,YEARFRAC(MAX($P$34*($B173+IF($R$17="Distrato",$I$38-1,0)),IF(AND($L$37=0,$P$34=0),"",$L$37-1),IF($R$17="Distrato",$E173,0)),MIN(Q$38,$D$19),$P$20))-SUM($P173:P173)</f>
        <v>#VALUE!</v>
      </c>
      <c r="R173" s="446" t="e">
        <f>IF(OR($B173="",MIN(R$38,$D$19)&lt;MAX($P$34*($B173+IF($R$17="Distrato",$I$38-1,0)),IF(AND($L$37=0,$P$34=0),"",$L$37-1),IF($R$17="Distrato",$E173,0))),0,YEARFRAC(MAX($P$34*($B173+IF($R$17="Distrato",$I$38-1,0)),IF(AND($L$37=0,$P$34=0),"",$L$37-1),IF($R$17="Distrato",$E173,0)),MIN(R$38,$D$19),$P$20))-SUM($P173:Q173)</f>
        <v>#VALUE!</v>
      </c>
      <c r="S173" s="446" t="e">
        <f>IF(OR($B173="",MIN(S$38,$D$19)&lt;MAX($P$34*($B173+IF($R$17="Distrato",$I$38-1,0)),IF(AND($L$37=0,$P$34=0),"",$L$37-1),IF($R$17="Distrato",$E173,0))),0,YEARFRAC(MAX($P$34*($B173+IF($R$17="Distrato",$I$38-1,0)),IF(AND($L$37=0,$P$34=0),"",$L$37-1),IF($R$17="Distrato",$E173,0)),MIN(S$38,$D$19),$P$20))-SUM($P173:R173)</f>
        <v>#VALUE!</v>
      </c>
      <c r="T173" s="446" t="e">
        <f>IF(OR($B173="",MIN(T$38,$D$19)&lt;MAX($P$34*($B173+IF($R$17="Distrato",$I$38-1,0)),IF(AND($L$37=0,$P$34=0),"",$L$37-1),IF($R$17="Distrato",$E173,0))),0,YEARFRAC(MAX($P$34*($B173+IF($R$17="Distrato",$I$38-1,0)),IF(AND($L$37=0,$P$34=0),"",$L$37-1),IF($R$17="Distrato",$E173,0)),MIN(T$38,$D$19),$P$20))-SUM($P173:S173)</f>
        <v>#VALUE!</v>
      </c>
      <c r="U173" s="446" t="e">
        <f>IF(OR($B173="",MIN(U$38,$D$19)&lt;MAX($P$34*($B173+IF($R$17="Distrato",$I$38-1,0)),IF(AND($L$37=0,$P$34=0),"",$L$37-1),IF($R$17="Distrato",$E173,0))),0,YEARFRAC(MAX($P$34*($B173+IF($R$17="Distrato",$I$38-1,0)),IF(AND($L$37=0,$P$34=0),"",$L$37-1),IF($R$17="Distrato",$E173,0)),MIN(U$38,$D$19),$P$20))-SUM($P173:T173)</f>
        <v>#VALUE!</v>
      </c>
      <c r="V173" s="446" t="e">
        <f>IF(OR($B173="",MIN(V$38,$D$19)&lt;MAX($P$34*($B173+IF($R$17="Distrato",$I$38-1,0)),IF(AND($L$37=0,$P$34=0),"",$L$37-1),IF($R$17="Distrato",$E173,0))),0,YEARFRAC(MAX($P$34*($B173+IF($R$17="Distrato",$I$38-1,0)),IF(AND($L$37=0,$P$34=0),"",$L$37-1),IF($R$17="Distrato",$E173,0)),MIN(V$38,$D$19),$P$20))-SUM($P173:U173)</f>
        <v>#VALUE!</v>
      </c>
      <c r="W173" s="446" t="e">
        <f>IF(OR($B173="",MIN(W$38,$D$19)&lt;MAX($P$34*($B173+IF($R$17="Distrato",$I$38-1,0)),IF(AND($L$37=0,$P$34=0),"",$L$37-1),IF($R$17="Distrato",$E173,0))),0,YEARFRAC(MAX($P$34*($B173+IF($R$17="Distrato",$I$38-1,0)),IF(AND($L$37=0,$P$34=0),"",$L$37-1),IF($R$17="Distrato",$E173,0)),MIN(W$38,$D$19),$P$20))-SUM($P173:V173)</f>
        <v>#VALUE!</v>
      </c>
      <c r="X173" s="446" t="e">
        <f>IF(OR($B173="",MIN(X$38,$D$19)&lt;MAX($P$34*($B173+IF($R$17="Distrato",$I$38-1,0)),IF(AND($L$37=0,$P$34=0),"",$L$37-1),IF($R$17="Distrato",$E173,0))),0,YEARFRAC(MAX($P$34*($B173+IF($R$17="Distrato",$I$38-1,0)),IF(AND($L$37=0,$P$34=0),"",$L$37-1),IF($R$17="Distrato",$E173,0)),MIN(X$38,$D$19),$P$20))-SUM($P173:W173)</f>
        <v>#VALUE!</v>
      </c>
      <c r="Y173" s="446" t="e">
        <f>IF(OR($B173="",MIN(Y$38,$D$19)&lt;MAX($P$34*($B173+IF($R$17="Distrato",$I$38-1,0)),IF(AND($L$37=0,$P$34=0),"",$L$37-1),IF($R$17="Distrato",$E173,0))),0,YEARFRAC(MAX($P$34*($B173+IF($R$17="Distrato",$I$38-1,0)),IF(AND($L$37=0,$P$34=0),"",$L$37-1),IF($R$17="Distrato",$E173,0)),MIN(Y$38,$D$19),$P$20))-SUM($P173:X173)</f>
        <v>#VALUE!</v>
      </c>
      <c r="Z173" s="446" t="e">
        <f>IF(OR($B173="",MIN(Z$38,$D$19)&lt;MAX($P$34*($B173+IF($R$17="Distrato",$I$38-1,0)),IF(AND($L$37=0,$P$34=0),"",$L$37-1),IF($R$17="Distrato",$E173,0))),0,YEARFRAC(MAX($P$34*($B173+IF($R$17="Distrato",$I$38-1,0)),IF(AND($L$37=0,$P$34=0),"",$L$37-1),IF($R$17="Distrato",$E173,0)),MIN(Z$38,$D$19),$P$20))-SUM($P173:Y173)</f>
        <v>#VALUE!</v>
      </c>
      <c r="AA173" s="446" t="e">
        <f>IF(OR($B173="",MIN(AA$38,$D$19)&lt;MAX($P$34*($B173+IF($R$17="Distrato",$I$38-1,0)),IF(AND($L$37=0,$P$34=0),"",$L$37-1),IF($R$17="Distrato",$E173,0))),0,YEARFRAC(MAX($P$34*($B173+IF($R$17="Distrato",$I$38-1,0)),IF(AND($L$37=0,$P$34=0),"",$L$37-1),IF($R$17="Distrato",$E173,0)),MIN(AA$38,$D$19),$P$20))-SUM($P173:Z173)</f>
        <v>#VALUE!</v>
      </c>
      <c r="AB173" s="446" t="e">
        <f>IF(OR($B173="",MIN(AB$38,$D$19)&lt;MAX($P$34*($B173+IF($R$17="Distrato",$I$38-1,0)),IF(AND($L$37=0,$P$34=0),"",$L$37-1),IF($R$17="Distrato",$E173,0))),0,YEARFRAC(MAX($P$34*($B173+IF($R$17="Distrato",$I$38-1,0)),IF(AND($L$37=0,$P$34=0),"",$L$37-1),IF($R$17="Distrato",$E173,0)),MIN(AB$38,$D$19),$P$20))-SUM($P173:AA173)</f>
        <v>#VALUE!</v>
      </c>
      <c r="AC173" s="446" t="e">
        <f>IF(OR($B173="",MIN(AC$38,$D$19)&lt;MAX($P$34*($B173+IF($R$17="Distrato",$I$38-1,0)),IF(AND($L$37=0,$P$34=0),"",$L$37-1),IF($R$17="Distrato",$E173,0))),0,YEARFRAC(MAX($P$34*($B173+IF($R$17="Distrato",$I$38-1,0)),IF(AND($L$37=0,$P$34=0),"",$L$37-1),IF($R$17="Distrato",$E173,0)),MIN(AC$38,$D$19),$P$20))-SUM($P173:AB173)</f>
        <v>#VALUE!</v>
      </c>
      <c r="AD173" s="446" t="e">
        <f>IF(OR($B173="",MIN(AD$38,$D$19)&lt;MAX($P$34*($B173+IF($R$17="Distrato",$I$38-1,0)),IF(AND($L$37=0,$P$34=0),"",$L$37-1),IF($R$17="Distrato",$E173,0))),0,YEARFRAC(MAX($P$34*($B173+IF($R$17="Distrato",$I$38-1,0)),IF(AND($L$37=0,$P$34=0),"",$L$37-1),IF($R$17="Distrato",$E173,0)),MIN(AD$38,$D$19),$P$20))-SUM($P173:AC173)</f>
        <v>#VALUE!</v>
      </c>
      <c r="AE173" s="446" t="e">
        <f>IF(OR($B173="",MIN(AE$38,$D$19)&lt;MAX($P$34*($B173+IF($R$17="Distrato",$I$38-1,0)),IF(AND($L$37=0,$P$34=0),"",$L$37-1),IF($R$17="Distrato",$E173,0))),0,YEARFRAC(MAX($P$34*($B173+IF($R$17="Distrato",$I$38-1,0)),IF(AND($L$37=0,$P$34=0),"",$L$37-1),IF($R$17="Distrato",$E173,0)),MIN(AE$38,$D$19),$P$20))-SUM($P173:AD173)</f>
        <v>#VALUE!</v>
      </c>
      <c r="AF173" s="446" t="e">
        <f>IF(OR($B173="",MIN(AF$38,$D$19)&lt;MAX($P$34*($B173+IF($R$17="Distrato",$I$38-1,0)),IF(AND($L$37=0,$P$34=0),"",$L$37-1),IF($R$17="Distrato",$E173,0))),0,YEARFRAC(MAX($P$34*($B173+IF($R$17="Distrato",$I$38-1,0)),IF(AND($L$37=0,$P$34=0),"",$L$37-1),IF($R$17="Distrato",$E173,0)),MIN(AF$38,$D$19),$P$20))-SUM($P173:AE173)</f>
        <v>#VALUE!</v>
      </c>
      <c r="AG173" s="446" t="e">
        <f>IF(OR($B173="",MIN(AG$38,$D$19)&lt;MAX($P$34*($B173+IF($R$17="Distrato",$I$38-1,0)),IF(AND($L$37=0,$P$34=0),"",$L$37-1),IF($R$17="Distrato",$E173,0))),0,YEARFRAC(MAX($P$34*($B173+IF($R$17="Distrato",$I$38-1,0)),IF(AND($L$37=0,$P$34=0),"",$L$37-1),IF($R$17="Distrato",$E173,0)),MIN(AG$38,$D$19),$P$20))-SUM($P173:AF173)</f>
        <v>#VALUE!</v>
      </c>
      <c r="AH173" s="446" t="e">
        <f>IF(OR($B173="",MIN(AH$38,$D$19)&lt;MAX($P$34*($B173+IF($R$17="Distrato",$I$38-1,0)),IF(AND($L$37=0,$P$34=0),"",$L$37-1),IF($R$17="Distrato",$E173,0))),0,YEARFRAC(MAX($P$34*($B173+IF($R$17="Distrato",$I$38-1,0)),IF(AND($L$37=0,$P$34=0),"",$L$37-1),IF($R$17="Distrato",$E173,0)),MIN(AH$38,$D$19),$P$20))-SUM($P173:AG173)</f>
        <v>#VALUE!</v>
      </c>
      <c r="AI173" s="446" t="e">
        <f>IF(OR($B173="",MIN(AI$38,$D$19)&lt;MAX($P$34*($B173+IF($R$17="Distrato",$I$38-1,0)),IF(AND($L$37=0,$P$34=0),"",$L$37-1),IF($R$17="Distrato",$E173,0))),0,YEARFRAC(MAX($P$34*($B173+IF($R$17="Distrato",$I$38-1,0)),IF(AND($L$37=0,$P$34=0),"",$L$37-1),IF($R$17="Distrato",$E173,0)),MIN(AI$38,$D$19),$P$20))-SUM($P173:AH173)</f>
        <v>#VALUE!</v>
      </c>
      <c r="AJ173" s="446" t="e">
        <f>IF(OR($B173="",MIN(AJ$38,$D$19)&lt;MAX($P$34*($B173+IF($R$17="Distrato",$I$38-1,0)),IF(AND($L$37=0,$P$34=0),"",$L$37-1),IF($R$17="Distrato",$E173,0))),0,YEARFRAC(MAX($P$34*($B173+IF($R$17="Distrato",$I$38-1,0)),IF(AND($L$37=0,$P$34=0),"",$L$37-1),IF($R$17="Distrato",$E173,0)),MIN(AJ$38,$D$19),$P$20))-SUM($P173:AI173)</f>
        <v>#VALUE!</v>
      </c>
      <c r="AK173" s="446" t="e">
        <f>IF(OR($B173="",MIN(AK$38,$D$19)&lt;MAX($P$34*($B173+IF($R$17="Distrato",$I$38-1,0)),IF(AND($L$37=0,$P$34=0),"",$L$37-1),IF($R$17="Distrato",$E173,0))),0,YEARFRAC(MAX($P$34*($B173+IF($R$17="Distrato",$I$38-1,0)),IF(AND($L$37=0,$P$34=0),"",$L$37-1),IF($R$17="Distrato",$E173,0)),MIN(AK$38,$D$19),$P$20))-SUM($P173:AJ173)</f>
        <v>#VALUE!</v>
      </c>
      <c r="AL173" s="446" t="e">
        <f>IF(OR($B173="",MIN(AL$38,$D$19)&lt;MAX($P$34*($B173+IF($R$17="Distrato",$I$38-1,0)),IF(AND($L$37=0,$P$34=0),"",$L$37-1),IF($R$17="Distrato",$E173,0))),0,YEARFRAC(MAX($P$34*($B173+IF($R$17="Distrato",$I$38-1,0)),IF(AND($L$37=0,$P$34=0),"",$L$37-1),IF($R$17="Distrato",$E173,0)),MIN(AL$38,$D$19),$P$20))-SUM($P173:AK173)</f>
        <v>#VALUE!</v>
      </c>
      <c r="AM173" s="446" t="e">
        <f>IF(OR($B173="",MIN(AM$38,$D$19)&lt;MAX($P$34*($B173+IF($R$17="Distrato",$I$38-1,0)),IF(AND($L$37=0,$P$34=0),"",$L$37-1),IF($R$17="Distrato",$E173,0))),0,YEARFRAC(MAX($P$34*($B173+IF($R$17="Distrato",$I$38-1,0)),IF(AND($L$37=0,$P$34=0),"",$L$37-1),IF($R$17="Distrato",$E173,0)),MIN(AM$38,$D$19),$P$20))-SUM($P173:AL173)</f>
        <v>#VALUE!</v>
      </c>
      <c r="AN173" s="446" t="e">
        <f>IF(OR($B173="",MIN(AN$38,$D$19)&lt;MAX($P$34*($B173+IF($R$17="Distrato",$I$38-1,0)),IF(AND($L$37=0,$P$34=0),"",$L$37-1),IF($R$17="Distrato",$E173,0))),0,YEARFRAC(MAX($P$34*($B173+IF($R$17="Distrato",$I$38-1,0)),IF(AND($L$37=0,$P$34=0),"",$L$37-1),IF($R$17="Distrato",$E173,0)),MIN(AN$38,$D$19),$P$20))-SUM($P173:AM173)</f>
        <v>#VALUE!</v>
      </c>
      <c r="AO173" s="446" t="e">
        <f>IF(OR($B173="",MIN(AO$38,$D$19)&lt;MAX($P$34*($B173+IF($R$17="Distrato",$I$38-1,0)),IF(AND($L$37=0,$P$34=0),"",$L$37-1),IF($R$17="Distrato",$E173,0))),0,YEARFRAC(MAX($P$34*($B173+IF($R$17="Distrato",$I$38-1,0)),IF(AND($L$37=0,$P$34=0),"",$L$37-1),IF($R$17="Distrato",$E173,0)),MIN(AO$38,$D$19),$P$20))-SUM($P173:AN173)</f>
        <v>#VALUE!</v>
      </c>
      <c r="AP173" s="446" t="e">
        <f>IF(OR($B173="",MIN(AP$38,$D$19)&lt;MAX($P$34*($B173+IF($R$17="Distrato",$I$38-1,0)),IF(AND($L$37=0,$P$34=0),"",$L$37-1),IF($R$17="Distrato",$E173,0))),0,YEARFRAC(MAX($P$34*($B173+IF($R$17="Distrato",$I$38-1,0)),IF(AND($L$37=0,$P$34=0),"",$L$37-1),IF($R$17="Distrato",$E173,0)),MIN(AP$38,$D$19),$P$20))-SUM($P173:AO173)</f>
        <v>#VALUE!</v>
      </c>
      <c r="AQ173" s="446" t="e">
        <f>IF(OR($B173="",MIN(AQ$38,$D$19)&lt;MAX($P$34*($B173+IF($R$17="Distrato",$I$38-1,0)),IF(AND($L$37=0,$P$34=0),"",$L$37-1),IF($R$17="Distrato",$E173,0))),0,YEARFRAC(MAX($P$34*($B173+IF($R$17="Distrato",$I$38-1,0)),IF(AND($L$37=0,$P$34=0),"",$L$37-1),IF($R$17="Distrato",$E173,0)),MIN(AQ$38,$D$19),$P$20))-SUM($P173:AP173)</f>
        <v>#VALUE!</v>
      </c>
      <c r="AR173" s="446" t="e">
        <f>IF(OR($B173="",MIN(AR$38,$D$19)&lt;MAX($P$34*($B173+IF($R$17="Distrato",$I$38-1,0)),IF(AND($L$37=0,$P$34=0),"",$L$37-1),IF($R$17="Distrato",$E173,0))),0,YEARFRAC(MAX($P$34*($B173+IF($R$17="Distrato",$I$38-1,0)),IF(AND($L$37=0,$P$34=0),"",$L$37-1),IF($R$17="Distrato",$E173,0)),MIN(AR$38,$D$19),$P$20))-SUM($P173:AQ173)</f>
        <v>#VALUE!</v>
      </c>
      <c r="AS173" s="446" t="e">
        <f>IF(OR($B173="",MIN(AS$38,$D$19)&lt;MAX($P$34*($B173+IF($R$17="Distrato",$I$38-1,0)),IF(AND($L$37=0,$P$34=0),"",$L$37-1),IF($R$17="Distrato",$E173,0))),0,YEARFRAC(MAX($P$34*($B173+IF($R$17="Distrato",$I$38-1,0)),IF(AND($L$37=0,$P$34=0),"",$L$37-1),IF($R$17="Distrato",$E173,0)),MIN(AS$38,$D$19),$P$20))-SUM($P173:AR173)</f>
        <v>#VALUE!</v>
      </c>
      <c r="AT173" s="446" t="e">
        <f>IF(OR($B173="",MIN(AT$38,$D$19)&lt;MAX($P$34*($B173+IF($R$17="Distrato",$I$38-1,0)),IF(AND($L$37=0,$P$34=0),"",$L$37-1),IF($R$17="Distrato",$E173,0))),0,YEARFRAC(MAX($P$34*($B173+IF($R$17="Distrato",$I$38-1,0)),IF(AND($L$37=0,$P$34=0),"",$L$37-1),IF($R$17="Distrato",$E173,0)),MIN(AT$38,$D$19),$P$20))-SUM($P173:AS173)</f>
        <v>#VALUE!</v>
      </c>
      <c r="AU173" s="446" t="e">
        <f>IF(OR($B173="",MIN(AU$38,$D$19)&lt;MAX($P$34*($B173+IF($R$17="Distrato",$I$38-1,0)),IF(AND($L$37=0,$P$34=0),"",$L$37-1),IF($R$17="Distrato",$E173,0))),0,YEARFRAC(MAX($P$34*($B173+IF($R$17="Distrato",$I$38-1,0)),IF(AND($L$37=0,$P$34=0),"",$L$37-1),IF($R$17="Distrato",$E173,0)),MIN(AU$38,$D$19),$P$20))-SUM($P173:AT173)</f>
        <v>#VALUE!</v>
      </c>
      <c r="AV173" s="446" t="e">
        <f>IF(OR($B173="",MIN(AV$38,$D$19)&lt;MAX($P$34*($B173+IF($R$17="Distrato",$I$38-1,0)),IF(AND($L$37=0,$P$34=0),"",$L$37-1),IF($R$17="Distrato",$E173,0))),0,YEARFRAC(MAX($P$34*($B173+IF($R$17="Distrato",$I$38-1,0)),IF(AND($L$37=0,$P$34=0),"",$L$37-1),IF($R$17="Distrato",$E173,0)),MIN(AV$38,$D$19),$P$20))-SUM($P173:AU173)</f>
        <v>#VALUE!</v>
      </c>
      <c r="AW173" s="446" t="e">
        <f>IF(OR($B173="",MIN(AW$38,$D$19)&lt;MAX($P$34*($B173+IF($R$17="Distrato",$I$38-1,0)),IF(AND($L$37=0,$P$34=0),"",$L$37-1),IF($R$17="Distrato",$E173,0))),0,YEARFRAC(MAX($P$34*($B173+IF($R$17="Distrato",$I$38-1,0)),IF(AND($L$37=0,$P$34=0),"",$L$37-1),IF($R$17="Distrato",$E173,0)),MIN(AW$38,$D$19),$P$20))-SUM($P173:AV173)</f>
        <v>#VALUE!</v>
      </c>
      <c r="AX173" s="446" t="e">
        <f>IF(OR($B173="",MIN(AX$38,$D$19)&lt;MAX($P$34*($B173+IF($R$17="Distrato",$I$38-1,0)),IF(AND($L$37=0,$P$34=0),"",$L$37-1),IF($R$17="Distrato",$E173,0))),0,YEARFRAC(MAX($P$34*($B173+IF($R$17="Distrato",$I$38-1,0)),IF(AND($L$37=0,$P$34=0),"",$L$37-1),IF($R$17="Distrato",$E173,0)),MIN(AX$38,$D$19),$P$20))-SUM($P173:AW173)</f>
        <v>#VALUE!</v>
      </c>
      <c r="AY173" s="446" t="e">
        <f>IF(OR($B173="",MIN(AY$38,$D$19)&lt;MAX($P$34*($B173+IF($R$17="Distrato",$I$38-1,0)),IF(AND($L$37=0,$P$34=0),"",$L$37-1),IF($R$17="Distrato",$E173,0))),0,YEARFRAC(MAX($P$34*($B173+IF($R$17="Distrato",$I$38-1,0)),IF(AND($L$37=0,$P$34=0),"",$L$37-1),IF($R$17="Distrato",$E173,0)),MIN(AY$38,$D$19),$P$20))-SUM($P173:AX173)</f>
        <v>#VALUE!</v>
      </c>
      <c r="AZ173" s="446" t="e">
        <f>IF(OR($B173="",MIN(AZ$38,$D$19)&lt;MAX($P$34*($B173+IF($R$17="Distrato",$I$38-1,0)),IF(AND($L$37=0,$P$34=0),"",$L$37-1),IF($R$17="Distrato",$E173,0))),0,YEARFRAC(MAX($P$34*($B173+IF($R$17="Distrato",$I$38-1,0)),IF(AND($L$37=0,$P$34=0),"",$L$37-1),IF($R$17="Distrato",$E173,0)),MIN(AZ$38,$D$19),$P$20))-SUM($P173:AY173)</f>
        <v>#VALUE!</v>
      </c>
      <c r="BA173" s="446" t="e">
        <f>IF(OR($B173="",MIN(BA$38,$D$19)&lt;MAX($P$34*($B173+IF($R$17="Distrato",$I$38-1,0)),IF(AND($L$37=0,$P$34=0),"",$L$37-1),IF($R$17="Distrato",$E173,0))),0,YEARFRAC(MAX($P$34*($B173+IF($R$17="Distrato",$I$38-1,0)),IF(AND($L$37=0,$P$34=0),"",$L$37-1),IF($R$17="Distrato",$E173,0)),MIN(BA$38,$D$19),$P$20))-SUM($P173:AZ173)</f>
        <v>#VALUE!</v>
      </c>
      <c r="BB173" s="447"/>
      <c r="BF173" s="446">
        <f t="shared" si="32"/>
        <v>0</v>
      </c>
      <c r="BG173" s="446">
        <f>IF($E173=0,0,IF(MIN(BG$38,$E173)&lt;MAX($P$34*($B173+$I$38-1),IF(AND($L$37=0,$P$34=0),"",$L$37-1)),0,YEARFRAC(MAX($P$34*($B173+$I$38-1),IF(AND($L$37=0,$P$34=0),"",$L$37-1)),MIN(BG$38,$E173),$P$20))-SUM($BF173:BF173))</f>
        <v>0</v>
      </c>
      <c r="BH173" s="446">
        <f>IF($E173=0,0,IF(MIN(BH$38,$E173)&lt;MAX($P$34*($B173+$I$38-1),IF(AND($L$37=0,$P$34=0),"",$L$37-1)),0,YEARFRAC(MAX($P$34*($B173+$I$38-1),IF(AND($L$37=0,$P$34=0),"",$L$37-1)),MIN(BH$38,$E173),$P$20))-SUM($BF173:BG173))</f>
        <v>0</v>
      </c>
      <c r="BI173" s="446">
        <f>IF($E173=0,0,IF(MIN(BI$38,$E173)&lt;MAX($P$34*($B173+$I$38-1),IF(AND($L$37=0,$P$34=0),"",$L$37-1)),0,YEARFRAC(MAX($P$34*($B173+$I$38-1),IF(AND($L$37=0,$P$34=0),"",$L$37-1)),MIN(BI$38,$E173),$P$20))-SUM($BF173:BH173))</f>
        <v>0</v>
      </c>
      <c r="BJ173" s="446">
        <f>IF($E173=0,0,IF(MIN(BJ$38,$E173)&lt;MAX($P$34*($B173+$I$38-1),IF(AND($L$37=0,$P$34=0),"",$L$37-1)),0,YEARFRAC(MAX($P$34*($B173+$I$38-1),IF(AND($L$37=0,$P$34=0),"",$L$37-1)),MIN(BJ$38,$E173),$P$20))-SUM($BF173:BI173))</f>
        <v>0</v>
      </c>
      <c r="BK173" s="446">
        <f>IF($E173=0,0,IF(MIN(BK$38,$E173)&lt;MAX($P$34*($B173+$I$38-1),IF(AND($L$37=0,$P$34=0),"",$L$37-1)),0,YEARFRAC(MAX($P$34*($B173+$I$38-1),IF(AND($L$37=0,$P$34=0),"",$L$37-1)),MIN(BK$38,$E173),$P$20))-SUM($BF173:BJ173))</f>
        <v>0</v>
      </c>
      <c r="BL173" s="446">
        <f>IF($E173=0,0,IF(MIN(BL$38,$E173)&lt;MAX($P$34*($B173+$I$38-1),IF(AND($L$37=0,$P$34=0),"",$L$37-1)),0,YEARFRAC(MAX($P$34*($B173+$I$38-1),IF(AND($L$37=0,$P$34=0),"",$L$37-1)),MIN(BL$38,$E173),$P$20))-SUM($BF173:BK173))</f>
        <v>0</v>
      </c>
      <c r="BM173" s="446">
        <f>IF($E173=0,0,IF(MIN(BM$38,$E173)&lt;MAX($P$34*($B173+$I$38-1),IF(AND($L$37=0,$P$34=0),"",$L$37-1)),0,YEARFRAC(MAX($P$34*($B173+$I$38-1),IF(AND($L$37=0,$P$34=0),"",$L$37-1)),MIN(BM$38,$E173),$P$20))-SUM($BF173:BL173))</f>
        <v>0</v>
      </c>
      <c r="BN173" s="446">
        <f>IF($E173=0,0,IF(MIN(BN$38,$E173)&lt;MAX($P$34*($B173+$I$38-1),IF(AND($L$37=0,$P$34=0),"",$L$37-1)),0,YEARFRAC(MAX($P$34*($B173+$I$38-1),IF(AND($L$37=0,$P$34=0),"",$L$37-1)),MIN(BN$38,$E173),$P$20))-SUM($BF173:BM173))</f>
        <v>0</v>
      </c>
      <c r="BO173" s="446">
        <f>IF($E173=0,0,IF(MIN(BO$38,$E173)&lt;MAX($P$34*($B173+$I$38-1),IF(AND($L$37=0,$P$34=0),"",$L$37-1)),0,YEARFRAC(MAX($P$34*($B173+$I$38-1),IF(AND($L$37=0,$P$34=0),"",$L$37-1)),MIN(BO$38,$E173),$P$20))-SUM($BF173:BN173))</f>
        <v>0</v>
      </c>
      <c r="BP173" s="446">
        <f>IF($E173=0,0,IF(MIN(BP$38,$E173)&lt;MAX($P$34*($B173+$I$38-1),IF(AND($L$37=0,$P$34=0),"",$L$37-1)),0,YEARFRAC(MAX($P$34*($B173+$I$38-1),IF(AND($L$37=0,$P$34=0),"",$L$37-1)),MIN(BP$38,$E173),$P$20))-SUM($BF173:BO173))</f>
        <v>0</v>
      </c>
      <c r="BQ173" s="446">
        <f>IF($E173=0,0,IF(MIN(BQ$38,$E173)&lt;MAX($P$34*($B173+$I$38-1),IF(AND($L$37=0,$P$34=0),"",$L$37-1)),0,YEARFRAC(MAX($P$34*($B173+$I$38-1),IF(AND($L$37=0,$P$34=0),"",$L$37-1)),MIN(BQ$38,$E173),$P$20))-SUM($BF173:BP173))</f>
        <v>0</v>
      </c>
      <c r="BR173" s="446">
        <f>IF($E173=0,0,IF(MIN(BR$38,$E173)&lt;MAX($P$34*($B173+$I$38-1),IF(AND($L$37=0,$P$34=0),"",$L$37-1)),0,YEARFRAC(MAX($P$34*($B173+$I$38-1),IF(AND($L$37=0,$P$34=0),"",$L$37-1)),MIN(BR$38,$E173),$P$20))-SUM($BF173:BQ173))</f>
        <v>0</v>
      </c>
      <c r="BS173" s="446">
        <f>IF($E173=0,0,IF(MIN(BS$38,$E173)&lt;MAX($P$34*($B173+$I$38-1),IF(AND($L$37=0,$P$34=0),"",$L$37-1)),0,YEARFRAC(MAX($P$34*($B173+$I$38-1),IF(AND($L$37=0,$P$34=0),"",$L$37-1)),MIN(BS$38,$E173),$P$20))-SUM($BF173:BR173))</f>
        <v>0</v>
      </c>
      <c r="BT173" s="446">
        <f>IF($E173=0,0,IF(MIN(BT$38,$E173)&lt;MAX($P$34*($B173+$I$38-1),IF(AND($L$37=0,$P$34=0),"",$L$37-1)),0,YEARFRAC(MAX($P$34*($B173+$I$38-1),IF(AND($L$37=0,$P$34=0),"",$L$37-1)),MIN(BT$38,$E173),$P$20))-SUM($BF173:BS173))</f>
        <v>0</v>
      </c>
      <c r="BU173" s="446">
        <f>IF($E173=0,0,IF(MIN(BU$38,$E173)&lt;MAX($P$34*($B173+$I$38-1),IF(AND($L$37=0,$P$34=0),"",$L$37-1)),0,YEARFRAC(MAX($P$34*($B173+$I$38-1),IF(AND($L$37=0,$P$34=0),"",$L$37-1)),MIN(BU$38,$E173),$P$20))-SUM($BF173:BT173))</f>
        <v>0</v>
      </c>
      <c r="BV173" s="446">
        <f>IF($E173=0,0,IF(MIN(BV$38,$E173)&lt;MAX($P$34*($B173+$I$38-1),IF(AND($L$37=0,$P$34=0),"",$L$37-1)),0,YEARFRAC(MAX($P$34*($B173+$I$38-1),IF(AND($L$37=0,$P$34=0),"",$L$37-1)),MIN(BV$38,$E173),$P$20))-SUM($BF173:BU173))</f>
        <v>0</v>
      </c>
      <c r="BW173" s="446">
        <f>IF($E173=0,0,IF(MIN(BW$38,$E173)&lt;MAX($P$34*($B173+$I$38-1),IF(AND($L$37=0,$P$34=0),"",$L$37-1)),0,YEARFRAC(MAX($P$34*($B173+$I$38-1),IF(AND($L$37=0,$P$34=0),"",$L$37-1)),MIN(BW$38,$E173),$P$20))-SUM($BF173:BV173))</f>
        <v>0</v>
      </c>
      <c r="BX173" s="446">
        <f>IF($E173=0,0,IF(MIN(BX$38,$E173)&lt;MAX($P$34*($B173+$I$38-1),IF(AND($L$37=0,$P$34=0),"",$L$37-1)),0,YEARFRAC(MAX($P$34*($B173+$I$38-1),IF(AND($L$37=0,$P$34=0),"",$L$37-1)),MIN(BX$38,$E173),$P$20))-SUM($BF173:BW173))</f>
        <v>0</v>
      </c>
      <c r="BY173" s="446">
        <f>IF($E173=0,0,IF(MIN(BY$38,$E173)&lt;MAX($P$34*($B173+$I$38-1),IF(AND($L$37=0,$P$34=0),"",$L$37-1)),0,YEARFRAC(MAX($P$34*($B173+$I$38-1),IF(AND($L$37=0,$P$34=0),"",$L$37-1)),MIN(BY$38,$E173),$P$20))-SUM($BF173:BX173))</f>
        <v>0</v>
      </c>
      <c r="BZ173" s="446">
        <f>IF($E173=0,0,IF(MIN(BZ$38,$E173)&lt;MAX($P$34*($B173+$I$38-1),IF(AND($L$37=0,$P$34=0),"",$L$37-1)),0,YEARFRAC(MAX($P$34*($B173+$I$38-1),IF(AND($L$37=0,$P$34=0),"",$L$37-1)),MIN(BZ$38,$E173),$P$20))-SUM($BF173:BY173))</f>
        <v>0</v>
      </c>
      <c r="CA173" s="446">
        <f>IF($E173=0,0,IF(MIN(CA$38,$E173)&lt;MAX($P$34*($B173+$I$38-1),IF(AND($L$37=0,$P$34=0),"",$L$37-1)),0,YEARFRAC(MAX($P$34*($B173+$I$38-1),IF(AND($L$37=0,$P$34=0),"",$L$37-1)),MIN(CA$38,$E173),$P$20))-SUM($BF173:BZ173))</f>
        <v>0</v>
      </c>
      <c r="CB173" s="446">
        <f>IF($E173=0,0,IF(MIN(CB$38,$E173)&lt;MAX($P$34*($B173+$I$38-1),IF(AND($L$37=0,$P$34=0),"",$L$37-1)),0,YEARFRAC(MAX($P$34*($B173+$I$38-1),IF(AND($L$37=0,$P$34=0),"",$L$37-1)),MIN(CB$38,$E173),$P$20))-SUM($BF173:CA173))</f>
        <v>0</v>
      </c>
      <c r="CC173" s="446">
        <f>IF($E173=0,0,IF(MIN(CC$38,$E173)&lt;MAX($P$34*($B173+$I$38-1),IF(AND($L$37=0,$P$34=0),"",$L$37-1)),0,YEARFRAC(MAX($P$34*($B173+$I$38-1),IF(AND($L$37=0,$P$34=0),"",$L$37-1)),MIN(CC$38,$E173),$P$20))-SUM($BF173:CB173))</f>
        <v>0</v>
      </c>
      <c r="CD173" s="446">
        <f>IF($E173=0,0,IF(MIN(CD$38,$E173)&lt;MAX($P$34*($B173+$I$38-1),IF(AND($L$37=0,$P$34=0),"",$L$37-1)),0,YEARFRAC(MAX($P$34*($B173+$I$38-1),IF(AND($L$37=0,$P$34=0),"",$L$37-1)),MIN(CD$38,$E173),$P$20))-SUM($BF173:CC173))</f>
        <v>0</v>
      </c>
      <c r="CE173" s="446">
        <f>IF($E173=0,0,IF(MIN(CE$38,$E173)&lt;MAX($P$34*($B173+$I$38-1),IF(AND($L$37=0,$P$34=0),"",$L$37-1)),0,YEARFRAC(MAX($P$34*($B173+$I$38-1),IF(AND($L$37=0,$P$34=0),"",$L$37-1)),MIN(CE$38,$E173),$P$20))-SUM($BF173:CD173))</f>
        <v>0</v>
      </c>
      <c r="CF173" s="446">
        <f>IF($E173=0,0,IF(MIN(CF$38,$E173)&lt;MAX($P$34*($B173+$I$38-1),IF(AND($L$37=0,$P$34=0),"",$L$37-1)),0,YEARFRAC(MAX($P$34*($B173+$I$38-1),IF(AND($L$37=0,$P$34=0),"",$L$37-1)),MIN(CF$38,$E173),$P$20))-SUM($BF173:CE173))</f>
        <v>0</v>
      </c>
      <c r="CG173" s="446">
        <f>IF($E173=0,0,IF(MIN(CG$38,$E173)&lt;MAX($P$34*($B173+$I$38-1),IF(AND($L$37=0,$P$34=0),"",$L$37-1)),0,YEARFRAC(MAX($P$34*($B173+$I$38-1),IF(AND($L$37=0,$P$34=0),"",$L$37-1)),MIN(CG$38,$E173),$P$20))-SUM($BF173:CF173))</f>
        <v>0</v>
      </c>
      <c r="CH173" s="446">
        <f>IF($E173=0,0,IF(MIN(CH$38,$E173)&lt;MAX($P$34*($B173+$I$38-1),IF(AND($L$37=0,$P$34=0),"",$L$37-1)),0,YEARFRAC(MAX($P$34*($B173+$I$38-1),IF(AND($L$37=0,$P$34=0),"",$L$37-1)),MIN(CH$38,$E173),$P$20))-SUM($BF173:CG173))</f>
        <v>0</v>
      </c>
      <c r="CI173" s="446">
        <f>IF($E173=0,0,IF(MIN(CI$38,$E173)&lt;MAX($P$34*($B173+$I$38-1),IF(AND($L$37=0,$P$34=0),"",$L$37-1)),0,YEARFRAC(MAX($P$34*($B173+$I$38-1),IF(AND($L$37=0,$P$34=0),"",$L$37-1)),MIN(CI$38,$E173),$P$20))-SUM($BF173:CH173))</f>
        <v>0</v>
      </c>
      <c r="CJ173" s="446">
        <f>IF($E173=0,0,IF(MIN(CJ$38,$E173)&lt;MAX($P$34*($B173+$I$38-1),IF(AND($L$37=0,$P$34=0),"",$L$37-1)),0,YEARFRAC(MAX($P$34*($B173+$I$38-1),IF(AND($L$37=0,$P$34=0),"",$L$37-1)),MIN(CJ$38,$E173),$P$20))-SUM($BF173:CI173))</f>
        <v>0</v>
      </c>
      <c r="CK173" s="446">
        <f>IF($E173=0,0,IF(MIN(CK$38,$E173)&lt;MAX($P$34*($B173+$I$38-1),IF(AND($L$37=0,$P$34=0),"",$L$37-1)),0,YEARFRAC(MAX($P$34*($B173+$I$38-1),IF(AND($L$37=0,$P$34=0),"",$L$37-1)),MIN(CK$38,$E173),$P$20))-SUM($BF173:CJ173))</f>
        <v>0</v>
      </c>
      <c r="CL173" s="446">
        <f>IF($E173=0,0,IF(MIN(CL$38,$E173)&lt;MAX($P$34*($B173+$I$38-1),IF(AND($L$37=0,$P$34=0),"",$L$37-1)),0,YEARFRAC(MAX($P$34*($B173+$I$38-1),IF(AND($L$37=0,$P$34=0),"",$L$37-1)),MIN(CL$38,$E173),$P$20))-SUM($BF173:CK173))</f>
        <v>0</v>
      </c>
      <c r="CM173" s="446">
        <f>IF($E173=0,0,IF(MIN(CM$38,$E173)&lt;MAX($P$34*($B173+$I$38-1),IF(AND($L$37=0,$P$34=0),"",$L$37-1)),0,YEARFRAC(MAX($P$34*($B173+$I$38-1),IF(AND($L$37=0,$P$34=0),"",$L$37-1)),MIN(CM$38,$E173),$P$20))-SUM($BF173:CL173))</f>
        <v>0</v>
      </c>
      <c r="CN173" s="446">
        <f>IF($E173=0,0,IF(MIN(CN$38,$E173)&lt;MAX($P$34*($B173+$I$38-1),IF(AND($L$37=0,$P$34=0),"",$L$37-1)),0,YEARFRAC(MAX($P$34*($B173+$I$38-1),IF(AND($L$37=0,$P$34=0),"",$L$37-1)),MIN(CN$38,$E173),$P$20))-SUM($BF173:CM173))</f>
        <v>0</v>
      </c>
      <c r="CO173" s="446">
        <f>IF($E173=0,0,IF(MIN(CO$38,$E173)&lt;MAX($P$34*($B173+$I$38-1),IF(AND($L$37=0,$P$34=0),"",$L$37-1)),0,YEARFRAC(MAX($P$34*($B173+$I$38-1),IF(AND($L$37=0,$P$34=0),"",$L$37-1)),MIN(CO$38,$E173),$P$20))-SUM($BF173:CN173))</f>
        <v>0</v>
      </c>
      <c r="CP173" s="446">
        <f>IF($E173=0,0,IF(MIN(CP$38,$E173)&lt;MAX($P$34*($B173+$I$38-1),IF(AND($L$37=0,$P$34=0),"",$L$37-1)),0,YEARFRAC(MAX($P$34*($B173+$I$38-1),IF(AND($L$37=0,$P$34=0),"",$L$37-1)),MIN(CP$38,$E173),$P$20))-SUM($BF173:CO173))</f>
        <v>0</v>
      </c>
      <c r="CQ173" s="446">
        <f>IF($E173=0,0,IF(MIN(CQ$38,$E173)&lt;MAX($P$34*($B173+$I$38-1),IF(AND($L$37=0,$P$34=0),"",$L$37-1)),0,YEARFRAC(MAX($P$34*($B173+$I$38-1),IF(AND($L$37=0,$P$34=0),"",$L$37-1)),MIN(CQ$38,$E173),$P$20))-SUM($BF173:CP173))</f>
        <v>0</v>
      </c>
    </row>
    <row r="174" spans="1:95" s="446" customFormat="1" ht="11.25" hidden="1" customHeight="1" x14ac:dyDescent="0.2">
      <c r="A174" s="152"/>
      <c r="B174" s="153" t="str">
        <f t="shared" si="37"/>
        <v/>
      </c>
      <c r="C174" s="29" t="str">
        <f>IF(B174="","",IF($L$35="SELIC - TRIBUTOS",VLOOKUP(DATE(YEAR($D$19),MONTH($D$19)-1,1),ÍNDICES!$A:$DE,HLOOKUP($BL$25,ÍNDICES!$B$3:$T$4,2)+11)-VLOOKUP(B174,ÍNDICES!$A:$DE,HLOOKUP($BL$25,ÍNDICES!$B$3:$T$4,2)+11)+1%,IF(C$38=$W$26,$J$35,IF(ISERROR(IF(B174&gt;$D$19,1,VLOOKUP(DATE(YEAR(B174),MONTH(B174)+IF($C$35=$S$23,1,0),1),ÍNDICES!$A:$DE,$Z$35+1))),"",IF(B174&gt;$D$19,1,VLOOKUP(DATE(YEAR(B174),MONTH(B174)+IF($C$35=$S$23,1,0),1),ÍNDICES!$A:$DE,$Z$35+1))))))</f>
        <v/>
      </c>
      <c r="D174" s="154" t="str">
        <f>IF(ISERROR(IF(OR($D$38=$Y$27,$B174=""),"",VLOOKUP(B174,ÍNDICES!A:DE,AF$35+1))),"",IF(OR($D$38=$Y$27,$B174=""),"",VLOOKUP(B174,ÍNDICES!A:DE,AF$35+1)))</f>
        <v/>
      </c>
      <c r="E174" s="153"/>
      <c r="F174" s="29" t="str">
        <f>IF(E174="","",IF($L$35="SELIC - TRIBUTOS",VLOOKUP(DATE(YEAR($D$19),MONTH($D$19)-1,1),ÍNDICES!$A:$DE,HLOOKUP($BL$25,ÍNDICES!$B$3:$T$4,2)+11)-VLOOKUP(E174,ÍNDICES!$A:$DE,HLOOKUP($BL$25,ÍNDICES!$B$3:$T$4,2)+11)+1%,IF(F$38=$W$26,$J$35,IF(ISERROR(IF(E174&gt;$D$19,1,VLOOKUP(DATE(YEAR(E174),MONTH(E174)+IF($C$35=$S$23,1,0),1),ÍNDICES!$A:$DE,$Z$35+1))),"",IF(E174&gt;$D$19,1,VLOOKUP(DATE(YEAR(E174),MONTH(E174)+IF($C$35=$S$23,1,0),1),ÍNDICES!$A:$DE,$Z$35+1))))))</f>
        <v/>
      </c>
      <c r="G174" s="155"/>
      <c r="H174" s="156" t="str">
        <f t="shared" si="33"/>
        <v/>
      </c>
      <c r="I174" s="29" t="str">
        <f t="shared" si="27"/>
        <v/>
      </c>
      <c r="J174" s="5">
        <f t="shared" si="28"/>
        <v>0</v>
      </c>
      <c r="K174" s="20">
        <f t="shared" ca="1" si="29"/>
        <v>0</v>
      </c>
      <c r="L174" s="5">
        <f t="shared" ca="1" si="30"/>
        <v>0</v>
      </c>
      <c r="M174" s="64">
        <f t="shared" si="34"/>
        <v>0</v>
      </c>
      <c r="N174" s="61">
        <f t="shared" ca="1" si="35"/>
        <v>0</v>
      </c>
      <c r="O174" s="5">
        <f t="shared" ca="1" si="36"/>
        <v>0</v>
      </c>
      <c r="P174" s="446" t="e">
        <f t="shared" si="31"/>
        <v>#VALUE!</v>
      </c>
      <c r="Q174" s="446" t="e">
        <f>IF(OR($B174="",MIN(Q$38,$D$19)&lt;MAX($P$34*($B174+IF($R$17="Distrato",$I$38-1,0)),IF(AND($L$37=0,$P$34=0),"",$L$37-1),IF($R$17="Distrato",$E174,0))),0,YEARFRAC(MAX($P$34*($B174+IF($R$17="Distrato",$I$38-1,0)),IF(AND($L$37=0,$P$34=0),"",$L$37-1),IF($R$17="Distrato",$E174,0)),MIN(Q$38,$D$19),$P$20))-SUM($P174:P174)</f>
        <v>#VALUE!</v>
      </c>
      <c r="R174" s="446" t="e">
        <f>IF(OR($B174="",MIN(R$38,$D$19)&lt;MAX($P$34*($B174+IF($R$17="Distrato",$I$38-1,0)),IF(AND($L$37=0,$P$34=0),"",$L$37-1),IF($R$17="Distrato",$E174,0))),0,YEARFRAC(MAX($P$34*($B174+IF($R$17="Distrato",$I$38-1,0)),IF(AND($L$37=0,$P$34=0),"",$L$37-1),IF($R$17="Distrato",$E174,0)),MIN(R$38,$D$19),$P$20))-SUM($P174:Q174)</f>
        <v>#VALUE!</v>
      </c>
      <c r="S174" s="446" t="e">
        <f>IF(OR($B174="",MIN(S$38,$D$19)&lt;MAX($P$34*($B174+IF($R$17="Distrato",$I$38-1,0)),IF(AND($L$37=0,$P$34=0),"",$L$37-1),IF($R$17="Distrato",$E174,0))),0,YEARFRAC(MAX($P$34*($B174+IF($R$17="Distrato",$I$38-1,0)),IF(AND($L$37=0,$P$34=0),"",$L$37-1),IF($R$17="Distrato",$E174,0)),MIN(S$38,$D$19),$P$20))-SUM($P174:R174)</f>
        <v>#VALUE!</v>
      </c>
      <c r="T174" s="446" t="e">
        <f>IF(OR($B174="",MIN(T$38,$D$19)&lt;MAX($P$34*($B174+IF($R$17="Distrato",$I$38-1,0)),IF(AND($L$37=0,$P$34=0),"",$L$37-1),IF($R$17="Distrato",$E174,0))),0,YEARFRAC(MAX($P$34*($B174+IF($R$17="Distrato",$I$38-1,0)),IF(AND($L$37=0,$P$34=0),"",$L$37-1),IF($R$17="Distrato",$E174,0)),MIN(T$38,$D$19),$P$20))-SUM($P174:S174)</f>
        <v>#VALUE!</v>
      </c>
      <c r="U174" s="446" t="e">
        <f>IF(OR($B174="",MIN(U$38,$D$19)&lt;MAX($P$34*($B174+IF($R$17="Distrato",$I$38-1,0)),IF(AND($L$37=0,$P$34=0),"",$L$37-1),IF($R$17="Distrato",$E174,0))),0,YEARFRAC(MAX($P$34*($B174+IF($R$17="Distrato",$I$38-1,0)),IF(AND($L$37=0,$P$34=0),"",$L$37-1),IF($R$17="Distrato",$E174,0)),MIN(U$38,$D$19),$P$20))-SUM($P174:T174)</f>
        <v>#VALUE!</v>
      </c>
      <c r="V174" s="446" t="e">
        <f>IF(OR($B174="",MIN(V$38,$D$19)&lt;MAX($P$34*($B174+IF($R$17="Distrato",$I$38-1,0)),IF(AND($L$37=0,$P$34=0),"",$L$37-1),IF($R$17="Distrato",$E174,0))),0,YEARFRAC(MAX($P$34*($B174+IF($R$17="Distrato",$I$38-1,0)),IF(AND($L$37=0,$P$34=0),"",$L$37-1),IF($R$17="Distrato",$E174,0)),MIN(V$38,$D$19),$P$20))-SUM($P174:U174)</f>
        <v>#VALUE!</v>
      </c>
      <c r="W174" s="446" t="e">
        <f>IF(OR($B174="",MIN(W$38,$D$19)&lt;MAX($P$34*($B174+IF($R$17="Distrato",$I$38-1,0)),IF(AND($L$37=0,$P$34=0),"",$L$37-1),IF($R$17="Distrato",$E174,0))),0,YEARFRAC(MAX($P$34*($B174+IF($R$17="Distrato",$I$38-1,0)),IF(AND($L$37=0,$P$34=0),"",$L$37-1),IF($R$17="Distrato",$E174,0)),MIN(W$38,$D$19),$P$20))-SUM($P174:V174)</f>
        <v>#VALUE!</v>
      </c>
      <c r="X174" s="446" t="e">
        <f>IF(OR($B174="",MIN(X$38,$D$19)&lt;MAX($P$34*($B174+IF($R$17="Distrato",$I$38-1,0)),IF(AND($L$37=0,$P$34=0),"",$L$37-1),IF($R$17="Distrato",$E174,0))),0,YEARFRAC(MAX($P$34*($B174+IF($R$17="Distrato",$I$38-1,0)),IF(AND($L$37=0,$P$34=0),"",$L$37-1),IF($R$17="Distrato",$E174,0)),MIN(X$38,$D$19),$P$20))-SUM($P174:W174)</f>
        <v>#VALUE!</v>
      </c>
      <c r="Y174" s="446" t="e">
        <f>IF(OR($B174="",MIN(Y$38,$D$19)&lt;MAX($P$34*($B174+IF($R$17="Distrato",$I$38-1,0)),IF(AND($L$37=0,$P$34=0),"",$L$37-1),IF($R$17="Distrato",$E174,0))),0,YEARFRAC(MAX($P$34*($B174+IF($R$17="Distrato",$I$38-1,0)),IF(AND($L$37=0,$P$34=0),"",$L$37-1),IF($R$17="Distrato",$E174,0)),MIN(Y$38,$D$19),$P$20))-SUM($P174:X174)</f>
        <v>#VALUE!</v>
      </c>
      <c r="Z174" s="446" t="e">
        <f>IF(OR($B174="",MIN(Z$38,$D$19)&lt;MAX($P$34*($B174+IF($R$17="Distrato",$I$38-1,0)),IF(AND($L$37=0,$P$34=0),"",$L$37-1),IF($R$17="Distrato",$E174,0))),0,YEARFRAC(MAX($P$34*($B174+IF($R$17="Distrato",$I$38-1,0)),IF(AND($L$37=0,$P$34=0),"",$L$37-1),IF($R$17="Distrato",$E174,0)),MIN(Z$38,$D$19),$P$20))-SUM($P174:Y174)</f>
        <v>#VALUE!</v>
      </c>
      <c r="AA174" s="446" t="e">
        <f>IF(OR($B174="",MIN(AA$38,$D$19)&lt;MAX($P$34*($B174+IF($R$17="Distrato",$I$38-1,0)),IF(AND($L$37=0,$P$34=0),"",$L$37-1),IF($R$17="Distrato",$E174,0))),0,YEARFRAC(MAX($P$34*($B174+IF($R$17="Distrato",$I$38-1,0)),IF(AND($L$37=0,$P$34=0),"",$L$37-1),IF($R$17="Distrato",$E174,0)),MIN(AA$38,$D$19),$P$20))-SUM($P174:Z174)</f>
        <v>#VALUE!</v>
      </c>
      <c r="AB174" s="446" t="e">
        <f>IF(OR($B174="",MIN(AB$38,$D$19)&lt;MAX($P$34*($B174+IF($R$17="Distrato",$I$38-1,0)),IF(AND($L$37=0,$P$34=0),"",$L$37-1),IF($R$17="Distrato",$E174,0))),0,YEARFRAC(MAX($P$34*($B174+IF($R$17="Distrato",$I$38-1,0)),IF(AND($L$37=0,$P$34=0),"",$L$37-1),IF($R$17="Distrato",$E174,0)),MIN(AB$38,$D$19),$P$20))-SUM($P174:AA174)</f>
        <v>#VALUE!</v>
      </c>
      <c r="AC174" s="446" t="e">
        <f>IF(OR($B174="",MIN(AC$38,$D$19)&lt;MAX($P$34*($B174+IF($R$17="Distrato",$I$38-1,0)),IF(AND($L$37=0,$P$34=0),"",$L$37-1),IF($R$17="Distrato",$E174,0))),0,YEARFRAC(MAX($P$34*($B174+IF($R$17="Distrato",$I$38-1,0)),IF(AND($L$37=0,$P$34=0),"",$L$37-1),IF($R$17="Distrato",$E174,0)),MIN(AC$38,$D$19),$P$20))-SUM($P174:AB174)</f>
        <v>#VALUE!</v>
      </c>
      <c r="AD174" s="446" t="e">
        <f>IF(OR($B174="",MIN(AD$38,$D$19)&lt;MAX($P$34*($B174+IF($R$17="Distrato",$I$38-1,0)),IF(AND($L$37=0,$P$34=0),"",$L$37-1),IF($R$17="Distrato",$E174,0))),0,YEARFRAC(MAX($P$34*($B174+IF($R$17="Distrato",$I$38-1,0)),IF(AND($L$37=0,$P$34=0),"",$L$37-1),IF($R$17="Distrato",$E174,0)),MIN(AD$38,$D$19),$P$20))-SUM($P174:AC174)</f>
        <v>#VALUE!</v>
      </c>
      <c r="AE174" s="446" t="e">
        <f>IF(OR($B174="",MIN(AE$38,$D$19)&lt;MAX($P$34*($B174+IF($R$17="Distrato",$I$38-1,0)),IF(AND($L$37=0,$P$34=0),"",$L$37-1),IF($R$17="Distrato",$E174,0))),0,YEARFRAC(MAX($P$34*($B174+IF($R$17="Distrato",$I$38-1,0)),IF(AND($L$37=0,$P$34=0),"",$L$37-1),IF($R$17="Distrato",$E174,0)),MIN(AE$38,$D$19),$P$20))-SUM($P174:AD174)</f>
        <v>#VALUE!</v>
      </c>
      <c r="AF174" s="446" t="e">
        <f>IF(OR($B174="",MIN(AF$38,$D$19)&lt;MAX($P$34*($B174+IF($R$17="Distrato",$I$38-1,0)),IF(AND($L$37=0,$P$34=0),"",$L$37-1),IF($R$17="Distrato",$E174,0))),0,YEARFRAC(MAX($P$34*($B174+IF($R$17="Distrato",$I$38-1,0)),IF(AND($L$37=0,$P$34=0),"",$L$37-1),IF($R$17="Distrato",$E174,0)),MIN(AF$38,$D$19),$P$20))-SUM($P174:AE174)</f>
        <v>#VALUE!</v>
      </c>
      <c r="AG174" s="446" t="e">
        <f>IF(OR($B174="",MIN(AG$38,$D$19)&lt;MAX($P$34*($B174+IF($R$17="Distrato",$I$38-1,0)),IF(AND($L$37=0,$P$34=0),"",$L$37-1),IF($R$17="Distrato",$E174,0))),0,YEARFRAC(MAX($P$34*($B174+IF($R$17="Distrato",$I$38-1,0)),IF(AND($L$37=0,$P$34=0),"",$L$37-1),IF($R$17="Distrato",$E174,0)),MIN(AG$38,$D$19),$P$20))-SUM($P174:AF174)</f>
        <v>#VALUE!</v>
      </c>
      <c r="AH174" s="446" t="e">
        <f>IF(OR($B174="",MIN(AH$38,$D$19)&lt;MAX($P$34*($B174+IF($R$17="Distrato",$I$38-1,0)),IF(AND($L$37=0,$P$34=0),"",$L$37-1),IF($R$17="Distrato",$E174,0))),0,YEARFRAC(MAX($P$34*($B174+IF($R$17="Distrato",$I$38-1,0)),IF(AND($L$37=0,$P$34=0),"",$L$37-1),IF($R$17="Distrato",$E174,0)),MIN(AH$38,$D$19),$P$20))-SUM($P174:AG174)</f>
        <v>#VALUE!</v>
      </c>
      <c r="AI174" s="446" t="e">
        <f>IF(OR($B174="",MIN(AI$38,$D$19)&lt;MAX($P$34*($B174+IF($R$17="Distrato",$I$38-1,0)),IF(AND($L$37=0,$P$34=0),"",$L$37-1),IF($R$17="Distrato",$E174,0))),0,YEARFRAC(MAX($P$34*($B174+IF($R$17="Distrato",$I$38-1,0)),IF(AND($L$37=0,$P$34=0),"",$L$37-1),IF($R$17="Distrato",$E174,0)),MIN(AI$38,$D$19),$P$20))-SUM($P174:AH174)</f>
        <v>#VALUE!</v>
      </c>
      <c r="AJ174" s="446" t="e">
        <f>IF(OR($B174="",MIN(AJ$38,$D$19)&lt;MAX($P$34*($B174+IF($R$17="Distrato",$I$38-1,0)),IF(AND($L$37=0,$P$34=0),"",$L$37-1),IF($R$17="Distrato",$E174,0))),0,YEARFRAC(MAX($P$34*($B174+IF($R$17="Distrato",$I$38-1,0)),IF(AND($L$37=0,$P$34=0),"",$L$37-1),IF($R$17="Distrato",$E174,0)),MIN(AJ$38,$D$19),$P$20))-SUM($P174:AI174)</f>
        <v>#VALUE!</v>
      </c>
      <c r="AK174" s="446" t="e">
        <f>IF(OR($B174="",MIN(AK$38,$D$19)&lt;MAX($P$34*($B174+IF($R$17="Distrato",$I$38-1,0)),IF(AND($L$37=0,$P$34=0),"",$L$37-1),IF($R$17="Distrato",$E174,0))),0,YEARFRAC(MAX($P$34*($B174+IF($R$17="Distrato",$I$38-1,0)),IF(AND($L$37=0,$P$34=0),"",$L$37-1),IF($R$17="Distrato",$E174,0)),MIN(AK$38,$D$19),$P$20))-SUM($P174:AJ174)</f>
        <v>#VALUE!</v>
      </c>
      <c r="AL174" s="446" t="e">
        <f>IF(OR($B174="",MIN(AL$38,$D$19)&lt;MAX($P$34*($B174+IF($R$17="Distrato",$I$38-1,0)),IF(AND($L$37=0,$P$34=0),"",$L$37-1),IF($R$17="Distrato",$E174,0))),0,YEARFRAC(MAX($P$34*($B174+IF($R$17="Distrato",$I$38-1,0)),IF(AND($L$37=0,$P$34=0),"",$L$37-1),IF($R$17="Distrato",$E174,0)),MIN(AL$38,$D$19),$P$20))-SUM($P174:AK174)</f>
        <v>#VALUE!</v>
      </c>
      <c r="AM174" s="446" t="e">
        <f>IF(OR($B174="",MIN(AM$38,$D$19)&lt;MAX($P$34*($B174+IF($R$17="Distrato",$I$38-1,0)),IF(AND($L$37=0,$P$34=0),"",$L$37-1),IF($R$17="Distrato",$E174,0))),0,YEARFRAC(MAX($P$34*($B174+IF($R$17="Distrato",$I$38-1,0)),IF(AND($L$37=0,$P$34=0),"",$L$37-1),IF($R$17="Distrato",$E174,0)),MIN(AM$38,$D$19),$P$20))-SUM($P174:AL174)</f>
        <v>#VALUE!</v>
      </c>
      <c r="AN174" s="446" t="e">
        <f>IF(OR($B174="",MIN(AN$38,$D$19)&lt;MAX($P$34*($B174+IF($R$17="Distrato",$I$38-1,0)),IF(AND($L$37=0,$P$34=0),"",$L$37-1),IF($R$17="Distrato",$E174,0))),0,YEARFRAC(MAX($P$34*($B174+IF($R$17="Distrato",$I$38-1,0)),IF(AND($L$37=0,$P$34=0),"",$L$37-1),IF($R$17="Distrato",$E174,0)),MIN(AN$38,$D$19),$P$20))-SUM($P174:AM174)</f>
        <v>#VALUE!</v>
      </c>
      <c r="AO174" s="446" t="e">
        <f>IF(OR($B174="",MIN(AO$38,$D$19)&lt;MAX($P$34*($B174+IF($R$17="Distrato",$I$38-1,0)),IF(AND($L$37=0,$P$34=0),"",$L$37-1),IF($R$17="Distrato",$E174,0))),0,YEARFRAC(MAX($P$34*($B174+IF($R$17="Distrato",$I$38-1,0)),IF(AND($L$37=0,$P$34=0),"",$L$37-1),IF($R$17="Distrato",$E174,0)),MIN(AO$38,$D$19),$P$20))-SUM($P174:AN174)</f>
        <v>#VALUE!</v>
      </c>
      <c r="AP174" s="446" t="e">
        <f>IF(OR($B174="",MIN(AP$38,$D$19)&lt;MAX($P$34*($B174+IF($R$17="Distrato",$I$38-1,0)),IF(AND($L$37=0,$P$34=0),"",$L$37-1),IF($R$17="Distrato",$E174,0))),0,YEARFRAC(MAX($P$34*($B174+IF($R$17="Distrato",$I$38-1,0)),IF(AND($L$37=0,$P$34=0),"",$L$37-1),IF($R$17="Distrato",$E174,0)),MIN(AP$38,$D$19),$P$20))-SUM($P174:AO174)</f>
        <v>#VALUE!</v>
      </c>
      <c r="AQ174" s="446" t="e">
        <f>IF(OR($B174="",MIN(AQ$38,$D$19)&lt;MAX($P$34*($B174+IF($R$17="Distrato",$I$38-1,0)),IF(AND($L$37=0,$P$34=0),"",$L$37-1),IF($R$17="Distrato",$E174,0))),0,YEARFRAC(MAX($P$34*($B174+IF($R$17="Distrato",$I$38-1,0)),IF(AND($L$37=0,$P$34=0),"",$L$37-1),IF($R$17="Distrato",$E174,0)),MIN(AQ$38,$D$19),$P$20))-SUM($P174:AP174)</f>
        <v>#VALUE!</v>
      </c>
      <c r="AR174" s="446" t="e">
        <f>IF(OR($B174="",MIN(AR$38,$D$19)&lt;MAX($P$34*($B174+IF($R$17="Distrato",$I$38-1,0)),IF(AND($L$37=0,$P$34=0),"",$L$37-1),IF($R$17="Distrato",$E174,0))),0,YEARFRAC(MAX($P$34*($B174+IF($R$17="Distrato",$I$38-1,0)),IF(AND($L$37=0,$P$34=0),"",$L$37-1),IF($R$17="Distrato",$E174,0)),MIN(AR$38,$D$19),$P$20))-SUM($P174:AQ174)</f>
        <v>#VALUE!</v>
      </c>
      <c r="AS174" s="446" t="e">
        <f>IF(OR($B174="",MIN(AS$38,$D$19)&lt;MAX($P$34*($B174+IF($R$17="Distrato",$I$38-1,0)),IF(AND($L$37=0,$P$34=0),"",$L$37-1),IF($R$17="Distrato",$E174,0))),0,YEARFRAC(MAX($P$34*($B174+IF($R$17="Distrato",$I$38-1,0)),IF(AND($L$37=0,$P$34=0),"",$L$37-1),IF($R$17="Distrato",$E174,0)),MIN(AS$38,$D$19),$P$20))-SUM($P174:AR174)</f>
        <v>#VALUE!</v>
      </c>
      <c r="AT174" s="446" t="e">
        <f>IF(OR($B174="",MIN(AT$38,$D$19)&lt;MAX($P$34*($B174+IF($R$17="Distrato",$I$38-1,0)),IF(AND($L$37=0,$P$34=0),"",$L$37-1),IF($R$17="Distrato",$E174,0))),0,YEARFRAC(MAX($P$34*($B174+IF($R$17="Distrato",$I$38-1,0)),IF(AND($L$37=0,$P$34=0),"",$L$37-1),IF($R$17="Distrato",$E174,0)),MIN(AT$38,$D$19),$P$20))-SUM($P174:AS174)</f>
        <v>#VALUE!</v>
      </c>
      <c r="AU174" s="446" t="e">
        <f>IF(OR($B174="",MIN(AU$38,$D$19)&lt;MAX($P$34*($B174+IF($R$17="Distrato",$I$38-1,0)),IF(AND($L$37=0,$P$34=0),"",$L$37-1),IF($R$17="Distrato",$E174,0))),0,YEARFRAC(MAX($P$34*($B174+IF($R$17="Distrato",$I$38-1,0)),IF(AND($L$37=0,$P$34=0),"",$L$37-1),IF($R$17="Distrato",$E174,0)),MIN(AU$38,$D$19),$P$20))-SUM($P174:AT174)</f>
        <v>#VALUE!</v>
      </c>
      <c r="AV174" s="446" t="e">
        <f>IF(OR($B174="",MIN(AV$38,$D$19)&lt;MAX($P$34*($B174+IF($R$17="Distrato",$I$38-1,0)),IF(AND($L$37=0,$P$34=0),"",$L$37-1),IF($R$17="Distrato",$E174,0))),0,YEARFRAC(MAX($P$34*($B174+IF($R$17="Distrato",$I$38-1,0)),IF(AND($L$37=0,$P$34=0),"",$L$37-1),IF($R$17="Distrato",$E174,0)),MIN(AV$38,$D$19),$P$20))-SUM($P174:AU174)</f>
        <v>#VALUE!</v>
      </c>
      <c r="AW174" s="446" t="e">
        <f>IF(OR($B174="",MIN(AW$38,$D$19)&lt;MAX($P$34*($B174+IF($R$17="Distrato",$I$38-1,0)),IF(AND($L$37=0,$P$34=0),"",$L$37-1),IF($R$17="Distrato",$E174,0))),0,YEARFRAC(MAX($P$34*($B174+IF($R$17="Distrato",$I$38-1,0)),IF(AND($L$37=0,$P$34=0),"",$L$37-1),IF($R$17="Distrato",$E174,0)),MIN(AW$38,$D$19),$P$20))-SUM($P174:AV174)</f>
        <v>#VALUE!</v>
      </c>
      <c r="AX174" s="446" t="e">
        <f>IF(OR($B174="",MIN(AX$38,$D$19)&lt;MAX($P$34*($B174+IF($R$17="Distrato",$I$38-1,0)),IF(AND($L$37=0,$P$34=0),"",$L$37-1),IF($R$17="Distrato",$E174,0))),0,YEARFRAC(MAX($P$34*($B174+IF($R$17="Distrato",$I$38-1,0)),IF(AND($L$37=0,$P$34=0),"",$L$37-1),IF($R$17="Distrato",$E174,0)),MIN(AX$38,$D$19),$P$20))-SUM($P174:AW174)</f>
        <v>#VALUE!</v>
      </c>
      <c r="AY174" s="446" t="e">
        <f>IF(OR($B174="",MIN(AY$38,$D$19)&lt;MAX($P$34*($B174+IF($R$17="Distrato",$I$38-1,0)),IF(AND($L$37=0,$P$34=0),"",$L$37-1),IF($R$17="Distrato",$E174,0))),0,YEARFRAC(MAX($P$34*($B174+IF($R$17="Distrato",$I$38-1,0)),IF(AND($L$37=0,$P$34=0),"",$L$37-1),IF($R$17="Distrato",$E174,0)),MIN(AY$38,$D$19),$P$20))-SUM($P174:AX174)</f>
        <v>#VALUE!</v>
      </c>
      <c r="AZ174" s="446" t="e">
        <f>IF(OR($B174="",MIN(AZ$38,$D$19)&lt;MAX($P$34*($B174+IF($R$17="Distrato",$I$38-1,0)),IF(AND($L$37=0,$P$34=0),"",$L$37-1),IF($R$17="Distrato",$E174,0))),0,YEARFRAC(MAX($P$34*($B174+IF($R$17="Distrato",$I$38-1,0)),IF(AND($L$37=0,$P$34=0),"",$L$37-1),IF($R$17="Distrato",$E174,0)),MIN(AZ$38,$D$19),$P$20))-SUM($P174:AY174)</f>
        <v>#VALUE!</v>
      </c>
      <c r="BA174" s="446" t="e">
        <f>IF(OR($B174="",MIN(BA$38,$D$19)&lt;MAX($P$34*($B174+IF($R$17="Distrato",$I$38-1,0)),IF(AND($L$37=0,$P$34=0),"",$L$37-1),IF($R$17="Distrato",$E174,0))),0,YEARFRAC(MAX($P$34*($B174+IF($R$17="Distrato",$I$38-1,0)),IF(AND($L$37=0,$P$34=0),"",$L$37-1),IF($R$17="Distrato",$E174,0)),MIN(BA$38,$D$19),$P$20))-SUM($P174:AZ174)</f>
        <v>#VALUE!</v>
      </c>
      <c r="BB174" s="447"/>
      <c r="BF174" s="446">
        <f t="shared" si="32"/>
        <v>0</v>
      </c>
      <c r="BG174" s="446">
        <f>IF($E174=0,0,IF(MIN(BG$38,$E174)&lt;MAX($P$34*($B174+$I$38-1),IF(AND($L$37=0,$P$34=0),"",$L$37-1)),0,YEARFRAC(MAX($P$34*($B174+$I$38-1),IF(AND($L$37=0,$P$34=0),"",$L$37-1)),MIN(BG$38,$E174),$P$20))-SUM($BF174:BF174))</f>
        <v>0</v>
      </c>
      <c r="BH174" s="446">
        <f>IF($E174=0,0,IF(MIN(BH$38,$E174)&lt;MAX($P$34*($B174+$I$38-1),IF(AND($L$37=0,$P$34=0),"",$L$37-1)),0,YEARFRAC(MAX($P$34*($B174+$I$38-1),IF(AND($L$37=0,$P$34=0),"",$L$37-1)),MIN(BH$38,$E174),$P$20))-SUM($BF174:BG174))</f>
        <v>0</v>
      </c>
      <c r="BI174" s="446">
        <f>IF($E174=0,0,IF(MIN(BI$38,$E174)&lt;MAX($P$34*($B174+$I$38-1),IF(AND($L$37=0,$P$34=0),"",$L$37-1)),0,YEARFRAC(MAX($P$34*($B174+$I$38-1),IF(AND($L$37=0,$P$34=0),"",$L$37-1)),MIN(BI$38,$E174),$P$20))-SUM($BF174:BH174))</f>
        <v>0</v>
      </c>
      <c r="BJ174" s="446">
        <f>IF($E174=0,0,IF(MIN(BJ$38,$E174)&lt;MAX($P$34*($B174+$I$38-1),IF(AND($L$37=0,$P$34=0),"",$L$37-1)),0,YEARFRAC(MAX($P$34*($B174+$I$38-1),IF(AND($L$37=0,$P$34=0),"",$L$37-1)),MIN(BJ$38,$E174),$P$20))-SUM($BF174:BI174))</f>
        <v>0</v>
      </c>
      <c r="BK174" s="446">
        <f>IF($E174=0,0,IF(MIN(BK$38,$E174)&lt;MAX($P$34*($B174+$I$38-1),IF(AND($L$37=0,$P$34=0),"",$L$37-1)),0,YEARFRAC(MAX($P$34*($B174+$I$38-1),IF(AND($L$37=0,$P$34=0),"",$L$37-1)),MIN(BK$38,$E174),$P$20))-SUM($BF174:BJ174))</f>
        <v>0</v>
      </c>
      <c r="BL174" s="446">
        <f>IF($E174=0,0,IF(MIN(BL$38,$E174)&lt;MAX($P$34*($B174+$I$38-1),IF(AND($L$37=0,$P$34=0),"",$L$37-1)),0,YEARFRAC(MAX($P$34*($B174+$I$38-1),IF(AND($L$37=0,$P$34=0),"",$L$37-1)),MIN(BL$38,$E174),$P$20))-SUM($BF174:BK174))</f>
        <v>0</v>
      </c>
      <c r="BM174" s="446">
        <f>IF($E174=0,0,IF(MIN(BM$38,$E174)&lt;MAX($P$34*($B174+$I$38-1),IF(AND($L$37=0,$P$34=0),"",$L$37-1)),0,YEARFRAC(MAX($P$34*($B174+$I$38-1),IF(AND($L$37=0,$P$34=0),"",$L$37-1)),MIN(BM$38,$E174),$P$20))-SUM($BF174:BL174))</f>
        <v>0</v>
      </c>
      <c r="BN174" s="446">
        <f>IF($E174=0,0,IF(MIN(BN$38,$E174)&lt;MAX($P$34*($B174+$I$38-1),IF(AND($L$37=0,$P$34=0),"",$L$37-1)),0,YEARFRAC(MAX($P$34*($B174+$I$38-1),IF(AND($L$37=0,$P$34=0),"",$L$37-1)),MIN(BN$38,$E174),$P$20))-SUM($BF174:BM174))</f>
        <v>0</v>
      </c>
      <c r="BO174" s="446">
        <f>IF($E174=0,0,IF(MIN(BO$38,$E174)&lt;MAX($P$34*($B174+$I$38-1),IF(AND($L$37=0,$P$34=0),"",$L$37-1)),0,YEARFRAC(MAX($P$34*($B174+$I$38-1),IF(AND($L$37=0,$P$34=0),"",$L$37-1)),MIN(BO$38,$E174),$P$20))-SUM($BF174:BN174))</f>
        <v>0</v>
      </c>
      <c r="BP174" s="446">
        <f>IF($E174=0,0,IF(MIN(BP$38,$E174)&lt;MAX($P$34*($B174+$I$38-1),IF(AND($L$37=0,$P$34=0),"",$L$37-1)),0,YEARFRAC(MAX($P$34*($B174+$I$38-1),IF(AND($L$37=0,$P$34=0),"",$L$37-1)),MIN(BP$38,$E174),$P$20))-SUM($BF174:BO174))</f>
        <v>0</v>
      </c>
      <c r="BQ174" s="446">
        <f>IF($E174=0,0,IF(MIN(BQ$38,$E174)&lt;MAX($P$34*($B174+$I$38-1),IF(AND($L$37=0,$P$34=0),"",$L$37-1)),0,YEARFRAC(MAX($P$34*($B174+$I$38-1),IF(AND($L$37=0,$P$34=0),"",$L$37-1)),MIN(BQ$38,$E174),$P$20))-SUM($BF174:BP174))</f>
        <v>0</v>
      </c>
      <c r="BR174" s="446">
        <f>IF($E174=0,0,IF(MIN(BR$38,$E174)&lt;MAX($P$34*($B174+$I$38-1),IF(AND($L$37=0,$P$34=0),"",$L$37-1)),0,YEARFRAC(MAX($P$34*($B174+$I$38-1),IF(AND($L$37=0,$P$34=0),"",$L$37-1)),MIN(BR$38,$E174),$P$20))-SUM($BF174:BQ174))</f>
        <v>0</v>
      </c>
      <c r="BS174" s="446">
        <f>IF($E174=0,0,IF(MIN(BS$38,$E174)&lt;MAX($P$34*($B174+$I$38-1),IF(AND($L$37=0,$P$34=0),"",$L$37-1)),0,YEARFRAC(MAX($P$34*($B174+$I$38-1),IF(AND($L$37=0,$P$34=0),"",$L$37-1)),MIN(BS$38,$E174),$P$20))-SUM($BF174:BR174))</f>
        <v>0</v>
      </c>
      <c r="BT174" s="446">
        <f>IF($E174=0,0,IF(MIN(BT$38,$E174)&lt;MAX($P$34*($B174+$I$38-1),IF(AND($L$37=0,$P$34=0),"",$L$37-1)),0,YEARFRAC(MAX($P$34*($B174+$I$38-1),IF(AND($L$37=0,$P$34=0),"",$L$37-1)),MIN(BT$38,$E174),$P$20))-SUM($BF174:BS174))</f>
        <v>0</v>
      </c>
      <c r="BU174" s="446">
        <f>IF($E174=0,0,IF(MIN(BU$38,$E174)&lt;MAX($P$34*($B174+$I$38-1),IF(AND($L$37=0,$P$34=0),"",$L$37-1)),0,YEARFRAC(MAX($P$34*($B174+$I$38-1),IF(AND($L$37=0,$P$34=0),"",$L$37-1)),MIN(BU$38,$E174),$P$20))-SUM($BF174:BT174))</f>
        <v>0</v>
      </c>
      <c r="BV174" s="446">
        <f>IF($E174=0,0,IF(MIN(BV$38,$E174)&lt;MAX($P$34*($B174+$I$38-1),IF(AND($L$37=0,$P$34=0),"",$L$37-1)),0,YEARFRAC(MAX($P$34*($B174+$I$38-1),IF(AND($L$37=0,$P$34=0),"",$L$37-1)),MIN(BV$38,$E174),$P$20))-SUM($BF174:BU174))</f>
        <v>0</v>
      </c>
      <c r="BW174" s="446">
        <f>IF($E174=0,0,IF(MIN(BW$38,$E174)&lt;MAX($P$34*($B174+$I$38-1),IF(AND($L$37=0,$P$34=0),"",$L$37-1)),0,YEARFRAC(MAX($P$34*($B174+$I$38-1),IF(AND($L$37=0,$P$34=0),"",$L$37-1)),MIN(BW$38,$E174),$P$20))-SUM($BF174:BV174))</f>
        <v>0</v>
      </c>
      <c r="BX174" s="446">
        <f>IF($E174=0,0,IF(MIN(BX$38,$E174)&lt;MAX($P$34*($B174+$I$38-1),IF(AND($L$37=0,$P$34=0),"",$L$37-1)),0,YEARFRAC(MAX($P$34*($B174+$I$38-1),IF(AND($L$37=0,$P$34=0),"",$L$37-1)),MIN(BX$38,$E174),$P$20))-SUM($BF174:BW174))</f>
        <v>0</v>
      </c>
      <c r="BY174" s="446">
        <f>IF($E174=0,0,IF(MIN(BY$38,$E174)&lt;MAX($P$34*($B174+$I$38-1),IF(AND($L$37=0,$P$34=0),"",$L$37-1)),0,YEARFRAC(MAX($P$34*($B174+$I$38-1),IF(AND($L$37=0,$P$34=0),"",$L$37-1)),MIN(BY$38,$E174),$P$20))-SUM($BF174:BX174))</f>
        <v>0</v>
      </c>
      <c r="BZ174" s="446">
        <f>IF($E174=0,0,IF(MIN(BZ$38,$E174)&lt;MAX($P$34*($B174+$I$38-1),IF(AND($L$37=0,$P$34=0),"",$L$37-1)),0,YEARFRAC(MAX($P$34*($B174+$I$38-1),IF(AND($L$37=0,$P$34=0),"",$L$37-1)),MIN(BZ$38,$E174),$P$20))-SUM($BF174:BY174))</f>
        <v>0</v>
      </c>
      <c r="CA174" s="446">
        <f>IF($E174=0,0,IF(MIN(CA$38,$E174)&lt;MAX($P$34*($B174+$I$38-1),IF(AND($L$37=0,$P$34=0),"",$L$37-1)),0,YEARFRAC(MAX($P$34*($B174+$I$38-1),IF(AND($L$37=0,$P$34=0),"",$L$37-1)),MIN(CA$38,$E174),$P$20))-SUM($BF174:BZ174))</f>
        <v>0</v>
      </c>
      <c r="CB174" s="446">
        <f>IF($E174=0,0,IF(MIN(CB$38,$E174)&lt;MAX($P$34*($B174+$I$38-1),IF(AND($L$37=0,$P$34=0),"",$L$37-1)),0,YEARFRAC(MAX($P$34*($B174+$I$38-1),IF(AND($L$37=0,$P$34=0),"",$L$37-1)),MIN(CB$38,$E174),$P$20))-SUM($BF174:CA174))</f>
        <v>0</v>
      </c>
      <c r="CC174" s="446">
        <f>IF($E174=0,0,IF(MIN(CC$38,$E174)&lt;MAX($P$34*($B174+$I$38-1),IF(AND($L$37=0,$P$34=0),"",$L$37-1)),0,YEARFRAC(MAX($P$34*($B174+$I$38-1),IF(AND($L$37=0,$P$34=0),"",$L$37-1)),MIN(CC$38,$E174),$P$20))-SUM($BF174:CB174))</f>
        <v>0</v>
      </c>
      <c r="CD174" s="446">
        <f>IF($E174=0,0,IF(MIN(CD$38,$E174)&lt;MAX($P$34*($B174+$I$38-1),IF(AND($L$37=0,$P$34=0),"",$L$37-1)),0,YEARFRAC(MAX($P$34*($B174+$I$38-1),IF(AND($L$37=0,$P$34=0),"",$L$37-1)),MIN(CD$38,$E174),$P$20))-SUM($BF174:CC174))</f>
        <v>0</v>
      </c>
      <c r="CE174" s="446">
        <f>IF($E174=0,0,IF(MIN(CE$38,$E174)&lt;MAX($P$34*($B174+$I$38-1),IF(AND($L$37=0,$P$34=0),"",$L$37-1)),0,YEARFRAC(MAX($P$34*($B174+$I$38-1),IF(AND($L$37=0,$P$34=0),"",$L$37-1)),MIN(CE$38,$E174),$P$20))-SUM($BF174:CD174))</f>
        <v>0</v>
      </c>
      <c r="CF174" s="446">
        <f>IF($E174=0,0,IF(MIN(CF$38,$E174)&lt;MAX($P$34*($B174+$I$38-1),IF(AND($L$37=0,$P$34=0),"",$L$37-1)),0,YEARFRAC(MAX($P$34*($B174+$I$38-1),IF(AND($L$37=0,$P$34=0),"",$L$37-1)),MIN(CF$38,$E174),$P$20))-SUM($BF174:CE174))</f>
        <v>0</v>
      </c>
      <c r="CG174" s="446">
        <f>IF($E174=0,0,IF(MIN(CG$38,$E174)&lt;MAX($P$34*($B174+$I$38-1),IF(AND($L$37=0,$P$34=0),"",$L$37-1)),0,YEARFRAC(MAX($P$34*($B174+$I$38-1),IF(AND($L$37=0,$P$34=0),"",$L$37-1)),MIN(CG$38,$E174),$P$20))-SUM($BF174:CF174))</f>
        <v>0</v>
      </c>
      <c r="CH174" s="446">
        <f>IF($E174=0,0,IF(MIN(CH$38,$E174)&lt;MAX($P$34*($B174+$I$38-1),IF(AND($L$37=0,$P$34=0),"",$L$37-1)),0,YEARFRAC(MAX($P$34*($B174+$I$38-1),IF(AND($L$37=0,$P$34=0),"",$L$37-1)),MIN(CH$38,$E174),$P$20))-SUM($BF174:CG174))</f>
        <v>0</v>
      </c>
      <c r="CI174" s="446">
        <f>IF($E174=0,0,IF(MIN(CI$38,$E174)&lt;MAX($P$34*($B174+$I$38-1),IF(AND($L$37=0,$P$34=0),"",$L$37-1)),0,YEARFRAC(MAX($P$34*($B174+$I$38-1),IF(AND($L$37=0,$P$34=0),"",$L$37-1)),MIN(CI$38,$E174),$P$20))-SUM($BF174:CH174))</f>
        <v>0</v>
      </c>
      <c r="CJ174" s="446">
        <f>IF($E174=0,0,IF(MIN(CJ$38,$E174)&lt;MAX($P$34*($B174+$I$38-1),IF(AND($L$37=0,$P$34=0),"",$L$37-1)),0,YEARFRAC(MAX($P$34*($B174+$I$38-1),IF(AND($L$37=0,$P$34=0),"",$L$37-1)),MIN(CJ$38,$E174),$P$20))-SUM($BF174:CI174))</f>
        <v>0</v>
      </c>
      <c r="CK174" s="446">
        <f>IF($E174=0,0,IF(MIN(CK$38,$E174)&lt;MAX($P$34*($B174+$I$38-1),IF(AND($L$37=0,$P$34=0),"",$L$37-1)),0,YEARFRAC(MAX($P$34*($B174+$I$38-1),IF(AND($L$37=0,$P$34=0),"",$L$37-1)),MIN(CK$38,$E174),$P$20))-SUM($BF174:CJ174))</f>
        <v>0</v>
      </c>
      <c r="CL174" s="446">
        <f>IF($E174=0,0,IF(MIN(CL$38,$E174)&lt;MAX($P$34*($B174+$I$38-1),IF(AND($L$37=0,$P$34=0),"",$L$37-1)),0,YEARFRAC(MAX($P$34*($B174+$I$38-1),IF(AND($L$37=0,$P$34=0),"",$L$37-1)),MIN(CL$38,$E174),$P$20))-SUM($BF174:CK174))</f>
        <v>0</v>
      </c>
      <c r="CM174" s="446">
        <f>IF($E174=0,0,IF(MIN(CM$38,$E174)&lt;MAX($P$34*($B174+$I$38-1),IF(AND($L$37=0,$P$34=0),"",$L$37-1)),0,YEARFRAC(MAX($P$34*($B174+$I$38-1),IF(AND($L$37=0,$P$34=0),"",$L$37-1)),MIN(CM$38,$E174),$P$20))-SUM($BF174:CL174))</f>
        <v>0</v>
      </c>
      <c r="CN174" s="446">
        <f>IF($E174=0,0,IF(MIN(CN$38,$E174)&lt;MAX($P$34*($B174+$I$38-1),IF(AND($L$37=0,$P$34=0),"",$L$37-1)),0,YEARFRAC(MAX($P$34*($B174+$I$38-1),IF(AND($L$37=0,$P$34=0),"",$L$37-1)),MIN(CN$38,$E174),$P$20))-SUM($BF174:CM174))</f>
        <v>0</v>
      </c>
      <c r="CO174" s="446">
        <f>IF($E174=0,0,IF(MIN(CO$38,$E174)&lt;MAX($P$34*($B174+$I$38-1),IF(AND($L$37=0,$P$34=0),"",$L$37-1)),0,YEARFRAC(MAX($P$34*($B174+$I$38-1),IF(AND($L$37=0,$P$34=0),"",$L$37-1)),MIN(CO$38,$E174),$P$20))-SUM($BF174:CN174))</f>
        <v>0</v>
      </c>
      <c r="CP174" s="446">
        <f>IF($E174=0,0,IF(MIN(CP$38,$E174)&lt;MAX($P$34*($B174+$I$38-1),IF(AND($L$37=0,$P$34=0),"",$L$37-1)),0,YEARFRAC(MAX($P$34*($B174+$I$38-1),IF(AND($L$37=0,$P$34=0),"",$L$37-1)),MIN(CP$38,$E174),$P$20))-SUM($BF174:CO174))</f>
        <v>0</v>
      </c>
      <c r="CQ174" s="446">
        <f>IF($E174=0,0,IF(MIN(CQ$38,$E174)&lt;MAX($P$34*($B174+$I$38-1),IF(AND($L$37=0,$P$34=0),"",$L$37-1)),0,YEARFRAC(MAX($P$34*($B174+$I$38-1),IF(AND($L$37=0,$P$34=0),"",$L$37-1)),MIN(CQ$38,$E174),$P$20))-SUM($BF174:CP174))</f>
        <v>0</v>
      </c>
    </row>
    <row r="175" spans="1:95" s="446" customFormat="1" ht="11.25" hidden="1" customHeight="1" x14ac:dyDescent="0.2">
      <c r="A175" s="152"/>
      <c r="B175" s="153" t="str">
        <f t="shared" si="37"/>
        <v/>
      </c>
      <c r="C175" s="29" t="str">
        <f>IF(B175="","",IF($L$35="SELIC - TRIBUTOS",VLOOKUP(DATE(YEAR($D$19),MONTH($D$19)-1,1),ÍNDICES!$A:$DE,HLOOKUP($BL$25,ÍNDICES!$B$3:$T$4,2)+11)-VLOOKUP(B175,ÍNDICES!$A:$DE,HLOOKUP($BL$25,ÍNDICES!$B$3:$T$4,2)+11)+1%,IF(C$38=$W$26,$J$35,IF(ISERROR(IF(B175&gt;$D$19,1,VLOOKUP(DATE(YEAR(B175),MONTH(B175)+IF($C$35=$S$23,1,0),1),ÍNDICES!$A:$DE,$Z$35+1))),"",IF(B175&gt;$D$19,1,VLOOKUP(DATE(YEAR(B175),MONTH(B175)+IF($C$35=$S$23,1,0),1),ÍNDICES!$A:$DE,$Z$35+1))))))</f>
        <v/>
      </c>
      <c r="D175" s="154" t="str">
        <f>IF(ISERROR(IF(OR($D$38=$Y$27,$B175=""),"",VLOOKUP(B175,ÍNDICES!A:DE,AF$35+1))),"",IF(OR($D$38=$Y$27,$B175=""),"",VLOOKUP(B175,ÍNDICES!A:DE,AF$35+1)))</f>
        <v/>
      </c>
      <c r="E175" s="153"/>
      <c r="F175" s="29" t="str">
        <f>IF(E175="","",IF($L$35="SELIC - TRIBUTOS",VLOOKUP(DATE(YEAR($D$19),MONTH($D$19)-1,1),ÍNDICES!$A:$DE,HLOOKUP($BL$25,ÍNDICES!$B$3:$T$4,2)+11)-VLOOKUP(E175,ÍNDICES!$A:$DE,HLOOKUP($BL$25,ÍNDICES!$B$3:$T$4,2)+11)+1%,IF(F$38=$W$26,$J$35,IF(ISERROR(IF(E175&gt;$D$19,1,VLOOKUP(DATE(YEAR(E175),MONTH(E175)+IF($C$35=$S$23,1,0),1),ÍNDICES!$A:$DE,$Z$35+1))),"",IF(E175&gt;$D$19,1,VLOOKUP(DATE(YEAR(E175),MONTH(E175)+IF($C$35=$S$23,1,0),1),ÍNDICES!$A:$DE,$Z$35+1))))))</f>
        <v/>
      </c>
      <c r="G175" s="155"/>
      <c r="H175" s="156" t="str">
        <f t="shared" si="33"/>
        <v/>
      </c>
      <c r="I175" s="29" t="str">
        <f t="shared" si="27"/>
        <v/>
      </c>
      <c r="J175" s="5">
        <f t="shared" si="28"/>
        <v>0</v>
      </c>
      <c r="K175" s="20">
        <f t="shared" ca="1" si="29"/>
        <v>0</v>
      </c>
      <c r="L175" s="5">
        <f t="shared" ca="1" si="30"/>
        <v>0</v>
      </c>
      <c r="M175" s="64">
        <f t="shared" si="34"/>
        <v>0</v>
      </c>
      <c r="N175" s="61">
        <f t="shared" ca="1" si="35"/>
        <v>0</v>
      </c>
      <c r="O175" s="5">
        <f t="shared" ca="1" si="36"/>
        <v>0</v>
      </c>
      <c r="P175" s="446" t="e">
        <f t="shared" si="31"/>
        <v>#VALUE!</v>
      </c>
      <c r="Q175" s="446" t="e">
        <f>IF(OR($B175="",MIN(Q$38,$D$19)&lt;MAX($P$34*($B175+IF($R$17="Distrato",$I$38-1,0)),IF(AND($L$37=0,$P$34=0),"",$L$37-1),IF($R$17="Distrato",$E175,0))),0,YEARFRAC(MAX($P$34*($B175+IF($R$17="Distrato",$I$38-1,0)),IF(AND($L$37=0,$P$34=0),"",$L$37-1),IF($R$17="Distrato",$E175,0)),MIN(Q$38,$D$19),$P$20))-SUM($P175:P175)</f>
        <v>#VALUE!</v>
      </c>
      <c r="R175" s="446" t="e">
        <f>IF(OR($B175="",MIN(R$38,$D$19)&lt;MAX($P$34*($B175+IF($R$17="Distrato",$I$38-1,0)),IF(AND($L$37=0,$P$34=0),"",$L$37-1),IF($R$17="Distrato",$E175,0))),0,YEARFRAC(MAX($P$34*($B175+IF($R$17="Distrato",$I$38-1,0)),IF(AND($L$37=0,$P$34=0),"",$L$37-1),IF($R$17="Distrato",$E175,0)),MIN(R$38,$D$19),$P$20))-SUM($P175:Q175)</f>
        <v>#VALUE!</v>
      </c>
      <c r="S175" s="446" t="e">
        <f>IF(OR($B175="",MIN(S$38,$D$19)&lt;MAX($P$34*($B175+IF($R$17="Distrato",$I$38-1,0)),IF(AND($L$37=0,$P$34=0),"",$L$37-1),IF($R$17="Distrato",$E175,0))),0,YEARFRAC(MAX($P$34*($B175+IF($R$17="Distrato",$I$38-1,0)),IF(AND($L$37=0,$P$34=0),"",$L$37-1),IF($R$17="Distrato",$E175,0)),MIN(S$38,$D$19),$P$20))-SUM($P175:R175)</f>
        <v>#VALUE!</v>
      </c>
      <c r="T175" s="446" t="e">
        <f>IF(OR($B175="",MIN(T$38,$D$19)&lt;MAX($P$34*($B175+IF($R$17="Distrato",$I$38-1,0)),IF(AND($L$37=0,$P$34=0),"",$L$37-1),IF($R$17="Distrato",$E175,0))),0,YEARFRAC(MAX($P$34*($B175+IF($R$17="Distrato",$I$38-1,0)),IF(AND($L$37=0,$P$34=0),"",$L$37-1),IF($R$17="Distrato",$E175,0)),MIN(T$38,$D$19),$P$20))-SUM($P175:S175)</f>
        <v>#VALUE!</v>
      </c>
      <c r="U175" s="446" t="e">
        <f>IF(OR($B175="",MIN(U$38,$D$19)&lt;MAX($P$34*($B175+IF($R$17="Distrato",$I$38-1,0)),IF(AND($L$37=0,$P$34=0),"",$L$37-1),IF($R$17="Distrato",$E175,0))),0,YEARFRAC(MAX($P$34*($B175+IF($R$17="Distrato",$I$38-1,0)),IF(AND($L$37=0,$P$34=0),"",$L$37-1),IF($R$17="Distrato",$E175,0)),MIN(U$38,$D$19),$P$20))-SUM($P175:T175)</f>
        <v>#VALUE!</v>
      </c>
      <c r="V175" s="446" t="e">
        <f>IF(OR($B175="",MIN(V$38,$D$19)&lt;MAX($P$34*($B175+IF($R$17="Distrato",$I$38-1,0)),IF(AND($L$37=0,$P$34=0),"",$L$37-1),IF($R$17="Distrato",$E175,0))),0,YEARFRAC(MAX($P$34*($B175+IF($R$17="Distrato",$I$38-1,0)),IF(AND($L$37=0,$P$34=0),"",$L$37-1),IF($R$17="Distrato",$E175,0)),MIN(V$38,$D$19),$P$20))-SUM($P175:U175)</f>
        <v>#VALUE!</v>
      </c>
      <c r="W175" s="446" t="e">
        <f>IF(OR($B175="",MIN(W$38,$D$19)&lt;MAX($P$34*($B175+IF($R$17="Distrato",$I$38-1,0)),IF(AND($L$37=0,$P$34=0),"",$L$37-1),IF($R$17="Distrato",$E175,0))),0,YEARFRAC(MAX($P$34*($B175+IF($R$17="Distrato",$I$38-1,0)),IF(AND($L$37=0,$P$34=0),"",$L$37-1),IF($R$17="Distrato",$E175,0)),MIN(W$38,$D$19),$P$20))-SUM($P175:V175)</f>
        <v>#VALUE!</v>
      </c>
      <c r="X175" s="446" t="e">
        <f>IF(OR($B175="",MIN(X$38,$D$19)&lt;MAX($P$34*($B175+IF($R$17="Distrato",$I$38-1,0)),IF(AND($L$37=0,$P$34=0),"",$L$37-1),IF($R$17="Distrato",$E175,0))),0,YEARFRAC(MAX($P$34*($B175+IF($R$17="Distrato",$I$38-1,0)),IF(AND($L$37=0,$P$34=0),"",$L$37-1),IF($R$17="Distrato",$E175,0)),MIN(X$38,$D$19),$P$20))-SUM($P175:W175)</f>
        <v>#VALUE!</v>
      </c>
      <c r="Y175" s="446" t="e">
        <f>IF(OR($B175="",MIN(Y$38,$D$19)&lt;MAX($P$34*($B175+IF($R$17="Distrato",$I$38-1,0)),IF(AND($L$37=0,$P$34=0),"",$L$37-1),IF($R$17="Distrato",$E175,0))),0,YEARFRAC(MAX($P$34*($B175+IF($R$17="Distrato",$I$38-1,0)),IF(AND($L$37=0,$P$34=0),"",$L$37-1),IF($R$17="Distrato",$E175,0)),MIN(Y$38,$D$19),$P$20))-SUM($P175:X175)</f>
        <v>#VALUE!</v>
      </c>
      <c r="Z175" s="446" t="e">
        <f>IF(OR($B175="",MIN(Z$38,$D$19)&lt;MAX($P$34*($B175+IF($R$17="Distrato",$I$38-1,0)),IF(AND($L$37=0,$P$34=0),"",$L$37-1),IF($R$17="Distrato",$E175,0))),0,YEARFRAC(MAX($P$34*($B175+IF($R$17="Distrato",$I$38-1,0)),IF(AND($L$37=0,$P$34=0),"",$L$37-1),IF($R$17="Distrato",$E175,0)),MIN(Z$38,$D$19),$P$20))-SUM($P175:Y175)</f>
        <v>#VALUE!</v>
      </c>
      <c r="AA175" s="446" t="e">
        <f>IF(OR($B175="",MIN(AA$38,$D$19)&lt;MAX($P$34*($B175+IF($R$17="Distrato",$I$38-1,0)),IF(AND($L$37=0,$P$34=0),"",$L$37-1),IF($R$17="Distrato",$E175,0))),0,YEARFRAC(MAX($P$34*($B175+IF($R$17="Distrato",$I$38-1,0)),IF(AND($L$37=0,$P$34=0),"",$L$37-1),IF($R$17="Distrato",$E175,0)),MIN(AA$38,$D$19),$P$20))-SUM($P175:Z175)</f>
        <v>#VALUE!</v>
      </c>
      <c r="AB175" s="446" t="e">
        <f>IF(OR($B175="",MIN(AB$38,$D$19)&lt;MAX($P$34*($B175+IF($R$17="Distrato",$I$38-1,0)),IF(AND($L$37=0,$P$34=0),"",$L$37-1),IF($R$17="Distrato",$E175,0))),0,YEARFRAC(MAX($P$34*($B175+IF($R$17="Distrato",$I$38-1,0)),IF(AND($L$37=0,$P$34=0),"",$L$37-1),IF($R$17="Distrato",$E175,0)),MIN(AB$38,$D$19),$P$20))-SUM($P175:AA175)</f>
        <v>#VALUE!</v>
      </c>
      <c r="AC175" s="446" t="e">
        <f>IF(OR($B175="",MIN(AC$38,$D$19)&lt;MAX($P$34*($B175+IF($R$17="Distrato",$I$38-1,0)),IF(AND($L$37=0,$P$34=0),"",$L$37-1),IF($R$17="Distrato",$E175,0))),0,YEARFRAC(MAX($P$34*($B175+IF($R$17="Distrato",$I$38-1,0)),IF(AND($L$37=0,$P$34=0),"",$L$37-1),IF($R$17="Distrato",$E175,0)),MIN(AC$38,$D$19),$P$20))-SUM($P175:AB175)</f>
        <v>#VALUE!</v>
      </c>
      <c r="AD175" s="446" t="e">
        <f>IF(OR($B175="",MIN(AD$38,$D$19)&lt;MAX($P$34*($B175+IF($R$17="Distrato",$I$38-1,0)),IF(AND($L$37=0,$P$34=0),"",$L$37-1),IF($R$17="Distrato",$E175,0))),0,YEARFRAC(MAX($P$34*($B175+IF($R$17="Distrato",$I$38-1,0)),IF(AND($L$37=0,$P$34=0),"",$L$37-1),IF($R$17="Distrato",$E175,0)),MIN(AD$38,$D$19),$P$20))-SUM($P175:AC175)</f>
        <v>#VALUE!</v>
      </c>
      <c r="AE175" s="446" t="e">
        <f>IF(OR($B175="",MIN(AE$38,$D$19)&lt;MAX($P$34*($B175+IF($R$17="Distrato",$I$38-1,0)),IF(AND($L$37=0,$P$34=0),"",$L$37-1),IF($R$17="Distrato",$E175,0))),0,YEARFRAC(MAX($P$34*($B175+IF($R$17="Distrato",$I$38-1,0)),IF(AND($L$37=0,$P$34=0),"",$L$37-1),IF($R$17="Distrato",$E175,0)),MIN(AE$38,$D$19),$P$20))-SUM($P175:AD175)</f>
        <v>#VALUE!</v>
      </c>
      <c r="AF175" s="446" t="e">
        <f>IF(OR($B175="",MIN(AF$38,$D$19)&lt;MAX($P$34*($B175+IF($R$17="Distrato",$I$38-1,0)),IF(AND($L$37=0,$P$34=0),"",$L$37-1),IF($R$17="Distrato",$E175,0))),0,YEARFRAC(MAX($P$34*($B175+IF($R$17="Distrato",$I$38-1,0)),IF(AND($L$37=0,$P$34=0),"",$L$37-1),IF($R$17="Distrato",$E175,0)),MIN(AF$38,$D$19),$P$20))-SUM($P175:AE175)</f>
        <v>#VALUE!</v>
      </c>
      <c r="AG175" s="446" t="e">
        <f>IF(OR($B175="",MIN(AG$38,$D$19)&lt;MAX($P$34*($B175+IF($R$17="Distrato",$I$38-1,0)),IF(AND($L$37=0,$P$34=0),"",$L$37-1),IF($R$17="Distrato",$E175,0))),0,YEARFRAC(MAX($P$34*($B175+IF($R$17="Distrato",$I$38-1,0)),IF(AND($L$37=0,$P$34=0),"",$L$37-1),IF($R$17="Distrato",$E175,0)),MIN(AG$38,$D$19),$P$20))-SUM($P175:AF175)</f>
        <v>#VALUE!</v>
      </c>
      <c r="AH175" s="446" t="e">
        <f>IF(OR($B175="",MIN(AH$38,$D$19)&lt;MAX($P$34*($B175+IF($R$17="Distrato",$I$38-1,0)),IF(AND($L$37=0,$P$34=0),"",$L$37-1),IF($R$17="Distrato",$E175,0))),0,YEARFRAC(MAX($P$34*($B175+IF($R$17="Distrato",$I$38-1,0)),IF(AND($L$37=0,$P$34=0),"",$L$37-1),IF($R$17="Distrato",$E175,0)),MIN(AH$38,$D$19),$P$20))-SUM($P175:AG175)</f>
        <v>#VALUE!</v>
      </c>
      <c r="AI175" s="446" t="e">
        <f>IF(OR($B175="",MIN(AI$38,$D$19)&lt;MAX($P$34*($B175+IF($R$17="Distrato",$I$38-1,0)),IF(AND($L$37=0,$P$34=0),"",$L$37-1),IF($R$17="Distrato",$E175,0))),0,YEARFRAC(MAX($P$34*($B175+IF($R$17="Distrato",$I$38-1,0)),IF(AND($L$37=0,$P$34=0),"",$L$37-1),IF($R$17="Distrato",$E175,0)),MIN(AI$38,$D$19),$P$20))-SUM($P175:AH175)</f>
        <v>#VALUE!</v>
      </c>
      <c r="AJ175" s="446" t="e">
        <f>IF(OR($B175="",MIN(AJ$38,$D$19)&lt;MAX($P$34*($B175+IF($R$17="Distrato",$I$38-1,0)),IF(AND($L$37=0,$P$34=0),"",$L$37-1),IF($R$17="Distrato",$E175,0))),0,YEARFRAC(MAX($P$34*($B175+IF($R$17="Distrato",$I$38-1,0)),IF(AND($L$37=0,$P$34=0),"",$L$37-1),IF($R$17="Distrato",$E175,0)),MIN(AJ$38,$D$19),$P$20))-SUM($P175:AI175)</f>
        <v>#VALUE!</v>
      </c>
      <c r="AK175" s="446" t="e">
        <f>IF(OR($B175="",MIN(AK$38,$D$19)&lt;MAX($P$34*($B175+IF($R$17="Distrato",$I$38-1,0)),IF(AND($L$37=0,$P$34=0),"",$L$37-1),IF($R$17="Distrato",$E175,0))),0,YEARFRAC(MAX($P$34*($B175+IF($R$17="Distrato",$I$38-1,0)),IF(AND($L$37=0,$P$34=0),"",$L$37-1),IF($R$17="Distrato",$E175,0)),MIN(AK$38,$D$19),$P$20))-SUM($P175:AJ175)</f>
        <v>#VALUE!</v>
      </c>
      <c r="AL175" s="446" t="e">
        <f>IF(OR($B175="",MIN(AL$38,$D$19)&lt;MAX($P$34*($B175+IF($R$17="Distrato",$I$38-1,0)),IF(AND($L$37=0,$P$34=0),"",$L$37-1),IF($R$17="Distrato",$E175,0))),0,YEARFRAC(MAX($P$34*($B175+IF($R$17="Distrato",$I$38-1,0)),IF(AND($L$37=0,$P$34=0),"",$L$37-1),IF($R$17="Distrato",$E175,0)),MIN(AL$38,$D$19),$P$20))-SUM($P175:AK175)</f>
        <v>#VALUE!</v>
      </c>
      <c r="AM175" s="446" t="e">
        <f>IF(OR($B175="",MIN(AM$38,$D$19)&lt;MAX($P$34*($B175+IF($R$17="Distrato",$I$38-1,0)),IF(AND($L$37=0,$P$34=0),"",$L$37-1),IF($R$17="Distrato",$E175,0))),0,YEARFRAC(MAX($P$34*($B175+IF($R$17="Distrato",$I$38-1,0)),IF(AND($L$37=0,$P$34=0),"",$L$37-1),IF($R$17="Distrato",$E175,0)),MIN(AM$38,$D$19),$P$20))-SUM($P175:AL175)</f>
        <v>#VALUE!</v>
      </c>
      <c r="AN175" s="446" t="e">
        <f>IF(OR($B175="",MIN(AN$38,$D$19)&lt;MAX($P$34*($B175+IF($R$17="Distrato",$I$38-1,0)),IF(AND($L$37=0,$P$34=0),"",$L$37-1),IF($R$17="Distrato",$E175,0))),0,YEARFRAC(MAX($P$34*($B175+IF($R$17="Distrato",$I$38-1,0)),IF(AND($L$37=0,$P$34=0),"",$L$37-1),IF($R$17="Distrato",$E175,0)),MIN(AN$38,$D$19),$P$20))-SUM($P175:AM175)</f>
        <v>#VALUE!</v>
      </c>
      <c r="AO175" s="446" t="e">
        <f>IF(OR($B175="",MIN(AO$38,$D$19)&lt;MAX($P$34*($B175+IF($R$17="Distrato",$I$38-1,0)),IF(AND($L$37=0,$P$34=0),"",$L$37-1),IF($R$17="Distrato",$E175,0))),0,YEARFRAC(MAX($P$34*($B175+IF($R$17="Distrato",$I$38-1,0)),IF(AND($L$37=0,$P$34=0),"",$L$37-1),IF($R$17="Distrato",$E175,0)),MIN(AO$38,$D$19),$P$20))-SUM($P175:AN175)</f>
        <v>#VALUE!</v>
      </c>
      <c r="AP175" s="446" t="e">
        <f>IF(OR($B175="",MIN(AP$38,$D$19)&lt;MAX($P$34*($B175+IF($R$17="Distrato",$I$38-1,0)),IF(AND($L$37=0,$P$34=0),"",$L$37-1),IF($R$17="Distrato",$E175,0))),0,YEARFRAC(MAX($P$34*($B175+IF($R$17="Distrato",$I$38-1,0)),IF(AND($L$37=0,$P$34=0),"",$L$37-1),IF($R$17="Distrato",$E175,0)),MIN(AP$38,$D$19),$P$20))-SUM($P175:AO175)</f>
        <v>#VALUE!</v>
      </c>
      <c r="AQ175" s="446" t="e">
        <f>IF(OR($B175="",MIN(AQ$38,$D$19)&lt;MAX($P$34*($B175+IF($R$17="Distrato",$I$38-1,0)),IF(AND($L$37=0,$P$34=0),"",$L$37-1),IF($R$17="Distrato",$E175,0))),0,YEARFRAC(MAX($P$34*($B175+IF($R$17="Distrato",$I$38-1,0)),IF(AND($L$37=0,$P$34=0),"",$L$37-1),IF($R$17="Distrato",$E175,0)),MIN(AQ$38,$D$19),$P$20))-SUM($P175:AP175)</f>
        <v>#VALUE!</v>
      </c>
      <c r="AR175" s="446" t="e">
        <f>IF(OR($B175="",MIN(AR$38,$D$19)&lt;MAX($P$34*($B175+IF($R$17="Distrato",$I$38-1,0)),IF(AND($L$37=0,$P$34=0),"",$L$37-1),IF($R$17="Distrato",$E175,0))),0,YEARFRAC(MAX($P$34*($B175+IF($R$17="Distrato",$I$38-1,0)),IF(AND($L$37=0,$P$34=0),"",$L$37-1),IF($R$17="Distrato",$E175,0)),MIN(AR$38,$D$19),$P$20))-SUM($P175:AQ175)</f>
        <v>#VALUE!</v>
      </c>
      <c r="AS175" s="446" t="e">
        <f>IF(OR($B175="",MIN(AS$38,$D$19)&lt;MAX($P$34*($B175+IF($R$17="Distrato",$I$38-1,0)),IF(AND($L$37=0,$P$34=0),"",$L$37-1),IF($R$17="Distrato",$E175,0))),0,YEARFRAC(MAX($P$34*($B175+IF($R$17="Distrato",$I$38-1,0)),IF(AND($L$37=0,$P$34=0),"",$L$37-1),IF($R$17="Distrato",$E175,0)),MIN(AS$38,$D$19),$P$20))-SUM($P175:AR175)</f>
        <v>#VALUE!</v>
      </c>
      <c r="AT175" s="446" t="e">
        <f>IF(OR($B175="",MIN(AT$38,$D$19)&lt;MAX($P$34*($B175+IF($R$17="Distrato",$I$38-1,0)),IF(AND($L$37=0,$P$34=0),"",$L$37-1),IF($R$17="Distrato",$E175,0))),0,YEARFRAC(MAX($P$34*($B175+IF($R$17="Distrato",$I$38-1,0)),IF(AND($L$37=0,$P$34=0),"",$L$37-1),IF($R$17="Distrato",$E175,0)),MIN(AT$38,$D$19),$P$20))-SUM($P175:AS175)</f>
        <v>#VALUE!</v>
      </c>
      <c r="AU175" s="446" t="e">
        <f>IF(OR($B175="",MIN(AU$38,$D$19)&lt;MAX($P$34*($B175+IF($R$17="Distrato",$I$38-1,0)),IF(AND($L$37=0,$P$34=0),"",$L$37-1),IF($R$17="Distrato",$E175,0))),0,YEARFRAC(MAX($P$34*($B175+IF($R$17="Distrato",$I$38-1,0)),IF(AND($L$37=0,$P$34=0),"",$L$37-1),IF($R$17="Distrato",$E175,0)),MIN(AU$38,$D$19),$P$20))-SUM($P175:AT175)</f>
        <v>#VALUE!</v>
      </c>
      <c r="AV175" s="446" t="e">
        <f>IF(OR($B175="",MIN(AV$38,$D$19)&lt;MAX($P$34*($B175+IF($R$17="Distrato",$I$38-1,0)),IF(AND($L$37=0,$P$34=0),"",$L$37-1),IF($R$17="Distrato",$E175,0))),0,YEARFRAC(MAX($P$34*($B175+IF($R$17="Distrato",$I$38-1,0)),IF(AND($L$37=0,$P$34=0),"",$L$37-1),IF($R$17="Distrato",$E175,0)),MIN(AV$38,$D$19),$P$20))-SUM($P175:AU175)</f>
        <v>#VALUE!</v>
      </c>
      <c r="AW175" s="446" t="e">
        <f>IF(OR($B175="",MIN(AW$38,$D$19)&lt;MAX($P$34*($B175+IF($R$17="Distrato",$I$38-1,0)),IF(AND($L$37=0,$P$34=0),"",$L$37-1),IF($R$17="Distrato",$E175,0))),0,YEARFRAC(MAX($P$34*($B175+IF($R$17="Distrato",$I$38-1,0)),IF(AND($L$37=0,$P$34=0),"",$L$37-1),IF($R$17="Distrato",$E175,0)),MIN(AW$38,$D$19),$P$20))-SUM($P175:AV175)</f>
        <v>#VALUE!</v>
      </c>
      <c r="AX175" s="446" t="e">
        <f>IF(OR($B175="",MIN(AX$38,$D$19)&lt;MAX($P$34*($B175+IF($R$17="Distrato",$I$38-1,0)),IF(AND($L$37=0,$P$34=0),"",$L$37-1),IF($R$17="Distrato",$E175,0))),0,YEARFRAC(MAX($P$34*($B175+IF($R$17="Distrato",$I$38-1,0)),IF(AND($L$37=0,$P$34=0),"",$L$37-1),IF($R$17="Distrato",$E175,0)),MIN(AX$38,$D$19),$P$20))-SUM($P175:AW175)</f>
        <v>#VALUE!</v>
      </c>
      <c r="AY175" s="446" t="e">
        <f>IF(OR($B175="",MIN(AY$38,$D$19)&lt;MAX($P$34*($B175+IF($R$17="Distrato",$I$38-1,0)),IF(AND($L$37=0,$P$34=0),"",$L$37-1),IF($R$17="Distrato",$E175,0))),0,YEARFRAC(MAX($P$34*($B175+IF($R$17="Distrato",$I$38-1,0)),IF(AND($L$37=0,$P$34=0),"",$L$37-1),IF($R$17="Distrato",$E175,0)),MIN(AY$38,$D$19),$P$20))-SUM($P175:AX175)</f>
        <v>#VALUE!</v>
      </c>
      <c r="AZ175" s="446" t="e">
        <f>IF(OR($B175="",MIN(AZ$38,$D$19)&lt;MAX($P$34*($B175+IF($R$17="Distrato",$I$38-1,0)),IF(AND($L$37=0,$P$34=0),"",$L$37-1),IF($R$17="Distrato",$E175,0))),0,YEARFRAC(MAX($P$34*($B175+IF($R$17="Distrato",$I$38-1,0)),IF(AND($L$37=0,$P$34=0),"",$L$37-1),IF($R$17="Distrato",$E175,0)),MIN(AZ$38,$D$19),$P$20))-SUM($P175:AY175)</f>
        <v>#VALUE!</v>
      </c>
      <c r="BA175" s="446" t="e">
        <f>IF(OR($B175="",MIN(BA$38,$D$19)&lt;MAX($P$34*($B175+IF($R$17="Distrato",$I$38-1,0)),IF(AND($L$37=0,$P$34=0),"",$L$37-1),IF($R$17="Distrato",$E175,0))),0,YEARFRAC(MAX($P$34*($B175+IF($R$17="Distrato",$I$38-1,0)),IF(AND($L$37=0,$P$34=0),"",$L$37-1),IF($R$17="Distrato",$E175,0)),MIN(BA$38,$D$19),$P$20))-SUM($P175:AZ175)</f>
        <v>#VALUE!</v>
      </c>
      <c r="BB175" s="447"/>
      <c r="BF175" s="446">
        <f t="shared" si="32"/>
        <v>0</v>
      </c>
      <c r="BG175" s="446">
        <f>IF($E175=0,0,IF(MIN(BG$38,$E175)&lt;MAX($P$34*($B175+$I$38-1),IF(AND($L$37=0,$P$34=0),"",$L$37-1)),0,YEARFRAC(MAX($P$34*($B175+$I$38-1),IF(AND($L$37=0,$P$34=0),"",$L$37-1)),MIN(BG$38,$E175),$P$20))-SUM($BF175:BF175))</f>
        <v>0</v>
      </c>
      <c r="BH175" s="446">
        <f>IF($E175=0,0,IF(MIN(BH$38,$E175)&lt;MAX($P$34*($B175+$I$38-1),IF(AND($L$37=0,$P$34=0),"",$L$37-1)),0,YEARFRAC(MAX($P$34*($B175+$I$38-1),IF(AND($L$37=0,$P$34=0),"",$L$37-1)),MIN(BH$38,$E175),$P$20))-SUM($BF175:BG175))</f>
        <v>0</v>
      </c>
      <c r="BI175" s="446">
        <f>IF($E175=0,0,IF(MIN(BI$38,$E175)&lt;MAX($P$34*($B175+$I$38-1),IF(AND($L$37=0,$P$34=0),"",$L$37-1)),0,YEARFRAC(MAX($P$34*($B175+$I$38-1),IF(AND($L$37=0,$P$34=0),"",$L$37-1)),MIN(BI$38,$E175),$P$20))-SUM($BF175:BH175))</f>
        <v>0</v>
      </c>
      <c r="BJ175" s="446">
        <f>IF($E175=0,0,IF(MIN(BJ$38,$E175)&lt;MAX($P$34*($B175+$I$38-1),IF(AND($L$37=0,$P$34=0),"",$L$37-1)),0,YEARFRAC(MAX($P$34*($B175+$I$38-1),IF(AND($L$37=0,$P$34=0),"",$L$37-1)),MIN(BJ$38,$E175),$P$20))-SUM($BF175:BI175))</f>
        <v>0</v>
      </c>
      <c r="BK175" s="446">
        <f>IF($E175=0,0,IF(MIN(BK$38,$E175)&lt;MAX($P$34*($B175+$I$38-1),IF(AND($L$37=0,$P$34=0),"",$L$37-1)),0,YEARFRAC(MAX($P$34*($B175+$I$38-1),IF(AND($L$37=0,$P$34=0),"",$L$37-1)),MIN(BK$38,$E175),$P$20))-SUM($BF175:BJ175))</f>
        <v>0</v>
      </c>
      <c r="BL175" s="446">
        <f>IF($E175=0,0,IF(MIN(BL$38,$E175)&lt;MAX($P$34*($B175+$I$38-1),IF(AND($L$37=0,$P$34=0),"",$L$37-1)),0,YEARFRAC(MAX($P$34*($B175+$I$38-1),IF(AND($L$37=0,$P$34=0),"",$L$37-1)),MIN(BL$38,$E175),$P$20))-SUM($BF175:BK175))</f>
        <v>0</v>
      </c>
      <c r="BM175" s="446">
        <f>IF($E175=0,0,IF(MIN(BM$38,$E175)&lt;MAX($P$34*($B175+$I$38-1),IF(AND($L$37=0,$P$34=0),"",$L$37-1)),0,YEARFRAC(MAX($P$34*($B175+$I$38-1),IF(AND($L$37=0,$P$34=0),"",$L$37-1)),MIN(BM$38,$E175),$P$20))-SUM($BF175:BL175))</f>
        <v>0</v>
      </c>
      <c r="BN175" s="446">
        <f>IF($E175=0,0,IF(MIN(BN$38,$E175)&lt;MAX($P$34*($B175+$I$38-1),IF(AND($L$37=0,$P$34=0),"",$L$37-1)),0,YEARFRAC(MAX($P$34*($B175+$I$38-1),IF(AND($L$37=0,$P$34=0),"",$L$37-1)),MIN(BN$38,$E175),$P$20))-SUM($BF175:BM175))</f>
        <v>0</v>
      </c>
      <c r="BO175" s="446">
        <f>IF($E175=0,0,IF(MIN(BO$38,$E175)&lt;MAX($P$34*($B175+$I$38-1),IF(AND($L$37=0,$P$34=0),"",$L$37-1)),0,YEARFRAC(MAX($P$34*($B175+$I$38-1),IF(AND($L$37=0,$P$34=0),"",$L$37-1)),MIN(BO$38,$E175),$P$20))-SUM($BF175:BN175))</f>
        <v>0</v>
      </c>
      <c r="BP175" s="446">
        <f>IF($E175=0,0,IF(MIN(BP$38,$E175)&lt;MAX($P$34*($B175+$I$38-1),IF(AND($L$37=0,$P$34=0),"",$L$37-1)),0,YEARFRAC(MAX($P$34*($B175+$I$38-1),IF(AND($L$37=0,$P$34=0),"",$L$37-1)),MIN(BP$38,$E175),$P$20))-SUM($BF175:BO175))</f>
        <v>0</v>
      </c>
      <c r="BQ175" s="446">
        <f>IF($E175=0,0,IF(MIN(BQ$38,$E175)&lt;MAX($P$34*($B175+$I$38-1),IF(AND($L$37=0,$P$34=0),"",$L$37-1)),0,YEARFRAC(MAX($P$34*($B175+$I$38-1),IF(AND($L$37=0,$P$34=0),"",$L$37-1)),MIN(BQ$38,$E175),$P$20))-SUM($BF175:BP175))</f>
        <v>0</v>
      </c>
      <c r="BR175" s="446">
        <f>IF($E175=0,0,IF(MIN(BR$38,$E175)&lt;MAX($P$34*($B175+$I$38-1),IF(AND($L$37=0,$P$34=0),"",$L$37-1)),0,YEARFRAC(MAX($P$34*($B175+$I$38-1),IF(AND($L$37=0,$P$34=0),"",$L$37-1)),MIN(BR$38,$E175),$P$20))-SUM($BF175:BQ175))</f>
        <v>0</v>
      </c>
      <c r="BS175" s="446">
        <f>IF($E175=0,0,IF(MIN(BS$38,$E175)&lt;MAX($P$34*($B175+$I$38-1),IF(AND($L$37=0,$P$34=0),"",$L$37-1)),0,YEARFRAC(MAX($P$34*($B175+$I$38-1),IF(AND($L$37=0,$P$34=0),"",$L$37-1)),MIN(BS$38,$E175),$P$20))-SUM($BF175:BR175))</f>
        <v>0</v>
      </c>
      <c r="BT175" s="446">
        <f>IF($E175=0,0,IF(MIN(BT$38,$E175)&lt;MAX($P$34*($B175+$I$38-1),IF(AND($L$37=0,$P$34=0),"",$L$37-1)),0,YEARFRAC(MAX($P$34*($B175+$I$38-1),IF(AND($L$37=0,$P$34=0),"",$L$37-1)),MIN(BT$38,$E175),$P$20))-SUM($BF175:BS175))</f>
        <v>0</v>
      </c>
      <c r="BU175" s="446">
        <f>IF($E175=0,0,IF(MIN(BU$38,$E175)&lt;MAX($P$34*($B175+$I$38-1),IF(AND($L$37=0,$P$34=0),"",$L$37-1)),0,YEARFRAC(MAX($P$34*($B175+$I$38-1),IF(AND($L$37=0,$P$34=0),"",$L$37-1)),MIN(BU$38,$E175),$P$20))-SUM($BF175:BT175))</f>
        <v>0</v>
      </c>
      <c r="BV175" s="446">
        <f>IF($E175=0,0,IF(MIN(BV$38,$E175)&lt;MAX($P$34*($B175+$I$38-1),IF(AND($L$37=0,$P$34=0),"",$L$37-1)),0,YEARFRAC(MAX($P$34*($B175+$I$38-1),IF(AND($L$37=0,$P$34=0),"",$L$37-1)),MIN(BV$38,$E175),$P$20))-SUM($BF175:BU175))</f>
        <v>0</v>
      </c>
      <c r="BW175" s="446">
        <f>IF($E175=0,0,IF(MIN(BW$38,$E175)&lt;MAX($P$34*($B175+$I$38-1),IF(AND($L$37=0,$P$34=0),"",$L$37-1)),0,YEARFRAC(MAX($P$34*($B175+$I$38-1),IF(AND($L$37=0,$P$34=0),"",$L$37-1)),MIN(BW$38,$E175),$P$20))-SUM($BF175:BV175))</f>
        <v>0</v>
      </c>
      <c r="BX175" s="446">
        <f>IF($E175=0,0,IF(MIN(BX$38,$E175)&lt;MAX($P$34*($B175+$I$38-1),IF(AND($L$37=0,$P$34=0),"",$L$37-1)),0,YEARFRAC(MAX($P$34*($B175+$I$38-1),IF(AND($L$37=0,$P$34=0),"",$L$37-1)),MIN(BX$38,$E175),$P$20))-SUM($BF175:BW175))</f>
        <v>0</v>
      </c>
      <c r="BY175" s="446">
        <f>IF($E175=0,0,IF(MIN(BY$38,$E175)&lt;MAX($P$34*($B175+$I$38-1),IF(AND($L$37=0,$P$34=0),"",$L$37-1)),0,YEARFRAC(MAX($P$34*($B175+$I$38-1),IF(AND($L$37=0,$P$34=0),"",$L$37-1)),MIN(BY$38,$E175),$P$20))-SUM($BF175:BX175))</f>
        <v>0</v>
      </c>
      <c r="BZ175" s="446">
        <f>IF($E175=0,0,IF(MIN(BZ$38,$E175)&lt;MAX($P$34*($B175+$I$38-1),IF(AND($L$37=0,$P$34=0),"",$L$37-1)),0,YEARFRAC(MAX($P$34*($B175+$I$38-1),IF(AND($L$37=0,$P$34=0),"",$L$37-1)),MIN(BZ$38,$E175),$P$20))-SUM($BF175:BY175))</f>
        <v>0</v>
      </c>
      <c r="CA175" s="446">
        <f>IF($E175=0,0,IF(MIN(CA$38,$E175)&lt;MAX($P$34*($B175+$I$38-1),IF(AND($L$37=0,$P$34=0),"",$L$37-1)),0,YEARFRAC(MAX($P$34*($B175+$I$38-1),IF(AND($L$37=0,$P$34=0),"",$L$37-1)),MIN(CA$38,$E175),$P$20))-SUM($BF175:BZ175))</f>
        <v>0</v>
      </c>
      <c r="CB175" s="446">
        <f>IF($E175=0,0,IF(MIN(CB$38,$E175)&lt;MAX($P$34*($B175+$I$38-1),IF(AND($L$37=0,$P$34=0),"",$L$37-1)),0,YEARFRAC(MAX($P$34*($B175+$I$38-1),IF(AND($L$37=0,$P$34=0),"",$L$37-1)),MIN(CB$38,$E175),$P$20))-SUM($BF175:CA175))</f>
        <v>0</v>
      </c>
      <c r="CC175" s="446">
        <f>IF($E175=0,0,IF(MIN(CC$38,$E175)&lt;MAX($P$34*($B175+$I$38-1),IF(AND($L$37=0,$P$34=0),"",$L$37-1)),0,YEARFRAC(MAX($P$34*($B175+$I$38-1),IF(AND($L$37=0,$P$34=0),"",$L$37-1)),MIN(CC$38,$E175),$P$20))-SUM($BF175:CB175))</f>
        <v>0</v>
      </c>
      <c r="CD175" s="446">
        <f>IF($E175=0,0,IF(MIN(CD$38,$E175)&lt;MAX($P$34*($B175+$I$38-1),IF(AND($L$37=0,$P$34=0),"",$L$37-1)),0,YEARFRAC(MAX($P$34*($B175+$I$38-1),IF(AND($L$37=0,$P$34=0),"",$L$37-1)),MIN(CD$38,$E175),$P$20))-SUM($BF175:CC175))</f>
        <v>0</v>
      </c>
      <c r="CE175" s="446">
        <f>IF($E175=0,0,IF(MIN(CE$38,$E175)&lt;MAX($P$34*($B175+$I$38-1),IF(AND($L$37=0,$P$34=0),"",$L$37-1)),0,YEARFRAC(MAX($P$34*($B175+$I$38-1),IF(AND($L$37=0,$P$34=0),"",$L$37-1)),MIN(CE$38,$E175),$P$20))-SUM($BF175:CD175))</f>
        <v>0</v>
      </c>
      <c r="CF175" s="446">
        <f>IF($E175=0,0,IF(MIN(CF$38,$E175)&lt;MAX($P$34*($B175+$I$38-1),IF(AND($L$37=0,$P$34=0),"",$L$37-1)),0,YEARFRAC(MAX($P$34*($B175+$I$38-1),IF(AND($L$37=0,$P$34=0),"",$L$37-1)),MIN(CF$38,$E175),$P$20))-SUM($BF175:CE175))</f>
        <v>0</v>
      </c>
      <c r="CG175" s="446">
        <f>IF($E175=0,0,IF(MIN(CG$38,$E175)&lt;MAX($P$34*($B175+$I$38-1),IF(AND($L$37=0,$P$34=0),"",$L$37-1)),0,YEARFRAC(MAX($P$34*($B175+$I$38-1),IF(AND($L$37=0,$P$34=0),"",$L$37-1)),MIN(CG$38,$E175),$P$20))-SUM($BF175:CF175))</f>
        <v>0</v>
      </c>
      <c r="CH175" s="446">
        <f>IF($E175=0,0,IF(MIN(CH$38,$E175)&lt;MAX($P$34*($B175+$I$38-1),IF(AND($L$37=0,$P$34=0),"",$L$37-1)),0,YEARFRAC(MAX($P$34*($B175+$I$38-1),IF(AND($L$37=0,$P$34=0),"",$L$37-1)),MIN(CH$38,$E175),$P$20))-SUM($BF175:CG175))</f>
        <v>0</v>
      </c>
      <c r="CI175" s="446">
        <f>IF($E175=0,0,IF(MIN(CI$38,$E175)&lt;MAX($P$34*($B175+$I$38-1),IF(AND($L$37=0,$P$34=0),"",$L$37-1)),0,YEARFRAC(MAX($P$34*($B175+$I$38-1),IF(AND($L$37=0,$P$34=0),"",$L$37-1)),MIN(CI$38,$E175),$P$20))-SUM($BF175:CH175))</f>
        <v>0</v>
      </c>
      <c r="CJ175" s="446">
        <f>IF($E175=0,0,IF(MIN(CJ$38,$E175)&lt;MAX($P$34*($B175+$I$38-1),IF(AND($L$37=0,$P$34=0),"",$L$37-1)),0,YEARFRAC(MAX($P$34*($B175+$I$38-1),IF(AND($L$37=0,$P$34=0),"",$L$37-1)),MIN(CJ$38,$E175),$P$20))-SUM($BF175:CI175))</f>
        <v>0</v>
      </c>
      <c r="CK175" s="446">
        <f>IF($E175=0,0,IF(MIN(CK$38,$E175)&lt;MAX($P$34*($B175+$I$38-1),IF(AND($L$37=0,$P$34=0),"",$L$37-1)),0,YEARFRAC(MAX($P$34*($B175+$I$38-1),IF(AND($L$37=0,$P$34=0),"",$L$37-1)),MIN(CK$38,$E175),$P$20))-SUM($BF175:CJ175))</f>
        <v>0</v>
      </c>
      <c r="CL175" s="446">
        <f>IF($E175=0,0,IF(MIN(CL$38,$E175)&lt;MAX($P$34*($B175+$I$38-1),IF(AND($L$37=0,$P$34=0),"",$L$37-1)),0,YEARFRAC(MAX($P$34*($B175+$I$38-1),IF(AND($L$37=0,$P$34=0),"",$L$37-1)),MIN(CL$38,$E175),$P$20))-SUM($BF175:CK175))</f>
        <v>0</v>
      </c>
      <c r="CM175" s="446">
        <f>IF($E175=0,0,IF(MIN(CM$38,$E175)&lt;MAX($P$34*($B175+$I$38-1),IF(AND($L$37=0,$P$34=0),"",$L$37-1)),0,YEARFRAC(MAX($P$34*($B175+$I$38-1),IF(AND($L$37=0,$P$34=0),"",$L$37-1)),MIN(CM$38,$E175),$P$20))-SUM($BF175:CL175))</f>
        <v>0</v>
      </c>
      <c r="CN175" s="446">
        <f>IF($E175=0,0,IF(MIN(CN$38,$E175)&lt;MAX($P$34*($B175+$I$38-1),IF(AND($L$37=0,$P$34=0),"",$L$37-1)),0,YEARFRAC(MAX($P$34*($B175+$I$38-1),IF(AND($L$37=0,$P$34=0),"",$L$37-1)),MIN(CN$38,$E175),$P$20))-SUM($BF175:CM175))</f>
        <v>0</v>
      </c>
      <c r="CO175" s="446">
        <f>IF($E175=0,0,IF(MIN(CO$38,$E175)&lt;MAX($P$34*($B175+$I$38-1),IF(AND($L$37=0,$P$34=0),"",$L$37-1)),0,YEARFRAC(MAX($P$34*($B175+$I$38-1),IF(AND($L$37=0,$P$34=0),"",$L$37-1)),MIN(CO$38,$E175),$P$20))-SUM($BF175:CN175))</f>
        <v>0</v>
      </c>
      <c r="CP175" s="446">
        <f>IF($E175=0,0,IF(MIN(CP$38,$E175)&lt;MAX($P$34*($B175+$I$38-1),IF(AND($L$37=0,$P$34=0),"",$L$37-1)),0,YEARFRAC(MAX($P$34*($B175+$I$38-1),IF(AND($L$37=0,$P$34=0),"",$L$37-1)),MIN(CP$38,$E175),$P$20))-SUM($BF175:CO175))</f>
        <v>0</v>
      </c>
      <c r="CQ175" s="446">
        <f>IF($E175=0,0,IF(MIN(CQ$38,$E175)&lt;MAX($P$34*($B175+$I$38-1),IF(AND($L$37=0,$P$34=0),"",$L$37-1)),0,YEARFRAC(MAX($P$34*($B175+$I$38-1),IF(AND($L$37=0,$P$34=0),"",$L$37-1)),MIN(CQ$38,$E175),$P$20))-SUM($BF175:CP175))</f>
        <v>0</v>
      </c>
    </row>
    <row r="176" spans="1:95" s="446" customFormat="1" ht="11.25" hidden="1" customHeight="1" x14ac:dyDescent="0.2">
      <c r="A176" s="152"/>
      <c r="B176" s="153" t="str">
        <f t="shared" si="37"/>
        <v/>
      </c>
      <c r="C176" s="29" t="str">
        <f>IF(B176="","",IF($L$35="SELIC - TRIBUTOS",VLOOKUP(DATE(YEAR($D$19),MONTH($D$19)-1,1),ÍNDICES!$A:$DE,HLOOKUP($BL$25,ÍNDICES!$B$3:$T$4,2)+11)-VLOOKUP(B176,ÍNDICES!$A:$DE,HLOOKUP($BL$25,ÍNDICES!$B$3:$T$4,2)+11)+1%,IF(C$38=$W$26,$J$35,IF(ISERROR(IF(B176&gt;$D$19,1,VLOOKUP(DATE(YEAR(B176),MONTH(B176)+IF($C$35=$S$23,1,0),1),ÍNDICES!$A:$DE,$Z$35+1))),"",IF(B176&gt;$D$19,1,VLOOKUP(DATE(YEAR(B176),MONTH(B176)+IF($C$35=$S$23,1,0),1),ÍNDICES!$A:$DE,$Z$35+1))))))</f>
        <v/>
      </c>
      <c r="D176" s="154" t="str">
        <f>IF(ISERROR(IF(OR($D$38=$Y$27,$B176=""),"",VLOOKUP(B176,ÍNDICES!A:DE,AF$35+1))),"",IF(OR($D$38=$Y$27,$B176=""),"",VLOOKUP(B176,ÍNDICES!A:DE,AF$35+1)))</f>
        <v/>
      </c>
      <c r="E176" s="153"/>
      <c r="F176" s="29" t="str">
        <f>IF(E176="","",IF($L$35="SELIC - TRIBUTOS",VLOOKUP(DATE(YEAR($D$19),MONTH($D$19)-1,1),ÍNDICES!$A:$DE,HLOOKUP($BL$25,ÍNDICES!$B$3:$T$4,2)+11)-VLOOKUP(E176,ÍNDICES!$A:$DE,HLOOKUP($BL$25,ÍNDICES!$B$3:$T$4,2)+11)+1%,IF(F$38=$W$26,$J$35,IF(ISERROR(IF(E176&gt;$D$19,1,VLOOKUP(DATE(YEAR(E176),MONTH(E176)+IF($C$35=$S$23,1,0),1),ÍNDICES!$A:$DE,$Z$35+1))),"",IF(E176&gt;$D$19,1,VLOOKUP(DATE(YEAR(E176),MONTH(E176)+IF($C$35=$S$23,1,0),1),ÍNDICES!$A:$DE,$Z$35+1))))))</f>
        <v/>
      </c>
      <c r="G176" s="155"/>
      <c r="H176" s="156" t="str">
        <f t="shared" si="33"/>
        <v/>
      </c>
      <c r="I176" s="29" t="str">
        <f t="shared" si="27"/>
        <v/>
      </c>
      <c r="J176" s="5">
        <f t="shared" si="28"/>
        <v>0</v>
      </c>
      <c r="K176" s="20">
        <f t="shared" ca="1" si="29"/>
        <v>0</v>
      </c>
      <c r="L176" s="5">
        <f t="shared" ca="1" si="30"/>
        <v>0</v>
      </c>
      <c r="M176" s="64">
        <f t="shared" si="34"/>
        <v>0</v>
      </c>
      <c r="N176" s="61">
        <f t="shared" ca="1" si="35"/>
        <v>0</v>
      </c>
      <c r="O176" s="5">
        <f t="shared" ca="1" si="36"/>
        <v>0</v>
      </c>
      <c r="P176" s="446" t="e">
        <f t="shared" si="31"/>
        <v>#VALUE!</v>
      </c>
      <c r="Q176" s="446" t="e">
        <f>IF(OR($B176="",MIN(Q$38,$D$19)&lt;MAX($P$34*($B176+IF($R$17="Distrato",$I$38-1,0)),IF(AND($L$37=0,$P$34=0),"",$L$37-1),IF($R$17="Distrato",$E176,0))),0,YEARFRAC(MAX($P$34*($B176+IF($R$17="Distrato",$I$38-1,0)),IF(AND($L$37=0,$P$34=0),"",$L$37-1),IF($R$17="Distrato",$E176,0)),MIN(Q$38,$D$19),$P$20))-SUM($P176:P176)</f>
        <v>#VALUE!</v>
      </c>
      <c r="R176" s="446" t="e">
        <f>IF(OR($B176="",MIN(R$38,$D$19)&lt;MAX($P$34*($B176+IF($R$17="Distrato",$I$38-1,0)),IF(AND($L$37=0,$P$34=0),"",$L$37-1),IF($R$17="Distrato",$E176,0))),0,YEARFRAC(MAX($P$34*($B176+IF($R$17="Distrato",$I$38-1,0)),IF(AND($L$37=0,$P$34=0),"",$L$37-1),IF($R$17="Distrato",$E176,0)),MIN(R$38,$D$19),$P$20))-SUM($P176:Q176)</f>
        <v>#VALUE!</v>
      </c>
      <c r="S176" s="446" t="e">
        <f>IF(OR($B176="",MIN(S$38,$D$19)&lt;MAX($P$34*($B176+IF($R$17="Distrato",$I$38-1,0)),IF(AND($L$37=0,$P$34=0),"",$L$37-1),IF($R$17="Distrato",$E176,0))),0,YEARFRAC(MAX($P$34*($B176+IF($R$17="Distrato",$I$38-1,0)),IF(AND($L$37=0,$P$34=0),"",$L$37-1),IF($R$17="Distrato",$E176,0)),MIN(S$38,$D$19),$P$20))-SUM($P176:R176)</f>
        <v>#VALUE!</v>
      </c>
      <c r="T176" s="446" t="e">
        <f>IF(OR($B176="",MIN(T$38,$D$19)&lt;MAX($P$34*($B176+IF($R$17="Distrato",$I$38-1,0)),IF(AND($L$37=0,$P$34=0),"",$L$37-1),IF($R$17="Distrato",$E176,0))),0,YEARFRAC(MAX($P$34*($B176+IF($R$17="Distrato",$I$38-1,0)),IF(AND($L$37=0,$P$34=0),"",$L$37-1),IF($R$17="Distrato",$E176,0)),MIN(T$38,$D$19),$P$20))-SUM($P176:S176)</f>
        <v>#VALUE!</v>
      </c>
      <c r="U176" s="446" t="e">
        <f>IF(OR($B176="",MIN(U$38,$D$19)&lt;MAX($P$34*($B176+IF($R$17="Distrato",$I$38-1,0)),IF(AND($L$37=0,$P$34=0),"",$L$37-1),IF($R$17="Distrato",$E176,0))),0,YEARFRAC(MAX($P$34*($B176+IF($R$17="Distrato",$I$38-1,0)),IF(AND($L$37=0,$P$34=0),"",$L$37-1),IF($R$17="Distrato",$E176,0)),MIN(U$38,$D$19),$P$20))-SUM($P176:T176)</f>
        <v>#VALUE!</v>
      </c>
      <c r="V176" s="446" t="e">
        <f>IF(OR($B176="",MIN(V$38,$D$19)&lt;MAX($P$34*($B176+IF($R$17="Distrato",$I$38-1,0)),IF(AND($L$37=0,$P$34=0),"",$L$37-1),IF($R$17="Distrato",$E176,0))),0,YEARFRAC(MAX($P$34*($B176+IF($R$17="Distrato",$I$38-1,0)),IF(AND($L$37=0,$P$34=0),"",$L$37-1),IF($R$17="Distrato",$E176,0)),MIN(V$38,$D$19),$P$20))-SUM($P176:U176)</f>
        <v>#VALUE!</v>
      </c>
      <c r="W176" s="446" t="e">
        <f>IF(OR($B176="",MIN(W$38,$D$19)&lt;MAX($P$34*($B176+IF($R$17="Distrato",$I$38-1,0)),IF(AND($L$37=0,$P$34=0),"",$L$37-1),IF($R$17="Distrato",$E176,0))),0,YEARFRAC(MAX($P$34*($B176+IF($R$17="Distrato",$I$38-1,0)),IF(AND($L$37=0,$P$34=0),"",$L$37-1),IF($R$17="Distrato",$E176,0)),MIN(W$38,$D$19),$P$20))-SUM($P176:V176)</f>
        <v>#VALUE!</v>
      </c>
      <c r="X176" s="446" t="e">
        <f>IF(OR($B176="",MIN(X$38,$D$19)&lt;MAX($P$34*($B176+IF($R$17="Distrato",$I$38-1,0)),IF(AND($L$37=0,$P$34=0),"",$L$37-1),IF($R$17="Distrato",$E176,0))),0,YEARFRAC(MAX($P$34*($B176+IF($R$17="Distrato",$I$38-1,0)),IF(AND($L$37=0,$P$34=0),"",$L$37-1),IF($R$17="Distrato",$E176,0)),MIN(X$38,$D$19),$P$20))-SUM($P176:W176)</f>
        <v>#VALUE!</v>
      </c>
      <c r="Y176" s="446" t="e">
        <f>IF(OR($B176="",MIN(Y$38,$D$19)&lt;MAX($P$34*($B176+IF($R$17="Distrato",$I$38-1,0)),IF(AND($L$37=0,$P$34=0),"",$L$37-1),IF($R$17="Distrato",$E176,0))),0,YEARFRAC(MAX($P$34*($B176+IF($R$17="Distrato",$I$38-1,0)),IF(AND($L$37=0,$P$34=0),"",$L$37-1),IF($R$17="Distrato",$E176,0)),MIN(Y$38,$D$19),$P$20))-SUM($P176:X176)</f>
        <v>#VALUE!</v>
      </c>
      <c r="Z176" s="446" t="e">
        <f>IF(OR($B176="",MIN(Z$38,$D$19)&lt;MAX($P$34*($B176+IF($R$17="Distrato",$I$38-1,0)),IF(AND($L$37=0,$P$34=0),"",$L$37-1),IF($R$17="Distrato",$E176,0))),0,YEARFRAC(MAX($P$34*($B176+IF($R$17="Distrato",$I$38-1,0)),IF(AND($L$37=0,$P$34=0),"",$L$37-1),IF($R$17="Distrato",$E176,0)),MIN(Z$38,$D$19),$P$20))-SUM($P176:Y176)</f>
        <v>#VALUE!</v>
      </c>
      <c r="AA176" s="446" t="e">
        <f>IF(OR($B176="",MIN(AA$38,$D$19)&lt;MAX($P$34*($B176+IF($R$17="Distrato",$I$38-1,0)),IF(AND($L$37=0,$P$34=0),"",$L$37-1),IF($R$17="Distrato",$E176,0))),0,YEARFRAC(MAX($P$34*($B176+IF($R$17="Distrato",$I$38-1,0)),IF(AND($L$37=0,$P$34=0),"",$L$37-1),IF($R$17="Distrato",$E176,0)),MIN(AA$38,$D$19),$P$20))-SUM($P176:Z176)</f>
        <v>#VALUE!</v>
      </c>
      <c r="AB176" s="446" t="e">
        <f>IF(OR($B176="",MIN(AB$38,$D$19)&lt;MAX($P$34*($B176+IF($R$17="Distrato",$I$38-1,0)),IF(AND($L$37=0,$P$34=0),"",$L$37-1),IF($R$17="Distrato",$E176,0))),0,YEARFRAC(MAX($P$34*($B176+IF($R$17="Distrato",$I$38-1,0)),IF(AND($L$37=0,$P$34=0),"",$L$37-1),IF($R$17="Distrato",$E176,0)),MIN(AB$38,$D$19),$P$20))-SUM($P176:AA176)</f>
        <v>#VALUE!</v>
      </c>
      <c r="AC176" s="446" t="e">
        <f>IF(OR($B176="",MIN(AC$38,$D$19)&lt;MAX($P$34*($B176+IF($R$17="Distrato",$I$38-1,0)),IF(AND($L$37=0,$P$34=0),"",$L$37-1),IF($R$17="Distrato",$E176,0))),0,YEARFRAC(MAX($P$34*($B176+IF($R$17="Distrato",$I$38-1,0)),IF(AND($L$37=0,$P$34=0),"",$L$37-1),IF($R$17="Distrato",$E176,0)),MIN(AC$38,$D$19),$P$20))-SUM($P176:AB176)</f>
        <v>#VALUE!</v>
      </c>
      <c r="AD176" s="446" t="e">
        <f>IF(OR($B176="",MIN(AD$38,$D$19)&lt;MAX($P$34*($B176+IF($R$17="Distrato",$I$38-1,0)),IF(AND($L$37=0,$P$34=0),"",$L$37-1),IF($R$17="Distrato",$E176,0))),0,YEARFRAC(MAX($P$34*($B176+IF($R$17="Distrato",$I$38-1,0)),IF(AND($L$37=0,$P$34=0),"",$L$37-1),IF($R$17="Distrato",$E176,0)),MIN(AD$38,$D$19),$P$20))-SUM($P176:AC176)</f>
        <v>#VALUE!</v>
      </c>
      <c r="AE176" s="446" t="e">
        <f>IF(OR($B176="",MIN(AE$38,$D$19)&lt;MAX($P$34*($B176+IF($R$17="Distrato",$I$38-1,0)),IF(AND($L$37=0,$P$34=0),"",$L$37-1),IF($R$17="Distrato",$E176,0))),0,YEARFRAC(MAX($P$34*($B176+IF($R$17="Distrato",$I$38-1,0)),IF(AND($L$37=0,$P$34=0),"",$L$37-1),IF($R$17="Distrato",$E176,0)),MIN(AE$38,$D$19),$P$20))-SUM($P176:AD176)</f>
        <v>#VALUE!</v>
      </c>
      <c r="AF176" s="446" t="e">
        <f>IF(OR($B176="",MIN(AF$38,$D$19)&lt;MAX($P$34*($B176+IF($R$17="Distrato",$I$38-1,0)),IF(AND($L$37=0,$P$34=0),"",$L$37-1),IF($R$17="Distrato",$E176,0))),0,YEARFRAC(MAX($P$34*($B176+IF($R$17="Distrato",$I$38-1,0)),IF(AND($L$37=0,$P$34=0),"",$L$37-1),IF($R$17="Distrato",$E176,0)),MIN(AF$38,$D$19),$P$20))-SUM($P176:AE176)</f>
        <v>#VALUE!</v>
      </c>
      <c r="AG176" s="446" t="e">
        <f>IF(OR($B176="",MIN(AG$38,$D$19)&lt;MAX($P$34*($B176+IF($R$17="Distrato",$I$38-1,0)),IF(AND($L$37=0,$P$34=0),"",$L$37-1),IF($R$17="Distrato",$E176,0))),0,YEARFRAC(MAX($P$34*($B176+IF($R$17="Distrato",$I$38-1,0)),IF(AND($L$37=0,$P$34=0),"",$L$37-1),IF($R$17="Distrato",$E176,0)),MIN(AG$38,$D$19),$P$20))-SUM($P176:AF176)</f>
        <v>#VALUE!</v>
      </c>
      <c r="AH176" s="446" t="e">
        <f>IF(OR($B176="",MIN(AH$38,$D$19)&lt;MAX($P$34*($B176+IF($R$17="Distrato",$I$38-1,0)),IF(AND($L$37=0,$P$34=0),"",$L$37-1),IF($R$17="Distrato",$E176,0))),0,YEARFRAC(MAX($P$34*($B176+IF($R$17="Distrato",$I$38-1,0)),IF(AND($L$37=0,$P$34=0),"",$L$37-1),IF($R$17="Distrato",$E176,0)),MIN(AH$38,$D$19),$P$20))-SUM($P176:AG176)</f>
        <v>#VALUE!</v>
      </c>
      <c r="AI176" s="446" t="e">
        <f>IF(OR($B176="",MIN(AI$38,$D$19)&lt;MAX($P$34*($B176+IF($R$17="Distrato",$I$38-1,0)),IF(AND($L$37=0,$P$34=0),"",$L$37-1),IF($R$17="Distrato",$E176,0))),0,YEARFRAC(MAX($P$34*($B176+IF($R$17="Distrato",$I$38-1,0)),IF(AND($L$37=0,$P$34=0),"",$L$37-1),IF($R$17="Distrato",$E176,0)),MIN(AI$38,$D$19),$P$20))-SUM($P176:AH176)</f>
        <v>#VALUE!</v>
      </c>
      <c r="AJ176" s="446" t="e">
        <f>IF(OR($B176="",MIN(AJ$38,$D$19)&lt;MAX($P$34*($B176+IF($R$17="Distrato",$I$38-1,0)),IF(AND($L$37=0,$P$34=0),"",$L$37-1),IF($R$17="Distrato",$E176,0))),0,YEARFRAC(MAX($P$34*($B176+IF($R$17="Distrato",$I$38-1,0)),IF(AND($L$37=0,$P$34=0),"",$L$37-1),IF($R$17="Distrato",$E176,0)),MIN(AJ$38,$D$19),$P$20))-SUM($P176:AI176)</f>
        <v>#VALUE!</v>
      </c>
      <c r="AK176" s="446" t="e">
        <f>IF(OR($B176="",MIN(AK$38,$D$19)&lt;MAX($P$34*($B176+IF($R$17="Distrato",$I$38-1,0)),IF(AND($L$37=0,$P$34=0),"",$L$37-1),IF($R$17="Distrato",$E176,0))),0,YEARFRAC(MAX($P$34*($B176+IF($R$17="Distrato",$I$38-1,0)),IF(AND($L$37=0,$P$34=0),"",$L$37-1),IF($R$17="Distrato",$E176,0)),MIN(AK$38,$D$19),$P$20))-SUM($P176:AJ176)</f>
        <v>#VALUE!</v>
      </c>
      <c r="AL176" s="446" t="e">
        <f>IF(OR($B176="",MIN(AL$38,$D$19)&lt;MAX($P$34*($B176+IF($R$17="Distrato",$I$38-1,0)),IF(AND($L$37=0,$P$34=0),"",$L$37-1),IF($R$17="Distrato",$E176,0))),0,YEARFRAC(MAX($P$34*($B176+IF($R$17="Distrato",$I$38-1,0)),IF(AND($L$37=0,$P$34=0),"",$L$37-1),IF($R$17="Distrato",$E176,0)),MIN(AL$38,$D$19),$P$20))-SUM($P176:AK176)</f>
        <v>#VALUE!</v>
      </c>
      <c r="AM176" s="446" t="e">
        <f>IF(OR($B176="",MIN(AM$38,$D$19)&lt;MAX($P$34*($B176+IF($R$17="Distrato",$I$38-1,0)),IF(AND($L$37=0,$P$34=0),"",$L$37-1),IF($R$17="Distrato",$E176,0))),0,YEARFRAC(MAX($P$34*($B176+IF($R$17="Distrato",$I$38-1,0)),IF(AND($L$37=0,$P$34=0),"",$L$37-1),IF($R$17="Distrato",$E176,0)),MIN(AM$38,$D$19),$P$20))-SUM($P176:AL176)</f>
        <v>#VALUE!</v>
      </c>
      <c r="AN176" s="446" t="e">
        <f>IF(OR($B176="",MIN(AN$38,$D$19)&lt;MAX($P$34*($B176+IF($R$17="Distrato",$I$38-1,0)),IF(AND($L$37=0,$P$34=0),"",$L$37-1),IF($R$17="Distrato",$E176,0))),0,YEARFRAC(MAX($P$34*($B176+IF($R$17="Distrato",$I$38-1,0)),IF(AND($L$37=0,$P$34=0),"",$L$37-1),IF($R$17="Distrato",$E176,0)),MIN(AN$38,$D$19),$P$20))-SUM($P176:AM176)</f>
        <v>#VALUE!</v>
      </c>
      <c r="AO176" s="446" t="e">
        <f>IF(OR($B176="",MIN(AO$38,$D$19)&lt;MAX($P$34*($B176+IF($R$17="Distrato",$I$38-1,0)),IF(AND($L$37=0,$P$34=0),"",$L$37-1),IF($R$17="Distrato",$E176,0))),0,YEARFRAC(MAX($P$34*($B176+IF($R$17="Distrato",$I$38-1,0)),IF(AND($L$37=0,$P$34=0),"",$L$37-1),IF($R$17="Distrato",$E176,0)),MIN(AO$38,$D$19),$P$20))-SUM($P176:AN176)</f>
        <v>#VALUE!</v>
      </c>
      <c r="AP176" s="446" t="e">
        <f>IF(OR($B176="",MIN(AP$38,$D$19)&lt;MAX($P$34*($B176+IF($R$17="Distrato",$I$38-1,0)),IF(AND($L$37=0,$P$34=0),"",$L$37-1),IF($R$17="Distrato",$E176,0))),0,YEARFRAC(MAX($P$34*($B176+IF($R$17="Distrato",$I$38-1,0)),IF(AND($L$37=0,$P$34=0),"",$L$37-1),IF($R$17="Distrato",$E176,0)),MIN(AP$38,$D$19),$P$20))-SUM($P176:AO176)</f>
        <v>#VALUE!</v>
      </c>
      <c r="AQ176" s="446" t="e">
        <f>IF(OR($B176="",MIN(AQ$38,$D$19)&lt;MAX($P$34*($B176+IF($R$17="Distrato",$I$38-1,0)),IF(AND($L$37=0,$P$34=0),"",$L$37-1),IF($R$17="Distrato",$E176,0))),0,YEARFRAC(MAX($P$34*($B176+IF($R$17="Distrato",$I$38-1,0)),IF(AND($L$37=0,$P$34=0),"",$L$37-1),IF($R$17="Distrato",$E176,0)),MIN(AQ$38,$D$19),$P$20))-SUM($P176:AP176)</f>
        <v>#VALUE!</v>
      </c>
      <c r="AR176" s="446" t="e">
        <f>IF(OR($B176="",MIN(AR$38,$D$19)&lt;MAX($P$34*($B176+IF($R$17="Distrato",$I$38-1,0)),IF(AND($L$37=0,$P$34=0),"",$L$37-1),IF($R$17="Distrato",$E176,0))),0,YEARFRAC(MAX($P$34*($B176+IF($R$17="Distrato",$I$38-1,0)),IF(AND($L$37=0,$P$34=0),"",$L$37-1),IF($R$17="Distrato",$E176,0)),MIN(AR$38,$D$19),$P$20))-SUM($P176:AQ176)</f>
        <v>#VALUE!</v>
      </c>
      <c r="AS176" s="446" t="e">
        <f>IF(OR($B176="",MIN(AS$38,$D$19)&lt;MAX($P$34*($B176+IF($R$17="Distrato",$I$38-1,0)),IF(AND($L$37=0,$P$34=0),"",$L$37-1),IF($R$17="Distrato",$E176,0))),0,YEARFRAC(MAX($P$34*($B176+IF($R$17="Distrato",$I$38-1,0)),IF(AND($L$37=0,$P$34=0),"",$L$37-1),IF($R$17="Distrato",$E176,0)),MIN(AS$38,$D$19),$P$20))-SUM($P176:AR176)</f>
        <v>#VALUE!</v>
      </c>
      <c r="AT176" s="446" t="e">
        <f>IF(OR($B176="",MIN(AT$38,$D$19)&lt;MAX($P$34*($B176+IF($R$17="Distrato",$I$38-1,0)),IF(AND($L$37=0,$P$34=0),"",$L$37-1),IF($R$17="Distrato",$E176,0))),0,YEARFRAC(MAX($P$34*($B176+IF($R$17="Distrato",$I$38-1,0)),IF(AND($L$37=0,$P$34=0),"",$L$37-1),IF($R$17="Distrato",$E176,0)),MIN(AT$38,$D$19),$P$20))-SUM($P176:AS176)</f>
        <v>#VALUE!</v>
      </c>
      <c r="AU176" s="446" t="e">
        <f>IF(OR($B176="",MIN(AU$38,$D$19)&lt;MAX($P$34*($B176+IF($R$17="Distrato",$I$38-1,0)),IF(AND($L$37=0,$P$34=0),"",$L$37-1),IF($R$17="Distrato",$E176,0))),0,YEARFRAC(MAX($P$34*($B176+IF($R$17="Distrato",$I$38-1,0)),IF(AND($L$37=0,$P$34=0),"",$L$37-1),IF($R$17="Distrato",$E176,0)),MIN(AU$38,$D$19),$P$20))-SUM($P176:AT176)</f>
        <v>#VALUE!</v>
      </c>
      <c r="AV176" s="446" t="e">
        <f>IF(OR($B176="",MIN(AV$38,$D$19)&lt;MAX($P$34*($B176+IF($R$17="Distrato",$I$38-1,0)),IF(AND($L$37=0,$P$34=0),"",$L$37-1),IF($R$17="Distrato",$E176,0))),0,YEARFRAC(MAX($P$34*($B176+IF($R$17="Distrato",$I$38-1,0)),IF(AND($L$37=0,$P$34=0),"",$L$37-1),IF($R$17="Distrato",$E176,0)),MIN(AV$38,$D$19),$P$20))-SUM($P176:AU176)</f>
        <v>#VALUE!</v>
      </c>
      <c r="AW176" s="446" t="e">
        <f>IF(OR($B176="",MIN(AW$38,$D$19)&lt;MAX($P$34*($B176+IF($R$17="Distrato",$I$38-1,0)),IF(AND($L$37=0,$P$34=0),"",$L$37-1),IF($R$17="Distrato",$E176,0))),0,YEARFRAC(MAX($P$34*($B176+IF($R$17="Distrato",$I$38-1,0)),IF(AND($L$37=0,$P$34=0),"",$L$37-1),IF($R$17="Distrato",$E176,0)),MIN(AW$38,$D$19),$P$20))-SUM($P176:AV176)</f>
        <v>#VALUE!</v>
      </c>
      <c r="AX176" s="446" t="e">
        <f>IF(OR($B176="",MIN(AX$38,$D$19)&lt;MAX($P$34*($B176+IF($R$17="Distrato",$I$38-1,0)),IF(AND($L$37=0,$P$34=0),"",$L$37-1),IF($R$17="Distrato",$E176,0))),0,YEARFRAC(MAX($P$34*($B176+IF($R$17="Distrato",$I$38-1,0)),IF(AND($L$37=0,$P$34=0),"",$L$37-1),IF($R$17="Distrato",$E176,0)),MIN(AX$38,$D$19),$P$20))-SUM($P176:AW176)</f>
        <v>#VALUE!</v>
      </c>
      <c r="AY176" s="446" t="e">
        <f>IF(OR($B176="",MIN(AY$38,$D$19)&lt;MAX($P$34*($B176+IF($R$17="Distrato",$I$38-1,0)),IF(AND($L$37=0,$P$34=0),"",$L$37-1),IF($R$17="Distrato",$E176,0))),0,YEARFRAC(MAX($P$34*($B176+IF($R$17="Distrato",$I$38-1,0)),IF(AND($L$37=0,$P$34=0),"",$L$37-1),IF($R$17="Distrato",$E176,0)),MIN(AY$38,$D$19),$P$20))-SUM($P176:AX176)</f>
        <v>#VALUE!</v>
      </c>
      <c r="AZ176" s="446" t="e">
        <f>IF(OR($B176="",MIN(AZ$38,$D$19)&lt;MAX($P$34*($B176+IF($R$17="Distrato",$I$38-1,0)),IF(AND($L$37=0,$P$34=0),"",$L$37-1),IF($R$17="Distrato",$E176,0))),0,YEARFRAC(MAX($P$34*($B176+IF($R$17="Distrato",$I$38-1,0)),IF(AND($L$37=0,$P$34=0),"",$L$37-1),IF($R$17="Distrato",$E176,0)),MIN(AZ$38,$D$19),$P$20))-SUM($P176:AY176)</f>
        <v>#VALUE!</v>
      </c>
      <c r="BA176" s="446" t="e">
        <f>IF(OR($B176="",MIN(BA$38,$D$19)&lt;MAX($P$34*($B176+IF($R$17="Distrato",$I$38-1,0)),IF(AND($L$37=0,$P$34=0),"",$L$37-1),IF($R$17="Distrato",$E176,0))),0,YEARFRAC(MAX($P$34*($B176+IF($R$17="Distrato",$I$38-1,0)),IF(AND($L$37=0,$P$34=0),"",$L$37-1),IF($R$17="Distrato",$E176,0)),MIN(BA$38,$D$19),$P$20))-SUM($P176:AZ176)</f>
        <v>#VALUE!</v>
      </c>
      <c r="BB176" s="447"/>
      <c r="BF176" s="446">
        <f t="shared" si="32"/>
        <v>0</v>
      </c>
      <c r="BG176" s="446">
        <f>IF($E176=0,0,IF(MIN(BG$38,$E176)&lt;MAX($P$34*($B176+$I$38-1),IF(AND($L$37=0,$P$34=0),"",$L$37-1)),0,YEARFRAC(MAX($P$34*($B176+$I$38-1),IF(AND($L$37=0,$P$34=0),"",$L$37-1)),MIN(BG$38,$E176),$P$20))-SUM($BF176:BF176))</f>
        <v>0</v>
      </c>
      <c r="BH176" s="446">
        <f>IF($E176=0,0,IF(MIN(BH$38,$E176)&lt;MAX($P$34*($B176+$I$38-1),IF(AND($L$37=0,$P$34=0),"",$L$37-1)),0,YEARFRAC(MAX($P$34*($B176+$I$38-1),IF(AND($L$37=0,$P$34=0),"",$L$37-1)),MIN(BH$38,$E176),$P$20))-SUM($BF176:BG176))</f>
        <v>0</v>
      </c>
      <c r="BI176" s="446">
        <f>IF($E176=0,0,IF(MIN(BI$38,$E176)&lt;MAX($P$34*($B176+$I$38-1),IF(AND($L$37=0,$P$34=0),"",$L$37-1)),0,YEARFRAC(MAX($P$34*($B176+$I$38-1),IF(AND($L$37=0,$P$34=0),"",$L$37-1)),MIN(BI$38,$E176),$P$20))-SUM($BF176:BH176))</f>
        <v>0</v>
      </c>
      <c r="BJ176" s="446">
        <f>IF($E176=0,0,IF(MIN(BJ$38,$E176)&lt;MAX($P$34*($B176+$I$38-1),IF(AND($L$37=0,$P$34=0),"",$L$37-1)),0,YEARFRAC(MAX($P$34*($B176+$I$38-1),IF(AND($L$37=0,$P$34=0),"",$L$37-1)),MIN(BJ$38,$E176),$P$20))-SUM($BF176:BI176))</f>
        <v>0</v>
      </c>
      <c r="BK176" s="446">
        <f>IF($E176=0,0,IF(MIN(BK$38,$E176)&lt;MAX($P$34*($B176+$I$38-1),IF(AND($L$37=0,$P$34=0),"",$L$37-1)),0,YEARFRAC(MAX($P$34*($B176+$I$38-1),IF(AND($L$37=0,$P$34=0),"",$L$37-1)),MIN(BK$38,$E176),$P$20))-SUM($BF176:BJ176))</f>
        <v>0</v>
      </c>
      <c r="BL176" s="446">
        <f>IF($E176=0,0,IF(MIN(BL$38,$E176)&lt;MAX($P$34*($B176+$I$38-1),IF(AND($L$37=0,$P$34=0),"",$L$37-1)),0,YEARFRAC(MAX($P$34*($B176+$I$38-1),IF(AND($L$37=0,$P$34=0),"",$L$37-1)),MIN(BL$38,$E176),$P$20))-SUM($BF176:BK176))</f>
        <v>0</v>
      </c>
      <c r="BM176" s="446">
        <f>IF($E176=0,0,IF(MIN(BM$38,$E176)&lt;MAX($P$34*($B176+$I$38-1),IF(AND($L$37=0,$P$34=0),"",$L$37-1)),0,YEARFRAC(MAX($P$34*($B176+$I$38-1),IF(AND($L$37=0,$P$34=0),"",$L$37-1)),MIN(BM$38,$E176),$P$20))-SUM($BF176:BL176))</f>
        <v>0</v>
      </c>
      <c r="BN176" s="446">
        <f>IF($E176=0,0,IF(MIN(BN$38,$E176)&lt;MAX($P$34*($B176+$I$38-1),IF(AND($L$37=0,$P$34=0),"",$L$37-1)),0,YEARFRAC(MAX($P$34*($B176+$I$38-1),IF(AND($L$37=0,$P$34=0),"",$L$37-1)),MIN(BN$38,$E176),$P$20))-SUM($BF176:BM176))</f>
        <v>0</v>
      </c>
      <c r="BO176" s="446">
        <f>IF($E176=0,0,IF(MIN(BO$38,$E176)&lt;MAX($P$34*($B176+$I$38-1),IF(AND($L$37=0,$P$34=0),"",$L$37-1)),0,YEARFRAC(MAX($P$34*($B176+$I$38-1),IF(AND($L$37=0,$P$34=0),"",$L$37-1)),MIN(BO$38,$E176),$P$20))-SUM($BF176:BN176))</f>
        <v>0</v>
      </c>
      <c r="BP176" s="446">
        <f>IF($E176=0,0,IF(MIN(BP$38,$E176)&lt;MAX($P$34*($B176+$I$38-1),IF(AND($L$37=0,$P$34=0),"",$L$37-1)),0,YEARFRAC(MAX($P$34*($B176+$I$38-1),IF(AND($L$37=0,$P$34=0),"",$L$37-1)),MIN(BP$38,$E176),$P$20))-SUM($BF176:BO176))</f>
        <v>0</v>
      </c>
      <c r="BQ176" s="446">
        <f>IF($E176=0,0,IF(MIN(BQ$38,$E176)&lt;MAX($P$34*($B176+$I$38-1),IF(AND($L$37=0,$P$34=0),"",$L$37-1)),0,YEARFRAC(MAX($P$34*($B176+$I$38-1),IF(AND($L$37=0,$P$34=0),"",$L$37-1)),MIN(BQ$38,$E176),$P$20))-SUM($BF176:BP176))</f>
        <v>0</v>
      </c>
      <c r="BR176" s="446">
        <f>IF($E176=0,0,IF(MIN(BR$38,$E176)&lt;MAX($P$34*($B176+$I$38-1),IF(AND($L$37=0,$P$34=0),"",$L$37-1)),0,YEARFRAC(MAX($P$34*($B176+$I$38-1),IF(AND($L$37=0,$P$34=0),"",$L$37-1)),MIN(BR$38,$E176),$P$20))-SUM($BF176:BQ176))</f>
        <v>0</v>
      </c>
      <c r="BS176" s="446">
        <f>IF($E176=0,0,IF(MIN(BS$38,$E176)&lt;MAX($P$34*($B176+$I$38-1),IF(AND($L$37=0,$P$34=0),"",$L$37-1)),0,YEARFRAC(MAX($P$34*($B176+$I$38-1),IF(AND($L$37=0,$P$34=0),"",$L$37-1)),MIN(BS$38,$E176),$P$20))-SUM($BF176:BR176))</f>
        <v>0</v>
      </c>
      <c r="BT176" s="446">
        <f>IF($E176=0,0,IF(MIN(BT$38,$E176)&lt;MAX($P$34*($B176+$I$38-1),IF(AND($L$37=0,$P$34=0),"",$L$37-1)),0,YEARFRAC(MAX($P$34*($B176+$I$38-1),IF(AND($L$37=0,$P$34=0),"",$L$37-1)),MIN(BT$38,$E176),$P$20))-SUM($BF176:BS176))</f>
        <v>0</v>
      </c>
      <c r="BU176" s="446">
        <f>IF($E176=0,0,IF(MIN(BU$38,$E176)&lt;MAX($P$34*($B176+$I$38-1),IF(AND($L$37=0,$P$34=0),"",$L$37-1)),0,YEARFRAC(MAX($P$34*($B176+$I$38-1),IF(AND($L$37=0,$P$34=0),"",$L$37-1)),MIN(BU$38,$E176),$P$20))-SUM($BF176:BT176))</f>
        <v>0</v>
      </c>
      <c r="BV176" s="446">
        <f>IF($E176=0,0,IF(MIN(BV$38,$E176)&lt;MAX($P$34*($B176+$I$38-1),IF(AND($L$37=0,$P$34=0),"",$L$37-1)),0,YEARFRAC(MAX($P$34*($B176+$I$38-1),IF(AND($L$37=0,$P$34=0),"",$L$37-1)),MIN(BV$38,$E176),$P$20))-SUM($BF176:BU176))</f>
        <v>0</v>
      </c>
      <c r="BW176" s="446">
        <f>IF($E176=0,0,IF(MIN(BW$38,$E176)&lt;MAX($P$34*($B176+$I$38-1),IF(AND($L$37=0,$P$34=0),"",$L$37-1)),0,YEARFRAC(MAX($P$34*($B176+$I$38-1),IF(AND($L$37=0,$P$34=0),"",$L$37-1)),MIN(BW$38,$E176),$P$20))-SUM($BF176:BV176))</f>
        <v>0</v>
      </c>
      <c r="BX176" s="446">
        <f>IF($E176=0,0,IF(MIN(BX$38,$E176)&lt;MAX($P$34*($B176+$I$38-1),IF(AND($L$37=0,$P$34=0),"",$L$37-1)),0,YEARFRAC(MAX($P$34*($B176+$I$38-1),IF(AND($L$37=0,$P$34=0),"",$L$37-1)),MIN(BX$38,$E176),$P$20))-SUM($BF176:BW176))</f>
        <v>0</v>
      </c>
      <c r="BY176" s="446">
        <f>IF($E176=0,0,IF(MIN(BY$38,$E176)&lt;MAX($P$34*($B176+$I$38-1),IF(AND($L$37=0,$P$34=0),"",$L$37-1)),0,YEARFRAC(MAX($P$34*($B176+$I$38-1),IF(AND($L$37=0,$P$34=0),"",$L$37-1)),MIN(BY$38,$E176),$P$20))-SUM($BF176:BX176))</f>
        <v>0</v>
      </c>
      <c r="BZ176" s="446">
        <f>IF($E176=0,0,IF(MIN(BZ$38,$E176)&lt;MAX($P$34*($B176+$I$38-1),IF(AND($L$37=0,$P$34=0),"",$L$37-1)),0,YEARFRAC(MAX($P$34*($B176+$I$38-1),IF(AND($L$37=0,$P$34=0),"",$L$37-1)),MIN(BZ$38,$E176),$P$20))-SUM($BF176:BY176))</f>
        <v>0</v>
      </c>
      <c r="CA176" s="446">
        <f>IF($E176=0,0,IF(MIN(CA$38,$E176)&lt;MAX($P$34*($B176+$I$38-1),IF(AND($L$37=0,$P$34=0),"",$L$37-1)),0,YEARFRAC(MAX($P$34*($B176+$I$38-1),IF(AND($L$37=0,$P$34=0),"",$L$37-1)),MIN(CA$38,$E176),$P$20))-SUM($BF176:BZ176))</f>
        <v>0</v>
      </c>
      <c r="CB176" s="446">
        <f>IF($E176=0,0,IF(MIN(CB$38,$E176)&lt;MAX($P$34*($B176+$I$38-1),IF(AND($L$37=0,$P$34=0),"",$L$37-1)),0,YEARFRAC(MAX($P$34*($B176+$I$38-1),IF(AND($L$37=0,$P$34=0),"",$L$37-1)),MIN(CB$38,$E176),$P$20))-SUM($BF176:CA176))</f>
        <v>0</v>
      </c>
      <c r="CC176" s="446">
        <f>IF($E176=0,0,IF(MIN(CC$38,$E176)&lt;MAX($P$34*($B176+$I$38-1),IF(AND($L$37=0,$P$34=0),"",$L$37-1)),0,YEARFRAC(MAX($P$34*($B176+$I$38-1),IF(AND($L$37=0,$P$34=0),"",$L$37-1)),MIN(CC$38,$E176),$P$20))-SUM($BF176:CB176))</f>
        <v>0</v>
      </c>
      <c r="CD176" s="446">
        <f>IF($E176=0,0,IF(MIN(CD$38,$E176)&lt;MAX($P$34*($B176+$I$38-1),IF(AND($L$37=0,$P$34=0),"",$L$37-1)),0,YEARFRAC(MAX($P$34*($B176+$I$38-1),IF(AND($L$37=0,$P$34=0),"",$L$37-1)),MIN(CD$38,$E176),$P$20))-SUM($BF176:CC176))</f>
        <v>0</v>
      </c>
      <c r="CE176" s="446">
        <f>IF($E176=0,0,IF(MIN(CE$38,$E176)&lt;MAX($P$34*($B176+$I$38-1),IF(AND($L$37=0,$P$34=0),"",$L$37-1)),0,YEARFRAC(MAX($P$34*($B176+$I$38-1),IF(AND($L$37=0,$P$34=0),"",$L$37-1)),MIN(CE$38,$E176),$P$20))-SUM($BF176:CD176))</f>
        <v>0</v>
      </c>
      <c r="CF176" s="446">
        <f>IF($E176=0,0,IF(MIN(CF$38,$E176)&lt;MAX($P$34*($B176+$I$38-1),IF(AND($L$37=0,$P$34=0),"",$L$37-1)),0,YEARFRAC(MAX($P$34*($B176+$I$38-1),IF(AND($L$37=0,$P$34=0),"",$L$37-1)),MIN(CF$38,$E176),$P$20))-SUM($BF176:CE176))</f>
        <v>0</v>
      </c>
      <c r="CG176" s="446">
        <f>IF($E176=0,0,IF(MIN(CG$38,$E176)&lt;MAX($P$34*($B176+$I$38-1),IF(AND($L$37=0,$P$34=0),"",$L$37-1)),0,YEARFRAC(MAX($P$34*($B176+$I$38-1),IF(AND($L$37=0,$P$34=0),"",$L$37-1)),MIN(CG$38,$E176),$P$20))-SUM($BF176:CF176))</f>
        <v>0</v>
      </c>
      <c r="CH176" s="446">
        <f>IF($E176=0,0,IF(MIN(CH$38,$E176)&lt;MAX($P$34*($B176+$I$38-1),IF(AND($L$37=0,$P$34=0),"",$L$37-1)),0,YEARFRAC(MAX($P$34*($B176+$I$38-1),IF(AND($L$37=0,$P$34=0),"",$L$37-1)),MIN(CH$38,$E176),$P$20))-SUM($BF176:CG176))</f>
        <v>0</v>
      </c>
      <c r="CI176" s="446">
        <f>IF($E176=0,0,IF(MIN(CI$38,$E176)&lt;MAX($P$34*($B176+$I$38-1),IF(AND($L$37=0,$P$34=0),"",$L$37-1)),0,YEARFRAC(MAX($P$34*($B176+$I$38-1),IF(AND($L$37=0,$P$34=0),"",$L$37-1)),MIN(CI$38,$E176),$P$20))-SUM($BF176:CH176))</f>
        <v>0</v>
      </c>
      <c r="CJ176" s="446">
        <f>IF($E176=0,0,IF(MIN(CJ$38,$E176)&lt;MAX($P$34*($B176+$I$38-1),IF(AND($L$37=0,$P$34=0),"",$L$37-1)),0,YEARFRAC(MAX($P$34*($B176+$I$38-1),IF(AND($L$37=0,$P$34=0),"",$L$37-1)),MIN(CJ$38,$E176),$P$20))-SUM($BF176:CI176))</f>
        <v>0</v>
      </c>
      <c r="CK176" s="446">
        <f>IF($E176=0,0,IF(MIN(CK$38,$E176)&lt;MAX($P$34*($B176+$I$38-1),IF(AND($L$37=0,$P$34=0),"",$L$37-1)),0,YEARFRAC(MAX($P$34*($B176+$I$38-1),IF(AND($L$37=0,$P$34=0),"",$L$37-1)),MIN(CK$38,$E176),$P$20))-SUM($BF176:CJ176))</f>
        <v>0</v>
      </c>
      <c r="CL176" s="446">
        <f>IF($E176=0,0,IF(MIN(CL$38,$E176)&lt;MAX($P$34*($B176+$I$38-1),IF(AND($L$37=0,$P$34=0),"",$L$37-1)),0,YEARFRAC(MAX($P$34*($B176+$I$38-1),IF(AND($L$37=0,$P$34=0),"",$L$37-1)),MIN(CL$38,$E176),$P$20))-SUM($BF176:CK176))</f>
        <v>0</v>
      </c>
      <c r="CM176" s="446">
        <f>IF($E176=0,0,IF(MIN(CM$38,$E176)&lt;MAX($P$34*($B176+$I$38-1),IF(AND($L$37=0,$P$34=0),"",$L$37-1)),0,YEARFRAC(MAX($P$34*($B176+$I$38-1),IF(AND($L$37=0,$P$34=0),"",$L$37-1)),MIN(CM$38,$E176),$P$20))-SUM($BF176:CL176))</f>
        <v>0</v>
      </c>
      <c r="CN176" s="446">
        <f>IF($E176=0,0,IF(MIN(CN$38,$E176)&lt;MAX($P$34*($B176+$I$38-1),IF(AND($L$37=0,$P$34=0),"",$L$37-1)),0,YEARFRAC(MAX($P$34*($B176+$I$38-1),IF(AND($L$37=0,$P$34=0),"",$L$37-1)),MIN(CN$38,$E176),$P$20))-SUM($BF176:CM176))</f>
        <v>0</v>
      </c>
      <c r="CO176" s="446">
        <f>IF($E176=0,0,IF(MIN(CO$38,$E176)&lt;MAX($P$34*($B176+$I$38-1),IF(AND($L$37=0,$P$34=0),"",$L$37-1)),0,YEARFRAC(MAX($P$34*($B176+$I$38-1),IF(AND($L$37=0,$P$34=0),"",$L$37-1)),MIN(CO$38,$E176),$P$20))-SUM($BF176:CN176))</f>
        <v>0</v>
      </c>
      <c r="CP176" s="446">
        <f>IF($E176=0,0,IF(MIN(CP$38,$E176)&lt;MAX($P$34*($B176+$I$38-1),IF(AND($L$37=0,$P$34=0),"",$L$37-1)),0,YEARFRAC(MAX($P$34*($B176+$I$38-1),IF(AND($L$37=0,$P$34=0),"",$L$37-1)),MIN(CP$38,$E176),$P$20))-SUM($BF176:CO176))</f>
        <v>0</v>
      </c>
      <c r="CQ176" s="446">
        <f>IF($E176=0,0,IF(MIN(CQ$38,$E176)&lt;MAX($P$34*($B176+$I$38-1),IF(AND($L$37=0,$P$34=0),"",$L$37-1)),0,YEARFRAC(MAX($P$34*($B176+$I$38-1),IF(AND($L$37=0,$P$34=0),"",$L$37-1)),MIN(CQ$38,$E176),$P$20))-SUM($BF176:CP176))</f>
        <v>0</v>
      </c>
    </row>
    <row r="177" spans="1:95" s="446" customFormat="1" ht="11.25" hidden="1" customHeight="1" x14ac:dyDescent="0.2">
      <c r="A177" s="152"/>
      <c r="B177" s="153" t="str">
        <f t="shared" si="37"/>
        <v/>
      </c>
      <c r="C177" s="29" t="str">
        <f>IF(B177="","",IF($L$35="SELIC - TRIBUTOS",VLOOKUP(DATE(YEAR($D$19),MONTH($D$19)-1,1),ÍNDICES!$A:$DE,HLOOKUP($BL$25,ÍNDICES!$B$3:$T$4,2)+11)-VLOOKUP(B177,ÍNDICES!$A:$DE,HLOOKUP($BL$25,ÍNDICES!$B$3:$T$4,2)+11)+1%,IF(C$38=$W$26,$J$35,IF(ISERROR(IF(B177&gt;$D$19,1,VLOOKUP(DATE(YEAR(B177),MONTH(B177)+IF($C$35=$S$23,1,0),1),ÍNDICES!$A:$DE,$Z$35+1))),"",IF(B177&gt;$D$19,1,VLOOKUP(DATE(YEAR(B177),MONTH(B177)+IF($C$35=$S$23,1,0),1),ÍNDICES!$A:$DE,$Z$35+1))))))</f>
        <v/>
      </c>
      <c r="D177" s="154" t="str">
        <f>IF(ISERROR(IF(OR($D$38=$Y$27,$B177=""),"",VLOOKUP(B177,ÍNDICES!A:DE,AF$35+1))),"",IF(OR($D$38=$Y$27,$B177=""),"",VLOOKUP(B177,ÍNDICES!A:DE,AF$35+1)))</f>
        <v/>
      </c>
      <c r="E177" s="153"/>
      <c r="F177" s="29" t="str">
        <f>IF(E177="","",IF($L$35="SELIC - TRIBUTOS",VLOOKUP(DATE(YEAR($D$19),MONTH($D$19)-1,1),ÍNDICES!$A:$DE,HLOOKUP($BL$25,ÍNDICES!$B$3:$T$4,2)+11)-VLOOKUP(E177,ÍNDICES!$A:$DE,HLOOKUP($BL$25,ÍNDICES!$B$3:$T$4,2)+11)+1%,IF(F$38=$W$26,$J$35,IF(ISERROR(IF(E177&gt;$D$19,1,VLOOKUP(DATE(YEAR(E177),MONTH(E177)+IF($C$35=$S$23,1,0),1),ÍNDICES!$A:$DE,$Z$35+1))),"",IF(E177&gt;$D$19,1,VLOOKUP(DATE(YEAR(E177),MONTH(E177)+IF($C$35=$S$23,1,0),1),ÍNDICES!$A:$DE,$Z$35+1))))))</f>
        <v/>
      </c>
      <c r="G177" s="155"/>
      <c r="H177" s="156" t="str">
        <f t="shared" si="33"/>
        <v/>
      </c>
      <c r="I177" s="29" t="str">
        <f t="shared" si="27"/>
        <v/>
      </c>
      <c r="J177" s="5">
        <f t="shared" si="28"/>
        <v>0</v>
      </c>
      <c r="K177" s="20">
        <f t="shared" ca="1" si="29"/>
        <v>0</v>
      </c>
      <c r="L177" s="5">
        <f t="shared" ca="1" si="30"/>
        <v>0</v>
      </c>
      <c r="M177" s="64">
        <f t="shared" si="34"/>
        <v>0</v>
      </c>
      <c r="N177" s="61">
        <f t="shared" ca="1" si="35"/>
        <v>0</v>
      </c>
      <c r="O177" s="5">
        <f t="shared" ca="1" si="36"/>
        <v>0</v>
      </c>
      <c r="P177" s="446" t="e">
        <f t="shared" si="31"/>
        <v>#VALUE!</v>
      </c>
      <c r="Q177" s="446" t="e">
        <f>IF(OR($B177="",MIN(Q$38,$D$19)&lt;MAX($P$34*($B177+IF($R$17="Distrato",$I$38-1,0)),IF(AND($L$37=0,$P$34=0),"",$L$37-1),IF($R$17="Distrato",$E177,0))),0,YEARFRAC(MAX($P$34*($B177+IF($R$17="Distrato",$I$38-1,0)),IF(AND($L$37=0,$P$34=0),"",$L$37-1),IF($R$17="Distrato",$E177,0)),MIN(Q$38,$D$19),$P$20))-SUM($P177:P177)</f>
        <v>#VALUE!</v>
      </c>
      <c r="R177" s="446" t="e">
        <f>IF(OR($B177="",MIN(R$38,$D$19)&lt;MAX($P$34*($B177+IF($R$17="Distrato",$I$38-1,0)),IF(AND($L$37=0,$P$34=0),"",$L$37-1),IF($R$17="Distrato",$E177,0))),0,YEARFRAC(MAX($P$34*($B177+IF($R$17="Distrato",$I$38-1,0)),IF(AND($L$37=0,$P$34=0),"",$L$37-1),IF($R$17="Distrato",$E177,0)),MIN(R$38,$D$19),$P$20))-SUM($P177:Q177)</f>
        <v>#VALUE!</v>
      </c>
      <c r="S177" s="446" t="e">
        <f>IF(OR($B177="",MIN(S$38,$D$19)&lt;MAX($P$34*($B177+IF($R$17="Distrato",$I$38-1,0)),IF(AND($L$37=0,$P$34=0),"",$L$37-1),IF($R$17="Distrato",$E177,0))),0,YEARFRAC(MAX($P$34*($B177+IF($R$17="Distrato",$I$38-1,0)),IF(AND($L$37=0,$P$34=0),"",$L$37-1),IF($R$17="Distrato",$E177,0)),MIN(S$38,$D$19),$P$20))-SUM($P177:R177)</f>
        <v>#VALUE!</v>
      </c>
      <c r="T177" s="446" t="e">
        <f>IF(OR($B177="",MIN(T$38,$D$19)&lt;MAX($P$34*($B177+IF($R$17="Distrato",$I$38-1,0)),IF(AND($L$37=0,$P$34=0),"",$L$37-1),IF($R$17="Distrato",$E177,0))),0,YEARFRAC(MAX($P$34*($B177+IF($R$17="Distrato",$I$38-1,0)),IF(AND($L$37=0,$P$34=0),"",$L$37-1),IF($R$17="Distrato",$E177,0)),MIN(T$38,$D$19),$P$20))-SUM($P177:S177)</f>
        <v>#VALUE!</v>
      </c>
      <c r="U177" s="446" t="e">
        <f>IF(OR($B177="",MIN(U$38,$D$19)&lt;MAX($P$34*($B177+IF($R$17="Distrato",$I$38-1,0)),IF(AND($L$37=0,$P$34=0),"",$L$37-1),IF($R$17="Distrato",$E177,0))),0,YEARFRAC(MAX($P$34*($B177+IF($R$17="Distrato",$I$38-1,0)),IF(AND($L$37=0,$P$34=0),"",$L$37-1),IF($R$17="Distrato",$E177,0)),MIN(U$38,$D$19),$P$20))-SUM($P177:T177)</f>
        <v>#VALUE!</v>
      </c>
      <c r="V177" s="446" t="e">
        <f>IF(OR($B177="",MIN(V$38,$D$19)&lt;MAX($P$34*($B177+IF($R$17="Distrato",$I$38-1,0)),IF(AND($L$37=0,$P$34=0),"",$L$37-1),IF($R$17="Distrato",$E177,0))),0,YEARFRAC(MAX($P$34*($B177+IF($R$17="Distrato",$I$38-1,0)),IF(AND($L$37=0,$P$34=0),"",$L$37-1),IF($R$17="Distrato",$E177,0)),MIN(V$38,$D$19),$P$20))-SUM($P177:U177)</f>
        <v>#VALUE!</v>
      </c>
      <c r="W177" s="446" t="e">
        <f>IF(OR($B177="",MIN(W$38,$D$19)&lt;MAX($P$34*($B177+IF($R$17="Distrato",$I$38-1,0)),IF(AND($L$37=0,$P$34=0),"",$L$37-1),IF($R$17="Distrato",$E177,0))),0,YEARFRAC(MAX($P$34*($B177+IF($R$17="Distrato",$I$38-1,0)),IF(AND($L$37=0,$P$34=0),"",$L$37-1),IF($R$17="Distrato",$E177,0)),MIN(W$38,$D$19),$P$20))-SUM($P177:V177)</f>
        <v>#VALUE!</v>
      </c>
      <c r="X177" s="446" t="e">
        <f>IF(OR($B177="",MIN(X$38,$D$19)&lt;MAX($P$34*($B177+IF($R$17="Distrato",$I$38-1,0)),IF(AND($L$37=0,$P$34=0),"",$L$37-1),IF($R$17="Distrato",$E177,0))),0,YEARFRAC(MAX($P$34*($B177+IF($R$17="Distrato",$I$38-1,0)),IF(AND($L$37=0,$P$34=0),"",$L$37-1),IF($R$17="Distrato",$E177,0)),MIN(X$38,$D$19),$P$20))-SUM($P177:W177)</f>
        <v>#VALUE!</v>
      </c>
      <c r="Y177" s="446" t="e">
        <f>IF(OR($B177="",MIN(Y$38,$D$19)&lt;MAX($P$34*($B177+IF($R$17="Distrato",$I$38-1,0)),IF(AND($L$37=0,$P$34=0),"",$L$37-1),IF($R$17="Distrato",$E177,0))),0,YEARFRAC(MAX($P$34*($B177+IF($R$17="Distrato",$I$38-1,0)),IF(AND($L$37=0,$P$34=0),"",$L$37-1),IF($R$17="Distrato",$E177,0)),MIN(Y$38,$D$19),$P$20))-SUM($P177:X177)</f>
        <v>#VALUE!</v>
      </c>
      <c r="Z177" s="446" t="e">
        <f>IF(OR($B177="",MIN(Z$38,$D$19)&lt;MAX($P$34*($B177+IF($R$17="Distrato",$I$38-1,0)),IF(AND($L$37=0,$P$34=0),"",$L$37-1),IF($R$17="Distrato",$E177,0))),0,YEARFRAC(MAX($P$34*($B177+IF($R$17="Distrato",$I$38-1,0)),IF(AND($L$37=0,$P$34=0),"",$L$37-1),IF($R$17="Distrato",$E177,0)),MIN(Z$38,$D$19),$P$20))-SUM($P177:Y177)</f>
        <v>#VALUE!</v>
      </c>
      <c r="AA177" s="446" t="e">
        <f>IF(OR($B177="",MIN(AA$38,$D$19)&lt;MAX($P$34*($B177+IF($R$17="Distrato",$I$38-1,0)),IF(AND($L$37=0,$P$34=0),"",$L$37-1),IF($R$17="Distrato",$E177,0))),0,YEARFRAC(MAX($P$34*($B177+IF($R$17="Distrato",$I$38-1,0)),IF(AND($L$37=0,$P$34=0),"",$L$37-1),IF($R$17="Distrato",$E177,0)),MIN(AA$38,$D$19),$P$20))-SUM($P177:Z177)</f>
        <v>#VALUE!</v>
      </c>
      <c r="AB177" s="446" t="e">
        <f>IF(OR($B177="",MIN(AB$38,$D$19)&lt;MAX($P$34*($B177+IF($R$17="Distrato",$I$38-1,0)),IF(AND($L$37=0,$P$34=0),"",$L$37-1),IF($R$17="Distrato",$E177,0))),0,YEARFRAC(MAX($P$34*($B177+IF($R$17="Distrato",$I$38-1,0)),IF(AND($L$37=0,$P$34=0),"",$L$37-1),IF($R$17="Distrato",$E177,0)),MIN(AB$38,$D$19),$P$20))-SUM($P177:AA177)</f>
        <v>#VALUE!</v>
      </c>
      <c r="AC177" s="446" t="e">
        <f>IF(OR($B177="",MIN(AC$38,$D$19)&lt;MAX($P$34*($B177+IF($R$17="Distrato",$I$38-1,0)),IF(AND($L$37=0,$P$34=0),"",$L$37-1),IF($R$17="Distrato",$E177,0))),0,YEARFRAC(MAX($P$34*($B177+IF($R$17="Distrato",$I$38-1,0)),IF(AND($L$37=0,$P$34=0),"",$L$37-1),IF($R$17="Distrato",$E177,0)),MIN(AC$38,$D$19),$P$20))-SUM($P177:AB177)</f>
        <v>#VALUE!</v>
      </c>
      <c r="AD177" s="446" t="e">
        <f>IF(OR($B177="",MIN(AD$38,$D$19)&lt;MAX($P$34*($B177+IF($R$17="Distrato",$I$38-1,0)),IF(AND($L$37=0,$P$34=0),"",$L$37-1),IF($R$17="Distrato",$E177,0))),0,YEARFRAC(MAX($P$34*($B177+IF($R$17="Distrato",$I$38-1,0)),IF(AND($L$37=0,$P$34=0),"",$L$37-1),IF($R$17="Distrato",$E177,0)),MIN(AD$38,$D$19),$P$20))-SUM($P177:AC177)</f>
        <v>#VALUE!</v>
      </c>
      <c r="AE177" s="446" t="e">
        <f>IF(OR($B177="",MIN(AE$38,$D$19)&lt;MAX($P$34*($B177+IF($R$17="Distrato",$I$38-1,0)),IF(AND($L$37=0,$P$34=0),"",$L$37-1),IF($R$17="Distrato",$E177,0))),0,YEARFRAC(MAX($P$34*($B177+IF($R$17="Distrato",$I$38-1,0)),IF(AND($L$37=0,$P$34=0),"",$L$37-1),IF($R$17="Distrato",$E177,0)),MIN(AE$38,$D$19),$P$20))-SUM($P177:AD177)</f>
        <v>#VALUE!</v>
      </c>
      <c r="AF177" s="446" t="e">
        <f>IF(OR($B177="",MIN(AF$38,$D$19)&lt;MAX($P$34*($B177+IF($R$17="Distrato",$I$38-1,0)),IF(AND($L$37=0,$P$34=0),"",$L$37-1),IF($R$17="Distrato",$E177,0))),0,YEARFRAC(MAX($P$34*($B177+IF($R$17="Distrato",$I$38-1,0)),IF(AND($L$37=0,$P$34=0),"",$L$37-1),IF($R$17="Distrato",$E177,0)),MIN(AF$38,$D$19),$P$20))-SUM($P177:AE177)</f>
        <v>#VALUE!</v>
      </c>
      <c r="AG177" s="446" t="e">
        <f>IF(OR($B177="",MIN(AG$38,$D$19)&lt;MAX($P$34*($B177+IF($R$17="Distrato",$I$38-1,0)),IF(AND($L$37=0,$P$34=0),"",$L$37-1),IF($R$17="Distrato",$E177,0))),0,YEARFRAC(MAX($P$34*($B177+IF($R$17="Distrato",$I$38-1,0)),IF(AND($L$37=0,$P$34=0),"",$L$37-1),IF($R$17="Distrato",$E177,0)),MIN(AG$38,$D$19),$P$20))-SUM($P177:AF177)</f>
        <v>#VALUE!</v>
      </c>
      <c r="AH177" s="446" t="e">
        <f>IF(OR($B177="",MIN(AH$38,$D$19)&lt;MAX($P$34*($B177+IF($R$17="Distrato",$I$38-1,0)),IF(AND($L$37=0,$P$34=0),"",$L$37-1),IF($R$17="Distrato",$E177,0))),0,YEARFRAC(MAX($P$34*($B177+IF($R$17="Distrato",$I$38-1,0)),IF(AND($L$37=0,$P$34=0),"",$L$37-1),IF($R$17="Distrato",$E177,0)),MIN(AH$38,$D$19),$P$20))-SUM($P177:AG177)</f>
        <v>#VALUE!</v>
      </c>
      <c r="AI177" s="446" t="e">
        <f>IF(OR($B177="",MIN(AI$38,$D$19)&lt;MAX($P$34*($B177+IF($R$17="Distrato",$I$38-1,0)),IF(AND($L$37=0,$P$34=0),"",$L$37-1),IF($R$17="Distrato",$E177,0))),0,YEARFRAC(MAX($P$34*($B177+IF($R$17="Distrato",$I$38-1,0)),IF(AND($L$37=0,$P$34=0),"",$L$37-1),IF($R$17="Distrato",$E177,0)),MIN(AI$38,$D$19),$P$20))-SUM($P177:AH177)</f>
        <v>#VALUE!</v>
      </c>
      <c r="AJ177" s="446" t="e">
        <f>IF(OR($B177="",MIN(AJ$38,$D$19)&lt;MAX($P$34*($B177+IF($R$17="Distrato",$I$38-1,0)),IF(AND($L$37=0,$P$34=0),"",$L$37-1),IF($R$17="Distrato",$E177,0))),0,YEARFRAC(MAX($P$34*($B177+IF($R$17="Distrato",$I$38-1,0)),IF(AND($L$37=0,$P$34=0),"",$L$37-1),IF($R$17="Distrato",$E177,0)),MIN(AJ$38,$D$19),$P$20))-SUM($P177:AI177)</f>
        <v>#VALUE!</v>
      </c>
      <c r="AK177" s="446" t="e">
        <f>IF(OR($B177="",MIN(AK$38,$D$19)&lt;MAX($P$34*($B177+IF($R$17="Distrato",$I$38-1,0)),IF(AND($L$37=0,$P$34=0),"",$L$37-1),IF($R$17="Distrato",$E177,0))),0,YEARFRAC(MAX($P$34*($B177+IF($R$17="Distrato",$I$38-1,0)),IF(AND($L$37=0,$P$34=0),"",$L$37-1),IF($R$17="Distrato",$E177,0)),MIN(AK$38,$D$19),$P$20))-SUM($P177:AJ177)</f>
        <v>#VALUE!</v>
      </c>
      <c r="AL177" s="446" t="e">
        <f>IF(OR($B177="",MIN(AL$38,$D$19)&lt;MAX($P$34*($B177+IF($R$17="Distrato",$I$38-1,0)),IF(AND($L$37=0,$P$34=0),"",$L$37-1),IF($R$17="Distrato",$E177,0))),0,YEARFRAC(MAX($P$34*($B177+IF($R$17="Distrato",$I$38-1,0)),IF(AND($L$37=0,$P$34=0),"",$L$37-1),IF($R$17="Distrato",$E177,0)),MIN(AL$38,$D$19),$P$20))-SUM($P177:AK177)</f>
        <v>#VALUE!</v>
      </c>
      <c r="AM177" s="446" t="e">
        <f>IF(OR($B177="",MIN(AM$38,$D$19)&lt;MAX($P$34*($B177+IF($R$17="Distrato",$I$38-1,0)),IF(AND($L$37=0,$P$34=0),"",$L$37-1),IF($R$17="Distrato",$E177,0))),0,YEARFRAC(MAX($P$34*($B177+IF($R$17="Distrato",$I$38-1,0)),IF(AND($L$37=0,$P$34=0),"",$L$37-1),IF($R$17="Distrato",$E177,0)),MIN(AM$38,$D$19),$P$20))-SUM($P177:AL177)</f>
        <v>#VALUE!</v>
      </c>
      <c r="AN177" s="446" t="e">
        <f>IF(OR($B177="",MIN(AN$38,$D$19)&lt;MAX($P$34*($B177+IF($R$17="Distrato",$I$38-1,0)),IF(AND($L$37=0,$P$34=0),"",$L$37-1),IF($R$17="Distrato",$E177,0))),0,YEARFRAC(MAX($P$34*($B177+IF($R$17="Distrato",$I$38-1,0)),IF(AND($L$37=0,$P$34=0),"",$L$37-1),IF($R$17="Distrato",$E177,0)),MIN(AN$38,$D$19),$P$20))-SUM($P177:AM177)</f>
        <v>#VALUE!</v>
      </c>
      <c r="AO177" s="446" t="e">
        <f>IF(OR($B177="",MIN(AO$38,$D$19)&lt;MAX($P$34*($B177+IF($R$17="Distrato",$I$38-1,0)),IF(AND($L$37=0,$P$34=0),"",$L$37-1),IF($R$17="Distrato",$E177,0))),0,YEARFRAC(MAX($P$34*($B177+IF($R$17="Distrato",$I$38-1,0)),IF(AND($L$37=0,$P$34=0),"",$L$37-1),IF($R$17="Distrato",$E177,0)),MIN(AO$38,$D$19),$P$20))-SUM($P177:AN177)</f>
        <v>#VALUE!</v>
      </c>
      <c r="AP177" s="446" t="e">
        <f>IF(OR($B177="",MIN(AP$38,$D$19)&lt;MAX($P$34*($B177+IF($R$17="Distrato",$I$38-1,0)),IF(AND($L$37=0,$P$34=0),"",$L$37-1),IF($R$17="Distrato",$E177,0))),0,YEARFRAC(MAX($P$34*($B177+IF($R$17="Distrato",$I$38-1,0)),IF(AND($L$37=0,$P$34=0),"",$L$37-1),IF($R$17="Distrato",$E177,0)),MIN(AP$38,$D$19),$P$20))-SUM($P177:AO177)</f>
        <v>#VALUE!</v>
      </c>
      <c r="AQ177" s="446" t="e">
        <f>IF(OR($B177="",MIN(AQ$38,$D$19)&lt;MAX($P$34*($B177+IF($R$17="Distrato",$I$38-1,0)),IF(AND($L$37=0,$P$34=0),"",$L$37-1),IF($R$17="Distrato",$E177,0))),0,YEARFRAC(MAX($P$34*($B177+IF($R$17="Distrato",$I$38-1,0)),IF(AND($L$37=0,$P$34=0),"",$L$37-1),IF($R$17="Distrato",$E177,0)),MIN(AQ$38,$D$19),$P$20))-SUM($P177:AP177)</f>
        <v>#VALUE!</v>
      </c>
      <c r="AR177" s="446" t="e">
        <f>IF(OR($B177="",MIN(AR$38,$D$19)&lt;MAX($P$34*($B177+IF($R$17="Distrato",$I$38-1,0)),IF(AND($L$37=0,$P$34=0),"",$L$37-1),IF($R$17="Distrato",$E177,0))),0,YEARFRAC(MAX($P$34*($B177+IF($R$17="Distrato",$I$38-1,0)),IF(AND($L$37=0,$P$34=0),"",$L$37-1),IF($R$17="Distrato",$E177,0)),MIN(AR$38,$D$19),$P$20))-SUM($P177:AQ177)</f>
        <v>#VALUE!</v>
      </c>
      <c r="AS177" s="446" t="e">
        <f>IF(OR($B177="",MIN(AS$38,$D$19)&lt;MAX($P$34*($B177+IF($R$17="Distrato",$I$38-1,0)),IF(AND($L$37=0,$P$34=0),"",$L$37-1),IF($R$17="Distrato",$E177,0))),0,YEARFRAC(MAX($P$34*($B177+IF($R$17="Distrato",$I$38-1,0)),IF(AND($L$37=0,$P$34=0),"",$L$37-1),IF($R$17="Distrato",$E177,0)),MIN(AS$38,$D$19),$P$20))-SUM($P177:AR177)</f>
        <v>#VALUE!</v>
      </c>
      <c r="AT177" s="446" t="e">
        <f>IF(OR($B177="",MIN(AT$38,$D$19)&lt;MAX($P$34*($B177+IF($R$17="Distrato",$I$38-1,0)),IF(AND($L$37=0,$P$34=0),"",$L$37-1),IF($R$17="Distrato",$E177,0))),0,YEARFRAC(MAX($P$34*($B177+IF($R$17="Distrato",$I$38-1,0)),IF(AND($L$37=0,$P$34=0),"",$L$37-1),IF($R$17="Distrato",$E177,0)),MIN(AT$38,$D$19),$P$20))-SUM($P177:AS177)</f>
        <v>#VALUE!</v>
      </c>
      <c r="AU177" s="446" t="e">
        <f>IF(OR($B177="",MIN(AU$38,$D$19)&lt;MAX($P$34*($B177+IF($R$17="Distrato",$I$38-1,0)),IF(AND($L$37=0,$P$34=0),"",$L$37-1),IF($R$17="Distrato",$E177,0))),0,YEARFRAC(MAX($P$34*($B177+IF($R$17="Distrato",$I$38-1,0)),IF(AND($L$37=0,$P$34=0),"",$L$37-1),IF($R$17="Distrato",$E177,0)),MIN(AU$38,$D$19),$P$20))-SUM($P177:AT177)</f>
        <v>#VALUE!</v>
      </c>
      <c r="AV177" s="446" t="e">
        <f>IF(OR($B177="",MIN(AV$38,$D$19)&lt;MAX($P$34*($B177+IF($R$17="Distrato",$I$38-1,0)),IF(AND($L$37=0,$P$34=0),"",$L$37-1),IF($R$17="Distrato",$E177,0))),0,YEARFRAC(MAX($P$34*($B177+IF($R$17="Distrato",$I$38-1,0)),IF(AND($L$37=0,$P$34=0),"",$L$37-1),IF($R$17="Distrato",$E177,0)),MIN(AV$38,$D$19),$P$20))-SUM($P177:AU177)</f>
        <v>#VALUE!</v>
      </c>
      <c r="AW177" s="446" t="e">
        <f>IF(OR($B177="",MIN(AW$38,$D$19)&lt;MAX($P$34*($B177+IF($R$17="Distrato",$I$38-1,0)),IF(AND($L$37=0,$P$34=0),"",$L$37-1),IF($R$17="Distrato",$E177,0))),0,YEARFRAC(MAX($P$34*($B177+IF($R$17="Distrato",$I$38-1,0)),IF(AND($L$37=0,$P$34=0),"",$L$37-1),IF($R$17="Distrato",$E177,0)),MIN(AW$38,$D$19),$P$20))-SUM($P177:AV177)</f>
        <v>#VALUE!</v>
      </c>
      <c r="AX177" s="446" t="e">
        <f>IF(OR($B177="",MIN(AX$38,$D$19)&lt;MAX($P$34*($B177+IF($R$17="Distrato",$I$38-1,0)),IF(AND($L$37=0,$P$34=0),"",$L$37-1),IF($R$17="Distrato",$E177,0))),0,YEARFRAC(MAX($P$34*($B177+IF($R$17="Distrato",$I$38-1,0)),IF(AND($L$37=0,$P$34=0),"",$L$37-1),IF($R$17="Distrato",$E177,0)),MIN(AX$38,$D$19),$P$20))-SUM($P177:AW177)</f>
        <v>#VALUE!</v>
      </c>
      <c r="AY177" s="446" t="e">
        <f>IF(OR($B177="",MIN(AY$38,$D$19)&lt;MAX($P$34*($B177+IF($R$17="Distrato",$I$38-1,0)),IF(AND($L$37=0,$P$34=0),"",$L$37-1),IF($R$17="Distrato",$E177,0))),0,YEARFRAC(MAX($P$34*($B177+IF($R$17="Distrato",$I$38-1,0)),IF(AND($L$37=0,$P$34=0),"",$L$37-1),IF($R$17="Distrato",$E177,0)),MIN(AY$38,$D$19),$P$20))-SUM($P177:AX177)</f>
        <v>#VALUE!</v>
      </c>
      <c r="AZ177" s="446" t="e">
        <f>IF(OR($B177="",MIN(AZ$38,$D$19)&lt;MAX($P$34*($B177+IF($R$17="Distrato",$I$38-1,0)),IF(AND($L$37=0,$P$34=0),"",$L$37-1),IF($R$17="Distrato",$E177,0))),0,YEARFRAC(MAX($P$34*($B177+IF($R$17="Distrato",$I$38-1,0)),IF(AND($L$37=0,$P$34=0),"",$L$37-1),IF($R$17="Distrato",$E177,0)),MIN(AZ$38,$D$19),$P$20))-SUM($P177:AY177)</f>
        <v>#VALUE!</v>
      </c>
      <c r="BA177" s="446" t="e">
        <f>IF(OR($B177="",MIN(BA$38,$D$19)&lt;MAX($P$34*($B177+IF($R$17="Distrato",$I$38-1,0)),IF(AND($L$37=0,$P$34=0),"",$L$37-1),IF($R$17="Distrato",$E177,0))),0,YEARFRAC(MAX($P$34*($B177+IF($R$17="Distrato",$I$38-1,0)),IF(AND($L$37=0,$P$34=0),"",$L$37-1),IF($R$17="Distrato",$E177,0)),MIN(BA$38,$D$19),$P$20))-SUM($P177:AZ177)</f>
        <v>#VALUE!</v>
      </c>
      <c r="BB177" s="447"/>
      <c r="BF177" s="446">
        <f t="shared" si="32"/>
        <v>0</v>
      </c>
      <c r="BG177" s="446">
        <f>IF($E177=0,0,IF(MIN(BG$38,$E177)&lt;MAX($P$34*($B177+$I$38-1),IF(AND($L$37=0,$P$34=0),"",$L$37-1)),0,YEARFRAC(MAX($P$34*($B177+$I$38-1),IF(AND($L$37=0,$P$34=0),"",$L$37-1)),MIN(BG$38,$E177),$P$20))-SUM($BF177:BF177))</f>
        <v>0</v>
      </c>
      <c r="BH177" s="446">
        <f>IF($E177=0,0,IF(MIN(BH$38,$E177)&lt;MAX($P$34*($B177+$I$38-1),IF(AND($L$37=0,$P$34=0),"",$L$37-1)),0,YEARFRAC(MAX($P$34*($B177+$I$38-1),IF(AND($L$37=0,$P$34=0),"",$L$37-1)),MIN(BH$38,$E177),$P$20))-SUM($BF177:BG177))</f>
        <v>0</v>
      </c>
      <c r="BI177" s="446">
        <f>IF($E177=0,0,IF(MIN(BI$38,$E177)&lt;MAX($P$34*($B177+$I$38-1),IF(AND($L$37=0,$P$34=0),"",$L$37-1)),0,YEARFRAC(MAX($P$34*($B177+$I$38-1),IF(AND($L$37=0,$P$34=0),"",$L$37-1)),MIN(BI$38,$E177),$P$20))-SUM($BF177:BH177))</f>
        <v>0</v>
      </c>
      <c r="BJ177" s="446">
        <f>IF($E177=0,0,IF(MIN(BJ$38,$E177)&lt;MAX($P$34*($B177+$I$38-1),IF(AND($L$37=0,$P$34=0),"",$L$37-1)),0,YEARFRAC(MAX($P$34*($B177+$I$38-1),IF(AND($L$37=0,$P$34=0),"",$L$37-1)),MIN(BJ$38,$E177),$P$20))-SUM($BF177:BI177))</f>
        <v>0</v>
      </c>
      <c r="BK177" s="446">
        <f>IF($E177=0,0,IF(MIN(BK$38,$E177)&lt;MAX($P$34*($B177+$I$38-1),IF(AND($L$37=0,$P$34=0),"",$L$37-1)),0,YEARFRAC(MAX($P$34*($B177+$I$38-1),IF(AND($L$37=0,$P$34=0),"",$L$37-1)),MIN(BK$38,$E177),$P$20))-SUM($BF177:BJ177))</f>
        <v>0</v>
      </c>
      <c r="BL177" s="446">
        <f>IF($E177=0,0,IF(MIN(BL$38,$E177)&lt;MAX($P$34*($B177+$I$38-1),IF(AND($L$37=0,$P$34=0),"",$L$37-1)),0,YEARFRAC(MAX($P$34*($B177+$I$38-1),IF(AND($L$37=0,$P$34=0),"",$L$37-1)),MIN(BL$38,$E177),$P$20))-SUM($BF177:BK177))</f>
        <v>0</v>
      </c>
      <c r="BM177" s="446">
        <f>IF($E177=0,0,IF(MIN(BM$38,$E177)&lt;MAX($P$34*($B177+$I$38-1),IF(AND($L$37=0,$P$34=0),"",$L$37-1)),0,YEARFRAC(MAX($P$34*($B177+$I$38-1),IF(AND($L$37=0,$P$34=0),"",$L$37-1)),MIN(BM$38,$E177),$P$20))-SUM($BF177:BL177))</f>
        <v>0</v>
      </c>
      <c r="BN177" s="446">
        <f>IF($E177=0,0,IF(MIN(BN$38,$E177)&lt;MAX($P$34*($B177+$I$38-1),IF(AND($L$37=0,$P$34=0),"",$L$37-1)),0,YEARFRAC(MAX($P$34*($B177+$I$38-1),IF(AND($L$37=0,$P$34=0),"",$L$37-1)),MIN(BN$38,$E177),$P$20))-SUM($BF177:BM177))</f>
        <v>0</v>
      </c>
      <c r="BO177" s="446">
        <f>IF($E177=0,0,IF(MIN(BO$38,$E177)&lt;MAX($P$34*($B177+$I$38-1),IF(AND($L$37=0,$P$34=0),"",$L$37-1)),0,YEARFRAC(MAX($P$34*($B177+$I$38-1),IF(AND($L$37=0,$P$34=0),"",$L$37-1)),MIN(BO$38,$E177),$P$20))-SUM($BF177:BN177))</f>
        <v>0</v>
      </c>
      <c r="BP177" s="446">
        <f>IF($E177=0,0,IF(MIN(BP$38,$E177)&lt;MAX($P$34*($B177+$I$38-1),IF(AND($L$37=0,$P$34=0),"",$L$37-1)),0,YEARFRAC(MAX($P$34*($B177+$I$38-1),IF(AND($L$37=0,$P$34=0),"",$L$37-1)),MIN(BP$38,$E177),$P$20))-SUM($BF177:BO177))</f>
        <v>0</v>
      </c>
      <c r="BQ177" s="446">
        <f>IF($E177=0,0,IF(MIN(BQ$38,$E177)&lt;MAX($P$34*($B177+$I$38-1),IF(AND($L$37=0,$P$34=0),"",$L$37-1)),0,YEARFRAC(MAX($P$34*($B177+$I$38-1),IF(AND($L$37=0,$P$34=0),"",$L$37-1)),MIN(BQ$38,$E177),$P$20))-SUM($BF177:BP177))</f>
        <v>0</v>
      </c>
      <c r="BR177" s="446">
        <f>IF($E177=0,0,IF(MIN(BR$38,$E177)&lt;MAX($P$34*($B177+$I$38-1),IF(AND($L$37=0,$P$34=0),"",$L$37-1)),0,YEARFRAC(MAX($P$34*($B177+$I$38-1),IF(AND($L$37=0,$P$34=0),"",$L$37-1)),MIN(BR$38,$E177),$P$20))-SUM($BF177:BQ177))</f>
        <v>0</v>
      </c>
      <c r="BS177" s="446">
        <f>IF($E177=0,0,IF(MIN(BS$38,$E177)&lt;MAX($P$34*($B177+$I$38-1),IF(AND($L$37=0,$P$34=0),"",$L$37-1)),0,YEARFRAC(MAX($P$34*($B177+$I$38-1),IF(AND($L$37=0,$P$34=0),"",$L$37-1)),MIN(BS$38,$E177),$P$20))-SUM($BF177:BR177))</f>
        <v>0</v>
      </c>
      <c r="BT177" s="446">
        <f>IF($E177=0,0,IF(MIN(BT$38,$E177)&lt;MAX($P$34*($B177+$I$38-1),IF(AND($L$37=0,$P$34=0),"",$L$37-1)),0,YEARFRAC(MAX($P$34*($B177+$I$38-1),IF(AND($L$37=0,$P$34=0),"",$L$37-1)),MIN(BT$38,$E177),$P$20))-SUM($BF177:BS177))</f>
        <v>0</v>
      </c>
      <c r="BU177" s="446">
        <f>IF($E177=0,0,IF(MIN(BU$38,$E177)&lt;MAX($P$34*($B177+$I$38-1),IF(AND($L$37=0,$P$34=0),"",$L$37-1)),0,YEARFRAC(MAX($P$34*($B177+$I$38-1),IF(AND($L$37=0,$P$34=0),"",$L$37-1)),MIN(BU$38,$E177),$P$20))-SUM($BF177:BT177))</f>
        <v>0</v>
      </c>
      <c r="BV177" s="446">
        <f>IF($E177=0,0,IF(MIN(BV$38,$E177)&lt;MAX($P$34*($B177+$I$38-1),IF(AND($L$37=0,$P$34=0),"",$L$37-1)),0,YEARFRAC(MAX($P$34*($B177+$I$38-1),IF(AND($L$37=0,$P$34=0),"",$L$37-1)),MIN(BV$38,$E177),$P$20))-SUM($BF177:BU177))</f>
        <v>0</v>
      </c>
      <c r="BW177" s="446">
        <f>IF($E177=0,0,IF(MIN(BW$38,$E177)&lt;MAX($P$34*($B177+$I$38-1),IF(AND($L$37=0,$P$34=0),"",$L$37-1)),0,YEARFRAC(MAX($P$34*($B177+$I$38-1),IF(AND($L$37=0,$P$34=0),"",$L$37-1)),MIN(BW$38,$E177),$P$20))-SUM($BF177:BV177))</f>
        <v>0</v>
      </c>
      <c r="BX177" s="446">
        <f>IF($E177=0,0,IF(MIN(BX$38,$E177)&lt;MAX($P$34*($B177+$I$38-1),IF(AND($L$37=0,$P$34=0),"",$L$37-1)),0,YEARFRAC(MAX($P$34*($B177+$I$38-1),IF(AND($L$37=0,$P$34=0),"",$L$37-1)),MIN(BX$38,$E177),$P$20))-SUM($BF177:BW177))</f>
        <v>0</v>
      </c>
      <c r="BY177" s="446">
        <f>IF($E177=0,0,IF(MIN(BY$38,$E177)&lt;MAX($P$34*($B177+$I$38-1),IF(AND($L$37=0,$P$34=0),"",$L$37-1)),0,YEARFRAC(MAX($P$34*($B177+$I$38-1),IF(AND($L$37=0,$P$34=0),"",$L$37-1)),MIN(BY$38,$E177),$P$20))-SUM($BF177:BX177))</f>
        <v>0</v>
      </c>
      <c r="BZ177" s="446">
        <f>IF($E177=0,0,IF(MIN(BZ$38,$E177)&lt;MAX($P$34*($B177+$I$38-1),IF(AND($L$37=0,$P$34=0),"",$L$37-1)),0,YEARFRAC(MAX($P$34*($B177+$I$38-1),IF(AND($L$37=0,$P$34=0),"",$L$37-1)),MIN(BZ$38,$E177),$P$20))-SUM($BF177:BY177))</f>
        <v>0</v>
      </c>
      <c r="CA177" s="446">
        <f>IF($E177=0,0,IF(MIN(CA$38,$E177)&lt;MAX($P$34*($B177+$I$38-1),IF(AND($L$37=0,$P$34=0),"",$L$37-1)),0,YEARFRAC(MAX($P$34*($B177+$I$38-1),IF(AND($L$37=0,$P$34=0),"",$L$37-1)),MIN(CA$38,$E177),$P$20))-SUM($BF177:BZ177))</f>
        <v>0</v>
      </c>
      <c r="CB177" s="446">
        <f>IF($E177=0,0,IF(MIN(CB$38,$E177)&lt;MAX($P$34*($B177+$I$38-1),IF(AND($L$37=0,$P$34=0),"",$L$37-1)),0,YEARFRAC(MAX($P$34*($B177+$I$38-1),IF(AND($L$37=0,$P$34=0),"",$L$37-1)),MIN(CB$38,$E177),$P$20))-SUM($BF177:CA177))</f>
        <v>0</v>
      </c>
      <c r="CC177" s="446">
        <f>IF($E177=0,0,IF(MIN(CC$38,$E177)&lt;MAX($P$34*($B177+$I$38-1),IF(AND($L$37=0,$P$34=0),"",$L$37-1)),0,YEARFRAC(MAX($P$34*($B177+$I$38-1),IF(AND($L$37=0,$P$34=0),"",$L$37-1)),MIN(CC$38,$E177),$P$20))-SUM($BF177:CB177))</f>
        <v>0</v>
      </c>
      <c r="CD177" s="446">
        <f>IF($E177=0,0,IF(MIN(CD$38,$E177)&lt;MAX($P$34*($B177+$I$38-1),IF(AND($L$37=0,$P$34=0),"",$L$37-1)),0,YEARFRAC(MAX($P$34*($B177+$I$38-1),IF(AND($L$37=0,$P$34=0),"",$L$37-1)),MIN(CD$38,$E177),$P$20))-SUM($BF177:CC177))</f>
        <v>0</v>
      </c>
      <c r="CE177" s="446">
        <f>IF($E177=0,0,IF(MIN(CE$38,$E177)&lt;MAX($P$34*($B177+$I$38-1),IF(AND($L$37=0,$P$34=0),"",$L$37-1)),0,YEARFRAC(MAX($P$34*($B177+$I$38-1),IF(AND($L$37=0,$P$34=0),"",$L$37-1)),MIN(CE$38,$E177),$P$20))-SUM($BF177:CD177))</f>
        <v>0</v>
      </c>
      <c r="CF177" s="446">
        <f>IF($E177=0,0,IF(MIN(CF$38,$E177)&lt;MAX($P$34*($B177+$I$38-1),IF(AND($L$37=0,$P$34=0),"",$L$37-1)),0,YEARFRAC(MAX($P$34*($B177+$I$38-1),IF(AND($L$37=0,$P$34=0),"",$L$37-1)),MIN(CF$38,$E177),$P$20))-SUM($BF177:CE177))</f>
        <v>0</v>
      </c>
      <c r="CG177" s="446">
        <f>IF($E177=0,0,IF(MIN(CG$38,$E177)&lt;MAX($P$34*($B177+$I$38-1),IF(AND($L$37=0,$P$34=0),"",$L$37-1)),0,YEARFRAC(MAX($P$34*($B177+$I$38-1),IF(AND($L$37=0,$P$34=0),"",$L$37-1)),MIN(CG$38,$E177),$P$20))-SUM($BF177:CF177))</f>
        <v>0</v>
      </c>
      <c r="CH177" s="446">
        <f>IF($E177=0,0,IF(MIN(CH$38,$E177)&lt;MAX($P$34*($B177+$I$38-1),IF(AND($L$37=0,$P$34=0),"",$L$37-1)),0,YEARFRAC(MAX($P$34*($B177+$I$38-1),IF(AND($L$37=0,$P$34=0),"",$L$37-1)),MIN(CH$38,$E177),$P$20))-SUM($BF177:CG177))</f>
        <v>0</v>
      </c>
      <c r="CI177" s="446">
        <f>IF($E177=0,0,IF(MIN(CI$38,$E177)&lt;MAX($P$34*($B177+$I$38-1),IF(AND($L$37=0,$P$34=0),"",$L$37-1)),0,YEARFRAC(MAX($P$34*($B177+$I$38-1),IF(AND($L$37=0,$P$34=0),"",$L$37-1)),MIN(CI$38,$E177),$P$20))-SUM($BF177:CH177))</f>
        <v>0</v>
      </c>
      <c r="CJ177" s="446">
        <f>IF($E177=0,0,IF(MIN(CJ$38,$E177)&lt;MAX($P$34*($B177+$I$38-1),IF(AND($L$37=0,$P$34=0),"",$L$37-1)),0,YEARFRAC(MAX($P$34*($B177+$I$38-1),IF(AND($L$37=0,$P$34=0),"",$L$37-1)),MIN(CJ$38,$E177),$P$20))-SUM($BF177:CI177))</f>
        <v>0</v>
      </c>
      <c r="CK177" s="446">
        <f>IF($E177=0,0,IF(MIN(CK$38,$E177)&lt;MAX($P$34*($B177+$I$38-1),IF(AND($L$37=0,$P$34=0),"",$L$37-1)),0,YEARFRAC(MAX($P$34*($B177+$I$38-1),IF(AND($L$37=0,$P$34=0),"",$L$37-1)),MIN(CK$38,$E177),$P$20))-SUM($BF177:CJ177))</f>
        <v>0</v>
      </c>
      <c r="CL177" s="446">
        <f>IF($E177=0,0,IF(MIN(CL$38,$E177)&lt;MAX($P$34*($B177+$I$38-1),IF(AND($L$37=0,$P$34=0),"",$L$37-1)),0,YEARFRAC(MAX($P$34*($B177+$I$38-1),IF(AND($L$37=0,$P$34=0),"",$L$37-1)),MIN(CL$38,$E177),$P$20))-SUM($BF177:CK177))</f>
        <v>0</v>
      </c>
      <c r="CM177" s="446">
        <f>IF($E177=0,0,IF(MIN(CM$38,$E177)&lt;MAX($P$34*($B177+$I$38-1),IF(AND($L$37=0,$P$34=0),"",$L$37-1)),0,YEARFRAC(MAX($P$34*($B177+$I$38-1),IF(AND($L$37=0,$P$34=0),"",$L$37-1)),MIN(CM$38,$E177),$P$20))-SUM($BF177:CL177))</f>
        <v>0</v>
      </c>
      <c r="CN177" s="446">
        <f>IF($E177=0,0,IF(MIN(CN$38,$E177)&lt;MAX($P$34*($B177+$I$38-1),IF(AND($L$37=0,$P$34=0),"",$L$37-1)),0,YEARFRAC(MAX($P$34*($B177+$I$38-1),IF(AND($L$37=0,$P$34=0),"",$L$37-1)),MIN(CN$38,$E177),$P$20))-SUM($BF177:CM177))</f>
        <v>0</v>
      </c>
      <c r="CO177" s="446">
        <f>IF($E177=0,0,IF(MIN(CO$38,$E177)&lt;MAX($P$34*($B177+$I$38-1),IF(AND($L$37=0,$P$34=0),"",$L$37-1)),0,YEARFRAC(MAX($P$34*($B177+$I$38-1),IF(AND($L$37=0,$P$34=0),"",$L$37-1)),MIN(CO$38,$E177),$P$20))-SUM($BF177:CN177))</f>
        <v>0</v>
      </c>
      <c r="CP177" s="446">
        <f>IF($E177=0,0,IF(MIN(CP$38,$E177)&lt;MAX($P$34*($B177+$I$38-1),IF(AND($L$37=0,$P$34=0),"",$L$37-1)),0,YEARFRAC(MAX($P$34*($B177+$I$38-1),IF(AND($L$37=0,$P$34=0),"",$L$37-1)),MIN(CP$38,$E177),$P$20))-SUM($BF177:CO177))</f>
        <v>0</v>
      </c>
      <c r="CQ177" s="446">
        <f>IF($E177=0,0,IF(MIN(CQ$38,$E177)&lt;MAX($P$34*($B177+$I$38-1),IF(AND($L$37=0,$P$34=0),"",$L$37-1)),0,YEARFRAC(MAX($P$34*($B177+$I$38-1),IF(AND($L$37=0,$P$34=0),"",$L$37-1)),MIN(CQ$38,$E177),$P$20))-SUM($BF177:CP177))</f>
        <v>0</v>
      </c>
    </row>
    <row r="178" spans="1:95" s="446" customFormat="1" ht="11.25" hidden="1" customHeight="1" x14ac:dyDescent="0.2">
      <c r="A178" s="152"/>
      <c r="B178" s="153" t="str">
        <f t="shared" si="37"/>
        <v/>
      </c>
      <c r="C178" s="29" t="str">
        <f>IF(B178="","",IF($L$35="SELIC - TRIBUTOS",VLOOKUP(DATE(YEAR($D$19),MONTH($D$19)-1,1),ÍNDICES!$A:$DE,HLOOKUP($BL$25,ÍNDICES!$B$3:$T$4,2)+11)-VLOOKUP(B178,ÍNDICES!$A:$DE,HLOOKUP($BL$25,ÍNDICES!$B$3:$T$4,2)+11)+1%,IF(C$38=$W$26,$J$35,IF(ISERROR(IF(B178&gt;$D$19,1,VLOOKUP(DATE(YEAR(B178),MONTH(B178)+IF($C$35=$S$23,1,0),1),ÍNDICES!$A:$DE,$Z$35+1))),"",IF(B178&gt;$D$19,1,VLOOKUP(DATE(YEAR(B178),MONTH(B178)+IF($C$35=$S$23,1,0),1),ÍNDICES!$A:$DE,$Z$35+1))))))</f>
        <v/>
      </c>
      <c r="D178" s="154" t="str">
        <f>IF(ISERROR(IF(OR($D$38=$Y$27,$B178=""),"",VLOOKUP(B178,ÍNDICES!A:DE,AF$35+1))),"",IF(OR($D$38=$Y$27,$B178=""),"",VLOOKUP(B178,ÍNDICES!A:DE,AF$35+1)))</f>
        <v/>
      </c>
      <c r="E178" s="153"/>
      <c r="F178" s="29" t="str">
        <f>IF(E178="","",IF($L$35="SELIC - TRIBUTOS",VLOOKUP(DATE(YEAR($D$19),MONTH($D$19)-1,1),ÍNDICES!$A:$DE,HLOOKUP($BL$25,ÍNDICES!$B$3:$T$4,2)+11)-VLOOKUP(E178,ÍNDICES!$A:$DE,HLOOKUP($BL$25,ÍNDICES!$B$3:$T$4,2)+11)+1%,IF(F$38=$W$26,$J$35,IF(ISERROR(IF(E178&gt;$D$19,1,VLOOKUP(DATE(YEAR(E178),MONTH(E178)+IF($C$35=$S$23,1,0),1),ÍNDICES!$A:$DE,$Z$35+1))),"",IF(E178&gt;$D$19,1,VLOOKUP(DATE(YEAR(E178),MONTH(E178)+IF($C$35=$S$23,1,0),1),ÍNDICES!$A:$DE,$Z$35+1))))))</f>
        <v/>
      </c>
      <c r="G178" s="155"/>
      <c r="H178" s="156" t="str">
        <f t="shared" si="33"/>
        <v/>
      </c>
      <c r="I178" s="29" t="str">
        <f t="shared" si="27"/>
        <v/>
      </c>
      <c r="J178" s="5">
        <f t="shared" si="28"/>
        <v>0</v>
      </c>
      <c r="K178" s="20">
        <f t="shared" ca="1" si="29"/>
        <v>0</v>
      </c>
      <c r="L178" s="5">
        <f t="shared" ca="1" si="30"/>
        <v>0</v>
      </c>
      <c r="M178" s="64">
        <f t="shared" si="34"/>
        <v>0</v>
      </c>
      <c r="N178" s="61">
        <f t="shared" ca="1" si="35"/>
        <v>0</v>
      </c>
      <c r="O178" s="5">
        <f t="shared" ca="1" si="36"/>
        <v>0</v>
      </c>
      <c r="P178" s="446" t="e">
        <f t="shared" si="31"/>
        <v>#VALUE!</v>
      </c>
      <c r="Q178" s="446" t="e">
        <f>IF(OR($B178="",MIN(Q$38,$D$19)&lt;MAX($P$34*($B178+IF($R$17="Distrato",$I$38-1,0)),IF(AND($L$37=0,$P$34=0),"",$L$37-1),IF($R$17="Distrato",$E178,0))),0,YEARFRAC(MAX($P$34*($B178+IF($R$17="Distrato",$I$38-1,0)),IF(AND($L$37=0,$P$34=0),"",$L$37-1),IF($R$17="Distrato",$E178,0)),MIN(Q$38,$D$19),$P$20))-SUM($P178:P178)</f>
        <v>#VALUE!</v>
      </c>
      <c r="R178" s="446" t="e">
        <f>IF(OR($B178="",MIN(R$38,$D$19)&lt;MAX($P$34*($B178+IF($R$17="Distrato",$I$38-1,0)),IF(AND($L$37=0,$P$34=0),"",$L$37-1),IF($R$17="Distrato",$E178,0))),0,YEARFRAC(MAX($P$34*($B178+IF($R$17="Distrato",$I$38-1,0)),IF(AND($L$37=0,$P$34=0),"",$L$37-1),IF($R$17="Distrato",$E178,0)),MIN(R$38,$D$19),$P$20))-SUM($P178:Q178)</f>
        <v>#VALUE!</v>
      </c>
      <c r="S178" s="446" t="e">
        <f>IF(OR($B178="",MIN(S$38,$D$19)&lt;MAX($P$34*($B178+IF($R$17="Distrato",$I$38-1,0)),IF(AND($L$37=0,$P$34=0),"",$L$37-1),IF($R$17="Distrato",$E178,0))),0,YEARFRAC(MAX($P$34*($B178+IF($R$17="Distrato",$I$38-1,0)),IF(AND($L$37=0,$P$34=0),"",$L$37-1),IF($R$17="Distrato",$E178,0)),MIN(S$38,$D$19),$P$20))-SUM($P178:R178)</f>
        <v>#VALUE!</v>
      </c>
      <c r="T178" s="446" t="e">
        <f>IF(OR($B178="",MIN(T$38,$D$19)&lt;MAX($P$34*($B178+IF($R$17="Distrato",$I$38-1,0)),IF(AND($L$37=0,$P$34=0),"",$L$37-1),IF($R$17="Distrato",$E178,0))),0,YEARFRAC(MAX($P$34*($B178+IF($R$17="Distrato",$I$38-1,0)),IF(AND($L$37=0,$P$34=0),"",$L$37-1),IF($R$17="Distrato",$E178,0)),MIN(T$38,$D$19),$P$20))-SUM($P178:S178)</f>
        <v>#VALUE!</v>
      </c>
      <c r="U178" s="446" t="e">
        <f>IF(OR($B178="",MIN(U$38,$D$19)&lt;MAX($P$34*($B178+IF($R$17="Distrato",$I$38-1,0)),IF(AND($L$37=0,$P$34=0),"",$L$37-1),IF($R$17="Distrato",$E178,0))),0,YEARFRAC(MAX($P$34*($B178+IF($R$17="Distrato",$I$38-1,0)),IF(AND($L$37=0,$P$34=0),"",$L$37-1),IF($R$17="Distrato",$E178,0)),MIN(U$38,$D$19),$P$20))-SUM($P178:T178)</f>
        <v>#VALUE!</v>
      </c>
      <c r="V178" s="446" t="e">
        <f>IF(OR($B178="",MIN(V$38,$D$19)&lt;MAX($P$34*($B178+IF($R$17="Distrato",$I$38-1,0)),IF(AND($L$37=0,$P$34=0),"",$L$37-1),IF($R$17="Distrato",$E178,0))),0,YEARFRAC(MAX($P$34*($B178+IF($R$17="Distrato",$I$38-1,0)),IF(AND($L$37=0,$P$34=0),"",$L$37-1),IF($R$17="Distrato",$E178,0)),MIN(V$38,$D$19),$P$20))-SUM($P178:U178)</f>
        <v>#VALUE!</v>
      </c>
      <c r="W178" s="446" t="e">
        <f>IF(OR($B178="",MIN(W$38,$D$19)&lt;MAX($P$34*($B178+IF($R$17="Distrato",$I$38-1,0)),IF(AND($L$37=0,$P$34=0),"",$L$37-1),IF($R$17="Distrato",$E178,0))),0,YEARFRAC(MAX($P$34*($B178+IF($R$17="Distrato",$I$38-1,0)),IF(AND($L$37=0,$P$34=0),"",$L$37-1),IF($R$17="Distrato",$E178,0)),MIN(W$38,$D$19),$P$20))-SUM($P178:V178)</f>
        <v>#VALUE!</v>
      </c>
      <c r="X178" s="446" t="e">
        <f>IF(OR($B178="",MIN(X$38,$D$19)&lt;MAX($P$34*($B178+IF($R$17="Distrato",$I$38-1,0)),IF(AND($L$37=0,$P$34=0),"",$L$37-1),IF($R$17="Distrato",$E178,0))),0,YEARFRAC(MAX($P$34*($B178+IF($R$17="Distrato",$I$38-1,0)),IF(AND($L$37=0,$P$34=0),"",$L$37-1),IF($R$17="Distrato",$E178,0)),MIN(X$38,$D$19),$P$20))-SUM($P178:W178)</f>
        <v>#VALUE!</v>
      </c>
      <c r="Y178" s="446" t="e">
        <f>IF(OR($B178="",MIN(Y$38,$D$19)&lt;MAX($P$34*($B178+IF($R$17="Distrato",$I$38-1,0)),IF(AND($L$37=0,$P$34=0),"",$L$37-1),IF($R$17="Distrato",$E178,0))),0,YEARFRAC(MAX($P$34*($B178+IF($R$17="Distrato",$I$38-1,0)),IF(AND($L$37=0,$P$34=0),"",$L$37-1),IF($R$17="Distrato",$E178,0)),MIN(Y$38,$D$19),$P$20))-SUM($P178:X178)</f>
        <v>#VALUE!</v>
      </c>
      <c r="Z178" s="446" t="e">
        <f>IF(OR($B178="",MIN(Z$38,$D$19)&lt;MAX($P$34*($B178+IF($R$17="Distrato",$I$38-1,0)),IF(AND($L$37=0,$P$34=0),"",$L$37-1),IF($R$17="Distrato",$E178,0))),0,YEARFRAC(MAX($P$34*($B178+IF($R$17="Distrato",$I$38-1,0)),IF(AND($L$37=0,$P$34=0),"",$L$37-1),IF($R$17="Distrato",$E178,0)),MIN(Z$38,$D$19),$P$20))-SUM($P178:Y178)</f>
        <v>#VALUE!</v>
      </c>
      <c r="AA178" s="446" t="e">
        <f>IF(OR($B178="",MIN(AA$38,$D$19)&lt;MAX($P$34*($B178+IF($R$17="Distrato",$I$38-1,0)),IF(AND($L$37=0,$P$34=0),"",$L$37-1),IF($R$17="Distrato",$E178,0))),0,YEARFRAC(MAX($P$34*($B178+IF($R$17="Distrato",$I$38-1,0)),IF(AND($L$37=0,$P$34=0),"",$L$37-1),IF($R$17="Distrato",$E178,0)),MIN(AA$38,$D$19),$P$20))-SUM($P178:Z178)</f>
        <v>#VALUE!</v>
      </c>
      <c r="AB178" s="446" t="e">
        <f>IF(OR($B178="",MIN(AB$38,$D$19)&lt;MAX($P$34*($B178+IF($R$17="Distrato",$I$38-1,0)),IF(AND($L$37=0,$P$34=0),"",$L$37-1),IF($R$17="Distrato",$E178,0))),0,YEARFRAC(MAX($P$34*($B178+IF($R$17="Distrato",$I$38-1,0)),IF(AND($L$37=0,$P$34=0),"",$L$37-1),IF($R$17="Distrato",$E178,0)),MIN(AB$38,$D$19),$P$20))-SUM($P178:AA178)</f>
        <v>#VALUE!</v>
      </c>
      <c r="AC178" s="446" t="e">
        <f>IF(OR($B178="",MIN(AC$38,$D$19)&lt;MAX($P$34*($B178+IF($R$17="Distrato",$I$38-1,0)),IF(AND($L$37=0,$P$34=0),"",$L$37-1),IF($R$17="Distrato",$E178,0))),0,YEARFRAC(MAX($P$34*($B178+IF($R$17="Distrato",$I$38-1,0)),IF(AND($L$37=0,$P$34=0),"",$L$37-1),IF($R$17="Distrato",$E178,0)),MIN(AC$38,$D$19),$P$20))-SUM($P178:AB178)</f>
        <v>#VALUE!</v>
      </c>
      <c r="AD178" s="446" t="e">
        <f>IF(OR($B178="",MIN(AD$38,$D$19)&lt;MAX($P$34*($B178+IF($R$17="Distrato",$I$38-1,0)),IF(AND($L$37=0,$P$34=0),"",$L$37-1),IF($R$17="Distrato",$E178,0))),0,YEARFRAC(MAX($P$34*($B178+IF($R$17="Distrato",$I$38-1,0)),IF(AND($L$37=0,$P$34=0),"",$L$37-1),IF($R$17="Distrato",$E178,0)),MIN(AD$38,$D$19),$P$20))-SUM($P178:AC178)</f>
        <v>#VALUE!</v>
      </c>
      <c r="AE178" s="446" t="e">
        <f>IF(OR($B178="",MIN(AE$38,$D$19)&lt;MAX($P$34*($B178+IF($R$17="Distrato",$I$38-1,0)),IF(AND($L$37=0,$P$34=0),"",$L$37-1),IF($R$17="Distrato",$E178,0))),0,YEARFRAC(MAX($P$34*($B178+IF($R$17="Distrato",$I$38-1,0)),IF(AND($L$37=0,$P$34=0),"",$L$37-1),IF($R$17="Distrato",$E178,0)),MIN(AE$38,$D$19),$P$20))-SUM($P178:AD178)</f>
        <v>#VALUE!</v>
      </c>
      <c r="AF178" s="446" t="e">
        <f>IF(OR($B178="",MIN(AF$38,$D$19)&lt;MAX($P$34*($B178+IF($R$17="Distrato",$I$38-1,0)),IF(AND($L$37=0,$P$34=0),"",$L$37-1),IF($R$17="Distrato",$E178,0))),0,YEARFRAC(MAX($P$34*($B178+IF($R$17="Distrato",$I$38-1,0)),IF(AND($L$37=0,$P$34=0),"",$L$37-1),IF($R$17="Distrato",$E178,0)),MIN(AF$38,$D$19),$P$20))-SUM($P178:AE178)</f>
        <v>#VALUE!</v>
      </c>
      <c r="AG178" s="446" t="e">
        <f>IF(OR($B178="",MIN(AG$38,$D$19)&lt;MAX($P$34*($B178+IF($R$17="Distrato",$I$38-1,0)),IF(AND($L$37=0,$P$34=0),"",$L$37-1),IF($R$17="Distrato",$E178,0))),0,YEARFRAC(MAX($P$34*($B178+IF($R$17="Distrato",$I$38-1,0)),IF(AND($L$37=0,$P$34=0),"",$L$37-1),IF($R$17="Distrato",$E178,0)),MIN(AG$38,$D$19),$P$20))-SUM($P178:AF178)</f>
        <v>#VALUE!</v>
      </c>
      <c r="AH178" s="446" t="e">
        <f>IF(OR($B178="",MIN(AH$38,$D$19)&lt;MAX($P$34*($B178+IF($R$17="Distrato",$I$38-1,0)),IF(AND($L$37=0,$P$34=0),"",$L$37-1),IF($R$17="Distrato",$E178,0))),0,YEARFRAC(MAX($P$34*($B178+IF($R$17="Distrato",$I$38-1,0)),IF(AND($L$37=0,$P$34=0),"",$L$37-1),IF($R$17="Distrato",$E178,0)),MIN(AH$38,$D$19),$P$20))-SUM($P178:AG178)</f>
        <v>#VALUE!</v>
      </c>
      <c r="AI178" s="446" t="e">
        <f>IF(OR($B178="",MIN(AI$38,$D$19)&lt;MAX($P$34*($B178+IF($R$17="Distrato",$I$38-1,0)),IF(AND($L$37=0,$P$34=0),"",$L$37-1),IF($R$17="Distrato",$E178,0))),0,YEARFRAC(MAX($P$34*($B178+IF($R$17="Distrato",$I$38-1,0)),IF(AND($L$37=0,$P$34=0),"",$L$37-1),IF($R$17="Distrato",$E178,0)),MIN(AI$38,$D$19),$P$20))-SUM($P178:AH178)</f>
        <v>#VALUE!</v>
      </c>
      <c r="AJ178" s="446" t="e">
        <f>IF(OR($B178="",MIN(AJ$38,$D$19)&lt;MAX($P$34*($B178+IF($R$17="Distrato",$I$38-1,0)),IF(AND($L$37=0,$P$34=0),"",$L$37-1),IF($R$17="Distrato",$E178,0))),0,YEARFRAC(MAX($P$34*($B178+IF($R$17="Distrato",$I$38-1,0)),IF(AND($L$37=0,$P$34=0),"",$L$37-1),IF($R$17="Distrato",$E178,0)),MIN(AJ$38,$D$19),$P$20))-SUM($P178:AI178)</f>
        <v>#VALUE!</v>
      </c>
      <c r="AK178" s="446" t="e">
        <f>IF(OR($B178="",MIN(AK$38,$D$19)&lt;MAX($P$34*($B178+IF($R$17="Distrato",$I$38-1,0)),IF(AND($L$37=0,$P$34=0),"",$L$37-1),IF($R$17="Distrato",$E178,0))),0,YEARFRAC(MAX($P$34*($B178+IF($R$17="Distrato",$I$38-1,0)),IF(AND($L$37=0,$P$34=0),"",$L$37-1),IF($R$17="Distrato",$E178,0)),MIN(AK$38,$D$19),$P$20))-SUM($P178:AJ178)</f>
        <v>#VALUE!</v>
      </c>
      <c r="AL178" s="446" t="e">
        <f>IF(OR($B178="",MIN(AL$38,$D$19)&lt;MAX($P$34*($B178+IF($R$17="Distrato",$I$38-1,0)),IF(AND($L$37=0,$P$34=0),"",$L$37-1),IF($R$17="Distrato",$E178,0))),0,YEARFRAC(MAX($P$34*($B178+IF($R$17="Distrato",$I$38-1,0)),IF(AND($L$37=0,$P$34=0),"",$L$37-1),IF($R$17="Distrato",$E178,0)),MIN(AL$38,$D$19),$P$20))-SUM($P178:AK178)</f>
        <v>#VALUE!</v>
      </c>
      <c r="AM178" s="446" t="e">
        <f>IF(OR($B178="",MIN(AM$38,$D$19)&lt;MAX($P$34*($B178+IF($R$17="Distrato",$I$38-1,0)),IF(AND($L$37=0,$P$34=0),"",$L$37-1),IF($R$17="Distrato",$E178,0))),0,YEARFRAC(MAX($P$34*($B178+IF($R$17="Distrato",$I$38-1,0)),IF(AND($L$37=0,$P$34=0),"",$L$37-1),IF($R$17="Distrato",$E178,0)),MIN(AM$38,$D$19),$P$20))-SUM($P178:AL178)</f>
        <v>#VALUE!</v>
      </c>
      <c r="AN178" s="446" t="e">
        <f>IF(OR($B178="",MIN(AN$38,$D$19)&lt;MAX($P$34*($B178+IF($R$17="Distrato",$I$38-1,0)),IF(AND($L$37=0,$P$34=0),"",$L$37-1),IF($R$17="Distrato",$E178,0))),0,YEARFRAC(MAX($P$34*($B178+IF($R$17="Distrato",$I$38-1,0)),IF(AND($L$37=0,$P$34=0),"",$L$37-1),IF($R$17="Distrato",$E178,0)),MIN(AN$38,$D$19),$P$20))-SUM($P178:AM178)</f>
        <v>#VALUE!</v>
      </c>
      <c r="AO178" s="446" t="e">
        <f>IF(OR($B178="",MIN(AO$38,$D$19)&lt;MAX($P$34*($B178+IF($R$17="Distrato",$I$38-1,0)),IF(AND($L$37=0,$P$34=0),"",$L$37-1),IF($R$17="Distrato",$E178,0))),0,YEARFRAC(MAX($P$34*($B178+IF($R$17="Distrato",$I$38-1,0)),IF(AND($L$37=0,$P$34=0),"",$L$37-1),IF($R$17="Distrato",$E178,0)),MIN(AO$38,$D$19),$P$20))-SUM($P178:AN178)</f>
        <v>#VALUE!</v>
      </c>
      <c r="AP178" s="446" t="e">
        <f>IF(OR($B178="",MIN(AP$38,$D$19)&lt;MAX($P$34*($B178+IF($R$17="Distrato",$I$38-1,0)),IF(AND($L$37=0,$P$34=0),"",$L$37-1),IF($R$17="Distrato",$E178,0))),0,YEARFRAC(MAX($P$34*($B178+IF($R$17="Distrato",$I$38-1,0)),IF(AND($L$37=0,$P$34=0),"",$L$37-1),IF($R$17="Distrato",$E178,0)),MIN(AP$38,$D$19),$P$20))-SUM($P178:AO178)</f>
        <v>#VALUE!</v>
      </c>
      <c r="AQ178" s="446" t="e">
        <f>IF(OR($B178="",MIN(AQ$38,$D$19)&lt;MAX($P$34*($B178+IF($R$17="Distrato",$I$38-1,0)),IF(AND($L$37=0,$P$34=0),"",$L$37-1),IF($R$17="Distrato",$E178,0))),0,YEARFRAC(MAX($P$34*($B178+IF($R$17="Distrato",$I$38-1,0)),IF(AND($L$37=0,$P$34=0),"",$L$37-1),IF($R$17="Distrato",$E178,0)),MIN(AQ$38,$D$19),$P$20))-SUM($P178:AP178)</f>
        <v>#VALUE!</v>
      </c>
      <c r="AR178" s="446" t="e">
        <f>IF(OR($B178="",MIN(AR$38,$D$19)&lt;MAX($P$34*($B178+IF($R$17="Distrato",$I$38-1,0)),IF(AND($L$37=0,$P$34=0),"",$L$37-1),IF($R$17="Distrato",$E178,0))),0,YEARFRAC(MAX($P$34*($B178+IF($R$17="Distrato",$I$38-1,0)),IF(AND($L$37=0,$P$34=0),"",$L$37-1),IF($R$17="Distrato",$E178,0)),MIN(AR$38,$D$19),$P$20))-SUM($P178:AQ178)</f>
        <v>#VALUE!</v>
      </c>
      <c r="AS178" s="446" t="e">
        <f>IF(OR($B178="",MIN(AS$38,$D$19)&lt;MAX($P$34*($B178+IF($R$17="Distrato",$I$38-1,0)),IF(AND($L$37=0,$P$34=0),"",$L$37-1),IF($R$17="Distrato",$E178,0))),0,YEARFRAC(MAX($P$34*($B178+IF($R$17="Distrato",$I$38-1,0)),IF(AND($L$37=0,$P$34=0),"",$L$37-1),IF($R$17="Distrato",$E178,0)),MIN(AS$38,$D$19),$P$20))-SUM($P178:AR178)</f>
        <v>#VALUE!</v>
      </c>
      <c r="AT178" s="446" t="e">
        <f>IF(OR($B178="",MIN(AT$38,$D$19)&lt;MAX($P$34*($B178+IF($R$17="Distrato",$I$38-1,0)),IF(AND($L$37=0,$P$34=0),"",$L$37-1),IF($R$17="Distrato",$E178,0))),0,YEARFRAC(MAX($P$34*($B178+IF($R$17="Distrato",$I$38-1,0)),IF(AND($L$37=0,$P$34=0),"",$L$37-1),IF($R$17="Distrato",$E178,0)),MIN(AT$38,$D$19),$P$20))-SUM($P178:AS178)</f>
        <v>#VALUE!</v>
      </c>
      <c r="AU178" s="446" t="e">
        <f>IF(OR($B178="",MIN(AU$38,$D$19)&lt;MAX($P$34*($B178+IF($R$17="Distrato",$I$38-1,0)),IF(AND($L$37=0,$P$34=0),"",$L$37-1),IF($R$17="Distrato",$E178,0))),0,YEARFRAC(MAX($P$34*($B178+IF($R$17="Distrato",$I$38-1,0)),IF(AND($L$37=0,$P$34=0),"",$L$37-1),IF($R$17="Distrato",$E178,0)),MIN(AU$38,$D$19),$P$20))-SUM($P178:AT178)</f>
        <v>#VALUE!</v>
      </c>
      <c r="AV178" s="446" t="e">
        <f>IF(OR($B178="",MIN(AV$38,$D$19)&lt;MAX($P$34*($B178+IF($R$17="Distrato",$I$38-1,0)),IF(AND($L$37=0,$P$34=0),"",$L$37-1),IF($R$17="Distrato",$E178,0))),0,YEARFRAC(MAX($P$34*($B178+IF($R$17="Distrato",$I$38-1,0)),IF(AND($L$37=0,$P$34=0),"",$L$37-1),IF($R$17="Distrato",$E178,0)),MIN(AV$38,$D$19),$P$20))-SUM($P178:AU178)</f>
        <v>#VALUE!</v>
      </c>
      <c r="AW178" s="446" t="e">
        <f>IF(OR($B178="",MIN(AW$38,$D$19)&lt;MAX($P$34*($B178+IF($R$17="Distrato",$I$38-1,0)),IF(AND($L$37=0,$P$34=0),"",$L$37-1),IF($R$17="Distrato",$E178,0))),0,YEARFRAC(MAX($P$34*($B178+IF($R$17="Distrato",$I$38-1,0)),IF(AND($L$37=0,$P$34=0),"",$L$37-1),IF($R$17="Distrato",$E178,0)),MIN(AW$38,$D$19),$P$20))-SUM($P178:AV178)</f>
        <v>#VALUE!</v>
      </c>
      <c r="AX178" s="446" t="e">
        <f>IF(OR($B178="",MIN(AX$38,$D$19)&lt;MAX($P$34*($B178+IF($R$17="Distrato",$I$38-1,0)),IF(AND($L$37=0,$P$34=0),"",$L$37-1),IF($R$17="Distrato",$E178,0))),0,YEARFRAC(MAX($P$34*($B178+IF($R$17="Distrato",$I$38-1,0)),IF(AND($L$37=0,$P$34=0),"",$L$37-1),IF($R$17="Distrato",$E178,0)),MIN(AX$38,$D$19),$P$20))-SUM($P178:AW178)</f>
        <v>#VALUE!</v>
      </c>
      <c r="AY178" s="446" t="e">
        <f>IF(OR($B178="",MIN(AY$38,$D$19)&lt;MAX($P$34*($B178+IF($R$17="Distrato",$I$38-1,0)),IF(AND($L$37=0,$P$34=0),"",$L$37-1),IF($R$17="Distrato",$E178,0))),0,YEARFRAC(MAX($P$34*($B178+IF($R$17="Distrato",$I$38-1,0)),IF(AND($L$37=0,$P$34=0),"",$L$37-1),IF($R$17="Distrato",$E178,0)),MIN(AY$38,$D$19),$P$20))-SUM($P178:AX178)</f>
        <v>#VALUE!</v>
      </c>
      <c r="AZ178" s="446" t="e">
        <f>IF(OR($B178="",MIN(AZ$38,$D$19)&lt;MAX($P$34*($B178+IF($R$17="Distrato",$I$38-1,0)),IF(AND($L$37=0,$P$34=0),"",$L$37-1),IF($R$17="Distrato",$E178,0))),0,YEARFRAC(MAX($P$34*($B178+IF($R$17="Distrato",$I$38-1,0)),IF(AND($L$37=0,$P$34=0),"",$L$37-1),IF($R$17="Distrato",$E178,0)),MIN(AZ$38,$D$19),$P$20))-SUM($P178:AY178)</f>
        <v>#VALUE!</v>
      </c>
      <c r="BA178" s="446" t="e">
        <f>IF(OR($B178="",MIN(BA$38,$D$19)&lt;MAX($P$34*($B178+IF($R$17="Distrato",$I$38-1,0)),IF(AND($L$37=0,$P$34=0),"",$L$37-1),IF($R$17="Distrato",$E178,0))),0,YEARFRAC(MAX($P$34*($B178+IF($R$17="Distrato",$I$38-1,0)),IF(AND($L$37=0,$P$34=0),"",$L$37-1),IF($R$17="Distrato",$E178,0)),MIN(BA$38,$D$19),$P$20))-SUM($P178:AZ178)</f>
        <v>#VALUE!</v>
      </c>
      <c r="BB178" s="447"/>
      <c r="BF178" s="446">
        <f t="shared" si="32"/>
        <v>0</v>
      </c>
      <c r="BG178" s="446">
        <f>IF($E178=0,0,IF(MIN(BG$38,$E178)&lt;MAX($P$34*($B178+$I$38-1),IF(AND($L$37=0,$P$34=0),"",$L$37-1)),0,YEARFRAC(MAX($P$34*($B178+$I$38-1),IF(AND($L$37=0,$P$34=0),"",$L$37-1)),MIN(BG$38,$E178),$P$20))-SUM($BF178:BF178))</f>
        <v>0</v>
      </c>
      <c r="BH178" s="446">
        <f>IF($E178=0,0,IF(MIN(BH$38,$E178)&lt;MAX($P$34*($B178+$I$38-1),IF(AND($L$37=0,$P$34=0),"",$L$37-1)),0,YEARFRAC(MAX($P$34*($B178+$I$38-1),IF(AND($L$37=0,$P$34=0),"",$L$37-1)),MIN(BH$38,$E178),$P$20))-SUM($BF178:BG178))</f>
        <v>0</v>
      </c>
      <c r="BI178" s="446">
        <f>IF($E178=0,0,IF(MIN(BI$38,$E178)&lt;MAX($P$34*($B178+$I$38-1),IF(AND($L$37=0,$P$34=0),"",$L$37-1)),0,YEARFRAC(MAX($P$34*($B178+$I$38-1),IF(AND($L$37=0,$P$34=0),"",$L$37-1)),MIN(BI$38,$E178),$P$20))-SUM($BF178:BH178))</f>
        <v>0</v>
      </c>
      <c r="BJ178" s="446">
        <f>IF($E178=0,0,IF(MIN(BJ$38,$E178)&lt;MAX($P$34*($B178+$I$38-1),IF(AND($L$37=0,$P$34=0),"",$L$37-1)),0,YEARFRAC(MAX($P$34*($B178+$I$38-1),IF(AND($L$37=0,$P$34=0),"",$L$37-1)),MIN(BJ$38,$E178),$P$20))-SUM($BF178:BI178))</f>
        <v>0</v>
      </c>
      <c r="BK178" s="446">
        <f>IF($E178=0,0,IF(MIN(BK$38,$E178)&lt;MAX($P$34*($B178+$I$38-1),IF(AND($L$37=0,$P$34=0),"",$L$37-1)),0,YEARFRAC(MAX($P$34*($B178+$I$38-1),IF(AND($L$37=0,$P$34=0),"",$L$37-1)),MIN(BK$38,$E178),$P$20))-SUM($BF178:BJ178))</f>
        <v>0</v>
      </c>
      <c r="BL178" s="446">
        <f>IF($E178=0,0,IF(MIN(BL$38,$E178)&lt;MAX($P$34*($B178+$I$38-1),IF(AND($L$37=0,$P$34=0),"",$L$37-1)),0,YEARFRAC(MAX($P$34*($B178+$I$38-1),IF(AND($L$37=0,$P$34=0),"",$L$37-1)),MIN(BL$38,$E178),$P$20))-SUM($BF178:BK178))</f>
        <v>0</v>
      </c>
      <c r="BM178" s="446">
        <f>IF($E178=0,0,IF(MIN(BM$38,$E178)&lt;MAX($P$34*($B178+$I$38-1),IF(AND($L$37=0,$P$34=0),"",$L$37-1)),0,YEARFRAC(MAX($P$34*($B178+$I$38-1),IF(AND($L$37=0,$P$34=0),"",$L$37-1)),MIN(BM$38,$E178),$P$20))-SUM($BF178:BL178))</f>
        <v>0</v>
      </c>
      <c r="BN178" s="446">
        <f>IF($E178=0,0,IF(MIN(BN$38,$E178)&lt;MAX($P$34*($B178+$I$38-1),IF(AND($L$37=0,$P$34=0),"",$L$37-1)),0,YEARFRAC(MAX($P$34*($B178+$I$38-1),IF(AND($L$37=0,$P$34=0),"",$L$37-1)),MIN(BN$38,$E178),$P$20))-SUM($BF178:BM178))</f>
        <v>0</v>
      </c>
      <c r="BO178" s="446">
        <f>IF($E178=0,0,IF(MIN(BO$38,$E178)&lt;MAX($P$34*($B178+$I$38-1),IF(AND($L$37=0,$P$34=0),"",$L$37-1)),0,YEARFRAC(MAX($P$34*($B178+$I$38-1),IF(AND($L$37=0,$P$34=0),"",$L$37-1)),MIN(BO$38,$E178),$P$20))-SUM($BF178:BN178))</f>
        <v>0</v>
      </c>
      <c r="BP178" s="446">
        <f>IF($E178=0,0,IF(MIN(BP$38,$E178)&lt;MAX($P$34*($B178+$I$38-1),IF(AND($L$37=0,$P$34=0),"",$L$37-1)),0,YEARFRAC(MAX($P$34*($B178+$I$38-1),IF(AND($L$37=0,$P$34=0),"",$L$37-1)),MIN(BP$38,$E178),$P$20))-SUM($BF178:BO178))</f>
        <v>0</v>
      </c>
      <c r="BQ178" s="446">
        <f>IF($E178=0,0,IF(MIN(BQ$38,$E178)&lt;MAX($P$34*($B178+$I$38-1),IF(AND($L$37=0,$P$34=0),"",$L$37-1)),0,YEARFRAC(MAX($P$34*($B178+$I$38-1),IF(AND($L$37=0,$P$34=0),"",$L$37-1)),MIN(BQ$38,$E178),$P$20))-SUM($BF178:BP178))</f>
        <v>0</v>
      </c>
      <c r="BR178" s="446">
        <f>IF($E178=0,0,IF(MIN(BR$38,$E178)&lt;MAX($P$34*($B178+$I$38-1),IF(AND($L$37=0,$P$34=0),"",$L$37-1)),0,YEARFRAC(MAX($P$34*($B178+$I$38-1),IF(AND($L$37=0,$P$34=0),"",$L$37-1)),MIN(BR$38,$E178),$P$20))-SUM($BF178:BQ178))</f>
        <v>0</v>
      </c>
      <c r="BS178" s="446">
        <f>IF($E178=0,0,IF(MIN(BS$38,$E178)&lt;MAX($P$34*($B178+$I$38-1),IF(AND($L$37=0,$P$34=0),"",$L$37-1)),0,YEARFRAC(MAX($P$34*($B178+$I$38-1),IF(AND($L$37=0,$P$34=0),"",$L$37-1)),MIN(BS$38,$E178),$P$20))-SUM($BF178:BR178))</f>
        <v>0</v>
      </c>
      <c r="BT178" s="446">
        <f>IF($E178=0,0,IF(MIN(BT$38,$E178)&lt;MAX($P$34*($B178+$I$38-1),IF(AND($L$37=0,$P$34=0),"",$L$37-1)),0,YEARFRAC(MAX($P$34*($B178+$I$38-1),IF(AND($L$37=0,$P$34=0),"",$L$37-1)),MIN(BT$38,$E178),$P$20))-SUM($BF178:BS178))</f>
        <v>0</v>
      </c>
      <c r="BU178" s="446">
        <f>IF($E178=0,0,IF(MIN(BU$38,$E178)&lt;MAX($P$34*($B178+$I$38-1),IF(AND($L$37=0,$P$34=0),"",$L$37-1)),0,YEARFRAC(MAX($P$34*($B178+$I$38-1),IF(AND($L$37=0,$P$34=0),"",$L$37-1)),MIN(BU$38,$E178),$P$20))-SUM($BF178:BT178))</f>
        <v>0</v>
      </c>
      <c r="BV178" s="446">
        <f>IF($E178=0,0,IF(MIN(BV$38,$E178)&lt;MAX($P$34*($B178+$I$38-1),IF(AND($L$37=0,$P$34=0),"",$L$37-1)),0,YEARFRAC(MAX($P$34*($B178+$I$38-1),IF(AND($L$37=0,$P$34=0),"",$L$37-1)),MIN(BV$38,$E178),$P$20))-SUM($BF178:BU178))</f>
        <v>0</v>
      </c>
      <c r="BW178" s="446">
        <f>IF($E178=0,0,IF(MIN(BW$38,$E178)&lt;MAX($P$34*($B178+$I$38-1),IF(AND($L$37=0,$P$34=0),"",$L$37-1)),0,YEARFRAC(MAX($P$34*($B178+$I$38-1),IF(AND($L$37=0,$P$34=0),"",$L$37-1)),MIN(BW$38,$E178),$P$20))-SUM($BF178:BV178))</f>
        <v>0</v>
      </c>
      <c r="BX178" s="446">
        <f>IF($E178=0,0,IF(MIN(BX$38,$E178)&lt;MAX($P$34*($B178+$I$38-1),IF(AND($L$37=0,$P$34=0),"",$L$37-1)),0,YEARFRAC(MAX($P$34*($B178+$I$38-1),IF(AND($L$37=0,$P$34=0),"",$L$37-1)),MIN(BX$38,$E178),$P$20))-SUM($BF178:BW178))</f>
        <v>0</v>
      </c>
      <c r="BY178" s="446">
        <f>IF($E178=0,0,IF(MIN(BY$38,$E178)&lt;MAX($P$34*($B178+$I$38-1),IF(AND($L$37=0,$P$34=0),"",$L$37-1)),0,YEARFRAC(MAX($P$34*($B178+$I$38-1),IF(AND($L$37=0,$P$34=0),"",$L$37-1)),MIN(BY$38,$E178),$P$20))-SUM($BF178:BX178))</f>
        <v>0</v>
      </c>
      <c r="BZ178" s="446">
        <f>IF($E178=0,0,IF(MIN(BZ$38,$E178)&lt;MAX($P$34*($B178+$I$38-1),IF(AND($L$37=0,$P$34=0),"",$L$37-1)),0,YEARFRAC(MAX($P$34*($B178+$I$38-1),IF(AND($L$37=0,$P$34=0),"",$L$37-1)),MIN(BZ$38,$E178),$P$20))-SUM($BF178:BY178))</f>
        <v>0</v>
      </c>
      <c r="CA178" s="446">
        <f>IF($E178=0,0,IF(MIN(CA$38,$E178)&lt;MAX($P$34*($B178+$I$38-1),IF(AND($L$37=0,$P$34=0),"",$L$37-1)),0,YEARFRAC(MAX($P$34*($B178+$I$38-1),IF(AND($L$37=0,$P$34=0),"",$L$37-1)),MIN(CA$38,$E178),$P$20))-SUM($BF178:BZ178))</f>
        <v>0</v>
      </c>
      <c r="CB178" s="446">
        <f>IF($E178=0,0,IF(MIN(CB$38,$E178)&lt;MAX($P$34*($B178+$I$38-1),IF(AND($L$37=0,$P$34=0),"",$L$37-1)),0,YEARFRAC(MAX($P$34*($B178+$I$38-1),IF(AND($L$37=0,$P$34=0),"",$L$37-1)),MIN(CB$38,$E178),$P$20))-SUM($BF178:CA178))</f>
        <v>0</v>
      </c>
      <c r="CC178" s="446">
        <f>IF($E178=0,0,IF(MIN(CC$38,$E178)&lt;MAX($P$34*($B178+$I$38-1),IF(AND($L$37=0,$P$34=0),"",$L$37-1)),0,YEARFRAC(MAX($P$34*($B178+$I$38-1),IF(AND($L$37=0,$P$34=0),"",$L$37-1)),MIN(CC$38,$E178),$P$20))-SUM($BF178:CB178))</f>
        <v>0</v>
      </c>
      <c r="CD178" s="446">
        <f>IF($E178=0,0,IF(MIN(CD$38,$E178)&lt;MAX($P$34*($B178+$I$38-1),IF(AND($L$37=0,$P$34=0),"",$L$37-1)),0,YEARFRAC(MAX($P$34*($B178+$I$38-1),IF(AND($L$37=0,$P$34=0),"",$L$37-1)),MIN(CD$38,$E178),$P$20))-SUM($BF178:CC178))</f>
        <v>0</v>
      </c>
      <c r="CE178" s="446">
        <f>IF($E178=0,0,IF(MIN(CE$38,$E178)&lt;MAX($P$34*($B178+$I$38-1),IF(AND($L$37=0,$P$34=0),"",$L$37-1)),0,YEARFRAC(MAX($P$34*($B178+$I$38-1),IF(AND($L$37=0,$P$34=0),"",$L$37-1)),MIN(CE$38,$E178),$P$20))-SUM($BF178:CD178))</f>
        <v>0</v>
      </c>
      <c r="CF178" s="446">
        <f>IF($E178=0,0,IF(MIN(CF$38,$E178)&lt;MAX($P$34*($B178+$I$38-1),IF(AND($L$37=0,$P$34=0),"",$L$37-1)),0,YEARFRAC(MAX($P$34*($B178+$I$38-1),IF(AND($L$37=0,$P$34=0),"",$L$37-1)),MIN(CF$38,$E178),$P$20))-SUM($BF178:CE178))</f>
        <v>0</v>
      </c>
      <c r="CG178" s="446">
        <f>IF($E178=0,0,IF(MIN(CG$38,$E178)&lt;MAX($P$34*($B178+$I$38-1),IF(AND($L$37=0,$P$34=0),"",$L$37-1)),0,YEARFRAC(MAX($P$34*($B178+$I$38-1),IF(AND($L$37=0,$P$34=0),"",$L$37-1)),MIN(CG$38,$E178),$P$20))-SUM($BF178:CF178))</f>
        <v>0</v>
      </c>
      <c r="CH178" s="446">
        <f>IF($E178=0,0,IF(MIN(CH$38,$E178)&lt;MAX($P$34*($B178+$I$38-1),IF(AND($L$37=0,$P$34=0),"",$L$37-1)),0,YEARFRAC(MAX($P$34*($B178+$I$38-1),IF(AND($L$37=0,$P$34=0),"",$L$37-1)),MIN(CH$38,$E178),$P$20))-SUM($BF178:CG178))</f>
        <v>0</v>
      </c>
      <c r="CI178" s="446">
        <f>IF($E178=0,0,IF(MIN(CI$38,$E178)&lt;MAX($P$34*($B178+$I$38-1),IF(AND($L$37=0,$P$34=0),"",$L$37-1)),0,YEARFRAC(MAX($P$34*($B178+$I$38-1),IF(AND($L$37=0,$P$34=0),"",$L$37-1)),MIN(CI$38,$E178),$P$20))-SUM($BF178:CH178))</f>
        <v>0</v>
      </c>
      <c r="CJ178" s="446">
        <f>IF($E178=0,0,IF(MIN(CJ$38,$E178)&lt;MAX($P$34*($B178+$I$38-1),IF(AND($L$37=0,$P$34=0),"",$L$37-1)),0,YEARFRAC(MAX($P$34*($B178+$I$38-1),IF(AND($L$37=0,$P$34=0),"",$L$37-1)),MIN(CJ$38,$E178),$P$20))-SUM($BF178:CI178))</f>
        <v>0</v>
      </c>
      <c r="CK178" s="446">
        <f>IF($E178=0,0,IF(MIN(CK$38,$E178)&lt;MAX($P$34*($B178+$I$38-1),IF(AND($L$37=0,$P$34=0),"",$L$37-1)),0,YEARFRAC(MAX($P$34*($B178+$I$38-1),IF(AND($L$37=0,$P$34=0),"",$L$37-1)),MIN(CK$38,$E178),$P$20))-SUM($BF178:CJ178))</f>
        <v>0</v>
      </c>
      <c r="CL178" s="446">
        <f>IF($E178=0,0,IF(MIN(CL$38,$E178)&lt;MAX($P$34*($B178+$I$38-1),IF(AND($L$37=0,$P$34=0),"",$L$37-1)),0,YEARFRAC(MAX($P$34*($B178+$I$38-1),IF(AND($L$37=0,$P$34=0),"",$L$37-1)),MIN(CL$38,$E178),$P$20))-SUM($BF178:CK178))</f>
        <v>0</v>
      </c>
      <c r="CM178" s="446">
        <f>IF($E178=0,0,IF(MIN(CM$38,$E178)&lt;MAX($P$34*($B178+$I$38-1),IF(AND($L$37=0,$P$34=0),"",$L$37-1)),0,YEARFRAC(MAX($P$34*($B178+$I$38-1),IF(AND($L$37=0,$P$34=0),"",$L$37-1)),MIN(CM$38,$E178),$P$20))-SUM($BF178:CL178))</f>
        <v>0</v>
      </c>
      <c r="CN178" s="446">
        <f>IF($E178=0,0,IF(MIN(CN$38,$E178)&lt;MAX($P$34*($B178+$I$38-1),IF(AND($L$37=0,$P$34=0),"",$L$37-1)),0,YEARFRAC(MAX($P$34*($B178+$I$38-1),IF(AND($L$37=0,$P$34=0),"",$L$37-1)),MIN(CN$38,$E178),$P$20))-SUM($BF178:CM178))</f>
        <v>0</v>
      </c>
      <c r="CO178" s="446">
        <f>IF($E178=0,0,IF(MIN(CO$38,$E178)&lt;MAX($P$34*($B178+$I$38-1),IF(AND($L$37=0,$P$34=0),"",$L$37-1)),0,YEARFRAC(MAX($P$34*($B178+$I$38-1),IF(AND($L$37=0,$P$34=0),"",$L$37-1)),MIN(CO$38,$E178),$P$20))-SUM($BF178:CN178))</f>
        <v>0</v>
      </c>
      <c r="CP178" s="446">
        <f>IF($E178=0,0,IF(MIN(CP$38,$E178)&lt;MAX($P$34*($B178+$I$38-1),IF(AND($L$37=0,$P$34=0),"",$L$37-1)),0,YEARFRAC(MAX($P$34*($B178+$I$38-1),IF(AND($L$37=0,$P$34=0),"",$L$37-1)),MIN(CP$38,$E178),$P$20))-SUM($BF178:CO178))</f>
        <v>0</v>
      </c>
      <c r="CQ178" s="446">
        <f>IF($E178=0,0,IF(MIN(CQ$38,$E178)&lt;MAX($P$34*($B178+$I$38-1),IF(AND($L$37=0,$P$34=0),"",$L$37-1)),0,YEARFRAC(MAX($P$34*($B178+$I$38-1),IF(AND($L$37=0,$P$34=0),"",$L$37-1)),MIN(CQ$38,$E178),$P$20))-SUM($BF178:CP178))</f>
        <v>0</v>
      </c>
    </row>
    <row r="179" spans="1:95" s="446" customFormat="1" ht="11.25" hidden="1" customHeight="1" x14ac:dyDescent="0.2">
      <c r="A179" s="152"/>
      <c r="B179" s="153" t="str">
        <f t="shared" si="37"/>
        <v/>
      </c>
      <c r="C179" s="29" t="str">
        <f>IF(B179="","",IF($L$35="SELIC - TRIBUTOS",VLOOKUP(DATE(YEAR($D$19),MONTH($D$19)-1,1),ÍNDICES!$A:$DE,HLOOKUP($BL$25,ÍNDICES!$B$3:$T$4,2)+11)-VLOOKUP(B179,ÍNDICES!$A:$DE,HLOOKUP($BL$25,ÍNDICES!$B$3:$T$4,2)+11)+1%,IF(C$38=$W$26,$J$35,IF(ISERROR(IF(B179&gt;$D$19,1,VLOOKUP(DATE(YEAR(B179),MONTH(B179)+IF($C$35=$S$23,1,0),1),ÍNDICES!$A:$DE,$Z$35+1))),"",IF(B179&gt;$D$19,1,VLOOKUP(DATE(YEAR(B179),MONTH(B179)+IF($C$35=$S$23,1,0),1),ÍNDICES!$A:$DE,$Z$35+1))))))</f>
        <v/>
      </c>
      <c r="D179" s="154" t="str">
        <f>IF(ISERROR(IF(OR($D$38=$Y$27,$B179=""),"",VLOOKUP(B179,ÍNDICES!A:DE,AF$35+1))),"",IF(OR($D$38=$Y$27,$B179=""),"",VLOOKUP(B179,ÍNDICES!A:DE,AF$35+1)))</f>
        <v/>
      </c>
      <c r="E179" s="153"/>
      <c r="F179" s="29" t="str">
        <f>IF(E179="","",IF($L$35="SELIC - TRIBUTOS",VLOOKUP(DATE(YEAR($D$19),MONTH($D$19)-1,1),ÍNDICES!$A:$DE,HLOOKUP($BL$25,ÍNDICES!$B$3:$T$4,2)+11)-VLOOKUP(E179,ÍNDICES!$A:$DE,HLOOKUP($BL$25,ÍNDICES!$B$3:$T$4,2)+11)+1%,IF(F$38=$W$26,$J$35,IF(ISERROR(IF(E179&gt;$D$19,1,VLOOKUP(DATE(YEAR(E179),MONTH(E179)+IF($C$35=$S$23,1,0),1),ÍNDICES!$A:$DE,$Z$35+1))),"",IF(E179&gt;$D$19,1,VLOOKUP(DATE(YEAR(E179),MONTH(E179)+IF($C$35=$S$23,1,0),1),ÍNDICES!$A:$DE,$Z$35+1))))))</f>
        <v/>
      </c>
      <c r="G179" s="155"/>
      <c r="H179" s="156" t="str">
        <f t="shared" si="33"/>
        <v/>
      </c>
      <c r="I179" s="29" t="str">
        <f t="shared" si="27"/>
        <v/>
      </c>
      <c r="J179" s="5">
        <f t="shared" si="28"/>
        <v>0</v>
      </c>
      <c r="K179" s="20">
        <f t="shared" ca="1" si="29"/>
        <v>0</v>
      </c>
      <c r="L179" s="5">
        <f t="shared" ca="1" si="30"/>
        <v>0</v>
      </c>
      <c r="M179" s="64">
        <f t="shared" si="34"/>
        <v>0</v>
      </c>
      <c r="N179" s="61">
        <f t="shared" ca="1" si="35"/>
        <v>0</v>
      </c>
      <c r="O179" s="5">
        <f t="shared" ca="1" si="36"/>
        <v>0</v>
      </c>
      <c r="P179" s="446" t="e">
        <f t="shared" si="31"/>
        <v>#VALUE!</v>
      </c>
      <c r="Q179" s="446" t="e">
        <f>IF(OR($B179="",MIN(Q$38,$D$19)&lt;MAX($P$34*($B179+IF($R$17="Distrato",$I$38-1,0)),IF(AND($L$37=0,$P$34=0),"",$L$37-1),IF($R$17="Distrato",$E179,0))),0,YEARFRAC(MAX($P$34*($B179+IF($R$17="Distrato",$I$38-1,0)),IF(AND($L$37=0,$P$34=0),"",$L$37-1),IF($R$17="Distrato",$E179,0)),MIN(Q$38,$D$19),$P$20))-SUM($P179:P179)</f>
        <v>#VALUE!</v>
      </c>
      <c r="R179" s="446" t="e">
        <f>IF(OR($B179="",MIN(R$38,$D$19)&lt;MAX($P$34*($B179+IF($R$17="Distrato",$I$38-1,0)),IF(AND($L$37=0,$P$34=0),"",$L$37-1),IF($R$17="Distrato",$E179,0))),0,YEARFRAC(MAX($P$34*($B179+IF($R$17="Distrato",$I$38-1,0)),IF(AND($L$37=0,$P$34=0),"",$L$37-1),IF($R$17="Distrato",$E179,0)),MIN(R$38,$D$19),$P$20))-SUM($P179:Q179)</f>
        <v>#VALUE!</v>
      </c>
      <c r="S179" s="446" t="e">
        <f>IF(OR($B179="",MIN(S$38,$D$19)&lt;MAX($P$34*($B179+IF($R$17="Distrato",$I$38-1,0)),IF(AND($L$37=0,$P$34=0),"",$L$37-1),IF($R$17="Distrato",$E179,0))),0,YEARFRAC(MAX($P$34*($B179+IF($R$17="Distrato",$I$38-1,0)),IF(AND($L$37=0,$P$34=0),"",$L$37-1),IF($R$17="Distrato",$E179,0)),MIN(S$38,$D$19),$P$20))-SUM($P179:R179)</f>
        <v>#VALUE!</v>
      </c>
      <c r="T179" s="446" t="e">
        <f>IF(OR($B179="",MIN(T$38,$D$19)&lt;MAX($P$34*($B179+IF($R$17="Distrato",$I$38-1,0)),IF(AND($L$37=0,$P$34=0),"",$L$37-1),IF($R$17="Distrato",$E179,0))),0,YEARFRAC(MAX($P$34*($B179+IF($R$17="Distrato",$I$38-1,0)),IF(AND($L$37=0,$P$34=0),"",$L$37-1),IF($R$17="Distrato",$E179,0)),MIN(T$38,$D$19),$P$20))-SUM($P179:S179)</f>
        <v>#VALUE!</v>
      </c>
      <c r="U179" s="446" t="e">
        <f>IF(OR($B179="",MIN(U$38,$D$19)&lt;MAX($P$34*($B179+IF($R$17="Distrato",$I$38-1,0)),IF(AND($L$37=0,$P$34=0),"",$L$37-1),IF($R$17="Distrato",$E179,0))),0,YEARFRAC(MAX($P$34*($B179+IF($R$17="Distrato",$I$38-1,0)),IF(AND($L$37=0,$P$34=0),"",$L$37-1),IF($R$17="Distrato",$E179,0)),MIN(U$38,$D$19),$P$20))-SUM($P179:T179)</f>
        <v>#VALUE!</v>
      </c>
      <c r="V179" s="446" t="e">
        <f>IF(OR($B179="",MIN(V$38,$D$19)&lt;MAX($P$34*($B179+IF($R$17="Distrato",$I$38-1,0)),IF(AND($L$37=0,$P$34=0),"",$L$37-1),IF($R$17="Distrato",$E179,0))),0,YEARFRAC(MAX($P$34*($B179+IF($R$17="Distrato",$I$38-1,0)),IF(AND($L$37=0,$P$34=0),"",$L$37-1),IF($R$17="Distrato",$E179,0)),MIN(V$38,$D$19),$P$20))-SUM($P179:U179)</f>
        <v>#VALUE!</v>
      </c>
      <c r="W179" s="446" t="e">
        <f>IF(OR($B179="",MIN(W$38,$D$19)&lt;MAX($P$34*($B179+IF($R$17="Distrato",$I$38-1,0)),IF(AND($L$37=0,$P$34=0),"",$L$37-1),IF($R$17="Distrato",$E179,0))),0,YEARFRAC(MAX($P$34*($B179+IF($R$17="Distrato",$I$38-1,0)),IF(AND($L$37=0,$P$34=0),"",$L$37-1),IF($R$17="Distrato",$E179,0)),MIN(W$38,$D$19),$P$20))-SUM($P179:V179)</f>
        <v>#VALUE!</v>
      </c>
      <c r="X179" s="446" t="e">
        <f>IF(OR($B179="",MIN(X$38,$D$19)&lt;MAX($P$34*($B179+IF($R$17="Distrato",$I$38-1,0)),IF(AND($L$37=0,$P$34=0),"",$L$37-1),IF($R$17="Distrato",$E179,0))),0,YEARFRAC(MAX($P$34*($B179+IF($R$17="Distrato",$I$38-1,0)),IF(AND($L$37=0,$P$34=0),"",$L$37-1),IF($R$17="Distrato",$E179,0)),MIN(X$38,$D$19),$P$20))-SUM($P179:W179)</f>
        <v>#VALUE!</v>
      </c>
      <c r="Y179" s="446" t="e">
        <f>IF(OR($B179="",MIN(Y$38,$D$19)&lt;MAX($P$34*($B179+IF($R$17="Distrato",$I$38-1,0)),IF(AND($L$37=0,$P$34=0),"",$L$37-1),IF($R$17="Distrato",$E179,0))),0,YEARFRAC(MAX($P$34*($B179+IF($R$17="Distrato",$I$38-1,0)),IF(AND($L$37=0,$P$34=0),"",$L$37-1),IF($R$17="Distrato",$E179,0)),MIN(Y$38,$D$19),$P$20))-SUM($P179:X179)</f>
        <v>#VALUE!</v>
      </c>
      <c r="Z179" s="446" t="e">
        <f>IF(OR($B179="",MIN(Z$38,$D$19)&lt;MAX($P$34*($B179+IF($R$17="Distrato",$I$38-1,0)),IF(AND($L$37=0,$P$34=0),"",$L$37-1),IF($R$17="Distrato",$E179,0))),0,YEARFRAC(MAX($P$34*($B179+IF($R$17="Distrato",$I$38-1,0)),IF(AND($L$37=0,$P$34=0),"",$L$37-1),IF($R$17="Distrato",$E179,0)),MIN(Z$38,$D$19),$P$20))-SUM($P179:Y179)</f>
        <v>#VALUE!</v>
      </c>
      <c r="AA179" s="446" t="e">
        <f>IF(OR($B179="",MIN(AA$38,$D$19)&lt;MAX($P$34*($B179+IF($R$17="Distrato",$I$38-1,0)),IF(AND($L$37=0,$P$34=0),"",$L$37-1),IF($R$17="Distrato",$E179,0))),0,YEARFRAC(MAX($P$34*($B179+IF($R$17="Distrato",$I$38-1,0)),IF(AND($L$37=0,$P$34=0),"",$L$37-1),IF($R$17="Distrato",$E179,0)),MIN(AA$38,$D$19),$P$20))-SUM($P179:Z179)</f>
        <v>#VALUE!</v>
      </c>
      <c r="AB179" s="446" t="e">
        <f>IF(OR($B179="",MIN(AB$38,$D$19)&lt;MAX($P$34*($B179+IF($R$17="Distrato",$I$38-1,0)),IF(AND($L$37=0,$P$34=0),"",$L$37-1),IF($R$17="Distrato",$E179,0))),0,YEARFRAC(MAX($P$34*($B179+IF($R$17="Distrato",$I$38-1,0)),IF(AND($L$37=0,$P$34=0),"",$L$37-1),IF($R$17="Distrato",$E179,0)),MIN(AB$38,$D$19),$P$20))-SUM($P179:AA179)</f>
        <v>#VALUE!</v>
      </c>
      <c r="AC179" s="446" t="e">
        <f>IF(OR($B179="",MIN(AC$38,$D$19)&lt;MAX($P$34*($B179+IF($R$17="Distrato",$I$38-1,0)),IF(AND($L$37=0,$P$34=0),"",$L$37-1),IF($R$17="Distrato",$E179,0))),0,YEARFRAC(MAX($P$34*($B179+IF($R$17="Distrato",$I$38-1,0)),IF(AND($L$37=0,$P$34=0),"",$L$37-1),IF($R$17="Distrato",$E179,0)),MIN(AC$38,$D$19),$P$20))-SUM($P179:AB179)</f>
        <v>#VALUE!</v>
      </c>
      <c r="AD179" s="446" t="e">
        <f>IF(OR($B179="",MIN(AD$38,$D$19)&lt;MAX($P$34*($B179+IF($R$17="Distrato",$I$38-1,0)),IF(AND($L$37=0,$P$34=0),"",$L$37-1),IF($R$17="Distrato",$E179,0))),0,YEARFRAC(MAX($P$34*($B179+IF($R$17="Distrato",$I$38-1,0)),IF(AND($L$37=0,$P$34=0),"",$L$37-1),IF($R$17="Distrato",$E179,0)),MIN(AD$38,$D$19),$P$20))-SUM($P179:AC179)</f>
        <v>#VALUE!</v>
      </c>
      <c r="AE179" s="446" t="e">
        <f>IF(OR($B179="",MIN(AE$38,$D$19)&lt;MAX($P$34*($B179+IF($R$17="Distrato",$I$38-1,0)),IF(AND($L$37=0,$P$34=0),"",$L$37-1),IF($R$17="Distrato",$E179,0))),0,YEARFRAC(MAX($P$34*($B179+IF($R$17="Distrato",$I$38-1,0)),IF(AND($L$37=0,$P$34=0),"",$L$37-1),IF($R$17="Distrato",$E179,0)),MIN(AE$38,$D$19),$P$20))-SUM($P179:AD179)</f>
        <v>#VALUE!</v>
      </c>
      <c r="AF179" s="446" t="e">
        <f>IF(OR($B179="",MIN(AF$38,$D$19)&lt;MAX($P$34*($B179+IF($R$17="Distrato",$I$38-1,0)),IF(AND($L$37=0,$P$34=0),"",$L$37-1),IF($R$17="Distrato",$E179,0))),0,YEARFRAC(MAX($P$34*($B179+IF($R$17="Distrato",$I$38-1,0)),IF(AND($L$37=0,$P$34=0),"",$L$37-1),IF($R$17="Distrato",$E179,0)),MIN(AF$38,$D$19),$P$20))-SUM($P179:AE179)</f>
        <v>#VALUE!</v>
      </c>
      <c r="AG179" s="446" t="e">
        <f>IF(OR($B179="",MIN(AG$38,$D$19)&lt;MAX($P$34*($B179+IF($R$17="Distrato",$I$38-1,0)),IF(AND($L$37=0,$P$34=0),"",$L$37-1),IF($R$17="Distrato",$E179,0))),0,YEARFRAC(MAX($P$34*($B179+IF($R$17="Distrato",$I$38-1,0)),IF(AND($L$37=0,$P$34=0),"",$L$37-1),IF($R$17="Distrato",$E179,0)),MIN(AG$38,$D$19),$P$20))-SUM($P179:AF179)</f>
        <v>#VALUE!</v>
      </c>
      <c r="AH179" s="446" t="e">
        <f>IF(OR($B179="",MIN(AH$38,$D$19)&lt;MAX($P$34*($B179+IF($R$17="Distrato",$I$38-1,0)),IF(AND($L$37=0,$P$34=0),"",$L$37-1),IF($R$17="Distrato",$E179,0))),0,YEARFRAC(MAX($P$34*($B179+IF($R$17="Distrato",$I$38-1,0)),IF(AND($L$37=0,$P$34=0),"",$L$37-1),IF($R$17="Distrato",$E179,0)),MIN(AH$38,$D$19),$P$20))-SUM($P179:AG179)</f>
        <v>#VALUE!</v>
      </c>
      <c r="AI179" s="446" t="e">
        <f>IF(OR($B179="",MIN(AI$38,$D$19)&lt;MAX($P$34*($B179+IF($R$17="Distrato",$I$38-1,0)),IF(AND($L$37=0,$P$34=0),"",$L$37-1),IF($R$17="Distrato",$E179,0))),0,YEARFRAC(MAX($P$34*($B179+IF($R$17="Distrato",$I$38-1,0)),IF(AND($L$37=0,$P$34=0),"",$L$37-1),IF($R$17="Distrato",$E179,0)),MIN(AI$38,$D$19),$P$20))-SUM($P179:AH179)</f>
        <v>#VALUE!</v>
      </c>
      <c r="AJ179" s="446" t="e">
        <f>IF(OR($B179="",MIN(AJ$38,$D$19)&lt;MAX($P$34*($B179+IF($R$17="Distrato",$I$38-1,0)),IF(AND($L$37=0,$P$34=0),"",$L$37-1),IF($R$17="Distrato",$E179,0))),0,YEARFRAC(MAX($P$34*($B179+IF($R$17="Distrato",$I$38-1,0)),IF(AND($L$37=0,$P$34=0),"",$L$37-1),IF($R$17="Distrato",$E179,0)),MIN(AJ$38,$D$19),$P$20))-SUM($P179:AI179)</f>
        <v>#VALUE!</v>
      </c>
      <c r="AK179" s="446" t="e">
        <f>IF(OR($B179="",MIN(AK$38,$D$19)&lt;MAX($P$34*($B179+IF($R$17="Distrato",$I$38-1,0)),IF(AND($L$37=0,$P$34=0),"",$L$37-1),IF($R$17="Distrato",$E179,0))),0,YEARFRAC(MAX($P$34*($B179+IF($R$17="Distrato",$I$38-1,0)),IF(AND($L$37=0,$P$34=0),"",$L$37-1),IF($R$17="Distrato",$E179,0)),MIN(AK$38,$D$19),$P$20))-SUM($P179:AJ179)</f>
        <v>#VALUE!</v>
      </c>
      <c r="AL179" s="446" t="e">
        <f>IF(OR($B179="",MIN(AL$38,$D$19)&lt;MAX($P$34*($B179+IF($R$17="Distrato",$I$38-1,0)),IF(AND($L$37=0,$P$34=0),"",$L$37-1),IF($R$17="Distrato",$E179,0))),0,YEARFRAC(MAX($P$34*($B179+IF($R$17="Distrato",$I$38-1,0)),IF(AND($L$37=0,$P$34=0),"",$L$37-1),IF($R$17="Distrato",$E179,0)),MIN(AL$38,$D$19),$P$20))-SUM($P179:AK179)</f>
        <v>#VALUE!</v>
      </c>
      <c r="AM179" s="446" t="e">
        <f>IF(OR($B179="",MIN(AM$38,$D$19)&lt;MAX($P$34*($B179+IF($R$17="Distrato",$I$38-1,0)),IF(AND($L$37=0,$P$34=0),"",$L$37-1),IF($R$17="Distrato",$E179,0))),0,YEARFRAC(MAX($P$34*($B179+IF($R$17="Distrato",$I$38-1,0)),IF(AND($L$37=0,$P$34=0),"",$L$37-1),IF($R$17="Distrato",$E179,0)),MIN(AM$38,$D$19),$P$20))-SUM($P179:AL179)</f>
        <v>#VALUE!</v>
      </c>
      <c r="AN179" s="446" t="e">
        <f>IF(OR($B179="",MIN(AN$38,$D$19)&lt;MAX($P$34*($B179+IF($R$17="Distrato",$I$38-1,0)),IF(AND($L$37=0,$P$34=0),"",$L$37-1),IF($R$17="Distrato",$E179,0))),0,YEARFRAC(MAX($P$34*($B179+IF($R$17="Distrato",$I$38-1,0)),IF(AND($L$37=0,$P$34=0),"",$L$37-1),IF($R$17="Distrato",$E179,0)),MIN(AN$38,$D$19),$P$20))-SUM($P179:AM179)</f>
        <v>#VALUE!</v>
      </c>
      <c r="AO179" s="446" t="e">
        <f>IF(OR($B179="",MIN(AO$38,$D$19)&lt;MAX($P$34*($B179+IF($R$17="Distrato",$I$38-1,0)),IF(AND($L$37=0,$P$34=0),"",$L$37-1),IF($R$17="Distrato",$E179,0))),0,YEARFRAC(MAX($P$34*($B179+IF($R$17="Distrato",$I$38-1,0)),IF(AND($L$37=0,$P$34=0),"",$L$37-1),IF($R$17="Distrato",$E179,0)),MIN(AO$38,$D$19),$P$20))-SUM($P179:AN179)</f>
        <v>#VALUE!</v>
      </c>
      <c r="AP179" s="446" t="e">
        <f>IF(OR($B179="",MIN(AP$38,$D$19)&lt;MAX($P$34*($B179+IF($R$17="Distrato",$I$38-1,0)),IF(AND($L$37=0,$P$34=0),"",$L$37-1),IF($R$17="Distrato",$E179,0))),0,YEARFRAC(MAX($P$34*($B179+IF($R$17="Distrato",$I$38-1,0)),IF(AND($L$37=0,$P$34=0),"",$L$37-1),IF($R$17="Distrato",$E179,0)),MIN(AP$38,$D$19),$P$20))-SUM($P179:AO179)</f>
        <v>#VALUE!</v>
      </c>
      <c r="AQ179" s="446" t="e">
        <f>IF(OR($B179="",MIN(AQ$38,$D$19)&lt;MAX($P$34*($B179+IF($R$17="Distrato",$I$38-1,0)),IF(AND($L$37=0,$P$34=0),"",$L$37-1),IF($R$17="Distrato",$E179,0))),0,YEARFRAC(MAX($P$34*($B179+IF($R$17="Distrato",$I$38-1,0)),IF(AND($L$37=0,$P$34=0),"",$L$37-1),IF($R$17="Distrato",$E179,0)),MIN(AQ$38,$D$19),$P$20))-SUM($P179:AP179)</f>
        <v>#VALUE!</v>
      </c>
      <c r="AR179" s="446" t="e">
        <f>IF(OR($B179="",MIN(AR$38,$D$19)&lt;MAX($P$34*($B179+IF($R$17="Distrato",$I$38-1,0)),IF(AND($L$37=0,$P$34=0),"",$L$37-1),IF($R$17="Distrato",$E179,0))),0,YEARFRAC(MAX($P$34*($B179+IF($R$17="Distrato",$I$38-1,0)),IF(AND($L$37=0,$P$34=0),"",$L$37-1),IF($R$17="Distrato",$E179,0)),MIN(AR$38,$D$19),$P$20))-SUM($P179:AQ179)</f>
        <v>#VALUE!</v>
      </c>
      <c r="AS179" s="446" t="e">
        <f>IF(OR($B179="",MIN(AS$38,$D$19)&lt;MAX($P$34*($B179+IF($R$17="Distrato",$I$38-1,0)),IF(AND($L$37=0,$P$34=0),"",$L$37-1),IF($R$17="Distrato",$E179,0))),0,YEARFRAC(MAX($P$34*($B179+IF($R$17="Distrato",$I$38-1,0)),IF(AND($L$37=0,$P$34=0),"",$L$37-1),IF($R$17="Distrato",$E179,0)),MIN(AS$38,$D$19),$P$20))-SUM($P179:AR179)</f>
        <v>#VALUE!</v>
      </c>
      <c r="AT179" s="446" t="e">
        <f>IF(OR($B179="",MIN(AT$38,$D$19)&lt;MAX($P$34*($B179+IF($R$17="Distrato",$I$38-1,0)),IF(AND($L$37=0,$P$34=0),"",$L$37-1),IF($R$17="Distrato",$E179,0))),0,YEARFRAC(MAX($P$34*($B179+IF($R$17="Distrato",$I$38-1,0)),IF(AND($L$37=0,$P$34=0),"",$L$37-1),IF($R$17="Distrato",$E179,0)),MIN(AT$38,$D$19),$P$20))-SUM($P179:AS179)</f>
        <v>#VALUE!</v>
      </c>
      <c r="AU179" s="446" t="e">
        <f>IF(OR($B179="",MIN(AU$38,$D$19)&lt;MAX($P$34*($B179+IF($R$17="Distrato",$I$38-1,0)),IF(AND($L$37=0,$P$34=0),"",$L$37-1),IF($R$17="Distrato",$E179,0))),0,YEARFRAC(MAX($P$34*($B179+IF($R$17="Distrato",$I$38-1,0)),IF(AND($L$37=0,$P$34=0),"",$L$37-1),IF($R$17="Distrato",$E179,0)),MIN(AU$38,$D$19),$P$20))-SUM($P179:AT179)</f>
        <v>#VALUE!</v>
      </c>
      <c r="AV179" s="446" t="e">
        <f>IF(OR($B179="",MIN(AV$38,$D$19)&lt;MAX($P$34*($B179+IF($R$17="Distrato",$I$38-1,0)),IF(AND($L$37=0,$P$34=0),"",$L$37-1),IF($R$17="Distrato",$E179,0))),0,YEARFRAC(MAX($P$34*($B179+IF($R$17="Distrato",$I$38-1,0)),IF(AND($L$37=0,$P$34=0),"",$L$37-1),IF($R$17="Distrato",$E179,0)),MIN(AV$38,$D$19),$P$20))-SUM($P179:AU179)</f>
        <v>#VALUE!</v>
      </c>
      <c r="AW179" s="446" t="e">
        <f>IF(OR($B179="",MIN(AW$38,$D$19)&lt;MAX($P$34*($B179+IF($R$17="Distrato",$I$38-1,0)),IF(AND($L$37=0,$P$34=0),"",$L$37-1),IF($R$17="Distrato",$E179,0))),0,YEARFRAC(MAX($P$34*($B179+IF($R$17="Distrato",$I$38-1,0)),IF(AND($L$37=0,$P$34=0),"",$L$37-1),IF($R$17="Distrato",$E179,0)),MIN(AW$38,$D$19),$P$20))-SUM($P179:AV179)</f>
        <v>#VALUE!</v>
      </c>
      <c r="AX179" s="446" t="e">
        <f>IF(OR($B179="",MIN(AX$38,$D$19)&lt;MAX($P$34*($B179+IF($R$17="Distrato",$I$38-1,0)),IF(AND($L$37=0,$P$34=0),"",$L$37-1),IF($R$17="Distrato",$E179,0))),0,YEARFRAC(MAX($P$34*($B179+IF($R$17="Distrato",$I$38-1,0)),IF(AND($L$37=0,$P$34=0),"",$L$37-1),IF($R$17="Distrato",$E179,0)),MIN(AX$38,$D$19),$P$20))-SUM($P179:AW179)</f>
        <v>#VALUE!</v>
      </c>
      <c r="AY179" s="446" t="e">
        <f>IF(OR($B179="",MIN(AY$38,$D$19)&lt;MAX($P$34*($B179+IF($R$17="Distrato",$I$38-1,0)),IF(AND($L$37=0,$P$34=0),"",$L$37-1),IF($R$17="Distrato",$E179,0))),0,YEARFRAC(MAX($P$34*($B179+IF($R$17="Distrato",$I$38-1,0)),IF(AND($L$37=0,$P$34=0),"",$L$37-1),IF($R$17="Distrato",$E179,0)),MIN(AY$38,$D$19),$P$20))-SUM($P179:AX179)</f>
        <v>#VALUE!</v>
      </c>
      <c r="AZ179" s="446" t="e">
        <f>IF(OR($B179="",MIN(AZ$38,$D$19)&lt;MAX($P$34*($B179+IF($R$17="Distrato",$I$38-1,0)),IF(AND($L$37=0,$P$34=0),"",$L$37-1),IF($R$17="Distrato",$E179,0))),0,YEARFRAC(MAX($P$34*($B179+IF($R$17="Distrato",$I$38-1,0)),IF(AND($L$37=0,$P$34=0),"",$L$37-1),IF($R$17="Distrato",$E179,0)),MIN(AZ$38,$D$19),$P$20))-SUM($P179:AY179)</f>
        <v>#VALUE!</v>
      </c>
      <c r="BA179" s="446" t="e">
        <f>IF(OR($B179="",MIN(BA$38,$D$19)&lt;MAX($P$34*($B179+IF($R$17="Distrato",$I$38-1,0)),IF(AND($L$37=0,$P$34=0),"",$L$37-1),IF($R$17="Distrato",$E179,0))),0,YEARFRAC(MAX($P$34*($B179+IF($R$17="Distrato",$I$38-1,0)),IF(AND($L$37=0,$P$34=0),"",$L$37-1),IF($R$17="Distrato",$E179,0)),MIN(BA$38,$D$19),$P$20))-SUM($P179:AZ179)</f>
        <v>#VALUE!</v>
      </c>
      <c r="BB179" s="447"/>
      <c r="BF179" s="446">
        <f t="shared" si="32"/>
        <v>0</v>
      </c>
      <c r="BG179" s="446">
        <f>IF($E179=0,0,IF(MIN(BG$38,$E179)&lt;MAX($P$34*($B179+$I$38-1),IF(AND($L$37=0,$P$34=0),"",$L$37-1)),0,YEARFRAC(MAX($P$34*($B179+$I$38-1),IF(AND($L$37=0,$P$34=0),"",$L$37-1)),MIN(BG$38,$E179),$P$20))-SUM($BF179:BF179))</f>
        <v>0</v>
      </c>
      <c r="BH179" s="446">
        <f>IF($E179=0,0,IF(MIN(BH$38,$E179)&lt;MAX($P$34*($B179+$I$38-1),IF(AND($L$37=0,$P$34=0),"",$L$37-1)),0,YEARFRAC(MAX($P$34*($B179+$I$38-1),IF(AND($L$37=0,$P$34=0),"",$L$37-1)),MIN(BH$38,$E179),$P$20))-SUM($BF179:BG179))</f>
        <v>0</v>
      </c>
      <c r="BI179" s="446">
        <f>IF($E179=0,0,IF(MIN(BI$38,$E179)&lt;MAX($P$34*($B179+$I$38-1),IF(AND($L$37=0,$P$34=0),"",$L$37-1)),0,YEARFRAC(MAX($P$34*($B179+$I$38-1),IF(AND($L$37=0,$P$34=0),"",$L$37-1)),MIN(BI$38,$E179),$P$20))-SUM($BF179:BH179))</f>
        <v>0</v>
      </c>
      <c r="BJ179" s="446">
        <f>IF($E179=0,0,IF(MIN(BJ$38,$E179)&lt;MAX($P$34*($B179+$I$38-1),IF(AND($L$37=0,$P$34=0),"",$L$37-1)),0,YEARFRAC(MAX($P$34*($B179+$I$38-1),IF(AND($L$37=0,$P$34=0),"",$L$37-1)),MIN(BJ$38,$E179),$P$20))-SUM($BF179:BI179))</f>
        <v>0</v>
      </c>
      <c r="BK179" s="446">
        <f>IF($E179=0,0,IF(MIN(BK$38,$E179)&lt;MAX($P$34*($B179+$I$38-1),IF(AND($L$37=0,$P$34=0),"",$L$37-1)),0,YEARFRAC(MAX($P$34*($B179+$I$38-1),IF(AND($L$37=0,$P$34=0),"",$L$37-1)),MIN(BK$38,$E179),$P$20))-SUM($BF179:BJ179))</f>
        <v>0</v>
      </c>
      <c r="BL179" s="446">
        <f>IF($E179=0,0,IF(MIN(BL$38,$E179)&lt;MAX($P$34*($B179+$I$38-1),IF(AND($L$37=0,$P$34=0),"",$L$37-1)),0,YEARFRAC(MAX($P$34*($B179+$I$38-1),IF(AND($L$37=0,$P$34=0),"",$L$37-1)),MIN(BL$38,$E179),$P$20))-SUM($BF179:BK179))</f>
        <v>0</v>
      </c>
      <c r="BM179" s="446">
        <f>IF($E179=0,0,IF(MIN(BM$38,$E179)&lt;MAX($P$34*($B179+$I$38-1),IF(AND($L$37=0,$P$34=0),"",$L$37-1)),0,YEARFRAC(MAX($P$34*($B179+$I$38-1),IF(AND($L$37=0,$P$34=0),"",$L$37-1)),MIN(BM$38,$E179),$P$20))-SUM($BF179:BL179))</f>
        <v>0</v>
      </c>
      <c r="BN179" s="446">
        <f>IF($E179=0,0,IF(MIN(BN$38,$E179)&lt;MAX($P$34*($B179+$I$38-1),IF(AND($L$37=0,$P$34=0),"",$L$37-1)),0,YEARFRAC(MAX($P$34*($B179+$I$38-1),IF(AND($L$37=0,$P$34=0),"",$L$37-1)),MIN(BN$38,$E179),$P$20))-SUM($BF179:BM179))</f>
        <v>0</v>
      </c>
      <c r="BO179" s="446">
        <f>IF($E179=0,0,IF(MIN(BO$38,$E179)&lt;MAX($P$34*($B179+$I$38-1),IF(AND($L$37=0,$P$34=0),"",$L$37-1)),0,YEARFRAC(MAX($P$34*($B179+$I$38-1),IF(AND($L$37=0,$P$34=0),"",$L$37-1)),MIN(BO$38,$E179),$P$20))-SUM($BF179:BN179))</f>
        <v>0</v>
      </c>
      <c r="BP179" s="446">
        <f>IF($E179=0,0,IF(MIN(BP$38,$E179)&lt;MAX($P$34*($B179+$I$38-1),IF(AND($L$37=0,$P$34=0),"",$L$37-1)),0,YEARFRAC(MAX($P$34*($B179+$I$38-1),IF(AND($L$37=0,$P$34=0),"",$L$37-1)),MIN(BP$38,$E179),$P$20))-SUM($BF179:BO179))</f>
        <v>0</v>
      </c>
      <c r="BQ179" s="446">
        <f>IF($E179=0,0,IF(MIN(BQ$38,$E179)&lt;MAX($P$34*($B179+$I$38-1),IF(AND($L$37=0,$P$34=0),"",$L$37-1)),0,YEARFRAC(MAX($P$34*($B179+$I$38-1),IF(AND($L$37=0,$P$34=0),"",$L$37-1)),MIN(BQ$38,$E179),$P$20))-SUM($BF179:BP179))</f>
        <v>0</v>
      </c>
      <c r="BR179" s="446">
        <f>IF($E179=0,0,IF(MIN(BR$38,$E179)&lt;MAX($P$34*($B179+$I$38-1),IF(AND($L$37=0,$P$34=0),"",$L$37-1)),0,YEARFRAC(MAX($P$34*($B179+$I$38-1),IF(AND($L$37=0,$P$34=0),"",$L$37-1)),MIN(BR$38,$E179),$P$20))-SUM($BF179:BQ179))</f>
        <v>0</v>
      </c>
      <c r="BS179" s="446">
        <f>IF($E179=0,0,IF(MIN(BS$38,$E179)&lt;MAX($P$34*($B179+$I$38-1),IF(AND($L$37=0,$P$34=0),"",$L$37-1)),0,YEARFRAC(MAX($P$34*($B179+$I$38-1),IF(AND($L$37=0,$P$34=0),"",$L$37-1)),MIN(BS$38,$E179),$P$20))-SUM($BF179:BR179))</f>
        <v>0</v>
      </c>
      <c r="BT179" s="446">
        <f>IF($E179=0,0,IF(MIN(BT$38,$E179)&lt;MAX($P$34*($B179+$I$38-1),IF(AND($L$37=0,$P$34=0),"",$L$37-1)),0,YEARFRAC(MAX($P$34*($B179+$I$38-1),IF(AND($L$37=0,$P$34=0),"",$L$37-1)),MIN(BT$38,$E179),$P$20))-SUM($BF179:BS179))</f>
        <v>0</v>
      </c>
      <c r="BU179" s="446">
        <f>IF($E179=0,0,IF(MIN(BU$38,$E179)&lt;MAX($P$34*($B179+$I$38-1),IF(AND($L$37=0,$P$34=0),"",$L$37-1)),0,YEARFRAC(MAX($P$34*($B179+$I$38-1),IF(AND($L$37=0,$P$34=0),"",$L$37-1)),MIN(BU$38,$E179),$P$20))-SUM($BF179:BT179))</f>
        <v>0</v>
      </c>
      <c r="BV179" s="446">
        <f>IF($E179=0,0,IF(MIN(BV$38,$E179)&lt;MAX($P$34*($B179+$I$38-1),IF(AND($L$37=0,$P$34=0),"",$L$37-1)),0,YEARFRAC(MAX($P$34*($B179+$I$38-1),IF(AND($L$37=0,$P$34=0),"",$L$37-1)),MIN(BV$38,$E179),$P$20))-SUM($BF179:BU179))</f>
        <v>0</v>
      </c>
      <c r="BW179" s="446">
        <f>IF($E179=0,0,IF(MIN(BW$38,$E179)&lt;MAX($P$34*($B179+$I$38-1),IF(AND($L$37=0,$P$34=0),"",$L$37-1)),0,YEARFRAC(MAX($P$34*($B179+$I$38-1),IF(AND($L$37=0,$P$34=0),"",$L$37-1)),MIN(BW$38,$E179),$P$20))-SUM($BF179:BV179))</f>
        <v>0</v>
      </c>
      <c r="BX179" s="446">
        <f>IF($E179=0,0,IF(MIN(BX$38,$E179)&lt;MAX($P$34*($B179+$I$38-1),IF(AND($L$37=0,$P$34=0),"",$L$37-1)),0,YEARFRAC(MAX($P$34*($B179+$I$38-1),IF(AND($L$37=0,$P$34=0),"",$L$37-1)),MIN(BX$38,$E179),$P$20))-SUM($BF179:BW179))</f>
        <v>0</v>
      </c>
      <c r="BY179" s="446">
        <f>IF($E179=0,0,IF(MIN(BY$38,$E179)&lt;MAX($P$34*($B179+$I$38-1),IF(AND($L$37=0,$P$34=0),"",$L$37-1)),0,YEARFRAC(MAX($P$34*($B179+$I$38-1),IF(AND($L$37=0,$P$34=0),"",$L$37-1)),MIN(BY$38,$E179),$P$20))-SUM($BF179:BX179))</f>
        <v>0</v>
      </c>
      <c r="BZ179" s="446">
        <f>IF($E179=0,0,IF(MIN(BZ$38,$E179)&lt;MAX($P$34*($B179+$I$38-1),IF(AND($L$37=0,$P$34=0),"",$L$37-1)),0,YEARFRAC(MAX($P$34*($B179+$I$38-1),IF(AND($L$37=0,$P$34=0),"",$L$37-1)),MIN(BZ$38,$E179),$P$20))-SUM($BF179:BY179))</f>
        <v>0</v>
      </c>
      <c r="CA179" s="446">
        <f>IF($E179=0,0,IF(MIN(CA$38,$E179)&lt;MAX($P$34*($B179+$I$38-1),IF(AND($L$37=0,$P$34=0),"",$L$37-1)),0,YEARFRAC(MAX($P$34*($B179+$I$38-1),IF(AND($L$37=0,$P$34=0),"",$L$37-1)),MIN(CA$38,$E179),$P$20))-SUM($BF179:BZ179))</f>
        <v>0</v>
      </c>
      <c r="CB179" s="446">
        <f>IF($E179=0,0,IF(MIN(CB$38,$E179)&lt;MAX($P$34*($B179+$I$38-1),IF(AND($L$37=0,$P$34=0),"",$L$37-1)),0,YEARFRAC(MAX($P$34*($B179+$I$38-1),IF(AND($L$37=0,$P$34=0),"",$L$37-1)),MIN(CB$38,$E179),$P$20))-SUM($BF179:CA179))</f>
        <v>0</v>
      </c>
      <c r="CC179" s="446">
        <f>IF($E179=0,0,IF(MIN(CC$38,$E179)&lt;MAX($P$34*($B179+$I$38-1),IF(AND($L$37=0,$P$34=0),"",$L$37-1)),0,YEARFRAC(MAX($P$34*($B179+$I$38-1),IF(AND($L$37=0,$P$34=0),"",$L$37-1)),MIN(CC$38,$E179),$P$20))-SUM($BF179:CB179))</f>
        <v>0</v>
      </c>
      <c r="CD179" s="446">
        <f>IF($E179=0,0,IF(MIN(CD$38,$E179)&lt;MAX($P$34*($B179+$I$38-1),IF(AND($L$37=0,$P$34=0),"",$L$37-1)),0,YEARFRAC(MAX($P$34*($B179+$I$38-1),IF(AND($L$37=0,$P$34=0),"",$L$37-1)),MIN(CD$38,$E179),$P$20))-SUM($BF179:CC179))</f>
        <v>0</v>
      </c>
      <c r="CE179" s="446">
        <f>IF($E179=0,0,IF(MIN(CE$38,$E179)&lt;MAX($P$34*($B179+$I$38-1),IF(AND($L$37=0,$P$34=0),"",$L$37-1)),0,YEARFRAC(MAX($P$34*($B179+$I$38-1),IF(AND($L$37=0,$P$34=0),"",$L$37-1)),MIN(CE$38,$E179),$P$20))-SUM($BF179:CD179))</f>
        <v>0</v>
      </c>
      <c r="CF179" s="446">
        <f>IF($E179=0,0,IF(MIN(CF$38,$E179)&lt;MAX($P$34*($B179+$I$38-1),IF(AND($L$37=0,$P$34=0),"",$L$37-1)),0,YEARFRAC(MAX($P$34*($B179+$I$38-1),IF(AND($L$37=0,$P$34=0),"",$L$37-1)),MIN(CF$38,$E179),$P$20))-SUM($BF179:CE179))</f>
        <v>0</v>
      </c>
      <c r="CG179" s="446">
        <f>IF($E179=0,0,IF(MIN(CG$38,$E179)&lt;MAX($P$34*($B179+$I$38-1),IF(AND($L$37=0,$P$34=0),"",$L$37-1)),0,YEARFRAC(MAX($P$34*($B179+$I$38-1),IF(AND($L$37=0,$P$34=0),"",$L$37-1)),MIN(CG$38,$E179),$P$20))-SUM($BF179:CF179))</f>
        <v>0</v>
      </c>
      <c r="CH179" s="446">
        <f>IF($E179=0,0,IF(MIN(CH$38,$E179)&lt;MAX($P$34*($B179+$I$38-1),IF(AND($L$37=0,$P$34=0),"",$L$37-1)),0,YEARFRAC(MAX($P$34*($B179+$I$38-1),IF(AND($L$37=0,$P$34=0),"",$L$37-1)),MIN(CH$38,$E179),$P$20))-SUM($BF179:CG179))</f>
        <v>0</v>
      </c>
      <c r="CI179" s="446">
        <f>IF($E179=0,0,IF(MIN(CI$38,$E179)&lt;MAX($P$34*($B179+$I$38-1),IF(AND($L$37=0,$P$34=0),"",$L$37-1)),0,YEARFRAC(MAX($P$34*($B179+$I$38-1),IF(AND($L$37=0,$P$34=0),"",$L$37-1)),MIN(CI$38,$E179),$P$20))-SUM($BF179:CH179))</f>
        <v>0</v>
      </c>
      <c r="CJ179" s="446">
        <f>IF($E179=0,0,IF(MIN(CJ$38,$E179)&lt;MAX($P$34*($B179+$I$38-1),IF(AND($L$37=0,$P$34=0),"",$L$37-1)),0,YEARFRAC(MAX($P$34*($B179+$I$38-1),IF(AND($L$37=0,$P$34=0),"",$L$37-1)),MIN(CJ$38,$E179),$P$20))-SUM($BF179:CI179))</f>
        <v>0</v>
      </c>
      <c r="CK179" s="446">
        <f>IF($E179=0,0,IF(MIN(CK$38,$E179)&lt;MAX($P$34*($B179+$I$38-1),IF(AND($L$37=0,$P$34=0),"",$L$37-1)),0,YEARFRAC(MAX($P$34*($B179+$I$38-1),IF(AND($L$37=0,$P$34=0),"",$L$37-1)),MIN(CK$38,$E179),$P$20))-SUM($BF179:CJ179))</f>
        <v>0</v>
      </c>
      <c r="CL179" s="446">
        <f>IF($E179=0,0,IF(MIN(CL$38,$E179)&lt;MAX($P$34*($B179+$I$38-1),IF(AND($L$37=0,$P$34=0),"",$L$37-1)),0,YEARFRAC(MAX($P$34*($B179+$I$38-1),IF(AND($L$37=0,$P$34=0),"",$L$37-1)),MIN(CL$38,$E179),$P$20))-SUM($BF179:CK179))</f>
        <v>0</v>
      </c>
      <c r="CM179" s="446">
        <f>IF($E179=0,0,IF(MIN(CM$38,$E179)&lt;MAX($P$34*($B179+$I$38-1),IF(AND($L$37=0,$P$34=0),"",$L$37-1)),0,YEARFRAC(MAX($P$34*($B179+$I$38-1),IF(AND($L$37=0,$P$34=0),"",$L$37-1)),MIN(CM$38,$E179),$P$20))-SUM($BF179:CL179))</f>
        <v>0</v>
      </c>
      <c r="CN179" s="446">
        <f>IF($E179=0,0,IF(MIN(CN$38,$E179)&lt;MAX($P$34*($B179+$I$38-1),IF(AND($L$37=0,$P$34=0),"",$L$37-1)),0,YEARFRAC(MAX($P$34*($B179+$I$38-1),IF(AND($L$37=0,$P$34=0),"",$L$37-1)),MIN(CN$38,$E179),$P$20))-SUM($BF179:CM179))</f>
        <v>0</v>
      </c>
      <c r="CO179" s="446">
        <f>IF($E179=0,0,IF(MIN(CO$38,$E179)&lt;MAX($P$34*($B179+$I$38-1),IF(AND($L$37=0,$P$34=0),"",$L$37-1)),0,YEARFRAC(MAX($P$34*($B179+$I$38-1),IF(AND($L$37=0,$P$34=0),"",$L$37-1)),MIN(CO$38,$E179),$P$20))-SUM($BF179:CN179))</f>
        <v>0</v>
      </c>
      <c r="CP179" s="446">
        <f>IF($E179=0,0,IF(MIN(CP$38,$E179)&lt;MAX($P$34*($B179+$I$38-1),IF(AND($L$37=0,$P$34=0),"",$L$37-1)),0,YEARFRAC(MAX($P$34*($B179+$I$38-1),IF(AND($L$37=0,$P$34=0),"",$L$37-1)),MIN(CP$38,$E179),$P$20))-SUM($BF179:CO179))</f>
        <v>0</v>
      </c>
      <c r="CQ179" s="446">
        <f>IF($E179=0,0,IF(MIN(CQ$38,$E179)&lt;MAX($P$34*($B179+$I$38-1),IF(AND($L$37=0,$P$34=0),"",$L$37-1)),0,YEARFRAC(MAX($P$34*($B179+$I$38-1),IF(AND($L$37=0,$P$34=0),"",$L$37-1)),MIN(CQ$38,$E179),$P$20))-SUM($BF179:CP179))</f>
        <v>0</v>
      </c>
    </row>
    <row r="180" spans="1:95" s="446" customFormat="1" ht="11.25" hidden="1" customHeight="1" x14ac:dyDescent="0.2">
      <c r="A180" s="152"/>
      <c r="B180" s="153" t="str">
        <f t="shared" si="37"/>
        <v/>
      </c>
      <c r="C180" s="29" t="str">
        <f>IF(B180="","",IF($L$35="SELIC - TRIBUTOS",VLOOKUP(DATE(YEAR($D$19),MONTH($D$19)-1,1),ÍNDICES!$A:$DE,HLOOKUP($BL$25,ÍNDICES!$B$3:$T$4,2)+11)-VLOOKUP(B180,ÍNDICES!$A:$DE,HLOOKUP($BL$25,ÍNDICES!$B$3:$T$4,2)+11)+1%,IF(C$38=$W$26,$J$35,IF(ISERROR(IF(B180&gt;$D$19,1,VLOOKUP(DATE(YEAR(B180),MONTH(B180)+IF($C$35=$S$23,1,0),1),ÍNDICES!$A:$DE,$Z$35+1))),"",IF(B180&gt;$D$19,1,VLOOKUP(DATE(YEAR(B180),MONTH(B180)+IF($C$35=$S$23,1,0),1),ÍNDICES!$A:$DE,$Z$35+1))))))</f>
        <v/>
      </c>
      <c r="D180" s="154" t="str">
        <f>IF(ISERROR(IF(OR($D$38=$Y$27,$B180=""),"",VLOOKUP(B180,ÍNDICES!A:DE,AF$35+1))),"",IF(OR($D$38=$Y$27,$B180=""),"",VLOOKUP(B180,ÍNDICES!A:DE,AF$35+1)))</f>
        <v/>
      </c>
      <c r="E180" s="153"/>
      <c r="F180" s="29" t="str">
        <f>IF(E180="","",IF($L$35="SELIC - TRIBUTOS",VLOOKUP(DATE(YEAR($D$19),MONTH($D$19)-1,1),ÍNDICES!$A:$DE,HLOOKUP($BL$25,ÍNDICES!$B$3:$T$4,2)+11)-VLOOKUP(E180,ÍNDICES!$A:$DE,HLOOKUP($BL$25,ÍNDICES!$B$3:$T$4,2)+11)+1%,IF(F$38=$W$26,$J$35,IF(ISERROR(IF(E180&gt;$D$19,1,VLOOKUP(DATE(YEAR(E180),MONTH(E180)+IF($C$35=$S$23,1,0),1),ÍNDICES!$A:$DE,$Z$35+1))),"",IF(E180&gt;$D$19,1,VLOOKUP(DATE(YEAR(E180),MONTH(E180)+IF($C$35=$S$23,1,0),1),ÍNDICES!$A:$DE,$Z$35+1))))))</f>
        <v/>
      </c>
      <c r="G180" s="155"/>
      <c r="H180" s="156" t="str">
        <f t="shared" si="33"/>
        <v/>
      </c>
      <c r="I180" s="29" t="str">
        <f t="shared" si="27"/>
        <v/>
      </c>
      <c r="J180" s="5">
        <f t="shared" si="28"/>
        <v>0</v>
      </c>
      <c r="K180" s="20">
        <f t="shared" ca="1" si="29"/>
        <v>0</v>
      </c>
      <c r="L180" s="5">
        <f t="shared" ca="1" si="30"/>
        <v>0</v>
      </c>
      <c r="M180" s="64">
        <f t="shared" si="34"/>
        <v>0</v>
      </c>
      <c r="N180" s="61">
        <f t="shared" ca="1" si="35"/>
        <v>0</v>
      </c>
      <c r="O180" s="5">
        <f t="shared" ca="1" si="36"/>
        <v>0</v>
      </c>
      <c r="P180" s="446" t="e">
        <f t="shared" si="31"/>
        <v>#VALUE!</v>
      </c>
      <c r="Q180" s="446" t="e">
        <f>IF(OR($B180="",MIN(Q$38,$D$19)&lt;MAX($P$34*($B180+IF($R$17="Distrato",$I$38-1,0)),IF(AND($L$37=0,$P$34=0),"",$L$37-1),IF($R$17="Distrato",$E180,0))),0,YEARFRAC(MAX($P$34*($B180+IF($R$17="Distrato",$I$38-1,0)),IF(AND($L$37=0,$P$34=0),"",$L$37-1),IF($R$17="Distrato",$E180,0)),MIN(Q$38,$D$19),$P$20))-SUM($P180:P180)</f>
        <v>#VALUE!</v>
      </c>
      <c r="R180" s="446" t="e">
        <f>IF(OR($B180="",MIN(R$38,$D$19)&lt;MAX($P$34*($B180+IF($R$17="Distrato",$I$38-1,0)),IF(AND($L$37=0,$P$34=0),"",$L$37-1),IF($R$17="Distrato",$E180,0))),0,YEARFRAC(MAX($P$34*($B180+IF($R$17="Distrato",$I$38-1,0)),IF(AND($L$37=0,$P$34=0),"",$L$37-1),IF($R$17="Distrato",$E180,0)),MIN(R$38,$D$19),$P$20))-SUM($P180:Q180)</f>
        <v>#VALUE!</v>
      </c>
      <c r="S180" s="446" t="e">
        <f>IF(OR($B180="",MIN(S$38,$D$19)&lt;MAX($P$34*($B180+IF($R$17="Distrato",$I$38-1,0)),IF(AND($L$37=0,$P$34=0),"",$L$37-1),IF($R$17="Distrato",$E180,0))),0,YEARFRAC(MAX($P$34*($B180+IF($R$17="Distrato",$I$38-1,0)),IF(AND($L$37=0,$P$34=0),"",$L$37-1),IF($R$17="Distrato",$E180,0)),MIN(S$38,$D$19),$P$20))-SUM($P180:R180)</f>
        <v>#VALUE!</v>
      </c>
      <c r="T180" s="446" t="e">
        <f>IF(OR($B180="",MIN(T$38,$D$19)&lt;MAX($P$34*($B180+IF($R$17="Distrato",$I$38-1,0)),IF(AND($L$37=0,$P$34=0),"",$L$37-1),IF($R$17="Distrato",$E180,0))),0,YEARFRAC(MAX($P$34*($B180+IF($R$17="Distrato",$I$38-1,0)),IF(AND($L$37=0,$P$34=0),"",$L$37-1),IF($R$17="Distrato",$E180,0)),MIN(T$38,$D$19),$P$20))-SUM($P180:S180)</f>
        <v>#VALUE!</v>
      </c>
      <c r="U180" s="446" t="e">
        <f>IF(OR($B180="",MIN(U$38,$D$19)&lt;MAX($P$34*($B180+IF($R$17="Distrato",$I$38-1,0)),IF(AND($L$37=0,$P$34=0),"",$L$37-1),IF($R$17="Distrato",$E180,0))),0,YEARFRAC(MAX($P$34*($B180+IF($R$17="Distrato",$I$38-1,0)),IF(AND($L$37=0,$P$34=0),"",$L$37-1),IF($R$17="Distrato",$E180,0)),MIN(U$38,$D$19),$P$20))-SUM($P180:T180)</f>
        <v>#VALUE!</v>
      </c>
      <c r="V180" s="446" t="e">
        <f>IF(OR($B180="",MIN(V$38,$D$19)&lt;MAX($P$34*($B180+IF($R$17="Distrato",$I$38-1,0)),IF(AND($L$37=0,$P$34=0),"",$L$37-1),IF($R$17="Distrato",$E180,0))),0,YEARFRAC(MAX($P$34*($B180+IF($R$17="Distrato",$I$38-1,0)),IF(AND($L$37=0,$P$34=0),"",$L$37-1),IF($R$17="Distrato",$E180,0)),MIN(V$38,$D$19),$P$20))-SUM($P180:U180)</f>
        <v>#VALUE!</v>
      </c>
      <c r="W180" s="446" t="e">
        <f>IF(OR($B180="",MIN(W$38,$D$19)&lt;MAX($P$34*($B180+IF($R$17="Distrato",$I$38-1,0)),IF(AND($L$37=0,$P$34=0),"",$L$37-1),IF($R$17="Distrato",$E180,0))),0,YEARFRAC(MAX($P$34*($B180+IF($R$17="Distrato",$I$38-1,0)),IF(AND($L$37=0,$P$34=0),"",$L$37-1),IF($R$17="Distrato",$E180,0)),MIN(W$38,$D$19),$P$20))-SUM($P180:V180)</f>
        <v>#VALUE!</v>
      </c>
      <c r="X180" s="446" t="e">
        <f>IF(OR($B180="",MIN(X$38,$D$19)&lt;MAX($P$34*($B180+IF($R$17="Distrato",$I$38-1,0)),IF(AND($L$37=0,$P$34=0),"",$L$37-1),IF($R$17="Distrato",$E180,0))),0,YEARFRAC(MAX($P$34*($B180+IF($R$17="Distrato",$I$38-1,0)),IF(AND($L$37=0,$P$34=0),"",$L$37-1),IF($R$17="Distrato",$E180,0)),MIN(X$38,$D$19),$P$20))-SUM($P180:W180)</f>
        <v>#VALUE!</v>
      </c>
      <c r="Y180" s="446" t="e">
        <f>IF(OR($B180="",MIN(Y$38,$D$19)&lt;MAX($P$34*($B180+IF($R$17="Distrato",$I$38-1,0)),IF(AND($L$37=0,$P$34=0),"",$L$37-1),IF($R$17="Distrato",$E180,0))),0,YEARFRAC(MAX($P$34*($B180+IF($R$17="Distrato",$I$38-1,0)),IF(AND($L$37=0,$P$34=0),"",$L$37-1),IF($R$17="Distrato",$E180,0)),MIN(Y$38,$D$19),$P$20))-SUM($P180:X180)</f>
        <v>#VALUE!</v>
      </c>
      <c r="Z180" s="446" t="e">
        <f>IF(OR($B180="",MIN(Z$38,$D$19)&lt;MAX($P$34*($B180+IF($R$17="Distrato",$I$38-1,0)),IF(AND($L$37=0,$P$34=0),"",$L$37-1),IF($R$17="Distrato",$E180,0))),0,YEARFRAC(MAX($P$34*($B180+IF($R$17="Distrato",$I$38-1,0)),IF(AND($L$37=0,$P$34=0),"",$L$37-1),IF($R$17="Distrato",$E180,0)),MIN(Z$38,$D$19),$P$20))-SUM($P180:Y180)</f>
        <v>#VALUE!</v>
      </c>
      <c r="AA180" s="446" t="e">
        <f>IF(OR($B180="",MIN(AA$38,$D$19)&lt;MAX($P$34*($B180+IF($R$17="Distrato",$I$38-1,0)),IF(AND($L$37=0,$P$34=0),"",$L$37-1),IF($R$17="Distrato",$E180,0))),0,YEARFRAC(MAX($P$34*($B180+IF($R$17="Distrato",$I$38-1,0)),IF(AND($L$37=0,$P$34=0),"",$L$37-1),IF($R$17="Distrato",$E180,0)),MIN(AA$38,$D$19),$P$20))-SUM($P180:Z180)</f>
        <v>#VALUE!</v>
      </c>
      <c r="AB180" s="446" t="e">
        <f>IF(OR($B180="",MIN(AB$38,$D$19)&lt;MAX($P$34*($B180+IF($R$17="Distrato",$I$38-1,0)),IF(AND($L$37=0,$P$34=0),"",$L$37-1),IF($R$17="Distrato",$E180,0))),0,YEARFRAC(MAX($P$34*($B180+IF($R$17="Distrato",$I$38-1,0)),IF(AND($L$37=0,$P$34=0),"",$L$37-1),IF($R$17="Distrato",$E180,0)),MIN(AB$38,$D$19),$P$20))-SUM($P180:AA180)</f>
        <v>#VALUE!</v>
      </c>
      <c r="AC180" s="446" t="e">
        <f>IF(OR($B180="",MIN(AC$38,$D$19)&lt;MAX($P$34*($B180+IF($R$17="Distrato",$I$38-1,0)),IF(AND($L$37=0,$P$34=0),"",$L$37-1),IF($R$17="Distrato",$E180,0))),0,YEARFRAC(MAX($P$34*($B180+IF($R$17="Distrato",$I$38-1,0)),IF(AND($L$37=0,$P$34=0),"",$L$37-1),IF($R$17="Distrato",$E180,0)),MIN(AC$38,$D$19),$P$20))-SUM($P180:AB180)</f>
        <v>#VALUE!</v>
      </c>
      <c r="AD180" s="446" t="e">
        <f>IF(OR($B180="",MIN(AD$38,$D$19)&lt;MAX($P$34*($B180+IF($R$17="Distrato",$I$38-1,0)),IF(AND($L$37=0,$P$34=0),"",$L$37-1),IF($R$17="Distrato",$E180,0))),0,YEARFRAC(MAX($P$34*($B180+IF($R$17="Distrato",$I$38-1,0)),IF(AND($L$37=0,$P$34=0),"",$L$37-1),IF($R$17="Distrato",$E180,0)),MIN(AD$38,$D$19),$P$20))-SUM($P180:AC180)</f>
        <v>#VALUE!</v>
      </c>
      <c r="AE180" s="446" t="e">
        <f>IF(OR($B180="",MIN(AE$38,$D$19)&lt;MAX($P$34*($B180+IF($R$17="Distrato",$I$38-1,0)),IF(AND($L$37=0,$P$34=0),"",$L$37-1),IF($R$17="Distrato",$E180,0))),0,YEARFRAC(MAX($P$34*($B180+IF($R$17="Distrato",$I$38-1,0)),IF(AND($L$37=0,$P$34=0),"",$L$37-1),IF($R$17="Distrato",$E180,0)),MIN(AE$38,$D$19),$P$20))-SUM($P180:AD180)</f>
        <v>#VALUE!</v>
      </c>
      <c r="AF180" s="446" t="e">
        <f>IF(OR($B180="",MIN(AF$38,$D$19)&lt;MAX($P$34*($B180+IF($R$17="Distrato",$I$38-1,0)),IF(AND($L$37=0,$P$34=0),"",$L$37-1),IF($R$17="Distrato",$E180,0))),0,YEARFRAC(MAX($P$34*($B180+IF($R$17="Distrato",$I$38-1,0)),IF(AND($L$37=0,$P$34=0),"",$L$37-1),IF($R$17="Distrato",$E180,0)),MIN(AF$38,$D$19),$P$20))-SUM($P180:AE180)</f>
        <v>#VALUE!</v>
      </c>
      <c r="AG180" s="446" t="e">
        <f>IF(OR($B180="",MIN(AG$38,$D$19)&lt;MAX($P$34*($B180+IF($R$17="Distrato",$I$38-1,0)),IF(AND($L$37=0,$P$34=0),"",$L$37-1),IF($R$17="Distrato",$E180,0))),0,YEARFRAC(MAX($P$34*($B180+IF($R$17="Distrato",$I$38-1,0)),IF(AND($L$37=0,$P$34=0),"",$L$37-1),IF($R$17="Distrato",$E180,0)),MIN(AG$38,$D$19),$P$20))-SUM($P180:AF180)</f>
        <v>#VALUE!</v>
      </c>
      <c r="AH180" s="446" t="e">
        <f>IF(OR($B180="",MIN(AH$38,$D$19)&lt;MAX($P$34*($B180+IF($R$17="Distrato",$I$38-1,0)),IF(AND($L$37=0,$P$34=0),"",$L$37-1),IF($R$17="Distrato",$E180,0))),0,YEARFRAC(MAX($P$34*($B180+IF($R$17="Distrato",$I$38-1,0)),IF(AND($L$37=0,$P$34=0),"",$L$37-1),IF($R$17="Distrato",$E180,0)),MIN(AH$38,$D$19),$P$20))-SUM($P180:AG180)</f>
        <v>#VALUE!</v>
      </c>
      <c r="AI180" s="446" t="e">
        <f>IF(OR($B180="",MIN(AI$38,$D$19)&lt;MAX($P$34*($B180+IF($R$17="Distrato",$I$38-1,0)),IF(AND($L$37=0,$P$34=0),"",$L$37-1),IF($R$17="Distrato",$E180,0))),0,YEARFRAC(MAX($P$34*($B180+IF($R$17="Distrato",$I$38-1,0)),IF(AND($L$37=0,$P$34=0),"",$L$37-1),IF($R$17="Distrato",$E180,0)),MIN(AI$38,$D$19),$P$20))-SUM($P180:AH180)</f>
        <v>#VALUE!</v>
      </c>
      <c r="AJ180" s="446" t="e">
        <f>IF(OR($B180="",MIN(AJ$38,$D$19)&lt;MAX($P$34*($B180+IF($R$17="Distrato",$I$38-1,0)),IF(AND($L$37=0,$P$34=0),"",$L$37-1),IF($R$17="Distrato",$E180,0))),0,YEARFRAC(MAX($P$34*($B180+IF($R$17="Distrato",$I$38-1,0)),IF(AND($L$37=0,$P$34=0),"",$L$37-1),IF($R$17="Distrato",$E180,0)),MIN(AJ$38,$D$19),$P$20))-SUM($P180:AI180)</f>
        <v>#VALUE!</v>
      </c>
      <c r="AK180" s="446" t="e">
        <f>IF(OR($B180="",MIN(AK$38,$D$19)&lt;MAX($P$34*($B180+IF($R$17="Distrato",$I$38-1,0)),IF(AND($L$37=0,$P$34=0),"",$L$37-1),IF($R$17="Distrato",$E180,0))),0,YEARFRAC(MAX($P$34*($B180+IF($R$17="Distrato",$I$38-1,0)),IF(AND($L$37=0,$P$34=0),"",$L$37-1),IF($R$17="Distrato",$E180,0)),MIN(AK$38,$D$19),$P$20))-SUM($P180:AJ180)</f>
        <v>#VALUE!</v>
      </c>
      <c r="AL180" s="446" t="e">
        <f>IF(OR($B180="",MIN(AL$38,$D$19)&lt;MAX($P$34*($B180+IF($R$17="Distrato",$I$38-1,0)),IF(AND($L$37=0,$P$34=0),"",$L$37-1),IF($R$17="Distrato",$E180,0))),0,YEARFRAC(MAX($P$34*($B180+IF($R$17="Distrato",$I$38-1,0)),IF(AND($L$37=0,$P$34=0),"",$L$37-1),IF($R$17="Distrato",$E180,0)),MIN(AL$38,$D$19),$P$20))-SUM($P180:AK180)</f>
        <v>#VALUE!</v>
      </c>
      <c r="AM180" s="446" t="e">
        <f>IF(OR($B180="",MIN(AM$38,$D$19)&lt;MAX($P$34*($B180+IF($R$17="Distrato",$I$38-1,0)),IF(AND($L$37=0,$P$34=0),"",$L$37-1),IF($R$17="Distrato",$E180,0))),0,YEARFRAC(MAX($P$34*($B180+IF($R$17="Distrato",$I$38-1,0)),IF(AND($L$37=0,$P$34=0),"",$L$37-1),IF($R$17="Distrato",$E180,0)),MIN(AM$38,$D$19),$P$20))-SUM($P180:AL180)</f>
        <v>#VALUE!</v>
      </c>
      <c r="AN180" s="446" t="e">
        <f>IF(OR($B180="",MIN(AN$38,$D$19)&lt;MAX($P$34*($B180+IF($R$17="Distrato",$I$38-1,0)),IF(AND($L$37=0,$P$34=0),"",$L$37-1),IF($R$17="Distrato",$E180,0))),0,YEARFRAC(MAX($P$34*($B180+IF($R$17="Distrato",$I$38-1,0)),IF(AND($L$37=0,$P$34=0),"",$L$37-1),IF($R$17="Distrato",$E180,0)),MIN(AN$38,$D$19),$P$20))-SUM($P180:AM180)</f>
        <v>#VALUE!</v>
      </c>
      <c r="AO180" s="446" t="e">
        <f>IF(OR($B180="",MIN(AO$38,$D$19)&lt;MAX($P$34*($B180+IF($R$17="Distrato",$I$38-1,0)),IF(AND($L$37=0,$P$34=0),"",$L$37-1),IF($R$17="Distrato",$E180,0))),0,YEARFRAC(MAX($P$34*($B180+IF($R$17="Distrato",$I$38-1,0)),IF(AND($L$37=0,$P$34=0),"",$L$37-1),IF($R$17="Distrato",$E180,0)),MIN(AO$38,$D$19),$P$20))-SUM($P180:AN180)</f>
        <v>#VALUE!</v>
      </c>
      <c r="AP180" s="446" t="e">
        <f>IF(OR($B180="",MIN(AP$38,$D$19)&lt;MAX($P$34*($B180+IF($R$17="Distrato",$I$38-1,0)),IF(AND($L$37=0,$P$34=0),"",$L$37-1),IF($R$17="Distrato",$E180,0))),0,YEARFRAC(MAX($P$34*($B180+IF($R$17="Distrato",$I$38-1,0)),IF(AND($L$37=0,$P$34=0),"",$L$37-1),IF($R$17="Distrato",$E180,0)),MIN(AP$38,$D$19),$P$20))-SUM($P180:AO180)</f>
        <v>#VALUE!</v>
      </c>
      <c r="AQ180" s="446" t="e">
        <f>IF(OR($B180="",MIN(AQ$38,$D$19)&lt;MAX($P$34*($B180+IF($R$17="Distrato",$I$38-1,0)),IF(AND($L$37=0,$P$34=0),"",$L$37-1),IF($R$17="Distrato",$E180,0))),0,YEARFRAC(MAX($P$34*($B180+IF($R$17="Distrato",$I$38-1,0)),IF(AND($L$37=0,$P$34=0),"",$L$37-1),IF($R$17="Distrato",$E180,0)),MIN(AQ$38,$D$19),$P$20))-SUM($P180:AP180)</f>
        <v>#VALUE!</v>
      </c>
      <c r="AR180" s="446" t="e">
        <f>IF(OR($B180="",MIN(AR$38,$D$19)&lt;MAX($P$34*($B180+IF($R$17="Distrato",$I$38-1,0)),IF(AND($L$37=0,$P$34=0),"",$L$37-1),IF($R$17="Distrato",$E180,0))),0,YEARFRAC(MAX($P$34*($B180+IF($R$17="Distrato",$I$38-1,0)),IF(AND($L$37=0,$P$34=0),"",$L$37-1),IF($R$17="Distrato",$E180,0)),MIN(AR$38,$D$19),$P$20))-SUM($P180:AQ180)</f>
        <v>#VALUE!</v>
      </c>
      <c r="AS180" s="446" t="e">
        <f>IF(OR($B180="",MIN(AS$38,$D$19)&lt;MAX($P$34*($B180+IF($R$17="Distrato",$I$38-1,0)),IF(AND($L$37=0,$P$34=0),"",$L$37-1),IF($R$17="Distrato",$E180,0))),0,YEARFRAC(MAX($P$34*($B180+IF($R$17="Distrato",$I$38-1,0)),IF(AND($L$37=0,$P$34=0),"",$L$37-1),IF($R$17="Distrato",$E180,0)),MIN(AS$38,$D$19),$P$20))-SUM($P180:AR180)</f>
        <v>#VALUE!</v>
      </c>
      <c r="AT180" s="446" t="e">
        <f>IF(OR($B180="",MIN(AT$38,$D$19)&lt;MAX($P$34*($B180+IF($R$17="Distrato",$I$38-1,0)),IF(AND($L$37=0,$P$34=0),"",$L$37-1),IF($R$17="Distrato",$E180,0))),0,YEARFRAC(MAX($P$34*($B180+IF($R$17="Distrato",$I$38-1,0)),IF(AND($L$37=0,$P$34=0),"",$L$37-1),IF($R$17="Distrato",$E180,0)),MIN(AT$38,$D$19),$P$20))-SUM($P180:AS180)</f>
        <v>#VALUE!</v>
      </c>
      <c r="AU180" s="446" t="e">
        <f>IF(OR($B180="",MIN(AU$38,$D$19)&lt;MAX($P$34*($B180+IF($R$17="Distrato",$I$38-1,0)),IF(AND($L$37=0,$P$34=0),"",$L$37-1),IF($R$17="Distrato",$E180,0))),0,YEARFRAC(MAX($P$34*($B180+IF($R$17="Distrato",$I$38-1,0)),IF(AND($L$37=0,$P$34=0),"",$L$37-1),IF($R$17="Distrato",$E180,0)),MIN(AU$38,$D$19),$P$20))-SUM($P180:AT180)</f>
        <v>#VALUE!</v>
      </c>
      <c r="AV180" s="446" t="e">
        <f>IF(OR($B180="",MIN(AV$38,$D$19)&lt;MAX($P$34*($B180+IF($R$17="Distrato",$I$38-1,0)),IF(AND($L$37=0,$P$34=0),"",$L$37-1),IF($R$17="Distrato",$E180,0))),0,YEARFRAC(MAX($P$34*($B180+IF($R$17="Distrato",$I$38-1,0)),IF(AND($L$37=0,$P$34=0),"",$L$37-1),IF($R$17="Distrato",$E180,0)),MIN(AV$38,$D$19),$P$20))-SUM($P180:AU180)</f>
        <v>#VALUE!</v>
      </c>
      <c r="AW180" s="446" t="e">
        <f>IF(OR($B180="",MIN(AW$38,$D$19)&lt;MAX($P$34*($B180+IF($R$17="Distrato",$I$38-1,0)),IF(AND($L$37=0,$P$34=0),"",$L$37-1),IF($R$17="Distrato",$E180,0))),0,YEARFRAC(MAX($P$34*($B180+IF($R$17="Distrato",$I$38-1,0)),IF(AND($L$37=0,$P$34=0),"",$L$37-1),IF($R$17="Distrato",$E180,0)),MIN(AW$38,$D$19),$P$20))-SUM($P180:AV180)</f>
        <v>#VALUE!</v>
      </c>
      <c r="AX180" s="446" t="e">
        <f>IF(OR($B180="",MIN(AX$38,$D$19)&lt;MAX($P$34*($B180+IF($R$17="Distrato",$I$38-1,0)),IF(AND($L$37=0,$P$34=0),"",$L$37-1),IF($R$17="Distrato",$E180,0))),0,YEARFRAC(MAX($P$34*($B180+IF($R$17="Distrato",$I$38-1,0)),IF(AND($L$37=0,$P$34=0),"",$L$37-1),IF($R$17="Distrato",$E180,0)),MIN(AX$38,$D$19),$P$20))-SUM($P180:AW180)</f>
        <v>#VALUE!</v>
      </c>
      <c r="AY180" s="446" t="e">
        <f>IF(OR($B180="",MIN(AY$38,$D$19)&lt;MAX($P$34*($B180+IF($R$17="Distrato",$I$38-1,0)),IF(AND($L$37=0,$P$34=0),"",$L$37-1),IF($R$17="Distrato",$E180,0))),0,YEARFRAC(MAX($P$34*($B180+IF($R$17="Distrato",$I$38-1,0)),IF(AND($L$37=0,$P$34=0),"",$L$37-1),IF($R$17="Distrato",$E180,0)),MIN(AY$38,$D$19),$P$20))-SUM($P180:AX180)</f>
        <v>#VALUE!</v>
      </c>
      <c r="AZ180" s="446" t="e">
        <f>IF(OR($B180="",MIN(AZ$38,$D$19)&lt;MAX($P$34*($B180+IF($R$17="Distrato",$I$38-1,0)),IF(AND($L$37=0,$P$34=0),"",$L$37-1),IF($R$17="Distrato",$E180,0))),0,YEARFRAC(MAX($P$34*($B180+IF($R$17="Distrato",$I$38-1,0)),IF(AND($L$37=0,$P$34=0),"",$L$37-1),IF($R$17="Distrato",$E180,0)),MIN(AZ$38,$D$19),$P$20))-SUM($P180:AY180)</f>
        <v>#VALUE!</v>
      </c>
      <c r="BA180" s="446" t="e">
        <f>IF(OR($B180="",MIN(BA$38,$D$19)&lt;MAX($P$34*($B180+IF($R$17="Distrato",$I$38-1,0)),IF(AND($L$37=0,$P$34=0),"",$L$37-1),IF($R$17="Distrato",$E180,0))),0,YEARFRAC(MAX($P$34*($B180+IF($R$17="Distrato",$I$38-1,0)),IF(AND($L$37=0,$P$34=0),"",$L$37-1),IF($R$17="Distrato",$E180,0)),MIN(BA$38,$D$19),$P$20))-SUM($P180:AZ180)</f>
        <v>#VALUE!</v>
      </c>
      <c r="BB180" s="447"/>
      <c r="BF180" s="446">
        <f t="shared" si="32"/>
        <v>0</v>
      </c>
      <c r="BG180" s="446">
        <f>IF($E180=0,0,IF(MIN(BG$38,$E180)&lt;MAX($P$34*($B180+$I$38-1),IF(AND($L$37=0,$P$34=0),"",$L$37-1)),0,YEARFRAC(MAX($P$34*($B180+$I$38-1),IF(AND($L$37=0,$P$34=0),"",$L$37-1)),MIN(BG$38,$E180),$P$20))-SUM($BF180:BF180))</f>
        <v>0</v>
      </c>
      <c r="BH180" s="446">
        <f>IF($E180=0,0,IF(MIN(BH$38,$E180)&lt;MAX($P$34*($B180+$I$38-1),IF(AND($L$37=0,$P$34=0),"",$L$37-1)),0,YEARFRAC(MAX($P$34*($B180+$I$38-1),IF(AND($L$37=0,$P$34=0),"",$L$37-1)),MIN(BH$38,$E180),$P$20))-SUM($BF180:BG180))</f>
        <v>0</v>
      </c>
      <c r="BI180" s="446">
        <f>IF($E180=0,0,IF(MIN(BI$38,$E180)&lt;MAX($P$34*($B180+$I$38-1),IF(AND($L$37=0,$P$34=0),"",$L$37-1)),0,YEARFRAC(MAX($P$34*($B180+$I$38-1),IF(AND($L$37=0,$P$34=0),"",$L$37-1)),MIN(BI$38,$E180),$P$20))-SUM($BF180:BH180))</f>
        <v>0</v>
      </c>
      <c r="BJ180" s="446">
        <f>IF($E180=0,0,IF(MIN(BJ$38,$E180)&lt;MAX($P$34*($B180+$I$38-1),IF(AND($L$37=0,$P$34=0),"",$L$37-1)),0,YEARFRAC(MAX($P$34*($B180+$I$38-1),IF(AND($L$37=0,$P$34=0),"",$L$37-1)),MIN(BJ$38,$E180),$P$20))-SUM($BF180:BI180))</f>
        <v>0</v>
      </c>
      <c r="BK180" s="446">
        <f>IF($E180=0,0,IF(MIN(BK$38,$E180)&lt;MAX($P$34*($B180+$I$38-1),IF(AND($L$37=0,$P$34=0),"",$L$37-1)),0,YEARFRAC(MAX($P$34*($B180+$I$38-1),IF(AND($L$37=0,$P$34=0),"",$L$37-1)),MIN(BK$38,$E180),$P$20))-SUM($BF180:BJ180))</f>
        <v>0</v>
      </c>
      <c r="BL180" s="446">
        <f>IF($E180=0,0,IF(MIN(BL$38,$E180)&lt;MAX($P$34*($B180+$I$38-1),IF(AND($L$37=0,$P$34=0),"",$L$37-1)),0,YEARFRAC(MAX($P$34*($B180+$I$38-1),IF(AND($L$37=0,$P$34=0),"",$L$37-1)),MIN(BL$38,$E180),$P$20))-SUM($BF180:BK180))</f>
        <v>0</v>
      </c>
      <c r="BM180" s="446">
        <f>IF($E180=0,0,IF(MIN(BM$38,$E180)&lt;MAX($P$34*($B180+$I$38-1),IF(AND($L$37=0,$P$34=0),"",$L$37-1)),0,YEARFRAC(MAX($P$34*($B180+$I$38-1),IF(AND($L$37=0,$P$34=0),"",$L$37-1)),MIN(BM$38,$E180),$P$20))-SUM($BF180:BL180))</f>
        <v>0</v>
      </c>
      <c r="BN180" s="446">
        <f>IF($E180=0,0,IF(MIN(BN$38,$E180)&lt;MAX($P$34*($B180+$I$38-1),IF(AND($L$37=0,$P$34=0),"",$L$37-1)),0,YEARFRAC(MAX($P$34*($B180+$I$38-1),IF(AND($L$37=0,$P$34=0),"",$L$37-1)),MIN(BN$38,$E180),$P$20))-SUM($BF180:BM180))</f>
        <v>0</v>
      </c>
      <c r="BO180" s="446">
        <f>IF($E180=0,0,IF(MIN(BO$38,$E180)&lt;MAX($P$34*($B180+$I$38-1),IF(AND($L$37=0,$P$34=0),"",$L$37-1)),0,YEARFRAC(MAX($P$34*($B180+$I$38-1),IF(AND($L$37=0,$P$34=0),"",$L$37-1)),MIN(BO$38,$E180),$P$20))-SUM($BF180:BN180))</f>
        <v>0</v>
      </c>
      <c r="BP180" s="446">
        <f>IF($E180=0,0,IF(MIN(BP$38,$E180)&lt;MAX($P$34*($B180+$I$38-1),IF(AND($L$37=0,$P$34=0),"",$L$37-1)),0,YEARFRAC(MAX($P$34*($B180+$I$38-1),IF(AND($L$37=0,$P$34=0),"",$L$37-1)),MIN(BP$38,$E180),$P$20))-SUM($BF180:BO180))</f>
        <v>0</v>
      </c>
      <c r="BQ180" s="446">
        <f>IF($E180=0,0,IF(MIN(BQ$38,$E180)&lt;MAX($P$34*($B180+$I$38-1),IF(AND($L$37=0,$P$34=0),"",$L$37-1)),0,YEARFRAC(MAX($P$34*($B180+$I$38-1),IF(AND($L$37=0,$P$34=0),"",$L$37-1)),MIN(BQ$38,$E180),$P$20))-SUM($BF180:BP180))</f>
        <v>0</v>
      </c>
      <c r="BR180" s="446">
        <f>IF($E180=0,0,IF(MIN(BR$38,$E180)&lt;MAX($P$34*($B180+$I$38-1),IF(AND($L$37=0,$P$34=0),"",$L$37-1)),0,YEARFRAC(MAX($P$34*($B180+$I$38-1),IF(AND($L$37=0,$P$34=0),"",$L$37-1)),MIN(BR$38,$E180),$P$20))-SUM($BF180:BQ180))</f>
        <v>0</v>
      </c>
      <c r="BS180" s="446">
        <f>IF($E180=0,0,IF(MIN(BS$38,$E180)&lt;MAX($P$34*($B180+$I$38-1),IF(AND($L$37=0,$P$34=0),"",$L$37-1)),0,YEARFRAC(MAX($P$34*($B180+$I$38-1),IF(AND($L$37=0,$P$34=0),"",$L$37-1)),MIN(BS$38,$E180),$P$20))-SUM($BF180:BR180))</f>
        <v>0</v>
      </c>
      <c r="BT180" s="446">
        <f>IF($E180=0,0,IF(MIN(BT$38,$E180)&lt;MAX($P$34*($B180+$I$38-1),IF(AND($L$37=0,$P$34=0),"",$L$37-1)),0,YEARFRAC(MAX($P$34*($B180+$I$38-1),IF(AND($L$37=0,$P$34=0),"",$L$37-1)),MIN(BT$38,$E180),$P$20))-SUM($BF180:BS180))</f>
        <v>0</v>
      </c>
      <c r="BU180" s="446">
        <f>IF($E180=0,0,IF(MIN(BU$38,$E180)&lt;MAX($P$34*($B180+$I$38-1),IF(AND($L$37=0,$P$34=0),"",$L$37-1)),0,YEARFRAC(MAX($P$34*($B180+$I$38-1),IF(AND($L$37=0,$P$34=0),"",$L$37-1)),MIN(BU$38,$E180),$P$20))-SUM($BF180:BT180))</f>
        <v>0</v>
      </c>
      <c r="BV180" s="446">
        <f>IF($E180=0,0,IF(MIN(BV$38,$E180)&lt;MAX($P$34*($B180+$I$38-1),IF(AND($L$37=0,$P$34=0),"",$L$37-1)),0,YEARFRAC(MAX($P$34*($B180+$I$38-1),IF(AND($L$37=0,$P$34=0),"",$L$37-1)),MIN(BV$38,$E180),$P$20))-SUM($BF180:BU180))</f>
        <v>0</v>
      </c>
      <c r="BW180" s="446">
        <f>IF($E180=0,0,IF(MIN(BW$38,$E180)&lt;MAX($P$34*($B180+$I$38-1),IF(AND($L$37=0,$P$34=0),"",$L$37-1)),0,YEARFRAC(MAX($P$34*($B180+$I$38-1),IF(AND($L$37=0,$P$34=0),"",$L$37-1)),MIN(BW$38,$E180),$P$20))-SUM($BF180:BV180))</f>
        <v>0</v>
      </c>
      <c r="BX180" s="446">
        <f>IF($E180=0,0,IF(MIN(BX$38,$E180)&lt;MAX($P$34*($B180+$I$38-1),IF(AND($L$37=0,$P$34=0),"",$L$37-1)),0,YEARFRAC(MAX($P$34*($B180+$I$38-1),IF(AND($L$37=0,$P$34=0),"",$L$37-1)),MIN(BX$38,$E180),$P$20))-SUM($BF180:BW180))</f>
        <v>0</v>
      </c>
      <c r="BY180" s="446">
        <f>IF($E180=0,0,IF(MIN(BY$38,$E180)&lt;MAX($P$34*($B180+$I$38-1),IF(AND($L$37=0,$P$34=0),"",$L$37-1)),0,YEARFRAC(MAX($P$34*($B180+$I$38-1),IF(AND($L$37=0,$P$34=0),"",$L$37-1)),MIN(BY$38,$E180),$P$20))-SUM($BF180:BX180))</f>
        <v>0</v>
      </c>
      <c r="BZ180" s="446">
        <f>IF($E180=0,0,IF(MIN(BZ$38,$E180)&lt;MAX($P$34*($B180+$I$38-1),IF(AND($L$37=0,$P$34=0),"",$L$37-1)),0,YEARFRAC(MAX($P$34*($B180+$I$38-1),IF(AND($L$37=0,$P$34=0),"",$L$37-1)),MIN(BZ$38,$E180),$P$20))-SUM($BF180:BY180))</f>
        <v>0</v>
      </c>
      <c r="CA180" s="446">
        <f>IF($E180=0,0,IF(MIN(CA$38,$E180)&lt;MAX($P$34*($B180+$I$38-1),IF(AND($L$37=0,$P$34=0),"",$L$37-1)),0,YEARFRAC(MAX($P$34*($B180+$I$38-1),IF(AND($L$37=0,$P$34=0),"",$L$37-1)),MIN(CA$38,$E180),$P$20))-SUM($BF180:BZ180))</f>
        <v>0</v>
      </c>
      <c r="CB180" s="446">
        <f>IF($E180=0,0,IF(MIN(CB$38,$E180)&lt;MAX($P$34*($B180+$I$38-1),IF(AND($L$37=0,$P$34=0),"",$L$37-1)),0,YEARFRAC(MAX($P$34*($B180+$I$38-1),IF(AND($L$37=0,$P$34=0),"",$L$37-1)),MIN(CB$38,$E180),$P$20))-SUM($BF180:CA180))</f>
        <v>0</v>
      </c>
      <c r="CC180" s="446">
        <f>IF($E180=0,0,IF(MIN(CC$38,$E180)&lt;MAX($P$34*($B180+$I$38-1),IF(AND($L$37=0,$P$34=0),"",$L$37-1)),0,YEARFRAC(MAX($P$34*($B180+$I$38-1),IF(AND($L$37=0,$P$34=0),"",$L$37-1)),MIN(CC$38,$E180),$P$20))-SUM($BF180:CB180))</f>
        <v>0</v>
      </c>
      <c r="CD180" s="446">
        <f>IF($E180=0,0,IF(MIN(CD$38,$E180)&lt;MAX($P$34*($B180+$I$38-1),IF(AND($L$37=0,$P$34=0),"",$L$37-1)),0,YEARFRAC(MAX($P$34*($B180+$I$38-1),IF(AND($L$37=0,$P$34=0),"",$L$37-1)),MIN(CD$38,$E180),$P$20))-SUM($BF180:CC180))</f>
        <v>0</v>
      </c>
      <c r="CE180" s="446">
        <f>IF($E180=0,0,IF(MIN(CE$38,$E180)&lt;MAX($P$34*($B180+$I$38-1),IF(AND($L$37=0,$P$34=0),"",$L$37-1)),0,YEARFRAC(MAX($P$34*($B180+$I$38-1),IF(AND($L$37=0,$P$34=0),"",$L$37-1)),MIN(CE$38,$E180),$P$20))-SUM($BF180:CD180))</f>
        <v>0</v>
      </c>
      <c r="CF180" s="446">
        <f>IF($E180=0,0,IF(MIN(CF$38,$E180)&lt;MAX($P$34*($B180+$I$38-1),IF(AND($L$37=0,$P$34=0),"",$L$37-1)),0,YEARFRAC(MAX($P$34*($B180+$I$38-1),IF(AND($L$37=0,$P$34=0),"",$L$37-1)),MIN(CF$38,$E180),$P$20))-SUM($BF180:CE180))</f>
        <v>0</v>
      </c>
      <c r="CG180" s="446">
        <f>IF($E180=0,0,IF(MIN(CG$38,$E180)&lt;MAX($P$34*($B180+$I$38-1),IF(AND($L$37=0,$P$34=0),"",$L$37-1)),0,YEARFRAC(MAX($P$34*($B180+$I$38-1),IF(AND($L$37=0,$P$34=0),"",$L$37-1)),MIN(CG$38,$E180),$P$20))-SUM($BF180:CF180))</f>
        <v>0</v>
      </c>
      <c r="CH180" s="446">
        <f>IF($E180=0,0,IF(MIN(CH$38,$E180)&lt;MAX($P$34*($B180+$I$38-1),IF(AND($L$37=0,$P$34=0),"",$L$37-1)),0,YEARFRAC(MAX($P$34*($B180+$I$38-1),IF(AND($L$37=0,$P$34=0),"",$L$37-1)),MIN(CH$38,$E180),$P$20))-SUM($BF180:CG180))</f>
        <v>0</v>
      </c>
      <c r="CI180" s="446">
        <f>IF($E180=0,0,IF(MIN(CI$38,$E180)&lt;MAX($P$34*($B180+$I$38-1),IF(AND($L$37=0,$P$34=0),"",$L$37-1)),0,YEARFRAC(MAX($P$34*($B180+$I$38-1),IF(AND($L$37=0,$P$34=0),"",$L$37-1)),MIN(CI$38,$E180),$P$20))-SUM($BF180:CH180))</f>
        <v>0</v>
      </c>
      <c r="CJ180" s="446">
        <f>IF($E180=0,0,IF(MIN(CJ$38,$E180)&lt;MAX($P$34*($B180+$I$38-1),IF(AND($L$37=0,$P$34=0),"",$L$37-1)),0,YEARFRAC(MAX($P$34*($B180+$I$38-1),IF(AND($L$37=0,$P$34=0),"",$L$37-1)),MIN(CJ$38,$E180),$P$20))-SUM($BF180:CI180))</f>
        <v>0</v>
      </c>
      <c r="CK180" s="446">
        <f>IF($E180=0,0,IF(MIN(CK$38,$E180)&lt;MAX($P$34*($B180+$I$38-1),IF(AND($L$37=0,$P$34=0),"",$L$37-1)),0,YEARFRAC(MAX($P$34*($B180+$I$38-1),IF(AND($L$37=0,$P$34=0),"",$L$37-1)),MIN(CK$38,$E180),$P$20))-SUM($BF180:CJ180))</f>
        <v>0</v>
      </c>
      <c r="CL180" s="446">
        <f>IF($E180=0,0,IF(MIN(CL$38,$E180)&lt;MAX($P$34*($B180+$I$38-1),IF(AND($L$37=0,$P$34=0),"",$L$37-1)),0,YEARFRAC(MAX($P$34*($B180+$I$38-1),IF(AND($L$37=0,$P$34=0),"",$L$37-1)),MIN(CL$38,$E180),$P$20))-SUM($BF180:CK180))</f>
        <v>0</v>
      </c>
      <c r="CM180" s="446">
        <f>IF($E180=0,0,IF(MIN(CM$38,$E180)&lt;MAX($P$34*($B180+$I$38-1),IF(AND($L$37=0,$P$34=0),"",$L$37-1)),0,YEARFRAC(MAX($P$34*($B180+$I$38-1),IF(AND($L$37=0,$P$34=0),"",$L$37-1)),MIN(CM$38,$E180),$P$20))-SUM($BF180:CL180))</f>
        <v>0</v>
      </c>
      <c r="CN180" s="446">
        <f>IF($E180=0,0,IF(MIN(CN$38,$E180)&lt;MAX($P$34*($B180+$I$38-1),IF(AND($L$37=0,$P$34=0),"",$L$37-1)),0,YEARFRAC(MAX($P$34*($B180+$I$38-1),IF(AND($L$37=0,$P$34=0),"",$L$37-1)),MIN(CN$38,$E180),$P$20))-SUM($BF180:CM180))</f>
        <v>0</v>
      </c>
      <c r="CO180" s="446">
        <f>IF($E180=0,0,IF(MIN(CO$38,$E180)&lt;MAX($P$34*($B180+$I$38-1),IF(AND($L$37=0,$P$34=0),"",$L$37-1)),0,YEARFRAC(MAX($P$34*($B180+$I$38-1),IF(AND($L$37=0,$P$34=0),"",$L$37-1)),MIN(CO$38,$E180),$P$20))-SUM($BF180:CN180))</f>
        <v>0</v>
      </c>
      <c r="CP180" s="446">
        <f>IF($E180=0,0,IF(MIN(CP$38,$E180)&lt;MAX($P$34*($B180+$I$38-1),IF(AND($L$37=0,$P$34=0),"",$L$37-1)),0,YEARFRAC(MAX($P$34*($B180+$I$38-1),IF(AND($L$37=0,$P$34=0),"",$L$37-1)),MIN(CP$38,$E180),$P$20))-SUM($BF180:CO180))</f>
        <v>0</v>
      </c>
      <c r="CQ180" s="446">
        <f>IF($E180=0,0,IF(MIN(CQ$38,$E180)&lt;MAX($P$34*($B180+$I$38-1),IF(AND($L$37=0,$P$34=0),"",$L$37-1)),0,YEARFRAC(MAX($P$34*($B180+$I$38-1),IF(AND($L$37=0,$P$34=0),"",$L$37-1)),MIN(CQ$38,$E180),$P$20))-SUM($BF180:CP180))</f>
        <v>0</v>
      </c>
    </row>
    <row r="181" spans="1:95" s="446" customFormat="1" ht="11.25" hidden="1" customHeight="1" x14ac:dyDescent="0.2">
      <c r="A181" s="152"/>
      <c r="B181" s="153" t="str">
        <f t="shared" si="37"/>
        <v/>
      </c>
      <c r="C181" s="29" t="str">
        <f>IF(B181="","",IF($L$35="SELIC - TRIBUTOS",VLOOKUP(DATE(YEAR($D$19),MONTH($D$19)-1,1),ÍNDICES!$A:$DE,HLOOKUP($BL$25,ÍNDICES!$B$3:$T$4,2)+11)-VLOOKUP(B181,ÍNDICES!$A:$DE,HLOOKUP($BL$25,ÍNDICES!$B$3:$T$4,2)+11)+1%,IF(C$38=$W$26,$J$35,IF(ISERROR(IF(B181&gt;$D$19,1,VLOOKUP(DATE(YEAR(B181),MONTH(B181)+IF($C$35=$S$23,1,0),1),ÍNDICES!$A:$DE,$Z$35+1))),"",IF(B181&gt;$D$19,1,VLOOKUP(DATE(YEAR(B181),MONTH(B181)+IF($C$35=$S$23,1,0),1),ÍNDICES!$A:$DE,$Z$35+1))))))</f>
        <v/>
      </c>
      <c r="D181" s="154" t="str">
        <f>IF(ISERROR(IF(OR($D$38=$Y$27,$B181=""),"",VLOOKUP(B181,ÍNDICES!A:DE,AF$35+1))),"",IF(OR($D$38=$Y$27,$B181=""),"",VLOOKUP(B181,ÍNDICES!A:DE,AF$35+1)))</f>
        <v/>
      </c>
      <c r="E181" s="153"/>
      <c r="F181" s="29" t="str">
        <f>IF(E181="","",IF($L$35="SELIC - TRIBUTOS",VLOOKUP(DATE(YEAR($D$19),MONTH($D$19)-1,1),ÍNDICES!$A:$DE,HLOOKUP($BL$25,ÍNDICES!$B$3:$T$4,2)+11)-VLOOKUP(E181,ÍNDICES!$A:$DE,HLOOKUP($BL$25,ÍNDICES!$B$3:$T$4,2)+11)+1%,IF(F$38=$W$26,$J$35,IF(ISERROR(IF(E181&gt;$D$19,1,VLOOKUP(DATE(YEAR(E181),MONTH(E181)+IF($C$35=$S$23,1,0),1),ÍNDICES!$A:$DE,$Z$35+1))),"",IF(E181&gt;$D$19,1,VLOOKUP(DATE(YEAR(E181),MONTH(E181)+IF($C$35=$S$23,1,0),1),ÍNDICES!$A:$DE,$Z$35+1))))))</f>
        <v/>
      </c>
      <c r="G181" s="155"/>
      <c r="H181" s="156" t="str">
        <f t="shared" si="33"/>
        <v/>
      </c>
      <c r="I181" s="29" t="str">
        <f t="shared" si="27"/>
        <v/>
      </c>
      <c r="J181" s="5">
        <f t="shared" si="28"/>
        <v>0</v>
      </c>
      <c r="K181" s="20">
        <f t="shared" ca="1" si="29"/>
        <v>0</v>
      </c>
      <c r="L181" s="5">
        <f t="shared" ca="1" si="30"/>
        <v>0</v>
      </c>
      <c r="M181" s="64">
        <f t="shared" si="34"/>
        <v>0</v>
      </c>
      <c r="N181" s="61">
        <f t="shared" ca="1" si="35"/>
        <v>0</v>
      </c>
      <c r="O181" s="5">
        <f t="shared" ca="1" si="36"/>
        <v>0</v>
      </c>
      <c r="P181" s="446" t="e">
        <f t="shared" si="31"/>
        <v>#VALUE!</v>
      </c>
      <c r="Q181" s="446" t="e">
        <f>IF(OR($B181="",MIN(Q$38,$D$19)&lt;MAX($P$34*($B181+IF($R$17="Distrato",$I$38-1,0)),IF(AND($L$37=0,$P$34=0),"",$L$37-1),IF($R$17="Distrato",$E181,0))),0,YEARFRAC(MAX($P$34*($B181+IF($R$17="Distrato",$I$38-1,0)),IF(AND($L$37=0,$P$34=0),"",$L$37-1),IF($R$17="Distrato",$E181,0)),MIN(Q$38,$D$19),$P$20))-SUM($P181:P181)</f>
        <v>#VALUE!</v>
      </c>
      <c r="R181" s="446" t="e">
        <f>IF(OR($B181="",MIN(R$38,$D$19)&lt;MAX($P$34*($B181+IF($R$17="Distrato",$I$38-1,0)),IF(AND($L$37=0,$P$34=0),"",$L$37-1),IF($R$17="Distrato",$E181,0))),0,YEARFRAC(MAX($P$34*($B181+IF($R$17="Distrato",$I$38-1,0)),IF(AND($L$37=0,$P$34=0),"",$L$37-1),IF($R$17="Distrato",$E181,0)),MIN(R$38,$D$19),$P$20))-SUM($P181:Q181)</f>
        <v>#VALUE!</v>
      </c>
      <c r="S181" s="446" t="e">
        <f>IF(OR($B181="",MIN(S$38,$D$19)&lt;MAX($P$34*($B181+IF($R$17="Distrato",$I$38-1,0)),IF(AND($L$37=0,$P$34=0),"",$L$37-1),IF($R$17="Distrato",$E181,0))),0,YEARFRAC(MAX($P$34*($B181+IF($R$17="Distrato",$I$38-1,0)),IF(AND($L$37=0,$P$34=0),"",$L$37-1),IF($R$17="Distrato",$E181,0)),MIN(S$38,$D$19),$P$20))-SUM($P181:R181)</f>
        <v>#VALUE!</v>
      </c>
      <c r="T181" s="446" t="e">
        <f>IF(OR($B181="",MIN(T$38,$D$19)&lt;MAX($P$34*($B181+IF($R$17="Distrato",$I$38-1,0)),IF(AND($L$37=0,$P$34=0),"",$L$37-1),IF($R$17="Distrato",$E181,0))),0,YEARFRAC(MAX($P$34*($B181+IF($R$17="Distrato",$I$38-1,0)),IF(AND($L$37=0,$P$34=0),"",$L$37-1),IF($R$17="Distrato",$E181,0)),MIN(T$38,$D$19),$P$20))-SUM($P181:S181)</f>
        <v>#VALUE!</v>
      </c>
      <c r="U181" s="446" t="e">
        <f>IF(OR($B181="",MIN(U$38,$D$19)&lt;MAX($P$34*($B181+IF($R$17="Distrato",$I$38-1,0)),IF(AND($L$37=0,$P$34=0),"",$L$37-1),IF($R$17="Distrato",$E181,0))),0,YEARFRAC(MAX($P$34*($B181+IF($R$17="Distrato",$I$38-1,0)),IF(AND($L$37=0,$P$34=0),"",$L$37-1),IF($R$17="Distrato",$E181,0)),MIN(U$38,$D$19),$P$20))-SUM($P181:T181)</f>
        <v>#VALUE!</v>
      </c>
      <c r="V181" s="446" t="e">
        <f>IF(OR($B181="",MIN(V$38,$D$19)&lt;MAX($P$34*($B181+IF($R$17="Distrato",$I$38-1,0)),IF(AND($L$37=0,$P$34=0),"",$L$37-1),IF($R$17="Distrato",$E181,0))),0,YEARFRAC(MAX($P$34*($B181+IF($R$17="Distrato",$I$38-1,0)),IF(AND($L$37=0,$P$34=0),"",$L$37-1),IF($R$17="Distrato",$E181,0)),MIN(V$38,$D$19),$P$20))-SUM($P181:U181)</f>
        <v>#VALUE!</v>
      </c>
      <c r="W181" s="446" t="e">
        <f>IF(OR($B181="",MIN(W$38,$D$19)&lt;MAX($P$34*($B181+IF($R$17="Distrato",$I$38-1,0)),IF(AND($L$37=0,$P$34=0),"",$L$37-1),IF($R$17="Distrato",$E181,0))),0,YEARFRAC(MAX($P$34*($B181+IF($R$17="Distrato",$I$38-1,0)),IF(AND($L$37=0,$P$34=0),"",$L$37-1),IF($R$17="Distrato",$E181,0)),MIN(W$38,$D$19),$P$20))-SUM($P181:V181)</f>
        <v>#VALUE!</v>
      </c>
      <c r="X181" s="446" t="e">
        <f>IF(OR($B181="",MIN(X$38,$D$19)&lt;MAX($P$34*($B181+IF($R$17="Distrato",$I$38-1,0)),IF(AND($L$37=0,$P$34=0),"",$L$37-1),IF($R$17="Distrato",$E181,0))),0,YEARFRAC(MAX($P$34*($B181+IF($R$17="Distrato",$I$38-1,0)),IF(AND($L$37=0,$P$34=0),"",$L$37-1),IF($R$17="Distrato",$E181,0)),MIN(X$38,$D$19),$P$20))-SUM($P181:W181)</f>
        <v>#VALUE!</v>
      </c>
      <c r="Y181" s="446" t="e">
        <f>IF(OR($B181="",MIN(Y$38,$D$19)&lt;MAX($P$34*($B181+IF($R$17="Distrato",$I$38-1,0)),IF(AND($L$37=0,$P$34=0),"",$L$37-1),IF($R$17="Distrato",$E181,0))),0,YEARFRAC(MAX($P$34*($B181+IF($R$17="Distrato",$I$38-1,0)),IF(AND($L$37=0,$P$34=0),"",$L$37-1),IF($R$17="Distrato",$E181,0)),MIN(Y$38,$D$19),$P$20))-SUM($P181:X181)</f>
        <v>#VALUE!</v>
      </c>
      <c r="Z181" s="446" t="e">
        <f>IF(OR($B181="",MIN(Z$38,$D$19)&lt;MAX($P$34*($B181+IF($R$17="Distrato",$I$38-1,0)),IF(AND($L$37=0,$P$34=0),"",$L$37-1),IF($R$17="Distrato",$E181,0))),0,YEARFRAC(MAX($P$34*($B181+IF($R$17="Distrato",$I$38-1,0)),IF(AND($L$37=0,$P$34=0),"",$L$37-1),IF($R$17="Distrato",$E181,0)),MIN(Z$38,$D$19),$P$20))-SUM($P181:Y181)</f>
        <v>#VALUE!</v>
      </c>
      <c r="AA181" s="446" t="e">
        <f>IF(OR($B181="",MIN(AA$38,$D$19)&lt;MAX($P$34*($B181+IF($R$17="Distrato",$I$38-1,0)),IF(AND($L$37=0,$P$34=0),"",$L$37-1),IF($R$17="Distrato",$E181,0))),0,YEARFRAC(MAX($P$34*($B181+IF($R$17="Distrato",$I$38-1,0)),IF(AND($L$37=0,$P$34=0),"",$L$37-1),IF($R$17="Distrato",$E181,0)),MIN(AA$38,$D$19),$P$20))-SUM($P181:Z181)</f>
        <v>#VALUE!</v>
      </c>
      <c r="AB181" s="446" t="e">
        <f>IF(OR($B181="",MIN(AB$38,$D$19)&lt;MAX($P$34*($B181+IF($R$17="Distrato",$I$38-1,0)),IF(AND($L$37=0,$P$34=0),"",$L$37-1),IF($R$17="Distrato",$E181,0))),0,YEARFRAC(MAX($P$34*($B181+IF($R$17="Distrato",$I$38-1,0)),IF(AND($L$37=0,$P$34=0),"",$L$37-1),IF($R$17="Distrato",$E181,0)),MIN(AB$38,$D$19),$P$20))-SUM($P181:AA181)</f>
        <v>#VALUE!</v>
      </c>
      <c r="AC181" s="446" t="e">
        <f>IF(OR($B181="",MIN(AC$38,$D$19)&lt;MAX($P$34*($B181+IF($R$17="Distrato",$I$38-1,0)),IF(AND($L$37=0,$P$34=0),"",$L$37-1),IF($R$17="Distrato",$E181,0))),0,YEARFRAC(MAX($P$34*($B181+IF($R$17="Distrato",$I$38-1,0)),IF(AND($L$37=0,$P$34=0),"",$L$37-1),IF($R$17="Distrato",$E181,0)),MIN(AC$38,$D$19),$P$20))-SUM($P181:AB181)</f>
        <v>#VALUE!</v>
      </c>
      <c r="AD181" s="446" t="e">
        <f>IF(OR($B181="",MIN(AD$38,$D$19)&lt;MAX($P$34*($B181+IF($R$17="Distrato",$I$38-1,0)),IF(AND($L$37=0,$P$34=0),"",$L$37-1),IF($R$17="Distrato",$E181,0))),0,YEARFRAC(MAX($P$34*($B181+IF($R$17="Distrato",$I$38-1,0)),IF(AND($L$37=0,$P$34=0),"",$L$37-1),IF($R$17="Distrato",$E181,0)),MIN(AD$38,$D$19),$P$20))-SUM($P181:AC181)</f>
        <v>#VALUE!</v>
      </c>
      <c r="AE181" s="446" t="e">
        <f>IF(OR($B181="",MIN(AE$38,$D$19)&lt;MAX($P$34*($B181+IF($R$17="Distrato",$I$38-1,0)),IF(AND($L$37=0,$P$34=0),"",$L$37-1),IF($R$17="Distrato",$E181,0))),0,YEARFRAC(MAX($P$34*($B181+IF($R$17="Distrato",$I$38-1,0)),IF(AND($L$37=0,$P$34=0),"",$L$37-1),IF($R$17="Distrato",$E181,0)),MIN(AE$38,$D$19),$P$20))-SUM($P181:AD181)</f>
        <v>#VALUE!</v>
      </c>
      <c r="AF181" s="446" t="e">
        <f>IF(OR($B181="",MIN(AF$38,$D$19)&lt;MAX($P$34*($B181+IF($R$17="Distrato",$I$38-1,0)),IF(AND($L$37=0,$P$34=0),"",$L$37-1),IF($R$17="Distrato",$E181,0))),0,YEARFRAC(MAX($P$34*($B181+IF($R$17="Distrato",$I$38-1,0)),IF(AND($L$37=0,$P$34=0),"",$L$37-1),IF($R$17="Distrato",$E181,0)),MIN(AF$38,$D$19),$P$20))-SUM($P181:AE181)</f>
        <v>#VALUE!</v>
      </c>
      <c r="AG181" s="446" t="e">
        <f>IF(OR($B181="",MIN(AG$38,$D$19)&lt;MAX($P$34*($B181+IF($R$17="Distrato",$I$38-1,0)),IF(AND($L$37=0,$P$34=0),"",$L$37-1),IF($R$17="Distrato",$E181,0))),0,YEARFRAC(MAX($P$34*($B181+IF($R$17="Distrato",$I$38-1,0)),IF(AND($L$37=0,$P$34=0),"",$L$37-1),IF($R$17="Distrato",$E181,0)),MIN(AG$38,$D$19),$P$20))-SUM($P181:AF181)</f>
        <v>#VALUE!</v>
      </c>
      <c r="AH181" s="446" t="e">
        <f>IF(OR($B181="",MIN(AH$38,$D$19)&lt;MAX($P$34*($B181+IF($R$17="Distrato",$I$38-1,0)),IF(AND($L$37=0,$P$34=0),"",$L$37-1),IF($R$17="Distrato",$E181,0))),0,YEARFRAC(MAX($P$34*($B181+IF($R$17="Distrato",$I$38-1,0)),IF(AND($L$37=0,$P$34=0),"",$L$37-1),IF($R$17="Distrato",$E181,0)),MIN(AH$38,$D$19),$P$20))-SUM($P181:AG181)</f>
        <v>#VALUE!</v>
      </c>
      <c r="AI181" s="446" t="e">
        <f>IF(OR($B181="",MIN(AI$38,$D$19)&lt;MAX($P$34*($B181+IF($R$17="Distrato",$I$38-1,0)),IF(AND($L$37=0,$P$34=0),"",$L$37-1),IF($R$17="Distrato",$E181,0))),0,YEARFRAC(MAX($P$34*($B181+IF($R$17="Distrato",$I$38-1,0)),IF(AND($L$37=0,$P$34=0),"",$L$37-1),IF($R$17="Distrato",$E181,0)),MIN(AI$38,$D$19),$P$20))-SUM($P181:AH181)</f>
        <v>#VALUE!</v>
      </c>
      <c r="AJ181" s="446" t="e">
        <f>IF(OR($B181="",MIN(AJ$38,$D$19)&lt;MAX($P$34*($B181+IF($R$17="Distrato",$I$38-1,0)),IF(AND($L$37=0,$P$34=0),"",$L$37-1),IF($R$17="Distrato",$E181,0))),0,YEARFRAC(MAX($P$34*($B181+IF($R$17="Distrato",$I$38-1,0)),IF(AND($L$37=0,$P$34=0),"",$L$37-1),IF($R$17="Distrato",$E181,0)),MIN(AJ$38,$D$19),$P$20))-SUM($P181:AI181)</f>
        <v>#VALUE!</v>
      </c>
      <c r="AK181" s="446" t="e">
        <f>IF(OR($B181="",MIN(AK$38,$D$19)&lt;MAX($P$34*($B181+IF($R$17="Distrato",$I$38-1,0)),IF(AND($L$37=0,$P$34=0),"",$L$37-1),IF($R$17="Distrato",$E181,0))),0,YEARFRAC(MAX($P$34*($B181+IF($R$17="Distrato",$I$38-1,0)),IF(AND($L$37=0,$P$34=0),"",$L$37-1),IF($R$17="Distrato",$E181,0)),MIN(AK$38,$D$19),$P$20))-SUM($P181:AJ181)</f>
        <v>#VALUE!</v>
      </c>
      <c r="AL181" s="446" t="e">
        <f>IF(OR($B181="",MIN(AL$38,$D$19)&lt;MAX($P$34*($B181+IF($R$17="Distrato",$I$38-1,0)),IF(AND($L$37=0,$P$34=0),"",$L$37-1),IF($R$17="Distrato",$E181,0))),0,YEARFRAC(MAX($P$34*($B181+IF($R$17="Distrato",$I$38-1,0)),IF(AND($L$37=0,$P$34=0),"",$L$37-1),IF($R$17="Distrato",$E181,0)),MIN(AL$38,$D$19),$P$20))-SUM($P181:AK181)</f>
        <v>#VALUE!</v>
      </c>
      <c r="AM181" s="446" t="e">
        <f>IF(OR($B181="",MIN(AM$38,$D$19)&lt;MAX($P$34*($B181+IF($R$17="Distrato",$I$38-1,0)),IF(AND($L$37=0,$P$34=0),"",$L$37-1),IF($R$17="Distrato",$E181,0))),0,YEARFRAC(MAX($P$34*($B181+IF($R$17="Distrato",$I$38-1,0)),IF(AND($L$37=0,$P$34=0),"",$L$37-1),IF($R$17="Distrato",$E181,0)),MIN(AM$38,$D$19),$P$20))-SUM($P181:AL181)</f>
        <v>#VALUE!</v>
      </c>
      <c r="AN181" s="446" t="e">
        <f>IF(OR($B181="",MIN(AN$38,$D$19)&lt;MAX($P$34*($B181+IF($R$17="Distrato",$I$38-1,0)),IF(AND($L$37=0,$P$34=0),"",$L$37-1),IF($R$17="Distrato",$E181,0))),0,YEARFRAC(MAX($P$34*($B181+IF($R$17="Distrato",$I$38-1,0)),IF(AND($L$37=0,$P$34=0),"",$L$37-1),IF($R$17="Distrato",$E181,0)),MIN(AN$38,$D$19),$P$20))-SUM($P181:AM181)</f>
        <v>#VALUE!</v>
      </c>
      <c r="AO181" s="446" t="e">
        <f>IF(OR($B181="",MIN(AO$38,$D$19)&lt;MAX($P$34*($B181+IF($R$17="Distrato",$I$38-1,0)),IF(AND($L$37=0,$P$34=0),"",$L$37-1),IF($R$17="Distrato",$E181,0))),0,YEARFRAC(MAX($P$34*($B181+IF($R$17="Distrato",$I$38-1,0)),IF(AND($L$37=0,$P$34=0),"",$L$37-1),IF($R$17="Distrato",$E181,0)),MIN(AO$38,$D$19),$P$20))-SUM($P181:AN181)</f>
        <v>#VALUE!</v>
      </c>
      <c r="AP181" s="446" t="e">
        <f>IF(OR($B181="",MIN(AP$38,$D$19)&lt;MAX($P$34*($B181+IF($R$17="Distrato",$I$38-1,0)),IF(AND($L$37=0,$P$34=0),"",$L$37-1),IF($R$17="Distrato",$E181,0))),0,YEARFRAC(MAX($P$34*($B181+IF($R$17="Distrato",$I$38-1,0)),IF(AND($L$37=0,$P$34=0),"",$L$37-1),IF($R$17="Distrato",$E181,0)),MIN(AP$38,$D$19),$P$20))-SUM($P181:AO181)</f>
        <v>#VALUE!</v>
      </c>
      <c r="AQ181" s="446" t="e">
        <f>IF(OR($B181="",MIN(AQ$38,$D$19)&lt;MAX($P$34*($B181+IF($R$17="Distrato",$I$38-1,0)),IF(AND($L$37=0,$P$34=0),"",$L$37-1),IF($R$17="Distrato",$E181,0))),0,YEARFRAC(MAX($P$34*($B181+IF($R$17="Distrato",$I$38-1,0)),IF(AND($L$37=0,$P$34=0),"",$L$37-1),IF($R$17="Distrato",$E181,0)),MIN(AQ$38,$D$19),$P$20))-SUM($P181:AP181)</f>
        <v>#VALUE!</v>
      </c>
      <c r="AR181" s="446" t="e">
        <f>IF(OR($B181="",MIN(AR$38,$D$19)&lt;MAX($P$34*($B181+IF($R$17="Distrato",$I$38-1,0)),IF(AND($L$37=0,$P$34=0),"",$L$37-1),IF($R$17="Distrato",$E181,0))),0,YEARFRAC(MAX($P$34*($B181+IF($R$17="Distrato",$I$38-1,0)),IF(AND($L$37=0,$P$34=0),"",$L$37-1),IF($R$17="Distrato",$E181,0)),MIN(AR$38,$D$19),$P$20))-SUM($P181:AQ181)</f>
        <v>#VALUE!</v>
      </c>
      <c r="AS181" s="446" t="e">
        <f>IF(OR($B181="",MIN(AS$38,$D$19)&lt;MAX($P$34*($B181+IF($R$17="Distrato",$I$38-1,0)),IF(AND($L$37=0,$P$34=0),"",$L$37-1),IF($R$17="Distrato",$E181,0))),0,YEARFRAC(MAX($P$34*($B181+IF($R$17="Distrato",$I$38-1,0)),IF(AND($L$37=0,$P$34=0),"",$L$37-1),IF($R$17="Distrato",$E181,0)),MIN(AS$38,$D$19),$P$20))-SUM($P181:AR181)</f>
        <v>#VALUE!</v>
      </c>
      <c r="AT181" s="446" t="e">
        <f>IF(OR($B181="",MIN(AT$38,$D$19)&lt;MAX($P$34*($B181+IF($R$17="Distrato",$I$38-1,0)),IF(AND($L$37=0,$P$34=0),"",$L$37-1),IF($R$17="Distrato",$E181,0))),0,YEARFRAC(MAX($P$34*($B181+IF($R$17="Distrato",$I$38-1,0)),IF(AND($L$37=0,$P$34=0),"",$L$37-1),IF($R$17="Distrato",$E181,0)),MIN(AT$38,$D$19),$P$20))-SUM($P181:AS181)</f>
        <v>#VALUE!</v>
      </c>
      <c r="AU181" s="446" t="e">
        <f>IF(OR($B181="",MIN(AU$38,$D$19)&lt;MAX($P$34*($B181+IF($R$17="Distrato",$I$38-1,0)),IF(AND($L$37=0,$P$34=0),"",$L$37-1),IF($R$17="Distrato",$E181,0))),0,YEARFRAC(MAX($P$34*($B181+IF($R$17="Distrato",$I$38-1,0)),IF(AND($L$37=0,$P$34=0),"",$L$37-1),IF($R$17="Distrato",$E181,0)),MIN(AU$38,$D$19),$P$20))-SUM($P181:AT181)</f>
        <v>#VALUE!</v>
      </c>
      <c r="AV181" s="446" t="e">
        <f>IF(OR($B181="",MIN(AV$38,$D$19)&lt;MAX($P$34*($B181+IF($R$17="Distrato",$I$38-1,0)),IF(AND($L$37=0,$P$34=0),"",$L$37-1),IF($R$17="Distrato",$E181,0))),0,YEARFRAC(MAX($P$34*($B181+IF($R$17="Distrato",$I$38-1,0)),IF(AND($L$37=0,$P$34=0),"",$L$37-1),IF($R$17="Distrato",$E181,0)),MIN(AV$38,$D$19),$P$20))-SUM($P181:AU181)</f>
        <v>#VALUE!</v>
      </c>
      <c r="AW181" s="446" t="e">
        <f>IF(OR($B181="",MIN(AW$38,$D$19)&lt;MAX($P$34*($B181+IF($R$17="Distrato",$I$38-1,0)),IF(AND($L$37=0,$P$34=0),"",$L$37-1),IF($R$17="Distrato",$E181,0))),0,YEARFRAC(MAX($P$34*($B181+IF($R$17="Distrato",$I$38-1,0)),IF(AND($L$37=0,$P$34=0),"",$L$37-1),IF($R$17="Distrato",$E181,0)),MIN(AW$38,$D$19),$P$20))-SUM($P181:AV181)</f>
        <v>#VALUE!</v>
      </c>
      <c r="AX181" s="446" t="e">
        <f>IF(OR($B181="",MIN(AX$38,$D$19)&lt;MAX($P$34*($B181+IF($R$17="Distrato",$I$38-1,0)),IF(AND($L$37=0,$P$34=0),"",$L$37-1),IF($R$17="Distrato",$E181,0))),0,YEARFRAC(MAX($P$34*($B181+IF($R$17="Distrato",$I$38-1,0)),IF(AND($L$37=0,$P$34=0),"",$L$37-1),IF($R$17="Distrato",$E181,0)),MIN(AX$38,$D$19),$P$20))-SUM($P181:AW181)</f>
        <v>#VALUE!</v>
      </c>
      <c r="AY181" s="446" t="e">
        <f>IF(OR($B181="",MIN(AY$38,$D$19)&lt;MAX($P$34*($B181+IF($R$17="Distrato",$I$38-1,0)),IF(AND($L$37=0,$P$34=0),"",$L$37-1),IF($R$17="Distrato",$E181,0))),0,YEARFRAC(MAX($P$34*($B181+IF($R$17="Distrato",$I$38-1,0)),IF(AND($L$37=0,$P$34=0),"",$L$37-1),IF($R$17="Distrato",$E181,0)),MIN(AY$38,$D$19),$P$20))-SUM($P181:AX181)</f>
        <v>#VALUE!</v>
      </c>
      <c r="AZ181" s="446" t="e">
        <f>IF(OR($B181="",MIN(AZ$38,$D$19)&lt;MAX($P$34*($B181+IF($R$17="Distrato",$I$38-1,0)),IF(AND($L$37=0,$P$34=0),"",$L$37-1),IF($R$17="Distrato",$E181,0))),0,YEARFRAC(MAX($P$34*($B181+IF($R$17="Distrato",$I$38-1,0)),IF(AND($L$37=0,$P$34=0),"",$L$37-1),IF($R$17="Distrato",$E181,0)),MIN(AZ$38,$D$19),$P$20))-SUM($P181:AY181)</f>
        <v>#VALUE!</v>
      </c>
      <c r="BA181" s="446" t="e">
        <f>IF(OR($B181="",MIN(BA$38,$D$19)&lt;MAX($P$34*($B181+IF($R$17="Distrato",$I$38-1,0)),IF(AND($L$37=0,$P$34=0),"",$L$37-1),IF($R$17="Distrato",$E181,0))),0,YEARFRAC(MAX($P$34*($B181+IF($R$17="Distrato",$I$38-1,0)),IF(AND($L$37=0,$P$34=0),"",$L$37-1),IF($R$17="Distrato",$E181,0)),MIN(BA$38,$D$19),$P$20))-SUM($P181:AZ181)</f>
        <v>#VALUE!</v>
      </c>
      <c r="BB181" s="447"/>
      <c r="BF181" s="446">
        <f t="shared" si="32"/>
        <v>0</v>
      </c>
      <c r="BG181" s="446">
        <f>IF($E181=0,0,IF(MIN(BG$38,$E181)&lt;MAX($P$34*($B181+$I$38-1),IF(AND($L$37=0,$P$34=0),"",$L$37-1)),0,YEARFRAC(MAX($P$34*($B181+$I$38-1),IF(AND($L$37=0,$P$34=0),"",$L$37-1)),MIN(BG$38,$E181),$P$20))-SUM($BF181:BF181))</f>
        <v>0</v>
      </c>
      <c r="BH181" s="446">
        <f>IF($E181=0,0,IF(MIN(BH$38,$E181)&lt;MAX($P$34*($B181+$I$38-1),IF(AND($L$37=0,$P$34=0),"",$L$37-1)),0,YEARFRAC(MAX($P$34*($B181+$I$38-1),IF(AND($L$37=0,$P$34=0),"",$L$37-1)),MIN(BH$38,$E181),$P$20))-SUM($BF181:BG181))</f>
        <v>0</v>
      </c>
      <c r="BI181" s="446">
        <f>IF($E181=0,0,IF(MIN(BI$38,$E181)&lt;MAX($P$34*($B181+$I$38-1),IF(AND($L$37=0,$P$34=0),"",$L$37-1)),0,YEARFRAC(MAX($P$34*($B181+$I$38-1),IF(AND($L$37=0,$P$34=0),"",$L$37-1)),MIN(BI$38,$E181),$P$20))-SUM($BF181:BH181))</f>
        <v>0</v>
      </c>
      <c r="BJ181" s="446">
        <f>IF($E181=0,0,IF(MIN(BJ$38,$E181)&lt;MAX($P$34*($B181+$I$38-1),IF(AND($L$37=0,$P$34=0),"",$L$37-1)),0,YEARFRAC(MAX($P$34*($B181+$I$38-1),IF(AND($L$37=0,$P$34=0),"",$L$37-1)),MIN(BJ$38,$E181),$P$20))-SUM($BF181:BI181))</f>
        <v>0</v>
      </c>
      <c r="BK181" s="446">
        <f>IF($E181=0,0,IF(MIN(BK$38,$E181)&lt;MAX($P$34*($B181+$I$38-1),IF(AND($L$37=0,$P$34=0),"",$L$37-1)),0,YEARFRAC(MAX($P$34*($B181+$I$38-1),IF(AND($L$37=0,$P$34=0),"",$L$37-1)),MIN(BK$38,$E181),$P$20))-SUM($BF181:BJ181))</f>
        <v>0</v>
      </c>
      <c r="BL181" s="446">
        <f>IF($E181=0,0,IF(MIN(BL$38,$E181)&lt;MAX($P$34*($B181+$I$38-1),IF(AND($L$37=0,$P$34=0),"",$L$37-1)),0,YEARFRAC(MAX($P$34*($B181+$I$38-1),IF(AND($L$37=0,$P$34=0),"",$L$37-1)),MIN(BL$38,$E181),$P$20))-SUM($BF181:BK181))</f>
        <v>0</v>
      </c>
      <c r="BM181" s="446">
        <f>IF($E181=0,0,IF(MIN(BM$38,$E181)&lt;MAX($P$34*($B181+$I$38-1),IF(AND($L$37=0,$P$34=0),"",$L$37-1)),0,YEARFRAC(MAX($P$34*($B181+$I$38-1),IF(AND($L$37=0,$P$34=0),"",$L$37-1)),MIN(BM$38,$E181),$P$20))-SUM($BF181:BL181))</f>
        <v>0</v>
      </c>
      <c r="BN181" s="446">
        <f>IF($E181=0,0,IF(MIN(BN$38,$E181)&lt;MAX($P$34*($B181+$I$38-1),IF(AND($L$37=0,$P$34=0),"",$L$37-1)),0,YEARFRAC(MAX($P$34*($B181+$I$38-1),IF(AND($L$37=0,$P$34=0),"",$L$37-1)),MIN(BN$38,$E181),$P$20))-SUM($BF181:BM181))</f>
        <v>0</v>
      </c>
      <c r="BO181" s="446">
        <f>IF($E181=0,0,IF(MIN(BO$38,$E181)&lt;MAX($P$34*($B181+$I$38-1),IF(AND($L$37=0,$P$34=0),"",$L$37-1)),0,YEARFRAC(MAX($P$34*($B181+$I$38-1),IF(AND($L$37=0,$P$34=0),"",$L$37-1)),MIN(BO$38,$E181),$P$20))-SUM($BF181:BN181))</f>
        <v>0</v>
      </c>
      <c r="BP181" s="446">
        <f>IF($E181=0,0,IF(MIN(BP$38,$E181)&lt;MAX($P$34*($B181+$I$38-1),IF(AND($L$37=0,$P$34=0),"",$L$37-1)),0,YEARFRAC(MAX($P$34*($B181+$I$38-1),IF(AND($L$37=0,$P$34=0),"",$L$37-1)),MIN(BP$38,$E181),$P$20))-SUM($BF181:BO181))</f>
        <v>0</v>
      </c>
      <c r="BQ181" s="446">
        <f>IF($E181=0,0,IF(MIN(BQ$38,$E181)&lt;MAX($P$34*($B181+$I$38-1),IF(AND($L$37=0,$P$34=0),"",$L$37-1)),0,YEARFRAC(MAX($P$34*($B181+$I$38-1),IF(AND($L$37=0,$P$34=0),"",$L$37-1)),MIN(BQ$38,$E181),$P$20))-SUM($BF181:BP181))</f>
        <v>0</v>
      </c>
      <c r="BR181" s="446">
        <f>IF($E181=0,0,IF(MIN(BR$38,$E181)&lt;MAX($P$34*($B181+$I$38-1),IF(AND($L$37=0,$P$34=0),"",$L$37-1)),0,YEARFRAC(MAX($P$34*($B181+$I$38-1),IF(AND($L$37=0,$P$34=0),"",$L$37-1)),MIN(BR$38,$E181),$P$20))-SUM($BF181:BQ181))</f>
        <v>0</v>
      </c>
      <c r="BS181" s="446">
        <f>IF($E181=0,0,IF(MIN(BS$38,$E181)&lt;MAX($P$34*($B181+$I$38-1),IF(AND($L$37=0,$P$34=0),"",$L$37-1)),0,YEARFRAC(MAX($P$34*($B181+$I$38-1),IF(AND($L$37=0,$P$34=0),"",$L$37-1)),MIN(BS$38,$E181),$P$20))-SUM($BF181:BR181))</f>
        <v>0</v>
      </c>
      <c r="BT181" s="446">
        <f>IF($E181=0,0,IF(MIN(BT$38,$E181)&lt;MAX($P$34*($B181+$I$38-1),IF(AND($L$37=0,$P$34=0),"",$L$37-1)),0,YEARFRAC(MAX($P$34*($B181+$I$38-1),IF(AND($L$37=0,$P$34=0),"",$L$37-1)),MIN(BT$38,$E181),$P$20))-SUM($BF181:BS181))</f>
        <v>0</v>
      </c>
      <c r="BU181" s="446">
        <f>IF($E181=0,0,IF(MIN(BU$38,$E181)&lt;MAX($P$34*($B181+$I$38-1),IF(AND($L$37=0,$P$34=0),"",$L$37-1)),0,YEARFRAC(MAX($P$34*($B181+$I$38-1),IF(AND($L$37=0,$P$34=0),"",$L$37-1)),MIN(BU$38,$E181),$P$20))-SUM($BF181:BT181))</f>
        <v>0</v>
      </c>
      <c r="BV181" s="446">
        <f>IF($E181=0,0,IF(MIN(BV$38,$E181)&lt;MAX($P$34*($B181+$I$38-1),IF(AND($L$37=0,$P$34=0),"",$L$37-1)),0,YEARFRAC(MAX($P$34*($B181+$I$38-1),IF(AND($L$37=0,$P$34=0),"",$L$37-1)),MIN(BV$38,$E181),$P$20))-SUM($BF181:BU181))</f>
        <v>0</v>
      </c>
      <c r="BW181" s="446">
        <f>IF($E181=0,0,IF(MIN(BW$38,$E181)&lt;MAX($P$34*($B181+$I$38-1),IF(AND($L$37=0,$P$34=0),"",$L$37-1)),0,YEARFRAC(MAX($P$34*($B181+$I$38-1),IF(AND($L$37=0,$P$34=0),"",$L$37-1)),MIN(BW$38,$E181),$P$20))-SUM($BF181:BV181))</f>
        <v>0</v>
      </c>
      <c r="BX181" s="446">
        <f>IF($E181=0,0,IF(MIN(BX$38,$E181)&lt;MAX($P$34*($B181+$I$38-1),IF(AND($L$37=0,$P$34=0),"",$L$37-1)),0,YEARFRAC(MAX($P$34*($B181+$I$38-1),IF(AND($L$37=0,$P$34=0),"",$L$37-1)),MIN(BX$38,$E181),$P$20))-SUM($BF181:BW181))</f>
        <v>0</v>
      </c>
      <c r="BY181" s="446">
        <f>IF($E181=0,0,IF(MIN(BY$38,$E181)&lt;MAX($P$34*($B181+$I$38-1),IF(AND($L$37=0,$P$34=0),"",$L$37-1)),0,YEARFRAC(MAX($P$34*($B181+$I$38-1),IF(AND($L$37=0,$P$34=0),"",$L$37-1)),MIN(BY$38,$E181),$P$20))-SUM($BF181:BX181))</f>
        <v>0</v>
      </c>
      <c r="BZ181" s="446">
        <f>IF($E181=0,0,IF(MIN(BZ$38,$E181)&lt;MAX($P$34*($B181+$I$38-1),IF(AND($L$37=0,$P$34=0),"",$L$37-1)),0,YEARFRAC(MAX($P$34*($B181+$I$38-1),IF(AND($L$37=0,$P$34=0),"",$L$37-1)),MIN(BZ$38,$E181),$P$20))-SUM($BF181:BY181))</f>
        <v>0</v>
      </c>
      <c r="CA181" s="446">
        <f>IF($E181=0,0,IF(MIN(CA$38,$E181)&lt;MAX($P$34*($B181+$I$38-1),IF(AND($L$37=0,$P$34=0),"",$L$37-1)),0,YEARFRAC(MAX($P$34*($B181+$I$38-1),IF(AND($L$37=0,$P$34=0),"",$L$37-1)),MIN(CA$38,$E181),$P$20))-SUM($BF181:BZ181))</f>
        <v>0</v>
      </c>
      <c r="CB181" s="446">
        <f>IF($E181=0,0,IF(MIN(CB$38,$E181)&lt;MAX($P$34*($B181+$I$38-1),IF(AND($L$37=0,$P$34=0),"",$L$37-1)),0,YEARFRAC(MAX($P$34*($B181+$I$38-1),IF(AND($L$37=0,$P$34=0),"",$L$37-1)),MIN(CB$38,$E181),$P$20))-SUM($BF181:CA181))</f>
        <v>0</v>
      </c>
      <c r="CC181" s="446">
        <f>IF($E181=0,0,IF(MIN(CC$38,$E181)&lt;MAX($P$34*($B181+$I$38-1),IF(AND($L$37=0,$P$34=0),"",$L$37-1)),0,YEARFRAC(MAX($P$34*($B181+$I$38-1),IF(AND($L$37=0,$P$34=0),"",$L$37-1)),MIN(CC$38,$E181),$P$20))-SUM($BF181:CB181))</f>
        <v>0</v>
      </c>
      <c r="CD181" s="446">
        <f>IF($E181=0,0,IF(MIN(CD$38,$E181)&lt;MAX($P$34*($B181+$I$38-1),IF(AND($L$37=0,$P$34=0),"",$L$37-1)),0,YEARFRAC(MAX($P$34*($B181+$I$38-1),IF(AND($L$37=0,$P$34=0),"",$L$37-1)),MIN(CD$38,$E181),$P$20))-SUM($BF181:CC181))</f>
        <v>0</v>
      </c>
      <c r="CE181" s="446">
        <f>IF($E181=0,0,IF(MIN(CE$38,$E181)&lt;MAX($P$34*($B181+$I$38-1),IF(AND($L$37=0,$P$34=0),"",$L$37-1)),0,YEARFRAC(MAX($P$34*($B181+$I$38-1),IF(AND($L$37=0,$P$34=0),"",$L$37-1)),MIN(CE$38,$E181),$P$20))-SUM($BF181:CD181))</f>
        <v>0</v>
      </c>
      <c r="CF181" s="446">
        <f>IF($E181=0,0,IF(MIN(CF$38,$E181)&lt;MAX($P$34*($B181+$I$38-1),IF(AND($L$37=0,$P$34=0),"",$L$37-1)),0,YEARFRAC(MAX($P$34*($B181+$I$38-1),IF(AND($L$37=0,$P$34=0),"",$L$37-1)),MIN(CF$38,$E181),$P$20))-SUM($BF181:CE181))</f>
        <v>0</v>
      </c>
      <c r="CG181" s="446">
        <f>IF($E181=0,0,IF(MIN(CG$38,$E181)&lt;MAX($P$34*($B181+$I$38-1),IF(AND($L$37=0,$P$34=0),"",$L$37-1)),0,YEARFRAC(MAX($P$34*($B181+$I$38-1),IF(AND($L$37=0,$P$34=0),"",$L$37-1)),MIN(CG$38,$E181),$P$20))-SUM($BF181:CF181))</f>
        <v>0</v>
      </c>
      <c r="CH181" s="446">
        <f>IF($E181=0,0,IF(MIN(CH$38,$E181)&lt;MAX($P$34*($B181+$I$38-1),IF(AND($L$37=0,$P$34=0),"",$L$37-1)),0,YEARFRAC(MAX($P$34*($B181+$I$38-1),IF(AND($L$37=0,$P$34=0),"",$L$37-1)),MIN(CH$38,$E181),$P$20))-SUM($BF181:CG181))</f>
        <v>0</v>
      </c>
      <c r="CI181" s="446">
        <f>IF($E181=0,0,IF(MIN(CI$38,$E181)&lt;MAX($P$34*($B181+$I$38-1),IF(AND($L$37=0,$P$34=0),"",$L$37-1)),0,YEARFRAC(MAX($P$34*($B181+$I$38-1),IF(AND($L$37=0,$P$34=0),"",$L$37-1)),MIN(CI$38,$E181),$P$20))-SUM($BF181:CH181))</f>
        <v>0</v>
      </c>
      <c r="CJ181" s="446">
        <f>IF($E181=0,0,IF(MIN(CJ$38,$E181)&lt;MAX($P$34*($B181+$I$38-1),IF(AND($L$37=0,$P$34=0),"",$L$37-1)),0,YEARFRAC(MAX($P$34*($B181+$I$38-1),IF(AND($L$37=0,$P$34=0),"",$L$37-1)),MIN(CJ$38,$E181),$P$20))-SUM($BF181:CI181))</f>
        <v>0</v>
      </c>
      <c r="CK181" s="446">
        <f>IF($E181=0,0,IF(MIN(CK$38,$E181)&lt;MAX($P$34*($B181+$I$38-1),IF(AND($L$37=0,$P$34=0),"",$L$37-1)),0,YEARFRAC(MAX($P$34*($B181+$I$38-1),IF(AND($L$37=0,$P$34=0),"",$L$37-1)),MIN(CK$38,$E181),$P$20))-SUM($BF181:CJ181))</f>
        <v>0</v>
      </c>
      <c r="CL181" s="446">
        <f>IF($E181=0,0,IF(MIN(CL$38,$E181)&lt;MAX($P$34*($B181+$I$38-1),IF(AND($L$37=0,$P$34=0),"",$L$37-1)),0,YEARFRAC(MAX($P$34*($B181+$I$38-1),IF(AND($L$37=0,$P$34=0),"",$L$37-1)),MIN(CL$38,$E181),$P$20))-SUM($BF181:CK181))</f>
        <v>0</v>
      </c>
      <c r="CM181" s="446">
        <f>IF($E181=0,0,IF(MIN(CM$38,$E181)&lt;MAX($P$34*($B181+$I$38-1),IF(AND($L$37=0,$P$34=0),"",$L$37-1)),0,YEARFRAC(MAX($P$34*($B181+$I$38-1),IF(AND($L$37=0,$P$34=0),"",$L$37-1)),MIN(CM$38,$E181),$P$20))-SUM($BF181:CL181))</f>
        <v>0</v>
      </c>
      <c r="CN181" s="446">
        <f>IF($E181=0,0,IF(MIN(CN$38,$E181)&lt;MAX($P$34*($B181+$I$38-1),IF(AND($L$37=0,$P$34=0),"",$L$37-1)),0,YEARFRAC(MAX($P$34*($B181+$I$38-1),IF(AND($L$37=0,$P$34=0),"",$L$37-1)),MIN(CN$38,$E181),$P$20))-SUM($BF181:CM181))</f>
        <v>0</v>
      </c>
      <c r="CO181" s="446">
        <f>IF($E181=0,0,IF(MIN(CO$38,$E181)&lt;MAX($P$34*($B181+$I$38-1),IF(AND($L$37=0,$P$34=0),"",$L$37-1)),0,YEARFRAC(MAX($P$34*($B181+$I$38-1),IF(AND($L$37=0,$P$34=0),"",$L$37-1)),MIN(CO$38,$E181),$P$20))-SUM($BF181:CN181))</f>
        <v>0</v>
      </c>
      <c r="CP181" s="446">
        <f>IF($E181=0,0,IF(MIN(CP$38,$E181)&lt;MAX($P$34*($B181+$I$38-1),IF(AND($L$37=0,$P$34=0),"",$L$37-1)),0,YEARFRAC(MAX($P$34*($B181+$I$38-1),IF(AND($L$37=0,$P$34=0),"",$L$37-1)),MIN(CP$38,$E181),$P$20))-SUM($BF181:CO181))</f>
        <v>0</v>
      </c>
      <c r="CQ181" s="446">
        <f>IF($E181=0,0,IF(MIN(CQ$38,$E181)&lt;MAX($P$34*($B181+$I$38-1),IF(AND($L$37=0,$P$34=0),"",$L$37-1)),0,YEARFRAC(MAX($P$34*($B181+$I$38-1),IF(AND($L$37=0,$P$34=0),"",$L$37-1)),MIN(CQ$38,$E181),$P$20))-SUM($BF181:CP181))</f>
        <v>0</v>
      </c>
    </row>
    <row r="182" spans="1:95" s="446" customFormat="1" ht="11.25" hidden="1" customHeight="1" x14ac:dyDescent="0.2">
      <c r="A182" s="152"/>
      <c r="B182" s="153" t="str">
        <f t="shared" si="37"/>
        <v/>
      </c>
      <c r="C182" s="29" t="str">
        <f>IF(B182="","",IF($L$35="SELIC - TRIBUTOS",VLOOKUP(DATE(YEAR($D$19),MONTH($D$19)-1,1),ÍNDICES!$A:$DE,HLOOKUP($BL$25,ÍNDICES!$B$3:$T$4,2)+11)-VLOOKUP(B182,ÍNDICES!$A:$DE,HLOOKUP($BL$25,ÍNDICES!$B$3:$T$4,2)+11)+1%,IF(C$38=$W$26,$J$35,IF(ISERROR(IF(B182&gt;$D$19,1,VLOOKUP(DATE(YEAR(B182),MONTH(B182)+IF($C$35=$S$23,1,0),1),ÍNDICES!$A:$DE,$Z$35+1))),"",IF(B182&gt;$D$19,1,VLOOKUP(DATE(YEAR(B182),MONTH(B182)+IF($C$35=$S$23,1,0),1),ÍNDICES!$A:$DE,$Z$35+1))))))</f>
        <v/>
      </c>
      <c r="D182" s="154" t="str">
        <f>IF(ISERROR(IF(OR($D$38=$Y$27,$B182=""),"",VLOOKUP(B182,ÍNDICES!A:DE,AF$35+1))),"",IF(OR($D$38=$Y$27,$B182=""),"",VLOOKUP(B182,ÍNDICES!A:DE,AF$35+1)))</f>
        <v/>
      </c>
      <c r="E182" s="153"/>
      <c r="F182" s="29" t="str">
        <f>IF(E182="","",IF($L$35="SELIC - TRIBUTOS",VLOOKUP(DATE(YEAR($D$19),MONTH($D$19)-1,1),ÍNDICES!$A:$DE,HLOOKUP($BL$25,ÍNDICES!$B$3:$T$4,2)+11)-VLOOKUP(E182,ÍNDICES!$A:$DE,HLOOKUP($BL$25,ÍNDICES!$B$3:$T$4,2)+11)+1%,IF(F$38=$W$26,$J$35,IF(ISERROR(IF(E182&gt;$D$19,1,VLOOKUP(DATE(YEAR(E182),MONTH(E182)+IF($C$35=$S$23,1,0),1),ÍNDICES!$A:$DE,$Z$35+1))),"",IF(E182&gt;$D$19,1,VLOOKUP(DATE(YEAR(E182),MONTH(E182)+IF($C$35=$S$23,1,0),1),ÍNDICES!$A:$DE,$Z$35+1))))))</f>
        <v/>
      </c>
      <c r="G182" s="155"/>
      <c r="H182" s="156" t="str">
        <f t="shared" si="33"/>
        <v/>
      </c>
      <c r="I182" s="29" t="str">
        <f t="shared" si="27"/>
        <v/>
      </c>
      <c r="J182" s="5">
        <f t="shared" si="28"/>
        <v>0</v>
      </c>
      <c r="K182" s="20">
        <f t="shared" ca="1" si="29"/>
        <v>0</v>
      </c>
      <c r="L182" s="5">
        <f t="shared" ca="1" si="30"/>
        <v>0</v>
      </c>
      <c r="M182" s="64">
        <f t="shared" si="34"/>
        <v>0</v>
      </c>
      <c r="N182" s="61">
        <f t="shared" ca="1" si="35"/>
        <v>0</v>
      </c>
      <c r="O182" s="5">
        <f t="shared" ca="1" si="36"/>
        <v>0</v>
      </c>
      <c r="P182" s="446" t="e">
        <f t="shared" si="31"/>
        <v>#VALUE!</v>
      </c>
      <c r="Q182" s="446" t="e">
        <f>IF(OR($B182="",MIN(Q$38,$D$19)&lt;MAX($P$34*($B182+IF($R$17="Distrato",$I$38-1,0)),IF(AND($L$37=0,$P$34=0),"",$L$37-1),IF($R$17="Distrato",$E182,0))),0,YEARFRAC(MAX($P$34*($B182+IF($R$17="Distrato",$I$38-1,0)),IF(AND($L$37=0,$P$34=0),"",$L$37-1),IF($R$17="Distrato",$E182,0)),MIN(Q$38,$D$19),$P$20))-SUM($P182:P182)</f>
        <v>#VALUE!</v>
      </c>
      <c r="R182" s="446" t="e">
        <f>IF(OR($B182="",MIN(R$38,$D$19)&lt;MAX($P$34*($B182+IF($R$17="Distrato",$I$38-1,0)),IF(AND($L$37=0,$P$34=0),"",$L$37-1),IF($R$17="Distrato",$E182,0))),0,YEARFRAC(MAX($P$34*($B182+IF($R$17="Distrato",$I$38-1,0)),IF(AND($L$37=0,$P$34=0),"",$L$37-1),IF($R$17="Distrato",$E182,0)),MIN(R$38,$D$19),$P$20))-SUM($P182:Q182)</f>
        <v>#VALUE!</v>
      </c>
      <c r="S182" s="446" t="e">
        <f>IF(OR($B182="",MIN(S$38,$D$19)&lt;MAX($P$34*($B182+IF($R$17="Distrato",$I$38-1,0)),IF(AND($L$37=0,$P$34=0),"",$L$37-1),IF($R$17="Distrato",$E182,0))),0,YEARFRAC(MAX($P$34*($B182+IF($R$17="Distrato",$I$38-1,0)),IF(AND($L$37=0,$P$34=0),"",$L$37-1),IF($R$17="Distrato",$E182,0)),MIN(S$38,$D$19),$P$20))-SUM($P182:R182)</f>
        <v>#VALUE!</v>
      </c>
      <c r="T182" s="446" t="e">
        <f>IF(OR($B182="",MIN(T$38,$D$19)&lt;MAX($P$34*($B182+IF($R$17="Distrato",$I$38-1,0)),IF(AND($L$37=0,$P$34=0),"",$L$37-1),IF($R$17="Distrato",$E182,0))),0,YEARFRAC(MAX($P$34*($B182+IF($R$17="Distrato",$I$38-1,0)),IF(AND($L$37=0,$P$34=0),"",$L$37-1),IF($R$17="Distrato",$E182,0)),MIN(T$38,$D$19),$P$20))-SUM($P182:S182)</f>
        <v>#VALUE!</v>
      </c>
      <c r="U182" s="446" t="e">
        <f>IF(OR($B182="",MIN(U$38,$D$19)&lt;MAX($P$34*($B182+IF($R$17="Distrato",$I$38-1,0)),IF(AND($L$37=0,$P$34=0),"",$L$37-1),IF($R$17="Distrato",$E182,0))),0,YEARFRAC(MAX($P$34*($B182+IF($R$17="Distrato",$I$38-1,0)),IF(AND($L$37=0,$P$34=0),"",$L$37-1),IF($R$17="Distrato",$E182,0)),MIN(U$38,$D$19),$P$20))-SUM($P182:T182)</f>
        <v>#VALUE!</v>
      </c>
      <c r="V182" s="446" t="e">
        <f>IF(OR($B182="",MIN(V$38,$D$19)&lt;MAX($P$34*($B182+IF($R$17="Distrato",$I$38-1,0)),IF(AND($L$37=0,$P$34=0),"",$L$37-1),IF($R$17="Distrato",$E182,0))),0,YEARFRAC(MAX($P$34*($B182+IF($R$17="Distrato",$I$38-1,0)),IF(AND($L$37=0,$P$34=0),"",$L$37-1),IF($R$17="Distrato",$E182,0)),MIN(V$38,$D$19),$P$20))-SUM($P182:U182)</f>
        <v>#VALUE!</v>
      </c>
      <c r="W182" s="446" t="e">
        <f>IF(OR($B182="",MIN(W$38,$D$19)&lt;MAX($P$34*($B182+IF($R$17="Distrato",$I$38-1,0)),IF(AND($L$37=0,$P$34=0),"",$L$37-1),IF($R$17="Distrato",$E182,0))),0,YEARFRAC(MAX($P$34*($B182+IF($R$17="Distrato",$I$38-1,0)),IF(AND($L$37=0,$P$34=0),"",$L$37-1),IF($R$17="Distrato",$E182,0)),MIN(W$38,$D$19),$P$20))-SUM($P182:V182)</f>
        <v>#VALUE!</v>
      </c>
      <c r="X182" s="446" t="e">
        <f>IF(OR($B182="",MIN(X$38,$D$19)&lt;MAX($P$34*($B182+IF($R$17="Distrato",$I$38-1,0)),IF(AND($L$37=0,$P$34=0),"",$L$37-1),IF($R$17="Distrato",$E182,0))),0,YEARFRAC(MAX($P$34*($B182+IF($R$17="Distrato",$I$38-1,0)),IF(AND($L$37=0,$P$34=0),"",$L$37-1),IF($R$17="Distrato",$E182,0)),MIN(X$38,$D$19),$P$20))-SUM($P182:W182)</f>
        <v>#VALUE!</v>
      </c>
      <c r="Y182" s="446" t="e">
        <f>IF(OR($B182="",MIN(Y$38,$D$19)&lt;MAX($P$34*($B182+IF($R$17="Distrato",$I$38-1,0)),IF(AND($L$37=0,$P$34=0),"",$L$37-1),IF($R$17="Distrato",$E182,0))),0,YEARFRAC(MAX($P$34*($B182+IF($R$17="Distrato",$I$38-1,0)),IF(AND($L$37=0,$P$34=0),"",$L$37-1),IF($R$17="Distrato",$E182,0)),MIN(Y$38,$D$19),$P$20))-SUM($P182:X182)</f>
        <v>#VALUE!</v>
      </c>
      <c r="Z182" s="446" t="e">
        <f>IF(OR($B182="",MIN(Z$38,$D$19)&lt;MAX($P$34*($B182+IF($R$17="Distrato",$I$38-1,0)),IF(AND($L$37=0,$P$34=0),"",$L$37-1),IF($R$17="Distrato",$E182,0))),0,YEARFRAC(MAX($P$34*($B182+IF($R$17="Distrato",$I$38-1,0)),IF(AND($L$37=0,$P$34=0),"",$L$37-1),IF($R$17="Distrato",$E182,0)),MIN(Z$38,$D$19),$P$20))-SUM($P182:Y182)</f>
        <v>#VALUE!</v>
      </c>
      <c r="AA182" s="446" t="e">
        <f>IF(OR($B182="",MIN(AA$38,$D$19)&lt;MAX($P$34*($B182+IF($R$17="Distrato",$I$38-1,0)),IF(AND($L$37=0,$P$34=0),"",$L$37-1),IF($R$17="Distrato",$E182,0))),0,YEARFRAC(MAX($P$34*($B182+IF($R$17="Distrato",$I$38-1,0)),IF(AND($L$37=0,$P$34=0),"",$L$37-1),IF($R$17="Distrato",$E182,0)),MIN(AA$38,$D$19),$P$20))-SUM($P182:Z182)</f>
        <v>#VALUE!</v>
      </c>
      <c r="AB182" s="446" t="e">
        <f>IF(OR($B182="",MIN(AB$38,$D$19)&lt;MAX($P$34*($B182+IF($R$17="Distrato",$I$38-1,0)),IF(AND($L$37=0,$P$34=0),"",$L$37-1),IF($R$17="Distrato",$E182,0))),0,YEARFRAC(MAX($P$34*($B182+IF($R$17="Distrato",$I$38-1,0)),IF(AND($L$37=0,$P$34=0),"",$L$37-1),IF($R$17="Distrato",$E182,0)),MIN(AB$38,$D$19),$P$20))-SUM($P182:AA182)</f>
        <v>#VALUE!</v>
      </c>
      <c r="AC182" s="446" t="e">
        <f>IF(OR($B182="",MIN(AC$38,$D$19)&lt;MAX($P$34*($B182+IF($R$17="Distrato",$I$38-1,0)),IF(AND($L$37=0,$P$34=0),"",$L$37-1),IF($R$17="Distrato",$E182,0))),0,YEARFRAC(MAX($P$34*($B182+IF($R$17="Distrato",$I$38-1,0)),IF(AND($L$37=0,$P$34=0),"",$L$37-1),IF($R$17="Distrato",$E182,0)),MIN(AC$38,$D$19),$P$20))-SUM($P182:AB182)</f>
        <v>#VALUE!</v>
      </c>
      <c r="AD182" s="446" t="e">
        <f>IF(OR($B182="",MIN(AD$38,$D$19)&lt;MAX($P$34*($B182+IF($R$17="Distrato",$I$38-1,0)),IF(AND($L$37=0,$P$34=0),"",$L$37-1),IF($R$17="Distrato",$E182,0))),0,YEARFRAC(MAX($P$34*($B182+IF($R$17="Distrato",$I$38-1,0)),IF(AND($L$37=0,$P$34=0),"",$L$37-1),IF($R$17="Distrato",$E182,0)),MIN(AD$38,$D$19),$P$20))-SUM($P182:AC182)</f>
        <v>#VALUE!</v>
      </c>
      <c r="AE182" s="446" t="e">
        <f>IF(OR($B182="",MIN(AE$38,$D$19)&lt;MAX($P$34*($B182+IF($R$17="Distrato",$I$38-1,0)),IF(AND($L$37=0,$P$34=0),"",$L$37-1),IF($R$17="Distrato",$E182,0))),0,YEARFRAC(MAX($P$34*($B182+IF($R$17="Distrato",$I$38-1,0)),IF(AND($L$37=0,$P$34=0),"",$L$37-1),IF($R$17="Distrato",$E182,0)),MIN(AE$38,$D$19),$P$20))-SUM($P182:AD182)</f>
        <v>#VALUE!</v>
      </c>
      <c r="AF182" s="446" t="e">
        <f>IF(OR($B182="",MIN(AF$38,$D$19)&lt;MAX($P$34*($B182+IF($R$17="Distrato",$I$38-1,0)),IF(AND($L$37=0,$P$34=0),"",$L$37-1),IF($R$17="Distrato",$E182,0))),0,YEARFRAC(MAX($P$34*($B182+IF($R$17="Distrato",$I$38-1,0)),IF(AND($L$37=0,$P$34=0),"",$L$37-1),IF($R$17="Distrato",$E182,0)),MIN(AF$38,$D$19),$P$20))-SUM($P182:AE182)</f>
        <v>#VALUE!</v>
      </c>
      <c r="AG182" s="446" t="e">
        <f>IF(OR($B182="",MIN(AG$38,$D$19)&lt;MAX($P$34*($B182+IF($R$17="Distrato",$I$38-1,0)),IF(AND($L$37=0,$P$34=0),"",$L$37-1),IF($R$17="Distrato",$E182,0))),0,YEARFRAC(MAX($P$34*($B182+IF($R$17="Distrato",$I$38-1,0)),IF(AND($L$37=0,$P$34=0),"",$L$37-1),IF($R$17="Distrato",$E182,0)),MIN(AG$38,$D$19),$P$20))-SUM($P182:AF182)</f>
        <v>#VALUE!</v>
      </c>
      <c r="AH182" s="446" t="e">
        <f>IF(OR($B182="",MIN(AH$38,$D$19)&lt;MAX($P$34*($B182+IF($R$17="Distrato",$I$38-1,0)),IF(AND($L$37=0,$P$34=0),"",$L$37-1),IF($R$17="Distrato",$E182,0))),0,YEARFRAC(MAX($P$34*($B182+IF($R$17="Distrato",$I$38-1,0)),IF(AND($L$37=0,$P$34=0),"",$L$37-1),IF($R$17="Distrato",$E182,0)),MIN(AH$38,$D$19),$P$20))-SUM($P182:AG182)</f>
        <v>#VALUE!</v>
      </c>
      <c r="AI182" s="446" t="e">
        <f>IF(OR($B182="",MIN(AI$38,$D$19)&lt;MAX($P$34*($B182+IF($R$17="Distrato",$I$38-1,0)),IF(AND($L$37=0,$P$34=0),"",$L$37-1),IF($R$17="Distrato",$E182,0))),0,YEARFRAC(MAX($P$34*($B182+IF($R$17="Distrato",$I$38-1,0)),IF(AND($L$37=0,$P$34=0),"",$L$37-1),IF($R$17="Distrato",$E182,0)),MIN(AI$38,$D$19),$P$20))-SUM($P182:AH182)</f>
        <v>#VALUE!</v>
      </c>
      <c r="AJ182" s="446" t="e">
        <f>IF(OR($B182="",MIN(AJ$38,$D$19)&lt;MAX($P$34*($B182+IF($R$17="Distrato",$I$38-1,0)),IF(AND($L$37=0,$P$34=0),"",$L$37-1),IF($R$17="Distrato",$E182,0))),0,YEARFRAC(MAX($P$34*($B182+IF($R$17="Distrato",$I$38-1,0)),IF(AND($L$37=0,$P$34=0),"",$L$37-1),IF($R$17="Distrato",$E182,0)),MIN(AJ$38,$D$19),$P$20))-SUM($P182:AI182)</f>
        <v>#VALUE!</v>
      </c>
      <c r="AK182" s="446" t="e">
        <f>IF(OR($B182="",MIN(AK$38,$D$19)&lt;MAX($P$34*($B182+IF($R$17="Distrato",$I$38-1,0)),IF(AND($L$37=0,$P$34=0),"",$L$37-1),IF($R$17="Distrato",$E182,0))),0,YEARFRAC(MAX($P$34*($B182+IF($R$17="Distrato",$I$38-1,0)),IF(AND($L$37=0,$P$34=0),"",$L$37-1),IF($R$17="Distrato",$E182,0)),MIN(AK$38,$D$19),$P$20))-SUM($P182:AJ182)</f>
        <v>#VALUE!</v>
      </c>
      <c r="AL182" s="446" t="e">
        <f>IF(OR($B182="",MIN(AL$38,$D$19)&lt;MAX($P$34*($B182+IF($R$17="Distrato",$I$38-1,0)),IF(AND($L$37=0,$P$34=0),"",$L$37-1),IF($R$17="Distrato",$E182,0))),0,YEARFRAC(MAX($P$34*($B182+IF($R$17="Distrato",$I$38-1,0)),IF(AND($L$37=0,$P$34=0),"",$L$37-1),IF($R$17="Distrato",$E182,0)),MIN(AL$38,$D$19),$P$20))-SUM($P182:AK182)</f>
        <v>#VALUE!</v>
      </c>
      <c r="AM182" s="446" t="e">
        <f>IF(OR($B182="",MIN(AM$38,$D$19)&lt;MAX($P$34*($B182+IF($R$17="Distrato",$I$38-1,0)),IF(AND($L$37=0,$P$34=0),"",$L$37-1),IF($R$17="Distrato",$E182,0))),0,YEARFRAC(MAX($P$34*($B182+IF($R$17="Distrato",$I$38-1,0)),IF(AND($L$37=0,$P$34=0),"",$L$37-1),IF($R$17="Distrato",$E182,0)),MIN(AM$38,$D$19),$P$20))-SUM($P182:AL182)</f>
        <v>#VALUE!</v>
      </c>
      <c r="AN182" s="446" t="e">
        <f>IF(OR($B182="",MIN(AN$38,$D$19)&lt;MAX($P$34*($B182+IF($R$17="Distrato",$I$38-1,0)),IF(AND($L$37=0,$P$34=0),"",$L$37-1),IF($R$17="Distrato",$E182,0))),0,YEARFRAC(MAX($P$34*($B182+IF($R$17="Distrato",$I$38-1,0)),IF(AND($L$37=0,$P$34=0),"",$L$37-1),IF($R$17="Distrato",$E182,0)),MIN(AN$38,$D$19),$P$20))-SUM($P182:AM182)</f>
        <v>#VALUE!</v>
      </c>
      <c r="AO182" s="446" t="e">
        <f>IF(OR($B182="",MIN(AO$38,$D$19)&lt;MAX($P$34*($B182+IF($R$17="Distrato",$I$38-1,0)),IF(AND($L$37=0,$P$34=0),"",$L$37-1),IF($R$17="Distrato",$E182,0))),0,YEARFRAC(MAX($P$34*($B182+IF($R$17="Distrato",$I$38-1,0)),IF(AND($L$37=0,$P$34=0),"",$L$37-1),IF($R$17="Distrato",$E182,0)),MIN(AO$38,$D$19),$P$20))-SUM($P182:AN182)</f>
        <v>#VALUE!</v>
      </c>
      <c r="AP182" s="446" t="e">
        <f>IF(OR($B182="",MIN(AP$38,$D$19)&lt;MAX($P$34*($B182+IF($R$17="Distrato",$I$38-1,0)),IF(AND($L$37=0,$P$34=0),"",$L$37-1),IF($R$17="Distrato",$E182,0))),0,YEARFRAC(MAX($P$34*($B182+IF($R$17="Distrato",$I$38-1,0)),IF(AND($L$37=0,$P$34=0),"",$L$37-1),IF($R$17="Distrato",$E182,0)),MIN(AP$38,$D$19),$P$20))-SUM($P182:AO182)</f>
        <v>#VALUE!</v>
      </c>
      <c r="AQ182" s="446" t="e">
        <f>IF(OR($B182="",MIN(AQ$38,$D$19)&lt;MAX($P$34*($B182+IF($R$17="Distrato",$I$38-1,0)),IF(AND($L$37=0,$P$34=0),"",$L$37-1),IF($R$17="Distrato",$E182,0))),0,YEARFRAC(MAX($P$34*($B182+IF($R$17="Distrato",$I$38-1,0)),IF(AND($L$37=0,$P$34=0),"",$L$37-1),IF($R$17="Distrato",$E182,0)),MIN(AQ$38,$D$19),$P$20))-SUM($P182:AP182)</f>
        <v>#VALUE!</v>
      </c>
      <c r="AR182" s="446" t="e">
        <f>IF(OR($B182="",MIN(AR$38,$D$19)&lt;MAX($P$34*($B182+IF($R$17="Distrato",$I$38-1,0)),IF(AND($L$37=0,$P$34=0),"",$L$37-1),IF($R$17="Distrato",$E182,0))),0,YEARFRAC(MAX($P$34*($B182+IF($R$17="Distrato",$I$38-1,0)),IF(AND($L$37=0,$P$34=0),"",$L$37-1),IF($R$17="Distrato",$E182,0)),MIN(AR$38,$D$19),$P$20))-SUM($P182:AQ182)</f>
        <v>#VALUE!</v>
      </c>
      <c r="AS182" s="446" t="e">
        <f>IF(OR($B182="",MIN(AS$38,$D$19)&lt;MAX($P$34*($B182+IF($R$17="Distrato",$I$38-1,0)),IF(AND($L$37=0,$P$34=0),"",$L$37-1),IF($R$17="Distrato",$E182,0))),0,YEARFRAC(MAX($P$34*($B182+IF($R$17="Distrato",$I$38-1,0)),IF(AND($L$37=0,$P$34=0),"",$L$37-1),IF($R$17="Distrato",$E182,0)),MIN(AS$38,$D$19),$P$20))-SUM($P182:AR182)</f>
        <v>#VALUE!</v>
      </c>
      <c r="AT182" s="446" t="e">
        <f>IF(OR($B182="",MIN(AT$38,$D$19)&lt;MAX($P$34*($B182+IF($R$17="Distrato",$I$38-1,0)),IF(AND($L$37=0,$P$34=0),"",$L$37-1),IF($R$17="Distrato",$E182,0))),0,YEARFRAC(MAX($P$34*($B182+IF($R$17="Distrato",$I$38-1,0)),IF(AND($L$37=0,$P$34=0),"",$L$37-1),IF($R$17="Distrato",$E182,0)),MIN(AT$38,$D$19),$P$20))-SUM($P182:AS182)</f>
        <v>#VALUE!</v>
      </c>
      <c r="AU182" s="446" t="e">
        <f>IF(OR($B182="",MIN(AU$38,$D$19)&lt;MAX($P$34*($B182+IF($R$17="Distrato",$I$38-1,0)),IF(AND($L$37=0,$P$34=0),"",$L$37-1),IF($R$17="Distrato",$E182,0))),0,YEARFRAC(MAX($P$34*($B182+IF($R$17="Distrato",$I$38-1,0)),IF(AND($L$37=0,$P$34=0),"",$L$37-1),IF($R$17="Distrato",$E182,0)),MIN(AU$38,$D$19),$P$20))-SUM($P182:AT182)</f>
        <v>#VALUE!</v>
      </c>
      <c r="AV182" s="446" t="e">
        <f>IF(OR($B182="",MIN(AV$38,$D$19)&lt;MAX($P$34*($B182+IF($R$17="Distrato",$I$38-1,0)),IF(AND($L$37=0,$P$34=0),"",$L$37-1),IF($R$17="Distrato",$E182,0))),0,YEARFRAC(MAX($P$34*($B182+IF($R$17="Distrato",$I$38-1,0)),IF(AND($L$37=0,$P$34=0),"",$L$37-1),IF($R$17="Distrato",$E182,0)),MIN(AV$38,$D$19),$P$20))-SUM($P182:AU182)</f>
        <v>#VALUE!</v>
      </c>
      <c r="AW182" s="446" t="e">
        <f>IF(OR($B182="",MIN(AW$38,$D$19)&lt;MAX($P$34*($B182+IF($R$17="Distrato",$I$38-1,0)),IF(AND($L$37=0,$P$34=0),"",$L$37-1),IF($R$17="Distrato",$E182,0))),0,YEARFRAC(MAX($P$34*($B182+IF($R$17="Distrato",$I$38-1,0)),IF(AND($L$37=0,$P$34=0),"",$L$37-1),IF($R$17="Distrato",$E182,0)),MIN(AW$38,$D$19),$P$20))-SUM($P182:AV182)</f>
        <v>#VALUE!</v>
      </c>
      <c r="AX182" s="446" t="e">
        <f>IF(OR($B182="",MIN(AX$38,$D$19)&lt;MAX($P$34*($B182+IF($R$17="Distrato",$I$38-1,0)),IF(AND($L$37=0,$P$34=0),"",$L$37-1),IF($R$17="Distrato",$E182,0))),0,YEARFRAC(MAX($P$34*($B182+IF($R$17="Distrato",$I$38-1,0)),IF(AND($L$37=0,$P$34=0),"",$L$37-1),IF($R$17="Distrato",$E182,0)),MIN(AX$38,$D$19),$P$20))-SUM($P182:AW182)</f>
        <v>#VALUE!</v>
      </c>
      <c r="AY182" s="446" t="e">
        <f>IF(OR($B182="",MIN(AY$38,$D$19)&lt;MAX($P$34*($B182+IF($R$17="Distrato",$I$38-1,0)),IF(AND($L$37=0,$P$34=0),"",$L$37-1),IF($R$17="Distrato",$E182,0))),0,YEARFRAC(MAX($P$34*($B182+IF($R$17="Distrato",$I$38-1,0)),IF(AND($L$37=0,$P$34=0),"",$L$37-1),IF($R$17="Distrato",$E182,0)),MIN(AY$38,$D$19),$P$20))-SUM($P182:AX182)</f>
        <v>#VALUE!</v>
      </c>
      <c r="AZ182" s="446" t="e">
        <f>IF(OR($B182="",MIN(AZ$38,$D$19)&lt;MAX($P$34*($B182+IF($R$17="Distrato",$I$38-1,0)),IF(AND($L$37=0,$P$34=0),"",$L$37-1),IF($R$17="Distrato",$E182,0))),0,YEARFRAC(MAX($P$34*($B182+IF($R$17="Distrato",$I$38-1,0)),IF(AND($L$37=0,$P$34=0),"",$L$37-1),IF($R$17="Distrato",$E182,0)),MIN(AZ$38,$D$19),$P$20))-SUM($P182:AY182)</f>
        <v>#VALUE!</v>
      </c>
      <c r="BA182" s="446" t="e">
        <f>IF(OR($B182="",MIN(BA$38,$D$19)&lt;MAX($P$34*($B182+IF($R$17="Distrato",$I$38-1,0)),IF(AND($L$37=0,$P$34=0),"",$L$37-1),IF($R$17="Distrato",$E182,0))),0,YEARFRAC(MAX($P$34*($B182+IF($R$17="Distrato",$I$38-1,0)),IF(AND($L$37=0,$P$34=0),"",$L$37-1),IF($R$17="Distrato",$E182,0)),MIN(BA$38,$D$19),$P$20))-SUM($P182:AZ182)</f>
        <v>#VALUE!</v>
      </c>
      <c r="BB182" s="447"/>
      <c r="BF182" s="446">
        <f t="shared" si="32"/>
        <v>0</v>
      </c>
      <c r="BG182" s="446">
        <f>IF($E182=0,0,IF(MIN(BG$38,$E182)&lt;MAX($P$34*($B182+$I$38-1),IF(AND($L$37=0,$P$34=0),"",$L$37-1)),0,YEARFRAC(MAX($P$34*($B182+$I$38-1),IF(AND($L$37=0,$P$34=0),"",$L$37-1)),MIN(BG$38,$E182),$P$20))-SUM($BF182:BF182))</f>
        <v>0</v>
      </c>
      <c r="BH182" s="446">
        <f>IF($E182=0,0,IF(MIN(BH$38,$E182)&lt;MAX($P$34*($B182+$I$38-1),IF(AND($L$37=0,$P$34=0),"",$L$37-1)),0,YEARFRAC(MAX($P$34*($B182+$I$38-1),IF(AND($L$37=0,$P$34=0),"",$L$37-1)),MIN(BH$38,$E182),$P$20))-SUM($BF182:BG182))</f>
        <v>0</v>
      </c>
      <c r="BI182" s="446">
        <f>IF($E182=0,0,IF(MIN(BI$38,$E182)&lt;MAX($P$34*($B182+$I$38-1),IF(AND($L$37=0,$P$34=0),"",$L$37-1)),0,YEARFRAC(MAX($P$34*($B182+$I$38-1),IF(AND($L$37=0,$P$34=0),"",$L$37-1)),MIN(BI$38,$E182),$P$20))-SUM($BF182:BH182))</f>
        <v>0</v>
      </c>
      <c r="BJ182" s="446">
        <f>IF($E182=0,0,IF(MIN(BJ$38,$E182)&lt;MAX($P$34*($B182+$I$38-1),IF(AND($L$37=0,$P$34=0),"",$L$37-1)),0,YEARFRAC(MAX($P$34*($B182+$I$38-1),IF(AND($L$37=0,$P$34=0),"",$L$37-1)),MIN(BJ$38,$E182),$P$20))-SUM($BF182:BI182))</f>
        <v>0</v>
      </c>
      <c r="BK182" s="446">
        <f>IF($E182=0,0,IF(MIN(BK$38,$E182)&lt;MAX($P$34*($B182+$I$38-1),IF(AND($L$37=0,$P$34=0),"",$L$37-1)),0,YEARFRAC(MAX($P$34*($B182+$I$38-1),IF(AND($L$37=0,$P$34=0),"",$L$37-1)),MIN(BK$38,$E182),$P$20))-SUM($BF182:BJ182))</f>
        <v>0</v>
      </c>
      <c r="BL182" s="446">
        <f>IF($E182=0,0,IF(MIN(BL$38,$E182)&lt;MAX($P$34*($B182+$I$38-1),IF(AND($L$37=0,$P$34=0),"",$L$37-1)),0,YEARFRAC(MAX($P$34*($B182+$I$38-1),IF(AND($L$37=0,$P$34=0),"",$L$37-1)),MIN(BL$38,$E182),$P$20))-SUM($BF182:BK182))</f>
        <v>0</v>
      </c>
      <c r="BM182" s="446">
        <f>IF($E182=0,0,IF(MIN(BM$38,$E182)&lt;MAX($P$34*($B182+$I$38-1),IF(AND($L$37=0,$P$34=0),"",$L$37-1)),0,YEARFRAC(MAX($P$34*($B182+$I$38-1),IF(AND($L$37=0,$P$34=0),"",$L$37-1)),MIN(BM$38,$E182),$P$20))-SUM($BF182:BL182))</f>
        <v>0</v>
      </c>
      <c r="BN182" s="446">
        <f>IF($E182=0,0,IF(MIN(BN$38,$E182)&lt;MAX($P$34*($B182+$I$38-1),IF(AND($L$37=0,$P$34=0),"",$L$37-1)),0,YEARFRAC(MAX($P$34*($B182+$I$38-1),IF(AND($L$37=0,$P$34=0),"",$L$37-1)),MIN(BN$38,$E182),$P$20))-SUM($BF182:BM182))</f>
        <v>0</v>
      </c>
      <c r="BO182" s="446">
        <f>IF($E182=0,0,IF(MIN(BO$38,$E182)&lt;MAX($P$34*($B182+$I$38-1),IF(AND($L$37=0,$P$34=0),"",$L$37-1)),0,YEARFRAC(MAX($P$34*($B182+$I$38-1),IF(AND($L$37=0,$P$34=0),"",$L$37-1)),MIN(BO$38,$E182),$P$20))-SUM($BF182:BN182))</f>
        <v>0</v>
      </c>
      <c r="BP182" s="446">
        <f>IF($E182=0,0,IF(MIN(BP$38,$E182)&lt;MAX($P$34*($B182+$I$38-1),IF(AND($L$37=0,$P$34=0),"",$L$37-1)),0,YEARFRAC(MAX($P$34*($B182+$I$38-1),IF(AND($L$37=0,$P$34=0),"",$L$37-1)),MIN(BP$38,$E182),$P$20))-SUM($BF182:BO182))</f>
        <v>0</v>
      </c>
      <c r="BQ182" s="446">
        <f>IF($E182=0,0,IF(MIN(BQ$38,$E182)&lt;MAX($P$34*($B182+$I$38-1),IF(AND($L$37=0,$P$34=0),"",$L$37-1)),0,YEARFRAC(MAX($P$34*($B182+$I$38-1),IF(AND($L$37=0,$P$34=0),"",$L$37-1)),MIN(BQ$38,$E182),$P$20))-SUM($BF182:BP182))</f>
        <v>0</v>
      </c>
      <c r="BR182" s="446">
        <f>IF($E182=0,0,IF(MIN(BR$38,$E182)&lt;MAX($P$34*($B182+$I$38-1),IF(AND($L$37=0,$P$34=0),"",$L$37-1)),0,YEARFRAC(MAX($P$34*($B182+$I$38-1),IF(AND($L$37=0,$P$34=0),"",$L$37-1)),MIN(BR$38,$E182),$P$20))-SUM($BF182:BQ182))</f>
        <v>0</v>
      </c>
      <c r="BS182" s="446">
        <f>IF($E182=0,0,IF(MIN(BS$38,$E182)&lt;MAX($P$34*($B182+$I$38-1),IF(AND($L$37=0,$P$34=0),"",$L$37-1)),0,YEARFRAC(MAX($P$34*($B182+$I$38-1),IF(AND($L$37=0,$P$34=0),"",$L$37-1)),MIN(BS$38,$E182),$P$20))-SUM($BF182:BR182))</f>
        <v>0</v>
      </c>
      <c r="BT182" s="446">
        <f>IF($E182=0,0,IF(MIN(BT$38,$E182)&lt;MAX($P$34*($B182+$I$38-1),IF(AND($L$37=0,$P$34=0),"",$L$37-1)),0,YEARFRAC(MAX($P$34*($B182+$I$38-1),IF(AND($L$37=0,$P$34=0),"",$L$37-1)),MIN(BT$38,$E182),$P$20))-SUM($BF182:BS182))</f>
        <v>0</v>
      </c>
      <c r="BU182" s="446">
        <f>IF($E182=0,0,IF(MIN(BU$38,$E182)&lt;MAX($P$34*($B182+$I$38-1),IF(AND($L$37=0,$P$34=0),"",$L$37-1)),0,YEARFRAC(MAX($P$34*($B182+$I$38-1),IF(AND($L$37=0,$P$34=0),"",$L$37-1)),MIN(BU$38,$E182),$P$20))-SUM($BF182:BT182))</f>
        <v>0</v>
      </c>
      <c r="BV182" s="446">
        <f>IF($E182=0,0,IF(MIN(BV$38,$E182)&lt;MAX($P$34*($B182+$I$38-1),IF(AND($L$37=0,$P$34=0),"",$L$37-1)),0,YEARFRAC(MAX($P$34*($B182+$I$38-1),IF(AND($L$37=0,$P$34=0),"",$L$37-1)),MIN(BV$38,$E182),$P$20))-SUM($BF182:BU182))</f>
        <v>0</v>
      </c>
      <c r="BW182" s="446">
        <f>IF($E182=0,0,IF(MIN(BW$38,$E182)&lt;MAX($P$34*($B182+$I$38-1),IF(AND($L$37=0,$P$34=0),"",$L$37-1)),0,YEARFRAC(MAX($P$34*($B182+$I$38-1),IF(AND($L$37=0,$P$34=0),"",$L$37-1)),MIN(BW$38,$E182),$P$20))-SUM($BF182:BV182))</f>
        <v>0</v>
      </c>
      <c r="BX182" s="446">
        <f>IF($E182=0,0,IF(MIN(BX$38,$E182)&lt;MAX($P$34*($B182+$I$38-1),IF(AND($L$37=0,$P$34=0),"",$L$37-1)),0,YEARFRAC(MAX($P$34*($B182+$I$38-1),IF(AND($L$37=0,$P$34=0),"",$L$37-1)),MIN(BX$38,$E182),$P$20))-SUM($BF182:BW182))</f>
        <v>0</v>
      </c>
      <c r="BY182" s="446">
        <f>IF($E182=0,0,IF(MIN(BY$38,$E182)&lt;MAX($P$34*($B182+$I$38-1),IF(AND($L$37=0,$P$34=0),"",$L$37-1)),0,YEARFRAC(MAX($P$34*($B182+$I$38-1),IF(AND($L$37=0,$P$34=0),"",$L$37-1)),MIN(BY$38,$E182),$P$20))-SUM($BF182:BX182))</f>
        <v>0</v>
      </c>
      <c r="BZ182" s="446">
        <f>IF($E182=0,0,IF(MIN(BZ$38,$E182)&lt;MAX($P$34*($B182+$I$38-1),IF(AND($L$37=0,$P$34=0),"",$L$37-1)),0,YEARFRAC(MAX($P$34*($B182+$I$38-1),IF(AND($L$37=0,$P$34=0),"",$L$37-1)),MIN(BZ$38,$E182),$P$20))-SUM($BF182:BY182))</f>
        <v>0</v>
      </c>
      <c r="CA182" s="446">
        <f>IF($E182=0,0,IF(MIN(CA$38,$E182)&lt;MAX($P$34*($B182+$I$38-1),IF(AND($L$37=0,$P$34=0),"",$L$37-1)),0,YEARFRAC(MAX($P$34*($B182+$I$38-1),IF(AND($L$37=0,$P$34=0),"",$L$37-1)),MIN(CA$38,$E182),$P$20))-SUM($BF182:BZ182))</f>
        <v>0</v>
      </c>
      <c r="CB182" s="446">
        <f>IF($E182=0,0,IF(MIN(CB$38,$E182)&lt;MAX($P$34*($B182+$I$38-1),IF(AND($L$37=0,$P$34=0),"",$L$37-1)),0,YEARFRAC(MAX($P$34*($B182+$I$38-1),IF(AND($L$37=0,$P$34=0),"",$L$37-1)),MIN(CB$38,$E182),$P$20))-SUM($BF182:CA182))</f>
        <v>0</v>
      </c>
      <c r="CC182" s="446">
        <f>IF($E182=0,0,IF(MIN(CC$38,$E182)&lt;MAX($P$34*($B182+$I$38-1),IF(AND($L$37=0,$P$34=0),"",$L$37-1)),0,YEARFRAC(MAX($P$34*($B182+$I$38-1),IF(AND($L$37=0,$P$34=0),"",$L$37-1)),MIN(CC$38,$E182),$P$20))-SUM($BF182:CB182))</f>
        <v>0</v>
      </c>
      <c r="CD182" s="446">
        <f>IF($E182=0,0,IF(MIN(CD$38,$E182)&lt;MAX($P$34*($B182+$I$38-1),IF(AND($L$37=0,$P$34=0),"",$L$37-1)),0,YEARFRAC(MAX($P$34*($B182+$I$38-1),IF(AND($L$37=0,$P$34=0),"",$L$37-1)),MIN(CD$38,$E182),$P$20))-SUM($BF182:CC182))</f>
        <v>0</v>
      </c>
      <c r="CE182" s="446">
        <f>IF($E182=0,0,IF(MIN(CE$38,$E182)&lt;MAX($P$34*($B182+$I$38-1),IF(AND($L$37=0,$P$34=0),"",$L$37-1)),0,YEARFRAC(MAX($P$34*($B182+$I$38-1),IF(AND($L$37=0,$P$34=0),"",$L$37-1)),MIN(CE$38,$E182),$P$20))-SUM($BF182:CD182))</f>
        <v>0</v>
      </c>
      <c r="CF182" s="446">
        <f>IF($E182=0,0,IF(MIN(CF$38,$E182)&lt;MAX($P$34*($B182+$I$38-1),IF(AND($L$37=0,$P$34=0),"",$L$37-1)),0,YEARFRAC(MAX($P$34*($B182+$I$38-1),IF(AND($L$37=0,$P$34=0),"",$L$37-1)),MIN(CF$38,$E182),$P$20))-SUM($BF182:CE182))</f>
        <v>0</v>
      </c>
      <c r="CG182" s="446">
        <f>IF($E182=0,0,IF(MIN(CG$38,$E182)&lt;MAX($P$34*($B182+$I$38-1),IF(AND($L$37=0,$P$34=0),"",$L$37-1)),0,YEARFRAC(MAX($P$34*($B182+$I$38-1),IF(AND($L$37=0,$P$34=0),"",$L$37-1)),MIN(CG$38,$E182),$P$20))-SUM($BF182:CF182))</f>
        <v>0</v>
      </c>
      <c r="CH182" s="446">
        <f>IF($E182=0,0,IF(MIN(CH$38,$E182)&lt;MAX($P$34*($B182+$I$38-1),IF(AND($L$37=0,$P$34=0),"",$L$37-1)),0,YEARFRAC(MAX($P$34*($B182+$I$38-1),IF(AND($L$37=0,$P$34=0),"",$L$37-1)),MIN(CH$38,$E182),$P$20))-SUM($BF182:CG182))</f>
        <v>0</v>
      </c>
      <c r="CI182" s="446">
        <f>IF($E182=0,0,IF(MIN(CI$38,$E182)&lt;MAX($P$34*($B182+$I$38-1),IF(AND($L$37=0,$P$34=0),"",$L$37-1)),0,YEARFRAC(MAX($P$34*($B182+$I$38-1),IF(AND($L$37=0,$P$34=0),"",$L$37-1)),MIN(CI$38,$E182),$P$20))-SUM($BF182:CH182))</f>
        <v>0</v>
      </c>
      <c r="CJ182" s="446">
        <f>IF($E182=0,0,IF(MIN(CJ$38,$E182)&lt;MAX($P$34*($B182+$I$38-1),IF(AND($L$37=0,$P$34=0),"",$L$37-1)),0,YEARFRAC(MAX($P$34*($B182+$I$38-1),IF(AND($L$37=0,$P$34=0),"",$L$37-1)),MIN(CJ$38,$E182),$P$20))-SUM($BF182:CI182))</f>
        <v>0</v>
      </c>
      <c r="CK182" s="446">
        <f>IF($E182=0,0,IF(MIN(CK$38,$E182)&lt;MAX($P$34*($B182+$I$38-1),IF(AND($L$37=0,$P$34=0),"",$L$37-1)),0,YEARFRAC(MAX($P$34*($B182+$I$38-1),IF(AND($L$37=0,$P$34=0),"",$L$37-1)),MIN(CK$38,$E182),$P$20))-SUM($BF182:CJ182))</f>
        <v>0</v>
      </c>
      <c r="CL182" s="446">
        <f>IF($E182=0,0,IF(MIN(CL$38,$E182)&lt;MAX($P$34*($B182+$I$38-1),IF(AND($L$37=0,$P$34=0),"",$L$37-1)),0,YEARFRAC(MAX($P$34*($B182+$I$38-1),IF(AND($L$37=0,$P$34=0),"",$L$37-1)),MIN(CL$38,$E182),$P$20))-SUM($BF182:CK182))</f>
        <v>0</v>
      </c>
      <c r="CM182" s="446">
        <f>IF($E182=0,0,IF(MIN(CM$38,$E182)&lt;MAX($P$34*($B182+$I$38-1),IF(AND($L$37=0,$P$34=0),"",$L$37-1)),0,YEARFRAC(MAX($P$34*($B182+$I$38-1),IF(AND($L$37=0,$P$34=0),"",$L$37-1)),MIN(CM$38,$E182),$P$20))-SUM($BF182:CL182))</f>
        <v>0</v>
      </c>
      <c r="CN182" s="446">
        <f>IF($E182=0,0,IF(MIN(CN$38,$E182)&lt;MAX($P$34*($B182+$I$38-1),IF(AND($L$37=0,$P$34=0),"",$L$37-1)),0,YEARFRAC(MAX($P$34*($B182+$I$38-1),IF(AND($L$37=0,$P$34=0),"",$L$37-1)),MIN(CN$38,$E182),$P$20))-SUM($BF182:CM182))</f>
        <v>0</v>
      </c>
      <c r="CO182" s="446">
        <f>IF($E182=0,0,IF(MIN(CO$38,$E182)&lt;MAX($P$34*($B182+$I$38-1),IF(AND($L$37=0,$P$34=0),"",$L$37-1)),0,YEARFRAC(MAX($P$34*($B182+$I$38-1),IF(AND($L$37=0,$P$34=0),"",$L$37-1)),MIN(CO$38,$E182),$P$20))-SUM($BF182:CN182))</f>
        <v>0</v>
      </c>
      <c r="CP182" s="446">
        <f>IF($E182=0,0,IF(MIN(CP$38,$E182)&lt;MAX($P$34*($B182+$I$38-1),IF(AND($L$37=0,$P$34=0),"",$L$37-1)),0,YEARFRAC(MAX($P$34*($B182+$I$38-1),IF(AND($L$37=0,$P$34=0),"",$L$37-1)),MIN(CP$38,$E182),$P$20))-SUM($BF182:CO182))</f>
        <v>0</v>
      </c>
      <c r="CQ182" s="446">
        <f>IF($E182=0,0,IF(MIN(CQ$38,$E182)&lt;MAX($P$34*($B182+$I$38-1),IF(AND($L$37=0,$P$34=0),"",$L$37-1)),0,YEARFRAC(MAX($P$34*($B182+$I$38-1),IF(AND($L$37=0,$P$34=0),"",$L$37-1)),MIN(CQ$38,$E182),$P$20))-SUM($BF182:CP182))</f>
        <v>0</v>
      </c>
    </row>
    <row r="183" spans="1:95" s="446" customFormat="1" ht="11.25" hidden="1" customHeight="1" x14ac:dyDescent="0.2">
      <c r="A183" s="152"/>
      <c r="B183" s="153" t="str">
        <f t="shared" si="37"/>
        <v/>
      </c>
      <c r="C183" s="29" t="str">
        <f>IF(B183="","",IF($L$35="SELIC - TRIBUTOS",VLOOKUP(DATE(YEAR($D$19),MONTH($D$19)-1,1),ÍNDICES!$A:$DE,HLOOKUP($BL$25,ÍNDICES!$B$3:$T$4,2)+11)-VLOOKUP(B183,ÍNDICES!$A:$DE,HLOOKUP($BL$25,ÍNDICES!$B$3:$T$4,2)+11)+1%,IF(C$38=$W$26,$J$35,IF(ISERROR(IF(B183&gt;$D$19,1,VLOOKUP(DATE(YEAR(B183),MONTH(B183)+IF($C$35=$S$23,1,0),1),ÍNDICES!$A:$DE,$Z$35+1))),"",IF(B183&gt;$D$19,1,VLOOKUP(DATE(YEAR(B183),MONTH(B183)+IF($C$35=$S$23,1,0),1),ÍNDICES!$A:$DE,$Z$35+1))))))</f>
        <v/>
      </c>
      <c r="D183" s="154" t="str">
        <f>IF(ISERROR(IF(OR($D$38=$Y$27,$B183=""),"",VLOOKUP(B183,ÍNDICES!A:DE,AF$35+1))),"",IF(OR($D$38=$Y$27,$B183=""),"",VLOOKUP(B183,ÍNDICES!A:DE,AF$35+1)))</f>
        <v/>
      </c>
      <c r="E183" s="153"/>
      <c r="F183" s="29" t="str">
        <f>IF(E183="","",IF($L$35="SELIC - TRIBUTOS",VLOOKUP(DATE(YEAR($D$19),MONTH($D$19)-1,1),ÍNDICES!$A:$DE,HLOOKUP($BL$25,ÍNDICES!$B$3:$T$4,2)+11)-VLOOKUP(E183,ÍNDICES!$A:$DE,HLOOKUP($BL$25,ÍNDICES!$B$3:$T$4,2)+11)+1%,IF(F$38=$W$26,$J$35,IF(ISERROR(IF(E183&gt;$D$19,1,VLOOKUP(DATE(YEAR(E183),MONTH(E183)+IF($C$35=$S$23,1,0),1),ÍNDICES!$A:$DE,$Z$35+1))),"",IF(E183&gt;$D$19,1,VLOOKUP(DATE(YEAR(E183),MONTH(E183)+IF($C$35=$S$23,1,0),1),ÍNDICES!$A:$DE,$Z$35+1))))))</f>
        <v/>
      </c>
      <c r="G183" s="155"/>
      <c r="H183" s="156" t="str">
        <f t="shared" si="33"/>
        <v/>
      </c>
      <c r="I183" s="29" t="str">
        <f t="shared" si="27"/>
        <v/>
      </c>
      <c r="J183" s="5">
        <f t="shared" si="28"/>
        <v>0</v>
      </c>
      <c r="K183" s="20">
        <f t="shared" ca="1" si="29"/>
        <v>0</v>
      </c>
      <c r="L183" s="5">
        <f t="shared" ca="1" si="30"/>
        <v>0</v>
      </c>
      <c r="M183" s="64">
        <f t="shared" si="34"/>
        <v>0</v>
      </c>
      <c r="N183" s="61">
        <f t="shared" ca="1" si="35"/>
        <v>0</v>
      </c>
      <c r="O183" s="5">
        <f t="shared" ca="1" si="36"/>
        <v>0</v>
      </c>
      <c r="P183" s="446" t="e">
        <f t="shared" si="31"/>
        <v>#VALUE!</v>
      </c>
      <c r="Q183" s="446" t="e">
        <f>IF(OR($B183="",MIN(Q$38,$D$19)&lt;MAX($P$34*($B183+IF($R$17="Distrato",$I$38-1,0)),IF(AND($L$37=0,$P$34=0),"",$L$37-1),IF($R$17="Distrato",$E183,0))),0,YEARFRAC(MAX($P$34*($B183+IF($R$17="Distrato",$I$38-1,0)),IF(AND($L$37=0,$P$34=0),"",$L$37-1),IF($R$17="Distrato",$E183,0)),MIN(Q$38,$D$19),$P$20))-SUM($P183:P183)</f>
        <v>#VALUE!</v>
      </c>
      <c r="R183" s="446" t="e">
        <f>IF(OR($B183="",MIN(R$38,$D$19)&lt;MAX($P$34*($B183+IF($R$17="Distrato",$I$38-1,0)),IF(AND($L$37=0,$P$34=0),"",$L$37-1),IF($R$17="Distrato",$E183,0))),0,YEARFRAC(MAX($P$34*($B183+IF($R$17="Distrato",$I$38-1,0)),IF(AND($L$37=0,$P$34=0),"",$L$37-1),IF($R$17="Distrato",$E183,0)),MIN(R$38,$D$19),$P$20))-SUM($P183:Q183)</f>
        <v>#VALUE!</v>
      </c>
      <c r="S183" s="446" t="e">
        <f>IF(OR($B183="",MIN(S$38,$D$19)&lt;MAX($P$34*($B183+IF($R$17="Distrato",$I$38-1,0)),IF(AND($L$37=0,$P$34=0),"",$L$37-1),IF($R$17="Distrato",$E183,0))),0,YEARFRAC(MAX($P$34*($B183+IF($R$17="Distrato",$I$38-1,0)),IF(AND($L$37=0,$P$34=0),"",$L$37-1),IF($R$17="Distrato",$E183,0)),MIN(S$38,$D$19),$P$20))-SUM($P183:R183)</f>
        <v>#VALUE!</v>
      </c>
      <c r="T183" s="446" t="e">
        <f>IF(OR($B183="",MIN(T$38,$D$19)&lt;MAX($P$34*($B183+IF($R$17="Distrato",$I$38-1,0)),IF(AND($L$37=0,$P$34=0),"",$L$37-1),IF($R$17="Distrato",$E183,0))),0,YEARFRAC(MAX($P$34*($B183+IF($R$17="Distrato",$I$38-1,0)),IF(AND($L$37=0,$P$34=0),"",$L$37-1),IF($R$17="Distrato",$E183,0)),MIN(T$38,$D$19),$P$20))-SUM($P183:S183)</f>
        <v>#VALUE!</v>
      </c>
      <c r="U183" s="446" t="e">
        <f>IF(OR($B183="",MIN(U$38,$D$19)&lt;MAX($P$34*($B183+IF($R$17="Distrato",$I$38-1,0)),IF(AND($L$37=0,$P$34=0),"",$L$37-1),IF($R$17="Distrato",$E183,0))),0,YEARFRAC(MAX($P$34*($B183+IF($R$17="Distrato",$I$38-1,0)),IF(AND($L$37=0,$P$34=0),"",$L$37-1),IF($R$17="Distrato",$E183,0)),MIN(U$38,$D$19),$P$20))-SUM($P183:T183)</f>
        <v>#VALUE!</v>
      </c>
      <c r="V183" s="446" t="e">
        <f>IF(OR($B183="",MIN(V$38,$D$19)&lt;MAX($P$34*($B183+IF($R$17="Distrato",$I$38-1,0)),IF(AND($L$37=0,$P$34=0),"",$L$37-1),IF($R$17="Distrato",$E183,0))),0,YEARFRAC(MAX($P$34*($B183+IF($R$17="Distrato",$I$38-1,0)),IF(AND($L$37=0,$P$34=0),"",$L$37-1),IF($R$17="Distrato",$E183,0)),MIN(V$38,$D$19),$P$20))-SUM($P183:U183)</f>
        <v>#VALUE!</v>
      </c>
      <c r="W183" s="446" t="e">
        <f>IF(OR($B183="",MIN(W$38,$D$19)&lt;MAX($P$34*($B183+IF($R$17="Distrato",$I$38-1,0)),IF(AND($L$37=0,$P$34=0),"",$L$37-1),IF($R$17="Distrato",$E183,0))),0,YEARFRAC(MAX($P$34*($B183+IF($R$17="Distrato",$I$38-1,0)),IF(AND($L$37=0,$P$34=0),"",$L$37-1),IF($R$17="Distrato",$E183,0)),MIN(W$38,$D$19),$P$20))-SUM($P183:V183)</f>
        <v>#VALUE!</v>
      </c>
      <c r="X183" s="446" t="e">
        <f>IF(OR($B183="",MIN(X$38,$D$19)&lt;MAX($P$34*($B183+IF($R$17="Distrato",$I$38-1,0)),IF(AND($L$37=0,$P$34=0),"",$L$37-1),IF($R$17="Distrato",$E183,0))),0,YEARFRAC(MAX($P$34*($B183+IF($R$17="Distrato",$I$38-1,0)),IF(AND($L$37=0,$P$34=0),"",$L$37-1),IF($R$17="Distrato",$E183,0)),MIN(X$38,$D$19),$P$20))-SUM($P183:W183)</f>
        <v>#VALUE!</v>
      </c>
      <c r="Y183" s="446" t="e">
        <f>IF(OR($B183="",MIN(Y$38,$D$19)&lt;MAX($P$34*($B183+IF($R$17="Distrato",$I$38-1,0)),IF(AND($L$37=0,$P$34=0),"",$L$37-1),IF($R$17="Distrato",$E183,0))),0,YEARFRAC(MAX($P$34*($B183+IF($R$17="Distrato",$I$38-1,0)),IF(AND($L$37=0,$P$34=0),"",$L$37-1),IF($R$17="Distrato",$E183,0)),MIN(Y$38,$D$19),$P$20))-SUM($P183:X183)</f>
        <v>#VALUE!</v>
      </c>
      <c r="Z183" s="446" t="e">
        <f>IF(OR($B183="",MIN(Z$38,$D$19)&lt;MAX($P$34*($B183+IF($R$17="Distrato",$I$38-1,0)),IF(AND($L$37=0,$P$34=0),"",$L$37-1),IF($R$17="Distrato",$E183,0))),0,YEARFRAC(MAX($P$34*($B183+IF($R$17="Distrato",$I$38-1,0)),IF(AND($L$37=0,$P$34=0),"",$L$37-1),IF($R$17="Distrato",$E183,0)),MIN(Z$38,$D$19),$P$20))-SUM($P183:Y183)</f>
        <v>#VALUE!</v>
      </c>
      <c r="AA183" s="446" t="e">
        <f>IF(OR($B183="",MIN(AA$38,$D$19)&lt;MAX($P$34*($B183+IF($R$17="Distrato",$I$38-1,0)),IF(AND($L$37=0,$P$34=0),"",$L$37-1),IF($R$17="Distrato",$E183,0))),0,YEARFRAC(MAX($P$34*($B183+IF($R$17="Distrato",$I$38-1,0)),IF(AND($L$37=0,$P$34=0),"",$L$37-1),IF($R$17="Distrato",$E183,0)),MIN(AA$38,$D$19),$P$20))-SUM($P183:Z183)</f>
        <v>#VALUE!</v>
      </c>
      <c r="AB183" s="446" t="e">
        <f>IF(OR($B183="",MIN(AB$38,$D$19)&lt;MAX($P$34*($B183+IF($R$17="Distrato",$I$38-1,0)),IF(AND($L$37=0,$P$34=0),"",$L$37-1),IF($R$17="Distrato",$E183,0))),0,YEARFRAC(MAX($P$34*($B183+IF($R$17="Distrato",$I$38-1,0)),IF(AND($L$37=0,$P$34=0),"",$L$37-1),IF($R$17="Distrato",$E183,0)),MIN(AB$38,$D$19),$P$20))-SUM($P183:AA183)</f>
        <v>#VALUE!</v>
      </c>
      <c r="AC183" s="446" t="e">
        <f>IF(OR($B183="",MIN(AC$38,$D$19)&lt;MAX($P$34*($B183+IF($R$17="Distrato",$I$38-1,0)),IF(AND($L$37=0,$P$34=0),"",$L$37-1),IF($R$17="Distrato",$E183,0))),0,YEARFRAC(MAX($P$34*($B183+IF($R$17="Distrato",$I$38-1,0)),IF(AND($L$37=0,$P$34=0),"",$L$37-1),IF($R$17="Distrato",$E183,0)),MIN(AC$38,$D$19),$P$20))-SUM($P183:AB183)</f>
        <v>#VALUE!</v>
      </c>
      <c r="AD183" s="446" t="e">
        <f>IF(OR($B183="",MIN(AD$38,$D$19)&lt;MAX($P$34*($B183+IF($R$17="Distrato",$I$38-1,0)),IF(AND($L$37=0,$P$34=0),"",$L$37-1),IF($R$17="Distrato",$E183,0))),0,YEARFRAC(MAX($P$34*($B183+IF($R$17="Distrato",$I$38-1,0)),IF(AND($L$37=0,$P$34=0),"",$L$37-1),IF($R$17="Distrato",$E183,0)),MIN(AD$38,$D$19),$P$20))-SUM($P183:AC183)</f>
        <v>#VALUE!</v>
      </c>
      <c r="AE183" s="446" t="e">
        <f>IF(OR($B183="",MIN(AE$38,$D$19)&lt;MAX($P$34*($B183+IF($R$17="Distrato",$I$38-1,0)),IF(AND($L$37=0,$P$34=0),"",$L$37-1),IF($R$17="Distrato",$E183,0))),0,YEARFRAC(MAX($P$34*($B183+IF($R$17="Distrato",$I$38-1,0)),IF(AND($L$37=0,$P$34=0),"",$L$37-1),IF($R$17="Distrato",$E183,0)),MIN(AE$38,$D$19),$P$20))-SUM($P183:AD183)</f>
        <v>#VALUE!</v>
      </c>
      <c r="AF183" s="446" t="e">
        <f>IF(OR($B183="",MIN(AF$38,$D$19)&lt;MAX($P$34*($B183+IF($R$17="Distrato",$I$38-1,0)),IF(AND($L$37=0,$P$34=0),"",$L$37-1),IF($R$17="Distrato",$E183,0))),0,YEARFRAC(MAX($P$34*($B183+IF($R$17="Distrato",$I$38-1,0)),IF(AND($L$37=0,$P$34=0),"",$L$37-1),IF($R$17="Distrato",$E183,0)),MIN(AF$38,$D$19),$P$20))-SUM($P183:AE183)</f>
        <v>#VALUE!</v>
      </c>
      <c r="AG183" s="446" t="e">
        <f>IF(OR($B183="",MIN(AG$38,$D$19)&lt;MAX($P$34*($B183+IF($R$17="Distrato",$I$38-1,0)),IF(AND($L$37=0,$P$34=0),"",$L$37-1),IF($R$17="Distrato",$E183,0))),0,YEARFRAC(MAX($P$34*($B183+IF($R$17="Distrato",$I$38-1,0)),IF(AND($L$37=0,$P$34=0),"",$L$37-1),IF($R$17="Distrato",$E183,0)),MIN(AG$38,$D$19),$P$20))-SUM($P183:AF183)</f>
        <v>#VALUE!</v>
      </c>
      <c r="AH183" s="446" t="e">
        <f>IF(OR($B183="",MIN(AH$38,$D$19)&lt;MAX($P$34*($B183+IF($R$17="Distrato",$I$38-1,0)),IF(AND($L$37=0,$P$34=0),"",$L$37-1),IF($R$17="Distrato",$E183,0))),0,YEARFRAC(MAX($P$34*($B183+IF($R$17="Distrato",$I$38-1,0)),IF(AND($L$37=0,$P$34=0),"",$L$37-1),IF($R$17="Distrato",$E183,0)),MIN(AH$38,$D$19),$P$20))-SUM($P183:AG183)</f>
        <v>#VALUE!</v>
      </c>
      <c r="AI183" s="446" t="e">
        <f>IF(OR($B183="",MIN(AI$38,$D$19)&lt;MAX($P$34*($B183+IF($R$17="Distrato",$I$38-1,0)),IF(AND($L$37=0,$P$34=0),"",$L$37-1),IF($R$17="Distrato",$E183,0))),0,YEARFRAC(MAX($P$34*($B183+IF($R$17="Distrato",$I$38-1,0)),IF(AND($L$37=0,$P$34=0),"",$L$37-1),IF($R$17="Distrato",$E183,0)),MIN(AI$38,$D$19),$P$20))-SUM($P183:AH183)</f>
        <v>#VALUE!</v>
      </c>
      <c r="AJ183" s="446" t="e">
        <f>IF(OR($B183="",MIN(AJ$38,$D$19)&lt;MAX($P$34*($B183+IF($R$17="Distrato",$I$38-1,0)),IF(AND($L$37=0,$P$34=0),"",$L$37-1),IF($R$17="Distrato",$E183,0))),0,YEARFRAC(MAX($P$34*($B183+IF($R$17="Distrato",$I$38-1,0)),IF(AND($L$37=0,$P$34=0),"",$L$37-1),IF($R$17="Distrato",$E183,0)),MIN(AJ$38,$D$19),$P$20))-SUM($P183:AI183)</f>
        <v>#VALUE!</v>
      </c>
      <c r="AK183" s="446" t="e">
        <f>IF(OR($B183="",MIN(AK$38,$D$19)&lt;MAX($P$34*($B183+IF($R$17="Distrato",$I$38-1,0)),IF(AND($L$37=0,$P$34=0),"",$L$37-1),IF($R$17="Distrato",$E183,0))),0,YEARFRAC(MAX($P$34*($B183+IF($R$17="Distrato",$I$38-1,0)),IF(AND($L$37=0,$P$34=0),"",$L$37-1),IF($R$17="Distrato",$E183,0)),MIN(AK$38,$D$19),$P$20))-SUM($P183:AJ183)</f>
        <v>#VALUE!</v>
      </c>
      <c r="AL183" s="446" t="e">
        <f>IF(OR($B183="",MIN(AL$38,$D$19)&lt;MAX($P$34*($B183+IF($R$17="Distrato",$I$38-1,0)),IF(AND($L$37=0,$P$34=0),"",$L$37-1),IF($R$17="Distrato",$E183,0))),0,YEARFRAC(MAX($P$34*($B183+IF($R$17="Distrato",$I$38-1,0)),IF(AND($L$37=0,$P$34=0),"",$L$37-1),IF($R$17="Distrato",$E183,0)),MIN(AL$38,$D$19),$P$20))-SUM($P183:AK183)</f>
        <v>#VALUE!</v>
      </c>
      <c r="AM183" s="446" t="e">
        <f>IF(OR($B183="",MIN(AM$38,$D$19)&lt;MAX($P$34*($B183+IF($R$17="Distrato",$I$38-1,0)),IF(AND($L$37=0,$P$34=0),"",$L$37-1),IF($R$17="Distrato",$E183,0))),0,YEARFRAC(MAX($P$34*($B183+IF($R$17="Distrato",$I$38-1,0)),IF(AND($L$37=0,$P$34=0),"",$L$37-1),IF($R$17="Distrato",$E183,0)),MIN(AM$38,$D$19),$P$20))-SUM($P183:AL183)</f>
        <v>#VALUE!</v>
      </c>
      <c r="AN183" s="446" t="e">
        <f>IF(OR($B183="",MIN(AN$38,$D$19)&lt;MAX($P$34*($B183+IF($R$17="Distrato",$I$38-1,0)),IF(AND($L$37=0,$P$34=0),"",$L$37-1),IF($R$17="Distrato",$E183,0))),0,YEARFRAC(MAX($P$34*($B183+IF($R$17="Distrato",$I$38-1,0)),IF(AND($L$37=0,$P$34=0),"",$L$37-1),IF($R$17="Distrato",$E183,0)),MIN(AN$38,$D$19),$P$20))-SUM($P183:AM183)</f>
        <v>#VALUE!</v>
      </c>
      <c r="AO183" s="446" t="e">
        <f>IF(OR($B183="",MIN(AO$38,$D$19)&lt;MAX($P$34*($B183+IF($R$17="Distrato",$I$38-1,0)),IF(AND($L$37=0,$P$34=0),"",$L$37-1),IF($R$17="Distrato",$E183,0))),0,YEARFRAC(MAX($P$34*($B183+IF($R$17="Distrato",$I$38-1,0)),IF(AND($L$37=0,$P$34=0),"",$L$37-1),IF($R$17="Distrato",$E183,0)),MIN(AO$38,$D$19),$P$20))-SUM($P183:AN183)</f>
        <v>#VALUE!</v>
      </c>
      <c r="AP183" s="446" t="e">
        <f>IF(OR($B183="",MIN(AP$38,$D$19)&lt;MAX($P$34*($B183+IF($R$17="Distrato",$I$38-1,0)),IF(AND($L$37=0,$P$34=0),"",$L$37-1),IF($R$17="Distrato",$E183,0))),0,YEARFRAC(MAX($P$34*($B183+IF($R$17="Distrato",$I$38-1,0)),IF(AND($L$37=0,$P$34=0),"",$L$37-1),IF($R$17="Distrato",$E183,0)),MIN(AP$38,$D$19),$P$20))-SUM($P183:AO183)</f>
        <v>#VALUE!</v>
      </c>
      <c r="AQ183" s="446" t="e">
        <f>IF(OR($B183="",MIN(AQ$38,$D$19)&lt;MAX($P$34*($B183+IF($R$17="Distrato",$I$38-1,0)),IF(AND($L$37=0,$P$34=0),"",$L$37-1),IF($R$17="Distrato",$E183,0))),0,YEARFRAC(MAX($P$34*($B183+IF($R$17="Distrato",$I$38-1,0)),IF(AND($L$37=0,$P$34=0),"",$L$37-1),IF($R$17="Distrato",$E183,0)),MIN(AQ$38,$D$19),$P$20))-SUM($P183:AP183)</f>
        <v>#VALUE!</v>
      </c>
      <c r="AR183" s="446" t="e">
        <f>IF(OR($B183="",MIN(AR$38,$D$19)&lt;MAX($P$34*($B183+IF($R$17="Distrato",$I$38-1,0)),IF(AND($L$37=0,$P$34=0),"",$L$37-1),IF($R$17="Distrato",$E183,0))),0,YEARFRAC(MAX($P$34*($B183+IF($R$17="Distrato",$I$38-1,0)),IF(AND($L$37=0,$P$34=0),"",$L$37-1),IF($R$17="Distrato",$E183,0)),MIN(AR$38,$D$19),$P$20))-SUM($P183:AQ183)</f>
        <v>#VALUE!</v>
      </c>
      <c r="AS183" s="446" t="e">
        <f>IF(OR($B183="",MIN(AS$38,$D$19)&lt;MAX($P$34*($B183+IF($R$17="Distrato",$I$38-1,0)),IF(AND($L$37=0,$P$34=0),"",$L$37-1),IF($R$17="Distrato",$E183,0))),0,YEARFRAC(MAX($P$34*($B183+IF($R$17="Distrato",$I$38-1,0)),IF(AND($L$37=0,$P$34=0),"",$L$37-1),IF($R$17="Distrato",$E183,0)),MIN(AS$38,$D$19),$P$20))-SUM($P183:AR183)</f>
        <v>#VALUE!</v>
      </c>
      <c r="AT183" s="446" t="e">
        <f>IF(OR($B183="",MIN(AT$38,$D$19)&lt;MAX($P$34*($B183+IF($R$17="Distrato",$I$38-1,0)),IF(AND($L$37=0,$P$34=0),"",$L$37-1),IF($R$17="Distrato",$E183,0))),0,YEARFRAC(MAX($P$34*($B183+IF($R$17="Distrato",$I$38-1,0)),IF(AND($L$37=0,$P$34=0),"",$L$37-1),IF($R$17="Distrato",$E183,0)),MIN(AT$38,$D$19),$P$20))-SUM($P183:AS183)</f>
        <v>#VALUE!</v>
      </c>
      <c r="AU183" s="446" t="e">
        <f>IF(OR($B183="",MIN(AU$38,$D$19)&lt;MAX($P$34*($B183+IF($R$17="Distrato",$I$38-1,0)),IF(AND($L$37=0,$P$34=0),"",$L$37-1),IF($R$17="Distrato",$E183,0))),0,YEARFRAC(MAX($P$34*($B183+IF($R$17="Distrato",$I$38-1,0)),IF(AND($L$37=0,$P$34=0),"",$L$37-1),IF($R$17="Distrato",$E183,0)),MIN(AU$38,$D$19),$P$20))-SUM($P183:AT183)</f>
        <v>#VALUE!</v>
      </c>
      <c r="AV183" s="446" t="e">
        <f>IF(OR($B183="",MIN(AV$38,$D$19)&lt;MAX($P$34*($B183+IF($R$17="Distrato",$I$38-1,0)),IF(AND($L$37=0,$P$34=0),"",$L$37-1),IF($R$17="Distrato",$E183,0))),0,YEARFRAC(MAX($P$34*($B183+IF($R$17="Distrato",$I$38-1,0)),IF(AND($L$37=0,$P$34=0),"",$L$37-1),IF($R$17="Distrato",$E183,0)),MIN(AV$38,$D$19),$P$20))-SUM($P183:AU183)</f>
        <v>#VALUE!</v>
      </c>
      <c r="AW183" s="446" t="e">
        <f>IF(OR($B183="",MIN(AW$38,$D$19)&lt;MAX($P$34*($B183+IF($R$17="Distrato",$I$38-1,0)),IF(AND($L$37=0,$P$34=0),"",$L$37-1),IF($R$17="Distrato",$E183,0))),0,YEARFRAC(MAX($P$34*($B183+IF($R$17="Distrato",$I$38-1,0)),IF(AND($L$37=0,$P$34=0),"",$L$37-1),IF($R$17="Distrato",$E183,0)),MIN(AW$38,$D$19),$P$20))-SUM($P183:AV183)</f>
        <v>#VALUE!</v>
      </c>
      <c r="AX183" s="446" t="e">
        <f>IF(OR($B183="",MIN(AX$38,$D$19)&lt;MAX($P$34*($B183+IF($R$17="Distrato",$I$38-1,0)),IF(AND($L$37=0,$P$34=0),"",$L$37-1),IF($R$17="Distrato",$E183,0))),0,YEARFRAC(MAX($P$34*($B183+IF($R$17="Distrato",$I$38-1,0)),IF(AND($L$37=0,$P$34=0),"",$L$37-1),IF($R$17="Distrato",$E183,0)),MIN(AX$38,$D$19),$P$20))-SUM($P183:AW183)</f>
        <v>#VALUE!</v>
      </c>
      <c r="AY183" s="446" t="e">
        <f>IF(OR($B183="",MIN(AY$38,$D$19)&lt;MAX($P$34*($B183+IF($R$17="Distrato",$I$38-1,0)),IF(AND($L$37=0,$P$34=0),"",$L$37-1),IF($R$17="Distrato",$E183,0))),0,YEARFRAC(MAX($P$34*($B183+IF($R$17="Distrato",$I$38-1,0)),IF(AND($L$37=0,$P$34=0),"",$L$37-1),IF($R$17="Distrato",$E183,0)),MIN(AY$38,$D$19),$P$20))-SUM($P183:AX183)</f>
        <v>#VALUE!</v>
      </c>
      <c r="AZ183" s="446" t="e">
        <f>IF(OR($B183="",MIN(AZ$38,$D$19)&lt;MAX($P$34*($B183+IF($R$17="Distrato",$I$38-1,0)),IF(AND($L$37=0,$P$34=0),"",$L$37-1),IF($R$17="Distrato",$E183,0))),0,YEARFRAC(MAX($P$34*($B183+IF($R$17="Distrato",$I$38-1,0)),IF(AND($L$37=0,$P$34=0),"",$L$37-1),IF($R$17="Distrato",$E183,0)),MIN(AZ$38,$D$19),$P$20))-SUM($P183:AY183)</f>
        <v>#VALUE!</v>
      </c>
      <c r="BA183" s="446" t="e">
        <f>IF(OR($B183="",MIN(BA$38,$D$19)&lt;MAX($P$34*($B183+IF($R$17="Distrato",$I$38-1,0)),IF(AND($L$37=0,$P$34=0),"",$L$37-1),IF($R$17="Distrato",$E183,0))),0,YEARFRAC(MAX($P$34*($B183+IF($R$17="Distrato",$I$38-1,0)),IF(AND($L$37=0,$P$34=0),"",$L$37-1),IF($R$17="Distrato",$E183,0)),MIN(BA$38,$D$19),$P$20))-SUM($P183:AZ183)</f>
        <v>#VALUE!</v>
      </c>
      <c r="BB183" s="447"/>
      <c r="BF183" s="446">
        <f t="shared" si="32"/>
        <v>0</v>
      </c>
      <c r="BG183" s="446">
        <f>IF($E183=0,0,IF(MIN(BG$38,$E183)&lt;MAX($P$34*($B183+$I$38-1),IF(AND($L$37=0,$P$34=0),"",$L$37-1)),0,YEARFRAC(MAX($P$34*($B183+$I$38-1),IF(AND($L$37=0,$P$34=0),"",$L$37-1)),MIN(BG$38,$E183),$P$20))-SUM($BF183:BF183))</f>
        <v>0</v>
      </c>
      <c r="BH183" s="446">
        <f>IF($E183=0,0,IF(MIN(BH$38,$E183)&lt;MAX($P$34*($B183+$I$38-1),IF(AND($L$37=0,$P$34=0),"",$L$37-1)),0,YEARFRAC(MAX($P$34*($B183+$I$38-1),IF(AND($L$37=0,$P$34=0),"",$L$37-1)),MIN(BH$38,$E183),$P$20))-SUM($BF183:BG183))</f>
        <v>0</v>
      </c>
      <c r="BI183" s="446">
        <f>IF($E183=0,0,IF(MIN(BI$38,$E183)&lt;MAX($P$34*($B183+$I$38-1),IF(AND($L$37=0,$P$34=0),"",$L$37-1)),0,YEARFRAC(MAX($P$34*($B183+$I$38-1),IF(AND($L$37=0,$P$34=0),"",$L$37-1)),MIN(BI$38,$E183),$P$20))-SUM($BF183:BH183))</f>
        <v>0</v>
      </c>
      <c r="BJ183" s="446">
        <f>IF($E183=0,0,IF(MIN(BJ$38,$E183)&lt;MAX($P$34*($B183+$I$38-1),IF(AND($L$37=0,$P$34=0),"",$L$37-1)),0,YEARFRAC(MAX($P$34*($B183+$I$38-1),IF(AND($L$37=0,$P$34=0),"",$L$37-1)),MIN(BJ$38,$E183),$P$20))-SUM($BF183:BI183))</f>
        <v>0</v>
      </c>
      <c r="BK183" s="446">
        <f>IF($E183=0,0,IF(MIN(BK$38,$E183)&lt;MAX($P$34*($B183+$I$38-1),IF(AND($L$37=0,$P$34=0),"",$L$37-1)),0,YEARFRAC(MAX($P$34*($B183+$I$38-1),IF(AND($L$37=0,$P$34=0),"",$L$37-1)),MIN(BK$38,$E183),$P$20))-SUM($BF183:BJ183))</f>
        <v>0</v>
      </c>
      <c r="BL183" s="446">
        <f>IF($E183=0,0,IF(MIN(BL$38,$E183)&lt;MAX($P$34*($B183+$I$38-1),IF(AND($L$37=0,$P$34=0),"",$L$37-1)),0,YEARFRAC(MAX($P$34*($B183+$I$38-1),IF(AND($L$37=0,$P$34=0),"",$L$37-1)),MIN(BL$38,$E183),$P$20))-SUM($BF183:BK183))</f>
        <v>0</v>
      </c>
      <c r="BM183" s="446">
        <f>IF($E183=0,0,IF(MIN(BM$38,$E183)&lt;MAX($P$34*($B183+$I$38-1),IF(AND($L$37=0,$P$34=0),"",$L$37-1)),0,YEARFRAC(MAX($P$34*($B183+$I$38-1),IF(AND($L$37=0,$P$34=0),"",$L$37-1)),MIN(BM$38,$E183),$P$20))-SUM($BF183:BL183))</f>
        <v>0</v>
      </c>
      <c r="BN183" s="446">
        <f>IF($E183=0,0,IF(MIN(BN$38,$E183)&lt;MAX($P$34*($B183+$I$38-1),IF(AND($L$37=0,$P$34=0),"",$L$37-1)),0,YEARFRAC(MAX($P$34*($B183+$I$38-1),IF(AND($L$37=0,$P$34=0),"",$L$37-1)),MIN(BN$38,$E183),$P$20))-SUM($BF183:BM183))</f>
        <v>0</v>
      </c>
      <c r="BO183" s="446">
        <f>IF($E183=0,0,IF(MIN(BO$38,$E183)&lt;MAX($P$34*($B183+$I$38-1),IF(AND($L$37=0,$P$34=0),"",$L$37-1)),0,YEARFRAC(MAX($P$34*($B183+$I$38-1),IF(AND($L$37=0,$P$34=0),"",$L$37-1)),MIN(BO$38,$E183),$P$20))-SUM($BF183:BN183))</f>
        <v>0</v>
      </c>
      <c r="BP183" s="446">
        <f>IF($E183=0,0,IF(MIN(BP$38,$E183)&lt;MAX($P$34*($B183+$I$38-1),IF(AND($L$37=0,$P$34=0),"",$L$37-1)),0,YEARFRAC(MAX($P$34*($B183+$I$38-1),IF(AND($L$37=0,$P$34=0),"",$L$37-1)),MIN(BP$38,$E183),$P$20))-SUM($BF183:BO183))</f>
        <v>0</v>
      </c>
      <c r="BQ183" s="446">
        <f>IF($E183=0,0,IF(MIN(BQ$38,$E183)&lt;MAX($P$34*($B183+$I$38-1),IF(AND($L$37=0,$P$34=0),"",$L$37-1)),0,YEARFRAC(MAX($P$34*($B183+$I$38-1),IF(AND($L$37=0,$P$34=0),"",$L$37-1)),MIN(BQ$38,$E183),$P$20))-SUM($BF183:BP183))</f>
        <v>0</v>
      </c>
      <c r="BR183" s="446">
        <f>IF($E183=0,0,IF(MIN(BR$38,$E183)&lt;MAX($P$34*($B183+$I$38-1),IF(AND($L$37=0,$P$34=0),"",$L$37-1)),0,YEARFRAC(MAX($P$34*($B183+$I$38-1),IF(AND($L$37=0,$P$34=0),"",$L$37-1)),MIN(BR$38,$E183),$P$20))-SUM($BF183:BQ183))</f>
        <v>0</v>
      </c>
      <c r="BS183" s="446">
        <f>IF($E183=0,0,IF(MIN(BS$38,$E183)&lt;MAX($P$34*($B183+$I$38-1),IF(AND($L$37=0,$P$34=0),"",$L$37-1)),0,YEARFRAC(MAX($P$34*($B183+$I$38-1),IF(AND($L$37=0,$P$34=0),"",$L$37-1)),MIN(BS$38,$E183),$P$20))-SUM($BF183:BR183))</f>
        <v>0</v>
      </c>
      <c r="BT183" s="446">
        <f>IF($E183=0,0,IF(MIN(BT$38,$E183)&lt;MAX($P$34*($B183+$I$38-1),IF(AND($L$37=0,$P$34=0),"",$L$37-1)),0,YEARFRAC(MAX($P$34*($B183+$I$38-1),IF(AND($L$37=0,$P$34=0),"",$L$37-1)),MIN(BT$38,$E183),$P$20))-SUM($BF183:BS183))</f>
        <v>0</v>
      </c>
      <c r="BU183" s="446">
        <f>IF($E183=0,0,IF(MIN(BU$38,$E183)&lt;MAX($P$34*($B183+$I$38-1),IF(AND($L$37=0,$P$34=0),"",$L$37-1)),0,YEARFRAC(MAX($P$34*($B183+$I$38-1),IF(AND($L$37=0,$P$34=0),"",$L$37-1)),MIN(BU$38,$E183),$P$20))-SUM($BF183:BT183))</f>
        <v>0</v>
      </c>
      <c r="BV183" s="446">
        <f>IF($E183=0,0,IF(MIN(BV$38,$E183)&lt;MAX($P$34*($B183+$I$38-1),IF(AND($L$37=0,$P$34=0),"",$L$37-1)),0,YEARFRAC(MAX($P$34*($B183+$I$38-1),IF(AND($L$37=0,$P$34=0),"",$L$37-1)),MIN(BV$38,$E183),$P$20))-SUM($BF183:BU183))</f>
        <v>0</v>
      </c>
      <c r="BW183" s="446">
        <f>IF($E183=0,0,IF(MIN(BW$38,$E183)&lt;MAX($P$34*($B183+$I$38-1),IF(AND($L$37=0,$P$34=0),"",$L$37-1)),0,YEARFRAC(MAX($P$34*($B183+$I$38-1),IF(AND($L$37=0,$P$34=0),"",$L$37-1)),MIN(BW$38,$E183),$P$20))-SUM($BF183:BV183))</f>
        <v>0</v>
      </c>
      <c r="BX183" s="446">
        <f>IF($E183=0,0,IF(MIN(BX$38,$E183)&lt;MAX($P$34*($B183+$I$38-1),IF(AND($L$37=0,$P$34=0),"",$L$37-1)),0,YEARFRAC(MAX($P$34*($B183+$I$38-1),IF(AND($L$37=0,$P$34=0),"",$L$37-1)),MIN(BX$38,$E183),$P$20))-SUM($BF183:BW183))</f>
        <v>0</v>
      </c>
      <c r="BY183" s="446">
        <f>IF($E183=0,0,IF(MIN(BY$38,$E183)&lt;MAX($P$34*($B183+$I$38-1),IF(AND($L$37=0,$P$34=0),"",$L$37-1)),0,YEARFRAC(MAX($P$34*($B183+$I$38-1),IF(AND($L$37=0,$P$34=0),"",$L$37-1)),MIN(BY$38,$E183),$P$20))-SUM($BF183:BX183))</f>
        <v>0</v>
      </c>
      <c r="BZ183" s="446">
        <f>IF($E183=0,0,IF(MIN(BZ$38,$E183)&lt;MAX($P$34*($B183+$I$38-1),IF(AND($L$37=0,$P$34=0),"",$L$37-1)),0,YEARFRAC(MAX($P$34*($B183+$I$38-1),IF(AND($L$37=0,$P$34=0),"",$L$37-1)),MIN(BZ$38,$E183),$P$20))-SUM($BF183:BY183))</f>
        <v>0</v>
      </c>
      <c r="CA183" s="446">
        <f>IF($E183=0,0,IF(MIN(CA$38,$E183)&lt;MAX($P$34*($B183+$I$38-1),IF(AND($L$37=0,$P$34=0),"",$L$37-1)),0,YEARFRAC(MAX($P$34*($B183+$I$38-1),IF(AND($L$37=0,$P$34=0),"",$L$37-1)),MIN(CA$38,$E183),$P$20))-SUM($BF183:BZ183))</f>
        <v>0</v>
      </c>
      <c r="CB183" s="446">
        <f>IF($E183=0,0,IF(MIN(CB$38,$E183)&lt;MAX($P$34*($B183+$I$38-1),IF(AND($L$37=0,$P$34=0),"",$L$37-1)),0,YEARFRAC(MAX($P$34*($B183+$I$38-1),IF(AND($L$37=0,$P$34=0),"",$L$37-1)),MIN(CB$38,$E183),$P$20))-SUM($BF183:CA183))</f>
        <v>0</v>
      </c>
      <c r="CC183" s="446">
        <f>IF($E183=0,0,IF(MIN(CC$38,$E183)&lt;MAX($P$34*($B183+$I$38-1),IF(AND($L$37=0,$P$34=0),"",$L$37-1)),0,YEARFRAC(MAX($P$34*($B183+$I$38-1),IF(AND($L$37=0,$P$34=0),"",$L$37-1)),MIN(CC$38,$E183),$P$20))-SUM($BF183:CB183))</f>
        <v>0</v>
      </c>
      <c r="CD183" s="446">
        <f>IF($E183=0,0,IF(MIN(CD$38,$E183)&lt;MAX($P$34*($B183+$I$38-1),IF(AND($L$37=0,$P$34=0),"",$L$37-1)),0,YEARFRAC(MAX($P$34*($B183+$I$38-1),IF(AND($L$37=0,$P$34=0),"",$L$37-1)),MIN(CD$38,$E183),$P$20))-SUM($BF183:CC183))</f>
        <v>0</v>
      </c>
      <c r="CE183" s="446">
        <f>IF($E183=0,0,IF(MIN(CE$38,$E183)&lt;MAX($P$34*($B183+$I$38-1),IF(AND($L$37=0,$P$34=0),"",$L$37-1)),0,YEARFRAC(MAX($P$34*($B183+$I$38-1),IF(AND($L$37=0,$P$34=0),"",$L$37-1)),MIN(CE$38,$E183),$P$20))-SUM($BF183:CD183))</f>
        <v>0</v>
      </c>
      <c r="CF183" s="446">
        <f>IF($E183=0,0,IF(MIN(CF$38,$E183)&lt;MAX($P$34*($B183+$I$38-1),IF(AND($L$37=0,$P$34=0),"",$L$37-1)),0,YEARFRAC(MAX($P$34*($B183+$I$38-1),IF(AND($L$37=0,$P$34=0),"",$L$37-1)),MIN(CF$38,$E183),$P$20))-SUM($BF183:CE183))</f>
        <v>0</v>
      </c>
      <c r="CG183" s="446">
        <f>IF($E183=0,0,IF(MIN(CG$38,$E183)&lt;MAX($P$34*($B183+$I$38-1),IF(AND($L$37=0,$P$34=0),"",$L$37-1)),0,YEARFRAC(MAX($P$34*($B183+$I$38-1),IF(AND($L$37=0,$P$34=0),"",$L$37-1)),MIN(CG$38,$E183),$P$20))-SUM($BF183:CF183))</f>
        <v>0</v>
      </c>
      <c r="CH183" s="446">
        <f>IF($E183=0,0,IF(MIN(CH$38,$E183)&lt;MAX($P$34*($B183+$I$38-1),IF(AND($L$37=0,$P$34=0),"",$L$37-1)),0,YEARFRAC(MAX($P$34*($B183+$I$38-1),IF(AND($L$37=0,$P$34=0),"",$L$37-1)),MIN(CH$38,$E183),$P$20))-SUM($BF183:CG183))</f>
        <v>0</v>
      </c>
      <c r="CI183" s="446">
        <f>IF($E183=0,0,IF(MIN(CI$38,$E183)&lt;MAX($P$34*($B183+$I$38-1),IF(AND($L$37=0,$P$34=0),"",$L$37-1)),0,YEARFRAC(MAX($P$34*($B183+$I$38-1),IF(AND($L$37=0,$P$34=0),"",$L$37-1)),MIN(CI$38,$E183),$P$20))-SUM($BF183:CH183))</f>
        <v>0</v>
      </c>
      <c r="CJ183" s="446">
        <f>IF($E183=0,0,IF(MIN(CJ$38,$E183)&lt;MAX($P$34*($B183+$I$38-1),IF(AND($L$37=0,$P$34=0),"",$L$37-1)),0,YEARFRAC(MAX($P$34*($B183+$I$38-1),IF(AND($L$37=0,$P$34=0),"",$L$37-1)),MIN(CJ$38,$E183),$P$20))-SUM($BF183:CI183))</f>
        <v>0</v>
      </c>
      <c r="CK183" s="446">
        <f>IF($E183=0,0,IF(MIN(CK$38,$E183)&lt;MAX($P$34*($B183+$I$38-1),IF(AND($L$37=0,$P$34=0),"",$L$37-1)),0,YEARFRAC(MAX($P$34*($B183+$I$38-1),IF(AND($L$37=0,$P$34=0),"",$L$37-1)),MIN(CK$38,$E183),$P$20))-SUM($BF183:CJ183))</f>
        <v>0</v>
      </c>
      <c r="CL183" s="446">
        <f>IF($E183=0,0,IF(MIN(CL$38,$E183)&lt;MAX($P$34*($B183+$I$38-1),IF(AND($L$37=0,$P$34=0),"",$L$37-1)),0,YEARFRAC(MAX($P$34*($B183+$I$38-1),IF(AND($L$37=0,$P$34=0),"",$L$37-1)),MIN(CL$38,$E183),$P$20))-SUM($BF183:CK183))</f>
        <v>0</v>
      </c>
      <c r="CM183" s="446">
        <f>IF($E183=0,0,IF(MIN(CM$38,$E183)&lt;MAX($P$34*($B183+$I$38-1),IF(AND($L$37=0,$P$34=0),"",$L$37-1)),0,YEARFRAC(MAX($P$34*($B183+$I$38-1),IF(AND($L$37=0,$P$34=0),"",$L$37-1)),MIN(CM$38,$E183),$P$20))-SUM($BF183:CL183))</f>
        <v>0</v>
      </c>
      <c r="CN183" s="446">
        <f>IF($E183=0,0,IF(MIN(CN$38,$E183)&lt;MAX($P$34*($B183+$I$38-1),IF(AND($L$37=0,$P$34=0),"",$L$37-1)),0,YEARFRAC(MAX($P$34*($B183+$I$38-1),IF(AND($L$37=0,$P$34=0),"",$L$37-1)),MIN(CN$38,$E183),$P$20))-SUM($BF183:CM183))</f>
        <v>0</v>
      </c>
      <c r="CO183" s="446">
        <f>IF($E183=0,0,IF(MIN(CO$38,$E183)&lt;MAX($P$34*($B183+$I$38-1),IF(AND($L$37=0,$P$34=0),"",$L$37-1)),0,YEARFRAC(MAX($P$34*($B183+$I$38-1),IF(AND($L$37=0,$P$34=0),"",$L$37-1)),MIN(CO$38,$E183),$P$20))-SUM($BF183:CN183))</f>
        <v>0</v>
      </c>
      <c r="CP183" s="446">
        <f>IF($E183=0,0,IF(MIN(CP$38,$E183)&lt;MAX($P$34*($B183+$I$38-1),IF(AND($L$37=0,$P$34=0),"",$L$37-1)),0,YEARFRAC(MAX($P$34*($B183+$I$38-1),IF(AND($L$37=0,$P$34=0),"",$L$37-1)),MIN(CP$38,$E183),$P$20))-SUM($BF183:CO183))</f>
        <v>0</v>
      </c>
      <c r="CQ183" s="446">
        <f>IF($E183=0,0,IF(MIN(CQ$38,$E183)&lt;MAX($P$34*($B183+$I$38-1),IF(AND($L$37=0,$P$34=0),"",$L$37-1)),0,YEARFRAC(MAX($P$34*($B183+$I$38-1),IF(AND($L$37=0,$P$34=0),"",$L$37-1)),MIN(CQ$38,$E183),$P$20))-SUM($BF183:CP183))</f>
        <v>0</v>
      </c>
    </row>
    <row r="184" spans="1:95" s="446" customFormat="1" ht="11.25" hidden="1" customHeight="1" x14ac:dyDescent="0.2">
      <c r="A184" s="152"/>
      <c r="B184" s="153" t="str">
        <f t="shared" si="37"/>
        <v/>
      </c>
      <c r="C184" s="29" t="str">
        <f>IF(B184="","",IF($L$35="SELIC - TRIBUTOS",VLOOKUP(DATE(YEAR($D$19),MONTH($D$19)-1,1),ÍNDICES!$A:$DE,HLOOKUP($BL$25,ÍNDICES!$B$3:$T$4,2)+11)-VLOOKUP(B184,ÍNDICES!$A:$DE,HLOOKUP($BL$25,ÍNDICES!$B$3:$T$4,2)+11)+1%,IF(C$38=$W$26,$J$35,IF(ISERROR(IF(B184&gt;$D$19,1,VLOOKUP(DATE(YEAR(B184),MONTH(B184)+IF($C$35=$S$23,1,0),1),ÍNDICES!$A:$DE,$Z$35+1))),"",IF(B184&gt;$D$19,1,VLOOKUP(DATE(YEAR(B184),MONTH(B184)+IF($C$35=$S$23,1,0),1),ÍNDICES!$A:$DE,$Z$35+1))))))</f>
        <v/>
      </c>
      <c r="D184" s="154" t="str">
        <f>IF(ISERROR(IF(OR($D$38=$Y$27,$B184=""),"",VLOOKUP(B184,ÍNDICES!A:DE,AF$35+1))),"",IF(OR($D$38=$Y$27,$B184=""),"",VLOOKUP(B184,ÍNDICES!A:DE,AF$35+1)))</f>
        <v/>
      </c>
      <c r="E184" s="153"/>
      <c r="F184" s="29" t="str">
        <f>IF(E184="","",IF($L$35="SELIC - TRIBUTOS",VLOOKUP(DATE(YEAR($D$19),MONTH($D$19)-1,1),ÍNDICES!$A:$DE,HLOOKUP($BL$25,ÍNDICES!$B$3:$T$4,2)+11)-VLOOKUP(E184,ÍNDICES!$A:$DE,HLOOKUP($BL$25,ÍNDICES!$B$3:$T$4,2)+11)+1%,IF(F$38=$W$26,$J$35,IF(ISERROR(IF(E184&gt;$D$19,1,VLOOKUP(DATE(YEAR(E184),MONTH(E184)+IF($C$35=$S$23,1,0),1),ÍNDICES!$A:$DE,$Z$35+1))),"",IF(E184&gt;$D$19,1,VLOOKUP(DATE(YEAR(E184),MONTH(E184)+IF($C$35=$S$23,1,0),1),ÍNDICES!$A:$DE,$Z$35+1))))))</f>
        <v/>
      </c>
      <c r="G184" s="155"/>
      <c r="H184" s="156" t="str">
        <f t="shared" si="33"/>
        <v/>
      </c>
      <c r="I184" s="29" t="str">
        <f t="shared" si="27"/>
        <v/>
      </c>
      <c r="J184" s="5">
        <f t="shared" si="28"/>
        <v>0</v>
      </c>
      <c r="K184" s="20">
        <f t="shared" ca="1" si="29"/>
        <v>0</v>
      </c>
      <c r="L184" s="5">
        <f t="shared" ca="1" si="30"/>
        <v>0</v>
      </c>
      <c r="M184" s="64">
        <f t="shared" si="34"/>
        <v>0</v>
      </c>
      <c r="N184" s="61">
        <f t="shared" ca="1" si="35"/>
        <v>0</v>
      </c>
      <c r="O184" s="5">
        <f t="shared" ca="1" si="36"/>
        <v>0</v>
      </c>
      <c r="P184" s="446" t="e">
        <f t="shared" si="31"/>
        <v>#VALUE!</v>
      </c>
      <c r="Q184" s="446" t="e">
        <f>IF(OR($B184="",MIN(Q$38,$D$19)&lt;MAX($P$34*($B184+IF($R$17="Distrato",$I$38-1,0)),IF(AND($L$37=0,$P$34=0),"",$L$37-1),IF($R$17="Distrato",$E184,0))),0,YEARFRAC(MAX($P$34*($B184+IF($R$17="Distrato",$I$38-1,0)),IF(AND($L$37=0,$P$34=0),"",$L$37-1),IF($R$17="Distrato",$E184,0)),MIN(Q$38,$D$19),$P$20))-SUM($P184:P184)</f>
        <v>#VALUE!</v>
      </c>
      <c r="R184" s="446" t="e">
        <f>IF(OR($B184="",MIN(R$38,$D$19)&lt;MAX($P$34*($B184+IF($R$17="Distrato",$I$38-1,0)),IF(AND($L$37=0,$P$34=0),"",$L$37-1),IF($R$17="Distrato",$E184,0))),0,YEARFRAC(MAX($P$34*($B184+IF($R$17="Distrato",$I$38-1,0)),IF(AND($L$37=0,$P$34=0),"",$L$37-1),IF($R$17="Distrato",$E184,0)),MIN(R$38,$D$19),$P$20))-SUM($P184:Q184)</f>
        <v>#VALUE!</v>
      </c>
      <c r="S184" s="446" t="e">
        <f>IF(OR($B184="",MIN(S$38,$D$19)&lt;MAX($P$34*($B184+IF($R$17="Distrato",$I$38-1,0)),IF(AND($L$37=0,$P$34=0),"",$L$37-1),IF($R$17="Distrato",$E184,0))),0,YEARFRAC(MAX($P$34*($B184+IF($R$17="Distrato",$I$38-1,0)),IF(AND($L$37=0,$P$34=0),"",$L$37-1),IF($R$17="Distrato",$E184,0)),MIN(S$38,$D$19),$P$20))-SUM($P184:R184)</f>
        <v>#VALUE!</v>
      </c>
      <c r="T184" s="446" t="e">
        <f>IF(OR($B184="",MIN(T$38,$D$19)&lt;MAX($P$34*($B184+IF($R$17="Distrato",$I$38-1,0)),IF(AND($L$37=0,$P$34=0),"",$L$37-1),IF($R$17="Distrato",$E184,0))),0,YEARFRAC(MAX($P$34*($B184+IF($R$17="Distrato",$I$38-1,0)),IF(AND($L$37=0,$P$34=0),"",$L$37-1),IF($R$17="Distrato",$E184,0)),MIN(T$38,$D$19),$P$20))-SUM($P184:S184)</f>
        <v>#VALUE!</v>
      </c>
      <c r="U184" s="446" t="e">
        <f>IF(OR($B184="",MIN(U$38,$D$19)&lt;MAX($P$34*($B184+IF($R$17="Distrato",$I$38-1,0)),IF(AND($L$37=0,$P$34=0),"",$L$37-1),IF($R$17="Distrato",$E184,0))),0,YEARFRAC(MAX($P$34*($B184+IF($R$17="Distrato",$I$38-1,0)),IF(AND($L$37=0,$P$34=0),"",$L$37-1),IF($R$17="Distrato",$E184,0)),MIN(U$38,$D$19),$P$20))-SUM($P184:T184)</f>
        <v>#VALUE!</v>
      </c>
      <c r="V184" s="446" t="e">
        <f>IF(OR($B184="",MIN(V$38,$D$19)&lt;MAX($P$34*($B184+IF($R$17="Distrato",$I$38-1,0)),IF(AND($L$37=0,$P$34=0),"",$L$37-1),IF($R$17="Distrato",$E184,0))),0,YEARFRAC(MAX($P$34*($B184+IF($R$17="Distrato",$I$38-1,0)),IF(AND($L$37=0,$P$34=0),"",$L$37-1),IF($R$17="Distrato",$E184,0)),MIN(V$38,$D$19),$P$20))-SUM($P184:U184)</f>
        <v>#VALUE!</v>
      </c>
      <c r="W184" s="446" t="e">
        <f>IF(OR($B184="",MIN(W$38,$D$19)&lt;MAX($P$34*($B184+IF($R$17="Distrato",$I$38-1,0)),IF(AND($L$37=0,$P$34=0),"",$L$37-1),IF($R$17="Distrato",$E184,0))),0,YEARFRAC(MAX($P$34*($B184+IF($R$17="Distrato",$I$38-1,0)),IF(AND($L$37=0,$P$34=0),"",$L$37-1),IF($R$17="Distrato",$E184,0)),MIN(W$38,$D$19),$P$20))-SUM($P184:V184)</f>
        <v>#VALUE!</v>
      </c>
      <c r="X184" s="446" t="e">
        <f>IF(OR($B184="",MIN(X$38,$D$19)&lt;MAX($P$34*($B184+IF($R$17="Distrato",$I$38-1,0)),IF(AND($L$37=0,$P$34=0),"",$L$37-1),IF($R$17="Distrato",$E184,0))),0,YEARFRAC(MAX($P$34*($B184+IF($R$17="Distrato",$I$38-1,0)),IF(AND($L$37=0,$P$34=0),"",$L$37-1),IF($R$17="Distrato",$E184,0)),MIN(X$38,$D$19),$P$20))-SUM($P184:W184)</f>
        <v>#VALUE!</v>
      </c>
      <c r="Y184" s="446" t="e">
        <f>IF(OR($B184="",MIN(Y$38,$D$19)&lt;MAX($P$34*($B184+IF($R$17="Distrato",$I$38-1,0)),IF(AND($L$37=0,$P$34=0),"",$L$37-1),IF($R$17="Distrato",$E184,0))),0,YEARFRAC(MAX($P$34*($B184+IF($R$17="Distrato",$I$38-1,0)),IF(AND($L$37=0,$P$34=0),"",$L$37-1),IF($R$17="Distrato",$E184,0)),MIN(Y$38,$D$19),$P$20))-SUM($P184:X184)</f>
        <v>#VALUE!</v>
      </c>
      <c r="Z184" s="446" t="e">
        <f>IF(OR($B184="",MIN(Z$38,$D$19)&lt;MAX($P$34*($B184+IF($R$17="Distrato",$I$38-1,0)),IF(AND($L$37=0,$P$34=0),"",$L$37-1),IF($R$17="Distrato",$E184,0))),0,YEARFRAC(MAX($P$34*($B184+IF($R$17="Distrato",$I$38-1,0)),IF(AND($L$37=0,$P$34=0),"",$L$37-1),IF($R$17="Distrato",$E184,0)),MIN(Z$38,$D$19),$P$20))-SUM($P184:Y184)</f>
        <v>#VALUE!</v>
      </c>
      <c r="AA184" s="446" t="e">
        <f>IF(OR($B184="",MIN(AA$38,$D$19)&lt;MAX($P$34*($B184+IF($R$17="Distrato",$I$38-1,0)),IF(AND($L$37=0,$P$34=0),"",$L$37-1),IF($R$17="Distrato",$E184,0))),0,YEARFRAC(MAX($P$34*($B184+IF($R$17="Distrato",$I$38-1,0)),IF(AND($L$37=0,$P$34=0),"",$L$37-1),IF($R$17="Distrato",$E184,0)),MIN(AA$38,$D$19),$P$20))-SUM($P184:Z184)</f>
        <v>#VALUE!</v>
      </c>
      <c r="AB184" s="446" t="e">
        <f>IF(OR($B184="",MIN(AB$38,$D$19)&lt;MAX($P$34*($B184+IF($R$17="Distrato",$I$38-1,0)),IF(AND($L$37=0,$P$34=0),"",$L$37-1),IF($R$17="Distrato",$E184,0))),0,YEARFRAC(MAX($P$34*($B184+IF($R$17="Distrato",$I$38-1,0)),IF(AND($L$37=0,$P$34=0),"",$L$37-1),IF($R$17="Distrato",$E184,0)),MIN(AB$38,$D$19),$P$20))-SUM($P184:AA184)</f>
        <v>#VALUE!</v>
      </c>
      <c r="AC184" s="446" t="e">
        <f>IF(OR($B184="",MIN(AC$38,$D$19)&lt;MAX($P$34*($B184+IF($R$17="Distrato",$I$38-1,0)),IF(AND($L$37=0,$P$34=0),"",$L$37-1),IF($R$17="Distrato",$E184,0))),0,YEARFRAC(MAX($P$34*($B184+IF($R$17="Distrato",$I$38-1,0)),IF(AND($L$37=0,$P$34=0),"",$L$37-1),IF($R$17="Distrato",$E184,0)),MIN(AC$38,$D$19),$P$20))-SUM($P184:AB184)</f>
        <v>#VALUE!</v>
      </c>
      <c r="AD184" s="446" t="e">
        <f>IF(OR($B184="",MIN(AD$38,$D$19)&lt;MAX($P$34*($B184+IF($R$17="Distrato",$I$38-1,0)),IF(AND($L$37=0,$P$34=0),"",$L$37-1),IF($R$17="Distrato",$E184,0))),0,YEARFRAC(MAX($P$34*($B184+IF($R$17="Distrato",$I$38-1,0)),IF(AND($L$37=0,$P$34=0),"",$L$37-1),IF($R$17="Distrato",$E184,0)),MIN(AD$38,$D$19),$P$20))-SUM($P184:AC184)</f>
        <v>#VALUE!</v>
      </c>
      <c r="AE184" s="446" t="e">
        <f>IF(OR($B184="",MIN(AE$38,$D$19)&lt;MAX($P$34*($B184+IF($R$17="Distrato",$I$38-1,0)),IF(AND($L$37=0,$P$34=0),"",$L$37-1),IF($R$17="Distrato",$E184,0))),0,YEARFRAC(MAX($P$34*($B184+IF($R$17="Distrato",$I$38-1,0)),IF(AND($L$37=0,$P$34=0),"",$L$37-1),IF($R$17="Distrato",$E184,0)),MIN(AE$38,$D$19),$P$20))-SUM($P184:AD184)</f>
        <v>#VALUE!</v>
      </c>
      <c r="AF184" s="446" t="e">
        <f>IF(OR($B184="",MIN(AF$38,$D$19)&lt;MAX($P$34*($B184+IF($R$17="Distrato",$I$38-1,0)),IF(AND($L$37=0,$P$34=0),"",$L$37-1),IF($R$17="Distrato",$E184,0))),0,YEARFRAC(MAX($P$34*($B184+IF($R$17="Distrato",$I$38-1,0)),IF(AND($L$37=0,$P$34=0),"",$L$37-1),IF($R$17="Distrato",$E184,0)),MIN(AF$38,$D$19),$P$20))-SUM($P184:AE184)</f>
        <v>#VALUE!</v>
      </c>
      <c r="AG184" s="446" t="e">
        <f>IF(OR($B184="",MIN(AG$38,$D$19)&lt;MAX($P$34*($B184+IF($R$17="Distrato",$I$38-1,0)),IF(AND($L$37=0,$P$34=0),"",$L$37-1),IF($R$17="Distrato",$E184,0))),0,YEARFRAC(MAX($P$34*($B184+IF($R$17="Distrato",$I$38-1,0)),IF(AND($L$37=0,$P$34=0),"",$L$37-1),IF($R$17="Distrato",$E184,0)),MIN(AG$38,$D$19),$P$20))-SUM($P184:AF184)</f>
        <v>#VALUE!</v>
      </c>
      <c r="AH184" s="446" t="e">
        <f>IF(OR($B184="",MIN(AH$38,$D$19)&lt;MAX($P$34*($B184+IF($R$17="Distrato",$I$38-1,0)),IF(AND($L$37=0,$P$34=0),"",$L$37-1),IF($R$17="Distrato",$E184,0))),0,YEARFRAC(MAX($P$34*($B184+IF($R$17="Distrato",$I$38-1,0)),IF(AND($L$37=0,$P$34=0),"",$L$37-1),IF($R$17="Distrato",$E184,0)),MIN(AH$38,$D$19),$P$20))-SUM($P184:AG184)</f>
        <v>#VALUE!</v>
      </c>
      <c r="AI184" s="446" t="e">
        <f>IF(OR($B184="",MIN(AI$38,$D$19)&lt;MAX($P$34*($B184+IF($R$17="Distrato",$I$38-1,0)),IF(AND($L$37=0,$P$34=0),"",$L$37-1),IF($R$17="Distrato",$E184,0))),0,YEARFRAC(MAX($P$34*($B184+IF($R$17="Distrato",$I$38-1,0)),IF(AND($L$37=0,$P$34=0),"",$L$37-1),IF($R$17="Distrato",$E184,0)),MIN(AI$38,$D$19),$P$20))-SUM($P184:AH184)</f>
        <v>#VALUE!</v>
      </c>
      <c r="AJ184" s="446" t="e">
        <f>IF(OR($B184="",MIN(AJ$38,$D$19)&lt;MAX($P$34*($B184+IF($R$17="Distrato",$I$38-1,0)),IF(AND($L$37=0,$P$34=0),"",$L$37-1),IF($R$17="Distrato",$E184,0))),0,YEARFRAC(MAX($P$34*($B184+IF($R$17="Distrato",$I$38-1,0)),IF(AND($L$37=0,$P$34=0),"",$L$37-1),IF($R$17="Distrato",$E184,0)),MIN(AJ$38,$D$19),$P$20))-SUM($P184:AI184)</f>
        <v>#VALUE!</v>
      </c>
      <c r="AK184" s="446" t="e">
        <f>IF(OR($B184="",MIN(AK$38,$D$19)&lt;MAX($P$34*($B184+IF($R$17="Distrato",$I$38-1,0)),IF(AND($L$37=0,$P$34=0),"",$L$37-1),IF($R$17="Distrato",$E184,0))),0,YEARFRAC(MAX($P$34*($B184+IF($R$17="Distrato",$I$38-1,0)),IF(AND($L$37=0,$P$34=0),"",$L$37-1),IF($R$17="Distrato",$E184,0)),MIN(AK$38,$D$19),$P$20))-SUM($P184:AJ184)</f>
        <v>#VALUE!</v>
      </c>
      <c r="AL184" s="446" t="e">
        <f>IF(OR($B184="",MIN(AL$38,$D$19)&lt;MAX($P$34*($B184+IF($R$17="Distrato",$I$38-1,0)),IF(AND($L$37=0,$P$34=0),"",$L$37-1),IF($R$17="Distrato",$E184,0))),0,YEARFRAC(MAX($P$34*($B184+IF($R$17="Distrato",$I$38-1,0)),IF(AND($L$37=0,$P$34=0),"",$L$37-1),IF($R$17="Distrato",$E184,0)),MIN(AL$38,$D$19),$P$20))-SUM($P184:AK184)</f>
        <v>#VALUE!</v>
      </c>
      <c r="AM184" s="446" t="e">
        <f>IF(OR($B184="",MIN(AM$38,$D$19)&lt;MAX($P$34*($B184+IF($R$17="Distrato",$I$38-1,0)),IF(AND($L$37=0,$P$34=0),"",$L$37-1),IF($R$17="Distrato",$E184,0))),0,YEARFRAC(MAX($P$34*($B184+IF($R$17="Distrato",$I$38-1,0)),IF(AND($L$37=0,$P$34=0),"",$L$37-1),IF($R$17="Distrato",$E184,0)),MIN(AM$38,$D$19),$P$20))-SUM($P184:AL184)</f>
        <v>#VALUE!</v>
      </c>
      <c r="AN184" s="446" t="e">
        <f>IF(OR($B184="",MIN(AN$38,$D$19)&lt;MAX($P$34*($B184+IF($R$17="Distrato",$I$38-1,0)),IF(AND($L$37=0,$P$34=0),"",$L$37-1),IF($R$17="Distrato",$E184,0))),0,YEARFRAC(MAX($P$34*($B184+IF($R$17="Distrato",$I$38-1,0)),IF(AND($L$37=0,$P$34=0),"",$L$37-1),IF($R$17="Distrato",$E184,0)),MIN(AN$38,$D$19),$P$20))-SUM($P184:AM184)</f>
        <v>#VALUE!</v>
      </c>
      <c r="AO184" s="446" t="e">
        <f>IF(OR($B184="",MIN(AO$38,$D$19)&lt;MAX($P$34*($B184+IF($R$17="Distrato",$I$38-1,0)),IF(AND($L$37=0,$P$34=0),"",$L$37-1),IF($R$17="Distrato",$E184,0))),0,YEARFRAC(MAX($P$34*($B184+IF($R$17="Distrato",$I$38-1,0)),IF(AND($L$37=0,$P$34=0),"",$L$37-1),IF($R$17="Distrato",$E184,0)),MIN(AO$38,$D$19),$P$20))-SUM($P184:AN184)</f>
        <v>#VALUE!</v>
      </c>
      <c r="AP184" s="446" t="e">
        <f>IF(OR($B184="",MIN(AP$38,$D$19)&lt;MAX($P$34*($B184+IF($R$17="Distrato",$I$38-1,0)),IF(AND($L$37=0,$P$34=0),"",$L$37-1),IF($R$17="Distrato",$E184,0))),0,YEARFRAC(MAX($P$34*($B184+IF($R$17="Distrato",$I$38-1,0)),IF(AND($L$37=0,$P$34=0),"",$L$37-1),IF($R$17="Distrato",$E184,0)),MIN(AP$38,$D$19),$P$20))-SUM($P184:AO184)</f>
        <v>#VALUE!</v>
      </c>
      <c r="AQ184" s="446" t="e">
        <f>IF(OR($B184="",MIN(AQ$38,$D$19)&lt;MAX($P$34*($B184+IF($R$17="Distrato",$I$38-1,0)),IF(AND($L$37=0,$P$34=0),"",$L$37-1),IF($R$17="Distrato",$E184,0))),0,YEARFRAC(MAX($P$34*($B184+IF($R$17="Distrato",$I$38-1,0)),IF(AND($L$37=0,$P$34=0),"",$L$37-1),IF($R$17="Distrato",$E184,0)),MIN(AQ$38,$D$19),$P$20))-SUM($P184:AP184)</f>
        <v>#VALUE!</v>
      </c>
      <c r="AR184" s="446" t="e">
        <f>IF(OR($B184="",MIN(AR$38,$D$19)&lt;MAX($P$34*($B184+IF($R$17="Distrato",$I$38-1,0)),IF(AND($L$37=0,$P$34=0),"",$L$37-1),IF($R$17="Distrato",$E184,0))),0,YEARFRAC(MAX($P$34*($B184+IF($R$17="Distrato",$I$38-1,0)),IF(AND($L$37=0,$P$34=0),"",$L$37-1),IF($R$17="Distrato",$E184,0)),MIN(AR$38,$D$19),$P$20))-SUM($P184:AQ184)</f>
        <v>#VALUE!</v>
      </c>
      <c r="AS184" s="446" t="e">
        <f>IF(OR($B184="",MIN(AS$38,$D$19)&lt;MAX($P$34*($B184+IF($R$17="Distrato",$I$38-1,0)),IF(AND($L$37=0,$P$34=0),"",$L$37-1),IF($R$17="Distrato",$E184,0))),0,YEARFRAC(MAX($P$34*($B184+IF($R$17="Distrato",$I$38-1,0)),IF(AND($L$37=0,$P$34=0),"",$L$37-1),IF($R$17="Distrato",$E184,0)),MIN(AS$38,$D$19),$P$20))-SUM($P184:AR184)</f>
        <v>#VALUE!</v>
      </c>
      <c r="AT184" s="446" t="e">
        <f>IF(OR($B184="",MIN(AT$38,$D$19)&lt;MAX($P$34*($B184+IF($R$17="Distrato",$I$38-1,0)),IF(AND($L$37=0,$P$34=0),"",$L$37-1),IF($R$17="Distrato",$E184,0))),0,YEARFRAC(MAX($P$34*($B184+IF($R$17="Distrato",$I$38-1,0)),IF(AND($L$37=0,$P$34=0),"",$L$37-1),IF($R$17="Distrato",$E184,0)),MIN(AT$38,$D$19),$P$20))-SUM($P184:AS184)</f>
        <v>#VALUE!</v>
      </c>
      <c r="AU184" s="446" t="e">
        <f>IF(OR($B184="",MIN(AU$38,$D$19)&lt;MAX($P$34*($B184+IF($R$17="Distrato",$I$38-1,0)),IF(AND($L$37=0,$P$34=0),"",$L$37-1),IF($R$17="Distrato",$E184,0))),0,YEARFRAC(MAX($P$34*($B184+IF($R$17="Distrato",$I$38-1,0)),IF(AND($L$37=0,$P$34=0),"",$L$37-1),IF($R$17="Distrato",$E184,0)),MIN(AU$38,$D$19),$P$20))-SUM($P184:AT184)</f>
        <v>#VALUE!</v>
      </c>
      <c r="AV184" s="446" t="e">
        <f>IF(OR($B184="",MIN(AV$38,$D$19)&lt;MAX($P$34*($B184+IF($R$17="Distrato",$I$38-1,0)),IF(AND($L$37=0,$P$34=0),"",$L$37-1),IF($R$17="Distrato",$E184,0))),0,YEARFRAC(MAX($P$34*($B184+IF($R$17="Distrato",$I$38-1,0)),IF(AND($L$37=0,$P$34=0),"",$L$37-1),IF($R$17="Distrato",$E184,0)),MIN(AV$38,$D$19),$P$20))-SUM($P184:AU184)</f>
        <v>#VALUE!</v>
      </c>
      <c r="AW184" s="446" t="e">
        <f>IF(OR($B184="",MIN(AW$38,$D$19)&lt;MAX($P$34*($B184+IF($R$17="Distrato",$I$38-1,0)),IF(AND($L$37=0,$P$34=0),"",$L$37-1),IF($R$17="Distrato",$E184,0))),0,YEARFRAC(MAX($P$34*($B184+IF($R$17="Distrato",$I$38-1,0)),IF(AND($L$37=0,$P$34=0),"",$L$37-1),IF($R$17="Distrato",$E184,0)),MIN(AW$38,$D$19),$P$20))-SUM($P184:AV184)</f>
        <v>#VALUE!</v>
      </c>
      <c r="AX184" s="446" t="e">
        <f>IF(OR($B184="",MIN(AX$38,$D$19)&lt;MAX($P$34*($B184+IF($R$17="Distrato",$I$38-1,0)),IF(AND($L$37=0,$P$34=0),"",$L$37-1),IF($R$17="Distrato",$E184,0))),0,YEARFRAC(MAX($P$34*($B184+IF($R$17="Distrato",$I$38-1,0)),IF(AND($L$37=0,$P$34=0),"",$L$37-1),IF($R$17="Distrato",$E184,0)),MIN(AX$38,$D$19),$P$20))-SUM($P184:AW184)</f>
        <v>#VALUE!</v>
      </c>
      <c r="AY184" s="446" t="e">
        <f>IF(OR($B184="",MIN(AY$38,$D$19)&lt;MAX($P$34*($B184+IF($R$17="Distrato",$I$38-1,0)),IF(AND($L$37=0,$P$34=0),"",$L$37-1),IF($R$17="Distrato",$E184,0))),0,YEARFRAC(MAX($P$34*($B184+IF($R$17="Distrato",$I$38-1,0)),IF(AND($L$37=0,$P$34=0),"",$L$37-1),IF($R$17="Distrato",$E184,0)),MIN(AY$38,$D$19),$P$20))-SUM($P184:AX184)</f>
        <v>#VALUE!</v>
      </c>
      <c r="AZ184" s="446" t="e">
        <f>IF(OR($B184="",MIN(AZ$38,$D$19)&lt;MAX($P$34*($B184+IF($R$17="Distrato",$I$38-1,0)),IF(AND($L$37=0,$P$34=0),"",$L$37-1),IF($R$17="Distrato",$E184,0))),0,YEARFRAC(MAX($P$34*($B184+IF($R$17="Distrato",$I$38-1,0)),IF(AND($L$37=0,$P$34=0),"",$L$37-1),IF($R$17="Distrato",$E184,0)),MIN(AZ$38,$D$19),$P$20))-SUM($P184:AY184)</f>
        <v>#VALUE!</v>
      </c>
      <c r="BA184" s="446" t="e">
        <f>IF(OR($B184="",MIN(BA$38,$D$19)&lt;MAX($P$34*($B184+IF($R$17="Distrato",$I$38-1,0)),IF(AND($L$37=0,$P$34=0),"",$L$37-1),IF($R$17="Distrato",$E184,0))),0,YEARFRAC(MAX($P$34*($B184+IF($R$17="Distrato",$I$38-1,0)),IF(AND($L$37=0,$P$34=0),"",$L$37-1),IF($R$17="Distrato",$E184,0)),MIN(BA$38,$D$19),$P$20))-SUM($P184:AZ184)</f>
        <v>#VALUE!</v>
      </c>
      <c r="BB184" s="447"/>
      <c r="BF184" s="446">
        <f t="shared" si="32"/>
        <v>0</v>
      </c>
      <c r="BG184" s="446">
        <f>IF($E184=0,0,IF(MIN(BG$38,$E184)&lt;MAX($P$34*($B184+$I$38-1),IF(AND($L$37=0,$P$34=0),"",$L$37-1)),0,YEARFRAC(MAX($P$34*($B184+$I$38-1),IF(AND($L$37=0,$P$34=0),"",$L$37-1)),MIN(BG$38,$E184),$P$20))-SUM($BF184:BF184))</f>
        <v>0</v>
      </c>
      <c r="BH184" s="446">
        <f>IF($E184=0,0,IF(MIN(BH$38,$E184)&lt;MAX($P$34*($B184+$I$38-1),IF(AND($L$37=0,$P$34=0),"",$L$37-1)),0,YEARFRAC(MAX($P$34*($B184+$I$38-1),IF(AND($L$37=0,$P$34=0),"",$L$37-1)),MIN(BH$38,$E184),$P$20))-SUM($BF184:BG184))</f>
        <v>0</v>
      </c>
      <c r="BI184" s="446">
        <f>IF($E184=0,0,IF(MIN(BI$38,$E184)&lt;MAX($P$34*($B184+$I$38-1),IF(AND($L$37=0,$P$34=0),"",$L$37-1)),0,YEARFRAC(MAX($P$34*($B184+$I$38-1),IF(AND($L$37=0,$P$34=0),"",$L$37-1)),MIN(BI$38,$E184),$P$20))-SUM($BF184:BH184))</f>
        <v>0</v>
      </c>
      <c r="BJ184" s="446">
        <f>IF($E184=0,0,IF(MIN(BJ$38,$E184)&lt;MAX($P$34*($B184+$I$38-1),IF(AND($L$37=0,$P$34=0),"",$L$37-1)),0,YEARFRAC(MAX($P$34*($B184+$I$38-1),IF(AND($L$37=0,$P$34=0),"",$L$37-1)),MIN(BJ$38,$E184),$P$20))-SUM($BF184:BI184))</f>
        <v>0</v>
      </c>
      <c r="BK184" s="446">
        <f>IF($E184=0,0,IF(MIN(BK$38,$E184)&lt;MAX($P$34*($B184+$I$38-1),IF(AND($L$37=0,$P$34=0),"",$L$37-1)),0,YEARFRAC(MAX($P$34*($B184+$I$38-1),IF(AND($L$37=0,$P$34=0),"",$L$37-1)),MIN(BK$38,$E184),$P$20))-SUM($BF184:BJ184))</f>
        <v>0</v>
      </c>
      <c r="BL184" s="446">
        <f>IF($E184=0,0,IF(MIN(BL$38,$E184)&lt;MAX($P$34*($B184+$I$38-1),IF(AND($L$37=0,$P$34=0),"",$L$37-1)),0,YEARFRAC(MAX($P$34*($B184+$I$38-1),IF(AND($L$37=0,$P$34=0),"",$L$37-1)),MIN(BL$38,$E184),$P$20))-SUM($BF184:BK184))</f>
        <v>0</v>
      </c>
      <c r="BM184" s="446">
        <f>IF($E184=0,0,IF(MIN(BM$38,$E184)&lt;MAX($P$34*($B184+$I$38-1),IF(AND($L$37=0,$P$34=0),"",$L$37-1)),0,YEARFRAC(MAX($P$34*($B184+$I$38-1),IF(AND($L$37=0,$P$34=0),"",$L$37-1)),MIN(BM$38,$E184),$P$20))-SUM($BF184:BL184))</f>
        <v>0</v>
      </c>
      <c r="BN184" s="446">
        <f>IF($E184=0,0,IF(MIN(BN$38,$E184)&lt;MAX($P$34*($B184+$I$38-1),IF(AND($L$37=0,$P$34=0),"",$L$37-1)),0,YEARFRAC(MAX($P$34*($B184+$I$38-1),IF(AND($L$37=0,$P$34=0),"",$L$37-1)),MIN(BN$38,$E184),$P$20))-SUM($BF184:BM184))</f>
        <v>0</v>
      </c>
      <c r="BO184" s="446">
        <f>IF($E184=0,0,IF(MIN(BO$38,$E184)&lt;MAX($P$34*($B184+$I$38-1),IF(AND($L$37=0,$P$34=0),"",$L$37-1)),0,YEARFRAC(MAX($P$34*($B184+$I$38-1),IF(AND($L$37=0,$P$34=0),"",$L$37-1)),MIN(BO$38,$E184),$P$20))-SUM($BF184:BN184))</f>
        <v>0</v>
      </c>
      <c r="BP184" s="446">
        <f>IF($E184=0,0,IF(MIN(BP$38,$E184)&lt;MAX($P$34*($B184+$I$38-1),IF(AND($L$37=0,$P$34=0),"",$L$37-1)),0,YEARFRAC(MAX($P$34*($B184+$I$38-1),IF(AND($L$37=0,$P$34=0),"",$L$37-1)),MIN(BP$38,$E184),$P$20))-SUM($BF184:BO184))</f>
        <v>0</v>
      </c>
      <c r="BQ184" s="446">
        <f>IF($E184=0,0,IF(MIN(BQ$38,$E184)&lt;MAX($P$34*($B184+$I$38-1),IF(AND($L$37=0,$P$34=0),"",$L$37-1)),0,YEARFRAC(MAX($P$34*($B184+$I$38-1),IF(AND($L$37=0,$P$34=0),"",$L$37-1)),MIN(BQ$38,$E184),$P$20))-SUM($BF184:BP184))</f>
        <v>0</v>
      </c>
      <c r="BR184" s="446">
        <f>IF($E184=0,0,IF(MIN(BR$38,$E184)&lt;MAX($P$34*($B184+$I$38-1),IF(AND($L$37=0,$P$34=0),"",$L$37-1)),0,YEARFRAC(MAX($P$34*($B184+$I$38-1),IF(AND($L$37=0,$P$34=0),"",$L$37-1)),MIN(BR$38,$E184),$P$20))-SUM($BF184:BQ184))</f>
        <v>0</v>
      </c>
      <c r="BS184" s="446">
        <f>IF($E184=0,0,IF(MIN(BS$38,$E184)&lt;MAX($P$34*($B184+$I$38-1),IF(AND($L$37=0,$P$34=0),"",$L$37-1)),0,YEARFRAC(MAX($P$34*($B184+$I$38-1),IF(AND($L$37=0,$P$34=0),"",$L$37-1)),MIN(BS$38,$E184),$P$20))-SUM($BF184:BR184))</f>
        <v>0</v>
      </c>
      <c r="BT184" s="446">
        <f>IF($E184=0,0,IF(MIN(BT$38,$E184)&lt;MAX($P$34*($B184+$I$38-1),IF(AND($L$37=0,$P$34=0),"",$L$37-1)),0,YEARFRAC(MAX($P$34*($B184+$I$38-1),IF(AND($L$37=0,$P$34=0),"",$L$37-1)),MIN(BT$38,$E184),$P$20))-SUM($BF184:BS184))</f>
        <v>0</v>
      </c>
      <c r="BU184" s="446">
        <f>IF($E184=0,0,IF(MIN(BU$38,$E184)&lt;MAX($P$34*($B184+$I$38-1),IF(AND($L$37=0,$P$34=0),"",$L$37-1)),0,YEARFRAC(MAX($P$34*($B184+$I$38-1),IF(AND($L$37=0,$P$34=0),"",$L$37-1)),MIN(BU$38,$E184),$P$20))-SUM($BF184:BT184))</f>
        <v>0</v>
      </c>
      <c r="BV184" s="446">
        <f>IF($E184=0,0,IF(MIN(BV$38,$E184)&lt;MAX($P$34*($B184+$I$38-1),IF(AND($L$37=0,$P$34=0),"",$L$37-1)),0,YEARFRAC(MAX($P$34*($B184+$I$38-1),IF(AND($L$37=0,$P$34=0),"",$L$37-1)),MIN(BV$38,$E184),$P$20))-SUM($BF184:BU184))</f>
        <v>0</v>
      </c>
      <c r="BW184" s="446">
        <f>IF($E184=0,0,IF(MIN(BW$38,$E184)&lt;MAX($P$34*($B184+$I$38-1),IF(AND($L$37=0,$P$34=0),"",$L$37-1)),0,YEARFRAC(MAX($P$34*($B184+$I$38-1),IF(AND($L$37=0,$P$34=0),"",$L$37-1)),MIN(BW$38,$E184),$P$20))-SUM($BF184:BV184))</f>
        <v>0</v>
      </c>
      <c r="BX184" s="446">
        <f>IF($E184=0,0,IF(MIN(BX$38,$E184)&lt;MAX($P$34*($B184+$I$38-1),IF(AND($L$37=0,$P$34=0),"",$L$37-1)),0,YEARFRAC(MAX($P$34*($B184+$I$38-1),IF(AND($L$37=0,$P$34=0),"",$L$37-1)),MIN(BX$38,$E184),$P$20))-SUM($BF184:BW184))</f>
        <v>0</v>
      </c>
      <c r="BY184" s="446">
        <f>IF($E184=0,0,IF(MIN(BY$38,$E184)&lt;MAX($P$34*($B184+$I$38-1),IF(AND($L$37=0,$P$34=0),"",$L$37-1)),0,YEARFRAC(MAX($P$34*($B184+$I$38-1),IF(AND($L$37=0,$P$34=0),"",$L$37-1)),MIN(BY$38,$E184),$P$20))-SUM($BF184:BX184))</f>
        <v>0</v>
      </c>
      <c r="BZ184" s="446">
        <f>IF($E184=0,0,IF(MIN(BZ$38,$E184)&lt;MAX($P$34*($B184+$I$38-1),IF(AND($L$37=0,$P$34=0),"",$L$37-1)),0,YEARFRAC(MAX($P$34*($B184+$I$38-1),IF(AND($L$37=0,$P$34=0),"",$L$37-1)),MIN(BZ$38,$E184),$P$20))-SUM($BF184:BY184))</f>
        <v>0</v>
      </c>
      <c r="CA184" s="446">
        <f>IF($E184=0,0,IF(MIN(CA$38,$E184)&lt;MAX($P$34*($B184+$I$38-1),IF(AND($L$37=0,$P$34=0),"",$L$37-1)),0,YEARFRAC(MAX($P$34*($B184+$I$38-1),IF(AND($L$37=0,$P$34=0),"",$L$37-1)),MIN(CA$38,$E184),$P$20))-SUM($BF184:BZ184))</f>
        <v>0</v>
      </c>
      <c r="CB184" s="446">
        <f>IF($E184=0,0,IF(MIN(CB$38,$E184)&lt;MAX($P$34*($B184+$I$38-1),IF(AND($L$37=0,$P$34=0),"",$L$37-1)),0,YEARFRAC(MAX($P$34*($B184+$I$38-1),IF(AND($L$37=0,$P$34=0),"",$L$37-1)),MIN(CB$38,$E184),$P$20))-SUM($BF184:CA184))</f>
        <v>0</v>
      </c>
      <c r="CC184" s="446">
        <f>IF($E184=0,0,IF(MIN(CC$38,$E184)&lt;MAX($P$34*($B184+$I$38-1),IF(AND($L$37=0,$P$34=0),"",$L$37-1)),0,YEARFRAC(MAX($P$34*($B184+$I$38-1),IF(AND($L$37=0,$P$34=0),"",$L$37-1)),MIN(CC$38,$E184),$P$20))-SUM($BF184:CB184))</f>
        <v>0</v>
      </c>
      <c r="CD184" s="446">
        <f>IF($E184=0,0,IF(MIN(CD$38,$E184)&lt;MAX($P$34*($B184+$I$38-1),IF(AND($L$37=0,$P$34=0),"",$L$37-1)),0,YEARFRAC(MAX($P$34*($B184+$I$38-1),IF(AND($L$37=0,$P$34=0),"",$L$37-1)),MIN(CD$38,$E184),$P$20))-SUM($BF184:CC184))</f>
        <v>0</v>
      </c>
      <c r="CE184" s="446">
        <f>IF($E184=0,0,IF(MIN(CE$38,$E184)&lt;MAX($P$34*($B184+$I$38-1),IF(AND($L$37=0,$P$34=0),"",$L$37-1)),0,YEARFRAC(MAX($P$34*($B184+$I$38-1),IF(AND($L$37=0,$P$34=0),"",$L$37-1)),MIN(CE$38,$E184),$P$20))-SUM($BF184:CD184))</f>
        <v>0</v>
      </c>
      <c r="CF184" s="446">
        <f>IF($E184=0,0,IF(MIN(CF$38,$E184)&lt;MAX($P$34*($B184+$I$38-1),IF(AND($L$37=0,$P$34=0),"",$L$37-1)),0,YEARFRAC(MAX($P$34*($B184+$I$38-1),IF(AND($L$37=0,$P$34=0),"",$L$37-1)),MIN(CF$38,$E184),$P$20))-SUM($BF184:CE184))</f>
        <v>0</v>
      </c>
      <c r="CG184" s="446">
        <f>IF($E184=0,0,IF(MIN(CG$38,$E184)&lt;MAX($P$34*($B184+$I$38-1),IF(AND($L$37=0,$P$34=0),"",$L$37-1)),0,YEARFRAC(MAX($P$34*($B184+$I$38-1),IF(AND($L$37=0,$P$34=0),"",$L$37-1)),MIN(CG$38,$E184),$P$20))-SUM($BF184:CF184))</f>
        <v>0</v>
      </c>
      <c r="CH184" s="446">
        <f>IF($E184=0,0,IF(MIN(CH$38,$E184)&lt;MAX($P$34*($B184+$I$38-1),IF(AND($L$37=0,$P$34=0),"",$L$37-1)),0,YEARFRAC(MAX($P$34*($B184+$I$38-1),IF(AND($L$37=0,$P$34=0),"",$L$37-1)),MIN(CH$38,$E184),$P$20))-SUM($BF184:CG184))</f>
        <v>0</v>
      </c>
      <c r="CI184" s="446">
        <f>IF($E184=0,0,IF(MIN(CI$38,$E184)&lt;MAX($P$34*($B184+$I$38-1),IF(AND($L$37=0,$P$34=0),"",$L$37-1)),0,YEARFRAC(MAX($P$34*($B184+$I$38-1),IF(AND($L$37=0,$P$34=0),"",$L$37-1)),MIN(CI$38,$E184),$P$20))-SUM($BF184:CH184))</f>
        <v>0</v>
      </c>
      <c r="CJ184" s="446">
        <f>IF($E184=0,0,IF(MIN(CJ$38,$E184)&lt;MAX($P$34*($B184+$I$38-1),IF(AND($L$37=0,$P$34=0),"",$L$37-1)),0,YEARFRAC(MAX($P$34*($B184+$I$38-1),IF(AND($L$37=0,$P$34=0),"",$L$37-1)),MIN(CJ$38,$E184),$P$20))-SUM($BF184:CI184))</f>
        <v>0</v>
      </c>
      <c r="CK184" s="446">
        <f>IF($E184=0,0,IF(MIN(CK$38,$E184)&lt;MAX($P$34*($B184+$I$38-1),IF(AND($L$37=0,$P$34=0),"",$L$37-1)),0,YEARFRAC(MAX($P$34*($B184+$I$38-1),IF(AND($L$37=0,$P$34=0),"",$L$37-1)),MIN(CK$38,$E184),$P$20))-SUM($BF184:CJ184))</f>
        <v>0</v>
      </c>
      <c r="CL184" s="446">
        <f>IF($E184=0,0,IF(MIN(CL$38,$E184)&lt;MAX($P$34*($B184+$I$38-1),IF(AND($L$37=0,$P$34=0),"",$L$37-1)),0,YEARFRAC(MAX($P$34*($B184+$I$38-1),IF(AND($L$37=0,$P$34=0),"",$L$37-1)),MIN(CL$38,$E184),$P$20))-SUM($BF184:CK184))</f>
        <v>0</v>
      </c>
      <c r="CM184" s="446">
        <f>IF($E184=0,0,IF(MIN(CM$38,$E184)&lt;MAX($P$34*($B184+$I$38-1),IF(AND($L$37=0,$P$34=0),"",$L$37-1)),0,YEARFRAC(MAX($P$34*($B184+$I$38-1),IF(AND($L$37=0,$P$34=0),"",$L$37-1)),MIN(CM$38,$E184),$P$20))-SUM($BF184:CL184))</f>
        <v>0</v>
      </c>
      <c r="CN184" s="446">
        <f>IF($E184=0,0,IF(MIN(CN$38,$E184)&lt;MAX($P$34*($B184+$I$38-1),IF(AND($L$37=0,$P$34=0),"",$L$37-1)),0,YEARFRAC(MAX($P$34*($B184+$I$38-1),IF(AND($L$37=0,$P$34=0),"",$L$37-1)),MIN(CN$38,$E184),$P$20))-SUM($BF184:CM184))</f>
        <v>0</v>
      </c>
      <c r="CO184" s="446">
        <f>IF($E184=0,0,IF(MIN(CO$38,$E184)&lt;MAX($P$34*($B184+$I$38-1),IF(AND($L$37=0,$P$34=0),"",$L$37-1)),0,YEARFRAC(MAX($P$34*($B184+$I$38-1),IF(AND($L$37=0,$P$34=0),"",$L$37-1)),MIN(CO$38,$E184),$P$20))-SUM($BF184:CN184))</f>
        <v>0</v>
      </c>
      <c r="CP184" s="446">
        <f>IF($E184=0,0,IF(MIN(CP$38,$E184)&lt;MAX($P$34*($B184+$I$38-1),IF(AND($L$37=0,$P$34=0),"",$L$37-1)),0,YEARFRAC(MAX($P$34*($B184+$I$38-1),IF(AND($L$37=0,$P$34=0),"",$L$37-1)),MIN(CP$38,$E184),$P$20))-SUM($BF184:CO184))</f>
        <v>0</v>
      </c>
      <c r="CQ184" s="446">
        <f>IF($E184=0,0,IF(MIN(CQ$38,$E184)&lt;MAX($P$34*($B184+$I$38-1),IF(AND($L$37=0,$P$34=0),"",$L$37-1)),0,YEARFRAC(MAX($P$34*($B184+$I$38-1),IF(AND($L$37=0,$P$34=0),"",$L$37-1)),MIN(CQ$38,$E184),$P$20))-SUM($BF184:CP184))</f>
        <v>0</v>
      </c>
    </row>
    <row r="185" spans="1:95" s="446" customFormat="1" ht="11.25" hidden="1" customHeight="1" x14ac:dyDescent="0.2">
      <c r="A185" s="152"/>
      <c r="B185" s="153" t="str">
        <f t="shared" si="37"/>
        <v/>
      </c>
      <c r="C185" s="29" t="str">
        <f>IF(B185="","",IF($L$35="SELIC - TRIBUTOS",VLOOKUP(DATE(YEAR($D$19),MONTH($D$19)-1,1),ÍNDICES!$A:$DE,HLOOKUP($BL$25,ÍNDICES!$B$3:$T$4,2)+11)-VLOOKUP(B185,ÍNDICES!$A:$DE,HLOOKUP($BL$25,ÍNDICES!$B$3:$T$4,2)+11)+1%,IF(C$38=$W$26,$J$35,IF(ISERROR(IF(B185&gt;$D$19,1,VLOOKUP(DATE(YEAR(B185),MONTH(B185)+IF($C$35=$S$23,1,0),1),ÍNDICES!$A:$DE,$Z$35+1))),"",IF(B185&gt;$D$19,1,VLOOKUP(DATE(YEAR(B185),MONTH(B185)+IF($C$35=$S$23,1,0),1),ÍNDICES!$A:$DE,$Z$35+1))))))</f>
        <v/>
      </c>
      <c r="D185" s="154" t="str">
        <f>IF(ISERROR(IF(OR($D$38=$Y$27,$B185=""),"",VLOOKUP(B185,ÍNDICES!A:DE,AF$35+1))),"",IF(OR($D$38=$Y$27,$B185=""),"",VLOOKUP(B185,ÍNDICES!A:DE,AF$35+1)))</f>
        <v/>
      </c>
      <c r="E185" s="153"/>
      <c r="F185" s="29" t="str">
        <f>IF(E185="","",IF($L$35="SELIC - TRIBUTOS",VLOOKUP(DATE(YEAR($D$19),MONTH($D$19)-1,1),ÍNDICES!$A:$DE,HLOOKUP($BL$25,ÍNDICES!$B$3:$T$4,2)+11)-VLOOKUP(E185,ÍNDICES!$A:$DE,HLOOKUP($BL$25,ÍNDICES!$B$3:$T$4,2)+11)+1%,IF(F$38=$W$26,$J$35,IF(ISERROR(IF(E185&gt;$D$19,1,VLOOKUP(DATE(YEAR(E185),MONTH(E185)+IF($C$35=$S$23,1,0),1),ÍNDICES!$A:$DE,$Z$35+1))),"",IF(E185&gt;$D$19,1,VLOOKUP(DATE(YEAR(E185),MONTH(E185)+IF($C$35=$S$23,1,0),1),ÍNDICES!$A:$DE,$Z$35+1))))))</f>
        <v/>
      </c>
      <c r="G185" s="155"/>
      <c r="H185" s="156" t="str">
        <f t="shared" si="33"/>
        <v/>
      </c>
      <c r="I185" s="29" t="str">
        <f t="shared" si="27"/>
        <v/>
      </c>
      <c r="J185" s="5">
        <f t="shared" si="28"/>
        <v>0</v>
      </c>
      <c r="K185" s="20">
        <f t="shared" ca="1" si="29"/>
        <v>0</v>
      </c>
      <c r="L185" s="5">
        <f t="shared" ca="1" si="30"/>
        <v>0</v>
      </c>
      <c r="M185" s="64">
        <f t="shared" si="34"/>
        <v>0</v>
      </c>
      <c r="N185" s="61">
        <f t="shared" ca="1" si="35"/>
        <v>0</v>
      </c>
      <c r="O185" s="5">
        <f t="shared" ca="1" si="36"/>
        <v>0</v>
      </c>
      <c r="P185" s="446" t="e">
        <f t="shared" si="31"/>
        <v>#VALUE!</v>
      </c>
      <c r="Q185" s="446" t="e">
        <f>IF(OR($B185="",MIN(Q$38,$D$19)&lt;MAX($P$34*($B185+IF($R$17="Distrato",$I$38-1,0)),IF(AND($L$37=0,$P$34=0),"",$L$37-1),IF($R$17="Distrato",$E185,0))),0,YEARFRAC(MAX($P$34*($B185+IF($R$17="Distrato",$I$38-1,0)),IF(AND($L$37=0,$P$34=0),"",$L$37-1),IF($R$17="Distrato",$E185,0)),MIN(Q$38,$D$19),$P$20))-SUM($P185:P185)</f>
        <v>#VALUE!</v>
      </c>
      <c r="R185" s="446" t="e">
        <f>IF(OR($B185="",MIN(R$38,$D$19)&lt;MAX($P$34*($B185+IF($R$17="Distrato",$I$38-1,0)),IF(AND($L$37=0,$P$34=0),"",$L$37-1),IF($R$17="Distrato",$E185,0))),0,YEARFRAC(MAX($P$34*($B185+IF($R$17="Distrato",$I$38-1,0)),IF(AND($L$37=0,$P$34=0),"",$L$37-1),IF($R$17="Distrato",$E185,0)),MIN(R$38,$D$19),$P$20))-SUM($P185:Q185)</f>
        <v>#VALUE!</v>
      </c>
      <c r="S185" s="446" t="e">
        <f>IF(OR($B185="",MIN(S$38,$D$19)&lt;MAX($P$34*($B185+IF($R$17="Distrato",$I$38-1,0)),IF(AND($L$37=0,$P$34=0),"",$L$37-1),IF($R$17="Distrato",$E185,0))),0,YEARFRAC(MAX($P$34*($B185+IF($R$17="Distrato",$I$38-1,0)),IF(AND($L$37=0,$P$34=0),"",$L$37-1),IF($R$17="Distrato",$E185,0)),MIN(S$38,$D$19),$P$20))-SUM($P185:R185)</f>
        <v>#VALUE!</v>
      </c>
      <c r="T185" s="446" t="e">
        <f>IF(OR($B185="",MIN(T$38,$D$19)&lt;MAX($P$34*($B185+IF($R$17="Distrato",$I$38-1,0)),IF(AND($L$37=0,$P$34=0),"",$L$37-1),IF($R$17="Distrato",$E185,0))),0,YEARFRAC(MAX($P$34*($B185+IF($R$17="Distrato",$I$38-1,0)),IF(AND($L$37=0,$P$34=0),"",$L$37-1),IF($R$17="Distrato",$E185,0)),MIN(T$38,$D$19),$P$20))-SUM($P185:S185)</f>
        <v>#VALUE!</v>
      </c>
      <c r="U185" s="446" t="e">
        <f>IF(OR($B185="",MIN(U$38,$D$19)&lt;MAX($P$34*($B185+IF($R$17="Distrato",$I$38-1,0)),IF(AND($L$37=0,$P$34=0),"",$L$37-1),IF($R$17="Distrato",$E185,0))),0,YEARFRAC(MAX($P$34*($B185+IF($R$17="Distrato",$I$38-1,0)),IF(AND($L$37=0,$P$34=0),"",$L$37-1),IF($R$17="Distrato",$E185,0)),MIN(U$38,$D$19),$P$20))-SUM($P185:T185)</f>
        <v>#VALUE!</v>
      </c>
      <c r="V185" s="446" t="e">
        <f>IF(OR($B185="",MIN(V$38,$D$19)&lt;MAX($P$34*($B185+IF($R$17="Distrato",$I$38-1,0)),IF(AND($L$37=0,$P$34=0),"",$L$37-1),IF($R$17="Distrato",$E185,0))),0,YEARFRAC(MAX($P$34*($B185+IF($R$17="Distrato",$I$38-1,0)),IF(AND($L$37=0,$P$34=0),"",$L$37-1),IF($R$17="Distrato",$E185,0)),MIN(V$38,$D$19),$P$20))-SUM($P185:U185)</f>
        <v>#VALUE!</v>
      </c>
      <c r="W185" s="446" t="e">
        <f>IF(OR($B185="",MIN(W$38,$D$19)&lt;MAX($P$34*($B185+IF($R$17="Distrato",$I$38-1,0)),IF(AND($L$37=0,$P$34=0),"",$L$37-1),IF($R$17="Distrato",$E185,0))),0,YEARFRAC(MAX($P$34*($B185+IF($R$17="Distrato",$I$38-1,0)),IF(AND($L$37=0,$P$34=0),"",$L$37-1),IF($R$17="Distrato",$E185,0)),MIN(W$38,$D$19),$P$20))-SUM($P185:V185)</f>
        <v>#VALUE!</v>
      </c>
      <c r="X185" s="446" t="e">
        <f>IF(OR($B185="",MIN(X$38,$D$19)&lt;MAX($P$34*($B185+IF($R$17="Distrato",$I$38-1,0)),IF(AND($L$37=0,$P$34=0),"",$L$37-1),IF($R$17="Distrato",$E185,0))),0,YEARFRAC(MAX($P$34*($B185+IF($R$17="Distrato",$I$38-1,0)),IF(AND($L$37=0,$P$34=0),"",$L$37-1),IF($R$17="Distrato",$E185,0)),MIN(X$38,$D$19),$P$20))-SUM($P185:W185)</f>
        <v>#VALUE!</v>
      </c>
      <c r="Y185" s="446" t="e">
        <f>IF(OR($B185="",MIN(Y$38,$D$19)&lt;MAX($P$34*($B185+IF($R$17="Distrato",$I$38-1,0)),IF(AND($L$37=0,$P$34=0),"",$L$37-1),IF($R$17="Distrato",$E185,0))),0,YEARFRAC(MAX($P$34*($B185+IF($R$17="Distrato",$I$38-1,0)),IF(AND($L$37=0,$P$34=0),"",$L$37-1),IF($R$17="Distrato",$E185,0)),MIN(Y$38,$D$19),$P$20))-SUM($P185:X185)</f>
        <v>#VALUE!</v>
      </c>
      <c r="Z185" s="446" t="e">
        <f>IF(OR($B185="",MIN(Z$38,$D$19)&lt;MAX($P$34*($B185+IF($R$17="Distrato",$I$38-1,0)),IF(AND($L$37=0,$P$34=0),"",$L$37-1),IF($R$17="Distrato",$E185,0))),0,YEARFRAC(MAX($P$34*($B185+IF($R$17="Distrato",$I$38-1,0)),IF(AND($L$37=0,$P$34=0),"",$L$37-1),IF($R$17="Distrato",$E185,0)),MIN(Z$38,$D$19),$P$20))-SUM($P185:Y185)</f>
        <v>#VALUE!</v>
      </c>
      <c r="AA185" s="446" t="e">
        <f>IF(OR($B185="",MIN(AA$38,$D$19)&lt;MAX($P$34*($B185+IF($R$17="Distrato",$I$38-1,0)),IF(AND($L$37=0,$P$34=0),"",$L$37-1),IF($R$17="Distrato",$E185,0))),0,YEARFRAC(MAX($P$34*($B185+IF($R$17="Distrato",$I$38-1,0)),IF(AND($L$37=0,$P$34=0),"",$L$37-1),IF($R$17="Distrato",$E185,0)),MIN(AA$38,$D$19),$P$20))-SUM($P185:Z185)</f>
        <v>#VALUE!</v>
      </c>
      <c r="AB185" s="446" t="e">
        <f>IF(OR($B185="",MIN(AB$38,$D$19)&lt;MAX($P$34*($B185+IF($R$17="Distrato",$I$38-1,0)),IF(AND($L$37=0,$P$34=0),"",$L$37-1),IF($R$17="Distrato",$E185,0))),0,YEARFRAC(MAX($P$34*($B185+IF($R$17="Distrato",$I$38-1,0)),IF(AND($L$37=0,$P$34=0),"",$L$37-1),IF($R$17="Distrato",$E185,0)),MIN(AB$38,$D$19),$P$20))-SUM($P185:AA185)</f>
        <v>#VALUE!</v>
      </c>
      <c r="AC185" s="446" t="e">
        <f>IF(OR($B185="",MIN(AC$38,$D$19)&lt;MAX($P$34*($B185+IF($R$17="Distrato",$I$38-1,0)),IF(AND($L$37=0,$P$34=0),"",$L$37-1),IF($R$17="Distrato",$E185,0))),0,YEARFRAC(MAX($P$34*($B185+IF($R$17="Distrato",$I$38-1,0)),IF(AND($L$37=0,$P$34=0),"",$L$37-1),IF($R$17="Distrato",$E185,0)),MIN(AC$38,$D$19),$P$20))-SUM($P185:AB185)</f>
        <v>#VALUE!</v>
      </c>
      <c r="AD185" s="446" t="e">
        <f>IF(OR($B185="",MIN(AD$38,$D$19)&lt;MAX($P$34*($B185+IF($R$17="Distrato",$I$38-1,0)),IF(AND($L$37=0,$P$34=0),"",$L$37-1),IF($R$17="Distrato",$E185,0))),0,YEARFRAC(MAX($P$34*($B185+IF($R$17="Distrato",$I$38-1,0)),IF(AND($L$37=0,$P$34=0),"",$L$37-1),IF($R$17="Distrato",$E185,0)),MIN(AD$38,$D$19),$P$20))-SUM($P185:AC185)</f>
        <v>#VALUE!</v>
      </c>
      <c r="AE185" s="446" t="e">
        <f>IF(OR($B185="",MIN(AE$38,$D$19)&lt;MAX($P$34*($B185+IF($R$17="Distrato",$I$38-1,0)),IF(AND($L$37=0,$P$34=0),"",$L$37-1),IF($R$17="Distrato",$E185,0))),0,YEARFRAC(MAX($P$34*($B185+IF($R$17="Distrato",$I$38-1,0)),IF(AND($L$37=0,$P$34=0),"",$L$37-1),IF($R$17="Distrato",$E185,0)),MIN(AE$38,$D$19),$P$20))-SUM($P185:AD185)</f>
        <v>#VALUE!</v>
      </c>
      <c r="AF185" s="446" t="e">
        <f>IF(OR($B185="",MIN(AF$38,$D$19)&lt;MAX($P$34*($B185+IF($R$17="Distrato",$I$38-1,0)),IF(AND($L$37=0,$P$34=0),"",$L$37-1),IF($R$17="Distrato",$E185,0))),0,YEARFRAC(MAX($P$34*($B185+IF($R$17="Distrato",$I$38-1,0)),IF(AND($L$37=0,$P$34=0),"",$L$37-1),IF($R$17="Distrato",$E185,0)),MIN(AF$38,$D$19),$P$20))-SUM($P185:AE185)</f>
        <v>#VALUE!</v>
      </c>
      <c r="AG185" s="446" t="e">
        <f>IF(OR($B185="",MIN(AG$38,$D$19)&lt;MAX($P$34*($B185+IF($R$17="Distrato",$I$38-1,0)),IF(AND($L$37=0,$P$34=0),"",$L$37-1),IF($R$17="Distrato",$E185,0))),0,YEARFRAC(MAX($P$34*($B185+IF($R$17="Distrato",$I$38-1,0)),IF(AND($L$37=0,$P$34=0),"",$L$37-1),IF($R$17="Distrato",$E185,0)),MIN(AG$38,$D$19),$P$20))-SUM($P185:AF185)</f>
        <v>#VALUE!</v>
      </c>
      <c r="AH185" s="446" t="e">
        <f>IF(OR($B185="",MIN(AH$38,$D$19)&lt;MAX($P$34*($B185+IF($R$17="Distrato",$I$38-1,0)),IF(AND($L$37=0,$P$34=0),"",$L$37-1),IF($R$17="Distrato",$E185,0))),0,YEARFRAC(MAX($P$34*($B185+IF($R$17="Distrato",$I$38-1,0)),IF(AND($L$37=0,$P$34=0),"",$L$37-1),IF($R$17="Distrato",$E185,0)),MIN(AH$38,$D$19),$P$20))-SUM($P185:AG185)</f>
        <v>#VALUE!</v>
      </c>
      <c r="AI185" s="446" t="e">
        <f>IF(OR($B185="",MIN(AI$38,$D$19)&lt;MAX($P$34*($B185+IF($R$17="Distrato",$I$38-1,0)),IF(AND($L$37=0,$P$34=0),"",$L$37-1),IF($R$17="Distrato",$E185,0))),0,YEARFRAC(MAX($P$34*($B185+IF($R$17="Distrato",$I$38-1,0)),IF(AND($L$37=0,$P$34=0),"",$L$37-1),IF($R$17="Distrato",$E185,0)),MIN(AI$38,$D$19),$P$20))-SUM($P185:AH185)</f>
        <v>#VALUE!</v>
      </c>
      <c r="AJ185" s="446" t="e">
        <f>IF(OR($B185="",MIN(AJ$38,$D$19)&lt;MAX($P$34*($B185+IF($R$17="Distrato",$I$38-1,0)),IF(AND($L$37=0,$P$34=0),"",$L$37-1),IF($R$17="Distrato",$E185,0))),0,YEARFRAC(MAX($P$34*($B185+IF($R$17="Distrato",$I$38-1,0)),IF(AND($L$37=0,$P$34=0),"",$L$37-1),IF($R$17="Distrato",$E185,0)),MIN(AJ$38,$D$19),$P$20))-SUM($P185:AI185)</f>
        <v>#VALUE!</v>
      </c>
      <c r="AK185" s="446" t="e">
        <f>IF(OR($B185="",MIN(AK$38,$D$19)&lt;MAX($P$34*($B185+IF($R$17="Distrato",$I$38-1,0)),IF(AND($L$37=0,$P$34=0),"",$L$37-1),IF($R$17="Distrato",$E185,0))),0,YEARFRAC(MAX($P$34*($B185+IF($R$17="Distrato",$I$38-1,0)),IF(AND($L$37=0,$P$34=0),"",$L$37-1),IF($R$17="Distrato",$E185,0)),MIN(AK$38,$D$19),$P$20))-SUM($P185:AJ185)</f>
        <v>#VALUE!</v>
      </c>
      <c r="AL185" s="446" t="e">
        <f>IF(OR($B185="",MIN(AL$38,$D$19)&lt;MAX($P$34*($B185+IF($R$17="Distrato",$I$38-1,0)),IF(AND($L$37=0,$P$34=0),"",$L$37-1),IF($R$17="Distrato",$E185,0))),0,YEARFRAC(MAX($P$34*($B185+IF($R$17="Distrato",$I$38-1,0)),IF(AND($L$37=0,$P$34=0),"",$L$37-1),IF($R$17="Distrato",$E185,0)),MIN(AL$38,$D$19),$P$20))-SUM($P185:AK185)</f>
        <v>#VALUE!</v>
      </c>
      <c r="AM185" s="446" t="e">
        <f>IF(OR($B185="",MIN(AM$38,$D$19)&lt;MAX($P$34*($B185+IF($R$17="Distrato",$I$38-1,0)),IF(AND($L$37=0,$P$34=0),"",$L$37-1),IF($R$17="Distrato",$E185,0))),0,YEARFRAC(MAX($P$34*($B185+IF($R$17="Distrato",$I$38-1,0)),IF(AND($L$37=0,$P$34=0),"",$L$37-1),IF($R$17="Distrato",$E185,0)),MIN(AM$38,$D$19),$P$20))-SUM($P185:AL185)</f>
        <v>#VALUE!</v>
      </c>
      <c r="AN185" s="446" t="e">
        <f>IF(OR($B185="",MIN(AN$38,$D$19)&lt;MAX($P$34*($B185+IF($R$17="Distrato",$I$38-1,0)),IF(AND($L$37=0,$P$34=0),"",$L$37-1),IF($R$17="Distrato",$E185,0))),0,YEARFRAC(MAX($P$34*($B185+IF($R$17="Distrato",$I$38-1,0)),IF(AND($L$37=0,$P$34=0),"",$L$37-1),IF($R$17="Distrato",$E185,0)),MIN(AN$38,$D$19),$P$20))-SUM($P185:AM185)</f>
        <v>#VALUE!</v>
      </c>
      <c r="AO185" s="446" t="e">
        <f>IF(OR($B185="",MIN(AO$38,$D$19)&lt;MAX($P$34*($B185+IF($R$17="Distrato",$I$38-1,0)),IF(AND($L$37=0,$P$34=0),"",$L$37-1),IF($R$17="Distrato",$E185,0))),0,YEARFRAC(MAX($P$34*($B185+IF($R$17="Distrato",$I$38-1,0)),IF(AND($L$37=0,$P$34=0),"",$L$37-1),IF($R$17="Distrato",$E185,0)),MIN(AO$38,$D$19),$P$20))-SUM($P185:AN185)</f>
        <v>#VALUE!</v>
      </c>
      <c r="AP185" s="446" t="e">
        <f>IF(OR($B185="",MIN(AP$38,$D$19)&lt;MAX($P$34*($B185+IF($R$17="Distrato",$I$38-1,0)),IF(AND($L$37=0,$P$34=0),"",$L$37-1),IF($R$17="Distrato",$E185,0))),0,YEARFRAC(MAX($P$34*($B185+IF($R$17="Distrato",$I$38-1,0)),IF(AND($L$37=0,$P$34=0),"",$L$37-1),IF($R$17="Distrato",$E185,0)),MIN(AP$38,$D$19),$P$20))-SUM($P185:AO185)</f>
        <v>#VALUE!</v>
      </c>
      <c r="AQ185" s="446" t="e">
        <f>IF(OR($B185="",MIN(AQ$38,$D$19)&lt;MAX($P$34*($B185+IF($R$17="Distrato",$I$38-1,0)),IF(AND($L$37=0,$P$34=0),"",$L$37-1),IF($R$17="Distrato",$E185,0))),0,YEARFRAC(MAX($P$34*($B185+IF($R$17="Distrato",$I$38-1,0)),IF(AND($L$37=0,$P$34=0),"",$L$37-1),IF($R$17="Distrato",$E185,0)),MIN(AQ$38,$D$19),$P$20))-SUM($P185:AP185)</f>
        <v>#VALUE!</v>
      </c>
      <c r="AR185" s="446" t="e">
        <f>IF(OR($B185="",MIN(AR$38,$D$19)&lt;MAX($P$34*($B185+IF($R$17="Distrato",$I$38-1,0)),IF(AND($L$37=0,$P$34=0),"",$L$37-1),IF($R$17="Distrato",$E185,0))),0,YEARFRAC(MAX($P$34*($B185+IF($R$17="Distrato",$I$38-1,0)),IF(AND($L$37=0,$P$34=0),"",$L$37-1),IF($R$17="Distrato",$E185,0)),MIN(AR$38,$D$19),$P$20))-SUM($P185:AQ185)</f>
        <v>#VALUE!</v>
      </c>
      <c r="AS185" s="446" t="e">
        <f>IF(OR($B185="",MIN(AS$38,$D$19)&lt;MAX($P$34*($B185+IF($R$17="Distrato",$I$38-1,0)),IF(AND($L$37=0,$P$34=0),"",$L$37-1),IF($R$17="Distrato",$E185,0))),0,YEARFRAC(MAX($P$34*($B185+IF($R$17="Distrato",$I$38-1,0)),IF(AND($L$37=0,$P$34=0),"",$L$37-1),IF($R$17="Distrato",$E185,0)),MIN(AS$38,$D$19),$P$20))-SUM($P185:AR185)</f>
        <v>#VALUE!</v>
      </c>
      <c r="AT185" s="446" t="e">
        <f>IF(OR($B185="",MIN(AT$38,$D$19)&lt;MAX($P$34*($B185+IF($R$17="Distrato",$I$38-1,0)),IF(AND($L$37=0,$P$34=0),"",$L$37-1),IF($R$17="Distrato",$E185,0))),0,YEARFRAC(MAX($P$34*($B185+IF($R$17="Distrato",$I$38-1,0)),IF(AND($L$37=0,$P$34=0),"",$L$37-1),IF($R$17="Distrato",$E185,0)),MIN(AT$38,$D$19),$P$20))-SUM($P185:AS185)</f>
        <v>#VALUE!</v>
      </c>
      <c r="AU185" s="446" t="e">
        <f>IF(OR($B185="",MIN(AU$38,$D$19)&lt;MAX($P$34*($B185+IF($R$17="Distrato",$I$38-1,0)),IF(AND($L$37=0,$P$34=0),"",$L$37-1),IF($R$17="Distrato",$E185,0))),0,YEARFRAC(MAX($P$34*($B185+IF($R$17="Distrato",$I$38-1,0)),IF(AND($L$37=0,$P$34=0),"",$L$37-1),IF($R$17="Distrato",$E185,0)),MIN(AU$38,$D$19),$P$20))-SUM($P185:AT185)</f>
        <v>#VALUE!</v>
      </c>
      <c r="AV185" s="446" t="e">
        <f>IF(OR($B185="",MIN(AV$38,$D$19)&lt;MAX($P$34*($B185+IF($R$17="Distrato",$I$38-1,0)),IF(AND($L$37=0,$P$34=0),"",$L$37-1),IF($R$17="Distrato",$E185,0))),0,YEARFRAC(MAX($P$34*($B185+IF($R$17="Distrato",$I$38-1,0)),IF(AND($L$37=0,$P$34=0),"",$L$37-1),IF($R$17="Distrato",$E185,0)),MIN(AV$38,$D$19),$P$20))-SUM($P185:AU185)</f>
        <v>#VALUE!</v>
      </c>
      <c r="AW185" s="446" t="e">
        <f>IF(OR($B185="",MIN(AW$38,$D$19)&lt;MAX($P$34*($B185+IF($R$17="Distrato",$I$38-1,0)),IF(AND($L$37=0,$P$34=0),"",$L$37-1),IF($R$17="Distrato",$E185,0))),0,YEARFRAC(MAX($P$34*($B185+IF($R$17="Distrato",$I$38-1,0)),IF(AND($L$37=0,$P$34=0),"",$L$37-1),IF($R$17="Distrato",$E185,0)),MIN(AW$38,$D$19),$P$20))-SUM($P185:AV185)</f>
        <v>#VALUE!</v>
      </c>
      <c r="AX185" s="446" t="e">
        <f>IF(OR($B185="",MIN(AX$38,$D$19)&lt;MAX($P$34*($B185+IF($R$17="Distrato",$I$38-1,0)),IF(AND($L$37=0,$P$34=0),"",$L$37-1),IF($R$17="Distrato",$E185,0))),0,YEARFRAC(MAX($P$34*($B185+IF($R$17="Distrato",$I$38-1,0)),IF(AND($L$37=0,$P$34=0),"",$L$37-1),IF($R$17="Distrato",$E185,0)),MIN(AX$38,$D$19),$P$20))-SUM($P185:AW185)</f>
        <v>#VALUE!</v>
      </c>
      <c r="AY185" s="446" t="e">
        <f>IF(OR($B185="",MIN(AY$38,$D$19)&lt;MAX($P$34*($B185+IF($R$17="Distrato",$I$38-1,0)),IF(AND($L$37=0,$P$34=0),"",$L$37-1),IF($R$17="Distrato",$E185,0))),0,YEARFRAC(MAX($P$34*($B185+IF($R$17="Distrato",$I$38-1,0)),IF(AND($L$37=0,$P$34=0),"",$L$37-1),IF($R$17="Distrato",$E185,0)),MIN(AY$38,$D$19),$P$20))-SUM($P185:AX185)</f>
        <v>#VALUE!</v>
      </c>
      <c r="AZ185" s="446" t="e">
        <f>IF(OR($B185="",MIN(AZ$38,$D$19)&lt;MAX($P$34*($B185+IF($R$17="Distrato",$I$38-1,0)),IF(AND($L$37=0,$P$34=0),"",$L$37-1),IF($R$17="Distrato",$E185,0))),0,YEARFRAC(MAX($P$34*($B185+IF($R$17="Distrato",$I$38-1,0)),IF(AND($L$37=0,$P$34=0),"",$L$37-1),IF($R$17="Distrato",$E185,0)),MIN(AZ$38,$D$19),$P$20))-SUM($P185:AY185)</f>
        <v>#VALUE!</v>
      </c>
      <c r="BA185" s="446" t="e">
        <f>IF(OR($B185="",MIN(BA$38,$D$19)&lt;MAX($P$34*($B185+IF($R$17="Distrato",$I$38-1,0)),IF(AND($L$37=0,$P$34=0),"",$L$37-1),IF($R$17="Distrato",$E185,0))),0,YEARFRAC(MAX($P$34*($B185+IF($R$17="Distrato",$I$38-1,0)),IF(AND($L$37=0,$P$34=0),"",$L$37-1),IF($R$17="Distrato",$E185,0)),MIN(BA$38,$D$19),$P$20))-SUM($P185:AZ185)</f>
        <v>#VALUE!</v>
      </c>
      <c r="BB185" s="447"/>
      <c r="BF185" s="446">
        <f t="shared" si="32"/>
        <v>0</v>
      </c>
      <c r="BG185" s="446">
        <f>IF($E185=0,0,IF(MIN(BG$38,$E185)&lt;MAX($P$34*($B185+$I$38-1),IF(AND($L$37=0,$P$34=0),"",$L$37-1)),0,YEARFRAC(MAX($P$34*($B185+$I$38-1),IF(AND($L$37=0,$P$34=0),"",$L$37-1)),MIN(BG$38,$E185),$P$20))-SUM($BF185:BF185))</f>
        <v>0</v>
      </c>
      <c r="BH185" s="446">
        <f>IF($E185=0,0,IF(MIN(BH$38,$E185)&lt;MAX($P$34*($B185+$I$38-1),IF(AND($L$37=0,$P$34=0),"",$L$37-1)),0,YEARFRAC(MAX($P$34*($B185+$I$38-1),IF(AND($L$37=0,$P$34=0),"",$L$37-1)),MIN(BH$38,$E185),$P$20))-SUM($BF185:BG185))</f>
        <v>0</v>
      </c>
      <c r="BI185" s="446">
        <f>IF($E185=0,0,IF(MIN(BI$38,$E185)&lt;MAX($P$34*($B185+$I$38-1),IF(AND($L$37=0,$P$34=0),"",$L$37-1)),0,YEARFRAC(MAX($P$34*($B185+$I$38-1),IF(AND($L$37=0,$P$34=0),"",$L$37-1)),MIN(BI$38,$E185),$P$20))-SUM($BF185:BH185))</f>
        <v>0</v>
      </c>
      <c r="BJ185" s="446">
        <f>IF($E185=0,0,IF(MIN(BJ$38,$E185)&lt;MAX($P$34*($B185+$I$38-1),IF(AND($L$37=0,$P$34=0),"",$L$37-1)),0,YEARFRAC(MAX($P$34*($B185+$I$38-1),IF(AND($L$37=0,$P$34=0),"",$L$37-1)),MIN(BJ$38,$E185),$P$20))-SUM($BF185:BI185))</f>
        <v>0</v>
      </c>
      <c r="BK185" s="446">
        <f>IF($E185=0,0,IF(MIN(BK$38,$E185)&lt;MAX($P$34*($B185+$I$38-1),IF(AND($L$37=0,$P$34=0),"",$L$37-1)),0,YEARFRAC(MAX($P$34*($B185+$I$38-1),IF(AND($L$37=0,$P$34=0),"",$L$37-1)),MIN(BK$38,$E185),$P$20))-SUM($BF185:BJ185))</f>
        <v>0</v>
      </c>
      <c r="BL185" s="446">
        <f>IF($E185=0,0,IF(MIN(BL$38,$E185)&lt;MAX($P$34*($B185+$I$38-1),IF(AND($L$37=0,$P$34=0),"",$L$37-1)),0,YEARFRAC(MAX($P$34*($B185+$I$38-1),IF(AND($L$37=0,$P$34=0),"",$L$37-1)),MIN(BL$38,$E185),$P$20))-SUM($BF185:BK185))</f>
        <v>0</v>
      </c>
      <c r="BM185" s="446">
        <f>IF($E185=0,0,IF(MIN(BM$38,$E185)&lt;MAX($P$34*($B185+$I$38-1),IF(AND($L$37=0,$P$34=0),"",$L$37-1)),0,YEARFRAC(MAX($P$34*($B185+$I$38-1),IF(AND($L$37=0,$P$34=0),"",$L$37-1)),MIN(BM$38,$E185),$P$20))-SUM($BF185:BL185))</f>
        <v>0</v>
      </c>
      <c r="BN185" s="446">
        <f>IF($E185=0,0,IF(MIN(BN$38,$E185)&lt;MAX($P$34*($B185+$I$38-1),IF(AND($L$37=0,$P$34=0),"",$L$37-1)),0,YEARFRAC(MAX($P$34*($B185+$I$38-1),IF(AND($L$37=0,$P$34=0),"",$L$37-1)),MIN(BN$38,$E185),$P$20))-SUM($BF185:BM185))</f>
        <v>0</v>
      </c>
      <c r="BO185" s="446">
        <f>IF($E185=0,0,IF(MIN(BO$38,$E185)&lt;MAX($P$34*($B185+$I$38-1),IF(AND($L$37=0,$P$34=0),"",$L$37-1)),0,YEARFRAC(MAX($P$34*($B185+$I$38-1),IF(AND($L$37=0,$P$34=0),"",$L$37-1)),MIN(BO$38,$E185),$P$20))-SUM($BF185:BN185))</f>
        <v>0</v>
      </c>
      <c r="BP185" s="446">
        <f>IF($E185=0,0,IF(MIN(BP$38,$E185)&lt;MAX($P$34*($B185+$I$38-1),IF(AND($L$37=0,$P$34=0),"",$L$37-1)),0,YEARFRAC(MAX($P$34*($B185+$I$38-1),IF(AND($L$37=0,$P$34=0),"",$L$37-1)),MIN(BP$38,$E185),$P$20))-SUM($BF185:BO185))</f>
        <v>0</v>
      </c>
      <c r="BQ185" s="446">
        <f>IF($E185=0,0,IF(MIN(BQ$38,$E185)&lt;MAX($P$34*($B185+$I$38-1),IF(AND($L$37=0,$P$34=0),"",$L$37-1)),0,YEARFRAC(MAX($P$34*($B185+$I$38-1),IF(AND($L$37=0,$P$34=0),"",$L$37-1)),MIN(BQ$38,$E185),$P$20))-SUM($BF185:BP185))</f>
        <v>0</v>
      </c>
      <c r="BR185" s="446">
        <f>IF($E185=0,0,IF(MIN(BR$38,$E185)&lt;MAX($P$34*($B185+$I$38-1),IF(AND($L$37=0,$P$34=0),"",$L$37-1)),0,YEARFRAC(MAX($P$34*($B185+$I$38-1),IF(AND($L$37=0,$P$34=0),"",$L$37-1)),MIN(BR$38,$E185),$P$20))-SUM($BF185:BQ185))</f>
        <v>0</v>
      </c>
      <c r="BS185" s="446">
        <f>IF($E185=0,0,IF(MIN(BS$38,$E185)&lt;MAX($P$34*($B185+$I$38-1),IF(AND($L$37=0,$P$34=0),"",$L$37-1)),0,YEARFRAC(MAX($P$34*($B185+$I$38-1),IF(AND($L$37=0,$P$34=0),"",$L$37-1)),MIN(BS$38,$E185),$P$20))-SUM($BF185:BR185))</f>
        <v>0</v>
      </c>
      <c r="BT185" s="446">
        <f>IF($E185=0,0,IF(MIN(BT$38,$E185)&lt;MAX($P$34*($B185+$I$38-1),IF(AND($L$37=0,$P$34=0),"",$L$37-1)),0,YEARFRAC(MAX($P$34*($B185+$I$38-1),IF(AND($L$37=0,$P$34=0),"",$L$37-1)),MIN(BT$38,$E185),$P$20))-SUM($BF185:BS185))</f>
        <v>0</v>
      </c>
      <c r="BU185" s="446">
        <f>IF($E185=0,0,IF(MIN(BU$38,$E185)&lt;MAX($P$34*($B185+$I$38-1),IF(AND($L$37=0,$P$34=0),"",$L$37-1)),0,YEARFRAC(MAX($P$34*($B185+$I$38-1),IF(AND($L$37=0,$P$34=0),"",$L$37-1)),MIN(BU$38,$E185),$P$20))-SUM($BF185:BT185))</f>
        <v>0</v>
      </c>
      <c r="BV185" s="446">
        <f>IF($E185=0,0,IF(MIN(BV$38,$E185)&lt;MAX($P$34*($B185+$I$38-1),IF(AND($L$37=0,$P$34=0),"",$L$37-1)),0,YEARFRAC(MAX($P$34*($B185+$I$38-1),IF(AND($L$37=0,$P$34=0),"",$L$37-1)),MIN(BV$38,$E185),$P$20))-SUM($BF185:BU185))</f>
        <v>0</v>
      </c>
      <c r="BW185" s="446">
        <f>IF($E185=0,0,IF(MIN(BW$38,$E185)&lt;MAX($P$34*($B185+$I$38-1),IF(AND($L$37=0,$P$34=0),"",$L$37-1)),0,YEARFRAC(MAX($P$34*($B185+$I$38-1),IF(AND($L$37=0,$P$34=0),"",$L$37-1)),MIN(BW$38,$E185),$P$20))-SUM($BF185:BV185))</f>
        <v>0</v>
      </c>
      <c r="BX185" s="446">
        <f>IF($E185=0,0,IF(MIN(BX$38,$E185)&lt;MAX($P$34*($B185+$I$38-1),IF(AND($L$37=0,$P$34=0),"",$L$37-1)),0,YEARFRAC(MAX($P$34*($B185+$I$38-1),IF(AND($L$37=0,$P$34=0),"",$L$37-1)),MIN(BX$38,$E185),$P$20))-SUM($BF185:BW185))</f>
        <v>0</v>
      </c>
      <c r="BY185" s="446">
        <f>IF($E185=0,0,IF(MIN(BY$38,$E185)&lt;MAX($P$34*($B185+$I$38-1),IF(AND($L$37=0,$P$34=0),"",$L$37-1)),0,YEARFRAC(MAX($P$34*($B185+$I$38-1),IF(AND($L$37=0,$P$34=0),"",$L$37-1)),MIN(BY$38,$E185),$P$20))-SUM($BF185:BX185))</f>
        <v>0</v>
      </c>
      <c r="BZ185" s="446">
        <f>IF($E185=0,0,IF(MIN(BZ$38,$E185)&lt;MAX($P$34*($B185+$I$38-1),IF(AND($L$37=0,$P$34=0),"",$L$37-1)),0,YEARFRAC(MAX($P$34*($B185+$I$38-1),IF(AND($L$37=0,$P$34=0),"",$L$37-1)),MIN(BZ$38,$E185),$P$20))-SUM($BF185:BY185))</f>
        <v>0</v>
      </c>
      <c r="CA185" s="446">
        <f>IF($E185=0,0,IF(MIN(CA$38,$E185)&lt;MAX($P$34*($B185+$I$38-1),IF(AND($L$37=0,$P$34=0),"",$L$37-1)),0,YEARFRAC(MAX($P$34*($B185+$I$38-1),IF(AND($L$37=0,$P$34=0),"",$L$37-1)),MIN(CA$38,$E185),$P$20))-SUM($BF185:BZ185))</f>
        <v>0</v>
      </c>
      <c r="CB185" s="446">
        <f>IF($E185=0,0,IF(MIN(CB$38,$E185)&lt;MAX($P$34*($B185+$I$38-1),IF(AND($L$37=0,$P$34=0),"",$L$37-1)),0,YEARFRAC(MAX($P$34*($B185+$I$38-1),IF(AND($L$37=0,$P$34=0),"",$L$37-1)),MIN(CB$38,$E185),$P$20))-SUM($BF185:CA185))</f>
        <v>0</v>
      </c>
      <c r="CC185" s="446">
        <f>IF($E185=0,0,IF(MIN(CC$38,$E185)&lt;MAX($P$34*($B185+$I$38-1),IF(AND($L$37=0,$P$34=0),"",$L$37-1)),0,YEARFRAC(MAX($P$34*($B185+$I$38-1),IF(AND($L$37=0,$P$34=0),"",$L$37-1)),MIN(CC$38,$E185),$P$20))-SUM($BF185:CB185))</f>
        <v>0</v>
      </c>
      <c r="CD185" s="446">
        <f>IF($E185=0,0,IF(MIN(CD$38,$E185)&lt;MAX($P$34*($B185+$I$38-1),IF(AND($L$37=0,$P$34=0),"",$L$37-1)),0,YEARFRAC(MAX($P$34*($B185+$I$38-1),IF(AND($L$37=0,$P$34=0),"",$L$37-1)),MIN(CD$38,$E185),$P$20))-SUM($BF185:CC185))</f>
        <v>0</v>
      </c>
      <c r="CE185" s="446">
        <f>IF($E185=0,0,IF(MIN(CE$38,$E185)&lt;MAX($P$34*($B185+$I$38-1),IF(AND($L$37=0,$P$34=0),"",$L$37-1)),0,YEARFRAC(MAX($P$34*($B185+$I$38-1),IF(AND($L$37=0,$P$34=0),"",$L$37-1)),MIN(CE$38,$E185),$P$20))-SUM($BF185:CD185))</f>
        <v>0</v>
      </c>
      <c r="CF185" s="446">
        <f>IF($E185=0,0,IF(MIN(CF$38,$E185)&lt;MAX($P$34*($B185+$I$38-1),IF(AND($L$37=0,$P$34=0),"",$L$37-1)),0,YEARFRAC(MAX($P$34*($B185+$I$38-1),IF(AND($L$37=0,$P$34=0),"",$L$37-1)),MIN(CF$38,$E185),$P$20))-SUM($BF185:CE185))</f>
        <v>0</v>
      </c>
      <c r="CG185" s="446">
        <f>IF($E185=0,0,IF(MIN(CG$38,$E185)&lt;MAX($P$34*($B185+$I$38-1),IF(AND($L$37=0,$P$34=0),"",$L$37-1)),0,YEARFRAC(MAX($P$34*($B185+$I$38-1),IF(AND($L$37=0,$P$34=0),"",$L$37-1)),MIN(CG$38,$E185),$P$20))-SUM($BF185:CF185))</f>
        <v>0</v>
      </c>
      <c r="CH185" s="446">
        <f>IF($E185=0,0,IF(MIN(CH$38,$E185)&lt;MAX($P$34*($B185+$I$38-1),IF(AND($L$37=0,$P$34=0),"",$L$37-1)),0,YEARFRAC(MAX($P$34*($B185+$I$38-1),IF(AND($L$37=0,$P$34=0),"",$L$37-1)),MIN(CH$38,$E185),$P$20))-SUM($BF185:CG185))</f>
        <v>0</v>
      </c>
      <c r="CI185" s="446">
        <f>IF($E185=0,0,IF(MIN(CI$38,$E185)&lt;MAX($P$34*($B185+$I$38-1),IF(AND($L$37=0,$P$34=0),"",$L$37-1)),0,YEARFRAC(MAX($P$34*($B185+$I$38-1),IF(AND($L$37=0,$P$34=0),"",$L$37-1)),MIN(CI$38,$E185),$P$20))-SUM($BF185:CH185))</f>
        <v>0</v>
      </c>
      <c r="CJ185" s="446">
        <f>IF($E185=0,0,IF(MIN(CJ$38,$E185)&lt;MAX($P$34*($B185+$I$38-1),IF(AND($L$37=0,$P$34=0),"",$L$37-1)),0,YEARFRAC(MAX($P$34*($B185+$I$38-1),IF(AND($L$37=0,$P$34=0),"",$L$37-1)),MIN(CJ$38,$E185),$P$20))-SUM($BF185:CI185))</f>
        <v>0</v>
      </c>
      <c r="CK185" s="446">
        <f>IF($E185=0,0,IF(MIN(CK$38,$E185)&lt;MAX($P$34*($B185+$I$38-1),IF(AND($L$37=0,$P$34=0),"",$L$37-1)),0,YEARFRAC(MAX($P$34*($B185+$I$38-1),IF(AND($L$37=0,$P$34=0),"",$L$37-1)),MIN(CK$38,$E185),$P$20))-SUM($BF185:CJ185))</f>
        <v>0</v>
      </c>
      <c r="CL185" s="446">
        <f>IF($E185=0,0,IF(MIN(CL$38,$E185)&lt;MAX($P$34*($B185+$I$38-1),IF(AND($L$37=0,$P$34=0),"",$L$37-1)),0,YEARFRAC(MAX($P$34*($B185+$I$38-1),IF(AND($L$37=0,$P$34=0),"",$L$37-1)),MIN(CL$38,$E185),$P$20))-SUM($BF185:CK185))</f>
        <v>0</v>
      </c>
      <c r="CM185" s="446">
        <f>IF($E185=0,0,IF(MIN(CM$38,$E185)&lt;MAX($P$34*($B185+$I$38-1),IF(AND($L$37=0,$P$34=0),"",$L$37-1)),0,YEARFRAC(MAX($P$34*($B185+$I$38-1),IF(AND($L$37=0,$P$34=0),"",$L$37-1)),MIN(CM$38,$E185),$P$20))-SUM($BF185:CL185))</f>
        <v>0</v>
      </c>
      <c r="CN185" s="446">
        <f>IF($E185=0,0,IF(MIN(CN$38,$E185)&lt;MAX($P$34*($B185+$I$38-1),IF(AND($L$37=0,$P$34=0),"",$L$37-1)),0,YEARFRAC(MAX($P$34*($B185+$I$38-1),IF(AND($L$37=0,$P$34=0),"",$L$37-1)),MIN(CN$38,$E185),$P$20))-SUM($BF185:CM185))</f>
        <v>0</v>
      </c>
      <c r="CO185" s="446">
        <f>IF($E185=0,0,IF(MIN(CO$38,$E185)&lt;MAX($P$34*($B185+$I$38-1),IF(AND($L$37=0,$P$34=0),"",$L$37-1)),0,YEARFRAC(MAX($P$34*($B185+$I$38-1),IF(AND($L$37=0,$P$34=0),"",$L$37-1)),MIN(CO$38,$E185),$P$20))-SUM($BF185:CN185))</f>
        <v>0</v>
      </c>
      <c r="CP185" s="446">
        <f>IF($E185=0,0,IF(MIN(CP$38,$E185)&lt;MAX($P$34*($B185+$I$38-1),IF(AND($L$37=0,$P$34=0),"",$L$37-1)),0,YEARFRAC(MAX($P$34*($B185+$I$38-1),IF(AND($L$37=0,$P$34=0),"",$L$37-1)),MIN(CP$38,$E185),$P$20))-SUM($BF185:CO185))</f>
        <v>0</v>
      </c>
      <c r="CQ185" s="446">
        <f>IF($E185=0,0,IF(MIN(CQ$38,$E185)&lt;MAX($P$34*($B185+$I$38-1),IF(AND($L$37=0,$P$34=0),"",$L$37-1)),0,YEARFRAC(MAX($P$34*($B185+$I$38-1),IF(AND($L$37=0,$P$34=0),"",$L$37-1)),MIN(CQ$38,$E185),$P$20))-SUM($BF185:CP185))</f>
        <v>0</v>
      </c>
    </row>
    <row r="186" spans="1:95" s="446" customFormat="1" ht="11.25" hidden="1" customHeight="1" x14ac:dyDescent="0.2">
      <c r="A186" s="152"/>
      <c r="B186" s="153" t="str">
        <f t="shared" si="37"/>
        <v/>
      </c>
      <c r="C186" s="29" t="str">
        <f>IF(B186="","",IF($L$35="SELIC - TRIBUTOS",VLOOKUP(DATE(YEAR($D$19),MONTH($D$19)-1,1),ÍNDICES!$A:$DE,HLOOKUP($BL$25,ÍNDICES!$B$3:$T$4,2)+11)-VLOOKUP(B186,ÍNDICES!$A:$DE,HLOOKUP($BL$25,ÍNDICES!$B$3:$T$4,2)+11)+1%,IF(C$38=$W$26,$J$35,IF(ISERROR(IF(B186&gt;$D$19,1,VLOOKUP(DATE(YEAR(B186),MONTH(B186)+IF($C$35=$S$23,1,0),1),ÍNDICES!$A:$DE,$Z$35+1))),"",IF(B186&gt;$D$19,1,VLOOKUP(DATE(YEAR(B186),MONTH(B186)+IF($C$35=$S$23,1,0),1),ÍNDICES!$A:$DE,$Z$35+1))))))</f>
        <v/>
      </c>
      <c r="D186" s="154" t="str">
        <f>IF(ISERROR(IF(OR($D$38=$Y$27,$B186=""),"",VLOOKUP(B186,ÍNDICES!A:DE,AF$35+1))),"",IF(OR($D$38=$Y$27,$B186=""),"",VLOOKUP(B186,ÍNDICES!A:DE,AF$35+1)))</f>
        <v/>
      </c>
      <c r="E186" s="153"/>
      <c r="F186" s="29" t="str">
        <f>IF(E186="","",IF($L$35="SELIC - TRIBUTOS",VLOOKUP(DATE(YEAR($D$19),MONTH($D$19)-1,1),ÍNDICES!$A:$DE,HLOOKUP($BL$25,ÍNDICES!$B$3:$T$4,2)+11)-VLOOKUP(E186,ÍNDICES!$A:$DE,HLOOKUP($BL$25,ÍNDICES!$B$3:$T$4,2)+11)+1%,IF(F$38=$W$26,$J$35,IF(ISERROR(IF(E186&gt;$D$19,1,VLOOKUP(DATE(YEAR(E186),MONTH(E186)+IF($C$35=$S$23,1,0),1),ÍNDICES!$A:$DE,$Z$35+1))),"",IF(E186&gt;$D$19,1,VLOOKUP(DATE(YEAR(E186),MONTH(E186)+IF($C$35=$S$23,1,0),1),ÍNDICES!$A:$DE,$Z$35+1))))))</f>
        <v/>
      </c>
      <c r="G186" s="155"/>
      <c r="H186" s="156" t="str">
        <f t="shared" si="33"/>
        <v/>
      </c>
      <c r="I186" s="29" t="str">
        <f t="shared" si="27"/>
        <v/>
      </c>
      <c r="J186" s="5">
        <f t="shared" si="28"/>
        <v>0</v>
      </c>
      <c r="K186" s="20">
        <f t="shared" ca="1" si="29"/>
        <v>0</v>
      </c>
      <c r="L186" s="5">
        <f t="shared" ca="1" si="30"/>
        <v>0</v>
      </c>
      <c r="M186" s="64">
        <f t="shared" si="34"/>
        <v>0</v>
      </c>
      <c r="N186" s="61">
        <f t="shared" ca="1" si="35"/>
        <v>0</v>
      </c>
      <c r="O186" s="5">
        <f t="shared" ca="1" si="36"/>
        <v>0</v>
      </c>
      <c r="P186" s="446" t="e">
        <f t="shared" si="31"/>
        <v>#VALUE!</v>
      </c>
      <c r="Q186" s="446" t="e">
        <f>IF(OR($B186="",MIN(Q$38,$D$19)&lt;MAX($P$34*($B186+IF($R$17="Distrato",$I$38-1,0)),IF(AND($L$37=0,$P$34=0),"",$L$37-1),IF($R$17="Distrato",$E186,0))),0,YEARFRAC(MAX($P$34*($B186+IF($R$17="Distrato",$I$38-1,0)),IF(AND($L$37=0,$P$34=0),"",$L$37-1),IF($R$17="Distrato",$E186,0)),MIN(Q$38,$D$19),$P$20))-SUM($P186:P186)</f>
        <v>#VALUE!</v>
      </c>
      <c r="R186" s="446" t="e">
        <f>IF(OR($B186="",MIN(R$38,$D$19)&lt;MAX($P$34*($B186+IF($R$17="Distrato",$I$38-1,0)),IF(AND($L$37=0,$P$34=0),"",$L$37-1),IF($R$17="Distrato",$E186,0))),0,YEARFRAC(MAX($P$34*($B186+IF($R$17="Distrato",$I$38-1,0)),IF(AND($L$37=0,$P$34=0),"",$L$37-1),IF($R$17="Distrato",$E186,0)),MIN(R$38,$D$19),$P$20))-SUM($P186:Q186)</f>
        <v>#VALUE!</v>
      </c>
      <c r="S186" s="446" t="e">
        <f>IF(OR($B186="",MIN(S$38,$D$19)&lt;MAX($P$34*($B186+IF($R$17="Distrato",$I$38-1,0)),IF(AND($L$37=0,$P$34=0),"",$L$37-1),IF($R$17="Distrato",$E186,0))),0,YEARFRAC(MAX($P$34*($B186+IF($R$17="Distrato",$I$38-1,0)),IF(AND($L$37=0,$P$34=0),"",$L$37-1),IF($R$17="Distrato",$E186,0)),MIN(S$38,$D$19),$P$20))-SUM($P186:R186)</f>
        <v>#VALUE!</v>
      </c>
      <c r="T186" s="446" t="e">
        <f>IF(OR($B186="",MIN(T$38,$D$19)&lt;MAX($P$34*($B186+IF($R$17="Distrato",$I$38-1,0)),IF(AND($L$37=0,$P$34=0),"",$L$37-1),IF($R$17="Distrato",$E186,0))),0,YEARFRAC(MAX($P$34*($B186+IF($R$17="Distrato",$I$38-1,0)),IF(AND($L$37=0,$P$34=0),"",$L$37-1),IF($R$17="Distrato",$E186,0)),MIN(T$38,$D$19),$P$20))-SUM($P186:S186)</f>
        <v>#VALUE!</v>
      </c>
      <c r="U186" s="446" t="e">
        <f>IF(OR($B186="",MIN(U$38,$D$19)&lt;MAX($P$34*($B186+IF($R$17="Distrato",$I$38-1,0)),IF(AND($L$37=0,$P$34=0),"",$L$37-1),IF($R$17="Distrato",$E186,0))),0,YEARFRAC(MAX($P$34*($B186+IF($R$17="Distrato",$I$38-1,0)),IF(AND($L$37=0,$P$34=0),"",$L$37-1),IF($R$17="Distrato",$E186,0)),MIN(U$38,$D$19),$P$20))-SUM($P186:T186)</f>
        <v>#VALUE!</v>
      </c>
      <c r="V186" s="446" t="e">
        <f>IF(OR($B186="",MIN(V$38,$D$19)&lt;MAX($P$34*($B186+IF($R$17="Distrato",$I$38-1,0)),IF(AND($L$37=0,$P$34=0),"",$L$37-1),IF($R$17="Distrato",$E186,0))),0,YEARFRAC(MAX($P$34*($B186+IF($R$17="Distrato",$I$38-1,0)),IF(AND($L$37=0,$P$34=0),"",$L$37-1),IF($R$17="Distrato",$E186,0)),MIN(V$38,$D$19),$P$20))-SUM($P186:U186)</f>
        <v>#VALUE!</v>
      </c>
      <c r="W186" s="446" t="e">
        <f>IF(OR($B186="",MIN(W$38,$D$19)&lt;MAX($P$34*($B186+IF($R$17="Distrato",$I$38-1,0)),IF(AND($L$37=0,$P$34=0),"",$L$37-1),IF($R$17="Distrato",$E186,0))),0,YEARFRAC(MAX($P$34*($B186+IF($R$17="Distrato",$I$38-1,0)),IF(AND($L$37=0,$P$34=0),"",$L$37-1),IF($R$17="Distrato",$E186,0)),MIN(W$38,$D$19),$P$20))-SUM($P186:V186)</f>
        <v>#VALUE!</v>
      </c>
      <c r="X186" s="446" t="e">
        <f>IF(OR($B186="",MIN(X$38,$D$19)&lt;MAX($P$34*($B186+IF($R$17="Distrato",$I$38-1,0)),IF(AND($L$37=0,$P$34=0),"",$L$37-1),IF($R$17="Distrato",$E186,0))),0,YEARFRAC(MAX($P$34*($B186+IF($R$17="Distrato",$I$38-1,0)),IF(AND($L$37=0,$P$34=0),"",$L$37-1),IF($R$17="Distrato",$E186,0)),MIN(X$38,$D$19),$P$20))-SUM($P186:W186)</f>
        <v>#VALUE!</v>
      </c>
      <c r="Y186" s="446" t="e">
        <f>IF(OR($B186="",MIN(Y$38,$D$19)&lt;MAX($P$34*($B186+IF($R$17="Distrato",$I$38-1,0)),IF(AND($L$37=0,$P$34=0),"",$L$37-1),IF($R$17="Distrato",$E186,0))),0,YEARFRAC(MAX($P$34*($B186+IF($R$17="Distrato",$I$38-1,0)),IF(AND($L$37=0,$P$34=0),"",$L$37-1),IF($R$17="Distrato",$E186,0)),MIN(Y$38,$D$19),$P$20))-SUM($P186:X186)</f>
        <v>#VALUE!</v>
      </c>
      <c r="Z186" s="446" t="e">
        <f>IF(OR($B186="",MIN(Z$38,$D$19)&lt;MAX($P$34*($B186+IF($R$17="Distrato",$I$38-1,0)),IF(AND($L$37=0,$P$34=0),"",$L$37-1),IF($R$17="Distrato",$E186,0))),0,YEARFRAC(MAX($P$34*($B186+IF($R$17="Distrato",$I$38-1,0)),IF(AND($L$37=0,$P$34=0),"",$L$37-1),IF($R$17="Distrato",$E186,0)),MIN(Z$38,$D$19),$P$20))-SUM($P186:Y186)</f>
        <v>#VALUE!</v>
      </c>
      <c r="AA186" s="446" t="e">
        <f>IF(OR($B186="",MIN(AA$38,$D$19)&lt;MAX($P$34*($B186+IF($R$17="Distrato",$I$38-1,0)),IF(AND($L$37=0,$P$34=0),"",$L$37-1),IF($R$17="Distrato",$E186,0))),0,YEARFRAC(MAX($P$34*($B186+IF($R$17="Distrato",$I$38-1,0)),IF(AND($L$37=0,$P$34=0),"",$L$37-1),IF($R$17="Distrato",$E186,0)),MIN(AA$38,$D$19),$P$20))-SUM($P186:Z186)</f>
        <v>#VALUE!</v>
      </c>
      <c r="AB186" s="446" t="e">
        <f>IF(OR($B186="",MIN(AB$38,$D$19)&lt;MAX($P$34*($B186+IF($R$17="Distrato",$I$38-1,0)),IF(AND($L$37=0,$P$34=0),"",$L$37-1),IF($R$17="Distrato",$E186,0))),0,YEARFRAC(MAX($P$34*($B186+IF($R$17="Distrato",$I$38-1,0)),IF(AND($L$37=0,$P$34=0),"",$L$37-1),IF($R$17="Distrato",$E186,0)),MIN(AB$38,$D$19),$P$20))-SUM($P186:AA186)</f>
        <v>#VALUE!</v>
      </c>
      <c r="AC186" s="446" t="e">
        <f>IF(OR($B186="",MIN(AC$38,$D$19)&lt;MAX($P$34*($B186+IF($R$17="Distrato",$I$38-1,0)),IF(AND($L$37=0,$P$34=0),"",$L$37-1),IF($R$17="Distrato",$E186,0))),0,YEARFRAC(MAX($P$34*($B186+IF($R$17="Distrato",$I$38-1,0)),IF(AND($L$37=0,$P$34=0),"",$L$37-1),IF($R$17="Distrato",$E186,0)),MIN(AC$38,$D$19),$P$20))-SUM($P186:AB186)</f>
        <v>#VALUE!</v>
      </c>
      <c r="AD186" s="446" t="e">
        <f>IF(OR($B186="",MIN(AD$38,$D$19)&lt;MAX($P$34*($B186+IF($R$17="Distrato",$I$38-1,0)),IF(AND($L$37=0,$P$34=0),"",$L$37-1),IF($R$17="Distrato",$E186,0))),0,YEARFRAC(MAX($P$34*($B186+IF($R$17="Distrato",$I$38-1,0)),IF(AND($L$37=0,$P$34=0),"",$L$37-1),IF($R$17="Distrato",$E186,0)),MIN(AD$38,$D$19),$P$20))-SUM($P186:AC186)</f>
        <v>#VALUE!</v>
      </c>
      <c r="AE186" s="446" t="e">
        <f>IF(OR($B186="",MIN(AE$38,$D$19)&lt;MAX($P$34*($B186+IF($R$17="Distrato",$I$38-1,0)),IF(AND($L$37=0,$P$34=0),"",$L$37-1),IF($R$17="Distrato",$E186,0))),0,YEARFRAC(MAX($P$34*($B186+IF($R$17="Distrato",$I$38-1,0)),IF(AND($L$37=0,$P$34=0),"",$L$37-1),IF($R$17="Distrato",$E186,0)),MIN(AE$38,$D$19),$P$20))-SUM($P186:AD186)</f>
        <v>#VALUE!</v>
      </c>
      <c r="AF186" s="446" t="e">
        <f>IF(OR($B186="",MIN(AF$38,$D$19)&lt;MAX($P$34*($B186+IF($R$17="Distrato",$I$38-1,0)),IF(AND($L$37=0,$P$34=0),"",$L$37-1),IF($R$17="Distrato",$E186,0))),0,YEARFRAC(MAX($P$34*($B186+IF($R$17="Distrato",$I$38-1,0)),IF(AND($L$37=0,$P$34=0),"",$L$37-1),IF($R$17="Distrato",$E186,0)),MIN(AF$38,$D$19),$P$20))-SUM($P186:AE186)</f>
        <v>#VALUE!</v>
      </c>
      <c r="AG186" s="446" t="e">
        <f>IF(OR($B186="",MIN(AG$38,$D$19)&lt;MAX($P$34*($B186+IF($R$17="Distrato",$I$38-1,0)),IF(AND($L$37=0,$P$34=0),"",$L$37-1),IF($R$17="Distrato",$E186,0))),0,YEARFRAC(MAX($P$34*($B186+IF($R$17="Distrato",$I$38-1,0)),IF(AND($L$37=0,$P$34=0),"",$L$37-1),IF($R$17="Distrato",$E186,0)),MIN(AG$38,$D$19),$P$20))-SUM($P186:AF186)</f>
        <v>#VALUE!</v>
      </c>
      <c r="AH186" s="446" t="e">
        <f>IF(OR($B186="",MIN(AH$38,$D$19)&lt;MAX($P$34*($B186+IF($R$17="Distrato",$I$38-1,0)),IF(AND($L$37=0,$P$34=0),"",$L$37-1),IF($R$17="Distrato",$E186,0))),0,YEARFRAC(MAX($P$34*($B186+IF($R$17="Distrato",$I$38-1,0)),IF(AND($L$37=0,$P$34=0),"",$L$37-1),IF($R$17="Distrato",$E186,0)),MIN(AH$38,$D$19),$P$20))-SUM($P186:AG186)</f>
        <v>#VALUE!</v>
      </c>
      <c r="AI186" s="446" t="e">
        <f>IF(OR($B186="",MIN(AI$38,$D$19)&lt;MAX($P$34*($B186+IF($R$17="Distrato",$I$38-1,0)),IF(AND($L$37=0,$P$34=0),"",$L$37-1),IF($R$17="Distrato",$E186,0))),0,YEARFRAC(MAX($P$34*($B186+IF($R$17="Distrato",$I$38-1,0)),IF(AND($L$37=0,$P$34=0),"",$L$37-1),IF($R$17="Distrato",$E186,0)),MIN(AI$38,$D$19),$P$20))-SUM($P186:AH186)</f>
        <v>#VALUE!</v>
      </c>
      <c r="AJ186" s="446" t="e">
        <f>IF(OR($B186="",MIN(AJ$38,$D$19)&lt;MAX($P$34*($B186+IF($R$17="Distrato",$I$38-1,0)),IF(AND($L$37=0,$P$34=0),"",$L$37-1),IF($R$17="Distrato",$E186,0))),0,YEARFRAC(MAX($P$34*($B186+IF($R$17="Distrato",$I$38-1,0)),IF(AND($L$37=0,$P$34=0),"",$L$37-1),IF($R$17="Distrato",$E186,0)),MIN(AJ$38,$D$19),$P$20))-SUM($P186:AI186)</f>
        <v>#VALUE!</v>
      </c>
      <c r="AK186" s="446" t="e">
        <f>IF(OR($B186="",MIN(AK$38,$D$19)&lt;MAX($P$34*($B186+IF($R$17="Distrato",$I$38-1,0)),IF(AND($L$37=0,$P$34=0),"",$L$37-1),IF($R$17="Distrato",$E186,0))),0,YEARFRAC(MAX($P$34*($B186+IF($R$17="Distrato",$I$38-1,0)),IF(AND($L$37=0,$P$34=0),"",$L$37-1),IF($R$17="Distrato",$E186,0)),MIN(AK$38,$D$19),$P$20))-SUM($P186:AJ186)</f>
        <v>#VALUE!</v>
      </c>
      <c r="AL186" s="446" t="e">
        <f>IF(OR($B186="",MIN(AL$38,$D$19)&lt;MAX($P$34*($B186+IF($R$17="Distrato",$I$38-1,0)),IF(AND($L$37=0,$P$34=0),"",$L$37-1),IF($R$17="Distrato",$E186,0))),0,YEARFRAC(MAX($P$34*($B186+IF($R$17="Distrato",$I$38-1,0)),IF(AND($L$37=0,$P$34=0),"",$L$37-1),IF($R$17="Distrato",$E186,0)),MIN(AL$38,$D$19),$P$20))-SUM($P186:AK186)</f>
        <v>#VALUE!</v>
      </c>
      <c r="AM186" s="446" t="e">
        <f>IF(OR($B186="",MIN(AM$38,$D$19)&lt;MAX($P$34*($B186+IF($R$17="Distrato",$I$38-1,0)),IF(AND($L$37=0,$P$34=0),"",$L$37-1),IF($R$17="Distrato",$E186,0))),0,YEARFRAC(MAX($P$34*($B186+IF($R$17="Distrato",$I$38-1,0)),IF(AND($L$37=0,$P$34=0),"",$L$37-1),IF($R$17="Distrato",$E186,0)),MIN(AM$38,$D$19),$P$20))-SUM($P186:AL186)</f>
        <v>#VALUE!</v>
      </c>
      <c r="AN186" s="446" t="e">
        <f>IF(OR($B186="",MIN(AN$38,$D$19)&lt;MAX($P$34*($B186+IF($R$17="Distrato",$I$38-1,0)),IF(AND($L$37=0,$P$34=0),"",$L$37-1),IF($R$17="Distrato",$E186,0))),0,YEARFRAC(MAX($P$34*($B186+IF($R$17="Distrato",$I$38-1,0)),IF(AND($L$37=0,$P$34=0),"",$L$37-1),IF($R$17="Distrato",$E186,0)),MIN(AN$38,$D$19),$P$20))-SUM($P186:AM186)</f>
        <v>#VALUE!</v>
      </c>
      <c r="AO186" s="446" t="e">
        <f>IF(OR($B186="",MIN(AO$38,$D$19)&lt;MAX($P$34*($B186+IF($R$17="Distrato",$I$38-1,0)),IF(AND($L$37=0,$P$34=0),"",$L$37-1),IF($R$17="Distrato",$E186,0))),0,YEARFRAC(MAX($P$34*($B186+IF($R$17="Distrato",$I$38-1,0)),IF(AND($L$37=0,$P$34=0),"",$L$37-1),IF($R$17="Distrato",$E186,0)),MIN(AO$38,$D$19),$P$20))-SUM($P186:AN186)</f>
        <v>#VALUE!</v>
      </c>
      <c r="AP186" s="446" t="e">
        <f>IF(OR($B186="",MIN(AP$38,$D$19)&lt;MAX($P$34*($B186+IF($R$17="Distrato",$I$38-1,0)),IF(AND($L$37=0,$P$34=0),"",$L$37-1),IF($R$17="Distrato",$E186,0))),0,YEARFRAC(MAX($P$34*($B186+IF($R$17="Distrato",$I$38-1,0)),IF(AND($L$37=0,$P$34=0),"",$L$37-1),IF($R$17="Distrato",$E186,0)),MIN(AP$38,$D$19),$P$20))-SUM($P186:AO186)</f>
        <v>#VALUE!</v>
      </c>
      <c r="AQ186" s="446" t="e">
        <f>IF(OR($B186="",MIN(AQ$38,$D$19)&lt;MAX($P$34*($B186+IF($R$17="Distrato",$I$38-1,0)),IF(AND($L$37=0,$P$34=0),"",$L$37-1),IF($R$17="Distrato",$E186,0))),0,YEARFRAC(MAX($P$34*($B186+IF($R$17="Distrato",$I$38-1,0)),IF(AND($L$37=0,$P$34=0),"",$L$37-1),IF($R$17="Distrato",$E186,0)),MIN(AQ$38,$D$19),$P$20))-SUM($P186:AP186)</f>
        <v>#VALUE!</v>
      </c>
      <c r="AR186" s="446" t="e">
        <f>IF(OR($B186="",MIN(AR$38,$D$19)&lt;MAX($P$34*($B186+IF($R$17="Distrato",$I$38-1,0)),IF(AND($L$37=0,$P$34=0),"",$L$37-1),IF($R$17="Distrato",$E186,0))),0,YEARFRAC(MAX($P$34*($B186+IF($R$17="Distrato",$I$38-1,0)),IF(AND($L$37=0,$P$34=0),"",$L$37-1),IF($R$17="Distrato",$E186,0)),MIN(AR$38,$D$19),$P$20))-SUM($P186:AQ186)</f>
        <v>#VALUE!</v>
      </c>
      <c r="AS186" s="446" t="e">
        <f>IF(OR($B186="",MIN(AS$38,$D$19)&lt;MAX($P$34*($B186+IF($R$17="Distrato",$I$38-1,0)),IF(AND($L$37=0,$P$34=0),"",$L$37-1),IF($R$17="Distrato",$E186,0))),0,YEARFRAC(MAX($P$34*($B186+IF($R$17="Distrato",$I$38-1,0)),IF(AND($L$37=0,$P$34=0),"",$L$37-1),IF($R$17="Distrato",$E186,0)),MIN(AS$38,$D$19),$P$20))-SUM($P186:AR186)</f>
        <v>#VALUE!</v>
      </c>
      <c r="AT186" s="446" t="e">
        <f>IF(OR($B186="",MIN(AT$38,$D$19)&lt;MAX($P$34*($B186+IF($R$17="Distrato",$I$38-1,0)),IF(AND($L$37=0,$P$34=0),"",$L$37-1),IF($R$17="Distrato",$E186,0))),0,YEARFRAC(MAX($P$34*($B186+IF($R$17="Distrato",$I$38-1,0)),IF(AND($L$37=0,$P$34=0),"",$L$37-1),IF($R$17="Distrato",$E186,0)),MIN(AT$38,$D$19),$P$20))-SUM($P186:AS186)</f>
        <v>#VALUE!</v>
      </c>
      <c r="AU186" s="446" t="e">
        <f>IF(OR($B186="",MIN(AU$38,$D$19)&lt;MAX($P$34*($B186+IF($R$17="Distrato",$I$38-1,0)),IF(AND($L$37=0,$P$34=0),"",$L$37-1),IF($R$17="Distrato",$E186,0))),0,YEARFRAC(MAX($P$34*($B186+IF($R$17="Distrato",$I$38-1,0)),IF(AND($L$37=0,$P$34=0),"",$L$37-1),IF($R$17="Distrato",$E186,0)),MIN(AU$38,$D$19),$P$20))-SUM($P186:AT186)</f>
        <v>#VALUE!</v>
      </c>
      <c r="AV186" s="446" t="e">
        <f>IF(OR($B186="",MIN(AV$38,$D$19)&lt;MAX($P$34*($B186+IF($R$17="Distrato",$I$38-1,0)),IF(AND($L$37=0,$P$34=0),"",$L$37-1),IF($R$17="Distrato",$E186,0))),0,YEARFRAC(MAX($P$34*($B186+IF($R$17="Distrato",$I$38-1,0)),IF(AND($L$37=0,$P$34=0),"",$L$37-1),IF($R$17="Distrato",$E186,0)),MIN(AV$38,$D$19),$P$20))-SUM($P186:AU186)</f>
        <v>#VALUE!</v>
      </c>
      <c r="AW186" s="446" t="e">
        <f>IF(OR($B186="",MIN(AW$38,$D$19)&lt;MAX($P$34*($B186+IF($R$17="Distrato",$I$38-1,0)),IF(AND($L$37=0,$P$34=0),"",$L$37-1),IF($R$17="Distrato",$E186,0))),0,YEARFRAC(MAX($P$34*($B186+IF($R$17="Distrato",$I$38-1,0)),IF(AND($L$37=0,$P$34=0),"",$L$37-1),IF($R$17="Distrato",$E186,0)),MIN(AW$38,$D$19),$P$20))-SUM($P186:AV186)</f>
        <v>#VALUE!</v>
      </c>
      <c r="AX186" s="446" t="e">
        <f>IF(OR($B186="",MIN(AX$38,$D$19)&lt;MAX($P$34*($B186+IF($R$17="Distrato",$I$38-1,0)),IF(AND($L$37=0,$P$34=0),"",$L$37-1),IF($R$17="Distrato",$E186,0))),0,YEARFRAC(MAX($P$34*($B186+IF($R$17="Distrato",$I$38-1,0)),IF(AND($L$37=0,$P$34=0),"",$L$37-1),IF($R$17="Distrato",$E186,0)),MIN(AX$38,$D$19),$P$20))-SUM($P186:AW186)</f>
        <v>#VALUE!</v>
      </c>
      <c r="AY186" s="446" t="e">
        <f>IF(OR($B186="",MIN(AY$38,$D$19)&lt;MAX($P$34*($B186+IF($R$17="Distrato",$I$38-1,0)),IF(AND($L$37=0,$P$34=0),"",$L$37-1),IF($R$17="Distrato",$E186,0))),0,YEARFRAC(MAX($P$34*($B186+IF($R$17="Distrato",$I$38-1,0)),IF(AND($L$37=0,$P$34=0),"",$L$37-1),IF($R$17="Distrato",$E186,0)),MIN(AY$38,$D$19),$P$20))-SUM($P186:AX186)</f>
        <v>#VALUE!</v>
      </c>
      <c r="AZ186" s="446" t="e">
        <f>IF(OR($B186="",MIN(AZ$38,$D$19)&lt;MAX($P$34*($B186+IF($R$17="Distrato",$I$38-1,0)),IF(AND($L$37=0,$P$34=0),"",$L$37-1),IF($R$17="Distrato",$E186,0))),0,YEARFRAC(MAX($P$34*($B186+IF($R$17="Distrato",$I$38-1,0)),IF(AND($L$37=0,$P$34=0),"",$L$37-1),IF($R$17="Distrato",$E186,0)),MIN(AZ$38,$D$19),$P$20))-SUM($P186:AY186)</f>
        <v>#VALUE!</v>
      </c>
      <c r="BA186" s="446" t="e">
        <f>IF(OR($B186="",MIN(BA$38,$D$19)&lt;MAX($P$34*($B186+IF($R$17="Distrato",$I$38-1,0)),IF(AND($L$37=0,$P$34=0),"",$L$37-1),IF($R$17="Distrato",$E186,0))),0,YEARFRAC(MAX($P$34*($B186+IF($R$17="Distrato",$I$38-1,0)),IF(AND($L$37=0,$P$34=0),"",$L$37-1),IF($R$17="Distrato",$E186,0)),MIN(BA$38,$D$19),$P$20))-SUM($P186:AZ186)</f>
        <v>#VALUE!</v>
      </c>
      <c r="BB186" s="447"/>
      <c r="BF186" s="446">
        <f t="shared" si="32"/>
        <v>0</v>
      </c>
      <c r="BG186" s="446">
        <f>IF($E186=0,0,IF(MIN(BG$38,$E186)&lt;MAX($P$34*($B186+$I$38-1),IF(AND($L$37=0,$P$34=0),"",$L$37-1)),0,YEARFRAC(MAX($P$34*($B186+$I$38-1),IF(AND($L$37=0,$P$34=0),"",$L$37-1)),MIN(BG$38,$E186),$P$20))-SUM($BF186:BF186))</f>
        <v>0</v>
      </c>
      <c r="BH186" s="446">
        <f>IF($E186=0,0,IF(MIN(BH$38,$E186)&lt;MAX($P$34*($B186+$I$38-1),IF(AND($L$37=0,$P$34=0),"",$L$37-1)),0,YEARFRAC(MAX($P$34*($B186+$I$38-1),IF(AND($L$37=0,$P$34=0),"",$L$37-1)),MIN(BH$38,$E186),$P$20))-SUM($BF186:BG186))</f>
        <v>0</v>
      </c>
      <c r="BI186" s="446">
        <f>IF($E186=0,0,IF(MIN(BI$38,$E186)&lt;MAX($P$34*($B186+$I$38-1),IF(AND($L$37=0,$P$34=0),"",$L$37-1)),0,YEARFRAC(MAX($P$34*($B186+$I$38-1),IF(AND($L$37=0,$P$34=0),"",$L$37-1)),MIN(BI$38,$E186),$P$20))-SUM($BF186:BH186))</f>
        <v>0</v>
      </c>
      <c r="BJ186" s="446">
        <f>IF($E186=0,0,IF(MIN(BJ$38,$E186)&lt;MAX($P$34*($B186+$I$38-1),IF(AND($L$37=0,$P$34=0),"",$L$37-1)),0,YEARFRAC(MAX($P$34*($B186+$I$38-1),IF(AND($L$37=0,$P$34=0),"",$L$37-1)),MIN(BJ$38,$E186),$P$20))-SUM($BF186:BI186))</f>
        <v>0</v>
      </c>
      <c r="BK186" s="446">
        <f>IF($E186=0,0,IF(MIN(BK$38,$E186)&lt;MAX($P$34*($B186+$I$38-1),IF(AND($L$37=0,$P$34=0),"",$L$37-1)),0,YEARFRAC(MAX($P$34*($B186+$I$38-1),IF(AND($L$37=0,$P$34=0),"",$L$37-1)),MIN(BK$38,$E186),$P$20))-SUM($BF186:BJ186))</f>
        <v>0</v>
      </c>
      <c r="BL186" s="446">
        <f>IF($E186=0,0,IF(MIN(BL$38,$E186)&lt;MAX($P$34*($B186+$I$38-1),IF(AND($L$37=0,$P$34=0),"",$L$37-1)),0,YEARFRAC(MAX($P$34*($B186+$I$38-1),IF(AND($L$37=0,$P$34=0),"",$L$37-1)),MIN(BL$38,$E186),$P$20))-SUM($BF186:BK186))</f>
        <v>0</v>
      </c>
      <c r="BM186" s="446">
        <f>IF($E186=0,0,IF(MIN(BM$38,$E186)&lt;MAX($P$34*($B186+$I$38-1),IF(AND($L$37=0,$P$34=0),"",$L$37-1)),0,YEARFRAC(MAX($P$34*($B186+$I$38-1),IF(AND($L$37=0,$P$34=0),"",$L$37-1)),MIN(BM$38,$E186),$P$20))-SUM($BF186:BL186))</f>
        <v>0</v>
      </c>
      <c r="BN186" s="446">
        <f>IF($E186=0,0,IF(MIN(BN$38,$E186)&lt;MAX($P$34*($B186+$I$38-1),IF(AND($L$37=0,$P$34=0),"",$L$37-1)),0,YEARFRAC(MAX($P$34*($B186+$I$38-1),IF(AND($L$37=0,$P$34=0),"",$L$37-1)),MIN(BN$38,$E186),$P$20))-SUM($BF186:BM186))</f>
        <v>0</v>
      </c>
      <c r="BO186" s="446">
        <f>IF($E186=0,0,IF(MIN(BO$38,$E186)&lt;MAX($P$34*($B186+$I$38-1),IF(AND($L$37=0,$P$34=0),"",$L$37-1)),0,YEARFRAC(MAX($P$34*($B186+$I$38-1),IF(AND($L$37=0,$P$34=0),"",$L$37-1)),MIN(BO$38,$E186),$P$20))-SUM($BF186:BN186))</f>
        <v>0</v>
      </c>
      <c r="BP186" s="446">
        <f>IF($E186=0,0,IF(MIN(BP$38,$E186)&lt;MAX($P$34*($B186+$I$38-1),IF(AND($L$37=0,$P$34=0),"",$L$37-1)),0,YEARFRAC(MAX($P$34*($B186+$I$38-1),IF(AND($L$37=0,$P$34=0),"",$L$37-1)),MIN(BP$38,$E186),$P$20))-SUM($BF186:BO186))</f>
        <v>0</v>
      </c>
      <c r="BQ186" s="446">
        <f>IF($E186=0,0,IF(MIN(BQ$38,$E186)&lt;MAX($P$34*($B186+$I$38-1),IF(AND($L$37=0,$P$34=0),"",$L$37-1)),0,YEARFRAC(MAX($P$34*($B186+$I$38-1),IF(AND($L$37=0,$P$34=0),"",$L$37-1)),MIN(BQ$38,$E186),$P$20))-SUM($BF186:BP186))</f>
        <v>0</v>
      </c>
      <c r="BR186" s="446">
        <f>IF($E186=0,0,IF(MIN(BR$38,$E186)&lt;MAX($P$34*($B186+$I$38-1),IF(AND($L$37=0,$P$34=0),"",$L$37-1)),0,YEARFRAC(MAX($P$34*($B186+$I$38-1),IF(AND($L$37=0,$P$34=0),"",$L$37-1)),MIN(BR$38,$E186),$P$20))-SUM($BF186:BQ186))</f>
        <v>0</v>
      </c>
      <c r="BS186" s="446">
        <f>IF($E186=0,0,IF(MIN(BS$38,$E186)&lt;MAX($P$34*($B186+$I$38-1),IF(AND($L$37=0,$P$34=0),"",$L$37-1)),0,YEARFRAC(MAX($P$34*($B186+$I$38-1),IF(AND($L$37=0,$P$34=0),"",$L$37-1)),MIN(BS$38,$E186),$P$20))-SUM($BF186:BR186))</f>
        <v>0</v>
      </c>
      <c r="BT186" s="446">
        <f>IF($E186=0,0,IF(MIN(BT$38,$E186)&lt;MAX($P$34*($B186+$I$38-1),IF(AND($L$37=0,$P$34=0),"",$L$37-1)),0,YEARFRAC(MAX($P$34*($B186+$I$38-1),IF(AND($L$37=0,$P$34=0),"",$L$37-1)),MIN(BT$38,$E186),$P$20))-SUM($BF186:BS186))</f>
        <v>0</v>
      </c>
      <c r="BU186" s="446">
        <f>IF($E186=0,0,IF(MIN(BU$38,$E186)&lt;MAX($P$34*($B186+$I$38-1),IF(AND($L$37=0,$P$34=0),"",$L$37-1)),0,YEARFRAC(MAX($P$34*($B186+$I$38-1),IF(AND($L$37=0,$P$34=0),"",$L$37-1)),MIN(BU$38,$E186),$P$20))-SUM($BF186:BT186))</f>
        <v>0</v>
      </c>
      <c r="BV186" s="446">
        <f>IF($E186=0,0,IF(MIN(BV$38,$E186)&lt;MAX($P$34*($B186+$I$38-1),IF(AND($L$37=0,$P$34=0),"",$L$37-1)),0,YEARFRAC(MAX($P$34*($B186+$I$38-1),IF(AND($L$37=0,$P$34=0),"",$L$37-1)),MIN(BV$38,$E186),$P$20))-SUM($BF186:BU186))</f>
        <v>0</v>
      </c>
      <c r="BW186" s="446">
        <f>IF($E186=0,0,IF(MIN(BW$38,$E186)&lt;MAX($P$34*($B186+$I$38-1),IF(AND($L$37=0,$P$34=0),"",$L$37-1)),0,YEARFRAC(MAX($P$34*($B186+$I$38-1),IF(AND($L$37=0,$P$34=0),"",$L$37-1)),MIN(BW$38,$E186),$P$20))-SUM($BF186:BV186))</f>
        <v>0</v>
      </c>
      <c r="BX186" s="446">
        <f>IF($E186=0,0,IF(MIN(BX$38,$E186)&lt;MAX($P$34*($B186+$I$38-1),IF(AND($L$37=0,$P$34=0),"",$L$37-1)),0,YEARFRAC(MAX($P$34*($B186+$I$38-1),IF(AND($L$37=0,$P$34=0),"",$L$37-1)),MIN(BX$38,$E186),$P$20))-SUM($BF186:BW186))</f>
        <v>0</v>
      </c>
      <c r="BY186" s="446">
        <f>IF($E186=0,0,IF(MIN(BY$38,$E186)&lt;MAX($P$34*($B186+$I$38-1),IF(AND($L$37=0,$P$34=0),"",$L$37-1)),0,YEARFRAC(MAX($P$34*($B186+$I$38-1),IF(AND($L$37=0,$P$34=0),"",$L$37-1)),MIN(BY$38,$E186),$P$20))-SUM($BF186:BX186))</f>
        <v>0</v>
      </c>
      <c r="BZ186" s="446">
        <f>IF($E186=0,0,IF(MIN(BZ$38,$E186)&lt;MAX($P$34*($B186+$I$38-1),IF(AND($L$37=0,$P$34=0),"",$L$37-1)),0,YEARFRAC(MAX($P$34*($B186+$I$38-1),IF(AND($L$37=0,$P$34=0),"",$L$37-1)),MIN(BZ$38,$E186),$P$20))-SUM($BF186:BY186))</f>
        <v>0</v>
      </c>
      <c r="CA186" s="446">
        <f>IF($E186=0,0,IF(MIN(CA$38,$E186)&lt;MAX($P$34*($B186+$I$38-1),IF(AND($L$37=0,$P$34=0),"",$L$37-1)),0,YEARFRAC(MAX($P$34*($B186+$I$38-1),IF(AND($L$37=0,$P$34=0),"",$L$37-1)),MIN(CA$38,$E186),$P$20))-SUM($BF186:BZ186))</f>
        <v>0</v>
      </c>
      <c r="CB186" s="446">
        <f>IF($E186=0,0,IF(MIN(CB$38,$E186)&lt;MAX($P$34*($B186+$I$38-1),IF(AND($L$37=0,$P$34=0),"",$L$37-1)),0,YEARFRAC(MAX($P$34*($B186+$I$38-1),IF(AND($L$37=0,$P$34=0),"",$L$37-1)),MIN(CB$38,$E186),$P$20))-SUM($BF186:CA186))</f>
        <v>0</v>
      </c>
      <c r="CC186" s="446">
        <f>IF($E186=0,0,IF(MIN(CC$38,$E186)&lt;MAX($P$34*($B186+$I$38-1),IF(AND($L$37=0,$P$34=0),"",$L$37-1)),0,YEARFRAC(MAX($P$34*($B186+$I$38-1),IF(AND($L$37=0,$P$34=0),"",$L$37-1)),MIN(CC$38,$E186),$P$20))-SUM($BF186:CB186))</f>
        <v>0</v>
      </c>
      <c r="CD186" s="446">
        <f>IF($E186=0,0,IF(MIN(CD$38,$E186)&lt;MAX($P$34*($B186+$I$38-1),IF(AND($L$37=0,$P$34=0),"",$L$37-1)),0,YEARFRAC(MAX($P$34*($B186+$I$38-1),IF(AND($L$37=0,$P$34=0),"",$L$37-1)),MIN(CD$38,$E186),$P$20))-SUM($BF186:CC186))</f>
        <v>0</v>
      </c>
      <c r="CE186" s="446">
        <f>IF($E186=0,0,IF(MIN(CE$38,$E186)&lt;MAX($P$34*($B186+$I$38-1),IF(AND($L$37=0,$P$34=0),"",$L$37-1)),0,YEARFRAC(MAX($P$34*($B186+$I$38-1),IF(AND($L$37=0,$P$34=0),"",$L$37-1)),MIN(CE$38,$E186),$P$20))-SUM($BF186:CD186))</f>
        <v>0</v>
      </c>
      <c r="CF186" s="446">
        <f>IF($E186=0,0,IF(MIN(CF$38,$E186)&lt;MAX($P$34*($B186+$I$38-1),IF(AND($L$37=0,$P$34=0),"",$L$37-1)),0,YEARFRAC(MAX($P$34*($B186+$I$38-1),IF(AND($L$37=0,$P$34=0),"",$L$37-1)),MIN(CF$38,$E186),$P$20))-SUM($BF186:CE186))</f>
        <v>0</v>
      </c>
      <c r="CG186" s="446">
        <f>IF($E186=0,0,IF(MIN(CG$38,$E186)&lt;MAX($P$34*($B186+$I$38-1),IF(AND($L$37=0,$P$34=0),"",$L$37-1)),0,YEARFRAC(MAX($P$34*($B186+$I$38-1),IF(AND($L$37=0,$P$34=0),"",$L$37-1)),MIN(CG$38,$E186),$P$20))-SUM($BF186:CF186))</f>
        <v>0</v>
      </c>
      <c r="CH186" s="446">
        <f>IF($E186=0,0,IF(MIN(CH$38,$E186)&lt;MAX($P$34*($B186+$I$38-1),IF(AND($L$37=0,$P$34=0),"",$L$37-1)),0,YEARFRAC(MAX($P$34*($B186+$I$38-1),IF(AND($L$37=0,$P$34=0),"",$L$37-1)),MIN(CH$38,$E186),$P$20))-SUM($BF186:CG186))</f>
        <v>0</v>
      </c>
      <c r="CI186" s="446">
        <f>IF($E186=0,0,IF(MIN(CI$38,$E186)&lt;MAX($P$34*($B186+$I$38-1),IF(AND($L$37=0,$P$34=0),"",$L$37-1)),0,YEARFRAC(MAX($P$34*($B186+$I$38-1),IF(AND($L$37=0,$P$34=0),"",$L$37-1)),MIN(CI$38,$E186),$P$20))-SUM($BF186:CH186))</f>
        <v>0</v>
      </c>
      <c r="CJ186" s="446">
        <f>IF($E186=0,0,IF(MIN(CJ$38,$E186)&lt;MAX($P$34*($B186+$I$38-1),IF(AND($L$37=0,$P$34=0),"",$L$37-1)),0,YEARFRAC(MAX($P$34*($B186+$I$38-1),IF(AND($L$37=0,$P$34=0),"",$L$37-1)),MIN(CJ$38,$E186),$P$20))-SUM($BF186:CI186))</f>
        <v>0</v>
      </c>
      <c r="CK186" s="446">
        <f>IF($E186=0,0,IF(MIN(CK$38,$E186)&lt;MAX($P$34*($B186+$I$38-1),IF(AND($L$37=0,$P$34=0),"",$L$37-1)),0,YEARFRAC(MAX($P$34*($B186+$I$38-1),IF(AND($L$37=0,$P$34=0),"",$L$37-1)),MIN(CK$38,$E186),$P$20))-SUM($BF186:CJ186))</f>
        <v>0</v>
      </c>
      <c r="CL186" s="446">
        <f>IF($E186=0,0,IF(MIN(CL$38,$E186)&lt;MAX($P$34*($B186+$I$38-1),IF(AND($L$37=0,$P$34=0),"",$L$37-1)),0,YEARFRAC(MAX($P$34*($B186+$I$38-1),IF(AND($L$37=0,$P$34=0),"",$L$37-1)),MIN(CL$38,$E186),$P$20))-SUM($BF186:CK186))</f>
        <v>0</v>
      </c>
      <c r="CM186" s="446">
        <f>IF($E186=0,0,IF(MIN(CM$38,$E186)&lt;MAX($P$34*($B186+$I$38-1),IF(AND($L$37=0,$P$34=0),"",$L$37-1)),0,YEARFRAC(MAX($P$34*($B186+$I$38-1),IF(AND($L$37=0,$P$34=0),"",$L$37-1)),MIN(CM$38,$E186),$P$20))-SUM($BF186:CL186))</f>
        <v>0</v>
      </c>
      <c r="CN186" s="446">
        <f>IF($E186=0,0,IF(MIN(CN$38,$E186)&lt;MAX($P$34*($B186+$I$38-1),IF(AND($L$37=0,$P$34=0),"",$L$37-1)),0,YEARFRAC(MAX($P$34*($B186+$I$38-1),IF(AND($L$37=0,$P$34=0),"",$L$37-1)),MIN(CN$38,$E186),$P$20))-SUM($BF186:CM186))</f>
        <v>0</v>
      </c>
      <c r="CO186" s="446">
        <f>IF($E186=0,0,IF(MIN(CO$38,$E186)&lt;MAX($P$34*($B186+$I$38-1),IF(AND($L$37=0,$P$34=0),"",$L$37-1)),0,YEARFRAC(MAX($P$34*($B186+$I$38-1),IF(AND($L$37=0,$P$34=0),"",$L$37-1)),MIN(CO$38,$E186),$P$20))-SUM($BF186:CN186))</f>
        <v>0</v>
      </c>
      <c r="CP186" s="446">
        <f>IF($E186=0,0,IF(MIN(CP$38,$E186)&lt;MAX($P$34*($B186+$I$38-1),IF(AND($L$37=0,$P$34=0),"",$L$37-1)),0,YEARFRAC(MAX($P$34*($B186+$I$38-1),IF(AND($L$37=0,$P$34=0),"",$L$37-1)),MIN(CP$38,$E186),$P$20))-SUM($BF186:CO186))</f>
        <v>0</v>
      </c>
      <c r="CQ186" s="446">
        <f>IF($E186=0,0,IF(MIN(CQ$38,$E186)&lt;MAX($P$34*($B186+$I$38-1),IF(AND($L$37=0,$P$34=0),"",$L$37-1)),0,YEARFRAC(MAX($P$34*($B186+$I$38-1),IF(AND($L$37=0,$P$34=0),"",$L$37-1)),MIN(CQ$38,$E186),$P$20))-SUM($BF186:CP186))</f>
        <v>0</v>
      </c>
    </row>
    <row r="187" spans="1:95" s="446" customFormat="1" ht="11.25" hidden="1" customHeight="1" x14ac:dyDescent="0.2">
      <c r="A187" s="152"/>
      <c r="B187" s="153" t="str">
        <f t="shared" si="37"/>
        <v/>
      </c>
      <c r="C187" s="29" t="str">
        <f>IF(B187="","",IF($L$35="SELIC - TRIBUTOS",VLOOKUP(DATE(YEAR($D$19),MONTH($D$19)-1,1),ÍNDICES!$A:$DE,HLOOKUP($BL$25,ÍNDICES!$B$3:$T$4,2)+11)-VLOOKUP(B187,ÍNDICES!$A:$DE,HLOOKUP($BL$25,ÍNDICES!$B$3:$T$4,2)+11)+1%,IF(C$38=$W$26,$J$35,IF(ISERROR(IF(B187&gt;$D$19,1,VLOOKUP(DATE(YEAR(B187),MONTH(B187)+IF($C$35=$S$23,1,0),1),ÍNDICES!$A:$DE,$Z$35+1))),"",IF(B187&gt;$D$19,1,VLOOKUP(DATE(YEAR(B187),MONTH(B187)+IF($C$35=$S$23,1,0),1),ÍNDICES!$A:$DE,$Z$35+1))))))</f>
        <v/>
      </c>
      <c r="D187" s="154" t="str">
        <f>IF(ISERROR(IF(OR($D$38=$Y$27,$B187=""),"",VLOOKUP(B187,ÍNDICES!A:DE,AF$35+1))),"",IF(OR($D$38=$Y$27,$B187=""),"",VLOOKUP(B187,ÍNDICES!A:DE,AF$35+1)))</f>
        <v/>
      </c>
      <c r="E187" s="153"/>
      <c r="F187" s="29" t="str">
        <f>IF(E187="","",IF($L$35="SELIC - TRIBUTOS",VLOOKUP(DATE(YEAR($D$19),MONTH($D$19)-1,1),ÍNDICES!$A:$DE,HLOOKUP($BL$25,ÍNDICES!$B$3:$T$4,2)+11)-VLOOKUP(E187,ÍNDICES!$A:$DE,HLOOKUP($BL$25,ÍNDICES!$B$3:$T$4,2)+11)+1%,IF(F$38=$W$26,$J$35,IF(ISERROR(IF(E187&gt;$D$19,1,VLOOKUP(DATE(YEAR(E187),MONTH(E187)+IF($C$35=$S$23,1,0),1),ÍNDICES!$A:$DE,$Z$35+1))),"",IF(E187&gt;$D$19,1,VLOOKUP(DATE(YEAR(E187),MONTH(E187)+IF($C$35=$S$23,1,0),1),ÍNDICES!$A:$DE,$Z$35+1))))))</f>
        <v/>
      </c>
      <c r="G187" s="155"/>
      <c r="H187" s="156" t="str">
        <f t="shared" si="33"/>
        <v/>
      </c>
      <c r="I187" s="29" t="str">
        <f t="shared" si="27"/>
        <v/>
      </c>
      <c r="J187" s="5">
        <f t="shared" si="28"/>
        <v>0</v>
      </c>
      <c r="K187" s="20">
        <f t="shared" ca="1" si="29"/>
        <v>0</v>
      </c>
      <c r="L187" s="5">
        <f t="shared" ca="1" si="30"/>
        <v>0</v>
      </c>
      <c r="M187" s="64">
        <f t="shared" si="34"/>
        <v>0</v>
      </c>
      <c r="N187" s="61">
        <f t="shared" ca="1" si="35"/>
        <v>0</v>
      </c>
      <c r="O187" s="5">
        <f t="shared" ca="1" si="36"/>
        <v>0</v>
      </c>
      <c r="P187" s="446" t="e">
        <f t="shared" si="31"/>
        <v>#VALUE!</v>
      </c>
      <c r="Q187" s="446" t="e">
        <f>IF(OR($B187="",MIN(Q$38,$D$19)&lt;MAX($P$34*($B187+IF($R$17="Distrato",$I$38-1,0)),IF(AND($L$37=0,$P$34=0),"",$L$37-1),IF($R$17="Distrato",$E187,0))),0,YEARFRAC(MAX($P$34*($B187+IF($R$17="Distrato",$I$38-1,0)),IF(AND($L$37=0,$P$34=0),"",$L$37-1),IF($R$17="Distrato",$E187,0)),MIN(Q$38,$D$19),$P$20))-SUM($P187:P187)</f>
        <v>#VALUE!</v>
      </c>
      <c r="R187" s="446" t="e">
        <f>IF(OR($B187="",MIN(R$38,$D$19)&lt;MAX($P$34*($B187+IF($R$17="Distrato",$I$38-1,0)),IF(AND($L$37=0,$P$34=0),"",$L$37-1),IF($R$17="Distrato",$E187,0))),0,YEARFRAC(MAX($P$34*($B187+IF($R$17="Distrato",$I$38-1,0)),IF(AND($L$37=0,$P$34=0),"",$L$37-1),IF($R$17="Distrato",$E187,0)),MIN(R$38,$D$19),$P$20))-SUM($P187:Q187)</f>
        <v>#VALUE!</v>
      </c>
      <c r="S187" s="446" t="e">
        <f>IF(OR($B187="",MIN(S$38,$D$19)&lt;MAX($P$34*($B187+IF($R$17="Distrato",$I$38-1,0)),IF(AND($L$37=0,$P$34=0),"",$L$37-1),IF($R$17="Distrato",$E187,0))),0,YEARFRAC(MAX($P$34*($B187+IF($R$17="Distrato",$I$38-1,0)),IF(AND($L$37=0,$P$34=0),"",$L$37-1),IF($R$17="Distrato",$E187,0)),MIN(S$38,$D$19),$P$20))-SUM($P187:R187)</f>
        <v>#VALUE!</v>
      </c>
      <c r="T187" s="446" t="e">
        <f>IF(OR($B187="",MIN(T$38,$D$19)&lt;MAX($P$34*($B187+IF($R$17="Distrato",$I$38-1,0)),IF(AND($L$37=0,$P$34=0),"",$L$37-1),IF($R$17="Distrato",$E187,0))),0,YEARFRAC(MAX($P$34*($B187+IF($R$17="Distrato",$I$38-1,0)),IF(AND($L$37=0,$P$34=0),"",$L$37-1),IF($R$17="Distrato",$E187,0)),MIN(T$38,$D$19),$P$20))-SUM($P187:S187)</f>
        <v>#VALUE!</v>
      </c>
      <c r="U187" s="446" t="e">
        <f>IF(OR($B187="",MIN(U$38,$D$19)&lt;MAX($P$34*($B187+IF($R$17="Distrato",$I$38-1,0)),IF(AND($L$37=0,$P$34=0),"",$L$37-1),IF($R$17="Distrato",$E187,0))),0,YEARFRAC(MAX($P$34*($B187+IF($R$17="Distrato",$I$38-1,0)),IF(AND($L$37=0,$P$34=0),"",$L$37-1),IF($R$17="Distrato",$E187,0)),MIN(U$38,$D$19),$P$20))-SUM($P187:T187)</f>
        <v>#VALUE!</v>
      </c>
      <c r="V187" s="446" t="e">
        <f>IF(OR($B187="",MIN(V$38,$D$19)&lt;MAX($P$34*($B187+IF($R$17="Distrato",$I$38-1,0)),IF(AND($L$37=0,$P$34=0),"",$L$37-1),IF($R$17="Distrato",$E187,0))),0,YEARFRAC(MAX($P$34*($B187+IF($R$17="Distrato",$I$38-1,0)),IF(AND($L$37=0,$P$34=0),"",$L$37-1),IF($R$17="Distrato",$E187,0)),MIN(V$38,$D$19),$P$20))-SUM($P187:U187)</f>
        <v>#VALUE!</v>
      </c>
      <c r="W187" s="446" t="e">
        <f>IF(OR($B187="",MIN(W$38,$D$19)&lt;MAX($P$34*($B187+IF($R$17="Distrato",$I$38-1,0)),IF(AND($L$37=0,$P$34=0),"",$L$37-1),IF($R$17="Distrato",$E187,0))),0,YEARFRAC(MAX($P$34*($B187+IF($R$17="Distrato",$I$38-1,0)),IF(AND($L$37=0,$P$34=0),"",$L$37-1),IF($R$17="Distrato",$E187,0)),MIN(W$38,$D$19),$P$20))-SUM($P187:V187)</f>
        <v>#VALUE!</v>
      </c>
      <c r="X187" s="446" t="e">
        <f>IF(OR($B187="",MIN(X$38,$D$19)&lt;MAX($P$34*($B187+IF($R$17="Distrato",$I$38-1,0)),IF(AND($L$37=0,$P$34=0),"",$L$37-1),IF($R$17="Distrato",$E187,0))),0,YEARFRAC(MAX($P$34*($B187+IF($R$17="Distrato",$I$38-1,0)),IF(AND($L$37=0,$P$34=0),"",$L$37-1),IF($R$17="Distrato",$E187,0)),MIN(X$38,$D$19),$P$20))-SUM($P187:W187)</f>
        <v>#VALUE!</v>
      </c>
      <c r="Y187" s="446" t="e">
        <f>IF(OR($B187="",MIN(Y$38,$D$19)&lt;MAX($P$34*($B187+IF($R$17="Distrato",$I$38-1,0)),IF(AND($L$37=0,$P$34=0),"",$L$37-1),IF($R$17="Distrato",$E187,0))),0,YEARFRAC(MAX($P$34*($B187+IF($R$17="Distrato",$I$38-1,0)),IF(AND($L$37=0,$P$34=0),"",$L$37-1),IF($R$17="Distrato",$E187,0)),MIN(Y$38,$D$19),$P$20))-SUM($P187:X187)</f>
        <v>#VALUE!</v>
      </c>
      <c r="Z187" s="446" t="e">
        <f>IF(OR($B187="",MIN(Z$38,$D$19)&lt;MAX($P$34*($B187+IF($R$17="Distrato",$I$38-1,0)),IF(AND($L$37=0,$P$34=0),"",$L$37-1),IF($R$17="Distrato",$E187,0))),0,YEARFRAC(MAX($P$34*($B187+IF($R$17="Distrato",$I$38-1,0)),IF(AND($L$37=0,$P$34=0),"",$L$37-1),IF($R$17="Distrato",$E187,0)),MIN(Z$38,$D$19),$P$20))-SUM($P187:Y187)</f>
        <v>#VALUE!</v>
      </c>
      <c r="AA187" s="446" t="e">
        <f>IF(OR($B187="",MIN(AA$38,$D$19)&lt;MAX($P$34*($B187+IF($R$17="Distrato",$I$38-1,0)),IF(AND($L$37=0,$P$34=0),"",$L$37-1),IF($R$17="Distrato",$E187,0))),0,YEARFRAC(MAX($P$34*($B187+IF($R$17="Distrato",$I$38-1,0)),IF(AND($L$37=0,$P$34=0),"",$L$37-1),IF($R$17="Distrato",$E187,0)),MIN(AA$38,$D$19),$P$20))-SUM($P187:Z187)</f>
        <v>#VALUE!</v>
      </c>
      <c r="AB187" s="446" t="e">
        <f>IF(OR($B187="",MIN(AB$38,$D$19)&lt;MAX($P$34*($B187+IF($R$17="Distrato",$I$38-1,0)),IF(AND($L$37=0,$P$34=0),"",$L$37-1),IF($R$17="Distrato",$E187,0))),0,YEARFRAC(MAX($P$34*($B187+IF($R$17="Distrato",$I$38-1,0)),IF(AND($L$37=0,$P$34=0),"",$L$37-1),IF($R$17="Distrato",$E187,0)),MIN(AB$38,$D$19),$P$20))-SUM($P187:AA187)</f>
        <v>#VALUE!</v>
      </c>
      <c r="AC187" s="446" t="e">
        <f>IF(OR($B187="",MIN(AC$38,$D$19)&lt;MAX($P$34*($B187+IF($R$17="Distrato",$I$38-1,0)),IF(AND($L$37=0,$P$34=0),"",$L$37-1),IF($R$17="Distrato",$E187,0))),0,YEARFRAC(MAX($P$34*($B187+IF($R$17="Distrato",$I$38-1,0)),IF(AND($L$37=0,$P$34=0),"",$L$37-1),IF($R$17="Distrato",$E187,0)),MIN(AC$38,$D$19),$P$20))-SUM($P187:AB187)</f>
        <v>#VALUE!</v>
      </c>
      <c r="AD187" s="446" t="e">
        <f>IF(OR($B187="",MIN(AD$38,$D$19)&lt;MAX($P$34*($B187+IF($R$17="Distrato",$I$38-1,0)),IF(AND($L$37=0,$P$34=0),"",$L$37-1),IF($R$17="Distrato",$E187,0))),0,YEARFRAC(MAX($P$34*($B187+IF($R$17="Distrato",$I$38-1,0)),IF(AND($L$37=0,$P$34=0),"",$L$37-1),IF($R$17="Distrato",$E187,0)),MIN(AD$38,$D$19),$P$20))-SUM($P187:AC187)</f>
        <v>#VALUE!</v>
      </c>
      <c r="AE187" s="446" t="e">
        <f>IF(OR($B187="",MIN(AE$38,$D$19)&lt;MAX($P$34*($B187+IF($R$17="Distrato",$I$38-1,0)),IF(AND($L$37=0,$P$34=0),"",$L$37-1),IF($R$17="Distrato",$E187,0))),0,YEARFRAC(MAX($P$34*($B187+IF($R$17="Distrato",$I$38-1,0)),IF(AND($L$37=0,$P$34=0),"",$L$37-1),IF($R$17="Distrato",$E187,0)),MIN(AE$38,$D$19),$P$20))-SUM($P187:AD187)</f>
        <v>#VALUE!</v>
      </c>
      <c r="AF187" s="446" t="e">
        <f>IF(OR($B187="",MIN(AF$38,$D$19)&lt;MAX($P$34*($B187+IF($R$17="Distrato",$I$38-1,0)),IF(AND($L$37=0,$P$34=0),"",$L$37-1),IF($R$17="Distrato",$E187,0))),0,YEARFRAC(MAX($P$34*($B187+IF($R$17="Distrato",$I$38-1,0)),IF(AND($L$37=0,$P$34=0),"",$L$37-1),IF($R$17="Distrato",$E187,0)),MIN(AF$38,$D$19),$P$20))-SUM($P187:AE187)</f>
        <v>#VALUE!</v>
      </c>
      <c r="AG187" s="446" t="e">
        <f>IF(OR($B187="",MIN(AG$38,$D$19)&lt;MAX($P$34*($B187+IF($R$17="Distrato",$I$38-1,0)),IF(AND($L$37=0,$P$34=0),"",$L$37-1),IF($R$17="Distrato",$E187,0))),0,YEARFRAC(MAX($P$34*($B187+IF($R$17="Distrato",$I$38-1,0)),IF(AND($L$37=0,$P$34=0),"",$L$37-1),IF($R$17="Distrato",$E187,0)),MIN(AG$38,$D$19),$P$20))-SUM($P187:AF187)</f>
        <v>#VALUE!</v>
      </c>
      <c r="AH187" s="446" t="e">
        <f>IF(OR($B187="",MIN(AH$38,$D$19)&lt;MAX($P$34*($B187+IF($R$17="Distrato",$I$38-1,0)),IF(AND($L$37=0,$P$34=0),"",$L$37-1),IF($R$17="Distrato",$E187,0))),0,YEARFRAC(MAX($P$34*($B187+IF($R$17="Distrato",$I$38-1,0)),IF(AND($L$37=0,$P$34=0),"",$L$37-1),IF($R$17="Distrato",$E187,0)),MIN(AH$38,$D$19),$P$20))-SUM($P187:AG187)</f>
        <v>#VALUE!</v>
      </c>
      <c r="AI187" s="446" t="e">
        <f>IF(OR($B187="",MIN(AI$38,$D$19)&lt;MAX($P$34*($B187+IF($R$17="Distrato",$I$38-1,0)),IF(AND($L$37=0,$P$34=0),"",$L$37-1),IF($R$17="Distrato",$E187,0))),0,YEARFRAC(MAX($P$34*($B187+IF($R$17="Distrato",$I$38-1,0)),IF(AND($L$37=0,$P$34=0),"",$L$37-1),IF($R$17="Distrato",$E187,0)),MIN(AI$38,$D$19),$P$20))-SUM($P187:AH187)</f>
        <v>#VALUE!</v>
      </c>
      <c r="AJ187" s="446" t="e">
        <f>IF(OR($B187="",MIN(AJ$38,$D$19)&lt;MAX($P$34*($B187+IF($R$17="Distrato",$I$38-1,0)),IF(AND($L$37=0,$P$34=0),"",$L$37-1),IF($R$17="Distrato",$E187,0))),0,YEARFRAC(MAX($P$34*($B187+IF($R$17="Distrato",$I$38-1,0)),IF(AND($L$37=0,$P$34=0),"",$L$37-1),IF($R$17="Distrato",$E187,0)),MIN(AJ$38,$D$19),$P$20))-SUM($P187:AI187)</f>
        <v>#VALUE!</v>
      </c>
      <c r="AK187" s="446" t="e">
        <f>IF(OR($B187="",MIN(AK$38,$D$19)&lt;MAX($P$34*($B187+IF($R$17="Distrato",$I$38-1,0)),IF(AND($L$37=0,$P$34=0),"",$L$37-1),IF($R$17="Distrato",$E187,0))),0,YEARFRAC(MAX($P$34*($B187+IF($R$17="Distrato",$I$38-1,0)),IF(AND($L$37=0,$P$34=0),"",$L$37-1),IF($R$17="Distrato",$E187,0)),MIN(AK$38,$D$19),$P$20))-SUM($P187:AJ187)</f>
        <v>#VALUE!</v>
      </c>
      <c r="AL187" s="446" t="e">
        <f>IF(OR($B187="",MIN(AL$38,$D$19)&lt;MAX($P$34*($B187+IF($R$17="Distrato",$I$38-1,0)),IF(AND($L$37=0,$P$34=0),"",$L$37-1),IF($R$17="Distrato",$E187,0))),0,YEARFRAC(MAX($P$34*($B187+IF($R$17="Distrato",$I$38-1,0)),IF(AND($L$37=0,$P$34=0),"",$L$37-1),IF($R$17="Distrato",$E187,0)),MIN(AL$38,$D$19),$P$20))-SUM($P187:AK187)</f>
        <v>#VALUE!</v>
      </c>
      <c r="AM187" s="446" t="e">
        <f>IF(OR($B187="",MIN(AM$38,$D$19)&lt;MAX($P$34*($B187+IF($R$17="Distrato",$I$38-1,0)),IF(AND($L$37=0,$P$34=0),"",$L$37-1),IF($R$17="Distrato",$E187,0))),0,YEARFRAC(MAX($P$34*($B187+IF($R$17="Distrato",$I$38-1,0)),IF(AND($L$37=0,$P$34=0),"",$L$37-1),IF($R$17="Distrato",$E187,0)),MIN(AM$38,$D$19),$P$20))-SUM($P187:AL187)</f>
        <v>#VALUE!</v>
      </c>
      <c r="AN187" s="446" t="e">
        <f>IF(OR($B187="",MIN(AN$38,$D$19)&lt;MAX($P$34*($B187+IF($R$17="Distrato",$I$38-1,0)),IF(AND($L$37=0,$P$34=0),"",$L$37-1),IF($R$17="Distrato",$E187,0))),0,YEARFRAC(MAX($P$34*($B187+IF($R$17="Distrato",$I$38-1,0)),IF(AND($L$37=0,$P$34=0),"",$L$37-1),IF($R$17="Distrato",$E187,0)),MIN(AN$38,$D$19),$P$20))-SUM($P187:AM187)</f>
        <v>#VALUE!</v>
      </c>
      <c r="AO187" s="446" t="e">
        <f>IF(OR($B187="",MIN(AO$38,$D$19)&lt;MAX($P$34*($B187+IF($R$17="Distrato",$I$38-1,0)),IF(AND($L$37=0,$P$34=0),"",$L$37-1),IF($R$17="Distrato",$E187,0))),0,YEARFRAC(MAX($P$34*($B187+IF($R$17="Distrato",$I$38-1,0)),IF(AND($L$37=0,$P$34=0),"",$L$37-1),IF($R$17="Distrato",$E187,0)),MIN(AO$38,$D$19),$P$20))-SUM($P187:AN187)</f>
        <v>#VALUE!</v>
      </c>
      <c r="AP187" s="446" t="e">
        <f>IF(OR($B187="",MIN(AP$38,$D$19)&lt;MAX($P$34*($B187+IF($R$17="Distrato",$I$38-1,0)),IF(AND($L$37=0,$P$34=0),"",$L$37-1),IF($R$17="Distrato",$E187,0))),0,YEARFRAC(MAX($P$34*($B187+IF($R$17="Distrato",$I$38-1,0)),IF(AND($L$37=0,$P$34=0),"",$L$37-1),IF($R$17="Distrato",$E187,0)),MIN(AP$38,$D$19),$P$20))-SUM($P187:AO187)</f>
        <v>#VALUE!</v>
      </c>
      <c r="AQ187" s="446" t="e">
        <f>IF(OR($B187="",MIN(AQ$38,$D$19)&lt;MAX($P$34*($B187+IF($R$17="Distrato",$I$38-1,0)),IF(AND($L$37=0,$P$34=0),"",$L$37-1),IF($R$17="Distrato",$E187,0))),0,YEARFRAC(MAX($P$34*($B187+IF($R$17="Distrato",$I$38-1,0)),IF(AND($L$37=0,$P$34=0),"",$L$37-1),IF($R$17="Distrato",$E187,0)),MIN(AQ$38,$D$19),$P$20))-SUM($P187:AP187)</f>
        <v>#VALUE!</v>
      </c>
      <c r="AR187" s="446" t="e">
        <f>IF(OR($B187="",MIN(AR$38,$D$19)&lt;MAX($P$34*($B187+IF($R$17="Distrato",$I$38-1,0)),IF(AND($L$37=0,$P$34=0),"",$L$37-1),IF($R$17="Distrato",$E187,0))),0,YEARFRAC(MAX($P$34*($B187+IF($R$17="Distrato",$I$38-1,0)),IF(AND($L$37=0,$P$34=0),"",$L$37-1),IF($R$17="Distrato",$E187,0)),MIN(AR$38,$D$19),$P$20))-SUM($P187:AQ187)</f>
        <v>#VALUE!</v>
      </c>
      <c r="AS187" s="446" t="e">
        <f>IF(OR($B187="",MIN(AS$38,$D$19)&lt;MAX($P$34*($B187+IF($R$17="Distrato",$I$38-1,0)),IF(AND($L$37=0,$P$34=0),"",$L$37-1),IF($R$17="Distrato",$E187,0))),0,YEARFRAC(MAX($P$34*($B187+IF($R$17="Distrato",$I$38-1,0)),IF(AND($L$37=0,$P$34=0),"",$L$37-1),IF($R$17="Distrato",$E187,0)),MIN(AS$38,$D$19),$P$20))-SUM($P187:AR187)</f>
        <v>#VALUE!</v>
      </c>
      <c r="AT187" s="446" t="e">
        <f>IF(OR($B187="",MIN(AT$38,$D$19)&lt;MAX($P$34*($B187+IF($R$17="Distrato",$I$38-1,0)),IF(AND($L$37=0,$P$34=0),"",$L$37-1),IF($R$17="Distrato",$E187,0))),0,YEARFRAC(MAX($P$34*($B187+IF($R$17="Distrato",$I$38-1,0)),IF(AND($L$37=0,$P$34=0),"",$L$37-1),IF($R$17="Distrato",$E187,0)),MIN(AT$38,$D$19),$P$20))-SUM($P187:AS187)</f>
        <v>#VALUE!</v>
      </c>
      <c r="AU187" s="446" t="e">
        <f>IF(OR($B187="",MIN(AU$38,$D$19)&lt;MAX($P$34*($B187+IF($R$17="Distrato",$I$38-1,0)),IF(AND($L$37=0,$P$34=0),"",$L$37-1),IF($R$17="Distrato",$E187,0))),0,YEARFRAC(MAX($P$34*($B187+IF($R$17="Distrato",$I$38-1,0)),IF(AND($L$37=0,$P$34=0),"",$L$37-1),IF($R$17="Distrato",$E187,0)),MIN(AU$38,$D$19),$P$20))-SUM($P187:AT187)</f>
        <v>#VALUE!</v>
      </c>
      <c r="AV187" s="446" t="e">
        <f>IF(OR($B187="",MIN(AV$38,$D$19)&lt;MAX($P$34*($B187+IF($R$17="Distrato",$I$38-1,0)),IF(AND($L$37=0,$P$34=0),"",$L$37-1),IF($R$17="Distrato",$E187,0))),0,YEARFRAC(MAX($P$34*($B187+IF($R$17="Distrato",$I$38-1,0)),IF(AND($L$37=0,$P$34=0),"",$L$37-1),IF($R$17="Distrato",$E187,0)),MIN(AV$38,$D$19),$P$20))-SUM($P187:AU187)</f>
        <v>#VALUE!</v>
      </c>
      <c r="AW187" s="446" t="e">
        <f>IF(OR($B187="",MIN(AW$38,$D$19)&lt;MAX($P$34*($B187+IF($R$17="Distrato",$I$38-1,0)),IF(AND($L$37=0,$P$34=0),"",$L$37-1),IF($R$17="Distrato",$E187,0))),0,YEARFRAC(MAX($P$34*($B187+IF($R$17="Distrato",$I$38-1,0)),IF(AND($L$37=0,$P$34=0),"",$L$37-1),IF($R$17="Distrato",$E187,0)),MIN(AW$38,$D$19),$P$20))-SUM($P187:AV187)</f>
        <v>#VALUE!</v>
      </c>
      <c r="AX187" s="446" t="e">
        <f>IF(OR($B187="",MIN(AX$38,$D$19)&lt;MAX($P$34*($B187+IF($R$17="Distrato",$I$38-1,0)),IF(AND($L$37=0,$P$34=0),"",$L$37-1),IF($R$17="Distrato",$E187,0))),0,YEARFRAC(MAX($P$34*($B187+IF($R$17="Distrato",$I$38-1,0)),IF(AND($L$37=0,$P$34=0),"",$L$37-1),IF($R$17="Distrato",$E187,0)),MIN(AX$38,$D$19),$P$20))-SUM($P187:AW187)</f>
        <v>#VALUE!</v>
      </c>
      <c r="AY187" s="446" t="e">
        <f>IF(OR($B187="",MIN(AY$38,$D$19)&lt;MAX($P$34*($B187+IF($R$17="Distrato",$I$38-1,0)),IF(AND($L$37=0,$P$34=0),"",$L$37-1),IF($R$17="Distrato",$E187,0))),0,YEARFRAC(MAX($P$34*($B187+IF($R$17="Distrato",$I$38-1,0)),IF(AND($L$37=0,$P$34=0),"",$L$37-1),IF($R$17="Distrato",$E187,0)),MIN(AY$38,$D$19),$P$20))-SUM($P187:AX187)</f>
        <v>#VALUE!</v>
      </c>
      <c r="AZ187" s="446" t="e">
        <f>IF(OR($B187="",MIN(AZ$38,$D$19)&lt;MAX($P$34*($B187+IF($R$17="Distrato",$I$38-1,0)),IF(AND($L$37=0,$P$34=0),"",$L$37-1),IF($R$17="Distrato",$E187,0))),0,YEARFRAC(MAX($P$34*($B187+IF($R$17="Distrato",$I$38-1,0)),IF(AND($L$37=0,$P$34=0),"",$L$37-1),IF($R$17="Distrato",$E187,0)),MIN(AZ$38,$D$19),$P$20))-SUM($P187:AY187)</f>
        <v>#VALUE!</v>
      </c>
      <c r="BA187" s="446" t="e">
        <f>IF(OR($B187="",MIN(BA$38,$D$19)&lt;MAX($P$34*($B187+IF($R$17="Distrato",$I$38-1,0)),IF(AND($L$37=0,$P$34=0),"",$L$37-1),IF($R$17="Distrato",$E187,0))),0,YEARFRAC(MAX($P$34*($B187+IF($R$17="Distrato",$I$38-1,0)),IF(AND($L$37=0,$P$34=0),"",$L$37-1),IF($R$17="Distrato",$E187,0)),MIN(BA$38,$D$19),$P$20))-SUM($P187:AZ187)</f>
        <v>#VALUE!</v>
      </c>
      <c r="BB187" s="447"/>
      <c r="BF187" s="446">
        <f t="shared" si="32"/>
        <v>0</v>
      </c>
      <c r="BG187" s="446">
        <f>IF($E187=0,0,IF(MIN(BG$38,$E187)&lt;MAX($P$34*($B187+$I$38-1),IF(AND($L$37=0,$P$34=0),"",$L$37-1)),0,YEARFRAC(MAX($P$34*($B187+$I$38-1),IF(AND($L$37=0,$P$34=0),"",$L$37-1)),MIN(BG$38,$E187),$P$20))-SUM($BF187:BF187))</f>
        <v>0</v>
      </c>
      <c r="BH187" s="446">
        <f>IF($E187=0,0,IF(MIN(BH$38,$E187)&lt;MAX($P$34*($B187+$I$38-1),IF(AND($L$37=0,$P$34=0),"",$L$37-1)),0,YEARFRAC(MAX($P$34*($B187+$I$38-1),IF(AND($L$37=0,$P$34=0),"",$L$37-1)),MIN(BH$38,$E187),$P$20))-SUM($BF187:BG187))</f>
        <v>0</v>
      </c>
      <c r="BI187" s="446">
        <f>IF($E187=0,0,IF(MIN(BI$38,$E187)&lt;MAX($P$34*($B187+$I$38-1),IF(AND($L$37=0,$P$34=0),"",$L$37-1)),0,YEARFRAC(MAX($P$34*($B187+$I$38-1),IF(AND($L$37=0,$P$34=0),"",$L$37-1)),MIN(BI$38,$E187),$P$20))-SUM($BF187:BH187))</f>
        <v>0</v>
      </c>
      <c r="BJ187" s="446">
        <f>IF($E187=0,0,IF(MIN(BJ$38,$E187)&lt;MAX($P$34*($B187+$I$38-1),IF(AND($L$37=0,$P$34=0),"",$L$37-1)),0,YEARFRAC(MAX($P$34*($B187+$I$38-1),IF(AND($L$37=0,$P$34=0),"",$L$37-1)),MIN(BJ$38,$E187),$P$20))-SUM($BF187:BI187))</f>
        <v>0</v>
      </c>
      <c r="BK187" s="446">
        <f>IF($E187=0,0,IF(MIN(BK$38,$E187)&lt;MAX($P$34*($B187+$I$38-1),IF(AND($L$37=0,$P$34=0),"",$L$37-1)),0,YEARFRAC(MAX($P$34*($B187+$I$38-1),IF(AND($L$37=0,$P$34=0),"",$L$37-1)),MIN(BK$38,$E187),$P$20))-SUM($BF187:BJ187))</f>
        <v>0</v>
      </c>
      <c r="BL187" s="446">
        <f>IF($E187=0,0,IF(MIN(BL$38,$E187)&lt;MAX($P$34*($B187+$I$38-1),IF(AND($L$37=0,$P$34=0),"",$L$37-1)),0,YEARFRAC(MAX($P$34*($B187+$I$38-1),IF(AND($L$37=0,$P$34=0),"",$L$37-1)),MIN(BL$38,$E187),$P$20))-SUM($BF187:BK187))</f>
        <v>0</v>
      </c>
      <c r="BM187" s="446">
        <f>IF($E187=0,0,IF(MIN(BM$38,$E187)&lt;MAX($P$34*($B187+$I$38-1),IF(AND($L$37=0,$P$34=0),"",$L$37-1)),0,YEARFRAC(MAX($P$34*($B187+$I$38-1),IF(AND($L$37=0,$P$34=0),"",$L$37-1)),MIN(BM$38,$E187),$P$20))-SUM($BF187:BL187))</f>
        <v>0</v>
      </c>
      <c r="BN187" s="446">
        <f>IF($E187=0,0,IF(MIN(BN$38,$E187)&lt;MAX($P$34*($B187+$I$38-1),IF(AND($L$37=0,$P$34=0),"",$L$37-1)),0,YEARFRAC(MAX($P$34*($B187+$I$38-1),IF(AND($L$37=0,$P$34=0),"",$L$37-1)),MIN(BN$38,$E187),$P$20))-SUM($BF187:BM187))</f>
        <v>0</v>
      </c>
      <c r="BO187" s="446">
        <f>IF($E187=0,0,IF(MIN(BO$38,$E187)&lt;MAX($P$34*($B187+$I$38-1),IF(AND($L$37=0,$P$34=0),"",$L$37-1)),0,YEARFRAC(MAX($P$34*($B187+$I$38-1),IF(AND($L$37=0,$P$34=0),"",$L$37-1)),MIN(BO$38,$E187),$P$20))-SUM($BF187:BN187))</f>
        <v>0</v>
      </c>
      <c r="BP187" s="446">
        <f>IF($E187=0,0,IF(MIN(BP$38,$E187)&lt;MAX($P$34*($B187+$I$38-1),IF(AND($L$37=0,$P$34=0),"",$L$37-1)),0,YEARFRAC(MAX($P$34*($B187+$I$38-1),IF(AND($L$37=0,$P$34=0),"",$L$37-1)),MIN(BP$38,$E187),$P$20))-SUM($BF187:BO187))</f>
        <v>0</v>
      </c>
      <c r="BQ187" s="446">
        <f>IF($E187=0,0,IF(MIN(BQ$38,$E187)&lt;MAX($P$34*($B187+$I$38-1),IF(AND($L$37=0,$P$34=0),"",$L$37-1)),0,YEARFRAC(MAX($P$34*($B187+$I$38-1),IF(AND($L$37=0,$P$34=0),"",$L$37-1)),MIN(BQ$38,$E187),$P$20))-SUM($BF187:BP187))</f>
        <v>0</v>
      </c>
      <c r="BR187" s="446">
        <f>IF($E187=0,0,IF(MIN(BR$38,$E187)&lt;MAX($P$34*($B187+$I$38-1),IF(AND($L$37=0,$P$34=0),"",$L$37-1)),0,YEARFRAC(MAX($P$34*($B187+$I$38-1),IF(AND($L$37=0,$P$34=0),"",$L$37-1)),MIN(BR$38,$E187),$P$20))-SUM($BF187:BQ187))</f>
        <v>0</v>
      </c>
      <c r="BS187" s="446">
        <f>IF($E187=0,0,IF(MIN(BS$38,$E187)&lt;MAX($P$34*($B187+$I$38-1),IF(AND($L$37=0,$P$34=0),"",$L$37-1)),0,YEARFRAC(MAX($P$34*($B187+$I$38-1),IF(AND($L$37=0,$P$34=0),"",$L$37-1)),MIN(BS$38,$E187),$P$20))-SUM($BF187:BR187))</f>
        <v>0</v>
      </c>
      <c r="BT187" s="446">
        <f>IF($E187=0,0,IF(MIN(BT$38,$E187)&lt;MAX($P$34*($B187+$I$38-1),IF(AND($L$37=0,$P$34=0),"",$L$37-1)),0,YEARFRAC(MAX($P$34*($B187+$I$38-1),IF(AND($L$37=0,$P$34=0),"",$L$37-1)),MIN(BT$38,$E187),$P$20))-SUM($BF187:BS187))</f>
        <v>0</v>
      </c>
      <c r="BU187" s="446">
        <f>IF($E187=0,0,IF(MIN(BU$38,$E187)&lt;MAX($P$34*($B187+$I$38-1),IF(AND($L$37=0,$P$34=0),"",$L$37-1)),0,YEARFRAC(MAX($P$34*($B187+$I$38-1),IF(AND($L$37=0,$P$34=0),"",$L$37-1)),MIN(BU$38,$E187),$P$20))-SUM($BF187:BT187))</f>
        <v>0</v>
      </c>
      <c r="BV187" s="446">
        <f>IF($E187=0,0,IF(MIN(BV$38,$E187)&lt;MAX($P$34*($B187+$I$38-1),IF(AND($L$37=0,$P$34=0),"",$L$37-1)),0,YEARFRAC(MAX($P$34*($B187+$I$38-1),IF(AND($L$37=0,$P$34=0),"",$L$37-1)),MIN(BV$38,$E187),$P$20))-SUM($BF187:BU187))</f>
        <v>0</v>
      </c>
      <c r="BW187" s="446">
        <f>IF($E187=0,0,IF(MIN(BW$38,$E187)&lt;MAX($P$34*($B187+$I$38-1),IF(AND($L$37=0,$P$34=0),"",$L$37-1)),0,YEARFRAC(MAX($P$34*($B187+$I$38-1),IF(AND($L$37=0,$P$34=0),"",$L$37-1)),MIN(BW$38,$E187),$P$20))-SUM($BF187:BV187))</f>
        <v>0</v>
      </c>
      <c r="BX187" s="446">
        <f>IF($E187=0,0,IF(MIN(BX$38,$E187)&lt;MAX($P$34*($B187+$I$38-1),IF(AND($L$37=0,$P$34=0),"",$L$37-1)),0,YEARFRAC(MAX($P$34*($B187+$I$38-1),IF(AND($L$37=0,$P$34=0),"",$L$37-1)),MIN(BX$38,$E187),$P$20))-SUM($BF187:BW187))</f>
        <v>0</v>
      </c>
      <c r="BY187" s="446">
        <f>IF($E187=0,0,IF(MIN(BY$38,$E187)&lt;MAX($P$34*($B187+$I$38-1),IF(AND($L$37=0,$P$34=0),"",$L$37-1)),0,YEARFRAC(MAX($P$34*($B187+$I$38-1),IF(AND($L$37=0,$P$34=0),"",$L$37-1)),MIN(BY$38,$E187),$P$20))-SUM($BF187:BX187))</f>
        <v>0</v>
      </c>
      <c r="BZ187" s="446">
        <f>IF($E187=0,0,IF(MIN(BZ$38,$E187)&lt;MAX($P$34*($B187+$I$38-1),IF(AND($L$37=0,$P$34=0),"",$L$37-1)),0,YEARFRAC(MAX($P$34*($B187+$I$38-1),IF(AND($L$37=0,$P$34=0),"",$L$37-1)),MIN(BZ$38,$E187),$P$20))-SUM($BF187:BY187))</f>
        <v>0</v>
      </c>
      <c r="CA187" s="446">
        <f>IF($E187=0,0,IF(MIN(CA$38,$E187)&lt;MAX($P$34*($B187+$I$38-1),IF(AND($L$37=0,$P$34=0),"",$L$37-1)),0,YEARFRAC(MAX($P$34*($B187+$I$38-1),IF(AND($L$37=0,$P$34=0),"",$L$37-1)),MIN(CA$38,$E187),$P$20))-SUM($BF187:BZ187))</f>
        <v>0</v>
      </c>
      <c r="CB187" s="446">
        <f>IF($E187=0,0,IF(MIN(CB$38,$E187)&lt;MAX($P$34*($B187+$I$38-1),IF(AND($L$37=0,$P$34=0),"",$L$37-1)),0,YEARFRAC(MAX($P$34*($B187+$I$38-1),IF(AND($L$37=0,$P$34=0),"",$L$37-1)),MIN(CB$38,$E187),$P$20))-SUM($BF187:CA187))</f>
        <v>0</v>
      </c>
      <c r="CC187" s="446">
        <f>IF($E187=0,0,IF(MIN(CC$38,$E187)&lt;MAX($P$34*($B187+$I$38-1),IF(AND($L$37=0,$P$34=0),"",$L$37-1)),0,YEARFRAC(MAX($P$34*($B187+$I$38-1),IF(AND($L$37=0,$P$34=0),"",$L$37-1)),MIN(CC$38,$E187),$P$20))-SUM($BF187:CB187))</f>
        <v>0</v>
      </c>
      <c r="CD187" s="446">
        <f>IF($E187=0,0,IF(MIN(CD$38,$E187)&lt;MAX($P$34*($B187+$I$38-1),IF(AND($L$37=0,$P$34=0),"",$L$37-1)),0,YEARFRAC(MAX($P$34*($B187+$I$38-1),IF(AND($L$37=0,$P$34=0),"",$L$37-1)),MIN(CD$38,$E187),$P$20))-SUM($BF187:CC187))</f>
        <v>0</v>
      </c>
      <c r="CE187" s="446">
        <f>IF($E187=0,0,IF(MIN(CE$38,$E187)&lt;MAX($P$34*($B187+$I$38-1),IF(AND($L$37=0,$P$34=0),"",$L$37-1)),0,YEARFRAC(MAX($P$34*($B187+$I$38-1),IF(AND($L$37=0,$P$34=0),"",$L$37-1)),MIN(CE$38,$E187),$P$20))-SUM($BF187:CD187))</f>
        <v>0</v>
      </c>
      <c r="CF187" s="446">
        <f>IF($E187=0,0,IF(MIN(CF$38,$E187)&lt;MAX($P$34*($B187+$I$38-1),IF(AND($L$37=0,$P$34=0),"",$L$37-1)),0,YEARFRAC(MAX($P$34*($B187+$I$38-1),IF(AND($L$37=0,$P$34=0),"",$L$37-1)),MIN(CF$38,$E187),$P$20))-SUM($BF187:CE187))</f>
        <v>0</v>
      </c>
      <c r="CG187" s="446">
        <f>IF($E187=0,0,IF(MIN(CG$38,$E187)&lt;MAX($P$34*($B187+$I$38-1),IF(AND($L$37=0,$P$34=0),"",$L$37-1)),0,YEARFRAC(MAX($P$34*($B187+$I$38-1),IF(AND($L$37=0,$P$34=0),"",$L$37-1)),MIN(CG$38,$E187),$P$20))-SUM($BF187:CF187))</f>
        <v>0</v>
      </c>
      <c r="CH187" s="446">
        <f>IF($E187=0,0,IF(MIN(CH$38,$E187)&lt;MAX($P$34*($B187+$I$38-1),IF(AND($L$37=0,$P$34=0),"",$L$37-1)),0,YEARFRAC(MAX($P$34*($B187+$I$38-1),IF(AND($L$37=0,$P$34=0),"",$L$37-1)),MIN(CH$38,$E187),$P$20))-SUM($BF187:CG187))</f>
        <v>0</v>
      </c>
      <c r="CI187" s="446">
        <f>IF($E187=0,0,IF(MIN(CI$38,$E187)&lt;MAX($P$34*($B187+$I$38-1),IF(AND($L$37=0,$P$34=0),"",$L$37-1)),0,YEARFRAC(MAX($P$34*($B187+$I$38-1),IF(AND($L$37=0,$P$34=0),"",$L$37-1)),MIN(CI$38,$E187),$P$20))-SUM($BF187:CH187))</f>
        <v>0</v>
      </c>
      <c r="CJ187" s="446">
        <f>IF($E187=0,0,IF(MIN(CJ$38,$E187)&lt;MAX($P$34*($B187+$I$38-1),IF(AND($L$37=0,$P$34=0),"",$L$37-1)),0,YEARFRAC(MAX($P$34*($B187+$I$38-1),IF(AND($L$37=0,$P$34=0),"",$L$37-1)),MIN(CJ$38,$E187),$P$20))-SUM($BF187:CI187))</f>
        <v>0</v>
      </c>
      <c r="CK187" s="446">
        <f>IF($E187=0,0,IF(MIN(CK$38,$E187)&lt;MAX($P$34*($B187+$I$38-1),IF(AND($L$37=0,$P$34=0),"",$L$37-1)),0,YEARFRAC(MAX($P$34*($B187+$I$38-1),IF(AND($L$37=0,$P$34=0),"",$L$37-1)),MIN(CK$38,$E187),$P$20))-SUM($BF187:CJ187))</f>
        <v>0</v>
      </c>
      <c r="CL187" s="446">
        <f>IF($E187=0,0,IF(MIN(CL$38,$E187)&lt;MAX($P$34*($B187+$I$38-1),IF(AND($L$37=0,$P$34=0),"",$L$37-1)),0,YEARFRAC(MAX($P$34*($B187+$I$38-1),IF(AND($L$37=0,$P$34=0),"",$L$37-1)),MIN(CL$38,$E187),$P$20))-SUM($BF187:CK187))</f>
        <v>0</v>
      </c>
      <c r="CM187" s="446">
        <f>IF($E187=0,0,IF(MIN(CM$38,$E187)&lt;MAX($P$34*($B187+$I$38-1),IF(AND($L$37=0,$P$34=0),"",$L$37-1)),0,YEARFRAC(MAX($P$34*($B187+$I$38-1),IF(AND($L$37=0,$P$34=0),"",$L$37-1)),MIN(CM$38,$E187),$P$20))-SUM($BF187:CL187))</f>
        <v>0</v>
      </c>
      <c r="CN187" s="446">
        <f>IF($E187=0,0,IF(MIN(CN$38,$E187)&lt;MAX($P$34*($B187+$I$38-1),IF(AND($L$37=0,$P$34=0),"",$L$37-1)),0,YEARFRAC(MAX($P$34*($B187+$I$38-1),IF(AND($L$37=0,$P$34=0),"",$L$37-1)),MIN(CN$38,$E187),$P$20))-SUM($BF187:CM187))</f>
        <v>0</v>
      </c>
      <c r="CO187" s="446">
        <f>IF($E187=0,0,IF(MIN(CO$38,$E187)&lt;MAX($P$34*($B187+$I$38-1),IF(AND($L$37=0,$P$34=0),"",$L$37-1)),0,YEARFRAC(MAX($P$34*($B187+$I$38-1),IF(AND($L$37=0,$P$34=0),"",$L$37-1)),MIN(CO$38,$E187),$P$20))-SUM($BF187:CN187))</f>
        <v>0</v>
      </c>
      <c r="CP187" s="446">
        <f>IF($E187=0,0,IF(MIN(CP$38,$E187)&lt;MAX($P$34*($B187+$I$38-1),IF(AND($L$37=0,$P$34=0),"",$L$37-1)),0,YEARFRAC(MAX($P$34*($B187+$I$38-1),IF(AND($L$37=0,$P$34=0),"",$L$37-1)),MIN(CP$38,$E187),$P$20))-SUM($BF187:CO187))</f>
        <v>0</v>
      </c>
      <c r="CQ187" s="446">
        <f>IF($E187=0,0,IF(MIN(CQ$38,$E187)&lt;MAX($P$34*($B187+$I$38-1),IF(AND($L$37=0,$P$34=0),"",$L$37-1)),0,YEARFRAC(MAX($P$34*($B187+$I$38-1),IF(AND($L$37=0,$P$34=0),"",$L$37-1)),MIN(CQ$38,$E187),$P$20))-SUM($BF187:CP187))</f>
        <v>0</v>
      </c>
    </row>
    <row r="188" spans="1:95" s="446" customFormat="1" ht="11.25" hidden="1" customHeight="1" x14ac:dyDescent="0.2">
      <c r="A188" s="152"/>
      <c r="B188" s="153" t="str">
        <f t="shared" si="37"/>
        <v/>
      </c>
      <c r="C188" s="29" t="str">
        <f>IF(B188="","",IF($L$35="SELIC - TRIBUTOS",VLOOKUP(DATE(YEAR($D$19),MONTH($D$19)-1,1),ÍNDICES!$A:$DE,HLOOKUP($BL$25,ÍNDICES!$B$3:$T$4,2)+11)-VLOOKUP(B188,ÍNDICES!$A:$DE,HLOOKUP($BL$25,ÍNDICES!$B$3:$T$4,2)+11)+1%,IF(C$38=$W$26,$J$35,IF(ISERROR(IF(B188&gt;$D$19,1,VLOOKUP(DATE(YEAR(B188),MONTH(B188)+IF($C$35=$S$23,1,0),1),ÍNDICES!$A:$DE,$Z$35+1))),"",IF(B188&gt;$D$19,1,VLOOKUP(DATE(YEAR(B188),MONTH(B188)+IF($C$35=$S$23,1,0),1),ÍNDICES!$A:$DE,$Z$35+1))))))</f>
        <v/>
      </c>
      <c r="D188" s="154" t="str">
        <f>IF(ISERROR(IF(OR($D$38=$Y$27,$B188=""),"",VLOOKUP(B188,ÍNDICES!A:DE,AF$35+1))),"",IF(OR($D$38=$Y$27,$B188=""),"",VLOOKUP(B188,ÍNDICES!A:DE,AF$35+1)))</f>
        <v/>
      </c>
      <c r="E188" s="153"/>
      <c r="F188" s="29" t="str">
        <f>IF(E188="","",IF($L$35="SELIC - TRIBUTOS",VLOOKUP(DATE(YEAR($D$19),MONTH($D$19)-1,1),ÍNDICES!$A:$DE,HLOOKUP($BL$25,ÍNDICES!$B$3:$T$4,2)+11)-VLOOKUP(E188,ÍNDICES!$A:$DE,HLOOKUP($BL$25,ÍNDICES!$B$3:$T$4,2)+11)+1%,IF(F$38=$W$26,$J$35,IF(ISERROR(IF(E188&gt;$D$19,1,VLOOKUP(DATE(YEAR(E188),MONTH(E188)+IF($C$35=$S$23,1,0),1),ÍNDICES!$A:$DE,$Z$35+1))),"",IF(E188&gt;$D$19,1,VLOOKUP(DATE(YEAR(E188),MONTH(E188)+IF($C$35=$S$23,1,0),1),ÍNDICES!$A:$DE,$Z$35+1))))))</f>
        <v/>
      </c>
      <c r="G188" s="155"/>
      <c r="H188" s="156" t="str">
        <f t="shared" si="33"/>
        <v/>
      </c>
      <c r="I188" s="29" t="str">
        <f t="shared" si="27"/>
        <v/>
      </c>
      <c r="J188" s="5">
        <f t="shared" si="28"/>
        <v>0</v>
      </c>
      <c r="K188" s="20">
        <f t="shared" ca="1" si="29"/>
        <v>0</v>
      </c>
      <c r="L188" s="5">
        <f t="shared" ca="1" si="30"/>
        <v>0</v>
      </c>
      <c r="M188" s="64">
        <f t="shared" si="34"/>
        <v>0</v>
      </c>
      <c r="N188" s="61">
        <f t="shared" ca="1" si="35"/>
        <v>0</v>
      </c>
      <c r="O188" s="5">
        <f t="shared" ca="1" si="36"/>
        <v>0</v>
      </c>
      <c r="P188" s="446" t="e">
        <f t="shared" si="31"/>
        <v>#VALUE!</v>
      </c>
      <c r="Q188" s="446" t="e">
        <f>IF(OR($B188="",MIN(Q$38,$D$19)&lt;MAX($P$34*($B188+IF($R$17="Distrato",$I$38-1,0)),IF(AND($L$37=0,$P$34=0),"",$L$37-1),IF($R$17="Distrato",$E188,0))),0,YEARFRAC(MAX($P$34*($B188+IF($R$17="Distrato",$I$38-1,0)),IF(AND($L$37=0,$P$34=0),"",$L$37-1),IF($R$17="Distrato",$E188,0)),MIN(Q$38,$D$19),$P$20))-SUM($P188:P188)</f>
        <v>#VALUE!</v>
      </c>
      <c r="R188" s="446" t="e">
        <f>IF(OR($B188="",MIN(R$38,$D$19)&lt;MAX($P$34*($B188+IF($R$17="Distrato",$I$38-1,0)),IF(AND($L$37=0,$P$34=0),"",$L$37-1),IF($R$17="Distrato",$E188,0))),0,YEARFRAC(MAX($P$34*($B188+IF($R$17="Distrato",$I$38-1,0)),IF(AND($L$37=0,$P$34=0),"",$L$37-1),IF($R$17="Distrato",$E188,0)),MIN(R$38,$D$19),$P$20))-SUM($P188:Q188)</f>
        <v>#VALUE!</v>
      </c>
      <c r="S188" s="446" t="e">
        <f>IF(OR($B188="",MIN(S$38,$D$19)&lt;MAX($P$34*($B188+IF($R$17="Distrato",$I$38-1,0)),IF(AND($L$37=0,$P$34=0),"",$L$37-1),IF($R$17="Distrato",$E188,0))),0,YEARFRAC(MAX($P$34*($B188+IF($R$17="Distrato",$I$38-1,0)),IF(AND($L$37=0,$P$34=0),"",$L$37-1),IF($R$17="Distrato",$E188,0)),MIN(S$38,$D$19),$P$20))-SUM($P188:R188)</f>
        <v>#VALUE!</v>
      </c>
      <c r="T188" s="446" t="e">
        <f>IF(OR($B188="",MIN(T$38,$D$19)&lt;MAX($P$34*($B188+IF($R$17="Distrato",$I$38-1,0)),IF(AND($L$37=0,$P$34=0),"",$L$37-1),IF($R$17="Distrato",$E188,0))),0,YEARFRAC(MAX($P$34*($B188+IF($R$17="Distrato",$I$38-1,0)),IF(AND($L$37=0,$P$34=0),"",$L$37-1),IF($R$17="Distrato",$E188,0)),MIN(T$38,$D$19),$P$20))-SUM($P188:S188)</f>
        <v>#VALUE!</v>
      </c>
      <c r="U188" s="446" t="e">
        <f>IF(OR($B188="",MIN(U$38,$D$19)&lt;MAX($P$34*($B188+IF($R$17="Distrato",$I$38-1,0)),IF(AND($L$37=0,$P$34=0),"",$L$37-1),IF($R$17="Distrato",$E188,0))),0,YEARFRAC(MAX($P$34*($B188+IF($R$17="Distrato",$I$38-1,0)),IF(AND($L$37=0,$P$34=0),"",$L$37-1),IF($R$17="Distrato",$E188,0)),MIN(U$38,$D$19),$P$20))-SUM($P188:T188)</f>
        <v>#VALUE!</v>
      </c>
      <c r="V188" s="446" t="e">
        <f>IF(OR($B188="",MIN(V$38,$D$19)&lt;MAX($P$34*($B188+IF($R$17="Distrato",$I$38-1,0)),IF(AND($L$37=0,$P$34=0),"",$L$37-1),IF($R$17="Distrato",$E188,0))),0,YEARFRAC(MAX($P$34*($B188+IF($R$17="Distrato",$I$38-1,0)),IF(AND($L$37=0,$P$34=0),"",$L$37-1),IF($R$17="Distrato",$E188,0)),MIN(V$38,$D$19),$P$20))-SUM($P188:U188)</f>
        <v>#VALUE!</v>
      </c>
      <c r="W188" s="446" t="e">
        <f>IF(OR($B188="",MIN(W$38,$D$19)&lt;MAX($P$34*($B188+IF($R$17="Distrato",$I$38-1,0)),IF(AND($L$37=0,$P$34=0),"",$L$37-1),IF($R$17="Distrato",$E188,0))),0,YEARFRAC(MAX($P$34*($B188+IF($R$17="Distrato",$I$38-1,0)),IF(AND($L$37=0,$P$34=0),"",$L$37-1),IF($R$17="Distrato",$E188,0)),MIN(W$38,$D$19),$P$20))-SUM($P188:V188)</f>
        <v>#VALUE!</v>
      </c>
      <c r="X188" s="446" t="e">
        <f>IF(OR($B188="",MIN(X$38,$D$19)&lt;MAX($P$34*($B188+IF($R$17="Distrato",$I$38-1,0)),IF(AND($L$37=0,$P$34=0),"",$L$37-1),IF($R$17="Distrato",$E188,0))),0,YEARFRAC(MAX($P$34*($B188+IF($R$17="Distrato",$I$38-1,0)),IF(AND($L$37=0,$P$34=0),"",$L$37-1),IF($R$17="Distrato",$E188,0)),MIN(X$38,$D$19),$P$20))-SUM($P188:W188)</f>
        <v>#VALUE!</v>
      </c>
      <c r="Y188" s="446" t="e">
        <f>IF(OR($B188="",MIN(Y$38,$D$19)&lt;MAX($P$34*($B188+IF($R$17="Distrato",$I$38-1,0)),IF(AND($L$37=0,$P$34=0),"",$L$37-1),IF($R$17="Distrato",$E188,0))),0,YEARFRAC(MAX($P$34*($B188+IF($R$17="Distrato",$I$38-1,0)),IF(AND($L$37=0,$P$34=0),"",$L$37-1),IF($R$17="Distrato",$E188,0)),MIN(Y$38,$D$19),$P$20))-SUM($P188:X188)</f>
        <v>#VALUE!</v>
      </c>
      <c r="Z188" s="446" t="e">
        <f>IF(OR($B188="",MIN(Z$38,$D$19)&lt;MAX($P$34*($B188+IF($R$17="Distrato",$I$38-1,0)),IF(AND($L$37=0,$P$34=0),"",$L$37-1),IF($R$17="Distrato",$E188,0))),0,YEARFRAC(MAX($P$34*($B188+IF($R$17="Distrato",$I$38-1,0)),IF(AND($L$37=0,$P$34=0),"",$L$37-1),IF($R$17="Distrato",$E188,0)),MIN(Z$38,$D$19),$P$20))-SUM($P188:Y188)</f>
        <v>#VALUE!</v>
      </c>
      <c r="AA188" s="446" t="e">
        <f>IF(OR($B188="",MIN(AA$38,$D$19)&lt;MAX($P$34*($B188+IF($R$17="Distrato",$I$38-1,0)),IF(AND($L$37=0,$P$34=0),"",$L$37-1),IF($R$17="Distrato",$E188,0))),0,YEARFRAC(MAX($P$34*($B188+IF($R$17="Distrato",$I$38-1,0)),IF(AND($L$37=0,$P$34=0),"",$L$37-1),IF($R$17="Distrato",$E188,0)),MIN(AA$38,$D$19),$P$20))-SUM($P188:Z188)</f>
        <v>#VALUE!</v>
      </c>
      <c r="AB188" s="446" t="e">
        <f>IF(OR($B188="",MIN(AB$38,$D$19)&lt;MAX($P$34*($B188+IF($R$17="Distrato",$I$38-1,0)),IF(AND($L$37=0,$P$34=0),"",$L$37-1),IF($R$17="Distrato",$E188,0))),0,YEARFRAC(MAX($P$34*($B188+IF($R$17="Distrato",$I$38-1,0)),IF(AND($L$37=0,$P$34=0),"",$L$37-1),IF($R$17="Distrato",$E188,0)),MIN(AB$38,$D$19),$P$20))-SUM($P188:AA188)</f>
        <v>#VALUE!</v>
      </c>
      <c r="AC188" s="446" t="e">
        <f>IF(OR($B188="",MIN(AC$38,$D$19)&lt;MAX($P$34*($B188+IF($R$17="Distrato",$I$38-1,0)),IF(AND($L$37=0,$P$34=0),"",$L$37-1),IF($R$17="Distrato",$E188,0))),0,YEARFRAC(MAX($P$34*($B188+IF($R$17="Distrato",$I$38-1,0)),IF(AND($L$37=0,$P$34=0),"",$L$37-1),IF($R$17="Distrato",$E188,0)),MIN(AC$38,$D$19),$P$20))-SUM($P188:AB188)</f>
        <v>#VALUE!</v>
      </c>
      <c r="AD188" s="446" t="e">
        <f>IF(OR($B188="",MIN(AD$38,$D$19)&lt;MAX($P$34*($B188+IF($R$17="Distrato",$I$38-1,0)),IF(AND($L$37=0,$P$34=0),"",$L$37-1),IF($R$17="Distrato",$E188,0))),0,YEARFRAC(MAX($P$34*($B188+IF($R$17="Distrato",$I$38-1,0)),IF(AND($L$37=0,$P$34=0),"",$L$37-1),IF($R$17="Distrato",$E188,0)),MIN(AD$38,$D$19),$P$20))-SUM($P188:AC188)</f>
        <v>#VALUE!</v>
      </c>
      <c r="AE188" s="446" t="e">
        <f>IF(OR($B188="",MIN(AE$38,$D$19)&lt;MAX($P$34*($B188+IF($R$17="Distrato",$I$38-1,0)),IF(AND($L$37=0,$P$34=0),"",$L$37-1),IF($R$17="Distrato",$E188,0))),0,YEARFRAC(MAX($P$34*($B188+IF($R$17="Distrato",$I$38-1,0)),IF(AND($L$37=0,$P$34=0),"",$L$37-1),IF($R$17="Distrato",$E188,0)),MIN(AE$38,$D$19),$P$20))-SUM($P188:AD188)</f>
        <v>#VALUE!</v>
      </c>
      <c r="AF188" s="446" t="e">
        <f>IF(OR($B188="",MIN(AF$38,$D$19)&lt;MAX($P$34*($B188+IF($R$17="Distrato",$I$38-1,0)),IF(AND($L$37=0,$P$34=0),"",$L$37-1),IF($R$17="Distrato",$E188,0))),0,YEARFRAC(MAX($P$34*($B188+IF($R$17="Distrato",$I$38-1,0)),IF(AND($L$37=0,$P$34=0),"",$L$37-1),IF($R$17="Distrato",$E188,0)),MIN(AF$38,$D$19),$P$20))-SUM($P188:AE188)</f>
        <v>#VALUE!</v>
      </c>
      <c r="AG188" s="446" t="e">
        <f>IF(OR($B188="",MIN(AG$38,$D$19)&lt;MAX($P$34*($B188+IF($R$17="Distrato",$I$38-1,0)),IF(AND($L$37=0,$P$34=0),"",$L$37-1),IF($R$17="Distrato",$E188,0))),0,YEARFRAC(MAX($P$34*($B188+IF($R$17="Distrato",$I$38-1,0)),IF(AND($L$37=0,$P$34=0),"",$L$37-1),IF($R$17="Distrato",$E188,0)),MIN(AG$38,$D$19),$P$20))-SUM($P188:AF188)</f>
        <v>#VALUE!</v>
      </c>
      <c r="AH188" s="446" t="e">
        <f>IF(OR($B188="",MIN(AH$38,$D$19)&lt;MAX($P$34*($B188+IF($R$17="Distrato",$I$38-1,0)),IF(AND($L$37=0,$P$34=0),"",$L$37-1),IF($R$17="Distrato",$E188,0))),0,YEARFRAC(MAX($P$34*($B188+IF($R$17="Distrato",$I$38-1,0)),IF(AND($L$37=0,$P$34=0),"",$L$37-1),IF($R$17="Distrato",$E188,0)),MIN(AH$38,$D$19),$P$20))-SUM($P188:AG188)</f>
        <v>#VALUE!</v>
      </c>
      <c r="AI188" s="446" t="e">
        <f>IF(OR($B188="",MIN(AI$38,$D$19)&lt;MAX($P$34*($B188+IF($R$17="Distrato",$I$38-1,0)),IF(AND($L$37=0,$P$34=0),"",$L$37-1),IF($R$17="Distrato",$E188,0))),0,YEARFRAC(MAX($P$34*($B188+IF($R$17="Distrato",$I$38-1,0)),IF(AND($L$37=0,$P$34=0),"",$L$37-1),IF($R$17="Distrato",$E188,0)),MIN(AI$38,$D$19),$P$20))-SUM($P188:AH188)</f>
        <v>#VALUE!</v>
      </c>
      <c r="AJ188" s="446" t="e">
        <f>IF(OR($B188="",MIN(AJ$38,$D$19)&lt;MAX($P$34*($B188+IF($R$17="Distrato",$I$38-1,0)),IF(AND($L$37=0,$P$34=0),"",$L$37-1),IF($R$17="Distrato",$E188,0))),0,YEARFRAC(MAX($P$34*($B188+IF($R$17="Distrato",$I$38-1,0)),IF(AND($L$37=0,$P$34=0),"",$L$37-1),IF($R$17="Distrato",$E188,0)),MIN(AJ$38,$D$19),$P$20))-SUM($P188:AI188)</f>
        <v>#VALUE!</v>
      </c>
      <c r="AK188" s="446" t="e">
        <f>IF(OR($B188="",MIN(AK$38,$D$19)&lt;MAX($P$34*($B188+IF($R$17="Distrato",$I$38-1,0)),IF(AND($L$37=0,$P$34=0),"",$L$37-1),IF($R$17="Distrato",$E188,0))),0,YEARFRAC(MAX($P$34*($B188+IF($R$17="Distrato",$I$38-1,0)),IF(AND($L$37=0,$P$34=0),"",$L$37-1),IF($R$17="Distrato",$E188,0)),MIN(AK$38,$D$19),$P$20))-SUM($P188:AJ188)</f>
        <v>#VALUE!</v>
      </c>
      <c r="AL188" s="446" t="e">
        <f>IF(OR($B188="",MIN(AL$38,$D$19)&lt;MAX($P$34*($B188+IF($R$17="Distrato",$I$38-1,0)),IF(AND($L$37=0,$P$34=0),"",$L$37-1),IF($R$17="Distrato",$E188,0))),0,YEARFRAC(MAX($P$34*($B188+IF($R$17="Distrato",$I$38-1,0)),IF(AND($L$37=0,$P$34=0),"",$L$37-1),IF($R$17="Distrato",$E188,0)),MIN(AL$38,$D$19),$P$20))-SUM($P188:AK188)</f>
        <v>#VALUE!</v>
      </c>
      <c r="AM188" s="446" t="e">
        <f>IF(OR($B188="",MIN(AM$38,$D$19)&lt;MAX($P$34*($B188+IF($R$17="Distrato",$I$38-1,0)),IF(AND($L$37=0,$P$34=0),"",$L$37-1),IF($R$17="Distrato",$E188,0))),0,YEARFRAC(MAX($P$34*($B188+IF($R$17="Distrato",$I$38-1,0)),IF(AND($L$37=0,$P$34=0),"",$L$37-1),IF($R$17="Distrato",$E188,0)),MIN(AM$38,$D$19),$P$20))-SUM($P188:AL188)</f>
        <v>#VALUE!</v>
      </c>
      <c r="AN188" s="446" t="e">
        <f>IF(OR($B188="",MIN(AN$38,$D$19)&lt;MAX($P$34*($B188+IF($R$17="Distrato",$I$38-1,0)),IF(AND($L$37=0,$P$34=0),"",$L$37-1),IF($R$17="Distrato",$E188,0))),0,YEARFRAC(MAX($P$34*($B188+IF($R$17="Distrato",$I$38-1,0)),IF(AND($L$37=0,$P$34=0),"",$L$37-1),IF($R$17="Distrato",$E188,0)),MIN(AN$38,$D$19),$P$20))-SUM($P188:AM188)</f>
        <v>#VALUE!</v>
      </c>
      <c r="AO188" s="446" t="e">
        <f>IF(OR($B188="",MIN(AO$38,$D$19)&lt;MAX($P$34*($B188+IF($R$17="Distrato",$I$38-1,0)),IF(AND($L$37=0,$P$34=0),"",$L$37-1),IF($R$17="Distrato",$E188,0))),0,YEARFRAC(MAX($P$34*($B188+IF($R$17="Distrato",$I$38-1,0)),IF(AND($L$37=0,$P$34=0),"",$L$37-1),IF($R$17="Distrato",$E188,0)),MIN(AO$38,$D$19),$P$20))-SUM($P188:AN188)</f>
        <v>#VALUE!</v>
      </c>
      <c r="AP188" s="446" t="e">
        <f>IF(OR($B188="",MIN(AP$38,$D$19)&lt;MAX($P$34*($B188+IF($R$17="Distrato",$I$38-1,0)),IF(AND($L$37=0,$P$34=0),"",$L$37-1),IF($R$17="Distrato",$E188,0))),0,YEARFRAC(MAX($P$34*($B188+IF($R$17="Distrato",$I$38-1,0)),IF(AND($L$37=0,$P$34=0),"",$L$37-1),IF($R$17="Distrato",$E188,0)),MIN(AP$38,$D$19),$P$20))-SUM($P188:AO188)</f>
        <v>#VALUE!</v>
      </c>
      <c r="AQ188" s="446" t="e">
        <f>IF(OR($B188="",MIN(AQ$38,$D$19)&lt;MAX($P$34*($B188+IF($R$17="Distrato",$I$38-1,0)),IF(AND($L$37=0,$P$34=0),"",$L$37-1),IF($R$17="Distrato",$E188,0))),0,YEARFRAC(MAX($P$34*($B188+IF($R$17="Distrato",$I$38-1,0)),IF(AND($L$37=0,$P$34=0),"",$L$37-1),IF($R$17="Distrato",$E188,0)),MIN(AQ$38,$D$19),$P$20))-SUM($P188:AP188)</f>
        <v>#VALUE!</v>
      </c>
      <c r="AR188" s="446" t="e">
        <f>IF(OR($B188="",MIN(AR$38,$D$19)&lt;MAX($P$34*($B188+IF($R$17="Distrato",$I$38-1,0)),IF(AND($L$37=0,$P$34=0),"",$L$37-1),IF($R$17="Distrato",$E188,0))),0,YEARFRAC(MAX($P$34*($B188+IF($R$17="Distrato",$I$38-1,0)),IF(AND($L$37=0,$P$34=0),"",$L$37-1),IF($R$17="Distrato",$E188,0)),MIN(AR$38,$D$19),$P$20))-SUM($P188:AQ188)</f>
        <v>#VALUE!</v>
      </c>
      <c r="AS188" s="446" t="e">
        <f>IF(OR($B188="",MIN(AS$38,$D$19)&lt;MAX($P$34*($B188+IF($R$17="Distrato",$I$38-1,0)),IF(AND($L$37=0,$P$34=0),"",$L$37-1),IF($R$17="Distrato",$E188,0))),0,YEARFRAC(MAX($P$34*($B188+IF($R$17="Distrato",$I$38-1,0)),IF(AND($L$37=0,$P$34=0),"",$L$37-1),IF($R$17="Distrato",$E188,0)),MIN(AS$38,$D$19),$P$20))-SUM($P188:AR188)</f>
        <v>#VALUE!</v>
      </c>
      <c r="AT188" s="446" t="e">
        <f>IF(OR($B188="",MIN(AT$38,$D$19)&lt;MAX($P$34*($B188+IF($R$17="Distrato",$I$38-1,0)),IF(AND($L$37=0,$P$34=0),"",$L$37-1),IF($R$17="Distrato",$E188,0))),0,YEARFRAC(MAX($P$34*($B188+IF($R$17="Distrato",$I$38-1,0)),IF(AND($L$37=0,$P$34=0),"",$L$37-1),IF($R$17="Distrato",$E188,0)),MIN(AT$38,$D$19),$P$20))-SUM($P188:AS188)</f>
        <v>#VALUE!</v>
      </c>
      <c r="AU188" s="446" t="e">
        <f>IF(OR($B188="",MIN(AU$38,$D$19)&lt;MAX($P$34*($B188+IF($R$17="Distrato",$I$38-1,0)),IF(AND($L$37=0,$P$34=0),"",$L$37-1),IF($R$17="Distrato",$E188,0))),0,YEARFRAC(MAX($P$34*($B188+IF($R$17="Distrato",$I$38-1,0)),IF(AND($L$37=0,$P$34=0),"",$L$37-1),IF($R$17="Distrato",$E188,0)),MIN(AU$38,$D$19),$P$20))-SUM($P188:AT188)</f>
        <v>#VALUE!</v>
      </c>
      <c r="AV188" s="446" t="e">
        <f>IF(OR($B188="",MIN(AV$38,$D$19)&lt;MAX($P$34*($B188+IF($R$17="Distrato",$I$38-1,0)),IF(AND($L$37=0,$P$34=0),"",$L$37-1),IF($R$17="Distrato",$E188,0))),0,YEARFRAC(MAX($P$34*($B188+IF($R$17="Distrato",$I$38-1,0)),IF(AND($L$37=0,$P$34=0),"",$L$37-1),IF($R$17="Distrato",$E188,0)),MIN(AV$38,$D$19),$P$20))-SUM($P188:AU188)</f>
        <v>#VALUE!</v>
      </c>
      <c r="AW188" s="446" t="e">
        <f>IF(OR($B188="",MIN(AW$38,$D$19)&lt;MAX($P$34*($B188+IF($R$17="Distrato",$I$38-1,0)),IF(AND($L$37=0,$P$34=0),"",$L$37-1),IF($R$17="Distrato",$E188,0))),0,YEARFRAC(MAX($P$34*($B188+IF($R$17="Distrato",$I$38-1,0)),IF(AND($L$37=0,$P$34=0),"",$L$37-1),IF($R$17="Distrato",$E188,0)),MIN(AW$38,$D$19),$P$20))-SUM($P188:AV188)</f>
        <v>#VALUE!</v>
      </c>
      <c r="AX188" s="446" t="e">
        <f>IF(OR($B188="",MIN(AX$38,$D$19)&lt;MAX($P$34*($B188+IF($R$17="Distrato",$I$38-1,0)),IF(AND($L$37=0,$P$34=0),"",$L$37-1),IF($R$17="Distrato",$E188,0))),0,YEARFRAC(MAX($P$34*($B188+IF($R$17="Distrato",$I$38-1,0)),IF(AND($L$37=0,$P$34=0),"",$L$37-1),IF($R$17="Distrato",$E188,0)),MIN(AX$38,$D$19),$P$20))-SUM($P188:AW188)</f>
        <v>#VALUE!</v>
      </c>
      <c r="AY188" s="446" t="e">
        <f>IF(OR($B188="",MIN(AY$38,$D$19)&lt;MAX($P$34*($B188+IF($R$17="Distrato",$I$38-1,0)),IF(AND($L$37=0,$P$34=0),"",$L$37-1),IF($R$17="Distrato",$E188,0))),0,YEARFRAC(MAX($P$34*($B188+IF($R$17="Distrato",$I$38-1,0)),IF(AND($L$37=0,$P$34=0),"",$L$37-1),IF($R$17="Distrato",$E188,0)),MIN(AY$38,$D$19),$P$20))-SUM($P188:AX188)</f>
        <v>#VALUE!</v>
      </c>
      <c r="AZ188" s="446" t="e">
        <f>IF(OR($B188="",MIN(AZ$38,$D$19)&lt;MAX($P$34*($B188+IF($R$17="Distrato",$I$38-1,0)),IF(AND($L$37=0,$P$34=0),"",$L$37-1),IF($R$17="Distrato",$E188,0))),0,YEARFRAC(MAX($P$34*($B188+IF($R$17="Distrato",$I$38-1,0)),IF(AND($L$37=0,$P$34=0),"",$L$37-1),IF($R$17="Distrato",$E188,0)),MIN(AZ$38,$D$19),$P$20))-SUM($P188:AY188)</f>
        <v>#VALUE!</v>
      </c>
      <c r="BA188" s="446" t="e">
        <f>IF(OR($B188="",MIN(BA$38,$D$19)&lt;MAX($P$34*($B188+IF($R$17="Distrato",$I$38-1,0)),IF(AND($L$37=0,$P$34=0),"",$L$37-1),IF($R$17="Distrato",$E188,0))),0,YEARFRAC(MAX($P$34*($B188+IF($R$17="Distrato",$I$38-1,0)),IF(AND($L$37=0,$P$34=0),"",$L$37-1),IF($R$17="Distrato",$E188,0)),MIN(BA$38,$D$19),$P$20))-SUM($P188:AZ188)</f>
        <v>#VALUE!</v>
      </c>
      <c r="BB188" s="447"/>
      <c r="BF188" s="446">
        <f t="shared" si="32"/>
        <v>0</v>
      </c>
      <c r="BG188" s="446">
        <f>IF($E188=0,0,IF(MIN(BG$38,$E188)&lt;MAX($P$34*($B188+$I$38-1),IF(AND($L$37=0,$P$34=0),"",$L$37-1)),0,YEARFRAC(MAX($P$34*($B188+$I$38-1),IF(AND($L$37=0,$P$34=0),"",$L$37-1)),MIN(BG$38,$E188),$P$20))-SUM($BF188:BF188))</f>
        <v>0</v>
      </c>
      <c r="BH188" s="446">
        <f>IF($E188=0,0,IF(MIN(BH$38,$E188)&lt;MAX($P$34*($B188+$I$38-1),IF(AND($L$37=0,$P$34=0),"",$L$37-1)),0,YEARFRAC(MAX($P$34*($B188+$I$38-1),IF(AND($L$37=0,$P$34=0),"",$L$37-1)),MIN(BH$38,$E188),$P$20))-SUM($BF188:BG188))</f>
        <v>0</v>
      </c>
      <c r="BI188" s="446">
        <f>IF($E188=0,0,IF(MIN(BI$38,$E188)&lt;MAX($P$34*($B188+$I$38-1),IF(AND($L$37=0,$P$34=0),"",$L$37-1)),0,YEARFRAC(MAX($P$34*($B188+$I$38-1),IF(AND($L$37=0,$P$34=0),"",$L$37-1)),MIN(BI$38,$E188),$P$20))-SUM($BF188:BH188))</f>
        <v>0</v>
      </c>
      <c r="BJ188" s="446">
        <f>IF($E188=0,0,IF(MIN(BJ$38,$E188)&lt;MAX($P$34*($B188+$I$38-1),IF(AND($L$37=0,$P$34=0),"",$L$37-1)),0,YEARFRAC(MAX($P$34*($B188+$I$38-1),IF(AND($L$37=0,$P$34=0),"",$L$37-1)),MIN(BJ$38,$E188),$P$20))-SUM($BF188:BI188))</f>
        <v>0</v>
      </c>
      <c r="BK188" s="446">
        <f>IF($E188=0,0,IF(MIN(BK$38,$E188)&lt;MAX($P$34*($B188+$I$38-1),IF(AND($L$37=0,$P$34=0),"",$L$37-1)),0,YEARFRAC(MAX($P$34*($B188+$I$38-1),IF(AND($L$37=0,$P$34=0),"",$L$37-1)),MIN(BK$38,$E188),$P$20))-SUM($BF188:BJ188))</f>
        <v>0</v>
      </c>
      <c r="BL188" s="446">
        <f>IF($E188=0,0,IF(MIN(BL$38,$E188)&lt;MAX($P$34*($B188+$I$38-1),IF(AND($L$37=0,$P$34=0),"",$L$37-1)),0,YEARFRAC(MAX($P$34*($B188+$I$38-1),IF(AND($L$37=0,$P$34=0),"",$L$37-1)),MIN(BL$38,$E188),$P$20))-SUM($BF188:BK188))</f>
        <v>0</v>
      </c>
      <c r="BM188" s="446">
        <f>IF($E188=0,0,IF(MIN(BM$38,$E188)&lt;MAX($P$34*($B188+$I$38-1),IF(AND($L$37=0,$P$34=0),"",$L$37-1)),0,YEARFRAC(MAX($P$34*($B188+$I$38-1),IF(AND($L$37=0,$P$34=0),"",$L$37-1)),MIN(BM$38,$E188),$P$20))-SUM($BF188:BL188))</f>
        <v>0</v>
      </c>
      <c r="BN188" s="446">
        <f>IF($E188=0,0,IF(MIN(BN$38,$E188)&lt;MAX($P$34*($B188+$I$38-1),IF(AND($L$37=0,$P$34=0),"",$L$37-1)),0,YEARFRAC(MAX($P$34*($B188+$I$38-1),IF(AND($L$37=0,$P$34=0),"",$L$37-1)),MIN(BN$38,$E188),$P$20))-SUM($BF188:BM188))</f>
        <v>0</v>
      </c>
      <c r="BO188" s="446">
        <f>IF($E188=0,0,IF(MIN(BO$38,$E188)&lt;MAX($P$34*($B188+$I$38-1),IF(AND($L$37=0,$P$34=0),"",$L$37-1)),0,YEARFRAC(MAX($P$34*($B188+$I$38-1),IF(AND($L$37=0,$P$34=0),"",$L$37-1)),MIN(BO$38,$E188),$P$20))-SUM($BF188:BN188))</f>
        <v>0</v>
      </c>
      <c r="BP188" s="446">
        <f>IF($E188=0,0,IF(MIN(BP$38,$E188)&lt;MAX($P$34*($B188+$I$38-1),IF(AND($L$37=0,$P$34=0),"",$L$37-1)),0,YEARFRAC(MAX($P$34*($B188+$I$38-1),IF(AND($L$37=0,$P$34=0),"",$L$37-1)),MIN(BP$38,$E188),$P$20))-SUM($BF188:BO188))</f>
        <v>0</v>
      </c>
      <c r="BQ188" s="446">
        <f>IF($E188=0,0,IF(MIN(BQ$38,$E188)&lt;MAX($P$34*($B188+$I$38-1),IF(AND($L$37=0,$P$34=0),"",$L$37-1)),0,YEARFRAC(MAX($P$34*($B188+$I$38-1),IF(AND($L$37=0,$P$34=0),"",$L$37-1)),MIN(BQ$38,$E188),$P$20))-SUM($BF188:BP188))</f>
        <v>0</v>
      </c>
      <c r="BR188" s="446">
        <f>IF($E188=0,0,IF(MIN(BR$38,$E188)&lt;MAX($P$34*($B188+$I$38-1),IF(AND($L$37=0,$P$34=0),"",$L$37-1)),0,YEARFRAC(MAX($P$34*($B188+$I$38-1),IF(AND($L$37=0,$P$34=0),"",$L$37-1)),MIN(BR$38,$E188),$P$20))-SUM($BF188:BQ188))</f>
        <v>0</v>
      </c>
      <c r="BS188" s="446">
        <f>IF($E188=0,0,IF(MIN(BS$38,$E188)&lt;MAX($P$34*($B188+$I$38-1),IF(AND($L$37=0,$P$34=0),"",$L$37-1)),0,YEARFRAC(MAX($P$34*($B188+$I$38-1),IF(AND($L$37=0,$P$34=0),"",$L$37-1)),MIN(BS$38,$E188),$P$20))-SUM($BF188:BR188))</f>
        <v>0</v>
      </c>
      <c r="BT188" s="446">
        <f>IF($E188=0,0,IF(MIN(BT$38,$E188)&lt;MAX($P$34*($B188+$I$38-1),IF(AND($L$37=0,$P$34=0),"",$L$37-1)),0,YEARFRAC(MAX($P$34*($B188+$I$38-1),IF(AND($L$37=0,$P$34=0),"",$L$37-1)),MIN(BT$38,$E188),$P$20))-SUM($BF188:BS188))</f>
        <v>0</v>
      </c>
      <c r="BU188" s="446">
        <f>IF($E188=0,0,IF(MIN(BU$38,$E188)&lt;MAX($P$34*($B188+$I$38-1),IF(AND($L$37=0,$P$34=0),"",$L$37-1)),0,YEARFRAC(MAX($P$34*($B188+$I$38-1),IF(AND($L$37=0,$P$34=0),"",$L$37-1)),MIN(BU$38,$E188),$P$20))-SUM($BF188:BT188))</f>
        <v>0</v>
      </c>
      <c r="BV188" s="446">
        <f>IF($E188=0,0,IF(MIN(BV$38,$E188)&lt;MAX($P$34*($B188+$I$38-1),IF(AND($L$37=0,$P$34=0),"",$L$37-1)),0,YEARFRAC(MAX($P$34*($B188+$I$38-1),IF(AND($L$37=0,$P$34=0),"",$L$37-1)),MIN(BV$38,$E188),$P$20))-SUM($BF188:BU188))</f>
        <v>0</v>
      </c>
      <c r="BW188" s="446">
        <f>IF($E188=0,0,IF(MIN(BW$38,$E188)&lt;MAX($P$34*($B188+$I$38-1),IF(AND($L$37=0,$P$34=0),"",$L$37-1)),0,YEARFRAC(MAX($P$34*($B188+$I$38-1),IF(AND($L$37=0,$P$34=0),"",$L$37-1)),MIN(BW$38,$E188),$P$20))-SUM($BF188:BV188))</f>
        <v>0</v>
      </c>
      <c r="BX188" s="446">
        <f>IF($E188=0,0,IF(MIN(BX$38,$E188)&lt;MAX($P$34*($B188+$I$38-1),IF(AND($L$37=0,$P$34=0),"",$L$37-1)),0,YEARFRAC(MAX($P$34*($B188+$I$38-1),IF(AND($L$37=0,$P$34=0),"",$L$37-1)),MIN(BX$38,$E188),$P$20))-SUM($BF188:BW188))</f>
        <v>0</v>
      </c>
      <c r="BY188" s="446">
        <f>IF($E188=0,0,IF(MIN(BY$38,$E188)&lt;MAX($P$34*($B188+$I$38-1),IF(AND($L$37=0,$P$34=0),"",$L$37-1)),0,YEARFRAC(MAX($P$34*($B188+$I$38-1),IF(AND($L$37=0,$P$34=0),"",$L$37-1)),MIN(BY$38,$E188),$P$20))-SUM($BF188:BX188))</f>
        <v>0</v>
      </c>
      <c r="BZ188" s="446">
        <f>IF($E188=0,0,IF(MIN(BZ$38,$E188)&lt;MAX($P$34*($B188+$I$38-1),IF(AND($L$37=0,$P$34=0),"",$L$37-1)),0,YEARFRAC(MAX($P$34*($B188+$I$38-1),IF(AND($L$37=0,$P$34=0),"",$L$37-1)),MIN(BZ$38,$E188),$P$20))-SUM($BF188:BY188))</f>
        <v>0</v>
      </c>
      <c r="CA188" s="446">
        <f>IF($E188=0,0,IF(MIN(CA$38,$E188)&lt;MAX($P$34*($B188+$I$38-1),IF(AND($L$37=0,$P$34=0),"",$L$37-1)),0,YEARFRAC(MAX($P$34*($B188+$I$38-1),IF(AND($L$37=0,$P$34=0),"",$L$37-1)),MIN(CA$38,$E188),$P$20))-SUM($BF188:BZ188))</f>
        <v>0</v>
      </c>
      <c r="CB188" s="446">
        <f>IF($E188=0,0,IF(MIN(CB$38,$E188)&lt;MAX($P$34*($B188+$I$38-1),IF(AND($L$37=0,$P$34=0),"",$L$37-1)),0,YEARFRAC(MAX($P$34*($B188+$I$38-1),IF(AND($L$37=0,$P$34=0),"",$L$37-1)),MIN(CB$38,$E188),$P$20))-SUM($BF188:CA188))</f>
        <v>0</v>
      </c>
      <c r="CC188" s="446">
        <f>IF($E188=0,0,IF(MIN(CC$38,$E188)&lt;MAX($P$34*($B188+$I$38-1),IF(AND($L$37=0,$P$34=0),"",$L$37-1)),0,YEARFRAC(MAX($P$34*($B188+$I$38-1),IF(AND($L$37=0,$P$34=0),"",$L$37-1)),MIN(CC$38,$E188),$P$20))-SUM($BF188:CB188))</f>
        <v>0</v>
      </c>
      <c r="CD188" s="446">
        <f>IF($E188=0,0,IF(MIN(CD$38,$E188)&lt;MAX($P$34*($B188+$I$38-1),IF(AND($L$37=0,$P$34=0),"",$L$37-1)),0,YEARFRAC(MAX($P$34*($B188+$I$38-1),IF(AND($L$37=0,$P$34=0),"",$L$37-1)),MIN(CD$38,$E188),$P$20))-SUM($BF188:CC188))</f>
        <v>0</v>
      </c>
      <c r="CE188" s="446">
        <f>IF($E188=0,0,IF(MIN(CE$38,$E188)&lt;MAX($P$34*($B188+$I$38-1),IF(AND($L$37=0,$P$34=0),"",$L$37-1)),0,YEARFRAC(MAX($P$34*($B188+$I$38-1),IF(AND($L$37=0,$P$34=0),"",$L$37-1)),MIN(CE$38,$E188),$P$20))-SUM($BF188:CD188))</f>
        <v>0</v>
      </c>
      <c r="CF188" s="446">
        <f>IF($E188=0,0,IF(MIN(CF$38,$E188)&lt;MAX($P$34*($B188+$I$38-1),IF(AND($L$37=0,$P$34=0),"",$L$37-1)),0,YEARFRAC(MAX($P$34*($B188+$I$38-1),IF(AND($L$37=0,$P$34=0),"",$L$37-1)),MIN(CF$38,$E188),$P$20))-SUM($BF188:CE188))</f>
        <v>0</v>
      </c>
      <c r="CG188" s="446">
        <f>IF($E188=0,0,IF(MIN(CG$38,$E188)&lt;MAX($P$34*($B188+$I$38-1),IF(AND($L$37=0,$P$34=0),"",$L$37-1)),0,YEARFRAC(MAX($P$34*($B188+$I$38-1),IF(AND($L$37=0,$P$34=0),"",$L$37-1)),MIN(CG$38,$E188),$P$20))-SUM($BF188:CF188))</f>
        <v>0</v>
      </c>
      <c r="CH188" s="446">
        <f>IF($E188=0,0,IF(MIN(CH$38,$E188)&lt;MAX($P$34*($B188+$I$38-1),IF(AND($L$37=0,$P$34=0),"",$L$37-1)),0,YEARFRAC(MAX($P$34*($B188+$I$38-1),IF(AND($L$37=0,$P$34=0),"",$L$37-1)),MIN(CH$38,$E188),$P$20))-SUM($BF188:CG188))</f>
        <v>0</v>
      </c>
      <c r="CI188" s="446">
        <f>IF($E188=0,0,IF(MIN(CI$38,$E188)&lt;MAX($P$34*($B188+$I$38-1),IF(AND($L$37=0,$P$34=0),"",$L$37-1)),0,YEARFRAC(MAX($P$34*($B188+$I$38-1),IF(AND($L$37=0,$P$34=0),"",$L$37-1)),MIN(CI$38,$E188),$P$20))-SUM($BF188:CH188))</f>
        <v>0</v>
      </c>
      <c r="CJ188" s="446">
        <f>IF($E188=0,0,IF(MIN(CJ$38,$E188)&lt;MAX($P$34*($B188+$I$38-1),IF(AND($L$37=0,$P$34=0),"",$L$37-1)),0,YEARFRAC(MAX($P$34*($B188+$I$38-1),IF(AND($L$37=0,$P$34=0),"",$L$37-1)),MIN(CJ$38,$E188),$P$20))-SUM($BF188:CI188))</f>
        <v>0</v>
      </c>
      <c r="CK188" s="446">
        <f>IF($E188=0,0,IF(MIN(CK$38,$E188)&lt;MAX($P$34*($B188+$I$38-1),IF(AND($L$37=0,$P$34=0),"",$L$37-1)),0,YEARFRAC(MAX($P$34*($B188+$I$38-1),IF(AND($L$37=0,$P$34=0),"",$L$37-1)),MIN(CK$38,$E188),$P$20))-SUM($BF188:CJ188))</f>
        <v>0</v>
      </c>
      <c r="CL188" s="446">
        <f>IF($E188=0,0,IF(MIN(CL$38,$E188)&lt;MAX($P$34*($B188+$I$38-1),IF(AND($L$37=0,$P$34=0),"",$L$37-1)),0,YEARFRAC(MAX($P$34*($B188+$I$38-1),IF(AND($L$37=0,$P$34=0),"",$L$37-1)),MIN(CL$38,$E188),$P$20))-SUM($BF188:CK188))</f>
        <v>0</v>
      </c>
      <c r="CM188" s="446">
        <f>IF($E188=0,0,IF(MIN(CM$38,$E188)&lt;MAX($P$34*($B188+$I$38-1),IF(AND($L$37=0,$P$34=0),"",$L$37-1)),0,YEARFRAC(MAX($P$34*($B188+$I$38-1),IF(AND($L$37=0,$P$34=0),"",$L$37-1)),MIN(CM$38,$E188),$P$20))-SUM($BF188:CL188))</f>
        <v>0</v>
      </c>
      <c r="CN188" s="446">
        <f>IF($E188=0,0,IF(MIN(CN$38,$E188)&lt;MAX($P$34*($B188+$I$38-1),IF(AND($L$37=0,$P$34=0),"",$L$37-1)),0,YEARFRAC(MAX($P$34*($B188+$I$38-1),IF(AND($L$37=0,$P$34=0),"",$L$37-1)),MIN(CN$38,$E188),$P$20))-SUM($BF188:CM188))</f>
        <v>0</v>
      </c>
      <c r="CO188" s="446">
        <f>IF($E188=0,0,IF(MIN(CO$38,$E188)&lt;MAX($P$34*($B188+$I$38-1),IF(AND($L$37=0,$P$34=0),"",$L$37-1)),0,YEARFRAC(MAX($P$34*($B188+$I$38-1),IF(AND($L$37=0,$P$34=0),"",$L$37-1)),MIN(CO$38,$E188),$P$20))-SUM($BF188:CN188))</f>
        <v>0</v>
      </c>
      <c r="CP188" s="446">
        <f>IF($E188=0,0,IF(MIN(CP$38,$E188)&lt;MAX($P$34*($B188+$I$38-1),IF(AND($L$37=0,$P$34=0),"",$L$37-1)),0,YEARFRAC(MAX($P$34*($B188+$I$38-1),IF(AND($L$37=0,$P$34=0),"",$L$37-1)),MIN(CP$38,$E188),$P$20))-SUM($BF188:CO188))</f>
        <v>0</v>
      </c>
      <c r="CQ188" s="446">
        <f>IF($E188=0,0,IF(MIN(CQ$38,$E188)&lt;MAX($P$34*($B188+$I$38-1),IF(AND($L$37=0,$P$34=0),"",$L$37-1)),0,YEARFRAC(MAX($P$34*($B188+$I$38-1),IF(AND($L$37=0,$P$34=0),"",$L$37-1)),MIN(CQ$38,$E188),$P$20))-SUM($BF188:CP188))</f>
        <v>0</v>
      </c>
    </row>
    <row r="189" spans="1:95" s="446" customFormat="1" ht="11.25" hidden="1" customHeight="1" x14ac:dyDescent="0.2">
      <c r="A189" s="152"/>
      <c r="B189" s="153" t="str">
        <f t="shared" si="37"/>
        <v/>
      </c>
      <c r="C189" s="29" t="str">
        <f>IF(B189="","",IF($L$35="SELIC - TRIBUTOS",VLOOKUP(DATE(YEAR($D$19),MONTH($D$19)-1,1),ÍNDICES!$A:$DE,HLOOKUP($BL$25,ÍNDICES!$B$3:$T$4,2)+11)-VLOOKUP(B189,ÍNDICES!$A:$DE,HLOOKUP($BL$25,ÍNDICES!$B$3:$T$4,2)+11)+1%,IF(C$38=$W$26,$J$35,IF(ISERROR(IF(B189&gt;$D$19,1,VLOOKUP(DATE(YEAR(B189),MONTH(B189)+IF($C$35=$S$23,1,0),1),ÍNDICES!$A:$DE,$Z$35+1))),"",IF(B189&gt;$D$19,1,VLOOKUP(DATE(YEAR(B189),MONTH(B189)+IF($C$35=$S$23,1,0),1),ÍNDICES!$A:$DE,$Z$35+1))))))</f>
        <v/>
      </c>
      <c r="D189" s="154" t="str">
        <f>IF(ISERROR(IF(OR($D$38=$Y$27,$B189=""),"",VLOOKUP(B189,ÍNDICES!A:DE,AF$35+1))),"",IF(OR($D$38=$Y$27,$B189=""),"",VLOOKUP(B189,ÍNDICES!A:DE,AF$35+1)))</f>
        <v/>
      </c>
      <c r="E189" s="153"/>
      <c r="F189" s="29" t="str">
        <f>IF(E189="","",IF($L$35="SELIC - TRIBUTOS",VLOOKUP(DATE(YEAR($D$19),MONTH($D$19)-1,1),ÍNDICES!$A:$DE,HLOOKUP($BL$25,ÍNDICES!$B$3:$T$4,2)+11)-VLOOKUP(E189,ÍNDICES!$A:$DE,HLOOKUP($BL$25,ÍNDICES!$B$3:$T$4,2)+11)+1%,IF(F$38=$W$26,$J$35,IF(ISERROR(IF(E189&gt;$D$19,1,VLOOKUP(DATE(YEAR(E189),MONTH(E189)+IF($C$35=$S$23,1,0),1),ÍNDICES!$A:$DE,$Z$35+1))),"",IF(E189&gt;$D$19,1,VLOOKUP(DATE(YEAR(E189),MONTH(E189)+IF($C$35=$S$23,1,0),1),ÍNDICES!$A:$DE,$Z$35+1))))))</f>
        <v/>
      </c>
      <c r="G189" s="155"/>
      <c r="H189" s="156" t="str">
        <f t="shared" si="33"/>
        <v/>
      </c>
      <c r="I189" s="29" t="str">
        <f t="shared" si="27"/>
        <v/>
      </c>
      <c r="J189" s="5">
        <f t="shared" si="28"/>
        <v>0</v>
      </c>
      <c r="K189" s="20">
        <f t="shared" ca="1" si="29"/>
        <v>0</v>
      </c>
      <c r="L189" s="5">
        <f t="shared" ca="1" si="30"/>
        <v>0</v>
      </c>
      <c r="M189" s="64">
        <f t="shared" si="34"/>
        <v>0</v>
      </c>
      <c r="N189" s="61">
        <f t="shared" ca="1" si="35"/>
        <v>0</v>
      </c>
      <c r="O189" s="5">
        <f t="shared" ca="1" si="36"/>
        <v>0</v>
      </c>
      <c r="P189" s="446" t="e">
        <f t="shared" si="31"/>
        <v>#VALUE!</v>
      </c>
      <c r="Q189" s="446" t="e">
        <f>IF(OR($B189="",MIN(Q$38,$D$19)&lt;MAX($P$34*($B189+IF($R$17="Distrato",$I$38-1,0)),IF(AND($L$37=0,$P$34=0),"",$L$37-1),IF($R$17="Distrato",$E189,0))),0,YEARFRAC(MAX($P$34*($B189+IF($R$17="Distrato",$I$38-1,0)),IF(AND($L$37=0,$P$34=0),"",$L$37-1),IF($R$17="Distrato",$E189,0)),MIN(Q$38,$D$19),$P$20))-SUM($P189:P189)</f>
        <v>#VALUE!</v>
      </c>
      <c r="R189" s="446" t="e">
        <f>IF(OR($B189="",MIN(R$38,$D$19)&lt;MAX($P$34*($B189+IF($R$17="Distrato",$I$38-1,0)),IF(AND($L$37=0,$P$34=0),"",$L$37-1),IF($R$17="Distrato",$E189,0))),0,YEARFRAC(MAX($P$34*($B189+IF($R$17="Distrato",$I$38-1,0)),IF(AND($L$37=0,$P$34=0),"",$L$37-1),IF($R$17="Distrato",$E189,0)),MIN(R$38,$D$19),$P$20))-SUM($P189:Q189)</f>
        <v>#VALUE!</v>
      </c>
      <c r="S189" s="446" t="e">
        <f>IF(OR($B189="",MIN(S$38,$D$19)&lt;MAX($P$34*($B189+IF($R$17="Distrato",$I$38-1,0)),IF(AND($L$37=0,$P$34=0),"",$L$37-1),IF($R$17="Distrato",$E189,0))),0,YEARFRAC(MAX($P$34*($B189+IF($R$17="Distrato",$I$38-1,0)),IF(AND($L$37=0,$P$34=0),"",$L$37-1),IF($R$17="Distrato",$E189,0)),MIN(S$38,$D$19),$P$20))-SUM($P189:R189)</f>
        <v>#VALUE!</v>
      </c>
      <c r="T189" s="446" t="e">
        <f>IF(OR($B189="",MIN(T$38,$D$19)&lt;MAX($P$34*($B189+IF($R$17="Distrato",$I$38-1,0)),IF(AND($L$37=0,$P$34=0),"",$L$37-1),IF($R$17="Distrato",$E189,0))),0,YEARFRAC(MAX($P$34*($B189+IF($R$17="Distrato",$I$38-1,0)),IF(AND($L$37=0,$P$34=0),"",$L$37-1),IF($R$17="Distrato",$E189,0)),MIN(T$38,$D$19),$P$20))-SUM($P189:S189)</f>
        <v>#VALUE!</v>
      </c>
      <c r="U189" s="446" t="e">
        <f>IF(OR($B189="",MIN(U$38,$D$19)&lt;MAX($P$34*($B189+IF($R$17="Distrato",$I$38-1,0)),IF(AND($L$37=0,$P$34=0),"",$L$37-1),IF($R$17="Distrato",$E189,0))),0,YEARFRAC(MAX($P$34*($B189+IF($R$17="Distrato",$I$38-1,0)),IF(AND($L$37=0,$P$34=0),"",$L$37-1),IF($R$17="Distrato",$E189,0)),MIN(U$38,$D$19),$P$20))-SUM($P189:T189)</f>
        <v>#VALUE!</v>
      </c>
      <c r="V189" s="446" t="e">
        <f>IF(OR($B189="",MIN(V$38,$D$19)&lt;MAX($P$34*($B189+IF($R$17="Distrato",$I$38-1,0)),IF(AND($L$37=0,$P$34=0),"",$L$37-1),IF($R$17="Distrato",$E189,0))),0,YEARFRAC(MAX($P$34*($B189+IF($R$17="Distrato",$I$38-1,0)),IF(AND($L$37=0,$P$34=0),"",$L$37-1),IF($R$17="Distrato",$E189,0)),MIN(V$38,$D$19),$P$20))-SUM($P189:U189)</f>
        <v>#VALUE!</v>
      </c>
      <c r="W189" s="446" t="e">
        <f>IF(OR($B189="",MIN(W$38,$D$19)&lt;MAX($P$34*($B189+IF($R$17="Distrato",$I$38-1,0)),IF(AND($L$37=0,$P$34=0),"",$L$37-1),IF($R$17="Distrato",$E189,0))),0,YEARFRAC(MAX($P$34*($B189+IF($R$17="Distrato",$I$38-1,0)),IF(AND($L$37=0,$P$34=0),"",$L$37-1),IF($R$17="Distrato",$E189,0)),MIN(W$38,$D$19),$P$20))-SUM($P189:V189)</f>
        <v>#VALUE!</v>
      </c>
      <c r="X189" s="446" t="e">
        <f>IF(OR($B189="",MIN(X$38,$D$19)&lt;MAX($P$34*($B189+IF($R$17="Distrato",$I$38-1,0)),IF(AND($L$37=0,$P$34=0),"",$L$37-1),IF($R$17="Distrato",$E189,0))),0,YEARFRAC(MAX($P$34*($B189+IF($R$17="Distrato",$I$38-1,0)),IF(AND($L$37=0,$P$34=0),"",$L$37-1),IF($R$17="Distrato",$E189,0)),MIN(X$38,$D$19),$P$20))-SUM($P189:W189)</f>
        <v>#VALUE!</v>
      </c>
      <c r="Y189" s="446" t="e">
        <f>IF(OR($B189="",MIN(Y$38,$D$19)&lt;MAX($P$34*($B189+IF($R$17="Distrato",$I$38-1,0)),IF(AND($L$37=0,$P$34=0),"",$L$37-1),IF($R$17="Distrato",$E189,0))),0,YEARFRAC(MAX($P$34*($B189+IF($R$17="Distrato",$I$38-1,0)),IF(AND($L$37=0,$P$34=0),"",$L$37-1),IF($R$17="Distrato",$E189,0)),MIN(Y$38,$D$19),$P$20))-SUM($P189:X189)</f>
        <v>#VALUE!</v>
      </c>
      <c r="Z189" s="446" t="e">
        <f>IF(OR($B189="",MIN(Z$38,$D$19)&lt;MAX($P$34*($B189+IF($R$17="Distrato",$I$38-1,0)),IF(AND($L$37=0,$P$34=0),"",$L$37-1),IF($R$17="Distrato",$E189,0))),0,YEARFRAC(MAX($P$34*($B189+IF($R$17="Distrato",$I$38-1,0)),IF(AND($L$37=0,$P$34=0),"",$L$37-1),IF($R$17="Distrato",$E189,0)),MIN(Z$38,$D$19),$P$20))-SUM($P189:Y189)</f>
        <v>#VALUE!</v>
      </c>
      <c r="AA189" s="446" t="e">
        <f>IF(OR($B189="",MIN(AA$38,$D$19)&lt;MAX($P$34*($B189+IF($R$17="Distrato",$I$38-1,0)),IF(AND($L$37=0,$P$34=0),"",$L$37-1),IF($R$17="Distrato",$E189,0))),0,YEARFRAC(MAX($P$34*($B189+IF($R$17="Distrato",$I$38-1,0)),IF(AND($L$37=0,$P$34=0),"",$L$37-1),IF($R$17="Distrato",$E189,0)),MIN(AA$38,$D$19),$P$20))-SUM($P189:Z189)</f>
        <v>#VALUE!</v>
      </c>
      <c r="AB189" s="446" t="e">
        <f>IF(OR($B189="",MIN(AB$38,$D$19)&lt;MAX($P$34*($B189+IF($R$17="Distrato",$I$38-1,0)),IF(AND($L$37=0,$P$34=0),"",$L$37-1),IF($R$17="Distrato",$E189,0))),0,YEARFRAC(MAX($P$34*($B189+IF($R$17="Distrato",$I$38-1,0)),IF(AND($L$37=0,$P$34=0),"",$L$37-1),IF($R$17="Distrato",$E189,0)),MIN(AB$38,$D$19),$P$20))-SUM($P189:AA189)</f>
        <v>#VALUE!</v>
      </c>
      <c r="AC189" s="446" t="e">
        <f>IF(OR($B189="",MIN(AC$38,$D$19)&lt;MAX($P$34*($B189+IF($R$17="Distrato",$I$38-1,0)),IF(AND($L$37=0,$P$34=0),"",$L$37-1),IF($R$17="Distrato",$E189,0))),0,YEARFRAC(MAX($P$34*($B189+IF($R$17="Distrato",$I$38-1,0)),IF(AND($L$37=0,$P$34=0),"",$L$37-1),IF($R$17="Distrato",$E189,0)),MIN(AC$38,$D$19),$P$20))-SUM($P189:AB189)</f>
        <v>#VALUE!</v>
      </c>
      <c r="AD189" s="446" t="e">
        <f>IF(OR($B189="",MIN(AD$38,$D$19)&lt;MAX($P$34*($B189+IF($R$17="Distrato",$I$38-1,0)),IF(AND($L$37=0,$P$34=0),"",$L$37-1),IF($R$17="Distrato",$E189,0))),0,YEARFRAC(MAX($P$34*($B189+IF($R$17="Distrato",$I$38-1,0)),IF(AND($L$37=0,$P$34=0),"",$L$37-1),IF($R$17="Distrato",$E189,0)),MIN(AD$38,$D$19),$P$20))-SUM($P189:AC189)</f>
        <v>#VALUE!</v>
      </c>
      <c r="AE189" s="446" t="e">
        <f>IF(OR($B189="",MIN(AE$38,$D$19)&lt;MAX($P$34*($B189+IF($R$17="Distrato",$I$38-1,0)),IF(AND($L$37=0,$P$34=0),"",$L$37-1),IF($R$17="Distrato",$E189,0))),0,YEARFRAC(MAX($P$34*($B189+IF($R$17="Distrato",$I$38-1,0)),IF(AND($L$37=0,$P$34=0),"",$L$37-1),IF($R$17="Distrato",$E189,0)),MIN(AE$38,$D$19),$P$20))-SUM($P189:AD189)</f>
        <v>#VALUE!</v>
      </c>
      <c r="AF189" s="446" t="e">
        <f>IF(OR($B189="",MIN(AF$38,$D$19)&lt;MAX($P$34*($B189+IF($R$17="Distrato",$I$38-1,0)),IF(AND($L$37=0,$P$34=0),"",$L$37-1),IF($R$17="Distrato",$E189,0))),0,YEARFRAC(MAX($P$34*($B189+IF($R$17="Distrato",$I$38-1,0)),IF(AND($L$37=0,$P$34=0),"",$L$37-1),IF($R$17="Distrato",$E189,0)),MIN(AF$38,$D$19),$P$20))-SUM($P189:AE189)</f>
        <v>#VALUE!</v>
      </c>
      <c r="AG189" s="446" t="e">
        <f>IF(OR($B189="",MIN(AG$38,$D$19)&lt;MAX($P$34*($B189+IF($R$17="Distrato",$I$38-1,0)),IF(AND($L$37=0,$P$34=0),"",$L$37-1),IF($R$17="Distrato",$E189,0))),0,YEARFRAC(MAX($P$34*($B189+IF($R$17="Distrato",$I$38-1,0)),IF(AND($L$37=0,$P$34=0),"",$L$37-1),IF($R$17="Distrato",$E189,0)),MIN(AG$38,$D$19),$P$20))-SUM($P189:AF189)</f>
        <v>#VALUE!</v>
      </c>
      <c r="AH189" s="446" t="e">
        <f>IF(OR($B189="",MIN(AH$38,$D$19)&lt;MAX($P$34*($B189+IF($R$17="Distrato",$I$38-1,0)),IF(AND($L$37=0,$P$34=0),"",$L$37-1),IF($R$17="Distrato",$E189,0))),0,YEARFRAC(MAX($P$34*($B189+IF($R$17="Distrato",$I$38-1,0)),IF(AND($L$37=0,$P$34=0),"",$L$37-1),IF($R$17="Distrato",$E189,0)),MIN(AH$38,$D$19),$P$20))-SUM($P189:AG189)</f>
        <v>#VALUE!</v>
      </c>
      <c r="AI189" s="446" t="e">
        <f>IF(OR($B189="",MIN(AI$38,$D$19)&lt;MAX($P$34*($B189+IF($R$17="Distrato",$I$38-1,0)),IF(AND($L$37=0,$P$34=0),"",$L$37-1),IF($R$17="Distrato",$E189,0))),0,YEARFRAC(MAX($P$34*($B189+IF($R$17="Distrato",$I$38-1,0)),IF(AND($L$37=0,$P$34=0),"",$L$37-1),IF($R$17="Distrato",$E189,0)),MIN(AI$38,$D$19),$P$20))-SUM($P189:AH189)</f>
        <v>#VALUE!</v>
      </c>
      <c r="AJ189" s="446" t="e">
        <f>IF(OR($B189="",MIN(AJ$38,$D$19)&lt;MAX($P$34*($B189+IF($R$17="Distrato",$I$38-1,0)),IF(AND($L$37=0,$P$34=0),"",$L$37-1),IF($R$17="Distrato",$E189,0))),0,YEARFRAC(MAX($P$34*($B189+IF($R$17="Distrato",$I$38-1,0)),IF(AND($L$37=0,$P$34=0),"",$L$37-1),IF($R$17="Distrato",$E189,0)),MIN(AJ$38,$D$19),$P$20))-SUM($P189:AI189)</f>
        <v>#VALUE!</v>
      </c>
      <c r="AK189" s="446" t="e">
        <f>IF(OR($B189="",MIN(AK$38,$D$19)&lt;MAX($P$34*($B189+IF($R$17="Distrato",$I$38-1,0)),IF(AND($L$37=0,$P$34=0),"",$L$37-1),IF($R$17="Distrato",$E189,0))),0,YEARFRAC(MAX($P$34*($B189+IF($R$17="Distrato",$I$38-1,0)),IF(AND($L$37=0,$P$34=0),"",$L$37-1),IF($R$17="Distrato",$E189,0)),MIN(AK$38,$D$19),$P$20))-SUM($P189:AJ189)</f>
        <v>#VALUE!</v>
      </c>
      <c r="AL189" s="446" t="e">
        <f>IF(OR($B189="",MIN(AL$38,$D$19)&lt;MAX($P$34*($B189+IF($R$17="Distrato",$I$38-1,0)),IF(AND($L$37=0,$P$34=0),"",$L$37-1),IF($R$17="Distrato",$E189,0))),0,YEARFRAC(MAX($P$34*($B189+IF($R$17="Distrato",$I$38-1,0)),IF(AND($L$37=0,$P$34=0),"",$L$37-1),IF($R$17="Distrato",$E189,0)),MIN(AL$38,$D$19),$P$20))-SUM($P189:AK189)</f>
        <v>#VALUE!</v>
      </c>
      <c r="AM189" s="446" t="e">
        <f>IF(OR($B189="",MIN(AM$38,$D$19)&lt;MAX($P$34*($B189+IF($R$17="Distrato",$I$38-1,0)),IF(AND($L$37=0,$P$34=0),"",$L$37-1),IF($R$17="Distrato",$E189,0))),0,YEARFRAC(MAX($P$34*($B189+IF($R$17="Distrato",$I$38-1,0)),IF(AND($L$37=0,$P$34=0),"",$L$37-1),IF($R$17="Distrato",$E189,0)),MIN(AM$38,$D$19),$P$20))-SUM($P189:AL189)</f>
        <v>#VALUE!</v>
      </c>
      <c r="AN189" s="446" t="e">
        <f>IF(OR($B189="",MIN(AN$38,$D$19)&lt;MAX($P$34*($B189+IF($R$17="Distrato",$I$38-1,0)),IF(AND($L$37=0,$P$34=0),"",$L$37-1),IF($R$17="Distrato",$E189,0))),0,YEARFRAC(MAX($P$34*($B189+IF($R$17="Distrato",$I$38-1,0)),IF(AND($L$37=0,$P$34=0),"",$L$37-1),IF($R$17="Distrato",$E189,0)),MIN(AN$38,$D$19),$P$20))-SUM($P189:AM189)</f>
        <v>#VALUE!</v>
      </c>
      <c r="AO189" s="446" t="e">
        <f>IF(OR($B189="",MIN(AO$38,$D$19)&lt;MAX($P$34*($B189+IF($R$17="Distrato",$I$38-1,0)),IF(AND($L$37=0,$P$34=0),"",$L$37-1),IF($R$17="Distrato",$E189,0))),0,YEARFRAC(MAX($P$34*($B189+IF($R$17="Distrato",$I$38-1,0)),IF(AND($L$37=0,$P$34=0),"",$L$37-1),IF($R$17="Distrato",$E189,0)),MIN(AO$38,$D$19),$P$20))-SUM($P189:AN189)</f>
        <v>#VALUE!</v>
      </c>
      <c r="AP189" s="446" t="e">
        <f>IF(OR($B189="",MIN(AP$38,$D$19)&lt;MAX($P$34*($B189+IF($R$17="Distrato",$I$38-1,0)),IF(AND($L$37=0,$P$34=0),"",$L$37-1),IF($R$17="Distrato",$E189,0))),0,YEARFRAC(MAX($P$34*($B189+IF($R$17="Distrato",$I$38-1,0)),IF(AND($L$37=0,$P$34=0),"",$L$37-1),IF($R$17="Distrato",$E189,0)),MIN(AP$38,$D$19),$P$20))-SUM($P189:AO189)</f>
        <v>#VALUE!</v>
      </c>
      <c r="AQ189" s="446" t="e">
        <f>IF(OR($B189="",MIN(AQ$38,$D$19)&lt;MAX($P$34*($B189+IF($R$17="Distrato",$I$38-1,0)),IF(AND($L$37=0,$P$34=0),"",$L$37-1),IF($R$17="Distrato",$E189,0))),0,YEARFRAC(MAX($P$34*($B189+IF($R$17="Distrato",$I$38-1,0)),IF(AND($L$37=0,$P$34=0),"",$L$37-1),IF($R$17="Distrato",$E189,0)),MIN(AQ$38,$D$19),$P$20))-SUM($P189:AP189)</f>
        <v>#VALUE!</v>
      </c>
      <c r="AR189" s="446" t="e">
        <f>IF(OR($B189="",MIN(AR$38,$D$19)&lt;MAX($P$34*($B189+IF($R$17="Distrato",$I$38-1,0)),IF(AND($L$37=0,$P$34=0),"",$L$37-1),IF($R$17="Distrato",$E189,0))),0,YEARFRAC(MAX($P$34*($B189+IF($R$17="Distrato",$I$38-1,0)),IF(AND($L$37=0,$P$34=0),"",$L$37-1),IF($R$17="Distrato",$E189,0)),MIN(AR$38,$D$19),$P$20))-SUM($P189:AQ189)</f>
        <v>#VALUE!</v>
      </c>
      <c r="AS189" s="446" t="e">
        <f>IF(OR($B189="",MIN(AS$38,$D$19)&lt;MAX($P$34*($B189+IF($R$17="Distrato",$I$38-1,0)),IF(AND($L$37=0,$P$34=0),"",$L$37-1),IF($R$17="Distrato",$E189,0))),0,YEARFRAC(MAX($P$34*($B189+IF($R$17="Distrato",$I$38-1,0)),IF(AND($L$37=0,$P$34=0),"",$L$37-1),IF($R$17="Distrato",$E189,0)),MIN(AS$38,$D$19),$P$20))-SUM($P189:AR189)</f>
        <v>#VALUE!</v>
      </c>
      <c r="AT189" s="446" t="e">
        <f>IF(OR($B189="",MIN(AT$38,$D$19)&lt;MAX($P$34*($B189+IF($R$17="Distrato",$I$38-1,0)),IF(AND($L$37=0,$P$34=0),"",$L$37-1),IF($R$17="Distrato",$E189,0))),0,YEARFRAC(MAX($P$34*($B189+IF($R$17="Distrato",$I$38-1,0)),IF(AND($L$37=0,$P$34=0),"",$L$37-1),IF($R$17="Distrato",$E189,0)),MIN(AT$38,$D$19),$P$20))-SUM($P189:AS189)</f>
        <v>#VALUE!</v>
      </c>
      <c r="AU189" s="446" t="e">
        <f>IF(OR($B189="",MIN(AU$38,$D$19)&lt;MAX($P$34*($B189+IF($R$17="Distrato",$I$38-1,0)),IF(AND($L$37=0,$P$34=0),"",$L$37-1),IF($R$17="Distrato",$E189,0))),0,YEARFRAC(MAX($P$34*($B189+IF($R$17="Distrato",$I$38-1,0)),IF(AND($L$37=0,$P$34=0),"",$L$37-1),IF($R$17="Distrato",$E189,0)),MIN(AU$38,$D$19),$P$20))-SUM($P189:AT189)</f>
        <v>#VALUE!</v>
      </c>
      <c r="AV189" s="446" t="e">
        <f>IF(OR($B189="",MIN(AV$38,$D$19)&lt;MAX($P$34*($B189+IF($R$17="Distrato",$I$38-1,0)),IF(AND($L$37=0,$P$34=0),"",$L$37-1),IF($R$17="Distrato",$E189,0))),0,YEARFRAC(MAX($P$34*($B189+IF($R$17="Distrato",$I$38-1,0)),IF(AND($L$37=0,$P$34=0),"",$L$37-1),IF($R$17="Distrato",$E189,0)),MIN(AV$38,$D$19),$P$20))-SUM($P189:AU189)</f>
        <v>#VALUE!</v>
      </c>
      <c r="AW189" s="446" t="e">
        <f>IF(OR($B189="",MIN(AW$38,$D$19)&lt;MAX($P$34*($B189+IF($R$17="Distrato",$I$38-1,0)),IF(AND($L$37=0,$P$34=0),"",$L$37-1),IF($R$17="Distrato",$E189,0))),0,YEARFRAC(MAX($P$34*($B189+IF($R$17="Distrato",$I$38-1,0)),IF(AND($L$37=0,$P$34=0),"",$L$37-1),IF($R$17="Distrato",$E189,0)),MIN(AW$38,$D$19),$P$20))-SUM($P189:AV189)</f>
        <v>#VALUE!</v>
      </c>
      <c r="AX189" s="446" t="e">
        <f>IF(OR($B189="",MIN(AX$38,$D$19)&lt;MAX($P$34*($B189+IF($R$17="Distrato",$I$38-1,0)),IF(AND($L$37=0,$P$34=0),"",$L$37-1),IF($R$17="Distrato",$E189,0))),0,YEARFRAC(MAX($P$34*($B189+IF($R$17="Distrato",$I$38-1,0)),IF(AND($L$37=0,$P$34=0),"",$L$37-1),IF($R$17="Distrato",$E189,0)),MIN(AX$38,$D$19),$P$20))-SUM($P189:AW189)</f>
        <v>#VALUE!</v>
      </c>
      <c r="AY189" s="446" t="e">
        <f>IF(OR($B189="",MIN(AY$38,$D$19)&lt;MAX($P$34*($B189+IF($R$17="Distrato",$I$38-1,0)),IF(AND($L$37=0,$P$34=0),"",$L$37-1),IF($R$17="Distrato",$E189,0))),0,YEARFRAC(MAX($P$34*($B189+IF($R$17="Distrato",$I$38-1,0)),IF(AND($L$37=0,$P$34=0),"",$L$37-1),IF($R$17="Distrato",$E189,0)),MIN(AY$38,$D$19),$P$20))-SUM($P189:AX189)</f>
        <v>#VALUE!</v>
      </c>
      <c r="AZ189" s="446" t="e">
        <f>IF(OR($B189="",MIN(AZ$38,$D$19)&lt;MAX($P$34*($B189+IF($R$17="Distrato",$I$38-1,0)),IF(AND($L$37=0,$P$34=0),"",$L$37-1),IF($R$17="Distrato",$E189,0))),0,YEARFRAC(MAX($P$34*($B189+IF($R$17="Distrato",$I$38-1,0)),IF(AND($L$37=0,$P$34=0),"",$L$37-1),IF($R$17="Distrato",$E189,0)),MIN(AZ$38,$D$19),$P$20))-SUM($P189:AY189)</f>
        <v>#VALUE!</v>
      </c>
      <c r="BA189" s="446" t="e">
        <f>IF(OR($B189="",MIN(BA$38,$D$19)&lt;MAX($P$34*($B189+IF($R$17="Distrato",$I$38-1,0)),IF(AND($L$37=0,$P$34=0),"",$L$37-1),IF($R$17="Distrato",$E189,0))),0,YEARFRAC(MAX($P$34*($B189+IF($R$17="Distrato",$I$38-1,0)),IF(AND($L$37=0,$P$34=0),"",$L$37-1),IF($R$17="Distrato",$E189,0)),MIN(BA$38,$D$19),$P$20))-SUM($P189:AZ189)</f>
        <v>#VALUE!</v>
      </c>
      <c r="BB189" s="447"/>
      <c r="BF189" s="446">
        <f t="shared" si="32"/>
        <v>0</v>
      </c>
      <c r="BG189" s="446">
        <f>IF($E189=0,0,IF(MIN(BG$38,$E189)&lt;MAX($P$34*($B189+$I$38-1),IF(AND($L$37=0,$P$34=0),"",$L$37-1)),0,YEARFRAC(MAX($P$34*($B189+$I$38-1),IF(AND($L$37=0,$P$34=0),"",$L$37-1)),MIN(BG$38,$E189),$P$20))-SUM($BF189:BF189))</f>
        <v>0</v>
      </c>
      <c r="BH189" s="446">
        <f>IF($E189=0,0,IF(MIN(BH$38,$E189)&lt;MAX($P$34*($B189+$I$38-1),IF(AND($L$37=0,$P$34=0),"",$L$37-1)),0,YEARFRAC(MAX($P$34*($B189+$I$38-1),IF(AND($L$37=0,$P$34=0),"",$L$37-1)),MIN(BH$38,$E189),$P$20))-SUM($BF189:BG189))</f>
        <v>0</v>
      </c>
      <c r="BI189" s="446">
        <f>IF($E189=0,0,IF(MIN(BI$38,$E189)&lt;MAX($P$34*($B189+$I$38-1),IF(AND($L$37=0,$P$34=0),"",$L$37-1)),0,YEARFRAC(MAX($P$34*($B189+$I$38-1),IF(AND($L$37=0,$P$34=0),"",$L$37-1)),MIN(BI$38,$E189),$P$20))-SUM($BF189:BH189))</f>
        <v>0</v>
      </c>
      <c r="BJ189" s="446">
        <f>IF($E189=0,0,IF(MIN(BJ$38,$E189)&lt;MAX($P$34*($B189+$I$38-1),IF(AND($L$37=0,$P$34=0),"",$L$37-1)),0,YEARFRAC(MAX($P$34*($B189+$I$38-1),IF(AND($L$37=0,$P$34=0),"",$L$37-1)),MIN(BJ$38,$E189),$P$20))-SUM($BF189:BI189))</f>
        <v>0</v>
      </c>
      <c r="BK189" s="446">
        <f>IF($E189=0,0,IF(MIN(BK$38,$E189)&lt;MAX($P$34*($B189+$I$38-1),IF(AND($L$37=0,$P$34=0),"",$L$37-1)),0,YEARFRAC(MAX($P$34*($B189+$I$38-1),IF(AND($L$37=0,$P$34=0),"",$L$37-1)),MIN(BK$38,$E189),$P$20))-SUM($BF189:BJ189))</f>
        <v>0</v>
      </c>
      <c r="BL189" s="446">
        <f>IF($E189=0,0,IF(MIN(BL$38,$E189)&lt;MAX($P$34*($B189+$I$38-1),IF(AND($L$37=0,$P$34=0),"",$L$37-1)),0,YEARFRAC(MAX($P$34*($B189+$I$38-1),IF(AND($L$37=0,$P$34=0),"",$L$37-1)),MIN(BL$38,$E189),$P$20))-SUM($BF189:BK189))</f>
        <v>0</v>
      </c>
      <c r="BM189" s="446">
        <f>IF($E189=0,0,IF(MIN(BM$38,$E189)&lt;MAX($P$34*($B189+$I$38-1),IF(AND($L$37=0,$P$34=0),"",$L$37-1)),0,YEARFRAC(MAX($P$34*($B189+$I$38-1),IF(AND($L$37=0,$P$34=0),"",$L$37-1)),MIN(BM$38,$E189),$P$20))-SUM($BF189:BL189))</f>
        <v>0</v>
      </c>
      <c r="BN189" s="446">
        <f>IF($E189=0,0,IF(MIN(BN$38,$E189)&lt;MAX($P$34*($B189+$I$38-1),IF(AND($L$37=0,$P$34=0),"",$L$37-1)),0,YEARFRAC(MAX($P$34*($B189+$I$38-1),IF(AND($L$37=0,$P$34=0),"",$L$37-1)),MIN(BN$38,$E189),$P$20))-SUM($BF189:BM189))</f>
        <v>0</v>
      </c>
      <c r="BO189" s="446">
        <f>IF($E189=0,0,IF(MIN(BO$38,$E189)&lt;MAX($P$34*($B189+$I$38-1),IF(AND($L$37=0,$P$34=0),"",$L$37-1)),0,YEARFRAC(MAX($P$34*($B189+$I$38-1),IF(AND($L$37=0,$P$34=0),"",$L$37-1)),MIN(BO$38,$E189),$P$20))-SUM($BF189:BN189))</f>
        <v>0</v>
      </c>
      <c r="BP189" s="446">
        <f>IF($E189=0,0,IF(MIN(BP$38,$E189)&lt;MAX($P$34*($B189+$I$38-1),IF(AND($L$37=0,$P$34=0),"",$L$37-1)),0,YEARFRAC(MAX($P$34*($B189+$I$38-1),IF(AND($L$37=0,$P$34=0),"",$L$37-1)),MIN(BP$38,$E189),$P$20))-SUM($BF189:BO189))</f>
        <v>0</v>
      </c>
      <c r="BQ189" s="446">
        <f>IF($E189=0,0,IF(MIN(BQ$38,$E189)&lt;MAX($P$34*($B189+$I$38-1),IF(AND($L$37=0,$P$34=0),"",$L$37-1)),0,YEARFRAC(MAX($P$34*($B189+$I$38-1),IF(AND($L$37=0,$P$34=0),"",$L$37-1)),MIN(BQ$38,$E189),$P$20))-SUM($BF189:BP189))</f>
        <v>0</v>
      </c>
      <c r="BR189" s="446">
        <f>IF($E189=0,0,IF(MIN(BR$38,$E189)&lt;MAX($P$34*($B189+$I$38-1),IF(AND($L$37=0,$P$34=0),"",$L$37-1)),0,YEARFRAC(MAX($P$34*($B189+$I$38-1),IF(AND($L$37=0,$P$34=0),"",$L$37-1)),MIN(BR$38,$E189),$P$20))-SUM($BF189:BQ189))</f>
        <v>0</v>
      </c>
      <c r="BS189" s="446">
        <f>IF($E189=0,0,IF(MIN(BS$38,$E189)&lt;MAX($P$34*($B189+$I$38-1),IF(AND($L$37=0,$P$34=0),"",$L$37-1)),0,YEARFRAC(MAX($P$34*($B189+$I$38-1),IF(AND($L$37=0,$P$34=0),"",$L$37-1)),MIN(BS$38,$E189),$P$20))-SUM($BF189:BR189))</f>
        <v>0</v>
      </c>
      <c r="BT189" s="446">
        <f>IF($E189=0,0,IF(MIN(BT$38,$E189)&lt;MAX($P$34*($B189+$I$38-1),IF(AND($L$37=0,$P$34=0),"",$L$37-1)),0,YEARFRAC(MAX($P$34*($B189+$I$38-1),IF(AND($L$37=0,$P$34=0),"",$L$37-1)),MIN(BT$38,$E189),$P$20))-SUM($BF189:BS189))</f>
        <v>0</v>
      </c>
      <c r="BU189" s="446">
        <f>IF($E189=0,0,IF(MIN(BU$38,$E189)&lt;MAX($P$34*($B189+$I$38-1),IF(AND($L$37=0,$P$34=0),"",$L$37-1)),0,YEARFRAC(MAX($P$34*($B189+$I$38-1),IF(AND($L$37=0,$P$34=0),"",$L$37-1)),MIN(BU$38,$E189),$P$20))-SUM($BF189:BT189))</f>
        <v>0</v>
      </c>
      <c r="BV189" s="446">
        <f>IF($E189=0,0,IF(MIN(BV$38,$E189)&lt;MAX($P$34*($B189+$I$38-1),IF(AND($L$37=0,$P$34=0),"",$L$37-1)),0,YEARFRAC(MAX($P$34*($B189+$I$38-1),IF(AND($L$37=0,$P$34=0),"",$L$37-1)),MIN(BV$38,$E189),$P$20))-SUM($BF189:BU189))</f>
        <v>0</v>
      </c>
      <c r="BW189" s="446">
        <f>IF($E189=0,0,IF(MIN(BW$38,$E189)&lt;MAX($P$34*($B189+$I$38-1),IF(AND($L$37=0,$P$34=0),"",$L$37-1)),0,YEARFRAC(MAX($P$34*($B189+$I$38-1),IF(AND($L$37=0,$P$34=0),"",$L$37-1)),MIN(BW$38,$E189),$P$20))-SUM($BF189:BV189))</f>
        <v>0</v>
      </c>
      <c r="BX189" s="446">
        <f>IF($E189=0,0,IF(MIN(BX$38,$E189)&lt;MAX($P$34*($B189+$I$38-1),IF(AND($L$37=0,$P$34=0),"",$L$37-1)),0,YEARFRAC(MAX($P$34*($B189+$I$38-1),IF(AND($L$37=0,$P$34=0),"",$L$37-1)),MIN(BX$38,$E189),$P$20))-SUM($BF189:BW189))</f>
        <v>0</v>
      </c>
      <c r="BY189" s="446">
        <f>IF($E189=0,0,IF(MIN(BY$38,$E189)&lt;MAX($P$34*($B189+$I$38-1),IF(AND($L$37=0,$P$34=0),"",$L$37-1)),0,YEARFRAC(MAX($P$34*($B189+$I$38-1),IF(AND($L$37=0,$P$34=0),"",$L$37-1)),MIN(BY$38,$E189),$P$20))-SUM($BF189:BX189))</f>
        <v>0</v>
      </c>
      <c r="BZ189" s="446">
        <f>IF($E189=0,0,IF(MIN(BZ$38,$E189)&lt;MAX($P$34*($B189+$I$38-1),IF(AND($L$37=0,$P$34=0),"",$L$37-1)),0,YEARFRAC(MAX($P$34*($B189+$I$38-1),IF(AND($L$37=0,$P$34=0),"",$L$37-1)),MIN(BZ$38,$E189),$P$20))-SUM($BF189:BY189))</f>
        <v>0</v>
      </c>
      <c r="CA189" s="446">
        <f>IF($E189=0,0,IF(MIN(CA$38,$E189)&lt;MAX($P$34*($B189+$I$38-1),IF(AND($L$37=0,$P$34=0),"",$L$37-1)),0,YEARFRAC(MAX($P$34*($B189+$I$38-1),IF(AND($L$37=0,$P$34=0),"",$L$37-1)),MIN(CA$38,$E189),$P$20))-SUM($BF189:BZ189))</f>
        <v>0</v>
      </c>
      <c r="CB189" s="446">
        <f>IF($E189=0,0,IF(MIN(CB$38,$E189)&lt;MAX($P$34*($B189+$I$38-1),IF(AND($L$37=0,$P$34=0),"",$L$37-1)),0,YEARFRAC(MAX($P$34*($B189+$I$38-1),IF(AND($L$37=0,$P$34=0),"",$L$37-1)),MIN(CB$38,$E189),$P$20))-SUM($BF189:CA189))</f>
        <v>0</v>
      </c>
      <c r="CC189" s="446">
        <f>IF($E189=0,0,IF(MIN(CC$38,$E189)&lt;MAX($P$34*($B189+$I$38-1),IF(AND($L$37=0,$P$34=0),"",$L$37-1)),0,YEARFRAC(MAX($P$34*($B189+$I$38-1),IF(AND($L$37=0,$P$34=0),"",$L$37-1)),MIN(CC$38,$E189),$P$20))-SUM($BF189:CB189))</f>
        <v>0</v>
      </c>
      <c r="CD189" s="446">
        <f>IF($E189=0,0,IF(MIN(CD$38,$E189)&lt;MAX($P$34*($B189+$I$38-1),IF(AND($L$37=0,$P$34=0),"",$L$37-1)),0,YEARFRAC(MAX($P$34*($B189+$I$38-1),IF(AND($L$37=0,$P$34=0),"",$L$37-1)),MIN(CD$38,$E189),$P$20))-SUM($BF189:CC189))</f>
        <v>0</v>
      </c>
      <c r="CE189" s="446">
        <f>IF($E189=0,0,IF(MIN(CE$38,$E189)&lt;MAX($P$34*($B189+$I$38-1),IF(AND($L$37=0,$P$34=0),"",$L$37-1)),0,YEARFRAC(MAX($P$34*($B189+$I$38-1),IF(AND($L$37=0,$P$34=0),"",$L$37-1)),MIN(CE$38,$E189),$P$20))-SUM($BF189:CD189))</f>
        <v>0</v>
      </c>
      <c r="CF189" s="446">
        <f>IF($E189=0,0,IF(MIN(CF$38,$E189)&lt;MAX($P$34*($B189+$I$38-1),IF(AND($L$37=0,$P$34=0),"",$L$37-1)),0,YEARFRAC(MAX($P$34*($B189+$I$38-1),IF(AND($L$37=0,$P$34=0),"",$L$37-1)),MIN(CF$38,$E189),$P$20))-SUM($BF189:CE189))</f>
        <v>0</v>
      </c>
      <c r="CG189" s="446">
        <f>IF($E189=0,0,IF(MIN(CG$38,$E189)&lt;MAX($P$34*($B189+$I$38-1),IF(AND($L$37=0,$P$34=0),"",$L$37-1)),0,YEARFRAC(MAX($P$34*($B189+$I$38-1),IF(AND($L$37=0,$P$34=0),"",$L$37-1)),MIN(CG$38,$E189),$P$20))-SUM($BF189:CF189))</f>
        <v>0</v>
      </c>
      <c r="CH189" s="446">
        <f>IF($E189=0,0,IF(MIN(CH$38,$E189)&lt;MAX($P$34*($B189+$I$38-1),IF(AND($L$37=0,$P$34=0),"",$L$37-1)),0,YEARFRAC(MAX($P$34*($B189+$I$38-1),IF(AND($L$37=0,$P$34=0),"",$L$37-1)),MIN(CH$38,$E189),$P$20))-SUM($BF189:CG189))</f>
        <v>0</v>
      </c>
      <c r="CI189" s="446">
        <f>IF($E189=0,0,IF(MIN(CI$38,$E189)&lt;MAX($P$34*($B189+$I$38-1),IF(AND($L$37=0,$P$34=0),"",$L$37-1)),0,YEARFRAC(MAX($P$34*($B189+$I$38-1),IF(AND($L$37=0,$P$34=0),"",$L$37-1)),MIN(CI$38,$E189),$P$20))-SUM($BF189:CH189))</f>
        <v>0</v>
      </c>
      <c r="CJ189" s="446">
        <f>IF($E189=0,0,IF(MIN(CJ$38,$E189)&lt;MAX($P$34*($B189+$I$38-1),IF(AND($L$37=0,$P$34=0),"",$L$37-1)),0,YEARFRAC(MAX($P$34*($B189+$I$38-1),IF(AND($L$37=0,$P$34=0),"",$L$37-1)),MIN(CJ$38,$E189),$P$20))-SUM($BF189:CI189))</f>
        <v>0</v>
      </c>
      <c r="CK189" s="446">
        <f>IF($E189=0,0,IF(MIN(CK$38,$E189)&lt;MAX($P$34*($B189+$I$38-1),IF(AND($L$37=0,$P$34=0),"",$L$37-1)),0,YEARFRAC(MAX($P$34*($B189+$I$38-1),IF(AND($L$37=0,$P$34=0),"",$L$37-1)),MIN(CK$38,$E189),$P$20))-SUM($BF189:CJ189))</f>
        <v>0</v>
      </c>
      <c r="CL189" s="446">
        <f>IF($E189=0,0,IF(MIN(CL$38,$E189)&lt;MAX($P$34*($B189+$I$38-1),IF(AND($L$37=0,$P$34=0),"",$L$37-1)),0,YEARFRAC(MAX($P$34*($B189+$I$38-1),IF(AND($L$37=0,$P$34=0),"",$L$37-1)),MIN(CL$38,$E189),$P$20))-SUM($BF189:CK189))</f>
        <v>0</v>
      </c>
      <c r="CM189" s="446">
        <f>IF($E189=0,0,IF(MIN(CM$38,$E189)&lt;MAX($P$34*($B189+$I$38-1),IF(AND($L$37=0,$P$34=0),"",$L$37-1)),0,YEARFRAC(MAX($P$34*($B189+$I$38-1),IF(AND($L$37=0,$P$34=0),"",$L$37-1)),MIN(CM$38,$E189),$P$20))-SUM($BF189:CL189))</f>
        <v>0</v>
      </c>
      <c r="CN189" s="446">
        <f>IF($E189=0,0,IF(MIN(CN$38,$E189)&lt;MAX($P$34*($B189+$I$38-1),IF(AND($L$37=0,$P$34=0),"",$L$37-1)),0,YEARFRAC(MAX($P$34*($B189+$I$38-1),IF(AND($L$37=0,$P$34=0),"",$L$37-1)),MIN(CN$38,$E189),$P$20))-SUM($BF189:CM189))</f>
        <v>0</v>
      </c>
      <c r="CO189" s="446">
        <f>IF($E189=0,0,IF(MIN(CO$38,$E189)&lt;MAX($P$34*($B189+$I$38-1),IF(AND($L$37=0,$P$34=0),"",$L$37-1)),0,YEARFRAC(MAX($P$34*($B189+$I$38-1),IF(AND($L$37=0,$P$34=0),"",$L$37-1)),MIN(CO$38,$E189),$P$20))-SUM($BF189:CN189))</f>
        <v>0</v>
      </c>
      <c r="CP189" s="446">
        <f>IF($E189=0,0,IF(MIN(CP$38,$E189)&lt;MAX($P$34*($B189+$I$38-1),IF(AND($L$37=0,$P$34=0),"",$L$37-1)),0,YEARFRAC(MAX($P$34*($B189+$I$38-1),IF(AND($L$37=0,$P$34=0),"",$L$37-1)),MIN(CP$38,$E189),$P$20))-SUM($BF189:CO189))</f>
        <v>0</v>
      </c>
      <c r="CQ189" s="446">
        <f>IF($E189=0,0,IF(MIN(CQ$38,$E189)&lt;MAX($P$34*($B189+$I$38-1),IF(AND($L$37=0,$P$34=0),"",$L$37-1)),0,YEARFRAC(MAX($P$34*($B189+$I$38-1),IF(AND($L$37=0,$P$34=0),"",$L$37-1)),MIN(CQ$38,$E189),$P$20))-SUM($BF189:CP189))</f>
        <v>0</v>
      </c>
    </row>
    <row r="190" spans="1:95" s="446" customFormat="1" ht="11.25" hidden="1" customHeight="1" x14ac:dyDescent="0.2">
      <c r="A190" s="152"/>
      <c r="B190" s="153" t="str">
        <f t="shared" si="37"/>
        <v/>
      </c>
      <c r="C190" s="29" t="str">
        <f>IF(B190="","",IF($L$35="SELIC - TRIBUTOS",VLOOKUP(DATE(YEAR($D$19),MONTH($D$19)-1,1),ÍNDICES!$A:$DE,HLOOKUP($BL$25,ÍNDICES!$B$3:$T$4,2)+11)-VLOOKUP(B190,ÍNDICES!$A:$DE,HLOOKUP($BL$25,ÍNDICES!$B$3:$T$4,2)+11)+1%,IF(C$38=$W$26,$J$35,IF(ISERROR(IF(B190&gt;$D$19,1,VLOOKUP(DATE(YEAR(B190),MONTH(B190)+IF($C$35=$S$23,1,0),1),ÍNDICES!$A:$DE,$Z$35+1))),"",IF(B190&gt;$D$19,1,VLOOKUP(DATE(YEAR(B190),MONTH(B190)+IF($C$35=$S$23,1,0),1),ÍNDICES!$A:$DE,$Z$35+1))))))</f>
        <v/>
      </c>
      <c r="D190" s="154" t="str">
        <f>IF(ISERROR(IF(OR($D$38=$Y$27,$B190=""),"",VLOOKUP(B190,ÍNDICES!A:DE,AF$35+1))),"",IF(OR($D$38=$Y$27,$B190=""),"",VLOOKUP(B190,ÍNDICES!A:DE,AF$35+1)))</f>
        <v/>
      </c>
      <c r="E190" s="153"/>
      <c r="F190" s="29" t="str">
        <f>IF(E190="","",IF($L$35="SELIC - TRIBUTOS",VLOOKUP(DATE(YEAR($D$19),MONTH($D$19)-1,1),ÍNDICES!$A:$DE,HLOOKUP($BL$25,ÍNDICES!$B$3:$T$4,2)+11)-VLOOKUP(E190,ÍNDICES!$A:$DE,HLOOKUP($BL$25,ÍNDICES!$B$3:$T$4,2)+11)+1%,IF(F$38=$W$26,$J$35,IF(ISERROR(IF(E190&gt;$D$19,1,VLOOKUP(DATE(YEAR(E190),MONTH(E190)+IF($C$35=$S$23,1,0),1),ÍNDICES!$A:$DE,$Z$35+1))),"",IF(E190&gt;$D$19,1,VLOOKUP(DATE(YEAR(E190),MONTH(E190)+IF($C$35=$S$23,1,0),1),ÍNDICES!$A:$DE,$Z$35+1))))))</f>
        <v/>
      </c>
      <c r="G190" s="155"/>
      <c r="H190" s="156" t="str">
        <f t="shared" si="33"/>
        <v/>
      </c>
      <c r="I190" s="29" t="str">
        <f t="shared" si="27"/>
        <v/>
      </c>
      <c r="J190" s="5">
        <f t="shared" si="28"/>
        <v>0</v>
      </c>
      <c r="K190" s="20">
        <f t="shared" ca="1" si="29"/>
        <v>0</v>
      </c>
      <c r="L190" s="5">
        <f t="shared" ca="1" si="30"/>
        <v>0</v>
      </c>
      <c r="M190" s="64">
        <f t="shared" si="34"/>
        <v>0</v>
      </c>
      <c r="N190" s="61">
        <f t="shared" ca="1" si="35"/>
        <v>0</v>
      </c>
      <c r="O190" s="5">
        <f t="shared" ca="1" si="36"/>
        <v>0</v>
      </c>
      <c r="P190" s="446" t="e">
        <f t="shared" si="31"/>
        <v>#VALUE!</v>
      </c>
      <c r="Q190" s="446" t="e">
        <f>IF(OR($B190="",MIN(Q$38,$D$19)&lt;MAX($P$34*($B190+IF($R$17="Distrato",$I$38-1,0)),IF(AND($L$37=0,$P$34=0),"",$L$37-1),IF($R$17="Distrato",$E190,0))),0,YEARFRAC(MAX($P$34*($B190+IF($R$17="Distrato",$I$38-1,0)),IF(AND($L$37=0,$P$34=0),"",$L$37-1),IF($R$17="Distrato",$E190,0)),MIN(Q$38,$D$19),$P$20))-SUM($P190:P190)</f>
        <v>#VALUE!</v>
      </c>
      <c r="R190" s="446" t="e">
        <f>IF(OR($B190="",MIN(R$38,$D$19)&lt;MAX($P$34*($B190+IF($R$17="Distrato",$I$38-1,0)),IF(AND($L$37=0,$P$34=0),"",$L$37-1),IF($R$17="Distrato",$E190,0))),0,YEARFRAC(MAX($P$34*($B190+IF($R$17="Distrato",$I$38-1,0)),IF(AND($L$37=0,$P$34=0),"",$L$37-1),IF($R$17="Distrato",$E190,0)),MIN(R$38,$D$19),$P$20))-SUM($P190:Q190)</f>
        <v>#VALUE!</v>
      </c>
      <c r="S190" s="446" t="e">
        <f>IF(OR($B190="",MIN(S$38,$D$19)&lt;MAX($P$34*($B190+IF($R$17="Distrato",$I$38-1,0)),IF(AND($L$37=0,$P$34=0),"",$L$37-1),IF($R$17="Distrato",$E190,0))),0,YEARFRAC(MAX($P$34*($B190+IF($R$17="Distrato",$I$38-1,0)),IF(AND($L$37=0,$P$34=0),"",$L$37-1),IF($R$17="Distrato",$E190,0)),MIN(S$38,$D$19),$P$20))-SUM($P190:R190)</f>
        <v>#VALUE!</v>
      </c>
      <c r="T190" s="446" t="e">
        <f>IF(OR($B190="",MIN(T$38,$D$19)&lt;MAX($P$34*($B190+IF($R$17="Distrato",$I$38-1,0)),IF(AND($L$37=0,$P$34=0),"",$L$37-1),IF($R$17="Distrato",$E190,0))),0,YEARFRAC(MAX($P$34*($B190+IF($R$17="Distrato",$I$38-1,0)),IF(AND($L$37=0,$P$34=0),"",$L$37-1),IF($R$17="Distrato",$E190,0)),MIN(T$38,$D$19),$P$20))-SUM($P190:S190)</f>
        <v>#VALUE!</v>
      </c>
      <c r="U190" s="446" t="e">
        <f>IF(OR($B190="",MIN(U$38,$D$19)&lt;MAX($P$34*($B190+IF($R$17="Distrato",$I$38-1,0)),IF(AND($L$37=0,$P$34=0),"",$L$37-1),IF($R$17="Distrato",$E190,0))),0,YEARFRAC(MAX($P$34*($B190+IF($R$17="Distrato",$I$38-1,0)),IF(AND($L$37=0,$P$34=0),"",$L$37-1),IF($R$17="Distrato",$E190,0)),MIN(U$38,$D$19),$P$20))-SUM($P190:T190)</f>
        <v>#VALUE!</v>
      </c>
      <c r="V190" s="446" t="e">
        <f>IF(OR($B190="",MIN(V$38,$D$19)&lt;MAX($P$34*($B190+IF($R$17="Distrato",$I$38-1,0)),IF(AND($L$37=0,$P$34=0),"",$L$37-1),IF($R$17="Distrato",$E190,0))),0,YEARFRAC(MAX($P$34*($B190+IF($R$17="Distrato",$I$38-1,0)),IF(AND($L$37=0,$P$34=0),"",$L$37-1),IF($R$17="Distrato",$E190,0)),MIN(V$38,$D$19),$P$20))-SUM($P190:U190)</f>
        <v>#VALUE!</v>
      </c>
      <c r="W190" s="446" t="e">
        <f>IF(OR($B190="",MIN(W$38,$D$19)&lt;MAX($P$34*($B190+IF($R$17="Distrato",$I$38-1,0)),IF(AND($L$37=0,$P$34=0),"",$L$37-1),IF($R$17="Distrato",$E190,0))),0,YEARFRAC(MAX($P$34*($B190+IF($R$17="Distrato",$I$38-1,0)),IF(AND($L$37=0,$P$34=0),"",$L$37-1),IF($R$17="Distrato",$E190,0)),MIN(W$38,$D$19),$P$20))-SUM($P190:V190)</f>
        <v>#VALUE!</v>
      </c>
      <c r="X190" s="446" t="e">
        <f>IF(OR($B190="",MIN(X$38,$D$19)&lt;MAX($P$34*($B190+IF($R$17="Distrato",$I$38-1,0)),IF(AND($L$37=0,$P$34=0),"",$L$37-1),IF($R$17="Distrato",$E190,0))),0,YEARFRAC(MAX($P$34*($B190+IF($R$17="Distrato",$I$38-1,0)),IF(AND($L$37=0,$P$34=0),"",$L$37-1),IF($R$17="Distrato",$E190,0)),MIN(X$38,$D$19),$P$20))-SUM($P190:W190)</f>
        <v>#VALUE!</v>
      </c>
      <c r="Y190" s="446" t="e">
        <f>IF(OR($B190="",MIN(Y$38,$D$19)&lt;MAX($P$34*($B190+IF($R$17="Distrato",$I$38-1,0)),IF(AND($L$37=0,$P$34=0),"",$L$37-1),IF($R$17="Distrato",$E190,0))),0,YEARFRAC(MAX($P$34*($B190+IF($R$17="Distrato",$I$38-1,0)),IF(AND($L$37=0,$P$34=0),"",$L$37-1),IF($R$17="Distrato",$E190,0)),MIN(Y$38,$D$19),$P$20))-SUM($P190:X190)</f>
        <v>#VALUE!</v>
      </c>
      <c r="Z190" s="446" t="e">
        <f>IF(OR($B190="",MIN(Z$38,$D$19)&lt;MAX($P$34*($B190+IF($R$17="Distrato",$I$38-1,0)),IF(AND($L$37=0,$P$34=0),"",$L$37-1),IF($R$17="Distrato",$E190,0))),0,YEARFRAC(MAX($P$34*($B190+IF($R$17="Distrato",$I$38-1,0)),IF(AND($L$37=0,$P$34=0),"",$L$37-1),IF($R$17="Distrato",$E190,0)),MIN(Z$38,$D$19),$P$20))-SUM($P190:Y190)</f>
        <v>#VALUE!</v>
      </c>
      <c r="AA190" s="446" t="e">
        <f>IF(OR($B190="",MIN(AA$38,$D$19)&lt;MAX($P$34*($B190+IF($R$17="Distrato",$I$38-1,0)),IF(AND($L$37=0,$P$34=0),"",$L$37-1),IF($R$17="Distrato",$E190,0))),0,YEARFRAC(MAX($P$34*($B190+IF($R$17="Distrato",$I$38-1,0)),IF(AND($L$37=0,$P$34=0),"",$L$37-1),IF($R$17="Distrato",$E190,0)),MIN(AA$38,$D$19),$P$20))-SUM($P190:Z190)</f>
        <v>#VALUE!</v>
      </c>
      <c r="AB190" s="446" t="e">
        <f>IF(OR($B190="",MIN(AB$38,$D$19)&lt;MAX($P$34*($B190+IF($R$17="Distrato",$I$38-1,0)),IF(AND($L$37=0,$P$34=0),"",$L$37-1),IF($R$17="Distrato",$E190,0))),0,YEARFRAC(MAX($P$34*($B190+IF($R$17="Distrato",$I$38-1,0)),IF(AND($L$37=0,$P$34=0),"",$L$37-1),IF($R$17="Distrato",$E190,0)),MIN(AB$38,$D$19),$P$20))-SUM($P190:AA190)</f>
        <v>#VALUE!</v>
      </c>
      <c r="AC190" s="446" t="e">
        <f>IF(OR($B190="",MIN(AC$38,$D$19)&lt;MAX($P$34*($B190+IF($R$17="Distrato",$I$38-1,0)),IF(AND($L$37=0,$P$34=0),"",$L$37-1),IF($R$17="Distrato",$E190,0))),0,YEARFRAC(MAX($P$34*($B190+IF($R$17="Distrato",$I$38-1,0)),IF(AND($L$37=0,$P$34=0),"",$L$37-1),IF($R$17="Distrato",$E190,0)),MIN(AC$38,$D$19),$P$20))-SUM($P190:AB190)</f>
        <v>#VALUE!</v>
      </c>
      <c r="AD190" s="446" t="e">
        <f>IF(OR($B190="",MIN(AD$38,$D$19)&lt;MAX($P$34*($B190+IF($R$17="Distrato",$I$38-1,0)),IF(AND($L$37=0,$P$34=0),"",$L$37-1),IF($R$17="Distrato",$E190,0))),0,YEARFRAC(MAX($P$34*($B190+IF($R$17="Distrato",$I$38-1,0)),IF(AND($L$37=0,$P$34=0),"",$L$37-1),IF($R$17="Distrato",$E190,0)),MIN(AD$38,$D$19),$P$20))-SUM($P190:AC190)</f>
        <v>#VALUE!</v>
      </c>
      <c r="AE190" s="446" t="e">
        <f>IF(OR($B190="",MIN(AE$38,$D$19)&lt;MAX($P$34*($B190+IF($R$17="Distrato",$I$38-1,0)),IF(AND($L$37=0,$P$34=0),"",$L$37-1),IF($R$17="Distrato",$E190,0))),0,YEARFRAC(MAX($P$34*($B190+IF($R$17="Distrato",$I$38-1,0)),IF(AND($L$37=0,$P$34=0),"",$L$37-1),IF($R$17="Distrato",$E190,0)),MIN(AE$38,$D$19),$P$20))-SUM($P190:AD190)</f>
        <v>#VALUE!</v>
      </c>
      <c r="AF190" s="446" t="e">
        <f>IF(OR($B190="",MIN(AF$38,$D$19)&lt;MAX($P$34*($B190+IF($R$17="Distrato",$I$38-1,0)),IF(AND($L$37=0,$P$34=0),"",$L$37-1),IF($R$17="Distrato",$E190,0))),0,YEARFRAC(MAX($P$34*($B190+IF($R$17="Distrato",$I$38-1,0)),IF(AND($L$37=0,$P$34=0),"",$L$37-1),IF($R$17="Distrato",$E190,0)),MIN(AF$38,$D$19),$P$20))-SUM($P190:AE190)</f>
        <v>#VALUE!</v>
      </c>
      <c r="AG190" s="446" t="e">
        <f>IF(OR($B190="",MIN(AG$38,$D$19)&lt;MAX($P$34*($B190+IF($R$17="Distrato",$I$38-1,0)),IF(AND($L$37=0,$P$34=0),"",$L$37-1),IF($R$17="Distrato",$E190,0))),0,YEARFRAC(MAX($P$34*($B190+IF($R$17="Distrato",$I$38-1,0)),IF(AND($L$37=0,$P$34=0),"",$L$37-1),IF($R$17="Distrato",$E190,0)),MIN(AG$38,$D$19),$P$20))-SUM($P190:AF190)</f>
        <v>#VALUE!</v>
      </c>
      <c r="AH190" s="446" t="e">
        <f>IF(OR($B190="",MIN(AH$38,$D$19)&lt;MAX($P$34*($B190+IF($R$17="Distrato",$I$38-1,0)),IF(AND($L$37=0,$P$34=0),"",$L$37-1),IF($R$17="Distrato",$E190,0))),0,YEARFRAC(MAX($P$34*($B190+IF($R$17="Distrato",$I$38-1,0)),IF(AND($L$37=0,$P$34=0),"",$L$37-1),IF($R$17="Distrato",$E190,0)),MIN(AH$38,$D$19),$P$20))-SUM($P190:AG190)</f>
        <v>#VALUE!</v>
      </c>
      <c r="AI190" s="446" t="e">
        <f>IF(OR($B190="",MIN(AI$38,$D$19)&lt;MAX($P$34*($B190+IF($R$17="Distrato",$I$38-1,0)),IF(AND($L$37=0,$P$34=0),"",$L$37-1),IF($R$17="Distrato",$E190,0))),0,YEARFRAC(MAX($P$34*($B190+IF($R$17="Distrato",$I$38-1,0)),IF(AND($L$37=0,$P$34=0),"",$L$37-1),IF($R$17="Distrato",$E190,0)),MIN(AI$38,$D$19),$P$20))-SUM($P190:AH190)</f>
        <v>#VALUE!</v>
      </c>
      <c r="AJ190" s="446" t="e">
        <f>IF(OR($B190="",MIN(AJ$38,$D$19)&lt;MAX($P$34*($B190+IF($R$17="Distrato",$I$38-1,0)),IF(AND($L$37=0,$P$34=0),"",$L$37-1),IF($R$17="Distrato",$E190,0))),0,YEARFRAC(MAX($P$34*($B190+IF($R$17="Distrato",$I$38-1,0)),IF(AND($L$37=0,$P$34=0),"",$L$37-1),IF($R$17="Distrato",$E190,0)),MIN(AJ$38,$D$19),$P$20))-SUM($P190:AI190)</f>
        <v>#VALUE!</v>
      </c>
      <c r="AK190" s="446" t="e">
        <f>IF(OR($B190="",MIN(AK$38,$D$19)&lt;MAX($P$34*($B190+IF($R$17="Distrato",$I$38-1,0)),IF(AND($L$37=0,$P$34=0),"",$L$37-1),IF($R$17="Distrato",$E190,0))),0,YEARFRAC(MAX($P$34*($B190+IF($R$17="Distrato",$I$38-1,0)),IF(AND($L$37=0,$P$34=0),"",$L$37-1),IF($R$17="Distrato",$E190,0)),MIN(AK$38,$D$19),$P$20))-SUM($P190:AJ190)</f>
        <v>#VALUE!</v>
      </c>
      <c r="AL190" s="446" t="e">
        <f>IF(OR($B190="",MIN(AL$38,$D$19)&lt;MAX($P$34*($B190+IF($R$17="Distrato",$I$38-1,0)),IF(AND($L$37=0,$P$34=0),"",$L$37-1),IF($R$17="Distrato",$E190,0))),0,YEARFRAC(MAX($P$34*($B190+IF($R$17="Distrato",$I$38-1,0)),IF(AND($L$37=0,$P$34=0),"",$L$37-1),IF($R$17="Distrato",$E190,0)),MIN(AL$38,$D$19),$P$20))-SUM($P190:AK190)</f>
        <v>#VALUE!</v>
      </c>
      <c r="AM190" s="446" t="e">
        <f>IF(OR($B190="",MIN(AM$38,$D$19)&lt;MAX($P$34*($B190+IF($R$17="Distrato",$I$38-1,0)),IF(AND($L$37=0,$P$34=0),"",$L$37-1),IF($R$17="Distrato",$E190,0))),0,YEARFRAC(MAX($P$34*($B190+IF($R$17="Distrato",$I$38-1,0)),IF(AND($L$37=0,$P$34=0),"",$L$37-1),IF($R$17="Distrato",$E190,0)),MIN(AM$38,$D$19),$P$20))-SUM($P190:AL190)</f>
        <v>#VALUE!</v>
      </c>
      <c r="AN190" s="446" t="e">
        <f>IF(OR($B190="",MIN(AN$38,$D$19)&lt;MAX($P$34*($B190+IF($R$17="Distrato",$I$38-1,0)),IF(AND($L$37=0,$P$34=0),"",$L$37-1),IF($R$17="Distrato",$E190,0))),0,YEARFRAC(MAX($P$34*($B190+IF($R$17="Distrato",$I$38-1,0)),IF(AND($L$37=0,$P$34=0),"",$L$37-1),IF($R$17="Distrato",$E190,0)),MIN(AN$38,$D$19),$P$20))-SUM($P190:AM190)</f>
        <v>#VALUE!</v>
      </c>
      <c r="AO190" s="446" t="e">
        <f>IF(OR($B190="",MIN(AO$38,$D$19)&lt;MAX($P$34*($B190+IF($R$17="Distrato",$I$38-1,0)),IF(AND($L$37=0,$P$34=0),"",$L$37-1),IF($R$17="Distrato",$E190,0))),0,YEARFRAC(MAX($P$34*($B190+IF($R$17="Distrato",$I$38-1,0)),IF(AND($L$37=0,$P$34=0),"",$L$37-1),IF($R$17="Distrato",$E190,0)),MIN(AO$38,$D$19),$P$20))-SUM($P190:AN190)</f>
        <v>#VALUE!</v>
      </c>
      <c r="AP190" s="446" t="e">
        <f>IF(OR($B190="",MIN(AP$38,$D$19)&lt;MAX($P$34*($B190+IF($R$17="Distrato",$I$38-1,0)),IF(AND($L$37=0,$P$34=0),"",$L$37-1),IF($R$17="Distrato",$E190,0))),0,YEARFRAC(MAX($P$34*($B190+IF($R$17="Distrato",$I$38-1,0)),IF(AND($L$37=0,$P$34=0),"",$L$37-1),IF($R$17="Distrato",$E190,0)),MIN(AP$38,$D$19),$P$20))-SUM($P190:AO190)</f>
        <v>#VALUE!</v>
      </c>
      <c r="AQ190" s="446" t="e">
        <f>IF(OR($B190="",MIN(AQ$38,$D$19)&lt;MAX($P$34*($B190+IF($R$17="Distrato",$I$38-1,0)),IF(AND($L$37=0,$P$34=0),"",$L$37-1),IF($R$17="Distrato",$E190,0))),0,YEARFRAC(MAX($P$34*($B190+IF($R$17="Distrato",$I$38-1,0)),IF(AND($L$37=0,$P$34=0),"",$L$37-1),IF($R$17="Distrato",$E190,0)),MIN(AQ$38,$D$19),$P$20))-SUM($P190:AP190)</f>
        <v>#VALUE!</v>
      </c>
      <c r="AR190" s="446" t="e">
        <f>IF(OR($B190="",MIN(AR$38,$D$19)&lt;MAX($P$34*($B190+IF($R$17="Distrato",$I$38-1,0)),IF(AND($L$37=0,$P$34=0),"",$L$37-1),IF($R$17="Distrato",$E190,0))),0,YEARFRAC(MAX($P$34*($B190+IF($R$17="Distrato",$I$38-1,0)),IF(AND($L$37=0,$P$34=0),"",$L$37-1),IF($R$17="Distrato",$E190,0)),MIN(AR$38,$D$19),$P$20))-SUM($P190:AQ190)</f>
        <v>#VALUE!</v>
      </c>
      <c r="AS190" s="446" t="e">
        <f>IF(OR($B190="",MIN(AS$38,$D$19)&lt;MAX($P$34*($B190+IF($R$17="Distrato",$I$38-1,0)),IF(AND($L$37=0,$P$34=0),"",$L$37-1),IF($R$17="Distrato",$E190,0))),0,YEARFRAC(MAX($P$34*($B190+IF($R$17="Distrato",$I$38-1,0)),IF(AND($L$37=0,$P$34=0),"",$L$37-1),IF($R$17="Distrato",$E190,0)),MIN(AS$38,$D$19),$P$20))-SUM($P190:AR190)</f>
        <v>#VALUE!</v>
      </c>
      <c r="AT190" s="446" t="e">
        <f>IF(OR($B190="",MIN(AT$38,$D$19)&lt;MAX($P$34*($B190+IF($R$17="Distrato",$I$38-1,0)),IF(AND($L$37=0,$P$34=0),"",$L$37-1),IF($R$17="Distrato",$E190,0))),0,YEARFRAC(MAX($P$34*($B190+IF($R$17="Distrato",$I$38-1,0)),IF(AND($L$37=0,$P$34=0),"",$L$37-1),IF($R$17="Distrato",$E190,0)),MIN(AT$38,$D$19),$P$20))-SUM($P190:AS190)</f>
        <v>#VALUE!</v>
      </c>
      <c r="AU190" s="446" t="e">
        <f>IF(OR($B190="",MIN(AU$38,$D$19)&lt;MAX($P$34*($B190+IF($R$17="Distrato",$I$38-1,0)),IF(AND($L$37=0,$P$34=0),"",$L$37-1),IF($R$17="Distrato",$E190,0))),0,YEARFRAC(MAX($P$34*($B190+IF($R$17="Distrato",$I$38-1,0)),IF(AND($L$37=0,$P$34=0),"",$L$37-1),IF($R$17="Distrato",$E190,0)),MIN(AU$38,$D$19),$P$20))-SUM($P190:AT190)</f>
        <v>#VALUE!</v>
      </c>
      <c r="AV190" s="446" t="e">
        <f>IF(OR($B190="",MIN(AV$38,$D$19)&lt;MAX($P$34*($B190+IF($R$17="Distrato",$I$38-1,0)),IF(AND($L$37=0,$P$34=0),"",$L$37-1),IF($R$17="Distrato",$E190,0))),0,YEARFRAC(MAX($P$34*($B190+IF($R$17="Distrato",$I$38-1,0)),IF(AND($L$37=0,$P$34=0),"",$L$37-1),IF($R$17="Distrato",$E190,0)),MIN(AV$38,$D$19),$P$20))-SUM($P190:AU190)</f>
        <v>#VALUE!</v>
      </c>
      <c r="AW190" s="446" t="e">
        <f>IF(OR($B190="",MIN(AW$38,$D$19)&lt;MAX($P$34*($B190+IF($R$17="Distrato",$I$38-1,0)),IF(AND($L$37=0,$P$34=0),"",$L$37-1),IF($R$17="Distrato",$E190,0))),0,YEARFRAC(MAX($P$34*($B190+IF($R$17="Distrato",$I$38-1,0)),IF(AND($L$37=0,$P$34=0),"",$L$37-1),IF($R$17="Distrato",$E190,0)),MIN(AW$38,$D$19),$P$20))-SUM($P190:AV190)</f>
        <v>#VALUE!</v>
      </c>
      <c r="AX190" s="446" t="e">
        <f>IF(OR($B190="",MIN(AX$38,$D$19)&lt;MAX($P$34*($B190+IF($R$17="Distrato",$I$38-1,0)),IF(AND($L$37=0,$P$34=0),"",$L$37-1),IF($R$17="Distrato",$E190,0))),0,YEARFRAC(MAX($P$34*($B190+IF($R$17="Distrato",$I$38-1,0)),IF(AND($L$37=0,$P$34=0),"",$L$37-1),IF($R$17="Distrato",$E190,0)),MIN(AX$38,$D$19),$P$20))-SUM($P190:AW190)</f>
        <v>#VALUE!</v>
      </c>
      <c r="AY190" s="446" t="e">
        <f>IF(OR($B190="",MIN(AY$38,$D$19)&lt;MAX($P$34*($B190+IF($R$17="Distrato",$I$38-1,0)),IF(AND($L$37=0,$P$34=0),"",$L$37-1),IF($R$17="Distrato",$E190,0))),0,YEARFRAC(MAX($P$34*($B190+IF($R$17="Distrato",$I$38-1,0)),IF(AND($L$37=0,$P$34=0),"",$L$37-1),IF($R$17="Distrato",$E190,0)),MIN(AY$38,$D$19),$P$20))-SUM($P190:AX190)</f>
        <v>#VALUE!</v>
      </c>
      <c r="AZ190" s="446" t="e">
        <f>IF(OR($B190="",MIN(AZ$38,$D$19)&lt;MAX($P$34*($B190+IF($R$17="Distrato",$I$38-1,0)),IF(AND($L$37=0,$P$34=0),"",$L$37-1),IF($R$17="Distrato",$E190,0))),0,YEARFRAC(MAX($P$34*($B190+IF($R$17="Distrato",$I$38-1,0)),IF(AND($L$37=0,$P$34=0),"",$L$37-1),IF($R$17="Distrato",$E190,0)),MIN(AZ$38,$D$19),$P$20))-SUM($P190:AY190)</f>
        <v>#VALUE!</v>
      </c>
      <c r="BA190" s="446" t="e">
        <f>IF(OR($B190="",MIN(BA$38,$D$19)&lt;MAX($P$34*($B190+IF($R$17="Distrato",$I$38-1,0)),IF(AND($L$37=0,$P$34=0),"",$L$37-1),IF($R$17="Distrato",$E190,0))),0,YEARFRAC(MAX($P$34*($B190+IF($R$17="Distrato",$I$38-1,0)),IF(AND($L$37=0,$P$34=0),"",$L$37-1),IF($R$17="Distrato",$E190,0)),MIN(BA$38,$D$19),$P$20))-SUM($P190:AZ190)</f>
        <v>#VALUE!</v>
      </c>
      <c r="BB190" s="447"/>
      <c r="BF190" s="446">
        <f t="shared" si="32"/>
        <v>0</v>
      </c>
      <c r="BG190" s="446">
        <f>IF($E190=0,0,IF(MIN(BG$38,$E190)&lt;MAX($P$34*($B190+$I$38-1),IF(AND($L$37=0,$P$34=0),"",$L$37-1)),0,YEARFRAC(MAX($P$34*($B190+$I$38-1),IF(AND($L$37=0,$P$34=0),"",$L$37-1)),MIN(BG$38,$E190),$P$20))-SUM($BF190:BF190))</f>
        <v>0</v>
      </c>
      <c r="BH190" s="446">
        <f>IF($E190=0,0,IF(MIN(BH$38,$E190)&lt;MAX($P$34*($B190+$I$38-1),IF(AND($L$37=0,$P$34=0),"",$L$37-1)),0,YEARFRAC(MAX($P$34*($B190+$I$38-1),IF(AND($L$37=0,$P$34=0),"",$L$37-1)),MIN(BH$38,$E190),$P$20))-SUM($BF190:BG190))</f>
        <v>0</v>
      </c>
      <c r="BI190" s="446">
        <f>IF($E190=0,0,IF(MIN(BI$38,$E190)&lt;MAX($P$34*($B190+$I$38-1),IF(AND($L$37=0,$P$34=0),"",$L$37-1)),0,YEARFRAC(MAX($P$34*($B190+$I$38-1),IF(AND($L$37=0,$P$34=0),"",$L$37-1)),MIN(BI$38,$E190),$P$20))-SUM($BF190:BH190))</f>
        <v>0</v>
      </c>
      <c r="BJ190" s="446">
        <f>IF($E190=0,0,IF(MIN(BJ$38,$E190)&lt;MAX($P$34*($B190+$I$38-1),IF(AND($L$37=0,$P$34=0),"",$L$37-1)),0,YEARFRAC(MAX($P$34*($B190+$I$38-1),IF(AND($L$37=0,$P$34=0),"",$L$37-1)),MIN(BJ$38,$E190),$P$20))-SUM($BF190:BI190))</f>
        <v>0</v>
      </c>
      <c r="BK190" s="446">
        <f>IF($E190=0,0,IF(MIN(BK$38,$E190)&lt;MAX($P$34*($B190+$I$38-1),IF(AND($L$37=0,$P$34=0),"",$L$37-1)),0,YEARFRAC(MAX($P$34*($B190+$I$38-1),IF(AND($L$37=0,$P$34=0),"",$L$37-1)),MIN(BK$38,$E190),$P$20))-SUM($BF190:BJ190))</f>
        <v>0</v>
      </c>
      <c r="BL190" s="446">
        <f>IF($E190=0,0,IF(MIN(BL$38,$E190)&lt;MAX($P$34*($B190+$I$38-1),IF(AND($L$37=0,$P$34=0),"",$L$37-1)),0,YEARFRAC(MAX($P$34*($B190+$I$38-1),IF(AND($L$37=0,$P$34=0),"",$L$37-1)),MIN(BL$38,$E190),$P$20))-SUM($BF190:BK190))</f>
        <v>0</v>
      </c>
      <c r="BM190" s="446">
        <f>IF($E190=0,0,IF(MIN(BM$38,$E190)&lt;MAX($P$34*($B190+$I$38-1),IF(AND($L$37=0,$P$34=0),"",$L$37-1)),0,YEARFRAC(MAX($P$34*($B190+$I$38-1),IF(AND($L$37=0,$P$34=0),"",$L$37-1)),MIN(BM$38,$E190),$P$20))-SUM($BF190:BL190))</f>
        <v>0</v>
      </c>
      <c r="BN190" s="446">
        <f>IF($E190=0,0,IF(MIN(BN$38,$E190)&lt;MAX($P$34*($B190+$I$38-1),IF(AND($L$37=0,$P$34=0),"",$L$37-1)),0,YEARFRAC(MAX($P$34*($B190+$I$38-1),IF(AND($L$37=0,$P$34=0),"",$L$37-1)),MIN(BN$38,$E190),$P$20))-SUM($BF190:BM190))</f>
        <v>0</v>
      </c>
      <c r="BO190" s="446">
        <f>IF($E190=0,0,IF(MIN(BO$38,$E190)&lt;MAX($P$34*($B190+$I$38-1),IF(AND($L$37=0,$P$34=0),"",$L$37-1)),0,YEARFRAC(MAX($P$34*($B190+$I$38-1),IF(AND($L$37=0,$P$34=0),"",$L$37-1)),MIN(BO$38,$E190),$P$20))-SUM($BF190:BN190))</f>
        <v>0</v>
      </c>
      <c r="BP190" s="446">
        <f>IF($E190=0,0,IF(MIN(BP$38,$E190)&lt;MAX($P$34*($B190+$I$38-1),IF(AND($L$37=0,$P$34=0),"",$L$37-1)),0,YEARFRAC(MAX($P$34*($B190+$I$38-1),IF(AND($L$37=0,$P$34=0),"",$L$37-1)),MIN(BP$38,$E190),$P$20))-SUM($BF190:BO190))</f>
        <v>0</v>
      </c>
      <c r="BQ190" s="446">
        <f>IF($E190=0,0,IF(MIN(BQ$38,$E190)&lt;MAX($P$34*($B190+$I$38-1),IF(AND($L$37=0,$P$34=0),"",$L$37-1)),0,YEARFRAC(MAX($P$34*($B190+$I$38-1),IF(AND($L$37=0,$P$34=0),"",$L$37-1)),MIN(BQ$38,$E190),$P$20))-SUM($BF190:BP190))</f>
        <v>0</v>
      </c>
      <c r="BR190" s="446">
        <f>IF($E190=0,0,IF(MIN(BR$38,$E190)&lt;MAX($P$34*($B190+$I$38-1),IF(AND($L$37=0,$P$34=0),"",$L$37-1)),0,YEARFRAC(MAX($P$34*($B190+$I$38-1),IF(AND($L$37=0,$P$34=0),"",$L$37-1)),MIN(BR$38,$E190),$P$20))-SUM($BF190:BQ190))</f>
        <v>0</v>
      </c>
      <c r="BS190" s="446">
        <f>IF($E190=0,0,IF(MIN(BS$38,$E190)&lt;MAX($P$34*($B190+$I$38-1),IF(AND($L$37=0,$P$34=0),"",$L$37-1)),0,YEARFRAC(MAX($P$34*($B190+$I$38-1),IF(AND($L$37=0,$P$34=0),"",$L$37-1)),MIN(BS$38,$E190),$P$20))-SUM($BF190:BR190))</f>
        <v>0</v>
      </c>
      <c r="BT190" s="446">
        <f>IF($E190=0,0,IF(MIN(BT$38,$E190)&lt;MAX($P$34*($B190+$I$38-1),IF(AND($L$37=0,$P$34=0),"",$L$37-1)),0,YEARFRAC(MAX($P$34*($B190+$I$38-1),IF(AND($L$37=0,$P$34=0),"",$L$37-1)),MIN(BT$38,$E190),$P$20))-SUM($BF190:BS190))</f>
        <v>0</v>
      </c>
      <c r="BU190" s="446">
        <f>IF($E190=0,0,IF(MIN(BU$38,$E190)&lt;MAX($P$34*($B190+$I$38-1),IF(AND($L$37=0,$P$34=0),"",$L$37-1)),0,YEARFRAC(MAX($P$34*($B190+$I$38-1),IF(AND($L$37=0,$P$34=0),"",$L$37-1)),MIN(BU$38,$E190),$P$20))-SUM($BF190:BT190))</f>
        <v>0</v>
      </c>
      <c r="BV190" s="446">
        <f>IF($E190=0,0,IF(MIN(BV$38,$E190)&lt;MAX($P$34*($B190+$I$38-1),IF(AND($L$37=0,$P$34=0),"",$L$37-1)),0,YEARFRAC(MAX($P$34*($B190+$I$38-1),IF(AND($L$37=0,$P$34=0),"",$L$37-1)),MIN(BV$38,$E190),$P$20))-SUM($BF190:BU190))</f>
        <v>0</v>
      </c>
      <c r="BW190" s="446">
        <f>IF($E190=0,0,IF(MIN(BW$38,$E190)&lt;MAX($P$34*($B190+$I$38-1),IF(AND($L$37=0,$P$34=0),"",$L$37-1)),0,YEARFRAC(MAX($P$34*($B190+$I$38-1),IF(AND($L$37=0,$P$34=0),"",$L$37-1)),MIN(BW$38,$E190),$P$20))-SUM($BF190:BV190))</f>
        <v>0</v>
      </c>
      <c r="BX190" s="446">
        <f>IF($E190=0,0,IF(MIN(BX$38,$E190)&lt;MAX($P$34*($B190+$I$38-1),IF(AND($L$37=0,$P$34=0),"",$L$37-1)),0,YEARFRAC(MAX($P$34*($B190+$I$38-1),IF(AND($L$37=0,$P$34=0),"",$L$37-1)),MIN(BX$38,$E190),$P$20))-SUM($BF190:BW190))</f>
        <v>0</v>
      </c>
      <c r="BY190" s="446">
        <f>IF($E190=0,0,IF(MIN(BY$38,$E190)&lt;MAX($P$34*($B190+$I$38-1),IF(AND($L$37=0,$P$34=0),"",$L$37-1)),0,YEARFRAC(MAX($P$34*($B190+$I$38-1),IF(AND($L$37=0,$P$34=0),"",$L$37-1)),MIN(BY$38,$E190),$P$20))-SUM($BF190:BX190))</f>
        <v>0</v>
      </c>
      <c r="BZ190" s="446">
        <f>IF($E190=0,0,IF(MIN(BZ$38,$E190)&lt;MAX($P$34*($B190+$I$38-1),IF(AND($L$37=0,$P$34=0),"",$L$37-1)),0,YEARFRAC(MAX($P$34*($B190+$I$38-1),IF(AND($L$37=0,$P$34=0),"",$L$37-1)),MIN(BZ$38,$E190),$P$20))-SUM($BF190:BY190))</f>
        <v>0</v>
      </c>
      <c r="CA190" s="446">
        <f>IF($E190=0,0,IF(MIN(CA$38,$E190)&lt;MAX($P$34*($B190+$I$38-1),IF(AND($L$37=0,$P$34=0),"",$L$37-1)),0,YEARFRAC(MAX($P$34*($B190+$I$38-1),IF(AND($L$37=0,$P$34=0),"",$L$37-1)),MIN(CA$38,$E190),$P$20))-SUM($BF190:BZ190))</f>
        <v>0</v>
      </c>
      <c r="CB190" s="446">
        <f>IF($E190=0,0,IF(MIN(CB$38,$E190)&lt;MAX($P$34*($B190+$I$38-1),IF(AND($L$37=0,$P$34=0),"",$L$37-1)),0,YEARFRAC(MAX($P$34*($B190+$I$38-1),IF(AND($L$37=0,$P$34=0),"",$L$37-1)),MIN(CB$38,$E190),$P$20))-SUM($BF190:CA190))</f>
        <v>0</v>
      </c>
      <c r="CC190" s="446">
        <f>IF($E190=0,0,IF(MIN(CC$38,$E190)&lt;MAX($P$34*($B190+$I$38-1),IF(AND($L$37=0,$P$34=0),"",$L$37-1)),0,YEARFRAC(MAX($P$34*($B190+$I$38-1),IF(AND($L$37=0,$P$34=0),"",$L$37-1)),MIN(CC$38,$E190),$P$20))-SUM($BF190:CB190))</f>
        <v>0</v>
      </c>
      <c r="CD190" s="446">
        <f>IF($E190=0,0,IF(MIN(CD$38,$E190)&lt;MAX($P$34*($B190+$I$38-1),IF(AND($L$37=0,$P$34=0),"",$L$37-1)),0,YEARFRAC(MAX($P$34*($B190+$I$38-1),IF(AND($L$37=0,$P$34=0),"",$L$37-1)),MIN(CD$38,$E190),$P$20))-SUM($BF190:CC190))</f>
        <v>0</v>
      </c>
      <c r="CE190" s="446">
        <f>IF($E190=0,0,IF(MIN(CE$38,$E190)&lt;MAX($P$34*($B190+$I$38-1),IF(AND($L$37=0,$P$34=0),"",$L$37-1)),0,YEARFRAC(MAX($P$34*($B190+$I$38-1),IF(AND($L$37=0,$P$34=0),"",$L$37-1)),MIN(CE$38,$E190),$P$20))-SUM($BF190:CD190))</f>
        <v>0</v>
      </c>
      <c r="CF190" s="446">
        <f>IF($E190=0,0,IF(MIN(CF$38,$E190)&lt;MAX($P$34*($B190+$I$38-1),IF(AND($L$37=0,$P$34=0),"",$L$37-1)),0,YEARFRAC(MAX($P$34*($B190+$I$38-1),IF(AND($L$37=0,$P$34=0),"",$L$37-1)),MIN(CF$38,$E190),$P$20))-SUM($BF190:CE190))</f>
        <v>0</v>
      </c>
      <c r="CG190" s="446">
        <f>IF($E190=0,0,IF(MIN(CG$38,$E190)&lt;MAX($P$34*($B190+$I$38-1),IF(AND($L$37=0,$P$34=0),"",$L$37-1)),0,YEARFRAC(MAX($P$34*($B190+$I$38-1),IF(AND($L$37=0,$P$34=0),"",$L$37-1)),MIN(CG$38,$E190),$P$20))-SUM($BF190:CF190))</f>
        <v>0</v>
      </c>
      <c r="CH190" s="446">
        <f>IF($E190=0,0,IF(MIN(CH$38,$E190)&lt;MAX($P$34*($B190+$I$38-1),IF(AND($L$37=0,$P$34=0),"",$L$37-1)),0,YEARFRAC(MAX($P$34*($B190+$I$38-1),IF(AND($L$37=0,$P$34=0),"",$L$37-1)),MIN(CH$38,$E190),$P$20))-SUM($BF190:CG190))</f>
        <v>0</v>
      </c>
      <c r="CI190" s="446">
        <f>IF($E190=0,0,IF(MIN(CI$38,$E190)&lt;MAX($P$34*($B190+$I$38-1),IF(AND($L$37=0,$P$34=0),"",$L$37-1)),0,YEARFRAC(MAX($P$34*($B190+$I$38-1),IF(AND($L$37=0,$P$34=0),"",$L$37-1)),MIN(CI$38,$E190),$P$20))-SUM($BF190:CH190))</f>
        <v>0</v>
      </c>
      <c r="CJ190" s="446">
        <f>IF($E190=0,0,IF(MIN(CJ$38,$E190)&lt;MAX($P$34*($B190+$I$38-1),IF(AND($L$37=0,$P$34=0),"",$L$37-1)),0,YEARFRAC(MAX($P$34*($B190+$I$38-1),IF(AND($L$37=0,$P$34=0),"",$L$37-1)),MIN(CJ$38,$E190),$P$20))-SUM($BF190:CI190))</f>
        <v>0</v>
      </c>
      <c r="CK190" s="446">
        <f>IF($E190=0,0,IF(MIN(CK$38,$E190)&lt;MAX($P$34*($B190+$I$38-1),IF(AND($L$37=0,$P$34=0),"",$L$37-1)),0,YEARFRAC(MAX($P$34*($B190+$I$38-1),IF(AND($L$37=0,$P$34=0),"",$L$37-1)),MIN(CK$38,$E190),$P$20))-SUM($BF190:CJ190))</f>
        <v>0</v>
      </c>
      <c r="CL190" s="446">
        <f>IF($E190=0,0,IF(MIN(CL$38,$E190)&lt;MAX($P$34*($B190+$I$38-1),IF(AND($L$37=0,$P$34=0),"",$L$37-1)),0,YEARFRAC(MAX($P$34*($B190+$I$38-1),IF(AND($L$37=0,$P$34=0),"",$L$37-1)),MIN(CL$38,$E190),$P$20))-SUM($BF190:CK190))</f>
        <v>0</v>
      </c>
      <c r="CM190" s="446">
        <f>IF($E190=0,0,IF(MIN(CM$38,$E190)&lt;MAX($P$34*($B190+$I$38-1),IF(AND($L$37=0,$P$34=0),"",$L$37-1)),0,YEARFRAC(MAX($P$34*($B190+$I$38-1),IF(AND($L$37=0,$P$34=0),"",$L$37-1)),MIN(CM$38,$E190),$P$20))-SUM($BF190:CL190))</f>
        <v>0</v>
      </c>
      <c r="CN190" s="446">
        <f>IF($E190=0,0,IF(MIN(CN$38,$E190)&lt;MAX($P$34*($B190+$I$38-1),IF(AND($L$37=0,$P$34=0),"",$L$37-1)),0,YEARFRAC(MAX($P$34*($B190+$I$38-1),IF(AND($L$37=0,$P$34=0),"",$L$37-1)),MIN(CN$38,$E190),$P$20))-SUM($BF190:CM190))</f>
        <v>0</v>
      </c>
      <c r="CO190" s="446">
        <f>IF($E190=0,0,IF(MIN(CO$38,$E190)&lt;MAX($P$34*($B190+$I$38-1),IF(AND($L$37=0,$P$34=0),"",$L$37-1)),0,YEARFRAC(MAX($P$34*($B190+$I$38-1),IF(AND($L$37=0,$P$34=0),"",$L$37-1)),MIN(CO$38,$E190),$P$20))-SUM($BF190:CN190))</f>
        <v>0</v>
      </c>
      <c r="CP190" s="446">
        <f>IF($E190=0,0,IF(MIN(CP$38,$E190)&lt;MAX($P$34*($B190+$I$38-1),IF(AND($L$37=0,$P$34=0),"",$L$37-1)),0,YEARFRAC(MAX($P$34*($B190+$I$38-1),IF(AND($L$37=0,$P$34=0),"",$L$37-1)),MIN(CP$38,$E190),$P$20))-SUM($BF190:CO190))</f>
        <v>0</v>
      </c>
      <c r="CQ190" s="446">
        <f>IF($E190=0,0,IF(MIN(CQ$38,$E190)&lt;MAX($P$34*($B190+$I$38-1),IF(AND($L$37=0,$P$34=0),"",$L$37-1)),0,YEARFRAC(MAX($P$34*($B190+$I$38-1),IF(AND($L$37=0,$P$34=0),"",$L$37-1)),MIN(CQ$38,$E190),$P$20))-SUM($BF190:CP190))</f>
        <v>0</v>
      </c>
    </row>
    <row r="191" spans="1:95" s="446" customFormat="1" ht="11.25" hidden="1" customHeight="1" x14ac:dyDescent="0.2">
      <c r="A191" s="152"/>
      <c r="B191" s="153" t="str">
        <f t="shared" si="37"/>
        <v/>
      </c>
      <c r="C191" s="29" t="str">
        <f>IF(B191="","",IF($L$35="SELIC - TRIBUTOS",VLOOKUP(DATE(YEAR($D$19),MONTH($D$19)-1,1),ÍNDICES!$A:$DE,HLOOKUP($BL$25,ÍNDICES!$B$3:$T$4,2)+11)-VLOOKUP(B191,ÍNDICES!$A:$DE,HLOOKUP($BL$25,ÍNDICES!$B$3:$T$4,2)+11)+1%,IF(C$38=$W$26,$J$35,IF(ISERROR(IF(B191&gt;$D$19,1,VLOOKUP(DATE(YEAR(B191),MONTH(B191)+IF($C$35=$S$23,1,0),1),ÍNDICES!$A:$DE,$Z$35+1))),"",IF(B191&gt;$D$19,1,VLOOKUP(DATE(YEAR(B191),MONTH(B191)+IF($C$35=$S$23,1,0),1),ÍNDICES!$A:$DE,$Z$35+1))))))</f>
        <v/>
      </c>
      <c r="D191" s="154" t="str">
        <f>IF(ISERROR(IF(OR($D$38=$Y$27,$B191=""),"",VLOOKUP(B191,ÍNDICES!A:DE,AF$35+1))),"",IF(OR($D$38=$Y$27,$B191=""),"",VLOOKUP(B191,ÍNDICES!A:DE,AF$35+1)))</f>
        <v/>
      </c>
      <c r="E191" s="153"/>
      <c r="F191" s="29" t="str">
        <f>IF(E191="","",IF($L$35="SELIC - TRIBUTOS",VLOOKUP(DATE(YEAR($D$19),MONTH($D$19)-1,1),ÍNDICES!$A:$DE,HLOOKUP($BL$25,ÍNDICES!$B$3:$T$4,2)+11)-VLOOKUP(E191,ÍNDICES!$A:$DE,HLOOKUP($BL$25,ÍNDICES!$B$3:$T$4,2)+11)+1%,IF(F$38=$W$26,$J$35,IF(ISERROR(IF(E191&gt;$D$19,1,VLOOKUP(DATE(YEAR(E191),MONTH(E191)+IF($C$35=$S$23,1,0),1),ÍNDICES!$A:$DE,$Z$35+1))),"",IF(E191&gt;$D$19,1,VLOOKUP(DATE(YEAR(E191),MONTH(E191)+IF($C$35=$S$23,1,0),1),ÍNDICES!$A:$DE,$Z$35+1))))))</f>
        <v/>
      </c>
      <c r="G191" s="155"/>
      <c r="H191" s="156" t="str">
        <f t="shared" si="33"/>
        <v/>
      </c>
      <c r="I191" s="29" t="str">
        <f t="shared" si="27"/>
        <v/>
      </c>
      <c r="J191" s="5">
        <f t="shared" si="28"/>
        <v>0</v>
      </c>
      <c r="K191" s="20">
        <f t="shared" ca="1" si="29"/>
        <v>0</v>
      </c>
      <c r="L191" s="5">
        <f t="shared" ca="1" si="30"/>
        <v>0</v>
      </c>
      <c r="M191" s="64">
        <f t="shared" si="34"/>
        <v>0</v>
      </c>
      <c r="N191" s="61">
        <f t="shared" ca="1" si="35"/>
        <v>0</v>
      </c>
      <c r="O191" s="5">
        <f t="shared" ca="1" si="36"/>
        <v>0</v>
      </c>
      <c r="P191" s="446" t="e">
        <f t="shared" si="31"/>
        <v>#VALUE!</v>
      </c>
      <c r="Q191" s="446" t="e">
        <f>IF(OR($B191="",MIN(Q$38,$D$19)&lt;MAX($P$34*($B191+IF($R$17="Distrato",$I$38-1,0)),IF(AND($L$37=0,$P$34=0),"",$L$37-1),IF($R$17="Distrato",$E191,0))),0,YEARFRAC(MAX($P$34*($B191+IF($R$17="Distrato",$I$38-1,0)),IF(AND($L$37=0,$P$34=0),"",$L$37-1),IF($R$17="Distrato",$E191,0)),MIN(Q$38,$D$19),$P$20))-SUM($P191:P191)</f>
        <v>#VALUE!</v>
      </c>
      <c r="R191" s="446" t="e">
        <f>IF(OR($B191="",MIN(R$38,$D$19)&lt;MAX($P$34*($B191+IF($R$17="Distrato",$I$38-1,0)),IF(AND($L$37=0,$P$34=0),"",$L$37-1),IF($R$17="Distrato",$E191,0))),0,YEARFRAC(MAX($P$34*($B191+IF($R$17="Distrato",$I$38-1,0)),IF(AND($L$37=0,$P$34=0),"",$L$37-1),IF($R$17="Distrato",$E191,0)),MIN(R$38,$D$19),$P$20))-SUM($P191:Q191)</f>
        <v>#VALUE!</v>
      </c>
      <c r="S191" s="446" t="e">
        <f>IF(OR($B191="",MIN(S$38,$D$19)&lt;MAX($P$34*($B191+IF($R$17="Distrato",$I$38-1,0)),IF(AND($L$37=0,$P$34=0),"",$L$37-1),IF($R$17="Distrato",$E191,0))),0,YEARFRAC(MAX($P$34*($B191+IF($R$17="Distrato",$I$38-1,0)),IF(AND($L$37=0,$P$34=0),"",$L$37-1),IF($R$17="Distrato",$E191,0)),MIN(S$38,$D$19),$P$20))-SUM($P191:R191)</f>
        <v>#VALUE!</v>
      </c>
      <c r="T191" s="446" t="e">
        <f>IF(OR($B191="",MIN(T$38,$D$19)&lt;MAX($P$34*($B191+IF($R$17="Distrato",$I$38-1,0)),IF(AND($L$37=0,$P$34=0),"",$L$37-1),IF($R$17="Distrato",$E191,0))),0,YEARFRAC(MAX($P$34*($B191+IF($R$17="Distrato",$I$38-1,0)),IF(AND($L$37=0,$P$34=0),"",$L$37-1),IF($R$17="Distrato",$E191,0)),MIN(T$38,$D$19),$P$20))-SUM($P191:S191)</f>
        <v>#VALUE!</v>
      </c>
      <c r="U191" s="446" t="e">
        <f>IF(OR($B191="",MIN(U$38,$D$19)&lt;MAX($P$34*($B191+IF($R$17="Distrato",$I$38-1,0)),IF(AND($L$37=0,$P$34=0),"",$L$37-1),IF($R$17="Distrato",$E191,0))),0,YEARFRAC(MAX($P$34*($B191+IF($R$17="Distrato",$I$38-1,0)),IF(AND($L$37=0,$P$34=0),"",$L$37-1),IF($R$17="Distrato",$E191,0)),MIN(U$38,$D$19),$P$20))-SUM($P191:T191)</f>
        <v>#VALUE!</v>
      </c>
      <c r="V191" s="446" t="e">
        <f>IF(OR($B191="",MIN(V$38,$D$19)&lt;MAX($P$34*($B191+IF($R$17="Distrato",$I$38-1,0)),IF(AND($L$37=0,$P$34=0),"",$L$37-1),IF($R$17="Distrato",$E191,0))),0,YEARFRAC(MAX($P$34*($B191+IF($R$17="Distrato",$I$38-1,0)),IF(AND($L$37=0,$P$34=0),"",$L$37-1),IF($R$17="Distrato",$E191,0)),MIN(V$38,$D$19),$P$20))-SUM($P191:U191)</f>
        <v>#VALUE!</v>
      </c>
      <c r="W191" s="446" t="e">
        <f>IF(OR($B191="",MIN(W$38,$D$19)&lt;MAX($P$34*($B191+IF($R$17="Distrato",$I$38-1,0)),IF(AND($L$37=0,$P$34=0),"",$L$37-1),IF($R$17="Distrato",$E191,0))),0,YEARFRAC(MAX($P$34*($B191+IF($R$17="Distrato",$I$38-1,0)),IF(AND($L$37=0,$P$34=0),"",$L$37-1),IF($R$17="Distrato",$E191,0)),MIN(W$38,$D$19),$P$20))-SUM($P191:V191)</f>
        <v>#VALUE!</v>
      </c>
      <c r="X191" s="446" t="e">
        <f>IF(OR($B191="",MIN(X$38,$D$19)&lt;MAX($P$34*($B191+IF($R$17="Distrato",$I$38-1,0)),IF(AND($L$37=0,$P$34=0),"",$L$37-1),IF($R$17="Distrato",$E191,0))),0,YEARFRAC(MAX($P$34*($B191+IF($R$17="Distrato",$I$38-1,0)),IF(AND($L$37=0,$P$34=0),"",$L$37-1),IF($R$17="Distrato",$E191,0)),MIN(X$38,$D$19),$P$20))-SUM($P191:W191)</f>
        <v>#VALUE!</v>
      </c>
      <c r="Y191" s="446" t="e">
        <f>IF(OR($B191="",MIN(Y$38,$D$19)&lt;MAX($P$34*($B191+IF($R$17="Distrato",$I$38-1,0)),IF(AND($L$37=0,$P$34=0),"",$L$37-1),IF($R$17="Distrato",$E191,0))),0,YEARFRAC(MAX($P$34*($B191+IF($R$17="Distrato",$I$38-1,0)),IF(AND($L$37=0,$P$34=0),"",$L$37-1),IF($R$17="Distrato",$E191,0)),MIN(Y$38,$D$19),$P$20))-SUM($P191:X191)</f>
        <v>#VALUE!</v>
      </c>
      <c r="Z191" s="446" t="e">
        <f>IF(OR($B191="",MIN(Z$38,$D$19)&lt;MAX($P$34*($B191+IF($R$17="Distrato",$I$38-1,0)),IF(AND($L$37=0,$P$34=0),"",$L$37-1),IF($R$17="Distrato",$E191,0))),0,YEARFRAC(MAX($P$34*($B191+IF($R$17="Distrato",$I$38-1,0)),IF(AND($L$37=0,$P$34=0),"",$L$37-1),IF($R$17="Distrato",$E191,0)),MIN(Z$38,$D$19),$P$20))-SUM($P191:Y191)</f>
        <v>#VALUE!</v>
      </c>
      <c r="AA191" s="446" t="e">
        <f>IF(OR($B191="",MIN(AA$38,$D$19)&lt;MAX($P$34*($B191+IF($R$17="Distrato",$I$38-1,0)),IF(AND($L$37=0,$P$34=0),"",$L$37-1),IF($R$17="Distrato",$E191,0))),0,YEARFRAC(MAX($P$34*($B191+IF($R$17="Distrato",$I$38-1,0)),IF(AND($L$37=0,$P$34=0),"",$L$37-1),IF($R$17="Distrato",$E191,0)),MIN(AA$38,$D$19),$P$20))-SUM($P191:Z191)</f>
        <v>#VALUE!</v>
      </c>
      <c r="AB191" s="446" t="e">
        <f>IF(OR($B191="",MIN(AB$38,$D$19)&lt;MAX($P$34*($B191+IF($R$17="Distrato",$I$38-1,0)),IF(AND($L$37=0,$P$34=0),"",$L$37-1),IF($R$17="Distrato",$E191,0))),0,YEARFRAC(MAX($P$34*($B191+IF($R$17="Distrato",$I$38-1,0)),IF(AND($L$37=0,$P$34=0),"",$L$37-1),IF($R$17="Distrato",$E191,0)),MIN(AB$38,$D$19),$P$20))-SUM($P191:AA191)</f>
        <v>#VALUE!</v>
      </c>
      <c r="AC191" s="446" t="e">
        <f>IF(OR($B191="",MIN(AC$38,$D$19)&lt;MAX($P$34*($B191+IF($R$17="Distrato",$I$38-1,0)),IF(AND($L$37=0,$P$34=0),"",$L$37-1),IF($R$17="Distrato",$E191,0))),0,YEARFRAC(MAX($P$34*($B191+IF($R$17="Distrato",$I$38-1,0)),IF(AND($L$37=0,$P$34=0),"",$L$37-1),IF($R$17="Distrato",$E191,0)),MIN(AC$38,$D$19),$P$20))-SUM($P191:AB191)</f>
        <v>#VALUE!</v>
      </c>
      <c r="AD191" s="446" t="e">
        <f>IF(OR($B191="",MIN(AD$38,$D$19)&lt;MAX($P$34*($B191+IF($R$17="Distrato",$I$38-1,0)),IF(AND($L$37=0,$P$34=0),"",$L$37-1),IF($R$17="Distrato",$E191,0))),0,YEARFRAC(MAX($P$34*($B191+IF($R$17="Distrato",$I$38-1,0)),IF(AND($L$37=0,$P$34=0),"",$L$37-1),IF($R$17="Distrato",$E191,0)),MIN(AD$38,$D$19),$P$20))-SUM($P191:AC191)</f>
        <v>#VALUE!</v>
      </c>
      <c r="AE191" s="446" t="e">
        <f>IF(OR($B191="",MIN(AE$38,$D$19)&lt;MAX($P$34*($B191+IF($R$17="Distrato",$I$38-1,0)),IF(AND($L$37=0,$P$34=0),"",$L$37-1),IF($R$17="Distrato",$E191,0))),0,YEARFRAC(MAX($P$34*($B191+IF($R$17="Distrato",$I$38-1,0)),IF(AND($L$37=0,$P$34=0),"",$L$37-1),IF($R$17="Distrato",$E191,0)),MIN(AE$38,$D$19),$P$20))-SUM($P191:AD191)</f>
        <v>#VALUE!</v>
      </c>
      <c r="AF191" s="446" t="e">
        <f>IF(OR($B191="",MIN(AF$38,$D$19)&lt;MAX($P$34*($B191+IF($R$17="Distrato",$I$38-1,0)),IF(AND($L$37=0,$P$34=0),"",$L$37-1),IF($R$17="Distrato",$E191,0))),0,YEARFRAC(MAX($P$34*($B191+IF($R$17="Distrato",$I$38-1,0)),IF(AND($L$37=0,$P$34=0),"",$L$37-1),IF($R$17="Distrato",$E191,0)),MIN(AF$38,$D$19),$P$20))-SUM($P191:AE191)</f>
        <v>#VALUE!</v>
      </c>
      <c r="AG191" s="446" t="e">
        <f>IF(OR($B191="",MIN(AG$38,$D$19)&lt;MAX($P$34*($B191+IF($R$17="Distrato",$I$38-1,0)),IF(AND($L$37=0,$P$34=0),"",$L$37-1),IF($R$17="Distrato",$E191,0))),0,YEARFRAC(MAX($P$34*($B191+IF($R$17="Distrato",$I$38-1,0)),IF(AND($L$37=0,$P$34=0),"",$L$37-1),IF($R$17="Distrato",$E191,0)),MIN(AG$38,$D$19),$P$20))-SUM($P191:AF191)</f>
        <v>#VALUE!</v>
      </c>
      <c r="AH191" s="446" t="e">
        <f>IF(OR($B191="",MIN(AH$38,$D$19)&lt;MAX($P$34*($B191+IF($R$17="Distrato",$I$38-1,0)),IF(AND($L$37=0,$P$34=0),"",$L$37-1),IF($R$17="Distrato",$E191,0))),0,YEARFRAC(MAX($P$34*($B191+IF($R$17="Distrato",$I$38-1,0)),IF(AND($L$37=0,$P$34=0),"",$L$37-1),IF($R$17="Distrato",$E191,0)),MIN(AH$38,$D$19),$P$20))-SUM($P191:AG191)</f>
        <v>#VALUE!</v>
      </c>
      <c r="AI191" s="446" t="e">
        <f>IF(OR($B191="",MIN(AI$38,$D$19)&lt;MAX($P$34*($B191+IF($R$17="Distrato",$I$38-1,0)),IF(AND($L$37=0,$P$34=0),"",$L$37-1),IF($R$17="Distrato",$E191,0))),0,YEARFRAC(MAX($P$34*($B191+IF($R$17="Distrato",$I$38-1,0)),IF(AND($L$37=0,$P$34=0),"",$L$37-1),IF($R$17="Distrato",$E191,0)),MIN(AI$38,$D$19),$P$20))-SUM($P191:AH191)</f>
        <v>#VALUE!</v>
      </c>
      <c r="AJ191" s="446" t="e">
        <f>IF(OR($B191="",MIN(AJ$38,$D$19)&lt;MAX($P$34*($B191+IF($R$17="Distrato",$I$38-1,0)),IF(AND($L$37=0,$P$34=0),"",$L$37-1),IF($R$17="Distrato",$E191,0))),0,YEARFRAC(MAX($P$34*($B191+IF($R$17="Distrato",$I$38-1,0)),IF(AND($L$37=0,$P$34=0),"",$L$37-1),IF($R$17="Distrato",$E191,0)),MIN(AJ$38,$D$19),$P$20))-SUM($P191:AI191)</f>
        <v>#VALUE!</v>
      </c>
      <c r="AK191" s="446" t="e">
        <f>IF(OR($B191="",MIN(AK$38,$D$19)&lt;MAX($P$34*($B191+IF($R$17="Distrato",$I$38-1,0)),IF(AND($L$37=0,$P$34=0),"",$L$37-1),IF($R$17="Distrato",$E191,0))),0,YEARFRAC(MAX($P$34*($B191+IF($R$17="Distrato",$I$38-1,0)),IF(AND($L$37=0,$P$34=0),"",$L$37-1),IF($R$17="Distrato",$E191,0)),MIN(AK$38,$D$19),$P$20))-SUM($P191:AJ191)</f>
        <v>#VALUE!</v>
      </c>
      <c r="AL191" s="446" t="e">
        <f>IF(OR($B191="",MIN(AL$38,$D$19)&lt;MAX($P$34*($B191+IF($R$17="Distrato",$I$38-1,0)),IF(AND($L$37=0,$P$34=0),"",$L$37-1),IF($R$17="Distrato",$E191,0))),0,YEARFRAC(MAX($P$34*($B191+IF($R$17="Distrato",$I$38-1,0)),IF(AND($L$37=0,$P$34=0),"",$L$37-1),IF($R$17="Distrato",$E191,0)),MIN(AL$38,$D$19),$P$20))-SUM($P191:AK191)</f>
        <v>#VALUE!</v>
      </c>
      <c r="AM191" s="446" t="e">
        <f>IF(OR($B191="",MIN(AM$38,$D$19)&lt;MAX($P$34*($B191+IF($R$17="Distrato",$I$38-1,0)),IF(AND($L$37=0,$P$34=0),"",$L$37-1),IF($R$17="Distrato",$E191,0))),0,YEARFRAC(MAX($P$34*($B191+IF($R$17="Distrato",$I$38-1,0)),IF(AND($L$37=0,$P$34=0),"",$L$37-1),IF($R$17="Distrato",$E191,0)),MIN(AM$38,$D$19),$P$20))-SUM($P191:AL191)</f>
        <v>#VALUE!</v>
      </c>
      <c r="AN191" s="446" t="e">
        <f>IF(OR($B191="",MIN(AN$38,$D$19)&lt;MAX($P$34*($B191+IF($R$17="Distrato",$I$38-1,0)),IF(AND($L$37=0,$P$34=0),"",$L$37-1),IF($R$17="Distrato",$E191,0))),0,YEARFRAC(MAX($P$34*($B191+IF($R$17="Distrato",$I$38-1,0)),IF(AND($L$37=0,$P$34=0),"",$L$37-1),IF($R$17="Distrato",$E191,0)),MIN(AN$38,$D$19),$P$20))-SUM($P191:AM191)</f>
        <v>#VALUE!</v>
      </c>
      <c r="AO191" s="446" t="e">
        <f>IF(OR($B191="",MIN(AO$38,$D$19)&lt;MAX($P$34*($B191+IF($R$17="Distrato",$I$38-1,0)),IF(AND($L$37=0,$P$34=0),"",$L$37-1),IF($R$17="Distrato",$E191,0))),0,YEARFRAC(MAX($P$34*($B191+IF($R$17="Distrato",$I$38-1,0)),IF(AND($L$37=0,$P$34=0),"",$L$37-1),IF($R$17="Distrato",$E191,0)),MIN(AO$38,$D$19),$P$20))-SUM($P191:AN191)</f>
        <v>#VALUE!</v>
      </c>
      <c r="AP191" s="446" t="e">
        <f>IF(OR($B191="",MIN(AP$38,$D$19)&lt;MAX($P$34*($B191+IF($R$17="Distrato",$I$38-1,0)),IF(AND($L$37=0,$P$34=0),"",$L$37-1),IF($R$17="Distrato",$E191,0))),0,YEARFRAC(MAX($P$34*($B191+IF($R$17="Distrato",$I$38-1,0)),IF(AND($L$37=0,$P$34=0),"",$L$37-1),IF($R$17="Distrato",$E191,0)),MIN(AP$38,$D$19),$P$20))-SUM($P191:AO191)</f>
        <v>#VALUE!</v>
      </c>
      <c r="AQ191" s="446" t="e">
        <f>IF(OR($B191="",MIN(AQ$38,$D$19)&lt;MAX($P$34*($B191+IF($R$17="Distrato",$I$38-1,0)),IF(AND($L$37=0,$P$34=0),"",$L$37-1),IF($R$17="Distrato",$E191,0))),0,YEARFRAC(MAX($P$34*($B191+IF($R$17="Distrato",$I$38-1,0)),IF(AND($L$37=0,$P$34=0),"",$L$37-1),IF($R$17="Distrato",$E191,0)),MIN(AQ$38,$D$19),$P$20))-SUM($P191:AP191)</f>
        <v>#VALUE!</v>
      </c>
      <c r="AR191" s="446" t="e">
        <f>IF(OR($B191="",MIN(AR$38,$D$19)&lt;MAX($P$34*($B191+IF($R$17="Distrato",$I$38-1,0)),IF(AND($L$37=0,$P$34=0),"",$L$37-1),IF($R$17="Distrato",$E191,0))),0,YEARFRAC(MAX($P$34*($B191+IF($R$17="Distrato",$I$38-1,0)),IF(AND($L$37=0,$P$34=0),"",$L$37-1),IF($R$17="Distrato",$E191,0)),MIN(AR$38,$D$19),$P$20))-SUM($P191:AQ191)</f>
        <v>#VALUE!</v>
      </c>
      <c r="AS191" s="446" t="e">
        <f>IF(OR($B191="",MIN(AS$38,$D$19)&lt;MAX($P$34*($B191+IF($R$17="Distrato",$I$38-1,0)),IF(AND($L$37=0,$P$34=0),"",$L$37-1),IF($R$17="Distrato",$E191,0))),0,YEARFRAC(MAX($P$34*($B191+IF($R$17="Distrato",$I$38-1,0)),IF(AND($L$37=0,$P$34=0),"",$L$37-1),IF($R$17="Distrato",$E191,0)),MIN(AS$38,$D$19),$P$20))-SUM($P191:AR191)</f>
        <v>#VALUE!</v>
      </c>
      <c r="AT191" s="446" t="e">
        <f>IF(OR($B191="",MIN(AT$38,$D$19)&lt;MAX($P$34*($B191+IF($R$17="Distrato",$I$38-1,0)),IF(AND($L$37=0,$P$34=0),"",$L$37-1),IF($R$17="Distrato",$E191,0))),0,YEARFRAC(MAX($P$34*($B191+IF($R$17="Distrato",$I$38-1,0)),IF(AND($L$37=0,$P$34=0),"",$L$37-1),IF($R$17="Distrato",$E191,0)),MIN(AT$38,$D$19),$P$20))-SUM($P191:AS191)</f>
        <v>#VALUE!</v>
      </c>
      <c r="AU191" s="446" t="e">
        <f>IF(OR($B191="",MIN(AU$38,$D$19)&lt;MAX($P$34*($B191+IF($R$17="Distrato",$I$38-1,0)),IF(AND($L$37=0,$P$34=0),"",$L$37-1),IF($R$17="Distrato",$E191,0))),0,YEARFRAC(MAX($P$34*($B191+IF($R$17="Distrato",$I$38-1,0)),IF(AND($L$37=0,$P$34=0),"",$L$37-1),IF($R$17="Distrato",$E191,0)),MIN(AU$38,$D$19),$P$20))-SUM($P191:AT191)</f>
        <v>#VALUE!</v>
      </c>
      <c r="AV191" s="446" t="e">
        <f>IF(OR($B191="",MIN(AV$38,$D$19)&lt;MAX($P$34*($B191+IF($R$17="Distrato",$I$38-1,0)),IF(AND($L$37=0,$P$34=0),"",$L$37-1),IF($R$17="Distrato",$E191,0))),0,YEARFRAC(MAX($P$34*($B191+IF($R$17="Distrato",$I$38-1,0)),IF(AND($L$37=0,$P$34=0),"",$L$37-1),IF($R$17="Distrato",$E191,0)),MIN(AV$38,$D$19),$P$20))-SUM($P191:AU191)</f>
        <v>#VALUE!</v>
      </c>
      <c r="AW191" s="446" t="e">
        <f>IF(OR($B191="",MIN(AW$38,$D$19)&lt;MAX($P$34*($B191+IF($R$17="Distrato",$I$38-1,0)),IF(AND($L$37=0,$P$34=0),"",$L$37-1),IF($R$17="Distrato",$E191,0))),0,YEARFRAC(MAX($P$34*($B191+IF($R$17="Distrato",$I$38-1,0)),IF(AND($L$37=0,$P$34=0),"",$L$37-1),IF($R$17="Distrato",$E191,0)),MIN(AW$38,$D$19),$P$20))-SUM($P191:AV191)</f>
        <v>#VALUE!</v>
      </c>
      <c r="AX191" s="446" t="e">
        <f>IF(OR($B191="",MIN(AX$38,$D$19)&lt;MAX($P$34*($B191+IF($R$17="Distrato",$I$38-1,0)),IF(AND($L$37=0,$P$34=0),"",$L$37-1),IF($R$17="Distrato",$E191,0))),0,YEARFRAC(MAX($P$34*($B191+IF($R$17="Distrato",$I$38-1,0)),IF(AND($L$37=0,$P$34=0),"",$L$37-1),IF($R$17="Distrato",$E191,0)),MIN(AX$38,$D$19),$P$20))-SUM($P191:AW191)</f>
        <v>#VALUE!</v>
      </c>
      <c r="AY191" s="446" t="e">
        <f>IF(OR($B191="",MIN(AY$38,$D$19)&lt;MAX($P$34*($B191+IF($R$17="Distrato",$I$38-1,0)),IF(AND($L$37=0,$P$34=0),"",$L$37-1),IF($R$17="Distrato",$E191,0))),0,YEARFRAC(MAX($P$34*($B191+IF($R$17="Distrato",$I$38-1,0)),IF(AND($L$37=0,$P$34=0),"",$L$37-1),IF($R$17="Distrato",$E191,0)),MIN(AY$38,$D$19),$P$20))-SUM($P191:AX191)</f>
        <v>#VALUE!</v>
      </c>
      <c r="AZ191" s="446" t="e">
        <f>IF(OR($B191="",MIN(AZ$38,$D$19)&lt;MAX($P$34*($B191+IF($R$17="Distrato",$I$38-1,0)),IF(AND($L$37=0,$P$34=0),"",$L$37-1),IF($R$17="Distrato",$E191,0))),0,YEARFRAC(MAX($P$34*($B191+IF($R$17="Distrato",$I$38-1,0)),IF(AND($L$37=0,$P$34=0),"",$L$37-1),IF($R$17="Distrato",$E191,0)),MIN(AZ$38,$D$19),$P$20))-SUM($P191:AY191)</f>
        <v>#VALUE!</v>
      </c>
      <c r="BA191" s="446" t="e">
        <f>IF(OR($B191="",MIN(BA$38,$D$19)&lt;MAX($P$34*($B191+IF($R$17="Distrato",$I$38-1,0)),IF(AND($L$37=0,$P$34=0),"",$L$37-1),IF($R$17="Distrato",$E191,0))),0,YEARFRAC(MAX($P$34*($B191+IF($R$17="Distrato",$I$38-1,0)),IF(AND($L$37=0,$P$34=0),"",$L$37-1),IF($R$17="Distrato",$E191,0)),MIN(BA$38,$D$19),$P$20))-SUM($P191:AZ191)</f>
        <v>#VALUE!</v>
      </c>
      <c r="BB191" s="447"/>
      <c r="BF191" s="446">
        <f t="shared" si="32"/>
        <v>0</v>
      </c>
      <c r="BG191" s="446">
        <f>IF($E191=0,0,IF(MIN(BG$38,$E191)&lt;MAX($P$34*($B191+$I$38-1),IF(AND($L$37=0,$P$34=0),"",$L$37-1)),0,YEARFRAC(MAX($P$34*($B191+$I$38-1),IF(AND($L$37=0,$P$34=0),"",$L$37-1)),MIN(BG$38,$E191),$P$20))-SUM($BF191:BF191))</f>
        <v>0</v>
      </c>
      <c r="BH191" s="446">
        <f>IF($E191=0,0,IF(MIN(BH$38,$E191)&lt;MAX($P$34*($B191+$I$38-1),IF(AND($L$37=0,$P$34=0),"",$L$37-1)),0,YEARFRAC(MAX($P$34*($B191+$I$38-1),IF(AND($L$37=0,$P$34=0),"",$L$37-1)),MIN(BH$38,$E191),$P$20))-SUM($BF191:BG191))</f>
        <v>0</v>
      </c>
      <c r="BI191" s="446">
        <f>IF($E191=0,0,IF(MIN(BI$38,$E191)&lt;MAX($P$34*($B191+$I$38-1),IF(AND($L$37=0,$P$34=0),"",$L$37-1)),0,YEARFRAC(MAX($P$34*($B191+$I$38-1),IF(AND($L$37=0,$P$34=0),"",$L$37-1)),MIN(BI$38,$E191),$P$20))-SUM($BF191:BH191))</f>
        <v>0</v>
      </c>
      <c r="BJ191" s="446">
        <f>IF($E191=0,0,IF(MIN(BJ$38,$E191)&lt;MAX($P$34*($B191+$I$38-1),IF(AND($L$37=0,$P$34=0),"",$L$37-1)),0,YEARFRAC(MAX($P$34*($B191+$I$38-1),IF(AND($L$37=0,$P$34=0),"",$L$37-1)),MIN(BJ$38,$E191),$P$20))-SUM($BF191:BI191))</f>
        <v>0</v>
      </c>
      <c r="BK191" s="446">
        <f>IF($E191=0,0,IF(MIN(BK$38,$E191)&lt;MAX($P$34*($B191+$I$38-1),IF(AND($L$37=0,$P$34=0),"",$L$37-1)),0,YEARFRAC(MAX($P$34*($B191+$I$38-1),IF(AND($L$37=0,$P$34=0),"",$L$37-1)),MIN(BK$38,$E191),$P$20))-SUM($BF191:BJ191))</f>
        <v>0</v>
      </c>
      <c r="BL191" s="446">
        <f>IF($E191=0,0,IF(MIN(BL$38,$E191)&lt;MAX($P$34*($B191+$I$38-1),IF(AND($L$37=0,$P$34=0),"",$L$37-1)),0,YEARFRAC(MAX($P$34*($B191+$I$38-1),IF(AND($L$37=0,$P$34=0),"",$L$37-1)),MIN(BL$38,$E191),$P$20))-SUM($BF191:BK191))</f>
        <v>0</v>
      </c>
      <c r="BM191" s="446">
        <f>IF($E191=0,0,IF(MIN(BM$38,$E191)&lt;MAX($P$34*($B191+$I$38-1),IF(AND($L$37=0,$P$34=0),"",$L$37-1)),0,YEARFRAC(MAX($P$34*($B191+$I$38-1),IF(AND($L$37=0,$P$34=0),"",$L$37-1)),MIN(BM$38,$E191),$P$20))-SUM($BF191:BL191))</f>
        <v>0</v>
      </c>
      <c r="BN191" s="446">
        <f>IF($E191=0,0,IF(MIN(BN$38,$E191)&lt;MAX($P$34*($B191+$I$38-1),IF(AND($L$37=0,$P$34=0),"",$L$37-1)),0,YEARFRAC(MAX($P$34*($B191+$I$38-1),IF(AND($L$37=0,$P$34=0),"",$L$37-1)),MIN(BN$38,$E191),$P$20))-SUM($BF191:BM191))</f>
        <v>0</v>
      </c>
      <c r="BO191" s="446">
        <f>IF($E191=0,0,IF(MIN(BO$38,$E191)&lt;MAX($P$34*($B191+$I$38-1),IF(AND($L$37=0,$P$34=0),"",$L$37-1)),0,YEARFRAC(MAX($P$34*($B191+$I$38-1),IF(AND($L$37=0,$P$34=0),"",$L$37-1)),MIN(BO$38,$E191),$P$20))-SUM($BF191:BN191))</f>
        <v>0</v>
      </c>
      <c r="BP191" s="446">
        <f>IF($E191=0,0,IF(MIN(BP$38,$E191)&lt;MAX($P$34*($B191+$I$38-1),IF(AND($L$37=0,$P$34=0),"",$L$37-1)),0,YEARFRAC(MAX($P$34*($B191+$I$38-1),IF(AND($L$37=0,$P$34=0),"",$L$37-1)),MIN(BP$38,$E191),$P$20))-SUM($BF191:BO191))</f>
        <v>0</v>
      </c>
      <c r="BQ191" s="446">
        <f>IF($E191=0,0,IF(MIN(BQ$38,$E191)&lt;MAX($P$34*($B191+$I$38-1),IF(AND($L$37=0,$P$34=0),"",$L$37-1)),0,YEARFRAC(MAX($P$34*($B191+$I$38-1),IF(AND($L$37=0,$P$34=0),"",$L$37-1)),MIN(BQ$38,$E191),$P$20))-SUM($BF191:BP191))</f>
        <v>0</v>
      </c>
      <c r="BR191" s="446">
        <f>IF($E191=0,0,IF(MIN(BR$38,$E191)&lt;MAX($P$34*($B191+$I$38-1),IF(AND($L$37=0,$P$34=0),"",$L$37-1)),0,YEARFRAC(MAX($P$34*($B191+$I$38-1),IF(AND($L$37=0,$P$34=0),"",$L$37-1)),MIN(BR$38,$E191),$P$20))-SUM($BF191:BQ191))</f>
        <v>0</v>
      </c>
      <c r="BS191" s="446">
        <f>IF($E191=0,0,IF(MIN(BS$38,$E191)&lt;MAX($P$34*($B191+$I$38-1),IF(AND($L$37=0,$P$34=0),"",$L$37-1)),0,YEARFRAC(MAX($P$34*($B191+$I$38-1),IF(AND($L$37=0,$P$34=0),"",$L$37-1)),MIN(BS$38,$E191),$P$20))-SUM($BF191:BR191))</f>
        <v>0</v>
      </c>
      <c r="BT191" s="446">
        <f>IF($E191=0,0,IF(MIN(BT$38,$E191)&lt;MAX($P$34*($B191+$I$38-1),IF(AND($L$37=0,$P$34=0),"",$L$37-1)),0,YEARFRAC(MAX($P$34*($B191+$I$38-1),IF(AND($L$37=0,$P$34=0),"",$L$37-1)),MIN(BT$38,$E191),$P$20))-SUM($BF191:BS191))</f>
        <v>0</v>
      </c>
      <c r="BU191" s="446">
        <f>IF($E191=0,0,IF(MIN(BU$38,$E191)&lt;MAX($P$34*($B191+$I$38-1),IF(AND($L$37=0,$P$34=0),"",$L$37-1)),0,YEARFRAC(MAX($P$34*($B191+$I$38-1),IF(AND($L$37=0,$P$34=0),"",$L$37-1)),MIN(BU$38,$E191),$P$20))-SUM($BF191:BT191))</f>
        <v>0</v>
      </c>
      <c r="BV191" s="446">
        <f>IF($E191=0,0,IF(MIN(BV$38,$E191)&lt;MAX($P$34*($B191+$I$38-1),IF(AND($L$37=0,$P$34=0),"",$L$37-1)),0,YEARFRAC(MAX($P$34*($B191+$I$38-1),IF(AND($L$37=0,$P$34=0),"",$L$37-1)),MIN(BV$38,$E191),$P$20))-SUM($BF191:BU191))</f>
        <v>0</v>
      </c>
      <c r="BW191" s="446">
        <f>IF($E191=0,0,IF(MIN(BW$38,$E191)&lt;MAX($P$34*($B191+$I$38-1),IF(AND($L$37=0,$P$34=0),"",$L$37-1)),0,YEARFRAC(MAX($P$34*($B191+$I$38-1),IF(AND($L$37=0,$P$34=0),"",$L$37-1)),MIN(BW$38,$E191),$P$20))-SUM($BF191:BV191))</f>
        <v>0</v>
      </c>
      <c r="BX191" s="446">
        <f>IF($E191=0,0,IF(MIN(BX$38,$E191)&lt;MAX($P$34*($B191+$I$38-1),IF(AND($L$37=0,$P$34=0),"",$L$37-1)),0,YEARFRAC(MAX($P$34*($B191+$I$38-1),IF(AND($L$37=0,$P$34=0),"",$L$37-1)),MIN(BX$38,$E191),$P$20))-SUM($BF191:BW191))</f>
        <v>0</v>
      </c>
      <c r="BY191" s="446">
        <f>IF($E191=0,0,IF(MIN(BY$38,$E191)&lt;MAX($P$34*($B191+$I$38-1),IF(AND($L$37=0,$P$34=0),"",$L$37-1)),0,YEARFRAC(MAX($P$34*($B191+$I$38-1),IF(AND($L$37=0,$P$34=0),"",$L$37-1)),MIN(BY$38,$E191),$P$20))-SUM($BF191:BX191))</f>
        <v>0</v>
      </c>
      <c r="BZ191" s="446">
        <f>IF($E191=0,0,IF(MIN(BZ$38,$E191)&lt;MAX($P$34*($B191+$I$38-1),IF(AND($L$37=0,$P$34=0),"",$L$37-1)),0,YEARFRAC(MAX($P$34*($B191+$I$38-1),IF(AND($L$37=0,$P$34=0),"",$L$37-1)),MIN(BZ$38,$E191),$P$20))-SUM($BF191:BY191))</f>
        <v>0</v>
      </c>
      <c r="CA191" s="446">
        <f>IF($E191=0,0,IF(MIN(CA$38,$E191)&lt;MAX($P$34*($B191+$I$38-1),IF(AND($L$37=0,$P$34=0),"",$L$37-1)),0,YEARFRAC(MAX($P$34*($B191+$I$38-1),IF(AND($L$37=0,$P$34=0),"",$L$37-1)),MIN(CA$38,$E191),$P$20))-SUM($BF191:BZ191))</f>
        <v>0</v>
      </c>
      <c r="CB191" s="446">
        <f>IF($E191=0,0,IF(MIN(CB$38,$E191)&lt;MAX($P$34*($B191+$I$38-1),IF(AND($L$37=0,$P$34=0),"",$L$37-1)),0,YEARFRAC(MAX($P$34*($B191+$I$38-1),IF(AND($L$37=0,$P$34=0),"",$L$37-1)),MIN(CB$38,$E191),$P$20))-SUM($BF191:CA191))</f>
        <v>0</v>
      </c>
      <c r="CC191" s="446">
        <f>IF($E191=0,0,IF(MIN(CC$38,$E191)&lt;MAX($P$34*($B191+$I$38-1),IF(AND($L$37=0,$P$34=0),"",$L$37-1)),0,YEARFRAC(MAX($P$34*($B191+$I$38-1),IF(AND($L$37=0,$P$34=0),"",$L$37-1)),MIN(CC$38,$E191),$P$20))-SUM($BF191:CB191))</f>
        <v>0</v>
      </c>
      <c r="CD191" s="446">
        <f>IF($E191=0,0,IF(MIN(CD$38,$E191)&lt;MAX($P$34*($B191+$I$38-1),IF(AND($L$37=0,$P$34=0),"",$L$37-1)),0,YEARFRAC(MAX($P$34*($B191+$I$38-1),IF(AND($L$37=0,$P$34=0),"",$L$37-1)),MIN(CD$38,$E191),$P$20))-SUM($BF191:CC191))</f>
        <v>0</v>
      </c>
      <c r="CE191" s="446">
        <f>IF($E191=0,0,IF(MIN(CE$38,$E191)&lt;MAX($P$34*($B191+$I$38-1),IF(AND($L$37=0,$P$34=0),"",$L$37-1)),0,YEARFRAC(MAX($P$34*($B191+$I$38-1),IF(AND($L$37=0,$P$34=0),"",$L$37-1)),MIN(CE$38,$E191),$P$20))-SUM($BF191:CD191))</f>
        <v>0</v>
      </c>
      <c r="CF191" s="446">
        <f>IF($E191=0,0,IF(MIN(CF$38,$E191)&lt;MAX($P$34*($B191+$I$38-1),IF(AND($L$37=0,$P$34=0),"",$L$37-1)),0,YEARFRAC(MAX($P$34*($B191+$I$38-1),IF(AND($L$37=0,$P$34=0),"",$L$37-1)),MIN(CF$38,$E191),$P$20))-SUM($BF191:CE191))</f>
        <v>0</v>
      </c>
      <c r="CG191" s="446">
        <f>IF($E191=0,0,IF(MIN(CG$38,$E191)&lt;MAX($P$34*($B191+$I$38-1),IF(AND($L$37=0,$P$34=0),"",$L$37-1)),0,YEARFRAC(MAX($P$34*($B191+$I$38-1),IF(AND($L$37=0,$P$34=0),"",$L$37-1)),MIN(CG$38,$E191),$P$20))-SUM($BF191:CF191))</f>
        <v>0</v>
      </c>
      <c r="CH191" s="446">
        <f>IF($E191=0,0,IF(MIN(CH$38,$E191)&lt;MAX($P$34*($B191+$I$38-1),IF(AND($L$37=0,$P$34=0),"",$L$37-1)),0,YEARFRAC(MAX($P$34*($B191+$I$38-1),IF(AND($L$37=0,$P$34=0),"",$L$37-1)),MIN(CH$38,$E191),$P$20))-SUM($BF191:CG191))</f>
        <v>0</v>
      </c>
      <c r="CI191" s="446">
        <f>IF($E191=0,0,IF(MIN(CI$38,$E191)&lt;MAX($P$34*($B191+$I$38-1),IF(AND($L$37=0,$P$34=0),"",$L$37-1)),0,YEARFRAC(MAX($P$34*($B191+$I$38-1),IF(AND($L$37=0,$P$34=0),"",$L$37-1)),MIN(CI$38,$E191),$P$20))-SUM($BF191:CH191))</f>
        <v>0</v>
      </c>
      <c r="CJ191" s="446">
        <f>IF($E191=0,0,IF(MIN(CJ$38,$E191)&lt;MAX($P$34*($B191+$I$38-1),IF(AND($L$37=0,$P$34=0),"",$L$37-1)),0,YEARFRAC(MAX($P$34*($B191+$I$38-1),IF(AND($L$37=0,$P$34=0),"",$L$37-1)),MIN(CJ$38,$E191),$P$20))-SUM($BF191:CI191))</f>
        <v>0</v>
      </c>
      <c r="CK191" s="446">
        <f>IF($E191=0,0,IF(MIN(CK$38,$E191)&lt;MAX($P$34*($B191+$I$38-1),IF(AND($L$37=0,$P$34=0),"",$L$37-1)),0,YEARFRAC(MAX($P$34*($B191+$I$38-1),IF(AND($L$37=0,$P$34=0),"",$L$37-1)),MIN(CK$38,$E191),$P$20))-SUM($BF191:CJ191))</f>
        <v>0</v>
      </c>
      <c r="CL191" s="446">
        <f>IF($E191=0,0,IF(MIN(CL$38,$E191)&lt;MAX($P$34*($B191+$I$38-1),IF(AND($L$37=0,$P$34=0),"",$L$37-1)),0,YEARFRAC(MAX($P$34*($B191+$I$38-1),IF(AND($L$37=0,$P$34=0),"",$L$37-1)),MIN(CL$38,$E191),$P$20))-SUM($BF191:CK191))</f>
        <v>0</v>
      </c>
      <c r="CM191" s="446">
        <f>IF($E191=0,0,IF(MIN(CM$38,$E191)&lt;MAX($P$34*($B191+$I$38-1),IF(AND($L$37=0,$P$34=0),"",$L$37-1)),0,YEARFRAC(MAX($P$34*($B191+$I$38-1),IF(AND($L$37=0,$P$34=0),"",$L$37-1)),MIN(CM$38,$E191),$P$20))-SUM($BF191:CL191))</f>
        <v>0</v>
      </c>
      <c r="CN191" s="446">
        <f>IF($E191=0,0,IF(MIN(CN$38,$E191)&lt;MAX($P$34*($B191+$I$38-1),IF(AND($L$37=0,$P$34=0),"",$L$37-1)),0,YEARFRAC(MAX($P$34*($B191+$I$38-1),IF(AND($L$37=0,$P$34=0),"",$L$37-1)),MIN(CN$38,$E191),$P$20))-SUM($BF191:CM191))</f>
        <v>0</v>
      </c>
      <c r="CO191" s="446">
        <f>IF($E191=0,0,IF(MIN(CO$38,$E191)&lt;MAX($P$34*($B191+$I$38-1),IF(AND($L$37=0,$P$34=0),"",$L$37-1)),0,YEARFRAC(MAX($P$34*($B191+$I$38-1),IF(AND($L$37=0,$P$34=0),"",$L$37-1)),MIN(CO$38,$E191),$P$20))-SUM($BF191:CN191))</f>
        <v>0</v>
      </c>
      <c r="CP191" s="446">
        <f>IF($E191=0,0,IF(MIN(CP$38,$E191)&lt;MAX($P$34*($B191+$I$38-1),IF(AND($L$37=0,$P$34=0),"",$L$37-1)),0,YEARFRAC(MAX($P$34*($B191+$I$38-1),IF(AND($L$37=0,$P$34=0),"",$L$37-1)),MIN(CP$38,$E191),$P$20))-SUM($BF191:CO191))</f>
        <v>0</v>
      </c>
      <c r="CQ191" s="446">
        <f>IF($E191=0,0,IF(MIN(CQ$38,$E191)&lt;MAX($P$34*($B191+$I$38-1),IF(AND($L$37=0,$P$34=0),"",$L$37-1)),0,YEARFRAC(MAX($P$34*($B191+$I$38-1),IF(AND($L$37=0,$P$34=0),"",$L$37-1)),MIN(CQ$38,$E191),$P$20))-SUM($BF191:CP191))</f>
        <v>0</v>
      </c>
    </row>
    <row r="192" spans="1:95" s="446" customFormat="1" ht="11.25" hidden="1" customHeight="1" x14ac:dyDescent="0.2">
      <c r="A192" s="152"/>
      <c r="B192" s="153" t="str">
        <f t="shared" si="37"/>
        <v/>
      </c>
      <c r="C192" s="29" t="str">
        <f>IF(B192="","",IF($L$35="SELIC - TRIBUTOS",VLOOKUP(DATE(YEAR($D$19),MONTH($D$19)-1,1),ÍNDICES!$A:$DE,HLOOKUP($BL$25,ÍNDICES!$B$3:$T$4,2)+11)-VLOOKUP(B192,ÍNDICES!$A:$DE,HLOOKUP($BL$25,ÍNDICES!$B$3:$T$4,2)+11)+1%,IF(C$38=$W$26,$J$35,IF(ISERROR(IF(B192&gt;$D$19,1,VLOOKUP(DATE(YEAR(B192),MONTH(B192)+IF($C$35=$S$23,1,0),1),ÍNDICES!$A:$DE,$Z$35+1))),"",IF(B192&gt;$D$19,1,VLOOKUP(DATE(YEAR(B192),MONTH(B192)+IF($C$35=$S$23,1,0),1),ÍNDICES!$A:$DE,$Z$35+1))))))</f>
        <v/>
      </c>
      <c r="D192" s="154" t="str">
        <f>IF(ISERROR(IF(OR($D$38=$Y$27,$B192=""),"",VLOOKUP(B192,ÍNDICES!A:DE,AF$35+1))),"",IF(OR($D$38=$Y$27,$B192=""),"",VLOOKUP(B192,ÍNDICES!A:DE,AF$35+1)))</f>
        <v/>
      </c>
      <c r="E192" s="153"/>
      <c r="F192" s="29" t="str">
        <f>IF(E192="","",IF($L$35="SELIC - TRIBUTOS",VLOOKUP(DATE(YEAR($D$19),MONTH($D$19)-1,1),ÍNDICES!$A:$DE,HLOOKUP($BL$25,ÍNDICES!$B$3:$T$4,2)+11)-VLOOKUP(E192,ÍNDICES!$A:$DE,HLOOKUP($BL$25,ÍNDICES!$B$3:$T$4,2)+11)+1%,IF(F$38=$W$26,$J$35,IF(ISERROR(IF(E192&gt;$D$19,1,VLOOKUP(DATE(YEAR(E192),MONTH(E192)+IF($C$35=$S$23,1,0),1),ÍNDICES!$A:$DE,$Z$35+1))),"",IF(E192&gt;$D$19,1,VLOOKUP(DATE(YEAR(E192),MONTH(E192)+IF($C$35=$S$23,1,0),1),ÍNDICES!$A:$DE,$Z$35+1))))))</f>
        <v/>
      </c>
      <c r="G192" s="155"/>
      <c r="H192" s="156" t="str">
        <f t="shared" si="33"/>
        <v/>
      </c>
      <c r="I192" s="29" t="str">
        <f t="shared" si="27"/>
        <v/>
      </c>
      <c r="J192" s="5">
        <f t="shared" si="28"/>
        <v>0</v>
      </c>
      <c r="K192" s="20">
        <f t="shared" ca="1" si="29"/>
        <v>0</v>
      </c>
      <c r="L192" s="5">
        <f t="shared" ca="1" si="30"/>
        <v>0</v>
      </c>
      <c r="M192" s="64">
        <f t="shared" si="34"/>
        <v>0</v>
      </c>
      <c r="N192" s="61">
        <f t="shared" ca="1" si="35"/>
        <v>0</v>
      </c>
      <c r="O192" s="5">
        <f t="shared" ca="1" si="36"/>
        <v>0</v>
      </c>
      <c r="P192" s="446" t="e">
        <f t="shared" si="31"/>
        <v>#VALUE!</v>
      </c>
      <c r="Q192" s="446" t="e">
        <f>IF(OR($B192="",MIN(Q$38,$D$19)&lt;MAX($P$34*($B192+IF($R$17="Distrato",$I$38-1,0)),IF(AND($L$37=0,$P$34=0),"",$L$37-1),IF($R$17="Distrato",$E192,0))),0,YEARFRAC(MAX($P$34*($B192+IF($R$17="Distrato",$I$38-1,0)),IF(AND($L$37=0,$P$34=0),"",$L$37-1),IF($R$17="Distrato",$E192,0)),MIN(Q$38,$D$19),$P$20))-SUM($P192:P192)</f>
        <v>#VALUE!</v>
      </c>
      <c r="R192" s="446" t="e">
        <f>IF(OR($B192="",MIN(R$38,$D$19)&lt;MAX($P$34*($B192+IF($R$17="Distrato",$I$38-1,0)),IF(AND($L$37=0,$P$34=0),"",$L$37-1),IF($R$17="Distrato",$E192,0))),0,YEARFRAC(MAX($P$34*($B192+IF($R$17="Distrato",$I$38-1,0)),IF(AND($L$37=0,$P$34=0),"",$L$37-1),IF($R$17="Distrato",$E192,0)),MIN(R$38,$D$19),$P$20))-SUM($P192:Q192)</f>
        <v>#VALUE!</v>
      </c>
      <c r="S192" s="446" t="e">
        <f>IF(OR($B192="",MIN(S$38,$D$19)&lt;MAX($P$34*($B192+IF($R$17="Distrato",$I$38-1,0)),IF(AND($L$37=0,$P$34=0),"",$L$37-1),IF($R$17="Distrato",$E192,0))),0,YEARFRAC(MAX($P$34*($B192+IF($R$17="Distrato",$I$38-1,0)),IF(AND($L$37=0,$P$34=0),"",$L$37-1),IF($R$17="Distrato",$E192,0)),MIN(S$38,$D$19),$P$20))-SUM($P192:R192)</f>
        <v>#VALUE!</v>
      </c>
      <c r="T192" s="446" t="e">
        <f>IF(OR($B192="",MIN(T$38,$D$19)&lt;MAX($P$34*($B192+IF($R$17="Distrato",$I$38-1,0)),IF(AND($L$37=0,$P$34=0),"",$L$37-1),IF($R$17="Distrato",$E192,0))),0,YEARFRAC(MAX($P$34*($B192+IF($R$17="Distrato",$I$38-1,0)),IF(AND($L$37=0,$P$34=0),"",$L$37-1),IF($R$17="Distrato",$E192,0)),MIN(T$38,$D$19),$P$20))-SUM($P192:S192)</f>
        <v>#VALUE!</v>
      </c>
      <c r="U192" s="446" t="e">
        <f>IF(OR($B192="",MIN(U$38,$D$19)&lt;MAX($P$34*($B192+IF($R$17="Distrato",$I$38-1,0)),IF(AND($L$37=0,$P$34=0),"",$L$37-1),IF($R$17="Distrato",$E192,0))),0,YEARFRAC(MAX($P$34*($B192+IF($R$17="Distrato",$I$38-1,0)),IF(AND($L$37=0,$P$34=0),"",$L$37-1),IF($R$17="Distrato",$E192,0)),MIN(U$38,$D$19),$P$20))-SUM($P192:T192)</f>
        <v>#VALUE!</v>
      </c>
      <c r="V192" s="446" t="e">
        <f>IF(OR($B192="",MIN(V$38,$D$19)&lt;MAX($P$34*($B192+IF($R$17="Distrato",$I$38-1,0)),IF(AND($L$37=0,$P$34=0),"",$L$37-1),IF($R$17="Distrato",$E192,0))),0,YEARFRAC(MAX($P$34*($B192+IF($R$17="Distrato",$I$38-1,0)),IF(AND($L$37=0,$P$34=0),"",$L$37-1),IF($R$17="Distrato",$E192,0)),MIN(V$38,$D$19),$P$20))-SUM($P192:U192)</f>
        <v>#VALUE!</v>
      </c>
      <c r="W192" s="446" t="e">
        <f>IF(OR($B192="",MIN(W$38,$D$19)&lt;MAX($P$34*($B192+IF($R$17="Distrato",$I$38-1,0)),IF(AND($L$37=0,$P$34=0),"",$L$37-1),IF($R$17="Distrato",$E192,0))),0,YEARFRAC(MAX($P$34*($B192+IF($R$17="Distrato",$I$38-1,0)),IF(AND($L$37=0,$P$34=0),"",$L$37-1),IF($R$17="Distrato",$E192,0)),MIN(W$38,$D$19),$P$20))-SUM($P192:V192)</f>
        <v>#VALUE!</v>
      </c>
      <c r="X192" s="446" t="e">
        <f>IF(OR($B192="",MIN(X$38,$D$19)&lt;MAX($P$34*($B192+IF($R$17="Distrato",$I$38-1,0)),IF(AND($L$37=0,$P$34=0),"",$L$37-1),IF($R$17="Distrato",$E192,0))),0,YEARFRAC(MAX($P$34*($B192+IF($R$17="Distrato",$I$38-1,0)),IF(AND($L$37=0,$P$34=0),"",$L$37-1),IF($R$17="Distrato",$E192,0)),MIN(X$38,$D$19),$P$20))-SUM($P192:W192)</f>
        <v>#VALUE!</v>
      </c>
      <c r="Y192" s="446" t="e">
        <f>IF(OR($B192="",MIN(Y$38,$D$19)&lt;MAX($P$34*($B192+IF($R$17="Distrato",$I$38-1,0)),IF(AND($L$37=0,$P$34=0),"",$L$37-1),IF($R$17="Distrato",$E192,0))),0,YEARFRAC(MAX($P$34*($B192+IF($R$17="Distrato",$I$38-1,0)),IF(AND($L$37=0,$P$34=0),"",$L$37-1),IF($R$17="Distrato",$E192,0)),MIN(Y$38,$D$19),$P$20))-SUM($P192:X192)</f>
        <v>#VALUE!</v>
      </c>
      <c r="Z192" s="446" t="e">
        <f>IF(OR($B192="",MIN(Z$38,$D$19)&lt;MAX($P$34*($B192+IF($R$17="Distrato",$I$38-1,0)),IF(AND($L$37=0,$P$34=0),"",$L$37-1),IF($R$17="Distrato",$E192,0))),0,YEARFRAC(MAX($P$34*($B192+IF($R$17="Distrato",$I$38-1,0)),IF(AND($L$37=0,$P$34=0),"",$L$37-1),IF($R$17="Distrato",$E192,0)),MIN(Z$38,$D$19),$P$20))-SUM($P192:Y192)</f>
        <v>#VALUE!</v>
      </c>
      <c r="AA192" s="446" t="e">
        <f>IF(OR($B192="",MIN(AA$38,$D$19)&lt;MAX($P$34*($B192+IF($R$17="Distrato",$I$38-1,0)),IF(AND($L$37=0,$P$34=0),"",$L$37-1),IF($R$17="Distrato",$E192,0))),0,YEARFRAC(MAX($P$34*($B192+IF($R$17="Distrato",$I$38-1,0)),IF(AND($L$37=0,$P$34=0),"",$L$37-1),IF($R$17="Distrato",$E192,0)),MIN(AA$38,$D$19),$P$20))-SUM($P192:Z192)</f>
        <v>#VALUE!</v>
      </c>
      <c r="AB192" s="446" t="e">
        <f>IF(OR($B192="",MIN(AB$38,$D$19)&lt;MAX($P$34*($B192+IF($R$17="Distrato",$I$38-1,0)),IF(AND($L$37=0,$P$34=0),"",$L$37-1),IF($R$17="Distrato",$E192,0))),0,YEARFRAC(MAX($P$34*($B192+IF($R$17="Distrato",$I$38-1,0)),IF(AND($L$37=0,$P$34=0),"",$L$37-1),IF($R$17="Distrato",$E192,0)),MIN(AB$38,$D$19),$P$20))-SUM($P192:AA192)</f>
        <v>#VALUE!</v>
      </c>
      <c r="AC192" s="446" t="e">
        <f>IF(OR($B192="",MIN(AC$38,$D$19)&lt;MAX($P$34*($B192+IF($R$17="Distrato",$I$38-1,0)),IF(AND($L$37=0,$P$34=0),"",$L$37-1),IF($R$17="Distrato",$E192,0))),0,YEARFRAC(MAX($P$34*($B192+IF($R$17="Distrato",$I$38-1,0)),IF(AND($L$37=0,$P$34=0),"",$L$37-1),IF($R$17="Distrato",$E192,0)),MIN(AC$38,$D$19),$P$20))-SUM($P192:AB192)</f>
        <v>#VALUE!</v>
      </c>
      <c r="AD192" s="446" t="e">
        <f>IF(OR($B192="",MIN(AD$38,$D$19)&lt;MAX($P$34*($B192+IF($R$17="Distrato",$I$38-1,0)),IF(AND($L$37=0,$P$34=0),"",$L$37-1),IF($R$17="Distrato",$E192,0))),0,YEARFRAC(MAX($P$34*($B192+IF($R$17="Distrato",$I$38-1,0)),IF(AND($L$37=0,$P$34=0),"",$L$37-1),IF($R$17="Distrato",$E192,0)),MIN(AD$38,$D$19),$P$20))-SUM($P192:AC192)</f>
        <v>#VALUE!</v>
      </c>
      <c r="AE192" s="446" t="e">
        <f>IF(OR($B192="",MIN(AE$38,$D$19)&lt;MAX($P$34*($B192+IF($R$17="Distrato",$I$38-1,0)),IF(AND($L$37=0,$P$34=0),"",$L$37-1),IF($R$17="Distrato",$E192,0))),0,YEARFRAC(MAX($P$34*($B192+IF($R$17="Distrato",$I$38-1,0)),IF(AND($L$37=0,$P$34=0),"",$L$37-1),IF($R$17="Distrato",$E192,0)),MIN(AE$38,$D$19),$P$20))-SUM($P192:AD192)</f>
        <v>#VALUE!</v>
      </c>
      <c r="AF192" s="446" t="e">
        <f>IF(OR($B192="",MIN(AF$38,$D$19)&lt;MAX($P$34*($B192+IF($R$17="Distrato",$I$38-1,0)),IF(AND($L$37=0,$P$34=0),"",$L$37-1),IF($R$17="Distrato",$E192,0))),0,YEARFRAC(MAX($P$34*($B192+IF($R$17="Distrato",$I$38-1,0)),IF(AND($L$37=0,$P$34=0),"",$L$37-1),IF($R$17="Distrato",$E192,0)),MIN(AF$38,$D$19),$P$20))-SUM($P192:AE192)</f>
        <v>#VALUE!</v>
      </c>
      <c r="AG192" s="446" t="e">
        <f>IF(OR($B192="",MIN(AG$38,$D$19)&lt;MAX($P$34*($B192+IF($R$17="Distrato",$I$38-1,0)),IF(AND($L$37=0,$P$34=0),"",$L$37-1),IF($R$17="Distrato",$E192,0))),0,YEARFRAC(MAX($P$34*($B192+IF($R$17="Distrato",$I$38-1,0)),IF(AND($L$37=0,$P$34=0),"",$L$37-1),IF($R$17="Distrato",$E192,0)),MIN(AG$38,$D$19),$P$20))-SUM($P192:AF192)</f>
        <v>#VALUE!</v>
      </c>
      <c r="AH192" s="446" t="e">
        <f>IF(OR($B192="",MIN(AH$38,$D$19)&lt;MAX($P$34*($B192+IF($R$17="Distrato",$I$38-1,0)),IF(AND($L$37=0,$P$34=0),"",$L$37-1),IF($R$17="Distrato",$E192,0))),0,YEARFRAC(MAX($P$34*($B192+IF($R$17="Distrato",$I$38-1,0)),IF(AND($L$37=0,$P$34=0),"",$L$37-1),IF($R$17="Distrato",$E192,0)),MIN(AH$38,$D$19),$P$20))-SUM($P192:AG192)</f>
        <v>#VALUE!</v>
      </c>
      <c r="AI192" s="446" t="e">
        <f>IF(OR($B192="",MIN(AI$38,$D$19)&lt;MAX($P$34*($B192+IF($R$17="Distrato",$I$38-1,0)),IF(AND($L$37=0,$P$34=0),"",$L$37-1),IF($R$17="Distrato",$E192,0))),0,YEARFRAC(MAX($P$34*($B192+IF($R$17="Distrato",$I$38-1,0)),IF(AND($L$37=0,$P$34=0),"",$L$37-1),IF($R$17="Distrato",$E192,0)),MIN(AI$38,$D$19),$P$20))-SUM($P192:AH192)</f>
        <v>#VALUE!</v>
      </c>
      <c r="AJ192" s="446" t="e">
        <f>IF(OR($B192="",MIN(AJ$38,$D$19)&lt;MAX($P$34*($B192+IF($R$17="Distrato",$I$38-1,0)),IF(AND($L$37=0,$P$34=0),"",$L$37-1),IF($R$17="Distrato",$E192,0))),0,YEARFRAC(MAX($P$34*($B192+IF($R$17="Distrato",$I$38-1,0)),IF(AND($L$37=0,$P$34=0),"",$L$37-1),IF($R$17="Distrato",$E192,0)),MIN(AJ$38,$D$19),$P$20))-SUM($P192:AI192)</f>
        <v>#VALUE!</v>
      </c>
      <c r="AK192" s="446" t="e">
        <f>IF(OR($B192="",MIN(AK$38,$D$19)&lt;MAX($P$34*($B192+IF($R$17="Distrato",$I$38-1,0)),IF(AND($L$37=0,$P$34=0),"",$L$37-1),IF($R$17="Distrato",$E192,0))),0,YEARFRAC(MAX($P$34*($B192+IF($R$17="Distrato",$I$38-1,0)),IF(AND($L$37=0,$P$34=0),"",$L$37-1),IF($R$17="Distrato",$E192,0)),MIN(AK$38,$D$19),$P$20))-SUM($P192:AJ192)</f>
        <v>#VALUE!</v>
      </c>
      <c r="AL192" s="446" t="e">
        <f>IF(OR($B192="",MIN(AL$38,$D$19)&lt;MAX($P$34*($B192+IF($R$17="Distrato",$I$38-1,0)),IF(AND($L$37=0,$P$34=0),"",$L$37-1),IF($R$17="Distrato",$E192,0))),0,YEARFRAC(MAX($P$34*($B192+IF($R$17="Distrato",$I$38-1,0)),IF(AND($L$37=0,$P$34=0),"",$L$37-1),IF($R$17="Distrato",$E192,0)),MIN(AL$38,$D$19),$P$20))-SUM($P192:AK192)</f>
        <v>#VALUE!</v>
      </c>
      <c r="AM192" s="446" t="e">
        <f>IF(OR($B192="",MIN(AM$38,$D$19)&lt;MAX($P$34*($B192+IF($R$17="Distrato",$I$38-1,0)),IF(AND($L$37=0,$P$34=0),"",$L$37-1),IF($R$17="Distrato",$E192,0))),0,YEARFRAC(MAX($P$34*($B192+IF($R$17="Distrato",$I$38-1,0)),IF(AND($L$37=0,$P$34=0),"",$L$37-1),IF($R$17="Distrato",$E192,0)),MIN(AM$38,$D$19),$P$20))-SUM($P192:AL192)</f>
        <v>#VALUE!</v>
      </c>
      <c r="AN192" s="446" t="e">
        <f>IF(OR($B192="",MIN(AN$38,$D$19)&lt;MAX($P$34*($B192+IF($R$17="Distrato",$I$38-1,0)),IF(AND($L$37=0,$P$34=0),"",$L$37-1),IF($R$17="Distrato",$E192,0))),0,YEARFRAC(MAX($P$34*($B192+IF($R$17="Distrato",$I$38-1,0)),IF(AND($L$37=0,$P$34=0),"",$L$37-1),IF($R$17="Distrato",$E192,0)),MIN(AN$38,$D$19),$P$20))-SUM($P192:AM192)</f>
        <v>#VALUE!</v>
      </c>
      <c r="AO192" s="446" t="e">
        <f>IF(OR($B192="",MIN(AO$38,$D$19)&lt;MAX($P$34*($B192+IF($R$17="Distrato",$I$38-1,0)),IF(AND($L$37=0,$P$34=0),"",$L$37-1),IF($R$17="Distrato",$E192,0))),0,YEARFRAC(MAX($P$34*($B192+IF($R$17="Distrato",$I$38-1,0)),IF(AND($L$37=0,$P$34=0),"",$L$37-1),IF($R$17="Distrato",$E192,0)),MIN(AO$38,$D$19),$P$20))-SUM($P192:AN192)</f>
        <v>#VALUE!</v>
      </c>
      <c r="AP192" s="446" t="e">
        <f>IF(OR($B192="",MIN(AP$38,$D$19)&lt;MAX($P$34*($B192+IF($R$17="Distrato",$I$38-1,0)),IF(AND($L$37=0,$P$34=0),"",$L$37-1),IF($R$17="Distrato",$E192,0))),0,YEARFRAC(MAX($P$34*($B192+IF($R$17="Distrato",$I$38-1,0)),IF(AND($L$37=0,$P$34=0),"",$L$37-1),IF($R$17="Distrato",$E192,0)),MIN(AP$38,$D$19),$P$20))-SUM($P192:AO192)</f>
        <v>#VALUE!</v>
      </c>
      <c r="AQ192" s="446" t="e">
        <f>IF(OR($B192="",MIN(AQ$38,$D$19)&lt;MAX($P$34*($B192+IF($R$17="Distrato",$I$38-1,0)),IF(AND($L$37=0,$P$34=0),"",$L$37-1),IF($R$17="Distrato",$E192,0))),0,YEARFRAC(MAX($P$34*($B192+IF($R$17="Distrato",$I$38-1,0)),IF(AND($L$37=0,$P$34=0),"",$L$37-1),IF($R$17="Distrato",$E192,0)),MIN(AQ$38,$D$19),$P$20))-SUM($P192:AP192)</f>
        <v>#VALUE!</v>
      </c>
      <c r="AR192" s="446" t="e">
        <f>IF(OR($B192="",MIN(AR$38,$D$19)&lt;MAX($P$34*($B192+IF($R$17="Distrato",$I$38-1,0)),IF(AND($L$37=0,$P$34=0),"",$L$37-1),IF($R$17="Distrato",$E192,0))),0,YEARFRAC(MAX($P$34*($B192+IF($R$17="Distrato",$I$38-1,0)),IF(AND($L$37=0,$P$34=0),"",$L$37-1),IF($R$17="Distrato",$E192,0)),MIN(AR$38,$D$19),$P$20))-SUM($P192:AQ192)</f>
        <v>#VALUE!</v>
      </c>
      <c r="AS192" s="446" t="e">
        <f>IF(OR($B192="",MIN(AS$38,$D$19)&lt;MAX($P$34*($B192+IF($R$17="Distrato",$I$38-1,0)),IF(AND($L$37=0,$P$34=0),"",$L$37-1),IF($R$17="Distrato",$E192,0))),0,YEARFRAC(MAX($P$34*($B192+IF($R$17="Distrato",$I$38-1,0)),IF(AND($L$37=0,$P$34=0),"",$L$37-1),IF($R$17="Distrato",$E192,0)),MIN(AS$38,$D$19),$P$20))-SUM($P192:AR192)</f>
        <v>#VALUE!</v>
      </c>
      <c r="AT192" s="446" t="e">
        <f>IF(OR($B192="",MIN(AT$38,$D$19)&lt;MAX($P$34*($B192+IF($R$17="Distrato",$I$38-1,0)),IF(AND($L$37=0,$P$34=0),"",$L$37-1),IF($R$17="Distrato",$E192,0))),0,YEARFRAC(MAX($P$34*($B192+IF($R$17="Distrato",$I$38-1,0)),IF(AND($L$37=0,$P$34=0),"",$L$37-1),IF($R$17="Distrato",$E192,0)),MIN(AT$38,$D$19),$P$20))-SUM($P192:AS192)</f>
        <v>#VALUE!</v>
      </c>
      <c r="AU192" s="446" t="e">
        <f>IF(OR($B192="",MIN(AU$38,$D$19)&lt;MAX($P$34*($B192+IF($R$17="Distrato",$I$38-1,0)),IF(AND($L$37=0,$P$34=0),"",$L$37-1),IF($R$17="Distrato",$E192,0))),0,YEARFRAC(MAX($P$34*($B192+IF($R$17="Distrato",$I$38-1,0)),IF(AND($L$37=0,$P$34=0),"",$L$37-1),IF($R$17="Distrato",$E192,0)),MIN(AU$38,$D$19),$P$20))-SUM($P192:AT192)</f>
        <v>#VALUE!</v>
      </c>
      <c r="AV192" s="446" t="e">
        <f>IF(OR($B192="",MIN(AV$38,$D$19)&lt;MAX($P$34*($B192+IF($R$17="Distrato",$I$38-1,0)),IF(AND($L$37=0,$P$34=0),"",$L$37-1),IF($R$17="Distrato",$E192,0))),0,YEARFRAC(MAX($P$34*($B192+IF($R$17="Distrato",$I$38-1,0)),IF(AND($L$37=0,$P$34=0),"",$L$37-1),IF($R$17="Distrato",$E192,0)),MIN(AV$38,$D$19),$P$20))-SUM($P192:AU192)</f>
        <v>#VALUE!</v>
      </c>
      <c r="AW192" s="446" t="e">
        <f>IF(OR($B192="",MIN(AW$38,$D$19)&lt;MAX($P$34*($B192+IF($R$17="Distrato",$I$38-1,0)),IF(AND($L$37=0,$P$34=0),"",$L$37-1),IF($R$17="Distrato",$E192,0))),0,YEARFRAC(MAX($P$34*($B192+IF($R$17="Distrato",$I$38-1,0)),IF(AND($L$37=0,$P$34=0),"",$L$37-1),IF($R$17="Distrato",$E192,0)),MIN(AW$38,$D$19),$P$20))-SUM($P192:AV192)</f>
        <v>#VALUE!</v>
      </c>
      <c r="AX192" s="446" t="e">
        <f>IF(OR($B192="",MIN(AX$38,$D$19)&lt;MAX($P$34*($B192+IF($R$17="Distrato",$I$38-1,0)),IF(AND($L$37=0,$P$34=0),"",$L$37-1),IF($R$17="Distrato",$E192,0))),0,YEARFRAC(MAX($P$34*($B192+IF($R$17="Distrato",$I$38-1,0)),IF(AND($L$37=0,$P$34=0),"",$L$37-1),IF($R$17="Distrato",$E192,0)),MIN(AX$38,$D$19),$P$20))-SUM($P192:AW192)</f>
        <v>#VALUE!</v>
      </c>
      <c r="AY192" s="446" t="e">
        <f>IF(OR($B192="",MIN(AY$38,$D$19)&lt;MAX($P$34*($B192+IF($R$17="Distrato",$I$38-1,0)),IF(AND($L$37=0,$P$34=0),"",$L$37-1),IF($R$17="Distrato",$E192,0))),0,YEARFRAC(MAX($P$34*($B192+IF($R$17="Distrato",$I$38-1,0)),IF(AND($L$37=0,$P$34=0),"",$L$37-1),IF($R$17="Distrato",$E192,0)),MIN(AY$38,$D$19),$P$20))-SUM($P192:AX192)</f>
        <v>#VALUE!</v>
      </c>
      <c r="AZ192" s="446" t="e">
        <f>IF(OR($B192="",MIN(AZ$38,$D$19)&lt;MAX($P$34*($B192+IF($R$17="Distrato",$I$38-1,0)),IF(AND($L$37=0,$P$34=0),"",$L$37-1),IF($R$17="Distrato",$E192,0))),0,YEARFRAC(MAX($P$34*($B192+IF($R$17="Distrato",$I$38-1,0)),IF(AND($L$37=0,$P$34=0),"",$L$37-1),IF($R$17="Distrato",$E192,0)),MIN(AZ$38,$D$19),$P$20))-SUM($P192:AY192)</f>
        <v>#VALUE!</v>
      </c>
      <c r="BA192" s="446" t="e">
        <f>IF(OR($B192="",MIN(BA$38,$D$19)&lt;MAX($P$34*($B192+IF($R$17="Distrato",$I$38-1,0)),IF(AND($L$37=0,$P$34=0),"",$L$37-1),IF($R$17="Distrato",$E192,0))),0,YEARFRAC(MAX($P$34*($B192+IF($R$17="Distrato",$I$38-1,0)),IF(AND($L$37=0,$P$34=0),"",$L$37-1),IF($R$17="Distrato",$E192,0)),MIN(BA$38,$D$19),$P$20))-SUM($P192:AZ192)</f>
        <v>#VALUE!</v>
      </c>
      <c r="BB192" s="447"/>
      <c r="BF192" s="446">
        <f t="shared" si="32"/>
        <v>0</v>
      </c>
      <c r="BG192" s="446">
        <f>IF($E192=0,0,IF(MIN(BG$38,$E192)&lt;MAX($P$34*($B192+$I$38-1),IF(AND($L$37=0,$P$34=0),"",$L$37-1)),0,YEARFRAC(MAX($P$34*($B192+$I$38-1),IF(AND($L$37=0,$P$34=0),"",$L$37-1)),MIN(BG$38,$E192),$P$20))-SUM($BF192:BF192))</f>
        <v>0</v>
      </c>
      <c r="BH192" s="446">
        <f>IF($E192=0,0,IF(MIN(BH$38,$E192)&lt;MAX($P$34*($B192+$I$38-1),IF(AND($L$37=0,$P$34=0),"",$L$37-1)),0,YEARFRAC(MAX($P$34*($B192+$I$38-1),IF(AND($L$37=0,$P$34=0),"",$L$37-1)),MIN(BH$38,$E192),$P$20))-SUM($BF192:BG192))</f>
        <v>0</v>
      </c>
      <c r="BI192" s="446">
        <f>IF($E192=0,0,IF(MIN(BI$38,$E192)&lt;MAX($P$34*($B192+$I$38-1),IF(AND($L$37=0,$P$34=0),"",$L$37-1)),0,YEARFRAC(MAX($P$34*($B192+$I$38-1),IF(AND($L$37=0,$P$34=0),"",$L$37-1)),MIN(BI$38,$E192),$P$20))-SUM($BF192:BH192))</f>
        <v>0</v>
      </c>
      <c r="BJ192" s="446">
        <f>IF($E192=0,0,IF(MIN(BJ$38,$E192)&lt;MAX($P$34*($B192+$I$38-1),IF(AND($L$37=0,$P$34=0),"",$L$37-1)),0,YEARFRAC(MAX($P$34*($B192+$I$38-1),IF(AND($L$37=0,$P$34=0),"",$L$37-1)),MIN(BJ$38,$E192),$P$20))-SUM($BF192:BI192))</f>
        <v>0</v>
      </c>
      <c r="BK192" s="446">
        <f>IF($E192=0,0,IF(MIN(BK$38,$E192)&lt;MAX($P$34*($B192+$I$38-1),IF(AND($L$37=0,$P$34=0),"",$L$37-1)),0,YEARFRAC(MAX($P$34*($B192+$I$38-1),IF(AND($L$37=0,$P$34=0),"",$L$37-1)),MIN(BK$38,$E192),$P$20))-SUM($BF192:BJ192))</f>
        <v>0</v>
      </c>
      <c r="BL192" s="446">
        <f>IF($E192=0,0,IF(MIN(BL$38,$E192)&lt;MAX($P$34*($B192+$I$38-1),IF(AND($L$37=0,$P$34=0),"",$L$37-1)),0,YEARFRAC(MAX($P$34*($B192+$I$38-1),IF(AND($L$37=0,$P$34=0),"",$L$37-1)),MIN(BL$38,$E192),$P$20))-SUM($BF192:BK192))</f>
        <v>0</v>
      </c>
      <c r="BM192" s="446">
        <f>IF($E192=0,0,IF(MIN(BM$38,$E192)&lt;MAX($P$34*($B192+$I$38-1),IF(AND($L$37=0,$P$34=0),"",$L$37-1)),0,YEARFRAC(MAX($P$34*($B192+$I$38-1),IF(AND($L$37=0,$P$34=0),"",$L$37-1)),MIN(BM$38,$E192),$P$20))-SUM($BF192:BL192))</f>
        <v>0</v>
      </c>
      <c r="BN192" s="446">
        <f>IF($E192=0,0,IF(MIN(BN$38,$E192)&lt;MAX($P$34*($B192+$I$38-1),IF(AND($L$37=0,$P$34=0),"",$L$37-1)),0,YEARFRAC(MAX($P$34*($B192+$I$38-1),IF(AND($L$37=0,$P$34=0),"",$L$37-1)),MIN(BN$38,$E192),$P$20))-SUM($BF192:BM192))</f>
        <v>0</v>
      </c>
      <c r="BO192" s="446">
        <f>IF($E192=0,0,IF(MIN(BO$38,$E192)&lt;MAX($P$34*($B192+$I$38-1),IF(AND($L$37=0,$P$34=0),"",$L$37-1)),0,YEARFRAC(MAX($P$34*($B192+$I$38-1),IF(AND($L$37=0,$P$34=0),"",$L$37-1)),MIN(BO$38,$E192),$P$20))-SUM($BF192:BN192))</f>
        <v>0</v>
      </c>
      <c r="BP192" s="446">
        <f>IF($E192=0,0,IF(MIN(BP$38,$E192)&lt;MAX($P$34*($B192+$I$38-1),IF(AND($L$37=0,$P$34=0),"",$L$37-1)),0,YEARFRAC(MAX($P$34*($B192+$I$38-1),IF(AND($L$37=0,$P$34=0),"",$L$37-1)),MIN(BP$38,$E192),$P$20))-SUM($BF192:BO192))</f>
        <v>0</v>
      </c>
      <c r="BQ192" s="446">
        <f>IF($E192=0,0,IF(MIN(BQ$38,$E192)&lt;MAX($P$34*($B192+$I$38-1),IF(AND($L$37=0,$P$34=0),"",$L$37-1)),0,YEARFRAC(MAX($P$34*($B192+$I$38-1),IF(AND($L$37=0,$P$34=0),"",$L$37-1)),MIN(BQ$38,$E192),$P$20))-SUM($BF192:BP192))</f>
        <v>0</v>
      </c>
      <c r="BR192" s="446">
        <f>IF($E192=0,0,IF(MIN(BR$38,$E192)&lt;MAX($P$34*($B192+$I$38-1),IF(AND($L$37=0,$P$34=0),"",$L$37-1)),0,YEARFRAC(MAX($P$34*($B192+$I$38-1),IF(AND($L$37=0,$P$34=0),"",$L$37-1)),MIN(BR$38,$E192),$P$20))-SUM($BF192:BQ192))</f>
        <v>0</v>
      </c>
      <c r="BS192" s="446">
        <f>IF($E192=0,0,IF(MIN(BS$38,$E192)&lt;MAX($P$34*($B192+$I$38-1),IF(AND($L$37=0,$P$34=0),"",$L$37-1)),0,YEARFRAC(MAX($P$34*($B192+$I$38-1),IF(AND($L$37=0,$P$34=0),"",$L$37-1)),MIN(BS$38,$E192),$P$20))-SUM($BF192:BR192))</f>
        <v>0</v>
      </c>
      <c r="BT192" s="446">
        <f>IF($E192=0,0,IF(MIN(BT$38,$E192)&lt;MAX($P$34*($B192+$I$38-1),IF(AND($L$37=0,$P$34=0),"",$L$37-1)),0,YEARFRAC(MAX($P$34*($B192+$I$38-1),IF(AND($L$37=0,$P$34=0),"",$L$37-1)),MIN(BT$38,$E192),$P$20))-SUM($BF192:BS192))</f>
        <v>0</v>
      </c>
      <c r="BU192" s="446">
        <f>IF($E192=0,0,IF(MIN(BU$38,$E192)&lt;MAX($P$34*($B192+$I$38-1),IF(AND($L$37=0,$P$34=0),"",$L$37-1)),0,YEARFRAC(MAX($P$34*($B192+$I$38-1),IF(AND($L$37=0,$P$34=0),"",$L$37-1)),MIN(BU$38,$E192),$P$20))-SUM($BF192:BT192))</f>
        <v>0</v>
      </c>
      <c r="BV192" s="446">
        <f>IF($E192=0,0,IF(MIN(BV$38,$E192)&lt;MAX($P$34*($B192+$I$38-1),IF(AND($L$37=0,$P$34=0),"",$L$37-1)),0,YEARFRAC(MAX($P$34*($B192+$I$38-1),IF(AND($L$37=0,$P$34=0),"",$L$37-1)),MIN(BV$38,$E192),$P$20))-SUM($BF192:BU192))</f>
        <v>0</v>
      </c>
      <c r="BW192" s="446">
        <f>IF($E192=0,0,IF(MIN(BW$38,$E192)&lt;MAX($P$34*($B192+$I$38-1),IF(AND($L$37=0,$P$34=0),"",$L$37-1)),0,YEARFRAC(MAX($P$34*($B192+$I$38-1),IF(AND($L$37=0,$P$34=0),"",$L$37-1)),MIN(BW$38,$E192),$P$20))-SUM($BF192:BV192))</f>
        <v>0</v>
      </c>
      <c r="BX192" s="446">
        <f>IF($E192=0,0,IF(MIN(BX$38,$E192)&lt;MAX($P$34*($B192+$I$38-1),IF(AND($L$37=0,$P$34=0),"",$L$37-1)),0,YEARFRAC(MAX($P$34*($B192+$I$38-1),IF(AND($L$37=0,$P$34=0),"",$L$37-1)),MIN(BX$38,$E192),$P$20))-SUM($BF192:BW192))</f>
        <v>0</v>
      </c>
      <c r="BY192" s="446">
        <f>IF($E192=0,0,IF(MIN(BY$38,$E192)&lt;MAX($P$34*($B192+$I$38-1),IF(AND($L$37=0,$P$34=0),"",$L$37-1)),0,YEARFRAC(MAX($P$34*($B192+$I$38-1),IF(AND($L$37=0,$P$34=0),"",$L$37-1)),MIN(BY$38,$E192),$P$20))-SUM($BF192:BX192))</f>
        <v>0</v>
      </c>
      <c r="BZ192" s="446">
        <f>IF($E192=0,0,IF(MIN(BZ$38,$E192)&lt;MAX($P$34*($B192+$I$38-1),IF(AND($L$37=0,$P$34=0),"",$L$37-1)),0,YEARFRAC(MAX($P$34*($B192+$I$38-1),IF(AND($L$37=0,$P$34=0),"",$L$37-1)),MIN(BZ$38,$E192),$P$20))-SUM($BF192:BY192))</f>
        <v>0</v>
      </c>
      <c r="CA192" s="446">
        <f>IF($E192=0,0,IF(MIN(CA$38,$E192)&lt;MAX($P$34*($B192+$I$38-1),IF(AND($L$37=0,$P$34=0),"",$L$37-1)),0,YEARFRAC(MAX($P$34*($B192+$I$38-1),IF(AND($L$37=0,$P$34=0),"",$L$37-1)),MIN(CA$38,$E192),$P$20))-SUM($BF192:BZ192))</f>
        <v>0</v>
      </c>
      <c r="CB192" s="446">
        <f>IF($E192=0,0,IF(MIN(CB$38,$E192)&lt;MAX($P$34*($B192+$I$38-1),IF(AND($L$37=0,$P$34=0),"",$L$37-1)),0,YEARFRAC(MAX($P$34*($B192+$I$38-1),IF(AND($L$37=0,$P$34=0),"",$L$37-1)),MIN(CB$38,$E192),$P$20))-SUM($BF192:CA192))</f>
        <v>0</v>
      </c>
      <c r="CC192" s="446">
        <f>IF($E192=0,0,IF(MIN(CC$38,$E192)&lt;MAX($P$34*($B192+$I$38-1),IF(AND($L$37=0,$P$34=0),"",$L$37-1)),0,YEARFRAC(MAX($P$34*($B192+$I$38-1),IF(AND($L$37=0,$P$34=0),"",$L$37-1)),MIN(CC$38,$E192),$P$20))-SUM($BF192:CB192))</f>
        <v>0</v>
      </c>
      <c r="CD192" s="446">
        <f>IF($E192=0,0,IF(MIN(CD$38,$E192)&lt;MAX($P$34*($B192+$I$38-1),IF(AND($L$37=0,$P$34=0),"",$L$37-1)),0,YEARFRAC(MAX($P$34*($B192+$I$38-1),IF(AND($L$37=0,$P$34=0),"",$L$37-1)),MIN(CD$38,$E192),$P$20))-SUM($BF192:CC192))</f>
        <v>0</v>
      </c>
      <c r="CE192" s="446">
        <f>IF($E192=0,0,IF(MIN(CE$38,$E192)&lt;MAX($P$34*($B192+$I$38-1),IF(AND($L$37=0,$P$34=0),"",$L$37-1)),0,YEARFRAC(MAX($P$34*($B192+$I$38-1),IF(AND($L$37=0,$P$34=0),"",$L$37-1)),MIN(CE$38,$E192),$P$20))-SUM($BF192:CD192))</f>
        <v>0</v>
      </c>
      <c r="CF192" s="446">
        <f>IF($E192=0,0,IF(MIN(CF$38,$E192)&lt;MAX($P$34*($B192+$I$38-1),IF(AND($L$37=0,$P$34=0),"",$L$37-1)),0,YEARFRAC(MAX($P$34*($B192+$I$38-1),IF(AND($L$37=0,$P$34=0),"",$L$37-1)),MIN(CF$38,$E192),$P$20))-SUM($BF192:CE192))</f>
        <v>0</v>
      </c>
      <c r="CG192" s="446">
        <f>IF($E192=0,0,IF(MIN(CG$38,$E192)&lt;MAX($P$34*($B192+$I$38-1),IF(AND($L$37=0,$P$34=0),"",$L$37-1)),0,YEARFRAC(MAX($P$34*($B192+$I$38-1),IF(AND($L$37=0,$P$34=0),"",$L$37-1)),MIN(CG$38,$E192),$P$20))-SUM($BF192:CF192))</f>
        <v>0</v>
      </c>
      <c r="CH192" s="446">
        <f>IF($E192=0,0,IF(MIN(CH$38,$E192)&lt;MAX($P$34*($B192+$I$38-1),IF(AND($L$37=0,$P$34=0),"",$L$37-1)),0,YEARFRAC(MAX($P$34*($B192+$I$38-1),IF(AND($L$37=0,$P$34=0),"",$L$37-1)),MIN(CH$38,$E192),$P$20))-SUM($BF192:CG192))</f>
        <v>0</v>
      </c>
      <c r="CI192" s="446">
        <f>IF($E192=0,0,IF(MIN(CI$38,$E192)&lt;MAX($P$34*($B192+$I$38-1),IF(AND($L$37=0,$P$34=0),"",$L$37-1)),0,YEARFRAC(MAX($P$34*($B192+$I$38-1),IF(AND($L$37=0,$P$34=0),"",$L$37-1)),MIN(CI$38,$E192),$P$20))-SUM($BF192:CH192))</f>
        <v>0</v>
      </c>
      <c r="CJ192" s="446">
        <f>IF($E192=0,0,IF(MIN(CJ$38,$E192)&lt;MAX($P$34*($B192+$I$38-1),IF(AND($L$37=0,$P$34=0),"",$L$37-1)),0,YEARFRAC(MAX($P$34*($B192+$I$38-1),IF(AND($L$37=0,$P$34=0),"",$L$37-1)),MIN(CJ$38,$E192),$P$20))-SUM($BF192:CI192))</f>
        <v>0</v>
      </c>
      <c r="CK192" s="446">
        <f>IF($E192=0,0,IF(MIN(CK$38,$E192)&lt;MAX($P$34*($B192+$I$38-1),IF(AND($L$37=0,$P$34=0),"",$L$37-1)),0,YEARFRAC(MAX($P$34*($B192+$I$38-1),IF(AND($L$37=0,$P$34=0),"",$L$37-1)),MIN(CK$38,$E192),$P$20))-SUM($BF192:CJ192))</f>
        <v>0</v>
      </c>
      <c r="CL192" s="446">
        <f>IF($E192=0,0,IF(MIN(CL$38,$E192)&lt;MAX($P$34*($B192+$I$38-1),IF(AND($L$37=0,$P$34=0),"",$L$37-1)),0,YEARFRAC(MAX($P$34*($B192+$I$38-1),IF(AND($L$37=0,$P$34=0),"",$L$37-1)),MIN(CL$38,$E192),$P$20))-SUM($BF192:CK192))</f>
        <v>0</v>
      </c>
      <c r="CM192" s="446">
        <f>IF($E192=0,0,IF(MIN(CM$38,$E192)&lt;MAX($P$34*($B192+$I$38-1),IF(AND($L$37=0,$P$34=0),"",$L$37-1)),0,YEARFRAC(MAX($P$34*($B192+$I$38-1),IF(AND($L$37=0,$P$34=0),"",$L$37-1)),MIN(CM$38,$E192),$P$20))-SUM($BF192:CL192))</f>
        <v>0</v>
      </c>
      <c r="CN192" s="446">
        <f>IF($E192=0,0,IF(MIN(CN$38,$E192)&lt;MAX($P$34*($B192+$I$38-1),IF(AND($L$37=0,$P$34=0),"",$L$37-1)),0,YEARFRAC(MAX($P$34*($B192+$I$38-1),IF(AND($L$37=0,$P$34=0),"",$L$37-1)),MIN(CN$38,$E192),$P$20))-SUM($BF192:CM192))</f>
        <v>0</v>
      </c>
      <c r="CO192" s="446">
        <f>IF($E192=0,0,IF(MIN(CO$38,$E192)&lt;MAX($P$34*($B192+$I$38-1),IF(AND($L$37=0,$P$34=0),"",$L$37-1)),0,YEARFRAC(MAX($P$34*($B192+$I$38-1),IF(AND($L$37=0,$P$34=0),"",$L$37-1)),MIN(CO$38,$E192),$P$20))-SUM($BF192:CN192))</f>
        <v>0</v>
      </c>
      <c r="CP192" s="446">
        <f>IF($E192=0,0,IF(MIN(CP$38,$E192)&lt;MAX($P$34*($B192+$I$38-1),IF(AND($L$37=0,$P$34=0),"",$L$37-1)),0,YEARFRAC(MAX($P$34*($B192+$I$38-1),IF(AND($L$37=0,$P$34=0),"",$L$37-1)),MIN(CP$38,$E192),$P$20))-SUM($BF192:CO192))</f>
        <v>0</v>
      </c>
      <c r="CQ192" s="446">
        <f>IF($E192=0,0,IF(MIN(CQ$38,$E192)&lt;MAX($P$34*($B192+$I$38-1),IF(AND($L$37=0,$P$34=0),"",$L$37-1)),0,YEARFRAC(MAX($P$34*($B192+$I$38-1),IF(AND($L$37=0,$P$34=0),"",$L$37-1)),MIN(CQ$38,$E192),$P$20))-SUM($BF192:CP192))</f>
        <v>0</v>
      </c>
    </row>
    <row r="193" spans="1:95" s="446" customFormat="1" ht="11.25" hidden="1" customHeight="1" x14ac:dyDescent="0.2">
      <c r="A193" s="152"/>
      <c r="B193" s="153" t="str">
        <f t="shared" si="37"/>
        <v/>
      </c>
      <c r="C193" s="29" t="str">
        <f>IF(B193="","",IF($L$35="SELIC - TRIBUTOS",VLOOKUP(DATE(YEAR($D$19),MONTH($D$19)-1,1),ÍNDICES!$A:$DE,HLOOKUP($BL$25,ÍNDICES!$B$3:$T$4,2)+11)-VLOOKUP(B193,ÍNDICES!$A:$DE,HLOOKUP($BL$25,ÍNDICES!$B$3:$T$4,2)+11)+1%,IF(C$38=$W$26,$J$35,IF(ISERROR(IF(B193&gt;$D$19,1,VLOOKUP(DATE(YEAR(B193),MONTH(B193)+IF($C$35=$S$23,1,0),1),ÍNDICES!$A:$DE,$Z$35+1))),"",IF(B193&gt;$D$19,1,VLOOKUP(DATE(YEAR(B193),MONTH(B193)+IF($C$35=$S$23,1,0),1),ÍNDICES!$A:$DE,$Z$35+1))))))</f>
        <v/>
      </c>
      <c r="D193" s="154" t="str">
        <f>IF(ISERROR(IF(OR($D$38=$Y$27,$B193=""),"",VLOOKUP(B193,ÍNDICES!A:DE,AF$35+1))),"",IF(OR($D$38=$Y$27,$B193=""),"",VLOOKUP(B193,ÍNDICES!A:DE,AF$35+1)))</f>
        <v/>
      </c>
      <c r="E193" s="153"/>
      <c r="F193" s="29" t="str">
        <f>IF(E193="","",IF($L$35="SELIC - TRIBUTOS",VLOOKUP(DATE(YEAR($D$19),MONTH($D$19)-1,1),ÍNDICES!$A:$DE,HLOOKUP($BL$25,ÍNDICES!$B$3:$T$4,2)+11)-VLOOKUP(E193,ÍNDICES!$A:$DE,HLOOKUP($BL$25,ÍNDICES!$B$3:$T$4,2)+11)+1%,IF(F$38=$W$26,$J$35,IF(ISERROR(IF(E193&gt;$D$19,1,VLOOKUP(DATE(YEAR(E193),MONTH(E193)+IF($C$35=$S$23,1,0),1),ÍNDICES!$A:$DE,$Z$35+1))),"",IF(E193&gt;$D$19,1,VLOOKUP(DATE(YEAR(E193),MONTH(E193)+IF($C$35=$S$23,1,0),1),ÍNDICES!$A:$DE,$Z$35+1))))))</f>
        <v/>
      </c>
      <c r="G193" s="155"/>
      <c r="H193" s="156" t="str">
        <f t="shared" si="33"/>
        <v/>
      </c>
      <c r="I193" s="29" t="str">
        <f t="shared" si="27"/>
        <v/>
      </c>
      <c r="J193" s="5">
        <f t="shared" si="28"/>
        <v>0</v>
      </c>
      <c r="K193" s="20">
        <f t="shared" ca="1" si="29"/>
        <v>0</v>
      </c>
      <c r="L193" s="5">
        <f t="shared" ca="1" si="30"/>
        <v>0</v>
      </c>
      <c r="M193" s="64">
        <f t="shared" si="34"/>
        <v>0</v>
      </c>
      <c r="N193" s="61">
        <f t="shared" ca="1" si="35"/>
        <v>0</v>
      </c>
      <c r="O193" s="5">
        <f t="shared" ca="1" si="36"/>
        <v>0</v>
      </c>
      <c r="P193" s="446" t="e">
        <f t="shared" si="31"/>
        <v>#VALUE!</v>
      </c>
      <c r="Q193" s="446" t="e">
        <f>IF(OR($B193="",MIN(Q$38,$D$19)&lt;MAX($P$34*($B193+IF($R$17="Distrato",$I$38-1,0)),IF(AND($L$37=0,$P$34=0),"",$L$37-1),IF($R$17="Distrato",$E193,0))),0,YEARFRAC(MAX($P$34*($B193+IF($R$17="Distrato",$I$38-1,0)),IF(AND($L$37=0,$P$34=0),"",$L$37-1),IF($R$17="Distrato",$E193,0)),MIN(Q$38,$D$19),$P$20))-SUM($P193:P193)</f>
        <v>#VALUE!</v>
      </c>
      <c r="R193" s="446" t="e">
        <f>IF(OR($B193="",MIN(R$38,$D$19)&lt;MAX($P$34*($B193+IF($R$17="Distrato",$I$38-1,0)),IF(AND($L$37=0,$P$34=0),"",$L$37-1),IF($R$17="Distrato",$E193,0))),0,YEARFRAC(MAX($P$34*($B193+IF($R$17="Distrato",$I$38-1,0)),IF(AND($L$37=0,$P$34=0),"",$L$37-1),IF($R$17="Distrato",$E193,0)),MIN(R$38,$D$19),$P$20))-SUM($P193:Q193)</f>
        <v>#VALUE!</v>
      </c>
      <c r="S193" s="446" t="e">
        <f>IF(OR($B193="",MIN(S$38,$D$19)&lt;MAX($P$34*($B193+IF($R$17="Distrato",$I$38-1,0)),IF(AND($L$37=0,$P$34=0),"",$L$37-1),IF($R$17="Distrato",$E193,0))),0,YEARFRAC(MAX($P$34*($B193+IF($R$17="Distrato",$I$38-1,0)),IF(AND($L$37=0,$P$34=0),"",$L$37-1),IF($R$17="Distrato",$E193,0)),MIN(S$38,$D$19),$P$20))-SUM($P193:R193)</f>
        <v>#VALUE!</v>
      </c>
      <c r="T193" s="446" t="e">
        <f>IF(OR($B193="",MIN(T$38,$D$19)&lt;MAX($P$34*($B193+IF($R$17="Distrato",$I$38-1,0)),IF(AND($L$37=0,$P$34=0),"",$L$37-1),IF($R$17="Distrato",$E193,0))),0,YEARFRAC(MAX($P$34*($B193+IF($R$17="Distrato",$I$38-1,0)),IF(AND($L$37=0,$P$34=0),"",$L$37-1),IF($R$17="Distrato",$E193,0)),MIN(T$38,$D$19),$P$20))-SUM($P193:S193)</f>
        <v>#VALUE!</v>
      </c>
      <c r="U193" s="446" t="e">
        <f>IF(OR($B193="",MIN(U$38,$D$19)&lt;MAX($P$34*($B193+IF($R$17="Distrato",$I$38-1,0)),IF(AND($L$37=0,$P$34=0),"",$L$37-1),IF($R$17="Distrato",$E193,0))),0,YEARFRAC(MAX($P$34*($B193+IF($R$17="Distrato",$I$38-1,0)),IF(AND($L$37=0,$P$34=0),"",$L$37-1),IF($R$17="Distrato",$E193,0)),MIN(U$38,$D$19),$P$20))-SUM($P193:T193)</f>
        <v>#VALUE!</v>
      </c>
      <c r="V193" s="446" t="e">
        <f>IF(OR($B193="",MIN(V$38,$D$19)&lt;MAX($P$34*($B193+IF($R$17="Distrato",$I$38-1,0)),IF(AND($L$37=0,$P$34=0),"",$L$37-1),IF($R$17="Distrato",$E193,0))),0,YEARFRAC(MAX($P$34*($B193+IF($R$17="Distrato",$I$38-1,0)),IF(AND($L$37=0,$P$34=0),"",$L$37-1),IF($R$17="Distrato",$E193,0)),MIN(V$38,$D$19),$P$20))-SUM($P193:U193)</f>
        <v>#VALUE!</v>
      </c>
      <c r="W193" s="446" t="e">
        <f>IF(OR($B193="",MIN(W$38,$D$19)&lt;MAX($P$34*($B193+IF($R$17="Distrato",$I$38-1,0)),IF(AND($L$37=0,$P$34=0),"",$L$37-1),IF($R$17="Distrato",$E193,0))),0,YEARFRAC(MAX($P$34*($B193+IF($R$17="Distrato",$I$38-1,0)),IF(AND($L$37=0,$P$34=0),"",$L$37-1),IF($R$17="Distrato",$E193,0)),MIN(W$38,$D$19),$P$20))-SUM($P193:V193)</f>
        <v>#VALUE!</v>
      </c>
      <c r="X193" s="446" t="e">
        <f>IF(OR($B193="",MIN(X$38,$D$19)&lt;MAX($P$34*($B193+IF($R$17="Distrato",$I$38-1,0)),IF(AND($L$37=0,$P$34=0),"",$L$37-1),IF($R$17="Distrato",$E193,0))),0,YEARFRAC(MAX($P$34*($B193+IF($R$17="Distrato",$I$38-1,0)),IF(AND($L$37=0,$P$34=0),"",$L$37-1),IF($R$17="Distrato",$E193,0)),MIN(X$38,$D$19),$P$20))-SUM($P193:W193)</f>
        <v>#VALUE!</v>
      </c>
      <c r="Y193" s="446" t="e">
        <f>IF(OR($B193="",MIN(Y$38,$D$19)&lt;MAX($P$34*($B193+IF($R$17="Distrato",$I$38-1,0)),IF(AND($L$37=0,$P$34=0),"",$L$37-1),IF($R$17="Distrato",$E193,0))),0,YEARFRAC(MAX($P$34*($B193+IF($R$17="Distrato",$I$38-1,0)),IF(AND($L$37=0,$P$34=0),"",$L$37-1),IF($R$17="Distrato",$E193,0)),MIN(Y$38,$D$19),$P$20))-SUM($P193:X193)</f>
        <v>#VALUE!</v>
      </c>
      <c r="Z193" s="446" t="e">
        <f>IF(OR($B193="",MIN(Z$38,$D$19)&lt;MAX($P$34*($B193+IF($R$17="Distrato",$I$38-1,0)),IF(AND($L$37=0,$P$34=0),"",$L$37-1),IF($R$17="Distrato",$E193,0))),0,YEARFRAC(MAX($P$34*($B193+IF($R$17="Distrato",$I$38-1,0)),IF(AND($L$37=0,$P$34=0),"",$L$37-1),IF($R$17="Distrato",$E193,0)),MIN(Z$38,$D$19),$P$20))-SUM($P193:Y193)</f>
        <v>#VALUE!</v>
      </c>
      <c r="AA193" s="446" t="e">
        <f>IF(OR($B193="",MIN(AA$38,$D$19)&lt;MAX($P$34*($B193+IF($R$17="Distrato",$I$38-1,0)),IF(AND($L$37=0,$P$34=0),"",$L$37-1),IF($R$17="Distrato",$E193,0))),0,YEARFRAC(MAX($P$34*($B193+IF($R$17="Distrato",$I$38-1,0)),IF(AND($L$37=0,$P$34=0),"",$L$37-1),IF($R$17="Distrato",$E193,0)),MIN(AA$38,$D$19),$P$20))-SUM($P193:Z193)</f>
        <v>#VALUE!</v>
      </c>
      <c r="AB193" s="446" t="e">
        <f>IF(OR($B193="",MIN(AB$38,$D$19)&lt;MAX($P$34*($B193+IF($R$17="Distrato",$I$38-1,0)),IF(AND($L$37=0,$P$34=0),"",$L$37-1),IF($R$17="Distrato",$E193,0))),0,YEARFRAC(MAX($P$34*($B193+IF($R$17="Distrato",$I$38-1,0)),IF(AND($L$37=0,$P$34=0),"",$L$37-1),IF($R$17="Distrato",$E193,0)),MIN(AB$38,$D$19),$P$20))-SUM($P193:AA193)</f>
        <v>#VALUE!</v>
      </c>
      <c r="AC193" s="446" t="e">
        <f>IF(OR($B193="",MIN(AC$38,$D$19)&lt;MAX($P$34*($B193+IF($R$17="Distrato",$I$38-1,0)),IF(AND($L$37=0,$P$34=0),"",$L$37-1),IF($R$17="Distrato",$E193,0))),0,YEARFRAC(MAX($P$34*($B193+IF($R$17="Distrato",$I$38-1,0)),IF(AND($L$37=0,$P$34=0),"",$L$37-1),IF($R$17="Distrato",$E193,0)),MIN(AC$38,$D$19),$P$20))-SUM($P193:AB193)</f>
        <v>#VALUE!</v>
      </c>
      <c r="AD193" s="446" t="e">
        <f>IF(OR($B193="",MIN(AD$38,$D$19)&lt;MAX($P$34*($B193+IF($R$17="Distrato",$I$38-1,0)),IF(AND($L$37=0,$P$34=0),"",$L$37-1),IF($R$17="Distrato",$E193,0))),0,YEARFRAC(MAX($P$34*($B193+IF($R$17="Distrato",$I$38-1,0)),IF(AND($L$37=0,$P$34=0),"",$L$37-1),IF($R$17="Distrato",$E193,0)),MIN(AD$38,$D$19),$P$20))-SUM($P193:AC193)</f>
        <v>#VALUE!</v>
      </c>
      <c r="AE193" s="446" t="e">
        <f>IF(OR($B193="",MIN(AE$38,$D$19)&lt;MAX($P$34*($B193+IF($R$17="Distrato",$I$38-1,0)),IF(AND($L$37=0,$P$34=0),"",$L$37-1),IF($R$17="Distrato",$E193,0))),0,YEARFRAC(MAX($P$34*($B193+IF($R$17="Distrato",$I$38-1,0)),IF(AND($L$37=0,$P$34=0),"",$L$37-1),IF($R$17="Distrato",$E193,0)),MIN(AE$38,$D$19),$P$20))-SUM($P193:AD193)</f>
        <v>#VALUE!</v>
      </c>
      <c r="AF193" s="446" t="e">
        <f>IF(OR($B193="",MIN(AF$38,$D$19)&lt;MAX($P$34*($B193+IF($R$17="Distrato",$I$38-1,0)),IF(AND($L$37=0,$P$34=0),"",$L$37-1),IF($R$17="Distrato",$E193,0))),0,YEARFRAC(MAX($P$34*($B193+IF($R$17="Distrato",$I$38-1,0)),IF(AND($L$37=0,$P$34=0),"",$L$37-1),IF($R$17="Distrato",$E193,0)),MIN(AF$38,$D$19),$P$20))-SUM($P193:AE193)</f>
        <v>#VALUE!</v>
      </c>
      <c r="AG193" s="446" t="e">
        <f>IF(OR($B193="",MIN(AG$38,$D$19)&lt;MAX($P$34*($B193+IF($R$17="Distrato",$I$38-1,0)),IF(AND($L$37=0,$P$34=0),"",$L$37-1),IF($R$17="Distrato",$E193,0))),0,YEARFRAC(MAX($P$34*($B193+IF($R$17="Distrato",$I$38-1,0)),IF(AND($L$37=0,$P$34=0),"",$L$37-1),IF($R$17="Distrato",$E193,0)),MIN(AG$38,$D$19),$P$20))-SUM($P193:AF193)</f>
        <v>#VALUE!</v>
      </c>
      <c r="AH193" s="446" t="e">
        <f>IF(OR($B193="",MIN(AH$38,$D$19)&lt;MAX($P$34*($B193+IF($R$17="Distrato",$I$38-1,0)),IF(AND($L$37=0,$P$34=0),"",$L$37-1),IF($R$17="Distrato",$E193,0))),0,YEARFRAC(MAX($P$34*($B193+IF($R$17="Distrato",$I$38-1,0)),IF(AND($L$37=0,$P$34=0),"",$L$37-1),IF($R$17="Distrato",$E193,0)),MIN(AH$38,$D$19),$P$20))-SUM($P193:AG193)</f>
        <v>#VALUE!</v>
      </c>
      <c r="AI193" s="446" t="e">
        <f>IF(OR($B193="",MIN(AI$38,$D$19)&lt;MAX($P$34*($B193+IF($R$17="Distrato",$I$38-1,0)),IF(AND($L$37=0,$P$34=0),"",$L$37-1),IF($R$17="Distrato",$E193,0))),0,YEARFRAC(MAX($P$34*($B193+IF($R$17="Distrato",$I$38-1,0)),IF(AND($L$37=0,$P$34=0),"",$L$37-1),IF($R$17="Distrato",$E193,0)),MIN(AI$38,$D$19),$P$20))-SUM($P193:AH193)</f>
        <v>#VALUE!</v>
      </c>
      <c r="AJ193" s="446" t="e">
        <f>IF(OR($B193="",MIN(AJ$38,$D$19)&lt;MAX($P$34*($B193+IF($R$17="Distrato",$I$38-1,0)),IF(AND($L$37=0,$P$34=0),"",$L$37-1),IF($R$17="Distrato",$E193,0))),0,YEARFRAC(MAX($P$34*($B193+IF($R$17="Distrato",$I$38-1,0)),IF(AND($L$37=0,$P$34=0),"",$L$37-1),IF($R$17="Distrato",$E193,0)),MIN(AJ$38,$D$19),$P$20))-SUM($P193:AI193)</f>
        <v>#VALUE!</v>
      </c>
      <c r="AK193" s="446" t="e">
        <f>IF(OR($B193="",MIN(AK$38,$D$19)&lt;MAX($P$34*($B193+IF($R$17="Distrato",$I$38-1,0)),IF(AND($L$37=0,$P$34=0),"",$L$37-1),IF($R$17="Distrato",$E193,0))),0,YEARFRAC(MAX($P$34*($B193+IF($R$17="Distrato",$I$38-1,0)),IF(AND($L$37=0,$P$34=0),"",$L$37-1),IF($R$17="Distrato",$E193,0)),MIN(AK$38,$D$19),$P$20))-SUM($P193:AJ193)</f>
        <v>#VALUE!</v>
      </c>
      <c r="AL193" s="446" t="e">
        <f>IF(OR($B193="",MIN(AL$38,$D$19)&lt;MAX($P$34*($B193+IF($R$17="Distrato",$I$38-1,0)),IF(AND($L$37=0,$P$34=0),"",$L$37-1),IF($R$17="Distrato",$E193,0))),0,YEARFRAC(MAX($P$34*($B193+IF($R$17="Distrato",$I$38-1,0)),IF(AND($L$37=0,$P$34=0),"",$L$37-1),IF($R$17="Distrato",$E193,0)),MIN(AL$38,$D$19),$P$20))-SUM($P193:AK193)</f>
        <v>#VALUE!</v>
      </c>
      <c r="AM193" s="446" t="e">
        <f>IF(OR($B193="",MIN(AM$38,$D$19)&lt;MAX($P$34*($B193+IF($R$17="Distrato",$I$38-1,0)),IF(AND($L$37=0,$P$34=0),"",$L$37-1),IF($R$17="Distrato",$E193,0))),0,YEARFRAC(MAX($P$34*($B193+IF($R$17="Distrato",$I$38-1,0)),IF(AND($L$37=0,$P$34=0),"",$L$37-1),IF($R$17="Distrato",$E193,0)),MIN(AM$38,$D$19),$P$20))-SUM($P193:AL193)</f>
        <v>#VALUE!</v>
      </c>
      <c r="AN193" s="446" t="e">
        <f>IF(OR($B193="",MIN(AN$38,$D$19)&lt;MAX($P$34*($B193+IF($R$17="Distrato",$I$38-1,0)),IF(AND($L$37=0,$P$34=0),"",$L$37-1),IF($R$17="Distrato",$E193,0))),0,YEARFRAC(MAX($P$34*($B193+IF($R$17="Distrato",$I$38-1,0)),IF(AND($L$37=0,$P$34=0),"",$L$37-1),IF($R$17="Distrato",$E193,0)),MIN(AN$38,$D$19),$P$20))-SUM($P193:AM193)</f>
        <v>#VALUE!</v>
      </c>
      <c r="AO193" s="446" t="e">
        <f>IF(OR($B193="",MIN(AO$38,$D$19)&lt;MAX($P$34*($B193+IF($R$17="Distrato",$I$38-1,0)),IF(AND($L$37=0,$P$34=0),"",$L$37-1),IF($R$17="Distrato",$E193,0))),0,YEARFRAC(MAX($P$34*($B193+IF($R$17="Distrato",$I$38-1,0)),IF(AND($L$37=0,$P$34=0),"",$L$37-1),IF($R$17="Distrato",$E193,0)),MIN(AO$38,$D$19),$P$20))-SUM($P193:AN193)</f>
        <v>#VALUE!</v>
      </c>
      <c r="AP193" s="446" t="e">
        <f>IF(OR($B193="",MIN(AP$38,$D$19)&lt;MAX($P$34*($B193+IF($R$17="Distrato",$I$38-1,0)),IF(AND($L$37=0,$P$34=0),"",$L$37-1),IF($R$17="Distrato",$E193,0))),0,YEARFRAC(MAX($P$34*($B193+IF($R$17="Distrato",$I$38-1,0)),IF(AND($L$37=0,$P$34=0),"",$L$37-1),IF($R$17="Distrato",$E193,0)),MIN(AP$38,$D$19),$P$20))-SUM($P193:AO193)</f>
        <v>#VALUE!</v>
      </c>
      <c r="AQ193" s="446" t="e">
        <f>IF(OR($B193="",MIN(AQ$38,$D$19)&lt;MAX($P$34*($B193+IF($R$17="Distrato",$I$38-1,0)),IF(AND($L$37=0,$P$34=0),"",$L$37-1),IF($R$17="Distrato",$E193,0))),0,YEARFRAC(MAX($P$34*($B193+IF($R$17="Distrato",$I$38-1,0)),IF(AND($L$37=0,$P$34=0),"",$L$37-1),IF($R$17="Distrato",$E193,0)),MIN(AQ$38,$D$19),$P$20))-SUM($P193:AP193)</f>
        <v>#VALUE!</v>
      </c>
      <c r="AR193" s="446" t="e">
        <f>IF(OR($B193="",MIN(AR$38,$D$19)&lt;MAX($P$34*($B193+IF($R$17="Distrato",$I$38-1,0)),IF(AND($L$37=0,$P$34=0),"",$L$37-1),IF($R$17="Distrato",$E193,0))),0,YEARFRAC(MAX($P$34*($B193+IF($R$17="Distrato",$I$38-1,0)),IF(AND($L$37=0,$P$34=0),"",$L$37-1),IF($R$17="Distrato",$E193,0)),MIN(AR$38,$D$19),$P$20))-SUM($P193:AQ193)</f>
        <v>#VALUE!</v>
      </c>
      <c r="AS193" s="446" t="e">
        <f>IF(OR($B193="",MIN(AS$38,$D$19)&lt;MAX($P$34*($B193+IF($R$17="Distrato",$I$38-1,0)),IF(AND($L$37=0,$P$34=0),"",$L$37-1),IF($R$17="Distrato",$E193,0))),0,YEARFRAC(MAX($P$34*($B193+IF($R$17="Distrato",$I$38-1,0)),IF(AND($L$37=0,$P$34=0),"",$L$37-1),IF($R$17="Distrato",$E193,0)),MIN(AS$38,$D$19),$P$20))-SUM($P193:AR193)</f>
        <v>#VALUE!</v>
      </c>
      <c r="AT193" s="446" t="e">
        <f>IF(OR($B193="",MIN(AT$38,$D$19)&lt;MAX($P$34*($B193+IF($R$17="Distrato",$I$38-1,0)),IF(AND($L$37=0,$P$34=0),"",$L$37-1),IF($R$17="Distrato",$E193,0))),0,YEARFRAC(MAX($P$34*($B193+IF($R$17="Distrato",$I$38-1,0)),IF(AND($L$37=0,$P$34=0),"",$L$37-1),IF($R$17="Distrato",$E193,0)),MIN(AT$38,$D$19),$P$20))-SUM($P193:AS193)</f>
        <v>#VALUE!</v>
      </c>
      <c r="AU193" s="446" t="e">
        <f>IF(OR($B193="",MIN(AU$38,$D$19)&lt;MAX($P$34*($B193+IF($R$17="Distrato",$I$38-1,0)),IF(AND($L$37=0,$P$34=0),"",$L$37-1),IF($R$17="Distrato",$E193,0))),0,YEARFRAC(MAX($P$34*($B193+IF($R$17="Distrato",$I$38-1,0)),IF(AND($L$37=0,$P$34=0),"",$L$37-1),IF($R$17="Distrato",$E193,0)),MIN(AU$38,$D$19),$P$20))-SUM($P193:AT193)</f>
        <v>#VALUE!</v>
      </c>
      <c r="AV193" s="446" t="e">
        <f>IF(OR($B193="",MIN(AV$38,$D$19)&lt;MAX($P$34*($B193+IF($R$17="Distrato",$I$38-1,0)),IF(AND($L$37=0,$P$34=0),"",$L$37-1),IF($R$17="Distrato",$E193,0))),0,YEARFRAC(MAX($P$34*($B193+IF($R$17="Distrato",$I$38-1,0)),IF(AND($L$37=0,$P$34=0),"",$L$37-1),IF($R$17="Distrato",$E193,0)),MIN(AV$38,$D$19),$P$20))-SUM($P193:AU193)</f>
        <v>#VALUE!</v>
      </c>
      <c r="AW193" s="446" t="e">
        <f>IF(OR($B193="",MIN(AW$38,$D$19)&lt;MAX($P$34*($B193+IF($R$17="Distrato",$I$38-1,0)),IF(AND($L$37=0,$P$34=0),"",$L$37-1),IF($R$17="Distrato",$E193,0))),0,YEARFRAC(MAX($P$34*($B193+IF($R$17="Distrato",$I$38-1,0)),IF(AND($L$37=0,$P$34=0),"",$L$37-1),IF($R$17="Distrato",$E193,0)),MIN(AW$38,$D$19),$P$20))-SUM($P193:AV193)</f>
        <v>#VALUE!</v>
      </c>
      <c r="AX193" s="446" t="e">
        <f>IF(OR($B193="",MIN(AX$38,$D$19)&lt;MAX($P$34*($B193+IF($R$17="Distrato",$I$38-1,0)),IF(AND($L$37=0,$P$34=0),"",$L$37-1),IF($R$17="Distrato",$E193,0))),0,YEARFRAC(MAX($P$34*($B193+IF($R$17="Distrato",$I$38-1,0)),IF(AND($L$37=0,$P$34=0),"",$L$37-1),IF($R$17="Distrato",$E193,0)),MIN(AX$38,$D$19),$P$20))-SUM($P193:AW193)</f>
        <v>#VALUE!</v>
      </c>
      <c r="AY193" s="446" t="e">
        <f>IF(OR($B193="",MIN(AY$38,$D$19)&lt;MAX($P$34*($B193+IF($R$17="Distrato",$I$38-1,0)),IF(AND($L$37=0,$P$34=0),"",$L$37-1),IF($R$17="Distrato",$E193,0))),0,YEARFRAC(MAX($P$34*($B193+IF($R$17="Distrato",$I$38-1,0)),IF(AND($L$37=0,$P$34=0),"",$L$37-1),IF($R$17="Distrato",$E193,0)),MIN(AY$38,$D$19),$P$20))-SUM($P193:AX193)</f>
        <v>#VALUE!</v>
      </c>
      <c r="AZ193" s="446" t="e">
        <f>IF(OR($B193="",MIN(AZ$38,$D$19)&lt;MAX($P$34*($B193+IF($R$17="Distrato",$I$38-1,0)),IF(AND($L$37=0,$P$34=0),"",$L$37-1),IF($R$17="Distrato",$E193,0))),0,YEARFRAC(MAX($P$34*($B193+IF($R$17="Distrato",$I$38-1,0)),IF(AND($L$37=0,$P$34=0),"",$L$37-1),IF($R$17="Distrato",$E193,0)),MIN(AZ$38,$D$19),$P$20))-SUM($P193:AY193)</f>
        <v>#VALUE!</v>
      </c>
      <c r="BA193" s="446" t="e">
        <f>IF(OR($B193="",MIN(BA$38,$D$19)&lt;MAX($P$34*($B193+IF($R$17="Distrato",$I$38-1,0)),IF(AND($L$37=0,$P$34=0),"",$L$37-1),IF($R$17="Distrato",$E193,0))),0,YEARFRAC(MAX($P$34*($B193+IF($R$17="Distrato",$I$38-1,0)),IF(AND($L$37=0,$P$34=0),"",$L$37-1),IF($R$17="Distrato",$E193,0)),MIN(BA$38,$D$19),$P$20))-SUM($P193:AZ193)</f>
        <v>#VALUE!</v>
      </c>
      <c r="BB193" s="447"/>
      <c r="BF193" s="446">
        <f t="shared" si="32"/>
        <v>0</v>
      </c>
      <c r="BG193" s="446">
        <f>IF($E193=0,0,IF(MIN(BG$38,$E193)&lt;MAX($P$34*($B193+$I$38-1),IF(AND($L$37=0,$P$34=0),"",$L$37-1)),0,YEARFRAC(MAX($P$34*($B193+$I$38-1),IF(AND($L$37=0,$P$34=0),"",$L$37-1)),MIN(BG$38,$E193),$P$20))-SUM($BF193:BF193))</f>
        <v>0</v>
      </c>
      <c r="BH193" s="446">
        <f>IF($E193=0,0,IF(MIN(BH$38,$E193)&lt;MAX($P$34*($B193+$I$38-1),IF(AND($L$37=0,$P$34=0),"",$L$37-1)),0,YEARFRAC(MAX($P$34*($B193+$I$38-1),IF(AND($L$37=0,$P$34=0),"",$L$37-1)),MIN(BH$38,$E193),$P$20))-SUM($BF193:BG193))</f>
        <v>0</v>
      </c>
      <c r="BI193" s="446">
        <f>IF($E193=0,0,IF(MIN(BI$38,$E193)&lt;MAX($P$34*($B193+$I$38-1),IF(AND($L$37=0,$P$34=0),"",$L$37-1)),0,YEARFRAC(MAX($P$34*($B193+$I$38-1),IF(AND($L$37=0,$P$34=0),"",$L$37-1)),MIN(BI$38,$E193),$P$20))-SUM($BF193:BH193))</f>
        <v>0</v>
      </c>
      <c r="BJ193" s="446">
        <f>IF($E193=0,0,IF(MIN(BJ$38,$E193)&lt;MAX($P$34*($B193+$I$38-1),IF(AND($L$37=0,$P$34=0),"",$L$37-1)),0,YEARFRAC(MAX($P$34*($B193+$I$38-1),IF(AND($L$37=0,$P$34=0),"",$L$37-1)),MIN(BJ$38,$E193),$P$20))-SUM($BF193:BI193))</f>
        <v>0</v>
      </c>
      <c r="BK193" s="446">
        <f>IF($E193=0,0,IF(MIN(BK$38,$E193)&lt;MAX($P$34*($B193+$I$38-1),IF(AND($L$37=0,$P$34=0),"",$L$37-1)),0,YEARFRAC(MAX($P$34*($B193+$I$38-1),IF(AND($L$37=0,$P$34=0),"",$L$37-1)),MIN(BK$38,$E193),$P$20))-SUM($BF193:BJ193))</f>
        <v>0</v>
      </c>
      <c r="BL193" s="446">
        <f>IF($E193=0,0,IF(MIN(BL$38,$E193)&lt;MAX($P$34*($B193+$I$38-1),IF(AND($L$37=0,$P$34=0),"",$L$37-1)),0,YEARFRAC(MAX($P$34*($B193+$I$38-1),IF(AND($L$37=0,$P$34=0),"",$L$37-1)),MIN(BL$38,$E193),$P$20))-SUM($BF193:BK193))</f>
        <v>0</v>
      </c>
      <c r="BM193" s="446">
        <f>IF($E193=0,0,IF(MIN(BM$38,$E193)&lt;MAX($P$34*($B193+$I$38-1),IF(AND($L$37=0,$P$34=0),"",$L$37-1)),0,YEARFRAC(MAX($P$34*($B193+$I$38-1),IF(AND($L$37=0,$P$34=0),"",$L$37-1)),MIN(BM$38,$E193),$P$20))-SUM($BF193:BL193))</f>
        <v>0</v>
      </c>
      <c r="BN193" s="446">
        <f>IF($E193=0,0,IF(MIN(BN$38,$E193)&lt;MAX($P$34*($B193+$I$38-1),IF(AND($L$37=0,$P$34=0),"",$L$37-1)),0,YEARFRAC(MAX($P$34*($B193+$I$38-1),IF(AND($L$37=0,$P$34=0),"",$L$37-1)),MIN(BN$38,$E193),$P$20))-SUM($BF193:BM193))</f>
        <v>0</v>
      </c>
      <c r="BO193" s="446">
        <f>IF($E193=0,0,IF(MIN(BO$38,$E193)&lt;MAX($P$34*($B193+$I$38-1),IF(AND($L$37=0,$P$34=0),"",$L$37-1)),0,YEARFRAC(MAX($P$34*($B193+$I$38-1),IF(AND($L$37=0,$P$34=0),"",$L$37-1)),MIN(BO$38,$E193),$P$20))-SUM($BF193:BN193))</f>
        <v>0</v>
      </c>
      <c r="BP193" s="446">
        <f>IF($E193=0,0,IF(MIN(BP$38,$E193)&lt;MAX($P$34*($B193+$I$38-1),IF(AND($L$37=0,$P$34=0),"",$L$37-1)),0,YEARFRAC(MAX($P$34*($B193+$I$38-1),IF(AND($L$37=0,$P$34=0),"",$L$37-1)),MIN(BP$38,$E193),$P$20))-SUM($BF193:BO193))</f>
        <v>0</v>
      </c>
      <c r="BQ193" s="446">
        <f>IF($E193=0,0,IF(MIN(BQ$38,$E193)&lt;MAX($P$34*($B193+$I$38-1),IF(AND($L$37=0,$P$34=0),"",$L$37-1)),0,YEARFRAC(MAX($P$34*($B193+$I$38-1),IF(AND($L$37=0,$P$34=0),"",$L$37-1)),MIN(BQ$38,$E193),$P$20))-SUM($BF193:BP193))</f>
        <v>0</v>
      </c>
      <c r="BR193" s="446">
        <f>IF($E193=0,0,IF(MIN(BR$38,$E193)&lt;MAX($P$34*($B193+$I$38-1),IF(AND($L$37=0,$P$34=0),"",$L$37-1)),0,YEARFRAC(MAX($P$34*($B193+$I$38-1),IF(AND($L$37=0,$P$34=0),"",$L$37-1)),MIN(BR$38,$E193),$P$20))-SUM($BF193:BQ193))</f>
        <v>0</v>
      </c>
      <c r="BS193" s="446">
        <f>IF($E193=0,0,IF(MIN(BS$38,$E193)&lt;MAX($P$34*($B193+$I$38-1),IF(AND($L$37=0,$P$34=0),"",$L$37-1)),0,YEARFRAC(MAX($P$34*($B193+$I$38-1),IF(AND($L$37=0,$P$34=0),"",$L$37-1)),MIN(BS$38,$E193),$P$20))-SUM($BF193:BR193))</f>
        <v>0</v>
      </c>
      <c r="BT193" s="446">
        <f>IF($E193=0,0,IF(MIN(BT$38,$E193)&lt;MAX($P$34*($B193+$I$38-1),IF(AND($L$37=0,$P$34=0),"",$L$37-1)),0,YEARFRAC(MAX($P$34*($B193+$I$38-1),IF(AND($L$37=0,$P$34=0),"",$L$37-1)),MIN(BT$38,$E193),$P$20))-SUM($BF193:BS193))</f>
        <v>0</v>
      </c>
      <c r="BU193" s="446">
        <f>IF($E193=0,0,IF(MIN(BU$38,$E193)&lt;MAX($P$34*($B193+$I$38-1),IF(AND($L$37=0,$P$34=0),"",$L$37-1)),0,YEARFRAC(MAX($P$34*($B193+$I$38-1),IF(AND($L$37=0,$P$34=0),"",$L$37-1)),MIN(BU$38,$E193),$P$20))-SUM($BF193:BT193))</f>
        <v>0</v>
      </c>
      <c r="BV193" s="446">
        <f>IF($E193=0,0,IF(MIN(BV$38,$E193)&lt;MAX($P$34*($B193+$I$38-1),IF(AND($L$37=0,$P$34=0),"",$L$37-1)),0,YEARFRAC(MAX($P$34*($B193+$I$38-1),IF(AND($L$37=0,$P$34=0),"",$L$37-1)),MIN(BV$38,$E193),$P$20))-SUM($BF193:BU193))</f>
        <v>0</v>
      </c>
      <c r="BW193" s="446">
        <f>IF($E193=0,0,IF(MIN(BW$38,$E193)&lt;MAX($P$34*($B193+$I$38-1),IF(AND($L$37=0,$P$34=0),"",$L$37-1)),0,YEARFRAC(MAX($P$34*($B193+$I$38-1),IF(AND($L$37=0,$P$34=0),"",$L$37-1)),MIN(BW$38,$E193),$P$20))-SUM($BF193:BV193))</f>
        <v>0</v>
      </c>
      <c r="BX193" s="446">
        <f>IF($E193=0,0,IF(MIN(BX$38,$E193)&lt;MAX($P$34*($B193+$I$38-1),IF(AND($L$37=0,$P$34=0),"",$L$37-1)),0,YEARFRAC(MAX($P$34*($B193+$I$38-1),IF(AND($L$37=0,$P$34=0),"",$L$37-1)),MIN(BX$38,$E193),$P$20))-SUM($BF193:BW193))</f>
        <v>0</v>
      </c>
      <c r="BY193" s="446">
        <f>IF($E193=0,0,IF(MIN(BY$38,$E193)&lt;MAX($P$34*($B193+$I$38-1),IF(AND($L$37=0,$P$34=0),"",$L$37-1)),0,YEARFRAC(MAX($P$34*($B193+$I$38-1),IF(AND($L$37=0,$P$34=0),"",$L$37-1)),MIN(BY$38,$E193),$P$20))-SUM($BF193:BX193))</f>
        <v>0</v>
      </c>
      <c r="BZ193" s="446">
        <f>IF($E193=0,0,IF(MIN(BZ$38,$E193)&lt;MAX($P$34*($B193+$I$38-1),IF(AND($L$37=0,$P$34=0),"",$L$37-1)),0,YEARFRAC(MAX($P$34*($B193+$I$38-1),IF(AND($L$37=0,$P$34=0),"",$L$37-1)),MIN(BZ$38,$E193),$P$20))-SUM($BF193:BY193))</f>
        <v>0</v>
      </c>
      <c r="CA193" s="446">
        <f>IF($E193=0,0,IF(MIN(CA$38,$E193)&lt;MAX($P$34*($B193+$I$38-1),IF(AND($L$37=0,$P$34=0),"",$L$37-1)),0,YEARFRAC(MAX($P$34*($B193+$I$38-1),IF(AND($L$37=0,$P$34=0),"",$L$37-1)),MIN(CA$38,$E193),$P$20))-SUM($BF193:BZ193))</f>
        <v>0</v>
      </c>
      <c r="CB193" s="446">
        <f>IF($E193=0,0,IF(MIN(CB$38,$E193)&lt;MAX($P$34*($B193+$I$38-1),IF(AND($L$37=0,$P$34=0),"",$L$37-1)),0,YEARFRAC(MAX($P$34*($B193+$I$38-1),IF(AND($L$37=0,$P$34=0),"",$L$37-1)),MIN(CB$38,$E193),$P$20))-SUM($BF193:CA193))</f>
        <v>0</v>
      </c>
      <c r="CC193" s="446">
        <f>IF($E193=0,0,IF(MIN(CC$38,$E193)&lt;MAX($P$34*($B193+$I$38-1),IF(AND($L$37=0,$P$34=0),"",$L$37-1)),0,YEARFRAC(MAX($P$34*($B193+$I$38-1),IF(AND($L$37=0,$P$34=0),"",$L$37-1)),MIN(CC$38,$E193),$P$20))-SUM($BF193:CB193))</f>
        <v>0</v>
      </c>
      <c r="CD193" s="446">
        <f>IF($E193=0,0,IF(MIN(CD$38,$E193)&lt;MAX($P$34*($B193+$I$38-1),IF(AND($L$37=0,$P$34=0),"",$L$37-1)),0,YEARFRAC(MAX($P$34*($B193+$I$38-1),IF(AND($L$37=0,$P$34=0),"",$L$37-1)),MIN(CD$38,$E193),$P$20))-SUM($BF193:CC193))</f>
        <v>0</v>
      </c>
      <c r="CE193" s="446">
        <f>IF($E193=0,0,IF(MIN(CE$38,$E193)&lt;MAX($P$34*($B193+$I$38-1),IF(AND($L$37=0,$P$34=0),"",$L$37-1)),0,YEARFRAC(MAX($P$34*($B193+$I$38-1),IF(AND($L$37=0,$P$34=0),"",$L$37-1)),MIN(CE$38,$E193),$P$20))-SUM($BF193:CD193))</f>
        <v>0</v>
      </c>
      <c r="CF193" s="446">
        <f>IF($E193=0,0,IF(MIN(CF$38,$E193)&lt;MAX($P$34*($B193+$I$38-1),IF(AND($L$37=0,$P$34=0),"",$L$37-1)),0,YEARFRAC(MAX($P$34*($B193+$I$38-1),IF(AND($L$37=0,$P$34=0),"",$L$37-1)),MIN(CF$38,$E193),$P$20))-SUM($BF193:CE193))</f>
        <v>0</v>
      </c>
      <c r="CG193" s="446">
        <f>IF($E193=0,0,IF(MIN(CG$38,$E193)&lt;MAX($P$34*($B193+$I$38-1),IF(AND($L$37=0,$P$34=0),"",$L$37-1)),0,YEARFRAC(MAX($P$34*($B193+$I$38-1),IF(AND($L$37=0,$P$34=0),"",$L$37-1)),MIN(CG$38,$E193),$P$20))-SUM($BF193:CF193))</f>
        <v>0</v>
      </c>
      <c r="CH193" s="446">
        <f>IF($E193=0,0,IF(MIN(CH$38,$E193)&lt;MAX($P$34*($B193+$I$38-1),IF(AND($L$37=0,$P$34=0),"",$L$37-1)),0,YEARFRAC(MAX($P$34*($B193+$I$38-1),IF(AND($L$37=0,$P$34=0),"",$L$37-1)),MIN(CH$38,$E193),$P$20))-SUM($BF193:CG193))</f>
        <v>0</v>
      </c>
      <c r="CI193" s="446">
        <f>IF($E193=0,0,IF(MIN(CI$38,$E193)&lt;MAX($P$34*($B193+$I$38-1),IF(AND($L$37=0,$P$34=0),"",$L$37-1)),0,YEARFRAC(MAX($P$34*($B193+$I$38-1),IF(AND($L$37=0,$P$34=0),"",$L$37-1)),MIN(CI$38,$E193),$P$20))-SUM($BF193:CH193))</f>
        <v>0</v>
      </c>
      <c r="CJ193" s="446">
        <f>IF($E193=0,0,IF(MIN(CJ$38,$E193)&lt;MAX($P$34*($B193+$I$38-1),IF(AND($L$37=0,$P$34=0),"",$L$37-1)),0,YEARFRAC(MAX($P$34*($B193+$I$38-1),IF(AND($L$37=0,$P$34=0),"",$L$37-1)),MIN(CJ$38,$E193),$P$20))-SUM($BF193:CI193))</f>
        <v>0</v>
      </c>
      <c r="CK193" s="446">
        <f>IF($E193=0,0,IF(MIN(CK$38,$E193)&lt;MAX($P$34*($B193+$I$38-1),IF(AND($L$37=0,$P$34=0),"",$L$37-1)),0,YEARFRAC(MAX($P$34*($B193+$I$38-1),IF(AND($L$37=0,$P$34=0),"",$L$37-1)),MIN(CK$38,$E193),$P$20))-SUM($BF193:CJ193))</f>
        <v>0</v>
      </c>
      <c r="CL193" s="446">
        <f>IF($E193=0,0,IF(MIN(CL$38,$E193)&lt;MAX($P$34*($B193+$I$38-1),IF(AND($L$37=0,$P$34=0),"",$L$37-1)),0,YEARFRAC(MAX($P$34*($B193+$I$38-1),IF(AND($L$37=0,$P$34=0),"",$L$37-1)),MIN(CL$38,$E193),$P$20))-SUM($BF193:CK193))</f>
        <v>0</v>
      </c>
      <c r="CM193" s="446">
        <f>IF($E193=0,0,IF(MIN(CM$38,$E193)&lt;MAX($P$34*($B193+$I$38-1),IF(AND($L$37=0,$P$34=0),"",$L$37-1)),0,YEARFRAC(MAX($P$34*($B193+$I$38-1),IF(AND($L$37=0,$P$34=0),"",$L$37-1)),MIN(CM$38,$E193),$P$20))-SUM($BF193:CL193))</f>
        <v>0</v>
      </c>
      <c r="CN193" s="446">
        <f>IF($E193=0,0,IF(MIN(CN$38,$E193)&lt;MAX($P$34*($B193+$I$38-1),IF(AND($L$37=0,$P$34=0),"",$L$37-1)),0,YEARFRAC(MAX($P$34*($B193+$I$38-1),IF(AND($L$37=0,$P$34=0),"",$L$37-1)),MIN(CN$38,$E193),$P$20))-SUM($BF193:CM193))</f>
        <v>0</v>
      </c>
      <c r="CO193" s="446">
        <f>IF($E193=0,0,IF(MIN(CO$38,$E193)&lt;MAX($P$34*($B193+$I$38-1),IF(AND($L$37=0,$P$34=0),"",$L$37-1)),0,YEARFRAC(MAX($P$34*($B193+$I$38-1),IF(AND($L$37=0,$P$34=0),"",$L$37-1)),MIN(CO$38,$E193),$P$20))-SUM($BF193:CN193))</f>
        <v>0</v>
      </c>
      <c r="CP193" s="446">
        <f>IF($E193=0,0,IF(MIN(CP$38,$E193)&lt;MAX($P$34*($B193+$I$38-1),IF(AND($L$37=0,$P$34=0),"",$L$37-1)),0,YEARFRAC(MAX($P$34*($B193+$I$38-1),IF(AND($L$37=0,$P$34=0),"",$L$37-1)),MIN(CP$38,$E193),$P$20))-SUM($BF193:CO193))</f>
        <v>0</v>
      </c>
      <c r="CQ193" s="446">
        <f>IF($E193=0,0,IF(MIN(CQ$38,$E193)&lt;MAX($P$34*($B193+$I$38-1),IF(AND($L$37=0,$P$34=0),"",$L$37-1)),0,YEARFRAC(MAX($P$34*($B193+$I$38-1),IF(AND($L$37=0,$P$34=0),"",$L$37-1)),MIN(CQ$38,$E193),$P$20))-SUM($BF193:CP193))</f>
        <v>0</v>
      </c>
    </row>
    <row r="194" spans="1:95" s="446" customFormat="1" ht="11.25" hidden="1" customHeight="1" x14ac:dyDescent="0.2">
      <c r="A194" s="152"/>
      <c r="B194" s="153" t="str">
        <f t="shared" si="37"/>
        <v/>
      </c>
      <c r="C194" s="29" t="str">
        <f>IF(B194="","",IF($L$35="SELIC - TRIBUTOS",VLOOKUP(DATE(YEAR($D$19),MONTH($D$19)-1,1),ÍNDICES!$A:$DE,HLOOKUP($BL$25,ÍNDICES!$B$3:$T$4,2)+11)-VLOOKUP(B194,ÍNDICES!$A:$DE,HLOOKUP($BL$25,ÍNDICES!$B$3:$T$4,2)+11)+1%,IF(C$38=$W$26,$J$35,IF(ISERROR(IF(B194&gt;$D$19,1,VLOOKUP(DATE(YEAR(B194),MONTH(B194)+IF($C$35=$S$23,1,0),1),ÍNDICES!$A:$DE,$Z$35+1))),"",IF(B194&gt;$D$19,1,VLOOKUP(DATE(YEAR(B194),MONTH(B194)+IF($C$35=$S$23,1,0),1),ÍNDICES!$A:$DE,$Z$35+1))))))</f>
        <v/>
      </c>
      <c r="D194" s="154" t="str">
        <f>IF(ISERROR(IF(OR($D$38=$Y$27,$B194=""),"",VLOOKUP(B194,ÍNDICES!A:DE,AF$35+1))),"",IF(OR($D$38=$Y$27,$B194=""),"",VLOOKUP(B194,ÍNDICES!A:DE,AF$35+1)))</f>
        <v/>
      </c>
      <c r="E194" s="153"/>
      <c r="F194" s="29" t="str">
        <f>IF(E194="","",IF($L$35="SELIC - TRIBUTOS",VLOOKUP(DATE(YEAR($D$19),MONTH($D$19)-1,1),ÍNDICES!$A:$DE,HLOOKUP($BL$25,ÍNDICES!$B$3:$T$4,2)+11)-VLOOKUP(E194,ÍNDICES!$A:$DE,HLOOKUP($BL$25,ÍNDICES!$B$3:$T$4,2)+11)+1%,IF(F$38=$W$26,$J$35,IF(ISERROR(IF(E194&gt;$D$19,1,VLOOKUP(DATE(YEAR(E194),MONTH(E194)+IF($C$35=$S$23,1,0),1),ÍNDICES!$A:$DE,$Z$35+1))),"",IF(E194&gt;$D$19,1,VLOOKUP(DATE(YEAR(E194),MONTH(E194)+IF($C$35=$S$23,1,0),1),ÍNDICES!$A:$DE,$Z$35+1))))))</f>
        <v/>
      </c>
      <c r="G194" s="155"/>
      <c r="H194" s="156" t="str">
        <f t="shared" si="33"/>
        <v/>
      </c>
      <c r="I194" s="29" t="str">
        <f t="shared" si="27"/>
        <v/>
      </c>
      <c r="J194" s="5">
        <f t="shared" si="28"/>
        <v>0</v>
      </c>
      <c r="K194" s="20">
        <f t="shared" ca="1" si="29"/>
        <v>0</v>
      </c>
      <c r="L194" s="5">
        <f t="shared" ca="1" si="30"/>
        <v>0</v>
      </c>
      <c r="M194" s="64">
        <f t="shared" si="34"/>
        <v>0</v>
      </c>
      <c r="N194" s="61">
        <f t="shared" ca="1" si="35"/>
        <v>0</v>
      </c>
      <c r="O194" s="5">
        <f t="shared" ca="1" si="36"/>
        <v>0</v>
      </c>
      <c r="P194" s="446" t="e">
        <f t="shared" si="31"/>
        <v>#VALUE!</v>
      </c>
      <c r="Q194" s="446" t="e">
        <f>IF(OR($B194="",MIN(Q$38,$D$19)&lt;MAX($P$34*($B194+IF($R$17="Distrato",$I$38-1,0)),IF(AND($L$37=0,$P$34=0),"",$L$37-1),IF($R$17="Distrato",$E194,0))),0,YEARFRAC(MAX($P$34*($B194+IF($R$17="Distrato",$I$38-1,0)),IF(AND($L$37=0,$P$34=0),"",$L$37-1),IF($R$17="Distrato",$E194,0)),MIN(Q$38,$D$19),$P$20))-SUM($P194:P194)</f>
        <v>#VALUE!</v>
      </c>
      <c r="R194" s="446" t="e">
        <f>IF(OR($B194="",MIN(R$38,$D$19)&lt;MAX($P$34*($B194+IF($R$17="Distrato",$I$38-1,0)),IF(AND($L$37=0,$P$34=0),"",$L$37-1),IF($R$17="Distrato",$E194,0))),0,YEARFRAC(MAX($P$34*($B194+IF($R$17="Distrato",$I$38-1,0)),IF(AND($L$37=0,$P$34=0),"",$L$37-1),IF($R$17="Distrato",$E194,0)),MIN(R$38,$D$19),$P$20))-SUM($P194:Q194)</f>
        <v>#VALUE!</v>
      </c>
      <c r="S194" s="446" t="e">
        <f>IF(OR($B194="",MIN(S$38,$D$19)&lt;MAX($P$34*($B194+IF($R$17="Distrato",$I$38-1,0)),IF(AND($L$37=0,$P$34=0),"",$L$37-1),IF($R$17="Distrato",$E194,0))),0,YEARFRAC(MAX($P$34*($B194+IF($R$17="Distrato",$I$38-1,0)),IF(AND($L$37=0,$P$34=0),"",$L$37-1),IF($R$17="Distrato",$E194,0)),MIN(S$38,$D$19),$P$20))-SUM($P194:R194)</f>
        <v>#VALUE!</v>
      </c>
      <c r="T194" s="446" t="e">
        <f>IF(OR($B194="",MIN(T$38,$D$19)&lt;MAX($P$34*($B194+IF($R$17="Distrato",$I$38-1,0)),IF(AND($L$37=0,$P$34=0),"",$L$37-1),IF($R$17="Distrato",$E194,0))),0,YEARFRAC(MAX($P$34*($B194+IF($R$17="Distrato",$I$38-1,0)),IF(AND($L$37=0,$P$34=0),"",$L$37-1),IF($R$17="Distrato",$E194,0)),MIN(T$38,$D$19),$P$20))-SUM($P194:S194)</f>
        <v>#VALUE!</v>
      </c>
      <c r="U194" s="446" t="e">
        <f>IF(OR($B194="",MIN(U$38,$D$19)&lt;MAX($P$34*($B194+IF($R$17="Distrato",$I$38-1,0)),IF(AND($L$37=0,$P$34=0),"",$L$37-1),IF($R$17="Distrato",$E194,0))),0,YEARFRAC(MAX($P$34*($B194+IF($R$17="Distrato",$I$38-1,0)),IF(AND($L$37=0,$P$34=0),"",$L$37-1),IF($R$17="Distrato",$E194,0)),MIN(U$38,$D$19),$P$20))-SUM($P194:T194)</f>
        <v>#VALUE!</v>
      </c>
      <c r="V194" s="446" t="e">
        <f>IF(OR($B194="",MIN(V$38,$D$19)&lt;MAX($P$34*($B194+IF($R$17="Distrato",$I$38-1,0)),IF(AND($L$37=0,$P$34=0),"",$L$37-1),IF($R$17="Distrato",$E194,0))),0,YEARFRAC(MAX($P$34*($B194+IF($R$17="Distrato",$I$38-1,0)),IF(AND($L$37=0,$P$34=0),"",$L$37-1),IF($R$17="Distrato",$E194,0)),MIN(V$38,$D$19),$P$20))-SUM($P194:U194)</f>
        <v>#VALUE!</v>
      </c>
      <c r="W194" s="446" t="e">
        <f>IF(OR($B194="",MIN(W$38,$D$19)&lt;MAX($P$34*($B194+IF($R$17="Distrato",$I$38-1,0)),IF(AND($L$37=0,$P$34=0),"",$L$37-1),IF($R$17="Distrato",$E194,0))),0,YEARFRAC(MAX($P$34*($B194+IF($R$17="Distrato",$I$38-1,0)),IF(AND($L$37=0,$P$34=0),"",$L$37-1),IF($R$17="Distrato",$E194,0)),MIN(W$38,$D$19),$P$20))-SUM($P194:V194)</f>
        <v>#VALUE!</v>
      </c>
      <c r="X194" s="446" t="e">
        <f>IF(OR($B194="",MIN(X$38,$D$19)&lt;MAX($P$34*($B194+IF($R$17="Distrato",$I$38-1,0)),IF(AND($L$37=0,$P$34=0),"",$L$37-1),IF($R$17="Distrato",$E194,0))),0,YEARFRAC(MAX($P$34*($B194+IF($R$17="Distrato",$I$38-1,0)),IF(AND($L$37=0,$P$34=0),"",$L$37-1),IF($R$17="Distrato",$E194,0)),MIN(X$38,$D$19),$P$20))-SUM($P194:W194)</f>
        <v>#VALUE!</v>
      </c>
      <c r="Y194" s="446" t="e">
        <f>IF(OR($B194="",MIN(Y$38,$D$19)&lt;MAX($P$34*($B194+IF($R$17="Distrato",$I$38-1,0)),IF(AND($L$37=0,$P$34=0),"",$L$37-1),IF($R$17="Distrato",$E194,0))),0,YEARFRAC(MAX($P$34*($B194+IF($R$17="Distrato",$I$38-1,0)),IF(AND($L$37=0,$P$34=0),"",$L$37-1),IF($R$17="Distrato",$E194,0)),MIN(Y$38,$D$19),$P$20))-SUM($P194:X194)</f>
        <v>#VALUE!</v>
      </c>
      <c r="Z194" s="446" t="e">
        <f>IF(OR($B194="",MIN(Z$38,$D$19)&lt;MAX($P$34*($B194+IF($R$17="Distrato",$I$38-1,0)),IF(AND($L$37=0,$P$34=0),"",$L$37-1),IF($R$17="Distrato",$E194,0))),0,YEARFRAC(MAX($P$34*($B194+IF($R$17="Distrato",$I$38-1,0)),IF(AND($L$37=0,$P$34=0),"",$L$37-1),IF($R$17="Distrato",$E194,0)),MIN(Z$38,$D$19),$P$20))-SUM($P194:Y194)</f>
        <v>#VALUE!</v>
      </c>
      <c r="AA194" s="446" t="e">
        <f>IF(OR($B194="",MIN(AA$38,$D$19)&lt;MAX($P$34*($B194+IF($R$17="Distrato",$I$38-1,0)),IF(AND($L$37=0,$P$34=0),"",$L$37-1),IF($R$17="Distrato",$E194,0))),0,YEARFRAC(MAX($P$34*($B194+IF($R$17="Distrato",$I$38-1,0)),IF(AND($L$37=0,$P$34=0),"",$L$37-1),IF($R$17="Distrato",$E194,0)),MIN(AA$38,$D$19),$P$20))-SUM($P194:Z194)</f>
        <v>#VALUE!</v>
      </c>
      <c r="AB194" s="446" t="e">
        <f>IF(OR($B194="",MIN(AB$38,$D$19)&lt;MAX($P$34*($B194+IF($R$17="Distrato",$I$38-1,0)),IF(AND($L$37=0,$P$34=0),"",$L$37-1),IF($R$17="Distrato",$E194,0))),0,YEARFRAC(MAX($P$34*($B194+IF($R$17="Distrato",$I$38-1,0)),IF(AND($L$37=0,$P$34=0),"",$L$37-1),IF($R$17="Distrato",$E194,0)),MIN(AB$38,$D$19),$P$20))-SUM($P194:AA194)</f>
        <v>#VALUE!</v>
      </c>
      <c r="AC194" s="446" t="e">
        <f>IF(OR($B194="",MIN(AC$38,$D$19)&lt;MAX($P$34*($B194+IF($R$17="Distrato",$I$38-1,0)),IF(AND($L$37=0,$P$34=0),"",$L$37-1),IF($R$17="Distrato",$E194,0))),0,YEARFRAC(MAX($P$34*($B194+IF($R$17="Distrato",$I$38-1,0)),IF(AND($L$37=0,$P$34=0),"",$L$37-1),IF($R$17="Distrato",$E194,0)),MIN(AC$38,$D$19),$P$20))-SUM($P194:AB194)</f>
        <v>#VALUE!</v>
      </c>
      <c r="AD194" s="446" t="e">
        <f>IF(OR($B194="",MIN(AD$38,$D$19)&lt;MAX($P$34*($B194+IF($R$17="Distrato",$I$38-1,0)),IF(AND($L$37=0,$P$34=0),"",$L$37-1),IF($R$17="Distrato",$E194,0))),0,YEARFRAC(MAX($P$34*($B194+IF($R$17="Distrato",$I$38-1,0)),IF(AND($L$37=0,$P$34=0),"",$L$37-1),IF($R$17="Distrato",$E194,0)),MIN(AD$38,$D$19),$P$20))-SUM($P194:AC194)</f>
        <v>#VALUE!</v>
      </c>
      <c r="AE194" s="446" t="e">
        <f>IF(OR($B194="",MIN(AE$38,$D$19)&lt;MAX($P$34*($B194+IF($R$17="Distrato",$I$38-1,0)),IF(AND($L$37=0,$P$34=0),"",$L$37-1),IF($R$17="Distrato",$E194,0))),0,YEARFRAC(MAX($P$34*($B194+IF($R$17="Distrato",$I$38-1,0)),IF(AND($L$37=0,$P$34=0),"",$L$37-1),IF($R$17="Distrato",$E194,0)),MIN(AE$38,$D$19),$P$20))-SUM($P194:AD194)</f>
        <v>#VALUE!</v>
      </c>
      <c r="AF194" s="446" t="e">
        <f>IF(OR($B194="",MIN(AF$38,$D$19)&lt;MAX($P$34*($B194+IF($R$17="Distrato",$I$38-1,0)),IF(AND($L$37=0,$P$34=0),"",$L$37-1),IF($R$17="Distrato",$E194,0))),0,YEARFRAC(MAX($P$34*($B194+IF($R$17="Distrato",$I$38-1,0)),IF(AND($L$37=0,$P$34=0),"",$L$37-1),IF($R$17="Distrato",$E194,0)),MIN(AF$38,$D$19),$P$20))-SUM($P194:AE194)</f>
        <v>#VALUE!</v>
      </c>
      <c r="AG194" s="446" t="e">
        <f>IF(OR($B194="",MIN(AG$38,$D$19)&lt;MAX($P$34*($B194+IF($R$17="Distrato",$I$38-1,0)),IF(AND($L$37=0,$P$34=0),"",$L$37-1),IF($R$17="Distrato",$E194,0))),0,YEARFRAC(MAX($P$34*($B194+IF($R$17="Distrato",$I$38-1,0)),IF(AND($L$37=0,$P$34=0),"",$L$37-1),IF($R$17="Distrato",$E194,0)),MIN(AG$38,$D$19),$P$20))-SUM($P194:AF194)</f>
        <v>#VALUE!</v>
      </c>
      <c r="AH194" s="446" t="e">
        <f>IF(OR($B194="",MIN(AH$38,$D$19)&lt;MAX($P$34*($B194+IF($R$17="Distrato",$I$38-1,0)),IF(AND($L$37=0,$P$34=0),"",$L$37-1),IF($R$17="Distrato",$E194,0))),0,YEARFRAC(MAX($P$34*($B194+IF($R$17="Distrato",$I$38-1,0)),IF(AND($L$37=0,$P$34=0),"",$L$37-1),IF($R$17="Distrato",$E194,0)),MIN(AH$38,$D$19),$P$20))-SUM($P194:AG194)</f>
        <v>#VALUE!</v>
      </c>
      <c r="AI194" s="446" t="e">
        <f>IF(OR($B194="",MIN(AI$38,$D$19)&lt;MAX($P$34*($B194+IF($R$17="Distrato",$I$38-1,0)),IF(AND($L$37=0,$P$34=0),"",$L$37-1),IF($R$17="Distrato",$E194,0))),0,YEARFRAC(MAX($P$34*($B194+IF($R$17="Distrato",$I$38-1,0)),IF(AND($L$37=0,$P$34=0),"",$L$37-1),IF($R$17="Distrato",$E194,0)),MIN(AI$38,$D$19),$P$20))-SUM($P194:AH194)</f>
        <v>#VALUE!</v>
      </c>
      <c r="AJ194" s="446" t="e">
        <f>IF(OR($B194="",MIN(AJ$38,$D$19)&lt;MAX($P$34*($B194+IF($R$17="Distrato",$I$38-1,0)),IF(AND($L$37=0,$P$34=0),"",$L$37-1),IF($R$17="Distrato",$E194,0))),0,YEARFRAC(MAX($P$34*($B194+IF($R$17="Distrato",$I$38-1,0)),IF(AND($L$37=0,$P$34=0),"",$L$37-1),IF($R$17="Distrato",$E194,0)),MIN(AJ$38,$D$19),$P$20))-SUM($P194:AI194)</f>
        <v>#VALUE!</v>
      </c>
      <c r="AK194" s="446" t="e">
        <f>IF(OR($B194="",MIN(AK$38,$D$19)&lt;MAX($P$34*($B194+IF($R$17="Distrato",$I$38-1,0)),IF(AND($L$37=0,$P$34=0),"",$L$37-1),IF($R$17="Distrato",$E194,0))),0,YEARFRAC(MAX($P$34*($B194+IF($R$17="Distrato",$I$38-1,0)),IF(AND($L$37=0,$P$34=0),"",$L$37-1),IF($R$17="Distrato",$E194,0)),MIN(AK$38,$D$19),$P$20))-SUM($P194:AJ194)</f>
        <v>#VALUE!</v>
      </c>
      <c r="AL194" s="446" t="e">
        <f>IF(OR($B194="",MIN(AL$38,$D$19)&lt;MAX($P$34*($B194+IF($R$17="Distrato",$I$38-1,0)),IF(AND($L$37=0,$P$34=0),"",$L$37-1),IF($R$17="Distrato",$E194,0))),0,YEARFRAC(MAX($P$34*($B194+IF($R$17="Distrato",$I$38-1,0)),IF(AND($L$37=0,$P$34=0),"",$L$37-1),IF($R$17="Distrato",$E194,0)),MIN(AL$38,$D$19),$P$20))-SUM($P194:AK194)</f>
        <v>#VALUE!</v>
      </c>
      <c r="AM194" s="446" t="e">
        <f>IF(OR($B194="",MIN(AM$38,$D$19)&lt;MAX($P$34*($B194+IF($R$17="Distrato",$I$38-1,0)),IF(AND($L$37=0,$P$34=0),"",$L$37-1),IF($R$17="Distrato",$E194,0))),0,YEARFRAC(MAX($P$34*($B194+IF($R$17="Distrato",$I$38-1,0)),IF(AND($L$37=0,$P$34=0),"",$L$37-1),IF($R$17="Distrato",$E194,0)),MIN(AM$38,$D$19),$P$20))-SUM($P194:AL194)</f>
        <v>#VALUE!</v>
      </c>
      <c r="AN194" s="446" t="e">
        <f>IF(OR($B194="",MIN(AN$38,$D$19)&lt;MAX($P$34*($B194+IF($R$17="Distrato",$I$38-1,0)),IF(AND($L$37=0,$P$34=0),"",$L$37-1),IF($R$17="Distrato",$E194,0))),0,YEARFRAC(MAX($P$34*($B194+IF($R$17="Distrato",$I$38-1,0)),IF(AND($L$37=0,$P$34=0),"",$L$37-1),IF($R$17="Distrato",$E194,0)),MIN(AN$38,$D$19),$P$20))-SUM($P194:AM194)</f>
        <v>#VALUE!</v>
      </c>
      <c r="AO194" s="446" t="e">
        <f>IF(OR($B194="",MIN(AO$38,$D$19)&lt;MAX($P$34*($B194+IF($R$17="Distrato",$I$38-1,0)),IF(AND($L$37=0,$P$34=0),"",$L$37-1),IF($R$17="Distrato",$E194,0))),0,YEARFRAC(MAX($P$34*($B194+IF($R$17="Distrato",$I$38-1,0)),IF(AND($L$37=0,$P$34=0),"",$L$37-1),IF($R$17="Distrato",$E194,0)),MIN(AO$38,$D$19),$P$20))-SUM($P194:AN194)</f>
        <v>#VALUE!</v>
      </c>
      <c r="AP194" s="446" t="e">
        <f>IF(OR($B194="",MIN(AP$38,$D$19)&lt;MAX($P$34*($B194+IF($R$17="Distrato",$I$38-1,0)),IF(AND($L$37=0,$P$34=0),"",$L$37-1),IF($R$17="Distrato",$E194,0))),0,YEARFRAC(MAX($P$34*($B194+IF($R$17="Distrato",$I$38-1,0)),IF(AND($L$37=0,$P$34=0),"",$L$37-1),IF($R$17="Distrato",$E194,0)),MIN(AP$38,$D$19),$P$20))-SUM($P194:AO194)</f>
        <v>#VALUE!</v>
      </c>
      <c r="AQ194" s="446" t="e">
        <f>IF(OR($B194="",MIN(AQ$38,$D$19)&lt;MAX($P$34*($B194+IF($R$17="Distrato",$I$38-1,0)),IF(AND($L$37=0,$P$34=0),"",$L$37-1),IF($R$17="Distrato",$E194,0))),0,YEARFRAC(MAX($P$34*($B194+IF($R$17="Distrato",$I$38-1,0)),IF(AND($L$37=0,$P$34=0),"",$L$37-1),IF($R$17="Distrato",$E194,0)),MIN(AQ$38,$D$19),$P$20))-SUM($P194:AP194)</f>
        <v>#VALUE!</v>
      </c>
      <c r="AR194" s="446" t="e">
        <f>IF(OR($B194="",MIN(AR$38,$D$19)&lt;MAX($P$34*($B194+IF($R$17="Distrato",$I$38-1,0)),IF(AND($L$37=0,$P$34=0),"",$L$37-1),IF($R$17="Distrato",$E194,0))),0,YEARFRAC(MAX($P$34*($B194+IF($R$17="Distrato",$I$38-1,0)),IF(AND($L$37=0,$P$34=0),"",$L$37-1),IF($R$17="Distrato",$E194,0)),MIN(AR$38,$D$19),$P$20))-SUM($P194:AQ194)</f>
        <v>#VALUE!</v>
      </c>
      <c r="AS194" s="446" t="e">
        <f>IF(OR($B194="",MIN(AS$38,$D$19)&lt;MAX($P$34*($B194+IF($R$17="Distrato",$I$38-1,0)),IF(AND($L$37=0,$P$34=0),"",$L$37-1),IF($R$17="Distrato",$E194,0))),0,YEARFRAC(MAX($P$34*($B194+IF($R$17="Distrato",$I$38-1,0)),IF(AND($L$37=0,$P$34=0),"",$L$37-1),IF($R$17="Distrato",$E194,0)),MIN(AS$38,$D$19),$P$20))-SUM($P194:AR194)</f>
        <v>#VALUE!</v>
      </c>
      <c r="AT194" s="446" t="e">
        <f>IF(OR($B194="",MIN(AT$38,$D$19)&lt;MAX($P$34*($B194+IF($R$17="Distrato",$I$38-1,0)),IF(AND($L$37=0,$P$34=0),"",$L$37-1),IF($R$17="Distrato",$E194,0))),0,YEARFRAC(MAX($P$34*($B194+IF($R$17="Distrato",$I$38-1,0)),IF(AND($L$37=0,$P$34=0),"",$L$37-1),IF($R$17="Distrato",$E194,0)),MIN(AT$38,$D$19),$P$20))-SUM($P194:AS194)</f>
        <v>#VALUE!</v>
      </c>
      <c r="AU194" s="446" t="e">
        <f>IF(OR($B194="",MIN(AU$38,$D$19)&lt;MAX($P$34*($B194+IF($R$17="Distrato",$I$38-1,0)),IF(AND($L$37=0,$P$34=0),"",$L$37-1),IF($R$17="Distrato",$E194,0))),0,YEARFRAC(MAX($P$34*($B194+IF($R$17="Distrato",$I$38-1,0)),IF(AND($L$37=0,$P$34=0),"",$L$37-1),IF($R$17="Distrato",$E194,0)),MIN(AU$38,$D$19),$P$20))-SUM($P194:AT194)</f>
        <v>#VALUE!</v>
      </c>
      <c r="AV194" s="446" t="e">
        <f>IF(OR($B194="",MIN(AV$38,$D$19)&lt;MAX($P$34*($B194+IF($R$17="Distrato",$I$38-1,0)),IF(AND($L$37=0,$P$34=0),"",$L$37-1),IF($R$17="Distrato",$E194,0))),0,YEARFRAC(MAX($P$34*($B194+IF($R$17="Distrato",$I$38-1,0)),IF(AND($L$37=0,$P$34=0),"",$L$37-1),IF($R$17="Distrato",$E194,0)),MIN(AV$38,$D$19),$P$20))-SUM($P194:AU194)</f>
        <v>#VALUE!</v>
      </c>
      <c r="AW194" s="446" t="e">
        <f>IF(OR($B194="",MIN(AW$38,$D$19)&lt;MAX($P$34*($B194+IF($R$17="Distrato",$I$38-1,0)),IF(AND($L$37=0,$P$34=0),"",$L$37-1),IF($R$17="Distrato",$E194,0))),0,YEARFRAC(MAX($P$34*($B194+IF($R$17="Distrato",$I$38-1,0)),IF(AND($L$37=0,$P$34=0),"",$L$37-1),IF($R$17="Distrato",$E194,0)),MIN(AW$38,$D$19),$P$20))-SUM($P194:AV194)</f>
        <v>#VALUE!</v>
      </c>
      <c r="AX194" s="446" t="e">
        <f>IF(OR($B194="",MIN(AX$38,$D$19)&lt;MAX($P$34*($B194+IF($R$17="Distrato",$I$38-1,0)),IF(AND($L$37=0,$P$34=0),"",$L$37-1),IF($R$17="Distrato",$E194,0))),0,YEARFRAC(MAX($P$34*($B194+IF($R$17="Distrato",$I$38-1,0)),IF(AND($L$37=0,$P$34=0),"",$L$37-1),IF($R$17="Distrato",$E194,0)),MIN(AX$38,$D$19),$P$20))-SUM($P194:AW194)</f>
        <v>#VALUE!</v>
      </c>
      <c r="AY194" s="446" t="e">
        <f>IF(OR($B194="",MIN(AY$38,$D$19)&lt;MAX($P$34*($B194+IF($R$17="Distrato",$I$38-1,0)),IF(AND($L$37=0,$P$34=0),"",$L$37-1),IF($R$17="Distrato",$E194,0))),0,YEARFRAC(MAX($P$34*($B194+IF($R$17="Distrato",$I$38-1,0)),IF(AND($L$37=0,$P$34=0),"",$L$37-1),IF($R$17="Distrato",$E194,0)),MIN(AY$38,$D$19),$P$20))-SUM($P194:AX194)</f>
        <v>#VALUE!</v>
      </c>
      <c r="AZ194" s="446" t="e">
        <f>IF(OR($B194="",MIN(AZ$38,$D$19)&lt;MAX($P$34*($B194+IF($R$17="Distrato",$I$38-1,0)),IF(AND($L$37=0,$P$34=0),"",$L$37-1),IF($R$17="Distrato",$E194,0))),0,YEARFRAC(MAX($P$34*($B194+IF($R$17="Distrato",$I$38-1,0)),IF(AND($L$37=0,$P$34=0),"",$L$37-1),IF($R$17="Distrato",$E194,0)),MIN(AZ$38,$D$19),$P$20))-SUM($P194:AY194)</f>
        <v>#VALUE!</v>
      </c>
      <c r="BA194" s="446" t="e">
        <f>IF(OR($B194="",MIN(BA$38,$D$19)&lt;MAX($P$34*($B194+IF($R$17="Distrato",$I$38-1,0)),IF(AND($L$37=0,$P$34=0),"",$L$37-1),IF($R$17="Distrato",$E194,0))),0,YEARFRAC(MAX($P$34*($B194+IF($R$17="Distrato",$I$38-1,0)),IF(AND($L$37=0,$P$34=0),"",$L$37-1),IF($R$17="Distrato",$E194,0)),MIN(BA$38,$D$19),$P$20))-SUM($P194:AZ194)</f>
        <v>#VALUE!</v>
      </c>
      <c r="BB194" s="447"/>
      <c r="BF194" s="446">
        <f t="shared" si="32"/>
        <v>0</v>
      </c>
      <c r="BG194" s="446">
        <f>IF($E194=0,0,IF(MIN(BG$38,$E194)&lt;MAX($P$34*($B194+$I$38-1),IF(AND($L$37=0,$P$34=0),"",$L$37-1)),0,YEARFRAC(MAX($P$34*($B194+$I$38-1),IF(AND($L$37=0,$P$34=0),"",$L$37-1)),MIN(BG$38,$E194),$P$20))-SUM($BF194:BF194))</f>
        <v>0</v>
      </c>
      <c r="BH194" s="446">
        <f>IF($E194=0,0,IF(MIN(BH$38,$E194)&lt;MAX($P$34*($B194+$I$38-1),IF(AND($L$37=0,$P$34=0),"",$L$37-1)),0,YEARFRAC(MAX($P$34*($B194+$I$38-1),IF(AND($L$37=0,$P$34=0),"",$L$37-1)),MIN(BH$38,$E194),$P$20))-SUM($BF194:BG194))</f>
        <v>0</v>
      </c>
      <c r="BI194" s="446">
        <f>IF($E194=0,0,IF(MIN(BI$38,$E194)&lt;MAX($P$34*($B194+$I$38-1),IF(AND($L$37=0,$P$34=0),"",$L$37-1)),0,YEARFRAC(MAX($P$34*($B194+$I$38-1),IF(AND($L$37=0,$P$34=0),"",$L$37-1)),MIN(BI$38,$E194),$P$20))-SUM($BF194:BH194))</f>
        <v>0</v>
      </c>
      <c r="BJ194" s="446">
        <f>IF($E194=0,0,IF(MIN(BJ$38,$E194)&lt;MAX($P$34*($B194+$I$38-1),IF(AND($L$37=0,$P$34=0),"",$L$37-1)),0,YEARFRAC(MAX($P$34*($B194+$I$38-1),IF(AND($L$37=0,$P$34=0),"",$L$37-1)),MIN(BJ$38,$E194),$P$20))-SUM($BF194:BI194))</f>
        <v>0</v>
      </c>
      <c r="BK194" s="446">
        <f>IF($E194=0,0,IF(MIN(BK$38,$E194)&lt;MAX($P$34*($B194+$I$38-1),IF(AND($L$37=0,$P$34=0),"",$L$37-1)),0,YEARFRAC(MAX($P$34*($B194+$I$38-1),IF(AND($L$37=0,$P$34=0),"",$L$37-1)),MIN(BK$38,$E194),$P$20))-SUM($BF194:BJ194))</f>
        <v>0</v>
      </c>
      <c r="BL194" s="446">
        <f>IF($E194=0,0,IF(MIN(BL$38,$E194)&lt;MAX($P$34*($B194+$I$38-1),IF(AND($L$37=0,$P$34=0),"",$L$37-1)),0,YEARFRAC(MAX($P$34*($B194+$I$38-1),IF(AND($L$37=0,$P$34=0),"",$L$37-1)),MIN(BL$38,$E194),$P$20))-SUM($BF194:BK194))</f>
        <v>0</v>
      </c>
      <c r="BM194" s="446">
        <f>IF($E194=0,0,IF(MIN(BM$38,$E194)&lt;MAX($P$34*($B194+$I$38-1),IF(AND($L$37=0,$P$34=0),"",$L$37-1)),0,YEARFRAC(MAX($P$34*($B194+$I$38-1),IF(AND($L$37=0,$P$34=0),"",$L$37-1)),MIN(BM$38,$E194),$P$20))-SUM($BF194:BL194))</f>
        <v>0</v>
      </c>
      <c r="BN194" s="446">
        <f>IF($E194=0,0,IF(MIN(BN$38,$E194)&lt;MAX($P$34*($B194+$I$38-1),IF(AND($L$37=0,$P$34=0),"",$L$37-1)),0,YEARFRAC(MAX($P$34*($B194+$I$38-1),IF(AND($L$37=0,$P$34=0),"",$L$37-1)),MIN(BN$38,$E194),$P$20))-SUM($BF194:BM194))</f>
        <v>0</v>
      </c>
      <c r="BO194" s="446">
        <f>IF($E194=0,0,IF(MIN(BO$38,$E194)&lt;MAX($P$34*($B194+$I$38-1),IF(AND($L$37=0,$P$34=0),"",$L$37-1)),0,YEARFRAC(MAX($P$34*($B194+$I$38-1),IF(AND($L$37=0,$P$34=0),"",$L$37-1)),MIN(BO$38,$E194),$P$20))-SUM($BF194:BN194))</f>
        <v>0</v>
      </c>
      <c r="BP194" s="446">
        <f>IF($E194=0,0,IF(MIN(BP$38,$E194)&lt;MAX($P$34*($B194+$I$38-1),IF(AND($L$37=0,$P$34=0),"",$L$37-1)),0,YEARFRAC(MAX($P$34*($B194+$I$38-1),IF(AND($L$37=0,$P$34=0),"",$L$37-1)),MIN(BP$38,$E194),$P$20))-SUM($BF194:BO194))</f>
        <v>0</v>
      </c>
      <c r="BQ194" s="446">
        <f>IF($E194=0,0,IF(MIN(BQ$38,$E194)&lt;MAX($P$34*($B194+$I$38-1),IF(AND($L$37=0,$P$34=0),"",$L$37-1)),0,YEARFRAC(MAX($P$34*($B194+$I$38-1),IF(AND($L$37=0,$P$34=0),"",$L$37-1)),MIN(BQ$38,$E194),$P$20))-SUM($BF194:BP194))</f>
        <v>0</v>
      </c>
      <c r="BR194" s="446">
        <f>IF($E194=0,0,IF(MIN(BR$38,$E194)&lt;MAX($P$34*($B194+$I$38-1),IF(AND($L$37=0,$P$34=0),"",$L$37-1)),0,YEARFRAC(MAX($P$34*($B194+$I$38-1),IF(AND($L$37=0,$P$34=0),"",$L$37-1)),MIN(BR$38,$E194),$P$20))-SUM($BF194:BQ194))</f>
        <v>0</v>
      </c>
      <c r="BS194" s="446">
        <f>IF($E194=0,0,IF(MIN(BS$38,$E194)&lt;MAX($P$34*($B194+$I$38-1),IF(AND($L$37=0,$P$34=0),"",$L$37-1)),0,YEARFRAC(MAX($P$34*($B194+$I$38-1),IF(AND($L$37=0,$P$34=0),"",$L$37-1)),MIN(BS$38,$E194),$P$20))-SUM($BF194:BR194))</f>
        <v>0</v>
      </c>
      <c r="BT194" s="446">
        <f>IF($E194=0,0,IF(MIN(BT$38,$E194)&lt;MAX($P$34*($B194+$I$38-1),IF(AND($L$37=0,$P$34=0),"",$L$37-1)),0,YEARFRAC(MAX($P$34*($B194+$I$38-1),IF(AND($L$37=0,$P$34=0),"",$L$37-1)),MIN(BT$38,$E194),$P$20))-SUM($BF194:BS194))</f>
        <v>0</v>
      </c>
      <c r="BU194" s="446">
        <f>IF($E194=0,0,IF(MIN(BU$38,$E194)&lt;MAX($P$34*($B194+$I$38-1),IF(AND($L$37=0,$P$34=0),"",$L$37-1)),0,YEARFRAC(MAX($P$34*($B194+$I$38-1),IF(AND($L$37=0,$P$34=0),"",$L$37-1)),MIN(BU$38,$E194),$P$20))-SUM($BF194:BT194))</f>
        <v>0</v>
      </c>
      <c r="BV194" s="446">
        <f>IF($E194=0,0,IF(MIN(BV$38,$E194)&lt;MAX($P$34*($B194+$I$38-1),IF(AND($L$37=0,$P$34=0),"",$L$37-1)),0,YEARFRAC(MAX($P$34*($B194+$I$38-1),IF(AND($L$37=0,$P$34=0),"",$L$37-1)),MIN(BV$38,$E194),$P$20))-SUM($BF194:BU194))</f>
        <v>0</v>
      </c>
      <c r="BW194" s="446">
        <f>IF($E194=0,0,IF(MIN(BW$38,$E194)&lt;MAX($P$34*($B194+$I$38-1),IF(AND($L$37=0,$P$34=0),"",$L$37-1)),0,YEARFRAC(MAX($P$34*($B194+$I$38-1),IF(AND($L$37=0,$P$34=0),"",$L$37-1)),MIN(BW$38,$E194),$P$20))-SUM($BF194:BV194))</f>
        <v>0</v>
      </c>
      <c r="BX194" s="446">
        <f>IF($E194=0,0,IF(MIN(BX$38,$E194)&lt;MAX($P$34*($B194+$I$38-1),IF(AND($L$37=0,$P$34=0),"",$L$37-1)),0,YEARFRAC(MAX($P$34*($B194+$I$38-1),IF(AND($L$37=0,$P$34=0),"",$L$37-1)),MIN(BX$38,$E194),$P$20))-SUM($BF194:BW194))</f>
        <v>0</v>
      </c>
      <c r="BY194" s="446">
        <f>IF($E194=0,0,IF(MIN(BY$38,$E194)&lt;MAX($P$34*($B194+$I$38-1),IF(AND($L$37=0,$P$34=0),"",$L$37-1)),0,YEARFRAC(MAX($P$34*($B194+$I$38-1),IF(AND($L$37=0,$P$34=0),"",$L$37-1)),MIN(BY$38,$E194),$P$20))-SUM($BF194:BX194))</f>
        <v>0</v>
      </c>
      <c r="BZ194" s="446">
        <f>IF($E194=0,0,IF(MIN(BZ$38,$E194)&lt;MAX($P$34*($B194+$I$38-1),IF(AND($L$37=0,$P$34=0),"",$L$37-1)),0,YEARFRAC(MAX($P$34*($B194+$I$38-1),IF(AND($L$37=0,$P$34=0),"",$L$37-1)),MIN(BZ$38,$E194),$P$20))-SUM($BF194:BY194))</f>
        <v>0</v>
      </c>
      <c r="CA194" s="446">
        <f>IF($E194=0,0,IF(MIN(CA$38,$E194)&lt;MAX($P$34*($B194+$I$38-1),IF(AND($L$37=0,$P$34=0),"",$L$37-1)),0,YEARFRAC(MAX($P$34*($B194+$I$38-1),IF(AND($L$37=0,$P$34=0),"",$L$37-1)),MIN(CA$38,$E194),$P$20))-SUM($BF194:BZ194))</f>
        <v>0</v>
      </c>
      <c r="CB194" s="446">
        <f>IF($E194=0,0,IF(MIN(CB$38,$E194)&lt;MAX($P$34*($B194+$I$38-1),IF(AND($L$37=0,$P$34=0),"",$L$37-1)),0,YEARFRAC(MAX($P$34*($B194+$I$38-1),IF(AND($L$37=0,$P$34=0),"",$L$37-1)),MIN(CB$38,$E194),$P$20))-SUM($BF194:CA194))</f>
        <v>0</v>
      </c>
      <c r="CC194" s="446">
        <f>IF($E194=0,0,IF(MIN(CC$38,$E194)&lt;MAX($P$34*($B194+$I$38-1),IF(AND($L$37=0,$P$34=0),"",$L$37-1)),0,YEARFRAC(MAX($P$34*($B194+$I$38-1),IF(AND($L$37=0,$P$34=0),"",$L$37-1)),MIN(CC$38,$E194),$P$20))-SUM($BF194:CB194))</f>
        <v>0</v>
      </c>
      <c r="CD194" s="446">
        <f>IF($E194=0,0,IF(MIN(CD$38,$E194)&lt;MAX($P$34*($B194+$I$38-1),IF(AND($L$37=0,$P$34=0),"",$L$37-1)),0,YEARFRAC(MAX($P$34*($B194+$I$38-1),IF(AND($L$37=0,$P$34=0),"",$L$37-1)),MIN(CD$38,$E194),$P$20))-SUM($BF194:CC194))</f>
        <v>0</v>
      </c>
      <c r="CE194" s="446">
        <f>IF($E194=0,0,IF(MIN(CE$38,$E194)&lt;MAX($P$34*($B194+$I$38-1),IF(AND($L$37=0,$P$34=0),"",$L$37-1)),0,YEARFRAC(MAX($P$34*($B194+$I$38-1),IF(AND($L$37=0,$P$34=0),"",$L$37-1)),MIN(CE$38,$E194),$P$20))-SUM($BF194:CD194))</f>
        <v>0</v>
      </c>
      <c r="CF194" s="446">
        <f>IF($E194=0,0,IF(MIN(CF$38,$E194)&lt;MAX($P$34*($B194+$I$38-1),IF(AND($L$37=0,$P$34=0),"",$L$37-1)),0,YEARFRAC(MAX($P$34*($B194+$I$38-1),IF(AND($L$37=0,$P$34=0),"",$L$37-1)),MIN(CF$38,$E194),$P$20))-SUM($BF194:CE194))</f>
        <v>0</v>
      </c>
      <c r="CG194" s="446">
        <f>IF($E194=0,0,IF(MIN(CG$38,$E194)&lt;MAX($P$34*($B194+$I$38-1),IF(AND($L$37=0,$P$34=0),"",$L$37-1)),0,YEARFRAC(MAX($P$34*($B194+$I$38-1),IF(AND($L$37=0,$P$34=0),"",$L$37-1)),MIN(CG$38,$E194),$P$20))-SUM($BF194:CF194))</f>
        <v>0</v>
      </c>
      <c r="CH194" s="446">
        <f>IF($E194=0,0,IF(MIN(CH$38,$E194)&lt;MAX($P$34*($B194+$I$38-1),IF(AND($L$37=0,$P$34=0),"",$L$37-1)),0,YEARFRAC(MAX($P$34*($B194+$I$38-1),IF(AND($L$37=0,$P$34=0),"",$L$37-1)),MIN(CH$38,$E194),$P$20))-SUM($BF194:CG194))</f>
        <v>0</v>
      </c>
      <c r="CI194" s="446">
        <f>IF($E194=0,0,IF(MIN(CI$38,$E194)&lt;MAX($P$34*($B194+$I$38-1),IF(AND($L$37=0,$P$34=0),"",$L$37-1)),0,YEARFRAC(MAX($P$34*($B194+$I$38-1),IF(AND($L$37=0,$P$34=0),"",$L$37-1)),MIN(CI$38,$E194),$P$20))-SUM($BF194:CH194))</f>
        <v>0</v>
      </c>
      <c r="CJ194" s="446">
        <f>IF($E194=0,0,IF(MIN(CJ$38,$E194)&lt;MAX($P$34*($B194+$I$38-1),IF(AND($L$37=0,$P$34=0),"",$L$37-1)),0,YEARFRAC(MAX($P$34*($B194+$I$38-1),IF(AND($L$37=0,$P$34=0),"",$L$37-1)),MIN(CJ$38,$E194),$P$20))-SUM($BF194:CI194))</f>
        <v>0</v>
      </c>
      <c r="CK194" s="446">
        <f>IF($E194=0,0,IF(MIN(CK$38,$E194)&lt;MAX($P$34*($B194+$I$38-1),IF(AND($L$37=0,$P$34=0),"",$L$37-1)),0,YEARFRAC(MAX($P$34*($B194+$I$38-1),IF(AND($L$37=0,$P$34=0),"",$L$37-1)),MIN(CK$38,$E194),$P$20))-SUM($BF194:CJ194))</f>
        <v>0</v>
      </c>
      <c r="CL194" s="446">
        <f>IF($E194=0,0,IF(MIN(CL$38,$E194)&lt;MAX($P$34*($B194+$I$38-1),IF(AND($L$37=0,$P$34=0),"",$L$37-1)),0,YEARFRAC(MAX($P$34*($B194+$I$38-1),IF(AND($L$37=0,$P$34=0),"",$L$37-1)),MIN(CL$38,$E194),$P$20))-SUM($BF194:CK194))</f>
        <v>0</v>
      </c>
      <c r="CM194" s="446">
        <f>IF($E194=0,0,IF(MIN(CM$38,$E194)&lt;MAX($P$34*($B194+$I$38-1),IF(AND($L$37=0,$P$34=0),"",$L$37-1)),0,YEARFRAC(MAX($P$34*($B194+$I$38-1),IF(AND($L$37=0,$P$34=0),"",$L$37-1)),MIN(CM$38,$E194),$P$20))-SUM($BF194:CL194))</f>
        <v>0</v>
      </c>
      <c r="CN194" s="446">
        <f>IF($E194=0,0,IF(MIN(CN$38,$E194)&lt;MAX($P$34*($B194+$I$38-1),IF(AND($L$37=0,$P$34=0),"",$L$37-1)),0,YEARFRAC(MAX($P$34*($B194+$I$38-1),IF(AND($L$37=0,$P$34=0),"",$L$37-1)),MIN(CN$38,$E194),$P$20))-SUM($BF194:CM194))</f>
        <v>0</v>
      </c>
      <c r="CO194" s="446">
        <f>IF($E194=0,0,IF(MIN(CO$38,$E194)&lt;MAX($P$34*($B194+$I$38-1),IF(AND($L$37=0,$P$34=0),"",$L$37-1)),0,YEARFRAC(MAX($P$34*($B194+$I$38-1),IF(AND($L$37=0,$P$34=0),"",$L$37-1)),MIN(CO$38,$E194),$P$20))-SUM($BF194:CN194))</f>
        <v>0</v>
      </c>
      <c r="CP194" s="446">
        <f>IF($E194=0,0,IF(MIN(CP$38,$E194)&lt;MAX($P$34*($B194+$I$38-1),IF(AND($L$37=0,$P$34=0),"",$L$37-1)),0,YEARFRAC(MAX($P$34*($B194+$I$38-1),IF(AND($L$37=0,$P$34=0),"",$L$37-1)),MIN(CP$38,$E194),$P$20))-SUM($BF194:CO194))</f>
        <v>0</v>
      </c>
      <c r="CQ194" s="446">
        <f>IF($E194=0,0,IF(MIN(CQ$38,$E194)&lt;MAX($P$34*($B194+$I$38-1),IF(AND($L$37=0,$P$34=0),"",$L$37-1)),0,YEARFRAC(MAX($P$34*($B194+$I$38-1),IF(AND($L$37=0,$P$34=0),"",$L$37-1)),MIN(CQ$38,$E194),$P$20))-SUM($BF194:CP194))</f>
        <v>0</v>
      </c>
    </row>
    <row r="195" spans="1:95" s="446" customFormat="1" ht="11.25" hidden="1" customHeight="1" x14ac:dyDescent="0.2">
      <c r="A195" s="152"/>
      <c r="B195" s="153" t="str">
        <f t="shared" si="37"/>
        <v/>
      </c>
      <c r="C195" s="29" t="str">
        <f>IF(B195="","",IF($L$35="SELIC - TRIBUTOS",VLOOKUP(DATE(YEAR($D$19),MONTH($D$19)-1,1),ÍNDICES!$A:$DE,HLOOKUP($BL$25,ÍNDICES!$B$3:$T$4,2)+11)-VLOOKUP(B195,ÍNDICES!$A:$DE,HLOOKUP($BL$25,ÍNDICES!$B$3:$T$4,2)+11)+1%,IF(C$38=$W$26,$J$35,IF(ISERROR(IF(B195&gt;$D$19,1,VLOOKUP(DATE(YEAR(B195),MONTH(B195)+IF($C$35=$S$23,1,0),1),ÍNDICES!$A:$DE,$Z$35+1))),"",IF(B195&gt;$D$19,1,VLOOKUP(DATE(YEAR(B195),MONTH(B195)+IF($C$35=$S$23,1,0),1),ÍNDICES!$A:$DE,$Z$35+1))))))</f>
        <v/>
      </c>
      <c r="D195" s="154" t="str">
        <f>IF(ISERROR(IF(OR($D$38=$Y$27,$B195=""),"",VLOOKUP(B195,ÍNDICES!A:DE,AF$35+1))),"",IF(OR($D$38=$Y$27,$B195=""),"",VLOOKUP(B195,ÍNDICES!A:DE,AF$35+1)))</f>
        <v/>
      </c>
      <c r="E195" s="153"/>
      <c r="F195" s="29" t="str">
        <f>IF(E195="","",IF($L$35="SELIC - TRIBUTOS",VLOOKUP(DATE(YEAR($D$19),MONTH($D$19)-1,1),ÍNDICES!$A:$DE,HLOOKUP($BL$25,ÍNDICES!$B$3:$T$4,2)+11)-VLOOKUP(E195,ÍNDICES!$A:$DE,HLOOKUP($BL$25,ÍNDICES!$B$3:$T$4,2)+11)+1%,IF(F$38=$W$26,$J$35,IF(ISERROR(IF(E195&gt;$D$19,1,VLOOKUP(DATE(YEAR(E195),MONTH(E195)+IF($C$35=$S$23,1,0),1),ÍNDICES!$A:$DE,$Z$35+1))),"",IF(E195&gt;$D$19,1,VLOOKUP(DATE(YEAR(E195),MONTH(E195)+IF($C$35=$S$23,1,0),1),ÍNDICES!$A:$DE,$Z$35+1))))))</f>
        <v/>
      </c>
      <c r="G195" s="155"/>
      <c r="H195" s="156" t="str">
        <f t="shared" si="33"/>
        <v/>
      </c>
      <c r="I195" s="29" t="str">
        <f t="shared" si="27"/>
        <v/>
      </c>
      <c r="J195" s="5">
        <f t="shared" si="28"/>
        <v>0</v>
      </c>
      <c r="K195" s="20">
        <f t="shared" ca="1" si="29"/>
        <v>0</v>
      </c>
      <c r="L195" s="5">
        <f t="shared" ca="1" si="30"/>
        <v>0</v>
      </c>
      <c r="M195" s="64">
        <f t="shared" si="34"/>
        <v>0</v>
      </c>
      <c r="N195" s="61">
        <f t="shared" ca="1" si="35"/>
        <v>0</v>
      </c>
      <c r="O195" s="5">
        <f t="shared" ca="1" si="36"/>
        <v>0</v>
      </c>
      <c r="P195" s="446" t="e">
        <f t="shared" si="31"/>
        <v>#VALUE!</v>
      </c>
      <c r="Q195" s="446" t="e">
        <f>IF(OR($B195="",MIN(Q$38,$D$19)&lt;MAX($P$34*($B195+IF($R$17="Distrato",$I$38-1,0)),IF(AND($L$37=0,$P$34=0),"",$L$37-1),IF($R$17="Distrato",$E195,0))),0,YEARFRAC(MAX($P$34*($B195+IF($R$17="Distrato",$I$38-1,0)),IF(AND($L$37=0,$P$34=0),"",$L$37-1),IF($R$17="Distrato",$E195,0)),MIN(Q$38,$D$19),$P$20))-SUM($P195:P195)</f>
        <v>#VALUE!</v>
      </c>
      <c r="R195" s="446" t="e">
        <f>IF(OR($B195="",MIN(R$38,$D$19)&lt;MAX($P$34*($B195+IF($R$17="Distrato",$I$38-1,0)),IF(AND($L$37=0,$P$34=0),"",$L$37-1),IF($R$17="Distrato",$E195,0))),0,YEARFRAC(MAX($P$34*($B195+IF($R$17="Distrato",$I$38-1,0)),IF(AND($L$37=0,$P$34=0),"",$L$37-1),IF($R$17="Distrato",$E195,0)),MIN(R$38,$D$19),$P$20))-SUM($P195:Q195)</f>
        <v>#VALUE!</v>
      </c>
      <c r="S195" s="446" t="e">
        <f>IF(OR($B195="",MIN(S$38,$D$19)&lt;MAX($P$34*($B195+IF($R$17="Distrato",$I$38-1,0)),IF(AND($L$37=0,$P$34=0),"",$L$37-1),IF($R$17="Distrato",$E195,0))),0,YEARFRAC(MAX($P$34*($B195+IF($R$17="Distrato",$I$38-1,0)),IF(AND($L$37=0,$P$34=0),"",$L$37-1),IF($R$17="Distrato",$E195,0)),MIN(S$38,$D$19),$P$20))-SUM($P195:R195)</f>
        <v>#VALUE!</v>
      </c>
      <c r="T195" s="446" t="e">
        <f>IF(OR($B195="",MIN(T$38,$D$19)&lt;MAX($P$34*($B195+IF($R$17="Distrato",$I$38-1,0)),IF(AND($L$37=0,$P$34=0),"",$L$37-1),IF($R$17="Distrato",$E195,0))),0,YEARFRAC(MAX($P$34*($B195+IF($R$17="Distrato",$I$38-1,0)),IF(AND($L$37=0,$P$34=0),"",$L$37-1),IF($R$17="Distrato",$E195,0)),MIN(T$38,$D$19),$P$20))-SUM($P195:S195)</f>
        <v>#VALUE!</v>
      </c>
      <c r="U195" s="446" t="e">
        <f>IF(OR($B195="",MIN(U$38,$D$19)&lt;MAX($P$34*($B195+IF($R$17="Distrato",$I$38-1,0)),IF(AND($L$37=0,$P$34=0),"",$L$37-1),IF($R$17="Distrato",$E195,0))),0,YEARFRAC(MAX($P$34*($B195+IF($R$17="Distrato",$I$38-1,0)),IF(AND($L$37=0,$P$34=0),"",$L$37-1),IF($R$17="Distrato",$E195,0)),MIN(U$38,$D$19),$P$20))-SUM($P195:T195)</f>
        <v>#VALUE!</v>
      </c>
      <c r="V195" s="446" t="e">
        <f>IF(OR($B195="",MIN(V$38,$D$19)&lt;MAX($P$34*($B195+IF($R$17="Distrato",$I$38-1,0)),IF(AND($L$37=0,$P$34=0),"",$L$37-1),IF($R$17="Distrato",$E195,0))),0,YEARFRAC(MAX($P$34*($B195+IF($R$17="Distrato",$I$38-1,0)),IF(AND($L$37=0,$P$34=0),"",$L$37-1),IF($R$17="Distrato",$E195,0)),MIN(V$38,$D$19),$P$20))-SUM($P195:U195)</f>
        <v>#VALUE!</v>
      </c>
      <c r="W195" s="446" t="e">
        <f>IF(OR($B195="",MIN(W$38,$D$19)&lt;MAX($P$34*($B195+IF($R$17="Distrato",$I$38-1,0)),IF(AND($L$37=0,$P$34=0),"",$L$37-1),IF($R$17="Distrato",$E195,0))),0,YEARFRAC(MAX($P$34*($B195+IF($R$17="Distrato",$I$38-1,0)),IF(AND($L$37=0,$P$34=0),"",$L$37-1),IF($R$17="Distrato",$E195,0)),MIN(W$38,$D$19),$P$20))-SUM($P195:V195)</f>
        <v>#VALUE!</v>
      </c>
      <c r="X195" s="446" t="e">
        <f>IF(OR($B195="",MIN(X$38,$D$19)&lt;MAX($P$34*($B195+IF($R$17="Distrato",$I$38-1,0)),IF(AND($L$37=0,$P$34=0),"",$L$37-1),IF($R$17="Distrato",$E195,0))),0,YEARFRAC(MAX($P$34*($B195+IF($R$17="Distrato",$I$38-1,0)),IF(AND($L$37=0,$P$34=0),"",$L$37-1),IF($R$17="Distrato",$E195,0)),MIN(X$38,$D$19),$P$20))-SUM($P195:W195)</f>
        <v>#VALUE!</v>
      </c>
      <c r="Y195" s="446" t="e">
        <f>IF(OR($B195="",MIN(Y$38,$D$19)&lt;MAX($P$34*($B195+IF($R$17="Distrato",$I$38-1,0)),IF(AND($L$37=0,$P$34=0),"",$L$37-1),IF($R$17="Distrato",$E195,0))),0,YEARFRAC(MAX($P$34*($B195+IF($R$17="Distrato",$I$38-1,0)),IF(AND($L$37=0,$P$34=0),"",$L$37-1),IF($R$17="Distrato",$E195,0)),MIN(Y$38,$D$19),$P$20))-SUM($P195:X195)</f>
        <v>#VALUE!</v>
      </c>
      <c r="Z195" s="446" t="e">
        <f>IF(OR($B195="",MIN(Z$38,$D$19)&lt;MAX($P$34*($B195+IF($R$17="Distrato",$I$38-1,0)),IF(AND($L$37=0,$P$34=0),"",$L$37-1),IF($R$17="Distrato",$E195,0))),0,YEARFRAC(MAX($P$34*($B195+IF($R$17="Distrato",$I$38-1,0)),IF(AND($L$37=0,$P$34=0),"",$L$37-1),IF($R$17="Distrato",$E195,0)),MIN(Z$38,$D$19),$P$20))-SUM($P195:Y195)</f>
        <v>#VALUE!</v>
      </c>
      <c r="AA195" s="446" t="e">
        <f>IF(OR($B195="",MIN(AA$38,$D$19)&lt;MAX($P$34*($B195+IF($R$17="Distrato",$I$38-1,0)),IF(AND($L$37=0,$P$34=0),"",$L$37-1),IF($R$17="Distrato",$E195,0))),0,YEARFRAC(MAX($P$34*($B195+IF($R$17="Distrato",$I$38-1,0)),IF(AND($L$37=0,$P$34=0),"",$L$37-1),IF($R$17="Distrato",$E195,0)),MIN(AA$38,$D$19),$P$20))-SUM($P195:Z195)</f>
        <v>#VALUE!</v>
      </c>
      <c r="AB195" s="446" t="e">
        <f>IF(OR($B195="",MIN(AB$38,$D$19)&lt;MAX($P$34*($B195+IF($R$17="Distrato",$I$38-1,0)),IF(AND($L$37=0,$P$34=0),"",$L$37-1),IF($R$17="Distrato",$E195,0))),0,YEARFRAC(MAX($P$34*($B195+IF($R$17="Distrato",$I$38-1,0)),IF(AND($L$37=0,$P$34=0),"",$L$37-1),IF($R$17="Distrato",$E195,0)),MIN(AB$38,$D$19),$P$20))-SUM($P195:AA195)</f>
        <v>#VALUE!</v>
      </c>
      <c r="AC195" s="446" t="e">
        <f>IF(OR($B195="",MIN(AC$38,$D$19)&lt;MAX($P$34*($B195+IF($R$17="Distrato",$I$38-1,0)),IF(AND($L$37=0,$P$34=0),"",$L$37-1),IF($R$17="Distrato",$E195,0))),0,YEARFRAC(MAX($P$34*($B195+IF($R$17="Distrato",$I$38-1,0)),IF(AND($L$37=0,$P$34=0),"",$L$37-1),IF($R$17="Distrato",$E195,0)),MIN(AC$38,$D$19),$P$20))-SUM($P195:AB195)</f>
        <v>#VALUE!</v>
      </c>
      <c r="AD195" s="446" t="e">
        <f>IF(OR($B195="",MIN(AD$38,$D$19)&lt;MAX($P$34*($B195+IF($R$17="Distrato",$I$38-1,0)),IF(AND($L$37=0,$P$34=0),"",$L$37-1),IF($R$17="Distrato",$E195,0))),0,YEARFRAC(MAX($P$34*($B195+IF($R$17="Distrato",$I$38-1,0)),IF(AND($L$37=0,$P$34=0),"",$L$37-1),IF($R$17="Distrato",$E195,0)),MIN(AD$38,$D$19),$P$20))-SUM($P195:AC195)</f>
        <v>#VALUE!</v>
      </c>
      <c r="AE195" s="446" t="e">
        <f>IF(OR($B195="",MIN(AE$38,$D$19)&lt;MAX($P$34*($B195+IF($R$17="Distrato",$I$38-1,0)),IF(AND($L$37=0,$P$34=0),"",$L$37-1),IF($R$17="Distrato",$E195,0))),0,YEARFRAC(MAX($P$34*($B195+IF($R$17="Distrato",$I$38-1,0)),IF(AND($L$37=0,$P$34=0),"",$L$37-1),IF($R$17="Distrato",$E195,0)),MIN(AE$38,$D$19),$P$20))-SUM($P195:AD195)</f>
        <v>#VALUE!</v>
      </c>
      <c r="AF195" s="446" t="e">
        <f>IF(OR($B195="",MIN(AF$38,$D$19)&lt;MAX($P$34*($B195+IF($R$17="Distrato",$I$38-1,0)),IF(AND($L$37=0,$P$34=0),"",$L$37-1),IF($R$17="Distrato",$E195,0))),0,YEARFRAC(MAX($P$34*($B195+IF($R$17="Distrato",$I$38-1,0)),IF(AND($L$37=0,$P$34=0),"",$L$37-1),IF($R$17="Distrato",$E195,0)),MIN(AF$38,$D$19),$P$20))-SUM($P195:AE195)</f>
        <v>#VALUE!</v>
      </c>
      <c r="AG195" s="446" t="e">
        <f>IF(OR($B195="",MIN(AG$38,$D$19)&lt;MAX($P$34*($B195+IF($R$17="Distrato",$I$38-1,0)),IF(AND($L$37=0,$P$34=0),"",$L$37-1),IF($R$17="Distrato",$E195,0))),0,YEARFRAC(MAX($P$34*($B195+IF($R$17="Distrato",$I$38-1,0)),IF(AND($L$37=0,$P$34=0),"",$L$37-1),IF($R$17="Distrato",$E195,0)),MIN(AG$38,$D$19),$P$20))-SUM($P195:AF195)</f>
        <v>#VALUE!</v>
      </c>
      <c r="AH195" s="446" t="e">
        <f>IF(OR($B195="",MIN(AH$38,$D$19)&lt;MAX($P$34*($B195+IF($R$17="Distrato",$I$38-1,0)),IF(AND($L$37=0,$P$34=0),"",$L$37-1),IF($R$17="Distrato",$E195,0))),0,YEARFRAC(MAX($P$34*($B195+IF($R$17="Distrato",$I$38-1,0)),IF(AND($L$37=0,$P$34=0),"",$L$37-1),IF($R$17="Distrato",$E195,0)),MIN(AH$38,$D$19),$P$20))-SUM($P195:AG195)</f>
        <v>#VALUE!</v>
      </c>
      <c r="AI195" s="446" t="e">
        <f>IF(OR($B195="",MIN(AI$38,$D$19)&lt;MAX($P$34*($B195+IF($R$17="Distrato",$I$38-1,0)),IF(AND($L$37=0,$P$34=0),"",$L$37-1),IF($R$17="Distrato",$E195,0))),0,YEARFRAC(MAX($P$34*($B195+IF($R$17="Distrato",$I$38-1,0)),IF(AND($L$37=0,$P$34=0),"",$L$37-1),IF($R$17="Distrato",$E195,0)),MIN(AI$38,$D$19),$P$20))-SUM($P195:AH195)</f>
        <v>#VALUE!</v>
      </c>
      <c r="AJ195" s="446" t="e">
        <f>IF(OR($B195="",MIN(AJ$38,$D$19)&lt;MAX($P$34*($B195+IF($R$17="Distrato",$I$38-1,0)),IF(AND($L$37=0,$P$34=0),"",$L$37-1),IF($R$17="Distrato",$E195,0))),0,YEARFRAC(MAX($P$34*($B195+IF($R$17="Distrato",$I$38-1,0)),IF(AND($L$37=0,$P$34=0),"",$L$37-1),IF($R$17="Distrato",$E195,0)),MIN(AJ$38,$D$19),$P$20))-SUM($P195:AI195)</f>
        <v>#VALUE!</v>
      </c>
      <c r="AK195" s="446" t="e">
        <f>IF(OR($B195="",MIN(AK$38,$D$19)&lt;MAX($P$34*($B195+IF($R$17="Distrato",$I$38-1,0)),IF(AND($L$37=0,$P$34=0),"",$L$37-1),IF($R$17="Distrato",$E195,0))),0,YEARFRAC(MAX($P$34*($B195+IF($R$17="Distrato",$I$38-1,0)),IF(AND($L$37=0,$P$34=0),"",$L$37-1),IF($R$17="Distrato",$E195,0)),MIN(AK$38,$D$19),$P$20))-SUM($P195:AJ195)</f>
        <v>#VALUE!</v>
      </c>
      <c r="AL195" s="446" t="e">
        <f>IF(OR($B195="",MIN(AL$38,$D$19)&lt;MAX($P$34*($B195+IF($R$17="Distrato",$I$38-1,0)),IF(AND($L$37=0,$P$34=0),"",$L$37-1),IF($R$17="Distrato",$E195,0))),0,YEARFRAC(MAX($P$34*($B195+IF($R$17="Distrato",$I$38-1,0)),IF(AND($L$37=0,$P$34=0),"",$L$37-1),IF($R$17="Distrato",$E195,0)),MIN(AL$38,$D$19),$P$20))-SUM($P195:AK195)</f>
        <v>#VALUE!</v>
      </c>
      <c r="AM195" s="446" t="e">
        <f>IF(OR($B195="",MIN(AM$38,$D$19)&lt;MAX($P$34*($B195+IF($R$17="Distrato",$I$38-1,0)),IF(AND($L$37=0,$P$34=0),"",$L$37-1),IF($R$17="Distrato",$E195,0))),0,YEARFRAC(MAX($P$34*($B195+IF($R$17="Distrato",$I$38-1,0)),IF(AND($L$37=0,$P$34=0),"",$L$37-1),IF($R$17="Distrato",$E195,0)),MIN(AM$38,$D$19),$P$20))-SUM($P195:AL195)</f>
        <v>#VALUE!</v>
      </c>
      <c r="AN195" s="446" t="e">
        <f>IF(OR($B195="",MIN(AN$38,$D$19)&lt;MAX($P$34*($B195+IF($R$17="Distrato",$I$38-1,0)),IF(AND($L$37=0,$P$34=0),"",$L$37-1),IF($R$17="Distrato",$E195,0))),0,YEARFRAC(MAX($P$34*($B195+IF($R$17="Distrato",$I$38-1,0)),IF(AND($L$37=0,$P$34=0),"",$L$37-1),IF($R$17="Distrato",$E195,0)),MIN(AN$38,$D$19),$P$20))-SUM($P195:AM195)</f>
        <v>#VALUE!</v>
      </c>
      <c r="AO195" s="446" t="e">
        <f>IF(OR($B195="",MIN(AO$38,$D$19)&lt;MAX($P$34*($B195+IF($R$17="Distrato",$I$38-1,0)),IF(AND($L$37=0,$P$34=0),"",$L$37-1),IF($R$17="Distrato",$E195,0))),0,YEARFRAC(MAX($P$34*($B195+IF($R$17="Distrato",$I$38-1,0)),IF(AND($L$37=0,$P$34=0),"",$L$37-1),IF($R$17="Distrato",$E195,0)),MIN(AO$38,$D$19),$P$20))-SUM($P195:AN195)</f>
        <v>#VALUE!</v>
      </c>
      <c r="AP195" s="446" t="e">
        <f>IF(OR($B195="",MIN(AP$38,$D$19)&lt;MAX($P$34*($B195+IF($R$17="Distrato",$I$38-1,0)),IF(AND($L$37=0,$P$34=0),"",$L$37-1),IF($R$17="Distrato",$E195,0))),0,YEARFRAC(MAX($P$34*($B195+IF($R$17="Distrato",$I$38-1,0)),IF(AND($L$37=0,$P$34=0),"",$L$37-1),IF($R$17="Distrato",$E195,0)),MIN(AP$38,$D$19),$P$20))-SUM($P195:AO195)</f>
        <v>#VALUE!</v>
      </c>
      <c r="AQ195" s="446" t="e">
        <f>IF(OR($B195="",MIN(AQ$38,$D$19)&lt;MAX($P$34*($B195+IF($R$17="Distrato",$I$38-1,0)),IF(AND($L$37=0,$P$34=0),"",$L$37-1),IF($R$17="Distrato",$E195,0))),0,YEARFRAC(MAX($P$34*($B195+IF($R$17="Distrato",$I$38-1,0)),IF(AND($L$37=0,$P$34=0),"",$L$37-1),IF($R$17="Distrato",$E195,0)),MIN(AQ$38,$D$19),$P$20))-SUM($P195:AP195)</f>
        <v>#VALUE!</v>
      </c>
      <c r="AR195" s="446" t="e">
        <f>IF(OR($B195="",MIN(AR$38,$D$19)&lt;MAX($P$34*($B195+IF($R$17="Distrato",$I$38-1,0)),IF(AND($L$37=0,$P$34=0),"",$L$37-1),IF($R$17="Distrato",$E195,0))),0,YEARFRAC(MAX($P$34*($B195+IF($R$17="Distrato",$I$38-1,0)),IF(AND($L$37=0,$P$34=0),"",$L$37-1),IF($R$17="Distrato",$E195,0)),MIN(AR$38,$D$19),$P$20))-SUM($P195:AQ195)</f>
        <v>#VALUE!</v>
      </c>
      <c r="AS195" s="446" t="e">
        <f>IF(OR($B195="",MIN(AS$38,$D$19)&lt;MAX($P$34*($B195+IF($R$17="Distrato",$I$38-1,0)),IF(AND($L$37=0,$P$34=0),"",$L$37-1),IF($R$17="Distrato",$E195,0))),0,YEARFRAC(MAX($P$34*($B195+IF($R$17="Distrato",$I$38-1,0)),IF(AND($L$37=0,$P$34=0),"",$L$37-1),IF($R$17="Distrato",$E195,0)),MIN(AS$38,$D$19),$P$20))-SUM($P195:AR195)</f>
        <v>#VALUE!</v>
      </c>
      <c r="AT195" s="446" t="e">
        <f>IF(OR($B195="",MIN(AT$38,$D$19)&lt;MAX($P$34*($B195+IF($R$17="Distrato",$I$38-1,0)),IF(AND($L$37=0,$P$34=0),"",$L$37-1),IF($R$17="Distrato",$E195,0))),0,YEARFRAC(MAX($P$34*($B195+IF($R$17="Distrato",$I$38-1,0)),IF(AND($L$37=0,$P$34=0),"",$L$37-1),IF($R$17="Distrato",$E195,0)),MIN(AT$38,$D$19),$P$20))-SUM($P195:AS195)</f>
        <v>#VALUE!</v>
      </c>
      <c r="AU195" s="446" t="e">
        <f>IF(OR($B195="",MIN(AU$38,$D$19)&lt;MAX($P$34*($B195+IF($R$17="Distrato",$I$38-1,0)),IF(AND($L$37=0,$P$34=0),"",$L$37-1),IF($R$17="Distrato",$E195,0))),0,YEARFRAC(MAX($P$34*($B195+IF($R$17="Distrato",$I$38-1,0)),IF(AND($L$37=0,$P$34=0),"",$L$37-1),IF($R$17="Distrato",$E195,0)),MIN(AU$38,$D$19),$P$20))-SUM($P195:AT195)</f>
        <v>#VALUE!</v>
      </c>
      <c r="AV195" s="446" t="e">
        <f>IF(OR($B195="",MIN(AV$38,$D$19)&lt;MAX($P$34*($B195+IF($R$17="Distrato",$I$38-1,0)),IF(AND($L$37=0,$P$34=0),"",$L$37-1),IF($R$17="Distrato",$E195,0))),0,YEARFRAC(MAX($P$34*($B195+IF($R$17="Distrato",$I$38-1,0)),IF(AND($L$37=0,$P$34=0),"",$L$37-1),IF($R$17="Distrato",$E195,0)),MIN(AV$38,$D$19),$P$20))-SUM($P195:AU195)</f>
        <v>#VALUE!</v>
      </c>
      <c r="AW195" s="446" t="e">
        <f>IF(OR($B195="",MIN(AW$38,$D$19)&lt;MAX($P$34*($B195+IF($R$17="Distrato",$I$38-1,0)),IF(AND($L$37=0,$P$34=0),"",$L$37-1),IF($R$17="Distrato",$E195,0))),0,YEARFRAC(MAX($P$34*($B195+IF($R$17="Distrato",$I$38-1,0)),IF(AND($L$37=0,$P$34=0),"",$L$37-1),IF($R$17="Distrato",$E195,0)),MIN(AW$38,$D$19),$P$20))-SUM($P195:AV195)</f>
        <v>#VALUE!</v>
      </c>
      <c r="AX195" s="446" t="e">
        <f>IF(OR($B195="",MIN(AX$38,$D$19)&lt;MAX($P$34*($B195+IF($R$17="Distrato",$I$38-1,0)),IF(AND($L$37=0,$P$34=0),"",$L$37-1),IF($R$17="Distrato",$E195,0))),0,YEARFRAC(MAX($P$34*($B195+IF($R$17="Distrato",$I$38-1,0)),IF(AND($L$37=0,$P$34=0),"",$L$37-1),IF($R$17="Distrato",$E195,0)),MIN(AX$38,$D$19),$P$20))-SUM($P195:AW195)</f>
        <v>#VALUE!</v>
      </c>
      <c r="AY195" s="446" t="e">
        <f>IF(OR($B195="",MIN(AY$38,$D$19)&lt;MAX($P$34*($B195+IF($R$17="Distrato",$I$38-1,0)),IF(AND($L$37=0,$P$34=0),"",$L$37-1),IF($R$17="Distrato",$E195,0))),0,YEARFRAC(MAX($P$34*($B195+IF($R$17="Distrato",$I$38-1,0)),IF(AND($L$37=0,$P$34=0),"",$L$37-1),IF($R$17="Distrato",$E195,0)),MIN(AY$38,$D$19),$P$20))-SUM($P195:AX195)</f>
        <v>#VALUE!</v>
      </c>
      <c r="AZ195" s="446" t="e">
        <f>IF(OR($B195="",MIN(AZ$38,$D$19)&lt;MAX($P$34*($B195+IF($R$17="Distrato",$I$38-1,0)),IF(AND($L$37=0,$P$34=0),"",$L$37-1),IF($R$17="Distrato",$E195,0))),0,YEARFRAC(MAX($P$34*($B195+IF($R$17="Distrato",$I$38-1,0)),IF(AND($L$37=0,$P$34=0),"",$L$37-1),IF($R$17="Distrato",$E195,0)),MIN(AZ$38,$D$19),$P$20))-SUM($P195:AY195)</f>
        <v>#VALUE!</v>
      </c>
      <c r="BA195" s="446" t="e">
        <f>IF(OR($B195="",MIN(BA$38,$D$19)&lt;MAX($P$34*($B195+IF($R$17="Distrato",$I$38-1,0)),IF(AND($L$37=0,$P$34=0),"",$L$37-1),IF($R$17="Distrato",$E195,0))),0,YEARFRAC(MAX($P$34*($B195+IF($R$17="Distrato",$I$38-1,0)),IF(AND($L$37=0,$P$34=0),"",$L$37-1),IF($R$17="Distrato",$E195,0)),MIN(BA$38,$D$19),$P$20))-SUM($P195:AZ195)</f>
        <v>#VALUE!</v>
      </c>
      <c r="BB195" s="447"/>
      <c r="BF195" s="446">
        <f t="shared" si="32"/>
        <v>0</v>
      </c>
      <c r="BG195" s="446">
        <f>IF($E195=0,0,IF(MIN(BG$38,$E195)&lt;MAX($P$34*($B195+$I$38-1),IF(AND($L$37=0,$P$34=0),"",$L$37-1)),0,YEARFRAC(MAX($P$34*($B195+$I$38-1),IF(AND($L$37=0,$P$34=0),"",$L$37-1)),MIN(BG$38,$E195),$P$20))-SUM($BF195:BF195))</f>
        <v>0</v>
      </c>
      <c r="BH195" s="446">
        <f>IF($E195=0,0,IF(MIN(BH$38,$E195)&lt;MAX($P$34*($B195+$I$38-1),IF(AND($L$37=0,$P$34=0),"",$L$37-1)),0,YEARFRAC(MAX($P$34*($B195+$I$38-1),IF(AND($L$37=0,$P$34=0),"",$L$37-1)),MIN(BH$38,$E195),$P$20))-SUM($BF195:BG195))</f>
        <v>0</v>
      </c>
      <c r="BI195" s="446">
        <f>IF($E195=0,0,IF(MIN(BI$38,$E195)&lt;MAX($P$34*($B195+$I$38-1),IF(AND($L$37=0,$P$34=0),"",$L$37-1)),0,YEARFRAC(MAX($P$34*($B195+$I$38-1),IF(AND($L$37=0,$P$34=0),"",$L$37-1)),MIN(BI$38,$E195),$P$20))-SUM($BF195:BH195))</f>
        <v>0</v>
      </c>
      <c r="BJ195" s="446">
        <f>IF($E195=0,0,IF(MIN(BJ$38,$E195)&lt;MAX($P$34*($B195+$I$38-1),IF(AND($L$37=0,$P$34=0),"",$L$37-1)),0,YEARFRAC(MAX($P$34*($B195+$I$38-1),IF(AND($L$37=0,$P$34=0),"",$L$37-1)),MIN(BJ$38,$E195),$P$20))-SUM($BF195:BI195))</f>
        <v>0</v>
      </c>
      <c r="BK195" s="446">
        <f>IF($E195=0,0,IF(MIN(BK$38,$E195)&lt;MAX($P$34*($B195+$I$38-1),IF(AND($L$37=0,$P$34=0),"",$L$37-1)),0,YEARFRAC(MAX($P$34*($B195+$I$38-1),IF(AND($L$37=0,$P$34=0),"",$L$37-1)),MIN(BK$38,$E195),$P$20))-SUM($BF195:BJ195))</f>
        <v>0</v>
      </c>
      <c r="BL195" s="446">
        <f>IF($E195=0,0,IF(MIN(BL$38,$E195)&lt;MAX($P$34*($B195+$I$38-1),IF(AND($L$37=0,$P$34=0),"",$L$37-1)),0,YEARFRAC(MAX($P$34*($B195+$I$38-1),IF(AND($L$37=0,$P$34=0),"",$L$37-1)),MIN(BL$38,$E195),$P$20))-SUM($BF195:BK195))</f>
        <v>0</v>
      </c>
      <c r="BM195" s="446">
        <f>IF($E195=0,0,IF(MIN(BM$38,$E195)&lt;MAX($P$34*($B195+$I$38-1),IF(AND($L$37=0,$P$34=0),"",$L$37-1)),0,YEARFRAC(MAX($P$34*($B195+$I$38-1),IF(AND($L$37=0,$P$34=0),"",$L$37-1)),MIN(BM$38,$E195),$P$20))-SUM($BF195:BL195))</f>
        <v>0</v>
      </c>
      <c r="BN195" s="446">
        <f>IF($E195=0,0,IF(MIN(BN$38,$E195)&lt;MAX($P$34*($B195+$I$38-1),IF(AND($L$37=0,$P$34=0),"",$L$37-1)),0,YEARFRAC(MAX($P$34*($B195+$I$38-1),IF(AND($L$37=0,$P$34=0),"",$L$37-1)),MIN(BN$38,$E195),$P$20))-SUM($BF195:BM195))</f>
        <v>0</v>
      </c>
      <c r="BO195" s="446">
        <f>IF($E195=0,0,IF(MIN(BO$38,$E195)&lt;MAX($P$34*($B195+$I$38-1),IF(AND($L$37=0,$P$34=0),"",$L$37-1)),0,YEARFRAC(MAX($P$34*($B195+$I$38-1),IF(AND($L$37=0,$P$34=0),"",$L$37-1)),MIN(BO$38,$E195),$P$20))-SUM($BF195:BN195))</f>
        <v>0</v>
      </c>
      <c r="BP195" s="446">
        <f>IF($E195=0,0,IF(MIN(BP$38,$E195)&lt;MAX($P$34*($B195+$I$38-1),IF(AND($L$37=0,$P$34=0),"",$L$37-1)),0,YEARFRAC(MAX($P$34*($B195+$I$38-1),IF(AND($L$37=0,$P$34=0),"",$L$37-1)),MIN(BP$38,$E195),$P$20))-SUM($BF195:BO195))</f>
        <v>0</v>
      </c>
      <c r="BQ195" s="446">
        <f>IF($E195=0,0,IF(MIN(BQ$38,$E195)&lt;MAX($P$34*($B195+$I$38-1),IF(AND($L$37=0,$P$34=0),"",$L$37-1)),0,YEARFRAC(MAX($P$34*($B195+$I$38-1),IF(AND($L$37=0,$P$34=0),"",$L$37-1)),MIN(BQ$38,$E195),$P$20))-SUM($BF195:BP195))</f>
        <v>0</v>
      </c>
      <c r="BR195" s="446">
        <f>IF($E195=0,0,IF(MIN(BR$38,$E195)&lt;MAX($P$34*($B195+$I$38-1),IF(AND($L$37=0,$P$34=0),"",$L$37-1)),0,YEARFRAC(MAX($P$34*($B195+$I$38-1),IF(AND($L$37=0,$P$34=0),"",$L$37-1)),MIN(BR$38,$E195),$P$20))-SUM($BF195:BQ195))</f>
        <v>0</v>
      </c>
      <c r="BS195" s="446">
        <f>IF($E195=0,0,IF(MIN(BS$38,$E195)&lt;MAX($P$34*($B195+$I$38-1),IF(AND($L$37=0,$P$34=0),"",$L$37-1)),0,YEARFRAC(MAX($P$34*($B195+$I$38-1),IF(AND($L$37=0,$P$34=0),"",$L$37-1)),MIN(BS$38,$E195),$P$20))-SUM($BF195:BR195))</f>
        <v>0</v>
      </c>
      <c r="BT195" s="446">
        <f>IF($E195=0,0,IF(MIN(BT$38,$E195)&lt;MAX($P$34*($B195+$I$38-1),IF(AND($L$37=0,$P$34=0),"",$L$37-1)),0,YEARFRAC(MAX($P$34*($B195+$I$38-1),IF(AND($L$37=0,$P$34=0),"",$L$37-1)),MIN(BT$38,$E195),$P$20))-SUM($BF195:BS195))</f>
        <v>0</v>
      </c>
      <c r="BU195" s="446">
        <f>IF($E195=0,0,IF(MIN(BU$38,$E195)&lt;MAX($P$34*($B195+$I$38-1),IF(AND($L$37=0,$P$34=0),"",$L$37-1)),0,YEARFRAC(MAX($P$34*($B195+$I$38-1),IF(AND($L$37=0,$P$34=0),"",$L$37-1)),MIN(BU$38,$E195),$P$20))-SUM($BF195:BT195))</f>
        <v>0</v>
      </c>
      <c r="BV195" s="446">
        <f>IF($E195=0,0,IF(MIN(BV$38,$E195)&lt;MAX($P$34*($B195+$I$38-1),IF(AND($L$37=0,$P$34=0),"",$L$37-1)),0,YEARFRAC(MAX($P$34*($B195+$I$38-1),IF(AND($L$37=0,$P$34=0),"",$L$37-1)),MIN(BV$38,$E195),$P$20))-SUM($BF195:BU195))</f>
        <v>0</v>
      </c>
      <c r="BW195" s="446">
        <f>IF($E195=0,0,IF(MIN(BW$38,$E195)&lt;MAX($P$34*($B195+$I$38-1),IF(AND($L$37=0,$P$34=0),"",$L$37-1)),0,YEARFRAC(MAX($P$34*($B195+$I$38-1),IF(AND($L$37=0,$P$34=0),"",$L$37-1)),MIN(BW$38,$E195),$P$20))-SUM($BF195:BV195))</f>
        <v>0</v>
      </c>
      <c r="BX195" s="446">
        <f>IF($E195=0,0,IF(MIN(BX$38,$E195)&lt;MAX($P$34*($B195+$I$38-1),IF(AND($L$37=0,$P$34=0),"",$L$37-1)),0,YEARFRAC(MAX($P$34*($B195+$I$38-1),IF(AND($L$37=0,$P$34=0),"",$L$37-1)),MIN(BX$38,$E195),$P$20))-SUM($BF195:BW195))</f>
        <v>0</v>
      </c>
      <c r="BY195" s="446">
        <f>IF($E195=0,0,IF(MIN(BY$38,$E195)&lt;MAX($P$34*($B195+$I$38-1),IF(AND($L$37=0,$P$34=0),"",$L$37-1)),0,YEARFRAC(MAX($P$34*($B195+$I$38-1),IF(AND($L$37=0,$P$34=0),"",$L$37-1)),MIN(BY$38,$E195),$P$20))-SUM($BF195:BX195))</f>
        <v>0</v>
      </c>
      <c r="BZ195" s="446">
        <f>IF($E195=0,0,IF(MIN(BZ$38,$E195)&lt;MAX($P$34*($B195+$I$38-1),IF(AND($L$37=0,$P$34=0),"",$L$37-1)),0,YEARFRAC(MAX($P$34*($B195+$I$38-1),IF(AND($L$37=0,$P$34=0),"",$L$37-1)),MIN(BZ$38,$E195),$P$20))-SUM($BF195:BY195))</f>
        <v>0</v>
      </c>
      <c r="CA195" s="446">
        <f>IF($E195=0,0,IF(MIN(CA$38,$E195)&lt;MAX($P$34*($B195+$I$38-1),IF(AND($L$37=0,$P$34=0),"",$L$37-1)),0,YEARFRAC(MAX($P$34*($B195+$I$38-1),IF(AND($L$37=0,$P$34=0),"",$L$37-1)),MIN(CA$38,$E195),$P$20))-SUM($BF195:BZ195))</f>
        <v>0</v>
      </c>
      <c r="CB195" s="446">
        <f>IF($E195=0,0,IF(MIN(CB$38,$E195)&lt;MAX($P$34*($B195+$I$38-1),IF(AND($L$37=0,$P$34=0),"",$L$37-1)),0,YEARFRAC(MAX($P$34*($B195+$I$38-1),IF(AND($L$37=0,$P$34=0),"",$L$37-1)),MIN(CB$38,$E195),$P$20))-SUM($BF195:CA195))</f>
        <v>0</v>
      </c>
      <c r="CC195" s="446">
        <f>IF($E195=0,0,IF(MIN(CC$38,$E195)&lt;MAX($P$34*($B195+$I$38-1),IF(AND($L$37=0,$P$34=0),"",$L$37-1)),0,YEARFRAC(MAX($P$34*($B195+$I$38-1),IF(AND($L$37=0,$P$34=0),"",$L$37-1)),MIN(CC$38,$E195),$P$20))-SUM($BF195:CB195))</f>
        <v>0</v>
      </c>
      <c r="CD195" s="446">
        <f>IF($E195=0,0,IF(MIN(CD$38,$E195)&lt;MAX($P$34*($B195+$I$38-1),IF(AND($L$37=0,$P$34=0),"",$L$37-1)),0,YEARFRAC(MAX($P$34*($B195+$I$38-1),IF(AND($L$37=0,$P$34=0),"",$L$37-1)),MIN(CD$38,$E195),$P$20))-SUM($BF195:CC195))</f>
        <v>0</v>
      </c>
      <c r="CE195" s="446">
        <f>IF($E195=0,0,IF(MIN(CE$38,$E195)&lt;MAX($P$34*($B195+$I$38-1),IF(AND($L$37=0,$P$34=0),"",$L$37-1)),0,YEARFRAC(MAX($P$34*($B195+$I$38-1),IF(AND($L$37=0,$P$34=0),"",$L$37-1)),MIN(CE$38,$E195),$P$20))-SUM($BF195:CD195))</f>
        <v>0</v>
      </c>
      <c r="CF195" s="446">
        <f>IF($E195=0,0,IF(MIN(CF$38,$E195)&lt;MAX($P$34*($B195+$I$38-1),IF(AND($L$37=0,$P$34=0),"",$L$37-1)),0,YEARFRAC(MAX($P$34*($B195+$I$38-1),IF(AND($L$37=0,$P$34=0),"",$L$37-1)),MIN(CF$38,$E195),$P$20))-SUM($BF195:CE195))</f>
        <v>0</v>
      </c>
      <c r="CG195" s="446">
        <f>IF($E195=0,0,IF(MIN(CG$38,$E195)&lt;MAX($P$34*($B195+$I$38-1),IF(AND($L$37=0,$P$34=0),"",$L$37-1)),0,YEARFRAC(MAX($P$34*($B195+$I$38-1),IF(AND($L$37=0,$P$34=0),"",$L$37-1)),MIN(CG$38,$E195),$P$20))-SUM($BF195:CF195))</f>
        <v>0</v>
      </c>
      <c r="CH195" s="446">
        <f>IF($E195=0,0,IF(MIN(CH$38,$E195)&lt;MAX($P$34*($B195+$I$38-1),IF(AND($L$37=0,$P$34=0),"",$L$37-1)),0,YEARFRAC(MAX($P$34*($B195+$I$38-1),IF(AND($L$37=0,$P$34=0),"",$L$37-1)),MIN(CH$38,$E195),$P$20))-SUM($BF195:CG195))</f>
        <v>0</v>
      </c>
      <c r="CI195" s="446">
        <f>IF($E195=0,0,IF(MIN(CI$38,$E195)&lt;MAX($P$34*($B195+$I$38-1),IF(AND($L$37=0,$P$34=0),"",$L$37-1)),0,YEARFRAC(MAX($P$34*($B195+$I$38-1),IF(AND($L$37=0,$P$34=0),"",$L$37-1)),MIN(CI$38,$E195),$P$20))-SUM($BF195:CH195))</f>
        <v>0</v>
      </c>
      <c r="CJ195" s="446">
        <f>IF($E195=0,0,IF(MIN(CJ$38,$E195)&lt;MAX($P$34*($B195+$I$38-1),IF(AND($L$37=0,$P$34=0),"",$L$37-1)),0,YEARFRAC(MAX($P$34*($B195+$I$38-1),IF(AND($L$37=0,$P$34=0),"",$L$37-1)),MIN(CJ$38,$E195),$P$20))-SUM($BF195:CI195))</f>
        <v>0</v>
      </c>
      <c r="CK195" s="446">
        <f>IF($E195=0,0,IF(MIN(CK$38,$E195)&lt;MAX($P$34*($B195+$I$38-1),IF(AND($L$37=0,$P$34=0),"",$L$37-1)),0,YEARFRAC(MAX($P$34*($B195+$I$38-1),IF(AND($L$37=0,$P$34=0),"",$L$37-1)),MIN(CK$38,$E195),$P$20))-SUM($BF195:CJ195))</f>
        <v>0</v>
      </c>
      <c r="CL195" s="446">
        <f>IF($E195=0,0,IF(MIN(CL$38,$E195)&lt;MAX($P$34*($B195+$I$38-1),IF(AND($L$37=0,$P$34=0),"",$L$37-1)),0,YEARFRAC(MAX($P$34*($B195+$I$38-1),IF(AND($L$37=0,$P$34=0),"",$L$37-1)),MIN(CL$38,$E195),$P$20))-SUM($BF195:CK195))</f>
        <v>0</v>
      </c>
      <c r="CM195" s="446">
        <f>IF($E195=0,0,IF(MIN(CM$38,$E195)&lt;MAX($P$34*($B195+$I$38-1),IF(AND($L$37=0,$P$34=0),"",$L$37-1)),0,YEARFRAC(MAX($P$34*($B195+$I$38-1),IF(AND($L$37=0,$P$34=0),"",$L$37-1)),MIN(CM$38,$E195),$P$20))-SUM($BF195:CL195))</f>
        <v>0</v>
      </c>
      <c r="CN195" s="446">
        <f>IF($E195=0,0,IF(MIN(CN$38,$E195)&lt;MAX($P$34*($B195+$I$38-1),IF(AND($L$37=0,$P$34=0),"",$L$37-1)),0,YEARFRAC(MAX($P$34*($B195+$I$38-1),IF(AND($L$37=0,$P$34=0),"",$L$37-1)),MIN(CN$38,$E195),$P$20))-SUM($BF195:CM195))</f>
        <v>0</v>
      </c>
      <c r="CO195" s="446">
        <f>IF($E195=0,0,IF(MIN(CO$38,$E195)&lt;MAX($P$34*($B195+$I$38-1),IF(AND($L$37=0,$P$34=0),"",$L$37-1)),0,YEARFRAC(MAX($P$34*($B195+$I$38-1),IF(AND($L$37=0,$P$34=0),"",$L$37-1)),MIN(CO$38,$E195),$P$20))-SUM($BF195:CN195))</f>
        <v>0</v>
      </c>
      <c r="CP195" s="446">
        <f>IF($E195=0,0,IF(MIN(CP$38,$E195)&lt;MAX($P$34*($B195+$I$38-1),IF(AND($L$37=0,$P$34=0),"",$L$37-1)),0,YEARFRAC(MAX($P$34*($B195+$I$38-1),IF(AND($L$37=0,$P$34=0),"",$L$37-1)),MIN(CP$38,$E195),$P$20))-SUM($BF195:CO195))</f>
        <v>0</v>
      </c>
      <c r="CQ195" s="446">
        <f>IF($E195=0,0,IF(MIN(CQ$38,$E195)&lt;MAX($P$34*($B195+$I$38-1),IF(AND($L$37=0,$P$34=0),"",$L$37-1)),0,YEARFRAC(MAX($P$34*($B195+$I$38-1),IF(AND($L$37=0,$P$34=0),"",$L$37-1)),MIN(CQ$38,$E195),$P$20))-SUM($BF195:CP195))</f>
        <v>0</v>
      </c>
    </row>
    <row r="196" spans="1:95" s="446" customFormat="1" ht="11.25" hidden="1" customHeight="1" x14ac:dyDescent="0.2">
      <c r="A196" s="152"/>
      <c r="B196" s="153" t="str">
        <f t="shared" si="37"/>
        <v/>
      </c>
      <c r="C196" s="29" t="str">
        <f>IF(B196="","",IF($L$35="SELIC - TRIBUTOS",VLOOKUP(DATE(YEAR($D$19),MONTH($D$19)-1,1),ÍNDICES!$A:$DE,HLOOKUP($BL$25,ÍNDICES!$B$3:$T$4,2)+11)-VLOOKUP(B196,ÍNDICES!$A:$DE,HLOOKUP($BL$25,ÍNDICES!$B$3:$T$4,2)+11)+1%,IF(C$38=$W$26,$J$35,IF(ISERROR(IF(B196&gt;$D$19,1,VLOOKUP(DATE(YEAR(B196),MONTH(B196)+IF($C$35=$S$23,1,0),1),ÍNDICES!$A:$DE,$Z$35+1))),"",IF(B196&gt;$D$19,1,VLOOKUP(DATE(YEAR(B196),MONTH(B196)+IF($C$35=$S$23,1,0),1),ÍNDICES!$A:$DE,$Z$35+1))))))</f>
        <v/>
      </c>
      <c r="D196" s="154" t="str">
        <f>IF(ISERROR(IF(OR($D$38=$Y$27,$B196=""),"",VLOOKUP(B196,ÍNDICES!A:DE,AF$35+1))),"",IF(OR($D$38=$Y$27,$B196=""),"",VLOOKUP(B196,ÍNDICES!A:DE,AF$35+1)))</f>
        <v/>
      </c>
      <c r="E196" s="153"/>
      <c r="F196" s="29" t="str">
        <f>IF(E196="","",IF($L$35="SELIC - TRIBUTOS",VLOOKUP(DATE(YEAR($D$19),MONTH($D$19)-1,1),ÍNDICES!$A:$DE,HLOOKUP($BL$25,ÍNDICES!$B$3:$T$4,2)+11)-VLOOKUP(E196,ÍNDICES!$A:$DE,HLOOKUP($BL$25,ÍNDICES!$B$3:$T$4,2)+11)+1%,IF(F$38=$W$26,$J$35,IF(ISERROR(IF(E196&gt;$D$19,1,VLOOKUP(DATE(YEAR(E196),MONTH(E196)+IF($C$35=$S$23,1,0),1),ÍNDICES!$A:$DE,$Z$35+1))),"",IF(E196&gt;$D$19,1,VLOOKUP(DATE(YEAR(E196),MONTH(E196)+IF($C$35=$S$23,1,0),1),ÍNDICES!$A:$DE,$Z$35+1))))))</f>
        <v/>
      </c>
      <c r="G196" s="155"/>
      <c r="H196" s="156" t="str">
        <f t="shared" si="33"/>
        <v/>
      </c>
      <c r="I196" s="29" t="str">
        <f t="shared" si="27"/>
        <v/>
      </c>
      <c r="J196" s="5">
        <f t="shared" si="28"/>
        <v>0</v>
      </c>
      <c r="K196" s="20">
        <f t="shared" ca="1" si="29"/>
        <v>0</v>
      </c>
      <c r="L196" s="5">
        <f t="shared" ca="1" si="30"/>
        <v>0</v>
      </c>
      <c r="M196" s="64">
        <f t="shared" si="34"/>
        <v>0</v>
      </c>
      <c r="N196" s="61">
        <f t="shared" ca="1" si="35"/>
        <v>0</v>
      </c>
      <c r="O196" s="5">
        <f t="shared" ca="1" si="36"/>
        <v>0</v>
      </c>
      <c r="P196" s="446" t="e">
        <f t="shared" si="31"/>
        <v>#VALUE!</v>
      </c>
      <c r="Q196" s="446" t="e">
        <f>IF(OR($B196="",MIN(Q$38,$D$19)&lt;MAX($P$34*($B196+IF($R$17="Distrato",$I$38-1,0)),IF(AND($L$37=0,$P$34=0),"",$L$37-1),IF($R$17="Distrato",$E196,0))),0,YEARFRAC(MAX($P$34*($B196+IF($R$17="Distrato",$I$38-1,0)),IF(AND($L$37=0,$P$34=0),"",$L$37-1),IF($R$17="Distrato",$E196,0)),MIN(Q$38,$D$19),$P$20))-SUM($P196:P196)</f>
        <v>#VALUE!</v>
      </c>
      <c r="R196" s="446" t="e">
        <f>IF(OR($B196="",MIN(R$38,$D$19)&lt;MAX($P$34*($B196+IF($R$17="Distrato",$I$38-1,0)),IF(AND($L$37=0,$P$34=0),"",$L$37-1),IF($R$17="Distrato",$E196,0))),0,YEARFRAC(MAX($P$34*($B196+IF($R$17="Distrato",$I$38-1,0)),IF(AND($L$37=0,$P$34=0),"",$L$37-1),IF($R$17="Distrato",$E196,0)),MIN(R$38,$D$19),$P$20))-SUM($P196:Q196)</f>
        <v>#VALUE!</v>
      </c>
      <c r="S196" s="446" t="e">
        <f>IF(OR($B196="",MIN(S$38,$D$19)&lt;MAX($P$34*($B196+IF($R$17="Distrato",$I$38-1,0)),IF(AND($L$37=0,$P$34=0),"",$L$37-1),IF($R$17="Distrato",$E196,0))),0,YEARFRAC(MAX($P$34*($B196+IF($R$17="Distrato",$I$38-1,0)),IF(AND($L$37=0,$P$34=0),"",$L$37-1),IF($R$17="Distrato",$E196,0)),MIN(S$38,$D$19),$P$20))-SUM($P196:R196)</f>
        <v>#VALUE!</v>
      </c>
      <c r="T196" s="446" t="e">
        <f>IF(OR($B196="",MIN(T$38,$D$19)&lt;MAX($P$34*($B196+IF($R$17="Distrato",$I$38-1,0)),IF(AND($L$37=0,$P$34=0),"",$L$37-1),IF($R$17="Distrato",$E196,0))),0,YEARFRAC(MAX($P$34*($B196+IF($R$17="Distrato",$I$38-1,0)),IF(AND($L$37=0,$P$34=0),"",$L$37-1),IF($R$17="Distrato",$E196,0)),MIN(T$38,$D$19),$P$20))-SUM($P196:S196)</f>
        <v>#VALUE!</v>
      </c>
      <c r="U196" s="446" t="e">
        <f>IF(OR($B196="",MIN(U$38,$D$19)&lt;MAX($P$34*($B196+IF($R$17="Distrato",$I$38-1,0)),IF(AND($L$37=0,$P$34=0),"",$L$37-1),IF($R$17="Distrato",$E196,0))),0,YEARFRAC(MAX($P$34*($B196+IF($R$17="Distrato",$I$38-1,0)),IF(AND($L$37=0,$P$34=0),"",$L$37-1),IF($R$17="Distrato",$E196,0)),MIN(U$38,$D$19),$P$20))-SUM($P196:T196)</f>
        <v>#VALUE!</v>
      </c>
      <c r="V196" s="446" t="e">
        <f>IF(OR($B196="",MIN(V$38,$D$19)&lt;MAX($P$34*($B196+IF($R$17="Distrato",$I$38-1,0)),IF(AND($L$37=0,$P$34=0),"",$L$37-1),IF($R$17="Distrato",$E196,0))),0,YEARFRAC(MAX($P$34*($B196+IF($R$17="Distrato",$I$38-1,0)),IF(AND($L$37=0,$P$34=0),"",$L$37-1),IF($R$17="Distrato",$E196,0)),MIN(V$38,$D$19),$P$20))-SUM($P196:U196)</f>
        <v>#VALUE!</v>
      </c>
      <c r="W196" s="446" t="e">
        <f>IF(OR($B196="",MIN(W$38,$D$19)&lt;MAX($P$34*($B196+IF($R$17="Distrato",$I$38-1,0)),IF(AND($L$37=0,$P$34=0),"",$L$37-1),IF($R$17="Distrato",$E196,0))),0,YEARFRAC(MAX($P$34*($B196+IF($R$17="Distrato",$I$38-1,0)),IF(AND($L$37=0,$P$34=0),"",$L$37-1),IF($R$17="Distrato",$E196,0)),MIN(W$38,$D$19),$P$20))-SUM($P196:V196)</f>
        <v>#VALUE!</v>
      </c>
      <c r="X196" s="446" t="e">
        <f>IF(OR($B196="",MIN(X$38,$D$19)&lt;MAX($P$34*($B196+IF($R$17="Distrato",$I$38-1,0)),IF(AND($L$37=0,$P$34=0),"",$L$37-1),IF($R$17="Distrato",$E196,0))),0,YEARFRAC(MAX($P$34*($B196+IF($R$17="Distrato",$I$38-1,0)),IF(AND($L$37=0,$P$34=0),"",$L$37-1),IF($R$17="Distrato",$E196,0)),MIN(X$38,$D$19),$P$20))-SUM($P196:W196)</f>
        <v>#VALUE!</v>
      </c>
      <c r="Y196" s="446" t="e">
        <f>IF(OR($B196="",MIN(Y$38,$D$19)&lt;MAX($P$34*($B196+IF($R$17="Distrato",$I$38-1,0)),IF(AND($L$37=0,$P$34=0),"",$L$37-1),IF($R$17="Distrato",$E196,0))),0,YEARFRAC(MAX($P$34*($B196+IF($R$17="Distrato",$I$38-1,0)),IF(AND($L$37=0,$P$34=0),"",$L$37-1),IF($R$17="Distrato",$E196,0)),MIN(Y$38,$D$19),$P$20))-SUM($P196:X196)</f>
        <v>#VALUE!</v>
      </c>
      <c r="Z196" s="446" t="e">
        <f>IF(OR($B196="",MIN(Z$38,$D$19)&lt;MAX($P$34*($B196+IF($R$17="Distrato",$I$38-1,0)),IF(AND($L$37=0,$P$34=0),"",$L$37-1),IF($R$17="Distrato",$E196,0))),0,YEARFRAC(MAX($P$34*($B196+IF($R$17="Distrato",$I$38-1,0)),IF(AND($L$37=0,$P$34=0),"",$L$37-1),IF($R$17="Distrato",$E196,0)),MIN(Z$38,$D$19),$P$20))-SUM($P196:Y196)</f>
        <v>#VALUE!</v>
      </c>
      <c r="AA196" s="446" t="e">
        <f>IF(OR($B196="",MIN(AA$38,$D$19)&lt;MAX($P$34*($B196+IF($R$17="Distrato",$I$38-1,0)),IF(AND($L$37=0,$P$34=0),"",$L$37-1),IF($R$17="Distrato",$E196,0))),0,YEARFRAC(MAX($P$34*($B196+IF($R$17="Distrato",$I$38-1,0)),IF(AND($L$37=0,$P$34=0),"",$L$37-1),IF($R$17="Distrato",$E196,0)),MIN(AA$38,$D$19),$P$20))-SUM($P196:Z196)</f>
        <v>#VALUE!</v>
      </c>
      <c r="AB196" s="446" t="e">
        <f>IF(OR($B196="",MIN(AB$38,$D$19)&lt;MAX($P$34*($B196+IF($R$17="Distrato",$I$38-1,0)),IF(AND($L$37=0,$P$34=0),"",$L$37-1),IF($R$17="Distrato",$E196,0))),0,YEARFRAC(MAX($P$34*($B196+IF($R$17="Distrato",$I$38-1,0)),IF(AND($L$37=0,$P$34=0),"",$L$37-1),IF($R$17="Distrato",$E196,0)),MIN(AB$38,$D$19),$P$20))-SUM($P196:AA196)</f>
        <v>#VALUE!</v>
      </c>
      <c r="AC196" s="446" t="e">
        <f>IF(OR($B196="",MIN(AC$38,$D$19)&lt;MAX($P$34*($B196+IF($R$17="Distrato",$I$38-1,0)),IF(AND($L$37=0,$P$34=0),"",$L$37-1),IF($R$17="Distrato",$E196,0))),0,YEARFRAC(MAX($P$34*($B196+IF($R$17="Distrato",$I$38-1,0)),IF(AND($L$37=0,$P$34=0),"",$L$37-1),IF($R$17="Distrato",$E196,0)),MIN(AC$38,$D$19),$P$20))-SUM($P196:AB196)</f>
        <v>#VALUE!</v>
      </c>
      <c r="AD196" s="446" t="e">
        <f>IF(OR($B196="",MIN(AD$38,$D$19)&lt;MAX($P$34*($B196+IF($R$17="Distrato",$I$38-1,0)),IF(AND($L$37=0,$P$34=0),"",$L$37-1),IF($R$17="Distrato",$E196,0))),0,YEARFRAC(MAX($P$34*($B196+IF($R$17="Distrato",$I$38-1,0)),IF(AND($L$37=0,$P$34=0),"",$L$37-1),IF($R$17="Distrato",$E196,0)),MIN(AD$38,$D$19),$P$20))-SUM($P196:AC196)</f>
        <v>#VALUE!</v>
      </c>
      <c r="AE196" s="446" t="e">
        <f>IF(OR($B196="",MIN(AE$38,$D$19)&lt;MAX($P$34*($B196+IF($R$17="Distrato",$I$38-1,0)),IF(AND($L$37=0,$P$34=0),"",$L$37-1),IF($R$17="Distrato",$E196,0))),0,YEARFRAC(MAX($P$34*($B196+IF($R$17="Distrato",$I$38-1,0)),IF(AND($L$37=0,$P$34=0),"",$L$37-1),IF($R$17="Distrato",$E196,0)),MIN(AE$38,$D$19),$P$20))-SUM($P196:AD196)</f>
        <v>#VALUE!</v>
      </c>
      <c r="AF196" s="446" t="e">
        <f>IF(OR($B196="",MIN(AF$38,$D$19)&lt;MAX($P$34*($B196+IF($R$17="Distrato",$I$38-1,0)),IF(AND($L$37=0,$P$34=0),"",$L$37-1),IF($R$17="Distrato",$E196,0))),0,YEARFRAC(MAX($P$34*($B196+IF($R$17="Distrato",$I$38-1,0)),IF(AND($L$37=0,$P$34=0),"",$L$37-1),IF($R$17="Distrato",$E196,0)),MIN(AF$38,$D$19),$P$20))-SUM($P196:AE196)</f>
        <v>#VALUE!</v>
      </c>
      <c r="AG196" s="446" t="e">
        <f>IF(OR($B196="",MIN(AG$38,$D$19)&lt;MAX($P$34*($B196+IF($R$17="Distrato",$I$38-1,0)),IF(AND($L$37=0,$P$34=0),"",$L$37-1),IF($R$17="Distrato",$E196,0))),0,YEARFRAC(MAX($P$34*($B196+IF($R$17="Distrato",$I$38-1,0)),IF(AND($L$37=0,$P$34=0),"",$L$37-1),IF($R$17="Distrato",$E196,0)),MIN(AG$38,$D$19),$P$20))-SUM($P196:AF196)</f>
        <v>#VALUE!</v>
      </c>
      <c r="AH196" s="446" t="e">
        <f>IF(OR($B196="",MIN(AH$38,$D$19)&lt;MAX($P$34*($B196+IF($R$17="Distrato",$I$38-1,0)),IF(AND($L$37=0,$P$34=0),"",$L$37-1),IF($R$17="Distrato",$E196,0))),0,YEARFRAC(MAX($P$34*($B196+IF($R$17="Distrato",$I$38-1,0)),IF(AND($L$37=0,$P$34=0),"",$L$37-1),IF($R$17="Distrato",$E196,0)),MIN(AH$38,$D$19),$P$20))-SUM($P196:AG196)</f>
        <v>#VALUE!</v>
      </c>
      <c r="AI196" s="446" t="e">
        <f>IF(OR($B196="",MIN(AI$38,$D$19)&lt;MAX($P$34*($B196+IF($R$17="Distrato",$I$38-1,0)),IF(AND($L$37=0,$P$34=0),"",$L$37-1),IF($R$17="Distrato",$E196,0))),0,YEARFRAC(MAX($P$34*($B196+IF($R$17="Distrato",$I$38-1,0)),IF(AND($L$37=0,$P$34=0),"",$L$37-1),IF($R$17="Distrato",$E196,0)),MIN(AI$38,$D$19),$P$20))-SUM($P196:AH196)</f>
        <v>#VALUE!</v>
      </c>
      <c r="AJ196" s="446" t="e">
        <f>IF(OR($B196="",MIN(AJ$38,$D$19)&lt;MAX($P$34*($B196+IF($R$17="Distrato",$I$38-1,0)),IF(AND($L$37=0,$P$34=0),"",$L$37-1),IF($R$17="Distrato",$E196,0))),0,YEARFRAC(MAX($P$34*($B196+IF($R$17="Distrato",$I$38-1,0)),IF(AND($L$37=0,$P$34=0),"",$L$37-1),IF($R$17="Distrato",$E196,0)),MIN(AJ$38,$D$19),$P$20))-SUM($P196:AI196)</f>
        <v>#VALUE!</v>
      </c>
      <c r="AK196" s="446" t="e">
        <f>IF(OR($B196="",MIN(AK$38,$D$19)&lt;MAX($P$34*($B196+IF($R$17="Distrato",$I$38-1,0)),IF(AND($L$37=0,$P$34=0),"",$L$37-1),IF($R$17="Distrato",$E196,0))),0,YEARFRAC(MAX($P$34*($B196+IF($R$17="Distrato",$I$38-1,0)),IF(AND($L$37=0,$P$34=0),"",$L$37-1),IF($R$17="Distrato",$E196,0)),MIN(AK$38,$D$19),$P$20))-SUM($P196:AJ196)</f>
        <v>#VALUE!</v>
      </c>
      <c r="AL196" s="446" t="e">
        <f>IF(OR($B196="",MIN(AL$38,$D$19)&lt;MAX($P$34*($B196+IF($R$17="Distrato",$I$38-1,0)),IF(AND($L$37=0,$P$34=0),"",$L$37-1),IF($R$17="Distrato",$E196,0))),0,YEARFRAC(MAX($P$34*($B196+IF($R$17="Distrato",$I$38-1,0)),IF(AND($L$37=0,$P$34=0),"",$L$37-1),IF($R$17="Distrato",$E196,0)),MIN(AL$38,$D$19),$P$20))-SUM($P196:AK196)</f>
        <v>#VALUE!</v>
      </c>
      <c r="AM196" s="446" t="e">
        <f>IF(OR($B196="",MIN(AM$38,$D$19)&lt;MAX($P$34*($B196+IF($R$17="Distrato",$I$38-1,0)),IF(AND($L$37=0,$P$34=0),"",$L$37-1),IF($R$17="Distrato",$E196,0))),0,YEARFRAC(MAX($P$34*($B196+IF($R$17="Distrato",$I$38-1,0)),IF(AND($L$37=0,$P$34=0),"",$L$37-1),IF($R$17="Distrato",$E196,0)),MIN(AM$38,$D$19),$P$20))-SUM($P196:AL196)</f>
        <v>#VALUE!</v>
      </c>
      <c r="AN196" s="446" t="e">
        <f>IF(OR($B196="",MIN(AN$38,$D$19)&lt;MAX($P$34*($B196+IF($R$17="Distrato",$I$38-1,0)),IF(AND($L$37=0,$P$34=0),"",$L$37-1),IF($R$17="Distrato",$E196,0))),0,YEARFRAC(MAX($P$34*($B196+IF($R$17="Distrato",$I$38-1,0)),IF(AND($L$37=0,$P$34=0),"",$L$37-1),IF($R$17="Distrato",$E196,0)),MIN(AN$38,$D$19),$P$20))-SUM($P196:AM196)</f>
        <v>#VALUE!</v>
      </c>
      <c r="AO196" s="446" t="e">
        <f>IF(OR($B196="",MIN(AO$38,$D$19)&lt;MAX($P$34*($B196+IF($R$17="Distrato",$I$38-1,0)),IF(AND($L$37=0,$P$34=0),"",$L$37-1),IF($R$17="Distrato",$E196,0))),0,YEARFRAC(MAX($P$34*($B196+IF($R$17="Distrato",$I$38-1,0)),IF(AND($L$37=0,$P$34=0),"",$L$37-1),IF($R$17="Distrato",$E196,0)),MIN(AO$38,$D$19),$P$20))-SUM($P196:AN196)</f>
        <v>#VALUE!</v>
      </c>
      <c r="AP196" s="446" t="e">
        <f>IF(OR($B196="",MIN(AP$38,$D$19)&lt;MAX($P$34*($B196+IF($R$17="Distrato",$I$38-1,0)),IF(AND($L$37=0,$P$34=0),"",$L$37-1),IF($R$17="Distrato",$E196,0))),0,YEARFRAC(MAX($P$34*($B196+IF($R$17="Distrato",$I$38-1,0)),IF(AND($L$37=0,$P$34=0),"",$L$37-1),IF($R$17="Distrato",$E196,0)),MIN(AP$38,$D$19),$P$20))-SUM($P196:AO196)</f>
        <v>#VALUE!</v>
      </c>
      <c r="AQ196" s="446" t="e">
        <f>IF(OR($B196="",MIN(AQ$38,$D$19)&lt;MAX($P$34*($B196+IF($R$17="Distrato",$I$38-1,0)),IF(AND($L$37=0,$P$34=0),"",$L$37-1),IF($R$17="Distrato",$E196,0))),0,YEARFRAC(MAX($P$34*($B196+IF($R$17="Distrato",$I$38-1,0)),IF(AND($L$37=0,$P$34=0),"",$L$37-1),IF($R$17="Distrato",$E196,0)),MIN(AQ$38,$D$19),$P$20))-SUM($P196:AP196)</f>
        <v>#VALUE!</v>
      </c>
      <c r="AR196" s="446" t="e">
        <f>IF(OR($B196="",MIN(AR$38,$D$19)&lt;MAX($P$34*($B196+IF($R$17="Distrato",$I$38-1,0)),IF(AND($L$37=0,$P$34=0),"",$L$37-1),IF($R$17="Distrato",$E196,0))),0,YEARFRAC(MAX($P$34*($B196+IF($R$17="Distrato",$I$38-1,0)),IF(AND($L$37=0,$P$34=0),"",$L$37-1),IF($R$17="Distrato",$E196,0)),MIN(AR$38,$D$19),$P$20))-SUM($P196:AQ196)</f>
        <v>#VALUE!</v>
      </c>
      <c r="AS196" s="446" t="e">
        <f>IF(OR($B196="",MIN(AS$38,$D$19)&lt;MAX($P$34*($B196+IF($R$17="Distrato",$I$38-1,0)),IF(AND($L$37=0,$P$34=0),"",$L$37-1),IF($R$17="Distrato",$E196,0))),0,YEARFRAC(MAX($P$34*($B196+IF($R$17="Distrato",$I$38-1,0)),IF(AND($L$37=0,$P$34=0),"",$L$37-1),IF($R$17="Distrato",$E196,0)),MIN(AS$38,$D$19),$P$20))-SUM($P196:AR196)</f>
        <v>#VALUE!</v>
      </c>
      <c r="AT196" s="446" t="e">
        <f>IF(OR($B196="",MIN(AT$38,$D$19)&lt;MAX($P$34*($B196+IF($R$17="Distrato",$I$38-1,0)),IF(AND($L$37=0,$P$34=0),"",$L$37-1),IF($R$17="Distrato",$E196,0))),0,YEARFRAC(MAX($P$34*($B196+IF($R$17="Distrato",$I$38-1,0)),IF(AND($L$37=0,$P$34=0),"",$L$37-1),IF($R$17="Distrato",$E196,0)),MIN(AT$38,$D$19),$P$20))-SUM($P196:AS196)</f>
        <v>#VALUE!</v>
      </c>
      <c r="AU196" s="446" t="e">
        <f>IF(OR($B196="",MIN(AU$38,$D$19)&lt;MAX($P$34*($B196+IF($R$17="Distrato",$I$38-1,0)),IF(AND($L$37=0,$P$34=0),"",$L$37-1),IF($R$17="Distrato",$E196,0))),0,YEARFRAC(MAX($P$34*($B196+IF($R$17="Distrato",$I$38-1,0)),IF(AND($L$37=0,$P$34=0),"",$L$37-1),IF($R$17="Distrato",$E196,0)),MIN(AU$38,$D$19),$P$20))-SUM($P196:AT196)</f>
        <v>#VALUE!</v>
      </c>
      <c r="AV196" s="446" t="e">
        <f>IF(OR($B196="",MIN(AV$38,$D$19)&lt;MAX($P$34*($B196+IF($R$17="Distrato",$I$38-1,0)),IF(AND($L$37=0,$P$34=0),"",$L$37-1),IF($R$17="Distrato",$E196,0))),0,YEARFRAC(MAX($P$34*($B196+IF($R$17="Distrato",$I$38-1,0)),IF(AND($L$37=0,$P$34=0),"",$L$37-1),IF($R$17="Distrato",$E196,0)),MIN(AV$38,$D$19),$P$20))-SUM($P196:AU196)</f>
        <v>#VALUE!</v>
      </c>
      <c r="AW196" s="446" t="e">
        <f>IF(OR($B196="",MIN(AW$38,$D$19)&lt;MAX($P$34*($B196+IF($R$17="Distrato",$I$38-1,0)),IF(AND($L$37=0,$P$34=0),"",$L$37-1),IF($R$17="Distrato",$E196,0))),0,YEARFRAC(MAX($P$34*($B196+IF($R$17="Distrato",$I$38-1,0)),IF(AND($L$37=0,$P$34=0),"",$L$37-1),IF($R$17="Distrato",$E196,0)),MIN(AW$38,$D$19),$P$20))-SUM($P196:AV196)</f>
        <v>#VALUE!</v>
      </c>
      <c r="AX196" s="446" t="e">
        <f>IF(OR($B196="",MIN(AX$38,$D$19)&lt;MAX($P$34*($B196+IF($R$17="Distrato",$I$38-1,0)),IF(AND($L$37=0,$P$34=0),"",$L$37-1),IF($R$17="Distrato",$E196,0))),0,YEARFRAC(MAX($P$34*($B196+IF($R$17="Distrato",$I$38-1,0)),IF(AND($L$37=0,$P$34=0),"",$L$37-1),IF($R$17="Distrato",$E196,0)),MIN(AX$38,$D$19),$P$20))-SUM($P196:AW196)</f>
        <v>#VALUE!</v>
      </c>
      <c r="AY196" s="446" t="e">
        <f>IF(OR($B196="",MIN(AY$38,$D$19)&lt;MAX($P$34*($B196+IF($R$17="Distrato",$I$38-1,0)),IF(AND($L$37=0,$P$34=0),"",$L$37-1),IF($R$17="Distrato",$E196,0))),0,YEARFRAC(MAX($P$34*($B196+IF($R$17="Distrato",$I$38-1,0)),IF(AND($L$37=0,$P$34=0),"",$L$37-1),IF($R$17="Distrato",$E196,0)),MIN(AY$38,$D$19),$P$20))-SUM($P196:AX196)</f>
        <v>#VALUE!</v>
      </c>
      <c r="AZ196" s="446" t="e">
        <f>IF(OR($B196="",MIN(AZ$38,$D$19)&lt;MAX($P$34*($B196+IF($R$17="Distrato",$I$38-1,0)),IF(AND($L$37=0,$P$34=0),"",$L$37-1),IF($R$17="Distrato",$E196,0))),0,YEARFRAC(MAX($P$34*($B196+IF($R$17="Distrato",$I$38-1,0)),IF(AND($L$37=0,$P$34=0),"",$L$37-1),IF($R$17="Distrato",$E196,0)),MIN(AZ$38,$D$19),$P$20))-SUM($P196:AY196)</f>
        <v>#VALUE!</v>
      </c>
      <c r="BA196" s="446" t="e">
        <f>IF(OR($B196="",MIN(BA$38,$D$19)&lt;MAX($P$34*($B196+IF($R$17="Distrato",$I$38-1,0)),IF(AND($L$37=0,$P$34=0),"",$L$37-1),IF($R$17="Distrato",$E196,0))),0,YEARFRAC(MAX($P$34*($B196+IF($R$17="Distrato",$I$38-1,0)),IF(AND($L$37=0,$P$34=0),"",$L$37-1),IF($R$17="Distrato",$E196,0)),MIN(BA$38,$D$19),$P$20))-SUM($P196:AZ196)</f>
        <v>#VALUE!</v>
      </c>
      <c r="BB196" s="447"/>
      <c r="BF196" s="446">
        <f t="shared" si="32"/>
        <v>0</v>
      </c>
      <c r="BG196" s="446">
        <f>IF($E196=0,0,IF(MIN(BG$38,$E196)&lt;MAX($P$34*($B196+$I$38-1),IF(AND($L$37=0,$P$34=0),"",$L$37-1)),0,YEARFRAC(MAX($P$34*($B196+$I$38-1),IF(AND($L$37=0,$P$34=0),"",$L$37-1)),MIN(BG$38,$E196),$P$20))-SUM($BF196:BF196))</f>
        <v>0</v>
      </c>
      <c r="BH196" s="446">
        <f>IF($E196=0,0,IF(MIN(BH$38,$E196)&lt;MAX($P$34*($B196+$I$38-1),IF(AND($L$37=0,$P$34=0),"",$L$37-1)),0,YEARFRAC(MAX($P$34*($B196+$I$38-1),IF(AND($L$37=0,$P$34=0),"",$L$37-1)),MIN(BH$38,$E196),$P$20))-SUM($BF196:BG196))</f>
        <v>0</v>
      </c>
      <c r="BI196" s="446">
        <f>IF($E196=0,0,IF(MIN(BI$38,$E196)&lt;MAX($P$34*($B196+$I$38-1),IF(AND($L$37=0,$P$34=0),"",$L$37-1)),0,YEARFRAC(MAX($P$34*($B196+$I$38-1),IF(AND($L$37=0,$P$34=0),"",$L$37-1)),MIN(BI$38,$E196),$P$20))-SUM($BF196:BH196))</f>
        <v>0</v>
      </c>
      <c r="BJ196" s="446">
        <f>IF($E196=0,0,IF(MIN(BJ$38,$E196)&lt;MAX($P$34*($B196+$I$38-1),IF(AND($L$37=0,$P$34=0),"",$L$37-1)),0,YEARFRAC(MAX($P$34*($B196+$I$38-1),IF(AND($L$37=0,$P$34=0),"",$L$37-1)),MIN(BJ$38,$E196),$P$20))-SUM($BF196:BI196))</f>
        <v>0</v>
      </c>
      <c r="BK196" s="446">
        <f>IF($E196=0,0,IF(MIN(BK$38,$E196)&lt;MAX($P$34*($B196+$I$38-1),IF(AND($L$37=0,$P$34=0),"",$L$37-1)),0,YEARFRAC(MAX($P$34*($B196+$I$38-1),IF(AND($L$37=0,$P$34=0),"",$L$37-1)),MIN(BK$38,$E196),$P$20))-SUM($BF196:BJ196))</f>
        <v>0</v>
      </c>
      <c r="BL196" s="446">
        <f>IF($E196=0,0,IF(MIN(BL$38,$E196)&lt;MAX($P$34*($B196+$I$38-1),IF(AND($L$37=0,$P$34=0),"",$L$37-1)),0,YEARFRAC(MAX($P$34*($B196+$I$38-1),IF(AND($L$37=0,$P$34=0),"",$L$37-1)),MIN(BL$38,$E196),$P$20))-SUM($BF196:BK196))</f>
        <v>0</v>
      </c>
      <c r="BM196" s="446">
        <f>IF($E196=0,0,IF(MIN(BM$38,$E196)&lt;MAX($P$34*($B196+$I$38-1),IF(AND($L$37=0,$P$34=0),"",$L$37-1)),0,YEARFRAC(MAX($P$34*($B196+$I$38-1),IF(AND($L$37=0,$P$34=0),"",$L$37-1)),MIN(BM$38,$E196),$P$20))-SUM($BF196:BL196))</f>
        <v>0</v>
      </c>
      <c r="BN196" s="446">
        <f>IF($E196=0,0,IF(MIN(BN$38,$E196)&lt;MAX($P$34*($B196+$I$38-1),IF(AND($L$37=0,$P$34=0),"",$L$37-1)),0,YEARFRAC(MAX($P$34*($B196+$I$38-1),IF(AND($L$37=0,$P$34=0),"",$L$37-1)),MIN(BN$38,$E196),$P$20))-SUM($BF196:BM196))</f>
        <v>0</v>
      </c>
      <c r="BO196" s="446">
        <f>IF($E196=0,0,IF(MIN(BO$38,$E196)&lt;MAX($P$34*($B196+$I$38-1),IF(AND($L$37=0,$P$34=0),"",$L$37-1)),0,YEARFRAC(MAX($P$34*($B196+$I$38-1),IF(AND($L$37=0,$P$34=0),"",$L$37-1)),MIN(BO$38,$E196),$P$20))-SUM($BF196:BN196))</f>
        <v>0</v>
      </c>
      <c r="BP196" s="446">
        <f>IF($E196=0,0,IF(MIN(BP$38,$E196)&lt;MAX($P$34*($B196+$I$38-1),IF(AND($L$37=0,$P$34=0),"",$L$37-1)),0,YEARFRAC(MAX($P$34*($B196+$I$38-1),IF(AND($L$37=0,$P$34=0),"",$L$37-1)),MIN(BP$38,$E196),$P$20))-SUM($BF196:BO196))</f>
        <v>0</v>
      </c>
      <c r="BQ196" s="446">
        <f>IF($E196=0,0,IF(MIN(BQ$38,$E196)&lt;MAX($P$34*($B196+$I$38-1),IF(AND($L$37=0,$P$34=0),"",$L$37-1)),0,YEARFRAC(MAX($P$34*($B196+$I$38-1),IF(AND($L$37=0,$P$34=0),"",$L$37-1)),MIN(BQ$38,$E196),$P$20))-SUM($BF196:BP196))</f>
        <v>0</v>
      </c>
      <c r="BR196" s="446">
        <f>IF($E196=0,0,IF(MIN(BR$38,$E196)&lt;MAX($P$34*($B196+$I$38-1),IF(AND($L$37=0,$P$34=0),"",$L$37-1)),0,YEARFRAC(MAX($P$34*($B196+$I$38-1),IF(AND($L$37=0,$P$34=0),"",$L$37-1)),MIN(BR$38,$E196),$P$20))-SUM($BF196:BQ196))</f>
        <v>0</v>
      </c>
      <c r="BS196" s="446">
        <f>IF($E196=0,0,IF(MIN(BS$38,$E196)&lt;MAX($P$34*($B196+$I$38-1),IF(AND($L$37=0,$P$34=0),"",$L$37-1)),0,YEARFRAC(MAX($P$34*($B196+$I$38-1),IF(AND($L$37=0,$P$34=0),"",$L$37-1)),MIN(BS$38,$E196),$P$20))-SUM($BF196:BR196))</f>
        <v>0</v>
      </c>
      <c r="BT196" s="446">
        <f>IF($E196=0,0,IF(MIN(BT$38,$E196)&lt;MAX($P$34*($B196+$I$38-1),IF(AND($L$37=0,$P$34=0),"",$L$37-1)),0,YEARFRAC(MAX($P$34*($B196+$I$38-1),IF(AND($L$37=0,$P$34=0),"",$L$37-1)),MIN(BT$38,$E196),$P$20))-SUM($BF196:BS196))</f>
        <v>0</v>
      </c>
      <c r="BU196" s="446">
        <f>IF($E196=0,0,IF(MIN(BU$38,$E196)&lt;MAX($P$34*($B196+$I$38-1),IF(AND($L$37=0,$P$34=0),"",$L$37-1)),0,YEARFRAC(MAX($P$34*($B196+$I$38-1),IF(AND($L$37=0,$P$34=0),"",$L$37-1)),MIN(BU$38,$E196),$P$20))-SUM($BF196:BT196))</f>
        <v>0</v>
      </c>
      <c r="BV196" s="446">
        <f>IF($E196=0,0,IF(MIN(BV$38,$E196)&lt;MAX($P$34*($B196+$I$38-1),IF(AND($L$37=0,$P$34=0),"",$L$37-1)),0,YEARFRAC(MAX($P$34*($B196+$I$38-1),IF(AND($L$37=0,$P$34=0),"",$L$37-1)),MIN(BV$38,$E196),$P$20))-SUM($BF196:BU196))</f>
        <v>0</v>
      </c>
      <c r="BW196" s="446">
        <f>IF($E196=0,0,IF(MIN(BW$38,$E196)&lt;MAX($P$34*($B196+$I$38-1),IF(AND($L$37=0,$P$34=0),"",$L$37-1)),0,YEARFRAC(MAX($P$34*($B196+$I$38-1),IF(AND($L$37=0,$P$34=0),"",$L$37-1)),MIN(BW$38,$E196),$P$20))-SUM($BF196:BV196))</f>
        <v>0</v>
      </c>
      <c r="BX196" s="446">
        <f>IF($E196=0,0,IF(MIN(BX$38,$E196)&lt;MAX($P$34*($B196+$I$38-1),IF(AND($L$37=0,$P$34=0),"",$L$37-1)),0,YEARFRAC(MAX($P$34*($B196+$I$38-1),IF(AND($L$37=0,$P$34=0),"",$L$37-1)),MIN(BX$38,$E196),$P$20))-SUM($BF196:BW196))</f>
        <v>0</v>
      </c>
      <c r="BY196" s="446">
        <f>IF($E196=0,0,IF(MIN(BY$38,$E196)&lt;MAX($P$34*($B196+$I$38-1),IF(AND($L$37=0,$P$34=0),"",$L$37-1)),0,YEARFRAC(MAX($P$34*($B196+$I$38-1),IF(AND($L$37=0,$P$34=0),"",$L$37-1)),MIN(BY$38,$E196),$P$20))-SUM($BF196:BX196))</f>
        <v>0</v>
      </c>
      <c r="BZ196" s="446">
        <f>IF($E196=0,0,IF(MIN(BZ$38,$E196)&lt;MAX($P$34*($B196+$I$38-1),IF(AND($L$37=0,$P$34=0),"",$L$37-1)),0,YEARFRAC(MAX($P$34*($B196+$I$38-1),IF(AND($L$37=0,$P$34=0),"",$L$37-1)),MIN(BZ$38,$E196),$P$20))-SUM($BF196:BY196))</f>
        <v>0</v>
      </c>
      <c r="CA196" s="446">
        <f>IF($E196=0,0,IF(MIN(CA$38,$E196)&lt;MAX($P$34*($B196+$I$38-1),IF(AND($L$37=0,$P$34=0),"",$L$37-1)),0,YEARFRAC(MAX($P$34*($B196+$I$38-1),IF(AND($L$37=0,$P$34=0),"",$L$37-1)),MIN(CA$38,$E196),$P$20))-SUM($BF196:BZ196))</f>
        <v>0</v>
      </c>
      <c r="CB196" s="446">
        <f>IF($E196=0,0,IF(MIN(CB$38,$E196)&lt;MAX($P$34*($B196+$I$38-1),IF(AND($L$37=0,$P$34=0),"",$L$37-1)),0,YEARFRAC(MAX($P$34*($B196+$I$38-1),IF(AND($L$37=0,$P$34=0),"",$L$37-1)),MIN(CB$38,$E196),$P$20))-SUM($BF196:CA196))</f>
        <v>0</v>
      </c>
      <c r="CC196" s="446">
        <f>IF($E196=0,0,IF(MIN(CC$38,$E196)&lt;MAX($P$34*($B196+$I$38-1),IF(AND($L$37=0,$P$34=0),"",$L$37-1)),0,YEARFRAC(MAX($P$34*($B196+$I$38-1),IF(AND($L$37=0,$P$34=0),"",$L$37-1)),MIN(CC$38,$E196),$P$20))-SUM($BF196:CB196))</f>
        <v>0</v>
      </c>
      <c r="CD196" s="446">
        <f>IF($E196=0,0,IF(MIN(CD$38,$E196)&lt;MAX($P$34*($B196+$I$38-1),IF(AND($L$37=0,$P$34=0),"",$L$37-1)),0,YEARFRAC(MAX($P$34*($B196+$I$38-1),IF(AND($L$37=0,$P$34=0),"",$L$37-1)),MIN(CD$38,$E196),$P$20))-SUM($BF196:CC196))</f>
        <v>0</v>
      </c>
      <c r="CE196" s="446">
        <f>IF($E196=0,0,IF(MIN(CE$38,$E196)&lt;MAX($P$34*($B196+$I$38-1),IF(AND($L$37=0,$P$34=0),"",$L$37-1)),0,YEARFRAC(MAX($P$34*($B196+$I$38-1),IF(AND($L$37=0,$P$34=0),"",$L$37-1)),MIN(CE$38,$E196),$P$20))-SUM($BF196:CD196))</f>
        <v>0</v>
      </c>
      <c r="CF196" s="446">
        <f>IF($E196=0,0,IF(MIN(CF$38,$E196)&lt;MAX($P$34*($B196+$I$38-1),IF(AND($L$37=0,$P$34=0),"",$L$37-1)),0,YEARFRAC(MAX($P$34*($B196+$I$38-1),IF(AND($L$37=0,$P$34=0),"",$L$37-1)),MIN(CF$38,$E196),$P$20))-SUM($BF196:CE196))</f>
        <v>0</v>
      </c>
      <c r="CG196" s="446">
        <f>IF($E196=0,0,IF(MIN(CG$38,$E196)&lt;MAX($P$34*($B196+$I$38-1),IF(AND($L$37=0,$P$34=0),"",$L$37-1)),0,YEARFRAC(MAX($P$34*($B196+$I$38-1),IF(AND($L$37=0,$P$34=0),"",$L$37-1)),MIN(CG$38,$E196),$P$20))-SUM($BF196:CF196))</f>
        <v>0</v>
      </c>
      <c r="CH196" s="446">
        <f>IF($E196=0,0,IF(MIN(CH$38,$E196)&lt;MAX($P$34*($B196+$I$38-1),IF(AND($L$37=0,$P$34=0),"",$L$37-1)),0,YEARFRAC(MAX($P$34*($B196+$I$38-1),IF(AND($L$37=0,$P$34=0),"",$L$37-1)),MIN(CH$38,$E196),$P$20))-SUM($BF196:CG196))</f>
        <v>0</v>
      </c>
      <c r="CI196" s="446">
        <f>IF($E196=0,0,IF(MIN(CI$38,$E196)&lt;MAX($P$34*($B196+$I$38-1),IF(AND($L$37=0,$P$34=0),"",$L$37-1)),0,YEARFRAC(MAX($P$34*($B196+$I$38-1),IF(AND($L$37=0,$P$34=0),"",$L$37-1)),MIN(CI$38,$E196),$P$20))-SUM($BF196:CH196))</f>
        <v>0</v>
      </c>
      <c r="CJ196" s="446">
        <f>IF($E196=0,0,IF(MIN(CJ$38,$E196)&lt;MAX($P$34*($B196+$I$38-1),IF(AND($L$37=0,$P$34=0),"",$L$37-1)),0,YEARFRAC(MAX($P$34*($B196+$I$38-1),IF(AND($L$37=0,$P$34=0),"",$L$37-1)),MIN(CJ$38,$E196),$P$20))-SUM($BF196:CI196))</f>
        <v>0</v>
      </c>
      <c r="CK196" s="446">
        <f>IF($E196=0,0,IF(MIN(CK$38,$E196)&lt;MAX($P$34*($B196+$I$38-1),IF(AND($L$37=0,$P$34=0),"",$L$37-1)),0,YEARFRAC(MAX($P$34*($B196+$I$38-1),IF(AND($L$37=0,$P$34=0),"",$L$37-1)),MIN(CK$38,$E196),$P$20))-SUM($BF196:CJ196))</f>
        <v>0</v>
      </c>
      <c r="CL196" s="446">
        <f>IF($E196=0,0,IF(MIN(CL$38,$E196)&lt;MAX($P$34*($B196+$I$38-1),IF(AND($L$37=0,$P$34=0),"",$L$37-1)),0,YEARFRAC(MAX($P$34*($B196+$I$38-1),IF(AND($L$37=0,$P$34=0),"",$L$37-1)),MIN(CL$38,$E196),$P$20))-SUM($BF196:CK196))</f>
        <v>0</v>
      </c>
      <c r="CM196" s="446">
        <f>IF($E196=0,0,IF(MIN(CM$38,$E196)&lt;MAX($P$34*($B196+$I$38-1),IF(AND($L$37=0,$P$34=0),"",$L$37-1)),0,YEARFRAC(MAX($P$34*($B196+$I$38-1),IF(AND($L$37=0,$P$34=0),"",$L$37-1)),MIN(CM$38,$E196),$P$20))-SUM($BF196:CL196))</f>
        <v>0</v>
      </c>
      <c r="CN196" s="446">
        <f>IF($E196=0,0,IF(MIN(CN$38,$E196)&lt;MAX($P$34*($B196+$I$38-1),IF(AND($L$37=0,$P$34=0),"",$L$37-1)),0,YEARFRAC(MAX($P$34*($B196+$I$38-1),IF(AND($L$37=0,$P$34=0),"",$L$37-1)),MIN(CN$38,$E196),$P$20))-SUM($BF196:CM196))</f>
        <v>0</v>
      </c>
      <c r="CO196" s="446">
        <f>IF($E196=0,0,IF(MIN(CO$38,$E196)&lt;MAX($P$34*($B196+$I$38-1),IF(AND($L$37=0,$P$34=0),"",$L$37-1)),0,YEARFRAC(MAX($P$34*($B196+$I$38-1),IF(AND($L$37=0,$P$34=0),"",$L$37-1)),MIN(CO$38,$E196),$P$20))-SUM($BF196:CN196))</f>
        <v>0</v>
      </c>
      <c r="CP196" s="446">
        <f>IF($E196=0,0,IF(MIN(CP$38,$E196)&lt;MAX($P$34*($B196+$I$38-1),IF(AND($L$37=0,$P$34=0),"",$L$37-1)),0,YEARFRAC(MAX($P$34*($B196+$I$38-1),IF(AND($L$37=0,$P$34=0),"",$L$37-1)),MIN(CP$38,$E196),$P$20))-SUM($BF196:CO196))</f>
        <v>0</v>
      </c>
      <c r="CQ196" s="446">
        <f>IF($E196=0,0,IF(MIN(CQ$38,$E196)&lt;MAX($P$34*($B196+$I$38-1),IF(AND($L$37=0,$P$34=0),"",$L$37-1)),0,YEARFRAC(MAX($P$34*($B196+$I$38-1),IF(AND($L$37=0,$P$34=0),"",$L$37-1)),MIN(CQ$38,$E196),$P$20))-SUM($BF196:CP196))</f>
        <v>0</v>
      </c>
    </row>
    <row r="197" spans="1:95" s="446" customFormat="1" ht="11.25" hidden="1" customHeight="1" x14ac:dyDescent="0.2">
      <c r="A197" s="152"/>
      <c r="B197" s="153" t="str">
        <f t="shared" si="37"/>
        <v/>
      </c>
      <c r="C197" s="29" t="str">
        <f>IF(B197="","",IF($L$35="SELIC - TRIBUTOS",VLOOKUP(DATE(YEAR($D$19),MONTH($D$19)-1,1),ÍNDICES!$A:$DE,HLOOKUP($BL$25,ÍNDICES!$B$3:$T$4,2)+11)-VLOOKUP(B197,ÍNDICES!$A:$DE,HLOOKUP($BL$25,ÍNDICES!$B$3:$T$4,2)+11)+1%,IF(C$38=$W$26,$J$35,IF(ISERROR(IF(B197&gt;$D$19,1,VLOOKUP(DATE(YEAR(B197),MONTH(B197)+IF($C$35=$S$23,1,0),1),ÍNDICES!$A:$DE,$Z$35+1))),"",IF(B197&gt;$D$19,1,VLOOKUP(DATE(YEAR(B197),MONTH(B197)+IF($C$35=$S$23,1,0),1),ÍNDICES!$A:$DE,$Z$35+1))))))</f>
        <v/>
      </c>
      <c r="D197" s="154" t="str">
        <f>IF(ISERROR(IF(OR($D$38=$Y$27,$B197=""),"",VLOOKUP(B197,ÍNDICES!A:DE,AF$35+1))),"",IF(OR($D$38=$Y$27,$B197=""),"",VLOOKUP(B197,ÍNDICES!A:DE,AF$35+1)))</f>
        <v/>
      </c>
      <c r="E197" s="153"/>
      <c r="F197" s="29" t="str">
        <f>IF(E197="","",IF($L$35="SELIC - TRIBUTOS",VLOOKUP(DATE(YEAR($D$19),MONTH($D$19)-1,1),ÍNDICES!$A:$DE,HLOOKUP($BL$25,ÍNDICES!$B$3:$T$4,2)+11)-VLOOKUP(E197,ÍNDICES!$A:$DE,HLOOKUP($BL$25,ÍNDICES!$B$3:$T$4,2)+11)+1%,IF(F$38=$W$26,$J$35,IF(ISERROR(IF(E197&gt;$D$19,1,VLOOKUP(DATE(YEAR(E197),MONTH(E197)+IF($C$35=$S$23,1,0),1),ÍNDICES!$A:$DE,$Z$35+1))),"",IF(E197&gt;$D$19,1,VLOOKUP(DATE(YEAR(E197),MONTH(E197)+IF($C$35=$S$23,1,0),1),ÍNDICES!$A:$DE,$Z$35+1))))))</f>
        <v/>
      </c>
      <c r="G197" s="155"/>
      <c r="H197" s="156" t="str">
        <f t="shared" si="33"/>
        <v/>
      </c>
      <c r="I197" s="29" t="str">
        <f t="shared" si="27"/>
        <v/>
      </c>
      <c r="J197" s="5">
        <f t="shared" si="28"/>
        <v>0</v>
      </c>
      <c r="K197" s="20">
        <f t="shared" ca="1" si="29"/>
        <v>0</v>
      </c>
      <c r="L197" s="5">
        <f t="shared" ca="1" si="30"/>
        <v>0</v>
      </c>
      <c r="M197" s="64">
        <f t="shared" si="34"/>
        <v>0</v>
      </c>
      <c r="N197" s="61">
        <f t="shared" ca="1" si="35"/>
        <v>0</v>
      </c>
      <c r="O197" s="5">
        <f t="shared" ca="1" si="36"/>
        <v>0</v>
      </c>
      <c r="P197" s="446" t="e">
        <f t="shared" si="31"/>
        <v>#VALUE!</v>
      </c>
      <c r="Q197" s="446" t="e">
        <f>IF(OR($B197="",MIN(Q$38,$D$19)&lt;MAX($P$34*($B197+IF($R$17="Distrato",$I$38-1,0)),IF(AND($L$37=0,$P$34=0),"",$L$37-1),IF($R$17="Distrato",$E197,0))),0,YEARFRAC(MAX($P$34*($B197+IF($R$17="Distrato",$I$38-1,0)),IF(AND($L$37=0,$P$34=0),"",$L$37-1),IF($R$17="Distrato",$E197,0)),MIN(Q$38,$D$19),$P$20))-SUM($P197:P197)</f>
        <v>#VALUE!</v>
      </c>
      <c r="R197" s="446" t="e">
        <f>IF(OR($B197="",MIN(R$38,$D$19)&lt;MAX($P$34*($B197+IF($R$17="Distrato",$I$38-1,0)),IF(AND($L$37=0,$P$34=0),"",$L$37-1),IF($R$17="Distrato",$E197,0))),0,YEARFRAC(MAX($P$34*($B197+IF($R$17="Distrato",$I$38-1,0)),IF(AND($L$37=0,$P$34=0),"",$L$37-1),IF($R$17="Distrato",$E197,0)),MIN(R$38,$D$19),$P$20))-SUM($P197:Q197)</f>
        <v>#VALUE!</v>
      </c>
      <c r="S197" s="446" t="e">
        <f>IF(OR($B197="",MIN(S$38,$D$19)&lt;MAX($P$34*($B197+IF($R$17="Distrato",$I$38-1,0)),IF(AND($L$37=0,$P$34=0),"",$L$37-1),IF($R$17="Distrato",$E197,0))),0,YEARFRAC(MAX($P$34*($B197+IF($R$17="Distrato",$I$38-1,0)),IF(AND($L$37=0,$P$34=0),"",$L$37-1),IF($R$17="Distrato",$E197,0)),MIN(S$38,$D$19),$P$20))-SUM($P197:R197)</f>
        <v>#VALUE!</v>
      </c>
      <c r="T197" s="446" t="e">
        <f>IF(OR($B197="",MIN(T$38,$D$19)&lt;MAX($P$34*($B197+IF($R$17="Distrato",$I$38-1,0)),IF(AND($L$37=0,$P$34=0),"",$L$37-1),IF($R$17="Distrato",$E197,0))),0,YEARFRAC(MAX($P$34*($B197+IF($R$17="Distrato",$I$38-1,0)),IF(AND($L$37=0,$P$34=0),"",$L$37-1),IF($R$17="Distrato",$E197,0)),MIN(T$38,$D$19),$P$20))-SUM($P197:S197)</f>
        <v>#VALUE!</v>
      </c>
      <c r="U197" s="446" t="e">
        <f>IF(OR($B197="",MIN(U$38,$D$19)&lt;MAX($P$34*($B197+IF($R$17="Distrato",$I$38-1,0)),IF(AND($L$37=0,$P$34=0),"",$L$37-1),IF($R$17="Distrato",$E197,0))),0,YEARFRAC(MAX($P$34*($B197+IF($R$17="Distrato",$I$38-1,0)),IF(AND($L$37=0,$P$34=0),"",$L$37-1),IF($R$17="Distrato",$E197,0)),MIN(U$38,$D$19),$P$20))-SUM($P197:T197)</f>
        <v>#VALUE!</v>
      </c>
      <c r="V197" s="446" t="e">
        <f>IF(OR($B197="",MIN(V$38,$D$19)&lt;MAX($P$34*($B197+IF($R$17="Distrato",$I$38-1,0)),IF(AND($L$37=0,$P$34=0),"",$L$37-1),IF($R$17="Distrato",$E197,0))),0,YEARFRAC(MAX($P$34*($B197+IF($R$17="Distrato",$I$38-1,0)),IF(AND($L$37=0,$P$34=0),"",$L$37-1),IF($R$17="Distrato",$E197,0)),MIN(V$38,$D$19),$P$20))-SUM($P197:U197)</f>
        <v>#VALUE!</v>
      </c>
      <c r="W197" s="446" t="e">
        <f>IF(OR($B197="",MIN(W$38,$D$19)&lt;MAX($P$34*($B197+IF($R$17="Distrato",$I$38-1,0)),IF(AND($L$37=0,$P$34=0),"",$L$37-1),IF($R$17="Distrato",$E197,0))),0,YEARFRAC(MAX($P$34*($B197+IF($R$17="Distrato",$I$38-1,0)),IF(AND($L$37=0,$P$34=0),"",$L$37-1),IF($R$17="Distrato",$E197,0)),MIN(W$38,$D$19),$P$20))-SUM($P197:V197)</f>
        <v>#VALUE!</v>
      </c>
      <c r="X197" s="446" t="e">
        <f>IF(OR($B197="",MIN(X$38,$D$19)&lt;MAX($P$34*($B197+IF($R$17="Distrato",$I$38-1,0)),IF(AND($L$37=0,$P$34=0),"",$L$37-1),IF($R$17="Distrato",$E197,0))),0,YEARFRAC(MAX($P$34*($B197+IF($R$17="Distrato",$I$38-1,0)),IF(AND($L$37=0,$P$34=0),"",$L$37-1),IF($R$17="Distrato",$E197,0)),MIN(X$38,$D$19),$P$20))-SUM($P197:W197)</f>
        <v>#VALUE!</v>
      </c>
      <c r="Y197" s="446" t="e">
        <f>IF(OR($B197="",MIN(Y$38,$D$19)&lt;MAX($P$34*($B197+IF($R$17="Distrato",$I$38-1,0)),IF(AND($L$37=0,$P$34=0),"",$L$37-1),IF($R$17="Distrato",$E197,0))),0,YEARFRAC(MAX($P$34*($B197+IF($R$17="Distrato",$I$38-1,0)),IF(AND($L$37=0,$P$34=0),"",$L$37-1),IF($R$17="Distrato",$E197,0)),MIN(Y$38,$D$19),$P$20))-SUM($P197:X197)</f>
        <v>#VALUE!</v>
      </c>
      <c r="Z197" s="446" t="e">
        <f>IF(OR($B197="",MIN(Z$38,$D$19)&lt;MAX($P$34*($B197+IF($R$17="Distrato",$I$38-1,0)),IF(AND($L$37=0,$P$34=0),"",$L$37-1),IF($R$17="Distrato",$E197,0))),0,YEARFRAC(MAX($P$34*($B197+IF($R$17="Distrato",$I$38-1,0)),IF(AND($L$37=0,$P$34=0),"",$L$37-1),IF($R$17="Distrato",$E197,0)),MIN(Z$38,$D$19),$P$20))-SUM($P197:Y197)</f>
        <v>#VALUE!</v>
      </c>
      <c r="AA197" s="446" t="e">
        <f>IF(OR($B197="",MIN(AA$38,$D$19)&lt;MAX($P$34*($B197+IF($R$17="Distrato",$I$38-1,0)),IF(AND($L$37=0,$P$34=0),"",$L$37-1),IF($R$17="Distrato",$E197,0))),0,YEARFRAC(MAX($P$34*($B197+IF($R$17="Distrato",$I$38-1,0)),IF(AND($L$37=0,$P$34=0),"",$L$37-1),IF($R$17="Distrato",$E197,0)),MIN(AA$38,$D$19),$P$20))-SUM($P197:Z197)</f>
        <v>#VALUE!</v>
      </c>
      <c r="AB197" s="446" t="e">
        <f>IF(OR($B197="",MIN(AB$38,$D$19)&lt;MAX($P$34*($B197+IF($R$17="Distrato",$I$38-1,0)),IF(AND($L$37=0,$P$34=0),"",$L$37-1),IF($R$17="Distrato",$E197,0))),0,YEARFRAC(MAX($P$34*($B197+IF($R$17="Distrato",$I$38-1,0)),IF(AND($L$37=0,$P$34=0),"",$L$37-1),IF($R$17="Distrato",$E197,0)),MIN(AB$38,$D$19),$P$20))-SUM($P197:AA197)</f>
        <v>#VALUE!</v>
      </c>
      <c r="AC197" s="446" t="e">
        <f>IF(OR($B197="",MIN(AC$38,$D$19)&lt;MAX($P$34*($B197+IF($R$17="Distrato",$I$38-1,0)),IF(AND($L$37=0,$P$34=0),"",$L$37-1),IF($R$17="Distrato",$E197,0))),0,YEARFRAC(MAX($P$34*($B197+IF($R$17="Distrato",$I$38-1,0)),IF(AND($L$37=0,$P$34=0),"",$L$37-1),IF($R$17="Distrato",$E197,0)),MIN(AC$38,$D$19),$P$20))-SUM($P197:AB197)</f>
        <v>#VALUE!</v>
      </c>
      <c r="AD197" s="446" t="e">
        <f>IF(OR($B197="",MIN(AD$38,$D$19)&lt;MAX($P$34*($B197+IF($R$17="Distrato",$I$38-1,0)),IF(AND($L$37=0,$P$34=0),"",$L$37-1),IF($R$17="Distrato",$E197,0))),0,YEARFRAC(MAX($P$34*($B197+IF($R$17="Distrato",$I$38-1,0)),IF(AND($L$37=0,$P$34=0),"",$L$37-1),IF($R$17="Distrato",$E197,0)),MIN(AD$38,$D$19),$P$20))-SUM($P197:AC197)</f>
        <v>#VALUE!</v>
      </c>
      <c r="AE197" s="446" t="e">
        <f>IF(OR($B197="",MIN(AE$38,$D$19)&lt;MAX($P$34*($B197+IF($R$17="Distrato",$I$38-1,0)),IF(AND($L$37=0,$P$34=0),"",$L$37-1),IF($R$17="Distrato",$E197,0))),0,YEARFRAC(MAX($P$34*($B197+IF($R$17="Distrato",$I$38-1,0)),IF(AND($L$37=0,$P$34=0),"",$L$37-1),IF($R$17="Distrato",$E197,0)),MIN(AE$38,$D$19),$P$20))-SUM($P197:AD197)</f>
        <v>#VALUE!</v>
      </c>
      <c r="AF197" s="446" t="e">
        <f>IF(OR($B197="",MIN(AF$38,$D$19)&lt;MAX($P$34*($B197+IF($R$17="Distrato",$I$38-1,0)),IF(AND($L$37=0,$P$34=0),"",$L$37-1),IF($R$17="Distrato",$E197,0))),0,YEARFRAC(MAX($P$34*($B197+IF($R$17="Distrato",$I$38-1,0)),IF(AND($L$37=0,$P$34=0),"",$L$37-1),IF($R$17="Distrato",$E197,0)),MIN(AF$38,$D$19),$P$20))-SUM($P197:AE197)</f>
        <v>#VALUE!</v>
      </c>
      <c r="AG197" s="446" t="e">
        <f>IF(OR($B197="",MIN(AG$38,$D$19)&lt;MAX($P$34*($B197+IF($R$17="Distrato",$I$38-1,0)),IF(AND($L$37=0,$P$34=0),"",$L$37-1),IF($R$17="Distrato",$E197,0))),0,YEARFRAC(MAX($P$34*($B197+IF($R$17="Distrato",$I$38-1,0)),IF(AND($L$37=0,$P$34=0),"",$L$37-1),IF($R$17="Distrato",$E197,0)),MIN(AG$38,$D$19),$P$20))-SUM($P197:AF197)</f>
        <v>#VALUE!</v>
      </c>
      <c r="AH197" s="446" t="e">
        <f>IF(OR($B197="",MIN(AH$38,$D$19)&lt;MAX($P$34*($B197+IF($R$17="Distrato",$I$38-1,0)),IF(AND($L$37=0,$P$34=0),"",$L$37-1),IF($R$17="Distrato",$E197,0))),0,YEARFRAC(MAX($P$34*($B197+IF($R$17="Distrato",$I$38-1,0)),IF(AND($L$37=0,$P$34=0),"",$L$37-1),IF($R$17="Distrato",$E197,0)),MIN(AH$38,$D$19),$P$20))-SUM($P197:AG197)</f>
        <v>#VALUE!</v>
      </c>
      <c r="AI197" s="446" t="e">
        <f>IF(OR($B197="",MIN(AI$38,$D$19)&lt;MAX($P$34*($B197+IF($R$17="Distrato",$I$38-1,0)),IF(AND($L$37=0,$P$34=0),"",$L$37-1),IF($R$17="Distrato",$E197,0))),0,YEARFRAC(MAX($P$34*($B197+IF($R$17="Distrato",$I$38-1,0)),IF(AND($L$37=0,$P$34=0),"",$L$37-1),IF($R$17="Distrato",$E197,0)),MIN(AI$38,$D$19),$P$20))-SUM($P197:AH197)</f>
        <v>#VALUE!</v>
      </c>
      <c r="AJ197" s="446" t="e">
        <f>IF(OR($B197="",MIN(AJ$38,$D$19)&lt;MAX($P$34*($B197+IF($R$17="Distrato",$I$38-1,0)),IF(AND($L$37=0,$P$34=0),"",$L$37-1),IF($R$17="Distrato",$E197,0))),0,YEARFRAC(MAX($P$34*($B197+IF($R$17="Distrato",$I$38-1,0)),IF(AND($L$37=0,$P$34=0),"",$L$37-1),IF($R$17="Distrato",$E197,0)),MIN(AJ$38,$D$19),$P$20))-SUM($P197:AI197)</f>
        <v>#VALUE!</v>
      </c>
      <c r="AK197" s="446" t="e">
        <f>IF(OR($B197="",MIN(AK$38,$D$19)&lt;MAX($P$34*($B197+IF($R$17="Distrato",$I$38-1,0)),IF(AND($L$37=0,$P$34=0),"",$L$37-1),IF($R$17="Distrato",$E197,0))),0,YEARFRAC(MAX($P$34*($B197+IF($R$17="Distrato",$I$38-1,0)),IF(AND($L$37=0,$P$34=0),"",$L$37-1),IF($R$17="Distrato",$E197,0)),MIN(AK$38,$D$19),$P$20))-SUM($P197:AJ197)</f>
        <v>#VALUE!</v>
      </c>
      <c r="AL197" s="446" t="e">
        <f>IF(OR($B197="",MIN(AL$38,$D$19)&lt;MAX($P$34*($B197+IF($R$17="Distrato",$I$38-1,0)),IF(AND($L$37=0,$P$34=0),"",$L$37-1),IF($R$17="Distrato",$E197,0))),0,YEARFRAC(MAX($P$34*($B197+IF($R$17="Distrato",$I$38-1,0)),IF(AND($L$37=0,$P$34=0),"",$L$37-1),IF($R$17="Distrato",$E197,0)),MIN(AL$38,$D$19),$P$20))-SUM($P197:AK197)</f>
        <v>#VALUE!</v>
      </c>
      <c r="AM197" s="446" t="e">
        <f>IF(OR($B197="",MIN(AM$38,$D$19)&lt;MAX($P$34*($B197+IF($R$17="Distrato",$I$38-1,0)),IF(AND($L$37=0,$P$34=0),"",$L$37-1),IF($R$17="Distrato",$E197,0))),0,YEARFRAC(MAX($P$34*($B197+IF($R$17="Distrato",$I$38-1,0)),IF(AND($L$37=0,$P$34=0),"",$L$37-1),IF($R$17="Distrato",$E197,0)),MIN(AM$38,$D$19),$P$20))-SUM($P197:AL197)</f>
        <v>#VALUE!</v>
      </c>
      <c r="AN197" s="446" t="e">
        <f>IF(OR($B197="",MIN(AN$38,$D$19)&lt;MAX($P$34*($B197+IF($R$17="Distrato",$I$38-1,0)),IF(AND($L$37=0,$P$34=0),"",$L$37-1),IF($R$17="Distrato",$E197,0))),0,YEARFRAC(MAX($P$34*($B197+IF($R$17="Distrato",$I$38-1,0)),IF(AND($L$37=0,$P$34=0),"",$L$37-1),IF($R$17="Distrato",$E197,0)),MIN(AN$38,$D$19),$P$20))-SUM($P197:AM197)</f>
        <v>#VALUE!</v>
      </c>
      <c r="AO197" s="446" t="e">
        <f>IF(OR($B197="",MIN(AO$38,$D$19)&lt;MAX($P$34*($B197+IF($R$17="Distrato",$I$38-1,0)),IF(AND($L$37=0,$P$34=0),"",$L$37-1),IF($R$17="Distrato",$E197,0))),0,YEARFRAC(MAX($P$34*($B197+IF($R$17="Distrato",$I$38-1,0)),IF(AND($L$37=0,$P$34=0),"",$L$37-1),IF($R$17="Distrato",$E197,0)),MIN(AO$38,$D$19),$P$20))-SUM($P197:AN197)</f>
        <v>#VALUE!</v>
      </c>
      <c r="AP197" s="446" t="e">
        <f>IF(OR($B197="",MIN(AP$38,$D$19)&lt;MAX($P$34*($B197+IF($R$17="Distrato",$I$38-1,0)),IF(AND($L$37=0,$P$34=0),"",$L$37-1),IF($R$17="Distrato",$E197,0))),0,YEARFRAC(MAX($P$34*($B197+IF($R$17="Distrato",$I$38-1,0)),IF(AND($L$37=0,$P$34=0),"",$L$37-1),IF($R$17="Distrato",$E197,0)),MIN(AP$38,$D$19),$P$20))-SUM($P197:AO197)</f>
        <v>#VALUE!</v>
      </c>
      <c r="AQ197" s="446" t="e">
        <f>IF(OR($B197="",MIN(AQ$38,$D$19)&lt;MAX($P$34*($B197+IF($R$17="Distrato",$I$38-1,0)),IF(AND($L$37=0,$P$34=0),"",$L$37-1),IF($R$17="Distrato",$E197,0))),0,YEARFRAC(MAX($P$34*($B197+IF($R$17="Distrato",$I$38-1,0)),IF(AND($L$37=0,$P$34=0),"",$L$37-1),IF($R$17="Distrato",$E197,0)),MIN(AQ$38,$D$19),$P$20))-SUM($P197:AP197)</f>
        <v>#VALUE!</v>
      </c>
      <c r="AR197" s="446" t="e">
        <f>IF(OR($B197="",MIN(AR$38,$D$19)&lt;MAX($P$34*($B197+IF($R$17="Distrato",$I$38-1,0)),IF(AND($L$37=0,$P$34=0),"",$L$37-1),IF($R$17="Distrato",$E197,0))),0,YEARFRAC(MAX($P$34*($B197+IF($R$17="Distrato",$I$38-1,0)),IF(AND($L$37=0,$P$34=0),"",$L$37-1),IF($R$17="Distrato",$E197,0)),MIN(AR$38,$D$19),$P$20))-SUM($P197:AQ197)</f>
        <v>#VALUE!</v>
      </c>
      <c r="AS197" s="446" t="e">
        <f>IF(OR($B197="",MIN(AS$38,$D$19)&lt;MAX($P$34*($B197+IF($R$17="Distrato",$I$38-1,0)),IF(AND($L$37=0,$P$34=0),"",$L$37-1),IF($R$17="Distrato",$E197,0))),0,YEARFRAC(MAX($P$34*($B197+IF($R$17="Distrato",$I$38-1,0)),IF(AND($L$37=0,$P$34=0),"",$L$37-1),IF($R$17="Distrato",$E197,0)),MIN(AS$38,$D$19),$P$20))-SUM($P197:AR197)</f>
        <v>#VALUE!</v>
      </c>
      <c r="AT197" s="446" t="e">
        <f>IF(OR($B197="",MIN(AT$38,$D$19)&lt;MAX($P$34*($B197+IF($R$17="Distrato",$I$38-1,0)),IF(AND($L$37=0,$P$34=0),"",$L$37-1),IF($R$17="Distrato",$E197,0))),0,YEARFRAC(MAX($P$34*($B197+IF($R$17="Distrato",$I$38-1,0)),IF(AND($L$37=0,$P$34=0),"",$L$37-1),IF($R$17="Distrato",$E197,0)),MIN(AT$38,$D$19),$P$20))-SUM($P197:AS197)</f>
        <v>#VALUE!</v>
      </c>
      <c r="AU197" s="446" t="e">
        <f>IF(OR($B197="",MIN(AU$38,$D$19)&lt;MAX($P$34*($B197+IF($R$17="Distrato",$I$38-1,0)),IF(AND($L$37=0,$P$34=0),"",$L$37-1),IF($R$17="Distrato",$E197,0))),0,YEARFRAC(MAX($P$34*($B197+IF($R$17="Distrato",$I$38-1,0)),IF(AND($L$37=0,$P$34=0),"",$L$37-1),IF($R$17="Distrato",$E197,0)),MIN(AU$38,$D$19),$P$20))-SUM($P197:AT197)</f>
        <v>#VALUE!</v>
      </c>
      <c r="AV197" s="446" t="e">
        <f>IF(OR($B197="",MIN(AV$38,$D$19)&lt;MAX($P$34*($B197+IF($R$17="Distrato",$I$38-1,0)),IF(AND($L$37=0,$P$34=0),"",$L$37-1),IF($R$17="Distrato",$E197,0))),0,YEARFRAC(MAX($P$34*($B197+IF($R$17="Distrato",$I$38-1,0)),IF(AND($L$37=0,$P$34=0),"",$L$37-1),IF($R$17="Distrato",$E197,0)),MIN(AV$38,$D$19),$P$20))-SUM($P197:AU197)</f>
        <v>#VALUE!</v>
      </c>
      <c r="AW197" s="446" t="e">
        <f>IF(OR($B197="",MIN(AW$38,$D$19)&lt;MAX($P$34*($B197+IF($R$17="Distrato",$I$38-1,0)),IF(AND($L$37=0,$P$34=0),"",$L$37-1),IF($R$17="Distrato",$E197,0))),0,YEARFRAC(MAX($P$34*($B197+IF($R$17="Distrato",$I$38-1,0)),IF(AND($L$37=0,$P$34=0),"",$L$37-1),IF($R$17="Distrato",$E197,0)),MIN(AW$38,$D$19),$P$20))-SUM($P197:AV197)</f>
        <v>#VALUE!</v>
      </c>
      <c r="AX197" s="446" t="e">
        <f>IF(OR($B197="",MIN(AX$38,$D$19)&lt;MAX($P$34*($B197+IF($R$17="Distrato",$I$38-1,0)),IF(AND($L$37=0,$P$34=0),"",$L$37-1),IF($R$17="Distrato",$E197,0))),0,YEARFRAC(MAX($P$34*($B197+IF($R$17="Distrato",$I$38-1,0)),IF(AND($L$37=0,$P$34=0),"",$L$37-1),IF($R$17="Distrato",$E197,0)),MIN(AX$38,$D$19),$P$20))-SUM($P197:AW197)</f>
        <v>#VALUE!</v>
      </c>
      <c r="AY197" s="446" t="e">
        <f>IF(OR($B197="",MIN(AY$38,$D$19)&lt;MAX($P$34*($B197+IF($R$17="Distrato",$I$38-1,0)),IF(AND($L$37=0,$P$34=0),"",$L$37-1),IF($R$17="Distrato",$E197,0))),0,YEARFRAC(MAX($P$34*($B197+IF($R$17="Distrato",$I$38-1,0)),IF(AND($L$37=0,$P$34=0),"",$L$37-1),IF($R$17="Distrato",$E197,0)),MIN(AY$38,$D$19),$P$20))-SUM($P197:AX197)</f>
        <v>#VALUE!</v>
      </c>
      <c r="AZ197" s="446" t="e">
        <f>IF(OR($B197="",MIN(AZ$38,$D$19)&lt;MAX($P$34*($B197+IF($R$17="Distrato",$I$38-1,0)),IF(AND($L$37=0,$P$34=0),"",$L$37-1),IF($R$17="Distrato",$E197,0))),0,YEARFRAC(MAX($P$34*($B197+IF($R$17="Distrato",$I$38-1,0)),IF(AND($L$37=0,$P$34=0),"",$L$37-1),IF($R$17="Distrato",$E197,0)),MIN(AZ$38,$D$19),$P$20))-SUM($P197:AY197)</f>
        <v>#VALUE!</v>
      </c>
      <c r="BA197" s="446" t="e">
        <f>IF(OR($B197="",MIN(BA$38,$D$19)&lt;MAX($P$34*($B197+IF($R$17="Distrato",$I$38-1,0)),IF(AND($L$37=0,$P$34=0),"",$L$37-1),IF($R$17="Distrato",$E197,0))),0,YEARFRAC(MAX($P$34*($B197+IF($R$17="Distrato",$I$38-1,0)),IF(AND($L$37=0,$P$34=0),"",$L$37-1),IF($R$17="Distrato",$E197,0)),MIN(BA$38,$D$19),$P$20))-SUM($P197:AZ197)</f>
        <v>#VALUE!</v>
      </c>
      <c r="BB197" s="447"/>
      <c r="BF197" s="446">
        <f t="shared" si="32"/>
        <v>0</v>
      </c>
      <c r="BG197" s="446">
        <f>IF($E197=0,0,IF(MIN(BG$38,$E197)&lt;MAX($P$34*($B197+$I$38-1),IF(AND($L$37=0,$P$34=0),"",$L$37-1)),0,YEARFRAC(MAX($P$34*($B197+$I$38-1),IF(AND($L$37=0,$P$34=0),"",$L$37-1)),MIN(BG$38,$E197),$P$20))-SUM($BF197:BF197))</f>
        <v>0</v>
      </c>
      <c r="BH197" s="446">
        <f>IF($E197=0,0,IF(MIN(BH$38,$E197)&lt;MAX($P$34*($B197+$I$38-1),IF(AND($L$37=0,$P$34=0),"",$L$37-1)),0,YEARFRAC(MAX($P$34*($B197+$I$38-1),IF(AND($L$37=0,$P$34=0),"",$L$37-1)),MIN(BH$38,$E197),$P$20))-SUM($BF197:BG197))</f>
        <v>0</v>
      </c>
      <c r="BI197" s="446">
        <f>IF($E197=0,0,IF(MIN(BI$38,$E197)&lt;MAX($P$34*($B197+$I$38-1),IF(AND($L$37=0,$P$34=0),"",$L$37-1)),0,YEARFRAC(MAX($P$34*($B197+$I$38-1),IF(AND($L$37=0,$P$34=0),"",$L$37-1)),MIN(BI$38,$E197),$P$20))-SUM($BF197:BH197))</f>
        <v>0</v>
      </c>
      <c r="BJ197" s="446">
        <f>IF($E197=0,0,IF(MIN(BJ$38,$E197)&lt;MAX($P$34*($B197+$I$38-1),IF(AND($L$37=0,$P$34=0),"",$L$37-1)),0,YEARFRAC(MAX($P$34*($B197+$I$38-1),IF(AND($L$37=0,$P$34=0),"",$L$37-1)),MIN(BJ$38,$E197),$P$20))-SUM($BF197:BI197))</f>
        <v>0</v>
      </c>
      <c r="BK197" s="446">
        <f>IF($E197=0,0,IF(MIN(BK$38,$E197)&lt;MAX($P$34*($B197+$I$38-1),IF(AND($L$37=0,$P$34=0),"",$L$37-1)),0,YEARFRAC(MAX($P$34*($B197+$I$38-1),IF(AND($L$37=0,$P$34=0),"",$L$37-1)),MIN(BK$38,$E197),$P$20))-SUM($BF197:BJ197))</f>
        <v>0</v>
      </c>
      <c r="BL197" s="446">
        <f>IF($E197=0,0,IF(MIN(BL$38,$E197)&lt;MAX($P$34*($B197+$I$38-1),IF(AND($L$37=0,$P$34=0),"",$L$37-1)),0,YEARFRAC(MAX($P$34*($B197+$I$38-1),IF(AND($L$37=0,$P$34=0),"",$L$37-1)),MIN(BL$38,$E197),$P$20))-SUM($BF197:BK197))</f>
        <v>0</v>
      </c>
      <c r="BM197" s="446">
        <f>IF($E197=0,0,IF(MIN(BM$38,$E197)&lt;MAX($P$34*($B197+$I$38-1),IF(AND($L$37=0,$P$34=0),"",$L$37-1)),0,YEARFRAC(MAX($P$34*($B197+$I$38-1),IF(AND($L$37=0,$P$34=0),"",$L$37-1)),MIN(BM$38,$E197),$P$20))-SUM($BF197:BL197))</f>
        <v>0</v>
      </c>
      <c r="BN197" s="446">
        <f>IF($E197=0,0,IF(MIN(BN$38,$E197)&lt;MAX($P$34*($B197+$I$38-1),IF(AND($L$37=0,$P$34=0),"",$L$37-1)),0,YEARFRAC(MAX($P$34*($B197+$I$38-1),IF(AND($L$37=0,$P$34=0),"",$L$37-1)),MIN(BN$38,$E197),$P$20))-SUM($BF197:BM197))</f>
        <v>0</v>
      </c>
      <c r="BO197" s="446">
        <f>IF($E197=0,0,IF(MIN(BO$38,$E197)&lt;MAX($P$34*($B197+$I$38-1),IF(AND($L$37=0,$P$34=0),"",$L$37-1)),0,YEARFRAC(MAX($P$34*($B197+$I$38-1),IF(AND($L$37=0,$P$34=0),"",$L$37-1)),MIN(BO$38,$E197),$P$20))-SUM($BF197:BN197))</f>
        <v>0</v>
      </c>
      <c r="BP197" s="446">
        <f>IF($E197=0,0,IF(MIN(BP$38,$E197)&lt;MAX($P$34*($B197+$I$38-1),IF(AND($L$37=0,$P$34=0),"",$L$37-1)),0,YEARFRAC(MAX($P$34*($B197+$I$38-1),IF(AND($L$37=0,$P$34=0),"",$L$37-1)),MIN(BP$38,$E197),$P$20))-SUM($BF197:BO197))</f>
        <v>0</v>
      </c>
      <c r="BQ197" s="446">
        <f>IF($E197=0,0,IF(MIN(BQ$38,$E197)&lt;MAX($P$34*($B197+$I$38-1),IF(AND($L$37=0,$P$34=0),"",$L$37-1)),0,YEARFRAC(MAX($P$34*($B197+$I$38-1),IF(AND($L$37=0,$P$34=0),"",$L$37-1)),MIN(BQ$38,$E197),$P$20))-SUM($BF197:BP197))</f>
        <v>0</v>
      </c>
      <c r="BR197" s="446">
        <f>IF($E197=0,0,IF(MIN(BR$38,$E197)&lt;MAX($P$34*($B197+$I$38-1),IF(AND($L$37=0,$P$34=0),"",$L$37-1)),0,YEARFRAC(MAX($P$34*($B197+$I$38-1),IF(AND($L$37=0,$P$34=0),"",$L$37-1)),MIN(BR$38,$E197),$P$20))-SUM($BF197:BQ197))</f>
        <v>0</v>
      </c>
      <c r="BS197" s="446">
        <f>IF($E197=0,0,IF(MIN(BS$38,$E197)&lt;MAX($P$34*($B197+$I$38-1),IF(AND($L$37=0,$P$34=0),"",$L$37-1)),0,YEARFRAC(MAX($P$34*($B197+$I$38-1),IF(AND($L$37=0,$P$34=0),"",$L$37-1)),MIN(BS$38,$E197),$P$20))-SUM($BF197:BR197))</f>
        <v>0</v>
      </c>
      <c r="BT197" s="446">
        <f>IF($E197=0,0,IF(MIN(BT$38,$E197)&lt;MAX($P$34*($B197+$I$38-1),IF(AND($L$37=0,$P$34=0),"",$L$37-1)),0,YEARFRAC(MAX($P$34*($B197+$I$38-1),IF(AND($L$37=0,$P$34=0),"",$L$37-1)),MIN(BT$38,$E197),$P$20))-SUM($BF197:BS197))</f>
        <v>0</v>
      </c>
      <c r="BU197" s="446">
        <f>IF($E197=0,0,IF(MIN(BU$38,$E197)&lt;MAX($P$34*($B197+$I$38-1),IF(AND($L$37=0,$P$34=0),"",$L$37-1)),0,YEARFRAC(MAX($P$34*($B197+$I$38-1),IF(AND($L$37=0,$P$34=0),"",$L$37-1)),MIN(BU$38,$E197),$P$20))-SUM($BF197:BT197))</f>
        <v>0</v>
      </c>
      <c r="BV197" s="446">
        <f>IF($E197=0,0,IF(MIN(BV$38,$E197)&lt;MAX($P$34*($B197+$I$38-1),IF(AND($L$37=0,$P$34=0),"",$L$37-1)),0,YEARFRAC(MAX($P$34*($B197+$I$38-1),IF(AND($L$37=0,$P$34=0),"",$L$37-1)),MIN(BV$38,$E197),$P$20))-SUM($BF197:BU197))</f>
        <v>0</v>
      </c>
      <c r="BW197" s="446">
        <f>IF($E197=0,0,IF(MIN(BW$38,$E197)&lt;MAX($P$34*($B197+$I$38-1),IF(AND($L$37=0,$P$34=0),"",$L$37-1)),0,YEARFRAC(MAX($P$34*($B197+$I$38-1),IF(AND($L$37=0,$P$34=0),"",$L$37-1)),MIN(BW$38,$E197),$P$20))-SUM($BF197:BV197))</f>
        <v>0</v>
      </c>
      <c r="BX197" s="446">
        <f>IF($E197=0,0,IF(MIN(BX$38,$E197)&lt;MAX($P$34*($B197+$I$38-1),IF(AND($L$37=0,$P$34=0),"",$L$37-1)),0,YEARFRAC(MAX($P$34*($B197+$I$38-1),IF(AND($L$37=0,$P$34=0),"",$L$37-1)),MIN(BX$38,$E197),$P$20))-SUM($BF197:BW197))</f>
        <v>0</v>
      </c>
      <c r="BY197" s="446">
        <f>IF($E197=0,0,IF(MIN(BY$38,$E197)&lt;MAX($P$34*($B197+$I$38-1),IF(AND($L$37=0,$P$34=0),"",$L$37-1)),0,YEARFRAC(MAX($P$34*($B197+$I$38-1),IF(AND($L$37=0,$P$34=0),"",$L$37-1)),MIN(BY$38,$E197),$P$20))-SUM($BF197:BX197))</f>
        <v>0</v>
      </c>
      <c r="BZ197" s="446">
        <f>IF($E197=0,0,IF(MIN(BZ$38,$E197)&lt;MAX($P$34*($B197+$I$38-1),IF(AND($L$37=0,$P$34=0),"",$L$37-1)),0,YEARFRAC(MAX($P$34*($B197+$I$38-1),IF(AND($L$37=0,$P$34=0),"",$L$37-1)),MIN(BZ$38,$E197),$P$20))-SUM($BF197:BY197))</f>
        <v>0</v>
      </c>
      <c r="CA197" s="446">
        <f>IF($E197=0,0,IF(MIN(CA$38,$E197)&lt;MAX($P$34*($B197+$I$38-1),IF(AND($L$37=0,$P$34=0),"",$L$37-1)),0,YEARFRAC(MAX($P$34*($B197+$I$38-1),IF(AND($L$37=0,$P$34=0),"",$L$37-1)),MIN(CA$38,$E197),$P$20))-SUM($BF197:BZ197))</f>
        <v>0</v>
      </c>
      <c r="CB197" s="446">
        <f>IF($E197=0,0,IF(MIN(CB$38,$E197)&lt;MAX($P$34*($B197+$I$38-1),IF(AND($L$37=0,$P$34=0),"",$L$37-1)),0,YEARFRAC(MAX($P$34*($B197+$I$38-1),IF(AND($L$37=0,$P$34=0),"",$L$37-1)),MIN(CB$38,$E197),$P$20))-SUM($BF197:CA197))</f>
        <v>0</v>
      </c>
      <c r="CC197" s="446">
        <f>IF($E197=0,0,IF(MIN(CC$38,$E197)&lt;MAX($P$34*($B197+$I$38-1),IF(AND($L$37=0,$P$34=0),"",$L$37-1)),0,YEARFRAC(MAX($P$34*($B197+$I$38-1),IF(AND($L$37=0,$P$34=0),"",$L$37-1)),MIN(CC$38,$E197),$P$20))-SUM($BF197:CB197))</f>
        <v>0</v>
      </c>
      <c r="CD197" s="446">
        <f>IF($E197=0,0,IF(MIN(CD$38,$E197)&lt;MAX($P$34*($B197+$I$38-1),IF(AND($L$37=0,$P$34=0),"",$L$37-1)),0,YEARFRAC(MAX($P$34*($B197+$I$38-1),IF(AND($L$37=0,$P$34=0),"",$L$37-1)),MIN(CD$38,$E197),$P$20))-SUM($BF197:CC197))</f>
        <v>0</v>
      </c>
      <c r="CE197" s="446">
        <f>IF($E197=0,0,IF(MIN(CE$38,$E197)&lt;MAX($P$34*($B197+$I$38-1),IF(AND($L$37=0,$P$34=0),"",$L$37-1)),0,YEARFRAC(MAX($P$34*($B197+$I$38-1),IF(AND($L$37=0,$P$34=0),"",$L$37-1)),MIN(CE$38,$E197),$P$20))-SUM($BF197:CD197))</f>
        <v>0</v>
      </c>
      <c r="CF197" s="446">
        <f>IF($E197=0,0,IF(MIN(CF$38,$E197)&lt;MAX($P$34*($B197+$I$38-1),IF(AND($L$37=0,$P$34=0),"",$L$37-1)),0,YEARFRAC(MAX($P$34*($B197+$I$38-1),IF(AND($L$37=0,$P$34=0),"",$L$37-1)),MIN(CF$38,$E197),$P$20))-SUM($BF197:CE197))</f>
        <v>0</v>
      </c>
      <c r="CG197" s="446">
        <f>IF($E197=0,0,IF(MIN(CG$38,$E197)&lt;MAX($P$34*($B197+$I$38-1),IF(AND($L$37=0,$P$34=0),"",$L$37-1)),0,YEARFRAC(MAX($P$34*($B197+$I$38-1),IF(AND($L$37=0,$P$34=0),"",$L$37-1)),MIN(CG$38,$E197),$P$20))-SUM($BF197:CF197))</f>
        <v>0</v>
      </c>
      <c r="CH197" s="446">
        <f>IF($E197=0,0,IF(MIN(CH$38,$E197)&lt;MAX($P$34*($B197+$I$38-1),IF(AND($L$37=0,$P$34=0),"",$L$37-1)),0,YEARFRAC(MAX($P$34*($B197+$I$38-1),IF(AND($L$37=0,$P$34=0),"",$L$37-1)),MIN(CH$38,$E197),$P$20))-SUM($BF197:CG197))</f>
        <v>0</v>
      </c>
      <c r="CI197" s="446">
        <f>IF($E197=0,0,IF(MIN(CI$38,$E197)&lt;MAX($P$34*($B197+$I$38-1),IF(AND($L$37=0,$P$34=0),"",$L$37-1)),0,YEARFRAC(MAX($P$34*($B197+$I$38-1),IF(AND($L$37=0,$P$34=0),"",$L$37-1)),MIN(CI$38,$E197),$P$20))-SUM($BF197:CH197))</f>
        <v>0</v>
      </c>
      <c r="CJ197" s="446">
        <f>IF($E197=0,0,IF(MIN(CJ$38,$E197)&lt;MAX($P$34*($B197+$I$38-1),IF(AND($L$37=0,$P$34=0),"",$L$37-1)),0,YEARFRAC(MAX($P$34*($B197+$I$38-1),IF(AND($L$37=0,$P$34=0),"",$L$37-1)),MIN(CJ$38,$E197),$P$20))-SUM($BF197:CI197))</f>
        <v>0</v>
      </c>
      <c r="CK197" s="446">
        <f>IF($E197=0,0,IF(MIN(CK$38,$E197)&lt;MAX($P$34*($B197+$I$38-1),IF(AND($L$37=0,$P$34=0),"",$L$37-1)),0,YEARFRAC(MAX($P$34*($B197+$I$38-1),IF(AND($L$37=0,$P$34=0),"",$L$37-1)),MIN(CK$38,$E197),$P$20))-SUM($BF197:CJ197))</f>
        <v>0</v>
      </c>
      <c r="CL197" s="446">
        <f>IF($E197=0,0,IF(MIN(CL$38,$E197)&lt;MAX($P$34*($B197+$I$38-1),IF(AND($L$37=0,$P$34=0),"",$L$37-1)),0,YEARFRAC(MAX($P$34*($B197+$I$38-1),IF(AND($L$37=0,$P$34=0),"",$L$37-1)),MIN(CL$38,$E197),$P$20))-SUM($BF197:CK197))</f>
        <v>0</v>
      </c>
      <c r="CM197" s="446">
        <f>IF($E197=0,0,IF(MIN(CM$38,$E197)&lt;MAX($P$34*($B197+$I$38-1),IF(AND($L$37=0,$P$34=0),"",$L$37-1)),0,YEARFRAC(MAX($P$34*($B197+$I$38-1),IF(AND($L$37=0,$P$34=0),"",$L$37-1)),MIN(CM$38,$E197),$P$20))-SUM($BF197:CL197))</f>
        <v>0</v>
      </c>
      <c r="CN197" s="446">
        <f>IF($E197=0,0,IF(MIN(CN$38,$E197)&lt;MAX($P$34*($B197+$I$38-1),IF(AND($L$37=0,$P$34=0),"",$L$37-1)),0,YEARFRAC(MAX($P$34*($B197+$I$38-1),IF(AND($L$37=0,$P$34=0),"",$L$37-1)),MIN(CN$38,$E197),$P$20))-SUM($BF197:CM197))</f>
        <v>0</v>
      </c>
      <c r="CO197" s="446">
        <f>IF($E197=0,0,IF(MIN(CO$38,$E197)&lt;MAX($P$34*($B197+$I$38-1),IF(AND($L$37=0,$P$34=0),"",$L$37-1)),0,YEARFRAC(MAX($P$34*($B197+$I$38-1),IF(AND($L$37=0,$P$34=0),"",$L$37-1)),MIN(CO$38,$E197),$P$20))-SUM($BF197:CN197))</f>
        <v>0</v>
      </c>
      <c r="CP197" s="446">
        <f>IF($E197=0,0,IF(MIN(CP$38,$E197)&lt;MAX($P$34*($B197+$I$38-1),IF(AND($L$37=0,$P$34=0),"",$L$37-1)),0,YEARFRAC(MAX($P$34*($B197+$I$38-1),IF(AND($L$37=0,$P$34=0),"",$L$37-1)),MIN(CP$38,$E197),$P$20))-SUM($BF197:CO197))</f>
        <v>0</v>
      </c>
      <c r="CQ197" s="446">
        <f>IF($E197=0,0,IF(MIN(CQ$38,$E197)&lt;MAX($P$34*($B197+$I$38-1),IF(AND($L$37=0,$P$34=0),"",$L$37-1)),0,YEARFRAC(MAX($P$34*($B197+$I$38-1),IF(AND($L$37=0,$P$34=0),"",$L$37-1)),MIN(CQ$38,$E197),$P$20))-SUM($BF197:CP197))</f>
        <v>0</v>
      </c>
    </row>
    <row r="198" spans="1:95" s="446" customFormat="1" ht="11.25" hidden="1" customHeight="1" x14ac:dyDescent="0.2">
      <c r="A198" s="152"/>
      <c r="B198" s="153" t="str">
        <f t="shared" si="37"/>
        <v/>
      </c>
      <c r="C198" s="29" t="str">
        <f>IF(B198="","",IF($L$35="SELIC - TRIBUTOS",VLOOKUP(DATE(YEAR($D$19),MONTH($D$19)-1,1),ÍNDICES!$A:$DE,HLOOKUP($BL$25,ÍNDICES!$B$3:$T$4,2)+11)-VLOOKUP(B198,ÍNDICES!$A:$DE,HLOOKUP($BL$25,ÍNDICES!$B$3:$T$4,2)+11)+1%,IF(C$38=$W$26,$J$35,IF(ISERROR(IF(B198&gt;$D$19,1,VLOOKUP(DATE(YEAR(B198),MONTH(B198)+IF($C$35=$S$23,1,0),1),ÍNDICES!$A:$DE,$Z$35+1))),"",IF(B198&gt;$D$19,1,VLOOKUP(DATE(YEAR(B198),MONTH(B198)+IF($C$35=$S$23,1,0),1),ÍNDICES!$A:$DE,$Z$35+1))))))</f>
        <v/>
      </c>
      <c r="D198" s="154" t="str">
        <f>IF(ISERROR(IF(OR($D$38=$Y$27,$B198=""),"",VLOOKUP(B198,ÍNDICES!A:DE,AF$35+1))),"",IF(OR($D$38=$Y$27,$B198=""),"",VLOOKUP(B198,ÍNDICES!A:DE,AF$35+1)))</f>
        <v/>
      </c>
      <c r="E198" s="153"/>
      <c r="F198" s="29" t="str">
        <f>IF(E198="","",IF($L$35="SELIC - TRIBUTOS",VLOOKUP(DATE(YEAR($D$19),MONTH($D$19)-1,1),ÍNDICES!$A:$DE,HLOOKUP($BL$25,ÍNDICES!$B$3:$T$4,2)+11)-VLOOKUP(E198,ÍNDICES!$A:$DE,HLOOKUP($BL$25,ÍNDICES!$B$3:$T$4,2)+11)+1%,IF(F$38=$W$26,$J$35,IF(ISERROR(IF(E198&gt;$D$19,1,VLOOKUP(DATE(YEAR(E198),MONTH(E198)+IF($C$35=$S$23,1,0),1),ÍNDICES!$A:$DE,$Z$35+1))),"",IF(E198&gt;$D$19,1,VLOOKUP(DATE(YEAR(E198),MONTH(E198)+IF($C$35=$S$23,1,0),1),ÍNDICES!$A:$DE,$Z$35+1))))))</f>
        <v/>
      </c>
      <c r="G198" s="155"/>
      <c r="H198" s="156" t="str">
        <f t="shared" si="33"/>
        <v/>
      </c>
      <c r="I198" s="29" t="str">
        <f t="shared" si="27"/>
        <v/>
      </c>
      <c r="J198" s="5">
        <f t="shared" si="28"/>
        <v>0</v>
      </c>
      <c r="K198" s="20">
        <f t="shared" ca="1" si="29"/>
        <v>0</v>
      </c>
      <c r="L198" s="5">
        <f t="shared" ca="1" si="30"/>
        <v>0</v>
      </c>
      <c r="M198" s="64">
        <f t="shared" si="34"/>
        <v>0</v>
      </c>
      <c r="N198" s="61">
        <f t="shared" ca="1" si="35"/>
        <v>0</v>
      </c>
      <c r="O198" s="5">
        <f t="shared" ca="1" si="36"/>
        <v>0</v>
      </c>
      <c r="P198" s="446" t="e">
        <f t="shared" si="31"/>
        <v>#VALUE!</v>
      </c>
      <c r="Q198" s="446" t="e">
        <f>IF(OR($B198="",MIN(Q$38,$D$19)&lt;MAX($P$34*($B198+IF($R$17="Distrato",$I$38-1,0)),IF(AND($L$37=0,$P$34=0),"",$L$37-1),IF($R$17="Distrato",$E198,0))),0,YEARFRAC(MAX($P$34*($B198+IF($R$17="Distrato",$I$38-1,0)),IF(AND($L$37=0,$P$34=0),"",$L$37-1),IF($R$17="Distrato",$E198,0)),MIN(Q$38,$D$19),$P$20))-SUM($P198:P198)</f>
        <v>#VALUE!</v>
      </c>
      <c r="R198" s="446" t="e">
        <f>IF(OR($B198="",MIN(R$38,$D$19)&lt;MAX($P$34*($B198+IF($R$17="Distrato",$I$38-1,0)),IF(AND($L$37=0,$P$34=0),"",$L$37-1),IF($R$17="Distrato",$E198,0))),0,YEARFRAC(MAX($P$34*($B198+IF($R$17="Distrato",$I$38-1,0)),IF(AND($L$37=0,$P$34=0),"",$L$37-1),IF($R$17="Distrato",$E198,0)),MIN(R$38,$D$19),$P$20))-SUM($P198:Q198)</f>
        <v>#VALUE!</v>
      </c>
      <c r="S198" s="446" t="e">
        <f>IF(OR($B198="",MIN(S$38,$D$19)&lt;MAX($P$34*($B198+IF($R$17="Distrato",$I$38-1,0)),IF(AND($L$37=0,$P$34=0),"",$L$37-1),IF($R$17="Distrato",$E198,0))),0,YEARFRAC(MAX($P$34*($B198+IF($R$17="Distrato",$I$38-1,0)),IF(AND($L$37=0,$P$34=0),"",$L$37-1),IF($R$17="Distrato",$E198,0)),MIN(S$38,$D$19),$P$20))-SUM($P198:R198)</f>
        <v>#VALUE!</v>
      </c>
      <c r="T198" s="446" t="e">
        <f>IF(OR($B198="",MIN(T$38,$D$19)&lt;MAX($P$34*($B198+IF($R$17="Distrato",$I$38-1,0)),IF(AND($L$37=0,$P$34=0),"",$L$37-1),IF($R$17="Distrato",$E198,0))),0,YEARFRAC(MAX($P$34*($B198+IF($R$17="Distrato",$I$38-1,0)),IF(AND($L$37=0,$P$34=0),"",$L$37-1),IF($R$17="Distrato",$E198,0)),MIN(T$38,$D$19),$P$20))-SUM($P198:S198)</f>
        <v>#VALUE!</v>
      </c>
      <c r="U198" s="446" t="e">
        <f>IF(OR($B198="",MIN(U$38,$D$19)&lt;MAX($P$34*($B198+IF($R$17="Distrato",$I$38-1,0)),IF(AND($L$37=0,$P$34=0),"",$L$37-1),IF($R$17="Distrato",$E198,0))),0,YEARFRAC(MAX($P$34*($B198+IF($R$17="Distrato",$I$38-1,0)),IF(AND($L$37=0,$P$34=0),"",$L$37-1),IF($R$17="Distrato",$E198,0)),MIN(U$38,$D$19),$P$20))-SUM($P198:T198)</f>
        <v>#VALUE!</v>
      </c>
      <c r="V198" s="446" t="e">
        <f>IF(OR($B198="",MIN(V$38,$D$19)&lt;MAX($P$34*($B198+IF($R$17="Distrato",$I$38-1,0)),IF(AND($L$37=0,$P$34=0),"",$L$37-1),IF($R$17="Distrato",$E198,0))),0,YEARFRAC(MAX($P$34*($B198+IF($R$17="Distrato",$I$38-1,0)),IF(AND($L$37=0,$P$34=0),"",$L$37-1),IF($R$17="Distrato",$E198,0)),MIN(V$38,$D$19),$P$20))-SUM($P198:U198)</f>
        <v>#VALUE!</v>
      </c>
      <c r="W198" s="446" t="e">
        <f>IF(OR($B198="",MIN(W$38,$D$19)&lt;MAX($P$34*($B198+IF($R$17="Distrato",$I$38-1,0)),IF(AND($L$37=0,$P$34=0),"",$L$37-1),IF($R$17="Distrato",$E198,0))),0,YEARFRAC(MAX($P$34*($B198+IF($R$17="Distrato",$I$38-1,0)),IF(AND($L$37=0,$P$34=0),"",$L$37-1),IF($R$17="Distrato",$E198,0)),MIN(W$38,$D$19),$P$20))-SUM($P198:V198)</f>
        <v>#VALUE!</v>
      </c>
      <c r="X198" s="446" t="e">
        <f>IF(OR($B198="",MIN(X$38,$D$19)&lt;MAX($P$34*($B198+IF($R$17="Distrato",$I$38-1,0)),IF(AND($L$37=0,$P$34=0),"",$L$37-1),IF($R$17="Distrato",$E198,0))),0,YEARFRAC(MAX($P$34*($B198+IF($R$17="Distrato",$I$38-1,0)),IF(AND($L$37=0,$P$34=0),"",$L$37-1),IF($R$17="Distrato",$E198,0)),MIN(X$38,$D$19),$P$20))-SUM($P198:W198)</f>
        <v>#VALUE!</v>
      </c>
      <c r="Y198" s="446" t="e">
        <f>IF(OR($B198="",MIN(Y$38,$D$19)&lt;MAX($P$34*($B198+IF($R$17="Distrato",$I$38-1,0)),IF(AND($L$37=0,$P$34=0),"",$L$37-1),IF($R$17="Distrato",$E198,0))),0,YEARFRAC(MAX($P$34*($B198+IF($R$17="Distrato",$I$38-1,0)),IF(AND($L$37=0,$P$34=0),"",$L$37-1),IF($R$17="Distrato",$E198,0)),MIN(Y$38,$D$19),$P$20))-SUM($P198:X198)</f>
        <v>#VALUE!</v>
      </c>
      <c r="Z198" s="446" t="e">
        <f>IF(OR($B198="",MIN(Z$38,$D$19)&lt;MAX($P$34*($B198+IF($R$17="Distrato",$I$38-1,0)),IF(AND($L$37=0,$P$34=0),"",$L$37-1),IF($R$17="Distrato",$E198,0))),0,YEARFRAC(MAX($P$34*($B198+IF($R$17="Distrato",$I$38-1,0)),IF(AND($L$37=0,$P$34=0),"",$L$37-1),IF($R$17="Distrato",$E198,0)),MIN(Z$38,$D$19),$P$20))-SUM($P198:Y198)</f>
        <v>#VALUE!</v>
      </c>
      <c r="AA198" s="446" t="e">
        <f>IF(OR($B198="",MIN(AA$38,$D$19)&lt;MAX($P$34*($B198+IF($R$17="Distrato",$I$38-1,0)),IF(AND($L$37=0,$P$34=0),"",$L$37-1),IF($R$17="Distrato",$E198,0))),0,YEARFRAC(MAX($P$34*($B198+IF($R$17="Distrato",$I$38-1,0)),IF(AND($L$37=0,$P$34=0),"",$L$37-1),IF($R$17="Distrato",$E198,0)),MIN(AA$38,$D$19),$P$20))-SUM($P198:Z198)</f>
        <v>#VALUE!</v>
      </c>
      <c r="AB198" s="446" t="e">
        <f>IF(OR($B198="",MIN(AB$38,$D$19)&lt;MAX($P$34*($B198+IF($R$17="Distrato",$I$38-1,0)),IF(AND($L$37=0,$P$34=0),"",$L$37-1),IF($R$17="Distrato",$E198,0))),0,YEARFRAC(MAX($P$34*($B198+IF($R$17="Distrato",$I$38-1,0)),IF(AND($L$37=0,$P$34=0),"",$L$37-1),IF($R$17="Distrato",$E198,0)),MIN(AB$38,$D$19),$P$20))-SUM($P198:AA198)</f>
        <v>#VALUE!</v>
      </c>
      <c r="AC198" s="446" t="e">
        <f>IF(OR($B198="",MIN(AC$38,$D$19)&lt;MAX($P$34*($B198+IF($R$17="Distrato",$I$38-1,0)),IF(AND($L$37=0,$P$34=0),"",$L$37-1),IF($R$17="Distrato",$E198,0))),0,YEARFRAC(MAX($P$34*($B198+IF($R$17="Distrato",$I$38-1,0)),IF(AND($L$37=0,$P$34=0),"",$L$37-1),IF($R$17="Distrato",$E198,0)),MIN(AC$38,$D$19),$P$20))-SUM($P198:AB198)</f>
        <v>#VALUE!</v>
      </c>
      <c r="AD198" s="446" t="e">
        <f>IF(OR($B198="",MIN(AD$38,$D$19)&lt;MAX($P$34*($B198+IF($R$17="Distrato",$I$38-1,0)),IF(AND($L$37=0,$P$34=0),"",$L$37-1),IF($R$17="Distrato",$E198,0))),0,YEARFRAC(MAX($P$34*($B198+IF($R$17="Distrato",$I$38-1,0)),IF(AND($L$37=0,$P$34=0),"",$L$37-1),IF($R$17="Distrato",$E198,0)),MIN(AD$38,$D$19),$P$20))-SUM($P198:AC198)</f>
        <v>#VALUE!</v>
      </c>
      <c r="AE198" s="446" t="e">
        <f>IF(OR($B198="",MIN(AE$38,$D$19)&lt;MAX($P$34*($B198+IF($R$17="Distrato",$I$38-1,0)),IF(AND($L$37=0,$P$34=0),"",$L$37-1),IF($R$17="Distrato",$E198,0))),0,YEARFRAC(MAX($P$34*($B198+IF($R$17="Distrato",$I$38-1,0)),IF(AND($L$37=0,$P$34=0),"",$L$37-1),IF($R$17="Distrato",$E198,0)),MIN(AE$38,$D$19),$P$20))-SUM($P198:AD198)</f>
        <v>#VALUE!</v>
      </c>
      <c r="AF198" s="446" t="e">
        <f>IF(OR($B198="",MIN(AF$38,$D$19)&lt;MAX($P$34*($B198+IF($R$17="Distrato",$I$38-1,0)),IF(AND($L$37=0,$P$34=0),"",$L$37-1),IF($R$17="Distrato",$E198,0))),0,YEARFRAC(MAX($P$34*($B198+IF($R$17="Distrato",$I$38-1,0)),IF(AND($L$37=0,$P$34=0),"",$L$37-1),IF($R$17="Distrato",$E198,0)),MIN(AF$38,$D$19),$P$20))-SUM($P198:AE198)</f>
        <v>#VALUE!</v>
      </c>
      <c r="AG198" s="446" t="e">
        <f>IF(OR($B198="",MIN(AG$38,$D$19)&lt;MAX($P$34*($B198+IF($R$17="Distrato",$I$38-1,0)),IF(AND($L$37=0,$P$34=0),"",$L$37-1),IF($R$17="Distrato",$E198,0))),0,YEARFRAC(MAX($P$34*($B198+IF($R$17="Distrato",$I$38-1,0)),IF(AND($L$37=0,$P$34=0),"",$L$37-1),IF($R$17="Distrato",$E198,0)),MIN(AG$38,$D$19),$P$20))-SUM($P198:AF198)</f>
        <v>#VALUE!</v>
      </c>
      <c r="AH198" s="446" t="e">
        <f>IF(OR($B198="",MIN(AH$38,$D$19)&lt;MAX($P$34*($B198+IF($R$17="Distrato",$I$38-1,0)),IF(AND($L$37=0,$P$34=0),"",$L$37-1),IF($R$17="Distrato",$E198,0))),0,YEARFRAC(MAX($P$34*($B198+IF($R$17="Distrato",$I$38-1,0)),IF(AND($L$37=0,$P$34=0),"",$L$37-1),IF($R$17="Distrato",$E198,0)),MIN(AH$38,$D$19),$P$20))-SUM($P198:AG198)</f>
        <v>#VALUE!</v>
      </c>
      <c r="AI198" s="446" t="e">
        <f>IF(OR($B198="",MIN(AI$38,$D$19)&lt;MAX($P$34*($B198+IF($R$17="Distrato",$I$38-1,0)),IF(AND($L$37=0,$P$34=0),"",$L$37-1),IF($R$17="Distrato",$E198,0))),0,YEARFRAC(MAX($P$34*($B198+IF($R$17="Distrato",$I$38-1,0)),IF(AND($L$37=0,$P$34=0),"",$L$37-1),IF($R$17="Distrato",$E198,0)),MIN(AI$38,$D$19),$P$20))-SUM($P198:AH198)</f>
        <v>#VALUE!</v>
      </c>
      <c r="AJ198" s="446" t="e">
        <f>IF(OR($B198="",MIN(AJ$38,$D$19)&lt;MAX($P$34*($B198+IF($R$17="Distrato",$I$38-1,0)),IF(AND($L$37=0,$P$34=0),"",$L$37-1),IF($R$17="Distrato",$E198,0))),0,YEARFRAC(MAX($P$34*($B198+IF($R$17="Distrato",$I$38-1,0)),IF(AND($L$37=0,$P$34=0),"",$L$37-1),IF($R$17="Distrato",$E198,0)),MIN(AJ$38,$D$19),$P$20))-SUM($P198:AI198)</f>
        <v>#VALUE!</v>
      </c>
      <c r="AK198" s="446" t="e">
        <f>IF(OR($B198="",MIN(AK$38,$D$19)&lt;MAX($P$34*($B198+IF($R$17="Distrato",$I$38-1,0)),IF(AND($L$37=0,$P$34=0),"",$L$37-1),IF($R$17="Distrato",$E198,0))),0,YEARFRAC(MAX($P$34*($B198+IF($R$17="Distrato",$I$38-1,0)),IF(AND($L$37=0,$P$34=0),"",$L$37-1),IF($R$17="Distrato",$E198,0)),MIN(AK$38,$D$19),$P$20))-SUM($P198:AJ198)</f>
        <v>#VALUE!</v>
      </c>
      <c r="AL198" s="446" t="e">
        <f>IF(OR($B198="",MIN(AL$38,$D$19)&lt;MAX($P$34*($B198+IF($R$17="Distrato",$I$38-1,0)),IF(AND($L$37=0,$P$34=0),"",$L$37-1),IF($R$17="Distrato",$E198,0))),0,YEARFRAC(MAX($P$34*($B198+IF($R$17="Distrato",$I$38-1,0)),IF(AND($L$37=0,$P$34=0),"",$L$37-1),IF($R$17="Distrato",$E198,0)),MIN(AL$38,$D$19),$P$20))-SUM($P198:AK198)</f>
        <v>#VALUE!</v>
      </c>
      <c r="AM198" s="446" t="e">
        <f>IF(OR($B198="",MIN(AM$38,$D$19)&lt;MAX($P$34*($B198+IF($R$17="Distrato",$I$38-1,0)),IF(AND($L$37=0,$P$34=0),"",$L$37-1),IF($R$17="Distrato",$E198,0))),0,YEARFRAC(MAX($P$34*($B198+IF($R$17="Distrato",$I$38-1,0)),IF(AND($L$37=0,$P$34=0),"",$L$37-1),IF($R$17="Distrato",$E198,0)),MIN(AM$38,$D$19),$P$20))-SUM($P198:AL198)</f>
        <v>#VALUE!</v>
      </c>
      <c r="AN198" s="446" t="e">
        <f>IF(OR($B198="",MIN(AN$38,$D$19)&lt;MAX($P$34*($B198+IF($R$17="Distrato",$I$38-1,0)),IF(AND($L$37=0,$P$34=0),"",$L$37-1),IF($R$17="Distrato",$E198,0))),0,YEARFRAC(MAX($P$34*($B198+IF($R$17="Distrato",$I$38-1,0)),IF(AND($L$37=0,$P$34=0),"",$L$37-1),IF($R$17="Distrato",$E198,0)),MIN(AN$38,$D$19),$P$20))-SUM($P198:AM198)</f>
        <v>#VALUE!</v>
      </c>
      <c r="AO198" s="446" t="e">
        <f>IF(OR($B198="",MIN(AO$38,$D$19)&lt;MAX($P$34*($B198+IF($R$17="Distrato",$I$38-1,0)),IF(AND($L$37=0,$P$34=0),"",$L$37-1),IF($R$17="Distrato",$E198,0))),0,YEARFRAC(MAX($P$34*($B198+IF($R$17="Distrato",$I$38-1,0)),IF(AND($L$37=0,$P$34=0),"",$L$37-1),IF($R$17="Distrato",$E198,0)),MIN(AO$38,$D$19),$P$20))-SUM($P198:AN198)</f>
        <v>#VALUE!</v>
      </c>
      <c r="AP198" s="446" t="e">
        <f>IF(OR($B198="",MIN(AP$38,$D$19)&lt;MAX($P$34*($B198+IF($R$17="Distrato",$I$38-1,0)),IF(AND($L$37=0,$P$34=0),"",$L$37-1),IF($R$17="Distrato",$E198,0))),0,YEARFRAC(MAX($P$34*($B198+IF($R$17="Distrato",$I$38-1,0)),IF(AND($L$37=0,$P$34=0),"",$L$37-1),IF($R$17="Distrato",$E198,0)),MIN(AP$38,$D$19),$P$20))-SUM($P198:AO198)</f>
        <v>#VALUE!</v>
      </c>
      <c r="AQ198" s="446" t="e">
        <f>IF(OR($B198="",MIN(AQ$38,$D$19)&lt;MAX($P$34*($B198+IF($R$17="Distrato",$I$38-1,0)),IF(AND($L$37=0,$P$34=0),"",$L$37-1),IF($R$17="Distrato",$E198,0))),0,YEARFRAC(MAX($P$34*($B198+IF($R$17="Distrato",$I$38-1,0)),IF(AND($L$37=0,$P$34=0),"",$L$37-1),IF($R$17="Distrato",$E198,0)),MIN(AQ$38,$D$19),$P$20))-SUM($P198:AP198)</f>
        <v>#VALUE!</v>
      </c>
      <c r="AR198" s="446" t="e">
        <f>IF(OR($B198="",MIN(AR$38,$D$19)&lt;MAX($P$34*($B198+IF($R$17="Distrato",$I$38-1,0)),IF(AND($L$37=0,$P$34=0),"",$L$37-1),IF($R$17="Distrato",$E198,0))),0,YEARFRAC(MAX($P$34*($B198+IF($R$17="Distrato",$I$38-1,0)),IF(AND($L$37=0,$P$34=0),"",$L$37-1),IF($R$17="Distrato",$E198,0)),MIN(AR$38,$D$19),$P$20))-SUM($P198:AQ198)</f>
        <v>#VALUE!</v>
      </c>
      <c r="AS198" s="446" t="e">
        <f>IF(OR($B198="",MIN(AS$38,$D$19)&lt;MAX($P$34*($B198+IF($R$17="Distrato",$I$38-1,0)),IF(AND($L$37=0,$P$34=0),"",$L$37-1),IF($R$17="Distrato",$E198,0))),0,YEARFRAC(MAX($P$34*($B198+IF($R$17="Distrato",$I$38-1,0)),IF(AND($L$37=0,$P$34=0),"",$L$37-1),IF($R$17="Distrato",$E198,0)),MIN(AS$38,$D$19),$P$20))-SUM($P198:AR198)</f>
        <v>#VALUE!</v>
      </c>
      <c r="AT198" s="446" t="e">
        <f>IF(OR($B198="",MIN(AT$38,$D$19)&lt;MAX($P$34*($B198+IF($R$17="Distrato",$I$38-1,0)),IF(AND($L$37=0,$P$34=0),"",$L$37-1),IF($R$17="Distrato",$E198,0))),0,YEARFRAC(MAX($P$34*($B198+IF($R$17="Distrato",$I$38-1,0)),IF(AND($L$37=0,$P$34=0),"",$L$37-1),IF($R$17="Distrato",$E198,0)),MIN(AT$38,$D$19),$P$20))-SUM($P198:AS198)</f>
        <v>#VALUE!</v>
      </c>
      <c r="AU198" s="446" t="e">
        <f>IF(OR($B198="",MIN(AU$38,$D$19)&lt;MAX($P$34*($B198+IF($R$17="Distrato",$I$38-1,0)),IF(AND($L$37=0,$P$34=0),"",$L$37-1),IF($R$17="Distrato",$E198,0))),0,YEARFRAC(MAX($P$34*($B198+IF($R$17="Distrato",$I$38-1,0)),IF(AND($L$37=0,$P$34=0),"",$L$37-1),IF($R$17="Distrato",$E198,0)),MIN(AU$38,$D$19),$P$20))-SUM($P198:AT198)</f>
        <v>#VALUE!</v>
      </c>
      <c r="AV198" s="446" t="e">
        <f>IF(OR($B198="",MIN(AV$38,$D$19)&lt;MAX($P$34*($B198+IF($R$17="Distrato",$I$38-1,0)),IF(AND($L$37=0,$P$34=0),"",$L$37-1),IF($R$17="Distrato",$E198,0))),0,YEARFRAC(MAX($P$34*($B198+IF($R$17="Distrato",$I$38-1,0)),IF(AND($L$37=0,$P$34=0),"",$L$37-1),IF($R$17="Distrato",$E198,0)),MIN(AV$38,$D$19),$P$20))-SUM($P198:AU198)</f>
        <v>#VALUE!</v>
      </c>
      <c r="AW198" s="446" t="e">
        <f>IF(OR($B198="",MIN(AW$38,$D$19)&lt;MAX($P$34*($B198+IF($R$17="Distrato",$I$38-1,0)),IF(AND($L$37=0,$P$34=0),"",$L$37-1),IF($R$17="Distrato",$E198,0))),0,YEARFRAC(MAX($P$34*($B198+IF($R$17="Distrato",$I$38-1,0)),IF(AND($L$37=0,$P$34=0),"",$L$37-1),IF($R$17="Distrato",$E198,0)),MIN(AW$38,$D$19),$P$20))-SUM($P198:AV198)</f>
        <v>#VALUE!</v>
      </c>
      <c r="AX198" s="446" t="e">
        <f>IF(OR($B198="",MIN(AX$38,$D$19)&lt;MAX($P$34*($B198+IF($R$17="Distrato",$I$38-1,0)),IF(AND($L$37=0,$P$34=0),"",$L$37-1),IF($R$17="Distrato",$E198,0))),0,YEARFRAC(MAX($P$34*($B198+IF($R$17="Distrato",$I$38-1,0)),IF(AND($L$37=0,$P$34=0),"",$L$37-1),IF($R$17="Distrato",$E198,0)),MIN(AX$38,$D$19),$P$20))-SUM($P198:AW198)</f>
        <v>#VALUE!</v>
      </c>
      <c r="AY198" s="446" t="e">
        <f>IF(OR($B198="",MIN(AY$38,$D$19)&lt;MAX($P$34*($B198+IF($R$17="Distrato",$I$38-1,0)),IF(AND($L$37=0,$P$34=0),"",$L$37-1),IF($R$17="Distrato",$E198,0))),0,YEARFRAC(MAX($P$34*($B198+IF($R$17="Distrato",$I$38-1,0)),IF(AND($L$37=0,$P$34=0),"",$L$37-1),IF($R$17="Distrato",$E198,0)),MIN(AY$38,$D$19),$P$20))-SUM($P198:AX198)</f>
        <v>#VALUE!</v>
      </c>
      <c r="AZ198" s="446" t="e">
        <f>IF(OR($B198="",MIN(AZ$38,$D$19)&lt;MAX($P$34*($B198+IF($R$17="Distrato",$I$38-1,0)),IF(AND($L$37=0,$P$34=0),"",$L$37-1),IF($R$17="Distrato",$E198,0))),0,YEARFRAC(MAX($P$34*($B198+IF($R$17="Distrato",$I$38-1,0)),IF(AND($L$37=0,$P$34=0),"",$L$37-1),IF($R$17="Distrato",$E198,0)),MIN(AZ$38,$D$19),$P$20))-SUM($P198:AY198)</f>
        <v>#VALUE!</v>
      </c>
      <c r="BA198" s="446" t="e">
        <f>IF(OR($B198="",MIN(BA$38,$D$19)&lt;MAX($P$34*($B198+IF($R$17="Distrato",$I$38-1,0)),IF(AND($L$37=0,$P$34=0),"",$L$37-1),IF($R$17="Distrato",$E198,0))),0,YEARFRAC(MAX($P$34*($B198+IF($R$17="Distrato",$I$38-1,0)),IF(AND($L$37=0,$P$34=0),"",$L$37-1),IF($R$17="Distrato",$E198,0)),MIN(BA$38,$D$19),$P$20))-SUM($P198:AZ198)</f>
        <v>#VALUE!</v>
      </c>
      <c r="BB198" s="447"/>
      <c r="BF198" s="446">
        <f t="shared" si="32"/>
        <v>0</v>
      </c>
      <c r="BG198" s="446">
        <f>IF($E198=0,0,IF(MIN(BG$38,$E198)&lt;MAX($P$34*($B198+$I$38-1),IF(AND($L$37=0,$P$34=0),"",$L$37-1)),0,YEARFRAC(MAX($P$34*($B198+$I$38-1),IF(AND($L$37=0,$P$34=0),"",$L$37-1)),MIN(BG$38,$E198),$P$20))-SUM($BF198:BF198))</f>
        <v>0</v>
      </c>
      <c r="BH198" s="446">
        <f>IF($E198=0,0,IF(MIN(BH$38,$E198)&lt;MAX($P$34*($B198+$I$38-1),IF(AND($L$37=0,$P$34=0),"",$L$37-1)),0,YEARFRAC(MAX($P$34*($B198+$I$38-1),IF(AND($L$37=0,$P$34=0),"",$L$37-1)),MIN(BH$38,$E198),$P$20))-SUM($BF198:BG198))</f>
        <v>0</v>
      </c>
      <c r="BI198" s="446">
        <f>IF($E198=0,0,IF(MIN(BI$38,$E198)&lt;MAX($P$34*($B198+$I$38-1),IF(AND($L$37=0,$P$34=0),"",$L$37-1)),0,YEARFRAC(MAX($P$34*($B198+$I$38-1),IF(AND($L$37=0,$P$34=0),"",$L$37-1)),MIN(BI$38,$E198),$P$20))-SUM($BF198:BH198))</f>
        <v>0</v>
      </c>
      <c r="BJ198" s="446">
        <f>IF($E198=0,0,IF(MIN(BJ$38,$E198)&lt;MAX($P$34*($B198+$I$38-1),IF(AND($L$37=0,$P$34=0),"",$L$37-1)),0,YEARFRAC(MAX($P$34*($B198+$I$38-1),IF(AND($L$37=0,$P$34=0),"",$L$37-1)),MIN(BJ$38,$E198),$P$20))-SUM($BF198:BI198))</f>
        <v>0</v>
      </c>
      <c r="BK198" s="446">
        <f>IF($E198=0,0,IF(MIN(BK$38,$E198)&lt;MAX($P$34*($B198+$I$38-1),IF(AND($L$37=0,$P$34=0),"",$L$37-1)),0,YEARFRAC(MAX($P$34*($B198+$I$38-1),IF(AND($L$37=0,$P$34=0),"",$L$37-1)),MIN(BK$38,$E198),$P$20))-SUM($BF198:BJ198))</f>
        <v>0</v>
      </c>
      <c r="BL198" s="446">
        <f>IF($E198=0,0,IF(MIN(BL$38,$E198)&lt;MAX($P$34*($B198+$I$38-1),IF(AND($L$37=0,$P$34=0),"",$L$37-1)),0,YEARFRAC(MAX($P$34*($B198+$I$38-1),IF(AND($L$37=0,$P$34=0),"",$L$37-1)),MIN(BL$38,$E198),$P$20))-SUM($BF198:BK198))</f>
        <v>0</v>
      </c>
      <c r="BM198" s="446">
        <f>IF($E198=0,0,IF(MIN(BM$38,$E198)&lt;MAX($P$34*($B198+$I$38-1),IF(AND($L$37=0,$P$34=0),"",$L$37-1)),0,YEARFRAC(MAX($P$34*($B198+$I$38-1),IF(AND($L$37=0,$P$34=0),"",$L$37-1)),MIN(BM$38,$E198),$P$20))-SUM($BF198:BL198))</f>
        <v>0</v>
      </c>
      <c r="BN198" s="446">
        <f>IF($E198=0,0,IF(MIN(BN$38,$E198)&lt;MAX($P$34*($B198+$I$38-1),IF(AND($L$37=0,$P$34=0),"",$L$37-1)),0,YEARFRAC(MAX($P$34*($B198+$I$38-1),IF(AND($L$37=0,$P$34=0),"",$L$37-1)),MIN(BN$38,$E198),$P$20))-SUM($BF198:BM198))</f>
        <v>0</v>
      </c>
      <c r="BO198" s="446">
        <f>IF($E198=0,0,IF(MIN(BO$38,$E198)&lt;MAX($P$34*($B198+$I$38-1),IF(AND($L$37=0,$P$34=0),"",$L$37-1)),0,YEARFRAC(MAX($P$34*($B198+$I$38-1),IF(AND($L$37=0,$P$34=0),"",$L$37-1)),MIN(BO$38,$E198),$P$20))-SUM($BF198:BN198))</f>
        <v>0</v>
      </c>
      <c r="BP198" s="446">
        <f>IF($E198=0,0,IF(MIN(BP$38,$E198)&lt;MAX($P$34*($B198+$I$38-1),IF(AND($L$37=0,$P$34=0),"",$L$37-1)),0,YEARFRAC(MAX($P$34*($B198+$I$38-1),IF(AND($L$37=0,$P$34=0),"",$L$37-1)),MIN(BP$38,$E198),$P$20))-SUM($BF198:BO198))</f>
        <v>0</v>
      </c>
      <c r="BQ198" s="446">
        <f>IF($E198=0,0,IF(MIN(BQ$38,$E198)&lt;MAX($P$34*($B198+$I$38-1),IF(AND($L$37=0,$P$34=0),"",$L$37-1)),0,YEARFRAC(MAX($P$34*($B198+$I$38-1),IF(AND($L$37=0,$P$34=0),"",$L$37-1)),MIN(BQ$38,$E198),$P$20))-SUM($BF198:BP198))</f>
        <v>0</v>
      </c>
      <c r="BR198" s="446">
        <f>IF($E198=0,0,IF(MIN(BR$38,$E198)&lt;MAX($P$34*($B198+$I$38-1),IF(AND($L$37=0,$P$34=0),"",$L$37-1)),0,YEARFRAC(MAX($P$34*($B198+$I$38-1),IF(AND($L$37=0,$P$34=0),"",$L$37-1)),MIN(BR$38,$E198),$P$20))-SUM($BF198:BQ198))</f>
        <v>0</v>
      </c>
      <c r="BS198" s="446">
        <f>IF($E198=0,0,IF(MIN(BS$38,$E198)&lt;MAX($P$34*($B198+$I$38-1),IF(AND($L$37=0,$P$34=0),"",$L$37-1)),0,YEARFRAC(MAX($P$34*($B198+$I$38-1),IF(AND($L$37=0,$P$34=0),"",$L$37-1)),MIN(BS$38,$E198),$P$20))-SUM($BF198:BR198))</f>
        <v>0</v>
      </c>
      <c r="BT198" s="446">
        <f>IF($E198=0,0,IF(MIN(BT$38,$E198)&lt;MAX($P$34*($B198+$I$38-1),IF(AND($L$37=0,$P$34=0),"",$L$37-1)),0,YEARFRAC(MAX($P$34*($B198+$I$38-1),IF(AND($L$37=0,$P$34=0),"",$L$37-1)),MIN(BT$38,$E198),$P$20))-SUM($BF198:BS198))</f>
        <v>0</v>
      </c>
      <c r="BU198" s="446">
        <f>IF($E198=0,0,IF(MIN(BU$38,$E198)&lt;MAX($P$34*($B198+$I$38-1),IF(AND($L$37=0,$P$34=0),"",$L$37-1)),0,YEARFRAC(MAX($P$34*($B198+$I$38-1),IF(AND($L$37=0,$P$34=0),"",$L$37-1)),MIN(BU$38,$E198),$P$20))-SUM($BF198:BT198))</f>
        <v>0</v>
      </c>
      <c r="BV198" s="446">
        <f>IF($E198=0,0,IF(MIN(BV$38,$E198)&lt;MAX($P$34*($B198+$I$38-1),IF(AND($L$37=0,$P$34=0),"",$L$37-1)),0,YEARFRAC(MAX($P$34*($B198+$I$38-1),IF(AND($L$37=0,$P$34=0),"",$L$37-1)),MIN(BV$38,$E198),$P$20))-SUM($BF198:BU198))</f>
        <v>0</v>
      </c>
      <c r="BW198" s="446">
        <f>IF($E198=0,0,IF(MIN(BW$38,$E198)&lt;MAX($P$34*($B198+$I$38-1),IF(AND($L$37=0,$P$34=0),"",$L$37-1)),0,YEARFRAC(MAX($P$34*($B198+$I$38-1),IF(AND($L$37=0,$P$34=0),"",$L$37-1)),MIN(BW$38,$E198),$P$20))-SUM($BF198:BV198))</f>
        <v>0</v>
      </c>
      <c r="BX198" s="446">
        <f>IF($E198=0,0,IF(MIN(BX$38,$E198)&lt;MAX($P$34*($B198+$I$38-1),IF(AND($L$37=0,$P$34=0),"",$L$37-1)),0,YEARFRAC(MAX($P$34*($B198+$I$38-1),IF(AND($L$37=0,$P$34=0),"",$L$37-1)),MIN(BX$38,$E198),$P$20))-SUM($BF198:BW198))</f>
        <v>0</v>
      </c>
      <c r="BY198" s="446">
        <f>IF($E198=0,0,IF(MIN(BY$38,$E198)&lt;MAX($P$34*($B198+$I$38-1),IF(AND($L$37=0,$P$34=0),"",$L$37-1)),0,YEARFRAC(MAX($P$34*($B198+$I$38-1),IF(AND($L$37=0,$P$34=0),"",$L$37-1)),MIN(BY$38,$E198),$P$20))-SUM($BF198:BX198))</f>
        <v>0</v>
      </c>
      <c r="BZ198" s="446">
        <f>IF($E198=0,0,IF(MIN(BZ$38,$E198)&lt;MAX($P$34*($B198+$I$38-1),IF(AND($L$37=0,$P$34=0),"",$L$37-1)),0,YEARFRAC(MAX($P$34*($B198+$I$38-1),IF(AND($L$37=0,$P$34=0),"",$L$37-1)),MIN(BZ$38,$E198),$P$20))-SUM($BF198:BY198))</f>
        <v>0</v>
      </c>
      <c r="CA198" s="446">
        <f>IF($E198=0,0,IF(MIN(CA$38,$E198)&lt;MAX($P$34*($B198+$I$38-1),IF(AND($L$37=0,$P$34=0),"",$L$37-1)),0,YEARFRAC(MAX($P$34*($B198+$I$38-1),IF(AND($L$37=0,$P$34=0),"",$L$37-1)),MIN(CA$38,$E198),$P$20))-SUM($BF198:BZ198))</f>
        <v>0</v>
      </c>
      <c r="CB198" s="446">
        <f>IF($E198=0,0,IF(MIN(CB$38,$E198)&lt;MAX($P$34*($B198+$I$38-1),IF(AND($L$37=0,$P$34=0),"",$L$37-1)),0,YEARFRAC(MAX($P$34*($B198+$I$38-1),IF(AND($L$37=0,$P$34=0),"",$L$37-1)),MIN(CB$38,$E198),$P$20))-SUM($BF198:CA198))</f>
        <v>0</v>
      </c>
      <c r="CC198" s="446">
        <f>IF($E198=0,0,IF(MIN(CC$38,$E198)&lt;MAX($P$34*($B198+$I$38-1),IF(AND($L$37=0,$P$34=0),"",$L$37-1)),0,YEARFRAC(MAX($P$34*($B198+$I$38-1),IF(AND($L$37=0,$P$34=0),"",$L$37-1)),MIN(CC$38,$E198),$P$20))-SUM($BF198:CB198))</f>
        <v>0</v>
      </c>
      <c r="CD198" s="446">
        <f>IF($E198=0,0,IF(MIN(CD$38,$E198)&lt;MAX($P$34*($B198+$I$38-1),IF(AND($L$37=0,$P$34=0),"",$L$37-1)),0,YEARFRAC(MAX($P$34*($B198+$I$38-1),IF(AND($L$37=0,$P$34=0),"",$L$37-1)),MIN(CD$38,$E198),$P$20))-SUM($BF198:CC198))</f>
        <v>0</v>
      </c>
      <c r="CE198" s="446">
        <f>IF($E198=0,0,IF(MIN(CE$38,$E198)&lt;MAX($P$34*($B198+$I$38-1),IF(AND($L$37=0,$P$34=0),"",$L$37-1)),0,YEARFRAC(MAX($P$34*($B198+$I$38-1),IF(AND($L$37=0,$P$34=0),"",$L$37-1)),MIN(CE$38,$E198),$P$20))-SUM($BF198:CD198))</f>
        <v>0</v>
      </c>
      <c r="CF198" s="446">
        <f>IF($E198=0,0,IF(MIN(CF$38,$E198)&lt;MAX($P$34*($B198+$I$38-1),IF(AND($L$37=0,$P$34=0),"",$L$37-1)),0,YEARFRAC(MAX($P$34*($B198+$I$38-1),IF(AND($L$37=0,$P$34=0),"",$L$37-1)),MIN(CF$38,$E198),$P$20))-SUM($BF198:CE198))</f>
        <v>0</v>
      </c>
      <c r="CG198" s="446">
        <f>IF($E198=0,0,IF(MIN(CG$38,$E198)&lt;MAX($P$34*($B198+$I$38-1),IF(AND($L$37=0,$P$34=0),"",$L$37-1)),0,YEARFRAC(MAX($P$34*($B198+$I$38-1),IF(AND($L$37=0,$P$34=0),"",$L$37-1)),MIN(CG$38,$E198),$P$20))-SUM($BF198:CF198))</f>
        <v>0</v>
      </c>
      <c r="CH198" s="446">
        <f>IF($E198=0,0,IF(MIN(CH$38,$E198)&lt;MAX($P$34*($B198+$I$38-1),IF(AND($L$37=0,$P$34=0),"",$L$37-1)),0,YEARFRAC(MAX($P$34*($B198+$I$38-1),IF(AND($L$37=0,$P$34=0),"",$L$37-1)),MIN(CH$38,$E198),$P$20))-SUM($BF198:CG198))</f>
        <v>0</v>
      </c>
      <c r="CI198" s="446">
        <f>IF($E198=0,0,IF(MIN(CI$38,$E198)&lt;MAX($P$34*($B198+$I$38-1),IF(AND($L$37=0,$P$34=0),"",$L$37-1)),0,YEARFRAC(MAX($P$34*($B198+$I$38-1),IF(AND($L$37=0,$P$34=0),"",$L$37-1)),MIN(CI$38,$E198),$P$20))-SUM($BF198:CH198))</f>
        <v>0</v>
      </c>
      <c r="CJ198" s="446">
        <f>IF($E198=0,0,IF(MIN(CJ$38,$E198)&lt;MAX($P$34*($B198+$I$38-1),IF(AND($L$37=0,$P$34=0),"",$L$37-1)),0,YEARFRAC(MAX($P$34*($B198+$I$38-1),IF(AND($L$37=0,$P$34=0),"",$L$37-1)),MIN(CJ$38,$E198),$P$20))-SUM($BF198:CI198))</f>
        <v>0</v>
      </c>
      <c r="CK198" s="446">
        <f>IF($E198=0,0,IF(MIN(CK$38,$E198)&lt;MAX($P$34*($B198+$I$38-1),IF(AND($L$37=0,$P$34=0),"",$L$37-1)),0,YEARFRAC(MAX($P$34*($B198+$I$38-1),IF(AND($L$37=0,$P$34=0),"",$L$37-1)),MIN(CK$38,$E198),$P$20))-SUM($BF198:CJ198))</f>
        <v>0</v>
      </c>
      <c r="CL198" s="446">
        <f>IF($E198=0,0,IF(MIN(CL$38,$E198)&lt;MAX($P$34*($B198+$I$38-1),IF(AND($L$37=0,$P$34=0),"",$L$37-1)),0,YEARFRAC(MAX($P$34*($B198+$I$38-1),IF(AND($L$37=0,$P$34=0),"",$L$37-1)),MIN(CL$38,$E198),$P$20))-SUM($BF198:CK198))</f>
        <v>0</v>
      </c>
      <c r="CM198" s="446">
        <f>IF($E198=0,0,IF(MIN(CM$38,$E198)&lt;MAX($P$34*($B198+$I$38-1),IF(AND($L$37=0,$P$34=0),"",$L$37-1)),0,YEARFRAC(MAX($P$34*($B198+$I$38-1),IF(AND($L$37=0,$P$34=0),"",$L$37-1)),MIN(CM$38,$E198),$P$20))-SUM($BF198:CL198))</f>
        <v>0</v>
      </c>
      <c r="CN198" s="446">
        <f>IF($E198=0,0,IF(MIN(CN$38,$E198)&lt;MAX($P$34*($B198+$I$38-1),IF(AND($L$37=0,$P$34=0),"",$L$37-1)),0,YEARFRAC(MAX($P$34*($B198+$I$38-1),IF(AND($L$37=0,$P$34=0),"",$L$37-1)),MIN(CN$38,$E198),$P$20))-SUM($BF198:CM198))</f>
        <v>0</v>
      </c>
      <c r="CO198" s="446">
        <f>IF($E198=0,0,IF(MIN(CO$38,$E198)&lt;MAX($P$34*($B198+$I$38-1),IF(AND($L$37=0,$P$34=0),"",$L$37-1)),0,YEARFRAC(MAX($P$34*($B198+$I$38-1),IF(AND($L$37=0,$P$34=0),"",$L$37-1)),MIN(CO$38,$E198),$P$20))-SUM($BF198:CN198))</f>
        <v>0</v>
      </c>
      <c r="CP198" s="446">
        <f>IF($E198=0,0,IF(MIN(CP$38,$E198)&lt;MAX($P$34*($B198+$I$38-1),IF(AND($L$37=0,$P$34=0),"",$L$37-1)),0,YEARFRAC(MAX($P$34*($B198+$I$38-1),IF(AND($L$37=0,$P$34=0),"",$L$37-1)),MIN(CP$38,$E198),$P$20))-SUM($BF198:CO198))</f>
        <v>0</v>
      </c>
      <c r="CQ198" s="446">
        <f>IF($E198=0,0,IF(MIN(CQ$38,$E198)&lt;MAX($P$34*($B198+$I$38-1),IF(AND($L$37=0,$P$34=0),"",$L$37-1)),0,YEARFRAC(MAX($P$34*($B198+$I$38-1),IF(AND($L$37=0,$P$34=0),"",$L$37-1)),MIN(CQ$38,$E198),$P$20))-SUM($BF198:CP198))</f>
        <v>0</v>
      </c>
    </row>
    <row r="199" spans="1:95" s="446" customFormat="1" ht="11.25" hidden="1" customHeight="1" x14ac:dyDescent="0.2">
      <c r="A199" s="152"/>
      <c r="B199" s="153" t="str">
        <f t="shared" si="37"/>
        <v/>
      </c>
      <c r="C199" s="29" t="str">
        <f>IF(B199="","",IF($L$35="SELIC - TRIBUTOS",VLOOKUP(DATE(YEAR($D$19),MONTH($D$19)-1,1),ÍNDICES!$A:$DE,HLOOKUP($BL$25,ÍNDICES!$B$3:$T$4,2)+11)-VLOOKUP(B199,ÍNDICES!$A:$DE,HLOOKUP($BL$25,ÍNDICES!$B$3:$T$4,2)+11)+1%,IF(C$38=$W$26,$J$35,IF(ISERROR(IF(B199&gt;$D$19,1,VLOOKUP(DATE(YEAR(B199),MONTH(B199)+IF($C$35=$S$23,1,0),1),ÍNDICES!$A:$DE,$Z$35+1))),"",IF(B199&gt;$D$19,1,VLOOKUP(DATE(YEAR(B199),MONTH(B199)+IF($C$35=$S$23,1,0),1),ÍNDICES!$A:$DE,$Z$35+1))))))</f>
        <v/>
      </c>
      <c r="D199" s="154" t="str">
        <f>IF(ISERROR(IF(OR($D$38=$Y$27,$B199=""),"",VLOOKUP(B199,ÍNDICES!A:DE,AF$35+1))),"",IF(OR($D$38=$Y$27,$B199=""),"",VLOOKUP(B199,ÍNDICES!A:DE,AF$35+1)))</f>
        <v/>
      </c>
      <c r="E199" s="153"/>
      <c r="F199" s="29" t="str">
        <f>IF(E199="","",IF($L$35="SELIC - TRIBUTOS",VLOOKUP(DATE(YEAR($D$19),MONTH($D$19)-1,1),ÍNDICES!$A:$DE,HLOOKUP($BL$25,ÍNDICES!$B$3:$T$4,2)+11)-VLOOKUP(E199,ÍNDICES!$A:$DE,HLOOKUP($BL$25,ÍNDICES!$B$3:$T$4,2)+11)+1%,IF(F$38=$W$26,$J$35,IF(ISERROR(IF(E199&gt;$D$19,1,VLOOKUP(DATE(YEAR(E199),MONTH(E199)+IF($C$35=$S$23,1,0),1),ÍNDICES!$A:$DE,$Z$35+1))),"",IF(E199&gt;$D$19,1,VLOOKUP(DATE(YEAR(E199),MONTH(E199)+IF($C$35=$S$23,1,0),1),ÍNDICES!$A:$DE,$Z$35+1))))))</f>
        <v/>
      </c>
      <c r="G199" s="155"/>
      <c r="H199" s="156" t="str">
        <f t="shared" si="33"/>
        <v/>
      </c>
      <c r="I199" s="29" t="str">
        <f t="shared" si="27"/>
        <v/>
      </c>
      <c r="J199" s="5">
        <f t="shared" si="28"/>
        <v>0</v>
      </c>
      <c r="K199" s="20">
        <f t="shared" ca="1" si="29"/>
        <v>0</v>
      </c>
      <c r="L199" s="5">
        <f t="shared" ca="1" si="30"/>
        <v>0</v>
      </c>
      <c r="M199" s="64">
        <f t="shared" si="34"/>
        <v>0</v>
      </c>
      <c r="N199" s="61">
        <f t="shared" ca="1" si="35"/>
        <v>0</v>
      </c>
      <c r="O199" s="5">
        <f t="shared" ca="1" si="36"/>
        <v>0</v>
      </c>
      <c r="P199" s="446" t="e">
        <f t="shared" si="31"/>
        <v>#VALUE!</v>
      </c>
      <c r="Q199" s="446" t="e">
        <f>IF(OR($B199="",MIN(Q$38,$D$19)&lt;MAX($P$34*($B199+IF($R$17="Distrato",$I$38-1,0)),IF(AND($L$37=0,$P$34=0),"",$L$37-1),IF($R$17="Distrato",$E199,0))),0,YEARFRAC(MAX($P$34*($B199+IF($R$17="Distrato",$I$38-1,0)),IF(AND($L$37=0,$P$34=0),"",$L$37-1),IF($R$17="Distrato",$E199,0)),MIN(Q$38,$D$19),$P$20))-SUM($P199:P199)</f>
        <v>#VALUE!</v>
      </c>
      <c r="R199" s="446" t="e">
        <f>IF(OR($B199="",MIN(R$38,$D$19)&lt;MAX($P$34*($B199+IF($R$17="Distrato",$I$38-1,0)),IF(AND($L$37=0,$P$34=0),"",$L$37-1),IF($R$17="Distrato",$E199,0))),0,YEARFRAC(MAX($P$34*($B199+IF($R$17="Distrato",$I$38-1,0)),IF(AND($L$37=0,$P$34=0),"",$L$37-1),IF($R$17="Distrato",$E199,0)),MIN(R$38,$D$19),$P$20))-SUM($P199:Q199)</f>
        <v>#VALUE!</v>
      </c>
      <c r="S199" s="446" t="e">
        <f>IF(OR($B199="",MIN(S$38,$D$19)&lt;MAX($P$34*($B199+IF($R$17="Distrato",$I$38-1,0)),IF(AND($L$37=0,$P$34=0),"",$L$37-1),IF($R$17="Distrato",$E199,0))),0,YEARFRAC(MAX($P$34*($B199+IF($R$17="Distrato",$I$38-1,0)),IF(AND($L$37=0,$P$34=0),"",$L$37-1),IF($R$17="Distrato",$E199,0)),MIN(S$38,$D$19),$P$20))-SUM($P199:R199)</f>
        <v>#VALUE!</v>
      </c>
      <c r="T199" s="446" t="e">
        <f>IF(OR($B199="",MIN(T$38,$D$19)&lt;MAX($P$34*($B199+IF($R$17="Distrato",$I$38-1,0)),IF(AND($L$37=0,$P$34=0),"",$L$37-1),IF($R$17="Distrato",$E199,0))),0,YEARFRAC(MAX($P$34*($B199+IF($R$17="Distrato",$I$38-1,0)),IF(AND($L$37=0,$P$34=0),"",$L$37-1),IF($R$17="Distrato",$E199,0)),MIN(T$38,$D$19),$P$20))-SUM($P199:S199)</f>
        <v>#VALUE!</v>
      </c>
      <c r="U199" s="446" t="e">
        <f>IF(OR($B199="",MIN(U$38,$D$19)&lt;MAX($P$34*($B199+IF($R$17="Distrato",$I$38-1,0)),IF(AND($L$37=0,$P$34=0),"",$L$37-1),IF($R$17="Distrato",$E199,0))),0,YEARFRAC(MAX($P$34*($B199+IF($R$17="Distrato",$I$38-1,0)),IF(AND($L$37=0,$P$34=0),"",$L$37-1),IF($R$17="Distrato",$E199,0)),MIN(U$38,$D$19),$P$20))-SUM($P199:T199)</f>
        <v>#VALUE!</v>
      </c>
      <c r="V199" s="446" t="e">
        <f>IF(OR($B199="",MIN(V$38,$D$19)&lt;MAX($P$34*($B199+IF($R$17="Distrato",$I$38-1,0)),IF(AND($L$37=0,$P$34=0),"",$L$37-1),IF($R$17="Distrato",$E199,0))),0,YEARFRAC(MAX($P$34*($B199+IF($R$17="Distrato",$I$38-1,0)),IF(AND($L$37=0,$P$34=0),"",$L$37-1),IF($R$17="Distrato",$E199,0)),MIN(V$38,$D$19),$P$20))-SUM($P199:U199)</f>
        <v>#VALUE!</v>
      </c>
      <c r="W199" s="446" t="e">
        <f>IF(OR($B199="",MIN(W$38,$D$19)&lt;MAX($P$34*($B199+IF($R$17="Distrato",$I$38-1,0)),IF(AND($L$37=0,$P$34=0),"",$L$37-1),IF($R$17="Distrato",$E199,0))),0,YEARFRAC(MAX($P$34*($B199+IF($R$17="Distrato",$I$38-1,0)),IF(AND($L$37=0,$P$34=0),"",$L$37-1),IF($R$17="Distrato",$E199,0)),MIN(W$38,$D$19),$P$20))-SUM($P199:V199)</f>
        <v>#VALUE!</v>
      </c>
      <c r="X199" s="446" t="e">
        <f>IF(OR($B199="",MIN(X$38,$D$19)&lt;MAX($P$34*($B199+IF($R$17="Distrato",$I$38-1,0)),IF(AND($L$37=0,$P$34=0),"",$L$37-1),IF($R$17="Distrato",$E199,0))),0,YEARFRAC(MAX($P$34*($B199+IF($R$17="Distrato",$I$38-1,0)),IF(AND($L$37=0,$P$34=0),"",$L$37-1),IF($R$17="Distrato",$E199,0)),MIN(X$38,$D$19),$P$20))-SUM($P199:W199)</f>
        <v>#VALUE!</v>
      </c>
      <c r="Y199" s="446" t="e">
        <f>IF(OR($B199="",MIN(Y$38,$D$19)&lt;MAX($P$34*($B199+IF($R$17="Distrato",$I$38-1,0)),IF(AND($L$37=0,$P$34=0),"",$L$37-1),IF($R$17="Distrato",$E199,0))),0,YEARFRAC(MAX($P$34*($B199+IF($R$17="Distrato",$I$38-1,0)),IF(AND($L$37=0,$P$34=0),"",$L$37-1),IF($R$17="Distrato",$E199,0)),MIN(Y$38,$D$19),$P$20))-SUM($P199:X199)</f>
        <v>#VALUE!</v>
      </c>
      <c r="Z199" s="446" t="e">
        <f>IF(OR($B199="",MIN(Z$38,$D$19)&lt;MAX($P$34*($B199+IF($R$17="Distrato",$I$38-1,0)),IF(AND($L$37=0,$P$34=0),"",$L$37-1),IF($R$17="Distrato",$E199,0))),0,YEARFRAC(MAX($P$34*($B199+IF($R$17="Distrato",$I$38-1,0)),IF(AND($L$37=0,$P$34=0),"",$L$37-1),IF($R$17="Distrato",$E199,0)),MIN(Z$38,$D$19),$P$20))-SUM($P199:Y199)</f>
        <v>#VALUE!</v>
      </c>
      <c r="AA199" s="446" t="e">
        <f>IF(OR($B199="",MIN(AA$38,$D$19)&lt;MAX($P$34*($B199+IF($R$17="Distrato",$I$38-1,0)),IF(AND($L$37=0,$P$34=0),"",$L$37-1),IF($R$17="Distrato",$E199,0))),0,YEARFRAC(MAX($P$34*($B199+IF($R$17="Distrato",$I$38-1,0)),IF(AND($L$37=0,$P$34=0),"",$L$37-1),IF($R$17="Distrato",$E199,0)),MIN(AA$38,$D$19),$P$20))-SUM($P199:Z199)</f>
        <v>#VALUE!</v>
      </c>
      <c r="AB199" s="446" t="e">
        <f>IF(OR($B199="",MIN(AB$38,$D$19)&lt;MAX($P$34*($B199+IF($R$17="Distrato",$I$38-1,0)),IF(AND($L$37=0,$P$34=0),"",$L$37-1),IF($R$17="Distrato",$E199,0))),0,YEARFRAC(MAX($P$34*($B199+IF($R$17="Distrato",$I$38-1,0)),IF(AND($L$37=0,$P$34=0),"",$L$37-1),IF($R$17="Distrato",$E199,0)),MIN(AB$38,$D$19),$P$20))-SUM($P199:AA199)</f>
        <v>#VALUE!</v>
      </c>
      <c r="AC199" s="446" t="e">
        <f>IF(OR($B199="",MIN(AC$38,$D$19)&lt;MAX($P$34*($B199+IF($R$17="Distrato",$I$38-1,0)),IF(AND($L$37=0,$P$34=0),"",$L$37-1),IF($R$17="Distrato",$E199,0))),0,YEARFRAC(MAX($P$34*($B199+IF($R$17="Distrato",$I$38-1,0)),IF(AND($L$37=0,$P$34=0),"",$L$37-1),IF($R$17="Distrato",$E199,0)),MIN(AC$38,$D$19),$P$20))-SUM($P199:AB199)</f>
        <v>#VALUE!</v>
      </c>
      <c r="AD199" s="446" t="e">
        <f>IF(OR($B199="",MIN(AD$38,$D$19)&lt;MAX($P$34*($B199+IF($R$17="Distrato",$I$38-1,0)),IF(AND($L$37=0,$P$34=0),"",$L$37-1),IF($R$17="Distrato",$E199,0))),0,YEARFRAC(MAX($P$34*($B199+IF($R$17="Distrato",$I$38-1,0)),IF(AND($L$37=0,$P$34=0),"",$L$37-1),IF($R$17="Distrato",$E199,0)),MIN(AD$38,$D$19),$P$20))-SUM($P199:AC199)</f>
        <v>#VALUE!</v>
      </c>
      <c r="AE199" s="446" t="e">
        <f>IF(OR($B199="",MIN(AE$38,$D$19)&lt;MAX($P$34*($B199+IF($R$17="Distrato",$I$38-1,0)),IF(AND($L$37=0,$P$34=0),"",$L$37-1),IF($R$17="Distrato",$E199,0))),0,YEARFRAC(MAX($P$34*($B199+IF($R$17="Distrato",$I$38-1,0)),IF(AND($L$37=0,$P$34=0),"",$L$37-1),IF($R$17="Distrato",$E199,0)),MIN(AE$38,$D$19),$P$20))-SUM($P199:AD199)</f>
        <v>#VALUE!</v>
      </c>
      <c r="AF199" s="446" t="e">
        <f>IF(OR($B199="",MIN(AF$38,$D$19)&lt;MAX($P$34*($B199+IF($R$17="Distrato",$I$38-1,0)),IF(AND($L$37=0,$P$34=0),"",$L$37-1),IF($R$17="Distrato",$E199,0))),0,YEARFRAC(MAX($P$34*($B199+IF($R$17="Distrato",$I$38-1,0)),IF(AND($L$37=0,$P$34=0),"",$L$37-1),IF($R$17="Distrato",$E199,0)),MIN(AF$38,$D$19),$P$20))-SUM($P199:AE199)</f>
        <v>#VALUE!</v>
      </c>
      <c r="AG199" s="446" t="e">
        <f>IF(OR($B199="",MIN(AG$38,$D$19)&lt;MAX($P$34*($B199+IF($R$17="Distrato",$I$38-1,0)),IF(AND($L$37=0,$P$34=0),"",$L$37-1),IF($R$17="Distrato",$E199,0))),0,YEARFRAC(MAX($P$34*($B199+IF($R$17="Distrato",$I$38-1,0)),IF(AND($L$37=0,$P$34=0),"",$L$37-1),IF($R$17="Distrato",$E199,0)),MIN(AG$38,$D$19),$P$20))-SUM($P199:AF199)</f>
        <v>#VALUE!</v>
      </c>
      <c r="AH199" s="446" t="e">
        <f>IF(OR($B199="",MIN(AH$38,$D$19)&lt;MAX($P$34*($B199+IF($R$17="Distrato",$I$38-1,0)),IF(AND($L$37=0,$P$34=0),"",$L$37-1),IF($R$17="Distrato",$E199,0))),0,YEARFRAC(MAX($P$34*($B199+IF($R$17="Distrato",$I$38-1,0)),IF(AND($L$37=0,$P$34=0),"",$L$37-1),IF($R$17="Distrato",$E199,0)),MIN(AH$38,$D$19),$P$20))-SUM($P199:AG199)</f>
        <v>#VALUE!</v>
      </c>
      <c r="AI199" s="446" t="e">
        <f>IF(OR($B199="",MIN(AI$38,$D$19)&lt;MAX($P$34*($B199+IF($R$17="Distrato",$I$38-1,0)),IF(AND($L$37=0,$P$34=0),"",$L$37-1),IF($R$17="Distrato",$E199,0))),0,YEARFRAC(MAX($P$34*($B199+IF($R$17="Distrato",$I$38-1,0)),IF(AND($L$37=0,$P$34=0),"",$L$37-1),IF($R$17="Distrato",$E199,0)),MIN(AI$38,$D$19),$P$20))-SUM($P199:AH199)</f>
        <v>#VALUE!</v>
      </c>
      <c r="AJ199" s="446" t="e">
        <f>IF(OR($B199="",MIN(AJ$38,$D$19)&lt;MAX($P$34*($B199+IF($R$17="Distrato",$I$38-1,0)),IF(AND($L$37=0,$P$34=0),"",$L$37-1),IF($R$17="Distrato",$E199,0))),0,YEARFRAC(MAX($P$34*($B199+IF($R$17="Distrato",$I$38-1,0)),IF(AND($L$37=0,$P$34=0),"",$L$37-1),IF($R$17="Distrato",$E199,0)),MIN(AJ$38,$D$19),$P$20))-SUM($P199:AI199)</f>
        <v>#VALUE!</v>
      </c>
      <c r="AK199" s="446" t="e">
        <f>IF(OR($B199="",MIN(AK$38,$D$19)&lt;MAX($P$34*($B199+IF($R$17="Distrato",$I$38-1,0)),IF(AND($L$37=0,$P$34=0),"",$L$37-1),IF($R$17="Distrato",$E199,0))),0,YEARFRAC(MAX($P$34*($B199+IF($R$17="Distrato",$I$38-1,0)),IF(AND($L$37=0,$P$34=0),"",$L$37-1),IF($R$17="Distrato",$E199,0)),MIN(AK$38,$D$19),$P$20))-SUM($P199:AJ199)</f>
        <v>#VALUE!</v>
      </c>
      <c r="AL199" s="446" t="e">
        <f>IF(OR($B199="",MIN(AL$38,$D$19)&lt;MAX($P$34*($B199+IF($R$17="Distrato",$I$38-1,0)),IF(AND($L$37=0,$P$34=0),"",$L$37-1),IF($R$17="Distrato",$E199,0))),0,YEARFRAC(MAX($P$34*($B199+IF($R$17="Distrato",$I$38-1,0)),IF(AND($L$37=0,$P$34=0),"",$L$37-1),IF($R$17="Distrato",$E199,0)),MIN(AL$38,$D$19),$P$20))-SUM($P199:AK199)</f>
        <v>#VALUE!</v>
      </c>
      <c r="AM199" s="446" t="e">
        <f>IF(OR($B199="",MIN(AM$38,$D$19)&lt;MAX($P$34*($B199+IF($R$17="Distrato",$I$38-1,0)),IF(AND($L$37=0,$P$34=0),"",$L$37-1),IF($R$17="Distrato",$E199,0))),0,YEARFRAC(MAX($P$34*($B199+IF($R$17="Distrato",$I$38-1,0)),IF(AND($L$37=0,$P$34=0),"",$L$37-1),IF($R$17="Distrato",$E199,0)),MIN(AM$38,$D$19),$P$20))-SUM($P199:AL199)</f>
        <v>#VALUE!</v>
      </c>
      <c r="AN199" s="446" t="e">
        <f>IF(OR($B199="",MIN(AN$38,$D$19)&lt;MAX($P$34*($B199+IF($R$17="Distrato",$I$38-1,0)),IF(AND($L$37=0,$P$34=0),"",$L$37-1),IF($R$17="Distrato",$E199,0))),0,YEARFRAC(MAX($P$34*($B199+IF($R$17="Distrato",$I$38-1,0)),IF(AND($L$37=0,$P$34=0),"",$L$37-1),IF($R$17="Distrato",$E199,0)),MIN(AN$38,$D$19),$P$20))-SUM($P199:AM199)</f>
        <v>#VALUE!</v>
      </c>
      <c r="AO199" s="446" t="e">
        <f>IF(OR($B199="",MIN(AO$38,$D$19)&lt;MAX($P$34*($B199+IF($R$17="Distrato",$I$38-1,0)),IF(AND($L$37=0,$P$34=0),"",$L$37-1),IF($R$17="Distrato",$E199,0))),0,YEARFRAC(MAX($P$34*($B199+IF($R$17="Distrato",$I$38-1,0)),IF(AND($L$37=0,$P$34=0),"",$L$37-1),IF($R$17="Distrato",$E199,0)),MIN(AO$38,$D$19),$P$20))-SUM($P199:AN199)</f>
        <v>#VALUE!</v>
      </c>
      <c r="AP199" s="446" t="e">
        <f>IF(OR($B199="",MIN(AP$38,$D$19)&lt;MAX($P$34*($B199+IF($R$17="Distrato",$I$38-1,0)),IF(AND($L$37=0,$P$34=0),"",$L$37-1),IF($R$17="Distrato",$E199,0))),0,YEARFRAC(MAX($P$34*($B199+IF($R$17="Distrato",$I$38-1,0)),IF(AND($L$37=0,$P$34=0),"",$L$37-1),IF($R$17="Distrato",$E199,0)),MIN(AP$38,$D$19),$P$20))-SUM($P199:AO199)</f>
        <v>#VALUE!</v>
      </c>
      <c r="AQ199" s="446" t="e">
        <f>IF(OR($B199="",MIN(AQ$38,$D$19)&lt;MAX($P$34*($B199+IF($R$17="Distrato",$I$38-1,0)),IF(AND($L$37=0,$P$34=0),"",$L$37-1),IF($R$17="Distrato",$E199,0))),0,YEARFRAC(MAX($P$34*($B199+IF($R$17="Distrato",$I$38-1,0)),IF(AND($L$37=0,$P$34=0),"",$L$37-1),IF($R$17="Distrato",$E199,0)),MIN(AQ$38,$D$19),$P$20))-SUM($P199:AP199)</f>
        <v>#VALUE!</v>
      </c>
      <c r="AR199" s="446" t="e">
        <f>IF(OR($B199="",MIN(AR$38,$D$19)&lt;MAX($P$34*($B199+IF($R$17="Distrato",$I$38-1,0)),IF(AND($L$37=0,$P$34=0),"",$L$37-1),IF($R$17="Distrato",$E199,0))),0,YEARFRAC(MAX($P$34*($B199+IF($R$17="Distrato",$I$38-1,0)),IF(AND($L$37=0,$P$34=0),"",$L$37-1),IF($R$17="Distrato",$E199,0)),MIN(AR$38,$D$19),$P$20))-SUM($P199:AQ199)</f>
        <v>#VALUE!</v>
      </c>
      <c r="AS199" s="446" t="e">
        <f>IF(OR($B199="",MIN(AS$38,$D$19)&lt;MAX($P$34*($B199+IF($R$17="Distrato",$I$38-1,0)),IF(AND($L$37=0,$P$34=0),"",$L$37-1),IF($R$17="Distrato",$E199,0))),0,YEARFRAC(MAX($P$34*($B199+IF($R$17="Distrato",$I$38-1,0)),IF(AND($L$37=0,$P$34=0),"",$L$37-1),IF($R$17="Distrato",$E199,0)),MIN(AS$38,$D$19),$P$20))-SUM($P199:AR199)</f>
        <v>#VALUE!</v>
      </c>
      <c r="AT199" s="446" t="e">
        <f>IF(OR($B199="",MIN(AT$38,$D$19)&lt;MAX($P$34*($B199+IF($R$17="Distrato",$I$38-1,0)),IF(AND($L$37=0,$P$34=0),"",$L$37-1),IF($R$17="Distrato",$E199,0))),0,YEARFRAC(MAX($P$34*($B199+IF($R$17="Distrato",$I$38-1,0)),IF(AND($L$37=0,$P$34=0),"",$L$37-1),IF($R$17="Distrato",$E199,0)),MIN(AT$38,$D$19),$P$20))-SUM($P199:AS199)</f>
        <v>#VALUE!</v>
      </c>
      <c r="AU199" s="446" t="e">
        <f>IF(OR($B199="",MIN(AU$38,$D$19)&lt;MAX($P$34*($B199+IF($R$17="Distrato",$I$38-1,0)),IF(AND($L$37=0,$P$34=0),"",$L$37-1),IF($R$17="Distrato",$E199,0))),0,YEARFRAC(MAX($P$34*($B199+IF($R$17="Distrato",$I$38-1,0)),IF(AND($L$37=0,$P$34=0),"",$L$37-1),IF($R$17="Distrato",$E199,0)),MIN(AU$38,$D$19),$P$20))-SUM($P199:AT199)</f>
        <v>#VALUE!</v>
      </c>
      <c r="AV199" s="446" t="e">
        <f>IF(OR($B199="",MIN(AV$38,$D$19)&lt;MAX($P$34*($B199+IF($R$17="Distrato",$I$38-1,0)),IF(AND($L$37=0,$P$34=0),"",$L$37-1),IF($R$17="Distrato",$E199,0))),0,YEARFRAC(MAX($P$34*($B199+IF($R$17="Distrato",$I$38-1,0)),IF(AND($L$37=0,$P$34=0),"",$L$37-1),IF($R$17="Distrato",$E199,0)),MIN(AV$38,$D$19),$P$20))-SUM($P199:AU199)</f>
        <v>#VALUE!</v>
      </c>
      <c r="AW199" s="446" t="e">
        <f>IF(OR($B199="",MIN(AW$38,$D$19)&lt;MAX($P$34*($B199+IF($R$17="Distrato",$I$38-1,0)),IF(AND($L$37=0,$P$34=0),"",$L$37-1),IF($R$17="Distrato",$E199,0))),0,YEARFRAC(MAX($P$34*($B199+IF($R$17="Distrato",$I$38-1,0)),IF(AND($L$37=0,$P$34=0),"",$L$37-1),IF($R$17="Distrato",$E199,0)),MIN(AW$38,$D$19),$P$20))-SUM($P199:AV199)</f>
        <v>#VALUE!</v>
      </c>
      <c r="AX199" s="446" t="e">
        <f>IF(OR($B199="",MIN(AX$38,$D$19)&lt;MAX($P$34*($B199+IF($R$17="Distrato",$I$38-1,0)),IF(AND($L$37=0,$P$34=0),"",$L$37-1),IF($R$17="Distrato",$E199,0))),0,YEARFRAC(MAX($P$34*($B199+IF($R$17="Distrato",$I$38-1,0)),IF(AND($L$37=0,$P$34=0),"",$L$37-1),IF($R$17="Distrato",$E199,0)),MIN(AX$38,$D$19),$P$20))-SUM($P199:AW199)</f>
        <v>#VALUE!</v>
      </c>
      <c r="AY199" s="446" t="e">
        <f>IF(OR($B199="",MIN(AY$38,$D$19)&lt;MAX($P$34*($B199+IF($R$17="Distrato",$I$38-1,0)),IF(AND($L$37=0,$P$34=0),"",$L$37-1),IF($R$17="Distrato",$E199,0))),0,YEARFRAC(MAX($P$34*($B199+IF($R$17="Distrato",$I$38-1,0)),IF(AND($L$37=0,$P$34=0),"",$L$37-1),IF($R$17="Distrato",$E199,0)),MIN(AY$38,$D$19),$P$20))-SUM($P199:AX199)</f>
        <v>#VALUE!</v>
      </c>
      <c r="AZ199" s="446" t="e">
        <f>IF(OR($B199="",MIN(AZ$38,$D$19)&lt;MAX($P$34*($B199+IF($R$17="Distrato",$I$38-1,0)),IF(AND($L$37=0,$P$34=0),"",$L$37-1),IF($R$17="Distrato",$E199,0))),0,YEARFRAC(MAX($P$34*($B199+IF($R$17="Distrato",$I$38-1,0)),IF(AND($L$37=0,$P$34=0),"",$L$37-1),IF($R$17="Distrato",$E199,0)),MIN(AZ$38,$D$19),$P$20))-SUM($P199:AY199)</f>
        <v>#VALUE!</v>
      </c>
      <c r="BA199" s="446" t="e">
        <f>IF(OR($B199="",MIN(BA$38,$D$19)&lt;MAX($P$34*($B199+IF($R$17="Distrato",$I$38-1,0)),IF(AND($L$37=0,$P$34=0),"",$L$37-1),IF($R$17="Distrato",$E199,0))),0,YEARFRAC(MAX($P$34*($B199+IF($R$17="Distrato",$I$38-1,0)),IF(AND($L$37=0,$P$34=0),"",$L$37-1),IF($R$17="Distrato",$E199,0)),MIN(BA$38,$D$19),$P$20))-SUM($P199:AZ199)</f>
        <v>#VALUE!</v>
      </c>
      <c r="BB199" s="447"/>
      <c r="BF199" s="446">
        <f t="shared" si="32"/>
        <v>0</v>
      </c>
      <c r="BG199" s="446">
        <f>IF($E199=0,0,IF(MIN(BG$38,$E199)&lt;MAX($P$34*($B199+$I$38-1),IF(AND($L$37=0,$P$34=0),"",$L$37-1)),0,YEARFRAC(MAX($P$34*($B199+$I$38-1),IF(AND($L$37=0,$P$34=0),"",$L$37-1)),MIN(BG$38,$E199),$P$20))-SUM($BF199:BF199))</f>
        <v>0</v>
      </c>
      <c r="BH199" s="446">
        <f>IF($E199=0,0,IF(MIN(BH$38,$E199)&lt;MAX($P$34*($B199+$I$38-1),IF(AND($L$37=0,$P$34=0),"",$L$37-1)),0,YEARFRAC(MAX($P$34*($B199+$I$38-1),IF(AND($L$37=0,$P$34=0),"",$L$37-1)),MIN(BH$38,$E199),$P$20))-SUM($BF199:BG199))</f>
        <v>0</v>
      </c>
      <c r="BI199" s="446">
        <f>IF($E199=0,0,IF(MIN(BI$38,$E199)&lt;MAX($P$34*($B199+$I$38-1),IF(AND($L$37=0,$P$34=0),"",$L$37-1)),0,YEARFRAC(MAX($P$34*($B199+$I$38-1),IF(AND($L$37=0,$P$34=0),"",$L$37-1)),MIN(BI$38,$E199),$P$20))-SUM($BF199:BH199))</f>
        <v>0</v>
      </c>
      <c r="BJ199" s="446">
        <f>IF($E199=0,0,IF(MIN(BJ$38,$E199)&lt;MAX($P$34*($B199+$I$38-1),IF(AND($L$37=0,$P$34=0),"",$L$37-1)),0,YEARFRAC(MAX($P$34*($B199+$I$38-1),IF(AND($L$37=0,$P$34=0),"",$L$37-1)),MIN(BJ$38,$E199),$P$20))-SUM($BF199:BI199))</f>
        <v>0</v>
      </c>
      <c r="BK199" s="446">
        <f>IF($E199=0,0,IF(MIN(BK$38,$E199)&lt;MAX($P$34*($B199+$I$38-1),IF(AND($L$37=0,$P$34=0),"",$L$37-1)),0,YEARFRAC(MAX($P$34*($B199+$I$38-1),IF(AND($L$37=0,$P$34=0),"",$L$37-1)),MIN(BK$38,$E199),$P$20))-SUM($BF199:BJ199))</f>
        <v>0</v>
      </c>
      <c r="BL199" s="446">
        <f>IF($E199=0,0,IF(MIN(BL$38,$E199)&lt;MAX($P$34*($B199+$I$38-1),IF(AND($L$37=0,$P$34=0),"",$L$37-1)),0,YEARFRAC(MAX($P$34*($B199+$I$38-1),IF(AND($L$37=0,$P$34=0),"",$L$37-1)),MIN(BL$38,$E199),$P$20))-SUM($BF199:BK199))</f>
        <v>0</v>
      </c>
      <c r="BM199" s="446">
        <f>IF($E199=0,0,IF(MIN(BM$38,$E199)&lt;MAX($P$34*($B199+$I$38-1),IF(AND($L$37=0,$P$34=0),"",$L$37-1)),0,YEARFRAC(MAX($P$34*($B199+$I$38-1),IF(AND($L$37=0,$P$34=0),"",$L$37-1)),MIN(BM$38,$E199),$P$20))-SUM($BF199:BL199))</f>
        <v>0</v>
      </c>
      <c r="BN199" s="446">
        <f>IF($E199=0,0,IF(MIN(BN$38,$E199)&lt;MAX($P$34*($B199+$I$38-1),IF(AND($L$37=0,$P$34=0),"",$L$37-1)),0,YEARFRAC(MAX($P$34*($B199+$I$38-1),IF(AND($L$37=0,$P$34=0),"",$L$37-1)),MIN(BN$38,$E199),$P$20))-SUM($BF199:BM199))</f>
        <v>0</v>
      </c>
      <c r="BO199" s="446">
        <f>IF($E199=0,0,IF(MIN(BO$38,$E199)&lt;MAX($P$34*($B199+$I$38-1),IF(AND($L$37=0,$P$34=0),"",$L$37-1)),0,YEARFRAC(MAX($P$34*($B199+$I$38-1),IF(AND($L$37=0,$P$34=0),"",$L$37-1)),MIN(BO$38,$E199),$P$20))-SUM($BF199:BN199))</f>
        <v>0</v>
      </c>
      <c r="BP199" s="446">
        <f>IF($E199=0,0,IF(MIN(BP$38,$E199)&lt;MAX($P$34*($B199+$I$38-1),IF(AND($L$37=0,$P$34=0),"",$L$37-1)),0,YEARFRAC(MAX($P$34*($B199+$I$38-1),IF(AND($L$37=0,$P$34=0),"",$L$37-1)),MIN(BP$38,$E199),$P$20))-SUM($BF199:BO199))</f>
        <v>0</v>
      </c>
      <c r="BQ199" s="446">
        <f>IF($E199=0,0,IF(MIN(BQ$38,$E199)&lt;MAX($P$34*($B199+$I$38-1),IF(AND($L$37=0,$P$34=0),"",$L$37-1)),0,YEARFRAC(MAX($P$34*($B199+$I$38-1),IF(AND($L$37=0,$P$34=0),"",$L$37-1)),MIN(BQ$38,$E199),$P$20))-SUM($BF199:BP199))</f>
        <v>0</v>
      </c>
      <c r="BR199" s="446">
        <f>IF($E199=0,0,IF(MIN(BR$38,$E199)&lt;MAX($P$34*($B199+$I$38-1),IF(AND($L$37=0,$P$34=0),"",$L$37-1)),0,YEARFRAC(MAX($P$34*($B199+$I$38-1),IF(AND($L$37=0,$P$34=0),"",$L$37-1)),MIN(BR$38,$E199),$P$20))-SUM($BF199:BQ199))</f>
        <v>0</v>
      </c>
      <c r="BS199" s="446">
        <f>IF($E199=0,0,IF(MIN(BS$38,$E199)&lt;MAX($P$34*($B199+$I$38-1),IF(AND($L$37=0,$P$34=0),"",$L$37-1)),0,YEARFRAC(MAX($P$34*($B199+$I$38-1),IF(AND($L$37=0,$P$34=0),"",$L$37-1)),MIN(BS$38,$E199),$P$20))-SUM($BF199:BR199))</f>
        <v>0</v>
      </c>
      <c r="BT199" s="446">
        <f>IF($E199=0,0,IF(MIN(BT$38,$E199)&lt;MAX($P$34*($B199+$I$38-1),IF(AND($L$37=0,$P$34=0),"",$L$37-1)),0,YEARFRAC(MAX($P$34*($B199+$I$38-1),IF(AND($L$37=0,$P$34=0),"",$L$37-1)),MIN(BT$38,$E199),$P$20))-SUM($BF199:BS199))</f>
        <v>0</v>
      </c>
      <c r="BU199" s="446">
        <f>IF($E199=0,0,IF(MIN(BU$38,$E199)&lt;MAX($P$34*($B199+$I$38-1),IF(AND($L$37=0,$P$34=0),"",$L$37-1)),0,YEARFRAC(MAX($P$34*($B199+$I$38-1),IF(AND($L$37=0,$P$34=0),"",$L$37-1)),MIN(BU$38,$E199),$P$20))-SUM($BF199:BT199))</f>
        <v>0</v>
      </c>
      <c r="BV199" s="446">
        <f>IF($E199=0,0,IF(MIN(BV$38,$E199)&lt;MAX($P$34*($B199+$I$38-1),IF(AND($L$37=0,$P$34=0),"",$L$37-1)),0,YEARFRAC(MAX($P$34*($B199+$I$38-1),IF(AND($L$37=0,$P$34=0),"",$L$37-1)),MIN(BV$38,$E199),$P$20))-SUM($BF199:BU199))</f>
        <v>0</v>
      </c>
      <c r="BW199" s="446">
        <f>IF($E199=0,0,IF(MIN(BW$38,$E199)&lt;MAX($P$34*($B199+$I$38-1),IF(AND($L$37=0,$P$34=0),"",$L$37-1)),0,YEARFRAC(MAX($P$34*($B199+$I$38-1),IF(AND($L$37=0,$P$34=0),"",$L$37-1)),MIN(BW$38,$E199),$P$20))-SUM($BF199:BV199))</f>
        <v>0</v>
      </c>
      <c r="BX199" s="446">
        <f>IF($E199=0,0,IF(MIN(BX$38,$E199)&lt;MAX($P$34*($B199+$I$38-1),IF(AND($L$37=0,$P$34=0),"",$L$37-1)),0,YEARFRAC(MAX($P$34*($B199+$I$38-1),IF(AND($L$37=0,$P$34=0),"",$L$37-1)),MIN(BX$38,$E199),$P$20))-SUM($BF199:BW199))</f>
        <v>0</v>
      </c>
      <c r="BY199" s="446">
        <f>IF($E199=0,0,IF(MIN(BY$38,$E199)&lt;MAX($P$34*($B199+$I$38-1),IF(AND($L$37=0,$P$34=0),"",$L$37-1)),0,YEARFRAC(MAX($P$34*($B199+$I$38-1),IF(AND($L$37=0,$P$34=0),"",$L$37-1)),MIN(BY$38,$E199),$P$20))-SUM($BF199:BX199))</f>
        <v>0</v>
      </c>
      <c r="BZ199" s="446">
        <f>IF($E199=0,0,IF(MIN(BZ$38,$E199)&lt;MAX($P$34*($B199+$I$38-1),IF(AND($L$37=0,$P$34=0),"",$L$37-1)),0,YEARFRAC(MAX($P$34*($B199+$I$38-1),IF(AND($L$37=0,$P$34=0),"",$L$37-1)),MIN(BZ$38,$E199),$P$20))-SUM($BF199:BY199))</f>
        <v>0</v>
      </c>
      <c r="CA199" s="446">
        <f>IF($E199=0,0,IF(MIN(CA$38,$E199)&lt;MAX($P$34*($B199+$I$38-1),IF(AND($L$37=0,$P$34=0),"",$L$37-1)),0,YEARFRAC(MAX($P$34*($B199+$I$38-1),IF(AND($L$37=0,$P$34=0),"",$L$37-1)),MIN(CA$38,$E199),$P$20))-SUM($BF199:BZ199))</f>
        <v>0</v>
      </c>
      <c r="CB199" s="446">
        <f>IF($E199=0,0,IF(MIN(CB$38,$E199)&lt;MAX($P$34*($B199+$I$38-1),IF(AND($L$37=0,$P$34=0),"",$L$37-1)),0,YEARFRAC(MAX($P$34*($B199+$I$38-1),IF(AND($L$37=0,$P$34=0),"",$L$37-1)),MIN(CB$38,$E199),$P$20))-SUM($BF199:CA199))</f>
        <v>0</v>
      </c>
      <c r="CC199" s="446">
        <f>IF($E199=0,0,IF(MIN(CC$38,$E199)&lt;MAX($P$34*($B199+$I$38-1),IF(AND($L$37=0,$P$34=0),"",$L$37-1)),0,YEARFRAC(MAX($P$34*($B199+$I$38-1),IF(AND($L$37=0,$P$34=0),"",$L$37-1)),MIN(CC$38,$E199),$P$20))-SUM($BF199:CB199))</f>
        <v>0</v>
      </c>
      <c r="CD199" s="446">
        <f>IF($E199=0,0,IF(MIN(CD$38,$E199)&lt;MAX($P$34*($B199+$I$38-1),IF(AND($L$37=0,$P$34=0),"",$L$37-1)),0,YEARFRAC(MAX($P$34*($B199+$I$38-1),IF(AND($L$37=0,$P$34=0),"",$L$37-1)),MIN(CD$38,$E199),$P$20))-SUM($BF199:CC199))</f>
        <v>0</v>
      </c>
      <c r="CE199" s="446">
        <f>IF($E199=0,0,IF(MIN(CE$38,$E199)&lt;MAX($P$34*($B199+$I$38-1),IF(AND($L$37=0,$P$34=0),"",$L$37-1)),0,YEARFRAC(MAX($P$34*($B199+$I$38-1),IF(AND($L$37=0,$P$34=0),"",$L$37-1)),MIN(CE$38,$E199),$P$20))-SUM($BF199:CD199))</f>
        <v>0</v>
      </c>
      <c r="CF199" s="446">
        <f>IF($E199=0,0,IF(MIN(CF$38,$E199)&lt;MAX($P$34*($B199+$I$38-1),IF(AND($L$37=0,$P$34=0),"",$L$37-1)),0,YEARFRAC(MAX($P$34*($B199+$I$38-1),IF(AND($L$37=0,$P$34=0),"",$L$37-1)),MIN(CF$38,$E199),$P$20))-SUM($BF199:CE199))</f>
        <v>0</v>
      </c>
      <c r="CG199" s="446">
        <f>IF($E199=0,0,IF(MIN(CG$38,$E199)&lt;MAX($P$34*($B199+$I$38-1),IF(AND($L$37=0,$P$34=0),"",$L$37-1)),0,YEARFRAC(MAX($P$34*($B199+$I$38-1),IF(AND($L$37=0,$P$34=0),"",$L$37-1)),MIN(CG$38,$E199),$P$20))-SUM($BF199:CF199))</f>
        <v>0</v>
      </c>
      <c r="CH199" s="446">
        <f>IF($E199=0,0,IF(MIN(CH$38,$E199)&lt;MAX($P$34*($B199+$I$38-1),IF(AND($L$37=0,$P$34=0),"",$L$37-1)),0,YEARFRAC(MAX($P$34*($B199+$I$38-1),IF(AND($L$37=0,$P$34=0),"",$L$37-1)),MIN(CH$38,$E199),$P$20))-SUM($BF199:CG199))</f>
        <v>0</v>
      </c>
      <c r="CI199" s="446">
        <f>IF($E199=0,0,IF(MIN(CI$38,$E199)&lt;MAX($P$34*($B199+$I$38-1),IF(AND($L$37=0,$P$34=0),"",$L$37-1)),0,YEARFRAC(MAX($P$34*($B199+$I$38-1),IF(AND($L$37=0,$P$34=0),"",$L$37-1)),MIN(CI$38,$E199),$P$20))-SUM($BF199:CH199))</f>
        <v>0</v>
      </c>
      <c r="CJ199" s="446">
        <f>IF($E199=0,0,IF(MIN(CJ$38,$E199)&lt;MAX($P$34*($B199+$I$38-1),IF(AND($L$37=0,$P$34=0),"",$L$37-1)),0,YEARFRAC(MAX($P$34*($B199+$I$38-1),IF(AND($L$37=0,$P$34=0),"",$L$37-1)),MIN(CJ$38,$E199),$P$20))-SUM($BF199:CI199))</f>
        <v>0</v>
      </c>
      <c r="CK199" s="446">
        <f>IF($E199=0,0,IF(MIN(CK$38,$E199)&lt;MAX($P$34*($B199+$I$38-1),IF(AND($L$37=0,$P$34=0),"",$L$37-1)),0,YEARFRAC(MAX($P$34*($B199+$I$38-1),IF(AND($L$37=0,$P$34=0),"",$L$37-1)),MIN(CK$38,$E199),$P$20))-SUM($BF199:CJ199))</f>
        <v>0</v>
      </c>
      <c r="CL199" s="446">
        <f>IF($E199=0,0,IF(MIN(CL$38,$E199)&lt;MAX($P$34*($B199+$I$38-1),IF(AND($L$37=0,$P$34=0),"",$L$37-1)),0,YEARFRAC(MAX($P$34*($B199+$I$38-1),IF(AND($L$37=0,$P$34=0),"",$L$37-1)),MIN(CL$38,$E199),$P$20))-SUM($BF199:CK199))</f>
        <v>0</v>
      </c>
      <c r="CM199" s="446">
        <f>IF($E199=0,0,IF(MIN(CM$38,$E199)&lt;MAX($P$34*($B199+$I$38-1),IF(AND($L$37=0,$P$34=0),"",$L$37-1)),0,YEARFRAC(MAX($P$34*($B199+$I$38-1),IF(AND($L$37=0,$P$34=0),"",$L$37-1)),MIN(CM$38,$E199),$P$20))-SUM($BF199:CL199))</f>
        <v>0</v>
      </c>
      <c r="CN199" s="446">
        <f>IF($E199=0,0,IF(MIN(CN$38,$E199)&lt;MAX($P$34*($B199+$I$38-1),IF(AND($L$37=0,$P$34=0),"",$L$37-1)),0,YEARFRAC(MAX($P$34*($B199+$I$38-1),IF(AND($L$37=0,$P$34=0),"",$L$37-1)),MIN(CN$38,$E199),$P$20))-SUM($BF199:CM199))</f>
        <v>0</v>
      </c>
      <c r="CO199" s="446">
        <f>IF($E199=0,0,IF(MIN(CO$38,$E199)&lt;MAX($P$34*($B199+$I$38-1),IF(AND($L$37=0,$P$34=0),"",$L$37-1)),0,YEARFRAC(MAX($P$34*($B199+$I$38-1),IF(AND($L$37=0,$P$34=0),"",$L$37-1)),MIN(CO$38,$E199),$P$20))-SUM($BF199:CN199))</f>
        <v>0</v>
      </c>
      <c r="CP199" s="446">
        <f>IF($E199=0,0,IF(MIN(CP$38,$E199)&lt;MAX($P$34*($B199+$I$38-1),IF(AND($L$37=0,$P$34=0),"",$L$37-1)),0,YEARFRAC(MAX($P$34*($B199+$I$38-1),IF(AND($L$37=0,$P$34=0),"",$L$37-1)),MIN(CP$38,$E199),$P$20))-SUM($BF199:CO199))</f>
        <v>0</v>
      </c>
      <c r="CQ199" s="446">
        <f>IF($E199=0,0,IF(MIN(CQ$38,$E199)&lt;MAX($P$34*($B199+$I$38-1),IF(AND($L$37=0,$P$34=0),"",$L$37-1)),0,YEARFRAC(MAX($P$34*($B199+$I$38-1),IF(AND($L$37=0,$P$34=0),"",$L$37-1)),MIN(CQ$38,$E199),$P$20))-SUM($BF199:CP199))</f>
        <v>0</v>
      </c>
    </row>
    <row r="200" spans="1:95" s="446" customFormat="1" ht="11.25" hidden="1" customHeight="1" x14ac:dyDescent="0.2">
      <c r="A200" s="152"/>
      <c r="B200" s="153" t="str">
        <f t="shared" si="37"/>
        <v/>
      </c>
      <c r="C200" s="29" t="str">
        <f>IF(B200="","",IF($L$35="SELIC - TRIBUTOS",VLOOKUP(DATE(YEAR($D$19),MONTH($D$19)-1,1),ÍNDICES!$A:$DE,HLOOKUP($BL$25,ÍNDICES!$B$3:$T$4,2)+11)-VLOOKUP(B200,ÍNDICES!$A:$DE,HLOOKUP($BL$25,ÍNDICES!$B$3:$T$4,2)+11)+1%,IF(C$38=$W$26,$J$35,IF(ISERROR(IF(B200&gt;$D$19,1,VLOOKUP(DATE(YEAR(B200),MONTH(B200)+IF($C$35=$S$23,1,0),1),ÍNDICES!$A:$DE,$Z$35+1))),"",IF(B200&gt;$D$19,1,VLOOKUP(DATE(YEAR(B200),MONTH(B200)+IF($C$35=$S$23,1,0),1),ÍNDICES!$A:$DE,$Z$35+1))))))</f>
        <v/>
      </c>
      <c r="D200" s="154" t="str">
        <f>IF(ISERROR(IF(OR($D$38=$Y$27,$B200=""),"",VLOOKUP(B200,ÍNDICES!A:DE,AF$35+1))),"",IF(OR($D$38=$Y$27,$B200=""),"",VLOOKUP(B200,ÍNDICES!A:DE,AF$35+1)))</f>
        <v/>
      </c>
      <c r="E200" s="153"/>
      <c r="F200" s="29" t="str">
        <f>IF(E200="","",IF($L$35="SELIC - TRIBUTOS",VLOOKUP(DATE(YEAR($D$19),MONTH($D$19)-1,1),ÍNDICES!$A:$DE,HLOOKUP($BL$25,ÍNDICES!$B$3:$T$4,2)+11)-VLOOKUP(E200,ÍNDICES!$A:$DE,HLOOKUP($BL$25,ÍNDICES!$B$3:$T$4,2)+11)+1%,IF(F$38=$W$26,$J$35,IF(ISERROR(IF(E200&gt;$D$19,1,VLOOKUP(DATE(YEAR(E200),MONTH(E200)+IF($C$35=$S$23,1,0),1),ÍNDICES!$A:$DE,$Z$35+1))),"",IF(E200&gt;$D$19,1,VLOOKUP(DATE(YEAR(E200),MONTH(E200)+IF($C$35=$S$23,1,0),1),ÍNDICES!$A:$DE,$Z$35+1))))))</f>
        <v/>
      </c>
      <c r="G200" s="155"/>
      <c r="H200" s="156" t="str">
        <f t="shared" si="33"/>
        <v/>
      </c>
      <c r="I200" s="29" t="str">
        <f t="shared" si="27"/>
        <v/>
      </c>
      <c r="J200" s="5">
        <f t="shared" si="28"/>
        <v>0</v>
      </c>
      <c r="K200" s="20">
        <f t="shared" ca="1" si="29"/>
        <v>0</v>
      </c>
      <c r="L200" s="5">
        <f t="shared" ca="1" si="30"/>
        <v>0</v>
      </c>
      <c r="M200" s="64">
        <f t="shared" si="34"/>
        <v>0</v>
      </c>
      <c r="N200" s="61">
        <f t="shared" ca="1" si="35"/>
        <v>0</v>
      </c>
      <c r="O200" s="5">
        <f t="shared" ca="1" si="36"/>
        <v>0</v>
      </c>
      <c r="P200" s="446" t="e">
        <f t="shared" si="31"/>
        <v>#VALUE!</v>
      </c>
      <c r="Q200" s="446" t="e">
        <f>IF(OR($B200="",MIN(Q$38,$D$19)&lt;MAX($P$34*($B200+IF($R$17="Distrato",$I$38-1,0)),IF(AND($L$37=0,$P$34=0),"",$L$37-1),IF($R$17="Distrato",$E200,0))),0,YEARFRAC(MAX($P$34*($B200+IF($R$17="Distrato",$I$38-1,0)),IF(AND($L$37=0,$P$34=0),"",$L$37-1),IF($R$17="Distrato",$E200,0)),MIN(Q$38,$D$19),$P$20))-SUM($P200:P200)</f>
        <v>#VALUE!</v>
      </c>
      <c r="R200" s="446" t="e">
        <f>IF(OR($B200="",MIN(R$38,$D$19)&lt;MAX($P$34*($B200+IF($R$17="Distrato",$I$38-1,0)),IF(AND($L$37=0,$P$34=0),"",$L$37-1),IF($R$17="Distrato",$E200,0))),0,YEARFRAC(MAX($P$34*($B200+IF($R$17="Distrato",$I$38-1,0)),IF(AND($L$37=0,$P$34=0),"",$L$37-1),IF($R$17="Distrato",$E200,0)),MIN(R$38,$D$19),$P$20))-SUM($P200:Q200)</f>
        <v>#VALUE!</v>
      </c>
      <c r="S200" s="446" t="e">
        <f>IF(OR($B200="",MIN(S$38,$D$19)&lt;MAX($P$34*($B200+IF($R$17="Distrato",$I$38-1,0)),IF(AND($L$37=0,$P$34=0),"",$L$37-1),IF($R$17="Distrato",$E200,0))),0,YEARFRAC(MAX($P$34*($B200+IF($R$17="Distrato",$I$38-1,0)),IF(AND($L$37=0,$P$34=0),"",$L$37-1),IF($R$17="Distrato",$E200,0)),MIN(S$38,$D$19),$P$20))-SUM($P200:R200)</f>
        <v>#VALUE!</v>
      </c>
      <c r="T200" s="446" t="e">
        <f>IF(OR($B200="",MIN(T$38,$D$19)&lt;MAX($P$34*($B200+IF($R$17="Distrato",$I$38-1,0)),IF(AND($L$37=0,$P$34=0),"",$L$37-1),IF($R$17="Distrato",$E200,0))),0,YEARFRAC(MAX($P$34*($B200+IF($R$17="Distrato",$I$38-1,0)),IF(AND($L$37=0,$P$34=0),"",$L$37-1),IF($R$17="Distrato",$E200,0)),MIN(T$38,$D$19),$P$20))-SUM($P200:S200)</f>
        <v>#VALUE!</v>
      </c>
      <c r="U200" s="446" t="e">
        <f>IF(OR($B200="",MIN(U$38,$D$19)&lt;MAX($P$34*($B200+IF($R$17="Distrato",$I$38-1,0)),IF(AND($L$37=0,$P$34=0),"",$L$37-1),IF($R$17="Distrato",$E200,0))),0,YEARFRAC(MAX($P$34*($B200+IF($R$17="Distrato",$I$38-1,0)),IF(AND($L$37=0,$P$34=0),"",$L$37-1),IF($R$17="Distrato",$E200,0)),MIN(U$38,$D$19),$P$20))-SUM($P200:T200)</f>
        <v>#VALUE!</v>
      </c>
      <c r="V200" s="446" t="e">
        <f>IF(OR($B200="",MIN(V$38,$D$19)&lt;MAX($P$34*($B200+IF($R$17="Distrato",$I$38-1,0)),IF(AND($L$37=0,$P$34=0),"",$L$37-1),IF($R$17="Distrato",$E200,0))),0,YEARFRAC(MAX($P$34*($B200+IF($R$17="Distrato",$I$38-1,0)),IF(AND($L$37=0,$P$34=0),"",$L$37-1),IF($R$17="Distrato",$E200,0)),MIN(V$38,$D$19),$P$20))-SUM($P200:U200)</f>
        <v>#VALUE!</v>
      </c>
      <c r="W200" s="446" t="e">
        <f>IF(OR($B200="",MIN(W$38,$D$19)&lt;MAX($P$34*($B200+IF($R$17="Distrato",$I$38-1,0)),IF(AND($L$37=0,$P$34=0),"",$L$37-1),IF($R$17="Distrato",$E200,0))),0,YEARFRAC(MAX($P$34*($B200+IF($R$17="Distrato",$I$38-1,0)),IF(AND($L$37=0,$P$34=0),"",$L$37-1),IF($R$17="Distrato",$E200,0)),MIN(W$38,$D$19),$P$20))-SUM($P200:V200)</f>
        <v>#VALUE!</v>
      </c>
      <c r="X200" s="446" t="e">
        <f>IF(OR($B200="",MIN(X$38,$D$19)&lt;MAX($P$34*($B200+IF($R$17="Distrato",$I$38-1,0)),IF(AND($L$37=0,$P$34=0),"",$L$37-1),IF($R$17="Distrato",$E200,0))),0,YEARFRAC(MAX($P$34*($B200+IF($R$17="Distrato",$I$38-1,0)),IF(AND($L$37=0,$P$34=0),"",$L$37-1),IF($R$17="Distrato",$E200,0)),MIN(X$38,$D$19),$P$20))-SUM($P200:W200)</f>
        <v>#VALUE!</v>
      </c>
      <c r="Y200" s="446" t="e">
        <f>IF(OR($B200="",MIN(Y$38,$D$19)&lt;MAX($P$34*($B200+IF($R$17="Distrato",$I$38-1,0)),IF(AND($L$37=0,$P$34=0),"",$L$37-1),IF($R$17="Distrato",$E200,0))),0,YEARFRAC(MAX($P$34*($B200+IF($R$17="Distrato",$I$38-1,0)),IF(AND($L$37=0,$P$34=0),"",$L$37-1),IF($R$17="Distrato",$E200,0)),MIN(Y$38,$D$19),$P$20))-SUM($P200:X200)</f>
        <v>#VALUE!</v>
      </c>
      <c r="Z200" s="446" t="e">
        <f>IF(OR($B200="",MIN(Z$38,$D$19)&lt;MAX($P$34*($B200+IF($R$17="Distrato",$I$38-1,0)),IF(AND($L$37=0,$P$34=0),"",$L$37-1),IF($R$17="Distrato",$E200,0))),0,YEARFRAC(MAX($P$34*($B200+IF($R$17="Distrato",$I$38-1,0)),IF(AND($L$37=0,$P$34=0),"",$L$37-1),IF($R$17="Distrato",$E200,0)),MIN(Z$38,$D$19),$P$20))-SUM($P200:Y200)</f>
        <v>#VALUE!</v>
      </c>
      <c r="AA200" s="446" t="e">
        <f>IF(OR($B200="",MIN(AA$38,$D$19)&lt;MAX($P$34*($B200+IF($R$17="Distrato",$I$38-1,0)),IF(AND($L$37=0,$P$34=0),"",$L$37-1),IF($R$17="Distrato",$E200,0))),0,YEARFRAC(MAX($P$34*($B200+IF($R$17="Distrato",$I$38-1,0)),IF(AND($L$37=0,$P$34=0),"",$L$37-1),IF($R$17="Distrato",$E200,0)),MIN(AA$38,$D$19),$P$20))-SUM($P200:Z200)</f>
        <v>#VALUE!</v>
      </c>
      <c r="AB200" s="446" t="e">
        <f>IF(OR($B200="",MIN(AB$38,$D$19)&lt;MAX($P$34*($B200+IF($R$17="Distrato",$I$38-1,0)),IF(AND($L$37=0,$P$34=0),"",$L$37-1),IF($R$17="Distrato",$E200,0))),0,YEARFRAC(MAX($P$34*($B200+IF($R$17="Distrato",$I$38-1,0)),IF(AND($L$37=0,$P$34=0),"",$L$37-1),IF($R$17="Distrato",$E200,0)),MIN(AB$38,$D$19),$P$20))-SUM($P200:AA200)</f>
        <v>#VALUE!</v>
      </c>
      <c r="AC200" s="446" t="e">
        <f>IF(OR($B200="",MIN(AC$38,$D$19)&lt;MAX($P$34*($B200+IF($R$17="Distrato",$I$38-1,0)),IF(AND($L$37=0,$P$34=0),"",$L$37-1),IF($R$17="Distrato",$E200,0))),0,YEARFRAC(MAX($P$34*($B200+IF($R$17="Distrato",$I$38-1,0)),IF(AND($L$37=0,$P$34=0),"",$L$37-1),IF($R$17="Distrato",$E200,0)),MIN(AC$38,$D$19),$P$20))-SUM($P200:AB200)</f>
        <v>#VALUE!</v>
      </c>
      <c r="AD200" s="446" t="e">
        <f>IF(OR($B200="",MIN(AD$38,$D$19)&lt;MAX($P$34*($B200+IF($R$17="Distrato",$I$38-1,0)),IF(AND($L$37=0,$P$34=0),"",$L$37-1),IF($R$17="Distrato",$E200,0))),0,YEARFRAC(MAX($P$34*($B200+IF($R$17="Distrato",$I$38-1,0)),IF(AND($L$37=0,$P$34=0),"",$L$37-1),IF($R$17="Distrato",$E200,0)),MIN(AD$38,$D$19),$P$20))-SUM($P200:AC200)</f>
        <v>#VALUE!</v>
      </c>
      <c r="AE200" s="446" t="e">
        <f>IF(OR($B200="",MIN(AE$38,$D$19)&lt;MAX($P$34*($B200+IF($R$17="Distrato",$I$38-1,0)),IF(AND($L$37=0,$P$34=0),"",$L$37-1),IF($R$17="Distrato",$E200,0))),0,YEARFRAC(MAX($P$34*($B200+IF($R$17="Distrato",$I$38-1,0)),IF(AND($L$37=0,$P$34=0),"",$L$37-1),IF($R$17="Distrato",$E200,0)),MIN(AE$38,$D$19),$P$20))-SUM($P200:AD200)</f>
        <v>#VALUE!</v>
      </c>
      <c r="AF200" s="446" t="e">
        <f>IF(OR($B200="",MIN(AF$38,$D$19)&lt;MAX($P$34*($B200+IF($R$17="Distrato",$I$38-1,0)),IF(AND($L$37=0,$P$34=0),"",$L$37-1),IF($R$17="Distrato",$E200,0))),0,YEARFRAC(MAX($P$34*($B200+IF($R$17="Distrato",$I$38-1,0)),IF(AND($L$37=0,$P$34=0),"",$L$37-1),IF($R$17="Distrato",$E200,0)),MIN(AF$38,$D$19),$P$20))-SUM($P200:AE200)</f>
        <v>#VALUE!</v>
      </c>
      <c r="AG200" s="446" t="e">
        <f>IF(OR($B200="",MIN(AG$38,$D$19)&lt;MAX($P$34*($B200+IF($R$17="Distrato",$I$38-1,0)),IF(AND($L$37=0,$P$34=0),"",$L$37-1),IF($R$17="Distrato",$E200,0))),0,YEARFRAC(MAX($P$34*($B200+IF($R$17="Distrato",$I$38-1,0)),IF(AND($L$37=0,$P$34=0),"",$L$37-1),IF($R$17="Distrato",$E200,0)),MIN(AG$38,$D$19),$P$20))-SUM($P200:AF200)</f>
        <v>#VALUE!</v>
      </c>
      <c r="AH200" s="446" t="e">
        <f>IF(OR($B200="",MIN(AH$38,$D$19)&lt;MAX($P$34*($B200+IF($R$17="Distrato",$I$38-1,0)),IF(AND($L$37=0,$P$34=0),"",$L$37-1),IF($R$17="Distrato",$E200,0))),0,YEARFRAC(MAX($P$34*($B200+IF($R$17="Distrato",$I$38-1,0)),IF(AND($L$37=0,$P$34=0),"",$L$37-1),IF($R$17="Distrato",$E200,0)),MIN(AH$38,$D$19),$P$20))-SUM($P200:AG200)</f>
        <v>#VALUE!</v>
      </c>
      <c r="AI200" s="446" t="e">
        <f>IF(OR($B200="",MIN(AI$38,$D$19)&lt;MAX($P$34*($B200+IF($R$17="Distrato",$I$38-1,0)),IF(AND($L$37=0,$P$34=0),"",$L$37-1),IF($R$17="Distrato",$E200,0))),0,YEARFRAC(MAX($P$34*($B200+IF($R$17="Distrato",$I$38-1,0)),IF(AND($L$37=0,$P$34=0),"",$L$37-1),IF($R$17="Distrato",$E200,0)),MIN(AI$38,$D$19),$P$20))-SUM($P200:AH200)</f>
        <v>#VALUE!</v>
      </c>
      <c r="AJ200" s="446" t="e">
        <f>IF(OR($B200="",MIN(AJ$38,$D$19)&lt;MAX($P$34*($B200+IF($R$17="Distrato",$I$38-1,0)),IF(AND($L$37=0,$P$34=0),"",$L$37-1),IF($R$17="Distrato",$E200,0))),0,YEARFRAC(MAX($P$34*($B200+IF($R$17="Distrato",$I$38-1,0)),IF(AND($L$37=0,$P$34=0),"",$L$37-1),IF($R$17="Distrato",$E200,0)),MIN(AJ$38,$D$19),$P$20))-SUM($P200:AI200)</f>
        <v>#VALUE!</v>
      </c>
      <c r="AK200" s="446" t="e">
        <f>IF(OR($B200="",MIN(AK$38,$D$19)&lt;MAX($P$34*($B200+IF($R$17="Distrato",$I$38-1,0)),IF(AND($L$37=0,$P$34=0),"",$L$37-1),IF($R$17="Distrato",$E200,0))),0,YEARFRAC(MAX($P$34*($B200+IF($R$17="Distrato",$I$38-1,0)),IF(AND($L$37=0,$P$34=0),"",$L$37-1),IF($R$17="Distrato",$E200,0)),MIN(AK$38,$D$19),$P$20))-SUM($P200:AJ200)</f>
        <v>#VALUE!</v>
      </c>
      <c r="AL200" s="446" t="e">
        <f>IF(OR($B200="",MIN(AL$38,$D$19)&lt;MAX($P$34*($B200+IF($R$17="Distrato",$I$38-1,0)),IF(AND($L$37=0,$P$34=0),"",$L$37-1),IF($R$17="Distrato",$E200,0))),0,YEARFRAC(MAX($P$34*($B200+IF($R$17="Distrato",$I$38-1,0)),IF(AND($L$37=0,$P$34=0),"",$L$37-1),IF($R$17="Distrato",$E200,0)),MIN(AL$38,$D$19),$P$20))-SUM($P200:AK200)</f>
        <v>#VALUE!</v>
      </c>
      <c r="AM200" s="446" t="e">
        <f>IF(OR($B200="",MIN(AM$38,$D$19)&lt;MAX($P$34*($B200+IF($R$17="Distrato",$I$38-1,0)),IF(AND($L$37=0,$P$34=0),"",$L$37-1),IF($R$17="Distrato",$E200,0))),0,YEARFRAC(MAX($P$34*($B200+IF($R$17="Distrato",$I$38-1,0)),IF(AND($L$37=0,$P$34=0),"",$L$37-1),IF($R$17="Distrato",$E200,0)),MIN(AM$38,$D$19),$P$20))-SUM($P200:AL200)</f>
        <v>#VALUE!</v>
      </c>
      <c r="AN200" s="446" t="e">
        <f>IF(OR($B200="",MIN(AN$38,$D$19)&lt;MAX($P$34*($B200+IF($R$17="Distrato",$I$38-1,0)),IF(AND($L$37=0,$P$34=0),"",$L$37-1),IF($R$17="Distrato",$E200,0))),0,YEARFRAC(MAX($P$34*($B200+IF($R$17="Distrato",$I$38-1,0)),IF(AND($L$37=0,$P$34=0),"",$L$37-1),IF($R$17="Distrato",$E200,0)),MIN(AN$38,$D$19),$P$20))-SUM($P200:AM200)</f>
        <v>#VALUE!</v>
      </c>
      <c r="AO200" s="446" t="e">
        <f>IF(OR($B200="",MIN(AO$38,$D$19)&lt;MAX($P$34*($B200+IF($R$17="Distrato",$I$38-1,0)),IF(AND($L$37=0,$P$34=0),"",$L$37-1),IF($R$17="Distrato",$E200,0))),0,YEARFRAC(MAX($P$34*($B200+IF($R$17="Distrato",$I$38-1,0)),IF(AND($L$37=0,$P$34=0),"",$L$37-1),IF($R$17="Distrato",$E200,0)),MIN(AO$38,$D$19),$P$20))-SUM($P200:AN200)</f>
        <v>#VALUE!</v>
      </c>
      <c r="AP200" s="446" t="e">
        <f>IF(OR($B200="",MIN(AP$38,$D$19)&lt;MAX($P$34*($B200+IF($R$17="Distrato",$I$38-1,0)),IF(AND($L$37=0,$P$34=0),"",$L$37-1),IF($R$17="Distrato",$E200,0))),0,YEARFRAC(MAX($P$34*($B200+IF($R$17="Distrato",$I$38-1,0)),IF(AND($L$37=0,$P$34=0),"",$L$37-1),IF($R$17="Distrato",$E200,0)),MIN(AP$38,$D$19),$P$20))-SUM($P200:AO200)</f>
        <v>#VALUE!</v>
      </c>
      <c r="AQ200" s="446" t="e">
        <f>IF(OR($B200="",MIN(AQ$38,$D$19)&lt;MAX($P$34*($B200+IF($R$17="Distrato",$I$38-1,0)),IF(AND($L$37=0,$P$34=0),"",$L$37-1),IF($R$17="Distrato",$E200,0))),0,YEARFRAC(MAX($P$34*($B200+IF($R$17="Distrato",$I$38-1,0)),IF(AND($L$37=0,$P$34=0),"",$L$37-1),IF($R$17="Distrato",$E200,0)),MIN(AQ$38,$D$19),$P$20))-SUM($P200:AP200)</f>
        <v>#VALUE!</v>
      </c>
      <c r="AR200" s="446" t="e">
        <f>IF(OR($B200="",MIN(AR$38,$D$19)&lt;MAX($P$34*($B200+IF($R$17="Distrato",$I$38-1,0)),IF(AND($L$37=0,$P$34=0),"",$L$37-1),IF($R$17="Distrato",$E200,0))),0,YEARFRAC(MAX($P$34*($B200+IF($R$17="Distrato",$I$38-1,0)),IF(AND($L$37=0,$P$34=0),"",$L$37-1),IF($R$17="Distrato",$E200,0)),MIN(AR$38,$D$19),$P$20))-SUM($P200:AQ200)</f>
        <v>#VALUE!</v>
      </c>
      <c r="AS200" s="446" t="e">
        <f>IF(OR($B200="",MIN(AS$38,$D$19)&lt;MAX($P$34*($B200+IF($R$17="Distrato",$I$38-1,0)),IF(AND($L$37=0,$P$34=0),"",$L$37-1),IF($R$17="Distrato",$E200,0))),0,YEARFRAC(MAX($P$34*($B200+IF($R$17="Distrato",$I$38-1,0)),IF(AND($L$37=0,$P$34=0),"",$L$37-1),IF($R$17="Distrato",$E200,0)),MIN(AS$38,$D$19),$P$20))-SUM($P200:AR200)</f>
        <v>#VALUE!</v>
      </c>
      <c r="AT200" s="446" t="e">
        <f>IF(OR($B200="",MIN(AT$38,$D$19)&lt;MAX($P$34*($B200+IF($R$17="Distrato",$I$38-1,0)),IF(AND($L$37=0,$P$34=0),"",$L$37-1),IF($R$17="Distrato",$E200,0))),0,YEARFRAC(MAX($P$34*($B200+IF($R$17="Distrato",$I$38-1,0)),IF(AND($L$37=0,$P$34=0),"",$L$37-1),IF($R$17="Distrato",$E200,0)),MIN(AT$38,$D$19),$P$20))-SUM($P200:AS200)</f>
        <v>#VALUE!</v>
      </c>
      <c r="AU200" s="446" t="e">
        <f>IF(OR($B200="",MIN(AU$38,$D$19)&lt;MAX($P$34*($B200+IF($R$17="Distrato",$I$38-1,0)),IF(AND($L$37=0,$P$34=0),"",$L$37-1),IF($R$17="Distrato",$E200,0))),0,YEARFRAC(MAX($P$34*($B200+IF($R$17="Distrato",$I$38-1,0)),IF(AND($L$37=0,$P$34=0),"",$L$37-1),IF($R$17="Distrato",$E200,0)),MIN(AU$38,$D$19),$P$20))-SUM($P200:AT200)</f>
        <v>#VALUE!</v>
      </c>
      <c r="AV200" s="446" t="e">
        <f>IF(OR($B200="",MIN(AV$38,$D$19)&lt;MAX($P$34*($B200+IF($R$17="Distrato",$I$38-1,0)),IF(AND($L$37=0,$P$34=0),"",$L$37-1),IF($R$17="Distrato",$E200,0))),0,YEARFRAC(MAX($P$34*($B200+IF($R$17="Distrato",$I$38-1,0)),IF(AND($L$37=0,$P$34=0),"",$L$37-1),IF($R$17="Distrato",$E200,0)),MIN(AV$38,$D$19),$P$20))-SUM($P200:AU200)</f>
        <v>#VALUE!</v>
      </c>
      <c r="AW200" s="446" t="e">
        <f>IF(OR($B200="",MIN(AW$38,$D$19)&lt;MAX($P$34*($B200+IF($R$17="Distrato",$I$38-1,0)),IF(AND($L$37=0,$P$34=0),"",$L$37-1),IF($R$17="Distrato",$E200,0))),0,YEARFRAC(MAX($P$34*($B200+IF($R$17="Distrato",$I$38-1,0)),IF(AND($L$37=0,$P$34=0),"",$L$37-1),IF($R$17="Distrato",$E200,0)),MIN(AW$38,$D$19),$P$20))-SUM($P200:AV200)</f>
        <v>#VALUE!</v>
      </c>
      <c r="AX200" s="446" t="e">
        <f>IF(OR($B200="",MIN(AX$38,$D$19)&lt;MAX($P$34*($B200+IF($R$17="Distrato",$I$38-1,0)),IF(AND($L$37=0,$P$34=0),"",$L$37-1),IF($R$17="Distrato",$E200,0))),0,YEARFRAC(MAX($P$34*($B200+IF($R$17="Distrato",$I$38-1,0)),IF(AND($L$37=0,$P$34=0),"",$L$37-1),IF($R$17="Distrato",$E200,0)),MIN(AX$38,$D$19),$P$20))-SUM($P200:AW200)</f>
        <v>#VALUE!</v>
      </c>
      <c r="AY200" s="446" t="e">
        <f>IF(OR($B200="",MIN(AY$38,$D$19)&lt;MAX($P$34*($B200+IF($R$17="Distrato",$I$38-1,0)),IF(AND($L$37=0,$P$34=0),"",$L$37-1),IF($R$17="Distrato",$E200,0))),0,YEARFRAC(MAX($P$34*($B200+IF($R$17="Distrato",$I$38-1,0)),IF(AND($L$37=0,$P$34=0),"",$L$37-1),IF($R$17="Distrato",$E200,0)),MIN(AY$38,$D$19),$P$20))-SUM($P200:AX200)</f>
        <v>#VALUE!</v>
      </c>
      <c r="AZ200" s="446" t="e">
        <f>IF(OR($B200="",MIN(AZ$38,$D$19)&lt;MAX($P$34*($B200+IF($R$17="Distrato",$I$38-1,0)),IF(AND($L$37=0,$P$34=0),"",$L$37-1),IF($R$17="Distrato",$E200,0))),0,YEARFRAC(MAX($P$34*($B200+IF($R$17="Distrato",$I$38-1,0)),IF(AND($L$37=0,$P$34=0),"",$L$37-1),IF($R$17="Distrato",$E200,0)),MIN(AZ$38,$D$19),$P$20))-SUM($P200:AY200)</f>
        <v>#VALUE!</v>
      </c>
      <c r="BA200" s="446" t="e">
        <f>IF(OR($B200="",MIN(BA$38,$D$19)&lt;MAX($P$34*($B200+IF($R$17="Distrato",$I$38-1,0)),IF(AND($L$37=0,$P$34=0),"",$L$37-1),IF($R$17="Distrato",$E200,0))),0,YEARFRAC(MAX($P$34*($B200+IF($R$17="Distrato",$I$38-1,0)),IF(AND($L$37=0,$P$34=0),"",$L$37-1),IF($R$17="Distrato",$E200,0)),MIN(BA$38,$D$19),$P$20))-SUM($P200:AZ200)</f>
        <v>#VALUE!</v>
      </c>
      <c r="BB200" s="447"/>
      <c r="BF200" s="446">
        <f t="shared" si="32"/>
        <v>0</v>
      </c>
      <c r="BG200" s="446">
        <f>IF($E200=0,0,IF(MIN(BG$38,$E200)&lt;MAX($P$34*($B200+$I$38-1),IF(AND($L$37=0,$P$34=0),"",$L$37-1)),0,YEARFRAC(MAX($P$34*($B200+$I$38-1),IF(AND($L$37=0,$P$34=0),"",$L$37-1)),MIN(BG$38,$E200),$P$20))-SUM($BF200:BF200))</f>
        <v>0</v>
      </c>
      <c r="BH200" s="446">
        <f>IF($E200=0,0,IF(MIN(BH$38,$E200)&lt;MAX($P$34*($B200+$I$38-1),IF(AND($L$37=0,$P$34=0),"",$L$37-1)),0,YEARFRAC(MAX($P$34*($B200+$I$38-1),IF(AND($L$37=0,$P$34=0),"",$L$37-1)),MIN(BH$38,$E200),$P$20))-SUM($BF200:BG200))</f>
        <v>0</v>
      </c>
      <c r="BI200" s="446">
        <f>IF($E200=0,0,IF(MIN(BI$38,$E200)&lt;MAX($P$34*($B200+$I$38-1),IF(AND($L$37=0,$P$34=0),"",$L$37-1)),0,YEARFRAC(MAX($P$34*($B200+$I$38-1),IF(AND($L$37=0,$P$34=0),"",$L$37-1)),MIN(BI$38,$E200),$P$20))-SUM($BF200:BH200))</f>
        <v>0</v>
      </c>
      <c r="BJ200" s="446">
        <f>IF($E200=0,0,IF(MIN(BJ$38,$E200)&lt;MAX($P$34*($B200+$I$38-1),IF(AND($L$37=0,$P$34=0),"",$L$37-1)),0,YEARFRAC(MAX($P$34*($B200+$I$38-1),IF(AND($L$37=0,$P$34=0),"",$L$37-1)),MIN(BJ$38,$E200),$P$20))-SUM($BF200:BI200))</f>
        <v>0</v>
      </c>
      <c r="BK200" s="446">
        <f>IF($E200=0,0,IF(MIN(BK$38,$E200)&lt;MAX($P$34*($B200+$I$38-1),IF(AND($L$37=0,$P$34=0),"",$L$37-1)),0,YEARFRAC(MAX($P$34*($B200+$I$38-1),IF(AND($L$37=0,$P$34=0),"",$L$37-1)),MIN(BK$38,$E200),$P$20))-SUM($BF200:BJ200))</f>
        <v>0</v>
      </c>
      <c r="BL200" s="446">
        <f>IF($E200=0,0,IF(MIN(BL$38,$E200)&lt;MAX($P$34*($B200+$I$38-1),IF(AND($L$37=0,$P$34=0),"",$L$37-1)),0,YEARFRAC(MAX($P$34*($B200+$I$38-1),IF(AND($L$37=0,$P$34=0),"",$L$37-1)),MIN(BL$38,$E200),$P$20))-SUM($BF200:BK200))</f>
        <v>0</v>
      </c>
      <c r="BM200" s="446">
        <f>IF($E200=0,0,IF(MIN(BM$38,$E200)&lt;MAX($P$34*($B200+$I$38-1),IF(AND($L$37=0,$P$34=0),"",$L$37-1)),0,YEARFRAC(MAX($P$34*($B200+$I$38-1),IF(AND($L$37=0,$P$34=0),"",$L$37-1)),MIN(BM$38,$E200),$P$20))-SUM($BF200:BL200))</f>
        <v>0</v>
      </c>
      <c r="BN200" s="446">
        <f>IF($E200=0,0,IF(MIN(BN$38,$E200)&lt;MAX($P$34*($B200+$I$38-1),IF(AND($L$37=0,$P$34=0),"",$L$37-1)),0,YEARFRAC(MAX($P$34*($B200+$I$38-1),IF(AND($L$37=0,$P$34=0),"",$L$37-1)),MIN(BN$38,$E200),$P$20))-SUM($BF200:BM200))</f>
        <v>0</v>
      </c>
      <c r="BO200" s="446">
        <f>IF($E200=0,0,IF(MIN(BO$38,$E200)&lt;MAX($P$34*($B200+$I$38-1),IF(AND($L$37=0,$P$34=0),"",$L$37-1)),0,YEARFRAC(MAX($P$34*($B200+$I$38-1),IF(AND($L$37=0,$P$34=0),"",$L$37-1)),MIN(BO$38,$E200),$P$20))-SUM($BF200:BN200))</f>
        <v>0</v>
      </c>
      <c r="BP200" s="446">
        <f>IF($E200=0,0,IF(MIN(BP$38,$E200)&lt;MAX($P$34*($B200+$I$38-1),IF(AND($L$37=0,$P$34=0),"",$L$37-1)),0,YEARFRAC(MAX($P$34*($B200+$I$38-1),IF(AND($L$37=0,$P$34=0),"",$L$37-1)),MIN(BP$38,$E200),$P$20))-SUM($BF200:BO200))</f>
        <v>0</v>
      </c>
      <c r="BQ200" s="446">
        <f>IF($E200=0,0,IF(MIN(BQ$38,$E200)&lt;MAX($P$34*($B200+$I$38-1),IF(AND($L$37=0,$P$34=0),"",$L$37-1)),0,YEARFRAC(MAX($P$34*($B200+$I$38-1),IF(AND($L$37=0,$P$34=0),"",$L$37-1)),MIN(BQ$38,$E200),$P$20))-SUM($BF200:BP200))</f>
        <v>0</v>
      </c>
      <c r="BR200" s="446">
        <f>IF($E200=0,0,IF(MIN(BR$38,$E200)&lt;MAX($P$34*($B200+$I$38-1),IF(AND($L$37=0,$P$34=0),"",$L$37-1)),0,YEARFRAC(MAX($P$34*($B200+$I$38-1),IF(AND($L$37=0,$P$34=0),"",$L$37-1)),MIN(BR$38,$E200),$P$20))-SUM($BF200:BQ200))</f>
        <v>0</v>
      </c>
      <c r="BS200" s="446">
        <f>IF($E200=0,0,IF(MIN(BS$38,$E200)&lt;MAX($P$34*($B200+$I$38-1),IF(AND($L$37=0,$P$34=0),"",$L$37-1)),0,YEARFRAC(MAX($P$34*($B200+$I$38-1),IF(AND($L$37=0,$P$34=0),"",$L$37-1)),MIN(BS$38,$E200),$P$20))-SUM($BF200:BR200))</f>
        <v>0</v>
      </c>
      <c r="BT200" s="446">
        <f>IF($E200=0,0,IF(MIN(BT$38,$E200)&lt;MAX($P$34*($B200+$I$38-1),IF(AND($L$37=0,$P$34=0),"",$L$37-1)),0,YEARFRAC(MAX($P$34*($B200+$I$38-1),IF(AND($L$37=0,$P$34=0),"",$L$37-1)),MIN(BT$38,$E200),$P$20))-SUM($BF200:BS200))</f>
        <v>0</v>
      </c>
      <c r="BU200" s="446">
        <f>IF($E200=0,0,IF(MIN(BU$38,$E200)&lt;MAX($P$34*($B200+$I$38-1),IF(AND($L$37=0,$P$34=0),"",$L$37-1)),0,YEARFRAC(MAX($P$34*($B200+$I$38-1),IF(AND($L$37=0,$P$34=0),"",$L$37-1)),MIN(BU$38,$E200),$P$20))-SUM($BF200:BT200))</f>
        <v>0</v>
      </c>
      <c r="BV200" s="446">
        <f>IF($E200=0,0,IF(MIN(BV$38,$E200)&lt;MAX($P$34*($B200+$I$38-1),IF(AND($L$37=0,$P$34=0),"",$L$37-1)),0,YEARFRAC(MAX($P$34*($B200+$I$38-1),IF(AND($L$37=0,$P$34=0),"",$L$37-1)),MIN(BV$38,$E200),$P$20))-SUM($BF200:BU200))</f>
        <v>0</v>
      </c>
      <c r="BW200" s="446">
        <f>IF($E200=0,0,IF(MIN(BW$38,$E200)&lt;MAX($P$34*($B200+$I$38-1),IF(AND($L$37=0,$P$34=0),"",$L$37-1)),0,YEARFRAC(MAX($P$34*($B200+$I$38-1),IF(AND($L$37=0,$P$34=0),"",$L$37-1)),MIN(BW$38,$E200),$P$20))-SUM($BF200:BV200))</f>
        <v>0</v>
      </c>
      <c r="BX200" s="446">
        <f>IF($E200=0,0,IF(MIN(BX$38,$E200)&lt;MAX($P$34*($B200+$I$38-1),IF(AND($L$37=0,$P$34=0),"",$L$37-1)),0,YEARFRAC(MAX($P$34*($B200+$I$38-1),IF(AND($L$37=0,$P$34=0),"",$L$37-1)),MIN(BX$38,$E200),$P$20))-SUM($BF200:BW200))</f>
        <v>0</v>
      </c>
      <c r="BY200" s="446">
        <f>IF($E200=0,0,IF(MIN(BY$38,$E200)&lt;MAX($P$34*($B200+$I$38-1),IF(AND($L$37=0,$P$34=0),"",$L$37-1)),0,YEARFRAC(MAX($P$34*($B200+$I$38-1),IF(AND($L$37=0,$P$34=0),"",$L$37-1)),MIN(BY$38,$E200),$P$20))-SUM($BF200:BX200))</f>
        <v>0</v>
      </c>
      <c r="BZ200" s="446">
        <f>IF($E200=0,0,IF(MIN(BZ$38,$E200)&lt;MAX($P$34*($B200+$I$38-1),IF(AND($L$37=0,$P$34=0),"",$L$37-1)),0,YEARFRAC(MAX($P$34*($B200+$I$38-1),IF(AND($L$37=0,$P$34=0),"",$L$37-1)),MIN(BZ$38,$E200),$P$20))-SUM($BF200:BY200))</f>
        <v>0</v>
      </c>
      <c r="CA200" s="446">
        <f>IF($E200=0,0,IF(MIN(CA$38,$E200)&lt;MAX($P$34*($B200+$I$38-1),IF(AND($L$37=0,$P$34=0),"",$L$37-1)),0,YEARFRAC(MAX($P$34*($B200+$I$38-1),IF(AND($L$37=0,$P$34=0),"",$L$37-1)),MIN(CA$38,$E200),$P$20))-SUM($BF200:BZ200))</f>
        <v>0</v>
      </c>
      <c r="CB200" s="446">
        <f>IF($E200=0,0,IF(MIN(CB$38,$E200)&lt;MAX($P$34*($B200+$I$38-1),IF(AND($L$37=0,$P$34=0),"",$L$37-1)),0,YEARFRAC(MAX($P$34*($B200+$I$38-1),IF(AND($L$37=0,$P$34=0),"",$L$37-1)),MIN(CB$38,$E200),$P$20))-SUM($BF200:CA200))</f>
        <v>0</v>
      </c>
      <c r="CC200" s="446">
        <f>IF($E200=0,0,IF(MIN(CC$38,$E200)&lt;MAX($P$34*($B200+$I$38-1),IF(AND($L$37=0,$P$34=0),"",$L$37-1)),0,YEARFRAC(MAX($P$34*($B200+$I$38-1),IF(AND($L$37=0,$P$34=0),"",$L$37-1)),MIN(CC$38,$E200),$P$20))-SUM($BF200:CB200))</f>
        <v>0</v>
      </c>
      <c r="CD200" s="446">
        <f>IF($E200=0,0,IF(MIN(CD$38,$E200)&lt;MAX($P$34*($B200+$I$38-1),IF(AND($L$37=0,$P$34=0),"",$L$37-1)),0,YEARFRAC(MAX($P$34*($B200+$I$38-1),IF(AND($L$37=0,$P$34=0),"",$L$37-1)),MIN(CD$38,$E200),$P$20))-SUM($BF200:CC200))</f>
        <v>0</v>
      </c>
      <c r="CE200" s="446">
        <f>IF($E200=0,0,IF(MIN(CE$38,$E200)&lt;MAX($P$34*($B200+$I$38-1),IF(AND($L$37=0,$P$34=0),"",$L$37-1)),0,YEARFRAC(MAX($P$34*($B200+$I$38-1),IF(AND($L$37=0,$P$34=0),"",$L$37-1)),MIN(CE$38,$E200),$P$20))-SUM($BF200:CD200))</f>
        <v>0</v>
      </c>
      <c r="CF200" s="446">
        <f>IF($E200=0,0,IF(MIN(CF$38,$E200)&lt;MAX($P$34*($B200+$I$38-1),IF(AND($L$37=0,$P$34=0),"",$L$37-1)),0,YEARFRAC(MAX($P$34*($B200+$I$38-1),IF(AND($L$37=0,$P$34=0),"",$L$37-1)),MIN(CF$38,$E200),$P$20))-SUM($BF200:CE200))</f>
        <v>0</v>
      </c>
      <c r="CG200" s="446">
        <f>IF($E200=0,0,IF(MIN(CG$38,$E200)&lt;MAX($P$34*($B200+$I$38-1),IF(AND($L$37=0,$P$34=0),"",$L$37-1)),0,YEARFRAC(MAX($P$34*($B200+$I$38-1),IF(AND($L$37=0,$P$34=0),"",$L$37-1)),MIN(CG$38,$E200),$P$20))-SUM($BF200:CF200))</f>
        <v>0</v>
      </c>
      <c r="CH200" s="446">
        <f>IF($E200=0,0,IF(MIN(CH$38,$E200)&lt;MAX($P$34*($B200+$I$38-1),IF(AND($L$37=0,$P$34=0),"",$L$37-1)),0,YEARFRAC(MAX($P$34*($B200+$I$38-1),IF(AND($L$37=0,$P$34=0),"",$L$37-1)),MIN(CH$38,$E200),$P$20))-SUM($BF200:CG200))</f>
        <v>0</v>
      </c>
      <c r="CI200" s="446">
        <f>IF($E200=0,0,IF(MIN(CI$38,$E200)&lt;MAX($P$34*($B200+$I$38-1),IF(AND($L$37=0,$P$34=0),"",$L$37-1)),0,YEARFRAC(MAX($P$34*($B200+$I$38-1),IF(AND($L$37=0,$P$34=0),"",$L$37-1)),MIN(CI$38,$E200),$P$20))-SUM($BF200:CH200))</f>
        <v>0</v>
      </c>
      <c r="CJ200" s="446">
        <f>IF($E200=0,0,IF(MIN(CJ$38,$E200)&lt;MAX($P$34*($B200+$I$38-1),IF(AND($L$37=0,$P$34=0),"",$L$37-1)),0,YEARFRAC(MAX($P$34*($B200+$I$38-1),IF(AND($L$37=0,$P$34=0),"",$L$37-1)),MIN(CJ$38,$E200),$P$20))-SUM($BF200:CI200))</f>
        <v>0</v>
      </c>
      <c r="CK200" s="446">
        <f>IF($E200=0,0,IF(MIN(CK$38,$E200)&lt;MAX($P$34*($B200+$I$38-1),IF(AND($L$37=0,$P$34=0),"",$L$37-1)),0,YEARFRAC(MAX($P$34*($B200+$I$38-1),IF(AND($L$37=0,$P$34=0),"",$L$37-1)),MIN(CK$38,$E200),$P$20))-SUM($BF200:CJ200))</f>
        <v>0</v>
      </c>
      <c r="CL200" s="446">
        <f>IF($E200=0,0,IF(MIN(CL$38,$E200)&lt;MAX($P$34*($B200+$I$38-1),IF(AND($L$37=0,$P$34=0),"",$L$37-1)),0,YEARFRAC(MAX($P$34*($B200+$I$38-1),IF(AND($L$37=0,$P$34=0),"",$L$37-1)),MIN(CL$38,$E200),$P$20))-SUM($BF200:CK200))</f>
        <v>0</v>
      </c>
      <c r="CM200" s="446">
        <f>IF($E200=0,0,IF(MIN(CM$38,$E200)&lt;MAX($P$34*($B200+$I$38-1),IF(AND($L$37=0,$P$34=0),"",$L$37-1)),0,YEARFRAC(MAX($P$34*($B200+$I$38-1),IF(AND($L$37=0,$P$34=0),"",$L$37-1)),MIN(CM$38,$E200),$P$20))-SUM($BF200:CL200))</f>
        <v>0</v>
      </c>
      <c r="CN200" s="446">
        <f>IF($E200=0,0,IF(MIN(CN$38,$E200)&lt;MAX($P$34*($B200+$I$38-1),IF(AND($L$37=0,$P$34=0),"",$L$37-1)),0,YEARFRAC(MAX($P$34*($B200+$I$38-1),IF(AND($L$37=0,$P$34=0),"",$L$37-1)),MIN(CN$38,$E200),$P$20))-SUM($BF200:CM200))</f>
        <v>0</v>
      </c>
      <c r="CO200" s="446">
        <f>IF($E200=0,0,IF(MIN(CO$38,$E200)&lt;MAX($P$34*($B200+$I$38-1),IF(AND($L$37=0,$P$34=0),"",$L$37-1)),0,YEARFRAC(MAX($P$34*($B200+$I$38-1),IF(AND($L$37=0,$P$34=0),"",$L$37-1)),MIN(CO$38,$E200),$P$20))-SUM($BF200:CN200))</f>
        <v>0</v>
      </c>
      <c r="CP200" s="446">
        <f>IF($E200=0,0,IF(MIN(CP$38,$E200)&lt;MAX($P$34*($B200+$I$38-1),IF(AND($L$37=0,$P$34=0),"",$L$37-1)),0,YEARFRAC(MAX($P$34*($B200+$I$38-1),IF(AND($L$37=0,$P$34=0),"",$L$37-1)),MIN(CP$38,$E200),$P$20))-SUM($BF200:CO200))</f>
        <v>0</v>
      </c>
      <c r="CQ200" s="446">
        <f>IF($E200=0,0,IF(MIN(CQ$38,$E200)&lt;MAX($P$34*($B200+$I$38-1),IF(AND($L$37=0,$P$34=0),"",$L$37-1)),0,YEARFRAC(MAX($P$34*($B200+$I$38-1),IF(AND($L$37=0,$P$34=0),"",$L$37-1)),MIN(CQ$38,$E200),$P$20))-SUM($BF200:CP200))</f>
        <v>0</v>
      </c>
    </row>
    <row r="201" spans="1:95" s="446" customFormat="1" ht="11.25" hidden="1" customHeight="1" x14ac:dyDescent="0.2">
      <c r="A201" s="152"/>
      <c r="B201" s="153" t="str">
        <f t="shared" si="37"/>
        <v/>
      </c>
      <c r="C201" s="29" t="str">
        <f>IF(B201="","",IF($L$35="SELIC - TRIBUTOS",VLOOKUP(DATE(YEAR($D$19),MONTH($D$19)-1,1),ÍNDICES!$A:$DE,HLOOKUP($BL$25,ÍNDICES!$B$3:$T$4,2)+11)-VLOOKUP(B201,ÍNDICES!$A:$DE,HLOOKUP($BL$25,ÍNDICES!$B$3:$T$4,2)+11)+1%,IF(C$38=$W$26,$J$35,IF(ISERROR(IF(B201&gt;$D$19,1,VLOOKUP(DATE(YEAR(B201),MONTH(B201)+IF($C$35=$S$23,1,0),1),ÍNDICES!$A:$DE,$Z$35+1))),"",IF(B201&gt;$D$19,1,VLOOKUP(DATE(YEAR(B201),MONTH(B201)+IF($C$35=$S$23,1,0),1),ÍNDICES!$A:$DE,$Z$35+1))))))</f>
        <v/>
      </c>
      <c r="D201" s="154" t="str">
        <f>IF(ISERROR(IF(OR($D$38=$Y$27,$B201=""),"",VLOOKUP(B201,ÍNDICES!A:DE,AF$35+1))),"",IF(OR($D$38=$Y$27,$B201=""),"",VLOOKUP(B201,ÍNDICES!A:DE,AF$35+1)))</f>
        <v/>
      </c>
      <c r="E201" s="153"/>
      <c r="F201" s="29" t="str">
        <f>IF(E201="","",IF($L$35="SELIC - TRIBUTOS",VLOOKUP(DATE(YEAR($D$19),MONTH($D$19)-1,1),ÍNDICES!$A:$DE,HLOOKUP($BL$25,ÍNDICES!$B$3:$T$4,2)+11)-VLOOKUP(E201,ÍNDICES!$A:$DE,HLOOKUP($BL$25,ÍNDICES!$B$3:$T$4,2)+11)+1%,IF(F$38=$W$26,$J$35,IF(ISERROR(IF(E201&gt;$D$19,1,VLOOKUP(DATE(YEAR(E201),MONTH(E201)+IF($C$35=$S$23,1,0),1),ÍNDICES!$A:$DE,$Z$35+1))),"",IF(E201&gt;$D$19,1,VLOOKUP(DATE(YEAR(E201),MONTH(E201)+IF($C$35=$S$23,1,0),1),ÍNDICES!$A:$DE,$Z$35+1))))))</f>
        <v/>
      </c>
      <c r="G201" s="155"/>
      <c r="H201" s="156" t="str">
        <f t="shared" si="33"/>
        <v/>
      </c>
      <c r="I201" s="29" t="str">
        <f t="shared" si="27"/>
        <v/>
      </c>
      <c r="J201" s="5">
        <f t="shared" si="28"/>
        <v>0</v>
      </c>
      <c r="K201" s="20">
        <f t="shared" ca="1" si="29"/>
        <v>0</v>
      </c>
      <c r="L201" s="5">
        <f t="shared" ca="1" si="30"/>
        <v>0</v>
      </c>
      <c r="M201" s="64">
        <f t="shared" si="34"/>
        <v>0</v>
      </c>
      <c r="N201" s="61">
        <f t="shared" ca="1" si="35"/>
        <v>0</v>
      </c>
      <c r="O201" s="5">
        <f t="shared" ca="1" si="36"/>
        <v>0</v>
      </c>
      <c r="P201" s="446" t="e">
        <f t="shared" si="31"/>
        <v>#VALUE!</v>
      </c>
      <c r="Q201" s="446" t="e">
        <f>IF(OR($B201="",MIN(Q$38,$D$19)&lt;MAX($P$34*($B201+IF($R$17="Distrato",$I$38-1,0)),IF(AND($L$37=0,$P$34=0),"",$L$37-1),IF($R$17="Distrato",$E201,0))),0,YEARFRAC(MAX($P$34*($B201+IF($R$17="Distrato",$I$38-1,0)),IF(AND($L$37=0,$P$34=0),"",$L$37-1),IF($R$17="Distrato",$E201,0)),MIN(Q$38,$D$19),$P$20))-SUM($P201:P201)</f>
        <v>#VALUE!</v>
      </c>
      <c r="R201" s="446" t="e">
        <f>IF(OR($B201="",MIN(R$38,$D$19)&lt;MAX($P$34*($B201+IF($R$17="Distrato",$I$38-1,0)),IF(AND($L$37=0,$P$34=0),"",$L$37-1),IF($R$17="Distrato",$E201,0))),0,YEARFRAC(MAX($P$34*($B201+IF($R$17="Distrato",$I$38-1,0)),IF(AND($L$37=0,$P$34=0),"",$L$37-1),IF($R$17="Distrato",$E201,0)),MIN(R$38,$D$19),$P$20))-SUM($P201:Q201)</f>
        <v>#VALUE!</v>
      </c>
      <c r="S201" s="446" t="e">
        <f>IF(OR($B201="",MIN(S$38,$D$19)&lt;MAX($P$34*($B201+IF($R$17="Distrato",$I$38-1,0)),IF(AND($L$37=0,$P$34=0),"",$L$37-1),IF($R$17="Distrato",$E201,0))),0,YEARFRAC(MAX($P$34*($B201+IF($R$17="Distrato",$I$38-1,0)),IF(AND($L$37=0,$P$34=0),"",$L$37-1),IF($R$17="Distrato",$E201,0)),MIN(S$38,$D$19),$P$20))-SUM($P201:R201)</f>
        <v>#VALUE!</v>
      </c>
      <c r="T201" s="446" t="e">
        <f>IF(OR($B201="",MIN(T$38,$D$19)&lt;MAX($P$34*($B201+IF($R$17="Distrato",$I$38-1,0)),IF(AND($L$37=0,$P$34=0),"",$L$37-1),IF($R$17="Distrato",$E201,0))),0,YEARFRAC(MAX($P$34*($B201+IF($R$17="Distrato",$I$38-1,0)),IF(AND($L$37=0,$P$34=0),"",$L$37-1),IF($R$17="Distrato",$E201,0)),MIN(T$38,$D$19),$P$20))-SUM($P201:S201)</f>
        <v>#VALUE!</v>
      </c>
      <c r="U201" s="446" t="e">
        <f>IF(OR($B201="",MIN(U$38,$D$19)&lt;MAX($P$34*($B201+IF($R$17="Distrato",$I$38-1,0)),IF(AND($L$37=0,$P$34=0),"",$L$37-1),IF($R$17="Distrato",$E201,0))),0,YEARFRAC(MAX($P$34*($B201+IF($R$17="Distrato",$I$38-1,0)),IF(AND($L$37=0,$P$34=0),"",$L$37-1),IF($R$17="Distrato",$E201,0)),MIN(U$38,$D$19),$P$20))-SUM($P201:T201)</f>
        <v>#VALUE!</v>
      </c>
      <c r="V201" s="446" t="e">
        <f>IF(OR($B201="",MIN(V$38,$D$19)&lt;MAX($P$34*($B201+IF($R$17="Distrato",$I$38-1,0)),IF(AND($L$37=0,$P$34=0),"",$L$37-1),IF($R$17="Distrato",$E201,0))),0,YEARFRAC(MAX($P$34*($B201+IF($R$17="Distrato",$I$38-1,0)),IF(AND($L$37=0,$P$34=0),"",$L$37-1),IF($R$17="Distrato",$E201,0)),MIN(V$38,$D$19),$P$20))-SUM($P201:U201)</f>
        <v>#VALUE!</v>
      </c>
      <c r="W201" s="446" t="e">
        <f>IF(OR($B201="",MIN(W$38,$D$19)&lt;MAX($P$34*($B201+IF($R$17="Distrato",$I$38-1,0)),IF(AND($L$37=0,$P$34=0),"",$L$37-1),IF($R$17="Distrato",$E201,0))),0,YEARFRAC(MAX($P$34*($B201+IF($R$17="Distrato",$I$38-1,0)),IF(AND($L$37=0,$P$34=0),"",$L$37-1),IF($R$17="Distrato",$E201,0)),MIN(W$38,$D$19),$P$20))-SUM($P201:V201)</f>
        <v>#VALUE!</v>
      </c>
      <c r="X201" s="446" t="e">
        <f>IF(OR($B201="",MIN(X$38,$D$19)&lt;MAX($P$34*($B201+IF($R$17="Distrato",$I$38-1,0)),IF(AND($L$37=0,$P$34=0),"",$L$37-1),IF($R$17="Distrato",$E201,0))),0,YEARFRAC(MAX($P$34*($B201+IF($R$17="Distrato",$I$38-1,0)),IF(AND($L$37=0,$P$34=0),"",$L$37-1),IF($R$17="Distrato",$E201,0)),MIN(X$38,$D$19),$P$20))-SUM($P201:W201)</f>
        <v>#VALUE!</v>
      </c>
      <c r="Y201" s="446" t="e">
        <f>IF(OR($B201="",MIN(Y$38,$D$19)&lt;MAX($P$34*($B201+IF($R$17="Distrato",$I$38-1,0)),IF(AND($L$37=0,$P$34=0),"",$L$37-1),IF($R$17="Distrato",$E201,0))),0,YEARFRAC(MAX($P$34*($B201+IF($R$17="Distrato",$I$38-1,0)),IF(AND($L$37=0,$P$34=0),"",$L$37-1),IF($R$17="Distrato",$E201,0)),MIN(Y$38,$D$19),$P$20))-SUM($P201:X201)</f>
        <v>#VALUE!</v>
      </c>
      <c r="Z201" s="446" t="e">
        <f>IF(OR($B201="",MIN(Z$38,$D$19)&lt;MAX($P$34*($B201+IF($R$17="Distrato",$I$38-1,0)),IF(AND($L$37=0,$P$34=0),"",$L$37-1),IF($R$17="Distrato",$E201,0))),0,YEARFRAC(MAX($P$34*($B201+IF($R$17="Distrato",$I$38-1,0)),IF(AND($L$37=0,$P$34=0),"",$L$37-1),IF($R$17="Distrato",$E201,0)),MIN(Z$38,$D$19),$P$20))-SUM($P201:Y201)</f>
        <v>#VALUE!</v>
      </c>
      <c r="AA201" s="446" t="e">
        <f>IF(OR($B201="",MIN(AA$38,$D$19)&lt;MAX($P$34*($B201+IF($R$17="Distrato",$I$38-1,0)),IF(AND($L$37=0,$P$34=0),"",$L$37-1),IF($R$17="Distrato",$E201,0))),0,YEARFRAC(MAX($P$34*($B201+IF($R$17="Distrato",$I$38-1,0)),IF(AND($L$37=0,$P$34=0),"",$L$37-1),IF($R$17="Distrato",$E201,0)),MIN(AA$38,$D$19),$P$20))-SUM($P201:Z201)</f>
        <v>#VALUE!</v>
      </c>
      <c r="AB201" s="446" t="e">
        <f>IF(OR($B201="",MIN(AB$38,$D$19)&lt;MAX($P$34*($B201+IF($R$17="Distrato",$I$38-1,0)),IF(AND($L$37=0,$P$34=0),"",$L$37-1),IF($R$17="Distrato",$E201,0))),0,YEARFRAC(MAX($P$34*($B201+IF($R$17="Distrato",$I$38-1,0)),IF(AND($L$37=0,$P$34=0),"",$L$37-1),IF($R$17="Distrato",$E201,0)),MIN(AB$38,$D$19),$P$20))-SUM($P201:AA201)</f>
        <v>#VALUE!</v>
      </c>
      <c r="AC201" s="446" t="e">
        <f>IF(OR($B201="",MIN(AC$38,$D$19)&lt;MAX($P$34*($B201+IF($R$17="Distrato",$I$38-1,0)),IF(AND($L$37=0,$P$34=0),"",$L$37-1),IF($R$17="Distrato",$E201,0))),0,YEARFRAC(MAX($P$34*($B201+IF($R$17="Distrato",$I$38-1,0)),IF(AND($L$37=0,$P$34=0),"",$L$37-1),IF($R$17="Distrato",$E201,0)),MIN(AC$38,$D$19),$P$20))-SUM($P201:AB201)</f>
        <v>#VALUE!</v>
      </c>
      <c r="AD201" s="446" t="e">
        <f>IF(OR($B201="",MIN(AD$38,$D$19)&lt;MAX($P$34*($B201+IF($R$17="Distrato",$I$38-1,0)),IF(AND($L$37=0,$P$34=0),"",$L$37-1),IF($R$17="Distrato",$E201,0))),0,YEARFRAC(MAX($P$34*($B201+IF($R$17="Distrato",$I$38-1,0)),IF(AND($L$37=0,$P$34=0),"",$L$37-1),IF($R$17="Distrato",$E201,0)),MIN(AD$38,$D$19),$P$20))-SUM($P201:AC201)</f>
        <v>#VALUE!</v>
      </c>
      <c r="AE201" s="446" t="e">
        <f>IF(OR($B201="",MIN(AE$38,$D$19)&lt;MAX($P$34*($B201+IF($R$17="Distrato",$I$38-1,0)),IF(AND($L$37=0,$P$34=0),"",$L$37-1),IF($R$17="Distrato",$E201,0))),0,YEARFRAC(MAX($P$34*($B201+IF($R$17="Distrato",$I$38-1,0)),IF(AND($L$37=0,$P$34=0),"",$L$37-1),IF($R$17="Distrato",$E201,0)),MIN(AE$38,$D$19),$P$20))-SUM($P201:AD201)</f>
        <v>#VALUE!</v>
      </c>
      <c r="AF201" s="446" t="e">
        <f>IF(OR($B201="",MIN(AF$38,$D$19)&lt;MAX($P$34*($B201+IF($R$17="Distrato",$I$38-1,0)),IF(AND($L$37=0,$P$34=0),"",$L$37-1),IF($R$17="Distrato",$E201,0))),0,YEARFRAC(MAX($P$34*($B201+IF($R$17="Distrato",$I$38-1,0)),IF(AND($L$37=0,$P$34=0),"",$L$37-1),IF($R$17="Distrato",$E201,0)),MIN(AF$38,$D$19),$P$20))-SUM($P201:AE201)</f>
        <v>#VALUE!</v>
      </c>
      <c r="AG201" s="446" t="e">
        <f>IF(OR($B201="",MIN(AG$38,$D$19)&lt;MAX($P$34*($B201+IF($R$17="Distrato",$I$38-1,0)),IF(AND($L$37=0,$P$34=0),"",$L$37-1),IF($R$17="Distrato",$E201,0))),0,YEARFRAC(MAX($P$34*($B201+IF($R$17="Distrato",$I$38-1,0)),IF(AND($L$37=0,$P$34=0),"",$L$37-1),IF($R$17="Distrato",$E201,0)),MIN(AG$38,$D$19),$P$20))-SUM($P201:AF201)</f>
        <v>#VALUE!</v>
      </c>
      <c r="AH201" s="446" t="e">
        <f>IF(OR($B201="",MIN(AH$38,$D$19)&lt;MAX($P$34*($B201+IF($R$17="Distrato",$I$38-1,0)),IF(AND($L$37=0,$P$34=0),"",$L$37-1),IF($R$17="Distrato",$E201,0))),0,YEARFRAC(MAX($P$34*($B201+IF($R$17="Distrato",$I$38-1,0)),IF(AND($L$37=0,$P$34=0),"",$L$37-1),IF($R$17="Distrato",$E201,0)),MIN(AH$38,$D$19),$P$20))-SUM($P201:AG201)</f>
        <v>#VALUE!</v>
      </c>
      <c r="AI201" s="446" t="e">
        <f>IF(OR($B201="",MIN(AI$38,$D$19)&lt;MAX($P$34*($B201+IF($R$17="Distrato",$I$38-1,0)),IF(AND($L$37=0,$P$34=0),"",$L$37-1),IF($R$17="Distrato",$E201,0))),0,YEARFRAC(MAX($P$34*($B201+IF($R$17="Distrato",$I$38-1,0)),IF(AND($L$37=0,$P$34=0),"",$L$37-1),IF($R$17="Distrato",$E201,0)),MIN(AI$38,$D$19),$P$20))-SUM($P201:AH201)</f>
        <v>#VALUE!</v>
      </c>
      <c r="AJ201" s="446" t="e">
        <f>IF(OR($B201="",MIN(AJ$38,$D$19)&lt;MAX($P$34*($B201+IF($R$17="Distrato",$I$38-1,0)),IF(AND($L$37=0,$P$34=0),"",$L$37-1),IF($R$17="Distrato",$E201,0))),0,YEARFRAC(MAX($P$34*($B201+IF($R$17="Distrato",$I$38-1,0)),IF(AND($L$37=0,$P$34=0),"",$L$37-1),IF($R$17="Distrato",$E201,0)),MIN(AJ$38,$D$19),$P$20))-SUM($P201:AI201)</f>
        <v>#VALUE!</v>
      </c>
      <c r="AK201" s="446" t="e">
        <f>IF(OR($B201="",MIN(AK$38,$D$19)&lt;MAX($P$34*($B201+IF($R$17="Distrato",$I$38-1,0)),IF(AND($L$37=0,$P$34=0),"",$L$37-1),IF($R$17="Distrato",$E201,0))),0,YEARFRAC(MAX($P$34*($B201+IF($R$17="Distrato",$I$38-1,0)),IF(AND($L$37=0,$P$34=0),"",$L$37-1),IF($R$17="Distrato",$E201,0)),MIN(AK$38,$D$19),$P$20))-SUM($P201:AJ201)</f>
        <v>#VALUE!</v>
      </c>
      <c r="AL201" s="446" t="e">
        <f>IF(OR($B201="",MIN(AL$38,$D$19)&lt;MAX($P$34*($B201+IF($R$17="Distrato",$I$38-1,0)),IF(AND($L$37=0,$P$34=0),"",$L$37-1),IF($R$17="Distrato",$E201,0))),0,YEARFRAC(MAX($P$34*($B201+IF($R$17="Distrato",$I$38-1,0)),IF(AND($L$37=0,$P$34=0),"",$L$37-1),IF($R$17="Distrato",$E201,0)),MIN(AL$38,$D$19),$P$20))-SUM($P201:AK201)</f>
        <v>#VALUE!</v>
      </c>
      <c r="AM201" s="446" t="e">
        <f>IF(OR($B201="",MIN(AM$38,$D$19)&lt;MAX($P$34*($B201+IF($R$17="Distrato",$I$38-1,0)),IF(AND($L$37=0,$P$34=0),"",$L$37-1),IF($R$17="Distrato",$E201,0))),0,YEARFRAC(MAX($P$34*($B201+IF($R$17="Distrato",$I$38-1,0)),IF(AND($L$37=0,$P$34=0),"",$L$37-1),IF($R$17="Distrato",$E201,0)),MIN(AM$38,$D$19),$P$20))-SUM($P201:AL201)</f>
        <v>#VALUE!</v>
      </c>
      <c r="AN201" s="446" t="e">
        <f>IF(OR($B201="",MIN(AN$38,$D$19)&lt;MAX($P$34*($B201+IF($R$17="Distrato",$I$38-1,0)),IF(AND($L$37=0,$P$34=0),"",$L$37-1),IF($R$17="Distrato",$E201,0))),0,YEARFRAC(MAX($P$34*($B201+IF($R$17="Distrato",$I$38-1,0)),IF(AND($L$37=0,$P$34=0),"",$L$37-1),IF($R$17="Distrato",$E201,0)),MIN(AN$38,$D$19),$P$20))-SUM($P201:AM201)</f>
        <v>#VALUE!</v>
      </c>
      <c r="AO201" s="446" t="e">
        <f>IF(OR($B201="",MIN(AO$38,$D$19)&lt;MAX($P$34*($B201+IF($R$17="Distrato",$I$38-1,0)),IF(AND($L$37=0,$P$34=0),"",$L$37-1),IF($R$17="Distrato",$E201,0))),0,YEARFRAC(MAX($P$34*($B201+IF($R$17="Distrato",$I$38-1,0)),IF(AND($L$37=0,$P$34=0),"",$L$37-1),IF($R$17="Distrato",$E201,0)),MIN(AO$38,$D$19),$P$20))-SUM($P201:AN201)</f>
        <v>#VALUE!</v>
      </c>
      <c r="AP201" s="446" t="e">
        <f>IF(OR($B201="",MIN(AP$38,$D$19)&lt;MAX($P$34*($B201+IF($R$17="Distrato",$I$38-1,0)),IF(AND($L$37=0,$P$34=0),"",$L$37-1),IF($R$17="Distrato",$E201,0))),0,YEARFRAC(MAX($P$34*($B201+IF($R$17="Distrato",$I$38-1,0)),IF(AND($L$37=0,$P$34=0),"",$L$37-1),IF($R$17="Distrato",$E201,0)),MIN(AP$38,$D$19),$P$20))-SUM($P201:AO201)</f>
        <v>#VALUE!</v>
      </c>
      <c r="AQ201" s="446" t="e">
        <f>IF(OR($B201="",MIN(AQ$38,$D$19)&lt;MAX($P$34*($B201+IF($R$17="Distrato",$I$38-1,0)),IF(AND($L$37=0,$P$34=0),"",$L$37-1),IF($R$17="Distrato",$E201,0))),0,YEARFRAC(MAX($P$34*($B201+IF($R$17="Distrato",$I$38-1,0)),IF(AND($L$37=0,$P$34=0),"",$L$37-1),IF($R$17="Distrato",$E201,0)),MIN(AQ$38,$D$19),$P$20))-SUM($P201:AP201)</f>
        <v>#VALUE!</v>
      </c>
      <c r="AR201" s="446" t="e">
        <f>IF(OR($B201="",MIN(AR$38,$D$19)&lt;MAX($P$34*($B201+IF($R$17="Distrato",$I$38-1,0)),IF(AND($L$37=0,$P$34=0),"",$L$37-1),IF($R$17="Distrato",$E201,0))),0,YEARFRAC(MAX($P$34*($B201+IF($R$17="Distrato",$I$38-1,0)),IF(AND($L$37=0,$P$34=0),"",$L$37-1),IF($R$17="Distrato",$E201,0)),MIN(AR$38,$D$19),$P$20))-SUM($P201:AQ201)</f>
        <v>#VALUE!</v>
      </c>
      <c r="AS201" s="446" t="e">
        <f>IF(OR($B201="",MIN(AS$38,$D$19)&lt;MAX($P$34*($B201+IF($R$17="Distrato",$I$38-1,0)),IF(AND($L$37=0,$P$34=0),"",$L$37-1),IF($R$17="Distrato",$E201,0))),0,YEARFRAC(MAX($P$34*($B201+IF($R$17="Distrato",$I$38-1,0)),IF(AND($L$37=0,$P$34=0),"",$L$37-1),IF($R$17="Distrato",$E201,0)),MIN(AS$38,$D$19),$P$20))-SUM($P201:AR201)</f>
        <v>#VALUE!</v>
      </c>
      <c r="AT201" s="446" t="e">
        <f>IF(OR($B201="",MIN(AT$38,$D$19)&lt;MAX($P$34*($B201+IF($R$17="Distrato",$I$38-1,0)),IF(AND($L$37=0,$P$34=0),"",$L$37-1),IF($R$17="Distrato",$E201,0))),0,YEARFRAC(MAX($P$34*($B201+IF($R$17="Distrato",$I$38-1,0)),IF(AND($L$37=0,$P$34=0),"",$L$37-1),IF($R$17="Distrato",$E201,0)),MIN(AT$38,$D$19),$P$20))-SUM($P201:AS201)</f>
        <v>#VALUE!</v>
      </c>
      <c r="AU201" s="446" t="e">
        <f>IF(OR($B201="",MIN(AU$38,$D$19)&lt;MAX($P$34*($B201+IF($R$17="Distrato",$I$38-1,0)),IF(AND($L$37=0,$P$34=0),"",$L$37-1),IF($R$17="Distrato",$E201,0))),0,YEARFRAC(MAX($P$34*($B201+IF($R$17="Distrato",$I$38-1,0)),IF(AND($L$37=0,$P$34=0),"",$L$37-1),IF($R$17="Distrato",$E201,0)),MIN(AU$38,$D$19),$P$20))-SUM($P201:AT201)</f>
        <v>#VALUE!</v>
      </c>
      <c r="AV201" s="446" t="e">
        <f>IF(OR($B201="",MIN(AV$38,$D$19)&lt;MAX($P$34*($B201+IF($R$17="Distrato",$I$38-1,0)),IF(AND($L$37=0,$P$34=0),"",$L$37-1),IF($R$17="Distrato",$E201,0))),0,YEARFRAC(MAX($P$34*($B201+IF($R$17="Distrato",$I$38-1,0)),IF(AND($L$37=0,$P$34=0),"",$L$37-1),IF($R$17="Distrato",$E201,0)),MIN(AV$38,$D$19),$P$20))-SUM($P201:AU201)</f>
        <v>#VALUE!</v>
      </c>
      <c r="AW201" s="446" t="e">
        <f>IF(OR($B201="",MIN(AW$38,$D$19)&lt;MAX($P$34*($B201+IF($R$17="Distrato",$I$38-1,0)),IF(AND($L$37=0,$P$34=0),"",$L$37-1),IF($R$17="Distrato",$E201,0))),0,YEARFRAC(MAX($P$34*($B201+IF($R$17="Distrato",$I$38-1,0)),IF(AND($L$37=0,$P$34=0),"",$L$37-1),IF($R$17="Distrato",$E201,0)),MIN(AW$38,$D$19),$P$20))-SUM($P201:AV201)</f>
        <v>#VALUE!</v>
      </c>
      <c r="AX201" s="446" t="e">
        <f>IF(OR($B201="",MIN(AX$38,$D$19)&lt;MAX($P$34*($B201+IF($R$17="Distrato",$I$38-1,0)),IF(AND($L$37=0,$P$34=0),"",$L$37-1),IF($R$17="Distrato",$E201,0))),0,YEARFRAC(MAX($P$34*($B201+IF($R$17="Distrato",$I$38-1,0)),IF(AND($L$37=0,$P$34=0),"",$L$37-1),IF($R$17="Distrato",$E201,0)),MIN(AX$38,$D$19),$P$20))-SUM($P201:AW201)</f>
        <v>#VALUE!</v>
      </c>
      <c r="AY201" s="446" t="e">
        <f>IF(OR($B201="",MIN(AY$38,$D$19)&lt;MAX($P$34*($B201+IF($R$17="Distrato",$I$38-1,0)),IF(AND($L$37=0,$P$34=0),"",$L$37-1),IF($R$17="Distrato",$E201,0))),0,YEARFRAC(MAX($P$34*($B201+IF($R$17="Distrato",$I$38-1,0)),IF(AND($L$37=0,$P$34=0),"",$L$37-1),IF($R$17="Distrato",$E201,0)),MIN(AY$38,$D$19),$P$20))-SUM($P201:AX201)</f>
        <v>#VALUE!</v>
      </c>
      <c r="AZ201" s="446" t="e">
        <f>IF(OR($B201="",MIN(AZ$38,$D$19)&lt;MAX($P$34*($B201+IF($R$17="Distrato",$I$38-1,0)),IF(AND($L$37=0,$P$34=0),"",$L$37-1),IF($R$17="Distrato",$E201,0))),0,YEARFRAC(MAX($P$34*($B201+IF($R$17="Distrato",$I$38-1,0)),IF(AND($L$37=0,$P$34=0),"",$L$37-1),IF($R$17="Distrato",$E201,0)),MIN(AZ$38,$D$19),$P$20))-SUM($P201:AY201)</f>
        <v>#VALUE!</v>
      </c>
      <c r="BA201" s="446" t="e">
        <f>IF(OR($B201="",MIN(BA$38,$D$19)&lt;MAX($P$34*($B201+IF($R$17="Distrato",$I$38-1,0)),IF(AND($L$37=0,$P$34=0),"",$L$37-1),IF($R$17="Distrato",$E201,0))),0,YEARFRAC(MAX($P$34*($B201+IF($R$17="Distrato",$I$38-1,0)),IF(AND($L$37=0,$P$34=0),"",$L$37-1),IF($R$17="Distrato",$E201,0)),MIN(BA$38,$D$19),$P$20))-SUM($P201:AZ201)</f>
        <v>#VALUE!</v>
      </c>
      <c r="BB201" s="447"/>
      <c r="BF201" s="446">
        <f t="shared" si="32"/>
        <v>0</v>
      </c>
      <c r="BG201" s="446">
        <f>IF($E201=0,0,IF(MIN(BG$38,$E201)&lt;MAX($P$34*($B201+$I$38-1),IF(AND($L$37=0,$P$34=0),"",$L$37-1)),0,YEARFRAC(MAX($P$34*($B201+$I$38-1),IF(AND($L$37=0,$P$34=0),"",$L$37-1)),MIN(BG$38,$E201),$P$20))-SUM($BF201:BF201))</f>
        <v>0</v>
      </c>
      <c r="BH201" s="446">
        <f>IF($E201=0,0,IF(MIN(BH$38,$E201)&lt;MAX($P$34*($B201+$I$38-1),IF(AND($L$37=0,$P$34=0),"",$L$37-1)),0,YEARFRAC(MAX($P$34*($B201+$I$38-1),IF(AND($L$37=0,$P$34=0),"",$L$37-1)),MIN(BH$38,$E201),$P$20))-SUM($BF201:BG201))</f>
        <v>0</v>
      </c>
      <c r="BI201" s="446">
        <f>IF($E201=0,0,IF(MIN(BI$38,$E201)&lt;MAX($P$34*($B201+$I$38-1),IF(AND($L$37=0,$P$34=0),"",$L$37-1)),0,YEARFRAC(MAX($P$34*($B201+$I$38-1),IF(AND($L$37=0,$P$34=0),"",$L$37-1)),MIN(BI$38,$E201),$P$20))-SUM($BF201:BH201))</f>
        <v>0</v>
      </c>
      <c r="BJ201" s="446">
        <f>IF($E201=0,0,IF(MIN(BJ$38,$E201)&lt;MAX($P$34*($B201+$I$38-1),IF(AND($L$37=0,$P$34=0),"",$L$37-1)),0,YEARFRAC(MAX($P$34*($B201+$I$38-1),IF(AND($L$37=0,$P$34=0),"",$L$37-1)),MIN(BJ$38,$E201),$P$20))-SUM($BF201:BI201))</f>
        <v>0</v>
      </c>
      <c r="BK201" s="446">
        <f>IF($E201=0,0,IF(MIN(BK$38,$E201)&lt;MAX($P$34*($B201+$I$38-1),IF(AND($L$37=0,$P$34=0),"",$L$37-1)),0,YEARFRAC(MAX($P$34*($B201+$I$38-1),IF(AND($L$37=0,$P$34=0),"",$L$37-1)),MIN(BK$38,$E201),$P$20))-SUM($BF201:BJ201))</f>
        <v>0</v>
      </c>
      <c r="BL201" s="446">
        <f>IF($E201=0,0,IF(MIN(BL$38,$E201)&lt;MAX($P$34*($B201+$I$38-1),IF(AND($L$37=0,$P$34=0),"",$L$37-1)),0,YEARFRAC(MAX($P$34*($B201+$I$38-1),IF(AND($L$37=0,$P$34=0),"",$L$37-1)),MIN(BL$38,$E201),$P$20))-SUM($BF201:BK201))</f>
        <v>0</v>
      </c>
      <c r="BM201" s="446">
        <f>IF($E201=0,0,IF(MIN(BM$38,$E201)&lt;MAX($P$34*($B201+$I$38-1),IF(AND($L$37=0,$P$34=0),"",$L$37-1)),0,YEARFRAC(MAX($P$34*($B201+$I$38-1),IF(AND($L$37=0,$P$34=0),"",$L$37-1)),MIN(BM$38,$E201),$P$20))-SUM($BF201:BL201))</f>
        <v>0</v>
      </c>
      <c r="BN201" s="446">
        <f>IF($E201=0,0,IF(MIN(BN$38,$E201)&lt;MAX($P$34*($B201+$I$38-1),IF(AND($L$37=0,$P$34=0),"",$L$37-1)),0,YEARFRAC(MAX($P$34*($B201+$I$38-1),IF(AND($L$37=0,$P$34=0),"",$L$37-1)),MIN(BN$38,$E201),$P$20))-SUM($BF201:BM201))</f>
        <v>0</v>
      </c>
      <c r="BO201" s="446">
        <f>IF($E201=0,0,IF(MIN(BO$38,$E201)&lt;MAX($P$34*($B201+$I$38-1),IF(AND($L$37=0,$P$34=0),"",$L$37-1)),0,YEARFRAC(MAX($P$34*($B201+$I$38-1),IF(AND($L$37=0,$P$34=0),"",$L$37-1)),MIN(BO$38,$E201),$P$20))-SUM($BF201:BN201))</f>
        <v>0</v>
      </c>
      <c r="BP201" s="446">
        <f>IF($E201=0,0,IF(MIN(BP$38,$E201)&lt;MAX($P$34*($B201+$I$38-1),IF(AND($L$37=0,$P$34=0),"",$L$37-1)),0,YEARFRAC(MAX($P$34*($B201+$I$38-1),IF(AND($L$37=0,$P$34=0),"",$L$37-1)),MIN(BP$38,$E201),$P$20))-SUM($BF201:BO201))</f>
        <v>0</v>
      </c>
      <c r="BQ201" s="446">
        <f>IF($E201=0,0,IF(MIN(BQ$38,$E201)&lt;MAX($P$34*($B201+$I$38-1),IF(AND($L$37=0,$P$34=0),"",$L$37-1)),0,YEARFRAC(MAX($P$34*($B201+$I$38-1),IF(AND($L$37=0,$P$34=0),"",$L$37-1)),MIN(BQ$38,$E201),$P$20))-SUM($BF201:BP201))</f>
        <v>0</v>
      </c>
      <c r="BR201" s="446">
        <f>IF($E201=0,0,IF(MIN(BR$38,$E201)&lt;MAX($P$34*($B201+$I$38-1),IF(AND($L$37=0,$P$34=0),"",$L$37-1)),0,YEARFRAC(MAX($P$34*($B201+$I$38-1),IF(AND($L$37=0,$P$34=0),"",$L$37-1)),MIN(BR$38,$E201),$P$20))-SUM($BF201:BQ201))</f>
        <v>0</v>
      </c>
      <c r="BS201" s="446">
        <f>IF($E201=0,0,IF(MIN(BS$38,$E201)&lt;MAX($P$34*($B201+$I$38-1),IF(AND($L$37=0,$P$34=0),"",$L$37-1)),0,YEARFRAC(MAX($P$34*($B201+$I$38-1),IF(AND($L$37=0,$P$34=0),"",$L$37-1)),MIN(BS$38,$E201),$P$20))-SUM($BF201:BR201))</f>
        <v>0</v>
      </c>
      <c r="BT201" s="446">
        <f>IF($E201=0,0,IF(MIN(BT$38,$E201)&lt;MAX($P$34*($B201+$I$38-1),IF(AND($L$37=0,$P$34=0),"",$L$37-1)),0,YEARFRAC(MAX($P$34*($B201+$I$38-1),IF(AND($L$37=0,$P$34=0),"",$L$37-1)),MIN(BT$38,$E201),$P$20))-SUM($BF201:BS201))</f>
        <v>0</v>
      </c>
      <c r="BU201" s="446">
        <f>IF($E201=0,0,IF(MIN(BU$38,$E201)&lt;MAX($P$34*($B201+$I$38-1),IF(AND($L$37=0,$P$34=0),"",$L$37-1)),0,YEARFRAC(MAX($P$34*($B201+$I$38-1),IF(AND($L$37=0,$P$34=0),"",$L$37-1)),MIN(BU$38,$E201),$P$20))-SUM($BF201:BT201))</f>
        <v>0</v>
      </c>
      <c r="BV201" s="446">
        <f>IF($E201=0,0,IF(MIN(BV$38,$E201)&lt;MAX($P$34*($B201+$I$38-1),IF(AND($L$37=0,$P$34=0),"",$L$37-1)),0,YEARFRAC(MAX($P$34*($B201+$I$38-1),IF(AND($L$37=0,$P$34=0),"",$L$37-1)),MIN(BV$38,$E201),$P$20))-SUM($BF201:BU201))</f>
        <v>0</v>
      </c>
      <c r="BW201" s="446">
        <f>IF($E201=0,0,IF(MIN(BW$38,$E201)&lt;MAX($P$34*($B201+$I$38-1),IF(AND($L$37=0,$P$34=0),"",$L$37-1)),0,YEARFRAC(MAX($P$34*($B201+$I$38-1),IF(AND($L$37=0,$P$34=0),"",$L$37-1)),MIN(BW$38,$E201),$P$20))-SUM($BF201:BV201))</f>
        <v>0</v>
      </c>
      <c r="BX201" s="446">
        <f>IF($E201=0,0,IF(MIN(BX$38,$E201)&lt;MAX($P$34*($B201+$I$38-1),IF(AND($L$37=0,$P$34=0),"",$L$37-1)),0,YEARFRAC(MAX($P$34*($B201+$I$38-1),IF(AND($L$37=0,$P$34=0),"",$L$37-1)),MIN(BX$38,$E201),$P$20))-SUM($BF201:BW201))</f>
        <v>0</v>
      </c>
      <c r="BY201" s="446">
        <f>IF($E201=0,0,IF(MIN(BY$38,$E201)&lt;MAX($P$34*($B201+$I$38-1),IF(AND($L$37=0,$P$34=0),"",$L$37-1)),0,YEARFRAC(MAX($P$34*($B201+$I$38-1),IF(AND($L$37=0,$P$34=0),"",$L$37-1)),MIN(BY$38,$E201),$P$20))-SUM($BF201:BX201))</f>
        <v>0</v>
      </c>
      <c r="BZ201" s="446">
        <f>IF($E201=0,0,IF(MIN(BZ$38,$E201)&lt;MAX($P$34*($B201+$I$38-1),IF(AND($L$37=0,$P$34=0),"",$L$37-1)),0,YEARFRAC(MAX($P$34*($B201+$I$38-1),IF(AND($L$37=0,$P$34=0),"",$L$37-1)),MIN(BZ$38,$E201),$P$20))-SUM($BF201:BY201))</f>
        <v>0</v>
      </c>
      <c r="CA201" s="446">
        <f>IF($E201=0,0,IF(MIN(CA$38,$E201)&lt;MAX($P$34*($B201+$I$38-1),IF(AND($L$37=0,$P$34=0),"",$L$37-1)),0,YEARFRAC(MAX($P$34*($B201+$I$38-1),IF(AND($L$37=0,$P$34=0),"",$L$37-1)),MIN(CA$38,$E201),$P$20))-SUM($BF201:BZ201))</f>
        <v>0</v>
      </c>
      <c r="CB201" s="446">
        <f>IF($E201=0,0,IF(MIN(CB$38,$E201)&lt;MAX($P$34*($B201+$I$38-1),IF(AND($L$37=0,$P$34=0),"",$L$37-1)),0,YEARFRAC(MAX($P$34*($B201+$I$38-1),IF(AND($L$37=0,$P$34=0),"",$L$37-1)),MIN(CB$38,$E201),$P$20))-SUM($BF201:CA201))</f>
        <v>0</v>
      </c>
      <c r="CC201" s="446">
        <f>IF($E201=0,0,IF(MIN(CC$38,$E201)&lt;MAX($P$34*($B201+$I$38-1),IF(AND($L$37=0,$P$34=0),"",$L$37-1)),0,YEARFRAC(MAX($P$34*($B201+$I$38-1),IF(AND($L$37=0,$P$34=0),"",$L$37-1)),MIN(CC$38,$E201),$P$20))-SUM($BF201:CB201))</f>
        <v>0</v>
      </c>
      <c r="CD201" s="446">
        <f>IF($E201=0,0,IF(MIN(CD$38,$E201)&lt;MAX($P$34*($B201+$I$38-1),IF(AND($L$37=0,$P$34=0),"",$L$37-1)),0,YEARFRAC(MAX($P$34*($B201+$I$38-1),IF(AND($L$37=0,$P$34=0),"",$L$37-1)),MIN(CD$38,$E201),$P$20))-SUM($BF201:CC201))</f>
        <v>0</v>
      </c>
      <c r="CE201" s="446">
        <f>IF($E201=0,0,IF(MIN(CE$38,$E201)&lt;MAX($P$34*($B201+$I$38-1),IF(AND($L$37=0,$P$34=0),"",$L$37-1)),0,YEARFRAC(MAX($P$34*($B201+$I$38-1),IF(AND($L$37=0,$P$34=0),"",$L$37-1)),MIN(CE$38,$E201),$P$20))-SUM($BF201:CD201))</f>
        <v>0</v>
      </c>
      <c r="CF201" s="446">
        <f>IF($E201=0,0,IF(MIN(CF$38,$E201)&lt;MAX($P$34*($B201+$I$38-1),IF(AND($L$37=0,$P$34=0),"",$L$37-1)),0,YEARFRAC(MAX($P$34*($B201+$I$38-1),IF(AND($L$37=0,$P$34=0),"",$L$37-1)),MIN(CF$38,$E201),$P$20))-SUM($BF201:CE201))</f>
        <v>0</v>
      </c>
      <c r="CG201" s="446">
        <f>IF($E201=0,0,IF(MIN(CG$38,$E201)&lt;MAX($P$34*($B201+$I$38-1),IF(AND($L$37=0,$P$34=0),"",$L$37-1)),0,YEARFRAC(MAX($P$34*($B201+$I$38-1),IF(AND($L$37=0,$P$34=0),"",$L$37-1)),MIN(CG$38,$E201),$P$20))-SUM($BF201:CF201))</f>
        <v>0</v>
      </c>
      <c r="CH201" s="446">
        <f>IF($E201=0,0,IF(MIN(CH$38,$E201)&lt;MAX($P$34*($B201+$I$38-1),IF(AND($L$37=0,$P$34=0),"",$L$37-1)),0,YEARFRAC(MAX($P$34*($B201+$I$38-1),IF(AND($L$37=0,$P$34=0),"",$L$37-1)),MIN(CH$38,$E201),$P$20))-SUM($BF201:CG201))</f>
        <v>0</v>
      </c>
      <c r="CI201" s="446">
        <f>IF($E201=0,0,IF(MIN(CI$38,$E201)&lt;MAX($P$34*($B201+$I$38-1),IF(AND($L$37=0,$P$34=0),"",$L$37-1)),0,YEARFRAC(MAX($P$34*($B201+$I$38-1),IF(AND($L$37=0,$P$34=0),"",$L$37-1)),MIN(CI$38,$E201),$P$20))-SUM($BF201:CH201))</f>
        <v>0</v>
      </c>
      <c r="CJ201" s="446">
        <f>IF($E201=0,0,IF(MIN(CJ$38,$E201)&lt;MAX($P$34*($B201+$I$38-1),IF(AND($L$37=0,$P$34=0),"",$L$37-1)),0,YEARFRAC(MAX($P$34*($B201+$I$38-1),IF(AND($L$37=0,$P$34=0),"",$L$37-1)),MIN(CJ$38,$E201),$P$20))-SUM($BF201:CI201))</f>
        <v>0</v>
      </c>
      <c r="CK201" s="446">
        <f>IF($E201=0,0,IF(MIN(CK$38,$E201)&lt;MAX($P$34*($B201+$I$38-1),IF(AND($L$37=0,$P$34=0),"",$L$37-1)),0,YEARFRAC(MAX($P$34*($B201+$I$38-1),IF(AND($L$37=0,$P$34=0),"",$L$37-1)),MIN(CK$38,$E201),$P$20))-SUM($BF201:CJ201))</f>
        <v>0</v>
      </c>
      <c r="CL201" s="446">
        <f>IF($E201=0,0,IF(MIN(CL$38,$E201)&lt;MAX($P$34*($B201+$I$38-1),IF(AND($L$37=0,$P$34=0),"",$L$37-1)),0,YEARFRAC(MAX($P$34*($B201+$I$38-1),IF(AND($L$37=0,$P$34=0),"",$L$37-1)),MIN(CL$38,$E201),$P$20))-SUM($BF201:CK201))</f>
        <v>0</v>
      </c>
      <c r="CM201" s="446">
        <f>IF($E201=0,0,IF(MIN(CM$38,$E201)&lt;MAX($P$34*($B201+$I$38-1),IF(AND($L$37=0,$P$34=0),"",$L$37-1)),0,YEARFRAC(MAX($P$34*($B201+$I$38-1),IF(AND($L$37=0,$P$34=0),"",$L$37-1)),MIN(CM$38,$E201),$P$20))-SUM($BF201:CL201))</f>
        <v>0</v>
      </c>
      <c r="CN201" s="446">
        <f>IF($E201=0,0,IF(MIN(CN$38,$E201)&lt;MAX($P$34*($B201+$I$38-1),IF(AND($L$37=0,$P$34=0),"",$L$37-1)),0,YEARFRAC(MAX($P$34*($B201+$I$38-1),IF(AND($L$37=0,$P$34=0),"",$L$37-1)),MIN(CN$38,$E201),$P$20))-SUM($BF201:CM201))</f>
        <v>0</v>
      </c>
      <c r="CO201" s="446">
        <f>IF($E201=0,0,IF(MIN(CO$38,$E201)&lt;MAX($P$34*($B201+$I$38-1),IF(AND($L$37=0,$P$34=0),"",$L$37-1)),0,YEARFRAC(MAX($P$34*($B201+$I$38-1),IF(AND($L$37=0,$P$34=0),"",$L$37-1)),MIN(CO$38,$E201),$P$20))-SUM($BF201:CN201))</f>
        <v>0</v>
      </c>
      <c r="CP201" s="446">
        <f>IF($E201=0,0,IF(MIN(CP$38,$E201)&lt;MAX($P$34*($B201+$I$38-1),IF(AND($L$37=0,$P$34=0),"",$L$37-1)),0,YEARFRAC(MAX($P$34*($B201+$I$38-1),IF(AND($L$37=0,$P$34=0),"",$L$37-1)),MIN(CP$38,$E201),$P$20))-SUM($BF201:CO201))</f>
        <v>0</v>
      </c>
      <c r="CQ201" s="446">
        <f>IF($E201=0,0,IF(MIN(CQ$38,$E201)&lt;MAX($P$34*($B201+$I$38-1),IF(AND($L$37=0,$P$34=0),"",$L$37-1)),0,YEARFRAC(MAX($P$34*($B201+$I$38-1),IF(AND($L$37=0,$P$34=0),"",$L$37-1)),MIN(CQ$38,$E201),$P$20))-SUM($BF201:CP201))</f>
        <v>0</v>
      </c>
    </row>
    <row r="202" spans="1:95" s="446" customFormat="1" ht="11.25" hidden="1" customHeight="1" x14ac:dyDescent="0.2">
      <c r="A202" s="152"/>
      <c r="B202" s="153" t="str">
        <f t="shared" si="37"/>
        <v/>
      </c>
      <c r="C202" s="29" t="str">
        <f>IF(B202="","",IF($L$35="SELIC - TRIBUTOS",VLOOKUP(DATE(YEAR($D$19),MONTH($D$19)-1,1),ÍNDICES!$A:$DE,HLOOKUP($BL$25,ÍNDICES!$B$3:$T$4,2)+11)-VLOOKUP(B202,ÍNDICES!$A:$DE,HLOOKUP($BL$25,ÍNDICES!$B$3:$T$4,2)+11)+1%,IF(C$38=$W$26,$J$35,IF(ISERROR(IF(B202&gt;$D$19,1,VLOOKUP(DATE(YEAR(B202),MONTH(B202)+IF($C$35=$S$23,1,0),1),ÍNDICES!$A:$DE,$Z$35+1))),"",IF(B202&gt;$D$19,1,VLOOKUP(DATE(YEAR(B202),MONTH(B202)+IF($C$35=$S$23,1,0),1),ÍNDICES!$A:$DE,$Z$35+1))))))</f>
        <v/>
      </c>
      <c r="D202" s="154" t="str">
        <f>IF(ISERROR(IF(OR($D$38=$Y$27,$B202=""),"",VLOOKUP(B202,ÍNDICES!A:DE,AF$35+1))),"",IF(OR($D$38=$Y$27,$B202=""),"",VLOOKUP(B202,ÍNDICES!A:DE,AF$35+1)))</f>
        <v/>
      </c>
      <c r="E202" s="153"/>
      <c r="F202" s="29" t="str">
        <f>IF(E202="","",IF($L$35="SELIC - TRIBUTOS",VLOOKUP(DATE(YEAR($D$19),MONTH($D$19)-1,1),ÍNDICES!$A:$DE,HLOOKUP($BL$25,ÍNDICES!$B$3:$T$4,2)+11)-VLOOKUP(E202,ÍNDICES!$A:$DE,HLOOKUP($BL$25,ÍNDICES!$B$3:$T$4,2)+11)+1%,IF(F$38=$W$26,$J$35,IF(ISERROR(IF(E202&gt;$D$19,1,VLOOKUP(DATE(YEAR(E202),MONTH(E202)+IF($C$35=$S$23,1,0),1),ÍNDICES!$A:$DE,$Z$35+1))),"",IF(E202&gt;$D$19,1,VLOOKUP(DATE(YEAR(E202),MONTH(E202)+IF($C$35=$S$23,1,0),1),ÍNDICES!$A:$DE,$Z$35+1))))))</f>
        <v/>
      </c>
      <c r="G202" s="155"/>
      <c r="H202" s="156" t="str">
        <f t="shared" si="33"/>
        <v/>
      </c>
      <c r="I202" s="29" t="str">
        <f t="shared" si="27"/>
        <v/>
      </c>
      <c r="J202" s="5">
        <f t="shared" si="28"/>
        <v>0</v>
      </c>
      <c r="K202" s="20">
        <f t="shared" ca="1" si="29"/>
        <v>0</v>
      </c>
      <c r="L202" s="5">
        <f t="shared" ca="1" si="30"/>
        <v>0</v>
      </c>
      <c r="M202" s="64">
        <f t="shared" si="34"/>
        <v>0</v>
      </c>
      <c r="N202" s="61">
        <f t="shared" ca="1" si="35"/>
        <v>0</v>
      </c>
      <c r="O202" s="5">
        <f t="shared" ca="1" si="36"/>
        <v>0</v>
      </c>
      <c r="P202" s="446" t="e">
        <f t="shared" si="31"/>
        <v>#VALUE!</v>
      </c>
      <c r="Q202" s="446" t="e">
        <f>IF(OR($B202="",MIN(Q$38,$D$19)&lt;MAX($P$34*($B202+IF($R$17="Distrato",$I$38-1,0)),IF(AND($L$37=0,$P$34=0),"",$L$37-1),IF($R$17="Distrato",$E202,0))),0,YEARFRAC(MAX($P$34*($B202+IF($R$17="Distrato",$I$38-1,0)),IF(AND($L$37=0,$P$34=0),"",$L$37-1),IF($R$17="Distrato",$E202,0)),MIN(Q$38,$D$19),$P$20))-SUM($P202:P202)</f>
        <v>#VALUE!</v>
      </c>
      <c r="R202" s="446" t="e">
        <f>IF(OR($B202="",MIN(R$38,$D$19)&lt;MAX($P$34*($B202+IF($R$17="Distrato",$I$38-1,0)),IF(AND($L$37=0,$P$34=0),"",$L$37-1),IF($R$17="Distrato",$E202,0))),0,YEARFRAC(MAX($P$34*($B202+IF($R$17="Distrato",$I$38-1,0)),IF(AND($L$37=0,$P$34=0),"",$L$37-1),IF($R$17="Distrato",$E202,0)),MIN(R$38,$D$19),$P$20))-SUM($P202:Q202)</f>
        <v>#VALUE!</v>
      </c>
      <c r="S202" s="446" t="e">
        <f>IF(OR($B202="",MIN(S$38,$D$19)&lt;MAX($P$34*($B202+IF($R$17="Distrato",$I$38-1,0)),IF(AND($L$37=0,$P$34=0),"",$L$37-1),IF($R$17="Distrato",$E202,0))),0,YEARFRAC(MAX($P$34*($B202+IF($R$17="Distrato",$I$38-1,0)),IF(AND($L$37=0,$P$34=0),"",$L$37-1),IF($R$17="Distrato",$E202,0)),MIN(S$38,$D$19),$P$20))-SUM($P202:R202)</f>
        <v>#VALUE!</v>
      </c>
      <c r="T202" s="446" t="e">
        <f>IF(OR($B202="",MIN(T$38,$D$19)&lt;MAX($P$34*($B202+IF($R$17="Distrato",$I$38-1,0)),IF(AND($L$37=0,$P$34=0),"",$L$37-1),IF($R$17="Distrato",$E202,0))),0,YEARFRAC(MAX($P$34*($B202+IF($R$17="Distrato",$I$38-1,0)),IF(AND($L$37=0,$P$34=0),"",$L$37-1),IF($R$17="Distrato",$E202,0)),MIN(T$38,$D$19),$P$20))-SUM($P202:S202)</f>
        <v>#VALUE!</v>
      </c>
      <c r="U202" s="446" t="e">
        <f>IF(OR($B202="",MIN(U$38,$D$19)&lt;MAX($P$34*($B202+IF($R$17="Distrato",$I$38-1,0)),IF(AND($L$37=0,$P$34=0),"",$L$37-1),IF($R$17="Distrato",$E202,0))),0,YEARFRAC(MAX($P$34*($B202+IF($R$17="Distrato",$I$38-1,0)),IF(AND($L$37=0,$P$34=0),"",$L$37-1),IF($R$17="Distrato",$E202,0)),MIN(U$38,$D$19),$P$20))-SUM($P202:T202)</f>
        <v>#VALUE!</v>
      </c>
      <c r="V202" s="446" t="e">
        <f>IF(OR($B202="",MIN(V$38,$D$19)&lt;MAX($P$34*($B202+IF($R$17="Distrato",$I$38-1,0)),IF(AND($L$37=0,$P$34=0),"",$L$37-1),IF($R$17="Distrato",$E202,0))),0,YEARFRAC(MAX($P$34*($B202+IF($R$17="Distrato",$I$38-1,0)),IF(AND($L$37=0,$P$34=0),"",$L$37-1),IF($R$17="Distrato",$E202,0)),MIN(V$38,$D$19),$P$20))-SUM($P202:U202)</f>
        <v>#VALUE!</v>
      </c>
      <c r="W202" s="446" t="e">
        <f>IF(OR($B202="",MIN(W$38,$D$19)&lt;MAX($P$34*($B202+IF($R$17="Distrato",$I$38-1,0)),IF(AND($L$37=0,$P$34=0),"",$L$37-1),IF($R$17="Distrato",$E202,0))),0,YEARFRAC(MAX($P$34*($B202+IF($R$17="Distrato",$I$38-1,0)),IF(AND($L$37=0,$P$34=0),"",$L$37-1),IF($R$17="Distrato",$E202,0)),MIN(W$38,$D$19),$P$20))-SUM($P202:V202)</f>
        <v>#VALUE!</v>
      </c>
      <c r="X202" s="446" t="e">
        <f>IF(OR($B202="",MIN(X$38,$D$19)&lt;MAX($P$34*($B202+IF($R$17="Distrato",$I$38-1,0)),IF(AND($L$37=0,$P$34=0),"",$L$37-1),IF($R$17="Distrato",$E202,0))),0,YEARFRAC(MAX($P$34*($B202+IF($R$17="Distrato",$I$38-1,0)),IF(AND($L$37=0,$P$34=0),"",$L$37-1),IF($R$17="Distrato",$E202,0)),MIN(X$38,$D$19),$P$20))-SUM($P202:W202)</f>
        <v>#VALUE!</v>
      </c>
      <c r="Y202" s="446" t="e">
        <f>IF(OR($B202="",MIN(Y$38,$D$19)&lt;MAX($P$34*($B202+IF($R$17="Distrato",$I$38-1,0)),IF(AND($L$37=0,$P$34=0),"",$L$37-1),IF($R$17="Distrato",$E202,0))),0,YEARFRAC(MAX($P$34*($B202+IF($R$17="Distrato",$I$38-1,0)),IF(AND($L$37=0,$P$34=0),"",$L$37-1),IF($R$17="Distrato",$E202,0)),MIN(Y$38,$D$19),$P$20))-SUM($P202:X202)</f>
        <v>#VALUE!</v>
      </c>
      <c r="Z202" s="446" t="e">
        <f>IF(OR($B202="",MIN(Z$38,$D$19)&lt;MAX($P$34*($B202+IF($R$17="Distrato",$I$38-1,0)),IF(AND($L$37=0,$P$34=0),"",$L$37-1),IF($R$17="Distrato",$E202,0))),0,YEARFRAC(MAX($P$34*($B202+IF($R$17="Distrato",$I$38-1,0)),IF(AND($L$37=0,$P$34=0),"",$L$37-1),IF($R$17="Distrato",$E202,0)),MIN(Z$38,$D$19),$P$20))-SUM($P202:Y202)</f>
        <v>#VALUE!</v>
      </c>
      <c r="AA202" s="446" t="e">
        <f>IF(OR($B202="",MIN(AA$38,$D$19)&lt;MAX($P$34*($B202+IF($R$17="Distrato",$I$38-1,0)),IF(AND($L$37=0,$P$34=0),"",$L$37-1),IF($R$17="Distrato",$E202,0))),0,YEARFRAC(MAX($P$34*($B202+IF($R$17="Distrato",$I$38-1,0)),IF(AND($L$37=0,$P$34=0),"",$L$37-1),IF($R$17="Distrato",$E202,0)),MIN(AA$38,$D$19),$P$20))-SUM($P202:Z202)</f>
        <v>#VALUE!</v>
      </c>
      <c r="AB202" s="446" t="e">
        <f>IF(OR($B202="",MIN(AB$38,$D$19)&lt;MAX($P$34*($B202+IF($R$17="Distrato",$I$38-1,0)),IF(AND($L$37=0,$P$34=0),"",$L$37-1),IF($R$17="Distrato",$E202,0))),0,YEARFRAC(MAX($P$34*($B202+IF($R$17="Distrato",$I$38-1,0)),IF(AND($L$37=0,$P$34=0),"",$L$37-1),IF($R$17="Distrato",$E202,0)),MIN(AB$38,$D$19),$P$20))-SUM($P202:AA202)</f>
        <v>#VALUE!</v>
      </c>
      <c r="AC202" s="446" t="e">
        <f>IF(OR($B202="",MIN(AC$38,$D$19)&lt;MAX($P$34*($B202+IF($R$17="Distrato",$I$38-1,0)),IF(AND($L$37=0,$P$34=0),"",$L$37-1),IF($R$17="Distrato",$E202,0))),0,YEARFRAC(MAX($P$34*($B202+IF($R$17="Distrato",$I$38-1,0)),IF(AND($L$37=0,$P$34=0),"",$L$37-1),IF($R$17="Distrato",$E202,0)),MIN(AC$38,$D$19),$P$20))-SUM($P202:AB202)</f>
        <v>#VALUE!</v>
      </c>
      <c r="AD202" s="446" t="e">
        <f>IF(OR($B202="",MIN(AD$38,$D$19)&lt;MAX($P$34*($B202+IF($R$17="Distrato",$I$38-1,0)),IF(AND($L$37=0,$P$34=0),"",$L$37-1),IF($R$17="Distrato",$E202,0))),0,YEARFRAC(MAX($P$34*($B202+IF($R$17="Distrato",$I$38-1,0)),IF(AND($L$37=0,$P$34=0),"",$L$37-1),IF($R$17="Distrato",$E202,0)),MIN(AD$38,$D$19),$P$20))-SUM($P202:AC202)</f>
        <v>#VALUE!</v>
      </c>
      <c r="AE202" s="446" t="e">
        <f>IF(OR($B202="",MIN(AE$38,$D$19)&lt;MAX($P$34*($B202+IF($R$17="Distrato",$I$38-1,0)),IF(AND($L$37=0,$P$34=0),"",$L$37-1),IF($R$17="Distrato",$E202,0))),0,YEARFRAC(MAX($P$34*($B202+IF($R$17="Distrato",$I$38-1,0)),IF(AND($L$37=0,$P$34=0),"",$L$37-1),IF($R$17="Distrato",$E202,0)),MIN(AE$38,$D$19),$P$20))-SUM($P202:AD202)</f>
        <v>#VALUE!</v>
      </c>
      <c r="AF202" s="446" t="e">
        <f>IF(OR($B202="",MIN(AF$38,$D$19)&lt;MAX($P$34*($B202+IF($R$17="Distrato",$I$38-1,0)),IF(AND($L$37=0,$P$34=0),"",$L$37-1),IF($R$17="Distrato",$E202,0))),0,YEARFRAC(MAX($P$34*($B202+IF($R$17="Distrato",$I$38-1,0)),IF(AND($L$37=0,$P$34=0),"",$L$37-1),IF($R$17="Distrato",$E202,0)),MIN(AF$38,$D$19),$P$20))-SUM($P202:AE202)</f>
        <v>#VALUE!</v>
      </c>
      <c r="AG202" s="446" t="e">
        <f>IF(OR($B202="",MIN(AG$38,$D$19)&lt;MAX($P$34*($B202+IF($R$17="Distrato",$I$38-1,0)),IF(AND($L$37=0,$P$34=0),"",$L$37-1),IF($R$17="Distrato",$E202,0))),0,YEARFRAC(MAX($P$34*($B202+IF($R$17="Distrato",$I$38-1,0)),IF(AND($L$37=0,$P$34=0),"",$L$37-1),IF($R$17="Distrato",$E202,0)),MIN(AG$38,$D$19),$P$20))-SUM($P202:AF202)</f>
        <v>#VALUE!</v>
      </c>
      <c r="AH202" s="446" t="e">
        <f>IF(OR($B202="",MIN(AH$38,$D$19)&lt;MAX($P$34*($B202+IF($R$17="Distrato",$I$38-1,0)),IF(AND($L$37=0,$P$34=0),"",$L$37-1),IF($R$17="Distrato",$E202,0))),0,YEARFRAC(MAX($P$34*($B202+IF($R$17="Distrato",$I$38-1,0)),IF(AND($L$37=0,$P$34=0),"",$L$37-1),IF($R$17="Distrato",$E202,0)),MIN(AH$38,$D$19),$P$20))-SUM($P202:AG202)</f>
        <v>#VALUE!</v>
      </c>
      <c r="AI202" s="446" t="e">
        <f>IF(OR($B202="",MIN(AI$38,$D$19)&lt;MAX($P$34*($B202+IF($R$17="Distrato",$I$38-1,0)),IF(AND($L$37=0,$P$34=0),"",$L$37-1),IF($R$17="Distrato",$E202,0))),0,YEARFRAC(MAX($P$34*($B202+IF($R$17="Distrato",$I$38-1,0)),IF(AND($L$37=0,$P$34=0),"",$L$37-1),IF($R$17="Distrato",$E202,0)),MIN(AI$38,$D$19),$P$20))-SUM($P202:AH202)</f>
        <v>#VALUE!</v>
      </c>
      <c r="AJ202" s="446" t="e">
        <f>IF(OR($B202="",MIN(AJ$38,$D$19)&lt;MAX($P$34*($B202+IF($R$17="Distrato",$I$38-1,0)),IF(AND($L$37=0,$P$34=0),"",$L$37-1),IF($R$17="Distrato",$E202,0))),0,YEARFRAC(MAX($P$34*($B202+IF($R$17="Distrato",$I$38-1,0)),IF(AND($L$37=0,$P$34=0),"",$L$37-1),IF($R$17="Distrato",$E202,0)),MIN(AJ$38,$D$19),$P$20))-SUM($P202:AI202)</f>
        <v>#VALUE!</v>
      </c>
      <c r="AK202" s="446" t="e">
        <f>IF(OR($B202="",MIN(AK$38,$D$19)&lt;MAX($P$34*($B202+IF($R$17="Distrato",$I$38-1,0)),IF(AND($L$37=0,$P$34=0),"",$L$37-1),IF($R$17="Distrato",$E202,0))),0,YEARFRAC(MAX($P$34*($B202+IF($R$17="Distrato",$I$38-1,0)),IF(AND($L$37=0,$P$34=0),"",$L$37-1),IF($R$17="Distrato",$E202,0)),MIN(AK$38,$D$19),$P$20))-SUM($P202:AJ202)</f>
        <v>#VALUE!</v>
      </c>
      <c r="AL202" s="446" t="e">
        <f>IF(OR($B202="",MIN(AL$38,$D$19)&lt;MAX($P$34*($B202+IF($R$17="Distrato",$I$38-1,0)),IF(AND($L$37=0,$P$34=0),"",$L$37-1),IF($R$17="Distrato",$E202,0))),0,YEARFRAC(MAX($P$34*($B202+IF($R$17="Distrato",$I$38-1,0)),IF(AND($L$37=0,$P$34=0),"",$L$37-1),IF($R$17="Distrato",$E202,0)),MIN(AL$38,$D$19),$P$20))-SUM($P202:AK202)</f>
        <v>#VALUE!</v>
      </c>
      <c r="AM202" s="446" t="e">
        <f>IF(OR($B202="",MIN(AM$38,$D$19)&lt;MAX($P$34*($B202+IF($R$17="Distrato",$I$38-1,0)),IF(AND($L$37=0,$P$34=0),"",$L$37-1),IF($R$17="Distrato",$E202,0))),0,YEARFRAC(MAX($P$34*($B202+IF($R$17="Distrato",$I$38-1,0)),IF(AND($L$37=0,$P$34=0),"",$L$37-1),IF($R$17="Distrato",$E202,0)),MIN(AM$38,$D$19),$P$20))-SUM($P202:AL202)</f>
        <v>#VALUE!</v>
      </c>
      <c r="AN202" s="446" t="e">
        <f>IF(OR($B202="",MIN(AN$38,$D$19)&lt;MAX($P$34*($B202+IF($R$17="Distrato",$I$38-1,0)),IF(AND($L$37=0,$P$34=0),"",$L$37-1),IF($R$17="Distrato",$E202,0))),0,YEARFRAC(MAX($P$34*($B202+IF($R$17="Distrato",$I$38-1,0)),IF(AND($L$37=0,$P$34=0),"",$L$37-1),IF($R$17="Distrato",$E202,0)),MIN(AN$38,$D$19),$P$20))-SUM($P202:AM202)</f>
        <v>#VALUE!</v>
      </c>
      <c r="AO202" s="446" t="e">
        <f>IF(OR($B202="",MIN(AO$38,$D$19)&lt;MAX($P$34*($B202+IF($R$17="Distrato",$I$38-1,0)),IF(AND($L$37=0,$P$34=0),"",$L$37-1),IF($R$17="Distrato",$E202,0))),0,YEARFRAC(MAX($P$34*($B202+IF($R$17="Distrato",$I$38-1,0)),IF(AND($L$37=0,$P$34=0),"",$L$37-1),IF($R$17="Distrato",$E202,0)),MIN(AO$38,$D$19),$P$20))-SUM($P202:AN202)</f>
        <v>#VALUE!</v>
      </c>
      <c r="AP202" s="446" t="e">
        <f>IF(OR($B202="",MIN(AP$38,$D$19)&lt;MAX($P$34*($B202+IF($R$17="Distrato",$I$38-1,0)),IF(AND($L$37=0,$P$34=0),"",$L$37-1),IF($R$17="Distrato",$E202,0))),0,YEARFRAC(MAX($P$34*($B202+IF($R$17="Distrato",$I$38-1,0)),IF(AND($L$37=0,$P$34=0),"",$L$37-1),IF($R$17="Distrato",$E202,0)),MIN(AP$38,$D$19),$P$20))-SUM($P202:AO202)</f>
        <v>#VALUE!</v>
      </c>
      <c r="AQ202" s="446" t="e">
        <f>IF(OR($B202="",MIN(AQ$38,$D$19)&lt;MAX($P$34*($B202+IF($R$17="Distrato",$I$38-1,0)),IF(AND($L$37=0,$P$34=0),"",$L$37-1),IF($R$17="Distrato",$E202,0))),0,YEARFRAC(MAX($P$34*($B202+IF($R$17="Distrato",$I$38-1,0)),IF(AND($L$37=0,$P$34=0),"",$L$37-1),IF($R$17="Distrato",$E202,0)),MIN(AQ$38,$D$19),$P$20))-SUM($P202:AP202)</f>
        <v>#VALUE!</v>
      </c>
      <c r="AR202" s="446" t="e">
        <f>IF(OR($B202="",MIN(AR$38,$D$19)&lt;MAX($P$34*($B202+IF($R$17="Distrato",$I$38-1,0)),IF(AND($L$37=0,$P$34=0),"",$L$37-1),IF($R$17="Distrato",$E202,0))),0,YEARFRAC(MAX($P$34*($B202+IF($R$17="Distrato",$I$38-1,0)),IF(AND($L$37=0,$P$34=0),"",$L$37-1),IF($R$17="Distrato",$E202,0)),MIN(AR$38,$D$19),$P$20))-SUM($P202:AQ202)</f>
        <v>#VALUE!</v>
      </c>
      <c r="AS202" s="446" t="e">
        <f>IF(OR($B202="",MIN(AS$38,$D$19)&lt;MAX($P$34*($B202+IF($R$17="Distrato",$I$38-1,0)),IF(AND($L$37=0,$P$34=0),"",$L$37-1),IF($R$17="Distrato",$E202,0))),0,YEARFRAC(MAX($P$34*($B202+IF($R$17="Distrato",$I$38-1,0)),IF(AND($L$37=0,$P$34=0),"",$L$37-1),IF($R$17="Distrato",$E202,0)),MIN(AS$38,$D$19),$P$20))-SUM($P202:AR202)</f>
        <v>#VALUE!</v>
      </c>
      <c r="AT202" s="446" t="e">
        <f>IF(OR($B202="",MIN(AT$38,$D$19)&lt;MAX($P$34*($B202+IF($R$17="Distrato",$I$38-1,0)),IF(AND($L$37=0,$P$34=0),"",$L$37-1),IF($R$17="Distrato",$E202,0))),0,YEARFRAC(MAX($P$34*($B202+IF($R$17="Distrato",$I$38-1,0)),IF(AND($L$37=0,$P$34=0),"",$L$37-1),IF($R$17="Distrato",$E202,0)),MIN(AT$38,$D$19),$P$20))-SUM($P202:AS202)</f>
        <v>#VALUE!</v>
      </c>
      <c r="AU202" s="446" t="e">
        <f>IF(OR($B202="",MIN(AU$38,$D$19)&lt;MAX($P$34*($B202+IF($R$17="Distrato",$I$38-1,0)),IF(AND($L$37=0,$P$34=0),"",$L$37-1),IF($R$17="Distrato",$E202,0))),0,YEARFRAC(MAX($P$34*($B202+IF($R$17="Distrato",$I$38-1,0)),IF(AND($L$37=0,$P$34=0),"",$L$37-1),IF($R$17="Distrato",$E202,0)),MIN(AU$38,$D$19),$P$20))-SUM($P202:AT202)</f>
        <v>#VALUE!</v>
      </c>
      <c r="AV202" s="446" t="e">
        <f>IF(OR($B202="",MIN(AV$38,$D$19)&lt;MAX($P$34*($B202+IF($R$17="Distrato",$I$38-1,0)),IF(AND($L$37=0,$P$34=0),"",$L$37-1),IF($R$17="Distrato",$E202,0))),0,YEARFRAC(MAX($P$34*($B202+IF($R$17="Distrato",$I$38-1,0)),IF(AND($L$37=0,$P$34=0),"",$L$37-1),IF($R$17="Distrato",$E202,0)),MIN(AV$38,$D$19),$P$20))-SUM($P202:AU202)</f>
        <v>#VALUE!</v>
      </c>
      <c r="AW202" s="446" t="e">
        <f>IF(OR($B202="",MIN(AW$38,$D$19)&lt;MAX($P$34*($B202+IF($R$17="Distrato",$I$38-1,0)),IF(AND($L$37=0,$P$34=0),"",$L$37-1),IF($R$17="Distrato",$E202,0))),0,YEARFRAC(MAX($P$34*($B202+IF($R$17="Distrato",$I$38-1,0)),IF(AND($L$37=0,$P$34=0),"",$L$37-1),IF($R$17="Distrato",$E202,0)),MIN(AW$38,$D$19),$P$20))-SUM($P202:AV202)</f>
        <v>#VALUE!</v>
      </c>
      <c r="AX202" s="446" t="e">
        <f>IF(OR($B202="",MIN(AX$38,$D$19)&lt;MAX($P$34*($B202+IF($R$17="Distrato",$I$38-1,0)),IF(AND($L$37=0,$P$34=0),"",$L$37-1),IF($R$17="Distrato",$E202,0))),0,YEARFRAC(MAX($P$34*($B202+IF($R$17="Distrato",$I$38-1,0)),IF(AND($L$37=0,$P$34=0),"",$L$37-1),IF($R$17="Distrato",$E202,0)),MIN(AX$38,$D$19),$P$20))-SUM($P202:AW202)</f>
        <v>#VALUE!</v>
      </c>
      <c r="AY202" s="446" t="e">
        <f>IF(OR($B202="",MIN(AY$38,$D$19)&lt;MAX($P$34*($B202+IF($R$17="Distrato",$I$38-1,0)),IF(AND($L$37=0,$P$34=0),"",$L$37-1),IF($R$17="Distrato",$E202,0))),0,YEARFRAC(MAX($P$34*($B202+IF($R$17="Distrato",$I$38-1,0)),IF(AND($L$37=0,$P$34=0),"",$L$37-1),IF($R$17="Distrato",$E202,0)),MIN(AY$38,$D$19),$P$20))-SUM($P202:AX202)</f>
        <v>#VALUE!</v>
      </c>
      <c r="AZ202" s="446" t="e">
        <f>IF(OR($B202="",MIN(AZ$38,$D$19)&lt;MAX($P$34*($B202+IF($R$17="Distrato",$I$38-1,0)),IF(AND($L$37=0,$P$34=0),"",$L$37-1),IF($R$17="Distrato",$E202,0))),0,YEARFRAC(MAX($P$34*($B202+IF($R$17="Distrato",$I$38-1,0)),IF(AND($L$37=0,$P$34=0),"",$L$37-1),IF($R$17="Distrato",$E202,0)),MIN(AZ$38,$D$19),$P$20))-SUM($P202:AY202)</f>
        <v>#VALUE!</v>
      </c>
      <c r="BA202" s="446" t="e">
        <f>IF(OR($B202="",MIN(BA$38,$D$19)&lt;MAX($P$34*($B202+IF($R$17="Distrato",$I$38-1,0)),IF(AND($L$37=0,$P$34=0),"",$L$37-1),IF($R$17="Distrato",$E202,0))),0,YEARFRAC(MAX($P$34*($B202+IF($R$17="Distrato",$I$38-1,0)),IF(AND($L$37=0,$P$34=0),"",$L$37-1),IF($R$17="Distrato",$E202,0)),MIN(BA$38,$D$19),$P$20))-SUM($P202:AZ202)</f>
        <v>#VALUE!</v>
      </c>
      <c r="BB202" s="447"/>
      <c r="BF202" s="446">
        <f t="shared" si="32"/>
        <v>0</v>
      </c>
      <c r="BG202" s="446">
        <f>IF($E202=0,0,IF(MIN(BG$38,$E202)&lt;MAX($P$34*($B202+$I$38-1),IF(AND($L$37=0,$P$34=0),"",$L$37-1)),0,YEARFRAC(MAX($P$34*($B202+$I$38-1),IF(AND($L$37=0,$P$34=0),"",$L$37-1)),MIN(BG$38,$E202),$P$20))-SUM($BF202:BF202))</f>
        <v>0</v>
      </c>
      <c r="BH202" s="446">
        <f>IF($E202=0,0,IF(MIN(BH$38,$E202)&lt;MAX($P$34*($B202+$I$38-1),IF(AND($L$37=0,$P$34=0),"",$L$37-1)),0,YEARFRAC(MAX($P$34*($B202+$I$38-1),IF(AND($L$37=0,$P$34=0),"",$L$37-1)),MIN(BH$38,$E202),$P$20))-SUM($BF202:BG202))</f>
        <v>0</v>
      </c>
      <c r="BI202" s="446">
        <f>IF($E202=0,0,IF(MIN(BI$38,$E202)&lt;MAX($P$34*($B202+$I$38-1),IF(AND($L$37=0,$P$34=0),"",$L$37-1)),0,YEARFRAC(MAX($P$34*($B202+$I$38-1),IF(AND($L$37=0,$P$34=0),"",$L$37-1)),MIN(BI$38,$E202),$P$20))-SUM($BF202:BH202))</f>
        <v>0</v>
      </c>
      <c r="BJ202" s="446">
        <f>IF($E202=0,0,IF(MIN(BJ$38,$E202)&lt;MAX($P$34*($B202+$I$38-1),IF(AND($L$37=0,$P$34=0),"",$L$37-1)),0,YEARFRAC(MAX($P$34*($B202+$I$38-1),IF(AND($L$37=0,$P$34=0),"",$L$37-1)),MIN(BJ$38,$E202),$P$20))-SUM($BF202:BI202))</f>
        <v>0</v>
      </c>
      <c r="BK202" s="446">
        <f>IF($E202=0,0,IF(MIN(BK$38,$E202)&lt;MAX($P$34*($B202+$I$38-1),IF(AND($L$37=0,$P$34=0),"",$L$37-1)),0,YEARFRAC(MAX($P$34*($B202+$I$38-1),IF(AND($L$37=0,$P$34=0),"",$L$37-1)),MIN(BK$38,$E202),$P$20))-SUM($BF202:BJ202))</f>
        <v>0</v>
      </c>
      <c r="BL202" s="446">
        <f>IF($E202=0,0,IF(MIN(BL$38,$E202)&lt;MAX($P$34*($B202+$I$38-1),IF(AND($L$37=0,$P$34=0),"",$L$37-1)),0,YEARFRAC(MAX($P$34*($B202+$I$38-1),IF(AND($L$37=0,$P$34=0),"",$L$37-1)),MIN(BL$38,$E202),$P$20))-SUM($BF202:BK202))</f>
        <v>0</v>
      </c>
      <c r="BM202" s="446">
        <f>IF($E202=0,0,IF(MIN(BM$38,$E202)&lt;MAX($P$34*($B202+$I$38-1),IF(AND($L$37=0,$P$34=0),"",$L$37-1)),0,YEARFRAC(MAX($P$34*($B202+$I$38-1),IF(AND($L$37=0,$P$34=0),"",$L$37-1)),MIN(BM$38,$E202),$P$20))-SUM($BF202:BL202))</f>
        <v>0</v>
      </c>
      <c r="BN202" s="446">
        <f>IF($E202=0,0,IF(MIN(BN$38,$E202)&lt;MAX($P$34*($B202+$I$38-1),IF(AND($L$37=0,$P$34=0),"",$L$37-1)),0,YEARFRAC(MAX($P$34*($B202+$I$38-1),IF(AND($L$37=0,$P$34=0),"",$L$37-1)),MIN(BN$38,$E202),$P$20))-SUM($BF202:BM202))</f>
        <v>0</v>
      </c>
      <c r="BO202" s="446">
        <f>IF($E202=0,0,IF(MIN(BO$38,$E202)&lt;MAX($P$34*($B202+$I$38-1),IF(AND($L$37=0,$P$34=0),"",$L$37-1)),0,YEARFRAC(MAX($P$34*($B202+$I$38-1),IF(AND($L$37=0,$P$34=0),"",$L$37-1)),MIN(BO$38,$E202),$P$20))-SUM($BF202:BN202))</f>
        <v>0</v>
      </c>
      <c r="BP202" s="446">
        <f>IF($E202=0,0,IF(MIN(BP$38,$E202)&lt;MAX($P$34*($B202+$I$38-1),IF(AND($L$37=0,$P$34=0),"",$L$37-1)),0,YEARFRAC(MAX($P$34*($B202+$I$38-1),IF(AND($L$37=0,$P$34=0),"",$L$37-1)),MIN(BP$38,$E202),$P$20))-SUM($BF202:BO202))</f>
        <v>0</v>
      </c>
      <c r="BQ202" s="446">
        <f>IF($E202=0,0,IF(MIN(BQ$38,$E202)&lt;MAX($P$34*($B202+$I$38-1),IF(AND($L$37=0,$P$34=0),"",$L$37-1)),0,YEARFRAC(MAX($P$34*($B202+$I$38-1),IF(AND($L$37=0,$P$34=0),"",$L$37-1)),MIN(BQ$38,$E202),$P$20))-SUM($BF202:BP202))</f>
        <v>0</v>
      </c>
      <c r="BR202" s="446">
        <f>IF($E202=0,0,IF(MIN(BR$38,$E202)&lt;MAX($P$34*($B202+$I$38-1),IF(AND($L$37=0,$P$34=0),"",$L$37-1)),0,YEARFRAC(MAX($P$34*($B202+$I$38-1),IF(AND($L$37=0,$P$34=0),"",$L$37-1)),MIN(BR$38,$E202),$P$20))-SUM($BF202:BQ202))</f>
        <v>0</v>
      </c>
      <c r="BS202" s="446">
        <f>IF($E202=0,0,IF(MIN(BS$38,$E202)&lt;MAX($P$34*($B202+$I$38-1),IF(AND($L$37=0,$P$34=0),"",$L$37-1)),0,YEARFRAC(MAX($P$34*($B202+$I$38-1),IF(AND($L$37=0,$P$34=0),"",$L$37-1)),MIN(BS$38,$E202),$P$20))-SUM($BF202:BR202))</f>
        <v>0</v>
      </c>
      <c r="BT202" s="446">
        <f>IF($E202=0,0,IF(MIN(BT$38,$E202)&lt;MAX($P$34*($B202+$I$38-1),IF(AND($L$37=0,$P$34=0),"",$L$37-1)),0,YEARFRAC(MAX($P$34*($B202+$I$38-1),IF(AND($L$37=0,$P$34=0),"",$L$37-1)),MIN(BT$38,$E202),$P$20))-SUM($BF202:BS202))</f>
        <v>0</v>
      </c>
      <c r="BU202" s="446">
        <f>IF($E202=0,0,IF(MIN(BU$38,$E202)&lt;MAX($P$34*($B202+$I$38-1),IF(AND($L$37=0,$P$34=0),"",$L$37-1)),0,YEARFRAC(MAX($P$34*($B202+$I$38-1),IF(AND($L$37=0,$P$34=0),"",$L$37-1)),MIN(BU$38,$E202),$P$20))-SUM($BF202:BT202))</f>
        <v>0</v>
      </c>
      <c r="BV202" s="446">
        <f>IF($E202=0,0,IF(MIN(BV$38,$E202)&lt;MAX($P$34*($B202+$I$38-1),IF(AND($L$37=0,$P$34=0),"",$L$37-1)),0,YEARFRAC(MAX($P$34*($B202+$I$38-1),IF(AND($L$37=0,$P$34=0),"",$L$37-1)),MIN(BV$38,$E202),$P$20))-SUM($BF202:BU202))</f>
        <v>0</v>
      </c>
      <c r="BW202" s="446">
        <f>IF($E202=0,0,IF(MIN(BW$38,$E202)&lt;MAX($P$34*($B202+$I$38-1),IF(AND($L$37=0,$P$34=0),"",$L$37-1)),0,YEARFRAC(MAX($P$34*($B202+$I$38-1),IF(AND($L$37=0,$P$34=0),"",$L$37-1)),MIN(BW$38,$E202),$P$20))-SUM($BF202:BV202))</f>
        <v>0</v>
      </c>
      <c r="BX202" s="446">
        <f>IF($E202=0,0,IF(MIN(BX$38,$E202)&lt;MAX($P$34*($B202+$I$38-1),IF(AND($L$37=0,$P$34=0),"",$L$37-1)),0,YEARFRAC(MAX($P$34*($B202+$I$38-1),IF(AND($L$37=0,$P$34=0),"",$L$37-1)),MIN(BX$38,$E202),$P$20))-SUM($BF202:BW202))</f>
        <v>0</v>
      </c>
      <c r="BY202" s="446">
        <f>IF($E202=0,0,IF(MIN(BY$38,$E202)&lt;MAX($P$34*($B202+$I$38-1),IF(AND($L$37=0,$P$34=0),"",$L$37-1)),0,YEARFRAC(MAX($P$34*($B202+$I$38-1),IF(AND($L$37=0,$P$34=0),"",$L$37-1)),MIN(BY$38,$E202),$P$20))-SUM($BF202:BX202))</f>
        <v>0</v>
      </c>
      <c r="BZ202" s="446">
        <f>IF($E202=0,0,IF(MIN(BZ$38,$E202)&lt;MAX($P$34*($B202+$I$38-1),IF(AND($L$37=0,$P$34=0),"",$L$37-1)),0,YEARFRAC(MAX($P$34*($B202+$I$38-1),IF(AND($L$37=0,$P$34=0),"",$L$37-1)),MIN(BZ$38,$E202),$P$20))-SUM($BF202:BY202))</f>
        <v>0</v>
      </c>
      <c r="CA202" s="446">
        <f>IF($E202=0,0,IF(MIN(CA$38,$E202)&lt;MAX($P$34*($B202+$I$38-1),IF(AND($L$37=0,$P$34=0),"",$L$37-1)),0,YEARFRAC(MAX($P$34*($B202+$I$38-1),IF(AND($L$37=0,$P$34=0),"",$L$37-1)),MIN(CA$38,$E202),$P$20))-SUM($BF202:BZ202))</f>
        <v>0</v>
      </c>
      <c r="CB202" s="446">
        <f>IF($E202=0,0,IF(MIN(CB$38,$E202)&lt;MAX($P$34*($B202+$I$38-1),IF(AND($L$37=0,$P$34=0),"",$L$37-1)),0,YEARFRAC(MAX($P$34*($B202+$I$38-1),IF(AND($L$37=0,$P$34=0),"",$L$37-1)),MIN(CB$38,$E202),$P$20))-SUM($BF202:CA202))</f>
        <v>0</v>
      </c>
      <c r="CC202" s="446">
        <f>IF($E202=0,0,IF(MIN(CC$38,$E202)&lt;MAX($P$34*($B202+$I$38-1),IF(AND($L$37=0,$P$34=0),"",$L$37-1)),0,YEARFRAC(MAX($P$34*($B202+$I$38-1),IF(AND($L$37=0,$P$34=0),"",$L$37-1)),MIN(CC$38,$E202),$P$20))-SUM($BF202:CB202))</f>
        <v>0</v>
      </c>
      <c r="CD202" s="446">
        <f>IF($E202=0,0,IF(MIN(CD$38,$E202)&lt;MAX($P$34*($B202+$I$38-1),IF(AND($L$37=0,$P$34=0),"",$L$37-1)),0,YEARFRAC(MAX($P$34*($B202+$I$38-1),IF(AND($L$37=0,$P$34=0),"",$L$37-1)),MIN(CD$38,$E202),$P$20))-SUM($BF202:CC202))</f>
        <v>0</v>
      </c>
      <c r="CE202" s="446">
        <f>IF($E202=0,0,IF(MIN(CE$38,$E202)&lt;MAX($P$34*($B202+$I$38-1),IF(AND($L$37=0,$P$34=0),"",$L$37-1)),0,YEARFRAC(MAX($P$34*($B202+$I$38-1),IF(AND($L$37=0,$P$34=0),"",$L$37-1)),MIN(CE$38,$E202),$P$20))-SUM($BF202:CD202))</f>
        <v>0</v>
      </c>
      <c r="CF202" s="446">
        <f>IF($E202=0,0,IF(MIN(CF$38,$E202)&lt;MAX($P$34*($B202+$I$38-1),IF(AND($L$37=0,$P$34=0),"",$L$37-1)),0,YEARFRAC(MAX($P$34*($B202+$I$38-1),IF(AND($L$37=0,$P$34=0),"",$L$37-1)),MIN(CF$38,$E202),$P$20))-SUM($BF202:CE202))</f>
        <v>0</v>
      </c>
      <c r="CG202" s="446">
        <f>IF($E202=0,0,IF(MIN(CG$38,$E202)&lt;MAX($P$34*($B202+$I$38-1),IF(AND($L$37=0,$P$34=0),"",$L$37-1)),0,YEARFRAC(MAX($P$34*($B202+$I$38-1),IF(AND($L$37=0,$P$34=0),"",$L$37-1)),MIN(CG$38,$E202),$P$20))-SUM($BF202:CF202))</f>
        <v>0</v>
      </c>
      <c r="CH202" s="446">
        <f>IF($E202=0,0,IF(MIN(CH$38,$E202)&lt;MAX($P$34*($B202+$I$38-1),IF(AND($L$37=0,$P$34=0),"",$L$37-1)),0,YEARFRAC(MAX($P$34*($B202+$I$38-1),IF(AND($L$37=0,$P$34=0),"",$L$37-1)),MIN(CH$38,$E202),$P$20))-SUM($BF202:CG202))</f>
        <v>0</v>
      </c>
      <c r="CI202" s="446">
        <f>IF($E202=0,0,IF(MIN(CI$38,$E202)&lt;MAX($P$34*($B202+$I$38-1),IF(AND($L$37=0,$P$34=0),"",$L$37-1)),0,YEARFRAC(MAX($P$34*($B202+$I$38-1),IF(AND($L$37=0,$P$34=0),"",$L$37-1)),MIN(CI$38,$E202),$P$20))-SUM($BF202:CH202))</f>
        <v>0</v>
      </c>
      <c r="CJ202" s="446">
        <f>IF($E202=0,0,IF(MIN(CJ$38,$E202)&lt;MAX($P$34*($B202+$I$38-1),IF(AND($L$37=0,$P$34=0),"",$L$37-1)),0,YEARFRAC(MAX($P$34*($B202+$I$38-1),IF(AND($L$37=0,$P$34=0),"",$L$37-1)),MIN(CJ$38,$E202),$P$20))-SUM($BF202:CI202))</f>
        <v>0</v>
      </c>
      <c r="CK202" s="446">
        <f>IF($E202=0,0,IF(MIN(CK$38,$E202)&lt;MAX($P$34*($B202+$I$38-1),IF(AND($L$37=0,$P$34=0),"",$L$37-1)),0,YEARFRAC(MAX($P$34*($B202+$I$38-1),IF(AND($L$37=0,$P$34=0),"",$L$37-1)),MIN(CK$38,$E202),$P$20))-SUM($BF202:CJ202))</f>
        <v>0</v>
      </c>
      <c r="CL202" s="446">
        <f>IF($E202=0,0,IF(MIN(CL$38,$E202)&lt;MAX($P$34*($B202+$I$38-1),IF(AND($L$37=0,$P$34=0),"",$L$37-1)),0,YEARFRAC(MAX($P$34*($B202+$I$38-1),IF(AND($L$37=0,$P$34=0),"",$L$37-1)),MIN(CL$38,$E202),$P$20))-SUM($BF202:CK202))</f>
        <v>0</v>
      </c>
      <c r="CM202" s="446">
        <f>IF($E202=0,0,IF(MIN(CM$38,$E202)&lt;MAX($P$34*($B202+$I$38-1),IF(AND($L$37=0,$P$34=0),"",$L$37-1)),0,YEARFRAC(MAX($P$34*($B202+$I$38-1),IF(AND($L$37=0,$P$34=0),"",$L$37-1)),MIN(CM$38,$E202),$P$20))-SUM($BF202:CL202))</f>
        <v>0</v>
      </c>
      <c r="CN202" s="446">
        <f>IF($E202=0,0,IF(MIN(CN$38,$E202)&lt;MAX($P$34*($B202+$I$38-1),IF(AND($L$37=0,$P$34=0),"",$L$37-1)),0,YEARFRAC(MAX($P$34*($B202+$I$38-1),IF(AND($L$37=0,$P$34=0),"",$L$37-1)),MIN(CN$38,$E202),$P$20))-SUM($BF202:CM202))</f>
        <v>0</v>
      </c>
      <c r="CO202" s="446">
        <f>IF($E202=0,0,IF(MIN(CO$38,$E202)&lt;MAX($P$34*($B202+$I$38-1),IF(AND($L$37=0,$P$34=0),"",$L$37-1)),0,YEARFRAC(MAX($P$34*($B202+$I$38-1),IF(AND($L$37=0,$P$34=0),"",$L$37-1)),MIN(CO$38,$E202),$P$20))-SUM($BF202:CN202))</f>
        <v>0</v>
      </c>
      <c r="CP202" s="446">
        <f>IF($E202=0,0,IF(MIN(CP$38,$E202)&lt;MAX($P$34*($B202+$I$38-1),IF(AND($L$37=0,$P$34=0),"",$L$37-1)),0,YEARFRAC(MAX($P$34*($B202+$I$38-1),IF(AND($L$37=0,$P$34=0),"",$L$37-1)),MIN(CP$38,$E202),$P$20))-SUM($BF202:CO202))</f>
        <v>0</v>
      </c>
      <c r="CQ202" s="446">
        <f>IF($E202=0,0,IF(MIN(CQ$38,$E202)&lt;MAX($P$34*($B202+$I$38-1),IF(AND($L$37=0,$P$34=0),"",$L$37-1)),0,YEARFRAC(MAX($P$34*($B202+$I$38-1),IF(AND($L$37=0,$P$34=0),"",$L$37-1)),MIN(CQ$38,$E202),$P$20))-SUM($BF202:CP202))</f>
        <v>0</v>
      </c>
    </row>
    <row r="203" spans="1:95" s="446" customFormat="1" ht="11.25" hidden="1" customHeight="1" x14ac:dyDescent="0.2">
      <c r="A203" s="152"/>
      <c r="B203" s="153" t="str">
        <f t="shared" si="37"/>
        <v/>
      </c>
      <c r="C203" s="29" t="str">
        <f>IF(B203="","",IF($L$35="SELIC - TRIBUTOS",VLOOKUP(DATE(YEAR($D$19),MONTH($D$19)-1,1),ÍNDICES!$A:$DE,HLOOKUP($BL$25,ÍNDICES!$B$3:$T$4,2)+11)-VLOOKUP(B203,ÍNDICES!$A:$DE,HLOOKUP($BL$25,ÍNDICES!$B$3:$T$4,2)+11)+1%,IF(C$38=$W$26,$J$35,IF(ISERROR(IF(B203&gt;$D$19,1,VLOOKUP(DATE(YEAR(B203),MONTH(B203)+IF($C$35=$S$23,1,0),1),ÍNDICES!$A:$DE,$Z$35+1))),"",IF(B203&gt;$D$19,1,VLOOKUP(DATE(YEAR(B203),MONTH(B203)+IF($C$35=$S$23,1,0),1),ÍNDICES!$A:$DE,$Z$35+1))))))</f>
        <v/>
      </c>
      <c r="D203" s="154" t="str">
        <f>IF(ISERROR(IF(OR($D$38=$Y$27,$B203=""),"",VLOOKUP(B203,ÍNDICES!A:DE,AF$35+1))),"",IF(OR($D$38=$Y$27,$B203=""),"",VLOOKUP(B203,ÍNDICES!A:DE,AF$35+1)))</f>
        <v/>
      </c>
      <c r="E203" s="153"/>
      <c r="F203" s="29" t="str">
        <f>IF(E203="","",IF($L$35="SELIC - TRIBUTOS",VLOOKUP(DATE(YEAR($D$19),MONTH($D$19)-1,1),ÍNDICES!$A:$DE,HLOOKUP($BL$25,ÍNDICES!$B$3:$T$4,2)+11)-VLOOKUP(E203,ÍNDICES!$A:$DE,HLOOKUP($BL$25,ÍNDICES!$B$3:$T$4,2)+11)+1%,IF(F$38=$W$26,$J$35,IF(ISERROR(IF(E203&gt;$D$19,1,VLOOKUP(DATE(YEAR(E203),MONTH(E203)+IF($C$35=$S$23,1,0),1),ÍNDICES!$A:$DE,$Z$35+1))),"",IF(E203&gt;$D$19,1,VLOOKUP(DATE(YEAR(E203),MONTH(E203)+IF($C$35=$S$23,1,0),1),ÍNDICES!$A:$DE,$Z$35+1))))))</f>
        <v/>
      </c>
      <c r="G203" s="155"/>
      <c r="H203" s="156" t="str">
        <f t="shared" si="33"/>
        <v/>
      </c>
      <c r="I203" s="29" t="str">
        <f t="shared" si="27"/>
        <v/>
      </c>
      <c r="J203" s="5">
        <f t="shared" si="28"/>
        <v>0</v>
      </c>
      <c r="K203" s="20">
        <f t="shared" ca="1" si="29"/>
        <v>0</v>
      </c>
      <c r="L203" s="5">
        <f t="shared" ca="1" si="30"/>
        <v>0</v>
      </c>
      <c r="M203" s="64">
        <f t="shared" si="34"/>
        <v>0</v>
      </c>
      <c r="N203" s="61">
        <f t="shared" ca="1" si="35"/>
        <v>0</v>
      </c>
      <c r="O203" s="5">
        <f t="shared" ca="1" si="36"/>
        <v>0</v>
      </c>
      <c r="P203" s="446" t="e">
        <f t="shared" si="31"/>
        <v>#VALUE!</v>
      </c>
      <c r="Q203" s="446" t="e">
        <f>IF(OR($B203="",MIN(Q$38,$D$19)&lt;MAX($P$34*($B203+IF($R$17="Distrato",$I$38-1,0)),IF(AND($L$37=0,$P$34=0),"",$L$37-1),IF($R$17="Distrato",$E203,0))),0,YEARFRAC(MAX($P$34*($B203+IF($R$17="Distrato",$I$38-1,0)),IF(AND($L$37=0,$P$34=0),"",$L$37-1),IF($R$17="Distrato",$E203,0)),MIN(Q$38,$D$19),$P$20))-SUM($P203:P203)</f>
        <v>#VALUE!</v>
      </c>
      <c r="R203" s="446" t="e">
        <f>IF(OR($B203="",MIN(R$38,$D$19)&lt;MAX($P$34*($B203+IF($R$17="Distrato",$I$38-1,0)),IF(AND($L$37=0,$P$34=0),"",$L$37-1),IF($R$17="Distrato",$E203,0))),0,YEARFRAC(MAX($P$34*($B203+IF($R$17="Distrato",$I$38-1,0)),IF(AND($L$37=0,$P$34=0),"",$L$37-1),IF($R$17="Distrato",$E203,0)),MIN(R$38,$D$19),$P$20))-SUM($P203:Q203)</f>
        <v>#VALUE!</v>
      </c>
      <c r="S203" s="446" t="e">
        <f>IF(OR($B203="",MIN(S$38,$D$19)&lt;MAX($P$34*($B203+IF($R$17="Distrato",$I$38-1,0)),IF(AND($L$37=0,$P$34=0),"",$L$37-1),IF($R$17="Distrato",$E203,0))),0,YEARFRAC(MAX($P$34*($B203+IF($R$17="Distrato",$I$38-1,0)),IF(AND($L$37=0,$P$34=0),"",$L$37-1),IF($R$17="Distrato",$E203,0)),MIN(S$38,$D$19),$P$20))-SUM($P203:R203)</f>
        <v>#VALUE!</v>
      </c>
      <c r="T203" s="446" t="e">
        <f>IF(OR($B203="",MIN(T$38,$D$19)&lt;MAX($P$34*($B203+IF($R$17="Distrato",$I$38-1,0)),IF(AND($L$37=0,$P$34=0),"",$L$37-1),IF($R$17="Distrato",$E203,0))),0,YEARFRAC(MAX($P$34*($B203+IF($R$17="Distrato",$I$38-1,0)),IF(AND($L$37=0,$P$34=0),"",$L$37-1),IF($R$17="Distrato",$E203,0)),MIN(T$38,$D$19),$P$20))-SUM($P203:S203)</f>
        <v>#VALUE!</v>
      </c>
      <c r="U203" s="446" t="e">
        <f>IF(OR($B203="",MIN(U$38,$D$19)&lt;MAX($P$34*($B203+IF($R$17="Distrato",$I$38-1,0)),IF(AND($L$37=0,$P$34=0),"",$L$37-1),IF($R$17="Distrato",$E203,0))),0,YEARFRAC(MAX($P$34*($B203+IF($R$17="Distrato",$I$38-1,0)),IF(AND($L$37=0,$P$34=0),"",$L$37-1),IF($R$17="Distrato",$E203,0)),MIN(U$38,$D$19),$P$20))-SUM($P203:T203)</f>
        <v>#VALUE!</v>
      </c>
      <c r="V203" s="446" t="e">
        <f>IF(OR($B203="",MIN(V$38,$D$19)&lt;MAX($P$34*($B203+IF($R$17="Distrato",$I$38-1,0)),IF(AND($L$37=0,$P$34=0),"",$L$37-1),IF($R$17="Distrato",$E203,0))),0,YEARFRAC(MAX($P$34*($B203+IF($R$17="Distrato",$I$38-1,0)),IF(AND($L$37=0,$P$34=0),"",$L$37-1),IF($R$17="Distrato",$E203,0)),MIN(V$38,$D$19),$P$20))-SUM($P203:U203)</f>
        <v>#VALUE!</v>
      </c>
      <c r="W203" s="446" t="e">
        <f>IF(OR($B203="",MIN(W$38,$D$19)&lt;MAX($P$34*($B203+IF($R$17="Distrato",$I$38-1,0)),IF(AND($L$37=0,$P$34=0),"",$L$37-1),IF($R$17="Distrato",$E203,0))),0,YEARFRAC(MAX($P$34*($B203+IF($R$17="Distrato",$I$38-1,0)),IF(AND($L$37=0,$P$34=0),"",$L$37-1),IF($R$17="Distrato",$E203,0)),MIN(W$38,$D$19),$P$20))-SUM($P203:V203)</f>
        <v>#VALUE!</v>
      </c>
      <c r="X203" s="446" t="e">
        <f>IF(OR($B203="",MIN(X$38,$D$19)&lt;MAX($P$34*($B203+IF($R$17="Distrato",$I$38-1,0)),IF(AND($L$37=0,$P$34=0),"",$L$37-1),IF($R$17="Distrato",$E203,0))),0,YEARFRAC(MAX($P$34*($B203+IF($R$17="Distrato",$I$38-1,0)),IF(AND($L$37=0,$P$34=0),"",$L$37-1),IF($R$17="Distrato",$E203,0)),MIN(X$38,$D$19),$P$20))-SUM($P203:W203)</f>
        <v>#VALUE!</v>
      </c>
      <c r="Y203" s="446" t="e">
        <f>IF(OR($B203="",MIN(Y$38,$D$19)&lt;MAX($P$34*($B203+IF($R$17="Distrato",$I$38-1,0)),IF(AND($L$37=0,$P$34=0),"",$L$37-1),IF($R$17="Distrato",$E203,0))),0,YEARFRAC(MAX($P$34*($B203+IF($R$17="Distrato",$I$38-1,0)),IF(AND($L$37=0,$P$34=0),"",$L$37-1),IF($R$17="Distrato",$E203,0)),MIN(Y$38,$D$19),$P$20))-SUM($P203:X203)</f>
        <v>#VALUE!</v>
      </c>
      <c r="Z203" s="446" t="e">
        <f>IF(OR($B203="",MIN(Z$38,$D$19)&lt;MAX($P$34*($B203+IF($R$17="Distrato",$I$38-1,0)),IF(AND($L$37=0,$P$34=0),"",$L$37-1),IF($R$17="Distrato",$E203,0))),0,YEARFRAC(MAX($P$34*($B203+IF($R$17="Distrato",$I$38-1,0)),IF(AND($L$37=0,$P$34=0),"",$L$37-1),IF($R$17="Distrato",$E203,0)),MIN(Z$38,$D$19),$P$20))-SUM($P203:Y203)</f>
        <v>#VALUE!</v>
      </c>
      <c r="AA203" s="446" t="e">
        <f>IF(OR($B203="",MIN(AA$38,$D$19)&lt;MAX($P$34*($B203+IF($R$17="Distrato",$I$38-1,0)),IF(AND($L$37=0,$P$34=0),"",$L$37-1),IF($R$17="Distrato",$E203,0))),0,YEARFRAC(MAX($P$34*($B203+IF($R$17="Distrato",$I$38-1,0)),IF(AND($L$37=0,$P$34=0),"",$L$37-1),IF($R$17="Distrato",$E203,0)),MIN(AA$38,$D$19),$P$20))-SUM($P203:Z203)</f>
        <v>#VALUE!</v>
      </c>
      <c r="AB203" s="446" t="e">
        <f>IF(OR($B203="",MIN(AB$38,$D$19)&lt;MAX($P$34*($B203+IF($R$17="Distrato",$I$38-1,0)),IF(AND($L$37=0,$P$34=0),"",$L$37-1),IF($R$17="Distrato",$E203,0))),0,YEARFRAC(MAX($P$34*($B203+IF($R$17="Distrato",$I$38-1,0)),IF(AND($L$37=0,$P$34=0),"",$L$37-1),IF($R$17="Distrato",$E203,0)),MIN(AB$38,$D$19),$P$20))-SUM($P203:AA203)</f>
        <v>#VALUE!</v>
      </c>
      <c r="AC203" s="446" t="e">
        <f>IF(OR($B203="",MIN(AC$38,$D$19)&lt;MAX($P$34*($B203+IF($R$17="Distrato",$I$38-1,0)),IF(AND($L$37=0,$P$34=0),"",$L$37-1),IF($R$17="Distrato",$E203,0))),0,YEARFRAC(MAX($P$34*($B203+IF($R$17="Distrato",$I$38-1,0)),IF(AND($L$37=0,$P$34=0),"",$L$37-1),IF($R$17="Distrato",$E203,0)),MIN(AC$38,$D$19),$P$20))-SUM($P203:AB203)</f>
        <v>#VALUE!</v>
      </c>
      <c r="AD203" s="446" t="e">
        <f>IF(OR($B203="",MIN(AD$38,$D$19)&lt;MAX($P$34*($B203+IF($R$17="Distrato",$I$38-1,0)),IF(AND($L$37=0,$P$34=0),"",$L$37-1),IF($R$17="Distrato",$E203,0))),0,YEARFRAC(MAX($P$34*($B203+IF($R$17="Distrato",$I$38-1,0)),IF(AND($L$37=0,$P$34=0),"",$L$37-1),IF($R$17="Distrato",$E203,0)),MIN(AD$38,$D$19),$P$20))-SUM($P203:AC203)</f>
        <v>#VALUE!</v>
      </c>
      <c r="AE203" s="446" t="e">
        <f>IF(OR($B203="",MIN(AE$38,$D$19)&lt;MAX($P$34*($B203+IF($R$17="Distrato",$I$38-1,0)),IF(AND($L$37=0,$P$34=0),"",$L$37-1),IF($R$17="Distrato",$E203,0))),0,YEARFRAC(MAX($P$34*($B203+IF($R$17="Distrato",$I$38-1,0)),IF(AND($L$37=0,$P$34=0),"",$L$37-1),IF($R$17="Distrato",$E203,0)),MIN(AE$38,$D$19),$P$20))-SUM($P203:AD203)</f>
        <v>#VALUE!</v>
      </c>
      <c r="AF203" s="446" t="e">
        <f>IF(OR($B203="",MIN(AF$38,$D$19)&lt;MAX($P$34*($B203+IF($R$17="Distrato",$I$38-1,0)),IF(AND($L$37=0,$P$34=0),"",$L$37-1),IF($R$17="Distrato",$E203,0))),0,YEARFRAC(MAX($P$34*($B203+IF($R$17="Distrato",$I$38-1,0)),IF(AND($L$37=0,$P$34=0),"",$L$37-1),IF($R$17="Distrato",$E203,0)),MIN(AF$38,$D$19),$P$20))-SUM($P203:AE203)</f>
        <v>#VALUE!</v>
      </c>
      <c r="AG203" s="446" t="e">
        <f>IF(OR($B203="",MIN(AG$38,$D$19)&lt;MAX($P$34*($B203+IF($R$17="Distrato",$I$38-1,0)),IF(AND($L$37=0,$P$34=0),"",$L$37-1),IF($R$17="Distrato",$E203,0))),0,YEARFRAC(MAX($P$34*($B203+IF($R$17="Distrato",$I$38-1,0)),IF(AND($L$37=0,$P$34=0),"",$L$37-1),IF($R$17="Distrato",$E203,0)),MIN(AG$38,$D$19),$P$20))-SUM($P203:AF203)</f>
        <v>#VALUE!</v>
      </c>
      <c r="AH203" s="446" t="e">
        <f>IF(OR($B203="",MIN(AH$38,$D$19)&lt;MAX($P$34*($B203+IF($R$17="Distrato",$I$38-1,0)),IF(AND($L$37=0,$P$34=0),"",$L$37-1),IF($R$17="Distrato",$E203,0))),0,YEARFRAC(MAX($P$34*($B203+IF($R$17="Distrato",$I$38-1,0)),IF(AND($L$37=0,$P$34=0),"",$L$37-1),IF($R$17="Distrato",$E203,0)),MIN(AH$38,$D$19),$P$20))-SUM($P203:AG203)</f>
        <v>#VALUE!</v>
      </c>
      <c r="AI203" s="446" t="e">
        <f>IF(OR($B203="",MIN(AI$38,$D$19)&lt;MAX($P$34*($B203+IF($R$17="Distrato",$I$38-1,0)),IF(AND($L$37=0,$P$34=0),"",$L$37-1),IF($R$17="Distrato",$E203,0))),0,YEARFRAC(MAX($P$34*($B203+IF($R$17="Distrato",$I$38-1,0)),IF(AND($L$37=0,$P$34=0),"",$L$37-1),IF($R$17="Distrato",$E203,0)),MIN(AI$38,$D$19),$P$20))-SUM($P203:AH203)</f>
        <v>#VALUE!</v>
      </c>
      <c r="AJ203" s="446" t="e">
        <f>IF(OR($B203="",MIN(AJ$38,$D$19)&lt;MAX($P$34*($B203+IF($R$17="Distrato",$I$38-1,0)),IF(AND($L$37=0,$P$34=0),"",$L$37-1),IF($R$17="Distrato",$E203,0))),0,YEARFRAC(MAX($P$34*($B203+IF($R$17="Distrato",$I$38-1,0)),IF(AND($L$37=0,$P$34=0),"",$L$37-1),IF($R$17="Distrato",$E203,0)),MIN(AJ$38,$D$19),$P$20))-SUM($P203:AI203)</f>
        <v>#VALUE!</v>
      </c>
      <c r="AK203" s="446" t="e">
        <f>IF(OR($B203="",MIN(AK$38,$D$19)&lt;MAX($P$34*($B203+IF($R$17="Distrato",$I$38-1,0)),IF(AND($L$37=0,$P$34=0),"",$L$37-1),IF($R$17="Distrato",$E203,0))),0,YEARFRAC(MAX($P$34*($B203+IF($R$17="Distrato",$I$38-1,0)),IF(AND($L$37=0,$P$34=0),"",$L$37-1),IF($R$17="Distrato",$E203,0)),MIN(AK$38,$D$19),$P$20))-SUM($P203:AJ203)</f>
        <v>#VALUE!</v>
      </c>
      <c r="AL203" s="446" t="e">
        <f>IF(OR($B203="",MIN(AL$38,$D$19)&lt;MAX($P$34*($B203+IF($R$17="Distrato",$I$38-1,0)),IF(AND($L$37=0,$P$34=0),"",$L$37-1),IF($R$17="Distrato",$E203,0))),0,YEARFRAC(MAX($P$34*($B203+IF($R$17="Distrato",$I$38-1,0)),IF(AND($L$37=0,$P$34=0),"",$L$37-1),IF($R$17="Distrato",$E203,0)),MIN(AL$38,$D$19),$P$20))-SUM($P203:AK203)</f>
        <v>#VALUE!</v>
      </c>
      <c r="AM203" s="446" t="e">
        <f>IF(OR($B203="",MIN(AM$38,$D$19)&lt;MAX($P$34*($B203+IF($R$17="Distrato",$I$38-1,0)),IF(AND($L$37=0,$P$34=0),"",$L$37-1),IF($R$17="Distrato",$E203,0))),0,YEARFRAC(MAX($P$34*($B203+IF($R$17="Distrato",$I$38-1,0)),IF(AND($L$37=0,$P$34=0),"",$L$37-1),IF($R$17="Distrato",$E203,0)),MIN(AM$38,$D$19),$P$20))-SUM($P203:AL203)</f>
        <v>#VALUE!</v>
      </c>
      <c r="AN203" s="446" t="e">
        <f>IF(OR($B203="",MIN(AN$38,$D$19)&lt;MAX($P$34*($B203+IF($R$17="Distrato",$I$38-1,0)),IF(AND($L$37=0,$P$34=0),"",$L$37-1),IF($R$17="Distrato",$E203,0))),0,YEARFRAC(MAX($P$34*($B203+IF($R$17="Distrato",$I$38-1,0)),IF(AND($L$37=0,$P$34=0),"",$L$37-1),IF($R$17="Distrato",$E203,0)),MIN(AN$38,$D$19),$P$20))-SUM($P203:AM203)</f>
        <v>#VALUE!</v>
      </c>
      <c r="AO203" s="446" t="e">
        <f>IF(OR($B203="",MIN(AO$38,$D$19)&lt;MAX($P$34*($B203+IF($R$17="Distrato",$I$38-1,0)),IF(AND($L$37=0,$P$34=0),"",$L$37-1),IF($R$17="Distrato",$E203,0))),0,YEARFRAC(MAX($P$34*($B203+IF($R$17="Distrato",$I$38-1,0)),IF(AND($L$37=0,$P$34=0),"",$L$37-1),IF($R$17="Distrato",$E203,0)),MIN(AO$38,$D$19),$P$20))-SUM($P203:AN203)</f>
        <v>#VALUE!</v>
      </c>
      <c r="AP203" s="446" t="e">
        <f>IF(OR($B203="",MIN(AP$38,$D$19)&lt;MAX($P$34*($B203+IF($R$17="Distrato",$I$38-1,0)),IF(AND($L$37=0,$P$34=0),"",$L$37-1),IF($R$17="Distrato",$E203,0))),0,YEARFRAC(MAX($P$34*($B203+IF($R$17="Distrato",$I$38-1,0)),IF(AND($L$37=0,$P$34=0),"",$L$37-1),IF($R$17="Distrato",$E203,0)),MIN(AP$38,$D$19),$P$20))-SUM($P203:AO203)</f>
        <v>#VALUE!</v>
      </c>
      <c r="AQ203" s="446" t="e">
        <f>IF(OR($B203="",MIN(AQ$38,$D$19)&lt;MAX($P$34*($B203+IF($R$17="Distrato",$I$38-1,0)),IF(AND($L$37=0,$P$34=0),"",$L$37-1),IF($R$17="Distrato",$E203,0))),0,YEARFRAC(MAX($P$34*($B203+IF($R$17="Distrato",$I$38-1,0)),IF(AND($L$37=0,$P$34=0),"",$L$37-1),IF($R$17="Distrato",$E203,0)),MIN(AQ$38,$D$19),$P$20))-SUM($P203:AP203)</f>
        <v>#VALUE!</v>
      </c>
      <c r="AR203" s="446" t="e">
        <f>IF(OR($B203="",MIN(AR$38,$D$19)&lt;MAX($P$34*($B203+IF($R$17="Distrato",$I$38-1,0)),IF(AND($L$37=0,$P$34=0),"",$L$37-1),IF($R$17="Distrato",$E203,0))),0,YEARFRAC(MAX($P$34*($B203+IF($R$17="Distrato",$I$38-1,0)),IF(AND($L$37=0,$P$34=0),"",$L$37-1),IF($R$17="Distrato",$E203,0)),MIN(AR$38,$D$19),$P$20))-SUM($P203:AQ203)</f>
        <v>#VALUE!</v>
      </c>
      <c r="AS203" s="446" t="e">
        <f>IF(OR($B203="",MIN(AS$38,$D$19)&lt;MAX($P$34*($B203+IF($R$17="Distrato",$I$38-1,0)),IF(AND($L$37=0,$P$34=0),"",$L$37-1),IF($R$17="Distrato",$E203,0))),0,YEARFRAC(MAX($P$34*($B203+IF($R$17="Distrato",$I$38-1,0)),IF(AND($L$37=0,$P$34=0),"",$L$37-1),IF($R$17="Distrato",$E203,0)),MIN(AS$38,$D$19),$P$20))-SUM($P203:AR203)</f>
        <v>#VALUE!</v>
      </c>
      <c r="AT203" s="446" t="e">
        <f>IF(OR($B203="",MIN(AT$38,$D$19)&lt;MAX($P$34*($B203+IF($R$17="Distrato",$I$38-1,0)),IF(AND($L$37=0,$P$34=0),"",$L$37-1),IF($R$17="Distrato",$E203,0))),0,YEARFRAC(MAX($P$34*($B203+IF($R$17="Distrato",$I$38-1,0)),IF(AND($L$37=0,$P$34=0),"",$L$37-1),IF($R$17="Distrato",$E203,0)),MIN(AT$38,$D$19),$P$20))-SUM($P203:AS203)</f>
        <v>#VALUE!</v>
      </c>
      <c r="AU203" s="446" t="e">
        <f>IF(OR($B203="",MIN(AU$38,$D$19)&lt;MAX($P$34*($B203+IF($R$17="Distrato",$I$38-1,0)),IF(AND($L$37=0,$P$34=0),"",$L$37-1),IF($R$17="Distrato",$E203,0))),0,YEARFRAC(MAX($P$34*($B203+IF($R$17="Distrato",$I$38-1,0)),IF(AND($L$37=0,$P$34=0),"",$L$37-1),IF($R$17="Distrato",$E203,0)),MIN(AU$38,$D$19),$P$20))-SUM($P203:AT203)</f>
        <v>#VALUE!</v>
      </c>
      <c r="AV203" s="446" t="e">
        <f>IF(OR($B203="",MIN(AV$38,$D$19)&lt;MAX($P$34*($B203+IF($R$17="Distrato",$I$38-1,0)),IF(AND($L$37=0,$P$34=0),"",$L$37-1),IF($R$17="Distrato",$E203,0))),0,YEARFRAC(MAX($P$34*($B203+IF($R$17="Distrato",$I$38-1,0)),IF(AND($L$37=0,$P$34=0),"",$L$37-1),IF($R$17="Distrato",$E203,0)),MIN(AV$38,$D$19),$P$20))-SUM($P203:AU203)</f>
        <v>#VALUE!</v>
      </c>
      <c r="AW203" s="446" t="e">
        <f>IF(OR($B203="",MIN(AW$38,$D$19)&lt;MAX($P$34*($B203+IF($R$17="Distrato",$I$38-1,0)),IF(AND($L$37=0,$P$34=0),"",$L$37-1),IF($R$17="Distrato",$E203,0))),0,YEARFRAC(MAX($P$34*($B203+IF($R$17="Distrato",$I$38-1,0)),IF(AND($L$37=0,$P$34=0),"",$L$37-1),IF($R$17="Distrato",$E203,0)),MIN(AW$38,$D$19),$P$20))-SUM($P203:AV203)</f>
        <v>#VALUE!</v>
      </c>
      <c r="AX203" s="446" t="e">
        <f>IF(OR($B203="",MIN(AX$38,$D$19)&lt;MAX($P$34*($B203+IF($R$17="Distrato",$I$38-1,0)),IF(AND($L$37=0,$P$34=0),"",$L$37-1),IF($R$17="Distrato",$E203,0))),0,YEARFRAC(MAX($P$34*($B203+IF($R$17="Distrato",$I$38-1,0)),IF(AND($L$37=0,$P$34=0),"",$L$37-1),IF($R$17="Distrato",$E203,0)),MIN(AX$38,$D$19),$P$20))-SUM($P203:AW203)</f>
        <v>#VALUE!</v>
      </c>
      <c r="AY203" s="446" t="e">
        <f>IF(OR($B203="",MIN(AY$38,$D$19)&lt;MAX($P$34*($B203+IF($R$17="Distrato",$I$38-1,0)),IF(AND($L$37=0,$P$34=0),"",$L$37-1),IF($R$17="Distrato",$E203,0))),0,YEARFRAC(MAX($P$34*($B203+IF($R$17="Distrato",$I$38-1,0)),IF(AND($L$37=0,$P$34=0),"",$L$37-1),IF($R$17="Distrato",$E203,0)),MIN(AY$38,$D$19),$P$20))-SUM($P203:AX203)</f>
        <v>#VALUE!</v>
      </c>
      <c r="AZ203" s="446" t="e">
        <f>IF(OR($B203="",MIN(AZ$38,$D$19)&lt;MAX($P$34*($B203+IF($R$17="Distrato",$I$38-1,0)),IF(AND($L$37=0,$P$34=0),"",$L$37-1),IF($R$17="Distrato",$E203,0))),0,YEARFRAC(MAX($P$34*($B203+IF($R$17="Distrato",$I$38-1,0)),IF(AND($L$37=0,$P$34=0),"",$L$37-1),IF($R$17="Distrato",$E203,0)),MIN(AZ$38,$D$19),$P$20))-SUM($P203:AY203)</f>
        <v>#VALUE!</v>
      </c>
      <c r="BA203" s="446" t="e">
        <f>IF(OR($B203="",MIN(BA$38,$D$19)&lt;MAX($P$34*($B203+IF($R$17="Distrato",$I$38-1,0)),IF(AND($L$37=0,$P$34=0),"",$L$37-1),IF($R$17="Distrato",$E203,0))),0,YEARFRAC(MAX($P$34*($B203+IF($R$17="Distrato",$I$38-1,0)),IF(AND($L$37=0,$P$34=0),"",$L$37-1),IF($R$17="Distrato",$E203,0)),MIN(BA$38,$D$19),$P$20))-SUM($P203:AZ203)</f>
        <v>#VALUE!</v>
      </c>
      <c r="BB203" s="447"/>
      <c r="BF203" s="446">
        <f t="shared" si="32"/>
        <v>0</v>
      </c>
      <c r="BG203" s="446">
        <f>IF($E203=0,0,IF(MIN(BG$38,$E203)&lt;MAX($P$34*($B203+$I$38-1),IF(AND($L$37=0,$P$34=0),"",$L$37-1)),0,YEARFRAC(MAX($P$34*($B203+$I$38-1),IF(AND($L$37=0,$P$34=0),"",$L$37-1)),MIN(BG$38,$E203),$P$20))-SUM($BF203:BF203))</f>
        <v>0</v>
      </c>
      <c r="BH203" s="446">
        <f>IF($E203=0,0,IF(MIN(BH$38,$E203)&lt;MAX($P$34*($B203+$I$38-1),IF(AND($L$37=0,$P$34=0),"",$L$37-1)),0,YEARFRAC(MAX($P$34*($B203+$I$38-1),IF(AND($L$37=0,$P$34=0),"",$L$37-1)),MIN(BH$38,$E203),$P$20))-SUM($BF203:BG203))</f>
        <v>0</v>
      </c>
      <c r="BI203" s="446">
        <f>IF($E203=0,0,IF(MIN(BI$38,$E203)&lt;MAX($P$34*($B203+$I$38-1),IF(AND($L$37=0,$P$34=0),"",$L$37-1)),0,YEARFRAC(MAX($P$34*($B203+$I$38-1),IF(AND($L$37=0,$P$34=0),"",$L$37-1)),MIN(BI$38,$E203),$P$20))-SUM($BF203:BH203))</f>
        <v>0</v>
      </c>
      <c r="BJ203" s="446">
        <f>IF($E203=0,0,IF(MIN(BJ$38,$E203)&lt;MAX($P$34*($B203+$I$38-1),IF(AND($L$37=0,$P$34=0),"",$L$37-1)),0,YEARFRAC(MAX($P$34*($B203+$I$38-1),IF(AND($L$37=0,$P$34=0),"",$L$37-1)),MIN(BJ$38,$E203),$P$20))-SUM($BF203:BI203))</f>
        <v>0</v>
      </c>
      <c r="BK203" s="446">
        <f>IF($E203=0,0,IF(MIN(BK$38,$E203)&lt;MAX($P$34*($B203+$I$38-1),IF(AND($L$37=0,$P$34=0),"",$L$37-1)),0,YEARFRAC(MAX($P$34*($B203+$I$38-1),IF(AND($L$37=0,$P$34=0),"",$L$37-1)),MIN(BK$38,$E203),$P$20))-SUM($BF203:BJ203))</f>
        <v>0</v>
      </c>
      <c r="BL203" s="446">
        <f>IF($E203=0,0,IF(MIN(BL$38,$E203)&lt;MAX($P$34*($B203+$I$38-1),IF(AND($L$37=0,$P$34=0),"",$L$37-1)),0,YEARFRAC(MAX($P$34*($B203+$I$38-1),IF(AND($L$37=0,$P$34=0),"",$L$37-1)),MIN(BL$38,$E203),$P$20))-SUM($BF203:BK203))</f>
        <v>0</v>
      </c>
      <c r="BM203" s="446">
        <f>IF($E203=0,0,IF(MIN(BM$38,$E203)&lt;MAX($P$34*($B203+$I$38-1),IF(AND($L$37=0,$P$34=0),"",$L$37-1)),0,YEARFRAC(MAX($P$34*($B203+$I$38-1),IF(AND($L$37=0,$P$34=0),"",$L$37-1)),MIN(BM$38,$E203),$P$20))-SUM($BF203:BL203))</f>
        <v>0</v>
      </c>
      <c r="BN203" s="446">
        <f>IF($E203=0,0,IF(MIN(BN$38,$E203)&lt;MAX($P$34*($B203+$I$38-1),IF(AND($L$37=0,$P$34=0),"",$L$37-1)),0,YEARFRAC(MAX($P$34*($B203+$I$38-1),IF(AND($L$37=0,$P$34=0),"",$L$37-1)),MIN(BN$38,$E203),$P$20))-SUM($BF203:BM203))</f>
        <v>0</v>
      </c>
      <c r="BO203" s="446">
        <f>IF($E203=0,0,IF(MIN(BO$38,$E203)&lt;MAX($P$34*($B203+$I$38-1),IF(AND($L$37=0,$P$34=0),"",$L$37-1)),0,YEARFRAC(MAX($P$34*($B203+$I$38-1),IF(AND($L$37=0,$P$34=0),"",$L$37-1)),MIN(BO$38,$E203),$P$20))-SUM($BF203:BN203))</f>
        <v>0</v>
      </c>
      <c r="BP203" s="446">
        <f>IF($E203=0,0,IF(MIN(BP$38,$E203)&lt;MAX($P$34*($B203+$I$38-1),IF(AND($L$37=0,$P$34=0),"",$L$37-1)),0,YEARFRAC(MAX($P$34*($B203+$I$38-1),IF(AND($L$37=0,$P$34=0),"",$L$37-1)),MIN(BP$38,$E203),$P$20))-SUM($BF203:BO203))</f>
        <v>0</v>
      </c>
      <c r="BQ203" s="446">
        <f>IF($E203=0,0,IF(MIN(BQ$38,$E203)&lt;MAX($P$34*($B203+$I$38-1),IF(AND($L$37=0,$P$34=0),"",$L$37-1)),0,YEARFRAC(MAX($P$34*($B203+$I$38-1),IF(AND($L$37=0,$P$34=0),"",$L$37-1)),MIN(BQ$38,$E203),$P$20))-SUM($BF203:BP203))</f>
        <v>0</v>
      </c>
      <c r="BR203" s="446">
        <f>IF($E203=0,0,IF(MIN(BR$38,$E203)&lt;MAX($P$34*($B203+$I$38-1),IF(AND($L$37=0,$P$34=0),"",$L$37-1)),0,YEARFRAC(MAX($P$34*($B203+$I$38-1),IF(AND($L$37=0,$P$34=0),"",$L$37-1)),MIN(BR$38,$E203),$P$20))-SUM($BF203:BQ203))</f>
        <v>0</v>
      </c>
      <c r="BS203" s="446">
        <f>IF($E203=0,0,IF(MIN(BS$38,$E203)&lt;MAX($P$34*($B203+$I$38-1),IF(AND($L$37=0,$P$34=0),"",$L$37-1)),0,YEARFRAC(MAX($P$34*($B203+$I$38-1),IF(AND($L$37=0,$P$34=0),"",$L$37-1)),MIN(BS$38,$E203),$P$20))-SUM($BF203:BR203))</f>
        <v>0</v>
      </c>
      <c r="BT203" s="446">
        <f>IF($E203=0,0,IF(MIN(BT$38,$E203)&lt;MAX($P$34*($B203+$I$38-1),IF(AND($L$37=0,$P$34=0),"",$L$37-1)),0,YEARFRAC(MAX($P$34*($B203+$I$38-1),IF(AND($L$37=0,$P$34=0),"",$L$37-1)),MIN(BT$38,$E203),$P$20))-SUM($BF203:BS203))</f>
        <v>0</v>
      </c>
      <c r="BU203" s="446">
        <f>IF($E203=0,0,IF(MIN(BU$38,$E203)&lt;MAX($P$34*($B203+$I$38-1),IF(AND($L$37=0,$P$34=0),"",$L$37-1)),0,YEARFRAC(MAX($P$34*($B203+$I$38-1),IF(AND($L$37=0,$P$34=0),"",$L$37-1)),MIN(BU$38,$E203),$P$20))-SUM($BF203:BT203))</f>
        <v>0</v>
      </c>
      <c r="BV203" s="446">
        <f>IF($E203=0,0,IF(MIN(BV$38,$E203)&lt;MAX($P$34*($B203+$I$38-1),IF(AND($L$37=0,$P$34=0),"",$L$37-1)),0,YEARFRAC(MAX($P$34*($B203+$I$38-1),IF(AND($L$37=0,$P$34=0),"",$L$37-1)),MIN(BV$38,$E203),$P$20))-SUM($BF203:BU203))</f>
        <v>0</v>
      </c>
      <c r="BW203" s="446">
        <f>IF($E203=0,0,IF(MIN(BW$38,$E203)&lt;MAX($P$34*($B203+$I$38-1),IF(AND($L$37=0,$P$34=0),"",$L$37-1)),0,YEARFRAC(MAX($P$34*($B203+$I$38-1),IF(AND($L$37=0,$P$34=0),"",$L$37-1)),MIN(BW$38,$E203),$P$20))-SUM($BF203:BV203))</f>
        <v>0</v>
      </c>
      <c r="BX203" s="446">
        <f>IF($E203=0,0,IF(MIN(BX$38,$E203)&lt;MAX($P$34*($B203+$I$38-1),IF(AND($L$37=0,$P$34=0),"",$L$37-1)),0,YEARFRAC(MAX($P$34*($B203+$I$38-1),IF(AND($L$37=0,$P$34=0),"",$L$37-1)),MIN(BX$38,$E203),$P$20))-SUM($BF203:BW203))</f>
        <v>0</v>
      </c>
      <c r="BY203" s="446">
        <f>IF($E203=0,0,IF(MIN(BY$38,$E203)&lt;MAX($P$34*($B203+$I$38-1),IF(AND($L$37=0,$P$34=0),"",$L$37-1)),0,YEARFRAC(MAX($P$34*($B203+$I$38-1),IF(AND($L$37=0,$P$34=0),"",$L$37-1)),MIN(BY$38,$E203),$P$20))-SUM($BF203:BX203))</f>
        <v>0</v>
      </c>
      <c r="BZ203" s="446">
        <f>IF($E203=0,0,IF(MIN(BZ$38,$E203)&lt;MAX($P$34*($B203+$I$38-1),IF(AND($L$37=0,$P$34=0),"",$L$37-1)),0,YEARFRAC(MAX($P$34*($B203+$I$38-1),IF(AND($L$37=0,$P$34=0),"",$L$37-1)),MIN(BZ$38,$E203),$P$20))-SUM($BF203:BY203))</f>
        <v>0</v>
      </c>
      <c r="CA203" s="446">
        <f>IF($E203=0,0,IF(MIN(CA$38,$E203)&lt;MAX($P$34*($B203+$I$38-1),IF(AND($L$37=0,$P$34=0),"",$L$37-1)),0,YEARFRAC(MAX($P$34*($B203+$I$38-1),IF(AND($L$37=0,$P$34=0),"",$L$37-1)),MIN(CA$38,$E203),$P$20))-SUM($BF203:BZ203))</f>
        <v>0</v>
      </c>
      <c r="CB203" s="446">
        <f>IF($E203=0,0,IF(MIN(CB$38,$E203)&lt;MAX($P$34*($B203+$I$38-1),IF(AND($L$37=0,$P$34=0),"",$L$37-1)),0,YEARFRAC(MAX($P$34*($B203+$I$38-1),IF(AND($L$37=0,$P$34=0),"",$L$37-1)),MIN(CB$38,$E203),$P$20))-SUM($BF203:CA203))</f>
        <v>0</v>
      </c>
      <c r="CC203" s="446">
        <f>IF($E203=0,0,IF(MIN(CC$38,$E203)&lt;MAX($P$34*($B203+$I$38-1),IF(AND($L$37=0,$P$34=0),"",$L$37-1)),0,YEARFRAC(MAX($P$34*($B203+$I$38-1),IF(AND($L$37=0,$P$34=0),"",$L$37-1)),MIN(CC$38,$E203),$P$20))-SUM($BF203:CB203))</f>
        <v>0</v>
      </c>
      <c r="CD203" s="446">
        <f>IF($E203=0,0,IF(MIN(CD$38,$E203)&lt;MAX($P$34*($B203+$I$38-1),IF(AND($L$37=0,$P$34=0),"",$L$37-1)),0,YEARFRAC(MAX($P$34*($B203+$I$38-1),IF(AND($L$37=0,$P$34=0),"",$L$37-1)),MIN(CD$38,$E203),$P$20))-SUM($BF203:CC203))</f>
        <v>0</v>
      </c>
      <c r="CE203" s="446">
        <f>IF($E203=0,0,IF(MIN(CE$38,$E203)&lt;MAX($P$34*($B203+$I$38-1),IF(AND($L$37=0,$P$34=0),"",$L$37-1)),0,YEARFRAC(MAX($P$34*($B203+$I$38-1),IF(AND($L$37=0,$P$34=0),"",$L$37-1)),MIN(CE$38,$E203),$P$20))-SUM($BF203:CD203))</f>
        <v>0</v>
      </c>
      <c r="CF203" s="446">
        <f>IF($E203=0,0,IF(MIN(CF$38,$E203)&lt;MAX($P$34*($B203+$I$38-1),IF(AND($L$37=0,$P$34=0),"",$L$37-1)),0,YEARFRAC(MAX($P$34*($B203+$I$38-1),IF(AND($L$37=0,$P$34=0),"",$L$37-1)),MIN(CF$38,$E203),$P$20))-SUM($BF203:CE203))</f>
        <v>0</v>
      </c>
      <c r="CG203" s="446">
        <f>IF($E203=0,0,IF(MIN(CG$38,$E203)&lt;MAX($P$34*($B203+$I$38-1),IF(AND($L$37=0,$P$34=0),"",$L$37-1)),0,YEARFRAC(MAX($P$34*($B203+$I$38-1),IF(AND($L$37=0,$P$34=0),"",$L$37-1)),MIN(CG$38,$E203),$P$20))-SUM($BF203:CF203))</f>
        <v>0</v>
      </c>
      <c r="CH203" s="446">
        <f>IF($E203=0,0,IF(MIN(CH$38,$E203)&lt;MAX($P$34*($B203+$I$38-1),IF(AND($L$37=0,$P$34=0),"",$L$37-1)),0,YEARFRAC(MAX($P$34*($B203+$I$38-1),IF(AND($L$37=0,$P$34=0),"",$L$37-1)),MIN(CH$38,$E203),$P$20))-SUM($BF203:CG203))</f>
        <v>0</v>
      </c>
      <c r="CI203" s="446">
        <f>IF($E203=0,0,IF(MIN(CI$38,$E203)&lt;MAX($P$34*($B203+$I$38-1),IF(AND($L$37=0,$P$34=0),"",$L$37-1)),0,YEARFRAC(MAX($P$34*($B203+$I$38-1),IF(AND($L$37=0,$P$34=0),"",$L$37-1)),MIN(CI$38,$E203),$P$20))-SUM($BF203:CH203))</f>
        <v>0</v>
      </c>
      <c r="CJ203" s="446">
        <f>IF($E203=0,0,IF(MIN(CJ$38,$E203)&lt;MAX($P$34*($B203+$I$38-1),IF(AND($L$37=0,$P$34=0),"",$L$37-1)),0,YEARFRAC(MAX($P$34*($B203+$I$38-1),IF(AND($L$37=0,$P$34=0),"",$L$37-1)),MIN(CJ$38,$E203),$P$20))-SUM($BF203:CI203))</f>
        <v>0</v>
      </c>
      <c r="CK203" s="446">
        <f>IF($E203=0,0,IF(MIN(CK$38,$E203)&lt;MAX($P$34*($B203+$I$38-1),IF(AND($L$37=0,$P$34=0),"",$L$37-1)),0,YEARFRAC(MAX($P$34*($B203+$I$38-1),IF(AND($L$37=0,$P$34=0),"",$L$37-1)),MIN(CK$38,$E203),$P$20))-SUM($BF203:CJ203))</f>
        <v>0</v>
      </c>
      <c r="CL203" s="446">
        <f>IF($E203=0,0,IF(MIN(CL$38,$E203)&lt;MAX($P$34*($B203+$I$38-1),IF(AND($L$37=0,$P$34=0),"",$L$37-1)),0,YEARFRAC(MAX($P$34*($B203+$I$38-1),IF(AND($L$37=0,$P$34=0),"",$L$37-1)),MIN(CL$38,$E203),$P$20))-SUM($BF203:CK203))</f>
        <v>0</v>
      </c>
      <c r="CM203" s="446">
        <f>IF($E203=0,0,IF(MIN(CM$38,$E203)&lt;MAX($P$34*($B203+$I$38-1),IF(AND($L$37=0,$P$34=0),"",$L$37-1)),0,YEARFRAC(MAX($P$34*($B203+$I$38-1),IF(AND($L$37=0,$P$34=0),"",$L$37-1)),MIN(CM$38,$E203),$P$20))-SUM($BF203:CL203))</f>
        <v>0</v>
      </c>
      <c r="CN203" s="446">
        <f>IF($E203=0,0,IF(MIN(CN$38,$E203)&lt;MAX($P$34*($B203+$I$38-1),IF(AND($L$37=0,$P$34=0),"",$L$37-1)),0,YEARFRAC(MAX($P$34*($B203+$I$38-1),IF(AND($L$37=0,$P$34=0),"",$L$37-1)),MIN(CN$38,$E203),$P$20))-SUM($BF203:CM203))</f>
        <v>0</v>
      </c>
      <c r="CO203" s="446">
        <f>IF($E203=0,0,IF(MIN(CO$38,$E203)&lt;MAX($P$34*($B203+$I$38-1),IF(AND($L$37=0,$P$34=0),"",$L$37-1)),0,YEARFRAC(MAX($P$34*($B203+$I$38-1),IF(AND($L$37=0,$P$34=0),"",$L$37-1)),MIN(CO$38,$E203),$P$20))-SUM($BF203:CN203))</f>
        <v>0</v>
      </c>
      <c r="CP203" s="446">
        <f>IF($E203=0,0,IF(MIN(CP$38,$E203)&lt;MAX($P$34*($B203+$I$38-1),IF(AND($L$37=0,$P$34=0),"",$L$37-1)),0,YEARFRAC(MAX($P$34*($B203+$I$38-1),IF(AND($L$37=0,$P$34=0),"",$L$37-1)),MIN(CP$38,$E203),$P$20))-SUM($BF203:CO203))</f>
        <v>0</v>
      </c>
      <c r="CQ203" s="446">
        <f>IF($E203=0,0,IF(MIN(CQ$38,$E203)&lt;MAX($P$34*($B203+$I$38-1),IF(AND($L$37=0,$P$34=0),"",$L$37-1)),0,YEARFRAC(MAX($P$34*($B203+$I$38-1),IF(AND($L$37=0,$P$34=0),"",$L$37-1)),MIN(CQ$38,$E203),$P$20))-SUM($BF203:CP203))</f>
        <v>0</v>
      </c>
    </row>
    <row r="204" spans="1:95" s="446" customFormat="1" ht="11.25" hidden="1" customHeight="1" x14ac:dyDescent="0.2">
      <c r="A204" s="152"/>
      <c r="B204" s="153" t="str">
        <f t="shared" si="37"/>
        <v/>
      </c>
      <c r="C204" s="29" t="str">
        <f>IF(B204="","",IF($L$35="SELIC - TRIBUTOS",VLOOKUP(DATE(YEAR($D$19),MONTH($D$19)-1,1),ÍNDICES!$A:$DE,HLOOKUP($BL$25,ÍNDICES!$B$3:$T$4,2)+11)-VLOOKUP(B204,ÍNDICES!$A:$DE,HLOOKUP($BL$25,ÍNDICES!$B$3:$T$4,2)+11)+1%,IF(C$38=$W$26,$J$35,IF(ISERROR(IF(B204&gt;$D$19,1,VLOOKUP(DATE(YEAR(B204),MONTH(B204)+IF($C$35=$S$23,1,0),1),ÍNDICES!$A:$DE,$Z$35+1))),"",IF(B204&gt;$D$19,1,VLOOKUP(DATE(YEAR(B204),MONTH(B204)+IF($C$35=$S$23,1,0),1),ÍNDICES!$A:$DE,$Z$35+1))))))</f>
        <v/>
      </c>
      <c r="D204" s="154" t="str">
        <f>IF(ISERROR(IF(OR($D$38=$Y$27,$B204=""),"",VLOOKUP(B204,ÍNDICES!A:DE,AF$35+1))),"",IF(OR($D$38=$Y$27,$B204=""),"",VLOOKUP(B204,ÍNDICES!A:DE,AF$35+1)))</f>
        <v/>
      </c>
      <c r="E204" s="153"/>
      <c r="F204" s="29" t="str">
        <f>IF(E204="","",IF($L$35="SELIC - TRIBUTOS",VLOOKUP(DATE(YEAR($D$19),MONTH($D$19)-1,1),ÍNDICES!$A:$DE,HLOOKUP($BL$25,ÍNDICES!$B$3:$T$4,2)+11)-VLOOKUP(E204,ÍNDICES!$A:$DE,HLOOKUP($BL$25,ÍNDICES!$B$3:$T$4,2)+11)+1%,IF(F$38=$W$26,$J$35,IF(ISERROR(IF(E204&gt;$D$19,1,VLOOKUP(DATE(YEAR(E204),MONTH(E204)+IF($C$35=$S$23,1,0),1),ÍNDICES!$A:$DE,$Z$35+1))),"",IF(E204&gt;$D$19,1,VLOOKUP(DATE(YEAR(E204),MONTH(E204)+IF($C$35=$S$23,1,0),1),ÍNDICES!$A:$DE,$Z$35+1))))))</f>
        <v/>
      </c>
      <c r="G204" s="155"/>
      <c r="H204" s="156" t="str">
        <f t="shared" si="33"/>
        <v/>
      </c>
      <c r="I204" s="29" t="str">
        <f t="shared" si="27"/>
        <v/>
      </c>
      <c r="J204" s="5">
        <f t="shared" si="28"/>
        <v>0</v>
      </c>
      <c r="K204" s="20">
        <f t="shared" ca="1" si="29"/>
        <v>0</v>
      </c>
      <c r="L204" s="5">
        <f t="shared" ca="1" si="30"/>
        <v>0</v>
      </c>
      <c r="M204" s="64">
        <f t="shared" si="34"/>
        <v>0</v>
      </c>
      <c r="N204" s="61">
        <f t="shared" ca="1" si="35"/>
        <v>0</v>
      </c>
      <c r="O204" s="5">
        <f t="shared" ca="1" si="36"/>
        <v>0</v>
      </c>
      <c r="P204" s="446" t="e">
        <f t="shared" si="31"/>
        <v>#VALUE!</v>
      </c>
      <c r="Q204" s="446" t="e">
        <f>IF(OR($B204="",MIN(Q$38,$D$19)&lt;MAX($P$34*($B204+IF($R$17="Distrato",$I$38-1,0)),IF(AND($L$37=0,$P$34=0),"",$L$37-1),IF($R$17="Distrato",$E204,0))),0,YEARFRAC(MAX($P$34*($B204+IF($R$17="Distrato",$I$38-1,0)),IF(AND($L$37=0,$P$34=0),"",$L$37-1),IF($R$17="Distrato",$E204,0)),MIN(Q$38,$D$19),$P$20))-SUM($P204:P204)</f>
        <v>#VALUE!</v>
      </c>
      <c r="R204" s="446" t="e">
        <f>IF(OR($B204="",MIN(R$38,$D$19)&lt;MAX($P$34*($B204+IF($R$17="Distrato",$I$38-1,0)),IF(AND($L$37=0,$P$34=0),"",$L$37-1),IF($R$17="Distrato",$E204,0))),0,YEARFRAC(MAX($P$34*($B204+IF($R$17="Distrato",$I$38-1,0)),IF(AND($L$37=0,$P$34=0),"",$L$37-1),IF($R$17="Distrato",$E204,0)),MIN(R$38,$D$19),$P$20))-SUM($P204:Q204)</f>
        <v>#VALUE!</v>
      </c>
      <c r="S204" s="446" t="e">
        <f>IF(OR($B204="",MIN(S$38,$D$19)&lt;MAX($P$34*($B204+IF($R$17="Distrato",$I$38-1,0)),IF(AND($L$37=0,$P$34=0),"",$L$37-1),IF($R$17="Distrato",$E204,0))),0,YEARFRAC(MAX($P$34*($B204+IF($R$17="Distrato",$I$38-1,0)),IF(AND($L$37=0,$P$34=0),"",$L$37-1),IF($R$17="Distrato",$E204,0)),MIN(S$38,$D$19),$P$20))-SUM($P204:R204)</f>
        <v>#VALUE!</v>
      </c>
      <c r="T204" s="446" t="e">
        <f>IF(OR($B204="",MIN(T$38,$D$19)&lt;MAX($P$34*($B204+IF($R$17="Distrato",$I$38-1,0)),IF(AND($L$37=0,$P$34=0),"",$L$37-1),IF($R$17="Distrato",$E204,0))),0,YEARFRAC(MAX($P$34*($B204+IF($R$17="Distrato",$I$38-1,0)),IF(AND($L$37=0,$P$34=0),"",$L$37-1),IF($R$17="Distrato",$E204,0)),MIN(T$38,$D$19),$P$20))-SUM($P204:S204)</f>
        <v>#VALUE!</v>
      </c>
      <c r="U204" s="446" t="e">
        <f>IF(OR($B204="",MIN(U$38,$D$19)&lt;MAX($P$34*($B204+IF($R$17="Distrato",$I$38-1,0)),IF(AND($L$37=0,$P$34=0),"",$L$37-1),IF($R$17="Distrato",$E204,0))),0,YEARFRAC(MAX($P$34*($B204+IF($R$17="Distrato",$I$38-1,0)),IF(AND($L$37=0,$P$34=0),"",$L$37-1),IF($R$17="Distrato",$E204,0)),MIN(U$38,$D$19),$P$20))-SUM($P204:T204)</f>
        <v>#VALUE!</v>
      </c>
      <c r="V204" s="446" t="e">
        <f>IF(OR($B204="",MIN(V$38,$D$19)&lt;MAX($P$34*($B204+IF($R$17="Distrato",$I$38-1,0)),IF(AND($L$37=0,$P$34=0),"",$L$37-1),IF($R$17="Distrato",$E204,0))),0,YEARFRAC(MAX($P$34*($B204+IF($R$17="Distrato",$I$38-1,0)),IF(AND($L$37=0,$P$34=0),"",$L$37-1),IF($R$17="Distrato",$E204,0)),MIN(V$38,$D$19),$P$20))-SUM($P204:U204)</f>
        <v>#VALUE!</v>
      </c>
      <c r="W204" s="446" t="e">
        <f>IF(OR($B204="",MIN(W$38,$D$19)&lt;MAX($P$34*($B204+IF($R$17="Distrato",$I$38-1,0)),IF(AND($L$37=0,$P$34=0),"",$L$37-1),IF($R$17="Distrato",$E204,0))),0,YEARFRAC(MAX($P$34*($B204+IF($R$17="Distrato",$I$38-1,0)),IF(AND($L$37=0,$P$34=0),"",$L$37-1),IF($R$17="Distrato",$E204,0)),MIN(W$38,$D$19),$P$20))-SUM($P204:V204)</f>
        <v>#VALUE!</v>
      </c>
      <c r="X204" s="446" t="e">
        <f>IF(OR($B204="",MIN(X$38,$D$19)&lt;MAX($P$34*($B204+IF($R$17="Distrato",$I$38-1,0)),IF(AND($L$37=0,$P$34=0),"",$L$37-1),IF($R$17="Distrato",$E204,0))),0,YEARFRAC(MAX($P$34*($B204+IF($R$17="Distrato",$I$38-1,0)),IF(AND($L$37=0,$P$34=0),"",$L$37-1),IF($R$17="Distrato",$E204,0)),MIN(X$38,$D$19),$P$20))-SUM($P204:W204)</f>
        <v>#VALUE!</v>
      </c>
      <c r="Y204" s="446" t="e">
        <f>IF(OR($B204="",MIN(Y$38,$D$19)&lt;MAX($P$34*($B204+IF($R$17="Distrato",$I$38-1,0)),IF(AND($L$37=0,$P$34=0),"",$L$37-1),IF($R$17="Distrato",$E204,0))),0,YEARFRAC(MAX($P$34*($B204+IF($R$17="Distrato",$I$38-1,0)),IF(AND($L$37=0,$P$34=0),"",$L$37-1),IF($R$17="Distrato",$E204,0)),MIN(Y$38,$D$19),$P$20))-SUM($P204:X204)</f>
        <v>#VALUE!</v>
      </c>
      <c r="Z204" s="446" t="e">
        <f>IF(OR($B204="",MIN(Z$38,$D$19)&lt;MAX($P$34*($B204+IF($R$17="Distrato",$I$38-1,0)),IF(AND($L$37=0,$P$34=0),"",$L$37-1),IF($R$17="Distrato",$E204,0))),0,YEARFRAC(MAX($P$34*($B204+IF($R$17="Distrato",$I$38-1,0)),IF(AND($L$37=0,$P$34=0),"",$L$37-1),IF($R$17="Distrato",$E204,0)),MIN(Z$38,$D$19),$P$20))-SUM($P204:Y204)</f>
        <v>#VALUE!</v>
      </c>
      <c r="AA204" s="446" t="e">
        <f>IF(OR($B204="",MIN(AA$38,$D$19)&lt;MAX($P$34*($B204+IF($R$17="Distrato",$I$38-1,0)),IF(AND($L$37=0,$P$34=0),"",$L$37-1),IF($R$17="Distrato",$E204,0))),0,YEARFRAC(MAX($P$34*($B204+IF($R$17="Distrato",$I$38-1,0)),IF(AND($L$37=0,$P$34=0),"",$L$37-1),IF($R$17="Distrato",$E204,0)),MIN(AA$38,$D$19),$P$20))-SUM($P204:Z204)</f>
        <v>#VALUE!</v>
      </c>
      <c r="AB204" s="446" t="e">
        <f>IF(OR($B204="",MIN(AB$38,$D$19)&lt;MAX($P$34*($B204+IF($R$17="Distrato",$I$38-1,0)),IF(AND($L$37=0,$P$34=0),"",$L$37-1),IF($R$17="Distrato",$E204,0))),0,YEARFRAC(MAX($P$34*($B204+IF($R$17="Distrato",$I$38-1,0)),IF(AND($L$37=0,$P$34=0),"",$L$37-1),IF($R$17="Distrato",$E204,0)),MIN(AB$38,$D$19),$P$20))-SUM($P204:AA204)</f>
        <v>#VALUE!</v>
      </c>
      <c r="AC204" s="446" t="e">
        <f>IF(OR($B204="",MIN(AC$38,$D$19)&lt;MAX($P$34*($B204+IF($R$17="Distrato",$I$38-1,0)),IF(AND($L$37=0,$P$34=0),"",$L$37-1),IF($R$17="Distrato",$E204,0))),0,YEARFRAC(MAX($P$34*($B204+IF($R$17="Distrato",$I$38-1,0)),IF(AND($L$37=0,$P$34=0),"",$L$37-1),IF($R$17="Distrato",$E204,0)),MIN(AC$38,$D$19),$P$20))-SUM($P204:AB204)</f>
        <v>#VALUE!</v>
      </c>
      <c r="AD204" s="446" t="e">
        <f>IF(OR($B204="",MIN(AD$38,$D$19)&lt;MAX($P$34*($B204+IF($R$17="Distrato",$I$38-1,0)),IF(AND($L$37=0,$P$34=0),"",$L$37-1),IF($R$17="Distrato",$E204,0))),0,YEARFRAC(MAX($P$34*($B204+IF($R$17="Distrato",$I$38-1,0)),IF(AND($L$37=0,$P$34=0),"",$L$37-1),IF($R$17="Distrato",$E204,0)),MIN(AD$38,$D$19),$P$20))-SUM($P204:AC204)</f>
        <v>#VALUE!</v>
      </c>
      <c r="AE204" s="446" t="e">
        <f>IF(OR($B204="",MIN(AE$38,$D$19)&lt;MAX($P$34*($B204+IF($R$17="Distrato",$I$38-1,0)),IF(AND($L$37=0,$P$34=0),"",$L$37-1),IF($R$17="Distrato",$E204,0))),0,YEARFRAC(MAX($P$34*($B204+IF($R$17="Distrato",$I$38-1,0)),IF(AND($L$37=0,$P$34=0),"",$L$37-1),IF($R$17="Distrato",$E204,0)),MIN(AE$38,$D$19),$P$20))-SUM($P204:AD204)</f>
        <v>#VALUE!</v>
      </c>
      <c r="AF204" s="446" t="e">
        <f>IF(OR($B204="",MIN(AF$38,$D$19)&lt;MAX($P$34*($B204+IF($R$17="Distrato",$I$38-1,0)),IF(AND($L$37=0,$P$34=0),"",$L$37-1),IF($R$17="Distrato",$E204,0))),0,YEARFRAC(MAX($P$34*($B204+IF($R$17="Distrato",$I$38-1,0)),IF(AND($L$37=0,$P$34=0),"",$L$37-1),IF($R$17="Distrato",$E204,0)),MIN(AF$38,$D$19),$P$20))-SUM($P204:AE204)</f>
        <v>#VALUE!</v>
      </c>
      <c r="AG204" s="446" t="e">
        <f>IF(OR($B204="",MIN(AG$38,$D$19)&lt;MAX($P$34*($B204+IF($R$17="Distrato",$I$38-1,0)),IF(AND($L$37=0,$P$34=0),"",$L$37-1),IF($R$17="Distrato",$E204,0))),0,YEARFRAC(MAX($P$34*($B204+IF($R$17="Distrato",$I$38-1,0)),IF(AND($L$37=0,$P$34=0),"",$L$37-1),IF($R$17="Distrato",$E204,0)),MIN(AG$38,$D$19),$P$20))-SUM($P204:AF204)</f>
        <v>#VALUE!</v>
      </c>
      <c r="AH204" s="446" t="e">
        <f>IF(OR($B204="",MIN(AH$38,$D$19)&lt;MAX($P$34*($B204+IF($R$17="Distrato",$I$38-1,0)),IF(AND($L$37=0,$P$34=0),"",$L$37-1),IF($R$17="Distrato",$E204,0))),0,YEARFRAC(MAX($P$34*($B204+IF($R$17="Distrato",$I$38-1,0)),IF(AND($L$37=0,$P$34=0),"",$L$37-1),IF($R$17="Distrato",$E204,0)),MIN(AH$38,$D$19),$P$20))-SUM($P204:AG204)</f>
        <v>#VALUE!</v>
      </c>
      <c r="AI204" s="446" t="e">
        <f>IF(OR($B204="",MIN(AI$38,$D$19)&lt;MAX($P$34*($B204+IF($R$17="Distrato",$I$38-1,0)),IF(AND($L$37=0,$P$34=0),"",$L$37-1),IF($R$17="Distrato",$E204,0))),0,YEARFRAC(MAX($P$34*($B204+IF($R$17="Distrato",$I$38-1,0)),IF(AND($L$37=0,$P$34=0),"",$L$37-1),IF($R$17="Distrato",$E204,0)),MIN(AI$38,$D$19),$P$20))-SUM($P204:AH204)</f>
        <v>#VALUE!</v>
      </c>
      <c r="AJ204" s="446" t="e">
        <f>IF(OR($B204="",MIN(AJ$38,$D$19)&lt;MAX($P$34*($B204+IF($R$17="Distrato",$I$38-1,0)),IF(AND($L$37=0,$P$34=0),"",$L$37-1),IF($R$17="Distrato",$E204,0))),0,YEARFRAC(MAX($P$34*($B204+IF($R$17="Distrato",$I$38-1,0)),IF(AND($L$37=0,$P$34=0),"",$L$37-1),IF($R$17="Distrato",$E204,0)),MIN(AJ$38,$D$19),$P$20))-SUM($P204:AI204)</f>
        <v>#VALUE!</v>
      </c>
      <c r="AK204" s="446" t="e">
        <f>IF(OR($B204="",MIN(AK$38,$D$19)&lt;MAX($P$34*($B204+IF($R$17="Distrato",$I$38-1,0)),IF(AND($L$37=0,$P$34=0),"",$L$37-1),IF($R$17="Distrato",$E204,0))),0,YEARFRAC(MAX($P$34*($B204+IF($R$17="Distrato",$I$38-1,0)),IF(AND($L$37=0,$P$34=0),"",$L$37-1),IF($R$17="Distrato",$E204,0)),MIN(AK$38,$D$19),$P$20))-SUM($P204:AJ204)</f>
        <v>#VALUE!</v>
      </c>
      <c r="AL204" s="446" t="e">
        <f>IF(OR($B204="",MIN(AL$38,$D$19)&lt;MAX($P$34*($B204+IF($R$17="Distrato",$I$38-1,0)),IF(AND($L$37=0,$P$34=0),"",$L$37-1),IF($R$17="Distrato",$E204,0))),0,YEARFRAC(MAX($P$34*($B204+IF($R$17="Distrato",$I$38-1,0)),IF(AND($L$37=0,$P$34=0),"",$L$37-1),IF($R$17="Distrato",$E204,0)),MIN(AL$38,$D$19),$P$20))-SUM($P204:AK204)</f>
        <v>#VALUE!</v>
      </c>
      <c r="AM204" s="446" t="e">
        <f>IF(OR($B204="",MIN(AM$38,$D$19)&lt;MAX($P$34*($B204+IF($R$17="Distrato",$I$38-1,0)),IF(AND($L$37=0,$P$34=0),"",$L$37-1),IF($R$17="Distrato",$E204,0))),0,YEARFRAC(MAX($P$34*($B204+IF($R$17="Distrato",$I$38-1,0)),IF(AND($L$37=0,$P$34=0),"",$L$37-1),IF($R$17="Distrato",$E204,0)),MIN(AM$38,$D$19),$P$20))-SUM($P204:AL204)</f>
        <v>#VALUE!</v>
      </c>
      <c r="AN204" s="446" t="e">
        <f>IF(OR($B204="",MIN(AN$38,$D$19)&lt;MAX($P$34*($B204+IF($R$17="Distrato",$I$38-1,0)),IF(AND($L$37=0,$P$34=0),"",$L$37-1),IF($R$17="Distrato",$E204,0))),0,YEARFRAC(MAX($P$34*($B204+IF($R$17="Distrato",$I$38-1,0)),IF(AND($L$37=0,$P$34=0),"",$L$37-1),IF($R$17="Distrato",$E204,0)),MIN(AN$38,$D$19),$P$20))-SUM($P204:AM204)</f>
        <v>#VALUE!</v>
      </c>
      <c r="AO204" s="446" t="e">
        <f>IF(OR($B204="",MIN(AO$38,$D$19)&lt;MAX($P$34*($B204+IF($R$17="Distrato",$I$38-1,0)),IF(AND($L$37=0,$P$34=0),"",$L$37-1),IF($R$17="Distrato",$E204,0))),0,YEARFRAC(MAX($P$34*($B204+IF($R$17="Distrato",$I$38-1,0)),IF(AND($L$37=0,$P$34=0),"",$L$37-1),IF($R$17="Distrato",$E204,0)),MIN(AO$38,$D$19),$P$20))-SUM($P204:AN204)</f>
        <v>#VALUE!</v>
      </c>
      <c r="AP204" s="446" t="e">
        <f>IF(OR($B204="",MIN(AP$38,$D$19)&lt;MAX($P$34*($B204+IF($R$17="Distrato",$I$38-1,0)),IF(AND($L$37=0,$P$34=0),"",$L$37-1),IF($R$17="Distrato",$E204,0))),0,YEARFRAC(MAX($P$34*($B204+IF($R$17="Distrato",$I$38-1,0)),IF(AND($L$37=0,$P$34=0),"",$L$37-1),IF($R$17="Distrato",$E204,0)),MIN(AP$38,$D$19),$P$20))-SUM($P204:AO204)</f>
        <v>#VALUE!</v>
      </c>
      <c r="AQ204" s="446" t="e">
        <f>IF(OR($B204="",MIN(AQ$38,$D$19)&lt;MAX($P$34*($B204+IF($R$17="Distrato",$I$38-1,0)),IF(AND($L$37=0,$P$34=0),"",$L$37-1),IF($R$17="Distrato",$E204,0))),0,YEARFRAC(MAX($P$34*($B204+IF($R$17="Distrato",$I$38-1,0)),IF(AND($L$37=0,$P$34=0),"",$L$37-1),IF($R$17="Distrato",$E204,0)),MIN(AQ$38,$D$19),$P$20))-SUM($P204:AP204)</f>
        <v>#VALUE!</v>
      </c>
      <c r="AR204" s="446" t="e">
        <f>IF(OR($B204="",MIN(AR$38,$D$19)&lt;MAX($P$34*($B204+IF($R$17="Distrato",$I$38-1,0)),IF(AND($L$37=0,$P$34=0),"",$L$37-1),IF($R$17="Distrato",$E204,0))),0,YEARFRAC(MAX($P$34*($B204+IF($R$17="Distrato",$I$38-1,0)),IF(AND($L$37=0,$P$34=0),"",$L$37-1),IF($R$17="Distrato",$E204,0)),MIN(AR$38,$D$19),$P$20))-SUM($P204:AQ204)</f>
        <v>#VALUE!</v>
      </c>
      <c r="AS204" s="446" t="e">
        <f>IF(OR($B204="",MIN(AS$38,$D$19)&lt;MAX($P$34*($B204+IF($R$17="Distrato",$I$38-1,0)),IF(AND($L$37=0,$P$34=0),"",$L$37-1),IF($R$17="Distrato",$E204,0))),0,YEARFRAC(MAX($P$34*($B204+IF($R$17="Distrato",$I$38-1,0)),IF(AND($L$37=0,$P$34=0),"",$L$37-1),IF($R$17="Distrato",$E204,0)),MIN(AS$38,$D$19),$P$20))-SUM($P204:AR204)</f>
        <v>#VALUE!</v>
      </c>
      <c r="AT204" s="446" t="e">
        <f>IF(OR($B204="",MIN(AT$38,$D$19)&lt;MAX($P$34*($B204+IF($R$17="Distrato",$I$38-1,0)),IF(AND($L$37=0,$P$34=0),"",$L$37-1),IF($R$17="Distrato",$E204,0))),0,YEARFRAC(MAX($P$34*($B204+IF($R$17="Distrato",$I$38-1,0)),IF(AND($L$37=0,$P$34=0),"",$L$37-1),IF($R$17="Distrato",$E204,0)),MIN(AT$38,$D$19),$P$20))-SUM($P204:AS204)</f>
        <v>#VALUE!</v>
      </c>
      <c r="AU204" s="446" t="e">
        <f>IF(OR($B204="",MIN(AU$38,$D$19)&lt;MAX($P$34*($B204+IF($R$17="Distrato",$I$38-1,0)),IF(AND($L$37=0,$P$34=0),"",$L$37-1),IF($R$17="Distrato",$E204,0))),0,YEARFRAC(MAX($P$34*($B204+IF($R$17="Distrato",$I$38-1,0)),IF(AND($L$37=0,$P$34=0),"",$L$37-1),IF($R$17="Distrato",$E204,0)),MIN(AU$38,$D$19),$P$20))-SUM($P204:AT204)</f>
        <v>#VALUE!</v>
      </c>
      <c r="AV204" s="446" t="e">
        <f>IF(OR($B204="",MIN(AV$38,$D$19)&lt;MAX($P$34*($B204+IF($R$17="Distrato",$I$38-1,0)),IF(AND($L$37=0,$P$34=0),"",$L$37-1),IF($R$17="Distrato",$E204,0))),0,YEARFRAC(MAX($P$34*($B204+IF($R$17="Distrato",$I$38-1,0)),IF(AND($L$37=0,$P$34=0),"",$L$37-1),IF($R$17="Distrato",$E204,0)),MIN(AV$38,$D$19),$P$20))-SUM($P204:AU204)</f>
        <v>#VALUE!</v>
      </c>
      <c r="AW204" s="446" t="e">
        <f>IF(OR($B204="",MIN(AW$38,$D$19)&lt;MAX($P$34*($B204+IF($R$17="Distrato",$I$38-1,0)),IF(AND($L$37=0,$P$34=0),"",$L$37-1),IF($R$17="Distrato",$E204,0))),0,YEARFRAC(MAX($P$34*($B204+IF($R$17="Distrato",$I$38-1,0)),IF(AND($L$37=0,$P$34=0),"",$L$37-1),IF($R$17="Distrato",$E204,0)),MIN(AW$38,$D$19),$P$20))-SUM($P204:AV204)</f>
        <v>#VALUE!</v>
      </c>
      <c r="AX204" s="446" t="e">
        <f>IF(OR($B204="",MIN(AX$38,$D$19)&lt;MAX($P$34*($B204+IF($R$17="Distrato",$I$38-1,0)),IF(AND($L$37=0,$P$34=0),"",$L$37-1),IF($R$17="Distrato",$E204,0))),0,YEARFRAC(MAX($P$34*($B204+IF($R$17="Distrato",$I$38-1,0)),IF(AND($L$37=0,$P$34=0),"",$L$37-1),IF($R$17="Distrato",$E204,0)),MIN(AX$38,$D$19),$P$20))-SUM($P204:AW204)</f>
        <v>#VALUE!</v>
      </c>
      <c r="AY204" s="446" t="e">
        <f>IF(OR($B204="",MIN(AY$38,$D$19)&lt;MAX($P$34*($B204+IF($R$17="Distrato",$I$38-1,0)),IF(AND($L$37=0,$P$34=0),"",$L$37-1),IF($R$17="Distrato",$E204,0))),0,YEARFRAC(MAX($P$34*($B204+IF($R$17="Distrato",$I$38-1,0)),IF(AND($L$37=0,$P$34=0),"",$L$37-1),IF($R$17="Distrato",$E204,0)),MIN(AY$38,$D$19),$P$20))-SUM($P204:AX204)</f>
        <v>#VALUE!</v>
      </c>
      <c r="AZ204" s="446" t="e">
        <f>IF(OR($B204="",MIN(AZ$38,$D$19)&lt;MAX($P$34*($B204+IF($R$17="Distrato",$I$38-1,0)),IF(AND($L$37=0,$P$34=0),"",$L$37-1),IF($R$17="Distrato",$E204,0))),0,YEARFRAC(MAX($P$34*($B204+IF($R$17="Distrato",$I$38-1,0)),IF(AND($L$37=0,$P$34=0),"",$L$37-1),IF($R$17="Distrato",$E204,0)),MIN(AZ$38,$D$19),$P$20))-SUM($P204:AY204)</f>
        <v>#VALUE!</v>
      </c>
      <c r="BA204" s="446" t="e">
        <f>IF(OR($B204="",MIN(BA$38,$D$19)&lt;MAX($P$34*($B204+IF($R$17="Distrato",$I$38-1,0)),IF(AND($L$37=0,$P$34=0),"",$L$37-1),IF($R$17="Distrato",$E204,0))),0,YEARFRAC(MAX($P$34*($B204+IF($R$17="Distrato",$I$38-1,0)),IF(AND($L$37=0,$P$34=0),"",$L$37-1),IF($R$17="Distrato",$E204,0)),MIN(BA$38,$D$19),$P$20))-SUM($P204:AZ204)</f>
        <v>#VALUE!</v>
      </c>
      <c r="BB204" s="447"/>
      <c r="BF204" s="446">
        <f t="shared" si="32"/>
        <v>0</v>
      </c>
      <c r="BG204" s="446">
        <f>IF($E204=0,0,IF(MIN(BG$38,$E204)&lt;MAX($P$34*($B204+$I$38-1),IF(AND($L$37=0,$P$34=0),"",$L$37-1)),0,YEARFRAC(MAX($P$34*($B204+$I$38-1),IF(AND($L$37=0,$P$34=0),"",$L$37-1)),MIN(BG$38,$E204),$P$20))-SUM($BF204:BF204))</f>
        <v>0</v>
      </c>
      <c r="BH204" s="446">
        <f>IF($E204=0,0,IF(MIN(BH$38,$E204)&lt;MAX($P$34*($B204+$I$38-1),IF(AND($L$37=0,$P$34=0),"",$L$37-1)),0,YEARFRAC(MAX($P$34*($B204+$I$38-1),IF(AND($L$37=0,$P$34=0),"",$L$37-1)),MIN(BH$38,$E204),$P$20))-SUM($BF204:BG204))</f>
        <v>0</v>
      </c>
      <c r="BI204" s="446">
        <f>IF($E204=0,0,IF(MIN(BI$38,$E204)&lt;MAX($P$34*($B204+$I$38-1),IF(AND($L$37=0,$P$34=0),"",$L$37-1)),0,YEARFRAC(MAX($P$34*($B204+$I$38-1),IF(AND($L$37=0,$P$34=0),"",$L$37-1)),MIN(BI$38,$E204),$P$20))-SUM($BF204:BH204))</f>
        <v>0</v>
      </c>
      <c r="BJ204" s="446">
        <f>IF($E204=0,0,IF(MIN(BJ$38,$E204)&lt;MAX($P$34*($B204+$I$38-1),IF(AND($L$37=0,$P$34=0),"",$L$37-1)),0,YEARFRAC(MAX($P$34*($B204+$I$38-1),IF(AND($L$37=0,$P$34=0),"",$L$37-1)),MIN(BJ$38,$E204),$P$20))-SUM($BF204:BI204))</f>
        <v>0</v>
      </c>
      <c r="BK204" s="446">
        <f>IF($E204=0,0,IF(MIN(BK$38,$E204)&lt;MAX($P$34*($B204+$I$38-1),IF(AND($L$37=0,$P$34=0),"",$L$37-1)),0,YEARFRAC(MAX($P$34*($B204+$I$38-1),IF(AND($L$37=0,$P$34=0),"",$L$37-1)),MIN(BK$38,$E204),$P$20))-SUM($BF204:BJ204))</f>
        <v>0</v>
      </c>
      <c r="BL204" s="446">
        <f>IF($E204=0,0,IF(MIN(BL$38,$E204)&lt;MAX($P$34*($B204+$I$38-1),IF(AND($L$37=0,$P$34=0),"",$L$37-1)),0,YEARFRAC(MAX($P$34*($B204+$I$38-1),IF(AND($L$37=0,$P$34=0),"",$L$37-1)),MIN(BL$38,$E204),$P$20))-SUM($BF204:BK204))</f>
        <v>0</v>
      </c>
      <c r="BM204" s="446">
        <f>IF($E204=0,0,IF(MIN(BM$38,$E204)&lt;MAX($P$34*($B204+$I$38-1),IF(AND($L$37=0,$P$34=0),"",$L$37-1)),0,YEARFRAC(MAX($P$34*($B204+$I$38-1),IF(AND($L$37=0,$P$34=0),"",$L$37-1)),MIN(BM$38,$E204),$P$20))-SUM($BF204:BL204))</f>
        <v>0</v>
      </c>
      <c r="BN204" s="446">
        <f>IF($E204=0,0,IF(MIN(BN$38,$E204)&lt;MAX($P$34*($B204+$I$38-1),IF(AND($L$37=0,$P$34=0),"",$L$37-1)),0,YEARFRAC(MAX($P$34*($B204+$I$38-1),IF(AND($L$37=0,$P$34=0),"",$L$37-1)),MIN(BN$38,$E204),$P$20))-SUM($BF204:BM204))</f>
        <v>0</v>
      </c>
      <c r="BO204" s="446">
        <f>IF($E204=0,0,IF(MIN(BO$38,$E204)&lt;MAX($P$34*($B204+$I$38-1),IF(AND($L$37=0,$P$34=0),"",$L$37-1)),0,YEARFRAC(MAX($P$34*($B204+$I$38-1),IF(AND($L$37=0,$P$34=0),"",$L$37-1)),MIN(BO$38,$E204),$P$20))-SUM($BF204:BN204))</f>
        <v>0</v>
      </c>
      <c r="BP204" s="446">
        <f>IF($E204=0,0,IF(MIN(BP$38,$E204)&lt;MAX($P$34*($B204+$I$38-1),IF(AND($L$37=0,$P$34=0),"",$L$37-1)),0,YEARFRAC(MAX($P$34*($B204+$I$38-1),IF(AND($L$37=0,$P$34=0),"",$L$37-1)),MIN(BP$38,$E204),$P$20))-SUM($BF204:BO204))</f>
        <v>0</v>
      </c>
      <c r="BQ204" s="446">
        <f>IF($E204=0,0,IF(MIN(BQ$38,$E204)&lt;MAX($P$34*($B204+$I$38-1),IF(AND($L$37=0,$P$34=0),"",$L$37-1)),0,YEARFRAC(MAX($P$34*($B204+$I$38-1),IF(AND($L$37=0,$P$34=0),"",$L$37-1)),MIN(BQ$38,$E204),$P$20))-SUM($BF204:BP204))</f>
        <v>0</v>
      </c>
      <c r="BR204" s="446">
        <f>IF($E204=0,0,IF(MIN(BR$38,$E204)&lt;MAX($P$34*($B204+$I$38-1),IF(AND($L$37=0,$P$34=0),"",$L$37-1)),0,YEARFRAC(MAX($P$34*($B204+$I$38-1),IF(AND($L$37=0,$P$34=0),"",$L$37-1)),MIN(BR$38,$E204),$P$20))-SUM($BF204:BQ204))</f>
        <v>0</v>
      </c>
      <c r="BS204" s="446">
        <f>IF($E204=0,0,IF(MIN(BS$38,$E204)&lt;MAX($P$34*($B204+$I$38-1),IF(AND($L$37=0,$P$34=0),"",$L$37-1)),0,YEARFRAC(MAX($P$34*($B204+$I$38-1),IF(AND($L$37=0,$P$34=0),"",$L$37-1)),MIN(BS$38,$E204),$P$20))-SUM($BF204:BR204))</f>
        <v>0</v>
      </c>
      <c r="BT204" s="446">
        <f>IF($E204=0,0,IF(MIN(BT$38,$E204)&lt;MAX($P$34*($B204+$I$38-1),IF(AND($L$37=0,$P$34=0),"",$L$37-1)),0,YEARFRAC(MAX($P$34*($B204+$I$38-1),IF(AND($L$37=0,$P$34=0),"",$L$37-1)),MIN(BT$38,$E204),$P$20))-SUM($BF204:BS204))</f>
        <v>0</v>
      </c>
      <c r="BU204" s="446">
        <f>IF($E204=0,0,IF(MIN(BU$38,$E204)&lt;MAX($P$34*($B204+$I$38-1),IF(AND($L$37=0,$P$34=0),"",$L$37-1)),0,YEARFRAC(MAX($P$34*($B204+$I$38-1),IF(AND($L$37=0,$P$34=0),"",$L$37-1)),MIN(BU$38,$E204),$P$20))-SUM($BF204:BT204))</f>
        <v>0</v>
      </c>
      <c r="BV204" s="446">
        <f>IF($E204=0,0,IF(MIN(BV$38,$E204)&lt;MAX($P$34*($B204+$I$38-1),IF(AND($L$37=0,$P$34=0),"",$L$37-1)),0,YEARFRAC(MAX($P$34*($B204+$I$38-1),IF(AND($L$37=0,$P$34=0),"",$L$37-1)),MIN(BV$38,$E204),$P$20))-SUM($BF204:BU204))</f>
        <v>0</v>
      </c>
      <c r="BW204" s="446">
        <f>IF($E204=0,0,IF(MIN(BW$38,$E204)&lt;MAX($P$34*($B204+$I$38-1),IF(AND($L$37=0,$P$34=0),"",$L$37-1)),0,YEARFRAC(MAX($P$34*($B204+$I$38-1),IF(AND($L$37=0,$P$34=0),"",$L$37-1)),MIN(BW$38,$E204),$P$20))-SUM($BF204:BV204))</f>
        <v>0</v>
      </c>
      <c r="BX204" s="446">
        <f>IF($E204=0,0,IF(MIN(BX$38,$E204)&lt;MAX($P$34*($B204+$I$38-1),IF(AND($L$37=0,$P$34=0),"",$L$37-1)),0,YEARFRAC(MAX($P$34*($B204+$I$38-1),IF(AND($L$37=0,$P$34=0),"",$L$37-1)),MIN(BX$38,$E204),$P$20))-SUM($BF204:BW204))</f>
        <v>0</v>
      </c>
      <c r="BY204" s="446">
        <f>IF($E204=0,0,IF(MIN(BY$38,$E204)&lt;MAX($P$34*($B204+$I$38-1),IF(AND($L$37=0,$P$34=0),"",$L$37-1)),0,YEARFRAC(MAX($P$34*($B204+$I$38-1),IF(AND($L$37=0,$P$34=0),"",$L$37-1)),MIN(BY$38,$E204),$P$20))-SUM($BF204:BX204))</f>
        <v>0</v>
      </c>
      <c r="BZ204" s="446">
        <f>IF($E204=0,0,IF(MIN(BZ$38,$E204)&lt;MAX($P$34*($B204+$I$38-1),IF(AND($L$37=0,$P$34=0),"",$L$37-1)),0,YEARFRAC(MAX($P$34*($B204+$I$38-1),IF(AND($L$37=0,$P$34=0),"",$L$37-1)),MIN(BZ$38,$E204),$P$20))-SUM($BF204:BY204))</f>
        <v>0</v>
      </c>
      <c r="CA204" s="446">
        <f>IF($E204=0,0,IF(MIN(CA$38,$E204)&lt;MAX($P$34*($B204+$I$38-1),IF(AND($L$37=0,$P$34=0),"",$L$37-1)),0,YEARFRAC(MAX($P$34*($B204+$I$38-1),IF(AND($L$37=0,$P$34=0),"",$L$37-1)),MIN(CA$38,$E204),$P$20))-SUM($BF204:BZ204))</f>
        <v>0</v>
      </c>
      <c r="CB204" s="446">
        <f>IF($E204=0,0,IF(MIN(CB$38,$E204)&lt;MAX($P$34*($B204+$I$38-1),IF(AND($L$37=0,$P$34=0),"",$L$37-1)),0,YEARFRAC(MAX($P$34*($B204+$I$38-1),IF(AND($L$37=0,$P$34=0),"",$L$37-1)),MIN(CB$38,$E204),$P$20))-SUM($BF204:CA204))</f>
        <v>0</v>
      </c>
      <c r="CC204" s="446">
        <f>IF($E204=0,0,IF(MIN(CC$38,$E204)&lt;MAX($P$34*($B204+$I$38-1),IF(AND($L$37=0,$P$34=0),"",$L$37-1)),0,YEARFRAC(MAX($P$34*($B204+$I$38-1),IF(AND($L$37=0,$P$34=0),"",$L$37-1)),MIN(CC$38,$E204),$P$20))-SUM($BF204:CB204))</f>
        <v>0</v>
      </c>
      <c r="CD204" s="446">
        <f>IF($E204=0,0,IF(MIN(CD$38,$E204)&lt;MAX($P$34*($B204+$I$38-1),IF(AND($L$37=0,$P$34=0),"",$L$37-1)),0,YEARFRAC(MAX($P$34*($B204+$I$38-1),IF(AND($L$37=0,$P$34=0),"",$L$37-1)),MIN(CD$38,$E204),$P$20))-SUM($BF204:CC204))</f>
        <v>0</v>
      </c>
      <c r="CE204" s="446">
        <f>IF($E204=0,0,IF(MIN(CE$38,$E204)&lt;MAX($P$34*($B204+$I$38-1),IF(AND($L$37=0,$P$34=0),"",$L$37-1)),0,YEARFRAC(MAX($P$34*($B204+$I$38-1),IF(AND($L$37=0,$P$34=0),"",$L$37-1)),MIN(CE$38,$E204),$P$20))-SUM($BF204:CD204))</f>
        <v>0</v>
      </c>
      <c r="CF204" s="446">
        <f>IF($E204=0,0,IF(MIN(CF$38,$E204)&lt;MAX($P$34*($B204+$I$38-1),IF(AND($L$37=0,$P$34=0),"",$L$37-1)),0,YEARFRAC(MAX($P$34*($B204+$I$38-1),IF(AND($L$37=0,$P$34=0),"",$L$37-1)),MIN(CF$38,$E204),$P$20))-SUM($BF204:CE204))</f>
        <v>0</v>
      </c>
      <c r="CG204" s="446">
        <f>IF($E204=0,0,IF(MIN(CG$38,$E204)&lt;MAX($P$34*($B204+$I$38-1),IF(AND($L$37=0,$P$34=0),"",$L$37-1)),0,YEARFRAC(MAX($P$34*($B204+$I$38-1),IF(AND($L$37=0,$P$34=0),"",$L$37-1)),MIN(CG$38,$E204),$P$20))-SUM($BF204:CF204))</f>
        <v>0</v>
      </c>
      <c r="CH204" s="446">
        <f>IF($E204=0,0,IF(MIN(CH$38,$E204)&lt;MAX($P$34*($B204+$I$38-1),IF(AND($L$37=0,$P$34=0),"",$L$37-1)),0,YEARFRAC(MAX($P$34*($B204+$I$38-1),IF(AND($L$37=0,$P$34=0),"",$L$37-1)),MIN(CH$38,$E204),$P$20))-SUM($BF204:CG204))</f>
        <v>0</v>
      </c>
      <c r="CI204" s="446">
        <f>IF($E204=0,0,IF(MIN(CI$38,$E204)&lt;MAX($P$34*($B204+$I$38-1),IF(AND($L$37=0,$P$34=0),"",$L$37-1)),0,YEARFRAC(MAX($P$34*($B204+$I$38-1),IF(AND($L$37=0,$P$34=0),"",$L$37-1)),MIN(CI$38,$E204),$P$20))-SUM($BF204:CH204))</f>
        <v>0</v>
      </c>
      <c r="CJ204" s="446">
        <f>IF($E204=0,0,IF(MIN(CJ$38,$E204)&lt;MAX($P$34*($B204+$I$38-1),IF(AND($L$37=0,$P$34=0),"",$L$37-1)),0,YEARFRAC(MAX($P$34*($B204+$I$38-1),IF(AND($L$37=0,$P$34=0),"",$L$37-1)),MIN(CJ$38,$E204),$P$20))-SUM($BF204:CI204))</f>
        <v>0</v>
      </c>
      <c r="CK204" s="446">
        <f>IF($E204=0,0,IF(MIN(CK$38,$E204)&lt;MAX($P$34*($B204+$I$38-1),IF(AND($L$37=0,$P$34=0),"",$L$37-1)),0,YEARFRAC(MAX($P$34*($B204+$I$38-1),IF(AND($L$37=0,$P$34=0),"",$L$37-1)),MIN(CK$38,$E204),$P$20))-SUM($BF204:CJ204))</f>
        <v>0</v>
      </c>
      <c r="CL204" s="446">
        <f>IF($E204=0,0,IF(MIN(CL$38,$E204)&lt;MAX($P$34*($B204+$I$38-1),IF(AND($L$37=0,$P$34=0),"",$L$37-1)),0,YEARFRAC(MAX($P$34*($B204+$I$38-1),IF(AND($L$37=0,$P$34=0),"",$L$37-1)),MIN(CL$38,$E204),$P$20))-SUM($BF204:CK204))</f>
        <v>0</v>
      </c>
      <c r="CM204" s="446">
        <f>IF($E204=0,0,IF(MIN(CM$38,$E204)&lt;MAX($P$34*($B204+$I$38-1),IF(AND($L$37=0,$P$34=0),"",$L$37-1)),0,YEARFRAC(MAX($P$34*($B204+$I$38-1),IF(AND($L$37=0,$P$34=0),"",$L$37-1)),MIN(CM$38,$E204),$P$20))-SUM($BF204:CL204))</f>
        <v>0</v>
      </c>
      <c r="CN204" s="446">
        <f>IF($E204=0,0,IF(MIN(CN$38,$E204)&lt;MAX($P$34*($B204+$I$38-1),IF(AND($L$37=0,$P$34=0),"",$L$37-1)),0,YEARFRAC(MAX($P$34*($B204+$I$38-1),IF(AND($L$37=0,$P$34=0),"",$L$37-1)),MIN(CN$38,$E204),$P$20))-SUM($BF204:CM204))</f>
        <v>0</v>
      </c>
      <c r="CO204" s="446">
        <f>IF($E204=0,0,IF(MIN(CO$38,$E204)&lt;MAX($P$34*($B204+$I$38-1),IF(AND($L$37=0,$P$34=0),"",$L$37-1)),0,YEARFRAC(MAX($P$34*($B204+$I$38-1),IF(AND($L$37=0,$P$34=0),"",$L$37-1)),MIN(CO$38,$E204),$P$20))-SUM($BF204:CN204))</f>
        <v>0</v>
      </c>
      <c r="CP204" s="446">
        <f>IF($E204=0,0,IF(MIN(CP$38,$E204)&lt;MAX($P$34*($B204+$I$38-1),IF(AND($L$37=0,$P$34=0),"",$L$37-1)),0,YEARFRAC(MAX($P$34*($B204+$I$38-1),IF(AND($L$37=0,$P$34=0),"",$L$37-1)),MIN(CP$38,$E204),$P$20))-SUM($BF204:CO204))</f>
        <v>0</v>
      </c>
      <c r="CQ204" s="446">
        <f>IF($E204=0,0,IF(MIN(CQ$38,$E204)&lt;MAX($P$34*($B204+$I$38-1),IF(AND($L$37=0,$P$34=0),"",$L$37-1)),0,YEARFRAC(MAX($P$34*($B204+$I$38-1),IF(AND($L$37=0,$P$34=0),"",$L$37-1)),MIN(CQ$38,$E204),$P$20))-SUM($BF204:CP204))</f>
        <v>0</v>
      </c>
    </row>
    <row r="205" spans="1:95" s="446" customFormat="1" ht="11.25" hidden="1" customHeight="1" x14ac:dyDescent="0.2">
      <c r="A205" s="152"/>
      <c r="B205" s="153" t="str">
        <f t="shared" si="37"/>
        <v/>
      </c>
      <c r="C205" s="29" t="str">
        <f>IF(B205="","",IF($L$35="SELIC - TRIBUTOS",VLOOKUP(DATE(YEAR($D$19),MONTH($D$19)-1,1),ÍNDICES!$A:$DE,HLOOKUP($BL$25,ÍNDICES!$B$3:$T$4,2)+11)-VLOOKUP(B205,ÍNDICES!$A:$DE,HLOOKUP($BL$25,ÍNDICES!$B$3:$T$4,2)+11)+1%,IF(C$38=$W$26,$J$35,IF(ISERROR(IF(B205&gt;$D$19,1,VLOOKUP(DATE(YEAR(B205),MONTH(B205)+IF($C$35=$S$23,1,0),1),ÍNDICES!$A:$DE,$Z$35+1))),"",IF(B205&gt;$D$19,1,VLOOKUP(DATE(YEAR(B205),MONTH(B205)+IF($C$35=$S$23,1,0),1),ÍNDICES!$A:$DE,$Z$35+1))))))</f>
        <v/>
      </c>
      <c r="D205" s="154" t="str">
        <f>IF(ISERROR(IF(OR($D$38=$Y$27,$B205=""),"",VLOOKUP(B205,ÍNDICES!A:DE,AF$35+1))),"",IF(OR($D$38=$Y$27,$B205=""),"",VLOOKUP(B205,ÍNDICES!A:DE,AF$35+1)))</f>
        <v/>
      </c>
      <c r="E205" s="153"/>
      <c r="F205" s="29" t="str">
        <f>IF(E205="","",IF($L$35="SELIC - TRIBUTOS",VLOOKUP(DATE(YEAR($D$19),MONTH($D$19)-1,1),ÍNDICES!$A:$DE,HLOOKUP($BL$25,ÍNDICES!$B$3:$T$4,2)+11)-VLOOKUP(E205,ÍNDICES!$A:$DE,HLOOKUP($BL$25,ÍNDICES!$B$3:$T$4,2)+11)+1%,IF(F$38=$W$26,$J$35,IF(ISERROR(IF(E205&gt;$D$19,1,VLOOKUP(DATE(YEAR(E205),MONTH(E205)+IF($C$35=$S$23,1,0),1),ÍNDICES!$A:$DE,$Z$35+1))),"",IF(E205&gt;$D$19,1,VLOOKUP(DATE(YEAR(E205),MONTH(E205)+IF($C$35=$S$23,1,0),1),ÍNDICES!$A:$DE,$Z$35+1))))))</f>
        <v/>
      </c>
      <c r="G205" s="155"/>
      <c r="H205" s="156" t="str">
        <f t="shared" si="33"/>
        <v/>
      </c>
      <c r="I205" s="29" t="str">
        <f t="shared" si="27"/>
        <v/>
      </c>
      <c r="J205" s="5">
        <f t="shared" si="28"/>
        <v>0</v>
      </c>
      <c r="K205" s="20">
        <f t="shared" ca="1" si="29"/>
        <v>0</v>
      </c>
      <c r="L205" s="5">
        <f t="shared" ca="1" si="30"/>
        <v>0</v>
      </c>
      <c r="M205" s="64">
        <f t="shared" si="34"/>
        <v>0</v>
      </c>
      <c r="N205" s="61">
        <f t="shared" ca="1" si="35"/>
        <v>0</v>
      </c>
      <c r="O205" s="5">
        <f t="shared" ca="1" si="36"/>
        <v>0</v>
      </c>
      <c r="P205" s="446" t="e">
        <f t="shared" si="31"/>
        <v>#VALUE!</v>
      </c>
      <c r="Q205" s="446" t="e">
        <f>IF(OR($B205="",MIN(Q$38,$D$19)&lt;MAX($P$34*($B205+IF($R$17="Distrato",$I$38-1,0)),IF(AND($L$37=0,$P$34=0),"",$L$37-1),IF($R$17="Distrato",$E205,0))),0,YEARFRAC(MAX($P$34*($B205+IF($R$17="Distrato",$I$38-1,0)),IF(AND($L$37=0,$P$34=0),"",$L$37-1),IF($R$17="Distrato",$E205,0)),MIN(Q$38,$D$19),$P$20))-SUM($P205:P205)</f>
        <v>#VALUE!</v>
      </c>
      <c r="R205" s="446" t="e">
        <f>IF(OR($B205="",MIN(R$38,$D$19)&lt;MAX($P$34*($B205+IF($R$17="Distrato",$I$38-1,0)),IF(AND($L$37=0,$P$34=0),"",$L$37-1),IF($R$17="Distrato",$E205,0))),0,YEARFRAC(MAX($P$34*($B205+IF($R$17="Distrato",$I$38-1,0)),IF(AND($L$37=0,$P$34=0),"",$L$37-1),IF($R$17="Distrato",$E205,0)),MIN(R$38,$D$19),$P$20))-SUM($P205:Q205)</f>
        <v>#VALUE!</v>
      </c>
      <c r="S205" s="446" t="e">
        <f>IF(OR($B205="",MIN(S$38,$D$19)&lt;MAX($P$34*($B205+IF($R$17="Distrato",$I$38-1,0)),IF(AND($L$37=0,$P$34=0),"",$L$37-1),IF($R$17="Distrato",$E205,0))),0,YEARFRAC(MAX($P$34*($B205+IF($R$17="Distrato",$I$38-1,0)),IF(AND($L$37=0,$P$34=0),"",$L$37-1),IF($R$17="Distrato",$E205,0)),MIN(S$38,$D$19),$P$20))-SUM($P205:R205)</f>
        <v>#VALUE!</v>
      </c>
      <c r="T205" s="446" t="e">
        <f>IF(OR($B205="",MIN(T$38,$D$19)&lt;MAX($P$34*($B205+IF($R$17="Distrato",$I$38-1,0)),IF(AND($L$37=0,$P$34=0),"",$L$37-1),IF($R$17="Distrato",$E205,0))),0,YEARFRAC(MAX($P$34*($B205+IF($R$17="Distrato",$I$38-1,0)),IF(AND($L$37=0,$P$34=0),"",$L$37-1),IF($R$17="Distrato",$E205,0)),MIN(T$38,$D$19),$P$20))-SUM($P205:S205)</f>
        <v>#VALUE!</v>
      </c>
      <c r="U205" s="446" t="e">
        <f>IF(OR($B205="",MIN(U$38,$D$19)&lt;MAX($P$34*($B205+IF($R$17="Distrato",$I$38-1,0)),IF(AND($L$37=0,$P$34=0),"",$L$37-1),IF($R$17="Distrato",$E205,0))),0,YEARFRAC(MAX($P$34*($B205+IF($R$17="Distrato",$I$38-1,0)),IF(AND($L$37=0,$P$34=0),"",$L$37-1),IF($R$17="Distrato",$E205,0)),MIN(U$38,$D$19),$P$20))-SUM($P205:T205)</f>
        <v>#VALUE!</v>
      </c>
      <c r="V205" s="446" t="e">
        <f>IF(OR($B205="",MIN(V$38,$D$19)&lt;MAX($P$34*($B205+IF($R$17="Distrato",$I$38-1,0)),IF(AND($L$37=0,$P$34=0),"",$L$37-1),IF($R$17="Distrato",$E205,0))),0,YEARFRAC(MAX($P$34*($B205+IF($R$17="Distrato",$I$38-1,0)),IF(AND($L$37=0,$P$34=0),"",$L$37-1),IF($R$17="Distrato",$E205,0)),MIN(V$38,$D$19),$P$20))-SUM($P205:U205)</f>
        <v>#VALUE!</v>
      </c>
      <c r="W205" s="446" t="e">
        <f>IF(OR($B205="",MIN(W$38,$D$19)&lt;MAX($P$34*($B205+IF($R$17="Distrato",$I$38-1,0)),IF(AND($L$37=0,$P$34=0),"",$L$37-1),IF($R$17="Distrato",$E205,0))),0,YEARFRAC(MAX($P$34*($B205+IF($R$17="Distrato",$I$38-1,0)),IF(AND($L$37=0,$P$34=0),"",$L$37-1),IF($R$17="Distrato",$E205,0)),MIN(W$38,$D$19),$P$20))-SUM($P205:V205)</f>
        <v>#VALUE!</v>
      </c>
      <c r="X205" s="446" t="e">
        <f>IF(OR($B205="",MIN(X$38,$D$19)&lt;MAX($P$34*($B205+IF($R$17="Distrato",$I$38-1,0)),IF(AND($L$37=0,$P$34=0),"",$L$37-1),IF($R$17="Distrato",$E205,0))),0,YEARFRAC(MAX($P$34*($B205+IF($R$17="Distrato",$I$38-1,0)),IF(AND($L$37=0,$P$34=0),"",$L$37-1),IF($R$17="Distrato",$E205,0)),MIN(X$38,$D$19),$P$20))-SUM($P205:W205)</f>
        <v>#VALUE!</v>
      </c>
      <c r="Y205" s="446" t="e">
        <f>IF(OR($B205="",MIN(Y$38,$D$19)&lt;MAX($P$34*($B205+IF($R$17="Distrato",$I$38-1,0)),IF(AND($L$37=0,$P$34=0),"",$L$37-1),IF($R$17="Distrato",$E205,0))),0,YEARFRAC(MAX($P$34*($B205+IF($R$17="Distrato",$I$38-1,0)),IF(AND($L$37=0,$P$34=0),"",$L$37-1),IF($R$17="Distrato",$E205,0)),MIN(Y$38,$D$19),$P$20))-SUM($P205:X205)</f>
        <v>#VALUE!</v>
      </c>
      <c r="Z205" s="446" t="e">
        <f>IF(OR($B205="",MIN(Z$38,$D$19)&lt;MAX($P$34*($B205+IF($R$17="Distrato",$I$38-1,0)),IF(AND($L$37=0,$P$34=0),"",$L$37-1),IF($R$17="Distrato",$E205,0))),0,YEARFRAC(MAX($P$34*($B205+IF($R$17="Distrato",$I$38-1,0)),IF(AND($L$37=0,$P$34=0),"",$L$37-1),IF($R$17="Distrato",$E205,0)),MIN(Z$38,$D$19),$P$20))-SUM($P205:Y205)</f>
        <v>#VALUE!</v>
      </c>
      <c r="AA205" s="446" t="e">
        <f>IF(OR($B205="",MIN(AA$38,$D$19)&lt;MAX($P$34*($B205+IF($R$17="Distrato",$I$38-1,0)),IF(AND($L$37=0,$P$34=0),"",$L$37-1),IF($R$17="Distrato",$E205,0))),0,YEARFRAC(MAX($P$34*($B205+IF($R$17="Distrato",$I$38-1,0)),IF(AND($L$37=0,$P$34=0),"",$L$37-1),IF($R$17="Distrato",$E205,0)),MIN(AA$38,$D$19),$P$20))-SUM($P205:Z205)</f>
        <v>#VALUE!</v>
      </c>
      <c r="AB205" s="446" t="e">
        <f>IF(OR($B205="",MIN(AB$38,$D$19)&lt;MAX($P$34*($B205+IF($R$17="Distrato",$I$38-1,0)),IF(AND($L$37=0,$P$34=0),"",$L$37-1),IF($R$17="Distrato",$E205,0))),0,YEARFRAC(MAX($P$34*($B205+IF($R$17="Distrato",$I$38-1,0)),IF(AND($L$37=0,$P$34=0),"",$L$37-1),IF($R$17="Distrato",$E205,0)),MIN(AB$38,$D$19),$P$20))-SUM($P205:AA205)</f>
        <v>#VALUE!</v>
      </c>
      <c r="AC205" s="446" t="e">
        <f>IF(OR($B205="",MIN(AC$38,$D$19)&lt;MAX($P$34*($B205+IF($R$17="Distrato",$I$38-1,0)),IF(AND($L$37=0,$P$34=0),"",$L$37-1),IF($R$17="Distrato",$E205,0))),0,YEARFRAC(MAX($P$34*($B205+IF($R$17="Distrato",$I$38-1,0)),IF(AND($L$37=0,$P$34=0),"",$L$37-1),IF($R$17="Distrato",$E205,0)),MIN(AC$38,$D$19),$P$20))-SUM($P205:AB205)</f>
        <v>#VALUE!</v>
      </c>
      <c r="AD205" s="446" t="e">
        <f>IF(OR($B205="",MIN(AD$38,$D$19)&lt;MAX($P$34*($B205+IF($R$17="Distrato",$I$38-1,0)),IF(AND($L$37=0,$P$34=0),"",$L$37-1),IF($R$17="Distrato",$E205,0))),0,YEARFRAC(MAX($P$34*($B205+IF($R$17="Distrato",$I$38-1,0)),IF(AND($L$37=0,$P$34=0),"",$L$37-1),IF($R$17="Distrato",$E205,0)),MIN(AD$38,$D$19),$P$20))-SUM($P205:AC205)</f>
        <v>#VALUE!</v>
      </c>
      <c r="AE205" s="446" t="e">
        <f>IF(OR($B205="",MIN(AE$38,$D$19)&lt;MAX($P$34*($B205+IF($R$17="Distrato",$I$38-1,0)),IF(AND($L$37=0,$P$34=0),"",$L$37-1),IF($R$17="Distrato",$E205,0))),0,YEARFRAC(MAX($P$34*($B205+IF($R$17="Distrato",$I$38-1,0)),IF(AND($L$37=0,$P$34=0),"",$L$37-1),IF($R$17="Distrato",$E205,0)),MIN(AE$38,$D$19),$P$20))-SUM($P205:AD205)</f>
        <v>#VALUE!</v>
      </c>
      <c r="AF205" s="446" t="e">
        <f>IF(OR($B205="",MIN(AF$38,$D$19)&lt;MAX($P$34*($B205+IF($R$17="Distrato",$I$38-1,0)),IF(AND($L$37=0,$P$34=0),"",$L$37-1),IF($R$17="Distrato",$E205,0))),0,YEARFRAC(MAX($P$34*($B205+IF($R$17="Distrato",$I$38-1,0)),IF(AND($L$37=0,$P$34=0),"",$L$37-1),IF($R$17="Distrato",$E205,0)),MIN(AF$38,$D$19),$P$20))-SUM($P205:AE205)</f>
        <v>#VALUE!</v>
      </c>
      <c r="AG205" s="446" t="e">
        <f>IF(OR($B205="",MIN(AG$38,$D$19)&lt;MAX($P$34*($B205+IF($R$17="Distrato",$I$38-1,0)),IF(AND($L$37=0,$P$34=0),"",$L$37-1),IF($R$17="Distrato",$E205,0))),0,YEARFRAC(MAX($P$34*($B205+IF($R$17="Distrato",$I$38-1,0)),IF(AND($L$37=0,$P$34=0),"",$L$37-1),IF($R$17="Distrato",$E205,0)),MIN(AG$38,$D$19),$P$20))-SUM($P205:AF205)</f>
        <v>#VALUE!</v>
      </c>
      <c r="AH205" s="446" t="e">
        <f>IF(OR($B205="",MIN(AH$38,$D$19)&lt;MAX($P$34*($B205+IF($R$17="Distrato",$I$38-1,0)),IF(AND($L$37=0,$P$34=0),"",$L$37-1),IF($R$17="Distrato",$E205,0))),0,YEARFRAC(MAX($P$34*($B205+IF($R$17="Distrato",$I$38-1,0)),IF(AND($L$37=0,$P$34=0),"",$L$37-1),IF($R$17="Distrato",$E205,0)),MIN(AH$38,$D$19),$P$20))-SUM($P205:AG205)</f>
        <v>#VALUE!</v>
      </c>
      <c r="AI205" s="446" t="e">
        <f>IF(OR($B205="",MIN(AI$38,$D$19)&lt;MAX($P$34*($B205+IF($R$17="Distrato",$I$38-1,0)),IF(AND($L$37=0,$P$34=0),"",$L$37-1),IF($R$17="Distrato",$E205,0))),0,YEARFRAC(MAX($P$34*($B205+IF($R$17="Distrato",$I$38-1,0)),IF(AND($L$37=0,$P$34=0),"",$L$37-1),IF($R$17="Distrato",$E205,0)),MIN(AI$38,$D$19),$P$20))-SUM($P205:AH205)</f>
        <v>#VALUE!</v>
      </c>
      <c r="AJ205" s="446" t="e">
        <f>IF(OR($B205="",MIN(AJ$38,$D$19)&lt;MAX($P$34*($B205+IF($R$17="Distrato",$I$38-1,0)),IF(AND($L$37=0,$P$34=0),"",$L$37-1),IF($R$17="Distrato",$E205,0))),0,YEARFRAC(MAX($P$34*($B205+IF($R$17="Distrato",$I$38-1,0)),IF(AND($L$37=0,$P$34=0),"",$L$37-1),IF($R$17="Distrato",$E205,0)),MIN(AJ$38,$D$19),$P$20))-SUM($P205:AI205)</f>
        <v>#VALUE!</v>
      </c>
      <c r="AK205" s="446" t="e">
        <f>IF(OR($B205="",MIN(AK$38,$D$19)&lt;MAX($P$34*($B205+IF($R$17="Distrato",$I$38-1,0)),IF(AND($L$37=0,$P$34=0),"",$L$37-1),IF($R$17="Distrato",$E205,0))),0,YEARFRAC(MAX($P$34*($B205+IF($R$17="Distrato",$I$38-1,0)),IF(AND($L$37=0,$P$34=0),"",$L$37-1),IF($R$17="Distrato",$E205,0)),MIN(AK$38,$D$19),$P$20))-SUM($P205:AJ205)</f>
        <v>#VALUE!</v>
      </c>
      <c r="AL205" s="446" t="e">
        <f>IF(OR($B205="",MIN(AL$38,$D$19)&lt;MAX($P$34*($B205+IF($R$17="Distrato",$I$38-1,0)),IF(AND($L$37=0,$P$34=0),"",$L$37-1),IF($R$17="Distrato",$E205,0))),0,YEARFRAC(MAX($P$34*($B205+IF($R$17="Distrato",$I$38-1,0)),IF(AND($L$37=0,$P$34=0),"",$L$37-1),IF($R$17="Distrato",$E205,0)),MIN(AL$38,$D$19),$P$20))-SUM($P205:AK205)</f>
        <v>#VALUE!</v>
      </c>
      <c r="AM205" s="446" t="e">
        <f>IF(OR($B205="",MIN(AM$38,$D$19)&lt;MAX($P$34*($B205+IF($R$17="Distrato",$I$38-1,0)),IF(AND($L$37=0,$P$34=0),"",$L$37-1),IF($R$17="Distrato",$E205,0))),0,YEARFRAC(MAX($P$34*($B205+IF($R$17="Distrato",$I$38-1,0)),IF(AND($L$37=0,$P$34=0),"",$L$37-1),IF($R$17="Distrato",$E205,0)),MIN(AM$38,$D$19),$P$20))-SUM($P205:AL205)</f>
        <v>#VALUE!</v>
      </c>
      <c r="AN205" s="446" t="e">
        <f>IF(OR($B205="",MIN(AN$38,$D$19)&lt;MAX($P$34*($B205+IF($R$17="Distrato",$I$38-1,0)),IF(AND($L$37=0,$P$34=0),"",$L$37-1),IF($R$17="Distrato",$E205,0))),0,YEARFRAC(MAX($P$34*($B205+IF($R$17="Distrato",$I$38-1,0)),IF(AND($L$37=0,$P$34=0),"",$L$37-1),IF($R$17="Distrato",$E205,0)),MIN(AN$38,$D$19),$P$20))-SUM($P205:AM205)</f>
        <v>#VALUE!</v>
      </c>
      <c r="AO205" s="446" t="e">
        <f>IF(OR($B205="",MIN(AO$38,$D$19)&lt;MAX($P$34*($B205+IF($R$17="Distrato",$I$38-1,0)),IF(AND($L$37=0,$P$34=0),"",$L$37-1),IF($R$17="Distrato",$E205,0))),0,YEARFRAC(MAX($P$34*($B205+IF($R$17="Distrato",$I$38-1,0)),IF(AND($L$37=0,$P$34=0),"",$L$37-1),IF($R$17="Distrato",$E205,0)),MIN(AO$38,$D$19),$P$20))-SUM($P205:AN205)</f>
        <v>#VALUE!</v>
      </c>
      <c r="AP205" s="446" t="e">
        <f>IF(OR($B205="",MIN(AP$38,$D$19)&lt;MAX($P$34*($B205+IF($R$17="Distrato",$I$38-1,0)),IF(AND($L$37=0,$P$34=0),"",$L$37-1),IF($R$17="Distrato",$E205,0))),0,YEARFRAC(MAX($P$34*($B205+IF($R$17="Distrato",$I$38-1,0)),IF(AND($L$37=0,$P$34=0),"",$L$37-1),IF($R$17="Distrato",$E205,0)),MIN(AP$38,$D$19),$P$20))-SUM($P205:AO205)</f>
        <v>#VALUE!</v>
      </c>
      <c r="AQ205" s="446" t="e">
        <f>IF(OR($B205="",MIN(AQ$38,$D$19)&lt;MAX($P$34*($B205+IF($R$17="Distrato",$I$38-1,0)),IF(AND($L$37=0,$P$34=0),"",$L$37-1),IF($R$17="Distrato",$E205,0))),0,YEARFRAC(MAX($P$34*($B205+IF($R$17="Distrato",$I$38-1,0)),IF(AND($L$37=0,$P$34=0),"",$L$37-1),IF($R$17="Distrato",$E205,0)),MIN(AQ$38,$D$19),$P$20))-SUM($P205:AP205)</f>
        <v>#VALUE!</v>
      </c>
      <c r="AR205" s="446" t="e">
        <f>IF(OR($B205="",MIN(AR$38,$D$19)&lt;MAX($P$34*($B205+IF($R$17="Distrato",$I$38-1,0)),IF(AND($L$37=0,$P$34=0),"",$L$37-1),IF($R$17="Distrato",$E205,0))),0,YEARFRAC(MAX($P$34*($B205+IF($R$17="Distrato",$I$38-1,0)),IF(AND($L$37=0,$P$34=0),"",$L$37-1),IF($R$17="Distrato",$E205,0)),MIN(AR$38,$D$19),$P$20))-SUM($P205:AQ205)</f>
        <v>#VALUE!</v>
      </c>
      <c r="AS205" s="446" t="e">
        <f>IF(OR($B205="",MIN(AS$38,$D$19)&lt;MAX($P$34*($B205+IF($R$17="Distrato",$I$38-1,0)),IF(AND($L$37=0,$P$34=0),"",$L$37-1),IF($R$17="Distrato",$E205,0))),0,YEARFRAC(MAX($P$34*($B205+IF($R$17="Distrato",$I$38-1,0)),IF(AND($L$37=0,$P$34=0),"",$L$37-1),IF($R$17="Distrato",$E205,0)),MIN(AS$38,$D$19),$P$20))-SUM($P205:AR205)</f>
        <v>#VALUE!</v>
      </c>
      <c r="AT205" s="446" t="e">
        <f>IF(OR($B205="",MIN(AT$38,$D$19)&lt;MAX($P$34*($B205+IF($R$17="Distrato",$I$38-1,0)),IF(AND($L$37=0,$P$34=0),"",$L$37-1),IF($R$17="Distrato",$E205,0))),0,YEARFRAC(MAX($P$34*($B205+IF($R$17="Distrato",$I$38-1,0)),IF(AND($L$37=0,$P$34=0),"",$L$37-1),IF($R$17="Distrato",$E205,0)),MIN(AT$38,$D$19),$P$20))-SUM($P205:AS205)</f>
        <v>#VALUE!</v>
      </c>
      <c r="AU205" s="446" t="e">
        <f>IF(OR($B205="",MIN(AU$38,$D$19)&lt;MAX($P$34*($B205+IF($R$17="Distrato",$I$38-1,0)),IF(AND($L$37=0,$P$34=0),"",$L$37-1),IF($R$17="Distrato",$E205,0))),0,YEARFRAC(MAX($P$34*($B205+IF($R$17="Distrato",$I$38-1,0)),IF(AND($L$37=0,$P$34=0),"",$L$37-1),IF($R$17="Distrato",$E205,0)),MIN(AU$38,$D$19),$P$20))-SUM($P205:AT205)</f>
        <v>#VALUE!</v>
      </c>
      <c r="AV205" s="446" t="e">
        <f>IF(OR($B205="",MIN(AV$38,$D$19)&lt;MAX($P$34*($B205+IF($R$17="Distrato",$I$38-1,0)),IF(AND($L$37=0,$P$34=0),"",$L$37-1),IF($R$17="Distrato",$E205,0))),0,YEARFRAC(MAX($P$34*($B205+IF($R$17="Distrato",$I$38-1,0)),IF(AND($L$37=0,$P$34=0),"",$L$37-1),IF($R$17="Distrato",$E205,0)),MIN(AV$38,$D$19),$P$20))-SUM($P205:AU205)</f>
        <v>#VALUE!</v>
      </c>
      <c r="AW205" s="446" t="e">
        <f>IF(OR($B205="",MIN(AW$38,$D$19)&lt;MAX($P$34*($B205+IF($R$17="Distrato",$I$38-1,0)),IF(AND($L$37=0,$P$34=0),"",$L$37-1),IF($R$17="Distrato",$E205,0))),0,YEARFRAC(MAX($P$34*($B205+IF($R$17="Distrato",$I$38-1,0)),IF(AND($L$37=0,$P$34=0),"",$L$37-1),IF($R$17="Distrato",$E205,0)),MIN(AW$38,$D$19),$P$20))-SUM($P205:AV205)</f>
        <v>#VALUE!</v>
      </c>
      <c r="AX205" s="446" t="e">
        <f>IF(OR($B205="",MIN(AX$38,$D$19)&lt;MAX($P$34*($B205+IF($R$17="Distrato",$I$38-1,0)),IF(AND($L$37=0,$P$34=0),"",$L$37-1),IF($R$17="Distrato",$E205,0))),0,YEARFRAC(MAX($P$34*($B205+IF($R$17="Distrato",$I$38-1,0)),IF(AND($L$37=0,$P$34=0),"",$L$37-1),IF($R$17="Distrato",$E205,0)),MIN(AX$38,$D$19),$P$20))-SUM($P205:AW205)</f>
        <v>#VALUE!</v>
      </c>
      <c r="AY205" s="446" t="e">
        <f>IF(OR($B205="",MIN(AY$38,$D$19)&lt;MAX($P$34*($B205+IF($R$17="Distrato",$I$38-1,0)),IF(AND($L$37=0,$P$34=0),"",$L$37-1),IF($R$17="Distrato",$E205,0))),0,YEARFRAC(MAX($P$34*($B205+IF($R$17="Distrato",$I$38-1,0)),IF(AND($L$37=0,$P$34=0),"",$L$37-1),IF($R$17="Distrato",$E205,0)),MIN(AY$38,$D$19),$P$20))-SUM($P205:AX205)</f>
        <v>#VALUE!</v>
      </c>
      <c r="AZ205" s="446" t="e">
        <f>IF(OR($B205="",MIN(AZ$38,$D$19)&lt;MAX($P$34*($B205+IF($R$17="Distrato",$I$38-1,0)),IF(AND($L$37=0,$P$34=0),"",$L$37-1),IF($R$17="Distrato",$E205,0))),0,YEARFRAC(MAX($P$34*($B205+IF($R$17="Distrato",$I$38-1,0)),IF(AND($L$37=0,$P$34=0),"",$L$37-1),IF($R$17="Distrato",$E205,0)),MIN(AZ$38,$D$19),$P$20))-SUM($P205:AY205)</f>
        <v>#VALUE!</v>
      </c>
      <c r="BA205" s="446" t="e">
        <f>IF(OR($B205="",MIN(BA$38,$D$19)&lt;MAX($P$34*($B205+IF($R$17="Distrato",$I$38-1,0)),IF(AND($L$37=0,$P$34=0),"",$L$37-1),IF($R$17="Distrato",$E205,0))),0,YEARFRAC(MAX($P$34*($B205+IF($R$17="Distrato",$I$38-1,0)),IF(AND($L$37=0,$P$34=0),"",$L$37-1),IF($R$17="Distrato",$E205,0)),MIN(BA$38,$D$19),$P$20))-SUM($P205:AZ205)</f>
        <v>#VALUE!</v>
      </c>
      <c r="BB205" s="447"/>
      <c r="BF205" s="446">
        <f t="shared" si="32"/>
        <v>0</v>
      </c>
      <c r="BG205" s="446">
        <f>IF($E205=0,0,IF(MIN(BG$38,$E205)&lt;MAX($P$34*($B205+$I$38-1),IF(AND($L$37=0,$P$34=0),"",$L$37-1)),0,YEARFRAC(MAX($P$34*($B205+$I$38-1),IF(AND($L$37=0,$P$34=0),"",$L$37-1)),MIN(BG$38,$E205),$P$20))-SUM($BF205:BF205))</f>
        <v>0</v>
      </c>
      <c r="BH205" s="446">
        <f>IF($E205=0,0,IF(MIN(BH$38,$E205)&lt;MAX($P$34*($B205+$I$38-1),IF(AND($L$37=0,$P$34=0),"",$L$37-1)),0,YEARFRAC(MAX($P$34*($B205+$I$38-1),IF(AND($L$37=0,$P$34=0),"",$L$37-1)),MIN(BH$38,$E205),$P$20))-SUM($BF205:BG205))</f>
        <v>0</v>
      </c>
      <c r="BI205" s="446">
        <f>IF($E205=0,0,IF(MIN(BI$38,$E205)&lt;MAX($P$34*($B205+$I$38-1),IF(AND($L$37=0,$P$34=0),"",$L$37-1)),0,YEARFRAC(MAX($P$34*($B205+$I$38-1),IF(AND($L$37=0,$P$34=0),"",$L$37-1)),MIN(BI$38,$E205),$P$20))-SUM($BF205:BH205))</f>
        <v>0</v>
      </c>
      <c r="BJ205" s="446">
        <f>IF($E205=0,0,IF(MIN(BJ$38,$E205)&lt;MAX($P$34*($B205+$I$38-1),IF(AND($L$37=0,$P$34=0),"",$L$37-1)),0,YEARFRAC(MAX($P$34*($B205+$I$38-1),IF(AND($L$37=0,$P$34=0),"",$L$37-1)),MIN(BJ$38,$E205),$P$20))-SUM($BF205:BI205))</f>
        <v>0</v>
      </c>
      <c r="BK205" s="446">
        <f>IF($E205=0,0,IF(MIN(BK$38,$E205)&lt;MAX($P$34*($B205+$I$38-1),IF(AND($L$37=0,$P$34=0),"",$L$37-1)),0,YEARFRAC(MAX($P$34*($B205+$I$38-1),IF(AND($L$37=0,$P$34=0),"",$L$37-1)),MIN(BK$38,$E205),$P$20))-SUM($BF205:BJ205))</f>
        <v>0</v>
      </c>
      <c r="BL205" s="446">
        <f>IF($E205=0,0,IF(MIN(BL$38,$E205)&lt;MAX($P$34*($B205+$I$38-1),IF(AND($L$37=0,$P$34=0),"",$L$37-1)),0,YEARFRAC(MAX($P$34*($B205+$I$38-1),IF(AND($L$37=0,$P$34=0),"",$L$37-1)),MIN(BL$38,$E205),$P$20))-SUM($BF205:BK205))</f>
        <v>0</v>
      </c>
      <c r="BM205" s="446">
        <f>IF($E205=0,0,IF(MIN(BM$38,$E205)&lt;MAX($P$34*($B205+$I$38-1),IF(AND($L$37=0,$P$34=0),"",$L$37-1)),0,YEARFRAC(MAX($P$34*($B205+$I$38-1),IF(AND($L$37=0,$P$34=0),"",$L$37-1)),MIN(BM$38,$E205),$P$20))-SUM($BF205:BL205))</f>
        <v>0</v>
      </c>
      <c r="BN205" s="446">
        <f>IF($E205=0,0,IF(MIN(BN$38,$E205)&lt;MAX($P$34*($B205+$I$38-1),IF(AND($L$37=0,$P$34=0),"",$L$37-1)),0,YEARFRAC(MAX($P$34*($B205+$I$38-1),IF(AND($L$37=0,$P$34=0),"",$L$37-1)),MIN(BN$38,$E205),$P$20))-SUM($BF205:BM205))</f>
        <v>0</v>
      </c>
      <c r="BO205" s="446">
        <f>IF($E205=0,0,IF(MIN(BO$38,$E205)&lt;MAX($P$34*($B205+$I$38-1),IF(AND($L$37=0,$P$34=0),"",$L$37-1)),0,YEARFRAC(MAX($P$34*($B205+$I$38-1),IF(AND($L$37=0,$P$34=0),"",$L$37-1)),MIN(BO$38,$E205),$P$20))-SUM($BF205:BN205))</f>
        <v>0</v>
      </c>
      <c r="BP205" s="446">
        <f>IF($E205=0,0,IF(MIN(BP$38,$E205)&lt;MAX($P$34*($B205+$I$38-1),IF(AND($L$37=0,$P$34=0),"",$L$37-1)),0,YEARFRAC(MAX($P$34*($B205+$I$38-1),IF(AND($L$37=0,$P$34=0),"",$L$37-1)),MIN(BP$38,$E205),$P$20))-SUM($BF205:BO205))</f>
        <v>0</v>
      </c>
      <c r="BQ205" s="446">
        <f>IF($E205=0,0,IF(MIN(BQ$38,$E205)&lt;MAX($P$34*($B205+$I$38-1),IF(AND($L$37=0,$P$34=0),"",$L$37-1)),0,YEARFRAC(MAX($P$34*($B205+$I$38-1),IF(AND($L$37=0,$P$34=0),"",$L$37-1)),MIN(BQ$38,$E205),$P$20))-SUM($BF205:BP205))</f>
        <v>0</v>
      </c>
      <c r="BR205" s="446">
        <f>IF($E205=0,0,IF(MIN(BR$38,$E205)&lt;MAX($P$34*($B205+$I$38-1),IF(AND($L$37=0,$P$34=0),"",$L$37-1)),0,YEARFRAC(MAX($P$34*($B205+$I$38-1),IF(AND($L$37=0,$P$34=0),"",$L$37-1)),MIN(BR$38,$E205),$P$20))-SUM($BF205:BQ205))</f>
        <v>0</v>
      </c>
      <c r="BS205" s="446">
        <f>IF($E205=0,0,IF(MIN(BS$38,$E205)&lt;MAX($P$34*($B205+$I$38-1),IF(AND($L$37=0,$P$34=0),"",$L$37-1)),0,YEARFRAC(MAX($P$34*($B205+$I$38-1),IF(AND($L$37=0,$P$34=0),"",$L$37-1)),MIN(BS$38,$E205),$P$20))-SUM($BF205:BR205))</f>
        <v>0</v>
      </c>
      <c r="BT205" s="446">
        <f>IF($E205=0,0,IF(MIN(BT$38,$E205)&lt;MAX($P$34*($B205+$I$38-1),IF(AND($L$37=0,$P$34=0),"",$L$37-1)),0,YEARFRAC(MAX($P$34*($B205+$I$38-1),IF(AND($L$37=0,$P$34=0),"",$L$37-1)),MIN(BT$38,$E205),$P$20))-SUM($BF205:BS205))</f>
        <v>0</v>
      </c>
      <c r="BU205" s="446">
        <f>IF($E205=0,0,IF(MIN(BU$38,$E205)&lt;MAX($P$34*($B205+$I$38-1),IF(AND($L$37=0,$P$34=0),"",$L$37-1)),0,YEARFRAC(MAX($P$34*($B205+$I$38-1),IF(AND($L$37=0,$P$34=0),"",$L$37-1)),MIN(BU$38,$E205),$P$20))-SUM($BF205:BT205))</f>
        <v>0</v>
      </c>
      <c r="BV205" s="446">
        <f>IF($E205=0,0,IF(MIN(BV$38,$E205)&lt;MAX($P$34*($B205+$I$38-1),IF(AND($L$37=0,$P$34=0),"",$L$37-1)),0,YEARFRAC(MAX($P$34*($B205+$I$38-1),IF(AND($L$37=0,$P$34=0),"",$L$37-1)),MIN(BV$38,$E205),$P$20))-SUM($BF205:BU205))</f>
        <v>0</v>
      </c>
      <c r="BW205" s="446">
        <f>IF($E205=0,0,IF(MIN(BW$38,$E205)&lt;MAX($P$34*($B205+$I$38-1),IF(AND($L$37=0,$P$34=0),"",$L$37-1)),0,YEARFRAC(MAX($P$34*($B205+$I$38-1),IF(AND($L$37=0,$P$34=0),"",$L$37-1)),MIN(BW$38,$E205),$P$20))-SUM($BF205:BV205))</f>
        <v>0</v>
      </c>
      <c r="BX205" s="446">
        <f>IF($E205=0,0,IF(MIN(BX$38,$E205)&lt;MAX($P$34*($B205+$I$38-1),IF(AND($L$37=0,$P$34=0),"",$L$37-1)),0,YEARFRAC(MAX($P$34*($B205+$I$38-1),IF(AND($L$37=0,$P$34=0),"",$L$37-1)),MIN(BX$38,$E205),$P$20))-SUM($BF205:BW205))</f>
        <v>0</v>
      </c>
      <c r="BY205" s="446">
        <f>IF($E205=0,0,IF(MIN(BY$38,$E205)&lt;MAX($P$34*($B205+$I$38-1),IF(AND($L$37=0,$P$34=0),"",$L$37-1)),0,YEARFRAC(MAX($P$34*($B205+$I$38-1),IF(AND($L$37=0,$P$34=0),"",$L$37-1)),MIN(BY$38,$E205),$P$20))-SUM($BF205:BX205))</f>
        <v>0</v>
      </c>
      <c r="BZ205" s="446">
        <f>IF($E205=0,0,IF(MIN(BZ$38,$E205)&lt;MAX($P$34*($B205+$I$38-1),IF(AND($L$37=0,$P$34=0),"",$L$37-1)),0,YEARFRAC(MAX($P$34*($B205+$I$38-1),IF(AND($L$37=0,$P$34=0),"",$L$37-1)),MIN(BZ$38,$E205),$P$20))-SUM($BF205:BY205))</f>
        <v>0</v>
      </c>
      <c r="CA205" s="446">
        <f>IF($E205=0,0,IF(MIN(CA$38,$E205)&lt;MAX($P$34*($B205+$I$38-1),IF(AND($L$37=0,$P$34=0),"",$L$37-1)),0,YEARFRAC(MAX($P$34*($B205+$I$38-1),IF(AND($L$37=0,$P$34=0),"",$L$37-1)),MIN(CA$38,$E205),$P$20))-SUM($BF205:BZ205))</f>
        <v>0</v>
      </c>
      <c r="CB205" s="446">
        <f>IF($E205=0,0,IF(MIN(CB$38,$E205)&lt;MAX($P$34*($B205+$I$38-1),IF(AND($L$37=0,$P$34=0),"",$L$37-1)),0,YEARFRAC(MAX($P$34*($B205+$I$38-1),IF(AND($L$37=0,$P$34=0),"",$L$37-1)),MIN(CB$38,$E205),$P$20))-SUM($BF205:CA205))</f>
        <v>0</v>
      </c>
      <c r="CC205" s="446">
        <f>IF($E205=0,0,IF(MIN(CC$38,$E205)&lt;MAX($P$34*($B205+$I$38-1),IF(AND($L$37=0,$P$34=0),"",$L$37-1)),0,YEARFRAC(MAX($P$34*($B205+$I$38-1),IF(AND($L$37=0,$P$34=0),"",$L$37-1)),MIN(CC$38,$E205),$P$20))-SUM($BF205:CB205))</f>
        <v>0</v>
      </c>
      <c r="CD205" s="446">
        <f>IF($E205=0,0,IF(MIN(CD$38,$E205)&lt;MAX($P$34*($B205+$I$38-1),IF(AND($L$37=0,$P$34=0),"",$L$37-1)),0,YEARFRAC(MAX($P$34*($B205+$I$38-1),IF(AND($L$37=0,$P$34=0),"",$L$37-1)),MIN(CD$38,$E205),$P$20))-SUM($BF205:CC205))</f>
        <v>0</v>
      </c>
      <c r="CE205" s="446">
        <f>IF($E205=0,0,IF(MIN(CE$38,$E205)&lt;MAX($P$34*($B205+$I$38-1),IF(AND($L$37=0,$P$34=0),"",$L$37-1)),0,YEARFRAC(MAX($P$34*($B205+$I$38-1),IF(AND($L$37=0,$P$34=0),"",$L$37-1)),MIN(CE$38,$E205),$P$20))-SUM($BF205:CD205))</f>
        <v>0</v>
      </c>
      <c r="CF205" s="446">
        <f>IF($E205=0,0,IF(MIN(CF$38,$E205)&lt;MAX($P$34*($B205+$I$38-1),IF(AND($L$37=0,$P$34=0),"",$L$37-1)),0,YEARFRAC(MAX($P$34*($B205+$I$38-1),IF(AND($L$37=0,$P$34=0),"",$L$37-1)),MIN(CF$38,$E205),$P$20))-SUM($BF205:CE205))</f>
        <v>0</v>
      </c>
      <c r="CG205" s="446">
        <f>IF($E205=0,0,IF(MIN(CG$38,$E205)&lt;MAX($P$34*($B205+$I$38-1),IF(AND($L$37=0,$P$34=0),"",$L$37-1)),0,YEARFRAC(MAX($P$34*($B205+$I$38-1),IF(AND($L$37=0,$P$34=0),"",$L$37-1)),MIN(CG$38,$E205),$P$20))-SUM($BF205:CF205))</f>
        <v>0</v>
      </c>
      <c r="CH205" s="446">
        <f>IF($E205=0,0,IF(MIN(CH$38,$E205)&lt;MAX($P$34*($B205+$I$38-1),IF(AND($L$37=0,$P$34=0),"",$L$37-1)),0,YEARFRAC(MAX($P$34*($B205+$I$38-1),IF(AND($L$37=0,$P$34=0),"",$L$37-1)),MIN(CH$38,$E205),$P$20))-SUM($BF205:CG205))</f>
        <v>0</v>
      </c>
      <c r="CI205" s="446">
        <f>IF($E205=0,0,IF(MIN(CI$38,$E205)&lt;MAX($P$34*($B205+$I$38-1),IF(AND($L$37=0,$P$34=0),"",$L$37-1)),0,YEARFRAC(MAX($P$34*($B205+$I$38-1),IF(AND($L$37=0,$P$34=0),"",$L$37-1)),MIN(CI$38,$E205),$P$20))-SUM($BF205:CH205))</f>
        <v>0</v>
      </c>
      <c r="CJ205" s="446">
        <f>IF($E205=0,0,IF(MIN(CJ$38,$E205)&lt;MAX($P$34*($B205+$I$38-1),IF(AND($L$37=0,$P$34=0),"",$L$37-1)),0,YEARFRAC(MAX($P$34*($B205+$I$38-1),IF(AND($L$37=0,$P$34=0),"",$L$37-1)),MIN(CJ$38,$E205),$P$20))-SUM($BF205:CI205))</f>
        <v>0</v>
      </c>
      <c r="CK205" s="446">
        <f>IF($E205=0,0,IF(MIN(CK$38,$E205)&lt;MAX($P$34*($B205+$I$38-1),IF(AND($L$37=0,$P$34=0),"",$L$37-1)),0,YEARFRAC(MAX($P$34*($B205+$I$38-1),IF(AND($L$37=0,$P$34=0),"",$L$37-1)),MIN(CK$38,$E205),$P$20))-SUM($BF205:CJ205))</f>
        <v>0</v>
      </c>
      <c r="CL205" s="446">
        <f>IF($E205=0,0,IF(MIN(CL$38,$E205)&lt;MAX($P$34*($B205+$I$38-1),IF(AND($L$37=0,$P$34=0),"",$L$37-1)),0,YEARFRAC(MAX($P$34*($B205+$I$38-1),IF(AND($L$37=0,$P$34=0),"",$L$37-1)),MIN(CL$38,$E205),$P$20))-SUM($BF205:CK205))</f>
        <v>0</v>
      </c>
      <c r="CM205" s="446">
        <f>IF($E205=0,0,IF(MIN(CM$38,$E205)&lt;MAX($P$34*($B205+$I$38-1),IF(AND($L$37=0,$P$34=0),"",$L$37-1)),0,YEARFRAC(MAX($P$34*($B205+$I$38-1),IF(AND($L$37=0,$P$34=0),"",$L$37-1)),MIN(CM$38,$E205),$P$20))-SUM($BF205:CL205))</f>
        <v>0</v>
      </c>
      <c r="CN205" s="446">
        <f>IF($E205=0,0,IF(MIN(CN$38,$E205)&lt;MAX($P$34*($B205+$I$38-1),IF(AND($L$37=0,$P$34=0),"",$L$37-1)),0,YEARFRAC(MAX($P$34*($B205+$I$38-1),IF(AND($L$37=0,$P$34=0),"",$L$37-1)),MIN(CN$38,$E205),$P$20))-SUM($BF205:CM205))</f>
        <v>0</v>
      </c>
      <c r="CO205" s="446">
        <f>IF($E205=0,0,IF(MIN(CO$38,$E205)&lt;MAX($P$34*($B205+$I$38-1),IF(AND($L$37=0,$P$34=0),"",$L$37-1)),0,YEARFRAC(MAX($P$34*($B205+$I$38-1),IF(AND($L$37=0,$P$34=0),"",$L$37-1)),MIN(CO$38,$E205),$P$20))-SUM($BF205:CN205))</f>
        <v>0</v>
      </c>
      <c r="CP205" s="446">
        <f>IF($E205=0,0,IF(MIN(CP$38,$E205)&lt;MAX($P$34*($B205+$I$38-1),IF(AND($L$37=0,$P$34=0),"",$L$37-1)),0,YEARFRAC(MAX($P$34*($B205+$I$38-1),IF(AND($L$37=0,$P$34=0),"",$L$37-1)),MIN(CP$38,$E205),$P$20))-SUM($BF205:CO205))</f>
        <v>0</v>
      </c>
      <c r="CQ205" s="446">
        <f>IF($E205=0,0,IF(MIN(CQ$38,$E205)&lt;MAX($P$34*($B205+$I$38-1),IF(AND($L$37=0,$P$34=0),"",$L$37-1)),0,YEARFRAC(MAX($P$34*($B205+$I$38-1),IF(AND($L$37=0,$P$34=0),"",$L$37-1)),MIN(CQ$38,$E205),$P$20))-SUM($BF205:CP205))</f>
        <v>0</v>
      </c>
    </row>
    <row r="206" spans="1:95" s="446" customFormat="1" ht="11.25" hidden="1" customHeight="1" x14ac:dyDescent="0.2">
      <c r="A206" s="152"/>
      <c r="B206" s="153" t="str">
        <f t="shared" si="37"/>
        <v/>
      </c>
      <c r="C206" s="29" t="str">
        <f>IF(B206="","",IF($L$35="SELIC - TRIBUTOS",VLOOKUP(DATE(YEAR($D$19),MONTH($D$19)-1,1),ÍNDICES!$A:$DE,HLOOKUP($BL$25,ÍNDICES!$B$3:$T$4,2)+11)-VLOOKUP(B206,ÍNDICES!$A:$DE,HLOOKUP($BL$25,ÍNDICES!$B$3:$T$4,2)+11)+1%,IF(C$38=$W$26,$J$35,IF(ISERROR(IF(B206&gt;$D$19,1,VLOOKUP(DATE(YEAR(B206),MONTH(B206)+IF($C$35=$S$23,1,0),1),ÍNDICES!$A:$DE,$Z$35+1))),"",IF(B206&gt;$D$19,1,VLOOKUP(DATE(YEAR(B206),MONTH(B206)+IF($C$35=$S$23,1,0),1),ÍNDICES!$A:$DE,$Z$35+1))))))</f>
        <v/>
      </c>
      <c r="D206" s="154" t="str">
        <f>IF(ISERROR(IF(OR($D$38=$Y$27,$B206=""),"",VLOOKUP(B206,ÍNDICES!A:DE,AF$35+1))),"",IF(OR($D$38=$Y$27,$B206=""),"",VLOOKUP(B206,ÍNDICES!A:DE,AF$35+1)))</f>
        <v/>
      </c>
      <c r="E206" s="153"/>
      <c r="F206" s="29" t="str">
        <f>IF(E206="","",IF($L$35="SELIC - TRIBUTOS",VLOOKUP(DATE(YEAR($D$19),MONTH($D$19)-1,1),ÍNDICES!$A:$DE,HLOOKUP($BL$25,ÍNDICES!$B$3:$T$4,2)+11)-VLOOKUP(E206,ÍNDICES!$A:$DE,HLOOKUP($BL$25,ÍNDICES!$B$3:$T$4,2)+11)+1%,IF(F$38=$W$26,$J$35,IF(ISERROR(IF(E206&gt;$D$19,1,VLOOKUP(DATE(YEAR(E206),MONTH(E206)+IF($C$35=$S$23,1,0),1),ÍNDICES!$A:$DE,$Z$35+1))),"",IF(E206&gt;$D$19,1,VLOOKUP(DATE(YEAR(E206),MONTH(E206)+IF($C$35=$S$23,1,0),1),ÍNDICES!$A:$DE,$Z$35+1))))))</f>
        <v/>
      </c>
      <c r="G206" s="155"/>
      <c r="H206" s="156" t="str">
        <f t="shared" si="33"/>
        <v/>
      </c>
      <c r="I206" s="29" t="str">
        <f t="shared" si="27"/>
        <v/>
      </c>
      <c r="J206" s="5">
        <f t="shared" si="28"/>
        <v>0</v>
      </c>
      <c r="K206" s="20">
        <f t="shared" ca="1" si="29"/>
        <v>0</v>
      </c>
      <c r="L206" s="5">
        <f t="shared" ca="1" si="30"/>
        <v>0</v>
      </c>
      <c r="M206" s="64">
        <f t="shared" si="34"/>
        <v>0</v>
      </c>
      <c r="N206" s="61">
        <f t="shared" ca="1" si="35"/>
        <v>0</v>
      </c>
      <c r="O206" s="5">
        <f t="shared" ca="1" si="36"/>
        <v>0</v>
      </c>
      <c r="P206" s="446" t="e">
        <f t="shared" si="31"/>
        <v>#VALUE!</v>
      </c>
      <c r="Q206" s="446" t="e">
        <f>IF(OR($B206="",MIN(Q$38,$D$19)&lt;MAX($P$34*($B206+IF($R$17="Distrato",$I$38-1,0)),IF(AND($L$37=0,$P$34=0),"",$L$37-1),IF($R$17="Distrato",$E206,0))),0,YEARFRAC(MAX($P$34*($B206+IF($R$17="Distrato",$I$38-1,0)),IF(AND($L$37=0,$P$34=0),"",$L$37-1),IF($R$17="Distrato",$E206,0)),MIN(Q$38,$D$19),$P$20))-SUM($P206:P206)</f>
        <v>#VALUE!</v>
      </c>
      <c r="R206" s="446" t="e">
        <f>IF(OR($B206="",MIN(R$38,$D$19)&lt;MAX($P$34*($B206+IF($R$17="Distrato",$I$38-1,0)),IF(AND($L$37=0,$P$34=0),"",$L$37-1),IF($R$17="Distrato",$E206,0))),0,YEARFRAC(MAX($P$34*($B206+IF($R$17="Distrato",$I$38-1,0)),IF(AND($L$37=0,$P$34=0),"",$L$37-1),IF($R$17="Distrato",$E206,0)),MIN(R$38,$D$19),$P$20))-SUM($P206:Q206)</f>
        <v>#VALUE!</v>
      </c>
      <c r="S206" s="446" t="e">
        <f>IF(OR($B206="",MIN(S$38,$D$19)&lt;MAX($P$34*($B206+IF($R$17="Distrato",$I$38-1,0)),IF(AND($L$37=0,$P$34=0),"",$L$37-1),IF($R$17="Distrato",$E206,0))),0,YEARFRAC(MAX($P$34*($B206+IF($R$17="Distrato",$I$38-1,0)),IF(AND($L$37=0,$P$34=0),"",$L$37-1),IF($R$17="Distrato",$E206,0)),MIN(S$38,$D$19),$P$20))-SUM($P206:R206)</f>
        <v>#VALUE!</v>
      </c>
      <c r="T206" s="446" t="e">
        <f>IF(OR($B206="",MIN(T$38,$D$19)&lt;MAX($P$34*($B206+IF($R$17="Distrato",$I$38-1,0)),IF(AND($L$37=0,$P$34=0),"",$L$37-1),IF($R$17="Distrato",$E206,0))),0,YEARFRAC(MAX($P$34*($B206+IF($R$17="Distrato",$I$38-1,0)),IF(AND($L$37=0,$P$34=0),"",$L$37-1),IF($R$17="Distrato",$E206,0)),MIN(T$38,$D$19),$P$20))-SUM($P206:S206)</f>
        <v>#VALUE!</v>
      </c>
      <c r="U206" s="446" t="e">
        <f>IF(OR($B206="",MIN(U$38,$D$19)&lt;MAX($P$34*($B206+IF($R$17="Distrato",$I$38-1,0)),IF(AND($L$37=0,$P$34=0),"",$L$37-1),IF($R$17="Distrato",$E206,0))),0,YEARFRAC(MAX($P$34*($B206+IF($R$17="Distrato",$I$38-1,0)),IF(AND($L$37=0,$P$34=0),"",$L$37-1),IF($R$17="Distrato",$E206,0)),MIN(U$38,$D$19),$P$20))-SUM($P206:T206)</f>
        <v>#VALUE!</v>
      </c>
      <c r="V206" s="446" t="e">
        <f>IF(OR($B206="",MIN(V$38,$D$19)&lt;MAX($P$34*($B206+IF($R$17="Distrato",$I$38-1,0)),IF(AND($L$37=0,$P$34=0),"",$L$37-1),IF($R$17="Distrato",$E206,0))),0,YEARFRAC(MAX($P$34*($B206+IF($R$17="Distrato",$I$38-1,0)),IF(AND($L$37=0,$P$34=0),"",$L$37-1),IF($R$17="Distrato",$E206,0)),MIN(V$38,$D$19),$P$20))-SUM($P206:U206)</f>
        <v>#VALUE!</v>
      </c>
      <c r="W206" s="446" t="e">
        <f>IF(OR($B206="",MIN(W$38,$D$19)&lt;MAX($P$34*($B206+IF($R$17="Distrato",$I$38-1,0)),IF(AND($L$37=0,$P$34=0),"",$L$37-1),IF($R$17="Distrato",$E206,0))),0,YEARFRAC(MAX($P$34*($B206+IF($R$17="Distrato",$I$38-1,0)),IF(AND($L$37=0,$P$34=0),"",$L$37-1),IF($R$17="Distrato",$E206,0)),MIN(W$38,$D$19),$P$20))-SUM($P206:V206)</f>
        <v>#VALUE!</v>
      </c>
      <c r="X206" s="446" t="e">
        <f>IF(OR($B206="",MIN(X$38,$D$19)&lt;MAX($P$34*($B206+IF($R$17="Distrato",$I$38-1,0)),IF(AND($L$37=0,$P$34=0),"",$L$37-1),IF($R$17="Distrato",$E206,0))),0,YEARFRAC(MAX($P$34*($B206+IF($R$17="Distrato",$I$38-1,0)),IF(AND($L$37=0,$P$34=0),"",$L$37-1),IF($R$17="Distrato",$E206,0)),MIN(X$38,$D$19),$P$20))-SUM($P206:W206)</f>
        <v>#VALUE!</v>
      </c>
      <c r="Y206" s="446" t="e">
        <f>IF(OR($B206="",MIN(Y$38,$D$19)&lt;MAX($P$34*($B206+IF($R$17="Distrato",$I$38-1,0)),IF(AND($L$37=0,$P$34=0),"",$L$37-1),IF($R$17="Distrato",$E206,0))),0,YEARFRAC(MAX($P$34*($B206+IF($R$17="Distrato",$I$38-1,0)),IF(AND($L$37=0,$P$34=0),"",$L$37-1),IF($R$17="Distrato",$E206,0)),MIN(Y$38,$D$19),$P$20))-SUM($P206:X206)</f>
        <v>#VALUE!</v>
      </c>
      <c r="Z206" s="446" t="e">
        <f>IF(OR($B206="",MIN(Z$38,$D$19)&lt;MAX($P$34*($B206+IF($R$17="Distrato",$I$38-1,0)),IF(AND($L$37=0,$P$34=0),"",$L$37-1),IF($R$17="Distrato",$E206,0))),0,YEARFRAC(MAX($P$34*($B206+IF($R$17="Distrato",$I$38-1,0)),IF(AND($L$37=0,$P$34=0),"",$L$37-1),IF($R$17="Distrato",$E206,0)),MIN(Z$38,$D$19),$P$20))-SUM($P206:Y206)</f>
        <v>#VALUE!</v>
      </c>
      <c r="AA206" s="446" t="e">
        <f>IF(OR($B206="",MIN(AA$38,$D$19)&lt;MAX($P$34*($B206+IF($R$17="Distrato",$I$38-1,0)),IF(AND($L$37=0,$P$34=0),"",$L$37-1),IF($R$17="Distrato",$E206,0))),0,YEARFRAC(MAX($P$34*($B206+IF($R$17="Distrato",$I$38-1,0)),IF(AND($L$37=0,$P$34=0),"",$L$37-1),IF($R$17="Distrato",$E206,0)),MIN(AA$38,$D$19),$P$20))-SUM($P206:Z206)</f>
        <v>#VALUE!</v>
      </c>
      <c r="AB206" s="446" t="e">
        <f>IF(OR($B206="",MIN(AB$38,$D$19)&lt;MAX($P$34*($B206+IF($R$17="Distrato",$I$38-1,0)),IF(AND($L$37=0,$P$34=0),"",$L$37-1),IF($R$17="Distrato",$E206,0))),0,YEARFRAC(MAX($P$34*($B206+IF($R$17="Distrato",$I$38-1,0)),IF(AND($L$37=0,$P$34=0),"",$L$37-1),IF($R$17="Distrato",$E206,0)),MIN(AB$38,$D$19),$P$20))-SUM($P206:AA206)</f>
        <v>#VALUE!</v>
      </c>
      <c r="AC206" s="446" t="e">
        <f>IF(OR($B206="",MIN(AC$38,$D$19)&lt;MAX($P$34*($B206+IF($R$17="Distrato",$I$38-1,0)),IF(AND($L$37=0,$P$34=0),"",$L$37-1),IF($R$17="Distrato",$E206,0))),0,YEARFRAC(MAX($P$34*($B206+IF($R$17="Distrato",$I$38-1,0)),IF(AND($L$37=0,$P$34=0),"",$L$37-1),IF($R$17="Distrato",$E206,0)),MIN(AC$38,$D$19),$P$20))-SUM($P206:AB206)</f>
        <v>#VALUE!</v>
      </c>
      <c r="AD206" s="446" t="e">
        <f>IF(OR($B206="",MIN(AD$38,$D$19)&lt;MAX($P$34*($B206+IF($R$17="Distrato",$I$38-1,0)),IF(AND($L$37=0,$P$34=0),"",$L$37-1),IF($R$17="Distrato",$E206,0))),0,YEARFRAC(MAX($P$34*($B206+IF($R$17="Distrato",$I$38-1,0)),IF(AND($L$37=0,$P$34=0),"",$L$37-1),IF($R$17="Distrato",$E206,0)),MIN(AD$38,$D$19),$P$20))-SUM($P206:AC206)</f>
        <v>#VALUE!</v>
      </c>
      <c r="AE206" s="446" t="e">
        <f>IF(OR($B206="",MIN(AE$38,$D$19)&lt;MAX($P$34*($B206+IF($R$17="Distrato",$I$38-1,0)),IF(AND($L$37=0,$P$34=0),"",$L$37-1),IF($R$17="Distrato",$E206,0))),0,YEARFRAC(MAX($P$34*($B206+IF($R$17="Distrato",$I$38-1,0)),IF(AND($L$37=0,$P$34=0),"",$L$37-1),IF($R$17="Distrato",$E206,0)),MIN(AE$38,$D$19),$P$20))-SUM($P206:AD206)</f>
        <v>#VALUE!</v>
      </c>
      <c r="AF206" s="446" t="e">
        <f>IF(OR($B206="",MIN(AF$38,$D$19)&lt;MAX($P$34*($B206+IF($R$17="Distrato",$I$38-1,0)),IF(AND($L$37=0,$P$34=0),"",$L$37-1),IF($R$17="Distrato",$E206,0))),0,YEARFRAC(MAX($P$34*($B206+IF($R$17="Distrato",$I$38-1,0)),IF(AND($L$37=0,$P$34=0),"",$L$37-1),IF($R$17="Distrato",$E206,0)),MIN(AF$38,$D$19),$P$20))-SUM($P206:AE206)</f>
        <v>#VALUE!</v>
      </c>
      <c r="AG206" s="446" t="e">
        <f>IF(OR($B206="",MIN(AG$38,$D$19)&lt;MAX($P$34*($B206+IF($R$17="Distrato",$I$38-1,0)),IF(AND($L$37=0,$P$34=0),"",$L$37-1),IF($R$17="Distrato",$E206,0))),0,YEARFRAC(MAX($P$34*($B206+IF($R$17="Distrato",$I$38-1,0)),IF(AND($L$37=0,$P$34=0),"",$L$37-1),IF($R$17="Distrato",$E206,0)),MIN(AG$38,$D$19),$P$20))-SUM($P206:AF206)</f>
        <v>#VALUE!</v>
      </c>
      <c r="AH206" s="446" t="e">
        <f>IF(OR($B206="",MIN(AH$38,$D$19)&lt;MAX($P$34*($B206+IF($R$17="Distrato",$I$38-1,0)),IF(AND($L$37=0,$P$34=0),"",$L$37-1),IF($R$17="Distrato",$E206,0))),0,YEARFRAC(MAX($P$34*($B206+IF($R$17="Distrato",$I$38-1,0)),IF(AND($L$37=0,$P$34=0),"",$L$37-1),IF($R$17="Distrato",$E206,0)),MIN(AH$38,$D$19),$P$20))-SUM($P206:AG206)</f>
        <v>#VALUE!</v>
      </c>
      <c r="AI206" s="446" t="e">
        <f>IF(OR($B206="",MIN(AI$38,$D$19)&lt;MAX($P$34*($B206+IF($R$17="Distrato",$I$38-1,0)),IF(AND($L$37=0,$P$34=0),"",$L$37-1),IF($R$17="Distrato",$E206,0))),0,YEARFRAC(MAX($P$34*($B206+IF($R$17="Distrato",$I$38-1,0)),IF(AND($L$37=0,$P$34=0),"",$L$37-1),IF($R$17="Distrato",$E206,0)),MIN(AI$38,$D$19),$P$20))-SUM($P206:AH206)</f>
        <v>#VALUE!</v>
      </c>
      <c r="AJ206" s="446" t="e">
        <f>IF(OR($B206="",MIN(AJ$38,$D$19)&lt;MAX($P$34*($B206+IF($R$17="Distrato",$I$38-1,0)),IF(AND($L$37=0,$P$34=0),"",$L$37-1),IF($R$17="Distrato",$E206,0))),0,YEARFRAC(MAX($P$34*($B206+IF($R$17="Distrato",$I$38-1,0)),IF(AND($L$37=0,$P$34=0),"",$L$37-1),IF($R$17="Distrato",$E206,0)),MIN(AJ$38,$D$19),$P$20))-SUM($P206:AI206)</f>
        <v>#VALUE!</v>
      </c>
      <c r="AK206" s="446" t="e">
        <f>IF(OR($B206="",MIN(AK$38,$D$19)&lt;MAX($P$34*($B206+IF($R$17="Distrato",$I$38-1,0)),IF(AND($L$37=0,$P$34=0),"",$L$37-1),IF($R$17="Distrato",$E206,0))),0,YEARFRAC(MAX($P$34*($B206+IF($R$17="Distrato",$I$38-1,0)),IF(AND($L$37=0,$P$34=0),"",$L$37-1),IF($R$17="Distrato",$E206,0)),MIN(AK$38,$D$19),$P$20))-SUM($P206:AJ206)</f>
        <v>#VALUE!</v>
      </c>
      <c r="AL206" s="446" t="e">
        <f>IF(OR($B206="",MIN(AL$38,$D$19)&lt;MAX($P$34*($B206+IF($R$17="Distrato",$I$38-1,0)),IF(AND($L$37=0,$P$34=0),"",$L$37-1),IF($R$17="Distrato",$E206,0))),0,YEARFRAC(MAX($P$34*($B206+IF($R$17="Distrato",$I$38-1,0)),IF(AND($L$37=0,$P$34=0),"",$L$37-1),IF($R$17="Distrato",$E206,0)),MIN(AL$38,$D$19),$P$20))-SUM($P206:AK206)</f>
        <v>#VALUE!</v>
      </c>
      <c r="AM206" s="446" t="e">
        <f>IF(OR($B206="",MIN(AM$38,$D$19)&lt;MAX($P$34*($B206+IF($R$17="Distrato",$I$38-1,0)),IF(AND($L$37=0,$P$34=0),"",$L$37-1),IF($R$17="Distrato",$E206,0))),0,YEARFRAC(MAX($P$34*($B206+IF($R$17="Distrato",$I$38-1,0)),IF(AND($L$37=0,$P$34=0),"",$L$37-1),IF($R$17="Distrato",$E206,0)),MIN(AM$38,$D$19),$P$20))-SUM($P206:AL206)</f>
        <v>#VALUE!</v>
      </c>
      <c r="AN206" s="446" t="e">
        <f>IF(OR($B206="",MIN(AN$38,$D$19)&lt;MAX($P$34*($B206+IF($R$17="Distrato",$I$38-1,0)),IF(AND($L$37=0,$P$34=0),"",$L$37-1),IF($R$17="Distrato",$E206,0))),0,YEARFRAC(MAX($P$34*($B206+IF($R$17="Distrato",$I$38-1,0)),IF(AND($L$37=0,$P$34=0),"",$L$37-1),IF($R$17="Distrato",$E206,0)),MIN(AN$38,$D$19),$P$20))-SUM($P206:AM206)</f>
        <v>#VALUE!</v>
      </c>
      <c r="AO206" s="446" t="e">
        <f>IF(OR($B206="",MIN(AO$38,$D$19)&lt;MAX($P$34*($B206+IF($R$17="Distrato",$I$38-1,0)),IF(AND($L$37=0,$P$34=0),"",$L$37-1),IF($R$17="Distrato",$E206,0))),0,YEARFRAC(MAX($P$34*($B206+IF($R$17="Distrato",$I$38-1,0)),IF(AND($L$37=0,$P$34=0),"",$L$37-1),IF($R$17="Distrato",$E206,0)),MIN(AO$38,$D$19),$P$20))-SUM($P206:AN206)</f>
        <v>#VALUE!</v>
      </c>
      <c r="AP206" s="446" t="e">
        <f>IF(OR($B206="",MIN(AP$38,$D$19)&lt;MAX($P$34*($B206+IF($R$17="Distrato",$I$38-1,0)),IF(AND($L$37=0,$P$34=0),"",$L$37-1),IF($R$17="Distrato",$E206,0))),0,YEARFRAC(MAX($P$34*($B206+IF($R$17="Distrato",$I$38-1,0)),IF(AND($L$37=0,$P$34=0),"",$L$37-1),IF($R$17="Distrato",$E206,0)),MIN(AP$38,$D$19),$P$20))-SUM($P206:AO206)</f>
        <v>#VALUE!</v>
      </c>
      <c r="AQ206" s="446" t="e">
        <f>IF(OR($B206="",MIN(AQ$38,$D$19)&lt;MAX($P$34*($B206+IF($R$17="Distrato",$I$38-1,0)),IF(AND($L$37=0,$P$34=0),"",$L$37-1),IF($R$17="Distrato",$E206,0))),0,YEARFRAC(MAX($P$34*($B206+IF($R$17="Distrato",$I$38-1,0)),IF(AND($L$37=0,$P$34=0),"",$L$37-1),IF($R$17="Distrato",$E206,0)),MIN(AQ$38,$D$19),$P$20))-SUM($P206:AP206)</f>
        <v>#VALUE!</v>
      </c>
      <c r="AR206" s="446" t="e">
        <f>IF(OR($B206="",MIN(AR$38,$D$19)&lt;MAX($P$34*($B206+IF($R$17="Distrato",$I$38-1,0)),IF(AND($L$37=0,$P$34=0),"",$L$37-1),IF($R$17="Distrato",$E206,0))),0,YEARFRAC(MAX($P$34*($B206+IF($R$17="Distrato",$I$38-1,0)),IF(AND($L$37=0,$P$34=0),"",$L$37-1),IF($R$17="Distrato",$E206,0)),MIN(AR$38,$D$19),$P$20))-SUM($P206:AQ206)</f>
        <v>#VALUE!</v>
      </c>
      <c r="AS206" s="446" t="e">
        <f>IF(OR($B206="",MIN(AS$38,$D$19)&lt;MAX($P$34*($B206+IF($R$17="Distrato",$I$38-1,0)),IF(AND($L$37=0,$P$34=0),"",$L$37-1),IF($R$17="Distrato",$E206,0))),0,YEARFRAC(MAX($P$34*($B206+IF($R$17="Distrato",$I$38-1,0)),IF(AND($L$37=0,$P$34=0),"",$L$37-1),IF($R$17="Distrato",$E206,0)),MIN(AS$38,$D$19),$P$20))-SUM($P206:AR206)</f>
        <v>#VALUE!</v>
      </c>
      <c r="AT206" s="446" t="e">
        <f>IF(OR($B206="",MIN(AT$38,$D$19)&lt;MAX($P$34*($B206+IF($R$17="Distrato",$I$38-1,0)),IF(AND($L$37=0,$P$34=0),"",$L$37-1),IF($R$17="Distrato",$E206,0))),0,YEARFRAC(MAX($P$34*($B206+IF($R$17="Distrato",$I$38-1,0)),IF(AND($L$37=0,$P$34=0),"",$L$37-1),IF($R$17="Distrato",$E206,0)),MIN(AT$38,$D$19),$P$20))-SUM($P206:AS206)</f>
        <v>#VALUE!</v>
      </c>
      <c r="AU206" s="446" t="e">
        <f>IF(OR($B206="",MIN(AU$38,$D$19)&lt;MAX($P$34*($B206+IF($R$17="Distrato",$I$38-1,0)),IF(AND($L$37=0,$P$34=0),"",$L$37-1),IF($R$17="Distrato",$E206,0))),0,YEARFRAC(MAX($P$34*($B206+IF($R$17="Distrato",$I$38-1,0)),IF(AND($L$37=0,$P$34=0),"",$L$37-1),IF($R$17="Distrato",$E206,0)),MIN(AU$38,$D$19),$P$20))-SUM($P206:AT206)</f>
        <v>#VALUE!</v>
      </c>
      <c r="AV206" s="446" t="e">
        <f>IF(OR($B206="",MIN(AV$38,$D$19)&lt;MAX($P$34*($B206+IF($R$17="Distrato",$I$38-1,0)),IF(AND($L$37=0,$P$34=0),"",$L$37-1),IF($R$17="Distrato",$E206,0))),0,YEARFRAC(MAX($P$34*($B206+IF($R$17="Distrato",$I$38-1,0)),IF(AND($L$37=0,$P$34=0),"",$L$37-1),IF($R$17="Distrato",$E206,0)),MIN(AV$38,$D$19),$P$20))-SUM($P206:AU206)</f>
        <v>#VALUE!</v>
      </c>
      <c r="AW206" s="446" t="e">
        <f>IF(OR($B206="",MIN(AW$38,$D$19)&lt;MAX($P$34*($B206+IF($R$17="Distrato",$I$38-1,0)),IF(AND($L$37=0,$P$34=0),"",$L$37-1),IF($R$17="Distrato",$E206,0))),0,YEARFRAC(MAX($P$34*($B206+IF($R$17="Distrato",$I$38-1,0)),IF(AND($L$37=0,$P$34=0),"",$L$37-1),IF($R$17="Distrato",$E206,0)),MIN(AW$38,$D$19),$P$20))-SUM($P206:AV206)</f>
        <v>#VALUE!</v>
      </c>
      <c r="AX206" s="446" t="e">
        <f>IF(OR($B206="",MIN(AX$38,$D$19)&lt;MAX($P$34*($B206+IF($R$17="Distrato",$I$38-1,0)),IF(AND($L$37=0,$P$34=0),"",$L$37-1),IF($R$17="Distrato",$E206,0))),0,YEARFRAC(MAX($P$34*($B206+IF($R$17="Distrato",$I$38-1,0)),IF(AND($L$37=0,$P$34=0),"",$L$37-1),IF($R$17="Distrato",$E206,0)),MIN(AX$38,$D$19),$P$20))-SUM($P206:AW206)</f>
        <v>#VALUE!</v>
      </c>
      <c r="AY206" s="446" t="e">
        <f>IF(OR($B206="",MIN(AY$38,$D$19)&lt;MAX($P$34*($B206+IF($R$17="Distrato",$I$38-1,0)),IF(AND($L$37=0,$P$34=0),"",$L$37-1),IF($R$17="Distrato",$E206,0))),0,YEARFRAC(MAX($P$34*($B206+IF($R$17="Distrato",$I$38-1,0)),IF(AND($L$37=0,$P$34=0),"",$L$37-1),IF($R$17="Distrato",$E206,0)),MIN(AY$38,$D$19),$P$20))-SUM($P206:AX206)</f>
        <v>#VALUE!</v>
      </c>
      <c r="AZ206" s="446" t="e">
        <f>IF(OR($B206="",MIN(AZ$38,$D$19)&lt;MAX($P$34*($B206+IF($R$17="Distrato",$I$38-1,0)),IF(AND($L$37=0,$P$34=0),"",$L$37-1),IF($R$17="Distrato",$E206,0))),0,YEARFRAC(MAX($P$34*($B206+IF($R$17="Distrato",$I$38-1,0)),IF(AND($L$37=0,$P$34=0),"",$L$37-1),IF($R$17="Distrato",$E206,0)),MIN(AZ$38,$D$19),$P$20))-SUM($P206:AY206)</f>
        <v>#VALUE!</v>
      </c>
      <c r="BA206" s="446" t="e">
        <f>IF(OR($B206="",MIN(BA$38,$D$19)&lt;MAX($P$34*($B206+IF($R$17="Distrato",$I$38-1,0)),IF(AND($L$37=0,$P$34=0),"",$L$37-1),IF($R$17="Distrato",$E206,0))),0,YEARFRAC(MAX($P$34*($B206+IF($R$17="Distrato",$I$38-1,0)),IF(AND($L$37=0,$P$34=0),"",$L$37-1),IF($R$17="Distrato",$E206,0)),MIN(BA$38,$D$19),$P$20))-SUM($P206:AZ206)</f>
        <v>#VALUE!</v>
      </c>
      <c r="BB206" s="447"/>
      <c r="BF206" s="446">
        <f t="shared" si="32"/>
        <v>0</v>
      </c>
      <c r="BG206" s="446">
        <f>IF($E206=0,0,IF(MIN(BG$38,$E206)&lt;MAX($P$34*($B206+$I$38-1),IF(AND($L$37=0,$P$34=0),"",$L$37-1)),0,YEARFRAC(MAX($P$34*($B206+$I$38-1),IF(AND($L$37=0,$P$34=0),"",$L$37-1)),MIN(BG$38,$E206),$P$20))-SUM($BF206:BF206))</f>
        <v>0</v>
      </c>
      <c r="BH206" s="446">
        <f>IF($E206=0,0,IF(MIN(BH$38,$E206)&lt;MAX($P$34*($B206+$I$38-1),IF(AND($L$37=0,$P$34=0),"",$L$37-1)),0,YEARFRAC(MAX($P$34*($B206+$I$38-1),IF(AND($L$37=0,$P$34=0),"",$L$37-1)),MIN(BH$38,$E206),$P$20))-SUM($BF206:BG206))</f>
        <v>0</v>
      </c>
      <c r="BI206" s="446">
        <f>IF($E206=0,0,IF(MIN(BI$38,$E206)&lt;MAX($P$34*($B206+$I$38-1),IF(AND($L$37=0,$P$34=0),"",$L$37-1)),0,YEARFRAC(MAX($P$34*($B206+$I$38-1),IF(AND($L$37=0,$P$34=0),"",$L$37-1)),MIN(BI$38,$E206),$P$20))-SUM($BF206:BH206))</f>
        <v>0</v>
      </c>
      <c r="BJ206" s="446">
        <f>IF($E206=0,0,IF(MIN(BJ$38,$E206)&lt;MAX($P$34*($B206+$I$38-1),IF(AND($L$37=0,$P$34=0),"",$L$37-1)),0,YEARFRAC(MAX($P$34*($B206+$I$38-1),IF(AND($L$37=0,$P$34=0),"",$L$37-1)),MIN(BJ$38,$E206),$P$20))-SUM($BF206:BI206))</f>
        <v>0</v>
      </c>
      <c r="BK206" s="446">
        <f>IF($E206=0,0,IF(MIN(BK$38,$E206)&lt;MAX($P$34*($B206+$I$38-1),IF(AND($L$37=0,$P$34=0),"",$L$37-1)),0,YEARFRAC(MAX($P$34*($B206+$I$38-1),IF(AND($L$37=0,$P$34=0),"",$L$37-1)),MIN(BK$38,$E206),$P$20))-SUM($BF206:BJ206))</f>
        <v>0</v>
      </c>
      <c r="BL206" s="446">
        <f>IF($E206=0,0,IF(MIN(BL$38,$E206)&lt;MAX($P$34*($B206+$I$38-1),IF(AND($L$37=0,$P$34=0),"",$L$37-1)),0,YEARFRAC(MAX($P$34*($B206+$I$38-1),IF(AND($L$37=0,$P$34=0),"",$L$37-1)),MIN(BL$38,$E206),$P$20))-SUM($BF206:BK206))</f>
        <v>0</v>
      </c>
      <c r="BM206" s="446">
        <f>IF($E206=0,0,IF(MIN(BM$38,$E206)&lt;MAX($P$34*($B206+$I$38-1),IF(AND($L$37=0,$P$34=0),"",$L$37-1)),0,YEARFRAC(MAX($P$34*($B206+$I$38-1),IF(AND($L$37=0,$P$34=0),"",$L$37-1)),MIN(BM$38,$E206),$P$20))-SUM($BF206:BL206))</f>
        <v>0</v>
      </c>
      <c r="BN206" s="446">
        <f>IF($E206=0,0,IF(MIN(BN$38,$E206)&lt;MAX($P$34*($B206+$I$38-1),IF(AND($L$37=0,$P$34=0),"",$L$37-1)),0,YEARFRAC(MAX($P$34*($B206+$I$38-1),IF(AND($L$37=0,$P$34=0),"",$L$37-1)),MIN(BN$38,$E206),$P$20))-SUM($BF206:BM206))</f>
        <v>0</v>
      </c>
      <c r="BO206" s="446">
        <f>IF($E206=0,0,IF(MIN(BO$38,$E206)&lt;MAX($P$34*($B206+$I$38-1),IF(AND($L$37=0,$P$34=0),"",$L$37-1)),0,YEARFRAC(MAX($P$34*($B206+$I$38-1),IF(AND($L$37=0,$P$34=0),"",$L$37-1)),MIN(BO$38,$E206),$P$20))-SUM($BF206:BN206))</f>
        <v>0</v>
      </c>
      <c r="BP206" s="446">
        <f>IF($E206=0,0,IF(MIN(BP$38,$E206)&lt;MAX($P$34*($B206+$I$38-1),IF(AND($L$37=0,$P$34=0),"",$L$37-1)),0,YEARFRAC(MAX($P$34*($B206+$I$38-1),IF(AND($L$37=0,$P$34=0),"",$L$37-1)),MIN(BP$38,$E206),$P$20))-SUM($BF206:BO206))</f>
        <v>0</v>
      </c>
      <c r="BQ206" s="446">
        <f>IF($E206=0,0,IF(MIN(BQ$38,$E206)&lt;MAX($P$34*($B206+$I$38-1),IF(AND($L$37=0,$P$34=0),"",$L$37-1)),0,YEARFRAC(MAX($P$34*($B206+$I$38-1),IF(AND($L$37=0,$P$34=0),"",$L$37-1)),MIN(BQ$38,$E206),$P$20))-SUM($BF206:BP206))</f>
        <v>0</v>
      </c>
      <c r="BR206" s="446">
        <f>IF($E206=0,0,IF(MIN(BR$38,$E206)&lt;MAX($P$34*($B206+$I$38-1),IF(AND($L$37=0,$P$34=0),"",$L$37-1)),0,YEARFRAC(MAX($P$34*($B206+$I$38-1),IF(AND($L$37=0,$P$34=0),"",$L$37-1)),MIN(BR$38,$E206),$P$20))-SUM($BF206:BQ206))</f>
        <v>0</v>
      </c>
      <c r="BS206" s="446">
        <f>IF($E206=0,0,IF(MIN(BS$38,$E206)&lt;MAX($P$34*($B206+$I$38-1),IF(AND($L$37=0,$P$34=0),"",$L$37-1)),0,YEARFRAC(MAX($P$34*($B206+$I$38-1),IF(AND($L$37=0,$P$34=0),"",$L$37-1)),MIN(BS$38,$E206),$P$20))-SUM($BF206:BR206))</f>
        <v>0</v>
      </c>
      <c r="BT206" s="446">
        <f>IF($E206=0,0,IF(MIN(BT$38,$E206)&lt;MAX($P$34*($B206+$I$38-1),IF(AND($L$37=0,$P$34=0),"",$L$37-1)),0,YEARFRAC(MAX($P$34*($B206+$I$38-1),IF(AND($L$37=0,$P$34=0),"",$L$37-1)),MIN(BT$38,$E206),$P$20))-SUM($BF206:BS206))</f>
        <v>0</v>
      </c>
      <c r="BU206" s="446">
        <f>IF($E206=0,0,IF(MIN(BU$38,$E206)&lt;MAX($P$34*($B206+$I$38-1),IF(AND($L$37=0,$P$34=0),"",$L$37-1)),0,YEARFRAC(MAX($P$34*($B206+$I$38-1),IF(AND($L$37=0,$P$34=0),"",$L$37-1)),MIN(BU$38,$E206),$P$20))-SUM($BF206:BT206))</f>
        <v>0</v>
      </c>
      <c r="BV206" s="446">
        <f>IF($E206=0,0,IF(MIN(BV$38,$E206)&lt;MAX($P$34*($B206+$I$38-1),IF(AND($L$37=0,$P$34=0),"",$L$37-1)),0,YEARFRAC(MAX($P$34*($B206+$I$38-1),IF(AND($L$37=0,$P$34=0),"",$L$37-1)),MIN(BV$38,$E206),$P$20))-SUM($BF206:BU206))</f>
        <v>0</v>
      </c>
      <c r="BW206" s="446">
        <f>IF($E206=0,0,IF(MIN(BW$38,$E206)&lt;MAX($P$34*($B206+$I$38-1),IF(AND($L$37=0,$P$34=0),"",$L$37-1)),0,YEARFRAC(MAX($P$34*($B206+$I$38-1),IF(AND($L$37=0,$P$34=0),"",$L$37-1)),MIN(BW$38,$E206),$P$20))-SUM($BF206:BV206))</f>
        <v>0</v>
      </c>
      <c r="BX206" s="446">
        <f>IF($E206=0,0,IF(MIN(BX$38,$E206)&lt;MAX($P$34*($B206+$I$38-1),IF(AND($L$37=0,$P$34=0),"",$L$37-1)),0,YEARFRAC(MAX($P$34*($B206+$I$38-1),IF(AND($L$37=0,$P$34=0),"",$L$37-1)),MIN(BX$38,$E206),$P$20))-SUM($BF206:BW206))</f>
        <v>0</v>
      </c>
      <c r="BY206" s="446">
        <f>IF($E206=0,0,IF(MIN(BY$38,$E206)&lt;MAX($P$34*($B206+$I$38-1),IF(AND($L$37=0,$P$34=0),"",$L$37-1)),0,YEARFRAC(MAX($P$34*($B206+$I$38-1),IF(AND($L$37=0,$P$34=0),"",$L$37-1)),MIN(BY$38,$E206),$P$20))-SUM($BF206:BX206))</f>
        <v>0</v>
      </c>
      <c r="BZ206" s="446">
        <f>IF($E206=0,0,IF(MIN(BZ$38,$E206)&lt;MAX($P$34*($B206+$I$38-1),IF(AND($L$37=0,$P$34=0),"",$L$37-1)),0,YEARFRAC(MAX($P$34*($B206+$I$38-1),IF(AND($L$37=0,$P$34=0),"",$L$37-1)),MIN(BZ$38,$E206),$P$20))-SUM($BF206:BY206))</f>
        <v>0</v>
      </c>
      <c r="CA206" s="446">
        <f>IF($E206=0,0,IF(MIN(CA$38,$E206)&lt;MAX($P$34*($B206+$I$38-1),IF(AND($L$37=0,$P$34=0),"",$L$37-1)),0,YEARFRAC(MAX($P$34*($B206+$I$38-1),IF(AND($L$37=0,$P$34=0),"",$L$37-1)),MIN(CA$38,$E206),$P$20))-SUM($BF206:BZ206))</f>
        <v>0</v>
      </c>
      <c r="CB206" s="446">
        <f>IF($E206=0,0,IF(MIN(CB$38,$E206)&lt;MAX($P$34*($B206+$I$38-1),IF(AND($L$37=0,$P$34=0),"",$L$37-1)),0,YEARFRAC(MAX($P$34*($B206+$I$38-1),IF(AND($L$37=0,$P$34=0),"",$L$37-1)),MIN(CB$38,$E206),$P$20))-SUM($BF206:CA206))</f>
        <v>0</v>
      </c>
      <c r="CC206" s="446">
        <f>IF($E206=0,0,IF(MIN(CC$38,$E206)&lt;MAX($P$34*($B206+$I$38-1),IF(AND($L$37=0,$P$34=0),"",$L$37-1)),0,YEARFRAC(MAX($P$34*($B206+$I$38-1),IF(AND($L$37=0,$P$34=0),"",$L$37-1)),MIN(CC$38,$E206),$P$20))-SUM($BF206:CB206))</f>
        <v>0</v>
      </c>
      <c r="CD206" s="446">
        <f>IF($E206=0,0,IF(MIN(CD$38,$E206)&lt;MAX($P$34*($B206+$I$38-1),IF(AND($L$37=0,$P$34=0),"",$L$37-1)),0,YEARFRAC(MAX($P$34*($B206+$I$38-1),IF(AND($L$37=0,$P$34=0),"",$L$37-1)),MIN(CD$38,$E206),$P$20))-SUM($BF206:CC206))</f>
        <v>0</v>
      </c>
      <c r="CE206" s="446">
        <f>IF($E206=0,0,IF(MIN(CE$38,$E206)&lt;MAX($P$34*($B206+$I$38-1),IF(AND($L$37=0,$P$34=0),"",$L$37-1)),0,YEARFRAC(MAX($P$34*($B206+$I$38-1),IF(AND($L$37=0,$P$34=0),"",$L$37-1)),MIN(CE$38,$E206),$P$20))-SUM($BF206:CD206))</f>
        <v>0</v>
      </c>
      <c r="CF206" s="446">
        <f>IF($E206=0,0,IF(MIN(CF$38,$E206)&lt;MAX($P$34*($B206+$I$38-1),IF(AND($L$37=0,$P$34=0),"",$L$37-1)),0,YEARFRAC(MAX($P$34*($B206+$I$38-1),IF(AND($L$37=0,$P$34=0),"",$L$37-1)),MIN(CF$38,$E206),$P$20))-SUM($BF206:CE206))</f>
        <v>0</v>
      </c>
      <c r="CG206" s="446">
        <f>IF($E206=0,0,IF(MIN(CG$38,$E206)&lt;MAX($P$34*($B206+$I$38-1),IF(AND($L$37=0,$P$34=0),"",$L$37-1)),0,YEARFRAC(MAX($P$34*($B206+$I$38-1),IF(AND($L$37=0,$P$34=0),"",$L$37-1)),MIN(CG$38,$E206),$P$20))-SUM($BF206:CF206))</f>
        <v>0</v>
      </c>
      <c r="CH206" s="446">
        <f>IF($E206=0,0,IF(MIN(CH$38,$E206)&lt;MAX($P$34*($B206+$I$38-1),IF(AND($L$37=0,$P$34=0),"",$L$37-1)),0,YEARFRAC(MAX($P$34*($B206+$I$38-1),IF(AND($L$37=0,$P$34=0),"",$L$37-1)),MIN(CH$38,$E206),$P$20))-SUM($BF206:CG206))</f>
        <v>0</v>
      </c>
      <c r="CI206" s="446">
        <f>IF($E206=0,0,IF(MIN(CI$38,$E206)&lt;MAX($P$34*($B206+$I$38-1),IF(AND($L$37=0,$P$34=0),"",$L$37-1)),0,YEARFRAC(MAX($P$34*($B206+$I$38-1),IF(AND($L$37=0,$P$34=0),"",$L$37-1)),MIN(CI$38,$E206),$P$20))-SUM($BF206:CH206))</f>
        <v>0</v>
      </c>
      <c r="CJ206" s="446">
        <f>IF($E206=0,0,IF(MIN(CJ$38,$E206)&lt;MAX($P$34*($B206+$I$38-1),IF(AND($L$37=0,$P$34=0),"",$L$37-1)),0,YEARFRAC(MAX($P$34*($B206+$I$38-1),IF(AND($L$37=0,$P$34=0),"",$L$37-1)),MIN(CJ$38,$E206),$P$20))-SUM($BF206:CI206))</f>
        <v>0</v>
      </c>
      <c r="CK206" s="446">
        <f>IF($E206=0,0,IF(MIN(CK$38,$E206)&lt;MAX($P$34*($B206+$I$38-1),IF(AND($L$37=0,$P$34=0),"",$L$37-1)),0,YEARFRAC(MAX($P$34*($B206+$I$38-1),IF(AND($L$37=0,$P$34=0),"",$L$37-1)),MIN(CK$38,$E206),$P$20))-SUM($BF206:CJ206))</f>
        <v>0</v>
      </c>
      <c r="CL206" s="446">
        <f>IF($E206=0,0,IF(MIN(CL$38,$E206)&lt;MAX($P$34*($B206+$I$38-1),IF(AND($L$37=0,$P$34=0),"",$L$37-1)),0,YEARFRAC(MAX($P$34*($B206+$I$38-1),IF(AND($L$37=0,$P$34=0),"",$L$37-1)),MIN(CL$38,$E206),$P$20))-SUM($BF206:CK206))</f>
        <v>0</v>
      </c>
      <c r="CM206" s="446">
        <f>IF($E206=0,0,IF(MIN(CM$38,$E206)&lt;MAX($P$34*($B206+$I$38-1),IF(AND($L$37=0,$P$34=0),"",$L$37-1)),0,YEARFRAC(MAX($P$34*($B206+$I$38-1),IF(AND($L$37=0,$P$34=0),"",$L$37-1)),MIN(CM$38,$E206),$P$20))-SUM($BF206:CL206))</f>
        <v>0</v>
      </c>
      <c r="CN206" s="446">
        <f>IF($E206=0,0,IF(MIN(CN$38,$E206)&lt;MAX($P$34*($B206+$I$38-1),IF(AND($L$37=0,$P$34=0),"",$L$37-1)),0,YEARFRAC(MAX($P$34*($B206+$I$38-1),IF(AND($L$37=0,$P$34=0),"",$L$37-1)),MIN(CN$38,$E206),$P$20))-SUM($BF206:CM206))</f>
        <v>0</v>
      </c>
      <c r="CO206" s="446">
        <f>IF($E206=0,0,IF(MIN(CO$38,$E206)&lt;MAX($P$34*($B206+$I$38-1),IF(AND($L$37=0,$P$34=0),"",$L$37-1)),0,YEARFRAC(MAX($P$34*($B206+$I$38-1),IF(AND($L$37=0,$P$34=0),"",$L$37-1)),MIN(CO$38,$E206),$P$20))-SUM($BF206:CN206))</f>
        <v>0</v>
      </c>
      <c r="CP206" s="446">
        <f>IF($E206=0,0,IF(MIN(CP$38,$E206)&lt;MAX($P$34*($B206+$I$38-1),IF(AND($L$37=0,$P$34=0),"",$L$37-1)),0,YEARFRAC(MAX($P$34*($B206+$I$38-1),IF(AND($L$37=0,$P$34=0),"",$L$37-1)),MIN(CP$38,$E206),$P$20))-SUM($BF206:CO206))</f>
        <v>0</v>
      </c>
      <c r="CQ206" s="446">
        <f>IF($E206=0,0,IF(MIN(CQ$38,$E206)&lt;MAX($P$34*($B206+$I$38-1),IF(AND($L$37=0,$P$34=0),"",$L$37-1)),0,YEARFRAC(MAX($P$34*($B206+$I$38-1),IF(AND($L$37=0,$P$34=0),"",$L$37-1)),MIN(CQ$38,$E206),$P$20))-SUM($BF206:CP206))</f>
        <v>0</v>
      </c>
    </row>
    <row r="207" spans="1:95" s="446" customFormat="1" ht="11.25" hidden="1" customHeight="1" x14ac:dyDescent="0.2">
      <c r="A207" s="152"/>
      <c r="B207" s="153" t="str">
        <f t="shared" si="37"/>
        <v/>
      </c>
      <c r="C207" s="29" t="str">
        <f>IF(B207="","",IF($L$35="SELIC - TRIBUTOS",VLOOKUP(DATE(YEAR($D$19),MONTH($D$19)-1,1),ÍNDICES!$A:$DE,HLOOKUP($BL$25,ÍNDICES!$B$3:$T$4,2)+11)-VLOOKUP(B207,ÍNDICES!$A:$DE,HLOOKUP($BL$25,ÍNDICES!$B$3:$T$4,2)+11)+1%,IF(C$38=$W$26,$J$35,IF(ISERROR(IF(B207&gt;$D$19,1,VLOOKUP(DATE(YEAR(B207),MONTH(B207)+IF($C$35=$S$23,1,0),1),ÍNDICES!$A:$DE,$Z$35+1))),"",IF(B207&gt;$D$19,1,VLOOKUP(DATE(YEAR(B207),MONTH(B207)+IF($C$35=$S$23,1,0),1),ÍNDICES!$A:$DE,$Z$35+1))))))</f>
        <v/>
      </c>
      <c r="D207" s="154" t="str">
        <f>IF(ISERROR(IF(OR($D$38=$Y$27,$B207=""),"",VLOOKUP(B207,ÍNDICES!A:DE,AF$35+1))),"",IF(OR($D$38=$Y$27,$B207=""),"",VLOOKUP(B207,ÍNDICES!A:DE,AF$35+1)))</f>
        <v/>
      </c>
      <c r="E207" s="153"/>
      <c r="F207" s="29" t="str">
        <f>IF(E207="","",IF($L$35="SELIC - TRIBUTOS",VLOOKUP(DATE(YEAR($D$19),MONTH($D$19)-1,1),ÍNDICES!$A:$DE,HLOOKUP($BL$25,ÍNDICES!$B$3:$T$4,2)+11)-VLOOKUP(E207,ÍNDICES!$A:$DE,HLOOKUP($BL$25,ÍNDICES!$B$3:$T$4,2)+11)+1%,IF(F$38=$W$26,$J$35,IF(ISERROR(IF(E207&gt;$D$19,1,VLOOKUP(DATE(YEAR(E207),MONTH(E207)+IF($C$35=$S$23,1,0),1),ÍNDICES!$A:$DE,$Z$35+1))),"",IF(E207&gt;$D$19,1,VLOOKUP(DATE(YEAR(E207),MONTH(E207)+IF($C$35=$S$23,1,0),1),ÍNDICES!$A:$DE,$Z$35+1))))))</f>
        <v/>
      </c>
      <c r="G207" s="155"/>
      <c r="H207" s="156" t="str">
        <f t="shared" si="33"/>
        <v/>
      </c>
      <c r="I207" s="29" t="str">
        <f t="shared" si="27"/>
        <v/>
      </c>
      <c r="J207" s="5">
        <f t="shared" si="28"/>
        <v>0</v>
      </c>
      <c r="K207" s="20">
        <f t="shared" ca="1" si="29"/>
        <v>0</v>
      </c>
      <c r="L207" s="5">
        <f t="shared" ca="1" si="30"/>
        <v>0</v>
      </c>
      <c r="M207" s="64">
        <f t="shared" si="34"/>
        <v>0</v>
      </c>
      <c r="N207" s="61">
        <f t="shared" ca="1" si="35"/>
        <v>0</v>
      </c>
      <c r="O207" s="5">
        <f t="shared" ca="1" si="36"/>
        <v>0</v>
      </c>
      <c r="P207" s="446" t="e">
        <f t="shared" si="31"/>
        <v>#VALUE!</v>
      </c>
      <c r="Q207" s="446" t="e">
        <f>IF(OR($B207="",MIN(Q$38,$D$19)&lt;MAX($P$34*($B207+IF($R$17="Distrato",$I$38-1,0)),IF(AND($L$37=0,$P$34=0),"",$L$37-1),IF($R$17="Distrato",$E207,0))),0,YEARFRAC(MAX($P$34*($B207+IF($R$17="Distrato",$I$38-1,0)),IF(AND($L$37=0,$P$34=0),"",$L$37-1),IF($R$17="Distrato",$E207,0)),MIN(Q$38,$D$19),$P$20))-SUM($P207:P207)</f>
        <v>#VALUE!</v>
      </c>
      <c r="R207" s="446" t="e">
        <f>IF(OR($B207="",MIN(R$38,$D$19)&lt;MAX($P$34*($B207+IF($R$17="Distrato",$I$38-1,0)),IF(AND($L$37=0,$P$34=0),"",$L$37-1),IF($R$17="Distrato",$E207,0))),0,YEARFRAC(MAX($P$34*($B207+IF($R$17="Distrato",$I$38-1,0)),IF(AND($L$37=0,$P$34=0),"",$L$37-1),IF($R$17="Distrato",$E207,0)),MIN(R$38,$D$19),$P$20))-SUM($P207:Q207)</f>
        <v>#VALUE!</v>
      </c>
      <c r="S207" s="446" t="e">
        <f>IF(OR($B207="",MIN(S$38,$D$19)&lt;MAX($P$34*($B207+IF($R$17="Distrato",$I$38-1,0)),IF(AND($L$37=0,$P$34=0),"",$L$37-1),IF($R$17="Distrato",$E207,0))),0,YEARFRAC(MAX($P$34*($B207+IF($R$17="Distrato",$I$38-1,0)),IF(AND($L$37=0,$P$34=0),"",$L$37-1),IF($R$17="Distrato",$E207,0)),MIN(S$38,$D$19),$P$20))-SUM($P207:R207)</f>
        <v>#VALUE!</v>
      </c>
      <c r="T207" s="446" t="e">
        <f>IF(OR($B207="",MIN(T$38,$D$19)&lt;MAX($P$34*($B207+IF($R$17="Distrato",$I$38-1,0)),IF(AND($L$37=0,$P$34=0),"",$L$37-1),IF($R$17="Distrato",$E207,0))),0,YEARFRAC(MAX($P$34*($B207+IF($R$17="Distrato",$I$38-1,0)),IF(AND($L$37=0,$P$34=0),"",$L$37-1),IF($R$17="Distrato",$E207,0)),MIN(T$38,$D$19),$P$20))-SUM($P207:S207)</f>
        <v>#VALUE!</v>
      </c>
      <c r="U207" s="446" t="e">
        <f>IF(OR($B207="",MIN(U$38,$D$19)&lt;MAX($P$34*($B207+IF($R$17="Distrato",$I$38-1,0)),IF(AND($L$37=0,$P$34=0),"",$L$37-1),IF($R$17="Distrato",$E207,0))),0,YEARFRAC(MAX($P$34*($B207+IF($R$17="Distrato",$I$38-1,0)),IF(AND($L$37=0,$P$34=0),"",$L$37-1),IF($R$17="Distrato",$E207,0)),MIN(U$38,$D$19),$P$20))-SUM($P207:T207)</f>
        <v>#VALUE!</v>
      </c>
      <c r="V207" s="446" t="e">
        <f>IF(OR($B207="",MIN(V$38,$D$19)&lt;MAX($P$34*($B207+IF($R$17="Distrato",$I$38-1,0)),IF(AND($L$37=0,$P$34=0),"",$L$37-1),IF($R$17="Distrato",$E207,0))),0,YEARFRAC(MAX($P$34*($B207+IF($R$17="Distrato",$I$38-1,0)),IF(AND($L$37=0,$P$34=0),"",$L$37-1),IF($R$17="Distrato",$E207,0)),MIN(V$38,$D$19),$P$20))-SUM($P207:U207)</f>
        <v>#VALUE!</v>
      </c>
      <c r="W207" s="446" t="e">
        <f>IF(OR($B207="",MIN(W$38,$D$19)&lt;MAX($P$34*($B207+IF($R$17="Distrato",$I$38-1,0)),IF(AND($L$37=0,$P$34=0),"",$L$37-1),IF($R$17="Distrato",$E207,0))),0,YEARFRAC(MAX($P$34*($B207+IF($R$17="Distrato",$I$38-1,0)),IF(AND($L$37=0,$P$34=0),"",$L$37-1),IF($R$17="Distrato",$E207,0)),MIN(W$38,$D$19),$P$20))-SUM($P207:V207)</f>
        <v>#VALUE!</v>
      </c>
      <c r="X207" s="446" t="e">
        <f>IF(OR($B207="",MIN(X$38,$D$19)&lt;MAX($P$34*($B207+IF($R$17="Distrato",$I$38-1,0)),IF(AND($L$37=0,$P$34=0),"",$L$37-1),IF($R$17="Distrato",$E207,0))),0,YEARFRAC(MAX($P$34*($B207+IF($R$17="Distrato",$I$38-1,0)),IF(AND($L$37=0,$P$34=0),"",$L$37-1),IF($R$17="Distrato",$E207,0)),MIN(X$38,$D$19),$P$20))-SUM($P207:W207)</f>
        <v>#VALUE!</v>
      </c>
      <c r="Y207" s="446" t="e">
        <f>IF(OR($B207="",MIN(Y$38,$D$19)&lt;MAX($P$34*($B207+IF($R$17="Distrato",$I$38-1,0)),IF(AND($L$37=0,$P$34=0),"",$L$37-1),IF($R$17="Distrato",$E207,0))),0,YEARFRAC(MAX($P$34*($B207+IF($R$17="Distrato",$I$38-1,0)),IF(AND($L$37=0,$P$34=0),"",$L$37-1),IF($R$17="Distrato",$E207,0)),MIN(Y$38,$D$19),$P$20))-SUM($P207:X207)</f>
        <v>#VALUE!</v>
      </c>
      <c r="Z207" s="446" t="e">
        <f>IF(OR($B207="",MIN(Z$38,$D$19)&lt;MAX($P$34*($B207+IF($R$17="Distrato",$I$38-1,0)),IF(AND($L$37=0,$P$34=0),"",$L$37-1),IF($R$17="Distrato",$E207,0))),0,YEARFRAC(MAX($P$34*($B207+IF($R$17="Distrato",$I$38-1,0)),IF(AND($L$37=0,$P$34=0),"",$L$37-1),IF($R$17="Distrato",$E207,0)),MIN(Z$38,$D$19),$P$20))-SUM($P207:Y207)</f>
        <v>#VALUE!</v>
      </c>
      <c r="AA207" s="446" t="e">
        <f>IF(OR($B207="",MIN(AA$38,$D$19)&lt;MAX($P$34*($B207+IF($R$17="Distrato",$I$38-1,0)),IF(AND($L$37=0,$P$34=0),"",$L$37-1),IF($R$17="Distrato",$E207,0))),0,YEARFRAC(MAX($P$34*($B207+IF($R$17="Distrato",$I$38-1,0)),IF(AND($L$37=0,$P$34=0),"",$L$37-1),IF($R$17="Distrato",$E207,0)),MIN(AA$38,$D$19),$P$20))-SUM($P207:Z207)</f>
        <v>#VALUE!</v>
      </c>
      <c r="AB207" s="446" t="e">
        <f>IF(OR($B207="",MIN(AB$38,$D$19)&lt;MAX($P$34*($B207+IF($R$17="Distrato",$I$38-1,0)),IF(AND($L$37=0,$P$34=0),"",$L$37-1),IF($R$17="Distrato",$E207,0))),0,YEARFRAC(MAX($P$34*($B207+IF($R$17="Distrato",$I$38-1,0)),IF(AND($L$37=0,$P$34=0),"",$L$37-1),IF($R$17="Distrato",$E207,0)),MIN(AB$38,$D$19),$P$20))-SUM($P207:AA207)</f>
        <v>#VALUE!</v>
      </c>
      <c r="AC207" s="446" t="e">
        <f>IF(OR($B207="",MIN(AC$38,$D$19)&lt;MAX($P$34*($B207+IF($R$17="Distrato",$I$38-1,0)),IF(AND($L$37=0,$P$34=0),"",$L$37-1),IF($R$17="Distrato",$E207,0))),0,YEARFRAC(MAX($P$34*($B207+IF($R$17="Distrato",$I$38-1,0)),IF(AND($L$37=0,$P$34=0),"",$L$37-1),IF($R$17="Distrato",$E207,0)),MIN(AC$38,$D$19),$P$20))-SUM($P207:AB207)</f>
        <v>#VALUE!</v>
      </c>
      <c r="AD207" s="446" t="e">
        <f>IF(OR($B207="",MIN(AD$38,$D$19)&lt;MAX($P$34*($B207+IF($R$17="Distrato",$I$38-1,0)),IF(AND($L$37=0,$P$34=0),"",$L$37-1),IF($R$17="Distrato",$E207,0))),0,YEARFRAC(MAX($P$34*($B207+IF($R$17="Distrato",$I$38-1,0)),IF(AND($L$37=0,$P$34=0),"",$L$37-1),IF($R$17="Distrato",$E207,0)),MIN(AD$38,$D$19),$P$20))-SUM($P207:AC207)</f>
        <v>#VALUE!</v>
      </c>
      <c r="AE207" s="446" t="e">
        <f>IF(OR($B207="",MIN(AE$38,$D$19)&lt;MAX($P$34*($B207+IF($R$17="Distrato",$I$38-1,0)),IF(AND($L$37=0,$P$34=0),"",$L$37-1),IF($R$17="Distrato",$E207,0))),0,YEARFRAC(MAX($P$34*($B207+IF($R$17="Distrato",$I$38-1,0)),IF(AND($L$37=0,$P$34=0),"",$L$37-1),IF($R$17="Distrato",$E207,0)),MIN(AE$38,$D$19),$P$20))-SUM($P207:AD207)</f>
        <v>#VALUE!</v>
      </c>
      <c r="AF207" s="446" t="e">
        <f>IF(OR($B207="",MIN(AF$38,$D$19)&lt;MAX($P$34*($B207+IF($R$17="Distrato",$I$38-1,0)),IF(AND($L$37=0,$P$34=0),"",$L$37-1),IF($R$17="Distrato",$E207,0))),0,YEARFRAC(MAX($P$34*($B207+IF($R$17="Distrato",$I$38-1,0)),IF(AND($L$37=0,$P$34=0),"",$L$37-1),IF($R$17="Distrato",$E207,0)),MIN(AF$38,$D$19),$P$20))-SUM($P207:AE207)</f>
        <v>#VALUE!</v>
      </c>
      <c r="AG207" s="446" t="e">
        <f>IF(OR($B207="",MIN(AG$38,$D$19)&lt;MAX($P$34*($B207+IF($R$17="Distrato",$I$38-1,0)),IF(AND($L$37=0,$P$34=0),"",$L$37-1),IF($R$17="Distrato",$E207,0))),0,YEARFRAC(MAX($P$34*($B207+IF($R$17="Distrato",$I$38-1,0)),IF(AND($L$37=0,$P$34=0),"",$L$37-1),IF($R$17="Distrato",$E207,0)),MIN(AG$38,$D$19),$P$20))-SUM($P207:AF207)</f>
        <v>#VALUE!</v>
      </c>
      <c r="AH207" s="446" t="e">
        <f>IF(OR($B207="",MIN(AH$38,$D$19)&lt;MAX($P$34*($B207+IF($R$17="Distrato",$I$38-1,0)),IF(AND($L$37=0,$P$34=0),"",$L$37-1),IF($R$17="Distrato",$E207,0))),0,YEARFRAC(MAX($P$34*($B207+IF($R$17="Distrato",$I$38-1,0)),IF(AND($L$37=0,$P$34=0),"",$L$37-1),IF($R$17="Distrato",$E207,0)),MIN(AH$38,$D$19),$P$20))-SUM($P207:AG207)</f>
        <v>#VALUE!</v>
      </c>
      <c r="AI207" s="446" t="e">
        <f>IF(OR($B207="",MIN(AI$38,$D$19)&lt;MAX($P$34*($B207+IF($R$17="Distrato",$I$38-1,0)),IF(AND($L$37=0,$P$34=0),"",$L$37-1),IF($R$17="Distrato",$E207,0))),0,YEARFRAC(MAX($P$34*($B207+IF($R$17="Distrato",$I$38-1,0)),IF(AND($L$37=0,$P$34=0),"",$L$37-1),IF($R$17="Distrato",$E207,0)),MIN(AI$38,$D$19),$P$20))-SUM($P207:AH207)</f>
        <v>#VALUE!</v>
      </c>
      <c r="AJ207" s="446" t="e">
        <f>IF(OR($B207="",MIN(AJ$38,$D$19)&lt;MAX($P$34*($B207+IF($R$17="Distrato",$I$38-1,0)),IF(AND($L$37=0,$P$34=0),"",$L$37-1),IF($R$17="Distrato",$E207,0))),0,YEARFRAC(MAX($P$34*($B207+IF($R$17="Distrato",$I$38-1,0)),IF(AND($L$37=0,$P$34=0),"",$L$37-1),IF($R$17="Distrato",$E207,0)),MIN(AJ$38,$D$19),$P$20))-SUM($P207:AI207)</f>
        <v>#VALUE!</v>
      </c>
      <c r="AK207" s="446" t="e">
        <f>IF(OR($B207="",MIN(AK$38,$D$19)&lt;MAX($P$34*($B207+IF($R$17="Distrato",$I$38-1,0)),IF(AND($L$37=0,$P$34=0),"",$L$37-1),IF($R$17="Distrato",$E207,0))),0,YEARFRAC(MAX($P$34*($B207+IF($R$17="Distrato",$I$38-1,0)),IF(AND($L$37=0,$P$34=0),"",$L$37-1),IF($R$17="Distrato",$E207,0)),MIN(AK$38,$D$19),$P$20))-SUM($P207:AJ207)</f>
        <v>#VALUE!</v>
      </c>
      <c r="AL207" s="446" t="e">
        <f>IF(OR($B207="",MIN(AL$38,$D$19)&lt;MAX($P$34*($B207+IF($R$17="Distrato",$I$38-1,0)),IF(AND($L$37=0,$P$34=0),"",$L$37-1),IF($R$17="Distrato",$E207,0))),0,YEARFRAC(MAX($P$34*($B207+IF($R$17="Distrato",$I$38-1,0)),IF(AND($L$37=0,$P$34=0),"",$L$37-1),IF($R$17="Distrato",$E207,0)),MIN(AL$38,$D$19),$P$20))-SUM($P207:AK207)</f>
        <v>#VALUE!</v>
      </c>
      <c r="AM207" s="446" t="e">
        <f>IF(OR($B207="",MIN(AM$38,$D$19)&lt;MAX($P$34*($B207+IF($R$17="Distrato",$I$38-1,0)),IF(AND($L$37=0,$P$34=0),"",$L$37-1),IF($R$17="Distrato",$E207,0))),0,YEARFRAC(MAX($P$34*($B207+IF($R$17="Distrato",$I$38-1,0)),IF(AND($L$37=0,$P$34=0),"",$L$37-1),IF($R$17="Distrato",$E207,0)),MIN(AM$38,$D$19),$P$20))-SUM($P207:AL207)</f>
        <v>#VALUE!</v>
      </c>
      <c r="AN207" s="446" t="e">
        <f>IF(OR($B207="",MIN(AN$38,$D$19)&lt;MAX($P$34*($B207+IF($R$17="Distrato",$I$38-1,0)),IF(AND($L$37=0,$P$34=0),"",$L$37-1),IF($R$17="Distrato",$E207,0))),0,YEARFRAC(MAX($P$34*($B207+IF($R$17="Distrato",$I$38-1,0)),IF(AND($L$37=0,$P$34=0),"",$L$37-1),IF($R$17="Distrato",$E207,0)),MIN(AN$38,$D$19),$P$20))-SUM($P207:AM207)</f>
        <v>#VALUE!</v>
      </c>
      <c r="AO207" s="446" t="e">
        <f>IF(OR($B207="",MIN(AO$38,$D$19)&lt;MAX($P$34*($B207+IF($R$17="Distrato",$I$38-1,0)),IF(AND($L$37=0,$P$34=0),"",$L$37-1),IF($R$17="Distrato",$E207,0))),0,YEARFRAC(MAX($P$34*($B207+IF($R$17="Distrato",$I$38-1,0)),IF(AND($L$37=0,$P$34=0),"",$L$37-1),IF($R$17="Distrato",$E207,0)),MIN(AO$38,$D$19),$P$20))-SUM($P207:AN207)</f>
        <v>#VALUE!</v>
      </c>
      <c r="AP207" s="446" t="e">
        <f>IF(OR($B207="",MIN(AP$38,$D$19)&lt;MAX($P$34*($B207+IF($R$17="Distrato",$I$38-1,0)),IF(AND($L$37=0,$P$34=0),"",$L$37-1),IF($R$17="Distrato",$E207,0))),0,YEARFRAC(MAX($P$34*($B207+IF($R$17="Distrato",$I$38-1,0)),IF(AND($L$37=0,$P$34=0),"",$L$37-1),IF($R$17="Distrato",$E207,0)),MIN(AP$38,$D$19),$P$20))-SUM($P207:AO207)</f>
        <v>#VALUE!</v>
      </c>
      <c r="AQ207" s="446" t="e">
        <f>IF(OR($B207="",MIN(AQ$38,$D$19)&lt;MAX($P$34*($B207+IF($R$17="Distrato",$I$38-1,0)),IF(AND($L$37=0,$P$34=0),"",$L$37-1),IF($R$17="Distrato",$E207,0))),0,YEARFRAC(MAX($P$34*($B207+IF($R$17="Distrato",$I$38-1,0)),IF(AND($L$37=0,$P$34=0),"",$L$37-1),IF($R$17="Distrato",$E207,0)),MIN(AQ$38,$D$19),$P$20))-SUM($P207:AP207)</f>
        <v>#VALUE!</v>
      </c>
      <c r="AR207" s="446" t="e">
        <f>IF(OR($B207="",MIN(AR$38,$D$19)&lt;MAX($P$34*($B207+IF($R$17="Distrato",$I$38-1,0)),IF(AND($L$37=0,$P$34=0),"",$L$37-1),IF($R$17="Distrato",$E207,0))),0,YEARFRAC(MAX($P$34*($B207+IF($R$17="Distrato",$I$38-1,0)),IF(AND($L$37=0,$P$34=0),"",$L$37-1),IF($R$17="Distrato",$E207,0)),MIN(AR$38,$D$19),$P$20))-SUM($P207:AQ207)</f>
        <v>#VALUE!</v>
      </c>
      <c r="AS207" s="446" t="e">
        <f>IF(OR($B207="",MIN(AS$38,$D$19)&lt;MAX($P$34*($B207+IF($R$17="Distrato",$I$38-1,0)),IF(AND($L$37=0,$P$34=0),"",$L$37-1),IF($R$17="Distrato",$E207,0))),0,YEARFRAC(MAX($P$34*($B207+IF($R$17="Distrato",$I$38-1,0)),IF(AND($L$37=0,$P$34=0),"",$L$37-1),IF($R$17="Distrato",$E207,0)),MIN(AS$38,$D$19),$P$20))-SUM($P207:AR207)</f>
        <v>#VALUE!</v>
      </c>
      <c r="AT207" s="446" t="e">
        <f>IF(OR($B207="",MIN(AT$38,$D$19)&lt;MAX($P$34*($B207+IF($R$17="Distrato",$I$38-1,0)),IF(AND($L$37=0,$P$34=0),"",$L$37-1),IF($R$17="Distrato",$E207,0))),0,YEARFRAC(MAX($P$34*($B207+IF($R$17="Distrato",$I$38-1,0)),IF(AND($L$37=0,$P$34=0),"",$L$37-1),IF($R$17="Distrato",$E207,0)),MIN(AT$38,$D$19),$P$20))-SUM($P207:AS207)</f>
        <v>#VALUE!</v>
      </c>
      <c r="AU207" s="446" t="e">
        <f>IF(OR($B207="",MIN(AU$38,$D$19)&lt;MAX($P$34*($B207+IF($R$17="Distrato",$I$38-1,0)),IF(AND($L$37=0,$P$34=0),"",$L$37-1),IF($R$17="Distrato",$E207,0))),0,YEARFRAC(MAX($P$34*($B207+IF($R$17="Distrato",$I$38-1,0)),IF(AND($L$37=0,$P$34=0),"",$L$37-1),IF($R$17="Distrato",$E207,0)),MIN(AU$38,$D$19),$P$20))-SUM($P207:AT207)</f>
        <v>#VALUE!</v>
      </c>
      <c r="AV207" s="446" t="e">
        <f>IF(OR($B207="",MIN(AV$38,$D$19)&lt;MAX($P$34*($B207+IF($R$17="Distrato",$I$38-1,0)),IF(AND($L$37=0,$P$34=0),"",$L$37-1),IF($R$17="Distrato",$E207,0))),0,YEARFRAC(MAX($P$34*($B207+IF($R$17="Distrato",$I$38-1,0)),IF(AND($L$37=0,$P$34=0),"",$L$37-1),IF($R$17="Distrato",$E207,0)),MIN(AV$38,$D$19),$P$20))-SUM($P207:AU207)</f>
        <v>#VALUE!</v>
      </c>
      <c r="AW207" s="446" t="e">
        <f>IF(OR($B207="",MIN(AW$38,$D$19)&lt;MAX($P$34*($B207+IF($R$17="Distrato",$I$38-1,0)),IF(AND($L$37=0,$P$34=0),"",$L$37-1),IF($R$17="Distrato",$E207,0))),0,YEARFRAC(MAX($P$34*($B207+IF($R$17="Distrato",$I$38-1,0)),IF(AND($L$37=0,$P$34=0),"",$L$37-1),IF($R$17="Distrato",$E207,0)),MIN(AW$38,$D$19),$P$20))-SUM($P207:AV207)</f>
        <v>#VALUE!</v>
      </c>
      <c r="AX207" s="446" t="e">
        <f>IF(OR($B207="",MIN(AX$38,$D$19)&lt;MAX($P$34*($B207+IF($R$17="Distrato",$I$38-1,0)),IF(AND($L$37=0,$P$34=0),"",$L$37-1),IF($R$17="Distrato",$E207,0))),0,YEARFRAC(MAX($P$34*($B207+IF($R$17="Distrato",$I$38-1,0)),IF(AND($L$37=0,$P$34=0),"",$L$37-1),IF($R$17="Distrato",$E207,0)),MIN(AX$38,$D$19),$P$20))-SUM($P207:AW207)</f>
        <v>#VALUE!</v>
      </c>
      <c r="AY207" s="446" t="e">
        <f>IF(OR($B207="",MIN(AY$38,$D$19)&lt;MAX($P$34*($B207+IF($R$17="Distrato",$I$38-1,0)),IF(AND($L$37=0,$P$34=0),"",$L$37-1),IF($R$17="Distrato",$E207,0))),0,YEARFRAC(MAX($P$34*($B207+IF($R$17="Distrato",$I$38-1,0)),IF(AND($L$37=0,$P$34=0),"",$L$37-1),IF($R$17="Distrato",$E207,0)),MIN(AY$38,$D$19),$P$20))-SUM($P207:AX207)</f>
        <v>#VALUE!</v>
      </c>
      <c r="AZ207" s="446" t="e">
        <f>IF(OR($B207="",MIN(AZ$38,$D$19)&lt;MAX($P$34*($B207+IF($R$17="Distrato",$I$38-1,0)),IF(AND($L$37=0,$P$34=0),"",$L$37-1),IF($R$17="Distrato",$E207,0))),0,YEARFRAC(MAX($P$34*($B207+IF($R$17="Distrato",$I$38-1,0)),IF(AND($L$37=0,$P$34=0),"",$L$37-1),IF($R$17="Distrato",$E207,0)),MIN(AZ$38,$D$19),$P$20))-SUM($P207:AY207)</f>
        <v>#VALUE!</v>
      </c>
      <c r="BA207" s="446" t="e">
        <f>IF(OR($B207="",MIN(BA$38,$D$19)&lt;MAX($P$34*($B207+IF($R$17="Distrato",$I$38-1,0)),IF(AND($L$37=0,$P$34=0),"",$L$37-1),IF($R$17="Distrato",$E207,0))),0,YEARFRAC(MAX($P$34*($B207+IF($R$17="Distrato",$I$38-1,0)),IF(AND($L$37=0,$P$34=0),"",$L$37-1),IF($R$17="Distrato",$E207,0)),MIN(BA$38,$D$19),$P$20))-SUM($P207:AZ207)</f>
        <v>#VALUE!</v>
      </c>
      <c r="BB207" s="447"/>
      <c r="BF207" s="446">
        <f t="shared" si="32"/>
        <v>0</v>
      </c>
      <c r="BG207" s="446">
        <f>IF($E207=0,0,IF(MIN(BG$38,$E207)&lt;MAX($P$34*($B207+$I$38-1),IF(AND($L$37=0,$P$34=0),"",$L$37-1)),0,YEARFRAC(MAX($P$34*($B207+$I$38-1),IF(AND($L$37=0,$P$34=0),"",$L$37-1)),MIN(BG$38,$E207),$P$20))-SUM($BF207:BF207))</f>
        <v>0</v>
      </c>
      <c r="BH207" s="446">
        <f>IF($E207=0,0,IF(MIN(BH$38,$E207)&lt;MAX($P$34*($B207+$I$38-1),IF(AND($L$37=0,$P$34=0),"",$L$37-1)),0,YEARFRAC(MAX($P$34*($B207+$I$38-1),IF(AND($L$37=0,$P$34=0),"",$L$37-1)),MIN(BH$38,$E207),$P$20))-SUM($BF207:BG207))</f>
        <v>0</v>
      </c>
      <c r="BI207" s="446">
        <f>IF($E207=0,0,IF(MIN(BI$38,$E207)&lt;MAX($P$34*($B207+$I$38-1),IF(AND($L$37=0,$P$34=0),"",$L$37-1)),0,YEARFRAC(MAX($P$34*($B207+$I$38-1),IF(AND($L$37=0,$P$34=0),"",$L$37-1)),MIN(BI$38,$E207),$P$20))-SUM($BF207:BH207))</f>
        <v>0</v>
      </c>
      <c r="BJ207" s="446">
        <f>IF($E207=0,0,IF(MIN(BJ$38,$E207)&lt;MAX($P$34*($B207+$I$38-1),IF(AND($L$37=0,$P$34=0),"",$L$37-1)),0,YEARFRAC(MAX($P$34*($B207+$I$38-1),IF(AND($L$37=0,$P$34=0),"",$L$37-1)),MIN(BJ$38,$E207),$P$20))-SUM($BF207:BI207))</f>
        <v>0</v>
      </c>
      <c r="BK207" s="446">
        <f>IF($E207=0,0,IF(MIN(BK$38,$E207)&lt;MAX($P$34*($B207+$I$38-1),IF(AND($L$37=0,$P$34=0),"",$L$37-1)),0,YEARFRAC(MAX($P$34*($B207+$I$38-1),IF(AND($L$37=0,$P$34=0),"",$L$37-1)),MIN(BK$38,$E207),$P$20))-SUM($BF207:BJ207))</f>
        <v>0</v>
      </c>
      <c r="BL207" s="446">
        <f>IF($E207=0,0,IF(MIN(BL$38,$E207)&lt;MAX($P$34*($B207+$I$38-1),IF(AND($L$37=0,$P$34=0),"",$L$37-1)),0,YEARFRAC(MAX($P$34*($B207+$I$38-1),IF(AND($L$37=0,$P$34=0),"",$L$37-1)),MIN(BL$38,$E207),$P$20))-SUM($BF207:BK207))</f>
        <v>0</v>
      </c>
      <c r="BM207" s="446">
        <f>IF($E207=0,0,IF(MIN(BM$38,$E207)&lt;MAX($P$34*($B207+$I$38-1),IF(AND($L$37=0,$P$34=0),"",$L$37-1)),0,YEARFRAC(MAX($P$34*($B207+$I$38-1),IF(AND($L$37=0,$P$34=0),"",$L$37-1)),MIN(BM$38,$E207),$P$20))-SUM($BF207:BL207))</f>
        <v>0</v>
      </c>
      <c r="BN207" s="446">
        <f>IF($E207=0,0,IF(MIN(BN$38,$E207)&lt;MAX($P$34*($B207+$I$38-1),IF(AND($L$37=0,$P$34=0),"",$L$37-1)),0,YEARFRAC(MAX($P$34*($B207+$I$38-1),IF(AND($L$37=0,$P$34=0),"",$L$37-1)),MIN(BN$38,$E207),$P$20))-SUM($BF207:BM207))</f>
        <v>0</v>
      </c>
      <c r="BO207" s="446">
        <f>IF($E207=0,0,IF(MIN(BO$38,$E207)&lt;MAX($P$34*($B207+$I$38-1),IF(AND($L$37=0,$P$34=0),"",$L$37-1)),0,YEARFRAC(MAX($P$34*($B207+$I$38-1),IF(AND($L$37=0,$P$34=0),"",$L$37-1)),MIN(BO$38,$E207),$P$20))-SUM($BF207:BN207))</f>
        <v>0</v>
      </c>
      <c r="BP207" s="446">
        <f>IF($E207=0,0,IF(MIN(BP$38,$E207)&lt;MAX($P$34*($B207+$I$38-1),IF(AND($L$37=0,$P$34=0),"",$L$37-1)),0,YEARFRAC(MAX($P$34*($B207+$I$38-1),IF(AND($L$37=0,$P$34=0),"",$L$37-1)),MIN(BP$38,$E207),$P$20))-SUM($BF207:BO207))</f>
        <v>0</v>
      </c>
      <c r="BQ207" s="446">
        <f>IF($E207=0,0,IF(MIN(BQ$38,$E207)&lt;MAX($P$34*($B207+$I$38-1),IF(AND($L$37=0,$P$34=0),"",$L$37-1)),0,YEARFRAC(MAX($P$34*($B207+$I$38-1),IF(AND($L$37=0,$P$34=0),"",$L$37-1)),MIN(BQ$38,$E207),$P$20))-SUM($BF207:BP207))</f>
        <v>0</v>
      </c>
      <c r="BR207" s="446">
        <f>IF($E207=0,0,IF(MIN(BR$38,$E207)&lt;MAX($P$34*($B207+$I$38-1),IF(AND($L$37=0,$P$34=0),"",$L$37-1)),0,YEARFRAC(MAX($P$34*($B207+$I$38-1),IF(AND($L$37=0,$P$34=0),"",$L$37-1)),MIN(BR$38,$E207),$P$20))-SUM($BF207:BQ207))</f>
        <v>0</v>
      </c>
      <c r="BS207" s="446">
        <f>IF($E207=0,0,IF(MIN(BS$38,$E207)&lt;MAX($P$34*($B207+$I$38-1),IF(AND($L$37=0,$P$34=0),"",$L$37-1)),0,YEARFRAC(MAX($P$34*($B207+$I$38-1),IF(AND($L$37=0,$P$34=0),"",$L$37-1)),MIN(BS$38,$E207),$P$20))-SUM($BF207:BR207))</f>
        <v>0</v>
      </c>
      <c r="BT207" s="446">
        <f>IF($E207=0,0,IF(MIN(BT$38,$E207)&lt;MAX($P$34*($B207+$I$38-1),IF(AND($L$37=0,$P$34=0),"",$L$37-1)),0,YEARFRAC(MAX($P$34*($B207+$I$38-1),IF(AND($L$37=0,$P$34=0),"",$L$37-1)),MIN(BT$38,$E207),$P$20))-SUM($BF207:BS207))</f>
        <v>0</v>
      </c>
      <c r="BU207" s="446">
        <f>IF($E207=0,0,IF(MIN(BU$38,$E207)&lt;MAX($P$34*($B207+$I$38-1),IF(AND($L$37=0,$P$34=0),"",$L$37-1)),0,YEARFRAC(MAX($P$34*($B207+$I$38-1),IF(AND($L$37=0,$P$34=0),"",$L$37-1)),MIN(BU$38,$E207),$P$20))-SUM($BF207:BT207))</f>
        <v>0</v>
      </c>
      <c r="BV207" s="446">
        <f>IF($E207=0,0,IF(MIN(BV$38,$E207)&lt;MAX($P$34*($B207+$I$38-1),IF(AND($L$37=0,$P$34=0),"",$L$37-1)),0,YEARFRAC(MAX($P$34*($B207+$I$38-1),IF(AND($L$37=0,$P$34=0),"",$L$37-1)),MIN(BV$38,$E207),$P$20))-SUM($BF207:BU207))</f>
        <v>0</v>
      </c>
      <c r="BW207" s="446">
        <f>IF($E207=0,0,IF(MIN(BW$38,$E207)&lt;MAX($P$34*($B207+$I$38-1),IF(AND($L$37=0,$P$34=0),"",$L$37-1)),0,YEARFRAC(MAX($P$34*($B207+$I$38-1),IF(AND($L$37=0,$P$34=0),"",$L$37-1)),MIN(BW$38,$E207),$P$20))-SUM($BF207:BV207))</f>
        <v>0</v>
      </c>
      <c r="BX207" s="446">
        <f>IF($E207=0,0,IF(MIN(BX$38,$E207)&lt;MAX($P$34*($B207+$I$38-1),IF(AND($L$37=0,$P$34=0),"",$L$37-1)),0,YEARFRAC(MAX($P$34*($B207+$I$38-1),IF(AND($L$37=0,$P$34=0),"",$L$37-1)),MIN(BX$38,$E207),$P$20))-SUM($BF207:BW207))</f>
        <v>0</v>
      </c>
      <c r="BY207" s="446">
        <f>IF($E207=0,0,IF(MIN(BY$38,$E207)&lt;MAX($P$34*($B207+$I$38-1),IF(AND($L$37=0,$P$34=0),"",$L$37-1)),0,YEARFRAC(MAX($P$34*($B207+$I$38-1),IF(AND($L$37=0,$P$34=0),"",$L$37-1)),MIN(BY$38,$E207),$P$20))-SUM($BF207:BX207))</f>
        <v>0</v>
      </c>
      <c r="BZ207" s="446">
        <f>IF($E207=0,0,IF(MIN(BZ$38,$E207)&lt;MAX($P$34*($B207+$I$38-1),IF(AND($L$37=0,$P$34=0),"",$L$37-1)),0,YEARFRAC(MAX($P$34*($B207+$I$38-1),IF(AND($L$37=0,$P$34=0),"",$L$37-1)),MIN(BZ$38,$E207),$P$20))-SUM($BF207:BY207))</f>
        <v>0</v>
      </c>
      <c r="CA207" s="446">
        <f>IF($E207=0,0,IF(MIN(CA$38,$E207)&lt;MAX($P$34*($B207+$I$38-1),IF(AND($L$37=0,$P$34=0),"",$L$37-1)),0,YEARFRAC(MAX($P$34*($B207+$I$38-1),IF(AND($L$37=0,$P$34=0),"",$L$37-1)),MIN(CA$38,$E207),$P$20))-SUM($BF207:BZ207))</f>
        <v>0</v>
      </c>
      <c r="CB207" s="446">
        <f>IF($E207=0,0,IF(MIN(CB$38,$E207)&lt;MAX($P$34*($B207+$I$38-1),IF(AND($L$37=0,$P$34=0),"",$L$37-1)),0,YEARFRAC(MAX($P$34*($B207+$I$38-1),IF(AND($L$37=0,$P$34=0),"",$L$37-1)),MIN(CB$38,$E207),$P$20))-SUM($BF207:CA207))</f>
        <v>0</v>
      </c>
      <c r="CC207" s="446">
        <f>IF($E207=0,0,IF(MIN(CC$38,$E207)&lt;MAX($P$34*($B207+$I$38-1),IF(AND($L$37=0,$P$34=0),"",$L$37-1)),0,YEARFRAC(MAX($P$34*($B207+$I$38-1),IF(AND($L$37=0,$P$34=0),"",$L$37-1)),MIN(CC$38,$E207),$P$20))-SUM($BF207:CB207))</f>
        <v>0</v>
      </c>
      <c r="CD207" s="446">
        <f>IF($E207=0,0,IF(MIN(CD$38,$E207)&lt;MAX($P$34*($B207+$I$38-1),IF(AND($L$37=0,$P$34=0),"",$L$37-1)),0,YEARFRAC(MAX($P$34*($B207+$I$38-1),IF(AND($L$37=0,$P$34=0),"",$L$37-1)),MIN(CD$38,$E207),$P$20))-SUM($BF207:CC207))</f>
        <v>0</v>
      </c>
      <c r="CE207" s="446">
        <f>IF($E207=0,0,IF(MIN(CE$38,$E207)&lt;MAX($P$34*($B207+$I$38-1),IF(AND($L$37=0,$P$34=0),"",$L$37-1)),0,YEARFRAC(MAX($P$34*($B207+$I$38-1),IF(AND($L$37=0,$P$34=0),"",$L$37-1)),MIN(CE$38,$E207),$P$20))-SUM($BF207:CD207))</f>
        <v>0</v>
      </c>
      <c r="CF207" s="446">
        <f>IF($E207=0,0,IF(MIN(CF$38,$E207)&lt;MAX($P$34*($B207+$I$38-1),IF(AND($L$37=0,$P$34=0),"",$L$37-1)),0,YEARFRAC(MAX($P$34*($B207+$I$38-1),IF(AND($L$37=0,$P$34=0),"",$L$37-1)),MIN(CF$38,$E207),$P$20))-SUM($BF207:CE207))</f>
        <v>0</v>
      </c>
      <c r="CG207" s="446">
        <f>IF($E207=0,0,IF(MIN(CG$38,$E207)&lt;MAX($P$34*($B207+$I$38-1),IF(AND($L$37=0,$P$34=0),"",$L$37-1)),0,YEARFRAC(MAX($P$34*($B207+$I$38-1),IF(AND($L$37=0,$P$34=0),"",$L$37-1)),MIN(CG$38,$E207),$P$20))-SUM($BF207:CF207))</f>
        <v>0</v>
      </c>
      <c r="CH207" s="446">
        <f>IF($E207=0,0,IF(MIN(CH$38,$E207)&lt;MAX($P$34*($B207+$I$38-1),IF(AND($L$37=0,$P$34=0),"",$L$37-1)),0,YEARFRAC(MAX($P$34*($B207+$I$38-1),IF(AND($L$37=0,$P$34=0),"",$L$37-1)),MIN(CH$38,$E207),$P$20))-SUM($BF207:CG207))</f>
        <v>0</v>
      </c>
      <c r="CI207" s="446">
        <f>IF($E207=0,0,IF(MIN(CI$38,$E207)&lt;MAX($P$34*($B207+$I$38-1),IF(AND($L$37=0,$P$34=0),"",$L$37-1)),0,YEARFRAC(MAX($P$34*($B207+$I$38-1),IF(AND($L$37=0,$P$34=0),"",$L$37-1)),MIN(CI$38,$E207),$P$20))-SUM($BF207:CH207))</f>
        <v>0</v>
      </c>
      <c r="CJ207" s="446">
        <f>IF($E207=0,0,IF(MIN(CJ$38,$E207)&lt;MAX($P$34*($B207+$I$38-1),IF(AND($L$37=0,$P$34=0),"",$L$37-1)),0,YEARFRAC(MAX($P$34*($B207+$I$38-1),IF(AND($L$37=0,$P$34=0),"",$L$37-1)),MIN(CJ$38,$E207),$P$20))-SUM($BF207:CI207))</f>
        <v>0</v>
      </c>
      <c r="CK207" s="446">
        <f>IF($E207=0,0,IF(MIN(CK$38,$E207)&lt;MAX($P$34*($B207+$I$38-1),IF(AND($L$37=0,$P$34=0),"",$L$37-1)),0,YEARFRAC(MAX($P$34*($B207+$I$38-1),IF(AND($L$37=0,$P$34=0),"",$L$37-1)),MIN(CK$38,$E207),$P$20))-SUM($BF207:CJ207))</f>
        <v>0</v>
      </c>
      <c r="CL207" s="446">
        <f>IF($E207=0,0,IF(MIN(CL$38,$E207)&lt;MAX($P$34*($B207+$I$38-1),IF(AND($L$37=0,$P$34=0),"",$L$37-1)),0,YEARFRAC(MAX($P$34*($B207+$I$38-1),IF(AND($L$37=0,$P$34=0),"",$L$37-1)),MIN(CL$38,$E207),$P$20))-SUM($BF207:CK207))</f>
        <v>0</v>
      </c>
      <c r="CM207" s="446">
        <f>IF($E207=0,0,IF(MIN(CM$38,$E207)&lt;MAX($P$34*($B207+$I$38-1),IF(AND($L$37=0,$P$34=0),"",$L$37-1)),0,YEARFRAC(MAX($P$34*($B207+$I$38-1),IF(AND($L$37=0,$P$34=0),"",$L$37-1)),MIN(CM$38,$E207),$P$20))-SUM($BF207:CL207))</f>
        <v>0</v>
      </c>
      <c r="CN207" s="446">
        <f>IF($E207=0,0,IF(MIN(CN$38,$E207)&lt;MAX($P$34*($B207+$I$38-1),IF(AND($L$37=0,$P$34=0),"",$L$37-1)),0,YEARFRAC(MAX($P$34*($B207+$I$38-1),IF(AND($L$37=0,$P$34=0),"",$L$37-1)),MIN(CN$38,$E207),$P$20))-SUM($BF207:CM207))</f>
        <v>0</v>
      </c>
      <c r="CO207" s="446">
        <f>IF($E207=0,0,IF(MIN(CO$38,$E207)&lt;MAX($P$34*($B207+$I$38-1),IF(AND($L$37=0,$P$34=0),"",$L$37-1)),0,YEARFRAC(MAX($P$34*($B207+$I$38-1),IF(AND($L$37=0,$P$34=0),"",$L$37-1)),MIN(CO$38,$E207),$P$20))-SUM($BF207:CN207))</f>
        <v>0</v>
      </c>
      <c r="CP207" s="446">
        <f>IF($E207=0,0,IF(MIN(CP$38,$E207)&lt;MAX($P$34*($B207+$I$38-1),IF(AND($L$37=0,$P$34=0),"",$L$37-1)),0,YEARFRAC(MAX($P$34*($B207+$I$38-1),IF(AND($L$37=0,$P$34=0),"",$L$37-1)),MIN(CP$38,$E207),$P$20))-SUM($BF207:CO207))</f>
        <v>0</v>
      </c>
      <c r="CQ207" s="446">
        <f>IF($E207=0,0,IF(MIN(CQ$38,$E207)&lt;MAX($P$34*($B207+$I$38-1),IF(AND($L$37=0,$P$34=0),"",$L$37-1)),0,YEARFRAC(MAX($P$34*($B207+$I$38-1),IF(AND($L$37=0,$P$34=0),"",$L$37-1)),MIN(CQ$38,$E207),$P$20))-SUM($BF207:CP207))</f>
        <v>0</v>
      </c>
    </row>
    <row r="208" spans="1:95" s="446" customFormat="1" ht="11.25" hidden="1" customHeight="1" x14ac:dyDescent="0.2">
      <c r="A208" s="152"/>
      <c r="B208" s="153" t="str">
        <f t="shared" si="37"/>
        <v/>
      </c>
      <c r="C208" s="29" t="str">
        <f>IF(B208="","",IF($L$35="SELIC - TRIBUTOS",VLOOKUP(DATE(YEAR($D$19),MONTH($D$19)-1,1),ÍNDICES!$A:$DE,HLOOKUP($BL$25,ÍNDICES!$B$3:$T$4,2)+11)-VLOOKUP(B208,ÍNDICES!$A:$DE,HLOOKUP($BL$25,ÍNDICES!$B$3:$T$4,2)+11)+1%,IF(C$38=$W$26,$J$35,IF(ISERROR(IF(B208&gt;$D$19,1,VLOOKUP(DATE(YEAR(B208),MONTH(B208)+IF($C$35=$S$23,1,0),1),ÍNDICES!$A:$DE,$Z$35+1))),"",IF(B208&gt;$D$19,1,VLOOKUP(DATE(YEAR(B208),MONTH(B208)+IF($C$35=$S$23,1,0),1),ÍNDICES!$A:$DE,$Z$35+1))))))</f>
        <v/>
      </c>
      <c r="D208" s="154" t="str">
        <f>IF(ISERROR(IF(OR($D$38=$Y$27,$B208=""),"",VLOOKUP(B208,ÍNDICES!A:DE,AF$35+1))),"",IF(OR($D$38=$Y$27,$B208=""),"",VLOOKUP(B208,ÍNDICES!A:DE,AF$35+1)))</f>
        <v/>
      </c>
      <c r="E208" s="153"/>
      <c r="F208" s="29" t="str">
        <f>IF(E208="","",IF($L$35="SELIC - TRIBUTOS",VLOOKUP(DATE(YEAR($D$19),MONTH($D$19)-1,1),ÍNDICES!$A:$DE,HLOOKUP($BL$25,ÍNDICES!$B$3:$T$4,2)+11)-VLOOKUP(E208,ÍNDICES!$A:$DE,HLOOKUP($BL$25,ÍNDICES!$B$3:$T$4,2)+11)+1%,IF(F$38=$W$26,$J$35,IF(ISERROR(IF(E208&gt;$D$19,1,VLOOKUP(DATE(YEAR(E208),MONTH(E208)+IF($C$35=$S$23,1,0),1),ÍNDICES!$A:$DE,$Z$35+1))),"",IF(E208&gt;$D$19,1,VLOOKUP(DATE(YEAR(E208),MONTH(E208)+IF($C$35=$S$23,1,0),1),ÍNDICES!$A:$DE,$Z$35+1))))))</f>
        <v/>
      </c>
      <c r="G208" s="155"/>
      <c r="H208" s="156" t="str">
        <f t="shared" si="33"/>
        <v/>
      </c>
      <c r="I208" s="29" t="str">
        <f t="shared" si="27"/>
        <v/>
      </c>
      <c r="J208" s="5">
        <f t="shared" si="28"/>
        <v>0</v>
      </c>
      <c r="K208" s="20">
        <f t="shared" ca="1" si="29"/>
        <v>0</v>
      </c>
      <c r="L208" s="5">
        <f t="shared" ca="1" si="30"/>
        <v>0</v>
      </c>
      <c r="M208" s="64">
        <f t="shared" si="34"/>
        <v>0</v>
      </c>
      <c r="N208" s="61">
        <f t="shared" ca="1" si="35"/>
        <v>0</v>
      </c>
      <c r="O208" s="5">
        <f t="shared" ca="1" si="36"/>
        <v>0</v>
      </c>
      <c r="P208" s="446" t="e">
        <f t="shared" si="31"/>
        <v>#VALUE!</v>
      </c>
      <c r="Q208" s="446" t="e">
        <f>IF(OR($B208="",MIN(Q$38,$D$19)&lt;MAX($P$34*($B208+IF($R$17="Distrato",$I$38-1,0)),IF(AND($L$37=0,$P$34=0),"",$L$37-1),IF($R$17="Distrato",$E208,0))),0,YEARFRAC(MAX($P$34*($B208+IF($R$17="Distrato",$I$38-1,0)),IF(AND($L$37=0,$P$34=0),"",$L$37-1),IF($R$17="Distrato",$E208,0)),MIN(Q$38,$D$19),$P$20))-SUM($P208:P208)</f>
        <v>#VALUE!</v>
      </c>
      <c r="R208" s="446" t="e">
        <f>IF(OR($B208="",MIN(R$38,$D$19)&lt;MAX($P$34*($B208+IF($R$17="Distrato",$I$38-1,0)),IF(AND($L$37=0,$P$34=0),"",$L$37-1),IF($R$17="Distrato",$E208,0))),0,YEARFRAC(MAX($P$34*($B208+IF($R$17="Distrato",$I$38-1,0)),IF(AND($L$37=0,$P$34=0),"",$L$37-1),IF($R$17="Distrato",$E208,0)),MIN(R$38,$D$19),$P$20))-SUM($P208:Q208)</f>
        <v>#VALUE!</v>
      </c>
      <c r="S208" s="446" t="e">
        <f>IF(OR($B208="",MIN(S$38,$D$19)&lt;MAX($P$34*($B208+IF($R$17="Distrato",$I$38-1,0)),IF(AND($L$37=0,$P$34=0),"",$L$37-1),IF($R$17="Distrato",$E208,0))),0,YEARFRAC(MAX($P$34*($B208+IF($R$17="Distrato",$I$38-1,0)),IF(AND($L$37=0,$P$34=0),"",$L$37-1),IF($R$17="Distrato",$E208,0)),MIN(S$38,$D$19),$P$20))-SUM($P208:R208)</f>
        <v>#VALUE!</v>
      </c>
      <c r="T208" s="446" t="e">
        <f>IF(OR($B208="",MIN(T$38,$D$19)&lt;MAX($P$34*($B208+IF($R$17="Distrato",$I$38-1,0)),IF(AND($L$37=0,$P$34=0),"",$L$37-1),IF($R$17="Distrato",$E208,0))),0,YEARFRAC(MAX($P$34*($B208+IF($R$17="Distrato",$I$38-1,0)),IF(AND($L$37=0,$P$34=0),"",$L$37-1),IF($R$17="Distrato",$E208,0)),MIN(T$38,$D$19),$P$20))-SUM($P208:S208)</f>
        <v>#VALUE!</v>
      </c>
      <c r="U208" s="446" t="e">
        <f>IF(OR($B208="",MIN(U$38,$D$19)&lt;MAX($P$34*($B208+IF($R$17="Distrato",$I$38-1,0)),IF(AND($L$37=0,$P$34=0),"",$L$37-1),IF($R$17="Distrato",$E208,0))),0,YEARFRAC(MAX($P$34*($B208+IF($R$17="Distrato",$I$38-1,0)),IF(AND($L$37=0,$P$34=0),"",$L$37-1),IF($R$17="Distrato",$E208,0)),MIN(U$38,$D$19),$P$20))-SUM($P208:T208)</f>
        <v>#VALUE!</v>
      </c>
      <c r="V208" s="446" t="e">
        <f>IF(OR($B208="",MIN(V$38,$D$19)&lt;MAX($P$34*($B208+IF($R$17="Distrato",$I$38-1,0)),IF(AND($L$37=0,$P$34=0),"",$L$37-1),IF($R$17="Distrato",$E208,0))),0,YEARFRAC(MAX($P$34*($B208+IF($R$17="Distrato",$I$38-1,0)),IF(AND($L$37=0,$P$34=0),"",$L$37-1),IF($R$17="Distrato",$E208,0)),MIN(V$38,$D$19),$P$20))-SUM($P208:U208)</f>
        <v>#VALUE!</v>
      </c>
      <c r="W208" s="446" t="e">
        <f>IF(OR($B208="",MIN(W$38,$D$19)&lt;MAX($P$34*($B208+IF($R$17="Distrato",$I$38-1,0)),IF(AND($L$37=0,$P$34=0),"",$L$37-1),IF($R$17="Distrato",$E208,0))),0,YEARFRAC(MAX($P$34*($B208+IF($R$17="Distrato",$I$38-1,0)),IF(AND($L$37=0,$P$34=0),"",$L$37-1),IF($R$17="Distrato",$E208,0)),MIN(W$38,$D$19),$P$20))-SUM($P208:V208)</f>
        <v>#VALUE!</v>
      </c>
      <c r="X208" s="446" t="e">
        <f>IF(OR($B208="",MIN(X$38,$D$19)&lt;MAX($P$34*($B208+IF($R$17="Distrato",$I$38-1,0)),IF(AND($L$37=0,$P$34=0),"",$L$37-1),IF($R$17="Distrato",$E208,0))),0,YEARFRAC(MAX($P$34*($B208+IF($R$17="Distrato",$I$38-1,0)),IF(AND($L$37=0,$P$34=0),"",$L$37-1),IF($R$17="Distrato",$E208,0)),MIN(X$38,$D$19),$P$20))-SUM($P208:W208)</f>
        <v>#VALUE!</v>
      </c>
      <c r="Y208" s="446" t="e">
        <f>IF(OR($B208="",MIN(Y$38,$D$19)&lt;MAX($P$34*($B208+IF($R$17="Distrato",$I$38-1,0)),IF(AND($L$37=0,$P$34=0),"",$L$37-1),IF($R$17="Distrato",$E208,0))),0,YEARFRAC(MAX($P$34*($B208+IF($R$17="Distrato",$I$38-1,0)),IF(AND($L$37=0,$P$34=0),"",$L$37-1),IF($R$17="Distrato",$E208,0)),MIN(Y$38,$D$19),$P$20))-SUM($P208:X208)</f>
        <v>#VALUE!</v>
      </c>
      <c r="Z208" s="446" t="e">
        <f>IF(OR($B208="",MIN(Z$38,$D$19)&lt;MAX($P$34*($B208+IF($R$17="Distrato",$I$38-1,0)),IF(AND($L$37=0,$P$34=0),"",$L$37-1),IF($R$17="Distrato",$E208,0))),0,YEARFRAC(MAX($P$34*($B208+IF($R$17="Distrato",$I$38-1,0)),IF(AND($L$37=0,$P$34=0),"",$L$37-1),IF($R$17="Distrato",$E208,0)),MIN(Z$38,$D$19),$P$20))-SUM($P208:Y208)</f>
        <v>#VALUE!</v>
      </c>
      <c r="AA208" s="446" t="e">
        <f>IF(OR($B208="",MIN(AA$38,$D$19)&lt;MAX($P$34*($B208+IF($R$17="Distrato",$I$38-1,0)),IF(AND($L$37=0,$P$34=0),"",$L$37-1),IF($R$17="Distrato",$E208,0))),0,YEARFRAC(MAX($P$34*($B208+IF($R$17="Distrato",$I$38-1,0)),IF(AND($L$37=0,$P$34=0),"",$L$37-1),IF($R$17="Distrato",$E208,0)),MIN(AA$38,$D$19),$P$20))-SUM($P208:Z208)</f>
        <v>#VALUE!</v>
      </c>
      <c r="AB208" s="446" t="e">
        <f>IF(OR($B208="",MIN(AB$38,$D$19)&lt;MAX($P$34*($B208+IF($R$17="Distrato",$I$38-1,0)),IF(AND($L$37=0,$P$34=0),"",$L$37-1),IF($R$17="Distrato",$E208,0))),0,YEARFRAC(MAX($P$34*($B208+IF($R$17="Distrato",$I$38-1,0)),IF(AND($L$37=0,$P$34=0),"",$L$37-1),IF($R$17="Distrato",$E208,0)),MIN(AB$38,$D$19),$P$20))-SUM($P208:AA208)</f>
        <v>#VALUE!</v>
      </c>
      <c r="AC208" s="446" t="e">
        <f>IF(OR($B208="",MIN(AC$38,$D$19)&lt;MAX($P$34*($B208+IF($R$17="Distrato",$I$38-1,0)),IF(AND($L$37=0,$P$34=0),"",$L$37-1),IF($R$17="Distrato",$E208,0))),0,YEARFRAC(MAX($P$34*($B208+IF($R$17="Distrato",$I$38-1,0)),IF(AND($L$37=0,$P$34=0),"",$L$37-1),IF($R$17="Distrato",$E208,0)),MIN(AC$38,$D$19),$P$20))-SUM($P208:AB208)</f>
        <v>#VALUE!</v>
      </c>
      <c r="AD208" s="446" t="e">
        <f>IF(OR($B208="",MIN(AD$38,$D$19)&lt;MAX($P$34*($B208+IF($R$17="Distrato",$I$38-1,0)),IF(AND($L$37=0,$P$34=0),"",$L$37-1),IF($R$17="Distrato",$E208,0))),0,YEARFRAC(MAX($P$34*($B208+IF($R$17="Distrato",$I$38-1,0)),IF(AND($L$37=0,$P$34=0),"",$L$37-1),IF($R$17="Distrato",$E208,0)),MIN(AD$38,$D$19),$P$20))-SUM($P208:AC208)</f>
        <v>#VALUE!</v>
      </c>
      <c r="AE208" s="446" t="e">
        <f>IF(OR($B208="",MIN(AE$38,$D$19)&lt;MAX($P$34*($B208+IF($R$17="Distrato",$I$38-1,0)),IF(AND($L$37=0,$P$34=0),"",$L$37-1),IF($R$17="Distrato",$E208,0))),0,YEARFRAC(MAX($P$34*($B208+IF($R$17="Distrato",$I$38-1,0)),IF(AND($L$37=0,$P$34=0),"",$L$37-1),IF($R$17="Distrato",$E208,0)),MIN(AE$38,$D$19),$P$20))-SUM($P208:AD208)</f>
        <v>#VALUE!</v>
      </c>
      <c r="AF208" s="446" t="e">
        <f>IF(OR($B208="",MIN(AF$38,$D$19)&lt;MAX($P$34*($B208+IF($R$17="Distrato",$I$38-1,0)),IF(AND($L$37=0,$P$34=0),"",$L$37-1),IF($R$17="Distrato",$E208,0))),0,YEARFRAC(MAX($P$34*($B208+IF($R$17="Distrato",$I$38-1,0)),IF(AND($L$37=0,$P$34=0),"",$L$37-1),IF($R$17="Distrato",$E208,0)),MIN(AF$38,$D$19),$P$20))-SUM($P208:AE208)</f>
        <v>#VALUE!</v>
      </c>
      <c r="AG208" s="446" t="e">
        <f>IF(OR($B208="",MIN(AG$38,$D$19)&lt;MAX($P$34*($B208+IF($R$17="Distrato",$I$38-1,0)),IF(AND($L$37=0,$P$34=0),"",$L$37-1),IF($R$17="Distrato",$E208,0))),0,YEARFRAC(MAX($P$34*($B208+IF($R$17="Distrato",$I$38-1,0)),IF(AND($L$37=0,$P$34=0),"",$L$37-1),IF($R$17="Distrato",$E208,0)),MIN(AG$38,$D$19),$P$20))-SUM($P208:AF208)</f>
        <v>#VALUE!</v>
      </c>
      <c r="AH208" s="446" t="e">
        <f>IF(OR($B208="",MIN(AH$38,$D$19)&lt;MAX($P$34*($B208+IF($R$17="Distrato",$I$38-1,0)),IF(AND($L$37=0,$P$34=0),"",$L$37-1),IF($R$17="Distrato",$E208,0))),0,YEARFRAC(MAX($P$34*($B208+IF($R$17="Distrato",$I$38-1,0)),IF(AND($L$37=0,$P$34=0),"",$L$37-1),IF($R$17="Distrato",$E208,0)),MIN(AH$38,$D$19),$P$20))-SUM($P208:AG208)</f>
        <v>#VALUE!</v>
      </c>
      <c r="AI208" s="446" t="e">
        <f>IF(OR($B208="",MIN(AI$38,$D$19)&lt;MAX($P$34*($B208+IF($R$17="Distrato",$I$38-1,0)),IF(AND($L$37=0,$P$34=0),"",$L$37-1),IF($R$17="Distrato",$E208,0))),0,YEARFRAC(MAX($P$34*($B208+IF($R$17="Distrato",$I$38-1,0)),IF(AND($L$37=0,$P$34=0),"",$L$37-1),IF($R$17="Distrato",$E208,0)),MIN(AI$38,$D$19),$P$20))-SUM($P208:AH208)</f>
        <v>#VALUE!</v>
      </c>
      <c r="AJ208" s="446" t="e">
        <f>IF(OR($B208="",MIN(AJ$38,$D$19)&lt;MAX($P$34*($B208+IF($R$17="Distrato",$I$38-1,0)),IF(AND($L$37=0,$P$34=0),"",$L$37-1),IF($R$17="Distrato",$E208,0))),0,YEARFRAC(MAX($P$34*($B208+IF($R$17="Distrato",$I$38-1,0)),IF(AND($L$37=0,$P$34=0),"",$L$37-1),IF($R$17="Distrato",$E208,0)),MIN(AJ$38,$D$19),$P$20))-SUM($P208:AI208)</f>
        <v>#VALUE!</v>
      </c>
      <c r="AK208" s="446" t="e">
        <f>IF(OR($B208="",MIN(AK$38,$D$19)&lt;MAX($P$34*($B208+IF($R$17="Distrato",$I$38-1,0)),IF(AND($L$37=0,$P$34=0),"",$L$37-1),IF($R$17="Distrato",$E208,0))),0,YEARFRAC(MAX($P$34*($B208+IF($R$17="Distrato",$I$38-1,0)),IF(AND($L$37=0,$P$34=0),"",$L$37-1),IF($R$17="Distrato",$E208,0)),MIN(AK$38,$D$19),$P$20))-SUM($P208:AJ208)</f>
        <v>#VALUE!</v>
      </c>
      <c r="AL208" s="446" t="e">
        <f>IF(OR($B208="",MIN(AL$38,$D$19)&lt;MAX($P$34*($B208+IF($R$17="Distrato",$I$38-1,0)),IF(AND($L$37=0,$P$34=0),"",$L$37-1),IF($R$17="Distrato",$E208,0))),0,YEARFRAC(MAX($P$34*($B208+IF($R$17="Distrato",$I$38-1,0)),IF(AND($L$37=0,$P$34=0),"",$L$37-1),IF($R$17="Distrato",$E208,0)),MIN(AL$38,$D$19),$P$20))-SUM($P208:AK208)</f>
        <v>#VALUE!</v>
      </c>
      <c r="AM208" s="446" t="e">
        <f>IF(OR($B208="",MIN(AM$38,$D$19)&lt;MAX($P$34*($B208+IF($R$17="Distrato",$I$38-1,0)),IF(AND($L$37=0,$P$34=0),"",$L$37-1),IF($R$17="Distrato",$E208,0))),0,YEARFRAC(MAX($P$34*($B208+IF($R$17="Distrato",$I$38-1,0)),IF(AND($L$37=0,$P$34=0),"",$L$37-1),IF($R$17="Distrato",$E208,0)),MIN(AM$38,$D$19),$P$20))-SUM($P208:AL208)</f>
        <v>#VALUE!</v>
      </c>
      <c r="AN208" s="446" t="e">
        <f>IF(OR($B208="",MIN(AN$38,$D$19)&lt;MAX($P$34*($B208+IF($R$17="Distrato",$I$38-1,0)),IF(AND($L$37=0,$P$34=0),"",$L$37-1),IF($R$17="Distrato",$E208,0))),0,YEARFRAC(MAX($P$34*($B208+IF($R$17="Distrato",$I$38-1,0)),IF(AND($L$37=0,$P$34=0),"",$L$37-1),IF($R$17="Distrato",$E208,0)),MIN(AN$38,$D$19),$P$20))-SUM($P208:AM208)</f>
        <v>#VALUE!</v>
      </c>
      <c r="AO208" s="446" t="e">
        <f>IF(OR($B208="",MIN(AO$38,$D$19)&lt;MAX($P$34*($B208+IF($R$17="Distrato",$I$38-1,0)),IF(AND($L$37=0,$P$34=0),"",$L$37-1),IF($R$17="Distrato",$E208,0))),0,YEARFRAC(MAX($P$34*($B208+IF($R$17="Distrato",$I$38-1,0)),IF(AND($L$37=0,$P$34=0),"",$L$37-1),IF($R$17="Distrato",$E208,0)),MIN(AO$38,$D$19),$P$20))-SUM($P208:AN208)</f>
        <v>#VALUE!</v>
      </c>
      <c r="AP208" s="446" t="e">
        <f>IF(OR($B208="",MIN(AP$38,$D$19)&lt;MAX($P$34*($B208+IF($R$17="Distrato",$I$38-1,0)),IF(AND($L$37=0,$P$34=0),"",$L$37-1),IF($R$17="Distrato",$E208,0))),0,YEARFRAC(MAX($P$34*($B208+IF($R$17="Distrato",$I$38-1,0)),IF(AND($L$37=0,$P$34=0),"",$L$37-1),IF($R$17="Distrato",$E208,0)),MIN(AP$38,$D$19),$P$20))-SUM($P208:AO208)</f>
        <v>#VALUE!</v>
      </c>
      <c r="AQ208" s="446" t="e">
        <f>IF(OR($B208="",MIN(AQ$38,$D$19)&lt;MAX($P$34*($B208+IF($R$17="Distrato",$I$38-1,0)),IF(AND($L$37=0,$P$34=0),"",$L$37-1),IF($R$17="Distrato",$E208,0))),0,YEARFRAC(MAX($P$34*($B208+IF($R$17="Distrato",$I$38-1,0)),IF(AND($L$37=0,$P$34=0),"",$L$37-1),IF($R$17="Distrato",$E208,0)),MIN(AQ$38,$D$19),$P$20))-SUM($P208:AP208)</f>
        <v>#VALUE!</v>
      </c>
      <c r="AR208" s="446" t="e">
        <f>IF(OR($B208="",MIN(AR$38,$D$19)&lt;MAX($P$34*($B208+IF($R$17="Distrato",$I$38-1,0)),IF(AND($L$37=0,$P$34=0),"",$L$37-1),IF($R$17="Distrato",$E208,0))),0,YEARFRAC(MAX($P$34*($B208+IF($R$17="Distrato",$I$38-1,0)),IF(AND($L$37=0,$P$34=0),"",$L$37-1),IF($R$17="Distrato",$E208,0)),MIN(AR$38,$D$19),$P$20))-SUM($P208:AQ208)</f>
        <v>#VALUE!</v>
      </c>
      <c r="AS208" s="446" t="e">
        <f>IF(OR($B208="",MIN(AS$38,$D$19)&lt;MAX($P$34*($B208+IF($R$17="Distrato",$I$38-1,0)),IF(AND($L$37=0,$P$34=0),"",$L$37-1),IF($R$17="Distrato",$E208,0))),0,YEARFRAC(MAX($P$34*($B208+IF($R$17="Distrato",$I$38-1,0)),IF(AND($L$37=0,$P$34=0),"",$L$37-1),IF($R$17="Distrato",$E208,0)),MIN(AS$38,$D$19),$P$20))-SUM($P208:AR208)</f>
        <v>#VALUE!</v>
      </c>
      <c r="AT208" s="446" t="e">
        <f>IF(OR($B208="",MIN(AT$38,$D$19)&lt;MAX($P$34*($B208+IF($R$17="Distrato",$I$38-1,0)),IF(AND($L$37=0,$P$34=0),"",$L$37-1),IF($R$17="Distrato",$E208,0))),0,YEARFRAC(MAX($P$34*($B208+IF($R$17="Distrato",$I$38-1,0)),IF(AND($L$37=0,$P$34=0),"",$L$37-1),IF($R$17="Distrato",$E208,0)),MIN(AT$38,$D$19),$P$20))-SUM($P208:AS208)</f>
        <v>#VALUE!</v>
      </c>
      <c r="AU208" s="446" t="e">
        <f>IF(OR($B208="",MIN(AU$38,$D$19)&lt;MAX($P$34*($B208+IF($R$17="Distrato",$I$38-1,0)),IF(AND($L$37=0,$P$34=0),"",$L$37-1),IF($R$17="Distrato",$E208,0))),0,YEARFRAC(MAX($P$34*($B208+IF($R$17="Distrato",$I$38-1,0)),IF(AND($L$37=0,$P$34=0),"",$L$37-1),IF($R$17="Distrato",$E208,0)),MIN(AU$38,$D$19),$P$20))-SUM($P208:AT208)</f>
        <v>#VALUE!</v>
      </c>
      <c r="AV208" s="446" t="e">
        <f>IF(OR($B208="",MIN(AV$38,$D$19)&lt;MAX($P$34*($B208+IF($R$17="Distrato",$I$38-1,0)),IF(AND($L$37=0,$P$34=0),"",$L$37-1),IF($R$17="Distrato",$E208,0))),0,YEARFRAC(MAX($P$34*($B208+IF($R$17="Distrato",$I$38-1,0)),IF(AND($L$37=0,$P$34=0),"",$L$37-1),IF($R$17="Distrato",$E208,0)),MIN(AV$38,$D$19),$P$20))-SUM($P208:AU208)</f>
        <v>#VALUE!</v>
      </c>
      <c r="AW208" s="446" t="e">
        <f>IF(OR($B208="",MIN(AW$38,$D$19)&lt;MAX($P$34*($B208+IF($R$17="Distrato",$I$38-1,0)),IF(AND($L$37=0,$P$34=0),"",$L$37-1),IF($R$17="Distrato",$E208,0))),0,YEARFRAC(MAX($P$34*($B208+IF($R$17="Distrato",$I$38-1,0)),IF(AND($L$37=0,$P$34=0),"",$L$37-1),IF($R$17="Distrato",$E208,0)),MIN(AW$38,$D$19),$P$20))-SUM($P208:AV208)</f>
        <v>#VALUE!</v>
      </c>
      <c r="AX208" s="446" t="e">
        <f>IF(OR($B208="",MIN(AX$38,$D$19)&lt;MAX($P$34*($B208+IF($R$17="Distrato",$I$38-1,0)),IF(AND($L$37=0,$P$34=0),"",$L$37-1),IF($R$17="Distrato",$E208,0))),0,YEARFRAC(MAX($P$34*($B208+IF($R$17="Distrato",$I$38-1,0)),IF(AND($L$37=0,$P$34=0),"",$L$37-1),IF($R$17="Distrato",$E208,0)),MIN(AX$38,$D$19),$P$20))-SUM($P208:AW208)</f>
        <v>#VALUE!</v>
      </c>
      <c r="AY208" s="446" t="e">
        <f>IF(OR($B208="",MIN(AY$38,$D$19)&lt;MAX($P$34*($B208+IF($R$17="Distrato",$I$38-1,0)),IF(AND($L$37=0,$P$34=0),"",$L$37-1),IF($R$17="Distrato",$E208,0))),0,YEARFRAC(MAX($P$34*($B208+IF($R$17="Distrato",$I$38-1,0)),IF(AND($L$37=0,$P$34=0),"",$L$37-1),IF($R$17="Distrato",$E208,0)),MIN(AY$38,$D$19),$P$20))-SUM($P208:AX208)</f>
        <v>#VALUE!</v>
      </c>
      <c r="AZ208" s="446" t="e">
        <f>IF(OR($B208="",MIN(AZ$38,$D$19)&lt;MAX($P$34*($B208+IF($R$17="Distrato",$I$38-1,0)),IF(AND($L$37=0,$P$34=0),"",$L$37-1),IF($R$17="Distrato",$E208,0))),0,YEARFRAC(MAX($P$34*($B208+IF($R$17="Distrato",$I$38-1,0)),IF(AND($L$37=0,$P$34=0),"",$L$37-1),IF($R$17="Distrato",$E208,0)),MIN(AZ$38,$D$19),$P$20))-SUM($P208:AY208)</f>
        <v>#VALUE!</v>
      </c>
      <c r="BA208" s="446" t="e">
        <f>IF(OR($B208="",MIN(BA$38,$D$19)&lt;MAX($P$34*($B208+IF($R$17="Distrato",$I$38-1,0)),IF(AND($L$37=0,$P$34=0),"",$L$37-1),IF($R$17="Distrato",$E208,0))),0,YEARFRAC(MAX($P$34*($B208+IF($R$17="Distrato",$I$38-1,0)),IF(AND($L$37=0,$P$34=0),"",$L$37-1),IF($R$17="Distrato",$E208,0)),MIN(BA$38,$D$19),$P$20))-SUM($P208:AZ208)</f>
        <v>#VALUE!</v>
      </c>
      <c r="BB208" s="447"/>
      <c r="BF208" s="446">
        <f t="shared" si="32"/>
        <v>0</v>
      </c>
      <c r="BG208" s="446">
        <f>IF($E208=0,0,IF(MIN(BG$38,$E208)&lt;MAX($P$34*($B208+$I$38-1),IF(AND($L$37=0,$P$34=0),"",$L$37-1)),0,YEARFRAC(MAX($P$34*($B208+$I$38-1),IF(AND($L$37=0,$P$34=0),"",$L$37-1)),MIN(BG$38,$E208),$P$20))-SUM($BF208:BF208))</f>
        <v>0</v>
      </c>
      <c r="BH208" s="446">
        <f>IF($E208=0,0,IF(MIN(BH$38,$E208)&lt;MAX($P$34*($B208+$I$38-1),IF(AND($L$37=0,$P$34=0),"",$L$37-1)),0,YEARFRAC(MAX($P$34*($B208+$I$38-1),IF(AND($L$37=0,$P$34=0),"",$L$37-1)),MIN(BH$38,$E208),$P$20))-SUM($BF208:BG208))</f>
        <v>0</v>
      </c>
      <c r="BI208" s="446">
        <f>IF($E208=0,0,IF(MIN(BI$38,$E208)&lt;MAX($P$34*($B208+$I$38-1),IF(AND($L$37=0,$P$34=0),"",$L$37-1)),0,YEARFRAC(MAX($P$34*($B208+$I$38-1),IF(AND($L$37=0,$P$34=0),"",$L$37-1)),MIN(BI$38,$E208),$P$20))-SUM($BF208:BH208))</f>
        <v>0</v>
      </c>
      <c r="BJ208" s="446">
        <f>IF($E208=0,0,IF(MIN(BJ$38,$E208)&lt;MAX($P$34*($B208+$I$38-1),IF(AND($L$37=0,$P$34=0),"",$L$37-1)),0,YEARFRAC(MAX($P$34*($B208+$I$38-1),IF(AND($L$37=0,$P$34=0),"",$L$37-1)),MIN(BJ$38,$E208),$P$20))-SUM($BF208:BI208))</f>
        <v>0</v>
      </c>
      <c r="BK208" s="446">
        <f>IF($E208=0,0,IF(MIN(BK$38,$E208)&lt;MAX($P$34*($B208+$I$38-1),IF(AND($L$37=0,$P$34=0),"",$L$37-1)),0,YEARFRAC(MAX($P$34*($B208+$I$38-1),IF(AND($L$37=0,$P$34=0),"",$L$37-1)),MIN(BK$38,$E208),$P$20))-SUM($BF208:BJ208))</f>
        <v>0</v>
      </c>
      <c r="BL208" s="446">
        <f>IF($E208=0,0,IF(MIN(BL$38,$E208)&lt;MAX($P$34*($B208+$I$38-1),IF(AND($L$37=0,$P$34=0),"",$L$37-1)),0,YEARFRAC(MAX($P$34*($B208+$I$38-1),IF(AND($L$37=0,$P$34=0),"",$L$37-1)),MIN(BL$38,$E208),$P$20))-SUM($BF208:BK208))</f>
        <v>0</v>
      </c>
      <c r="BM208" s="446">
        <f>IF($E208=0,0,IF(MIN(BM$38,$E208)&lt;MAX($P$34*($B208+$I$38-1),IF(AND($L$37=0,$P$34=0),"",$L$37-1)),0,YEARFRAC(MAX($P$34*($B208+$I$38-1),IF(AND($L$37=0,$P$34=0),"",$L$37-1)),MIN(BM$38,$E208),$P$20))-SUM($BF208:BL208))</f>
        <v>0</v>
      </c>
      <c r="BN208" s="446">
        <f>IF($E208=0,0,IF(MIN(BN$38,$E208)&lt;MAX($P$34*($B208+$I$38-1),IF(AND($L$37=0,$P$34=0),"",$L$37-1)),0,YEARFRAC(MAX($P$34*($B208+$I$38-1),IF(AND($L$37=0,$P$34=0),"",$L$37-1)),MIN(BN$38,$E208),$P$20))-SUM($BF208:BM208))</f>
        <v>0</v>
      </c>
      <c r="BO208" s="446">
        <f>IF($E208=0,0,IF(MIN(BO$38,$E208)&lt;MAX($P$34*($B208+$I$38-1),IF(AND($L$37=0,$P$34=0),"",$L$37-1)),0,YEARFRAC(MAX($P$34*($B208+$I$38-1),IF(AND($L$37=0,$P$34=0),"",$L$37-1)),MIN(BO$38,$E208),$P$20))-SUM($BF208:BN208))</f>
        <v>0</v>
      </c>
      <c r="BP208" s="446">
        <f>IF($E208=0,0,IF(MIN(BP$38,$E208)&lt;MAX($P$34*($B208+$I$38-1),IF(AND($L$37=0,$P$34=0),"",$L$37-1)),0,YEARFRAC(MAX($P$34*($B208+$I$38-1),IF(AND($L$37=0,$P$34=0),"",$L$37-1)),MIN(BP$38,$E208),$P$20))-SUM($BF208:BO208))</f>
        <v>0</v>
      </c>
      <c r="BQ208" s="446">
        <f>IF($E208=0,0,IF(MIN(BQ$38,$E208)&lt;MAX($P$34*($B208+$I$38-1),IF(AND($L$37=0,$P$34=0),"",$L$37-1)),0,YEARFRAC(MAX($P$34*($B208+$I$38-1),IF(AND($L$37=0,$P$34=0),"",$L$37-1)),MIN(BQ$38,$E208),$P$20))-SUM($BF208:BP208))</f>
        <v>0</v>
      </c>
      <c r="BR208" s="446">
        <f>IF($E208=0,0,IF(MIN(BR$38,$E208)&lt;MAX($P$34*($B208+$I$38-1),IF(AND($L$37=0,$P$34=0),"",$L$37-1)),0,YEARFRAC(MAX($P$34*($B208+$I$38-1),IF(AND($L$37=0,$P$34=0),"",$L$37-1)),MIN(BR$38,$E208),$P$20))-SUM($BF208:BQ208))</f>
        <v>0</v>
      </c>
      <c r="BS208" s="446">
        <f>IF($E208=0,0,IF(MIN(BS$38,$E208)&lt;MAX($P$34*($B208+$I$38-1),IF(AND($L$37=0,$P$34=0),"",$L$37-1)),0,YEARFRAC(MAX($P$34*($B208+$I$38-1),IF(AND($L$37=0,$P$34=0),"",$L$37-1)),MIN(BS$38,$E208),$P$20))-SUM($BF208:BR208))</f>
        <v>0</v>
      </c>
      <c r="BT208" s="446">
        <f>IF($E208=0,0,IF(MIN(BT$38,$E208)&lt;MAX($P$34*($B208+$I$38-1),IF(AND($L$37=0,$P$34=0),"",$L$37-1)),0,YEARFRAC(MAX($P$34*($B208+$I$38-1),IF(AND($L$37=0,$P$34=0),"",$L$37-1)),MIN(BT$38,$E208),$P$20))-SUM($BF208:BS208))</f>
        <v>0</v>
      </c>
      <c r="BU208" s="446">
        <f>IF($E208=0,0,IF(MIN(BU$38,$E208)&lt;MAX($P$34*($B208+$I$38-1),IF(AND($L$37=0,$P$34=0),"",$L$37-1)),0,YEARFRAC(MAX($P$34*($B208+$I$38-1),IF(AND($L$37=0,$P$34=0),"",$L$37-1)),MIN(BU$38,$E208),$P$20))-SUM($BF208:BT208))</f>
        <v>0</v>
      </c>
      <c r="BV208" s="446">
        <f>IF($E208=0,0,IF(MIN(BV$38,$E208)&lt;MAX($P$34*($B208+$I$38-1),IF(AND($L$37=0,$P$34=0),"",$L$37-1)),0,YEARFRAC(MAX($P$34*($B208+$I$38-1),IF(AND($L$37=0,$P$34=0),"",$L$37-1)),MIN(BV$38,$E208),$P$20))-SUM($BF208:BU208))</f>
        <v>0</v>
      </c>
      <c r="BW208" s="446">
        <f>IF($E208=0,0,IF(MIN(BW$38,$E208)&lt;MAX($P$34*($B208+$I$38-1),IF(AND($L$37=0,$P$34=0),"",$L$37-1)),0,YEARFRAC(MAX($P$34*($B208+$I$38-1),IF(AND($L$37=0,$P$34=0),"",$L$37-1)),MIN(BW$38,$E208),$P$20))-SUM($BF208:BV208))</f>
        <v>0</v>
      </c>
      <c r="BX208" s="446">
        <f>IF($E208=0,0,IF(MIN(BX$38,$E208)&lt;MAX($P$34*($B208+$I$38-1),IF(AND($L$37=0,$P$34=0),"",$L$37-1)),0,YEARFRAC(MAX($P$34*($B208+$I$38-1),IF(AND($L$37=0,$P$34=0),"",$L$37-1)),MIN(BX$38,$E208),$P$20))-SUM($BF208:BW208))</f>
        <v>0</v>
      </c>
      <c r="BY208" s="446">
        <f>IF($E208=0,0,IF(MIN(BY$38,$E208)&lt;MAX($P$34*($B208+$I$38-1),IF(AND($L$37=0,$P$34=0),"",$L$37-1)),0,YEARFRAC(MAX($P$34*($B208+$I$38-1),IF(AND($L$37=0,$P$34=0),"",$L$37-1)),MIN(BY$38,$E208),$P$20))-SUM($BF208:BX208))</f>
        <v>0</v>
      </c>
      <c r="BZ208" s="446">
        <f>IF($E208=0,0,IF(MIN(BZ$38,$E208)&lt;MAX($P$34*($B208+$I$38-1),IF(AND($L$37=0,$P$34=0),"",$L$37-1)),0,YEARFRAC(MAX($P$34*($B208+$I$38-1),IF(AND($L$37=0,$P$34=0),"",$L$37-1)),MIN(BZ$38,$E208),$P$20))-SUM($BF208:BY208))</f>
        <v>0</v>
      </c>
      <c r="CA208" s="446">
        <f>IF($E208=0,0,IF(MIN(CA$38,$E208)&lt;MAX($P$34*($B208+$I$38-1),IF(AND($L$37=0,$P$34=0),"",$L$37-1)),0,YEARFRAC(MAX($P$34*($B208+$I$38-1),IF(AND($L$37=0,$P$34=0),"",$L$37-1)),MIN(CA$38,$E208),$P$20))-SUM($BF208:BZ208))</f>
        <v>0</v>
      </c>
      <c r="CB208" s="446">
        <f>IF($E208=0,0,IF(MIN(CB$38,$E208)&lt;MAX($P$34*($B208+$I$38-1),IF(AND($L$37=0,$P$34=0),"",$L$37-1)),0,YEARFRAC(MAX($P$34*($B208+$I$38-1),IF(AND($L$37=0,$P$34=0),"",$L$37-1)),MIN(CB$38,$E208),$P$20))-SUM($BF208:CA208))</f>
        <v>0</v>
      </c>
      <c r="CC208" s="446">
        <f>IF($E208=0,0,IF(MIN(CC$38,$E208)&lt;MAX($P$34*($B208+$I$38-1),IF(AND($L$37=0,$P$34=0),"",$L$37-1)),0,YEARFRAC(MAX($P$34*($B208+$I$38-1),IF(AND($L$37=0,$P$34=0),"",$L$37-1)),MIN(CC$38,$E208),$P$20))-SUM($BF208:CB208))</f>
        <v>0</v>
      </c>
      <c r="CD208" s="446">
        <f>IF($E208=0,0,IF(MIN(CD$38,$E208)&lt;MAX($P$34*($B208+$I$38-1),IF(AND($L$37=0,$P$34=0),"",$L$37-1)),0,YEARFRAC(MAX($P$34*($B208+$I$38-1),IF(AND($L$37=0,$P$34=0),"",$L$37-1)),MIN(CD$38,$E208),$P$20))-SUM($BF208:CC208))</f>
        <v>0</v>
      </c>
      <c r="CE208" s="446">
        <f>IF($E208=0,0,IF(MIN(CE$38,$E208)&lt;MAX($P$34*($B208+$I$38-1),IF(AND($L$37=0,$P$34=0),"",$L$37-1)),0,YEARFRAC(MAX($P$34*($B208+$I$38-1),IF(AND($L$37=0,$P$34=0),"",$L$37-1)),MIN(CE$38,$E208),$P$20))-SUM($BF208:CD208))</f>
        <v>0</v>
      </c>
      <c r="CF208" s="446">
        <f>IF($E208=0,0,IF(MIN(CF$38,$E208)&lt;MAX($P$34*($B208+$I$38-1),IF(AND($L$37=0,$P$34=0),"",$L$37-1)),0,YEARFRAC(MAX($P$34*($B208+$I$38-1),IF(AND($L$37=0,$P$34=0),"",$L$37-1)),MIN(CF$38,$E208),$P$20))-SUM($BF208:CE208))</f>
        <v>0</v>
      </c>
      <c r="CG208" s="446">
        <f>IF($E208=0,0,IF(MIN(CG$38,$E208)&lt;MAX($P$34*($B208+$I$38-1),IF(AND($L$37=0,$P$34=0),"",$L$37-1)),0,YEARFRAC(MAX($P$34*($B208+$I$38-1),IF(AND($L$37=0,$P$34=0),"",$L$37-1)),MIN(CG$38,$E208),$P$20))-SUM($BF208:CF208))</f>
        <v>0</v>
      </c>
      <c r="CH208" s="446">
        <f>IF($E208=0,0,IF(MIN(CH$38,$E208)&lt;MAX($P$34*($B208+$I$38-1),IF(AND($L$37=0,$P$34=0),"",$L$37-1)),0,YEARFRAC(MAX($P$34*($B208+$I$38-1),IF(AND($L$37=0,$P$34=0),"",$L$37-1)),MIN(CH$38,$E208),$P$20))-SUM($BF208:CG208))</f>
        <v>0</v>
      </c>
      <c r="CI208" s="446">
        <f>IF($E208=0,0,IF(MIN(CI$38,$E208)&lt;MAX($P$34*($B208+$I$38-1),IF(AND($L$37=0,$P$34=0),"",$L$37-1)),0,YEARFRAC(MAX($P$34*($B208+$I$38-1),IF(AND($L$37=0,$P$34=0),"",$L$37-1)),MIN(CI$38,$E208),$P$20))-SUM($BF208:CH208))</f>
        <v>0</v>
      </c>
      <c r="CJ208" s="446">
        <f>IF($E208=0,0,IF(MIN(CJ$38,$E208)&lt;MAX($P$34*($B208+$I$38-1),IF(AND($L$37=0,$P$34=0),"",$L$37-1)),0,YEARFRAC(MAX($P$34*($B208+$I$38-1),IF(AND($L$37=0,$P$34=0),"",$L$37-1)),MIN(CJ$38,$E208),$P$20))-SUM($BF208:CI208))</f>
        <v>0</v>
      </c>
      <c r="CK208" s="446">
        <f>IF($E208=0,0,IF(MIN(CK$38,$E208)&lt;MAX($P$34*($B208+$I$38-1),IF(AND($L$37=0,$P$34=0),"",$L$37-1)),0,YEARFRAC(MAX($P$34*($B208+$I$38-1),IF(AND($L$37=0,$P$34=0),"",$L$37-1)),MIN(CK$38,$E208),$P$20))-SUM($BF208:CJ208))</f>
        <v>0</v>
      </c>
      <c r="CL208" s="446">
        <f>IF($E208=0,0,IF(MIN(CL$38,$E208)&lt;MAX($P$34*($B208+$I$38-1),IF(AND($L$37=0,$P$34=0),"",$L$37-1)),0,YEARFRAC(MAX($P$34*($B208+$I$38-1),IF(AND($L$37=0,$P$34=0),"",$L$37-1)),MIN(CL$38,$E208),$P$20))-SUM($BF208:CK208))</f>
        <v>0</v>
      </c>
      <c r="CM208" s="446">
        <f>IF($E208=0,0,IF(MIN(CM$38,$E208)&lt;MAX($P$34*($B208+$I$38-1),IF(AND($L$37=0,$P$34=0),"",$L$37-1)),0,YEARFRAC(MAX($P$34*($B208+$I$38-1),IF(AND($L$37=0,$P$34=0),"",$L$37-1)),MIN(CM$38,$E208),$P$20))-SUM($BF208:CL208))</f>
        <v>0</v>
      </c>
      <c r="CN208" s="446">
        <f>IF($E208=0,0,IF(MIN(CN$38,$E208)&lt;MAX($P$34*($B208+$I$38-1),IF(AND($L$37=0,$P$34=0),"",$L$37-1)),0,YEARFRAC(MAX($P$34*($B208+$I$38-1),IF(AND($L$37=0,$P$34=0),"",$L$37-1)),MIN(CN$38,$E208),$P$20))-SUM($BF208:CM208))</f>
        <v>0</v>
      </c>
      <c r="CO208" s="446">
        <f>IF($E208=0,0,IF(MIN(CO$38,$E208)&lt;MAX($P$34*($B208+$I$38-1),IF(AND($L$37=0,$P$34=0),"",$L$37-1)),0,YEARFRAC(MAX($P$34*($B208+$I$38-1),IF(AND($L$37=0,$P$34=0),"",$L$37-1)),MIN(CO$38,$E208),$P$20))-SUM($BF208:CN208))</f>
        <v>0</v>
      </c>
      <c r="CP208" s="446">
        <f>IF($E208=0,0,IF(MIN(CP$38,$E208)&lt;MAX($P$34*($B208+$I$38-1),IF(AND($L$37=0,$P$34=0),"",$L$37-1)),0,YEARFRAC(MAX($P$34*($B208+$I$38-1),IF(AND($L$37=0,$P$34=0),"",$L$37-1)),MIN(CP$38,$E208),$P$20))-SUM($BF208:CO208))</f>
        <v>0</v>
      </c>
      <c r="CQ208" s="446">
        <f>IF($E208=0,0,IF(MIN(CQ$38,$E208)&lt;MAX($P$34*($B208+$I$38-1),IF(AND($L$37=0,$P$34=0),"",$L$37-1)),0,YEARFRAC(MAX($P$34*($B208+$I$38-1),IF(AND($L$37=0,$P$34=0),"",$L$37-1)),MIN(CQ$38,$E208),$P$20))-SUM($BF208:CP208))</f>
        <v>0</v>
      </c>
    </row>
    <row r="209" spans="1:95" s="446" customFormat="1" ht="11.25" hidden="1" customHeight="1" x14ac:dyDescent="0.2">
      <c r="A209" s="152"/>
      <c r="B209" s="153" t="str">
        <f t="shared" si="37"/>
        <v/>
      </c>
      <c r="C209" s="29" t="str">
        <f>IF(B209="","",IF($L$35="SELIC - TRIBUTOS",VLOOKUP(DATE(YEAR($D$19),MONTH($D$19)-1,1),ÍNDICES!$A:$DE,HLOOKUP($BL$25,ÍNDICES!$B$3:$T$4,2)+11)-VLOOKUP(B209,ÍNDICES!$A:$DE,HLOOKUP($BL$25,ÍNDICES!$B$3:$T$4,2)+11)+1%,IF(C$38=$W$26,$J$35,IF(ISERROR(IF(B209&gt;$D$19,1,VLOOKUP(DATE(YEAR(B209),MONTH(B209)+IF($C$35=$S$23,1,0),1),ÍNDICES!$A:$DE,$Z$35+1))),"",IF(B209&gt;$D$19,1,VLOOKUP(DATE(YEAR(B209),MONTH(B209)+IF($C$35=$S$23,1,0),1),ÍNDICES!$A:$DE,$Z$35+1))))))</f>
        <v/>
      </c>
      <c r="D209" s="154" t="str">
        <f>IF(ISERROR(IF(OR($D$38=$Y$27,$B209=""),"",VLOOKUP(B209,ÍNDICES!A:DE,AF$35+1))),"",IF(OR($D$38=$Y$27,$B209=""),"",VLOOKUP(B209,ÍNDICES!A:DE,AF$35+1)))</f>
        <v/>
      </c>
      <c r="E209" s="153"/>
      <c r="F209" s="29" t="str">
        <f>IF(E209="","",IF($L$35="SELIC - TRIBUTOS",VLOOKUP(DATE(YEAR($D$19),MONTH($D$19)-1,1),ÍNDICES!$A:$DE,HLOOKUP($BL$25,ÍNDICES!$B$3:$T$4,2)+11)-VLOOKUP(E209,ÍNDICES!$A:$DE,HLOOKUP($BL$25,ÍNDICES!$B$3:$T$4,2)+11)+1%,IF(F$38=$W$26,$J$35,IF(ISERROR(IF(E209&gt;$D$19,1,VLOOKUP(DATE(YEAR(E209),MONTH(E209)+IF($C$35=$S$23,1,0),1),ÍNDICES!$A:$DE,$Z$35+1))),"",IF(E209&gt;$D$19,1,VLOOKUP(DATE(YEAR(E209),MONTH(E209)+IF($C$35=$S$23,1,0),1),ÍNDICES!$A:$DE,$Z$35+1))))))</f>
        <v/>
      </c>
      <c r="G209" s="155"/>
      <c r="H209" s="156" t="str">
        <f t="shared" si="33"/>
        <v/>
      </c>
      <c r="I209" s="29" t="str">
        <f t="shared" si="27"/>
        <v/>
      </c>
      <c r="J209" s="5">
        <f t="shared" si="28"/>
        <v>0</v>
      </c>
      <c r="K209" s="20">
        <f t="shared" ca="1" si="29"/>
        <v>0</v>
      </c>
      <c r="L209" s="5">
        <f t="shared" ca="1" si="30"/>
        <v>0</v>
      </c>
      <c r="M209" s="64">
        <f t="shared" si="34"/>
        <v>0</v>
      </c>
      <c r="N209" s="61">
        <f t="shared" ca="1" si="35"/>
        <v>0</v>
      </c>
      <c r="O209" s="5">
        <f t="shared" ca="1" si="36"/>
        <v>0</v>
      </c>
      <c r="P209" s="446" t="e">
        <f t="shared" si="31"/>
        <v>#VALUE!</v>
      </c>
      <c r="Q209" s="446" t="e">
        <f>IF(OR($B209="",MIN(Q$38,$D$19)&lt;MAX($P$34*($B209+IF($R$17="Distrato",$I$38-1,0)),IF(AND($L$37=0,$P$34=0),"",$L$37-1),IF($R$17="Distrato",$E209,0))),0,YEARFRAC(MAX($P$34*($B209+IF($R$17="Distrato",$I$38-1,0)),IF(AND($L$37=0,$P$34=0),"",$L$37-1),IF($R$17="Distrato",$E209,0)),MIN(Q$38,$D$19),$P$20))-SUM($P209:P209)</f>
        <v>#VALUE!</v>
      </c>
      <c r="R209" s="446" t="e">
        <f>IF(OR($B209="",MIN(R$38,$D$19)&lt;MAX($P$34*($B209+IF($R$17="Distrato",$I$38-1,0)),IF(AND($L$37=0,$P$34=0),"",$L$37-1),IF($R$17="Distrato",$E209,0))),0,YEARFRAC(MAX($P$34*($B209+IF($R$17="Distrato",$I$38-1,0)),IF(AND($L$37=0,$P$34=0),"",$L$37-1),IF($R$17="Distrato",$E209,0)),MIN(R$38,$D$19),$P$20))-SUM($P209:Q209)</f>
        <v>#VALUE!</v>
      </c>
      <c r="S209" s="446" t="e">
        <f>IF(OR($B209="",MIN(S$38,$D$19)&lt;MAX($P$34*($B209+IF($R$17="Distrato",$I$38-1,0)),IF(AND($L$37=0,$P$34=0),"",$L$37-1),IF($R$17="Distrato",$E209,0))),0,YEARFRAC(MAX($P$34*($B209+IF($R$17="Distrato",$I$38-1,0)),IF(AND($L$37=0,$P$34=0),"",$L$37-1),IF($R$17="Distrato",$E209,0)),MIN(S$38,$D$19),$P$20))-SUM($P209:R209)</f>
        <v>#VALUE!</v>
      </c>
      <c r="T209" s="446" t="e">
        <f>IF(OR($B209="",MIN(T$38,$D$19)&lt;MAX($P$34*($B209+IF($R$17="Distrato",$I$38-1,0)),IF(AND($L$37=0,$P$34=0),"",$L$37-1),IF($R$17="Distrato",$E209,0))),0,YEARFRAC(MAX($P$34*($B209+IF($R$17="Distrato",$I$38-1,0)),IF(AND($L$37=0,$P$34=0),"",$L$37-1),IF($R$17="Distrato",$E209,0)),MIN(T$38,$D$19),$P$20))-SUM($P209:S209)</f>
        <v>#VALUE!</v>
      </c>
      <c r="U209" s="446" t="e">
        <f>IF(OR($B209="",MIN(U$38,$D$19)&lt;MAX($P$34*($B209+IF($R$17="Distrato",$I$38-1,0)),IF(AND($L$37=0,$P$34=0),"",$L$37-1),IF($R$17="Distrato",$E209,0))),0,YEARFRAC(MAX($P$34*($B209+IF($R$17="Distrato",$I$38-1,0)),IF(AND($L$37=0,$P$34=0),"",$L$37-1),IF($R$17="Distrato",$E209,0)),MIN(U$38,$D$19),$P$20))-SUM($P209:T209)</f>
        <v>#VALUE!</v>
      </c>
      <c r="V209" s="446" t="e">
        <f>IF(OR($B209="",MIN(V$38,$D$19)&lt;MAX($P$34*($B209+IF($R$17="Distrato",$I$38-1,0)),IF(AND($L$37=0,$P$34=0),"",$L$37-1),IF($R$17="Distrato",$E209,0))),0,YEARFRAC(MAX($P$34*($B209+IF($R$17="Distrato",$I$38-1,0)),IF(AND($L$37=0,$P$34=0),"",$L$37-1),IF($R$17="Distrato",$E209,0)),MIN(V$38,$D$19),$P$20))-SUM($P209:U209)</f>
        <v>#VALUE!</v>
      </c>
      <c r="W209" s="446" t="e">
        <f>IF(OR($B209="",MIN(W$38,$D$19)&lt;MAX($P$34*($B209+IF($R$17="Distrato",$I$38-1,0)),IF(AND($L$37=0,$P$34=0),"",$L$37-1),IF($R$17="Distrato",$E209,0))),0,YEARFRAC(MAX($P$34*($B209+IF($R$17="Distrato",$I$38-1,0)),IF(AND($L$37=0,$P$34=0),"",$L$37-1),IF($R$17="Distrato",$E209,0)),MIN(W$38,$D$19),$P$20))-SUM($P209:V209)</f>
        <v>#VALUE!</v>
      </c>
      <c r="X209" s="446" t="e">
        <f>IF(OR($B209="",MIN(X$38,$D$19)&lt;MAX($P$34*($B209+IF($R$17="Distrato",$I$38-1,0)),IF(AND($L$37=0,$P$34=0),"",$L$37-1),IF($R$17="Distrato",$E209,0))),0,YEARFRAC(MAX($P$34*($B209+IF($R$17="Distrato",$I$38-1,0)),IF(AND($L$37=0,$P$34=0),"",$L$37-1),IF($R$17="Distrato",$E209,0)),MIN(X$38,$D$19),$P$20))-SUM($P209:W209)</f>
        <v>#VALUE!</v>
      </c>
      <c r="Y209" s="446" t="e">
        <f>IF(OR($B209="",MIN(Y$38,$D$19)&lt;MAX($P$34*($B209+IF($R$17="Distrato",$I$38-1,0)),IF(AND($L$37=0,$P$34=0),"",$L$37-1),IF($R$17="Distrato",$E209,0))),0,YEARFRAC(MAX($P$34*($B209+IF($R$17="Distrato",$I$38-1,0)),IF(AND($L$37=0,$P$34=0),"",$L$37-1),IF($R$17="Distrato",$E209,0)),MIN(Y$38,$D$19),$P$20))-SUM($P209:X209)</f>
        <v>#VALUE!</v>
      </c>
      <c r="Z209" s="446" t="e">
        <f>IF(OR($B209="",MIN(Z$38,$D$19)&lt;MAX($P$34*($B209+IF($R$17="Distrato",$I$38-1,0)),IF(AND($L$37=0,$P$34=0),"",$L$37-1),IF($R$17="Distrato",$E209,0))),0,YEARFRAC(MAX($P$34*($B209+IF($R$17="Distrato",$I$38-1,0)),IF(AND($L$37=0,$P$34=0),"",$L$37-1),IF($R$17="Distrato",$E209,0)),MIN(Z$38,$D$19),$P$20))-SUM($P209:Y209)</f>
        <v>#VALUE!</v>
      </c>
      <c r="AA209" s="446" t="e">
        <f>IF(OR($B209="",MIN(AA$38,$D$19)&lt;MAX($P$34*($B209+IF($R$17="Distrato",$I$38-1,0)),IF(AND($L$37=0,$P$34=0),"",$L$37-1),IF($R$17="Distrato",$E209,0))),0,YEARFRAC(MAX($P$34*($B209+IF($R$17="Distrato",$I$38-1,0)),IF(AND($L$37=0,$P$34=0),"",$L$37-1),IF($R$17="Distrato",$E209,0)),MIN(AA$38,$D$19),$P$20))-SUM($P209:Z209)</f>
        <v>#VALUE!</v>
      </c>
      <c r="AB209" s="446" t="e">
        <f>IF(OR($B209="",MIN(AB$38,$D$19)&lt;MAX($P$34*($B209+IF($R$17="Distrato",$I$38-1,0)),IF(AND($L$37=0,$P$34=0),"",$L$37-1),IF($R$17="Distrato",$E209,0))),0,YEARFRAC(MAX($P$34*($B209+IF($R$17="Distrato",$I$38-1,0)),IF(AND($L$37=0,$P$34=0),"",$L$37-1),IF($R$17="Distrato",$E209,0)),MIN(AB$38,$D$19),$P$20))-SUM($P209:AA209)</f>
        <v>#VALUE!</v>
      </c>
      <c r="AC209" s="446" t="e">
        <f>IF(OR($B209="",MIN(AC$38,$D$19)&lt;MAX($P$34*($B209+IF($R$17="Distrato",$I$38-1,0)),IF(AND($L$37=0,$P$34=0),"",$L$37-1),IF($R$17="Distrato",$E209,0))),0,YEARFRAC(MAX($P$34*($B209+IF($R$17="Distrato",$I$38-1,0)),IF(AND($L$37=0,$P$34=0),"",$L$37-1),IF($R$17="Distrato",$E209,0)),MIN(AC$38,$D$19),$P$20))-SUM($P209:AB209)</f>
        <v>#VALUE!</v>
      </c>
      <c r="AD209" s="446" t="e">
        <f>IF(OR($B209="",MIN(AD$38,$D$19)&lt;MAX($P$34*($B209+IF($R$17="Distrato",$I$38-1,0)),IF(AND($L$37=0,$P$34=0),"",$L$37-1),IF($R$17="Distrato",$E209,0))),0,YEARFRAC(MAX($P$34*($B209+IF($R$17="Distrato",$I$38-1,0)),IF(AND($L$37=0,$P$34=0),"",$L$37-1),IF($R$17="Distrato",$E209,0)),MIN(AD$38,$D$19),$P$20))-SUM($P209:AC209)</f>
        <v>#VALUE!</v>
      </c>
      <c r="AE209" s="446" t="e">
        <f>IF(OR($B209="",MIN(AE$38,$D$19)&lt;MAX($P$34*($B209+IF($R$17="Distrato",$I$38-1,0)),IF(AND($L$37=0,$P$34=0),"",$L$37-1),IF($R$17="Distrato",$E209,0))),0,YEARFRAC(MAX($P$34*($B209+IF($R$17="Distrato",$I$38-1,0)),IF(AND($L$37=0,$P$34=0),"",$L$37-1),IF($R$17="Distrato",$E209,0)),MIN(AE$38,$D$19),$P$20))-SUM($P209:AD209)</f>
        <v>#VALUE!</v>
      </c>
      <c r="AF209" s="446" t="e">
        <f>IF(OR($B209="",MIN(AF$38,$D$19)&lt;MAX($P$34*($B209+IF($R$17="Distrato",$I$38-1,0)),IF(AND($L$37=0,$P$34=0),"",$L$37-1),IF($R$17="Distrato",$E209,0))),0,YEARFRAC(MAX($P$34*($B209+IF($R$17="Distrato",$I$38-1,0)),IF(AND($L$37=0,$P$34=0),"",$L$37-1),IF($R$17="Distrato",$E209,0)),MIN(AF$38,$D$19),$P$20))-SUM($P209:AE209)</f>
        <v>#VALUE!</v>
      </c>
      <c r="AG209" s="446" t="e">
        <f>IF(OR($B209="",MIN(AG$38,$D$19)&lt;MAX($P$34*($B209+IF($R$17="Distrato",$I$38-1,0)),IF(AND($L$37=0,$P$34=0),"",$L$37-1),IF($R$17="Distrato",$E209,0))),0,YEARFRAC(MAX($P$34*($B209+IF($R$17="Distrato",$I$38-1,0)),IF(AND($L$37=0,$P$34=0),"",$L$37-1),IF($R$17="Distrato",$E209,0)),MIN(AG$38,$D$19),$P$20))-SUM($P209:AF209)</f>
        <v>#VALUE!</v>
      </c>
      <c r="AH209" s="446" t="e">
        <f>IF(OR($B209="",MIN(AH$38,$D$19)&lt;MAX($P$34*($B209+IF($R$17="Distrato",$I$38-1,0)),IF(AND($L$37=0,$P$34=0),"",$L$37-1),IF($R$17="Distrato",$E209,0))),0,YEARFRAC(MAX($P$34*($B209+IF($R$17="Distrato",$I$38-1,0)),IF(AND($L$37=0,$P$34=0),"",$L$37-1),IF($R$17="Distrato",$E209,0)),MIN(AH$38,$D$19),$P$20))-SUM($P209:AG209)</f>
        <v>#VALUE!</v>
      </c>
      <c r="AI209" s="446" t="e">
        <f>IF(OR($B209="",MIN(AI$38,$D$19)&lt;MAX($P$34*($B209+IF($R$17="Distrato",$I$38-1,0)),IF(AND($L$37=0,$P$34=0),"",$L$37-1),IF($R$17="Distrato",$E209,0))),0,YEARFRAC(MAX($P$34*($B209+IF($R$17="Distrato",$I$38-1,0)),IF(AND($L$37=0,$P$34=0),"",$L$37-1),IF($R$17="Distrato",$E209,0)),MIN(AI$38,$D$19),$P$20))-SUM($P209:AH209)</f>
        <v>#VALUE!</v>
      </c>
      <c r="AJ209" s="446" t="e">
        <f>IF(OR($B209="",MIN(AJ$38,$D$19)&lt;MAX($P$34*($B209+IF($R$17="Distrato",$I$38-1,0)),IF(AND($L$37=0,$P$34=0),"",$L$37-1),IF($R$17="Distrato",$E209,0))),0,YEARFRAC(MAX($P$34*($B209+IF($R$17="Distrato",$I$38-1,0)),IF(AND($L$37=0,$P$34=0),"",$L$37-1),IF($R$17="Distrato",$E209,0)),MIN(AJ$38,$D$19),$P$20))-SUM($P209:AI209)</f>
        <v>#VALUE!</v>
      </c>
      <c r="AK209" s="446" t="e">
        <f>IF(OR($B209="",MIN(AK$38,$D$19)&lt;MAX($P$34*($B209+IF($R$17="Distrato",$I$38-1,0)),IF(AND($L$37=0,$P$34=0),"",$L$37-1),IF($R$17="Distrato",$E209,0))),0,YEARFRAC(MAX($P$34*($B209+IF($R$17="Distrato",$I$38-1,0)),IF(AND($L$37=0,$P$34=0),"",$L$37-1),IF($R$17="Distrato",$E209,0)),MIN(AK$38,$D$19),$P$20))-SUM($P209:AJ209)</f>
        <v>#VALUE!</v>
      </c>
      <c r="AL209" s="446" t="e">
        <f>IF(OR($B209="",MIN(AL$38,$D$19)&lt;MAX($P$34*($B209+IF($R$17="Distrato",$I$38-1,0)),IF(AND($L$37=0,$P$34=0),"",$L$37-1),IF($R$17="Distrato",$E209,0))),0,YEARFRAC(MAX($P$34*($B209+IF($R$17="Distrato",$I$38-1,0)),IF(AND($L$37=0,$P$34=0),"",$L$37-1),IF($R$17="Distrato",$E209,0)),MIN(AL$38,$D$19),$P$20))-SUM($P209:AK209)</f>
        <v>#VALUE!</v>
      </c>
      <c r="AM209" s="446" t="e">
        <f>IF(OR($B209="",MIN(AM$38,$D$19)&lt;MAX($P$34*($B209+IF($R$17="Distrato",$I$38-1,0)),IF(AND($L$37=0,$P$34=0),"",$L$37-1),IF($R$17="Distrato",$E209,0))),0,YEARFRAC(MAX($P$34*($B209+IF($R$17="Distrato",$I$38-1,0)),IF(AND($L$37=0,$P$34=0),"",$L$37-1),IF($R$17="Distrato",$E209,0)),MIN(AM$38,$D$19),$P$20))-SUM($P209:AL209)</f>
        <v>#VALUE!</v>
      </c>
      <c r="AN209" s="446" t="e">
        <f>IF(OR($B209="",MIN(AN$38,$D$19)&lt;MAX($P$34*($B209+IF($R$17="Distrato",$I$38-1,0)),IF(AND($L$37=0,$P$34=0),"",$L$37-1),IF($R$17="Distrato",$E209,0))),0,YEARFRAC(MAX($P$34*($B209+IF($R$17="Distrato",$I$38-1,0)),IF(AND($L$37=0,$P$34=0),"",$L$37-1),IF($R$17="Distrato",$E209,0)),MIN(AN$38,$D$19),$P$20))-SUM($P209:AM209)</f>
        <v>#VALUE!</v>
      </c>
      <c r="AO209" s="446" t="e">
        <f>IF(OR($B209="",MIN(AO$38,$D$19)&lt;MAX($P$34*($B209+IF($R$17="Distrato",$I$38-1,0)),IF(AND($L$37=0,$P$34=0),"",$L$37-1),IF($R$17="Distrato",$E209,0))),0,YEARFRAC(MAX($P$34*($B209+IF($R$17="Distrato",$I$38-1,0)),IF(AND($L$37=0,$P$34=0),"",$L$37-1),IF($R$17="Distrato",$E209,0)),MIN(AO$38,$D$19),$P$20))-SUM($P209:AN209)</f>
        <v>#VALUE!</v>
      </c>
      <c r="AP209" s="446" t="e">
        <f>IF(OR($B209="",MIN(AP$38,$D$19)&lt;MAX($P$34*($B209+IF($R$17="Distrato",$I$38-1,0)),IF(AND($L$37=0,$P$34=0),"",$L$37-1),IF($R$17="Distrato",$E209,0))),0,YEARFRAC(MAX($P$34*($B209+IF($R$17="Distrato",$I$38-1,0)),IF(AND($L$37=0,$P$34=0),"",$L$37-1),IF($R$17="Distrato",$E209,0)),MIN(AP$38,$D$19),$P$20))-SUM($P209:AO209)</f>
        <v>#VALUE!</v>
      </c>
      <c r="AQ209" s="446" t="e">
        <f>IF(OR($B209="",MIN(AQ$38,$D$19)&lt;MAX($P$34*($B209+IF($R$17="Distrato",$I$38-1,0)),IF(AND($L$37=0,$P$34=0),"",$L$37-1),IF($R$17="Distrato",$E209,0))),0,YEARFRAC(MAX($P$34*($B209+IF($R$17="Distrato",$I$38-1,0)),IF(AND($L$37=0,$P$34=0),"",$L$37-1),IF($R$17="Distrato",$E209,0)),MIN(AQ$38,$D$19),$P$20))-SUM($P209:AP209)</f>
        <v>#VALUE!</v>
      </c>
      <c r="AR209" s="446" t="e">
        <f>IF(OR($B209="",MIN(AR$38,$D$19)&lt;MAX($P$34*($B209+IF($R$17="Distrato",$I$38-1,0)),IF(AND($L$37=0,$P$34=0),"",$L$37-1),IF($R$17="Distrato",$E209,0))),0,YEARFRAC(MAX($P$34*($B209+IF($R$17="Distrato",$I$38-1,0)),IF(AND($L$37=0,$P$34=0),"",$L$37-1),IF($R$17="Distrato",$E209,0)),MIN(AR$38,$D$19),$P$20))-SUM($P209:AQ209)</f>
        <v>#VALUE!</v>
      </c>
      <c r="AS209" s="446" t="e">
        <f>IF(OR($B209="",MIN(AS$38,$D$19)&lt;MAX($P$34*($B209+IF($R$17="Distrato",$I$38-1,0)),IF(AND($L$37=0,$P$34=0),"",$L$37-1),IF($R$17="Distrato",$E209,0))),0,YEARFRAC(MAX($P$34*($B209+IF($R$17="Distrato",$I$38-1,0)),IF(AND($L$37=0,$P$34=0),"",$L$37-1),IF($R$17="Distrato",$E209,0)),MIN(AS$38,$D$19),$P$20))-SUM($P209:AR209)</f>
        <v>#VALUE!</v>
      </c>
      <c r="AT209" s="446" t="e">
        <f>IF(OR($B209="",MIN(AT$38,$D$19)&lt;MAX($P$34*($B209+IF($R$17="Distrato",$I$38-1,0)),IF(AND($L$37=0,$P$34=0),"",$L$37-1),IF($R$17="Distrato",$E209,0))),0,YEARFRAC(MAX($P$34*($B209+IF($R$17="Distrato",$I$38-1,0)),IF(AND($L$37=0,$P$34=0),"",$L$37-1),IF($R$17="Distrato",$E209,0)),MIN(AT$38,$D$19),$P$20))-SUM($P209:AS209)</f>
        <v>#VALUE!</v>
      </c>
      <c r="AU209" s="446" t="e">
        <f>IF(OR($B209="",MIN(AU$38,$D$19)&lt;MAX($P$34*($B209+IF($R$17="Distrato",$I$38-1,0)),IF(AND($L$37=0,$P$34=0),"",$L$37-1),IF($R$17="Distrato",$E209,0))),0,YEARFRAC(MAX($P$34*($B209+IF($R$17="Distrato",$I$38-1,0)),IF(AND($L$37=0,$P$34=0),"",$L$37-1),IF($R$17="Distrato",$E209,0)),MIN(AU$38,$D$19),$P$20))-SUM($P209:AT209)</f>
        <v>#VALUE!</v>
      </c>
      <c r="AV209" s="446" t="e">
        <f>IF(OR($B209="",MIN(AV$38,$D$19)&lt;MAX($P$34*($B209+IF($R$17="Distrato",$I$38-1,0)),IF(AND($L$37=0,$P$34=0),"",$L$37-1),IF($R$17="Distrato",$E209,0))),0,YEARFRAC(MAX($P$34*($B209+IF($R$17="Distrato",$I$38-1,0)),IF(AND($L$37=0,$P$34=0),"",$L$37-1),IF($R$17="Distrato",$E209,0)),MIN(AV$38,$D$19),$P$20))-SUM($P209:AU209)</f>
        <v>#VALUE!</v>
      </c>
      <c r="AW209" s="446" t="e">
        <f>IF(OR($B209="",MIN(AW$38,$D$19)&lt;MAX($P$34*($B209+IF($R$17="Distrato",$I$38-1,0)),IF(AND($L$37=0,$P$34=0),"",$L$37-1),IF($R$17="Distrato",$E209,0))),0,YEARFRAC(MAX($P$34*($B209+IF($R$17="Distrato",$I$38-1,0)),IF(AND($L$37=0,$P$34=0),"",$L$37-1),IF($R$17="Distrato",$E209,0)),MIN(AW$38,$D$19),$P$20))-SUM($P209:AV209)</f>
        <v>#VALUE!</v>
      </c>
      <c r="AX209" s="446" t="e">
        <f>IF(OR($B209="",MIN(AX$38,$D$19)&lt;MAX($P$34*($B209+IF($R$17="Distrato",$I$38-1,0)),IF(AND($L$37=0,$P$34=0),"",$L$37-1),IF($R$17="Distrato",$E209,0))),0,YEARFRAC(MAX($P$34*($B209+IF($R$17="Distrato",$I$38-1,0)),IF(AND($L$37=0,$P$34=0),"",$L$37-1),IF($R$17="Distrato",$E209,0)),MIN(AX$38,$D$19),$P$20))-SUM($P209:AW209)</f>
        <v>#VALUE!</v>
      </c>
      <c r="AY209" s="446" t="e">
        <f>IF(OR($B209="",MIN(AY$38,$D$19)&lt;MAX($P$34*($B209+IF($R$17="Distrato",$I$38-1,0)),IF(AND($L$37=0,$P$34=0),"",$L$37-1),IF($R$17="Distrato",$E209,0))),0,YEARFRAC(MAX($P$34*($B209+IF($R$17="Distrato",$I$38-1,0)),IF(AND($L$37=0,$P$34=0),"",$L$37-1),IF($R$17="Distrato",$E209,0)),MIN(AY$38,$D$19),$P$20))-SUM($P209:AX209)</f>
        <v>#VALUE!</v>
      </c>
      <c r="AZ209" s="446" t="e">
        <f>IF(OR($B209="",MIN(AZ$38,$D$19)&lt;MAX($P$34*($B209+IF($R$17="Distrato",$I$38-1,0)),IF(AND($L$37=0,$P$34=0),"",$L$37-1),IF($R$17="Distrato",$E209,0))),0,YEARFRAC(MAX($P$34*($B209+IF($R$17="Distrato",$I$38-1,0)),IF(AND($L$37=0,$P$34=0),"",$L$37-1),IF($R$17="Distrato",$E209,0)),MIN(AZ$38,$D$19),$P$20))-SUM($P209:AY209)</f>
        <v>#VALUE!</v>
      </c>
      <c r="BA209" s="446" t="e">
        <f>IF(OR($B209="",MIN(BA$38,$D$19)&lt;MAX($P$34*($B209+IF($R$17="Distrato",$I$38-1,0)),IF(AND($L$37=0,$P$34=0),"",$L$37-1),IF($R$17="Distrato",$E209,0))),0,YEARFRAC(MAX($P$34*($B209+IF($R$17="Distrato",$I$38-1,0)),IF(AND($L$37=0,$P$34=0),"",$L$37-1),IF($R$17="Distrato",$E209,0)),MIN(BA$38,$D$19),$P$20))-SUM($P209:AZ209)</f>
        <v>#VALUE!</v>
      </c>
      <c r="BB209" s="447"/>
      <c r="BF209" s="446">
        <f t="shared" si="32"/>
        <v>0</v>
      </c>
      <c r="BG209" s="446">
        <f>IF($E209=0,0,IF(MIN(BG$38,$E209)&lt;MAX($P$34*($B209+$I$38-1),IF(AND($L$37=0,$P$34=0),"",$L$37-1)),0,YEARFRAC(MAX($P$34*($B209+$I$38-1),IF(AND($L$37=0,$P$34=0),"",$L$37-1)),MIN(BG$38,$E209),$P$20))-SUM($BF209:BF209))</f>
        <v>0</v>
      </c>
      <c r="BH209" s="446">
        <f>IF($E209=0,0,IF(MIN(BH$38,$E209)&lt;MAX($P$34*($B209+$I$38-1),IF(AND($L$37=0,$P$34=0),"",$L$37-1)),0,YEARFRAC(MAX($P$34*($B209+$I$38-1),IF(AND($L$37=0,$P$34=0),"",$L$37-1)),MIN(BH$38,$E209),$P$20))-SUM($BF209:BG209))</f>
        <v>0</v>
      </c>
      <c r="BI209" s="446">
        <f>IF($E209=0,0,IF(MIN(BI$38,$E209)&lt;MAX($P$34*($B209+$I$38-1),IF(AND($L$37=0,$P$34=0),"",$L$37-1)),0,YEARFRAC(MAX($P$34*($B209+$I$38-1),IF(AND($L$37=0,$P$34=0),"",$L$37-1)),MIN(BI$38,$E209),$P$20))-SUM($BF209:BH209))</f>
        <v>0</v>
      </c>
      <c r="BJ209" s="446">
        <f>IF($E209=0,0,IF(MIN(BJ$38,$E209)&lt;MAX($P$34*($B209+$I$38-1),IF(AND($L$37=0,$P$34=0),"",$L$37-1)),0,YEARFRAC(MAX($P$34*($B209+$I$38-1),IF(AND($L$37=0,$P$34=0),"",$L$37-1)),MIN(BJ$38,$E209),$P$20))-SUM($BF209:BI209))</f>
        <v>0</v>
      </c>
      <c r="BK209" s="446">
        <f>IF($E209=0,0,IF(MIN(BK$38,$E209)&lt;MAX($P$34*($B209+$I$38-1),IF(AND($L$37=0,$P$34=0),"",$L$37-1)),0,YEARFRAC(MAX($P$34*($B209+$I$38-1),IF(AND($L$37=0,$P$34=0),"",$L$37-1)),MIN(BK$38,$E209),$P$20))-SUM($BF209:BJ209))</f>
        <v>0</v>
      </c>
      <c r="BL209" s="446">
        <f>IF($E209=0,0,IF(MIN(BL$38,$E209)&lt;MAX($P$34*($B209+$I$38-1),IF(AND($L$37=0,$P$34=0),"",$L$37-1)),0,YEARFRAC(MAX($P$34*($B209+$I$38-1),IF(AND($L$37=0,$P$34=0),"",$L$37-1)),MIN(BL$38,$E209),$P$20))-SUM($BF209:BK209))</f>
        <v>0</v>
      </c>
      <c r="BM209" s="446">
        <f>IF($E209=0,0,IF(MIN(BM$38,$E209)&lt;MAX($P$34*($B209+$I$38-1),IF(AND($L$37=0,$P$34=0),"",$L$37-1)),0,YEARFRAC(MAX($P$34*($B209+$I$38-1),IF(AND($L$37=0,$P$34=0),"",$L$37-1)),MIN(BM$38,$E209),$P$20))-SUM($BF209:BL209))</f>
        <v>0</v>
      </c>
      <c r="BN209" s="446">
        <f>IF($E209=0,0,IF(MIN(BN$38,$E209)&lt;MAX($P$34*($B209+$I$38-1),IF(AND($L$37=0,$P$34=0),"",$L$37-1)),0,YEARFRAC(MAX($P$34*($B209+$I$38-1),IF(AND($L$37=0,$P$34=0),"",$L$37-1)),MIN(BN$38,$E209),$P$20))-SUM($BF209:BM209))</f>
        <v>0</v>
      </c>
      <c r="BO209" s="446">
        <f>IF($E209=0,0,IF(MIN(BO$38,$E209)&lt;MAX($P$34*($B209+$I$38-1),IF(AND($L$37=0,$P$34=0),"",$L$37-1)),0,YEARFRAC(MAX($P$34*($B209+$I$38-1),IF(AND($L$37=0,$P$34=0),"",$L$37-1)),MIN(BO$38,$E209),$P$20))-SUM($BF209:BN209))</f>
        <v>0</v>
      </c>
      <c r="BP209" s="446">
        <f>IF($E209=0,0,IF(MIN(BP$38,$E209)&lt;MAX($P$34*($B209+$I$38-1),IF(AND($L$37=0,$P$34=0),"",$L$37-1)),0,YEARFRAC(MAX($P$34*($B209+$I$38-1),IF(AND($L$37=0,$P$34=0),"",$L$37-1)),MIN(BP$38,$E209),$P$20))-SUM($BF209:BO209))</f>
        <v>0</v>
      </c>
      <c r="BQ209" s="446">
        <f>IF($E209=0,0,IF(MIN(BQ$38,$E209)&lt;MAX($P$34*($B209+$I$38-1),IF(AND($L$37=0,$P$34=0),"",$L$37-1)),0,YEARFRAC(MAX($P$34*($B209+$I$38-1),IF(AND($L$37=0,$P$34=0),"",$L$37-1)),MIN(BQ$38,$E209),$P$20))-SUM($BF209:BP209))</f>
        <v>0</v>
      </c>
      <c r="BR209" s="446">
        <f>IF($E209=0,0,IF(MIN(BR$38,$E209)&lt;MAX($P$34*($B209+$I$38-1),IF(AND($L$37=0,$P$34=0),"",$L$37-1)),0,YEARFRAC(MAX($P$34*($B209+$I$38-1),IF(AND($L$37=0,$P$34=0),"",$L$37-1)),MIN(BR$38,$E209),$P$20))-SUM($BF209:BQ209))</f>
        <v>0</v>
      </c>
      <c r="BS209" s="446">
        <f>IF($E209=0,0,IF(MIN(BS$38,$E209)&lt;MAX($P$34*($B209+$I$38-1),IF(AND($L$37=0,$P$34=0),"",$L$37-1)),0,YEARFRAC(MAX($P$34*($B209+$I$38-1),IF(AND($L$37=0,$P$34=0),"",$L$37-1)),MIN(BS$38,$E209),$P$20))-SUM($BF209:BR209))</f>
        <v>0</v>
      </c>
      <c r="BT209" s="446">
        <f>IF($E209=0,0,IF(MIN(BT$38,$E209)&lt;MAX($P$34*($B209+$I$38-1),IF(AND($L$37=0,$P$34=0),"",$L$37-1)),0,YEARFRAC(MAX($P$34*($B209+$I$38-1),IF(AND($L$37=0,$P$34=0),"",$L$37-1)),MIN(BT$38,$E209),$P$20))-SUM($BF209:BS209))</f>
        <v>0</v>
      </c>
      <c r="BU209" s="446">
        <f>IF($E209=0,0,IF(MIN(BU$38,$E209)&lt;MAX($P$34*($B209+$I$38-1),IF(AND($L$37=0,$P$34=0),"",$L$37-1)),0,YEARFRAC(MAX($P$34*($B209+$I$38-1),IF(AND($L$37=0,$P$34=0),"",$L$37-1)),MIN(BU$38,$E209),$P$20))-SUM($BF209:BT209))</f>
        <v>0</v>
      </c>
      <c r="BV209" s="446">
        <f>IF($E209=0,0,IF(MIN(BV$38,$E209)&lt;MAX($P$34*($B209+$I$38-1),IF(AND($L$37=0,$P$34=0),"",$L$37-1)),0,YEARFRAC(MAX($P$34*($B209+$I$38-1),IF(AND($L$37=0,$P$34=0),"",$L$37-1)),MIN(BV$38,$E209),$P$20))-SUM($BF209:BU209))</f>
        <v>0</v>
      </c>
      <c r="BW209" s="446">
        <f>IF($E209=0,0,IF(MIN(BW$38,$E209)&lt;MAX($P$34*($B209+$I$38-1),IF(AND($L$37=0,$P$34=0),"",$L$37-1)),0,YEARFRAC(MAX($P$34*($B209+$I$38-1),IF(AND($L$37=0,$P$34=0),"",$L$37-1)),MIN(BW$38,$E209),$P$20))-SUM($BF209:BV209))</f>
        <v>0</v>
      </c>
      <c r="BX209" s="446">
        <f>IF($E209=0,0,IF(MIN(BX$38,$E209)&lt;MAX($P$34*($B209+$I$38-1),IF(AND($L$37=0,$P$34=0),"",$L$37-1)),0,YEARFRAC(MAX($P$34*($B209+$I$38-1),IF(AND($L$37=0,$P$34=0),"",$L$37-1)),MIN(BX$38,$E209),$P$20))-SUM($BF209:BW209))</f>
        <v>0</v>
      </c>
      <c r="BY209" s="446">
        <f>IF($E209=0,0,IF(MIN(BY$38,$E209)&lt;MAX($P$34*($B209+$I$38-1),IF(AND($L$37=0,$P$34=0),"",$L$37-1)),0,YEARFRAC(MAX($P$34*($B209+$I$38-1),IF(AND($L$37=0,$P$34=0),"",$L$37-1)),MIN(BY$38,$E209),$P$20))-SUM($BF209:BX209))</f>
        <v>0</v>
      </c>
      <c r="BZ209" s="446">
        <f>IF($E209=0,0,IF(MIN(BZ$38,$E209)&lt;MAX($P$34*($B209+$I$38-1),IF(AND($L$37=0,$P$34=0),"",$L$37-1)),0,YEARFRAC(MAX($P$34*($B209+$I$38-1),IF(AND($L$37=0,$P$34=0),"",$L$37-1)),MIN(BZ$38,$E209),$P$20))-SUM($BF209:BY209))</f>
        <v>0</v>
      </c>
      <c r="CA209" s="446">
        <f>IF($E209=0,0,IF(MIN(CA$38,$E209)&lt;MAX($P$34*($B209+$I$38-1),IF(AND($L$37=0,$P$34=0),"",$L$37-1)),0,YEARFRAC(MAX($P$34*($B209+$I$38-1),IF(AND($L$37=0,$P$34=0),"",$L$37-1)),MIN(CA$38,$E209),$P$20))-SUM($BF209:BZ209))</f>
        <v>0</v>
      </c>
      <c r="CB209" s="446">
        <f>IF($E209=0,0,IF(MIN(CB$38,$E209)&lt;MAX($P$34*($B209+$I$38-1),IF(AND($L$37=0,$P$34=0),"",$L$37-1)),0,YEARFRAC(MAX($P$34*($B209+$I$38-1),IF(AND($L$37=0,$P$34=0),"",$L$37-1)),MIN(CB$38,$E209),$P$20))-SUM($BF209:CA209))</f>
        <v>0</v>
      </c>
      <c r="CC209" s="446">
        <f>IF($E209=0,0,IF(MIN(CC$38,$E209)&lt;MAX($P$34*($B209+$I$38-1),IF(AND($L$37=0,$P$34=0),"",$L$37-1)),0,YEARFRAC(MAX($P$34*($B209+$I$38-1),IF(AND($L$37=0,$P$34=0),"",$L$37-1)),MIN(CC$38,$E209),$P$20))-SUM($BF209:CB209))</f>
        <v>0</v>
      </c>
      <c r="CD209" s="446">
        <f>IF($E209=0,0,IF(MIN(CD$38,$E209)&lt;MAX($P$34*($B209+$I$38-1),IF(AND($L$37=0,$P$34=0),"",$L$37-1)),0,YEARFRAC(MAX($P$34*($B209+$I$38-1),IF(AND($L$37=0,$P$34=0),"",$L$37-1)),MIN(CD$38,$E209),$P$20))-SUM($BF209:CC209))</f>
        <v>0</v>
      </c>
      <c r="CE209" s="446">
        <f>IF($E209=0,0,IF(MIN(CE$38,$E209)&lt;MAX($P$34*($B209+$I$38-1),IF(AND($L$37=0,$P$34=0),"",$L$37-1)),0,YEARFRAC(MAX($P$34*($B209+$I$38-1),IF(AND($L$37=0,$P$34=0),"",$L$37-1)),MIN(CE$38,$E209),$P$20))-SUM($BF209:CD209))</f>
        <v>0</v>
      </c>
      <c r="CF209" s="446">
        <f>IF($E209=0,0,IF(MIN(CF$38,$E209)&lt;MAX($P$34*($B209+$I$38-1),IF(AND($L$37=0,$P$34=0),"",$L$37-1)),0,YEARFRAC(MAX($P$34*($B209+$I$38-1),IF(AND($L$37=0,$P$34=0),"",$L$37-1)),MIN(CF$38,$E209),$P$20))-SUM($BF209:CE209))</f>
        <v>0</v>
      </c>
      <c r="CG209" s="446">
        <f>IF($E209=0,0,IF(MIN(CG$38,$E209)&lt;MAX($P$34*($B209+$I$38-1),IF(AND($L$37=0,$P$34=0),"",$L$37-1)),0,YEARFRAC(MAX($P$34*($B209+$I$38-1),IF(AND($L$37=0,$P$34=0),"",$L$37-1)),MIN(CG$38,$E209),$P$20))-SUM($BF209:CF209))</f>
        <v>0</v>
      </c>
      <c r="CH209" s="446">
        <f>IF($E209=0,0,IF(MIN(CH$38,$E209)&lt;MAX($P$34*($B209+$I$38-1),IF(AND($L$37=0,$P$34=0),"",$L$37-1)),0,YEARFRAC(MAX($P$34*($B209+$I$38-1),IF(AND($L$37=0,$P$34=0),"",$L$37-1)),MIN(CH$38,$E209),$P$20))-SUM($BF209:CG209))</f>
        <v>0</v>
      </c>
      <c r="CI209" s="446">
        <f>IF($E209=0,0,IF(MIN(CI$38,$E209)&lt;MAX($P$34*($B209+$I$38-1),IF(AND($L$37=0,$P$34=0),"",$L$37-1)),0,YEARFRAC(MAX($P$34*($B209+$I$38-1),IF(AND($L$37=0,$P$34=0),"",$L$37-1)),MIN(CI$38,$E209),$P$20))-SUM($BF209:CH209))</f>
        <v>0</v>
      </c>
      <c r="CJ209" s="446">
        <f>IF($E209=0,0,IF(MIN(CJ$38,$E209)&lt;MAX($P$34*($B209+$I$38-1),IF(AND($L$37=0,$P$34=0),"",$L$37-1)),0,YEARFRAC(MAX($P$34*($B209+$I$38-1),IF(AND($L$37=0,$P$34=0),"",$L$37-1)),MIN(CJ$38,$E209),$P$20))-SUM($BF209:CI209))</f>
        <v>0</v>
      </c>
      <c r="CK209" s="446">
        <f>IF($E209=0,0,IF(MIN(CK$38,$E209)&lt;MAX($P$34*($B209+$I$38-1),IF(AND($L$37=0,$P$34=0),"",$L$37-1)),0,YEARFRAC(MAX($P$34*($B209+$I$38-1),IF(AND($L$37=0,$P$34=0),"",$L$37-1)),MIN(CK$38,$E209),$P$20))-SUM($BF209:CJ209))</f>
        <v>0</v>
      </c>
      <c r="CL209" s="446">
        <f>IF($E209=0,0,IF(MIN(CL$38,$E209)&lt;MAX($P$34*($B209+$I$38-1),IF(AND($L$37=0,$P$34=0),"",$L$37-1)),0,YEARFRAC(MAX($P$34*($B209+$I$38-1),IF(AND($L$37=0,$P$34=0),"",$L$37-1)),MIN(CL$38,$E209),$P$20))-SUM($BF209:CK209))</f>
        <v>0</v>
      </c>
      <c r="CM209" s="446">
        <f>IF($E209=0,0,IF(MIN(CM$38,$E209)&lt;MAX($P$34*($B209+$I$38-1),IF(AND($L$37=0,$P$34=0),"",$L$37-1)),0,YEARFRAC(MAX($P$34*($B209+$I$38-1),IF(AND($L$37=0,$P$34=0),"",$L$37-1)),MIN(CM$38,$E209),$P$20))-SUM($BF209:CL209))</f>
        <v>0</v>
      </c>
      <c r="CN209" s="446">
        <f>IF($E209=0,0,IF(MIN(CN$38,$E209)&lt;MAX($P$34*($B209+$I$38-1),IF(AND($L$37=0,$P$34=0),"",$L$37-1)),0,YEARFRAC(MAX($P$34*($B209+$I$38-1),IF(AND($L$37=0,$P$34=0),"",$L$37-1)),MIN(CN$38,$E209),$P$20))-SUM($BF209:CM209))</f>
        <v>0</v>
      </c>
      <c r="CO209" s="446">
        <f>IF($E209=0,0,IF(MIN(CO$38,$E209)&lt;MAX($P$34*($B209+$I$38-1),IF(AND($L$37=0,$P$34=0),"",$L$37-1)),0,YEARFRAC(MAX($P$34*($B209+$I$38-1),IF(AND($L$37=0,$P$34=0),"",$L$37-1)),MIN(CO$38,$E209),$P$20))-SUM($BF209:CN209))</f>
        <v>0</v>
      </c>
      <c r="CP209" s="446">
        <f>IF($E209=0,0,IF(MIN(CP$38,$E209)&lt;MAX($P$34*($B209+$I$38-1),IF(AND($L$37=0,$P$34=0),"",$L$37-1)),0,YEARFRAC(MAX($P$34*($B209+$I$38-1),IF(AND($L$37=0,$P$34=0),"",$L$37-1)),MIN(CP$38,$E209),$P$20))-SUM($BF209:CO209))</f>
        <v>0</v>
      </c>
      <c r="CQ209" s="446">
        <f>IF($E209=0,0,IF(MIN(CQ$38,$E209)&lt;MAX($P$34*($B209+$I$38-1),IF(AND($L$37=0,$P$34=0),"",$L$37-1)),0,YEARFRAC(MAX($P$34*($B209+$I$38-1),IF(AND($L$37=0,$P$34=0),"",$L$37-1)),MIN(CQ$38,$E209),$P$20))-SUM($BF209:CP209))</f>
        <v>0</v>
      </c>
    </row>
    <row r="210" spans="1:95" s="446" customFormat="1" ht="11.25" hidden="1" customHeight="1" x14ac:dyDescent="0.2">
      <c r="A210" s="152"/>
      <c r="B210" s="153" t="str">
        <f t="shared" si="37"/>
        <v/>
      </c>
      <c r="C210" s="29" t="str">
        <f>IF(B210="","",IF($L$35="SELIC - TRIBUTOS",VLOOKUP(DATE(YEAR($D$19),MONTH($D$19)-1,1),ÍNDICES!$A:$DE,HLOOKUP($BL$25,ÍNDICES!$B$3:$T$4,2)+11)-VLOOKUP(B210,ÍNDICES!$A:$DE,HLOOKUP($BL$25,ÍNDICES!$B$3:$T$4,2)+11)+1%,IF(C$38=$W$26,$J$35,IF(ISERROR(IF(B210&gt;$D$19,1,VLOOKUP(DATE(YEAR(B210),MONTH(B210)+IF($C$35=$S$23,1,0),1),ÍNDICES!$A:$DE,$Z$35+1))),"",IF(B210&gt;$D$19,1,VLOOKUP(DATE(YEAR(B210),MONTH(B210)+IF($C$35=$S$23,1,0),1),ÍNDICES!$A:$DE,$Z$35+1))))))</f>
        <v/>
      </c>
      <c r="D210" s="154" t="str">
        <f>IF(ISERROR(IF(OR($D$38=$Y$27,$B210=""),"",VLOOKUP(B210,ÍNDICES!A:DE,AF$35+1))),"",IF(OR($D$38=$Y$27,$B210=""),"",VLOOKUP(B210,ÍNDICES!A:DE,AF$35+1)))</f>
        <v/>
      </c>
      <c r="E210" s="153"/>
      <c r="F210" s="29" t="str">
        <f>IF(E210="","",IF($L$35="SELIC - TRIBUTOS",VLOOKUP(DATE(YEAR($D$19),MONTH($D$19)-1,1),ÍNDICES!$A:$DE,HLOOKUP($BL$25,ÍNDICES!$B$3:$T$4,2)+11)-VLOOKUP(E210,ÍNDICES!$A:$DE,HLOOKUP($BL$25,ÍNDICES!$B$3:$T$4,2)+11)+1%,IF(F$38=$W$26,$J$35,IF(ISERROR(IF(E210&gt;$D$19,1,VLOOKUP(DATE(YEAR(E210),MONTH(E210)+IF($C$35=$S$23,1,0),1),ÍNDICES!$A:$DE,$Z$35+1))),"",IF(E210&gt;$D$19,1,VLOOKUP(DATE(YEAR(E210),MONTH(E210)+IF($C$35=$S$23,1,0),1),ÍNDICES!$A:$DE,$Z$35+1))))))</f>
        <v/>
      </c>
      <c r="G210" s="155"/>
      <c r="H210" s="156" t="str">
        <f t="shared" si="33"/>
        <v/>
      </c>
      <c r="I210" s="29" t="str">
        <f t="shared" si="27"/>
        <v/>
      </c>
      <c r="J210" s="5">
        <f t="shared" si="28"/>
        <v>0</v>
      </c>
      <c r="K210" s="20">
        <f t="shared" ca="1" si="29"/>
        <v>0</v>
      </c>
      <c r="L210" s="5">
        <f t="shared" ca="1" si="30"/>
        <v>0</v>
      </c>
      <c r="M210" s="64">
        <f t="shared" si="34"/>
        <v>0</v>
      </c>
      <c r="N210" s="61">
        <f t="shared" ca="1" si="35"/>
        <v>0</v>
      </c>
      <c r="O210" s="5">
        <f t="shared" ca="1" si="36"/>
        <v>0</v>
      </c>
      <c r="P210" s="446" t="e">
        <f t="shared" si="31"/>
        <v>#VALUE!</v>
      </c>
      <c r="Q210" s="446" t="e">
        <f>IF(OR($B210="",MIN(Q$38,$D$19)&lt;MAX($P$34*($B210+IF($R$17="Distrato",$I$38-1,0)),IF(AND($L$37=0,$P$34=0),"",$L$37-1),IF($R$17="Distrato",$E210,0))),0,YEARFRAC(MAX($P$34*($B210+IF($R$17="Distrato",$I$38-1,0)),IF(AND($L$37=0,$P$34=0),"",$L$37-1),IF($R$17="Distrato",$E210,0)),MIN(Q$38,$D$19),$P$20))-SUM($P210:P210)</f>
        <v>#VALUE!</v>
      </c>
      <c r="R210" s="446" t="e">
        <f>IF(OR($B210="",MIN(R$38,$D$19)&lt;MAX($P$34*($B210+IF($R$17="Distrato",$I$38-1,0)),IF(AND($L$37=0,$P$34=0),"",$L$37-1),IF($R$17="Distrato",$E210,0))),0,YEARFRAC(MAX($P$34*($B210+IF($R$17="Distrato",$I$38-1,0)),IF(AND($L$37=0,$P$34=0),"",$L$37-1),IF($R$17="Distrato",$E210,0)),MIN(R$38,$D$19),$P$20))-SUM($P210:Q210)</f>
        <v>#VALUE!</v>
      </c>
      <c r="S210" s="446" t="e">
        <f>IF(OR($B210="",MIN(S$38,$D$19)&lt;MAX($P$34*($B210+IF($R$17="Distrato",$I$38-1,0)),IF(AND($L$37=0,$P$34=0),"",$L$37-1),IF($R$17="Distrato",$E210,0))),0,YEARFRAC(MAX($P$34*($B210+IF($R$17="Distrato",$I$38-1,0)),IF(AND($L$37=0,$P$34=0),"",$L$37-1),IF($R$17="Distrato",$E210,0)),MIN(S$38,$D$19),$P$20))-SUM($P210:R210)</f>
        <v>#VALUE!</v>
      </c>
      <c r="T210" s="446" t="e">
        <f>IF(OR($B210="",MIN(T$38,$D$19)&lt;MAX($P$34*($B210+IF($R$17="Distrato",$I$38-1,0)),IF(AND($L$37=0,$P$34=0),"",$L$37-1),IF($R$17="Distrato",$E210,0))),0,YEARFRAC(MAX($P$34*($B210+IF($R$17="Distrato",$I$38-1,0)),IF(AND($L$37=0,$P$34=0),"",$L$37-1),IF($R$17="Distrato",$E210,0)),MIN(T$38,$D$19),$P$20))-SUM($P210:S210)</f>
        <v>#VALUE!</v>
      </c>
      <c r="U210" s="446" t="e">
        <f>IF(OR($B210="",MIN(U$38,$D$19)&lt;MAX($P$34*($B210+IF($R$17="Distrato",$I$38-1,0)),IF(AND($L$37=0,$P$34=0),"",$L$37-1),IF($R$17="Distrato",$E210,0))),0,YEARFRAC(MAX($P$34*($B210+IF($R$17="Distrato",$I$38-1,0)),IF(AND($L$37=0,$P$34=0),"",$L$37-1),IF($R$17="Distrato",$E210,0)),MIN(U$38,$D$19),$P$20))-SUM($P210:T210)</f>
        <v>#VALUE!</v>
      </c>
      <c r="V210" s="446" t="e">
        <f>IF(OR($B210="",MIN(V$38,$D$19)&lt;MAX($P$34*($B210+IF($R$17="Distrato",$I$38-1,0)),IF(AND($L$37=0,$P$34=0),"",$L$37-1),IF($R$17="Distrato",$E210,0))),0,YEARFRAC(MAX($P$34*($B210+IF($R$17="Distrato",$I$38-1,0)),IF(AND($L$37=0,$P$34=0),"",$L$37-1),IF($R$17="Distrato",$E210,0)),MIN(V$38,$D$19),$P$20))-SUM($P210:U210)</f>
        <v>#VALUE!</v>
      </c>
      <c r="W210" s="446" t="e">
        <f>IF(OR($B210="",MIN(W$38,$D$19)&lt;MAX($P$34*($B210+IF($R$17="Distrato",$I$38-1,0)),IF(AND($L$37=0,$P$34=0),"",$L$37-1),IF($R$17="Distrato",$E210,0))),0,YEARFRAC(MAX($P$34*($B210+IF($R$17="Distrato",$I$38-1,0)),IF(AND($L$37=0,$P$34=0),"",$L$37-1),IF($R$17="Distrato",$E210,0)),MIN(W$38,$D$19),$P$20))-SUM($P210:V210)</f>
        <v>#VALUE!</v>
      </c>
      <c r="X210" s="446" t="e">
        <f>IF(OR($B210="",MIN(X$38,$D$19)&lt;MAX($P$34*($B210+IF($R$17="Distrato",$I$38-1,0)),IF(AND($L$37=0,$P$34=0),"",$L$37-1),IF($R$17="Distrato",$E210,0))),0,YEARFRAC(MAX($P$34*($B210+IF($R$17="Distrato",$I$38-1,0)),IF(AND($L$37=0,$P$34=0),"",$L$37-1),IF($R$17="Distrato",$E210,0)),MIN(X$38,$D$19),$P$20))-SUM($P210:W210)</f>
        <v>#VALUE!</v>
      </c>
      <c r="Y210" s="446" t="e">
        <f>IF(OR($B210="",MIN(Y$38,$D$19)&lt;MAX($P$34*($B210+IF($R$17="Distrato",$I$38-1,0)),IF(AND($L$37=0,$P$34=0),"",$L$37-1),IF($R$17="Distrato",$E210,0))),0,YEARFRAC(MAX($P$34*($B210+IF($R$17="Distrato",$I$38-1,0)),IF(AND($L$37=0,$P$34=0),"",$L$37-1),IF($R$17="Distrato",$E210,0)),MIN(Y$38,$D$19),$P$20))-SUM($P210:X210)</f>
        <v>#VALUE!</v>
      </c>
      <c r="Z210" s="446" t="e">
        <f>IF(OR($B210="",MIN(Z$38,$D$19)&lt;MAX($P$34*($B210+IF($R$17="Distrato",$I$38-1,0)),IF(AND($L$37=0,$P$34=0),"",$L$37-1),IF($R$17="Distrato",$E210,0))),0,YEARFRAC(MAX($P$34*($B210+IF($R$17="Distrato",$I$38-1,0)),IF(AND($L$37=0,$P$34=0),"",$L$37-1),IF($R$17="Distrato",$E210,0)),MIN(Z$38,$D$19),$P$20))-SUM($P210:Y210)</f>
        <v>#VALUE!</v>
      </c>
      <c r="AA210" s="446" t="e">
        <f>IF(OR($B210="",MIN(AA$38,$D$19)&lt;MAX($P$34*($B210+IF($R$17="Distrato",$I$38-1,0)),IF(AND($L$37=0,$P$34=0),"",$L$37-1),IF($R$17="Distrato",$E210,0))),0,YEARFRAC(MAX($P$34*($B210+IF($R$17="Distrato",$I$38-1,0)),IF(AND($L$37=0,$P$34=0),"",$L$37-1),IF($R$17="Distrato",$E210,0)),MIN(AA$38,$D$19),$P$20))-SUM($P210:Z210)</f>
        <v>#VALUE!</v>
      </c>
      <c r="AB210" s="446" t="e">
        <f>IF(OR($B210="",MIN(AB$38,$D$19)&lt;MAX($P$34*($B210+IF($R$17="Distrato",$I$38-1,0)),IF(AND($L$37=0,$P$34=0),"",$L$37-1),IF($R$17="Distrato",$E210,0))),0,YEARFRAC(MAX($P$34*($B210+IF($R$17="Distrato",$I$38-1,0)),IF(AND($L$37=0,$P$34=0),"",$L$37-1),IF($R$17="Distrato",$E210,0)),MIN(AB$38,$D$19),$P$20))-SUM($P210:AA210)</f>
        <v>#VALUE!</v>
      </c>
      <c r="AC210" s="446" t="e">
        <f>IF(OR($B210="",MIN(AC$38,$D$19)&lt;MAX($P$34*($B210+IF($R$17="Distrato",$I$38-1,0)),IF(AND($L$37=0,$P$34=0),"",$L$37-1),IF($R$17="Distrato",$E210,0))),0,YEARFRAC(MAX($P$34*($B210+IF($R$17="Distrato",$I$38-1,0)),IF(AND($L$37=0,$P$34=0),"",$L$37-1),IF($R$17="Distrato",$E210,0)),MIN(AC$38,$D$19),$P$20))-SUM($P210:AB210)</f>
        <v>#VALUE!</v>
      </c>
      <c r="AD210" s="446" t="e">
        <f>IF(OR($B210="",MIN(AD$38,$D$19)&lt;MAX($P$34*($B210+IF($R$17="Distrato",$I$38-1,0)),IF(AND($L$37=0,$P$34=0),"",$L$37-1),IF($R$17="Distrato",$E210,0))),0,YEARFRAC(MAX($P$34*($B210+IF($R$17="Distrato",$I$38-1,0)),IF(AND($L$37=0,$P$34=0),"",$L$37-1),IF($R$17="Distrato",$E210,0)),MIN(AD$38,$D$19),$P$20))-SUM($P210:AC210)</f>
        <v>#VALUE!</v>
      </c>
      <c r="AE210" s="446" t="e">
        <f>IF(OR($B210="",MIN(AE$38,$D$19)&lt;MAX($P$34*($B210+IF($R$17="Distrato",$I$38-1,0)),IF(AND($L$37=0,$P$34=0),"",$L$37-1),IF($R$17="Distrato",$E210,0))),0,YEARFRAC(MAX($P$34*($B210+IF($R$17="Distrato",$I$38-1,0)),IF(AND($L$37=0,$P$34=0),"",$L$37-1),IF($R$17="Distrato",$E210,0)),MIN(AE$38,$D$19),$P$20))-SUM($P210:AD210)</f>
        <v>#VALUE!</v>
      </c>
      <c r="AF210" s="446" t="e">
        <f>IF(OR($B210="",MIN(AF$38,$D$19)&lt;MAX($P$34*($B210+IF($R$17="Distrato",$I$38-1,0)),IF(AND($L$37=0,$P$34=0),"",$L$37-1),IF($R$17="Distrato",$E210,0))),0,YEARFRAC(MAX($P$34*($B210+IF($R$17="Distrato",$I$38-1,0)),IF(AND($L$37=0,$P$34=0),"",$L$37-1),IF($R$17="Distrato",$E210,0)),MIN(AF$38,$D$19),$P$20))-SUM($P210:AE210)</f>
        <v>#VALUE!</v>
      </c>
      <c r="AG210" s="446" t="e">
        <f>IF(OR($B210="",MIN(AG$38,$D$19)&lt;MAX($P$34*($B210+IF($R$17="Distrato",$I$38-1,0)),IF(AND($L$37=0,$P$34=0),"",$L$37-1),IF($R$17="Distrato",$E210,0))),0,YEARFRAC(MAX($P$34*($B210+IF($R$17="Distrato",$I$38-1,0)),IF(AND($L$37=0,$P$34=0),"",$L$37-1),IF($R$17="Distrato",$E210,0)),MIN(AG$38,$D$19),$P$20))-SUM($P210:AF210)</f>
        <v>#VALUE!</v>
      </c>
      <c r="AH210" s="446" t="e">
        <f>IF(OR($B210="",MIN(AH$38,$D$19)&lt;MAX($P$34*($B210+IF($R$17="Distrato",$I$38-1,0)),IF(AND($L$37=0,$P$34=0),"",$L$37-1),IF($R$17="Distrato",$E210,0))),0,YEARFRAC(MAX($P$34*($B210+IF($R$17="Distrato",$I$38-1,0)),IF(AND($L$37=0,$P$34=0),"",$L$37-1),IF($R$17="Distrato",$E210,0)),MIN(AH$38,$D$19),$P$20))-SUM($P210:AG210)</f>
        <v>#VALUE!</v>
      </c>
      <c r="AI210" s="446" t="e">
        <f>IF(OR($B210="",MIN(AI$38,$D$19)&lt;MAX($P$34*($B210+IF($R$17="Distrato",$I$38-1,0)),IF(AND($L$37=0,$P$34=0),"",$L$37-1),IF($R$17="Distrato",$E210,0))),0,YEARFRAC(MAX($P$34*($B210+IF($R$17="Distrato",$I$38-1,0)),IF(AND($L$37=0,$P$34=0),"",$L$37-1),IF($R$17="Distrato",$E210,0)),MIN(AI$38,$D$19),$P$20))-SUM($P210:AH210)</f>
        <v>#VALUE!</v>
      </c>
      <c r="AJ210" s="446" t="e">
        <f>IF(OR($B210="",MIN(AJ$38,$D$19)&lt;MAX($P$34*($B210+IF($R$17="Distrato",$I$38-1,0)),IF(AND($L$37=0,$P$34=0),"",$L$37-1),IF($R$17="Distrato",$E210,0))),0,YEARFRAC(MAX($P$34*($B210+IF($R$17="Distrato",$I$38-1,0)),IF(AND($L$37=0,$P$34=0),"",$L$37-1),IF($R$17="Distrato",$E210,0)),MIN(AJ$38,$D$19),$P$20))-SUM($P210:AI210)</f>
        <v>#VALUE!</v>
      </c>
      <c r="AK210" s="446" t="e">
        <f>IF(OR($B210="",MIN(AK$38,$D$19)&lt;MAX($P$34*($B210+IF($R$17="Distrato",$I$38-1,0)),IF(AND($L$37=0,$P$34=0),"",$L$37-1),IF($R$17="Distrato",$E210,0))),0,YEARFRAC(MAX($P$34*($B210+IF($R$17="Distrato",$I$38-1,0)),IF(AND($L$37=0,$P$34=0),"",$L$37-1),IF($R$17="Distrato",$E210,0)),MIN(AK$38,$D$19),$P$20))-SUM($P210:AJ210)</f>
        <v>#VALUE!</v>
      </c>
      <c r="AL210" s="446" t="e">
        <f>IF(OR($B210="",MIN(AL$38,$D$19)&lt;MAX($P$34*($B210+IF($R$17="Distrato",$I$38-1,0)),IF(AND($L$37=0,$P$34=0),"",$L$37-1),IF($R$17="Distrato",$E210,0))),0,YEARFRAC(MAX($P$34*($B210+IF($R$17="Distrato",$I$38-1,0)),IF(AND($L$37=0,$P$34=0),"",$L$37-1),IF($R$17="Distrato",$E210,0)),MIN(AL$38,$D$19),$P$20))-SUM($P210:AK210)</f>
        <v>#VALUE!</v>
      </c>
      <c r="AM210" s="446" t="e">
        <f>IF(OR($B210="",MIN(AM$38,$D$19)&lt;MAX($P$34*($B210+IF($R$17="Distrato",$I$38-1,0)),IF(AND($L$37=0,$P$34=0),"",$L$37-1),IF($R$17="Distrato",$E210,0))),0,YEARFRAC(MAX($P$34*($B210+IF($R$17="Distrato",$I$38-1,0)),IF(AND($L$37=0,$P$34=0),"",$L$37-1),IF($R$17="Distrato",$E210,0)),MIN(AM$38,$D$19),$P$20))-SUM($P210:AL210)</f>
        <v>#VALUE!</v>
      </c>
      <c r="AN210" s="446" t="e">
        <f>IF(OR($B210="",MIN(AN$38,$D$19)&lt;MAX($P$34*($B210+IF($R$17="Distrato",$I$38-1,0)),IF(AND($L$37=0,$P$34=0),"",$L$37-1),IF($R$17="Distrato",$E210,0))),0,YEARFRAC(MAX($P$34*($B210+IF($R$17="Distrato",$I$38-1,0)),IF(AND($L$37=0,$P$34=0),"",$L$37-1),IF($R$17="Distrato",$E210,0)),MIN(AN$38,$D$19),$P$20))-SUM($P210:AM210)</f>
        <v>#VALUE!</v>
      </c>
      <c r="AO210" s="446" t="e">
        <f>IF(OR($B210="",MIN(AO$38,$D$19)&lt;MAX($P$34*($B210+IF($R$17="Distrato",$I$38-1,0)),IF(AND($L$37=0,$P$34=0),"",$L$37-1),IF($R$17="Distrato",$E210,0))),0,YEARFRAC(MAX($P$34*($B210+IF($R$17="Distrato",$I$38-1,0)),IF(AND($L$37=0,$P$34=0),"",$L$37-1),IF($R$17="Distrato",$E210,0)),MIN(AO$38,$D$19),$P$20))-SUM($P210:AN210)</f>
        <v>#VALUE!</v>
      </c>
      <c r="AP210" s="446" t="e">
        <f>IF(OR($B210="",MIN(AP$38,$D$19)&lt;MAX($P$34*($B210+IF($R$17="Distrato",$I$38-1,0)),IF(AND($L$37=0,$P$34=0),"",$L$37-1),IF($R$17="Distrato",$E210,0))),0,YEARFRAC(MAX($P$34*($B210+IF($R$17="Distrato",$I$38-1,0)),IF(AND($L$37=0,$P$34=0),"",$L$37-1),IF($R$17="Distrato",$E210,0)),MIN(AP$38,$D$19),$P$20))-SUM($P210:AO210)</f>
        <v>#VALUE!</v>
      </c>
      <c r="AQ210" s="446" t="e">
        <f>IF(OR($B210="",MIN(AQ$38,$D$19)&lt;MAX($P$34*($B210+IF($R$17="Distrato",$I$38-1,0)),IF(AND($L$37=0,$P$34=0),"",$L$37-1),IF($R$17="Distrato",$E210,0))),0,YEARFRAC(MAX($P$34*($B210+IF($R$17="Distrato",$I$38-1,0)),IF(AND($L$37=0,$P$34=0),"",$L$37-1),IF($R$17="Distrato",$E210,0)),MIN(AQ$38,$D$19),$P$20))-SUM($P210:AP210)</f>
        <v>#VALUE!</v>
      </c>
      <c r="AR210" s="446" t="e">
        <f>IF(OR($B210="",MIN(AR$38,$D$19)&lt;MAX($P$34*($B210+IF($R$17="Distrato",$I$38-1,0)),IF(AND($L$37=0,$P$34=0),"",$L$37-1),IF($R$17="Distrato",$E210,0))),0,YEARFRAC(MAX($P$34*($B210+IF($R$17="Distrato",$I$38-1,0)),IF(AND($L$37=0,$P$34=0),"",$L$37-1),IF($R$17="Distrato",$E210,0)),MIN(AR$38,$D$19),$P$20))-SUM($P210:AQ210)</f>
        <v>#VALUE!</v>
      </c>
      <c r="AS210" s="446" t="e">
        <f>IF(OR($B210="",MIN(AS$38,$D$19)&lt;MAX($P$34*($B210+IF($R$17="Distrato",$I$38-1,0)),IF(AND($L$37=0,$P$34=0),"",$L$37-1),IF($R$17="Distrato",$E210,0))),0,YEARFRAC(MAX($P$34*($B210+IF($R$17="Distrato",$I$38-1,0)),IF(AND($L$37=0,$P$34=0),"",$L$37-1),IF($R$17="Distrato",$E210,0)),MIN(AS$38,$D$19),$P$20))-SUM($P210:AR210)</f>
        <v>#VALUE!</v>
      </c>
      <c r="AT210" s="446" t="e">
        <f>IF(OR($B210="",MIN(AT$38,$D$19)&lt;MAX($P$34*($B210+IF($R$17="Distrato",$I$38-1,0)),IF(AND($L$37=0,$P$34=0),"",$L$37-1),IF($R$17="Distrato",$E210,0))),0,YEARFRAC(MAX($P$34*($B210+IF($R$17="Distrato",$I$38-1,0)),IF(AND($L$37=0,$P$34=0),"",$L$37-1),IF($R$17="Distrato",$E210,0)),MIN(AT$38,$D$19),$P$20))-SUM($P210:AS210)</f>
        <v>#VALUE!</v>
      </c>
      <c r="AU210" s="446" t="e">
        <f>IF(OR($B210="",MIN(AU$38,$D$19)&lt;MAX($P$34*($B210+IF($R$17="Distrato",$I$38-1,0)),IF(AND($L$37=0,$P$34=0),"",$L$37-1),IF($R$17="Distrato",$E210,0))),0,YEARFRAC(MAX($P$34*($B210+IF($R$17="Distrato",$I$38-1,0)),IF(AND($L$37=0,$P$34=0),"",$L$37-1),IF($R$17="Distrato",$E210,0)),MIN(AU$38,$D$19),$P$20))-SUM($P210:AT210)</f>
        <v>#VALUE!</v>
      </c>
      <c r="AV210" s="446" t="e">
        <f>IF(OR($B210="",MIN(AV$38,$D$19)&lt;MAX($P$34*($B210+IF($R$17="Distrato",$I$38-1,0)),IF(AND($L$37=0,$P$34=0),"",$L$37-1),IF($R$17="Distrato",$E210,0))),0,YEARFRAC(MAX($P$34*($B210+IF($R$17="Distrato",$I$38-1,0)),IF(AND($L$37=0,$P$34=0),"",$L$37-1),IF($R$17="Distrato",$E210,0)),MIN(AV$38,$D$19),$P$20))-SUM($P210:AU210)</f>
        <v>#VALUE!</v>
      </c>
      <c r="AW210" s="446" t="e">
        <f>IF(OR($B210="",MIN(AW$38,$D$19)&lt;MAX($P$34*($B210+IF($R$17="Distrato",$I$38-1,0)),IF(AND($L$37=0,$P$34=0),"",$L$37-1),IF($R$17="Distrato",$E210,0))),0,YEARFRAC(MAX($P$34*($B210+IF($R$17="Distrato",$I$38-1,0)),IF(AND($L$37=0,$P$34=0),"",$L$37-1),IF($R$17="Distrato",$E210,0)),MIN(AW$38,$D$19),$P$20))-SUM($P210:AV210)</f>
        <v>#VALUE!</v>
      </c>
      <c r="AX210" s="446" t="e">
        <f>IF(OR($B210="",MIN(AX$38,$D$19)&lt;MAX($P$34*($B210+IF($R$17="Distrato",$I$38-1,0)),IF(AND($L$37=0,$P$34=0),"",$L$37-1),IF($R$17="Distrato",$E210,0))),0,YEARFRAC(MAX($P$34*($B210+IF($R$17="Distrato",$I$38-1,0)),IF(AND($L$37=0,$P$34=0),"",$L$37-1),IF($R$17="Distrato",$E210,0)),MIN(AX$38,$D$19),$P$20))-SUM($P210:AW210)</f>
        <v>#VALUE!</v>
      </c>
      <c r="AY210" s="446" t="e">
        <f>IF(OR($B210="",MIN(AY$38,$D$19)&lt;MAX($P$34*($B210+IF($R$17="Distrato",$I$38-1,0)),IF(AND($L$37=0,$P$34=0),"",$L$37-1),IF($R$17="Distrato",$E210,0))),0,YEARFRAC(MAX($P$34*($B210+IF($R$17="Distrato",$I$38-1,0)),IF(AND($L$37=0,$P$34=0),"",$L$37-1),IF($R$17="Distrato",$E210,0)),MIN(AY$38,$D$19),$P$20))-SUM($P210:AX210)</f>
        <v>#VALUE!</v>
      </c>
      <c r="AZ210" s="446" t="e">
        <f>IF(OR($B210="",MIN(AZ$38,$D$19)&lt;MAX($P$34*($B210+IF($R$17="Distrato",$I$38-1,0)),IF(AND($L$37=0,$P$34=0),"",$L$37-1),IF($R$17="Distrato",$E210,0))),0,YEARFRAC(MAX($P$34*($B210+IF($R$17="Distrato",$I$38-1,0)),IF(AND($L$37=0,$P$34=0),"",$L$37-1),IF($R$17="Distrato",$E210,0)),MIN(AZ$38,$D$19),$P$20))-SUM($P210:AY210)</f>
        <v>#VALUE!</v>
      </c>
      <c r="BA210" s="446" t="e">
        <f>IF(OR($B210="",MIN(BA$38,$D$19)&lt;MAX($P$34*($B210+IF($R$17="Distrato",$I$38-1,0)),IF(AND($L$37=0,$P$34=0),"",$L$37-1),IF($R$17="Distrato",$E210,0))),0,YEARFRAC(MAX($P$34*($B210+IF($R$17="Distrato",$I$38-1,0)),IF(AND($L$37=0,$P$34=0),"",$L$37-1),IF($R$17="Distrato",$E210,0)),MIN(BA$38,$D$19),$P$20))-SUM($P210:AZ210)</f>
        <v>#VALUE!</v>
      </c>
      <c r="BB210" s="447"/>
      <c r="BF210" s="446">
        <f t="shared" si="32"/>
        <v>0</v>
      </c>
      <c r="BG210" s="446">
        <f>IF($E210=0,0,IF(MIN(BG$38,$E210)&lt;MAX($P$34*($B210+$I$38-1),IF(AND($L$37=0,$P$34=0),"",$L$37-1)),0,YEARFRAC(MAX($P$34*($B210+$I$38-1),IF(AND($L$37=0,$P$34=0),"",$L$37-1)),MIN(BG$38,$E210),$P$20))-SUM($BF210:BF210))</f>
        <v>0</v>
      </c>
      <c r="BH210" s="446">
        <f>IF($E210=0,0,IF(MIN(BH$38,$E210)&lt;MAX($P$34*($B210+$I$38-1),IF(AND($L$37=0,$P$34=0),"",$L$37-1)),0,YEARFRAC(MAX($P$34*($B210+$I$38-1),IF(AND($L$37=0,$P$34=0),"",$L$37-1)),MIN(BH$38,$E210),$P$20))-SUM($BF210:BG210))</f>
        <v>0</v>
      </c>
      <c r="BI210" s="446">
        <f>IF($E210=0,0,IF(MIN(BI$38,$E210)&lt;MAX($P$34*($B210+$I$38-1),IF(AND($L$37=0,$P$34=0),"",$L$37-1)),0,YEARFRAC(MAX($P$34*($B210+$I$38-1),IF(AND($L$37=0,$P$34=0),"",$L$37-1)),MIN(BI$38,$E210),$P$20))-SUM($BF210:BH210))</f>
        <v>0</v>
      </c>
      <c r="BJ210" s="446">
        <f>IF($E210=0,0,IF(MIN(BJ$38,$E210)&lt;MAX($P$34*($B210+$I$38-1),IF(AND($L$37=0,$P$34=0),"",$L$37-1)),0,YEARFRAC(MAX($P$34*($B210+$I$38-1),IF(AND($L$37=0,$P$34=0),"",$L$37-1)),MIN(BJ$38,$E210),$P$20))-SUM($BF210:BI210))</f>
        <v>0</v>
      </c>
      <c r="BK210" s="446">
        <f>IF($E210=0,0,IF(MIN(BK$38,$E210)&lt;MAX($P$34*($B210+$I$38-1),IF(AND($L$37=0,$P$34=0),"",$L$37-1)),0,YEARFRAC(MAX($P$34*($B210+$I$38-1),IF(AND($L$37=0,$P$34=0),"",$L$37-1)),MIN(BK$38,$E210),$P$20))-SUM($BF210:BJ210))</f>
        <v>0</v>
      </c>
      <c r="BL210" s="446">
        <f>IF($E210=0,0,IF(MIN(BL$38,$E210)&lt;MAX($P$34*($B210+$I$38-1),IF(AND($L$37=0,$P$34=0),"",$L$37-1)),0,YEARFRAC(MAX($P$34*($B210+$I$38-1),IF(AND($L$37=0,$P$34=0),"",$L$37-1)),MIN(BL$38,$E210),$P$20))-SUM($BF210:BK210))</f>
        <v>0</v>
      </c>
      <c r="BM210" s="446">
        <f>IF($E210=0,0,IF(MIN(BM$38,$E210)&lt;MAX($P$34*($B210+$I$38-1),IF(AND($L$37=0,$P$34=0),"",$L$37-1)),0,YEARFRAC(MAX($P$34*($B210+$I$38-1),IF(AND($L$37=0,$P$34=0),"",$L$37-1)),MIN(BM$38,$E210),$P$20))-SUM($BF210:BL210))</f>
        <v>0</v>
      </c>
      <c r="BN210" s="446">
        <f>IF($E210=0,0,IF(MIN(BN$38,$E210)&lt;MAX($P$34*($B210+$I$38-1),IF(AND($L$37=0,$P$34=0),"",$L$37-1)),0,YEARFRAC(MAX($P$34*($B210+$I$38-1),IF(AND($L$37=0,$P$34=0),"",$L$37-1)),MIN(BN$38,$E210),$P$20))-SUM($BF210:BM210))</f>
        <v>0</v>
      </c>
      <c r="BO210" s="446">
        <f>IF($E210=0,0,IF(MIN(BO$38,$E210)&lt;MAX($P$34*($B210+$I$38-1),IF(AND($L$37=0,$P$34=0),"",$L$37-1)),0,YEARFRAC(MAX($P$34*($B210+$I$38-1),IF(AND($L$37=0,$P$34=0),"",$L$37-1)),MIN(BO$38,$E210),$P$20))-SUM($BF210:BN210))</f>
        <v>0</v>
      </c>
      <c r="BP210" s="446">
        <f>IF($E210=0,0,IF(MIN(BP$38,$E210)&lt;MAX($P$34*($B210+$I$38-1),IF(AND($L$37=0,$P$34=0),"",$L$37-1)),0,YEARFRAC(MAX($P$34*($B210+$I$38-1),IF(AND($L$37=0,$P$34=0),"",$L$37-1)),MIN(BP$38,$E210),$P$20))-SUM($BF210:BO210))</f>
        <v>0</v>
      </c>
      <c r="BQ210" s="446">
        <f>IF($E210=0,0,IF(MIN(BQ$38,$E210)&lt;MAX($P$34*($B210+$I$38-1),IF(AND($L$37=0,$P$34=0),"",$L$37-1)),0,YEARFRAC(MAX($P$34*($B210+$I$38-1),IF(AND($L$37=0,$P$34=0),"",$L$37-1)),MIN(BQ$38,$E210),$P$20))-SUM($BF210:BP210))</f>
        <v>0</v>
      </c>
      <c r="BR210" s="446">
        <f>IF($E210=0,0,IF(MIN(BR$38,$E210)&lt;MAX($P$34*($B210+$I$38-1),IF(AND($L$37=0,$P$34=0),"",$L$37-1)),0,YEARFRAC(MAX($P$34*($B210+$I$38-1),IF(AND($L$37=0,$P$34=0),"",$L$37-1)),MIN(BR$38,$E210),$P$20))-SUM($BF210:BQ210))</f>
        <v>0</v>
      </c>
      <c r="BS210" s="446">
        <f>IF($E210=0,0,IF(MIN(BS$38,$E210)&lt;MAX($P$34*($B210+$I$38-1),IF(AND($L$37=0,$P$34=0),"",$L$37-1)),0,YEARFRAC(MAX($P$34*($B210+$I$38-1),IF(AND($L$37=0,$P$34=0),"",$L$37-1)),MIN(BS$38,$E210),$P$20))-SUM($BF210:BR210))</f>
        <v>0</v>
      </c>
      <c r="BT210" s="446">
        <f>IF($E210=0,0,IF(MIN(BT$38,$E210)&lt;MAX($P$34*($B210+$I$38-1),IF(AND($L$37=0,$P$34=0),"",$L$37-1)),0,YEARFRAC(MAX($P$34*($B210+$I$38-1),IF(AND($L$37=0,$P$34=0),"",$L$37-1)),MIN(BT$38,$E210),$P$20))-SUM($BF210:BS210))</f>
        <v>0</v>
      </c>
      <c r="BU210" s="446">
        <f>IF($E210=0,0,IF(MIN(BU$38,$E210)&lt;MAX($P$34*($B210+$I$38-1),IF(AND($L$37=0,$P$34=0),"",$L$37-1)),0,YEARFRAC(MAX($P$34*($B210+$I$38-1),IF(AND($L$37=0,$P$34=0),"",$L$37-1)),MIN(BU$38,$E210),$P$20))-SUM($BF210:BT210))</f>
        <v>0</v>
      </c>
      <c r="BV210" s="446">
        <f>IF($E210=0,0,IF(MIN(BV$38,$E210)&lt;MAX($P$34*($B210+$I$38-1),IF(AND($L$37=0,$P$34=0),"",$L$37-1)),0,YEARFRAC(MAX($P$34*($B210+$I$38-1),IF(AND($L$37=0,$P$34=0),"",$L$37-1)),MIN(BV$38,$E210),$P$20))-SUM($BF210:BU210))</f>
        <v>0</v>
      </c>
      <c r="BW210" s="446">
        <f>IF($E210=0,0,IF(MIN(BW$38,$E210)&lt;MAX($P$34*($B210+$I$38-1),IF(AND($L$37=0,$P$34=0),"",$L$37-1)),0,YEARFRAC(MAX($P$34*($B210+$I$38-1),IF(AND($L$37=0,$P$34=0),"",$L$37-1)),MIN(BW$38,$E210),$P$20))-SUM($BF210:BV210))</f>
        <v>0</v>
      </c>
      <c r="BX210" s="446">
        <f>IF($E210=0,0,IF(MIN(BX$38,$E210)&lt;MAX($P$34*($B210+$I$38-1),IF(AND($L$37=0,$P$34=0),"",$L$37-1)),0,YEARFRAC(MAX($P$34*($B210+$I$38-1),IF(AND($L$37=0,$P$34=0),"",$L$37-1)),MIN(BX$38,$E210),$P$20))-SUM($BF210:BW210))</f>
        <v>0</v>
      </c>
      <c r="BY210" s="446">
        <f>IF($E210=0,0,IF(MIN(BY$38,$E210)&lt;MAX($P$34*($B210+$I$38-1),IF(AND($L$37=0,$P$34=0),"",$L$37-1)),0,YEARFRAC(MAX($P$34*($B210+$I$38-1),IF(AND($L$37=0,$P$34=0),"",$L$37-1)),MIN(BY$38,$E210),$P$20))-SUM($BF210:BX210))</f>
        <v>0</v>
      </c>
      <c r="BZ210" s="446">
        <f>IF($E210=0,0,IF(MIN(BZ$38,$E210)&lt;MAX($P$34*($B210+$I$38-1),IF(AND($L$37=0,$P$34=0),"",$L$37-1)),0,YEARFRAC(MAX($P$34*($B210+$I$38-1),IF(AND($L$37=0,$P$34=0),"",$L$37-1)),MIN(BZ$38,$E210),$P$20))-SUM($BF210:BY210))</f>
        <v>0</v>
      </c>
      <c r="CA210" s="446">
        <f>IF($E210=0,0,IF(MIN(CA$38,$E210)&lt;MAX($P$34*($B210+$I$38-1),IF(AND($L$37=0,$P$34=0),"",$L$37-1)),0,YEARFRAC(MAX($P$34*($B210+$I$38-1),IF(AND($L$37=0,$P$34=0),"",$L$37-1)),MIN(CA$38,$E210),$P$20))-SUM($BF210:BZ210))</f>
        <v>0</v>
      </c>
      <c r="CB210" s="446">
        <f>IF($E210=0,0,IF(MIN(CB$38,$E210)&lt;MAX($P$34*($B210+$I$38-1),IF(AND($L$37=0,$P$34=0),"",$L$37-1)),0,YEARFRAC(MAX($P$34*($B210+$I$38-1),IF(AND($L$37=0,$P$34=0),"",$L$37-1)),MIN(CB$38,$E210),$P$20))-SUM($BF210:CA210))</f>
        <v>0</v>
      </c>
      <c r="CC210" s="446">
        <f>IF($E210=0,0,IF(MIN(CC$38,$E210)&lt;MAX($P$34*($B210+$I$38-1),IF(AND($L$37=0,$P$34=0),"",$L$37-1)),0,YEARFRAC(MAX($P$34*($B210+$I$38-1),IF(AND($L$37=0,$P$34=0),"",$L$37-1)),MIN(CC$38,$E210),$P$20))-SUM($BF210:CB210))</f>
        <v>0</v>
      </c>
      <c r="CD210" s="446">
        <f>IF($E210=0,0,IF(MIN(CD$38,$E210)&lt;MAX($P$34*($B210+$I$38-1),IF(AND($L$37=0,$P$34=0),"",$L$37-1)),0,YEARFRAC(MAX($P$34*($B210+$I$38-1),IF(AND($L$37=0,$P$34=0),"",$L$37-1)),MIN(CD$38,$E210),$P$20))-SUM($BF210:CC210))</f>
        <v>0</v>
      </c>
      <c r="CE210" s="446">
        <f>IF($E210=0,0,IF(MIN(CE$38,$E210)&lt;MAX($P$34*($B210+$I$38-1),IF(AND($L$37=0,$P$34=0),"",$L$37-1)),0,YEARFRAC(MAX($P$34*($B210+$I$38-1),IF(AND($L$37=0,$P$34=0),"",$L$37-1)),MIN(CE$38,$E210),$P$20))-SUM($BF210:CD210))</f>
        <v>0</v>
      </c>
      <c r="CF210" s="446">
        <f>IF($E210=0,0,IF(MIN(CF$38,$E210)&lt;MAX($P$34*($B210+$I$38-1),IF(AND($L$37=0,$P$34=0),"",$L$37-1)),0,YEARFRAC(MAX($P$34*($B210+$I$38-1),IF(AND($L$37=0,$P$34=0),"",$L$37-1)),MIN(CF$38,$E210),$P$20))-SUM($BF210:CE210))</f>
        <v>0</v>
      </c>
      <c r="CG210" s="446">
        <f>IF($E210=0,0,IF(MIN(CG$38,$E210)&lt;MAX($P$34*($B210+$I$38-1),IF(AND($L$37=0,$P$34=0),"",$L$37-1)),0,YEARFRAC(MAX($P$34*($B210+$I$38-1),IF(AND($L$37=0,$P$34=0),"",$L$37-1)),MIN(CG$38,$E210),$P$20))-SUM($BF210:CF210))</f>
        <v>0</v>
      </c>
      <c r="CH210" s="446">
        <f>IF($E210=0,0,IF(MIN(CH$38,$E210)&lt;MAX($P$34*($B210+$I$38-1),IF(AND($L$37=0,$P$34=0),"",$L$37-1)),0,YEARFRAC(MAX($P$34*($B210+$I$38-1),IF(AND($L$37=0,$P$34=0),"",$L$37-1)),MIN(CH$38,$E210),$P$20))-SUM($BF210:CG210))</f>
        <v>0</v>
      </c>
      <c r="CI210" s="446">
        <f>IF($E210=0,0,IF(MIN(CI$38,$E210)&lt;MAX($P$34*($B210+$I$38-1),IF(AND($L$37=0,$P$34=0),"",$L$37-1)),0,YEARFRAC(MAX($P$34*($B210+$I$38-1),IF(AND($L$37=0,$P$34=0),"",$L$37-1)),MIN(CI$38,$E210),$P$20))-SUM($BF210:CH210))</f>
        <v>0</v>
      </c>
      <c r="CJ210" s="446">
        <f>IF($E210=0,0,IF(MIN(CJ$38,$E210)&lt;MAX($P$34*($B210+$I$38-1),IF(AND($L$37=0,$P$34=0),"",$L$37-1)),0,YEARFRAC(MAX($P$34*($B210+$I$38-1),IF(AND($L$37=0,$P$34=0),"",$L$37-1)),MIN(CJ$38,$E210),$P$20))-SUM($BF210:CI210))</f>
        <v>0</v>
      </c>
      <c r="CK210" s="446">
        <f>IF($E210=0,0,IF(MIN(CK$38,$E210)&lt;MAX($P$34*($B210+$I$38-1),IF(AND($L$37=0,$P$34=0),"",$L$37-1)),0,YEARFRAC(MAX($P$34*($B210+$I$38-1),IF(AND($L$37=0,$P$34=0),"",$L$37-1)),MIN(CK$38,$E210),$P$20))-SUM($BF210:CJ210))</f>
        <v>0</v>
      </c>
      <c r="CL210" s="446">
        <f>IF($E210=0,0,IF(MIN(CL$38,$E210)&lt;MAX($P$34*($B210+$I$38-1),IF(AND($L$37=0,$P$34=0),"",$L$37-1)),0,YEARFRAC(MAX($P$34*($B210+$I$38-1),IF(AND($L$37=0,$P$34=0),"",$L$37-1)),MIN(CL$38,$E210),$P$20))-SUM($BF210:CK210))</f>
        <v>0</v>
      </c>
      <c r="CM210" s="446">
        <f>IF($E210=0,0,IF(MIN(CM$38,$E210)&lt;MAX($P$34*($B210+$I$38-1),IF(AND($L$37=0,$P$34=0),"",$L$37-1)),0,YEARFRAC(MAX($P$34*($B210+$I$38-1),IF(AND($L$37=0,$P$34=0),"",$L$37-1)),MIN(CM$38,$E210),$P$20))-SUM($BF210:CL210))</f>
        <v>0</v>
      </c>
      <c r="CN210" s="446">
        <f>IF($E210=0,0,IF(MIN(CN$38,$E210)&lt;MAX($P$34*($B210+$I$38-1),IF(AND($L$37=0,$P$34=0),"",$L$37-1)),0,YEARFRAC(MAX($P$34*($B210+$I$38-1),IF(AND($L$37=0,$P$34=0),"",$L$37-1)),MIN(CN$38,$E210),$P$20))-SUM($BF210:CM210))</f>
        <v>0</v>
      </c>
      <c r="CO210" s="446">
        <f>IF($E210=0,0,IF(MIN(CO$38,$E210)&lt;MAX($P$34*($B210+$I$38-1),IF(AND($L$37=0,$P$34=0),"",$L$37-1)),0,YEARFRAC(MAX($P$34*($B210+$I$38-1),IF(AND($L$37=0,$P$34=0),"",$L$37-1)),MIN(CO$38,$E210),$P$20))-SUM($BF210:CN210))</f>
        <v>0</v>
      </c>
      <c r="CP210" s="446">
        <f>IF($E210=0,0,IF(MIN(CP$38,$E210)&lt;MAX($P$34*($B210+$I$38-1),IF(AND($L$37=0,$P$34=0),"",$L$37-1)),0,YEARFRAC(MAX($P$34*($B210+$I$38-1),IF(AND($L$37=0,$P$34=0),"",$L$37-1)),MIN(CP$38,$E210),$P$20))-SUM($BF210:CO210))</f>
        <v>0</v>
      </c>
      <c r="CQ210" s="446">
        <f>IF($E210=0,0,IF(MIN(CQ$38,$E210)&lt;MAX($P$34*($B210+$I$38-1),IF(AND($L$37=0,$P$34=0),"",$L$37-1)),0,YEARFRAC(MAX($P$34*($B210+$I$38-1),IF(AND($L$37=0,$P$34=0),"",$L$37-1)),MIN(CQ$38,$E210),$P$20))-SUM($BF210:CP210))</f>
        <v>0</v>
      </c>
    </row>
    <row r="211" spans="1:95" s="446" customFormat="1" ht="11.25" hidden="1" customHeight="1" x14ac:dyDescent="0.2">
      <c r="A211" s="152"/>
      <c r="B211" s="153" t="str">
        <f t="shared" si="37"/>
        <v/>
      </c>
      <c r="C211" s="29" t="str">
        <f>IF(B211="","",IF($L$35="SELIC - TRIBUTOS",VLOOKUP(DATE(YEAR($D$19),MONTH($D$19)-1,1),ÍNDICES!$A:$DE,HLOOKUP($BL$25,ÍNDICES!$B$3:$T$4,2)+11)-VLOOKUP(B211,ÍNDICES!$A:$DE,HLOOKUP($BL$25,ÍNDICES!$B$3:$T$4,2)+11)+1%,IF(C$38=$W$26,$J$35,IF(ISERROR(IF(B211&gt;$D$19,1,VLOOKUP(DATE(YEAR(B211),MONTH(B211)+IF($C$35=$S$23,1,0),1),ÍNDICES!$A:$DE,$Z$35+1))),"",IF(B211&gt;$D$19,1,VLOOKUP(DATE(YEAR(B211),MONTH(B211)+IF($C$35=$S$23,1,0),1),ÍNDICES!$A:$DE,$Z$35+1))))))</f>
        <v/>
      </c>
      <c r="D211" s="154" t="str">
        <f>IF(ISERROR(IF(OR($D$38=$Y$27,$B211=""),"",VLOOKUP(B211,ÍNDICES!A:DE,AF$35+1))),"",IF(OR($D$38=$Y$27,$B211=""),"",VLOOKUP(B211,ÍNDICES!A:DE,AF$35+1)))</f>
        <v/>
      </c>
      <c r="E211" s="153"/>
      <c r="F211" s="29" t="str">
        <f>IF(E211="","",IF($L$35="SELIC - TRIBUTOS",VLOOKUP(DATE(YEAR($D$19),MONTH($D$19)-1,1),ÍNDICES!$A:$DE,HLOOKUP($BL$25,ÍNDICES!$B$3:$T$4,2)+11)-VLOOKUP(E211,ÍNDICES!$A:$DE,HLOOKUP($BL$25,ÍNDICES!$B$3:$T$4,2)+11)+1%,IF(F$38=$W$26,$J$35,IF(ISERROR(IF(E211&gt;$D$19,1,VLOOKUP(DATE(YEAR(E211),MONTH(E211)+IF($C$35=$S$23,1,0),1),ÍNDICES!$A:$DE,$Z$35+1))),"",IF(E211&gt;$D$19,1,VLOOKUP(DATE(YEAR(E211),MONTH(E211)+IF($C$35=$S$23,1,0),1),ÍNDICES!$A:$DE,$Z$35+1))))))</f>
        <v/>
      </c>
      <c r="G211" s="155"/>
      <c r="H211" s="156" t="str">
        <f t="shared" si="33"/>
        <v/>
      </c>
      <c r="I211" s="29" t="str">
        <f t="shared" si="27"/>
        <v/>
      </c>
      <c r="J211" s="5">
        <f t="shared" si="28"/>
        <v>0</v>
      </c>
      <c r="K211" s="20">
        <f t="shared" ca="1" si="29"/>
        <v>0</v>
      </c>
      <c r="L211" s="5">
        <f t="shared" ca="1" si="30"/>
        <v>0</v>
      </c>
      <c r="M211" s="64">
        <f t="shared" si="34"/>
        <v>0</v>
      </c>
      <c r="N211" s="61">
        <f t="shared" ca="1" si="35"/>
        <v>0</v>
      </c>
      <c r="O211" s="5">
        <f t="shared" ca="1" si="36"/>
        <v>0</v>
      </c>
      <c r="P211" s="446" t="e">
        <f t="shared" si="31"/>
        <v>#VALUE!</v>
      </c>
      <c r="Q211" s="446" t="e">
        <f>IF(OR($B211="",MIN(Q$38,$D$19)&lt;MAX($P$34*($B211+IF($R$17="Distrato",$I$38-1,0)),IF(AND($L$37=0,$P$34=0),"",$L$37-1),IF($R$17="Distrato",$E211,0))),0,YEARFRAC(MAX($P$34*($B211+IF($R$17="Distrato",$I$38-1,0)),IF(AND($L$37=0,$P$34=0),"",$L$37-1),IF($R$17="Distrato",$E211,0)),MIN(Q$38,$D$19),$P$20))-SUM($P211:P211)</f>
        <v>#VALUE!</v>
      </c>
      <c r="R211" s="446" t="e">
        <f>IF(OR($B211="",MIN(R$38,$D$19)&lt;MAX($P$34*($B211+IF($R$17="Distrato",$I$38-1,0)),IF(AND($L$37=0,$P$34=0),"",$L$37-1),IF($R$17="Distrato",$E211,0))),0,YEARFRAC(MAX($P$34*($B211+IF($R$17="Distrato",$I$38-1,0)),IF(AND($L$37=0,$P$34=0),"",$L$37-1),IF($R$17="Distrato",$E211,0)),MIN(R$38,$D$19),$P$20))-SUM($P211:Q211)</f>
        <v>#VALUE!</v>
      </c>
      <c r="S211" s="446" t="e">
        <f>IF(OR($B211="",MIN(S$38,$D$19)&lt;MAX($P$34*($B211+IF($R$17="Distrato",$I$38-1,0)),IF(AND($L$37=0,$P$34=0),"",$L$37-1),IF($R$17="Distrato",$E211,0))),0,YEARFRAC(MAX($P$34*($B211+IF($R$17="Distrato",$I$38-1,0)),IF(AND($L$37=0,$P$34=0),"",$L$37-1),IF($R$17="Distrato",$E211,0)),MIN(S$38,$D$19),$P$20))-SUM($P211:R211)</f>
        <v>#VALUE!</v>
      </c>
      <c r="T211" s="446" t="e">
        <f>IF(OR($B211="",MIN(T$38,$D$19)&lt;MAX($P$34*($B211+IF($R$17="Distrato",$I$38-1,0)),IF(AND($L$37=0,$P$34=0),"",$L$37-1),IF($R$17="Distrato",$E211,0))),0,YEARFRAC(MAX($P$34*($B211+IF($R$17="Distrato",$I$38-1,0)),IF(AND($L$37=0,$P$34=0),"",$L$37-1),IF($R$17="Distrato",$E211,0)),MIN(T$38,$D$19),$P$20))-SUM($P211:S211)</f>
        <v>#VALUE!</v>
      </c>
      <c r="U211" s="446" t="e">
        <f>IF(OR($B211="",MIN(U$38,$D$19)&lt;MAX($P$34*($B211+IF($R$17="Distrato",$I$38-1,0)),IF(AND($L$37=0,$P$34=0),"",$L$37-1),IF($R$17="Distrato",$E211,0))),0,YEARFRAC(MAX($P$34*($B211+IF($R$17="Distrato",$I$38-1,0)),IF(AND($L$37=0,$P$34=0),"",$L$37-1),IF($R$17="Distrato",$E211,0)),MIN(U$38,$D$19),$P$20))-SUM($P211:T211)</f>
        <v>#VALUE!</v>
      </c>
      <c r="V211" s="446" t="e">
        <f>IF(OR($B211="",MIN(V$38,$D$19)&lt;MAX($P$34*($B211+IF($R$17="Distrato",$I$38-1,0)),IF(AND($L$37=0,$P$34=0),"",$L$37-1),IF($R$17="Distrato",$E211,0))),0,YEARFRAC(MAX($P$34*($B211+IF($R$17="Distrato",$I$38-1,0)),IF(AND($L$37=0,$P$34=0),"",$L$37-1),IF($R$17="Distrato",$E211,0)),MIN(V$38,$D$19),$P$20))-SUM($P211:U211)</f>
        <v>#VALUE!</v>
      </c>
      <c r="W211" s="446" t="e">
        <f>IF(OR($B211="",MIN(W$38,$D$19)&lt;MAX($P$34*($B211+IF($R$17="Distrato",$I$38-1,0)),IF(AND($L$37=0,$P$34=0),"",$L$37-1),IF($R$17="Distrato",$E211,0))),0,YEARFRAC(MAX($P$34*($B211+IF($R$17="Distrato",$I$38-1,0)),IF(AND($L$37=0,$P$34=0),"",$L$37-1),IF($R$17="Distrato",$E211,0)),MIN(W$38,$D$19),$P$20))-SUM($P211:V211)</f>
        <v>#VALUE!</v>
      </c>
      <c r="X211" s="446" t="e">
        <f>IF(OR($B211="",MIN(X$38,$D$19)&lt;MAX($P$34*($B211+IF($R$17="Distrato",$I$38-1,0)),IF(AND($L$37=0,$P$34=0),"",$L$37-1),IF($R$17="Distrato",$E211,0))),0,YEARFRAC(MAX($P$34*($B211+IF($R$17="Distrato",$I$38-1,0)),IF(AND($L$37=0,$P$34=0),"",$L$37-1),IF($R$17="Distrato",$E211,0)),MIN(X$38,$D$19),$P$20))-SUM($P211:W211)</f>
        <v>#VALUE!</v>
      </c>
      <c r="Y211" s="446" t="e">
        <f>IF(OR($B211="",MIN(Y$38,$D$19)&lt;MAX($P$34*($B211+IF($R$17="Distrato",$I$38-1,0)),IF(AND($L$37=0,$P$34=0),"",$L$37-1),IF($R$17="Distrato",$E211,0))),0,YEARFRAC(MAX($P$34*($B211+IF($R$17="Distrato",$I$38-1,0)),IF(AND($L$37=0,$P$34=0),"",$L$37-1),IF($R$17="Distrato",$E211,0)),MIN(Y$38,$D$19),$P$20))-SUM($P211:X211)</f>
        <v>#VALUE!</v>
      </c>
      <c r="Z211" s="446" t="e">
        <f>IF(OR($B211="",MIN(Z$38,$D$19)&lt;MAX($P$34*($B211+IF($R$17="Distrato",$I$38-1,0)),IF(AND($L$37=0,$P$34=0),"",$L$37-1),IF($R$17="Distrato",$E211,0))),0,YEARFRAC(MAX($P$34*($B211+IF($R$17="Distrato",$I$38-1,0)),IF(AND($L$37=0,$P$34=0),"",$L$37-1),IF($R$17="Distrato",$E211,0)),MIN(Z$38,$D$19),$P$20))-SUM($P211:Y211)</f>
        <v>#VALUE!</v>
      </c>
      <c r="AA211" s="446" t="e">
        <f>IF(OR($B211="",MIN(AA$38,$D$19)&lt;MAX($P$34*($B211+IF($R$17="Distrato",$I$38-1,0)),IF(AND($L$37=0,$P$34=0),"",$L$37-1),IF($R$17="Distrato",$E211,0))),0,YEARFRAC(MAX($P$34*($B211+IF($R$17="Distrato",$I$38-1,0)),IF(AND($L$37=0,$P$34=0),"",$L$37-1),IF($R$17="Distrato",$E211,0)),MIN(AA$38,$D$19),$P$20))-SUM($P211:Z211)</f>
        <v>#VALUE!</v>
      </c>
      <c r="AB211" s="446" t="e">
        <f>IF(OR($B211="",MIN(AB$38,$D$19)&lt;MAX($P$34*($B211+IF($R$17="Distrato",$I$38-1,0)),IF(AND($L$37=0,$P$34=0),"",$L$37-1),IF($R$17="Distrato",$E211,0))),0,YEARFRAC(MAX($P$34*($B211+IF($R$17="Distrato",$I$38-1,0)),IF(AND($L$37=0,$P$34=0),"",$L$37-1),IF($R$17="Distrato",$E211,0)),MIN(AB$38,$D$19),$P$20))-SUM($P211:AA211)</f>
        <v>#VALUE!</v>
      </c>
      <c r="AC211" s="446" t="e">
        <f>IF(OR($B211="",MIN(AC$38,$D$19)&lt;MAX($P$34*($B211+IF($R$17="Distrato",$I$38-1,0)),IF(AND($L$37=0,$P$34=0),"",$L$37-1),IF($R$17="Distrato",$E211,0))),0,YEARFRAC(MAX($P$34*($B211+IF($R$17="Distrato",$I$38-1,0)),IF(AND($L$37=0,$P$34=0),"",$L$37-1),IF($R$17="Distrato",$E211,0)),MIN(AC$38,$D$19),$P$20))-SUM($P211:AB211)</f>
        <v>#VALUE!</v>
      </c>
      <c r="AD211" s="446" t="e">
        <f>IF(OR($B211="",MIN(AD$38,$D$19)&lt;MAX($P$34*($B211+IF($R$17="Distrato",$I$38-1,0)),IF(AND($L$37=0,$P$34=0),"",$L$37-1),IF($R$17="Distrato",$E211,0))),0,YEARFRAC(MAX($P$34*($B211+IF($R$17="Distrato",$I$38-1,0)),IF(AND($L$37=0,$P$34=0),"",$L$37-1),IF($R$17="Distrato",$E211,0)),MIN(AD$38,$D$19),$P$20))-SUM($P211:AC211)</f>
        <v>#VALUE!</v>
      </c>
      <c r="AE211" s="446" t="e">
        <f>IF(OR($B211="",MIN(AE$38,$D$19)&lt;MAX($P$34*($B211+IF($R$17="Distrato",$I$38-1,0)),IF(AND($L$37=0,$P$34=0),"",$L$37-1),IF($R$17="Distrato",$E211,0))),0,YEARFRAC(MAX($P$34*($B211+IF($R$17="Distrato",$I$38-1,0)),IF(AND($L$37=0,$P$34=0),"",$L$37-1),IF($R$17="Distrato",$E211,0)),MIN(AE$38,$D$19),$P$20))-SUM($P211:AD211)</f>
        <v>#VALUE!</v>
      </c>
      <c r="AF211" s="446" t="e">
        <f>IF(OR($B211="",MIN(AF$38,$D$19)&lt;MAX($P$34*($B211+IF($R$17="Distrato",$I$38-1,0)),IF(AND($L$37=0,$P$34=0),"",$L$37-1),IF($R$17="Distrato",$E211,0))),0,YEARFRAC(MAX($P$34*($B211+IF($R$17="Distrato",$I$38-1,0)),IF(AND($L$37=0,$P$34=0),"",$L$37-1),IF($R$17="Distrato",$E211,0)),MIN(AF$38,$D$19),$P$20))-SUM($P211:AE211)</f>
        <v>#VALUE!</v>
      </c>
      <c r="AG211" s="446" t="e">
        <f>IF(OR($B211="",MIN(AG$38,$D$19)&lt;MAX($P$34*($B211+IF($R$17="Distrato",$I$38-1,0)),IF(AND($L$37=0,$P$34=0),"",$L$37-1),IF($R$17="Distrato",$E211,0))),0,YEARFRAC(MAX($P$34*($B211+IF($R$17="Distrato",$I$38-1,0)),IF(AND($L$37=0,$P$34=0),"",$L$37-1),IF($R$17="Distrato",$E211,0)),MIN(AG$38,$D$19),$P$20))-SUM($P211:AF211)</f>
        <v>#VALUE!</v>
      </c>
      <c r="AH211" s="446" t="e">
        <f>IF(OR($B211="",MIN(AH$38,$D$19)&lt;MAX($P$34*($B211+IF($R$17="Distrato",$I$38-1,0)),IF(AND($L$37=0,$P$34=0),"",$L$37-1),IF($R$17="Distrato",$E211,0))),0,YEARFRAC(MAX($P$34*($B211+IF($R$17="Distrato",$I$38-1,0)),IF(AND($L$37=0,$P$34=0),"",$L$37-1),IF($R$17="Distrato",$E211,0)),MIN(AH$38,$D$19),$P$20))-SUM($P211:AG211)</f>
        <v>#VALUE!</v>
      </c>
      <c r="AI211" s="446" t="e">
        <f>IF(OR($B211="",MIN(AI$38,$D$19)&lt;MAX($P$34*($B211+IF($R$17="Distrato",$I$38-1,0)),IF(AND($L$37=0,$P$34=0),"",$L$37-1),IF($R$17="Distrato",$E211,0))),0,YEARFRAC(MAX($P$34*($B211+IF($R$17="Distrato",$I$38-1,0)),IF(AND($L$37=0,$P$34=0),"",$L$37-1),IF($R$17="Distrato",$E211,0)),MIN(AI$38,$D$19),$P$20))-SUM($P211:AH211)</f>
        <v>#VALUE!</v>
      </c>
      <c r="AJ211" s="446" t="e">
        <f>IF(OR($B211="",MIN(AJ$38,$D$19)&lt;MAX($P$34*($B211+IF($R$17="Distrato",$I$38-1,0)),IF(AND($L$37=0,$P$34=0),"",$L$37-1),IF($R$17="Distrato",$E211,0))),0,YEARFRAC(MAX($P$34*($B211+IF($R$17="Distrato",$I$38-1,0)),IF(AND($L$37=0,$P$34=0),"",$L$37-1),IF($R$17="Distrato",$E211,0)),MIN(AJ$38,$D$19),$P$20))-SUM($P211:AI211)</f>
        <v>#VALUE!</v>
      </c>
      <c r="AK211" s="446" t="e">
        <f>IF(OR($B211="",MIN(AK$38,$D$19)&lt;MAX($P$34*($B211+IF($R$17="Distrato",$I$38-1,0)),IF(AND($L$37=0,$P$34=0),"",$L$37-1),IF($R$17="Distrato",$E211,0))),0,YEARFRAC(MAX($P$34*($B211+IF($R$17="Distrato",$I$38-1,0)),IF(AND($L$37=0,$P$34=0),"",$L$37-1),IF($R$17="Distrato",$E211,0)),MIN(AK$38,$D$19),$P$20))-SUM($P211:AJ211)</f>
        <v>#VALUE!</v>
      </c>
      <c r="AL211" s="446" t="e">
        <f>IF(OR($B211="",MIN(AL$38,$D$19)&lt;MAX($P$34*($B211+IF($R$17="Distrato",$I$38-1,0)),IF(AND($L$37=0,$P$34=0),"",$L$37-1),IF($R$17="Distrato",$E211,0))),0,YEARFRAC(MAX($P$34*($B211+IF($R$17="Distrato",$I$38-1,0)),IF(AND($L$37=0,$P$34=0),"",$L$37-1),IF($R$17="Distrato",$E211,0)),MIN(AL$38,$D$19),$P$20))-SUM($P211:AK211)</f>
        <v>#VALUE!</v>
      </c>
      <c r="AM211" s="446" t="e">
        <f>IF(OR($B211="",MIN(AM$38,$D$19)&lt;MAX($P$34*($B211+IF($R$17="Distrato",$I$38-1,0)),IF(AND($L$37=0,$P$34=0),"",$L$37-1),IF($R$17="Distrato",$E211,0))),0,YEARFRAC(MAX($P$34*($B211+IF($R$17="Distrato",$I$38-1,0)),IF(AND($L$37=0,$P$34=0),"",$L$37-1),IF($R$17="Distrato",$E211,0)),MIN(AM$38,$D$19),$P$20))-SUM($P211:AL211)</f>
        <v>#VALUE!</v>
      </c>
      <c r="AN211" s="446" t="e">
        <f>IF(OR($B211="",MIN(AN$38,$D$19)&lt;MAX($P$34*($B211+IF($R$17="Distrato",$I$38-1,0)),IF(AND($L$37=0,$P$34=0),"",$L$37-1),IF($R$17="Distrato",$E211,0))),0,YEARFRAC(MAX($P$34*($B211+IF($R$17="Distrato",$I$38-1,0)),IF(AND($L$37=0,$P$34=0),"",$L$37-1),IF($R$17="Distrato",$E211,0)),MIN(AN$38,$D$19),$P$20))-SUM($P211:AM211)</f>
        <v>#VALUE!</v>
      </c>
      <c r="AO211" s="446" t="e">
        <f>IF(OR($B211="",MIN(AO$38,$D$19)&lt;MAX($P$34*($B211+IF($R$17="Distrato",$I$38-1,0)),IF(AND($L$37=0,$P$34=0),"",$L$37-1),IF($R$17="Distrato",$E211,0))),0,YEARFRAC(MAX($P$34*($B211+IF($R$17="Distrato",$I$38-1,0)),IF(AND($L$37=0,$P$34=0),"",$L$37-1),IF($R$17="Distrato",$E211,0)),MIN(AO$38,$D$19),$P$20))-SUM($P211:AN211)</f>
        <v>#VALUE!</v>
      </c>
      <c r="AP211" s="446" t="e">
        <f>IF(OR($B211="",MIN(AP$38,$D$19)&lt;MAX($P$34*($B211+IF($R$17="Distrato",$I$38-1,0)),IF(AND($L$37=0,$P$34=0),"",$L$37-1),IF($R$17="Distrato",$E211,0))),0,YEARFRAC(MAX($P$34*($B211+IF($R$17="Distrato",$I$38-1,0)),IF(AND($L$37=0,$P$34=0),"",$L$37-1),IF($R$17="Distrato",$E211,0)),MIN(AP$38,$D$19),$P$20))-SUM($P211:AO211)</f>
        <v>#VALUE!</v>
      </c>
      <c r="AQ211" s="446" t="e">
        <f>IF(OR($B211="",MIN(AQ$38,$D$19)&lt;MAX($P$34*($B211+IF($R$17="Distrato",$I$38-1,0)),IF(AND($L$37=0,$P$34=0),"",$L$37-1),IF($R$17="Distrato",$E211,0))),0,YEARFRAC(MAX($P$34*($B211+IF($R$17="Distrato",$I$38-1,0)),IF(AND($L$37=0,$P$34=0),"",$L$37-1),IF($R$17="Distrato",$E211,0)),MIN(AQ$38,$D$19),$P$20))-SUM($P211:AP211)</f>
        <v>#VALUE!</v>
      </c>
      <c r="AR211" s="446" t="e">
        <f>IF(OR($B211="",MIN(AR$38,$D$19)&lt;MAX($P$34*($B211+IF($R$17="Distrato",$I$38-1,0)),IF(AND($L$37=0,$P$34=0),"",$L$37-1),IF($R$17="Distrato",$E211,0))),0,YEARFRAC(MAX($P$34*($B211+IF($R$17="Distrato",$I$38-1,0)),IF(AND($L$37=0,$P$34=0),"",$L$37-1),IF($R$17="Distrato",$E211,0)),MIN(AR$38,$D$19),$P$20))-SUM($P211:AQ211)</f>
        <v>#VALUE!</v>
      </c>
      <c r="AS211" s="446" t="e">
        <f>IF(OR($B211="",MIN(AS$38,$D$19)&lt;MAX($P$34*($B211+IF($R$17="Distrato",$I$38-1,0)),IF(AND($L$37=0,$P$34=0),"",$L$37-1),IF($R$17="Distrato",$E211,0))),0,YEARFRAC(MAX($P$34*($B211+IF($R$17="Distrato",$I$38-1,0)),IF(AND($L$37=0,$P$34=0),"",$L$37-1),IF($R$17="Distrato",$E211,0)),MIN(AS$38,$D$19),$P$20))-SUM($P211:AR211)</f>
        <v>#VALUE!</v>
      </c>
      <c r="AT211" s="446" t="e">
        <f>IF(OR($B211="",MIN(AT$38,$D$19)&lt;MAX($P$34*($B211+IF($R$17="Distrato",$I$38-1,0)),IF(AND($L$37=0,$P$34=0),"",$L$37-1),IF($R$17="Distrato",$E211,0))),0,YEARFRAC(MAX($P$34*($B211+IF($R$17="Distrato",$I$38-1,0)),IF(AND($L$37=0,$P$34=0),"",$L$37-1),IF($R$17="Distrato",$E211,0)),MIN(AT$38,$D$19),$P$20))-SUM($P211:AS211)</f>
        <v>#VALUE!</v>
      </c>
      <c r="AU211" s="446" t="e">
        <f>IF(OR($B211="",MIN(AU$38,$D$19)&lt;MAX($P$34*($B211+IF($R$17="Distrato",$I$38-1,0)),IF(AND($L$37=0,$P$34=0),"",$L$37-1),IF($R$17="Distrato",$E211,0))),0,YEARFRAC(MAX($P$34*($B211+IF($R$17="Distrato",$I$38-1,0)),IF(AND($L$37=0,$P$34=0),"",$L$37-1),IF($R$17="Distrato",$E211,0)),MIN(AU$38,$D$19),$P$20))-SUM($P211:AT211)</f>
        <v>#VALUE!</v>
      </c>
      <c r="AV211" s="446" t="e">
        <f>IF(OR($B211="",MIN(AV$38,$D$19)&lt;MAX($P$34*($B211+IF($R$17="Distrato",$I$38-1,0)),IF(AND($L$37=0,$P$34=0),"",$L$37-1),IF($R$17="Distrato",$E211,0))),0,YEARFRAC(MAX($P$34*($B211+IF($R$17="Distrato",$I$38-1,0)),IF(AND($L$37=0,$P$34=0),"",$L$37-1),IF($R$17="Distrato",$E211,0)),MIN(AV$38,$D$19),$P$20))-SUM($P211:AU211)</f>
        <v>#VALUE!</v>
      </c>
      <c r="AW211" s="446" t="e">
        <f>IF(OR($B211="",MIN(AW$38,$D$19)&lt;MAX($P$34*($B211+IF($R$17="Distrato",$I$38-1,0)),IF(AND($L$37=0,$P$34=0),"",$L$37-1),IF($R$17="Distrato",$E211,0))),0,YEARFRAC(MAX($P$34*($B211+IF($R$17="Distrato",$I$38-1,0)),IF(AND($L$37=0,$P$34=0),"",$L$37-1),IF($R$17="Distrato",$E211,0)),MIN(AW$38,$D$19),$P$20))-SUM($P211:AV211)</f>
        <v>#VALUE!</v>
      </c>
      <c r="AX211" s="446" t="e">
        <f>IF(OR($B211="",MIN(AX$38,$D$19)&lt;MAX($P$34*($B211+IF($R$17="Distrato",$I$38-1,0)),IF(AND($L$37=0,$P$34=0),"",$L$37-1),IF($R$17="Distrato",$E211,0))),0,YEARFRAC(MAX($P$34*($B211+IF($R$17="Distrato",$I$38-1,0)),IF(AND($L$37=0,$P$34=0),"",$L$37-1),IF($R$17="Distrato",$E211,0)),MIN(AX$38,$D$19),$P$20))-SUM($P211:AW211)</f>
        <v>#VALUE!</v>
      </c>
      <c r="AY211" s="446" t="e">
        <f>IF(OR($B211="",MIN(AY$38,$D$19)&lt;MAX($P$34*($B211+IF($R$17="Distrato",$I$38-1,0)),IF(AND($L$37=0,$P$34=0),"",$L$37-1),IF($R$17="Distrato",$E211,0))),0,YEARFRAC(MAX($P$34*($B211+IF($R$17="Distrato",$I$38-1,0)),IF(AND($L$37=0,$P$34=0),"",$L$37-1),IF($R$17="Distrato",$E211,0)),MIN(AY$38,$D$19),$P$20))-SUM($P211:AX211)</f>
        <v>#VALUE!</v>
      </c>
      <c r="AZ211" s="446" t="e">
        <f>IF(OR($B211="",MIN(AZ$38,$D$19)&lt;MAX($P$34*($B211+IF($R$17="Distrato",$I$38-1,0)),IF(AND($L$37=0,$P$34=0),"",$L$37-1),IF($R$17="Distrato",$E211,0))),0,YEARFRAC(MAX($P$34*($B211+IF($R$17="Distrato",$I$38-1,0)),IF(AND($L$37=0,$P$34=0),"",$L$37-1),IF($R$17="Distrato",$E211,0)),MIN(AZ$38,$D$19),$P$20))-SUM($P211:AY211)</f>
        <v>#VALUE!</v>
      </c>
      <c r="BA211" s="446" t="e">
        <f>IF(OR($B211="",MIN(BA$38,$D$19)&lt;MAX($P$34*($B211+IF($R$17="Distrato",$I$38-1,0)),IF(AND($L$37=0,$P$34=0),"",$L$37-1),IF($R$17="Distrato",$E211,0))),0,YEARFRAC(MAX($P$34*($B211+IF($R$17="Distrato",$I$38-1,0)),IF(AND($L$37=0,$P$34=0),"",$L$37-1),IF($R$17="Distrato",$E211,0)),MIN(BA$38,$D$19),$P$20))-SUM($P211:AZ211)</f>
        <v>#VALUE!</v>
      </c>
      <c r="BB211" s="447"/>
      <c r="BF211" s="446">
        <f t="shared" si="32"/>
        <v>0</v>
      </c>
      <c r="BG211" s="446">
        <f>IF($E211=0,0,IF(MIN(BG$38,$E211)&lt;MAX($P$34*($B211+$I$38-1),IF(AND($L$37=0,$P$34=0),"",$L$37-1)),0,YEARFRAC(MAX($P$34*($B211+$I$38-1),IF(AND($L$37=0,$P$34=0),"",$L$37-1)),MIN(BG$38,$E211),$P$20))-SUM($BF211:BF211))</f>
        <v>0</v>
      </c>
      <c r="BH211" s="446">
        <f>IF($E211=0,0,IF(MIN(BH$38,$E211)&lt;MAX($P$34*($B211+$I$38-1),IF(AND($L$37=0,$P$34=0),"",$L$37-1)),0,YEARFRAC(MAX($P$34*($B211+$I$38-1),IF(AND($L$37=0,$P$34=0),"",$L$37-1)),MIN(BH$38,$E211),$P$20))-SUM($BF211:BG211))</f>
        <v>0</v>
      </c>
      <c r="BI211" s="446">
        <f>IF($E211=0,0,IF(MIN(BI$38,$E211)&lt;MAX($P$34*($B211+$I$38-1),IF(AND($L$37=0,$P$34=0),"",$L$37-1)),0,YEARFRAC(MAX($P$34*($B211+$I$38-1),IF(AND($L$37=0,$P$34=0),"",$L$37-1)),MIN(BI$38,$E211),$P$20))-SUM($BF211:BH211))</f>
        <v>0</v>
      </c>
      <c r="BJ211" s="446">
        <f>IF($E211=0,0,IF(MIN(BJ$38,$E211)&lt;MAX($P$34*($B211+$I$38-1),IF(AND($L$37=0,$P$34=0),"",$L$37-1)),0,YEARFRAC(MAX($P$34*($B211+$I$38-1),IF(AND($L$37=0,$P$34=0),"",$L$37-1)),MIN(BJ$38,$E211),$P$20))-SUM($BF211:BI211))</f>
        <v>0</v>
      </c>
      <c r="BK211" s="446">
        <f>IF($E211=0,0,IF(MIN(BK$38,$E211)&lt;MAX($P$34*($B211+$I$38-1),IF(AND($L$37=0,$P$34=0),"",$L$37-1)),0,YEARFRAC(MAX($P$34*($B211+$I$38-1),IF(AND($L$37=0,$P$34=0),"",$L$37-1)),MIN(BK$38,$E211),$P$20))-SUM($BF211:BJ211))</f>
        <v>0</v>
      </c>
      <c r="BL211" s="446">
        <f>IF($E211=0,0,IF(MIN(BL$38,$E211)&lt;MAX($P$34*($B211+$I$38-1),IF(AND($L$37=0,$P$34=0),"",$L$37-1)),0,YEARFRAC(MAX($P$34*($B211+$I$38-1),IF(AND($L$37=0,$P$34=0),"",$L$37-1)),MIN(BL$38,$E211),$P$20))-SUM($BF211:BK211))</f>
        <v>0</v>
      </c>
      <c r="BM211" s="446">
        <f>IF($E211=0,0,IF(MIN(BM$38,$E211)&lt;MAX($P$34*($B211+$I$38-1),IF(AND($L$37=0,$P$34=0),"",$L$37-1)),0,YEARFRAC(MAX($P$34*($B211+$I$38-1),IF(AND($L$37=0,$P$34=0),"",$L$37-1)),MIN(BM$38,$E211),$P$20))-SUM($BF211:BL211))</f>
        <v>0</v>
      </c>
      <c r="BN211" s="446">
        <f>IF($E211=0,0,IF(MIN(BN$38,$E211)&lt;MAX($P$34*($B211+$I$38-1),IF(AND($L$37=0,$P$34=0),"",$L$37-1)),0,YEARFRAC(MAX($P$34*($B211+$I$38-1),IF(AND($L$37=0,$P$34=0),"",$L$37-1)),MIN(BN$38,$E211),$P$20))-SUM($BF211:BM211))</f>
        <v>0</v>
      </c>
      <c r="BO211" s="446">
        <f>IF($E211=0,0,IF(MIN(BO$38,$E211)&lt;MAX($P$34*($B211+$I$38-1),IF(AND($L$37=0,$P$34=0),"",$L$37-1)),0,YEARFRAC(MAX($P$34*($B211+$I$38-1),IF(AND($L$37=0,$P$34=0),"",$L$37-1)),MIN(BO$38,$E211),$P$20))-SUM($BF211:BN211))</f>
        <v>0</v>
      </c>
      <c r="BP211" s="446">
        <f>IF($E211=0,0,IF(MIN(BP$38,$E211)&lt;MAX($P$34*($B211+$I$38-1),IF(AND($L$37=0,$P$34=0),"",$L$37-1)),0,YEARFRAC(MAX($P$34*($B211+$I$38-1),IF(AND($L$37=0,$P$34=0),"",$L$37-1)),MIN(BP$38,$E211),$P$20))-SUM($BF211:BO211))</f>
        <v>0</v>
      </c>
      <c r="BQ211" s="446">
        <f>IF($E211=0,0,IF(MIN(BQ$38,$E211)&lt;MAX($P$34*($B211+$I$38-1),IF(AND($L$37=0,$P$34=0),"",$L$37-1)),0,YEARFRAC(MAX($P$34*($B211+$I$38-1),IF(AND($L$37=0,$P$34=0),"",$L$37-1)),MIN(BQ$38,$E211),$P$20))-SUM($BF211:BP211))</f>
        <v>0</v>
      </c>
      <c r="BR211" s="446">
        <f>IF($E211=0,0,IF(MIN(BR$38,$E211)&lt;MAX($P$34*($B211+$I$38-1),IF(AND($L$37=0,$P$34=0),"",$L$37-1)),0,YEARFRAC(MAX($P$34*($B211+$I$38-1),IF(AND($L$37=0,$P$34=0),"",$L$37-1)),MIN(BR$38,$E211),$P$20))-SUM($BF211:BQ211))</f>
        <v>0</v>
      </c>
      <c r="BS211" s="446">
        <f>IF($E211=0,0,IF(MIN(BS$38,$E211)&lt;MAX($P$34*($B211+$I$38-1),IF(AND($L$37=0,$P$34=0),"",$L$37-1)),0,YEARFRAC(MAX($P$34*($B211+$I$38-1),IF(AND($L$37=0,$P$34=0),"",$L$37-1)),MIN(BS$38,$E211),$P$20))-SUM($BF211:BR211))</f>
        <v>0</v>
      </c>
      <c r="BT211" s="446">
        <f>IF($E211=0,0,IF(MIN(BT$38,$E211)&lt;MAX($P$34*($B211+$I$38-1),IF(AND($L$37=0,$P$34=0),"",$L$37-1)),0,YEARFRAC(MAX($P$34*($B211+$I$38-1),IF(AND($L$37=0,$P$34=0),"",$L$37-1)),MIN(BT$38,$E211),$P$20))-SUM($BF211:BS211))</f>
        <v>0</v>
      </c>
      <c r="BU211" s="446">
        <f>IF($E211=0,0,IF(MIN(BU$38,$E211)&lt;MAX($P$34*($B211+$I$38-1),IF(AND($L$37=0,$P$34=0),"",$L$37-1)),0,YEARFRAC(MAX($P$34*($B211+$I$38-1),IF(AND($L$37=0,$P$34=0),"",$L$37-1)),MIN(BU$38,$E211),$P$20))-SUM($BF211:BT211))</f>
        <v>0</v>
      </c>
      <c r="BV211" s="446">
        <f>IF($E211=0,0,IF(MIN(BV$38,$E211)&lt;MAX($P$34*($B211+$I$38-1),IF(AND($L$37=0,$P$34=0),"",$L$37-1)),0,YEARFRAC(MAX($P$34*($B211+$I$38-1),IF(AND($L$37=0,$P$34=0),"",$L$37-1)),MIN(BV$38,$E211),$P$20))-SUM($BF211:BU211))</f>
        <v>0</v>
      </c>
      <c r="BW211" s="446">
        <f>IF($E211=0,0,IF(MIN(BW$38,$E211)&lt;MAX($P$34*($B211+$I$38-1),IF(AND($L$37=0,$P$34=0),"",$L$37-1)),0,YEARFRAC(MAX($P$34*($B211+$I$38-1),IF(AND($L$37=0,$P$34=0),"",$L$37-1)),MIN(BW$38,$E211),$P$20))-SUM($BF211:BV211))</f>
        <v>0</v>
      </c>
      <c r="BX211" s="446">
        <f>IF($E211=0,0,IF(MIN(BX$38,$E211)&lt;MAX($P$34*($B211+$I$38-1),IF(AND($L$37=0,$P$34=0),"",$L$37-1)),0,YEARFRAC(MAX($P$34*($B211+$I$38-1),IF(AND($L$37=0,$P$34=0),"",$L$37-1)),MIN(BX$38,$E211),$P$20))-SUM($BF211:BW211))</f>
        <v>0</v>
      </c>
      <c r="BY211" s="446">
        <f>IF($E211=0,0,IF(MIN(BY$38,$E211)&lt;MAX($P$34*($B211+$I$38-1),IF(AND($L$37=0,$P$34=0),"",$L$37-1)),0,YEARFRAC(MAX($P$34*($B211+$I$38-1),IF(AND($L$37=0,$P$34=0),"",$L$37-1)),MIN(BY$38,$E211),$P$20))-SUM($BF211:BX211))</f>
        <v>0</v>
      </c>
      <c r="BZ211" s="446">
        <f>IF($E211=0,0,IF(MIN(BZ$38,$E211)&lt;MAX($P$34*($B211+$I$38-1),IF(AND($L$37=0,$P$34=0),"",$L$37-1)),0,YEARFRAC(MAX($P$34*($B211+$I$38-1),IF(AND($L$37=0,$P$34=0),"",$L$37-1)),MIN(BZ$38,$E211),$P$20))-SUM($BF211:BY211))</f>
        <v>0</v>
      </c>
      <c r="CA211" s="446">
        <f>IF($E211=0,0,IF(MIN(CA$38,$E211)&lt;MAX($P$34*($B211+$I$38-1),IF(AND($L$37=0,$P$34=0),"",$L$37-1)),0,YEARFRAC(MAX($P$34*($B211+$I$38-1),IF(AND($L$37=0,$P$34=0),"",$L$37-1)),MIN(CA$38,$E211),$P$20))-SUM($BF211:BZ211))</f>
        <v>0</v>
      </c>
      <c r="CB211" s="446">
        <f>IF($E211=0,0,IF(MIN(CB$38,$E211)&lt;MAX($P$34*($B211+$I$38-1),IF(AND($L$37=0,$P$34=0),"",$L$37-1)),0,YEARFRAC(MAX($P$34*($B211+$I$38-1),IF(AND($L$37=0,$P$34=0),"",$L$37-1)),MIN(CB$38,$E211),$P$20))-SUM($BF211:CA211))</f>
        <v>0</v>
      </c>
      <c r="CC211" s="446">
        <f>IF($E211=0,0,IF(MIN(CC$38,$E211)&lt;MAX($P$34*($B211+$I$38-1),IF(AND($L$37=0,$P$34=0),"",$L$37-1)),0,YEARFRAC(MAX($P$34*($B211+$I$38-1),IF(AND($L$37=0,$P$34=0),"",$L$37-1)),MIN(CC$38,$E211),$P$20))-SUM($BF211:CB211))</f>
        <v>0</v>
      </c>
      <c r="CD211" s="446">
        <f>IF($E211=0,0,IF(MIN(CD$38,$E211)&lt;MAX($P$34*($B211+$I$38-1),IF(AND($L$37=0,$P$34=0),"",$L$37-1)),0,YEARFRAC(MAX($P$34*($B211+$I$38-1),IF(AND($L$37=0,$P$34=0),"",$L$37-1)),MIN(CD$38,$E211),$P$20))-SUM($BF211:CC211))</f>
        <v>0</v>
      </c>
      <c r="CE211" s="446">
        <f>IF($E211=0,0,IF(MIN(CE$38,$E211)&lt;MAX($P$34*($B211+$I$38-1),IF(AND($L$37=0,$P$34=0),"",$L$37-1)),0,YEARFRAC(MAX($P$34*($B211+$I$38-1),IF(AND($L$37=0,$P$34=0),"",$L$37-1)),MIN(CE$38,$E211),$P$20))-SUM($BF211:CD211))</f>
        <v>0</v>
      </c>
      <c r="CF211" s="446">
        <f>IF($E211=0,0,IF(MIN(CF$38,$E211)&lt;MAX($P$34*($B211+$I$38-1),IF(AND($L$37=0,$P$34=0),"",$L$37-1)),0,YEARFRAC(MAX($P$34*($B211+$I$38-1),IF(AND($L$37=0,$P$34=0),"",$L$37-1)),MIN(CF$38,$E211),$P$20))-SUM($BF211:CE211))</f>
        <v>0</v>
      </c>
      <c r="CG211" s="446">
        <f>IF($E211=0,0,IF(MIN(CG$38,$E211)&lt;MAX($P$34*($B211+$I$38-1),IF(AND($L$37=0,$P$34=0),"",$L$37-1)),0,YEARFRAC(MAX($P$34*($B211+$I$38-1),IF(AND($L$37=0,$P$34=0),"",$L$37-1)),MIN(CG$38,$E211),$P$20))-SUM($BF211:CF211))</f>
        <v>0</v>
      </c>
      <c r="CH211" s="446">
        <f>IF($E211=0,0,IF(MIN(CH$38,$E211)&lt;MAX($P$34*($B211+$I$38-1),IF(AND($L$37=0,$P$34=0),"",$L$37-1)),0,YEARFRAC(MAX($P$34*($B211+$I$38-1),IF(AND($L$37=0,$P$34=0),"",$L$37-1)),MIN(CH$38,$E211),$P$20))-SUM($BF211:CG211))</f>
        <v>0</v>
      </c>
      <c r="CI211" s="446">
        <f>IF($E211=0,0,IF(MIN(CI$38,$E211)&lt;MAX($P$34*($B211+$I$38-1),IF(AND($L$37=0,$P$34=0),"",$L$37-1)),0,YEARFRAC(MAX($P$34*($B211+$I$38-1),IF(AND($L$37=0,$P$34=0),"",$L$37-1)),MIN(CI$38,$E211),$P$20))-SUM($BF211:CH211))</f>
        <v>0</v>
      </c>
      <c r="CJ211" s="446">
        <f>IF($E211=0,0,IF(MIN(CJ$38,$E211)&lt;MAX($P$34*($B211+$I$38-1),IF(AND($L$37=0,$P$34=0),"",$L$37-1)),0,YEARFRAC(MAX($P$34*($B211+$I$38-1),IF(AND($L$37=0,$P$34=0),"",$L$37-1)),MIN(CJ$38,$E211),$P$20))-SUM($BF211:CI211))</f>
        <v>0</v>
      </c>
      <c r="CK211" s="446">
        <f>IF($E211=0,0,IF(MIN(CK$38,$E211)&lt;MAX($P$34*($B211+$I$38-1),IF(AND($L$37=0,$P$34=0),"",$L$37-1)),0,YEARFRAC(MAX($P$34*($B211+$I$38-1),IF(AND($L$37=0,$P$34=0),"",$L$37-1)),MIN(CK$38,$E211),$P$20))-SUM($BF211:CJ211))</f>
        <v>0</v>
      </c>
      <c r="CL211" s="446">
        <f>IF($E211=0,0,IF(MIN(CL$38,$E211)&lt;MAX($P$34*($B211+$I$38-1),IF(AND($L$37=0,$P$34=0),"",$L$37-1)),0,YEARFRAC(MAX($P$34*($B211+$I$38-1),IF(AND($L$37=0,$P$34=0),"",$L$37-1)),MIN(CL$38,$E211),$P$20))-SUM($BF211:CK211))</f>
        <v>0</v>
      </c>
      <c r="CM211" s="446">
        <f>IF($E211=0,0,IF(MIN(CM$38,$E211)&lt;MAX($P$34*($B211+$I$38-1),IF(AND($L$37=0,$P$34=0),"",$L$37-1)),0,YEARFRAC(MAX($P$34*($B211+$I$38-1),IF(AND($L$37=0,$P$34=0),"",$L$37-1)),MIN(CM$38,$E211),$P$20))-SUM($BF211:CL211))</f>
        <v>0</v>
      </c>
      <c r="CN211" s="446">
        <f>IF($E211=0,0,IF(MIN(CN$38,$E211)&lt;MAX($P$34*($B211+$I$38-1),IF(AND($L$37=0,$P$34=0),"",$L$37-1)),0,YEARFRAC(MAX($P$34*($B211+$I$38-1),IF(AND($L$37=0,$P$34=0),"",$L$37-1)),MIN(CN$38,$E211),$P$20))-SUM($BF211:CM211))</f>
        <v>0</v>
      </c>
      <c r="CO211" s="446">
        <f>IF($E211=0,0,IF(MIN(CO$38,$E211)&lt;MAX($P$34*($B211+$I$38-1),IF(AND($L$37=0,$P$34=0),"",$L$37-1)),0,YEARFRAC(MAX($P$34*($B211+$I$38-1),IF(AND($L$37=0,$P$34=0),"",$L$37-1)),MIN(CO$38,$E211),$P$20))-SUM($BF211:CN211))</f>
        <v>0</v>
      </c>
      <c r="CP211" s="446">
        <f>IF($E211=0,0,IF(MIN(CP$38,$E211)&lt;MAX($P$34*($B211+$I$38-1),IF(AND($L$37=0,$P$34=0),"",$L$37-1)),0,YEARFRAC(MAX($P$34*($B211+$I$38-1),IF(AND($L$37=0,$P$34=0),"",$L$37-1)),MIN(CP$38,$E211),$P$20))-SUM($BF211:CO211))</f>
        <v>0</v>
      </c>
      <c r="CQ211" s="446">
        <f>IF($E211=0,0,IF(MIN(CQ$38,$E211)&lt;MAX($P$34*($B211+$I$38-1),IF(AND($L$37=0,$P$34=0),"",$L$37-1)),0,YEARFRAC(MAX($P$34*($B211+$I$38-1),IF(AND($L$37=0,$P$34=0),"",$L$37-1)),MIN(CQ$38,$E211),$P$20))-SUM($BF211:CP211))</f>
        <v>0</v>
      </c>
    </row>
    <row r="212" spans="1:95" s="446" customFormat="1" ht="11.25" hidden="1" customHeight="1" x14ac:dyDescent="0.2">
      <c r="A212" s="152"/>
      <c r="B212" s="153" t="str">
        <f t="shared" si="37"/>
        <v/>
      </c>
      <c r="C212" s="29" t="str">
        <f>IF(B212="","",IF($L$35="SELIC - TRIBUTOS",VLOOKUP(DATE(YEAR($D$19),MONTH($D$19)-1,1),ÍNDICES!$A:$DE,HLOOKUP($BL$25,ÍNDICES!$B$3:$T$4,2)+11)-VLOOKUP(B212,ÍNDICES!$A:$DE,HLOOKUP($BL$25,ÍNDICES!$B$3:$T$4,2)+11)+1%,IF(C$38=$W$26,$J$35,IF(ISERROR(IF(B212&gt;$D$19,1,VLOOKUP(DATE(YEAR(B212),MONTH(B212)+IF($C$35=$S$23,1,0),1),ÍNDICES!$A:$DE,$Z$35+1))),"",IF(B212&gt;$D$19,1,VLOOKUP(DATE(YEAR(B212),MONTH(B212)+IF($C$35=$S$23,1,0),1),ÍNDICES!$A:$DE,$Z$35+1))))))</f>
        <v/>
      </c>
      <c r="D212" s="154" t="str">
        <f>IF(ISERROR(IF(OR($D$38=$Y$27,$B212=""),"",VLOOKUP(B212,ÍNDICES!A:DE,AF$35+1))),"",IF(OR($D$38=$Y$27,$B212=""),"",VLOOKUP(B212,ÍNDICES!A:DE,AF$35+1)))</f>
        <v/>
      </c>
      <c r="E212" s="153"/>
      <c r="F212" s="29" t="str">
        <f>IF(E212="","",IF($L$35="SELIC - TRIBUTOS",VLOOKUP(DATE(YEAR($D$19),MONTH($D$19)-1,1),ÍNDICES!$A:$DE,HLOOKUP($BL$25,ÍNDICES!$B$3:$T$4,2)+11)-VLOOKUP(E212,ÍNDICES!$A:$DE,HLOOKUP($BL$25,ÍNDICES!$B$3:$T$4,2)+11)+1%,IF(F$38=$W$26,$J$35,IF(ISERROR(IF(E212&gt;$D$19,1,VLOOKUP(DATE(YEAR(E212),MONTH(E212)+IF($C$35=$S$23,1,0),1),ÍNDICES!$A:$DE,$Z$35+1))),"",IF(E212&gt;$D$19,1,VLOOKUP(DATE(YEAR(E212),MONTH(E212)+IF($C$35=$S$23,1,0),1),ÍNDICES!$A:$DE,$Z$35+1))))))</f>
        <v/>
      </c>
      <c r="G212" s="155"/>
      <c r="H212" s="156" t="str">
        <f t="shared" si="33"/>
        <v/>
      </c>
      <c r="I212" s="29" t="str">
        <f t="shared" si="27"/>
        <v/>
      </c>
      <c r="J212" s="5">
        <f t="shared" si="28"/>
        <v>0</v>
      </c>
      <c r="K212" s="20">
        <f t="shared" ca="1" si="29"/>
        <v>0</v>
      </c>
      <c r="L212" s="5">
        <f t="shared" ca="1" si="30"/>
        <v>0</v>
      </c>
      <c r="M212" s="64">
        <f t="shared" si="34"/>
        <v>0</v>
      </c>
      <c r="N212" s="61">
        <f t="shared" ca="1" si="35"/>
        <v>0</v>
      </c>
      <c r="O212" s="5">
        <f t="shared" ca="1" si="36"/>
        <v>0</v>
      </c>
      <c r="P212" s="446" t="e">
        <f t="shared" si="31"/>
        <v>#VALUE!</v>
      </c>
      <c r="Q212" s="446" t="e">
        <f>IF(OR($B212="",MIN(Q$38,$D$19)&lt;MAX($P$34*($B212+IF($R$17="Distrato",$I$38-1,0)),IF(AND($L$37=0,$P$34=0),"",$L$37-1),IF($R$17="Distrato",$E212,0))),0,YEARFRAC(MAX($P$34*($B212+IF($R$17="Distrato",$I$38-1,0)),IF(AND($L$37=0,$P$34=0),"",$L$37-1),IF($R$17="Distrato",$E212,0)),MIN(Q$38,$D$19),$P$20))-SUM($P212:P212)</f>
        <v>#VALUE!</v>
      </c>
      <c r="R212" s="446" t="e">
        <f>IF(OR($B212="",MIN(R$38,$D$19)&lt;MAX($P$34*($B212+IF($R$17="Distrato",$I$38-1,0)),IF(AND($L$37=0,$P$34=0),"",$L$37-1),IF($R$17="Distrato",$E212,0))),0,YEARFRAC(MAX($P$34*($B212+IF($R$17="Distrato",$I$38-1,0)),IF(AND($L$37=0,$P$34=0),"",$L$37-1),IF($R$17="Distrato",$E212,0)),MIN(R$38,$D$19),$P$20))-SUM($P212:Q212)</f>
        <v>#VALUE!</v>
      </c>
      <c r="S212" s="446" t="e">
        <f>IF(OR($B212="",MIN(S$38,$D$19)&lt;MAX($P$34*($B212+IF($R$17="Distrato",$I$38-1,0)),IF(AND($L$37=0,$P$34=0),"",$L$37-1),IF($R$17="Distrato",$E212,0))),0,YEARFRAC(MAX($P$34*($B212+IF($R$17="Distrato",$I$38-1,0)),IF(AND($L$37=0,$P$34=0),"",$L$37-1),IF($R$17="Distrato",$E212,0)),MIN(S$38,$D$19),$P$20))-SUM($P212:R212)</f>
        <v>#VALUE!</v>
      </c>
      <c r="T212" s="446" t="e">
        <f>IF(OR($B212="",MIN(T$38,$D$19)&lt;MAX($P$34*($B212+IF($R$17="Distrato",$I$38-1,0)),IF(AND($L$37=0,$P$34=0),"",$L$37-1),IF($R$17="Distrato",$E212,0))),0,YEARFRAC(MAX($P$34*($B212+IF($R$17="Distrato",$I$38-1,0)),IF(AND($L$37=0,$P$34=0),"",$L$37-1),IF($R$17="Distrato",$E212,0)),MIN(T$38,$D$19),$P$20))-SUM($P212:S212)</f>
        <v>#VALUE!</v>
      </c>
      <c r="U212" s="446" t="e">
        <f>IF(OR($B212="",MIN(U$38,$D$19)&lt;MAX($P$34*($B212+IF($R$17="Distrato",$I$38-1,0)),IF(AND($L$37=0,$P$34=0),"",$L$37-1),IF($R$17="Distrato",$E212,0))),0,YEARFRAC(MAX($P$34*($B212+IF($R$17="Distrato",$I$38-1,0)),IF(AND($L$37=0,$P$34=0),"",$L$37-1),IF($R$17="Distrato",$E212,0)),MIN(U$38,$D$19),$P$20))-SUM($P212:T212)</f>
        <v>#VALUE!</v>
      </c>
      <c r="V212" s="446" t="e">
        <f>IF(OR($B212="",MIN(V$38,$D$19)&lt;MAX($P$34*($B212+IF($R$17="Distrato",$I$38-1,0)),IF(AND($L$37=0,$P$34=0),"",$L$37-1),IF($R$17="Distrato",$E212,0))),0,YEARFRAC(MAX($P$34*($B212+IF($R$17="Distrato",$I$38-1,0)),IF(AND($L$37=0,$P$34=0),"",$L$37-1),IF($R$17="Distrato",$E212,0)),MIN(V$38,$D$19),$P$20))-SUM($P212:U212)</f>
        <v>#VALUE!</v>
      </c>
      <c r="W212" s="446" t="e">
        <f>IF(OR($B212="",MIN(W$38,$D$19)&lt;MAX($P$34*($B212+IF($R$17="Distrato",$I$38-1,0)),IF(AND($L$37=0,$P$34=0),"",$L$37-1),IF($R$17="Distrato",$E212,0))),0,YEARFRAC(MAX($P$34*($B212+IF($R$17="Distrato",$I$38-1,0)),IF(AND($L$37=0,$P$34=0),"",$L$37-1),IF($R$17="Distrato",$E212,0)),MIN(W$38,$D$19),$P$20))-SUM($P212:V212)</f>
        <v>#VALUE!</v>
      </c>
      <c r="X212" s="446" t="e">
        <f>IF(OR($B212="",MIN(X$38,$D$19)&lt;MAX($P$34*($B212+IF($R$17="Distrato",$I$38-1,0)),IF(AND($L$37=0,$P$34=0),"",$L$37-1),IF($R$17="Distrato",$E212,0))),0,YEARFRAC(MAX($P$34*($B212+IF($R$17="Distrato",$I$38-1,0)),IF(AND($L$37=0,$P$34=0),"",$L$37-1),IF($R$17="Distrato",$E212,0)),MIN(X$38,$D$19),$P$20))-SUM($P212:W212)</f>
        <v>#VALUE!</v>
      </c>
      <c r="Y212" s="446" t="e">
        <f>IF(OR($B212="",MIN(Y$38,$D$19)&lt;MAX($P$34*($B212+IF($R$17="Distrato",$I$38-1,0)),IF(AND($L$37=0,$P$34=0),"",$L$37-1),IF($R$17="Distrato",$E212,0))),0,YEARFRAC(MAX($P$34*($B212+IF($R$17="Distrato",$I$38-1,0)),IF(AND($L$37=0,$P$34=0),"",$L$37-1),IF($R$17="Distrato",$E212,0)),MIN(Y$38,$D$19),$P$20))-SUM($P212:X212)</f>
        <v>#VALUE!</v>
      </c>
      <c r="Z212" s="446" t="e">
        <f>IF(OR($B212="",MIN(Z$38,$D$19)&lt;MAX($P$34*($B212+IF($R$17="Distrato",$I$38-1,0)),IF(AND($L$37=0,$P$34=0),"",$L$37-1),IF($R$17="Distrato",$E212,0))),0,YEARFRAC(MAX($P$34*($B212+IF($R$17="Distrato",$I$38-1,0)),IF(AND($L$37=0,$P$34=0),"",$L$37-1),IF($R$17="Distrato",$E212,0)),MIN(Z$38,$D$19),$P$20))-SUM($P212:Y212)</f>
        <v>#VALUE!</v>
      </c>
      <c r="AA212" s="446" t="e">
        <f>IF(OR($B212="",MIN(AA$38,$D$19)&lt;MAX($P$34*($B212+IF($R$17="Distrato",$I$38-1,0)),IF(AND($L$37=0,$P$34=0),"",$L$37-1),IF($R$17="Distrato",$E212,0))),0,YEARFRAC(MAX($P$34*($B212+IF($R$17="Distrato",$I$38-1,0)),IF(AND($L$37=0,$P$34=0),"",$L$37-1),IF($R$17="Distrato",$E212,0)),MIN(AA$38,$D$19),$P$20))-SUM($P212:Z212)</f>
        <v>#VALUE!</v>
      </c>
      <c r="AB212" s="446" t="e">
        <f>IF(OR($B212="",MIN(AB$38,$D$19)&lt;MAX($P$34*($B212+IF($R$17="Distrato",$I$38-1,0)),IF(AND($L$37=0,$P$34=0),"",$L$37-1),IF($R$17="Distrato",$E212,0))),0,YEARFRAC(MAX($P$34*($B212+IF($R$17="Distrato",$I$38-1,0)),IF(AND($L$37=0,$P$34=0),"",$L$37-1),IF($R$17="Distrato",$E212,0)),MIN(AB$38,$D$19),$P$20))-SUM($P212:AA212)</f>
        <v>#VALUE!</v>
      </c>
      <c r="AC212" s="446" t="e">
        <f>IF(OR($B212="",MIN(AC$38,$D$19)&lt;MAX($P$34*($B212+IF($R$17="Distrato",$I$38-1,0)),IF(AND($L$37=0,$P$34=0),"",$L$37-1),IF($R$17="Distrato",$E212,0))),0,YEARFRAC(MAX($P$34*($B212+IF($R$17="Distrato",$I$38-1,0)),IF(AND($L$37=0,$P$34=0),"",$L$37-1),IF($R$17="Distrato",$E212,0)),MIN(AC$38,$D$19),$P$20))-SUM($P212:AB212)</f>
        <v>#VALUE!</v>
      </c>
      <c r="AD212" s="446" t="e">
        <f>IF(OR($B212="",MIN(AD$38,$D$19)&lt;MAX($P$34*($B212+IF($R$17="Distrato",$I$38-1,0)),IF(AND($L$37=0,$P$34=0),"",$L$37-1),IF($R$17="Distrato",$E212,0))),0,YEARFRAC(MAX($P$34*($B212+IF($R$17="Distrato",$I$38-1,0)),IF(AND($L$37=0,$P$34=0),"",$L$37-1),IF($R$17="Distrato",$E212,0)),MIN(AD$38,$D$19),$P$20))-SUM($P212:AC212)</f>
        <v>#VALUE!</v>
      </c>
      <c r="AE212" s="446" t="e">
        <f>IF(OR($B212="",MIN(AE$38,$D$19)&lt;MAX($P$34*($B212+IF($R$17="Distrato",$I$38-1,0)),IF(AND($L$37=0,$P$34=0),"",$L$37-1),IF($R$17="Distrato",$E212,0))),0,YEARFRAC(MAX($P$34*($B212+IF($R$17="Distrato",$I$38-1,0)),IF(AND($L$37=0,$P$34=0),"",$L$37-1),IF($R$17="Distrato",$E212,0)),MIN(AE$38,$D$19),$P$20))-SUM($P212:AD212)</f>
        <v>#VALUE!</v>
      </c>
      <c r="AF212" s="446" t="e">
        <f>IF(OR($B212="",MIN(AF$38,$D$19)&lt;MAX($P$34*($B212+IF($R$17="Distrato",$I$38-1,0)),IF(AND($L$37=0,$P$34=0),"",$L$37-1),IF($R$17="Distrato",$E212,0))),0,YEARFRAC(MAX($P$34*($B212+IF($R$17="Distrato",$I$38-1,0)),IF(AND($L$37=0,$P$34=0),"",$L$37-1),IF($R$17="Distrato",$E212,0)),MIN(AF$38,$D$19),$P$20))-SUM($P212:AE212)</f>
        <v>#VALUE!</v>
      </c>
      <c r="AG212" s="446" t="e">
        <f>IF(OR($B212="",MIN(AG$38,$D$19)&lt;MAX($P$34*($B212+IF($R$17="Distrato",$I$38-1,0)),IF(AND($L$37=0,$P$34=0),"",$L$37-1),IF($R$17="Distrato",$E212,0))),0,YEARFRAC(MAX($P$34*($B212+IF($R$17="Distrato",$I$38-1,0)),IF(AND($L$37=0,$P$34=0),"",$L$37-1),IF($R$17="Distrato",$E212,0)),MIN(AG$38,$D$19),$P$20))-SUM($P212:AF212)</f>
        <v>#VALUE!</v>
      </c>
      <c r="AH212" s="446" t="e">
        <f>IF(OR($B212="",MIN(AH$38,$D$19)&lt;MAX($P$34*($B212+IF($R$17="Distrato",$I$38-1,0)),IF(AND($L$37=0,$P$34=0),"",$L$37-1),IF($R$17="Distrato",$E212,0))),0,YEARFRAC(MAX($P$34*($B212+IF($R$17="Distrato",$I$38-1,0)),IF(AND($L$37=0,$P$34=0),"",$L$37-1),IF($R$17="Distrato",$E212,0)),MIN(AH$38,$D$19),$P$20))-SUM($P212:AG212)</f>
        <v>#VALUE!</v>
      </c>
      <c r="AI212" s="446" t="e">
        <f>IF(OR($B212="",MIN(AI$38,$D$19)&lt;MAX($P$34*($B212+IF($R$17="Distrato",$I$38-1,0)),IF(AND($L$37=0,$P$34=0),"",$L$37-1),IF($R$17="Distrato",$E212,0))),0,YEARFRAC(MAX($P$34*($B212+IF($R$17="Distrato",$I$38-1,0)),IF(AND($L$37=0,$P$34=0),"",$L$37-1),IF($R$17="Distrato",$E212,0)),MIN(AI$38,$D$19),$P$20))-SUM($P212:AH212)</f>
        <v>#VALUE!</v>
      </c>
      <c r="AJ212" s="446" t="e">
        <f>IF(OR($B212="",MIN(AJ$38,$D$19)&lt;MAX($P$34*($B212+IF($R$17="Distrato",$I$38-1,0)),IF(AND($L$37=0,$P$34=0),"",$L$37-1),IF($R$17="Distrato",$E212,0))),0,YEARFRAC(MAX($P$34*($B212+IF($R$17="Distrato",$I$38-1,0)),IF(AND($L$37=0,$P$34=0),"",$L$37-1),IF($R$17="Distrato",$E212,0)),MIN(AJ$38,$D$19),$P$20))-SUM($P212:AI212)</f>
        <v>#VALUE!</v>
      </c>
      <c r="AK212" s="446" t="e">
        <f>IF(OR($B212="",MIN(AK$38,$D$19)&lt;MAX($P$34*($B212+IF($R$17="Distrato",$I$38-1,0)),IF(AND($L$37=0,$P$34=0),"",$L$37-1),IF($R$17="Distrato",$E212,0))),0,YEARFRAC(MAX($P$34*($B212+IF($R$17="Distrato",$I$38-1,0)),IF(AND($L$37=0,$P$34=0),"",$L$37-1),IF($R$17="Distrato",$E212,0)),MIN(AK$38,$D$19),$P$20))-SUM($P212:AJ212)</f>
        <v>#VALUE!</v>
      </c>
      <c r="AL212" s="446" t="e">
        <f>IF(OR($B212="",MIN(AL$38,$D$19)&lt;MAX($P$34*($B212+IF($R$17="Distrato",$I$38-1,0)),IF(AND($L$37=0,$P$34=0),"",$L$37-1),IF($R$17="Distrato",$E212,0))),0,YEARFRAC(MAX($P$34*($B212+IF($R$17="Distrato",$I$38-1,0)),IF(AND($L$37=0,$P$34=0),"",$L$37-1),IF($R$17="Distrato",$E212,0)),MIN(AL$38,$D$19),$P$20))-SUM($P212:AK212)</f>
        <v>#VALUE!</v>
      </c>
      <c r="AM212" s="446" t="e">
        <f>IF(OR($B212="",MIN(AM$38,$D$19)&lt;MAX($P$34*($B212+IF($R$17="Distrato",$I$38-1,0)),IF(AND($L$37=0,$P$34=0),"",$L$37-1),IF($R$17="Distrato",$E212,0))),0,YEARFRAC(MAX($P$34*($B212+IF($R$17="Distrato",$I$38-1,0)),IF(AND($L$37=0,$P$34=0),"",$L$37-1),IF($R$17="Distrato",$E212,0)),MIN(AM$38,$D$19),$P$20))-SUM($P212:AL212)</f>
        <v>#VALUE!</v>
      </c>
      <c r="AN212" s="446" t="e">
        <f>IF(OR($B212="",MIN(AN$38,$D$19)&lt;MAX($P$34*($B212+IF($R$17="Distrato",$I$38-1,0)),IF(AND($L$37=0,$P$34=0),"",$L$37-1),IF($R$17="Distrato",$E212,0))),0,YEARFRAC(MAX($P$34*($B212+IF($R$17="Distrato",$I$38-1,0)),IF(AND($L$37=0,$P$34=0),"",$L$37-1),IF($R$17="Distrato",$E212,0)),MIN(AN$38,$D$19),$P$20))-SUM($P212:AM212)</f>
        <v>#VALUE!</v>
      </c>
      <c r="AO212" s="446" t="e">
        <f>IF(OR($B212="",MIN(AO$38,$D$19)&lt;MAX($P$34*($B212+IF($R$17="Distrato",$I$38-1,0)),IF(AND($L$37=0,$P$34=0),"",$L$37-1),IF($R$17="Distrato",$E212,0))),0,YEARFRAC(MAX($P$34*($B212+IF($R$17="Distrato",$I$38-1,0)),IF(AND($L$37=0,$P$34=0),"",$L$37-1),IF($R$17="Distrato",$E212,0)),MIN(AO$38,$D$19),$P$20))-SUM($P212:AN212)</f>
        <v>#VALUE!</v>
      </c>
      <c r="AP212" s="446" t="e">
        <f>IF(OR($B212="",MIN(AP$38,$D$19)&lt;MAX($P$34*($B212+IF($R$17="Distrato",$I$38-1,0)),IF(AND($L$37=0,$P$34=0),"",$L$37-1),IF($R$17="Distrato",$E212,0))),0,YEARFRAC(MAX($P$34*($B212+IF($R$17="Distrato",$I$38-1,0)),IF(AND($L$37=0,$P$34=0),"",$L$37-1),IF($R$17="Distrato",$E212,0)),MIN(AP$38,$D$19),$P$20))-SUM($P212:AO212)</f>
        <v>#VALUE!</v>
      </c>
      <c r="AQ212" s="446" t="e">
        <f>IF(OR($B212="",MIN(AQ$38,$D$19)&lt;MAX($P$34*($B212+IF($R$17="Distrato",$I$38-1,0)),IF(AND($L$37=0,$P$34=0),"",$L$37-1),IF($R$17="Distrato",$E212,0))),0,YEARFRAC(MAX($P$34*($B212+IF($R$17="Distrato",$I$38-1,0)),IF(AND($L$37=0,$P$34=0),"",$L$37-1),IF($R$17="Distrato",$E212,0)),MIN(AQ$38,$D$19),$P$20))-SUM($P212:AP212)</f>
        <v>#VALUE!</v>
      </c>
      <c r="AR212" s="446" t="e">
        <f>IF(OR($B212="",MIN(AR$38,$D$19)&lt;MAX($P$34*($B212+IF($R$17="Distrato",$I$38-1,0)),IF(AND($L$37=0,$P$34=0),"",$L$37-1),IF($R$17="Distrato",$E212,0))),0,YEARFRAC(MAX($P$34*($B212+IF($R$17="Distrato",$I$38-1,0)),IF(AND($L$37=0,$P$34=0),"",$L$37-1),IF($R$17="Distrato",$E212,0)),MIN(AR$38,$D$19),$P$20))-SUM($P212:AQ212)</f>
        <v>#VALUE!</v>
      </c>
      <c r="AS212" s="446" t="e">
        <f>IF(OR($B212="",MIN(AS$38,$D$19)&lt;MAX($P$34*($B212+IF($R$17="Distrato",$I$38-1,0)),IF(AND($L$37=0,$P$34=0),"",$L$37-1),IF($R$17="Distrato",$E212,0))),0,YEARFRAC(MAX($P$34*($B212+IF($R$17="Distrato",$I$38-1,0)),IF(AND($L$37=0,$P$34=0),"",$L$37-1),IF($R$17="Distrato",$E212,0)),MIN(AS$38,$D$19),$P$20))-SUM($P212:AR212)</f>
        <v>#VALUE!</v>
      </c>
      <c r="AT212" s="446" t="e">
        <f>IF(OR($B212="",MIN(AT$38,$D$19)&lt;MAX($P$34*($B212+IF($R$17="Distrato",$I$38-1,0)),IF(AND($L$37=0,$P$34=0),"",$L$37-1),IF($R$17="Distrato",$E212,0))),0,YEARFRAC(MAX($P$34*($B212+IF($R$17="Distrato",$I$38-1,0)),IF(AND($L$37=0,$P$34=0),"",$L$37-1),IF($R$17="Distrato",$E212,0)),MIN(AT$38,$D$19),$P$20))-SUM($P212:AS212)</f>
        <v>#VALUE!</v>
      </c>
      <c r="AU212" s="446" t="e">
        <f>IF(OR($B212="",MIN(AU$38,$D$19)&lt;MAX($P$34*($B212+IF($R$17="Distrato",$I$38-1,0)),IF(AND($L$37=0,$P$34=0),"",$L$37-1),IF($R$17="Distrato",$E212,0))),0,YEARFRAC(MAX($P$34*($B212+IF($R$17="Distrato",$I$38-1,0)),IF(AND($L$37=0,$P$34=0),"",$L$37-1),IF($R$17="Distrato",$E212,0)),MIN(AU$38,$D$19),$P$20))-SUM($P212:AT212)</f>
        <v>#VALUE!</v>
      </c>
      <c r="AV212" s="446" t="e">
        <f>IF(OR($B212="",MIN(AV$38,$D$19)&lt;MAX($P$34*($B212+IF($R$17="Distrato",$I$38-1,0)),IF(AND($L$37=0,$P$34=0),"",$L$37-1),IF($R$17="Distrato",$E212,0))),0,YEARFRAC(MAX($P$34*($B212+IF($R$17="Distrato",$I$38-1,0)),IF(AND($L$37=0,$P$34=0),"",$L$37-1),IF($R$17="Distrato",$E212,0)),MIN(AV$38,$D$19),$P$20))-SUM($P212:AU212)</f>
        <v>#VALUE!</v>
      </c>
      <c r="AW212" s="446" t="e">
        <f>IF(OR($B212="",MIN(AW$38,$D$19)&lt;MAX($P$34*($B212+IF($R$17="Distrato",$I$38-1,0)),IF(AND($L$37=0,$P$34=0),"",$L$37-1),IF($R$17="Distrato",$E212,0))),0,YEARFRAC(MAX($P$34*($B212+IF($R$17="Distrato",$I$38-1,0)),IF(AND($L$37=0,$P$34=0),"",$L$37-1),IF($R$17="Distrato",$E212,0)),MIN(AW$38,$D$19),$P$20))-SUM($P212:AV212)</f>
        <v>#VALUE!</v>
      </c>
      <c r="AX212" s="446" t="e">
        <f>IF(OR($B212="",MIN(AX$38,$D$19)&lt;MAX($P$34*($B212+IF($R$17="Distrato",$I$38-1,0)),IF(AND($L$37=0,$P$34=0),"",$L$37-1),IF($R$17="Distrato",$E212,0))),0,YEARFRAC(MAX($P$34*($B212+IF($R$17="Distrato",$I$38-1,0)),IF(AND($L$37=0,$P$34=0),"",$L$37-1),IF($R$17="Distrato",$E212,0)),MIN(AX$38,$D$19),$P$20))-SUM($P212:AW212)</f>
        <v>#VALUE!</v>
      </c>
      <c r="AY212" s="446" t="e">
        <f>IF(OR($B212="",MIN(AY$38,$D$19)&lt;MAX($P$34*($B212+IF($R$17="Distrato",$I$38-1,0)),IF(AND($L$37=0,$P$34=0),"",$L$37-1),IF($R$17="Distrato",$E212,0))),0,YEARFRAC(MAX($P$34*($B212+IF($R$17="Distrato",$I$38-1,0)),IF(AND($L$37=0,$P$34=0),"",$L$37-1),IF($R$17="Distrato",$E212,0)),MIN(AY$38,$D$19),$P$20))-SUM($P212:AX212)</f>
        <v>#VALUE!</v>
      </c>
      <c r="AZ212" s="446" t="e">
        <f>IF(OR($B212="",MIN(AZ$38,$D$19)&lt;MAX($P$34*($B212+IF($R$17="Distrato",$I$38-1,0)),IF(AND($L$37=0,$P$34=0),"",$L$37-1),IF($R$17="Distrato",$E212,0))),0,YEARFRAC(MAX($P$34*($B212+IF($R$17="Distrato",$I$38-1,0)),IF(AND($L$37=0,$P$34=0),"",$L$37-1),IF($R$17="Distrato",$E212,0)),MIN(AZ$38,$D$19),$P$20))-SUM($P212:AY212)</f>
        <v>#VALUE!</v>
      </c>
      <c r="BA212" s="446" t="e">
        <f>IF(OR($B212="",MIN(BA$38,$D$19)&lt;MAX($P$34*($B212+IF($R$17="Distrato",$I$38-1,0)),IF(AND($L$37=0,$P$34=0),"",$L$37-1),IF($R$17="Distrato",$E212,0))),0,YEARFRAC(MAX($P$34*($B212+IF($R$17="Distrato",$I$38-1,0)),IF(AND($L$37=0,$P$34=0),"",$L$37-1),IF($R$17="Distrato",$E212,0)),MIN(BA$38,$D$19),$P$20))-SUM($P212:AZ212)</f>
        <v>#VALUE!</v>
      </c>
      <c r="BB212" s="447"/>
      <c r="BF212" s="446">
        <f t="shared" si="32"/>
        <v>0</v>
      </c>
      <c r="BG212" s="446">
        <f>IF($E212=0,0,IF(MIN(BG$38,$E212)&lt;MAX($P$34*($B212+$I$38-1),IF(AND($L$37=0,$P$34=0),"",$L$37-1)),0,YEARFRAC(MAX($P$34*($B212+$I$38-1),IF(AND($L$37=0,$P$34=0),"",$L$37-1)),MIN(BG$38,$E212),$P$20))-SUM($BF212:BF212))</f>
        <v>0</v>
      </c>
      <c r="BH212" s="446">
        <f>IF($E212=0,0,IF(MIN(BH$38,$E212)&lt;MAX($P$34*($B212+$I$38-1),IF(AND($L$37=0,$P$34=0),"",$L$37-1)),0,YEARFRAC(MAX($P$34*($B212+$I$38-1),IF(AND($L$37=0,$P$34=0),"",$L$37-1)),MIN(BH$38,$E212),$P$20))-SUM($BF212:BG212))</f>
        <v>0</v>
      </c>
      <c r="BI212" s="446">
        <f>IF($E212=0,0,IF(MIN(BI$38,$E212)&lt;MAX($P$34*($B212+$I$38-1),IF(AND($L$37=0,$P$34=0),"",$L$37-1)),0,YEARFRAC(MAX($P$34*($B212+$I$38-1),IF(AND($L$37=0,$P$34=0),"",$L$37-1)),MIN(BI$38,$E212),$P$20))-SUM($BF212:BH212))</f>
        <v>0</v>
      </c>
      <c r="BJ212" s="446">
        <f>IF($E212=0,0,IF(MIN(BJ$38,$E212)&lt;MAX($P$34*($B212+$I$38-1),IF(AND($L$37=0,$P$34=0),"",$L$37-1)),0,YEARFRAC(MAX($P$34*($B212+$I$38-1),IF(AND($L$37=0,$P$34=0),"",$L$37-1)),MIN(BJ$38,$E212),$P$20))-SUM($BF212:BI212))</f>
        <v>0</v>
      </c>
      <c r="BK212" s="446">
        <f>IF($E212=0,0,IF(MIN(BK$38,$E212)&lt;MAX($P$34*($B212+$I$38-1),IF(AND($L$37=0,$P$34=0),"",$L$37-1)),0,YEARFRAC(MAX($P$34*($B212+$I$38-1),IF(AND($L$37=0,$P$34=0),"",$L$37-1)),MIN(BK$38,$E212),$P$20))-SUM($BF212:BJ212))</f>
        <v>0</v>
      </c>
      <c r="BL212" s="446">
        <f>IF($E212=0,0,IF(MIN(BL$38,$E212)&lt;MAX($P$34*($B212+$I$38-1),IF(AND($L$37=0,$P$34=0),"",$L$37-1)),0,YEARFRAC(MAX($P$34*($B212+$I$38-1),IF(AND($L$37=0,$P$34=0),"",$L$37-1)),MIN(BL$38,$E212),$P$20))-SUM($BF212:BK212))</f>
        <v>0</v>
      </c>
      <c r="BM212" s="446">
        <f>IF($E212=0,0,IF(MIN(BM$38,$E212)&lt;MAX($P$34*($B212+$I$38-1),IF(AND($L$37=0,$P$34=0),"",$L$37-1)),0,YEARFRAC(MAX($P$34*($B212+$I$38-1),IF(AND($L$37=0,$P$34=0),"",$L$37-1)),MIN(BM$38,$E212),$P$20))-SUM($BF212:BL212))</f>
        <v>0</v>
      </c>
      <c r="BN212" s="446">
        <f>IF($E212=0,0,IF(MIN(BN$38,$E212)&lt;MAX($P$34*($B212+$I$38-1),IF(AND($L$37=0,$P$34=0),"",$L$37-1)),0,YEARFRAC(MAX($P$34*($B212+$I$38-1),IF(AND($L$37=0,$P$34=0),"",$L$37-1)),MIN(BN$38,$E212),$P$20))-SUM($BF212:BM212))</f>
        <v>0</v>
      </c>
      <c r="BO212" s="446">
        <f>IF($E212=0,0,IF(MIN(BO$38,$E212)&lt;MAX($P$34*($B212+$I$38-1),IF(AND($L$37=0,$P$34=0),"",$L$37-1)),0,YEARFRAC(MAX($P$34*($B212+$I$38-1),IF(AND($L$37=0,$P$34=0),"",$L$37-1)),MIN(BO$38,$E212),$P$20))-SUM($BF212:BN212))</f>
        <v>0</v>
      </c>
      <c r="BP212" s="446">
        <f>IF($E212=0,0,IF(MIN(BP$38,$E212)&lt;MAX($P$34*($B212+$I$38-1),IF(AND($L$37=0,$P$34=0),"",$L$37-1)),0,YEARFRAC(MAX($P$34*($B212+$I$38-1),IF(AND($L$37=0,$P$34=0),"",$L$37-1)),MIN(BP$38,$E212),$P$20))-SUM($BF212:BO212))</f>
        <v>0</v>
      </c>
      <c r="BQ212" s="446">
        <f>IF($E212=0,0,IF(MIN(BQ$38,$E212)&lt;MAX($P$34*($B212+$I$38-1),IF(AND($L$37=0,$P$34=0),"",$L$37-1)),0,YEARFRAC(MAX($P$34*($B212+$I$38-1),IF(AND($L$37=0,$P$34=0),"",$L$37-1)),MIN(BQ$38,$E212),$P$20))-SUM($BF212:BP212))</f>
        <v>0</v>
      </c>
      <c r="BR212" s="446">
        <f>IF($E212=0,0,IF(MIN(BR$38,$E212)&lt;MAX($P$34*($B212+$I$38-1),IF(AND($L$37=0,$P$34=0),"",$L$37-1)),0,YEARFRAC(MAX($P$34*($B212+$I$38-1),IF(AND($L$37=0,$P$34=0),"",$L$37-1)),MIN(BR$38,$E212),$P$20))-SUM($BF212:BQ212))</f>
        <v>0</v>
      </c>
      <c r="BS212" s="446">
        <f>IF($E212=0,0,IF(MIN(BS$38,$E212)&lt;MAX($P$34*($B212+$I$38-1),IF(AND($L$37=0,$P$34=0),"",$L$37-1)),0,YEARFRAC(MAX($P$34*($B212+$I$38-1),IF(AND($L$37=0,$P$34=0),"",$L$37-1)),MIN(BS$38,$E212),$P$20))-SUM($BF212:BR212))</f>
        <v>0</v>
      </c>
      <c r="BT212" s="446">
        <f>IF($E212=0,0,IF(MIN(BT$38,$E212)&lt;MAX($P$34*($B212+$I$38-1),IF(AND($L$37=0,$P$34=0),"",$L$37-1)),0,YEARFRAC(MAX($P$34*($B212+$I$38-1),IF(AND($L$37=0,$P$34=0),"",$L$37-1)),MIN(BT$38,$E212),$P$20))-SUM($BF212:BS212))</f>
        <v>0</v>
      </c>
      <c r="BU212" s="446">
        <f>IF($E212=0,0,IF(MIN(BU$38,$E212)&lt;MAX($P$34*($B212+$I$38-1),IF(AND($L$37=0,$P$34=0),"",$L$37-1)),0,YEARFRAC(MAX($P$34*($B212+$I$38-1),IF(AND($L$37=0,$P$34=0),"",$L$37-1)),MIN(BU$38,$E212),$P$20))-SUM($BF212:BT212))</f>
        <v>0</v>
      </c>
      <c r="BV212" s="446">
        <f>IF($E212=0,0,IF(MIN(BV$38,$E212)&lt;MAX($P$34*($B212+$I$38-1),IF(AND($L$37=0,$P$34=0),"",$L$37-1)),0,YEARFRAC(MAX($P$34*($B212+$I$38-1),IF(AND($L$37=0,$P$34=0),"",$L$37-1)),MIN(BV$38,$E212),$P$20))-SUM($BF212:BU212))</f>
        <v>0</v>
      </c>
      <c r="BW212" s="446">
        <f>IF($E212=0,0,IF(MIN(BW$38,$E212)&lt;MAX($P$34*($B212+$I$38-1),IF(AND($L$37=0,$P$34=0),"",$L$37-1)),0,YEARFRAC(MAX($P$34*($B212+$I$38-1),IF(AND($L$37=0,$P$34=0),"",$L$37-1)),MIN(BW$38,$E212),$P$20))-SUM($BF212:BV212))</f>
        <v>0</v>
      </c>
      <c r="BX212" s="446">
        <f>IF($E212=0,0,IF(MIN(BX$38,$E212)&lt;MAX($P$34*($B212+$I$38-1),IF(AND($L$37=0,$P$34=0),"",$L$37-1)),0,YEARFRAC(MAX($P$34*($B212+$I$38-1),IF(AND($L$37=0,$P$34=0),"",$L$37-1)),MIN(BX$38,$E212),$P$20))-SUM($BF212:BW212))</f>
        <v>0</v>
      </c>
      <c r="BY212" s="446">
        <f>IF($E212=0,0,IF(MIN(BY$38,$E212)&lt;MAX($P$34*($B212+$I$38-1),IF(AND($L$37=0,$P$34=0),"",$L$37-1)),0,YEARFRAC(MAX($P$34*($B212+$I$38-1),IF(AND($L$37=0,$P$34=0),"",$L$37-1)),MIN(BY$38,$E212),$P$20))-SUM($BF212:BX212))</f>
        <v>0</v>
      </c>
      <c r="BZ212" s="446">
        <f>IF($E212=0,0,IF(MIN(BZ$38,$E212)&lt;MAX($P$34*($B212+$I$38-1),IF(AND($L$37=0,$P$34=0),"",$L$37-1)),0,YEARFRAC(MAX($P$34*($B212+$I$38-1),IF(AND($L$37=0,$P$34=0),"",$L$37-1)),MIN(BZ$38,$E212),$P$20))-SUM($BF212:BY212))</f>
        <v>0</v>
      </c>
      <c r="CA212" s="446">
        <f>IF($E212=0,0,IF(MIN(CA$38,$E212)&lt;MAX($P$34*($B212+$I$38-1),IF(AND($L$37=0,$P$34=0),"",$L$37-1)),0,YEARFRAC(MAX($P$34*($B212+$I$38-1),IF(AND($L$37=0,$P$34=0),"",$L$37-1)),MIN(CA$38,$E212),$P$20))-SUM($BF212:BZ212))</f>
        <v>0</v>
      </c>
      <c r="CB212" s="446">
        <f>IF($E212=0,0,IF(MIN(CB$38,$E212)&lt;MAX($P$34*($B212+$I$38-1),IF(AND($L$37=0,$P$34=0),"",$L$37-1)),0,YEARFRAC(MAX($P$34*($B212+$I$38-1),IF(AND($L$37=0,$P$34=0),"",$L$37-1)),MIN(CB$38,$E212),$P$20))-SUM($BF212:CA212))</f>
        <v>0</v>
      </c>
      <c r="CC212" s="446">
        <f>IF($E212=0,0,IF(MIN(CC$38,$E212)&lt;MAX($P$34*($B212+$I$38-1),IF(AND($L$37=0,$P$34=0),"",$L$37-1)),0,YEARFRAC(MAX($P$34*($B212+$I$38-1),IF(AND($L$37=0,$P$34=0),"",$L$37-1)),MIN(CC$38,$E212),$P$20))-SUM($BF212:CB212))</f>
        <v>0</v>
      </c>
      <c r="CD212" s="446">
        <f>IF($E212=0,0,IF(MIN(CD$38,$E212)&lt;MAX($P$34*($B212+$I$38-1),IF(AND($L$37=0,$P$34=0),"",$L$37-1)),0,YEARFRAC(MAX($P$34*($B212+$I$38-1),IF(AND($L$37=0,$P$34=0),"",$L$37-1)),MIN(CD$38,$E212),$P$20))-SUM($BF212:CC212))</f>
        <v>0</v>
      </c>
      <c r="CE212" s="446">
        <f>IF($E212=0,0,IF(MIN(CE$38,$E212)&lt;MAX($P$34*($B212+$I$38-1),IF(AND($L$37=0,$P$34=0),"",$L$37-1)),0,YEARFRAC(MAX($P$34*($B212+$I$38-1),IF(AND($L$37=0,$P$34=0),"",$L$37-1)),MIN(CE$38,$E212),$P$20))-SUM($BF212:CD212))</f>
        <v>0</v>
      </c>
      <c r="CF212" s="446">
        <f>IF($E212=0,0,IF(MIN(CF$38,$E212)&lt;MAX($P$34*($B212+$I$38-1),IF(AND($L$37=0,$P$34=0),"",$L$37-1)),0,YEARFRAC(MAX($P$34*($B212+$I$38-1),IF(AND($L$37=0,$P$34=0),"",$L$37-1)),MIN(CF$38,$E212),$P$20))-SUM($BF212:CE212))</f>
        <v>0</v>
      </c>
      <c r="CG212" s="446">
        <f>IF($E212=0,0,IF(MIN(CG$38,$E212)&lt;MAX($P$34*($B212+$I$38-1),IF(AND($L$37=0,$P$34=0),"",$L$37-1)),0,YEARFRAC(MAX($P$34*($B212+$I$38-1),IF(AND($L$37=0,$P$34=0),"",$L$37-1)),MIN(CG$38,$E212),$P$20))-SUM($BF212:CF212))</f>
        <v>0</v>
      </c>
      <c r="CH212" s="446">
        <f>IF($E212=0,0,IF(MIN(CH$38,$E212)&lt;MAX($P$34*($B212+$I$38-1),IF(AND($L$37=0,$P$34=0),"",$L$37-1)),0,YEARFRAC(MAX($P$34*($B212+$I$38-1),IF(AND($L$37=0,$P$34=0),"",$L$37-1)),MIN(CH$38,$E212),$P$20))-SUM($BF212:CG212))</f>
        <v>0</v>
      </c>
      <c r="CI212" s="446">
        <f>IF($E212=0,0,IF(MIN(CI$38,$E212)&lt;MAX($P$34*($B212+$I$38-1),IF(AND($L$37=0,$P$34=0),"",$L$37-1)),0,YEARFRAC(MAX($P$34*($B212+$I$38-1),IF(AND($L$37=0,$P$34=0),"",$L$37-1)),MIN(CI$38,$E212),$P$20))-SUM($BF212:CH212))</f>
        <v>0</v>
      </c>
      <c r="CJ212" s="446">
        <f>IF($E212=0,0,IF(MIN(CJ$38,$E212)&lt;MAX($P$34*($B212+$I$38-1),IF(AND($L$37=0,$P$34=0),"",$L$37-1)),0,YEARFRAC(MAX($P$34*($B212+$I$38-1),IF(AND($L$37=0,$P$34=0),"",$L$37-1)),MIN(CJ$38,$E212),$P$20))-SUM($BF212:CI212))</f>
        <v>0</v>
      </c>
      <c r="CK212" s="446">
        <f>IF($E212=0,0,IF(MIN(CK$38,$E212)&lt;MAX($P$34*($B212+$I$38-1),IF(AND($L$37=0,$P$34=0),"",$L$37-1)),0,YEARFRAC(MAX($P$34*($B212+$I$38-1),IF(AND($L$37=0,$P$34=0),"",$L$37-1)),MIN(CK$38,$E212),$P$20))-SUM($BF212:CJ212))</f>
        <v>0</v>
      </c>
      <c r="CL212" s="446">
        <f>IF($E212=0,0,IF(MIN(CL$38,$E212)&lt;MAX($P$34*($B212+$I$38-1),IF(AND($L$37=0,$P$34=0),"",$L$37-1)),0,YEARFRAC(MAX($P$34*($B212+$I$38-1),IF(AND($L$37=0,$P$34=0),"",$L$37-1)),MIN(CL$38,$E212),$P$20))-SUM($BF212:CK212))</f>
        <v>0</v>
      </c>
      <c r="CM212" s="446">
        <f>IF($E212=0,0,IF(MIN(CM$38,$E212)&lt;MAX($P$34*($B212+$I$38-1),IF(AND($L$37=0,$P$34=0),"",$L$37-1)),0,YEARFRAC(MAX($P$34*($B212+$I$38-1),IF(AND($L$37=0,$P$34=0),"",$L$37-1)),MIN(CM$38,$E212),$P$20))-SUM($BF212:CL212))</f>
        <v>0</v>
      </c>
      <c r="CN212" s="446">
        <f>IF($E212=0,0,IF(MIN(CN$38,$E212)&lt;MAX($P$34*($B212+$I$38-1),IF(AND($L$37=0,$P$34=0),"",$L$37-1)),0,YEARFRAC(MAX($P$34*($B212+$I$38-1),IF(AND($L$37=0,$P$34=0),"",$L$37-1)),MIN(CN$38,$E212),$P$20))-SUM($BF212:CM212))</f>
        <v>0</v>
      </c>
      <c r="CO212" s="446">
        <f>IF($E212=0,0,IF(MIN(CO$38,$E212)&lt;MAX($P$34*($B212+$I$38-1),IF(AND($L$37=0,$P$34=0),"",$L$37-1)),0,YEARFRAC(MAX($P$34*($B212+$I$38-1),IF(AND($L$37=0,$P$34=0),"",$L$37-1)),MIN(CO$38,$E212),$P$20))-SUM($BF212:CN212))</f>
        <v>0</v>
      </c>
      <c r="CP212" s="446">
        <f>IF($E212=0,0,IF(MIN(CP$38,$E212)&lt;MAX($P$34*($B212+$I$38-1),IF(AND($L$37=0,$P$34=0),"",$L$37-1)),0,YEARFRAC(MAX($P$34*($B212+$I$38-1),IF(AND($L$37=0,$P$34=0),"",$L$37-1)),MIN(CP$38,$E212),$P$20))-SUM($BF212:CO212))</f>
        <v>0</v>
      </c>
      <c r="CQ212" s="446">
        <f>IF($E212=0,0,IF(MIN(CQ$38,$E212)&lt;MAX($P$34*($B212+$I$38-1),IF(AND($L$37=0,$P$34=0),"",$L$37-1)),0,YEARFRAC(MAX($P$34*($B212+$I$38-1),IF(AND($L$37=0,$P$34=0),"",$L$37-1)),MIN(CQ$38,$E212),$P$20))-SUM($BF212:CP212))</f>
        <v>0</v>
      </c>
    </row>
    <row r="213" spans="1:95" s="446" customFormat="1" ht="11.25" hidden="1" customHeight="1" x14ac:dyDescent="0.2">
      <c r="A213" s="152"/>
      <c r="B213" s="153" t="str">
        <f t="shared" si="37"/>
        <v/>
      </c>
      <c r="C213" s="29" t="str">
        <f>IF(B213="","",IF($L$35="SELIC - TRIBUTOS",VLOOKUP(DATE(YEAR($D$19),MONTH($D$19)-1,1),ÍNDICES!$A:$DE,HLOOKUP($BL$25,ÍNDICES!$B$3:$T$4,2)+11)-VLOOKUP(B213,ÍNDICES!$A:$DE,HLOOKUP($BL$25,ÍNDICES!$B$3:$T$4,2)+11)+1%,IF(C$38=$W$26,$J$35,IF(ISERROR(IF(B213&gt;$D$19,1,VLOOKUP(DATE(YEAR(B213),MONTH(B213)+IF($C$35=$S$23,1,0),1),ÍNDICES!$A:$DE,$Z$35+1))),"",IF(B213&gt;$D$19,1,VLOOKUP(DATE(YEAR(B213),MONTH(B213)+IF($C$35=$S$23,1,0),1),ÍNDICES!$A:$DE,$Z$35+1))))))</f>
        <v/>
      </c>
      <c r="D213" s="154" t="str">
        <f>IF(ISERROR(IF(OR($D$38=$Y$27,$B213=""),"",VLOOKUP(B213,ÍNDICES!A:DE,AF$35+1))),"",IF(OR($D$38=$Y$27,$B213=""),"",VLOOKUP(B213,ÍNDICES!A:DE,AF$35+1)))</f>
        <v/>
      </c>
      <c r="E213" s="153"/>
      <c r="F213" s="29" t="str">
        <f>IF(E213="","",IF($L$35="SELIC - TRIBUTOS",VLOOKUP(DATE(YEAR($D$19),MONTH($D$19)-1,1),ÍNDICES!$A:$DE,HLOOKUP($BL$25,ÍNDICES!$B$3:$T$4,2)+11)-VLOOKUP(E213,ÍNDICES!$A:$DE,HLOOKUP($BL$25,ÍNDICES!$B$3:$T$4,2)+11)+1%,IF(F$38=$W$26,$J$35,IF(ISERROR(IF(E213&gt;$D$19,1,VLOOKUP(DATE(YEAR(E213),MONTH(E213)+IF($C$35=$S$23,1,0),1),ÍNDICES!$A:$DE,$Z$35+1))),"",IF(E213&gt;$D$19,1,VLOOKUP(DATE(YEAR(E213),MONTH(E213)+IF($C$35=$S$23,1,0),1),ÍNDICES!$A:$DE,$Z$35+1))))))</f>
        <v/>
      </c>
      <c r="G213" s="155"/>
      <c r="H213" s="156" t="str">
        <f t="shared" si="33"/>
        <v/>
      </c>
      <c r="I213" s="29" t="str">
        <f t="shared" si="27"/>
        <v/>
      </c>
      <c r="J213" s="5">
        <f t="shared" si="28"/>
        <v>0</v>
      </c>
      <c r="K213" s="20">
        <f t="shared" ca="1" si="29"/>
        <v>0</v>
      </c>
      <c r="L213" s="5">
        <f t="shared" ca="1" si="30"/>
        <v>0</v>
      </c>
      <c r="M213" s="64">
        <f t="shared" si="34"/>
        <v>0</v>
      </c>
      <c r="N213" s="61">
        <f t="shared" ca="1" si="35"/>
        <v>0</v>
      </c>
      <c r="O213" s="5">
        <f t="shared" ca="1" si="36"/>
        <v>0</v>
      </c>
      <c r="P213" s="446" t="e">
        <f t="shared" si="31"/>
        <v>#VALUE!</v>
      </c>
      <c r="Q213" s="446" t="e">
        <f>IF(OR($B213="",MIN(Q$38,$D$19)&lt;MAX($P$34*($B213+IF($R$17="Distrato",$I$38-1,0)),IF(AND($L$37=0,$P$34=0),"",$L$37-1),IF($R$17="Distrato",$E213,0))),0,YEARFRAC(MAX($P$34*($B213+IF($R$17="Distrato",$I$38-1,0)),IF(AND($L$37=0,$P$34=0),"",$L$37-1),IF($R$17="Distrato",$E213,0)),MIN(Q$38,$D$19),$P$20))-SUM($P213:P213)</f>
        <v>#VALUE!</v>
      </c>
      <c r="R213" s="446" t="e">
        <f>IF(OR($B213="",MIN(R$38,$D$19)&lt;MAX($P$34*($B213+IF($R$17="Distrato",$I$38-1,0)),IF(AND($L$37=0,$P$34=0),"",$L$37-1),IF($R$17="Distrato",$E213,0))),0,YEARFRAC(MAX($P$34*($B213+IF($R$17="Distrato",$I$38-1,0)),IF(AND($L$37=0,$P$34=0),"",$L$37-1),IF($R$17="Distrato",$E213,0)),MIN(R$38,$D$19),$P$20))-SUM($P213:Q213)</f>
        <v>#VALUE!</v>
      </c>
      <c r="S213" s="446" t="e">
        <f>IF(OR($B213="",MIN(S$38,$D$19)&lt;MAX($P$34*($B213+IF($R$17="Distrato",$I$38-1,0)),IF(AND($L$37=0,$P$34=0),"",$L$37-1),IF($R$17="Distrato",$E213,0))),0,YEARFRAC(MAX($P$34*($B213+IF($R$17="Distrato",$I$38-1,0)),IF(AND($L$37=0,$P$34=0),"",$L$37-1),IF($R$17="Distrato",$E213,0)),MIN(S$38,$D$19),$P$20))-SUM($P213:R213)</f>
        <v>#VALUE!</v>
      </c>
      <c r="T213" s="446" t="e">
        <f>IF(OR($B213="",MIN(T$38,$D$19)&lt;MAX($P$34*($B213+IF($R$17="Distrato",$I$38-1,0)),IF(AND($L$37=0,$P$34=0),"",$L$37-1),IF($R$17="Distrato",$E213,0))),0,YEARFRAC(MAX($P$34*($B213+IF($R$17="Distrato",$I$38-1,0)),IF(AND($L$37=0,$P$34=0),"",$L$37-1),IF($R$17="Distrato",$E213,0)),MIN(T$38,$D$19),$P$20))-SUM($P213:S213)</f>
        <v>#VALUE!</v>
      </c>
      <c r="U213" s="446" t="e">
        <f>IF(OR($B213="",MIN(U$38,$D$19)&lt;MAX($P$34*($B213+IF($R$17="Distrato",$I$38-1,0)),IF(AND($L$37=0,$P$34=0),"",$L$37-1),IF($R$17="Distrato",$E213,0))),0,YEARFRAC(MAX($P$34*($B213+IF($R$17="Distrato",$I$38-1,0)),IF(AND($L$37=0,$P$34=0),"",$L$37-1),IF($R$17="Distrato",$E213,0)),MIN(U$38,$D$19),$P$20))-SUM($P213:T213)</f>
        <v>#VALUE!</v>
      </c>
      <c r="V213" s="446" t="e">
        <f>IF(OR($B213="",MIN(V$38,$D$19)&lt;MAX($P$34*($B213+IF($R$17="Distrato",$I$38-1,0)),IF(AND($L$37=0,$P$34=0),"",$L$37-1),IF($R$17="Distrato",$E213,0))),0,YEARFRAC(MAX($P$34*($B213+IF($R$17="Distrato",$I$38-1,0)),IF(AND($L$37=0,$P$34=0),"",$L$37-1),IF($R$17="Distrato",$E213,0)),MIN(V$38,$D$19),$P$20))-SUM($P213:U213)</f>
        <v>#VALUE!</v>
      </c>
      <c r="W213" s="446" t="e">
        <f>IF(OR($B213="",MIN(W$38,$D$19)&lt;MAX($P$34*($B213+IF($R$17="Distrato",$I$38-1,0)),IF(AND($L$37=0,$P$34=0),"",$L$37-1),IF($R$17="Distrato",$E213,0))),0,YEARFRAC(MAX($P$34*($B213+IF($R$17="Distrato",$I$38-1,0)),IF(AND($L$37=0,$P$34=0),"",$L$37-1),IF($R$17="Distrato",$E213,0)),MIN(W$38,$D$19),$P$20))-SUM($P213:V213)</f>
        <v>#VALUE!</v>
      </c>
      <c r="X213" s="446" t="e">
        <f>IF(OR($B213="",MIN(X$38,$D$19)&lt;MAX($P$34*($B213+IF($R$17="Distrato",$I$38-1,0)),IF(AND($L$37=0,$P$34=0),"",$L$37-1),IF($R$17="Distrato",$E213,0))),0,YEARFRAC(MAX($P$34*($B213+IF($R$17="Distrato",$I$38-1,0)),IF(AND($L$37=0,$P$34=0),"",$L$37-1),IF($R$17="Distrato",$E213,0)),MIN(X$38,$D$19),$P$20))-SUM($P213:W213)</f>
        <v>#VALUE!</v>
      </c>
      <c r="Y213" s="446" t="e">
        <f>IF(OR($B213="",MIN(Y$38,$D$19)&lt;MAX($P$34*($B213+IF($R$17="Distrato",$I$38-1,0)),IF(AND($L$37=0,$P$34=0),"",$L$37-1),IF($R$17="Distrato",$E213,0))),0,YEARFRAC(MAX($P$34*($B213+IF($R$17="Distrato",$I$38-1,0)),IF(AND($L$37=0,$P$34=0),"",$L$37-1),IF($R$17="Distrato",$E213,0)),MIN(Y$38,$D$19),$P$20))-SUM($P213:X213)</f>
        <v>#VALUE!</v>
      </c>
      <c r="Z213" s="446" t="e">
        <f>IF(OR($B213="",MIN(Z$38,$D$19)&lt;MAX($P$34*($B213+IF($R$17="Distrato",$I$38-1,0)),IF(AND($L$37=0,$P$34=0),"",$L$37-1),IF($R$17="Distrato",$E213,0))),0,YEARFRAC(MAX($P$34*($B213+IF($R$17="Distrato",$I$38-1,0)),IF(AND($L$37=0,$P$34=0),"",$L$37-1),IF($R$17="Distrato",$E213,0)),MIN(Z$38,$D$19),$P$20))-SUM($P213:Y213)</f>
        <v>#VALUE!</v>
      </c>
      <c r="AA213" s="446" t="e">
        <f>IF(OR($B213="",MIN(AA$38,$D$19)&lt;MAX($P$34*($B213+IF($R$17="Distrato",$I$38-1,0)),IF(AND($L$37=0,$P$34=0),"",$L$37-1),IF($R$17="Distrato",$E213,0))),0,YEARFRAC(MAX($P$34*($B213+IF($R$17="Distrato",$I$38-1,0)),IF(AND($L$37=0,$P$34=0),"",$L$37-1),IF($R$17="Distrato",$E213,0)),MIN(AA$38,$D$19),$P$20))-SUM($P213:Z213)</f>
        <v>#VALUE!</v>
      </c>
      <c r="AB213" s="446" t="e">
        <f>IF(OR($B213="",MIN(AB$38,$D$19)&lt;MAX($P$34*($B213+IF($R$17="Distrato",$I$38-1,0)),IF(AND($L$37=0,$P$34=0),"",$L$37-1),IF($R$17="Distrato",$E213,0))),0,YEARFRAC(MAX($P$34*($B213+IF($R$17="Distrato",$I$38-1,0)),IF(AND($L$37=0,$P$34=0),"",$L$37-1),IF($R$17="Distrato",$E213,0)),MIN(AB$38,$D$19),$P$20))-SUM($P213:AA213)</f>
        <v>#VALUE!</v>
      </c>
      <c r="AC213" s="446" t="e">
        <f>IF(OR($B213="",MIN(AC$38,$D$19)&lt;MAX($P$34*($B213+IF($R$17="Distrato",$I$38-1,0)),IF(AND($L$37=0,$P$34=0),"",$L$37-1),IF($R$17="Distrato",$E213,0))),0,YEARFRAC(MAX($P$34*($B213+IF($R$17="Distrato",$I$38-1,0)),IF(AND($L$37=0,$P$34=0),"",$L$37-1),IF($R$17="Distrato",$E213,0)),MIN(AC$38,$D$19),$P$20))-SUM($P213:AB213)</f>
        <v>#VALUE!</v>
      </c>
      <c r="AD213" s="446" t="e">
        <f>IF(OR($B213="",MIN(AD$38,$D$19)&lt;MAX($P$34*($B213+IF($R$17="Distrato",$I$38-1,0)),IF(AND($L$37=0,$P$34=0),"",$L$37-1),IF($R$17="Distrato",$E213,0))),0,YEARFRAC(MAX($P$34*($B213+IF($R$17="Distrato",$I$38-1,0)),IF(AND($L$37=0,$P$34=0),"",$L$37-1),IF($R$17="Distrato",$E213,0)),MIN(AD$38,$D$19),$P$20))-SUM($P213:AC213)</f>
        <v>#VALUE!</v>
      </c>
      <c r="AE213" s="446" t="e">
        <f>IF(OR($B213="",MIN(AE$38,$D$19)&lt;MAX($P$34*($B213+IF($R$17="Distrato",$I$38-1,0)),IF(AND($L$37=0,$P$34=0),"",$L$37-1),IF($R$17="Distrato",$E213,0))),0,YEARFRAC(MAX($P$34*($B213+IF($R$17="Distrato",$I$38-1,0)),IF(AND($L$37=0,$P$34=0),"",$L$37-1),IF($R$17="Distrato",$E213,0)),MIN(AE$38,$D$19),$P$20))-SUM($P213:AD213)</f>
        <v>#VALUE!</v>
      </c>
      <c r="AF213" s="446" t="e">
        <f>IF(OR($B213="",MIN(AF$38,$D$19)&lt;MAX($P$34*($B213+IF($R$17="Distrato",$I$38-1,0)),IF(AND($L$37=0,$P$34=0),"",$L$37-1),IF($R$17="Distrato",$E213,0))),0,YEARFRAC(MAX($P$34*($B213+IF($R$17="Distrato",$I$38-1,0)),IF(AND($L$37=0,$P$34=0),"",$L$37-1),IF($R$17="Distrato",$E213,0)),MIN(AF$38,$D$19),$P$20))-SUM($P213:AE213)</f>
        <v>#VALUE!</v>
      </c>
      <c r="AG213" s="446" t="e">
        <f>IF(OR($B213="",MIN(AG$38,$D$19)&lt;MAX($P$34*($B213+IF($R$17="Distrato",$I$38-1,0)),IF(AND($L$37=0,$P$34=0),"",$L$37-1),IF($R$17="Distrato",$E213,0))),0,YEARFRAC(MAX($P$34*($B213+IF($R$17="Distrato",$I$38-1,0)),IF(AND($L$37=0,$P$34=0),"",$L$37-1),IF($R$17="Distrato",$E213,0)),MIN(AG$38,$D$19),$P$20))-SUM($P213:AF213)</f>
        <v>#VALUE!</v>
      </c>
      <c r="AH213" s="446" t="e">
        <f>IF(OR($B213="",MIN(AH$38,$D$19)&lt;MAX($P$34*($B213+IF($R$17="Distrato",$I$38-1,0)),IF(AND($L$37=0,$P$34=0),"",$L$37-1),IF($R$17="Distrato",$E213,0))),0,YEARFRAC(MAX($P$34*($B213+IF($R$17="Distrato",$I$38-1,0)),IF(AND($L$37=0,$P$34=0),"",$L$37-1),IF($R$17="Distrato",$E213,0)),MIN(AH$38,$D$19),$P$20))-SUM($P213:AG213)</f>
        <v>#VALUE!</v>
      </c>
      <c r="AI213" s="446" t="e">
        <f>IF(OR($B213="",MIN(AI$38,$D$19)&lt;MAX($P$34*($B213+IF($R$17="Distrato",$I$38-1,0)),IF(AND($L$37=0,$P$34=0),"",$L$37-1),IF($R$17="Distrato",$E213,0))),0,YEARFRAC(MAX($P$34*($B213+IF($R$17="Distrato",$I$38-1,0)),IF(AND($L$37=0,$P$34=0),"",$L$37-1),IF($R$17="Distrato",$E213,0)),MIN(AI$38,$D$19),$P$20))-SUM($P213:AH213)</f>
        <v>#VALUE!</v>
      </c>
      <c r="AJ213" s="446" t="e">
        <f>IF(OR($B213="",MIN(AJ$38,$D$19)&lt;MAX($P$34*($B213+IF($R$17="Distrato",$I$38-1,0)),IF(AND($L$37=0,$P$34=0),"",$L$37-1),IF($R$17="Distrato",$E213,0))),0,YEARFRAC(MAX($P$34*($B213+IF($R$17="Distrato",$I$38-1,0)),IF(AND($L$37=0,$P$34=0),"",$L$37-1),IF($R$17="Distrato",$E213,0)),MIN(AJ$38,$D$19),$P$20))-SUM($P213:AI213)</f>
        <v>#VALUE!</v>
      </c>
      <c r="AK213" s="446" t="e">
        <f>IF(OR($B213="",MIN(AK$38,$D$19)&lt;MAX($P$34*($B213+IF($R$17="Distrato",$I$38-1,0)),IF(AND($L$37=0,$P$34=0),"",$L$37-1),IF($R$17="Distrato",$E213,0))),0,YEARFRAC(MAX($P$34*($B213+IF($R$17="Distrato",$I$38-1,0)),IF(AND($L$37=0,$P$34=0),"",$L$37-1),IF($R$17="Distrato",$E213,0)),MIN(AK$38,$D$19),$P$20))-SUM($P213:AJ213)</f>
        <v>#VALUE!</v>
      </c>
      <c r="AL213" s="446" t="e">
        <f>IF(OR($B213="",MIN(AL$38,$D$19)&lt;MAX($P$34*($B213+IF($R$17="Distrato",$I$38-1,0)),IF(AND($L$37=0,$P$34=0),"",$L$37-1),IF($R$17="Distrato",$E213,0))),0,YEARFRAC(MAX($P$34*($B213+IF($R$17="Distrato",$I$38-1,0)),IF(AND($L$37=0,$P$34=0),"",$L$37-1),IF($R$17="Distrato",$E213,0)),MIN(AL$38,$D$19),$P$20))-SUM($P213:AK213)</f>
        <v>#VALUE!</v>
      </c>
      <c r="AM213" s="446" t="e">
        <f>IF(OR($B213="",MIN(AM$38,$D$19)&lt;MAX($P$34*($B213+IF($R$17="Distrato",$I$38-1,0)),IF(AND($L$37=0,$P$34=0),"",$L$37-1),IF($R$17="Distrato",$E213,0))),0,YEARFRAC(MAX($P$34*($B213+IF($R$17="Distrato",$I$38-1,0)),IF(AND($L$37=0,$P$34=0),"",$L$37-1),IF($R$17="Distrato",$E213,0)),MIN(AM$38,$D$19),$P$20))-SUM($P213:AL213)</f>
        <v>#VALUE!</v>
      </c>
      <c r="AN213" s="446" t="e">
        <f>IF(OR($B213="",MIN(AN$38,$D$19)&lt;MAX($P$34*($B213+IF($R$17="Distrato",$I$38-1,0)),IF(AND($L$37=0,$P$34=0),"",$L$37-1),IF($R$17="Distrato",$E213,0))),0,YEARFRAC(MAX($P$34*($B213+IF($R$17="Distrato",$I$38-1,0)),IF(AND($L$37=0,$P$34=0),"",$L$37-1),IF($R$17="Distrato",$E213,0)),MIN(AN$38,$D$19),$P$20))-SUM($P213:AM213)</f>
        <v>#VALUE!</v>
      </c>
      <c r="AO213" s="446" t="e">
        <f>IF(OR($B213="",MIN(AO$38,$D$19)&lt;MAX($P$34*($B213+IF($R$17="Distrato",$I$38-1,0)),IF(AND($L$37=0,$P$34=0),"",$L$37-1),IF($R$17="Distrato",$E213,0))),0,YEARFRAC(MAX($P$34*($B213+IF($R$17="Distrato",$I$38-1,0)),IF(AND($L$37=0,$P$34=0),"",$L$37-1),IF($R$17="Distrato",$E213,0)),MIN(AO$38,$D$19),$P$20))-SUM($P213:AN213)</f>
        <v>#VALUE!</v>
      </c>
      <c r="AP213" s="446" t="e">
        <f>IF(OR($B213="",MIN(AP$38,$D$19)&lt;MAX($P$34*($B213+IF($R$17="Distrato",$I$38-1,0)),IF(AND($L$37=0,$P$34=0),"",$L$37-1),IF($R$17="Distrato",$E213,0))),0,YEARFRAC(MAX($P$34*($B213+IF($R$17="Distrato",$I$38-1,0)),IF(AND($L$37=0,$P$34=0),"",$L$37-1),IF($R$17="Distrato",$E213,0)),MIN(AP$38,$D$19),$P$20))-SUM($P213:AO213)</f>
        <v>#VALUE!</v>
      </c>
      <c r="AQ213" s="446" t="e">
        <f>IF(OR($B213="",MIN(AQ$38,$D$19)&lt;MAX($P$34*($B213+IF($R$17="Distrato",$I$38-1,0)),IF(AND($L$37=0,$P$34=0),"",$L$37-1),IF($R$17="Distrato",$E213,0))),0,YEARFRAC(MAX($P$34*($B213+IF($R$17="Distrato",$I$38-1,0)),IF(AND($L$37=0,$P$34=0),"",$L$37-1),IF($R$17="Distrato",$E213,0)),MIN(AQ$38,$D$19),$P$20))-SUM($P213:AP213)</f>
        <v>#VALUE!</v>
      </c>
      <c r="AR213" s="446" t="e">
        <f>IF(OR($B213="",MIN(AR$38,$D$19)&lt;MAX($P$34*($B213+IF($R$17="Distrato",$I$38-1,0)),IF(AND($L$37=0,$P$34=0),"",$L$37-1),IF($R$17="Distrato",$E213,0))),0,YEARFRAC(MAX($P$34*($B213+IF($R$17="Distrato",$I$38-1,0)),IF(AND($L$37=0,$P$34=0),"",$L$37-1),IF($R$17="Distrato",$E213,0)),MIN(AR$38,$D$19),$P$20))-SUM($P213:AQ213)</f>
        <v>#VALUE!</v>
      </c>
      <c r="AS213" s="446" t="e">
        <f>IF(OR($B213="",MIN(AS$38,$D$19)&lt;MAX($P$34*($B213+IF($R$17="Distrato",$I$38-1,0)),IF(AND($L$37=0,$P$34=0),"",$L$37-1),IF($R$17="Distrato",$E213,0))),0,YEARFRAC(MAX($P$34*($B213+IF($R$17="Distrato",$I$38-1,0)),IF(AND($L$37=0,$P$34=0),"",$L$37-1),IF($R$17="Distrato",$E213,0)),MIN(AS$38,$D$19),$P$20))-SUM($P213:AR213)</f>
        <v>#VALUE!</v>
      </c>
      <c r="AT213" s="446" t="e">
        <f>IF(OR($B213="",MIN(AT$38,$D$19)&lt;MAX($P$34*($B213+IF($R$17="Distrato",$I$38-1,0)),IF(AND($L$37=0,$P$34=0),"",$L$37-1),IF($R$17="Distrato",$E213,0))),0,YEARFRAC(MAX($P$34*($B213+IF($R$17="Distrato",$I$38-1,0)),IF(AND($L$37=0,$P$34=0),"",$L$37-1),IF($R$17="Distrato",$E213,0)),MIN(AT$38,$D$19),$P$20))-SUM($P213:AS213)</f>
        <v>#VALUE!</v>
      </c>
      <c r="AU213" s="446" t="e">
        <f>IF(OR($B213="",MIN(AU$38,$D$19)&lt;MAX($P$34*($B213+IF($R$17="Distrato",$I$38-1,0)),IF(AND($L$37=0,$P$34=0),"",$L$37-1),IF($R$17="Distrato",$E213,0))),0,YEARFRAC(MAX($P$34*($B213+IF($R$17="Distrato",$I$38-1,0)),IF(AND($L$37=0,$P$34=0),"",$L$37-1),IF($R$17="Distrato",$E213,0)),MIN(AU$38,$D$19),$P$20))-SUM($P213:AT213)</f>
        <v>#VALUE!</v>
      </c>
      <c r="AV213" s="446" t="e">
        <f>IF(OR($B213="",MIN(AV$38,$D$19)&lt;MAX($P$34*($B213+IF($R$17="Distrato",$I$38-1,0)),IF(AND($L$37=0,$P$34=0),"",$L$37-1),IF($R$17="Distrato",$E213,0))),0,YEARFRAC(MAX($P$34*($B213+IF($R$17="Distrato",$I$38-1,0)),IF(AND($L$37=0,$P$34=0),"",$L$37-1),IF($R$17="Distrato",$E213,0)),MIN(AV$38,$D$19),$P$20))-SUM($P213:AU213)</f>
        <v>#VALUE!</v>
      </c>
      <c r="AW213" s="446" t="e">
        <f>IF(OR($B213="",MIN(AW$38,$D$19)&lt;MAX($P$34*($B213+IF($R$17="Distrato",$I$38-1,0)),IF(AND($L$37=0,$P$34=0),"",$L$37-1),IF($R$17="Distrato",$E213,0))),0,YEARFRAC(MAX($P$34*($B213+IF($R$17="Distrato",$I$38-1,0)),IF(AND($L$37=0,$P$34=0),"",$L$37-1),IF($R$17="Distrato",$E213,0)),MIN(AW$38,$D$19),$P$20))-SUM($P213:AV213)</f>
        <v>#VALUE!</v>
      </c>
      <c r="AX213" s="446" t="e">
        <f>IF(OR($B213="",MIN(AX$38,$D$19)&lt;MAX($P$34*($B213+IF($R$17="Distrato",$I$38-1,0)),IF(AND($L$37=0,$P$34=0),"",$L$37-1),IF($R$17="Distrato",$E213,0))),0,YEARFRAC(MAX($P$34*($B213+IF($R$17="Distrato",$I$38-1,0)),IF(AND($L$37=0,$P$34=0),"",$L$37-1),IF($R$17="Distrato",$E213,0)),MIN(AX$38,$D$19),$P$20))-SUM($P213:AW213)</f>
        <v>#VALUE!</v>
      </c>
      <c r="AY213" s="446" t="e">
        <f>IF(OR($B213="",MIN(AY$38,$D$19)&lt;MAX($P$34*($B213+IF($R$17="Distrato",$I$38-1,0)),IF(AND($L$37=0,$P$34=0),"",$L$37-1),IF($R$17="Distrato",$E213,0))),0,YEARFRAC(MAX($P$34*($B213+IF($R$17="Distrato",$I$38-1,0)),IF(AND($L$37=0,$P$34=0),"",$L$37-1),IF($R$17="Distrato",$E213,0)),MIN(AY$38,$D$19),$P$20))-SUM($P213:AX213)</f>
        <v>#VALUE!</v>
      </c>
      <c r="AZ213" s="446" t="e">
        <f>IF(OR($B213="",MIN(AZ$38,$D$19)&lt;MAX($P$34*($B213+IF($R$17="Distrato",$I$38-1,0)),IF(AND($L$37=0,$P$34=0),"",$L$37-1),IF($R$17="Distrato",$E213,0))),0,YEARFRAC(MAX($P$34*($B213+IF($R$17="Distrato",$I$38-1,0)),IF(AND($L$37=0,$P$34=0),"",$L$37-1),IF($R$17="Distrato",$E213,0)),MIN(AZ$38,$D$19),$P$20))-SUM($P213:AY213)</f>
        <v>#VALUE!</v>
      </c>
      <c r="BA213" s="446" t="e">
        <f>IF(OR($B213="",MIN(BA$38,$D$19)&lt;MAX($P$34*($B213+IF($R$17="Distrato",$I$38-1,0)),IF(AND($L$37=0,$P$34=0),"",$L$37-1),IF($R$17="Distrato",$E213,0))),0,YEARFRAC(MAX($P$34*($B213+IF($R$17="Distrato",$I$38-1,0)),IF(AND($L$37=0,$P$34=0),"",$L$37-1),IF($R$17="Distrato",$E213,0)),MIN(BA$38,$D$19),$P$20))-SUM($P213:AZ213)</f>
        <v>#VALUE!</v>
      </c>
      <c r="BB213" s="447"/>
      <c r="BF213" s="446">
        <f t="shared" si="32"/>
        <v>0</v>
      </c>
      <c r="BG213" s="446">
        <f>IF($E213=0,0,IF(MIN(BG$38,$E213)&lt;MAX($P$34*($B213+$I$38-1),IF(AND($L$37=0,$P$34=0),"",$L$37-1)),0,YEARFRAC(MAX($P$34*($B213+$I$38-1),IF(AND($L$37=0,$P$34=0),"",$L$37-1)),MIN(BG$38,$E213),$P$20))-SUM($BF213:BF213))</f>
        <v>0</v>
      </c>
      <c r="BH213" s="446">
        <f>IF($E213=0,0,IF(MIN(BH$38,$E213)&lt;MAX($P$34*($B213+$I$38-1),IF(AND($L$37=0,$P$34=0),"",$L$37-1)),0,YEARFRAC(MAX($P$34*($B213+$I$38-1),IF(AND($L$37=0,$P$34=0),"",$L$37-1)),MIN(BH$38,$E213),$P$20))-SUM($BF213:BG213))</f>
        <v>0</v>
      </c>
      <c r="BI213" s="446">
        <f>IF($E213=0,0,IF(MIN(BI$38,$E213)&lt;MAX($P$34*($B213+$I$38-1),IF(AND($L$37=0,$P$34=0),"",$L$37-1)),0,YEARFRAC(MAX($P$34*($B213+$I$38-1),IF(AND($L$37=0,$P$34=0),"",$L$37-1)),MIN(BI$38,$E213),$P$20))-SUM($BF213:BH213))</f>
        <v>0</v>
      </c>
      <c r="BJ213" s="446">
        <f>IF($E213=0,0,IF(MIN(BJ$38,$E213)&lt;MAX($P$34*($B213+$I$38-1),IF(AND($L$37=0,$P$34=0),"",$L$37-1)),0,YEARFRAC(MAX($P$34*($B213+$I$38-1),IF(AND($L$37=0,$P$34=0),"",$L$37-1)),MIN(BJ$38,$E213),$P$20))-SUM($BF213:BI213))</f>
        <v>0</v>
      </c>
      <c r="BK213" s="446">
        <f>IF($E213=0,0,IF(MIN(BK$38,$E213)&lt;MAX($P$34*($B213+$I$38-1),IF(AND($L$37=0,$P$34=0),"",$L$37-1)),0,YEARFRAC(MAX($P$34*($B213+$I$38-1),IF(AND($L$37=0,$P$34=0),"",$L$37-1)),MIN(BK$38,$E213),$P$20))-SUM($BF213:BJ213))</f>
        <v>0</v>
      </c>
      <c r="BL213" s="446">
        <f>IF($E213=0,0,IF(MIN(BL$38,$E213)&lt;MAX($P$34*($B213+$I$38-1),IF(AND($L$37=0,$P$34=0),"",$L$37-1)),0,YEARFRAC(MAX($P$34*($B213+$I$38-1),IF(AND($L$37=0,$P$34=0),"",$L$37-1)),MIN(BL$38,$E213),$P$20))-SUM($BF213:BK213))</f>
        <v>0</v>
      </c>
      <c r="BM213" s="446">
        <f>IF($E213=0,0,IF(MIN(BM$38,$E213)&lt;MAX($P$34*($B213+$I$38-1),IF(AND($L$37=0,$P$34=0),"",$L$37-1)),0,YEARFRAC(MAX($P$34*($B213+$I$38-1),IF(AND($L$37=0,$P$34=0),"",$L$37-1)),MIN(BM$38,$E213),$P$20))-SUM($BF213:BL213))</f>
        <v>0</v>
      </c>
      <c r="BN213" s="446">
        <f>IF($E213=0,0,IF(MIN(BN$38,$E213)&lt;MAX($P$34*($B213+$I$38-1),IF(AND($L$37=0,$P$34=0),"",$L$37-1)),0,YEARFRAC(MAX($P$34*($B213+$I$38-1),IF(AND($L$37=0,$P$34=0),"",$L$37-1)),MIN(BN$38,$E213),$P$20))-SUM($BF213:BM213))</f>
        <v>0</v>
      </c>
      <c r="BO213" s="446">
        <f>IF($E213=0,0,IF(MIN(BO$38,$E213)&lt;MAX($P$34*($B213+$I$38-1),IF(AND($L$37=0,$P$34=0),"",$L$37-1)),0,YEARFRAC(MAX($P$34*($B213+$I$38-1),IF(AND($L$37=0,$P$34=0),"",$L$37-1)),MIN(BO$38,$E213),$P$20))-SUM($BF213:BN213))</f>
        <v>0</v>
      </c>
      <c r="BP213" s="446">
        <f>IF($E213=0,0,IF(MIN(BP$38,$E213)&lt;MAX($P$34*($B213+$I$38-1),IF(AND($L$37=0,$P$34=0),"",$L$37-1)),0,YEARFRAC(MAX($P$34*($B213+$I$38-1),IF(AND($L$37=0,$P$34=0),"",$L$37-1)),MIN(BP$38,$E213),$P$20))-SUM($BF213:BO213))</f>
        <v>0</v>
      </c>
      <c r="BQ213" s="446">
        <f>IF($E213=0,0,IF(MIN(BQ$38,$E213)&lt;MAX($P$34*($B213+$I$38-1),IF(AND($L$37=0,$P$34=0),"",$L$37-1)),0,YEARFRAC(MAX($P$34*($B213+$I$38-1),IF(AND($L$37=0,$P$34=0),"",$L$37-1)),MIN(BQ$38,$E213),$P$20))-SUM($BF213:BP213))</f>
        <v>0</v>
      </c>
      <c r="BR213" s="446">
        <f>IF($E213=0,0,IF(MIN(BR$38,$E213)&lt;MAX($P$34*($B213+$I$38-1),IF(AND($L$37=0,$P$34=0),"",$L$37-1)),0,YEARFRAC(MAX($P$34*($B213+$I$38-1),IF(AND($L$37=0,$P$34=0),"",$L$37-1)),MIN(BR$38,$E213),$P$20))-SUM($BF213:BQ213))</f>
        <v>0</v>
      </c>
      <c r="BS213" s="446">
        <f>IF($E213=0,0,IF(MIN(BS$38,$E213)&lt;MAX($P$34*($B213+$I$38-1),IF(AND($L$37=0,$P$34=0),"",$L$37-1)),0,YEARFRAC(MAX($P$34*($B213+$I$38-1),IF(AND($L$37=0,$P$34=0),"",$L$37-1)),MIN(BS$38,$E213),$P$20))-SUM($BF213:BR213))</f>
        <v>0</v>
      </c>
      <c r="BT213" s="446">
        <f>IF($E213=0,0,IF(MIN(BT$38,$E213)&lt;MAX($P$34*($B213+$I$38-1),IF(AND($L$37=0,$P$34=0),"",$L$37-1)),0,YEARFRAC(MAX($P$34*($B213+$I$38-1),IF(AND($L$37=0,$P$34=0),"",$L$37-1)),MIN(BT$38,$E213),$P$20))-SUM($BF213:BS213))</f>
        <v>0</v>
      </c>
      <c r="BU213" s="446">
        <f>IF($E213=0,0,IF(MIN(BU$38,$E213)&lt;MAX($P$34*($B213+$I$38-1),IF(AND($L$37=0,$P$34=0),"",$L$37-1)),0,YEARFRAC(MAX($P$34*($B213+$I$38-1),IF(AND($L$37=0,$P$34=0),"",$L$37-1)),MIN(BU$38,$E213),$P$20))-SUM($BF213:BT213))</f>
        <v>0</v>
      </c>
      <c r="BV213" s="446">
        <f>IF($E213=0,0,IF(MIN(BV$38,$E213)&lt;MAX($P$34*($B213+$I$38-1),IF(AND($L$37=0,$P$34=0),"",$L$37-1)),0,YEARFRAC(MAX($P$34*($B213+$I$38-1),IF(AND($L$37=0,$P$34=0),"",$L$37-1)),MIN(BV$38,$E213),$P$20))-SUM($BF213:BU213))</f>
        <v>0</v>
      </c>
      <c r="BW213" s="446">
        <f>IF($E213=0,0,IF(MIN(BW$38,$E213)&lt;MAX($P$34*($B213+$I$38-1),IF(AND($L$37=0,$P$34=0),"",$L$37-1)),0,YEARFRAC(MAX($P$34*($B213+$I$38-1),IF(AND($L$37=0,$P$34=0),"",$L$37-1)),MIN(BW$38,$E213),$P$20))-SUM($BF213:BV213))</f>
        <v>0</v>
      </c>
      <c r="BX213" s="446">
        <f>IF($E213=0,0,IF(MIN(BX$38,$E213)&lt;MAX($P$34*($B213+$I$38-1),IF(AND($L$37=0,$P$34=0),"",$L$37-1)),0,YEARFRAC(MAX($P$34*($B213+$I$38-1),IF(AND($L$37=0,$P$34=0),"",$L$37-1)),MIN(BX$38,$E213),$P$20))-SUM($BF213:BW213))</f>
        <v>0</v>
      </c>
      <c r="BY213" s="446">
        <f>IF($E213=0,0,IF(MIN(BY$38,$E213)&lt;MAX($P$34*($B213+$I$38-1),IF(AND($L$37=0,$P$34=0),"",$L$37-1)),0,YEARFRAC(MAX($P$34*($B213+$I$38-1),IF(AND($L$37=0,$P$34=0),"",$L$37-1)),MIN(BY$38,$E213),$P$20))-SUM($BF213:BX213))</f>
        <v>0</v>
      </c>
      <c r="BZ213" s="446">
        <f>IF($E213=0,0,IF(MIN(BZ$38,$E213)&lt;MAX($P$34*($B213+$I$38-1),IF(AND($L$37=0,$P$34=0),"",$L$37-1)),0,YEARFRAC(MAX($P$34*($B213+$I$38-1),IF(AND($L$37=0,$P$34=0),"",$L$37-1)),MIN(BZ$38,$E213),$P$20))-SUM($BF213:BY213))</f>
        <v>0</v>
      </c>
      <c r="CA213" s="446">
        <f>IF($E213=0,0,IF(MIN(CA$38,$E213)&lt;MAX($P$34*($B213+$I$38-1),IF(AND($L$37=0,$P$34=0),"",$L$37-1)),0,YEARFRAC(MAX($P$34*($B213+$I$38-1),IF(AND($L$37=0,$P$34=0),"",$L$37-1)),MIN(CA$38,$E213),$P$20))-SUM($BF213:BZ213))</f>
        <v>0</v>
      </c>
      <c r="CB213" s="446">
        <f>IF($E213=0,0,IF(MIN(CB$38,$E213)&lt;MAX($P$34*($B213+$I$38-1),IF(AND($L$37=0,$P$34=0),"",$L$37-1)),0,YEARFRAC(MAX($P$34*($B213+$I$38-1),IF(AND($L$37=0,$P$34=0),"",$L$37-1)),MIN(CB$38,$E213),$P$20))-SUM($BF213:CA213))</f>
        <v>0</v>
      </c>
      <c r="CC213" s="446">
        <f>IF($E213=0,0,IF(MIN(CC$38,$E213)&lt;MAX($P$34*($B213+$I$38-1),IF(AND($L$37=0,$P$34=0),"",$L$37-1)),0,YEARFRAC(MAX($P$34*($B213+$I$38-1),IF(AND($L$37=0,$P$34=0),"",$L$37-1)),MIN(CC$38,$E213),$P$20))-SUM($BF213:CB213))</f>
        <v>0</v>
      </c>
      <c r="CD213" s="446">
        <f>IF($E213=0,0,IF(MIN(CD$38,$E213)&lt;MAX($P$34*($B213+$I$38-1),IF(AND($L$37=0,$P$34=0),"",$L$37-1)),0,YEARFRAC(MAX($P$34*($B213+$I$38-1),IF(AND($L$37=0,$P$34=0),"",$L$37-1)),MIN(CD$38,$E213),$P$20))-SUM($BF213:CC213))</f>
        <v>0</v>
      </c>
      <c r="CE213" s="446">
        <f>IF($E213=0,0,IF(MIN(CE$38,$E213)&lt;MAX($P$34*($B213+$I$38-1),IF(AND($L$37=0,$P$34=0),"",$L$37-1)),0,YEARFRAC(MAX($P$34*($B213+$I$38-1),IF(AND($L$37=0,$P$34=0),"",$L$37-1)),MIN(CE$38,$E213),$P$20))-SUM($BF213:CD213))</f>
        <v>0</v>
      </c>
      <c r="CF213" s="446">
        <f>IF($E213=0,0,IF(MIN(CF$38,$E213)&lt;MAX($P$34*($B213+$I$38-1),IF(AND($L$37=0,$P$34=0),"",$L$37-1)),0,YEARFRAC(MAX($P$34*($B213+$I$38-1),IF(AND($L$37=0,$P$34=0),"",$L$37-1)),MIN(CF$38,$E213),$P$20))-SUM($BF213:CE213))</f>
        <v>0</v>
      </c>
      <c r="CG213" s="446">
        <f>IF($E213=0,0,IF(MIN(CG$38,$E213)&lt;MAX($P$34*($B213+$I$38-1),IF(AND($L$37=0,$P$34=0),"",$L$37-1)),0,YEARFRAC(MAX($P$34*($B213+$I$38-1),IF(AND($L$37=0,$P$34=0),"",$L$37-1)),MIN(CG$38,$E213),$P$20))-SUM($BF213:CF213))</f>
        <v>0</v>
      </c>
      <c r="CH213" s="446">
        <f>IF($E213=0,0,IF(MIN(CH$38,$E213)&lt;MAX($P$34*($B213+$I$38-1),IF(AND($L$37=0,$P$34=0),"",$L$37-1)),0,YEARFRAC(MAX($P$34*($B213+$I$38-1),IF(AND($L$37=0,$P$34=0),"",$L$37-1)),MIN(CH$38,$E213),$P$20))-SUM($BF213:CG213))</f>
        <v>0</v>
      </c>
      <c r="CI213" s="446">
        <f>IF($E213=0,0,IF(MIN(CI$38,$E213)&lt;MAX($P$34*($B213+$I$38-1),IF(AND($L$37=0,$P$34=0),"",$L$37-1)),0,YEARFRAC(MAX($P$34*($B213+$I$38-1),IF(AND($L$37=0,$P$34=0),"",$L$37-1)),MIN(CI$38,$E213),$P$20))-SUM($BF213:CH213))</f>
        <v>0</v>
      </c>
      <c r="CJ213" s="446">
        <f>IF($E213=0,0,IF(MIN(CJ$38,$E213)&lt;MAX($P$34*($B213+$I$38-1),IF(AND($L$37=0,$P$34=0),"",$L$37-1)),0,YEARFRAC(MAX($P$34*($B213+$I$38-1),IF(AND($L$37=0,$P$34=0),"",$L$37-1)),MIN(CJ$38,$E213),$P$20))-SUM($BF213:CI213))</f>
        <v>0</v>
      </c>
      <c r="CK213" s="446">
        <f>IF($E213=0,0,IF(MIN(CK$38,$E213)&lt;MAX($P$34*($B213+$I$38-1),IF(AND($L$37=0,$P$34=0),"",$L$37-1)),0,YEARFRAC(MAX($P$34*($B213+$I$38-1),IF(AND($L$37=0,$P$34=0),"",$L$37-1)),MIN(CK$38,$E213),$P$20))-SUM($BF213:CJ213))</f>
        <v>0</v>
      </c>
      <c r="CL213" s="446">
        <f>IF($E213=0,0,IF(MIN(CL$38,$E213)&lt;MAX($P$34*($B213+$I$38-1),IF(AND($L$37=0,$P$34=0),"",$L$37-1)),0,YEARFRAC(MAX($P$34*($B213+$I$38-1),IF(AND($L$37=0,$P$34=0),"",$L$37-1)),MIN(CL$38,$E213),$P$20))-SUM($BF213:CK213))</f>
        <v>0</v>
      </c>
      <c r="CM213" s="446">
        <f>IF($E213=0,0,IF(MIN(CM$38,$E213)&lt;MAX($P$34*($B213+$I$38-1),IF(AND($L$37=0,$P$34=0),"",$L$37-1)),0,YEARFRAC(MAX($P$34*($B213+$I$38-1),IF(AND($L$37=0,$P$34=0),"",$L$37-1)),MIN(CM$38,$E213),$P$20))-SUM($BF213:CL213))</f>
        <v>0</v>
      </c>
      <c r="CN213" s="446">
        <f>IF($E213=0,0,IF(MIN(CN$38,$E213)&lt;MAX($P$34*($B213+$I$38-1),IF(AND($L$37=0,$P$34=0),"",$L$37-1)),0,YEARFRAC(MAX($P$34*($B213+$I$38-1),IF(AND($L$37=0,$P$34=0),"",$L$37-1)),MIN(CN$38,$E213),$P$20))-SUM($BF213:CM213))</f>
        <v>0</v>
      </c>
      <c r="CO213" s="446">
        <f>IF($E213=0,0,IF(MIN(CO$38,$E213)&lt;MAX($P$34*($B213+$I$38-1),IF(AND($L$37=0,$P$34=0),"",$L$37-1)),0,YEARFRAC(MAX($P$34*($B213+$I$38-1),IF(AND($L$37=0,$P$34=0),"",$L$37-1)),MIN(CO$38,$E213),$P$20))-SUM($BF213:CN213))</f>
        <v>0</v>
      </c>
      <c r="CP213" s="446">
        <f>IF($E213=0,0,IF(MIN(CP$38,$E213)&lt;MAX($P$34*($B213+$I$38-1),IF(AND($L$37=0,$P$34=0),"",$L$37-1)),0,YEARFRAC(MAX($P$34*($B213+$I$38-1),IF(AND($L$37=0,$P$34=0),"",$L$37-1)),MIN(CP$38,$E213),$P$20))-SUM($BF213:CO213))</f>
        <v>0</v>
      </c>
      <c r="CQ213" s="446">
        <f>IF($E213=0,0,IF(MIN(CQ$38,$E213)&lt;MAX($P$34*($B213+$I$38-1),IF(AND($L$37=0,$P$34=0),"",$L$37-1)),0,YEARFRAC(MAX($P$34*($B213+$I$38-1),IF(AND($L$37=0,$P$34=0),"",$L$37-1)),MIN(CQ$38,$E213),$P$20))-SUM($BF213:CP213))</f>
        <v>0</v>
      </c>
    </row>
    <row r="214" spans="1:95" s="446" customFormat="1" ht="11.25" hidden="1" customHeight="1" x14ac:dyDescent="0.2">
      <c r="A214" s="152"/>
      <c r="B214" s="153" t="str">
        <f t="shared" si="37"/>
        <v/>
      </c>
      <c r="C214" s="29" t="str">
        <f>IF(B214="","",IF($L$35="SELIC - TRIBUTOS",VLOOKUP(DATE(YEAR($D$19),MONTH($D$19)-1,1),ÍNDICES!$A:$DE,HLOOKUP($BL$25,ÍNDICES!$B$3:$T$4,2)+11)-VLOOKUP(B214,ÍNDICES!$A:$DE,HLOOKUP($BL$25,ÍNDICES!$B$3:$T$4,2)+11)+1%,IF(C$38=$W$26,$J$35,IF(ISERROR(IF(B214&gt;$D$19,1,VLOOKUP(DATE(YEAR(B214),MONTH(B214)+IF($C$35=$S$23,1,0),1),ÍNDICES!$A:$DE,$Z$35+1))),"",IF(B214&gt;$D$19,1,VLOOKUP(DATE(YEAR(B214),MONTH(B214)+IF($C$35=$S$23,1,0),1),ÍNDICES!$A:$DE,$Z$35+1))))))</f>
        <v/>
      </c>
      <c r="D214" s="154" t="str">
        <f>IF(ISERROR(IF(OR($D$38=$Y$27,$B214=""),"",VLOOKUP(B214,ÍNDICES!A:DE,AF$35+1))),"",IF(OR($D$38=$Y$27,$B214=""),"",VLOOKUP(B214,ÍNDICES!A:DE,AF$35+1)))</f>
        <v/>
      </c>
      <c r="E214" s="153"/>
      <c r="F214" s="29" t="str">
        <f>IF(E214="","",IF($L$35="SELIC - TRIBUTOS",VLOOKUP(DATE(YEAR($D$19),MONTH($D$19)-1,1),ÍNDICES!$A:$DE,HLOOKUP($BL$25,ÍNDICES!$B$3:$T$4,2)+11)-VLOOKUP(E214,ÍNDICES!$A:$DE,HLOOKUP($BL$25,ÍNDICES!$B$3:$T$4,2)+11)+1%,IF(F$38=$W$26,$J$35,IF(ISERROR(IF(E214&gt;$D$19,1,VLOOKUP(DATE(YEAR(E214),MONTH(E214)+IF($C$35=$S$23,1,0),1),ÍNDICES!$A:$DE,$Z$35+1))),"",IF(E214&gt;$D$19,1,VLOOKUP(DATE(YEAR(E214),MONTH(E214)+IF($C$35=$S$23,1,0),1),ÍNDICES!$A:$DE,$Z$35+1))))))</f>
        <v/>
      </c>
      <c r="G214" s="155"/>
      <c r="H214" s="156" t="str">
        <f t="shared" si="33"/>
        <v/>
      </c>
      <c r="I214" s="29" t="str">
        <f t="shared" si="27"/>
        <v/>
      </c>
      <c r="J214" s="5">
        <f t="shared" si="28"/>
        <v>0</v>
      </c>
      <c r="K214" s="20">
        <f t="shared" ca="1" si="29"/>
        <v>0</v>
      </c>
      <c r="L214" s="5">
        <f t="shared" ca="1" si="30"/>
        <v>0</v>
      </c>
      <c r="M214" s="64">
        <f t="shared" si="34"/>
        <v>0</v>
      </c>
      <c r="N214" s="61">
        <f t="shared" ca="1" si="35"/>
        <v>0</v>
      </c>
      <c r="O214" s="5">
        <f t="shared" ca="1" si="36"/>
        <v>0</v>
      </c>
      <c r="P214" s="446" t="e">
        <f t="shared" si="31"/>
        <v>#VALUE!</v>
      </c>
      <c r="Q214" s="446" t="e">
        <f>IF(OR($B214="",MIN(Q$38,$D$19)&lt;MAX($P$34*($B214+IF($R$17="Distrato",$I$38-1,0)),IF(AND($L$37=0,$P$34=0),"",$L$37-1),IF($R$17="Distrato",$E214,0))),0,YEARFRAC(MAX($P$34*($B214+IF($R$17="Distrato",$I$38-1,0)),IF(AND($L$37=0,$P$34=0),"",$L$37-1),IF($R$17="Distrato",$E214,0)),MIN(Q$38,$D$19),$P$20))-SUM($P214:P214)</f>
        <v>#VALUE!</v>
      </c>
      <c r="R214" s="446" t="e">
        <f>IF(OR($B214="",MIN(R$38,$D$19)&lt;MAX($P$34*($B214+IF($R$17="Distrato",$I$38-1,0)),IF(AND($L$37=0,$P$34=0),"",$L$37-1),IF($R$17="Distrato",$E214,0))),0,YEARFRAC(MAX($P$34*($B214+IF($R$17="Distrato",$I$38-1,0)),IF(AND($L$37=0,$P$34=0),"",$L$37-1),IF($R$17="Distrato",$E214,0)),MIN(R$38,$D$19),$P$20))-SUM($P214:Q214)</f>
        <v>#VALUE!</v>
      </c>
      <c r="S214" s="446" t="e">
        <f>IF(OR($B214="",MIN(S$38,$D$19)&lt;MAX($P$34*($B214+IF($R$17="Distrato",$I$38-1,0)),IF(AND($L$37=0,$P$34=0),"",$L$37-1),IF($R$17="Distrato",$E214,0))),0,YEARFRAC(MAX($P$34*($B214+IF($R$17="Distrato",$I$38-1,0)),IF(AND($L$37=0,$P$34=0),"",$L$37-1),IF($R$17="Distrato",$E214,0)),MIN(S$38,$D$19),$P$20))-SUM($P214:R214)</f>
        <v>#VALUE!</v>
      </c>
      <c r="T214" s="446" t="e">
        <f>IF(OR($B214="",MIN(T$38,$D$19)&lt;MAX($P$34*($B214+IF($R$17="Distrato",$I$38-1,0)),IF(AND($L$37=0,$P$34=0),"",$L$37-1),IF($R$17="Distrato",$E214,0))),0,YEARFRAC(MAX($P$34*($B214+IF($R$17="Distrato",$I$38-1,0)),IF(AND($L$37=0,$P$34=0),"",$L$37-1),IF($R$17="Distrato",$E214,0)),MIN(T$38,$D$19),$P$20))-SUM($P214:S214)</f>
        <v>#VALUE!</v>
      </c>
      <c r="U214" s="446" t="e">
        <f>IF(OR($B214="",MIN(U$38,$D$19)&lt;MAX($P$34*($B214+IF($R$17="Distrato",$I$38-1,0)),IF(AND($L$37=0,$P$34=0),"",$L$37-1),IF($R$17="Distrato",$E214,0))),0,YEARFRAC(MAX($P$34*($B214+IF($R$17="Distrato",$I$38-1,0)),IF(AND($L$37=0,$P$34=0),"",$L$37-1),IF($R$17="Distrato",$E214,0)),MIN(U$38,$D$19),$P$20))-SUM($P214:T214)</f>
        <v>#VALUE!</v>
      </c>
      <c r="V214" s="446" t="e">
        <f>IF(OR($B214="",MIN(V$38,$D$19)&lt;MAX($P$34*($B214+IF($R$17="Distrato",$I$38-1,0)),IF(AND($L$37=0,$P$34=0),"",$L$37-1),IF($R$17="Distrato",$E214,0))),0,YEARFRAC(MAX($P$34*($B214+IF($R$17="Distrato",$I$38-1,0)),IF(AND($L$37=0,$P$34=0),"",$L$37-1),IF($R$17="Distrato",$E214,0)),MIN(V$38,$D$19),$P$20))-SUM($P214:U214)</f>
        <v>#VALUE!</v>
      </c>
      <c r="W214" s="446" t="e">
        <f>IF(OR($B214="",MIN(W$38,$D$19)&lt;MAX($P$34*($B214+IF($R$17="Distrato",$I$38-1,0)),IF(AND($L$37=0,$P$34=0),"",$L$37-1),IF($R$17="Distrato",$E214,0))),0,YEARFRAC(MAX($P$34*($B214+IF($R$17="Distrato",$I$38-1,0)),IF(AND($L$37=0,$P$34=0),"",$L$37-1),IF($R$17="Distrato",$E214,0)),MIN(W$38,$D$19),$P$20))-SUM($P214:V214)</f>
        <v>#VALUE!</v>
      </c>
      <c r="X214" s="446" t="e">
        <f>IF(OR($B214="",MIN(X$38,$D$19)&lt;MAX($P$34*($B214+IF($R$17="Distrato",$I$38-1,0)),IF(AND($L$37=0,$P$34=0),"",$L$37-1),IF($R$17="Distrato",$E214,0))),0,YEARFRAC(MAX($P$34*($B214+IF($R$17="Distrato",$I$38-1,0)),IF(AND($L$37=0,$P$34=0),"",$L$37-1),IF($R$17="Distrato",$E214,0)),MIN(X$38,$D$19),$P$20))-SUM($P214:W214)</f>
        <v>#VALUE!</v>
      </c>
      <c r="Y214" s="446" t="e">
        <f>IF(OR($B214="",MIN(Y$38,$D$19)&lt;MAX($P$34*($B214+IF($R$17="Distrato",$I$38-1,0)),IF(AND($L$37=0,$P$34=0),"",$L$37-1),IF($R$17="Distrato",$E214,0))),0,YEARFRAC(MAX($P$34*($B214+IF($R$17="Distrato",$I$38-1,0)),IF(AND($L$37=0,$P$34=0),"",$L$37-1),IF($R$17="Distrato",$E214,0)),MIN(Y$38,$D$19),$P$20))-SUM($P214:X214)</f>
        <v>#VALUE!</v>
      </c>
      <c r="Z214" s="446" t="e">
        <f>IF(OR($B214="",MIN(Z$38,$D$19)&lt;MAX($P$34*($B214+IF($R$17="Distrato",$I$38-1,0)),IF(AND($L$37=0,$P$34=0),"",$L$37-1),IF($R$17="Distrato",$E214,0))),0,YEARFRAC(MAX($P$34*($B214+IF($R$17="Distrato",$I$38-1,0)),IF(AND($L$37=0,$P$34=0),"",$L$37-1),IF($R$17="Distrato",$E214,0)),MIN(Z$38,$D$19),$P$20))-SUM($P214:Y214)</f>
        <v>#VALUE!</v>
      </c>
      <c r="AA214" s="446" t="e">
        <f>IF(OR($B214="",MIN(AA$38,$D$19)&lt;MAX($P$34*($B214+IF($R$17="Distrato",$I$38-1,0)),IF(AND($L$37=0,$P$34=0),"",$L$37-1),IF($R$17="Distrato",$E214,0))),0,YEARFRAC(MAX($P$34*($B214+IF($R$17="Distrato",$I$38-1,0)),IF(AND($L$37=0,$P$34=0),"",$L$37-1),IF($R$17="Distrato",$E214,0)),MIN(AA$38,$D$19),$P$20))-SUM($P214:Z214)</f>
        <v>#VALUE!</v>
      </c>
      <c r="AB214" s="446" t="e">
        <f>IF(OR($B214="",MIN(AB$38,$D$19)&lt;MAX($P$34*($B214+IF($R$17="Distrato",$I$38-1,0)),IF(AND($L$37=0,$P$34=0),"",$L$37-1),IF($R$17="Distrato",$E214,0))),0,YEARFRAC(MAX($P$34*($B214+IF($R$17="Distrato",$I$38-1,0)),IF(AND($L$37=0,$P$34=0),"",$L$37-1),IF($R$17="Distrato",$E214,0)),MIN(AB$38,$D$19),$P$20))-SUM($P214:AA214)</f>
        <v>#VALUE!</v>
      </c>
      <c r="AC214" s="446" t="e">
        <f>IF(OR($B214="",MIN(AC$38,$D$19)&lt;MAX($P$34*($B214+IF($R$17="Distrato",$I$38-1,0)),IF(AND($L$37=0,$P$34=0),"",$L$37-1),IF($R$17="Distrato",$E214,0))),0,YEARFRAC(MAX($P$34*($B214+IF($R$17="Distrato",$I$38-1,0)),IF(AND($L$37=0,$P$34=0),"",$L$37-1),IF($R$17="Distrato",$E214,0)),MIN(AC$38,$D$19),$P$20))-SUM($P214:AB214)</f>
        <v>#VALUE!</v>
      </c>
      <c r="AD214" s="446" t="e">
        <f>IF(OR($B214="",MIN(AD$38,$D$19)&lt;MAX($P$34*($B214+IF($R$17="Distrato",$I$38-1,0)),IF(AND($L$37=0,$P$34=0),"",$L$37-1),IF($R$17="Distrato",$E214,0))),0,YEARFRAC(MAX($P$34*($B214+IF($R$17="Distrato",$I$38-1,0)),IF(AND($L$37=0,$P$34=0),"",$L$37-1),IF($R$17="Distrato",$E214,0)),MIN(AD$38,$D$19),$P$20))-SUM($P214:AC214)</f>
        <v>#VALUE!</v>
      </c>
      <c r="AE214" s="446" t="e">
        <f>IF(OR($B214="",MIN(AE$38,$D$19)&lt;MAX($P$34*($B214+IF($R$17="Distrato",$I$38-1,0)),IF(AND($L$37=0,$P$34=0),"",$L$37-1),IF($R$17="Distrato",$E214,0))),0,YEARFRAC(MAX($P$34*($B214+IF($R$17="Distrato",$I$38-1,0)),IF(AND($L$37=0,$P$34=0),"",$L$37-1),IF($R$17="Distrato",$E214,0)),MIN(AE$38,$D$19),$P$20))-SUM($P214:AD214)</f>
        <v>#VALUE!</v>
      </c>
      <c r="AF214" s="446" t="e">
        <f>IF(OR($B214="",MIN(AF$38,$D$19)&lt;MAX($P$34*($B214+IF($R$17="Distrato",$I$38-1,0)),IF(AND($L$37=0,$P$34=0),"",$L$37-1),IF($R$17="Distrato",$E214,0))),0,YEARFRAC(MAX($P$34*($B214+IF($R$17="Distrato",$I$38-1,0)),IF(AND($L$37=0,$P$34=0),"",$L$37-1),IF($R$17="Distrato",$E214,0)),MIN(AF$38,$D$19),$P$20))-SUM($P214:AE214)</f>
        <v>#VALUE!</v>
      </c>
      <c r="AG214" s="446" t="e">
        <f>IF(OR($B214="",MIN(AG$38,$D$19)&lt;MAX($P$34*($B214+IF($R$17="Distrato",$I$38-1,0)),IF(AND($L$37=0,$P$34=0),"",$L$37-1),IF($R$17="Distrato",$E214,0))),0,YEARFRAC(MAX($P$34*($B214+IF($R$17="Distrato",$I$38-1,0)),IF(AND($L$37=0,$P$34=0),"",$L$37-1),IF($R$17="Distrato",$E214,0)),MIN(AG$38,$D$19),$P$20))-SUM($P214:AF214)</f>
        <v>#VALUE!</v>
      </c>
      <c r="AH214" s="446" t="e">
        <f>IF(OR($B214="",MIN(AH$38,$D$19)&lt;MAX($P$34*($B214+IF($R$17="Distrato",$I$38-1,0)),IF(AND($L$37=0,$P$34=0),"",$L$37-1),IF($R$17="Distrato",$E214,0))),0,YEARFRAC(MAX($P$34*($B214+IF($R$17="Distrato",$I$38-1,0)),IF(AND($L$37=0,$P$34=0),"",$L$37-1),IF($R$17="Distrato",$E214,0)),MIN(AH$38,$D$19),$P$20))-SUM($P214:AG214)</f>
        <v>#VALUE!</v>
      </c>
      <c r="AI214" s="446" t="e">
        <f>IF(OR($B214="",MIN(AI$38,$D$19)&lt;MAX($P$34*($B214+IF($R$17="Distrato",$I$38-1,0)),IF(AND($L$37=0,$P$34=0),"",$L$37-1),IF($R$17="Distrato",$E214,0))),0,YEARFRAC(MAX($P$34*($B214+IF($R$17="Distrato",$I$38-1,0)),IF(AND($L$37=0,$P$34=0),"",$L$37-1),IF($R$17="Distrato",$E214,0)),MIN(AI$38,$D$19),$P$20))-SUM($P214:AH214)</f>
        <v>#VALUE!</v>
      </c>
      <c r="AJ214" s="446" t="e">
        <f>IF(OR($B214="",MIN(AJ$38,$D$19)&lt;MAX($P$34*($B214+IF($R$17="Distrato",$I$38-1,0)),IF(AND($L$37=0,$P$34=0),"",$L$37-1),IF($R$17="Distrato",$E214,0))),0,YEARFRAC(MAX($P$34*($B214+IF($R$17="Distrato",$I$38-1,0)),IF(AND($L$37=0,$P$34=0),"",$L$37-1),IF($R$17="Distrato",$E214,0)),MIN(AJ$38,$D$19),$P$20))-SUM($P214:AI214)</f>
        <v>#VALUE!</v>
      </c>
      <c r="AK214" s="446" t="e">
        <f>IF(OR($B214="",MIN(AK$38,$D$19)&lt;MAX($P$34*($B214+IF($R$17="Distrato",$I$38-1,0)),IF(AND($L$37=0,$P$34=0),"",$L$37-1),IF($R$17="Distrato",$E214,0))),0,YEARFRAC(MAX($P$34*($B214+IF($R$17="Distrato",$I$38-1,0)),IF(AND($L$37=0,$P$34=0),"",$L$37-1),IF($R$17="Distrato",$E214,0)),MIN(AK$38,$D$19),$P$20))-SUM($P214:AJ214)</f>
        <v>#VALUE!</v>
      </c>
      <c r="AL214" s="446" t="e">
        <f>IF(OR($B214="",MIN(AL$38,$D$19)&lt;MAX($P$34*($B214+IF($R$17="Distrato",$I$38-1,0)),IF(AND($L$37=0,$P$34=0),"",$L$37-1),IF($R$17="Distrato",$E214,0))),0,YEARFRAC(MAX($P$34*($B214+IF($R$17="Distrato",$I$38-1,0)),IF(AND($L$37=0,$P$34=0),"",$L$37-1),IF($R$17="Distrato",$E214,0)),MIN(AL$38,$D$19),$P$20))-SUM($P214:AK214)</f>
        <v>#VALUE!</v>
      </c>
      <c r="AM214" s="446" t="e">
        <f>IF(OR($B214="",MIN(AM$38,$D$19)&lt;MAX($P$34*($B214+IF($R$17="Distrato",$I$38-1,0)),IF(AND($L$37=0,$P$34=0),"",$L$37-1),IF($R$17="Distrato",$E214,0))),0,YEARFRAC(MAX($P$34*($B214+IF($R$17="Distrato",$I$38-1,0)),IF(AND($L$37=0,$P$34=0),"",$L$37-1),IF($R$17="Distrato",$E214,0)),MIN(AM$38,$D$19),$P$20))-SUM($P214:AL214)</f>
        <v>#VALUE!</v>
      </c>
      <c r="AN214" s="446" t="e">
        <f>IF(OR($B214="",MIN(AN$38,$D$19)&lt;MAX($P$34*($B214+IF($R$17="Distrato",$I$38-1,0)),IF(AND($L$37=0,$P$34=0),"",$L$37-1),IF($R$17="Distrato",$E214,0))),0,YEARFRAC(MAX($P$34*($B214+IF($R$17="Distrato",$I$38-1,0)),IF(AND($L$37=0,$P$34=0),"",$L$37-1),IF($R$17="Distrato",$E214,0)),MIN(AN$38,$D$19),$P$20))-SUM($P214:AM214)</f>
        <v>#VALUE!</v>
      </c>
      <c r="AO214" s="446" t="e">
        <f>IF(OR($B214="",MIN(AO$38,$D$19)&lt;MAX($P$34*($B214+IF($R$17="Distrato",$I$38-1,0)),IF(AND($L$37=0,$P$34=0),"",$L$37-1),IF($R$17="Distrato",$E214,0))),0,YEARFRAC(MAX($P$34*($B214+IF($R$17="Distrato",$I$38-1,0)),IF(AND($L$37=0,$P$34=0),"",$L$37-1),IF($R$17="Distrato",$E214,0)),MIN(AO$38,$D$19),$P$20))-SUM($P214:AN214)</f>
        <v>#VALUE!</v>
      </c>
      <c r="AP214" s="446" t="e">
        <f>IF(OR($B214="",MIN(AP$38,$D$19)&lt;MAX($P$34*($B214+IF($R$17="Distrato",$I$38-1,0)),IF(AND($L$37=0,$P$34=0),"",$L$37-1),IF($R$17="Distrato",$E214,0))),0,YEARFRAC(MAX($P$34*($B214+IF($R$17="Distrato",$I$38-1,0)),IF(AND($L$37=0,$P$34=0),"",$L$37-1),IF($R$17="Distrato",$E214,0)),MIN(AP$38,$D$19),$P$20))-SUM($P214:AO214)</f>
        <v>#VALUE!</v>
      </c>
      <c r="AQ214" s="446" t="e">
        <f>IF(OR($B214="",MIN(AQ$38,$D$19)&lt;MAX($P$34*($B214+IF($R$17="Distrato",$I$38-1,0)),IF(AND($L$37=0,$P$34=0),"",$L$37-1),IF($R$17="Distrato",$E214,0))),0,YEARFRAC(MAX($P$34*($B214+IF($R$17="Distrato",$I$38-1,0)),IF(AND($L$37=0,$P$34=0),"",$L$37-1),IF($R$17="Distrato",$E214,0)),MIN(AQ$38,$D$19),$P$20))-SUM($P214:AP214)</f>
        <v>#VALUE!</v>
      </c>
      <c r="AR214" s="446" t="e">
        <f>IF(OR($B214="",MIN(AR$38,$D$19)&lt;MAX($P$34*($B214+IF($R$17="Distrato",$I$38-1,0)),IF(AND($L$37=0,$P$34=0),"",$L$37-1),IF($R$17="Distrato",$E214,0))),0,YEARFRAC(MAX($P$34*($B214+IF($R$17="Distrato",$I$38-1,0)),IF(AND($L$37=0,$P$34=0),"",$L$37-1),IF($R$17="Distrato",$E214,0)),MIN(AR$38,$D$19),$P$20))-SUM($P214:AQ214)</f>
        <v>#VALUE!</v>
      </c>
      <c r="AS214" s="446" t="e">
        <f>IF(OR($B214="",MIN(AS$38,$D$19)&lt;MAX($P$34*($B214+IF($R$17="Distrato",$I$38-1,0)),IF(AND($L$37=0,$P$34=0),"",$L$37-1),IF($R$17="Distrato",$E214,0))),0,YEARFRAC(MAX($P$34*($B214+IF($R$17="Distrato",$I$38-1,0)),IF(AND($L$37=0,$P$34=0),"",$L$37-1),IF($R$17="Distrato",$E214,0)),MIN(AS$38,$D$19),$P$20))-SUM($P214:AR214)</f>
        <v>#VALUE!</v>
      </c>
      <c r="AT214" s="446" t="e">
        <f>IF(OR($B214="",MIN(AT$38,$D$19)&lt;MAX($P$34*($B214+IF($R$17="Distrato",$I$38-1,0)),IF(AND($L$37=0,$P$34=0),"",$L$37-1),IF($R$17="Distrato",$E214,0))),0,YEARFRAC(MAX($P$34*($B214+IF($R$17="Distrato",$I$38-1,0)),IF(AND($L$37=0,$P$34=0),"",$L$37-1),IF($R$17="Distrato",$E214,0)),MIN(AT$38,$D$19),$P$20))-SUM($P214:AS214)</f>
        <v>#VALUE!</v>
      </c>
      <c r="AU214" s="446" t="e">
        <f>IF(OR($B214="",MIN(AU$38,$D$19)&lt;MAX($P$34*($B214+IF($R$17="Distrato",$I$38-1,0)),IF(AND($L$37=0,$P$34=0),"",$L$37-1),IF($R$17="Distrato",$E214,0))),0,YEARFRAC(MAX($P$34*($B214+IF($R$17="Distrato",$I$38-1,0)),IF(AND($L$37=0,$P$34=0),"",$L$37-1),IF($R$17="Distrato",$E214,0)),MIN(AU$38,$D$19),$P$20))-SUM($P214:AT214)</f>
        <v>#VALUE!</v>
      </c>
      <c r="AV214" s="446" t="e">
        <f>IF(OR($B214="",MIN(AV$38,$D$19)&lt;MAX($P$34*($B214+IF($R$17="Distrato",$I$38-1,0)),IF(AND($L$37=0,$P$34=0),"",$L$37-1),IF($R$17="Distrato",$E214,0))),0,YEARFRAC(MAX($P$34*($B214+IF($R$17="Distrato",$I$38-1,0)),IF(AND($L$37=0,$P$34=0),"",$L$37-1),IF($R$17="Distrato",$E214,0)),MIN(AV$38,$D$19),$P$20))-SUM($P214:AU214)</f>
        <v>#VALUE!</v>
      </c>
      <c r="AW214" s="446" t="e">
        <f>IF(OR($B214="",MIN(AW$38,$D$19)&lt;MAX($P$34*($B214+IF($R$17="Distrato",$I$38-1,0)),IF(AND($L$37=0,$P$34=0),"",$L$37-1),IF($R$17="Distrato",$E214,0))),0,YEARFRAC(MAX($P$34*($B214+IF($R$17="Distrato",$I$38-1,0)),IF(AND($L$37=0,$P$34=0),"",$L$37-1),IF($R$17="Distrato",$E214,0)),MIN(AW$38,$D$19),$P$20))-SUM($P214:AV214)</f>
        <v>#VALUE!</v>
      </c>
      <c r="AX214" s="446" t="e">
        <f>IF(OR($B214="",MIN(AX$38,$D$19)&lt;MAX($P$34*($B214+IF($R$17="Distrato",$I$38-1,0)),IF(AND($L$37=0,$P$34=0),"",$L$37-1),IF($R$17="Distrato",$E214,0))),0,YEARFRAC(MAX($P$34*($B214+IF($R$17="Distrato",$I$38-1,0)),IF(AND($L$37=0,$P$34=0),"",$L$37-1),IF($R$17="Distrato",$E214,0)),MIN(AX$38,$D$19),$P$20))-SUM($P214:AW214)</f>
        <v>#VALUE!</v>
      </c>
      <c r="AY214" s="446" t="e">
        <f>IF(OR($B214="",MIN(AY$38,$D$19)&lt;MAX($P$34*($B214+IF($R$17="Distrato",$I$38-1,0)),IF(AND($L$37=0,$P$34=0),"",$L$37-1),IF($R$17="Distrato",$E214,0))),0,YEARFRAC(MAX($P$34*($B214+IF($R$17="Distrato",$I$38-1,0)),IF(AND($L$37=0,$P$34=0),"",$L$37-1),IF($R$17="Distrato",$E214,0)),MIN(AY$38,$D$19),$P$20))-SUM($P214:AX214)</f>
        <v>#VALUE!</v>
      </c>
      <c r="AZ214" s="446" t="e">
        <f>IF(OR($B214="",MIN(AZ$38,$D$19)&lt;MAX($P$34*($B214+IF($R$17="Distrato",$I$38-1,0)),IF(AND($L$37=0,$P$34=0),"",$L$37-1),IF($R$17="Distrato",$E214,0))),0,YEARFRAC(MAX($P$34*($B214+IF($R$17="Distrato",$I$38-1,0)),IF(AND($L$37=0,$P$34=0),"",$L$37-1),IF($R$17="Distrato",$E214,0)),MIN(AZ$38,$D$19),$P$20))-SUM($P214:AY214)</f>
        <v>#VALUE!</v>
      </c>
      <c r="BA214" s="446" t="e">
        <f>IF(OR($B214="",MIN(BA$38,$D$19)&lt;MAX($P$34*($B214+IF($R$17="Distrato",$I$38-1,0)),IF(AND($L$37=0,$P$34=0),"",$L$37-1),IF($R$17="Distrato",$E214,0))),0,YEARFRAC(MAX($P$34*($B214+IF($R$17="Distrato",$I$38-1,0)),IF(AND($L$37=0,$P$34=0),"",$L$37-1),IF($R$17="Distrato",$E214,0)),MIN(BA$38,$D$19),$P$20))-SUM($P214:AZ214)</f>
        <v>#VALUE!</v>
      </c>
      <c r="BB214" s="447"/>
      <c r="BF214" s="446">
        <f t="shared" si="32"/>
        <v>0</v>
      </c>
      <c r="BG214" s="446">
        <f>IF($E214=0,0,IF(MIN(BG$38,$E214)&lt;MAX($P$34*($B214+$I$38-1),IF(AND($L$37=0,$P$34=0),"",$L$37-1)),0,YEARFRAC(MAX($P$34*($B214+$I$38-1),IF(AND($L$37=0,$P$34=0),"",$L$37-1)),MIN(BG$38,$E214),$P$20))-SUM($BF214:BF214))</f>
        <v>0</v>
      </c>
      <c r="BH214" s="446">
        <f>IF($E214=0,0,IF(MIN(BH$38,$E214)&lt;MAX($P$34*($B214+$I$38-1),IF(AND($L$37=0,$P$34=0),"",$L$37-1)),0,YEARFRAC(MAX($P$34*($B214+$I$38-1),IF(AND($L$37=0,$P$34=0),"",$L$37-1)),MIN(BH$38,$E214),$P$20))-SUM($BF214:BG214))</f>
        <v>0</v>
      </c>
      <c r="BI214" s="446">
        <f>IF($E214=0,0,IF(MIN(BI$38,$E214)&lt;MAX($P$34*($B214+$I$38-1),IF(AND($L$37=0,$P$34=0),"",$L$37-1)),0,YEARFRAC(MAX($P$34*($B214+$I$38-1),IF(AND($L$37=0,$P$34=0),"",$L$37-1)),MIN(BI$38,$E214),$P$20))-SUM($BF214:BH214))</f>
        <v>0</v>
      </c>
      <c r="BJ214" s="446">
        <f>IF($E214=0,0,IF(MIN(BJ$38,$E214)&lt;MAX($P$34*($B214+$I$38-1),IF(AND($L$37=0,$P$34=0),"",$L$37-1)),0,YEARFRAC(MAX($P$34*($B214+$I$38-1),IF(AND($L$37=0,$P$34=0),"",$L$37-1)),MIN(BJ$38,$E214),$P$20))-SUM($BF214:BI214))</f>
        <v>0</v>
      </c>
      <c r="BK214" s="446">
        <f>IF($E214=0,0,IF(MIN(BK$38,$E214)&lt;MAX($P$34*($B214+$I$38-1),IF(AND($L$37=0,$P$34=0),"",$L$37-1)),0,YEARFRAC(MAX($P$34*($B214+$I$38-1),IF(AND($L$37=0,$P$34=0),"",$L$37-1)),MIN(BK$38,$E214),$P$20))-SUM($BF214:BJ214))</f>
        <v>0</v>
      </c>
      <c r="BL214" s="446">
        <f>IF($E214=0,0,IF(MIN(BL$38,$E214)&lt;MAX($P$34*($B214+$I$38-1),IF(AND($L$37=0,$P$34=0),"",$L$37-1)),0,YEARFRAC(MAX($P$34*($B214+$I$38-1),IF(AND($L$37=0,$P$34=0),"",$L$37-1)),MIN(BL$38,$E214),$P$20))-SUM($BF214:BK214))</f>
        <v>0</v>
      </c>
      <c r="BM214" s="446">
        <f>IF($E214=0,0,IF(MIN(BM$38,$E214)&lt;MAX($P$34*($B214+$I$38-1),IF(AND($L$37=0,$P$34=0),"",$L$37-1)),0,YEARFRAC(MAX($P$34*($B214+$I$38-1),IF(AND($L$37=0,$P$34=0),"",$L$37-1)),MIN(BM$38,$E214),$P$20))-SUM($BF214:BL214))</f>
        <v>0</v>
      </c>
      <c r="BN214" s="446">
        <f>IF($E214=0,0,IF(MIN(BN$38,$E214)&lt;MAX($P$34*($B214+$I$38-1),IF(AND($L$37=0,$P$34=0),"",$L$37-1)),0,YEARFRAC(MAX($P$34*($B214+$I$38-1),IF(AND($L$37=0,$P$34=0),"",$L$37-1)),MIN(BN$38,$E214),$P$20))-SUM($BF214:BM214))</f>
        <v>0</v>
      </c>
      <c r="BO214" s="446">
        <f>IF($E214=0,0,IF(MIN(BO$38,$E214)&lt;MAX($P$34*($B214+$I$38-1),IF(AND($L$37=0,$P$34=0),"",$L$37-1)),0,YEARFRAC(MAX($P$34*($B214+$I$38-1),IF(AND($L$37=0,$P$34=0),"",$L$37-1)),MIN(BO$38,$E214),$P$20))-SUM($BF214:BN214))</f>
        <v>0</v>
      </c>
      <c r="BP214" s="446">
        <f>IF($E214=0,0,IF(MIN(BP$38,$E214)&lt;MAX($P$34*($B214+$I$38-1),IF(AND($L$37=0,$P$34=0),"",$L$37-1)),0,YEARFRAC(MAX($P$34*($B214+$I$38-1),IF(AND($L$37=0,$P$34=0),"",$L$37-1)),MIN(BP$38,$E214),$P$20))-SUM($BF214:BO214))</f>
        <v>0</v>
      </c>
      <c r="BQ214" s="446">
        <f>IF($E214=0,0,IF(MIN(BQ$38,$E214)&lt;MAX($P$34*($B214+$I$38-1),IF(AND($L$37=0,$P$34=0),"",$L$37-1)),0,YEARFRAC(MAX($P$34*($B214+$I$38-1),IF(AND($L$37=0,$P$34=0),"",$L$37-1)),MIN(BQ$38,$E214),$P$20))-SUM($BF214:BP214))</f>
        <v>0</v>
      </c>
      <c r="BR214" s="446">
        <f>IF($E214=0,0,IF(MIN(BR$38,$E214)&lt;MAX($P$34*($B214+$I$38-1),IF(AND($L$37=0,$P$34=0),"",$L$37-1)),0,YEARFRAC(MAX($P$34*($B214+$I$38-1),IF(AND($L$37=0,$P$34=0),"",$L$37-1)),MIN(BR$38,$E214),$P$20))-SUM($BF214:BQ214))</f>
        <v>0</v>
      </c>
      <c r="BS214" s="446">
        <f>IF($E214=0,0,IF(MIN(BS$38,$E214)&lt;MAX($P$34*($B214+$I$38-1),IF(AND($L$37=0,$P$34=0),"",$L$37-1)),0,YEARFRAC(MAX($P$34*($B214+$I$38-1),IF(AND($L$37=0,$P$34=0),"",$L$37-1)),MIN(BS$38,$E214),$P$20))-SUM($BF214:BR214))</f>
        <v>0</v>
      </c>
      <c r="BT214" s="446">
        <f>IF($E214=0,0,IF(MIN(BT$38,$E214)&lt;MAX($P$34*($B214+$I$38-1),IF(AND($L$37=0,$P$34=0),"",$L$37-1)),0,YEARFRAC(MAX($P$34*($B214+$I$38-1),IF(AND($L$37=0,$P$34=0),"",$L$37-1)),MIN(BT$38,$E214),$P$20))-SUM($BF214:BS214))</f>
        <v>0</v>
      </c>
      <c r="BU214" s="446">
        <f>IF($E214=0,0,IF(MIN(BU$38,$E214)&lt;MAX($P$34*($B214+$I$38-1),IF(AND($L$37=0,$P$34=0),"",$L$37-1)),0,YEARFRAC(MAX($P$34*($B214+$I$38-1),IF(AND($L$37=0,$P$34=0),"",$L$37-1)),MIN(BU$38,$E214),$P$20))-SUM($BF214:BT214))</f>
        <v>0</v>
      </c>
      <c r="BV214" s="446">
        <f>IF($E214=0,0,IF(MIN(BV$38,$E214)&lt;MAX($P$34*($B214+$I$38-1),IF(AND($L$37=0,$P$34=0),"",$L$37-1)),0,YEARFRAC(MAX($P$34*($B214+$I$38-1),IF(AND($L$37=0,$P$34=0),"",$L$37-1)),MIN(BV$38,$E214),$P$20))-SUM($BF214:BU214))</f>
        <v>0</v>
      </c>
      <c r="BW214" s="446">
        <f>IF($E214=0,0,IF(MIN(BW$38,$E214)&lt;MAX($P$34*($B214+$I$38-1),IF(AND($L$37=0,$P$34=0),"",$L$37-1)),0,YEARFRAC(MAX($P$34*($B214+$I$38-1),IF(AND($L$37=0,$P$34=0),"",$L$37-1)),MIN(BW$38,$E214),$P$20))-SUM($BF214:BV214))</f>
        <v>0</v>
      </c>
      <c r="BX214" s="446">
        <f>IF($E214=0,0,IF(MIN(BX$38,$E214)&lt;MAX($P$34*($B214+$I$38-1),IF(AND($L$37=0,$P$34=0),"",$L$37-1)),0,YEARFRAC(MAX($P$34*($B214+$I$38-1),IF(AND($L$37=0,$P$34=0),"",$L$37-1)),MIN(BX$38,$E214),$P$20))-SUM($BF214:BW214))</f>
        <v>0</v>
      </c>
      <c r="BY214" s="446">
        <f>IF($E214=0,0,IF(MIN(BY$38,$E214)&lt;MAX($P$34*($B214+$I$38-1),IF(AND($L$37=0,$P$34=0),"",$L$37-1)),0,YEARFRAC(MAX($P$34*($B214+$I$38-1),IF(AND($L$37=0,$P$34=0),"",$L$37-1)),MIN(BY$38,$E214),$P$20))-SUM($BF214:BX214))</f>
        <v>0</v>
      </c>
      <c r="BZ214" s="446">
        <f>IF($E214=0,0,IF(MIN(BZ$38,$E214)&lt;MAX($P$34*($B214+$I$38-1),IF(AND($L$37=0,$P$34=0),"",$L$37-1)),0,YEARFRAC(MAX($P$34*($B214+$I$38-1),IF(AND($L$37=0,$P$34=0),"",$L$37-1)),MIN(BZ$38,$E214),$P$20))-SUM($BF214:BY214))</f>
        <v>0</v>
      </c>
      <c r="CA214" s="446">
        <f>IF($E214=0,0,IF(MIN(CA$38,$E214)&lt;MAX($P$34*($B214+$I$38-1),IF(AND($L$37=0,$P$34=0),"",$L$37-1)),0,YEARFRAC(MAX($P$34*($B214+$I$38-1),IF(AND($L$37=0,$P$34=0),"",$L$37-1)),MIN(CA$38,$E214),$P$20))-SUM($BF214:BZ214))</f>
        <v>0</v>
      </c>
      <c r="CB214" s="446">
        <f>IF($E214=0,0,IF(MIN(CB$38,$E214)&lt;MAX($P$34*($B214+$I$38-1),IF(AND($L$37=0,$P$34=0),"",$L$37-1)),0,YEARFRAC(MAX($P$34*($B214+$I$38-1),IF(AND($L$37=0,$P$34=0),"",$L$37-1)),MIN(CB$38,$E214),$P$20))-SUM($BF214:CA214))</f>
        <v>0</v>
      </c>
      <c r="CC214" s="446">
        <f>IF($E214=0,0,IF(MIN(CC$38,$E214)&lt;MAX($P$34*($B214+$I$38-1),IF(AND($L$37=0,$P$34=0),"",$L$37-1)),0,YEARFRAC(MAX($P$34*($B214+$I$38-1),IF(AND($L$37=0,$P$34=0),"",$L$37-1)),MIN(CC$38,$E214),$P$20))-SUM($BF214:CB214))</f>
        <v>0</v>
      </c>
      <c r="CD214" s="446">
        <f>IF($E214=0,0,IF(MIN(CD$38,$E214)&lt;MAX($P$34*($B214+$I$38-1),IF(AND($L$37=0,$P$34=0),"",$L$37-1)),0,YEARFRAC(MAX($P$34*($B214+$I$38-1),IF(AND($L$37=0,$P$34=0),"",$L$37-1)),MIN(CD$38,$E214),$P$20))-SUM($BF214:CC214))</f>
        <v>0</v>
      </c>
      <c r="CE214" s="446">
        <f>IF($E214=0,0,IF(MIN(CE$38,$E214)&lt;MAX($P$34*($B214+$I$38-1),IF(AND($L$37=0,$P$34=0),"",$L$37-1)),0,YEARFRAC(MAX($P$34*($B214+$I$38-1),IF(AND($L$37=0,$P$34=0),"",$L$37-1)),MIN(CE$38,$E214),$P$20))-SUM($BF214:CD214))</f>
        <v>0</v>
      </c>
      <c r="CF214" s="446">
        <f>IF($E214=0,0,IF(MIN(CF$38,$E214)&lt;MAX($P$34*($B214+$I$38-1),IF(AND($L$37=0,$P$34=0),"",$L$37-1)),0,YEARFRAC(MAX($P$34*($B214+$I$38-1),IF(AND($L$37=0,$P$34=0),"",$L$37-1)),MIN(CF$38,$E214),$P$20))-SUM($BF214:CE214))</f>
        <v>0</v>
      </c>
      <c r="CG214" s="446">
        <f>IF($E214=0,0,IF(MIN(CG$38,$E214)&lt;MAX($P$34*($B214+$I$38-1),IF(AND($L$37=0,$P$34=0),"",$L$37-1)),0,YEARFRAC(MAX($P$34*($B214+$I$38-1),IF(AND($L$37=0,$P$34=0),"",$L$37-1)),MIN(CG$38,$E214),$P$20))-SUM($BF214:CF214))</f>
        <v>0</v>
      </c>
      <c r="CH214" s="446">
        <f>IF($E214=0,0,IF(MIN(CH$38,$E214)&lt;MAX($P$34*($B214+$I$38-1),IF(AND($L$37=0,$P$34=0),"",$L$37-1)),0,YEARFRAC(MAX($P$34*($B214+$I$38-1),IF(AND($L$37=0,$P$34=0),"",$L$37-1)),MIN(CH$38,$E214),$P$20))-SUM($BF214:CG214))</f>
        <v>0</v>
      </c>
      <c r="CI214" s="446">
        <f>IF($E214=0,0,IF(MIN(CI$38,$E214)&lt;MAX($P$34*($B214+$I$38-1),IF(AND($L$37=0,$P$34=0),"",$L$37-1)),0,YEARFRAC(MAX($P$34*($B214+$I$38-1),IF(AND($L$37=0,$P$34=0),"",$L$37-1)),MIN(CI$38,$E214),$P$20))-SUM($BF214:CH214))</f>
        <v>0</v>
      </c>
      <c r="CJ214" s="446">
        <f>IF($E214=0,0,IF(MIN(CJ$38,$E214)&lt;MAX($P$34*($B214+$I$38-1),IF(AND($L$37=0,$P$34=0),"",$L$37-1)),0,YEARFRAC(MAX($P$34*($B214+$I$38-1),IF(AND($L$37=0,$P$34=0),"",$L$37-1)),MIN(CJ$38,$E214),$P$20))-SUM($BF214:CI214))</f>
        <v>0</v>
      </c>
      <c r="CK214" s="446">
        <f>IF($E214=0,0,IF(MIN(CK$38,$E214)&lt;MAX($P$34*($B214+$I$38-1),IF(AND($L$37=0,$P$34=0),"",$L$37-1)),0,YEARFRAC(MAX($P$34*($B214+$I$38-1),IF(AND($L$37=0,$P$34=0),"",$L$37-1)),MIN(CK$38,$E214),$P$20))-SUM($BF214:CJ214))</f>
        <v>0</v>
      </c>
      <c r="CL214" s="446">
        <f>IF($E214=0,0,IF(MIN(CL$38,$E214)&lt;MAX($P$34*($B214+$I$38-1),IF(AND($L$37=0,$P$34=0),"",$L$37-1)),0,YEARFRAC(MAX($P$34*($B214+$I$38-1),IF(AND($L$37=0,$P$34=0),"",$L$37-1)),MIN(CL$38,$E214),$P$20))-SUM($BF214:CK214))</f>
        <v>0</v>
      </c>
      <c r="CM214" s="446">
        <f>IF($E214=0,0,IF(MIN(CM$38,$E214)&lt;MAX($P$34*($B214+$I$38-1),IF(AND($L$37=0,$P$34=0),"",$L$37-1)),0,YEARFRAC(MAX($P$34*($B214+$I$38-1),IF(AND($L$37=0,$P$34=0),"",$L$37-1)),MIN(CM$38,$E214),$P$20))-SUM($BF214:CL214))</f>
        <v>0</v>
      </c>
      <c r="CN214" s="446">
        <f>IF($E214=0,0,IF(MIN(CN$38,$E214)&lt;MAX($P$34*($B214+$I$38-1),IF(AND($L$37=0,$P$34=0),"",$L$37-1)),0,YEARFRAC(MAX($P$34*($B214+$I$38-1),IF(AND($L$37=0,$P$34=0),"",$L$37-1)),MIN(CN$38,$E214),$P$20))-SUM($BF214:CM214))</f>
        <v>0</v>
      </c>
      <c r="CO214" s="446">
        <f>IF($E214=0,0,IF(MIN(CO$38,$E214)&lt;MAX($P$34*($B214+$I$38-1),IF(AND($L$37=0,$P$34=0),"",$L$37-1)),0,YEARFRAC(MAX($P$34*($B214+$I$38-1),IF(AND($L$37=0,$P$34=0),"",$L$37-1)),MIN(CO$38,$E214),$P$20))-SUM($BF214:CN214))</f>
        <v>0</v>
      </c>
      <c r="CP214" s="446">
        <f>IF($E214=0,0,IF(MIN(CP$38,$E214)&lt;MAX($P$34*($B214+$I$38-1),IF(AND($L$37=0,$P$34=0),"",$L$37-1)),0,YEARFRAC(MAX($P$34*($B214+$I$38-1),IF(AND($L$37=0,$P$34=0),"",$L$37-1)),MIN(CP$38,$E214),$P$20))-SUM($BF214:CO214))</f>
        <v>0</v>
      </c>
      <c r="CQ214" s="446">
        <f>IF($E214=0,0,IF(MIN(CQ$38,$E214)&lt;MAX($P$34*($B214+$I$38-1),IF(AND($L$37=0,$P$34=0),"",$L$37-1)),0,YEARFRAC(MAX($P$34*($B214+$I$38-1),IF(AND($L$37=0,$P$34=0),"",$L$37-1)),MIN(CQ$38,$E214),$P$20))-SUM($BF214:CP214))</f>
        <v>0</v>
      </c>
    </row>
    <row r="215" spans="1:95" s="446" customFormat="1" ht="11.25" hidden="1" customHeight="1" x14ac:dyDescent="0.2">
      <c r="A215" s="152"/>
      <c r="B215" s="153" t="str">
        <f t="shared" si="37"/>
        <v/>
      </c>
      <c r="C215" s="29" t="str">
        <f>IF(B215="","",IF($L$35="SELIC - TRIBUTOS",VLOOKUP(DATE(YEAR($D$19),MONTH($D$19)-1,1),ÍNDICES!$A:$DE,HLOOKUP($BL$25,ÍNDICES!$B$3:$T$4,2)+11)-VLOOKUP(B215,ÍNDICES!$A:$DE,HLOOKUP($BL$25,ÍNDICES!$B$3:$T$4,2)+11)+1%,IF(C$38=$W$26,$J$35,IF(ISERROR(IF(B215&gt;$D$19,1,VLOOKUP(DATE(YEAR(B215),MONTH(B215)+IF($C$35=$S$23,1,0),1),ÍNDICES!$A:$DE,$Z$35+1))),"",IF(B215&gt;$D$19,1,VLOOKUP(DATE(YEAR(B215),MONTH(B215)+IF($C$35=$S$23,1,0),1),ÍNDICES!$A:$DE,$Z$35+1))))))</f>
        <v/>
      </c>
      <c r="D215" s="154" t="str">
        <f>IF(ISERROR(IF(OR($D$38=$Y$27,$B215=""),"",VLOOKUP(B215,ÍNDICES!A:DE,AF$35+1))),"",IF(OR($D$38=$Y$27,$B215=""),"",VLOOKUP(B215,ÍNDICES!A:DE,AF$35+1)))</f>
        <v/>
      </c>
      <c r="E215" s="153"/>
      <c r="F215" s="29" t="str">
        <f>IF(E215="","",IF($L$35="SELIC - TRIBUTOS",VLOOKUP(DATE(YEAR($D$19),MONTH($D$19)-1,1),ÍNDICES!$A:$DE,HLOOKUP($BL$25,ÍNDICES!$B$3:$T$4,2)+11)-VLOOKUP(E215,ÍNDICES!$A:$DE,HLOOKUP($BL$25,ÍNDICES!$B$3:$T$4,2)+11)+1%,IF(F$38=$W$26,$J$35,IF(ISERROR(IF(E215&gt;$D$19,1,VLOOKUP(DATE(YEAR(E215),MONTH(E215)+IF($C$35=$S$23,1,0),1),ÍNDICES!$A:$DE,$Z$35+1))),"",IF(E215&gt;$D$19,1,VLOOKUP(DATE(YEAR(E215),MONTH(E215)+IF($C$35=$S$23,1,0),1),ÍNDICES!$A:$DE,$Z$35+1))))))</f>
        <v/>
      </c>
      <c r="G215" s="155"/>
      <c r="H215" s="156" t="str">
        <f t="shared" si="33"/>
        <v/>
      </c>
      <c r="I215" s="29" t="str">
        <f t="shared" si="27"/>
        <v/>
      </c>
      <c r="J215" s="5">
        <f t="shared" si="28"/>
        <v>0</v>
      </c>
      <c r="K215" s="20">
        <f t="shared" ca="1" si="29"/>
        <v>0</v>
      </c>
      <c r="L215" s="5">
        <f t="shared" ca="1" si="30"/>
        <v>0</v>
      </c>
      <c r="M215" s="64">
        <f t="shared" si="34"/>
        <v>0</v>
      </c>
      <c r="N215" s="61">
        <f t="shared" ca="1" si="35"/>
        <v>0</v>
      </c>
      <c r="O215" s="5">
        <f t="shared" ca="1" si="36"/>
        <v>0</v>
      </c>
      <c r="P215" s="446" t="e">
        <f t="shared" si="31"/>
        <v>#VALUE!</v>
      </c>
      <c r="Q215" s="446" t="e">
        <f>IF(OR($B215="",MIN(Q$38,$D$19)&lt;MAX($P$34*($B215+IF($R$17="Distrato",$I$38-1,0)),IF(AND($L$37=0,$P$34=0),"",$L$37-1),IF($R$17="Distrato",$E215,0))),0,YEARFRAC(MAX($P$34*($B215+IF($R$17="Distrato",$I$38-1,0)),IF(AND($L$37=0,$P$34=0),"",$L$37-1),IF($R$17="Distrato",$E215,0)),MIN(Q$38,$D$19),$P$20))-SUM($P215:P215)</f>
        <v>#VALUE!</v>
      </c>
      <c r="R215" s="446" t="e">
        <f>IF(OR($B215="",MIN(R$38,$D$19)&lt;MAX($P$34*($B215+IF($R$17="Distrato",$I$38-1,0)),IF(AND($L$37=0,$P$34=0),"",$L$37-1),IF($R$17="Distrato",$E215,0))),0,YEARFRAC(MAX($P$34*($B215+IF($R$17="Distrato",$I$38-1,0)),IF(AND($L$37=0,$P$34=0),"",$L$37-1),IF($R$17="Distrato",$E215,0)),MIN(R$38,$D$19),$P$20))-SUM($P215:Q215)</f>
        <v>#VALUE!</v>
      </c>
      <c r="S215" s="446" t="e">
        <f>IF(OR($B215="",MIN(S$38,$D$19)&lt;MAX($P$34*($B215+IF($R$17="Distrato",$I$38-1,0)),IF(AND($L$37=0,$P$34=0),"",$L$37-1),IF($R$17="Distrato",$E215,0))),0,YEARFRAC(MAX($P$34*($B215+IF($R$17="Distrato",$I$38-1,0)),IF(AND($L$37=0,$P$34=0),"",$L$37-1),IF($R$17="Distrato",$E215,0)),MIN(S$38,$D$19),$P$20))-SUM($P215:R215)</f>
        <v>#VALUE!</v>
      </c>
      <c r="T215" s="446" t="e">
        <f>IF(OR($B215="",MIN(T$38,$D$19)&lt;MAX($P$34*($B215+IF($R$17="Distrato",$I$38-1,0)),IF(AND($L$37=0,$P$34=0),"",$L$37-1),IF($R$17="Distrato",$E215,0))),0,YEARFRAC(MAX($P$34*($B215+IF($R$17="Distrato",$I$38-1,0)),IF(AND($L$37=0,$P$34=0),"",$L$37-1),IF($R$17="Distrato",$E215,0)),MIN(T$38,$D$19),$P$20))-SUM($P215:S215)</f>
        <v>#VALUE!</v>
      </c>
      <c r="U215" s="446" t="e">
        <f>IF(OR($B215="",MIN(U$38,$D$19)&lt;MAX($P$34*($B215+IF($R$17="Distrato",$I$38-1,0)),IF(AND($L$37=0,$P$34=0),"",$L$37-1),IF($R$17="Distrato",$E215,0))),0,YEARFRAC(MAX($P$34*($B215+IF($R$17="Distrato",$I$38-1,0)),IF(AND($L$37=0,$P$34=0),"",$L$37-1),IF($R$17="Distrato",$E215,0)),MIN(U$38,$D$19),$P$20))-SUM($P215:T215)</f>
        <v>#VALUE!</v>
      </c>
      <c r="V215" s="446" t="e">
        <f>IF(OR($B215="",MIN(V$38,$D$19)&lt;MAX($P$34*($B215+IF($R$17="Distrato",$I$38-1,0)),IF(AND($L$37=0,$P$34=0),"",$L$37-1),IF($R$17="Distrato",$E215,0))),0,YEARFRAC(MAX($P$34*($B215+IF($R$17="Distrato",$I$38-1,0)),IF(AND($L$37=0,$P$34=0),"",$L$37-1),IF($R$17="Distrato",$E215,0)),MIN(V$38,$D$19),$P$20))-SUM($P215:U215)</f>
        <v>#VALUE!</v>
      </c>
      <c r="W215" s="446" t="e">
        <f>IF(OR($B215="",MIN(W$38,$D$19)&lt;MAX($P$34*($B215+IF($R$17="Distrato",$I$38-1,0)),IF(AND($L$37=0,$P$34=0),"",$L$37-1),IF($R$17="Distrato",$E215,0))),0,YEARFRAC(MAX($P$34*($B215+IF($R$17="Distrato",$I$38-1,0)),IF(AND($L$37=0,$P$34=0),"",$L$37-1),IF($R$17="Distrato",$E215,0)),MIN(W$38,$D$19),$P$20))-SUM($P215:V215)</f>
        <v>#VALUE!</v>
      </c>
      <c r="X215" s="446" t="e">
        <f>IF(OR($B215="",MIN(X$38,$D$19)&lt;MAX($P$34*($B215+IF($R$17="Distrato",$I$38-1,0)),IF(AND($L$37=0,$P$34=0),"",$L$37-1),IF($R$17="Distrato",$E215,0))),0,YEARFRAC(MAX($P$34*($B215+IF($R$17="Distrato",$I$38-1,0)),IF(AND($L$37=0,$P$34=0),"",$L$37-1),IF($R$17="Distrato",$E215,0)),MIN(X$38,$D$19),$P$20))-SUM($P215:W215)</f>
        <v>#VALUE!</v>
      </c>
      <c r="Y215" s="446" t="e">
        <f>IF(OR($B215="",MIN(Y$38,$D$19)&lt;MAX($P$34*($B215+IF($R$17="Distrato",$I$38-1,0)),IF(AND($L$37=0,$P$34=0),"",$L$37-1),IF($R$17="Distrato",$E215,0))),0,YEARFRAC(MAX($P$34*($B215+IF($R$17="Distrato",$I$38-1,0)),IF(AND($L$37=0,$P$34=0),"",$L$37-1),IF($R$17="Distrato",$E215,0)),MIN(Y$38,$D$19),$P$20))-SUM($P215:X215)</f>
        <v>#VALUE!</v>
      </c>
      <c r="Z215" s="446" t="e">
        <f>IF(OR($B215="",MIN(Z$38,$D$19)&lt;MAX($P$34*($B215+IF($R$17="Distrato",$I$38-1,0)),IF(AND($L$37=0,$P$34=0),"",$L$37-1),IF($R$17="Distrato",$E215,0))),0,YEARFRAC(MAX($P$34*($B215+IF($R$17="Distrato",$I$38-1,0)),IF(AND($L$37=0,$P$34=0),"",$L$37-1),IF($R$17="Distrato",$E215,0)),MIN(Z$38,$D$19),$P$20))-SUM($P215:Y215)</f>
        <v>#VALUE!</v>
      </c>
      <c r="AA215" s="446" t="e">
        <f>IF(OR($B215="",MIN(AA$38,$D$19)&lt;MAX($P$34*($B215+IF($R$17="Distrato",$I$38-1,0)),IF(AND($L$37=0,$P$34=0),"",$L$37-1),IF($R$17="Distrato",$E215,0))),0,YEARFRAC(MAX($P$34*($B215+IF($R$17="Distrato",$I$38-1,0)),IF(AND($L$37=0,$P$34=0),"",$L$37-1),IF($R$17="Distrato",$E215,0)),MIN(AA$38,$D$19),$P$20))-SUM($P215:Z215)</f>
        <v>#VALUE!</v>
      </c>
      <c r="AB215" s="446" t="e">
        <f>IF(OR($B215="",MIN(AB$38,$D$19)&lt;MAX($P$34*($B215+IF($R$17="Distrato",$I$38-1,0)),IF(AND($L$37=0,$P$34=0),"",$L$37-1),IF($R$17="Distrato",$E215,0))),0,YEARFRAC(MAX($P$34*($B215+IF($R$17="Distrato",$I$38-1,0)),IF(AND($L$37=0,$P$34=0),"",$L$37-1),IF($R$17="Distrato",$E215,0)),MIN(AB$38,$D$19),$P$20))-SUM($P215:AA215)</f>
        <v>#VALUE!</v>
      </c>
      <c r="AC215" s="446" t="e">
        <f>IF(OR($B215="",MIN(AC$38,$D$19)&lt;MAX($P$34*($B215+IF($R$17="Distrato",$I$38-1,0)),IF(AND($L$37=0,$P$34=0),"",$L$37-1),IF($R$17="Distrato",$E215,0))),0,YEARFRAC(MAX($P$34*($B215+IF($R$17="Distrato",$I$38-1,0)),IF(AND($L$37=0,$P$34=0),"",$L$37-1),IF($R$17="Distrato",$E215,0)),MIN(AC$38,$D$19),$P$20))-SUM($P215:AB215)</f>
        <v>#VALUE!</v>
      </c>
      <c r="AD215" s="446" t="e">
        <f>IF(OR($B215="",MIN(AD$38,$D$19)&lt;MAX($P$34*($B215+IF($R$17="Distrato",$I$38-1,0)),IF(AND($L$37=0,$P$34=0),"",$L$37-1),IF($R$17="Distrato",$E215,0))),0,YEARFRAC(MAX($P$34*($B215+IF($R$17="Distrato",$I$38-1,0)),IF(AND($L$37=0,$P$34=0),"",$L$37-1),IF($R$17="Distrato",$E215,0)),MIN(AD$38,$D$19),$P$20))-SUM($P215:AC215)</f>
        <v>#VALUE!</v>
      </c>
      <c r="AE215" s="446" t="e">
        <f>IF(OR($B215="",MIN(AE$38,$D$19)&lt;MAX($P$34*($B215+IF($R$17="Distrato",$I$38-1,0)),IF(AND($L$37=0,$P$34=0),"",$L$37-1),IF($R$17="Distrato",$E215,0))),0,YEARFRAC(MAX($P$34*($B215+IF($R$17="Distrato",$I$38-1,0)),IF(AND($L$37=0,$P$34=0),"",$L$37-1),IF($R$17="Distrato",$E215,0)),MIN(AE$38,$D$19),$P$20))-SUM($P215:AD215)</f>
        <v>#VALUE!</v>
      </c>
      <c r="AF215" s="446" t="e">
        <f>IF(OR($B215="",MIN(AF$38,$D$19)&lt;MAX($P$34*($B215+IF($R$17="Distrato",$I$38-1,0)),IF(AND($L$37=0,$P$34=0),"",$L$37-1),IF($R$17="Distrato",$E215,0))),0,YEARFRAC(MAX($P$34*($B215+IF($R$17="Distrato",$I$38-1,0)),IF(AND($L$37=0,$P$34=0),"",$L$37-1),IF($R$17="Distrato",$E215,0)),MIN(AF$38,$D$19),$P$20))-SUM($P215:AE215)</f>
        <v>#VALUE!</v>
      </c>
      <c r="AG215" s="446" t="e">
        <f>IF(OR($B215="",MIN(AG$38,$D$19)&lt;MAX($P$34*($B215+IF($R$17="Distrato",$I$38-1,0)),IF(AND($L$37=0,$P$34=0),"",$L$37-1),IF($R$17="Distrato",$E215,0))),0,YEARFRAC(MAX($P$34*($B215+IF($R$17="Distrato",$I$38-1,0)),IF(AND($L$37=0,$P$34=0),"",$L$37-1),IF($R$17="Distrato",$E215,0)),MIN(AG$38,$D$19),$P$20))-SUM($P215:AF215)</f>
        <v>#VALUE!</v>
      </c>
      <c r="AH215" s="446" t="e">
        <f>IF(OR($B215="",MIN(AH$38,$D$19)&lt;MAX($P$34*($B215+IF($R$17="Distrato",$I$38-1,0)),IF(AND($L$37=0,$P$34=0),"",$L$37-1),IF($R$17="Distrato",$E215,0))),0,YEARFRAC(MAX($P$34*($B215+IF($R$17="Distrato",$I$38-1,0)),IF(AND($L$37=0,$P$34=0),"",$L$37-1),IF($R$17="Distrato",$E215,0)),MIN(AH$38,$D$19),$P$20))-SUM($P215:AG215)</f>
        <v>#VALUE!</v>
      </c>
      <c r="AI215" s="446" t="e">
        <f>IF(OR($B215="",MIN(AI$38,$D$19)&lt;MAX($P$34*($B215+IF($R$17="Distrato",$I$38-1,0)),IF(AND($L$37=0,$P$34=0),"",$L$37-1),IF($R$17="Distrato",$E215,0))),0,YEARFRAC(MAX($P$34*($B215+IF($R$17="Distrato",$I$38-1,0)),IF(AND($L$37=0,$P$34=0),"",$L$37-1),IF($R$17="Distrato",$E215,0)),MIN(AI$38,$D$19),$P$20))-SUM($P215:AH215)</f>
        <v>#VALUE!</v>
      </c>
      <c r="AJ215" s="446" t="e">
        <f>IF(OR($B215="",MIN(AJ$38,$D$19)&lt;MAX($P$34*($B215+IF($R$17="Distrato",$I$38-1,0)),IF(AND($L$37=0,$P$34=0),"",$L$37-1),IF($R$17="Distrato",$E215,0))),0,YEARFRAC(MAX($P$34*($B215+IF($R$17="Distrato",$I$38-1,0)),IF(AND($L$37=0,$P$34=0),"",$L$37-1),IF($R$17="Distrato",$E215,0)),MIN(AJ$38,$D$19),$P$20))-SUM($P215:AI215)</f>
        <v>#VALUE!</v>
      </c>
      <c r="AK215" s="446" t="e">
        <f>IF(OR($B215="",MIN(AK$38,$D$19)&lt;MAX($P$34*($B215+IF($R$17="Distrato",$I$38-1,0)),IF(AND($L$37=0,$P$34=0),"",$L$37-1),IF($R$17="Distrato",$E215,0))),0,YEARFRAC(MAX($P$34*($B215+IF($R$17="Distrato",$I$38-1,0)),IF(AND($L$37=0,$P$34=0),"",$L$37-1),IF($R$17="Distrato",$E215,0)),MIN(AK$38,$D$19),$P$20))-SUM($P215:AJ215)</f>
        <v>#VALUE!</v>
      </c>
      <c r="AL215" s="446" t="e">
        <f>IF(OR($B215="",MIN(AL$38,$D$19)&lt;MAX($P$34*($B215+IF($R$17="Distrato",$I$38-1,0)),IF(AND($L$37=0,$P$34=0),"",$L$37-1),IF($R$17="Distrato",$E215,0))),0,YEARFRAC(MAX($P$34*($B215+IF($R$17="Distrato",$I$38-1,0)),IF(AND($L$37=0,$P$34=0),"",$L$37-1),IF($R$17="Distrato",$E215,0)),MIN(AL$38,$D$19),$P$20))-SUM($P215:AK215)</f>
        <v>#VALUE!</v>
      </c>
      <c r="AM215" s="446" t="e">
        <f>IF(OR($B215="",MIN(AM$38,$D$19)&lt;MAX($P$34*($B215+IF($R$17="Distrato",$I$38-1,0)),IF(AND($L$37=0,$P$34=0),"",$L$37-1),IF($R$17="Distrato",$E215,0))),0,YEARFRAC(MAX($P$34*($B215+IF($R$17="Distrato",$I$38-1,0)),IF(AND($L$37=0,$P$34=0),"",$L$37-1),IF($R$17="Distrato",$E215,0)),MIN(AM$38,$D$19),$P$20))-SUM($P215:AL215)</f>
        <v>#VALUE!</v>
      </c>
      <c r="AN215" s="446" t="e">
        <f>IF(OR($B215="",MIN(AN$38,$D$19)&lt;MAX($P$34*($B215+IF($R$17="Distrato",$I$38-1,0)),IF(AND($L$37=0,$P$34=0),"",$L$37-1),IF($R$17="Distrato",$E215,0))),0,YEARFRAC(MAX($P$34*($B215+IF($R$17="Distrato",$I$38-1,0)),IF(AND($L$37=0,$P$34=0),"",$L$37-1),IF($R$17="Distrato",$E215,0)),MIN(AN$38,$D$19),$P$20))-SUM($P215:AM215)</f>
        <v>#VALUE!</v>
      </c>
      <c r="AO215" s="446" t="e">
        <f>IF(OR($B215="",MIN(AO$38,$D$19)&lt;MAX($P$34*($B215+IF($R$17="Distrato",$I$38-1,0)),IF(AND($L$37=0,$P$34=0),"",$L$37-1),IF($R$17="Distrato",$E215,0))),0,YEARFRAC(MAX($P$34*($B215+IF($R$17="Distrato",$I$38-1,0)),IF(AND($L$37=0,$P$34=0),"",$L$37-1),IF($R$17="Distrato",$E215,0)),MIN(AO$38,$D$19),$P$20))-SUM($P215:AN215)</f>
        <v>#VALUE!</v>
      </c>
      <c r="AP215" s="446" t="e">
        <f>IF(OR($B215="",MIN(AP$38,$D$19)&lt;MAX($P$34*($B215+IF($R$17="Distrato",$I$38-1,0)),IF(AND($L$37=0,$P$34=0),"",$L$37-1),IF($R$17="Distrato",$E215,0))),0,YEARFRAC(MAX($P$34*($B215+IF($R$17="Distrato",$I$38-1,0)),IF(AND($L$37=0,$P$34=0),"",$L$37-1),IF($R$17="Distrato",$E215,0)),MIN(AP$38,$D$19),$P$20))-SUM($P215:AO215)</f>
        <v>#VALUE!</v>
      </c>
      <c r="AQ215" s="446" t="e">
        <f>IF(OR($B215="",MIN(AQ$38,$D$19)&lt;MAX($P$34*($B215+IF($R$17="Distrato",$I$38-1,0)),IF(AND($L$37=0,$P$34=0),"",$L$37-1),IF($R$17="Distrato",$E215,0))),0,YEARFRAC(MAX($P$34*($B215+IF($R$17="Distrato",$I$38-1,0)),IF(AND($L$37=0,$P$34=0),"",$L$37-1),IF($R$17="Distrato",$E215,0)),MIN(AQ$38,$D$19),$P$20))-SUM($P215:AP215)</f>
        <v>#VALUE!</v>
      </c>
      <c r="AR215" s="446" t="e">
        <f>IF(OR($B215="",MIN(AR$38,$D$19)&lt;MAX($P$34*($B215+IF($R$17="Distrato",$I$38-1,0)),IF(AND($L$37=0,$P$34=0),"",$L$37-1),IF($R$17="Distrato",$E215,0))),0,YEARFRAC(MAX($P$34*($B215+IF($R$17="Distrato",$I$38-1,0)),IF(AND($L$37=0,$P$34=0),"",$L$37-1),IF($R$17="Distrato",$E215,0)),MIN(AR$38,$D$19),$P$20))-SUM($P215:AQ215)</f>
        <v>#VALUE!</v>
      </c>
      <c r="AS215" s="446" t="e">
        <f>IF(OR($B215="",MIN(AS$38,$D$19)&lt;MAX($P$34*($B215+IF($R$17="Distrato",$I$38-1,0)),IF(AND($L$37=0,$P$34=0),"",$L$37-1),IF($R$17="Distrato",$E215,0))),0,YEARFRAC(MAX($P$34*($B215+IF($R$17="Distrato",$I$38-1,0)),IF(AND($L$37=0,$P$34=0),"",$L$37-1),IF($R$17="Distrato",$E215,0)),MIN(AS$38,$D$19),$P$20))-SUM($P215:AR215)</f>
        <v>#VALUE!</v>
      </c>
      <c r="AT215" s="446" t="e">
        <f>IF(OR($B215="",MIN(AT$38,$D$19)&lt;MAX($P$34*($B215+IF($R$17="Distrato",$I$38-1,0)),IF(AND($L$37=0,$P$34=0),"",$L$37-1),IF($R$17="Distrato",$E215,0))),0,YEARFRAC(MAX($P$34*($B215+IF($R$17="Distrato",$I$38-1,0)),IF(AND($L$37=0,$P$34=0),"",$L$37-1),IF($R$17="Distrato",$E215,0)),MIN(AT$38,$D$19),$P$20))-SUM($P215:AS215)</f>
        <v>#VALUE!</v>
      </c>
      <c r="AU215" s="446" t="e">
        <f>IF(OR($B215="",MIN(AU$38,$D$19)&lt;MAX($P$34*($B215+IF($R$17="Distrato",$I$38-1,0)),IF(AND($L$37=0,$P$34=0),"",$L$37-1),IF($R$17="Distrato",$E215,0))),0,YEARFRAC(MAX($P$34*($B215+IF($R$17="Distrato",$I$38-1,0)),IF(AND($L$37=0,$P$34=0),"",$L$37-1),IF($R$17="Distrato",$E215,0)),MIN(AU$38,$D$19),$P$20))-SUM($P215:AT215)</f>
        <v>#VALUE!</v>
      </c>
      <c r="AV215" s="446" t="e">
        <f>IF(OR($B215="",MIN(AV$38,$D$19)&lt;MAX($P$34*($B215+IF($R$17="Distrato",$I$38-1,0)),IF(AND($L$37=0,$P$34=0),"",$L$37-1),IF($R$17="Distrato",$E215,0))),0,YEARFRAC(MAX($P$34*($B215+IF($R$17="Distrato",$I$38-1,0)),IF(AND($L$37=0,$P$34=0),"",$L$37-1),IF($R$17="Distrato",$E215,0)),MIN(AV$38,$D$19),$P$20))-SUM($P215:AU215)</f>
        <v>#VALUE!</v>
      </c>
      <c r="AW215" s="446" t="e">
        <f>IF(OR($B215="",MIN(AW$38,$D$19)&lt;MAX($P$34*($B215+IF($R$17="Distrato",$I$38-1,0)),IF(AND($L$37=0,$P$34=0),"",$L$37-1),IF($R$17="Distrato",$E215,0))),0,YEARFRAC(MAX($P$34*($B215+IF($R$17="Distrato",$I$38-1,0)),IF(AND($L$37=0,$P$34=0),"",$L$37-1),IF($R$17="Distrato",$E215,0)),MIN(AW$38,$D$19),$P$20))-SUM($P215:AV215)</f>
        <v>#VALUE!</v>
      </c>
      <c r="AX215" s="446" t="e">
        <f>IF(OR($B215="",MIN(AX$38,$D$19)&lt;MAX($P$34*($B215+IF($R$17="Distrato",$I$38-1,0)),IF(AND($L$37=0,$P$34=0),"",$L$37-1),IF($R$17="Distrato",$E215,0))),0,YEARFRAC(MAX($P$34*($B215+IF($R$17="Distrato",$I$38-1,0)),IF(AND($L$37=0,$P$34=0),"",$L$37-1),IF($R$17="Distrato",$E215,0)),MIN(AX$38,$D$19),$P$20))-SUM($P215:AW215)</f>
        <v>#VALUE!</v>
      </c>
      <c r="AY215" s="446" t="e">
        <f>IF(OR($B215="",MIN(AY$38,$D$19)&lt;MAX($P$34*($B215+IF($R$17="Distrato",$I$38-1,0)),IF(AND($L$37=0,$P$34=0),"",$L$37-1),IF($R$17="Distrato",$E215,0))),0,YEARFRAC(MAX($P$34*($B215+IF($R$17="Distrato",$I$38-1,0)),IF(AND($L$37=0,$P$34=0),"",$L$37-1),IF($R$17="Distrato",$E215,0)),MIN(AY$38,$D$19),$P$20))-SUM($P215:AX215)</f>
        <v>#VALUE!</v>
      </c>
      <c r="AZ215" s="446" t="e">
        <f>IF(OR($B215="",MIN(AZ$38,$D$19)&lt;MAX($P$34*($B215+IF($R$17="Distrato",$I$38-1,0)),IF(AND($L$37=0,$P$34=0),"",$L$37-1),IF($R$17="Distrato",$E215,0))),0,YEARFRAC(MAX($P$34*($B215+IF($R$17="Distrato",$I$38-1,0)),IF(AND($L$37=0,$P$34=0),"",$L$37-1),IF($R$17="Distrato",$E215,0)),MIN(AZ$38,$D$19),$P$20))-SUM($P215:AY215)</f>
        <v>#VALUE!</v>
      </c>
      <c r="BA215" s="446" t="e">
        <f>IF(OR($B215="",MIN(BA$38,$D$19)&lt;MAX($P$34*($B215+IF($R$17="Distrato",$I$38-1,0)),IF(AND($L$37=0,$P$34=0),"",$L$37-1),IF($R$17="Distrato",$E215,0))),0,YEARFRAC(MAX($P$34*($B215+IF($R$17="Distrato",$I$38-1,0)),IF(AND($L$37=0,$P$34=0),"",$L$37-1),IF($R$17="Distrato",$E215,0)),MIN(BA$38,$D$19),$P$20))-SUM($P215:AZ215)</f>
        <v>#VALUE!</v>
      </c>
      <c r="BB215" s="447"/>
      <c r="BF215" s="446">
        <f t="shared" si="32"/>
        <v>0</v>
      </c>
      <c r="BG215" s="446">
        <f>IF($E215=0,0,IF(MIN(BG$38,$E215)&lt;MAX($P$34*($B215+$I$38-1),IF(AND($L$37=0,$P$34=0),"",$L$37-1)),0,YEARFRAC(MAX($P$34*($B215+$I$38-1),IF(AND($L$37=0,$P$34=0),"",$L$37-1)),MIN(BG$38,$E215),$P$20))-SUM($BF215:BF215))</f>
        <v>0</v>
      </c>
      <c r="BH215" s="446">
        <f>IF($E215=0,0,IF(MIN(BH$38,$E215)&lt;MAX($P$34*($B215+$I$38-1),IF(AND($L$37=0,$P$34=0),"",$L$37-1)),0,YEARFRAC(MAX($P$34*($B215+$I$38-1),IF(AND($L$37=0,$P$34=0),"",$L$37-1)),MIN(BH$38,$E215),$P$20))-SUM($BF215:BG215))</f>
        <v>0</v>
      </c>
      <c r="BI215" s="446">
        <f>IF($E215=0,0,IF(MIN(BI$38,$E215)&lt;MAX($P$34*($B215+$I$38-1),IF(AND($L$37=0,$P$34=0),"",$L$37-1)),0,YEARFRAC(MAX($P$34*($B215+$I$38-1),IF(AND($L$37=0,$P$34=0),"",$L$37-1)),MIN(BI$38,$E215),$P$20))-SUM($BF215:BH215))</f>
        <v>0</v>
      </c>
      <c r="BJ215" s="446">
        <f>IF($E215=0,0,IF(MIN(BJ$38,$E215)&lt;MAX($P$34*($B215+$I$38-1),IF(AND($L$37=0,$P$34=0),"",$L$37-1)),0,YEARFRAC(MAX($P$34*($B215+$I$38-1),IF(AND($L$37=0,$P$34=0),"",$L$37-1)),MIN(BJ$38,$E215),$P$20))-SUM($BF215:BI215))</f>
        <v>0</v>
      </c>
      <c r="BK215" s="446">
        <f>IF($E215=0,0,IF(MIN(BK$38,$E215)&lt;MAX($P$34*($B215+$I$38-1),IF(AND($L$37=0,$P$34=0),"",$L$37-1)),0,YEARFRAC(MAX($P$34*($B215+$I$38-1),IF(AND($L$37=0,$P$34=0),"",$L$37-1)),MIN(BK$38,$E215),$P$20))-SUM($BF215:BJ215))</f>
        <v>0</v>
      </c>
      <c r="BL215" s="446">
        <f>IF($E215=0,0,IF(MIN(BL$38,$E215)&lt;MAX($P$34*($B215+$I$38-1),IF(AND($L$37=0,$P$34=0),"",$L$37-1)),0,YEARFRAC(MAX($P$34*($B215+$I$38-1),IF(AND($L$37=0,$P$34=0),"",$L$37-1)),MIN(BL$38,$E215),$P$20))-SUM($BF215:BK215))</f>
        <v>0</v>
      </c>
      <c r="BM215" s="446">
        <f>IF($E215=0,0,IF(MIN(BM$38,$E215)&lt;MAX($P$34*($B215+$I$38-1),IF(AND($L$37=0,$P$34=0),"",$L$37-1)),0,YEARFRAC(MAX($P$34*($B215+$I$38-1),IF(AND($L$37=0,$P$34=0),"",$L$37-1)),MIN(BM$38,$E215),$P$20))-SUM($BF215:BL215))</f>
        <v>0</v>
      </c>
      <c r="BN215" s="446">
        <f>IF($E215=0,0,IF(MIN(BN$38,$E215)&lt;MAX($P$34*($B215+$I$38-1),IF(AND($L$37=0,$P$34=0),"",$L$37-1)),0,YEARFRAC(MAX($P$34*($B215+$I$38-1),IF(AND($L$37=0,$P$34=0),"",$L$37-1)),MIN(BN$38,$E215),$P$20))-SUM($BF215:BM215))</f>
        <v>0</v>
      </c>
      <c r="BO215" s="446">
        <f>IF($E215=0,0,IF(MIN(BO$38,$E215)&lt;MAX($P$34*($B215+$I$38-1),IF(AND($L$37=0,$P$34=0),"",$L$37-1)),0,YEARFRAC(MAX($P$34*($B215+$I$38-1),IF(AND($L$37=0,$P$34=0),"",$L$37-1)),MIN(BO$38,$E215),$P$20))-SUM($BF215:BN215))</f>
        <v>0</v>
      </c>
      <c r="BP215" s="446">
        <f>IF($E215=0,0,IF(MIN(BP$38,$E215)&lt;MAX($P$34*($B215+$I$38-1),IF(AND($L$37=0,$P$34=0),"",$L$37-1)),0,YEARFRAC(MAX($P$34*($B215+$I$38-1),IF(AND($L$37=0,$P$34=0),"",$L$37-1)),MIN(BP$38,$E215),$P$20))-SUM($BF215:BO215))</f>
        <v>0</v>
      </c>
      <c r="BQ215" s="446">
        <f>IF($E215=0,0,IF(MIN(BQ$38,$E215)&lt;MAX($P$34*($B215+$I$38-1),IF(AND($L$37=0,$P$34=0),"",$L$37-1)),0,YEARFRAC(MAX($P$34*($B215+$I$38-1),IF(AND($L$37=0,$P$34=0),"",$L$37-1)),MIN(BQ$38,$E215),$P$20))-SUM($BF215:BP215))</f>
        <v>0</v>
      </c>
      <c r="BR215" s="446">
        <f>IF($E215=0,0,IF(MIN(BR$38,$E215)&lt;MAX($P$34*($B215+$I$38-1),IF(AND($L$37=0,$P$34=0),"",$L$37-1)),0,YEARFRAC(MAX($P$34*($B215+$I$38-1),IF(AND($L$37=0,$P$34=0),"",$L$37-1)),MIN(BR$38,$E215),$P$20))-SUM($BF215:BQ215))</f>
        <v>0</v>
      </c>
      <c r="BS215" s="446">
        <f>IF($E215=0,0,IF(MIN(BS$38,$E215)&lt;MAX($P$34*($B215+$I$38-1),IF(AND($L$37=0,$P$34=0),"",$L$37-1)),0,YEARFRAC(MAX($P$34*($B215+$I$38-1),IF(AND($L$37=0,$P$34=0),"",$L$37-1)),MIN(BS$38,$E215),$P$20))-SUM($BF215:BR215))</f>
        <v>0</v>
      </c>
      <c r="BT215" s="446">
        <f>IF($E215=0,0,IF(MIN(BT$38,$E215)&lt;MAX($P$34*($B215+$I$38-1),IF(AND($L$37=0,$P$34=0),"",$L$37-1)),0,YEARFRAC(MAX($P$34*($B215+$I$38-1),IF(AND($L$37=0,$P$34=0),"",$L$37-1)),MIN(BT$38,$E215),$P$20))-SUM($BF215:BS215))</f>
        <v>0</v>
      </c>
      <c r="BU215" s="446">
        <f>IF($E215=0,0,IF(MIN(BU$38,$E215)&lt;MAX($P$34*($B215+$I$38-1),IF(AND($L$37=0,$P$34=0),"",$L$37-1)),0,YEARFRAC(MAX($P$34*($B215+$I$38-1),IF(AND($L$37=0,$P$34=0),"",$L$37-1)),MIN(BU$38,$E215),$P$20))-SUM($BF215:BT215))</f>
        <v>0</v>
      </c>
      <c r="BV215" s="446">
        <f>IF($E215=0,0,IF(MIN(BV$38,$E215)&lt;MAX($P$34*($B215+$I$38-1),IF(AND($L$37=0,$P$34=0),"",$L$37-1)),0,YEARFRAC(MAX($P$34*($B215+$I$38-1),IF(AND($L$37=0,$P$34=0),"",$L$37-1)),MIN(BV$38,$E215),$P$20))-SUM($BF215:BU215))</f>
        <v>0</v>
      </c>
      <c r="BW215" s="446">
        <f>IF($E215=0,0,IF(MIN(BW$38,$E215)&lt;MAX($P$34*($B215+$I$38-1),IF(AND($L$37=0,$P$34=0),"",$L$37-1)),0,YEARFRAC(MAX($P$34*($B215+$I$38-1),IF(AND($L$37=0,$P$34=0),"",$L$37-1)),MIN(BW$38,$E215),$P$20))-SUM($BF215:BV215))</f>
        <v>0</v>
      </c>
      <c r="BX215" s="446">
        <f>IF($E215=0,0,IF(MIN(BX$38,$E215)&lt;MAX($P$34*($B215+$I$38-1),IF(AND($L$37=0,$P$34=0),"",$L$37-1)),0,YEARFRAC(MAX($P$34*($B215+$I$38-1),IF(AND($L$37=0,$P$34=0),"",$L$37-1)),MIN(BX$38,$E215),$P$20))-SUM($BF215:BW215))</f>
        <v>0</v>
      </c>
      <c r="BY215" s="446">
        <f>IF($E215=0,0,IF(MIN(BY$38,$E215)&lt;MAX($P$34*($B215+$I$38-1),IF(AND($L$37=0,$P$34=0),"",$L$37-1)),0,YEARFRAC(MAX($P$34*($B215+$I$38-1),IF(AND($L$37=0,$P$34=0),"",$L$37-1)),MIN(BY$38,$E215),$P$20))-SUM($BF215:BX215))</f>
        <v>0</v>
      </c>
      <c r="BZ215" s="446">
        <f>IF($E215=0,0,IF(MIN(BZ$38,$E215)&lt;MAX($P$34*($B215+$I$38-1),IF(AND($L$37=0,$P$34=0),"",$L$37-1)),0,YEARFRAC(MAX($P$34*($B215+$I$38-1),IF(AND($L$37=0,$P$34=0),"",$L$37-1)),MIN(BZ$38,$E215),$P$20))-SUM($BF215:BY215))</f>
        <v>0</v>
      </c>
      <c r="CA215" s="446">
        <f>IF($E215=0,0,IF(MIN(CA$38,$E215)&lt;MAX($P$34*($B215+$I$38-1),IF(AND($L$37=0,$P$34=0),"",$L$37-1)),0,YEARFRAC(MAX($P$34*($B215+$I$38-1),IF(AND($L$37=0,$P$34=0),"",$L$37-1)),MIN(CA$38,$E215),$P$20))-SUM($BF215:BZ215))</f>
        <v>0</v>
      </c>
      <c r="CB215" s="446">
        <f>IF($E215=0,0,IF(MIN(CB$38,$E215)&lt;MAX($P$34*($B215+$I$38-1),IF(AND($L$37=0,$P$34=0),"",$L$37-1)),0,YEARFRAC(MAX($P$34*($B215+$I$38-1),IF(AND($L$37=0,$P$34=0),"",$L$37-1)),MIN(CB$38,$E215),$P$20))-SUM($BF215:CA215))</f>
        <v>0</v>
      </c>
      <c r="CC215" s="446">
        <f>IF($E215=0,0,IF(MIN(CC$38,$E215)&lt;MAX($P$34*($B215+$I$38-1),IF(AND($L$37=0,$P$34=0),"",$L$37-1)),0,YEARFRAC(MAX($P$34*($B215+$I$38-1),IF(AND($L$37=0,$P$34=0),"",$L$37-1)),MIN(CC$38,$E215),$P$20))-SUM($BF215:CB215))</f>
        <v>0</v>
      </c>
      <c r="CD215" s="446">
        <f>IF($E215=0,0,IF(MIN(CD$38,$E215)&lt;MAX($P$34*($B215+$I$38-1),IF(AND($L$37=0,$P$34=0),"",$L$37-1)),0,YEARFRAC(MAX($P$34*($B215+$I$38-1),IF(AND($L$37=0,$P$34=0),"",$L$37-1)),MIN(CD$38,$E215),$P$20))-SUM($BF215:CC215))</f>
        <v>0</v>
      </c>
      <c r="CE215" s="446">
        <f>IF($E215=0,0,IF(MIN(CE$38,$E215)&lt;MAX($P$34*($B215+$I$38-1),IF(AND($L$37=0,$P$34=0),"",$L$37-1)),0,YEARFRAC(MAX($P$34*($B215+$I$38-1),IF(AND($L$37=0,$P$34=0),"",$L$37-1)),MIN(CE$38,$E215),$P$20))-SUM($BF215:CD215))</f>
        <v>0</v>
      </c>
      <c r="CF215" s="446">
        <f>IF($E215=0,0,IF(MIN(CF$38,$E215)&lt;MAX($P$34*($B215+$I$38-1),IF(AND($L$37=0,$P$34=0),"",$L$37-1)),0,YEARFRAC(MAX($P$34*($B215+$I$38-1),IF(AND($L$37=0,$P$34=0),"",$L$37-1)),MIN(CF$38,$E215),$P$20))-SUM($BF215:CE215))</f>
        <v>0</v>
      </c>
      <c r="CG215" s="446">
        <f>IF($E215=0,0,IF(MIN(CG$38,$E215)&lt;MAX($P$34*($B215+$I$38-1),IF(AND($L$37=0,$P$34=0),"",$L$37-1)),0,YEARFRAC(MAX($P$34*($B215+$I$38-1),IF(AND($L$37=0,$P$34=0),"",$L$37-1)),MIN(CG$38,$E215),$P$20))-SUM($BF215:CF215))</f>
        <v>0</v>
      </c>
      <c r="CH215" s="446">
        <f>IF($E215=0,0,IF(MIN(CH$38,$E215)&lt;MAX($P$34*($B215+$I$38-1),IF(AND($L$37=0,$P$34=0),"",$L$37-1)),0,YEARFRAC(MAX($P$34*($B215+$I$38-1),IF(AND($L$37=0,$P$34=0),"",$L$37-1)),MIN(CH$38,$E215),$P$20))-SUM($BF215:CG215))</f>
        <v>0</v>
      </c>
      <c r="CI215" s="446">
        <f>IF($E215=0,0,IF(MIN(CI$38,$E215)&lt;MAX($P$34*($B215+$I$38-1),IF(AND($L$37=0,$P$34=0),"",$L$37-1)),0,YEARFRAC(MAX($P$34*($B215+$I$38-1),IF(AND($L$37=0,$P$34=0),"",$L$37-1)),MIN(CI$38,$E215),$P$20))-SUM($BF215:CH215))</f>
        <v>0</v>
      </c>
      <c r="CJ215" s="446">
        <f>IF($E215=0,0,IF(MIN(CJ$38,$E215)&lt;MAX($P$34*($B215+$I$38-1),IF(AND($L$37=0,$P$34=0),"",$L$37-1)),0,YEARFRAC(MAX($P$34*($B215+$I$38-1),IF(AND($L$37=0,$P$34=0),"",$L$37-1)),MIN(CJ$38,$E215),$P$20))-SUM($BF215:CI215))</f>
        <v>0</v>
      </c>
      <c r="CK215" s="446">
        <f>IF($E215=0,0,IF(MIN(CK$38,$E215)&lt;MAX($P$34*($B215+$I$38-1),IF(AND($L$37=0,$P$34=0),"",$L$37-1)),0,YEARFRAC(MAX($P$34*($B215+$I$38-1),IF(AND($L$37=0,$P$34=0),"",$L$37-1)),MIN(CK$38,$E215),$P$20))-SUM($BF215:CJ215))</f>
        <v>0</v>
      </c>
      <c r="CL215" s="446">
        <f>IF($E215=0,0,IF(MIN(CL$38,$E215)&lt;MAX($P$34*($B215+$I$38-1),IF(AND($L$37=0,$P$34=0),"",$L$37-1)),0,YEARFRAC(MAX($P$34*($B215+$I$38-1),IF(AND($L$37=0,$P$34=0),"",$L$37-1)),MIN(CL$38,$E215),$P$20))-SUM($BF215:CK215))</f>
        <v>0</v>
      </c>
      <c r="CM215" s="446">
        <f>IF($E215=0,0,IF(MIN(CM$38,$E215)&lt;MAX($P$34*($B215+$I$38-1),IF(AND($L$37=0,$P$34=0),"",$L$37-1)),0,YEARFRAC(MAX($P$34*($B215+$I$38-1),IF(AND($L$37=0,$P$34=0),"",$L$37-1)),MIN(CM$38,$E215),$P$20))-SUM($BF215:CL215))</f>
        <v>0</v>
      </c>
      <c r="CN215" s="446">
        <f>IF($E215=0,0,IF(MIN(CN$38,$E215)&lt;MAX($P$34*($B215+$I$38-1),IF(AND($L$37=0,$P$34=0),"",$L$37-1)),0,YEARFRAC(MAX($P$34*($B215+$I$38-1),IF(AND($L$37=0,$P$34=0),"",$L$37-1)),MIN(CN$38,$E215),$P$20))-SUM($BF215:CM215))</f>
        <v>0</v>
      </c>
      <c r="CO215" s="446">
        <f>IF($E215=0,0,IF(MIN(CO$38,$E215)&lt;MAX($P$34*($B215+$I$38-1),IF(AND($L$37=0,$P$34=0),"",$L$37-1)),0,YEARFRAC(MAX($P$34*($B215+$I$38-1),IF(AND($L$37=0,$P$34=0),"",$L$37-1)),MIN(CO$38,$E215),$P$20))-SUM($BF215:CN215))</f>
        <v>0</v>
      </c>
      <c r="CP215" s="446">
        <f>IF($E215=0,0,IF(MIN(CP$38,$E215)&lt;MAX($P$34*($B215+$I$38-1),IF(AND($L$37=0,$P$34=0),"",$L$37-1)),0,YEARFRAC(MAX($P$34*($B215+$I$38-1),IF(AND($L$37=0,$P$34=0),"",$L$37-1)),MIN(CP$38,$E215),$P$20))-SUM($BF215:CO215))</f>
        <v>0</v>
      </c>
      <c r="CQ215" s="446">
        <f>IF($E215=0,0,IF(MIN(CQ$38,$E215)&lt;MAX($P$34*($B215+$I$38-1),IF(AND($L$37=0,$P$34=0),"",$L$37-1)),0,YEARFRAC(MAX($P$34*($B215+$I$38-1),IF(AND($L$37=0,$P$34=0),"",$L$37-1)),MIN(CQ$38,$E215),$P$20))-SUM($BF215:CP215))</f>
        <v>0</v>
      </c>
    </row>
    <row r="216" spans="1:95" s="446" customFormat="1" ht="11.25" hidden="1" customHeight="1" x14ac:dyDescent="0.2">
      <c r="A216" s="152"/>
      <c r="B216" s="153" t="str">
        <f t="shared" si="37"/>
        <v/>
      </c>
      <c r="C216" s="29" t="str">
        <f>IF(B216="","",IF($L$35="SELIC - TRIBUTOS",VLOOKUP(DATE(YEAR($D$19),MONTH($D$19)-1,1),ÍNDICES!$A:$DE,HLOOKUP($BL$25,ÍNDICES!$B$3:$T$4,2)+11)-VLOOKUP(B216,ÍNDICES!$A:$DE,HLOOKUP($BL$25,ÍNDICES!$B$3:$T$4,2)+11)+1%,IF(C$38=$W$26,$J$35,IF(ISERROR(IF(B216&gt;$D$19,1,VLOOKUP(DATE(YEAR(B216),MONTH(B216)+IF($C$35=$S$23,1,0),1),ÍNDICES!$A:$DE,$Z$35+1))),"",IF(B216&gt;$D$19,1,VLOOKUP(DATE(YEAR(B216),MONTH(B216)+IF($C$35=$S$23,1,0),1),ÍNDICES!$A:$DE,$Z$35+1))))))</f>
        <v/>
      </c>
      <c r="D216" s="154" t="str">
        <f>IF(ISERROR(IF(OR($D$38=$Y$27,$B216=""),"",VLOOKUP(B216,ÍNDICES!A:DE,AF$35+1))),"",IF(OR($D$38=$Y$27,$B216=""),"",VLOOKUP(B216,ÍNDICES!A:DE,AF$35+1)))</f>
        <v/>
      </c>
      <c r="E216" s="153"/>
      <c r="F216" s="29" t="str">
        <f>IF(E216="","",IF($L$35="SELIC - TRIBUTOS",VLOOKUP(DATE(YEAR($D$19),MONTH($D$19)-1,1),ÍNDICES!$A:$DE,HLOOKUP($BL$25,ÍNDICES!$B$3:$T$4,2)+11)-VLOOKUP(E216,ÍNDICES!$A:$DE,HLOOKUP($BL$25,ÍNDICES!$B$3:$T$4,2)+11)+1%,IF(F$38=$W$26,$J$35,IF(ISERROR(IF(E216&gt;$D$19,1,VLOOKUP(DATE(YEAR(E216),MONTH(E216)+IF($C$35=$S$23,1,0),1),ÍNDICES!$A:$DE,$Z$35+1))),"",IF(E216&gt;$D$19,1,VLOOKUP(DATE(YEAR(E216),MONTH(E216)+IF($C$35=$S$23,1,0),1),ÍNDICES!$A:$DE,$Z$35+1))))))</f>
        <v/>
      </c>
      <c r="G216" s="155"/>
      <c r="H216" s="156" t="str">
        <f t="shared" si="33"/>
        <v/>
      </c>
      <c r="I216" s="29" t="str">
        <f t="shared" si="27"/>
        <v/>
      </c>
      <c r="J216" s="5">
        <f t="shared" si="28"/>
        <v>0</v>
      </c>
      <c r="K216" s="20">
        <f t="shared" ca="1" si="29"/>
        <v>0</v>
      </c>
      <c r="L216" s="5">
        <f t="shared" ca="1" si="30"/>
        <v>0</v>
      </c>
      <c r="M216" s="64">
        <f t="shared" si="34"/>
        <v>0</v>
      </c>
      <c r="N216" s="61">
        <f t="shared" ca="1" si="35"/>
        <v>0</v>
      </c>
      <c r="O216" s="5">
        <f t="shared" ca="1" si="36"/>
        <v>0</v>
      </c>
      <c r="P216" s="446" t="e">
        <f t="shared" si="31"/>
        <v>#VALUE!</v>
      </c>
      <c r="Q216" s="446" t="e">
        <f>IF(OR($B216="",MIN(Q$38,$D$19)&lt;MAX($P$34*($B216+IF($R$17="Distrato",$I$38-1,0)),IF(AND($L$37=0,$P$34=0),"",$L$37-1),IF($R$17="Distrato",$E216,0))),0,YEARFRAC(MAX($P$34*($B216+IF($R$17="Distrato",$I$38-1,0)),IF(AND($L$37=0,$P$34=0),"",$L$37-1),IF($R$17="Distrato",$E216,0)),MIN(Q$38,$D$19),$P$20))-SUM($P216:P216)</f>
        <v>#VALUE!</v>
      </c>
      <c r="R216" s="446" t="e">
        <f>IF(OR($B216="",MIN(R$38,$D$19)&lt;MAX($P$34*($B216+IF($R$17="Distrato",$I$38-1,0)),IF(AND($L$37=0,$P$34=0),"",$L$37-1),IF($R$17="Distrato",$E216,0))),0,YEARFRAC(MAX($P$34*($B216+IF($R$17="Distrato",$I$38-1,0)),IF(AND($L$37=0,$P$34=0),"",$L$37-1),IF($R$17="Distrato",$E216,0)),MIN(R$38,$D$19),$P$20))-SUM($P216:Q216)</f>
        <v>#VALUE!</v>
      </c>
      <c r="S216" s="446" t="e">
        <f>IF(OR($B216="",MIN(S$38,$D$19)&lt;MAX($P$34*($B216+IF($R$17="Distrato",$I$38-1,0)),IF(AND($L$37=0,$P$34=0),"",$L$37-1),IF($R$17="Distrato",$E216,0))),0,YEARFRAC(MAX($P$34*($B216+IF($R$17="Distrato",$I$38-1,0)),IF(AND($L$37=0,$P$34=0),"",$L$37-1),IF($R$17="Distrato",$E216,0)),MIN(S$38,$D$19),$P$20))-SUM($P216:R216)</f>
        <v>#VALUE!</v>
      </c>
      <c r="T216" s="446" t="e">
        <f>IF(OR($B216="",MIN(T$38,$D$19)&lt;MAX($P$34*($B216+IF($R$17="Distrato",$I$38-1,0)),IF(AND($L$37=0,$P$34=0),"",$L$37-1),IF($R$17="Distrato",$E216,0))),0,YEARFRAC(MAX($P$34*($B216+IF($R$17="Distrato",$I$38-1,0)),IF(AND($L$37=0,$P$34=0),"",$L$37-1),IF($R$17="Distrato",$E216,0)),MIN(T$38,$D$19),$P$20))-SUM($P216:S216)</f>
        <v>#VALUE!</v>
      </c>
      <c r="U216" s="446" t="e">
        <f>IF(OR($B216="",MIN(U$38,$D$19)&lt;MAX($P$34*($B216+IF($R$17="Distrato",$I$38-1,0)),IF(AND($L$37=0,$P$34=0),"",$L$37-1),IF($R$17="Distrato",$E216,0))),0,YEARFRAC(MAX($P$34*($B216+IF($R$17="Distrato",$I$38-1,0)),IF(AND($L$37=0,$P$34=0),"",$L$37-1),IF($R$17="Distrato",$E216,0)),MIN(U$38,$D$19),$P$20))-SUM($P216:T216)</f>
        <v>#VALUE!</v>
      </c>
      <c r="V216" s="446" t="e">
        <f>IF(OR($B216="",MIN(V$38,$D$19)&lt;MAX($P$34*($B216+IF($R$17="Distrato",$I$38-1,0)),IF(AND($L$37=0,$P$34=0),"",$L$37-1),IF($R$17="Distrato",$E216,0))),0,YEARFRAC(MAX($P$34*($B216+IF($R$17="Distrato",$I$38-1,0)),IF(AND($L$37=0,$P$34=0),"",$L$37-1),IF($R$17="Distrato",$E216,0)),MIN(V$38,$D$19),$P$20))-SUM($P216:U216)</f>
        <v>#VALUE!</v>
      </c>
      <c r="W216" s="446" t="e">
        <f>IF(OR($B216="",MIN(W$38,$D$19)&lt;MAX($P$34*($B216+IF($R$17="Distrato",$I$38-1,0)),IF(AND($L$37=0,$P$34=0),"",$L$37-1),IF($R$17="Distrato",$E216,0))),0,YEARFRAC(MAX($P$34*($B216+IF($R$17="Distrato",$I$38-1,0)),IF(AND($L$37=0,$P$34=0),"",$L$37-1),IF($R$17="Distrato",$E216,0)),MIN(W$38,$D$19),$P$20))-SUM($P216:V216)</f>
        <v>#VALUE!</v>
      </c>
      <c r="X216" s="446" t="e">
        <f>IF(OR($B216="",MIN(X$38,$D$19)&lt;MAX($P$34*($B216+IF($R$17="Distrato",$I$38-1,0)),IF(AND($L$37=0,$P$34=0),"",$L$37-1),IF($R$17="Distrato",$E216,0))),0,YEARFRAC(MAX($P$34*($B216+IF($R$17="Distrato",$I$38-1,0)),IF(AND($L$37=0,$P$34=0),"",$L$37-1),IF($R$17="Distrato",$E216,0)),MIN(X$38,$D$19),$P$20))-SUM($P216:W216)</f>
        <v>#VALUE!</v>
      </c>
      <c r="Y216" s="446" t="e">
        <f>IF(OR($B216="",MIN(Y$38,$D$19)&lt;MAX($P$34*($B216+IF($R$17="Distrato",$I$38-1,0)),IF(AND($L$37=0,$P$34=0),"",$L$37-1),IF($R$17="Distrato",$E216,0))),0,YEARFRAC(MAX($P$34*($B216+IF($R$17="Distrato",$I$38-1,0)),IF(AND($L$37=0,$P$34=0),"",$L$37-1),IF($R$17="Distrato",$E216,0)),MIN(Y$38,$D$19),$P$20))-SUM($P216:X216)</f>
        <v>#VALUE!</v>
      </c>
      <c r="Z216" s="446" t="e">
        <f>IF(OR($B216="",MIN(Z$38,$D$19)&lt;MAX($P$34*($B216+IF($R$17="Distrato",$I$38-1,0)),IF(AND($L$37=0,$P$34=0),"",$L$37-1),IF($R$17="Distrato",$E216,0))),0,YEARFRAC(MAX($P$34*($B216+IF($R$17="Distrato",$I$38-1,0)),IF(AND($L$37=0,$P$34=0),"",$L$37-1),IF($R$17="Distrato",$E216,0)),MIN(Z$38,$D$19),$P$20))-SUM($P216:Y216)</f>
        <v>#VALUE!</v>
      </c>
      <c r="AA216" s="446" t="e">
        <f>IF(OR($B216="",MIN(AA$38,$D$19)&lt;MAX($P$34*($B216+IF($R$17="Distrato",$I$38-1,0)),IF(AND($L$37=0,$P$34=0),"",$L$37-1),IF($R$17="Distrato",$E216,0))),0,YEARFRAC(MAX($P$34*($B216+IF($R$17="Distrato",$I$38-1,0)),IF(AND($L$37=0,$P$34=0),"",$L$37-1),IF($R$17="Distrato",$E216,0)),MIN(AA$38,$D$19),$P$20))-SUM($P216:Z216)</f>
        <v>#VALUE!</v>
      </c>
      <c r="AB216" s="446" t="e">
        <f>IF(OR($B216="",MIN(AB$38,$D$19)&lt;MAX($P$34*($B216+IF($R$17="Distrato",$I$38-1,0)),IF(AND($L$37=0,$P$34=0),"",$L$37-1),IF($R$17="Distrato",$E216,0))),0,YEARFRAC(MAX($P$34*($B216+IF($R$17="Distrato",$I$38-1,0)),IF(AND($L$37=0,$P$34=0),"",$L$37-1),IF($R$17="Distrato",$E216,0)),MIN(AB$38,$D$19),$P$20))-SUM($P216:AA216)</f>
        <v>#VALUE!</v>
      </c>
      <c r="AC216" s="446" t="e">
        <f>IF(OR($B216="",MIN(AC$38,$D$19)&lt;MAX($P$34*($B216+IF($R$17="Distrato",$I$38-1,0)),IF(AND($L$37=0,$P$34=0),"",$L$37-1),IF($R$17="Distrato",$E216,0))),0,YEARFRAC(MAX($P$34*($B216+IF($R$17="Distrato",$I$38-1,0)),IF(AND($L$37=0,$P$34=0),"",$L$37-1),IF($R$17="Distrato",$E216,0)),MIN(AC$38,$D$19),$P$20))-SUM($P216:AB216)</f>
        <v>#VALUE!</v>
      </c>
      <c r="AD216" s="446" t="e">
        <f>IF(OR($B216="",MIN(AD$38,$D$19)&lt;MAX($P$34*($B216+IF($R$17="Distrato",$I$38-1,0)),IF(AND($L$37=0,$P$34=0),"",$L$37-1),IF($R$17="Distrato",$E216,0))),0,YEARFRAC(MAX($P$34*($B216+IF($R$17="Distrato",$I$38-1,0)),IF(AND($L$37=0,$P$34=0),"",$L$37-1),IF($R$17="Distrato",$E216,0)),MIN(AD$38,$D$19),$P$20))-SUM($P216:AC216)</f>
        <v>#VALUE!</v>
      </c>
      <c r="AE216" s="446" t="e">
        <f>IF(OR($B216="",MIN(AE$38,$D$19)&lt;MAX($P$34*($B216+IF($R$17="Distrato",$I$38-1,0)),IF(AND($L$37=0,$P$34=0),"",$L$37-1),IF($R$17="Distrato",$E216,0))),0,YEARFRAC(MAX($P$34*($B216+IF($R$17="Distrato",$I$38-1,0)),IF(AND($L$37=0,$P$34=0),"",$L$37-1),IF($R$17="Distrato",$E216,0)),MIN(AE$38,$D$19),$P$20))-SUM($P216:AD216)</f>
        <v>#VALUE!</v>
      </c>
      <c r="AF216" s="446" t="e">
        <f>IF(OR($B216="",MIN(AF$38,$D$19)&lt;MAX($P$34*($B216+IF($R$17="Distrato",$I$38-1,0)),IF(AND($L$37=0,$P$34=0),"",$L$37-1),IF($R$17="Distrato",$E216,0))),0,YEARFRAC(MAX($P$34*($B216+IF($R$17="Distrato",$I$38-1,0)),IF(AND($L$37=0,$P$34=0),"",$L$37-1),IF($R$17="Distrato",$E216,0)),MIN(AF$38,$D$19),$P$20))-SUM($P216:AE216)</f>
        <v>#VALUE!</v>
      </c>
      <c r="AG216" s="446" t="e">
        <f>IF(OR($B216="",MIN(AG$38,$D$19)&lt;MAX($P$34*($B216+IF($R$17="Distrato",$I$38-1,0)),IF(AND($L$37=0,$P$34=0),"",$L$37-1),IF($R$17="Distrato",$E216,0))),0,YEARFRAC(MAX($P$34*($B216+IF($R$17="Distrato",$I$38-1,0)),IF(AND($L$37=0,$P$34=0),"",$L$37-1),IF($R$17="Distrato",$E216,0)),MIN(AG$38,$D$19),$P$20))-SUM($P216:AF216)</f>
        <v>#VALUE!</v>
      </c>
      <c r="AH216" s="446" t="e">
        <f>IF(OR($B216="",MIN(AH$38,$D$19)&lt;MAX($P$34*($B216+IF($R$17="Distrato",$I$38-1,0)),IF(AND($L$37=0,$P$34=0),"",$L$37-1),IF($R$17="Distrato",$E216,0))),0,YEARFRAC(MAX($P$34*($B216+IF($R$17="Distrato",$I$38-1,0)),IF(AND($L$37=0,$P$34=0),"",$L$37-1),IF($R$17="Distrato",$E216,0)),MIN(AH$38,$D$19),$P$20))-SUM($P216:AG216)</f>
        <v>#VALUE!</v>
      </c>
      <c r="AI216" s="446" t="e">
        <f>IF(OR($B216="",MIN(AI$38,$D$19)&lt;MAX($P$34*($B216+IF($R$17="Distrato",$I$38-1,0)),IF(AND($L$37=0,$P$34=0),"",$L$37-1),IF($R$17="Distrato",$E216,0))),0,YEARFRAC(MAX($P$34*($B216+IF($R$17="Distrato",$I$38-1,0)),IF(AND($L$37=0,$P$34=0),"",$L$37-1),IF($R$17="Distrato",$E216,0)),MIN(AI$38,$D$19),$P$20))-SUM($P216:AH216)</f>
        <v>#VALUE!</v>
      </c>
      <c r="AJ216" s="446" t="e">
        <f>IF(OR($B216="",MIN(AJ$38,$D$19)&lt;MAX($P$34*($B216+IF($R$17="Distrato",$I$38-1,0)),IF(AND($L$37=0,$P$34=0),"",$L$37-1),IF($R$17="Distrato",$E216,0))),0,YEARFRAC(MAX($P$34*($B216+IF($R$17="Distrato",$I$38-1,0)),IF(AND($L$37=0,$P$34=0),"",$L$37-1),IF($R$17="Distrato",$E216,0)),MIN(AJ$38,$D$19),$P$20))-SUM($P216:AI216)</f>
        <v>#VALUE!</v>
      </c>
      <c r="AK216" s="446" t="e">
        <f>IF(OR($B216="",MIN(AK$38,$D$19)&lt;MAX($P$34*($B216+IF($R$17="Distrato",$I$38-1,0)),IF(AND($L$37=0,$P$34=0),"",$L$37-1),IF($R$17="Distrato",$E216,0))),0,YEARFRAC(MAX($P$34*($B216+IF($R$17="Distrato",$I$38-1,0)),IF(AND($L$37=0,$P$34=0),"",$L$37-1),IF($R$17="Distrato",$E216,0)),MIN(AK$38,$D$19),$P$20))-SUM($P216:AJ216)</f>
        <v>#VALUE!</v>
      </c>
      <c r="AL216" s="446" t="e">
        <f>IF(OR($B216="",MIN(AL$38,$D$19)&lt;MAX($P$34*($B216+IF($R$17="Distrato",$I$38-1,0)),IF(AND($L$37=0,$P$34=0),"",$L$37-1),IF($R$17="Distrato",$E216,0))),0,YEARFRAC(MAX($P$34*($B216+IF($R$17="Distrato",$I$38-1,0)),IF(AND($L$37=0,$P$34=0),"",$L$37-1),IF($R$17="Distrato",$E216,0)),MIN(AL$38,$D$19),$P$20))-SUM($P216:AK216)</f>
        <v>#VALUE!</v>
      </c>
      <c r="AM216" s="446" t="e">
        <f>IF(OR($B216="",MIN(AM$38,$D$19)&lt;MAX($P$34*($B216+IF($R$17="Distrato",$I$38-1,0)),IF(AND($L$37=0,$P$34=0),"",$L$37-1),IF($R$17="Distrato",$E216,0))),0,YEARFRAC(MAX($P$34*($B216+IF($R$17="Distrato",$I$38-1,0)),IF(AND($L$37=0,$P$34=0),"",$L$37-1),IF($R$17="Distrato",$E216,0)),MIN(AM$38,$D$19),$P$20))-SUM($P216:AL216)</f>
        <v>#VALUE!</v>
      </c>
      <c r="AN216" s="446" t="e">
        <f>IF(OR($B216="",MIN(AN$38,$D$19)&lt;MAX($P$34*($B216+IF($R$17="Distrato",$I$38-1,0)),IF(AND($L$37=0,$P$34=0),"",$L$37-1),IF($R$17="Distrato",$E216,0))),0,YEARFRAC(MAX($P$34*($B216+IF($R$17="Distrato",$I$38-1,0)),IF(AND($L$37=0,$P$34=0),"",$L$37-1),IF($R$17="Distrato",$E216,0)),MIN(AN$38,$D$19),$P$20))-SUM($P216:AM216)</f>
        <v>#VALUE!</v>
      </c>
      <c r="AO216" s="446" t="e">
        <f>IF(OR($B216="",MIN(AO$38,$D$19)&lt;MAX($P$34*($B216+IF($R$17="Distrato",$I$38-1,0)),IF(AND($L$37=0,$P$34=0),"",$L$37-1),IF($R$17="Distrato",$E216,0))),0,YEARFRAC(MAX($P$34*($B216+IF($R$17="Distrato",$I$38-1,0)),IF(AND($L$37=0,$P$34=0),"",$L$37-1),IF($R$17="Distrato",$E216,0)),MIN(AO$38,$D$19),$P$20))-SUM($P216:AN216)</f>
        <v>#VALUE!</v>
      </c>
      <c r="AP216" s="446" t="e">
        <f>IF(OR($B216="",MIN(AP$38,$D$19)&lt;MAX($P$34*($B216+IF($R$17="Distrato",$I$38-1,0)),IF(AND($L$37=0,$P$34=0),"",$L$37-1),IF($R$17="Distrato",$E216,0))),0,YEARFRAC(MAX($P$34*($B216+IF($R$17="Distrato",$I$38-1,0)),IF(AND($L$37=0,$P$34=0),"",$L$37-1),IF($R$17="Distrato",$E216,0)),MIN(AP$38,$D$19),$P$20))-SUM($P216:AO216)</f>
        <v>#VALUE!</v>
      </c>
      <c r="AQ216" s="446" t="e">
        <f>IF(OR($B216="",MIN(AQ$38,$D$19)&lt;MAX($P$34*($B216+IF($R$17="Distrato",$I$38-1,0)),IF(AND($L$37=0,$P$34=0),"",$L$37-1),IF($R$17="Distrato",$E216,0))),0,YEARFRAC(MAX($P$34*($B216+IF($R$17="Distrato",$I$38-1,0)),IF(AND($L$37=0,$P$34=0),"",$L$37-1),IF($R$17="Distrato",$E216,0)),MIN(AQ$38,$D$19),$P$20))-SUM($P216:AP216)</f>
        <v>#VALUE!</v>
      </c>
      <c r="AR216" s="446" t="e">
        <f>IF(OR($B216="",MIN(AR$38,$D$19)&lt;MAX($P$34*($B216+IF($R$17="Distrato",$I$38-1,0)),IF(AND($L$37=0,$P$34=0),"",$L$37-1),IF($R$17="Distrato",$E216,0))),0,YEARFRAC(MAX($P$34*($B216+IF($R$17="Distrato",$I$38-1,0)),IF(AND($L$37=0,$P$34=0),"",$L$37-1),IF($R$17="Distrato",$E216,0)),MIN(AR$38,$D$19),$P$20))-SUM($P216:AQ216)</f>
        <v>#VALUE!</v>
      </c>
      <c r="AS216" s="446" t="e">
        <f>IF(OR($B216="",MIN(AS$38,$D$19)&lt;MAX($P$34*($B216+IF($R$17="Distrato",$I$38-1,0)),IF(AND($L$37=0,$P$34=0),"",$L$37-1),IF($R$17="Distrato",$E216,0))),0,YEARFRAC(MAX($P$34*($B216+IF($R$17="Distrato",$I$38-1,0)),IF(AND($L$37=0,$P$34=0),"",$L$37-1),IF($R$17="Distrato",$E216,0)),MIN(AS$38,$D$19),$P$20))-SUM($P216:AR216)</f>
        <v>#VALUE!</v>
      </c>
      <c r="AT216" s="446" t="e">
        <f>IF(OR($B216="",MIN(AT$38,$D$19)&lt;MAX($P$34*($B216+IF($R$17="Distrato",$I$38-1,0)),IF(AND($L$37=0,$P$34=0),"",$L$37-1),IF($R$17="Distrato",$E216,0))),0,YEARFRAC(MAX($P$34*($B216+IF($R$17="Distrato",$I$38-1,0)),IF(AND($L$37=0,$P$34=0),"",$L$37-1),IF($R$17="Distrato",$E216,0)),MIN(AT$38,$D$19),$P$20))-SUM($P216:AS216)</f>
        <v>#VALUE!</v>
      </c>
      <c r="AU216" s="446" t="e">
        <f>IF(OR($B216="",MIN(AU$38,$D$19)&lt;MAX($P$34*($B216+IF($R$17="Distrato",$I$38-1,0)),IF(AND($L$37=0,$P$34=0),"",$L$37-1),IF($R$17="Distrato",$E216,0))),0,YEARFRAC(MAX($P$34*($B216+IF($R$17="Distrato",$I$38-1,0)),IF(AND($L$37=0,$P$34=0),"",$L$37-1),IF($R$17="Distrato",$E216,0)),MIN(AU$38,$D$19),$P$20))-SUM($P216:AT216)</f>
        <v>#VALUE!</v>
      </c>
      <c r="AV216" s="446" t="e">
        <f>IF(OR($B216="",MIN(AV$38,$D$19)&lt;MAX($P$34*($B216+IF($R$17="Distrato",$I$38-1,0)),IF(AND($L$37=0,$P$34=0),"",$L$37-1),IF($R$17="Distrato",$E216,0))),0,YEARFRAC(MAX($P$34*($B216+IF($R$17="Distrato",$I$38-1,0)),IF(AND($L$37=0,$P$34=0),"",$L$37-1),IF($R$17="Distrato",$E216,0)),MIN(AV$38,$D$19),$P$20))-SUM($P216:AU216)</f>
        <v>#VALUE!</v>
      </c>
      <c r="AW216" s="446" t="e">
        <f>IF(OR($B216="",MIN(AW$38,$D$19)&lt;MAX($P$34*($B216+IF($R$17="Distrato",$I$38-1,0)),IF(AND($L$37=0,$P$34=0),"",$L$37-1),IF($R$17="Distrato",$E216,0))),0,YEARFRAC(MAX($P$34*($B216+IF($R$17="Distrato",$I$38-1,0)),IF(AND($L$37=0,$P$34=0),"",$L$37-1),IF($R$17="Distrato",$E216,0)),MIN(AW$38,$D$19),$P$20))-SUM($P216:AV216)</f>
        <v>#VALUE!</v>
      </c>
      <c r="AX216" s="446" t="e">
        <f>IF(OR($B216="",MIN(AX$38,$D$19)&lt;MAX($P$34*($B216+IF($R$17="Distrato",$I$38-1,0)),IF(AND($L$37=0,$P$34=0),"",$L$37-1),IF($R$17="Distrato",$E216,0))),0,YEARFRAC(MAX($P$34*($B216+IF($R$17="Distrato",$I$38-1,0)),IF(AND($L$37=0,$P$34=0),"",$L$37-1),IF($R$17="Distrato",$E216,0)),MIN(AX$38,$D$19),$P$20))-SUM($P216:AW216)</f>
        <v>#VALUE!</v>
      </c>
      <c r="AY216" s="446" t="e">
        <f>IF(OR($B216="",MIN(AY$38,$D$19)&lt;MAX($P$34*($B216+IF($R$17="Distrato",$I$38-1,0)),IF(AND($L$37=0,$P$34=0),"",$L$37-1),IF($R$17="Distrato",$E216,0))),0,YEARFRAC(MAX($P$34*($B216+IF($R$17="Distrato",$I$38-1,0)),IF(AND($L$37=0,$P$34=0),"",$L$37-1),IF($R$17="Distrato",$E216,0)),MIN(AY$38,$D$19),$P$20))-SUM($P216:AX216)</f>
        <v>#VALUE!</v>
      </c>
      <c r="AZ216" s="446" t="e">
        <f>IF(OR($B216="",MIN(AZ$38,$D$19)&lt;MAX($P$34*($B216+IF($R$17="Distrato",$I$38-1,0)),IF(AND($L$37=0,$P$34=0),"",$L$37-1),IF($R$17="Distrato",$E216,0))),0,YEARFRAC(MAX($P$34*($B216+IF($R$17="Distrato",$I$38-1,0)),IF(AND($L$37=0,$P$34=0),"",$L$37-1),IF($R$17="Distrato",$E216,0)),MIN(AZ$38,$D$19),$P$20))-SUM($P216:AY216)</f>
        <v>#VALUE!</v>
      </c>
      <c r="BA216" s="446" t="e">
        <f>IF(OR($B216="",MIN(BA$38,$D$19)&lt;MAX($P$34*($B216+IF($R$17="Distrato",$I$38-1,0)),IF(AND($L$37=0,$P$34=0),"",$L$37-1),IF($R$17="Distrato",$E216,0))),0,YEARFRAC(MAX($P$34*($B216+IF($R$17="Distrato",$I$38-1,0)),IF(AND($L$37=0,$P$34=0),"",$L$37-1),IF($R$17="Distrato",$E216,0)),MIN(BA$38,$D$19),$P$20))-SUM($P216:AZ216)</f>
        <v>#VALUE!</v>
      </c>
      <c r="BB216" s="447"/>
      <c r="BF216" s="446">
        <f t="shared" si="32"/>
        <v>0</v>
      </c>
      <c r="BG216" s="446">
        <f>IF($E216=0,0,IF(MIN(BG$38,$E216)&lt;MAX($P$34*($B216+$I$38-1),IF(AND($L$37=0,$P$34=0),"",$L$37-1)),0,YEARFRAC(MAX($P$34*($B216+$I$38-1),IF(AND($L$37=0,$P$34=0),"",$L$37-1)),MIN(BG$38,$E216),$P$20))-SUM($BF216:BF216))</f>
        <v>0</v>
      </c>
      <c r="BH216" s="446">
        <f>IF($E216=0,0,IF(MIN(BH$38,$E216)&lt;MAX($P$34*($B216+$I$38-1),IF(AND($L$37=0,$P$34=0),"",$L$37-1)),0,YEARFRAC(MAX($P$34*($B216+$I$38-1),IF(AND($L$37=0,$P$34=0),"",$L$37-1)),MIN(BH$38,$E216),$P$20))-SUM($BF216:BG216))</f>
        <v>0</v>
      </c>
      <c r="BI216" s="446">
        <f>IF($E216=0,0,IF(MIN(BI$38,$E216)&lt;MAX($P$34*($B216+$I$38-1),IF(AND($L$37=0,$P$34=0),"",$L$37-1)),0,YEARFRAC(MAX($P$34*($B216+$I$38-1),IF(AND($L$37=0,$P$34=0),"",$L$37-1)),MIN(BI$38,$E216),$P$20))-SUM($BF216:BH216))</f>
        <v>0</v>
      </c>
      <c r="BJ216" s="446">
        <f>IF($E216=0,0,IF(MIN(BJ$38,$E216)&lt;MAX($P$34*($B216+$I$38-1),IF(AND($L$37=0,$P$34=0),"",$L$37-1)),0,YEARFRAC(MAX($P$34*($B216+$I$38-1),IF(AND($L$37=0,$P$34=0),"",$L$37-1)),MIN(BJ$38,$E216),$P$20))-SUM($BF216:BI216))</f>
        <v>0</v>
      </c>
      <c r="BK216" s="446">
        <f>IF($E216=0,0,IF(MIN(BK$38,$E216)&lt;MAX($P$34*($B216+$I$38-1),IF(AND($L$37=0,$P$34=0),"",$L$37-1)),0,YEARFRAC(MAX($P$34*($B216+$I$38-1),IF(AND($L$37=0,$P$34=0),"",$L$37-1)),MIN(BK$38,$E216),$P$20))-SUM($BF216:BJ216))</f>
        <v>0</v>
      </c>
      <c r="BL216" s="446">
        <f>IF($E216=0,0,IF(MIN(BL$38,$E216)&lt;MAX($P$34*($B216+$I$38-1),IF(AND($L$37=0,$P$34=0),"",$L$37-1)),0,YEARFRAC(MAX($P$34*($B216+$I$38-1),IF(AND($L$37=0,$P$34=0),"",$L$37-1)),MIN(BL$38,$E216),$P$20))-SUM($BF216:BK216))</f>
        <v>0</v>
      </c>
      <c r="BM216" s="446">
        <f>IF($E216=0,0,IF(MIN(BM$38,$E216)&lt;MAX($P$34*($B216+$I$38-1),IF(AND($L$37=0,$P$34=0),"",$L$37-1)),0,YEARFRAC(MAX($P$34*($B216+$I$38-1),IF(AND($L$37=0,$P$34=0),"",$L$37-1)),MIN(BM$38,$E216),$P$20))-SUM($BF216:BL216))</f>
        <v>0</v>
      </c>
      <c r="BN216" s="446">
        <f>IF($E216=0,0,IF(MIN(BN$38,$E216)&lt;MAX($P$34*($B216+$I$38-1),IF(AND($L$37=0,$P$34=0),"",$L$37-1)),0,YEARFRAC(MAX($P$34*($B216+$I$38-1),IF(AND($L$37=0,$P$34=0),"",$L$37-1)),MIN(BN$38,$E216),$P$20))-SUM($BF216:BM216))</f>
        <v>0</v>
      </c>
      <c r="BO216" s="446">
        <f>IF($E216=0,0,IF(MIN(BO$38,$E216)&lt;MAX($P$34*($B216+$I$38-1),IF(AND($L$37=0,$P$34=0),"",$L$37-1)),0,YEARFRAC(MAX($P$34*($B216+$I$38-1),IF(AND($L$37=0,$P$34=0),"",$L$37-1)),MIN(BO$38,$E216),$P$20))-SUM($BF216:BN216))</f>
        <v>0</v>
      </c>
      <c r="BP216" s="446">
        <f>IF($E216=0,0,IF(MIN(BP$38,$E216)&lt;MAX($P$34*($B216+$I$38-1),IF(AND($L$37=0,$P$34=0),"",$L$37-1)),0,YEARFRAC(MAX($P$34*($B216+$I$38-1),IF(AND($L$37=0,$P$34=0),"",$L$37-1)),MIN(BP$38,$E216),$P$20))-SUM($BF216:BO216))</f>
        <v>0</v>
      </c>
      <c r="BQ216" s="446">
        <f>IF($E216=0,0,IF(MIN(BQ$38,$E216)&lt;MAX($P$34*($B216+$I$38-1),IF(AND($L$37=0,$P$34=0),"",$L$37-1)),0,YEARFRAC(MAX($P$34*($B216+$I$38-1),IF(AND($L$37=0,$P$34=0),"",$L$37-1)),MIN(BQ$38,$E216),$P$20))-SUM($BF216:BP216))</f>
        <v>0</v>
      </c>
      <c r="BR216" s="446">
        <f>IF($E216=0,0,IF(MIN(BR$38,$E216)&lt;MAX($P$34*($B216+$I$38-1),IF(AND($L$37=0,$P$34=0),"",$L$37-1)),0,YEARFRAC(MAX($P$34*($B216+$I$38-1),IF(AND($L$37=0,$P$34=0),"",$L$37-1)),MIN(BR$38,$E216),$P$20))-SUM($BF216:BQ216))</f>
        <v>0</v>
      </c>
      <c r="BS216" s="446">
        <f>IF($E216=0,0,IF(MIN(BS$38,$E216)&lt;MAX($P$34*($B216+$I$38-1),IF(AND($L$37=0,$P$34=0),"",$L$37-1)),0,YEARFRAC(MAX($P$34*($B216+$I$38-1),IF(AND($L$37=0,$P$34=0),"",$L$37-1)),MIN(BS$38,$E216),$P$20))-SUM($BF216:BR216))</f>
        <v>0</v>
      </c>
      <c r="BT216" s="446">
        <f>IF($E216=0,0,IF(MIN(BT$38,$E216)&lt;MAX($P$34*($B216+$I$38-1),IF(AND($L$37=0,$P$34=0),"",$L$37-1)),0,YEARFRAC(MAX($P$34*($B216+$I$38-1),IF(AND($L$37=0,$P$34=0),"",$L$37-1)),MIN(BT$38,$E216),$P$20))-SUM($BF216:BS216))</f>
        <v>0</v>
      </c>
      <c r="BU216" s="446">
        <f>IF($E216=0,0,IF(MIN(BU$38,$E216)&lt;MAX($P$34*($B216+$I$38-1),IF(AND($L$37=0,$P$34=0),"",$L$37-1)),0,YEARFRAC(MAX($P$34*($B216+$I$38-1),IF(AND($L$37=0,$P$34=0),"",$L$37-1)),MIN(BU$38,$E216),$P$20))-SUM($BF216:BT216))</f>
        <v>0</v>
      </c>
      <c r="BV216" s="446">
        <f>IF($E216=0,0,IF(MIN(BV$38,$E216)&lt;MAX($P$34*($B216+$I$38-1),IF(AND($L$37=0,$P$34=0),"",$L$37-1)),0,YEARFRAC(MAX($P$34*($B216+$I$38-1),IF(AND($L$37=0,$P$34=0),"",$L$37-1)),MIN(BV$38,$E216),$P$20))-SUM($BF216:BU216))</f>
        <v>0</v>
      </c>
      <c r="BW216" s="446">
        <f>IF($E216=0,0,IF(MIN(BW$38,$E216)&lt;MAX($P$34*($B216+$I$38-1),IF(AND($L$37=0,$P$34=0),"",$L$37-1)),0,YEARFRAC(MAX($P$34*($B216+$I$38-1),IF(AND($L$37=0,$P$34=0),"",$L$37-1)),MIN(BW$38,$E216),$P$20))-SUM($BF216:BV216))</f>
        <v>0</v>
      </c>
      <c r="BX216" s="446">
        <f>IF($E216=0,0,IF(MIN(BX$38,$E216)&lt;MAX($P$34*($B216+$I$38-1),IF(AND($L$37=0,$P$34=0),"",$L$37-1)),0,YEARFRAC(MAX($P$34*($B216+$I$38-1),IF(AND($L$37=0,$P$34=0),"",$L$37-1)),MIN(BX$38,$E216),$P$20))-SUM($BF216:BW216))</f>
        <v>0</v>
      </c>
      <c r="BY216" s="446">
        <f>IF($E216=0,0,IF(MIN(BY$38,$E216)&lt;MAX($P$34*($B216+$I$38-1),IF(AND($L$37=0,$P$34=0),"",$L$37-1)),0,YEARFRAC(MAX($P$34*($B216+$I$38-1),IF(AND($L$37=0,$P$34=0),"",$L$37-1)),MIN(BY$38,$E216),$P$20))-SUM($BF216:BX216))</f>
        <v>0</v>
      </c>
      <c r="BZ216" s="446">
        <f>IF($E216=0,0,IF(MIN(BZ$38,$E216)&lt;MAX($P$34*($B216+$I$38-1),IF(AND($L$37=0,$P$34=0),"",$L$37-1)),0,YEARFRAC(MAX($P$34*($B216+$I$38-1),IF(AND($L$37=0,$P$34=0),"",$L$37-1)),MIN(BZ$38,$E216),$P$20))-SUM($BF216:BY216))</f>
        <v>0</v>
      </c>
      <c r="CA216" s="446">
        <f>IF($E216=0,0,IF(MIN(CA$38,$E216)&lt;MAX($P$34*($B216+$I$38-1),IF(AND($L$37=0,$P$34=0),"",$L$37-1)),0,YEARFRAC(MAX($P$34*($B216+$I$38-1),IF(AND($L$37=0,$P$34=0),"",$L$37-1)),MIN(CA$38,$E216),$P$20))-SUM($BF216:BZ216))</f>
        <v>0</v>
      </c>
      <c r="CB216" s="446">
        <f>IF($E216=0,0,IF(MIN(CB$38,$E216)&lt;MAX($P$34*($B216+$I$38-1),IF(AND($L$37=0,$P$34=0),"",$L$37-1)),0,YEARFRAC(MAX($P$34*($B216+$I$38-1),IF(AND($L$37=0,$P$34=0),"",$L$37-1)),MIN(CB$38,$E216),$P$20))-SUM($BF216:CA216))</f>
        <v>0</v>
      </c>
      <c r="CC216" s="446">
        <f>IF($E216=0,0,IF(MIN(CC$38,$E216)&lt;MAX($P$34*($B216+$I$38-1),IF(AND($L$37=0,$P$34=0),"",$L$37-1)),0,YEARFRAC(MAX($P$34*($B216+$I$38-1),IF(AND($L$37=0,$P$34=0),"",$L$37-1)),MIN(CC$38,$E216),$P$20))-SUM($BF216:CB216))</f>
        <v>0</v>
      </c>
      <c r="CD216" s="446">
        <f>IF($E216=0,0,IF(MIN(CD$38,$E216)&lt;MAX($P$34*($B216+$I$38-1),IF(AND($L$37=0,$P$34=0),"",$L$37-1)),0,YEARFRAC(MAX($P$34*($B216+$I$38-1),IF(AND($L$37=0,$P$34=0),"",$L$37-1)),MIN(CD$38,$E216),$P$20))-SUM($BF216:CC216))</f>
        <v>0</v>
      </c>
      <c r="CE216" s="446">
        <f>IF($E216=0,0,IF(MIN(CE$38,$E216)&lt;MAX($P$34*($B216+$I$38-1),IF(AND($L$37=0,$P$34=0),"",$L$37-1)),0,YEARFRAC(MAX($P$34*($B216+$I$38-1),IF(AND($L$37=0,$P$34=0),"",$L$37-1)),MIN(CE$38,$E216),$P$20))-SUM($BF216:CD216))</f>
        <v>0</v>
      </c>
      <c r="CF216" s="446">
        <f>IF($E216=0,0,IF(MIN(CF$38,$E216)&lt;MAX($P$34*($B216+$I$38-1),IF(AND($L$37=0,$P$34=0),"",$L$37-1)),0,YEARFRAC(MAX($P$34*($B216+$I$38-1),IF(AND($L$37=0,$P$34=0),"",$L$37-1)),MIN(CF$38,$E216),$P$20))-SUM($BF216:CE216))</f>
        <v>0</v>
      </c>
      <c r="CG216" s="446">
        <f>IF($E216=0,0,IF(MIN(CG$38,$E216)&lt;MAX($P$34*($B216+$I$38-1),IF(AND($L$37=0,$P$34=0),"",$L$37-1)),0,YEARFRAC(MAX($P$34*($B216+$I$38-1),IF(AND($L$37=0,$P$34=0),"",$L$37-1)),MIN(CG$38,$E216),$P$20))-SUM($BF216:CF216))</f>
        <v>0</v>
      </c>
      <c r="CH216" s="446">
        <f>IF($E216=0,0,IF(MIN(CH$38,$E216)&lt;MAX($P$34*($B216+$I$38-1),IF(AND($L$37=0,$P$34=0),"",$L$37-1)),0,YEARFRAC(MAX($P$34*($B216+$I$38-1),IF(AND($L$37=0,$P$34=0),"",$L$37-1)),MIN(CH$38,$E216),$P$20))-SUM($BF216:CG216))</f>
        <v>0</v>
      </c>
      <c r="CI216" s="446">
        <f>IF($E216=0,0,IF(MIN(CI$38,$E216)&lt;MAX($P$34*($B216+$I$38-1),IF(AND($L$37=0,$P$34=0),"",$L$37-1)),0,YEARFRAC(MAX($P$34*($B216+$I$38-1),IF(AND($L$37=0,$P$34=0),"",$L$37-1)),MIN(CI$38,$E216),$P$20))-SUM($BF216:CH216))</f>
        <v>0</v>
      </c>
      <c r="CJ216" s="446">
        <f>IF($E216=0,0,IF(MIN(CJ$38,$E216)&lt;MAX($P$34*($B216+$I$38-1),IF(AND($L$37=0,$P$34=0),"",$L$37-1)),0,YEARFRAC(MAX($P$34*($B216+$I$38-1),IF(AND($L$37=0,$P$34=0),"",$L$37-1)),MIN(CJ$38,$E216),$P$20))-SUM($BF216:CI216))</f>
        <v>0</v>
      </c>
      <c r="CK216" s="446">
        <f>IF($E216=0,0,IF(MIN(CK$38,$E216)&lt;MAX($P$34*($B216+$I$38-1),IF(AND($L$37=0,$P$34=0),"",$L$37-1)),0,YEARFRAC(MAX($P$34*($B216+$I$38-1),IF(AND($L$37=0,$P$34=0),"",$L$37-1)),MIN(CK$38,$E216),$P$20))-SUM($BF216:CJ216))</f>
        <v>0</v>
      </c>
      <c r="CL216" s="446">
        <f>IF($E216=0,0,IF(MIN(CL$38,$E216)&lt;MAX($P$34*($B216+$I$38-1),IF(AND($L$37=0,$P$34=0),"",$L$37-1)),0,YEARFRAC(MAX($P$34*($B216+$I$38-1),IF(AND($L$37=0,$P$34=0),"",$L$37-1)),MIN(CL$38,$E216),$P$20))-SUM($BF216:CK216))</f>
        <v>0</v>
      </c>
      <c r="CM216" s="446">
        <f>IF($E216=0,0,IF(MIN(CM$38,$E216)&lt;MAX($P$34*($B216+$I$38-1),IF(AND($L$37=0,$P$34=0),"",$L$37-1)),0,YEARFRAC(MAX($P$34*($B216+$I$38-1),IF(AND($L$37=0,$P$34=0),"",$L$37-1)),MIN(CM$38,$E216),$P$20))-SUM($BF216:CL216))</f>
        <v>0</v>
      </c>
      <c r="CN216" s="446">
        <f>IF($E216=0,0,IF(MIN(CN$38,$E216)&lt;MAX($P$34*($B216+$I$38-1),IF(AND($L$37=0,$P$34=0),"",$L$37-1)),0,YEARFRAC(MAX($P$34*($B216+$I$38-1),IF(AND($L$37=0,$P$34=0),"",$L$37-1)),MIN(CN$38,$E216),$P$20))-SUM($BF216:CM216))</f>
        <v>0</v>
      </c>
      <c r="CO216" s="446">
        <f>IF($E216=0,0,IF(MIN(CO$38,$E216)&lt;MAX($P$34*($B216+$I$38-1),IF(AND($L$37=0,$P$34=0),"",$L$37-1)),0,YEARFRAC(MAX($P$34*($B216+$I$38-1),IF(AND($L$37=0,$P$34=0),"",$L$37-1)),MIN(CO$38,$E216),$P$20))-SUM($BF216:CN216))</f>
        <v>0</v>
      </c>
      <c r="CP216" s="446">
        <f>IF($E216=0,0,IF(MIN(CP$38,$E216)&lt;MAX($P$34*($B216+$I$38-1),IF(AND($L$37=0,$P$34=0),"",$L$37-1)),0,YEARFRAC(MAX($P$34*($B216+$I$38-1),IF(AND($L$37=0,$P$34=0),"",$L$37-1)),MIN(CP$38,$E216),$P$20))-SUM($BF216:CO216))</f>
        <v>0</v>
      </c>
      <c r="CQ216" s="446">
        <f>IF($E216=0,0,IF(MIN(CQ$38,$E216)&lt;MAX($P$34*($B216+$I$38-1),IF(AND($L$37=0,$P$34=0),"",$L$37-1)),0,YEARFRAC(MAX($P$34*($B216+$I$38-1),IF(AND($L$37=0,$P$34=0),"",$L$37-1)),MIN(CQ$38,$E216),$P$20))-SUM($BF216:CP216))</f>
        <v>0</v>
      </c>
    </row>
    <row r="217" spans="1:95" s="446" customFormat="1" ht="11.25" hidden="1" customHeight="1" x14ac:dyDescent="0.2">
      <c r="A217" s="152"/>
      <c r="B217" s="153" t="str">
        <f t="shared" si="37"/>
        <v/>
      </c>
      <c r="C217" s="29" t="str">
        <f>IF(B217="","",IF($L$35="SELIC - TRIBUTOS",VLOOKUP(DATE(YEAR($D$19),MONTH($D$19)-1,1),ÍNDICES!$A:$DE,HLOOKUP($BL$25,ÍNDICES!$B$3:$T$4,2)+11)-VLOOKUP(B217,ÍNDICES!$A:$DE,HLOOKUP($BL$25,ÍNDICES!$B$3:$T$4,2)+11)+1%,IF(C$38=$W$26,$J$35,IF(ISERROR(IF(B217&gt;$D$19,1,VLOOKUP(DATE(YEAR(B217),MONTH(B217)+IF($C$35=$S$23,1,0),1),ÍNDICES!$A:$DE,$Z$35+1))),"",IF(B217&gt;$D$19,1,VLOOKUP(DATE(YEAR(B217),MONTH(B217)+IF($C$35=$S$23,1,0),1),ÍNDICES!$A:$DE,$Z$35+1))))))</f>
        <v/>
      </c>
      <c r="D217" s="154" t="str">
        <f>IF(ISERROR(IF(OR($D$38=$Y$27,$B217=""),"",VLOOKUP(B217,ÍNDICES!A:DE,AF$35+1))),"",IF(OR($D$38=$Y$27,$B217=""),"",VLOOKUP(B217,ÍNDICES!A:DE,AF$35+1)))</f>
        <v/>
      </c>
      <c r="E217" s="153"/>
      <c r="F217" s="29" t="str">
        <f>IF(E217="","",IF($L$35="SELIC - TRIBUTOS",VLOOKUP(DATE(YEAR($D$19),MONTH($D$19)-1,1),ÍNDICES!$A:$DE,HLOOKUP($BL$25,ÍNDICES!$B$3:$T$4,2)+11)-VLOOKUP(E217,ÍNDICES!$A:$DE,HLOOKUP($BL$25,ÍNDICES!$B$3:$T$4,2)+11)+1%,IF(F$38=$W$26,$J$35,IF(ISERROR(IF(E217&gt;$D$19,1,VLOOKUP(DATE(YEAR(E217),MONTH(E217)+IF($C$35=$S$23,1,0),1),ÍNDICES!$A:$DE,$Z$35+1))),"",IF(E217&gt;$D$19,1,VLOOKUP(DATE(YEAR(E217),MONTH(E217)+IF($C$35=$S$23,1,0),1),ÍNDICES!$A:$DE,$Z$35+1))))))</f>
        <v/>
      </c>
      <c r="G217" s="155"/>
      <c r="H217" s="156" t="str">
        <f t="shared" si="33"/>
        <v/>
      </c>
      <c r="I217" s="29" t="str">
        <f t="shared" si="27"/>
        <v/>
      </c>
      <c r="J217" s="5">
        <f t="shared" si="28"/>
        <v>0</v>
      </c>
      <c r="K217" s="20">
        <f t="shared" ca="1" si="29"/>
        <v>0</v>
      </c>
      <c r="L217" s="5">
        <f t="shared" ca="1" si="30"/>
        <v>0</v>
      </c>
      <c r="M217" s="64">
        <f t="shared" si="34"/>
        <v>0</v>
      </c>
      <c r="N217" s="61">
        <f t="shared" ca="1" si="35"/>
        <v>0</v>
      </c>
      <c r="O217" s="5">
        <f t="shared" ca="1" si="36"/>
        <v>0</v>
      </c>
      <c r="P217" s="446" t="e">
        <f t="shared" si="31"/>
        <v>#VALUE!</v>
      </c>
      <c r="Q217" s="446" t="e">
        <f>IF(OR($B217="",MIN(Q$38,$D$19)&lt;MAX($P$34*($B217+IF($R$17="Distrato",$I$38-1,0)),IF(AND($L$37=0,$P$34=0),"",$L$37-1),IF($R$17="Distrato",$E217,0))),0,YEARFRAC(MAX($P$34*($B217+IF($R$17="Distrato",$I$38-1,0)),IF(AND($L$37=0,$P$34=0),"",$L$37-1),IF($R$17="Distrato",$E217,0)),MIN(Q$38,$D$19),$P$20))-SUM($P217:P217)</f>
        <v>#VALUE!</v>
      </c>
      <c r="R217" s="446" t="e">
        <f>IF(OR($B217="",MIN(R$38,$D$19)&lt;MAX($P$34*($B217+IF($R$17="Distrato",$I$38-1,0)),IF(AND($L$37=0,$P$34=0),"",$L$37-1),IF($R$17="Distrato",$E217,0))),0,YEARFRAC(MAX($P$34*($B217+IF($R$17="Distrato",$I$38-1,0)),IF(AND($L$37=0,$P$34=0),"",$L$37-1),IF($R$17="Distrato",$E217,0)),MIN(R$38,$D$19),$P$20))-SUM($P217:Q217)</f>
        <v>#VALUE!</v>
      </c>
      <c r="S217" s="446" t="e">
        <f>IF(OR($B217="",MIN(S$38,$D$19)&lt;MAX($P$34*($B217+IF($R$17="Distrato",$I$38-1,0)),IF(AND($L$37=0,$P$34=0),"",$L$37-1),IF($R$17="Distrato",$E217,0))),0,YEARFRAC(MAX($P$34*($B217+IF($R$17="Distrato",$I$38-1,0)),IF(AND($L$37=0,$P$34=0),"",$L$37-1),IF($R$17="Distrato",$E217,0)),MIN(S$38,$D$19),$P$20))-SUM($P217:R217)</f>
        <v>#VALUE!</v>
      </c>
      <c r="T217" s="446" t="e">
        <f>IF(OR($B217="",MIN(T$38,$D$19)&lt;MAX($P$34*($B217+IF($R$17="Distrato",$I$38-1,0)),IF(AND($L$37=0,$P$34=0),"",$L$37-1),IF($R$17="Distrato",$E217,0))),0,YEARFRAC(MAX($P$34*($B217+IF($R$17="Distrato",$I$38-1,0)),IF(AND($L$37=0,$P$34=0),"",$L$37-1),IF($R$17="Distrato",$E217,0)),MIN(T$38,$D$19),$P$20))-SUM($P217:S217)</f>
        <v>#VALUE!</v>
      </c>
      <c r="U217" s="446" t="e">
        <f>IF(OR($B217="",MIN(U$38,$D$19)&lt;MAX($P$34*($B217+IF($R$17="Distrato",$I$38-1,0)),IF(AND($L$37=0,$P$34=0),"",$L$37-1),IF($R$17="Distrato",$E217,0))),0,YEARFRAC(MAX($P$34*($B217+IF($R$17="Distrato",$I$38-1,0)),IF(AND($L$37=0,$P$34=0),"",$L$37-1),IF($R$17="Distrato",$E217,0)),MIN(U$38,$D$19),$P$20))-SUM($P217:T217)</f>
        <v>#VALUE!</v>
      </c>
      <c r="V217" s="446" t="e">
        <f>IF(OR($B217="",MIN(V$38,$D$19)&lt;MAX($P$34*($B217+IF($R$17="Distrato",$I$38-1,0)),IF(AND($L$37=0,$P$34=0),"",$L$37-1),IF($R$17="Distrato",$E217,0))),0,YEARFRAC(MAX($P$34*($B217+IF($R$17="Distrato",$I$38-1,0)),IF(AND($L$37=0,$P$34=0),"",$L$37-1),IF($R$17="Distrato",$E217,0)),MIN(V$38,$D$19),$P$20))-SUM($P217:U217)</f>
        <v>#VALUE!</v>
      </c>
      <c r="W217" s="446" t="e">
        <f>IF(OR($B217="",MIN(W$38,$D$19)&lt;MAX($P$34*($B217+IF($R$17="Distrato",$I$38-1,0)),IF(AND($L$37=0,$P$34=0),"",$L$37-1),IF($R$17="Distrato",$E217,0))),0,YEARFRAC(MAX($P$34*($B217+IF($R$17="Distrato",$I$38-1,0)),IF(AND($L$37=0,$P$34=0),"",$L$37-1),IF($R$17="Distrato",$E217,0)),MIN(W$38,$D$19),$P$20))-SUM($P217:V217)</f>
        <v>#VALUE!</v>
      </c>
      <c r="X217" s="446" t="e">
        <f>IF(OR($B217="",MIN(X$38,$D$19)&lt;MAX($P$34*($B217+IF($R$17="Distrato",$I$38-1,0)),IF(AND($L$37=0,$P$34=0),"",$L$37-1),IF($R$17="Distrato",$E217,0))),0,YEARFRAC(MAX($P$34*($B217+IF($R$17="Distrato",$I$38-1,0)),IF(AND($L$37=0,$P$34=0),"",$L$37-1),IF($R$17="Distrato",$E217,0)),MIN(X$38,$D$19),$P$20))-SUM($P217:W217)</f>
        <v>#VALUE!</v>
      </c>
      <c r="Y217" s="446" t="e">
        <f>IF(OR($B217="",MIN(Y$38,$D$19)&lt;MAX($P$34*($B217+IF($R$17="Distrato",$I$38-1,0)),IF(AND($L$37=0,$P$34=0),"",$L$37-1),IF($R$17="Distrato",$E217,0))),0,YEARFRAC(MAX($P$34*($B217+IF($R$17="Distrato",$I$38-1,0)),IF(AND($L$37=0,$P$34=0),"",$L$37-1),IF($R$17="Distrato",$E217,0)),MIN(Y$38,$D$19),$P$20))-SUM($P217:X217)</f>
        <v>#VALUE!</v>
      </c>
      <c r="Z217" s="446" t="e">
        <f>IF(OR($B217="",MIN(Z$38,$D$19)&lt;MAX($P$34*($B217+IF($R$17="Distrato",$I$38-1,0)),IF(AND($L$37=0,$P$34=0),"",$L$37-1),IF($R$17="Distrato",$E217,0))),0,YEARFRAC(MAX($P$34*($B217+IF($R$17="Distrato",$I$38-1,0)),IF(AND($L$37=0,$P$34=0),"",$L$37-1),IF($R$17="Distrato",$E217,0)),MIN(Z$38,$D$19),$P$20))-SUM($P217:Y217)</f>
        <v>#VALUE!</v>
      </c>
      <c r="AA217" s="446" t="e">
        <f>IF(OR($B217="",MIN(AA$38,$D$19)&lt;MAX($P$34*($B217+IF($R$17="Distrato",$I$38-1,0)),IF(AND($L$37=0,$P$34=0),"",$L$37-1),IF($R$17="Distrato",$E217,0))),0,YEARFRAC(MAX($P$34*($B217+IF($R$17="Distrato",$I$38-1,0)),IF(AND($L$37=0,$P$34=0),"",$L$37-1),IF($R$17="Distrato",$E217,0)),MIN(AA$38,$D$19),$P$20))-SUM($P217:Z217)</f>
        <v>#VALUE!</v>
      </c>
      <c r="AB217" s="446" t="e">
        <f>IF(OR($B217="",MIN(AB$38,$D$19)&lt;MAX($P$34*($B217+IF($R$17="Distrato",$I$38-1,0)),IF(AND($L$37=0,$P$34=0),"",$L$37-1),IF($R$17="Distrato",$E217,0))),0,YEARFRAC(MAX($P$34*($B217+IF($R$17="Distrato",$I$38-1,0)),IF(AND($L$37=0,$P$34=0),"",$L$37-1),IF($R$17="Distrato",$E217,0)),MIN(AB$38,$D$19),$P$20))-SUM($P217:AA217)</f>
        <v>#VALUE!</v>
      </c>
      <c r="AC217" s="446" t="e">
        <f>IF(OR($B217="",MIN(AC$38,$D$19)&lt;MAX($P$34*($B217+IF($R$17="Distrato",$I$38-1,0)),IF(AND($L$37=0,$P$34=0),"",$L$37-1),IF($R$17="Distrato",$E217,0))),0,YEARFRAC(MAX($P$34*($B217+IF($R$17="Distrato",$I$38-1,0)),IF(AND($L$37=0,$P$34=0),"",$L$37-1),IF($R$17="Distrato",$E217,0)),MIN(AC$38,$D$19),$P$20))-SUM($P217:AB217)</f>
        <v>#VALUE!</v>
      </c>
      <c r="AD217" s="446" t="e">
        <f>IF(OR($B217="",MIN(AD$38,$D$19)&lt;MAX($P$34*($B217+IF($R$17="Distrato",$I$38-1,0)),IF(AND($L$37=0,$P$34=0),"",$L$37-1),IF($R$17="Distrato",$E217,0))),0,YEARFRAC(MAX($P$34*($B217+IF($R$17="Distrato",$I$38-1,0)),IF(AND($L$37=0,$P$34=0),"",$L$37-1),IF($R$17="Distrato",$E217,0)),MIN(AD$38,$D$19),$P$20))-SUM($P217:AC217)</f>
        <v>#VALUE!</v>
      </c>
      <c r="AE217" s="446" t="e">
        <f>IF(OR($B217="",MIN(AE$38,$D$19)&lt;MAX($P$34*($B217+IF($R$17="Distrato",$I$38-1,0)),IF(AND($L$37=0,$P$34=0),"",$L$37-1),IF($R$17="Distrato",$E217,0))),0,YEARFRAC(MAX($P$34*($B217+IF($R$17="Distrato",$I$38-1,0)),IF(AND($L$37=0,$P$34=0),"",$L$37-1),IF($R$17="Distrato",$E217,0)),MIN(AE$38,$D$19),$P$20))-SUM($P217:AD217)</f>
        <v>#VALUE!</v>
      </c>
      <c r="AF217" s="446" t="e">
        <f>IF(OR($B217="",MIN(AF$38,$D$19)&lt;MAX($P$34*($B217+IF($R$17="Distrato",$I$38-1,0)),IF(AND($L$37=0,$P$34=0),"",$L$37-1),IF($R$17="Distrato",$E217,0))),0,YEARFRAC(MAX($P$34*($B217+IF($R$17="Distrato",$I$38-1,0)),IF(AND($L$37=0,$P$34=0),"",$L$37-1),IF($R$17="Distrato",$E217,0)),MIN(AF$38,$D$19),$P$20))-SUM($P217:AE217)</f>
        <v>#VALUE!</v>
      </c>
      <c r="AG217" s="446" t="e">
        <f>IF(OR($B217="",MIN(AG$38,$D$19)&lt;MAX($P$34*($B217+IF($R$17="Distrato",$I$38-1,0)),IF(AND($L$37=0,$P$34=0),"",$L$37-1),IF($R$17="Distrato",$E217,0))),0,YEARFRAC(MAX($P$34*($B217+IF($R$17="Distrato",$I$38-1,0)),IF(AND($L$37=0,$P$34=0),"",$L$37-1),IF($R$17="Distrato",$E217,0)),MIN(AG$38,$D$19),$P$20))-SUM($P217:AF217)</f>
        <v>#VALUE!</v>
      </c>
      <c r="AH217" s="446" t="e">
        <f>IF(OR($B217="",MIN(AH$38,$D$19)&lt;MAX($P$34*($B217+IF($R$17="Distrato",$I$38-1,0)),IF(AND($L$37=0,$P$34=0),"",$L$37-1),IF($R$17="Distrato",$E217,0))),0,YEARFRAC(MAX($P$34*($B217+IF($R$17="Distrato",$I$38-1,0)),IF(AND($L$37=0,$P$34=0),"",$L$37-1),IF($R$17="Distrato",$E217,0)),MIN(AH$38,$D$19),$P$20))-SUM($P217:AG217)</f>
        <v>#VALUE!</v>
      </c>
      <c r="AI217" s="446" t="e">
        <f>IF(OR($B217="",MIN(AI$38,$D$19)&lt;MAX($P$34*($B217+IF($R$17="Distrato",$I$38-1,0)),IF(AND($L$37=0,$P$34=0),"",$L$37-1),IF($R$17="Distrato",$E217,0))),0,YEARFRAC(MAX($P$34*($B217+IF($R$17="Distrato",$I$38-1,0)),IF(AND($L$37=0,$P$34=0),"",$L$37-1),IF($R$17="Distrato",$E217,0)),MIN(AI$38,$D$19),$P$20))-SUM($P217:AH217)</f>
        <v>#VALUE!</v>
      </c>
      <c r="AJ217" s="446" t="e">
        <f>IF(OR($B217="",MIN(AJ$38,$D$19)&lt;MAX($P$34*($B217+IF($R$17="Distrato",$I$38-1,0)),IF(AND($L$37=0,$P$34=0),"",$L$37-1),IF($R$17="Distrato",$E217,0))),0,YEARFRAC(MAX($P$34*($B217+IF($R$17="Distrato",$I$38-1,0)),IF(AND($L$37=0,$P$34=0),"",$L$37-1),IF($R$17="Distrato",$E217,0)),MIN(AJ$38,$D$19),$P$20))-SUM($P217:AI217)</f>
        <v>#VALUE!</v>
      </c>
      <c r="AK217" s="446" t="e">
        <f>IF(OR($B217="",MIN(AK$38,$D$19)&lt;MAX($P$34*($B217+IF($R$17="Distrato",$I$38-1,0)),IF(AND($L$37=0,$P$34=0),"",$L$37-1),IF($R$17="Distrato",$E217,0))),0,YEARFRAC(MAX($P$34*($B217+IF($R$17="Distrato",$I$38-1,0)),IF(AND($L$37=0,$P$34=0),"",$L$37-1),IF($R$17="Distrato",$E217,0)),MIN(AK$38,$D$19),$P$20))-SUM($P217:AJ217)</f>
        <v>#VALUE!</v>
      </c>
      <c r="AL217" s="446" t="e">
        <f>IF(OR($B217="",MIN(AL$38,$D$19)&lt;MAX($P$34*($B217+IF($R$17="Distrato",$I$38-1,0)),IF(AND($L$37=0,$P$34=0),"",$L$37-1),IF($R$17="Distrato",$E217,0))),0,YEARFRAC(MAX($P$34*($B217+IF($R$17="Distrato",$I$38-1,0)),IF(AND($L$37=0,$P$34=0),"",$L$37-1),IF($R$17="Distrato",$E217,0)),MIN(AL$38,$D$19),$P$20))-SUM($P217:AK217)</f>
        <v>#VALUE!</v>
      </c>
      <c r="AM217" s="446" t="e">
        <f>IF(OR($B217="",MIN(AM$38,$D$19)&lt;MAX($P$34*($B217+IF($R$17="Distrato",$I$38-1,0)),IF(AND($L$37=0,$P$34=0),"",$L$37-1),IF($R$17="Distrato",$E217,0))),0,YEARFRAC(MAX($P$34*($B217+IF($R$17="Distrato",$I$38-1,0)),IF(AND($L$37=0,$P$34=0),"",$L$37-1),IF($R$17="Distrato",$E217,0)),MIN(AM$38,$D$19),$P$20))-SUM($P217:AL217)</f>
        <v>#VALUE!</v>
      </c>
      <c r="AN217" s="446" t="e">
        <f>IF(OR($B217="",MIN(AN$38,$D$19)&lt;MAX($P$34*($B217+IF($R$17="Distrato",$I$38-1,0)),IF(AND($L$37=0,$P$34=0),"",$L$37-1),IF($R$17="Distrato",$E217,0))),0,YEARFRAC(MAX($P$34*($B217+IF($R$17="Distrato",$I$38-1,0)),IF(AND($L$37=0,$P$34=0),"",$L$37-1),IF($R$17="Distrato",$E217,0)),MIN(AN$38,$D$19),$P$20))-SUM($P217:AM217)</f>
        <v>#VALUE!</v>
      </c>
      <c r="AO217" s="446" t="e">
        <f>IF(OR($B217="",MIN(AO$38,$D$19)&lt;MAX($P$34*($B217+IF($R$17="Distrato",$I$38-1,0)),IF(AND($L$37=0,$P$34=0),"",$L$37-1),IF($R$17="Distrato",$E217,0))),0,YEARFRAC(MAX($P$34*($B217+IF($R$17="Distrato",$I$38-1,0)),IF(AND($L$37=0,$P$34=0),"",$L$37-1),IF($R$17="Distrato",$E217,0)),MIN(AO$38,$D$19),$P$20))-SUM($P217:AN217)</f>
        <v>#VALUE!</v>
      </c>
      <c r="AP217" s="446" t="e">
        <f>IF(OR($B217="",MIN(AP$38,$D$19)&lt;MAX($P$34*($B217+IF($R$17="Distrato",$I$38-1,0)),IF(AND($L$37=0,$P$34=0),"",$L$37-1),IF($R$17="Distrato",$E217,0))),0,YEARFRAC(MAX($P$34*($B217+IF($R$17="Distrato",$I$38-1,0)),IF(AND($L$37=0,$P$34=0),"",$L$37-1),IF($R$17="Distrato",$E217,0)),MIN(AP$38,$D$19),$P$20))-SUM($P217:AO217)</f>
        <v>#VALUE!</v>
      </c>
      <c r="AQ217" s="446" t="e">
        <f>IF(OR($B217="",MIN(AQ$38,$D$19)&lt;MAX($P$34*($B217+IF($R$17="Distrato",$I$38-1,0)),IF(AND($L$37=0,$P$34=0),"",$L$37-1),IF($R$17="Distrato",$E217,0))),0,YEARFRAC(MAX($P$34*($B217+IF($R$17="Distrato",$I$38-1,0)),IF(AND($L$37=0,$P$34=0),"",$L$37-1),IF($R$17="Distrato",$E217,0)),MIN(AQ$38,$D$19),$P$20))-SUM($P217:AP217)</f>
        <v>#VALUE!</v>
      </c>
      <c r="AR217" s="446" t="e">
        <f>IF(OR($B217="",MIN(AR$38,$D$19)&lt;MAX($P$34*($B217+IF($R$17="Distrato",$I$38-1,0)),IF(AND($L$37=0,$P$34=0),"",$L$37-1),IF($R$17="Distrato",$E217,0))),0,YEARFRAC(MAX($P$34*($B217+IF($R$17="Distrato",$I$38-1,0)),IF(AND($L$37=0,$P$34=0),"",$L$37-1),IF($R$17="Distrato",$E217,0)),MIN(AR$38,$D$19),$P$20))-SUM($P217:AQ217)</f>
        <v>#VALUE!</v>
      </c>
      <c r="AS217" s="446" t="e">
        <f>IF(OR($B217="",MIN(AS$38,$D$19)&lt;MAX($P$34*($B217+IF($R$17="Distrato",$I$38-1,0)),IF(AND($L$37=0,$P$34=0),"",$L$37-1),IF($R$17="Distrato",$E217,0))),0,YEARFRAC(MAX($P$34*($B217+IF($R$17="Distrato",$I$38-1,0)),IF(AND($L$37=0,$P$34=0),"",$L$37-1),IF($R$17="Distrato",$E217,0)),MIN(AS$38,$D$19),$P$20))-SUM($P217:AR217)</f>
        <v>#VALUE!</v>
      </c>
      <c r="AT217" s="446" t="e">
        <f>IF(OR($B217="",MIN(AT$38,$D$19)&lt;MAX($P$34*($B217+IF($R$17="Distrato",$I$38-1,0)),IF(AND($L$37=0,$P$34=0),"",$L$37-1),IF($R$17="Distrato",$E217,0))),0,YEARFRAC(MAX($P$34*($B217+IF($R$17="Distrato",$I$38-1,0)),IF(AND($L$37=0,$P$34=0),"",$L$37-1),IF($R$17="Distrato",$E217,0)),MIN(AT$38,$D$19),$P$20))-SUM($P217:AS217)</f>
        <v>#VALUE!</v>
      </c>
      <c r="AU217" s="446" t="e">
        <f>IF(OR($B217="",MIN(AU$38,$D$19)&lt;MAX($P$34*($B217+IF($R$17="Distrato",$I$38-1,0)),IF(AND($L$37=0,$P$34=0),"",$L$37-1),IF($R$17="Distrato",$E217,0))),0,YEARFRAC(MAX($P$34*($B217+IF($R$17="Distrato",$I$38-1,0)),IF(AND($L$37=0,$P$34=0),"",$L$37-1),IF($R$17="Distrato",$E217,0)),MIN(AU$38,$D$19),$P$20))-SUM($P217:AT217)</f>
        <v>#VALUE!</v>
      </c>
      <c r="AV217" s="446" t="e">
        <f>IF(OR($B217="",MIN(AV$38,$D$19)&lt;MAX($P$34*($B217+IF($R$17="Distrato",$I$38-1,0)),IF(AND($L$37=0,$P$34=0),"",$L$37-1),IF($R$17="Distrato",$E217,0))),0,YEARFRAC(MAX($P$34*($B217+IF($R$17="Distrato",$I$38-1,0)),IF(AND($L$37=0,$P$34=0),"",$L$37-1),IF($R$17="Distrato",$E217,0)),MIN(AV$38,$D$19),$P$20))-SUM($P217:AU217)</f>
        <v>#VALUE!</v>
      </c>
      <c r="AW217" s="446" t="e">
        <f>IF(OR($B217="",MIN(AW$38,$D$19)&lt;MAX($P$34*($B217+IF($R$17="Distrato",$I$38-1,0)),IF(AND($L$37=0,$P$34=0),"",$L$37-1),IF($R$17="Distrato",$E217,0))),0,YEARFRAC(MAX($P$34*($B217+IF($R$17="Distrato",$I$38-1,0)),IF(AND($L$37=0,$P$34=0),"",$L$37-1),IF($R$17="Distrato",$E217,0)),MIN(AW$38,$D$19),$P$20))-SUM($P217:AV217)</f>
        <v>#VALUE!</v>
      </c>
      <c r="AX217" s="446" t="e">
        <f>IF(OR($B217="",MIN(AX$38,$D$19)&lt;MAX($P$34*($B217+IF($R$17="Distrato",$I$38-1,0)),IF(AND($L$37=0,$P$34=0),"",$L$37-1),IF($R$17="Distrato",$E217,0))),0,YEARFRAC(MAX($P$34*($B217+IF($R$17="Distrato",$I$38-1,0)),IF(AND($L$37=0,$P$34=0),"",$L$37-1),IF($R$17="Distrato",$E217,0)),MIN(AX$38,$D$19),$P$20))-SUM($P217:AW217)</f>
        <v>#VALUE!</v>
      </c>
      <c r="AY217" s="446" t="e">
        <f>IF(OR($B217="",MIN(AY$38,$D$19)&lt;MAX($P$34*($B217+IF($R$17="Distrato",$I$38-1,0)),IF(AND($L$37=0,$P$34=0),"",$L$37-1),IF($R$17="Distrato",$E217,0))),0,YEARFRAC(MAX($P$34*($B217+IF($R$17="Distrato",$I$38-1,0)),IF(AND($L$37=0,$P$34=0),"",$L$37-1),IF($R$17="Distrato",$E217,0)),MIN(AY$38,$D$19),$P$20))-SUM($P217:AX217)</f>
        <v>#VALUE!</v>
      </c>
      <c r="AZ217" s="446" t="e">
        <f>IF(OR($B217="",MIN(AZ$38,$D$19)&lt;MAX($P$34*($B217+IF($R$17="Distrato",$I$38-1,0)),IF(AND($L$37=0,$P$34=0),"",$L$37-1),IF($R$17="Distrato",$E217,0))),0,YEARFRAC(MAX($P$34*($B217+IF($R$17="Distrato",$I$38-1,0)),IF(AND($L$37=0,$P$34=0),"",$L$37-1),IF($R$17="Distrato",$E217,0)),MIN(AZ$38,$D$19),$P$20))-SUM($P217:AY217)</f>
        <v>#VALUE!</v>
      </c>
      <c r="BA217" s="446" t="e">
        <f>IF(OR($B217="",MIN(BA$38,$D$19)&lt;MAX($P$34*($B217+IF($R$17="Distrato",$I$38-1,0)),IF(AND($L$37=0,$P$34=0),"",$L$37-1),IF($R$17="Distrato",$E217,0))),0,YEARFRAC(MAX($P$34*($B217+IF($R$17="Distrato",$I$38-1,0)),IF(AND($L$37=0,$P$34=0),"",$L$37-1),IF($R$17="Distrato",$E217,0)),MIN(BA$38,$D$19),$P$20))-SUM($P217:AZ217)</f>
        <v>#VALUE!</v>
      </c>
      <c r="BB217" s="447"/>
      <c r="BF217" s="446">
        <f t="shared" si="32"/>
        <v>0</v>
      </c>
      <c r="BG217" s="446">
        <f>IF($E217=0,0,IF(MIN(BG$38,$E217)&lt;MAX($P$34*($B217+$I$38-1),IF(AND($L$37=0,$P$34=0),"",$L$37-1)),0,YEARFRAC(MAX($P$34*($B217+$I$38-1),IF(AND($L$37=0,$P$34=0),"",$L$37-1)),MIN(BG$38,$E217),$P$20))-SUM($BF217:BF217))</f>
        <v>0</v>
      </c>
      <c r="BH217" s="446">
        <f>IF($E217=0,0,IF(MIN(BH$38,$E217)&lt;MAX($P$34*($B217+$I$38-1),IF(AND($L$37=0,$P$34=0),"",$L$37-1)),0,YEARFRAC(MAX($P$34*($B217+$I$38-1),IF(AND($L$37=0,$P$34=0),"",$L$37-1)),MIN(BH$38,$E217),$P$20))-SUM($BF217:BG217))</f>
        <v>0</v>
      </c>
      <c r="BI217" s="446">
        <f>IF($E217=0,0,IF(MIN(BI$38,$E217)&lt;MAX($P$34*($B217+$I$38-1),IF(AND($L$37=0,$P$34=0),"",$L$37-1)),0,YEARFRAC(MAX($P$34*($B217+$I$38-1),IF(AND($L$37=0,$P$34=0),"",$L$37-1)),MIN(BI$38,$E217),$P$20))-SUM($BF217:BH217))</f>
        <v>0</v>
      </c>
      <c r="BJ217" s="446">
        <f>IF($E217=0,0,IF(MIN(BJ$38,$E217)&lt;MAX($P$34*($B217+$I$38-1),IF(AND($L$37=0,$P$34=0),"",$L$37-1)),0,YEARFRAC(MAX($P$34*($B217+$I$38-1),IF(AND($L$37=0,$P$34=0),"",$L$37-1)),MIN(BJ$38,$E217),$P$20))-SUM($BF217:BI217))</f>
        <v>0</v>
      </c>
      <c r="BK217" s="446">
        <f>IF($E217=0,0,IF(MIN(BK$38,$E217)&lt;MAX($P$34*($B217+$I$38-1),IF(AND($L$37=0,$P$34=0),"",$L$37-1)),0,YEARFRAC(MAX($P$34*($B217+$I$38-1),IF(AND($L$37=0,$P$34=0),"",$L$37-1)),MIN(BK$38,$E217),$P$20))-SUM($BF217:BJ217))</f>
        <v>0</v>
      </c>
      <c r="BL217" s="446">
        <f>IF($E217=0,0,IF(MIN(BL$38,$E217)&lt;MAX($P$34*($B217+$I$38-1),IF(AND($L$37=0,$P$34=0),"",$L$37-1)),0,YEARFRAC(MAX($P$34*($B217+$I$38-1),IF(AND($L$37=0,$P$34=0),"",$L$37-1)),MIN(BL$38,$E217),$P$20))-SUM($BF217:BK217))</f>
        <v>0</v>
      </c>
      <c r="BM217" s="446">
        <f>IF($E217=0,0,IF(MIN(BM$38,$E217)&lt;MAX($P$34*($B217+$I$38-1),IF(AND($L$37=0,$P$34=0),"",$L$37-1)),0,YEARFRAC(MAX($P$34*($B217+$I$38-1),IF(AND($L$37=0,$P$34=0),"",$L$37-1)),MIN(BM$38,$E217),$P$20))-SUM($BF217:BL217))</f>
        <v>0</v>
      </c>
      <c r="BN217" s="446">
        <f>IF($E217=0,0,IF(MIN(BN$38,$E217)&lt;MAX($P$34*($B217+$I$38-1),IF(AND($L$37=0,$P$34=0),"",$L$37-1)),0,YEARFRAC(MAX($P$34*($B217+$I$38-1),IF(AND($L$37=0,$P$34=0),"",$L$37-1)),MIN(BN$38,$E217),$P$20))-SUM($BF217:BM217))</f>
        <v>0</v>
      </c>
      <c r="BO217" s="446">
        <f>IF($E217=0,0,IF(MIN(BO$38,$E217)&lt;MAX($P$34*($B217+$I$38-1),IF(AND($L$37=0,$P$34=0),"",$L$37-1)),0,YEARFRAC(MAX($P$34*($B217+$I$38-1),IF(AND($L$37=0,$P$34=0),"",$L$37-1)),MIN(BO$38,$E217),$P$20))-SUM($BF217:BN217))</f>
        <v>0</v>
      </c>
      <c r="BP217" s="446">
        <f>IF($E217=0,0,IF(MIN(BP$38,$E217)&lt;MAX($P$34*($B217+$I$38-1),IF(AND($L$37=0,$P$34=0),"",$L$37-1)),0,YEARFRAC(MAX($P$34*($B217+$I$38-1),IF(AND($L$37=0,$P$34=0),"",$L$37-1)),MIN(BP$38,$E217),$P$20))-SUM($BF217:BO217))</f>
        <v>0</v>
      </c>
      <c r="BQ217" s="446">
        <f>IF($E217=0,0,IF(MIN(BQ$38,$E217)&lt;MAX($P$34*($B217+$I$38-1),IF(AND($L$37=0,$P$34=0),"",$L$37-1)),0,YEARFRAC(MAX($P$34*($B217+$I$38-1),IF(AND($L$37=0,$P$34=0),"",$L$37-1)),MIN(BQ$38,$E217),$P$20))-SUM($BF217:BP217))</f>
        <v>0</v>
      </c>
      <c r="BR217" s="446">
        <f>IF($E217=0,0,IF(MIN(BR$38,$E217)&lt;MAX($P$34*($B217+$I$38-1),IF(AND($L$37=0,$P$34=0),"",$L$37-1)),0,YEARFRAC(MAX($P$34*($B217+$I$38-1),IF(AND($L$37=0,$P$34=0),"",$L$37-1)),MIN(BR$38,$E217),$P$20))-SUM($BF217:BQ217))</f>
        <v>0</v>
      </c>
      <c r="BS217" s="446">
        <f>IF($E217=0,0,IF(MIN(BS$38,$E217)&lt;MAX($P$34*($B217+$I$38-1),IF(AND($L$37=0,$P$34=0),"",$L$37-1)),0,YEARFRAC(MAX($P$34*($B217+$I$38-1),IF(AND($L$37=0,$P$34=0),"",$L$37-1)),MIN(BS$38,$E217),$P$20))-SUM($BF217:BR217))</f>
        <v>0</v>
      </c>
      <c r="BT217" s="446">
        <f>IF($E217=0,0,IF(MIN(BT$38,$E217)&lt;MAX($P$34*($B217+$I$38-1),IF(AND($L$37=0,$P$34=0),"",$L$37-1)),0,YEARFRAC(MAX($P$34*($B217+$I$38-1),IF(AND($L$37=0,$P$34=0),"",$L$37-1)),MIN(BT$38,$E217),$P$20))-SUM($BF217:BS217))</f>
        <v>0</v>
      </c>
      <c r="BU217" s="446">
        <f>IF($E217=0,0,IF(MIN(BU$38,$E217)&lt;MAX($P$34*($B217+$I$38-1),IF(AND($L$37=0,$P$34=0),"",$L$37-1)),0,YEARFRAC(MAX($P$34*($B217+$I$38-1),IF(AND($L$37=0,$P$34=0),"",$L$37-1)),MIN(BU$38,$E217),$P$20))-SUM($BF217:BT217))</f>
        <v>0</v>
      </c>
      <c r="BV217" s="446">
        <f>IF($E217=0,0,IF(MIN(BV$38,$E217)&lt;MAX($P$34*($B217+$I$38-1),IF(AND($L$37=0,$P$34=0),"",$L$37-1)),0,YEARFRAC(MAX($P$34*($B217+$I$38-1),IF(AND($L$37=0,$P$34=0),"",$L$37-1)),MIN(BV$38,$E217),$P$20))-SUM($BF217:BU217))</f>
        <v>0</v>
      </c>
      <c r="BW217" s="446">
        <f>IF($E217=0,0,IF(MIN(BW$38,$E217)&lt;MAX($P$34*($B217+$I$38-1),IF(AND($L$37=0,$P$34=0),"",$L$37-1)),0,YEARFRAC(MAX($P$34*($B217+$I$38-1),IF(AND($L$37=0,$P$34=0),"",$L$37-1)),MIN(BW$38,$E217),$P$20))-SUM($BF217:BV217))</f>
        <v>0</v>
      </c>
      <c r="BX217" s="446">
        <f>IF($E217=0,0,IF(MIN(BX$38,$E217)&lt;MAX($P$34*($B217+$I$38-1),IF(AND($L$37=0,$P$34=0),"",$L$37-1)),0,YEARFRAC(MAX($P$34*($B217+$I$38-1),IF(AND($L$37=0,$P$34=0),"",$L$37-1)),MIN(BX$38,$E217),$P$20))-SUM($BF217:BW217))</f>
        <v>0</v>
      </c>
      <c r="BY217" s="446">
        <f>IF($E217=0,0,IF(MIN(BY$38,$E217)&lt;MAX($P$34*($B217+$I$38-1),IF(AND($L$37=0,$P$34=0),"",$L$37-1)),0,YEARFRAC(MAX($P$34*($B217+$I$38-1),IF(AND($L$37=0,$P$34=0),"",$L$37-1)),MIN(BY$38,$E217),$P$20))-SUM($BF217:BX217))</f>
        <v>0</v>
      </c>
      <c r="BZ217" s="446">
        <f>IF($E217=0,0,IF(MIN(BZ$38,$E217)&lt;MAX($P$34*($B217+$I$38-1),IF(AND($L$37=0,$P$34=0),"",$L$37-1)),0,YEARFRAC(MAX($P$34*($B217+$I$38-1),IF(AND($L$37=0,$P$34=0),"",$L$37-1)),MIN(BZ$38,$E217),$P$20))-SUM($BF217:BY217))</f>
        <v>0</v>
      </c>
      <c r="CA217" s="446">
        <f>IF($E217=0,0,IF(MIN(CA$38,$E217)&lt;MAX($P$34*($B217+$I$38-1),IF(AND($L$37=0,$P$34=0),"",$L$37-1)),0,YEARFRAC(MAX($P$34*($B217+$I$38-1),IF(AND($L$37=0,$P$34=0),"",$L$37-1)),MIN(CA$38,$E217),$P$20))-SUM($BF217:BZ217))</f>
        <v>0</v>
      </c>
      <c r="CB217" s="446">
        <f>IF($E217=0,0,IF(MIN(CB$38,$E217)&lt;MAX($P$34*($B217+$I$38-1),IF(AND($L$37=0,$P$34=0),"",$L$37-1)),0,YEARFRAC(MAX($P$34*($B217+$I$38-1),IF(AND($L$37=0,$P$34=0),"",$L$37-1)),MIN(CB$38,$E217),$P$20))-SUM($BF217:CA217))</f>
        <v>0</v>
      </c>
      <c r="CC217" s="446">
        <f>IF($E217=0,0,IF(MIN(CC$38,$E217)&lt;MAX($P$34*($B217+$I$38-1),IF(AND($L$37=0,$P$34=0),"",$L$37-1)),0,YEARFRAC(MAX($P$34*($B217+$I$38-1),IF(AND($L$37=0,$P$34=0),"",$L$37-1)),MIN(CC$38,$E217),$P$20))-SUM($BF217:CB217))</f>
        <v>0</v>
      </c>
      <c r="CD217" s="446">
        <f>IF($E217=0,0,IF(MIN(CD$38,$E217)&lt;MAX($P$34*($B217+$I$38-1),IF(AND($L$37=0,$P$34=0),"",$L$37-1)),0,YEARFRAC(MAX($P$34*($B217+$I$38-1),IF(AND($L$37=0,$P$34=0),"",$L$37-1)),MIN(CD$38,$E217),$P$20))-SUM($BF217:CC217))</f>
        <v>0</v>
      </c>
      <c r="CE217" s="446">
        <f>IF($E217=0,0,IF(MIN(CE$38,$E217)&lt;MAX($P$34*($B217+$I$38-1),IF(AND($L$37=0,$P$34=0),"",$L$37-1)),0,YEARFRAC(MAX($P$34*($B217+$I$38-1),IF(AND($L$37=0,$P$34=0),"",$L$37-1)),MIN(CE$38,$E217),$P$20))-SUM($BF217:CD217))</f>
        <v>0</v>
      </c>
      <c r="CF217" s="446">
        <f>IF($E217=0,0,IF(MIN(CF$38,$E217)&lt;MAX($P$34*($B217+$I$38-1),IF(AND($L$37=0,$P$34=0),"",$L$37-1)),0,YEARFRAC(MAX($P$34*($B217+$I$38-1),IF(AND($L$37=0,$P$34=0),"",$L$37-1)),MIN(CF$38,$E217),$P$20))-SUM($BF217:CE217))</f>
        <v>0</v>
      </c>
      <c r="CG217" s="446">
        <f>IF($E217=0,0,IF(MIN(CG$38,$E217)&lt;MAX($P$34*($B217+$I$38-1),IF(AND($L$37=0,$P$34=0),"",$L$37-1)),0,YEARFRAC(MAX($P$34*($B217+$I$38-1),IF(AND($L$37=0,$P$34=0),"",$L$37-1)),MIN(CG$38,$E217),$P$20))-SUM($BF217:CF217))</f>
        <v>0</v>
      </c>
      <c r="CH217" s="446">
        <f>IF($E217=0,0,IF(MIN(CH$38,$E217)&lt;MAX($P$34*($B217+$I$38-1),IF(AND($L$37=0,$P$34=0),"",$L$37-1)),0,YEARFRAC(MAX($P$34*($B217+$I$38-1),IF(AND($L$37=0,$P$34=0),"",$L$37-1)),MIN(CH$38,$E217),$P$20))-SUM($BF217:CG217))</f>
        <v>0</v>
      </c>
      <c r="CI217" s="446">
        <f>IF($E217=0,0,IF(MIN(CI$38,$E217)&lt;MAX($P$34*($B217+$I$38-1),IF(AND($L$37=0,$P$34=0),"",$L$37-1)),0,YEARFRAC(MAX($P$34*($B217+$I$38-1),IF(AND($L$37=0,$P$34=0),"",$L$37-1)),MIN(CI$38,$E217),$P$20))-SUM($BF217:CH217))</f>
        <v>0</v>
      </c>
      <c r="CJ217" s="446">
        <f>IF($E217=0,0,IF(MIN(CJ$38,$E217)&lt;MAX($P$34*($B217+$I$38-1),IF(AND($L$37=0,$P$34=0),"",$L$37-1)),0,YEARFRAC(MAX($P$34*($B217+$I$38-1),IF(AND($L$37=0,$P$34=0),"",$L$37-1)),MIN(CJ$38,$E217),$P$20))-SUM($BF217:CI217))</f>
        <v>0</v>
      </c>
      <c r="CK217" s="446">
        <f>IF($E217=0,0,IF(MIN(CK$38,$E217)&lt;MAX($P$34*($B217+$I$38-1),IF(AND($L$37=0,$P$34=0),"",$L$37-1)),0,YEARFRAC(MAX($P$34*($B217+$I$38-1),IF(AND($L$37=0,$P$34=0),"",$L$37-1)),MIN(CK$38,$E217),$P$20))-SUM($BF217:CJ217))</f>
        <v>0</v>
      </c>
      <c r="CL217" s="446">
        <f>IF($E217=0,0,IF(MIN(CL$38,$E217)&lt;MAX($P$34*($B217+$I$38-1),IF(AND($L$37=0,$P$34=0),"",$L$37-1)),0,YEARFRAC(MAX($P$34*($B217+$I$38-1),IF(AND($L$37=0,$P$34=0),"",$L$37-1)),MIN(CL$38,$E217),$P$20))-SUM($BF217:CK217))</f>
        <v>0</v>
      </c>
      <c r="CM217" s="446">
        <f>IF($E217=0,0,IF(MIN(CM$38,$E217)&lt;MAX($P$34*($B217+$I$38-1),IF(AND($L$37=0,$P$34=0),"",$L$37-1)),0,YEARFRAC(MAX($P$34*($B217+$I$38-1),IF(AND($L$37=0,$P$34=0),"",$L$37-1)),MIN(CM$38,$E217),$P$20))-SUM($BF217:CL217))</f>
        <v>0</v>
      </c>
      <c r="CN217" s="446">
        <f>IF($E217=0,0,IF(MIN(CN$38,$E217)&lt;MAX($P$34*($B217+$I$38-1),IF(AND($L$37=0,$P$34=0),"",$L$37-1)),0,YEARFRAC(MAX($P$34*($B217+$I$38-1),IF(AND($L$37=0,$P$34=0),"",$L$37-1)),MIN(CN$38,$E217),$P$20))-SUM($BF217:CM217))</f>
        <v>0</v>
      </c>
      <c r="CO217" s="446">
        <f>IF($E217=0,0,IF(MIN(CO$38,$E217)&lt;MAX($P$34*($B217+$I$38-1),IF(AND($L$37=0,$P$34=0),"",$L$37-1)),0,YEARFRAC(MAX($P$34*($B217+$I$38-1),IF(AND($L$37=0,$P$34=0),"",$L$37-1)),MIN(CO$38,$E217),$P$20))-SUM($BF217:CN217))</f>
        <v>0</v>
      </c>
      <c r="CP217" s="446">
        <f>IF($E217=0,0,IF(MIN(CP$38,$E217)&lt;MAX($P$34*($B217+$I$38-1),IF(AND($L$37=0,$P$34=0),"",$L$37-1)),0,YEARFRAC(MAX($P$34*($B217+$I$38-1),IF(AND($L$37=0,$P$34=0),"",$L$37-1)),MIN(CP$38,$E217),$P$20))-SUM($BF217:CO217))</f>
        <v>0</v>
      </c>
      <c r="CQ217" s="446">
        <f>IF($E217=0,0,IF(MIN(CQ$38,$E217)&lt;MAX($P$34*($B217+$I$38-1),IF(AND($L$37=0,$P$34=0),"",$L$37-1)),0,YEARFRAC(MAX($P$34*($B217+$I$38-1),IF(AND($L$37=0,$P$34=0),"",$L$37-1)),MIN(CQ$38,$E217),$P$20))-SUM($BF217:CP217))</f>
        <v>0</v>
      </c>
    </row>
    <row r="218" spans="1:95" s="446" customFormat="1" ht="11.25" hidden="1" customHeight="1" x14ac:dyDescent="0.2">
      <c r="A218" s="152"/>
      <c r="B218" s="153" t="str">
        <f t="shared" si="37"/>
        <v/>
      </c>
      <c r="C218" s="29" t="str">
        <f>IF(B218="","",IF($L$35="SELIC - TRIBUTOS",VLOOKUP(DATE(YEAR($D$19),MONTH($D$19)-1,1),ÍNDICES!$A:$DE,HLOOKUP($BL$25,ÍNDICES!$B$3:$T$4,2)+11)-VLOOKUP(B218,ÍNDICES!$A:$DE,HLOOKUP($BL$25,ÍNDICES!$B$3:$T$4,2)+11)+1%,IF(C$38=$W$26,$J$35,IF(ISERROR(IF(B218&gt;$D$19,1,VLOOKUP(DATE(YEAR(B218),MONTH(B218)+IF($C$35=$S$23,1,0),1),ÍNDICES!$A:$DE,$Z$35+1))),"",IF(B218&gt;$D$19,1,VLOOKUP(DATE(YEAR(B218),MONTH(B218)+IF($C$35=$S$23,1,0),1),ÍNDICES!$A:$DE,$Z$35+1))))))</f>
        <v/>
      </c>
      <c r="D218" s="154" t="str">
        <f>IF(ISERROR(IF(OR($D$38=$Y$27,$B218=""),"",VLOOKUP(B218,ÍNDICES!A:DE,AF$35+1))),"",IF(OR($D$38=$Y$27,$B218=""),"",VLOOKUP(B218,ÍNDICES!A:DE,AF$35+1)))</f>
        <v/>
      </c>
      <c r="E218" s="153"/>
      <c r="F218" s="29" t="str">
        <f>IF(E218="","",IF($L$35="SELIC - TRIBUTOS",VLOOKUP(DATE(YEAR($D$19),MONTH($D$19)-1,1),ÍNDICES!$A:$DE,HLOOKUP($BL$25,ÍNDICES!$B$3:$T$4,2)+11)-VLOOKUP(E218,ÍNDICES!$A:$DE,HLOOKUP($BL$25,ÍNDICES!$B$3:$T$4,2)+11)+1%,IF(F$38=$W$26,$J$35,IF(ISERROR(IF(E218&gt;$D$19,1,VLOOKUP(DATE(YEAR(E218),MONTH(E218)+IF($C$35=$S$23,1,0),1),ÍNDICES!$A:$DE,$Z$35+1))),"",IF(E218&gt;$D$19,1,VLOOKUP(DATE(YEAR(E218),MONTH(E218)+IF($C$35=$S$23,1,0),1),ÍNDICES!$A:$DE,$Z$35+1))))))</f>
        <v/>
      </c>
      <c r="G218" s="155"/>
      <c r="H218" s="156" t="str">
        <f t="shared" si="33"/>
        <v/>
      </c>
      <c r="I218" s="29" t="str">
        <f t="shared" si="27"/>
        <v/>
      </c>
      <c r="J218" s="5">
        <f t="shared" si="28"/>
        <v>0</v>
      </c>
      <c r="K218" s="20">
        <f t="shared" ca="1" si="29"/>
        <v>0</v>
      </c>
      <c r="L218" s="5">
        <f t="shared" ca="1" si="30"/>
        <v>0</v>
      </c>
      <c r="M218" s="64">
        <f t="shared" si="34"/>
        <v>0</v>
      </c>
      <c r="N218" s="61">
        <f t="shared" ca="1" si="35"/>
        <v>0</v>
      </c>
      <c r="O218" s="5">
        <f t="shared" ca="1" si="36"/>
        <v>0</v>
      </c>
      <c r="P218" s="446" t="e">
        <f t="shared" si="31"/>
        <v>#VALUE!</v>
      </c>
      <c r="Q218" s="446" t="e">
        <f>IF(OR($B218="",MIN(Q$38,$D$19)&lt;MAX($P$34*($B218+IF($R$17="Distrato",$I$38-1,0)),IF(AND($L$37=0,$P$34=0),"",$L$37-1),IF($R$17="Distrato",$E218,0))),0,YEARFRAC(MAX($P$34*($B218+IF($R$17="Distrato",$I$38-1,0)),IF(AND($L$37=0,$P$34=0),"",$L$37-1),IF($R$17="Distrato",$E218,0)),MIN(Q$38,$D$19),$P$20))-SUM($P218:P218)</f>
        <v>#VALUE!</v>
      </c>
      <c r="R218" s="446" t="e">
        <f>IF(OR($B218="",MIN(R$38,$D$19)&lt;MAX($P$34*($B218+IF($R$17="Distrato",$I$38-1,0)),IF(AND($L$37=0,$P$34=0),"",$L$37-1),IF($R$17="Distrato",$E218,0))),0,YEARFRAC(MAX($P$34*($B218+IF($R$17="Distrato",$I$38-1,0)),IF(AND($L$37=0,$P$34=0),"",$L$37-1),IF($R$17="Distrato",$E218,0)),MIN(R$38,$D$19),$P$20))-SUM($P218:Q218)</f>
        <v>#VALUE!</v>
      </c>
      <c r="S218" s="446" t="e">
        <f>IF(OR($B218="",MIN(S$38,$D$19)&lt;MAX($P$34*($B218+IF($R$17="Distrato",$I$38-1,0)),IF(AND($L$37=0,$P$34=0),"",$L$37-1),IF($R$17="Distrato",$E218,0))),0,YEARFRAC(MAX($P$34*($B218+IF($R$17="Distrato",$I$38-1,0)),IF(AND($L$37=0,$P$34=0),"",$L$37-1),IF($R$17="Distrato",$E218,0)),MIN(S$38,$D$19),$P$20))-SUM($P218:R218)</f>
        <v>#VALUE!</v>
      </c>
      <c r="T218" s="446" t="e">
        <f>IF(OR($B218="",MIN(T$38,$D$19)&lt;MAX($P$34*($B218+IF($R$17="Distrato",$I$38-1,0)),IF(AND($L$37=0,$P$34=0),"",$L$37-1),IF($R$17="Distrato",$E218,0))),0,YEARFRAC(MAX($P$34*($B218+IF($R$17="Distrato",$I$38-1,0)),IF(AND($L$37=0,$P$34=0),"",$L$37-1),IF($R$17="Distrato",$E218,0)),MIN(T$38,$D$19),$P$20))-SUM($P218:S218)</f>
        <v>#VALUE!</v>
      </c>
      <c r="U218" s="446" t="e">
        <f>IF(OR($B218="",MIN(U$38,$D$19)&lt;MAX($P$34*($B218+IF($R$17="Distrato",$I$38-1,0)),IF(AND($L$37=0,$P$34=0),"",$L$37-1),IF($R$17="Distrato",$E218,0))),0,YEARFRAC(MAX($P$34*($B218+IF($R$17="Distrato",$I$38-1,0)),IF(AND($L$37=0,$P$34=0),"",$L$37-1),IF($R$17="Distrato",$E218,0)),MIN(U$38,$D$19),$P$20))-SUM($P218:T218)</f>
        <v>#VALUE!</v>
      </c>
      <c r="V218" s="446" t="e">
        <f>IF(OR($B218="",MIN(V$38,$D$19)&lt;MAX($P$34*($B218+IF($R$17="Distrato",$I$38-1,0)),IF(AND($L$37=0,$P$34=0),"",$L$37-1),IF($R$17="Distrato",$E218,0))),0,YEARFRAC(MAX($P$34*($B218+IF($R$17="Distrato",$I$38-1,0)),IF(AND($L$37=0,$P$34=0),"",$L$37-1),IF($R$17="Distrato",$E218,0)),MIN(V$38,$D$19),$P$20))-SUM($P218:U218)</f>
        <v>#VALUE!</v>
      </c>
      <c r="W218" s="446" t="e">
        <f>IF(OR($B218="",MIN(W$38,$D$19)&lt;MAX($P$34*($B218+IF($R$17="Distrato",$I$38-1,0)),IF(AND($L$37=0,$P$34=0),"",$L$37-1),IF($R$17="Distrato",$E218,0))),0,YEARFRAC(MAX($P$34*($B218+IF($R$17="Distrato",$I$38-1,0)),IF(AND($L$37=0,$P$34=0),"",$L$37-1),IF($R$17="Distrato",$E218,0)),MIN(W$38,$D$19),$P$20))-SUM($P218:V218)</f>
        <v>#VALUE!</v>
      </c>
      <c r="X218" s="446" t="e">
        <f>IF(OR($B218="",MIN(X$38,$D$19)&lt;MAX($P$34*($B218+IF($R$17="Distrato",$I$38-1,0)),IF(AND($L$37=0,$P$34=0),"",$L$37-1),IF($R$17="Distrato",$E218,0))),0,YEARFRAC(MAX($P$34*($B218+IF($R$17="Distrato",$I$38-1,0)),IF(AND($L$37=0,$P$34=0),"",$L$37-1),IF($R$17="Distrato",$E218,0)),MIN(X$38,$D$19),$P$20))-SUM($P218:W218)</f>
        <v>#VALUE!</v>
      </c>
      <c r="Y218" s="446" t="e">
        <f>IF(OR($B218="",MIN(Y$38,$D$19)&lt;MAX($P$34*($B218+IF($R$17="Distrato",$I$38-1,0)),IF(AND($L$37=0,$P$34=0),"",$L$37-1),IF($R$17="Distrato",$E218,0))),0,YEARFRAC(MAX($P$34*($B218+IF($R$17="Distrato",$I$38-1,0)),IF(AND($L$37=0,$P$34=0),"",$L$37-1),IF($R$17="Distrato",$E218,0)),MIN(Y$38,$D$19),$P$20))-SUM($P218:X218)</f>
        <v>#VALUE!</v>
      </c>
      <c r="Z218" s="446" t="e">
        <f>IF(OR($B218="",MIN(Z$38,$D$19)&lt;MAX($P$34*($B218+IF($R$17="Distrato",$I$38-1,0)),IF(AND($L$37=0,$P$34=0),"",$L$37-1),IF($R$17="Distrato",$E218,0))),0,YEARFRAC(MAX($P$34*($B218+IF($R$17="Distrato",$I$38-1,0)),IF(AND($L$37=0,$P$34=0),"",$L$37-1),IF($R$17="Distrato",$E218,0)),MIN(Z$38,$D$19),$P$20))-SUM($P218:Y218)</f>
        <v>#VALUE!</v>
      </c>
      <c r="AA218" s="446" t="e">
        <f>IF(OR($B218="",MIN(AA$38,$D$19)&lt;MAX($P$34*($B218+IF($R$17="Distrato",$I$38-1,0)),IF(AND($L$37=0,$P$34=0),"",$L$37-1),IF($R$17="Distrato",$E218,0))),0,YEARFRAC(MAX($P$34*($B218+IF($R$17="Distrato",$I$38-1,0)),IF(AND($L$37=0,$P$34=0),"",$L$37-1),IF($R$17="Distrato",$E218,0)),MIN(AA$38,$D$19),$P$20))-SUM($P218:Z218)</f>
        <v>#VALUE!</v>
      </c>
      <c r="AB218" s="446" t="e">
        <f>IF(OR($B218="",MIN(AB$38,$D$19)&lt;MAX($P$34*($B218+IF($R$17="Distrato",$I$38-1,0)),IF(AND($L$37=0,$P$34=0),"",$L$37-1),IF($R$17="Distrato",$E218,0))),0,YEARFRAC(MAX($P$34*($B218+IF($R$17="Distrato",$I$38-1,0)),IF(AND($L$37=0,$P$34=0),"",$L$37-1),IF($R$17="Distrato",$E218,0)),MIN(AB$38,$D$19),$P$20))-SUM($P218:AA218)</f>
        <v>#VALUE!</v>
      </c>
      <c r="AC218" s="446" t="e">
        <f>IF(OR($B218="",MIN(AC$38,$D$19)&lt;MAX($P$34*($B218+IF($R$17="Distrato",$I$38-1,0)),IF(AND($L$37=0,$P$34=0),"",$L$37-1),IF($R$17="Distrato",$E218,0))),0,YEARFRAC(MAX($P$34*($B218+IF($R$17="Distrato",$I$38-1,0)),IF(AND($L$37=0,$P$34=0),"",$L$37-1),IF($R$17="Distrato",$E218,0)),MIN(AC$38,$D$19),$P$20))-SUM($P218:AB218)</f>
        <v>#VALUE!</v>
      </c>
      <c r="AD218" s="446" t="e">
        <f>IF(OR($B218="",MIN(AD$38,$D$19)&lt;MAX($P$34*($B218+IF($R$17="Distrato",$I$38-1,0)),IF(AND($L$37=0,$P$34=0),"",$L$37-1),IF($R$17="Distrato",$E218,0))),0,YEARFRAC(MAX($P$34*($B218+IF($R$17="Distrato",$I$38-1,0)),IF(AND($L$37=0,$P$34=0),"",$L$37-1),IF($R$17="Distrato",$E218,0)),MIN(AD$38,$D$19),$P$20))-SUM($P218:AC218)</f>
        <v>#VALUE!</v>
      </c>
      <c r="AE218" s="446" t="e">
        <f>IF(OR($B218="",MIN(AE$38,$D$19)&lt;MAX($P$34*($B218+IF($R$17="Distrato",$I$38-1,0)),IF(AND($L$37=0,$P$34=0),"",$L$37-1),IF($R$17="Distrato",$E218,0))),0,YEARFRAC(MAX($P$34*($B218+IF($R$17="Distrato",$I$38-1,0)),IF(AND($L$37=0,$P$34=0),"",$L$37-1),IF($R$17="Distrato",$E218,0)),MIN(AE$38,$D$19),$P$20))-SUM($P218:AD218)</f>
        <v>#VALUE!</v>
      </c>
      <c r="AF218" s="446" t="e">
        <f>IF(OR($B218="",MIN(AF$38,$D$19)&lt;MAX($P$34*($B218+IF($R$17="Distrato",$I$38-1,0)),IF(AND($L$37=0,$P$34=0),"",$L$37-1),IF($R$17="Distrato",$E218,0))),0,YEARFRAC(MAX($P$34*($B218+IF($R$17="Distrato",$I$38-1,0)),IF(AND($L$37=0,$P$34=0),"",$L$37-1),IF($R$17="Distrato",$E218,0)),MIN(AF$38,$D$19),$P$20))-SUM($P218:AE218)</f>
        <v>#VALUE!</v>
      </c>
      <c r="AG218" s="446" t="e">
        <f>IF(OR($B218="",MIN(AG$38,$D$19)&lt;MAX($P$34*($B218+IF($R$17="Distrato",$I$38-1,0)),IF(AND($L$37=0,$P$34=0),"",$L$37-1),IF($R$17="Distrato",$E218,0))),0,YEARFRAC(MAX($P$34*($B218+IF($R$17="Distrato",$I$38-1,0)),IF(AND($L$37=0,$P$34=0),"",$L$37-1),IF($R$17="Distrato",$E218,0)),MIN(AG$38,$D$19),$P$20))-SUM($P218:AF218)</f>
        <v>#VALUE!</v>
      </c>
      <c r="AH218" s="446" t="e">
        <f>IF(OR($B218="",MIN(AH$38,$D$19)&lt;MAX($P$34*($B218+IF($R$17="Distrato",$I$38-1,0)),IF(AND($L$37=0,$P$34=0),"",$L$37-1),IF($R$17="Distrato",$E218,0))),0,YEARFRAC(MAX($P$34*($B218+IF($R$17="Distrato",$I$38-1,0)),IF(AND($L$37=0,$P$34=0),"",$L$37-1),IF($R$17="Distrato",$E218,0)),MIN(AH$38,$D$19),$P$20))-SUM($P218:AG218)</f>
        <v>#VALUE!</v>
      </c>
      <c r="AI218" s="446" t="e">
        <f>IF(OR($B218="",MIN(AI$38,$D$19)&lt;MAX($P$34*($B218+IF($R$17="Distrato",$I$38-1,0)),IF(AND($L$37=0,$P$34=0),"",$L$37-1),IF($R$17="Distrato",$E218,0))),0,YEARFRAC(MAX($P$34*($B218+IF($R$17="Distrato",$I$38-1,0)),IF(AND($L$37=0,$P$34=0),"",$L$37-1),IF($R$17="Distrato",$E218,0)),MIN(AI$38,$D$19),$P$20))-SUM($P218:AH218)</f>
        <v>#VALUE!</v>
      </c>
      <c r="AJ218" s="446" t="e">
        <f>IF(OR($B218="",MIN(AJ$38,$D$19)&lt;MAX($P$34*($B218+IF($R$17="Distrato",$I$38-1,0)),IF(AND($L$37=0,$P$34=0),"",$L$37-1),IF($R$17="Distrato",$E218,0))),0,YEARFRAC(MAX($P$34*($B218+IF($R$17="Distrato",$I$38-1,0)),IF(AND($L$37=0,$P$34=0),"",$L$37-1),IF($R$17="Distrato",$E218,0)),MIN(AJ$38,$D$19),$P$20))-SUM($P218:AI218)</f>
        <v>#VALUE!</v>
      </c>
      <c r="AK218" s="446" t="e">
        <f>IF(OR($B218="",MIN(AK$38,$D$19)&lt;MAX($P$34*($B218+IF($R$17="Distrato",$I$38-1,0)),IF(AND($L$37=0,$P$34=0),"",$L$37-1),IF($R$17="Distrato",$E218,0))),0,YEARFRAC(MAX($P$34*($B218+IF($R$17="Distrato",$I$38-1,0)),IF(AND($L$37=0,$P$34=0),"",$L$37-1),IF($R$17="Distrato",$E218,0)),MIN(AK$38,$D$19),$P$20))-SUM($P218:AJ218)</f>
        <v>#VALUE!</v>
      </c>
      <c r="AL218" s="446" t="e">
        <f>IF(OR($B218="",MIN(AL$38,$D$19)&lt;MAX($P$34*($B218+IF($R$17="Distrato",$I$38-1,0)),IF(AND($L$37=0,$P$34=0),"",$L$37-1),IF($R$17="Distrato",$E218,0))),0,YEARFRAC(MAX($P$34*($B218+IF($R$17="Distrato",$I$38-1,0)),IF(AND($L$37=0,$P$34=0),"",$L$37-1),IF($R$17="Distrato",$E218,0)),MIN(AL$38,$D$19),$P$20))-SUM($P218:AK218)</f>
        <v>#VALUE!</v>
      </c>
      <c r="AM218" s="446" t="e">
        <f>IF(OR($B218="",MIN(AM$38,$D$19)&lt;MAX($P$34*($B218+IF($R$17="Distrato",$I$38-1,0)),IF(AND($L$37=0,$P$34=0),"",$L$37-1),IF($R$17="Distrato",$E218,0))),0,YEARFRAC(MAX($P$34*($B218+IF($R$17="Distrato",$I$38-1,0)),IF(AND($L$37=0,$P$34=0),"",$L$37-1),IF($R$17="Distrato",$E218,0)),MIN(AM$38,$D$19),$P$20))-SUM($P218:AL218)</f>
        <v>#VALUE!</v>
      </c>
      <c r="AN218" s="446" t="e">
        <f>IF(OR($B218="",MIN(AN$38,$D$19)&lt;MAX($P$34*($B218+IF($R$17="Distrato",$I$38-1,0)),IF(AND($L$37=0,$P$34=0),"",$L$37-1),IF($R$17="Distrato",$E218,0))),0,YEARFRAC(MAX($P$34*($B218+IF($R$17="Distrato",$I$38-1,0)),IF(AND($L$37=0,$P$34=0),"",$L$37-1),IF($R$17="Distrato",$E218,0)),MIN(AN$38,$D$19),$P$20))-SUM($P218:AM218)</f>
        <v>#VALUE!</v>
      </c>
      <c r="AO218" s="446" t="e">
        <f>IF(OR($B218="",MIN(AO$38,$D$19)&lt;MAX($P$34*($B218+IF($R$17="Distrato",$I$38-1,0)),IF(AND($L$37=0,$P$34=0),"",$L$37-1),IF($R$17="Distrato",$E218,0))),0,YEARFRAC(MAX($P$34*($B218+IF($R$17="Distrato",$I$38-1,0)),IF(AND($L$37=0,$P$34=0),"",$L$37-1),IF($R$17="Distrato",$E218,0)),MIN(AO$38,$D$19),$P$20))-SUM($P218:AN218)</f>
        <v>#VALUE!</v>
      </c>
      <c r="AP218" s="446" t="e">
        <f>IF(OR($B218="",MIN(AP$38,$D$19)&lt;MAX($P$34*($B218+IF($R$17="Distrato",$I$38-1,0)),IF(AND($L$37=0,$P$34=0),"",$L$37-1),IF($R$17="Distrato",$E218,0))),0,YEARFRAC(MAX($P$34*($B218+IF($R$17="Distrato",$I$38-1,0)),IF(AND($L$37=0,$P$34=0),"",$L$37-1),IF($R$17="Distrato",$E218,0)),MIN(AP$38,$D$19),$P$20))-SUM($P218:AO218)</f>
        <v>#VALUE!</v>
      </c>
      <c r="AQ218" s="446" t="e">
        <f>IF(OR($B218="",MIN(AQ$38,$D$19)&lt;MAX($P$34*($B218+IF($R$17="Distrato",$I$38-1,0)),IF(AND($L$37=0,$P$34=0),"",$L$37-1),IF($R$17="Distrato",$E218,0))),0,YEARFRAC(MAX($P$34*($B218+IF($R$17="Distrato",$I$38-1,0)),IF(AND($L$37=0,$P$34=0),"",$L$37-1),IF($R$17="Distrato",$E218,0)),MIN(AQ$38,$D$19),$P$20))-SUM($P218:AP218)</f>
        <v>#VALUE!</v>
      </c>
      <c r="AR218" s="446" t="e">
        <f>IF(OR($B218="",MIN(AR$38,$D$19)&lt;MAX($P$34*($B218+IF($R$17="Distrato",$I$38-1,0)),IF(AND($L$37=0,$P$34=0),"",$L$37-1),IF($R$17="Distrato",$E218,0))),0,YEARFRAC(MAX($P$34*($B218+IF($R$17="Distrato",$I$38-1,0)),IF(AND($L$37=0,$P$34=0),"",$L$37-1),IF($R$17="Distrato",$E218,0)),MIN(AR$38,$D$19),$P$20))-SUM($P218:AQ218)</f>
        <v>#VALUE!</v>
      </c>
      <c r="AS218" s="446" t="e">
        <f>IF(OR($B218="",MIN(AS$38,$D$19)&lt;MAX($P$34*($B218+IF($R$17="Distrato",$I$38-1,0)),IF(AND($L$37=0,$P$34=0),"",$L$37-1),IF($R$17="Distrato",$E218,0))),0,YEARFRAC(MAX($P$34*($B218+IF($R$17="Distrato",$I$38-1,0)),IF(AND($L$37=0,$P$34=0),"",$L$37-1),IF($R$17="Distrato",$E218,0)),MIN(AS$38,$D$19),$P$20))-SUM($P218:AR218)</f>
        <v>#VALUE!</v>
      </c>
      <c r="AT218" s="446" t="e">
        <f>IF(OR($B218="",MIN(AT$38,$D$19)&lt;MAX($P$34*($B218+IF($R$17="Distrato",$I$38-1,0)),IF(AND($L$37=0,$P$34=0),"",$L$37-1),IF($R$17="Distrato",$E218,0))),0,YEARFRAC(MAX($P$34*($B218+IF($R$17="Distrato",$I$38-1,0)),IF(AND($L$37=0,$P$34=0),"",$L$37-1),IF($R$17="Distrato",$E218,0)),MIN(AT$38,$D$19),$P$20))-SUM($P218:AS218)</f>
        <v>#VALUE!</v>
      </c>
      <c r="AU218" s="446" t="e">
        <f>IF(OR($B218="",MIN(AU$38,$D$19)&lt;MAX($P$34*($B218+IF($R$17="Distrato",$I$38-1,0)),IF(AND($L$37=0,$P$34=0),"",$L$37-1),IF($R$17="Distrato",$E218,0))),0,YEARFRAC(MAX($P$34*($B218+IF($R$17="Distrato",$I$38-1,0)),IF(AND($L$37=0,$P$34=0),"",$L$37-1),IF($R$17="Distrato",$E218,0)),MIN(AU$38,$D$19),$P$20))-SUM($P218:AT218)</f>
        <v>#VALUE!</v>
      </c>
      <c r="AV218" s="446" t="e">
        <f>IF(OR($B218="",MIN(AV$38,$D$19)&lt;MAX($P$34*($B218+IF($R$17="Distrato",$I$38-1,0)),IF(AND($L$37=0,$P$34=0),"",$L$37-1),IF($R$17="Distrato",$E218,0))),0,YEARFRAC(MAX($P$34*($B218+IF($R$17="Distrato",$I$38-1,0)),IF(AND($L$37=0,$P$34=0),"",$L$37-1),IF($R$17="Distrato",$E218,0)),MIN(AV$38,$D$19),$P$20))-SUM($P218:AU218)</f>
        <v>#VALUE!</v>
      </c>
      <c r="AW218" s="446" t="e">
        <f>IF(OR($B218="",MIN(AW$38,$D$19)&lt;MAX($P$34*($B218+IF($R$17="Distrato",$I$38-1,0)),IF(AND($L$37=0,$P$34=0),"",$L$37-1),IF($R$17="Distrato",$E218,0))),0,YEARFRAC(MAX($P$34*($B218+IF($R$17="Distrato",$I$38-1,0)),IF(AND($L$37=0,$P$34=0),"",$L$37-1),IF($R$17="Distrato",$E218,0)),MIN(AW$38,$D$19),$P$20))-SUM($P218:AV218)</f>
        <v>#VALUE!</v>
      </c>
      <c r="AX218" s="446" t="e">
        <f>IF(OR($B218="",MIN(AX$38,$D$19)&lt;MAX($P$34*($B218+IF($R$17="Distrato",$I$38-1,0)),IF(AND($L$37=0,$P$34=0),"",$L$37-1),IF($R$17="Distrato",$E218,0))),0,YEARFRAC(MAX($P$34*($B218+IF($R$17="Distrato",$I$38-1,0)),IF(AND($L$37=0,$P$34=0),"",$L$37-1),IF($R$17="Distrato",$E218,0)),MIN(AX$38,$D$19),$P$20))-SUM($P218:AW218)</f>
        <v>#VALUE!</v>
      </c>
      <c r="AY218" s="446" t="e">
        <f>IF(OR($B218="",MIN(AY$38,$D$19)&lt;MAX($P$34*($B218+IF($R$17="Distrato",$I$38-1,0)),IF(AND($L$37=0,$P$34=0),"",$L$37-1),IF($R$17="Distrato",$E218,0))),0,YEARFRAC(MAX($P$34*($B218+IF($R$17="Distrato",$I$38-1,0)),IF(AND($L$37=0,$P$34=0),"",$L$37-1),IF($R$17="Distrato",$E218,0)),MIN(AY$38,$D$19),$P$20))-SUM($P218:AX218)</f>
        <v>#VALUE!</v>
      </c>
      <c r="AZ218" s="446" t="e">
        <f>IF(OR($B218="",MIN(AZ$38,$D$19)&lt;MAX($P$34*($B218+IF($R$17="Distrato",$I$38-1,0)),IF(AND($L$37=0,$P$34=0),"",$L$37-1),IF($R$17="Distrato",$E218,0))),0,YEARFRAC(MAX($P$34*($B218+IF($R$17="Distrato",$I$38-1,0)),IF(AND($L$37=0,$P$34=0),"",$L$37-1),IF($R$17="Distrato",$E218,0)),MIN(AZ$38,$D$19),$P$20))-SUM($P218:AY218)</f>
        <v>#VALUE!</v>
      </c>
      <c r="BA218" s="446" t="e">
        <f>IF(OR($B218="",MIN(BA$38,$D$19)&lt;MAX($P$34*($B218+IF($R$17="Distrato",$I$38-1,0)),IF(AND($L$37=0,$P$34=0),"",$L$37-1),IF($R$17="Distrato",$E218,0))),0,YEARFRAC(MAX($P$34*($B218+IF($R$17="Distrato",$I$38-1,0)),IF(AND($L$37=0,$P$34=0),"",$L$37-1),IF($R$17="Distrato",$E218,0)),MIN(BA$38,$D$19),$P$20))-SUM($P218:AZ218)</f>
        <v>#VALUE!</v>
      </c>
      <c r="BB218" s="447"/>
      <c r="BF218" s="446">
        <f t="shared" si="32"/>
        <v>0</v>
      </c>
      <c r="BG218" s="446">
        <f>IF($E218=0,0,IF(MIN(BG$38,$E218)&lt;MAX($P$34*($B218+$I$38-1),IF(AND($L$37=0,$P$34=0),"",$L$37-1)),0,YEARFRAC(MAX($P$34*($B218+$I$38-1),IF(AND($L$37=0,$P$34=0),"",$L$37-1)),MIN(BG$38,$E218),$P$20))-SUM($BF218:BF218))</f>
        <v>0</v>
      </c>
      <c r="BH218" s="446">
        <f>IF($E218=0,0,IF(MIN(BH$38,$E218)&lt;MAX($P$34*($B218+$I$38-1),IF(AND($L$37=0,$P$34=0),"",$L$37-1)),0,YEARFRAC(MAX($P$34*($B218+$I$38-1),IF(AND($L$37=0,$P$34=0),"",$L$37-1)),MIN(BH$38,$E218),$P$20))-SUM($BF218:BG218))</f>
        <v>0</v>
      </c>
      <c r="BI218" s="446">
        <f>IF($E218=0,0,IF(MIN(BI$38,$E218)&lt;MAX($P$34*($B218+$I$38-1),IF(AND($L$37=0,$P$34=0),"",$L$37-1)),0,YEARFRAC(MAX($P$34*($B218+$I$38-1),IF(AND($L$37=0,$P$34=0),"",$L$37-1)),MIN(BI$38,$E218),$P$20))-SUM($BF218:BH218))</f>
        <v>0</v>
      </c>
      <c r="BJ218" s="446">
        <f>IF($E218=0,0,IF(MIN(BJ$38,$E218)&lt;MAX($P$34*($B218+$I$38-1),IF(AND($L$37=0,$P$34=0),"",$L$37-1)),0,YEARFRAC(MAX($P$34*($B218+$I$38-1),IF(AND($L$37=0,$P$34=0),"",$L$37-1)),MIN(BJ$38,$E218),$P$20))-SUM($BF218:BI218))</f>
        <v>0</v>
      </c>
      <c r="BK218" s="446">
        <f>IF($E218=0,0,IF(MIN(BK$38,$E218)&lt;MAX($P$34*($B218+$I$38-1),IF(AND($L$37=0,$P$34=0),"",$L$37-1)),0,YEARFRAC(MAX($P$34*($B218+$I$38-1),IF(AND($L$37=0,$P$34=0),"",$L$37-1)),MIN(BK$38,$E218),$P$20))-SUM($BF218:BJ218))</f>
        <v>0</v>
      </c>
      <c r="BL218" s="446">
        <f>IF($E218=0,0,IF(MIN(BL$38,$E218)&lt;MAX($P$34*($B218+$I$38-1),IF(AND($L$37=0,$P$34=0),"",$L$37-1)),0,YEARFRAC(MAX($P$34*($B218+$I$38-1),IF(AND($L$37=0,$P$34=0),"",$L$37-1)),MIN(BL$38,$E218),$P$20))-SUM($BF218:BK218))</f>
        <v>0</v>
      </c>
      <c r="BM218" s="446">
        <f>IF($E218=0,0,IF(MIN(BM$38,$E218)&lt;MAX($P$34*($B218+$I$38-1),IF(AND($L$37=0,$P$34=0),"",$L$37-1)),0,YEARFRAC(MAX($P$34*($B218+$I$38-1),IF(AND($L$37=0,$P$34=0),"",$L$37-1)),MIN(BM$38,$E218),$P$20))-SUM($BF218:BL218))</f>
        <v>0</v>
      </c>
      <c r="BN218" s="446">
        <f>IF($E218=0,0,IF(MIN(BN$38,$E218)&lt;MAX($P$34*($B218+$I$38-1),IF(AND($L$37=0,$P$34=0),"",$L$37-1)),0,YEARFRAC(MAX($P$34*($B218+$I$38-1),IF(AND($L$37=0,$P$34=0),"",$L$37-1)),MIN(BN$38,$E218),$P$20))-SUM($BF218:BM218))</f>
        <v>0</v>
      </c>
      <c r="BO218" s="446">
        <f>IF($E218=0,0,IF(MIN(BO$38,$E218)&lt;MAX($P$34*($B218+$I$38-1),IF(AND($L$37=0,$P$34=0),"",$L$37-1)),0,YEARFRAC(MAX($P$34*($B218+$I$38-1),IF(AND($L$37=0,$P$34=0),"",$L$37-1)),MIN(BO$38,$E218),$P$20))-SUM($BF218:BN218))</f>
        <v>0</v>
      </c>
      <c r="BP218" s="446">
        <f>IF($E218=0,0,IF(MIN(BP$38,$E218)&lt;MAX($P$34*($B218+$I$38-1),IF(AND($L$37=0,$P$34=0),"",$L$37-1)),0,YEARFRAC(MAX($P$34*($B218+$I$38-1),IF(AND($L$37=0,$P$34=0),"",$L$37-1)),MIN(BP$38,$E218),$P$20))-SUM($BF218:BO218))</f>
        <v>0</v>
      </c>
      <c r="BQ218" s="446">
        <f>IF($E218=0,0,IF(MIN(BQ$38,$E218)&lt;MAX($P$34*($B218+$I$38-1),IF(AND($L$37=0,$P$34=0),"",$L$37-1)),0,YEARFRAC(MAX($P$34*($B218+$I$38-1),IF(AND($L$37=0,$P$34=0),"",$L$37-1)),MIN(BQ$38,$E218),$P$20))-SUM($BF218:BP218))</f>
        <v>0</v>
      </c>
      <c r="BR218" s="446">
        <f>IF($E218=0,0,IF(MIN(BR$38,$E218)&lt;MAX($P$34*($B218+$I$38-1),IF(AND($L$37=0,$P$34=0),"",$L$37-1)),0,YEARFRAC(MAX($P$34*($B218+$I$38-1),IF(AND($L$37=0,$P$34=0),"",$L$37-1)),MIN(BR$38,$E218),$P$20))-SUM($BF218:BQ218))</f>
        <v>0</v>
      </c>
      <c r="BS218" s="446">
        <f>IF($E218=0,0,IF(MIN(BS$38,$E218)&lt;MAX($P$34*($B218+$I$38-1),IF(AND($L$37=0,$P$34=0),"",$L$37-1)),0,YEARFRAC(MAX($P$34*($B218+$I$38-1),IF(AND($L$37=0,$P$34=0),"",$L$37-1)),MIN(BS$38,$E218),$P$20))-SUM($BF218:BR218))</f>
        <v>0</v>
      </c>
      <c r="BT218" s="446">
        <f>IF($E218=0,0,IF(MIN(BT$38,$E218)&lt;MAX($P$34*($B218+$I$38-1),IF(AND($L$37=0,$P$34=0),"",$L$37-1)),0,YEARFRAC(MAX($P$34*($B218+$I$38-1),IF(AND($L$37=0,$P$34=0),"",$L$37-1)),MIN(BT$38,$E218),$P$20))-SUM($BF218:BS218))</f>
        <v>0</v>
      </c>
      <c r="BU218" s="446">
        <f>IF($E218=0,0,IF(MIN(BU$38,$E218)&lt;MAX($P$34*($B218+$I$38-1),IF(AND($L$37=0,$P$34=0),"",$L$37-1)),0,YEARFRAC(MAX($P$34*($B218+$I$38-1),IF(AND($L$37=0,$P$34=0),"",$L$37-1)),MIN(BU$38,$E218),$P$20))-SUM($BF218:BT218))</f>
        <v>0</v>
      </c>
      <c r="BV218" s="446">
        <f>IF($E218=0,0,IF(MIN(BV$38,$E218)&lt;MAX($P$34*($B218+$I$38-1),IF(AND($L$37=0,$P$34=0),"",$L$37-1)),0,YEARFRAC(MAX($P$34*($B218+$I$38-1),IF(AND($L$37=0,$P$34=0),"",$L$37-1)),MIN(BV$38,$E218),$P$20))-SUM($BF218:BU218))</f>
        <v>0</v>
      </c>
      <c r="BW218" s="446">
        <f>IF($E218=0,0,IF(MIN(BW$38,$E218)&lt;MAX($P$34*($B218+$I$38-1),IF(AND($L$37=0,$P$34=0),"",$L$37-1)),0,YEARFRAC(MAX($P$34*($B218+$I$38-1),IF(AND($L$37=0,$P$34=0),"",$L$37-1)),MIN(BW$38,$E218),$P$20))-SUM($BF218:BV218))</f>
        <v>0</v>
      </c>
      <c r="BX218" s="446">
        <f>IF($E218=0,0,IF(MIN(BX$38,$E218)&lt;MAX($P$34*($B218+$I$38-1),IF(AND($L$37=0,$P$34=0),"",$L$37-1)),0,YEARFRAC(MAX($P$34*($B218+$I$38-1),IF(AND($L$37=0,$P$34=0),"",$L$37-1)),MIN(BX$38,$E218),$P$20))-SUM($BF218:BW218))</f>
        <v>0</v>
      </c>
      <c r="BY218" s="446">
        <f>IF($E218=0,0,IF(MIN(BY$38,$E218)&lt;MAX($P$34*($B218+$I$38-1),IF(AND($L$37=0,$P$34=0),"",$L$37-1)),0,YEARFRAC(MAX($P$34*($B218+$I$38-1),IF(AND($L$37=0,$P$34=0),"",$L$37-1)),MIN(BY$38,$E218),$P$20))-SUM($BF218:BX218))</f>
        <v>0</v>
      </c>
      <c r="BZ218" s="446">
        <f>IF($E218=0,0,IF(MIN(BZ$38,$E218)&lt;MAX($P$34*($B218+$I$38-1),IF(AND($L$37=0,$P$34=0),"",$L$37-1)),0,YEARFRAC(MAX($P$34*($B218+$I$38-1),IF(AND($L$37=0,$P$34=0),"",$L$37-1)),MIN(BZ$38,$E218),$P$20))-SUM($BF218:BY218))</f>
        <v>0</v>
      </c>
      <c r="CA218" s="446">
        <f>IF($E218=0,0,IF(MIN(CA$38,$E218)&lt;MAX($P$34*($B218+$I$38-1),IF(AND($L$37=0,$P$34=0),"",$L$37-1)),0,YEARFRAC(MAX($P$34*($B218+$I$38-1),IF(AND($L$37=0,$P$34=0),"",$L$37-1)),MIN(CA$38,$E218),$P$20))-SUM($BF218:BZ218))</f>
        <v>0</v>
      </c>
      <c r="CB218" s="446">
        <f>IF($E218=0,0,IF(MIN(CB$38,$E218)&lt;MAX($P$34*($B218+$I$38-1),IF(AND($L$37=0,$P$34=0),"",$L$37-1)),0,YEARFRAC(MAX($P$34*($B218+$I$38-1),IF(AND($L$37=0,$P$34=0),"",$L$37-1)),MIN(CB$38,$E218),$P$20))-SUM($BF218:CA218))</f>
        <v>0</v>
      </c>
      <c r="CC218" s="446">
        <f>IF($E218=0,0,IF(MIN(CC$38,$E218)&lt;MAX($P$34*($B218+$I$38-1),IF(AND($L$37=0,$P$34=0),"",$L$37-1)),0,YEARFRAC(MAX($P$34*($B218+$I$38-1),IF(AND($L$37=0,$P$34=0),"",$L$37-1)),MIN(CC$38,$E218),$P$20))-SUM($BF218:CB218))</f>
        <v>0</v>
      </c>
      <c r="CD218" s="446">
        <f>IF($E218=0,0,IF(MIN(CD$38,$E218)&lt;MAX($P$34*($B218+$I$38-1),IF(AND($L$37=0,$P$34=0),"",$L$37-1)),0,YEARFRAC(MAX($P$34*($B218+$I$38-1),IF(AND($L$37=0,$P$34=0),"",$L$37-1)),MIN(CD$38,$E218),$P$20))-SUM($BF218:CC218))</f>
        <v>0</v>
      </c>
      <c r="CE218" s="446">
        <f>IF($E218=0,0,IF(MIN(CE$38,$E218)&lt;MAX($P$34*($B218+$I$38-1),IF(AND($L$37=0,$P$34=0),"",$L$37-1)),0,YEARFRAC(MAX($P$34*($B218+$I$38-1),IF(AND($L$37=0,$P$34=0),"",$L$37-1)),MIN(CE$38,$E218),$P$20))-SUM($BF218:CD218))</f>
        <v>0</v>
      </c>
      <c r="CF218" s="446">
        <f>IF($E218=0,0,IF(MIN(CF$38,$E218)&lt;MAX($P$34*($B218+$I$38-1),IF(AND($L$37=0,$P$34=0),"",$L$37-1)),0,YEARFRAC(MAX($P$34*($B218+$I$38-1),IF(AND($L$37=0,$P$34=0),"",$L$37-1)),MIN(CF$38,$E218),$P$20))-SUM($BF218:CE218))</f>
        <v>0</v>
      </c>
      <c r="CG218" s="446">
        <f>IF($E218=0,0,IF(MIN(CG$38,$E218)&lt;MAX($P$34*($B218+$I$38-1),IF(AND($L$37=0,$P$34=0),"",$L$37-1)),0,YEARFRAC(MAX($P$34*($B218+$I$38-1),IF(AND($L$37=0,$P$34=0),"",$L$37-1)),MIN(CG$38,$E218),$P$20))-SUM($BF218:CF218))</f>
        <v>0</v>
      </c>
      <c r="CH218" s="446">
        <f>IF($E218=0,0,IF(MIN(CH$38,$E218)&lt;MAX($P$34*($B218+$I$38-1),IF(AND($L$37=0,$P$34=0),"",$L$37-1)),0,YEARFRAC(MAX($P$34*($B218+$I$38-1),IF(AND($L$37=0,$P$34=0),"",$L$37-1)),MIN(CH$38,$E218),$P$20))-SUM($BF218:CG218))</f>
        <v>0</v>
      </c>
      <c r="CI218" s="446">
        <f>IF($E218=0,0,IF(MIN(CI$38,$E218)&lt;MAX($P$34*($B218+$I$38-1),IF(AND($L$37=0,$P$34=0),"",$L$37-1)),0,YEARFRAC(MAX($P$34*($B218+$I$38-1),IF(AND($L$37=0,$P$34=0),"",$L$37-1)),MIN(CI$38,$E218),$P$20))-SUM($BF218:CH218))</f>
        <v>0</v>
      </c>
      <c r="CJ218" s="446">
        <f>IF($E218=0,0,IF(MIN(CJ$38,$E218)&lt;MAX($P$34*($B218+$I$38-1),IF(AND($L$37=0,$P$34=0),"",$L$37-1)),0,YEARFRAC(MAX($P$34*($B218+$I$38-1),IF(AND($L$37=0,$P$34=0),"",$L$37-1)),MIN(CJ$38,$E218),$P$20))-SUM($BF218:CI218))</f>
        <v>0</v>
      </c>
      <c r="CK218" s="446">
        <f>IF($E218=0,0,IF(MIN(CK$38,$E218)&lt;MAX($P$34*($B218+$I$38-1),IF(AND($L$37=0,$P$34=0),"",$L$37-1)),0,YEARFRAC(MAX($P$34*($B218+$I$38-1),IF(AND($L$37=0,$P$34=0),"",$L$37-1)),MIN(CK$38,$E218),$P$20))-SUM($BF218:CJ218))</f>
        <v>0</v>
      </c>
      <c r="CL218" s="446">
        <f>IF($E218=0,0,IF(MIN(CL$38,$E218)&lt;MAX($P$34*($B218+$I$38-1),IF(AND($L$37=0,$P$34=0),"",$L$37-1)),0,YEARFRAC(MAX($P$34*($B218+$I$38-1),IF(AND($L$37=0,$P$34=0),"",$L$37-1)),MIN(CL$38,$E218),$P$20))-SUM($BF218:CK218))</f>
        <v>0</v>
      </c>
      <c r="CM218" s="446">
        <f>IF($E218=0,0,IF(MIN(CM$38,$E218)&lt;MAX($P$34*($B218+$I$38-1),IF(AND($L$37=0,$P$34=0),"",$L$37-1)),0,YEARFRAC(MAX($P$34*($B218+$I$38-1),IF(AND($L$37=0,$P$34=0),"",$L$37-1)),MIN(CM$38,$E218),$P$20))-SUM($BF218:CL218))</f>
        <v>0</v>
      </c>
      <c r="CN218" s="446">
        <f>IF($E218=0,0,IF(MIN(CN$38,$E218)&lt;MAX($P$34*($B218+$I$38-1),IF(AND($L$37=0,$P$34=0),"",$L$37-1)),0,YEARFRAC(MAX($P$34*($B218+$I$38-1),IF(AND($L$37=0,$P$34=0),"",$L$37-1)),MIN(CN$38,$E218),$P$20))-SUM($BF218:CM218))</f>
        <v>0</v>
      </c>
      <c r="CO218" s="446">
        <f>IF($E218=0,0,IF(MIN(CO$38,$E218)&lt;MAX($P$34*($B218+$I$38-1),IF(AND($L$37=0,$P$34=0),"",$L$37-1)),0,YEARFRAC(MAX($P$34*($B218+$I$38-1),IF(AND($L$37=0,$P$34=0),"",$L$37-1)),MIN(CO$38,$E218),$P$20))-SUM($BF218:CN218))</f>
        <v>0</v>
      </c>
      <c r="CP218" s="446">
        <f>IF($E218=0,0,IF(MIN(CP$38,$E218)&lt;MAX($P$34*($B218+$I$38-1),IF(AND($L$37=0,$P$34=0),"",$L$37-1)),0,YEARFRAC(MAX($P$34*($B218+$I$38-1),IF(AND($L$37=0,$P$34=0),"",$L$37-1)),MIN(CP$38,$E218),$P$20))-SUM($BF218:CO218))</f>
        <v>0</v>
      </c>
      <c r="CQ218" s="446">
        <f>IF($E218=0,0,IF(MIN(CQ$38,$E218)&lt;MAX($P$34*($B218+$I$38-1),IF(AND($L$37=0,$P$34=0),"",$L$37-1)),0,YEARFRAC(MAX($P$34*($B218+$I$38-1),IF(AND($L$37=0,$P$34=0),"",$L$37-1)),MIN(CQ$38,$E218),$P$20))-SUM($BF218:CP218))</f>
        <v>0</v>
      </c>
    </row>
    <row r="219" spans="1:95" s="446" customFormat="1" ht="11.25" hidden="1" customHeight="1" x14ac:dyDescent="0.2">
      <c r="A219" s="152"/>
      <c r="B219" s="153" t="str">
        <f t="shared" si="37"/>
        <v/>
      </c>
      <c r="C219" s="29" t="str">
        <f>IF(B219="","",IF($L$35="SELIC - TRIBUTOS",VLOOKUP(DATE(YEAR($D$19),MONTH($D$19)-1,1),ÍNDICES!$A:$DE,HLOOKUP($BL$25,ÍNDICES!$B$3:$T$4,2)+11)-VLOOKUP(B219,ÍNDICES!$A:$DE,HLOOKUP($BL$25,ÍNDICES!$B$3:$T$4,2)+11)+1%,IF(C$38=$W$26,$J$35,IF(ISERROR(IF(B219&gt;$D$19,1,VLOOKUP(DATE(YEAR(B219),MONTH(B219)+IF($C$35=$S$23,1,0),1),ÍNDICES!$A:$DE,$Z$35+1))),"",IF(B219&gt;$D$19,1,VLOOKUP(DATE(YEAR(B219),MONTH(B219)+IF($C$35=$S$23,1,0),1),ÍNDICES!$A:$DE,$Z$35+1))))))</f>
        <v/>
      </c>
      <c r="D219" s="154" t="str">
        <f>IF(ISERROR(IF(OR($D$38=$Y$27,$B219=""),"",VLOOKUP(B219,ÍNDICES!A:DE,AF$35+1))),"",IF(OR($D$38=$Y$27,$B219=""),"",VLOOKUP(B219,ÍNDICES!A:DE,AF$35+1)))</f>
        <v/>
      </c>
      <c r="E219" s="153"/>
      <c r="F219" s="29" t="str">
        <f>IF(E219="","",IF($L$35="SELIC - TRIBUTOS",VLOOKUP(DATE(YEAR($D$19),MONTH($D$19)-1,1),ÍNDICES!$A:$DE,HLOOKUP($BL$25,ÍNDICES!$B$3:$T$4,2)+11)-VLOOKUP(E219,ÍNDICES!$A:$DE,HLOOKUP($BL$25,ÍNDICES!$B$3:$T$4,2)+11)+1%,IF(F$38=$W$26,$J$35,IF(ISERROR(IF(E219&gt;$D$19,1,VLOOKUP(DATE(YEAR(E219),MONTH(E219)+IF($C$35=$S$23,1,0),1),ÍNDICES!$A:$DE,$Z$35+1))),"",IF(E219&gt;$D$19,1,VLOOKUP(DATE(YEAR(E219),MONTH(E219)+IF($C$35=$S$23,1,0),1),ÍNDICES!$A:$DE,$Z$35+1))))))</f>
        <v/>
      </c>
      <c r="G219" s="155"/>
      <c r="H219" s="156" t="str">
        <f t="shared" si="33"/>
        <v/>
      </c>
      <c r="I219" s="29" t="str">
        <f t="shared" si="27"/>
        <v/>
      </c>
      <c r="J219" s="5">
        <f t="shared" si="28"/>
        <v>0</v>
      </c>
      <c r="K219" s="20">
        <f t="shared" ca="1" si="29"/>
        <v>0</v>
      </c>
      <c r="L219" s="5">
        <f t="shared" ca="1" si="30"/>
        <v>0</v>
      </c>
      <c r="M219" s="64">
        <f t="shared" si="34"/>
        <v>0</v>
      </c>
      <c r="N219" s="61">
        <f t="shared" ca="1" si="35"/>
        <v>0</v>
      </c>
      <c r="O219" s="5">
        <f t="shared" ca="1" si="36"/>
        <v>0</v>
      </c>
      <c r="P219" s="446" t="e">
        <f t="shared" si="31"/>
        <v>#VALUE!</v>
      </c>
      <c r="Q219" s="446" t="e">
        <f>IF(OR($B219="",MIN(Q$38,$D$19)&lt;MAX($P$34*($B219+IF($R$17="Distrato",$I$38-1,0)),IF(AND($L$37=0,$P$34=0),"",$L$37-1),IF($R$17="Distrato",$E219,0))),0,YEARFRAC(MAX($P$34*($B219+IF($R$17="Distrato",$I$38-1,0)),IF(AND($L$37=0,$P$34=0),"",$L$37-1),IF($R$17="Distrato",$E219,0)),MIN(Q$38,$D$19),$P$20))-SUM($P219:P219)</f>
        <v>#VALUE!</v>
      </c>
      <c r="R219" s="446" t="e">
        <f>IF(OR($B219="",MIN(R$38,$D$19)&lt;MAX($P$34*($B219+IF($R$17="Distrato",$I$38-1,0)),IF(AND($L$37=0,$P$34=0),"",$L$37-1),IF($R$17="Distrato",$E219,0))),0,YEARFRAC(MAX($P$34*($B219+IF($R$17="Distrato",$I$38-1,0)),IF(AND($L$37=0,$P$34=0),"",$L$37-1),IF($R$17="Distrato",$E219,0)),MIN(R$38,$D$19),$P$20))-SUM($P219:Q219)</f>
        <v>#VALUE!</v>
      </c>
      <c r="S219" s="446" t="e">
        <f>IF(OR($B219="",MIN(S$38,$D$19)&lt;MAX($P$34*($B219+IF($R$17="Distrato",$I$38-1,0)),IF(AND($L$37=0,$P$34=0),"",$L$37-1),IF($R$17="Distrato",$E219,0))),0,YEARFRAC(MAX($P$34*($B219+IF($R$17="Distrato",$I$38-1,0)),IF(AND($L$37=0,$P$34=0),"",$L$37-1),IF($R$17="Distrato",$E219,0)),MIN(S$38,$D$19),$P$20))-SUM($P219:R219)</f>
        <v>#VALUE!</v>
      </c>
      <c r="T219" s="446" t="e">
        <f>IF(OR($B219="",MIN(T$38,$D$19)&lt;MAX($P$34*($B219+IF($R$17="Distrato",$I$38-1,0)),IF(AND($L$37=0,$P$34=0),"",$L$37-1),IF($R$17="Distrato",$E219,0))),0,YEARFRAC(MAX($P$34*($B219+IF($R$17="Distrato",$I$38-1,0)),IF(AND($L$37=0,$P$34=0),"",$L$37-1),IF($R$17="Distrato",$E219,0)),MIN(T$38,$D$19),$P$20))-SUM($P219:S219)</f>
        <v>#VALUE!</v>
      </c>
      <c r="U219" s="446" t="e">
        <f>IF(OR($B219="",MIN(U$38,$D$19)&lt;MAX($P$34*($B219+IF($R$17="Distrato",$I$38-1,0)),IF(AND($L$37=0,$P$34=0),"",$L$37-1),IF($R$17="Distrato",$E219,0))),0,YEARFRAC(MAX($P$34*($B219+IF($R$17="Distrato",$I$38-1,0)),IF(AND($L$37=0,$P$34=0),"",$L$37-1),IF($R$17="Distrato",$E219,0)),MIN(U$38,$D$19),$P$20))-SUM($P219:T219)</f>
        <v>#VALUE!</v>
      </c>
      <c r="V219" s="446" t="e">
        <f>IF(OR($B219="",MIN(V$38,$D$19)&lt;MAX($P$34*($B219+IF($R$17="Distrato",$I$38-1,0)),IF(AND($L$37=0,$P$34=0),"",$L$37-1),IF($R$17="Distrato",$E219,0))),0,YEARFRAC(MAX($P$34*($B219+IF($R$17="Distrato",$I$38-1,0)),IF(AND($L$37=0,$P$34=0),"",$L$37-1),IF($R$17="Distrato",$E219,0)),MIN(V$38,$D$19),$P$20))-SUM($P219:U219)</f>
        <v>#VALUE!</v>
      </c>
      <c r="W219" s="446" t="e">
        <f>IF(OR($B219="",MIN(W$38,$D$19)&lt;MAX($P$34*($B219+IF($R$17="Distrato",$I$38-1,0)),IF(AND($L$37=0,$P$34=0),"",$L$37-1),IF($R$17="Distrato",$E219,0))),0,YEARFRAC(MAX($P$34*($B219+IF($R$17="Distrato",$I$38-1,0)),IF(AND($L$37=0,$P$34=0),"",$L$37-1),IF($R$17="Distrato",$E219,0)),MIN(W$38,$D$19),$P$20))-SUM($P219:V219)</f>
        <v>#VALUE!</v>
      </c>
      <c r="X219" s="446" t="e">
        <f>IF(OR($B219="",MIN(X$38,$D$19)&lt;MAX($P$34*($B219+IF($R$17="Distrato",$I$38-1,0)),IF(AND($L$37=0,$P$34=0),"",$L$37-1),IF($R$17="Distrato",$E219,0))),0,YEARFRAC(MAX($P$34*($B219+IF($R$17="Distrato",$I$38-1,0)),IF(AND($L$37=0,$P$34=0),"",$L$37-1),IF($R$17="Distrato",$E219,0)),MIN(X$38,$D$19),$P$20))-SUM($P219:W219)</f>
        <v>#VALUE!</v>
      </c>
      <c r="Y219" s="446" t="e">
        <f>IF(OR($B219="",MIN(Y$38,$D$19)&lt;MAX($P$34*($B219+IF($R$17="Distrato",$I$38-1,0)),IF(AND($L$37=0,$P$34=0),"",$L$37-1),IF($R$17="Distrato",$E219,0))),0,YEARFRAC(MAX($P$34*($B219+IF($R$17="Distrato",$I$38-1,0)),IF(AND($L$37=0,$P$34=0),"",$L$37-1),IF($R$17="Distrato",$E219,0)),MIN(Y$38,$D$19),$P$20))-SUM($P219:X219)</f>
        <v>#VALUE!</v>
      </c>
      <c r="Z219" s="446" t="e">
        <f>IF(OR($B219="",MIN(Z$38,$D$19)&lt;MAX($P$34*($B219+IF($R$17="Distrato",$I$38-1,0)),IF(AND($L$37=0,$P$34=0),"",$L$37-1),IF($R$17="Distrato",$E219,0))),0,YEARFRAC(MAX($P$34*($B219+IF($R$17="Distrato",$I$38-1,0)),IF(AND($L$37=0,$P$34=0),"",$L$37-1),IF($R$17="Distrato",$E219,0)),MIN(Z$38,$D$19),$P$20))-SUM($P219:Y219)</f>
        <v>#VALUE!</v>
      </c>
      <c r="AA219" s="446" t="e">
        <f>IF(OR($B219="",MIN(AA$38,$D$19)&lt;MAX($P$34*($B219+IF($R$17="Distrato",$I$38-1,0)),IF(AND($L$37=0,$P$34=0),"",$L$37-1),IF($R$17="Distrato",$E219,0))),0,YEARFRAC(MAX($P$34*($B219+IF($R$17="Distrato",$I$38-1,0)),IF(AND($L$37=0,$P$34=0),"",$L$37-1),IF($R$17="Distrato",$E219,0)),MIN(AA$38,$D$19),$P$20))-SUM($P219:Z219)</f>
        <v>#VALUE!</v>
      </c>
      <c r="AB219" s="446" t="e">
        <f>IF(OR($B219="",MIN(AB$38,$D$19)&lt;MAX($P$34*($B219+IF($R$17="Distrato",$I$38-1,0)),IF(AND($L$37=0,$P$34=0),"",$L$37-1),IF($R$17="Distrato",$E219,0))),0,YEARFRAC(MAX($P$34*($B219+IF($R$17="Distrato",$I$38-1,0)),IF(AND($L$37=0,$P$34=0),"",$L$37-1),IF($R$17="Distrato",$E219,0)),MIN(AB$38,$D$19),$P$20))-SUM($P219:AA219)</f>
        <v>#VALUE!</v>
      </c>
      <c r="AC219" s="446" t="e">
        <f>IF(OR($B219="",MIN(AC$38,$D$19)&lt;MAX($P$34*($B219+IF($R$17="Distrato",$I$38-1,0)),IF(AND($L$37=0,$P$34=0),"",$L$37-1),IF($R$17="Distrato",$E219,0))),0,YEARFRAC(MAX($P$34*($B219+IF($R$17="Distrato",$I$38-1,0)),IF(AND($L$37=0,$P$34=0),"",$L$37-1),IF($R$17="Distrato",$E219,0)),MIN(AC$38,$D$19),$P$20))-SUM($P219:AB219)</f>
        <v>#VALUE!</v>
      </c>
      <c r="AD219" s="446" t="e">
        <f>IF(OR($B219="",MIN(AD$38,$D$19)&lt;MAX($P$34*($B219+IF($R$17="Distrato",$I$38-1,0)),IF(AND($L$37=0,$P$34=0),"",$L$37-1),IF($R$17="Distrato",$E219,0))),0,YEARFRAC(MAX($P$34*($B219+IF($R$17="Distrato",$I$38-1,0)),IF(AND($L$37=0,$P$34=0),"",$L$37-1),IF($R$17="Distrato",$E219,0)),MIN(AD$38,$D$19),$P$20))-SUM($P219:AC219)</f>
        <v>#VALUE!</v>
      </c>
      <c r="AE219" s="446" t="e">
        <f>IF(OR($B219="",MIN(AE$38,$D$19)&lt;MAX($P$34*($B219+IF($R$17="Distrato",$I$38-1,0)),IF(AND($L$37=0,$P$34=0),"",$L$37-1),IF($R$17="Distrato",$E219,0))),0,YEARFRAC(MAX($P$34*($B219+IF($R$17="Distrato",$I$38-1,0)),IF(AND($L$37=0,$P$34=0),"",$L$37-1),IF($R$17="Distrato",$E219,0)),MIN(AE$38,$D$19),$P$20))-SUM($P219:AD219)</f>
        <v>#VALUE!</v>
      </c>
      <c r="AF219" s="446" t="e">
        <f>IF(OR($B219="",MIN(AF$38,$D$19)&lt;MAX($P$34*($B219+IF($R$17="Distrato",$I$38-1,0)),IF(AND($L$37=0,$P$34=0),"",$L$37-1),IF($R$17="Distrato",$E219,0))),0,YEARFRAC(MAX($P$34*($B219+IF($R$17="Distrato",$I$38-1,0)),IF(AND($L$37=0,$P$34=0),"",$L$37-1),IF($R$17="Distrato",$E219,0)),MIN(AF$38,$D$19),$P$20))-SUM($P219:AE219)</f>
        <v>#VALUE!</v>
      </c>
      <c r="AG219" s="446" t="e">
        <f>IF(OR($B219="",MIN(AG$38,$D$19)&lt;MAX($P$34*($B219+IF($R$17="Distrato",$I$38-1,0)),IF(AND($L$37=0,$P$34=0),"",$L$37-1),IF($R$17="Distrato",$E219,0))),0,YEARFRAC(MAX($P$34*($B219+IF($R$17="Distrato",$I$38-1,0)),IF(AND($L$37=0,$P$34=0),"",$L$37-1),IF($R$17="Distrato",$E219,0)),MIN(AG$38,$D$19),$P$20))-SUM($P219:AF219)</f>
        <v>#VALUE!</v>
      </c>
      <c r="AH219" s="446" t="e">
        <f>IF(OR($B219="",MIN(AH$38,$D$19)&lt;MAX($P$34*($B219+IF($R$17="Distrato",$I$38-1,0)),IF(AND($L$37=0,$P$34=0),"",$L$37-1),IF($R$17="Distrato",$E219,0))),0,YEARFRAC(MAX($P$34*($B219+IF($R$17="Distrato",$I$38-1,0)),IF(AND($L$37=0,$P$34=0),"",$L$37-1),IF($R$17="Distrato",$E219,0)),MIN(AH$38,$D$19),$P$20))-SUM($P219:AG219)</f>
        <v>#VALUE!</v>
      </c>
      <c r="AI219" s="446" t="e">
        <f>IF(OR($B219="",MIN(AI$38,$D$19)&lt;MAX($P$34*($B219+IF($R$17="Distrato",$I$38-1,0)),IF(AND($L$37=0,$P$34=0),"",$L$37-1),IF($R$17="Distrato",$E219,0))),0,YEARFRAC(MAX($P$34*($B219+IF($R$17="Distrato",$I$38-1,0)),IF(AND($L$37=0,$P$34=0),"",$L$37-1),IF($R$17="Distrato",$E219,0)),MIN(AI$38,$D$19),$P$20))-SUM($P219:AH219)</f>
        <v>#VALUE!</v>
      </c>
      <c r="AJ219" s="446" t="e">
        <f>IF(OR($B219="",MIN(AJ$38,$D$19)&lt;MAX($P$34*($B219+IF($R$17="Distrato",$I$38-1,0)),IF(AND($L$37=0,$P$34=0),"",$L$37-1),IF($R$17="Distrato",$E219,0))),0,YEARFRAC(MAX($P$34*($B219+IF($R$17="Distrato",$I$38-1,0)),IF(AND($L$37=0,$P$34=0),"",$L$37-1),IF($R$17="Distrato",$E219,0)),MIN(AJ$38,$D$19),$P$20))-SUM($P219:AI219)</f>
        <v>#VALUE!</v>
      </c>
      <c r="AK219" s="446" t="e">
        <f>IF(OR($B219="",MIN(AK$38,$D$19)&lt;MAX($P$34*($B219+IF($R$17="Distrato",$I$38-1,0)),IF(AND($L$37=0,$P$34=0),"",$L$37-1),IF($R$17="Distrato",$E219,0))),0,YEARFRAC(MAX($P$34*($B219+IF($R$17="Distrato",$I$38-1,0)),IF(AND($L$37=0,$P$34=0),"",$L$37-1),IF($R$17="Distrato",$E219,0)),MIN(AK$38,$D$19),$P$20))-SUM($P219:AJ219)</f>
        <v>#VALUE!</v>
      </c>
      <c r="AL219" s="446" t="e">
        <f>IF(OR($B219="",MIN(AL$38,$D$19)&lt;MAX($P$34*($B219+IF($R$17="Distrato",$I$38-1,0)),IF(AND($L$37=0,$P$34=0),"",$L$37-1),IF($R$17="Distrato",$E219,0))),0,YEARFRAC(MAX($P$34*($B219+IF($R$17="Distrato",$I$38-1,0)),IF(AND($L$37=0,$P$34=0),"",$L$37-1),IF($R$17="Distrato",$E219,0)),MIN(AL$38,$D$19),$P$20))-SUM($P219:AK219)</f>
        <v>#VALUE!</v>
      </c>
      <c r="AM219" s="446" t="e">
        <f>IF(OR($B219="",MIN(AM$38,$D$19)&lt;MAX($P$34*($B219+IF($R$17="Distrato",$I$38-1,0)),IF(AND($L$37=0,$P$34=0),"",$L$37-1),IF($R$17="Distrato",$E219,0))),0,YEARFRAC(MAX($P$34*($B219+IF($R$17="Distrato",$I$38-1,0)),IF(AND($L$37=0,$P$34=0),"",$L$37-1),IF($R$17="Distrato",$E219,0)),MIN(AM$38,$D$19),$P$20))-SUM($P219:AL219)</f>
        <v>#VALUE!</v>
      </c>
      <c r="AN219" s="446" t="e">
        <f>IF(OR($B219="",MIN(AN$38,$D$19)&lt;MAX($P$34*($B219+IF($R$17="Distrato",$I$38-1,0)),IF(AND($L$37=0,$P$34=0),"",$L$37-1),IF($R$17="Distrato",$E219,0))),0,YEARFRAC(MAX($P$34*($B219+IF($R$17="Distrato",$I$38-1,0)),IF(AND($L$37=0,$P$34=0),"",$L$37-1),IF($R$17="Distrato",$E219,0)),MIN(AN$38,$D$19),$P$20))-SUM($P219:AM219)</f>
        <v>#VALUE!</v>
      </c>
      <c r="AO219" s="446" t="e">
        <f>IF(OR($B219="",MIN(AO$38,$D$19)&lt;MAX($P$34*($B219+IF($R$17="Distrato",$I$38-1,0)),IF(AND($L$37=0,$P$34=0),"",$L$37-1),IF($R$17="Distrato",$E219,0))),0,YEARFRAC(MAX($P$34*($B219+IF($R$17="Distrato",$I$38-1,0)),IF(AND($L$37=0,$P$34=0),"",$L$37-1),IF($R$17="Distrato",$E219,0)),MIN(AO$38,$D$19),$P$20))-SUM($P219:AN219)</f>
        <v>#VALUE!</v>
      </c>
      <c r="AP219" s="446" t="e">
        <f>IF(OR($B219="",MIN(AP$38,$D$19)&lt;MAX($P$34*($B219+IF($R$17="Distrato",$I$38-1,0)),IF(AND($L$37=0,$P$34=0),"",$L$37-1),IF($R$17="Distrato",$E219,0))),0,YEARFRAC(MAX($P$34*($B219+IF($R$17="Distrato",$I$38-1,0)),IF(AND($L$37=0,$P$34=0),"",$L$37-1),IF($R$17="Distrato",$E219,0)),MIN(AP$38,$D$19),$P$20))-SUM($P219:AO219)</f>
        <v>#VALUE!</v>
      </c>
      <c r="AQ219" s="446" t="e">
        <f>IF(OR($B219="",MIN(AQ$38,$D$19)&lt;MAX($P$34*($B219+IF($R$17="Distrato",$I$38-1,0)),IF(AND($L$37=0,$P$34=0),"",$L$37-1),IF($R$17="Distrato",$E219,0))),0,YEARFRAC(MAX($P$34*($B219+IF($R$17="Distrato",$I$38-1,0)),IF(AND($L$37=0,$P$34=0),"",$L$37-1),IF($R$17="Distrato",$E219,0)),MIN(AQ$38,$D$19),$P$20))-SUM($P219:AP219)</f>
        <v>#VALUE!</v>
      </c>
      <c r="AR219" s="446" t="e">
        <f>IF(OR($B219="",MIN(AR$38,$D$19)&lt;MAX($P$34*($B219+IF($R$17="Distrato",$I$38-1,0)),IF(AND($L$37=0,$P$34=0),"",$L$37-1),IF($R$17="Distrato",$E219,0))),0,YEARFRAC(MAX($P$34*($B219+IF($R$17="Distrato",$I$38-1,0)),IF(AND($L$37=0,$P$34=0),"",$L$37-1),IF($R$17="Distrato",$E219,0)),MIN(AR$38,$D$19),$P$20))-SUM($P219:AQ219)</f>
        <v>#VALUE!</v>
      </c>
      <c r="AS219" s="446" t="e">
        <f>IF(OR($B219="",MIN(AS$38,$D$19)&lt;MAX($P$34*($B219+IF($R$17="Distrato",$I$38-1,0)),IF(AND($L$37=0,$P$34=0),"",$L$37-1),IF($R$17="Distrato",$E219,0))),0,YEARFRAC(MAX($P$34*($B219+IF($R$17="Distrato",$I$38-1,0)),IF(AND($L$37=0,$P$34=0),"",$L$37-1),IF($R$17="Distrato",$E219,0)),MIN(AS$38,$D$19),$P$20))-SUM($P219:AR219)</f>
        <v>#VALUE!</v>
      </c>
      <c r="AT219" s="446" t="e">
        <f>IF(OR($B219="",MIN(AT$38,$D$19)&lt;MAX($P$34*($B219+IF($R$17="Distrato",$I$38-1,0)),IF(AND($L$37=0,$P$34=0),"",$L$37-1),IF($R$17="Distrato",$E219,0))),0,YEARFRAC(MAX($P$34*($B219+IF($R$17="Distrato",$I$38-1,0)),IF(AND($L$37=0,$P$34=0),"",$L$37-1),IF($R$17="Distrato",$E219,0)),MIN(AT$38,$D$19),$P$20))-SUM($P219:AS219)</f>
        <v>#VALUE!</v>
      </c>
      <c r="AU219" s="446" t="e">
        <f>IF(OR($B219="",MIN(AU$38,$D$19)&lt;MAX($P$34*($B219+IF($R$17="Distrato",$I$38-1,0)),IF(AND($L$37=0,$P$34=0),"",$L$37-1),IF($R$17="Distrato",$E219,0))),0,YEARFRAC(MAX($P$34*($B219+IF($R$17="Distrato",$I$38-1,0)),IF(AND($L$37=0,$P$34=0),"",$L$37-1),IF($R$17="Distrato",$E219,0)),MIN(AU$38,$D$19),$P$20))-SUM($P219:AT219)</f>
        <v>#VALUE!</v>
      </c>
      <c r="AV219" s="446" t="e">
        <f>IF(OR($B219="",MIN(AV$38,$D$19)&lt;MAX($P$34*($B219+IF($R$17="Distrato",$I$38-1,0)),IF(AND($L$37=0,$P$34=0),"",$L$37-1),IF($R$17="Distrato",$E219,0))),0,YEARFRAC(MAX($P$34*($B219+IF($R$17="Distrato",$I$38-1,0)),IF(AND($L$37=0,$P$34=0),"",$L$37-1),IF($R$17="Distrato",$E219,0)),MIN(AV$38,$D$19),$P$20))-SUM($P219:AU219)</f>
        <v>#VALUE!</v>
      </c>
      <c r="AW219" s="446" t="e">
        <f>IF(OR($B219="",MIN(AW$38,$D$19)&lt;MAX($P$34*($B219+IF($R$17="Distrato",$I$38-1,0)),IF(AND($L$37=0,$P$34=0),"",$L$37-1),IF($R$17="Distrato",$E219,0))),0,YEARFRAC(MAX($P$34*($B219+IF($R$17="Distrato",$I$38-1,0)),IF(AND($L$37=0,$P$34=0),"",$L$37-1),IF($R$17="Distrato",$E219,0)),MIN(AW$38,$D$19),$P$20))-SUM($P219:AV219)</f>
        <v>#VALUE!</v>
      </c>
      <c r="AX219" s="446" t="e">
        <f>IF(OR($B219="",MIN(AX$38,$D$19)&lt;MAX($P$34*($B219+IF($R$17="Distrato",$I$38-1,0)),IF(AND($L$37=0,$P$34=0),"",$L$37-1),IF($R$17="Distrato",$E219,0))),0,YEARFRAC(MAX($P$34*($B219+IF($R$17="Distrato",$I$38-1,0)),IF(AND($L$37=0,$P$34=0),"",$L$37-1),IF($R$17="Distrato",$E219,0)),MIN(AX$38,$D$19),$P$20))-SUM($P219:AW219)</f>
        <v>#VALUE!</v>
      </c>
      <c r="AY219" s="446" t="e">
        <f>IF(OR($B219="",MIN(AY$38,$D$19)&lt;MAX($P$34*($B219+IF($R$17="Distrato",$I$38-1,0)),IF(AND($L$37=0,$P$34=0),"",$L$37-1),IF($R$17="Distrato",$E219,0))),0,YEARFRAC(MAX($P$34*($B219+IF($R$17="Distrato",$I$38-1,0)),IF(AND($L$37=0,$P$34=0),"",$L$37-1),IF($R$17="Distrato",$E219,0)),MIN(AY$38,$D$19),$P$20))-SUM($P219:AX219)</f>
        <v>#VALUE!</v>
      </c>
      <c r="AZ219" s="446" t="e">
        <f>IF(OR($B219="",MIN(AZ$38,$D$19)&lt;MAX($P$34*($B219+IF($R$17="Distrato",$I$38-1,0)),IF(AND($L$37=0,$P$34=0),"",$L$37-1),IF($R$17="Distrato",$E219,0))),0,YEARFRAC(MAX($P$34*($B219+IF($R$17="Distrato",$I$38-1,0)),IF(AND($L$37=0,$P$34=0),"",$L$37-1),IF($R$17="Distrato",$E219,0)),MIN(AZ$38,$D$19),$P$20))-SUM($P219:AY219)</f>
        <v>#VALUE!</v>
      </c>
      <c r="BA219" s="446" t="e">
        <f>IF(OR($B219="",MIN(BA$38,$D$19)&lt;MAX($P$34*($B219+IF($R$17="Distrato",$I$38-1,0)),IF(AND($L$37=0,$P$34=0),"",$L$37-1),IF($R$17="Distrato",$E219,0))),0,YEARFRAC(MAX($P$34*($B219+IF($R$17="Distrato",$I$38-1,0)),IF(AND($L$37=0,$P$34=0),"",$L$37-1),IF($R$17="Distrato",$E219,0)),MIN(BA$38,$D$19),$P$20))-SUM($P219:AZ219)</f>
        <v>#VALUE!</v>
      </c>
      <c r="BB219" s="447"/>
      <c r="BF219" s="446">
        <f t="shared" si="32"/>
        <v>0</v>
      </c>
      <c r="BG219" s="446">
        <f>IF($E219=0,0,IF(MIN(BG$38,$E219)&lt;MAX($P$34*($B219+$I$38-1),IF(AND($L$37=0,$P$34=0),"",$L$37-1)),0,YEARFRAC(MAX($P$34*($B219+$I$38-1),IF(AND($L$37=0,$P$34=0),"",$L$37-1)),MIN(BG$38,$E219),$P$20))-SUM($BF219:BF219))</f>
        <v>0</v>
      </c>
      <c r="BH219" s="446">
        <f>IF($E219=0,0,IF(MIN(BH$38,$E219)&lt;MAX($P$34*($B219+$I$38-1),IF(AND($L$37=0,$P$34=0),"",$L$37-1)),0,YEARFRAC(MAX($P$34*($B219+$I$38-1),IF(AND($L$37=0,$P$34=0),"",$L$37-1)),MIN(BH$38,$E219),$P$20))-SUM($BF219:BG219))</f>
        <v>0</v>
      </c>
      <c r="BI219" s="446">
        <f>IF($E219=0,0,IF(MIN(BI$38,$E219)&lt;MAX($P$34*($B219+$I$38-1),IF(AND($L$37=0,$P$34=0),"",$L$37-1)),0,YEARFRAC(MAX($P$34*($B219+$I$38-1),IF(AND($L$37=0,$P$34=0),"",$L$37-1)),MIN(BI$38,$E219),$P$20))-SUM($BF219:BH219))</f>
        <v>0</v>
      </c>
      <c r="BJ219" s="446">
        <f>IF($E219=0,0,IF(MIN(BJ$38,$E219)&lt;MAX($P$34*($B219+$I$38-1),IF(AND($L$37=0,$P$34=0),"",$L$37-1)),0,YEARFRAC(MAX($P$34*($B219+$I$38-1),IF(AND($L$37=0,$P$34=0),"",$L$37-1)),MIN(BJ$38,$E219),$P$20))-SUM($BF219:BI219))</f>
        <v>0</v>
      </c>
      <c r="BK219" s="446">
        <f>IF($E219=0,0,IF(MIN(BK$38,$E219)&lt;MAX($P$34*($B219+$I$38-1),IF(AND($L$37=0,$P$34=0),"",$L$37-1)),0,YEARFRAC(MAX($P$34*($B219+$I$38-1),IF(AND($L$37=0,$P$34=0),"",$L$37-1)),MIN(BK$38,$E219),$P$20))-SUM($BF219:BJ219))</f>
        <v>0</v>
      </c>
      <c r="BL219" s="446">
        <f>IF($E219=0,0,IF(MIN(BL$38,$E219)&lt;MAX($P$34*($B219+$I$38-1),IF(AND($L$37=0,$P$34=0),"",$L$37-1)),0,YEARFRAC(MAX($P$34*($B219+$I$38-1),IF(AND($L$37=0,$P$34=0),"",$L$37-1)),MIN(BL$38,$E219),$P$20))-SUM($BF219:BK219))</f>
        <v>0</v>
      </c>
      <c r="BM219" s="446">
        <f>IF($E219=0,0,IF(MIN(BM$38,$E219)&lt;MAX($P$34*($B219+$I$38-1),IF(AND($L$37=0,$P$34=0),"",$L$37-1)),0,YEARFRAC(MAX($P$34*($B219+$I$38-1),IF(AND($L$37=0,$P$34=0),"",$L$37-1)),MIN(BM$38,$E219),$P$20))-SUM($BF219:BL219))</f>
        <v>0</v>
      </c>
      <c r="BN219" s="446">
        <f>IF($E219=0,0,IF(MIN(BN$38,$E219)&lt;MAX($P$34*($B219+$I$38-1),IF(AND($L$37=0,$P$34=0),"",$L$37-1)),0,YEARFRAC(MAX($P$34*($B219+$I$38-1),IF(AND($L$37=0,$P$34=0),"",$L$37-1)),MIN(BN$38,$E219),$P$20))-SUM($BF219:BM219))</f>
        <v>0</v>
      </c>
      <c r="BO219" s="446">
        <f>IF($E219=0,0,IF(MIN(BO$38,$E219)&lt;MAX($P$34*($B219+$I$38-1),IF(AND($L$37=0,$P$34=0),"",$L$37-1)),0,YEARFRAC(MAX($P$34*($B219+$I$38-1),IF(AND($L$37=0,$P$34=0),"",$L$37-1)),MIN(BO$38,$E219),$P$20))-SUM($BF219:BN219))</f>
        <v>0</v>
      </c>
      <c r="BP219" s="446">
        <f>IF($E219=0,0,IF(MIN(BP$38,$E219)&lt;MAX($P$34*($B219+$I$38-1),IF(AND($L$37=0,$P$34=0),"",$L$37-1)),0,YEARFRAC(MAX($P$34*($B219+$I$38-1),IF(AND($L$37=0,$P$34=0),"",$L$37-1)),MIN(BP$38,$E219),$P$20))-SUM($BF219:BO219))</f>
        <v>0</v>
      </c>
      <c r="BQ219" s="446">
        <f>IF($E219=0,0,IF(MIN(BQ$38,$E219)&lt;MAX($P$34*($B219+$I$38-1),IF(AND($L$37=0,$P$34=0),"",$L$37-1)),0,YEARFRAC(MAX($P$34*($B219+$I$38-1),IF(AND($L$37=0,$P$34=0),"",$L$37-1)),MIN(BQ$38,$E219),$P$20))-SUM($BF219:BP219))</f>
        <v>0</v>
      </c>
      <c r="BR219" s="446">
        <f>IF($E219=0,0,IF(MIN(BR$38,$E219)&lt;MAX($P$34*($B219+$I$38-1),IF(AND($L$37=0,$P$34=0),"",$L$37-1)),0,YEARFRAC(MAX($P$34*($B219+$I$38-1),IF(AND($L$37=0,$P$34=0),"",$L$37-1)),MIN(BR$38,$E219),$P$20))-SUM($BF219:BQ219))</f>
        <v>0</v>
      </c>
      <c r="BS219" s="446">
        <f>IF($E219=0,0,IF(MIN(BS$38,$E219)&lt;MAX($P$34*($B219+$I$38-1),IF(AND($L$37=0,$P$34=0),"",$L$37-1)),0,YEARFRAC(MAX($P$34*($B219+$I$38-1),IF(AND($L$37=0,$P$34=0),"",$L$37-1)),MIN(BS$38,$E219),$P$20))-SUM($BF219:BR219))</f>
        <v>0</v>
      </c>
      <c r="BT219" s="446">
        <f>IF($E219=0,0,IF(MIN(BT$38,$E219)&lt;MAX($P$34*($B219+$I$38-1),IF(AND($L$37=0,$P$34=0),"",$L$37-1)),0,YEARFRAC(MAX($P$34*($B219+$I$38-1),IF(AND($L$37=0,$P$34=0),"",$L$37-1)),MIN(BT$38,$E219),$P$20))-SUM($BF219:BS219))</f>
        <v>0</v>
      </c>
      <c r="BU219" s="446">
        <f>IF($E219=0,0,IF(MIN(BU$38,$E219)&lt;MAX($P$34*($B219+$I$38-1),IF(AND($L$37=0,$P$34=0),"",$L$37-1)),0,YEARFRAC(MAX($P$34*($B219+$I$38-1),IF(AND($L$37=0,$P$34=0),"",$L$37-1)),MIN(BU$38,$E219),$P$20))-SUM($BF219:BT219))</f>
        <v>0</v>
      </c>
      <c r="BV219" s="446">
        <f>IF($E219=0,0,IF(MIN(BV$38,$E219)&lt;MAX($P$34*($B219+$I$38-1),IF(AND($L$37=0,$P$34=0),"",$L$37-1)),0,YEARFRAC(MAX($P$34*($B219+$I$38-1),IF(AND($L$37=0,$P$34=0),"",$L$37-1)),MIN(BV$38,$E219),$P$20))-SUM($BF219:BU219))</f>
        <v>0</v>
      </c>
      <c r="BW219" s="446">
        <f>IF($E219=0,0,IF(MIN(BW$38,$E219)&lt;MAX($P$34*($B219+$I$38-1),IF(AND($L$37=0,$P$34=0),"",$L$37-1)),0,YEARFRAC(MAX($P$34*($B219+$I$38-1),IF(AND($L$37=0,$P$34=0),"",$L$37-1)),MIN(BW$38,$E219),$P$20))-SUM($BF219:BV219))</f>
        <v>0</v>
      </c>
      <c r="BX219" s="446">
        <f>IF($E219=0,0,IF(MIN(BX$38,$E219)&lt;MAX($P$34*($B219+$I$38-1),IF(AND($L$37=0,$P$34=0),"",$L$37-1)),0,YEARFRAC(MAX($P$34*($B219+$I$38-1),IF(AND($L$37=0,$P$34=0),"",$L$37-1)),MIN(BX$38,$E219),$P$20))-SUM($BF219:BW219))</f>
        <v>0</v>
      </c>
      <c r="BY219" s="446">
        <f>IF($E219=0,0,IF(MIN(BY$38,$E219)&lt;MAX($P$34*($B219+$I$38-1),IF(AND($L$37=0,$P$34=0),"",$L$37-1)),0,YEARFRAC(MAX($P$34*($B219+$I$38-1),IF(AND($L$37=0,$P$34=0),"",$L$37-1)),MIN(BY$38,$E219),$P$20))-SUM($BF219:BX219))</f>
        <v>0</v>
      </c>
      <c r="BZ219" s="446">
        <f>IF($E219=0,0,IF(MIN(BZ$38,$E219)&lt;MAX($P$34*($B219+$I$38-1),IF(AND($L$37=0,$P$34=0),"",$L$37-1)),0,YEARFRAC(MAX($P$34*($B219+$I$38-1),IF(AND($L$37=0,$P$34=0),"",$L$37-1)),MIN(BZ$38,$E219),$P$20))-SUM($BF219:BY219))</f>
        <v>0</v>
      </c>
      <c r="CA219" s="446">
        <f>IF($E219=0,0,IF(MIN(CA$38,$E219)&lt;MAX($P$34*($B219+$I$38-1),IF(AND($L$37=0,$P$34=0),"",$L$37-1)),0,YEARFRAC(MAX($P$34*($B219+$I$38-1),IF(AND($L$37=0,$P$34=0),"",$L$37-1)),MIN(CA$38,$E219),$P$20))-SUM($BF219:BZ219))</f>
        <v>0</v>
      </c>
      <c r="CB219" s="446">
        <f>IF($E219=0,0,IF(MIN(CB$38,$E219)&lt;MAX($P$34*($B219+$I$38-1),IF(AND($L$37=0,$P$34=0),"",$L$37-1)),0,YEARFRAC(MAX($P$34*($B219+$I$38-1),IF(AND($L$37=0,$P$34=0),"",$L$37-1)),MIN(CB$38,$E219),$P$20))-SUM($BF219:CA219))</f>
        <v>0</v>
      </c>
      <c r="CC219" s="446">
        <f>IF($E219=0,0,IF(MIN(CC$38,$E219)&lt;MAX($P$34*($B219+$I$38-1),IF(AND($L$37=0,$P$34=0),"",$L$37-1)),0,YEARFRAC(MAX($P$34*($B219+$I$38-1),IF(AND($L$37=0,$P$34=0),"",$L$37-1)),MIN(CC$38,$E219),$P$20))-SUM($BF219:CB219))</f>
        <v>0</v>
      </c>
      <c r="CD219" s="446">
        <f>IF($E219=0,0,IF(MIN(CD$38,$E219)&lt;MAX($P$34*($B219+$I$38-1),IF(AND($L$37=0,$P$34=0),"",$L$37-1)),0,YEARFRAC(MAX($P$34*($B219+$I$38-1),IF(AND($L$37=0,$P$34=0),"",$L$37-1)),MIN(CD$38,$E219),$P$20))-SUM($BF219:CC219))</f>
        <v>0</v>
      </c>
      <c r="CE219" s="446">
        <f>IF($E219=0,0,IF(MIN(CE$38,$E219)&lt;MAX($P$34*($B219+$I$38-1),IF(AND($L$37=0,$P$34=0),"",$L$37-1)),0,YEARFRAC(MAX($P$34*($B219+$I$38-1),IF(AND($L$37=0,$P$34=0),"",$L$37-1)),MIN(CE$38,$E219),$P$20))-SUM($BF219:CD219))</f>
        <v>0</v>
      </c>
      <c r="CF219" s="446">
        <f>IF($E219=0,0,IF(MIN(CF$38,$E219)&lt;MAX($P$34*($B219+$I$38-1),IF(AND($L$37=0,$P$34=0),"",$L$37-1)),0,YEARFRAC(MAX($P$34*($B219+$I$38-1),IF(AND($L$37=0,$P$34=0),"",$L$37-1)),MIN(CF$38,$E219),$P$20))-SUM($BF219:CE219))</f>
        <v>0</v>
      </c>
      <c r="CG219" s="446">
        <f>IF($E219=0,0,IF(MIN(CG$38,$E219)&lt;MAX($P$34*($B219+$I$38-1),IF(AND($L$37=0,$P$34=0),"",$L$37-1)),0,YEARFRAC(MAX($P$34*($B219+$I$38-1),IF(AND($L$37=0,$P$34=0),"",$L$37-1)),MIN(CG$38,$E219),$P$20))-SUM($BF219:CF219))</f>
        <v>0</v>
      </c>
      <c r="CH219" s="446">
        <f>IF($E219=0,0,IF(MIN(CH$38,$E219)&lt;MAX($P$34*($B219+$I$38-1),IF(AND($L$37=0,$P$34=0),"",$L$37-1)),0,YEARFRAC(MAX($P$34*($B219+$I$38-1),IF(AND($L$37=0,$P$34=0),"",$L$37-1)),MIN(CH$38,$E219),$P$20))-SUM($BF219:CG219))</f>
        <v>0</v>
      </c>
      <c r="CI219" s="446">
        <f>IF($E219=0,0,IF(MIN(CI$38,$E219)&lt;MAX($P$34*($B219+$I$38-1),IF(AND($L$37=0,$P$34=0),"",$L$37-1)),0,YEARFRAC(MAX($P$34*($B219+$I$38-1),IF(AND($L$37=0,$P$34=0),"",$L$37-1)),MIN(CI$38,$E219),$P$20))-SUM($BF219:CH219))</f>
        <v>0</v>
      </c>
      <c r="CJ219" s="446">
        <f>IF($E219=0,0,IF(MIN(CJ$38,$E219)&lt;MAX($P$34*($B219+$I$38-1),IF(AND($L$37=0,$P$34=0),"",$L$37-1)),0,YEARFRAC(MAX($P$34*($B219+$I$38-1),IF(AND($L$37=0,$P$34=0),"",$L$37-1)),MIN(CJ$38,$E219),$P$20))-SUM($BF219:CI219))</f>
        <v>0</v>
      </c>
      <c r="CK219" s="446">
        <f>IF($E219=0,0,IF(MIN(CK$38,$E219)&lt;MAX($P$34*($B219+$I$38-1),IF(AND($L$37=0,$P$34=0),"",$L$37-1)),0,YEARFRAC(MAX($P$34*($B219+$I$38-1),IF(AND($L$37=0,$P$34=0),"",$L$37-1)),MIN(CK$38,$E219),$P$20))-SUM($BF219:CJ219))</f>
        <v>0</v>
      </c>
      <c r="CL219" s="446">
        <f>IF($E219=0,0,IF(MIN(CL$38,$E219)&lt;MAX($P$34*($B219+$I$38-1),IF(AND($L$37=0,$P$34=0),"",$L$37-1)),0,YEARFRAC(MAX($P$34*($B219+$I$38-1),IF(AND($L$37=0,$P$34=0),"",$L$37-1)),MIN(CL$38,$E219),$P$20))-SUM($BF219:CK219))</f>
        <v>0</v>
      </c>
      <c r="CM219" s="446">
        <f>IF($E219=0,0,IF(MIN(CM$38,$E219)&lt;MAX($P$34*($B219+$I$38-1),IF(AND($L$37=0,$P$34=0),"",$L$37-1)),0,YEARFRAC(MAX($P$34*($B219+$I$38-1),IF(AND($L$37=0,$P$34=0),"",$L$37-1)),MIN(CM$38,$E219),$P$20))-SUM($BF219:CL219))</f>
        <v>0</v>
      </c>
      <c r="CN219" s="446">
        <f>IF($E219=0,0,IF(MIN(CN$38,$E219)&lt;MAX($P$34*($B219+$I$38-1),IF(AND($L$37=0,$P$34=0),"",$L$37-1)),0,YEARFRAC(MAX($P$34*($B219+$I$38-1),IF(AND($L$37=0,$P$34=0),"",$L$37-1)),MIN(CN$38,$E219),$P$20))-SUM($BF219:CM219))</f>
        <v>0</v>
      </c>
      <c r="CO219" s="446">
        <f>IF($E219=0,0,IF(MIN(CO$38,$E219)&lt;MAX($P$34*($B219+$I$38-1),IF(AND($L$37=0,$P$34=0),"",$L$37-1)),0,YEARFRAC(MAX($P$34*($B219+$I$38-1),IF(AND($L$37=0,$P$34=0),"",$L$37-1)),MIN(CO$38,$E219),$P$20))-SUM($BF219:CN219))</f>
        <v>0</v>
      </c>
      <c r="CP219" s="446">
        <f>IF($E219=0,0,IF(MIN(CP$38,$E219)&lt;MAX($P$34*($B219+$I$38-1),IF(AND($L$37=0,$P$34=0),"",$L$37-1)),0,YEARFRAC(MAX($P$34*($B219+$I$38-1),IF(AND($L$37=0,$P$34=0),"",$L$37-1)),MIN(CP$38,$E219),$P$20))-SUM($BF219:CO219))</f>
        <v>0</v>
      </c>
      <c r="CQ219" s="446">
        <f>IF($E219=0,0,IF(MIN(CQ$38,$E219)&lt;MAX($P$34*($B219+$I$38-1),IF(AND($L$37=0,$P$34=0),"",$L$37-1)),0,YEARFRAC(MAX($P$34*($B219+$I$38-1),IF(AND($L$37=0,$P$34=0),"",$L$37-1)),MIN(CQ$38,$E219),$P$20))-SUM($BF219:CP219))</f>
        <v>0</v>
      </c>
    </row>
    <row r="220" spans="1:95" s="446" customFormat="1" ht="11.25" hidden="1" customHeight="1" x14ac:dyDescent="0.2">
      <c r="A220" s="152"/>
      <c r="B220" s="153" t="str">
        <f t="shared" si="37"/>
        <v/>
      </c>
      <c r="C220" s="29" t="str">
        <f>IF(B220="","",IF($L$35="SELIC - TRIBUTOS",VLOOKUP(DATE(YEAR($D$19),MONTH($D$19)-1,1),ÍNDICES!$A:$DE,HLOOKUP($BL$25,ÍNDICES!$B$3:$T$4,2)+11)-VLOOKUP(B220,ÍNDICES!$A:$DE,HLOOKUP($BL$25,ÍNDICES!$B$3:$T$4,2)+11)+1%,IF(C$38=$W$26,$J$35,IF(ISERROR(IF(B220&gt;$D$19,1,VLOOKUP(DATE(YEAR(B220),MONTH(B220)+IF($C$35=$S$23,1,0),1),ÍNDICES!$A:$DE,$Z$35+1))),"",IF(B220&gt;$D$19,1,VLOOKUP(DATE(YEAR(B220),MONTH(B220)+IF($C$35=$S$23,1,0),1),ÍNDICES!$A:$DE,$Z$35+1))))))</f>
        <v/>
      </c>
      <c r="D220" s="154" t="str">
        <f>IF(ISERROR(IF(OR($D$38=$Y$27,$B220=""),"",VLOOKUP(B220,ÍNDICES!A:DE,AF$35+1))),"",IF(OR($D$38=$Y$27,$B220=""),"",VLOOKUP(B220,ÍNDICES!A:DE,AF$35+1)))</f>
        <v/>
      </c>
      <c r="E220" s="153"/>
      <c r="F220" s="29" t="str">
        <f>IF(E220="","",IF($L$35="SELIC - TRIBUTOS",VLOOKUP(DATE(YEAR($D$19),MONTH($D$19)-1,1),ÍNDICES!$A:$DE,HLOOKUP($BL$25,ÍNDICES!$B$3:$T$4,2)+11)-VLOOKUP(E220,ÍNDICES!$A:$DE,HLOOKUP($BL$25,ÍNDICES!$B$3:$T$4,2)+11)+1%,IF(F$38=$W$26,$J$35,IF(ISERROR(IF(E220&gt;$D$19,1,VLOOKUP(DATE(YEAR(E220),MONTH(E220)+IF($C$35=$S$23,1,0),1),ÍNDICES!$A:$DE,$Z$35+1))),"",IF(E220&gt;$D$19,1,VLOOKUP(DATE(YEAR(E220),MONTH(E220)+IF($C$35=$S$23,1,0),1),ÍNDICES!$A:$DE,$Z$35+1))))))</f>
        <v/>
      </c>
      <c r="G220" s="155"/>
      <c r="H220" s="156" t="str">
        <f t="shared" si="33"/>
        <v/>
      </c>
      <c r="I220" s="29" t="str">
        <f t="shared" si="27"/>
        <v/>
      </c>
      <c r="J220" s="5">
        <f t="shared" si="28"/>
        <v>0</v>
      </c>
      <c r="K220" s="20">
        <f t="shared" ca="1" si="29"/>
        <v>0</v>
      </c>
      <c r="L220" s="5">
        <f t="shared" ca="1" si="30"/>
        <v>0</v>
      </c>
      <c r="M220" s="64">
        <f t="shared" si="34"/>
        <v>0</v>
      </c>
      <c r="N220" s="61">
        <f t="shared" ca="1" si="35"/>
        <v>0</v>
      </c>
      <c r="O220" s="5">
        <f t="shared" ca="1" si="36"/>
        <v>0</v>
      </c>
      <c r="P220" s="446" t="e">
        <f t="shared" si="31"/>
        <v>#VALUE!</v>
      </c>
      <c r="Q220" s="446" t="e">
        <f>IF(OR($B220="",MIN(Q$38,$D$19)&lt;MAX($P$34*($B220+IF($R$17="Distrato",$I$38-1,0)),IF(AND($L$37=0,$P$34=0),"",$L$37-1),IF($R$17="Distrato",$E220,0))),0,YEARFRAC(MAX($P$34*($B220+IF($R$17="Distrato",$I$38-1,0)),IF(AND($L$37=0,$P$34=0),"",$L$37-1),IF($R$17="Distrato",$E220,0)),MIN(Q$38,$D$19),$P$20))-SUM($P220:P220)</f>
        <v>#VALUE!</v>
      </c>
      <c r="R220" s="446" t="e">
        <f>IF(OR($B220="",MIN(R$38,$D$19)&lt;MAX($P$34*($B220+IF($R$17="Distrato",$I$38-1,0)),IF(AND($L$37=0,$P$34=0),"",$L$37-1),IF($R$17="Distrato",$E220,0))),0,YEARFRAC(MAX($P$34*($B220+IF($R$17="Distrato",$I$38-1,0)),IF(AND($L$37=0,$P$34=0),"",$L$37-1),IF($R$17="Distrato",$E220,0)),MIN(R$38,$D$19),$P$20))-SUM($P220:Q220)</f>
        <v>#VALUE!</v>
      </c>
      <c r="S220" s="446" t="e">
        <f>IF(OR($B220="",MIN(S$38,$D$19)&lt;MAX($P$34*($B220+IF($R$17="Distrato",$I$38-1,0)),IF(AND($L$37=0,$P$34=0),"",$L$37-1),IF($R$17="Distrato",$E220,0))),0,YEARFRAC(MAX($P$34*($B220+IF($R$17="Distrato",$I$38-1,0)),IF(AND($L$37=0,$P$34=0),"",$L$37-1),IF($R$17="Distrato",$E220,0)),MIN(S$38,$D$19),$P$20))-SUM($P220:R220)</f>
        <v>#VALUE!</v>
      </c>
      <c r="T220" s="446" t="e">
        <f>IF(OR($B220="",MIN(T$38,$D$19)&lt;MAX($P$34*($B220+IF($R$17="Distrato",$I$38-1,0)),IF(AND($L$37=0,$P$34=0),"",$L$37-1),IF($R$17="Distrato",$E220,0))),0,YEARFRAC(MAX($P$34*($B220+IF($R$17="Distrato",$I$38-1,0)),IF(AND($L$37=0,$P$34=0),"",$L$37-1),IF($R$17="Distrato",$E220,0)),MIN(T$38,$D$19),$P$20))-SUM($P220:S220)</f>
        <v>#VALUE!</v>
      </c>
      <c r="U220" s="446" t="e">
        <f>IF(OR($B220="",MIN(U$38,$D$19)&lt;MAX($P$34*($B220+IF($R$17="Distrato",$I$38-1,0)),IF(AND($L$37=0,$P$34=0),"",$L$37-1),IF($R$17="Distrato",$E220,0))),0,YEARFRAC(MAX($P$34*($B220+IF($R$17="Distrato",$I$38-1,0)),IF(AND($L$37=0,$P$34=0),"",$L$37-1),IF($R$17="Distrato",$E220,0)),MIN(U$38,$D$19),$P$20))-SUM($P220:T220)</f>
        <v>#VALUE!</v>
      </c>
      <c r="V220" s="446" t="e">
        <f>IF(OR($B220="",MIN(V$38,$D$19)&lt;MAX($P$34*($B220+IF($R$17="Distrato",$I$38-1,0)),IF(AND($L$37=0,$P$34=0),"",$L$37-1),IF($R$17="Distrato",$E220,0))),0,YEARFRAC(MAX($P$34*($B220+IF($R$17="Distrato",$I$38-1,0)),IF(AND($L$37=0,$P$34=0),"",$L$37-1),IF($R$17="Distrato",$E220,0)),MIN(V$38,$D$19),$P$20))-SUM($P220:U220)</f>
        <v>#VALUE!</v>
      </c>
      <c r="W220" s="446" t="e">
        <f>IF(OR($B220="",MIN(W$38,$D$19)&lt;MAX($P$34*($B220+IF($R$17="Distrato",$I$38-1,0)),IF(AND($L$37=0,$P$34=0),"",$L$37-1),IF($R$17="Distrato",$E220,0))),0,YEARFRAC(MAX($P$34*($B220+IF($R$17="Distrato",$I$38-1,0)),IF(AND($L$37=0,$P$34=0),"",$L$37-1),IF($R$17="Distrato",$E220,0)),MIN(W$38,$D$19),$P$20))-SUM($P220:V220)</f>
        <v>#VALUE!</v>
      </c>
      <c r="X220" s="446" t="e">
        <f>IF(OR($B220="",MIN(X$38,$D$19)&lt;MAX($P$34*($B220+IF($R$17="Distrato",$I$38-1,0)),IF(AND($L$37=0,$P$34=0),"",$L$37-1),IF($R$17="Distrato",$E220,0))),0,YEARFRAC(MAX($P$34*($B220+IF($R$17="Distrato",$I$38-1,0)),IF(AND($L$37=0,$P$34=0),"",$L$37-1),IF($R$17="Distrato",$E220,0)),MIN(X$38,$D$19),$P$20))-SUM($P220:W220)</f>
        <v>#VALUE!</v>
      </c>
      <c r="Y220" s="446" t="e">
        <f>IF(OR($B220="",MIN(Y$38,$D$19)&lt;MAX($P$34*($B220+IF($R$17="Distrato",$I$38-1,0)),IF(AND($L$37=0,$P$34=0),"",$L$37-1),IF($R$17="Distrato",$E220,0))),0,YEARFRAC(MAX($P$34*($B220+IF($R$17="Distrato",$I$38-1,0)),IF(AND($L$37=0,$P$34=0),"",$L$37-1),IF($R$17="Distrato",$E220,0)),MIN(Y$38,$D$19),$P$20))-SUM($P220:X220)</f>
        <v>#VALUE!</v>
      </c>
      <c r="Z220" s="446" t="e">
        <f>IF(OR($B220="",MIN(Z$38,$D$19)&lt;MAX($P$34*($B220+IF($R$17="Distrato",$I$38-1,0)),IF(AND($L$37=0,$P$34=0),"",$L$37-1),IF($R$17="Distrato",$E220,0))),0,YEARFRAC(MAX($P$34*($B220+IF($R$17="Distrato",$I$38-1,0)),IF(AND($L$37=0,$P$34=0),"",$L$37-1),IF($R$17="Distrato",$E220,0)),MIN(Z$38,$D$19),$P$20))-SUM($P220:Y220)</f>
        <v>#VALUE!</v>
      </c>
      <c r="AA220" s="446" t="e">
        <f>IF(OR($B220="",MIN(AA$38,$D$19)&lt;MAX($P$34*($B220+IF($R$17="Distrato",$I$38-1,0)),IF(AND($L$37=0,$P$34=0),"",$L$37-1),IF($R$17="Distrato",$E220,0))),0,YEARFRAC(MAX($P$34*($B220+IF($R$17="Distrato",$I$38-1,0)),IF(AND($L$37=0,$P$34=0),"",$L$37-1),IF($R$17="Distrato",$E220,0)),MIN(AA$38,$D$19),$P$20))-SUM($P220:Z220)</f>
        <v>#VALUE!</v>
      </c>
      <c r="AB220" s="446" t="e">
        <f>IF(OR($B220="",MIN(AB$38,$D$19)&lt;MAX($P$34*($B220+IF($R$17="Distrato",$I$38-1,0)),IF(AND($L$37=0,$P$34=0),"",$L$37-1),IF($R$17="Distrato",$E220,0))),0,YEARFRAC(MAX($P$34*($B220+IF($R$17="Distrato",$I$38-1,0)),IF(AND($L$37=0,$P$34=0),"",$L$37-1),IF($R$17="Distrato",$E220,0)),MIN(AB$38,$D$19),$P$20))-SUM($P220:AA220)</f>
        <v>#VALUE!</v>
      </c>
      <c r="AC220" s="446" t="e">
        <f>IF(OR($B220="",MIN(AC$38,$D$19)&lt;MAX($P$34*($B220+IF($R$17="Distrato",$I$38-1,0)),IF(AND($L$37=0,$P$34=0),"",$L$37-1),IF($R$17="Distrato",$E220,0))),0,YEARFRAC(MAX($P$34*($B220+IF($R$17="Distrato",$I$38-1,0)),IF(AND($L$37=0,$P$34=0),"",$L$37-1),IF($R$17="Distrato",$E220,0)),MIN(AC$38,$D$19),$P$20))-SUM($P220:AB220)</f>
        <v>#VALUE!</v>
      </c>
      <c r="AD220" s="446" t="e">
        <f>IF(OR($B220="",MIN(AD$38,$D$19)&lt;MAX($P$34*($B220+IF($R$17="Distrato",$I$38-1,0)),IF(AND($L$37=0,$P$34=0),"",$L$37-1),IF($R$17="Distrato",$E220,0))),0,YEARFRAC(MAX($P$34*($B220+IF($R$17="Distrato",$I$38-1,0)),IF(AND($L$37=0,$P$34=0),"",$L$37-1),IF($R$17="Distrato",$E220,0)),MIN(AD$38,$D$19),$P$20))-SUM($P220:AC220)</f>
        <v>#VALUE!</v>
      </c>
      <c r="AE220" s="446" t="e">
        <f>IF(OR($B220="",MIN(AE$38,$D$19)&lt;MAX($P$34*($B220+IF($R$17="Distrato",$I$38-1,0)),IF(AND($L$37=0,$P$34=0),"",$L$37-1),IF($R$17="Distrato",$E220,0))),0,YEARFRAC(MAX($P$34*($B220+IF($R$17="Distrato",$I$38-1,0)),IF(AND($L$37=0,$P$34=0),"",$L$37-1),IF($R$17="Distrato",$E220,0)),MIN(AE$38,$D$19),$P$20))-SUM($P220:AD220)</f>
        <v>#VALUE!</v>
      </c>
      <c r="AF220" s="446" t="e">
        <f>IF(OR($B220="",MIN(AF$38,$D$19)&lt;MAX($P$34*($B220+IF($R$17="Distrato",$I$38-1,0)),IF(AND($L$37=0,$P$34=0),"",$L$37-1),IF($R$17="Distrato",$E220,0))),0,YEARFRAC(MAX($P$34*($B220+IF($R$17="Distrato",$I$38-1,0)),IF(AND($L$37=0,$P$34=0),"",$L$37-1),IF($R$17="Distrato",$E220,0)),MIN(AF$38,$D$19),$P$20))-SUM($P220:AE220)</f>
        <v>#VALUE!</v>
      </c>
      <c r="AG220" s="446" t="e">
        <f>IF(OR($B220="",MIN(AG$38,$D$19)&lt;MAX($P$34*($B220+IF($R$17="Distrato",$I$38-1,0)),IF(AND($L$37=0,$P$34=0),"",$L$37-1),IF($R$17="Distrato",$E220,0))),0,YEARFRAC(MAX($P$34*($B220+IF($R$17="Distrato",$I$38-1,0)),IF(AND($L$37=0,$P$34=0),"",$L$37-1),IF($R$17="Distrato",$E220,0)),MIN(AG$38,$D$19),$P$20))-SUM($P220:AF220)</f>
        <v>#VALUE!</v>
      </c>
      <c r="AH220" s="446" t="e">
        <f>IF(OR($B220="",MIN(AH$38,$D$19)&lt;MAX($P$34*($B220+IF($R$17="Distrato",$I$38-1,0)),IF(AND($L$37=0,$P$34=0),"",$L$37-1),IF($R$17="Distrato",$E220,0))),0,YEARFRAC(MAX($P$34*($B220+IF($R$17="Distrato",$I$38-1,0)),IF(AND($L$37=0,$P$34=0),"",$L$37-1),IF($R$17="Distrato",$E220,0)),MIN(AH$38,$D$19),$P$20))-SUM($P220:AG220)</f>
        <v>#VALUE!</v>
      </c>
      <c r="AI220" s="446" t="e">
        <f>IF(OR($B220="",MIN(AI$38,$D$19)&lt;MAX($P$34*($B220+IF($R$17="Distrato",$I$38-1,0)),IF(AND($L$37=0,$P$34=0),"",$L$37-1),IF($R$17="Distrato",$E220,0))),0,YEARFRAC(MAX($P$34*($B220+IF($R$17="Distrato",$I$38-1,0)),IF(AND($L$37=0,$P$34=0),"",$L$37-1),IF($R$17="Distrato",$E220,0)),MIN(AI$38,$D$19),$P$20))-SUM($P220:AH220)</f>
        <v>#VALUE!</v>
      </c>
      <c r="AJ220" s="446" t="e">
        <f>IF(OR($B220="",MIN(AJ$38,$D$19)&lt;MAX($P$34*($B220+IF($R$17="Distrato",$I$38-1,0)),IF(AND($L$37=0,$P$34=0),"",$L$37-1),IF($R$17="Distrato",$E220,0))),0,YEARFRAC(MAX($P$34*($B220+IF($R$17="Distrato",$I$38-1,0)),IF(AND($L$37=0,$P$34=0),"",$L$37-1),IF($R$17="Distrato",$E220,0)),MIN(AJ$38,$D$19),$P$20))-SUM($P220:AI220)</f>
        <v>#VALUE!</v>
      </c>
      <c r="AK220" s="446" t="e">
        <f>IF(OR($B220="",MIN(AK$38,$D$19)&lt;MAX($P$34*($B220+IF($R$17="Distrato",$I$38-1,0)),IF(AND($L$37=0,$P$34=0),"",$L$37-1),IF($R$17="Distrato",$E220,0))),0,YEARFRAC(MAX($P$34*($B220+IF($R$17="Distrato",$I$38-1,0)),IF(AND($L$37=0,$P$34=0),"",$L$37-1),IF($R$17="Distrato",$E220,0)),MIN(AK$38,$D$19),$P$20))-SUM($P220:AJ220)</f>
        <v>#VALUE!</v>
      </c>
      <c r="AL220" s="446" t="e">
        <f>IF(OR($B220="",MIN(AL$38,$D$19)&lt;MAX($P$34*($B220+IF($R$17="Distrato",$I$38-1,0)),IF(AND($L$37=0,$P$34=0),"",$L$37-1),IF($R$17="Distrato",$E220,0))),0,YEARFRAC(MAX($P$34*($B220+IF($R$17="Distrato",$I$38-1,0)),IF(AND($L$37=0,$P$34=0),"",$L$37-1),IF($R$17="Distrato",$E220,0)),MIN(AL$38,$D$19),$P$20))-SUM($P220:AK220)</f>
        <v>#VALUE!</v>
      </c>
      <c r="AM220" s="446" t="e">
        <f>IF(OR($B220="",MIN(AM$38,$D$19)&lt;MAX($P$34*($B220+IF($R$17="Distrato",$I$38-1,0)),IF(AND($L$37=0,$P$34=0),"",$L$37-1),IF($R$17="Distrato",$E220,0))),0,YEARFRAC(MAX($P$34*($B220+IF($R$17="Distrato",$I$38-1,0)),IF(AND($L$37=0,$P$34=0),"",$L$37-1),IF($R$17="Distrato",$E220,0)),MIN(AM$38,$D$19),$P$20))-SUM($P220:AL220)</f>
        <v>#VALUE!</v>
      </c>
      <c r="AN220" s="446" t="e">
        <f>IF(OR($B220="",MIN(AN$38,$D$19)&lt;MAX($P$34*($B220+IF($R$17="Distrato",$I$38-1,0)),IF(AND($L$37=0,$P$34=0),"",$L$37-1),IF($R$17="Distrato",$E220,0))),0,YEARFRAC(MAX($P$34*($B220+IF($R$17="Distrato",$I$38-1,0)),IF(AND($L$37=0,$P$34=0),"",$L$37-1),IF($R$17="Distrato",$E220,0)),MIN(AN$38,$D$19),$P$20))-SUM($P220:AM220)</f>
        <v>#VALUE!</v>
      </c>
      <c r="AO220" s="446" t="e">
        <f>IF(OR($B220="",MIN(AO$38,$D$19)&lt;MAX($P$34*($B220+IF($R$17="Distrato",$I$38-1,0)),IF(AND($L$37=0,$P$34=0),"",$L$37-1),IF($R$17="Distrato",$E220,0))),0,YEARFRAC(MAX($P$34*($B220+IF($R$17="Distrato",$I$38-1,0)),IF(AND($L$37=0,$P$34=0),"",$L$37-1),IF($R$17="Distrato",$E220,0)),MIN(AO$38,$D$19),$P$20))-SUM($P220:AN220)</f>
        <v>#VALUE!</v>
      </c>
      <c r="AP220" s="446" t="e">
        <f>IF(OR($B220="",MIN(AP$38,$D$19)&lt;MAX($P$34*($B220+IF($R$17="Distrato",$I$38-1,0)),IF(AND($L$37=0,$P$34=0),"",$L$37-1),IF($R$17="Distrato",$E220,0))),0,YEARFRAC(MAX($P$34*($B220+IF($R$17="Distrato",$I$38-1,0)),IF(AND($L$37=0,$P$34=0),"",$L$37-1),IF($R$17="Distrato",$E220,0)),MIN(AP$38,$D$19),$P$20))-SUM($P220:AO220)</f>
        <v>#VALUE!</v>
      </c>
      <c r="AQ220" s="446" t="e">
        <f>IF(OR($B220="",MIN(AQ$38,$D$19)&lt;MAX($P$34*($B220+IF($R$17="Distrato",$I$38-1,0)),IF(AND($L$37=0,$P$34=0),"",$L$37-1),IF($R$17="Distrato",$E220,0))),0,YEARFRAC(MAX($P$34*($B220+IF($R$17="Distrato",$I$38-1,0)),IF(AND($L$37=0,$P$34=0),"",$L$37-1),IF($R$17="Distrato",$E220,0)),MIN(AQ$38,$D$19),$P$20))-SUM($P220:AP220)</f>
        <v>#VALUE!</v>
      </c>
      <c r="AR220" s="446" t="e">
        <f>IF(OR($B220="",MIN(AR$38,$D$19)&lt;MAX($P$34*($B220+IF($R$17="Distrato",$I$38-1,0)),IF(AND($L$37=0,$P$34=0),"",$L$37-1),IF($R$17="Distrato",$E220,0))),0,YEARFRAC(MAX($P$34*($B220+IF($R$17="Distrato",$I$38-1,0)),IF(AND($L$37=0,$P$34=0),"",$L$37-1),IF($R$17="Distrato",$E220,0)),MIN(AR$38,$D$19),$P$20))-SUM($P220:AQ220)</f>
        <v>#VALUE!</v>
      </c>
      <c r="AS220" s="446" t="e">
        <f>IF(OR($B220="",MIN(AS$38,$D$19)&lt;MAX($P$34*($B220+IF($R$17="Distrato",$I$38-1,0)),IF(AND($L$37=0,$P$34=0),"",$L$37-1),IF($R$17="Distrato",$E220,0))),0,YEARFRAC(MAX($P$34*($B220+IF($R$17="Distrato",$I$38-1,0)),IF(AND($L$37=0,$P$34=0),"",$L$37-1),IF($R$17="Distrato",$E220,0)),MIN(AS$38,$D$19),$P$20))-SUM($P220:AR220)</f>
        <v>#VALUE!</v>
      </c>
      <c r="AT220" s="446" t="e">
        <f>IF(OR($B220="",MIN(AT$38,$D$19)&lt;MAX($P$34*($B220+IF($R$17="Distrato",$I$38-1,0)),IF(AND($L$37=0,$P$34=0),"",$L$37-1),IF($R$17="Distrato",$E220,0))),0,YEARFRAC(MAX($P$34*($B220+IF($R$17="Distrato",$I$38-1,0)),IF(AND($L$37=0,$P$34=0),"",$L$37-1),IF($R$17="Distrato",$E220,0)),MIN(AT$38,$D$19),$P$20))-SUM($P220:AS220)</f>
        <v>#VALUE!</v>
      </c>
      <c r="AU220" s="446" t="e">
        <f>IF(OR($B220="",MIN(AU$38,$D$19)&lt;MAX($P$34*($B220+IF($R$17="Distrato",$I$38-1,0)),IF(AND($L$37=0,$P$34=0),"",$L$37-1),IF($R$17="Distrato",$E220,0))),0,YEARFRAC(MAX($P$34*($B220+IF($R$17="Distrato",$I$38-1,0)),IF(AND($L$37=0,$P$34=0),"",$L$37-1),IF($R$17="Distrato",$E220,0)),MIN(AU$38,$D$19),$P$20))-SUM($P220:AT220)</f>
        <v>#VALUE!</v>
      </c>
      <c r="AV220" s="446" t="e">
        <f>IF(OR($B220="",MIN(AV$38,$D$19)&lt;MAX($P$34*($B220+IF($R$17="Distrato",$I$38-1,0)),IF(AND($L$37=0,$P$34=0),"",$L$37-1),IF($R$17="Distrato",$E220,0))),0,YEARFRAC(MAX($P$34*($B220+IF($R$17="Distrato",$I$38-1,0)),IF(AND($L$37=0,$P$34=0),"",$L$37-1),IF($R$17="Distrato",$E220,0)),MIN(AV$38,$D$19),$P$20))-SUM($P220:AU220)</f>
        <v>#VALUE!</v>
      </c>
      <c r="AW220" s="446" t="e">
        <f>IF(OR($B220="",MIN(AW$38,$D$19)&lt;MAX($P$34*($B220+IF($R$17="Distrato",$I$38-1,0)),IF(AND($L$37=0,$P$34=0),"",$L$37-1),IF($R$17="Distrato",$E220,0))),0,YEARFRAC(MAX($P$34*($B220+IF($R$17="Distrato",$I$38-1,0)),IF(AND($L$37=0,$P$34=0),"",$L$37-1),IF($R$17="Distrato",$E220,0)),MIN(AW$38,$D$19),$P$20))-SUM($P220:AV220)</f>
        <v>#VALUE!</v>
      </c>
      <c r="AX220" s="446" t="e">
        <f>IF(OR($B220="",MIN(AX$38,$D$19)&lt;MAX($P$34*($B220+IF($R$17="Distrato",$I$38-1,0)),IF(AND($L$37=0,$P$34=0),"",$L$37-1),IF($R$17="Distrato",$E220,0))),0,YEARFRAC(MAX($P$34*($B220+IF($R$17="Distrato",$I$38-1,0)),IF(AND($L$37=0,$P$34=0),"",$L$37-1),IF($R$17="Distrato",$E220,0)),MIN(AX$38,$D$19),$P$20))-SUM($P220:AW220)</f>
        <v>#VALUE!</v>
      </c>
      <c r="AY220" s="446" t="e">
        <f>IF(OR($B220="",MIN(AY$38,$D$19)&lt;MAX($P$34*($B220+IF($R$17="Distrato",$I$38-1,0)),IF(AND($L$37=0,$P$34=0),"",$L$37-1),IF($R$17="Distrato",$E220,0))),0,YEARFRAC(MAX($P$34*($B220+IF($R$17="Distrato",$I$38-1,0)),IF(AND($L$37=0,$P$34=0),"",$L$37-1),IF($R$17="Distrato",$E220,0)),MIN(AY$38,$D$19),$P$20))-SUM($P220:AX220)</f>
        <v>#VALUE!</v>
      </c>
      <c r="AZ220" s="446" t="e">
        <f>IF(OR($B220="",MIN(AZ$38,$D$19)&lt;MAX($P$34*($B220+IF($R$17="Distrato",$I$38-1,0)),IF(AND($L$37=0,$P$34=0),"",$L$37-1),IF($R$17="Distrato",$E220,0))),0,YEARFRAC(MAX($P$34*($B220+IF($R$17="Distrato",$I$38-1,0)),IF(AND($L$37=0,$P$34=0),"",$L$37-1),IF($R$17="Distrato",$E220,0)),MIN(AZ$38,$D$19),$P$20))-SUM($P220:AY220)</f>
        <v>#VALUE!</v>
      </c>
      <c r="BA220" s="446" t="e">
        <f>IF(OR($B220="",MIN(BA$38,$D$19)&lt;MAX($P$34*($B220+IF($R$17="Distrato",$I$38-1,0)),IF(AND($L$37=0,$P$34=0),"",$L$37-1),IF($R$17="Distrato",$E220,0))),0,YEARFRAC(MAX($P$34*($B220+IF($R$17="Distrato",$I$38-1,0)),IF(AND($L$37=0,$P$34=0),"",$L$37-1),IF($R$17="Distrato",$E220,0)),MIN(BA$38,$D$19),$P$20))-SUM($P220:AZ220)</f>
        <v>#VALUE!</v>
      </c>
      <c r="BB220" s="447"/>
      <c r="BF220" s="446">
        <f t="shared" si="32"/>
        <v>0</v>
      </c>
      <c r="BG220" s="446">
        <f>IF($E220=0,0,IF(MIN(BG$38,$E220)&lt;MAX($P$34*($B220+$I$38-1),IF(AND($L$37=0,$P$34=0),"",$L$37-1)),0,YEARFRAC(MAX($P$34*($B220+$I$38-1),IF(AND($L$37=0,$P$34=0),"",$L$37-1)),MIN(BG$38,$E220),$P$20))-SUM($BF220:BF220))</f>
        <v>0</v>
      </c>
      <c r="BH220" s="446">
        <f>IF($E220=0,0,IF(MIN(BH$38,$E220)&lt;MAX($P$34*($B220+$I$38-1),IF(AND($L$37=0,$P$34=0),"",$L$37-1)),0,YEARFRAC(MAX($P$34*($B220+$I$38-1),IF(AND($L$37=0,$P$34=0),"",$L$37-1)),MIN(BH$38,$E220),$P$20))-SUM($BF220:BG220))</f>
        <v>0</v>
      </c>
      <c r="BI220" s="446">
        <f>IF($E220=0,0,IF(MIN(BI$38,$E220)&lt;MAX($P$34*($B220+$I$38-1),IF(AND($L$37=0,$P$34=0),"",$L$37-1)),0,YEARFRAC(MAX($P$34*($B220+$I$38-1),IF(AND($L$37=0,$P$34=0),"",$L$37-1)),MIN(BI$38,$E220),$P$20))-SUM($BF220:BH220))</f>
        <v>0</v>
      </c>
      <c r="BJ220" s="446">
        <f>IF($E220=0,0,IF(MIN(BJ$38,$E220)&lt;MAX($P$34*($B220+$I$38-1),IF(AND($L$37=0,$P$34=0),"",$L$37-1)),0,YEARFRAC(MAX($P$34*($B220+$I$38-1),IF(AND($L$37=0,$P$34=0),"",$L$37-1)),MIN(BJ$38,$E220),$P$20))-SUM($BF220:BI220))</f>
        <v>0</v>
      </c>
      <c r="BK220" s="446">
        <f>IF($E220=0,0,IF(MIN(BK$38,$E220)&lt;MAX($P$34*($B220+$I$38-1),IF(AND($L$37=0,$P$34=0),"",$L$37-1)),0,YEARFRAC(MAX($P$34*($B220+$I$38-1),IF(AND($L$37=0,$P$34=0),"",$L$37-1)),MIN(BK$38,$E220),$P$20))-SUM($BF220:BJ220))</f>
        <v>0</v>
      </c>
      <c r="BL220" s="446">
        <f>IF($E220=0,0,IF(MIN(BL$38,$E220)&lt;MAX($P$34*($B220+$I$38-1),IF(AND($L$37=0,$P$34=0),"",$L$37-1)),0,YEARFRAC(MAX($P$34*($B220+$I$38-1),IF(AND($L$37=0,$P$34=0),"",$L$37-1)),MIN(BL$38,$E220),$P$20))-SUM($BF220:BK220))</f>
        <v>0</v>
      </c>
      <c r="BM220" s="446">
        <f>IF($E220=0,0,IF(MIN(BM$38,$E220)&lt;MAX($P$34*($B220+$I$38-1),IF(AND($L$37=0,$P$34=0),"",$L$37-1)),0,YEARFRAC(MAX($P$34*($B220+$I$38-1),IF(AND($L$37=0,$P$34=0),"",$L$37-1)),MIN(BM$38,$E220),$P$20))-SUM($BF220:BL220))</f>
        <v>0</v>
      </c>
      <c r="BN220" s="446">
        <f>IF($E220=0,0,IF(MIN(BN$38,$E220)&lt;MAX($P$34*($B220+$I$38-1),IF(AND($L$37=0,$P$34=0),"",$L$37-1)),0,YEARFRAC(MAX($P$34*($B220+$I$38-1),IF(AND($L$37=0,$P$34=0),"",$L$37-1)),MIN(BN$38,$E220),$P$20))-SUM($BF220:BM220))</f>
        <v>0</v>
      </c>
      <c r="BO220" s="446">
        <f>IF($E220=0,0,IF(MIN(BO$38,$E220)&lt;MAX($P$34*($B220+$I$38-1),IF(AND($L$37=0,$P$34=0),"",$L$37-1)),0,YEARFRAC(MAX($P$34*($B220+$I$38-1),IF(AND($L$37=0,$P$34=0),"",$L$37-1)),MIN(BO$38,$E220),$P$20))-SUM($BF220:BN220))</f>
        <v>0</v>
      </c>
      <c r="BP220" s="446">
        <f>IF($E220=0,0,IF(MIN(BP$38,$E220)&lt;MAX($P$34*($B220+$I$38-1),IF(AND($L$37=0,$P$34=0),"",$L$37-1)),0,YEARFRAC(MAX($P$34*($B220+$I$38-1),IF(AND($L$37=0,$P$34=0),"",$L$37-1)),MIN(BP$38,$E220),$P$20))-SUM($BF220:BO220))</f>
        <v>0</v>
      </c>
      <c r="BQ220" s="446">
        <f>IF($E220=0,0,IF(MIN(BQ$38,$E220)&lt;MAX($P$34*($B220+$I$38-1),IF(AND($L$37=0,$P$34=0),"",$L$37-1)),0,YEARFRAC(MAX($P$34*($B220+$I$38-1),IF(AND($L$37=0,$P$34=0),"",$L$37-1)),MIN(BQ$38,$E220),$P$20))-SUM($BF220:BP220))</f>
        <v>0</v>
      </c>
      <c r="BR220" s="446">
        <f>IF($E220=0,0,IF(MIN(BR$38,$E220)&lt;MAX($P$34*($B220+$I$38-1),IF(AND($L$37=0,$P$34=0),"",$L$37-1)),0,YEARFRAC(MAX($P$34*($B220+$I$38-1),IF(AND($L$37=0,$P$34=0),"",$L$37-1)),MIN(BR$38,$E220),$P$20))-SUM($BF220:BQ220))</f>
        <v>0</v>
      </c>
      <c r="BS220" s="446">
        <f>IF($E220=0,0,IF(MIN(BS$38,$E220)&lt;MAX($P$34*($B220+$I$38-1),IF(AND($L$37=0,$P$34=0),"",$L$37-1)),0,YEARFRAC(MAX($P$34*($B220+$I$38-1),IF(AND($L$37=0,$P$34=0),"",$L$37-1)),MIN(BS$38,$E220),$P$20))-SUM($BF220:BR220))</f>
        <v>0</v>
      </c>
      <c r="BT220" s="446">
        <f>IF($E220=0,0,IF(MIN(BT$38,$E220)&lt;MAX($P$34*($B220+$I$38-1),IF(AND($L$37=0,$P$34=0),"",$L$37-1)),0,YEARFRAC(MAX($P$34*($B220+$I$38-1),IF(AND($L$37=0,$P$34=0),"",$L$37-1)),MIN(BT$38,$E220),$P$20))-SUM($BF220:BS220))</f>
        <v>0</v>
      </c>
      <c r="BU220" s="446">
        <f>IF($E220=0,0,IF(MIN(BU$38,$E220)&lt;MAX($P$34*($B220+$I$38-1),IF(AND($L$37=0,$P$34=0),"",$L$37-1)),0,YEARFRAC(MAX($P$34*($B220+$I$38-1),IF(AND($L$37=0,$P$34=0),"",$L$37-1)),MIN(BU$38,$E220),$P$20))-SUM($BF220:BT220))</f>
        <v>0</v>
      </c>
      <c r="BV220" s="446">
        <f>IF($E220=0,0,IF(MIN(BV$38,$E220)&lt;MAX($P$34*($B220+$I$38-1),IF(AND($L$37=0,$P$34=0),"",$L$37-1)),0,YEARFRAC(MAX($P$34*($B220+$I$38-1),IF(AND($L$37=0,$P$34=0),"",$L$37-1)),MIN(BV$38,$E220),$P$20))-SUM($BF220:BU220))</f>
        <v>0</v>
      </c>
      <c r="BW220" s="446">
        <f>IF($E220=0,0,IF(MIN(BW$38,$E220)&lt;MAX($P$34*($B220+$I$38-1),IF(AND($L$37=0,$P$34=0),"",$L$37-1)),0,YEARFRAC(MAX($P$34*($B220+$I$38-1),IF(AND($L$37=0,$P$34=0),"",$L$37-1)),MIN(BW$38,$E220),$P$20))-SUM($BF220:BV220))</f>
        <v>0</v>
      </c>
      <c r="BX220" s="446">
        <f>IF($E220=0,0,IF(MIN(BX$38,$E220)&lt;MAX($P$34*($B220+$I$38-1),IF(AND($L$37=0,$P$34=0),"",$L$37-1)),0,YEARFRAC(MAX($P$34*($B220+$I$38-1),IF(AND($L$37=0,$P$34=0),"",$L$37-1)),MIN(BX$38,$E220),$P$20))-SUM($BF220:BW220))</f>
        <v>0</v>
      </c>
      <c r="BY220" s="446">
        <f>IF($E220=0,0,IF(MIN(BY$38,$E220)&lt;MAX($P$34*($B220+$I$38-1),IF(AND($L$37=0,$P$34=0),"",$L$37-1)),0,YEARFRAC(MAX($P$34*($B220+$I$38-1),IF(AND($L$37=0,$P$34=0),"",$L$37-1)),MIN(BY$38,$E220),$P$20))-SUM($BF220:BX220))</f>
        <v>0</v>
      </c>
      <c r="BZ220" s="446">
        <f>IF($E220=0,0,IF(MIN(BZ$38,$E220)&lt;MAX($P$34*($B220+$I$38-1),IF(AND($L$37=0,$P$34=0),"",$L$37-1)),0,YEARFRAC(MAX($P$34*($B220+$I$38-1),IF(AND($L$37=0,$P$34=0),"",$L$37-1)),MIN(BZ$38,$E220),$P$20))-SUM($BF220:BY220))</f>
        <v>0</v>
      </c>
      <c r="CA220" s="446">
        <f>IF($E220=0,0,IF(MIN(CA$38,$E220)&lt;MAX($P$34*($B220+$I$38-1),IF(AND($L$37=0,$P$34=0),"",$L$37-1)),0,YEARFRAC(MAX($P$34*($B220+$I$38-1),IF(AND($L$37=0,$P$34=0),"",$L$37-1)),MIN(CA$38,$E220),$P$20))-SUM($BF220:BZ220))</f>
        <v>0</v>
      </c>
      <c r="CB220" s="446">
        <f>IF($E220=0,0,IF(MIN(CB$38,$E220)&lt;MAX($P$34*($B220+$I$38-1),IF(AND($L$37=0,$P$34=0),"",$L$37-1)),0,YEARFRAC(MAX($P$34*($B220+$I$38-1),IF(AND($L$37=0,$P$34=0),"",$L$37-1)),MIN(CB$38,$E220),$P$20))-SUM($BF220:CA220))</f>
        <v>0</v>
      </c>
      <c r="CC220" s="446">
        <f>IF($E220=0,0,IF(MIN(CC$38,$E220)&lt;MAX($P$34*($B220+$I$38-1),IF(AND($L$37=0,$P$34=0),"",$L$37-1)),0,YEARFRAC(MAX($P$34*($B220+$I$38-1),IF(AND($L$37=0,$P$34=0),"",$L$37-1)),MIN(CC$38,$E220),$P$20))-SUM($BF220:CB220))</f>
        <v>0</v>
      </c>
      <c r="CD220" s="446">
        <f>IF($E220=0,0,IF(MIN(CD$38,$E220)&lt;MAX($P$34*($B220+$I$38-1),IF(AND($L$37=0,$P$34=0),"",$L$37-1)),0,YEARFRAC(MAX($P$34*($B220+$I$38-1),IF(AND($L$37=0,$P$34=0),"",$L$37-1)),MIN(CD$38,$E220),$P$20))-SUM($BF220:CC220))</f>
        <v>0</v>
      </c>
      <c r="CE220" s="446">
        <f>IF($E220=0,0,IF(MIN(CE$38,$E220)&lt;MAX($P$34*($B220+$I$38-1),IF(AND($L$37=0,$P$34=0),"",$L$37-1)),0,YEARFRAC(MAX($P$34*($B220+$I$38-1),IF(AND($L$37=0,$P$34=0),"",$L$37-1)),MIN(CE$38,$E220),$P$20))-SUM($BF220:CD220))</f>
        <v>0</v>
      </c>
      <c r="CF220" s="446">
        <f>IF($E220=0,0,IF(MIN(CF$38,$E220)&lt;MAX($P$34*($B220+$I$38-1),IF(AND($L$37=0,$P$34=0),"",$L$37-1)),0,YEARFRAC(MAX($P$34*($B220+$I$38-1),IF(AND($L$37=0,$P$34=0),"",$L$37-1)),MIN(CF$38,$E220),$P$20))-SUM($BF220:CE220))</f>
        <v>0</v>
      </c>
      <c r="CG220" s="446">
        <f>IF($E220=0,0,IF(MIN(CG$38,$E220)&lt;MAX($P$34*($B220+$I$38-1),IF(AND($L$37=0,$P$34=0),"",$L$37-1)),0,YEARFRAC(MAX($P$34*($B220+$I$38-1),IF(AND($L$37=0,$P$34=0),"",$L$37-1)),MIN(CG$38,$E220),$P$20))-SUM($BF220:CF220))</f>
        <v>0</v>
      </c>
      <c r="CH220" s="446">
        <f>IF($E220=0,0,IF(MIN(CH$38,$E220)&lt;MAX($P$34*($B220+$I$38-1),IF(AND($L$37=0,$P$34=0),"",$L$37-1)),0,YEARFRAC(MAX($P$34*($B220+$I$38-1),IF(AND($L$37=0,$P$34=0),"",$L$37-1)),MIN(CH$38,$E220),$P$20))-SUM($BF220:CG220))</f>
        <v>0</v>
      </c>
      <c r="CI220" s="446">
        <f>IF($E220=0,0,IF(MIN(CI$38,$E220)&lt;MAX($P$34*($B220+$I$38-1),IF(AND($L$37=0,$P$34=0),"",$L$37-1)),0,YEARFRAC(MAX($P$34*($B220+$I$38-1),IF(AND($L$37=0,$P$34=0),"",$L$37-1)),MIN(CI$38,$E220),$P$20))-SUM($BF220:CH220))</f>
        <v>0</v>
      </c>
      <c r="CJ220" s="446">
        <f>IF($E220=0,0,IF(MIN(CJ$38,$E220)&lt;MAX($P$34*($B220+$I$38-1),IF(AND($L$37=0,$P$34=0),"",$L$37-1)),0,YEARFRAC(MAX($P$34*($B220+$I$38-1),IF(AND($L$37=0,$P$34=0),"",$L$37-1)),MIN(CJ$38,$E220),$P$20))-SUM($BF220:CI220))</f>
        <v>0</v>
      </c>
      <c r="CK220" s="446">
        <f>IF($E220=0,0,IF(MIN(CK$38,$E220)&lt;MAX($P$34*($B220+$I$38-1),IF(AND($L$37=0,$P$34=0),"",$L$37-1)),0,YEARFRAC(MAX($P$34*($B220+$I$38-1),IF(AND($L$37=0,$P$34=0),"",$L$37-1)),MIN(CK$38,$E220),$P$20))-SUM($BF220:CJ220))</f>
        <v>0</v>
      </c>
      <c r="CL220" s="446">
        <f>IF($E220=0,0,IF(MIN(CL$38,$E220)&lt;MAX($P$34*($B220+$I$38-1),IF(AND($L$37=0,$P$34=0),"",$L$37-1)),0,YEARFRAC(MAX($P$34*($B220+$I$38-1),IF(AND($L$37=0,$P$34=0),"",$L$37-1)),MIN(CL$38,$E220),$P$20))-SUM($BF220:CK220))</f>
        <v>0</v>
      </c>
      <c r="CM220" s="446">
        <f>IF($E220=0,0,IF(MIN(CM$38,$E220)&lt;MAX($P$34*($B220+$I$38-1),IF(AND($L$37=0,$P$34=0),"",$L$37-1)),0,YEARFRAC(MAX($P$34*($B220+$I$38-1),IF(AND($L$37=0,$P$34=0),"",$L$37-1)),MIN(CM$38,$E220),$P$20))-SUM($BF220:CL220))</f>
        <v>0</v>
      </c>
      <c r="CN220" s="446">
        <f>IF($E220=0,0,IF(MIN(CN$38,$E220)&lt;MAX($P$34*($B220+$I$38-1),IF(AND($L$37=0,$P$34=0),"",$L$37-1)),0,YEARFRAC(MAX($P$34*($B220+$I$38-1),IF(AND($L$37=0,$P$34=0),"",$L$37-1)),MIN(CN$38,$E220),$P$20))-SUM($BF220:CM220))</f>
        <v>0</v>
      </c>
      <c r="CO220" s="446">
        <f>IF($E220=0,0,IF(MIN(CO$38,$E220)&lt;MAX($P$34*($B220+$I$38-1),IF(AND($L$37=0,$P$34=0),"",$L$37-1)),0,YEARFRAC(MAX($P$34*($B220+$I$38-1),IF(AND($L$37=0,$P$34=0),"",$L$37-1)),MIN(CO$38,$E220),$P$20))-SUM($BF220:CN220))</f>
        <v>0</v>
      </c>
      <c r="CP220" s="446">
        <f>IF($E220=0,0,IF(MIN(CP$38,$E220)&lt;MAX($P$34*($B220+$I$38-1),IF(AND($L$37=0,$P$34=0),"",$L$37-1)),0,YEARFRAC(MAX($P$34*($B220+$I$38-1),IF(AND($L$37=0,$P$34=0),"",$L$37-1)),MIN(CP$38,$E220),$P$20))-SUM($BF220:CO220))</f>
        <v>0</v>
      </c>
      <c r="CQ220" s="446">
        <f>IF($E220=0,0,IF(MIN(CQ$38,$E220)&lt;MAX($P$34*($B220+$I$38-1),IF(AND($L$37=0,$P$34=0),"",$L$37-1)),0,YEARFRAC(MAX($P$34*($B220+$I$38-1),IF(AND($L$37=0,$P$34=0),"",$L$37-1)),MIN(CQ$38,$E220),$P$20))-SUM($BF220:CP220))</f>
        <v>0</v>
      </c>
    </row>
    <row r="221" spans="1:95" s="446" customFormat="1" ht="11.25" hidden="1" customHeight="1" x14ac:dyDescent="0.2">
      <c r="A221" s="152"/>
      <c r="B221" s="153" t="str">
        <f t="shared" si="37"/>
        <v/>
      </c>
      <c r="C221" s="29" t="str">
        <f>IF(B221="","",IF($L$35="SELIC - TRIBUTOS",VLOOKUP(DATE(YEAR($D$19),MONTH($D$19)-1,1),ÍNDICES!$A:$DE,HLOOKUP($BL$25,ÍNDICES!$B$3:$T$4,2)+11)-VLOOKUP(B221,ÍNDICES!$A:$DE,HLOOKUP($BL$25,ÍNDICES!$B$3:$T$4,2)+11)+1%,IF(C$38=$W$26,$J$35,IF(ISERROR(IF(B221&gt;$D$19,1,VLOOKUP(DATE(YEAR(B221),MONTH(B221)+IF($C$35=$S$23,1,0),1),ÍNDICES!$A:$DE,$Z$35+1))),"",IF(B221&gt;$D$19,1,VLOOKUP(DATE(YEAR(B221),MONTH(B221)+IF($C$35=$S$23,1,0),1),ÍNDICES!$A:$DE,$Z$35+1))))))</f>
        <v/>
      </c>
      <c r="D221" s="154" t="str">
        <f>IF(ISERROR(IF(OR($D$38=$Y$27,$B221=""),"",VLOOKUP(B221,ÍNDICES!A:DE,AF$35+1))),"",IF(OR($D$38=$Y$27,$B221=""),"",VLOOKUP(B221,ÍNDICES!A:DE,AF$35+1)))</f>
        <v/>
      </c>
      <c r="E221" s="153"/>
      <c r="F221" s="29" t="str">
        <f>IF(E221="","",IF($L$35="SELIC - TRIBUTOS",VLOOKUP(DATE(YEAR($D$19),MONTH($D$19)-1,1),ÍNDICES!$A:$DE,HLOOKUP($BL$25,ÍNDICES!$B$3:$T$4,2)+11)-VLOOKUP(E221,ÍNDICES!$A:$DE,HLOOKUP($BL$25,ÍNDICES!$B$3:$T$4,2)+11)+1%,IF(F$38=$W$26,$J$35,IF(ISERROR(IF(E221&gt;$D$19,1,VLOOKUP(DATE(YEAR(E221),MONTH(E221)+IF($C$35=$S$23,1,0),1),ÍNDICES!$A:$DE,$Z$35+1))),"",IF(E221&gt;$D$19,1,VLOOKUP(DATE(YEAR(E221),MONTH(E221)+IF($C$35=$S$23,1,0),1),ÍNDICES!$A:$DE,$Z$35+1))))))</f>
        <v/>
      </c>
      <c r="G221" s="155"/>
      <c r="H221" s="156" t="str">
        <f t="shared" si="33"/>
        <v/>
      </c>
      <c r="I221" s="29" t="str">
        <f t="shared" si="27"/>
        <v/>
      </c>
      <c r="J221" s="5">
        <f t="shared" si="28"/>
        <v>0</v>
      </c>
      <c r="K221" s="20">
        <f t="shared" ca="1" si="29"/>
        <v>0</v>
      </c>
      <c r="L221" s="5">
        <f t="shared" ca="1" si="30"/>
        <v>0</v>
      </c>
      <c r="M221" s="64">
        <f t="shared" si="34"/>
        <v>0</v>
      </c>
      <c r="N221" s="61">
        <f t="shared" ca="1" si="35"/>
        <v>0</v>
      </c>
      <c r="O221" s="5">
        <f t="shared" ca="1" si="36"/>
        <v>0</v>
      </c>
      <c r="P221" s="446" t="e">
        <f t="shared" si="31"/>
        <v>#VALUE!</v>
      </c>
      <c r="Q221" s="446" t="e">
        <f>IF(OR($B221="",MIN(Q$38,$D$19)&lt;MAX($P$34*($B221+IF($R$17="Distrato",$I$38-1,0)),IF(AND($L$37=0,$P$34=0),"",$L$37-1),IF($R$17="Distrato",$E221,0))),0,YEARFRAC(MAX($P$34*($B221+IF($R$17="Distrato",$I$38-1,0)),IF(AND($L$37=0,$P$34=0),"",$L$37-1),IF($R$17="Distrato",$E221,0)),MIN(Q$38,$D$19),$P$20))-SUM($P221:P221)</f>
        <v>#VALUE!</v>
      </c>
      <c r="R221" s="446" t="e">
        <f>IF(OR($B221="",MIN(R$38,$D$19)&lt;MAX($P$34*($B221+IF($R$17="Distrato",$I$38-1,0)),IF(AND($L$37=0,$P$34=0),"",$L$37-1),IF($R$17="Distrato",$E221,0))),0,YEARFRAC(MAX($P$34*($B221+IF($R$17="Distrato",$I$38-1,0)),IF(AND($L$37=0,$P$34=0),"",$L$37-1),IF($R$17="Distrato",$E221,0)),MIN(R$38,$D$19),$P$20))-SUM($P221:Q221)</f>
        <v>#VALUE!</v>
      </c>
      <c r="S221" s="446" t="e">
        <f>IF(OR($B221="",MIN(S$38,$D$19)&lt;MAX($P$34*($B221+IF($R$17="Distrato",$I$38-1,0)),IF(AND($L$37=0,$P$34=0),"",$L$37-1),IF($R$17="Distrato",$E221,0))),0,YEARFRAC(MAX($P$34*($B221+IF($R$17="Distrato",$I$38-1,0)),IF(AND($L$37=0,$P$34=0),"",$L$37-1),IF($R$17="Distrato",$E221,0)),MIN(S$38,$D$19),$P$20))-SUM($P221:R221)</f>
        <v>#VALUE!</v>
      </c>
      <c r="T221" s="446" t="e">
        <f>IF(OR($B221="",MIN(T$38,$D$19)&lt;MAX($P$34*($B221+IF($R$17="Distrato",$I$38-1,0)),IF(AND($L$37=0,$P$34=0),"",$L$37-1),IF($R$17="Distrato",$E221,0))),0,YEARFRAC(MAX($P$34*($B221+IF($R$17="Distrato",$I$38-1,0)),IF(AND($L$37=0,$P$34=0),"",$L$37-1),IF($R$17="Distrato",$E221,0)),MIN(T$38,$D$19),$P$20))-SUM($P221:S221)</f>
        <v>#VALUE!</v>
      </c>
      <c r="U221" s="446" t="e">
        <f>IF(OR($B221="",MIN(U$38,$D$19)&lt;MAX($P$34*($B221+IF($R$17="Distrato",$I$38-1,0)),IF(AND($L$37=0,$P$34=0),"",$L$37-1),IF($R$17="Distrato",$E221,0))),0,YEARFRAC(MAX($P$34*($B221+IF($R$17="Distrato",$I$38-1,0)),IF(AND($L$37=0,$P$34=0),"",$L$37-1),IF($R$17="Distrato",$E221,0)),MIN(U$38,$D$19),$P$20))-SUM($P221:T221)</f>
        <v>#VALUE!</v>
      </c>
      <c r="V221" s="446" t="e">
        <f>IF(OR($B221="",MIN(V$38,$D$19)&lt;MAX($P$34*($B221+IF($R$17="Distrato",$I$38-1,0)),IF(AND($L$37=0,$P$34=0),"",$L$37-1),IF($R$17="Distrato",$E221,0))),0,YEARFRAC(MAX($P$34*($B221+IF($R$17="Distrato",$I$38-1,0)),IF(AND($L$37=0,$P$34=0),"",$L$37-1),IF($R$17="Distrato",$E221,0)),MIN(V$38,$D$19),$P$20))-SUM($P221:U221)</f>
        <v>#VALUE!</v>
      </c>
      <c r="W221" s="446" t="e">
        <f>IF(OR($B221="",MIN(W$38,$D$19)&lt;MAX($P$34*($B221+IF($R$17="Distrato",$I$38-1,0)),IF(AND($L$37=0,$P$34=0),"",$L$37-1),IF($R$17="Distrato",$E221,0))),0,YEARFRAC(MAX($P$34*($B221+IF($R$17="Distrato",$I$38-1,0)),IF(AND($L$37=0,$P$34=0),"",$L$37-1),IF($R$17="Distrato",$E221,0)),MIN(W$38,$D$19),$P$20))-SUM($P221:V221)</f>
        <v>#VALUE!</v>
      </c>
      <c r="X221" s="446" t="e">
        <f>IF(OR($B221="",MIN(X$38,$D$19)&lt;MAX($P$34*($B221+IF($R$17="Distrato",$I$38-1,0)),IF(AND($L$37=0,$P$34=0),"",$L$37-1),IF($R$17="Distrato",$E221,0))),0,YEARFRAC(MAX($P$34*($B221+IF($R$17="Distrato",$I$38-1,0)),IF(AND($L$37=0,$P$34=0),"",$L$37-1),IF($R$17="Distrato",$E221,0)),MIN(X$38,$D$19),$P$20))-SUM($P221:W221)</f>
        <v>#VALUE!</v>
      </c>
      <c r="Y221" s="446" t="e">
        <f>IF(OR($B221="",MIN(Y$38,$D$19)&lt;MAX($P$34*($B221+IF($R$17="Distrato",$I$38-1,0)),IF(AND($L$37=0,$P$34=0),"",$L$37-1),IF($R$17="Distrato",$E221,0))),0,YEARFRAC(MAX($P$34*($B221+IF($R$17="Distrato",$I$38-1,0)),IF(AND($L$37=0,$P$34=0),"",$L$37-1),IF($R$17="Distrato",$E221,0)),MIN(Y$38,$D$19),$P$20))-SUM($P221:X221)</f>
        <v>#VALUE!</v>
      </c>
      <c r="Z221" s="446" t="e">
        <f>IF(OR($B221="",MIN(Z$38,$D$19)&lt;MAX($P$34*($B221+IF($R$17="Distrato",$I$38-1,0)),IF(AND($L$37=0,$P$34=0),"",$L$37-1),IF($R$17="Distrato",$E221,0))),0,YEARFRAC(MAX($P$34*($B221+IF($R$17="Distrato",$I$38-1,0)),IF(AND($L$37=0,$P$34=0),"",$L$37-1),IF($R$17="Distrato",$E221,0)),MIN(Z$38,$D$19),$P$20))-SUM($P221:Y221)</f>
        <v>#VALUE!</v>
      </c>
      <c r="AA221" s="446" t="e">
        <f>IF(OR($B221="",MIN(AA$38,$D$19)&lt;MAX($P$34*($B221+IF($R$17="Distrato",$I$38-1,0)),IF(AND($L$37=0,$P$34=0),"",$L$37-1),IF($R$17="Distrato",$E221,0))),0,YEARFRAC(MAX($P$34*($B221+IF($R$17="Distrato",$I$38-1,0)),IF(AND($L$37=0,$P$34=0),"",$L$37-1),IF($R$17="Distrato",$E221,0)),MIN(AA$38,$D$19),$P$20))-SUM($P221:Z221)</f>
        <v>#VALUE!</v>
      </c>
      <c r="AB221" s="446" t="e">
        <f>IF(OR($B221="",MIN(AB$38,$D$19)&lt;MAX($P$34*($B221+IF($R$17="Distrato",$I$38-1,0)),IF(AND($L$37=0,$P$34=0),"",$L$37-1),IF($R$17="Distrato",$E221,0))),0,YEARFRAC(MAX($P$34*($B221+IF($R$17="Distrato",$I$38-1,0)),IF(AND($L$37=0,$P$34=0),"",$L$37-1),IF($R$17="Distrato",$E221,0)),MIN(AB$38,$D$19),$P$20))-SUM($P221:AA221)</f>
        <v>#VALUE!</v>
      </c>
      <c r="AC221" s="446" t="e">
        <f>IF(OR($B221="",MIN(AC$38,$D$19)&lt;MAX($P$34*($B221+IF($R$17="Distrato",$I$38-1,0)),IF(AND($L$37=0,$P$34=0),"",$L$37-1),IF($R$17="Distrato",$E221,0))),0,YEARFRAC(MAX($P$34*($B221+IF($R$17="Distrato",$I$38-1,0)),IF(AND($L$37=0,$P$34=0),"",$L$37-1),IF($R$17="Distrato",$E221,0)),MIN(AC$38,$D$19),$P$20))-SUM($P221:AB221)</f>
        <v>#VALUE!</v>
      </c>
      <c r="AD221" s="446" t="e">
        <f>IF(OR($B221="",MIN(AD$38,$D$19)&lt;MAX($P$34*($B221+IF($R$17="Distrato",$I$38-1,0)),IF(AND($L$37=0,$P$34=0),"",$L$37-1),IF($R$17="Distrato",$E221,0))),0,YEARFRAC(MAX($P$34*($B221+IF($R$17="Distrato",$I$38-1,0)),IF(AND($L$37=0,$P$34=0),"",$L$37-1),IF($R$17="Distrato",$E221,0)),MIN(AD$38,$D$19),$P$20))-SUM($P221:AC221)</f>
        <v>#VALUE!</v>
      </c>
      <c r="AE221" s="446" t="e">
        <f>IF(OR($B221="",MIN(AE$38,$D$19)&lt;MAX($P$34*($B221+IF($R$17="Distrato",$I$38-1,0)),IF(AND($L$37=0,$P$34=0),"",$L$37-1),IF($R$17="Distrato",$E221,0))),0,YEARFRAC(MAX($P$34*($B221+IF($R$17="Distrato",$I$38-1,0)),IF(AND($L$37=0,$P$34=0),"",$L$37-1),IF($R$17="Distrato",$E221,0)),MIN(AE$38,$D$19),$P$20))-SUM($P221:AD221)</f>
        <v>#VALUE!</v>
      </c>
      <c r="AF221" s="446" t="e">
        <f>IF(OR($B221="",MIN(AF$38,$D$19)&lt;MAX($P$34*($B221+IF($R$17="Distrato",$I$38-1,0)),IF(AND($L$37=0,$P$34=0),"",$L$37-1),IF($R$17="Distrato",$E221,0))),0,YEARFRAC(MAX($P$34*($B221+IF($R$17="Distrato",$I$38-1,0)),IF(AND($L$37=0,$P$34=0),"",$L$37-1),IF($R$17="Distrato",$E221,0)),MIN(AF$38,$D$19),$P$20))-SUM($P221:AE221)</f>
        <v>#VALUE!</v>
      </c>
      <c r="AG221" s="446" t="e">
        <f>IF(OR($B221="",MIN(AG$38,$D$19)&lt;MAX($P$34*($B221+IF($R$17="Distrato",$I$38-1,0)),IF(AND($L$37=0,$P$34=0),"",$L$37-1),IF($R$17="Distrato",$E221,0))),0,YEARFRAC(MAX($P$34*($B221+IF($R$17="Distrato",$I$38-1,0)),IF(AND($L$37=0,$P$34=0),"",$L$37-1),IF($R$17="Distrato",$E221,0)),MIN(AG$38,$D$19),$P$20))-SUM($P221:AF221)</f>
        <v>#VALUE!</v>
      </c>
      <c r="AH221" s="446" t="e">
        <f>IF(OR($B221="",MIN(AH$38,$D$19)&lt;MAX($P$34*($B221+IF($R$17="Distrato",$I$38-1,0)),IF(AND($L$37=0,$P$34=0),"",$L$37-1),IF($R$17="Distrato",$E221,0))),0,YEARFRAC(MAX($P$34*($B221+IF($R$17="Distrato",$I$38-1,0)),IF(AND($L$37=0,$P$34=0),"",$L$37-1),IF($R$17="Distrato",$E221,0)),MIN(AH$38,$D$19),$P$20))-SUM($P221:AG221)</f>
        <v>#VALUE!</v>
      </c>
      <c r="AI221" s="446" t="e">
        <f>IF(OR($B221="",MIN(AI$38,$D$19)&lt;MAX($P$34*($B221+IF($R$17="Distrato",$I$38-1,0)),IF(AND($L$37=0,$P$34=0),"",$L$37-1),IF($R$17="Distrato",$E221,0))),0,YEARFRAC(MAX($P$34*($B221+IF($R$17="Distrato",$I$38-1,0)),IF(AND($L$37=0,$P$34=0),"",$L$37-1),IF($R$17="Distrato",$E221,0)),MIN(AI$38,$D$19),$P$20))-SUM($P221:AH221)</f>
        <v>#VALUE!</v>
      </c>
      <c r="AJ221" s="446" t="e">
        <f>IF(OR($B221="",MIN(AJ$38,$D$19)&lt;MAX($P$34*($B221+IF($R$17="Distrato",$I$38-1,0)),IF(AND($L$37=0,$P$34=0),"",$L$37-1),IF($R$17="Distrato",$E221,0))),0,YEARFRAC(MAX($P$34*($B221+IF($R$17="Distrato",$I$38-1,0)),IF(AND($L$37=0,$P$34=0),"",$L$37-1),IF($R$17="Distrato",$E221,0)),MIN(AJ$38,$D$19),$P$20))-SUM($P221:AI221)</f>
        <v>#VALUE!</v>
      </c>
      <c r="AK221" s="446" t="e">
        <f>IF(OR($B221="",MIN(AK$38,$D$19)&lt;MAX($P$34*($B221+IF($R$17="Distrato",$I$38-1,0)),IF(AND($L$37=0,$P$34=0),"",$L$37-1),IF($R$17="Distrato",$E221,0))),0,YEARFRAC(MAX($P$34*($B221+IF($R$17="Distrato",$I$38-1,0)),IF(AND($L$37=0,$P$34=0),"",$L$37-1),IF($R$17="Distrato",$E221,0)),MIN(AK$38,$D$19),$P$20))-SUM($P221:AJ221)</f>
        <v>#VALUE!</v>
      </c>
      <c r="AL221" s="446" t="e">
        <f>IF(OR($B221="",MIN(AL$38,$D$19)&lt;MAX($P$34*($B221+IF($R$17="Distrato",$I$38-1,0)),IF(AND($L$37=0,$P$34=0),"",$L$37-1),IF($R$17="Distrato",$E221,0))),0,YEARFRAC(MAX($P$34*($B221+IF($R$17="Distrato",$I$38-1,0)),IF(AND($L$37=0,$P$34=0),"",$L$37-1),IF($R$17="Distrato",$E221,0)),MIN(AL$38,$D$19),$P$20))-SUM($P221:AK221)</f>
        <v>#VALUE!</v>
      </c>
      <c r="AM221" s="446" t="e">
        <f>IF(OR($B221="",MIN(AM$38,$D$19)&lt;MAX($P$34*($B221+IF($R$17="Distrato",$I$38-1,0)),IF(AND($L$37=0,$P$34=0),"",$L$37-1),IF($R$17="Distrato",$E221,0))),0,YEARFRAC(MAX($P$34*($B221+IF($R$17="Distrato",$I$38-1,0)),IF(AND($L$37=0,$P$34=0),"",$L$37-1),IF($R$17="Distrato",$E221,0)),MIN(AM$38,$D$19),$P$20))-SUM($P221:AL221)</f>
        <v>#VALUE!</v>
      </c>
      <c r="AN221" s="446" t="e">
        <f>IF(OR($B221="",MIN(AN$38,$D$19)&lt;MAX($P$34*($B221+IF($R$17="Distrato",$I$38-1,0)),IF(AND($L$37=0,$P$34=0),"",$L$37-1),IF($R$17="Distrato",$E221,0))),0,YEARFRAC(MAX($P$34*($B221+IF($R$17="Distrato",$I$38-1,0)),IF(AND($L$37=0,$P$34=0),"",$L$37-1),IF($R$17="Distrato",$E221,0)),MIN(AN$38,$D$19),$P$20))-SUM($P221:AM221)</f>
        <v>#VALUE!</v>
      </c>
      <c r="AO221" s="446" t="e">
        <f>IF(OR($B221="",MIN(AO$38,$D$19)&lt;MAX($P$34*($B221+IF($R$17="Distrato",$I$38-1,0)),IF(AND($L$37=0,$P$34=0),"",$L$37-1),IF($R$17="Distrato",$E221,0))),0,YEARFRAC(MAX($P$34*($B221+IF($R$17="Distrato",$I$38-1,0)),IF(AND($L$37=0,$P$34=0),"",$L$37-1),IF($R$17="Distrato",$E221,0)),MIN(AO$38,$D$19),$P$20))-SUM($P221:AN221)</f>
        <v>#VALUE!</v>
      </c>
      <c r="AP221" s="446" t="e">
        <f>IF(OR($B221="",MIN(AP$38,$D$19)&lt;MAX($P$34*($B221+IF($R$17="Distrato",$I$38-1,0)),IF(AND($L$37=0,$P$34=0),"",$L$37-1),IF($R$17="Distrato",$E221,0))),0,YEARFRAC(MAX($P$34*($B221+IF($R$17="Distrato",$I$38-1,0)),IF(AND($L$37=0,$P$34=0),"",$L$37-1),IF($R$17="Distrato",$E221,0)),MIN(AP$38,$D$19),$P$20))-SUM($P221:AO221)</f>
        <v>#VALUE!</v>
      </c>
      <c r="AQ221" s="446" t="e">
        <f>IF(OR($B221="",MIN(AQ$38,$D$19)&lt;MAX($P$34*($B221+IF($R$17="Distrato",$I$38-1,0)),IF(AND($L$37=0,$P$34=0),"",$L$37-1),IF($R$17="Distrato",$E221,0))),0,YEARFRAC(MAX($P$34*($B221+IF($R$17="Distrato",$I$38-1,0)),IF(AND($L$37=0,$P$34=0),"",$L$37-1),IF($R$17="Distrato",$E221,0)),MIN(AQ$38,$D$19),$P$20))-SUM($P221:AP221)</f>
        <v>#VALUE!</v>
      </c>
      <c r="AR221" s="446" t="e">
        <f>IF(OR($B221="",MIN(AR$38,$D$19)&lt;MAX($P$34*($B221+IF($R$17="Distrato",$I$38-1,0)),IF(AND($L$37=0,$P$34=0),"",$L$37-1),IF($R$17="Distrato",$E221,0))),0,YEARFRAC(MAX($P$34*($B221+IF($R$17="Distrato",$I$38-1,0)),IF(AND($L$37=0,$P$34=0),"",$L$37-1),IF($R$17="Distrato",$E221,0)),MIN(AR$38,$D$19),$P$20))-SUM($P221:AQ221)</f>
        <v>#VALUE!</v>
      </c>
      <c r="AS221" s="446" t="e">
        <f>IF(OR($B221="",MIN(AS$38,$D$19)&lt;MAX($P$34*($B221+IF($R$17="Distrato",$I$38-1,0)),IF(AND($L$37=0,$P$34=0),"",$L$37-1),IF($R$17="Distrato",$E221,0))),0,YEARFRAC(MAX($P$34*($B221+IF($R$17="Distrato",$I$38-1,0)),IF(AND($L$37=0,$P$34=0),"",$L$37-1),IF($R$17="Distrato",$E221,0)),MIN(AS$38,$D$19),$P$20))-SUM($P221:AR221)</f>
        <v>#VALUE!</v>
      </c>
      <c r="AT221" s="446" t="e">
        <f>IF(OR($B221="",MIN(AT$38,$D$19)&lt;MAX($P$34*($B221+IF($R$17="Distrato",$I$38-1,0)),IF(AND($L$37=0,$P$34=0),"",$L$37-1),IF($R$17="Distrato",$E221,0))),0,YEARFRAC(MAX($P$34*($B221+IF($R$17="Distrato",$I$38-1,0)),IF(AND($L$37=0,$P$34=0),"",$L$37-1),IF($R$17="Distrato",$E221,0)),MIN(AT$38,$D$19),$P$20))-SUM($P221:AS221)</f>
        <v>#VALUE!</v>
      </c>
      <c r="AU221" s="446" t="e">
        <f>IF(OR($B221="",MIN(AU$38,$D$19)&lt;MAX($P$34*($B221+IF($R$17="Distrato",$I$38-1,0)),IF(AND($L$37=0,$P$34=0),"",$L$37-1),IF($R$17="Distrato",$E221,0))),0,YEARFRAC(MAX($P$34*($B221+IF($R$17="Distrato",$I$38-1,0)),IF(AND($L$37=0,$P$34=0),"",$L$37-1),IF($R$17="Distrato",$E221,0)),MIN(AU$38,$D$19),$P$20))-SUM($P221:AT221)</f>
        <v>#VALUE!</v>
      </c>
      <c r="AV221" s="446" t="e">
        <f>IF(OR($B221="",MIN(AV$38,$D$19)&lt;MAX($P$34*($B221+IF($R$17="Distrato",$I$38-1,0)),IF(AND($L$37=0,$P$34=0),"",$L$37-1),IF($R$17="Distrato",$E221,0))),0,YEARFRAC(MAX($P$34*($B221+IF($R$17="Distrato",$I$38-1,0)),IF(AND($L$37=0,$P$34=0),"",$L$37-1),IF($R$17="Distrato",$E221,0)),MIN(AV$38,$D$19),$P$20))-SUM($P221:AU221)</f>
        <v>#VALUE!</v>
      </c>
      <c r="AW221" s="446" t="e">
        <f>IF(OR($B221="",MIN(AW$38,$D$19)&lt;MAX($P$34*($B221+IF($R$17="Distrato",$I$38-1,0)),IF(AND($L$37=0,$P$34=0),"",$L$37-1),IF($R$17="Distrato",$E221,0))),0,YEARFRAC(MAX($P$34*($B221+IF($R$17="Distrato",$I$38-1,0)),IF(AND($L$37=0,$P$34=0),"",$L$37-1),IF($R$17="Distrato",$E221,0)),MIN(AW$38,$D$19),$P$20))-SUM($P221:AV221)</f>
        <v>#VALUE!</v>
      </c>
      <c r="AX221" s="446" t="e">
        <f>IF(OR($B221="",MIN(AX$38,$D$19)&lt;MAX($P$34*($B221+IF($R$17="Distrato",$I$38-1,0)),IF(AND($L$37=0,$P$34=0),"",$L$37-1),IF($R$17="Distrato",$E221,0))),0,YEARFRAC(MAX($P$34*($B221+IF($R$17="Distrato",$I$38-1,0)),IF(AND($L$37=0,$P$34=0),"",$L$37-1),IF($R$17="Distrato",$E221,0)),MIN(AX$38,$D$19),$P$20))-SUM($P221:AW221)</f>
        <v>#VALUE!</v>
      </c>
      <c r="AY221" s="446" t="e">
        <f>IF(OR($B221="",MIN(AY$38,$D$19)&lt;MAX($P$34*($B221+IF($R$17="Distrato",$I$38-1,0)),IF(AND($L$37=0,$P$34=0),"",$L$37-1),IF($R$17="Distrato",$E221,0))),0,YEARFRAC(MAX($P$34*($B221+IF($R$17="Distrato",$I$38-1,0)),IF(AND($L$37=0,$P$34=0),"",$L$37-1),IF($R$17="Distrato",$E221,0)),MIN(AY$38,$D$19),$P$20))-SUM($P221:AX221)</f>
        <v>#VALUE!</v>
      </c>
      <c r="AZ221" s="446" t="e">
        <f>IF(OR($B221="",MIN(AZ$38,$D$19)&lt;MAX($P$34*($B221+IF($R$17="Distrato",$I$38-1,0)),IF(AND($L$37=0,$P$34=0),"",$L$37-1),IF($R$17="Distrato",$E221,0))),0,YEARFRAC(MAX($P$34*($B221+IF($R$17="Distrato",$I$38-1,0)),IF(AND($L$37=0,$P$34=0),"",$L$37-1),IF($R$17="Distrato",$E221,0)),MIN(AZ$38,$D$19),$P$20))-SUM($P221:AY221)</f>
        <v>#VALUE!</v>
      </c>
      <c r="BA221" s="446" t="e">
        <f>IF(OR($B221="",MIN(BA$38,$D$19)&lt;MAX($P$34*($B221+IF($R$17="Distrato",$I$38-1,0)),IF(AND($L$37=0,$P$34=0),"",$L$37-1),IF($R$17="Distrato",$E221,0))),0,YEARFRAC(MAX($P$34*($B221+IF($R$17="Distrato",$I$38-1,0)),IF(AND($L$37=0,$P$34=0),"",$L$37-1),IF($R$17="Distrato",$E221,0)),MIN(BA$38,$D$19),$P$20))-SUM($P221:AZ221)</f>
        <v>#VALUE!</v>
      </c>
      <c r="BB221" s="447"/>
      <c r="BF221" s="446">
        <f t="shared" si="32"/>
        <v>0</v>
      </c>
      <c r="BG221" s="446">
        <f>IF($E221=0,0,IF(MIN(BG$38,$E221)&lt;MAX($P$34*($B221+$I$38-1),IF(AND($L$37=0,$P$34=0),"",$L$37-1)),0,YEARFRAC(MAX($P$34*($B221+$I$38-1),IF(AND($L$37=0,$P$34=0),"",$L$37-1)),MIN(BG$38,$E221),$P$20))-SUM($BF221:BF221))</f>
        <v>0</v>
      </c>
      <c r="BH221" s="446">
        <f>IF($E221=0,0,IF(MIN(BH$38,$E221)&lt;MAX($P$34*($B221+$I$38-1),IF(AND($L$37=0,$P$34=0),"",$L$37-1)),0,YEARFRAC(MAX($P$34*($B221+$I$38-1),IF(AND($L$37=0,$P$34=0),"",$L$37-1)),MIN(BH$38,$E221),$P$20))-SUM($BF221:BG221))</f>
        <v>0</v>
      </c>
      <c r="BI221" s="446">
        <f>IF($E221=0,0,IF(MIN(BI$38,$E221)&lt;MAX($P$34*($B221+$I$38-1),IF(AND($L$37=0,$P$34=0),"",$L$37-1)),0,YEARFRAC(MAX($P$34*($B221+$I$38-1),IF(AND($L$37=0,$P$34=0),"",$L$37-1)),MIN(BI$38,$E221),$P$20))-SUM($BF221:BH221))</f>
        <v>0</v>
      </c>
      <c r="BJ221" s="446">
        <f>IF($E221=0,0,IF(MIN(BJ$38,$E221)&lt;MAX($P$34*($B221+$I$38-1),IF(AND($L$37=0,$P$34=0),"",$L$37-1)),0,YEARFRAC(MAX($P$34*($B221+$I$38-1),IF(AND($L$37=0,$P$34=0),"",$L$37-1)),MIN(BJ$38,$E221),$P$20))-SUM($BF221:BI221))</f>
        <v>0</v>
      </c>
      <c r="BK221" s="446">
        <f>IF($E221=0,0,IF(MIN(BK$38,$E221)&lt;MAX($P$34*($B221+$I$38-1),IF(AND($L$37=0,$P$34=0),"",$L$37-1)),0,YEARFRAC(MAX($P$34*($B221+$I$38-1),IF(AND($L$37=0,$P$34=0),"",$L$37-1)),MIN(BK$38,$E221),$P$20))-SUM($BF221:BJ221))</f>
        <v>0</v>
      </c>
      <c r="BL221" s="446">
        <f>IF($E221=0,0,IF(MIN(BL$38,$E221)&lt;MAX($P$34*($B221+$I$38-1),IF(AND($L$37=0,$P$34=0),"",$L$37-1)),0,YEARFRAC(MAX($P$34*($B221+$I$38-1),IF(AND($L$37=0,$P$34=0),"",$L$37-1)),MIN(BL$38,$E221),$P$20))-SUM($BF221:BK221))</f>
        <v>0</v>
      </c>
      <c r="BM221" s="446">
        <f>IF($E221=0,0,IF(MIN(BM$38,$E221)&lt;MAX($P$34*($B221+$I$38-1),IF(AND($L$37=0,$P$34=0),"",$L$37-1)),0,YEARFRAC(MAX($P$34*($B221+$I$38-1),IF(AND($L$37=0,$P$34=0),"",$L$37-1)),MIN(BM$38,$E221),$P$20))-SUM($BF221:BL221))</f>
        <v>0</v>
      </c>
      <c r="BN221" s="446">
        <f>IF($E221=0,0,IF(MIN(BN$38,$E221)&lt;MAX($P$34*($B221+$I$38-1),IF(AND($L$37=0,$P$34=0),"",$L$37-1)),0,YEARFRAC(MAX($P$34*($B221+$I$38-1),IF(AND($L$37=0,$P$34=0),"",$L$37-1)),MIN(BN$38,$E221),$P$20))-SUM($BF221:BM221))</f>
        <v>0</v>
      </c>
      <c r="BO221" s="446">
        <f>IF($E221=0,0,IF(MIN(BO$38,$E221)&lt;MAX($P$34*($B221+$I$38-1),IF(AND($L$37=0,$P$34=0),"",$L$37-1)),0,YEARFRAC(MAX($P$34*($B221+$I$38-1),IF(AND($L$37=0,$P$34=0),"",$L$37-1)),MIN(BO$38,$E221),$P$20))-SUM($BF221:BN221))</f>
        <v>0</v>
      </c>
      <c r="BP221" s="446">
        <f>IF($E221=0,0,IF(MIN(BP$38,$E221)&lt;MAX($P$34*($B221+$I$38-1),IF(AND($L$37=0,$P$34=0),"",$L$37-1)),0,YEARFRAC(MAX($P$34*($B221+$I$38-1),IF(AND($L$37=0,$P$34=0),"",$L$37-1)),MIN(BP$38,$E221),$P$20))-SUM($BF221:BO221))</f>
        <v>0</v>
      </c>
      <c r="BQ221" s="446">
        <f>IF($E221=0,0,IF(MIN(BQ$38,$E221)&lt;MAX($P$34*($B221+$I$38-1),IF(AND($L$37=0,$P$34=0),"",$L$37-1)),0,YEARFRAC(MAX($P$34*($B221+$I$38-1),IF(AND($L$37=0,$P$34=0),"",$L$37-1)),MIN(BQ$38,$E221),$P$20))-SUM($BF221:BP221))</f>
        <v>0</v>
      </c>
      <c r="BR221" s="446">
        <f>IF($E221=0,0,IF(MIN(BR$38,$E221)&lt;MAX($P$34*($B221+$I$38-1),IF(AND($L$37=0,$P$34=0),"",$L$37-1)),0,YEARFRAC(MAX($P$34*($B221+$I$38-1),IF(AND($L$37=0,$P$34=0),"",$L$37-1)),MIN(BR$38,$E221),$P$20))-SUM($BF221:BQ221))</f>
        <v>0</v>
      </c>
      <c r="BS221" s="446">
        <f>IF($E221=0,0,IF(MIN(BS$38,$E221)&lt;MAX($P$34*($B221+$I$38-1),IF(AND($L$37=0,$P$34=0),"",$L$37-1)),0,YEARFRAC(MAX($P$34*($B221+$I$38-1),IF(AND($L$37=0,$P$34=0),"",$L$37-1)),MIN(BS$38,$E221),$P$20))-SUM($BF221:BR221))</f>
        <v>0</v>
      </c>
      <c r="BT221" s="446">
        <f>IF($E221=0,0,IF(MIN(BT$38,$E221)&lt;MAX($P$34*($B221+$I$38-1),IF(AND($L$37=0,$P$34=0),"",$L$37-1)),0,YEARFRAC(MAX($P$34*($B221+$I$38-1),IF(AND($L$37=0,$P$34=0),"",$L$37-1)),MIN(BT$38,$E221),$P$20))-SUM($BF221:BS221))</f>
        <v>0</v>
      </c>
      <c r="BU221" s="446">
        <f>IF($E221=0,0,IF(MIN(BU$38,$E221)&lt;MAX($P$34*($B221+$I$38-1),IF(AND($L$37=0,$P$34=0),"",$L$37-1)),0,YEARFRAC(MAX($P$34*($B221+$I$38-1),IF(AND($L$37=0,$P$34=0),"",$L$37-1)),MIN(BU$38,$E221),$P$20))-SUM($BF221:BT221))</f>
        <v>0</v>
      </c>
      <c r="BV221" s="446">
        <f>IF($E221=0,0,IF(MIN(BV$38,$E221)&lt;MAX($P$34*($B221+$I$38-1),IF(AND($L$37=0,$P$34=0),"",$L$37-1)),0,YEARFRAC(MAX($P$34*($B221+$I$38-1),IF(AND($L$37=0,$P$34=0),"",$L$37-1)),MIN(BV$38,$E221),$P$20))-SUM($BF221:BU221))</f>
        <v>0</v>
      </c>
      <c r="BW221" s="446">
        <f>IF($E221=0,0,IF(MIN(BW$38,$E221)&lt;MAX($P$34*($B221+$I$38-1),IF(AND($L$37=0,$P$34=0),"",$L$37-1)),0,YEARFRAC(MAX($P$34*($B221+$I$38-1),IF(AND($L$37=0,$P$34=0),"",$L$37-1)),MIN(BW$38,$E221),$P$20))-SUM($BF221:BV221))</f>
        <v>0</v>
      </c>
      <c r="BX221" s="446">
        <f>IF($E221=0,0,IF(MIN(BX$38,$E221)&lt;MAX($P$34*($B221+$I$38-1),IF(AND($L$37=0,$P$34=0),"",$L$37-1)),0,YEARFRAC(MAX($P$34*($B221+$I$38-1),IF(AND($L$37=0,$P$34=0),"",$L$37-1)),MIN(BX$38,$E221),$P$20))-SUM($BF221:BW221))</f>
        <v>0</v>
      </c>
      <c r="BY221" s="446">
        <f>IF($E221=0,0,IF(MIN(BY$38,$E221)&lt;MAX($P$34*($B221+$I$38-1),IF(AND($L$37=0,$P$34=0),"",$L$37-1)),0,YEARFRAC(MAX($P$34*($B221+$I$38-1),IF(AND($L$37=0,$P$34=0),"",$L$37-1)),MIN(BY$38,$E221),$P$20))-SUM($BF221:BX221))</f>
        <v>0</v>
      </c>
      <c r="BZ221" s="446">
        <f>IF($E221=0,0,IF(MIN(BZ$38,$E221)&lt;MAX($P$34*($B221+$I$38-1),IF(AND($L$37=0,$P$34=0),"",$L$37-1)),0,YEARFRAC(MAX($P$34*($B221+$I$38-1),IF(AND($L$37=0,$P$34=0),"",$L$37-1)),MIN(BZ$38,$E221),$P$20))-SUM($BF221:BY221))</f>
        <v>0</v>
      </c>
      <c r="CA221" s="446">
        <f>IF($E221=0,0,IF(MIN(CA$38,$E221)&lt;MAX($P$34*($B221+$I$38-1),IF(AND($L$37=0,$P$34=0),"",$L$37-1)),0,YEARFRAC(MAX($P$34*($B221+$I$38-1),IF(AND($L$37=0,$P$34=0),"",$L$37-1)),MIN(CA$38,$E221),$P$20))-SUM($BF221:BZ221))</f>
        <v>0</v>
      </c>
      <c r="CB221" s="446">
        <f>IF($E221=0,0,IF(MIN(CB$38,$E221)&lt;MAX($P$34*($B221+$I$38-1),IF(AND($L$37=0,$P$34=0),"",$L$37-1)),0,YEARFRAC(MAX($P$34*($B221+$I$38-1),IF(AND($L$37=0,$P$34=0),"",$L$37-1)),MIN(CB$38,$E221),$P$20))-SUM($BF221:CA221))</f>
        <v>0</v>
      </c>
      <c r="CC221" s="446">
        <f>IF($E221=0,0,IF(MIN(CC$38,$E221)&lt;MAX($P$34*($B221+$I$38-1),IF(AND($L$37=0,$P$34=0),"",$L$37-1)),0,YEARFRAC(MAX($P$34*($B221+$I$38-1),IF(AND($L$37=0,$P$34=0),"",$L$37-1)),MIN(CC$38,$E221),$P$20))-SUM($BF221:CB221))</f>
        <v>0</v>
      </c>
      <c r="CD221" s="446">
        <f>IF($E221=0,0,IF(MIN(CD$38,$E221)&lt;MAX($P$34*($B221+$I$38-1),IF(AND($L$37=0,$P$34=0),"",$L$37-1)),0,YEARFRAC(MAX($P$34*($B221+$I$38-1),IF(AND($L$37=0,$P$34=0),"",$L$37-1)),MIN(CD$38,$E221),$P$20))-SUM($BF221:CC221))</f>
        <v>0</v>
      </c>
      <c r="CE221" s="446">
        <f>IF($E221=0,0,IF(MIN(CE$38,$E221)&lt;MAX($P$34*($B221+$I$38-1),IF(AND($L$37=0,$P$34=0),"",$L$37-1)),0,YEARFRAC(MAX($P$34*($B221+$I$38-1),IF(AND($L$37=0,$P$34=0),"",$L$37-1)),MIN(CE$38,$E221),$P$20))-SUM($BF221:CD221))</f>
        <v>0</v>
      </c>
      <c r="CF221" s="446">
        <f>IF($E221=0,0,IF(MIN(CF$38,$E221)&lt;MAX($P$34*($B221+$I$38-1),IF(AND($L$37=0,$P$34=0),"",$L$37-1)),0,YEARFRAC(MAX($P$34*($B221+$I$38-1),IF(AND($L$37=0,$P$34=0),"",$L$37-1)),MIN(CF$38,$E221),$P$20))-SUM($BF221:CE221))</f>
        <v>0</v>
      </c>
      <c r="CG221" s="446">
        <f>IF($E221=0,0,IF(MIN(CG$38,$E221)&lt;MAX($P$34*($B221+$I$38-1),IF(AND($L$37=0,$P$34=0),"",$L$37-1)),0,YEARFRAC(MAX($P$34*($B221+$I$38-1),IF(AND($L$37=0,$P$34=0),"",$L$37-1)),MIN(CG$38,$E221),$P$20))-SUM($BF221:CF221))</f>
        <v>0</v>
      </c>
      <c r="CH221" s="446">
        <f>IF($E221=0,0,IF(MIN(CH$38,$E221)&lt;MAX($P$34*($B221+$I$38-1),IF(AND($L$37=0,$P$34=0),"",$L$37-1)),0,YEARFRAC(MAX($P$34*($B221+$I$38-1),IF(AND($L$37=0,$P$34=0),"",$L$37-1)),MIN(CH$38,$E221),$P$20))-SUM($BF221:CG221))</f>
        <v>0</v>
      </c>
      <c r="CI221" s="446">
        <f>IF($E221=0,0,IF(MIN(CI$38,$E221)&lt;MAX($P$34*($B221+$I$38-1),IF(AND($L$37=0,$P$34=0),"",$L$37-1)),0,YEARFRAC(MAX($P$34*($B221+$I$38-1),IF(AND($L$37=0,$P$34=0),"",$L$37-1)),MIN(CI$38,$E221),$P$20))-SUM($BF221:CH221))</f>
        <v>0</v>
      </c>
      <c r="CJ221" s="446">
        <f>IF($E221=0,0,IF(MIN(CJ$38,$E221)&lt;MAX($P$34*($B221+$I$38-1),IF(AND($L$37=0,$P$34=0),"",$L$37-1)),0,YEARFRAC(MAX($P$34*($B221+$I$38-1),IF(AND($L$37=0,$P$34=0),"",$L$37-1)),MIN(CJ$38,$E221),$P$20))-SUM($BF221:CI221))</f>
        <v>0</v>
      </c>
      <c r="CK221" s="446">
        <f>IF($E221=0,0,IF(MIN(CK$38,$E221)&lt;MAX($P$34*($B221+$I$38-1),IF(AND($L$37=0,$P$34=0),"",$L$37-1)),0,YEARFRAC(MAX($P$34*($B221+$I$38-1),IF(AND($L$37=0,$P$34=0),"",$L$37-1)),MIN(CK$38,$E221),$P$20))-SUM($BF221:CJ221))</f>
        <v>0</v>
      </c>
      <c r="CL221" s="446">
        <f>IF($E221=0,0,IF(MIN(CL$38,$E221)&lt;MAX($P$34*($B221+$I$38-1),IF(AND($L$37=0,$P$34=0),"",$L$37-1)),0,YEARFRAC(MAX($P$34*($B221+$I$38-1),IF(AND($L$37=0,$P$34=0),"",$L$37-1)),MIN(CL$38,$E221),$P$20))-SUM($BF221:CK221))</f>
        <v>0</v>
      </c>
      <c r="CM221" s="446">
        <f>IF($E221=0,0,IF(MIN(CM$38,$E221)&lt;MAX($P$34*($B221+$I$38-1),IF(AND($L$37=0,$P$34=0),"",$L$37-1)),0,YEARFRAC(MAX($P$34*($B221+$I$38-1),IF(AND($L$37=0,$P$34=0),"",$L$37-1)),MIN(CM$38,$E221),$P$20))-SUM($BF221:CL221))</f>
        <v>0</v>
      </c>
      <c r="CN221" s="446">
        <f>IF($E221=0,0,IF(MIN(CN$38,$E221)&lt;MAX($P$34*($B221+$I$38-1),IF(AND($L$37=0,$P$34=0),"",$L$37-1)),0,YEARFRAC(MAX($P$34*($B221+$I$38-1),IF(AND($L$37=0,$P$34=0),"",$L$37-1)),MIN(CN$38,$E221),$P$20))-SUM($BF221:CM221))</f>
        <v>0</v>
      </c>
      <c r="CO221" s="446">
        <f>IF($E221=0,0,IF(MIN(CO$38,$E221)&lt;MAX($P$34*($B221+$I$38-1),IF(AND($L$37=0,$P$34=0),"",$L$37-1)),0,YEARFRAC(MAX($P$34*($B221+$I$38-1),IF(AND($L$37=0,$P$34=0),"",$L$37-1)),MIN(CO$38,$E221),$P$20))-SUM($BF221:CN221))</f>
        <v>0</v>
      </c>
      <c r="CP221" s="446">
        <f>IF($E221=0,0,IF(MIN(CP$38,$E221)&lt;MAX($P$34*($B221+$I$38-1),IF(AND($L$37=0,$P$34=0),"",$L$37-1)),0,YEARFRAC(MAX($P$34*($B221+$I$38-1),IF(AND($L$37=0,$P$34=0),"",$L$37-1)),MIN(CP$38,$E221),$P$20))-SUM($BF221:CO221))</f>
        <v>0</v>
      </c>
      <c r="CQ221" s="446">
        <f>IF($E221=0,0,IF(MIN(CQ$38,$E221)&lt;MAX($P$34*($B221+$I$38-1),IF(AND($L$37=0,$P$34=0),"",$L$37-1)),0,YEARFRAC(MAX($P$34*($B221+$I$38-1),IF(AND($L$37=0,$P$34=0),"",$L$37-1)),MIN(CQ$38,$E221),$P$20))-SUM($BF221:CP221))</f>
        <v>0</v>
      </c>
    </row>
    <row r="222" spans="1:95" s="446" customFormat="1" ht="11.25" hidden="1" customHeight="1" x14ac:dyDescent="0.2">
      <c r="A222" s="152"/>
      <c r="B222" s="153" t="str">
        <f t="shared" si="37"/>
        <v/>
      </c>
      <c r="C222" s="29" t="str">
        <f>IF(B222="","",IF($L$35="SELIC - TRIBUTOS",VLOOKUP(DATE(YEAR($D$19),MONTH($D$19)-1,1),ÍNDICES!$A:$DE,HLOOKUP($BL$25,ÍNDICES!$B$3:$T$4,2)+11)-VLOOKUP(B222,ÍNDICES!$A:$DE,HLOOKUP($BL$25,ÍNDICES!$B$3:$T$4,2)+11)+1%,IF(C$38=$W$26,$J$35,IF(ISERROR(IF(B222&gt;$D$19,1,VLOOKUP(DATE(YEAR(B222),MONTH(B222)+IF($C$35=$S$23,1,0),1),ÍNDICES!$A:$DE,$Z$35+1))),"",IF(B222&gt;$D$19,1,VLOOKUP(DATE(YEAR(B222),MONTH(B222)+IF($C$35=$S$23,1,0),1),ÍNDICES!$A:$DE,$Z$35+1))))))</f>
        <v/>
      </c>
      <c r="D222" s="154" t="str">
        <f>IF(ISERROR(IF(OR($D$38=$Y$27,$B222=""),"",VLOOKUP(B222,ÍNDICES!A:DE,AF$35+1))),"",IF(OR($D$38=$Y$27,$B222=""),"",VLOOKUP(B222,ÍNDICES!A:DE,AF$35+1)))</f>
        <v/>
      </c>
      <c r="E222" s="153"/>
      <c r="F222" s="29" t="str">
        <f>IF(E222="","",IF($L$35="SELIC - TRIBUTOS",VLOOKUP(DATE(YEAR($D$19),MONTH($D$19)-1,1),ÍNDICES!$A:$DE,HLOOKUP($BL$25,ÍNDICES!$B$3:$T$4,2)+11)-VLOOKUP(E222,ÍNDICES!$A:$DE,HLOOKUP($BL$25,ÍNDICES!$B$3:$T$4,2)+11)+1%,IF(F$38=$W$26,$J$35,IF(ISERROR(IF(E222&gt;$D$19,1,VLOOKUP(DATE(YEAR(E222),MONTH(E222)+IF($C$35=$S$23,1,0),1),ÍNDICES!$A:$DE,$Z$35+1))),"",IF(E222&gt;$D$19,1,VLOOKUP(DATE(YEAR(E222),MONTH(E222)+IF($C$35=$S$23,1,0),1),ÍNDICES!$A:$DE,$Z$35+1))))))</f>
        <v/>
      </c>
      <c r="G222" s="155"/>
      <c r="H222" s="156" t="str">
        <f t="shared" si="33"/>
        <v/>
      </c>
      <c r="I222" s="29" t="str">
        <f t="shared" si="27"/>
        <v/>
      </c>
      <c r="J222" s="5">
        <f t="shared" si="28"/>
        <v>0</v>
      </c>
      <c r="K222" s="20">
        <f t="shared" ca="1" si="29"/>
        <v>0</v>
      </c>
      <c r="L222" s="5">
        <f t="shared" ca="1" si="30"/>
        <v>0</v>
      </c>
      <c r="M222" s="64">
        <f t="shared" si="34"/>
        <v>0</v>
      </c>
      <c r="N222" s="61">
        <f t="shared" ca="1" si="35"/>
        <v>0</v>
      </c>
      <c r="O222" s="5">
        <f t="shared" ca="1" si="36"/>
        <v>0</v>
      </c>
      <c r="P222" s="446" t="e">
        <f t="shared" si="31"/>
        <v>#VALUE!</v>
      </c>
      <c r="Q222" s="446" t="e">
        <f>IF(OR($B222="",MIN(Q$38,$D$19)&lt;MAX($P$34*($B222+IF($R$17="Distrato",$I$38-1,0)),IF(AND($L$37=0,$P$34=0),"",$L$37-1),IF($R$17="Distrato",$E222,0))),0,YEARFRAC(MAX($P$34*($B222+IF($R$17="Distrato",$I$38-1,0)),IF(AND($L$37=0,$P$34=0),"",$L$37-1),IF($R$17="Distrato",$E222,0)),MIN(Q$38,$D$19),$P$20))-SUM($P222:P222)</f>
        <v>#VALUE!</v>
      </c>
      <c r="R222" s="446" t="e">
        <f>IF(OR($B222="",MIN(R$38,$D$19)&lt;MAX($P$34*($B222+IF($R$17="Distrato",$I$38-1,0)),IF(AND($L$37=0,$P$34=0),"",$L$37-1),IF($R$17="Distrato",$E222,0))),0,YEARFRAC(MAX($P$34*($B222+IF($R$17="Distrato",$I$38-1,0)),IF(AND($L$37=0,$P$34=0),"",$L$37-1),IF($R$17="Distrato",$E222,0)),MIN(R$38,$D$19),$P$20))-SUM($P222:Q222)</f>
        <v>#VALUE!</v>
      </c>
      <c r="S222" s="446" t="e">
        <f>IF(OR($B222="",MIN(S$38,$D$19)&lt;MAX($P$34*($B222+IF($R$17="Distrato",$I$38-1,0)),IF(AND($L$37=0,$P$34=0),"",$L$37-1),IF($R$17="Distrato",$E222,0))),0,YEARFRAC(MAX($P$34*($B222+IF($R$17="Distrato",$I$38-1,0)),IF(AND($L$37=0,$P$34=0),"",$L$37-1),IF($R$17="Distrato",$E222,0)),MIN(S$38,$D$19),$P$20))-SUM($P222:R222)</f>
        <v>#VALUE!</v>
      </c>
      <c r="T222" s="446" t="e">
        <f>IF(OR($B222="",MIN(T$38,$D$19)&lt;MAX($P$34*($B222+IF($R$17="Distrato",$I$38-1,0)),IF(AND($L$37=0,$P$34=0),"",$L$37-1),IF($R$17="Distrato",$E222,0))),0,YEARFRAC(MAX($P$34*($B222+IF($R$17="Distrato",$I$38-1,0)),IF(AND($L$37=0,$P$34=0),"",$L$37-1),IF($R$17="Distrato",$E222,0)),MIN(T$38,$D$19),$P$20))-SUM($P222:S222)</f>
        <v>#VALUE!</v>
      </c>
      <c r="U222" s="446" t="e">
        <f>IF(OR($B222="",MIN(U$38,$D$19)&lt;MAX($P$34*($B222+IF($R$17="Distrato",$I$38-1,0)),IF(AND($L$37=0,$P$34=0),"",$L$37-1),IF($R$17="Distrato",$E222,0))),0,YEARFRAC(MAX($P$34*($B222+IF($R$17="Distrato",$I$38-1,0)),IF(AND($L$37=0,$P$34=0),"",$L$37-1),IF($R$17="Distrato",$E222,0)),MIN(U$38,$D$19),$P$20))-SUM($P222:T222)</f>
        <v>#VALUE!</v>
      </c>
      <c r="V222" s="446" t="e">
        <f>IF(OR($B222="",MIN(V$38,$D$19)&lt;MAX($P$34*($B222+IF($R$17="Distrato",$I$38-1,0)),IF(AND($L$37=0,$P$34=0),"",$L$37-1),IF($R$17="Distrato",$E222,0))),0,YEARFRAC(MAX($P$34*($B222+IF($R$17="Distrato",$I$38-1,0)),IF(AND($L$37=0,$P$34=0),"",$L$37-1),IF($R$17="Distrato",$E222,0)),MIN(V$38,$D$19),$P$20))-SUM($P222:U222)</f>
        <v>#VALUE!</v>
      </c>
      <c r="W222" s="446" t="e">
        <f>IF(OR($B222="",MIN(W$38,$D$19)&lt;MAX($P$34*($B222+IF($R$17="Distrato",$I$38-1,0)),IF(AND($L$37=0,$P$34=0),"",$L$37-1),IF($R$17="Distrato",$E222,0))),0,YEARFRAC(MAX($P$34*($B222+IF($R$17="Distrato",$I$38-1,0)),IF(AND($L$37=0,$P$34=0),"",$L$37-1),IF($R$17="Distrato",$E222,0)),MIN(W$38,$D$19),$P$20))-SUM($P222:V222)</f>
        <v>#VALUE!</v>
      </c>
      <c r="X222" s="446" t="e">
        <f>IF(OR($B222="",MIN(X$38,$D$19)&lt;MAX($P$34*($B222+IF($R$17="Distrato",$I$38-1,0)),IF(AND($L$37=0,$P$34=0),"",$L$37-1),IF($R$17="Distrato",$E222,0))),0,YEARFRAC(MAX($P$34*($B222+IF($R$17="Distrato",$I$38-1,0)),IF(AND($L$37=0,$P$34=0),"",$L$37-1),IF($R$17="Distrato",$E222,0)),MIN(X$38,$D$19),$P$20))-SUM($P222:W222)</f>
        <v>#VALUE!</v>
      </c>
      <c r="Y222" s="446" t="e">
        <f>IF(OR($B222="",MIN(Y$38,$D$19)&lt;MAX($P$34*($B222+IF($R$17="Distrato",$I$38-1,0)),IF(AND($L$37=0,$P$34=0),"",$L$37-1),IF($R$17="Distrato",$E222,0))),0,YEARFRAC(MAX($P$34*($B222+IF($R$17="Distrato",$I$38-1,0)),IF(AND($L$37=0,$P$34=0),"",$L$37-1),IF($R$17="Distrato",$E222,0)),MIN(Y$38,$D$19),$P$20))-SUM($P222:X222)</f>
        <v>#VALUE!</v>
      </c>
      <c r="Z222" s="446" t="e">
        <f>IF(OR($B222="",MIN(Z$38,$D$19)&lt;MAX($P$34*($B222+IF($R$17="Distrato",$I$38-1,0)),IF(AND($L$37=0,$P$34=0),"",$L$37-1),IF($R$17="Distrato",$E222,0))),0,YEARFRAC(MAX($P$34*($B222+IF($R$17="Distrato",$I$38-1,0)),IF(AND($L$37=0,$P$34=0),"",$L$37-1),IF($R$17="Distrato",$E222,0)),MIN(Z$38,$D$19),$P$20))-SUM($P222:Y222)</f>
        <v>#VALUE!</v>
      </c>
      <c r="AA222" s="446" t="e">
        <f>IF(OR($B222="",MIN(AA$38,$D$19)&lt;MAX($P$34*($B222+IF($R$17="Distrato",$I$38-1,0)),IF(AND($L$37=0,$P$34=0),"",$L$37-1),IF($R$17="Distrato",$E222,0))),0,YEARFRAC(MAX($P$34*($B222+IF($R$17="Distrato",$I$38-1,0)),IF(AND($L$37=0,$P$34=0),"",$L$37-1),IF($R$17="Distrato",$E222,0)),MIN(AA$38,$D$19),$P$20))-SUM($P222:Z222)</f>
        <v>#VALUE!</v>
      </c>
      <c r="AB222" s="446" t="e">
        <f>IF(OR($B222="",MIN(AB$38,$D$19)&lt;MAX($P$34*($B222+IF($R$17="Distrato",$I$38-1,0)),IF(AND($L$37=0,$P$34=0),"",$L$37-1),IF($R$17="Distrato",$E222,0))),0,YEARFRAC(MAX($P$34*($B222+IF($R$17="Distrato",$I$38-1,0)),IF(AND($L$37=0,$P$34=0),"",$L$37-1),IF($R$17="Distrato",$E222,0)),MIN(AB$38,$D$19),$P$20))-SUM($P222:AA222)</f>
        <v>#VALUE!</v>
      </c>
      <c r="AC222" s="446" t="e">
        <f>IF(OR($B222="",MIN(AC$38,$D$19)&lt;MAX($P$34*($B222+IF($R$17="Distrato",$I$38-1,0)),IF(AND($L$37=0,$P$34=0),"",$L$37-1),IF($R$17="Distrato",$E222,0))),0,YEARFRAC(MAX($P$34*($B222+IF($R$17="Distrato",$I$38-1,0)),IF(AND($L$37=0,$P$34=0),"",$L$37-1),IF($R$17="Distrato",$E222,0)),MIN(AC$38,$D$19),$P$20))-SUM($P222:AB222)</f>
        <v>#VALUE!</v>
      </c>
      <c r="AD222" s="446" t="e">
        <f>IF(OR($B222="",MIN(AD$38,$D$19)&lt;MAX($P$34*($B222+IF($R$17="Distrato",$I$38-1,0)),IF(AND($L$37=0,$P$34=0),"",$L$37-1),IF($R$17="Distrato",$E222,0))),0,YEARFRAC(MAX($P$34*($B222+IF($R$17="Distrato",$I$38-1,0)),IF(AND($L$37=0,$P$34=0),"",$L$37-1),IF($R$17="Distrato",$E222,0)),MIN(AD$38,$D$19),$P$20))-SUM($P222:AC222)</f>
        <v>#VALUE!</v>
      </c>
      <c r="AE222" s="446" t="e">
        <f>IF(OR($B222="",MIN(AE$38,$D$19)&lt;MAX($P$34*($B222+IF($R$17="Distrato",$I$38-1,0)),IF(AND($L$37=0,$P$34=0),"",$L$37-1),IF($R$17="Distrato",$E222,0))),0,YEARFRAC(MAX($P$34*($B222+IF($R$17="Distrato",$I$38-1,0)),IF(AND($L$37=0,$P$34=0),"",$L$37-1),IF($R$17="Distrato",$E222,0)),MIN(AE$38,$D$19),$P$20))-SUM($P222:AD222)</f>
        <v>#VALUE!</v>
      </c>
      <c r="AF222" s="446" t="e">
        <f>IF(OR($B222="",MIN(AF$38,$D$19)&lt;MAX($P$34*($B222+IF($R$17="Distrato",$I$38-1,0)),IF(AND($L$37=0,$P$34=0),"",$L$37-1),IF($R$17="Distrato",$E222,0))),0,YEARFRAC(MAX($P$34*($B222+IF($R$17="Distrato",$I$38-1,0)),IF(AND($L$37=0,$P$34=0),"",$L$37-1),IF($R$17="Distrato",$E222,0)),MIN(AF$38,$D$19),$P$20))-SUM($P222:AE222)</f>
        <v>#VALUE!</v>
      </c>
      <c r="AG222" s="446" t="e">
        <f>IF(OR($B222="",MIN(AG$38,$D$19)&lt;MAX($P$34*($B222+IF($R$17="Distrato",$I$38-1,0)),IF(AND($L$37=0,$P$34=0),"",$L$37-1),IF($R$17="Distrato",$E222,0))),0,YEARFRAC(MAX($P$34*($B222+IF($R$17="Distrato",$I$38-1,0)),IF(AND($L$37=0,$P$34=0),"",$L$37-1),IF($R$17="Distrato",$E222,0)),MIN(AG$38,$D$19),$P$20))-SUM($P222:AF222)</f>
        <v>#VALUE!</v>
      </c>
      <c r="AH222" s="446" t="e">
        <f>IF(OR($B222="",MIN(AH$38,$D$19)&lt;MAX($P$34*($B222+IF($R$17="Distrato",$I$38-1,0)),IF(AND($L$37=0,$P$34=0),"",$L$37-1),IF($R$17="Distrato",$E222,0))),0,YEARFRAC(MAX($P$34*($B222+IF($R$17="Distrato",$I$38-1,0)),IF(AND($L$37=0,$P$34=0),"",$L$37-1),IF($R$17="Distrato",$E222,0)),MIN(AH$38,$D$19),$P$20))-SUM($P222:AG222)</f>
        <v>#VALUE!</v>
      </c>
      <c r="AI222" s="446" t="e">
        <f>IF(OR($B222="",MIN(AI$38,$D$19)&lt;MAX($P$34*($B222+IF($R$17="Distrato",$I$38-1,0)),IF(AND($L$37=0,$P$34=0),"",$L$37-1),IF($R$17="Distrato",$E222,0))),0,YEARFRAC(MAX($P$34*($B222+IF($R$17="Distrato",$I$38-1,0)),IF(AND($L$37=0,$P$34=0),"",$L$37-1),IF($R$17="Distrato",$E222,0)),MIN(AI$38,$D$19),$P$20))-SUM($P222:AH222)</f>
        <v>#VALUE!</v>
      </c>
      <c r="AJ222" s="446" t="e">
        <f>IF(OR($B222="",MIN(AJ$38,$D$19)&lt;MAX($P$34*($B222+IF($R$17="Distrato",$I$38-1,0)),IF(AND($L$37=0,$P$34=0),"",$L$37-1),IF($R$17="Distrato",$E222,0))),0,YEARFRAC(MAX($P$34*($B222+IF($R$17="Distrato",$I$38-1,0)),IF(AND($L$37=0,$P$34=0),"",$L$37-1),IF($R$17="Distrato",$E222,0)),MIN(AJ$38,$D$19),$P$20))-SUM($P222:AI222)</f>
        <v>#VALUE!</v>
      </c>
      <c r="AK222" s="446" t="e">
        <f>IF(OR($B222="",MIN(AK$38,$D$19)&lt;MAX($P$34*($B222+IF($R$17="Distrato",$I$38-1,0)),IF(AND($L$37=0,$P$34=0),"",$L$37-1),IF($R$17="Distrato",$E222,0))),0,YEARFRAC(MAX($P$34*($B222+IF($R$17="Distrato",$I$38-1,0)),IF(AND($L$37=0,$P$34=0),"",$L$37-1),IF($R$17="Distrato",$E222,0)),MIN(AK$38,$D$19),$P$20))-SUM($P222:AJ222)</f>
        <v>#VALUE!</v>
      </c>
      <c r="AL222" s="446" t="e">
        <f>IF(OR($B222="",MIN(AL$38,$D$19)&lt;MAX($P$34*($B222+IF($R$17="Distrato",$I$38-1,0)),IF(AND($L$37=0,$P$34=0),"",$L$37-1),IF($R$17="Distrato",$E222,0))),0,YEARFRAC(MAX($P$34*($B222+IF($R$17="Distrato",$I$38-1,0)),IF(AND($L$37=0,$P$34=0),"",$L$37-1),IF($R$17="Distrato",$E222,0)),MIN(AL$38,$D$19),$P$20))-SUM($P222:AK222)</f>
        <v>#VALUE!</v>
      </c>
      <c r="AM222" s="446" t="e">
        <f>IF(OR($B222="",MIN(AM$38,$D$19)&lt;MAX($P$34*($B222+IF($R$17="Distrato",$I$38-1,0)),IF(AND($L$37=0,$P$34=0),"",$L$37-1),IF($R$17="Distrato",$E222,0))),0,YEARFRAC(MAX($P$34*($B222+IF($R$17="Distrato",$I$38-1,0)),IF(AND($L$37=0,$P$34=0),"",$L$37-1),IF($R$17="Distrato",$E222,0)),MIN(AM$38,$D$19),$P$20))-SUM($P222:AL222)</f>
        <v>#VALUE!</v>
      </c>
      <c r="AN222" s="446" t="e">
        <f>IF(OR($B222="",MIN(AN$38,$D$19)&lt;MAX($P$34*($B222+IF($R$17="Distrato",$I$38-1,0)),IF(AND($L$37=0,$P$34=0),"",$L$37-1),IF($R$17="Distrato",$E222,0))),0,YEARFRAC(MAX($P$34*($B222+IF($R$17="Distrato",$I$38-1,0)),IF(AND($L$37=0,$P$34=0),"",$L$37-1),IF($R$17="Distrato",$E222,0)),MIN(AN$38,$D$19),$P$20))-SUM($P222:AM222)</f>
        <v>#VALUE!</v>
      </c>
      <c r="AO222" s="446" t="e">
        <f>IF(OR($B222="",MIN(AO$38,$D$19)&lt;MAX($P$34*($B222+IF($R$17="Distrato",$I$38-1,0)),IF(AND($L$37=0,$P$34=0),"",$L$37-1),IF($R$17="Distrato",$E222,0))),0,YEARFRAC(MAX($P$34*($B222+IF($R$17="Distrato",$I$38-1,0)),IF(AND($L$37=0,$P$34=0),"",$L$37-1),IF($R$17="Distrato",$E222,0)),MIN(AO$38,$D$19),$P$20))-SUM($P222:AN222)</f>
        <v>#VALUE!</v>
      </c>
      <c r="AP222" s="446" t="e">
        <f>IF(OR($B222="",MIN(AP$38,$D$19)&lt;MAX($P$34*($B222+IF($R$17="Distrato",$I$38-1,0)),IF(AND($L$37=0,$P$34=0),"",$L$37-1),IF($R$17="Distrato",$E222,0))),0,YEARFRAC(MAX($P$34*($B222+IF($R$17="Distrato",$I$38-1,0)),IF(AND($L$37=0,$P$34=0),"",$L$37-1),IF($R$17="Distrato",$E222,0)),MIN(AP$38,$D$19),$P$20))-SUM($P222:AO222)</f>
        <v>#VALUE!</v>
      </c>
      <c r="AQ222" s="446" t="e">
        <f>IF(OR($B222="",MIN(AQ$38,$D$19)&lt;MAX($P$34*($B222+IF($R$17="Distrato",$I$38-1,0)),IF(AND($L$37=0,$P$34=0),"",$L$37-1),IF($R$17="Distrato",$E222,0))),0,YEARFRAC(MAX($P$34*($B222+IF($R$17="Distrato",$I$38-1,0)),IF(AND($L$37=0,$P$34=0),"",$L$37-1),IF($R$17="Distrato",$E222,0)),MIN(AQ$38,$D$19),$P$20))-SUM($P222:AP222)</f>
        <v>#VALUE!</v>
      </c>
      <c r="AR222" s="446" t="e">
        <f>IF(OR($B222="",MIN(AR$38,$D$19)&lt;MAX($P$34*($B222+IF($R$17="Distrato",$I$38-1,0)),IF(AND($L$37=0,$P$34=0),"",$L$37-1),IF($R$17="Distrato",$E222,0))),0,YEARFRAC(MAX($P$34*($B222+IF($R$17="Distrato",$I$38-1,0)),IF(AND($L$37=0,$P$34=0),"",$L$37-1),IF($R$17="Distrato",$E222,0)),MIN(AR$38,$D$19),$P$20))-SUM($P222:AQ222)</f>
        <v>#VALUE!</v>
      </c>
      <c r="AS222" s="446" t="e">
        <f>IF(OR($B222="",MIN(AS$38,$D$19)&lt;MAX($P$34*($B222+IF($R$17="Distrato",$I$38-1,0)),IF(AND($L$37=0,$P$34=0),"",$L$37-1),IF($R$17="Distrato",$E222,0))),0,YEARFRAC(MAX($P$34*($B222+IF($R$17="Distrato",$I$38-1,0)),IF(AND($L$37=0,$P$34=0),"",$L$37-1),IF($R$17="Distrato",$E222,0)),MIN(AS$38,$D$19),$P$20))-SUM($P222:AR222)</f>
        <v>#VALUE!</v>
      </c>
      <c r="AT222" s="446" t="e">
        <f>IF(OR($B222="",MIN(AT$38,$D$19)&lt;MAX($P$34*($B222+IF($R$17="Distrato",$I$38-1,0)),IF(AND($L$37=0,$P$34=0),"",$L$37-1),IF($R$17="Distrato",$E222,0))),0,YEARFRAC(MAX($P$34*($B222+IF($R$17="Distrato",$I$38-1,0)),IF(AND($L$37=0,$P$34=0),"",$L$37-1),IF($R$17="Distrato",$E222,0)),MIN(AT$38,$D$19),$P$20))-SUM($P222:AS222)</f>
        <v>#VALUE!</v>
      </c>
      <c r="AU222" s="446" t="e">
        <f>IF(OR($B222="",MIN(AU$38,$D$19)&lt;MAX($P$34*($B222+IF($R$17="Distrato",$I$38-1,0)),IF(AND($L$37=0,$P$34=0),"",$L$37-1),IF($R$17="Distrato",$E222,0))),0,YEARFRAC(MAX($P$34*($B222+IF($R$17="Distrato",$I$38-1,0)),IF(AND($L$37=0,$P$34=0),"",$L$37-1),IF($R$17="Distrato",$E222,0)),MIN(AU$38,$D$19),$P$20))-SUM($P222:AT222)</f>
        <v>#VALUE!</v>
      </c>
      <c r="AV222" s="446" t="e">
        <f>IF(OR($B222="",MIN(AV$38,$D$19)&lt;MAX($P$34*($B222+IF($R$17="Distrato",$I$38-1,0)),IF(AND($L$37=0,$P$34=0),"",$L$37-1),IF($R$17="Distrato",$E222,0))),0,YEARFRAC(MAX($P$34*($B222+IF($R$17="Distrato",$I$38-1,0)),IF(AND($L$37=0,$P$34=0),"",$L$37-1),IF($R$17="Distrato",$E222,0)),MIN(AV$38,$D$19),$P$20))-SUM($P222:AU222)</f>
        <v>#VALUE!</v>
      </c>
      <c r="AW222" s="446" t="e">
        <f>IF(OR($B222="",MIN(AW$38,$D$19)&lt;MAX($P$34*($B222+IF($R$17="Distrato",$I$38-1,0)),IF(AND($L$37=0,$P$34=0),"",$L$37-1),IF($R$17="Distrato",$E222,0))),0,YEARFRAC(MAX($P$34*($B222+IF($R$17="Distrato",$I$38-1,0)),IF(AND($L$37=0,$P$34=0),"",$L$37-1),IF($R$17="Distrato",$E222,0)),MIN(AW$38,$D$19),$P$20))-SUM($P222:AV222)</f>
        <v>#VALUE!</v>
      </c>
      <c r="AX222" s="446" t="e">
        <f>IF(OR($B222="",MIN(AX$38,$D$19)&lt;MAX($P$34*($B222+IF($R$17="Distrato",$I$38-1,0)),IF(AND($L$37=0,$P$34=0),"",$L$37-1),IF($R$17="Distrato",$E222,0))),0,YEARFRAC(MAX($P$34*($B222+IF($R$17="Distrato",$I$38-1,0)),IF(AND($L$37=0,$P$34=0),"",$L$37-1),IF($R$17="Distrato",$E222,0)),MIN(AX$38,$D$19),$P$20))-SUM($P222:AW222)</f>
        <v>#VALUE!</v>
      </c>
      <c r="AY222" s="446" t="e">
        <f>IF(OR($B222="",MIN(AY$38,$D$19)&lt;MAX($P$34*($B222+IF($R$17="Distrato",$I$38-1,0)),IF(AND($L$37=0,$P$34=0),"",$L$37-1),IF($R$17="Distrato",$E222,0))),0,YEARFRAC(MAX($P$34*($B222+IF($R$17="Distrato",$I$38-1,0)),IF(AND($L$37=0,$P$34=0),"",$L$37-1),IF($R$17="Distrato",$E222,0)),MIN(AY$38,$D$19),$P$20))-SUM($P222:AX222)</f>
        <v>#VALUE!</v>
      </c>
      <c r="AZ222" s="446" t="e">
        <f>IF(OR($B222="",MIN(AZ$38,$D$19)&lt;MAX($P$34*($B222+IF($R$17="Distrato",$I$38-1,0)),IF(AND($L$37=0,$P$34=0),"",$L$37-1),IF($R$17="Distrato",$E222,0))),0,YEARFRAC(MAX($P$34*($B222+IF($R$17="Distrato",$I$38-1,0)),IF(AND($L$37=0,$P$34=0),"",$L$37-1),IF($R$17="Distrato",$E222,0)),MIN(AZ$38,$D$19),$P$20))-SUM($P222:AY222)</f>
        <v>#VALUE!</v>
      </c>
      <c r="BA222" s="446" t="e">
        <f>IF(OR($B222="",MIN(BA$38,$D$19)&lt;MAX($P$34*($B222+IF($R$17="Distrato",$I$38-1,0)),IF(AND($L$37=0,$P$34=0),"",$L$37-1),IF($R$17="Distrato",$E222,0))),0,YEARFRAC(MAX($P$34*($B222+IF($R$17="Distrato",$I$38-1,0)),IF(AND($L$37=0,$P$34=0),"",$L$37-1),IF($R$17="Distrato",$E222,0)),MIN(BA$38,$D$19),$P$20))-SUM($P222:AZ222)</f>
        <v>#VALUE!</v>
      </c>
      <c r="BB222" s="447"/>
      <c r="BF222" s="446">
        <f t="shared" si="32"/>
        <v>0</v>
      </c>
      <c r="BG222" s="446">
        <f>IF($E222=0,0,IF(MIN(BG$38,$E222)&lt;MAX($P$34*($B222+$I$38-1),IF(AND($L$37=0,$P$34=0),"",$L$37-1)),0,YEARFRAC(MAX($P$34*($B222+$I$38-1),IF(AND($L$37=0,$P$34=0),"",$L$37-1)),MIN(BG$38,$E222),$P$20))-SUM($BF222:BF222))</f>
        <v>0</v>
      </c>
      <c r="BH222" s="446">
        <f>IF($E222=0,0,IF(MIN(BH$38,$E222)&lt;MAX($P$34*($B222+$I$38-1),IF(AND($L$37=0,$P$34=0),"",$L$37-1)),0,YEARFRAC(MAX($P$34*($B222+$I$38-1),IF(AND($L$37=0,$P$34=0),"",$L$37-1)),MIN(BH$38,$E222),$P$20))-SUM($BF222:BG222))</f>
        <v>0</v>
      </c>
      <c r="BI222" s="446">
        <f>IF($E222=0,0,IF(MIN(BI$38,$E222)&lt;MAX($P$34*($B222+$I$38-1),IF(AND($L$37=0,$P$34=0),"",$L$37-1)),0,YEARFRAC(MAX($P$34*($B222+$I$38-1),IF(AND($L$37=0,$P$34=0),"",$L$37-1)),MIN(BI$38,$E222),$P$20))-SUM($BF222:BH222))</f>
        <v>0</v>
      </c>
      <c r="BJ222" s="446">
        <f>IF($E222=0,0,IF(MIN(BJ$38,$E222)&lt;MAX($P$34*($B222+$I$38-1),IF(AND($L$37=0,$P$34=0),"",$L$37-1)),0,YEARFRAC(MAX($P$34*($B222+$I$38-1),IF(AND($L$37=0,$P$34=0),"",$L$37-1)),MIN(BJ$38,$E222),$P$20))-SUM($BF222:BI222))</f>
        <v>0</v>
      </c>
      <c r="BK222" s="446">
        <f>IF($E222=0,0,IF(MIN(BK$38,$E222)&lt;MAX($P$34*($B222+$I$38-1),IF(AND($L$37=0,$P$34=0),"",$L$37-1)),0,YEARFRAC(MAX($P$34*($B222+$I$38-1),IF(AND($L$37=0,$P$34=0),"",$L$37-1)),MIN(BK$38,$E222),$P$20))-SUM($BF222:BJ222))</f>
        <v>0</v>
      </c>
      <c r="BL222" s="446">
        <f>IF($E222=0,0,IF(MIN(BL$38,$E222)&lt;MAX($P$34*($B222+$I$38-1),IF(AND($L$37=0,$P$34=0),"",$L$37-1)),0,YEARFRAC(MAX($P$34*($B222+$I$38-1),IF(AND($L$37=0,$P$34=0),"",$L$37-1)),MIN(BL$38,$E222),$P$20))-SUM($BF222:BK222))</f>
        <v>0</v>
      </c>
      <c r="BM222" s="446">
        <f>IF($E222=0,0,IF(MIN(BM$38,$E222)&lt;MAX($P$34*($B222+$I$38-1),IF(AND($L$37=0,$P$34=0),"",$L$37-1)),0,YEARFRAC(MAX($P$34*($B222+$I$38-1),IF(AND($L$37=0,$P$34=0),"",$L$37-1)),MIN(BM$38,$E222),$P$20))-SUM($BF222:BL222))</f>
        <v>0</v>
      </c>
      <c r="BN222" s="446">
        <f>IF($E222=0,0,IF(MIN(BN$38,$E222)&lt;MAX($P$34*($B222+$I$38-1),IF(AND($L$37=0,$P$34=0),"",$L$37-1)),0,YEARFRAC(MAX($P$34*($B222+$I$38-1),IF(AND($L$37=0,$P$34=0),"",$L$37-1)),MIN(BN$38,$E222),$P$20))-SUM($BF222:BM222))</f>
        <v>0</v>
      </c>
      <c r="BO222" s="446">
        <f>IF($E222=0,0,IF(MIN(BO$38,$E222)&lt;MAX($P$34*($B222+$I$38-1),IF(AND($L$37=0,$P$34=0),"",$L$37-1)),0,YEARFRAC(MAX($P$34*($B222+$I$38-1),IF(AND($L$37=0,$P$34=0),"",$L$37-1)),MIN(BO$38,$E222),$P$20))-SUM($BF222:BN222))</f>
        <v>0</v>
      </c>
      <c r="BP222" s="446">
        <f>IF($E222=0,0,IF(MIN(BP$38,$E222)&lt;MAX($P$34*($B222+$I$38-1),IF(AND($L$37=0,$P$34=0),"",$L$37-1)),0,YEARFRAC(MAX($P$34*($B222+$I$38-1),IF(AND($L$37=0,$P$34=0),"",$L$37-1)),MIN(BP$38,$E222),$P$20))-SUM($BF222:BO222))</f>
        <v>0</v>
      </c>
      <c r="BQ222" s="446">
        <f>IF($E222=0,0,IF(MIN(BQ$38,$E222)&lt;MAX($P$34*($B222+$I$38-1),IF(AND($L$37=0,$P$34=0),"",$L$37-1)),0,YEARFRAC(MAX($P$34*($B222+$I$38-1),IF(AND($L$37=0,$P$34=0),"",$L$37-1)),MIN(BQ$38,$E222),$P$20))-SUM($BF222:BP222))</f>
        <v>0</v>
      </c>
      <c r="BR222" s="446">
        <f>IF($E222=0,0,IF(MIN(BR$38,$E222)&lt;MAX($P$34*($B222+$I$38-1),IF(AND($L$37=0,$P$34=0),"",$L$37-1)),0,YEARFRAC(MAX($P$34*($B222+$I$38-1),IF(AND($L$37=0,$P$34=0),"",$L$37-1)),MIN(BR$38,$E222),$P$20))-SUM($BF222:BQ222))</f>
        <v>0</v>
      </c>
      <c r="BS222" s="446">
        <f>IF($E222=0,0,IF(MIN(BS$38,$E222)&lt;MAX($P$34*($B222+$I$38-1),IF(AND($L$37=0,$P$34=0),"",$L$37-1)),0,YEARFRAC(MAX($P$34*($B222+$I$38-1),IF(AND($L$37=0,$P$34=0),"",$L$37-1)),MIN(BS$38,$E222),$P$20))-SUM($BF222:BR222))</f>
        <v>0</v>
      </c>
      <c r="BT222" s="446">
        <f>IF($E222=0,0,IF(MIN(BT$38,$E222)&lt;MAX($P$34*($B222+$I$38-1),IF(AND($L$37=0,$P$34=0),"",$L$37-1)),0,YEARFRAC(MAX($P$34*($B222+$I$38-1),IF(AND($L$37=0,$P$34=0),"",$L$37-1)),MIN(BT$38,$E222),$P$20))-SUM($BF222:BS222))</f>
        <v>0</v>
      </c>
      <c r="BU222" s="446">
        <f>IF($E222=0,0,IF(MIN(BU$38,$E222)&lt;MAX($P$34*($B222+$I$38-1),IF(AND($L$37=0,$P$34=0),"",$L$37-1)),0,YEARFRAC(MAX($P$34*($B222+$I$38-1),IF(AND($L$37=0,$P$34=0),"",$L$37-1)),MIN(BU$38,$E222),$P$20))-SUM($BF222:BT222))</f>
        <v>0</v>
      </c>
      <c r="BV222" s="446">
        <f>IF($E222=0,0,IF(MIN(BV$38,$E222)&lt;MAX($P$34*($B222+$I$38-1),IF(AND($L$37=0,$P$34=0),"",$L$37-1)),0,YEARFRAC(MAX($P$34*($B222+$I$38-1),IF(AND($L$37=0,$P$34=0),"",$L$37-1)),MIN(BV$38,$E222),$P$20))-SUM($BF222:BU222))</f>
        <v>0</v>
      </c>
      <c r="BW222" s="446">
        <f>IF($E222=0,0,IF(MIN(BW$38,$E222)&lt;MAX($P$34*($B222+$I$38-1),IF(AND($L$37=0,$P$34=0),"",$L$37-1)),0,YEARFRAC(MAX($P$34*($B222+$I$38-1),IF(AND($L$37=0,$P$34=0),"",$L$37-1)),MIN(BW$38,$E222),$P$20))-SUM($BF222:BV222))</f>
        <v>0</v>
      </c>
      <c r="BX222" s="446">
        <f>IF($E222=0,0,IF(MIN(BX$38,$E222)&lt;MAX($P$34*($B222+$I$38-1),IF(AND($L$37=0,$P$34=0),"",$L$37-1)),0,YEARFRAC(MAX($P$34*($B222+$I$38-1),IF(AND($L$37=0,$P$34=0),"",$L$37-1)),MIN(BX$38,$E222),$P$20))-SUM($BF222:BW222))</f>
        <v>0</v>
      </c>
      <c r="BY222" s="446">
        <f>IF($E222=0,0,IF(MIN(BY$38,$E222)&lt;MAX($P$34*($B222+$I$38-1),IF(AND($L$37=0,$P$34=0),"",$L$37-1)),0,YEARFRAC(MAX($P$34*($B222+$I$38-1),IF(AND($L$37=0,$P$34=0),"",$L$37-1)),MIN(BY$38,$E222),$P$20))-SUM($BF222:BX222))</f>
        <v>0</v>
      </c>
      <c r="BZ222" s="446">
        <f>IF($E222=0,0,IF(MIN(BZ$38,$E222)&lt;MAX($P$34*($B222+$I$38-1),IF(AND($L$37=0,$P$34=0),"",$L$37-1)),0,YEARFRAC(MAX($P$34*($B222+$I$38-1),IF(AND($L$37=0,$P$34=0),"",$L$37-1)),MIN(BZ$38,$E222),$P$20))-SUM($BF222:BY222))</f>
        <v>0</v>
      </c>
      <c r="CA222" s="446">
        <f>IF($E222=0,0,IF(MIN(CA$38,$E222)&lt;MAX($P$34*($B222+$I$38-1),IF(AND($L$37=0,$P$34=0),"",$L$37-1)),0,YEARFRAC(MAX($P$34*($B222+$I$38-1),IF(AND($L$37=0,$P$34=0),"",$L$37-1)),MIN(CA$38,$E222),$P$20))-SUM($BF222:BZ222))</f>
        <v>0</v>
      </c>
      <c r="CB222" s="446">
        <f>IF($E222=0,0,IF(MIN(CB$38,$E222)&lt;MAX($P$34*($B222+$I$38-1),IF(AND($L$37=0,$P$34=0),"",$L$37-1)),0,YEARFRAC(MAX($P$34*($B222+$I$38-1),IF(AND($L$37=0,$P$34=0),"",$L$37-1)),MIN(CB$38,$E222),$P$20))-SUM($BF222:CA222))</f>
        <v>0</v>
      </c>
      <c r="CC222" s="446">
        <f>IF($E222=0,0,IF(MIN(CC$38,$E222)&lt;MAX($P$34*($B222+$I$38-1),IF(AND($L$37=0,$P$34=0),"",$L$37-1)),0,YEARFRAC(MAX($P$34*($B222+$I$38-1),IF(AND($L$37=0,$P$34=0),"",$L$37-1)),MIN(CC$38,$E222),$P$20))-SUM($BF222:CB222))</f>
        <v>0</v>
      </c>
      <c r="CD222" s="446">
        <f>IF($E222=0,0,IF(MIN(CD$38,$E222)&lt;MAX($P$34*($B222+$I$38-1),IF(AND($L$37=0,$P$34=0),"",$L$37-1)),0,YEARFRAC(MAX($P$34*($B222+$I$38-1),IF(AND($L$37=0,$P$34=0),"",$L$37-1)),MIN(CD$38,$E222),$P$20))-SUM($BF222:CC222))</f>
        <v>0</v>
      </c>
      <c r="CE222" s="446">
        <f>IF($E222=0,0,IF(MIN(CE$38,$E222)&lt;MAX($P$34*($B222+$I$38-1),IF(AND($L$37=0,$P$34=0),"",$L$37-1)),0,YEARFRAC(MAX($P$34*($B222+$I$38-1),IF(AND($L$37=0,$P$34=0),"",$L$37-1)),MIN(CE$38,$E222),$P$20))-SUM($BF222:CD222))</f>
        <v>0</v>
      </c>
      <c r="CF222" s="446">
        <f>IF($E222=0,0,IF(MIN(CF$38,$E222)&lt;MAX($P$34*($B222+$I$38-1),IF(AND($L$37=0,$P$34=0),"",$L$37-1)),0,YEARFRAC(MAX($P$34*($B222+$I$38-1),IF(AND($L$37=0,$P$34=0),"",$L$37-1)),MIN(CF$38,$E222),$P$20))-SUM($BF222:CE222))</f>
        <v>0</v>
      </c>
      <c r="CG222" s="446">
        <f>IF($E222=0,0,IF(MIN(CG$38,$E222)&lt;MAX($P$34*($B222+$I$38-1),IF(AND($L$37=0,$P$34=0),"",$L$37-1)),0,YEARFRAC(MAX($P$34*($B222+$I$38-1),IF(AND($L$37=0,$P$34=0),"",$L$37-1)),MIN(CG$38,$E222),$P$20))-SUM($BF222:CF222))</f>
        <v>0</v>
      </c>
      <c r="CH222" s="446">
        <f>IF($E222=0,0,IF(MIN(CH$38,$E222)&lt;MAX($P$34*($B222+$I$38-1),IF(AND($L$37=0,$P$34=0),"",$L$37-1)),0,YEARFRAC(MAX($P$34*($B222+$I$38-1),IF(AND($L$37=0,$P$34=0),"",$L$37-1)),MIN(CH$38,$E222),$P$20))-SUM($BF222:CG222))</f>
        <v>0</v>
      </c>
      <c r="CI222" s="446">
        <f>IF($E222=0,0,IF(MIN(CI$38,$E222)&lt;MAX($P$34*($B222+$I$38-1),IF(AND($L$37=0,$P$34=0),"",$L$37-1)),0,YEARFRAC(MAX($P$34*($B222+$I$38-1),IF(AND($L$37=0,$P$34=0),"",$L$37-1)),MIN(CI$38,$E222),$P$20))-SUM($BF222:CH222))</f>
        <v>0</v>
      </c>
      <c r="CJ222" s="446">
        <f>IF($E222=0,0,IF(MIN(CJ$38,$E222)&lt;MAX($P$34*($B222+$I$38-1),IF(AND($L$37=0,$P$34=0),"",$L$37-1)),0,YEARFRAC(MAX($P$34*($B222+$I$38-1),IF(AND($L$37=0,$P$34=0),"",$L$37-1)),MIN(CJ$38,$E222),$P$20))-SUM($BF222:CI222))</f>
        <v>0</v>
      </c>
      <c r="CK222" s="446">
        <f>IF($E222=0,0,IF(MIN(CK$38,$E222)&lt;MAX($P$34*($B222+$I$38-1),IF(AND($L$37=0,$P$34=0),"",$L$37-1)),0,YEARFRAC(MAX($P$34*($B222+$I$38-1),IF(AND($L$37=0,$P$34=0),"",$L$37-1)),MIN(CK$38,$E222),$P$20))-SUM($BF222:CJ222))</f>
        <v>0</v>
      </c>
      <c r="CL222" s="446">
        <f>IF($E222=0,0,IF(MIN(CL$38,$E222)&lt;MAX($P$34*($B222+$I$38-1),IF(AND($L$37=0,$P$34=0),"",$L$37-1)),0,YEARFRAC(MAX($P$34*($B222+$I$38-1),IF(AND($L$37=0,$P$34=0),"",$L$37-1)),MIN(CL$38,$E222),$P$20))-SUM($BF222:CK222))</f>
        <v>0</v>
      </c>
      <c r="CM222" s="446">
        <f>IF($E222=0,0,IF(MIN(CM$38,$E222)&lt;MAX($P$34*($B222+$I$38-1),IF(AND($L$37=0,$P$34=0),"",$L$37-1)),0,YEARFRAC(MAX($P$34*($B222+$I$38-1),IF(AND($L$37=0,$P$34=0),"",$L$37-1)),MIN(CM$38,$E222),$P$20))-SUM($BF222:CL222))</f>
        <v>0</v>
      </c>
      <c r="CN222" s="446">
        <f>IF($E222=0,0,IF(MIN(CN$38,$E222)&lt;MAX($P$34*($B222+$I$38-1),IF(AND($L$37=0,$P$34=0),"",$L$37-1)),0,YEARFRAC(MAX($P$34*($B222+$I$38-1),IF(AND($L$37=0,$P$34=0),"",$L$37-1)),MIN(CN$38,$E222),$P$20))-SUM($BF222:CM222))</f>
        <v>0</v>
      </c>
      <c r="CO222" s="446">
        <f>IF($E222=0,0,IF(MIN(CO$38,$E222)&lt;MAX($P$34*($B222+$I$38-1),IF(AND($L$37=0,$P$34=0),"",$L$37-1)),0,YEARFRAC(MAX($P$34*($B222+$I$38-1),IF(AND($L$37=0,$P$34=0),"",$L$37-1)),MIN(CO$38,$E222),$P$20))-SUM($BF222:CN222))</f>
        <v>0</v>
      </c>
      <c r="CP222" s="446">
        <f>IF($E222=0,0,IF(MIN(CP$38,$E222)&lt;MAX($P$34*($B222+$I$38-1),IF(AND($L$37=0,$P$34=0),"",$L$37-1)),0,YEARFRAC(MAX($P$34*($B222+$I$38-1),IF(AND($L$37=0,$P$34=0),"",$L$37-1)),MIN(CP$38,$E222),$P$20))-SUM($BF222:CO222))</f>
        <v>0</v>
      </c>
      <c r="CQ222" s="446">
        <f>IF($E222=0,0,IF(MIN(CQ$38,$E222)&lt;MAX($P$34*($B222+$I$38-1),IF(AND($L$37=0,$P$34=0),"",$L$37-1)),0,YEARFRAC(MAX($P$34*($B222+$I$38-1),IF(AND($L$37=0,$P$34=0),"",$L$37-1)),MIN(CQ$38,$E222),$P$20))-SUM($BF222:CP222))</f>
        <v>0</v>
      </c>
    </row>
    <row r="223" spans="1:95" s="446" customFormat="1" ht="11.25" hidden="1" customHeight="1" x14ac:dyDescent="0.2">
      <c r="A223" s="152"/>
      <c r="B223" s="153" t="str">
        <f t="shared" si="37"/>
        <v/>
      </c>
      <c r="C223" s="29" t="str">
        <f>IF(B223="","",IF($L$35="SELIC - TRIBUTOS",VLOOKUP(DATE(YEAR($D$19),MONTH($D$19)-1,1),ÍNDICES!$A:$DE,HLOOKUP($BL$25,ÍNDICES!$B$3:$T$4,2)+11)-VLOOKUP(B223,ÍNDICES!$A:$DE,HLOOKUP($BL$25,ÍNDICES!$B$3:$T$4,2)+11)+1%,IF(C$38=$W$26,$J$35,IF(ISERROR(IF(B223&gt;$D$19,1,VLOOKUP(DATE(YEAR(B223),MONTH(B223)+IF($C$35=$S$23,1,0),1),ÍNDICES!$A:$DE,$Z$35+1))),"",IF(B223&gt;$D$19,1,VLOOKUP(DATE(YEAR(B223),MONTH(B223)+IF($C$35=$S$23,1,0),1),ÍNDICES!$A:$DE,$Z$35+1))))))</f>
        <v/>
      </c>
      <c r="D223" s="154" t="str">
        <f>IF(ISERROR(IF(OR($D$38=$Y$27,$B223=""),"",VLOOKUP(B223,ÍNDICES!A:DE,AF$35+1))),"",IF(OR($D$38=$Y$27,$B223=""),"",VLOOKUP(B223,ÍNDICES!A:DE,AF$35+1)))</f>
        <v/>
      </c>
      <c r="E223" s="153"/>
      <c r="F223" s="29" t="str">
        <f>IF(E223="","",IF($L$35="SELIC - TRIBUTOS",VLOOKUP(DATE(YEAR($D$19),MONTH($D$19)-1,1),ÍNDICES!$A:$DE,HLOOKUP($BL$25,ÍNDICES!$B$3:$T$4,2)+11)-VLOOKUP(E223,ÍNDICES!$A:$DE,HLOOKUP($BL$25,ÍNDICES!$B$3:$T$4,2)+11)+1%,IF(F$38=$W$26,$J$35,IF(ISERROR(IF(E223&gt;$D$19,1,VLOOKUP(DATE(YEAR(E223),MONTH(E223)+IF($C$35=$S$23,1,0),1),ÍNDICES!$A:$DE,$Z$35+1))),"",IF(E223&gt;$D$19,1,VLOOKUP(DATE(YEAR(E223),MONTH(E223)+IF($C$35=$S$23,1,0),1),ÍNDICES!$A:$DE,$Z$35+1))))))</f>
        <v/>
      </c>
      <c r="G223" s="155"/>
      <c r="H223" s="156" t="str">
        <f t="shared" si="33"/>
        <v/>
      </c>
      <c r="I223" s="29" t="str">
        <f t="shared" si="27"/>
        <v/>
      </c>
      <c r="J223" s="5">
        <f t="shared" si="28"/>
        <v>0</v>
      </c>
      <c r="K223" s="20">
        <f t="shared" ca="1" si="29"/>
        <v>0</v>
      </c>
      <c r="L223" s="5">
        <f t="shared" ca="1" si="30"/>
        <v>0</v>
      </c>
      <c r="M223" s="64">
        <f t="shared" si="34"/>
        <v>0</v>
      </c>
      <c r="N223" s="61">
        <f t="shared" ca="1" si="35"/>
        <v>0</v>
      </c>
      <c r="O223" s="5">
        <f t="shared" ca="1" si="36"/>
        <v>0</v>
      </c>
      <c r="P223" s="446" t="e">
        <f t="shared" si="31"/>
        <v>#VALUE!</v>
      </c>
      <c r="Q223" s="446" t="e">
        <f>IF(OR($B223="",MIN(Q$38,$D$19)&lt;MAX($P$34*($B223+IF($R$17="Distrato",$I$38-1,0)),IF(AND($L$37=0,$P$34=0),"",$L$37-1),IF($R$17="Distrato",$E223,0))),0,YEARFRAC(MAX($P$34*($B223+IF($R$17="Distrato",$I$38-1,0)),IF(AND($L$37=0,$P$34=0),"",$L$37-1),IF($R$17="Distrato",$E223,0)),MIN(Q$38,$D$19),$P$20))-SUM($P223:P223)</f>
        <v>#VALUE!</v>
      </c>
      <c r="R223" s="446" t="e">
        <f>IF(OR($B223="",MIN(R$38,$D$19)&lt;MAX($P$34*($B223+IF($R$17="Distrato",$I$38-1,0)),IF(AND($L$37=0,$P$34=0),"",$L$37-1),IF($R$17="Distrato",$E223,0))),0,YEARFRAC(MAX($P$34*($B223+IF($R$17="Distrato",$I$38-1,0)),IF(AND($L$37=0,$P$34=0),"",$L$37-1),IF($R$17="Distrato",$E223,0)),MIN(R$38,$D$19),$P$20))-SUM($P223:Q223)</f>
        <v>#VALUE!</v>
      </c>
      <c r="S223" s="446" t="e">
        <f>IF(OR($B223="",MIN(S$38,$D$19)&lt;MAX($P$34*($B223+IF($R$17="Distrato",$I$38-1,0)),IF(AND($L$37=0,$P$34=0),"",$L$37-1),IF($R$17="Distrato",$E223,0))),0,YEARFRAC(MAX($P$34*($B223+IF($R$17="Distrato",$I$38-1,0)),IF(AND($L$37=0,$P$34=0),"",$L$37-1),IF($R$17="Distrato",$E223,0)),MIN(S$38,$D$19),$P$20))-SUM($P223:R223)</f>
        <v>#VALUE!</v>
      </c>
      <c r="T223" s="446" t="e">
        <f>IF(OR($B223="",MIN(T$38,$D$19)&lt;MAX($P$34*($B223+IF($R$17="Distrato",$I$38-1,0)),IF(AND($L$37=0,$P$34=0),"",$L$37-1),IF($R$17="Distrato",$E223,0))),0,YEARFRAC(MAX($P$34*($B223+IF($R$17="Distrato",$I$38-1,0)),IF(AND($L$37=0,$P$34=0),"",$L$37-1),IF($R$17="Distrato",$E223,0)),MIN(T$38,$D$19),$P$20))-SUM($P223:S223)</f>
        <v>#VALUE!</v>
      </c>
      <c r="U223" s="446" t="e">
        <f>IF(OR($B223="",MIN(U$38,$D$19)&lt;MAX($P$34*($B223+IF($R$17="Distrato",$I$38-1,0)),IF(AND($L$37=0,$P$34=0),"",$L$37-1),IF($R$17="Distrato",$E223,0))),0,YEARFRAC(MAX($P$34*($B223+IF($R$17="Distrato",$I$38-1,0)),IF(AND($L$37=0,$P$34=0),"",$L$37-1),IF($R$17="Distrato",$E223,0)),MIN(U$38,$D$19),$P$20))-SUM($P223:T223)</f>
        <v>#VALUE!</v>
      </c>
      <c r="V223" s="446" t="e">
        <f>IF(OR($B223="",MIN(V$38,$D$19)&lt;MAX($P$34*($B223+IF($R$17="Distrato",$I$38-1,0)),IF(AND($L$37=0,$P$34=0),"",$L$37-1),IF($R$17="Distrato",$E223,0))),0,YEARFRAC(MAX($P$34*($B223+IF($R$17="Distrato",$I$38-1,0)),IF(AND($L$37=0,$P$34=0),"",$L$37-1),IF($R$17="Distrato",$E223,0)),MIN(V$38,$D$19),$P$20))-SUM($P223:U223)</f>
        <v>#VALUE!</v>
      </c>
      <c r="W223" s="446" t="e">
        <f>IF(OR($B223="",MIN(W$38,$D$19)&lt;MAX($P$34*($B223+IF($R$17="Distrato",$I$38-1,0)),IF(AND($L$37=0,$P$34=0),"",$L$37-1),IF($R$17="Distrato",$E223,0))),0,YEARFRAC(MAX($P$34*($B223+IF($R$17="Distrato",$I$38-1,0)),IF(AND($L$37=0,$P$34=0),"",$L$37-1),IF($R$17="Distrato",$E223,0)),MIN(W$38,$D$19),$P$20))-SUM($P223:V223)</f>
        <v>#VALUE!</v>
      </c>
      <c r="X223" s="446" t="e">
        <f>IF(OR($B223="",MIN(X$38,$D$19)&lt;MAX($P$34*($B223+IF($R$17="Distrato",$I$38-1,0)),IF(AND($L$37=0,$P$34=0),"",$L$37-1),IF($R$17="Distrato",$E223,0))),0,YEARFRAC(MAX($P$34*($B223+IF($R$17="Distrato",$I$38-1,0)),IF(AND($L$37=0,$P$34=0),"",$L$37-1),IF($R$17="Distrato",$E223,0)),MIN(X$38,$D$19),$P$20))-SUM($P223:W223)</f>
        <v>#VALUE!</v>
      </c>
      <c r="Y223" s="446" t="e">
        <f>IF(OR($B223="",MIN(Y$38,$D$19)&lt;MAX($P$34*($B223+IF($R$17="Distrato",$I$38-1,0)),IF(AND($L$37=0,$P$34=0),"",$L$37-1),IF($R$17="Distrato",$E223,0))),0,YEARFRAC(MAX($P$34*($B223+IF($R$17="Distrato",$I$38-1,0)),IF(AND($L$37=0,$P$34=0),"",$L$37-1),IF($R$17="Distrato",$E223,0)),MIN(Y$38,$D$19),$P$20))-SUM($P223:X223)</f>
        <v>#VALUE!</v>
      </c>
      <c r="Z223" s="446" t="e">
        <f>IF(OR($B223="",MIN(Z$38,$D$19)&lt;MAX($P$34*($B223+IF($R$17="Distrato",$I$38-1,0)),IF(AND($L$37=0,$P$34=0),"",$L$37-1),IF($R$17="Distrato",$E223,0))),0,YEARFRAC(MAX($P$34*($B223+IF($R$17="Distrato",$I$38-1,0)),IF(AND($L$37=0,$P$34=0),"",$L$37-1),IF($R$17="Distrato",$E223,0)),MIN(Z$38,$D$19),$P$20))-SUM($P223:Y223)</f>
        <v>#VALUE!</v>
      </c>
      <c r="AA223" s="446" t="e">
        <f>IF(OR($B223="",MIN(AA$38,$D$19)&lt;MAX($P$34*($B223+IF($R$17="Distrato",$I$38-1,0)),IF(AND($L$37=0,$P$34=0),"",$L$37-1),IF($R$17="Distrato",$E223,0))),0,YEARFRAC(MAX($P$34*($B223+IF($R$17="Distrato",$I$38-1,0)),IF(AND($L$37=0,$P$34=0),"",$L$37-1),IF($R$17="Distrato",$E223,0)),MIN(AA$38,$D$19),$P$20))-SUM($P223:Z223)</f>
        <v>#VALUE!</v>
      </c>
      <c r="AB223" s="446" t="e">
        <f>IF(OR($B223="",MIN(AB$38,$D$19)&lt;MAX($P$34*($B223+IF($R$17="Distrato",$I$38-1,0)),IF(AND($L$37=0,$P$34=0),"",$L$37-1),IF($R$17="Distrato",$E223,0))),0,YEARFRAC(MAX($P$34*($B223+IF($R$17="Distrato",$I$38-1,0)),IF(AND($L$37=0,$P$34=0),"",$L$37-1),IF($R$17="Distrato",$E223,0)),MIN(AB$38,$D$19),$P$20))-SUM($P223:AA223)</f>
        <v>#VALUE!</v>
      </c>
      <c r="AC223" s="446" t="e">
        <f>IF(OR($B223="",MIN(AC$38,$D$19)&lt;MAX($P$34*($B223+IF($R$17="Distrato",$I$38-1,0)),IF(AND($L$37=0,$P$34=0),"",$L$37-1),IF($R$17="Distrato",$E223,0))),0,YEARFRAC(MAX($P$34*($B223+IF($R$17="Distrato",$I$38-1,0)),IF(AND($L$37=0,$P$34=0),"",$L$37-1),IF($R$17="Distrato",$E223,0)),MIN(AC$38,$D$19),$P$20))-SUM($P223:AB223)</f>
        <v>#VALUE!</v>
      </c>
      <c r="AD223" s="446" t="e">
        <f>IF(OR($B223="",MIN(AD$38,$D$19)&lt;MAX($P$34*($B223+IF($R$17="Distrato",$I$38-1,0)),IF(AND($L$37=0,$P$34=0),"",$L$37-1),IF($R$17="Distrato",$E223,0))),0,YEARFRAC(MAX($P$34*($B223+IF($R$17="Distrato",$I$38-1,0)),IF(AND($L$37=0,$P$34=0),"",$L$37-1),IF($R$17="Distrato",$E223,0)),MIN(AD$38,$D$19),$P$20))-SUM($P223:AC223)</f>
        <v>#VALUE!</v>
      </c>
      <c r="AE223" s="446" t="e">
        <f>IF(OR($B223="",MIN(AE$38,$D$19)&lt;MAX($P$34*($B223+IF($R$17="Distrato",$I$38-1,0)),IF(AND($L$37=0,$P$34=0),"",$L$37-1),IF($R$17="Distrato",$E223,0))),0,YEARFRAC(MAX($P$34*($B223+IF($R$17="Distrato",$I$38-1,0)),IF(AND($L$37=0,$P$34=0),"",$L$37-1),IF($R$17="Distrato",$E223,0)),MIN(AE$38,$D$19),$P$20))-SUM($P223:AD223)</f>
        <v>#VALUE!</v>
      </c>
      <c r="AF223" s="446" t="e">
        <f>IF(OR($B223="",MIN(AF$38,$D$19)&lt;MAX($P$34*($B223+IF($R$17="Distrato",$I$38-1,0)),IF(AND($L$37=0,$P$34=0),"",$L$37-1),IF($R$17="Distrato",$E223,0))),0,YEARFRAC(MAX($P$34*($B223+IF($R$17="Distrato",$I$38-1,0)),IF(AND($L$37=0,$P$34=0),"",$L$37-1),IF($R$17="Distrato",$E223,0)),MIN(AF$38,$D$19),$P$20))-SUM($P223:AE223)</f>
        <v>#VALUE!</v>
      </c>
      <c r="AG223" s="446" t="e">
        <f>IF(OR($B223="",MIN(AG$38,$D$19)&lt;MAX($P$34*($B223+IF($R$17="Distrato",$I$38-1,0)),IF(AND($L$37=0,$P$34=0),"",$L$37-1),IF($R$17="Distrato",$E223,0))),0,YEARFRAC(MAX($P$34*($B223+IF($R$17="Distrato",$I$38-1,0)),IF(AND($L$37=0,$P$34=0),"",$L$37-1),IF($R$17="Distrato",$E223,0)),MIN(AG$38,$D$19),$P$20))-SUM($P223:AF223)</f>
        <v>#VALUE!</v>
      </c>
      <c r="AH223" s="446" t="e">
        <f>IF(OR($B223="",MIN(AH$38,$D$19)&lt;MAX($P$34*($B223+IF($R$17="Distrato",$I$38-1,0)),IF(AND($L$37=0,$P$34=0),"",$L$37-1),IF($R$17="Distrato",$E223,0))),0,YEARFRAC(MAX($P$34*($B223+IF($R$17="Distrato",$I$38-1,0)),IF(AND($L$37=0,$P$34=0),"",$L$37-1),IF($R$17="Distrato",$E223,0)),MIN(AH$38,$D$19),$P$20))-SUM($P223:AG223)</f>
        <v>#VALUE!</v>
      </c>
      <c r="AI223" s="446" t="e">
        <f>IF(OR($B223="",MIN(AI$38,$D$19)&lt;MAX($P$34*($B223+IF($R$17="Distrato",$I$38-1,0)),IF(AND($L$37=0,$P$34=0),"",$L$37-1),IF($R$17="Distrato",$E223,0))),0,YEARFRAC(MAX($P$34*($B223+IF($R$17="Distrato",$I$38-1,0)),IF(AND($L$37=0,$P$34=0),"",$L$37-1),IF($R$17="Distrato",$E223,0)),MIN(AI$38,$D$19),$P$20))-SUM($P223:AH223)</f>
        <v>#VALUE!</v>
      </c>
      <c r="AJ223" s="446" t="e">
        <f>IF(OR($B223="",MIN(AJ$38,$D$19)&lt;MAX($P$34*($B223+IF($R$17="Distrato",$I$38-1,0)),IF(AND($L$37=0,$P$34=0),"",$L$37-1),IF($R$17="Distrato",$E223,0))),0,YEARFRAC(MAX($P$34*($B223+IF($R$17="Distrato",$I$38-1,0)),IF(AND($L$37=0,$P$34=0),"",$L$37-1),IF($R$17="Distrato",$E223,0)),MIN(AJ$38,$D$19),$P$20))-SUM($P223:AI223)</f>
        <v>#VALUE!</v>
      </c>
      <c r="AK223" s="446" t="e">
        <f>IF(OR($B223="",MIN(AK$38,$D$19)&lt;MAX($P$34*($B223+IF($R$17="Distrato",$I$38-1,0)),IF(AND($L$37=0,$P$34=0),"",$L$37-1),IF($R$17="Distrato",$E223,0))),0,YEARFRAC(MAX($P$34*($B223+IF($R$17="Distrato",$I$38-1,0)),IF(AND($L$37=0,$P$34=0),"",$L$37-1),IF($R$17="Distrato",$E223,0)),MIN(AK$38,$D$19),$P$20))-SUM($P223:AJ223)</f>
        <v>#VALUE!</v>
      </c>
      <c r="AL223" s="446" t="e">
        <f>IF(OR($B223="",MIN(AL$38,$D$19)&lt;MAX($P$34*($B223+IF($R$17="Distrato",$I$38-1,0)),IF(AND($L$37=0,$P$34=0),"",$L$37-1),IF($R$17="Distrato",$E223,0))),0,YEARFRAC(MAX($P$34*($B223+IF($R$17="Distrato",$I$38-1,0)),IF(AND($L$37=0,$P$34=0),"",$L$37-1),IF($R$17="Distrato",$E223,0)),MIN(AL$38,$D$19),$P$20))-SUM($P223:AK223)</f>
        <v>#VALUE!</v>
      </c>
      <c r="AM223" s="446" t="e">
        <f>IF(OR($B223="",MIN(AM$38,$D$19)&lt;MAX($P$34*($B223+IF($R$17="Distrato",$I$38-1,0)),IF(AND($L$37=0,$P$34=0),"",$L$37-1),IF($R$17="Distrato",$E223,0))),0,YEARFRAC(MAX($P$34*($B223+IF($R$17="Distrato",$I$38-1,0)),IF(AND($L$37=0,$P$34=0),"",$L$37-1),IF($R$17="Distrato",$E223,0)),MIN(AM$38,$D$19),$P$20))-SUM($P223:AL223)</f>
        <v>#VALUE!</v>
      </c>
      <c r="AN223" s="446" t="e">
        <f>IF(OR($B223="",MIN(AN$38,$D$19)&lt;MAX($P$34*($B223+IF($R$17="Distrato",$I$38-1,0)),IF(AND($L$37=0,$P$34=0),"",$L$37-1),IF($R$17="Distrato",$E223,0))),0,YEARFRAC(MAX($P$34*($B223+IF($R$17="Distrato",$I$38-1,0)),IF(AND($L$37=0,$P$34=0),"",$L$37-1),IF($R$17="Distrato",$E223,0)),MIN(AN$38,$D$19),$P$20))-SUM($P223:AM223)</f>
        <v>#VALUE!</v>
      </c>
      <c r="AO223" s="446" t="e">
        <f>IF(OR($B223="",MIN(AO$38,$D$19)&lt;MAX($P$34*($B223+IF($R$17="Distrato",$I$38-1,0)),IF(AND($L$37=0,$P$34=0),"",$L$37-1),IF($R$17="Distrato",$E223,0))),0,YEARFRAC(MAX($P$34*($B223+IF($R$17="Distrato",$I$38-1,0)),IF(AND($L$37=0,$P$34=0),"",$L$37-1),IF($R$17="Distrato",$E223,0)),MIN(AO$38,$D$19),$P$20))-SUM($P223:AN223)</f>
        <v>#VALUE!</v>
      </c>
      <c r="AP223" s="446" t="e">
        <f>IF(OR($B223="",MIN(AP$38,$D$19)&lt;MAX($P$34*($B223+IF($R$17="Distrato",$I$38-1,0)),IF(AND($L$37=0,$P$34=0),"",$L$37-1),IF($R$17="Distrato",$E223,0))),0,YEARFRAC(MAX($P$34*($B223+IF($R$17="Distrato",$I$38-1,0)),IF(AND($L$37=0,$P$34=0),"",$L$37-1),IF($R$17="Distrato",$E223,0)),MIN(AP$38,$D$19),$P$20))-SUM($P223:AO223)</f>
        <v>#VALUE!</v>
      </c>
      <c r="AQ223" s="446" t="e">
        <f>IF(OR($B223="",MIN(AQ$38,$D$19)&lt;MAX($P$34*($B223+IF($R$17="Distrato",$I$38-1,0)),IF(AND($L$37=0,$P$34=0),"",$L$37-1),IF($R$17="Distrato",$E223,0))),0,YEARFRAC(MAX($P$34*($B223+IF($R$17="Distrato",$I$38-1,0)),IF(AND($L$37=0,$P$34=0),"",$L$37-1),IF($R$17="Distrato",$E223,0)),MIN(AQ$38,$D$19),$P$20))-SUM($P223:AP223)</f>
        <v>#VALUE!</v>
      </c>
      <c r="AR223" s="446" t="e">
        <f>IF(OR($B223="",MIN(AR$38,$D$19)&lt;MAX($P$34*($B223+IF($R$17="Distrato",$I$38-1,0)),IF(AND($L$37=0,$P$34=0),"",$L$37-1),IF($R$17="Distrato",$E223,0))),0,YEARFRAC(MAX($P$34*($B223+IF($R$17="Distrato",$I$38-1,0)),IF(AND($L$37=0,$P$34=0),"",$L$37-1),IF($R$17="Distrato",$E223,0)),MIN(AR$38,$D$19),$P$20))-SUM($P223:AQ223)</f>
        <v>#VALUE!</v>
      </c>
      <c r="AS223" s="446" t="e">
        <f>IF(OR($B223="",MIN(AS$38,$D$19)&lt;MAX($P$34*($B223+IF($R$17="Distrato",$I$38-1,0)),IF(AND($L$37=0,$P$34=0),"",$L$37-1),IF($R$17="Distrato",$E223,0))),0,YEARFRAC(MAX($P$34*($B223+IF($R$17="Distrato",$I$38-1,0)),IF(AND($L$37=0,$P$34=0),"",$L$37-1),IF($R$17="Distrato",$E223,0)),MIN(AS$38,$D$19),$P$20))-SUM($P223:AR223)</f>
        <v>#VALUE!</v>
      </c>
      <c r="AT223" s="446" t="e">
        <f>IF(OR($B223="",MIN(AT$38,$D$19)&lt;MAX($P$34*($B223+IF($R$17="Distrato",$I$38-1,0)),IF(AND($L$37=0,$P$34=0),"",$L$37-1),IF($R$17="Distrato",$E223,0))),0,YEARFRAC(MAX($P$34*($B223+IF($R$17="Distrato",$I$38-1,0)),IF(AND($L$37=0,$P$34=0),"",$L$37-1),IF($R$17="Distrato",$E223,0)),MIN(AT$38,$D$19),$P$20))-SUM($P223:AS223)</f>
        <v>#VALUE!</v>
      </c>
      <c r="AU223" s="446" t="e">
        <f>IF(OR($B223="",MIN(AU$38,$D$19)&lt;MAX($P$34*($B223+IF($R$17="Distrato",$I$38-1,0)),IF(AND($L$37=0,$P$34=0),"",$L$37-1),IF($R$17="Distrato",$E223,0))),0,YEARFRAC(MAX($P$34*($B223+IF($R$17="Distrato",$I$38-1,0)),IF(AND($L$37=0,$P$34=0),"",$L$37-1),IF($R$17="Distrato",$E223,0)),MIN(AU$38,$D$19),$P$20))-SUM($P223:AT223)</f>
        <v>#VALUE!</v>
      </c>
      <c r="AV223" s="446" t="e">
        <f>IF(OR($B223="",MIN(AV$38,$D$19)&lt;MAX($P$34*($B223+IF($R$17="Distrato",$I$38-1,0)),IF(AND($L$37=0,$P$34=0),"",$L$37-1),IF($R$17="Distrato",$E223,0))),0,YEARFRAC(MAX($P$34*($B223+IF($R$17="Distrato",$I$38-1,0)),IF(AND($L$37=0,$P$34=0),"",$L$37-1),IF($R$17="Distrato",$E223,0)),MIN(AV$38,$D$19),$P$20))-SUM($P223:AU223)</f>
        <v>#VALUE!</v>
      </c>
      <c r="AW223" s="446" t="e">
        <f>IF(OR($B223="",MIN(AW$38,$D$19)&lt;MAX($P$34*($B223+IF($R$17="Distrato",$I$38-1,0)),IF(AND($L$37=0,$P$34=0),"",$L$37-1),IF($R$17="Distrato",$E223,0))),0,YEARFRAC(MAX($P$34*($B223+IF($R$17="Distrato",$I$38-1,0)),IF(AND($L$37=0,$P$34=0),"",$L$37-1),IF($R$17="Distrato",$E223,0)),MIN(AW$38,$D$19),$P$20))-SUM($P223:AV223)</f>
        <v>#VALUE!</v>
      </c>
      <c r="AX223" s="446" t="e">
        <f>IF(OR($B223="",MIN(AX$38,$D$19)&lt;MAX($P$34*($B223+IF($R$17="Distrato",$I$38-1,0)),IF(AND($L$37=0,$P$34=0),"",$L$37-1),IF($R$17="Distrato",$E223,0))),0,YEARFRAC(MAX($P$34*($B223+IF($R$17="Distrato",$I$38-1,0)),IF(AND($L$37=0,$P$34=0),"",$L$37-1),IF($R$17="Distrato",$E223,0)),MIN(AX$38,$D$19),$P$20))-SUM($P223:AW223)</f>
        <v>#VALUE!</v>
      </c>
      <c r="AY223" s="446" t="e">
        <f>IF(OR($B223="",MIN(AY$38,$D$19)&lt;MAX($P$34*($B223+IF($R$17="Distrato",$I$38-1,0)),IF(AND($L$37=0,$P$34=0),"",$L$37-1),IF($R$17="Distrato",$E223,0))),0,YEARFRAC(MAX($P$34*($B223+IF($R$17="Distrato",$I$38-1,0)),IF(AND($L$37=0,$P$34=0),"",$L$37-1),IF($R$17="Distrato",$E223,0)),MIN(AY$38,$D$19),$P$20))-SUM($P223:AX223)</f>
        <v>#VALUE!</v>
      </c>
      <c r="AZ223" s="446" t="e">
        <f>IF(OR($B223="",MIN(AZ$38,$D$19)&lt;MAX($P$34*($B223+IF($R$17="Distrato",$I$38-1,0)),IF(AND($L$37=0,$P$34=0),"",$L$37-1),IF($R$17="Distrato",$E223,0))),0,YEARFRAC(MAX($P$34*($B223+IF($R$17="Distrato",$I$38-1,0)),IF(AND($L$37=0,$P$34=0),"",$L$37-1),IF($R$17="Distrato",$E223,0)),MIN(AZ$38,$D$19),$P$20))-SUM($P223:AY223)</f>
        <v>#VALUE!</v>
      </c>
      <c r="BA223" s="446" t="e">
        <f>IF(OR($B223="",MIN(BA$38,$D$19)&lt;MAX($P$34*($B223+IF($R$17="Distrato",$I$38-1,0)),IF(AND($L$37=0,$P$34=0),"",$L$37-1),IF($R$17="Distrato",$E223,0))),0,YEARFRAC(MAX($P$34*($B223+IF($R$17="Distrato",$I$38-1,0)),IF(AND($L$37=0,$P$34=0),"",$L$37-1),IF($R$17="Distrato",$E223,0)),MIN(BA$38,$D$19),$P$20))-SUM($P223:AZ223)</f>
        <v>#VALUE!</v>
      </c>
      <c r="BB223" s="447"/>
      <c r="BF223" s="446">
        <f t="shared" si="32"/>
        <v>0</v>
      </c>
      <c r="BG223" s="446">
        <f>IF($E223=0,0,IF(MIN(BG$38,$E223)&lt;MAX($P$34*($B223+$I$38-1),IF(AND($L$37=0,$P$34=0),"",$L$37-1)),0,YEARFRAC(MAX($P$34*($B223+$I$38-1),IF(AND($L$37=0,$P$34=0),"",$L$37-1)),MIN(BG$38,$E223),$P$20))-SUM($BF223:BF223))</f>
        <v>0</v>
      </c>
      <c r="BH223" s="446">
        <f>IF($E223=0,0,IF(MIN(BH$38,$E223)&lt;MAX($P$34*($B223+$I$38-1),IF(AND($L$37=0,$P$34=0),"",$L$37-1)),0,YEARFRAC(MAX($P$34*($B223+$I$38-1),IF(AND($L$37=0,$P$34=0),"",$L$37-1)),MIN(BH$38,$E223),$P$20))-SUM($BF223:BG223))</f>
        <v>0</v>
      </c>
      <c r="BI223" s="446">
        <f>IF($E223=0,0,IF(MIN(BI$38,$E223)&lt;MAX($P$34*($B223+$I$38-1),IF(AND($L$37=0,$P$34=0),"",$L$37-1)),0,YEARFRAC(MAX($P$34*($B223+$I$38-1),IF(AND($L$37=0,$P$34=0),"",$L$37-1)),MIN(BI$38,$E223),$P$20))-SUM($BF223:BH223))</f>
        <v>0</v>
      </c>
      <c r="BJ223" s="446">
        <f>IF($E223=0,0,IF(MIN(BJ$38,$E223)&lt;MAX($P$34*($B223+$I$38-1),IF(AND($L$37=0,$P$34=0),"",$L$37-1)),0,YEARFRAC(MAX($P$34*($B223+$I$38-1),IF(AND($L$37=0,$P$34=0),"",$L$37-1)),MIN(BJ$38,$E223),$P$20))-SUM($BF223:BI223))</f>
        <v>0</v>
      </c>
      <c r="BK223" s="446">
        <f>IF($E223=0,0,IF(MIN(BK$38,$E223)&lt;MAX($P$34*($B223+$I$38-1),IF(AND($L$37=0,$P$34=0),"",$L$37-1)),0,YEARFRAC(MAX($P$34*($B223+$I$38-1),IF(AND($L$37=0,$P$34=0),"",$L$37-1)),MIN(BK$38,$E223),$P$20))-SUM($BF223:BJ223))</f>
        <v>0</v>
      </c>
      <c r="BL223" s="446">
        <f>IF($E223=0,0,IF(MIN(BL$38,$E223)&lt;MAX($P$34*($B223+$I$38-1),IF(AND($L$37=0,$P$34=0),"",$L$37-1)),0,YEARFRAC(MAX($P$34*($B223+$I$38-1),IF(AND($L$37=0,$P$34=0),"",$L$37-1)),MIN(BL$38,$E223),$P$20))-SUM($BF223:BK223))</f>
        <v>0</v>
      </c>
      <c r="BM223" s="446">
        <f>IF($E223=0,0,IF(MIN(BM$38,$E223)&lt;MAX($P$34*($B223+$I$38-1),IF(AND($L$37=0,$P$34=0),"",$L$37-1)),0,YEARFRAC(MAX($P$34*($B223+$I$38-1),IF(AND($L$37=0,$P$34=0),"",$L$37-1)),MIN(BM$38,$E223),$P$20))-SUM($BF223:BL223))</f>
        <v>0</v>
      </c>
      <c r="BN223" s="446">
        <f>IF($E223=0,0,IF(MIN(BN$38,$E223)&lt;MAX($P$34*($B223+$I$38-1),IF(AND($L$37=0,$P$34=0),"",$L$37-1)),0,YEARFRAC(MAX($P$34*($B223+$I$38-1),IF(AND($L$37=0,$P$34=0),"",$L$37-1)),MIN(BN$38,$E223),$P$20))-SUM($BF223:BM223))</f>
        <v>0</v>
      </c>
      <c r="BO223" s="446">
        <f>IF($E223=0,0,IF(MIN(BO$38,$E223)&lt;MAX($P$34*($B223+$I$38-1),IF(AND($L$37=0,$P$34=0),"",$L$37-1)),0,YEARFRAC(MAX($P$34*($B223+$I$38-1),IF(AND($L$37=0,$P$34=0),"",$L$37-1)),MIN(BO$38,$E223),$P$20))-SUM($BF223:BN223))</f>
        <v>0</v>
      </c>
      <c r="BP223" s="446">
        <f>IF($E223=0,0,IF(MIN(BP$38,$E223)&lt;MAX($P$34*($B223+$I$38-1),IF(AND($L$37=0,$P$34=0),"",$L$37-1)),0,YEARFRAC(MAX($P$34*($B223+$I$38-1),IF(AND($L$37=0,$P$34=0),"",$L$37-1)),MIN(BP$38,$E223),$P$20))-SUM($BF223:BO223))</f>
        <v>0</v>
      </c>
      <c r="BQ223" s="446">
        <f>IF($E223=0,0,IF(MIN(BQ$38,$E223)&lt;MAX($P$34*($B223+$I$38-1),IF(AND($L$37=0,$P$34=0),"",$L$37-1)),0,YEARFRAC(MAX($P$34*($B223+$I$38-1),IF(AND($L$37=0,$P$34=0),"",$L$37-1)),MIN(BQ$38,$E223),$P$20))-SUM($BF223:BP223))</f>
        <v>0</v>
      </c>
      <c r="BR223" s="446">
        <f>IF($E223=0,0,IF(MIN(BR$38,$E223)&lt;MAX($P$34*($B223+$I$38-1),IF(AND($L$37=0,$P$34=0),"",$L$37-1)),0,YEARFRAC(MAX($P$34*($B223+$I$38-1),IF(AND($L$37=0,$P$34=0),"",$L$37-1)),MIN(BR$38,$E223),$P$20))-SUM($BF223:BQ223))</f>
        <v>0</v>
      </c>
      <c r="BS223" s="446">
        <f>IF($E223=0,0,IF(MIN(BS$38,$E223)&lt;MAX($P$34*($B223+$I$38-1),IF(AND($L$37=0,$P$34=0),"",$L$37-1)),0,YEARFRAC(MAX($P$34*($B223+$I$38-1),IF(AND($L$37=0,$P$34=0),"",$L$37-1)),MIN(BS$38,$E223),$P$20))-SUM($BF223:BR223))</f>
        <v>0</v>
      </c>
      <c r="BT223" s="446">
        <f>IF($E223=0,0,IF(MIN(BT$38,$E223)&lt;MAX($P$34*($B223+$I$38-1),IF(AND($L$37=0,$P$34=0),"",$L$37-1)),0,YEARFRAC(MAX($P$34*($B223+$I$38-1),IF(AND($L$37=0,$P$34=0),"",$L$37-1)),MIN(BT$38,$E223),$P$20))-SUM($BF223:BS223))</f>
        <v>0</v>
      </c>
      <c r="BU223" s="446">
        <f>IF($E223=0,0,IF(MIN(BU$38,$E223)&lt;MAX($P$34*($B223+$I$38-1),IF(AND($L$37=0,$P$34=0),"",$L$37-1)),0,YEARFRAC(MAX($P$34*($B223+$I$38-1),IF(AND($L$37=0,$P$34=0),"",$L$37-1)),MIN(BU$38,$E223),$P$20))-SUM($BF223:BT223))</f>
        <v>0</v>
      </c>
      <c r="BV223" s="446">
        <f>IF($E223=0,0,IF(MIN(BV$38,$E223)&lt;MAX($P$34*($B223+$I$38-1),IF(AND($L$37=0,$P$34=0),"",$L$37-1)),0,YEARFRAC(MAX($P$34*($B223+$I$38-1),IF(AND($L$37=0,$P$34=0),"",$L$37-1)),MIN(BV$38,$E223),$P$20))-SUM($BF223:BU223))</f>
        <v>0</v>
      </c>
      <c r="BW223" s="446">
        <f>IF($E223=0,0,IF(MIN(BW$38,$E223)&lt;MAX($P$34*($B223+$I$38-1),IF(AND($L$37=0,$P$34=0),"",$L$37-1)),0,YEARFRAC(MAX($P$34*($B223+$I$38-1),IF(AND($L$37=0,$P$34=0),"",$L$37-1)),MIN(BW$38,$E223),$P$20))-SUM($BF223:BV223))</f>
        <v>0</v>
      </c>
      <c r="BX223" s="446">
        <f>IF($E223=0,0,IF(MIN(BX$38,$E223)&lt;MAX($P$34*($B223+$I$38-1),IF(AND($L$37=0,$P$34=0),"",$L$37-1)),0,YEARFRAC(MAX($P$34*($B223+$I$38-1),IF(AND($L$37=0,$P$34=0),"",$L$37-1)),MIN(BX$38,$E223),$P$20))-SUM($BF223:BW223))</f>
        <v>0</v>
      </c>
      <c r="BY223" s="446">
        <f>IF($E223=0,0,IF(MIN(BY$38,$E223)&lt;MAX($P$34*($B223+$I$38-1),IF(AND($L$37=0,$P$34=0),"",$L$37-1)),0,YEARFRAC(MAX($P$34*($B223+$I$38-1),IF(AND($L$37=0,$P$34=0),"",$L$37-1)),MIN(BY$38,$E223),$P$20))-SUM($BF223:BX223))</f>
        <v>0</v>
      </c>
      <c r="BZ223" s="446">
        <f>IF($E223=0,0,IF(MIN(BZ$38,$E223)&lt;MAX($P$34*($B223+$I$38-1),IF(AND($L$37=0,$P$34=0),"",$L$37-1)),0,YEARFRAC(MAX($P$34*($B223+$I$38-1),IF(AND($L$37=0,$P$34=0),"",$L$37-1)),MIN(BZ$38,$E223),$P$20))-SUM($BF223:BY223))</f>
        <v>0</v>
      </c>
      <c r="CA223" s="446">
        <f>IF($E223=0,0,IF(MIN(CA$38,$E223)&lt;MAX($P$34*($B223+$I$38-1),IF(AND($L$37=0,$P$34=0),"",$L$37-1)),0,YEARFRAC(MAX($P$34*($B223+$I$38-1),IF(AND($L$37=0,$P$34=0),"",$L$37-1)),MIN(CA$38,$E223),$P$20))-SUM($BF223:BZ223))</f>
        <v>0</v>
      </c>
      <c r="CB223" s="446">
        <f>IF($E223=0,0,IF(MIN(CB$38,$E223)&lt;MAX($P$34*($B223+$I$38-1),IF(AND($L$37=0,$P$34=0),"",$L$37-1)),0,YEARFRAC(MAX($P$34*($B223+$I$38-1),IF(AND($L$37=0,$P$34=0),"",$L$37-1)),MIN(CB$38,$E223),$P$20))-SUM($BF223:CA223))</f>
        <v>0</v>
      </c>
      <c r="CC223" s="446">
        <f>IF($E223=0,0,IF(MIN(CC$38,$E223)&lt;MAX($P$34*($B223+$I$38-1),IF(AND($L$37=0,$P$34=0),"",$L$37-1)),0,YEARFRAC(MAX($P$34*($B223+$I$38-1),IF(AND($L$37=0,$P$34=0),"",$L$37-1)),MIN(CC$38,$E223),$P$20))-SUM($BF223:CB223))</f>
        <v>0</v>
      </c>
      <c r="CD223" s="446">
        <f>IF($E223=0,0,IF(MIN(CD$38,$E223)&lt;MAX($P$34*($B223+$I$38-1),IF(AND($L$37=0,$P$34=0),"",$L$37-1)),0,YEARFRAC(MAX($P$34*($B223+$I$38-1),IF(AND($L$37=0,$P$34=0),"",$L$37-1)),MIN(CD$38,$E223),$P$20))-SUM($BF223:CC223))</f>
        <v>0</v>
      </c>
      <c r="CE223" s="446">
        <f>IF($E223=0,0,IF(MIN(CE$38,$E223)&lt;MAX($P$34*($B223+$I$38-1),IF(AND($L$37=0,$P$34=0),"",$L$37-1)),0,YEARFRAC(MAX($P$34*($B223+$I$38-1),IF(AND($L$37=0,$P$34=0),"",$L$37-1)),MIN(CE$38,$E223),$P$20))-SUM($BF223:CD223))</f>
        <v>0</v>
      </c>
      <c r="CF223" s="446">
        <f>IF($E223=0,0,IF(MIN(CF$38,$E223)&lt;MAX($P$34*($B223+$I$38-1),IF(AND($L$37=0,$P$34=0),"",$L$37-1)),0,YEARFRAC(MAX($P$34*($B223+$I$38-1),IF(AND($L$37=0,$P$34=0),"",$L$37-1)),MIN(CF$38,$E223),$P$20))-SUM($BF223:CE223))</f>
        <v>0</v>
      </c>
      <c r="CG223" s="446">
        <f>IF($E223=0,0,IF(MIN(CG$38,$E223)&lt;MAX($P$34*($B223+$I$38-1),IF(AND($L$37=0,$P$34=0),"",$L$37-1)),0,YEARFRAC(MAX($P$34*($B223+$I$38-1),IF(AND($L$37=0,$P$34=0),"",$L$37-1)),MIN(CG$38,$E223),$P$20))-SUM($BF223:CF223))</f>
        <v>0</v>
      </c>
      <c r="CH223" s="446">
        <f>IF($E223=0,0,IF(MIN(CH$38,$E223)&lt;MAX($P$34*($B223+$I$38-1),IF(AND($L$37=0,$P$34=0),"",$L$37-1)),0,YEARFRAC(MAX($P$34*($B223+$I$38-1),IF(AND($L$37=0,$P$34=0),"",$L$37-1)),MIN(CH$38,$E223),$P$20))-SUM($BF223:CG223))</f>
        <v>0</v>
      </c>
      <c r="CI223" s="446">
        <f>IF($E223=0,0,IF(MIN(CI$38,$E223)&lt;MAX($P$34*($B223+$I$38-1),IF(AND($L$37=0,$P$34=0),"",$L$37-1)),0,YEARFRAC(MAX($P$34*($B223+$I$38-1),IF(AND($L$37=0,$P$34=0),"",$L$37-1)),MIN(CI$38,$E223),$P$20))-SUM($BF223:CH223))</f>
        <v>0</v>
      </c>
      <c r="CJ223" s="446">
        <f>IF($E223=0,0,IF(MIN(CJ$38,$E223)&lt;MAX($P$34*($B223+$I$38-1),IF(AND($L$37=0,$P$34=0),"",$L$37-1)),0,YEARFRAC(MAX($P$34*($B223+$I$38-1),IF(AND($L$37=0,$P$34=0),"",$L$37-1)),MIN(CJ$38,$E223),$P$20))-SUM($BF223:CI223))</f>
        <v>0</v>
      </c>
      <c r="CK223" s="446">
        <f>IF($E223=0,0,IF(MIN(CK$38,$E223)&lt;MAX($P$34*($B223+$I$38-1),IF(AND($L$37=0,$P$34=0),"",$L$37-1)),0,YEARFRAC(MAX($P$34*($B223+$I$38-1),IF(AND($L$37=0,$P$34=0),"",$L$37-1)),MIN(CK$38,$E223),$P$20))-SUM($BF223:CJ223))</f>
        <v>0</v>
      </c>
      <c r="CL223" s="446">
        <f>IF($E223=0,0,IF(MIN(CL$38,$E223)&lt;MAX($P$34*($B223+$I$38-1),IF(AND($L$37=0,$P$34=0),"",$L$37-1)),0,YEARFRAC(MAX($P$34*($B223+$I$38-1),IF(AND($L$37=0,$P$34=0),"",$L$37-1)),MIN(CL$38,$E223),$P$20))-SUM($BF223:CK223))</f>
        <v>0</v>
      </c>
      <c r="CM223" s="446">
        <f>IF($E223=0,0,IF(MIN(CM$38,$E223)&lt;MAX($P$34*($B223+$I$38-1),IF(AND($L$37=0,$P$34=0),"",$L$37-1)),0,YEARFRAC(MAX($P$34*($B223+$I$38-1),IF(AND($L$37=0,$P$34=0),"",$L$37-1)),MIN(CM$38,$E223),$P$20))-SUM($BF223:CL223))</f>
        <v>0</v>
      </c>
      <c r="CN223" s="446">
        <f>IF($E223=0,0,IF(MIN(CN$38,$E223)&lt;MAX($P$34*($B223+$I$38-1),IF(AND($L$37=0,$P$34=0),"",$L$37-1)),0,YEARFRAC(MAX($P$34*($B223+$I$38-1),IF(AND($L$37=0,$P$34=0),"",$L$37-1)),MIN(CN$38,$E223),$P$20))-SUM($BF223:CM223))</f>
        <v>0</v>
      </c>
      <c r="CO223" s="446">
        <f>IF($E223=0,0,IF(MIN(CO$38,$E223)&lt;MAX($P$34*($B223+$I$38-1),IF(AND($L$37=0,$P$34=0),"",$L$37-1)),0,YEARFRAC(MAX($P$34*($B223+$I$38-1),IF(AND($L$37=0,$P$34=0),"",$L$37-1)),MIN(CO$38,$E223),$P$20))-SUM($BF223:CN223))</f>
        <v>0</v>
      </c>
      <c r="CP223" s="446">
        <f>IF($E223=0,0,IF(MIN(CP$38,$E223)&lt;MAX($P$34*($B223+$I$38-1),IF(AND($L$37=0,$P$34=0),"",$L$37-1)),0,YEARFRAC(MAX($P$34*($B223+$I$38-1),IF(AND($L$37=0,$P$34=0),"",$L$37-1)),MIN(CP$38,$E223),$P$20))-SUM($BF223:CO223))</f>
        <v>0</v>
      </c>
      <c r="CQ223" s="446">
        <f>IF($E223=0,0,IF(MIN(CQ$38,$E223)&lt;MAX($P$34*($B223+$I$38-1),IF(AND($L$37=0,$P$34=0),"",$L$37-1)),0,YEARFRAC(MAX($P$34*($B223+$I$38-1),IF(AND($L$37=0,$P$34=0),"",$L$37-1)),MIN(CQ$38,$E223),$P$20))-SUM($BF223:CP223))</f>
        <v>0</v>
      </c>
    </row>
    <row r="224" spans="1:95" s="446" customFormat="1" ht="11.25" hidden="1" customHeight="1" x14ac:dyDescent="0.2">
      <c r="A224" s="152"/>
      <c r="B224" s="153" t="str">
        <f t="shared" si="37"/>
        <v/>
      </c>
      <c r="C224" s="29" t="str">
        <f>IF(B224="","",IF($L$35="SELIC - TRIBUTOS",VLOOKUP(DATE(YEAR($D$19),MONTH($D$19)-1,1),ÍNDICES!$A:$DE,HLOOKUP($BL$25,ÍNDICES!$B$3:$T$4,2)+11)-VLOOKUP(B224,ÍNDICES!$A:$DE,HLOOKUP($BL$25,ÍNDICES!$B$3:$T$4,2)+11)+1%,IF(C$38=$W$26,$J$35,IF(ISERROR(IF(B224&gt;$D$19,1,VLOOKUP(DATE(YEAR(B224),MONTH(B224)+IF($C$35=$S$23,1,0),1),ÍNDICES!$A:$DE,$Z$35+1))),"",IF(B224&gt;$D$19,1,VLOOKUP(DATE(YEAR(B224),MONTH(B224)+IF($C$35=$S$23,1,0),1),ÍNDICES!$A:$DE,$Z$35+1))))))</f>
        <v/>
      </c>
      <c r="D224" s="154" t="str">
        <f>IF(ISERROR(IF(OR($D$38=$Y$27,$B224=""),"",VLOOKUP(B224,ÍNDICES!A:DE,AF$35+1))),"",IF(OR($D$38=$Y$27,$B224=""),"",VLOOKUP(B224,ÍNDICES!A:DE,AF$35+1)))</f>
        <v/>
      </c>
      <c r="E224" s="153"/>
      <c r="F224" s="29" t="str">
        <f>IF(E224="","",IF($L$35="SELIC - TRIBUTOS",VLOOKUP(DATE(YEAR($D$19),MONTH($D$19)-1,1),ÍNDICES!$A:$DE,HLOOKUP($BL$25,ÍNDICES!$B$3:$T$4,2)+11)-VLOOKUP(E224,ÍNDICES!$A:$DE,HLOOKUP($BL$25,ÍNDICES!$B$3:$T$4,2)+11)+1%,IF(F$38=$W$26,$J$35,IF(ISERROR(IF(E224&gt;$D$19,1,VLOOKUP(DATE(YEAR(E224),MONTH(E224)+IF($C$35=$S$23,1,0),1),ÍNDICES!$A:$DE,$Z$35+1))),"",IF(E224&gt;$D$19,1,VLOOKUP(DATE(YEAR(E224),MONTH(E224)+IF($C$35=$S$23,1,0),1),ÍNDICES!$A:$DE,$Z$35+1))))))</f>
        <v/>
      </c>
      <c r="G224" s="155"/>
      <c r="H224" s="156" t="str">
        <f t="shared" si="33"/>
        <v/>
      </c>
      <c r="I224" s="29" t="str">
        <f t="shared" si="27"/>
        <v/>
      </c>
      <c r="J224" s="5">
        <f t="shared" si="28"/>
        <v>0</v>
      </c>
      <c r="K224" s="20">
        <f t="shared" ca="1" si="29"/>
        <v>0</v>
      </c>
      <c r="L224" s="5">
        <f t="shared" ca="1" si="30"/>
        <v>0</v>
      </c>
      <c r="M224" s="64">
        <f t="shared" si="34"/>
        <v>0</v>
      </c>
      <c r="N224" s="61">
        <f t="shared" ca="1" si="35"/>
        <v>0</v>
      </c>
      <c r="O224" s="5">
        <f t="shared" ca="1" si="36"/>
        <v>0</v>
      </c>
      <c r="P224" s="446" t="e">
        <f t="shared" si="31"/>
        <v>#VALUE!</v>
      </c>
      <c r="Q224" s="446" t="e">
        <f>IF(OR($B224="",MIN(Q$38,$D$19)&lt;MAX($P$34*($B224+IF($R$17="Distrato",$I$38-1,0)),IF(AND($L$37=0,$P$34=0),"",$L$37-1),IF($R$17="Distrato",$E224,0))),0,YEARFRAC(MAX($P$34*($B224+IF($R$17="Distrato",$I$38-1,0)),IF(AND($L$37=0,$P$34=0),"",$L$37-1),IF($R$17="Distrato",$E224,0)),MIN(Q$38,$D$19),$P$20))-SUM($P224:P224)</f>
        <v>#VALUE!</v>
      </c>
      <c r="R224" s="446" t="e">
        <f>IF(OR($B224="",MIN(R$38,$D$19)&lt;MAX($P$34*($B224+IF($R$17="Distrato",$I$38-1,0)),IF(AND($L$37=0,$P$34=0),"",$L$37-1),IF($R$17="Distrato",$E224,0))),0,YEARFRAC(MAX($P$34*($B224+IF($R$17="Distrato",$I$38-1,0)),IF(AND($L$37=0,$P$34=0),"",$L$37-1),IF($R$17="Distrato",$E224,0)),MIN(R$38,$D$19),$P$20))-SUM($P224:Q224)</f>
        <v>#VALUE!</v>
      </c>
      <c r="S224" s="446" t="e">
        <f>IF(OR($B224="",MIN(S$38,$D$19)&lt;MAX($P$34*($B224+IF($R$17="Distrato",$I$38-1,0)),IF(AND($L$37=0,$P$34=0),"",$L$37-1),IF($R$17="Distrato",$E224,0))),0,YEARFRAC(MAX($P$34*($B224+IF($R$17="Distrato",$I$38-1,0)),IF(AND($L$37=0,$P$34=0),"",$L$37-1),IF($R$17="Distrato",$E224,0)),MIN(S$38,$D$19),$P$20))-SUM($P224:R224)</f>
        <v>#VALUE!</v>
      </c>
      <c r="T224" s="446" t="e">
        <f>IF(OR($B224="",MIN(T$38,$D$19)&lt;MAX($P$34*($B224+IF($R$17="Distrato",$I$38-1,0)),IF(AND($L$37=0,$P$34=0),"",$L$37-1),IF($R$17="Distrato",$E224,0))),0,YEARFRAC(MAX($P$34*($B224+IF($R$17="Distrato",$I$38-1,0)),IF(AND($L$37=0,$P$34=0),"",$L$37-1),IF($R$17="Distrato",$E224,0)),MIN(T$38,$D$19),$P$20))-SUM($P224:S224)</f>
        <v>#VALUE!</v>
      </c>
      <c r="U224" s="446" t="e">
        <f>IF(OR($B224="",MIN(U$38,$D$19)&lt;MAX($P$34*($B224+IF($R$17="Distrato",$I$38-1,0)),IF(AND($L$37=0,$P$34=0),"",$L$37-1),IF($R$17="Distrato",$E224,0))),0,YEARFRAC(MAX($P$34*($B224+IF($R$17="Distrato",$I$38-1,0)),IF(AND($L$37=0,$P$34=0),"",$L$37-1),IF($R$17="Distrato",$E224,0)),MIN(U$38,$D$19),$P$20))-SUM($P224:T224)</f>
        <v>#VALUE!</v>
      </c>
      <c r="V224" s="446" t="e">
        <f>IF(OR($B224="",MIN(V$38,$D$19)&lt;MAX($P$34*($B224+IF($R$17="Distrato",$I$38-1,0)),IF(AND($L$37=0,$P$34=0),"",$L$37-1),IF($R$17="Distrato",$E224,0))),0,YEARFRAC(MAX($P$34*($B224+IF($R$17="Distrato",$I$38-1,0)),IF(AND($L$37=0,$P$34=0),"",$L$37-1),IF($R$17="Distrato",$E224,0)),MIN(V$38,$D$19),$P$20))-SUM($P224:U224)</f>
        <v>#VALUE!</v>
      </c>
      <c r="W224" s="446" t="e">
        <f>IF(OR($B224="",MIN(W$38,$D$19)&lt;MAX($P$34*($B224+IF($R$17="Distrato",$I$38-1,0)),IF(AND($L$37=0,$P$34=0),"",$L$37-1),IF($R$17="Distrato",$E224,0))),0,YEARFRAC(MAX($P$34*($B224+IF($R$17="Distrato",$I$38-1,0)),IF(AND($L$37=0,$P$34=0),"",$L$37-1),IF($R$17="Distrato",$E224,0)),MIN(W$38,$D$19),$P$20))-SUM($P224:V224)</f>
        <v>#VALUE!</v>
      </c>
      <c r="X224" s="446" t="e">
        <f>IF(OR($B224="",MIN(X$38,$D$19)&lt;MAX($P$34*($B224+IF($R$17="Distrato",$I$38-1,0)),IF(AND($L$37=0,$P$34=0),"",$L$37-1),IF($R$17="Distrato",$E224,0))),0,YEARFRAC(MAX($P$34*($B224+IF($R$17="Distrato",$I$38-1,0)),IF(AND($L$37=0,$P$34=0),"",$L$37-1),IF($R$17="Distrato",$E224,0)),MIN(X$38,$D$19),$P$20))-SUM($P224:W224)</f>
        <v>#VALUE!</v>
      </c>
      <c r="Y224" s="446" t="e">
        <f>IF(OR($B224="",MIN(Y$38,$D$19)&lt;MAX($P$34*($B224+IF($R$17="Distrato",$I$38-1,0)),IF(AND($L$37=0,$P$34=0),"",$L$37-1),IF($R$17="Distrato",$E224,0))),0,YEARFRAC(MAX($P$34*($B224+IF($R$17="Distrato",$I$38-1,0)),IF(AND($L$37=0,$P$34=0),"",$L$37-1),IF($R$17="Distrato",$E224,0)),MIN(Y$38,$D$19),$P$20))-SUM($P224:X224)</f>
        <v>#VALUE!</v>
      </c>
      <c r="Z224" s="446" t="e">
        <f>IF(OR($B224="",MIN(Z$38,$D$19)&lt;MAX($P$34*($B224+IF($R$17="Distrato",$I$38-1,0)),IF(AND($L$37=0,$P$34=0),"",$L$37-1),IF($R$17="Distrato",$E224,0))),0,YEARFRAC(MAX($P$34*($B224+IF($R$17="Distrato",$I$38-1,0)),IF(AND($L$37=0,$P$34=0),"",$L$37-1),IF($R$17="Distrato",$E224,0)),MIN(Z$38,$D$19),$P$20))-SUM($P224:Y224)</f>
        <v>#VALUE!</v>
      </c>
      <c r="AA224" s="446" t="e">
        <f>IF(OR($B224="",MIN(AA$38,$D$19)&lt;MAX($P$34*($B224+IF($R$17="Distrato",$I$38-1,0)),IF(AND($L$37=0,$P$34=0),"",$L$37-1),IF($R$17="Distrato",$E224,0))),0,YEARFRAC(MAX($P$34*($B224+IF($R$17="Distrato",$I$38-1,0)),IF(AND($L$37=0,$P$34=0),"",$L$37-1),IF($R$17="Distrato",$E224,0)),MIN(AA$38,$D$19),$P$20))-SUM($P224:Z224)</f>
        <v>#VALUE!</v>
      </c>
      <c r="AB224" s="446" t="e">
        <f>IF(OR($B224="",MIN(AB$38,$D$19)&lt;MAX($P$34*($B224+IF($R$17="Distrato",$I$38-1,0)),IF(AND($L$37=0,$P$34=0),"",$L$37-1),IF($R$17="Distrato",$E224,0))),0,YEARFRAC(MAX($P$34*($B224+IF($R$17="Distrato",$I$38-1,0)),IF(AND($L$37=0,$P$34=0),"",$L$37-1),IF($R$17="Distrato",$E224,0)),MIN(AB$38,$D$19),$P$20))-SUM($P224:AA224)</f>
        <v>#VALUE!</v>
      </c>
      <c r="AC224" s="446" t="e">
        <f>IF(OR($B224="",MIN(AC$38,$D$19)&lt;MAX($P$34*($B224+IF($R$17="Distrato",$I$38-1,0)),IF(AND($L$37=0,$P$34=0),"",$L$37-1),IF($R$17="Distrato",$E224,0))),0,YEARFRAC(MAX($P$34*($B224+IF($R$17="Distrato",$I$38-1,0)),IF(AND($L$37=0,$P$34=0),"",$L$37-1),IF($R$17="Distrato",$E224,0)),MIN(AC$38,$D$19),$P$20))-SUM($P224:AB224)</f>
        <v>#VALUE!</v>
      </c>
      <c r="AD224" s="446" t="e">
        <f>IF(OR($B224="",MIN(AD$38,$D$19)&lt;MAX($P$34*($B224+IF($R$17="Distrato",$I$38-1,0)),IF(AND($L$37=0,$P$34=0),"",$L$37-1),IF($R$17="Distrato",$E224,0))),0,YEARFRAC(MAX($P$34*($B224+IF($R$17="Distrato",$I$38-1,0)),IF(AND($L$37=0,$P$34=0),"",$L$37-1),IF($R$17="Distrato",$E224,0)),MIN(AD$38,$D$19),$P$20))-SUM($P224:AC224)</f>
        <v>#VALUE!</v>
      </c>
      <c r="AE224" s="446" t="e">
        <f>IF(OR($B224="",MIN(AE$38,$D$19)&lt;MAX($P$34*($B224+IF($R$17="Distrato",$I$38-1,0)),IF(AND($L$37=0,$P$34=0),"",$L$37-1),IF($R$17="Distrato",$E224,0))),0,YEARFRAC(MAX($P$34*($B224+IF($R$17="Distrato",$I$38-1,0)),IF(AND($L$37=0,$P$34=0),"",$L$37-1),IF($R$17="Distrato",$E224,0)),MIN(AE$38,$D$19),$P$20))-SUM($P224:AD224)</f>
        <v>#VALUE!</v>
      </c>
      <c r="AF224" s="446" t="e">
        <f>IF(OR($B224="",MIN(AF$38,$D$19)&lt;MAX($P$34*($B224+IF($R$17="Distrato",$I$38-1,0)),IF(AND($L$37=0,$P$34=0),"",$L$37-1),IF($R$17="Distrato",$E224,0))),0,YEARFRAC(MAX($P$34*($B224+IF($R$17="Distrato",$I$38-1,0)),IF(AND($L$37=0,$P$34=0),"",$L$37-1),IF($R$17="Distrato",$E224,0)),MIN(AF$38,$D$19),$P$20))-SUM($P224:AE224)</f>
        <v>#VALUE!</v>
      </c>
      <c r="AG224" s="446" t="e">
        <f>IF(OR($B224="",MIN(AG$38,$D$19)&lt;MAX($P$34*($B224+IF($R$17="Distrato",$I$38-1,0)),IF(AND($L$37=0,$P$34=0),"",$L$37-1),IF($R$17="Distrato",$E224,0))),0,YEARFRAC(MAX($P$34*($B224+IF($R$17="Distrato",$I$38-1,0)),IF(AND($L$37=0,$P$34=0),"",$L$37-1),IF($R$17="Distrato",$E224,0)),MIN(AG$38,$D$19),$P$20))-SUM($P224:AF224)</f>
        <v>#VALUE!</v>
      </c>
      <c r="AH224" s="446" t="e">
        <f>IF(OR($B224="",MIN(AH$38,$D$19)&lt;MAX($P$34*($B224+IF($R$17="Distrato",$I$38-1,0)),IF(AND($L$37=0,$P$34=0),"",$L$37-1),IF($R$17="Distrato",$E224,0))),0,YEARFRAC(MAX($P$34*($B224+IF($R$17="Distrato",$I$38-1,0)),IF(AND($L$37=0,$P$34=0),"",$L$37-1),IF($R$17="Distrato",$E224,0)),MIN(AH$38,$D$19),$P$20))-SUM($P224:AG224)</f>
        <v>#VALUE!</v>
      </c>
      <c r="AI224" s="446" t="e">
        <f>IF(OR($B224="",MIN(AI$38,$D$19)&lt;MAX($P$34*($B224+IF($R$17="Distrato",$I$38-1,0)),IF(AND($L$37=0,$P$34=0),"",$L$37-1),IF($R$17="Distrato",$E224,0))),0,YEARFRAC(MAX($P$34*($B224+IF($R$17="Distrato",$I$38-1,0)),IF(AND($L$37=0,$P$34=0),"",$L$37-1),IF($R$17="Distrato",$E224,0)),MIN(AI$38,$D$19),$P$20))-SUM($P224:AH224)</f>
        <v>#VALUE!</v>
      </c>
      <c r="AJ224" s="446" t="e">
        <f>IF(OR($B224="",MIN(AJ$38,$D$19)&lt;MAX($P$34*($B224+IF($R$17="Distrato",$I$38-1,0)),IF(AND($L$37=0,$P$34=0),"",$L$37-1),IF($R$17="Distrato",$E224,0))),0,YEARFRAC(MAX($P$34*($B224+IF($R$17="Distrato",$I$38-1,0)),IF(AND($L$37=0,$P$34=0),"",$L$37-1),IF($R$17="Distrato",$E224,0)),MIN(AJ$38,$D$19),$P$20))-SUM($P224:AI224)</f>
        <v>#VALUE!</v>
      </c>
      <c r="AK224" s="446" t="e">
        <f>IF(OR($B224="",MIN(AK$38,$D$19)&lt;MAX($P$34*($B224+IF($R$17="Distrato",$I$38-1,0)),IF(AND($L$37=0,$P$34=0),"",$L$37-1),IF($R$17="Distrato",$E224,0))),0,YEARFRAC(MAX($P$34*($B224+IF($R$17="Distrato",$I$38-1,0)),IF(AND($L$37=0,$P$34=0),"",$L$37-1),IF($R$17="Distrato",$E224,0)),MIN(AK$38,$D$19),$P$20))-SUM($P224:AJ224)</f>
        <v>#VALUE!</v>
      </c>
      <c r="AL224" s="446" t="e">
        <f>IF(OR($B224="",MIN(AL$38,$D$19)&lt;MAX($P$34*($B224+IF($R$17="Distrato",$I$38-1,0)),IF(AND($L$37=0,$P$34=0),"",$L$37-1),IF($R$17="Distrato",$E224,0))),0,YEARFRAC(MAX($P$34*($B224+IF($R$17="Distrato",$I$38-1,0)),IF(AND($L$37=0,$P$34=0),"",$L$37-1),IF($R$17="Distrato",$E224,0)),MIN(AL$38,$D$19),$P$20))-SUM($P224:AK224)</f>
        <v>#VALUE!</v>
      </c>
      <c r="AM224" s="446" t="e">
        <f>IF(OR($B224="",MIN(AM$38,$D$19)&lt;MAX($P$34*($B224+IF($R$17="Distrato",$I$38-1,0)),IF(AND($L$37=0,$P$34=0),"",$L$37-1),IF($R$17="Distrato",$E224,0))),0,YEARFRAC(MAX($P$34*($B224+IF($R$17="Distrato",$I$38-1,0)),IF(AND($L$37=0,$P$34=0),"",$L$37-1),IF($R$17="Distrato",$E224,0)),MIN(AM$38,$D$19),$P$20))-SUM($P224:AL224)</f>
        <v>#VALUE!</v>
      </c>
      <c r="AN224" s="446" t="e">
        <f>IF(OR($B224="",MIN(AN$38,$D$19)&lt;MAX($P$34*($B224+IF($R$17="Distrato",$I$38-1,0)),IF(AND($L$37=0,$P$34=0),"",$L$37-1),IF($R$17="Distrato",$E224,0))),0,YEARFRAC(MAX($P$34*($B224+IF($R$17="Distrato",$I$38-1,0)),IF(AND($L$37=0,$P$34=0),"",$L$37-1),IF($R$17="Distrato",$E224,0)),MIN(AN$38,$D$19),$P$20))-SUM($P224:AM224)</f>
        <v>#VALUE!</v>
      </c>
      <c r="AO224" s="446" t="e">
        <f>IF(OR($B224="",MIN(AO$38,$D$19)&lt;MAX($P$34*($B224+IF($R$17="Distrato",$I$38-1,0)),IF(AND($L$37=0,$P$34=0),"",$L$37-1),IF($R$17="Distrato",$E224,0))),0,YEARFRAC(MAX($P$34*($B224+IF($R$17="Distrato",$I$38-1,0)),IF(AND($L$37=0,$P$34=0),"",$L$37-1),IF($R$17="Distrato",$E224,0)),MIN(AO$38,$D$19),$P$20))-SUM($P224:AN224)</f>
        <v>#VALUE!</v>
      </c>
      <c r="AP224" s="446" t="e">
        <f>IF(OR($B224="",MIN(AP$38,$D$19)&lt;MAX($P$34*($B224+IF($R$17="Distrato",$I$38-1,0)),IF(AND($L$37=0,$P$34=0),"",$L$37-1),IF($R$17="Distrato",$E224,0))),0,YEARFRAC(MAX($P$34*($B224+IF($R$17="Distrato",$I$38-1,0)),IF(AND($L$37=0,$P$34=0),"",$L$37-1),IF($R$17="Distrato",$E224,0)),MIN(AP$38,$D$19),$P$20))-SUM($P224:AO224)</f>
        <v>#VALUE!</v>
      </c>
      <c r="AQ224" s="446" t="e">
        <f>IF(OR($B224="",MIN(AQ$38,$D$19)&lt;MAX($P$34*($B224+IF($R$17="Distrato",$I$38-1,0)),IF(AND($L$37=0,$P$34=0),"",$L$37-1),IF($R$17="Distrato",$E224,0))),0,YEARFRAC(MAX($P$34*($B224+IF($R$17="Distrato",$I$38-1,0)),IF(AND($L$37=0,$P$34=0),"",$L$37-1),IF($R$17="Distrato",$E224,0)),MIN(AQ$38,$D$19),$P$20))-SUM($P224:AP224)</f>
        <v>#VALUE!</v>
      </c>
      <c r="AR224" s="446" t="e">
        <f>IF(OR($B224="",MIN(AR$38,$D$19)&lt;MAX($P$34*($B224+IF($R$17="Distrato",$I$38-1,0)),IF(AND($L$37=0,$P$34=0),"",$L$37-1),IF($R$17="Distrato",$E224,0))),0,YEARFRAC(MAX($P$34*($B224+IF($R$17="Distrato",$I$38-1,0)),IF(AND($L$37=0,$P$34=0),"",$L$37-1),IF($R$17="Distrato",$E224,0)),MIN(AR$38,$D$19),$P$20))-SUM($P224:AQ224)</f>
        <v>#VALUE!</v>
      </c>
      <c r="AS224" s="446" t="e">
        <f>IF(OR($B224="",MIN(AS$38,$D$19)&lt;MAX($P$34*($B224+IF($R$17="Distrato",$I$38-1,0)),IF(AND($L$37=0,$P$34=0),"",$L$37-1),IF($R$17="Distrato",$E224,0))),0,YEARFRAC(MAX($P$34*($B224+IF($R$17="Distrato",$I$38-1,0)),IF(AND($L$37=0,$P$34=0),"",$L$37-1),IF($R$17="Distrato",$E224,0)),MIN(AS$38,$D$19),$P$20))-SUM($P224:AR224)</f>
        <v>#VALUE!</v>
      </c>
      <c r="AT224" s="446" t="e">
        <f>IF(OR($B224="",MIN(AT$38,$D$19)&lt;MAX($P$34*($B224+IF($R$17="Distrato",$I$38-1,0)),IF(AND($L$37=0,$P$34=0),"",$L$37-1),IF($R$17="Distrato",$E224,0))),0,YEARFRAC(MAX($P$34*($B224+IF($R$17="Distrato",$I$38-1,0)),IF(AND($L$37=0,$P$34=0),"",$L$37-1),IF($R$17="Distrato",$E224,0)),MIN(AT$38,$D$19),$P$20))-SUM($P224:AS224)</f>
        <v>#VALUE!</v>
      </c>
      <c r="AU224" s="446" t="e">
        <f>IF(OR($B224="",MIN(AU$38,$D$19)&lt;MAX($P$34*($B224+IF($R$17="Distrato",$I$38-1,0)),IF(AND($L$37=0,$P$34=0),"",$L$37-1),IF($R$17="Distrato",$E224,0))),0,YEARFRAC(MAX($P$34*($B224+IF($R$17="Distrato",$I$38-1,0)),IF(AND($L$37=0,$P$34=0),"",$L$37-1),IF($R$17="Distrato",$E224,0)),MIN(AU$38,$D$19),$P$20))-SUM($P224:AT224)</f>
        <v>#VALUE!</v>
      </c>
      <c r="AV224" s="446" t="e">
        <f>IF(OR($B224="",MIN(AV$38,$D$19)&lt;MAX($P$34*($B224+IF($R$17="Distrato",$I$38-1,0)),IF(AND($L$37=0,$P$34=0),"",$L$37-1),IF($R$17="Distrato",$E224,0))),0,YEARFRAC(MAX($P$34*($B224+IF($R$17="Distrato",$I$38-1,0)),IF(AND($L$37=0,$P$34=0),"",$L$37-1),IF($R$17="Distrato",$E224,0)),MIN(AV$38,$D$19),$P$20))-SUM($P224:AU224)</f>
        <v>#VALUE!</v>
      </c>
      <c r="AW224" s="446" t="e">
        <f>IF(OR($B224="",MIN(AW$38,$D$19)&lt;MAX($P$34*($B224+IF($R$17="Distrato",$I$38-1,0)),IF(AND($L$37=0,$P$34=0),"",$L$37-1),IF($R$17="Distrato",$E224,0))),0,YEARFRAC(MAX($P$34*($B224+IF($R$17="Distrato",$I$38-1,0)),IF(AND($L$37=0,$P$34=0),"",$L$37-1),IF($R$17="Distrato",$E224,0)),MIN(AW$38,$D$19),$P$20))-SUM($P224:AV224)</f>
        <v>#VALUE!</v>
      </c>
      <c r="AX224" s="446" t="e">
        <f>IF(OR($B224="",MIN(AX$38,$D$19)&lt;MAX($P$34*($B224+IF($R$17="Distrato",$I$38-1,0)),IF(AND($L$37=0,$P$34=0),"",$L$37-1),IF($R$17="Distrato",$E224,0))),0,YEARFRAC(MAX($P$34*($B224+IF($R$17="Distrato",$I$38-1,0)),IF(AND($L$37=0,$P$34=0),"",$L$37-1),IF($R$17="Distrato",$E224,0)),MIN(AX$38,$D$19),$P$20))-SUM($P224:AW224)</f>
        <v>#VALUE!</v>
      </c>
      <c r="AY224" s="446" t="e">
        <f>IF(OR($B224="",MIN(AY$38,$D$19)&lt;MAX($P$34*($B224+IF($R$17="Distrato",$I$38-1,0)),IF(AND($L$37=0,$P$34=0),"",$L$37-1),IF($R$17="Distrato",$E224,0))),0,YEARFRAC(MAX($P$34*($B224+IF($R$17="Distrato",$I$38-1,0)),IF(AND($L$37=0,$P$34=0),"",$L$37-1),IF($R$17="Distrato",$E224,0)),MIN(AY$38,$D$19),$P$20))-SUM($P224:AX224)</f>
        <v>#VALUE!</v>
      </c>
      <c r="AZ224" s="446" t="e">
        <f>IF(OR($B224="",MIN(AZ$38,$D$19)&lt;MAX($P$34*($B224+IF($R$17="Distrato",$I$38-1,0)),IF(AND($L$37=0,$P$34=0),"",$L$37-1),IF($R$17="Distrato",$E224,0))),0,YEARFRAC(MAX($P$34*($B224+IF($R$17="Distrato",$I$38-1,0)),IF(AND($L$37=0,$P$34=0),"",$L$37-1),IF($R$17="Distrato",$E224,0)),MIN(AZ$38,$D$19),$P$20))-SUM($P224:AY224)</f>
        <v>#VALUE!</v>
      </c>
      <c r="BA224" s="446" t="e">
        <f>IF(OR($B224="",MIN(BA$38,$D$19)&lt;MAX($P$34*($B224+IF($R$17="Distrato",$I$38-1,0)),IF(AND($L$37=0,$P$34=0),"",$L$37-1),IF($R$17="Distrato",$E224,0))),0,YEARFRAC(MAX($P$34*($B224+IF($R$17="Distrato",$I$38-1,0)),IF(AND($L$37=0,$P$34=0),"",$L$37-1),IF($R$17="Distrato",$E224,0)),MIN(BA$38,$D$19),$P$20))-SUM($P224:AZ224)</f>
        <v>#VALUE!</v>
      </c>
      <c r="BB224" s="447"/>
      <c r="BF224" s="446">
        <f t="shared" si="32"/>
        <v>0</v>
      </c>
      <c r="BG224" s="446">
        <f>IF($E224=0,0,IF(MIN(BG$38,$E224)&lt;MAX($P$34*($B224+$I$38-1),IF(AND($L$37=0,$P$34=0),"",$L$37-1)),0,YEARFRAC(MAX($P$34*($B224+$I$38-1),IF(AND($L$37=0,$P$34=0),"",$L$37-1)),MIN(BG$38,$E224),$P$20))-SUM($BF224:BF224))</f>
        <v>0</v>
      </c>
      <c r="BH224" s="446">
        <f>IF($E224=0,0,IF(MIN(BH$38,$E224)&lt;MAX($P$34*($B224+$I$38-1),IF(AND($L$37=0,$P$34=0),"",$L$37-1)),0,YEARFRAC(MAX($P$34*($B224+$I$38-1),IF(AND($L$37=0,$P$34=0),"",$L$37-1)),MIN(BH$38,$E224),$P$20))-SUM($BF224:BG224))</f>
        <v>0</v>
      </c>
      <c r="BI224" s="446">
        <f>IF($E224=0,0,IF(MIN(BI$38,$E224)&lt;MAX($P$34*($B224+$I$38-1),IF(AND($L$37=0,$P$34=0),"",$L$37-1)),0,YEARFRAC(MAX($P$34*($B224+$I$38-1),IF(AND($L$37=0,$P$34=0),"",$L$37-1)),MIN(BI$38,$E224),$P$20))-SUM($BF224:BH224))</f>
        <v>0</v>
      </c>
      <c r="BJ224" s="446">
        <f>IF($E224=0,0,IF(MIN(BJ$38,$E224)&lt;MAX($P$34*($B224+$I$38-1),IF(AND($L$37=0,$P$34=0),"",$L$37-1)),0,YEARFRAC(MAX($P$34*($B224+$I$38-1),IF(AND($L$37=0,$P$34=0),"",$L$37-1)),MIN(BJ$38,$E224),$P$20))-SUM($BF224:BI224))</f>
        <v>0</v>
      </c>
      <c r="BK224" s="446">
        <f>IF($E224=0,0,IF(MIN(BK$38,$E224)&lt;MAX($P$34*($B224+$I$38-1),IF(AND($L$37=0,$P$34=0),"",$L$37-1)),0,YEARFRAC(MAX($P$34*($B224+$I$38-1),IF(AND($L$37=0,$P$34=0),"",$L$37-1)),MIN(BK$38,$E224),$P$20))-SUM($BF224:BJ224))</f>
        <v>0</v>
      </c>
      <c r="BL224" s="446">
        <f>IF($E224=0,0,IF(MIN(BL$38,$E224)&lt;MAX($P$34*($B224+$I$38-1),IF(AND($L$37=0,$P$34=0),"",$L$37-1)),0,YEARFRAC(MAX($P$34*($B224+$I$38-1),IF(AND($L$37=0,$P$34=0),"",$L$37-1)),MIN(BL$38,$E224),$P$20))-SUM($BF224:BK224))</f>
        <v>0</v>
      </c>
      <c r="BM224" s="446">
        <f>IF($E224=0,0,IF(MIN(BM$38,$E224)&lt;MAX($P$34*($B224+$I$38-1),IF(AND($L$37=0,$P$34=0),"",$L$37-1)),0,YEARFRAC(MAX($P$34*($B224+$I$38-1),IF(AND($L$37=0,$P$34=0),"",$L$37-1)),MIN(BM$38,$E224),$P$20))-SUM($BF224:BL224))</f>
        <v>0</v>
      </c>
      <c r="BN224" s="446">
        <f>IF($E224=0,0,IF(MIN(BN$38,$E224)&lt;MAX($P$34*($B224+$I$38-1),IF(AND($L$37=0,$P$34=0),"",$L$37-1)),0,YEARFRAC(MAX($P$34*($B224+$I$38-1),IF(AND($L$37=0,$P$34=0),"",$L$37-1)),MIN(BN$38,$E224),$P$20))-SUM($BF224:BM224))</f>
        <v>0</v>
      </c>
      <c r="BO224" s="446">
        <f>IF($E224=0,0,IF(MIN(BO$38,$E224)&lt;MAX($P$34*($B224+$I$38-1),IF(AND($L$37=0,$P$34=0),"",$L$37-1)),0,YEARFRAC(MAX($P$34*($B224+$I$38-1),IF(AND($L$37=0,$P$34=0),"",$L$37-1)),MIN(BO$38,$E224),$P$20))-SUM($BF224:BN224))</f>
        <v>0</v>
      </c>
      <c r="BP224" s="446">
        <f>IF($E224=0,0,IF(MIN(BP$38,$E224)&lt;MAX($P$34*($B224+$I$38-1),IF(AND($L$37=0,$P$34=0),"",$L$37-1)),0,YEARFRAC(MAX($P$34*($B224+$I$38-1),IF(AND($L$37=0,$P$34=0),"",$L$37-1)),MIN(BP$38,$E224),$P$20))-SUM($BF224:BO224))</f>
        <v>0</v>
      </c>
      <c r="BQ224" s="446">
        <f>IF($E224=0,0,IF(MIN(BQ$38,$E224)&lt;MAX($P$34*($B224+$I$38-1),IF(AND($L$37=0,$P$34=0),"",$L$37-1)),0,YEARFRAC(MAX($P$34*($B224+$I$38-1),IF(AND($L$37=0,$P$34=0),"",$L$37-1)),MIN(BQ$38,$E224),$P$20))-SUM($BF224:BP224))</f>
        <v>0</v>
      </c>
      <c r="BR224" s="446">
        <f>IF($E224=0,0,IF(MIN(BR$38,$E224)&lt;MAX($P$34*($B224+$I$38-1),IF(AND($L$37=0,$P$34=0),"",$L$37-1)),0,YEARFRAC(MAX($P$34*($B224+$I$38-1),IF(AND($L$37=0,$P$34=0),"",$L$37-1)),MIN(BR$38,$E224),$P$20))-SUM($BF224:BQ224))</f>
        <v>0</v>
      </c>
      <c r="BS224" s="446">
        <f>IF($E224=0,0,IF(MIN(BS$38,$E224)&lt;MAX($P$34*($B224+$I$38-1),IF(AND($L$37=0,$P$34=0),"",$L$37-1)),0,YEARFRAC(MAX($P$34*($B224+$I$38-1),IF(AND($L$37=0,$P$34=0),"",$L$37-1)),MIN(BS$38,$E224),$P$20))-SUM($BF224:BR224))</f>
        <v>0</v>
      </c>
      <c r="BT224" s="446">
        <f>IF($E224=0,0,IF(MIN(BT$38,$E224)&lt;MAX($P$34*($B224+$I$38-1),IF(AND($L$37=0,$P$34=0),"",$L$37-1)),0,YEARFRAC(MAX($P$34*($B224+$I$38-1),IF(AND($L$37=0,$P$34=0),"",$L$37-1)),MIN(BT$38,$E224),$P$20))-SUM($BF224:BS224))</f>
        <v>0</v>
      </c>
      <c r="BU224" s="446">
        <f>IF($E224=0,0,IF(MIN(BU$38,$E224)&lt;MAX($P$34*($B224+$I$38-1),IF(AND($L$37=0,$P$34=0),"",$L$37-1)),0,YEARFRAC(MAX($P$34*($B224+$I$38-1),IF(AND($L$37=0,$P$34=0),"",$L$37-1)),MIN(BU$38,$E224),$P$20))-SUM($BF224:BT224))</f>
        <v>0</v>
      </c>
      <c r="BV224" s="446">
        <f>IF($E224=0,0,IF(MIN(BV$38,$E224)&lt;MAX($P$34*($B224+$I$38-1),IF(AND($L$37=0,$P$34=0),"",$L$37-1)),0,YEARFRAC(MAX($P$34*($B224+$I$38-1),IF(AND($L$37=0,$P$34=0),"",$L$37-1)),MIN(BV$38,$E224),$P$20))-SUM($BF224:BU224))</f>
        <v>0</v>
      </c>
      <c r="BW224" s="446">
        <f>IF($E224=0,0,IF(MIN(BW$38,$E224)&lt;MAX($P$34*($B224+$I$38-1),IF(AND($L$37=0,$P$34=0),"",$L$37-1)),0,YEARFRAC(MAX($P$34*($B224+$I$38-1),IF(AND($L$37=0,$P$34=0),"",$L$37-1)),MIN(BW$38,$E224),$P$20))-SUM($BF224:BV224))</f>
        <v>0</v>
      </c>
      <c r="BX224" s="446">
        <f>IF($E224=0,0,IF(MIN(BX$38,$E224)&lt;MAX($P$34*($B224+$I$38-1),IF(AND($L$37=0,$P$34=0),"",$L$37-1)),0,YEARFRAC(MAX($P$34*($B224+$I$38-1),IF(AND($L$37=0,$P$34=0),"",$L$37-1)),MIN(BX$38,$E224),$P$20))-SUM($BF224:BW224))</f>
        <v>0</v>
      </c>
      <c r="BY224" s="446">
        <f>IF($E224=0,0,IF(MIN(BY$38,$E224)&lt;MAX($P$34*($B224+$I$38-1),IF(AND($L$37=0,$P$34=0),"",$L$37-1)),0,YEARFRAC(MAX($P$34*($B224+$I$38-1),IF(AND($L$37=0,$P$34=0),"",$L$37-1)),MIN(BY$38,$E224),$P$20))-SUM($BF224:BX224))</f>
        <v>0</v>
      </c>
      <c r="BZ224" s="446">
        <f>IF($E224=0,0,IF(MIN(BZ$38,$E224)&lt;MAX($P$34*($B224+$I$38-1),IF(AND($L$37=0,$P$34=0),"",$L$37-1)),0,YEARFRAC(MAX($P$34*($B224+$I$38-1),IF(AND($L$37=0,$P$34=0),"",$L$37-1)),MIN(BZ$38,$E224),$P$20))-SUM($BF224:BY224))</f>
        <v>0</v>
      </c>
      <c r="CA224" s="446">
        <f>IF($E224=0,0,IF(MIN(CA$38,$E224)&lt;MAX($P$34*($B224+$I$38-1),IF(AND($L$37=0,$P$34=0),"",$L$37-1)),0,YEARFRAC(MAX($P$34*($B224+$I$38-1),IF(AND($L$37=0,$P$34=0),"",$L$37-1)),MIN(CA$38,$E224),$P$20))-SUM($BF224:BZ224))</f>
        <v>0</v>
      </c>
      <c r="CB224" s="446">
        <f>IF($E224=0,0,IF(MIN(CB$38,$E224)&lt;MAX($P$34*($B224+$I$38-1),IF(AND($L$37=0,$P$34=0),"",$L$37-1)),0,YEARFRAC(MAX($P$34*($B224+$I$38-1),IF(AND($L$37=0,$P$34=0),"",$L$37-1)),MIN(CB$38,$E224),$P$20))-SUM($BF224:CA224))</f>
        <v>0</v>
      </c>
      <c r="CC224" s="446">
        <f>IF($E224=0,0,IF(MIN(CC$38,$E224)&lt;MAX($P$34*($B224+$I$38-1),IF(AND($L$37=0,$P$34=0),"",$L$37-1)),0,YEARFRAC(MAX($P$34*($B224+$I$38-1),IF(AND($L$37=0,$P$34=0),"",$L$37-1)),MIN(CC$38,$E224),$P$20))-SUM($BF224:CB224))</f>
        <v>0</v>
      </c>
      <c r="CD224" s="446">
        <f>IF($E224=0,0,IF(MIN(CD$38,$E224)&lt;MAX($P$34*($B224+$I$38-1),IF(AND($L$37=0,$P$34=0),"",$L$37-1)),0,YEARFRAC(MAX($P$34*($B224+$I$38-1),IF(AND($L$37=0,$P$34=0),"",$L$37-1)),MIN(CD$38,$E224),$P$20))-SUM($BF224:CC224))</f>
        <v>0</v>
      </c>
      <c r="CE224" s="446">
        <f>IF($E224=0,0,IF(MIN(CE$38,$E224)&lt;MAX($P$34*($B224+$I$38-1),IF(AND($L$37=0,$P$34=0),"",$L$37-1)),0,YEARFRAC(MAX($P$34*($B224+$I$38-1),IF(AND($L$37=0,$P$34=0),"",$L$37-1)),MIN(CE$38,$E224),$P$20))-SUM($BF224:CD224))</f>
        <v>0</v>
      </c>
      <c r="CF224" s="446">
        <f>IF($E224=0,0,IF(MIN(CF$38,$E224)&lt;MAX($P$34*($B224+$I$38-1),IF(AND($L$37=0,$P$34=0),"",$L$37-1)),0,YEARFRAC(MAX($P$34*($B224+$I$38-1),IF(AND($L$37=0,$P$34=0),"",$L$37-1)),MIN(CF$38,$E224),$P$20))-SUM($BF224:CE224))</f>
        <v>0</v>
      </c>
      <c r="CG224" s="446">
        <f>IF($E224=0,0,IF(MIN(CG$38,$E224)&lt;MAX($P$34*($B224+$I$38-1),IF(AND($L$37=0,$P$34=0),"",$L$37-1)),0,YEARFRAC(MAX($P$34*($B224+$I$38-1),IF(AND($L$37=0,$P$34=0),"",$L$37-1)),MIN(CG$38,$E224),$P$20))-SUM($BF224:CF224))</f>
        <v>0</v>
      </c>
      <c r="CH224" s="446">
        <f>IF($E224=0,0,IF(MIN(CH$38,$E224)&lt;MAX($P$34*($B224+$I$38-1),IF(AND($L$37=0,$P$34=0),"",$L$37-1)),0,YEARFRAC(MAX($P$34*($B224+$I$38-1),IF(AND($L$37=0,$P$34=0),"",$L$37-1)),MIN(CH$38,$E224),$P$20))-SUM($BF224:CG224))</f>
        <v>0</v>
      </c>
      <c r="CI224" s="446">
        <f>IF($E224=0,0,IF(MIN(CI$38,$E224)&lt;MAX($P$34*($B224+$I$38-1),IF(AND($L$37=0,$P$34=0),"",$L$37-1)),0,YEARFRAC(MAX($P$34*($B224+$I$38-1),IF(AND($L$37=0,$P$34=0),"",$L$37-1)),MIN(CI$38,$E224),$P$20))-SUM($BF224:CH224))</f>
        <v>0</v>
      </c>
      <c r="CJ224" s="446">
        <f>IF($E224=0,0,IF(MIN(CJ$38,$E224)&lt;MAX($P$34*($B224+$I$38-1),IF(AND($L$37=0,$P$34=0),"",$L$37-1)),0,YEARFRAC(MAX($P$34*($B224+$I$38-1),IF(AND($L$37=0,$P$34=0),"",$L$37-1)),MIN(CJ$38,$E224),$P$20))-SUM($BF224:CI224))</f>
        <v>0</v>
      </c>
      <c r="CK224" s="446">
        <f>IF($E224=0,0,IF(MIN(CK$38,$E224)&lt;MAX($P$34*($B224+$I$38-1),IF(AND($L$37=0,$P$34=0),"",$L$37-1)),0,YEARFRAC(MAX($P$34*($B224+$I$38-1),IF(AND($L$37=0,$P$34=0),"",$L$37-1)),MIN(CK$38,$E224),$P$20))-SUM($BF224:CJ224))</f>
        <v>0</v>
      </c>
      <c r="CL224" s="446">
        <f>IF($E224=0,0,IF(MIN(CL$38,$E224)&lt;MAX($P$34*($B224+$I$38-1),IF(AND($L$37=0,$P$34=0),"",$L$37-1)),0,YEARFRAC(MAX($P$34*($B224+$I$38-1),IF(AND($L$37=0,$P$34=0),"",$L$37-1)),MIN(CL$38,$E224),$P$20))-SUM($BF224:CK224))</f>
        <v>0</v>
      </c>
      <c r="CM224" s="446">
        <f>IF($E224=0,0,IF(MIN(CM$38,$E224)&lt;MAX($P$34*($B224+$I$38-1),IF(AND($L$37=0,$P$34=0),"",$L$37-1)),0,YEARFRAC(MAX($P$34*($B224+$I$38-1),IF(AND($L$37=0,$P$34=0),"",$L$37-1)),MIN(CM$38,$E224),$P$20))-SUM($BF224:CL224))</f>
        <v>0</v>
      </c>
      <c r="CN224" s="446">
        <f>IF($E224=0,0,IF(MIN(CN$38,$E224)&lt;MAX($P$34*($B224+$I$38-1),IF(AND($L$37=0,$P$34=0),"",$L$37-1)),0,YEARFRAC(MAX($P$34*($B224+$I$38-1),IF(AND($L$37=0,$P$34=0),"",$L$37-1)),MIN(CN$38,$E224),$P$20))-SUM($BF224:CM224))</f>
        <v>0</v>
      </c>
      <c r="CO224" s="446">
        <f>IF($E224=0,0,IF(MIN(CO$38,$E224)&lt;MAX($P$34*($B224+$I$38-1),IF(AND($L$37=0,$P$34=0),"",$L$37-1)),0,YEARFRAC(MAX($P$34*($B224+$I$38-1),IF(AND($L$37=0,$P$34=0),"",$L$37-1)),MIN(CO$38,$E224),$P$20))-SUM($BF224:CN224))</f>
        <v>0</v>
      </c>
      <c r="CP224" s="446">
        <f>IF($E224=0,0,IF(MIN(CP$38,$E224)&lt;MAX($P$34*($B224+$I$38-1),IF(AND($L$37=0,$P$34=0),"",$L$37-1)),0,YEARFRAC(MAX($P$34*($B224+$I$38-1),IF(AND($L$37=0,$P$34=0),"",$L$37-1)),MIN(CP$38,$E224),$P$20))-SUM($BF224:CO224))</f>
        <v>0</v>
      </c>
      <c r="CQ224" s="446">
        <f>IF($E224=0,0,IF(MIN(CQ$38,$E224)&lt;MAX($P$34*($B224+$I$38-1),IF(AND($L$37=0,$P$34=0),"",$L$37-1)),0,YEARFRAC(MAX($P$34*($B224+$I$38-1),IF(AND($L$37=0,$P$34=0),"",$L$37-1)),MIN(CQ$38,$E224),$P$20))-SUM($BF224:CP224))</f>
        <v>0</v>
      </c>
    </row>
    <row r="225" spans="1:95" s="446" customFormat="1" ht="11.25" hidden="1" customHeight="1" x14ac:dyDescent="0.2">
      <c r="A225" s="152"/>
      <c r="B225" s="153" t="str">
        <f t="shared" si="37"/>
        <v/>
      </c>
      <c r="C225" s="29" t="str">
        <f>IF(B225="","",IF($L$35="SELIC - TRIBUTOS",VLOOKUP(DATE(YEAR($D$19),MONTH($D$19)-1,1),ÍNDICES!$A:$DE,HLOOKUP($BL$25,ÍNDICES!$B$3:$T$4,2)+11)-VLOOKUP(B225,ÍNDICES!$A:$DE,HLOOKUP($BL$25,ÍNDICES!$B$3:$T$4,2)+11)+1%,IF(C$38=$W$26,$J$35,IF(ISERROR(IF(B225&gt;$D$19,1,VLOOKUP(DATE(YEAR(B225),MONTH(B225)+IF($C$35=$S$23,1,0),1),ÍNDICES!$A:$DE,$Z$35+1))),"",IF(B225&gt;$D$19,1,VLOOKUP(DATE(YEAR(B225),MONTH(B225)+IF($C$35=$S$23,1,0),1),ÍNDICES!$A:$DE,$Z$35+1))))))</f>
        <v/>
      </c>
      <c r="D225" s="154" t="str">
        <f>IF(ISERROR(IF(OR($D$38=$Y$27,$B225=""),"",VLOOKUP(B225,ÍNDICES!A:DE,AF$35+1))),"",IF(OR($D$38=$Y$27,$B225=""),"",VLOOKUP(B225,ÍNDICES!A:DE,AF$35+1)))</f>
        <v/>
      </c>
      <c r="E225" s="153"/>
      <c r="F225" s="29" t="str">
        <f>IF(E225="","",IF($L$35="SELIC - TRIBUTOS",VLOOKUP(DATE(YEAR($D$19),MONTH($D$19)-1,1),ÍNDICES!$A:$DE,HLOOKUP($BL$25,ÍNDICES!$B$3:$T$4,2)+11)-VLOOKUP(E225,ÍNDICES!$A:$DE,HLOOKUP($BL$25,ÍNDICES!$B$3:$T$4,2)+11)+1%,IF(F$38=$W$26,$J$35,IF(ISERROR(IF(E225&gt;$D$19,1,VLOOKUP(DATE(YEAR(E225),MONTH(E225)+IF($C$35=$S$23,1,0),1),ÍNDICES!$A:$DE,$Z$35+1))),"",IF(E225&gt;$D$19,1,VLOOKUP(DATE(YEAR(E225),MONTH(E225)+IF($C$35=$S$23,1,0),1),ÍNDICES!$A:$DE,$Z$35+1))))))</f>
        <v/>
      </c>
      <c r="G225" s="155"/>
      <c r="H225" s="156" t="str">
        <f t="shared" si="33"/>
        <v/>
      </c>
      <c r="I225" s="29" t="str">
        <f t="shared" si="27"/>
        <v/>
      </c>
      <c r="J225" s="5">
        <f t="shared" si="28"/>
        <v>0</v>
      </c>
      <c r="K225" s="20">
        <f t="shared" ca="1" si="29"/>
        <v>0</v>
      </c>
      <c r="L225" s="5">
        <f t="shared" ca="1" si="30"/>
        <v>0</v>
      </c>
      <c r="M225" s="64">
        <f t="shared" si="34"/>
        <v>0</v>
      </c>
      <c r="N225" s="61">
        <f t="shared" ca="1" si="35"/>
        <v>0</v>
      </c>
      <c r="O225" s="5">
        <f t="shared" ca="1" si="36"/>
        <v>0</v>
      </c>
      <c r="P225" s="446" t="e">
        <f t="shared" si="31"/>
        <v>#VALUE!</v>
      </c>
      <c r="Q225" s="446" t="e">
        <f>IF(OR($B225="",MIN(Q$38,$D$19)&lt;MAX($P$34*($B225+IF($R$17="Distrato",$I$38-1,0)),IF(AND($L$37=0,$P$34=0),"",$L$37-1),IF($R$17="Distrato",$E225,0))),0,YEARFRAC(MAX($P$34*($B225+IF($R$17="Distrato",$I$38-1,0)),IF(AND($L$37=0,$P$34=0),"",$L$37-1),IF($R$17="Distrato",$E225,0)),MIN(Q$38,$D$19),$P$20))-SUM($P225:P225)</f>
        <v>#VALUE!</v>
      </c>
      <c r="R225" s="446" t="e">
        <f>IF(OR($B225="",MIN(R$38,$D$19)&lt;MAX($P$34*($B225+IF($R$17="Distrato",$I$38-1,0)),IF(AND($L$37=0,$P$34=0),"",$L$37-1),IF($R$17="Distrato",$E225,0))),0,YEARFRAC(MAX($P$34*($B225+IF($R$17="Distrato",$I$38-1,0)),IF(AND($L$37=0,$P$34=0),"",$L$37-1),IF($R$17="Distrato",$E225,0)),MIN(R$38,$D$19),$P$20))-SUM($P225:Q225)</f>
        <v>#VALUE!</v>
      </c>
      <c r="S225" s="446" t="e">
        <f>IF(OR($B225="",MIN(S$38,$D$19)&lt;MAX($P$34*($B225+IF($R$17="Distrato",$I$38-1,0)),IF(AND($L$37=0,$P$34=0),"",$L$37-1),IF($R$17="Distrato",$E225,0))),0,YEARFRAC(MAX($P$34*($B225+IF($R$17="Distrato",$I$38-1,0)),IF(AND($L$37=0,$P$34=0),"",$L$37-1),IF($R$17="Distrato",$E225,0)),MIN(S$38,$D$19),$P$20))-SUM($P225:R225)</f>
        <v>#VALUE!</v>
      </c>
      <c r="T225" s="446" t="e">
        <f>IF(OR($B225="",MIN(T$38,$D$19)&lt;MAX($P$34*($B225+IF($R$17="Distrato",$I$38-1,0)),IF(AND($L$37=0,$P$34=0),"",$L$37-1),IF($R$17="Distrato",$E225,0))),0,YEARFRAC(MAX($P$34*($B225+IF($R$17="Distrato",$I$38-1,0)),IF(AND($L$37=0,$P$34=0),"",$L$37-1),IF($R$17="Distrato",$E225,0)),MIN(T$38,$D$19),$P$20))-SUM($P225:S225)</f>
        <v>#VALUE!</v>
      </c>
      <c r="U225" s="446" t="e">
        <f>IF(OR($B225="",MIN(U$38,$D$19)&lt;MAX($P$34*($B225+IF($R$17="Distrato",$I$38-1,0)),IF(AND($L$37=0,$P$34=0),"",$L$37-1),IF($R$17="Distrato",$E225,0))),0,YEARFRAC(MAX($P$34*($B225+IF($R$17="Distrato",$I$38-1,0)),IF(AND($L$37=0,$P$34=0),"",$L$37-1),IF($R$17="Distrato",$E225,0)),MIN(U$38,$D$19),$P$20))-SUM($P225:T225)</f>
        <v>#VALUE!</v>
      </c>
      <c r="V225" s="446" t="e">
        <f>IF(OR($B225="",MIN(V$38,$D$19)&lt;MAX($P$34*($B225+IF($R$17="Distrato",$I$38-1,0)),IF(AND($L$37=0,$P$34=0),"",$L$37-1),IF($R$17="Distrato",$E225,0))),0,YEARFRAC(MAX($P$34*($B225+IF($R$17="Distrato",$I$38-1,0)),IF(AND($L$37=0,$P$34=0),"",$L$37-1),IF($R$17="Distrato",$E225,0)),MIN(V$38,$D$19),$P$20))-SUM($P225:U225)</f>
        <v>#VALUE!</v>
      </c>
      <c r="W225" s="446" t="e">
        <f>IF(OR($B225="",MIN(W$38,$D$19)&lt;MAX($P$34*($B225+IF($R$17="Distrato",$I$38-1,0)),IF(AND($L$37=0,$P$34=0),"",$L$37-1),IF($R$17="Distrato",$E225,0))),0,YEARFRAC(MAX($P$34*($B225+IF($R$17="Distrato",$I$38-1,0)),IF(AND($L$37=0,$P$34=0),"",$L$37-1),IF($R$17="Distrato",$E225,0)),MIN(W$38,$D$19),$P$20))-SUM($P225:V225)</f>
        <v>#VALUE!</v>
      </c>
      <c r="X225" s="446" t="e">
        <f>IF(OR($B225="",MIN(X$38,$D$19)&lt;MAX($P$34*($B225+IF($R$17="Distrato",$I$38-1,0)),IF(AND($L$37=0,$P$34=0),"",$L$37-1),IF($R$17="Distrato",$E225,0))),0,YEARFRAC(MAX($P$34*($B225+IF($R$17="Distrato",$I$38-1,0)),IF(AND($L$37=0,$P$34=0),"",$L$37-1),IF($R$17="Distrato",$E225,0)),MIN(X$38,$D$19),$P$20))-SUM($P225:W225)</f>
        <v>#VALUE!</v>
      </c>
      <c r="Y225" s="446" t="e">
        <f>IF(OR($B225="",MIN(Y$38,$D$19)&lt;MAX($P$34*($B225+IF($R$17="Distrato",$I$38-1,0)),IF(AND($L$37=0,$P$34=0),"",$L$37-1),IF($R$17="Distrato",$E225,0))),0,YEARFRAC(MAX($P$34*($B225+IF($R$17="Distrato",$I$38-1,0)),IF(AND($L$37=0,$P$34=0),"",$L$37-1),IF($R$17="Distrato",$E225,0)),MIN(Y$38,$D$19),$P$20))-SUM($P225:X225)</f>
        <v>#VALUE!</v>
      </c>
      <c r="Z225" s="446" t="e">
        <f>IF(OR($B225="",MIN(Z$38,$D$19)&lt;MAX($P$34*($B225+IF($R$17="Distrato",$I$38-1,0)),IF(AND($L$37=0,$P$34=0),"",$L$37-1),IF($R$17="Distrato",$E225,0))),0,YEARFRAC(MAX($P$34*($B225+IF($R$17="Distrato",$I$38-1,0)),IF(AND($L$37=0,$P$34=0),"",$L$37-1),IF($R$17="Distrato",$E225,0)),MIN(Z$38,$D$19),$P$20))-SUM($P225:Y225)</f>
        <v>#VALUE!</v>
      </c>
      <c r="AA225" s="446" t="e">
        <f>IF(OR($B225="",MIN(AA$38,$D$19)&lt;MAX($P$34*($B225+IF($R$17="Distrato",$I$38-1,0)),IF(AND($L$37=0,$P$34=0),"",$L$37-1),IF($R$17="Distrato",$E225,0))),0,YEARFRAC(MAX($P$34*($B225+IF($R$17="Distrato",$I$38-1,0)),IF(AND($L$37=0,$P$34=0),"",$L$37-1),IF($R$17="Distrato",$E225,0)),MIN(AA$38,$D$19),$P$20))-SUM($P225:Z225)</f>
        <v>#VALUE!</v>
      </c>
      <c r="AB225" s="446" t="e">
        <f>IF(OR($B225="",MIN(AB$38,$D$19)&lt;MAX($P$34*($B225+IF($R$17="Distrato",$I$38-1,0)),IF(AND($L$37=0,$P$34=0),"",$L$37-1),IF($R$17="Distrato",$E225,0))),0,YEARFRAC(MAX($P$34*($B225+IF($R$17="Distrato",$I$38-1,0)),IF(AND($L$37=0,$P$34=0),"",$L$37-1),IF($R$17="Distrato",$E225,0)),MIN(AB$38,$D$19),$P$20))-SUM($P225:AA225)</f>
        <v>#VALUE!</v>
      </c>
      <c r="AC225" s="446" t="e">
        <f>IF(OR($B225="",MIN(AC$38,$D$19)&lt;MAX($P$34*($B225+IF($R$17="Distrato",$I$38-1,0)),IF(AND($L$37=0,$P$34=0),"",$L$37-1),IF($R$17="Distrato",$E225,0))),0,YEARFRAC(MAX($P$34*($B225+IF($R$17="Distrato",$I$38-1,0)),IF(AND($L$37=0,$P$34=0),"",$L$37-1),IF($R$17="Distrato",$E225,0)),MIN(AC$38,$D$19),$P$20))-SUM($P225:AB225)</f>
        <v>#VALUE!</v>
      </c>
      <c r="AD225" s="446" t="e">
        <f>IF(OR($B225="",MIN(AD$38,$D$19)&lt;MAX($P$34*($B225+IF($R$17="Distrato",$I$38-1,0)),IF(AND($L$37=0,$P$34=0),"",$L$37-1),IF($R$17="Distrato",$E225,0))),0,YEARFRAC(MAX($P$34*($B225+IF($R$17="Distrato",$I$38-1,0)),IF(AND($L$37=0,$P$34=0),"",$L$37-1),IF($R$17="Distrato",$E225,0)),MIN(AD$38,$D$19),$P$20))-SUM($P225:AC225)</f>
        <v>#VALUE!</v>
      </c>
      <c r="AE225" s="446" t="e">
        <f>IF(OR($B225="",MIN(AE$38,$D$19)&lt;MAX($P$34*($B225+IF($R$17="Distrato",$I$38-1,0)),IF(AND($L$37=0,$P$34=0),"",$L$37-1),IF($R$17="Distrato",$E225,0))),0,YEARFRAC(MAX($P$34*($B225+IF($R$17="Distrato",$I$38-1,0)),IF(AND($L$37=0,$P$34=0),"",$L$37-1),IF($R$17="Distrato",$E225,0)),MIN(AE$38,$D$19),$P$20))-SUM($P225:AD225)</f>
        <v>#VALUE!</v>
      </c>
      <c r="AF225" s="446" t="e">
        <f>IF(OR($B225="",MIN(AF$38,$D$19)&lt;MAX($P$34*($B225+IF($R$17="Distrato",$I$38-1,0)),IF(AND($L$37=0,$P$34=0),"",$L$37-1),IF($R$17="Distrato",$E225,0))),0,YEARFRAC(MAX($P$34*($B225+IF($R$17="Distrato",$I$38-1,0)),IF(AND($L$37=0,$P$34=0),"",$L$37-1),IF($R$17="Distrato",$E225,0)),MIN(AF$38,$D$19),$P$20))-SUM($P225:AE225)</f>
        <v>#VALUE!</v>
      </c>
      <c r="AG225" s="446" t="e">
        <f>IF(OR($B225="",MIN(AG$38,$D$19)&lt;MAX($P$34*($B225+IF($R$17="Distrato",$I$38-1,0)),IF(AND($L$37=0,$P$34=0),"",$L$37-1),IF($R$17="Distrato",$E225,0))),0,YEARFRAC(MAX($P$34*($B225+IF($R$17="Distrato",$I$38-1,0)),IF(AND($L$37=0,$P$34=0),"",$L$37-1),IF($R$17="Distrato",$E225,0)),MIN(AG$38,$D$19),$P$20))-SUM($P225:AF225)</f>
        <v>#VALUE!</v>
      </c>
      <c r="AH225" s="446" t="e">
        <f>IF(OR($B225="",MIN(AH$38,$D$19)&lt;MAX($P$34*($B225+IF($R$17="Distrato",$I$38-1,0)),IF(AND($L$37=0,$P$34=0),"",$L$37-1),IF($R$17="Distrato",$E225,0))),0,YEARFRAC(MAX($P$34*($B225+IF($R$17="Distrato",$I$38-1,0)),IF(AND($L$37=0,$P$34=0),"",$L$37-1),IF($R$17="Distrato",$E225,0)),MIN(AH$38,$D$19),$P$20))-SUM($P225:AG225)</f>
        <v>#VALUE!</v>
      </c>
      <c r="AI225" s="446" t="e">
        <f>IF(OR($B225="",MIN(AI$38,$D$19)&lt;MAX($P$34*($B225+IF($R$17="Distrato",$I$38-1,0)),IF(AND($L$37=0,$P$34=0),"",$L$37-1),IF($R$17="Distrato",$E225,0))),0,YEARFRAC(MAX($P$34*($B225+IF($R$17="Distrato",$I$38-1,0)),IF(AND($L$37=0,$P$34=0),"",$L$37-1),IF($R$17="Distrato",$E225,0)),MIN(AI$38,$D$19),$P$20))-SUM($P225:AH225)</f>
        <v>#VALUE!</v>
      </c>
      <c r="AJ225" s="446" t="e">
        <f>IF(OR($B225="",MIN(AJ$38,$D$19)&lt;MAX($P$34*($B225+IF($R$17="Distrato",$I$38-1,0)),IF(AND($L$37=0,$P$34=0),"",$L$37-1),IF($R$17="Distrato",$E225,0))),0,YEARFRAC(MAX($P$34*($B225+IF($R$17="Distrato",$I$38-1,0)),IF(AND($L$37=0,$P$34=0),"",$L$37-1),IF($R$17="Distrato",$E225,0)),MIN(AJ$38,$D$19),$P$20))-SUM($P225:AI225)</f>
        <v>#VALUE!</v>
      </c>
      <c r="AK225" s="446" t="e">
        <f>IF(OR($B225="",MIN(AK$38,$D$19)&lt;MAX($P$34*($B225+IF($R$17="Distrato",$I$38-1,0)),IF(AND($L$37=0,$P$34=0),"",$L$37-1),IF($R$17="Distrato",$E225,0))),0,YEARFRAC(MAX($P$34*($B225+IF($R$17="Distrato",$I$38-1,0)),IF(AND($L$37=0,$P$34=0),"",$L$37-1),IF($R$17="Distrato",$E225,0)),MIN(AK$38,$D$19),$P$20))-SUM($P225:AJ225)</f>
        <v>#VALUE!</v>
      </c>
      <c r="AL225" s="446" t="e">
        <f>IF(OR($B225="",MIN(AL$38,$D$19)&lt;MAX($P$34*($B225+IF($R$17="Distrato",$I$38-1,0)),IF(AND($L$37=0,$P$34=0),"",$L$37-1),IF($R$17="Distrato",$E225,0))),0,YEARFRAC(MAX($P$34*($B225+IF($R$17="Distrato",$I$38-1,0)),IF(AND($L$37=0,$P$34=0),"",$L$37-1),IF($R$17="Distrato",$E225,0)),MIN(AL$38,$D$19),$P$20))-SUM($P225:AK225)</f>
        <v>#VALUE!</v>
      </c>
      <c r="AM225" s="446" t="e">
        <f>IF(OR($B225="",MIN(AM$38,$D$19)&lt;MAX($P$34*($B225+IF($R$17="Distrato",$I$38-1,0)),IF(AND($L$37=0,$P$34=0),"",$L$37-1),IF($R$17="Distrato",$E225,0))),0,YEARFRAC(MAX($P$34*($B225+IF($R$17="Distrato",$I$38-1,0)),IF(AND($L$37=0,$P$34=0),"",$L$37-1),IF($R$17="Distrato",$E225,0)),MIN(AM$38,$D$19),$P$20))-SUM($P225:AL225)</f>
        <v>#VALUE!</v>
      </c>
      <c r="AN225" s="446" t="e">
        <f>IF(OR($B225="",MIN(AN$38,$D$19)&lt;MAX($P$34*($B225+IF($R$17="Distrato",$I$38-1,0)),IF(AND($L$37=0,$P$34=0),"",$L$37-1),IF($R$17="Distrato",$E225,0))),0,YEARFRAC(MAX($P$34*($B225+IF($R$17="Distrato",$I$38-1,0)),IF(AND($L$37=0,$P$34=0),"",$L$37-1),IF($R$17="Distrato",$E225,0)),MIN(AN$38,$D$19),$P$20))-SUM($P225:AM225)</f>
        <v>#VALUE!</v>
      </c>
      <c r="AO225" s="446" t="e">
        <f>IF(OR($B225="",MIN(AO$38,$D$19)&lt;MAX($P$34*($B225+IF($R$17="Distrato",$I$38-1,0)),IF(AND($L$37=0,$P$34=0),"",$L$37-1),IF($R$17="Distrato",$E225,0))),0,YEARFRAC(MAX($P$34*($B225+IF($R$17="Distrato",$I$38-1,0)),IF(AND($L$37=0,$P$34=0),"",$L$37-1),IF($R$17="Distrato",$E225,0)),MIN(AO$38,$D$19),$P$20))-SUM($P225:AN225)</f>
        <v>#VALUE!</v>
      </c>
      <c r="AP225" s="446" t="e">
        <f>IF(OR($B225="",MIN(AP$38,$D$19)&lt;MAX($P$34*($B225+IF($R$17="Distrato",$I$38-1,0)),IF(AND($L$37=0,$P$34=0),"",$L$37-1),IF($R$17="Distrato",$E225,0))),0,YEARFRAC(MAX($P$34*($B225+IF($R$17="Distrato",$I$38-1,0)),IF(AND($L$37=0,$P$34=0),"",$L$37-1),IF($R$17="Distrato",$E225,0)),MIN(AP$38,$D$19),$P$20))-SUM($P225:AO225)</f>
        <v>#VALUE!</v>
      </c>
      <c r="AQ225" s="446" t="e">
        <f>IF(OR($B225="",MIN(AQ$38,$D$19)&lt;MAX($P$34*($B225+IF($R$17="Distrato",$I$38-1,0)),IF(AND($L$37=0,$P$34=0),"",$L$37-1),IF($R$17="Distrato",$E225,0))),0,YEARFRAC(MAX($P$34*($B225+IF($R$17="Distrato",$I$38-1,0)),IF(AND($L$37=0,$P$34=0),"",$L$37-1),IF($R$17="Distrato",$E225,0)),MIN(AQ$38,$D$19),$P$20))-SUM($P225:AP225)</f>
        <v>#VALUE!</v>
      </c>
      <c r="AR225" s="446" t="e">
        <f>IF(OR($B225="",MIN(AR$38,$D$19)&lt;MAX($P$34*($B225+IF($R$17="Distrato",$I$38-1,0)),IF(AND($L$37=0,$P$34=0),"",$L$37-1),IF($R$17="Distrato",$E225,0))),0,YEARFRAC(MAX($P$34*($B225+IF($R$17="Distrato",$I$38-1,0)),IF(AND($L$37=0,$P$34=0),"",$L$37-1),IF($R$17="Distrato",$E225,0)),MIN(AR$38,$D$19),$P$20))-SUM($P225:AQ225)</f>
        <v>#VALUE!</v>
      </c>
      <c r="AS225" s="446" t="e">
        <f>IF(OR($B225="",MIN(AS$38,$D$19)&lt;MAX($P$34*($B225+IF($R$17="Distrato",$I$38-1,0)),IF(AND($L$37=0,$P$34=0),"",$L$37-1),IF($R$17="Distrato",$E225,0))),0,YEARFRAC(MAX($P$34*($B225+IF($R$17="Distrato",$I$38-1,0)),IF(AND($L$37=0,$P$34=0),"",$L$37-1),IF($R$17="Distrato",$E225,0)),MIN(AS$38,$D$19),$P$20))-SUM($P225:AR225)</f>
        <v>#VALUE!</v>
      </c>
      <c r="AT225" s="446" t="e">
        <f>IF(OR($B225="",MIN(AT$38,$D$19)&lt;MAX($P$34*($B225+IF($R$17="Distrato",$I$38-1,0)),IF(AND($L$37=0,$P$34=0),"",$L$37-1),IF($R$17="Distrato",$E225,0))),0,YEARFRAC(MAX($P$34*($B225+IF($R$17="Distrato",$I$38-1,0)),IF(AND($L$37=0,$P$34=0),"",$L$37-1),IF($R$17="Distrato",$E225,0)),MIN(AT$38,$D$19),$P$20))-SUM($P225:AS225)</f>
        <v>#VALUE!</v>
      </c>
      <c r="AU225" s="446" t="e">
        <f>IF(OR($B225="",MIN(AU$38,$D$19)&lt;MAX($P$34*($B225+IF($R$17="Distrato",$I$38-1,0)),IF(AND($L$37=0,$P$34=0),"",$L$37-1),IF($R$17="Distrato",$E225,0))),0,YEARFRAC(MAX($P$34*($B225+IF($R$17="Distrato",$I$38-1,0)),IF(AND($L$37=0,$P$34=0),"",$L$37-1),IF($R$17="Distrato",$E225,0)),MIN(AU$38,$D$19),$P$20))-SUM($P225:AT225)</f>
        <v>#VALUE!</v>
      </c>
      <c r="AV225" s="446" t="e">
        <f>IF(OR($B225="",MIN(AV$38,$D$19)&lt;MAX($P$34*($B225+IF($R$17="Distrato",$I$38-1,0)),IF(AND($L$37=0,$P$34=0),"",$L$37-1),IF($R$17="Distrato",$E225,0))),0,YEARFRAC(MAX($P$34*($B225+IF($R$17="Distrato",$I$38-1,0)),IF(AND($L$37=0,$P$34=0),"",$L$37-1),IF($R$17="Distrato",$E225,0)),MIN(AV$38,$D$19),$P$20))-SUM($P225:AU225)</f>
        <v>#VALUE!</v>
      </c>
      <c r="AW225" s="446" t="e">
        <f>IF(OR($B225="",MIN(AW$38,$D$19)&lt;MAX($P$34*($B225+IF($R$17="Distrato",$I$38-1,0)),IF(AND($L$37=0,$P$34=0),"",$L$37-1),IF($R$17="Distrato",$E225,0))),0,YEARFRAC(MAX($P$34*($B225+IF($R$17="Distrato",$I$38-1,0)),IF(AND($L$37=0,$P$34=0),"",$L$37-1),IF($R$17="Distrato",$E225,0)),MIN(AW$38,$D$19),$P$20))-SUM($P225:AV225)</f>
        <v>#VALUE!</v>
      </c>
      <c r="AX225" s="446" t="e">
        <f>IF(OR($B225="",MIN(AX$38,$D$19)&lt;MAX($P$34*($B225+IF($R$17="Distrato",$I$38-1,0)),IF(AND($L$37=0,$P$34=0),"",$L$37-1),IF($R$17="Distrato",$E225,0))),0,YEARFRAC(MAX($P$34*($B225+IF($R$17="Distrato",$I$38-1,0)),IF(AND($L$37=0,$P$34=0),"",$L$37-1),IF($R$17="Distrato",$E225,0)),MIN(AX$38,$D$19),$P$20))-SUM($P225:AW225)</f>
        <v>#VALUE!</v>
      </c>
      <c r="AY225" s="446" t="e">
        <f>IF(OR($B225="",MIN(AY$38,$D$19)&lt;MAX($P$34*($B225+IF($R$17="Distrato",$I$38-1,0)),IF(AND($L$37=0,$P$34=0),"",$L$37-1),IF($R$17="Distrato",$E225,0))),0,YEARFRAC(MAX($P$34*($B225+IF($R$17="Distrato",$I$38-1,0)),IF(AND($L$37=0,$P$34=0),"",$L$37-1),IF($R$17="Distrato",$E225,0)),MIN(AY$38,$D$19),$P$20))-SUM($P225:AX225)</f>
        <v>#VALUE!</v>
      </c>
      <c r="AZ225" s="446" t="e">
        <f>IF(OR($B225="",MIN(AZ$38,$D$19)&lt;MAX($P$34*($B225+IF($R$17="Distrato",$I$38-1,0)),IF(AND($L$37=0,$P$34=0),"",$L$37-1),IF($R$17="Distrato",$E225,0))),0,YEARFRAC(MAX($P$34*($B225+IF($R$17="Distrato",$I$38-1,0)),IF(AND($L$37=0,$P$34=0),"",$L$37-1),IF($R$17="Distrato",$E225,0)),MIN(AZ$38,$D$19),$P$20))-SUM($P225:AY225)</f>
        <v>#VALUE!</v>
      </c>
      <c r="BA225" s="446" t="e">
        <f>IF(OR($B225="",MIN(BA$38,$D$19)&lt;MAX($P$34*($B225+IF($R$17="Distrato",$I$38-1,0)),IF(AND($L$37=0,$P$34=0),"",$L$37-1),IF($R$17="Distrato",$E225,0))),0,YEARFRAC(MAX($P$34*($B225+IF($R$17="Distrato",$I$38-1,0)),IF(AND($L$37=0,$P$34=0),"",$L$37-1),IF($R$17="Distrato",$E225,0)),MIN(BA$38,$D$19),$P$20))-SUM($P225:AZ225)</f>
        <v>#VALUE!</v>
      </c>
      <c r="BB225" s="447"/>
      <c r="BF225" s="446">
        <f t="shared" si="32"/>
        <v>0</v>
      </c>
      <c r="BG225" s="446">
        <f>IF($E225=0,0,IF(MIN(BG$38,$E225)&lt;MAX($P$34*($B225+$I$38-1),IF(AND($L$37=0,$P$34=0),"",$L$37-1)),0,YEARFRAC(MAX($P$34*($B225+$I$38-1),IF(AND($L$37=0,$P$34=0),"",$L$37-1)),MIN(BG$38,$E225),$P$20))-SUM($BF225:BF225))</f>
        <v>0</v>
      </c>
      <c r="BH225" s="446">
        <f>IF($E225=0,0,IF(MIN(BH$38,$E225)&lt;MAX($P$34*($B225+$I$38-1),IF(AND($L$37=0,$P$34=0),"",$L$37-1)),0,YEARFRAC(MAX($P$34*($B225+$I$38-1),IF(AND($L$37=0,$P$34=0),"",$L$37-1)),MIN(BH$38,$E225),$P$20))-SUM($BF225:BG225))</f>
        <v>0</v>
      </c>
      <c r="BI225" s="446">
        <f>IF($E225=0,0,IF(MIN(BI$38,$E225)&lt;MAX($P$34*($B225+$I$38-1),IF(AND($L$37=0,$P$34=0),"",$L$37-1)),0,YEARFRAC(MAX($P$34*($B225+$I$38-1),IF(AND($L$37=0,$P$34=0),"",$L$37-1)),MIN(BI$38,$E225),$P$20))-SUM($BF225:BH225))</f>
        <v>0</v>
      </c>
      <c r="BJ225" s="446">
        <f>IF($E225=0,0,IF(MIN(BJ$38,$E225)&lt;MAX($P$34*($B225+$I$38-1),IF(AND($L$37=0,$P$34=0),"",$L$37-1)),0,YEARFRAC(MAX($P$34*($B225+$I$38-1),IF(AND($L$37=0,$P$34=0),"",$L$37-1)),MIN(BJ$38,$E225),$P$20))-SUM($BF225:BI225))</f>
        <v>0</v>
      </c>
      <c r="BK225" s="446">
        <f>IF($E225=0,0,IF(MIN(BK$38,$E225)&lt;MAX($P$34*($B225+$I$38-1),IF(AND($L$37=0,$P$34=0),"",$L$37-1)),0,YEARFRAC(MAX($P$34*($B225+$I$38-1),IF(AND($L$37=0,$P$34=0),"",$L$37-1)),MIN(BK$38,$E225),$P$20))-SUM($BF225:BJ225))</f>
        <v>0</v>
      </c>
      <c r="BL225" s="446">
        <f>IF($E225=0,0,IF(MIN(BL$38,$E225)&lt;MAX($P$34*($B225+$I$38-1),IF(AND($L$37=0,$P$34=0),"",$L$37-1)),0,YEARFRAC(MAX($P$34*($B225+$I$38-1),IF(AND($L$37=0,$P$34=0),"",$L$37-1)),MIN(BL$38,$E225),$P$20))-SUM($BF225:BK225))</f>
        <v>0</v>
      </c>
      <c r="BM225" s="446">
        <f>IF($E225=0,0,IF(MIN(BM$38,$E225)&lt;MAX($P$34*($B225+$I$38-1),IF(AND($L$37=0,$P$34=0),"",$L$37-1)),0,YEARFRAC(MAX($P$34*($B225+$I$38-1),IF(AND($L$37=0,$P$34=0),"",$L$37-1)),MIN(BM$38,$E225),$P$20))-SUM($BF225:BL225))</f>
        <v>0</v>
      </c>
      <c r="BN225" s="446">
        <f>IF($E225=0,0,IF(MIN(BN$38,$E225)&lt;MAX($P$34*($B225+$I$38-1),IF(AND($L$37=0,$P$34=0),"",$L$37-1)),0,YEARFRAC(MAX($P$34*($B225+$I$38-1),IF(AND($L$37=0,$P$34=0),"",$L$37-1)),MIN(BN$38,$E225),$P$20))-SUM($BF225:BM225))</f>
        <v>0</v>
      </c>
      <c r="BO225" s="446">
        <f>IF($E225=0,0,IF(MIN(BO$38,$E225)&lt;MAX($P$34*($B225+$I$38-1),IF(AND($L$37=0,$P$34=0),"",$L$37-1)),0,YEARFRAC(MAX($P$34*($B225+$I$38-1),IF(AND($L$37=0,$P$34=0),"",$L$37-1)),MIN(BO$38,$E225),$P$20))-SUM($BF225:BN225))</f>
        <v>0</v>
      </c>
      <c r="BP225" s="446">
        <f>IF($E225=0,0,IF(MIN(BP$38,$E225)&lt;MAX($P$34*($B225+$I$38-1),IF(AND($L$37=0,$P$34=0),"",$L$37-1)),0,YEARFRAC(MAX($P$34*($B225+$I$38-1),IF(AND($L$37=0,$P$34=0),"",$L$37-1)),MIN(BP$38,$E225),$P$20))-SUM($BF225:BO225))</f>
        <v>0</v>
      </c>
      <c r="BQ225" s="446">
        <f>IF($E225=0,0,IF(MIN(BQ$38,$E225)&lt;MAX($P$34*($B225+$I$38-1),IF(AND($L$37=0,$P$34=0),"",$L$37-1)),0,YEARFRAC(MAX($P$34*($B225+$I$38-1),IF(AND($L$37=0,$P$34=0),"",$L$37-1)),MIN(BQ$38,$E225),$P$20))-SUM($BF225:BP225))</f>
        <v>0</v>
      </c>
      <c r="BR225" s="446">
        <f>IF($E225=0,0,IF(MIN(BR$38,$E225)&lt;MAX($P$34*($B225+$I$38-1),IF(AND($L$37=0,$P$34=0),"",$L$37-1)),0,YEARFRAC(MAX($P$34*($B225+$I$38-1),IF(AND($L$37=0,$P$34=0),"",$L$37-1)),MIN(BR$38,$E225),$P$20))-SUM($BF225:BQ225))</f>
        <v>0</v>
      </c>
      <c r="BS225" s="446">
        <f>IF($E225=0,0,IF(MIN(BS$38,$E225)&lt;MAX($P$34*($B225+$I$38-1),IF(AND($L$37=0,$P$34=0),"",$L$37-1)),0,YEARFRAC(MAX($P$34*($B225+$I$38-1),IF(AND($L$37=0,$P$34=0),"",$L$37-1)),MIN(BS$38,$E225),$P$20))-SUM($BF225:BR225))</f>
        <v>0</v>
      </c>
      <c r="BT225" s="446">
        <f>IF($E225=0,0,IF(MIN(BT$38,$E225)&lt;MAX($P$34*($B225+$I$38-1),IF(AND($L$37=0,$P$34=0),"",$L$37-1)),0,YEARFRAC(MAX($P$34*($B225+$I$38-1),IF(AND($L$37=0,$P$34=0),"",$L$37-1)),MIN(BT$38,$E225),$P$20))-SUM($BF225:BS225))</f>
        <v>0</v>
      </c>
      <c r="BU225" s="446">
        <f>IF($E225=0,0,IF(MIN(BU$38,$E225)&lt;MAX($P$34*($B225+$I$38-1),IF(AND($L$37=0,$P$34=0),"",$L$37-1)),0,YEARFRAC(MAX($P$34*($B225+$I$38-1),IF(AND($L$37=0,$P$34=0),"",$L$37-1)),MIN(BU$38,$E225),$P$20))-SUM($BF225:BT225))</f>
        <v>0</v>
      </c>
      <c r="BV225" s="446">
        <f>IF($E225=0,0,IF(MIN(BV$38,$E225)&lt;MAX($P$34*($B225+$I$38-1),IF(AND($L$37=0,$P$34=0),"",$L$37-1)),0,YEARFRAC(MAX($P$34*($B225+$I$38-1),IF(AND($L$37=0,$P$34=0),"",$L$37-1)),MIN(BV$38,$E225),$P$20))-SUM($BF225:BU225))</f>
        <v>0</v>
      </c>
      <c r="BW225" s="446">
        <f>IF($E225=0,0,IF(MIN(BW$38,$E225)&lt;MAX($P$34*($B225+$I$38-1),IF(AND($L$37=0,$P$34=0),"",$L$37-1)),0,YEARFRAC(MAX($P$34*($B225+$I$38-1),IF(AND($L$37=0,$P$34=0),"",$L$37-1)),MIN(BW$38,$E225),$P$20))-SUM($BF225:BV225))</f>
        <v>0</v>
      </c>
      <c r="BX225" s="446">
        <f>IF($E225=0,0,IF(MIN(BX$38,$E225)&lt;MAX($P$34*($B225+$I$38-1),IF(AND($L$37=0,$P$34=0),"",$L$37-1)),0,YEARFRAC(MAX($P$34*($B225+$I$38-1),IF(AND($L$37=0,$P$34=0),"",$L$37-1)),MIN(BX$38,$E225),$P$20))-SUM($BF225:BW225))</f>
        <v>0</v>
      </c>
      <c r="BY225" s="446">
        <f>IF($E225=0,0,IF(MIN(BY$38,$E225)&lt;MAX($P$34*($B225+$I$38-1),IF(AND($L$37=0,$P$34=0),"",$L$37-1)),0,YEARFRAC(MAX($P$34*($B225+$I$38-1),IF(AND($L$37=0,$P$34=0),"",$L$37-1)),MIN(BY$38,$E225),$P$20))-SUM($BF225:BX225))</f>
        <v>0</v>
      </c>
      <c r="BZ225" s="446">
        <f>IF($E225=0,0,IF(MIN(BZ$38,$E225)&lt;MAX($P$34*($B225+$I$38-1),IF(AND($L$37=0,$P$34=0),"",$L$37-1)),0,YEARFRAC(MAX($P$34*($B225+$I$38-1),IF(AND($L$37=0,$P$34=0),"",$L$37-1)),MIN(BZ$38,$E225),$P$20))-SUM($BF225:BY225))</f>
        <v>0</v>
      </c>
      <c r="CA225" s="446">
        <f>IF($E225=0,0,IF(MIN(CA$38,$E225)&lt;MAX($P$34*($B225+$I$38-1),IF(AND($L$37=0,$P$34=0),"",$L$37-1)),0,YEARFRAC(MAX($P$34*($B225+$I$38-1),IF(AND($L$37=0,$P$34=0),"",$L$37-1)),MIN(CA$38,$E225),$P$20))-SUM($BF225:BZ225))</f>
        <v>0</v>
      </c>
      <c r="CB225" s="446">
        <f>IF($E225=0,0,IF(MIN(CB$38,$E225)&lt;MAX($P$34*($B225+$I$38-1),IF(AND($L$37=0,$P$34=0),"",$L$37-1)),0,YEARFRAC(MAX($P$34*($B225+$I$38-1),IF(AND($L$37=0,$P$34=0),"",$L$37-1)),MIN(CB$38,$E225),$P$20))-SUM($BF225:CA225))</f>
        <v>0</v>
      </c>
      <c r="CC225" s="446">
        <f>IF($E225=0,0,IF(MIN(CC$38,$E225)&lt;MAX($P$34*($B225+$I$38-1),IF(AND($L$37=0,$P$34=0),"",$L$37-1)),0,YEARFRAC(MAX($P$34*($B225+$I$38-1),IF(AND($L$37=0,$P$34=0),"",$L$37-1)),MIN(CC$38,$E225),$P$20))-SUM($BF225:CB225))</f>
        <v>0</v>
      </c>
      <c r="CD225" s="446">
        <f>IF($E225=0,0,IF(MIN(CD$38,$E225)&lt;MAX($P$34*($B225+$I$38-1),IF(AND($L$37=0,$P$34=0),"",$L$37-1)),0,YEARFRAC(MAX($P$34*($B225+$I$38-1),IF(AND($L$37=0,$P$34=0),"",$L$37-1)),MIN(CD$38,$E225),$P$20))-SUM($BF225:CC225))</f>
        <v>0</v>
      </c>
      <c r="CE225" s="446">
        <f>IF($E225=0,0,IF(MIN(CE$38,$E225)&lt;MAX($P$34*($B225+$I$38-1),IF(AND($L$37=0,$P$34=0),"",$L$37-1)),0,YEARFRAC(MAX($P$34*($B225+$I$38-1),IF(AND($L$37=0,$P$34=0),"",$L$37-1)),MIN(CE$38,$E225),$P$20))-SUM($BF225:CD225))</f>
        <v>0</v>
      </c>
      <c r="CF225" s="446">
        <f>IF($E225=0,0,IF(MIN(CF$38,$E225)&lt;MAX($P$34*($B225+$I$38-1),IF(AND($L$37=0,$P$34=0),"",$L$37-1)),0,YEARFRAC(MAX($P$34*($B225+$I$38-1),IF(AND($L$37=0,$P$34=0),"",$L$37-1)),MIN(CF$38,$E225),$P$20))-SUM($BF225:CE225))</f>
        <v>0</v>
      </c>
      <c r="CG225" s="446">
        <f>IF($E225=0,0,IF(MIN(CG$38,$E225)&lt;MAX($P$34*($B225+$I$38-1),IF(AND($L$37=0,$P$34=0),"",$L$37-1)),0,YEARFRAC(MAX($P$34*($B225+$I$38-1),IF(AND($L$37=0,$P$34=0),"",$L$37-1)),MIN(CG$38,$E225),$P$20))-SUM($BF225:CF225))</f>
        <v>0</v>
      </c>
      <c r="CH225" s="446">
        <f>IF($E225=0,0,IF(MIN(CH$38,$E225)&lt;MAX($P$34*($B225+$I$38-1),IF(AND($L$37=0,$P$34=0),"",$L$37-1)),0,YEARFRAC(MAX($P$34*($B225+$I$38-1),IF(AND($L$37=0,$P$34=0),"",$L$37-1)),MIN(CH$38,$E225),$P$20))-SUM($BF225:CG225))</f>
        <v>0</v>
      </c>
      <c r="CI225" s="446">
        <f>IF($E225=0,0,IF(MIN(CI$38,$E225)&lt;MAX($P$34*($B225+$I$38-1),IF(AND($L$37=0,$P$34=0),"",$L$37-1)),0,YEARFRAC(MAX($P$34*($B225+$I$38-1),IF(AND($L$37=0,$P$34=0),"",$L$37-1)),MIN(CI$38,$E225),$P$20))-SUM($BF225:CH225))</f>
        <v>0</v>
      </c>
      <c r="CJ225" s="446">
        <f>IF($E225=0,0,IF(MIN(CJ$38,$E225)&lt;MAX($P$34*($B225+$I$38-1),IF(AND($L$37=0,$P$34=0),"",$L$37-1)),0,YEARFRAC(MAX($P$34*($B225+$I$38-1),IF(AND($L$37=0,$P$34=0),"",$L$37-1)),MIN(CJ$38,$E225),$P$20))-SUM($BF225:CI225))</f>
        <v>0</v>
      </c>
      <c r="CK225" s="446">
        <f>IF($E225=0,0,IF(MIN(CK$38,$E225)&lt;MAX($P$34*($B225+$I$38-1),IF(AND($L$37=0,$P$34=0),"",$L$37-1)),0,YEARFRAC(MAX($P$34*($B225+$I$38-1),IF(AND($L$37=0,$P$34=0),"",$L$37-1)),MIN(CK$38,$E225),$P$20))-SUM($BF225:CJ225))</f>
        <v>0</v>
      </c>
      <c r="CL225" s="446">
        <f>IF($E225=0,0,IF(MIN(CL$38,$E225)&lt;MAX($P$34*($B225+$I$38-1),IF(AND($L$37=0,$P$34=0),"",$L$37-1)),0,YEARFRAC(MAX($P$34*($B225+$I$38-1),IF(AND($L$37=0,$P$34=0),"",$L$37-1)),MIN(CL$38,$E225),$P$20))-SUM($BF225:CK225))</f>
        <v>0</v>
      </c>
      <c r="CM225" s="446">
        <f>IF($E225=0,0,IF(MIN(CM$38,$E225)&lt;MAX($P$34*($B225+$I$38-1),IF(AND($L$37=0,$P$34=0),"",$L$37-1)),0,YEARFRAC(MAX($P$34*($B225+$I$38-1),IF(AND($L$37=0,$P$34=0),"",$L$37-1)),MIN(CM$38,$E225),$P$20))-SUM($BF225:CL225))</f>
        <v>0</v>
      </c>
      <c r="CN225" s="446">
        <f>IF($E225=0,0,IF(MIN(CN$38,$E225)&lt;MAX($P$34*($B225+$I$38-1),IF(AND($L$37=0,$P$34=0),"",$L$37-1)),0,YEARFRAC(MAX($P$34*($B225+$I$38-1),IF(AND($L$37=0,$P$34=0),"",$L$37-1)),MIN(CN$38,$E225),$P$20))-SUM($BF225:CM225))</f>
        <v>0</v>
      </c>
      <c r="CO225" s="446">
        <f>IF($E225=0,0,IF(MIN(CO$38,$E225)&lt;MAX($P$34*($B225+$I$38-1),IF(AND($L$37=0,$P$34=0),"",$L$37-1)),0,YEARFRAC(MAX($P$34*($B225+$I$38-1),IF(AND($L$37=0,$P$34=0),"",$L$37-1)),MIN(CO$38,$E225),$P$20))-SUM($BF225:CN225))</f>
        <v>0</v>
      </c>
      <c r="CP225" s="446">
        <f>IF($E225=0,0,IF(MIN(CP$38,$E225)&lt;MAX($P$34*($B225+$I$38-1),IF(AND($L$37=0,$P$34=0),"",$L$37-1)),0,YEARFRAC(MAX($P$34*($B225+$I$38-1),IF(AND($L$37=0,$P$34=0),"",$L$37-1)),MIN(CP$38,$E225),$P$20))-SUM($BF225:CO225))</f>
        <v>0</v>
      </c>
      <c r="CQ225" s="446">
        <f>IF($E225=0,0,IF(MIN(CQ$38,$E225)&lt;MAX($P$34*($B225+$I$38-1),IF(AND($L$37=0,$P$34=0),"",$L$37-1)),0,YEARFRAC(MAX($P$34*($B225+$I$38-1),IF(AND($L$37=0,$P$34=0),"",$L$37-1)),MIN(CQ$38,$E225),$P$20))-SUM($BF225:CP225))</f>
        <v>0</v>
      </c>
    </row>
    <row r="226" spans="1:95" s="446" customFormat="1" ht="11.25" hidden="1" customHeight="1" x14ac:dyDescent="0.2">
      <c r="A226" s="152"/>
      <c r="B226" s="153" t="str">
        <f t="shared" si="37"/>
        <v/>
      </c>
      <c r="C226" s="29" t="str">
        <f>IF(B226="","",IF($L$35="SELIC - TRIBUTOS",VLOOKUP(DATE(YEAR($D$19),MONTH($D$19)-1,1),ÍNDICES!$A:$DE,HLOOKUP($BL$25,ÍNDICES!$B$3:$T$4,2)+11)-VLOOKUP(B226,ÍNDICES!$A:$DE,HLOOKUP($BL$25,ÍNDICES!$B$3:$T$4,2)+11)+1%,IF(C$38=$W$26,$J$35,IF(ISERROR(IF(B226&gt;$D$19,1,VLOOKUP(DATE(YEAR(B226),MONTH(B226)+IF($C$35=$S$23,1,0),1),ÍNDICES!$A:$DE,$Z$35+1))),"",IF(B226&gt;$D$19,1,VLOOKUP(DATE(YEAR(B226),MONTH(B226)+IF($C$35=$S$23,1,0),1),ÍNDICES!$A:$DE,$Z$35+1))))))</f>
        <v/>
      </c>
      <c r="D226" s="154" t="str">
        <f>IF(ISERROR(IF(OR($D$38=$Y$27,$B226=""),"",VLOOKUP(B226,ÍNDICES!A:DE,AF$35+1))),"",IF(OR($D$38=$Y$27,$B226=""),"",VLOOKUP(B226,ÍNDICES!A:DE,AF$35+1)))</f>
        <v/>
      </c>
      <c r="E226" s="153"/>
      <c r="F226" s="29" t="str">
        <f>IF(E226="","",IF($L$35="SELIC - TRIBUTOS",VLOOKUP(DATE(YEAR($D$19),MONTH($D$19)-1,1),ÍNDICES!$A:$DE,HLOOKUP($BL$25,ÍNDICES!$B$3:$T$4,2)+11)-VLOOKUP(E226,ÍNDICES!$A:$DE,HLOOKUP($BL$25,ÍNDICES!$B$3:$T$4,2)+11)+1%,IF(F$38=$W$26,$J$35,IF(ISERROR(IF(E226&gt;$D$19,1,VLOOKUP(DATE(YEAR(E226),MONTH(E226)+IF($C$35=$S$23,1,0),1),ÍNDICES!$A:$DE,$Z$35+1))),"",IF(E226&gt;$D$19,1,VLOOKUP(DATE(YEAR(E226),MONTH(E226)+IF($C$35=$S$23,1,0),1),ÍNDICES!$A:$DE,$Z$35+1))))))</f>
        <v/>
      </c>
      <c r="G226" s="155"/>
      <c r="H226" s="156" t="str">
        <f t="shared" si="33"/>
        <v/>
      </c>
      <c r="I226" s="29" t="str">
        <f t="shared" si="27"/>
        <v/>
      </c>
      <c r="J226" s="5">
        <f t="shared" si="28"/>
        <v>0</v>
      </c>
      <c r="K226" s="20">
        <f t="shared" ca="1" si="29"/>
        <v>0</v>
      </c>
      <c r="L226" s="5">
        <f t="shared" ca="1" si="30"/>
        <v>0</v>
      </c>
      <c r="M226" s="64">
        <f t="shared" si="34"/>
        <v>0</v>
      </c>
      <c r="N226" s="61">
        <f t="shared" ca="1" si="35"/>
        <v>0</v>
      </c>
      <c r="O226" s="5">
        <f t="shared" ca="1" si="36"/>
        <v>0</v>
      </c>
      <c r="P226" s="446" t="e">
        <f t="shared" si="31"/>
        <v>#VALUE!</v>
      </c>
      <c r="Q226" s="446" t="e">
        <f>IF(OR($B226="",MIN(Q$38,$D$19)&lt;MAX($P$34*($B226+IF($R$17="Distrato",$I$38-1,0)),IF(AND($L$37=0,$P$34=0),"",$L$37-1),IF($R$17="Distrato",$E226,0))),0,YEARFRAC(MAX($P$34*($B226+IF($R$17="Distrato",$I$38-1,0)),IF(AND($L$37=0,$P$34=0),"",$L$37-1),IF($R$17="Distrato",$E226,0)),MIN(Q$38,$D$19),$P$20))-SUM($P226:P226)</f>
        <v>#VALUE!</v>
      </c>
      <c r="R226" s="446" t="e">
        <f>IF(OR($B226="",MIN(R$38,$D$19)&lt;MAX($P$34*($B226+IF($R$17="Distrato",$I$38-1,0)),IF(AND($L$37=0,$P$34=0),"",$L$37-1),IF($R$17="Distrato",$E226,0))),0,YEARFRAC(MAX($P$34*($B226+IF($R$17="Distrato",$I$38-1,0)),IF(AND($L$37=0,$P$34=0),"",$L$37-1),IF($R$17="Distrato",$E226,0)),MIN(R$38,$D$19),$P$20))-SUM($P226:Q226)</f>
        <v>#VALUE!</v>
      </c>
      <c r="S226" s="446" t="e">
        <f>IF(OR($B226="",MIN(S$38,$D$19)&lt;MAX($P$34*($B226+IF($R$17="Distrato",$I$38-1,0)),IF(AND($L$37=0,$P$34=0),"",$L$37-1),IF($R$17="Distrato",$E226,0))),0,YEARFRAC(MAX($P$34*($B226+IF($R$17="Distrato",$I$38-1,0)),IF(AND($L$37=0,$P$34=0),"",$L$37-1),IF($R$17="Distrato",$E226,0)),MIN(S$38,$D$19),$P$20))-SUM($P226:R226)</f>
        <v>#VALUE!</v>
      </c>
      <c r="T226" s="446" t="e">
        <f>IF(OR($B226="",MIN(T$38,$D$19)&lt;MAX($P$34*($B226+IF($R$17="Distrato",$I$38-1,0)),IF(AND($L$37=0,$P$34=0),"",$L$37-1),IF($R$17="Distrato",$E226,0))),0,YEARFRAC(MAX($P$34*($B226+IF($R$17="Distrato",$I$38-1,0)),IF(AND($L$37=0,$P$34=0),"",$L$37-1),IF($R$17="Distrato",$E226,0)),MIN(T$38,$D$19),$P$20))-SUM($P226:S226)</f>
        <v>#VALUE!</v>
      </c>
      <c r="U226" s="446" t="e">
        <f>IF(OR($B226="",MIN(U$38,$D$19)&lt;MAX($P$34*($B226+IF($R$17="Distrato",$I$38-1,0)),IF(AND($L$37=0,$P$34=0),"",$L$37-1),IF($R$17="Distrato",$E226,0))),0,YEARFRAC(MAX($P$34*($B226+IF($R$17="Distrato",$I$38-1,0)),IF(AND($L$37=0,$P$34=0),"",$L$37-1),IF($R$17="Distrato",$E226,0)),MIN(U$38,$D$19),$P$20))-SUM($P226:T226)</f>
        <v>#VALUE!</v>
      </c>
      <c r="V226" s="446" t="e">
        <f>IF(OR($B226="",MIN(V$38,$D$19)&lt;MAX($P$34*($B226+IF($R$17="Distrato",$I$38-1,0)),IF(AND($L$37=0,$P$34=0),"",$L$37-1),IF($R$17="Distrato",$E226,0))),0,YEARFRAC(MAX($P$34*($B226+IF($R$17="Distrato",$I$38-1,0)),IF(AND($L$37=0,$P$34=0),"",$L$37-1),IF($R$17="Distrato",$E226,0)),MIN(V$38,$D$19),$P$20))-SUM($P226:U226)</f>
        <v>#VALUE!</v>
      </c>
      <c r="W226" s="446" t="e">
        <f>IF(OR($B226="",MIN(W$38,$D$19)&lt;MAX($P$34*($B226+IF($R$17="Distrato",$I$38-1,0)),IF(AND($L$37=0,$P$34=0),"",$L$37-1),IF($R$17="Distrato",$E226,0))),0,YEARFRAC(MAX($P$34*($B226+IF($R$17="Distrato",$I$38-1,0)),IF(AND($L$37=0,$P$34=0),"",$L$37-1),IF($R$17="Distrato",$E226,0)),MIN(W$38,$D$19),$P$20))-SUM($P226:V226)</f>
        <v>#VALUE!</v>
      </c>
      <c r="X226" s="446" t="e">
        <f>IF(OR($B226="",MIN(X$38,$D$19)&lt;MAX($P$34*($B226+IF($R$17="Distrato",$I$38-1,0)),IF(AND($L$37=0,$P$34=0),"",$L$37-1),IF($R$17="Distrato",$E226,0))),0,YEARFRAC(MAX($P$34*($B226+IF($R$17="Distrato",$I$38-1,0)),IF(AND($L$37=0,$P$34=0),"",$L$37-1),IF($R$17="Distrato",$E226,0)),MIN(X$38,$D$19),$P$20))-SUM($P226:W226)</f>
        <v>#VALUE!</v>
      </c>
      <c r="Y226" s="446" t="e">
        <f>IF(OR($B226="",MIN(Y$38,$D$19)&lt;MAX($P$34*($B226+IF($R$17="Distrato",$I$38-1,0)),IF(AND($L$37=0,$P$34=0),"",$L$37-1),IF($R$17="Distrato",$E226,0))),0,YEARFRAC(MAX($P$34*($B226+IF($R$17="Distrato",$I$38-1,0)),IF(AND($L$37=0,$P$34=0),"",$L$37-1),IF($R$17="Distrato",$E226,0)),MIN(Y$38,$D$19),$P$20))-SUM($P226:X226)</f>
        <v>#VALUE!</v>
      </c>
      <c r="Z226" s="446" t="e">
        <f>IF(OR($B226="",MIN(Z$38,$D$19)&lt;MAX($P$34*($B226+IF($R$17="Distrato",$I$38-1,0)),IF(AND($L$37=0,$P$34=0),"",$L$37-1),IF($R$17="Distrato",$E226,0))),0,YEARFRAC(MAX($P$34*($B226+IF($R$17="Distrato",$I$38-1,0)),IF(AND($L$37=0,$P$34=0),"",$L$37-1),IF($R$17="Distrato",$E226,0)),MIN(Z$38,$D$19),$P$20))-SUM($P226:Y226)</f>
        <v>#VALUE!</v>
      </c>
      <c r="AA226" s="446" t="e">
        <f>IF(OR($B226="",MIN(AA$38,$D$19)&lt;MAX($P$34*($B226+IF($R$17="Distrato",$I$38-1,0)),IF(AND($L$37=0,$P$34=0),"",$L$37-1),IF($R$17="Distrato",$E226,0))),0,YEARFRAC(MAX($P$34*($B226+IF($R$17="Distrato",$I$38-1,0)),IF(AND($L$37=0,$P$34=0),"",$L$37-1),IF($R$17="Distrato",$E226,0)),MIN(AA$38,$D$19),$P$20))-SUM($P226:Z226)</f>
        <v>#VALUE!</v>
      </c>
      <c r="AB226" s="446" t="e">
        <f>IF(OR($B226="",MIN(AB$38,$D$19)&lt;MAX($P$34*($B226+IF($R$17="Distrato",$I$38-1,0)),IF(AND($L$37=0,$P$34=0),"",$L$37-1),IF($R$17="Distrato",$E226,0))),0,YEARFRAC(MAX($P$34*($B226+IF($R$17="Distrato",$I$38-1,0)),IF(AND($L$37=0,$P$34=0),"",$L$37-1),IF($R$17="Distrato",$E226,0)),MIN(AB$38,$D$19),$P$20))-SUM($P226:AA226)</f>
        <v>#VALUE!</v>
      </c>
      <c r="AC226" s="446" t="e">
        <f>IF(OR($B226="",MIN(AC$38,$D$19)&lt;MAX($P$34*($B226+IF($R$17="Distrato",$I$38-1,0)),IF(AND($L$37=0,$P$34=0),"",$L$37-1),IF($R$17="Distrato",$E226,0))),0,YEARFRAC(MAX($P$34*($B226+IF($R$17="Distrato",$I$38-1,0)),IF(AND($L$37=0,$P$34=0),"",$L$37-1),IF($R$17="Distrato",$E226,0)),MIN(AC$38,$D$19),$P$20))-SUM($P226:AB226)</f>
        <v>#VALUE!</v>
      </c>
      <c r="AD226" s="446" t="e">
        <f>IF(OR($B226="",MIN(AD$38,$D$19)&lt;MAX($P$34*($B226+IF($R$17="Distrato",$I$38-1,0)),IF(AND($L$37=0,$P$34=0),"",$L$37-1),IF($R$17="Distrato",$E226,0))),0,YEARFRAC(MAX($P$34*($B226+IF($R$17="Distrato",$I$38-1,0)),IF(AND($L$37=0,$P$34=0),"",$L$37-1),IF($R$17="Distrato",$E226,0)),MIN(AD$38,$D$19),$P$20))-SUM($P226:AC226)</f>
        <v>#VALUE!</v>
      </c>
      <c r="AE226" s="446" t="e">
        <f>IF(OR($B226="",MIN(AE$38,$D$19)&lt;MAX($P$34*($B226+IF($R$17="Distrato",$I$38-1,0)),IF(AND($L$37=0,$P$34=0),"",$L$37-1),IF($R$17="Distrato",$E226,0))),0,YEARFRAC(MAX($P$34*($B226+IF($R$17="Distrato",$I$38-1,0)),IF(AND($L$37=0,$P$34=0),"",$L$37-1),IF($R$17="Distrato",$E226,0)),MIN(AE$38,$D$19),$P$20))-SUM($P226:AD226)</f>
        <v>#VALUE!</v>
      </c>
      <c r="AF226" s="446" t="e">
        <f>IF(OR($B226="",MIN(AF$38,$D$19)&lt;MAX($P$34*($B226+IF($R$17="Distrato",$I$38-1,0)),IF(AND($L$37=0,$P$34=0),"",$L$37-1),IF($R$17="Distrato",$E226,0))),0,YEARFRAC(MAX($P$34*($B226+IF($R$17="Distrato",$I$38-1,0)),IF(AND($L$37=0,$P$34=0),"",$L$37-1),IF($R$17="Distrato",$E226,0)),MIN(AF$38,$D$19),$P$20))-SUM($P226:AE226)</f>
        <v>#VALUE!</v>
      </c>
      <c r="AG226" s="446" t="e">
        <f>IF(OR($B226="",MIN(AG$38,$D$19)&lt;MAX($P$34*($B226+IF($R$17="Distrato",$I$38-1,0)),IF(AND($L$37=0,$P$34=0),"",$L$37-1),IF($R$17="Distrato",$E226,0))),0,YEARFRAC(MAX($P$34*($B226+IF($R$17="Distrato",$I$38-1,0)),IF(AND($L$37=0,$P$34=0),"",$L$37-1),IF($R$17="Distrato",$E226,0)),MIN(AG$38,$D$19),$P$20))-SUM($P226:AF226)</f>
        <v>#VALUE!</v>
      </c>
      <c r="AH226" s="446" t="e">
        <f>IF(OR($B226="",MIN(AH$38,$D$19)&lt;MAX($P$34*($B226+IF($R$17="Distrato",$I$38-1,0)),IF(AND($L$37=0,$P$34=0),"",$L$37-1),IF($R$17="Distrato",$E226,0))),0,YEARFRAC(MAX($P$34*($B226+IF($R$17="Distrato",$I$38-1,0)),IF(AND($L$37=0,$P$34=0),"",$L$37-1),IF($R$17="Distrato",$E226,0)),MIN(AH$38,$D$19),$P$20))-SUM($P226:AG226)</f>
        <v>#VALUE!</v>
      </c>
      <c r="AI226" s="446" t="e">
        <f>IF(OR($B226="",MIN(AI$38,$D$19)&lt;MAX($P$34*($B226+IF($R$17="Distrato",$I$38-1,0)),IF(AND($L$37=0,$P$34=0),"",$L$37-1),IF($R$17="Distrato",$E226,0))),0,YEARFRAC(MAX($P$34*($B226+IF($R$17="Distrato",$I$38-1,0)),IF(AND($L$37=0,$P$34=0),"",$L$37-1),IF($R$17="Distrato",$E226,0)),MIN(AI$38,$D$19),$P$20))-SUM($P226:AH226)</f>
        <v>#VALUE!</v>
      </c>
      <c r="AJ226" s="446" t="e">
        <f>IF(OR($B226="",MIN(AJ$38,$D$19)&lt;MAX($P$34*($B226+IF($R$17="Distrato",$I$38-1,0)),IF(AND($L$37=0,$P$34=0),"",$L$37-1),IF($R$17="Distrato",$E226,0))),0,YEARFRAC(MAX($P$34*($B226+IF($R$17="Distrato",$I$38-1,0)),IF(AND($L$37=0,$P$34=0),"",$L$37-1),IF($R$17="Distrato",$E226,0)),MIN(AJ$38,$D$19),$P$20))-SUM($P226:AI226)</f>
        <v>#VALUE!</v>
      </c>
      <c r="AK226" s="446" t="e">
        <f>IF(OR($B226="",MIN(AK$38,$D$19)&lt;MAX($P$34*($B226+IF($R$17="Distrato",$I$38-1,0)),IF(AND($L$37=0,$P$34=0),"",$L$37-1),IF($R$17="Distrato",$E226,0))),0,YEARFRAC(MAX($P$34*($B226+IF($R$17="Distrato",$I$38-1,0)),IF(AND($L$37=0,$P$34=0),"",$L$37-1),IF($R$17="Distrato",$E226,0)),MIN(AK$38,$D$19),$P$20))-SUM($P226:AJ226)</f>
        <v>#VALUE!</v>
      </c>
      <c r="AL226" s="446" t="e">
        <f>IF(OR($B226="",MIN(AL$38,$D$19)&lt;MAX($P$34*($B226+IF($R$17="Distrato",$I$38-1,0)),IF(AND($L$37=0,$P$34=0),"",$L$37-1),IF($R$17="Distrato",$E226,0))),0,YEARFRAC(MAX($P$34*($B226+IF($R$17="Distrato",$I$38-1,0)),IF(AND($L$37=0,$P$34=0),"",$L$37-1),IF($R$17="Distrato",$E226,0)),MIN(AL$38,$D$19),$P$20))-SUM($P226:AK226)</f>
        <v>#VALUE!</v>
      </c>
      <c r="AM226" s="446" t="e">
        <f>IF(OR($B226="",MIN(AM$38,$D$19)&lt;MAX($P$34*($B226+IF($R$17="Distrato",$I$38-1,0)),IF(AND($L$37=0,$P$34=0),"",$L$37-1),IF($R$17="Distrato",$E226,0))),0,YEARFRAC(MAX($P$34*($B226+IF($R$17="Distrato",$I$38-1,0)),IF(AND($L$37=0,$P$34=0),"",$L$37-1),IF($R$17="Distrato",$E226,0)),MIN(AM$38,$D$19),$P$20))-SUM($P226:AL226)</f>
        <v>#VALUE!</v>
      </c>
      <c r="AN226" s="446" t="e">
        <f>IF(OR($B226="",MIN(AN$38,$D$19)&lt;MAX($P$34*($B226+IF($R$17="Distrato",$I$38-1,0)),IF(AND($L$37=0,$P$34=0),"",$L$37-1),IF($R$17="Distrato",$E226,0))),0,YEARFRAC(MAX($P$34*($B226+IF($R$17="Distrato",$I$38-1,0)),IF(AND($L$37=0,$P$34=0),"",$L$37-1),IF($R$17="Distrato",$E226,0)),MIN(AN$38,$D$19),$P$20))-SUM($P226:AM226)</f>
        <v>#VALUE!</v>
      </c>
      <c r="AO226" s="446" t="e">
        <f>IF(OR($B226="",MIN(AO$38,$D$19)&lt;MAX($P$34*($B226+IF($R$17="Distrato",$I$38-1,0)),IF(AND($L$37=0,$P$34=0),"",$L$37-1),IF($R$17="Distrato",$E226,0))),0,YEARFRAC(MAX($P$34*($B226+IF($R$17="Distrato",$I$38-1,0)),IF(AND($L$37=0,$P$34=0),"",$L$37-1),IF($R$17="Distrato",$E226,0)),MIN(AO$38,$D$19),$P$20))-SUM($P226:AN226)</f>
        <v>#VALUE!</v>
      </c>
      <c r="AP226" s="446" t="e">
        <f>IF(OR($B226="",MIN(AP$38,$D$19)&lt;MAX($P$34*($B226+IF($R$17="Distrato",$I$38-1,0)),IF(AND($L$37=0,$P$34=0),"",$L$37-1),IF($R$17="Distrato",$E226,0))),0,YEARFRAC(MAX($P$34*($B226+IF($R$17="Distrato",$I$38-1,0)),IF(AND($L$37=0,$P$34=0),"",$L$37-1),IF($R$17="Distrato",$E226,0)),MIN(AP$38,$D$19),$P$20))-SUM($P226:AO226)</f>
        <v>#VALUE!</v>
      </c>
      <c r="AQ226" s="446" t="e">
        <f>IF(OR($B226="",MIN(AQ$38,$D$19)&lt;MAX($P$34*($B226+IF($R$17="Distrato",$I$38-1,0)),IF(AND($L$37=0,$P$34=0),"",$L$37-1),IF($R$17="Distrato",$E226,0))),0,YEARFRAC(MAX($P$34*($B226+IF($R$17="Distrato",$I$38-1,0)),IF(AND($L$37=0,$P$34=0),"",$L$37-1),IF($R$17="Distrato",$E226,0)),MIN(AQ$38,$D$19),$P$20))-SUM($P226:AP226)</f>
        <v>#VALUE!</v>
      </c>
      <c r="AR226" s="446" t="e">
        <f>IF(OR($B226="",MIN(AR$38,$D$19)&lt;MAX($P$34*($B226+IF($R$17="Distrato",$I$38-1,0)),IF(AND($L$37=0,$P$34=0),"",$L$37-1),IF($R$17="Distrato",$E226,0))),0,YEARFRAC(MAX($P$34*($B226+IF($R$17="Distrato",$I$38-1,0)),IF(AND($L$37=0,$P$34=0),"",$L$37-1),IF($R$17="Distrato",$E226,0)),MIN(AR$38,$D$19),$P$20))-SUM($P226:AQ226)</f>
        <v>#VALUE!</v>
      </c>
      <c r="AS226" s="446" t="e">
        <f>IF(OR($B226="",MIN(AS$38,$D$19)&lt;MAX($P$34*($B226+IF($R$17="Distrato",$I$38-1,0)),IF(AND($L$37=0,$P$34=0),"",$L$37-1),IF($R$17="Distrato",$E226,0))),0,YEARFRAC(MAX($P$34*($B226+IF($R$17="Distrato",$I$38-1,0)),IF(AND($L$37=0,$P$34=0),"",$L$37-1),IF($R$17="Distrato",$E226,0)),MIN(AS$38,$D$19),$P$20))-SUM($P226:AR226)</f>
        <v>#VALUE!</v>
      </c>
      <c r="AT226" s="446" t="e">
        <f>IF(OR($B226="",MIN(AT$38,$D$19)&lt;MAX($P$34*($B226+IF($R$17="Distrato",$I$38-1,0)),IF(AND($L$37=0,$P$34=0),"",$L$37-1),IF($R$17="Distrato",$E226,0))),0,YEARFRAC(MAX($P$34*($B226+IF($R$17="Distrato",$I$38-1,0)),IF(AND($L$37=0,$P$34=0),"",$L$37-1),IF($R$17="Distrato",$E226,0)),MIN(AT$38,$D$19),$P$20))-SUM($P226:AS226)</f>
        <v>#VALUE!</v>
      </c>
      <c r="AU226" s="446" t="e">
        <f>IF(OR($B226="",MIN(AU$38,$D$19)&lt;MAX($P$34*($B226+IF($R$17="Distrato",$I$38-1,0)),IF(AND($L$37=0,$P$34=0),"",$L$37-1),IF($R$17="Distrato",$E226,0))),0,YEARFRAC(MAX($P$34*($B226+IF($R$17="Distrato",$I$38-1,0)),IF(AND($L$37=0,$P$34=0),"",$L$37-1),IF($R$17="Distrato",$E226,0)),MIN(AU$38,$D$19),$P$20))-SUM($P226:AT226)</f>
        <v>#VALUE!</v>
      </c>
      <c r="AV226" s="446" t="e">
        <f>IF(OR($B226="",MIN(AV$38,$D$19)&lt;MAX($P$34*($B226+IF($R$17="Distrato",$I$38-1,0)),IF(AND($L$37=0,$P$34=0),"",$L$37-1),IF($R$17="Distrato",$E226,0))),0,YEARFRAC(MAX($P$34*($B226+IF($R$17="Distrato",$I$38-1,0)),IF(AND($L$37=0,$P$34=0),"",$L$37-1),IF($R$17="Distrato",$E226,0)),MIN(AV$38,$D$19),$P$20))-SUM($P226:AU226)</f>
        <v>#VALUE!</v>
      </c>
      <c r="AW226" s="446" t="e">
        <f>IF(OR($B226="",MIN(AW$38,$D$19)&lt;MAX($P$34*($B226+IF($R$17="Distrato",$I$38-1,0)),IF(AND($L$37=0,$P$34=0),"",$L$37-1),IF($R$17="Distrato",$E226,0))),0,YEARFRAC(MAX($P$34*($B226+IF($R$17="Distrato",$I$38-1,0)),IF(AND($L$37=0,$P$34=0),"",$L$37-1),IF($R$17="Distrato",$E226,0)),MIN(AW$38,$D$19),$P$20))-SUM($P226:AV226)</f>
        <v>#VALUE!</v>
      </c>
      <c r="AX226" s="446" t="e">
        <f>IF(OR($B226="",MIN(AX$38,$D$19)&lt;MAX($P$34*($B226+IF($R$17="Distrato",$I$38-1,0)),IF(AND($L$37=0,$P$34=0),"",$L$37-1),IF($R$17="Distrato",$E226,0))),0,YEARFRAC(MAX($P$34*($B226+IF($R$17="Distrato",$I$38-1,0)),IF(AND($L$37=0,$P$34=0),"",$L$37-1),IF($R$17="Distrato",$E226,0)),MIN(AX$38,$D$19),$P$20))-SUM($P226:AW226)</f>
        <v>#VALUE!</v>
      </c>
      <c r="AY226" s="446" t="e">
        <f>IF(OR($B226="",MIN(AY$38,$D$19)&lt;MAX($P$34*($B226+IF($R$17="Distrato",$I$38-1,0)),IF(AND($L$37=0,$P$34=0),"",$L$37-1),IF($R$17="Distrato",$E226,0))),0,YEARFRAC(MAX($P$34*($B226+IF($R$17="Distrato",$I$38-1,0)),IF(AND($L$37=0,$P$34=0),"",$L$37-1),IF($R$17="Distrato",$E226,0)),MIN(AY$38,$D$19),$P$20))-SUM($P226:AX226)</f>
        <v>#VALUE!</v>
      </c>
      <c r="AZ226" s="446" t="e">
        <f>IF(OR($B226="",MIN(AZ$38,$D$19)&lt;MAX($P$34*($B226+IF($R$17="Distrato",$I$38-1,0)),IF(AND($L$37=0,$P$34=0),"",$L$37-1),IF($R$17="Distrato",$E226,0))),0,YEARFRAC(MAX($P$34*($B226+IF($R$17="Distrato",$I$38-1,0)),IF(AND($L$37=0,$P$34=0),"",$L$37-1),IF($R$17="Distrato",$E226,0)),MIN(AZ$38,$D$19),$P$20))-SUM($P226:AY226)</f>
        <v>#VALUE!</v>
      </c>
      <c r="BA226" s="446" t="e">
        <f>IF(OR($B226="",MIN(BA$38,$D$19)&lt;MAX($P$34*($B226+IF($R$17="Distrato",$I$38-1,0)),IF(AND($L$37=0,$P$34=0),"",$L$37-1),IF($R$17="Distrato",$E226,0))),0,YEARFRAC(MAX($P$34*($B226+IF($R$17="Distrato",$I$38-1,0)),IF(AND($L$37=0,$P$34=0),"",$L$37-1),IF($R$17="Distrato",$E226,0)),MIN(BA$38,$D$19),$P$20))-SUM($P226:AZ226)</f>
        <v>#VALUE!</v>
      </c>
      <c r="BB226" s="447"/>
      <c r="BF226" s="446">
        <f t="shared" si="32"/>
        <v>0</v>
      </c>
      <c r="BG226" s="446">
        <f>IF($E226=0,0,IF(MIN(BG$38,$E226)&lt;MAX($P$34*($B226+$I$38-1),IF(AND($L$37=0,$P$34=0),"",$L$37-1)),0,YEARFRAC(MAX($P$34*($B226+$I$38-1),IF(AND($L$37=0,$P$34=0),"",$L$37-1)),MIN(BG$38,$E226),$P$20))-SUM($BF226:BF226))</f>
        <v>0</v>
      </c>
      <c r="BH226" s="446">
        <f>IF($E226=0,0,IF(MIN(BH$38,$E226)&lt;MAX($P$34*($B226+$I$38-1),IF(AND($L$37=0,$P$34=0),"",$L$37-1)),0,YEARFRAC(MAX($P$34*($B226+$I$38-1),IF(AND($L$37=0,$P$34=0),"",$L$37-1)),MIN(BH$38,$E226),$P$20))-SUM($BF226:BG226))</f>
        <v>0</v>
      </c>
      <c r="BI226" s="446">
        <f>IF($E226=0,0,IF(MIN(BI$38,$E226)&lt;MAX($P$34*($B226+$I$38-1),IF(AND($L$37=0,$P$34=0),"",$L$37-1)),0,YEARFRAC(MAX($P$34*($B226+$I$38-1),IF(AND($L$37=0,$P$34=0),"",$L$37-1)),MIN(BI$38,$E226),$P$20))-SUM($BF226:BH226))</f>
        <v>0</v>
      </c>
      <c r="BJ226" s="446">
        <f>IF($E226=0,0,IF(MIN(BJ$38,$E226)&lt;MAX($P$34*($B226+$I$38-1),IF(AND($L$37=0,$P$34=0),"",$L$37-1)),0,YEARFRAC(MAX($P$34*($B226+$I$38-1),IF(AND($L$37=0,$P$34=0),"",$L$37-1)),MIN(BJ$38,$E226),$P$20))-SUM($BF226:BI226))</f>
        <v>0</v>
      </c>
      <c r="BK226" s="446">
        <f>IF($E226=0,0,IF(MIN(BK$38,$E226)&lt;MAX($P$34*($B226+$I$38-1),IF(AND($L$37=0,$P$34=0),"",$L$37-1)),0,YEARFRAC(MAX($P$34*($B226+$I$38-1),IF(AND($L$37=0,$P$34=0),"",$L$37-1)),MIN(BK$38,$E226),$P$20))-SUM($BF226:BJ226))</f>
        <v>0</v>
      </c>
      <c r="BL226" s="446">
        <f>IF($E226=0,0,IF(MIN(BL$38,$E226)&lt;MAX($P$34*($B226+$I$38-1),IF(AND($L$37=0,$P$34=0),"",$L$37-1)),0,YEARFRAC(MAX($P$34*($B226+$I$38-1),IF(AND($L$37=0,$P$34=0),"",$L$37-1)),MIN(BL$38,$E226),$P$20))-SUM($BF226:BK226))</f>
        <v>0</v>
      </c>
      <c r="BM226" s="446">
        <f>IF($E226=0,0,IF(MIN(BM$38,$E226)&lt;MAX($P$34*($B226+$I$38-1),IF(AND($L$37=0,$P$34=0),"",$L$37-1)),0,YEARFRAC(MAX($P$34*($B226+$I$38-1),IF(AND($L$37=0,$P$34=0),"",$L$37-1)),MIN(BM$38,$E226),$P$20))-SUM($BF226:BL226))</f>
        <v>0</v>
      </c>
      <c r="BN226" s="446">
        <f>IF($E226=0,0,IF(MIN(BN$38,$E226)&lt;MAX($P$34*($B226+$I$38-1),IF(AND($L$37=0,$P$34=0),"",$L$37-1)),0,YEARFRAC(MAX($P$34*($B226+$I$38-1),IF(AND($L$37=0,$P$34=0),"",$L$37-1)),MIN(BN$38,$E226),$P$20))-SUM($BF226:BM226))</f>
        <v>0</v>
      </c>
      <c r="BO226" s="446">
        <f>IF($E226=0,0,IF(MIN(BO$38,$E226)&lt;MAX($P$34*($B226+$I$38-1),IF(AND($L$37=0,$P$34=0),"",$L$37-1)),0,YEARFRAC(MAX($P$34*($B226+$I$38-1),IF(AND($L$37=0,$P$34=0),"",$L$37-1)),MIN(BO$38,$E226),$P$20))-SUM($BF226:BN226))</f>
        <v>0</v>
      </c>
      <c r="BP226" s="446">
        <f>IF($E226=0,0,IF(MIN(BP$38,$E226)&lt;MAX($P$34*($B226+$I$38-1),IF(AND($L$37=0,$P$34=0),"",$L$37-1)),0,YEARFRAC(MAX($P$34*($B226+$I$38-1),IF(AND($L$37=0,$P$34=0),"",$L$37-1)),MIN(BP$38,$E226),$P$20))-SUM($BF226:BO226))</f>
        <v>0</v>
      </c>
      <c r="BQ226" s="446">
        <f>IF($E226=0,0,IF(MIN(BQ$38,$E226)&lt;MAX($P$34*($B226+$I$38-1),IF(AND($L$37=0,$P$34=0),"",$L$37-1)),0,YEARFRAC(MAX($P$34*($B226+$I$38-1),IF(AND($L$37=0,$P$34=0),"",$L$37-1)),MIN(BQ$38,$E226),$P$20))-SUM($BF226:BP226))</f>
        <v>0</v>
      </c>
      <c r="BR226" s="446">
        <f>IF($E226=0,0,IF(MIN(BR$38,$E226)&lt;MAX($P$34*($B226+$I$38-1),IF(AND($L$37=0,$P$34=0),"",$L$37-1)),0,YEARFRAC(MAX($P$34*($B226+$I$38-1),IF(AND($L$37=0,$P$34=0),"",$L$37-1)),MIN(BR$38,$E226),$P$20))-SUM($BF226:BQ226))</f>
        <v>0</v>
      </c>
      <c r="BS226" s="446">
        <f>IF($E226=0,0,IF(MIN(BS$38,$E226)&lt;MAX($P$34*($B226+$I$38-1),IF(AND($L$37=0,$P$34=0),"",$L$37-1)),0,YEARFRAC(MAX($P$34*($B226+$I$38-1),IF(AND($L$37=0,$P$34=0),"",$L$37-1)),MIN(BS$38,$E226),$P$20))-SUM($BF226:BR226))</f>
        <v>0</v>
      </c>
      <c r="BT226" s="446">
        <f>IF($E226=0,0,IF(MIN(BT$38,$E226)&lt;MAX($P$34*($B226+$I$38-1),IF(AND($L$37=0,$P$34=0),"",$L$37-1)),0,YEARFRAC(MAX($P$34*($B226+$I$38-1),IF(AND($L$37=0,$P$34=0),"",$L$37-1)),MIN(BT$38,$E226),$P$20))-SUM($BF226:BS226))</f>
        <v>0</v>
      </c>
      <c r="BU226" s="446">
        <f>IF($E226=0,0,IF(MIN(BU$38,$E226)&lt;MAX($P$34*($B226+$I$38-1),IF(AND($L$37=0,$P$34=0),"",$L$37-1)),0,YEARFRAC(MAX($P$34*($B226+$I$38-1),IF(AND($L$37=0,$P$34=0),"",$L$37-1)),MIN(BU$38,$E226),$P$20))-SUM($BF226:BT226))</f>
        <v>0</v>
      </c>
      <c r="BV226" s="446">
        <f>IF($E226=0,0,IF(MIN(BV$38,$E226)&lt;MAX($P$34*($B226+$I$38-1),IF(AND($L$37=0,$P$34=0),"",$L$37-1)),0,YEARFRAC(MAX($P$34*($B226+$I$38-1),IF(AND($L$37=0,$P$34=0),"",$L$37-1)),MIN(BV$38,$E226),$P$20))-SUM($BF226:BU226))</f>
        <v>0</v>
      </c>
      <c r="BW226" s="446">
        <f>IF($E226=0,0,IF(MIN(BW$38,$E226)&lt;MAX($P$34*($B226+$I$38-1),IF(AND($L$37=0,$P$34=0),"",$L$37-1)),0,YEARFRAC(MAX($P$34*($B226+$I$38-1),IF(AND($L$37=0,$P$34=0),"",$L$37-1)),MIN(BW$38,$E226),$P$20))-SUM($BF226:BV226))</f>
        <v>0</v>
      </c>
      <c r="BX226" s="446">
        <f>IF($E226=0,0,IF(MIN(BX$38,$E226)&lt;MAX($P$34*($B226+$I$38-1),IF(AND($L$37=0,$P$34=0),"",$L$37-1)),0,YEARFRAC(MAX($P$34*($B226+$I$38-1),IF(AND($L$37=0,$P$34=0),"",$L$37-1)),MIN(BX$38,$E226),$P$20))-SUM($BF226:BW226))</f>
        <v>0</v>
      </c>
      <c r="BY226" s="446">
        <f>IF($E226=0,0,IF(MIN(BY$38,$E226)&lt;MAX($P$34*($B226+$I$38-1),IF(AND($L$37=0,$P$34=0),"",$L$37-1)),0,YEARFRAC(MAX($P$34*($B226+$I$38-1),IF(AND($L$37=0,$P$34=0),"",$L$37-1)),MIN(BY$38,$E226),$P$20))-SUM($BF226:BX226))</f>
        <v>0</v>
      </c>
      <c r="BZ226" s="446">
        <f>IF($E226=0,0,IF(MIN(BZ$38,$E226)&lt;MAX($P$34*($B226+$I$38-1),IF(AND($L$37=0,$P$34=0),"",$L$37-1)),0,YEARFRAC(MAX($P$34*($B226+$I$38-1),IF(AND($L$37=0,$P$34=0),"",$L$37-1)),MIN(BZ$38,$E226),$P$20))-SUM($BF226:BY226))</f>
        <v>0</v>
      </c>
      <c r="CA226" s="446">
        <f>IF($E226=0,0,IF(MIN(CA$38,$E226)&lt;MAX($P$34*($B226+$I$38-1),IF(AND($L$37=0,$P$34=0),"",$L$37-1)),0,YEARFRAC(MAX($P$34*($B226+$I$38-1),IF(AND($L$37=0,$P$34=0),"",$L$37-1)),MIN(CA$38,$E226),$P$20))-SUM($BF226:BZ226))</f>
        <v>0</v>
      </c>
      <c r="CB226" s="446">
        <f>IF($E226=0,0,IF(MIN(CB$38,$E226)&lt;MAX($P$34*($B226+$I$38-1),IF(AND($L$37=0,$P$34=0),"",$L$37-1)),0,YEARFRAC(MAX($P$34*($B226+$I$38-1),IF(AND($L$37=0,$P$34=0),"",$L$37-1)),MIN(CB$38,$E226),$P$20))-SUM($BF226:CA226))</f>
        <v>0</v>
      </c>
      <c r="CC226" s="446">
        <f>IF($E226=0,0,IF(MIN(CC$38,$E226)&lt;MAX($P$34*($B226+$I$38-1),IF(AND($L$37=0,$P$34=0),"",$L$37-1)),0,YEARFRAC(MAX($P$34*($B226+$I$38-1),IF(AND($L$37=0,$P$34=0),"",$L$37-1)),MIN(CC$38,$E226),$P$20))-SUM($BF226:CB226))</f>
        <v>0</v>
      </c>
      <c r="CD226" s="446">
        <f>IF($E226=0,0,IF(MIN(CD$38,$E226)&lt;MAX($P$34*($B226+$I$38-1),IF(AND($L$37=0,$P$34=0),"",$L$37-1)),0,YEARFRAC(MAX($P$34*($B226+$I$38-1),IF(AND($L$37=0,$P$34=0),"",$L$37-1)),MIN(CD$38,$E226),$P$20))-SUM($BF226:CC226))</f>
        <v>0</v>
      </c>
      <c r="CE226" s="446">
        <f>IF($E226=0,0,IF(MIN(CE$38,$E226)&lt;MAX($P$34*($B226+$I$38-1),IF(AND($L$37=0,$P$34=0),"",$L$37-1)),0,YEARFRAC(MAX($P$34*($B226+$I$38-1),IF(AND($L$37=0,$P$34=0),"",$L$37-1)),MIN(CE$38,$E226),$P$20))-SUM($BF226:CD226))</f>
        <v>0</v>
      </c>
      <c r="CF226" s="446">
        <f>IF($E226=0,0,IF(MIN(CF$38,$E226)&lt;MAX($P$34*($B226+$I$38-1),IF(AND($L$37=0,$P$34=0),"",$L$37-1)),0,YEARFRAC(MAX($P$34*($B226+$I$38-1),IF(AND($L$37=0,$P$34=0),"",$L$37-1)),MIN(CF$38,$E226),$P$20))-SUM($BF226:CE226))</f>
        <v>0</v>
      </c>
      <c r="CG226" s="446">
        <f>IF($E226=0,0,IF(MIN(CG$38,$E226)&lt;MAX($P$34*($B226+$I$38-1),IF(AND($L$37=0,$P$34=0),"",$L$37-1)),0,YEARFRAC(MAX($P$34*($B226+$I$38-1),IF(AND($L$37=0,$P$34=0),"",$L$37-1)),MIN(CG$38,$E226),$P$20))-SUM($BF226:CF226))</f>
        <v>0</v>
      </c>
      <c r="CH226" s="446">
        <f>IF($E226=0,0,IF(MIN(CH$38,$E226)&lt;MAX($P$34*($B226+$I$38-1),IF(AND($L$37=0,$P$34=0),"",$L$37-1)),0,YEARFRAC(MAX($P$34*($B226+$I$38-1),IF(AND($L$37=0,$P$34=0),"",$L$37-1)),MIN(CH$38,$E226),$P$20))-SUM($BF226:CG226))</f>
        <v>0</v>
      </c>
      <c r="CI226" s="446">
        <f>IF($E226=0,0,IF(MIN(CI$38,$E226)&lt;MAX($P$34*($B226+$I$38-1),IF(AND($L$37=0,$P$34=0),"",$L$37-1)),0,YEARFRAC(MAX($P$34*($B226+$I$38-1),IF(AND($L$37=0,$P$34=0),"",$L$37-1)),MIN(CI$38,$E226),$P$20))-SUM($BF226:CH226))</f>
        <v>0</v>
      </c>
      <c r="CJ226" s="446">
        <f>IF($E226=0,0,IF(MIN(CJ$38,$E226)&lt;MAX($P$34*($B226+$I$38-1),IF(AND($L$37=0,$P$34=0),"",$L$37-1)),0,YEARFRAC(MAX($P$34*($B226+$I$38-1),IF(AND($L$37=0,$P$34=0),"",$L$37-1)),MIN(CJ$38,$E226),$P$20))-SUM($BF226:CI226))</f>
        <v>0</v>
      </c>
      <c r="CK226" s="446">
        <f>IF($E226=0,0,IF(MIN(CK$38,$E226)&lt;MAX($P$34*($B226+$I$38-1),IF(AND($L$37=0,$P$34=0),"",$L$37-1)),0,YEARFRAC(MAX($P$34*($B226+$I$38-1),IF(AND($L$37=0,$P$34=0),"",$L$37-1)),MIN(CK$38,$E226),$P$20))-SUM($BF226:CJ226))</f>
        <v>0</v>
      </c>
      <c r="CL226" s="446">
        <f>IF($E226=0,0,IF(MIN(CL$38,$E226)&lt;MAX($P$34*($B226+$I$38-1),IF(AND($L$37=0,$P$34=0),"",$L$37-1)),0,YEARFRAC(MAX($P$34*($B226+$I$38-1),IF(AND($L$37=0,$P$34=0),"",$L$37-1)),MIN(CL$38,$E226),$P$20))-SUM($BF226:CK226))</f>
        <v>0</v>
      </c>
      <c r="CM226" s="446">
        <f>IF($E226=0,0,IF(MIN(CM$38,$E226)&lt;MAX($P$34*($B226+$I$38-1),IF(AND($L$37=0,$P$34=0),"",$L$37-1)),0,YEARFRAC(MAX($P$34*($B226+$I$38-1),IF(AND($L$37=0,$P$34=0),"",$L$37-1)),MIN(CM$38,$E226),$P$20))-SUM($BF226:CL226))</f>
        <v>0</v>
      </c>
      <c r="CN226" s="446">
        <f>IF($E226=0,0,IF(MIN(CN$38,$E226)&lt;MAX($P$34*($B226+$I$38-1),IF(AND($L$37=0,$P$34=0),"",$L$37-1)),0,YEARFRAC(MAX($P$34*($B226+$I$38-1),IF(AND($L$37=0,$P$34=0),"",$L$37-1)),MIN(CN$38,$E226),$P$20))-SUM($BF226:CM226))</f>
        <v>0</v>
      </c>
      <c r="CO226" s="446">
        <f>IF($E226=0,0,IF(MIN(CO$38,$E226)&lt;MAX($P$34*($B226+$I$38-1),IF(AND($L$37=0,$P$34=0),"",$L$37-1)),0,YEARFRAC(MAX($P$34*($B226+$I$38-1),IF(AND($L$37=0,$P$34=0),"",$L$37-1)),MIN(CO$38,$E226),$P$20))-SUM($BF226:CN226))</f>
        <v>0</v>
      </c>
      <c r="CP226" s="446">
        <f>IF($E226=0,0,IF(MIN(CP$38,$E226)&lt;MAX($P$34*($B226+$I$38-1),IF(AND($L$37=0,$P$34=0),"",$L$37-1)),0,YEARFRAC(MAX($P$34*($B226+$I$38-1),IF(AND($L$37=0,$P$34=0),"",$L$37-1)),MIN(CP$38,$E226),$P$20))-SUM($BF226:CO226))</f>
        <v>0</v>
      </c>
      <c r="CQ226" s="446">
        <f>IF($E226=0,0,IF(MIN(CQ$38,$E226)&lt;MAX($P$34*($B226+$I$38-1),IF(AND($L$37=0,$P$34=0),"",$L$37-1)),0,YEARFRAC(MAX($P$34*($B226+$I$38-1),IF(AND($L$37=0,$P$34=0),"",$L$37-1)),MIN(CQ$38,$E226),$P$20))-SUM($BF226:CP226))</f>
        <v>0</v>
      </c>
    </row>
    <row r="227" spans="1:95" s="446" customFormat="1" ht="11.25" hidden="1" customHeight="1" x14ac:dyDescent="0.2">
      <c r="A227" s="152"/>
      <c r="B227" s="153" t="str">
        <f t="shared" si="37"/>
        <v/>
      </c>
      <c r="C227" s="29" t="str">
        <f>IF(B227="","",IF($L$35="SELIC - TRIBUTOS",VLOOKUP(DATE(YEAR($D$19),MONTH($D$19)-1,1),ÍNDICES!$A:$DE,HLOOKUP($BL$25,ÍNDICES!$B$3:$T$4,2)+11)-VLOOKUP(B227,ÍNDICES!$A:$DE,HLOOKUP($BL$25,ÍNDICES!$B$3:$T$4,2)+11)+1%,IF(C$38=$W$26,$J$35,IF(ISERROR(IF(B227&gt;$D$19,1,VLOOKUP(DATE(YEAR(B227),MONTH(B227)+IF($C$35=$S$23,1,0),1),ÍNDICES!$A:$DE,$Z$35+1))),"",IF(B227&gt;$D$19,1,VLOOKUP(DATE(YEAR(B227),MONTH(B227)+IF($C$35=$S$23,1,0),1),ÍNDICES!$A:$DE,$Z$35+1))))))</f>
        <v/>
      </c>
      <c r="D227" s="154" t="str">
        <f>IF(ISERROR(IF(OR($D$38=$Y$27,$B227=""),"",VLOOKUP(B227,ÍNDICES!A:DE,AF$35+1))),"",IF(OR($D$38=$Y$27,$B227=""),"",VLOOKUP(B227,ÍNDICES!A:DE,AF$35+1)))</f>
        <v/>
      </c>
      <c r="E227" s="153"/>
      <c r="F227" s="29" t="str">
        <f>IF(E227="","",IF($L$35="SELIC - TRIBUTOS",VLOOKUP(DATE(YEAR($D$19),MONTH($D$19)-1,1),ÍNDICES!$A:$DE,HLOOKUP($BL$25,ÍNDICES!$B$3:$T$4,2)+11)-VLOOKUP(E227,ÍNDICES!$A:$DE,HLOOKUP($BL$25,ÍNDICES!$B$3:$T$4,2)+11)+1%,IF(F$38=$W$26,$J$35,IF(ISERROR(IF(E227&gt;$D$19,1,VLOOKUP(DATE(YEAR(E227),MONTH(E227)+IF($C$35=$S$23,1,0),1),ÍNDICES!$A:$DE,$Z$35+1))),"",IF(E227&gt;$D$19,1,VLOOKUP(DATE(YEAR(E227),MONTH(E227)+IF($C$35=$S$23,1,0),1),ÍNDICES!$A:$DE,$Z$35+1))))))</f>
        <v/>
      </c>
      <c r="G227" s="155"/>
      <c r="H227" s="156" t="str">
        <f t="shared" si="33"/>
        <v/>
      </c>
      <c r="I227" s="29" t="str">
        <f t="shared" si="27"/>
        <v/>
      </c>
      <c r="J227" s="5">
        <f t="shared" si="28"/>
        <v>0</v>
      </c>
      <c r="K227" s="20">
        <f t="shared" ca="1" si="29"/>
        <v>0</v>
      </c>
      <c r="L227" s="5">
        <f t="shared" ca="1" si="30"/>
        <v>0</v>
      </c>
      <c r="M227" s="64">
        <f t="shared" si="34"/>
        <v>0</v>
      </c>
      <c r="N227" s="61">
        <f t="shared" ca="1" si="35"/>
        <v>0</v>
      </c>
      <c r="O227" s="5">
        <f t="shared" ca="1" si="36"/>
        <v>0</v>
      </c>
      <c r="P227" s="446" t="e">
        <f t="shared" si="31"/>
        <v>#VALUE!</v>
      </c>
      <c r="Q227" s="446" t="e">
        <f>IF(OR($B227="",MIN(Q$38,$D$19)&lt;MAX($P$34*($B227+IF($R$17="Distrato",$I$38-1,0)),IF(AND($L$37=0,$P$34=0),"",$L$37-1),IF($R$17="Distrato",$E227,0))),0,YEARFRAC(MAX($P$34*($B227+IF($R$17="Distrato",$I$38-1,0)),IF(AND($L$37=0,$P$34=0),"",$L$37-1),IF($R$17="Distrato",$E227,0)),MIN(Q$38,$D$19),$P$20))-SUM($P227:P227)</f>
        <v>#VALUE!</v>
      </c>
      <c r="R227" s="446" t="e">
        <f>IF(OR($B227="",MIN(R$38,$D$19)&lt;MAX($P$34*($B227+IF($R$17="Distrato",$I$38-1,0)),IF(AND($L$37=0,$P$34=0),"",$L$37-1),IF($R$17="Distrato",$E227,0))),0,YEARFRAC(MAX($P$34*($B227+IF($R$17="Distrato",$I$38-1,0)),IF(AND($L$37=0,$P$34=0),"",$L$37-1),IF($R$17="Distrato",$E227,0)),MIN(R$38,$D$19),$P$20))-SUM($P227:Q227)</f>
        <v>#VALUE!</v>
      </c>
      <c r="S227" s="446" t="e">
        <f>IF(OR($B227="",MIN(S$38,$D$19)&lt;MAX($P$34*($B227+IF($R$17="Distrato",$I$38-1,0)),IF(AND($L$37=0,$P$34=0),"",$L$37-1),IF($R$17="Distrato",$E227,0))),0,YEARFRAC(MAX($P$34*($B227+IF($R$17="Distrato",$I$38-1,0)),IF(AND($L$37=0,$P$34=0),"",$L$37-1),IF($R$17="Distrato",$E227,0)),MIN(S$38,$D$19),$P$20))-SUM($P227:R227)</f>
        <v>#VALUE!</v>
      </c>
      <c r="T227" s="446" t="e">
        <f>IF(OR($B227="",MIN(T$38,$D$19)&lt;MAX($P$34*($B227+IF($R$17="Distrato",$I$38-1,0)),IF(AND($L$37=0,$P$34=0),"",$L$37-1),IF($R$17="Distrato",$E227,0))),0,YEARFRAC(MAX($P$34*($B227+IF($R$17="Distrato",$I$38-1,0)),IF(AND($L$37=0,$P$34=0),"",$L$37-1),IF($R$17="Distrato",$E227,0)),MIN(T$38,$D$19),$P$20))-SUM($P227:S227)</f>
        <v>#VALUE!</v>
      </c>
      <c r="U227" s="446" t="e">
        <f>IF(OR($B227="",MIN(U$38,$D$19)&lt;MAX($P$34*($B227+IF($R$17="Distrato",$I$38-1,0)),IF(AND($L$37=0,$P$34=0),"",$L$37-1),IF($R$17="Distrato",$E227,0))),0,YEARFRAC(MAX($P$34*($B227+IF($R$17="Distrato",$I$38-1,0)),IF(AND($L$37=0,$P$34=0),"",$L$37-1),IF($R$17="Distrato",$E227,0)),MIN(U$38,$D$19),$P$20))-SUM($P227:T227)</f>
        <v>#VALUE!</v>
      </c>
      <c r="V227" s="446" t="e">
        <f>IF(OR($B227="",MIN(V$38,$D$19)&lt;MAX($P$34*($B227+IF($R$17="Distrato",$I$38-1,0)),IF(AND($L$37=0,$P$34=0),"",$L$37-1),IF($R$17="Distrato",$E227,0))),0,YEARFRAC(MAX($P$34*($B227+IF($R$17="Distrato",$I$38-1,0)),IF(AND($L$37=0,$P$34=0),"",$L$37-1),IF($R$17="Distrato",$E227,0)),MIN(V$38,$D$19),$P$20))-SUM($P227:U227)</f>
        <v>#VALUE!</v>
      </c>
      <c r="W227" s="446" t="e">
        <f>IF(OR($B227="",MIN(W$38,$D$19)&lt;MAX($P$34*($B227+IF($R$17="Distrato",$I$38-1,0)),IF(AND($L$37=0,$P$34=0),"",$L$37-1),IF($R$17="Distrato",$E227,0))),0,YEARFRAC(MAX($P$34*($B227+IF($R$17="Distrato",$I$38-1,0)),IF(AND($L$37=0,$P$34=0),"",$L$37-1),IF($R$17="Distrato",$E227,0)),MIN(W$38,$D$19),$P$20))-SUM($P227:V227)</f>
        <v>#VALUE!</v>
      </c>
      <c r="X227" s="446" t="e">
        <f>IF(OR($B227="",MIN(X$38,$D$19)&lt;MAX($P$34*($B227+IF($R$17="Distrato",$I$38-1,0)),IF(AND($L$37=0,$P$34=0),"",$L$37-1),IF($R$17="Distrato",$E227,0))),0,YEARFRAC(MAX($P$34*($B227+IF($R$17="Distrato",$I$38-1,0)),IF(AND($L$37=0,$P$34=0),"",$L$37-1),IF($R$17="Distrato",$E227,0)),MIN(X$38,$D$19),$P$20))-SUM($P227:W227)</f>
        <v>#VALUE!</v>
      </c>
      <c r="Y227" s="446" t="e">
        <f>IF(OR($B227="",MIN(Y$38,$D$19)&lt;MAX($P$34*($B227+IF($R$17="Distrato",$I$38-1,0)),IF(AND($L$37=0,$P$34=0),"",$L$37-1),IF($R$17="Distrato",$E227,0))),0,YEARFRAC(MAX($P$34*($B227+IF($R$17="Distrato",$I$38-1,0)),IF(AND($L$37=0,$P$34=0),"",$L$37-1),IF($R$17="Distrato",$E227,0)),MIN(Y$38,$D$19),$P$20))-SUM($P227:X227)</f>
        <v>#VALUE!</v>
      </c>
      <c r="Z227" s="446" t="e">
        <f>IF(OR($B227="",MIN(Z$38,$D$19)&lt;MAX($P$34*($B227+IF($R$17="Distrato",$I$38-1,0)),IF(AND($L$37=0,$P$34=0),"",$L$37-1),IF($R$17="Distrato",$E227,0))),0,YEARFRAC(MAX($P$34*($B227+IF($R$17="Distrato",$I$38-1,0)),IF(AND($L$37=0,$P$34=0),"",$L$37-1),IF($R$17="Distrato",$E227,0)),MIN(Z$38,$D$19),$P$20))-SUM($P227:Y227)</f>
        <v>#VALUE!</v>
      </c>
      <c r="AA227" s="446" t="e">
        <f>IF(OR($B227="",MIN(AA$38,$D$19)&lt;MAX($P$34*($B227+IF($R$17="Distrato",$I$38-1,0)),IF(AND($L$37=0,$P$34=0),"",$L$37-1),IF($R$17="Distrato",$E227,0))),0,YEARFRAC(MAX($P$34*($B227+IF($R$17="Distrato",$I$38-1,0)),IF(AND($L$37=0,$P$34=0),"",$L$37-1),IF($R$17="Distrato",$E227,0)),MIN(AA$38,$D$19),$P$20))-SUM($P227:Z227)</f>
        <v>#VALUE!</v>
      </c>
      <c r="AB227" s="446" t="e">
        <f>IF(OR($B227="",MIN(AB$38,$D$19)&lt;MAX($P$34*($B227+IF($R$17="Distrato",$I$38-1,0)),IF(AND($L$37=0,$P$34=0),"",$L$37-1),IF($R$17="Distrato",$E227,0))),0,YEARFRAC(MAX($P$34*($B227+IF($R$17="Distrato",$I$38-1,0)),IF(AND($L$37=0,$P$34=0),"",$L$37-1),IF($R$17="Distrato",$E227,0)),MIN(AB$38,$D$19),$P$20))-SUM($P227:AA227)</f>
        <v>#VALUE!</v>
      </c>
      <c r="AC227" s="446" t="e">
        <f>IF(OR($B227="",MIN(AC$38,$D$19)&lt;MAX($P$34*($B227+IF($R$17="Distrato",$I$38-1,0)),IF(AND($L$37=0,$P$34=0),"",$L$37-1),IF($R$17="Distrato",$E227,0))),0,YEARFRAC(MAX($P$34*($B227+IF($R$17="Distrato",$I$38-1,0)),IF(AND($L$37=0,$P$34=0),"",$L$37-1),IF($R$17="Distrato",$E227,0)),MIN(AC$38,$D$19),$P$20))-SUM($P227:AB227)</f>
        <v>#VALUE!</v>
      </c>
      <c r="AD227" s="446" t="e">
        <f>IF(OR($B227="",MIN(AD$38,$D$19)&lt;MAX($P$34*($B227+IF($R$17="Distrato",$I$38-1,0)),IF(AND($L$37=0,$P$34=0),"",$L$37-1),IF($R$17="Distrato",$E227,0))),0,YEARFRAC(MAX($P$34*($B227+IF($R$17="Distrato",$I$38-1,0)),IF(AND($L$37=0,$P$34=0),"",$L$37-1),IF($R$17="Distrato",$E227,0)),MIN(AD$38,$D$19),$P$20))-SUM($P227:AC227)</f>
        <v>#VALUE!</v>
      </c>
      <c r="AE227" s="446" t="e">
        <f>IF(OR($B227="",MIN(AE$38,$D$19)&lt;MAX($P$34*($B227+IF($R$17="Distrato",$I$38-1,0)),IF(AND($L$37=0,$P$34=0),"",$L$37-1),IF($R$17="Distrato",$E227,0))),0,YEARFRAC(MAX($P$34*($B227+IF($R$17="Distrato",$I$38-1,0)),IF(AND($L$37=0,$P$34=0),"",$L$37-1),IF($R$17="Distrato",$E227,0)),MIN(AE$38,$D$19),$P$20))-SUM($P227:AD227)</f>
        <v>#VALUE!</v>
      </c>
      <c r="AF227" s="446" t="e">
        <f>IF(OR($B227="",MIN(AF$38,$D$19)&lt;MAX($P$34*($B227+IF($R$17="Distrato",$I$38-1,0)),IF(AND($L$37=0,$P$34=0),"",$L$37-1),IF($R$17="Distrato",$E227,0))),0,YEARFRAC(MAX($P$34*($B227+IF($R$17="Distrato",$I$38-1,0)),IF(AND($L$37=0,$P$34=0),"",$L$37-1),IF($R$17="Distrato",$E227,0)),MIN(AF$38,$D$19),$P$20))-SUM($P227:AE227)</f>
        <v>#VALUE!</v>
      </c>
      <c r="AG227" s="446" t="e">
        <f>IF(OR($B227="",MIN(AG$38,$D$19)&lt;MAX($P$34*($B227+IF($R$17="Distrato",$I$38-1,0)),IF(AND($L$37=0,$P$34=0),"",$L$37-1),IF($R$17="Distrato",$E227,0))),0,YEARFRAC(MAX($P$34*($B227+IF($R$17="Distrato",$I$38-1,0)),IF(AND($L$37=0,$P$34=0),"",$L$37-1),IF($R$17="Distrato",$E227,0)),MIN(AG$38,$D$19),$P$20))-SUM($P227:AF227)</f>
        <v>#VALUE!</v>
      </c>
      <c r="AH227" s="446" t="e">
        <f>IF(OR($B227="",MIN(AH$38,$D$19)&lt;MAX($P$34*($B227+IF($R$17="Distrato",$I$38-1,0)),IF(AND($L$37=0,$P$34=0),"",$L$37-1),IF($R$17="Distrato",$E227,0))),0,YEARFRAC(MAX($P$34*($B227+IF($R$17="Distrato",$I$38-1,0)),IF(AND($L$37=0,$P$34=0),"",$L$37-1),IF($R$17="Distrato",$E227,0)),MIN(AH$38,$D$19),$P$20))-SUM($P227:AG227)</f>
        <v>#VALUE!</v>
      </c>
      <c r="AI227" s="446" t="e">
        <f>IF(OR($B227="",MIN(AI$38,$D$19)&lt;MAX($P$34*($B227+IF($R$17="Distrato",$I$38-1,0)),IF(AND($L$37=0,$P$34=0),"",$L$37-1),IF($R$17="Distrato",$E227,0))),0,YEARFRAC(MAX($P$34*($B227+IF($R$17="Distrato",$I$38-1,0)),IF(AND($L$37=0,$P$34=0),"",$L$37-1),IF($R$17="Distrato",$E227,0)),MIN(AI$38,$D$19),$P$20))-SUM($P227:AH227)</f>
        <v>#VALUE!</v>
      </c>
      <c r="AJ227" s="446" t="e">
        <f>IF(OR($B227="",MIN(AJ$38,$D$19)&lt;MAX($P$34*($B227+IF($R$17="Distrato",$I$38-1,0)),IF(AND($L$37=0,$P$34=0),"",$L$37-1),IF($R$17="Distrato",$E227,0))),0,YEARFRAC(MAX($P$34*($B227+IF($R$17="Distrato",$I$38-1,0)),IF(AND($L$37=0,$P$34=0),"",$L$37-1),IF($R$17="Distrato",$E227,0)),MIN(AJ$38,$D$19),$P$20))-SUM($P227:AI227)</f>
        <v>#VALUE!</v>
      </c>
      <c r="AK227" s="446" t="e">
        <f>IF(OR($B227="",MIN(AK$38,$D$19)&lt;MAX($P$34*($B227+IF($R$17="Distrato",$I$38-1,0)),IF(AND($L$37=0,$P$34=0),"",$L$37-1),IF($R$17="Distrato",$E227,0))),0,YEARFRAC(MAX($P$34*($B227+IF($R$17="Distrato",$I$38-1,0)),IF(AND($L$37=0,$P$34=0),"",$L$37-1),IF($R$17="Distrato",$E227,0)),MIN(AK$38,$D$19),$P$20))-SUM($P227:AJ227)</f>
        <v>#VALUE!</v>
      </c>
      <c r="AL227" s="446" t="e">
        <f>IF(OR($B227="",MIN(AL$38,$D$19)&lt;MAX($P$34*($B227+IF($R$17="Distrato",$I$38-1,0)),IF(AND($L$37=0,$P$34=0),"",$L$37-1),IF($R$17="Distrato",$E227,0))),0,YEARFRAC(MAX($P$34*($B227+IF($R$17="Distrato",$I$38-1,0)),IF(AND($L$37=0,$P$34=0),"",$L$37-1),IF($R$17="Distrato",$E227,0)),MIN(AL$38,$D$19),$P$20))-SUM($P227:AK227)</f>
        <v>#VALUE!</v>
      </c>
      <c r="AM227" s="446" t="e">
        <f>IF(OR($B227="",MIN(AM$38,$D$19)&lt;MAX($P$34*($B227+IF($R$17="Distrato",$I$38-1,0)),IF(AND($L$37=0,$P$34=0),"",$L$37-1),IF($R$17="Distrato",$E227,0))),0,YEARFRAC(MAX($P$34*($B227+IF($R$17="Distrato",$I$38-1,0)),IF(AND($L$37=0,$P$34=0),"",$L$37-1),IF($R$17="Distrato",$E227,0)),MIN(AM$38,$D$19),$P$20))-SUM($P227:AL227)</f>
        <v>#VALUE!</v>
      </c>
      <c r="AN227" s="446" t="e">
        <f>IF(OR($B227="",MIN(AN$38,$D$19)&lt;MAX($P$34*($B227+IF($R$17="Distrato",$I$38-1,0)),IF(AND($L$37=0,$P$34=0),"",$L$37-1),IF($R$17="Distrato",$E227,0))),0,YEARFRAC(MAX($P$34*($B227+IF($R$17="Distrato",$I$38-1,0)),IF(AND($L$37=0,$P$34=0),"",$L$37-1),IF($R$17="Distrato",$E227,0)),MIN(AN$38,$D$19),$P$20))-SUM($P227:AM227)</f>
        <v>#VALUE!</v>
      </c>
      <c r="AO227" s="446" t="e">
        <f>IF(OR($B227="",MIN(AO$38,$D$19)&lt;MAX($P$34*($B227+IF($R$17="Distrato",$I$38-1,0)),IF(AND($L$37=0,$P$34=0),"",$L$37-1),IF($R$17="Distrato",$E227,0))),0,YEARFRAC(MAX($P$34*($B227+IF($R$17="Distrato",$I$38-1,0)),IF(AND($L$37=0,$P$34=0),"",$L$37-1),IF($R$17="Distrato",$E227,0)),MIN(AO$38,$D$19),$P$20))-SUM($P227:AN227)</f>
        <v>#VALUE!</v>
      </c>
      <c r="AP227" s="446" t="e">
        <f>IF(OR($B227="",MIN(AP$38,$D$19)&lt;MAX($P$34*($B227+IF($R$17="Distrato",$I$38-1,0)),IF(AND($L$37=0,$P$34=0),"",$L$37-1),IF($R$17="Distrato",$E227,0))),0,YEARFRAC(MAX($P$34*($B227+IF($R$17="Distrato",$I$38-1,0)),IF(AND($L$37=0,$P$34=0),"",$L$37-1),IF($R$17="Distrato",$E227,0)),MIN(AP$38,$D$19),$P$20))-SUM($P227:AO227)</f>
        <v>#VALUE!</v>
      </c>
      <c r="AQ227" s="446" t="e">
        <f>IF(OR($B227="",MIN(AQ$38,$D$19)&lt;MAX($P$34*($B227+IF($R$17="Distrato",$I$38-1,0)),IF(AND($L$37=0,$P$34=0),"",$L$37-1),IF($R$17="Distrato",$E227,0))),0,YEARFRAC(MAX($P$34*($B227+IF($R$17="Distrato",$I$38-1,0)),IF(AND($L$37=0,$P$34=0),"",$L$37-1),IF($R$17="Distrato",$E227,0)),MIN(AQ$38,$D$19),$P$20))-SUM($P227:AP227)</f>
        <v>#VALUE!</v>
      </c>
      <c r="AR227" s="446" t="e">
        <f>IF(OR($B227="",MIN(AR$38,$D$19)&lt;MAX($P$34*($B227+IF($R$17="Distrato",$I$38-1,0)),IF(AND($L$37=0,$P$34=0),"",$L$37-1),IF($R$17="Distrato",$E227,0))),0,YEARFRAC(MAX($P$34*($B227+IF($R$17="Distrato",$I$38-1,0)),IF(AND($L$37=0,$P$34=0),"",$L$37-1),IF($R$17="Distrato",$E227,0)),MIN(AR$38,$D$19),$P$20))-SUM($P227:AQ227)</f>
        <v>#VALUE!</v>
      </c>
      <c r="AS227" s="446" t="e">
        <f>IF(OR($B227="",MIN(AS$38,$D$19)&lt;MAX($P$34*($B227+IF($R$17="Distrato",$I$38-1,0)),IF(AND($L$37=0,$P$34=0),"",$L$37-1),IF($R$17="Distrato",$E227,0))),0,YEARFRAC(MAX($P$34*($B227+IF($R$17="Distrato",$I$38-1,0)),IF(AND($L$37=0,$P$34=0),"",$L$37-1),IF($R$17="Distrato",$E227,0)),MIN(AS$38,$D$19),$P$20))-SUM($P227:AR227)</f>
        <v>#VALUE!</v>
      </c>
      <c r="AT227" s="446" t="e">
        <f>IF(OR($B227="",MIN(AT$38,$D$19)&lt;MAX($P$34*($B227+IF($R$17="Distrato",$I$38-1,0)),IF(AND($L$37=0,$P$34=0),"",$L$37-1),IF($R$17="Distrato",$E227,0))),0,YEARFRAC(MAX($P$34*($B227+IF($R$17="Distrato",$I$38-1,0)),IF(AND($L$37=0,$P$34=0),"",$L$37-1),IF($R$17="Distrato",$E227,0)),MIN(AT$38,$D$19),$P$20))-SUM($P227:AS227)</f>
        <v>#VALUE!</v>
      </c>
      <c r="AU227" s="446" t="e">
        <f>IF(OR($B227="",MIN(AU$38,$D$19)&lt;MAX($P$34*($B227+IF($R$17="Distrato",$I$38-1,0)),IF(AND($L$37=0,$P$34=0),"",$L$37-1),IF($R$17="Distrato",$E227,0))),0,YEARFRAC(MAX($P$34*($B227+IF($R$17="Distrato",$I$38-1,0)),IF(AND($L$37=0,$P$34=0),"",$L$37-1),IF($R$17="Distrato",$E227,0)),MIN(AU$38,$D$19),$P$20))-SUM($P227:AT227)</f>
        <v>#VALUE!</v>
      </c>
      <c r="AV227" s="446" t="e">
        <f>IF(OR($B227="",MIN(AV$38,$D$19)&lt;MAX($P$34*($B227+IF($R$17="Distrato",$I$38-1,0)),IF(AND($L$37=0,$P$34=0),"",$L$37-1),IF($R$17="Distrato",$E227,0))),0,YEARFRAC(MAX($P$34*($B227+IF($R$17="Distrato",$I$38-1,0)),IF(AND($L$37=0,$P$34=0),"",$L$37-1),IF($R$17="Distrato",$E227,0)),MIN(AV$38,$D$19),$P$20))-SUM($P227:AU227)</f>
        <v>#VALUE!</v>
      </c>
      <c r="AW227" s="446" t="e">
        <f>IF(OR($B227="",MIN(AW$38,$D$19)&lt;MAX($P$34*($B227+IF($R$17="Distrato",$I$38-1,0)),IF(AND($L$37=0,$P$34=0),"",$L$37-1),IF($R$17="Distrato",$E227,0))),0,YEARFRAC(MAX($P$34*($B227+IF($R$17="Distrato",$I$38-1,0)),IF(AND($L$37=0,$P$34=0),"",$L$37-1),IF($R$17="Distrato",$E227,0)),MIN(AW$38,$D$19),$P$20))-SUM($P227:AV227)</f>
        <v>#VALUE!</v>
      </c>
      <c r="AX227" s="446" t="e">
        <f>IF(OR($B227="",MIN(AX$38,$D$19)&lt;MAX($P$34*($B227+IF($R$17="Distrato",$I$38-1,0)),IF(AND($L$37=0,$P$34=0),"",$L$37-1),IF($R$17="Distrato",$E227,0))),0,YEARFRAC(MAX($P$34*($B227+IF($R$17="Distrato",$I$38-1,0)),IF(AND($L$37=0,$P$34=0),"",$L$37-1),IF($R$17="Distrato",$E227,0)),MIN(AX$38,$D$19),$P$20))-SUM($P227:AW227)</f>
        <v>#VALUE!</v>
      </c>
      <c r="AY227" s="446" t="e">
        <f>IF(OR($B227="",MIN(AY$38,$D$19)&lt;MAX($P$34*($B227+IF($R$17="Distrato",$I$38-1,0)),IF(AND($L$37=0,$P$34=0),"",$L$37-1),IF($R$17="Distrato",$E227,0))),0,YEARFRAC(MAX($P$34*($B227+IF($R$17="Distrato",$I$38-1,0)),IF(AND($L$37=0,$P$34=0),"",$L$37-1),IF($R$17="Distrato",$E227,0)),MIN(AY$38,$D$19),$P$20))-SUM($P227:AX227)</f>
        <v>#VALUE!</v>
      </c>
      <c r="AZ227" s="446" t="e">
        <f>IF(OR($B227="",MIN(AZ$38,$D$19)&lt;MAX($P$34*($B227+IF($R$17="Distrato",$I$38-1,0)),IF(AND($L$37=0,$P$34=0),"",$L$37-1),IF($R$17="Distrato",$E227,0))),0,YEARFRAC(MAX($P$34*($B227+IF($R$17="Distrato",$I$38-1,0)),IF(AND($L$37=0,$P$34=0),"",$L$37-1),IF($R$17="Distrato",$E227,0)),MIN(AZ$38,$D$19),$P$20))-SUM($P227:AY227)</f>
        <v>#VALUE!</v>
      </c>
      <c r="BA227" s="446" t="e">
        <f>IF(OR($B227="",MIN(BA$38,$D$19)&lt;MAX($P$34*($B227+IF($R$17="Distrato",$I$38-1,0)),IF(AND($L$37=0,$P$34=0),"",$L$37-1),IF($R$17="Distrato",$E227,0))),0,YEARFRAC(MAX($P$34*($B227+IF($R$17="Distrato",$I$38-1,0)),IF(AND($L$37=0,$P$34=0),"",$L$37-1),IF($R$17="Distrato",$E227,0)),MIN(BA$38,$D$19),$P$20))-SUM($P227:AZ227)</f>
        <v>#VALUE!</v>
      </c>
      <c r="BB227" s="447"/>
      <c r="BF227" s="446">
        <f t="shared" si="32"/>
        <v>0</v>
      </c>
      <c r="BG227" s="446">
        <f>IF($E227=0,0,IF(MIN(BG$38,$E227)&lt;MAX($P$34*($B227+$I$38-1),IF(AND($L$37=0,$P$34=0),"",$L$37-1)),0,YEARFRAC(MAX($P$34*($B227+$I$38-1),IF(AND($L$37=0,$P$34=0),"",$L$37-1)),MIN(BG$38,$E227),$P$20))-SUM($BF227:BF227))</f>
        <v>0</v>
      </c>
      <c r="BH227" s="446">
        <f>IF($E227=0,0,IF(MIN(BH$38,$E227)&lt;MAX($P$34*($B227+$I$38-1),IF(AND($L$37=0,$P$34=0),"",$L$37-1)),0,YEARFRAC(MAX($P$34*($B227+$I$38-1),IF(AND($L$37=0,$P$34=0),"",$L$37-1)),MIN(BH$38,$E227),$P$20))-SUM($BF227:BG227))</f>
        <v>0</v>
      </c>
      <c r="BI227" s="446">
        <f>IF($E227=0,0,IF(MIN(BI$38,$E227)&lt;MAX($P$34*($B227+$I$38-1),IF(AND($L$37=0,$P$34=0),"",$L$37-1)),0,YEARFRAC(MAX($P$34*($B227+$I$38-1),IF(AND($L$37=0,$P$34=0),"",$L$37-1)),MIN(BI$38,$E227),$P$20))-SUM($BF227:BH227))</f>
        <v>0</v>
      </c>
      <c r="BJ227" s="446">
        <f>IF($E227=0,0,IF(MIN(BJ$38,$E227)&lt;MAX($P$34*($B227+$I$38-1),IF(AND($L$37=0,$P$34=0),"",$L$37-1)),0,YEARFRAC(MAX($P$34*($B227+$I$38-1),IF(AND($L$37=0,$P$34=0),"",$L$37-1)),MIN(BJ$38,$E227),$P$20))-SUM($BF227:BI227))</f>
        <v>0</v>
      </c>
      <c r="BK227" s="446">
        <f>IF($E227=0,0,IF(MIN(BK$38,$E227)&lt;MAX($P$34*($B227+$I$38-1),IF(AND($L$37=0,$P$34=0),"",$L$37-1)),0,YEARFRAC(MAX($P$34*($B227+$I$38-1),IF(AND($L$37=0,$P$34=0),"",$L$37-1)),MIN(BK$38,$E227),$P$20))-SUM($BF227:BJ227))</f>
        <v>0</v>
      </c>
      <c r="BL227" s="446">
        <f>IF($E227=0,0,IF(MIN(BL$38,$E227)&lt;MAX($P$34*($B227+$I$38-1),IF(AND($L$37=0,$P$34=0),"",$L$37-1)),0,YEARFRAC(MAX($P$34*($B227+$I$38-1),IF(AND($L$37=0,$P$34=0),"",$L$37-1)),MIN(BL$38,$E227),$P$20))-SUM($BF227:BK227))</f>
        <v>0</v>
      </c>
      <c r="BM227" s="446">
        <f>IF($E227=0,0,IF(MIN(BM$38,$E227)&lt;MAX($P$34*($B227+$I$38-1),IF(AND($L$37=0,$P$34=0),"",$L$37-1)),0,YEARFRAC(MAX($P$34*($B227+$I$38-1),IF(AND($L$37=0,$P$34=0),"",$L$37-1)),MIN(BM$38,$E227),$P$20))-SUM($BF227:BL227))</f>
        <v>0</v>
      </c>
      <c r="BN227" s="446">
        <f>IF($E227=0,0,IF(MIN(BN$38,$E227)&lt;MAX($P$34*($B227+$I$38-1),IF(AND($L$37=0,$P$34=0),"",$L$37-1)),0,YEARFRAC(MAX($P$34*($B227+$I$38-1),IF(AND($L$37=0,$P$34=0),"",$L$37-1)),MIN(BN$38,$E227),$P$20))-SUM($BF227:BM227))</f>
        <v>0</v>
      </c>
      <c r="BO227" s="446">
        <f>IF($E227=0,0,IF(MIN(BO$38,$E227)&lt;MAX($P$34*($B227+$I$38-1),IF(AND($L$37=0,$P$34=0),"",$L$37-1)),0,YEARFRAC(MAX($P$34*($B227+$I$38-1),IF(AND($L$37=0,$P$34=0),"",$L$37-1)),MIN(BO$38,$E227),$P$20))-SUM($BF227:BN227))</f>
        <v>0</v>
      </c>
      <c r="BP227" s="446">
        <f>IF($E227=0,0,IF(MIN(BP$38,$E227)&lt;MAX($P$34*($B227+$I$38-1),IF(AND($L$37=0,$P$34=0),"",$L$37-1)),0,YEARFRAC(MAX($P$34*($B227+$I$38-1),IF(AND($L$37=0,$P$34=0),"",$L$37-1)),MIN(BP$38,$E227),$P$20))-SUM($BF227:BO227))</f>
        <v>0</v>
      </c>
      <c r="BQ227" s="446">
        <f>IF($E227=0,0,IF(MIN(BQ$38,$E227)&lt;MAX($P$34*($B227+$I$38-1),IF(AND($L$37=0,$P$34=0),"",$L$37-1)),0,YEARFRAC(MAX($P$34*($B227+$I$38-1),IF(AND($L$37=0,$P$34=0),"",$L$37-1)),MIN(BQ$38,$E227),$P$20))-SUM($BF227:BP227))</f>
        <v>0</v>
      </c>
      <c r="BR227" s="446">
        <f>IF($E227=0,0,IF(MIN(BR$38,$E227)&lt;MAX($P$34*($B227+$I$38-1),IF(AND($L$37=0,$P$34=0),"",$L$37-1)),0,YEARFRAC(MAX($P$34*($B227+$I$38-1),IF(AND($L$37=0,$P$34=0),"",$L$37-1)),MIN(BR$38,$E227),$P$20))-SUM($BF227:BQ227))</f>
        <v>0</v>
      </c>
      <c r="BS227" s="446">
        <f>IF($E227=0,0,IF(MIN(BS$38,$E227)&lt;MAX($P$34*($B227+$I$38-1),IF(AND($L$37=0,$P$34=0),"",$L$37-1)),0,YEARFRAC(MAX($P$34*($B227+$I$38-1),IF(AND($L$37=0,$P$34=0),"",$L$37-1)),MIN(BS$38,$E227),$P$20))-SUM($BF227:BR227))</f>
        <v>0</v>
      </c>
      <c r="BT227" s="446">
        <f>IF($E227=0,0,IF(MIN(BT$38,$E227)&lt;MAX($P$34*($B227+$I$38-1),IF(AND($L$37=0,$P$34=0),"",$L$37-1)),0,YEARFRAC(MAX($P$34*($B227+$I$38-1),IF(AND($L$37=0,$P$34=0),"",$L$37-1)),MIN(BT$38,$E227),$P$20))-SUM($BF227:BS227))</f>
        <v>0</v>
      </c>
      <c r="BU227" s="446">
        <f>IF($E227=0,0,IF(MIN(BU$38,$E227)&lt;MAX($P$34*($B227+$I$38-1),IF(AND($L$37=0,$P$34=0),"",$L$37-1)),0,YEARFRAC(MAX($P$34*($B227+$I$38-1),IF(AND($L$37=0,$P$34=0),"",$L$37-1)),MIN(BU$38,$E227),$P$20))-SUM($BF227:BT227))</f>
        <v>0</v>
      </c>
      <c r="BV227" s="446">
        <f>IF($E227=0,0,IF(MIN(BV$38,$E227)&lt;MAX($P$34*($B227+$I$38-1),IF(AND($L$37=0,$P$34=0),"",$L$37-1)),0,YEARFRAC(MAX($P$34*($B227+$I$38-1),IF(AND($L$37=0,$P$34=0),"",$L$37-1)),MIN(BV$38,$E227),$P$20))-SUM($BF227:BU227))</f>
        <v>0</v>
      </c>
      <c r="BW227" s="446">
        <f>IF($E227=0,0,IF(MIN(BW$38,$E227)&lt;MAX($P$34*($B227+$I$38-1),IF(AND($L$37=0,$P$34=0),"",$L$37-1)),0,YEARFRAC(MAX($P$34*($B227+$I$38-1),IF(AND($L$37=0,$P$34=0),"",$L$37-1)),MIN(BW$38,$E227),$P$20))-SUM($BF227:BV227))</f>
        <v>0</v>
      </c>
      <c r="BX227" s="446">
        <f>IF($E227=0,0,IF(MIN(BX$38,$E227)&lt;MAX($P$34*($B227+$I$38-1),IF(AND($L$37=0,$P$34=0),"",$L$37-1)),0,YEARFRAC(MAX($P$34*($B227+$I$38-1),IF(AND($L$37=0,$P$34=0),"",$L$37-1)),MIN(BX$38,$E227),$P$20))-SUM($BF227:BW227))</f>
        <v>0</v>
      </c>
      <c r="BY227" s="446">
        <f>IF($E227=0,0,IF(MIN(BY$38,$E227)&lt;MAX($P$34*($B227+$I$38-1),IF(AND($L$37=0,$P$34=0),"",$L$37-1)),0,YEARFRAC(MAX($P$34*($B227+$I$38-1),IF(AND($L$37=0,$P$34=0),"",$L$37-1)),MIN(BY$38,$E227),$P$20))-SUM($BF227:BX227))</f>
        <v>0</v>
      </c>
      <c r="BZ227" s="446">
        <f>IF($E227=0,0,IF(MIN(BZ$38,$E227)&lt;MAX($P$34*($B227+$I$38-1),IF(AND($L$37=0,$P$34=0),"",$L$37-1)),0,YEARFRAC(MAX($P$34*($B227+$I$38-1),IF(AND($L$37=0,$P$34=0),"",$L$37-1)),MIN(BZ$38,$E227),$P$20))-SUM($BF227:BY227))</f>
        <v>0</v>
      </c>
      <c r="CA227" s="446">
        <f>IF($E227=0,0,IF(MIN(CA$38,$E227)&lt;MAX($P$34*($B227+$I$38-1),IF(AND($L$37=0,$P$34=0),"",$L$37-1)),0,YEARFRAC(MAX($P$34*($B227+$I$38-1),IF(AND($L$37=0,$P$34=0),"",$L$37-1)),MIN(CA$38,$E227),$P$20))-SUM($BF227:BZ227))</f>
        <v>0</v>
      </c>
      <c r="CB227" s="446">
        <f>IF($E227=0,0,IF(MIN(CB$38,$E227)&lt;MAX($P$34*($B227+$I$38-1),IF(AND($L$37=0,$P$34=0),"",$L$37-1)),0,YEARFRAC(MAX($P$34*($B227+$I$38-1),IF(AND($L$37=0,$P$34=0),"",$L$37-1)),MIN(CB$38,$E227),$P$20))-SUM($BF227:CA227))</f>
        <v>0</v>
      </c>
      <c r="CC227" s="446">
        <f>IF($E227=0,0,IF(MIN(CC$38,$E227)&lt;MAX($P$34*($B227+$I$38-1),IF(AND($L$37=0,$P$34=0),"",$L$37-1)),0,YEARFRAC(MAX($P$34*($B227+$I$38-1),IF(AND($L$37=0,$P$34=0),"",$L$37-1)),MIN(CC$38,$E227),$P$20))-SUM($BF227:CB227))</f>
        <v>0</v>
      </c>
      <c r="CD227" s="446">
        <f>IF($E227=0,0,IF(MIN(CD$38,$E227)&lt;MAX($P$34*($B227+$I$38-1),IF(AND($L$37=0,$P$34=0),"",$L$37-1)),0,YEARFRAC(MAX($P$34*($B227+$I$38-1),IF(AND($L$37=0,$P$34=0),"",$L$37-1)),MIN(CD$38,$E227),$P$20))-SUM($BF227:CC227))</f>
        <v>0</v>
      </c>
      <c r="CE227" s="446">
        <f>IF($E227=0,0,IF(MIN(CE$38,$E227)&lt;MAX($P$34*($B227+$I$38-1),IF(AND($L$37=0,$P$34=0),"",$L$37-1)),0,YEARFRAC(MAX($P$34*($B227+$I$38-1),IF(AND($L$37=0,$P$34=0),"",$L$37-1)),MIN(CE$38,$E227),$P$20))-SUM($BF227:CD227))</f>
        <v>0</v>
      </c>
      <c r="CF227" s="446">
        <f>IF($E227=0,0,IF(MIN(CF$38,$E227)&lt;MAX($P$34*($B227+$I$38-1),IF(AND($L$37=0,$P$34=0),"",$L$37-1)),0,YEARFRAC(MAX($P$34*($B227+$I$38-1),IF(AND($L$37=0,$P$34=0),"",$L$37-1)),MIN(CF$38,$E227),$P$20))-SUM($BF227:CE227))</f>
        <v>0</v>
      </c>
      <c r="CG227" s="446">
        <f>IF($E227=0,0,IF(MIN(CG$38,$E227)&lt;MAX($P$34*($B227+$I$38-1),IF(AND($L$37=0,$P$34=0),"",$L$37-1)),0,YEARFRAC(MAX($P$34*($B227+$I$38-1),IF(AND($L$37=0,$P$34=0),"",$L$37-1)),MIN(CG$38,$E227),$P$20))-SUM($BF227:CF227))</f>
        <v>0</v>
      </c>
      <c r="CH227" s="446">
        <f>IF($E227=0,0,IF(MIN(CH$38,$E227)&lt;MAX($P$34*($B227+$I$38-1),IF(AND($L$37=0,$P$34=0),"",$L$37-1)),0,YEARFRAC(MAX($P$34*($B227+$I$38-1),IF(AND($L$37=0,$P$34=0),"",$L$37-1)),MIN(CH$38,$E227),$P$20))-SUM($BF227:CG227))</f>
        <v>0</v>
      </c>
      <c r="CI227" s="446">
        <f>IF($E227=0,0,IF(MIN(CI$38,$E227)&lt;MAX($P$34*($B227+$I$38-1),IF(AND($L$37=0,$P$34=0),"",$L$37-1)),0,YEARFRAC(MAX($P$34*($B227+$I$38-1),IF(AND($L$37=0,$P$34=0),"",$L$37-1)),MIN(CI$38,$E227),$P$20))-SUM($BF227:CH227))</f>
        <v>0</v>
      </c>
      <c r="CJ227" s="446">
        <f>IF($E227=0,0,IF(MIN(CJ$38,$E227)&lt;MAX($P$34*($B227+$I$38-1),IF(AND($L$37=0,$P$34=0),"",$L$37-1)),0,YEARFRAC(MAX($P$34*($B227+$I$38-1),IF(AND($L$37=0,$P$34=0),"",$L$37-1)),MIN(CJ$38,$E227),$P$20))-SUM($BF227:CI227))</f>
        <v>0</v>
      </c>
      <c r="CK227" s="446">
        <f>IF($E227=0,0,IF(MIN(CK$38,$E227)&lt;MAX($P$34*($B227+$I$38-1),IF(AND($L$37=0,$P$34=0),"",$L$37-1)),0,YEARFRAC(MAX($P$34*($B227+$I$38-1),IF(AND($L$37=0,$P$34=0),"",$L$37-1)),MIN(CK$38,$E227),$P$20))-SUM($BF227:CJ227))</f>
        <v>0</v>
      </c>
      <c r="CL227" s="446">
        <f>IF($E227=0,0,IF(MIN(CL$38,$E227)&lt;MAX($P$34*($B227+$I$38-1),IF(AND($L$37=0,$P$34=0),"",$L$37-1)),0,YEARFRAC(MAX($P$34*($B227+$I$38-1),IF(AND($L$37=0,$P$34=0),"",$L$37-1)),MIN(CL$38,$E227),$P$20))-SUM($BF227:CK227))</f>
        <v>0</v>
      </c>
      <c r="CM227" s="446">
        <f>IF($E227=0,0,IF(MIN(CM$38,$E227)&lt;MAX($P$34*($B227+$I$38-1),IF(AND($L$37=0,$P$34=0),"",$L$37-1)),0,YEARFRAC(MAX($P$34*($B227+$I$38-1),IF(AND($L$37=0,$P$34=0),"",$L$37-1)),MIN(CM$38,$E227),$P$20))-SUM($BF227:CL227))</f>
        <v>0</v>
      </c>
      <c r="CN227" s="446">
        <f>IF($E227=0,0,IF(MIN(CN$38,$E227)&lt;MAX($P$34*($B227+$I$38-1),IF(AND($L$37=0,$P$34=0),"",$L$37-1)),0,YEARFRAC(MAX($P$34*($B227+$I$38-1),IF(AND($L$37=0,$P$34=0),"",$L$37-1)),MIN(CN$38,$E227),$P$20))-SUM($BF227:CM227))</f>
        <v>0</v>
      </c>
      <c r="CO227" s="446">
        <f>IF($E227=0,0,IF(MIN(CO$38,$E227)&lt;MAX($P$34*($B227+$I$38-1),IF(AND($L$37=0,$P$34=0),"",$L$37-1)),0,YEARFRAC(MAX($P$34*($B227+$I$38-1),IF(AND($L$37=0,$P$34=0),"",$L$37-1)),MIN(CO$38,$E227),$P$20))-SUM($BF227:CN227))</f>
        <v>0</v>
      </c>
      <c r="CP227" s="446">
        <f>IF($E227=0,0,IF(MIN(CP$38,$E227)&lt;MAX($P$34*($B227+$I$38-1),IF(AND($L$37=0,$P$34=0),"",$L$37-1)),0,YEARFRAC(MAX($P$34*($B227+$I$38-1),IF(AND($L$37=0,$P$34=0),"",$L$37-1)),MIN(CP$38,$E227),$P$20))-SUM($BF227:CO227))</f>
        <v>0</v>
      </c>
      <c r="CQ227" s="446">
        <f>IF($E227=0,0,IF(MIN(CQ$38,$E227)&lt;MAX($P$34*($B227+$I$38-1),IF(AND($L$37=0,$P$34=0),"",$L$37-1)),0,YEARFRAC(MAX($P$34*($B227+$I$38-1),IF(AND($L$37=0,$P$34=0),"",$L$37-1)),MIN(CQ$38,$E227),$P$20))-SUM($BF227:CP227))</f>
        <v>0</v>
      </c>
    </row>
    <row r="228" spans="1:95" s="446" customFormat="1" ht="11.25" hidden="1" customHeight="1" x14ac:dyDescent="0.2">
      <c r="A228" s="152"/>
      <c r="B228" s="153" t="str">
        <f t="shared" si="37"/>
        <v/>
      </c>
      <c r="C228" s="29" t="str">
        <f>IF(B228="","",IF($L$35="SELIC - TRIBUTOS",VLOOKUP(DATE(YEAR($D$19),MONTH($D$19)-1,1),ÍNDICES!$A:$DE,HLOOKUP($BL$25,ÍNDICES!$B$3:$T$4,2)+11)-VLOOKUP(B228,ÍNDICES!$A:$DE,HLOOKUP($BL$25,ÍNDICES!$B$3:$T$4,2)+11)+1%,IF(C$38=$W$26,$J$35,IF(ISERROR(IF(B228&gt;$D$19,1,VLOOKUP(DATE(YEAR(B228),MONTH(B228)+IF($C$35=$S$23,1,0),1),ÍNDICES!$A:$DE,$Z$35+1))),"",IF(B228&gt;$D$19,1,VLOOKUP(DATE(YEAR(B228),MONTH(B228)+IF($C$35=$S$23,1,0),1),ÍNDICES!$A:$DE,$Z$35+1))))))</f>
        <v/>
      </c>
      <c r="D228" s="154" t="str">
        <f>IF(ISERROR(IF(OR($D$38=$Y$27,$B228=""),"",VLOOKUP(B228,ÍNDICES!A:DE,AF$35+1))),"",IF(OR($D$38=$Y$27,$B228=""),"",VLOOKUP(B228,ÍNDICES!A:DE,AF$35+1)))</f>
        <v/>
      </c>
      <c r="E228" s="153"/>
      <c r="F228" s="29" t="str">
        <f>IF(E228="","",IF($L$35="SELIC - TRIBUTOS",VLOOKUP(DATE(YEAR($D$19),MONTH($D$19)-1,1),ÍNDICES!$A:$DE,HLOOKUP($BL$25,ÍNDICES!$B$3:$T$4,2)+11)-VLOOKUP(E228,ÍNDICES!$A:$DE,HLOOKUP($BL$25,ÍNDICES!$B$3:$T$4,2)+11)+1%,IF(F$38=$W$26,$J$35,IF(ISERROR(IF(E228&gt;$D$19,1,VLOOKUP(DATE(YEAR(E228),MONTH(E228)+IF($C$35=$S$23,1,0),1),ÍNDICES!$A:$DE,$Z$35+1))),"",IF(E228&gt;$D$19,1,VLOOKUP(DATE(YEAR(E228),MONTH(E228)+IF($C$35=$S$23,1,0),1),ÍNDICES!$A:$DE,$Z$35+1))))))</f>
        <v/>
      </c>
      <c r="G228" s="155"/>
      <c r="H228" s="156" t="str">
        <f t="shared" si="33"/>
        <v/>
      </c>
      <c r="I228" s="29" t="str">
        <f t="shared" si="27"/>
        <v/>
      </c>
      <c r="J228" s="5">
        <f t="shared" si="28"/>
        <v>0</v>
      </c>
      <c r="K228" s="20">
        <f t="shared" ca="1" si="29"/>
        <v>0</v>
      </c>
      <c r="L228" s="5">
        <f t="shared" ca="1" si="30"/>
        <v>0</v>
      </c>
      <c r="M228" s="64">
        <f t="shared" si="34"/>
        <v>0</v>
      </c>
      <c r="N228" s="61">
        <f t="shared" ca="1" si="35"/>
        <v>0</v>
      </c>
      <c r="O228" s="5">
        <f t="shared" ca="1" si="36"/>
        <v>0</v>
      </c>
      <c r="P228" s="446" t="e">
        <f t="shared" si="31"/>
        <v>#VALUE!</v>
      </c>
      <c r="Q228" s="446" t="e">
        <f>IF(OR($B228="",MIN(Q$38,$D$19)&lt;MAX($P$34*($B228+IF($R$17="Distrato",$I$38-1,0)),IF(AND($L$37=0,$P$34=0),"",$L$37-1),IF($R$17="Distrato",$E228,0))),0,YEARFRAC(MAX($P$34*($B228+IF($R$17="Distrato",$I$38-1,0)),IF(AND($L$37=0,$P$34=0),"",$L$37-1),IF($R$17="Distrato",$E228,0)),MIN(Q$38,$D$19),$P$20))-SUM($P228:P228)</f>
        <v>#VALUE!</v>
      </c>
      <c r="R228" s="446" t="e">
        <f>IF(OR($B228="",MIN(R$38,$D$19)&lt;MAX($P$34*($B228+IF($R$17="Distrato",$I$38-1,0)),IF(AND($L$37=0,$P$34=0),"",$L$37-1),IF($R$17="Distrato",$E228,0))),0,YEARFRAC(MAX($P$34*($B228+IF($R$17="Distrato",$I$38-1,0)),IF(AND($L$37=0,$P$34=0),"",$L$37-1),IF($R$17="Distrato",$E228,0)),MIN(R$38,$D$19),$P$20))-SUM($P228:Q228)</f>
        <v>#VALUE!</v>
      </c>
      <c r="S228" s="446" t="e">
        <f>IF(OR($B228="",MIN(S$38,$D$19)&lt;MAX($P$34*($B228+IF($R$17="Distrato",$I$38-1,0)),IF(AND($L$37=0,$P$34=0),"",$L$37-1),IF($R$17="Distrato",$E228,0))),0,YEARFRAC(MAX($P$34*($B228+IF($R$17="Distrato",$I$38-1,0)),IF(AND($L$37=0,$P$34=0),"",$L$37-1),IF($R$17="Distrato",$E228,0)),MIN(S$38,$D$19),$P$20))-SUM($P228:R228)</f>
        <v>#VALUE!</v>
      </c>
      <c r="T228" s="446" t="e">
        <f>IF(OR($B228="",MIN(T$38,$D$19)&lt;MAX($P$34*($B228+IF($R$17="Distrato",$I$38-1,0)),IF(AND($L$37=0,$P$34=0),"",$L$37-1),IF($R$17="Distrato",$E228,0))),0,YEARFRAC(MAX($P$34*($B228+IF($R$17="Distrato",$I$38-1,0)),IF(AND($L$37=0,$P$34=0),"",$L$37-1),IF($R$17="Distrato",$E228,0)),MIN(T$38,$D$19),$P$20))-SUM($P228:S228)</f>
        <v>#VALUE!</v>
      </c>
      <c r="U228" s="446" t="e">
        <f>IF(OR($B228="",MIN(U$38,$D$19)&lt;MAX($P$34*($B228+IF($R$17="Distrato",$I$38-1,0)),IF(AND($L$37=0,$P$34=0),"",$L$37-1),IF($R$17="Distrato",$E228,0))),0,YEARFRAC(MAX($P$34*($B228+IF($R$17="Distrato",$I$38-1,0)),IF(AND($L$37=0,$P$34=0),"",$L$37-1),IF($R$17="Distrato",$E228,0)),MIN(U$38,$D$19),$P$20))-SUM($P228:T228)</f>
        <v>#VALUE!</v>
      </c>
      <c r="V228" s="446" t="e">
        <f>IF(OR($B228="",MIN(V$38,$D$19)&lt;MAX($P$34*($B228+IF($R$17="Distrato",$I$38-1,0)),IF(AND($L$37=0,$P$34=0),"",$L$37-1),IF($R$17="Distrato",$E228,0))),0,YEARFRAC(MAX($P$34*($B228+IF($R$17="Distrato",$I$38-1,0)),IF(AND($L$37=0,$P$34=0),"",$L$37-1),IF($R$17="Distrato",$E228,0)),MIN(V$38,$D$19),$P$20))-SUM($P228:U228)</f>
        <v>#VALUE!</v>
      </c>
      <c r="W228" s="446" t="e">
        <f>IF(OR($B228="",MIN(W$38,$D$19)&lt;MAX($P$34*($B228+IF($R$17="Distrato",$I$38-1,0)),IF(AND($L$37=0,$P$34=0),"",$L$37-1),IF($R$17="Distrato",$E228,0))),0,YEARFRAC(MAX($P$34*($B228+IF($R$17="Distrato",$I$38-1,0)),IF(AND($L$37=0,$P$34=0),"",$L$37-1),IF($R$17="Distrato",$E228,0)),MIN(W$38,$D$19),$P$20))-SUM($P228:V228)</f>
        <v>#VALUE!</v>
      </c>
      <c r="X228" s="446" t="e">
        <f>IF(OR($B228="",MIN(X$38,$D$19)&lt;MAX($P$34*($B228+IF($R$17="Distrato",$I$38-1,0)),IF(AND($L$37=0,$P$34=0),"",$L$37-1),IF($R$17="Distrato",$E228,0))),0,YEARFRAC(MAX($P$34*($B228+IF($R$17="Distrato",$I$38-1,0)),IF(AND($L$37=0,$P$34=0),"",$L$37-1),IF($R$17="Distrato",$E228,0)),MIN(X$38,$D$19),$P$20))-SUM($P228:W228)</f>
        <v>#VALUE!</v>
      </c>
      <c r="Y228" s="446" t="e">
        <f>IF(OR($B228="",MIN(Y$38,$D$19)&lt;MAX($P$34*($B228+IF($R$17="Distrato",$I$38-1,0)),IF(AND($L$37=0,$P$34=0),"",$L$37-1),IF($R$17="Distrato",$E228,0))),0,YEARFRAC(MAX($P$34*($B228+IF($R$17="Distrato",$I$38-1,0)),IF(AND($L$37=0,$P$34=0),"",$L$37-1),IF($R$17="Distrato",$E228,0)),MIN(Y$38,$D$19),$P$20))-SUM($P228:X228)</f>
        <v>#VALUE!</v>
      </c>
      <c r="Z228" s="446" t="e">
        <f>IF(OR($B228="",MIN(Z$38,$D$19)&lt;MAX($P$34*($B228+IF($R$17="Distrato",$I$38-1,0)),IF(AND($L$37=0,$P$34=0),"",$L$37-1),IF($R$17="Distrato",$E228,0))),0,YEARFRAC(MAX($P$34*($B228+IF($R$17="Distrato",$I$38-1,0)),IF(AND($L$37=0,$P$34=0),"",$L$37-1),IF($R$17="Distrato",$E228,0)),MIN(Z$38,$D$19),$P$20))-SUM($P228:Y228)</f>
        <v>#VALUE!</v>
      </c>
      <c r="AA228" s="446" t="e">
        <f>IF(OR($B228="",MIN(AA$38,$D$19)&lt;MAX($P$34*($B228+IF($R$17="Distrato",$I$38-1,0)),IF(AND($L$37=0,$P$34=0),"",$L$37-1),IF($R$17="Distrato",$E228,0))),0,YEARFRAC(MAX($P$34*($B228+IF($R$17="Distrato",$I$38-1,0)),IF(AND($L$37=0,$P$34=0),"",$L$37-1),IF($R$17="Distrato",$E228,0)),MIN(AA$38,$D$19),$P$20))-SUM($P228:Z228)</f>
        <v>#VALUE!</v>
      </c>
      <c r="AB228" s="446" t="e">
        <f>IF(OR($B228="",MIN(AB$38,$D$19)&lt;MAX($P$34*($B228+IF($R$17="Distrato",$I$38-1,0)),IF(AND($L$37=0,$P$34=0),"",$L$37-1),IF($R$17="Distrato",$E228,0))),0,YEARFRAC(MAX($P$34*($B228+IF($R$17="Distrato",$I$38-1,0)),IF(AND($L$37=0,$P$34=0),"",$L$37-1),IF($R$17="Distrato",$E228,0)),MIN(AB$38,$D$19),$P$20))-SUM($P228:AA228)</f>
        <v>#VALUE!</v>
      </c>
      <c r="AC228" s="446" t="e">
        <f>IF(OR($B228="",MIN(AC$38,$D$19)&lt;MAX($P$34*($B228+IF($R$17="Distrato",$I$38-1,0)),IF(AND($L$37=0,$P$34=0),"",$L$37-1),IF($R$17="Distrato",$E228,0))),0,YEARFRAC(MAX($P$34*($B228+IF($R$17="Distrato",$I$38-1,0)),IF(AND($L$37=0,$P$34=0),"",$L$37-1),IF($R$17="Distrato",$E228,0)),MIN(AC$38,$D$19),$P$20))-SUM($P228:AB228)</f>
        <v>#VALUE!</v>
      </c>
      <c r="AD228" s="446" t="e">
        <f>IF(OR($B228="",MIN(AD$38,$D$19)&lt;MAX($P$34*($B228+IF($R$17="Distrato",$I$38-1,0)),IF(AND($L$37=0,$P$34=0),"",$L$37-1),IF($R$17="Distrato",$E228,0))),0,YEARFRAC(MAX($P$34*($B228+IF($R$17="Distrato",$I$38-1,0)),IF(AND($L$37=0,$P$34=0),"",$L$37-1),IF($R$17="Distrato",$E228,0)),MIN(AD$38,$D$19),$P$20))-SUM($P228:AC228)</f>
        <v>#VALUE!</v>
      </c>
      <c r="AE228" s="446" t="e">
        <f>IF(OR($B228="",MIN(AE$38,$D$19)&lt;MAX($P$34*($B228+IF($R$17="Distrato",$I$38-1,0)),IF(AND($L$37=0,$P$34=0),"",$L$37-1),IF($R$17="Distrato",$E228,0))),0,YEARFRAC(MAX($P$34*($B228+IF($R$17="Distrato",$I$38-1,0)),IF(AND($L$37=0,$P$34=0),"",$L$37-1),IF($R$17="Distrato",$E228,0)),MIN(AE$38,$D$19),$P$20))-SUM($P228:AD228)</f>
        <v>#VALUE!</v>
      </c>
      <c r="AF228" s="446" t="e">
        <f>IF(OR($B228="",MIN(AF$38,$D$19)&lt;MAX($P$34*($B228+IF($R$17="Distrato",$I$38-1,0)),IF(AND($L$37=0,$P$34=0),"",$L$37-1),IF($R$17="Distrato",$E228,0))),0,YEARFRAC(MAX($P$34*($B228+IF($R$17="Distrato",$I$38-1,0)),IF(AND($L$37=0,$P$34=0),"",$L$37-1),IF($R$17="Distrato",$E228,0)),MIN(AF$38,$D$19),$P$20))-SUM($P228:AE228)</f>
        <v>#VALUE!</v>
      </c>
      <c r="AG228" s="446" t="e">
        <f>IF(OR($B228="",MIN(AG$38,$D$19)&lt;MAX($P$34*($B228+IF($R$17="Distrato",$I$38-1,0)),IF(AND($L$37=0,$P$34=0),"",$L$37-1),IF($R$17="Distrato",$E228,0))),0,YEARFRAC(MAX($P$34*($B228+IF($R$17="Distrato",$I$38-1,0)),IF(AND($L$37=0,$P$34=0),"",$L$37-1),IF($R$17="Distrato",$E228,0)),MIN(AG$38,$D$19),$P$20))-SUM($P228:AF228)</f>
        <v>#VALUE!</v>
      </c>
      <c r="AH228" s="446" t="e">
        <f>IF(OR($B228="",MIN(AH$38,$D$19)&lt;MAX($P$34*($B228+IF($R$17="Distrato",$I$38-1,0)),IF(AND($L$37=0,$P$34=0),"",$L$37-1),IF($R$17="Distrato",$E228,0))),0,YEARFRAC(MAX($P$34*($B228+IF($R$17="Distrato",$I$38-1,0)),IF(AND($L$37=0,$P$34=0),"",$L$37-1),IF($R$17="Distrato",$E228,0)),MIN(AH$38,$D$19),$P$20))-SUM($P228:AG228)</f>
        <v>#VALUE!</v>
      </c>
      <c r="AI228" s="446" t="e">
        <f>IF(OR($B228="",MIN(AI$38,$D$19)&lt;MAX($P$34*($B228+IF($R$17="Distrato",$I$38-1,0)),IF(AND($L$37=0,$P$34=0),"",$L$37-1),IF($R$17="Distrato",$E228,0))),0,YEARFRAC(MAX($P$34*($B228+IF($R$17="Distrato",$I$38-1,0)),IF(AND($L$37=0,$P$34=0),"",$L$37-1),IF($R$17="Distrato",$E228,0)),MIN(AI$38,$D$19),$P$20))-SUM($P228:AH228)</f>
        <v>#VALUE!</v>
      </c>
      <c r="AJ228" s="446" t="e">
        <f>IF(OR($B228="",MIN(AJ$38,$D$19)&lt;MAX($P$34*($B228+IF($R$17="Distrato",$I$38-1,0)),IF(AND($L$37=0,$P$34=0),"",$L$37-1),IF($R$17="Distrato",$E228,0))),0,YEARFRAC(MAX($P$34*($B228+IF($R$17="Distrato",$I$38-1,0)),IF(AND($L$37=0,$P$34=0),"",$L$37-1),IF($R$17="Distrato",$E228,0)),MIN(AJ$38,$D$19),$P$20))-SUM($P228:AI228)</f>
        <v>#VALUE!</v>
      </c>
      <c r="AK228" s="446" t="e">
        <f>IF(OR($B228="",MIN(AK$38,$D$19)&lt;MAX($P$34*($B228+IF($R$17="Distrato",$I$38-1,0)),IF(AND($L$37=0,$P$34=0),"",$L$37-1),IF($R$17="Distrato",$E228,0))),0,YEARFRAC(MAX($P$34*($B228+IF($R$17="Distrato",$I$38-1,0)),IF(AND($L$37=0,$P$34=0),"",$L$37-1),IF($R$17="Distrato",$E228,0)),MIN(AK$38,$D$19),$P$20))-SUM($P228:AJ228)</f>
        <v>#VALUE!</v>
      </c>
      <c r="AL228" s="446" t="e">
        <f>IF(OR($B228="",MIN(AL$38,$D$19)&lt;MAX($P$34*($B228+IF($R$17="Distrato",$I$38-1,0)),IF(AND($L$37=0,$P$34=0),"",$L$37-1),IF($R$17="Distrato",$E228,0))),0,YEARFRAC(MAX($P$34*($B228+IF($R$17="Distrato",$I$38-1,0)),IF(AND($L$37=0,$P$34=0),"",$L$37-1),IF($R$17="Distrato",$E228,0)),MIN(AL$38,$D$19),$P$20))-SUM($P228:AK228)</f>
        <v>#VALUE!</v>
      </c>
      <c r="AM228" s="446" t="e">
        <f>IF(OR($B228="",MIN(AM$38,$D$19)&lt;MAX($P$34*($B228+IF($R$17="Distrato",$I$38-1,0)),IF(AND($L$37=0,$P$34=0),"",$L$37-1),IF($R$17="Distrato",$E228,0))),0,YEARFRAC(MAX($P$34*($B228+IF($R$17="Distrato",$I$38-1,0)),IF(AND($L$37=0,$P$34=0),"",$L$37-1),IF($R$17="Distrato",$E228,0)),MIN(AM$38,$D$19),$P$20))-SUM($P228:AL228)</f>
        <v>#VALUE!</v>
      </c>
      <c r="AN228" s="446" t="e">
        <f>IF(OR($B228="",MIN(AN$38,$D$19)&lt;MAX($P$34*($B228+IF($R$17="Distrato",$I$38-1,0)),IF(AND($L$37=0,$P$34=0),"",$L$37-1),IF($R$17="Distrato",$E228,0))),0,YEARFRAC(MAX($P$34*($B228+IF($R$17="Distrato",$I$38-1,0)),IF(AND($L$37=0,$P$34=0),"",$L$37-1),IF($R$17="Distrato",$E228,0)),MIN(AN$38,$D$19),$P$20))-SUM($P228:AM228)</f>
        <v>#VALUE!</v>
      </c>
      <c r="AO228" s="446" t="e">
        <f>IF(OR($B228="",MIN(AO$38,$D$19)&lt;MAX($P$34*($B228+IF($R$17="Distrato",$I$38-1,0)),IF(AND($L$37=0,$P$34=0),"",$L$37-1),IF($R$17="Distrato",$E228,0))),0,YEARFRAC(MAX($P$34*($B228+IF($R$17="Distrato",$I$38-1,0)),IF(AND($L$37=0,$P$34=0),"",$L$37-1),IF($R$17="Distrato",$E228,0)),MIN(AO$38,$D$19),$P$20))-SUM($P228:AN228)</f>
        <v>#VALUE!</v>
      </c>
      <c r="AP228" s="446" t="e">
        <f>IF(OR($B228="",MIN(AP$38,$D$19)&lt;MAX($P$34*($B228+IF($R$17="Distrato",$I$38-1,0)),IF(AND($L$37=0,$P$34=0),"",$L$37-1),IF($R$17="Distrato",$E228,0))),0,YEARFRAC(MAX($P$34*($B228+IF($R$17="Distrato",$I$38-1,0)),IF(AND($L$37=0,$P$34=0),"",$L$37-1),IF($R$17="Distrato",$E228,0)),MIN(AP$38,$D$19),$P$20))-SUM($P228:AO228)</f>
        <v>#VALUE!</v>
      </c>
      <c r="AQ228" s="446" t="e">
        <f>IF(OR($B228="",MIN(AQ$38,$D$19)&lt;MAX($P$34*($B228+IF($R$17="Distrato",$I$38-1,0)),IF(AND($L$37=0,$P$34=0),"",$L$37-1),IF($R$17="Distrato",$E228,0))),0,YEARFRAC(MAX($P$34*($B228+IF($R$17="Distrato",$I$38-1,0)),IF(AND($L$37=0,$P$34=0),"",$L$37-1),IF($R$17="Distrato",$E228,0)),MIN(AQ$38,$D$19),$P$20))-SUM($P228:AP228)</f>
        <v>#VALUE!</v>
      </c>
      <c r="AR228" s="446" t="e">
        <f>IF(OR($B228="",MIN(AR$38,$D$19)&lt;MAX($P$34*($B228+IF($R$17="Distrato",$I$38-1,0)),IF(AND($L$37=0,$P$34=0),"",$L$37-1),IF($R$17="Distrato",$E228,0))),0,YEARFRAC(MAX($P$34*($B228+IF($R$17="Distrato",$I$38-1,0)),IF(AND($L$37=0,$P$34=0),"",$L$37-1),IF($R$17="Distrato",$E228,0)),MIN(AR$38,$D$19),$P$20))-SUM($P228:AQ228)</f>
        <v>#VALUE!</v>
      </c>
      <c r="AS228" s="446" t="e">
        <f>IF(OR($B228="",MIN(AS$38,$D$19)&lt;MAX($P$34*($B228+IF($R$17="Distrato",$I$38-1,0)),IF(AND($L$37=0,$P$34=0),"",$L$37-1),IF($R$17="Distrato",$E228,0))),0,YEARFRAC(MAX($P$34*($B228+IF($R$17="Distrato",$I$38-1,0)),IF(AND($L$37=0,$P$34=0),"",$L$37-1),IF($R$17="Distrato",$E228,0)),MIN(AS$38,$D$19),$P$20))-SUM($P228:AR228)</f>
        <v>#VALUE!</v>
      </c>
      <c r="AT228" s="446" t="e">
        <f>IF(OR($B228="",MIN(AT$38,$D$19)&lt;MAX($P$34*($B228+IF($R$17="Distrato",$I$38-1,0)),IF(AND($L$37=0,$P$34=0),"",$L$37-1),IF($R$17="Distrato",$E228,0))),0,YEARFRAC(MAX($P$34*($B228+IF($R$17="Distrato",$I$38-1,0)),IF(AND($L$37=0,$P$34=0),"",$L$37-1),IF($R$17="Distrato",$E228,0)),MIN(AT$38,$D$19),$P$20))-SUM($P228:AS228)</f>
        <v>#VALUE!</v>
      </c>
      <c r="AU228" s="446" t="e">
        <f>IF(OR($B228="",MIN(AU$38,$D$19)&lt;MAX($P$34*($B228+IF($R$17="Distrato",$I$38-1,0)),IF(AND($L$37=0,$P$34=0),"",$L$37-1),IF($R$17="Distrato",$E228,0))),0,YEARFRAC(MAX($P$34*($B228+IF($R$17="Distrato",$I$38-1,0)),IF(AND($L$37=0,$P$34=0),"",$L$37-1),IF($R$17="Distrato",$E228,0)),MIN(AU$38,$D$19),$P$20))-SUM($P228:AT228)</f>
        <v>#VALUE!</v>
      </c>
      <c r="AV228" s="446" t="e">
        <f>IF(OR($B228="",MIN(AV$38,$D$19)&lt;MAX($P$34*($B228+IF($R$17="Distrato",$I$38-1,0)),IF(AND($L$37=0,$P$34=0),"",$L$37-1),IF($R$17="Distrato",$E228,0))),0,YEARFRAC(MAX($P$34*($B228+IF($R$17="Distrato",$I$38-1,0)),IF(AND($L$37=0,$P$34=0),"",$L$37-1),IF($R$17="Distrato",$E228,0)),MIN(AV$38,$D$19),$P$20))-SUM($P228:AU228)</f>
        <v>#VALUE!</v>
      </c>
      <c r="AW228" s="446" t="e">
        <f>IF(OR($B228="",MIN(AW$38,$D$19)&lt;MAX($P$34*($B228+IF($R$17="Distrato",$I$38-1,0)),IF(AND($L$37=0,$P$34=0),"",$L$37-1),IF($R$17="Distrato",$E228,0))),0,YEARFRAC(MAX($P$34*($B228+IF($R$17="Distrato",$I$38-1,0)),IF(AND($L$37=0,$P$34=0),"",$L$37-1),IF($R$17="Distrato",$E228,0)),MIN(AW$38,$D$19),$P$20))-SUM($P228:AV228)</f>
        <v>#VALUE!</v>
      </c>
      <c r="AX228" s="446" t="e">
        <f>IF(OR($B228="",MIN(AX$38,$D$19)&lt;MAX($P$34*($B228+IF($R$17="Distrato",$I$38-1,0)),IF(AND($L$37=0,$P$34=0),"",$L$37-1),IF($R$17="Distrato",$E228,0))),0,YEARFRAC(MAX($P$34*($B228+IF($R$17="Distrato",$I$38-1,0)),IF(AND($L$37=0,$P$34=0),"",$L$37-1),IF($R$17="Distrato",$E228,0)),MIN(AX$38,$D$19),$P$20))-SUM($P228:AW228)</f>
        <v>#VALUE!</v>
      </c>
      <c r="AY228" s="446" t="e">
        <f>IF(OR($B228="",MIN(AY$38,$D$19)&lt;MAX($P$34*($B228+IF($R$17="Distrato",$I$38-1,0)),IF(AND($L$37=0,$P$34=0),"",$L$37-1),IF($R$17="Distrato",$E228,0))),0,YEARFRAC(MAX($P$34*($B228+IF($R$17="Distrato",$I$38-1,0)),IF(AND($L$37=0,$P$34=0),"",$L$37-1),IF($R$17="Distrato",$E228,0)),MIN(AY$38,$D$19),$P$20))-SUM($P228:AX228)</f>
        <v>#VALUE!</v>
      </c>
      <c r="AZ228" s="446" t="e">
        <f>IF(OR($B228="",MIN(AZ$38,$D$19)&lt;MAX($P$34*($B228+IF($R$17="Distrato",$I$38-1,0)),IF(AND($L$37=0,$P$34=0),"",$L$37-1),IF($R$17="Distrato",$E228,0))),0,YEARFRAC(MAX($P$34*($B228+IF($R$17="Distrato",$I$38-1,0)),IF(AND($L$37=0,$P$34=0),"",$L$37-1),IF($R$17="Distrato",$E228,0)),MIN(AZ$38,$D$19),$P$20))-SUM($P228:AY228)</f>
        <v>#VALUE!</v>
      </c>
      <c r="BA228" s="446" t="e">
        <f>IF(OR($B228="",MIN(BA$38,$D$19)&lt;MAX($P$34*($B228+IF($R$17="Distrato",$I$38-1,0)),IF(AND($L$37=0,$P$34=0),"",$L$37-1),IF($R$17="Distrato",$E228,0))),0,YEARFRAC(MAX($P$34*($B228+IF($R$17="Distrato",$I$38-1,0)),IF(AND($L$37=0,$P$34=0),"",$L$37-1),IF($R$17="Distrato",$E228,0)),MIN(BA$38,$D$19),$P$20))-SUM($P228:AZ228)</f>
        <v>#VALUE!</v>
      </c>
      <c r="BB228" s="447"/>
      <c r="BF228" s="446">
        <f t="shared" si="32"/>
        <v>0</v>
      </c>
      <c r="BG228" s="446">
        <f>IF($E228=0,0,IF(MIN(BG$38,$E228)&lt;MAX($P$34*($B228+$I$38-1),IF(AND($L$37=0,$P$34=0),"",$L$37-1)),0,YEARFRAC(MAX($P$34*($B228+$I$38-1),IF(AND($L$37=0,$P$34=0),"",$L$37-1)),MIN(BG$38,$E228),$P$20))-SUM($BF228:BF228))</f>
        <v>0</v>
      </c>
      <c r="BH228" s="446">
        <f>IF($E228=0,0,IF(MIN(BH$38,$E228)&lt;MAX($P$34*($B228+$I$38-1),IF(AND($L$37=0,$P$34=0),"",$L$37-1)),0,YEARFRAC(MAX($P$34*($B228+$I$38-1),IF(AND($L$37=0,$P$34=0),"",$L$37-1)),MIN(BH$38,$E228),$P$20))-SUM($BF228:BG228))</f>
        <v>0</v>
      </c>
      <c r="BI228" s="446">
        <f>IF($E228=0,0,IF(MIN(BI$38,$E228)&lt;MAX($P$34*($B228+$I$38-1),IF(AND($L$37=0,$P$34=0),"",$L$37-1)),0,YEARFRAC(MAX($P$34*($B228+$I$38-1),IF(AND($L$37=0,$P$34=0),"",$L$37-1)),MIN(BI$38,$E228),$P$20))-SUM($BF228:BH228))</f>
        <v>0</v>
      </c>
      <c r="BJ228" s="446">
        <f>IF($E228=0,0,IF(MIN(BJ$38,$E228)&lt;MAX($P$34*($B228+$I$38-1),IF(AND($L$37=0,$P$34=0),"",$L$37-1)),0,YEARFRAC(MAX($P$34*($B228+$I$38-1),IF(AND($L$37=0,$P$34=0),"",$L$37-1)),MIN(BJ$38,$E228),$P$20))-SUM($BF228:BI228))</f>
        <v>0</v>
      </c>
      <c r="BK228" s="446">
        <f>IF($E228=0,0,IF(MIN(BK$38,$E228)&lt;MAX($P$34*($B228+$I$38-1),IF(AND($L$37=0,$P$34=0),"",$L$37-1)),0,YEARFRAC(MAX($P$34*($B228+$I$38-1),IF(AND($L$37=0,$P$34=0),"",$L$37-1)),MIN(BK$38,$E228),$P$20))-SUM($BF228:BJ228))</f>
        <v>0</v>
      </c>
      <c r="BL228" s="446">
        <f>IF($E228=0,0,IF(MIN(BL$38,$E228)&lt;MAX($P$34*($B228+$I$38-1),IF(AND($L$37=0,$P$34=0),"",$L$37-1)),0,YEARFRAC(MAX($P$34*($B228+$I$38-1),IF(AND($L$37=0,$P$34=0),"",$L$37-1)),MIN(BL$38,$E228),$P$20))-SUM($BF228:BK228))</f>
        <v>0</v>
      </c>
      <c r="BM228" s="446">
        <f>IF($E228=0,0,IF(MIN(BM$38,$E228)&lt;MAX($P$34*($B228+$I$38-1),IF(AND($L$37=0,$P$34=0),"",$L$37-1)),0,YEARFRAC(MAX($P$34*($B228+$I$38-1),IF(AND($L$37=0,$P$34=0),"",$L$37-1)),MIN(BM$38,$E228),$P$20))-SUM($BF228:BL228))</f>
        <v>0</v>
      </c>
      <c r="BN228" s="446">
        <f>IF($E228=0,0,IF(MIN(BN$38,$E228)&lt;MAX($P$34*($B228+$I$38-1),IF(AND($L$37=0,$P$34=0),"",$L$37-1)),0,YEARFRAC(MAX($P$34*($B228+$I$38-1),IF(AND($L$37=0,$P$34=0),"",$L$37-1)),MIN(BN$38,$E228),$P$20))-SUM($BF228:BM228))</f>
        <v>0</v>
      </c>
      <c r="BO228" s="446">
        <f>IF($E228=0,0,IF(MIN(BO$38,$E228)&lt;MAX($P$34*($B228+$I$38-1),IF(AND($L$37=0,$P$34=0),"",$L$37-1)),0,YEARFRAC(MAX($P$34*($B228+$I$38-1),IF(AND($L$37=0,$P$34=0),"",$L$37-1)),MIN(BO$38,$E228),$P$20))-SUM($BF228:BN228))</f>
        <v>0</v>
      </c>
      <c r="BP228" s="446">
        <f>IF($E228=0,0,IF(MIN(BP$38,$E228)&lt;MAX($P$34*($B228+$I$38-1),IF(AND($L$37=0,$P$34=0),"",$L$37-1)),0,YEARFRAC(MAX($P$34*($B228+$I$38-1),IF(AND($L$37=0,$P$34=0),"",$L$37-1)),MIN(BP$38,$E228),$P$20))-SUM($BF228:BO228))</f>
        <v>0</v>
      </c>
      <c r="BQ228" s="446">
        <f>IF($E228=0,0,IF(MIN(BQ$38,$E228)&lt;MAX($P$34*($B228+$I$38-1),IF(AND($L$37=0,$P$34=0),"",$L$37-1)),0,YEARFRAC(MAX($P$34*($B228+$I$38-1),IF(AND($L$37=0,$P$34=0),"",$L$37-1)),MIN(BQ$38,$E228),$P$20))-SUM($BF228:BP228))</f>
        <v>0</v>
      </c>
      <c r="BR228" s="446">
        <f>IF($E228=0,0,IF(MIN(BR$38,$E228)&lt;MAX($P$34*($B228+$I$38-1),IF(AND($L$37=0,$P$34=0),"",$L$37-1)),0,YEARFRAC(MAX($P$34*($B228+$I$38-1),IF(AND($L$37=0,$P$34=0),"",$L$37-1)),MIN(BR$38,$E228),$P$20))-SUM($BF228:BQ228))</f>
        <v>0</v>
      </c>
      <c r="BS228" s="446">
        <f>IF($E228=0,0,IF(MIN(BS$38,$E228)&lt;MAX($P$34*($B228+$I$38-1),IF(AND($L$37=0,$P$34=0),"",$L$37-1)),0,YEARFRAC(MAX($P$34*($B228+$I$38-1),IF(AND($L$37=0,$P$34=0),"",$L$37-1)),MIN(BS$38,$E228),$P$20))-SUM($BF228:BR228))</f>
        <v>0</v>
      </c>
      <c r="BT228" s="446">
        <f>IF($E228=0,0,IF(MIN(BT$38,$E228)&lt;MAX($P$34*($B228+$I$38-1),IF(AND($L$37=0,$P$34=0),"",$L$37-1)),0,YEARFRAC(MAX($P$34*($B228+$I$38-1),IF(AND($L$37=0,$P$34=0),"",$L$37-1)),MIN(BT$38,$E228),$P$20))-SUM($BF228:BS228))</f>
        <v>0</v>
      </c>
      <c r="BU228" s="446">
        <f>IF($E228=0,0,IF(MIN(BU$38,$E228)&lt;MAX($P$34*($B228+$I$38-1),IF(AND($L$37=0,$P$34=0),"",$L$37-1)),0,YEARFRAC(MAX($P$34*($B228+$I$38-1),IF(AND($L$37=0,$P$34=0),"",$L$37-1)),MIN(BU$38,$E228),$P$20))-SUM($BF228:BT228))</f>
        <v>0</v>
      </c>
      <c r="BV228" s="446">
        <f>IF($E228=0,0,IF(MIN(BV$38,$E228)&lt;MAX($P$34*($B228+$I$38-1),IF(AND($L$37=0,$P$34=0),"",$L$37-1)),0,YEARFRAC(MAX($P$34*($B228+$I$38-1),IF(AND($L$37=0,$P$34=0),"",$L$37-1)),MIN(BV$38,$E228),$P$20))-SUM($BF228:BU228))</f>
        <v>0</v>
      </c>
      <c r="BW228" s="446">
        <f>IF($E228=0,0,IF(MIN(BW$38,$E228)&lt;MAX($P$34*($B228+$I$38-1),IF(AND($L$37=0,$P$34=0),"",$L$37-1)),0,YEARFRAC(MAX($P$34*($B228+$I$38-1),IF(AND($L$37=0,$P$34=0),"",$L$37-1)),MIN(BW$38,$E228),$P$20))-SUM($BF228:BV228))</f>
        <v>0</v>
      </c>
      <c r="BX228" s="446">
        <f>IF($E228=0,0,IF(MIN(BX$38,$E228)&lt;MAX($P$34*($B228+$I$38-1),IF(AND($L$37=0,$P$34=0),"",$L$37-1)),0,YEARFRAC(MAX($P$34*($B228+$I$38-1),IF(AND($L$37=0,$P$34=0),"",$L$37-1)),MIN(BX$38,$E228),$P$20))-SUM($BF228:BW228))</f>
        <v>0</v>
      </c>
      <c r="BY228" s="446">
        <f>IF($E228=0,0,IF(MIN(BY$38,$E228)&lt;MAX($P$34*($B228+$I$38-1),IF(AND($L$37=0,$P$34=0),"",$L$37-1)),0,YEARFRAC(MAX($P$34*($B228+$I$38-1),IF(AND($L$37=0,$P$34=0),"",$L$37-1)),MIN(BY$38,$E228),$P$20))-SUM($BF228:BX228))</f>
        <v>0</v>
      </c>
      <c r="BZ228" s="446">
        <f>IF($E228=0,0,IF(MIN(BZ$38,$E228)&lt;MAX($P$34*($B228+$I$38-1),IF(AND($L$37=0,$P$34=0),"",$L$37-1)),0,YEARFRAC(MAX($P$34*($B228+$I$38-1),IF(AND($L$37=0,$P$34=0),"",$L$37-1)),MIN(BZ$38,$E228),$P$20))-SUM($BF228:BY228))</f>
        <v>0</v>
      </c>
      <c r="CA228" s="446">
        <f>IF($E228=0,0,IF(MIN(CA$38,$E228)&lt;MAX($P$34*($B228+$I$38-1),IF(AND($L$37=0,$P$34=0),"",$L$37-1)),0,YEARFRAC(MAX($P$34*($B228+$I$38-1),IF(AND($L$37=0,$P$34=0),"",$L$37-1)),MIN(CA$38,$E228),$P$20))-SUM($BF228:BZ228))</f>
        <v>0</v>
      </c>
      <c r="CB228" s="446">
        <f>IF($E228=0,0,IF(MIN(CB$38,$E228)&lt;MAX($P$34*($B228+$I$38-1),IF(AND($L$37=0,$P$34=0),"",$L$37-1)),0,YEARFRAC(MAX($P$34*($B228+$I$38-1),IF(AND($L$37=0,$P$34=0),"",$L$37-1)),MIN(CB$38,$E228),$P$20))-SUM($BF228:CA228))</f>
        <v>0</v>
      </c>
      <c r="CC228" s="446">
        <f>IF($E228=0,0,IF(MIN(CC$38,$E228)&lt;MAX($P$34*($B228+$I$38-1),IF(AND($L$37=0,$P$34=0),"",$L$37-1)),0,YEARFRAC(MAX($P$34*($B228+$I$38-1),IF(AND($L$37=0,$P$34=0),"",$L$37-1)),MIN(CC$38,$E228),$P$20))-SUM($BF228:CB228))</f>
        <v>0</v>
      </c>
      <c r="CD228" s="446">
        <f>IF($E228=0,0,IF(MIN(CD$38,$E228)&lt;MAX($P$34*($B228+$I$38-1),IF(AND($L$37=0,$P$34=0),"",$L$37-1)),0,YEARFRAC(MAX($P$34*($B228+$I$38-1),IF(AND($L$37=0,$P$34=0),"",$L$37-1)),MIN(CD$38,$E228),$P$20))-SUM($BF228:CC228))</f>
        <v>0</v>
      </c>
      <c r="CE228" s="446">
        <f>IF($E228=0,0,IF(MIN(CE$38,$E228)&lt;MAX($P$34*($B228+$I$38-1),IF(AND($L$37=0,$P$34=0),"",$L$37-1)),0,YEARFRAC(MAX($P$34*($B228+$I$38-1),IF(AND($L$37=0,$P$34=0),"",$L$37-1)),MIN(CE$38,$E228),$P$20))-SUM($BF228:CD228))</f>
        <v>0</v>
      </c>
      <c r="CF228" s="446">
        <f>IF($E228=0,0,IF(MIN(CF$38,$E228)&lt;MAX($P$34*($B228+$I$38-1),IF(AND($L$37=0,$P$34=0),"",$L$37-1)),0,YEARFRAC(MAX($P$34*($B228+$I$38-1),IF(AND($L$37=0,$P$34=0),"",$L$37-1)),MIN(CF$38,$E228),$P$20))-SUM($BF228:CE228))</f>
        <v>0</v>
      </c>
      <c r="CG228" s="446">
        <f>IF($E228=0,0,IF(MIN(CG$38,$E228)&lt;MAX($P$34*($B228+$I$38-1),IF(AND($L$37=0,$P$34=0),"",$L$37-1)),0,YEARFRAC(MAX($P$34*($B228+$I$38-1),IF(AND($L$37=0,$P$34=0),"",$L$37-1)),MIN(CG$38,$E228),$P$20))-SUM($BF228:CF228))</f>
        <v>0</v>
      </c>
      <c r="CH228" s="446">
        <f>IF($E228=0,0,IF(MIN(CH$38,$E228)&lt;MAX($P$34*($B228+$I$38-1),IF(AND($L$37=0,$P$34=0),"",$L$37-1)),0,YEARFRAC(MAX($P$34*($B228+$I$38-1),IF(AND($L$37=0,$P$34=0),"",$L$37-1)),MIN(CH$38,$E228),$P$20))-SUM($BF228:CG228))</f>
        <v>0</v>
      </c>
      <c r="CI228" s="446">
        <f>IF($E228=0,0,IF(MIN(CI$38,$E228)&lt;MAX($P$34*($B228+$I$38-1),IF(AND($L$37=0,$P$34=0),"",$L$37-1)),0,YEARFRAC(MAX($P$34*($B228+$I$38-1),IF(AND($L$37=0,$P$34=0),"",$L$37-1)),MIN(CI$38,$E228),$P$20))-SUM($BF228:CH228))</f>
        <v>0</v>
      </c>
      <c r="CJ228" s="446">
        <f>IF($E228=0,0,IF(MIN(CJ$38,$E228)&lt;MAX($P$34*($B228+$I$38-1),IF(AND($L$37=0,$P$34=0),"",$L$37-1)),0,YEARFRAC(MAX($P$34*($B228+$I$38-1),IF(AND($L$37=0,$P$34=0),"",$L$37-1)),MIN(CJ$38,$E228),$P$20))-SUM($BF228:CI228))</f>
        <v>0</v>
      </c>
      <c r="CK228" s="446">
        <f>IF($E228=0,0,IF(MIN(CK$38,$E228)&lt;MAX($P$34*($B228+$I$38-1),IF(AND($L$37=0,$P$34=0),"",$L$37-1)),0,YEARFRAC(MAX($P$34*($B228+$I$38-1),IF(AND($L$37=0,$P$34=0),"",$L$37-1)),MIN(CK$38,$E228),$P$20))-SUM($BF228:CJ228))</f>
        <v>0</v>
      </c>
      <c r="CL228" s="446">
        <f>IF($E228=0,0,IF(MIN(CL$38,$E228)&lt;MAX($P$34*($B228+$I$38-1),IF(AND($L$37=0,$P$34=0),"",$L$37-1)),0,YEARFRAC(MAX($P$34*($B228+$I$38-1),IF(AND($L$37=0,$P$34=0),"",$L$37-1)),MIN(CL$38,$E228),$P$20))-SUM($BF228:CK228))</f>
        <v>0</v>
      </c>
      <c r="CM228" s="446">
        <f>IF($E228=0,0,IF(MIN(CM$38,$E228)&lt;MAX($P$34*($B228+$I$38-1),IF(AND($L$37=0,$P$34=0),"",$L$37-1)),0,YEARFRAC(MAX($P$34*($B228+$I$38-1),IF(AND($L$37=0,$P$34=0),"",$L$37-1)),MIN(CM$38,$E228),$P$20))-SUM($BF228:CL228))</f>
        <v>0</v>
      </c>
      <c r="CN228" s="446">
        <f>IF($E228=0,0,IF(MIN(CN$38,$E228)&lt;MAX($P$34*($B228+$I$38-1),IF(AND($L$37=0,$P$34=0),"",$L$37-1)),0,YEARFRAC(MAX($P$34*($B228+$I$38-1),IF(AND($L$37=0,$P$34=0),"",$L$37-1)),MIN(CN$38,$E228),$P$20))-SUM($BF228:CM228))</f>
        <v>0</v>
      </c>
      <c r="CO228" s="446">
        <f>IF($E228=0,0,IF(MIN(CO$38,$E228)&lt;MAX($P$34*($B228+$I$38-1),IF(AND($L$37=0,$P$34=0),"",$L$37-1)),0,YEARFRAC(MAX($P$34*($B228+$I$38-1),IF(AND($L$37=0,$P$34=0),"",$L$37-1)),MIN(CO$38,$E228),$P$20))-SUM($BF228:CN228))</f>
        <v>0</v>
      </c>
      <c r="CP228" s="446">
        <f>IF($E228=0,0,IF(MIN(CP$38,$E228)&lt;MAX($P$34*($B228+$I$38-1),IF(AND($L$37=0,$P$34=0),"",$L$37-1)),0,YEARFRAC(MAX($P$34*($B228+$I$38-1),IF(AND($L$37=0,$P$34=0),"",$L$37-1)),MIN(CP$38,$E228),$P$20))-SUM($BF228:CO228))</f>
        <v>0</v>
      </c>
      <c r="CQ228" s="446">
        <f>IF($E228=0,0,IF(MIN(CQ$38,$E228)&lt;MAX($P$34*($B228+$I$38-1),IF(AND($L$37=0,$P$34=0),"",$L$37-1)),0,YEARFRAC(MAX($P$34*($B228+$I$38-1),IF(AND($L$37=0,$P$34=0),"",$L$37-1)),MIN(CQ$38,$E228),$P$20))-SUM($BF228:CP228))</f>
        <v>0</v>
      </c>
    </row>
    <row r="229" spans="1:95" s="446" customFormat="1" ht="11.25" hidden="1" customHeight="1" x14ac:dyDescent="0.2">
      <c r="A229" s="152"/>
      <c r="B229" s="153" t="str">
        <f t="shared" si="37"/>
        <v/>
      </c>
      <c r="C229" s="29" t="str">
        <f>IF(B229="","",IF($L$35="SELIC - TRIBUTOS",VLOOKUP(DATE(YEAR($D$19),MONTH($D$19)-1,1),ÍNDICES!$A:$DE,HLOOKUP($BL$25,ÍNDICES!$B$3:$T$4,2)+11)-VLOOKUP(B229,ÍNDICES!$A:$DE,HLOOKUP($BL$25,ÍNDICES!$B$3:$T$4,2)+11)+1%,IF(C$38=$W$26,$J$35,IF(ISERROR(IF(B229&gt;$D$19,1,VLOOKUP(DATE(YEAR(B229),MONTH(B229)+IF($C$35=$S$23,1,0),1),ÍNDICES!$A:$DE,$Z$35+1))),"",IF(B229&gt;$D$19,1,VLOOKUP(DATE(YEAR(B229),MONTH(B229)+IF($C$35=$S$23,1,0),1),ÍNDICES!$A:$DE,$Z$35+1))))))</f>
        <v/>
      </c>
      <c r="D229" s="154" t="str">
        <f>IF(ISERROR(IF(OR($D$38=$Y$27,$B229=""),"",VLOOKUP(B229,ÍNDICES!A:DE,AF$35+1))),"",IF(OR($D$38=$Y$27,$B229=""),"",VLOOKUP(B229,ÍNDICES!A:DE,AF$35+1)))</f>
        <v/>
      </c>
      <c r="E229" s="153"/>
      <c r="F229" s="29" t="str">
        <f>IF(E229="","",IF($L$35="SELIC - TRIBUTOS",VLOOKUP(DATE(YEAR($D$19),MONTH($D$19)-1,1),ÍNDICES!$A:$DE,HLOOKUP($BL$25,ÍNDICES!$B$3:$T$4,2)+11)-VLOOKUP(E229,ÍNDICES!$A:$DE,HLOOKUP($BL$25,ÍNDICES!$B$3:$T$4,2)+11)+1%,IF(F$38=$W$26,$J$35,IF(ISERROR(IF(E229&gt;$D$19,1,VLOOKUP(DATE(YEAR(E229),MONTH(E229)+IF($C$35=$S$23,1,0),1),ÍNDICES!$A:$DE,$Z$35+1))),"",IF(E229&gt;$D$19,1,VLOOKUP(DATE(YEAR(E229),MONTH(E229)+IF($C$35=$S$23,1,0),1),ÍNDICES!$A:$DE,$Z$35+1))))))</f>
        <v/>
      </c>
      <c r="G229" s="155"/>
      <c r="H229" s="156" t="str">
        <f t="shared" si="33"/>
        <v/>
      </c>
      <c r="I229" s="29" t="str">
        <f t="shared" si="27"/>
        <v/>
      </c>
      <c r="J229" s="5">
        <f t="shared" si="28"/>
        <v>0</v>
      </c>
      <c r="K229" s="20">
        <f t="shared" ca="1" si="29"/>
        <v>0</v>
      </c>
      <c r="L229" s="5">
        <f t="shared" ca="1" si="30"/>
        <v>0</v>
      </c>
      <c r="M229" s="64">
        <f t="shared" si="34"/>
        <v>0</v>
      </c>
      <c r="N229" s="61">
        <f t="shared" ca="1" si="35"/>
        <v>0</v>
      </c>
      <c r="O229" s="5">
        <f t="shared" ca="1" si="36"/>
        <v>0</v>
      </c>
      <c r="P229" s="446" t="e">
        <f t="shared" si="31"/>
        <v>#VALUE!</v>
      </c>
      <c r="Q229" s="446" t="e">
        <f>IF(OR($B229="",MIN(Q$38,$D$19)&lt;MAX($P$34*($B229+IF($R$17="Distrato",$I$38-1,0)),IF(AND($L$37=0,$P$34=0),"",$L$37-1),IF($R$17="Distrato",$E229,0))),0,YEARFRAC(MAX($P$34*($B229+IF($R$17="Distrato",$I$38-1,0)),IF(AND($L$37=0,$P$34=0),"",$L$37-1),IF($R$17="Distrato",$E229,0)),MIN(Q$38,$D$19),$P$20))-SUM($P229:P229)</f>
        <v>#VALUE!</v>
      </c>
      <c r="R229" s="446" t="e">
        <f>IF(OR($B229="",MIN(R$38,$D$19)&lt;MAX($P$34*($B229+IF($R$17="Distrato",$I$38-1,0)),IF(AND($L$37=0,$P$34=0),"",$L$37-1),IF($R$17="Distrato",$E229,0))),0,YEARFRAC(MAX($P$34*($B229+IF($R$17="Distrato",$I$38-1,0)),IF(AND($L$37=0,$P$34=0),"",$L$37-1),IF($R$17="Distrato",$E229,0)),MIN(R$38,$D$19),$P$20))-SUM($P229:Q229)</f>
        <v>#VALUE!</v>
      </c>
      <c r="S229" s="446" t="e">
        <f>IF(OR($B229="",MIN(S$38,$D$19)&lt;MAX($P$34*($B229+IF($R$17="Distrato",$I$38-1,0)),IF(AND($L$37=0,$P$34=0),"",$L$37-1),IF($R$17="Distrato",$E229,0))),0,YEARFRAC(MAX($P$34*($B229+IF($R$17="Distrato",$I$38-1,0)),IF(AND($L$37=0,$P$34=0),"",$L$37-1),IF($R$17="Distrato",$E229,0)),MIN(S$38,$D$19),$P$20))-SUM($P229:R229)</f>
        <v>#VALUE!</v>
      </c>
      <c r="T229" s="446" t="e">
        <f>IF(OR($B229="",MIN(T$38,$D$19)&lt;MAX($P$34*($B229+IF($R$17="Distrato",$I$38-1,0)),IF(AND($L$37=0,$P$34=0),"",$L$37-1),IF($R$17="Distrato",$E229,0))),0,YEARFRAC(MAX($P$34*($B229+IF($R$17="Distrato",$I$38-1,0)),IF(AND($L$37=0,$P$34=0),"",$L$37-1),IF($R$17="Distrato",$E229,0)),MIN(T$38,$D$19),$P$20))-SUM($P229:S229)</f>
        <v>#VALUE!</v>
      </c>
      <c r="U229" s="446" t="e">
        <f>IF(OR($B229="",MIN(U$38,$D$19)&lt;MAX($P$34*($B229+IF($R$17="Distrato",$I$38-1,0)),IF(AND($L$37=0,$P$34=0),"",$L$37-1),IF($R$17="Distrato",$E229,0))),0,YEARFRAC(MAX($P$34*($B229+IF($R$17="Distrato",$I$38-1,0)),IF(AND($L$37=0,$P$34=0),"",$L$37-1),IF($R$17="Distrato",$E229,0)),MIN(U$38,$D$19),$P$20))-SUM($P229:T229)</f>
        <v>#VALUE!</v>
      </c>
      <c r="V229" s="446" t="e">
        <f>IF(OR($B229="",MIN(V$38,$D$19)&lt;MAX($P$34*($B229+IF($R$17="Distrato",$I$38-1,0)),IF(AND($L$37=0,$P$34=0),"",$L$37-1),IF($R$17="Distrato",$E229,0))),0,YEARFRAC(MAX($P$34*($B229+IF($R$17="Distrato",$I$38-1,0)),IF(AND($L$37=0,$P$34=0),"",$L$37-1),IF($R$17="Distrato",$E229,0)),MIN(V$38,$D$19),$P$20))-SUM($P229:U229)</f>
        <v>#VALUE!</v>
      </c>
      <c r="W229" s="446" t="e">
        <f>IF(OR($B229="",MIN(W$38,$D$19)&lt;MAX($P$34*($B229+IF($R$17="Distrato",$I$38-1,0)),IF(AND($L$37=0,$P$34=0),"",$L$37-1),IF($R$17="Distrato",$E229,0))),0,YEARFRAC(MAX($P$34*($B229+IF($R$17="Distrato",$I$38-1,0)),IF(AND($L$37=0,$P$34=0),"",$L$37-1),IF($R$17="Distrato",$E229,0)),MIN(W$38,$D$19),$P$20))-SUM($P229:V229)</f>
        <v>#VALUE!</v>
      </c>
      <c r="X229" s="446" t="e">
        <f>IF(OR($B229="",MIN(X$38,$D$19)&lt;MAX($P$34*($B229+IF($R$17="Distrato",$I$38-1,0)),IF(AND($L$37=0,$P$34=0),"",$L$37-1),IF($R$17="Distrato",$E229,0))),0,YEARFRAC(MAX($P$34*($B229+IF($R$17="Distrato",$I$38-1,0)),IF(AND($L$37=0,$P$34=0),"",$L$37-1),IF($R$17="Distrato",$E229,0)),MIN(X$38,$D$19),$P$20))-SUM($P229:W229)</f>
        <v>#VALUE!</v>
      </c>
      <c r="Y229" s="446" t="e">
        <f>IF(OR($B229="",MIN(Y$38,$D$19)&lt;MAX($P$34*($B229+IF($R$17="Distrato",$I$38-1,0)),IF(AND($L$37=0,$P$34=0),"",$L$37-1),IF($R$17="Distrato",$E229,0))),0,YEARFRAC(MAX($P$34*($B229+IF($R$17="Distrato",$I$38-1,0)),IF(AND($L$37=0,$P$34=0),"",$L$37-1),IF($R$17="Distrato",$E229,0)),MIN(Y$38,$D$19),$P$20))-SUM($P229:X229)</f>
        <v>#VALUE!</v>
      </c>
      <c r="Z229" s="446" t="e">
        <f>IF(OR($B229="",MIN(Z$38,$D$19)&lt;MAX($P$34*($B229+IF($R$17="Distrato",$I$38-1,0)),IF(AND($L$37=0,$P$34=0),"",$L$37-1),IF($R$17="Distrato",$E229,0))),0,YEARFRAC(MAX($P$34*($B229+IF($R$17="Distrato",$I$38-1,0)),IF(AND($L$37=0,$P$34=0),"",$L$37-1),IF($R$17="Distrato",$E229,0)),MIN(Z$38,$D$19),$P$20))-SUM($P229:Y229)</f>
        <v>#VALUE!</v>
      </c>
      <c r="AA229" s="446" t="e">
        <f>IF(OR($B229="",MIN(AA$38,$D$19)&lt;MAX($P$34*($B229+IF($R$17="Distrato",$I$38-1,0)),IF(AND($L$37=0,$P$34=0),"",$L$37-1),IF($R$17="Distrato",$E229,0))),0,YEARFRAC(MAX($P$34*($B229+IF($R$17="Distrato",$I$38-1,0)),IF(AND($L$37=0,$P$34=0),"",$L$37-1),IF($R$17="Distrato",$E229,0)),MIN(AA$38,$D$19),$P$20))-SUM($P229:Z229)</f>
        <v>#VALUE!</v>
      </c>
      <c r="AB229" s="446" t="e">
        <f>IF(OR($B229="",MIN(AB$38,$D$19)&lt;MAX($P$34*($B229+IF($R$17="Distrato",$I$38-1,0)),IF(AND($L$37=0,$P$34=0),"",$L$37-1),IF($R$17="Distrato",$E229,0))),0,YEARFRAC(MAX($P$34*($B229+IF($R$17="Distrato",$I$38-1,0)),IF(AND($L$37=0,$P$34=0),"",$L$37-1),IF($R$17="Distrato",$E229,0)),MIN(AB$38,$D$19),$P$20))-SUM($P229:AA229)</f>
        <v>#VALUE!</v>
      </c>
      <c r="AC229" s="446" t="e">
        <f>IF(OR($B229="",MIN(AC$38,$D$19)&lt;MAX($P$34*($B229+IF($R$17="Distrato",$I$38-1,0)),IF(AND($L$37=0,$P$34=0),"",$L$37-1),IF($R$17="Distrato",$E229,0))),0,YEARFRAC(MAX($P$34*($B229+IF($R$17="Distrato",$I$38-1,0)),IF(AND($L$37=0,$P$34=0),"",$L$37-1),IF($R$17="Distrato",$E229,0)),MIN(AC$38,$D$19),$P$20))-SUM($P229:AB229)</f>
        <v>#VALUE!</v>
      </c>
      <c r="AD229" s="446" t="e">
        <f>IF(OR($B229="",MIN(AD$38,$D$19)&lt;MAX($P$34*($B229+IF($R$17="Distrato",$I$38-1,0)),IF(AND($L$37=0,$P$34=0),"",$L$37-1),IF($R$17="Distrato",$E229,0))),0,YEARFRAC(MAX($P$34*($B229+IF($R$17="Distrato",$I$38-1,0)),IF(AND($L$37=0,$P$34=0),"",$L$37-1),IF($R$17="Distrato",$E229,0)),MIN(AD$38,$D$19),$P$20))-SUM($P229:AC229)</f>
        <v>#VALUE!</v>
      </c>
      <c r="AE229" s="446" t="e">
        <f>IF(OR($B229="",MIN(AE$38,$D$19)&lt;MAX($P$34*($B229+IF($R$17="Distrato",$I$38-1,0)),IF(AND($L$37=0,$P$34=0),"",$L$37-1),IF($R$17="Distrato",$E229,0))),0,YEARFRAC(MAX($P$34*($B229+IF($R$17="Distrato",$I$38-1,0)),IF(AND($L$37=0,$P$34=0),"",$L$37-1),IF($R$17="Distrato",$E229,0)),MIN(AE$38,$D$19),$P$20))-SUM($P229:AD229)</f>
        <v>#VALUE!</v>
      </c>
      <c r="AF229" s="446" t="e">
        <f>IF(OR($B229="",MIN(AF$38,$D$19)&lt;MAX($P$34*($B229+IF($R$17="Distrato",$I$38-1,0)),IF(AND($L$37=0,$P$34=0),"",$L$37-1),IF($R$17="Distrato",$E229,0))),0,YEARFRAC(MAX($P$34*($B229+IF($R$17="Distrato",$I$38-1,0)),IF(AND($L$37=0,$P$34=0),"",$L$37-1),IF($R$17="Distrato",$E229,0)),MIN(AF$38,$D$19),$P$20))-SUM($P229:AE229)</f>
        <v>#VALUE!</v>
      </c>
      <c r="AG229" s="446" t="e">
        <f>IF(OR($B229="",MIN(AG$38,$D$19)&lt;MAX($P$34*($B229+IF($R$17="Distrato",$I$38-1,0)),IF(AND($L$37=0,$P$34=0),"",$L$37-1),IF($R$17="Distrato",$E229,0))),0,YEARFRAC(MAX($P$34*($B229+IF($R$17="Distrato",$I$38-1,0)),IF(AND($L$37=0,$P$34=0),"",$L$37-1),IF($R$17="Distrato",$E229,0)),MIN(AG$38,$D$19),$P$20))-SUM($P229:AF229)</f>
        <v>#VALUE!</v>
      </c>
      <c r="AH229" s="446" t="e">
        <f>IF(OR($B229="",MIN(AH$38,$D$19)&lt;MAX($P$34*($B229+IF($R$17="Distrato",$I$38-1,0)),IF(AND($L$37=0,$P$34=0),"",$L$37-1),IF($R$17="Distrato",$E229,0))),0,YEARFRAC(MAX($P$34*($B229+IF($R$17="Distrato",$I$38-1,0)),IF(AND($L$37=0,$P$34=0),"",$L$37-1),IF($R$17="Distrato",$E229,0)),MIN(AH$38,$D$19),$P$20))-SUM($P229:AG229)</f>
        <v>#VALUE!</v>
      </c>
      <c r="AI229" s="446" t="e">
        <f>IF(OR($B229="",MIN(AI$38,$D$19)&lt;MAX($P$34*($B229+IF($R$17="Distrato",$I$38-1,0)),IF(AND($L$37=0,$P$34=0),"",$L$37-1),IF($R$17="Distrato",$E229,0))),0,YEARFRAC(MAX($P$34*($B229+IF($R$17="Distrato",$I$38-1,0)),IF(AND($L$37=0,$P$34=0),"",$L$37-1),IF($R$17="Distrato",$E229,0)),MIN(AI$38,$D$19),$P$20))-SUM($P229:AH229)</f>
        <v>#VALUE!</v>
      </c>
      <c r="AJ229" s="446" t="e">
        <f>IF(OR($B229="",MIN(AJ$38,$D$19)&lt;MAX($P$34*($B229+IF($R$17="Distrato",$I$38-1,0)),IF(AND($L$37=0,$P$34=0),"",$L$37-1),IF($R$17="Distrato",$E229,0))),0,YEARFRAC(MAX($P$34*($B229+IF($R$17="Distrato",$I$38-1,0)),IF(AND($L$37=0,$P$34=0),"",$L$37-1),IF($R$17="Distrato",$E229,0)),MIN(AJ$38,$D$19),$P$20))-SUM($P229:AI229)</f>
        <v>#VALUE!</v>
      </c>
      <c r="AK229" s="446" t="e">
        <f>IF(OR($B229="",MIN(AK$38,$D$19)&lt;MAX($P$34*($B229+IF($R$17="Distrato",$I$38-1,0)),IF(AND($L$37=0,$P$34=0),"",$L$37-1),IF($R$17="Distrato",$E229,0))),0,YEARFRAC(MAX($P$34*($B229+IF($R$17="Distrato",$I$38-1,0)),IF(AND($L$37=0,$P$34=0),"",$L$37-1),IF($R$17="Distrato",$E229,0)),MIN(AK$38,$D$19),$P$20))-SUM($P229:AJ229)</f>
        <v>#VALUE!</v>
      </c>
      <c r="AL229" s="446" t="e">
        <f>IF(OR($B229="",MIN(AL$38,$D$19)&lt;MAX($P$34*($B229+IF($R$17="Distrato",$I$38-1,0)),IF(AND($L$37=0,$P$34=0),"",$L$37-1),IF($R$17="Distrato",$E229,0))),0,YEARFRAC(MAX($P$34*($B229+IF($R$17="Distrato",$I$38-1,0)),IF(AND($L$37=0,$P$34=0),"",$L$37-1),IF($R$17="Distrato",$E229,0)),MIN(AL$38,$D$19),$P$20))-SUM($P229:AK229)</f>
        <v>#VALUE!</v>
      </c>
      <c r="AM229" s="446" t="e">
        <f>IF(OR($B229="",MIN(AM$38,$D$19)&lt;MAX($P$34*($B229+IF($R$17="Distrato",$I$38-1,0)),IF(AND($L$37=0,$P$34=0),"",$L$37-1),IF($R$17="Distrato",$E229,0))),0,YEARFRAC(MAX($P$34*($B229+IF($R$17="Distrato",$I$38-1,0)),IF(AND($L$37=0,$P$34=0),"",$L$37-1),IF($R$17="Distrato",$E229,0)),MIN(AM$38,$D$19),$P$20))-SUM($P229:AL229)</f>
        <v>#VALUE!</v>
      </c>
      <c r="AN229" s="446" t="e">
        <f>IF(OR($B229="",MIN(AN$38,$D$19)&lt;MAX($P$34*($B229+IF($R$17="Distrato",$I$38-1,0)),IF(AND($L$37=0,$P$34=0),"",$L$37-1),IF($R$17="Distrato",$E229,0))),0,YEARFRAC(MAX($P$34*($B229+IF($R$17="Distrato",$I$38-1,0)),IF(AND($L$37=0,$P$34=0),"",$L$37-1),IF($R$17="Distrato",$E229,0)),MIN(AN$38,$D$19),$P$20))-SUM($P229:AM229)</f>
        <v>#VALUE!</v>
      </c>
      <c r="AO229" s="446" t="e">
        <f>IF(OR($B229="",MIN(AO$38,$D$19)&lt;MAX($P$34*($B229+IF($R$17="Distrato",$I$38-1,0)),IF(AND($L$37=0,$P$34=0),"",$L$37-1),IF($R$17="Distrato",$E229,0))),0,YEARFRAC(MAX($P$34*($B229+IF($R$17="Distrato",$I$38-1,0)),IF(AND($L$37=0,$P$34=0),"",$L$37-1),IF($R$17="Distrato",$E229,0)),MIN(AO$38,$D$19),$P$20))-SUM($P229:AN229)</f>
        <v>#VALUE!</v>
      </c>
      <c r="AP229" s="446" t="e">
        <f>IF(OR($B229="",MIN(AP$38,$D$19)&lt;MAX($P$34*($B229+IF($R$17="Distrato",$I$38-1,0)),IF(AND($L$37=0,$P$34=0),"",$L$37-1),IF($R$17="Distrato",$E229,0))),0,YEARFRAC(MAX($P$34*($B229+IF($R$17="Distrato",$I$38-1,0)),IF(AND($L$37=0,$P$34=0),"",$L$37-1),IF($R$17="Distrato",$E229,0)),MIN(AP$38,$D$19),$P$20))-SUM($P229:AO229)</f>
        <v>#VALUE!</v>
      </c>
      <c r="AQ229" s="446" t="e">
        <f>IF(OR($B229="",MIN(AQ$38,$D$19)&lt;MAX($P$34*($B229+IF($R$17="Distrato",$I$38-1,0)),IF(AND($L$37=0,$P$34=0),"",$L$37-1),IF($R$17="Distrato",$E229,0))),0,YEARFRAC(MAX($P$34*($B229+IF($R$17="Distrato",$I$38-1,0)),IF(AND($L$37=0,$P$34=0),"",$L$37-1),IF($R$17="Distrato",$E229,0)),MIN(AQ$38,$D$19),$P$20))-SUM($P229:AP229)</f>
        <v>#VALUE!</v>
      </c>
      <c r="AR229" s="446" t="e">
        <f>IF(OR($B229="",MIN(AR$38,$D$19)&lt;MAX($P$34*($B229+IF($R$17="Distrato",$I$38-1,0)),IF(AND($L$37=0,$P$34=0),"",$L$37-1),IF($R$17="Distrato",$E229,0))),0,YEARFRAC(MAX($P$34*($B229+IF($R$17="Distrato",$I$38-1,0)),IF(AND($L$37=0,$P$34=0),"",$L$37-1),IF($R$17="Distrato",$E229,0)),MIN(AR$38,$D$19),$P$20))-SUM($P229:AQ229)</f>
        <v>#VALUE!</v>
      </c>
      <c r="AS229" s="446" t="e">
        <f>IF(OR($B229="",MIN(AS$38,$D$19)&lt;MAX($P$34*($B229+IF($R$17="Distrato",$I$38-1,0)),IF(AND($L$37=0,$P$34=0),"",$L$37-1),IF($R$17="Distrato",$E229,0))),0,YEARFRAC(MAX($P$34*($B229+IF($R$17="Distrato",$I$38-1,0)),IF(AND($L$37=0,$P$34=0),"",$L$37-1),IF($R$17="Distrato",$E229,0)),MIN(AS$38,$D$19),$P$20))-SUM($P229:AR229)</f>
        <v>#VALUE!</v>
      </c>
      <c r="AT229" s="446" t="e">
        <f>IF(OR($B229="",MIN(AT$38,$D$19)&lt;MAX($P$34*($B229+IF($R$17="Distrato",$I$38-1,0)),IF(AND($L$37=0,$P$34=0),"",$L$37-1),IF($R$17="Distrato",$E229,0))),0,YEARFRAC(MAX($P$34*($B229+IF($R$17="Distrato",$I$38-1,0)),IF(AND($L$37=0,$P$34=0),"",$L$37-1),IF($R$17="Distrato",$E229,0)),MIN(AT$38,$D$19),$P$20))-SUM($P229:AS229)</f>
        <v>#VALUE!</v>
      </c>
      <c r="AU229" s="446" t="e">
        <f>IF(OR($B229="",MIN(AU$38,$D$19)&lt;MAX($P$34*($B229+IF($R$17="Distrato",$I$38-1,0)),IF(AND($L$37=0,$P$34=0),"",$L$37-1),IF($R$17="Distrato",$E229,0))),0,YEARFRAC(MAX($P$34*($B229+IF($R$17="Distrato",$I$38-1,0)),IF(AND($L$37=0,$P$34=0),"",$L$37-1),IF($R$17="Distrato",$E229,0)),MIN(AU$38,$D$19),$P$20))-SUM($P229:AT229)</f>
        <v>#VALUE!</v>
      </c>
      <c r="AV229" s="446" t="e">
        <f>IF(OR($B229="",MIN(AV$38,$D$19)&lt;MAX($P$34*($B229+IF($R$17="Distrato",$I$38-1,0)),IF(AND($L$37=0,$P$34=0),"",$L$37-1),IF($R$17="Distrato",$E229,0))),0,YEARFRAC(MAX($P$34*($B229+IF($R$17="Distrato",$I$38-1,0)),IF(AND($L$37=0,$P$34=0),"",$L$37-1),IF($R$17="Distrato",$E229,0)),MIN(AV$38,$D$19),$P$20))-SUM($P229:AU229)</f>
        <v>#VALUE!</v>
      </c>
      <c r="AW229" s="446" t="e">
        <f>IF(OR($B229="",MIN(AW$38,$D$19)&lt;MAX($P$34*($B229+IF($R$17="Distrato",$I$38-1,0)),IF(AND($L$37=0,$P$34=0),"",$L$37-1),IF($R$17="Distrato",$E229,0))),0,YEARFRAC(MAX($P$34*($B229+IF($R$17="Distrato",$I$38-1,0)),IF(AND($L$37=0,$P$34=0),"",$L$37-1),IF($R$17="Distrato",$E229,0)),MIN(AW$38,$D$19),$P$20))-SUM($P229:AV229)</f>
        <v>#VALUE!</v>
      </c>
      <c r="AX229" s="446" t="e">
        <f>IF(OR($B229="",MIN(AX$38,$D$19)&lt;MAX($P$34*($B229+IF($R$17="Distrato",$I$38-1,0)),IF(AND($L$37=0,$P$34=0),"",$L$37-1),IF($R$17="Distrato",$E229,0))),0,YEARFRAC(MAX($P$34*($B229+IF($R$17="Distrato",$I$38-1,0)),IF(AND($L$37=0,$P$34=0),"",$L$37-1),IF($R$17="Distrato",$E229,0)),MIN(AX$38,$D$19),$P$20))-SUM($P229:AW229)</f>
        <v>#VALUE!</v>
      </c>
      <c r="AY229" s="446" t="e">
        <f>IF(OR($B229="",MIN(AY$38,$D$19)&lt;MAX($P$34*($B229+IF($R$17="Distrato",$I$38-1,0)),IF(AND($L$37=0,$P$34=0),"",$L$37-1),IF($R$17="Distrato",$E229,0))),0,YEARFRAC(MAX($P$34*($B229+IF($R$17="Distrato",$I$38-1,0)),IF(AND($L$37=0,$P$34=0),"",$L$37-1),IF($R$17="Distrato",$E229,0)),MIN(AY$38,$D$19),$P$20))-SUM($P229:AX229)</f>
        <v>#VALUE!</v>
      </c>
      <c r="AZ229" s="446" t="e">
        <f>IF(OR($B229="",MIN(AZ$38,$D$19)&lt;MAX($P$34*($B229+IF($R$17="Distrato",$I$38-1,0)),IF(AND($L$37=0,$P$34=0),"",$L$37-1),IF($R$17="Distrato",$E229,0))),0,YEARFRAC(MAX($P$34*($B229+IF($R$17="Distrato",$I$38-1,0)),IF(AND($L$37=0,$P$34=0),"",$L$37-1),IF($R$17="Distrato",$E229,0)),MIN(AZ$38,$D$19),$P$20))-SUM($P229:AY229)</f>
        <v>#VALUE!</v>
      </c>
      <c r="BA229" s="446" t="e">
        <f>IF(OR($B229="",MIN(BA$38,$D$19)&lt;MAX($P$34*($B229+IF($R$17="Distrato",$I$38-1,0)),IF(AND($L$37=0,$P$34=0),"",$L$37-1),IF($R$17="Distrato",$E229,0))),0,YEARFRAC(MAX($P$34*($B229+IF($R$17="Distrato",$I$38-1,0)),IF(AND($L$37=0,$P$34=0),"",$L$37-1),IF($R$17="Distrato",$E229,0)),MIN(BA$38,$D$19),$P$20))-SUM($P229:AZ229)</f>
        <v>#VALUE!</v>
      </c>
      <c r="BB229" s="447"/>
      <c r="BF229" s="446">
        <f t="shared" si="32"/>
        <v>0</v>
      </c>
      <c r="BG229" s="446">
        <f>IF($E229=0,0,IF(MIN(BG$38,$E229)&lt;MAX($P$34*($B229+$I$38-1),IF(AND($L$37=0,$P$34=0),"",$L$37-1)),0,YEARFRAC(MAX($P$34*($B229+$I$38-1),IF(AND($L$37=0,$P$34=0),"",$L$37-1)),MIN(BG$38,$E229),$P$20))-SUM($BF229:BF229))</f>
        <v>0</v>
      </c>
      <c r="BH229" s="446">
        <f>IF($E229=0,0,IF(MIN(BH$38,$E229)&lt;MAX($P$34*($B229+$I$38-1),IF(AND($L$37=0,$P$34=0),"",$L$37-1)),0,YEARFRAC(MAX($P$34*($B229+$I$38-1),IF(AND($L$37=0,$P$34=0),"",$L$37-1)),MIN(BH$38,$E229),$P$20))-SUM($BF229:BG229))</f>
        <v>0</v>
      </c>
      <c r="BI229" s="446">
        <f>IF($E229=0,0,IF(MIN(BI$38,$E229)&lt;MAX($P$34*($B229+$I$38-1),IF(AND($L$37=0,$P$34=0),"",$L$37-1)),0,YEARFRAC(MAX($P$34*($B229+$I$38-1),IF(AND($L$37=0,$P$34=0),"",$L$37-1)),MIN(BI$38,$E229),$P$20))-SUM($BF229:BH229))</f>
        <v>0</v>
      </c>
      <c r="BJ229" s="446">
        <f>IF($E229=0,0,IF(MIN(BJ$38,$E229)&lt;MAX($P$34*($B229+$I$38-1),IF(AND($L$37=0,$P$34=0),"",$L$37-1)),0,YEARFRAC(MAX($P$34*($B229+$I$38-1),IF(AND($L$37=0,$P$34=0),"",$L$37-1)),MIN(BJ$38,$E229),$P$20))-SUM($BF229:BI229))</f>
        <v>0</v>
      </c>
      <c r="BK229" s="446">
        <f>IF($E229=0,0,IF(MIN(BK$38,$E229)&lt;MAX($P$34*($B229+$I$38-1),IF(AND($L$37=0,$P$34=0),"",$L$37-1)),0,YEARFRAC(MAX($P$34*($B229+$I$38-1),IF(AND($L$37=0,$P$34=0),"",$L$37-1)),MIN(BK$38,$E229),$P$20))-SUM($BF229:BJ229))</f>
        <v>0</v>
      </c>
      <c r="BL229" s="446">
        <f>IF($E229=0,0,IF(MIN(BL$38,$E229)&lt;MAX($P$34*($B229+$I$38-1),IF(AND($L$37=0,$P$34=0),"",$L$37-1)),0,YEARFRAC(MAX($P$34*($B229+$I$38-1),IF(AND($L$37=0,$P$34=0),"",$L$37-1)),MIN(BL$38,$E229),$P$20))-SUM($BF229:BK229))</f>
        <v>0</v>
      </c>
      <c r="BM229" s="446">
        <f>IF($E229=0,0,IF(MIN(BM$38,$E229)&lt;MAX($P$34*($B229+$I$38-1),IF(AND($L$37=0,$P$34=0),"",$L$37-1)),0,YEARFRAC(MAX($P$34*($B229+$I$38-1),IF(AND($L$37=0,$P$34=0),"",$L$37-1)),MIN(BM$38,$E229),$P$20))-SUM($BF229:BL229))</f>
        <v>0</v>
      </c>
      <c r="BN229" s="446">
        <f>IF($E229=0,0,IF(MIN(BN$38,$E229)&lt;MAX($P$34*($B229+$I$38-1),IF(AND($L$37=0,$P$34=0),"",$L$37-1)),0,YEARFRAC(MAX($P$34*($B229+$I$38-1),IF(AND($L$37=0,$P$34=0),"",$L$37-1)),MIN(BN$38,$E229),$P$20))-SUM($BF229:BM229))</f>
        <v>0</v>
      </c>
      <c r="BO229" s="446">
        <f>IF($E229=0,0,IF(MIN(BO$38,$E229)&lt;MAX($P$34*($B229+$I$38-1),IF(AND($L$37=0,$P$34=0),"",$L$37-1)),0,YEARFRAC(MAX($P$34*($B229+$I$38-1),IF(AND($L$37=0,$P$34=0),"",$L$37-1)),MIN(BO$38,$E229),$P$20))-SUM($BF229:BN229))</f>
        <v>0</v>
      </c>
      <c r="BP229" s="446">
        <f>IF($E229=0,0,IF(MIN(BP$38,$E229)&lt;MAX($P$34*($B229+$I$38-1),IF(AND($L$37=0,$P$34=0),"",$L$37-1)),0,YEARFRAC(MAX($P$34*($B229+$I$38-1),IF(AND($L$37=0,$P$34=0),"",$L$37-1)),MIN(BP$38,$E229),$P$20))-SUM($BF229:BO229))</f>
        <v>0</v>
      </c>
      <c r="BQ229" s="446">
        <f>IF($E229=0,0,IF(MIN(BQ$38,$E229)&lt;MAX($P$34*($B229+$I$38-1),IF(AND($L$37=0,$P$34=0),"",$L$37-1)),0,YEARFRAC(MAX($P$34*($B229+$I$38-1),IF(AND($L$37=0,$P$34=0),"",$L$37-1)),MIN(BQ$38,$E229),$P$20))-SUM($BF229:BP229))</f>
        <v>0</v>
      </c>
      <c r="BR229" s="446">
        <f>IF($E229=0,0,IF(MIN(BR$38,$E229)&lt;MAX($P$34*($B229+$I$38-1),IF(AND($L$37=0,$P$34=0),"",$L$37-1)),0,YEARFRAC(MAX($P$34*($B229+$I$38-1),IF(AND($L$37=0,$P$34=0),"",$L$37-1)),MIN(BR$38,$E229),$P$20))-SUM($BF229:BQ229))</f>
        <v>0</v>
      </c>
      <c r="BS229" s="446">
        <f>IF($E229=0,0,IF(MIN(BS$38,$E229)&lt;MAX($P$34*($B229+$I$38-1),IF(AND($L$37=0,$P$34=0),"",$L$37-1)),0,YEARFRAC(MAX($P$34*($B229+$I$38-1),IF(AND($L$37=0,$P$34=0),"",$L$37-1)),MIN(BS$38,$E229),$P$20))-SUM($BF229:BR229))</f>
        <v>0</v>
      </c>
      <c r="BT229" s="446">
        <f>IF($E229=0,0,IF(MIN(BT$38,$E229)&lt;MAX($P$34*($B229+$I$38-1),IF(AND($L$37=0,$P$34=0),"",$L$37-1)),0,YEARFRAC(MAX($P$34*($B229+$I$38-1),IF(AND($L$37=0,$P$34=0),"",$L$37-1)),MIN(BT$38,$E229),$P$20))-SUM($BF229:BS229))</f>
        <v>0</v>
      </c>
      <c r="BU229" s="446">
        <f>IF($E229=0,0,IF(MIN(BU$38,$E229)&lt;MAX($P$34*($B229+$I$38-1),IF(AND($L$37=0,$P$34=0),"",$L$37-1)),0,YEARFRAC(MAX($P$34*($B229+$I$38-1),IF(AND($L$37=0,$P$34=0),"",$L$37-1)),MIN(BU$38,$E229),$P$20))-SUM($BF229:BT229))</f>
        <v>0</v>
      </c>
      <c r="BV229" s="446">
        <f>IF($E229=0,0,IF(MIN(BV$38,$E229)&lt;MAX($P$34*($B229+$I$38-1),IF(AND($L$37=0,$P$34=0),"",$L$37-1)),0,YEARFRAC(MAX($P$34*($B229+$I$38-1),IF(AND($L$37=0,$P$34=0),"",$L$37-1)),MIN(BV$38,$E229),$P$20))-SUM($BF229:BU229))</f>
        <v>0</v>
      </c>
      <c r="BW229" s="446">
        <f>IF($E229=0,0,IF(MIN(BW$38,$E229)&lt;MAX($P$34*($B229+$I$38-1),IF(AND($L$37=0,$P$34=0),"",$L$37-1)),0,YEARFRAC(MAX($P$34*($B229+$I$38-1),IF(AND($L$37=0,$P$34=0),"",$L$37-1)),MIN(BW$38,$E229),$P$20))-SUM($BF229:BV229))</f>
        <v>0</v>
      </c>
      <c r="BX229" s="446">
        <f>IF($E229=0,0,IF(MIN(BX$38,$E229)&lt;MAX($P$34*($B229+$I$38-1),IF(AND($L$37=0,$P$34=0),"",$L$37-1)),0,YEARFRAC(MAX($P$34*($B229+$I$38-1),IF(AND($L$37=0,$P$34=0),"",$L$37-1)),MIN(BX$38,$E229),$P$20))-SUM($BF229:BW229))</f>
        <v>0</v>
      </c>
      <c r="BY229" s="446">
        <f>IF($E229=0,0,IF(MIN(BY$38,$E229)&lt;MAX($P$34*($B229+$I$38-1),IF(AND($L$37=0,$P$34=0),"",$L$37-1)),0,YEARFRAC(MAX($P$34*($B229+$I$38-1),IF(AND($L$37=0,$P$34=0),"",$L$37-1)),MIN(BY$38,$E229),$P$20))-SUM($BF229:BX229))</f>
        <v>0</v>
      </c>
      <c r="BZ229" s="446">
        <f>IF($E229=0,0,IF(MIN(BZ$38,$E229)&lt;MAX($P$34*($B229+$I$38-1),IF(AND($L$37=0,$P$34=0),"",$L$37-1)),0,YEARFRAC(MAX($P$34*($B229+$I$38-1),IF(AND($L$37=0,$P$34=0),"",$L$37-1)),MIN(BZ$38,$E229),$P$20))-SUM($BF229:BY229))</f>
        <v>0</v>
      </c>
      <c r="CA229" s="446">
        <f>IF($E229=0,0,IF(MIN(CA$38,$E229)&lt;MAX($P$34*($B229+$I$38-1),IF(AND($L$37=0,$P$34=0),"",$L$37-1)),0,YEARFRAC(MAX($P$34*($B229+$I$38-1),IF(AND($L$37=0,$P$34=0),"",$L$37-1)),MIN(CA$38,$E229),$P$20))-SUM($BF229:BZ229))</f>
        <v>0</v>
      </c>
      <c r="CB229" s="446">
        <f>IF($E229=0,0,IF(MIN(CB$38,$E229)&lt;MAX($P$34*($B229+$I$38-1),IF(AND($L$37=0,$P$34=0),"",$L$37-1)),0,YEARFRAC(MAX($P$34*($B229+$I$38-1),IF(AND($L$37=0,$P$34=0),"",$L$37-1)),MIN(CB$38,$E229),$P$20))-SUM($BF229:CA229))</f>
        <v>0</v>
      </c>
      <c r="CC229" s="446">
        <f>IF($E229=0,0,IF(MIN(CC$38,$E229)&lt;MAX($P$34*($B229+$I$38-1),IF(AND($L$37=0,$P$34=0),"",$L$37-1)),0,YEARFRAC(MAX($P$34*($B229+$I$38-1),IF(AND($L$37=0,$P$34=0),"",$L$37-1)),MIN(CC$38,$E229),$P$20))-SUM($BF229:CB229))</f>
        <v>0</v>
      </c>
      <c r="CD229" s="446">
        <f>IF($E229=0,0,IF(MIN(CD$38,$E229)&lt;MAX($P$34*($B229+$I$38-1),IF(AND($L$37=0,$P$34=0),"",$L$37-1)),0,YEARFRAC(MAX($P$34*($B229+$I$38-1),IF(AND($L$37=0,$P$34=0),"",$L$37-1)),MIN(CD$38,$E229),$P$20))-SUM($BF229:CC229))</f>
        <v>0</v>
      </c>
      <c r="CE229" s="446">
        <f>IF($E229=0,0,IF(MIN(CE$38,$E229)&lt;MAX($P$34*($B229+$I$38-1),IF(AND($L$37=0,$P$34=0),"",$L$37-1)),0,YEARFRAC(MAX($P$34*($B229+$I$38-1),IF(AND($L$37=0,$P$34=0),"",$L$37-1)),MIN(CE$38,$E229),$P$20))-SUM($BF229:CD229))</f>
        <v>0</v>
      </c>
      <c r="CF229" s="446">
        <f>IF($E229=0,0,IF(MIN(CF$38,$E229)&lt;MAX($P$34*($B229+$I$38-1),IF(AND($L$37=0,$P$34=0),"",$L$37-1)),0,YEARFRAC(MAX($P$34*($B229+$I$38-1),IF(AND($L$37=0,$P$34=0),"",$L$37-1)),MIN(CF$38,$E229),$P$20))-SUM($BF229:CE229))</f>
        <v>0</v>
      </c>
      <c r="CG229" s="446">
        <f>IF($E229=0,0,IF(MIN(CG$38,$E229)&lt;MAX($P$34*($B229+$I$38-1),IF(AND($L$37=0,$P$34=0),"",$L$37-1)),0,YEARFRAC(MAX($P$34*($B229+$I$38-1),IF(AND($L$37=0,$P$34=0),"",$L$37-1)),MIN(CG$38,$E229),$P$20))-SUM($BF229:CF229))</f>
        <v>0</v>
      </c>
      <c r="CH229" s="446">
        <f>IF($E229=0,0,IF(MIN(CH$38,$E229)&lt;MAX($P$34*($B229+$I$38-1),IF(AND($L$37=0,$P$34=0),"",$L$37-1)),0,YEARFRAC(MAX($P$34*($B229+$I$38-1),IF(AND($L$37=0,$P$34=0),"",$L$37-1)),MIN(CH$38,$E229),$P$20))-SUM($BF229:CG229))</f>
        <v>0</v>
      </c>
      <c r="CI229" s="446">
        <f>IF($E229=0,0,IF(MIN(CI$38,$E229)&lt;MAX($P$34*($B229+$I$38-1),IF(AND($L$37=0,$P$34=0),"",$L$37-1)),0,YEARFRAC(MAX($P$34*($B229+$I$38-1),IF(AND($L$37=0,$P$34=0),"",$L$37-1)),MIN(CI$38,$E229),$P$20))-SUM($BF229:CH229))</f>
        <v>0</v>
      </c>
      <c r="CJ229" s="446">
        <f>IF($E229=0,0,IF(MIN(CJ$38,$E229)&lt;MAX($P$34*($B229+$I$38-1),IF(AND($L$37=0,$P$34=0),"",$L$37-1)),0,YEARFRAC(MAX($P$34*($B229+$I$38-1),IF(AND($L$37=0,$P$34=0),"",$L$37-1)),MIN(CJ$38,$E229),$P$20))-SUM($BF229:CI229))</f>
        <v>0</v>
      </c>
      <c r="CK229" s="446">
        <f>IF($E229=0,0,IF(MIN(CK$38,$E229)&lt;MAX($P$34*($B229+$I$38-1),IF(AND($L$37=0,$P$34=0),"",$L$37-1)),0,YEARFRAC(MAX($P$34*($B229+$I$38-1),IF(AND($L$37=0,$P$34=0),"",$L$37-1)),MIN(CK$38,$E229),$P$20))-SUM($BF229:CJ229))</f>
        <v>0</v>
      </c>
      <c r="CL229" s="446">
        <f>IF($E229=0,0,IF(MIN(CL$38,$E229)&lt;MAX($P$34*($B229+$I$38-1),IF(AND($L$37=0,$P$34=0),"",$L$37-1)),0,YEARFRAC(MAX($P$34*($B229+$I$38-1),IF(AND($L$37=0,$P$34=0),"",$L$37-1)),MIN(CL$38,$E229),$P$20))-SUM($BF229:CK229))</f>
        <v>0</v>
      </c>
      <c r="CM229" s="446">
        <f>IF($E229=0,0,IF(MIN(CM$38,$E229)&lt;MAX($P$34*($B229+$I$38-1),IF(AND($L$37=0,$P$34=0),"",$L$37-1)),0,YEARFRAC(MAX($P$34*($B229+$I$38-1),IF(AND($L$37=0,$P$34=0),"",$L$37-1)),MIN(CM$38,$E229),$P$20))-SUM($BF229:CL229))</f>
        <v>0</v>
      </c>
      <c r="CN229" s="446">
        <f>IF($E229=0,0,IF(MIN(CN$38,$E229)&lt;MAX($P$34*($B229+$I$38-1),IF(AND($L$37=0,$P$34=0),"",$L$37-1)),0,YEARFRAC(MAX($P$34*($B229+$I$38-1),IF(AND($L$37=0,$P$34=0),"",$L$37-1)),MIN(CN$38,$E229),$P$20))-SUM($BF229:CM229))</f>
        <v>0</v>
      </c>
      <c r="CO229" s="446">
        <f>IF($E229=0,0,IF(MIN(CO$38,$E229)&lt;MAX($P$34*($B229+$I$38-1),IF(AND($L$37=0,$P$34=0),"",$L$37-1)),0,YEARFRAC(MAX($P$34*($B229+$I$38-1),IF(AND($L$37=0,$P$34=0),"",$L$37-1)),MIN(CO$38,$E229),$P$20))-SUM($BF229:CN229))</f>
        <v>0</v>
      </c>
      <c r="CP229" s="446">
        <f>IF($E229=0,0,IF(MIN(CP$38,$E229)&lt;MAX($P$34*($B229+$I$38-1),IF(AND($L$37=0,$P$34=0),"",$L$37-1)),0,YEARFRAC(MAX($P$34*($B229+$I$38-1),IF(AND($L$37=0,$P$34=0),"",$L$37-1)),MIN(CP$38,$E229),$P$20))-SUM($BF229:CO229))</f>
        <v>0</v>
      </c>
      <c r="CQ229" s="446">
        <f>IF($E229=0,0,IF(MIN(CQ$38,$E229)&lt;MAX($P$34*($B229+$I$38-1),IF(AND($L$37=0,$P$34=0),"",$L$37-1)),0,YEARFRAC(MAX($P$34*($B229+$I$38-1),IF(AND($L$37=0,$P$34=0),"",$L$37-1)),MIN(CQ$38,$E229),$P$20))-SUM($BF229:CP229))</f>
        <v>0</v>
      </c>
    </row>
    <row r="230" spans="1:95" s="446" customFormat="1" ht="11.25" hidden="1" customHeight="1" x14ac:dyDescent="0.2">
      <c r="A230" s="152"/>
      <c r="B230" s="153" t="str">
        <f t="shared" si="37"/>
        <v/>
      </c>
      <c r="C230" s="29" t="str">
        <f>IF(B230="","",IF($L$35="SELIC - TRIBUTOS",VLOOKUP(DATE(YEAR($D$19),MONTH($D$19)-1,1),ÍNDICES!$A:$DE,HLOOKUP($BL$25,ÍNDICES!$B$3:$T$4,2)+11)-VLOOKUP(B230,ÍNDICES!$A:$DE,HLOOKUP($BL$25,ÍNDICES!$B$3:$T$4,2)+11)+1%,IF(C$38=$W$26,$J$35,IF(ISERROR(IF(B230&gt;$D$19,1,VLOOKUP(DATE(YEAR(B230),MONTH(B230)+IF($C$35=$S$23,1,0),1),ÍNDICES!$A:$DE,$Z$35+1))),"",IF(B230&gt;$D$19,1,VLOOKUP(DATE(YEAR(B230),MONTH(B230)+IF($C$35=$S$23,1,0),1),ÍNDICES!$A:$DE,$Z$35+1))))))</f>
        <v/>
      </c>
      <c r="D230" s="154" t="str">
        <f>IF(ISERROR(IF(OR($D$38=$Y$27,$B230=""),"",VLOOKUP(B230,ÍNDICES!A:DE,AF$35+1))),"",IF(OR($D$38=$Y$27,$B230=""),"",VLOOKUP(B230,ÍNDICES!A:DE,AF$35+1)))</f>
        <v/>
      </c>
      <c r="E230" s="153"/>
      <c r="F230" s="29" t="str">
        <f>IF(E230="","",IF($L$35="SELIC - TRIBUTOS",VLOOKUP(DATE(YEAR($D$19),MONTH($D$19)-1,1),ÍNDICES!$A:$DE,HLOOKUP($BL$25,ÍNDICES!$B$3:$T$4,2)+11)-VLOOKUP(E230,ÍNDICES!$A:$DE,HLOOKUP($BL$25,ÍNDICES!$B$3:$T$4,2)+11)+1%,IF(F$38=$W$26,$J$35,IF(ISERROR(IF(E230&gt;$D$19,1,VLOOKUP(DATE(YEAR(E230),MONTH(E230)+IF($C$35=$S$23,1,0),1),ÍNDICES!$A:$DE,$Z$35+1))),"",IF(E230&gt;$D$19,1,VLOOKUP(DATE(YEAR(E230),MONTH(E230)+IF($C$35=$S$23,1,0),1),ÍNDICES!$A:$DE,$Z$35+1))))))</f>
        <v/>
      </c>
      <c r="G230" s="155"/>
      <c r="H230" s="156" t="str">
        <f t="shared" si="33"/>
        <v/>
      </c>
      <c r="I230" s="29" t="str">
        <f t="shared" si="27"/>
        <v/>
      </c>
      <c r="J230" s="5">
        <f t="shared" si="28"/>
        <v>0</v>
      </c>
      <c r="K230" s="20">
        <f t="shared" ca="1" si="29"/>
        <v>0</v>
      </c>
      <c r="L230" s="5">
        <f t="shared" ca="1" si="30"/>
        <v>0</v>
      </c>
      <c r="M230" s="64">
        <f t="shared" si="34"/>
        <v>0</v>
      </c>
      <c r="N230" s="61">
        <f t="shared" ca="1" si="35"/>
        <v>0</v>
      </c>
      <c r="O230" s="5">
        <f t="shared" ca="1" si="36"/>
        <v>0</v>
      </c>
      <c r="P230" s="446" t="e">
        <f t="shared" si="31"/>
        <v>#VALUE!</v>
      </c>
      <c r="Q230" s="446" t="e">
        <f>IF(OR($B230="",MIN(Q$38,$D$19)&lt;MAX($P$34*($B230+IF($R$17="Distrato",$I$38-1,0)),IF(AND($L$37=0,$P$34=0),"",$L$37-1),IF($R$17="Distrato",$E230,0))),0,YEARFRAC(MAX($P$34*($B230+IF($R$17="Distrato",$I$38-1,0)),IF(AND($L$37=0,$P$34=0),"",$L$37-1),IF($R$17="Distrato",$E230,0)),MIN(Q$38,$D$19),$P$20))-SUM($P230:P230)</f>
        <v>#VALUE!</v>
      </c>
      <c r="R230" s="446" t="e">
        <f>IF(OR($B230="",MIN(R$38,$D$19)&lt;MAX($P$34*($B230+IF($R$17="Distrato",$I$38-1,0)),IF(AND($L$37=0,$P$34=0),"",$L$37-1),IF($R$17="Distrato",$E230,0))),0,YEARFRAC(MAX($P$34*($B230+IF($R$17="Distrato",$I$38-1,0)),IF(AND($L$37=0,$P$34=0),"",$L$37-1),IF($R$17="Distrato",$E230,0)),MIN(R$38,$D$19),$P$20))-SUM($P230:Q230)</f>
        <v>#VALUE!</v>
      </c>
      <c r="S230" s="446" t="e">
        <f>IF(OR($B230="",MIN(S$38,$D$19)&lt;MAX($P$34*($B230+IF($R$17="Distrato",$I$38-1,0)),IF(AND($L$37=0,$P$34=0),"",$L$37-1),IF($R$17="Distrato",$E230,0))),0,YEARFRAC(MAX($P$34*($B230+IF($R$17="Distrato",$I$38-1,0)),IF(AND($L$37=0,$P$34=0),"",$L$37-1),IF($R$17="Distrato",$E230,0)),MIN(S$38,$D$19),$P$20))-SUM($P230:R230)</f>
        <v>#VALUE!</v>
      </c>
      <c r="T230" s="446" t="e">
        <f>IF(OR($B230="",MIN(T$38,$D$19)&lt;MAX($P$34*($B230+IF($R$17="Distrato",$I$38-1,0)),IF(AND($L$37=0,$P$34=0),"",$L$37-1),IF($R$17="Distrato",$E230,0))),0,YEARFRAC(MAX($P$34*($B230+IF($R$17="Distrato",$I$38-1,0)),IF(AND($L$37=0,$P$34=0),"",$L$37-1),IF($R$17="Distrato",$E230,0)),MIN(T$38,$D$19),$P$20))-SUM($P230:S230)</f>
        <v>#VALUE!</v>
      </c>
      <c r="U230" s="446" t="e">
        <f>IF(OR($B230="",MIN(U$38,$D$19)&lt;MAX($P$34*($B230+IF($R$17="Distrato",$I$38-1,0)),IF(AND($L$37=0,$P$34=0),"",$L$37-1),IF($R$17="Distrato",$E230,0))),0,YEARFRAC(MAX($P$34*($B230+IF($R$17="Distrato",$I$38-1,0)),IF(AND($L$37=0,$P$34=0),"",$L$37-1),IF($R$17="Distrato",$E230,0)),MIN(U$38,$D$19),$P$20))-SUM($P230:T230)</f>
        <v>#VALUE!</v>
      </c>
      <c r="V230" s="446" t="e">
        <f>IF(OR($B230="",MIN(V$38,$D$19)&lt;MAX($P$34*($B230+IF($R$17="Distrato",$I$38-1,0)),IF(AND($L$37=0,$P$34=0),"",$L$37-1),IF($R$17="Distrato",$E230,0))),0,YEARFRAC(MAX($P$34*($B230+IF($R$17="Distrato",$I$38-1,0)),IF(AND($L$37=0,$P$34=0),"",$L$37-1),IF($R$17="Distrato",$E230,0)),MIN(V$38,$D$19),$P$20))-SUM($P230:U230)</f>
        <v>#VALUE!</v>
      </c>
      <c r="W230" s="446" t="e">
        <f>IF(OR($B230="",MIN(W$38,$D$19)&lt;MAX($P$34*($B230+IF($R$17="Distrato",$I$38-1,0)),IF(AND($L$37=0,$P$34=0),"",$L$37-1),IF($R$17="Distrato",$E230,0))),0,YEARFRAC(MAX($P$34*($B230+IF($R$17="Distrato",$I$38-1,0)),IF(AND($L$37=0,$P$34=0),"",$L$37-1),IF($R$17="Distrato",$E230,0)),MIN(W$38,$D$19),$P$20))-SUM($P230:V230)</f>
        <v>#VALUE!</v>
      </c>
      <c r="X230" s="446" t="e">
        <f>IF(OR($B230="",MIN(X$38,$D$19)&lt;MAX($P$34*($B230+IF($R$17="Distrato",$I$38-1,0)),IF(AND($L$37=0,$P$34=0),"",$L$37-1),IF($R$17="Distrato",$E230,0))),0,YEARFRAC(MAX($P$34*($B230+IF($R$17="Distrato",$I$38-1,0)),IF(AND($L$37=0,$P$34=0),"",$L$37-1),IF($R$17="Distrato",$E230,0)),MIN(X$38,$D$19),$P$20))-SUM($P230:W230)</f>
        <v>#VALUE!</v>
      </c>
      <c r="Y230" s="446" t="e">
        <f>IF(OR($B230="",MIN(Y$38,$D$19)&lt;MAX($P$34*($B230+IF($R$17="Distrato",$I$38-1,0)),IF(AND($L$37=0,$P$34=0),"",$L$37-1),IF($R$17="Distrato",$E230,0))),0,YEARFRAC(MAX($P$34*($B230+IF($R$17="Distrato",$I$38-1,0)),IF(AND($L$37=0,$P$34=0),"",$L$37-1),IF($R$17="Distrato",$E230,0)),MIN(Y$38,$D$19),$P$20))-SUM($P230:X230)</f>
        <v>#VALUE!</v>
      </c>
      <c r="Z230" s="446" t="e">
        <f>IF(OR($B230="",MIN(Z$38,$D$19)&lt;MAX($P$34*($B230+IF($R$17="Distrato",$I$38-1,0)),IF(AND($L$37=0,$P$34=0),"",$L$37-1),IF($R$17="Distrato",$E230,0))),0,YEARFRAC(MAX($P$34*($B230+IF($R$17="Distrato",$I$38-1,0)),IF(AND($L$37=0,$P$34=0),"",$L$37-1),IF($R$17="Distrato",$E230,0)),MIN(Z$38,$D$19),$P$20))-SUM($P230:Y230)</f>
        <v>#VALUE!</v>
      </c>
      <c r="AA230" s="446" t="e">
        <f>IF(OR($B230="",MIN(AA$38,$D$19)&lt;MAX($P$34*($B230+IF($R$17="Distrato",$I$38-1,0)),IF(AND($L$37=0,$P$34=0),"",$L$37-1),IF($R$17="Distrato",$E230,0))),0,YEARFRAC(MAX($P$34*($B230+IF($R$17="Distrato",$I$38-1,0)),IF(AND($L$37=0,$P$34=0),"",$L$37-1),IF($R$17="Distrato",$E230,0)),MIN(AA$38,$D$19),$P$20))-SUM($P230:Z230)</f>
        <v>#VALUE!</v>
      </c>
      <c r="AB230" s="446" t="e">
        <f>IF(OR($B230="",MIN(AB$38,$D$19)&lt;MAX($P$34*($B230+IF($R$17="Distrato",$I$38-1,0)),IF(AND($L$37=0,$P$34=0),"",$L$37-1),IF($R$17="Distrato",$E230,0))),0,YEARFRAC(MAX($P$34*($B230+IF($R$17="Distrato",$I$38-1,0)),IF(AND($L$37=0,$P$34=0),"",$L$37-1),IF($R$17="Distrato",$E230,0)),MIN(AB$38,$D$19),$P$20))-SUM($P230:AA230)</f>
        <v>#VALUE!</v>
      </c>
      <c r="AC230" s="446" t="e">
        <f>IF(OR($B230="",MIN(AC$38,$D$19)&lt;MAX($P$34*($B230+IF($R$17="Distrato",$I$38-1,0)),IF(AND($L$37=0,$P$34=0),"",$L$37-1),IF($R$17="Distrato",$E230,0))),0,YEARFRAC(MAX($P$34*($B230+IF($R$17="Distrato",$I$38-1,0)),IF(AND($L$37=0,$P$34=0),"",$L$37-1),IF($R$17="Distrato",$E230,0)),MIN(AC$38,$D$19),$P$20))-SUM($P230:AB230)</f>
        <v>#VALUE!</v>
      </c>
      <c r="AD230" s="446" t="e">
        <f>IF(OR($B230="",MIN(AD$38,$D$19)&lt;MAX($P$34*($B230+IF($R$17="Distrato",$I$38-1,0)),IF(AND($L$37=0,$P$34=0),"",$L$37-1),IF($R$17="Distrato",$E230,0))),0,YEARFRAC(MAX($P$34*($B230+IF($R$17="Distrato",$I$38-1,0)),IF(AND($L$37=0,$P$34=0),"",$L$37-1),IF($R$17="Distrato",$E230,0)),MIN(AD$38,$D$19),$P$20))-SUM($P230:AC230)</f>
        <v>#VALUE!</v>
      </c>
      <c r="AE230" s="446" t="e">
        <f>IF(OR($B230="",MIN(AE$38,$D$19)&lt;MAX($P$34*($B230+IF($R$17="Distrato",$I$38-1,0)),IF(AND($L$37=0,$P$34=0),"",$L$37-1),IF($R$17="Distrato",$E230,0))),0,YEARFRAC(MAX($P$34*($B230+IF($R$17="Distrato",$I$38-1,0)),IF(AND($L$37=0,$P$34=0),"",$L$37-1),IF($R$17="Distrato",$E230,0)),MIN(AE$38,$D$19),$P$20))-SUM($P230:AD230)</f>
        <v>#VALUE!</v>
      </c>
      <c r="AF230" s="446" t="e">
        <f>IF(OR($B230="",MIN(AF$38,$D$19)&lt;MAX($P$34*($B230+IF($R$17="Distrato",$I$38-1,0)),IF(AND($L$37=0,$P$34=0),"",$L$37-1),IF($R$17="Distrato",$E230,0))),0,YEARFRAC(MAX($P$34*($B230+IF($R$17="Distrato",$I$38-1,0)),IF(AND($L$37=0,$P$34=0),"",$L$37-1),IF($R$17="Distrato",$E230,0)),MIN(AF$38,$D$19),$P$20))-SUM($P230:AE230)</f>
        <v>#VALUE!</v>
      </c>
      <c r="AG230" s="446" t="e">
        <f>IF(OR($B230="",MIN(AG$38,$D$19)&lt;MAX($P$34*($B230+IF($R$17="Distrato",$I$38-1,0)),IF(AND($L$37=0,$P$34=0),"",$L$37-1),IF($R$17="Distrato",$E230,0))),0,YEARFRAC(MAX($P$34*($B230+IF($R$17="Distrato",$I$38-1,0)),IF(AND($L$37=0,$P$34=0),"",$L$37-1),IF($R$17="Distrato",$E230,0)),MIN(AG$38,$D$19),$P$20))-SUM($P230:AF230)</f>
        <v>#VALUE!</v>
      </c>
      <c r="AH230" s="446" t="e">
        <f>IF(OR($B230="",MIN(AH$38,$D$19)&lt;MAX($P$34*($B230+IF($R$17="Distrato",$I$38-1,0)),IF(AND($L$37=0,$P$34=0),"",$L$37-1),IF($R$17="Distrato",$E230,0))),0,YEARFRAC(MAX($P$34*($B230+IF($R$17="Distrato",$I$38-1,0)),IF(AND($L$37=0,$P$34=0),"",$L$37-1),IF($R$17="Distrato",$E230,0)),MIN(AH$38,$D$19),$P$20))-SUM($P230:AG230)</f>
        <v>#VALUE!</v>
      </c>
      <c r="AI230" s="446" t="e">
        <f>IF(OR($B230="",MIN(AI$38,$D$19)&lt;MAX($P$34*($B230+IF($R$17="Distrato",$I$38-1,0)),IF(AND($L$37=0,$P$34=0),"",$L$37-1),IF($R$17="Distrato",$E230,0))),0,YEARFRAC(MAX($P$34*($B230+IF($R$17="Distrato",$I$38-1,0)),IF(AND($L$37=0,$P$34=0),"",$L$37-1),IF($R$17="Distrato",$E230,0)),MIN(AI$38,$D$19),$P$20))-SUM($P230:AH230)</f>
        <v>#VALUE!</v>
      </c>
      <c r="AJ230" s="446" t="e">
        <f>IF(OR($B230="",MIN(AJ$38,$D$19)&lt;MAX($P$34*($B230+IF($R$17="Distrato",$I$38-1,0)),IF(AND($L$37=0,$P$34=0),"",$L$37-1),IF($R$17="Distrato",$E230,0))),0,YEARFRAC(MAX($P$34*($B230+IF($R$17="Distrato",$I$38-1,0)),IF(AND($L$37=0,$P$34=0),"",$L$37-1),IF($R$17="Distrato",$E230,0)),MIN(AJ$38,$D$19),$P$20))-SUM($P230:AI230)</f>
        <v>#VALUE!</v>
      </c>
      <c r="AK230" s="446" t="e">
        <f>IF(OR($B230="",MIN(AK$38,$D$19)&lt;MAX($P$34*($B230+IF($R$17="Distrato",$I$38-1,0)),IF(AND($L$37=0,$P$34=0),"",$L$37-1),IF($R$17="Distrato",$E230,0))),0,YEARFRAC(MAX($P$34*($B230+IF($R$17="Distrato",$I$38-1,0)),IF(AND($L$37=0,$P$34=0),"",$L$37-1),IF($R$17="Distrato",$E230,0)),MIN(AK$38,$D$19),$P$20))-SUM($P230:AJ230)</f>
        <v>#VALUE!</v>
      </c>
      <c r="AL230" s="446" t="e">
        <f>IF(OR($B230="",MIN(AL$38,$D$19)&lt;MAX($P$34*($B230+IF($R$17="Distrato",$I$38-1,0)),IF(AND($L$37=0,$P$34=0),"",$L$37-1),IF($R$17="Distrato",$E230,0))),0,YEARFRAC(MAX($P$34*($B230+IF($R$17="Distrato",$I$38-1,0)),IF(AND($L$37=0,$P$34=0),"",$L$37-1),IF($R$17="Distrato",$E230,0)),MIN(AL$38,$D$19),$P$20))-SUM($P230:AK230)</f>
        <v>#VALUE!</v>
      </c>
      <c r="AM230" s="446" t="e">
        <f>IF(OR($B230="",MIN(AM$38,$D$19)&lt;MAX($P$34*($B230+IF($R$17="Distrato",$I$38-1,0)),IF(AND($L$37=0,$P$34=0),"",$L$37-1),IF($R$17="Distrato",$E230,0))),0,YEARFRAC(MAX($P$34*($B230+IF($R$17="Distrato",$I$38-1,0)),IF(AND($L$37=0,$P$34=0),"",$L$37-1),IF($R$17="Distrato",$E230,0)),MIN(AM$38,$D$19),$P$20))-SUM($P230:AL230)</f>
        <v>#VALUE!</v>
      </c>
      <c r="AN230" s="446" t="e">
        <f>IF(OR($B230="",MIN(AN$38,$D$19)&lt;MAX($P$34*($B230+IF($R$17="Distrato",$I$38-1,0)),IF(AND($L$37=0,$P$34=0),"",$L$37-1),IF($R$17="Distrato",$E230,0))),0,YEARFRAC(MAX($P$34*($B230+IF($R$17="Distrato",$I$38-1,0)),IF(AND($L$37=0,$P$34=0),"",$L$37-1),IF($R$17="Distrato",$E230,0)),MIN(AN$38,$D$19),$P$20))-SUM($P230:AM230)</f>
        <v>#VALUE!</v>
      </c>
      <c r="AO230" s="446" t="e">
        <f>IF(OR($B230="",MIN(AO$38,$D$19)&lt;MAX($P$34*($B230+IF($R$17="Distrato",$I$38-1,0)),IF(AND($L$37=0,$P$34=0),"",$L$37-1),IF($R$17="Distrato",$E230,0))),0,YEARFRAC(MAX($P$34*($B230+IF($R$17="Distrato",$I$38-1,0)),IF(AND($L$37=0,$P$34=0),"",$L$37-1),IF($R$17="Distrato",$E230,0)),MIN(AO$38,$D$19),$P$20))-SUM($P230:AN230)</f>
        <v>#VALUE!</v>
      </c>
      <c r="AP230" s="446" t="e">
        <f>IF(OR($B230="",MIN(AP$38,$D$19)&lt;MAX($P$34*($B230+IF($R$17="Distrato",$I$38-1,0)),IF(AND($L$37=0,$P$34=0),"",$L$37-1),IF($R$17="Distrato",$E230,0))),0,YEARFRAC(MAX($P$34*($B230+IF($R$17="Distrato",$I$38-1,0)),IF(AND($L$37=0,$P$34=0),"",$L$37-1),IF($R$17="Distrato",$E230,0)),MIN(AP$38,$D$19),$P$20))-SUM($P230:AO230)</f>
        <v>#VALUE!</v>
      </c>
      <c r="AQ230" s="446" t="e">
        <f>IF(OR($B230="",MIN(AQ$38,$D$19)&lt;MAX($P$34*($B230+IF($R$17="Distrato",$I$38-1,0)),IF(AND($L$37=0,$P$34=0),"",$L$37-1),IF($R$17="Distrato",$E230,0))),0,YEARFRAC(MAX($P$34*($B230+IF($R$17="Distrato",$I$38-1,0)),IF(AND($L$37=0,$P$34=0),"",$L$37-1),IF($R$17="Distrato",$E230,0)),MIN(AQ$38,$D$19),$P$20))-SUM($P230:AP230)</f>
        <v>#VALUE!</v>
      </c>
      <c r="AR230" s="446" t="e">
        <f>IF(OR($B230="",MIN(AR$38,$D$19)&lt;MAX($P$34*($B230+IF($R$17="Distrato",$I$38-1,0)),IF(AND($L$37=0,$P$34=0),"",$L$37-1),IF($R$17="Distrato",$E230,0))),0,YEARFRAC(MAX($P$34*($B230+IF($R$17="Distrato",$I$38-1,0)),IF(AND($L$37=0,$P$34=0),"",$L$37-1),IF($R$17="Distrato",$E230,0)),MIN(AR$38,$D$19),$P$20))-SUM($P230:AQ230)</f>
        <v>#VALUE!</v>
      </c>
      <c r="AS230" s="446" t="e">
        <f>IF(OR($B230="",MIN(AS$38,$D$19)&lt;MAX($P$34*($B230+IF($R$17="Distrato",$I$38-1,0)),IF(AND($L$37=0,$P$34=0),"",$L$37-1),IF($R$17="Distrato",$E230,0))),0,YEARFRAC(MAX($P$34*($B230+IF($R$17="Distrato",$I$38-1,0)),IF(AND($L$37=0,$P$34=0),"",$L$37-1),IF($R$17="Distrato",$E230,0)),MIN(AS$38,$D$19),$P$20))-SUM($P230:AR230)</f>
        <v>#VALUE!</v>
      </c>
      <c r="AT230" s="446" t="e">
        <f>IF(OR($B230="",MIN(AT$38,$D$19)&lt;MAX($P$34*($B230+IF($R$17="Distrato",$I$38-1,0)),IF(AND($L$37=0,$P$34=0),"",$L$37-1),IF($R$17="Distrato",$E230,0))),0,YEARFRAC(MAX($P$34*($B230+IF($R$17="Distrato",$I$38-1,0)),IF(AND($L$37=0,$P$34=0),"",$L$37-1),IF($R$17="Distrato",$E230,0)),MIN(AT$38,$D$19),$P$20))-SUM($P230:AS230)</f>
        <v>#VALUE!</v>
      </c>
      <c r="AU230" s="446" t="e">
        <f>IF(OR($B230="",MIN(AU$38,$D$19)&lt;MAX($P$34*($B230+IF($R$17="Distrato",$I$38-1,0)),IF(AND($L$37=0,$P$34=0),"",$L$37-1),IF($R$17="Distrato",$E230,0))),0,YEARFRAC(MAX($P$34*($B230+IF($R$17="Distrato",$I$38-1,0)),IF(AND($L$37=0,$P$34=0),"",$L$37-1),IF($R$17="Distrato",$E230,0)),MIN(AU$38,$D$19),$P$20))-SUM($P230:AT230)</f>
        <v>#VALUE!</v>
      </c>
      <c r="AV230" s="446" t="e">
        <f>IF(OR($B230="",MIN(AV$38,$D$19)&lt;MAX($P$34*($B230+IF($R$17="Distrato",$I$38-1,0)),IF(AND($L$37=0,$P$34=0),"",$L$37-1),IF($R$17="Distrato",$E230,0))),0,YEARFRAC(MAX($P$34*($B230+IF($R$17="Distrato",$I$38-1,0)),IF(AND($L$37=0,$P$34=0),"",$L$37-1),IF($R$17="Distrato",$E230,0)),MIN(AV$38,$D$19),$P$20))-SUM($P230:AU230)</f>
        <v>#VALUE!</v>
      </c>
      <c r="AW230" s="446" t="e">
        <f>IF(OR($B230="",MIN(AW$38,$D$19)&lt;MAX($P$34*($B230+IF($R$17="Distrato",$I$38-1,0)),IF(AND($L$37=0,$P$34=0),"",$L$37-1),IF($R$17="Distrato",$E230,0))),0,YEARFRAC(MAX($P$34*($B230+IF($R$17="Distrato",$I$38-1,0)),IF(AND($L$37=0,$P$34=0),"",$L$37-1),IF($R$17="Distrato",$E230,0)),MIN(AW$38,$D$19),$P$20))-SUM($P230:AV230)</f>
        <v>#VALUE!</v>
      </c>
      <c r="AX230" s="446" t="e">
        <f>IF(OR($B230="",MIN(AX$38,$D$19)&lt;MAX($P$34*($B230+IF($R$17="Distrato",$I$38-1,0)),IF(AND($L$37=0,$P$34=0),"",$L$37-1),IF($R$17="Distrato",$E230,0))),0,YEARFRAC(MAX($P$34*($B230+IF($R$17="Distrato",$I$38-1,0)),IF(AND($L$37=0,$P$34=0),"",$L$37-1),IF($R$17="Distrato",$E230,0)),MIN(AX$38,$D$19),$P$20))-SUM($P230:AW230)</f>
        <v>#VALUE!</v>
      </c>
      <c r="AY230" s="446" t="e">
        <f>IF(OR($B230="",MIN(AY$38,$D$19)&lt;MAX($P$34*($B230+IF($R$17="Distrato",$I$38-1,0)),IF(AND($L$37=0,$P$34=0),"",$L$37-1),IF($R$17="Distrato",$E230,0))),0,YEARFRAC(MAX($P$34*($B230+IF($R$17="Distrato",$I$38-1,0)),IF(AND($L$37=0,$P$34=0),"",$L$37-1),IF($R$17="Distrato",$E230,0)),MIN(AY$38,$D$19),$P$20))-SUM($P230:AX230)</f>
        <v>#VALUE!</v>
      </c>
      <c r="AZ230" s="446" t="e">
        <f>IF(OR($B230="",MIN(AZ$38,$D$19)&lt;MAX($P$34*($B230+IF($R$17="Distrato",$I$38-1,0)),IF(AND($L$37=0,$P$34=0),"",$L$37-1),IF($R$17="Distrato",$E230,0))),0,YEARFRAC(MAX($P$34*($B230+IF($R$17="Distrato",$I$38-1,0)),IF(AND($L$37=0,$P$34=0),"",$L$37-1),IF($R$17="Distrato",$E230,0)),MIN(AZ$38,$D$19),$P$20))-SUM($P230:AY230)</f>
        <v>#VALUE!</v>
      </c>
      <c r="BA230" s="446" t="e">
        <f>IF(OR($B230="",MIN(BA$38,$D$19)&lt;MAX($P$34*($B230+IF($R$17="Distrato",$I$38-1,0)),IF(AND($L$37=0,$P$34=0),"",$L$37-1),IF($R$17="Distrato",$E230,0))),0,YEARFRAC(MAX($P$34*($B230+IF($R$17="Distrato",$I$38-1,0)),IF(AND($L$37=0,$P$34=0),"",$L$37-1),IF($R$17="Distrato",$E230,0)),MIN(BA$38,$D$19),$P$20))-SUM($P230:AZ230)</f>
        <v>#VALUE!</v>
      </c>
      <c r="BB230" s="447"/>
      <c r="BF230" s="446">
        <f t="shared" si="32"/>
        <v>0</v>
      </c>
      <c r="BG230" s="446">
        <f>IF($E230=0,0,IF(MIN(BG$38,$E230)&lt;MAX($P$34*($B230+$I$38-1),IF(AND($L$37=0,$P$34=0),"",$L$37-1)),0,YEARFRAC(MAX($P$34*($B230+$I$38-1),IF(AND($L$37=0,$P$34=0),"",$L$37-1)),MIN(BG$38,$E230),$P$20))-SUM($BF230:BF230))</f>
        <v>0</v>
      </c>
      <c r="BH230" s="446">
        <f>IF($E230=0,0,IF(MIN(BH$38,$E230)&lt;MAX($P$34*($B230+$I$38-1),IF(AND($L$37=0,$P$34=0),"",$L$37-1)),0,YEARFRAC(MAX($P$34*($B230+$I$38-1),IF(AND($L$37=0,$P$34=0),"",$L$37-1)),MIN(BH$38,$E230),$P$20))-SUM($BF230:BG230))</f>
        <v>0</v>
      </c>
      <c r="BI230" s="446">
        <f>IF($E230=0,0,IF(MIN(BI$38,$E230)&lt;MAX($P$34*($B230+$I$38-1),IF(AND($L$37=0,$P$34=0),"",$L$37-1)),0,YEARFRAC(MAX($P$34*($B230+$I$38-1),IF(AND($L$37=0,$P$34=0),"",$L$37-1)),MIN(BI$38,$E230),$P$20))-SUM($BF230:BH230))</f>
        <v>0</v>
      </c>
      <c r="BJ230" s="446">
        <f>IF($E230=0,0,IF(MIN(BJ$38,$E230)&lt;MAX($P$34*($B230+$I$38-1),IF(AND($L$37=0,$P$34=0),"",$L$37-1)),0,YEARFRAC(MAX($P$34*($B230+$I$38-1),IF(AND($L$37=0,$P$34=0),"",$L$37-1)),MIN(BJ$38,$E230),$P$20))-SUM($BF230:BI230))</f>
        <v>0</v>
      </c>
      <c r="BK230" s="446">
        <f>IF($E230=0,0,IF(MIN(BK$38,$E230)&lt;MAX($P$34*($B230+$I$38-1),IF(AND($L$37=0,$P$34=0),"",$L$37-1)),0,YEARFRAC(MAX($P$34*($B230+$I$38-1),IF(AND($L$37=0,$P$34=0),"",$L$37-1)),MIN(BK$38,$E230),$P$20))-SUM($BF230:BJ230))</f>
        <v>0</v>
      </c>
      <c r="BL230" s="446">
        <f>IF($E230=0,0,IF(MIN(BL$38,$E230)&lt;MAX($P$34*($B230+$I$38-1),IF(AND($L$37=0,$P$34=0),"",$L$37-1)),0,YEARFRAC(MAX($P$34*($B230+$I$38-1),IF(AND($L$37=0,$P$34=0),"",$L$37-1)),MIN(BL$38,$E230),$P$20))-SUM($BF230:BK230))</f>
        <v>0</v>
      </c>
      <c r="BM230" s="446">
        <f>IF($E230=0,0,IF(MIN(BM$38,$E230)&lt;MAX($P$34*($B230+$I$38-1),IF(AND($L$37=0,$P$34=0),"",$L$37-1)),0,YEARFRAC(MAX($P$34*($B230+$I$38-1),IF(AND($L$37=0,$P$34=0),"",$L$37-1)),MIN(BM$38,$E230),$P$20))-SUM($BF230:BL230))</f>
        <v>0</v>
      </c>
      <c r="BN230" s="446">
        <f>IF($E230=0,0,IF(MIN(BN$38,$E230)&lt;MAX($P$34*($B230+$I$38-1),IF(AND($L$37=0,$P$34=0),"",$L$37-1)),0,YEARFRAC(MAX($P$34*($B230+$I$38-1),IF(AND($L$37=0,$P$34=0),"",$L$37-1)),MIN(BN$38,$E230),$P$20))-SUM($BF230:BM230))</f>
        <v>0</v>
      </c>
      <c r="BO230" s="446">
        <f>IF($E230=0,0,IF(MIN(BO$38,$E230)&lt;MAX($P$34*($B230+$I$38-1),IF(AND($L$37=0,$P$34=0),"",$L$37-1)),0,YEARFRAC(MAX($P$34*($B230+$I$38-1),IF(AND($L$37=0,$P$34=0),"",$L$37-1)),MIN(BO$38,$E230),$P$20))-SUM($BF230:BN230))</f>
        <v>0</v>
      </c>
      <c r="BP230" s="446">
        <f>IF($E230=0,0,IF(MIN(BP$38,$E230)&lt;MAX($P$34*($B230+$I$38-1),IF(AND($L$37=0,$P$34=0),"",$L$37-1)),0,YEARFRAC(MAX($P$34*($B230+$I$38-1),IF(AND($L$37=0,$P$34=0),"",$L$37-1)),MIN(BP$38,$E230),$P$20))-SUM($BF230:BO230))</f>
        <v>0</v>
      </c>
      <c r="BQ230" s="446">
        <f>IF($E230=0,0,IF(MIN(BQ$38,$E230)&lt;MAX($P$34*($B230+$I$38-1),IF(AND($L$37=0,$P$34=0),"",$L$37-1)),0,YEARFRAC(MAX($P$34*($B230+$I$38-1),IF(AND($L$37=0,$P$34=0),"",$L$37-1)),MIN(BQ$38,$E230),$P$20))-SUM($BF230:BP230))</f>
        <v>0</v>
      </c>
      <c r="BR230" s="446">
        <f>IF($E230=0,0,IF(MIN(BR$38,$E230)&lt;MAX($P$34*($B230+$I$38-1),IF(AND($L$37=0,$P$34=0),"",$L$37-1)),0,YEARFRAC(MAX($P$34*($B230+$I$38-1),IF(AND($L$37=0,$P$34=0),"",$L$37-1)),MIN(BR$38,$E230),$P$20))-SUM($BF230:BQ230))</f>
        <v>0</v>
      </c>
      <c r="BS230" s="446">
        <f>IF($E230=0,0,IF(MIN(BS$38,$E230)&lt;MAX($P$34*($B230+$I$38-1),IF(AND($L$37=0,$P$34=0),"",$L$37-1)),0,YEARFRAC(MAX($P$34*($B230+$I$38-1),IF(AND($L$37=0,$P$34=0),"",$L$37-1)),MIN(BS$38,$E230),$P$20))-SUM($BF230:BR230))</f>
        <v>0</v>
      </c>
      <c r="BT230" s="446">
        <f>IF($E230=0,0,IF(MIN(BT$38,$E230)&lt;MAX($P$34*($B230+$I$38-1),IF(AND($L$37=0,$P$34=0),"",$L$37-1)),0,YEARFRAC(MAX($P$34*($B230+$I$38-1),IF(AND($L$37=0,$P$34=0),"",$L$37-1)),MIN(BT$38,$E230),$P$20))-SUM($BF230:BS230))</f>
        <v>0</v>
      </c>
      <c r="BU230" s="446">
        <f>IF($E230=0,0,IF(MIN(BU$38,$E230)&lt;MAX($P$34*($B230+$I$38-1),IF(AND($L$37=0,$P$34=0),"",$L$37-1)),0,YEARFRAC(MAX($P$34*($B230+$I$38-1),IF(AND($L$37=0,$P$34=0),"",$L$37-1)),MIN(BU$38,$E230),$P$20))-SUM($BF230:BT230))</f>
        <v>0</v>
      </c>
      <c r="BV230" s="446">
        <f>IF($E230=0,0,IF(MIN(BV$38,$E230)&lt;MAX($P$34*($B230+$I$38-1),IF(AND($L$37=0,$P$34=0),"",$L$37-1)),0,YEARFRAC(MAX($P$34*($B230+$I$38-1),IF(AND($L$37=0,$P$34=0),"",$L$37-1)),MIN(BV$38,$E230),$P$20))-SUM($BF230:BU230))</f>
        <v>0</v>
      </c>
      <c r="BW230" s="446">
        <f>IF($E230=0,0,IF(MIN(BW$38,$E230)&lt;MAX($P$34*($B230+$I$38-1),IF(AND($L$37=0,$P$34=0),"",$L$37-1)),0,YEARFRAC(MAX($P$34*($B230+$I$38-1),IF(AND($L$37=0,$P$34=0),"",$L$37-1)),MIN(BW$38,$E230),$P$20))-SUM($BF230:BV230))</f>
        <v>0</v>
      </c>
      <c r="BX230" s="446">
        <f>IF($E230=0,0,IF(MIN(BX$38,$E230)&lt;MAX($P$34*($B230+$I$38-1),IF(AND($L$37=0,$P$34=0),"",$L$37-1)),0,YEARFRAC(MAX($P$34*($B230+$I$38-1),IF(AND($L$37=0,$P$34=0),"",$L$37-1)),MIN(BX$38,$E230),$P$20))-SUM($BF230:BW230))</f>
        <v>0</v>
      </c>
      <c r="BY230" s="446">
        <f>IF($E230=0,0,IF(MIN(BY$38,$E230)&lt;MAX($P$34*($B230+$I$38-1),IF(AND($L$37=0,$P$34=0),"",$L$37-1)),0,YEARFRAC(MAX($P$34*($B230+$I$38-1),IF(AND($L$37=0,$P$34=0),"",$L$37-1)),MIN(BY$38,$E230),$P$20))-SUM($BF230:BX230))</f>
        <v>0</v>
      </c>
      <c r="BZ230" s="446">
        <f>IF($E230=0,0,IF(MIN(BZ$38,$E230)&lt;MAX($P$34*($B230+$I$38-1),IF(AND($L$37=0,$P$34=0),"",$L$37-1)),0,YEARFRAC(MAX($P$34*($B230+$I$38-1),IF(AND($L$37=0,$P$34=0),"",$L$37-1)),MIN(BZ$38,$E230),$P$20))-SUM($BF230:BY230))</f>
        <v>0</v>
      </c>
      <c r="CA230" s="446">
        <f>IF($E230=0,0,IF(MIN(CA$38,$E230)&lt;MAX($P$34*($B230+$I$38-1),IF(AND($L$37=0,$P$34=0),"",$L$37-1)),0,YEARFRAC(MAX($P$34*($B230+$I$38-1),IF(AND($L$37=0,$P$34=0),"",$L$37-1)),MIN(CA$38,$E230),$P$20))-SUM($BF230:BZ230))</f>
        <v>0</v>
      </c>
      <c r="CB230" s="446">
        <f>IF($E230=0,0,IF(MIN(CB$38,$E230)&lt;MAX($P$34*($B230+$I$38-1),IF(AND($L$37=0,$P$34=0),"",$L$37-1)),0,YEARFRAC(MAX($P$34*($B230+$I$38-1),IF(AND($L$37=0,$P$34=0),"",$L$37-1)),MIN(CB$38,$E230),$P$20))-SUM($BF230:CA230))</f>
        <v>0</v>
      </c>
      <c r="CC230" s="446">
        <f>IF($E230=0,0,IF(MIN(CC$38,$E230)&lt;MAX($P$34*($B230+$I$38-1),IF(AND($L$37=0,$P$34=0),"",$L$37-1)),0,YEARFRAC(MAX($P$34*($B230+$I$38-1),IF(AND($L$37=0,$P$34=0),"",$L$37-1)),MIN(CC$38,$E230),$P$20))-SUM($BF230:CB230))</f>
        <v>0</v>
      </c>
      <c r="CD230" s="446">
        <f>IF($E230=0,0,IF(MIN(CD$38,$E230)&lt;MAX($P$34*($B230+$I$38-1),IF(AND($L$37=0,$P$34=0),"",$L$37-1)),0,YEARFRAC(MAX($P$34*($B230+$I$38-1),IF(AND($L$37=0,$P$34=0),"",$L$37-1)),MIN(CD$38,$E230),$P$20))-SUM($BF230:CC230))</f>
        <v>0</v>
      </c>
      <c r="CE230" s="446">
        <f>IF($E230=0,0,IF(MIN(CE$38,$E230)&lt;MAX($P$34*($B230+$I$38-1),IF(AND($L$37=0,$P$34=0),"",$L$37-1)),0,YEARFRAC(MAX($P$34*($B230+$I$38-1),IF(AND($L$37=0,$P$34=0),"",$L$37-1)),MIN(CE$38,$E230),$P$20))-SUM($BF230:CD230))</f>
        <v>0</v>
      </c>
      <c r="CF230" s="446">
        <f>IF($E230=0,0,IF(MIN(CF$38,$E230)&lt;MAX($P$34*($B230+$I$38-1),IF(AND($L$37=0,$P$34=0),"",$L$37-1)),0,YEARFRAC(MAX($P$34*($B230+$I$38-1),IF(AND($L$37=0,$P$34=0),"",$L$37-1)),MIN(CF$38,$E230),$P$20))-SUM($BF230:CE230))</f>
        <v>0</v>
      </c>
      <c r="CG230" s="446">
        <f>IF($E230=0,0,IF(MIN(CG$38,$E230)&lt;MAX($P$34*($B230+$I$38-1),IF(AND($L$37=0,$P$34=0),"",$L$37-1)),0,YEARFRAC(MAX($P$34*($B230+$I$38-1),IF(AND($L$37=0,$P$34=0),"",$L$37-1)),MIN(CG$38,$E230),$P$20))-SUM($BF230:CF230))</f>
        <v>0</v>
      </c>
      <c r="CH230" s="446">
        <f>IF($E230=0,0,IF(MIN(CH$38,$E230)&lt;MAX($P$34*($B230+$I$38-1),IF(AND($L$37=0,$P$34=0),"",$L$37-1)),0,YEARFRAC(MAX($P$34*($B230+$I$38-1),IF(AND($L$37=0,$P$34=0),"",$L$37-1)),MIN(CH$38,$E230),$P$20))-SUM($BF230:CG230))</f>
        <v>0</v>
      </c>
      <c r="CI230" s="446">
        <f>IF($E230=0,0,IF(MIN(CI$38,$E230)&lt;MAX($P$34*($B230+$I$38-1),IF(AND($L$37=0,$P$34=0),"",$L$37-1)),0,YEARFRAC(MAX($P$34*($B230+$I$38-1),IF(AND($L$37=0,$P$34=0),"",$L$37-1)),MIN(CI$38,$E230),$P$20))-SUM($BF230:CH230))</f>
        <v>0</v>
      </c>
      <c r="CJ230" s="446">
        <f>IF($E230=0,0,IF(MIN(CJ$38,$E230)&lt;MAX($P$34*($B230+$I$38-1),IF(AND($L$37=0,$P$34=0),"",$L$37-1)),0,YEARFRAC(MAX($P$34*($B230+$I$38-1),IF(AND($L$37=0,$P$34=0),"",$L$37-1)),MIN(CJ$38,$E230),$P$20))-SUM($BF230:CI230))</f>
        <v>0</v>
      </c>
      <c r="CK230" s="446">
        <f>IF($E230=0,0,IF(MIN(CK$38,$E230)&lt;MAX($P$34*($B230+$I$38-1),IF(AND($L$37=0,$P$34=0),"",$L$37-1)),0,YEARFRAC(MAX($P$34*($B230+$I$38-1),IF(AND($L$37=0,$P$34=0),"",$L$37-1)),MIN(CK$38,$E230),$P$20))-SUM($BF230:CJ230))</f>
        <v>0</v>
      </c>
      <c r="CL230" s="446">
        <f>IF($E230=0,0,IF(MIN(CL$38,$E230)&lt;MAX($P$34*($B230+$I$38-1),IF(AND($L$37=0,$P$34=0),"",$L$37-1)),0,YEARFRAC(MAX($P$34*($B230+$I$38-1),IF(AND($L$37=0,$P$34=0),"",$L$37-1)),MIN(CL$38,$E230),$P$20))-SUM($BF230:CK230))</f>
        <v>0</v>
      </c>
      <c r="CM230" s="446">
        <f>IF($E230=0,0,IF(MIN(CM$38,$E230)&lt;MAX($P$34*($B230+$I$38-1),IF(AND($L$37=0,$P$34=0),"",$L$37-1)),0,YEARFRAC(MAX($P$34*($B230+$I$38-1),IF(AND($L$37=0,$P$34=0),"",$L$37-1)),MIN(CM$38,$E230),$P$20))-SUM($BF230:CL230))</f>
        <v>0</v>
      </c>
      <c r="CN230" s="446">
        <f>IF($E230=0,0,IF(MIN(CN$38,$E230)&lt;MAX($P$34*($B230+$I$38-1),IF(AND($L$37=0,$P$34=0),"",$L$37-1)),0,YEARFRAC(MAX($P$34*($B230+$I$38-1),IF(AND($L$37=0,$P$34=0),"",$L$37-1)),MIN(CN$38,$E230),$P$20))-SUM($BF230:CM230))</f>
        <v>0</v>
      </c>
      <c r="CO230" s="446">
        <f>IF($E230=0,0,IF(MIN(CO$38,$E230)&lt;MAX($P$34*($B230+$I$38-1),IF(AND($L$37=0,$P$34=0),"",$L$37-1)),0,YEARFRAC(MAX($P$34*($B230+$I$38-1),IF(AND($L$37=0,$P$34=0),"",$L$37-1)),MIN(CO$38,$E230),$P$20))-SUM($BF230:CN230))</f>
        <v>0</v>
      </c>
      <c r="CP230" s="446">
        <f>IF($E230=0,0,IF(MIN(CP$38,$E230)&lt;MAX($P$34*($B230+$I$38-1),IF(AND($L$37=0,$P$34=0),"",$L$37-1)),0,YEARFRAC(MAX($P$34*($B230+$I$38-1),IF(AND($L$37=0,$P$34=0),"",$L$37-1)),MIN(CP$38,$E230),$P$20))-SUM($BF230:CO230))</f>
        <v>0</v>
      </c>
      <c r="CQ230" s="446">
        <f>IF($E230=0,0,IF(MIN(CQ$38,$E230)&lt;MAX($P$34*($B230+$I$38-1),IF(AND($L$37=0,$P$34=0),"",$L$37-1)),0,YEARFRAC(MAX($P$34*($B230+$I$38-1),IF(AND($L$37=0,$P$34=0),"",$L$37-1)),MIN(CQ$38,$E230),$P$20))-SUM($BF230:CP230))</f>
        <v>0</v>
      </c>
    </row>
    <row r="231" spans="1:95" s="446" customFormat="1" ht="11.25" hidden="1" customHeight="1" x14ac:dyDescent="0.2">
      <c r="A231" s="152"/>
      <c r="B231" s="153" t="str">
        <f t="shared" si="37"/>
        <v/>
      </c>
      <c r="C231" s="29" t="str">
        <f>IF(B231="","",IF($L$35="SELIC - TRIBUTOS",VLOOKUP(DATE(YEAR($D$19),MONTH($D$19)-1,1),ÍNDICES!$A:$DE,HLOOKUP($BL$25,ÍNDICES!$B$3:$T$4,2)+11)-VLOOKUP(B231,ÍNDICES!$A:$DE,HLOOKUP($BL$25,ÍNDICES!$B$3:$T$4,2)+11)+1%,IF(C$38=$W$26,$J$35,IF(ISERROR(IF(B231&gt;$D$19,1,VLOOKUP(DATE(YEAR(B231),MONTH(B231)+IF($C$35=$S$23,1,0),1),ÍNDICES!$A:$DE,$Z$35+1))),"",IF(B231&gt;$D$19,1,VLOOKUP(DATE(YEAR(B231),MONTH(B231)+IF($C$35=$S$23,1,0),1),ÍNDICES!$A:$DE,$Z$35+1))))))</f>
        <v/>
      </c>
      <c r="D231" s="154" t="str">
        <f>IF(ISERROR(IF(OR($D$38=$Y$27,$B231=""),"",VLOOKUP(B231,ÍNDICES!A:DE,AF$35+1))),"",IF(OR($D$38=$Y$27,$B231=""),"",VLOOKUP(B231,ÍNDICES!A:DE,AF$35+1)))</f>
        <v/>
      </c>
      <c r="E231" s="153"/>
      <c r="F231" s="29" t="str">
        <f>IF(E231="","",IF($L$35="SELIC - TRIBUTOS",VLOOKUP(DATE(YEAR($D$19),MONTH($D$19)-1,1),ÍNDICES!$A:$DE,HLOOKUP($BL$25,ÍNDICES!$B$3:$T$4,2)+11)-VLOOKUP(E231,ÍNDICES!$A:$DE,HLOOKUP($BL$25,ÍNDICES!$B$3:$T$4,2)+11)+1%,IF(F$38=$W$26,$J$35,IF(ISERROR(IF(E231&gt;$D$19,1,VLOOKUP(DATE(YEAR(E231),MONTH(E231)+IF($C$35=$S$23,1,0),1),ÍNDICES!$A:$DE,$Z$35+1))),"",IF(E231&gt;$D$19,1,VLOOKUP(DATE(YEAR(E231),MONTH(E231)+IF($C$35=$S$23,1,0),1),ÍNDICES!$A:$DE,$Z$35+1))))))</f>
        <v/>
      </c>
      <c r="G231" s="155"/>
      <c r="H231" s="156" t="str">
        <f t="shared" si="33"/>
        <v/>
      </c>
      <c r="I231" s="29" t="str">
        <f t="shared" si="27"/>
        <v/>
      </c>
      <c r="J231" s="5">
        <f t="shared" si="28"/>
        <v>0</v>
      </c>
      <c r="K231" s="20">
        <f t="shared" ca="1" si="29"/>
        <v>0</v>
      </c>
      <c r="L231" s="5">
        <f t="shared" ca="1" si="30"/>
        <v>0</v>
      </c>
      <c r="M231" s="64">
        <f t="shared" si="34"/>
        <v>0</v>
      </c>
      <c r="N231" s="61">
        <f t="shared" ca="1" si="35"/>
        <v>0</v>
      </c>
      <c r="O231" s="5">
        <f t="shared" ca="1" si="36"/>
        <v>0</v>
      </c>
      <c r="P231" s="446" t="e">
        <f t="shared" si="31"/>
        <v>#VALUE!</v>
      </c>
      <c r="Q231" s="446" t="e">
        <f>IF(OR($B231="",MIN(Q$38,$D$19)&lt;MAX($P$34*($B231+IF($R$17="Distrato",$I$38-1,0)),IF(AND($L$37=0,$P$34=0),"",$L$37-1),IF($R$17="Distrato",$E231,0))),0,YEARFRAC(MAX($P$34*($B231+IF($R$17="Distrato",$I$38-1,0)),IF(AND($L$37=0,$P$34=0),"",$L$37-1),IF($R$17="Distrato",$E231,0)),MIN(Q$38,$D$19),$P$20))-SUM($P231:P231)</f>
        <v>#VALUE!</v>
      </c>
      <c r="R231" s="446" t="e">
        <f>IF(OR($B231="",MIN(R$38,$D$19)&lt;MAX($P$34*($B231+IF($R$17="Distrato",$I$38-1,0)),IF(AND($L$37=0,$P$34=0),"",$L$37-1),IF($R$17="Distrato",$E231,0))),0,YEARFRAC(MAX($P$34*($B231+IF($R$17="Distrato",$I$38-1,0)),IF(AND($L$37=0,$P$34=0),"",$L$37-1),IF($R$17="Distrato",$E231,0)),MIN(R$38,$D$19),$P$20))-SUM($P231:Q231)</f>
        <v>#VALUE!</v>
      </c>
      <c r="S231" s="446" t="e">
        <f>IF(OR($B231="",MIN(S$38,$D$19)&lt;MAX($P$34*($B231+IF($R$17="Distrato",$I$38-1,0)),IF(AND($L$37=0,$P$34=0),"",$L$37-1),IF($R$17="Distrato",$E231,0))),0,YEARFRAC(MAX($P$34*($B231+IF($R$17="Distrato",$I$38-1,0)),IF(AND($L$37=0,$P$34=0),"",$L$37-1),IF($R$17="Distrato",$E231,0)),MIN(S$38,$D$19),$P$20))-SUM($P231:R231)</f>
        <v>#VALUE!</v>
      </c>
      <c r="T231" s="446" t="e">
        <f>IF(OR($B231="",MIN(T$38,$D$19)&lt;MAX($P$34*($B231+IF($R$17="Distrato",$I$38-1,0)),IF(AND($L$37=0,$P$34=0),"",$L$37-1),IF($R$17="Distrato",$E231,0))),0,YEARFRAC(MAX($P$34*($B231+IF($R$17="Distrato",$I$38-1,0)),IF(AND($L$37=0,$P$34=0),"",$L$37-1),IF($R$17="Distrato",$E231,0)),MIN(T$38,$D$19),$P$20))-SUM($P231:S231)</f>
        <v>#VALUE!</v>
      </c>
      <c r="U231" s="446" t="e">
        <f>IF(OR($B231="",MIN(U$38,$D$19)&lt;MAX($P$34*($B231+IF($R$17="Distrato",$I$38-1,0)),IF(AND($L$37=0,$P$34=0),"",$L$37-1),IF($R$17="Distrato",$E231,0))),0,YEARFRAC(MAX($P$34*($B231+IF($R$17="Distrato",$I$38-1,0)),IF(AND($L$37=0,$P$34=0),"",$L$37-1),IF($R$17="Distrato",$E231,0)),MIN(U$38,$D$19),$P$20))-SUM($P231:T231)</f>
        <v>#VALUE!</v>
      </c>
      <c r="V231" s="446" t="e">
        <f>IF(OR($B231="",MIN(V$38,$D$19)&lt;MAX($P$34*($B231+IF($R$17="Distrato",$I$38-1,0)),IF(AND($L$37=0,$P$34=0),"",$L$37-1),IF($R$17="Distrato",$E231,0))),0,YEARFRAC(MAX($P$34*($B231+IF($R$17="Distrato",$I$38-1,0)),IF(AND($L$37=0,$P$34=0),"",$L$37-1),IF($R$17="Distrato",$E231,0)),MIN(V$38,$D$19),$P$20))-SUM($P231:U231)</f>
        <v>#VALUE!</v>
      </c>
      <c r="W231" s="446" t="e">
        <f>IF(OR($B231="",MIN(W$38,$D$19)&lt;MAX($P$34*($B231+IF($R$17="Distrato",$I$38-1,0)),IF(AND($L$37=0,$P$34=0),"",$L$37-1),IF($R$17="Distrato",$E231,0))),0,YEARFRAC(MAX($P$34*($B231+IF($R$17="Distrato",$I$38-1,0)),IF(AND($L$37=0,$P$34=0),"",$L$37-1),IF($R$17="Distrato",$E231,0)),MIN(W$38,$D$19),$P$20))-SUM($P231:V231)</f>
        <v>#VALUE!</v>
      </c>
      <c r="X231" s="446" t="e">
        <f>IF(OR($B231="",MIN(X$38,$D$19)&lt;MAX($P$34*($B231+IF($R$17="Distrato",$I$38-1,0)),IF(AND($L$37=0,$P$34=0),"",$L$37-1),IF($R$17="Distrato",$E231,0))),0,YEARFRAC(MAX($P$34*($B231+IF($R$17="Distrato",$I$38-1,0)),IF(AND($L$37=0,$P$34=0),"",$L$37-1),IF($R$17="Distrato",$E231,0)),MIN(X$38,$D$19),$P$20))-SUM($P231:W231)</f>
        <v>#VALUE!</v>
      </c>
      <c r="Y231" s="446" t="e">
        <f>IF(OR($B231="",MIN(Y$38,$D$19)&lt;MAX($P$34*($B231+IF($R$17="Distrato",$I$38-1,0)),IF(AND($L$37=0,$P$34=0),"",$L$37-1),IF($R$17="Distrato",$E231,0))),0,YEARFRAC(MAX($P$34*($B231+IF($R$17="Distrato",$I$38-1,0)),IF(AND($L$37=0,$P$34=0),"",$L$37-1),IF($R$17="Distrato",$E231,0)),MIN(Y$38,$D$19),$P$20))-SUM($P231:X231)</f>
        <v>#VALUE!</v>
      </c>
      <c r="Z231" s="446" t="e">
        <f>IF(OR($B231="",MIN(Z$38,$D$19)&lt;MAX($P$34*($B231+IF($R$17="Distrato",$I$38-1,0)),IF(AND($L$37=0,$P$34=0),"",$L$37-1),IF($R$17="Distrato",$E231,0))),0,YEARFRAC(MAX($P$34*($B231+IF($R$17="Distrato",$I$38-1,0)),IF(AND($L$37=0,$P$34=0),"",$L$37-1),IF($R$17="Distrato",$E231,0)),MIN(Z$38,$D$19),$P$20))-SUM($P231:Y231)</f>
        <v>#VALUE!</v>
      </c>
      <c r="AA231" s="446" t="e">
        <f>IF(OR($B231="",MIN(AA$38,$D$19)&lt;MAX($P$34*($B231+IF($R$17="Distrato",$I$38-1,0)),IF(AND($L$37=0,$P$34=0),"",$L$37-1),IF($R$17="Distrato",$E231,0))),0,YEARFRAC(MAX($P$34*($B231+IF($R$17="Distrato",$I$38-1,0)),IF(AND($L$37=0,$P$34=0),"",$L$37-1),IF($R$17="Distrato",$E231,0)),MIN(AA$38,$D$19),$P$20))-SUM($P231:Z231)</f>
        <v>#VALUE!</v>
      </c>
      <c r="AB231" s="446" t="e">
        <f>IF(OR($B231="",MIN(AB$38,$D$19)&lt;MAX($P$34*($B231+IF($R$17="Distrato",$I$38-1,0)),IF(AND($L$37=0,$P$34=0),"",$L$37-1),IF($R$17="Distrato",$E231,0))),0,YEARFRAC(MAX($P$34*($B231+IF($R$17="Distrato",$I$38-1,0)),IF(AND($L$37=0,$P$34=0),"",$L$37-1),IF($R$17="Distrato",$E231,0)),MIN(AB$38,$D$19),$P$20))-SUM($P231:AA231)</f>
        <v>#VALUE!</v>
      </c>
      <c r="AC231" s="446" t="e">
        <f>IF(OR($B231="",MIN(AC$38,$D$19)&lt;MAX($P$34*($B231+IF($R$17="Distrato",$I$38-1,0)),IF(AND($L$37=0,$P$34=0),"",$L$37-1),IF($R$17="Distrato",$E231,0))),0,YEARFRAC(MAX($P$34*($B231+IF($R$17="Distrato",$I$38-1,0)),IF(AND($L$37=0,$P$34=0),"",$L$37-1),IF($R$17="Distrato",$E231,0)),MIN(AC$38,$D$19),$P$20))-SUM($P231:AB231)</f>
        <v>#VALUE!</v>
      </c>
      <c r="AD231" s="446" t="e">
        <f>IF(OR($B231="",MIN(AD$38,$D$19)&lt;MAX($P$34*($B231+IF($R$17="Distrato",$I$38-1,0)),IF(AND($L$37=0,$P$34=0),"",$L$37-1),IF($R$17="Distrato",$E231,0))),0,YEARFRAC(MAX($P$34*($B231+IF($R$17="Distrato",$I$38-1,0)),IF(AND($L$37=0,$P$34=0),"",$L$37-1),IF($R$17="Distrato",$E231,0)),MIN(AD$38,$D$19),$P$20))-SUM($P231:AC231)</f>
        <v>#VALUE!</v>
      </c>
      <c r="AE231" s="446" t="e">
        <f>IF(OR($B231="",MIN(AE$38,$D$19)&lt;MAX($P$34*($B231+IF($R$17="Distrato",$I$38-1,0)),IF(AND($L$37=0,$P$34=0),"",$L$37-1),IF($R$17="Distrato",$E231,0))),0,YEARFRAC(MAX($P$34*($B231+IF($R$17="Distrato",$I$38-1,0)),IF(AND($L$37=0,$P$34=0),"",$L$37-1),IF($R$17="Distrato",$E231,0)),MIN(AE$38,$D$19),$P$20))-SUM($P231:AD231)</f>
        <v>#VALUE!</v>
      </c>
      <c r="AF231" s="446" t="e">
        <f>IF(OR($B231="",MIN(AF$38,$D$19)&lt;MAX($P$34*($B231+IF($R$17="Distrato",$I$38-1,0)),IF(AND($L$37=0,$P$34=0),"",$L$37-1),IF($R$17="Distrato",$E231,0))),0,YEARFRAC(MAX($P$34*($B231+IF($R$17="Distrato",$I$38-1,0)),IF(AND($L$37=0,$P$34=0),"",$L$37-1),IF($R$17="Distrato",$E231,0)),MIN(AF$38,$D$19),$P$20))-SUM($P231:AE231)</f>
        <v>#VALUE!</v>
      </c>
      <c r="AG231" s="446" t="e">
        <f>IF(OR($B231="",MIN(AG$38,$D$19)&lt;MAX($P$34*($B231+IF($R$17="Distrato",$I$38-1,0)),IF(AND($L$37=0,$P$34=0),"",$L$37-1),IF($R$17="Distrato",$E231,0))),0,YEARFRAC(MAX($P$34*($B231+IF($R$17="Distrato",$I$38-1,0)),IF(AND($L$37=0,$P$34=0),"",$L$37-1),IF($R$17="Distrato",$E231,0)),MIN(AG$38,$D$19),$P$20))-SUM($P231:AF231)</f>
        <v>#VALUE!</v>
      </c>
      <c r="AH231" s="446" t="e">
        <f>IF(OR($B231="",MIN(AH$38,$D$19)&lt;MAX($P$34*($B231+IF($R$17="Distrato",$I$38-1,0)),IF(AND($L$37=0,$P$34=0),"",$L$37-1),IF($R$17="Distrato",$E231,0))),0,YEARFRAC(MAX($P$34*($B231+IF($R$17="Distrato",$I$38-1,0)),IF(AND($L$37=0,$P$34=0),"",$L$37-1),IF($R$17="Distrato",$E231,0)),MIN(AH$38,$D$19),$P$20))-SUM($P231:AG231)</f>
        <v>#VALUE!</v>
      </c>
      <c r="AI231" s="446" t="e">
        <f>IF(OR($B231="",MIN(AI$38,$D$19)&lt;MAX($P$34*($B231+IF($R$17="Distrato",$I$38-1,0)),IF(AND($L$37=0,$P$34=0),"",$L$37-1),IF($R$17="Distrato",$E231,0))),0,YEARFRAC(MAX($P$34*($B231+IF($R$17="Distrato",$I$38-1,0)),IF(AND($L$37=0,$P$34=0),"",$L$37-1),IF($R$17="Distrato",$E231,0)),MIN(AI$38,$D$19),$P$20))-SUM($P231:AH231)</f>
        <v>#VALUE!</v>
      </c>
      <c r="AJ231" s="446" t="e">
        <f>IF(OR($B231="",MIN(AJ$38,$D$19)&lt;MAX($P$34*($B231+IF($R$17="Distrato",$I$38-1,0)),IF(AND($L$37=0,$P$34=0),"",$L$37-1),IF($R$17="Distrato",$E231,0))),0,YEARFRAC(MAX($P$34*($B231+IF($R$17="Distrato",$I$38-1,0)),IF(AND($L$37=0,$P$34=0),"",$L$37-1),IF($R$17="Distrato",$E231,0)),MIN(AJ$38,$D$19),$P$20))-SUM($P231:AI231)</f>
        <v>#VALUE!</v>
      </c>
      <c r="AK231" s="446" t="e">
        <f>IF(OR($B231="",MIN(AK$38,$D$19)&lt;MAX($P$34*($B231+IF($R$17="Distrato",$I$38-1,0)),IF(AND($L$37=0,$P$34=0),"",$L$37-1),IF($R$17="Distrato",$E231,0))),0,YEARFRAC(MAX($P$34*($B231+IF($R$17="Distrato",$I$38-1,0)),IF(AND($L$37=0,$P$34=0),"",$L$37-1),IF($R$17="Distrato",$E231,0)),MIN(AK$38,$D$19),$P$20))-SUM($P231:AJ231)</f>
        <v>#VALUE!</v>
      </c>
      <c r="AL231" s="446" t="e">
        <f>IF(OR($B231="",MIN(AL$38,$D$19)&lt;MAX($P$34*($B231+IF($R$17="Distrato",$I$38-1,0)),IF(AND($L$37=0,$P$34=0),"",$L$37-1),IF($R$17="Distrato",$E231,0))),0,YEARFRAC(MAX($P$34*($B231+IF($R$17="Distrato",$I$38-1,0)),IF(AND($L$37=0,$P$34=0),"",$L$37-1),IF($R$17="Distrato",$E231,0)),MIN(AL$38,$D$19),$P$20))-SUM($P231:AK231)</f>
        <v>#VALUE!</v>
      </c>
      <c r="AM231" s="446" t="e">
        <f>IF(OR($B231="",MIN(AM$38,$D$19)&lt;MAX($P$34*($B231+IF($R$17="Distrato",$I$38-1,0)),IF(AND($L$37=0,$P$34=0),"",$L$37-1),IF($R$17="Distrato",$E231,0))),0,YEARFRAC(MAX($P$34*($B231+IF($R$17="Distrato",$I$38-1,0)),IF(AND($L$37=0,$P$34=0),"",$L$37-1),IF($R$17="Distrato",$E231,0)),MIN(AM$38,$D$19),$P$20))-SUM($P231:AL231)</f>
        <v>#VALUE!</v>
      </c>
      <c r="AN231" s="446" t="e">
        <f>IF(OR($B231="",MIN(AN$38,$D$19)&lt;MAX($P$34*($B231+IF($R$17="Distrato",$I$38-1,0)),IF(AND($L$37=0,$P$34=0),"",$L$37-1),IF($R$17="Distrato",$E231,0))),0,YEARFRAC(MAX($P$34*($B231+IF($R$17="Distrato",$I$38-1,0)),IF(AND($L$37=0,$P$34=0),"",$L$37-1),IF($R$17="Distrato",$E231,0)),MIN(AN$38,$D$19),$P$20))-SUM($P231:AM231)</f>
        <v>#VALUE!</v>
      </c>
      <c r="AO231" s="446" t="e">
        <f>IF(OR($B231="",MIN(AO$38,$D$19)&lt;MAX($P$34*($B231+IF($R$17="Distrato",$I$38-1,0)),IF(AND($L$37=0,$P$34=0),"",$L$37-1),IF($R$17="Distrato",$E231,0))),0,YEARFRAC(MAX($P$34*($B231+IF($R$17="Distrato",$I$38-1,0)),IF(AND($L$37=0,$P$34=0),"",$L$37-1),IF($R$17="Distrato",$E231,0)),MIN(AO$38,$D$19),$P$20))-SUM($P231:AN231)</f>
        <v>#VALUE!</v>
      </c>
      <c r="AP231" s="446" t="e">
        <f>IF(OR($B231="",MIN(AP$38,$D$19)&lt;MAX($P$34*($B231+IF($R$17="Distrato",$I$38-1,0)),IF(AND($L$37=0,$P$34=0),"",$L$37-1),IF($R$17="Distrato",$E231,0))),0,YEARFRAC(MAX($P$34*($B231+IF($R$17="Distrato",$I$38-1,0)),IF(AND($L$37=0,$P$34=0),"",$L$37-1),IF($R$17="Distrato",$E231,0)),MIN(AP$38,$D$19),$P$20))-SUM($P231:AO231)</f>
        <v>#VALUE!</v>
      </c>
      <c r="AQ231" s="446" t="e">
        <f>IF(OR($B231="",MIN(AQ$38,$D$19)&lt;MAX($P$34*($B231+IF($R$17="Distrato",$I$38-1,0)),IF(AND($L$37=0,$P$34=0),"",$L$37-1),IF($R$17="Distrato",$E231,0))),0,YEARFRAC(MAX($P$34*($B231+IF($R$17="Distrato",$I$38-1,0)),IF(AND($L$37=0,$P$34=0),"",$L$37-1),IF($R$17="Distrato",$E231,0)),MIN(AQ$38,$D$19),$P$20))-SUM($P231:AP231)</f>
        <v>#VALUE!</v>
      </c>
      <c r="AR231" s="446" t="e">
        <f>IF(OR($B231="",MIN(AR$38,$D$19)&lt;MAX($P$34*($B231+IF($R$17="Distrato",$I$38-1,0)),IF(AND($L$37=0,$P$34=0),"",$L$37-1),IF($R$17="Distrato",$E231,0))),0,YEARFRAC(MAX($P$34*($B231+IF($R$17="Distrato",$I$38-1,0)),IF(AND($L$37=0,$P$34=0),"",$L$37-1),IF($R$17="Distrato",$E231,0)),MIN(AR$38,$D$19),$P$20))-SUM($P231:AQ231)</f>
        <v>#VALUE!</v>
      </c>
      <c r="AS231" s="446" t="e">
        <f>IF(OR($B231="",MIN(AS$38,$D$19)&lt;MAX($P$34*($B231+IF($R$17="Distrato",$I$38-1,0)),IF(AND($L$37=0,$P$34=0),"",$L$37-1),IF($R$17="Distrato",$E231,0))),0,YEARFRAC(MAX($P$34*($B231+IF($R$17="Distrato",$I$38-1,0)),IF(AND($L$37=0,$P$34=0),"",$L$37-1),IF($R$17="Distrato",$E231,0)),MIN(AS$38,$D$19),$P$20))-SUM($P231:AR231)</f>
        <v>#VALUE!</v>
      </c>
      <c r="AT231" s="446" t="e">
        <f>IF(OR($B231="",MIN(AT$38,$D$19)&lt;MAX($P$34*($B231+IF($R$17="Distrato",$I$38-1,0)),IF(AND($L$37=0,$P$34=0),"",$L$37-1),IF($R$17="Distrato",$E231,0))),0,YEARFRAC(MAX($P$34*($B231+IF($R$17="Distrato",$I$38-1,0)),IF(AND($L$37=0,$P$34=0),"",$L$37-1),IF($R$17="Distrato",$E231,0)),MIN(AT$38,$D$19),$P$20))-SUM($P231:AS231)</f>
        <v>#VALUE!</v>
      </c>
      <c r="AU231" s="446" t="e">
        <f>IF(OR($B231="",MIN(AU$38,$D$19)&lt;MAX($P$34*($B231+IF($R$17="Distrato",$I$38-1,0)),IF(AND($L$37=0,$P$34=0),"",$L$37-1),IF($R$17="Distrato",$E231,0))),0,YEARFRAC(MAX($P$34*($B231+IF($R$17="Distrato",$I$38-1,0)),IF(AND($L$37=0,$P$34=0),"",$L$37-1),IF($R$17="Distrato",$E231,0)),MIN(AU$38,$D$19),$P$20))-SUM($P231:AT231)</f>
        <v>#VALUE!</v>
      </c>
      <c r="AV231" s="446" t="e">
        <f>IF(OR($B231="",MIN(AV$38,$D$19)&lt;MAX($P$34*($B231+IF($R$17="Distrato",$I$38-1,0)),IF(AND($L$37=0,$P$34=0),"",$L$37-1),IF($R$17="Distrato",$E231,0))),0,YEARFRAC(MAX($P$34*($B231+IF($R$17="Distrato",$I$38-1,0)),IF(AND($L$37=0,$P$34=0),"",$L$37-1),IF($R$17="Distrato",$E231,0)),MIN(AV$38,$D$19),$P$20))-SUM($P231:AU231)</f>
        <v>#VALUE!</v>
      </c>
      <c r="AW231" s="446" t="e">
        <f>IF(OR($B231="",MIN(AW$38,$D$19)&lt;MAX($P$34*($B231+IF($R$17="Distrato",$I$38-1,0)),IF(AND($L$37=0,$P$34=0),"",$L$37-1),IF($R$17="Distrato",$E231,0))),0,YEARFRAC(MAX($P$34*($B231+IF($R$17="Distrato",$I$38-1,0)),IF(AND($L$37=0,$P$34=0),"",$L$37-1),IF($R$17="Distrato",$E231,0)),MIN(AW$38,$D$19),$P$20))-SUM($P231:AV231)</f>
        <v>#VALUE!</v>
      </c>
      <c r="AX231" s="446" t="e">
        <f>IF(OR($B231="",MIN(AX$38,$D$19)&lt;MAX($P$34*($B231+IF($R$17="Distrato",$I$38-1,0)),IF(AND($L$37=0,$P$34=0),"",$L$37-1),IF($R$17="Distrato",$E231,0))),0,YEARFRAC(MAX($P$34*($B231+IF($R$17="Distrato",$I$38-1,0)),IF(AND($L$37=0,$P$34=0),"",$L$37-1),IF($R$17="Distrato",$E231,0)),MIN(AX$38,$D$19),$P$20))-SUM($P231:AW231)</f>
        <v>#VALUE!</v>
      </c>
      <c r="AY231" s="446" t="e">
        <f>IF(OR($B231="",MIN(AY$38,$D$19)&lt;MAX($P$34*($B231+IF($R$17="Distrato",$I$38-1,0)),IF(AND($L$37=0,$P$34=0),"",$L$37-1),IF($R$17="Distrato",$E231,0))),0,YEARFRAC(MAX($P$34*($B231+IF($R$17="Distrato",$I$38-1,0)),IF(AND($L$37=0,$P$34=0),"",$L$37-1),IF($R$17="Distrato",$E231,0)),MIN(AY$38,$D$19),$P$20))-SUM($P231:AX231)</f>
        <v>#VALUE!</v>
      </c>
      <c r="AZ231" s="446" t="e">
        <f>IF(OR($B231="",MIN(AZ$38,$D$19)&lt;MAX($P$34*($B231+IF($R$17="Distrato",$I$38-1,0)),IF(AND($L$37=0,$P$34=0),"",$L$37-1),IF($R$17="Distrato",$E231,0))),0,YEARFRAC(MAX($P$34*($B231+IF($R$17="Distrato",$I$38-1,0)),IF(AND($L$37=0,$P$34=0),"",$L$37-1),IF($R$17="Distrato",$E231,0)),MIN(AZ$38,$D$19),$P$20))-SUM($P231:AY231)</f>
        <v>#VALUE!</v>
      </c>
      <c r="BA231" s="446" t="e">
        <f>IF(OR($B231="",MIN(BA$38,$D$19)&lt;MAX($P$34*($B231+IF($R$17="Distrato",$I$38-1,0)),IF(AND($L$37=0,$P$34=0),"",$L$37-1),IF($R$17="Distrato",$E231,0))),0,YEARFRAC(MAX($P$34*($B231+IF($R$17="Distrato",$I$38-1,0)),IF(AND($L$37=0,$P$34=0),"",$L$37-1),IF($R$17="Distrato",$E231,0)),MIN(BA$38,$D$19),$P$20))-SUM($P231:AZ231)</f>
        <v>#VALUE!</v>
      </c>
      <c r="BB231" s="447"/>
      <c r="BF231" s="446">
        <f t="shared" si="32"/>
        <v>0</v>
      </c>
      <c r="BG231" s="446">
        <f>IF($E231=0,0,IF(MIN(BG$38,$E231)&lt;MAX($P$34*($B231+$I$38-1),IF(AND($L$37=0,$P$34=0),"",$L$37-1)),0,YEARFRAC(MAX($P$34*($B231+$I$38-1),IF(AND($L$37=0,$P$34=0),"",$L$37-1)),MIN(BG$38,$E231),$P$20))-SUM($BF231:BF231))</f>
        <v>0</v>
      </c>
      <c r="BH231" s="446">
        <f>IF($E231=0,0,IF(MIN(BH$38,$E231)&lt;MAX($P$34*($B231+$I$38-1),IF(AND($L$37=0,$P$34=0),"",$L$37-1)),0,YEARFRAC(MAX($P$34*($B231+$I$38-1),IF(AND($L$37=0,$P$34=0),"",$L$37-1)),MIN(BH$38,$E231),$P$20))-SUM($BF231:BG231))</f>
        <v>0</v>
      </c>
      <c r="BI231" s="446">
        <f>IF($E231=0,0,IF(MIN(BI$38,$E231)&lt;MAX($P$34*($B231+$I$38-1),IF(AND($L$37=0,$P$34=0),"",$L$37-1)),0,YEARFRAC(MAX($P$34*($B231+$I$38-1),IF(AND($L$37=0,$P$34=0),"",$L$37-1)),MIN(BI$38,$E231),$P$20))-SUM($BF231:BH231))</f>
        <v>0</v>
      </c>
      <c r="BJ231" s="446">
        <f>IF($E231=0,0,IF(MIN(BJ$38,$E231)&lt;MAX($P$34*($B231+$I$38-1),IF(AND($L$37=0,$P$34=0),"",$L$37-1)),0,YEARFRAC(MAX($P$34*($B231+$I$38-1),IF(AND($L$37=0,$P$34=0),"",$L$37-1)),MIN(BJ$38,$E231),$P$20))-SUM($BF231:BI231))</f>
        <v>0</v>
      </c>
      <c r="BK231" s="446">
        <f>IF($E231=0,0,IF(MIN(BK$38,$E231)&lt;MAX($P$34*($B231+$I$38-1),IF(AND($L$37=0,$P$34=0),"",$L$37-1)),0,YEARFRAC(MAX($P$34*($B231+$I$38-1),IF(AND($L$37=0,$P$34=0),"",$L$37-1)),MIN(BK$38,$E231),$P$20))-SUM($BF231:BJ231))</f>
        <v>0</v>
      </c>
      <c r="BL231" s="446">
        <f>IF($E231=0,0,IF(MIN(BL$38,$E231)&lt;MAX($P$34*($B231+$I$38-1),IF(AND($L$37=0,$P$34=0),"",$L$37-1)),0,YEARFRAC(MAX($P$34*($B231+$I$38-1),IF(AND($L$37=0,$P$34=0),"",$L$37-1)),MIN(BL$38,$E231),$P$20))-SUM($BF231:BK231))</f>
        <v>0</v>
      </c>
      <c r="BM231" s="446">
        <f>IF($E231=0,0,IF(MIN(BM$38,$E231)&lt;MAX($P$34*($B231+$I$38-1),IF(AND($L$37=0,$P$34=0),"",$L$37-1)),0,YEARFRAC(MAX($P$34*($B231+$I$38-1),IF(AND($L$37=0,$P$34=0),"",$L$37-1)),MIN(BM$38,$E231),$P$20))-SUM($BF231:BL231))</f>
        <v>0</v>
      </c>
      <c r="BN231" s="446">
        <f>IF($E231=0,0,IF(MIN(BN$38,$E231)&lt;MAX($P$34*($B231+$I$38-1),IF(AND($L$37=0,$P$34=0),"",$L$37-1)),0,YEARFRAC(MAX($P$34*($B231+$I$38-1),IF(AND($L$37=0,$P$34=0),"",$L$37-1)),MIN(BN$38,$E231),$P$20))-SUM($BF231:BM231))</f>
        <v>0</v>
      </c>
      <c r="BO231" s="446">
        <f>IF($E231=0,0,IF(MIN(BO$38,$E231)&lt;MAX($P$34*($B231+$I$38-1),IF(AND($L$37=0,$P$34=0),"",$L$37-1)),0,YEARFRAC(MAX($P$34*($B231+$I$38-1),IF(AND($L$37=0,$P$34=0),"",$L$37-1)),MIN(BO$38,$E231),$P$20))-SUM($BF231:BN231))</f>
        <v>0</v>
      </c>
      <c r="BP231" s="446">
        <f>IF($E231=0,0,IF(MIN(BP$38,$E231)&lt;MAX($P$34*($B231+$I$38-1),IF(AND($L$37=0,$P$34=0),"",$L$37-1)),0,YEARFRAC(MAX($P$34*($B231+$I$38-1),IF(AND($L$37=0,$P$34=0),"",$L$37-1)),MIN(BP$38,$E231),$P$20))-SUM($BF231:BO231))</f>
        <v>0</v>
      </c>
      <c r="BQ231" s="446">
        <f>IF($E231=0,0,IF(MIN(BQ$38,$E231)&lt;MAX($P$34*($B231+$I$38-1),IF(AND($L$37=0,$P$34=0),"",$L$37-1)),0,YEARFRAC(MAX($P$34*($B231+$I$38-1),IF(AND($L$37=0,$P$34=0),"",$L$37-1)),MIN(BQ$38,$E231),$P$20))-SUM($BF231:BP231))</f>
        <v>0</v>
      </c>
      <c r="BR231" s="446">
        <f>IF($E231=0,0,IF(MIN(BR$38,$E231)&lt;MAX($P$34*($B231+$I$38-1),IF(AND($L$37=0,$P$34=0),"",$L$37-1)),0,YEARFRAC(MAX($P$34*($B231+$I$38-1),IF(AND($L$37=0,$P$34=0),"",$L$37-1)),MIN(BR$38,$E231),$P$20))-SUM($BF231:BQ231))</f>
        <v>0</v>
      </c>
      <c r="BS231" s="446">
        <f>IF($E231=0,0,IF(MIN(BS$38,$E231)&lt;MAX($P$34*($B231+$I$38-1),IF(AND($L$37=0,$P$34=0),"",$L$37-1)),0,YEARFRAC(MAX($P$34*($B231+$I$38-1),IF(AND($L$37=0,$P$34=0),"",$L$37-1)),MIN(BS$38,$E231),$P$20))-SUM($BF231:BR231))</f>
        <v>0</v>
      </c>
      <c r="BT231" s="446">
        <f>IF($E231=0,0,IF(MIN(BT$38,$E231)&lt;MAX($P$34*($B231+$I$38-1),IF(AND($L$37=0,$P$34=0),"",$L$37-1)),0,YEARFRAC(MAX($P$34*($B231+$I$38-1),IF(AND($L$37=0,$P$34=0),"",$L$37-1)),MIN(BT$38,$E231),$P$20))-SUM($BF231:BS231))</f>
        <v>0</v>
      </c>
      <c r="BU231" s="446">
        <f>IF($E231=0,0,IF(MIN(BU$38,$E231)&lt;MAX($P$34*($B231+$I$38-1),IF(AND($L$37=0,$P$34=0),"",$L$37-1)),0,YEARFRAC(MAX($P$34*($B231+$I$38-1),IF(AND($L$37=0,$P$34=0),"",$L$37-1)),MIN(BU$38,$E231),$P$20))-SUM($BF231:BT231))</f>
        <v>0</v>
      </c>
      <c r="BV231" s="446">
        <f>IF($E231=0,0,IF(MIN(BV$38,$E231)&lt;MAX($P$34*($B231+$I$38-1),IF(AND($L$37=0,$P$34=0),"",$L$37-1)),0,YEARFRAC(MAX($P$34*($B231+$I$38-1),IF(AND($L$37=0,$P$34=0),"",$L$37-1)),MIN(BV$38,$E231),$P$20))-SUM($BF231:BU231))</f>
        <v>0</v>
      </c>
      <c r="BW231" s="446">
        <f>IF($E231=0,0,IF(MIN(BW$38,$E231)&lt;MAX($P$34*($B231+$I$38-1),IF(AND($L$37=0,$P$34=0),"",$L$37-1)),0,YEARFRAC(MAX($P$34*($B231+$I$38-1),IF(AND($L$37=0,$P$34=0),"",$L$37-1)),MIN(BW$38,$E231),$P$20))-SUM($BF231:BV231))</f>
        <v>0</v>
      </c>
      <c r="BX231" s="446">
        <f>IF($E231=0,0,IF(MIN(BX$38,$E231)&lt;MAX($P$34*($B231+$I$38-1),IF(AND($L$37=0,$P$34=0),"",$L$37-1)),0,YEARFRAC(MAX($P$34*($B231+$I$38-1),IF(AND($L$37=0,$P$34=0),"",$L$37-1)),MIN(BX$38,$E231),$P$20))-SUM($BF231:BW231))</f>
        <v>0</v>
      </c>
      <c r="BY231" s="446">
        <f>IF($E231=0,0,IF(MIN(BY$38,$E231)&lt;MAX($P$34*($B231+$I$38-1),IF(AND($L$37=0,$P$34=0),"",$L$37-1)),0,YEARFRAC(MAX($P$34*($B231+$I$38-1),IF(AND($L$37=0,$P$34=0),"",$L$37-1)),MIN(BY$38,$E231),$P$20))-SUM($BF231:BX231))</f>
        <v>0</v>
      </c>
      <c r="BZ231" s="446">
        <f>IF($E231=0,0,IF(MIN(BZ$38,$E231)&lt;MAX($P$34*($B231+$I$38-1),IF(AND($L$37=0,$P$34=0),"",$L$37-1)),0,YEARFRAC(MAX($P$34*($B231+$I$38-1),IF(AND($L$37=0,$P$34=0),"",$L$37-1)),MIN(BZ$38,$E231),$P$20))-SUM($BF231:BY231))</f>
        <v>0</v>
      </c>
      <c r="CA231" s="446">
        <f>IF($E231=0,0,IF(MIN(CA$38,$E231)&lt;MAX($P$34*($B231+$I$38-1),IF(AND($L$37=0,$P$34=0),"",$L$37-1)),0,YEARFRAC(MAX($P$34*($B231+$I$38-1),IF(AND($L$37=0,$P$34=0),"",$L$37-1)),MIN(CA$38,$E231),$P$20))-SUM($BF231:BZ231))</f>
        <v>0</v>
      </c>
      <c r="CB231" s="446">
        <f>IF($E231=0,0,IF(MIN(CB$38,$E231)&lt;MAX($P$34*($B231+$I$38-1),IF(AND($L$37=0,$P$34=0),"",$L$37-1)),0,YEARFRAC(MAX($P$34*($B231+$I$38-1),IF(AND($L$37=0,$P$34=0),"",$L$37-1)),MIN(CB$38,$E231),$P$20))-SUM($BF231:CA231))</f>
        <v>0</v>
      </c>
      <c r="CC231" s="446">
        <f>IF($E231=0,0,IF(MIN(CC$38,$E231)&lt;MAX($P$34*($B231+$I$38-1),IF(AND($L$37=0,$P$34=0),"",$L$37-1)),0,YEARFRAC(MAX($P$34*($B231+$I$38-1),IF(AND($L$37=0,$P$34=0),"",$L$37-1)),MIN(CC$38,$E231),$P$20))-SUM($BF231:CB231))</f>
        <v>0</v>
      </c>
      <c r="CD231" s="446">
        <f>IF($E231=0,0,IF(MIN(CD$38,$E231)&lt;MAX($P$34*($B231+$I$38-1),IF(AND($L$37=0,$P$34=0),"",$L$37-1)),0,YEARFRAC(MAX($P$34*($B231+$I$38-1),IF(AND($L$37=0,$P$34=0),"",$L$37-1)),MIN(CD$38,$E231),$P$20))-SUM($BF231:CC231))</f>
        <v>0</v>
      </c>
      <c r="CE231" s="446">
        <f>IF($E231=0,0,IF(MIN(CE$38,$E231)&lt;MAX($P$34*($B231+$I$38-1),IF(AND($L$37=0,$P$34=0),"",$L$37-1)),0,YEARFRAC(MAX($P$34*($B231+$I$38-1),IF(AND($L$37=0,$P$34=0),"",$L$37-1)),MIN(CE$38,$E231),$P$20))-SUM($BF231:CD231))</f>
        <v>0</v>
      </c>
      <c r="CF231" s="446">
        <f>IF($E231=0,0,IF(MIN(CF$38,$E231)&lt;MAX($P$34*($B231+$I$38-1),IF(AND($L$37=0,$P$34=0),"",$L$37-1)),0,YEARFRAC(MAX($P$34*($B231+$I$38-1),IF(AND($L$37=0,$P$34=0),"",$L$37-1)),MIN(CF$38,$E231),$P$20))-SUM($BF231:CE231))</f>
        <v>0</v>
      </c>
      <c r="CG231" s="446">
        <f>IF($E231=0,0,IF(MIN(CG$38,$E231)&lt;MAX($P$34*($B231+$I$38-1),IF(AND($L$37=0,$P$34=0),"",$L$37-1)),0,YEARFRAC(MAX($P$34*($B231+$I$38-1),IF(AND($L$37=0,$P$34=0),"",$L$37-1)),MIN(CG$38,$E231),$P$20))-SUM($BF231:CF231))</f>
        <v>0</v>
      </c>
      <c r="CH231" s="446">
        <f>IF($E231=0,0,IF(MIN(CH$38,$E231)&lt;MAX($P$34*($B231+$I$38-1),IF(AND($L$37=0,$P$34=0),"",$L$37-1)),0,YEARFRAC(MAX($P$34*($B231+$I$38-1),IF(AND($L$37=0,$P$34=0),"",$L$37-1)),MIN(CH$38,$E231),$P$20))-SUM($BF231:CG231))</f>
        <v>0</v>
      </c>
      <c r="CI231" s="446">
        <f>IF($E231=0,0,IF(MIN(CI$38,$E231)&lt;MAX($P$34*($B231+$I$38-1),IF(AND($L$37=0,$P$34=0),"",$L$37-1)),0,YEARFRAC(MAX($P$34*($B231+$I$38-1),IF(AND($L$37=0,$P$34=0),"",$L$37-1)),MIN(CI$38,$E231),$P$20))-SUM($BF231:CH231))</f>
        <v>0</v>
      </c>
      <c r="CJ231" s="446">
        <f>IF($E231=0,0,IF(MIN(CJ$38,$E231)&lt;MAX($P$34*($B231+$I$38-1),IF(AND($L$37=0,$P$34=0),"",$L$37-1)),0,YEARFRAC(MAX($P$34*($B231+$I$38-1),IF(AND($L$37=0,$P$34=0),"",$L$37-1)),MIN(CJ$38,$E231),$P$20))-SUM($BF231:CI231))</f>
        <v>0</v>
      </c>
      <c r="CK231" s="446">
        <f>IF($E231=0,0,IF(MIN(CK$38,$E231)&lt;MAX($P$34*($B231+$I$38-1),IF(AND($L$37=0,$P$34=0),"",$L$37-1)),0,YEARFRAC(MAX($P$34*($B231+$I$38-1),IF(AND($L$37=0,$P$34=0),"",$L$37-1)),MIN(CK$38,$E231),$P$20))-SUM($BF231:CJ231))</f>
        <v>0</v>
      </c>
      <c r="CL231" s="446">
        <f>IF($E231=0,0,IF(MIN(CL$38,$E231)&lt;MAX($P$34*($B231+$I$38-1),IF(AND($L$37=0,$P$34=0),"",$L$37-1)),0,YEARFRAC(MAX($P$34*($B231+$I$38-1),IF(AND($L$37=0,$P$34=0),"",$L$37-1)),MIN(CL$38,$E231),$P$20))-SUM($BF231:CK231))</f>
        <v>0</v>
      </c>
      <c r="CM231" s="446">
        <f>IF($E231=0,0,IF(MIN(CM$38,$E231)&lt;MAX($P$34*($B231+$I$38-1),IF(AND($L$37=0,$P$34=0),"",$L$37-1)),0,YEARFRAC(MAX($P$34*($B231+$I$38-1),IF(AND($L$37=0,$P$34=0),"",$L$37-1)),MIN(CM$38,$E231),$P$20))-SUM($BF231:CL231))</f>
        <v>0</v>
      </c>
      <c r="CN231" s="446">
        <f>IF($E231=0,0,IF(MIN(CN$38,$E231)&lt;MAX($P$34*($B231+$I$38-1),IF(AND($L$37=0,$P$34=0),"",$L$37-1)),0,YEARFRAC(MAX($P$34*($B231+$I$38-1),IF(AND($L$37=0,$P$34=0),"",$L$37-1)),MIN(CN$38,$E231),$P$20))-SUM($BF231:CM231))</f>
        <v>0</v>
      </c>
      <c r="CO231" s="446">
        <f>IF($E231=0,0,IF(MIN(CO$38,$E231)&lt;MAX($P$34*($B231+$I$38-1),IF(AND($L$37=0,$P$34=0),"",$L$37-1)),0,YEARFRAC(MAX($P$34*($B231+$I$38-1),IF(AND($L$37=0,$P$34=0),"",$L$37-1)),MIN(CO$38,$E231),$P$20))-SUM($BF231:CN231))</f>
        <v>0</v>
      </c>
      <c r="CP231" s="446">
        <f>IF($E231=0,0,IF(MIN(CP$38,$E231)&lt;MAX($P$34*($B231+$I$38-1),IF(AND($L$37=0,$P$34=0),"",$L$37-1)),0,YEARFRAC(MAX($P$34*($B231+$I$38-1),IF(AND($L$37=0,$P$34=0),"",$L$37-1)),MIN(CP$38,$E231),$P$20))-SUM($BF231:CO231))</f>
        <v>0</v>
      </c>
      <c r="CQ231" s="446">
        <f>IF($E231=0,0,IF(MIN(CQ$38,$E231)&lt;MAX($P$34*($B231+$I$38-1),IF(AND($L$37=0,$P$34=0),"",$L$37-1)),0,YEARFRAC(MAX($P$34*($B231+$I$38-1),IF(AND($L$37=0,$P$34=0),"",$L$37-1)),MIN(CQ$38,$E231),$P$20))-SUM($BF231:CP231))</f>
        <v>0</v>
      </c>
    </row>
    <row r="232" spans="1:95" s="446" customFormat="1" ht="11.25" hidden="1" customHeight="1" x14ac:dyDescent="0.2">
      <c r="A232" s="152"/>
      <c r="B232" s="153" t="str">
        <f t="shared" si="37"/>
        <v/>
      </c>
      <c r="C232" s="29" t="str">
        <f>IF(B232="","",IF($L$35="SELIC - TRIBUTOS",VLOOKUP(DATE(YEAR($D$19),MONTH($D$19)-1,1),ÍNDICES!$A:$DE,HLOOKUP($BL$25,ÍNDICES!$B$3:$T$4,2)+11)-VLOOKUP(B232,ÍNDICES!$A:$DE,HLOOKUP($BL$25,ÍNDICES!$B$3:$T$4,2)+11)+1%,IF(C$38=$W$26,$J$35,IF(ISERROR(IF(B232&gt;$D$19,1,VLOOKUP(DATE(YEAR(B232),MONTH(B232)+IF($C$35=$S$23,1,0),1),ÍNDICES!$A:$DE,$Z$35+1))),"",IF(B232&gt;$D$19,1,VLOOKUP(DATE(YEAR(B232),MONTH(B232)+IF($C$35=$S$23,1,0),1),ÍNDICES!$A:$DE,$Z$35+1))))))</f>
        <v/>
      </c>
      <c r="D232" s="154" t="str">
        <f>IF(ISERROR(IF(OR($D$38=$Y$27,$B232=""),"",VLOOKUP(B232,ÍNDICES!A:DE,AF$35+1))),"",IF(OR($D$38=$Y$27,$B232=""),"",VLOOKUP(B232,ÍNDICES!A:DE,AF$35+1)))</f>
        <v/>
      </c>
      <c r="E232" s="153"/>
      <c r="F232" s="29" t="str">
        <f>IF(E232="","",IF($L$35="SELIC - TRIBUTOS",VLOOKUP(DATE(YEAR($D$19),MONTH($D$19)-1,1),ÍNDICES!$A:$DE,HLOOKUP($BL$25,ÍNDICES!$B$3:$T$4,2)+11)-VLOOKUP(E232,ÍNDICES!$A:$DE,HLOOKUP($BL$25,ÍNDICES!$B$3:$T$4,2)+11)+1%,IF(F$38=$W$26,$J$35,IF(ISERROR(IF(E232&gt;$D$19,1,VLOOKUP(DATE(YEAR(E232),MONTH(E232)+IF($C$35=$S$23,1,0),1),ÍNDICES!$A:$DE,$Z$35+1))),"",IF(E232&gt;$D$19,1,VLOOKUP(DATE(YEAR(E232),MONTH(E232)+IF($C$35=$S$23,1,0),1),ÍNDICES!$A:$DE,$Z$35+1))))))</f>
        <v/>
      </c>
      <c r="G232" s="155"/>
      <c r="H232" s="156" t="str">
        <f t="shared" si="33"/>
        <v/>
      </c>
      <c r="I232" s="29" t="str">
        <f t="shared" ref="I232:I295" si="38">IF(OR($L$35=$BL$25,B232=""),"",SUM(BF232:CF232))</f>
        <v/>
      </c>
      <c r="J232" s="5">
        <f t="shared" ref="J232:J295" si="39">IF(OR($L$35="SELIC - TRIBUTOS",B232=""),0,IF(D232="",0,D232)/C232*J$35*SUMPRODUCT($BF$37:$DD$37,$BF232:$DD232))</f>
        <v>0</v>
      </c>
      <c r="K232" s="20">
        <f t="shared" ref="K232:K295" ca="1" si="40">IF($L$35="SELIC - TRIBUTOS",$K$38*(-IFERROR(D232*(1+C232),0)-IF($R$17="Distrato",IFERROR(G232*(1+F232),0),0)),$K$38*(IFERROR(D232/C232*$J$35,0)-IF($R$17="Distrato",IFERROR(G232/F232*$J$35,0),0)))</f>
        <v>0</v>
      </c>
      <c r="L232" s="5">
        <f t="shared" ref="L232:L295" ca="1" si="41">IF(L$35="SELIC - TRIBUTOS",0,IFERROR(K232*SUMPRODUCT($P$37:$BA$37,$P232:$BA232),0))</f>
        <v>0</v>
      </c>
      <c r="M232" s="64">
        <f t="shared" si="34"/>
        <v>0</v>
      </c>
      <c r="N232" s="61">
        <f t="shared" ca="1" si="35"/>
        <v>0</v>
      </c>
      <c r="O232" s="5">
        <f t="shared" ca="1" si="36"/>
        <v>0</v>
      </c>
      <c r="P232" s="446" t="e">
        <f t="shared" ref="P232:P295" si="42">IF(OR($B232="",MIN(P$38,$D$19)&lt;MAX($P$34*($B232+IF($R$17="Distrato",$I$38-1,0)),IF(AND($L$37=0,$P$34=0),"",$L$37-1),IF($R$17="Distrato",$E232,0))),0,YEARFRAC(MAX($P$34*($B232+IF($R$17="Distrato",$I$38-1,0)),IF(AND($L$37=0,$P$34=0),"",$L$37-1),IF($R$17="Distrato",$E232,0)),MIN(P$38,$D$19),$P$20))</f>
        <v>#VALUE!</v>
      </c>
      <c r="Q232" s="446" t="e">
        <f>IF(OR($B232="",MIN(Q$38,$D$19)&lt;MAX($P$34*($B232+IF($R$17="Distrato",$I$38-1,0)),IF(AND($L$37=0,$P$34=0),"",$L$37-1),IF($R$17="Distrato",$E232,0))),0,YEARFRAC(MAX($P$34*($B232+IF($R$17="Distrato",$I$38-1,0)),IF(AND($L$37=0,$P$34=0),"",$L$37-1),IF($R$17="Distrato",$E232,0)),MIN(Q$38,$D$19),$P$20))-SUM($P232:P232)</f>
        <v>#VALUE!</v>
      </c>
      <c r="R232" s="446" t="e">
        <f>IF(OR($B232="",MIN(R$38,$D$19)&lt;MAX($P$34*($B232+IF($R$17="Distrato",$I$38-1,0)),IF(AND($L$37=0,$P$34=0),"",$L$37-1),IF($R$17="Distrato",$E232,0))),0,YEARFRAC(MAX($P$34*($B232+IF($R$17="Distrato",$I$38-1,0)),IF(AND($L$37=0,$P$34=0),"",$L$37-1),IF($R$17="Distrato",$E232,0)),MIN(R$38,$D$19),$P$20))-SUM($P232:Q232)</f>
        <v>#VALUE!</v>
      </c>
      <c r="S232" s="446" t="e">
        <f>IF(OR($B232="",MIN(S$38,$D$19)&lt;MAX($P$34*($B232+IF($R$17="Distrato",$I$38-1,0)),IF(AND($L$37=0,$P$34=0),"",$L$37-1),IF($R$17="Distrato",$E232,0))),0,YEARFRAC(MAX($P$34*($B232+IF($R$17="Distrato",$I$38-1,0)),IF(AND($L$37=0,$P$34=0),"",$L$37-1),IF($R$17="Distrato",$E232,0)),MIN(S$38,$D$19),$P$20))-SUM($P232:R232)</f>
        <v>#VALUE!</v>
      </c>
      <c r="T232" s="446" t="e">
        <f>IF(OR($B232="",MIN(T$38,$D$19)&lt;MAX($P$34*($B232+IF($R$17="Distrato",$I$38-1,0)),IF(AND($L$37=0,$P$34=0),"",$L$37-1),IF($R$17="Distrato",$E232,0))),0,YEARFRAC(MAX($P$34*($B232+IF($R$17="Distrato",$I$38-1,0)),IF(AND($L$37=0,$P$34=0),"",$L$37-1),IF($R$17="Distrato",$E232,0)),MIN(T$38,$D$19),$P$20))-SUM($P232:S232)</f>
        <v>#VALUE!</v>
      </c>
      <c r="U232" s="446" t="e">
        <f>IF(OR($B232="",MIN(U$38,$D$19)&lt;MAX($P$34*($B232+IF($R$17="Distrato",$I$38-1,0)),IF(AND($L$37=0,$P$34=0),"",$L$37-1),IF($R$17="Distrato",$E232,0))),0,YEARFRAC(MAX($P$34*($B232+IF($R$17="Distrato",$I$38-1,0)),IF(AND($L$37=0,$P$34=0),"",$L$37-1),IF($R$17="Distrato",$E232,0)),MIN(U$38,$D$19),$P$20))-SUM($P232:T232)</f>
        <v>#VALUE!</v>
      </c>
      <c r="V232" s="446" t="e">
        <f>IF(OR($B232="",MIN(V$38,$D$19)&lt;MAX($P$34*($B232+IF($R$17="Distrato",$I$38-1,0)),IF(AND($L$37=0,$P$34=0),"",$L$37-1),IF($R$17="Distrato",$E232,0))),0,YEARFRAC(MAX($P$34*($B232+IF($R$17="Distrato",$I$38-1,0)),IF(AND($L$37=0,$P$34=0),"",$L$37-1),IF($R$17="Distrato",$E232,0)),MIN(V$38,$D$19),$P$20))-SUM($P232:U232)</f>
        <v>#VALUE!</v>
      </c>
      <c r="W232" s="446" t="e">
        <f>IF(OR($B232="",MIN(W$38,$D$19)&lt;MAX($P$34*($B232+IF($R$17="Distrato",$I$38-1,0)),IF(AND($L$37=0,$P$34=0),"",$L$37-1),IF($R$17="Distrato",$E232,0))),0,YEARFRAC(MAX($P$34*($B232+IF($R$17="Distrato",$I$38-1,0)),IF(AND($L$37=0,$P$34=0),"",$L$37-1),IF($R$17="Distrato",$E232,0)),MIN(W$38,$D$19),$P$20))-SUM($P232:V232)</f>
        <v>#VALUE!</v>
      </c>
      <c r="X232" s="446" t="e">
        <f>IF(OR($B232="",MIN(X$38,$D$19)&lt;MAX($P$34*($B232+IF($R$17="Distrato",$I$38-1,0)),IF(AND($L$37=0,$P$34=0),"",$L$37-1),IF($R$17="Distrato",$E232,0))),0,YEARFRAC(MAX($P$34*($B232+IF($R$17="Distrato",$I$38-1,0)),IF(AND($L$37=0,$P$34=0),"",$L$37-1),IF($R$17="Distrato",$E232,0)),MIN(X$38,$D$19),$P$20))-SUM($P232:W232)</f>
        <v>#VALUE!</v>
      </c>
      <c r="Y232" s="446" t="e">
        <f>IF(OR($B232="",MIN(Y$38,$D$19)&lt;MAX($P$34*($B232+IF($R$17="Distrato",$I$38-1,0)),IF(AND($L$37=0,$P$34=0),"",$L$37-1),IF($R$17="Distrato",$E232,0))),0,YEARFRAC(MAX($P$34*($B232+IF($R$17="Distrato",$I$38-1,0)),IF(AND($L$37=0,$P$34=0),"",$L$37-1),IF($R$17="Distrato",$E232,0)),MIN(Y$38,$D$19),$P$20))-SUM($P232:X232)</f>
        <v>#VALUE!</v>
      </c>
      <c r="Z232" s="446" t="e">
        <f>IF(OR($B232="",MIN(Z$38,$D$19)&lt;MAX($P$34*($B232+IF($R$17="Distrato",$I$38-1,0)),IF(AND($L$37=0,$P$34=0),"",$L$37-1),IF($R$17="Distrato",$E232,0))),0,YEARFRAC(MAX($P$34*($B232+IF($R$17="Distrato",$I$38-1,0)),IF(AND($L$37=0,$P$34=0),"",$L$37-1),IF($R$17="Distrato",$E232,0)),MIN(Z$38,$D$19),$P$20))-SUM($P232:Y232)</f>
        <v>#VALUE!</v>
      </c>
      <c r="AA232" s="446" t="e">
        <f>IF(OR($B232="",MIN(AA$38,$D$19)&lt;MAX($P$34*($B232+IF($R$17="Distrato",$I$38-1,0)),IF(AND($L$37=0,$P$34=0),"",$L$37-1),IF($R$17="Distrato",$E232,0))),0,YEARFRAC(MAX($P$34*($B232+IF($R$17="Distrato",$I$38-1,0)),IF(AND($L$37=0,$P$34=0),"",$L$37-1),IF($R$17="Distrato",$E232,0)),MIN(AA$38,$D$19),$P$20))-SUM($P232:Z232)</f>
        <v>#VALUE!</v>
      </c>
      <c r="AB232" s="446" t="e">
        <f>IF(OR($B232="",MIN(AB$38,$D$19)&lt;MAX($P$34*($B232+IF($R$17="Distrato",$I$38-1,0)),IF(AND($L$37=0,$P$34=0),"",$L$37-1),IF($R$17="Distrato",$E232,0))),0,YEARFRAC(MAX($P$34*($B232+IF($R$17="Distrato",$I$38-1,0)),IF(AND($L$37=0,$P$34=0),"",$L$37-1),IF($R$17="Distrato",$E232,0)),MIN(AB$38,$D$19),$P$20))-SUM($P232:AA232)</f>
        <v>#VALUE!</v>
      </c>
      <c r="AC232" s="446" t="e">
        <f>IF(OR($B232="",MIN(AC$38,$D$19)&lt;MAX($P$34*($B232+IF($R$17="Distrato",$I$38-1,0)),IF(AND($L$37=0,$P$34=0),"",$L$37-1),IF($R$17="Distrato",$E232,0))),0,YEARFRAC(MAX($P$34*($B232+IF($R$17="Distrato",$I$38-1,0)),IF(AND($L$37=0,$P$34=0),"",$L$37-1),IF($R$17="Distrato",$E232,0)),MIN(AC$38,$D$19),$P$20))-SUM($P232:AB232)</f>
        <v>#VALUE!</v>
      </c>
      <c r="AD232" s="446" t="e">
        <f>IF(OR($B232="",MIN(AD$38,$D$19)&lt;MAX($P$34*($B232+IF($R$17="Distrato",$I$38-1,0)),IF(AND($L$37=0,$P$34=0),"",$L$37-1),IF($R$17="Distrato",$E232,0))),0,YEARFRAC(MAX($P$34*($B232+IF($R$17="Distrato",$I$38-1,0)),IF(AND($L$37=0,$P$34=0),"",$L$37-1),IF($R$17="Distrato",$E232,0)),MIN(AD$38,$D$19),$P$20))-SUM($P232:AC232)</f>
        <v>#VALUE!</v>
      </c>
      <c r="AE232" s="446" t="e">
        <f>IF(OR($B232="",MIN(AE$38,$D$19)&lt;MAX($P$34*($B232+IF($R$17="Distrato",$I$38-1,0)),IF(AND($L$37=0,$P$34=0),"",$L$37-1),IF($R$17="Distrato",$E232,0))),0,YEARFRAC(MAX($P$34*($B232+IF($R$17="Distrato",$I$38-1,0)),IF(AND($L$37=0,$P$34=0),"",$L$37-1),IF($R$17="Distrato",$E232,0)),MIN(AE$38,$D$19),$P$20))-SUM($P232:AD232)</f>
        <v>#VALUE!</v>
      </c>
      <c r="AF232" s="446" t="e">
        <f>IF(OR($B232="",MIN(AF$38,$D$19)&lt;MAX($P$34*($B232+IF($R$17="Distrato",$I$38-1,0)),IF(AND($L$37=0,$P$34=0),"",$L$37-1),IF($R$17="Distrato",$E232,0))),0,YEARFRAC(MAX($P$34*($B232+IF($R$17="Distrato",$I$38-1,0)),IF(AND($L$37=0,$P$34=0),"",$L$37-1),IF($R$17="Distrato",$E232,0)),MIN(AF$38,$D$19),$P$20))-SUM($P232:AE232)</f>
        <v>#VALUE!</v>
      </c>
      <c r="AG232" s="446" t="e">
        <f>IF(OR($B232="",MIN(AG$38,$D$19)&lt;MAX($P$34*($B232+IF($R$17="Distrato",$I$38-1,0)),IF(AND($L$37=0,$P$34=0),"",$L$37-1),IF($R$17="Distrato",$E232,0))),0,YEARFRAC(MAX($P$34*($B232+IF($R$17="Distrato",$I$38-1,0)),IF(AND($L$37=0,$P$34=0),"",$L$37-1),IF($R$17="Distrato",$E232,0)),MIN(AG$38,$D$19),$P$20))-SUM($P232:AF232)</f>
        <v>#VALUE!</v>
      </c>
      <c r="AH232" s="446" t="e">
        <f>IF(OR($B232="",MIN(AH$38,$D$19)&lt;MAX($P$34*($B232+IF($R$17="Distrato",$I$38-1,0)),IF(AND($L$37=0,$P$34=0),"",$L$37-1),IF($R$17="Distrato",$E232,0))),0,YEARFRAC(MAX($P$34*($B232+IF($R$17="Distrato",$I$38-1,0)),IF(AND($L$37=0,$P$34=0),"",$L$37-1),IF($R$17="Distrato",$E232,0)),MIN(AH$38,$D$19),$P$20))-SUM($P232:AG232)</f>
        <v>#VALUE!</v>
      </c>
      <c r="AI232" s="446" t="e">
        <f>IF(OR($B232="",MIN(AI$38,$D$19)&lt;MAX($P$34*($B232+IF($R$17="Distrato",$I$38-1,0)),IF(AND($L$37=0,$P$34=0),"",$L$37-1),IF($R$17="Distrato",$E232,0))),0,YEARFRAC(MAX($P$34*($B232+IF($R$17="Distrato",$I$38-1,0)),IF(AND($L$37=0,$P$34=0),"",$L$37-1),IF($R$17="Distrato",$E232,0)),MIN(AI$38,$D$19),$P$20))-SUM($P232:AH232)</f>
        <v>#VALUE!</v>
      </c>
      <c r="AJ232" s="446" t="e">
        <f>IF(OR($B232="",MIN(AJ$38,$D$19)&lt;MAX($P$34*($B232+IF($R$17="Distrato",$I$38-1,0)),IF(AND($L$37=0,$P$34=0),"",$L$37-1),IF($R$17="Distrato",$E232,0))),0,YEARFRAC(MAX($P$34*($B232+IF($R$17="Distrato",$I$38-1,0)),IF(AND($L$37=0,$P$34=0),"",$L$37-1),IF($R$17="Distrato",$E232,0)),MIN(AJ$38,$D$19),$P$20))-SUM($P232:AI232)</f>
        <v>#VALUE!</v>
      </c>
      <c r="AK232" s="446" t="e">
        <f>IF(OR($B232="",MIN(AK$38,$D$19)&lt;MAX($P$34*($B232+IF($R$17="Distrato",$I$38-1,0)),IF(AND($L$37=0,$P$34=0),"",$L$37-1),IF($R$17="Distrato",$E232,0))),0,YEARFRAC(MAX($P$34*($B232+IF($R$17="Distrato",$I$38-1,0)),IF(AND($L$37=0,$P$34=0),"",$L$37-1),IF($R$17="Distrato",$E232,0)),MIN(AK$38,$D$19),$P$20))-SUM($P232:AJ232)</f>
        <v>#VALUE!</v>
      </c>
      <c r="AL232" s="446" t="e">
        <f>IF(OR($B232="",MIN(AL$38,$D$19)&lt;MAX($P$34*($B232+IF($R$17="Distrato",$I$38-1,0)),IF(AND($L$37=0,$P$34=0),"",$L$37-1),IF($R$17="Distrato",$E232,0))),0,YEARFRAC(MAX($P$34*($B232+IF($R$17="Distrato",$I$38-1,0)),IF(AND($L$37=0,$P$34=0),"",$L$37-1),IF($R$17="Distrato",$E232,0)),MIN(AL$38,$D$19),$P$20))-SUM($P232:AK232)</f>
        <v>#VALUE!</v>
      </c>
      <c r="AM232" s="446" t="e">
        <f>IF(OR($B232="",MIN(AM$38,$D$19)&lt;MAX($P$34*($B232+IF($R$17="Distrato",$I$38-1,0)),IF(AND($L$37=0,$P$34=0),"",$L$37-1),IF($R$17="Distrato",$E232,0))),0,YEARFRAC(MAX($P$34*($B232+IF($R$17="Distrato",$I$38-1,0)),IF(AND($L$37=0,$P$34=0),"",$L$37-1),IF($R$17="Distrato",$E232,0)),MIN(AM$38,$D$19),$P$20))-SUM($P232:AL232)</f>
        <v>#VALUE!</v>
      </c>
      <c r="AN232" s="446" t="e">
        <f>IF(OR($B232="",MIN(AN$38,$D$19)&lt;MAX($P$34*($B232+IF($R$17="Distrato",$I$38-1,0)),IF(AND($L$37=0,$P$34=0),"",$L$37-1),IF($R$17="Distrato",$E232,0))),0,YEARFRAC(MAX($P$34*($B232+IF($R$17="Distrato",$I$38-1,0)),IF(AND($L$37=0,$P$34=0),"",$L$37-1),IF($R$17="Distrato",$E232,0)),MIN(AN$38,$D$19),$P$20))-SUM($P232:AM232)</f>
        <v>#VALUE!</v>
      </c>
      <c r="AO232" s="446" t="e">
        <f>IF(OR($B232="",MIN(AO$38,$D$19)&lt;MAX($P$34*($B232+IF($R$17="Distrato",$I$38-1,0)),IF(AND($L$37=0,$P$34=0),"",$L$37-1),IF($R$17="Distrato",$E232,0))),0,YEARFRAC(MAX($P$34*($B232+IF($R$17="Distrato",$I$38-1,0)),IF(AND($L$37=0,$P$34=0),"",$L$37-1),IF($R$17="Distrato",$E232,0)),MIN(AO$38,$D$19),$P$20))-SUM($P232:AN232)</f>
        <v>#VALUE!</v>
      </c>
      <c r="AP232" s="446" t="e">
        <f>IF(OR($B232="",MIN(AP$38,$D$19)&lt;MAX($P$34*($B232+IF($R$17="Distrato",$I$38-1,0)),IF(AND($L$37=0,$P$34=0),"",$L$37-1),IF($R$17="Distrato",$E232,0))),0,YEARFRAC(MAX($P$34*($B232+IF($R$17="Distrato",$I$38-1,0)),IF(AND($L$37=0,$P$34=0),"",$L$37-1),IF($R$17="Distrato",$E232,0)),MIN(AP$38,$D$19),$P$20))-SUM($P232:AO232)</f>
        <v>#VALUE!</v>
      </c>
      <c r="AQ232" s="446" t="e">
        <f>IF(OR($B232="",MIN(AQ$38,$D$19)&lt;MAX($P$34*($B232+IF($R$17="Distrato",$I$38-1,0)),IF(AND($L$37=0,$P$34=0),"",$L$37-1),IF($R$17="Distrato",$E232,0))),0,YEARFRAC(MAX($P$34*($B232+IF($R$17="Distrato",$I$38-1,0)),IF(AND($L$37=0,$P$34=0),"",$L$37-1),IF($R$17="Distrato",$E232,0)),MIN(AQ$38,$D$19),$P$20))-SUM($P232:AP232)</f>
        <v>#VALUE!</v>
      </c>
      <c r="AR232" s="446" t="e">
        <f>IF(OR($B232="",MIN(AR$38,$D$19)&lt;MAX($P$34*($B232+IF($R$17="Distrato",$I$38-1,0)),IF(AND($L$37=0,$P$34=0),"",$L$37-1),IF($R$17="Distrato",$E232,0))),0,YEARFRAC(MAX($P$34*($B232+IF($R$17="Distrato",$I$38-1,0)),IF(AND($L$37=0,$P$34=0),"",$L$37-1),IF($R$17="Distrato",$E232,0)),MIN(AR$38,$D$19),$P$20))-SUM($P232:AQ232)</f>
        <v>#VALUE!</v>
      </c>
      <c r="AS232" s="446" t="e">
        <f>IF(OR($B232="",MIN(AS$38,$D$19)&lt;MAX($P$34*($B232+IF($R$17="Distrato",$I$38-1,0)),IF(AND($L$37=0,$P$34=0),"",$L$37-1),IF($R$17="Distrato",$E232,0))),0,YEARFRAC(MAX($P$34*($B232+IF($R$17="Distrato",$I$38-1,0)),IF(AND($L$37=0,$P$34=0),"",$L$37-1),IF($R$17="Distrato",$E232,0)),MIN(AS$38,$D$19),$P$20))-SUM($P232:AR232)</f>
        <v>#VALUE!</v>
      </c>
      <c r="AT232" s="446" t="e">
        <f>IF(OR($B232="",MIN(AT$38,$D$19)&lt;MAX($P$34*($B232+IF($R$17="Distrato",$I$38-1,0)),IF(AND($L$37=0,$P$34=0),"",$L$37-1),IF($R$17="Distrato",$E232,0))),0,YEARFRAC(MAX($P$34*($B232+IF($R$17="Distrato",$I$38-1,0)),IF(AND($L$37=0,$P$34=0),"",$L$37-1),IF($R$17="Distrato",$E232,0)),MIN(AT$38,$D$19),$P$20))-SUM($P232:AS232)</f>
        <v>#VALUE!</v>
      </c>
      <c r="AU232" s="446" t="e">
        <f>IF(OR($B232="",MIN(AU$38,$D$19)&lt;MAX($P$34*($B232+IF($R$17="Distrato",$I$38-1,0)),IF(AND($L$37=0,$P$34=0),"",$L$37-1),IF($R$17="Distrato",$E232,0))),0,YEARFRAC(MAX($P$34*($B232+IF($R$17="Distrato",$I$38-1,0)),IF(AND($L$37=0,$P$34=0),"",$L$37-1),IF($R$17="Distrato",$E232,0)),MIN(AU$38,$D$19),$P$20))-SUM($P232:AT232)</f>
        <v>#VALUE!</v>
      </c>
      <c r="AV232" s="446" t="e">
        <f>IF(OR($B232="",MIN(AV$38,$D$19)&lt;MAX($P$34*($B232+IF($R$17="Distrato",$I$38-1,0)),IF(AND($L$37=0,$P$34=0),"",$L$37-1),IF($R$17="Distrato",$E232,0))),0,YEARFRAC(MAX($P$34*($B232+IF($R$17="Distrato",$I$38-1,0)),IF(AND($L$37=0,$P$34=0),"",$L$37-1),IF($R$17="Distrato",$E232,0)),MIN(AV$38,$D$19),$P$20))-SUM($P232:AU232)</f>
        <v>#VALUE!</v>
      </c>
      <c r="AW232" s="446" t="e">
        <f>IF(OR($B232="",MIN(AW$38,$D$19)&lt;MAX($P$34*($B232+IF($R$17="Distrato",$I$38-1,0)),IF(AND($L$37=0,$P$34=0),"",$L$37-1),IF($R$17="Distrato",$E232,0))),0,YEARFRAC(MAX($P$34*($B232+IF($R$17="Distrato",$I$38-1,0)),IF(AND($L$37=0,$P$34=0),"",$L$37-1),IF($R$17="Distrato",$E232,0)),MIN(AW$38,$D$19),$P$20))-SUM($P232:AV232)</f>
        <v>#VALUE!</v>
      </c>
      <c r="AX232" s="446" t="e">
        <f>IF(OR($B232="",MIN(AX$38,$D$19)&lt;MAX($P$34*($B232+IF($R$17="Distrato",$I$38-1,0)),IF(AND($L$37=0,$P$34=0),"",$L$37-1),IF($R$17="Distrato",$E232,0))),0,YEARFRAC(MAX($P$34*($B232+IF($R$17="Distrato",$I$38-1,0)),IF(AND($L$37=0,$P$34=0),"",$L$37-1),IF($R$17="Distrato",$E232,0)),MIN(AX$38,$D$19),$P$20))-SUM($P232:AW232)</f>
        <v>#VALUE!</v>
      </c>
      <c r="AY232" s="446" t="e">
        <f>IF(OR($B232="",MIN(AY$38,$D$19)&lt;MAX($P$34*($B232+IF($R$17="Distrato",$I$38-1,0)),IF(AND($L$37=0,$P$34=0),"",$L$37-1),IF($R$17="Distrato",$E232,0))),0,YEARFRAC(MAX($P$34*($B232+IF($R$17="Distrato",$I$38-1,0)),IF(AND($L$37=0,$P$34=0),"",$L$37-1),IF($R$17="Distrato",$E232,0)),MIN(AY$38,$D$19),$P$20))-SUM($P232:AX232)</f>
        <v>#VALUE!</v>
      </c>
      <c r="AZ232" s="446" t="e">
        <f>IF(OR($B232="",MIN(AZ$38,$D$19)&lt;MAX($P$34*($B232+IF($R$17="Distrato",$I$38-1,0)),IF(AND($L$37=0,$P$34=0),"",$L$37-1),IF($R$17="Distrato",$E232,0))),0,YEARFRAC(MAX($P$34*($B232+IF($R$17="Distrato",$I$38-1,0)),IF(AND($L$37=0,$P$34=0),"",$L$37-1),IF($R$17="Distrato",$E232,0)),MIN(AZ$38,$D$19),$P$20))-SUM($P232:AY232)</f>
        <v>#VALUE!</v>
      </c>
      <c r="BA232" s="446" t="e">
        <f>IF(OR($B232="",MIN(BA$38,$D$19)&lt;MAX($P$34*($B232+IF($R$17="Distrato",$I$38-1,0)),IF(AND($L$37=0,$P$34=0),"",$L$37-1),IF($R$17="Distrato",$E232,0))),0,YEARFRAC(MAX($P$34*($B232+IF($R$17="Distrato",$I$38-1,0)),IF(AND($L$37=0,$P$34=0),"",$L$37-1),IF($R$17="Distrato",$E232,0)),MIN(BA$38,$D$19),$P$20))-SUM($P232:AZ232)</f>
        <v>#VALUE!</v>
      </c>
      <c r="BB232" s="447"/>
      <c r="BF232" s="446">
        <f t="shared" ref="BF232:BF295" si="43">IF($E232=0,0,IF(MIN(BF$38,$E232)&lt;MAX($P$34*($B232+$I$38-1),IF(AND($L$37=0,$P$34=0),"",$L$37-1)),0,YEARFRAC(MAX($P$34*($B232+$I$38-1),IF(AND($L$37=0,$P$34=0),"",$L$37-1)),MIN(BF$38,$E232),$P$20)))</f>
        <v>0</v>
      </c>
      <c r="BG232" s="446">
        <f>IF($E232=0,0,IF(MIN(BG$38,$E232)&lt;MAX($P$34*($B232+$I$38-1),IF(AND($L$37=0,$P$34=0),"",$L$37-1)),0,YEARFRAC(MAX($P$34*($B232+$I$38-1),IF(AND($L$37=0,$P$34=0),"",$L$37-1)),MIN(BG$38,$E232),$P$20))-SUM($BF232:BF232))</f>
        <v>0</v>
      </c>
      <c r="BH232" s="446">
        <f>IF($E232=0,0,IF(MIN(BH$38,$E232)&lt;MAX($P$34*($B232+$I$38-1),IF(AND($L$37=0,$P$34=0),"",$L$37-1)),0,YEARFRAC(MAX($P$34*($B232+$I$38-1),IF(AND($L$37=0,$P$34=0),"",$L$37-1)),MIN(BH$38,$E232),$P$20))-SUM($BF232:BG232))</f>
        <v>0</v>
      </c>
      <c r="BI232" s="446">
        <f>IF($E232=0,0,IF(MIN(BI$38,$E232)&lt;MAX($P$34*($B232+$I$38-1),IF(AND($L$37=0,$P$34=0),"",$L$37-1)),0,YEARFRAC(MAX($P$34*($B232+$I$38-1),IF(AND($L$37=0,$P$34=0),"",$L$37-1)),MIN(BI$38,$E232),$P$20))-SUM($BF232:BH232))</f>
        <v>0</v>
      </c>
      <c r="BJ232" s="446">
        <f>IF($E232=0,0,IF(MIN(BJ$38,$E232)&lt;MAX($P$34*($B232+$I$38-1),IF(AND($L$37=0,$P$34=0),"",$L$37-1)),0,YEARFRAC(MAX($P$34*($B232+$I$38-1),IF(AND($L$37=0,$P$34=0),"",$L$37-1)),MIN(BJ$38,$E232),$P$20))-SUM($BF232:BI232))</f>
        <v>0</v>
      </c>
      <c r="BK232" s="446">
        <f>IF($E232=0,0,IF(MIN(BK$38,$E232)&lt;MAX($P$34*($B232+$I$38-1),IF(AND($L$37=0,$P$34=0),"",$L$37-1)),0,YEARFRAC(MAX($P$34*($B232+$I$38-1),IF(AND($L$37=0,$P$34=0),"",$L$37-1)),MIN(BK$38,$E232),$P$20))-SUM($BF232:BJ232))</f>
        <v>0</v>
      </c>
      <c r="BL232" s="446">
        <f>IF($E232=0,0,IF(MIN(BL$38,$E232)&lt;MAX($P$34*($B232+$I$38-1),IF(AND($L$37=0,$P$34=0),"",$L$37-1)),0,YEARFRAC(MAX($P$34*($B232+$I$38-1),IF(AND($L$37=0,$P$34=0),"",$L$37-1)),MIN(BL$38,$E232),$P$20))-SUM($BF232:BK232))</f>
        <v>0</v>
      </c>
      <c r="BM232" s="446">
        <f>IF($E232=0,0,IF(MIN(BM$38,$E232)&lt;MAX($P$34*($B232+$I$38-1),IF(AND($L$37=0,$P$34=0),"",$L$37-1)),0,YEARFRAC(MAX($P$34*($B232+$I$38-1),IF(AND($L$37=0,$P$34=0),"",$L$37-1)),MIN(BM$38,$E232),$P$20))-SUM($BF232:BL232))</f>
        <v>0</v>
      </c>
      <c r="BN232" s="446">
        <f>IF($E232=0,0,IF(MIN(BN$38,$E232)&lt;MAX($P$34*($B232+$I$38-1),IF(AND($L$37=0,$P$34=0),"",$L$37-1)),0,YEARFRAC(MAX($P$34*($B232+$I$38-1),IF(AND($L$37=0,$P$34=0),"",$L$37-1)),MIN(BN$38,$E232),$P$20))-SUM($BF232:BM232))</f>
        <v>0</v>
      </c>
      <c r="BO232" s="446">
        <f>IF($E232=0,0,IF(MIN(BO$38,$E232)&lt;MAX($P$34*($B232+$I$38-1),IF(AND($L$37=0,$P$34=0),"",$L$37-1)),0,YEARFRAC(MAX($P$34*($B232+$I$38-1),IF(AND($L$37=0,$P$34=0),"",$L$37-1)),MIN(BO$38,$E232),$P$20))-SUM($BF232:BN232))</f>
        <v>0</v>
      </c>
      <c r="BP232" s="446">
        <f>IF($E232=0,0,IF(MIN(BP$38,$E232)&lt;MAX($P$34*($B232+$I$38-1),IF(AND($L$37=0,$P$34=0),"",$L$37-1)),0,YEARFRAC(MAX($P$34*($B232+$I$38-1),IF(AND($L$37=0,$P$34=0),"",$L$37-1)),MIN(BP$38,$E232),$P$20))-SUM($BF232:BO232))</f>
        <v>0</v>
      </c>
      <c r="BQ232" s="446">
        <f>IF($E232=0,0,IF(MIN(BQ$38,$E232)&lt;MAX($P$34*($B232+$I$38-1),IF(AND($L$37=0,$P$34=0),"",$L$37-1)),0,YEARFRAC(MAX($P$34*($B232+$I$38-1),IF(AND($L$37=0,$P$34=0),"",$L$37-1)),MIN(BQ$38,$E232),$P$20))-SUM($BF232:BP232))</f>
        <v>0</v>
      </c>
      <c r="BR232" s="446">
        <f>IF($E232=0,0,IF(MIN(BR$38,$E232)&lt;MAX($P$34*($B232+$I$38-1),IF(AND($L$37=0,$P$34=0),"",$L$37-1)),0,YEARFRAC(MAX($P$34*($B232+$I$38-1),IF(AND($L$37=0,$P$34=0),"",$L$37-1)),MIN(BR$38,$E232),$P$20))-SUM($BF232:BQ232))</f>
        <v>0</v>
      </c>
      <c r="BS232" s="446">
        <f>IF($E232=0,0,IF(MIN(BS$38,$E232)&lt;MAX($P$34*($B232+$I$38-1),IF(AND($L$37=0,$P$34=0),"",$L$37-1)),0,YEARFRAC(MAX($P$34*($B232+$I$38-1),IF(AND($L$37=0,$P$34=0),"",$L$37-1)),MIN(BS$38,$E232),$P$20))-SUM($BF232:BR232))</f>
        <v>0</v>
      </c>
      <c r="BT232" s="446">
        <f>IF($E232=0,0,IF(MIN(BT$38,$E232)&lt;MAX($P$34*($B232+$I$38-1),IF(AND($L$37=0,$P$34=0),"",$L$37-1)),0,YEARFRAC(MAX($P$34*($B232+$I$38-1),IF(AND($L$37=0,$P$34=0),"",$L$37-1)),MIN(BT$38,$E232),$P$20))-SUM($BF232:BS232))</f>
        <v>0</v>
      </c>
      <c r="BU232" s="446">
        <f>IF($E232=0,0,IF(MIN(BU$38,$E232)&lt;MAX($P$34*($B232+$I$38-1),IF(AND($L$37=0,$P$34=0),"",$L$37-1)),0,YEARFRAC(MAX($P$34*($B232+$I$38-1),IF(AND($L$37=0,$P$34=0),"",$L$37-1)),MIN(BU$38,$E232),$P$20))-SUM($BF232:BT232))</f>
        <v>0</v>
      </c>
      <c r="BV232" s="446">
        <f>IF($E232=0,0,IF(MIN(BV$38,$E232)&lt;MAX($P$34*($B232+$I$38-1),IF(AND($L$37=0,$P$34=0),"",$L$37-1)),0,YEARFRAC(MAX($P$34*($B232+$I$38-1),IF(AND($L$37=0,$P$34=0),"",$L$37-1)),MIN(BV$38,$E232),$P$20))-SUM($BF232:BU232))</f>
        <v>0</v>
      </c>
      <c r="BW232" s="446">
        <f>IF($E232=0,0,IF(MIN(BW$38,$E232)&lt;MAX($P$34*($B232+$I$38-1),IF(AND($L$37=0,$P$34=0),"",$L$37-1)),0,YEARFRAC(MAX($P$34*($B232+$I$38-1),IF(AND($L$37=0,$P$34=0),"",$L$37-1)),MIN(BW$38,$E232),$P$20))-SUM($BF232:BV232))</f>
        <v>0</v>
      </c>
      <c r="BX232" s="446">
        <f>IF($E232=0,0,IF(MIN(BX$38,$E232)&lt;MAX($P$34*($B232+$I$38-1),IF(AND($L$37=0,$P$34=0),"",$L$37-1)),0,YEARFRAC(MAX($P$34*($B232+$I$38-1),IF(AND($L$37=0,$P$34=0),"",$L$37-1)),MIN(BX$38,$E232),$P$20))-SUM($BF232:BW232))</f>
        <v>0</v>
      </c>
      <c r="BY232" s="446">
        <f>IF($E232=0,0,IF(MIN(BY$38,$E232)&lt;MAX($P$34*($B232+$I$38-1),IF(AND($L$37=0,$P$34=0),"",$L$37-1)),0,YEARFRAC(MAX($P$34*($B232+$I$38-1),IF(AND($L$37=0,$P$34=0),"",$L$37-1)),MIN(BY$38,$E232),$P$20))-SUM($BF232:BX232))</f>
        <v>0</v>
      </c>
      <c r="BZ232" s="446">
        <f>IF($E232=0,0,IF(MIN(BZ$38,$E232)&lt;MAX($P$34*($B232+$I$38-1),IF(AND($L$37=0,$P$34=0),"",$L$37-1)),0,YEARFRAC(MAX($P$34*($B232+$I$38-1),IF(AND($L$37=0,$P$34=0),"",$L$37-1)),MIN(BZ$38,$E232),$P$20))-SUM($BF232:BY232))</f>
        <v>0</v>
      </c>
      <c r="CA232" s="446">
        <f>IF($E232=0,0,IF(MIN(CA$38,$E232)&lt;MAX($P$34*($B232+$I$38-1),IF(AND($L$37=0,$P$34=0),"",$L$37-1)),0,YEARFRAC(MAX($P$34*($B232+$I$38-1),IF(AND($L$37=0,$P$34=0),"",$L$37-1)),MIN(CA$38,$E232),$P$20))-SUM($BF232:BZ232))</f>
        <v>0</v>
      </c>
      <c r="CB232" s="446">
        <f>IF($E232=0,0,IF(MIN(CB$38,$E232)&lt;MAX($P$34*($B232+$I$38-1),IF(AND($L$37=0,$P$34=0),"",$L$37-1)),0,YEARFRAC(MAX($P$34*($B232+$I$38-1),IF(AND($L$37=0,$P$34=0),"",$L$37-1)),MIN(CB$38,$E232),$P$20))-SUM($BF232:CA232))</f>
        <v>0</v>
      </c>
      <c r="CC232" s="446">
        <f>IF($E232=0,0,IF(MIN(CC$38,$E232)&lt;MAX($P$34*($B232+$I$38-1),IF(AND($L$37=0,$P$34=0),"",$L$37-1)),0,YEARFRAC(MAX($P$34*($B232+$I$38-1),IF(AND($L$37=0,$P$34=0),"",$L$37-1)),MIN(CC$38,$E232),$P$20))-SUM($BF232:CB232))</f>
        <v>0</v>
      </c>
      <c r="CD232" s="446">
        <f>IF($E232=0,0,IF(MIN(CD$38,$E232)&lt;MAX($P$34*($B232+$I$38-1),IF(AND($L$37=0,$P$34=0),"",$L$37-1)),0,YEARFRAC(MAX($P$34*($B232+$I$38-1),IF(AND($L$37=0,$P$34=0),"",$L$37-1)),MIN(CD$38,$E232),$P$20))-SUM($BF232:CC232))</f>
        <v>0</v>
      </c>
      <c r="CE232" s="446">
        <f>IF($E232=0,0,IF(MIN(CE$38,$E232)&lt;MAX($P$34*($B232+$I$38-1),IF(AND($L$37=0,$P$34=0),"",$L$37-1)),0,YEARFRAC(MAX($P$34*($B232+$I$38-1),IF(AND($L$37=0,$P$34=0),"",$L$37-1)),MIN(CE$38,$E232),$P$20))-SUM($BF232:CD232))</f>
        <v>0</v>
      </c>
      <c r="CF232" s="446">
        <f>IF($E232=0,0,IF(MIN(CF$38,$E232)&lt;MAX($P$34*($B232+$I$38-1),IF(AND($L$37=0,$P$34=0),"",$L$37-1)),0,YEARFRAC(MAX($P$34*($B232+$I$38-1),IF(AND($L$37=0,$P$34=0),"",$L$37-1)),MIN(CF$38,$E232),$P$20))-SUM($BF232:CE232))</f>
        <v>0</v>
      </c>
      <c r="CG232" s="446">
        <f>IF($E232=0,0,IF(MIN(CG$38,$E232)&lt;MAX($P$34*($B232+$I$38-1),IF(AND($L$37=0,$P$34=0),"",$L$37-1)),0,YEARFRAC(MAX($P$34*($B232+$I$38-1),IF(AND($L$37=0,$P$34=0),"",$L$37-1)),MIN(CG$38,$E232),$P$20))-SUM($BF232:CF232))</f>
        <v>0</v>
      </c>
      <c r="CH232" s="446">
        <f>IF($E232=0,0,IF(MIN(CH$38,$E232)&lt;MAX($P$34*($B232+$I$38-1),IF(AND($L$37=0,$P$34=0),"",$L$37-1)),0,YEARFRAC(MAX($P$34*($B232+$I$38-1),IF(AND($L$37=0,$P$34=0),"",$L$37-1)),MIN(CH$38,$E232),$P$20))-SUM($BF232:CG232))</f>
        <v>0</v>
      </c>
      <c r="CI232" s="446">
        <f>IF($E232=0,0,IF(MIN(CI$38,$E232)&lt;MAX($P$34*($B232+$I$38-1),IF(AND($L$37=0,$P$34=0),"",$L$37-1)),0,YEARFRAC(MAX($P$34*($B232+$I$38-1),IF(AND($L$37=0,$P$34=0),"",$L$37-1)),MIN(CI$38,$E232),$P$20))-SUM($BF232:CH232))</f>
        <v>0</v>
      </c>
      <c r="CJ232" s="446">
        <f>IF($E232=0,0,IF(MIN(CJ$38,$E232)&lt;MAX($P$34*($B232+$I$38-1),IF(AND($L$37=0,$P$34=0),"",$L$37-1)),0,YEARFRAC(MAX($P$34*($B232+$I$38-1),IF(AND($L$37=0,$P$34=0),"",$L$37-1)),MIN(CJ$38,$E232),$P$20))-SUM($BF232:CI232))</f>
        <v>0</v>
      </c>
      <c r="CK232" s="446">
        <f>IF($E232=0,0,IF(MIN(CK$38,$E232)&lt;MAX($P$34*($B232+$I$38-1),IF(AND($L$37=0,$P$34=0),"",$L$37-1)),0,YEARFRAC(MAX($P$34*($B232+$I$38-1),IF(AND($L$37=0,$P$34=0),"",$L$37-1)),MIN(CK$38,$E232),$P$20))-SUM($BF232:CJ232))</f>
        <v>0</v>
      </c>
      <c r="CL232" s="446">
        <f>IF($E232=0,0,IF(MIN(CL$38,$E232)&lt;MAX($P$34*($B232+$I$38-1),IF(AND($L$37=0,$P$34=0),"",$L$37-1)),0,YEARFRAC(MAX($P$34*($B232+$I$38-1),IF(AND($L$37=0,$P$34=0),"",$L$37-1)),MIN(CL$38,$E232),$P$20))-SUM($BF232:CK232))</f>
        <v>0</v>
      </c>
      <c r="CM232" s="446">
        <f>IF($E232=0,0,IF(MIN(CM$38,$E232)&lt;MAX($P$34*($B232+$I$38-1),IF(AND($L$37=0,$P$34=0),"",$L$37-1)),0,YEARFRAC(MAX($P$34*($B232+$I$38-1),IF(AND($L$37=0,$P$34=0),"",$L$37-1)),MIN(CM$38,$E232),$P$20))-SUM($BF232:CL232))</f>
        <v>0</v>
      </c>
      <c r="CN232" s="446">
        <f>IF($E232=0,0,IF(MIN(CN$38,$E232)&lt;MAX($P$34*($B232+$I$38-1),IF(AND($L$37=0,$P$34=0),"",$L$37-1)),0,YEARFRAC(MAX($P$34*($B232+$I$38-1),IF(AND($L$37=0,$P$34=0),"",$L$37-1)),MIN(CN$38,$E232),$P$20))-SUM($BF232:CM232))</f>
        <v>0</v>
      </c>
      <c r="CO232" s="446">
        <f>IF($E232=0,0,IF(MIN(CO$38,$E232)&lt;MAX($P$34*($B232+$I$38-1),IF(AND($L$37=0,$P$34=0),"",$L$37-1)),0,YEARFRAC(MAX($P$34*($B232+$I$38-1),IF(AND($L$37=0,$P$34=0),"",$L$37-1)),MIN(CO$38,$E232),$P$20))-SUM($BF232:CN232))</f>
        <v>0</v>
      </c>
      <c r="CP232" s="446">
        <f>IF($E232=0,0,IF(MIN(CP$38,$E232)&lt;MAX($P$34*($B232+$I$38-1),IF(AND($L$37=0,$P$34=0),"",$L$37-1)),0,YEARFRAC(MAX($P$34*($B232+$I$38-1),IF(AND($L$37=0,$P$34=0),"",$L$37-1)),MIN(CP$38,$E232),$P$20))-SUM($BF232:CO232))</f>
        <v>0</v>
      </c>
      <c r="CQ232" s="446">
        <f>IF($E232=0,0,IF(MIN(CQ$38,$E232)&lt;MAX($P$34*($B232+$I$38-1),IF(AND($L$37=0,$P$34=0),"",$L$37-1)),0,YEARFRAC(MAX($P$34*($B232+$I$38-1),IF(AND($L$37=0,$P$34=0),"",$L$37-1)),MIN(CQ$38,$E232),$P$20))-SUM($BF232:CP232))</f>
        <v>0</v>
      </c>
    </row>
    <row r="233" spans="1:95" s="446" customFormat="1" ht="11.25" hidden="1" customHeight="1" x14ac:dyDescent="0.2">
      <c r="A233" s="152"/>
      <c r="B233" s="153" t="str">
        <f t="shared" si="37"/>
        <v/>
      </c>
      <c r="C233" s="29" t="str">
        <f>IF(B233="","",IF($L$35="SELIC - TRIBUTOS",VLOOKUP(DATE(YEAR($D$19),MONTH($D$19)-1,1),ÍNDICES!$A:$DE,HLOOKUP($BL$25,ÍNDICES!$B$3:$T$4,2)+11)-VLOOKUP(B233,ÍNDICES!$A:$DE,HLOOKUP($BL$25,ÍNDICES!$B$3:$T$4,2)+11)+1%,IF(C$38=$W$26,$J$35,IF(ISERROR(IF(B233&gt;$D$19,1,VLOOKUP(DATE(YEAR(B233),MONTH(B233)+IF($C$35=$S$23,1,0),1),ÍNDICES!$A:$DE,$Z$35+1))),"",IF(B233&gt;$D$19,1,VLOOKUP(DATE(YEAR(B233),MONTH(B233)+IF($C$35=$S$23,1,0),1),ÍNDICES!$A:$DE,$Z$35+1))))))</f>
        <v/>
      </c>
      <c r="D233" s="154" t="str">
        <f>IF(ISERROR(IF(OR($D$38=$Y$27,$B233=""),"",VLOOKUP(B233,ÍNDICES!A:DE,AF$35+1))),"",IF(OR($D$38=$Y$27,$B233=""),"",VLOOKUP(B233,ÍNDICES!A:DE,AF$35+1)))</f>
        <v/>
      </c>
      <c r="E233" s="153"/>
      <c r="F233" s="29" t="str">
        <f>IF(E233="","",IF($L$35="SELIC - TRIBUTOS",VLOOKUP(DATE(YEAR($D$19),MONTH($D$19)-1,1),ÍNDICES!$A:$DE,HLOOKUP($BL$25,ÍNDICES!$B$3:$T$4,2)+11)-VLOOKUP(E233,ÍNDICES!$A:$DE,HLOOKUP($BL$25,ÍNDICES!$B$3:$T$4,2)+11)+1%,IF(F$38=$W$26,$J$35,IF(ISERROR(IF(E233&gt;$D$19,1,VLOOKUP(DATE(YEAR(E233),MONTH(E233)+IF($C$35=$S$23,1,0),1),ÍNDICES!$A:$DE,$Z$35+1))),"",IF(E233&gt;$D$19,1,VLOOKUP(DATE(YEAR(E233),MONTH(E233)+IF($C$35=$S$23,1,0),1),ÍNDICES!$A:$DE,$Z$35+1))))))</f>
        <v/>
      </c>
      <c r="G233" s="155"/>
      <c r="H233" s="156" t="str">
        <f t="shared" ref="H233:H296" si="44">IF(E233="",IF(D233="","",D233),IF(ISERROR(D233/(IF(E233&lt;B233,1,C233/F233))-G233),-G233,D233/(IF(E233&lt;B233,1,C233/F233))-G233))</f>
        <v/>
      </c>
      <c r="I233" s="29" t="str">
        <f t="shared" si="38"/>
        <v/>
      </c>
      <c r="J233" s="5">
        <f t="shared" si="39"/>
        <v>0</v>
      </c>
      <c r="K233" s="20">
        <f t="shared" ca="1" si="40"/>
        <v>0</v>
      </c>
      <c r="L233" s="5">
        <f t="shared" ca="1" si="41"/>
        <v>0</v>
      </c>
      <c r="M233" s="64">
        <f t="shared" ref="M233:M296" si="45">IFERROR(SUM(P233:BA233),0)</f>
        <v>0</v>
      </c>
      <c r="N233" s="61">
        <f t="shared" ref="N233:N296" ca="1" si="46">IFERROR($N$38*(K233+IF(OR(L$35="SELIC - TRIBUTOS",$N$37="sobre principal"),0,J233+L233)),0)</f>
        <v>0</v>
      </c>
      <c r="O233" s="5">
        <f t="shared" ref="O233:O296" ca="1" si="47">IF(ISERROR((K233+J233+L233+N233)*O$38),"",(K233+J233+L233+N233)*O$38)</f>
        <v>0</v>
      </c>
      <c r="P233" s="446" t="e">
        <f t="shared" si="42"/>
        <v>#VALUE!</v>
      </c>
      <c r="Q233" s="446" t="e">
        <f>IF(OR($B233="",MIN(Q$38,$D$19)&lt;MAX($P$34*($B233+IF($R$17="Distrato",$I$38-1,0)),IF(AND($L$37=0,$P$34=0),"",$L$37-1),IF($R$17="Distrato",$E233,0))),0,YEARFRAC(MAX($P$34*($B233+IF($R$17="Distrato",$I$38-1,0)),IF(AND($L$37=0,$P$34=0),"",$L$37-1),IF($R$17="Distrato",$E233,0)),MIN(Q$38,$D$19),$P$20))-SUM($P233:P233)</f>
        <v>#VALUE!</v>
      </c>
      <c r="R233" s="446" t="e">
        <f>IF(OR($B233="",MIN(R$38,$D$19)&lt;MAX($P$34*($B233+IF($R$17="Distrato",$I$38-1,0)),IF(AND($L$37=0,$P$34=0),"",$L$37-1),IF($R$17="Distrato",$E233,0))),0,YEARFRAC(MAX($P$34*($B233+IF($R$17="Distrato",$I$38-1,0)),IF(AND($L$37=0,$P$34=0),"",$L$37-1),IF($R$17="Distrato",$E233,0)),MIN(R$38,$D$19),$P$20))-SUM($P233:Q233)</f>
        <v>#VALUE!</v>
      </c>
      <c r="S233" s="446" t="e">
        <f>IF(OR($B233="",MIN(S$38,$D$19)&lt;MAX($P$34*($B233+IF($R$17="Distrato",$I$38-1,0)),IF(AND($L$37=0,$P$34=0),"",$L$37-1),IF($R$17="Distrato",$E233,0))),0,YEARFRAC(MAX($P$34*($B233+IF($R$17="Distrato",$I$38-1,0)),IF(AND($L$37=0,$P$34=0),"",$L$37-1),IF($R$17="Distrato",$E233,0)),MIN(S$38,$D$19),$P$20))-SUM($P233:R233)</f>
        <v>#VALUE!</v>
      </c>
      <c r="T233" s="446" t="e">
        <f>IF(OR($B233="",MIN(T$38,$D$19)&lt;MAX($P$34*($B233+IF($R$17="Distrato",$I$38-1,0)),IF(AND($L$37=0,$P$34=0),"",$L$37-1),IF($R$17="Distrato",$E233,0))),0,YEARFRAC(MAX($P$34*($B233+IF($R$17="Distrato",$I$38-1,0)),IF(AND($L$37=0,$P$34=0),"",$L$37-1),IF($R$17="Distrato",$E233,0)),MIN(T$38,$D$19),$P$20))-SUM($P233:S233)</f>
        <v>#VALUE!</v>
      </c>
      <c r="U233" s="446" t="e">
        <f>IF(OR($B233="",MIN(U$38,$D$19)&lt;MAX($P$34*($B233+IF($R$17="Distrato",$I$38-1,0)),IF(AND($L$37=0,$P$34=0),"",$L$37-1),IF($R$17="Distrato",$E233,0))),0,YEARFRAC(MAX($P$34*($B233+IF($R$17="Distrato",$I$38-1,0)),IF(AND($L$37=0,$P$34=0),"",$L$37-1),IF($R$17="Distrato",$E233,0)),MIN(U$38,$D$19),$P$20))-SUM($P233:T233)</f>
        <v>#VALUE!</v>
      </c>
      <c r="V233" s="446" t="e">
        <f>IF(OR($B233="",MIN(V$38,$D$19)&lt;MAX($P$34*($B233+IF($R$17="Distrato",$I$38-1,0)),IF(AND($L$37=0,$P$34=0),"",$L$37-1),IF($R$17="Distrato",$E233,0))),0,YEARFRAC(MAX($P$34*($B233+IF($R$17="Distrato",$I$38-1,0)),IF(AND($L$37=0,$P$34=0),"",$L$37-1),IF($R$17="Distrato",$E233,0)),MIN(V$38,$D$19),$P$20))-SUM($P233:U233)</f>
        <v>#VALUE!</v>
      </c>
      <c r="W233" s="446" t="e">
        <f>IF(OR($B233="",MIN(W$38,$D$19)&lt;MAX($P$34*($B233+IF($R$17="Distrato",$I$38-1,0)),IF(AND($L$37=0,$P$34=0),"",$L$37-1),IF($R$17="Distrato",$E233,0))),0,YEARFRAC(MAX($P$34*($B233+IF($R$17="Distrato",$I$38-1,0)),IF(AND($L$37=0,$P$34=0),"",$L$37-1),IF($R$17="Distrato",$E233,0)),MIN(W$38,$D$19),$P$20))-SUM($P233:V233)</f>
        <v>#VALUE!</v>
      </c>
      <c r="X233" s="446" t="e">
        <f>IF(OR($B233="",MIN(X$38,$D$19)&lt;MAX($P$34*($B233+IF($R$17="Distrato",$I$38-1,0)),IF(AND($L$37=0,$P$34=0),"",$L$37-1),IF($R$17="Distrato",$E233,0))),0,YEARFRAC(MAX($P$34*($B233+IF($R$17="Distrato",$I$38-1,0)),IF(AND($L$37=0,$P$34=0),"",$L$37-1),IF($R$17="Distrato",$E233,0)),MIN(X$38,$D$19),$P$20))-SUM($P233:W233)</f>
        <v>#VALUE!</v>
      </c>
      <c r="Y233" s="446" t="e">
        <f>IF(OR($B233="",MIN(Y$38,$D$19)&lt;MAX($P$34*($B233+IF($R$17="Distrato",$I$38-1,0)),IF(AND($L$37=0,$P$34=0),"",$L$37-1),IF($R$17="Distrato",$E233,0))),0,YEARFRAC(MAX($P$34*($B233+IF($R$17="Distrato",$I$38-1,0)),IF(AND($L$37=0,$P$34=0),"",$L$37-1),IF($R$17="Distrato",$E233,0)),MIN(Y$38,$D$19),$P$20))-SUM($P233:X233)</f>
        <v>#VALUE!</v>
      </c>
      <c r="Z233" s="446" t="e">
        <f>IF(OR($B233="",MIN(Z$38,$D$19)&lt;MAX($P$34*($B233+IF($R$17="Distrato",$I$38-1,0)),IF(AND($L$37=0,$P$34=0),"",$L$37-1),IF($R$17="Distrato",$E233,0))),0,YEARFRAC(MAX($P$34*($B233+IF($R$17="Distrato",$I$38-1,0)),IF(AND($L$37=0,$P$34=0),"",$L$37-1),IF($R$17="Distrato",$E233,0)),MIN(Z$38,$D$19),$P$20))-SUM($P233:Y233)</f>
        <v>#VALUE!</v>
      </c>
      <c r="AA233" s="446" t="e">
        <f>IF(OR($B233="",MIN(AA$38,$D$19)&lt;MAX($P$34*($B233+IF($R$17="Distrato",$I$38-1,0)),IF(AND($L$37=0,$P$34=0),"",$L$37-1),IF($R$17="Distrato",$E233,0))),0,YEARFRAC(MAX($P$34*($B233+IF($R$17="Distrato",$I$38-1,0)),IF(AND($L$37=0,$P$34=0),"",$L$37-1),IF($R$17="Distrato",$E233,0)),MIN(AA$38,$D$19),$P$20))-SUM($P233:Z233)</f>
        <v>#VALUE!</v>
      </c>
      <c r="AB233" s="446" t="e">
        <f>IF(OR($B233="",MIN(AB$38,$D$19)&lt;MAX($P$34*($B233+IF($R$17="Distrato",$I$38-1,0)),IF(AND($L$37=0,$P$34=0),"",$L$37-1),IF($R$17="Distrato",$E233,0))),0,YEARFRAC(MAX($P$34*($B233+IF($R$17="Distrato",$I$38-1,0)),IF(AND($L$37=0,$P$34=0),"",$L$37-1),IF($R$17="Distrato",$E233,0)),MIN(AB$38,$D$19),$P$20))-SUM($P233:AA233)</f>
        <v>#VALUE!</v>
      </c>
      <c r="AC233" s="446" t="e">
        <f>IF(OR($B233="",MIN(AC$38,$D$19)&lt;MAX($P$34*($B233+IF($R$17="Distrato",$I$38-1,0)),IF(AND($L$37=0,$P$34=0),"",$L$37-1),IF($R$17="Distrato",$E233,0))),0,YEARFRAC(MAX($P$34*($B233+IF($R$17="Distrato",$I$38-1,0)),IF(AND($L$37=0,$P$34=0),"",$L$37-1),IF($R$17="Distrato",$E233,0)),MIN(AC$38,$D$19),$P$20))-SUM($P233:AB233)</f>
        <v>#VALUE!</v>
      </c>
      <c r="AD233" s="446" t="e">
        <f>IF(OR($B233="",MIN(AD$38,$D$19)&lt;MAX($P$34*($B233+IF($R$17="Distrato",$I$38-1,0)),IF(AND($L$37=0,$P$34=0),"",$L$37-1),IF($R$17="Distrato",$E233,0))),0,YEARFRAC(MAX($P$34*($B233+IF($R$17="Distrato",$I$38-1,0)),IF(AND($L$37=0,$P$34=0),"",$L$37-1),IF($R$17="Distrato",$E233,0)),MIN(AD$38,$D$19),$P$20))-SUM($P233:AC233)</f>
        <v>#VALUE!</v>
      </c>
      <c r="AE233" s="446" t="e">
        <f>IF(OR($B233="",MIN(AE$38,$D$19)&lt;MAX($P$34*($B233+IF($R$17="Distrato",$I$38-1,0)),IF(AND($L$37=0,$P$34=0),"",$L$37-1),IF($R$17="Distrato",$E233,0))),0,YEARFRAC(MAX($P$34*($B233+IF($R$17="Distrato",$I$38-1,0)),IF(AND($L$37=0,$P$34=0),"",$L$37-1),IF($R$17="Distrato",$E233,0)),MIN(AE$38,$D$19),$P$20))-SUM($P233:AD233)</f>
        <v>#VALUE!</v>
      </c>
      <c r="AF233" s="446" t="e">
        <f>IF(OR($B233="",MIN(AF$38,$D$19)&lt;MAX($P$34*($B233+IF($R$17="Distrato",$I$38-1,0)),IF(AND($L$37=0,$P$34=0),"",$L$37-1),IF($R$17="Distrato",$E233,0))),0,YEARFRAC(MAX($P$34*($B233+IF($R$17="Distrato",$I$38-1,0)),IF(AND($L$37=0,$P$34=0),"",$L$37-1),IF($R$17="Distrato",$E233,0)),MIN(AF$38,$D$19),$P$20))-SUM($P233:AE233)</f>
        <v>#VALUE!</v>
      </c>
      <c r="AG233" s="446" t="e">
        <f>IF(OR($B233="",MIN(AG$38,$D$19)&lt;MAX($P$34*($B233+IF($R$17="Distrato",$I$38-1,0)),IF(AND($L$37=0,$P$34=0),"",$L$37-1),IF($R$17="Distrato",$E233,0))),0,YEARFRAC(MAX($P$34*($B233+IF($R$17="Distrato",$I$38-1,0)),IF(AND($L$37=0,$P$34=0),"",$L$37-1),IF($R$17="Distrato",$E233,0)),MIN(AG$38,$D$19),$P$20))-SUM($P233:AF233)</f>
        <v>#VALUE!</v>
      </c>
      <c r="AH233" s="446" t="e">
        <f>IF(OR($B233="",MIN(AH$38,$D$19)&lt;MAX($P$34*($B233+IF($R$17="Distrato",$I$38-1,0)),IF(AND($L$37=0,$P$34=0),"",$L$37-1),IF($R$17="Distrato",$E233,0))),0,YEARFRAC(MAX($P$34*($B233+IF($R$17="Distrato",$I$38-1,0)),IF(AND($L$37=0,$P$34=0),"",$L$37-1),IF($R$17="Distrato",$E233,0)),MIN(AH$38,$D$19),$P$20))-SUM($P233:AG233)</f>
        <v>#VALUE!</v>
      </c>
      <c r="AI233" s="446" t="e">
        <f>IF(OR($B233="",MIN(AI$38,$D$19)&lt;MAX($P$34*($B233+IF($R$17="Distrato",$I$38-1,0)),IF(AND($L$37=0,$P$34=0),"",$L$37-1),IF($R$17="Distrato",$E233,0))),0,YEARFRAC(MAX($P$34*($B233+IF($R$17="Distrato",$I$38-1,0)),IF(AND($L$37=0,$P$34=0),"",$L$37-1),IF($R$17="Distrato",$E233,0)),MIN(AI$38,$D$19),$P$20))-SUM($P233:AH233)</f>
        <v>#VALUE!</v>
      </c>
      <c r="AJ233" s="446" t="e">
        <f>IF(OR($B233="",MIN(AJ$38,$D$19)&lt;MAX($P$34*($B233+IF($R$17="Distrato",$I$38-1,0)),IF(AND($L$37=0,$P$34=0),"",$L$37-1),IF($R$17="Distrato",$E233,0))),0,YEARFRAC(MAX($P$34*($B233+IF($R$17="Distrato",$I$38-1,0)),IF(AND($L$37=0,$P$34=0),"",$L$37-1),IF($R$17="Distrato",$E233,0)),MIN(AJ$38,$D$19),$P$20))-SUM($P233:AI233)</f>
        <v>#VALUE!</v>
      </c>
      <c r="AK233" s="446" t="e">
        <f>IF(OR($B233="",MIN(AK$38,$D$19)&lt;MAX($P$34*($B233+IF($R$17="Distrato",$I$38-1,0)),IF(AND($L$37=0,$P$34=0),"",$L$37-1),IF($R$17="Distrato",$E233,0))),0,YEARFRAC(MAX($P$34*($B233+IF($R$17="Distrato",$I$38-1,0)),IF(AND($L$37=0,$P$34=0),"",$L$37-1),IF($R$17="Distrato",$E233,0)),MIN(AK$38,$D$19),$P$20))-SUM($P233:AJ233)</f>
        <v>#VALUE!</v>
      </c>
      <c r="AL233" s="446" t="e">
        <f>IF(OR($B233="",MIN(AL$38,$D$19)&lt;MAX($P$34*($B233+IF($R$17="Distrato",$I$38-1,0)),IF(AND($L$37=0,$P$34=0),"",$L$37-1),IF($R$17="Distrato",$E233,0))),0,YEARFRAC(MAX($P$34*($B233+IF($R$17="Distrato",$I$38-1,0)),IF(AND($L$37=0,$P$34=0),"",$L$37-1),IF($R$17="Distrato",$E233,0)),MIN(AL$38,$D$19),$P$20))-SUM($P233:AK233)</f>
        <v>#VALUE!</v>
      </c>
      <c r="AM233" s="446" t="e">
        <f>IF(OR($B233="",MIN(AM$38,$D$19)&lt;MAX($P$34*($B233+IF($R$17="Distrato",$I$38-1,0)),IF(AND($L$37=0,$P$34=0),"",$L$37-1),IF($R$17="Distrato",$E233,0))),0,YEARFRAC(MAX($P$34*($B233+IF($R$17="Distrato",$I$38-1,0)),IF(AND($L$37=0,$P$34=0),"",$L$37-1),IF($R$17="Distrato",$E233,0)),MIN(AM$38,$D$19),$P$20))-SUM($P233:AL233)</f>
        <v>#VALUE!</v>
      </c>
      <c r="AN233" s="446" t="e">
        <f>IF(OR($B233="",MIN(AN$38,$D$19)&lt;MAX($P$34*($B233+IF($R$17="Distrato",$I$38-1,0)),IF(AND($L$37=0,$P$34=0),"",$L$37-1),IF($R$17="Distrato",$E233,0))),0,YEARFRAC(MAX($P$34*($B233+IF($R$17="Distrato",$I$38-1,0)),IF(AND($L$37=0,$P$34=0),"",$L$37-1),IF($R$17="Distrato",$E233,0)),MIN(AN$38,$D$19),$P$20))-SUM($P233:AM233)</f>
        <v>#VALUE!</v>
      </c>
      <c r="AO233" s="446" t="e">
        <f>IF(OR($B233="",MIN(AO$38,$D$19)&lt;MAX($P$34*($B233+IF($R$17="Distrato",$I$38-1,0)),IF(AND($L$37=0,$P$34=0),"",$L$37-1),IF($R$17="Distrato",$E233,0))),0,YEARFRAC(MAX($P$34*($B233+IF($R$17="Distrato",$I$38-1,0)),IF(AND($L$37=0,$P$34=0),"",$L$37-1),IF($R$17="Distrato",$E233,0)),MIN(AO$38,$D$19),$P$20))-SUM($P233:AN233)</f>
        <v>#VALUE!</v>
      </c>
      <c r="AP233" s="446" t="e">
        <f>IF(OR($B233="",MIN(AP$38,$D$19)&lt;MAX($P$34*($B233+IF($R$17="Distrato",$I$38-1,0)),IF(AND($L$37=0,$P$34=0),"",$L$37-1),IF($R$17="Distrato",$E233,0))),0,YEARFRAC(MAX($P$34*($B233+IF($R$17="Distrato",$I$38-1,0)),IF(AND($L$37=0,$P$34=0),"",$L$37-1),IF($R$17="Distrato",$E233,0)),MIN(AP$38,$D$19),$P$20))-SUM($P233:AO233)</f>
        <v>#VALUE!</v>
      </c>
      <c r="AQ233" s="446" t="e">
        <f>IF(OR($B233="",MIN(AQ$38,$D$19)&lt;MAX($P$34*($B233+IF($R$17="Distrato",$I$38-1,0)),IF(AND($L$37=0,$P$34=0),"",$L$37-1),IF($R$17="Distrato",$E233,0))),0,YEARFRAC(MAX($P$34*($B233+IF($R$17="Distrato",$I$38-1,0)),IF(AND($L$37=0,$P$34=0),"",$L$37-1),IF($R$17="Distrato",$E233,0)),MIN(AQ$38,$D$19),$P$20))-SUM($P233:AP233)</f>
        <v>#VALUE!</v>
      </c>
      <c r="AR233" s="446" t="e">
        <f>IF(OR($B233="",MIN(AR$38,$D$19)&lt;MAX($P$34*($B233+IF($R$17="Distrato",$I$38-1,0)),IF(AND($L$37=0,$P$34=0),"",$L$37-1),IF($R$17="Distrato",$E233,0))),0,YEARFRAC(MAX($P$34*($B233+IF($R$17="Distrato",$I$38-1,0)),IF(AND($L$37=0,$P$34=0),"",$L$37-1),IF($R$17="Distrato",$E233,0)),MIN(AR$38,$D$19),$P$20))-SUM($P233:AQ233)</f>
        <v>#VALUE!</v>
      </c>
      <c r="AS233" s="446" t="e">
        <f>IF(OR($B233="",MIN(AS$38,$D$19)&lt;MAX($P$34*($B233+IF($R$17="Distrato",$I$38-1,0)),IF(AND($L$37=0,$P$34=0),"",$L$37-1),IF($R$17="Distrato",$E233,0))),0,YEARFRAC(MAX($P$34*($B233+IF($R$17="Distrato",$I$38-1,0)),IF(AND($L$37=0,$P$34=0),"",$L$37-1),IF($R$17="Distrato",$E233,0)),MIN(AS$38,$D$19),$P$20))-SUM($P233:AR233)</f>
        <v>#VALUE!</v>
      </c>
      <c r="AT233" s="446" t="e">
        <f>IF(OR($B233="",MIN(AT$38,$D$19)&lt;MAX($P$34*($B233+IF($R$17="Distrato",$I$38-1,0)),IF(AND($L$37=0,$P$34=0),"",$L$37-1),IF($R$17="Distrato",$E233,0))),0,YEARFRAC(MAX($P$34*($B233+IF($R$17="Distrato",$I$38-1,0)),IF(AND($L$37=0,$P$34=0),"",$L$37-1),IF($R$17="Distrato",$E233,0)),MIN(AT$38,$D$19),$P$20))-SUM($P233:AS233)</f>
        <v>#VALUE!</v>
      </c>
      <c r="AU233" s="446" t="e">
        <f>IF(OR($B233="",MIN(AU$38,$D$19)&lt;MAX($P$34*($B233+IF($R$17="Distrato",$I$38-1,0)),IF(AND($L$37=0,$P$34=0),"",$L$37-1),IF($R$17="Distrato",$E233,0))),0,YEARFRAC(MAX($P$34*($B233+IF($R$17="Distrato",$I$38-1,0)),IF(AND($L$37=0,$P$34=0),"",$L$37-1),IF($R$17="Distrato",$E233,0)),MIN(AU$38,$D$19),$P$20))-SUM($P233:AT233)</f>
        <v>#VALUE!</v>
      </c>
      <c r="AV233" s="446" t="e">
        <f>IF(OR($B233="",MIN(AV$38,$D$19)&lt;MAX($P$34*($B233+IF($R$17="Distrato",$I$38-1,0)),IF(AND($L$37=0,$P$34=0),"",$L$37-1),IF($R$17="Distrato",$E233,0))),0,YEARFRAC(MAX($P$34*($B233+IF($R$17="Distrato",$I$38-1,0)),IF(AND($L$37=0,$P$34=0),"",$L$37-1),IF($R$17="Distrato",$E233,0)),MIN(AV$38,$D$19),$P$20))-SUM($P233:AU233)</f>
        <v>#VALUE!</v>
      </c>
      <c r="AW233" s="446" t="e">
        <f>IF(OR($B233="",MIN(AW$38,$D$19)&lt;MAX($P$34*($B233+IF($R$17="Distrato",$I$38-1,0)),IF(AND($L$37=0,$P$34=0),"",$L$37-1),IF($R$17="Distrato",$E233,0))),0,YEARFRAC(MAX($P$34*($B233+IF($R$17="Distrato",$I$38-1,0)),IF(AND($L$37=0,$P$34=0),"",$L$37-1),IF($R$17="Distrato",$E233,0)),MIN(AW$38,$D$19),$P$20))-SUM($P233:AV233)</f>
        <v>#VALUE!</v>
      </c>
      <c r="AX233" s="446" t="e">
        <f>IF(OR($B233="",MIN(AX$38,$D$19)&lt;MAX($P$34*($B233+IF($R$17="Distrato",$I$38-1,0)),IF(AND($L$37=0,$P$34=0),"",$L$37-1),IF($R$17="Distrato",$E233,0))),0,YEARFRAC(MAX($P$34*($B233+IF($R$17="Distrato",$I$38-1,0)),IF(AND($L$37=0,$P$34=0),"",$L$37-1),IF($R$17="Distrato",$E233,0)),MIN(AX$38,$D$19),$P$20))-SUM($P233:AW233)</f>
        <v>#VALUE!</v>
      </c>
      <c r="AY233" s="446" t="e">
        <f>IF(OR($B233="",MIN(AY$38,$D$19)&lt;MAX($P$34*($B233+IF($R$17="Distrato",$I$38-1,0)),IF(AND($L$37=0,$P$34=0),"",$L$37-1),IF($R$17="Distrato",$E233,0))),0,YEARFRAC(MAX($P$34*($B233+IF($R$17="Distrato",$I$38-1,0)),IF(AND($L$37=0,$P$34=0),"",$L$37-1),IF($R$17="Distrato",$E233,0)),MIN(AY$38,$D$19),$P$20))-SUM($P233:AX233)</f>
        <v>#VALUE!</v>
      </c>
      <c r="AZ233" s="446" t="e">
        <f>IF(OR($B233="",MIN(AZ$38,$D$19)&lt;MAX($P$34*($B233+IF($R$17="Distrato",$I$38-1,0)),IF(AND($L$37=0,$P$34=0),"",$L$37-1),IF($R$17="Distrato",$E233,0))),0,YEARFRAC(MAX($P$34*($B233+IF($R$17="Distrato",$I$38-1,0)),IF(AND($L$37=0,$P$34=0),"",$L$37-1),IF($R$17="Distrato",$E233,0)),MIN(AZ$38,$D$19),$P$20))-SUM($P233:AY233)</f>
        <v>#VALUE!</v>
      </c>
      <c r="BA233" s="446" t="e">
        <f>IF(OR($B233="",MIN(BA$38,$D$19)&lt;MAX($P$34*($B233+IF($R$17="Distrato",$I$38-1,0)),IF(AND($L$37=0,$P$34=0),"",$L$37-1),IF($R$17="Distrato",$E233,0))),0,YEARFRAC(MAX($P$34*($B233+IF($R$17="Distrato",$I$38-1,0)),IF(AND($L$37=0,$P$34=0),"",$L$37-1),IF($R$17="Distrato",$E233,0)),MIN(BA$38,$D$19),$P$20))-SUM($P233:AZ233)</f>
        <v>#VALUE!</v>
      </c>
      <c r="BB233" s="447"/>
      <c r="BF233" s="446">
        <f t="shared" si="43"/>
        <v>0</v>
      </c>
      <c r="BG233" s="446">
        <f>IF($E233=0,0,IF(MIN(BG$38,$E233)&lt;MAX($P$34*($B233+$I$38-1),IF(AND($L$37=0,$P$34=0),"",$L$37-1)),0,YEARFRAC(MAX($P$34*($B233+$I$38-1),IF(AND($L$37=0,$P$34=0),"",$L$37-1)),MIN(BG$38,$E233),$P$20))-SUM($BF233:BF233))</f>
        <v>0</v>
      </c>
      <c r="BH233" s="446">
        <f>IF($E233=0,0,IF(MIN(BH$38,$E233)&lt;MAX($P$34*($B233+$I$38-1),IF(AND($L$37=0,$P$34=0),"",$L$37-1)),0,YEARFRAC(MAX($P$34*($B233+$I$38-1),IF(AND($L$37=0,$P$34=0),"",$L$37-1)),MIN(BH$38,$E233),$P$20))-SUM($BF233:BG233))</f>
        <v>0</v>
      </c>
      <c r="BI233" s="446">
        <f>IF($E233=0,0,IF(MIN(BI$38,$E233)&lt;MAX($P$34*($B233+$I$38-1),IF(AND($L$37=0,$P$34=0),"",$L$37-1)),0,YEARFRAC(MAX($P$34*($B233+$I$38-1),IF(AND($L$37=0,$P$34=0),"",$L$37-1)),MIN(BI$38,$E233),$P$20))-SUM($BF233:BH233))</f>
        <v>0</v>
      </c>
      <c r="BJ233" s="446">
        <f>IF($E233=0,0,IF(MIN(BJ$38,$E233)&lt;MAX($P$34*($B233+$I$38-1),IF(AND($L$37=0,$P$34=0),"",$L$37-1)),0,YEARFRAC(MAX($P$34*($B233+$I$38-1),IF(AND($L$37=0,$P$34=0),"",$L$37-1)),MIN(BJ$38,$E233),$P$20))-SUM($BF233:BI233))</f>
        <v>0</v>
      </c>
      <c r="BK233" s="446">
        <f>IF($E233=0,0,IF(MIN(BK$38,$E233)&lt;MAX($P$34*($B233+$I$38-1),IF(AND($L$37=0,$P$34=0),"",$L$37-1)),0,YEARFRAC(MAX($P$34*($B233+$I$38-1),IF(AND($L$37=0,$P$34=0),"",$L$37-1)),MIN(BK$38,$E233),$P$20))-SUM($BF233:BJ233))</f>
        <v>0</v>
      </c>
      <c r="BL233" s="446">
        <f>IF($E233=0,0,IF(MIN(BL$38,$E233)&lt;MAX($P$34*($B233+$I$38-1),IF(AND($L$37=0,$P$34=0),"",$L$37-1)),0,YEARFRAC(MAX($P$34*($B233+$I$38-1),IF(AND($L$37=0,$P$34=0),"",$L$37-1)),MIN(BL$38,$E233),$P$20))-SUM($BF233:BK233))</f>
        <v>0</v>
      </c>
      <c r="BM233" s="446">
        <f>IF($E233=0,0,IF(MIN(BM$38,$E233)&lt;MAX($P$34*($B233+$I$38-1),IF(AND($L$37=0,$P$34=0),"",$L$37-1)),0,YEARFRAC(MAX($P$34*($B233+$I$38-1),IF(AND($L$37=0,$P$34=0),"",$L$37-1)),MIN(BM$38,$E233),$P$20))-SUM($BF233:BL233))</f>
        <v>0</v>
      </c>
      <c r="BN233" s="446">
        <f>IF($E233=0,0,IF(MIN(BN$38,$E233)&lt;MAX($P$34*($B233+$I$38-1),IF(AND($L$37=0,$P$34=0),"",$L$37-1)),0,YEARFRAC(MAX($P$34*($B233+$I$38-1),IF(AND($L$37=0,$P$34=0),"",$L$37-1)),MIN(BN$38,$E233),$P$20))-SUM($BF233:BM233))</f>
        <v>0</v>
      </c>
      <c r="BO233" s="446">
        <f>IF($E233=0,0,IF(MIN(BO$38,$E233)&lt;MAX($P$34*($B233+$I$38-1),IF(AND($L$37=0,$P$34=0),"",$L$37-1)),0,YEARFRAC(MAX($P$34*($B233+$I$38-1),IF(AND($L$37=0,$P$34=0),"",$L$37-1)),MIN(BO$38,$E233),$P$20))-SUM($BF233:BN233))</f>
        <v>0</v>
      </c>
      <c r="BP233" s="446">
        <f>IF($E233=0,0,IF(MIN(BP$38,$E233)&lt;MAX($P$34*($B233+$I$38-1),IF(AND($L$37=0,$P$34=0),"",$L$37-1)),0,YEARFRAC(MAX($P$34*($B233+$I$38-1),IF(AND($L$37=0,$P$34=0),"",$L$37-1)),MIN(BP$38,$E233),$P$20))-SUM($BF233:BO233))</f>
        <v>0</v>
      </c>
      <c r="BQ233" s="446">
        <f>IF($E233=0,0,IF(MIN(BQ$38,$E233)&lt;MAX($P$34*($B233+$I$38-1),IF(AND($L$37=0,$P$34=0),"",$L$37-1)),0,YEARFRAC(MAX($P$34*($B233+$I$38-1),IF(AND($L$37=0,$P$34=0),"",$L$37-1)),MIN(BQ$38,$E233),$P$20))-SUM($BF233:BP233))</f>
        <v>0</v>
      </c>
      <c r="BR233" s="446">
        <f>IF($E233=0,0,IF(MIN(BR$38,$E233)&lt;MAX($P$34*($B233+$I$38-1),IF(AND($L$37=0,$P$34=0),"",$L$37-1)),0,YEARFRAC(MAX($P$34*($B233+$I$38-1),IF(AND($L$37=0,$P$34=0),"",$L$37-1)),MIN(BR$38,$E233),$P$20))-SUM($BF233:BQ233))</f>
        <v>0</v>
      </c>
      <c r="BS233" s="446">
        <f>IF($E233=0,0,IF(MIN(BS$38,$E233)&lt;MAX($P$34*($B233+$I$38-1),IF(AND($L$37=0,$P$34=0),"",$L$37-1)),0,YEARFRAC(MAX($P$34*($B233+$I$38-1),IF(AND($L$37=0,$P$34=0),"",$L$37-1)),MIN(BS$38,$E233),$P$20))-SUM($BF233:BR233))</f>
        <v>0</v>
      </c>
      <c r="BT233" s="446">
        <f>IF($E233=0,0,IF(MIN(BT$38,$E233)&lt;MAX($P$34*($B233+$I$38-1),IF(AND($L$37=0,$P$34=0),"",$L$37-1)),0,YEARFRAC(MAX($P$34*($B233+$I$38-1),IF(AND($L$37=0,$P$34=0),"",$L$37-1)),MIN(BT$38,$E233),$P$20))-SUM($BF233:BS233))</f>
        <v>0</v>
      </c>
      <c r="BU233" s="446">
        <f>IF($E233=0,0,IF(MIN(BU$38,$E233)&lt;MAX($P$34*($B233+$I$38-1),IF(AND($L$37=0,$P$34=0),"",$L$37-1)),0,YEARFRAC(MAX($P$34*($B233+$I$38-1),IF(AND($L$37=0,$P$34=0),"",$L$37-1)),MIN(BU$38,$E233),$P$20))-SUM($BF233:BT233))</f>
        <v>0</v>
      </c>
      <c r="BV233" s="446">
        <f>IF($E233=0,0,IF(MIN(BV$38,$E233)&lt;MAX($P$34*($B233+$I$38-1),IF(AND($L$37=0,$P$34=0),"",$L$37-1)),0,YEARFRAC(MAX($P$34*($B233+$I$38-1),IF(AND($L$37=0,$P$34=0),"",$L$37-1)),MIN(BV$38,$E233),$P$20))-SUM($BF233:BU233))</f>
        <v>0</v>
      </c>
      <c r="BW233" s="446">
        <f>IF($E233=0,0,IF(MIN(BW$38,$E233)&lt;MAX($P$34*($B233+$I$38-1),IF(AND($L$37=0,$P$34=0),"",$L$37-1)),0,YEARFRAC(MAX($P$34*($B233+$I$38-1),IF(AND($L$37=0,$P$34=0),"",$L$37-1)),MIN(BW$38,$E233),$P$20))-SUM($BF233:BV233))</f>
        <v>0</v>
      </c>
      <c r="BX233" s="446">
        <f>IF($E233=0,0,IF(MIN(BX$38,$E233)&lt;MAX($P$34*($B233+$I$38-1),IF(AND($L$37=0,$P$34=0),"",$L$37-1)),0,YEARFRAC(MAX($P$34*($B233+$I$38-1),IF(AND($L$37=0,$P$34=0),"",$L$37-1)),MIN(BX$38,$E233),$P$20))-SUM($BF233:BW233))</f>
        <v>0</v>
      </c>
      <c r="BY233" s="446">
        <f>IF($E233=0,0,IF(MIN(BY$38,$E233)&lt;MAX($P$34*($B233+$I$38-1),IF(AND($L$37=0,$P$34=0),"",$L$37-1)),0,YEARFRAC(MAX($P$34*($B233+$I$38-1),IF(AND($L$37=0,$P$34=0),"",$L$37-1)),MIN(BY$38,$E233),$P$20))-SUM($BF233:BX233))</f>
        <v>0</v>
      </c>
      <c r="BZ233" s="446">
        <f>IF($E233=0,0,IF(MIN(BZ$38,$E233)&lt;MAX($P$34*($B233+$I$38-1),IF(AND($L$37=0,$P$34=0),"",$L$37-1)),0,YEARFRAC(MAX($P$34*($B233+$I$38-1),IF(AND($L$37=0,$P$34=0),"",$L$37-1)),MIN(BZ$38,$E233),$P$20))-SUM($BF233:BY233))</f>
        <v>0</v>
      </c>
      <c r="CA233" s="446">
        <f>IF($E233=0,0,IF(MIN(CA$38,$E233)&lt;MAX($P$34*($B233+$I$38-1),IF(AND($L$37=0,$P$34=0),"",$L$37-1)),0,YEARFRAC(MAX($P$34*($B233+$I$38-1),IF(AND($L$37=0,$P$34=0),"",$L$37-1)),MIN(CA$38,$E233),$P$20))-SUM($BF233:BZ233))</f>
        <v>0</v>
      </c>
      <c r="CB233" s="446">
        <f>IF($E233=0,0,IF(MIN(CB$38,$E233)&lt;MAX($P$34*($B233+$I$38-1),IF(AND($L$37=0,$P$34=0),"",$L$37-1)),0,YEARFRAC(MAX($P$34*($B233+$I$38-1),IF(AND($L$37=0,$P$34=0),"",$L$37-1)),MIN(CB$38,$E233),$P$20))-SUM($BF233:CA233))</f>
        <v>0</v>
      </c>
      <c r="CC233" s="446">
        <f>IF($E233=0,0,IF(MIN(CC$38,$E233)&lt;MAX($P$34*($B233+$I$38-1),IF(AND($L$37=0,$P$34=0),"",$L$37-1)),0,YEARFRAC(MAX($P$34*($B233+$I$38-1),IF(AND($L$37=0,$P$34=0),"",$L$37-1)),MIN(CC$38,$E233),$P$20))-SUM($BF233:CB233))</f>
        <v>0</v>
      </c>
      <c r="CD233" s="446">
        <f>IF($E233=0,0,IF(MIN(CD$38,$E233)&lt;MAX($P$34*($B233+$I$38-1),IF(AND($L$37=0,$P$34=0),"",$L$37-1)),0,YEARFRAC(MAX($P$34*($B233+$I$38-1),IF(AND($L$37=0,$P$34=0),"",$L$37-1)),MIN(CD$38,$E233),$P$20))-SUM($BF233:CC233))</f>
        <v>0</v>
      </c>
      <c r="CE233" s="446">
        <f>IF($E233=0,0,IF(MIN(CE$38,$E233)&lt;MAX($P$34*($B233+$I$38-1),IF(AND($L$37=0,$P$34=0),"",$L$37-1)),0,YEARFRAC(MAX($P$34*($B233+$I$38-1),IF(AND($L$37=0,$P$34=0),"",$L$37-1)),MIN(CE$38,$E233),$P$20))-SUM($BF233:CD233))</f>
        <v>0</v>
      </c>
      <c r="CF233" s="446">
        <f>IF($E233=0,0,IF(MIN(CF$38,$E233)&lt;MAX($P$34*($B233+$I$38-1),IF(AND($L$37=0,$P$34=0),"",$L$37-1)),0,YEARFRAC(MAX($P$34*($B233+$I$38-1),IF(AND($L$37=0,$P$34=0),"",$L$37-1)),MIN(CF$38,$E233),$P$20))-SUM($BF233:CE233))</f>
        <v>0</v>
      </c>
      <c r="CG233" s="446">
        <f>IF($E233=0,0,IF(MIN(CG$38,$E233)&lt;MAX($P$34*($B233+$I$38-1),IF(AND($L$37=0,$P$34=0),"",$L$37-1)),0,YEARFRAC(MAX($P$34*($B233+$I$38-1),IF(AND($L$37=0,$P$34=0),"",$L$37-1)),MIN(CG$38,$E233),$P$20))-SUM($BF233:CF233))</f>
        <v>0</v>
      </c>
      <c r="CH233" s="446">
        <f>IF($E233=0,0,IF(MIN(CH$38,$E233)&lt;MAX($P$34*($B233+$I$38-1),IF(AND($L$37=0,$P$34=0),"",$L$37-1)),0,YEARFRAC(MAX($P$34*($B233+$I$38-1),IF(AND($L$37=0,$P$34=0),"",$L$37-1)),MIN(CH$38,$E233),$P$20))-SUM($BF233:CG233))</f>
        <v>0</v>
      </c>
      <c r="CI233" s="446">
        <f>IF($E233=0,0,IF(MIN(CI$38,$E233)&lt;MAX($P$34*($B233+$I$38-1),IF(AND($L$37=0,$P$34=0),"",$L$37-1)),0,YEARFRAC(MAX($P$34*($B233+$I$38-1),IF(AND($L$37=0,$P$34=0),"",$L$37-1)),MIN(CI$38,$E233),$P$20))-SUM($BF233:CH233))</f>
        <v>0</v>
      </c>
      <c r="CJ233" s="446">
        <f>IF($E233=0,0,IF(MIN(CJ$38,$E233)&lt;MAX($P$34*($B233+$I$38-1),IF(AND($L$37=0,$P$34=0),"",$L$37-1)),0,YEARFRAC(MAX($P$34*($B233+$I$38-1),IF(AND($L$37=0,$P$34=0),"",$L$37-1)),MIN(CJ$38,$E233),$P$20))-SUM($BF233:CI233))</f>
        <v>0</v>
      </c>
      <c r="CK233" s="446">
        <f>IF($E233=0,0,IF(MIN(CK$38,$E233)&lt;MAX($P$34*($B233+$I$38-1),IF(AND($L$37=0,$P$34=0),"",$L$37-1)),0,YEARFRAC(MAX($P$34*($B233+$I$38-1),IF(AND($L$37=0,$P$34=0),"",$L$37-1)),MIN(CK$38,$E233),$P$20))-SUM($BF233:CJ233))</f>
        <v>0</v>
      </c>
      <c r="CL233" s="446">
        <f>IF($E233=0,0,IF(MIN(CL$38,$E233)&lt;MAX($P$34*($B233+$I$38-1),IF(AND($L$37=0,$P$34=0),"",$L$37-1)),0,YEARFRAC(MAX($P$34*($B233+$I$38-1),IF(AND($L$37=0,$P$34=0),"",$L$37-1)),MIN(CL$38,$E233),$P$20))-SUM($BF233:CK233))</f>
        <v>0</v>
      </c>
      <c r="CM233" s="446">
        <f>IF($E233=0,0,IF(MIN(CM$38,$E233)&lt;MAX($P$34*($B233+$I$38-1),IF(AND($L$37=0,$P$34=0),"",$L$37-1)),0,YEARFRAC(MAX($P$34*($B233+$I$38-1),IF(AND($L$37=0,$P$34=0),"",$L$37-1)),MIN(CM$38,$E233),$P$20))-SUM($BF233:CL233))</f>
        <v>0</v>
      </c>
      <c r="CN233" s="446">
        <f>IF($E233=0,0,IF(MIN(CN$38,$E233)&lt;MAX($P$34*($B233+$I$38-1),IF(AND($L$37=0,$P$34=0),"",$L$37-1)),0,YEARFRAC(MAX($P$34*($B233+$I$38-1),IF(AND($L$37=0,$P$34=0),"",$L$37-1)),MIN(CN$38,$E233),$P$20))-SUM($BF233:CM233))</f>
        <v>0</v>
      </c>
      <c r="CO233" s="446">
        <f>IF($E233=0,0,IF(MIN(CO$38,$E233)&lt;MAX($P$34*($B233+$I$38-1),IF(AND($L$37=0,$P$34=0),"",$L$37-1)),0,YEARFRAC(MAX($P$34*($B233+$I$38-1),IF(AND($L$37=0,$P$34=0),"",$L$37-1)),MIN(CO$38,$E233),$P$20))-SUM($BF233:CN233))</f>
        <v>0</v>
      </c>
      <c r="CP233" s="446">
        <f>IF($E233=0,0,IF(MIN(CP$38,$E233)&lt;MAX($P$34*($B233+$I$38-1),IF(AND($L$37=0,$P$34=0),"",$L$37-1)),0,YEARFRAC(MAX($P$34*($B233+$I$38-1),IF(AND($L$37=0,$P$34=0),"",$L$37-1)),MIN(CP$38,$E233),$P$20))-SUM($BF233:CO233))</f>
        <v>0</v>
      </c>
      <c r="CQ233" s="446">
        <f>IF($E233=0,0,IF(MIN(CQ$38,$E233)&lt;MAX($P$34*($B233+$I$38-1),IF(AND($L$37=0,$P$34=0),"",$L$37-1)),0,YEARFRAC(MAX($P$34*($B233+$I$38-1),IF(AND($L$37=0,$P$34=0),"",$L$37-1)),MIN(CQ$38,$E233),$P$20))-SUM($BF233:CP233))</f>
        <v>0</v>
      </c>
    </row>
    <row r="234" spans="1:95" s="446" customFormat="1" ht="11.25" hidden="1" customHeight="1" x14ac:dyDescent="0.2">
      <c r="A234" s="152"/>
      <c r="B234" s="153" t="str">
        <f t="shared" ref="B234:B297" si="48">IF(B233="","",IF(AND(MONTH(B233)=12,MONTH(B232)=11,$B$38="com 13º"),IF(B233&gt;$D$19,"",B233),IF(DATE(YEAR(B233),MONTH(B233)+1,DAY(B233))&gt;$D$19,"",DATE(YEAR(B233),MONTH(B233)+1,DAY(B233)))))</f>
        <v/>
      </c>
      <c r="C234" s="29" t="str">
        <f>IF(B234="","",IF($L$35="SELIC - TRIBUTOS",VLOOKUP(DATE(YEAR($D$19),MONTH($D$19)-1,1),ÍNDICES!$A:$DE,HLOOKUP($BL$25,ÍNDICES!$B$3:$T$4,2)+11)-VLOOKUP(B234,ÍNDICES!$A:$DE,HLOOKUP($BL$25,ÍNDICES!$B$3:$T$4,2)+11)+1%,IF(C$38=$W$26,$J$35,IF(ISERROR(IF(B234&gt;$D$19,1,VLOOKUP(DATE(YEAR(B234),MONTH(B234)+IF($C$35=$S$23,1,0),1),ÍNDICES!$A:$DE,$Z$35+1))),"",IF(B234&gt;$D$19,1,VLOOKUP(DATE(YEAR(B234),MONTH(B234)+IF($C$35=$S$23,1,0),1),ÍNDICES!$A:$DE,$Z$35+1))))))</f>
        <v/>
      </c>
      <c r="D234" s="154" t="str">
        <f>IF(ISERROR(IF(OR($D$38=$Y$27,$B234=""),"",VLOOKUP(B234,ÍNDICES!A:DE,AF$35+1))),"",IF(OR($D$38=$Y$27,$B234=""),"",VLOOKUP(B234,ÍNDICES!A:DE,AF$35+1)))</f>
        <v/>
      </c>
      <c r="E234" s="153"/>
      <c r="F234" s="29" t="str">
        <f>IF(E234="","",IF($L$35="SELIC - TRIBUTOS",VLOOKUP(DATE(YEAR($D$19),MONTH($D$19)-1,1),ÍNDICES!$A:$DE,HLOOKUP($BL$25,ÍNDICES!$B$3:$T$4,2)+11)-VLOOKUP(E234,ÍNDICES!$A:$DE,HLOOKUP($BL$25,ÍNDICES!$B$3:$T$4,2)+11)+1%,IF(F$38=$W$26,$J$35,IF(ISERROR(IF(E234&gt;$D$19,1,VLOOKUP(DATE(YEAR(E234),MONTH(E234)+IF($C$35=$S$23,1,0),1),ÍNDICES!$A:$DE,$Z$35+1))),"",IF(E234&gt;$D$19,1,VLOOKUP(DATE(YEAR(E234),MONTH(E234)+IF($C$35=$S$23,1,0),1),ÍNDICES!$A:$DE,$Z$35+1))))))</f>
        <v/>
      </c>
      <c r="G234" s="155"/>
      <c r="H234" s="156" t="str">
        <f t="shared" si="44"/>
        <v/>
      </c>
      <c r="I234" s="29" t="str">
        <f t="shared" si="38"/>
        <v/>
      </c>
      <c r="J234" s="5">
        <f t="shared" si="39"/>
        <v>0</v>
      </c>
      <c r="K234" s="20">
        <f t="shared" ca="1" si="40"/>
        <v>0</v>
      </c>
      <c r="L234" s="5">
        <f t="shared" ca="1" si="41"/>
        <v>0</v>
      </c>
      <c r="M234" s="64">
        <f t="shared" si="45"/>
        <v>0</v>
      </c>
      <c r="N234" s="61">
        <f t="shared" ca="1" si="46"/>
        <v>0</v>
      </c>
      <c r="O234" s="5">
        <f t="shared" ca="1" si="47"/>
        <v>0</v>
      </c>
      <c r="P234" s="446" t="e">
        <f t="shared" si="42"/>
        <v>#VALUE!</v>
      </c>
      <c r="Q234" s="446" t="e">
        <f>IF(OR($B234="",MIN(Q$38,$D$19)&lt;MAX($P$34*($B234+IF($R$17="Distrato",$I$38-1,0)),IF(AND($L$37=0,$P$34=0),"",$L$37-1),IF($R$17="Distrato",$E234,0))),0,YEARFRAC(MAX($P$34*($B234+IF($R$17="Distrato",$I$38-1,0)),IF(AND($L$37=0,$P$34=0),"",$L$37-1),IF($R$17="Distrato",$E234,0)),MIN(Q$38,$D$19),$P$20))-SUM($P234:P234)</f>
        <v>#VALUE!</v>
      </c>
      <c r="R234" s="446" t="e">
        <f>IF(OR($B234="",MIN(R$38,$D$19)&lt;MAX($P$34*($B234+IF($R$17="Distrato",$I$38-1,0)),IF(AND($L$37=0,$P$34=0),"",$L$37-1),IF($R$17="Distrato",$E234,0))),0,YEARFRAC(MAX($P$34*($B234+IF($R$17="Distrato",$I$38-1,0)),IF(AND($L$37=0,$P$34=0),"",$L$37-1),IF($R$17="Distrato",$E234,0)),MIN(R$38,$D$19),$P$20))-SUM($P234:Q234)</f>
        <v>#VALUE!</v>
      </c>
      <c r="S234" s="446" t="e">
        <f>IF(OR($B234="",MIN(S$38,$D$19)&lt;MAX($P$34*($B234+IF($R$17="Distrato",$I$38-1,0)),IF(AND($L$37=0,$P$34=0),"",$L$37-1),IF($R$17="Distrato",$E234,0))),0,YEARFRAC(MAX($P$34*($B234+IF($R$17="Distrato",$I$38-1,0)),IF(AND($L$37=0,$P$34=0),"",$L$37-1),IF($R$17="Distrato",$E234,0)),MIN(S$38,$D$19),$P$20))-SUM($P234:R234)</f>
        <v>#VALUE!</v>
      </c>
      <c r="T234" s="446" t="e">
        <f>IF(OR($B234="",MIN(T$38,$D$19)&lt;MAX($P$34*($B234+IF($R$17="Distrato",$I$38-1,0)),IF(AND($L$37=0,$P$34=0),"",$L$37-1),IF($R$17="Distrato",$E234,0))),0,YEARFRAC(MAX($P$34*($B234+IF($R$17="Distrato",$I$38-1,0)),IF(AND($L$37=0,$P$34=0),"",$L$37-1),IF($R$17="Distrato",$E234,0)),MIN(T$38,$D$19),$P$20))-SUM($P234:S234)</f>
        <v>#VALUE!</v>
      </c>
      <c r="U234" s="446" t="e">
        <f>IF(OR($B234="",MIN(U$38,$D$19)&lt;MAX($P$34*($B234+IF($R$17="Distrato",$I$38-1,0)),IF(AND($L$37=0,$P$34=0),"",$L$37-1),IF($R$17="Distrato",$E234,0))),0,YEARFRAC(MAX($P$34*($B234+IF($R$17="Distrato",$I$38-1,0)),IF(AND($L$37=0,$P$34=0),"",$L$37-1),IF($R$17="Distrato",$E234,0)),MIN(U$38,$D$19),$P$20))-SUM($P234:T234)</f>
        <v>#VALUE!</v>
      </c>
      <c r="V234" s="446" t="e">
        <f>IF(OR($B234="",MIN(V$38,$D$19)&lt;MAX($P$34*($B234+IF($R$17="Distrato",$I$38-1,0)),IF(AND($L$37=0,$P$34=0),"",$L$37-1),IF($R$17="Distrato",$E234,0))),0,YEARFRAC(MAX($P$34*($B234+IF($R$17="Distrato",$I$38-1,0)),IF(AND($L$37=0,$P$34=0),"",$L$37-1),IF($R$17="Distrato",$E234,0)),MIN(V$38,$D$19),$P$20))-SUM($P234:U234)</f>
        <v>#VALUE!</v>
      </c>
      <c r="W234" s="446" t="e">
        <f>IF(OR($B234="",MIN(W$38,$D$19)&lt;MAX($P$34*($B234+IF($R$17="Distrato",$I$38-1,0)),IF(AND($L$37=0,$P$34=0),"",$L$37-1),IF($R$17="Distrato",$E234,0))),0,YEARFRAC(MAX($P$34*($B234+IF($R$17="Distrato",$I$38-1,0)),IF(AND($L$37=0,$P$34=0),"",$L$37-1),IF($R$17="Distrato",$E234,0)),MIN(W$38,$D$19),$P$20))-SUM($P234:V234)</f>
        <v>#VALUE!</v>
      </c>
      <c r="X234" s="446" t="e">
        <f>IF(OR($B234="",MIN(X$38,$D$19)&lt;MAX($P$34*($B234+IF($R$17="Distrato",$I$38-1,0)),IF(AND($L$37=0,$P$34=0),"",$L$37-1),IF($R$17="Distrato",$E234,0))),0,YEARFRAC(MAX($P$34*($B234+IF($R$17="Distrato",$I$38-1,0)),IF(AND($L$37=0,$P$34=0),"",$L$37-1),IF($R$17="Distrato",$E234,0)),MIN(X$38,$D$19),$P$20))-SUM($P234:W234)</f>
        <v>#VALUE!</v>
      </c>
      <c r="Y234" s="446" t="e">
        <f>IF(OR($B234="",MIN(Y$38,$D$19)&lt;MAX($P$34*($B234+IF($R$17="Distrato",$I$38-1,0)),IF(AND($L$37=0,$P$34=0),"",$L$37-1),IF($R$17="Distrato",$E234,0))),0,YEARFRAC(MAX($P$34*($B234+IF($R$17="Distrato",$I$38-1,0)),IF(AND($L$37=0,$P$34=0),"",$L$37-1),IF($R$17="Distrato",$E234,0)),MIN(Y$38,$D$19),$P$20))-SUM($P234:X234)</f>
        <v>#VALUE!</v>
      </c>
      <c r="Z234" s="446" t="e">
        <f>IF(OR($B234="",MIN(Z$38,$D$19)&lt;MAX($P$34*($B234+IF($R$17="Distrato",$I$38-1,0)),IF(AND($L$37=0,$P$34=0),"",$L$37-1),IF($R$17="Distrato",$E234,0))),0,YEARFRAC(MAX($P$34*($B234+IF($R$17="Distrato",$I$38-1,0)),IF(AND($L$37=0,$P$34=0),"",$L$37-1),IF($R$17="Distrato",$E234,0)),MIN(Z$38,$D$19),$P$20))-SUM($P234:Y234)</f>
        <v>#VALUE!</v>
      </c>
      <c r="AA234" s="446" t="e">
        <f>IF(OR($B234="",MIN(AA$38,$D$19)&lt;MAX($P$34*($B234+IF($R$17="Distrato",$I$38-1,0)),IF(AND($L$37=0,$P$34=0),"",$L$37-1),IF($R$17="Distrato",$E234,0))),0,YEARFRAC(MAX($P$34*($B234+IF($R$17="Distrato",$I$38-1,0)),IF(AND($L$37=0,$P$34=0),"",$L$37-1),IF($R$17="Distrato",$E234,0)),MIN(AA$38,$D$19),$P$20))-SUM($P234:Z234)</f>
        <v>#VALUE!</v>
      </c>
      <c r="AB234" s="446" t="e">
        <f>IF(OR($B234="",MIN(AB$38,$D$19)&lt;MAX($P$34*($B234+IF($R$17="Distrato",$I$38-1,0)),IF(AND($L$37=0,$P$34=0),"",$L$37-1),IF($R$17="Distrato",$E234,0))),0,YEARFRAC(MAX($P$34*($B234+IF($R$17="Distrato",$I$38-1,0)),IF(AND($L$37=0,$P$34=0),"",$L$37-1),IF($R$17="Distrato",$E234,0)),MIN(AB$38,$D$19),$P$20))-SUM($P234:AA234)</f>
        <v>#VALUE!</v>
      </c>
      <c r="AC234" s="446" t="e">
        <f>IF(OR($B234="",MIN(AC$38,$D$19)&lt;MAX($P$34*($B234+IF($R$17="Distrato",$I$38-1,0)),IF(AND($L$37=0,$P$34=0),"",$L$37-1),IF($R$17="Distrato",$E234,0))),0,YEARFRAC(MAX($P$34*($B234+IF($R$17="Distrato",$I$38-1,0)),IF(AND($L$37=0,$P$34=0),"",$L$37-1),IF($R$17="Distrato",$E234,0)),MIN(AC$38,$D$19),$P$20))-SUM($P234:AB234)</f>
        <v>#VALUE!</v>
      </c>
      <c r="AD234" s="446" t="e">
        <f>IF(OR($B234="",MIN(AD$38,$D$19)&lt;MAX($P$34*($B234+IF($R$17="Distrato",$I$38-1,0)),IF(AND($L$37=0,$P$34=0),"",$L$37-1),IF($R$17="Distrato",$E234,0))),0,YEARFRAC(MAX($P$34*($B234+IF($R$17="Distrato",$I$38-1,0)),IF(AND($L$37=0,$P$34=0),"",$L$37-1),IF($R$17="Distrato",$E234,0)),MIN(AD$38,$D$19),$P$20))-SUM($P234:AC234)</f>
        <v>#VALUE!</v>
      </c>
      <c r="AE234" s="446" t="e">
        <f>IF(OR($B234="",MIN(AE$38,$D$19)&lt;MAX($P$34*($B234+IF($R$17="Distrato",$I$38-1,0)),IF(AND($L$37=0,$P$34=0),"",$L$37-1),IF($R$17="Distrato",$E234,0))),0,YEARFRAC(MAX($P$34*($B234+IF($R$17="Distrato",$I$38-1,0)),IF(AND($L$37=0,$P$34=0),"",$L$37-1),IF($R$17="Distrato",$E234,0)),MIN(AE$38,$D$19),$P$20))-SUM($P234:AD234)</f>
        <v>#VALUE!</v>
      </c>
      <c r="AF234" s="446" t="e">
        <f>IF(OR($B234="",MIN(AF$38,$D$19)&lt;MAX($P$34*($B234+IF($R$17="Distrato",$I$38-1,0)),IF(AND($L$37=0,$P$34=0),"",$L$37-1),IF($R$17="Distrato",$E234,0))),0,YEARFRAC(MAX($P$34*($B234+IF($R$17="Distrato",$I$38-1,0)),IF(AND($L$37=0,$P$34=0),"",$L$37-1),IF($R$17="Distrato",$E234,0)),MIN(AF$38,$D$19),$P$20))-SUM($P234:AE234)</f>
        <v>#VALUE!</v>
      </c>
      <c r="AG234" s="446" t="e">
        <f>IF(OR($B234="",MIN(AG$38,$D$19)&lt;MAX($P$34*($B234+IF($R$17="Distrato",$I$38-1,0)),IF(AND($L$37=0,$P$34=0),"",$L$37-1),IF($R$17="Distrato",$E234,0))),0,YEARFRAC(MAX($P$34*($B234+IF($R$17="Distrato",$I$38-1,0)),IF(AND($L$37=0,$P$34=0),"",$L$37-1),IF($R$17="Distrato",$E234,0)),MIN(AG$38,$D$19),$P$20))-SUM($P234:AF234)</f>
        <v>#VALUE!</v>
      </c>
      <c r="AH234" s="446" t="e">
        <f>IF(OR($B234="",MIN(AH$38,$D$19)&lt;MAX($P$34*($B234+IF($R$17="Distrato",$I$38-1,0)),IF(AND($L$37=0,$P$34=0),"",$L$37-1),IF($R$17="Distrato",$E234,0))),0,YEARFRAC(MAX($P$34*($B234+IF($R$17="Distrato",$I$38-1,0)),IF(AND($L$37=0,$P$34=0),"",$L$37-1),IF($R$17="Distrato",$E234,0)),MIN(AH$38,$D$19),$P$20))-SUM($P234:AG234)</f>
        <v>#VALUE!</v>
      </c>
      <c r="AI234" s="446" t="e">
        <f>IF(OR($B234="",MIN(AI$38,$D$19)&lt;MAX($P$34*($B234+IF($R$17="Distrato",$I$38-1,0)),IF(AND($L$37=0,$P$34=0),"",$L$37-1),IF($R$17="Distrato",$E234,0))),0,YEARFRAC(MAX($P$34*($B234+IF($R$17="Distrato",$I$38-1,0)),IF(AND($L$37=0,$P$34=0),"",$L$37-1),IF($R$17="Distrato",$E234,0)),MIN(AI$38,$D$19),$P$20))-SUM($P234:AH234)</f>
        <v>#VALUE!</v>
      </c>
      <c r="AJ234" s="446" t="e">
        <f>IF(OR($B234="",MIN(AJ$38,$D$19)&lt;MAX($P$34*($B234+IF($R$17="Distrato",$I$38-1,0)),IF(AND($L$37=0,$P$34=0),"",$L$37-1),IF($R$17="Distrato",$E234,0))),0,YEARFRAC(MAX($P$34*($B234+IF($R$17="Distrato",$I$38-1,0)),IF(AND($L$37=0,$P$34=0),"",$L$37-1),IF($R$17="Distrato",$E234,0)),MIN(AJ$38,$D$19),$P$20))-SUM($P234:AI234)</f>
        <v>#VALUE!</v>
      </c>
      <c r="AK234" s="446" t="e">
        <f>IF(OR($B234="",MIN(AK$38,$D$19)&lt;MAX($P$34*($B234+IF($R$17="Distrato",$I$38-1,0)),IF(AND($L$37=0,$P$34=0),"",$L$37-1),IF($R$17="Distrato",$E234,0))),0,YEARFRAC(MAX($P$34*($B234+IF($R$17="Distrato",$I$38-1,0)),IF(AND($L$37=0,$P$34=0),"",$L$37-1),IF($R$17="Distrato",$E234,0)),MIN(AK$38,$D$19),$P$20))-SUM($P234:AJ234)</f>
        <v>#VALUE!</v>
      </c>
      <c r="AL234" s="446" t="e">
        <f>IF(OR($B234="",MIN(AL$38,$D$19)&lt;MAX($P$34*($B234+IF($R$17="Distrato",$I$38-1,0)),IF(AND($L$37=0,$P$34=0),"",$L$37-1),IF($R$17="Distrato",$E234,0))),0,YEARFRAC(MAX($P$34*($B234+IF($R$17="Distrato",$I$38-1,0)),IF(AND($L$37=0,$P$34=0),"",$L$37-1),IF($R$17="Distrato",$E234,0)),MIN(AL$38,$D$19),$P$20))-SUM($P234:AK234)</f>
        <v>#VALUE!</v>
      </c>
      <c r="AM234" s="446" t="e">
        <f>IF(OR($B234="",MIN(AM$38,$D$19)&lt;MAX($P$34*($B234+IF($R$17="Distrato",$I$38-1,0)),IF(AND($L$37=0,$P$34=0),"",$L$37-1),IF($R$17="Distrato",$E234,0))),0,YEARFRAC(MAX($P$34*($B234+IF($R$17="Distrato",$I$38-1,0)),IF(AND($L$37=0,$P$34=0),"",$L$37-1),IF($R$17="Distrato",$E234,0)),MIN(AM$38,$D$19),$P$20))-SUM($P234:AL234)</f>
        <v>#VALUE!</v>
      </c>
      <c r="AN234" s="446" t="e">
        <f>IF(OR($B234="",MIN(AN$38,$D$19)&lt;MAX($P$34*($B234+IF($R$17="Distrato",$I$38-1,0)),IF(AND($L$37=0,$P$34=0),"",$L$37-1),IF($R$17="Distrato",$E234,0))),0,YEARFRAC(MAX($P$34*($B234+IF($R$17="Distrato",$I$38-1,0)),IF(AND($L$37=0,$P$34=0),"",$L$37-1),IF($R$17="Distrato",$E234,0)),MIN(AN$38,$D$19),$P$20))-SUM($P234:AM234)</f>
        <v>#VALUE!</v>
      </c>
      <c r="AO234" s="446" t="e">
        <f>IF(OR($B234="",MIN(AO$38,$D$19)&lt;MAX($P$34*($B234+IF($R$17="Distrato",$I$38-1,0)),IF(AND($L$37=0,$P$34=0),"",$L$37-1),IF($R$17="Distrato",$E234,0))),0,YEARFRAC(MAX($P$34*($B234+IF($R$17="Distrato",$I$38-1,0)),IF(AND($L$37=0,$P$34=0),"",$L$37-1),IF($R$17="Distrato",$E234,0)),MIN(AO$38,$D$19),$P$20))-SUM($P234:AN234)</f>
        <v>#VALUE!</v>
      </c>
      <c r="AP234" s="446" t="e">
        <f>IF(OR($B234="",MIN(AP$38,$D$19)&lt;MAX($P$34*($B234+IF($R$17="Distrato",$I$38-1,0)),IF(AND($L$37=0,$P$34=0),"",$L$37-1),IF($R$17="Distrato",$E234,0))),0,YEARFRAC(MAX($P$34*($B234+IF($R$17="Distrato",$I$38-1,0)),IF(AND($L$37=0,$P$34=0),"",$L$37-1),IF($R$17="Distrato",$E234,0)),MIN(AP$38,$D$19),$P$20))-SUM($P234:AO234)</f>
        <v>#VALUE!</v>
      </c>
      <c r="AQ234" s="446" t="e">
        <f>IF(OR($B234="",MIN(AQ$38,$D$19)&lt;MAX($P$34*($B234+IF($R$17="Distrato",$I$38-1,0)),IF(AND($L$37=0,$P$34=0),"",$L$37-1),IF($R$17="Distrato",$E234,0))),0,YEARFRAC(MAX($P$34*($B234+IF($R$17="Distrato",$I$38-1,0)),IF(AND($L$37=0,$P$34=0),"",$L$37-1),IF($R$17="Distrato",$E234,0)),MIN(AQ$38,$D$19),$P$20))-SUM($P234:AP234)</f>
        <v>#VALUE!</v>
      </c>
      <c r="AR234" s="446" t="e">
        <f>IF(OR($B234="",MIN(AR$38,$D$19)&lt;MAX($P$34*($B234+IF($R$17="Distrato",$I$38-1,0)),IF(AND($L$37=0,$P$34=0),"",$L$37-1),IF($R$17="Distrato",$E234,0))),0,YEARFRAC(MAX($P$34*($B234+IF($R$17="Distrato",$I$38-1,0)),IF(AND($L$37=0,$P$34=0),"",$L$37-1),IF($R$17="Distrato",$E234,0)),MIN(AR$38,$D$19),$P$20))-SUM($P234:AQ234)</f>
        <v>#VALUE!</v>
      </c>
      <c r="AS234" s="446" t="e">
        <f>IF(OR($B234="",MIN(AS$38,$D$19)&lt;MAX($P$34*($B234+IF($R$17="Distrato",$I$38-1,0)),IF(AND($L$37=0,$P$34=0),"",$L$37-1),IF($R$17="Distrato",$E234,0))),0,YEARFRAC(MAX($P$34*($B234+IF($R$17="Distrato",$I$38-1,0)),IF(AND($L$37=0,$P$34=0),"",$L$37-1),IF($R$17="Distrato",$E234,0)),MIN(AS$38,$D$19),$P$20))-SUM($P234:AR234)</f>
        <v>#VALUE!</v>
      </c>
      <c r="AT234" s="446" t="e">
        <f>IF(OR($B234="",MIN(AT$38,$D$19)&lt;MAX($P$34*($B234+IF($R$17="Distrato",$I$38-1,0)),IF(AND($L$37=0,$P$34=0),"",$L$37-1),IF($R$17="Distrato",$E234,0))),0,YEARFRAC(MAX($P$34*($B234+IF($R$17="Distrato",$I$38-1,0)),IF(AND($L$37=0,$P$34=0),"",$L$37-1),IF($R$17="Distrato",$E234,0)),MIN(AT$38,$D$19),$P$20))-SUM($P234:AS234)</f>
        <v>#VALUE!</v>
      </c>
      <c r="AU234" s="446" t="e">
        <f>IF(OR($B234="",MIN(AU$38,$D$19)&lt;MAX($P$34*($B234+IF($R$17="Distrato",$I$38-1,0)),IF(AND($L$37=0,$P$34=0),"",$L$37-1),IF($R$17="Distrato",$E234,0))),0,YEARFRAC(MAX($P$34*($B234+IF($R$17="Distrato",$I$38-1,0)),IF(AND($L$37=0,$P$34=0),"",$L$37-1),IF($R$17="Distrato",$E234,0)),MIN(AU$38,$D$19),$P$20))-SUM($P234:AT234)</f>
        <v>#VALUE!</v>
      </c>
      <c r="AV234" s="446" t="e">
        <f>IF(OR($B234="",MIN(AV$38,$D$19)&lt;MAX($P$34*($B234+IF($R$17="Distrato",$I$38-1,0)),IF(AND($L$37=0,$P$34=0),"",$L$37-1),IF($R$17="Distrato",$E234,0))),0,YEARFRAC(MAX($P$34*($B234+IF($R$17="Distrato",$I$38-1,0)),IF(AND($L$37=0,$P$34=0),"",$L$37-1),IF($R$17="Distrato",$E234,0)),MIN(AV$38,$D$19),$P$20))-SUM($P234:AU234)</f>
        <v>#VALUE!</v>
      </c>
      <c r="AW234" s="446" t="e">
        <f>IF(OR($B234="",MIN(AW$38,$D$19)&lt;MAX($P$34*($B234+IF($R$17="Distrato",$I$38-1,0)),IF(AND($L$37=0,$P$34=0),"",$L$37-1),IF($R$17="Distrato",$E234,0))),0,YEARFRAC(MAX($P$34*($B234+IF($R$17="Distrato",$I$38-1,0)),IF(AND($L$37=0,$P$34=0),"",$L$37-1),IF($R$17="Distrato",$E234,0)),MIN(AW$38,$D$19),$P$20))-SUM($P234:AV234)</f>
        <v>#VALUE!</v>
      </c>
      <c r="AX234" s="446" t="e">
        <f>IF(OR($B234="",MIN(AX$38,$D$19)&lt;MAX($P$34*($B234+IF($R$17="Distrato",$I$38-1,0)),IF(AND($L$37=0,$P$34=0),"",$L$37-1),IF($R$17="Distrato",$E234,0))),0,YEARFRAC(MAX($P$34*($B234+IF($R$17="Distrato",$I$38-1,0)),IF(AND($L$37=0,$P$34=0),"",$L$37-1),IF($R$17="Distrato",$E234,0)),MIN(AX$38,$D$19),$P$20))-SUM($P234:AW234)</f>
        <v>#VALUE!</v>
      </c>
      <c r="AY234" s="446" t="e">
        <f>IF(OR($B234="",MIN(AY$38,$D$19)&lt;MAX($P$34*($B234+IF($R$17="Distrato",$I$38-1,0)),IF(AND($L$37=0,$P$34=0),"",$L$37-1),IF($R$17="Distrato",$E234,0))),0,YEARFRAC(MAX($P$34*($B234+IF($R$17="Distrato",$I$38-1,0)),IF(AND($L$37=0,$P$34=0),"",$L$37-1),IF($R$17="Distrato",$E234,0)),MIN(AY$38,$D$19),$P$20))-SUM($P234:AX234)</f>
        <v>#VALUE!</v>
      </c>
      <c r="AZ234" s="446" t="e">
        <f>IF(OR($B234="",MIN(AZ$38,$D$19)&lt;MAX($P$34*($B234+IF($R$17="Distrato",$I$38-1,0)),IF(AND($L$37=0,$P$34=0),"",$L$37-1),IF($R$17="Distrato",$E234,0))),0,YEARFRAC(MAX($P$34*($B234+IF($R$17="Distrato",$I$38-1,0)),IF(AND($L$37=0,$P$34=0),"",$L$37-1),IF($R$17="Distrato",$E234,0)),MIN(AZ$38,$D$19),$P$20))-SUM($P234:AY234)</f>
        <v>#VALUE!</v>
      </c>
      <c r="BA234" s="446" t="e">
        <f>IF(OR($B234="",MIN(BA$38,$D$19)&lt;MAX($P$34*($B234+IF($R$17="Distrato",$I$38-1,0)),IF(AND($L$37=0,$P$34=0),"",$L$37-1),IF($R$17="Distrato",$E234,0))),0,YEARFRAC(MAX($P$34*($B234+IF($R$17="Distrato",$I$38-1,0)),IF(AND($L$37=0,$P$34=0),"",$L$37-1),IF($R$17="Distrato",$E234,0)),MIN(BA$38,$D$19),$P$20))-SUM($P234:AZ234)</f>
        <v>#VALUE!</v>
      </c>
      <c r="BB234" s="447"/>
      <c r="BF234" s="446">
        <f t="shared" si="43"/>
        <v>0</v>
      </c>
      <c r="BG234" s="446">
        <f>IF($E234=0,0,IF(MIN(BG$38,$E234)&lt;MAX($P$34*($B234+$I$38-1),IF(AND($L$37=0,$P$34=0),"",$L$37-1)),0,YEARFRAC(MAX($P$34*($B234+$I$38-1),IF(AND($L$37=0,$P$34=0),"",$L$37-1)),MIN(BG$38,$E234),$P$20))-SUM($BF234:BF234))</f>
        <v>0</v>
      </c>
      <c r="BH234" s="446">
        <f>IF($E234=0,0,IF(MIN(BH$38,$E234)&lt;MAX($P$34*($B234+$I$38-1),IF(AND($L$37=0,$P$34=0),"",$L$37-1)),0,YEARFRAC(MAX($P$34*($B234+$I$38-1),IF(AND($L$37=0,$P$34=0),"",$L$37-1)),MIN(BH$38,$E234),$P$20))-SUM($BF234:BG234))</f>
        <v>0</v>
      </c>
      <c r="BI234" s="446">
        <f>IF($E234=0,0,IF(MIN(BI$38,$E234)&lt;MAX($P$34*($B234+$I$38-1),IF(AND($L$37=0,$P$34=0),"",$L$37-1)),0,YEARFRAC(MAX($P$34*($B234+$I$38-1),IF(AND($L$37=0,$P$34=0),"",$L$37-1)),MIN(BI$38,$E234),$P$20))-SUM($BF234:BH234))</f>
        <v>0</v>
      </c>
      <c r="BJ234" s="446">
        <f>IF($E234=0,0,IF(MIN(BJ$38,$E234)&lt;MAX($P$34*($B234+$I$38-1),IF(AND($L$37=0,$P$34=0),"",$L$37-1)),0,YEARFRAC(MAX($P$34*($B234+$I$38-1),IF(AND($L$37=0,$P$34=0),"",$L$37-1)),MIN(BJ$38,$E234),$P$20))-SUM($BF234:BI234))</f>
        <v>0</v>
      </c>
      <c r="BK234" s="446">
        <f>IF($E234=0,0,IF(MIN(BK$38,$E234)&lt;MAX($P$34*($B234+$I$38-1),IF(AND($L$37=0,$P$34=0),"",$L$37-1)),0,YEARFRAC(MAX($P$34*($B234+$I$38-1),IF(AND($L$37=0,$P$34=0),"",$L$37-1)),MIN(BK$38,$E234),$P$20))-SUM($BF234:BJ234))</f>
        <v>0</v>
      </c>
      <c r="BL234" s="446">
        <f>IF($E234=0,0,IF(MIN(BL$38,$E234)&lt;MAX($P$34*($B234+$I$38-1),IF(AND($L$37=0,$P$34=0),"",$L$37-1)),0,YEARFRAC(MAX($P$34*($B234+$I$38-1),IF(AND($L$37=0,$P$34=0),"",$L$37-1)),MIN(BL$38,$E234),$P$20))-SUM($BF234:BK234))</f>
        <v>0</v>
      </c>
      <c r="BM234" s="446">
        <f>IF($E234=0,0,IF(MIN(BM$38,$E234)&lt;MAX($P$34*($B234+$I$38-1),IF(AND($L$37=0,$P$34=0),"",$L$37-1)),0,YEARFRAC(MAX($P$34*($B234+$I$38-1),IF(AND($L$37=0,$P$34=0),"",$L$37-1)),MIN(BM$38,$E234),$P$20))-SUM($BF234:BL234))</f>
        <v>0</v>
      </c>
      <c r="BN234" s="446">
        <f>IF($E234=0,0,IF(MIN(BN$38,$E234)&lt;MAX($P$34*($B234+$I$38-1),IF(AND($L$37=0,$P$34=0),"",$L$37-1)),0,YEARFRAC(MAX($P$34*($B234+$I$38-1),IF(AND($L$37=0,$P$34=0),"",$L$37-1)),MIN(BN$38,$E234),$P$20))-SUM($BF234:BM234))</f>
        <v>0</v>
      </c>
      <c r="BO234" s="446">
        <f>IF($E234=0,0,IF(MIN(BO$38,$E234)&lt;MAX($P$34*($B234+$I$38-1),IF(AND($L$37=0,$P$34=0),"",$L$37-1)),0,YEARFRAC(MAX($P$34*($B234+$I$38-1),IF(AND($L$37=0,$P$34=0),"",$L$37-1)),MIN(BO$38,$E234),$P$20))-SUM($BF234:BN234))</f>
        <v>0</v>
      </c>
      <c r="BP234" s="446">
        <f>IF($E234=0,0,IF(MIN(BP$38,$E234)&lt;MAX($P$34*($B234+$I$38-1),IF(AND($L$37=0,$P$34=0),"",$L$37-1)),0,YEARFRAC(MAX($P$34*($B234+$I$38-1),IF(AND($L$37=0,$P$34=0),"",$L$37-1)),MIN(BP$38,$E234),$P$20))-SUM($BF234:BO234))</f>
        <v>0</v>
      </c>
      <c r="BQ234" s="446">
        <f>IF($E234=0,0,IF(MIN(BQ$38,$E234)&lt;MAX($P$34*($B234+$I$38-1),IF(AND($L$37=0,$P$34=0),"",$L$37-1)),0,YEARFRAC(MAX($P$34*($B234+$I$38-1),IF(AND($L$37=0,$P$34=0),"",$L$37-1)),MIN(BQ$38,$E234),$P$20))-SUM($BF234:BP234))</f>
        <v>0</v>
      </c>
      <c r="BR234" s="446">
        <f>IF($E234=0,0,IF(MIN(BR$38,$E234)&lt;MAX($P$34*($B234+$I$38-1),IF(AND($L$37=0,$P$34=0),"",$L$37-1)),0,YEARFRAC(MAX($P$34*($B234+$I$38-1),IF(AND($L$37=0,$P$34=0),"",$L$37-1)),MIN(BR$38,$E234),$P$20))-SUM($BF234:BQ234))</f>
        <v>0</v>
      </c>
      <c r="BS234" s="446">
        <f>IF($E234=0,0,IF(MIN(BS$38,$E234)&lt;MAX($P$34*($B234+$I$38-1),IF(AND($L$37=0,$P$34=0),"",$L$37-1)),0,YEARFRAC(MAX($P$34*($B234+$I$38-1),IF(AND($L$37=0,$P$34=0),"",$L$37-1)),MIN(BS$38,$E234),$P$20))-SUM($BF234:BR234))</f>
        <v>0</v>
      </c>
      <c r="BT234" s="446">
        <f>IF($E234=0,0,IF(MIN(BT$38,$E234)&lt;MAX($P$34*($B234+$I$38-1),IF(AND($L$37=0,$P$34=0),"",$L$37-1)),0,YEARFRAC(MAX($P$34*($B234+$I$38-1),IF(AND($L$37=0,$P$34=0),"",$L$37-1)),MIN(BT$38,$E234),$P$20))-SUM($BF234:BS234))</f>
        <v>0</v>
      </c>
      <c r="BU234" s="446">
        <f>IF($E234=0,0,IF(MIN(BU$38,$E234)&lt;MAX($P$34*($B234+$I$38-1),IF(AND($L$37=0,$P$34=0),"",$L$37-1)),0,YEARFRAC(MAX($P$34*($B234+$I$38-1),IF(AND($L$37=0,$P$34=0),"",$L$37-1)),MIN(BU$38,$E234),$P$20))-SUM($BF234:BT234))</f>
        <v>0</v>
      </c>
      <c r="BV234" s="446">
        <f>IF($E234=0,0,IF(MIN(BV$38,$E234)&lt;MAX($P$34*($B234+$I$38-1),IF(AND($L$37=0,$P$34=0),"",$L$37-1)),0,YEARFRAC(MAX($P$34*($B234+$I$38-1),IF(AND($L$37=0,$P$34=0),"",$L$37-1)),MIN(BV$38,$E234),$P$20))-SUM($BF234:BU234))</f>
        <v>0</v>
      </c>
      <c r="BW234" s="446">
        <f>IF($E234=0,0,IF(MIN(BW$38,$E234)&lt;MAX($P$34*($B234+$I$38-1),IF(AND($L$37=0,$P$34=0),"",$L$37-1)),0,YEARFRAC(MAX($P$34*($B234+$I$38-1),IF(AND($L$37=0,$P$34=0),"",$L$37-1)),MIN(BW$38,$E234),$P$20))-SUM($BF234:BV234))</f>
        <v>0</v>
      </c>
      <c r="BX234" s="446">
        <f>IF($E234=0,0,IF(MIN(BX$38,$E234)&lt;MAX($P$34*($B234+$I$38-1),IF(AND($L$37=0,$P$34=0),"",$L$37-1)),0,YEARFRAC(MAX($P$34*($B234+$I$38-1),IF(AND($L$37=0,$P$34=0),"",$L$37-1)),MIN(BX$38,$E234),$P$20))-SUM($BF234:BW234))</f>
        <v>0</v>
      </c>
      <c r="BY234" s="446">
        <f>IF($E234=0,0,IF(MIN(BY$38,$E234)&lt;MAX($P$34*($B234+$I$38-1),IF(AND($L$37=0,$P$34=0),"",$L$37-1)),0,YEARFRAC(MAX($P$34*($B234+$I$38-1),IF(AND($L$37=0,$P$34=0),"",$L$37-1)),MIN(BY$38,$E234),$P$20))-SUM($BF234:BX234))</f>
        <v>0</v>
      </c>
      <c r="BZ234" s="446">
        <f>IF($E234=0,0,IF(MIN(BZ$38,$E234)&lt;MAX($P$34*($B234+$I$38-1),IF(AND($L$37=0,$P$34=0),"",$L$37-1)),0,YEARFRAC(MAX($P$34*($B234+$I$38-1),IF(AND($L$37=0,$P$34=0),"",$L$37-1)),MIN(BZ$38,$E234),$P$20))-SUM($BF234:BY234))</f>
        <v>0</v>
      </c>
      <c r="CA234" s="446">
        <f>IF($E234=0,0,IF(MIN(CA$38,$E234)&lt;MAX($P$34*($B234+$I$38-1),IF(AND($L$37=0,$P$34=0),"",$L$37-1)),0,YEARFRAC(MAX($P$34*($B234+$I$38-1),IF(AND($L$37=0,$P$34=0),"",$L$37-1)),MIN(CA$38,$E234),$P$20))-SUM($BF234:BZ234))</f>
        <v>0</v>
      </c>
      <c r="CB234" s="446">
        <f>IF($E234=0,0,IF(MIN(CB$38,$E234)&lt;MAX($P$34*($B234+$I$38-1),IF(AND($L$37=0,$P$34=0),"",$L$37-1)),0,YEARFRAC(MAX($P$34*($B234+$I$38-1),IF(AND($L$37=0,$P$34=0),"",$L$37-1)),MIN(CB$38,$E234),$P$20))-SUM($BF234:CA234))</f>
        <v>0</v>
      </c>
      <c r="CC234" s="446">
        <f>IF($E234=0,0,IF(MIN(CC$38,$E234)&lt;MAX($P$34*($B234+$I$38-1),IF(AND($L$37=0,$P$34=0),"",$L$37-1)),0,YEARFRAC(MAX($P$34*($B234+$I$38-1),IF(AND($L$37=0,$P$34=0),"",$L$37-1)),MIN(CC$38,$E234),$P$20))-SUM($BF234:CB234))</f>
        <v>0</v>
      </c>
      <c r="CD234" s="446">
        <f>IF($E234=0,0,IF(MIN(CD$38,$E234)&lt;MAX($P$34*($B234+$I$38-1),IF(AND($L$37=0,$P$34=0),"",$L$37-1)),0,YEARFRAC(MAX($P$34*($B234+$I$38-1),IF(AND($L$37=0,$P$34=0),"",$L$37-1)),MIN(CD$38,$E234),$P$20))-SUM($BF234:CC234))</f>
        <v>0</v>
      </c>
      <c r="CE234" s="446">
        <f>IF($E234=0,0,IF(MIN(CE$38,$E234)&lt;MAX($P$34*($B234+$I$38-1),IF(AND($L$37=0,$P$34=0),"",$L$37-1)),0,YEARFRAC(MAX($P$34*($B234+$I$38-1),IF(AND($L$37=0,$P$34=0),"",$L$37-1)),MIN(CE$38,$E234),$P$20))-SUM($BF234:CD234))</f>
        <v>0</v>
      </c>
      <c r="CF234" s="446">
        <f>IF($E234=0,0,IF(MIN(CF$38,$E234)&lt;MAX($P$34*($B234+$I$38-1),IF(AND($L$37=0,$P$34=0),"",$L$37-1)),0,YEARFRAC(MAX($P$34*($B234+$I$38-1),IF(AND($L$37=0,$P$34=0),"",$L$37-1)),MIN(CF$38,$E234),$P$20))-SUM($BF234:CE234))</f>
        <v>0</v>
      </c>
      <c r="CG234" s="446">
        <f>IF($E234=0,0,IF(MIN(CG$38,$E234)&lt;MAX($P$34*($B234+$I$38-1),IF(AND($L$37=0,$P$34=0),"",$L$37-1)),0,YEARFRAC(MAX($P$34*($B234+$I$38-1),IF(AND($L$37=0,$P$34=0),"",$L$37-1)),MIN(CG$38,$E234),$P$20))-SUM($BF234:CF234))</f>
        <v>0</v>
      </c>
      <c r="CH234" s="446">
        <f>IF($E234=0,0,IF(MIN(CH$38,$E234)&lt;MAX($P$34*($B234+$I$38-1),IF(AND($L$37=0,$P$34=0),"",$L$37-1)),0,YEARFRAC(MAX($P$34*($B234+$I$38-1),IF(AND($L$37=0,$P$34=0),"",$L$37-1)),MIN(CH$38,$E234),$P$20))-SUM($BF234:CG234))</f>
        <v>0</v>
      </c>
      <c r="CI234" s="446">
        <f>IF($E234=0,0,IF(MIN(CI$38,$E234)&lt;MAX($P$34*($B234+$I$38-1),IF(AND($L$37=0,$P$34=0),"",$L$37-1)),0,YEARFRAC(MAX($P$34*($B234+$I$38-1),IF(AND($L$37=0,$P$34=0),"",$L$37-1)),MIN(CI$38,$E234),$P$20))-SUM($BF234:CH234))</f>
        <v>0</v>
      </c>
      <c r="CJ234" s="446">
        <f>IF($E234=0,0,IF(MIN(CJ$38,$E234)&lt;MAX($P$34*($B234+$I$38-1),IF(AND($L$37=0,$P$34=0),"",$L$37-1)),0,YEARFRAC(MAX($P$34*($B234+$I$38-1),IF(AND($L$37=0,$P$34=0),"",$L$37-1)),MIN(CJ$38,$E234),$P$20))-SUM($BF234:CI234))</f>
        <v>0</v>
      </c>
      <c r="CK234" s="446">
        <f>IF($E234=0,0,IF(MIN(CK$38,$E234)&lt;MAX($P$34*($B234+$I$38-1),IF(AND($L$37=0,$P$34=0),"",$L$37-1)),0,YEARFRAC(MAX($P$34*($B234+$I$38-1),IF(AND($L$37=0,$P$34=0),"",$L$37-1)),MIN(CK$38,$E234),$P$20))-SUM($BF234:CJ234))</f>
        <v>0</v>
      </c>
      <c r="CL234" s="446">
        <f>IF($E234=0,0,IF(MIN(CL$38,$E234)&lt;MAX($P$34*($B234+$I$38-1),IF(AND($L$37=0,$P$34=0),"",$L$37-1)),0,YEARFRAC(MAX($P$34*($B234+$I$38-1),IF(AND($L$37=0,$P$34=0),"",$L$37-1)),MIN(CL$38,$E234),$P$20))-SUM($BF234:CK234))</f>
        <v>0</v>
      </c>
      <c r="CM234" s="446">
        <f>IF($E234=0,0,IF(MIN(CM$38,$E234)&lt;MAX($P$34*($B234+$I$38-1),IF(AND($L$37=0,$P$34=0),"",$L$37-1)),0,YEARFRAC(MAX($P$34*($B234+$I$38-1),IF(AND($L$37=0,$P$34=0),"",$L$37-1)),MIN(CM$38,$E234),$P$20))-SUM($BF234:CL234))</f>
        <v>0</v>
      </c>
      <c r="CN234" s="446">
        <f>IF($E234=0,0,IF(MIN(CN$38,$E234)&lt;MAX($P$34*($B234+$I$38-1),IF(AND($L$37=0,$P$34=0),"",$L$37-1)),0,YEARFRAC(MAX($P$34*($B234+$I$38-1),IF(AND($L$37=0,$P$34=0),"",$L$37-1)),MIN(CN$38,$E234),$P$20))-SUM($BF234:CM234))</f>
        <v>0</v>
      </c>
      <c r="CO234" s="446">
        <f>IF($E234=0,0,IF(MIN(CO$38,$E234)&lt;MAX($P$34*($B234+$I$38-1),IF(AND($L$37=0,$P$34=0),"",$L$37-1)),0,YEARFRAC(MAX($P$34*($B234+$I$38-1),IF(AND($L$37=0,$P$34=0),"",$L$37-1)),MIN(CO$38,$E234),$P$20))-SUM($BF234:CN234))</f>
        <v>0</v>
      </c>
      <c r="CP234" s="446">
        <f>IF($E234=0,0,IF(MIN(CP$38,$E234)&lt;MAX($P$34*($B234+$I$38-1),IF(AND($L$37=0,$P$34=0),"",$L$37-1)),0,YEARFRAC(MAX($P$34*($B234+$I$38-1),IF(AND($L$37=0,$P$34=0),"",$L$37-1)),MIN(CP$38,$E234),$P$20))-SUM($BF234:CO234))</f>
        <v>0</v>
      </c>
      <c r="CQ234" s="446">
        <f>IF($E234=0,0,IF(MIN(CQ$38,$E234)&lt;MAX($P$34*($B234+$I$38-1),IF(AND($L$37=0,$P$34=0),"",$L$37-1)),0,YEARFRAC(MAX($P$34*($B234+$I$38-1),IF(AND($L$37=0,$P$34=0),"",$L$37-1)),MIN(CQ$38,$E234),$P$20))-SUM($BF234:CP234))</f>
        <v>0</v>
      </c>
    </row>
    <row r="235" spans="1:95" s="446" customFormat="1" ht="11.25" hidden="1" customHeight="1" x14ac:dyDescent="0.2">
      <c r="A235" s="152"/>
      <c r="B235" s="153" t="str">
        <f t="shared" si="48"/>
        <v/>
      </c>
      <c r="C235" s="29" t="str">
        <f>IF(B235="","",IF($L$35="SELIC - TRIBUTOS",VLOOKUP(DATE(YEAR($D$19),MONTH($D$19)-1,1),ÍNDICES!$A:$DE,HLOOKUP($BL$25,ÍNDICES!$B$3:$T$4,2)+11)-VLOOKUP(B235,ÍNDICES!$A:$DE,HLOOKUP($BL$25,ÍNDICES!$B$3:$T$4,2)+11)+1%,IF(C$38=$W$26,$J$35,IF(ISERROR(IF(B235&gt;$D$19,1,VLOOKUP(DATE(YEAR(B235),MONTH(B235)+IF($C$35=$S$23,1,0),1),ÍNDICES!$A:$DE,$Z$35+1))),"",IF(B235&gt;$D$19,1,VLOOKUP(DATE(YEAR(B235),MONTH(B235)+IF($C$35=$S$23,1,0),1),ÍNDICES!$A:$DE,$Z$35+1))))))</f>
        <v/>
      </c>
      <c r="D235" s="154" t="str">
        <f>IF(ISERROR(IF(OR($D$38=$Y$27,$B235=""),"",VLOOKUP(B235,ÍNDICES!A:DE,AF$35+1))),"",IF(OR($D$38=$Y$27,$B235=""),"",VLOOKUP(B235,ÍNDICES!A:DE,AF$35+1)))</f>
        <v/>
      </c>
      <c r="E235" s="153"/>
      <c r="F235" s="29" t="str">
        <f>IF(E235="","",IF($L$35="SELIC - TRIBUTOS",VLOOKUP(DATE(YEAR($D$19),MONTH($D$19)-1,1),ÍNDICES!$A:$DE,HLOOKUP($BL$25,ÍNDICES!$B$3:$T$4,2)+11)-VLOOKUP(E235,ÍNDICES!$A:$DE,HLOOKUP($BL$25,ÍNDICES!$B$3:$T$4,2)+11)+1%,IF(F$38=$W$26,$J$35,IF(ISERROR(IF(E235&gt;$D$19,1,VLOOKUP(DATE(YEAR(E235),MONTH(E235)+IF($C$35=$S$23,1,0),1),ÍNDICES!$A:$DE,$Z$35+1))),"",IF(E235&gt;$D$19,1,VLOOKUP(DATE(YEAR(E235),MONTH(E235)+IF($C$35=$S$23,1,0),1),ÍNDICES!$A:$DE,$Z$35+1))))))</f>
        <v/>
      </c>
      <c r="G235" s="155"/>
      <c r="H235" s="156" t="str">
        <f t="shared" si="44"/>
        <v/>
      </c>
      <c r="I235" s="29" t="str">
        <f t="shared" si="38"/>
        <v/>
      </c>
      <c r="J235" s="5">
        <f t="shared" si="39"/>
        <v>0</v>
      </c>
      <c r="K235" s="20">
        <f t="shared" ca="1" si="40"/>
        <v>0</v>
      </c>
      <c r="L235" s="5">
        <f t="shared" ca="1" si="41"/>
        <v>0</v>
      </c>
      <c r="M235" s="64">
        <f t="shared" si="45"/>
        <v>0</v>
      </c>
      <c r="N235" s="61">
        <f t="shared" ca="1" si="46"/>
        <v>0</v>
      </c>
      <c r="O235" s="5">
        <f t="shared" ca="1" si="47"/>
        <v>0</v>
      </c>
      <c r="P235" s="446" t="e">
        <f t="shared" si="42"/>
        <v>#VALUE!</v>
      </c>
      <c r="Q235" s="446" t="e">
        <f>IF(OR($B235="",MIN(Q$38,$D$19)&lt;MAX($P$34*($B235+IF($R$17="Distrato",$I$38-1,0)),IF(AND($L$37=0,$P$34=0),"",$L$37-1),IF($R$17="Distrato",$E235,0))),0,YEARFRAC(MAX($P$34*($B235+IF($R$17="Distrato",$I$38-1,0)),IF(AND($L$37=0,$P$34=0),"",$L$37-1),IF($R$17="Distrato",$E235,0)),MIN(Q$38,$D$19),$P$20))-SUM($P235:P235)</f>
        <v>#VALUE!</v>
      </c>
      <c r="R235" s="446" t="e">
        <f>IF(OR($B235="",MIN(R$38,$D$19)&lt;MAX($P$34*($B235+IF($R$17="Distrato",$I$38-1,0)),IF(AND($L$37=0,$P$34=0),"",$L$37-1),IF($R$17="Distrato",$E235,0))),0,YEARFRAC(MAX($P$34*($B235+IF($R$17="Distrato",$I$38-1,0)),IF(AND($L$37=0,$P$34=0),"",$L$37-1),IF($R$17="Distrato",$E235,0)),MIN(R$38,$D$19),$P$20))-SUM($P235:Q235)</f>
        <v>#VALUE!</v>
      </c>
      <c r="S235" s="446" t="e">
        <f>IF(OR($B235="",MIN(S$38,$D$19)&lt;MAX($P$34*($B235+IF($R$17="Distrato",$I$38-1,0)),IF(AND($L$37=0,$P$34=0),"",$L$37-1),IF($R$17="Distrato",$E235,0))),0,YEARFRAC(MAX($P$34*($B235+IF($R$17="Distrato",$I$38-1,0)),IF(AND($L$37=0,$P$34=0),"",$L$37-1),IF($R$17="Distrato",$E235,0)),MIN(S$38,$D$19),$P$20))-SUM($P235:R235)</f>
        <v>#VALUE!</v>
      </c>
      <c r="T235" s="446" t="e">
        <f>IF(OR($B235="",MIN(T$38,$D$19)&lt;MAX($P$34*($B235+IF($R$17="Distrato",$I$38-1,0)),IF(AND($L$37=0,$P$34=0),"",$L$37-1),IF($R$17="Distrato",$E235,0))),0,YEARFRAC(MAX($P$34*($B235+IF($R$17="Distrato",$I$38-1,0)),IF(AND($L$37=0,$P$34=0),"",$L$37-1),IF($R$17="Distrato",$E235,0)),MIN(T$38,$D$19),$P$20))-SUM($P235:S235)</f>
        <v>#VALUE!</v>
      </c>
      <c r="U235" s="446" t="e">
        <f>IF(OR($B235="",MIN(U$38,$D$19)&lt;MAX($P$34*($B235+IF($R$17="Distrato",$I$38-1,0)),IF(AND($L$37=0,$P$34=0),"",$L$37-1),IF($R$17="Distrato",$E235,0))),0,YEARFRAC(MAX($P$34*($B235+IF($R$17="Distrato",$I$38-1,0)),IF(AND($L$37=0,$P$34=0),"",$L$37-1),IF($R$17="Distrato",$E235,0)),MIN(U$38,$D$19),$P$20))-SUM($P235:T235)</f>
        <v>#VALUE!</v>
      </c>
      <c r="V235" s="446" t="e">
        <f>IF(OR($B235="",MIN(V$38,$D$19)&lt;MAX($P$34*($B235+IF($R$17="Distrato",$I$38-1,0)),IF(AND($L$37=0,$P$34=0),"",$L$37-1),IF($R$17="Distrato",$E235,0))),0,YEARFRAC(MAX($P$34*($B235+IF($R$17="Distrato",$I$38-1,0)),IF(AND($L$37=0,$P$34=0),"",$L$37-1),IF($R$17="Distrato",$E235,0)),MIN(V$38,$D$19),$P$20))-SUM($P235:U235)</f>
        <v>#VALUE!</v>
      </c>
      <c r="W235" s="446" t="e">
        <f>IF(OR($B235="",MIN(W$38,$D$19)&lt;MAX($P$34*($B235+IF($R$17="Distrato",$I$38-1,0)),IF(AND($L$37=0,$P$34=0),"",$L$37-1),IF($R$17="Distrato",$E235,0))),0,YEARFRAC(MAX($P$34*($B235+IF($R$17="Distrato",$I$38-1,0)),IF(AND($L$37=0,$P$34=0),"",$L$37-1),IF($R$17="Distrato",$E235,0)),MIN(W$38,$D$19),$P$20))-SUM($P235:V235)</f>
        <v>#VALUE!</v>
      </c>
      <c r="X235" s="446" t="e">
        <f>IF(OR($B235="",MIN(X$38,$D$19)&lt;MAX($P$34*($B235+IF($R$17="Distrato",$I$38-1,0)),IF(AND($L$37=0,$P$34=0),"",$L$37-1),IF($R$17="Distrato",$E235,0))),0,YEARFRAC(MAX($P$34*($B235+IF($R$17="Distrato",$I$38-1,0)),IF(AND($L$37=0,$P$34=0),"",$L$37-1),IF($R$17="Distrato",$E235,0)),MIN(X$38,$D$19),$P$20))-SUM($P235:W235)</f>
        <v>#VALUE!</v>
      </c>
      <c r="Y235" s="446" t="e">
        <f>IF(OR($B235="",MIN(Y$38,$D$19)&lt;MAX($P$34*($B235+IF($R$17="Distrato",$I$38-1,0)),IF(AND($L$37=0,$P$34=0),"",$L$37-1),IF($R$17="Distrato",$E235,0))),0,YEARFRAC(MAX($P$34*($B235+IF($R$17="Distrato",$I$38-1,0)),IF(AND($L$37=0,$P$34=0),"",$L$37-1),IF($R$17="Distrato",$E235,0)),MIN(Y$38,$D$19),$P$20))-SUM($P235:X235)</f>
        <v>#VALUE!</v>
      </c>
      <c r="Z235" s="446" t="e">
        <f>IF(OR($B235="",MIN(Z$38,$D$19)&lt;MAX($P$34*($B235+IF($R$17="Distrato",$I$38-1,0)),IF(AND($L$37=0,$P$34=0),"",$L$37-1),IF($R$17="Distrato",$E235,0))),0,YEARFRAC(MAX($P$34*($B235+IF($R$17="Distrato",$I$38-1,0)),IF(AND($L$37=0,$P$34=0),"",$L$37-1),IF($R$17="Distrato",$E235,0)),MIN(Z$38,$D$19),$P$20))-SUM($P235:Y235)</f>
        <v>#VALUE!</v>
      </c>
      <c r="AA235" s="446" t="e">
        <f>IF(OR($B235="",MIN(AA$38,$D$19)&lt;MAX($P$34*($B235+IF($R$17="Distrato",$I$38-1,0)),IF(AND($L$37=0,$P$34=0),"",$L$37-1),IF($R$17="Distrato",$E235,0))),0,YEARFRAC(MAX($P$34*($B235+IF($R$17="Distrato",$I$38-1,0)),IF(AND($L$37=0,$P$34=0),"",$L$37-1),IF($R$17="Distrato",$E235,0)),MIN(AA$38,$D$19),$P$20))-SUM($P235:Z235)</f>
        <v>#VALUE!</v>
      </c>
      <c r="AB235" s="446" t="e">
        <f>IF(OR($B235="",MIN(AB$38,$D$19)&lt;MAX($P$34*($B235+IF($R$17="Distrato",$I$38-1,0)),IF(AND($L$37=0,$P$34=0),"",$L$37-1),IF($R$17="Distrato",$E235,0))),0,YEARFRAC(MAX($P$34*($B235+IF($R$17="Distrato",$I$38-1,0)),IF(AND($L$37=0,$P$34=0),"",$L$37-1),IF($R$17="Distrato",$E235,0)),MIN(AB$38,$D$19),$P$20))-SUM($P235:AA235)</f>
        <v>#VALUE!</v>
      </c>
      <c r="AC235" s="446" t="e">
        <f>IF(OR($B235="",MIN(AC$38,$D$19)&lt;MAX($P$34*($B235+IF($R$17="Distrato",$I$38-1,0)),IF(AND($L$37=0,$P$34=0),"",$L$37-1),IF($R$17="Distrato",$E235,0))),0,YEARFRAC(MAX($P$34*($B235+IF($R$17="Distrato",$I$38-1,0)),IF(AND($L$37=0,$P$34=0),"",$L$37-1),IF($R$17="Distrato",$E235,0)),MIN(AC$38,$D$19),$P$20))-SUM($P235:AB235)</f>
        <v>#VALUE!</v>
      </c>
      <c r="AD235" s="446" t="e">
        <f>IF(OR($B235="",MIN(AD$38,$D$19)&lt;MAX($P$34*($B235+IF($R$17="Distrato",$I$38-1,0)),IF(AND($L$37=0,$P$34=0),"",$L$37-1),IF($R$17="Distrato",$E235,0))),0,YEARFRAC(MAX($P$34*($B235+IF($R$17="Distrato",$I$38-1,0)),IF(AND($L$37=0,$P$34=0),"",$L$37-1),IF($R$17="Distrato",$E235,0)),MIN(AD$38,$D$19),$P$20))-SUM($P235:AC235)</f>
        <v>#VALUE!</v>
      </c>
      <c r="AE235" s="446" t="e">
        <f>IF(OR($B235="",MIN(AE$38,$D$19)&lt;MAX($P$34*($B235+IF($R$17="Distrato",$I$38-1,0)),IF(AND($L$37=0,$P$34=0),"",$L$37-1),IF($R$17="Distrato",$E235,0))),0,YEARFRAC(MAX($P$34*($B235+IF($R$17="Distrato",$I$38-1,0)),IF(AND($L$37=0,$P$34=0),"",$L$37-1),IF($R$17="Distrato",$E235,0)),MIN(AE$38,$D$19),$P$20))-SUM($P235:AD235)</f>
        <v>#VALUE!</v>
      </c>
      <c r="AF235" s="446" t="e">
        <f>IF(OR($B235="",MIN(AF$38,$D$19)&lt;MAX($P$34*($B235+IF($R$17="Distrato",$I$38-1,0)),IF(AND($L$37=0,$P$34=0),"",$L$37-1),IF($R$17="Distrato",$E235,0))),0,YEARFRAC(MAX($P$34*($B235+IF($R$17="Distrato",$I$38-1,0)),IF(AND($L$37=0,$P$34=0),"",$L$37-1),IF($R$17="Distrato",$E235,0)),MIN(AF$38,$D$19),$P$20))-SUM($P235:AE235)</f>
        <v>#VALUE!</v>
      </c>
      <c r="AG235" s="446" t="e">
        <f>IF(OR($B235="",MIN(AG$38,$D$19)&lt;MAX($P$34*($B235+IF($R$17="Distrato",$I$38-1,0)),IF(AND($L$37=0,$P$34=0),"",$L$37-1),IF($R$17="Distrato",$E235,0))),0,YEARFRAC(MAX($P$34*($B235+IF($R$17="Distrato",$I$38-1,0)),IF(AND($L$37=0,$P$34=0),"",$L$37-1),IF($R$17="Distrato",$E235,0)),MIN(AG$38,$D$19),$P$20))-SUM($P235:AF235)</f>
        <v>#VALUE!</v>
      </c>
      <c r="AH235" s="446" t="e">
        <f>IF(OR($B235="",MIN(AH$38,$D$19)&lt;MAX($P$34*($B235+IF($R$17="Distrato",$I$38-1,0)),IF(AND($L$37=0,$P$34=0),"",$L$37-1),IF($R$17="Distrato",$E235,0))),0,YEARFRAC(MAX($P$34*($B235+IF($R$17="Distrato",$I$38-1,0)),IF(AND($L$37=0,$P$34=0),"",$L$37-1),IF($R$17="Distrato",$E235,0)),MIN(AH$38,$D$19),$P$20))-SUM($P235:AG235)</f>
        <v>#VALUE!</v>
      </c>
      <c r="AI235" s="446" t="e">
        <f>IF(OR($B235="",MIN(AI$38,$D$19)&lt;MAX($P$34*($B235+IF($R$17="Distrato",$I$38-1,0)),IF(AND($L$37=0,$P$34=0),"",$L$37-1),IF($R$17="Distrato",$E235,0))),0,YEARFRAC(MAX($P$34*($B235+IF($R$17="Distrato",$I$38-1,0)),IF(AND($L$37=0,$P$34=0),"",$L$37-1),IF($R$17="Distrato",$E235,0)),MIN(AI$38,$D$19),$P$20))-SUM($P235:AH235)</f>
        <v>#VALUE!</v>
      </c>
      <c r="AJ235" s="446" t="e">
        <f>IF(OR($B235="",MIN(AJ$38,$D$19)&lt;MAX($P$34*($B235+IF($R$17="Distrato",$I$38-1,0)),IF(AND($L$37=0,$P$34=0),"",$L$37-1),IF($R$17="Distrato",$E235,0))),0,YEARFRAC(MAX($P$34*($B235+IF($R$17="Distrato",$I$38-1,0)),IF(AND($L$37=0,$P$34=0),"",$L$37-1),IF($R$17="Distrato",$E235,0)),MIN(AJ$38,$D$19),$P$20))-SUM($P235:AI235)</f>
        <v>#VALUE!</v>
      </c>
      <c r="AK235" s="446" t="e">
        <f>IF(OR($B235="",MIN(AK$38,$D$19)&lt;MAX($P$34*($B235+IF($R$17="Distrato",$I$38-1,0)),IF(AND($L$37=0,$P$34=0),"",$L$37-1),IF($R$17="Distrato",$E235,0))),0,YEARFRAC(MAX($P$34*($B235+IF($R$17="Distrato",$I$38-1,0)),IF(AND($L$37=0,$P$34=0),"",$L$37-1),IF($R$17="Distrato",$E235,0)),MIN(AK$38,$D$19),$P$20))-SUM($P235:AJ235)</f>
        <v>#VALUE!</v>
      </c>
      <c r="AL235" s="446" t="e">
        <f>IF(OR($B235="",MIN(AL$38,$D$19)&lt;MAX($P$34*($B235+IF($R$17="Distrato",$I$38-1,0)),IF(AND($L$37=0,$P$34=0),"",$L$37-1),IF($R$17="Distrato",$E235,0))),0,YEARFRAC(MAX($P$34*($B235+IF($R$17="Distrato",$I$38-1,0)),IF(AND($L$37=0,$P$34=0),"",$L$37-1),IF($R$17="Distrato",$E235,0)),MIN(AL$38,$D$19),$P$20))-SUM($P235:AK235)</f>
        <v>#VALUE!</v>
      </c>
      <c r="AM235" s="446" t="e">
        <f>IF(OR($B235="",MIN(AM$38,$D$19)&lt;MAX($P$34*($B235+IF($R$17="Distrato",$I$38-1,0)),IF(AND($L$37=0,$P$34=0),"",$L$37-1),IF($R$17="Distrato",$E235,0))),0,YEARFRAC(MAX($P$34*($B235+IF($R$17="Distrato",$I$38-1,0)),IF(AND($L$37=0,$P$34=0),"",$L$37-1),IF($R$17="Distrato",$E235,0)),MIN(AM$38,$D$19),$P$20))-SUM($P235:AL235)</f>
        <v>#VALUE!</v>
      </c>
      <c r="AN235" s="446" t="e">
        <f>IF(OR($B235="",MIN(AN$38,$D$19)&lt;MAX($P$34*($B235+IF($R$17="Distrato",$I$38-1,0)),IF(AND($L$37=0,$P$34=0),"",$L$37-1),IF($R$17="Distrato",$E235,0))),0,YEARFRAC(MAX($P$34*($B235+IF($R$17="Distrato",$I$38-1,0)),IF(AND($L$37=0,$P$34=0),"",$L$37-1),IF($R$17="Distrato",$E235,0)),MIN(AN$38,$D$19),$P$20))-SUM($P235:AM235)</f>
        <v>#VALUE!</v>
      </c>
      <c r="AO235" s="446" t="e">
        <f>IF(OR($B235="",MIN(AO$38,$D$19)&lt;MAX($P$34*($B235+IF($R$17="Distrato",$I$38-1,0)),IF(AND($L$37=0,$P$34=0),"",$L$37-1),IF($R$17="Distrato",$E235,0))),0,YEARFRAC(MAX($P$34*($B235+IF($R$17="Distrato",$I$38-1,0)),IF(AND($L$37=0,$P$34=0),"",$L$37-1),IF($R$17="Distrato",$E235,0)),MIN(AO$38,$D$19),$P$20))-SUM($P235:AN235)</f>
        <v>#VALUE!</v>
      </c>
      <c r="AP235" s="446" t="e">
        <f>IF(OR($B235="",MIN(AP$38,$D$19)&lt;MAX($P$34*($B235+IF($R$17="Distrato",$I$38-1,0)),IF(AND($L$37=0,$P$34=0),"",$L$37-1),IF($R$17="Distrato",$E235,0))),0,YEARFRAC(MAX($P$34*($B235+IF($R$17="Distrato",$I$38-1,0)),IF(AND($L$37=0,$P$34=0),"",$L$37-1),IF($R$17="Distrato",$E235,0)),MIN(AP$38,$D$19),$P$20))-SUM($P235:AO235)</f>
        <v>#VALUE!</v>
      </c>
      <c r="AQ235" s="446" t="e">
        <f>IF(OR($B235="",MIN(AQ$38,$D$19)&lt;MAX($P$34*($B235+IF($R$17="Distrato",$I$38-1,0)),IF(AND($L$37=0,$P$34=0),"",$L$37-1),IF($R$17="Distrato",$E235,0))),0,YEARFRAC(MAX($P$34*($B235+IF($R$17="Distrato",$I$38-1,0)),IF(AND($L$37=0,$P$34=0),"",$L$37-1),IF($R$17="Distrato",$E235,0)),MIN(AQ$38,$D$19),$P$20))-SUM($P235:AP235)</f>
        <v>#VALUE!</v>
      </c>
      <c r="AR235" s="446" t="e">
        <f>IF(OR($B235="",MIN(AR$38,$D$19)&lt;MAX($P$34*($B235+IF($R$17="Distrato",$I$38-1,0)),IF(AND($L$37=0,$P$34=0),"",$L$37-1),IF($R$17="Distrato",$E235,0))),0,YEARFRAC(MAX($P$34*($B235+IF($R$17="Distrato",$I$38-1,0)),IF(AND($L$37=0,$P$34=0),"",$L$37-1),IF($R$17="Distrato",$E235,0)),MIN(AR$38,$D$19),$P$20))-SUM($P235:AQ235)</f>
        <v>#VALUE!</v>
      </c>
      <c r="AS235" s="446" t="e">
        <f>IF(OR($B235="",MIN(AS$38,$D$19)&lt;MAX($P$34*($B235+IF($R$17="Distrato",$I$38-1,0)),IF(AND($L$37=0,$P$34=0),"",$L$37-1),IF($R$17="Distrato",$E235,0))),0,YEARFRAC(MAX($P$34*($B235+IF($R$17="Distrato",$I$38-1,0)),IF(AND($L$37=0,$P$34=0),"",$L$37-1),IF($R$17="Distrato",$E235,0)),MIN(AS$38,$D$19),$P$20))-SUM($P235:AR235)</f>
        <v>#VALUE!</v>
      </c>
      <c r="AT235" s="446" t="e">
        <f>IF(OR($B235="",MIN(AT$38,$D$19)&lt;MAX($P$34*($B235+IF($R$17="Distrato",$I$38-1,0)),IF(AND($L$37=0,$P$34=0),"",$L$37-1),IF($R$17="Distrato",$E235,0))),0,YEARFRAC(MAX($P$34*($B235+IF($R$17="Distrato",$I$38-1,0)),IF(AND($L$37=0,$P$34=0),"",$L$37-1),IF($R$17="Distrato",$E235,0)),MIN(AT$38,$D$19),$P$20))-SUM($P235:AS235)</f>
        <v>#VALUE!</v>
      </c>
      <c r="AU235" s="446" t="e">
        <f>IF(OR($B235="",MIN(AU$38,$D$19)&lt;MAX($P$34*($B235+IF($R$17="Distrato",$I$38-1,0)),IF(AND($L$37=0,$P$34=0),"",$L$37-1),IF($R$17="Distrato",$E235,0))),0,YEARFRAC(MAX($P$34*($B235+IF($R$17="Distrato",$I$38-1,0)),IF(AND($L$37=0,$P$34=0),"",$L$37-1),IF($R$17="Distrato",$E235,0)),MIN(AU$38,$D$19),$P$20))-SUM($P235:AT235)</f>
        <v>#VALUE!</v>
      </c>
      <c r="AV235" s="446" t="e">
        <f>IF(OR($B235="",MIN(AV$38,$D$19)&lt;MAX($P$34*($B235+IF($R$17="Distrato",$I$38-1,0)),IF(AND($L$37=0,$P$34=0),"",$L$37-1),IF($R$17="Distrato",$E235,0))),0,YEARFRAC(MAX($P$34*($B235+IF($R$17="Distrato",$I$38-1,0)),IF(AND($L$37=0,$P$34=0),"",$L$37-1),IF($R$17="Distrato",$E235,0)),MIN(AV$38,$D$19),$P$20))-SUM($P235:AU235)</f>
        <v>#VALUE!</v>
      </c>
      <c r="AW235" s="446" t="e">
        <f>IF(OR($B235="",MIN(AW$38,$D$19)&lt;MAX($P$34*($B235+IF($R$17="Distrato",$I$38-1,0)),IF(AND($L$37=0,$P$34=0),"",$L$37-1),IF($R$17="Distrato",$E235,0))),0,YEARFRAC(MAX($P$34*($B235+IF($R$17="Distrato",$I$38-1,0)),IF(AND($L$37=0,$P$34=0),"",$L$37-1),IF($R$17="Distrato",$E235,0)),MIN(AW$38,$D$19),$P$20))-SUM($P235:AV235)</f>
        <v>#VALUE!</v>
      </c>
      <c r="AX235" s="446" t="e">
        <f>IF(OR($B235="",MIN(AX$38,$D$19)&lt;MAX($P$34*($B235+IF($R$17="Distrato",$I$38-1,0)),IF(AND($L$37=0,$P$34=0),"",$L$37-1),IF($R$17="Distrato",$E235,0))),0,YEARFRAC(MAX($P$34*($B235+IF($R$17="Distrato",$I$38-1,0)),IF(AND($L$37=0,$P$34=0),"",$L$37-1),IF($R$17="Distrato",$E235,0)),MIN(AX$38,$D$19),$P$20))-SUM($P235:AW235)</f>
        <v>#VALUE!</v>
      </c>
      <c r="AY235" s="446" t="e">
        <f>IF(OR($B235="",MIN(AY$38,$D$19)&lt;MAX($P$34*($B235+IF($R$17="Distrato",$I$38-1,0)),IF(AND($L$37=0,$P$34=0),"",$L$37-1),IF($R$17="Distrato",$E235,0))),0,YEARFRAC(MAX($P$34*($B235+IF($R$17="Distrato",$I$38-1,0)),IF(AND($L$37=0,$P$34=0),"",$L$37-1),IF($R$17="Distrato",$E235,0)),MIN(AY$38,$D$19),$P$20))-SUM($P235:AX235)</f>
        <v>#VALUE!</v>
      </c>
      <c r="AZ235" s="446" t="e">
        <f>IF(OR($B235="",MIN(AZ$38,$D$19)&lt;MAX($P$34*($B235+IF($R$17="Distrato",$I$38-1,0)),IF(AND($L$37=0,$P$34=0),"",$L$37-1),IF($R$17="Distrato",$E235,0))),0,YEARFRAC(MAX($P$34*($B235+IF($R$17="Distrato",$I$38-1,0)),IF(AND($L$37=0,$P$34=0),"",$L$37-1),IF($R$17="Distrato",$E235,0)),MIN(AZ$38,$D$19),$P$20))-SUM($P235:AY235)</f>
        <v>#VALUE!</v>
      </c>
      <c r="BA235" s="446" t="e">
        <f>IF(OR($B235="",MIN(BA$38,$D$19)&lt;MAX($P$34*($B235+IF($R$17="Distrato",$I$38-1,0)),IF(AND($L$37=0,$P$34=0),"",$L$37-1),IF($R$17="Distrato",$E235,0))),0,YEARFRAC(MAX($P$34*($B235+IF($R$17="Distrato",$I$38-1,0)),IF(AND($L$37=0,$P$34=0),"",$L$37-1),IF($R$17="Distrato",$E235,0)),MIN(BA$38,$D$19),$P$20))-SUM($P235:AZ235)</f>
        <v>#VALUE!</v>
      </c>
      <c r="BB235" s="447"/>
      <c r="BF235" s="446">
        <f t="shared" si="43"/>
        <v>0</v>
      </c>
      <c r="BG235" s="446">
        <f>IF($E235=0,0,IF(MIN(BG$38,$E235)&lt;MAX($P$34*($B235+$I$38-1),IF(AND($L$37=0,$P$34=0),"",$L$37-1)),0,YEARFRAC(MAX($P$34*($B235+$I$38-1),IF(AND($L$37=0,$P$34=0),"",$L$37-1)),MIN(BG$38,$E235),$P$20))-SUM($BF235:BF235))</f>
        <v>0</v>
      </c>
      <c r="BH235" s="446">
        <f>IF($E235=0,0,IF(MIN(BH$38,$E235)&lt;MAX($P$34*($B235+$I$38-1),IF(AND($L$37=0,$P$34=0),"",$L$37-1)),0,YEARFRAC(MAX($P$34*($B235+$I$38-1),IF(AND($L$37=0,$P$34=0),"",$L$37-1)),MIN(BH$38,$E235),$P$20))-SUM($BF235:BG235))</f>
        <v>0</v>
      </c>
      <c r="BI235" s="446">
        <f>IF($E235=0,0,IF(MIN(BI$38,$E235)&lt;MAX($P$34*($B235+$I$38-1),IF(AND($L$37=0,$P$34=0),"",$L$37-1)),0,YEARFRAC(MAX($P$34*($B235+$I$38-1),IF(AND($L$37=0,$P$34=0),"",$L$37-1)),MIN(BI$38,$E235),$P$20))-SUM($BF235:BH235))</f>
        <v>0</v>
      </c>
      <c r="BJ235" s="446">
        <f>IF($E235=0,0,IF(MIN(BJ$38,$E235)&lt;MAX($P$34*($B235+$I$38-1),IF(AND($L$37=0,$P$34=0),"",$L$37-1)),0,YEARFRAC(MAX($P$34*($B235+$I$38-1),IF(AND($L$37=0,$P$34=0),"",$L$37-1)),MIN(BJ$38,$E235),$P$20))-SUM($BF235:BI235))</f>
        <v>0</v>
      </c>
      <c r="BK235" s="446">
        <f>IF($E235=0,0,IF(MIN(BK$38,$E235)&lt;MAX($P$34*($B235+$I$38-1),IF(AND($L$37=0,$P$34=0),"",$L$37-1)),0,YEARFRAC(MAX($P$34*($B235+$I$38-1),IF(AND($L$37=0,$P$34=0),"",$L$37-1)),MIN(BK$38,$E235),$P$20))-SUM($BF235:BJ235))</f>
        <v>0</v>
      </c>
      <c r="BL235" s="446">
        <f>IF($E235=0,0,IF(MIN(BL$38,$E235)&lt;MAX($P$34*($B235+$I$38-1),IF(AND($L$37=0,$P$34=0),"",$L$37-1)),0,YEARFRAC(MAX($P$34*($B235+$I$38-1),IF(AND($L$37=0,$P$34=0),"",$L$37-1)),MIN(BL$38,$E235),$P$20))-SUM($BF235:BK235))</f>
        <v>0</v>
      </c>
      <c r="BM235" s="446">
        <f>IF($E235=0,0,IF(MIN(BM$38,$E235)&lt;MAX($P$34*($B235+$I$38-1),IF(AND($L$37=0,$P$34=0),"",$L$37-1)),0,YEARFRAC(MAX($P$34*($B235+$I$38-1),IF(AND($L$37=0,$P$34=0),"",$L$37-1)),MIN(BM$38,$E235),$P$20))-SUM($BF235:BL235))</f>
        <v>0</v>
      </c>
      <c r="BN235" s="446">
        <f>IF($E235=0,0,IF(MIN(BN$38,$E235)&lt;MAX($P$34*($B235+$I$38-1),IF(AND($L$37=0,$P$34=0),"",$L$37-1)),0,YEARFRAC(MAX($P$34*($B235+$I$38-1),IF(AND($L$37=0,$P$34=0),"",$L$37-1)),MIN(BN$38,$E235),$P$20))-SUM($BF235:BM235))</f>
        <v>0</v>
      </c>
      <c r="BO235" s="446">
        <f>IF($E235=0,0,IF(MIN(BO$38,$E235)&lt;MAX($P$34*($B235+$I$38-1),IF(AND($L$37=0,$P$34=0),"",$L$37-1)),0,YEARFRAC(MAX($P$34*($B235+$I$38-1),IF(AND($L$37=0,$P$34=0),"",$L$37-1)),MIN(BO$38,$E235),$P$20))-SUM($BF235:BN235))</f>
        <v>0</v>
      </c>
      <c r="BP235" s="446">
        <f>IF($E235=0,0,IF(MIN(BP$38,$E235)&lt;MAX($P$34*($B235+$I$38-1),IF(AND($L$37=0,$P$34=0),"",$L$37-1)),0,YEARFRAC(MAX($P$34*($B235+$I$38-1),IF(AND($L$37=0,$P$34=0),"",$L$37-1)),MIN(BP$38,$E235),$P$20))-SUM($BF235:BO235))</f>
        <v>0</v>
      </c>
      <c r="BQ235" s="446">
        <f>IF($E235=0,0,IF(MIN(BQ$38,$E235)&lt;MAX($P$34*($B235+$I$38-1),IF(AND($L$37=0,$P$34=0),"",$L$37-1)),0,YEARFRAC(MAX($P$34*($B235+$I$38-1),IF(AND($L$37=0,$P$34=0),"",$L$37-1)),MIN(BQ$38,$E235),$P$20))-SUM($BF235:BP235))</f>
        <v>0</v>
      </c>
      <c r="BR235" s="446">
        <f>IF($E235=0,0,IF(MIN(BR$38,$E235)&lt;MAX($P$34*($B235+$I$38-1),IF(AND($L$37=0,$P$34=0),"",$L$37-1)),0,YEARFRAC(MAX($P$34*($B235+$I$38-1),IF(AND($L$37=0,$P$34=0),"",$L$37-1)),MIN(BR$38,$E235),$P$20))-SUM($BF235:BQ235))</f>
        <v>0</v>
      </c>
      <c r="BS235" s="446">
        <f>IF($E235=0,0,IF(MIN(BS$38,$E235)&lt;MAX($P$34*($B235+$I$38-1),IF(AND($L$37=0,$P$34=0),"",$L$37-1)),0,YEARFRAC(MAX($P$34*($B235+$I$38-1),IF(AND($L$37=0,$P$34=0),"",$L$37-1)),MIN(BS$38,$E235),$P$20))-SUM($BF235:BR235))</f>
        <v>0</v>
      </c>
      <c r="BT235" s="446">
        <f>IF($E235=0,0,IF(MIN(BT$38,$E235)&lt;MAX($P$34*($B235+$I$38-1),IF(AND($L$37=0,$P$34=0),"",$L$37-1)),0,YEARFRAC(MAX($P$34*($B235+$I$38-1),IF(AND($L$37=0,$P$34=0),"",$L$37-1)),MIN(BT$38,$E235),$P$20))-SUM($BF235:BS235))</f>
        <v>0</v>
      </c>
      <c r="BU235" s="446">
        <f>IF($E235=0,0,IF(MIN(BU$38,$E235)&lt;MAX($P$34*($B235+$I$38-1),IF(AND($L$37=0,$P$34=0),"",$L$37-1)),0,YEARFRAC(MAX($P$34*($B235+$I$38-1),IF(AND($L$37=0,$P$34=0),"",$L$37-1)),MIN(BU$38,$E235),$P$20))-SUM($BF235:BT235))</f>
        <v>0</v>
      </c>
      <c r="BV235" s="446">
        <f>IF($E235=0,0,IF(MIN(BV$38,$E235)&lt;MAX($P$34*($B235+$I$38-1),IF(AND($L$37=0,$P$34=0),"",$L$37-1)),0,YEARFRAC(MAX($P$34*($B235+$I$38-1),IF(AND($L$37=0,$P$34=0),"",$L$37-1)),MIN(BV$38,$E235),$P$20))-SUM($BF235:BU235))</f>
        <v>0</v>
      </c>
      <c r="BW235" s="446">
        <f>IF($E235=0,0,IF(MIN(BW$38,$E235)&lt;MAX($P$34*($B235+$I$38-1),IF(AND($L$37=0,$P$34=0),"",$L$37-1)),0,YEARFRAC(MAX($P$34*($B235+$I$38-1),IF(AND($L$37=0,$P$34=0),"",$L$37-1)),MIN(BW$38,$E235),$P$20))-SUM($BF235:BV235))</f>
        <v>0</v>
      </c>
      <c r="BX235" s="446">
        <f>IF($E235=0,0,IF(MIN(BX$38,$E235)&lt;MAX($P$34*($B235+$I$38-1),IF(AND($L$37=0,$P$34=0),"",$L$37-1)),0,YEARFRAC(MAX($P$34*($B235+$I$38-1),IF(AND($L$37=0,$P$34=0),"",$L$37-1)),MIN(BX$38,$E235),$P$20))-SUM($BF235:BW235))</f>
        <v>0</v>
      </c>
      <c r="BY235" s="446">
        <f>IF($E235=0,0,IF(MIN(BY$38,$E235)&lt;MAX($P$34*($B235+$I$38-1),IF(AND($L$37=0,$P$34=0),"",$L$37-1)),0,YEARFRAC(MAX($P$34*($B235+$I$38-1),IF(AND($L$37=0,$P$34=0),"",$L$37-1)),MIN(BY$38,$E235),$P$20))-SUM($BF235:BX235))</f>
        <v>0</v>
      </c>
      <c r="BZ235" s="446">
        <f>IF($E235=0,0,IF(MIN(BZ$38,$E235)&lt;MAX($P$34*($B235+$I$38-1),IF(AND($L$37=0,$P$34=0),"",$L$37-1)),0,YEARFRAC(MAX($P$34*($B235+$I$38-1),IF(AND($L$37=0,$P$34=0),"",$L$37-1)),MIN(BZ$38,$E235),$P$20))-SUM($BF235:BY235))</f>
        <v>0</v>
      </c>
      <c r="CA235" s="446">
        <f>IF($E235=0,0,IF(MIN(CA$38,$E235)&lt;MAX($P$34*($B235+$I$38-1),IF(AND($L$37=0,$P$34=0),"",$L$37-1)),0,YEARFRAC(MAX($P$34*($B235+$I$38-1),IF(AND($L$37=0,$P$34=0),"",$L$37-1)),MIN(CA$38,$E235),$P$20))-SUM($BF235:BZ235))</f>
        <v>0</v>
      </c>
      <c r="CB235" s="446">
        <f>IF($E235=0,0,IF(MIN(CB$38,$E235)&lt;MAX($P$34*($B235+$I$38-1),IF(AND($L$37=0,$P$34=0),"",$L$37-1)),0,YEARFRAC(MAX($P$34*($B235+$I$38-1),IF(AND($L$37=0,$P$34=0),"",$L$37-1)),MIN(CB$38,$E235),$P$20))-SUM($BF235:CA235))</f>
        <v>0</v>
      </c>
      <c r="CC235" s="446">
        <f>IF($E235=0,0,IF(MIN(CC$38,$E235)&lt;MAX($P$34*($B235+$I$38-1),IF(AND($L$37=0,$P$34=0),"",$L$37-1)),0,YEARFRAC(MAX($P$34*($B235+$I$38-1),IF(AND($L$37=0,$P$34=0),"",$L$37-1)),MIN(CC$38,$E235),$P$20))-SUM($BF235:CB235))</f>
        <v>0</v>
      </c>
      <c r="CD235" s="446">
        <f>IF($E235=0,0,IF(MIN(CD$38,$E235)&lt;MAX($P$34*($B235+$I$38-1),IF(AND($L$37=0,$P$34=0),"",$L$37-1)),0,YEARFRAC(MAX($P$34*($B235+$I$38-1),IF(AND($L$37=0,$P$34=0),"",$L$37-1)),MIN(CD$38,$E235),$P$20))-SUM($BF235:CC235))</f>
        <v>0</v>
      </c>
      <c r="CE235" s="446">
        <f>IF($E235=0,0,IF(MIN(CE$38,$E235)&lt;MAX($P$34*($B235+$I$38-1),IF(AND($L$37=0,$P$34=0),"",$L$37-1)),0,YEARFRAC(MAX($P$34*($B235+$I$38-1),IF(AND($L$37=0,$P$34=0),"",$L$37-1)),MIN(CE$38,$E235),$P$20))-SUM($BF235:CD235))</f>
        <v>0</v>
      </c>
      <c r="CF235" s="446">
        <f>IF($E235=0,0,IF(MIN(CF$38,$E235)&lt;MAX($P$34*($B235+$I$38-1),IF(AND($L$37=0,$P$34=0),"",$L$37-1)),0,YEARFRAC(MAX($P$34*($B235+$I$38-1),IF(AND($L$37=0,$P$34=0),"",$L$37-1)),MIN(CF$38,$E235),$P$20))-SUM($BF235:CE235))</f>
        <v>0</v>
      </c>
      <c r="CG235" s="446">
        <f>IF($E235=0,0,IF(MIN(CG$38,$E235)&lt;MAX($P$34*($B235+$I$38-1),IF(AND($L$37=0,$P$34=0),"",$L$37-1)),0,YEARFRAC(MAX($P$34*($B235+$I$38-1),IF(AND($L$37=0,$P$34=0),"",$L$37-1)),MIN(CG$38,$E235),$P$20))-SUM($BF235:CF235))</f>
        <v>0</v>
      </c>
      <c r="CH235" s="446">
        <f>IF($E235=0,0,IF(MIN(CH$38,$E235)&lt;MAX($P$34*($B235+$I$38-1),IF(AND($L$37=0,$P$34=0),"",$L$37-1)),0,YEARFRAC(MAX($P$34*($B235+$I$38-1),IF(AND($L$37=0,$P$34=0),"",$L$37-1)),MIN(CH$38,$E235),$P$20))-SUM($BF235:CG235))</f>
        <v>0</v>
      </c>
      <c r="CI235" s="446">
        <f>IF($E235=0,0,IF(MIN(CI$38,$E235)&lt;MAX($P$34*($B235+$I$38-1),IF(AND($L$37=0,$P$34=0),"",$L$37-1)),0,YEARFRAC(MAX($P$34*($B235+$I$38-1),IF(AND($L$37=0,$P$34=0),"",$L$37-1)),MIN(CI$38,$E235),$P$20))-SUM($BF235:CH235))</f>
        <v>0</v>
      </c>
      <c r="CJ235" s="446">
        <f>IF($E235=0,0,IF(MIN(CJ$38,$E235)&lt;MAX($P$34*($B235+$I$38-1),IF(AND($L$37=0,$P$34=0),"",$L$37-1)),0,YEARFRAC(MAX($P$34*($B235+$I$38-1),IF(AND($L$37=0,$P$34=0),"",$L$37-1)),MIN(CJ$38,$E235),$P$20))-SUM($BF235:CI235))</f>
        <v>0</v>
      </c>
      <c r="CK235" s="446">
        <f>IF($E235=0,0,IF(MIN(CK$38,$E235)&lt;MAX($P$34*($B235+$I$38-1),IF(AND($L$37=0,$P$34=0),"",$L$37-1)),0,YEARFRAC(MAX($P$34*($B235+$I$38-1),IF(AND($L$37=0,$P$34=0),"",$L$37-1)),MIN(CK$38,$E235),$P$20))-SUM($BF235:CJ235))</f>
        <v>0</v>
      </c>
      <c r="CL235" s="446">
        <f>IF($E235=0,0,IF(MIN(CL$38,$E235)&lt;MAX($P$34*($B235+$I$38-1),IF(AND($L$37=0,$P$34=0),"",$L$37-1)),0,YEARFRAC(MAX($P$34*($B235+$I$38-1),IF(AND($L$37=0,$P$34=0),"",$L$37-1)),MIN(CL$38,$E235),$P$20))-SUM($BF235:CK235))</f>
        <v>0</v>
      </c>
      <c r="CM235" s="446">
        <f>IF($E235=0,0,IF(MIN(CM$38,$E235)&lt;MAX($P$34*($B235+$I$38-1),IF(AND($L$37=0,$P$34=0),"",$L$37-1)),0,YEARFRAC(MAX($P$34*($B235+$I$38-1),IF(AND($L$37=0,$P$34=0),"",$L$37-1)),MIN(CM$38,$E235),$P$20))-SUM($BF235:CL235))</f>
        <v>0</v>
      </c>
      <c r="CN235" s="446">
        <f>IF($E235=0,0,IF(MIN(CN$38,$E235)&lt;MAX($P$34*($B235+$I$38-1),IF(AND($L$37=0,$P$34=0),"",$L$37-1)),0,YEARFRAC(MAX($P$34*($B235+$I$38-1),IF(AND($L$37=0,$P$34=0),"",$L$37-1)),MIN(CN$38,$E235),$P$20))-SUM($BF235:CM235))</f>
        <v>0</v>
      </c>
      <c r="CO235" s="446">
        <f>IF($E235=0,0,IF(MIN(CO$38,$E235)&lt;MAX($P$34*($B235+$I$38-1),IF(AND($L$37=0,$P$34=0),"",$L$37-1)),0,YEARFRAC(MAX($P$34*($B235+$I$38-1),IF(AND($L$37=0,$P$34=0),"",$L$37-1)),MIN(CO$38,$E235),$P$20))-SUM($BF235:CN235))</f>
        <v>0</v>
      </c>
      <c r="CP235" s="446">
        <f>IF($E235=0,0,IF(MIN(CP$38,$E235)&lt;MAX($P$34*($B235+$I$38-1),IF(AND($L$37=0,$P$34=0),"",$L$37-1)),0,YEARFRAC(MAX($P$34*($B235+$I$38-1),IF(AND($L$37=0,$P$34=0),"",$L$37-1)),MIN(CP$38,$E235),$P$20))-SUM($BF235:CO235))</f>
        <v>0</v>
      </c>
      <c r="CQ235" s="446">
        <f>IF($E235=0,0,IF(MIN(CQ$38,$E235)&lt;MAX($P$34*($B235+$I$38-1),IF(AND($L$37=0,$P$34=0),"",$L$37-1)),0,YEARFRAC(MAX($P$34*($B235+$I$38-1),IF(AND($L$37=0,$P$34=0),"",$L$37-1)),MIN(CQ$38,$E235),$P$20))-SUM($BF235:CP235))</f>
        <v>0</v>
      </c>
    </row>
    <row r="236" spans="1:95" s="446" customFormat="1" ht="11.25" hidden="1" customHeight="1" x14ac:dyDescent="0.2">
      <c r="A236" s="152"/>
      <c r="B236" s="153" t="str">
        <f t="shared" si="48"/>
        <v/>
      </c>
      <c r="C236" s="29" t="str">
        <f>IF(B236="","",IF($L$35="SELIC - TRIBUTOS",VLOOKUP(DATE(YEAR($D$19),MONTH($D$19)-1,1),ÍNDICES!$A:$DE,HLOOKUP($BL$25,ÍNDICES!$B$3:$T$4,2)+11)-VLOOKUP(B236,ÍNDICES!$A:$DE,HLOOKUP($BL$25,ÍNDICES!$B$3:$T$4,2)+11)+1%,IF(C$38=$W$26,$J$35,IF(ISERROR(IF(B236&gt;$D$19,1,VLOOKUP(DATE(YEAR(B236),MONTH(B236)+IF($C$35=$S$23,1,0),1),ÍNDICES!$A:$DE,$Z$35+1))),"",IF(B236&gt;$D$19,1,VLOOKUP(DATE(YEAR(B236),MONTH(B236)+IF($C$35=$S$23,1,0),1),ÍNDICES!$A:$DE,$Z$35+1))))))</f>
        <v/>
      </c>
      <c r="D236" s="154" t="str">
        <f>IF(ISERROR(IF(OR($D$38=$Y$27,$B236=""),"",VLOOKUP(B236,ÍNDICES!A:DE,AF$35+1))),"",IF(OR($D$38=$Y$27,$B236=""),"",VLOOKUP(B236,ÍNDICES!A:DE,AF$35+1)))</f>
        <v/>
      </c>
      <c r="E236" s="153"/>
      <c r="F236" s="29" t="str">
        <f>IF(E236="","",IF($L$35="SELIC - TRIBUTOS",VLOOKUP(DATE(YEAR($D$19),MONTH($D$19)-1,1),ÍNDICES!$A:$DE,HLOOKUP($BL$25,ÍNDICES!$B$3:$T$4,2)+11)-VLOOKUP(E236,ÍNDICES!$A:$DE,HLOOKUP($BL$25,ÍNDICES!$B$3:$T$4,2)+11)+1%,IF(F$38=$W$26,$J$35,IF(ISERROR(IF(E236&gt;$D$19,1,VLOOKUP(DATE(YEAR(E236),MONTH(E236)+IF($C$35=$S$23,1,0),1),ÍNDICES!$A:$DE,$Z$35+1))),"",IF(E236&gt;$D$19,1,VLOOKUP(DATE(YEAR(E236),MONTH(E236)+IF($C$35=$S$23,1,0),1),ÍNDICES!$A:$DE,$Z$35+1))))))</f>
        <v/>
      </c>
      <c r="G236" s="155"/>
      <c r="H236" s="156" t="str">
        <f t="shared" si="44"/>
        <v/>
      </c>
      <c r="I236" s="29" t="str">
        <f t="shared" si="38"/>
        <v/>
      </c>
      <c r="J236" s="5">
        <f t="shared" si="39"/>
        <v>0</v>
      </c>
      <c r="K236" s="20">
        <f t="shared" ca="1" si="40"/>
        <v>0</v>
      </c>
      <c r="L236" s="5">
        <f t="shared" ca="1" si="41"/>
        <v>0</v>
      </c>
      <c r="M236" s="64">
        <f t="shared" si="45"/>
        <v>0</v>
      </c>
      <c r="N236" s="61">
        <f t="shared" ca="1" si="46"/>
        <v>0</v>
      </c>
      <c r="O236" s="5">
        <f t="shared" ca="1" si="47"/>
        <v>0</v>
      </c>
      <c r="P236" s="446" t="e">
        <f t="shared" si="42"/>
        <v>#VALUE!</v>
      </c>
      <c r="Q236" s="446" t="e">
        <f>IF(OR($B236="",MIN(Q$38,$D$19)&lt;MAX($P$34*($B236+IF($R$17="Distrato",$I$38-1,0)),IF(AND($L$37=0,$P$34=0),"",$L$37-1),IF($R$17="Distrato",$E236,0))),0,YEARFRAC(MAX($P$34*($B236+IF($R$17="Distrato",$I$38-1,0)),IF(AND($L$37=0,$P$34=0),"",$L$37-1),IF($R$17="Distrato",$E236,0)),MIN(Q$38,$D$19),$P$20))-SUM($P236:P236)</f>
        <v>#VALUE!</v>
      </c>
      <c r="R236" s="446" t="e">
        <f>IF(OR($B236="",MIN(R$38,$D$19)&lt;MAX($P$34*($B236+IF($R$17="Distrato",$I$38-1,0)),IF(AND($L$37=0,$P$34=0),"",$L$37-1),IF($R$17="Distrato",$E236,0))),0,YEARFRAC(MAX($P$34*($B236+IF($R$17="Distrato",$I$38-1,0)),IF(AND($L$37=0,$P$34=0),"",$L$37-1),IF($R$17="Distrato",$E236,0)),MIN(R$38,$D$19),$P$20))-SUM($P236:Q236)</f>
        <v>#VALUE!</v>
      </c>
      <c r="S236" s="446" t="e">
        <f>IF(OR($B236="",MIN(S$38,$D$19)&lt;MAX($P$34*($B236+IF($R$17="Distrato",$I$38-1,0)),IF(AND($L$37=0,$P$34=0),"",$L$37-1),IF($R$17="Distrato",$E236,0))),0,YEARFRAC(MAX($P$34*($B236+IF($R$17="Distrato",$I$38-1,0)),IF(AND($L$37=0,$P$34=0),"",$L$37-1),IF($R$17="Distrato",$E236,0)),MIN(S$38,$D$19),$P$20))-SUM($P236:R236)</f>
        <v>#VALUE!</v>
      </c>
      <c r="T236" s="446" t="e">
        <f>IF(OR($B236="",MIN(T$38,$D$19)&lt;MAX($P$34*($B236+IF($R$17="Distrato",$I$38-1,0)),IF(AND($L$37=0,$P$34=0),"",$L$37-1),IF($R$17="Distrato",$E236,0))),0,YEARFRAC(MAX($P$34*($B236+IF($R$17="Distrato",$I$38-1,0)),IF(AND($L$37=0,$P$34=0),"",$L$37-1),IF($R$17="Distrato",$E236,0)),MIN(T$38,$D$19),$P$20))-SUM($P236:S236)</f>
        <v>#VALUE!</v>
      </c>
      <c r="U236" s="446" t="e">
        <f>IF(OR($B236="",MIN(U$38,$D$19)&lt;MAX($P$34*($B236+IF($R$17="Distrato",$I$38-1,0)),IF(AND($L$37=0,$P$34=0),"",$L$37-1),IF($R$17="Distrato",$E236,0))),0,YEARFRAC(MAX($P$34*($B236+IF($R$17="Distrato",$I$38-1,0)),IF(AND($L$37=0,$P$34=0),"",$L$37-1),IF($R$17="Distrato",$E236,0)),MIN(U$38,$D$19),$P$20))-SUM($P236:T236)</f>
        <v>#VALUE!</v>
      </c>
      <c r="V236" s="446" t="e">
        <f>IF(OR($B236="",MIN(V$38,$D$19)&lt;MAX($P$34*($B236+IF($R$17="Distrato",$I$38-1,0)),IF(AND($L$37=0,$P$34=0),"",$L$37-1),IF($R$17="Distrato",$E236,0))),0,YEARFRAC(MAX($P$34*($B236+IF($R$17="Distrato",$I$38-1,0)),IF(AND($L$37=0,$P$34=0),"",$L$37-1),IF($R$17="Distrato",$E236,0)),MIN(V$38,$D$19),$P$20))-SUM($P236:U236)</f>
        <v>#VALUE!</v>
      </c>
      <c r="W236" s="446" t="e">
        <f>IF(OR($B236="",MIN(W$38,$D$19)&lt;MAX($P$34*($B236+IF($R$17="Distrato",$I$38-1,0)),IF(AND($L$37=0,$P$34=0),"",$L$37-1),IF($R$17="Distrato",$E236,0))),0,YEARFRAC(MAX($P$34*($B236+IF($R$17="Distrato",$I$38-1,0)),IF(AND($L$37=0,$P$34=0),"",$L$37-1),IF($R$17="Distrato",$E236,0)),MIN(W$38,$D$19),$P$20))-SUM($P236:V236)</f>
        <v>#VALUE!</v>
      </c>
      <c r="X236" s="446" t="e">
        <f>IF(OR($B236="",MIN(X$38,$D$19)&lt;MAX($P$34*($B236+IF($R$17="Distrato",$I$38-1,0)),IF(AND($L$37=0,$P$34=0),"",$L$37-1),IF($R$17="Distrato",$E236,0))),0,YEARFRAC(MAX($P$34*($B236+IF($R$17="Distrato",$I$38-1,0)),IF(AND($L$37=0,$P$34=0),"",$L$37-1),IF($R$17="Distrato",$E236,0)),MIN(X$38,$D$19),$P$20))-SUM($P236:W236)</f>
        <v>#VALUE!</v>
      </c>
      <c r="Y236" s="446" t="e">
        <f>IF(OR($B236="",MIN(Y$38,$D$19)&lt;MAX($P$34*($B236+IF($R$17="Distrato",$I$38-1,0)),IF(AND($L$37=0,$P$34=0),"",$L$37-1),IF($R$17="Distrato",$E236,0))),0,YEARFRAC(MAX($P$34*($B236+IF($R$17="Distrato",$I$38-1,0)),IF(AND($L$37=0,$P$34=0),"",$L$37-1),IF($R$17="Distrato",$E236,0)),MIN(Y$38,$D$19),$P$20))-SUM($P236:X236)</f>
        <v>#VALUE!</v>
      </c>
      <c r="Z236" s="446" t="e">
        <f>IF(OR($B236="",MIN(Z$38,$D$19)&lt;MAX($P$34*($B236+IF($R$17="Distrato",$I$38-1,0)),IF(AND($L$37=0,$P$34=0),"",$L$37-1),IF($R$17="Distrato",$E236,0))),0,YEARFRAC(MAX($P$34*($B236+IF($R$17="Distrato",$I$38-1,0)),IF(AND($L$37=0,$P$34=0),"",$L$37-1),IF($R$17="Distrato",$E236,0)),MIN(Z$38,$D$19),$P$20))-SUM($P236:Y236)</f>
        <v>#VALUE!</v>
      </c>
      <c r="AA236" s="446" t="e">
        <f>IF(OR($B236="",MIN(AA$38,$D$19)&lt;MAX($P$34*($B236+IF($R$17="Distrato",$I$38-1,0)),IF(AND($L$37=0,$P$34=0),"",$L$37-1),IF($R$17="Distrato",$E236,0))),0,YEARFRAC(MAX($P$34*($B236+IF($R$17="Distrato",$I$38-1,0)),IF(AND($L$37=0,$P$34=0),"",$L$37-1),IF($R$17="Distrato",$E236,0)),MIN(AA$38,$D$19),$P$20))-SUM($P236:Z236)</f>
        <v>#VALUE!</v>
      </c>
      <c r="AB236" s="446" t="e">
        <f>IF(OR($B236="",MIN(AB$38,$D$19)&lt;MAX($P$34*($B236+IF($R$17="Distrato",$I$38-1,0)),IF(AND($L$37=0,$P$34=0),"",$L$37-1),IF($R$17="Distrato",$E236,0))),0,YEARFRAC(MAX($P$34*($B236+IF($R$17="Distrato",$I$38-1,0)),IF(AND($L$37=0,$P$34=0),"",$L$37-1),IF($R$17="Distrato",$E236,0)),MIN(AB$38,$D$19),$P$20))-SUM($P236:AA236)</f>
        <v>#VALUE!</v>
      </c>
      <c r="AC236" s="446" t="e">
        <f>IF(OR($B236="",MIN(AC$38,$D$19)&lt;MAX($P$34*($B236+IF($R$17="Distrato",$I$38-1,0)),IF(AND($L$37=0,$P$34=0),"",$L$37-1),IF($R$17="Distrato",$E236,0))),0,YEARFRAC(MAX($P$34*($B236+IF($R$17="Distrato",$I$38-1,0)),IF(AND($L$37=0,$P$34=0),"",$L$37-1),IF($R$17="Distrato",$E236,0)),MIN(AC$38,$D$19),$P$20))-SUM($P236:AB236)</f>
        <v>#VALUE!</v>
      </c>
      <c r="AD236" s="446" t="e">
        <f>IF(OR($B236="",MIN(AD$38,$D$19)&lt;MAX($P$34*($B236+IF($R$17="Distrato",$I$38-1,0)),IF(AND($L$37=0,$P$34=0),"",$L$37-1),IF($R$17="Distrato",$E236,0))),0,YEARFRAC(MAX($P$34*($B236+IF($R$17="Distrato",$I$38-1,0)),IF(AND($L$37=0,$P$34=0),"",$L$37-1),IF($R$17="Distrato",$E236,0)),MIN(AD$38,$D$19),$P$20))-SUM($P236:AC236)</f>
        <v>#VALUE!</v>
      </c>
      <c r="AE236" s="446" t="e">
        <f>IF(OR($B236="",MIN(AE$38,$D$19)&lt;MAX($P$34*($B236+IF($R$17="Distrato",$I$38-1,0)),IF(AND($L$37=0,$P$34=0),"",$L$37-1),IF($R$17="Distrato",$E236,0))),0,YEARFRAC(MAX($P$34*($B236+IF($R$17="Distrato",$I$38-1,0)),IF(AND($L$37=0,$P$34=0),"",$L$37-1),IF($R$17="Distrato",$E236,0)),MIN(AE$38,$D$19),$P$20))-SUM($P236:AD236)</f>
        <v>#VALUE!</v>
      </c>
      <c r="AF236" s="446" t="e">
        <f>IF(OR($B236="",MIN(AF$38,$D$19)&lt;MAX($P$34*($B236+IF($R$17="Distrato",$I$38-1,0)),IF(AND($L$37=0,$P$34=0),"",$L$37-1),IF($R$17="Distrato",$E236,0))),0,YEARFRAC(MAX($P$34*($B236+IF($R$17="Distrato",$I$38-1,0)),IF(AND($L$37=0,$P$34=0),"",$L$37-1),IF($R$17="Distrato",$E236,0)),MIN(AF$38,$D$19),$P$20))-SUM($P236:AE236)</f>
        <v>#VALUE!</v>
      </c>
      <c r="AG236" s="446" t="e">
        <f>IF(OR($B236="",MIN(AG$38,$D$19)&lt;MAX($P$34*($B236+IF($R$17="Distrato",$I$38-1,0)),IF(AND($L$37=0,$P$34=0),"",$L$37-1),IF($R$17="Distrato",$E236,0))),0,YEARFRAC(MAX($P$34*($B236+IF($R$17="Distrato",$I$38-1,0)),IF(AND($L$37=0,$P$34=0),"",$L$37-1),IF($R$17="Distrato",$E236,0)),MIN(AG$38,$D$19),$P$20))-SUM($P236:AF236)</f>
        <v>#VALUE!</v>
      </c>
      <c r="AH236" s="446" t="e">
        <f>IF(OR($B236="",MIN(AH$38,$D$19)&lt;MAX($P$34*($B236+IF($R$17="Distrato",$I$38-1,0)),IF(AND($L$37=0,$P$34=0),"",$L$37-1),IF($R$17="Distrato",$E236,0))),0,YEARFRAC(MAX($P$34*($B236+IF($R$17="Distrato",$I$38-1,0)),IF(AND($L$37=0,$P$34=0),"",$L$37-1),IF($R$17="Distrato",$E236,0)),MIN(AH$38,$D$19),$P$20))-SUM($P236:AG236)</f>
        <v>#VALUE!</v>
      </c>
      <c r="AI236" s="446" t="e">
        <f>IF(OR($B236="",MIN(AI$38,$D$19)&lt;MAX($P$34*($B236+IF($R$17="Distrato",$I$38-1,0)),IF(AND($L$37=0,$P$34=0),"",$L$37-1),IF($R$17="Distrato",$E236,0))),0,YEARFRAC(MAX($P$34*($B236+IF($R$17="Distrato",$I$38-1,0)),IF(AND($L$37=0,$P$34=0),"",$L$37-1),IF($R$17="Distrato",$E236,0)),MIN(AI$38,$D$19),$P$20))-SUM($P236:AH236)</f>
        <v>#VALUE!</v>
      </c>
      <c r="AJ236" s="446" t="e">
        <f>IF(OR($B236="",MIN(AJ$38,$D$19)&lt;MAX($P$34*($B236+IF($R$17="Distrato",$I$38-1,0)),IF(AND($L$37=0,$P$34=0),"",$L$37-1),IF($R$17="Distrato",$E236,0))),0,YEARFRAC(MAX($P$34*($B236+IF($R$17="Distrato",$I$38-1,0)),IF(AND($L$37=0,$P$34=0),"",$L$37-1),IF($R$17="Distrato",$E236,0)),MIN(AJ$38,$D$19),$P$20))-SUM($P236:AI236)</f>
        <v>#VALUE!</v>
      </c>
      <c r="AK236" s="446" t="e">
        <f>IF(OR($B236="",MIN(AK$38,$D$19)&lt;MAX($P$34*($B236+IF($R$17="Distrato",$I$38-1,0)),IF(AND($L$37=0,$P$34=0),"",$L$37-1),IF($R$17="Distrato",$E236,0))),0,YEARFRAC(MAX($P$34*($B236+IF($R$17="Distrato",$I$38-1,0)),IF(AND($L$37=0,$P$34=0),"",$L$37-1),IF($R$17="Distrato",$E236,0)),MIN(AK$38,$D$19),$P$20))-SUM($P236:AJ236)</f>
        <v>#VALUE!</v>
      </c>
      <c r="AL236" s="446" t="e">
        <f>IF(OR($B236="",MIN(AL$38,$D$19)&lt;MAX($P$34*($B236+IF($R$17="Distrato",$I$38-1,0)),IF(AND($L$37=0,$P$34=0),"",$L$37-1),IF($R$17="Distrato",$E236,0))),0,YEARFRAC(MAX($P$34*($B236+IF($R$17="Distrato",$I$38-1,0)),IF(AND($L$37=0,$P$34=0),"",$L$37-1),IF($R$17="Distrato",$E236,0)),MIN(AL$38,$D$19),$P$20))-SUM($P236:AK236)</f>
        <v>#VALUE!</v>
      </c>
      <c r="AM236" s="446" t="e">
        <f>IF(OR($B236="",MIN(AM$38,$D$19)&lt;MAX($P$34*($B236+IF($R$17="Distrato",$I$38-1,0)),IF(AND($L$37=0,$P$34=0),"",$L$37-1),IF($R$17="Distrato",$E236,0))),0,YEARFRAC(MAX($P$34*($B236+IF($R$17="Distrato",$I$38-1,0)),IF(AND($L$37=0,$P$34=0),"",$L$37-1),IF($R$17="Distrato",$E236,0)),MIN(AM$38,$D$19),$P$20))-SUM($P236:AL236)</f>
        <v>#VALUE!</v>
      </c>
      <c r="AN236" s="446" t="e">
        <f>IF(OR($B236="",MIN(AN$38,$D$19)&lt;MAX($P$34*($B236+IF($R$17="Distrato",$I$38-1,0)),IF(AND($L$37=0,$P$34=0),"",$L$37-1),IF($R$17="Distrato",$E236,0))),0,YEARFRAC(MAX($P$34*($B236+IF($R$17="Distrato",$I$38-1,0)),IF(AND($L$37=0,$P$34=0),"",$L$37-1),IF($R$17="Distrato",$E236,0)),MIN(AN$38,$D$19),$P$20))-SUM($P236:AM236)</f>
        <v>#VALUE!</v>
      </c>
      <c r="AO236" s="446" t="e">
        <f>IF(OR($B236="",MIN(AO$38,$D$19)&lt;MAX($P$34*($B236+IF($R$17="Distrato",$I$38-1,0)),IF(AND($L$37=0,$P$34=0),"",$L$37-1),IF($R$17="Distrato",$E236,0))),0,YEARFRAC(MAX($P$34*($B236+IF($R$17="Distrato",$I$38-1,0)),IF(AND($L$37=0,$P$34=0),"",$L$37-1),IF($R$17="Distrato",$E236,0)),MIN(AO$38,$D$19),$P$20))-SUM($P236:AN236)</f>
        <v>#VALUE!</v>
      </c>
      <c r="AP236" s="446" t="e">
        <f>IF(OR($B236="",MIN(AP$38,$D$19)&lt;MAX($P$34*($B236+IF($R$17="Distrato",$I$38-1,0)),IF(AND($L$37=0,$P$34=0),"",$L$37-1),IF($R$17="Distrato",$E236,0))),0,YEARFRAC(MAX($P$34*($B236+IF($R$17="Distrato",$I$38-1,0)),IF(AND($L$37=0,$P$34=0),"",$L$37-1),IF($R$17="Distrato",$E236,0)),MIN(AP$38,$D$19),$P$20))-SUM($P236:AO236)</f>
        <v>#VALUE!</v>
      </c>
      <c r="AQ236" s="446" t="e">
        <f>IF(OR($B236="",MIN(AQ$38,$D$19)&lt;MAX($P$34*($B236+IF($R$17="Distrato",$I$38-1,0)),IF(AND($L$37=0,$P$34=0),"",$L$37-1),IF($R$17="Distrato",$E236,0))),0,YEARFRAC(MAX($P$34*($B236+IF($R$17="Distrato",$I$38-1,0)),IF(AND($L$37=0,$P$34=0),"",$L$37-1),IF($R$17="Distrato",$E236,0)),MIN(AQ$38,$D$19),$P$20))-SUM($P236:AP236)</f>
        <v>#VALUE!</v>
      </c>
      <c r="AR236" s="446" t="e">
        <f>IF(OR($B236="",MIN(AR$38,$D$19)&lt;MAX($P$34*($B236+IF($R$17="Distrato",$I$38-1,0)),IF(AND($L$37=0,$P$34=0),"",$L$37-1),IF($R$17="Distrato",$E236,0))),0,YEARFRAC(MAX($P$34*($B236+IF($R$17="Distrato",$I$38-1,0)),IF(AND($L$37=0,$P$34=0),"",$L$37-1),IF($R$17="Distrato",$E236,0)),MIN(AR$38,$D$19),$P$20))-SUM($P236:AQ236)</f>
        <v>#VALUE!</v>
      </c>
      <c r="AS236" s="446" t="e">
        <f>IF(OR($B236="",MIN(AS$38,$D$19)&lt;MAX($P$34*($B236+IF($R$17="Distrato",$I$38-1,0)),IF(AND($L$37=0,$P$34=0),"",$L$37-1),IF($R$17="Distrato",$E236,0))),0,YEARFRAC(MAX($P$34*($B236+IF($R$17="Distrato",$I$38-1,0)),IF(AND($L$37=0,$P$34=0),"",$L$37-1),IF($R$17="Distrato",$E236,0)),MIN(AS$38,$D$19),$P$20))-SUM($P236:AR236)</f>
        <v>#VALUE!</v>
      </c>
      <c r="AT236" s="446" t="e">
        <f>IF(OR($B236="",MIN(AT$38,$D$19)&lt;MAX($P$34*($B236+IF($R$17="Distrato",$I$38-1,0)),IF(AND($L$37=0,$P$34=0),"",$L$37-1),IF($R$17="Distrato",$E236,0))),0,YEARFRAC(MAX($P$34*($B236+IF($R$17="Distrato",$I$38-1,0)),IF(AND($L$37=0,$P$34=0),"",$L$37-1),IF($R$17="Distrato",$E236,0)),MIN(AT$38,$D$19),$P$20))-SUM($P236:AS236)</f>
        <v>#VALUE!</v>
      </c>
      <c r="AU236" s="446" t="e">
        <f>IF(OR($B236="",MIN(AU$38,$D$19)&lt;MAX($P$34*($B236+IF($R$17="Distrato",$I$38-1,0)),IF(AND($L$37=0,$P$34=0),"",$L$37-1),IF($R$17="Distrato",$E236,0))),0,YEARFRAC(MAX($P$34*($B236+IF($R$17="Distrato",$I$38-1,0)),IF(AND($L$37=0,$P$34=0),"",$L$37-1),IF($R$17="Distrato",$E236,0)),MIN(AU$38,$D$19),$P$20))-SUM($P236:AT236)</f>
        <v>#VALUE!</v>
      </c>
      <c r="AV236" s="446" t="e">
        <f>IF(OR($B236="",MIN(AV$38,$D$19)&lt;MAX($P$34*($B236+IF($R$17="Distrato",$I$38-1,0)),IF(AND($L$37=0,$P$34=0),"",$L$37-1),IF($R$17="Distrato",$E236,0))),0,YEARFRAC(MAX($P$34*($B236+IF($R$17="Distrato",$I$38-1,0)),IF(AND($L$37=0,$P$34=0),"",$L$37-1),IF($R$17="Distrato",$E236,0)),MIN(AV$38,$D$19),$P$20))-SUM($P236:AU236)</f>
        <v>#VALUE!</v>
      </c>
      <c r="AW236" s="446" t="e">
        <f>IF(OR($B236="",MIN(AW$38,$D$19)&lt;MAX($P$34*($B236+IF($R$17="Distrato",$I$38-1,0)),IF(AND($L$37=0,$P$34=0),"",$L$37-1),IF($R$17="Distrato",$E236,0))),0,YEARFRAC(MAX($P$34*($B236+IF($R$17="Distrato",$I$38-1,0)),IF(AND($L$37=0,$P$34=0),"",$L$37-1),IF($R$17="Distrato",$E236,0)),MIN(AW$38,$D$19),$P$20))-SUM($P236:AV236)</f>
        <v>#VALUE!</v>
      </c>
      <c r="AX236" s="446" t="e">
        <f>IF(OR($B236="",MIN(AX$38,$D$19)&lt;MAX($P$34*($B236+IF($R$17="Distrato",$I$38-1,0)),IF(AND($L$37=0,$P$34=0),"",$L$37-1),IF($R$17="Distrato",$E236,0))),0,YEARFRAC(MAX($P$34*($B236+IF($R$17="Distrato",$I$38-1,0)),IF(AND($L$37=0,$P$34=0),"",$L$37-1),IF($R$17="Distrato",$E236,0)),MIN(AX$38,$D$19),$P$20))-SUM($P236:AW236)</f>
        <v>#VALUE!</v>
      </c>
      <c r="AY236" s="446" t="e">
        <f>IF(OR($B236="",MIN(AY$38,$D$19)&lt;MAX($P$34*($B236+IF($R$17="Distrato",$I$38-1,0)),IF(AND($L$37=0,$P$34=0),"",$L$37-1),IF($R$17="Distrato",$E236,0))),0,YEARFRAC(MAX($P$34*($B236+IF($R$17="Distrato",$I$38-1,0)),IF(AND($L$37=0,$P$34=0),"",$L$37-1),IF($R$17="Distrato",$E236,0)),MIN(AY$38,$D$19),$P$20))-SUM($P236:AX236)</f>
        <v>#VALUE!</v>
      </c>
      <c r="AZ236" s="446" t="e">
        <f>IF(OR($B236="",MIN(AZ$38,$D$19)&lt;MAX($P$34*($B236+IF($R$17="Distrato",$I$38-1,0)),IF(AND($L$37=0,$P$34=0),"",$L$37-1),IF($R$17="Distrato",$E236,0))),0,YEARFRAC(MAX($P$34*($B236+IF($R$17="Distrato",$I$38-1,0)),IF(AND($L$37=0,$P$34=0),"",$L$37-1),IF($R$17="Distrato",$E236,0)),MIN(AZ$38,$D$19),$P$20))-SUM($P236:AY236)</f>
        <v>#VALUE!</v>
      </c>
      <c r="BA236" s="446" t="e">
        <f>IF(OR($B236="",MIN(BA$38,$D$19)&lt;MAX($P$34*($B236+IF($R$17="Distrato",$I$38-1,0)),IF(AND($L$37=0,$P$34=0),"",$L$37-1),IF($R$17="Distrato",$E236,0))),0,YEARFRAC(MAX($P$34*($B236+IF($R$17="Distrato",$I$38-1,0)),IF(AND($L$37=0,$P$34=0),"",$L$37-1),IF($R$17="Distrato",$E236,0)),MIN(BA$38,$D$19),$P$20))-SUM($P236:AZ236)</f>
        <v>#VALUE!</v>
      </c>
      <c r="BB236" s="447"/>
      <c r="BF236" s="446">
        <f t="shared" si="43"/>
        <v>0</v>
      </c>
      <c r="BG236" s="446">
        <f>IF($E236=0,0,IF(MIN(BG$38,$E236)&lt;MAX($P$34*($B236+$I$38-1),IF(AND($L$37=0,$P$34=0),"",$L$37-1)),0,YEARFRAC(MAX($P$34*($B236+$I$38-1),IF(AND($L$37=0,$P$34=0),"",$L$37-1)),MIN(BG$38,$E236),$P$20))-SUM($BF236:BF236))</f>
        <v>0</v>
      </c>
      <c r="BH236" s="446">
        <f>IF($E236=0,0,IF(MIN(BH$38,$E236)&lt;MAX($P$34*($B236+$I$38-1),IF(AND($L$37=0,$P$34=0),"",$L$37-1)),0,YEARFRAC(MAX($P$34*($B236+$I$38-1),IF(AND($L$37=0,$P$34=0),"",$L$37-1)),MIN(BH$38,$E236),$P$20))-SUM($BF236:BG236))</f>
        <v>0</v>
      </c>
      <c r="BI236" s="446">
        <f>IF($E236=0,0,IF(MIN(BI$38,$E236)&lt;MAX($P$34*($B236+$I$38-1),IF(AND($L$37=0,$P$34=0),"",$L$37-1)),0,YEARFRAC(MAX($P$34*($B236+$I$38-1),IF(AND($L$37=0,$P$34=0),"",$L$37-1)),MIN(BI$38,$E236),$P$20))-SUM($BF236:BH236))</f>
        <v>0</v>
      </c>
      <c r="BJ236" s="446">
        <f>IF($E236=0,0,IF(MIN(BJ$38,$E236)&lt;MAX($P$34*($B236+$I$38-1),IF(AND($L$37=0,$P$34=0),"",$L$37-1)),0,YEARFRAC(MAX($P$34*($B236+$I$38-1),IF(AND($L$37=0,$P$34=0),"",$L$37-1)),MIN(BJ$38,$E236),$P$20))-SUM($BF236:BI236))</f>
        <v>0</v>
      </c>
      <c r="BK236" s="446">
        <f>IF($E236=0,0,IF(MIN(BK$38,$E236)&lt;MAX($P$34*($B236+$I$38-1),IF(AND($L$37=0,$P$34=0),"",$L$37-1)),0,YEARFRAC(MAX($P$34*($B236+$I$38-1),IF(AND($L$37=0,$P$34=0),"",$L$37-1)),MIN(BK$38,$E236),$P$20))-SUM($BF236:BJ236))</f>
        <v>0</v>
      </c>
      <c r="BL236" s="446">
        <f>IF($E236=0,0,IF(MIN(BL$38,$E236)&lt;MAX($P$34*($B236+$I$38-1),IF(AND($L$37=0,$P$34=0),"",$L$37-1)),0,YEARFRAC(MAX($P$34*($B236+$I$38-1),IF(AND($L$37=0,$P$34=0),"",$L$37-1)),MIN(BL$38,$E236),$P$20))-SUM($BF236:BK236))</f>
        <v>0</v>
      </c>
      <c r="BM236" s="446">
        <f>IF($E236=0,0,IF(MIN(BM$38,$E236)&lt;MAX($P$34*($B236+$I$38-1),IF(AND($L$37=0,$P$34=0),"",$L$37-1)),0,YEARFRAC(MAX($P$34*($B236+$I$38-1),IF(AND($L$37=0,$P$34=0),"",$L$37-1)),MIN(BM$38,$E236),$P$20))-SUM($BF236:BL236))</f>
        <v>0</v>
      </c>
      <c r="BN236" s="446">
        <f>IF($E236=0,0,IF(MIN(BN$38,$E236)&lt;MAX($P$34*($B236+$I$38-1),IF(AND($L$37=0,$P$34=0),"",$L$37-1)),0,YEARFRAC(MAX($P$34*($B236+$I$38-1),IF(AND($L$37=0,$P$34=0),"",$L$37-1)),MIN(BN$38,$E236),$P$20))-SUM($BF236:BM236))</f>
        <v>0</v>
      </c>
      <c r="BO236" s="446">
        <f>IF($E236=0,0,IF(MIN(BO$38,$E236)&lt;MAX($P$34*($B236+$I$38-1),IF(AND($L$37=0,$P$34=0),"",$L$37-1)),0,YEARFRAC(MAX($P$34*($B236+$I$38-1),IF(AND($L$37=0,$P$34=0),"",$L$37-1)),MIN(BO$38,$E236),$P$20))-SUM($BF236:BN236))</f>
        <v>0</v>
      </c>
      <c r="BP236" s="446">
        <f>IF($E236=0,0,IF(MIN(BP$38,$E236)&lt;MAX($P$34*($B236+$I$38-1),IF(AND($L$37=0,$P$34=0),"",$L$37-1)),0,YEARFRAC(MAX($P$34*($B236+$I$38-1),IF(AND($L$37=0,$P$34=0),"",$L$37-1)),MIN(BP$38,$E236),$P$20))-SUM($BF236:BO236))</f>
        <v>0</v>
      </c>
      <c r="BQ236" s="446">
        <f>IF($E236=0,0,IF(MIN(BQ$38,$E236)&lt;MAX($P$34*($B236+$I$38-1),IF(AND($L$37=0,$P$34=0),"",$L$37-1)),0,YEARFRAC(MAX($P$34*($B236+$I$38-1),IF(AND($L$37=0,$P$34=0),"",$L$37-1)),MIN(BQ$38,$E236),$P$20))-SUM($BF236:BP236))</f>
        <v>0</v>
      </c>
      <c r="BR236" s="446">
        <f>IF($E236=0,0,IF(MIN(BR$38,$E236)&lt;MAX($P$34*($B236+$I$38-1),IF(AND($L$37=0,$P$34=0),"",$L$37-1)),0,YEARFRAC(MAX($P$34*($B236+$I$38-1),IF(AND($L$37=0,$P$34=0),"",$L$37-1)),MIN(BR$38,$E236),$P$20))-SUM($BF236:BQ236))</f>
        <v>0</v>
      </c>
      <c r="BS236" s="446">
        <f>IF($E236=0,0,IF(MIN(BS$38,$E236)&lt;MAX($P$34*($B236+$I$38-1),IF(AND($L$37=0,$P$34=0),"",$L$37-1)),0,YEARFRAC(MAX($P$34*($B236+$I$38-1),IF(AND($L$37=0,$P$34=0),"",$L$37-1)),MIN(BS$38,$E236),$P$20))-SUM($BF236:BR236))</f>
        <v>0</v>
      </c>
      <c r="BT236" s="446">
        <f>IF($E236=0,0,IF(MIN(BT$38,$E236)&lt;MAX($P$34*($B236+$I$38-1),IF(AND($L$37=0,$P$34=0),"",$L$37-1)),0,YEARFRAC(MAX($P$34*($B236+$I$38-1),IF(AND($L$37=0,$P$34=0),"",$L$37-1)),MIN(BT$38,$E236),$P$20))-SUM($BF236:BS236))</f>
        <v>0</v>
      </c>
      <c r="BU236" s="446">
        <f>IF($E236=0,0,IF(MIN(BU$38,$E236)&lt;MAX($P$34*($B236+$I$38-1),IF(AND($L$37=0,$P$34=0),"",$L$37-1)),0,YEARFRAC(MAX($P$34*($B236+$I$38-1),IF(AND($L$37=0,$P$34=0),"",$L$37-1)),MIN(BU$38,$E236),$P$20))-SUM($BF236:BT236))</f>
        <v>0</v>
      </c>
      <c r="BV236" s="446">
        <f>IF($E236=0,0,IF(MIN(BV$38,$E236)&lt;MAX($P$34*($B236+$I$38-1),IF(AND($L$37=0,$P$34=0),"",$L$37-1)),0,YEARFRAC(MAX($P$34*($B236+$I$38-1),IF(AND($L$37=0,$P$34=0),"",$L$37-1)),MIN(BV$38,$E236),$P$20))-SUM($BF236:BU236))</f>
        <v>0</v>
      </c>
      <c r="BW236" s="446">
        <f>IF($E236=0,0,IF(MIN(BW$38,$E236)&lt;MAX($P$34*($B236+$I$38-1),IF(AND($L$37=0,$P$34=0),"",$L$37-1)),0,YEARFRAC(MAX($P$34*($B236+$I$38-1),IF(AND($L$37=0,$P$34=0),"",$L$37-1)),MIN(BW$38,$E236),$P$20))-SUM($BF236:BV236))</f>
        <v>0</v>
      </c>
      <c r="BX236" s="446">
        <f>IF($E236=0,0,IF(MIN(BX$38,$E236)&lt;MAX($P$34*($B236+$I$38-1),IF(AND($L$37=0,$P$34=0),"",$L$37-1)),0,YEARFRAC(MAX($P$34*($B236+$I$38-1),IF(AND($L$37=0,$P$34=0),"",$L$37-1)),MIN(BX$38,$E236),$P$20))-SUM($BF236:BW236))</f>
        <v>0</v>
      </c>
      <c r="BY236" s="446">
        <f>IF($E236=0,0,IF(MIN(BY$38,$E236)&lt;MAX($P$34*($B236+$I$38-1),IF(AND($L$37=0,$P$34=0),"",$L$37-1)),0,YEARFRAC(MAX($P$34*($B236+$I$38-1),IF(AND($L$37=0,$P$34=0),"",$L$37-1)),MIN(BY$38,$E236),$P$20))-SUM($BF236:BX236))</f>
        <v>0</v>
      </c>
      <c r="BZ236" s="446">
        <f>IF($E236=0,0,IF(MIN(BZ$38,$E236)&lt;MAX($P$34*($B236+$I$38-1),IF(AND($L$37=0,$P$34=0),"",$L$37-1)),0,YEARFRAC(MAX($P$34*($B236+$I$38-1),IF(AND($L$37=0,$P$34=0),"",$L$37-1)),MIN(BZ$38,$E236),$P$20))-SUM($BF236:BY236))</f>
        <v>0</v>
      </c>
      <c r="CA236" s="446">
        <f>IF($E236=0,0,IF(MIN(CA$38,$E236)&lt;MAX($P$34*($B236+$I$38-1),IF(AND($L$37=0,$P$34=0),"",$L$37-1)),0,YEARFRAC(MAX($P$34*($B236+$I$38-1),IF(AND($L$37=0,$P$34=0),"",$L$37-1)),MIN(CA$38,$E236),$P$20))-SUM($BF236:BZ236))</f>
        <v>0</v>
      </c>
      <c r="CB236" s="446">
        <f>IF($E236=0,0,IF(MIN(CB$38,$E236)&lt;MAX($P$34*($B236+$I$38-1),IF(AND($L$37=0,$P$34=0),"",$L$37-1)),0,YEARFRAC(MAX($P$34*($B236+$I$38-1),IF(AND($L$37=0,$P$34=0),"",$L$37-1)),MIN(CB$38,$E236),$P$20))-SUM($BF236:CA236))</f>
        <v>0</v>
      </c>
      <c r="CC236" s="446">
        <f>IF($E236=0,0,IF(MIN(CC$38,$E236)&lt;MAX($P$34*($B236+$I$38-1),IF(AND($L$37=0,$P$34=0),"",$L$37-1)),0,YEARFRAC(MAX($P$34*($B236+$I$38-1),IF(AND($L$37=0,$P$34=0),"",$L$37-1)),MIN(CC$38,$E236),$P$20))-SUM($BF236:CB236))</f>
        <v>0</v>
      </c>
      <c r="CD236" s="446">
        <f>IF($E236=0,0,IF(MIN(CD$38,$E236)&lt;MAX($P$34*($B236+$I$38-1),IF(AND($L$37=0,$P$34=0),"",$L$37-1)),0,YEARFRAC(MAX($P$34*($B236+$I$38-1),IF(AND($L$37=0,$P$34=0),"",$L$37-1)),MIN(CD$38,$E236),$P$20))-SUM($BF236:CC236))</f>
        <v>0</v>
      </c>
      <c r="CE236" s="446">
        <f>IF($E236=0,0,IF(MIN(CE$38,$E236)&lt;MAX($P$34*($B236+$I$38-1),IF(AND($L$37=0,$P$34=0),"",$L$37-1)),0,YEARFRAC(MAX($P$34*($B236+$I$38-1),IF(AND($L$37=0,$P$34=0),"",$L$37-1)),MIN(CE$38,$E236),$P$20))-SUM($BF236:CD236))</f>
        <v>0</v>
      </c>
      <c r="CF236" s="446">
        <f>IF($E236=0,0,IF(MIN(CF$38,$E236)&lt;MAX($P$34*($B236+$I$38-1),IF(AND($L$37=0,$P$34=0),"",$L$37-1)),0,YEARFRAC(MAX($P$34*($B236+$I$38-1),IF(AND($L$37=0,$P$34=0),"",$L$37-1)),MIN(CF$38,$E236),$P$20))-SUM($BF236:CE236))</f>
        <v>0</v>
      </c>
      <c r="CG236" s="446">
        <f>IF($E236=0,0,IF(MIN(CG$38,$E236)&lt;MAX($P$34*($B236+$I$38-1),IF(AND($L$37=0,$P$34=0),"",$L$37-1)),0,YEARFRAC(MAX($P$34*($B236+$I$38-1),IF(AND($L$37=0,$P$34=0),"",$L$37-1)),MIN(CG$38,$E236),$P$20))-SUM($BF236:CF236))</f>
        <v>0</v>
      </c>
      <c r="CH236" s="446">
        <f>IF($E236=0,0,IF(MIN(CH$38,$E236)&lt;MAX($P$34*($B236+$I$38-1),IF(AND($L$37=0,$P$34=0),"",$L$37-1)),0,YEARFRAC(MAX($P$34*($B236+$I$38-1),IF(AND($L$37=0,$P$34=0),"",$L$37-1)),MIN(CH$38,$E236),$P$20))-SUM($BF236:CG236))</f>
        <v>0</v>
      </c>
      <c r="CI236" s="446">
        <f>IF($E236=0,0,IF(MIN(CI$38,$E236)&lt;MAX($P$34*($B236+$I$38-1),IF(AND($L$37=0,$P$34=0),"",$L$37-1)),0,YEARFRAC(MAX($P$34*($B236+$I$38-1),IF(AND($L$37=0,$P$34=0),"",$L$37-1)),MIN(CI$38,$E236),$P$20))-SUM($BF236:CH236))</f>
        <v>0</v>
      </c>
      <c r="CJ236" s="446">
        <f>IF($E236=0,0,IF(MIN(CJ$38,$E236)&lt;MAX($P$34*($B236+$I$38-1),IF(AND($L$37=0,$P$34=0),"",$L$37-1)),0,YEARFRAC(MAX($P$34*($B236+$I$38-1),IF(AND($L$37=0,$P$34=0),"",$L$37-1)),MIN(CJ$38,$E236),$P$20))-SUM($BF236:CI236))</f>
        <v>0</v>
      </c>
      <c r="CK236" s="446">
        <f>IF($E236=0,0,IF(MIN(CK$38,$E236)&lt;MAX($P$34*($B236+$I$38-1),IF(AND($L$37=0,$P$34=0),"",$L$37-1)),0,YEARFRAC(MAX($P$34*($B236+$I$38-1),IF(AND($L$37=0,$P$34=0),"",$L$37-1)),MIN(CK$38,$E236),$P$20))-SUM($BF236:CJ236))</f>
        <v>0</v>
      </c>
      <c r="CL236" s="446">
        <f>IF($E236=0,0,IF(MIN(CL$38,$E236)&lt;MAX($P$34*($B236+$I$38-1),IF(AND($L$37=0,$P$34=0),"",$L$37-1)),0,YEARFRAC(MAX($P$34*($B236+$I$38-1),IF(AND($L$37=0,$P$34=0),"",$L$37-1)),MIN(CL$38,$E236),$P$20))-SUM($BF236:CK236))</f>
        <v>0</v>
      </c>
      <c r="CM236" s="446">
        <f>IF($E236=0,0,IF(MIN(CM$38,$E236)&lt;MAX($P$34*($B236+$I$38-1),IF(AND($L$37=0,$P$34=0),"",$L$37-1)),0,YEARFRAC(MAX($P$34*($B236+$I$38-1),IF(AND($L$37=0,$P$34=0),"",$L$37-1)),MIN(CM$38,$E236),$P$20))-SUM($BF236:CL236))</f>
        <v>0</v>
      </c>
      <c r="CN236" s="446">
        <f>IF($E236=0,0,IF(MIN(CN$38,$E236)&lt;MAX($P$34*($B236+$I$38-1),IF(AND($L$37=0,$P$34=0),"",$L$37-1)),0,YEARFRAC(MAX($P$34*($B236+$I$38-1),IF(AND($L$37=0,$P$34=0),"",$L$37-1)),MIN(CN$38,$E236),$P$20))-SUM($BF236:CM236))</f>
        <v>0</v>
      </c>
      <c r="CO236" s="446">
        <f>IF($E236=0,0,IF(MIN(CO$38,$E236)&lt;MAX($P$34*($B236+$I$38-1),IF(AND($L$37=0,$P$34=0),"",$L$37-1)),0,YEARFRAC(MAX($P$34*($B236+$I$38-1),IF(AND($L$37=0,$P$34=0),"",$L$37-1)),MIN(CO$38,$E236),$P$20))-SUM($BF236:CN236))</f>
        <v>0</v>
      </c>
      <c r="CP236" s="446">
        <f>IF($E236=0,0,IF(MIN(CP$38,$E236)&lt;MAX($P$34*($B236+$I$38-1),IF(AND($L$37=0,$P$34=0),"",$L$37-1)),0,YEARFRAC(MAX($P$34*($B236+$I$38-1),IF(AND($L$37=0,$P$34=0),"",$L$37-1)),MIN(CP$38,$E236),$P$20))-SUM($BF236:CO236))</f>
        <v>0</v>
      </c>
      <c r="CQ236" s="446">
        <f>IF($E236=0,0,IF(MIN(CQ$38,$E236)&lt;MAX($P$34*($B236+$I$38-1),IF(AND($L$37=0,$P$34=0),"",$L$37-1)),0,YEARFRAC(MAX($P$34*($B236+$I$38-1),IF(AND($L$37=0,$P$34=0),"",$L$37-1)),MIN(CQ$38,$E236),$P$20))-SUM($BF236:CP236))</f>
        <v>0</v>
      </c>
    </row>
    <row r="237" spans="1:95" s="446" customFormat="1" ht="11.25" hidden="1" customHeight="1" x14ac:dyDescent="0.2">
      <c r="A237" s="152"/>
      <c r="B237" s="153" t="str">
        <f t="shared" si="48"/>
        <v/>
      </c>
      <c r="C237" s="29" t="str">
        <f>IF(B237="","",IF($L$35="SELIC - TRIBUTOS",VLOOKUP(DATE(YEAR($D$19),MONTH($D$19)-1,1),ÍNDICES!$A:$DE,HLOOKUP($BL$25,ÍNDICES!$B$3:$T$4,2)+11)-VLOOKUP(B237,ÍNDICES!$A:$DE,HLOOKUP($BL$25,ÍNDICES!$B$3:$T$4,2)+11)+1%,IF(C$38=$W$26,$J$35,IF(ISERROR(IF(B237&gt;$D$19,1,VLOOKUP(DATE(YEAR(B237),MONTH(B237)+IF($C$35=$S$23,1,0),1),ÍNDICES!$A:$DE,$Z$35+1))),"",IF(B237&gt;$D$19,1,VLOOKUP(DATE(YEAR(B237),MONTH(B237)+IF($C$35=$S$23,1,0),1),ÍNDICES!$A:$DE,$Z$35+1))))))</f>
        <v/>
      </c>
      <c r="D237" s="154" t="str">
        <f>IF(ISERROR(IF(OR($D$38=$Y$27,$B237=""),"",VLOOKUP(B237,ÍNDICES!A:DE,AF$35+1))),"",IF(OR($D$38=$Y$27,$B237=""),"",VLOOKUP(B237,ÍNDICES!A:DE,AF$35+1)))</f>
        <v/>
      </c>
      <c r="E237" s="153"/>
      <c r="F237" s="29" t="str">
        <f>IF(E237="","",IF($L$35="SELIC - TRIBUTOS",VLOOKUP(DATE(YEAR($D$19),MONTH($D$19)-1,1),ÍNDICES!$A:$DE,HLOOKUP($BL$25,ÍNDICES!$B$3:$T$4,2)+11)-VLOOKUP(E237,ÍNDICES!$A:$DE,HLOOKUP($BL$25,ÍNDICES!$B$3:$T$4,2)+11)+1%,IF(F$38=$W$26,$J$35,IF(ISERROR(IF(E237&gt;$D$19,1,VLOOKUP(DATE(YEAR(E237),MONTH(E237)+IF($C$35=$S$23,1,0),1),ÍNDICES!$A:$DE,$Z$35+1))),"",IF(E237&gt;$D$19,1,VLOOKUP(DATE(YEAR(E237),MONTH(E237)+IF($C$35=$S$23,1,0),1),ÍNDICES!$A:$DE,$Z$35+1))))))</f>
        <v/>
      </c>
      <c r="G237" s="155"/>
      <c r="H237" s="156" t="str">
        <f t="shared" si="44"/>
        <v/>
      </c>
      <c r="I237" s="29" t="str">
        <f t="shared" si="38"/>
        <v/>
      </c>
      <c r="J237" s="5">
        <f t="shared" si="39"/>
        <v>0</v>
      </c>
      <c r="K237" s="20">
        <f t="shared" ca="1" si="40"/>
        <v>0</v>
      </c>
      <c r="L237" s="5">
        <f t="shared" ca="1" si="41"/>
        <v>0</v>
      </c>
      <c r="M237" s="64">
        <f t="shared" si="45"/>
        <v>0</v>
      </c>
      <c r="N237" s="61">
        <f t="shared" ca="1" si="46"/>
        <v>0</v>
      </c>
      <c r="O237" s="5">
        <f t="shared" ca="1" si="47"/>
        <v>0</v>
      </c>
      <c r="P237" s="446" t="e">
        <f t="shared" si="42"/>
        <v>#VALUE!</v>
      </c>
      <c r="Q237" s="446" t="e">
        <f>IF(OR($B237="",MIN(Q$38,$D$19)&lt;MAX($P$34*($B237+IF($R$17="Distrato",$I$38-1,0)),IF(AND($L$37=0,$P$34=0),"",$L$37-1),IF($R$17="Distrato",$E237,0))),0,YEARFRAC(MAX($P$34*($B237+IF($R$17="Distrato",$I$38-1,0)),IF(AND($L$37=0,$P$34=0),"",$L$37-1),IF($R$17="Distrato",$E237,0)),MIN(Q$38,$D$19),$P$20))-SUM($P237:P237)</f>
        <v>#VALUE!</v>
      </c>
      <c r="R237" s="446" t="e">
        <f>IF(OR($B237="",MIN(R$38,$D$19)&lt;MAX($P$34*($B237+IF($R$17="Distrato",$I$38-1,0)),IF(AND($L$37=0,$P$34=0),"",$L$37-1),IF($R$17="Distrato",$E237,0))),0,YEARFRAC(MAX($P$34*($B237+IF($R$17="Distrato",$I$38-1,0)),IF(AND($L$37=0,$P$34=0),"",$L$37-1),IF($R$17="Distrato",$E237,0)),MIN(R$38,$D$19),$P$20))-SUM($P237:Q237)</f>
        <v>#VALUE!</v>
      </c>
      <c r="S237" s="446" t="e">
        <f>IF(OR($B237="",MIN(S$38,$D$19)&lt;MAX($P$34*($B237+IF($R$17="Distrato",$I$38-1,0)),IF(AND($L$37=0,$P$34=0),"",$L$37-1),IF($R$17="Distrato",$E237,0))),0,YEARFRAC(MAX($P$34*($B237+IF($R$17="Distrato",$I$38-1,0)),IF(AND($L$37=0,$P$34=0),"",$L$37-1),IF($R$17="Distrato",$E237,0)),MIN(S$38,$D$19),$P$20))-SUM($P237:R237)</f>
        <v>#VALUE!</v>
      </c>
      <c r="T237" s="446" t="e">
        <f>IF(OR($B237="",MIN(T$38,$D$19)&lt;MAX($P$34*($B237+IF($R$17="Distrato",$I$38-1,0)),IF(AND($L$37=0,$P$34=0),"",$L$37-1),IF($R$17="Distrato",$E237,0))),0,YEARFRAC(MAX($P$34*($B237+IF($R$17="Distrato",$I$38-1,0)),IF(AND($L$37=0,$P$34=0),"",$L$37-1),IF($R$17="Distrato",$E237,0)),MIN(T$38,$D$19),$P$20))-SUM($P237:S237)</f>
        <v>#VALUE!</v>
      </c>
      <c r="U237" s="446" t="e">
        <f>IF(OR($B237="",MIN(U$38,$D$19)&lt;MAX($P$34*($B237+IF($R$17="Distrato",$I$38-1,0)),IF(AND($L$37=0,$P$34=0),"",$L$37-1),IF($R$17="Distrato",$E237,0))),0,YEARFRAC(MAX($P$34*($B237+IF($R$17="Distrato",$I$38-1,0)),IF(AND($L$37=0,$P$34=0),"",$L$37-1),IF($R$17="Distrato",$E237,0)),MIN(U$38,$D$19),$P$20))-SUM($P237:T237)</f>
        <v>#VALUE!</v>
      </c>
      <c r="V237" s="446" t="e">
        <f>IF(OR($B237="",MIN(V$38,$D$19)&lt;MAX($P$34*($B237+IF($R$17="Distrato",$I$38-1,0)),IF(AND($L$37=0,$P$34=0),"",$L$37-1),IF($R$17="Distrato",$E237,0))),0,YEARFRAC(MAX($P$34*($B237+IF($R$17="Distrato",$I$38-1,0)),IF(AND($L$37=0,$P$34=0),"",$L$37-1),IF($R$17="Distrato",$E237,0)),MIN(V$38,$D$19),$P$20))-SUM($P237:U237)</f>
        <v>#VALUE!</v>
      </c>
      <c r="W237" s="446" t="e">
        <f>IF(OR($B237="",MIN(W$38,$D$19)&lt;MAX($P$34*($B237+IF($R$17="Distrato",$I$38-1,0)),IF(AND($L$37=0,$P$34=0),"",$L$37-1),IF($R$17="Distrato",$E237,0))),0,YEARFRAC(MAX($P$34*($B237+IF($R$17="Distrato",$I$38-1,0)),IF(AND($L$37=0,$P$34=0),"",$L$37-1),IF($R$17="Distrato",$E237,0)),MIN(W$38,$D$19),$P$20))-SUM($P237:V237)</f>
        <v>#VALUE!</v>
      </c>
      <c r="X237" s="446" t="e">
        <f>IF(OR($B237="",MIN(X$38,$D$19)&lt;MAX($P$34*($B237+IF($R$17="Distrato",$I$38-1,0)),IF(AND($L$37=0,$P$34=0),"",$L$37-1),IF($R$17="Distrato",$E237,0))),0,YEARFRAC(MAX($P$34*($B237+IF($R$17="Distrato",$I$38-1,0)),IF(AND($L$37=0,$P$34=0),"",$L$37-1),IF($R$17="Distrato",$E237,0)),MIN(X$38,$D$19),$P$20))-SUM($P237:W237)</f>
        <v>#VALUE!</v>
      </c>
      <c r="Y237" s="446" t="e">
        <f>IF(OR($B237="",MIN(Y$38,$D$19)&lt;MAX($P$34*($B237+IF($R$17="Distrato",$I$38-1,0)),IF(AND($L$37=0,$P$34=0),"",$L$37-1),IF($R$17="Distrato",$E237,0))),0,YEARFRAC(MAX($P$34*($B237+IF($R$17="Distrato",$I$38-1,0)),IF(AND($L$37=0,$P$34=0),"",$L$37-1),IF($R$17="Distrato",$E237,0)),MIN(Y$38,$D$19),$P$20))-SUM($P237:X237)</f>
        <v>#VALUE!</v>
      </c>
      <c r="Z237" s="446" t="e">
        <f>IF(OR($B237="",MIN(Z$38,$D$19)&lt;MAX($P$34*($B237+IF($R$17="Distrato",$I$38-1,0)),IF(AND($L$37=0,$P$34=0),"",$L$37-1),IF($R$17="Distrato",$E237,0))),0,YEARFRAC(MAX($P$34*($B237+IF($R$17="Distrato",$I$38-1,0)),IF(AND($L$37=0,$P$34=0),"",$L$37-1),IF($R$17="Distrato",$E237,0)),MIN(Z$38,$D$19),$P$20))-SUM($P237:Y237)</f>
        <v>#VALUE!</v>
      </c>
      <c r="AA237" s="446" t="e">
        <f>IF(OR($B237="",MIN(AA$38,$D$19)&lt;MAX($P$34*($B237+IF($R$17="Distrato",$I$38-1,0)),IF(AND($L$37=0,$P$34=0),"",$L$37-1),IF($R$17="Distrato",$E237,0))),0,YEARFRAC(MAX($P$34*($B237+IF($R$17="Distrato",$I$38-1,0)),IF(AND($L$37=0,$P$34=0),"",$L$37-1),IF($R$17="Distrato",$E237,0)),MIN(AA$38,$D$19),$P$20))-SUM($P237:Z237)</f>
        <v>#VALUE!</v>
      </c>
      <c r="AB237" s="446" t="e">
        <f>IF(OR($B237="",MIN(AB$38,$D$19)&lt;MAX($P$34*($B237+IF($R$17="Distrato",$I$38-1,0)),IF(AND($L$37=0,$P$34=0),"",$L$37-1),IF($R$17="Distrato",$E237,0))),0,YEARFRAC(MAX($P$34*($B237+IF($R$17="Distrato",$I$38-1,0)),IF(AND($L$37=0,$P$34=0),"",$L$37-1),IF($R$17="Distrato",$E237,0)),MIN(AB$38,$D$19),$P$20))-SUM($P237:AA237)</f>
        <v>#VALUE!</v>
      </c>
      <c r="AC237" s="446" t="e">
        <f>IF(OR($B237="",MIN(AC$38,$D$19)&lt;MAX($P$34*($B237+IF($R$17="Distrato",$I$38-1,0)),IF(AND($L$37=0,$P$34=0),"",$L$37-1),IF($R$17="Distrato",$E237,0))),0,YEARFRAC(MAX($P$34*($B237+IF($R$17="Distrato",$I$38-1,0)),IF(AND($L$37=0,$P$34=0),"",$L$37-1),IF($R$17="Distrato",$E237,0)),MIN(AC$38,$D$19),$P$20))-SUM($P237:AB237)</f>
        <v>#VALUE!</v>
      </c>
      <c r="AD237" s="446" t="e">
        <f>IF(OR($B237="",MIN(AD$38,$D$19)&lt;MAX($P$34*($B237+IF($R$17="Distrato",$I$38-1,0)),IF(AND($L$37=0,$P$34=0),"",$L$37-1),IF($R$17="Distrato",$E237,0))),0,YEARFRAC(MAX($P$34*($B237+IF($R$17="Distrato",$I$38-1,0)),IF(AND($L$37=0,$P$34=0),"",$L$37-1),IF($R$17="Distrato",$E237,0)),MIN(AD$38,$D$19),$P$20))-SUM($P237:AC237)</f>
        <v>#VALUE!</v>
      </c>
      <c r="AE237" s="446" t="e">
        <f>IF(OR($B237="",MIN(AE$38,$D$19)&lt;MAX($P$34*($B237+IF($R$17="Distrato",$I$38-1,0)),IF(AND($L$37=0,$P$34=0),"",$L$37-1),IF($R$17="Distrato",$E237,0))),0,YEARFRAC(MAX($P$34*($B237+IF($R$17="Distrato",$I$38-1,0)),IF(AND($L$37=0,$P$34=0),"",$L$37-1),IF($R$17="Distrato",$E237,0)),MIN(AE$38,$D$19),$P$20))-SUM($P237:AD237)</f>
        <v>#VALUE!</v>
      </c>
      <c r="AF237" s="446" t="e">
        <f>IF(OR($B237="",MIN(AF$38,$D$19)&lt;MAX($P$34*($B237+IF($R$17="Distrato",$I$38-1,0)),IF(AND($L$37=0,$P$34=0),"",$L$37-1),IF($R$17="Distrato",$E237,0))),0,YEARFRAC(MAX($P$34*($B237+IF($R$17="Distrato",$I$38-1,0)),IF(AND($L$37=0,$P$34=0),"",$L$37-1),IF($R$17="Distrato",$E237,0)),MIN(AF$38,$D$19),$P$20))-SUM($P237:AE237)</f>
        <v>#VALUE!</v>
      </c>
      <c r="AG237" s="446" t="e">
        <f>IF(OR($B237="",MIN(AG$38,$D$19)&lt;MAX($P$34*($B237+IF($R$17="Distrato",$I$38-1,0)),IF(AND($L$37=0,$P$34=0),"",$L$37-1),IF($R$17="Distrato",$E237,0))),0,YEARFRAC(MAX($P$34*($B237+IF($R$17="Distrato",$I$38-1,0)),IF(AND($L$37=0,$P$34=0),"",$L$37-1),IF($R$17="Distrato",$E237,0)),MIN(AG$38,$D$19),$P$20))-SUM($P237:AF237)</f>
        <v>#VALUE!</v>
      </c>
      <c r="AH237" s="446" t="e">
        <f>IF(OR($B237="",MIN(AH$38,$D$19)&lt;MAX($P$34*($B237+IF($R$17="Distrato",$I$38-1,0)),IF(AND($L$37=0,$P$34=0),"",$L$37-1),IF($R$17="Distrato",$E237,0))),0,YEARFRAC(MAX($P$34*($B237+IF($R$17="Distrato",$I$38-1,0)),IF(AND($L$37=0,$P$34=0),"",$L$37-1),IF($R$17="Distrato",$E237,0)),MIN(AH$38,$D$19),$P$20))-SUM($P237:AG237)</f>
        <v>#VALUE!</v>
      </c>
      <c r="AI237" s="446" t="e">
        <f>IF(OR($B237="",MIN(AI$38,$D$19)&lt;MAX($P$34*($B237+IF($R$17="Distrato",$I$38-1,0)),IF(AND($L$37=0,$P$34=0),"",$L$37-1),IF($R$17="Distrato",$E237,0))),0,YEARFRAC(MAX($P$34*($B237+IF($R$17="Distrato",$I$38-1,0)),IF(AND($L$37=0,$P$34=0),"",$L$37-1),IF($R$17="Distrato",$E237,0)),MIN(AI$38,$D$19),$P$20))-SUM($P237:AH237)</f>
        <v>#VALUE!</v>
      </c>
      <c r="AJ237" s="446" t="e">
        <f>IF(OR($B237="",MIN(AJ$38,$D$19)&lt;MAX($P$34*($B237+IF($R$17="Distrato",$I$38-1,0)),IF(AND($L$37=0,$P$34=0),"",$L$37-1),IF($R$17="Distrato",$E237,0))),0,YEARFRAC(MAX($P$34*($B237+IF($R$17="Distrato",$I$38-1,0)),IF(AND($L$37=0,$P$34=0),"",$L$37-1),IF($R$17="Distrato",$E237,0)),MIN(AJ$38,$D$19),$P$20))-SUM($P237:AI237)</f>
        <v>#VALUE!</v>
      </c>
      <c r="AK237" s="446" t="e">
        <f>IF(OR($B237="",MIN(AK$38,$D$19)&lt;MAX($P$34*($B237+IF($R$17="Distrato",$I$38-1,0)),IF(AND($L$37=0,$P$34=0),"",$L$37-1),IF($R$17="Distrato",$E237,0))),0,YEARFRAC(MAX($P$34*($B237+IF($R$17="Distrato",$I$38-1,0)),IF(AND($L$37=0,$P$34=0),"",$L$37-1),IF($R$17="Distrato",$E237,0)),MIN(AK$38,$D$19),$P$20))-SUM($P237:AJ237)</f>
        <v>#VALUE!</v>
      </c>
      <c r="AL237" s="446" t="e">
        <f>IF(OR($B237="",MIN(AL$38,$D$19)&lt;MAX($P$34*($B237+IF($R$17="Distrato",$I$38-1,0)),IF(AND($L$37=0,$P$34=0),"",$L$37-1),IF($R$17="Distrato",$E237,0))),0,YEARFRAC(MAX($P$34*($B237+IF($R$17="Distrato",$I$38-1,0)),IF(AND($L$37=0,$P$34=0),"",$L$37-1),IF($R$17="Distrato",$E237,0)),MIN(AL$38,$D$19),$P$20))-SUM($P237:AK237)</f>
        <v>#VALUE!</v>
      </c>
      <c r="AM237" s="446" t="e">
        <f>IF(OR($B237="",MIN(AM$38,$D$19)&lt;MAX($P$34*($B237+IF($R$17="Distrato",$I$38-1,0)),IF(AND($L$37=0,$P$34=0),"",$L$37-1),IF($R$17="Distrato",$E237,0))),0,YEARFRAC(MAX($P$34*($B237+IF($R$17="Distrato",$I$38-1,0)),IF(AND($L$37=0,$P$34=0),"",$L$37-1),IF($R$17="Distrato",$E237,0)),MIN(AM$38,$D$19),$P$20))-SUM($P237:AL237)</f>
        <v>#VALUE!</v>
      </c>
      <c r="AN237" s="446" t="e">
        <f>IF(OR($B237="",MIN(AN$38,$D$19)&lt;MAX($P$34*($B237+IF($R$17="Distrato",$I$38-1,0)),IF(AND($L$37=0,$P$34=0),"",$L$37-1),IF($R$17="Distrato",$E237,0))),0,YEARFRAC(MAX($P$34*($B237+IF($R$17="Distrato",$I$38-1,0)),IF(AND($L$37=0,$P$34=0),"",$L$37-1),IF($R$17="Distrato",$E237,0)),MIN(AN$38,$D$19),$P$20))-SUM($P237:AM237)</f>
        <v>#VALUE!</v>
      </c>
      <c r="AO237" s="446" t="e">
        <f>IF(OR($B237="",MIN(AO$38,$D$19)&lt;MAX($P$34*($B237+IF($R$17="Distrato",$I$38-1,0)),IF(AND($L$37=0,$P$34=0),"",$L$37-1),IF($R$17="Distrato",$E237,0))),0,YEARFRAC(MAX($P$34*($B237+IF($R$17="Distrato",$I$38-1,0)),IF(AND($L$37=0,$P$34=0),"",$L$37-1),IF($R$17="Distrato",$E237,0)),MIN(AO$38,$D$19),$P$20))-SUM($P237:AN237)</f>
        <v>#VALUE!</v>
      </c>
      <c r="AP237" s="446" t="e">
        <f>IF(OR($B237="",MIN(AP$38,$D$19)&lt;MAX($P$34*($B237+IF($R$17="Distrato",$I$38-1,0)),IF(AND($L$37=0,$P$34=0),"",$L$37-1),IF($R$17="Distrato",$E237,0))),0,YEARFRAC(MAX($P$34*($B237+IF($R$17="Distrato",$I$38-1,0)),IF(AND($L$37=0,$P$34=0),"",$L$37-1),IF($R$17="Distrato",$E237,0)),MIN(AP$38,$D$19),$P$20))-SUM($P237:AO237)</f>
        <v>#VALUE!</v>
      </c>
      <c r="AQ237" s="446" t="e">
        <f>IF(OR($B237="",MIN(AQ$38,$D$19)&lt;MAX($P$34*($B237+IF($R$17="Distrato",$I$38-1,0)),IF(AND($L$37=0,$P$34=0),"",$L$37-1),IF($R$17="Distrato",$E237,0))),0,YEARFRAC(MAX($P$34*($B237+IF($R$17="Distrato",$I$38-1,0)),IF(AND($L$37=0,$P$34=0),"",$L$37-1),IF($R$17="Distrato",$E237,0)),MIN(AQ$38,$D$19),$P$20))-SUM($P237:AP237)</f>
        <v>#VALUE!</v>
      </c>
      <c r="AR237" s="446" t="e">
        <f>IF(OR($B237="",MIN(AR$38,$D$19)&lt;MAX($P$34*($B237+IF($R$17="Distrato",$I$38-1,0)),IF(AND($L$37=0,$P$34=0),"",$L$37-1),IF($R$17="Distrato",$E237,0))),0,YEARFRAC(MAX($P$34*($B237+IF($R$17="Distrato",$I$38-1,0)),IF(AND($L$37=0,$P$34=0),"",$L$37-1),IF($R$17="Distrato",$E237,0)),MIN(AR$38,$D$19),$P$20))-SUM($P237:AQ237)</f>
        <v>#VALUE!</v>
      </c>
      <c r="AS237" s="446" t="e">
        <f>IF(OR($B237="",MIN(AS$38,$D$19)&lt;MAX($P$34*($B237+IF($R$17="Distrato",$I$38-1,0)),IF(AND($L$37=0,$P$34=0),"",$L$37-1),IF($R$17="Distrato",$E237,0))),0,YEARFRAC(MAX($P$34*($B237+IF($R$17="Distrato",$I$38-1,0)),IF(AND($L$37=0,$P$34=0),"",$L$37-1),IF($R$17="Distrato",$E237,0)),MIN(AS$38,$D$19),$P$20))-SUM($P237:AR237)</f>
        <v>#VALUE!</v>
      </c>
      <c r="AT237" s="446" t="e">
        <f>IF(OR($B237="",MIN(AT$38,$D$19)&lt;MAX($P$34*($B237+IF($R$17="Distrato",$I$38-1,0)),IF(AND($L$37=0,$P$34=0),"",$L$37-1),IF($R$17="Distrato",$E237,0))),0,YEARFRAC(MAX($P$34*($B237+IF($R$17="Distrato",$I$38-1,0)),IF(AND($L$37=0,$P$34=0),"",$L$37-1),IF($R$17="Distrato",$E237,0)),MIN(AT$38,$D$19),$P$20))-SUM($P237:AS237)</f>
        <v>#VALUE!</v>
      </c>
      <c r="AU237" s="446" t="e">
        <f>IF(OR($B237="",MIN(AU$38,$D$19)&lt;MAX($P$34*($B237+IF($R$17="Distrato",$I$38-1,0)),IF(AND($L$37=0,$P$34=0),"",$L$37-1),IF($R$17="Distrato",$E237,0))),0,YEARFRAC(MAX($P$34*($B237+IF($R$17="Distrato",$I$38-1,0)),IF(AND($L$37=0,$P$34=0),"",$L$37-1),IF($R$17="Distrato",$E237,0)),MIN(AU$38,$D$19),$P$20))-SUM($P237:AT237)</f>
        <v>#VALUE!</v>
      </c>
      <c r="AV237" s="446" t="e">
        <f>IF(OR($B237="",MIN(AV$38,$D$19)&lt;MAX($P$34*($B237+IF($R$17="Distrato",$I$38-1,0)),IF(AND($L$37=0,$P$34=0),"",$L$37-1),IF($R$17="Distrato",$E237,0))),0,YEARFRAC(MAX($P$34*($B237+IF($R$17="Distrato",$I$38-1,0)),IF(AND($L$37=0,$P$34=0),"",$L$37-1),IF($R$17="Distrato",$E237,0)),MIN(AV$38,$D$19),$P$20))-SUM($P237:AU237)</f>
        <v>#VALUE!</v>
      </c>
      <c r="AW237" s="446" t="e">
        <f>IF(OR($B237="",MIN(AW$38,$D$19)&lt;MAX($P$34*($B237+IF($R$17="Distrato",$I$38-1,0)),IF(AND($L$37=0,$P$34=0),"",$L$37-1),IF($R$17="Distrato",$E237,0))),0,YEARFRAC(MAX($P$34*($B237+IF($R$17="Distrato",$I$38-1,0)),IF(AND($L$37=0,$P$34=0),"",$L$37-1),IF($R$17="Distrato",$E237,0)),MIN(AW$38,$D$19),$P$20))-SUM($P237:AV237)</f>
        <v>#VALUE!</v>
      </c>
      <c r="AX237" s="446" t="e">
        <f>IF(OR($B237="",MIN(AX$38,$D$19)&lt;MAX($P$34*($B237+IF($R$17="Distrato",$I$38-1,0)),IF(AND($L$37=0,$P$34=0),"",$L$37-1),IF($R$17="Distrato",$E237,0))),0,YEARFRAC(MAX($P$34*($B237+IF($R$17="Distrato",$I$38-1,0)),IF(AND($L$37=0,$P$34=0),"",$L$37-1),IF($R$17="Distrato",$E237,0)),MIN(AX$38,$D$19),$P$20))-SUM($P237:AW237)</f>
        <v>#VALUE!</v>
      </c>
      <c r="AY237" s="446" t="e">
        <f>IF(OR($B237="",MIN(AY$38,$D$19)&lt;MAX($P$34*($B237+IF($R$17="Distrato",$I$38-1,0)),IF(AND($L$37=0,$P$34=0),"",$L$37-1),IF($R$17="Distrato",$E237,0))),0,YEARFRAC(MAX($P$34*($B237+IF($R$17="Distrato",$I$38-1,0)),IF(AND($L$37=0,$P$34=0),"",$L$37-1),IF($R$17="Distrato",$E237,0)),MIN(AY$38,$D$19),$P$20))-SUM($P237:AX237)</f>
        <v>#VALUE!</v>
      </c>
      <c r="AZ237" s="446" t="e">
        <f>IF(OR($B237="",MIN(AZ$38,$D$19)&lt;MAX($P$34*($B237+IF($R$17="Distrato",$I$38-1,0)),IF(AND($L$37=0,$P$34=0),"",$L$37-1),IF($R$17="Distrato",$E237,0))),0,YEARFRAC(MAX($P$34*($B237+IF($R$17="Distrato",$I$38-1,0)),IF(AND($L$37=0,$P$34=0),"",$L$37-1),IF($R$17="Distrato",$E237,0)),MIN(AZ$38,$D$19),$P$20))-SUM($P237:AY237)</f>
        <v>#VALUE!</v>
      </c>
      <c r="BA237" s="446" t="e">
        <f>IF(OR($B237="",MIN(BA$38,$D$19)&lt;MAX($P$34*($B237+IF($R$17="Distrato",$I$38-1,0)),IF(AND($L$37=0,$P$34=0),"",$L$37-1),IF($R$17="Distrato",$E237,0))),0,YEARFRAC(MAX($P$34*($B237+IF($R$17="Distrato",$I$38-1,0)),IF(AND($L$37=0,$P$34=0),"",$L$37-1),IF($R$17="Distrato",$E237,0)),MIN(BA$38,$D$19),$P$20))-SUM($P237:AZ237)</f>
        <v>#VALUE!</v>
      </c>
      <c r="BB237" s="447"/>
      <c r="BF237" s="446">
        <f t="shared" si="43"/>
        <v>0</v>
      </c>
      <c r="BG237" s="446">
        <f>IF($E237=0,0,IF(MIN(BG$38,$E237)&lt;MAX($P$34*($B237+$I$38-1),IF(AND($L$37=0,$P$34=0),"",$L$37-1)),0,YEARFRAC(MAX($P$34*($B237+$I$38-1),IF(AND($L$37=0,$P$34=0),"",$L$37-1)),MIN(BG$38,$E237),$P$20))-SUM($BF237:BF237))</f>
        <v>0</v>
      </c>
      <c r="BH237" s="446">
        <f>IF($E237=0,0,IF(MIN(BH$38,$E237)&lt;MAX($P$34*($B237+$I$38-1),IF(AND($L$37=0,$P$34=0),"",$L$37-1)),0,YEARFRAC(MAX($P$34*($B237+$I$38-1),IF(AND($L$37=0,$P$34=0),"",$L$37-1)),MIN(BH$38,$E237),$P$20))-SUM($BF237:BG237))</f>
        <v>0</v>
      </c>
      <c r="BI237" s="446">
        <f>IF($E237=0,0,IF(MIN(BI$38,$E237)&lt;MAX($P$34*($B237+$I$38-1),IF(AND($L$37=0,$P$34=0),"",$L$37-1)),0,YEARFRAC(MAX($P$34*($B237+$I$38-1),IF(AND($L$37=0,$P$34=0),"",$L$37-1)),MIN(BI$38,$E237),$P$20))-SUM($BF237:BH237))</f>
        <v>0</v>
      </c>
      <c r="BJ237" s="446">
        <f>IF($E237=0,0,IF(MIN(BJ$38,$E237)&lt;MAX($P$34*($B237+$I$38-1),IF(AND($L$37=0,$P$34=0),"",$L$37-1)),0,YEARFRAC(MAX($P$34*($B237+$I$38-1),IF(AND($L$37=0,$P$34=0),"",$L$37-1)),MIN(BJ$38,$E237),$P$20))-SUM($BF237:BI237))</f>
        <v>0</v>
      </c>
      <c r="BK237" s="446">
        <f>IF($E237=0,0,IF(MIN(BK$38,$E237)&lt;MAX($P$34*($B237+$I$38-1),IF(AND($L$37=0,$P$34=0),"",$L$37-1)),0,YEARFRAC(MAX($P$34*($B237+$I$38-1),IF(AND($L$37=0,$P$34=0),"",$L$37-1)),MIN(BK$38,$E237),$P$20))-SUM($BF237:BJ237))</f>
        <v>0</v>
      </c>
      <c r="BL237" s="446">
        <f>IF($E237=0,0,IF(MIN(BL$38,$E237)&lt;MAX($P$34*($B237+$I$38-1),IF(AND($L$37=0,$P$34=0),"",$L$37-1)),0,YEARFRAC(MAX($P$34*($B237+$I$38-1),IF(AND($L$37=0,$P$34=0),"",$L$37-1)),MIN(BL$38,$E237),$P$20))-SUM($BF237:BK237))</f>
        <v>0</v>
      </c>
      <c r="BM237" s="446">
        <f>IF($E237=0,0,IF(MIN(BM$38,$E237)&lt;MAX($P$34*($B237+$I$38-1),IF(AND($L$37=0,$P$34=0),"",$L$37-1)),0,YEARFRAC(MAX($P$34*($B237+$I$38-1),IF(AND($L$37=0,$P$34=0),"",$L$37-1)),MIN(BM$38,$E237),$P$20))-SUM($BF237:BL237))</f>
        <v>0</v>
      </c>
      <c r="BN237" s="446">
        <f>IF($E237=0,0,IF(MIN(BN$38,$E237)&lt;MAX($P$34*($B237+$I$38-1),IF(AND($L$37=0,$P$34=0),"",$L$37-1)),0,YEARFRAC(MAX($P$34*($B237+$I$38-1),IF(AND($L$37=0,$P$34=0),"",$L$37-1)),MIN(BN$38,$E237),$P$20))-SUM($BF237:BM237))</f>
        <v>0</v>
      </c>
      <c r="BO237" s="446">
        <f>IF($E237=0,0,IF(MIN(BO$38,$E237)&lt;MAX($P$34*($B237+$I$38-1),IF(AND($L$37=0,$P$34=0),"",$L$37-1)),0,YEARFRAC(MAX($P$34*($B237+$I$38-1),IF(AND($L$37=0,$P$34=0),"",$L$37-1)),MIN(BO$38,$E237),$P$20))-SUM($BF237:BN237))</f>
        <v>0</v>
      </c>
      <c r="BP237" s="446">
        <f>IF($E237=0,0,IF(MIN(BP$38,$E237)&lt;MAX($P$34*($B237+$I$38-1),IF(AND($L$37=0,$P$34=0),"",$L$37-1)),0,YEARFRAC(MAX($P$34*($B237+$I$38-1),IF(AND($L$37=0,$P$34=0),"",$L$37-1)),MIN(BP$38,$E237),$P$20))-SUM($BF237:BO237))</f>
        <v>0</v>
      </c>
      <c r="BQ237" s="446">
        <f>IF($E237=0,0,IF(MIN(BQ$38,$E237)&lt;MAX($P$34*($B237+$I$38-1),IF(AND($L$37=0,$P$34=0),"",$L$37-1)),0,YEARFRAC(MAX($P$34*($B237+$I$38-1),IF(AND($L$37=0,$P$34=0),"",$L$37-1)),MIN(BQ$38,$E237),$P$20))-SUM($BF237:BP237))</f>
        <v>0</v>
      </c>
      <c r="BR237" s="446">
        <f>IF($E237=0,0,IF(MIN(BR$38,$E237)&lt;MAX($P$34*($B237+$I$38-1),IF(AND($L$37=0,$P$34=0),"",$L$37-1)),0,YEARFRAC(MAX($P$34*($B237+$I$38-1),IF(AND($L$37=0,$P$34=0),"",$L$37-1)),MIN(BR$38,$E237),$P$20))-SUM($BF237:BQ237))</f>
        <v>0</v>
      </c>
      <c r="BS237" s="446">
        <f>IF($E237=0,0,IF(MIN(BS$38,$E237)&lt;MAX($P$34*($B237+$I$38-1),IF(AND($L$37=0,$P$34=0),"",$L$37-1)),0,YEARFRAC(MAX($P$34*($B237+$I$38-1),IF(AND($L$37=0,$P$34=0),"",$L$37-1)),MIN(BS$38,$E237),$P$20))-SUM($BF237:BR237))</f>
        <v>0</v>
      </c>
      <c r="BT237" s="446">
        <f>IF($E237=0,0,IF(MIN(BT$38,$E237)&lt;MAX($P$34*($B237+$I$38-1),IF(AND($L$37=0,$P$34=0),"",$L$37-1)),0,YEARFRAC(MAX($P$34*($B237+$I$38-1),IF(AND($L$37=0,$P$34=0),"",$L$37-1)),MIN(BT$38,$E237),$P$20))-SUM($BF237:BS237))</f>
        <v>0</v>
      </c>
      <c r="BU237" s="446">
        <f>IF($E237=0,0,IF(MIN(BU$38,$E237)&lt;MAX($P$34*($B237+$I$38-1),IF(AND($L$37=0,$P$34=0),"",$L$37-1)),0,YEARFRAC(MAX($P$34*($B237+$I$38-1),IF(AND($L$37=0,$P$34=0),"",$L$37-1)),MIN(BU$38,$E237),$P$20))-SUM($BF237:BT237))</f>
        <v>0</v>
      </c>
      <c r="BV237" s="446">
        <f>IF($E237=0,0,IF(MIN(BV$38,$E237)&lt;MAX($P$34*($B237+$I$38-1),IF(AND($L$37=0,$P$34=0),"",$L$37-1)),0,YEARFRAC(MAX($P$34*($B237+$I$38-1),IF(AND($L$37=0,$P$34=0),"",$L$37-1)),MIN(BV$38,$E237),$P$20))-SUM($BF237:BU237))</f>
        <v>0</v>
      </c>
      <c r="BW237" s="446">
        <f>IF($E237=0,0,IF(MIN(BW$38,$E237)&lt;MAX($P$34*($B237+$I$38-1),IF(AND($L$37=0,$P$34=0),"",$L$37-1)),0,YEARFRAC(MAX($P$34*($B237+$I$38-1),IF(AND($L$37=0,$P$34=0),"",$L$37-1)),MIN(BW$38,$E237),$P$20))-SUM($BF237:BV237))</f>
        <v>0</v>
      </c>
      <c r="BX237" s="446">
        <f>IF($E237=0,0,IF(MIN(BX$38,$E237)&lt;MAX($P$34*($B237+$I$38-1),IF(AND($L$37=0,$P$34=0),"",$L$37-1)),0,YEARFRAC(MAX($P$34*($B237+$I$38-1),IF(AND($L$37=0,$P$34=0),"",$L$37-1)),MIN(BX$38,$E237),$P$20))-SUM($BF237:BW237))</f>
        <v>0</v>
      </c>
      <c r="BY237" s="446">
        <f>IF($E237=0,0,IF(MIN(BY$38,$E237)&lt;MAX($P$34*($B237+$I$38-1),IF(AND($L$37=0,$P$34=0),"",$L$37-1)),0,YEARFRAC(MAX($P$34*($B237+$I$38-1),IF(AND($L$37=0,$P$34=0),"",$L$37-1)),MIN(BY$38,$E237),$P$20))-SUM($BF237:BX237))</f>
        <v>0</v>
      </c>
      <c r="BZ237" s="446">
        <f>IF($E237=0,0,IF(MIN(BZ$38,$E237)&lt;MAX($P$34*($B237+$I$38-1),IF(AND($L$37=0,$P$34=0),"",$L$37-1)),0,YEARFRAC(MAX($P$34*($B237+$I$38-1),IF(AND($L$37=0,$P$34=0),"",$L$37-1)),MIN(BZ$38,$E237),$P$20))-SUM($BF237:BY237))</f>
        <v>0</v>
      </c>
      <c r="CA237" s="446">
        <f>IF($E237=0,0,IF(MIN(CA$38,$E237)&lt;MAX($P$34*($B237+$I$38-1),IF(AND($L$37=0,$P$34=0),"",$L$37-1)),0,YEARFRAC(MAX($P$34*($B237+$I$38-1),IF(AND($L$37=0,$P$34=0),"",$L$37-1)),MIN(CA$38,$E237),$P$20))-SUM($BF237:BZ237))</f>
        <v>0</v>
      </c>
      <c r="CB237" s="446">
        <f>IF($E237=0,0,IF(MIN(CB$38,$E237)&lt;MAX($P$34*($B237+$I$38-1),IF(AND($L$37=0,$P$34=0),"",$L$37-1)),0,YEARFRAC(MAX($P$34*($B237+$I$38-1),IF(AND($L$37=0,$P$34=0),"",$L$37-1)),MIN(CB$38,$E237),$P$20))-SUM($BF237:CA237))</f>
        <v>0</v>
      </c>
      <c r="CC237" s="446">
        <f>IF($E237=0,0,IF(MIN(CC$38,$E237)&lt;MAX($P$34*($B237+$I$38-1),IF(AND($L$37=0,$P$34=0),"",$L$37-1)),0,YEARFRAC(MAX($P$34*($B237+$I$38-1),IF(AND($L$37=0,$P$34=0),"",$L$37-1)),MIN(CC$38,$E237),$P$20))-SUM($BF237:CB237))</f>
        <v>0</v>
      </c>
      <c r="CD237" s="446">
        <f>IF($E237=0,0,IF(MIN(CD$38,$E237)&lt;MAX($P$34*($B237+$I$38-1),IF(AND($L$37=0,$P$34=0),"",$L$37-1)),0,YEARFRAC(MAX($P$34*($B237+$I$38-1),IF(AND($L$37=0,$P$34=0),"",$L$37-1)),MIN(CD$38,$E237),$P$20))-SUM($BF237:CC237))</f>
        <v>0</v>
      </c>
      <c r="CE237" s="446">
        <f>IF($E237=0,0,IF(MIN(CE$38,$E237)&lt;MAX($P$34*($B237+$I$38-1),IF(AND($L$37=0,$P$34=0),"",$L$37-1)),0,YEARFRAC(MAX($P$34*($B237+$I$38-1),IF(AND($L$37=0,$P$34=0),"",$L$37-1)),MIN(CE$38,$E237),$P$20))-SUM($BF237:CD237))</f>
        <v>0</v>
      </c>
      <c r="CF237" s="446">
        <f>IF($E237=0,0,IF(MIN(CF$38,$E237)&lt;MAX($P$34*($B237+$I$38-1),IF(AND($L$37=0,$P$34=0),"",$L$37-1)),0,YEARFRAC(MAX($P$34*($B237+$I$38-1),IF(AND($L$37=0,$P$34=0),"",$L$37-1)),MIN(CF$38,$E237),$P$20))-SUM($BF237:CE237))</f>
        <v>0</v>
      </c>
      <c r="CG237" s="446">
        <f>IF($E237=0,0,IF(MIN(CG$38,$E237)&lt;MAX($P$34*($B237+$I$38-1),IF(AND($L$37=0,$P$34=0),"",$L$37-1)),0,YEARFRAC(MAX($P$34*($B237+$I$38-1),IF(AND($L$37=0,$P$34=0),"",$L$37-1)),MIN(CG$38,$E237),$P$20))-SUM($BF237:CF237))</f>
        <v>0</v>
      </c>
      <c r="CH237" s="446">
        <f>IF($E237=0,0,IF(MIN(CH$38,$E237)&lt;MAX($P$34*($B237+$I$38-1),IF(AND($L$37=0,$P$34=0),"",$L$37-1)),0,YEARFRAC(MAX($P$34*($B237+$I$38-1),IF(AND($L$37=0,$P$34=0),"",$L$37-1)),MIN(CH$38,$E237),$P$20))-SUM($BF237:CG237))</f>
        <v>0</v>
      </c>
      <c r="CI237" s="446">
        <f>IF($E237=0,0,IF(MIN(CI$38,$E237)&lt;MAX($P$34*($B237+$I$38-1),IF(AND($L$37=0,$P$34=0),"",$L$37-1)),0,YEARFRAC(MAX($P$34*($B237+$I$38-1),IF(AND($L$37=0,$P$34=0),"",$L$37-1)),MIN(CI$38,$E237),$P$20))-SUM($BF237:CH237))</f>
        <v>0</v>
      </c>
      <c r="CJ237" s="446">
        <f>IF($E237=0,0,IF(MIN(CJ$38,$E237)&lt;MAX($P$34*($B237+$I$38-1),IF(AND($L$37=0,$P$34=0),"",$L$37-1)),0,YEARFRAC(MAX($P$34*($B237+$I$38-1),IF(AND($L$37=0,$P$34=0),"",$L$37-1)),MIN(CJ$38,$E237),$P$20))-SUM($BF237:CI237))</f>
        <v>0</v>
      </c>
      <c r="CK237" s="446">
        <f>IF($E237=0,0,IF(MIN(CK$38,$E237)&lt;MAX($P$34*($B237+$I$38-1),IF(AND($L$37=0,$P$34=0),"",$L$37-1)),0,YEARFRAC(MAX($P$34*($B237+$I$38-1),IF(AND($L$37=0,$P$34=0),"",$L$37-1)),MIN(CK$38,$E237),$P$20))-SUM($BF237:CJ237))</f>
        <v>0</v>
      </c>
      <c r="CL237" s="446">
        <f>IF($E237=0,0,IF(MIN(CL$38,$E237)&lt;MAX($P$34*($B237+$I$38-1),IF(AND($L$37=0,$P$34=0),"",$L$37-1)),0,YEARFRAC(MAX($P$34*($B237+$I$38-1),IF(AND($L$37=0,$P$34=0),"",$L$37-1)),MIN(CL$38,$E237),$P$20))-SUM($BF237:CK237))</f>
        <v>0</v>
      </c>
      <c r="CM237" s="446">
        <f>IF($E237=0,0,IF(MIN(CM$38,$E237)&lt;MAX($P$34*($B237+$I$38-1),IF(AND($L$37=0,$P$34=0),"",$L$37-1)),0,YEARFRAC(MAX($P$34*($B237+$I$38-1),IF(AND($L$37=0,$P$34=0),"",$L$37-1)),MIN(CM$38,$E237),$P$20))-SUM($BF237:CL237))</f>
        <v>0</v>
      </c>
      <c r="CN237" s="446">
        <f>IF($E237=0,0,IF(MIN(CN$38,$E237)&lt;MAX($P$34*($B237+$I$38-1),IF(AND($L$37=0,$P$34=0),"",$L$37-1)),0,YEARFRAC(MAX($P$34*($B237+$I$38-1),IF(AND($L$37=0,$P$34=0),"",$L$37-1)),MIN(CN$38,$E237),$P$20))-SUM($BF237:CM237))</f>
        <v>0</v>
      </c>
      <c r="CO237" s="446">
        <f>IF($E237=0,0,IF(MIN(CO$38,$E237)&lt;MAX($P$34*($B237+$I$38-1),IF(AND($L$37=0,$P$34=0),"",$L$37-1)),0,YEARFRAC(MAX($P$34*($B237+$I$38-1),IF(AND($L$37=0,$P$34=0),"",$L$37-1)),MIN(CO$38,$E237),$P$20))-SUM($BF237:CN237))</f>
        <v>0</v>
      </c>
      <c r="CP237" s="446">
        <f>IF($E237=0,0,IF(MIN(CP$38,$E237)&lt;MAX($P$34*($B237+$I$38-1),IF(AND($L$37=0,$P$34=0),"",$L$37-1)),0,YEARFRAC(MAX($P$34*($B237+$I$38-1),IF(AND($L$37=0,$P$34=0),"",$L$37-1)),MIN(CP$38,$E237),$P$20))-SUM($BF237:CO237))</f>
        <v>0</v>
      </c>
      <c r="CQ237" s="446">
        <f>IF($E237=0,0,IF(MIN(CQ$38,$E237)&lt;MAX($P$34*($B237+$I$38-1),IF(AND($L$37=0,$P$34=0),"",$L$37-1)),0,YEARFRAC(MAX($P$34*($B237+$I$38-1),IF(AND($L$37=0,$P$34=0),"",$L$37-1)),MIN(CQ$38,$E237),$P$20))-SUM($BF237:CP237))</f>
        <v>0</v>
      </c>
    </row>
    <row r="238" spans="1:95" s="446" customFormat="1" ht="11.25" hidden="1" customHeight="1" x14ac:dyDescent="0.2">
      <c r="A238" s="152"/>
      <c r="B238" s="153" t="str">
        <f t="shared" si="48"/>
        <v/>
      </c>
      <c r="C238" s="29" t="str">
        <f>IF(B238="","",IF($L$35="SELIC - TRIBUTOS",VLOOKUP(DATE(YEAR($D$19),MONTH($D$19)-1,1),ÍNDICES!$A:$DE,HLOOKUP($BL$25,ÍNDICES!$B$3:$T$4,2)+11)-VLOOKUP(B238,ÍNDICES!$A:$DE,HLOOKUP($BL$25,ÍNDICES!$B$3:$T$4,2)+11)+1%,IF(C$38=$W$26,$J$35,IF(ISERROR(IF(B238&gt;$D$19,1,VLOOKUP(DATE(YEAR(B238),MONTH(B238)+IF($C$35=$S$23,1,0),1),ÍNDICES!$A:$DE,$Z$35+1))),"",IF(B238&gt;$D$19,1,VLOOKUP(DATE(YEAR(B238),MONTH(B238)+IF($C$35=$S$23,1,0),1),ÍNDICES!$A:$DE,$Z$35+1))))))</f>
        <v/>
      </c>
      <c r="D238" s="154" t="str">
        <f>IF(ISERROR(IF(OR($D$38=$Y$27,$B238=""),"",VLOOKUP(B238,ÍNDICES!A:DE,AF$35+1))),"",IF(OR($D$38=$Y$27,$B238=""),"",VLOOKUP(B238,ÍNDICES!A:DE,AF$35+1)))</f>
        <v/>
      </c>
      <c r="E238" s="153"/>
      <c r="F238" s="29" t="str">
        <f>IF(E238="","",IF($L$35="SELIC - TRIBUTOS",VLOOKUP(DATE(YEAR($D$19),MONTH($D$19)-1,1),ÍNDICES!$A:$DE,HLOOKUP($BL$25,ÍNDICES!$B$3:$T$4,2)+11)-VLOOKUP(E238,ÍNDICES!$A:$DE,HLOOKUP($BL$25,ÍNDICES!$B$3:$T$4,2)+11)+1%,IF(F$38=$W$26,$J$35,IF(ISERROR(IF(E238&gt;$D$19,1,VLOOKUP(DATE(YEAR(E238),MONTH(E238)+IF($C$35=$S$23,1,0),1),ÍNDICES!$A:$DE,$Z$35+1))),"",IF(E238&gt;$D$19,1,VLOOKUP(DATE(YEAR(E238),MONTH(E238)+IF($C$35=$S$23,1,0),1),ÍNDICES!$A:$DE,$Z$35+1))))))</f>
        <v/>
      </c>
      <c r="G238" s="155"/>
      <c r="H238" s="156" t="str">
        <f t="shared" si="44"/>
        <v/>
      </c>
      <c r="I238" s="29" t="str">
        <f t="shared" si="38"/>
        <v/>
      </c>
      <c r="J238" s="5">
        <f t="shared" si="39"/>
        <v>0</v>
      </c>
      <c r="K238" s="20">
        <f t="shared" ca="1" si="40"/>
        <v>0</v>
      </c>
      <c r="L238" s="5">
        <f t="shared" ca="1" si="41"/>
        <v>0</v>
      </c>
      <c r="M238" s="64">
        <f t="shared" si="45"/>
        <v>0</v>
      </c>
      <c r="N238" s="61">
        <f t="shared" ca="1" si="46"/>
        <v>0</v>
      </c>
      <c r="O238" s="5">
        <f t="shared" ca="1" si="47"/>
        <v>0</v>
      </c>
      <c r="P238" s="446" t="e">
        <f t="shared" si="42"/>
        <v>#VALUE!</v>
      </c>
      <c r="Q238" s="446" t="e">
        <f>IF(OR($B238="",MIN(Q$38,$D$19)&lt;MAX($P$34*($B238+IF($R$17="Distrato",$I$38-1,0)),IF(AND($L$37=0,$P$34=0),"",$L$37-1),IF($R$17="Distrato",$E238,0))),0,YEARFRAC(MAX($P$34*($B238+IF($R$17="Distrato",$I$38-1,0)),IF(AND($L$37=0,$P$34=0),"",$L$37-1),IF($R$17="Distrato",$E238,0)),MIN(Q$38,$D$19),$P$20))-SUM($P238:P238)</f>
        <v>#VALUE!</v>
      </c>
      <c r="R238" s="446" t="e">
        <f>IF(OR($B238="",MIN(R$38,$D$19)&lt;MAX($P$34*($B238+IF($R$17="Distrato",$I$38-1,0)),IF(AND($L$37=0,$P$34=0),"",$L$37-1),IF($R$17="Distrato",$E238,0))),0,YEARFRAC(MAX($P$34*($B238+IF($R$17="Distrato",$I$38-1,0)),IF(AND($L$37=0,$P$34=0),"",$L$37-1),IF($R$17="Distrato",$E238,0)),MIN(R$38,$D$19),$P$20))-SUM($P238:Q238)</f>
        <v>#VALUE!</v>
      </c>
      <c r="S238" s="446" t="e">
        <f>IF(OR($B238="",MIN(S$38,$D$19)&lt;MAX($P$34*($B238+IF($R$17="Distrato",$I$38-1,0)),IF(AND($L$37=0,$P$34=0),"",$L$37-1),IF($R$17="Distrato",$E238,0))),0,YEARFRAC(MAX($P$34*($B238+IF($R$17="Distrato",$I$38-1,0)),IF(AND($L$37=0,$P$34=0),"",$L$37-1),IF($R$17="Distrato",$E238,0)),MIN(S$38,$D$19),$P$20))-SUM($P238:R238)</f>
        <v>#VALUE!</v>
      </c>
      <c r="T238" s="446" t="e">
        <f>IF(OR($B238="",MIN(T$38,$D$19)&lt;MAX($P$34*($B238+IF($R$17="Distrato",$I$38-1,0)),IF(AND($L$37=0,$P$34=0),"",$L$37-1),IF($R$17="Distrato",$E238,0))),0,YEARFRAC(MAX($P$34*($B238+IF($R$17="Distrato",$I$38-1,0)),IF(AND($L$37=0,$P$34=0),"",$L$37-1),IF($R$17="Distrato",$E238,0)),MIN(T$38,$D$19),$P$20))-SUM($P238:S238)</f>
        <v>#VALUE!</v>
      </c>
      <c r="U238" s="446" t="e">
        <f>IF(OR($B238="",MIN(U$38,$D$19)&lt;MAX($P$34*($B238+IF($R$17="Distrato",$I$38-1,0)),IF(AND($L$37=0,$P$34=0),"",$L$37-1),IF($R$17="Distrato",$E238,0))),0,YEARFRAC(MAX($P$34*($B238+IF($R$17="Distrato",$I$38-1,0)),IF(AND($L$37=0,$P$34=0),"",$L$37-1),IF($R$17="Distrato",$E238,0)),MIN(U$38,$D$19),$P$20))-SUM($P238:T238)</f>
        <v>#VALUE!</v>
      </c>
      <c r="V238" s="446" t="e">
        <f>IF(OR($B238="",MIN(V$38,$D$19)&lt;MAX($P$34*($B238+IF($R$17="Distrato",$I$38-1,0)),IF(AND($L$37=0,$P$34=0),"",$L$37-1),IF($R$17="Distrato",$E238,0))),0,YEARFRAC(MAX($P$34*($B238+IF($R$17="Distrato",$I$38-1,0)),IF(AND($L$37=0,$P$34=0),"",$L$37-1),IF($R$17="Distrato",$E238,0)),MIN(V$38,$D$19),$P$20))-SUM($P238:U238)</f>
        <v>#VALUE!</v>
      </c>
      <c r="W238" s="446" t="e">
        <f>IF(OR($B238="",MIN(W$38,$D$19)&lt;MAX($P$34*($B238+IF($R$17="Distrato",$I$38-1,0)),IF(AND($L$37=0,$P$34=0),"",$L$37-1),IF($R$17="Distrato",$E238,0))),0,YEARFRAC(MAX($P$34*($B238+IF($R$17="Distrato",$I$38-1,0)),IF(AND($L$37=0,$P$34=0),"",$L$37-1),IF($R$17="Distrato",$E238,0)),MIN(W$38,$D$19),$P$20))-SUM($P238:V238)</f>
        <v>#VALUE!</v>
      </c>
      <c r="X238" s="446" t="e">
        <f>IF(OR($B238="",MIN(X$38,$D$19)&lt;MAX($P$34*($B238+IF($R$17="Distrato",$I$38-1,0)),IF(AND($L$37=0,$P$34=0),"",$L$37-1),IF($R$17="Distrato",$E238,0))),0,YEARFRAC(MAX($P$34*($B238+IF($R$17="Distrato",$I$38-1,0)),IF(AND($L$37=0,$P$34=0),"",$L$37-1),IF($R$17="Distrato",$E238,0)),MIN(X$38,$D$19),$P$20))-SUM($P238:W238)</f>
        <v>#VALUE!</v>
      </c>
      <c r="Y238" s="446" t="e">
        <f>IF(OR($B238="",MIN(Y$38,$D$19)&lt;MAX($P$34*($B238+IF($R$17="Distrato",$I$38-1,0)),IF(AND($L$37=0,$P$34=0),"",$L$37-1),IF($R$17="Distrato",$E238,0))),0,YEARFRAC(MAX($P$34*($B238+IF($R$17="Distrato",$I$38-1,0)),IF(AND($L$37=0,$P$34=0),"",$L$37-1),IF($R$17="Distrato",$E238,0)),MIN(Y$38,$D$19),$P$20))-SUM($P238:X238)</f>
        <v>#VALUE!</v>
      </c>
      <c r="Z238" s="446" t="e">
        <f>IF(OR($B238="",MIN(Z$38,$D$19)&lt;MAX($P$34*($B238+IF($R$17="Distrato",$I$38-1,0)),IF(AND($L$37=0,$P$34=0),"",$L$37-1),IF($R$17="Distrato",$E238,0))),0,YEARFRAC(MAX($P$34*($B238+IF($R$17="Distrato",$I$38-1,0)),IF(AND($L$37=0,$P$34=0),"",$L$37-1),IF($R$17="Distrato",$E238,0)),MIN(Z$38,$D$19),$P$20))-SUM($P238:Y238)</f>
        <v>#VALUE!</v>
      </c>
      <c r="AA238" s="446" t="e">
        <f>IF(OR($B238="",MIN(AA$38,$D$19)&lt;MAX($P$34*($B238+IF($R$17="Distrato",$I$38-1,0)),IF(AND($L$37=0,$P$34=0),"",$L$37-1),IF($R$17="Distrato",$E238,0))),0,YEARFRAC(MAX($P$34*($B238+IF($R$17="Distrato",$I$38-1,0)),IF(AND($L$37=0,$P$34=0),"",$L$37-1),IF($R$17="Distrato",$E238,0)),MIN(AA$38,$D$19),$P$20))-SUM($P238:Z238)</f>
        <v>#VALUE!</v>
      </c>
      <c r="AB238" s="446" t="e">
        <f>IF(OR($B238="",MIN(AB$38,$D$19)&lt;MAX($P$34*($B238+IF($R$17="Distrato",$I$38-1,0)),IF(AND($L$37=0,$P$34=0),"",$L$37-1),IF($R$17="Distrato",$E238,0))),0,YEARFRAC(MAX($P$34*($B238+IF($R$17="Distrato",$I$38-1,0)),IF(AND($L$37=0,$P$34=0),"",$L$37-1),IF($R$17="Distrato",$E238,0)),MIN(AB$38,$D$19),$P$20))-SUM($P238:AA238)</f>
        <v>#VALUE!</v>
      </c>
      <c r="AC238" s="446" t="e">
        <f>IF(OR($B238="",MIN(AC$38,$D$19)&lt;MAX($P$34*($B238+IF($R$17="Distrato",$I$38-1,0)),IF(AND($L$37=0,$P$34=0),"",$L$37-1),IF($R$17="Distrato",$E238,0))),0,YEARFRAC(MAX($P$34*($B238+IF($R$17="Distrato",$I$38-1,0)),IF(AND($L$37=0,$P$34=0),"",$L$37-1),IF($R$17="Distrato",$E238,0)),MIN(AC$38,$D$19),$P$20))-SUM($P238:AB238)</f>
        <v>#VALUE!</v>
      </c>
      <c r="AD238" s="446" t="e">
        <f>IF(OR($B238="",MIN(AD$38,$D$19)&lt;MAX($P$34*($B238+IF($R$17="Distrato",$I$38-1,0)),IF(AND($L$37=0,$P$34=0),"",$L$37-1),IF($R$17="Distrato",$E238,0))),0,YEARFRAC(MAX($P$34*($B238+IF($R$17="Distrato",$I$38-1,0)),IF(AND($L$37=0,$P$34=0),"",$L$37-1),IF($R$17="Distrato",$E238,0)),MIN(AD$38,$D$19),$P$20))-SUM($P238:AC238)</f>
        <v>#VALUE!</v>
      </c>
      <c r="AE238" s="446" t="e">
        <f>IF(OR($B238="",MIN(AE$38,$D$19)&lt;MAX($P$34*($B238+IF($R$17="Distrato",$I$38-1,0)),IF(AND($L$37=0,$P$34=0),"",$L$37-1),IF($R$17="Distrato",$E238,0))),0,YEARFRAC(MAX($P$34*($B238+IF($R$17="Distrato",$I$38-1,0)),IF(AND($L$37=0,$P$34=0),"",$L$37-1),IF($R$17="Distrato",$E238,0)),MIN(AE$38,$D$19),$P$20))-SUM($P238:AD238)</f>
        <v>#VALUE!</v>
      </c>
      <c r="AF238" s="446" t="e">
        <f>IF(OR($B238="",MIN(AF$38,$D$19)&lt;MAX($P$34*($B238+IF($R$17="Distrato",$I$38-1,0)),IF(AND($L$37=0,$P$34=0),"",$L$37-1),IF($R$17="Distrato",$E238,0))),0,YEARFRAC(MAX($P$34*($B238+IF($R$17="Distrato",$I$38-1,0)),IF(AND($L$37=0,$P$34=0),"",$L$37-1),IF($R$17="Distrato",$E238,0)),MIN(AF$38,$D$19),$P$20))-SUM($P238:AE238)</f>
        <v>#VALUE!</v>
      </c>
      <c r="AG238" s="446" t="e">
        <f>IF(OR($B238="",MIN(AG$38,$D$19)&lt;MAX($P$34*($B238+IF($R$17="Distrato",$I$38-1,0)),IF(AND($L$37=0,$P$34=0),"",$L$37-1),IF($R$17="Distrato",$E238,0))),0,YEARFRAC(MAX($P$34*($B238+IF($R$17="Distrato",$I$38-1,0)),IF(AND($L$37=0,$P$34=0),"",$L$37-1),IF($R$17="Distrato",$E238,0)),MIN(AG$38,$D$19),$P$20))-SUM($P238:AF238)</f>
        <v>#VALUE!</v>
      </c>
      <c r="AH238" s="446" t="e">
        <f>IF(OR($B238="",MIN(AH$38,$D$19)&lt;MAX($P$34*($B238+IF($R$17="Distrato",$I$38-1,0)),IF(AND($L$37=0,$P$34=0),"",$L$37-1),IF($R$17="Distrato",$E238,0))),0,YEARFRAC(MAX($P$34*($B238+IF($R$17="Distrato",$I$38-1,0)),IF(AND($L$37=0,$P$34=0),"",$L$37-1),IF($R$17="Distrato",$E238,0)),MIN(AH$38,$D$19),$P$20))-SUM($P238:AG238)</f>
        <v>#VALUE!</v>
      </c>
      <c r="AI238" s="446" t="e">
        <f>IF(OR($B238="",MIN(AI$38,$D$19)&lt;MAX($P$34*($B238+IF($R$17="Distrato",$I$38-1,0)),IF(AND($L$37=0,$P$34=0),"",$L$37-1),IF($R$17="Distrato",$E238,0))),0,YEARFRAC(MAX($P$34*($B238+IF($R$17="Distrato",$I$38-1,0)),IF(AND($L$37=0,$P$34=0),"",$L$37-1),IF($R$17="Distrato",$E238,0)),MIN(AI$38,$D$19),$P$20))-SUM($P238:AH238)</f>
        <v>#VALUE!</v>
      </c>
      <c r="AJ238" s="446" t="e">
        <f>IF(OR($B238="",MIN(AJ$38,$D$19)&lt;MAX($P$34*($B238+IF($R$17="Distrato",$I$38-1,0)),IF(AND($L$37=0,$P$34=0),"",$L$37-1),IF($R$17="Distrato",$E238,0))),0,YEARFRAC(MAX($P$34*($B238+IF($R$17="Distrato",$I$38-1,0)),IF(AND($L$37=0,$P$34=0),"",$L$37-1),IF($R$17="Distrato",$E238,0)),MIN(AJ$38,$D$19),$P$20))-SUM($P238:AI238)</f>
        <v>#VALUE!</v>
      </c>
      <c r="AK238" s="446" t="e">
        <f>IF(OR($B238="",MIN(AK$38,$D$19)&lt;MAX($P$34*($B238+IF($R$17="Distrato",$I$38-1,0)),IF(AND($L$37=0,$P$34=0),"",$L$37-1),IF($R$17="Distrato",$E238,0))),0,YEARFRAC(MAX($P$34*($B238+IF($R$17="Distrato",$I$38-1,0)),IF(AND($L$37=0,$P$34=0),"",$L$37-1),IF($R$17="Distrato",$E238,0)),MIN(AK$38,$D$19),$P$20))-SUM($P238:AJ238)</f>
        <v>#VALUE!</v>
      </c>
      <c r="AL238" s="446" t="e">
        <f>IF(OR($B238="",MIN(AL$38,$D$19)&lt;MAX($P$34*($B238+IF($R$17="Distrato",$I$38-1,0)),IF(AND($L$37=0,$P$34=0),"",$L$37-1),IF($R$17="Distrato",$E238,0))),0,YEARFRAC(MAX($P$34*($B238+IF($R$17="Distrato",$I$38-1,0)),IF(AND($L$37=0,$P$34=0),"",$L$37-1),IF($R$17="Distrato",$E238,0)),MIN(AL$38,$D$19),$P$20))-SUM($P238:AK238)</f>
        <v>#VALUE!</v>
      </c>
      <c r="AM238" s="446" t="e">
        <f>IF(OR($B238="",MIN(AM$38,$D$19)&lt;MAX($P$34*($B238+IF($R$17="Distrato",$I$38-1,0)),IF(AND($L$37=0,$P$34=0),"",$L$37-1),IF($R$17="Distrato",$E238,0))),0,YEARFRAC(MAX($P$34*($B238+IF($R$17="Distrato",$I$38-1,0)),IF(AND($L$37=0,$P$34=0),"",$L$37-1),IF($R$17="Distrato",$E238,0)),MIN(AM$38,$D$19),$P$20))-SUM($P238:AL238)</f>
        <v>#VALUE!</v>
      </c>
      <c r="AN238" s="446" t="e">
        <f>IF(OR($B238="",MIN(AN$38,$D$19)&lt;MAX($P$34*($B238+IF($R$17="Distrato",$I$38-1,0)),IF(AND($L$37=0,$P$34=0),"",$L$37-1),IF($R$17="Distrato",$E238,0))),0,YEARFRAC(MAX($P$34*($B238+IF($R$17="Distrato",$I$38-1,0)),IF(AND($L$37=0,$P$34=0),"",$L$37-1),IF($R$17="Distrato",$E238,0)),MIN(AN$38,$D$19),$P$20))-SUM($P238:AM238)</f>
        <v>#VALUE!</v>
      </c>
      <c r="AO238" s="446" t="e">
        <f>IF(OR($B238="",MIN(AO$38,$D$19)&lt;MAX($P$34*($B238+IF($R$17="Distrato",$I$38-1,0)),IF(AND($L$37=0,$P$34=0),"",$L$37-1),IF($R$17="Distrato",$E238,0))),0,YEARFRAC(MAX($P$34*($B238+IF($R$17="Distrato",$I$38-1,0)),IF(AND($L$37=0,$P$34=0),"",$L$37-1),IF($R$17="Distrato",$E238,0)),MIN(AO$38,$D$19),$P$20))-SUM($P238:AN238)</f>
        <v>#VALUE!</v>
      </c>
      <c r="AP238" s="446" t="e">
        <f>IF(OR($B238="",MIN(AP$38,$D$19)&lt;MAX($P$34*($B238+IF($R$17="Distrato",$I$38-1,0)),IF(AND($L$37=0,$P$34=0),"",$L$37-1),IF($R$17="Distrato",$E238,0))),0,YEARFRAC(MAX($P$34*($B238+IF($R$17="Distrato",$I$38-1,0)),IF(AND($L$37=0,$P$34=0),"",$L$37-1),IF($R$17="Distrato",$E238,0)),MIN(AP$38,$D$19),$P$20))-SUM($P238:AO238)</f>
        <v>#VALUE!</v>
      </c>
      <c r="AQ238" s="446" t="e">
        <f>IF(OR($B238="",MIN(AQ$38,$D$19)&lt;MAX($P$34*($B238+IF($R$17="Distrato",$I$38-1,0)),IF(AND($L$37=0,$P$34=0),"",$L$37-1),IF($R$17="Distrato",$E238,0))),0,YEARFRAC(MAX($P$34*($B238+IF($R$17="Distrato",$I$38-1,0)),IF(AND($L$37=0,$P$34=0),"",$L$37-1),IF($R$17="Distrato",$E238,0)),MIN(AQ$38,$D$19),$P$20))-SUM($P238:AP238)</f>
        <v>#VALUE!</v>
      </c>
      <c r="AR238" s="446" t="e">
        <f>IF(OR($B238="",MIN(AR$38,$D$19)&lt;MAX($P$34*($B238+IF($R$17="Distrato",$I$38-1,0)),IF(AND($L$37=0,$P$34=0),"",$L$37-1),IF($R$17="Distrato",$E238,0))),0,YEARFRAC(MAX($P$34*($B238+IF($R$17="Distrato",$I$38-1,0)),IF(AND($L$37=0,$P$34=0),"",$L$37-1),IF($R$17="Distrato",$E238,0)),MIN(AR$38,$D$19),$P$20))-SUM($P238:AQ238)</f>
        <v>#VALUE!</v>
      </c>
      <c r="AS238" s="446" t="e">
        <f>IF(OR($B238="",MIN(AS$38,$D$19)&lt;MAX($P$34*($B238+IF($R$17="Distrato",$I$38-1,0)),IF(AND($L$37=0,$P$34=0),"",$L$37-1),IF($R$17="Distrato",$E238,0))),0,YEARFRAC(MAX($P$34*($B238+IF($R$17="Distrato",$I$38-1,0)),IF(AND($L$37=0,$P$34=0),"",$L$37-1),IF($R$17="Distrato",$E238,0)),MIN(AS$38,$D$19),$P$20))-SUM($P238:AR238)</f>
        <v>#VALUE!</v>
      </c>
      <c r="AT238" s="446" t="e">
        <f>IF(OR($B238="",MIN(AT$38,$D$19)&lt;MAX($P$34*($B238+IF($R$17="Distrato",$I$38-1,0)),IF(AND($L$37=0,$P$34=0),"",$L$37-1),IF($R$17="Distrato",$E238,0))),0,YEARFRAC(MAX($P$34*($B238+IF($R$17="Distrato",$I$38-1,0)),IF(AND($L$37=0,$P$34=0),"",$L$37-1),IF($R$17="Distrato",$E238,0)),MIN(AT$38,$D$19),$P$20))-SUM($P238:AS238)</f>
        <v>#VALUE!</v>
      </c>
      <c r="AU238" s="446" t="e">
        <f>IF(OR($B238="",MIN(AU$38,$D$19)&lt;MAX($P$34*($B238+IF($R$17="Distrato",$I$38-1,0)),IF(AND($L$37=0,$P$34=0),"",$L$37-1),IF($R$17="Distrato",$E238,0))),0,YEARFRAC(MAX($P$34*($B238+IF($R$17="Distrato",$I$38-1,0)),IF(AND($L$37=0,$P$34=0),"",$L$37-1),IF($R$17="Distrato",$E238,0)),MIN(AU$38,$D$19),$P$20))-SUM($P238:AT238)</f>
        <v>#VALUE!</v>
      </c>
      <c r="AV238" s="446" t="e">
        <f>IF(OR($B238="",MIN(AV$38,$D$19)&lt;MAX($P$34*($B238+IF($R$17="Distrato",$I$38-1,0)),IF(AND($L$37=0,$P$34=0),"",$L$37-1),IF($R$17="Distrato",$E238,0))),0,YEARFRAC(MAX($P$34*($B238+IF($R$17="Distrato",$I$38-1,0)),IF(AND($L$37=0,$P$34=0),"",$L$37-1),IF($R$17="Distrato",$E238,0)),MIN(AV$38,$D$19),$P$20))-SUM($P238:AU238)</f>
        <v>#VALUE!</v>
      </c>
      <c r="AW238" s="446" t="e">
        <f>IF(OR($B238="",MIN(AW$38,$D$19)&lt;MAX($P$34*($B238+IF($R$17="Distrato",$I$38-1,0)),IF(AND($L$37=0,$P$34=0),"",$L$37-1),IF($R$17="Distrato",$E238,0))),0,YEARFRAC(MAX($P$34*($B238+IF($R$17="Distrato",$I$38-1,0)),IF(AND($L$37=0,$P$34=0),"",$L$37-1),IF($R$17="Distrato",$E238,0)),MIN(AW$38,$D$19),$P$20))-SUM($P238:AV238)</f>
        <v>#VALUE!</v>
      </c>
      <c r="AX238" s="446" t="e">
        <f>IF(OR($B238="",MIN(AX$38,$D$19)&lt;MAX($P$34*($B238+IF($R$17="Distrato",$I$38-1,0)),IF(AND($L$37=0,$P$34=0),"",$L$37-1),IF($R$17="Distrato",$E238,0))),0,YEARFRAC(MAX($P$34*($B238+IF($R$17="Distrato",$I$38-1,0)),IF(AND($L$37=0,$P$34=0),"",$L$37-1),IF($R$17="Distrato",$E238,0)),MIN(AX$38,$D$19),$P$20))-SUM($P238:AW238)</f>
        <v>#VALUE!</v>
      </c>
      <c r="AY238" s="446" t="e">
        <f>IF(OR($B238="",MIN(AY$38,$D$19)&lt;MAX($P$34*($B238+IF($R$17="Distrato",$I$38-1,0)),IF(AND($L$37=0,$P$34=0),"",$L$37-1),IF($R$17="Distrato",$E238,0))),0,YEARFRAC(MAX($P$34*($B238+IF($R$17="Distrato",$I$38-1,0)),IF(AND($L$37=0,$P$34=0),"",$L$37-1),IF($R$17="Distrato",$E238,0)),MIN(AY$38,$D$19),$P$20))-SUM($P238:AX238)</f>
        <v>#VALUE!</v>
      </c>
      <c r="AZ238" s="446" t="e">
        <f>IF(OR($B238="",MIN(AZ$38,$D$19)&lt;MAX($P$34*($B238+IF($R$17="Distrato",$I$38-1,0)),IF(AND($L$37=0,$P$34=0),"",$L$37-1),IF($R$17="Distrato",$E238,0))),0,YEARFRAC(MAX($P$34*($B238+IF($R$17="Distrato",$I$38-1,0)),IF(AND($L$37=0,$P$34=0),"",$L$37-1),IF($R$17="Distrato",$E238,0)),MIN(AZ$38,$D$19),$P$20))-SUM($P238:AY238)</f>
        <v>#VALUE!</v>
      </c>
      <c r="BA238" s="446" t="e">
        <f>IF(OR($B238="",MIN(BA$38,$D$19)&lt;MAX($P$34*($B238+IF($R$17="Distrato",$I$38-1,0)),IF(AND($L$37=0,$P$34=0),"",$L$37-1),IF($R$17="Distrato",$E238,0))),0,YEARFRAC(MAX($P$34*($B238+IF($R$17="Distrato",$I$38-1,0)),IF(AND($L$37=0,$P$34=0),"",$L$37-1),IF($R$17="Distrato",$E238,0)),MIN(BA$38,$D$19),$P$20))-SUM($P238:AZ238)</f>
        <v>#VALUE!</v>
      </c>
      <c r="BB238" s="447"/>
      <c r="BF238" s="446">
        <f t="shared" si="43"/>
        <v>0</v>
      </c>
      <c r="BG238" s="446">
        <f>IF($E238=0,0,IF(MIN(BG$38,$E238)&lt;MAX($P$34*($B238+$I$38-1),IF(AND($L$37=0,$P$34=0),"",$L$37-1)),0,YEARFRAC(MAX($P$34*($B238+$I$38-1),IF(AND($L$37=0,$P$34=0),"",$L$37-1)),MIN(BG$38,$E238),$P$20))-SUM($BF238:BF238))</f>
        <v>0</v>
      </c>
      <c r="BH238" s="446">
        <f>IF($E238=0,0,IF(MIN(BH$38,$E238)&lt;MAX($P$34*($B238+$I$38-1),IF(AND($L$37=0,$P$34=0),"",$L$37-1)),0,YEARFRAC(MAX($P$34*($B238+$I$38-1),IF(AND($L$37=0,$P$34=0),"",$L$37-1)),MIN(BH$38,$E238),$P$20))-SUM($BF238:BG238))</f>
        <v>0</v>
      </c>
      <c r="BI238" s="446">
        <f>IF($E238=0,0,IF(MIN(BI$38,$E238)&lt;MAX($P$34*($B238+$I$38-1),IF(AND($L$37=0,$P$34=0),"",$L$37-1)),0,YEARFRAC(MAX($P$34*($B238+$I$38-1),IF(AND($L$37=0,$P$34=0),"",$L$37-1)),MIN(BI$38,$E238),$P$20))-SUM($BF238:BH238))</f>
        <v>0</v>
      </c>
      <c r="BJ238" s="446">
        <f>IF($E238=0,0,IF(MIN(BJ$38,$E238)&lt;MAX($P$34*($B238+$I$38-1),IF(AND($L$37=0,$P$34=0),"",$L$37-1)),0,YEARFRAC(MAX($P$34*($B238+$I$38-1),IF(AND($L$37=0,$P$34=0),"",$L$37-1)),MIN(BJ$38,$E238),$P$20))-SUM($BF238:BI238))</f>
        <v>0</v>
      </c>
      <c r="BK238" s="446">
        <f>IF($E238=0,0,IF(MIN(BK$38,$E238)&lt;MAX($P$34*($B238+$I$38-1),IF(AND($L$37=0,$P$34=0),"",$L$37-1)),0,YEARFRAC(MAX($P$34*($B238+$I$38-1),IF(AND($L$37=0,$P$34=0),"",$L$37-1)),MIN(BK$38,$E238),$P$20))-SUM($BF238:BJ238))</f>
        <v>0</v>
      </c>
      <c r="BL238" s="446">
        <f>IF($E238=0,0,IF(MIN(BL$38,$E238)&lt;MAX($P$34*($B238+$I$38-1),IF(AND($L$37=0,$P$34=0),"",$L$37-1)),0,YEARFRAC(MAX($P$34*($B238+$I$38-1),IF(AND($L$37=0,$P$34=0),"",$L$37-1)),MIN(BL$38,$E238),$P$20))-SUM($BF238:BK238))</f>
        <v>0</v>
      </c>
      <c r="BM238" s="446">
        <f>IF($E238=0,0,IF(MIN(BM$38,$E238)&lt;MAX($P$34*($B238+$I$38-1),IF(AND($L$37=0,$P$34=0),"",$L$37-1)),0,YEARFRAC(MAX($P$34*($B238+$I$38-1),IF(AND($L$37=0,$P$34=0),"",$L$37-1)),MIN(BM$38,$E238),$P$20))-SUM($BF238:BL238))</f>
        <v>0</v>
      </c>
      <c r="BN238" s="446">
        <f>IF($E238=0,0,IF(MIN(BN$38,$E238)&lt;MAX($P$34*($B238+$I$38-1),IF(AND($L$37=0,$P$34=0),"",$L$37-1)),0,YEARFRAC(MAX($P$34*($B238+$I$38-1),IF(AND($L$37=0,$P$34=0),"",$L$37-1)),MIN(BN$38,$E238),$P$20))-SUM($BF238:BM238))</f>
        <v>0</v>
      </c>
      <c r="BO238" s="446">
        <f>IF($E238=0,0,IF(MIN(BO$38,$E238)&lt;MAX($P$34*($B238+$I$38-1),IF(AND($L$37=0,$P$34=0),"",$L$37-1)),0,YEARFRAC(MAX($P$34*($B238+$I$38-1),IF(AND($L$37=0,$P$34=0),"",$L$37-1)),MIN(BO$38,$E238),$P$20))-SUM($BF238:BN238))</f>
        <v>0</v>
      </c>
      <c r="BP238" s="446">
        <f>IF($E238=0,0,IF(MIN(BP$38,$E238)&lt;MAX($P$34*($B238+$I$38-1),IF(AND($L$37=0,$P$34=0),"",$L$37-1)),0,YEARFRAC(MAX($P$34*($B238+$I$38-1),IF(AND($L$37=0,$P$34=0),"",$L$37-1)),MIN(BP$38,$E238),$P$20))-SUM($BF238:BO238))</f>
        <v>0</v>
      </c>
      <c r="BQ238" s="446">
        <f>IF($E238=0,0,IF(MIN(BQ$38,$E238)&lt;MAX($P$34*($B238+$I$38-1),IF(AND($L$37=0,$P$34=0),"",$L$37-1)),0,YEARFRAC(MAX($P$34*($B238+$I$38-1),IF(AND($L$37=0,$P$34=0),"",$L$37-1)),MIN(BQ$38,$E238),$P$20))-SUM($BF238:BP238))</f>
        <v>0</v>
      </c>
      <c r="BR238" s="446">
        <f>IF($E238=0,0,IF(MIN(BR$38,$E238)&lt;MAX($P$34*($B238+$I$38-1),IF(AND($L$37=0,$P$34=0),"",$L$37-1)),0,YEARFRAC(MAX($P$34*($B238+$I$38-1),IF(AND($L$37=0,$P$34=0),"",$L$37-1)),MIN(BR$38,$E238),$P$20))-SUM($BF238:BQ238))</f>
        <v>0</v>
      </c>
      <c r="BS238" s="446">
        <f>IF($E238=0,0,IF(MIN(BS$38,$E238)&lt;MAX($P$34*($B238+$I$38-1),IF(AND($L$37=0,$P$34=0),"",$L$37-1)),0,YEARFRAC(MAX($P$34*($B238+$I$38-1),IF(AND($L$37=0,$P$34=0),"",$L$37-1)),MIN(BS$38,$E238),$P$20))-SUM($BF238:BR238))</f>
        <v>0</v>
      </c>
      <c r="BT238" s="446">
        <f>IF($E238=0,0,IF(MIN(BT$38,$E238)&lt;MAX($P$34*($B238+$I$38-1),IF(AND($L$37=0,$P$34=0),"",$L$37-1)),0,YEARFRAC(MAX($P$34*($B238+$I$38-1),IF(AND($L$37=0,$P$34=0),"",$L$37-1)),MIN(BT$38,$E238),$P$20))-SUM($BF238:BS238))</f>
        <v>0</v>
      </c>
      <c r="BU238" s="446">
        <f>IF($E238=0,0,IF(MIN(BU$38,$E238)&lt;MAX($P$34*($B238+$I$38-1),IF(AND($L$37=0,$P$34=0),"",$L$37-1)),0,YEARFRAC(MAX($P$34*($B238+$I$38-1),IF(AND($L$37=0,$P$34=0),"",$L$37-1)),MIN(BU$38,$E238),$P$20))-SUM($BF238:BT238))</f>
        <v>0</v>
      </c>
      <c r="BV238" s="446">
        <f>IF($E238=0,0,IF(MIN(BV$38,$E238)&lt;MAX($P$34*($B238+$I$38-1),IF(AND($L$37=0,$P$34=0),"",$L$37-1)),0,YEARFRAC(MAX($P$34*($B238+$I$38-1),IF(AND($L$37=0,$P$34=0),"",$L$37-1)),MIN(BV$38,$E238),$P$20))-SUM($BF238:BU238))</f>
        <v>0</v>
      </c>
      <c r="BW238" s="446">
        <f>IF($E238=0,0,IF(MIN(BW$38,$E238)&lt;MAX($P$34*($B238+$I$38-1),IF(AND($L$37=0,$P$34=0),"",$L$37-1)),0,YEARFRAC(MAX($P$34*($B238+$I$38-1),IF(AND($L$37=0,$P$34=0),"",$L$37-1)),MIN(BW$38,$E238),$P$20))-SUM($BF238:BV238))</f>
        <v>0</v>
      </c>
      <c r="BX238" s="446">
        <f>IF($E238=0,0,IF(MIN(BX$38,$E238)&lt;MAX($P$34*($B238+$I$38-1),IF(AND($L$37=0,$P$34=0),"",$L$37-1)),0,YEARFRAC(MAX($P$34*($B238+$I$38-1),IF(AND($L$37=0,$P$34=0),"",$L$37-1)),MIN(BX$38,$E238),$P$20))-SUM($BF238:BW238))</f>
        <v>0</v>
      </c>
      <c r="BY238" s="446">
        <f>IF($E238=0,0,IF(MIN(BY$38,$E238)&lt;MAX($P$34*($B238+$I$38-1),IF(AND($L$37=0,$P$34=0),"",$L$37-1)),0,YEARFRAC(MAX($P$34*($B238+$I$38-1),IF(AND($L$37=0,$P$34=0),"",$L$37-1)),MIN(BY$38,$E238),$P$20))-SUM($BF238:BX238))</f>
        <v>0</v>
      </c>
      <c r="BZ238" s="446">
        <f>IF($E238=0,0,IF(MIN(BZ$38,$E238)&lt;MAX($P$34*($B238+$I$38-1),IF(AND($L$37=0,$P$34=0),"",$L$37-1)),0,YEARFRAC(MAX($P$34*($B238+$I$38-1),IF(AND($L$37=0,$P$34=0),"",$L$37-1)),MIN(BZ$38,$E238),$P$20))-SUM($BF238:BY238))</f>
        <v>0</v>
      </c>
      <c r="CA238" s="446">
        <f>IF($E238=0,0,IF(MIN(CA$38,$E238)&lt;MAX($P$34*($B238+$I$38-1),IF(AND($L$37=0,$P$34=0),"",$L$37-1)),0,YEARFRAC(MAX($P$34*($B238+$I$38-1),IF(AND($L$37=0,$P$34=0),"",$L$37-1)),MIN(CA$38,$E238),$P$20))-SUM($BF238:BZ238))</f>
        <v>0</v>
      </c>
      <c r="CB238" s="446">
        <f>IF($E238=0,0,IF(MIN(CB$38,$E238)&lt;MAX($P$34*($B238+$I$38-1),IF(AND($L$37=0,$P$34=0),"",$L$37-1)),0,YEARFRAC(MAX($P$34*($B238+$I$38-1),IF(AND($L$37=0,$P$34=0),"",$L$37-1)),MIN(CB$38,$E238),$P$20))-SUM($BF238:CA238))</f>
        <v>0</v>
      </c>
      <c r="CC238" s="446">
        <f>IF($E238=0,0,IF(MIN(CC$38,$E238)&lt;MAX($P$34*($B238+$I$38-1),IF(AND($L$37=0,$P$34=0),"",$L$37-1)),0,YEARFRAC(MAX($P$34*($B238+$I$38-1),IF(AND($L$37=0,$P$34=0),"",$L$37-1)),MIN(CC$38,$E238),$P$20))-SUM($BF238:CB238))</f>
        <v>0</v>
      </c>
      <c r="CD238" s="446">
        <f>IF($E238=0,0,IF(MIN(CD$38,$E238)&lt;MAX($P$34*($B238+$I$38-1),IF(AND($L$37=0,$P$34=0),"",$L$37-1)),0,YEARFRAC(MAX($P$34*($B238+$I$38-1),IF(AND($L$37=0,$P$34=0),"",$L$37-1)),MIN(CD$38,$E238),$P$20))-SUM($BF238:CC238))</f>
        <v>0</v>
      </c>
      <c r="CE238" s="446">
        <f>IF($E238=0,0,IF(MIN(CE$38,$E238)&lt;MAX($P$34*($B238+$I$38-1),IF(AND($L$37=0,$P$34=0),"",$L$37-1)),0,YEARFRAC(MAX($P$34*($B238+$I$38-1),IF(AND($L$37=0,$P$34=0),"",$L$37-1)),MIN(CE$38,$E238),$P$20))-SUM($BF238:CD238))</f>
        <v>0</v>
      </c>
      <c r="CF238" s="446">
        <f>IF($E238=0,0,IF(MIN(CF$38,$E238)&lt;MAX($P$34*($B238+$I$38-1),IF(AND($L$37=0,$P$34=0),"",$L$37-1)),0,YEARFRAC(MAX($P$34*($B238+$I$38-1),IF(AND($L$37=0,$P$34=0),"",$L$37-1)),MIN(CF$38,$E238),$P$20))-SUM($BF238:CE238))</f>
        <v>0</v>
      </c>
      <c r="CG238" s="446">
        <f>IF($E238=0,0,IF(MIN(CG$38,$E238)&lt;MAX($P$34*($B238+$I$38-1),IF(AND($L$37=0,$P$34=0),"",$L$37-1)),0,YEARFRAC(MAX($P$34*($B238+$I$38-1),IF(AND($L$37=0,$P$34=0),"",$L$37-1)),MIN(CG$38,$E238),$P$20))-SUM($BF238:CF238))</f>
        <v>0</v>
      </c>
      <c r="CH238" s="446">
        <f>IF($E238=0,0,IF(MIN(CH$38,$E238)&lt;MAX($P$34*($B238+$I$38-1),IF(AND($L$37=0,$P$34=0),"",$L$37-1)),0,YEARFRAC(MAX($P$34*($B238+$I$38-1),IF(AND($L$37=0,$P$34=0),"",$L$37-1)),MIN(CH$38,$E238),$P$20))-SUM($BF238:CG238))</f>
        <v>0</v>
      </c>
      <c r="CI238" s="446">
        <f>IF($E238=0,0,IF(MIN(CI$38,$E238)&lt;MAX($P$34*($B238+$I$38-1),IF(AND($L$37=0,$P$34=0),"",$L$37-1)),0,YEARFRAC(MAX($P$34*($B238+$I$38-1),IF(AND($L$37=0,$P$34=0),"",$L$37-1)),MIN(CI$38,$E238),$P$20))-SUM($BF238:CH238))</f>
        <v>0</v>
      </c>
      <c r="CJ238" s="446">
        <f>IF($E238=0,0,IF(MIN(CJ$38,$E238)&lt;MAX($P$34*($B238+$I$38-1),IF(AND($L$37=0,$P$34=0),"",$L$37-1)),0,YEARFRAC(MAX($P$34*($B238+$I$38-1),IF(AND($L$37=0,$P$34=0),"",$L$37-1)),MIN(CJ$38,$E238),$P$20))-SUM($BF238:CI238))</f>
        <v>0</v>
      </c>
      <c r="CK238" s="446">
        <f>IF($E238=0,0,IF(MIN(CK$38,$E238)&lt;MAX($P$34*($B238+$I$38-1),IF(AND($L$37=0,$P$34=0),"",$L$37-1)),0,YEARFRAC(MAX($P$34*($B238+$I$38-1),IF(AND($L$37=0,$P$34=0),"",$L$37-1)),MIN(CK$38,$E238),$P$20))-SUM($BF238:CJ238))</f>
        <v>0</v>
      </c>
      <c r="CL238" s="446">
        <f>IF($E238=0,0,IF(MIN(CL$38,$E238)&lt;MAX($P$34*($B238+$I$38-1),IF(AND($L$37=0,$P$34=0),"",$L$37-1)),0,YEARFRAC(MAX($P$34*($B238+$I$38-1),IF(AND($L$37=0,$P$34=0),"",$L$37-1)),MIN(CL$38,$E238),$P$20))-SUM($BF238:CK238))</f>
        <v>0</v>
      </c>
      <c r="CM238" s="446">
        <f>IF($E238=0,0,IF(MIN(CM$38,$E238)&lt;MAX($P$34*($B238+$I$38-1),IF(AND($L$37=0,$P$34=0),"",$L$37-1)),0,YEARFRAC(MAX($P$34*($B238+$I$38-1),IF(AND($L$37=0,$P$34=0),"",$L$37-1)),MIN(CM$38,$E238),$P$20))-SUM($BF238:CL238))</f>
        <v>0</v>
      </c>
      <c r="CN238" s="446">
        <f>IF($E238=0,0,IF(MIN(CN$38,$E238)&lt;MAX($P$34*($B238+$I$38-1),IF(AND($L$37=0,$P$34=0),"",$L$37-1)),0,YEARFRAC(MAX($P$34*($B238+$I$38-1),IF(AND($L$37=0,$P$34=0),"",$L$37-1)),MIN(CN$38,$E238),$P$20))-SUM($BF238:CM238))</f>
        <v>0</v>
      </c>
      <c r="CO238" s="446">
        <f>IF($E238=0,0,IF(MIN(CO$38,$E238)&lt;MAX($P$34*($B238+$I$38-1),IF(AND($L$37=0,$P$34=0),"",$L$37-1)),0,YEARFRAC(MAX($P$34*($B238+$I$38-1),IF(AND($L$37=0,$P$34=0),"",$L$37-1)),MIN(CO$38,$E238),$P$20))-SUM($BF238:CN238))</f>
        <v>0</v>
      </c>
      <c r="CP238" s="446">
        <f>IF($E238=0,0,IF(MIN(CP$38,$E238)&lt;MAX($P$34*($B238+$I$38-1),IF(AND($L$37=0,$P$34=0),"",$L$37-1)),0,YEARFRAC(MAX($P$34*($B238+$I$38-1),IF(AND($L$37=0,$P$34=0),"",$L$37-1)),MIN(CP$38,$E238),$P$20))-SUM($BF238:CO238))</f>
        <v>0</v>
      </c>
      <c r="CQ238" s="446">
        <f>IF($E238=0,0,IF(MIN(CQ$38,$E238)&lt;MAX($P$34*($B238+$I$38-1),IF(AND($L$37=0,$P$34=0),"",$L$37-1)),0,YEARFRAC(MAX($P$34*($B238+$I$38-1),IF(AND($L$37=0,$P$34=0),"",$L$37-1)),MIN(CQ$38,$E238),$P$20))-SUM($BF238:CP238))</f>
        <v>0</v>
      </c>
    </row>
    <row r="239" spans="1:95" s="446" customFormat="1" ht="11.25" hidden="1" customHeight="1" x14ac:dyDescent="0.2">
      <c r="A239" s="152"/>
      <c r="B239" s="153" t="str">
        <f t="shared" si="48"/>
        <v/>
      </c>
      <c r="C239" s="29" t="str">
        <f>IF(B239="","",IF($L$35="SELIC - TRIBUTOS",VLOOKUP(DATE(YEAR($D$19),MONTH($D$19)-1,1),ÍNDICES!$A:$DE,HLOOKUP($BL$25,ÍNDICES!$B$3:$T$4,2)+11)-VLOOKUP(B239,ÍNDICES!$A:$DE,HLOOKUP($BL$25,ÍNDICES!$B$3:$T$4,2)+11)+1%,IF(C$38=$W$26,$J$35,IF(ISERROR(IF(B239&gt;$D$19,1,VLOOKUP(DATE(YEAR(B239),MONTH(B239)+IF($C$35=$S$23,1,0),1),ÍNDICES!$A:$DE,$Z$35+1))),"",IF(B239&gt;$D$19,1,VLOOKUP(DATE(YEAR(B239),MONTH(B239)+IF($C$35=$S$23,1,0),1),ÍNDICES!$A:$DE,$Z$35+1))))))</f>
        <v/>
      </c>
      <c r="D239" s="154" t="str">
        <f>IF(ISERROR(IF(OR($D$38=$Y$27,$B239=""),"",VLOOKUP(B239,ÍNDICES!A:DE,AF$35+1))),"",IF(OR($D$38=$Y$27,$B239=""),"",VLOOKUP(B239,ÍNDICES!A:DE,AF$35+1)))</f>
        <v/>
      </c>
      <c r="E239" s="153"/>
      <c r="F239" s="29" t="str">
        <f>IF(E239="","",IF($L$35="SELIC - TRIBUTOS",VLOOKUP(DATE(YEAR($D$19),MONTH($D$19)-1,1),ÍNDICES!$A:$DE,HLOOKUP($BL$25,ÍNDICES!$B$3:$T$4,2)+11)-VLOOKUP(E239,ÍNDICES!$A:$DE,HLOOKUP($BL$25,ÍNDICES!$B$3:$T$4,2)+11)+1%,IF(F$38=$W$26,$J$35,IF(ISERROR(IF(E239&gt;$D$19,1,VLOOKUP(DATE(YEAR(E239),MONTH(E239)+IF($C$35=$S$23,1,0),1),ÍNDICES!$A:$DE,$Z$35+1))),"",IF(E239&gt;$D$19,1,VLOOKUP(DATE(YEAR(E239),MONTH(E239)+IF($C$35=$S$23,1,0),1),ÍNDICES!$A:$DE,$Z$35+1))))))</f>
        <v/>
      </c>
      <c r="G239" s="155"/>
      <c r="H239" s="156" t="str">
        <f t="shared" si="44"/>
        <v/>
      </c>
      <c r="I239" s="29" t="str">
        <f t="shared" si="38"/>
        <v/>
      </c>
      <c r="J239" s="5">
        <f t="shared" si="39"/>
        <v>0</v>
      </c>
      <c r="K239" s="20">
        <f t="shared" ca="1" si="40"/>
        <v>0</v>
      </c>
      <c r="L239" s="5">
        <f t="shared" ca="1" si="41"/>
        <v>0</v>
      </c>
      <c r="M239" s="64">
        <f t="shared" si="45"/>
        <v>0</v>
      </c>
      <c r="N239" s="61">
        <f t="shared" ca="1" si="46"/>
        <v>0</v>
      </c>
      <c r="O239" s="5">
        <f t="shared" ca="1" si="47"/>
        <v>0</v>
      </c>
      <c r="P239" s="446" t="e">
        <f t="shared" si="42"/>
        <v>#VALUE!</v>
      </c>
      <c r="Q239" s="446" t="e">
        <f>IF(OR($B239="",MIN(Q$38,$D$19)&lt;MAX($P$34*($B239+IF($R$17="Distrato",$I$38-1,0)),IF(AND($L$37=0,$P$34=0),"",$L$37-1),IF($R$17="Distrato",$E239,0))),0,YEARFRAC(MAX($P$34*($B239+IF($R$17="Distrato",$I$38-1,0)),IF(AND($L$37=0,$P$34=0),"",$L$37-1),IF($R$17="Distrato",$E239,0)),MIN(Q$38,$D$19),$P$20))-SUM($P239:P239)</f>
        <v>#VALUE!</v>
      </c>
      <c r="R239" s="446" t="e">
        <f>IF(OR($B239="",MIN(R$38,$D$19)&lt;MAX($P$34*($B239+IF($R$17="Distrato",$I$38-1,0)),IF(AND($L$37=0,$P$34=0),"",$L$37-1),IF($R$17="Distrato",$E239,0))),0,YEARFRAC(MAX($P$34*($B239+IF($R$17="Distrato",$I$38-1,0)),IF(AND($L$37=0,$P$34=0),"",$L$37-1),IF($R$17="Distrato",$E239,0)),MIN(R$38,$D$19),$P$20))-SUM($P239:Q239)</f>
        <v>#VALUE!</v>
      </c>
      <c r="S239" s="446" t="e">
        <f>IF(OR($B239="",MIN(S$38,$D$19)&lt;MAX($P$34*($B239+IF($R$17="Distrato",$I$38-1,0)),IF(AND($L$37=0,$P$34=0),"",$L$37-1),IF($R$17="Distrato",$E239,0))),0,YEARFRAC(MAX($P$34*($B239+IF($R$17="Distrato",$I$38-1,0)),IF(AND($L$37=0,$P$34=0),"",$L$37-1),IF($R$17="Distrato",$E239,0)),MIN(S$38,$D$19),$P$20))-SUM($P239:R239)</f>
        <v>#VALUE!</v>
      </c>
      <c r="T239" s="446" t="e">
        <f>IF(OR($B239="",MIN(T$38,$D$19)&lt;MAX($P$34*($B239+IF($R$17="Distrato",$I$38-1,0)),IF(AND($L$37=0,$P$34=0),"",$L$37-1),IF($R$17="Distrato",$E239,0))),0,YEARFRAC(MAX($P$34*($B239+IF($R$17="Distrato",$I$38-1,0)),IF(AND($L$37=0,$P$34=0),"",$L$37-1),IF($R$17="Distrato",$E239,0)),MIN(T$38,$D$19),$P$20))-SUM($P239:S239)</f>
        <v>#VALUE!</v>
      </c>
      <c r="U239" s="446" t="e">
        <f>IF(OR($B239="",MIN(U$38,$D$19)&lt;MAX($P$34*($B239+IF($R$17="Distrato",$I$38-1,0)),IF(AND($L$37=0,$P$34=0),"",$L$37-1),IF($R$17="Distrato",$E239,0))),0,YEARFRAC(MAX($P$34*($B239+IF($R$17="Distrato",$I$38-1,0)),IF(AND($L$37=0,$P$34=0),"",$L$37-1),IF($R$17="Distrato",$E239,0)),MIN(U$38,$D$19),$P$20))-SUM($P239:T239)</f>
        <v>#VALUE!</v>
      </c>
      <c r="V239" s="446" t="e">
        <f>IF(OR($B239="",MIN(V$38,$D$19)&lt;MAX($P$34*($B239+IF($R$17="Distrato",$I$38-1,0)),IF(AND($L$37=0,$P$34=0),"",$L$37-1),IF($R$17="Distrato",$E239,0))),0,YEARFRAC(MAX($P$34*($B239+IF($R$17="Distrato",$I$38-1,0)),IF(AND($L$37=0,$P$34=0),"",$L$37-1),IF($R$17="Distrato",$E239,0)),MIN(V$38,$D$19),$P$20))-SUM($P239:U239)</f>
        <v>#VALUE!</v>
      </c>
      <c r="W239" s="446" t="e">
        <f>IF(OR($B239="",MIN(W$38,$D$19)&lt;MAX($P$34*($B239+IF($R$17="Distrato",$I$38-1,0)),IF(AND($L$37=0,$P$34=0),"",$L$37-1),IF($R$17="Distrato",$E239,0))),0,YEARFRAC(MAX($P$34*($B239+IF($R$17="Distrato",$I$38-1,0)),IF(AND($L$37=0,$P$34=0),"",$L$37-1),IF($R$17="Distrato",$E239,0)),MIN(W$38,$D$19),$P$20))-SUM($P239:V239)</f>
        <v>#VALUE!</v>
      </c>
      <c r="X239" s="446" t="e">
        <f>IF(OR($B239="",MIN(X$38,$D$19)&lt;MAX($P$34*($B239+IF($R$17="Distrato",$I$38-1,0)),IF(AND($L$37=0,$P$34=0),"",$L$37-1),IF($R$17="Distrato",$E239,0))),0,YEARFRAC(MAX($P$34*($B239+IF($R$17="Distrato",$I$38-1,0)),IF(AND($L$37=0,$P$34=0),"",$L$37-1),IF($R$17="Distrato",$E239,0)),MIN(X$38,$D$19),$P$20))-SUM($P239:W239)</f>
        <v>#VALUE!</v>
      </c>
      <c r="Y239" s="446" t="e">
        <f>IF(OR($B239="",MIN(Y$38,$D$19)&lt;MAX($P$34*($B239+IF($R$17="Distrato",$I$38-1,0)),IF(AND($L$37=0,$P$34=0),"",$L$37-1),IF($R$17="Distrato",$E239,0))),0,YEARFRAC(MAX($P$34*($B239+IF($R$17="Distrato",$I$38-1,0)),IF(AND($L$37=0,$P$34=0),"",$L$37-1),IF($R$17="Distrato",$E239,0)),MIN(Y$38,$D$19),$P$20))-SUM($P239:X239)</f>
        <v>#VALUE!</v>
      </c>
      <c r="Z239" s="446" t="e">
        <f>IF(OR($B239="",MIN(Z$38,$D$19)&lt;MAX($P$34*($B239+IF($R$17="Distrato",$I$38-1,0)),IF(AND($L$37=0,$P$34=0),"",$L$37-1),IF($R$17="Distrato",$E239,0))),0,YEARFRAC(MAX($P$34*($B239+IF($R$17="Distrato",$I$38-1,0)),IF(AND($L$37=0,$P$34=0),"",$L$37-1),IF($R$17="Distrato",$E239,0)),MIN(Z$38,$D$19),$P$20))-SUM($P239:Y239)</f>
        <v>#VALUE!</v>
      </c>
      <c r="AA239" s="446" t="e">
        <f>IF(OR($B239="",MIN(AA$38,$D$19)&lt;MAX($P$34*($B239+IF($R$17="Distrato",$I$38-1,0)),IF(AND($L$37=0,$P$34=0),"",$L$37-1),IF($R$17="Distrato",$E239,0))),0,YEARFRAC(MAX($P$34*($B239+IF($R$17="Distrato",$I$38-1,0)),IF(AND($L$37=0,$P$34=0),"",$L$37-1),IF($R$17="Distrato",$E239,0)),MIN(AA$38,$D$19),$P$20))-SUM($P239:Z239)</f>
        <v>#VALUE!</v>
      </c>
      <c r="AB239" s="446" t="e">
        <f>IF(OR($B239="",MIN(AB$38,$D$19)&lt;MAX($P$34*($B239+IF($R$17="Distrato",$I$38-1,0)),IF(AND($L$37=0,$P$34=0),"",$L$37-1),IF($R$17="Distrato",$E239,0))),0,YEARFRAC(MAX($P$34*($B239+IF($R$17="Distrato",$I$38-1,0)),IF(AND($L$37=0,$P$34=0),"",$L$37-1),IF($R$17="Distrato",$E239,0)),MIN(AB$38,$D$19),$P$20))-SUM($P239:AA239)</f>
        <v>#VALUE!</v>
      </c>
      <c r="AC239" s="446" t="e">
        <f>IF(OR($B239="",MIN(AC$38,$D$19)&lt;MAX($P$34*($B239+IF($R$17="Distrato",$I$38-1,0)),IF(AND($L$37=0,$P$34=0),"",$L$37-1),IF($R$17="Distrato",$E239,0))),0,YEARFRAC(MAX($P$34*($B239+IF($R$17="Distrato",$I$38-1,0)),IF(AND($L$37=0,$P$34=0),"",$L$37-1),IF($R$17="Distrato",$E239,0)),MIN(AC$38,$D$19),$P$20))-SUM($P239:AB239)</f>
        <v>#VALUE!</v>
      </c>
      <c r="AD239" s="446" t="e">
        <f>IF(OR($B239="",MIN(AD$38,$D$19)&lt;MAX($P$34*($B239+IF($R$17="Distrato",$I$38-1,0)),IF(AND($L$37=0,$P$34=0),"",$L$37-1),IF($R$17="Distrato",$E239,0))),0,YEARFRAC(MAX($P$34*($B239+IF($R$17="Distrato",$I$38-1,0)),IF(AND($L$37=0,$P$34=0),"",$L$37-1),IF($R$17="Distrato",$E239,0)),MIN(AD$38,$D$19),$P$20))-SUM($P239:AC239)</f>
        <v>#VALUE!</v>
      </c>
      <c r="AE239" s="446" t="e">
        <f>IF(OR($B239="",MIN(AE$38,$D$19)&lt;MAX($P$34*($B239+IF($R$17="Distrato",$I$38-1,0)),IF(AND($L$37=0,$P$34=0),"",$L$37-1),IF($R$17="Distrato",$E239,0))),0,YEARFRAC(MAX($P$34*($B239+IF($R$17="Distrato",$I$38-1,0)),IF(AND($L$37=0,$P$34=0),"",$L$37-1),IF($R$17="Distrato",$E239,0)),MIN(AE$38,$D$19),$P$20))-SUM($P239:AD239)</f>
        <v>#VALUE!</v>
      </c>
      <c r="AF239" s="446" t="e">
        <f>IF(OR($B239="",MIN(AF$38,$D$19)&lt;MAX($P$34*($B239+IF($R$17="Distrato",$I$38-1,0)),IF(AND($L$37=0,$P$34=0),"",$L$37-1),IF($R$17="Distrato",$E239,0))),0,YEARFRAC(MAX($P$34*($B239+IF($R$17="Distrato",$I$38-1,0)),IF(AND($L$37=0,$P$34=0),"",$L$37-1),IF($R$17="Distrato",$E239,0)),MIN(AF$38,$D$19),$P$20))-SUM($P239:AE239)</f>
        <v>#VALUE!</v>
      </c>
      <c r="AG239" s="446" t="e">
        <f>IF(OR($B239="",MIN(AG$38,$D$19)&lt;MAX($P$34*($B239+IF($R$17="Distrato",$I$38-1,0)),IF(AND($L$37=0,$P$34=0),"",$L$37-1),IF($R$17="Distrato",$E239,0))),0,YEARFRAC(MAX($P$34*($B239+IF($R$17="Distrato",$I$38-1,0)),IF(AND($L$37=0,$P$34=0),"",$L$37-1),IF($R$17="Distrato",$E239,0)),MIN(AG$38,$D$19),$P$20))-SUM($P239:AF239)</f>
        <v>#VALUE!</v>
      </c>
      <c r="AH239" s="446" t="e">
        <f>IF(OR($B239="",MIN(AH$38,$D$19)&lt;MAX($P$34*($B239+IF($R$17="Distrato",$I$38-1,0)),IF(AND($L$37=0,$P$34=0),"",$L$37-1),IF($R$17="Distrato",$E239,0))),0,YEARFRAC(MAX($P$34*($B239+IF($R$17="Distrato",$I$38-1,0)),IF(AND($L$37=0,$P$34=0),"",$L$37-1),IF($R$17="Distrato",$E239,0)),MIN(AH$38,$D$19),$P$20))-SUM($P239:AG239)</f>
        <v>#VALUE!</v>
      </c>
      <c r="AI239" s="446" t="e">
        <f>IF(OR($B239="",MIN(AI$38,$D$19)&lt;MAX($P$34*($B239+IF($R$17="Distrato",$I$38-1,0)),IF(AND($L$37=0,$P$34=0),"",$L$37-1),IF($R$17="Distrato",$E239,0))),0,YEARFRAC(MAX($P$34*($B239+IF($R$17="Distrato",$I$38-1,0)),IF(AND($L$37=0,$P$34=0),"",$L$37-1),IF($R$17="Distrato",$E239,0)),MIN(AI$38,$D$19),$P$20))-SUM($P239:AH239)</f>
        <v>#VALUE!</v>
      </c>
      <c r="AJ239" s="446" t="e">
        <f>IF(OR($B239="",MIN(AJ$38,$D$19)&lt;MAX($P$34*($B239+IF($R$17="Distrato",$I$38-1,0)),IF(AND($L$37=0,$P$34=0),"",$L$37-1),IF($R$17="Distrato",$E239,0))),0,YEARFRAC(MAX($P$34*($B239+IF($R$17="Distrato",$I$38-1,0)),IF(AND($L$37=0,$P$34=0),"",$L$37-1),IF($R$17="Distrato",$E239,0)),MIN(AJ$38,$D$19),$P$20))-SUM($P239:AI239)</f>
        <v>#VALUE!</v>
      </c>
      <c r="AK239" s="446" t="e">
        <f>IF(OR($B239="",MIN(AK$38,$D$19)&lt;MAX($P$34*($B239+IF($R$17="Distrato",$I$38-1,0)),IF(AND($L$37=0,$P$34=0),"",$L$37-1),IF($R$17="Distrato",$E239,0))),0,YEARFRAC(MAX($P$34*($B239+IF($R$17="Distrato",$I$38-1,0)),IF(AND($L$37=0,$P$34=0),"",$L$37-1),IF($R$17="Distrato",$E239,0)),MIN(AK$38,$D$19),$P$20))-SUM($P239:AJ239)</f>
        <v>#VALUE!</v>
      </c>
      <c r="AL239" s="446" t="e">
        <f>IF(OR($B239="",MIN(AL$38,$D$19)&lt;MAX($P$34*($B239+IF($R$17="Distrato",$I$38-1,0)),IF(AND($L$37=0,$P$34=0),"",$L$37-1),IF($R$17="Distrato",$E239,0))),0,YEARFRAC(MAX($P$34*($B239+IF($R$17="Distrato",$I$38-1,0)),IF(AND($L$37=0,$P$34=0),"",$L$37-1),IF($R$17="Distrato",$E239,0)),MIN(AL$38,$D$19),$P$20))-SUM($P239:AK239)</f>
        <v>#VALUE!</v>
      </c>
      <c r="AM239" s="446" t="e">
        <f>IF(OR($B239="",MIN(AM$38,$D$19)&lt;MAX($P$34*($B239+IF($R$17="Distrato",$I$38-1,0)),IF(AND($L$37=0,$P$34=0),"",$L$37-1),IF($R$17="Distrato",$E239,0))),0,YEARFRAC(MAX($P$34*($B239+IF($R$17="Distrato",$I$38-1,0)),IF(AND($L$37=0,$P$34=0),"",$L$37-1),IF($R$17="Distrato",$E239,0)),MIN(AM$38,$D$19),$P$20))-SUM($P239:AL239)</f>
        <v>#VALUE!</v>
      </c>
      <c r="AN239" s="446" t="e">
        <f>IF(OR($B239="",MIN(AN$38,$D$19)&lt;MAX($P$34*($B239+IF($R$17="Distrato",$I$38-1,0)),IF(AND($L$37=0,$P$34=0),"",$L$37-1),IF($R$17="Distrato",$E239,0))),0,YEARFRAC(MAX($P$34*($B239+IF($R$17="Distrato",$I$38-1,0)),IF(AND($L$37=0,$P$34=0),"",$L$37-1),IF($R$17="Distrato",$E239,0)),MIN(AN$38,$D$19),$P$20))-SUM($P239:AM239)</f>
        <v>#VALUE!</v>
      </c>
      <c r="AO239" s="446" t="e">
        <f>IF(OR($B239="",MIN(AO$38,$D$19)&lt;MAX($P$34*($B239+IF($R$17="Distrato",$I$38-1,0)),IF(AND($L$37=0,$P$34=0),"",$L$37-1),IF($R$17="Distrato",$E239,0))),0,YEARFRAC(MAX($P$34*($B239+IF($R$17="Distrato",$I$38-1,0)),IF(AND($L$37=0,$P$34=0),"",$L$37-1),IF($R$17="Distrato",$E239,0)),MIN(AO$38,$D$19),$P$20))-SUM($P239:AN239)</f>
        <v>#VALUE!</v>
      </c>
      <c r="AP239" s="446" t="e">
        <f>IF(OR($B239="",MIN(AP$38,$D$19)&lt;MAX($P$34*($B239+IF($R$17="Distrato",$I$38-1,0)),IF(AND($L$37=0,$P$34=0),"",$L$37-1),IF($R$17="Distrato",$E239,0))),0,YEARFRAC(MAX($P$34*($B239+IF($R$17="Distrato",$I$38-1,0)),IF(AND($L$37=0,$P$34=0),"",$L$37-1),IF($R$17="Distrato",$E239,0)),MIN(AP$38,$D$19),$P$20))-SUM($P239:AO239)</f>
        <v>#VALUE!</v>
      </c>
      <c r="AQ239" s="446" t="e">
        <f>IF(OR($B239="",MIN(AQ$38,$D$19)&lt;MAX($P$34*($B239+IF($R$17="Distrato",$I$38-1,0)),IF(AND($L$37=0,$P$34=0),"",$L$37-1),IF($R$17="Distrato",$E239,0))),0,YEARFRAC(MAX($P$34*($B239+IF($R$17="Distrato",$I$38-1,0)),IF(AND($L$37=0,$P$34=0),"",$L$37-1),IF($R$17="Distrato",$E239,0)),MIN(AQ$38,$D$19),$P$20))-SUM($P239:AP239)</f>
        <v>#VALUE!</v>
      </c>
      <c r="AR239" s="446" t="e">
        <f>IF(OR($B239="",MIN(AR$38,$D$19)&lt;MAX($P$34*($B239+IF($R$17="Distrato",$I$38-1,0)),IF(AND($L$37=0,$P$34=0),"",$L$37-1),IF($R$17="Distrato",$E239,0))),0,YEARFRAC(MAX($P$34*($B239+IF($R$17="Distrato",$I$38-1,0)),IF(AND($L$37=0,$P$34=0),"",$L$37-1),IF($R$17="Distrato",$E239,0)),MIN(AR$38,$D$19),$P$20))-SUM($P239:AQ239)</f>
        <v>#VALUE!</v>
      </c>
      <c r="AS239" s="446" t="e">
        <f>IF(OR($B239="",MIN(AS$38,$D$19)&lt;MAX($P$34*($B239+IF($R$17="Distrato",$I$38-1,0)),IF(AND($L$37=0,$P$34=0),"",$L$37-1),IF($R$17="Distrato",$E239,0))),0,YEARFRAC(MAX($P$34*($B239+IF($R$17="Distrato",$I$38-1,0)),IF(AND($L$37=0,$P$34=0),"",$L$37-1),IF($R$17="Distrato",$E239,0)),MIN(AS$38,$D$19),$P$20))-SUM($P239:AR239)</f>
        <v>#VALUE!</v>
      </c>
      <c r="AT239" s="446" t="e">
        <f>IF(OR($B239="",MIN(AT$38,$D$19)&lt;MAX($P$34*($B239+IF($R$17="Distrato",$I$38-1,0)),IF(AND($L$37=0,$P$34=0),"",$L$37-1),IF($R$17="Distrato",$E239,0))),0,YEARFRAC(MAX($P$34*($B239+IF($R$17="Distrato",$I$38-1,0)),IF(AND($L$37=0,$P$34=0),"",$L$37-1),IF($R$17="Distrato",$E239,0)),MIN(AT$38,$D$19),$P$20))-SUM($P239:AS239)</f>
        <v>#VALUE!</v>
      </c>
      <c r="AU239" s="446" t="e">
        <f>IF(OR($B239="",MIN(AU$38,$D$19)&lt;MAX($P$34*($B239+IF($R$17="Distrato",$I$38-1,0)),IF(AND($L$37=0,$P$34=0),"",$L$37-1),IF($R$17="Distrato",$E239,0))),0,YEARFRAC(MAX($P$34*($B239+IF($R$17="Distrato",$I$38-1,0)),IF(AND($L$37=0,$P$34=0),"",$L$37-1),IF($R$17="Distrato",$E239,0)),MIN(AU$38,$D$19),$P$20))-SUM($P239:AT239)</f>
        <v>#VALUE!</v>
      </c>
      <c r="AV239" s="446" t="e">
        <f>IF(OR($B239="",MIN(AV$38,$D$19)&lt;MAX($P$34*($B239+IF($R$17="Distrato",$I$38-1,0)),IF(AND($L$37=0,$P$34=0),"",$L$37-1),IF($R$17="Distrato",$E239,0))),0,YEARFRAC(MAX($P$34*($B239+IF($R$17="Distrato",$I$38-1,0)),IF(AND($L$37=0,$P$34=0),"",$L$37-1),IF($R$17="Distrato",$E239,0)),MIN(AV$38,$D$19),$P$20))-SUM($P239:AU239)</f>
        <v>#VALUE!</v>
      </c>
      <c r="AW239" s="446" t="e">
        <f>IF(OR($B239="",MIN(AW$38,$D$19)&lt;MAX($P$34*($B239+IF($R$17="Distrato",$I$38-1,0)),IF(AND($L$37=0,$P$34=0),"",$L$37-1),IF($R$17="Distrato",$E239,0))),0,YEARFRAC(MAX($P$34*($B239+IF($R$17="Distrato",$I$38-1,0)),IF(AND($L$37=0,$P$34=0),"",$L$37-1),IF($R$17="Distrato",$E239,0)),MIN(AW$38,$D$19),$P$20))-SUM($P239:AV239)</f>
        <v>#VALUE!</v>
      </c>
      <c r="AX239" s="446" t="e">
        <f>IF(OR($B239="",MIN(AX$38,$D$19)&lt;MAX($P$34*($B239+IF($R$17="Distrato",$I$38-1,0)),IF(AND($L$37=0,$P$34=0),"",$L$37-1),IF($R$17="Distrato",$E239,0))),0,YEARFRAC(MAX($P$34*($B239+IF($R$17="Distrato",$I$38-1,0)),IF(AND($L$37=0,$P$34=0),"",$L$37-1),IF($R$17="Distrato",$E239,0)),MIN(AX$38,$D$19),$P$20))-SUM($P239:AW239)</f>
        <v>#VALUE!</v>
      </c>
      <c r="AY239" s="446" t="e">
        <f>IF(OR($B239="",MIN(AY$38,$D$19)&lt;MAX($P$34*($B239+IF($R$17="Distrato",$I$38-1,0)),IF(AND($L$37=0,$P$34=0),"",$L$37-1),IF($R$17="Distrato",$E239,0))),0,YEARFRAC(MAX($P$34*($B239+IF($R$17="Distrato",$I$38-1,0)),IF(AND($L$37=0,$P$34=0),"",$L$37-1),IF($R$17="Distrato",$E239,0)),MIN(AY$38,$D$19),$P$20))-SUM($P239:AX239)</f>
        <v>#VALUE!</v>
      </c>
      <c r="AZ239" s="446" t="e">
        <f>IF(OR($B239="",MIN(AZ$38,$D$19)&lt;MAX($P$34*($B239+IF($R$17="Distrato",$I$38-1,0)),IF(AND($L$37=0,$P$34=0),"",$L$37-1),IF($R$17="Distrato",$E239,0))),0,YEARFRAC(MAX($P$34*($B239+IF($R$17="Distrato",$I$38-1,0)),IF(AND($L$37=0,$P$34=0),"",$L$37-1),IF($R$17="Distrato",$E239,0)),MIN(AZ$38,$D$19),$P$20))-SUM($P239:AY239)</f>
        <v>#VALUE!</v>
      </c>
      <c r="BA239" s="446" t="e">
        <f>IF(OR($B239="",MIN(BA$38,$D$19)&lt;MAX($P$34*($B239+IF($R$17="Distrato",$I$38-1,0)),IF(AND($L$37=0,$P$34=0),"",$L$37-1),IF($R$17="Distrato",$E239,0))),0,YEARFRAC(MAX($P$34*($B239+IF($R$17="Distrato",$I$38-1,0)),IF(AND($L$37=0,$P$34=0),"",$L$37-1),IF($R$17="Distrato",$E239,0)),MIN(BA$38,$D$19),$P$20))-SUM($P239:AZ239)</f>
        <v>#VALUE!</v>
      </c>
      <c r="BB239" s="447"/>
      <c r="BF239" s="446">
        <f t="shared" si="43"/>
        <v>0</v>
      </c>
      <c r="BG239" s="446">
        <f>IF($E239=0,0,IF(MIN(BG$38,$E239)&lt;MAX($P$34*($B239+$I$38-1),IF(AND($L$37=0,$P$34=0),"",$L$37-1)),0,YEARFRAC(MAX($P$34*($B239+$I$38-1),IF(AND($L$37=0,$P$34=0),"",$L$37-1)),MIN(BG$38,$E239),$P$20))-SUM($BF239:BF239))</f>
        <v>0</v>
      </c>
      <c r="BH239" s="446">
        <f>IF($E239=0,0,IF(MIN(BH$38,$E239)&lt;MAX($P$34*($B239+$I$38-1),IF(AND($L$37=0,$P$34=0),"",$L$37-1)),0,YEARFRAC(MAX($P$34*($B239+$I$38-1),IF(AND($L$37=0,$P$34=0),"",$L$37-1)),MIN(BH$38,$E239),$P$20))-SUM($BF239:BG239))</f>
        <v>0</v>
      </c>
      <c r="BI239" s="446">
        <f>IF($E239=0,0,IF(MIN(BI$38,$E239)&lt;MAX($P$34*($B239+$I$38-1),IF(AND($L$37=0,$P$34=0),"",$L$37-1)),0,YEARFRAC(MAX($P$34*($B239+$I$38-1),IF(AND($L$37=0,$P$34=0),"",$L$37-1)),MIN(BI$38,$E239),$P$20))-SUM($BF239:BH239))</f>
        <v>0</v>
      </c>
      <c r="BJ239" s="446">
        <f>IF($E239=0,0,IF(MIN(BJ$38,$E239)&lt;MAX($P$34*($B239+$I$38-1),IF(AND($L$37=0,$P$34=0),"",$L$37-1)),0,YEARFRAC(MAX($P$34*($B239+$I$38-1),IF(AND($L$37=0,$P$34=0),"",$L$37-1)),MIN(BJ$38,$E239),$P$20))-SUM($BF239:BI239))</f>
        <v>0</v>
      </c>
      <c r="BK239" s="446">
        <f>IF($E239=0,0,IF(MIN(BK$38,$E239)&lt;MAX($P$34*($B239+$I$38-1),IF(AND($L$37=0,$P$34=0),"",$L$37-1)),0,YEARFRAC(MAX($P$34*($B239+$I$38-1),IF(AND($L$37=0,$P$34=0),"",$L$37-1)),MIN(BK$38,$E239),$P$20))-SUM($BF239:BJ239))</f>
        <v>0</v>
      </c>
      <c r="BL239" s="446">
        <f>IF($E239=0,0,IF(MIN(BL$38,$E239)&lt;MAX($P$34*($B239+$I$38-1),IF(AND($L$37=0,$P$34=0),"",$L$37-1)),0,YEARFRAC(MAX($P$34*($B239+$I$38-1),IF(AND($L$37=0,$P$34=0),"",$L$37-1)),MIN(BL$38,$E239),$P$20))-SUM($BF239:BK239))</f>
        <v>0</v>
      </c>
      <c r="BM239" s="446">
        <f>IF($E239=0,0,IF(MIN(BM$38,$E239)&lt;MAX($P$34*($B239+$I$38-1),IF(AND($L$37=0,$P$34=0),"",$L$37-1)),0,YEARFRAC(MAX($P$34*($B239+$I$38-1),IF(AND($L$37=0,$P$34=0),"",$L$37-1)),MIN(BM$38,$E239),$P$20))-SUM($BF239:BL239))</f>
        <v>0</v>
      </c>
      <c r="BN239" s="446">
        <f>IF($E239=0,0,IF(MIN(BN$38,$E239)&lt;MAX($P$34*($B239+$I$38-1),IF(AND($L$37=0,$P$34=0),"",$L$37-1)),0,YEARFRAC(MAX($P$34*($B239+$I$38-1),IF(AND($L$37=0,$P$34=0),"",$L$37-1)),MIN(BN$38,$E239),$P$20))-SUM($BF239:BM239))</f>
        <v>0</v>
      </c>
      <c r="BO239" s="446">
        <f>IF($E239=0,0,IF(MIN(BO$38,$E239)&lt;MAX($P$34*($B239+$I$38-1),IF(AND($L$37=0,$P$34=0),"",$L$37-1)),0,YEARFRAC(MAX($P$34*($B239+$I$38-1),IF(AND($L$37=0,$P$34=0),"",$L$37-1)),MIN(BO$38,$E239),$P$20))-SUM($BF239:BN239))</f>
        <v>0</v>
      </c>
      <c r="BP239" s="446">
        <f>IF($E239=0,0,IF(MIN(BP$38,$E239)&lt;MAX($P$34*($B239+$I$38-1),IF(AND($L$37=0,$P$34=0),"",$L$37-1)),0,YEARFRAC(MAX($P$34*($B239+$I$38-1),IF(AND($L$37=0,$P$34=0),"",$L$37-1)),MIN(BP$38,$E239),$P$20))-SUM($BF239:BO239))</f>
        <v>0</v>
      </c>
      <c r="BQ239" s="446">
        <f>IF($E239=0,0,IF(MIN(BQ$38,$E239)&lt;MAX($P$34*($B239+$I$38-1),IF(AND($L$37=0,$P$34=0),"",$L$37-1)),0,YEARFRAC(MAX($P$34*($B239+$I$38-1),IF(AND($L$37=0,$P$34=0),"",$L$37-1)),MIN(BQ$38,$E239),$P$20))-SUM($BF239:BP239))</f>
        <v>0</v>
      </c>
      <c r="BR239" s="446">
        <f>IF($E239=0,0,IF(MIN(BR$38,$E239)&lt;MAX($P$34*($B239+$I$38-1),IF(AND($L$37=0,$P$34=0),"",$L$37-1)),0,YEARFRAC(MAX($P$34*($B239+$I$38-1),IF(AND($L$37=0,$P$34=0),"",$L$37-1)),MIN(BR$38,$E239),$P$20))-SUM($BF239:BQ239))</f>
        <v>0</v>
      </c>
      <c r="BS239" s="446">
        <f>IF($E239=0,0,IF(MIN(BS$38,$E239)&lt;MAX($P$34*($B239+$I$38-1),IF(AND($L$37=0,$P$34=0),"",$L$37-1)),0,YEARFRAC(MAX($P$34*($B239+$I$38-1),IF(AND($L$37=0,$P$34=0),"",$L$37-1)),MIN(BS$38,$E239),$P$20))-SUM($BF239:BR239))</f>
        <v>0</v>
      </c>
      <c r="BT239" s="446">
        <f>IF($E239=0,0,IF(MIN(BT$38,$E239)&lt;MAX($P$34*($B239+$I$38-1),IF(AND($L$37=0,$P$34=0),"",$L$37-1)),0,YEARFRAC(MAX($P$34*($B239+$I$38-1),IF(AND($L$37=0,$P$34=0),"",$L$37-1)),MIN(BT$38,$E239),$P$20))-SUM($BF239:BS239))</f>
        <v>0</v>
      </c>
      <c r="BU239" s="446">
        <f>IF($E239=0,0,IF(MIN(BU$38,$E239)&lt;MAX($P$34*($B239+$I$38-1),IF(AND($L$37=0,$P$34=0),"",$L$37-1)),0,YEARFRAC(MAX($P$34*($B239+$I$38-1),IF(AND($L$37=0,$P$34=0),"",$L$37-1)),MIN(BU$38,$E239),$P$20))-SUM($BF239:BT239))</f>
        <v>0</v>
      </c>
      <c r="BV239" s="446">
        <f>IF($E239=0,0,IF(MIN(BV$38,$E239)&lt;MAX($P$34*($B239+$I$38-1),IF(AND($L$37=0,$P$34=0),"",$L$37-1)),0,YEARFRAC(MAX($P$34*($B239+$I$38-1),IF(AND($L$37=0,$P$34=0),"",$L$37-1)),MIN(BV$38,$E239),$P$20))-SUM($BF239:BU239))</f>
        <v>0</v>
      </c>
      <c r="BW239" s="446">
        <f>IF($E239=0,0,IF(MIN(BW$38,$E239)&lt;MAX($P$34*($B239+$I$38-1),IF(AND($L$37=0,$P$34=0),"",$L$37-1)),0,YEARFRAC(MAX($P$34*($B239+$I$38-1),IF(AND($L$37=0,$P$34=0),"",$L$37-1)),MIN(BW$38,$E239),$P$20))-SUM($BF239:BV239))</f>
        <v>0</v>
      </c>
      <c r="BX239" s="446">
        <f>IF($E239=0,0,IF(MIN(BX$38,$E239)&lt;MAX($P$34*($B239+$I$38-1),IF(AND($L$37=0,$P$34=0),"",$L$37-1)),0,YEARFRAC(MAX($P$34*($B239+$I$38-1),IF(AND($L$37=0,$P$34=0),"",$L$37-1)),MIN(BX$38,$E239),$P$20))-SUM($BF239:BW239))</f>
        <v>0</v>
      </c>
      <c r="BY239" s="446">
        <f>IF($E239=0,0,IF(MIN(BY$38,$E239)&lt;MAX($P$34*($B239+$I$38-1),IF(AND($L$37=0,$P$34=0),"",$L$37-1)),0,YEARFRAC(MAX($P$34*($B239+$I$38-1),IF(AND($L$37=0,$P$34=0),"",$L$37-1)),MIN(BY$38,$E239),$P$20))-SUM($BF239:BX239))</f>
        <v>0</v>
      </c>
      <c r="BZ239" s="446">
        <f>IF($E239=0,0,IF(MIN(BZ$38,$E239)&lt;MAX($P$34*($B239+$I$38-1),IF(AND($L$37=0,$P$34=0),"",$L$37-1)),0,YEARFRAC(MAX($P$34*($B239+$I$38-1),IF(AND($L$37=0,$P$34=0),"",$L$37-1)),MIN(BZ$38,$E239),$P$20))-SUM($BF239:BY239))</f>
        <v>0</v>
      </c>
      <c r="CA239" s="446">
        <f>IF($E239=0,0,IF(MIN(CA$38,$E239)&lt;MAX($P$34*($B239+$I$38-1),IF(AND($L$37=0,$P$34=0),"",$L$37-1)),0,YEARFRAC(MAX($P$34*($B239+$I$38-1),IF(AND($L$37=0,$P$34=0),"",$L$37-1)),MIN(CA$38,$E239),$P$20))-SUM($BF239:BZ239))</f>
        <v>0</v>
      </c>
      <c r="CB239" s="446">
        <f>IF($E239=0,0,IF(MIN(CB$38,$E239)&lt;MAX($P$34*($B239+$I$38-1),IF(AND($L$37=0,$P$34=0),"",$L$37-1)),0,YEARFRAC(MAX($P$34*($B239+$I$38-1),IF(AND($L$37=0,$P$34=0),"",$L$37-1)),MIN(CB$38,$E239),$P$20))-SUM($BF239:CA239))</f>
        <v>0</v>
      </c>
      <c r="CC239" s="446">
        <f>IF($E239=0,0,IF(MIN(CC$38,$E239)&lt;MAX($P$34*($B239+$I$38-1),IF(AND($L$37=0,$P$34=0),"",$L$37-1)),0,YEARFRAC(MAX($P$34*($B239+$I$38-1),IF(AND($L$37=0,$P$34=0),"",$L$37-1)),MIN(CC$38,$E239),$P$20))-SUM($BF239:CB239))</f>
        <v>0</v>
      </c>
      <c r="CD239" s="446">
        <f>IF($E239=0,0,IF(MIN(CD$38,$E239)&lt;MAX($P$34*($B239+$I$38-1),IF(AND($L$37=0,$P$34=0),"",$L$37-1)),0,YEARFRAC(MAX($P$34*($B239+$I$38-1),IF(AND($L$37=0,$P$34=0),"",$L$37-1)),MIN(CD$38,$E239),$P$20))-SUM($BF239:CC239))</f>
        <v>0</v>
      </c>
      <c r="CE239" s="446">
        <f>IF($E239=0,0,IF(MIN(CE$38,$E239)&lt;MAX($P$34*($B239+$I$38-1),IF(AND($L$37=0,$P$34=0),"",$L$37-1)),0,YEARFRAC(MAX($P$34*($B239+$I$38-1),IF(AND($L$37=0,$P$34=0),"",$L$37-1)),MIN(CE$38,$E239),$P$20))-SUM($BF239:CD239))</f>
        <v>0</v>
      </c>
      <c r="CF239" s="446">
        <f>IF($E239=0,0,IF(MIN(CF$38,$E239)&lt;MAX($P$34*($B239+$I$38-1),IF(AND($L$37=0,$P$34=0),"",$L$37-1)),0,YEARFRAC(MAX($P$34*($B239+$I$38-1),IF(AND($L$37=0,$P$34=0),"",$L$37-1)),MIN(CF$38,$E239),$P$20))-SUM($BF239:CE239))</f>
        <v>0</v>
      </c>
      <c r="CG239" s="446">
        <f>IF($E239=0,0,IF(MIN(CG$38,$E239)&lt;MAX($P$34*($B239+$I$38-1),IF(AND($L$37=0,$P$34=0),"",$L$37-1)),0,YEARFRAC(MAX($P$34*($B239+$I$38-1),IF(AND($L$37=0,$P$34=0),"",$L$37-1)),MIN(CG$38,$E239),$P$20))-SUM($BF239:CF239))</f>
        <v>0</v>
      </c>
      <c r="CH239" s="446">
        <f>IF($E239=0,0,IF(MIN(CH$38,$E239)&lt;MAX($P$34*($B239+$I$38-1),IF(AND($L$37=0,$P$34=0),"",$L$37-1)),0,YEARFRAC(MAX($P$34*($B239+$I$38-1),IF(AND($L$37=0,$P$34=0),"",$L$37-1)),MIN(CH$38,$E239),$P$20))-SUM($BF239:CG239))</f>
        <v>0</v>
      </c>
      <c r="CI239" s="446">
        <f>IF($E239=0,0,IF(MIN(CI$38,$E239)&lt;MAX($P$34*($B239+$I$38-1),IF(AND($L$37=0,$P$34=0),"",$L$37-1)),0,YEARFRAC(MAX($P$34*($B239+$I$38-1),IF(AND($L$37=0,$P$34=0),"",$L$37-1)),MIN(CI$38,$E239),$P$20))-SUM($BF239:CH239))</f>
        <v>0</v>
      </c>
      <c r="CJ239" s="446">
        <f>IF($E239=0,0,IF(MIN(CJ$38,$E239)&lt;MAX($P$34*($B239+$I$38-1),IF(AND($L$37=0,$P$34=0),"",$L$37-1)),0,YEARFRAC(MAX($P$34*($B239+$I$38-1),IF(AND($L$37=0,$P$34=0),"",$L$37-1)),MIN(CJ$38,$E239),$P$20))-SUM($BF239:CI239))</f>
        <v>0</v>
      </c>
      <c r="CK239" s="446">
        <f>IF($E239=0,0,IF(MIN(CK$38,$E239)&lt;MAX($P$34*($B239+$I$38-1),IF(AND($L$37=0,$P$34=0),"",$L$37-1)),0,YEARFRAC(MAX($P$34*($B239+$I$38-1),IF(AND($L$37=0,$P$34=0),"",$L$37-1)),MIN(CK$38,$E239),$P$20))-SUM($BF239:CJ239))</f>
        <v>0</v>
      </c>
      <c r="CL239" s="446">
        <f>IF($E239=0,0,IF(MIN(CL$38,$E239)&lt;MAX($P$34*($B239+$I$38-1),IF(AND($L$37=0,$P$34=0),"",$L$37-1)),0,YEARFRAC(MAX($P$34*($B239+$I$38-1),IF(AND($L$37=0,$P$34=0),"",$L$37-1)),MIN(CL$38,$E239),$P$20))-SUM($BF239:CK239))</f>
        <v>0</v>
      </c>
      <c r="CM239" s="446">
        <f>IF($E239=0,0,IF(MIN(CM$38,$E239)&lt;MAX($P$34*($B239+$I$38-1),IF(AND($L$37=0,$P$34=0),"",$L$37-1)),0,YEARFRAC(MAX($P$34*($B239+$I$38-1),IF(AND($L$37=0,$P$34=0),"",$L$37-1)),MIN(CM$38,$E239),$P$20))-SUM($BF239:CL239))</f>
        <v>0</v>
      </c>
      <c r="CN239" s="446">
        <f>IF($E239=0,0,IF(MIN(CN$38,$E239)&lt;MAX($P$34*($B239+$I$38-1),IF(AND($L$37=0,$P$34=0),"",$L$37-1)),0,YEARFRAC(MAX($P$34*($B239+$I$38-1),IF(AND($L$37=0,$P$34=0),"",$L$37-1)),MIN(CN$38,$E239),$P$20))-SUM($BF239:CM239))</f>
        <v>0</v>
      </c>
      <c r="CO239" s="446">
        <f>IF($E239=0,0,IF(MIN(CO$38,$E239)&lt;MAX($P$34*($B239+$I$38-1),IF(AND($L$37=0,$P$34=0),"",$L$37-1)),0,YEARFRAC(MAX($P$34*($B239+$I$38-1),IF(AND($L$37=0,$P$34=0),"",$L$37-1)),MIN(CO$38,$E239),$P$20))-SUM($BF239:CN239))</f>
        <v>0</v>
      </c>
      <c r="CP239" s="446">
        <f>IF($E239=0,0,IF(MIN(CP$38,$E239)&lt;MAX($P$34*($B239+$I$38-1),IF(AND($L$37=0,$P$34=0),"",$L$37-1)),0,YEARFRAC(MAX($P$34*($B239+$I$38-1),IF(AND($L$37=0,$P$34=0),"",$L$37-1)),MIN(CP$38,$E239),$P$20))-SUM($BF239:CO239))</f>
        <v>0</v>
      </c>
      <c r="CQ239" s="446">
        <f>IF($E239=0,0,IF(MIN(CQ$38,$E239)&lt;MAX($P$34*($B239+$I$38-1),IF(AND($L$37=0,$P$34=0),"",$L$37-1)),0,YEARFRAC(MAX($P$34*($B239+$I$38-1),IF(AND($L$37=0,$P$34=0),"",$L$37-1)),MIN(CQ$38,$E239),$P$20))-SUM($BF239:CP239))</f>
        <v>0</v>
      </c>
    </row>
    <row r="240" spans="1:95" s="446" customFormat="1" ht="11.25" hidden="1" customHeight="1" x14ac:dyDescent="0.2">
      <c r="A240" s="152"/>
      <c r="B240" s="153" t="str">
        <f t="shared" si="48"/>
        <v/>
      </c>
      <c r="C240" s="29" t="str">
        <f>IF(B240="","",IF($L$35="SELIC - TRIBUTOS",VLOOKUP(DATE(YEAR($D$19),MONTH($D$19)-1,1),ÍNDICES!$A:$DE,HLOOKUP($BL$25,ÍNDICES!$B$3:$T$4,2)+11)-VLOOKUP(B240,ÍNDICES!$A:$DE,HLOOKUP($BL$25,ÍNDICES!$B$3:$T$4,2)+11)+1%,IF(C$38=$W$26,$J$35,IF(ISERROR(IF(B240&gt;$D$19,1,VLOOKUP(DATE(YEAR(B240),MONTH(B240)+IF($C$35=$S$23,1,0),1),ÍNDICES!$A:$DE,$Z$35+1))),"",IF(B240&gt;$D$19,1,VLOOKUP(DATE(YEAR(B240),MONTH(B240)+IF($C$35=$S$23,1,0),1),ÍNDICES!$A:$DE,$Z$35+1))))))</f>
        <v/>
      </c>
      <c r="D240" s="154" t="str">
        <f>IF(ISERROR(IF(OR($D$38=$Y$27,$B240=""),"",VLOOKUP(B240,ÍNDICES!A:DE,AF$35+1))),"",IF(OR($D$38=$Y$27,$B240=""),"",VLOOKUP(B240,ÍNDICES!A:DE,AF$35+1)))</f>
        <v/>
      </c>
      <c r="E240" s="153"/>
      <c r="F240" s="29" t="str">
        <f>IF(E240="","",IF($L$35="SELIC - TRIBUTOS",VLOOKUP(DATE(YEAR($D$19),MONTH($D$19)-1,1),ÍNDICES!$A:$DE,HLOOKUP($BL$25,ÍNDICES!$B$3:$T$4,2)+11)-VLOOKUP(E240,ÍNDICES!$A:$DE,HLOOKUP($BL$25,ÍNDICES!$B$3:$T$4,2)+11)+1%,IF(F$38=$W$26,$J$35,IF(ISERROR(IF(E240&gt;$D$19,1,VLOOKUP(DATE(YEAR(E240),MONTH(E240)+IF($C$35=$S$23,1,0),1),ÍNDICES!$A:$DE,$Z$35+1))),"",IF(E240&gt;$D$19,1,VLOOKUP(DATE(YEAR(E240),MONTH(E240)+IF($C$35=$S$23,1,0),1),ÍNDICES!$A:$DE,$Z$35+1))))))</f>
        <v/>
      </c>
      <c r="G240" s="155"/>
      <c r="H240" s="156" t="str">
        <f t="shared" si="44"/>
        <v/>
      </c>
      <c r="I240" s="29" t="str">
        <f t="shared" si="38"/>
        <v/>
      </c>
      <c r="J240" s="5">
        <f t="shared" si="39"/>
        <v>0</v>
      </c>
      <c r="K240" s="20">
        <f t="shared" ca="1" si="40"/>
        <v>0</v>
      </c>
      <c r="L240" s="5">
        <f t="shared" ca="1" si="41"/>
        <v>0</v>
      </c>
      <c r="M240" s="64">
        <f t="shared" si="45"/>
        <v>0</v>
      </c>
      <c r="N240" s="61">
        <f t="shared" ca="1" si="46"/>
        <v>0</v>
      </c>
      <c r="O240" s="5">
        <f t="shared" ca="1" si="47"/>
        <v>0</v>
      </c>
      <c r="P240" s="446" t="e">
        <f t="shared" si="42"/>
        <v>#VALUE!</v>
      </c>
      <c r="Q240" s="446" t="e">
        <f>IF(OR($B240="",MIN(Q$38,$D$19)&lt;MAX($P$34*($B240+IF($R$17="Distrato",$I$38-1,0)),IF(AND($L$37=0,$P$34=0),"",$L$37-1),IF($R$17="Distrato",$E240,0))),0,YEARFRAC(MAX($P$34*($B240+IF($R$17="Distrato",$I$38-1,0)),IF(AND($L$37=0,$P$34=0),"",$L$37-1),IF($R$17="Distrato",$E240,0)),MIN(Q$38,$D$19),$P$20))-SUM($P240:P240)</f>
        <v>#VALUE!</v>
      </c>
      <c r="R240" s="446" t="e">
        <f>IF(OR($B240="",MIN(R$38,$D$19)&lt;MAX($P$34*($B240+IF($R$17="Distrato",$I$38-1,0)),IF(AND($L$37=0,$P$34=0),"",$L$37-1),IF($R$17="Distrato",$E240,0))),0,YEARFRAC(MAX($P$34*($B240+IF($R$17="Distrato",$I$38-1,0)),IF(AND($L$37=0,$P$34=0),"",$L$37-1),IF($R$17="Distrato",$E240,0)),MIN(R$38,$D$19),$P$20))-SUM($P240:Q240)</f>
        <v>#VALUE!</v>
      </c>
      <c r="S240" s="446" t="e">
        <f>IF(OR($B240="",MIN(S$38,$D$19)&lt;MAX($P$34*($B240+IF($R$17="Distrato",$I$38-1,0)),IF(AND($L$37=0,$P$34=0),"",$L$37-1),IF($R$17="Distrato",$E240,0))),0,YEARFRAC(MAX($P$34*($B240+IF($R$17="Distrato",$I$38-1,0)),IF(AND($L$37=0,$P$34=0),"",$L$37-1),IF($R$17="Distrato",$E240,0)),MIN(S$38,$D$19),$P$20))-SUM($P240:R240)</f>
        <v>#VALUE!</v>
      </c>
      <c r="T240" s="446" t="e">
        <f>IF(OR($B240="",MIN(T$38,$D$19)&lt;MAX($P$34*($B240+IF($R$17="Distrato",$I$38-1,0)),IF(AND($L$37=0,$P$34=0),"",$L$37-1),IF($R$17="Distrato",$E240,0))),0,YEARFRAC(MAX($P$34*($B240+IF($R$17="Distrato",$I$38-1,0)),IF(AND($L$37=0,$P$34=0),"",$L$37-1),IF($R$17="Distrato",$E240,0)),MIN(T$38,$D$19),$P$20))-SUM($P240:S240)</f>
        <v>#VALUE!</v>
      </c>
      <c r="U240" s="446" t="e">
        <f>IF(OR($B240="",MIN(U$38,$D$19)&lt;MAX($P$34*($B240+IF($R$17="Distrato",$I$38-1,0)),IF(AND($L$37=0,$P$34=0),"",$L$37-1),IF($R$17="Distrato",$E240,0))),0,YEARFRAC(MAX($P$34*($B240+IF($R$17="Distrato",$I$38-1,0)),IF(AND($L$37=0,$P$34=0),"",$L$37-1),IF($R$17="Distrato",$E240,0)),MIN(U$38,$D$19),$P$20))-SUM($P240:T240)</f>
        <v>#VALUE!</v>
      </c>
      <c r="V240" s="446" t="e">
        <f>IF(OR($B240="",MIN(V$38,$D$19)&lt;MAX($P$34*($B240+IF($R$17="Distrato",$I$38-1,0)),IF(AND($L$37=0,$P$34=0),"",$L$37-1),IF($R$17="Distrato",$E240,0))),0,YEARFRAC(MAX($P$34*($B240+IF($R$17="Distrato",$I$38-1,0)),IF(AND($L$37=0,$P$34=0),"",$L$37-1),IF($R$17="Distrato",$E240,0)),MIN(V$38,$D$19),$P$20))-SUM($P240:U240)</f>
        <v>#VALUE!</v>
      </c>
      <c r="W240" s="446" t="e">
        <f>IF(OR($B240="",MIN(W$38,$D$19)&lt;MAX($P$34*($B240+IF($R$17="Distrato",$I$38-1,0)),IF(AND($L$37=0,$P$34=0),"",$L$37-1),IF($R$17="Distrato",$E240,0))),0,YEARFRAC(MAX($P$34*($B240+IF($R$17="Distrato",$I$38-1,0)),IF(AND($L$37=0,$P$34=0),"",$L$37-1),IF($R$17="Distrato",$E240,0)),MIN(W$38,$D$19),$P$20))-SUM($P240:V240)</f>
        <v>#VALUE!</v>
      </c>
      <c r="X240" s="446" t="e">
        <f>IF(OR($B240="",MIN(X$38,$D$19)&lt;MAX($P$34*($B240+IF($R$17="Distrato",$I$38-1,0)),IF(AND($L$37=0,$P$34=0),"",$L$37-1),IF($R$17="Distrato",$E240,0))),0,YEARFRAC(MAX($P$34*($B240+IF($R$17="Distrato",$I$38-1,0)),IF(AND($L$37=0,$P$34=0),"",$L$37-1),IF($R$17="Distrato",$E240,0)),MIN(X$38,$D$19),$P$20))-SUM($P240:W240)</f>
        <v>#VALUE!</v>
      </c>
      <c r="Y240" s="446" t="e">
        <f>IF(OR($B240="",MIN(Y$38,$D$19)&lt;MAX($P$34*($B240+IF($R$17="Distrato",$I$38-1,0)),IF(AND($L$37=0,$P$34=0),"",$L$37-1),IF($R$17="Distrato",$E240,0))),0,YEARFRAC(MAX($P$34*($B240+IF($R$17="Distrato",$I$38-1,0)),IF(AND($L$37=0,$P$34=0),"",$L$37-1),IF($R$17="Distrato",$E240,0)),MIN(Y$38,$D$19),$P$20))-SUM($P240:X240)</f>
        <v>#VALUE!</v>
      </c>
      <c r="Z240" s="446" t="e">
        <f>IF(OR($B240="",MIN(Z$38,$D$19)&lt;MAX($P$34*($B240+IF($R$17="Distrato",$I$38-1,0)),IF(AND($L$37=0,$P$34=0),"",$L$37-1),IF($R$17="Distrato",$E240,0))),0,YEARFRAC(MAX($P$34*($B240+IF($R$17="Distrato",$I$38-1,0)),IF(AND($L$37=0,$P$34=0),"",$L$37-1),IF($R$17="Distrato",$E240,0)),MIN(Z$38,$D$19),$P$20))-SUM($P240:Y240)</f>
        <v>#VALUE!</v>
      </c>
      <c r="AA240" s="446" t="e">
        <f>IF(OR($B240="",MIN(AA$38,$D$19)&lt;MAX($P$34*($B240+IF($R$17="Distrato",$I$38-1,0)),IF(AND($L$37=0,$P$34=0),"",$L$37-1),IF($R$17="Distrato",$E240,0))),0,YEARFRAC(MAX($P$34*($B240+IF($R$17="Distrato",$I$38-1,0)),IF(AND($L$37=0,$P$34=0),"",$L$37-1),IF($R$17="Distrato",$E240,0)),MIN(AA$38,$D$19),$P$20))-SUM($P240:Z240)</f>
        <v>#VALUE!</v>
      </c>
      <c r="AB240" s="446" t="e">
        <f>IF(OR($B240="",MIN(AB$38,$D$19)&lt;MAX($P$34*($B240+IF($R$17="Distrato",$I$38-1,0)),IF(AND($L$37=0,$P$34=0),"",$L$37-1),IF($R$17="Distrato",$E240,0))),0,YEARFRAC(MAX($P$34*($B240+IF($R$17="Distrato",$I$38-1,0)),IF(AND($L$37=0,$P$34=0),"",$L$37-1),IF($R$17="Distrato",$E240,0)),MIN(AB$38,$D$19),$P$20))-SUM($P240:AA240)</f>
        <v>#VALUE!</v>
      </c>
      <c r="AC240" s="446" t="e">
        <f>IF(OR($B240="",MIN(AC$38,$D$19)&lt;MAX($P$34*($B240+IF($R$17="Distrato",$I$38-1,0)),IF(AND($L$37=0,$P$34=0),"",$L$37-1),IF($R$17="Distrato",$E240,0))),0,YEARFRAC(MAX($P$34*($B240+IF($R$17="Distrato",$I$38-1,0)),IF(AND($L$37=0,$P$34=0),"",$L$37-1),IF($R$17="Distrato",$E240,0)),MIN(AC$38,$D$19),$P$20))-SUM($P240:AB240)</f>
        <v>#VALUE!</v>
      </c>
      <c r="AD240" s="446" t="e">
        <f>IF(OR($B240="",MIN(AD$38,$D$19)&lt;MAX($P$34*($B240+IF($R$17="Distrato",$I$38-1,0)),IF(AND($L$37=0,$P$34=0),"",$L$37-1),IF($R$17="Distrato",$E240,0))),0,YEARFRAC(MAX($P$34*($B240+IF($R$17="Distrato",$I$38-1,0)),IF(AND($L$37=0,$P$34=0),"",$L$37-1),IF($R$17="Distrato",$E240,0)),MIN(AD$38,$D$19),$P$20))-SUM($P240:AC240)</f>
        <v>#VALUE!</v>
      </c>
      <c r="AE240" s="446" t="e">
        <f>IF(OR($B240="",MIN(AE$38,$D$19)&lt;MAX($P$34*($B240+IF($R$17="Distrato",$I$38-1,0)),IF(AND($L$37=0,$P$34=0),"",$L$37-1),IF($R$17="Distrato",$E240,0))),0,YEARFRAC(MAX($P$34*($B240+IF($R$17="Distrato",$I$38-1,0)),IF(AND($L$37=0,$P$34=0),"",$L$37-1),IF($R$17="Distrato",$E240,0)),MIN(AE$38,$D$19),$P$20))-SUM($P240:AD240)</f>
        <v>#VALUE!</v>
      </c>
      <c r="AF240" s="446" t="e">
        <f>IF(OR($B240="",MIN(AF$38,$D$19)&lt;MAX($P$34*($B240+IF($R$17="Distrato",$I$38-1,0)),IF(AND($L$37=0,$P$34=0),"",$L$37-1),IF($R$17="Distrato",$E240,0))),0,YEARFRAC(MAX($P$34*($B240+IF($R$17="Distrato",$I$38-1,0)),IF(AND($L$37=0,$P$34=0),"",$L$37-1),IF($R$17="Distrato",$E240,0)),MIN(AF$38,$D$19),$P$20))-SUM($P240:AE240)</f>
        <v>#VALUE!</v>
      </c>
      <c r="AG240" s="446" t="e">
        <f>IF(OR($B240="",MIN(AG$38,$D$19)&lt;MAX($P$34*($B240+IF($R$17="Distrato",$I$38-1,0)),IF(AND($L$37=0,$P$34=0),"",$L$37-1),IF($R$17="Distrato",$E240,0))),0,YEARFRAC(MAX($P$34*($B240+IF($R$17="Distrato",$I$38-1,0)),IF(AND($L$37=0,$P$34=0),"",$L$37-1),IF($R$17="Distrato",$E240,0)),MIN(AG$38,$D$19),$P$20))-SUM($P240:AF240)</f>
        <v>#VALUE!</v>
      </c>
      <c r="AH240" s="446" t="e">
        <f>IF(OR($B240="",MIN(AH$38,$D$19)&lt;MAX($P$34*($B240+IF($R$17="Distrato",$I$38-1,0)),IF(AND($L$37=0,$P$34=0),"",$L$37-1),IF($R$17="Distrato",$E240,0))),0,YEARFRAC(MAX($P$34*($B240+IF($R$17="Distrato",$I$38-1,0)),IF(AND($L$37=0,$P$34=0),"",$L$37-1),IF($R$17="Distrato",$E240,0)),MIN(AH$38,$D$19),$P$20))-SUM($P240:AG240)</f>
        <v>#VALUE!</v>
      </c>
      <c r="AI240" s="446" t="e">
        <f>IF(OR($B240="",MIN(AI$38,$D$19)&lt;MAX($P$34*($B240+IF($R$17="Distrato",$I$38-1,0)),IF(AND($L$37=0,$P$34=0),"",$L$37-1),IF($R$17="Distrato",$E240,0))),0,YEARFRAC(MAX($P$34*($B240+IF($R$17="Distrato",$I$38-1,0)),IF(AND($L$37=0,$P$34=0),"",$L$37-1),IF($R$17="Distrato",$E240,0)),MIN(AI$38,$D$19),$P$20))-SUM($P240:AH240)</f>
        <v>#VALUE!</v>
      </c>
      <c r="AJ240" s="446" t="e">
        <f>IF(OR($B240="",MIN(AJ$38,$D$19)&lt;MAX($P$34*($B240+IF($R$17="Distrato",$I$38-1,0)),IF(AND($L$37=0,$P$34=0),"",$L$37-1),IF($R$17="Distrato",$E240,0))),0,YEARFRAC(MAX($P$34*($B240+IF($R$17="Distrato",$I$38-1,0)),IF(AND($L$37=0,$P$34=0),"",$L$37-1),IF($R$17="Distrato",$E240,0)),MIN(AJ$38,$D$19),$P$20))-SUM($P240:AI240)</f>
        <v>#VALUE!</v>
      </c>
      <c r="AK240" s="446" t="e">
        <f>IF(OR($B240="",MIN(AK$38,$D$19)&lt;MAX($P$34*($B240+IF($R$17="Distrato",$I$38-1,0)),IF(AND($L$37=0,$P$34=0),"",$L$37-1),IF($R$17="Distrato",$E240,0))),0,YEARFRAC(MAX($P$34*($B240+IF($R$17="Distrato",$I$38-1,0)),IF(AND($L$37=0,$P$34=0),"",$L$37-1),IF($R$17="Distrato",$E240,0)),MIN(AK$38,$D$19),$P$20))-SUM($P240:AJ240)</f>
        <v>#VALUE!</v>
      </c>
      <c r="AL240" s="446" t="e">
        <f>IF(OR($B240="",MIN(AL$38,$D$19)&lt;MAX($P$34*($B240+IF($R$17="Distrato",$I$38-1,0)),IF(AND($L$37=0,$P$34=0),"",$L$37-1),IF($R$17="Distrato",$E240,0))),0,YEARFRAC(MAX($P$34*($B240+IF($R$17="Distrato",$I$38-1,0)),IF(AND($L$37=0,$P$34=0),"",$L$37-1),IF($R$17="Distrato",$E240,0)),MIN(AL$38,$D$19),$P$20))-SUM($P240:AK240)</f>
        <v>#VALUE!</v>
      </c>
      <c r="AM240" s="446" t="e">
        <f>IF(OR($B240="",MIN(AM$38,$D$19)&lt;MAX($P$34*($B240+IF($R$17="Distrato",$I$38-1,0)),IF(AND($L$37=0,$P$34=0),"",$L$37-1),IF($R$17="Distrato",$E240,0))),0,YEARFRAC(MAX($P$34*($B240+IF($R$17="Distrato",$I$38-1,0)),IF(AND($L$37=0,$P$34=0),"",$L$37-1),IF($R$17="Distrato",$E240,0)),MIN(AM$38,$D$19),$P$20))-SUM($P240:AL240)</f>
        <v>#VALUE!</v>
      </c>
      <c r="AN240" s="446" t="e">
        <f>IF(OR($B240="",MIN(AN$38,$D$19)&lt;MAX($P$34*($B240+IF($R$17="Distrato",$I$38-1,0)),IF(AND($L$37=0,$P$34=0),"",$L$37-1),IF($R$17="Distrato",$E240,0))),0,YEARFRAC(MAX($P$34*($B240+IF($R$17="Distrato",$I$38-1,0)),IF(AND($L$37=0,$P$34=0),"",$L$37-1),IF($R$17="Distrato",$E240,0)),MIN(AN$38,$D$19),$P$20))-SUM($P240:AM240)</f>
        <v>#VALUE!</v>
      </c>
      <c r="AO240" s="446" t="e">
        <f>IF(OR($B240="",MIN(AO$38,$D$19)&lt;MAX($P$34*($B240+IF($R$17="Distrato",$I$38-1,0)),IF(AND($L$37=0,$P$34=0),"",$L$37-1),IF($R$17="Distrato",$E240,0))),0,YEARFRAC(MAX($P$34*($B240+IF($R$17="Distrato",$I$38-1,0)),IF(AND($L$37=0,$P$34=0),"",$L$37-1),IF($R$17="Distrato",$E240,0)),MIN(AO$38,$D$19),$P$20))-SUM($P240:AN240)</f>
        <v>#VALUE!</v>
      </c>
      <c r="AP240" s="446" t="e">
        <f>IF(OR($B240="",MIN(AP$38,$D$19)&lt;MAX($P$34*($B240+IF($R$17="Distrato",$I$38-1,0)),IF(AND($L$37=0,$P$34=0),"",$L$37-1),IF($R$17="Distrato",$E240,0))),0,YEARFRAC(MAX($P$34*($B240+IF($R$17="Distrato",$I$38-1,0)),IF(AND($L$37=0,$P$34=0),"",$L$37-1),IF($R$17="Distrato",$E240,0)),MIN(AP$38,$D$19),$P$20))-SUM($P240:AO240)</f>
        <v>#VALUE!</v>
      </c>
      <c r="AQ240" s="446" t="e">
        <f>IF(OR($B240="",MIN(AQ$38,$D$19)&lt;MAX($P$34*($B240+IF($R$17="Distrato",$I$38-1,0)),IF(AND($L$37=0,$P$34=0),"",$L$37-1),IF($R$17="Distrato",$E240,0))),0,YEARFRAC(MAX($P$34*($B240+IF($R$17="Distrato",$I$38-1,0)),IF(AND($L$37=0,$P$34=0),"",$L$37-1),IF($R$17="Distrato",$E240,0)),MIN(AQ$38,$D$19),$P$20))-SUM($P240:AP240)</f>
        <v>#VALUE!</v>
      </c>
      <c r="AR240" s="446" t="e">
        <f>IF(OR($B240="",MIN(AR$38,$D$19)&lt;MAX($P$34*($B240+IF($R$17="Distrato",$I$38-1,0)),IF(AND($L$37=0,$P$34=0),"",$L$37-1),IF($R$17="Distrato",$E240,0))),0,YEARFRAC(MAX($P$34*($B240+IF($R$17="Distrato",$I$38-1,0)),IF(AND($L$37=0,$P$34=0),"",$L$37-1),IF($R$17="Distrato",$E240,0)),MIN(AR$38,$D$19),$P$20))-SUM($P240:AQ240)</f>
        <v>#VALUE!</v>
      </c>
      <c r="AS240" s="446" t="e">
        <f>IF(OR($B240="",MIN(AS$38,$D$19)&lt;MAX($P$34*($B240+IF($R$17="Distrato",$I$38-1,0)),IF(AND($L$37=0,$P$34=0),"",$L$37-1),IF($R$17="Distrato",$E240,0))),0,YEARFRAC(MAX($P$34*($B240+IF($R$17="Distrato",$I$38-1,0)),IF(AND($L$37=0,$P$34=0),"",$L$37-1),IF($R$17="Distrato",$E240,0)),MIN(AS$38,$D$19),$P$20))-SUM($P240:AR240)</f>
        <v>#VALUE!</v>
      </c>
      <c r="AT240" s="446" t="e">
        <f>IF(OR($B240="",MIN(AT$38,$D$19)&lt;MAX($P$34*($B240+IF($R$17="Distrato",$I$38-1,0)),IF(AND($L$37=0,$P$34=0),"",$L$37-1),IF($R$17="Distrato",$E240,0))),0,YEARFRAC(MAX($P$34*($B240+IF($R$17="Distrato",$I$38-1,0)),IF(AND($L$37=0,$P$34=0),"",$L$37-1),IF($R$17="Distrato",$E240,0)),MIN(AT$38,$D$19),$P$20))-SUM($P240:AS240)</f>
        <v>#VALUE!</v>
      </c>
      <c r="AU240" s="446" t="e">
        <f>IF(OR($B240="",MIN(AU$38,$D$19)&lt;MAX($P$34*($B240+IF($R$17="Distrato",$I$38-1,0)),IF(AND($L$37=0,$P$34=0),"",$L$37-1),IF($R$17="Distrato",$E240,0))),0,YEARFRAC(MAX($P$34*($B240+IF($R$17="Distrato",$I$38-1,0)),IF(AND($L$37=0,$P$34=0),"",$L$37-1),IF($R$17="Distrato",$E240,0)),MIN(AU$38,$D$19),$P$20))-SUM($P240:AT240)</f>
        <v>#VALUE!</v>
      </c>
      <c r="AV240" s="446" t="e">
        <f>IF(OR($B240="",MIN(AV$38,$D$19)&lt;MAX($P$34*($B240+IF($R$17="Distrato",$I$38-1,0)),IF(AND($L$37=0,$P$34=0),"",$L$37-1),IF($R$17="Distrato",$E240,0))),0,YEARFRAC(MAX($P$34*($B240+IF($R$17="Distrato",$I$38-1,0)),IF(AND($L$37=0,$P$34=0),"",$L$37-1),IF($R$17="Distrato",$E240,0)),MIN(AV$38,$D$19),$P$20))-SUM($P240:AU240)</f>
        <v>#VALUE!</v>
      </c>
      <c r="AW240" s="446" t="e">
        <f>IF(OR($B240="",MIN(AW$38,$D$19)&lt;MAX($P$34*($B240+IF($R$17="Distrato",$I$38-1,0)),IF(AND($L$37=0,$P$34=0),"",$L$37-1),IF($R$17="Distrato",$E240,0))),0,YEARFRAC(MAX($P$34*($B240+IF($R$17="Distrato",$I$38-1,0)),IF(AND($L$37=0,$P$34=0),"",$L$37-1),IF($R$17="Distrato",$E240,0)),MIN(AW$38,$D$19),$P$20))-SUM($P240:AV240)</f>
        <v>#VALUE!</v>
      </c>
      <c r="AX240" s="446" t="e">
        <f>IF(OR($B240="",MIN(AX$38,$D$19)&lt;MAX($P$34*($B240+IF($R$17="Distrato",$I$38-1,0)),IF(AND($L$37=0,$P$34=0),"",$L$37-1),IF($R$17="Distrato",$E240,0))),0,YEARFRAC(MAX($P$34*($B240+IF($R$17="Distrato",$I$38-1,0)),IF(AND($L$37=0,$P$34=0),"",$L$37-1),IF($R$17="Distrato",$E240,0)),MIN(AX$38,$D$19),$P$20))-SUM($P240:AW240)</f>
        <v>#VALUE!</v>
      </c>
      <c r="AY240" s="446" t="e">
        <f>IF(OR($B240="",MIN(AY$38,$D$19)&lt;MAX($P$34*($B240+IF($R$17="Distrato",$I$38-1,0)),IF(AND($L$37=0,$P$34=0),"",$L$37-1),IF($R$17="Distrato",$E240,0))),0,YEARFRAC(MAX($P$34*($B240+IF($R$17="Distrato",$I$38-1,0)),IF(AND($L$37=0,$P$34=0),"",$L$37-1),IF($R$17="Distrato",$E240,0)),MIN(AY$38,$D$19),$P$20))-SUM($P240:AX240)</f>
        <v>#VALUE!</v>
      </c>
      <c r="AZ240" s="446" t="e">
        <f>IF(OR($B240="",MIN(AZ$38,$D$19)&lt;MAX($P$34*($B240+IF($R$17="Distrato",$I$38-1,0)),IF(AND($L$37=0,$P$34=0),"",$L$37-1),IF($R$17="Distrato",$E240,0))),0,YEARFRAC(MAX($P$34*($B240+IF($R$17="Distrato",$I$38-1,0)),IF(AND($L$37=0,$P$34=0),"",$L$37-1),IF($R$17="Distrato",$E240,0)),MIN(AZ$38,$D$19),$P$20))-SUM($P240:AY240)</f>
        <v>#VALUE!</v>
      </c>
      <c r="BA240" s="446" t="e">
        <f>IF(OR($B240="",MIN(BA$38,$D$19)&lt;MAX($P$34*($B240+IF($R$17="Distrato",$I$38-1,0)),IF(AND($L$37=0,$P$34=0),"",$L$37-1),IF($R$17="Distrato",$E240,0))),0,YEARFRAC(MAX($P$34*($B240+IF($R$17="Distrato",$I$38-1,0)),IF(AND($L$37=0,$P$34=0),"",$L$37-1),IF($R$17="Distrato",$E240,0)),MIN(BA$38,$D$19),$P$20))-SUM($P240:AZ240)</f>
        <v>#VALUE!</v>
      </c>
      <c r="BB240" s="447"/>
      <c r="BF240" s="446">
        <f t="shared" si="43"/>
        <v>0</v>
      </c>
      <c r="BG240" s="446">
        <f>IF($E240=0,0,IF(MIN(BG$38,$E240)&lt;MAX($P$34*($B240+$I$38-1),IF(AND($L$37=0,$P$34=0),"",$L$37-1)),0,YEARFRAC(MAX($P$34*($B240+$I$38-1),IF(AND($L$37=0,$P$34=0),"",$L$37-1)),MIN(BG$38,$E240),$P$20))-SUM($BF240:BF240))</f>
        <v>0</v>
      </c>
      <c r="BH240" s="446">
        <f>IF($E240=0,0,IF(MIN(BH$38,$E240)&lt;MAX($P$34*($B240+$I$38-1),IF(AND($L$37=0,$P$34=0),"",$L$37-1)),0,YEARFRAC(MAX($P$34*($B240+$I$38-1),IF(AND($L$37=0,$P$34=0),"",$L$37-1)),MIN(BH$38,$E240),$P$20))-SUM($BF240:BG240))</f>
        <v>0</v>
      </c>
      <c r="BI240" s="446">
        <f>IF($E240=0,0,IF(MIN(BI$38,$E240)&lt;MAX($P$34*($B240+$I$38-1),IF(AND($L$37=0,$P$34=0),"",$L$37-1)),0,YEARFRAC(MAX($P$34*($B240+$I$38-1),IF(AND($L$37=0,$P$34=0),"",$L$37-1)),MIN(BI$38,$E240),$P$20))-SUM($BF240:BH240))</f>
        <v>0</v>
      </c>
      <c r="BJ240" s="446">
        <f>IF($E240=0,0,IF(MIN(BJ$38,$E240)&lt;MAX($P$34*($B240+$I$38-1),IF(AND($L$37=0,$P$34=0),"",$L$37-1)),0,YEARFRAC(MAX($P$34*($B240+$I$38-1),IF(AND($L$37=0,$P$34=0),"",$L$37-1)),MIN(BJ$38,$E240),$P$20))-SUM($BF240:BI240))</f>
        <v>0</v>
      </c>
      <c r="BK240" s="446">
        <f>IF($E240=0,0,IF(MIN(BK$38,$E240)&lt;MAX($P$34*($B240+$I$38-1),IF(AND($L$37=0,$P$34=0),"",$L$37-1)),0,YEARFRAC(MAX($P$34*($B240+$I$38-1),IF(AND($L$37=0,$P$34=0),"",$L$37-1)),MIN(BK$38,$E240),$P$20))-SUM($BF240:BJ240))</f>
        <v>0</v>
      </c>
      <c r="BL240" s="446">
        <f>IF($E240=0,0,IF(MIN(BL$38,$E240)&lt;MAX($P$34*($B240+$I$38-1),IF(AND($L$37=0,$P$34=0),"",$L$37-1)),0,YEARFRAC(MAX($P$34*($B240+$I$38-1),IF(AND($L$37=0,$P$34=0),"",$L$37-1)),MIN(BL$38,$E240),$P$20))-SUM($BF240:BK240))</f>
        <v>0</v>
      </c>
      <c r="BM240" s="446">
        <f>IF($E240=0,0,IF(MIN(BM$38,$E240)&lt;MAX($P$34*($B240+$I$38-1),IF(AND($L$37=0,$P$34=0),"",$L$37-1)),0,YEARFRAC(MAX($P$34*($B240+$I$38-1),IF(AND($L$37=0,$P$34=0),"",$L$37-1)),MIN(BM$38,$E240),$P$20))-SUM($BF240:BL240))</f>
        <v>0</v>
      </c>
      <c r="BN240" s="446">
        <f>IF($E240=0,0,IF(MIN(BN$38,$E240)&lt;MAX($P$34*($B240+$I$38-1),IF(AND($L$37=0,$P$34=0),"",$L$37-1)),0,YEARFRAC(MAX($P$34*($B240+$I$38-1),IF(AND($L$37=0,$P$34=0),"",$L$37-1)),MIN(BN$38,$E240),$P$20))-SUM($BF240:BM240))</f>
        <v>0</v>
      </c>
      <c r="BO240" s="446">
        <f>IF($E240=0,0,IF(MIN(BO$38,$E240)&lt;MAX($P$34*($B240+$I$38-1),IF(AND($L$37=0,$P$34=0),"",$L$37-1)),0,YEARFRAC(MAX($P$34*($B240+$I$38-1),IF(AND($L$37=0,$P$34=0),"",$L$37-1)),MIN(BO$38,$E240),$P$20))-SUM($BF240:BN240))</f>
        <v>0</v>
      </c>
      <c r="BP240" s="446">
        <f>IF($E240=0,0,IF(MIN(BP$38,$E240)&lt;MAX($P$34*($B240+$I$38-1),IF(AND($L$37=0,$P$34=0),"",$L$37-1)),0,YEARFRAC(MAX($P$34*($B240+$I$38-1),IF(AND($L$37=0,$P$34=0),"",$L$37-1)),MIN(BP$38,$E240),$P$20))-SUM($BF240:BO240))</f>
        <v>0</v>
      </c>
      <c r="BQ240" s="446">
        <f>IF($E240=0,0,IF(MIN(BQ$38,$E240)&lt;MAX($P$34*($B240+$I$38-1),IF(AND($L$37=0,$P$34=0),"",$L$37-1)),0,YEARFRAC(MAX($P$34*($B240+$I$38-1),IF(AND($L$37=0,$P$34=0),"",$L$37-1)),MIN(BQ$38,$E240),$P$20))-SUM($BF240:BP240))</f>
        <v>0</v>
      </c>
      <c r="BR240" s="446">
        <f>IF($E240=0,0,IF(MIN(BR$38,$E240)&lt;MAX($P$34*($B240+$I$38-1),IF(AND($L$37=0,$P$34=0),"",$L$37-1)),0,YEARFRAC(MAX($P$34*($B240+$I$38-1),IF(AND($L$37=0,$P$34=0),"",$L$37-1)),MIN(BR$38,$E240),$P$20))-SUM($BF240:BQ240))</f>
        <v>0</v>
      </c>
      <c r="BS240" s="446">
        <f>IF($E240=0,0,IF(MIN(BS$38,$E240)&lt;MAX($P$34*($B240+$I$38-1),IF(AND($L$37=0,$P$34=0),"",$L$37-1)),0,YEARFRAC(MAX($P$34*($B240+$I$38-1),IF(AND($L$37=0,$P$34=0),"",$L$37-1)),MIN(BS$38,$E240),$P$20))-SUM($BF240:BR240))</f>
        <v>0</v>
      </c>
      <c r="BT240" s="446">
        <f>IF($E240=0,0,IF(MIN(BT$38,$E240)&lt;MAX($P$34*($B240+$I$38-1),IF(AND($L$37=0,$P$34=0),"",$L$37-1)),0,YEARFRAC(MAX($P$34*($B240+$I$38-1),IF(AND($L$37=0,$P$34=0),"",$L$37-1)),MIN(BT$38,$E240),$P$20))-SUM($BF240:BS240))</f>
        <v>0</v>
      </c>
      <c r="BU240" s="446">
        <f>IF($E240=0,0,IF(MIN(BU$38,$E240)&lt;MAX($P$34*($B240+$I$38-1),IF(AND($L$37=0,$P$34=0),"",$L$37-1)),0,YEARFRAC(MAX($P$34*($B240+$I$38-1),IF(AND($L$37=0,$P$34=0),"",$L$37-1)),MIN(BU$38,$E240),$P$20))-SUM($BF240:BT240))</f>
        <v>0</v>
      </c>
      <c r="BV240" s="446">
        <f>IF($E240=0,0,IF(MIN(BV$38,$E240)&lt;MAX($P$34*($B240+$I$38-1),IF(AND($L$37=0,$P$34=0),"",$L$37-1)),0,YEARFRAC(MAX($P$34*($B240+$I$38-1),IF(AND($L$37=0,$P$34=0),"",$L$37-1)),MIN(BV$38,$E240),$P$20))-SUM($BF240:BU240))</f>
        <v>0</v>
      </c>
      <c r="BW240" s="446">
        <f>IF($E240=0,0,IF(MIN(BW$38,$E240)&lt;MAX($P$34*($B240+$I$38-1),IF(AND($L$37=0,$P$34=0),"",$L$37-1)),0,YEARFRAC(MAX($P$34*($B240+$I$38-1),IF(AND($L$37=0,$P$34=0),"",$L$37-1)),MIN(BW$38,$E240),$P$20))-SUM($BF240:BV240))</f>
        <v>0</v>
      </c>
      <c r="BX240" s="446">
        <f>IF($E240=0,0,IF(MIN(BX$38,$E240)&lt;MAX($P$34*($B240+$I$38-1),IF(AND($L$37=0,$P$34=0),"",$L$37-1)),0,YEARFRAC(MAX($P$34*($B240+$I$38-1),IF(AND($L$37=0,$P$34=0),"",$L$37-1)),MIN(BX$38,$E240),$P$20))-SUM($BF240:BW240))</f>
        <v>0</v>
      </c>
      <c r="BY240" s="446">
        <f>IF($E240=0,0,IF(MIN(BY$38,$E240)&lt;MAX($P$34*($B240+$I$38-1),IF(AND($L$37=0,$P$34=0),"",$L$37-1)),0,YEARFRAC(MAX($P$34*($B240+$I$38-1),IF(AND($L$37=0,$P$34=0),"",$L$37-1)),MIN(BY$38,$E240),$P$20))-SUM($BF240:BX240))</f>
        <v>0</v>
      </c>
      <c r="BZ240" s="446">
        <f>IF($E240=0,0,IF(MIN(BZ$38,$E240)&lt;MAX($P$34*($B240+$I$38-1),IF(AND($L$37=0,$P$34=0),"",$L$37-1)),0,YEARFRAC(MAX($P$34*($B240+$I$38-1),IF(AND($L$37=0,$P$34=0),"",$L$37-1)),MIN(BZ$38,$E240),$P$20))-SUM($BF240:BY240))</f>
        <v>0</v>
      </c>
      <c r="CA240" s="446">
        <f>IF($E240=0,0,IF(MIN(CA$38,$E240)&lt;MAX($P$34*($B240+$I$38-1),IF(AND($L$37=0,$P$34=0),"",$L$37-1)),0,YEARFRAC(MAX($P$34*($B240+$I$38-1),IF(AND($L$37=0,$P$34=0),"",$L$37-1)),MIN(CA$38,$E240),$P$20))-SUM($BF240:BZ240))</f>
        <v>0</v>
      </c>
      <c r="CB240" s="446">
        <f>IF($E240=0,0,IF(MIN(CB$38,$E240)&lt;MAX($P$34*($B240+$I$38-1),IF(AND($L$37=0,$P$34=0),"",$L$37-1)),0,YEARFRAC(MAX($P$34*($B240+$I$38-1),IF(AND($L$37=0,$P$34=0),"",$L$37-1)),MIN(CB$38,$E240),$P$20))-SUM($BF240:CA240))</f>
        <v>0</v>
      </c>
      <c r="CC240" s="446">
        <f>IF($E240=0,0,IF(MIN(CC$38,$E240)&lt;MAX($P$34*($B240+$I$38-1),IF(AND($L$37=0,$P$34=0),"",$L$37-1)),0,YEARFRAC(MAX($P$34*($B240+$I$38-1),IF(AND($L$37=0,$P$34=0),"",$L$37-1)),MIN(CC$38,$E240),$P$20))-SUM($BF240:CB240))</f>
        <v>0</v>
      </c>
      <c r="CD240" s="446">
        <f>IF($E240=0,0,IF(MIN(CD$38,$E240)&lt;MAX($P$34*($B240+$I$38-1),IF(AND($L$37=0,$P$34=0),"",$L$37-1)),0,YEARFRAC(MAX($P$34*($B240+$I$38-1),IF(AND($L$37=0,$P$34=0),"",$L$37-1)),MIN(CD$38,$E240),$P$20))-SUM($BF240:CC240))</f>
        <v>0</v>
      </c>
      <c r="CE240" s="446">
        <f>IF($E240=0,0,IF(MIN(CE$38,$E240)&lt;MAX($P$34*($B240+$I$38-1),IF(AND($L$37=0,$P$34=0),"",$L$37-1)),0,YEARFRAC(MAX($P$34*($B240+$I$38-1),IF(AND($L$37=0,$P$34=0),"",$L$37-1)),MIN(CE$38,$E240),$P$20))-SUM($BF240:CD240))</f>
        <v>0</v>
      </c>
      <c r="CF240" s="446">
        <f>IF($E240=0,0,IF(MIN(CF$38,$E240)&lt;MAX($P$34*($B240+$I$38-1),IF(AND($L$37=0,$P$34=0),"",$L$37-1)),0,YEARFRAC(MAX($P$34*($B240+$I$38-1),IF(AND($L$37=0,$P$34=0),"",$L$37-1)),MIN(CF$38,$E240),$P$20))-SUM($BF240:CE240))</f>
        <v>0</v>
      </c>
      <c r="CG240" s="446">
        <f>IF($E240=0,0,IF(MIN(CG$38,$E240)&lt;MAX($P$34*($B240+$I$38-1),IF(AND($L$37=0,$P$34=0),"",$L$37-1)),0,YEARFRAC(MAX($P$34*($B240+$I$38-1),IF(AND($L$37=0,$P$34=0),"",$L$37-1)),MIN(CG$38,$E240),$P$20))-SUM($BF240:CF240))</f>
        <v>0</v>
      </c>
      <c r="CH240" s="446">
        <f>IF($E240=0,0,IF(MIN(CH$38,$E240)&lt;MAX($P$34*($B240+$I$38-1),IF(AND($L$37=0,$P$34=0),"",$L$37-1)),0,YEARFRAC(MAX($P$34*($B240+$I$38-1),IF(AND($L$37=0,$P$34=0),"",$L$37-1)),MIN(CH$38,$E240),$P$20))-SUM($BF240:CG240))</f>
        <v>0</v>
      </c>
      <c r="CI240" s="446">
        <f>IF($E240=0,0,IF(MIN(CI$38,$E240)&lt;MAX($P$34*($B240+$I$38-1),IF(AND($L$37=0,$P$34=0),"",$L$37-1)),0,YEARFRAC(MAX($P$34*($B240+$I$38-1),IF(AND($L$37=0,$P$34=0),"",$L$37-1)),MIN(CI$38,$E240),$P$20))-SUM($BF240:CH240))</f>
        <v>0</v>
      </c>
      <c r="CJ240" s="446">
        <f>IF($E240=0,0,IF(MIN(CJ$38,$E240)&lt;MAX($P$34*($B240+$I$38-1),IF(AND($L$37=0,$P$34=0),"",$L$37-1)),0,YEARFRAC(MAX($P$34*($B240+$I$38-1),IF(AND($L$37=0,$P$34=0),"",$L$37-1)),MIN(CJ$38,$E240),$P$20))-SUM($BF240:CI240))</f>
        <v>0</v>
      </c>
      <c r="CK240" s="446">
        <f>IF($E240=0,0,IF(MIN(CK$38,$E240)&lt;MAX($P$34*($B240+$I$38-1),IF(AND($L$37=0,$P$34=0),"",$L$37-1)),0,YEARFRAC(MAX($P$34*($B240+$I$38-1),IF(AND($L$37=0,$P$34=0),"",$L$37-1)),MIN(CK$38,$E240),$P$20))-SUM($BF240:CJ240))</f>
        <v>0</v>
      </c>
      <c r="CL240" s="446">
        <f>IF($E240=0,0,IF(MIN(CL$38,$E240)&lt;MAX($P$34*($B240+$I$38-1),IF(AND($L$37=0,$P$34=0),"",$L$37-1)),0,YEARFRAC(MAX($P$34*($B240+$I$38-1),IF(AND($L$37=0,$P$34=0),"",$L$37-1)),MIN(CL$38,$E240),$P$20))-SUM($BF240:CK240))</f>
        <v>0</v>
      </c>
      <c r="CM240" s="446">
        <f>IF($E240=0,0,IF(MIN(CM$38,$E240)&lt;MAX($P$34*($B240+$I$38-1),IF(AND($L$37=0,$P$34=0),"",$L$37-1)),0,YEARFRAC(MAX($P$34*($B240+$I$38-1),IF(AND($L$37=0,$P$34=0),"",$L$37-1)),MIN(CM$38,$E240),$P$20))-SUM($BF240:CL240))</f>
        <v>0</v>
      </c>
      <c r="CN240" s="446">
        <f>IF($E240=0,0,IF(MIN(CN$38,$E240)&lt;MAX($P$34*($B240+$I$38-1),IF(AND($L$37=0,$P$34=0),"",$L$37-1)),0,YEARFRAC(MAX($P$34*($B240+$I$38-1),IF(AND($L$37=0,$P$34=0),"",$L$37-1)),MIN(CN$38,$E240),$P$20))-SUM($BF240:CM240))</f>
        <v>0</v>
      </c>
      <c r="CO240" s="446">
        <f>IF($E240=0,0,IF(MIN(CO$38,$E240)&lt;MAX($P$34*($B240+$I$38-1),IF(AND($L$37=0,$P$34=0),"",$L$37-1)),0,YEARFRAC(MAX($P$34*($B240+$I$38-1),IF(AND($L$37=0,$P$34=0),"",$L$37-1)),MIN(CO$38,$E240),$P$20))-SUM($BF240:CN240))</f>
        <v>0</v>
      </c>
      <c r="CP240" s="446">
        <f>IF($E240=0,0,IF(MIN(CP$38,$E240)&lt;MAX($P$34*($B240+$I$38-1),IF(AND($L$37=0,$P$34=0),"",$L$37-1)),0,YEARFRAC(MAX($P$34*($B240+$I$38-1),IF(AND($L$37=0,$P$34=0),"",$L$37-1)),MIN(CP$38,$E240),$P$20))-SUM($BF240:CO240))</f>
        <v>0</v>
      </c>
      <c r="CQ240" s="446">
        <f>IF($E240=0,0,IF(MIN(CQ$38,$E240)&lt;MAX($P$34*($B240+$I$38-1),IF(AND($L$37=0,$P$34=0),"",$L$37-1)),0,YEARFRAC(MAX($P$34*($B240+$I$38-1),IF(AND($L$37=0,$P$34=0),"",$L$37-1)),MIN(CQ$38,$E240),$P$20))-SUM($BF240:CP240))</f>
        <v>0</v>
      </c>
    </row>
    <row r="241" spans="1:95" s="446" customFormat="1" ht="11.25" hidden="1" customHeight="1" x14ac:dyDescent="0.2">
      <c r="A241" s="152"/>
      <c r="B241" s="153" t="str">
        <f t="shared" si="48"/>
        <v/>
      </c>
      <c r="C241" s="29" t="str">
        <f>IF(B241="","",IF($L$35="SELIC - TRIBUTOS",VLOOKUP(DATE(YEAR($D$19),MONTH($D$19)-1,1),ÍNDICES!$A:$DE,HLOOKUP($BL$25,ÍNDICES!$B$3:$T$4,2)+11)-VLOOKUP(B241,ÍNDICES!$A:$DE,HLOOKUP($BL$25,ÍNDICES!$B$3:$T$4,2)+11)+1%,IF(C$38=$W$26,$J$35,IF(ISERROR(IF(B241&gt;$D$19,1,VLOOKUP(DATE(YEAR(B241),MONTH(B241)+IF($C$35=$S$23,1,0),1),ÍNDICES!$A:$DE,$Z$35+1))),"",IF(B241&gt;$D$19,1,VLOOKUP(DATE(YEAR(B241),MONTH(B241)+IF($C$35=$S$23,1,0),1),ÍNDICES!$A:$DE,$Z$35+1))))))</f>
        <v/>
      </c>
      <c r="D241" s="154" t="str">
        <f>IF(ISERROR(IF(OR($D$38=$Y$27,$B241=""),"",VLOOKUP(B241,ÍNDICES!A:DE,AF$35+1))),"",IF(OR($D$38=$Y$27,$B241=""),"",VLOOKUP(B241,ÍNDICES!A:DE,AF$35+1)))</f>
        <v/>
      </c>
      <c r="E241" s="153"/>
      <c r="F241" s="29" t="str">
        <f>IF(E241="","",IF($L$35="SELIC - TRIBUTOS",VLOOKUP(DATE(YEAR($D$19),MONTH($D$19)-1,1),ÍNDICES!$A:$DE,HLOOKUP($BL$25,ÍNDICES!$B$3:$T$4,2)+11)-VLOOKUP(E241,ÍNDICES!$A:$DE,HLOOKUP($BL$25,ÍNDICES!$B$3:$T$4,2)+11)+1%,IF(F$38=$W$26,$J$35,IF(ISERROR(IF(E241&gt;$D$19,1,VLOOKUP(DATE(YEAR(E241),MONTH(E241)+IF($C$35=$S$23,1,0),1),ÍNDICES!$A:$DE,$Z$35+1))),"",IF(E241&gt;$D$19,1,VLOOKUP(DATE(YEAR(E241),MONTH(E241)+IF($C$35=$S$23,1,0),1),ÍNDICES!$A:$DE,$Z$35+1))))))</f>
        <v/>
      </c>
      <c r="G241" s="155"/>
      <c r="H241" s="156" t="str">
        <f t="shared" si="44"/>
        <v/>
      </c>
      <c r="I241" s="29" t="str">
        <f t="shared" si="38"/>
        <v/>
      </c>
      <c r="J241" s="5">
        <f t="shared" si="39"/>
        <v>0</v>
      </c>
      <c r="K241" s="20">
        <f t="shared" ca="1" si="40"/>
        <v>0</v>
      </c>
      <c r="L241" s="5">
        <f t="shared" ca="1" si="41"/>
        <v>0</v>
      </c>
      <c r="M241" s="64">
        <f t="shared" si="45"/>
        <v>0</v>
      </c>
      <c r="N241" s="61">
        <f t="shared" ca="1" si="46"/>
        <v>0</v>
      </c>
      <c r="O241" s="5">
        <f t="shared" ca="1" si="47"/>
        <v>0</v>
      </c>
      <c r="P241" s="446" t="e">
        <f t="shared" si="42"/>
        <v>#VALUE!</v>
      </c>
      <c r="Q241" s="446" t="e">
        <f>IF(OR($B241="",MIN(Q$38,$D$19)&lt;MAX($P$34*($B241+IF($R$17="Distrato",$I$38-1,0)),IF(AND($L$37=0,$P$34=0),"",$L$37-1),IF($R$17="Distrato",$E241,0))),0,YEARFRAC(MAX($P$34*($B241+IF($R$17="Distrato",$I$38-1,0)),IF(AND($L$37=0,$P$34=0),"",$L$37-1),IF($R$17="Distrato",$E241,0)),MIN(Q$38,$D$19),$P$20))-SUM($P241:P241)</f>
        <v>#VALUE!</v>
      </c>
      <c r="R241" s="446" t="e">
        <f>IF(OR($B241="",MIN(R$38,$D$19)&lt;MAX($P$34*($B241+IF($R$17="Distrato",$I$38-1,0)),IF(AND($L$37=0,$P$34=0),"",$L$37-1),IF($R$17="Distrato",$E241,0))),0,YEARFRAC(MAX($P$34*($B241+IF($R$17="Distrato",$I$38-1,0)),IF(AND($L$37=0,$P$34=0),"",$L$37-1),IF($R$17="Distrato",$E241,0)),MIN(R$38,$D$19),$P$20))-SUM($P241:Q241)</f>
        <v>#VALUE!</v>
      </c>
      <c r="S241" s="446" t="e">
        <f>IF(OR($B241="",MIN(S$38,$D$19)&lt;MAX($P$34*($B241+IF($R$17="Distrato",$I$38-1,0)),IF(AND($L$37=0,$P$34=0),"",$L$37-1),IF($R$17="Distrato",$E241,0))),0,YEARFRAC(MAX($P$34*($B241+IF($R$17="Distrato",$I$38-1,0)),IF(AND($L$37=0,$P$34=0),"",$L$37-1),IF($R$17="Distrato",$E241,0)),MIN(S$38,$D$19),$P$20))-SUM($P241:R241)</f>
        <v>#VALUE!</v>
      </c>
      <c r="T241" s="446" t="e">
        <f>IF(OR($B241="",MIN(T$38,$D$19)&lt;MAX($P$34*($B241+IF($R$17="Distrato",$I$38-1,0)),IF(AND($L$37=0,$P$34=0),"",$L$37-1),IF($R$17="Distrato",$E241,0))),0,YEARFRAC(MAX($P$34*($B241+IF($R$17="Distrato",$I$38-1,0)),IF(AND($L$37=0,$P$34=0),"",$L$37-1),IF($R$17="Distrato",$E241,0)),MIN(T$38,$D$19),$P$20))-SUM($P241:S241)</f>
        <v>#VALUE!</v>
      </c>
      <c r="U241" s="446" t="e">
        <f>IF(OR($B241="",MIN(U$38,$D$19)&lt;MAX($P$34*($B241+IF($R$17="Distrato",$I$38-1,0)),IF(AND($L$37=0,$P$34=0),"",$L$37-1),IF($R$17="Distrato",$E241,0))),0,YEARFRAC(MAX($P$34*($B241+IF($R$17="Distrato",$I$38-1,0)),IF(AND($L$37=0,$P$34=0),"",$L$37-1),IF($R$17="Distrato",$E241,0)),MIN(U$38,$D$19),$P$20))-SUM($P241:T241)</f>
        <v>#VALUE!</v>
      </c>
      <c r="V241" s="446" t="e">
        <f>IF(OR($B241="",MIN(V$38,$D$19)&lt;MAX($P$34*($B241+IF($R$17="Distrato",$I$38-1,0)),IF(AND($L$37=0,$P$34=0),"",$L$37-1),IF($R$17="Distrato",$E241,0))),0,YEARFRAC(MAX($P$34*($B241+IF($R$17="Distrato",$I$38-1,0)),IF(AND($L$37=0,$P$34=0),"",$L$37-1),IF($R$17="Distrato",$E241,0)),MIN(V$38,$D$19),$P$20))-SUM($P241:U241)</f>
        <v>#VALUE!</v>
      </c>
      <c r="W241" s="446" t="e">
        <f>IF(OR($B241="",MIN(W$38,$D$19)&lt;MAX($P$34*($B241+IF($R$17="Distrato",$I$38-1,0)),IF(AND($L$37=0,$P$34=0),"",$L$37-1),IF($R$17="Distrato",$E241,0))),0,YEARFRAC(MAX($P$34*($B241+IF($R$17="Distrato",$I$38-1,0)),IF(AND($L$37=0,$P$34=0),"",$L$37-1),IF($R$17="Distrato",$E241,0)),MIN(W$38,$D$19),$P$20))-SUM($P241:V241)</f>
        <v>#VALUE!</v>
      </c>
      <c r="X241" s="446" t="e">
        <f>IF(OR($B241="",MIN(X$38,$D$19)&lt;MAX($P$34*($B241+IF($R$17="Distrato",$I$38-1,0)),IF(AND($L$37=0,$P$34=0),"",$L$37-1),IF($R$17="Distrato",$E241,0))),0,YEARFRAC(MAX($P$34*($B241+IF($R$17="Distrato",$I$38-1,0)),IF(AND($L$37=0,$P$34=0),"",$L$37-1),IF($R$17="Distrato",$E241,0)),MIN(X$38,$D$19),$P$20))-SUM($P241:W241)</f>
        <v>#VALUE!</v>
      </c>
      <c r="Y241" s="446" t="e">
        <f>IF(OR($B241="",MIN(Y$38,$D$19)&lt;MAX($P$34*($B241+IF($R$17="Distrato",$I$38-1,0)),IF(AND($L$37=0,$P$34=0),"",$L$37-1),IF($R$17="Distrato",$E241,0))),0,YEARFRAC(MAX($P$34*($B241+IF($R$17="Distrato",$I$38-1,0)),IF(AND($L$37=0,$P$34=0),"",$L$37-1),IF($R$17="Distrato",$E241,0)),MIN(Y$38,$D$19),$P$20))-SUM($P241:X241)</f>
        <v>#VALUE!</v>
      </c>
      <c r="Z241" s="446" t="e">
        <f>IF(OR($B241="",MIN(Z$38,$D$19)&lt;MAX($P$34*($B241+IF($R$17="Distrato",$I$38-1,0)),IF(AND($L$37=0,$P$34=0),"",$L$37-1),IF($R$17="Distrato",$E241,0))),0,YEARFRAC(MAX($P$34*($B241+IF($R$17="Distrato",$I$38-1,0)),IF(AND($L$37=0,$P$34=0),"",$L$37-1),IF($R$17="Distrato",$E241,0)),MIN(Z$38,$D$19),$P$20))-SUM($P241:Y241)</f>
        <v>#VALUE!</v>
      </c>
      <c r="AA241" s="446" t="e">
        <f>IF(OR($B241="",MIN(AA$38,$D$19)&lt;MAX($P$34*($B241+IF($R$17="Distrato",$I$38-1,0)),IF(AND($L$37=0,$P$34=0),"",$L$37-1),IF($R$17="Distrato",$E241,0))),0,YEARFRAC(MAX($P$34*($B241+IF($R$17="Distrato",$I$38-1,0)),IF(AND($L$37=0,$P$34=0),"",$L$37-1),IF($R$17="Distrato",$E241,0)),MIN(AA$38,$D$19),$P$20))-SUM($P241:Z241)</f>
        <v>#VALUE!</v>
      </c>
      <c r="AB241" s="446" t="e">
        <f>IF(OR($B241="",MIN(AB$38,$D$19)&lt;MAX($P$34*($B241+IF($R$17="Distrato",$I$38-1,0)),IF(AND($L$37=0,$P$34=0),"",$L$37-1),IF($R$17="Distrato",$E241,0))),0,YEARFRAC(MAX($P$34*($B241+IF($R$17="Distrato",$I$38-1,0)),IF(AND($L$37=0,$P$34=0),"",$L$37-1),IF($R$17="Distrato",$E241,0)),MIN(AB$38,$D$19),$P$20))-SUM($P241:AA241)</f>
        <v>#VALUE!</v>
      </c>
      <c r="AC241" s="446" t="e">
        <f>IF(OR($B241="",MIN(AC$38,$D$19)&lt;MAX($P$34*($B241+IF($R$17="Distrato",$I$38-1,0)),IF(AND($L$37=0,$P$34=0),"",$L$37-1),IF($R$17="Distrato",$E241,0))),0,YEARFRAC(MAX($P$34*($B241+IF($R$17="Distrato",$I$38-1,0)),IF(AND($L$37=0,$P$34=0),"",$L$37-1),IF($R$17="Distrato",$E241,0)),MIN(AC$38,$D$19),$P$20))-SUM($P241:AB241)</f>
        <v>#VALUE!</v>
      </c>
      <c r="AD241" s="446" t="e">
        <f>IF(OR($B241="",MIN(AD$38,$D$19)&lt;MAX($P$34*($B241+IF($R$17="Distrato",$I$38-1,0)),IF(AND($L$37=0,$P$34=0),"",$L$37-1),IF($R$17="Distrato",$E241,0))),0,YEARFRAC(MAX($P$34*($B241+IF($R$17="Distrato",$I$38-1,0)),IF(AND($L$37=0,$P$34=0),"",$L$37-1),IF($R$17="Distrato",$E241,0)),MIN(AD$38,$D$19),$P$20))-SUM($P241:AC241)</f>
        <v>#VALUE!</v>
      </c>
      <c r="AE241" s="446" t="e">
        <f>IF(OR($B241="",MIN(AE$38,$D$19)&lt;MAX($P$34*($B241+IF($R$17="Distrato",$I$38-1,0)),IF(AND($L$37=0,$P$34=0),"",$L$37-1),IF($R$17="Distrato",$E241,0))),0,YEARFRAC(MAX($P$34*($B241+IF($R$17="Distrato",$I$38-1,0)),IF(AND($L$37=0,$P$34=0),"",$L$37-1),IF($R$17="Distrato",$E241,0)),MIN(AE$38,$D$19),$P$20))-SUM($P241:AD241)</f>
        <v>#VALUE!</v>
      </c>
      <c r="AF241" s="446" t="e">
        <f>IF(OR($B241="",MIN(AF$38,$D$19)&lt;MAX($P$34*($B241+IF($R$17="Distrato",$I$38-1,0)),IF(AND($L$37=0,$P$34=0),"",$L$37-1),IF($R$17="Distrato",$E241,0))),0,YEARFRAC(MAX($P$34*($B241+IF($R$17="Distrato",$I$38-1,0)),IF(AND($L$37=0,$P$34=0),"",$L$37-1),IF($R$17="Distrato",$E241,0)),MIN(AF$38,$D$19),$P$20))-SUM($P241:AE241)</f>
        <v>#VALUE!</v>
      </c>
      <c r="AG241" s="446" t="e">
        <f>IF(OR($B241="",MIN(AG$38,$D$19)&lt;MAX($P$34*($B241+IF($R$17="Distrato",$I$38-1,0)),IF(AND($L$37=0,$P$34=0),"",$L$37-1),IF($R$17="Distrato",$E241,0))),0,YEARFRAC(MAX($P$34*($B241+IF($R$17="Distrato",$I$38-1,0)),IF(AND($L$37=0,$P$34=0),"",$L$37-1),IF($R$17="Distrato",$E241,0)),MIN(AG$38,$D$19),$P$20))-SUM($P241:AF241)</f>
        <v>#VALUE!</v>
      </c>
      <c r="AH241" s="446" t="e">
        <f>IF(OR($B241="",MIN(AH$38,$D$19)&lt;MAX($P$34*($B241+IF($R$17="Distrato",$I$38-1,0)),IF(AND($L$37=0,$P$34=0),"",$L$37-1),IF($R$17="Distrato",$E241,0))),0,YEARFRAC(MAX($P$34*($B241+IF($R$17="Distrato",$I$38-1,0)),IF(AND($L$37=0,$P$34=0),"",$L$37-1),IF($R$17="Distrato",$E241,0)),MIN(AH$38,$D$19),$P$20))-SUM($P241:AG241)</f>
        <v>#VALUE!</v>
      </c>
      <c r="AI241" s="446" t="e">
        <f>IF(OR($B241="",MIN(AI$38,$D$19)&lt;MAX($P$34*($B241+IF($R$17="Distrato",$I$38-1,0)),IF(AND($L$37=0,$P$34=0),"",$L$37-1),IF($R$17="Distrato",$E241,0))),0,YEARFRAC(MAX($P$34*($B241+IF($R$17="Distrato",$I$38-1,0)),IF(AND($L$37=0,$P$34=0),"",$L$37-1),IF($R$17="Distrato",$E241,0)),MIN(AI$38,$D$19),$P$20))-SUM($P241:AH241)</f>
        <v>#VALUE!</v>
      </c>
      <c r="AJ241" s="446" t="e">
        <f>IF(OR($B241="",MIN(AJ$38,$D$19)&lt;MAX($P$34*($B241+IF($R$17="Distrato",$I$38-1,0)),IF(AND($L$37=0,$P$34=0),"",$L$37-1),IF($R$17="Distrato",$E241,0))),0,YEARFRAC(MAX($P$34*($B241+IF($R$17="Distrato",$I$38-1,0)),IF(AND($L$37=0,$P$34=0),"",$L$37-1),IF($R$17="Distrato",$E241,0)),MIN(AJ$38,$D$19),$P$20))-SUM($P241:AI241)</f>
        <v>#VALUE!</v>
      </c>
      <c r="AK241" s="446" t="e">
        <f>IF(OR($B241="",MIN(AK$38,$D$19)&lt;MAX($P$34*($B241+IF($R$17="Distrato",$I$38-1,0)),IF(AND($L$37=0,$P$34=0),"",$L$37-1),IF($R$17="Distrato",$E241,0))),0,YEARFRAC(MAX($P$34*($B241+IF($R$17="Distrato",$I$38-1,0)),IF(AND($L$37=0,$P$34=0),"",$L$37-1),IF($R$17="Distrato",$E241,0)),MIN(AK$38,$D$19),$P$20))-SUM($P241:AJ241)</f>
        <v>#VALUE!</v>
      </c>
      <c r="AL241" s="446" t="e">
        <f>IF(OR($B241="",MIN(AL$38,$D$19)&lt;MAX($P$34*($B241+IF($R$17="Distrato",$I$38-1,0)),IF(AND($L$37=0,$P$34=0),"",$L$37-1),IF($R$17="Distrato",$E241,0))),0,YEARFRAC(MAX($P$34*($B241+IF($R$17="Distrato",$I$38-1,0)),IF(AND($L$37=0,$P$34=0),"",$L$37-1),IF($R$17="Distrato",$E241,0)),MIN(AL$38,$D$19),$P$20))-SUM($P241:AK241)</f>
        <v>#VALUE!</v>
      </c>
      <c r="AM241" s="446" t="e">
        <f>IF(OR($B241="",MIN(AM$38,$D$19)&lt;MAX($P$34*($B241+IF($R$17="Distrato",$I$38-1,0)),IF(AND($L$37=0,$P$34=0),"",$L$37-1),IF($R$17="Distrato",$E241,0))),0,YEARFRAC(MAX($P$34*($B241+IF($R$17="Distrato",$I$38-1,0)),IF(AND($L$37=0,$P$34=0),"",$L$37-1),IF($R$17="Distrato",$E241,0)),MIN(AM$38,$D$19),$P$20))-SUM($P241:AL241)</f>
        <v>#VALUE!</v>
      </c>
      <c r="AN241" s="446" t="e">
        <f>IF(OR($B241="",MIN(AN$38,$D$19)&lt;MAX($P$34*($B241+IF($R$17="Distrato",$I$38-1,0)),IF(AND($L$37=0,$P$34=0),"",$L$37-1),IF($R$17="Distrato",$E241,0))),0,YEARFRAC(MAX($P$34*($B241+IF($R$17="Distrato",$I$38-1,0)),IF(AND($L$37=0,$P$34=0),"",$L$37-1),IF($R$17="Distrato",$E241,0)),MIN(AN$38,$D$19),$P$20))-SUM($P241:AM241)</f>
        <v>#VALUE!</v>
      </c>
      <c r="AO241" s="446" t="e">
        <f>IF(OR($B241="",MIN(AO$38,$D$19)&lt;MAX($P$34*($B241+IF($R$17="Distrato",$I$38-1,0)),IF(AND($L$37=0,$P$34=0),"",$L$37-1),IF($R$17="Distrato",$E241,0))),0,YEARFRAC(MAX($P$34*($B241+IF($R$17="Distrato",$I$38-1,0)),IF(AND($L$37=0,$P$34=0),"",$L$37-1),IF($R$17="Distrato",$E241,0)),MIN(AO$38,$D$19),$P$20))-SUM($P241:AN241)</f>
        <v>#VALUE!</v>
      </c>
      <c r="AP241" s="446" t="e">
        <f>IF(OR($B241="",MIN(AP$38,$D$19)&lt;MAX($P$34*($B241+IF($R$17="Distrato",$I$38-1,0)),IF(AND($L$37=0,$P$34=0),"",$L$37-1),IF($R$17="Distrato",$E241,0))),0,YEARFRAC(MAX($P$34*($B241+IF($R$17="Distrato",$I$38-1,0)),IF(AND($L$37=0,$P$34=0),"",$L$37-1),IF($R$17="Distrato",$E241,0)),MIN(AP$38,$D$19),$P$20))-SUM($P241:AO241)</f>
        <v>#VALUE!</v>
      </c>
      <c r="AQ241" s="446" t="e">
        <f>IF(OR($B241="",MIN(AQ$38,$D$19)&lt;MAX($P$34*($B241+IF($R$17="Distrato",$I$38-1,0)),IF(AND($L$37=0,$P$34=0),"",$L$37-1),IF($R$17="Distrato",$E241,0))),0,YEARFRAC(MAX($P$34*($B241+IF($R$17="Distrato",$I$38-1,0)),IF(AND($L$37=0,$P$34=0),"",$L$37-1),IF($R$17="Distrato",$E241,0)),MIN(AQ$38,$D$19),$P$20))-SUM($P241:AP241)</f>
        <v>#VALUE!</v>
      </c>
      <c r="AR241" s="446" t="e">
        <f>IF(OR($B241="",MIN(AR$38,$D$19)&lt;MAX($P$34*($B241+IF($R$17="Distrato",$I$38-1,0)),IF(AND($L$37=0,$P$34=0),"",$L$37-1),IF($R$17="Distrato",$E241,0))),0,YEARFRAC(MAX($P$34*($B241+IF($R$17="Distrato",$I$38-1,0)),IF(AND($L$37=0,$P$34=0),"",$L$37-1),IF($R$17="Distrato",$E241,0)),MIN(AR$38,$D$19),$P$20))-SUM($P241:AQ241)</f>
        <v>#VALUE!</v>
      </c>
      <c r="AS241" s="446" t="e">
        <f>IF(OR($B241="",MIN(AS$38,$D$19)&lt;MAX($P$34*($B241+IF($R$17="Distrato",$I$38-1,0)),IF(AND($L$37=0,$P$34=0),"",$L$37-1),IF($R$17="Distrato",$E241,0))),0,YEARFRAC(MAX($P$34*($B241+IF($R$17="Distrato",$I$38-1,0)),IF(AND($L$37=0,$P$34=0),"",$L$37-1),IF($R$17="Distrato",$E241,0)),MIN(AS$38,$D$19),$P$20))-SUM($P241:AR241)</f>
        <v>#VALUE!</v>
      </c>
      <c r="AT241" s="446" t="e">
        <f>IF(OR($B241="",MIN(AT$38,$D$19)&lt;MAX($P$34*($B241+IF($R$17="Distrato",$I$38-1,0)),IF(AND($L$37=0,$P$34=0),"",$L$37-1),IF($R$17="Distrato",$E241,0))),0,YEARFRAC(MAX($P$34*($B241+IF($R$17="Distrato",$I$38-1,0)),IF(AND($L$37=0,$P$34=0),"",$L$37-1),IF($R$17="Distrato",$E241,0)),MIN(AT$38,$D$19),$P$20))-SUM($P241:AS241)</f>
        <v>#VALUE!</v>
      </c>
      <c r="AU241" s="446" t="e">
        <f>IF(OR($B241="",MIN(AU$38,$D$19)&lt;MAX($P$34*($B241+IF($R$17="Distrato",$I$38-1,0)),IF(AND($L$37=0,$P$34=0),"",$L$37-1),IF($R$17="Distrato",$E241,0))),0,YEARFRAC(MAX($P$34*($B241+IF($R$17="Distrato",$I$38-1,0)),IF(AND($L$37=0,$P$34=0),"",$L$37-1),IF($R$17="Distrato",$E241,0)),MIN(AU$38,$D$19),$P$20))-SUM($P241:AT241)</f>
        <v>#VALUE!</v>
      </c>
      <c r="AV241" s="446" t="e">
        <f>IF(OR($B241="",MIN(AV$38,$D$19)&lt;MAX($P$34*($B241+IF($R$17="Distrato",$I$38-1,0)),IF(AND($L$37=0,$P$34=0),"",$L$37-1),IF($R$17="Distrato",$E241,0))),0,YEARFRAC(MAX($P$34*($B241+IF($R$17="Distrato",$I$38-1,0)),IF(AND($L$37=0,$P$34=0),"",$L$37-1),IF($R$17="Distrato",$E241,0)),MIN(AV$38,$D$19),$P$20))-SUM($P241:AU241)</f>
        <v>#VALUE!</v>
      </c>
      <c r="AW241" s="446" t="e">
        <f>IF(OR($B241="",MIN(AW$38,$D$19)&lt;MAX($P$34*($B241+IF($R$17="Distrato",$I$38-1,0)),IF(AND($L$37=0,$P$34=0),"",$L$37-1),IF($R$17="Distrato",$E241,0))),0,YEARFRAC(MAX($P$34*($B241+IF($R$17="Distrato",$I$38-1,0)),IF(AND($L$37=0,$P$34=0),"",$L$37-1),IF($R$17="Distrato",$E241,0)),MIN(AW$38,$D$19),$P$20))-SUM($P241:AV241)</f>
        <v>#VALUE!</v>
      </c>
      <c r="AX241" s="446" t="e">
        <f>IF(OR($B241="",MIN(AX$38,$D$19)&lt;MAX($P$34*($B241+IF($R$17="Distrato",$I$38-1,0)),IF(AND($L$37=0,$P$34=0),"",$L$37-1),IF($R$17="Distrato",$E241,0))),0,YEARFRAC(MAX($P$34*($B241+IF($R$17="Distrato",$I$38-1,0)),IF(AND($L$37=0,$P$34=0),"",$L$37-1),IF($R$17="Distrato",$E241,0)),MIN(AX$38,$D$19),$P$20))-SUM($P241:AW241)</f>
        <v>#VALUE!</v>
      </c>
      <c r="AY241" s="446" t="e">
        <f>IF(OR($B241="",MIN(AY$38,$D$19)&lt;MAX($P$34*($B241+IF($R$17="Distrato",$I$38-1,0)),IF(AND($L$37=0,$P$34=0),"",$L$37-1),IF($R$17="Distrato",$E241,0))),0,YEARFRAC(MAX($P$34*($B241+IF($R$17="Distrato",$I$38-1,0)),IF(AND($L$37=0,$P$34=0),"",$L$37-1),IF($R$17="Distrato",$E241,0)),MIN(AY$38,$D$19),$P$20))-SUM($P241:AX241)</f>
        <v>#VALUE!</v>
      </c>
      <c r="AZ241" s="446" t="e">
        <f>IF(OR($B241="",MIN(AZ$38,$D$19)&lt;MAX($P$34*($B241+IF($R$17="Distrato",$I$38-1,0)),IF(AND($L$37=0,$P$34=0),"",$L$37-1),IF($R$17="Distrato",$E241,0))),0,YEARFRAC(MAX($P$34*($B241+IF($R$17="Distrato",$I$38-1,0)),IF(AND($L$37=0,$P$34=0),"",$L$37-1),IF($R$17="Distrato",$E241,0)),MIN(AZ$38,$D$19),$P$20))-SUM($P241:AY241)</f>
        <v>#VALUE!</v>
      </c>
      <c r="BA241" s="446" t="e">
        <f>IF(OR($B241="",MIN(BA$38,$D$19)&lt;MAX($P$34*($B241+IF($R$17="Distrato",$I$38-1,0)),IF(AND($L$37=0,$P$34=0),"",$L$37-1),IF($R$17="Distrato",$E241,0))),0,YEARFRAC(MAX($P$34*($B241+IF($R$17="Distrato",$I$38-1,0)),IF(AND($L$37=0,$P$34=0),"",$L$37-1),IF($R$17="Distrato",$E241,0)),MIN(BA$38,$D$19),$P$20))-SUM($P241:AZ241)</f>
        <v>#VALUE!</v>
      </c>
      <c r="BB241" s="447"/>
      <c r="BF241" s="446">
        <f t="shared" si="43"/>
        <v>0</v>
      </c>
      <c r="BG241" s="446">
        <f>IF($E241=0,0,IF(MIN(BG$38,$E241)&lt;MAX($P$34*($B241+$I$38-1),IF(AND($L$37=0,$P$34=0),"",$L$37-1)),0,YEARFRAC(MAX($P$34*($B241+$I$38-1),IF(AND($L$37=0,$P$34=0),"",$L$37-1)),MIN(BG$38,$E241),$P$20))-SUM($BF241:BF241))</f>
        <v>0</v>
      </c>
      <c r="BH241" s="446">
        <f>IF($E241=0,0,IF(MIN(BH$38,$E241)&lt;MAX($P$34*($B241+$I$38-1),IF(AND($L$37=0,$P$34=0),"",$L$37-1)),0,YEARFRAC(MAX($P$34*($B241+$I$38-1),IF(AND($L$37=0,$P$34=0),"",$L$37-1)),MIN(BH$38,$E241),$P$20))-SUM($BF241:BG241))</f>
        <v>0</v>
      </c>
      <c r="BI241" s="446">
        <f>IF($E241=0,0,IF(MIN(BI$38,$E241)&lt;MAX($P$34*($B241+$I$38-1),IF(AND($L$37=0,$P$34=0),"",$L$37-1)),0,YEARFRAC(MAX($P$34*($B241+$I$38-1),IF(AND($L$37=0,$P$34=0),"",$L$37-1)),MIN(BI$38,$E241),$P$20))-SUM($BF241:BH241))</f>
        <v>0</v>
      </c>
      <c r="BJ241" s="446">
        <f>IF($E241=0,0,IF(MIN(BJ$38,$E241)&lt;MAX($P$34*($B241+$I$38-1),IF(AND($L$37=0,$P$34=0),"",$L$37-1)),0,YEARFRAC(MAX($P$34*($B241+$I$38-1),IF(AND($L$37=0,$P$34=0),"",$L$37-1)),MIN(BJ$38,$E241),$P$20))-SUM($BF241:BI241))</f>
        <v>0</v>
      </c>
      <c r="BK241" s="446">
        <f>IF($E241=0,0,IF(MIN(BK$38,$E241)&lt;MAX($P$34*($B241+$I$38-1),IF(AND($L$37=0,$P$34=0),"",$L$37-1)),0,YEARFRAC(MAX($P$34*($B241+$I$38-1),IF(AND($L$37=0,$P$34=0),"",$L$37-1)),MIN(BK$38,$E241),$P$20))-SUM($BF241:BJ241))</f>
        <v>0</v>
      </c>
      <c r="BL241" s="446">
        <f>IF($E241=0,0,IF(MIN(BL$38,$E241)&lt;MAX($P$34*($B241+$I$38-1),IF(AND($L$37=0,$P$34=0),"",$L$37-1)),0,YEARFRAC(MAX($P$34*($B241+$I$38-1),IF(AND($L$37=0,$P$34=0),"",$L$37-1)),MIN(BL$38,$E241),$P$20))-SUM($BF241:BK241))</f>
        <v>0</v>
      </c>
      <c r="BM241" s="446">
        <f>IF($E241=0,0,IF(MIN(BM$38,$E241)&lt;MAX($P$34*($B241+$I$38-1),IF(AND($L$37=0,$P$34=0),"",$L$37-1)),0,YEARFRAC(MAX($P$34*($B241+$I$38-1),IF(AND($L$37=0,$P$34=0),"",$L$37-1)),MIN(BM$38,$E241),$P$20))-SUM($BF241:BL241))</f>
        <v>0</v>
      </c>
      <c r="BN241" s="446">
        <f>IF($E241=0,0,IF(MIN(BN$38,$E241)&lt;MAX($P$34*($B241+$I$38-1),IF(AND($L$37=0,$P$34=0),"",$L$37-1)),0,YEARFRAC(MAX($P$34*($B241+$I$38-1),IF(AND($L$37=0,$P$34=0),"",$L$37-1)),MIN(BN$38,$E241),$P$20))-SUM($BF241:BM241))</f>
        <v>0</v>
      </c>
      <c r="BO241" s="446">
        <f>IF($E241=0,0,IF(MIN(BO$38,$E241)&lt;MAX($P$34*($B241+$I$38-1),IF(AND($L$37=0,$P$34=0),"",$L$37-1)),0,YEARFRAC(MAX($P$34*($B241+$I$38-1),IF(AND($L$37=0,$P$34=0),"",$L$37-1)),MIN(BO$38,$E241),$P$20))-SUM($BF241:BN241))</f>
        <v>0</v>
      </c>
      <c r="BP241" s="446">
        <f>IF($E241=0,0,IF(MIN(BP$38,$E241)&lt;MAX($P$34*($B241+$I$38-1),IF(AND($L$37=0,$P$34=0),"",$L$37-1)),0,YEARFRAC(MAX($P$34*($B241+$I$38-1),IF(AND($L$37=0,$P$34=0),"",$L$37-1)),MIN(BP$38,$E241),$P$20))-SUM($BF241:BO241))</f>
        <v>0</v>
      </c>
      <c r="BQ241" s="446">
        <f>IF($E241=0,0,IF(MIN(BQ$38,$E241)&lt;MAX($P$34*($B241+$I$38-1),IF(AND($L$37=0,$P$34=0),"",$L$37-1)),0,YEARFRAC(MAX($P$34*($B241+$I$38-1),IF(AND($L$37=0,$P$34=0),"",$L$37-1)),MIN(BQ$38,$E241),$P$20))-SUM($BF241:BP241))</f>
        <v>0</v>
      </c>
      <c r="BR241" s="446">
        <f>IF($E241=0,0,IF(MIN(BR$38,$E241)&lt;MAX($P$34*($B241+$I$38-1),IF(AND($L$37=0,$P$34=0),"",$L$37-1)),0,YEARFRAC(MAX($P$34*($B241+$I$38-1),IF(AND($L$37=0,$P$34=0),"",$L$37-1)),MIN(BR$38,$E241),$P$20))-SUM($BF241:BQ241))</f>
        <v>0</v>
      </c>
      <c r="BS241" s="446">
        <f>IF($E241=0,0,IF(MIN(BS$38,$E241)&lt;MAX($P$34*($B241+$I$38-1),IF(AND($L$37=0,$P$34=0),"",$L$37-1)),0,YEARFRAC(MAX($P$34*($B241+$I$38-1),IF(AND($L$37=0,$P$34=0),"",$L$37-1)),MIN(BS$38,$E241),$P$20))-SUM($BF241:BR241))</f>
        <v>0</v>
      </c>
      <c r="BT241" s="446">
        <f>IF($E241=0,0,IF(MIN(BT$38,$E241)&lt;MAX($P$34*($B241+$I$38-1),IF(AND($L$37=0,$P$34=0),"",$L$37-1)),0,YEARFRAC(MAX($P$34*($B241+$I$38-1),IF(AND($L$37=0,$P$34=0),"",$L$37-1)),MIN(BT$38,$E241),$P$20))-SUM($BF241:BS241))</f>
        <v>0</v>
      </c>
      <c r="BU241" s="446">
        <f>IF($E241=0,0,IF(MIN(BU$38,$E241)&lt;MAX($P$34*($B241+$I$38-1),IF(AND($L$37=0,$P$34=0),"",$L$37-1)),0,YEARFRAC(MAX($P$34*($B241+$I$38-1),IF(AND($L$37=0,$P$34=0),"",$L$37-1)),MIN(BU$38,$E241),$P$20))-SUM($BF241:BT241))</f>
        <v>0</v>
      </c>
      <c r="BV241" s="446">
        <f>IF($E241=0,0,IF(MIN(BV$38,$E241)&lt;MAX($P$34*($B241+$I$38-1),IF(AND($L$37=0,$P$34=0),"",$L$37-1)),0,YEARFRAC(MAX($P$34*($B241+$I$38-1),IF(AND($L$37=0,$P$34=0),"",$L$37-1)),MIN(BV$38,$E241),$P$20))-SUM($BF241:BU241))</f>
        <v>0</v>
      </c>
      <c r="BW241" s="446">
        <f>IF($E241=0,0,IF(MIN(BW$38,$E241)&lt;MAX($P$34*($B241+$I$38-1),IF(AND($L$37=0,$P$34=0),"",$L$37-1)),0,YEARFRAC(MAX($P$34*($B241+$I$38-1),IF(AND($L$37=0,$P$34=0),"",$L$37-1)),MIN(BW$38,$E241),$P$20))-SUM($BF241:BV241))</f>
        <v>0</v>
      </c>
      <c r="BX241" s="446">
        <f>IF($E241=0,0,IF(MIN(BX$38,$E241)&lt;MAX($P$34*($B241+$I$38-1),IF(AND($L$37=0,$P$34=0),"",$L$37-1)),0,YEARFRAC(MAX($P$34*($B241+$I$38-1),IF(AND($L$37=0,$P$34=0),"",$L$37-1)),MIN(BX$38,$E241),$P$20))-SUM($BF241:BW241))</f>
        <v>0</v>
      </c>
      <c r="BY241" s="446">
        <f>IF($E241=0,0,IF(MIN(BY$38,$E241)&lt;MAX($P$34*($B241+$I$38-1),IF(AND($L$37=0,$P$34=0),"",$L$37-1)),0,YEARFRAC(MAX($P$34*($B241+$I$38-1),IF(AND($L$37=0,$P$34=0),"",$L$37-1)),MIN(BY$38,$E241),$P$20))-SUM($BF241:BX241))</f>
        <v>0</v>
      </c>
      <c r="BZ241" s="446">
        <f>IF($E241=0,0,IF(MIN(BZ$38,$E241)&lt;MAX($P$34*($B241+$I$38-1),IF(AND($L$37=0,$P$34=0),"",$L$37-1)),0,YEARFRAC(MAX($P$34*($B241+$I$38-1),IF(AND($L$37=0,$P$34=0),"",$L$37-1)),MIN(BZ$38,$E241),$P$20))-SUM($BF241:BY241))</f>
        <v>0</v>
      </c>
      <c r="CA241" s="446">
        <f>IF($E241=0,0,IF(MIN(CA$38,$E241)&lt;MAX($P$34*($B241+$I$38-1),IF(AND($L$37=0,$P$34=0),"",$L$37-1)),0,YEARFRAC(MAX($P$34*($B241+$I$38-1),IF(AND($L$37=0,$P$34=0),"",$L$37-1)),MIN(CA$38,$E241),$P$20))-SUM($BF241:BZ241))</f>
        <v>0</v>
      </c>
      <c r="CB241" s="446">
        <f>IF($E241=0,0,IF(MIN(CB$38,$E241)&lt;MAX($P$34*($B241+$I$38-1),IF(AND($L$37=0,$P$34=0),"",$L$37-1)),0,YEARFRAC(MAX($P$34*($B241+$I$38-1),IF(AND($L$37=0,$P$34=0),"",$L$37-1)),MIN(CB$38,$E241),$P$20))-SUM($BF241:CA241))</f>
        <v>0</v>
      </c>
      <c r="CC241" s="446">
        <f>IF($E241=0,0,IF(MIN(CC$38,$E241)&lt;MAX($P$34*($B241+$I$38-1),IF(AND($L$37=0,$P$34=0),"",$L$37-1)),0,YEARFRAC(MAX($P$34*($B241+$I$38-1),IF(AND($L$37=0,$P$34=0),"",$L$37-1)),MIN(CC$38,$E241),$P$20))-SUM($BF241:CB241))</f>
        <v>0</v>
      </c>
      <c r="CD241" s="446">
        <f>IF($E241=0,0,IF(MIN(CD$38,$E241)&lt;MAX($P$34*($B241+$I$38-1),IF(AND($L$37=0,$P$34=0),"",$L$37-1)),0,YEARFRAC(MAX($P$34*($B241+$I$38-1),IF(AND($L$37=0,$P$34=0),"",$L$37-1)),MIN(CD$38,$E241),$P$20))-SUM($BF241:CC241))</f>
        <v>0</v>
      </c>
      <c r="CE241" s="446">
        <f>IF($E241=0,0,IF(MIN(CE$38,$E241)&lt;MAX($P$34*($B241+$I$38-1),IF(AND($L$37=0,$P$34=0),"",$L$37-1)),0,YEARFRAC(MAX($P$34*($B241+$I$38-1),IF(AND($L$37=0,$P$34=0),"",$L$37-1)),MIN(CE$38,$E241),$P$20))-SUM($BF241:CD241))</f>
        <v>0</v>
      </c>
      <c r="CF241" s="446">
        <f>IF($E241=0,0,IF(MIN(CF$38,$E241)&lt;MAX($P$34*($B241+$I$38-1),IF(AND($L$37=0,$P$34=0),"",$L$37-1)),0,YEARFRAC(MAX($P$34*($B241+$I$38-1),IF(AND($L$37=0,$P$34=0),"",$L$37-1)),MIN(CF$38,$E241),$P$20))-SUM($BF241:CE241))</f>
        <v>0</v>
      </c>
      <c r="CG241" s="446">
        <f>IF($E241=0,0,IF(MIN(CG$38,$E241)&lt;MAX($P$34*($B241+$I$38-1),IF(AND($L$37=0,$P$34=0),"",$L$37-1)),0,YEARFRAC(MAX($P$34*($B241+$I$38-1),IF(AND($L$37=0,$P$34=0),"",$L$37-1)),MIN(CG$38,$E241),$P$20))-SUM($BF241:CF241))</f>
        <v>0</v>
      </c>
      <c r="CH241" s="446">
        <f>IF($E241=0,0,IF(MIN(CH$38,$E241)&lt;MAX($P$34*($B241+$I$38-1),IF(AND($L$37=0,$P$34=0),"",$L$37-1)),0,YEARFRAC(MAX($P$34*($B241+$I$38-1),IF(AND($L$37=0,$P$34=0),"",$L$37-1)),MIN(CH$38,$E241),$P$20))-SUM($BF241:CG241))</f>
        <v>0</v>
      </c>
      <c r="CI241" s="446">
        <f>IF($E241=0,0,IF(MIN(CI$38,$E241)&lt;MAX($P$34*($B241+$I$38-1),IF(AND($L$37=0,$P$34=0),"",$L$37-1)),0,YEARFRAC(MAX($P$34*($B241+$I$38-1),IF(AND($L$37=0,$P$34=0),"",$L$37-1)),MIN(CI$38,$E241),$P$20))-SUM($BF241:CH241))</f>
        <v>0</v>
      </c>
      <c r="CJ241" s="446">
        <f>IF($E241=0,0,IF(MIN(CJ$38,$E241)&lt;MAX($P$34*($B241+$I$38-1),IF(AND($L$37=0,$P$34=0),"",$L$37-1)),0,YEARFRAC(MAX($P$34*($B241+$I$38-1),IF(AND($L$37=0,$P$34=0),"",$L$37-1)),MIN(CJ$38,$E241),$P$20))-SUM($BF241:CI241))</f>
        <v>0</v>
      </c>
      <c r="CK241" s="446">
        <f>IF($E241=0,0,IF(MIN(CK$38,$E241)&lt;MAX($P$34*($B241+$I$38-1),IF(AND($L$37=0,$P$34=0),"",$L$37-1)),0,YEARFRAC(MAX($P$34*($B241+$I$38-1),IF(AND($L$37=0,$P$34=0),"",$L$37-1)),MIN(CK$38,$E241),$P$20))-SUM($BF241:CJ241))</f>
        <v>0</v>
      </c>
      <c r="CL241" s="446">
        <f>IF($E241=0,0,IF(MIN(CL$38,$E241)&lt;MAX($P$34*($B241+$I$38-1),IF(AND($L$37=0,$P$34=0),"",$L$37-1)),0,YEARFRAC(MAX($P$34*($B241+$I$38-1),IF(AND($L$37=0,$P$34=0),"",$L$37-1)),MIN(CL$38,$E241),$P$20))-SUM($BF241:CK241))</f>
        <v>0</v>
      </c>
      <c r="CM241" s="446">
        <f>IF($E241=0,0,IF(MIN(CM$38,$E241)&lt;MAX($P$34*($B241+$I$38-1),IF(AND($L$37=0,$P$34=0),"",$L$37-1)),0,YEARFRAC(MAX($P$34*($B241+$I$38-1),IF(AND($L$37=0,$P$34=0),"",$L$37-1)),MIN(CM$38,$E241),$P$20))-SUM($BF241:CL241))</f>
        <v>0</v>
      </c>
      <c r="CN241" s="446">
        <f>IF($E241=0,0,IF(MIN(CN$38,$E241)&lt;MAX($P$34*($B241+$I$38-1),IF(AND($L$37=0,$P$34=0),"",$L$37-1)),0,YEARFRAC(MAX($P$34*($B241+$I$38-1),IF(AND($L$37=0,$P$34=0),"",$L$37-1)),MIN(CN$38,$E241),$P$20))-SUM($BF241:CM241))</f>
        <v>0</v>
      </c>
      <c r="CO241" s="446">
        <f>IF($E241=0,0,IF(MIN(CO$38,$E241)&lt;MAX($P$34*($B241+$I$38-1),IF(AND($L$37=0,$P$34=0),"",$L$37-1)),0,YEARFRAC(MAX($P$34*($B241+$I$38-1),IF(AND($L$37=0,$P$34=0),"",$L$37-1)),MIN(CO$38,$E241),$P$20))-SUM($BF241:CN241))</f>
        <v>0</v>
      </c>
      <c r="CP241" s="446">
        <f>IF($E241=0,0,IF(MIN(CP$38,$E241)&lt;MAX($P$34*($B241+$I$38-1),IF(AND($L$37=0,$P$34=0),"",$L$37-1)),0,YEARFRAC(MAX($P$34*($B241+$I$38-1),IF(AND($L$37=0,$P$34=0),"",$L$37-1)),MIN(CP$38,$E241),$P$20))-SUM($BF241:CO241))</f>
        <v>0</v>
      </c>
      <c r="CQ241" s="446">
        <f>IF($E241=0,0,IF(MIN(CQ$38,$E241)&lt;MAX($P$34*($B241+$I$38-1),IF(AND($L$37=0,$P$34=0),"",$L$37-1)),0,YEARFRAC(MAX($P$34*($B241+$I$38-1),IF(AND($L$37=0,$P$34=0),"",$L$37-1)),MIN(CQ$38,$E241),$P$20))-SUM($BF241:CP241))</f>
        <v>0</v>
      </c>
    </row>
    <row r="242" spans="1:95" s="446" customFormat="1" ht="11.25" hidden="1" customHeight="1" x14ac:dyDescent="0.2">
      <c r="A242" s="152"/>
      <c r="B242" s="153" t="str">
        <f t="shared" si="48"/>
        <v/>
      </c>
      <c r="C242" s="29" t="str">
        <f>IF(B242="","",IF($L$35="SELIC - TRIBUTOS",VLOOKUP(DATE(YEAR($D$19),MONTH($D$19)-1,1),ÍNDICES!$A:$DE,HLOOKUP($BL$25,ÍNDICES!$B$3:$T$4,2)+11)-VLOOKUP(B242,ÍNDICES!$A:$DE,HLOOKUP($BL$25,ÍNDICES!$B$3:$T$4,2)+11)+1%,IF(C$38=$W$26,$J$35,IF(ISERROR(IF(B242&gt;$D$19,1,VLOOKUP(DATE(YEAR(B242),MONTH(B242)+IF($C$35=$S$23,1,0),1),ÍNDICES!$A:$DE,$Z$35+1))),"",IF(B242&gt;$D$19,1,VLOOKUP(DATE(YEAR(B242),MONTH(B242)+IF($C$35=$S$23,1,0),1),ÍNDICES!$A:$DE,$Z$35+1))))))</f>
        <v/>
      </c>
      <c r="D242" s="154" t="str">
        <f>IF(ISERROR(IF(OR($D$38=$Y$27,$B242=""),"",VLOOKUP(B242,ÍNDICES!A:DE,AF$35+1))),"",IF(OR($D$38=$Y$27,$B242=""),"",VLOOKUP(B242,ÍNDICES!A:DE,AF$35+1)))</f>
        <v/>
      </c>
      <c r="E242" s="153"/>
      <c r="F242" s="29" t="str">
        <f>IF(E242="","",IF($L$35="SELIC - TRIBUTOS",VLOOKUP(DATE(YEAR($D$19),MONTH($D$19)-1,1),ÍNDICES!$A:$DE,HLOOKUP($BL$25,ÍNDICES!$B$3:$T$4,2)+11)-VLOOKUP(E242,ÍNDICES!$A:$DE,HLOOKUP($BL$25,ÍNDICES!$B$3:$T$4,2)+11)+1%,IF(F$38=$W$26,$J$35,IF(ISERROR(IF(E242&gt;$D$19,1,VLOOKUP(DATE(YEAR(E242),MONTH(E242)+IF($C$35=$S$23,1,0),1),ÍNDICES!$A:$DE,$Z$35+1))),"",IF(E242&gt;$D$19,1,VLOOKUP(DATE(YEAR(E242),MONTH(E242)+IF($C$35=$S$23,1,0),1),ÍNDICES!$A:$DE,$Z$35+1))))))</f>
        <v/>
      </c>
      <c r="G242" s="155"/>
      <c r="H242" s="156" t="str">
        <f t="shared" si="44"/>
        <v/>
      </c>
      <c r="I242" s="29" t="str">
        <f t="shared" si="38"/>
        <v/>
      </c>
      <c r="J242" s="5">
        <f t="shared" si="39"/>
        <v>0</v>
      </c>
      <c r="K242" s="20">
        <f t="shared" ca="1" si="40"/>
        <v>0</v>
      </c>
      <c r="L242" s="5">
        <f t="shared" ca="1" si="41"/>
        <v>0</v>
      </c>
      <c r="M242" s="64">
        <f t="shared" si="45"/>
        <v>0</v>
      </c>
      <c r="N242" s="61">
        <f t="shared" ca="1" si="46"/>
        <v>0</v>
      </c>
      <c r="O242" s="5">
        <f t="shared" ca="1" si="47"/>
        <v>0</v>
      </c>
      <c r="P242" s="446" t="e">
        <f t="shared" si="42"/>
        <v>#VALUE!</v>
      </c>
      <c r="Q242" s="446" t="e">
        <f>IF(OR($B242="",MIN(Q$38,$D$19)&lt;MAX($P$34*($B242+IF($R$17="Distrato",$I$38-1,0)),IF(AND($L$37=0,$P$34=0),"",$L$37-1),IF($R$17="Distrato",$E242,0))),0,YEARFRAC(MAX($P$34*($B242+IF($R$17="Distrato",$I$38-1,0)),IF(AND($L$37=0,$P$34=0),"",$L$37-1),IF($R$17="Distrato",$E242,0)),MIN(Q$38,$D$19),$P$20))-SUM($P242:P242)</f>
        <v>#VALUE!</v>
      </c>
      <c r="R242" s="446" t="e">
        <f>IF(OR($B242="",MIN(R$38,$D$19)&lt;MAX($P$34*($B242+IF($R$17="Distrato",$I$38-1,0)),IF(AND($L$37=0,$P$34=0),"",$L$37-1),IF($R$17="Distrato",$E242,0))),0,YEARFRAC(MAX($P$34*($B242+IF($R$17="Distrato",$I$38-1,0)),IF(AND($L$37=0,$P$34=0),"",$L$37-1),IF($R$17="Distrato",$E242,0)),MIN(R$38,$D$19),$P$20))-SUM($P242:Q242)</f>
        <v>#VALUE!</v>
      </c>
      <c r="S242" s="446" t="e">
        <f>IF(OR($B242="",MIN(S$38,$D$19)&lt;MAX($P$34*($B242+IF($R$17="Distrato",$I$38-1,0)),IF(AND($L$37=0,$P$34=0),"",$L$37-1),IF($R$17="Distrato",$E242,0))),0,YEARFRAC(MAX($P$34*($B242+IF($R$17="Distrato",$I$38-1,0)),IF(AND($L$37=0,$P$34=0),"",$L$37-1),IF($R$17="Distrato",$E242,0)),MIN(S$38,$D$19),$P$20))-SUM($P242:R242)</f>
        <v>#VALUE!</v>
      </c>
      <c r="T242" s="446" t="e">
        <f>IF(OR($B242="",MIN(T$38,$D$19)&lt;MAX($P$34*($B242+IF($R$17="Distrato",$I$38-1,0)),IF(AND($L$37=0,$P$34=0),"",$L$37-1),IF($R$17="Distrato",$E242,0))),0,YEARFRAC(MAX($P$34*($B242+IF($R$17="Distrato",$I$38-1,0)),IF(AND($L$37=0,$P$34=0),"",$L$37-1),IF($R$17="Distrato",$E242,0)),MIN(T$38,$D$19),$P$20))-SUM($P242:S242)</f>
        <v>#VALUE!</v>
      </c>
      <c r="U242" s="446" t="e">
        <f>IF(OR($B242="",MIN(U$38,$D$19)&lt;MAX($P$34*($B242+IF($R$17="Distrato",$I$38-1,0)),IF(AND($L$37=0,$P$34=0),"",$L$37-1),IF($R$17="Distrato",$E242,0))),0,YEARFRAC(MAX($P$34*($B242+IF($R$17="Distrato",$I$38-1,0)),IF(AND($L$37=0,$P$34=0),"",$L$37-1),IF($R$17="Distrato",$E242,0)),MIN(U$38,$D$19),$P$20))-SUM($P242:T242)</f>
        <v>#VALUE!</v>
      </c>
      <c r="V242" s="446" t="e">
        <f>IF(OR($B242="",MIN(V$38,$D$19)&lt;MAX($P$34*($B242+IF($R$17="Distrato",$I$38-1,0)),IF(AND($L$37=0,$P$34=0),"",$L$37-1),IF($R$17="Distrato",$E242,0))),0,YEARFRAC(MAX($P$34*($B242+IF($R$17="Distrato",$I$38-1,0)),IF(AND($L$37=0,$P$34=0),"",$L$37-1),IF($R$17="Distrato",$E242,0)),MIN(V$38,$D$19),$P$20))-SUM($P242:U242)</f>
        <v>#VALUE!</v>
      </c>
      <c r="W242" s="446" t="e">
        <f>IF(OR($B242="",MIN(W$38,$D$19)&lt;MAX($P$34*($B242+IF($R$17="Distrato",$I$38-1,0)),IF(AND($L$37=0,$P$34=0),"",$L$37-1),IF($R$17="Distrato",$E242,0))),0,YEARFRAC(MAX($P$34*($B242+IF($R$17="Distrato",$I$38-1,0)),IF(AND($L$37=0,$P$34=0),"",$L$37-1),IF($R$17="Distrato",$E242,0)),MIN(W$38,$D$19),$P$20))-SUM($P242:V242)</f>
        <v>#VALUE!</v>
      </c>
      <c r="X242" s="446" t="e">
        <f>IF(OR($B242="",MIN(X$38,$D$19)&lt;MAX($P$34*($B242+IF($R$17="Distrato",$I$38-1,0)),IF(AND($L$37=0,$P$34=0),"",$L$37-1),IF($R$17="Distrato",$E242,0))),0,YEARFRAC(MAX($P$34*($B242+IF($R$17="Distrato",$I$38-1,0)),IF(AND($L$37=0,$P$34=0),"",$L$37-1),IF($R$17="Distrato",$E242,0)),MIN(X$38,$D$19),$P$20))-SUM($P242:W242)</f>
        <v>#VALUE!</v>
      </c>
      <c r="Y242" s="446" t="e">
        <f>IF(OR($B242="",MIN(Y$38,$D$19)&lt;MAX($P$34*($B242+IF($R$17="Distrato",$I$38-1,0)),IF(AND($L$37=0,$P$34=0),"",$L$37-1),IF($R$17="Distrato",$E242,0))),0,YEARFRAC(MAX($P$34*($B242+IF($R$17="Distrato",$I$38-1,0)),IF(AND($L$37=0,$P$34=0),"",$L$37-1),IF($R$17="Distrato",$E242,0)),MIN(Y$38,$D$19),$P$20))-SUM($P242:X242)</f>
        <v>#VALUE!</v>
      </c>
      <c r="Z242" s="446" t="e">
        <f>IF(OR($B242="",MIN(Z$38,$D$19)&lt;MAX($P$34*($B242+IF($R$17="Distrato",$I$38-1,0)),IF(AND($L$37=0,$P$34=0),"",$L$37-1),IF($R$17="Distrato",$E242,0))),0,YEARFRAC(MAX($P$34*($B242+IF($R$17="Distrato",$I$38-1,0)),IF(AND($L$37=0,$P$34=0),"",$L$37-1),IF($R$17="Distrato",$E242,0)),MIN(Z$38,$D$19),$P$20))-SUM($P242:Y242)</f>
        <v>#VALUE!</v>
      </c>
      <c r="AA242" s="446" t="e">
        <f>IF(OR($B242="",MIN(AA$38,$D$19)&lt;MAX($P$34*($B242+IF($R$17="Distrato",$I$38-1,0)),IF(AND($L$37=0,$P$34=0),"",$L$37-1),IF($R$17="Distrato",$E242,0))),0,YEARFRAC(MAX($P$34*($B242+IF($R$17="Distrato",$I$38-1,0)),IF(AND($L$37=0,$P$34=0),"",$L$37-1),IF($R$17="Distrato",$E242,0)),MIN(AA$38,$D$19),$P$20))-SUM($P242:Z242)</f>
        <v>#VALUE!</v>
      </c>
      <c r="AB242" s="446" t="e">
        <f>IF(OR($B242="",MIN(AB$38,$D$19)&lt;MAX($P$34*($B242+IF($R$17="Distrato",$I$38-1,0)),IF(AND($L$37=0,$P$34=0),"",$L$37-1),IF($R$17="Distrato",$E242,0))),0,YEARFRAC(MAX($P$34*($B242+IF($R$17="Distrato",$I$38-1,0)),IF(AND($L$37=0,$P$34=0),"",$L$37-1),IF($R$17="Distrato",$E242,0)),MIN(AB$38,$D$19),$P$20))-SUM($P242:AA242)</f>
        <v>#VALUE!</v>
      </c>
      <c r="AC242" s="446" t="e">
        <f>IF(OR($B242="",MIN(AC$38,$D$19)&lt;MAX($P$34*($B242+IF($R$17="Distrato",$I$38-1,0)),IF(AND($L$37=0,$P$34=0),"",$L$37-1),IF($R$17="Distrato",$E242,0))),0,YEARFRAC(MAX($P$34*($B242+IF($R$17="Distrato",$I$38-1,0)),IF(AND($L$37=0,$P$34=0),"",$L$37-1),IF($R$17="Distrato",$E242,0)),MIN(AC$38,$D$19),$P$20))-SUM($P242:AB242)</f>
        <v>#VALUE!</v>
      </c>
      <c r="AD242" s="446" t="e">
        <f>IF(OR($B242="",MIN(AD$38,$D$19)&lt;MAX($P$34*($B242+IF($R$17="Distrato",$I$38-1,0)),IF(AND($L$37=0,$P$34=0),"",$L$37-1),IF($R$17="Distrato",$E242,0))),0,YEARFRAC(MAX($P$34*($B242+IF($R$17="Distrato",$I$38-1,0)),IF(AND($L$37=0,$P$34=0),"",$L$37-1),IF($R$17="Distrato",$E242,0)),MIN(AD$38,$D$19),$P$20))-SUM($P242:AC242)</f>
        <v>#VALUE!</v>
      </c>
      <c r="AE242" s="446" t="e">
        <f>IF(OR($B242="",MIN(AE$38,$D$19)&lt;MAX($P$34*($B242+IF($R$17="Distrato",$I$38-1,0)),IF(AND($L$37=0,$P$34=0),"",$L$37-1),IF($R$17="Distrato",$E242,0))),0,YEARFRAC(MAX($P$34*($B242+IF($R$17="Distrato",$I$38-1,0)),IF(AND($L$37=0,$P$34=0),"",$L$37-1),IF($R$17="Distrato",$E242,0)),MIN(AE$38,$D$19),$P$20))-SUM($P242:AD242)</f>
        <v>#VALUE!</v>
      </c>
      <c r="AF242" s="446" t="e">
        <f>IF(OR($B242="",MIN(AF$38,$D$19)&lt;MAX($P$34*($B242+IF($R$17="Distrato",$I$38-1,0)),IF(AND($L$37=0,$P$34=0),"",$L$37-1),IF($R$17="Distrato",$E242,0))),0,YEARFRAC(MAX($P$34*($B242+IF($R$17="Distrato",$I$38-1,0)),IF(AND($L$37=0,$P$34=0),"",$L$37-1),IF($R$17="Distrato",$E242,0)),MIN(AF$38,$D$19),$P$20))-SUM($P242:AE242)</f>
        <v>#VALUE!</v>
      </c>
      <c r="AG242" s="446" t="e">
        <f>IF(OR($B242="",MIN(AG$38,$D$19)&lt;MAX($P$34*($B242+IF($R$17="Distrato",$I$38-1,0)),IF(AND($L$37=0,$P$34=0),"",$L$37-1),IF($R$17="Distrato",$E242,0))),0,YEARFRAC(MAX($P$34*($B242+IF($R$17="Distrato",$I$38-1,0)),IF(AND($L$37=0,$P$34=0),"",$L$37-1),IF($R$17="Distrato",$E242,0)),MIN(AG$38,$D$19),$P$20))-SUM($P242:AF242)</f>
        <v>#VALUE!</v>
      </c>
      <c r="AH242" s="446" t="e">
        <f>IF(OR($B242="",MIN(AH$38,$D$19)&lt;MAX($P$34*($B242+IF($R$17="Distrato",$I$38-1,0)),IF(AND($L$37=0,$P$34=0),"",$L$37-1),IF($R$17="Distrato",$E242,0))),0,YEARFRAC(MAX($P$34*($B242+IF($R$17="Distrato",$I$38-1,0)),IF(AND($L$37=0,$P$34=0),"",$L$37-1),IF($R$17="Distrato",$E242,0)),MIN(AH$38,$D$19),$P$20))-SUM($P242:AG242)</f>
        <v>#VALUE!</v>
      </c>
      <c r="AI242" s="446" t="e">
        <f>IF(OR($B242="",MIN(AI$38,$D$19)&lt;MAX($P$34*($B242+IF($R$17="Distrato",$I$38-1,0)),IF(AND($L$37=0,$P$34=0),"",$L$37-1),IF($R$17="Distrato",$E242,0))),0,YEARFRAC(MAX($P$34*($B242+IF($R$17="Distrato",$I$38-1,0)),IF(AND($L$37=0,$P$34=0),"",$L$37-1),IF($R$17="Distrato",$E242,0)),MIN(AI$38,$D$19),$P$20))-SUM($P242:AH242)</f>
        <v>#VALUE!</v>
      </c>
      <c r="AJ242" s="446" t="e">
        <f>IF(OR($B242="",MIN(AJ$38,$D$19)&lt;MAX($P$34*($B242+IF($R$17="Distrato",$I$38-1,0)),IF(AND($L$37=0,$P$34=0),"",$L$37-1),IF($R$17="Distrato",$E242,0))),0,YEARFRAC(MAX($P$34*($B242+IF($R$17="Distrato",$I$38-1,0)),IF(AND($L$37=0,$P$34=0),"",$L$37-1),IF($R$17="Distrato",$E242,0)),MIN(AJ$38,$D$19),$P$20))-SUM($P242:AI242)</f>
        <v>#VALUE!</v>
      </c>
      <c r="AK242" s="446" t="e">
        <f>IF(OR($B242="",MIN(AK$38,$D$19)&lt;MAX($P$34*($B242+IF($R$17="Distrato",$I$38-1,0)),IF(AND($L$37=0,$P$34=0),"",$L$37-1),IF($R$17="Distrato",$E242,0))),0,YEARFRAC(MAX($P$34*($B242+IF($R$17="Distrato",$I$38-1,0)),IF(AND($L$37=0,$P$34=0),"",$L$37-1),IF($R$17="Distrato",$E242,0)),MIN(AK$38,$D$19),$P$20))-SUM($P242:AJ242)</f>
        <v>#VALUE!</v>
      </c>
      <c r="AL242" s="446" t="e">
        <f>IF(OR($B242="",MIN(AL$38,$D$19)&lt;MAX($P$34*($B242+IF($R$17="Distrato",$I$38-1,0)),IF(AND($L$37=0,$P$34=0),"",$L$37-1),IF($R$17="Distrato",$E242,0))),0,YEARFRAC(MAX($P$34*($B242+IF($R$17="Distrato",$I$38-1,0)),IF(AND($L$37=0,$P$34=0),"",$L$37-1),IF($R$17="Distrato",$E242,0)),MIN(AL$38,$D$19),$P$20))-SUM($P242:AK242)</f>
        <v>#VALUE!</v>
      </c>
      <c r="AM242" s="446" t="e">
        <f>IF(OR($B242="",MIN(AM$38,$D$19)&lt;MAX($P$34*($B242+IF($R$17="Distrato",$I$38-1,0)),IF(AND($L$37=0,$P$34=0),"",$L$37-1),IF($R$17="Distrato",$E242,0))),0,YEARFRAC(MAX($P$34*($B242+IF($R$17="Distrato",$I$38-1,0)),IF(AND($L$37=0,$P$34=0),"",$L$37-1),IF($R$17="Distrato",$E242,0)),MIN(AM$38,$D$19),$P$20))-SUM($P242:AL242)</f>
        <v>#VALUE!</v>
      </c>
      <c r="AN242" s="446" t="e">
        <f>IF(OR($B242="",MIN(AN$38,$D$19)&lt;MAX($P$34*($B242+IF($R$17="Distrato",$I$38-1,0)),IF(AND($L$37=0,$P$34=0),"",$L$37-1),IF($R$17="Distrato",$E242,0))),0,YEARFRAC(MAX($P$34*($B242+IF($R$17="Distrato",$I$38-1,0)),IF(AND($L$37=0,$P$34=0),"",$L$37-1),IF($R$17="Distrato",$E242,0)),MIN(AN$38,$D$19),$P$20))-SUM($P242:AM242)</f>
        <v>#VALUE!</v>
      </c>
      <c r="AO242" s="446" t="e">
        <f>IF(OR($B242="",MIN(AO$38,$D$19)&lt;MAX($P$34*($B242+IF($R$17="Distrato",$I$38-1,0)),IF(AND($L$37=0,$P$34=0),"",$L$37-1),IF($R$17="Distrato",$E242,0))),0,YEARFRAC(MAX($P$34*($B242+IF($R$17="Distrato",$I$38-1,0)),IF(AND($L$37=0,$P$34=0),"",$L$37-1),IF($R$17="Distrato",$E242,0)),MIN(AO$38,$D$19),$P$20))-SUM($P242:AN242)</f>
        <v>#VALUE!</v>
      </c>
      <c r="AP242" s="446" t="e">
        <f>IF(OR($B242="",MIN(AP$38,$D$19)&lt;MAX($P$34*($B242+IF($R$17="Distrato",$I$38-1,0)),IF(AND($L$37=0,$P$34=0),"",$L$37-1),IF($R$17="Distrato",$E242,0))),0,YEARFRAC(MAX($P$34*($B242+IF($R$17="Distrato",$I$38-1,0)),IF(AND($L$37=0,$P$34=0),"",$L$37-1),IF($R$17="Distrato",$E242,0)),MIN(AP$38,$D$19),$P$20))-SUM($P242:AO242)</f>
        <v>#VALUE!</v>
      </c>
      <c r="AQ242" s="446" t="e">
        <f>IF(OR($B242="",MIN(AQ$38,$D$19)&lt;MAX($P$34*($B242+IF($R$17="Distrato",$I$38-1,0)),IF(AND($L$37=0,$P$34=0),"",$L$37-1),IF($R$17="Distrato",$E242,0))),0,YEARFRAC(MAX($P$34*($B242+IF($R$17="Distrato",$I$38-1,0)),IF(AND($L$37=0,$P$34=0),"",$L$37-1),IF($R$17="Distrato",$E242,0)),MIN(AQ$38,$D$19),$P$20))-SUM($P242:AP242)</f>
        <v>#VALUE!</v>
      </c>
      <c r="AR242" s="446" t="e">
        <f>IF(OR($B242="",MIN(AR$38,$D$19)&lt;MAX($P$34*($B242+IF($R$17="Distrato",$I$38-1,0)),IF(AND($L$37=0,$P$34=0),"",$L$37-1),IF($R$17="Distrato",$E242,0))),0,YEARFRAC(MAX($P$34*($B242+IF($R$17="Distrato",$I$38-1,0)),IF(AND($L$37=0,$P$34=0),"",$L$37-1),IF($R$17="Distrato",$E242,0)),MIN(AR$38,$D$19),$P$20))-SUM($P242:AQ242)</f>
        <v>#VALUE!</v>
      </c>
      <c r="AS242" s="446" t="e">
        <f>IF(OR($B242="",MIN(AS$38,$D$19)&lt;MAX($P$34*($B242+IF($R$17="Distrato",$I$38-1,0)),IF(AND($L$37=0,$P$34=0),"",$L$37-1),IF($R$17="Distrato",$E242,0))),0,YEARFRAC(MAX($P$34*($B242+IF($R$17="Distrato",$I$38-1,0)),IF(AND($L$37=0,$P$34=0),"",$L$37-1),IF($R$17="Distrato",$E242,0)),MIN(AS$38,$D$19),$P$20))-SUM($P242:AR242)</f>
        <v>#VALUE!</v>
      </c>
      <c r="AT242" s="446" t="e">
        <f>IF(OR($B242="",MIN(AT$38,$D$19)&lt;MAX($P$34*($B242+IF($R$17="Distrato",$I$38-1,0)),IF(AND($L$37=0,$P$34=0),"",$L$37-1),IF($R$17="Distrato",$E242,0))),0,YEARFRAC(MAX($P$34*($B242+IF($R$17="Distrato",$I$38-1,0)),IF(AND($L$37=0,$P$34=0),"",$L$37-1),IF($R$17="Distrato",$E242,0)),MIN(AT$38,$D$19),$P$20))-SUM($P242:AS242)</f>
        <v>#VALUE!</v>
      </c>
      <c r="AU242" s="446" t="e">
        <f>IF(OR($B242="",MIN(AU$38,$D$19)&lt;MAX($P$34*($B242+IF($R$17="Distrato",$I$38-1,0)),IF(AND($L$37=0,$P$34=0),"",$L$37-1),IF($R$17="Distrato",$E242,0))),0,YEARFRAC(MAX($P$34*($B242+IF($R$17="Distrato",$I$38-1,0)),IF(AND($L$37=0,$P$34=0),"",$L$37-1),IF($R$17="Distrato",$E242,0)),MIN(AU$38,$D$19),$P$20))-SUM($P242:AT242)</f>
        <v>#VALUE!</v>
      </c>
      <c r="AV242" s="446" t="e">
        <f>IF(OR($B242="",MIN(AV$38,$D$19)&lt;MAX($P$34*($B242+IF($R$17="Distrato",$I$38-1,0)),IF(AND($L$37=0,$P$34=0),"",$L$37-1),IF($R$17="Distrato",$E242,0))),0,YEARFRAC(MAX($P$34*($B242+IF($R$17="Distrato",$I$38-1,0)),IF(AND($L$37=0,$P$34=0),"",$L$37-1),IF($R$17="Distrato",$E242,0)),MIN(AV$38,$D$19),$P$20))-SUM($P242:AU242)</f>
        <v>#VALUE!</v>
      </c>
      <c r="AW242" s="446" t="e">
        <f>IF(OR($B242="",MIN(AW$38,$D$19)&lt;MAX($P$34*($B242+IF($R$17="Distrato",$I$38-1,0)),IF(AND($L$37=0,$P$34=0),"",$L$37-1),IF($R$17="Distrato",$E242,0))),0,YEARFRAC(MAX($P$34*($B242+IF($R$17="Distrato",$I$38-1,0)),IF(AND($L$37=0,$P$34=0),"",$L$37-1),IF($R$17="Distrato",$E242,0)),MIN(AW$38,$D$19),$P$20))-SUM($P242:AV242)</f>
        <v>#VALUE!</v>
      </c>
      <c r="AX242" s="446" t="e">
        <f>IF(OR($B242="",MIN(AX$38,$D$19)&lt;MAX($P$34*($B242+IF($R$17="Distrato",$I$38-1,0)),IF(AND($L$37=0,$P$34=0),"",$L$37-1),IF($R$17="Distrato",$E242,0))),0,YEARFRAC(MAX($P$34*($B242+IF($R$17="Distrato",$I$38-1,0)),IF(AND($L$37=0,$P$34=0),"",$L$37-1),IF($R$17="Distrato",$E242,0)),MIN(AX$38,$D$19),$P$20))-SUM($P242:AW242)</f>
        <v>#VALUE!</v>
      </c>
      <c r="AY242" s="446" t="e">
        <f>IF(OR($B242="",MIN(AY$38,$D$19)&lt;MAX($P$34*($B242+IF($R$17="Distrato",$I$38-1,0)),IF(AND($L$37=0,$P$34=0),"",$L$37-1),IF($R$17="Distrato",$E242,0))),0,YEARFRAC(MAX($P$34*($B242+IF($R$17="Distrato",$I$38-1,0)),IF(AND($L$37=0,$P$34=0),"",$L$37-1),IF($R$17="Distrato",$E242,0)),MIN(AY$38,$D$19),$P$20))-SUM($P242:AX242)</f>
        <v>#VALUE!</v>
      </c>
      <c r="AZ242" s="446" t="e">
        <f>IF(OR($B242="",MIN(AZ$38,$D$19)&lt;MAX($P$34*($B242+IF($R$17="Distrato",$I$38-1,0)),IF(AND($L$37=0,$P$34=0),"",$L$37-1),IF($R$17="Distrato",$E242,0))),0,YEARFRAC(MAX($P$34*($B242+IF($R$17="Distrato",$I$38-1,0)),IF(AND($L$37=0,$P$34=0),"",$L$37-1),IF($R$17="Distrato",$E242,0)),MIN(AZ$38,$D$19),$P$20))-SUM($P242:AY242)</f>
        <v>#VALUE!</v>
      </c>
      <c r="BA242" s="446" t="e">
        <f>IF(OR($B242="",MIN(BA$38,$D$19)&lt;MAX($P$34*($B242+IF($R$17="Distrato",$I$38-1,0)),IF(AND($L$37=0,$P$34=0),"",$L$37-1),IF($R$17="Distrato",$E242,0))),0,YEARFRAC(MAX($P$34*($B242+IF($R$17="Distrato",$I$38-1,0)),IF(AND($L$37=0,$P$34=0),"",$L$37-1),IF($R$17="Distrato",$E242,0)),MIN(BA$38,$D$19),$P$20))-SUM($P242:AZ242)</f>
        <v>#VALUE!</v>
      </c>
      <c r="BB242" s="447"/>
      <c r="BF242" s="446">
        <f t="shared" si="43"/>
        <v>0</v>
      </c>
      <c r="BG242" s="446">
        <f>IF($E242=0,0,IF(MIN(BG$38,$E242)&lt;MAX($P$34*($B242+$I$38-1),IF(AND($L$37=0,$P$34=0),"",$L$37-1)),0,YEARFRAC(MAX($P$34*($B242+$I$38-1),IF(AND($L$37=0,$P$34=0),"",$L$37-1)),MIN(BG$38,$E242),$P$20))-SUM($BF242:BF242))</f>
        <v>0</v>
      </c>
      <c r="BH242" s="446">
        <f>IF($E242=0,0,IF(MIN(BH$38,$E242)&lt;MAX($P$34*($B242+$I$38-1),IF(AND($L$37=0,$P$34=0),"",$L$37-1)),0,YEARFRAC(MAX($P$34*($B242+$I$38-1),IF(AND($L$37=0,$P$34=0),"",$L$37-1)),MIN(BH$38,$E242),$P$20))-SUM($BF242:BG242))</f>
        <v>0</v>
      </c>
      <c r="BI242" s="446">
        <f>IF($E242=0,0,IF(MIN(BI$38,$E242)&lt;MAX($P$34*($B242+$I$38-1),IF(AND($L$37=0,$P$34=0),"",$L$37-1)),0,YEARFRAC(MAX($P$34*($B242+$I$38-1),IF(AND($L$37=0,$P$34=0),"",$L$37-1)),MIN(BI$38,$E242),$P$20))-SUM($BF242:BH242))</f>
        <v>0</v>
      </c>
      <c r="BJ242" s="446">
        <f>IF($E242=0,0,IF(MIN(BJ$38,$E242)&lt;MAX($P$34*($B242+$I$38-1),IF(AND($L$37=0,$P$34=0),"",$L$37-1)),0,YEARFRAC(MAX($P$34*($B242+$I$38-1),IF(AND($L$37=0,$P$34=0),"",$L$37-1)),MIN(BJ$38,$E242),$P$20))-SUM($BF242:BI242))</f>
        <v>0</v>
      </c>
      <c r="BK242" s="446">
        <f>IF($E242=0,0,IF(MIN(BK$38,$E242)&lt;MAX($P$34*($B242+$I$38-1),IF(AND($L$37=0,$P$34=0),"",$L$37-1)),0,YEARFRAC(MAX($P$34*($B242+$I$38-1),IF(AND($L$37=0,$P$34=0),"",$L$37-1)),MIN(BK$38,$E242),$P$20))-SUM($BF242:BJ242))</f>
        <v>0</v>
      </c>
      <c r="BL242" s="446">
        <f>IF($E242=0,0,IF(MIN(BL$38,$E242)&lt;MAX($P$34*($B242+$I$38-1),IF(AND($L$37=0,$P$34=0),"",$L$37-1)),0,YEARFRAC(MAX($P$34*($B242+$I$38-1),IF(AND($L$37=0,$P$34=0),"",$L$37-1)),MIN(BL$38,$E242),$P$20))-SUM($BF242:BK242))</f>
        <v>0</v>
      </c>
      <c r="BM242" s="446">
        <f>IF($E242=0,0,IF(MIN(BM$38,$E242)&lt;MAX($P$34*($B242+$I$38-1),IF(AND($L$37=0,$P$34=0),"",$L$37-1)),0,YEARFRAC(MAX($P$34*($B242+$I$38-1),IF(AND($L$37=0,$P$34=0),"",$L$37-1)),MIN(BM$38,$E242),$P$20))-SUM($BF242:BL242))</f>
        <v>0</v>
      </c>
      <c r="BN242" s="446">
        <f>IF($E242=0,0,IF(MIN(BN$38,$E242)&lt;MAX($P$34*($B242+$I$38-1),IF(AND($L$37=0,$P$34=0),"",$L$37-1)),0,YEARFRAC(MAX($P$34*($B242+$I$38-1),IF(AND($L$37=0,$P$34=0),"",$L$37-1)),MIN(BN$38,$E242),$P$20))-SUM($BF242:BM242))</f>
        <v>0</v>
      </c>
      <c r="BO242" s="446">
        <f>IF($E242=0,0,IF(MIN(BO$38,$E242)&lt;MAX($P$34*($B242+$I$38-1),IF(AND($L$37=0,$P$34=0),"",$L$37-1)),0,YEARFRAC(MAX($P$34*($B242+$I$38-1),IF(AND($L$37=0,$P$34=0),"",$L$37-1)),MIN(BO$38,$E242),$P$20))-SUM($BF242:BN242))</f>
        <v>0</v>
      </c>
      <c r="BP242" s="446">
        <f>IF($E242=0,0,IF(MIN(BP$38,$E242)&lt;MAX($P$34*($B242+$I$38-1),IF(AND($L$37=0,$P$34=0),"",$L$37-1)),0,YEARFRAC(MAX($P$34*($B242+$I$38-1),IF(AND($L$37=0,$P$34=0),"",$L$37-1)),MIN(BP$38,$E242),$P$20))-SUM($BF242:BO242))</f>
        <v>0</v>
      </c>
      <c r="BQ242" s="446">
        <f>IF($E242=0,0,IF(MIN(BQ$38,$E242)&lt;MAX($P$34*($B242+$I$38-1),IF(AND($L$37=0,$P$34=0),"",$L$37-1)),0,YEARFRAC(MAX($P$34*($B242+$I$38-1),IF(AND($L$37=0,$P$34=0),"",$L$37-1)),MIN(BQ$38,$E242),$P$20))-SUM($BF242:BP242))</f>
        <v>0</v>
      </c>
      <c r="BR242" s="446">
        <f>IF($E242=0,0,IF(MIN(BR$38,$E242)&lt;MAX($P$34*($B242+$I$38-1),IF(AND($L$37=0,$P$34=0),"",$L$37-1)),0,YEARFRAC(MAX($P$34*($B242+$I$38-1),IF(AND($L$37=0,$P$34=0),"",$L$37-1)),MIN(BR$38,$E242),$P$20))-SUM($BF242:BQ242))</f>
        <v>0</v>
      </c>
      <c r="BS242" s="446">
        <f>IF($E242=0,0,IF(MIN(BS$38,$E242)&lt;MAX($P$34*($B242+$I$38-1),IF(AND($L$37=0,$P$34=0),"",$L$37-1)),0,YEARFRAC(MAX($P$34*($B242+$I$38-1),IF(AND($L$37=0,$P$34=0),"",$L$37-1)),MIN(BS$38,$E242),$P$20))-SUM($BF242:BR242))</f>
        <v>0</v>
      </c>
      <c r="BT242" s="446">
        <f>IF($E242=0,0,IF(MIN(BT$38,$E242)&lt;MAX($P$34*($B242+$I$38-1),IF(AND($L$37=0,$P$34=0),"",$L$37-1)),0,YEARFRAC(MAX($P$34*($B242+$I$38-1),IF(AND($L$37=0,$P$34=0),"",$L$37-1)),MIN(BT$38,$E242),$P$20))-SUM($BF242:BS242))</f>
        <v>0</v>
      </c>
      <c r="BU242" s="446">
        <f>IF($E242=0,0,IF(MIN(BU$38,$E242)&lt;MAX($P$34*($B242+$I$38-1),IF(AND($L$37=0,$P$34=0),"",$L$37-1)),0,YEARFRAC(MAX($P$34*($B242+$I$38-1),IF(AND($L$37=0,$P$34=0),"",$L$37-1)),MIN(BU$38,$E242),$P$20))-SUM($BF242:BT242))</f>
        <v>0</v>
      </c>
      <c r="BV242" s="446">
        <f>IF($E242=0,0,IF(MIN(BV$38,$E242)&lt;MAX($P$34*($B242+$I$38-1),IF(AND($L$37=0,$P$34=0),"",$L$37-1)),0,YEARFRAC(MAX($P$34*($B242+$I$38-1),IF(AND($L$37=0,$P$34=0),"",$L$37-1)),MIN(BV$38,$E242),$P$20))-SUM($BF242:BU242))</f>
        <v>0</v>
      </c>
      <c r="BW242" s="446">
        <f>IF($E242=0,0,IF(MIN(BW$38,$E242)&lt;MAX($P$34*($B242+$I$38-1),IF(AND($L$37=0,$P$34=0),"",$L$37-1)),0,YEARFRAC(MAX($P$34*($B242+$I$38-1),IF(AND($L$37=0,$P$34=0),"",$L$37-1)),MIN(BW$38,$E242),$P$20))-SUM($BF242:BV242))</f>
        <v>0</v>
      </c>
      <c r="BX242" s="446">
        <f>IF($E242=0,0,IF(MIN(BX$38,$E242)&lt;MAX($P$34*($B242+$I$38-1),IF(AND($L$37=0,$P$34=0),"",$L$37-1)),0,YEARFRAC(MAX($P$34*($B242+$I$38-1),IF(AND($L$37=0,$P$34=0),"",$L$37-1)),MIN(BX$38,$E242),$P$20))-SUM($BF242:BW242))</f>
        <v>0</v>
      </c>
      <c r="BY242" s="446">
        <f>IF($E242=0,0,IF(MIN(BY$38,$E242)&lt;MAX($P$34*($B242+$I$38-1),IF(AND($L$37=0,$P$34=0),"",$L$37-1)),0,YEARFRAC(MAX($P$34*($B242+$I$38-1),IF(AND($L$37=0,$P$34=0),"",$L$37-1)),MIN(BY$38,$E242),$P$20))-SUM($BF242:BX242))</f>
        <v>0</v>
      </c>
      <c r="BZ242" s="446">
        <f>IF($E242=0,0,IF(MIN(BZ$38,$E242)&lt;MAX($P$34*($B242+$I$38-1),IF(AND($L$37=0,$P$34=0),"",$L$37-1)),0,YEARFRAC(MAX($P$34*($B242+$I$38-1),IF(AND($L$37=0,$P$34=0),"",$L$37-1)),MIN(BZ$38,$E242),$P$20))-SUM($BF242:BY242))</f>
        <v>0</v>
      </c>
      <c r="CA242" s="446">
        <f>IF($E242=0,0,IF(MIN(CA$38,$E242)&lt;MAX($P$34*($B242+$I$38-1),IF(AND($L$37=0,$P$34=0),"",$L$37-1)),0,YEARFRAC(MAX($P$34*($B242+$I$38-1),IF(AND($L$37=0,$P$34=0),"",$L$37-1)),MIN(CA$38,$E242),$P$20))-SUM($BF242:BZ242))</f>
        <v>0</v>
      </c>
      <c r="CB242" s="446">
        <f>IF($E242=0,0,IF(MIN(CB$38,$E242)&lt;MAX($P$34*($B242+$I$38-1),IF(AND($L$37=0,$P$34=0),"",$L$37-1)),0,YEARFRAC(MAX($P$34*($B242+$I$38-1),IF(AND($L$37=0,$P$34=0),"",$L$37-1)),MIN(CB$38,$E242),$P$20))-SUM($BF242:CA242))</f>
        <v>0</v>
      </c>
      <c r="CC242" s="446">
        <f>IF($E242=0,0,IF(MIN(CC$38,$E242)&lt;MAX($P$34*($B242+$I$38-1),IF(AND($L$37=0,$P$34=0),"",$L$37-1)),0,YEARFRAC(MAX($P$34*($B242+$I$38-1),IF(AND($L$37=0,$P$34=0),"",$L$37-1)),MIN(CC$38,$E242),$P$20))-SUM($BF242:CB242))</f>
        <v>0</v>
      </c>
      <c r="CD242" s="446">
        <f>IF($E242=0,0,IF(MIN(CD$38,$E242)&lt;MAX($P$34*($B242+$I$38-1),IF(AND($L$37=0,$P$34=0),"",$L$37-1)),0,YEARFRAC(MAX($P$34*($B242+$I$38-1),IF(AND($L$37=0,$P$34=0),"",$L$37-1)),MIN(CD$38,$E242),$P$20))-SUM($BF242:CC242))</f>
        <v>0</v>
      </c>
      <c r="CE242" s="446">
        <f>IF($E242=0,0,IF(MIN(CE$38,$E242)&lt;MAX($P$34*($B242+$I$38-1),IF(AND($L$37=0,$P$34=0),"",$L$37-1)),0,YEARFRAC(MAX($P$34*($B242+$I$38-1),IF(AND($L$37=0,$P$34=0),"",$L$37-1)),MIN(CE$38,$E242),$P$20))-SUM($BF242:CD242))</f>
        <v>0</v>
      </c>
      <c r="CF242" s="446">
        <f>IF($E242=0,0,IF(MIN(CF$38,$E242)&lt;MAX($P$34*($B242+$I$38-1),IF(AND($L$37=0,$P$34=0),"",$L$37-1)),0,YEARFRAC(MAX($P$34*($B242+$I$38-1),IF(AND($L$37=0,$P$34=0),"",$L$37-1)),MIN(CF$38,$E242),$P$20))-SUM($BF242:CE242))</f>
        <v>0</v>
      </c>
      <c r="CG242" s="446">
        <f>IF($E242=0,0,IF(MIN(CG$38,$E242)&lt;MAX($P$34*($B242+$I$38-1),IF(AND($L$37=0,$P$34=0),"",$L$37-1)),0,YEARFRAC(MAX($P$34*($B242+$I$38-1),IF(AND($L$37=0,$P$34=0),"",$L$37-1)),MIN(CG$38,$E242),$P$20))-SUM($BF242:CF242))</f>
        <v>0</v>
      </c>
      <c r="CH242" s="446">
        <f>IF($E242=0,0,IF(MIN(CH$38,$E242)&lt;MAX($P$34*($B242+$I$38-1),IF(AND($L$37=0,$P$34=0),"",$L$37-1)),0,YEARFRAC(MAX($P$34*($B242+$I$38-1),IF(AND($L$37=0,$P$34=0),"",$L$37-1)),MIN(CH$38,$E242),$P$20))-SUM($BF242:CG242))</f>
        <v>0</v>
      </c>
      <c r="CI242" s="446">
        <f>IF($E242=0,0,IF(MIN(CI$38,$E242)&lt;MAX($P$34*($B242+$I$38-1),IF(AND($L$37=0,$P$34=0),"",$L$37-1)),0,YEARFRAC(MAX($P$34*($B242+$I$38-1),IF(AND($L$37=0,$P$34=0),"",$L$37-1)),MIN(CI$38,$E242),$P$20))-SUM($BF242:CH242))</f>
        <v>0</v>
      </c>
      <c r="CJ242" s="446">
        <f>IF($E242=0,0,IF(MIN(CJ$38,$E242)&lt;MAX($P$34*($B242+$I$38-1),IF(AND($L$37=0,$P$34=0),"",$L$37-1)),0,YEARFRAC(MAX($P$34*($B242+$I$38-1),IF(AND($L$37=0,$P$34=0),"",$L$37-1)),MIN(CJ$38,$E242),$P$20))-SUM($BF242:CI242))</f>
        <v>0</v>
      </c>
      <c r="CK242" s="446">
        <f>IF($E242=0,0,IF(MIN(CK$38,$E242)&lt;MAX($P$34*($B242+$I$38-1),IF(AND($L$37=0,$P$34=0),"",$L$37-1)),0,YEARFRAC(MAX($P$34*($B242+$I$38-1),IF(AND($L$37=0,$P$34=0),"",$L$37-1)),MIN(CK$38,$E242),$P$20))-SUM($BF242:CJ242))</f>
        <v>0</v>
      </c>
      <c r="CL242" s="446">
        <f>IF($E242=0,0,IF(MIN(CL$38,$E242)&lt;MAX($P$34*($B242+$I$38-1),IF(AND($L$37=0,$P$34=0),"",$L$37-1)),0,YEARFRAC(MAX($P$34*($B242+$I$38-1),IF(AND($L$37=0,$P$34=0),"",$L$37-1)),MIN(CL$38,$E242),$P$20))-SUM($BF242:CK242))</f>
        <v>0</v>
      </c>
      <c r="CM242" s="446">
        <f>IF($E242=0,0,IF(MIN(CM$38,$E242)&lt;MAX($P$34*($B242+$I$38-1),IF(AND($L$37=0,$P$34=0),"",$L$37-1)),0,YEARFRAC(MAX($P$34*($B242+$I$38-1),IF(AND($L$37=0,$P$34=0),"",$L$37-1)),MIN(CM$38,$E242),$P$20))-SUM($BF242:CL242))</f>
        <v>0</v>
      </c>
      <c r="CN242" s="446">
        <f>IF($E242=0,0,IF(MIN(CN$38,$E242)&lt;MAX($P$34*($B242+$I$38-1),IF(AND($L$37=0,$P$34=0),"",$L$37-1)),0,YEARFRAC(MAX($P$34*($B242+$I$38-1),IF(AND($L$37=0,$P$34=0),"",$L$37-1)),MIN(CN$38,$E242),$P$20))-SUM($BF242:CM242))</f>
        <v>0</v>
      </c>
      <c r="CO242" s="446">
        <f>IF($E242=0,0,IF(MIN(CO$38,$E242)&lt;MAX($P$34*($B242+$I$38-1),IF(AND($L$37=0,$P$34=0),"",$L$37-1)),0,YEARFRAC(MAX($P$34*($B242+$I$38-1),IF(AND($L$37=0,$P$34=0),"",$L$37-1)),MIN(CO$38,$E242),$P$20))-SUM($BF242:CN242))</f>
        <v>0</v>
      </c>
      <c r="CP242" s="446">
        <f>IF($E242=0,0,IF(MIN(CP$38,$E242)&lt;MAX($P$34*($B242+$I$38-1),IF(AND($L$37=0,$P$34=0),"",$L$37-1)),0,YEARFRAC(MAX($P$34*($B242+$I$38-1),IF(AND($L$37=0,$P$34=0),"",$L$37-1)),MIN(CP$38,$E242),$P$20))-SUM($BF242:CO242))</f>
        <v>0</v>
      </c>
      <c r="CQ242" s="446">
        <f>IF($E242=0,0,IF(MIN(CQ$38,$E242)&lt;MAX($P$34*($B242+$I$38-1),IF(AND($L$37=0,$P$34=0),"",$L$37-1)),0,YEARFRAC(MAX($P$34*($B242+$I$38-1),IF(AND($L$37=0,$P$34=0),"",$L$37-1)),MIN(CQ$38,$E242),$P$20))-SUM($BF242:CP242))</f>
        <v>0</v>
      </c>
    </row>
    <row r="243" spans="1:95" s="446" customFormat="1" ht="11.25" hidden="1" customHeight="1" x14ac:dyDescent="0.2">
      <c r="A243" s="152"/>
      <c r="B243" s="153" t="str">
        <f t="shared" si="48"/>
        <v/>
      </c>
      <c r="C243" s="29" t="str">
        <f>IF(B243="","",IF($L$35="SELIC - TRIBUTOS",VLOOKUP(DATE(YEAR($D$19),MONTH($D$19)-1,1),ÍNDICES!$A:$DE,HLOOKUP($BL$25,ÍNDICES!$B$3:$T$4,2)+11)-VLOOKUP(B243,ÍNDICES!$A:$DE,HLOOKUP($BL$25,ÍNDICES!$B$3:$T$4,2)+11)+1%,IF(C$38=$W$26,$J$35,IF(ISERROR(IF(B243&gt;$D$19,1,VLOOKUP(DATE(YEAR(B243),MONTH(B243)+IF($C$35=$S$23,1,0),1),ÍNDICES!$A:$DE,$Z$35+1))),"",IF(B243&gt;$D$19,1,VLOOKUP(DATE(YEAR(B243),MONTH(B243)+IF($C$35=$S$23,1,0),1),ÍNDICES!$A:$DE,$Z$35+1))))))</f>
        <v/>
      </c>
      <c r="D243" s="154" t="str">
        <f>IF(ISERROR(IF(OR($D$38=$Y$27,$B243=""),"",VLOOKUP(B243,ÍNDICES!A:DE,AF$35+1))),"",IF(OR($D$38=$Y$27,$B243=""),"",VLOOKUP(B243,ÍNDICES!A:DE,AF$35+1)))</f>
        <v/>
      </c>
      <c r="E243" s="153"/>
      <c r="F243" s="29" t="str">
        <f>IF(E243="","",IF($L$35="SELIC - TRIBUTOS",VLOOKUP(DATE(YEAR($D$19),MONTH($D$19)-1,1),ÍNDICES!$A:$DE,HLOOKUP($BL$25,ÍNDICES!$B$3:$T$4,2)+11)-VLOOKUP(E243,ÍNDICES!$A:$DE,HLOOKUP($BL$25,ÍNDICES!$B$3:$T$4,2)+11)+1%,IF(F$38=$W$26,$J$35,IF(ISERROR(IF(E243&gt;$D$19,1,VLOOKUP(DATE(YEAR(E243),MONTH(E243)+IF($C$35=$S$23,1,0),1),ÍNDICES!$A:$DE,$Z$35+1))),"",IF(E243&gt;$D$19,1,VLOOKUP(DATE(YEAR(E243),MONTH(E243)+IF($C$35=$S$23,1,0),1),ÍNDICES!$A:$DE,$Z$35+1))))))</f>
        <v/>
      </c>
      <c r="G243" s="155"/>
      <c r="H243" s="156" t="str">
        <f t="shared" si="44"/>
        <v/>
      </c>
      <c r="I243" s="29" t="str">
        <f t="shared" si="38"/>
        <v/>
      </c>
      <c r="J243" s="5">
        <f t="shared" si="39"/>
        <v>0</v>
      </c>
      <c r="K243" s="20">
        <f t="shared" ca="1" si="40"/>
        <v>0</v>
      </c>
      <c r="L243" s="5">
        <f t="shared" ca="1" si="41"/>
        <v>0</v>
      </c>
      <c r="M243" s="64">
        <f t="shared" si="45"/>
        <v>0</v>
      </c>
      <c r="N243" s="61">
        <f t="shared" ca="1" si="46"/>
        <v>0</v>
      </c>
      <c r="O243" s="5">
        <f t="shared" ca="1" si="47"/>
        <v>0</v>
      </c>
      <c r="P243" s="446" t="e">
        <f t="shared" si="42"/>
        <v>#VALUE!</v>
      </c>
      <c r="Q243" s="446" t="e">
        <f>IF(OR($B243="",MIN(Q$38,$D$19)&lt;MAX($P$34*($B243+IF($R$17="Distrato",$I$38-1,0)),IF(AND($L$37=0,$P$34=0),"",$L$37-1),IF($R$17="Distrato",$E243,0))),0,YEARFRAC(MAX($P$34*($B243+IF($R$17="Distrato",$I$38-1,0)),IF(AND($L$37=0,$P$34=0),"",$L$37-1),IF($R$17="Distrato",$E243,0)),MIN(Q$38,$D$19),$P$20))-SUM($P243:P243)</f>
        <v>#VALUE!</v>
      </c>
      <c r="R243" s="446" t="e">
        <f>IF(OR($B243="",MIN(R$38,$D$19)&lt;MAX($P$34*($B243+IF($R$17="Distrato",$I$38-1,0)),IF(AND($L$37=0,$P$34=0),"",$L$37-1),IF($R$17="Distrato",$E243,0))),0,YEARFRAC(MAX($P$34*($B243+IF($R$17="Distrato",$I$38-1,0)),IF(AND($L$37=0,$P$34=0),"",$L$37-1),IF($R$17="Distrato",$E243,0)),MIN(R$38,$D$19),$P$20))-SUM($P243:Q243)</f>
        <v>#VALUE!</v>
      </c>
      <c r="S243" s="446" t="e">
        <f>IF(OR($B243="",MIN(S$38,$D$19)&lt;MAX($P$34*($B243+IF($R$17="Distrato",$I$38-1,0)),IF(AND($L$37=0,$P$34=0),"",$L$37-1),IF($R$17="Distrato",$E243,0))),0,YEARFRAC(MAX($P$34*($B243+IF($R$17="Distrato",$I$38-1,0)),IF(AND($L$37=0,$P$34=0),"",$L$37-1),IF($R$17="Distrato",$E243,0)),MIN(S$38,$D$19),$P$20))-SUM($P243:R243)</f>
        <v>#VALUE!</v>
      </c>
      <c r="T243" s="446" t="e">
        <f>IF(OR($B243="",MIN(T$38,$D$19)&lt;MAX($P$34*($B243+IF($R$17="Distrato",$I$38-1,0)),IF(AND($L$37=0,$P$34=0),"",$L$37-1),IF($R$17="Distrato",$E243,0))),0,YEARFRAC(MAX($P$34*($B243+IF($R$17="Distrato",$I$38-1,0)),IF(AND($L$37=0,$P$34=0),"",$L$37-1),IF($R$17="Distrato",$E243,0)),MIN(T$38,$D$19),$P$20))-SUM($P243:S243)</f>
        <v>#VALUE!</v>
      </c>
      <c r="U243" s="446" t="e">
        <f>IF(OR($B243="",MIN(U$38,$D$19)&lt;MAX($P$34*($B243+IF($R$17="Distrato",$I$38-1,0)),IF(AND($L$37=0,$P$34=0),"",$L$37-1),IF($R$17="Distrato",$E243,0))),0,YEARFRAC(MAX($P$34*($B243+IF($R$17="Distrato",$I$38-1,0)),IF(AND($L$37=0,$P$34=0),"",$L$37-1),IF($R$17="Distrato",$E243,0)),MIN(U$38,$D$19),$P$20))-SUM($P243:T243)</f>
        <v>#VALUE!</v>
      </c>
      <c r="V243" s="446" t="e">
        <f>IF(OR($B243="",MIN(V$38,$D$19)&lt;MAX($P$34*($B243+IF($R$17="Distrato",$I$38-1,0)),IF(AND($L$37=0,$P$34=0),"",$L$37-1),IF($R$17="Distrato",$E243,0))),0,YEARFRAC(MAX($P$34*($B243+IF($R$17="Distrato",$I$38-1,0)),IF(AND($L$37=0,$P$34=0),"",$L$37-1),IF($R$17="Distrato",$E243,0)),MIN(V$38,$D$19),$P$20))-SUM($P243:U243)</f>
        <v>#VALUE!</v>
      </c>
      <c r="W243" s="446" t="e">
        <f>IF(OR($B243="",MIN(W$38,$D$19)&lt;MAX($P$34*($B243+IF($R$17="Distrato",$I$38-1,0)),IF(AND($L$37=0,$P$34=0),"",$L$37-1),IF($R$17="Distrato",$E243,0))),0,YEARFRAC(MAX($P$34*($B243+IF($R$17="Distrato",$I$38-1,0)),IF(AND($L$37=0,$P$34=0),"",$L$37-1),IF($R$17="Distrato",$E243,0)),MIN(W$38,$D$19),$P$20))-SUM($P243:V243)</f>
        <v>#VALUE!</v>
      </c>
      <c r="X243" s="446" t="e">
        <f>IF(OR($B243="",MIN(X$38,$D$19)&lt;MAX($P$34*($B243+IF($R$17="Distrato",$I$38-1,0)),IF(AND($L$37=0,$P$34=0),"",$L$37-1),IF($R$17="Distrato",$E243,0))),0,YEARFRAC(MAX($P$34*($B243+IF($R$17="Distrato",$I$38-1,0)),IF(AND($L$37=0,$P$34=0),"",$L$37-1),IF($R$17="Distrato",$E243,0)),MIN(X$38,$D$19),$P$20))-SUM($P243:W243)</f>
        <v>#VALUE!</v>
      </c>
      <c r="Y243" s="446" t="e">
        <f>IF(OR($B243="",MIN(Y$38,$D$19)&lt;MAX($P$34*($B243+IF($R$17="Distrato",$I$38-1,0)),IF(AND($L$37=0,$P$34=0),"",$L$37-1),IF($R$17="Distrato",$E243,0))),0,YEARFRAC(MAX($P$34*($B243+IF($R$17="Distrato",$I$38-1,0)),IF(AND($L$37=0,$P$34=0),"",$L$37-1),IF($R$17="Distrato",$E243,0)),MIN(Y$38,$D$19),$P$20))-SUM($P243:X243)</f>
        <v>#VALUE!</v>
      </c>
      <c r="Z243" s="446" t="e">
        <f>IF(OR($B243="",MIN(Z$38,$D$19)&lt;MAX($P$34*($B243+IF($R$17="Distrato",$I$38-1,0)),IF(AND($L$37=0,$P$34=0),"",$L$37-1),IF($R$17="Distrato",$E243,0))),0,YEARFRAC(MAX($P$34*($B243+IF($R$17="Distrato",$I$38-1,0)),IF(AND($L$37=0,$P$34=0),"",$L$37-1),IF($R$17="Distrato",$E243,0)),MIN(Z$38,$D$19),$P$20))-SUM($P243:Y243)</f>
        <v>#VALUE!</v>
      </c>
      <c r="AA243" s="446" t="e">
        <f>IF(OR($B243="",MIN(AA$38,$D$19)&lt;MAX($P$34*($B243+IF($R$17="Distrato",$I$38-1,0)),IF(AND($L$37=0,$P$34=0),"",$L$37-1),IF($R$17="Distrato",$E243,0))),0,YEARFRAC(MAX($P$34*($B243+IF($R$17="Distrato",$I$38-1,0)),IF(AND($L$37=0,$P$34=0),"",$L$37-1),IF($R$17="Distrato",$E243,0)),MIN(AA$38,$D$19),$P$20))-SUM($P243:Z243)</f>
        <v>#VALUE!</v>
      </c>
      <c r="AB243" s="446" t="e">
        <f>IF(OR($B243="",MIN(AB$38,$D$19)&lt;MAX($P$34*($B243+IF($R$17="Distrato",$I$38-1,0)),IF(AND($L$37=0,$P$34=0),"",$L$37-1),IF($R$17="Distrato",$E243,0))),0,YEARFRAC(MAX($P$34*($B243+IF($R$17="Distrato",$I$38-1,0)),IF(AND($L$37=0,$P$34=0),"",$L$37-1),IF($R$17="Distrato",$E243,0)),MIN(AB$38,$D$19),$P$20))-SUM($P243:AA243)</f>
        <v>#VALUE!</v>
      </c>
      <c r="AC243" s="446" t="e">
        <f>IF(OR($B243="",MIN(AC$38,$D$19)&lt;MAX($P$34*($B243+IF($R$17="Distrato",$I$38-1,0)),IF(AND($L$37=0,$P$34=0),"",$L$37-1),IF($R$17="Distrato",$E243,0))),0,YEARFRAC(MAX($P$34*($B243+IF($R$17="Distrato",$I$38-1,0)),IF(AND($L$37=0,$P$34=0),"",$L$37-1),IF($R$17="Distrato",$E243,0)),MIN(AC$38,$D$19),$P$20))-SUM($P243:AB243)</f>
        <v>#VALUE!</v>
      </c>
      <c r="AD243" s="446" t="e">
        <f>IF(OR($B243="",MIN(AD$38,$D$19)&lt;MAX($P$34*($B243+IF($R$17="Distrato",$I$38-1,0)),IF(AND($L$37=0,$P$34=0),"",$L$37-1),IF($R$17="Distrato",$E243,0))),0,YEARFRAC(MAX($P$34*($B243+IF($R$17="Distrato",$I$38-1,0)),IF(AND($L$37=0,$P$34=0),"",$L$37-1),IF($R$17="Distrato",$E243,0)),MIN(AD$38,$D$19),$P$20))-SUM($P243:AC243)</f>
        <v>#VALUE!</v>
      </c>
      <c r="AE243" s="446" t="e">
        <f>IF(OR($B243="",MIN(AE$38,$D$19)&lt;MAX($P$34*($B243+IF($R$17="Distrato",$I$38-1,0)),IF(AND($L$37=0,$P$34=0),"",$L$37-1),IF($R$17="Distrato",$E243,0))),0,YEARFRAC(MAX($P$34*($B243+IF($R$17="Distrato",$I$38-1,0)),IF(AND($L$37=0,$P$34=0),"",$L$37-1),IF($R$17="Distrato",$E243,0)),MIN(AE$38,$D$19),$P$20))-SUM($P243:AD243)</f>
        <v>#VALUE!</v>
      </c>
      <c r="AF243" s="446" t="e">
        <f>IF(OR($B243="",MIN(AF$38,$D$19)&lt;MAX($P$34*($B243+IF($R$17="Distrato",$I$38-1,0)),IF(AND($L$37=0,$P$34=0),"",$L$37-1),IF($R$17="Distrato",$E243,0))),0,YEARFRAC(MAX($P$34*($B243+IF($R$17="Distrato",$I$38-1,0)),IF(AND($L$37=0,$P$34=0),"",$L$37-1),IF($R$17="Distrato",$E243,0)),MIN(AF$38,$D$19),$P$20))-SUM($P243:AE243)</f>
        <v>#VALUE!</v>
      </c>
      <c r="AG243" s="446" t="e">
        <f>IF(OR($B243="",MIN(AG$38,$D$19)&lt;MAX($P$34*($B243+IF($R$17="Distrato",$I$38-1,0)),IF(AND($L$37=0,$P$34=0),"",$L$37-1),IF($R$17="Distrato",$E243,0))),0,YEARFRAC(MAX($P$34*($B243+IF($R$17="Distrato",$I$38-1,0)),IF(AND($L$37=0,$P$34=0),"",$L$37-1),IF($R$17="Distrato",$E243,0)),MIN(AG$38,$D$19),$P$20))-SUM($P243:AF243)</f>
        <v>#VALUE!</v>
      </c>
      <c r="AH243" s="446" t="e">
        <f>IF(OR($B243="",MIN(AH$38,$D$19)&lt;MAX($P$34*($B243+IF($R$17="Distrato",$I$38-1,0)),IF(AND($L$37=0,$P$34=0),"",$L$37-1),IF($R$17="Distrato",$E243,0))),0,YEARFRAC(MAX($P$34*($B243+IF($R$17="Distrato",$I$38-1,0)),IF(AND($L$37=0,$P$34=0),"",$L$37-1),IF($R$17="Distrato",$E243,0)),MIN(AH$38,$D$19),$P$20))-SUM($P243:AG243)</f>
        <v>#VALUE!</v>
      </c>
      <c r="AI243" s="446" t="e">
        <f>IF(OR($B243="",MIN(AI$38,$D$19)&lt;MAX($P$34*($B243+IF($R$17="Distrato",$I$38-1,0)),IF(AND($L$37=0,$P$34=0),"",$L$37-1),IF($R$17="Distrato",$E243,0))),0,YEARFRAC(MAX($P$34*($B243+IF($R$17="Distrato",$I$38-1,0)),IF(AND($L$37=0,$P$34=0),"",$L$37-1),IF($R$17="Distrato",$E243,0)),MIN(AI$38,$D$19),$P$20))-SUM($P243:AH243)</f>
        <v>#VALUE!</v>
      </c>
      <c r="AJ243" s="446" t="e">
        <f>IF(OR($B243="",MIN(AJ$38,$D$19)&lt;MAX($P$34*($B243+IF($R$17="Distrato",$I$38-1,0)),IF(AND($L$37=0,$P$34=0),"",$L$37-1),IF($R$17="Distrato",$E243,0))),0,YEARFRAC(MAX($P$34*($B243+IF($R$17="Distrato",$I$38-1,0)),IF(AND($L$37=0,$P$34=0),"",$L$37-1),IF($R$17="Distrato",$E243,0)),MIN(AJ$38,$D$19),$P$20))-SUM($P243:AI243)</f>
        <v>#VALUE!</v>
      </c>
      <c r="AK243" s="446" t="e">
        <f>IF(OR($B243="",MIN(AK$38,$D$19)&lt;MAX($P$34*($B243+IF($R$17="Distrato",$I$38-1,0)),IF(AND($L$37=0,$P$34=0),"",$L$37-1),IF($R$17="Distrato",$E243,0))),0,YEARFRAC(MAX($P$34*($B243+IF($R$17="Distrato",$I$38-1,0)),IF(AND($L$37=0,$P$34=0),"",$L$37-1),IF($R$17="Distrato",$E243,0)),MIN(AK$38,$D$19),$P$20))-SUM($P243:AJ243)</f>
        <v>#VALUE!</v>
      </c>
      <c r="AL243" s="446" t="e">
        <f>IF(OR($B243="",MIN(AL$38,$D$19)&lt;MAX($P$34*($B243+IF($R$17="Distrato",$I$38-1,0)),IF(AND($L$37=0,$P$34=0),"",$L$37-1),IF($R$17="Distrato",$E243,0))),0,YEARFRAC(MAX($P$34*($B243+IF($R$17="Distrato",$I$38-1,0)),IF(AND($L$37=0,$P$34=0),"",$L$37-1),IF($R$17="Distrato",$E243,0)),MIN(AL$38,$D$19),$P$20))-SUM($P243:AK243)</f>
        <v>#VALUE!</v>
      </c>
      <c r="AM243" s="446" t="e">
        <f>IF(OR($B243="",MIN(AM$38,$D$19)&lt;MAX($P$34*($B243+IF($R$17="Distrato",$I$38-1,0)),IF(AND($L$37=0,$P$34=0),"",$L$37-1),IF($R$17="Distrato",$E243,0))),0,YEARFRAC(MAX($P$34*($B243+IF($R$17="Distrato",$I$38-1,0)),IF(AND($L$37=0,$P$34=0),"",$L$37-1),IF($R$17="Distrato",$E243,0)),MIN(AM$38,$D$19),$P$20))-SUM($P243:AL243)</f>
        <v>#VALUE!</v>
      </c>
      <c r="AN243" s="446" t="e">
        <f>IF(OR($B243="",MIN(AN$38,$D$19)&lt;MAX($P$34*($B243+IF($R$17="Distrato",$I$38-1,0)),IF(AND($L$37=0,$P$34=0),"",$L$37-1),IF($R$17="Distrato",$E243,0))),0,YEARFRAC(MAX($P$34*($B243+IF($R$17="Distrato",$I$38-1,0)),IF(AND($L$37=0,$P$34=0),"",$L$37-1),IF($R$17="Distrato",$E243,0)),MIN(AN$38,$D$19),$P$20))-SUM($P243:AM243)</f>
        <v>#VALUE!</v>
      </c>
      <c r="AO243" s="446" t="e">
        <f>IF(OR($B243="",MIN(AO$38,$D$19)&lt;MAX($P$34*($B243+IF($R$17="Distrato",$I$38-1,0)),IF(AND($L$37=0,$P$34=0),"",$L$37-1),IF($R$17="Distrato",$E243,0))),0,YEARFRAC(MAX($P$34*($B243+IF($R$17="Distrato",$I$38-1,0)),IF(AND($L$37=0,$P$34=0),"",$L$37-1),IF($R$17="Distrato",$E243,0)),MIN(AO$38,$D$19),$P$20))-SUM($P243:AN243)</f>
        <v>#VALUE!</v>
      </c>
      <c r="AP243" s="446" t="e">
        <f>IF(OR($B243="",MIN(AP$38,$D$19)&lt;MAX($P$34*($B243+IF($R$17="Distrato",$I$38-1,0)),IF(AND($L$37=0,$P$34=0),"",$L$37-1),IF($R$17="Distrato",$E243,0))),0,YEARFRAC(MAX($P$34*($B243+IF($R$17="Distrato",$I$38-1,0)),IF(AND($L$37=0,$P$34=0),"",$L$37-1),IF($R$17="Distrato",$E243,0)),MIN(AP$38,$D$19),$P$20))-SUM($P243:AO243)</f>
        <v>#VALUE!</v>
      </c>
      <c r="AQ243" s="446" t="e">
        <f>IF(OR($B243="",MIN(AQ$38,$D$19)&lt;MAX($P$34*($B243+IF($R$17="Distrato",$I$38-1,0)),IF(AND($L$37=0,$P$34=0),"",$L$37-1),IF($R$17="Distrato",$E243,0))),0,YEARFRAC(MAX($P$34*($B243+IF($R$17="Distrato",$I$38-1,0)),IF(AND($L$37=0,$P$34=0),"",$L$37-1),IF($R$17="Distrato",$E243,0)),MIN(AQ$38,$D$19),$P$20))-SUM($P243:AP243)</f>
        <v>#VALUE!</v>
      </c>
      <c r="AR243" s="446" t="e">
        <f>IF(OR($B243="",MIN(AR$38,$D$19)&lt;MAX($P$34*($B243+IF($R$17="Distrato",$I$38-1,0)),IF(AND($L$37=0,$P$34=0),"",$L$37-1),IF($R$17="Distrato",$E243,0))),0,YEARFRAC(MAX($P$34*($B243+IF($R$17="Distrato",$I$38-1,0)),IF(AND($L$37=0,$P$34=0),"",$L$37-1),IF($R$17="Distrato",$E243,0)),MIN(AR$38,$D$19),$P$20))-SUM($P243:AQ243)</f>
        <v>#VALUE!</v>
      </c>
      <c r="AS243" s="446" t="e">
        <f>IF(OR($B243="",MIN(AS$38,$D$19)&lt;MAX($P$34*($B243+IF($R$17="Distrato",$I$38-1,0)),IF(AND($L$37=0,$P$34=0),"",$L$37-1),IF($R$17="Distrato",$E243,0))),0,YEARFRAC(MAX($P$34*($B243+IF($R$17="Distrato",$I$38-1,0)),IF(AND($L$37=0,$P$34=0),"",$L$37-1),IF($R$17="Distrato",$E243,0)),MIN(AS$38,$D$19),$P$20))-SUM($P243:AR243)</f>
        <v>#VALUE!</v>
      </c>
      <c r="AT243" s="446" t="e">
        <f>IF(OR($B243="",MIN(AT$38,$D$19)&lt;MAX($P$34*($B243+IF($R$17="Distrato",$I$38-1,0)),IF(AND($L$37=0,$P$34=0),"",$L$37-1),IF($R$17="Distrato",$E243,0))),0,YEARFRAC(MAX($P$34*($B243+IF($R$17="Distrato",$I$38-1,0)),IF(AND($L$37=0,$P$34=0),"",$L$37-1),IF($R$17="Distrato",$E243,0)),MIN(AT$38,$D$19),$P$20))-SUM($P243:AS243)</f>
        <v>#VALUE!</v>
      </c>
      <c r="AU243" s="446" t="e">
        <f>IF(OR($B243="",MIN(AU$38,$D$19)&lt;MAX($P$34*($B243+IF($R$17="Distrato",$I$38-1,0)),IF(AND($L$37=0,$P$34=0),"",$L$37-1),IF($R$17="Distrato",$E243,0))),0,YEARFRAC(MAX($P$34*($B243+IF($R$17="Distrato",$I$38-1,0)),IF(AND($L$37=0,$P$34=0),"",$L$37-1),IF($R$17="Distrato",$E243,0)),MIN(AU$38,$D$19),$P$20))-SUM($P243:AT243)</f>
        <v>#VALUE!</v>
      </c>
      <c r="AV243" s="446" t="e">
        <f>IF(OR($B243="",MIN(AV$38,$D$19)&lt;MAX($P$34*($B243+IF($R$17="Distrato",$I$38-1,0)),IF(AND($L$37=0,$P$34=0),"",$L$37-1),IF($R$17="Distrato",$E243,0))),0,YEARFRAC(MAX($P$34*($B243+IF($R$17="Distrato",$I$38-1,0)),IF(AND($L$37=0,$P$34=0),"",$L$37-1),IF($R$17="Distrato",$E243,0)),MIN(AV$38,$D$19),$P$20))-SUM($P243:AU243)</f>
        <v>#VALUE!</v>
      </c>
      <c r="AW243" s="446" t="e">
        <f>IF(OR($B243="",MIN(AW$38,$D$19)&lt;MAX($P$34*($B243+IF($R$17="Distrato",$I$38-1,0)),IF(AND($L$37=0,$P$34=0),"",$L$37-1),IF($R$17="Distrato",$E243,0))),0,YEARFRAC(MAX($P$34*($B243+IF($R$17="Distrato",$I$38-1,0)),IF(AND($L$37=0,$P$34=0),"",$L$37-1),IF($R$17="Distrato",$E243,0)),MIN(AW$38,$D$19),$P$20))-SUM($P243:AV243)</f>
        <v>#VALUE!</v>
      </c>
      <c r="AX243" s="446" t="e">
        <f>IF(OR($B243="",MIN(AX$38,$D$19)&lt;MAX($P$34*($B243+IF($R$17="Distrato",$I$38-1,0)),IF(AND($L$37=0,$P$34=0),"",$L$37-1),IF($R$17="Distrato",$E243,0))),0,YEARFRAC(MAX($P$34*($B243+IF($R$17="Distrato",$I$38-1,0)),IF(AND($L$37=0,$P$34=0),"",$L$37-1),IF($R$17="Distrato",$E243,0)),MIN(AX$38,$D$19),$P$20))-SUM($P243:AW243)</f>
        <v>#VALUE!</v>
      </c>
      <c r="AY243" s="446" t="e">
        <f>IF(OR($B243="",MIN(AY$38,$D$19)&lt;MAX($P$34*($B243+IF($R$17="Distrato",$I$38-1,0)),IF(AND($L$37=0,$P$34=0),"",$L$37-1),IF($R$17="Distrato",$E243,0))),0,YEARFRAC(MAX($P$34*($B243+IF($R$17="Distrato",$I$38-1,0)),IF(AND($L$37=0,$P$34=0),"",$L$37-1),IF($R$17="Distrato",$E243,0)),MIN(AY$38,$D$19),$P$20))-SUM($P243:AX243)</f>
        <v>#VALUE!</v>
      </c>
      <c r="AZ243" s="446" t="e">
        <f>IF(OR($B243="",MIN(AZ$38,$D$19)&lt;MAX($P$34*($B243+IF($R$17="Distrato",$I$38-1,0)),IF(AND($L$37=0,$P$34=0),"",$L$37-1),IF($R$17="Distrato",$E243,0))),0,YEARFRAC(MAX($P$34*($B243+IF($R$17="Distrato",$I$38-1,0)),IF(AND($L$37=0,$P$34=0),"",$L$37-1),IF($R$17="Distrato",$E243,0)),MIN(AZ$38,$D$19),$P$20))-SUM($P243:AY243)</f>
        <v>#VALUE!</v>
      </c>
      <c r="BA243" s="446" t="e">
        <f>IF(OR($B243="",MIN(BA$38,$D$19)&lt;MAX($P$34*($B243+IF($R$17="Distrato",$I$38-1,0)),IF(AND($L$37=0,$P$34=0),"",$L$37-1),IF($R$17="Distrato",$E243,0))),0,YEARFRAC(MAX($P$34*($B243+IF($R$17="Distrato",$I$38-1,0)),IF(AND($L$37=0,$P$34=0),"",$L$37-1),IF($R$17="Distrato",$E243,0)),MIN(BA$38,$D$19),$P$20))-SUM($P243:AZ243)</f>
        <v>#VALUE!</v>
      </c>
      <c r="BB243" s="447"/>
      <c r="BF243" s="446">
        <f t="shared" si="43"/>
        <v>0</v>
      </c>
      <c r="BG243" s="446">
        <f>IF($E243=0,0,IF(MIN(BG$38,$E243)&lt;MAX($P$34*($B243+$I$38-1),IF(AND($L$37=0,$P$34=0),"",$L$37-1)),0,YEARFRAC(MAX($P$34*($B243+$I$38-1),IF(AND($L$37=0,$P$34=0),"",$L$37-1)),MIN(BG$38,$E243),$P$20))-SUM($BF243:BF243))</f>
        <v>0</v>
      </c>
      <c r="BH243" s="446">
        <f>IF($E243=0,0,IF(MIN(BH$38,$E243)&lt;MAX($P$34*($B243+$I$38-1),IF(AND($L$37=0,$P$34=0),"",$L$37-1)),0,YEARFRAC(MAX($P$34*($B243+$I$38-1),IF(AND($L$37=0,$P$34=0),"",$L$37-1)),MIN(BH$38,$E243),$P$20))-SUM($BF243:BG243))</f>
        <v>0</v>
      </c>
      <c r="BI243" s="446">
        <f>IF($E243=0,0,IF(MIN(BI$38,$E243)&lt;MAX($P$34*($B243+$I$38-1),IF(AND($L$37=0,$P$34=0),"",$L$37-1)),0,YEARFRAC(MAX($P$34*($B243+$I$38-1),IF(AND($L$37=0,$P$34=0),"",$L$37-1)),MIN(BI$38,$E243),$P$20))-SUM($BF243:BH243))</f>
        <v>0</v>
      </c>
      <c r="BJ243" s="446">
        <f>IF($E243=0,0,IF(MIN(BJ$38,$E243)&lt;MAX($P$34*($B243+$I$38-1),IF(AND($L$37=0,$P$34=0),"",$L$37-1)),0,YEARFRAC(MAX($P$34*($B243+$I$38-1),IF(AND($L$37=0,$P$34=0),"",$L$37-1)),MIN(BJ$38,$E243),$P$20))-SUM($BF243:BI243))</f>
        <v>0</v>
      </c>
      <c r="BK243" s="446">
        <f>IF($E243=0,0,IF(MIN(BK$38,$E243)&lt;MAX($P$34*($B243+$I$38-1),IF(AND($L$37=0,$P$34=0),"",$L$37-1)),0,YEARFRAC(MAX($P$34*($B243+$I$38-1),IF(AND($L$37=0,$P$34=0),"",$L$37-1)),MIN(BK$38,$E243),$P$20))-SUM($BF243:BJ243))</f>
        <v>0</v>
      </c>
      <c r="BL243" s="446">
        <f>IF($E243=0,0,IF(MIN(BL$38,$E243)&lt;MAX($P$34*($B243+$I$38-1),IF(AND($L$37=0,$P$34=0),"",$L$37-1)),0,YEARFRAC(MAX($P$34*($B243+$I$38-1),IF(AND($L$37=0,$P$34=0),"",$L$37-1)),MIN(BL$38,$E243),$P$20))-SUM($BF243:BK243))</f>
        <v>0</v>
      </c>
      <c r="BM243" s="446">
        <f>IF($E243=0,0,IF(MIN(BM$38,$E243)&lt;MAX($P$34*($B243+$I$38-1),IF(AND($L$37=0,$P$34=0),"",$L$37-1)),0,YEARFRAC(MAX($P$34*($B243+$I$38-1),IF(AND($L$37=0,$P$34=0),"",$L$37-1)),MIN(BM$38,$E243),$P$20))-SUM($BF243:BL243))</f>
        <v>0</v>
      </c>
      <c r="BN243" s="446">
        <f>IF($E243=0,0,IF(MIN(BN$38,$E243)&lt;MAX($P$34*($B243+$I$38-1),IF(AND($L$37=0,$P$34=0),"",$L$37-1)),0,YEARFRAC(MAX($P$34*($B243+$I$38-1),IF(AND($L$37=0,$P$34=0),"",$L$37-1)),MIN(BN$38,$E243),$P$20))-SUM($BF243:BM243))</f>
        <v>0</v>
      </c>
      <c r="BO243" s="446">
        <f>IF($E243=0,0,IF(MIN(BO$38,$E243)&lt;MAX($P$34*($B243+$I$38-1),IF(AND($L$37=0,$P$34=0),"",$L$37-1)),0,YEARFRAC(MAX($P$34*($B243+$I$38-1),IF(AND($L$37=0,$P$34=0),"",$L$37-1)),MIN(BO$38,$E243),$P$20))-SUM($BF243:BN243))</f>
        <v>0</v>
      </c>
      <c r="BP243" s="446">
        <f>IF($E243=0,0,IF(MIN(BP$38,$E243)&lt;MAX($P$34*($B243+$I$38-1),IF(AND($L$37=0,$P$34=0),"",$L$37-1)),0,YEARFRAC(MAX($P$34*($B243+$I$38-1),IF(AND($L$37=0,$P$34=0),"",$L$37-1)),MIN(BP$38,$E243),$P$20))-SUM($BF243:BO243))</f>
        <v>0</v>
      </c>
      <c r="BQ243" s="446">
        <f>IF($E243=0,0,IF(MIN(BQ$38,$E243)&lt;MAX($P$34*($B243+$I$38-1),IF(AND($L$37=0,$P$34=0),"",$L$37-1)),0,YEARFRAC(MAX($P$34*($B243+$I$38-1),IF(AND($L$37=0,$P$34=0),"",$L$37-1)),MIN(BQ$38,$E243),$P$20))-SUM($BF243:BP243))</f>
        <v>0</v>
      </c>
      <c r="BR243" s="446">
        <f>IF($E243=0,0,IF(MIN(BR$38,$E243)&lt;MAX($P$34*($B243+$I$38-1),IF(AND($L$37=0,$P$34=0),"",$L$37-1)),0,YEARFRAC(MAX($P$34*($B243+$I$38-1),IF(AND($L$37=0,$P$34=0),"",$L$37-1)),MIN(BR$38,$E243),$P$20))-SUM($BF243:BQ243))</f>
        <v>0</v>
      </c>
      <c r="BS243" s="446">
        <f>IF($E243=0,0,IF(MIN(BS$38,$E243)&lt;MAX($P$34*($B243+$I$38-1),IF(AND($L$37=0,$P$34=0),"",$L$37-1)),0,YEARFRAC(MAX($P$34*($B243+$I$38-1),IF(AND($L$37=0,$P$34=0),"",$L$37-1)),MIN(BS$38,$E243),$P$20))-SUM($BF243:BR243))</f>
        <v>0</v>
      </c>
      <c r="BT243" s="446">
        <f>IF($E243=0,0,IF(MIN(BT$38,$E243)&lt;MAX($P$34*($B243+$I$38-1),IF(AND($L$37=0,$P$34=0),"",$L$37-1)),0,YEARFRAC(MAX($P$34*($B243+$I$38-1),IF(AND($L$37=0,$P$34=0),"",$L$37-1)),MIN(BT$38,$E243),$P$20))-SUM($BF243:BS243))</f>
        <v>0</v>
      </c>
      <c r="BU243" s="446">
        <f>IF($E243=0,0,IF(MIN(BU$38,$E243)&lt;MAX($P$34*($B243+$I$38-1),IF(AND($L$37=0,$P$34=0),"",$L$37-1)),0,YEARFRAC(MAX($P$34*($B243+$I$38-1),IF(AND($L$37=0,$P$34=0),"",$L$37-1)),MIN(BU$38,$E243),$P$20))-SUM($BF243:BT243))</f>
        <v>0</v>
      </c>
      <c r="BV243" s="446">
        <f>IF($E243=0,0,IF(MIN(BV$38,$E243)&lt;MAX($P$34*($B243+$I$38-1),IF(AND($L$37=0,$P$34=0),"",$L$37-1)),0,YEARFRAC(MAX($P$34*($B243+$I$38-1),IF(AND($L$37=0,$P$34=0),"",$L$37-1)),MIN(BV$38,$E243),$P$20))-SUM($BF243:BU243))</f>
        <v>0</v>
      </c>
      <c r="BW243" s="446">
        <f>IF($E243=0,0,IF(MIN(BW$38,$E243)&lt;MAX($P$34*($B243+$I$38-1),IF(AND($L$37=0,$P$34=0),"",$L$37-1)),0,YEARFRAC(MAX($P$34*($B243+$I$38-1),IF(AND($L$37=0,$P$34=0),"",$L$37-1)),MIN(BW$38,$E243),$P$20))-SUM($BF243:BV243))</f>
        <v>0</v>
      </c>
      <c r="BX243" s="446">
        <f>IF($E243=0,0,IF(MIN(BX$38,$E243)&lt;MAX($P$34*($B243+$I$38-1),IF(AND($L$37=0,$P$34=0),"",$L$37-1)),0,YEARFRAC(MAX($P$34*($B243+$I$38-1),IF(AND($L$37=0,$P$34=0),"",$L$37-1)),MIN(BX$38,$E243),$P$20))-SUM($BF243:BW243))</f>
        <v>0</v>
      </c>
      <c r="BY243" s="446">
        <f>IF($E243=0,0,IF(MIN(BY$38,$E243)&lt;MAX($P$34*($B243+$I$38-1),IF(AND($L$37=0,$P$34=0),"",$L$37-1)),0,YEARFRAC(MAX($P$34*($B243+$I$38-1),IF(AND($L$37=0,$P$34=0),"",$L$37-1)),MIN(BY$38,$E243),$P$20))-SUM($BF243:BX243))</f>
        <v>0</v>
      </c>
      <c r="BZ243" s="446">
        <f>IF($E243=0,0,IF(MIN(BZ$38,$E243)&lt;MAX($P$34*($B243+$I$38-1),IF(AND($L$37=0,$P$34=0),"",$L$37-1)),0,YEARFRAC(MAX($P$34*($B243+$I$38-1),IF(AND($L$37=0,$P$34=0),"",$L$37-1)),MIN(BZ$38,$E243),$P$20))-SUM($BF243:BY243))</f>
        <v>0</v>
      </c>
      <c r="CA243" s="446">
        <f>IF($E243=0,0,IF(MIN(CA$38,$E243)&lt;MAX($P$34*($B243+$I$38-1),IF(AND($L$37=0,$P$34=0),"",$L$37-1)),0,YEARFRAC(MAX($P$34*($B243+$I$38-1),IF(AND($L$37=0,$P$34=0),"",$L$37-1)),MIN(CA$38,$E243),$P$20))-SUM($BF243:BZ243))</f>
        <v>0</v>
      </c>
      <c r="CB243" s="446">
        <f>IF($E243=0,0,IF(MIN(CB$38,$E243)&lt;MAX($P$34*($B243+$I$38-1),IF(AND($L$37=0,$P$34=0),"",$L$37-1)),0,YEARFRAC(MAX($P$34*($B243+$I$38-1),IF(AND($L$37=0,$P$34=0),"",$L$37-1)),MIN(CB$38,$E243),$P$20))-SUM($BF243:CA243))</f>
        <v>0</v>
      </c>
      <c r="CC243" s="446">
        <f>IF($E243=0,0,IF(MIN(CC$38,$E243)&lt;MAX($P$34*($B243+$I$38-1),IF(AND($L$37=0,$P$34=0),"",$L$37-1)),0,YEARFRAC(MAX($P$34*($B243+$I$38-1),IF(AND($L$37=0,$P$34=0),"",$L$37-1)),MIN(CC$38,$E243),$P$20))-SUM($BF243:CB243))</f>
        <v>0</v>
      </c>
      <c r="CD243" s="446">
        <f>IF($E243=0,0,IF(MIN(CD$38,$E243)&lt;MAX($P$34*($B243+$I$38-1),IF(AND($L$37=0,$P$34=0),"",$L$37-1)),0,YEARFRAC(MAX($P$34*($B243+$I$38-1),IF(AND($L$37=0,$P$34=0),"",$L$37-1)),MIN(CD$38,$E243),$P$20))-SUM($BF243:CC243))</f>
        <v>0</v>
      </c>
      <c r="CE243" s="446">
        <f>IF($E243=0,0,IF(MIN(CE$38,$E243)&lt;MAX($P$34*($B243+$I$38-1),IF(AND($L$37=0,$P$34=0),"",$L$37-1)),0,YEARFRAC(MAX($P$34*($B243+$I$38-1),IF(AND($L$37=0,$P$34=0),"",$L$37-1)),MIN(CE$38,$E243),$P$20))-SUM($BF243:CD243))</f>
        <v>0</v>
      </c>
      <c r="CF243" s="446">
        <f>IF($E243=0,0,IF(MIN(CF$38,$E243)&lt;MAX($P$34*($B243+$I$38-1),IF(AND($L$37=0,$P$34=0),"",$L$37-1)),0,YEARFRAC(MAX($P$34*($B243+$I$38-1),IF(AND($L$37=0,$P$34=0),"",$L$37-1)),MIN(CF$38,$E243),$P$20))-SUM($BF243:CE243))</f>
        <v>0</v>
      </c>
      <c r="CG243" s="446">
        <f>IF($E243=0,0,IF(MIN(CG$38,$E243)&lt;MAX($P$34*($B243+$I$38-1),IF(AND($L$37=0,$P$34=0),"",$L$37-1)),0,YEARFRAC(MAX($P$34*($B243+$I$38-1),IF(AND($L$37=0,$P$34=0),"",$L$37-1)),MIN(CG$38,$E243),$P$20))-SUM($BF243:CF243))</f>
        <v>0</v>
      </c>
      <c r="CH243" s="446">
        <f>IF($E243=0,0,IF(MIN(CH$38,$E243)&lt;MAX($P$34*($B243+$I$38-1),IF(AND($L$37=0,$P$34=0),"",$L$37-1)),0,YEARFRAC(MAX($P$34*($B243+$I$38-1),IF(AND($L$37=0,$P$34=0),"",$L$37-1)),MIN(CH$38,$E243),$P$20))-SUM($BF243:CG243))</f>
        <v>0</v>
      </c>
      <c r="CI243" s="446">
        <f>IF($E243=0,0,IF(MIN(CI$38,$E243)&lt;MAX($P$34*($B243+$I$38-1),IF(AND($L$37=0,$P$34=0),"",$L$37-1)),0,YEARFRAC(MAX($P$34*($B243+$I$38-1),IF(AND($L$37=0,$P$34=0),"",$L$37-1)),MIN(CI$38,$E243),$P$20))-SUM($BF243:CH243))</f>
        <v>0</v>
      </c>
      <c r="CJ243" s="446">
        <f>IF($E243=0,0,IF(MIN(CJ$38,$E243)&lt;MAX($P$34*($B243+$I$38-1),IF(AND($L$37=0,$P$34=0),"",$L$37-1)),0,YEARFRAC(MAX($P$34*($B243+$I$38-1),IF(AND($L$37=0,$P$34=0),"",$L$37-1)),MIN(CJ$38,$E243),$P$20))-SUM($BF243:CI243))</f>
        <v>0</v>
      </c>
      <c r="CK243" s="446">
        <f>IF($E243=0,0,IF(MIN(CK$38,$E243)&lt;MAX($P$34*($B243+$I$38-1),IF(AND($L$37=0,$P$34=0),"",$L$37-1)),0,YEARFRAC(MAX($P$34*($B243+$I$38-1),IF(AND($L$37=0,$P$34=0),"",$L$37-1)),MIN(CK$38,$E243),$P$20))-SUM($BF243:CJ243))</f>
        <v>0</v>
      </c>
      <c r="CL243" s="446">
        <f>IF($E243=0,0,IF(MIN(CL$38,$E243)&lt;MAX($P$34*($B243+$I$38-1),IF(AND($L$37=0,$P$34=0),"",$L$37-1)),0,YEARFRAC(MAX($P$34*($B243+$I$38-1),IF(AND($L$37=0,$P$34=0),"",$L$37-1)),MIN(CL$38,$E243),$P$20))-SUM($BF243:CK243))</f>
        <v>0</v>
      </c>
      <c r="CM243" s="446">
        <f>IF($E243=0,0,IF(MIN(CM$38,$E243)&lt;MAX($P$34*($B243+$I$38-1),IF(AND($L$37=0,$P$34=0),"",$L$37-1)),0,YEARFRAC(MAX($P$34*($B243+$I$38-1),IF(AND($L$37=0,$P$34=0),"",$L$37-1)),MIN(CM$38,$E243),$P$20))-SUM($BF243:CL243))</f>
        <v>0</v>
      </c>
      <c r="CN243" s="446">
        <f>IF($E243=0,0,IF(MIN(CN$38,$E243)&lt;MAX($P$34*($B243+$I$38-1),IF(AND($L$37=0,$P$34=0),"",$L$37-1)),0,YEARFRAC(MAX($P$34*($B243+$I$38-1),IF(AND($L$37=0,$P$34=0),"",$L$37-1)),MIN(CN$38,$E243),$P$20))-SUM($BF243:CM243))</f>
        <v>0</v>
      </c>
      <c r="CO243" s="446">
        <f>IF($E243=0,0,IF(MIN(CO$38,$E243)&lt;MAX($P$34*($B243+$I$38-1),IF(AND($L$37=0,$P$34=0),"",$L$37-1)),0,YEARFRAC(MAX($P$34*($B243+$I$38-1),IF(AND($L$37=0,$P$34=0),"",$L$37-1)),MIN(CO$38,$E243),$P$20))-SUM($BF243:CN243))</f>
        <v>0</v>
      </c>
      <c r="CP243" s="446">
        <f>IF($E243=0,0,IF(MIN(CP$38,$E243)&lt;MAX($P$34*($B243+$I$38-1),IF(AND($L$37=0,$P$34=0),"",$L$37-1)),0,YEARFRAC(MAX($P$34*($B243+$I$38-1),IF(AND($L$37=0,$P$34=0),"",$L$37-1)),MIN(CP$38,$E243),$P$20))-SUM($BF243:CO243))</f>
        <v>0</v>
      </c>
      <c r="CQ243" s="446">
        <f>IF($E243=0,0,IF(MIN(CQ$38,$E243)&lt;MAX($P$34*($B243+$I$38-1),IF(AND($L$37=0,$P$34=0),"",$L$37-1)),0,YEARFRAC(MAX($P$34*($B243+$I$38-1),IF(AND($L$37=0,$P$34=0),"",$L$37-1)),MIN(CQ$38,$E243),$P$20))-SUM($BF243:CP243))</f>
        <v>0</v>
      </c>
    </row>
    <row r="244" spans="1:95" s="446" customFormat="1" ht="11.25" hidden="1" customHeight="1" x14ac:dyDescent="0.2">
      <c r="A244" s="152"/>
      <c r="B244" s="153" t="str">
        <f t="shared" si="48"/>
        <v/>
      </c>
      <c r="C244" s="29" t="str">
        <f>IF(B244="","",IF($L$35="SELIC - TRIBUTOS",VLOOKUP(DATE(YEAR($D$19),MONTH($D$19)-1,1),ÍNDICES!$A:$DE,HLOOKUP($BL$25,ÍNDICES!$B$3:$T$4,2)+11)-VLOOKUP(B244,ÍNDICES!$A:$DE,HLOOKUP($BL$25,ÍNDICES!$B$3:$T$4,2)+11)+1%,IF(C$38=$W$26,$J$35,IF(ISERROR(IF(B244&gt;$D$19,1,VLOOKUP(DATE(YEAR(B244),MONTH(B244)+IF($C$35=$S$23,1,0),1),ÍNDICES!$A:$DE,$Z$35+1))),"",IF(B244&gt;$D$19,1,VLOOKUP(DATE(YEAR(B244),MONTH(B244)+IF($C$35=$S$23,1,0),1),ÍNDICES!$A:$DE,$Z$35+1))))))</f>
        <v/>
      </c>
      <c r="D244" s="154" t="str">
        <f>IF(ISERROR(IF(OR($D$38=$Y$27,$B244=""),"",VLOOKUP(B244,ÍNDICES!A:DE,AF$35+1))),"",IF(OR($D$38=$Y$27,$B244=""),"",VLOOKUP(B244,ÍNDICES!A:DE,AF$35+1)))</f>
        <v/>
      </c>
      <c r="E244" s="153"/>
      <c r="F244" s="29" t="str">
        <f>IF(E244="","",IF($L$35="SELIC - TRIBUTOS",VLOOKUP(DATE(YEAR($D$19),MONTH($D$19)-1,1),ÍNDICES!$A:$DE,HLOOKUP($BL$25,ÍNDICES!$B$3:$T$4,2)+11)-VLOOKUP(E244,ÍNDICES!$A:$DE,HLOOKUP($BL$25,ÍNDICES!$B$3:$T$4,2)+11)+1%,IF(F$38=$W$26,$J$35,IF(ISERROR(IF(E244&gt;$D$19,1,VLOOKUP(DATE(YEAR(E244),MONTH(E244)+IF($C$35=$S$23,1,0),1),ÍNDICES!$A:$DE,$Z$35+1))),"",IF(E244&gt;$D$19,1,VLOOKUP(DATE(YEAR(E244),MONTH(E244)+IF($C$35=$S$23,1,0),1),ÍNDICES!$A:$DE,$Z$35+1))))))</f>
        <v/>
      </c>
      <c r="G244" s="155"/>
      <c r="H244" s="156" t="str">
        <f t="shared" si="44"/>
        <v/>
      </c>
      <c r="I244" s="29" t="str">
        <f t="shared" si="38"/>
        <v/>
      </c>
      <c r="J244" s="5">
        <f t="shared" si="39"/>
        <v>0</v>
      </c>
      <c r="K244" s="20">
        <f t="shared" ca="1" si="40"/>
        <v>0</v>
      </c>
      <c r="L244" s="5">
        <f t="shared" ca="1" si="41"/>
        <v>0</v>
      </c>
      <c r="M244" s="64">
        <f t="shared" si="45"/>
        <v>0</v>
      </c>
      <c r="N244" s="61">
        <f t="shared" ca="1" si="46"/>
        <v>0</v>
      </c>
      <c r="O244" s="5">
        <f t="shared" ca="1" si="47"/>
        <v>0</v>
      </c>
      <c r="P244" s="446" t="e">
        <f t="shared" si="42"/>
        <v>#VALUE!</v>
      </c>
      <c r="Q244" s="446" t="e">
        <f>IF(OR($B244="",MIN(Q$38,$D$19)&lt;MAX($P$34*($B244+IF($R$17="Distrato",$I$38-1,0)),IF(AND($L$37=0,$P$34=0),"",$L$37-1),IF($R$17="Distrato",$E244,0))),0,YEARFRAC(MAX($P$34*($B244+IF($R$17="Distrato",$I$38-1,0)),IF(AND($L$37=0,$P$34=0),"",$L$37-1),IF($R$17="Distrato",$E244,0)),MIN(Q$38,$D$19),$P$20))-SUM($P244:P244)</f>
        <v>#VALUE!</v>
      </c>
      <c r="R244" s="446" t="e">
        <f>IF(OR($B244="",MIN(R$38,$D$19)&lt;MAX($P$34*($B244+IF($R$17="Distrato",$I$38-1,0)),IF(AND($L$37=0,$P$34=0),"",$L$37-1),IF($R$17="Distrato",$E244,0))),0,YEARFRAC(MAX($P$34*($B244+IF($R$17="Distrato",$I$38-1,0)),IF(AND($L$37=0,$P$34=0),"",$L$37-1),IF($R$17="Distrato",$E244,0)),MIN(R$38,$D$19),$P$20))-SUM($P244:Q244)</f>
        <v>#VALUE!</v>
      </c>
      <c r="S244" s="446" t="e">
        <f>IF(OR($B244="",MIN(S$38,$D$19)&lt;MAX($P$34*($B244+IF($R$17="Distrato",$I$38-1,0)),IF(AND($L$37=0,$P$34=0),"",$L$37-1),IF($R$17="Distrato",$E244,0))),0,YEARFRAC(MAX($P$34*($B244+IF($R$17="Distrato",$I$38-1,0)),IF(AND($L$37=0,$P$34=0),"",$L$37-1),IF($R$17="Distrato",$E244,0)),MIN(S$38,$D$19),$P$20))-SUM($P244:R244)</f>
        <v>#VALUE!</v>
      </c>
      <c r="T244" s="446" t="e">
        <f>IF(OR($B244="",MIN(T$38,$D$19)&lt;MAX($P$34*($B244+IF($R$17="Distrato",$I$38-1,0)),IF(AND($L$37=0,$P$34=0),"",$L$37-1),IF($R$17="Distrato",$E244,0))),0,YEARFRAC(MAX($P$34*($B244+IF($R$17="Distrato",$I$38-1,0)),IF(AND($L$37=0,$P$34=0),"",$L$37-1),IF($R$17="Distrato",$E244,0)),MIN(T$38,$D$19),$P$20))-SUM($P244:S244)</f>
        <v>#VALUE!</v>
      </c>
      <c r="U244" s="446" t="e">
        <f>IF(OR($B244="",MIN(U$38,$D$19)&lt;MAX($P$34*($B244+IF($R$17="Distrato",$I$38-1,0)),IF(AND($L$37=0,$P$34=0),"",$L$37-1),IF($R$17="Distrato",$E244,0))),0,YEARFRAC(MAX($P$34*($B244+IF($R$17="Distrato",$I$38-1,0)),IF(AND($L$37=0,$P$34=0),"",$L$37-1),IF($R$17="Distrato",$E244,0)),MIN(U$38,$D$19),$P$20))-SUM($P244:T244)</f>
        <v>#VALUE!</v>
      </c>
      <c r="V244" s="446" t="e">
        <f>IF(OR($B244="",MIN(V$38,$D$19)&lt;MAX($P$34*($B244+IF($R$17="Distrato",$I$38-1,0)),IF(AND($L$37=0,$P$34=0),"",$L$37-1),IF($R$17="Distrato",$E244,0))),0,YEARFRAC(MAX($P$34*($B244+IF($R$17="Distrato",$I$38-1,0)),IF(AND($L$37=0,$P$34=0),"",$L$37-1),IF($R$17="Distrato",$E244,0)),MIN(V$38,$D$19),$P$20))-SUM($P244:U244)</f>
        <v>#VALUE!</v>
      </c>
      <c r="W244" s="446" t="e">
        <f>IF(OR($B244="",MIN(W$38,$D$19)&lt;MAX($P$34*($B244+IF($R$17="Distrato",$I$38-1,0)),IF(AND($L$37=0,$P$34=0),"",$L$37-1),IF($R$17="Distrato",$E244,0))),0,YEARFRAC(MAX($P$34*($B244+IF($R$17="Distrato",$I$38-1,0)),IF(AND($L$37=0,$P$34=0),"",$L$37-1),IF($R$17="Distrato",$E244,0)),MIN(W$38,$D$19),$P$20))-SUM($P244:V244)</f>
        <v>#VALUE!</v>
      </c>
      <c r="X244" s="446" t="e">
        <f>IF(OR($B244="",MIN(X$38,$D$19)&lt;MAX($P$34*($B244+IF($R$17="Distrato",$I$38-1,0)),IF(AND($L$37=0,$P$34=0),"",$L$37-1),IF($R$17="Distrato",$E244,0))),0,YEARFRAC(MAX($P$34*($B244+IF($R$17="Distrato",$I$38-1,0)),IF(AND($L$37=0,$P$34=0),"",$L$37-1),IF($R$17="Distrato",$E244,0)),MIN(X$38,$D$19),$P$20))-SUM($P244:W244)</f>
        <v>#VALUE!</v>
      </c>
      <c r="Y244" s="446" t="e">
        <f>IF(OR($B244="",MIN(Y$38,$D$19)&lt;MAX($P$34*($B244+IF($R$17="Distrato",$I$38-1,0)),IF(AND($L$37=0,$P$34=0),"",$L$37-1),IF($R$17="Distrato",$E244,0))),0,YEARFRAC(MAX($P$34*($B244+IF($R$17="Distrato",$I$38-1,0)),IF(AND($L$37=0,$P$34=0),"",$L$37-1),IF($R$17="Distrato",$E244,0)),MIN(Y$38,$D$19),$P$20))-SUM($P244:X244)</f>
        <v>#VALUE!</v>
      </c>
      <c r="Z244" s="446" t="e">
        <f>IF(OR($B244="",MIN(Z$38,$D$19)&lt;MAX($P$34*($B244+IF($R$17="Distrato",$I$38-1,0)),IF(AND($L$37=0,$P$34=0),"",$L$37-1),IF($R$17="Distrato",$E244,0))),0,YEARFRAC(MAX($P$34*($B244+IF($R$17="Distrato",$I$38-1,0)),IF(AND($L$37=0,$P$34=0),"",$L$37-1),IF($R$17="Distrato",$E244,0)),MIN(Z$38,$D$19),$P$20))-SUM($P244:Y244)</f>
        <v>#VALUE!</v>
      </c>
      <c r="AA244" s="446" t="e">
        <f>IF(OR($B244="",MIN(AA$38,$D$19)&lt;MAX($P$34*($B244+IF($R$17="Distrato",$I$38-1,0)),IF(AND($L$37=0,$P$34=0),"",$L$37-1),IF($R$17="Distrato",$E244,0))),0,YEARFRAC(MAX($P$34*($B244+IF($R$17="Distrato",$I$38-1,0)),IF(AND($L$37=0,$P$34=0),"",$L$37-1),IF($R$17="Distrato",$E244,0)),MIN(AA$38,$D$19),$P$20))-SUM($P244:Z244)</f>
        <v>#VALUE!</v>
      </c>
      <c r="AB244" s="446" t="e">
        <f>IF(OR($B244="",MIN(AB$38,$D$19)&lt;MAX($P$34*($B244+IF($R$17="Distrato",$I$38-1,0)),IF(AND($L$37=0,$P$34=0),"",$L$37-1),IF($R$17="Distrato",$E244,0))),0,YEARFRAC(MAX($P$34*($B244+IF($R$17="Distrato",$I$38-1,0)),IF(AND($L$37=0,$P$34=0),"",$L$37-1),IF($R$17="Distrato",$E244,0)),MIN(AB$38,$D$19),$P$20))-SUM($P244:AA244)</f>
        <v>#VALUE!</v>
      </c>
      <c r="AC244" s="446" t="e">
        <f>IF(OR($B244="",MIN(AC$38,$D$19)&lt;MAX($P$34*($B244+IF($R$17="Distrato",$I$38-1,0)),IF(AND($L$37=0,$P$34=0),"",$L$37-1),IF($R$17="Distrato",$E244,0))),0,YEARFRAC(MAX($P$34*($B244+IF($R$17="Distrato",$I$38-1,0)),IF(AND($L$37=0,$P$34=0),"",$L$37-1),IF($R$17="Distrato",$E244,0)),MIN(AC$38,$D$19),$P$20))-SUM($P244:AB244)</f>
        <v>#VALUE!</v>
      </c>
      <c r="AD244" s="446" t="e">
        <f>IF(OR($B244="",MIN(AD$38,$D$19)&lt;MAX($P$34*($B244+IF($R$17="Distrato",$I$38-1,0)),IF(AND($L$37=0,$P$34=0),"",$L$37-1),IF($R$17="Distrato",$E244,0))),0,YEARFRAC(MAX($P$34*($B244+IF($R$17="Distrato",$I$38-1,0)),IF(AND($L$37=0,$P$34=0),"",$L$37-1),IF($R$17="Distrato",$E244,0)),MIN(AD$38,$D$19),$P$20))-SUM($P244:AC244)</f>
        <v>#VALUE!</v>
      </c>
      <c r="AE244" s="446" t="e">
        <f>IF(OR($B244="",MIN(AE$38,$D$19)&lt;MAX($P$34*($B244+IF($R$17="Distrato",$I$38-1,0)),IF(AND($L$37=0,$P$34=0),"",$L$37-1),IF($R$17="Distrato",$E244,0))),0,YEARFRAC(MAX($P$34*($B244+IF($R$17="Distrato",$I$38-1,0)),IF(AND($L$37=0,$P$34=0),"",$L$37-1),IF($R$17="Distrato",$E244,0)),MIN(AE$38,$D$19),$P$20))-SUM($P244:AD244)</f>
        <v>#VALUE!</v>
      </c>
      <c r="AF244" s="446" t="e">
        <f>IF(OR($B244="",MIN(AF$38,$D$19)&lt;MAX($P$34*($B244+IF($R$17="Distrato",$I$38-1,0)),IF(AND($L$37=0,$P$34=0),"",$L$37-1),IF($R$17="Distrato",$E244,0))),0,YEARFRAC(MAX($P$34*($B244+IF($R$17="Distrato",$I$38-1,0)),IF(AND($L$37=0,$P$34=0),"",$L$37-1),IF($R$17="Distrato",$E244,0)),MIN(AF$38,$D$19),$P$20))-SUM($P244:AE244)</f>
        <v>#VALUE!</v>
      </c>
      <c r="AG244" s="446" t="e">
        <f>IF(OR($B244="",MIN(AG$38,$D$19)&lt;MAX($P$34*($B244+IF($R$17="Distrato",$I$38-1,0)),IF(AND($L$37=0,$P$34=0),"",$L$37-1),IF($R$17="Distrato",$E244,0))),0,YEARFRAC(MAX($P$34*($B244+IF($R$17="Distrato",$I$38-1,0)),IF(AND($L$37=0,$P$34=0),"",$L$37-1),IF($R$17="Distrato",$E244,0)),MIN(AG$38,$D$19),$P$20))-SUM($P244:AF244)</f>
        <v>#VALUE!</v>
      </c>
      <c r="AH244" s="446" t="e">
        <f>IF(OR($B244="",MIN(AH$38,$D$19)&lt;MAX($P$34*($B244+IF($R$17="Distrato",$I$38-1,0)),IF(AND($L$37=0,$P$34=0),"",$L$37-1),IF($R$17="Distrato",$E244,0))),0,YEARFRAC(MAX($P$34*($B244+IF($R$17="Distrato",$I$38-1,0)),IF(AND($L$37=0,$P$34=0),"",$L$37-1),IF($R$17="Distrato",$E244,0)),MIN(AH$38,$D$19),$P$20))-SUM($P244:AG244)</f>
        <v>#VALUE!</v>
      </c>
      <c r="AI244" s="446" t="e">
        <f>IF(OR($B244="",MIN(AI$38,$D$19)&lt;MAX($P$34*($B244+IF($R$17="Distrato",$I$38-1,0)),IF(AND($L$37=0,$P$34=0),"",$L$37-1),IF($R$17="Distrato",$E244,0))),0,YEARFRAC(MAX($P$34*($B244+IF($R$17="Distrato",$I$38-1,0)),IF(AND($L$37=0,$P$34=0),"",$L$37-1),IF($R$17="Distrato",$E244,0)),MIN(AI$38,$D$19),$P$20))-SUM($P244:AH244)</f>
        <v>#VALUE!</v>
      </c>
      <c r="AJ244" s="446" t="e">
        <f>IF(OR($B244="",MIN(AJ$38,$D$19)&lt;MAX($P$34*($B244+IF($R$17="Distrato",$I$38-1,0)),IF(AND($L$37=0,$P$34=0),"",$L$37-1),IF($R$17="Distrato",$E244,0))),0,YEARFRAC(MAX($P$34*($B244+IF($R$17="Distrato",$I$38-1,0)),IF(AND($L$37=0,$P$34=0),"",$L$37-1),IF($R$17="Distrato",$E244,0)),MIN(AJ$38,$D$19),$P$20))-SUM($P244:AI244)</f>
        <v>#VALUE!</v>
      </c>
      <c r="AK244" s="446" t="e">
        <f>IF(OR($B244="",MIN(AK$38,$D$19)&lt;MAX($P$34*($B244+IF($R$17="Distrato",$I$38-1,0)),IF(AND($L$37=0,$P$34=0),"",$L$37-1),IF($R$17="Distrato",$E244,0))),0,YEARFRAC(MAX($P$34*($B244+IF($R$17="Distrato",$I$38-1,0)),IF(AND($L$37=0,$P$34=0),"",$L$37-1),IF($R$17="Distrato",$E244,0)),MIN(AK$38,$D$19),$P$20))-SUM($P244:AJ244)</f>
        <v>#VALUE!</v>
      </c>
      <c r="AL244" s="446" t="e">
        <f>IF(OR($B244="",MIN(AL$38,$D$19)&lt;MAX($P$34*($B244+IF($R$17="Distrato",$I$38-1,0)),IF(AND($L$37=0,$P$34=0),"",$L$37-1),IF($R$17="Distrato",$E244,0))),0,YEARFRAC(MAX($P$34*($B244+IF($R$17="Distrato",$I$38-1,0)),IF(AND($L$37=0,$P$34=0),"",$L$37-1),IF($R$17="Distrato",$E244,0)),MIN(AL$38,$D$19),$P$20))-SUM($P244:AK244)</f>
        <v>#VALUE!</v>
      </c>
      <c r="AM244" s="446" t="e">
        <f>IF(OR($B244="",MIN(AM$38,$D$19)&lt;MAX($P$34*($B244+IF($R$17="Distrato",$I$38-1,0)),IF(AND($L$37=0,$P$34=0),"",$L$37-1),IF($R$17="Distrato",$E244,0))),0,YEARFRAC(MAX($P$34*($B244+IF($R$17="Distrato",$I$38-1,0)),IF(AND($L$37=0,$P$34=0),"",$L$37-1),IF($R$17="Distrato",$E244,0)),MIN(AM$38,$D$19),$P$20))-SUM($P244:AL244)</f>
        <v>#VALUE!</v>
      </c>
      <c r="AN244" s="446" t="e">
        <f>IF(OR($B244="",MIN(AN$38,$D$19)&lt;MAX($P$34*($B244+IF($R$17="Distrato",$I$38-1,0)),IF(AND($L$37=0,$P$34=0),"",$L$37-1),IF($R$17="Distrato",$E244,0))),0,YEARFRAC(MAX($P$34*($B244+IF($R$17="Distrato",$I$38-1,0)),IF(AND($L$37=0,$P$34=0),"",$L$37-1),IF($R$17="Distrato",$E244,0)),MIN(AN$38,$D$19),$P$20))-SUM($P244:AM244)</f>
        <v>#VALUE!</v>
      </c>
      <c r="AO244" s="446" t="e">
        <f>IF(OR($B244="",MIN(AO$38,$D$19)&lt;MAX($P$34*($B244+IF($R$17="Distrato",$I$38-1,0)),IF(AND($L$37=0,$P$34=0),"",$L$37-1),IF($R$17="Distrato",$E244,0))),0,YEARFRAC(MAX($P$34*($B244+IF($R$17="Distrato",$I$38-1,0)),IF(AND($L$37=0,$P$34=0),"",$L$37-1),IF($R$17="Distrato",$E244,0)),MIN(AO$38,$D$19),$P$20))-SUM($P244:AN244)</f>
        <v>#VALUE!</v>
      </c>
      <c r="AP244" s="446" t="e">
        <f>IF(OR($B244="",MIN(AP$38,$D$19)&lt;MAX($P$34*($B244+IF($R$17="Distrato",$I$38-1,0)),IF(AND($L$37=0,$P$34=0),"",$L$37-1),IF($R$17="Distrato",$E244,0))),0,YEARFRAC(MAX($P$34*($B244+IF($R$17="Distrato",$I$38-1,0)),IF(AND($L$37=0,$P$34=0),"",$L$37-1),IF($R$17="Distrato",$E244,0)),MIN(AP$38,$D$19),$P$20))-SUM($P244:AO244)</f>
        <v>#VALUE!</v>
      </c>
      <c r="AQ244" s="446" t="e">
        <f>IF(OR($B244="",MIN(AQ$38,$D$19)&lt;MAX($P$34*($B244+IF($R$17="Distrato",$I$38-1,0)),IF(AND($L$37=0,$P$34=0),"",$L$37-1),IF($R$17="Distrato",$E244,0))),0,YEARFRAC(MAX($P$34*($B244+IF($R$17="Distrato",$I$38-1,0)),IF(AND($L$37=0,$P$34=0),"",$L$37-1),IF($R$17="Distrato",$E244,0)),MIN(AQ$38,$D$19),$P$20))-SUM($P244:AP244)</f>
        <v>#VALUE!</v>
      </c>
      <c r="AR244" s="446" t="e">
        <f>IF(OR($B244="",MIN(AR$38,$D$19)&lt;MAX($P$34*($B244+IF($R$17="Distrato",$I$38-1,0)),IF(AND($L$37=0,$P$34=0),"",$L$37-1),IF($R$17="Distrato",$E244,0))),0,YEARFRAC(MAX($P$34*($B244+IF($R$17="Distrato",$I$38-1,0)),IF(AND($L$37=0,$P$34=0),"",$L$37-1),IF($R$17="Distrato",$E244,0)),MIN(AR$38,$D$19),$P$20))-SUM($P244:AQ244)</f>
        <v>#VALUE!</v>
      </c>
      <c r="AS244" s="446" t="e">
        <f>IF(OR($B244="",MIN(AS$38,$D$19)&lt;MAX($P$34*($B244+IF($R$17="Distrato",$I$38-1,0)),IF(AND($L$37=0,$P$34=0),"",$L$37-1),IF($R$17="Distrato",$E244,0))),0,YEARFRAC(MAX($P$34*($B244+IF($R$17="Distrato",$I$38-1,0)),IF(AND($L$37=0,$P$34=0),"",$L$37-1),IF($R$17="Distrato",$E244,0)),MIN(AS$38,$D$19),$P$20))-SUM($P244:AR244)</f>
        <v>#VALUE!</v>
      </c>
      <c r="AT244" s="446" t="e">
        <f>IF(OR($B244="",MIN(AT$38,$D$19)&lt;MAX($P$34*($B244+IF($R$17="Distrato",$I$38-1,0)),IF(AND($L$37=0,$P$34=0),"",$L$37-1),IF($R$17="Distrato",$E244,0))),0,YEARFRAC(MAX($P$34*($B244+IF($R$17="Distrato",$I$38-1,0)),IF(AND($L$37=0,$P$34=0),"",$L$37-1),IF($R$17="Distrato",$E244,0)),MIN(AT$38,$D$19),$P$20))-SUM($P244:AS244)</f>
        <v>#VALUE!</v>
      </c>
      <c r="AU244" s="446" t="e">
        <f>IF(OR($B244="",MIN(AU$38,$D$19)&lt;MAX($P$34*($B244+IF($R$17="Distrato",$I$38-1,0)),IF(AND($L$37=0,$P$34=0),"",$L$37-1),IF($R$17="Distrato",$E244,0))),0,YEARFRAC(MAX($P$34*($B244+IF($R$17="Distrato",$I$38-1,0)),IF(AND($L$37=0,$P$34=0),"",$L$37-1),IF($R$17="Distrato",$E244,0)),MIN(AU$38,$D$19),$P$20))-SUM($P244:AT244)</f>
        <v>#VALUE!</v>
      </c>
      <c r="AV244" s="446" t="e">
        <f>IF(OR($B244="",MIN(AV$38,$D$19)&lt;MAX($P$34*($B244+IF($R$17="Distrato",$I$38-1,0)),IF(AND($L$37=0,$P$34=0),"",$L$37-1),IF($R$17="Distrato",$E244,0))),0,YEARFRAC(MAX($P$34*($B244+IF($R$17="Distrato",$I$38-1,0)),IF(AND($L$37=0,$P$34=0),"",$L$37-1),IF($R$17="Distrato",$E244,0)),MIN(AV$38,$D$19),$P$20))-SUM($P244:AU244)</f>
        <v>#VALUE!</v>
      </c>
      <c r="AW244" s="446" t="e">
        <f>IF(OR($B244="",MIN(AW$38,$D$19)&lt;MAX($P$34*($B244+IF($R$17="Distrato",$I$38-1,0)),IF(AND($L$37=0,$P$34=0),"",$L$37-1),IF($R$17="Distrato",$E244,0))),0,YEARFRAC(MAX($P$34*($B244+IF($R$17="Distrato",$I$38-1,0)),IF(AND($L$37=0,$P$34=0),"",$L$37-1),IF($R$17="Distrato",$E244,0)),MIN(AW$38,$D$19),$P$20))-SUM($P244:AV244)</f>
        <v>#VALUE!</v>
      </c>
      <c r="AX244" s="446" t="e">
        <f>IF(OR($B244="",MIN(AX$38,$D$19)&lt;MAX($P$34*($B244+IF($R$17="Distrato",$I$38-1,0)),IF(AND($L$37=0,$P$34=0),"",$L$37-1),IF($R$17="Distrato",$E244,0))),0,YEARFRAC(MAX($P$34*($B244+IF($R$17="Distrato",$I$38-1,0)),IF(AND($L$37=0,$P$34=0),"",$L$37-1),IF($R$17="Distrato",$E244,0)),MIN(AX$38,$D$19),$P$20))-SUM($P244:AW244)</f>
        <v>#VALUE!</v>
      </c>
      <c r="AY244" s="446" t="e">
        <f>IF(OR($B244="",MIN(AY$38,$D$19)&lt;MAX($P$34*($B244+IF($R$17="Distrato",$I$38-1,0)),IF(AND($L$37=0,$P$34=0),"",$L$37-1),IF($R$17="Distrato",$E244,0))),0,YEARFRAC(MAX($P$34*($B244+IF($R$17="Distrato",$I$38-1,0)),IF(AND($L$37=0,$P$34=0),"",$L$37-1),IF($R$17="Distrato",$E244,0)),MIN(AY$38,$D$19),$P$20))-SUM($P244:AX244)</f>
        <v>#VALUE!</v>
      </c>
      <c r="AZ244" s="446" t="e">
        <f>IF(OR($B244="",MIN(AZ$38,$D$19)&lt;MAX($P$34*($B244+IF($R$17="Distrato",$I$38-1,0)),IF(AND($L$37=0,$P$34=0),"",$L$37-1),IF($R$17="Distrato",$E244,0))),0,YEARFRAC(MAX($P$34*($B244+IF($R$17="Distrato",$I$38-1,0)),IF(AND($L$37=0,$P$34=0),"",$L$37-1),IF($R$17="Distrato",$E244,0)),MIN(AZ$38,$D$19),$P$20))-SUM($P244:AY244)</f>
        <v>#VALUE!</v>
      </c>
      <c r="BA244" s="446" t="e">
        <f>IF(OR($B244="",MIN(BA$38,$D$19)&lt;MAX($P$34*($B244+IF($R$17="Distrato",$I$38-1,0)),IF(AND($L$37=0,$P$34=0),"",$L$37-1),IF($R$17="Distrato",$E244,0))),0,YEARFRAC(MAX($P$34*($B244+IF($R$17="Distrato",$I$38-1,0)),IF(AND($L$37=0,$P$34=0),"",$L$37-1),IF($R$17="Distrato",$E244,0)),MIN(BA$38,$D$19),$P$20))-SUM($P244:AZ244)</f>
        <v>#VALUE!</v>
      </c>
      <c r="BB244" s="447"/>
      <c r="BF244" s="446">
        <f t="shared" si="43"/>
        <v>0</v>
      </c>
      <c r="BG244" s="446">
        <f>IF($E244=0,0,IF(MIN(BG$38,$E244)&lt;MAX($P$34*($B244+$I$38-1),IF(AND($L$37=0,$P$34=0),"",$L$37-1)),0,YEARFRAC(MAX($P$34*($B244+$I$38-1),IF(AND($L$37=0,$P$34=0),"",$L$37-1)),MIN(BG$38,$E244),$P$20))-SUM($BF244:BF244))</f>
        <v>0</v>
      </c>
      <c r="BH244" s="446">
        <f>IF($E244=0,0,IF(MIN(BH$38,$E244)&lt;MAX($P$34*($B244+$I$38-1),IF(AND($L$37=0,$P$34=0),"",$L$37-1)),0,YEARFRAC(MAX($P$34*($B244+$I$38-1),IF(AND($L$37=0,$P$34=0),"",$L$37-1)),MIN(BH$38,$E244),$P$20))-SUM($BF244:BG244))</f>
        <v>0</v>
      </c>
      <c r="BI244" s="446">
        <f>IF($E244=0,0,IF(MIN(BI$38,$E244)&lt;MAX($P$34*($B244+$I$38-1),IF(AND($L$37=0,$P$34=0),"",$L$37-1)),0,YEARFRAC(MAX($P$34*($B244+$I$38-1),IF(AND($L$37=0,$P$34=0),"",$L$37-1)),MIN(BI$38,$E244),$P$20))-SUM($BF244:BH244))</f>
        <v>0</v>
      </c>
      <c r="BJ244" s="446">
        <f>IF($E244=0,0,IF(MIN(BJ$38,$E244)&lt;MAX($P$34*($B244+$I$38-1),IF(AND($L$37=0,$P$34=0),"",$L$37-1)),0,YEARFRAC(MAX($P$34*($B244+$I$38-1),IF(AND($L$37=0,$P$34=0),"",$L$37-1)),MIN(BJ$38,$E244),$P$20))-SUM($BF244:BI244))</f>
        <v>0</v>
      </c>
      <c r="BK244" s="446">
        <f>IF($E244=0,0,IF(MIN(BK$38,$E244)&lt;MAX($P$34*($B244+$I$38-1),IF(AND($L$37=0,$P$34=0),"",$L$37-1)),0,YEARFRAC(MAX($P$34*($B244+$I$38-1),IF(AND($L$37=0,$P$34=0),"",$L$37-1)),MIN(BK$38,$E244),$P$20))-SUM($BF244:BJ244))</f>
        <v>0</v>
      </c>
      <c r="BL244" s="446">
        <f>IF($E244=0,0,IF(MIN(BL$38,$E244)&lt;MAX($P$34*($B244+$I$38-1),IF(AND($L$37=0,$P$34=0),"",$L$37-1)),0,YEARFRAC(MAX($P$34*($B244+$I$38-1),IF(AND($L$37=0,$P$34=0),"",$L$37-1)),MIN(BL$38,$E244),$P$20))-SUM($BF244:BK244))</f>
        <v>0</v>
      </c>
      <c r="BM244" s="446">
        <f>IF($E244=0,0,IF(MIN(BM$38,$E244)&lt;MAX($P$34*($B244+$I$38-1),IF(AND($L$37=0,$P$34=0),"",$L$37-1)),0,YEARFRAC(MAX($P$34*($B244+$I$38-1),IF(AND($L$37=0,$P$34=0),"",$L$37-1)),MIN(BM$38,$E244),$P$20))-SUM($BF244:BL244))</f>
        <v>0</v>
      </c>
      <c r="BN244" s="446">
        <f>IF($E244=0,0,IF(MIN(BN$38,$E244)&lt;MAX($P$34*($B244+$I$38-1),IF(AND($L$37=0,$P$34=0),"",$L$37-1)),0,YEARFRAC(MAX($P$34*($B244+$I$38-1),IF(AND($L$37=0,$P$34=0),"",$L$37-1)),MIN(BN$38,$E244),$P$20))-SUM($BF244:BM244))</f>
        <v>0</v>
      </c>
      <c r="BO244" s="446">
        <f>IF($E244=0,0,IF(MIN(BO$38,$E244)&lt;MAX($P$34*($B244+$I$38-1),IF(AND($L$37=0,$P$34=0),"",$L$37-1)),0,YEARFRAC(MAX($P$34*($B244+$I$38-1),IF(AND($L$37=0,$P$34=0),"",$L$37-1)),MIN(BO$38,$E244),$P$20))-SUM($BF244:BN244))</f>
        <v>0</v>
      </c>
      <c r="BP244" s="446">
        <f>IF($E244=0,0,IF(MIN(BP$38,$E244)&lt;MAX($P$34*($B244+$I$38-1),IF(AND($L$37=0,$P$34=0),"",$L$37-1)),0,YEARFRAC(MAX($P$34*($B244+$I$38-1),IF(AND($L$37=0,$P$34=0),"",$L$37-1)),MIN(BP$38,$E244),$P$20))-SUM($BF244:BO244))</f>
        <v>0</v>
      </c>
      <c r="BQ244" s="446">
        <f>IF($E244=0,0,IF(MIN(BQ$38,$E244)&lt;MAX($P$34*($B244+$I$38-1),IF(AND($L$37=0,$P$34=0),"",$L$37-1)),0,YEARFRAC(MAX($P$34*($B244+$I$38-1),IF(AND($L$37=0,$P$34=0),"",$L$37-1)),MIN(BQ$38,$E244),$P$20))-SUM($BF244:BP244))</f>
        <v>0</v>
      </c>
      <c r="BR244" s="446">
        <f>IF($E244=0,0,IF(MIN(BR$38,$E244)&lt;MAX($P$34*($B244+$I$38-1),IF(AND($L$37=0,$P$34=0),"",$L$37-1)),0,YEARFRAC(MAX($P$34*($B244+$I$38-1),IF(AND($L$37=0,$P$34=0),"",$L$37-1)),MIN(BR$38,$E244),$P$20))-SUM($BF244:BQ244))</f>
        <v>0</v>
      </c>
      <c r="BS244" s="446">
        <f>IF($E244=0,0,IF(MIN(BS$38,$E244)&lt;MAX($P$34*($B244+$I$38-1),IF(AND($L$37=0,$P$34=0),"",$L$37-1)),0,YEARFRAC(MAX($P$34*($B244+$I$38-1),IF(AND($L$37=0,$P$34=0),"",$L$37-1)),MIN(BS$38,$E244),$P$20))-SUM($BF244:BR244))</f>
        <v>0</v>
      </c>
      <c r="BT244" s="446">
        <f>IF($E244=0,0,IF(MIN(BT$38,$E244)&lt;MAX($P$34*($B244+$I$38-1),IF(AND($L$37=0,$P$34=0),"",$L$37-1)),0,YEARFRAC(MAX($P$34*($B244+$I$38-1),IF(AND($L$37=0,$P$34=0),"",$L$37-1)),MIN(BT$38,$E244),$P$20))-SUM($BF244:BS244))</f>
        <v>0</v>
      </c>
      <c r="BU244" s="446">
        <f>IF($E244=0,0,IF(MIN(BU$38,$E244)&lt;MAX($P$34*($B244+$I$38-1),IF(AND($L$37=0,$P$34=0),"",$L$37-1)),0,YEARFRAC(MAX($P$34*($B244+$I$38-1),IF(AND($L$37=0,$P$34=0),"",$L$37-1)),MIN(BU$38,$E244),$P$20))-SUM($BF244:BT244))</f>
        <v>0</v>
      </c>
      <c r="BV244" s="446">
        <f>IF($E244=0,0,IF(MIN(BV$38,$E244)&lt;MAX($P$34*($B244+$I$38-1),IF(AND($L$37=0,$P$34=0),"",$L$37-1)),0,YEARFRAC(MAX($P$34*($B244+$I$38-1),IF(AND($L$37=0,$P$34=0),"",$L$37-1)),MIN(BV$38,$E244),$P$20))-SUM($BF244:BU244))</f>
        <v>0</v>
      </c>
      <c r="BW244" s="446">
        <f>IF($E244=0,0,IF(MIN(BW$38,$E244)&lt;MAX($P$34*($B244+$I$38-1),IF(AND($L$37=0,$P$34=0),"",$L$37-1)),0,YEARFRAC(MAX($P$34*($B244+$I$38-1),IF(AND($L$37=0,$P$34=0),"",$L$37-1)),MIN(BW$38,$E244),$P$20))-SUM($BF244:BV244))</f>
        <v>0</v>
      </c>
      <c r="BX244" s="446">
        <f>IF($E244=0,0,IF(MIN(BX$38,$E244)&lt;MAX($P$34*($B244+$I$38-1),IF(AND($L$37=0,$P$34=0),"",$L$37-1)),0,YEARFRAC(MAX($P$34*($B244+$I$38-1),IF(AND($L$37=0,$P$34=0),"",$L$37-1)),MIN(BX$38,$E244),$P$20))-SUM($BF244:BW244))</f>
        <v>0</v>
      </c>
      <c r="BY244" s="446">
        <f>IF($E244=0,0,IF(MIN(BY$38,$E244)&lt;MAX($P$34*($B244+$I$38-1),IF(AND($L$37=0,$P$34=0),"",$L$37-1)),0,YEARFRAC(MAX($P$34*($B244+$I$38-1),IF(AND($L$37=0,$P$34=0),"",$L$37-1)),MIN(BY$38,$E244),$P$20))-SUM($BF244:BX244))</f>
        <v>0</v>
      </c>
      <c r="BZ244" s="446">
        <f>IF($E244=0,0,IF(MIN(BZ$38,$E244)&lt;MAX($P$34*($B244+$I$38-1),IF(AND($L$37=0,$P$34=0),"",$L$37-1)),0,YEARFRAC(MAX($P$34*($B244+$I$38-1),IF(AND($L$37=0,$P$34=0),"",$L$37-1)),MIN(BZ$38,$E244),$P$20))-SUM($BF244:BY244))</f>
        <v>0</v>
      </c>
      <c r="CA244" s="446">
        <f>IF($E244=0,0,IF(MIN(CA$38,$E244)&lt;MAX($P$34*($B244+$I$38-1),IF(AND($L$37=0,$P$34=0),"",$L$37-1)),0,YEARFRAC(MAX($P$34*($B244+$I$38-1),IF(AND($L$37=0,$P$34=0),"",$L$37-1)),MIN(CA$38,$E244),$P$20))-SUM($BF244:BZ244))</f>
        <v>0</v>
      </c>
      <c r="CB244" s="446">
        <f>IF($E244=0,0,IF(MIN(CB$38,$E244)&lt;MAX($P$34*($B244+$I$38-1),IF(AND($L$37=0,$P$34=0),"",$L$37-1)),0,YEARFRAC(MAX($P$34*($B244+$I$38-1),IF(AND($L$37=0,$P$34=0),"",$L$37-1)),MIN(CB$38,$E244),$P$20))-SUM($BF244:CA244))</f>
        <v>0</v>
      </c>
      <c r="CC244" s="446">
        <f>IF($E244=0,0,IF(MIN(CC$38,$E244)&lt;MAX($P$34*($B244+$I$38-1),IF(AND($L$37=0,$P$34=0),"",$L$37-1)),0,YEARFRAC(MAX($P$34*($B244+$I$38-1),IF(AND($L$37=0,$P$34=0),"",$L$37-1)),MIN(CC$38,$E244),$P$20))-SUM($BF244:CB244))</f>
        <v>0</v>
      </c>
      <c r="CD244" s="446">
        <f>IF($E244=0,0,IF(MIN(CD$38,$E244)&lt;MAX($P$34*($B244+$I$38-1),IF(AND($L$37=0,$P$34=0),"",$L$37-1)),0,YEARFRAC(MAX($P$34*($B244+$I$38-1),IF(AND($L$37=0,$P$34=0),"",$L$37-1)),MIN(CD$38,$E244),$P$20))-SUM($BF244:CC244))</f>
        <v>0</v>
      </c>
      <c r="CE244" s="446">
        <f>IF($E244=0,0,IF(MIN(CE$38,$E244)&lt;MAX($P$34*($B244+$I$38-1),IF(AND($L$37=0,$P$34=0),"",$L$37-1)),0,YEARFRAC(MAX($P$34*($B244+$I$38-1),IF(AND($L$37=0,$P$34=0),"",$L$37-1)),MIN(CE$38,$E244),$P$20))-SUM($BF244:CD244))</f>
        <v>0</v>
      </c>
      <c r="CF244" s="446">
        <f>IF($E244=0,0,IF(MIN(CF$38,$E244)&lt;MAX($P$34*($B244+$I$38-1),IF(AND($L$37=0,$P$34=0),"",$L$37-1)),0,YEARFRAC(MAX($P$34*($B244+$I$38-1),IF(AND($L$37=0,$P$34=0),"",$L$37-1)),MIN(CF$38,$E244),$P$20))-SUM($BF244:CE244))</f>
        <v>0</v>
      </c>
      <c r="CG244" s="446">
        <f>IF($E244=0,0,IF(MIN(CG$38,$E244)&lt;MAX($P$34*($B244+$I$38-1),IF(AND($L$37=0,$P$34=0),"",$L$37-1)),0,YEARFRAC(MAX($P$34*($B244+$I$38-1),IF(AND($L$37=0,$P$34=0),"",$L$37-1)),MIN(CG$38,$E244),$P$20))-SUM($BF244:CF244))</f>
        <v>0</v>
      </c>
      <c r="CH244" s="446">
        <f>IF($E244=0,0,IF(MIN(CH$38,$E244)&lt;MAX($P$34*($B244+$I$38-1),IF(AND($L$37=0,$P$34=0),"",$L$37-1)),0,YEARFRAC(MAX($P$34*($B244+$I$38-1),IF(AND($L$37=0,$P$34=0),"",$L$37-1)),MIN(CH$38,$E244),$P$20))-SUM($BF244:CG244))</f>
        <v>0</v>
      </c>
      <c r="CI244" s="446">
        <f>IF($E244=0,0,IF(MIN(CI$38,$E244)&lt;MAX($P$34*($B244+$I$38-1),IF(AND($L$37=0,$P$34=0),"",$L$37-1)),0,YEARFRAC(MAX($P$34*($B244+$I$38-1),IF(AND($L$37=0,$P$34=0),"",$L$37-1)),MIN(CI$38,$E244),$P$20))-SUM($BF244:CH244))</f>
        <v>0</v>
      </c>
      <c r="CJ244" s="446">
        <f>IF($E244=0,0,IF(MIN(CJ$38,$E244)&lt;MAX($P$34*($B244+$I$38-1),IF(AND($L$37=0,$P$34=0),"",$L$37-1)),0,YEARFRAC(MAX($P$34*($B244+$I$38-1),IF(AND($L$37=0,$P$34=0),"",$L$37-1)),MIN(CJ$38,$E244),$P$20))-SUM($BF244:CI244))</f>
        <v>0</v>
      </c>
      <c r="CK244" s="446">
        <f>IF($E244=0,0,IF(MIN(CK$38,$E244)&lt;MAX($P$34*($B244+$I$38-1),IF(AND($L$37=0,$P$34=0),"",$L$37-1)),0,YEARFRAC(MAX($P$34*($B244+$I$38-1),IF(AND($L$37=0,$P$34=0),"",$L$37-1)),MIN(CK$38,$E244),$P$20))-SUM($BF244:CJ244))</f>
        <v>0</v>
      </c>
      <c r="CL244" s="446">
        <f>IF($E244=0,0,IF(MIN(CL$38,$E244)&lt;MAX($P$34*($B244+$I$38-1),IF(AND($L$37=0,$P$34=0),"",$L$37-1)),0,YEARFRAC(MAX($P$34*($B244+$I$38-1),IF(AND($L$37=0,$P$34=0),"",$L$37-1)),MIN(CL$38,$E244),$P$20))-SUM($BF244:CK244))</f>
        <v>0</v>
      </c>
      <c r="CM244" s="446">
        <f>IF($E244=0,0,IF(MIN(CM$38,$E244)&lt;MAX($P$34*($B244+$I$38-1),IF(AND($L$37=0,$P$34=0),"",$L$37-1)),0,YEARFRAC(MAX($P$34*($B244+$I$38-1),IF(AND($L$37=0,$P$34=0),"",$L$37-1)),MIN(CM$38,$E244),$P$20))-SUM($BF244:CL244))</f>
        <v>0</v>
      </c>
      <c r="CN244" s="446">
        <f>IF($E244=0,0,IF(MIN(CN$38,$E244)&lt;MAX($P$34*($B244+$I$38-1),IF(AND($L$37=0,$P$34=0),"",$L$37-1)),0,YEARFRAC(MAX($P$34*($B244+$I$38-1),IF(AND($L$37=0,$P$34=0),"",$L$37-1)),MIN(CN$38,$E244),$P$20))-SUM($BF244:CM244))</f>
        <v>0</v>
      </c>
      <c r="CO244" s="446">
        <f>IF($E244=0,0,IF(MIN(CO$38,$E244)&lt;MAX($P$34*($B244+$I$38-1),IF(AND($L$37=0,$P$34=0),"",$L$37-1)),0,YEARFRAC(MAX($P$34*($B244+$I$38-1),IF(AND($L$37=0,$P$34=0),"",$L$37-1)),MIN(CO$38,$E244),$P$20))-SUM($BF244:CN244))</f>
        <v>0</v>
      </c>
      <c r="CP244" s="446">
        <f>IF($E244=0,0,IF(MIN(CP$38,$E244)&lt;MAX($P$34*($B244+$I$38-1),IF(AND($L$37=0,$P$34=0),"",$L$37-1)),0,YEARFRAC(MAX($P$34*($B244+$I$38-1),IF(AND($L$37=0,$P$34=0),"",$L$37-1)),MIN(CP$38,$E244),$P$20))-SUM($BF244:CO244))</f>
        <v>0</v>
      </c>
      <c r="CQ244" s="446">
        <f>IF($E244=0,0,IF(MIN(CQ$38,$E244)&lt;MAX($P$34*($B244+$I$38-1),IF(AND($L$37=0,$P$34=0),"",$L$37-1)),0,YEARFRAC(MAX($P$34*($B244+$I$38-1),IF(AND($L$37=0,$P$34=0),"",$L$37-1)),MIN(CQ$38,$E244),$P$20))-SUM($BF244:CP244))</f>
        <v>0</v>
      </c>
    </row>
    <row r="245" spans="1:95" s="446" customFormat="1" ht="11.25" hidden="1" customHeight="1" x14ac:dyDescent="0.2">
      <c r="A245" s="152"/>
      <c r="B245" s="153" t="str">
        <f t="shared" si="48"/>
        <v/>
      </c>
      <c r="C245" s="29" t="str">
        <f>IF(B245="","",IF($L$35="SELIC - TRIBUTOS",VLOOKUP(DATE(YEAR($D$19),MONTH($D$19)-1,1),ÍNDICES!$A:$DE,HLOOKUP($BL$25,ÍNDICES!$B$3:$T$4,2)+11)-VLOOKUP(B245,ÍNDICES!$A:$DE,HLOOKUP($BL$25,ÍNDICES!$B$3:$T$4,2)+11)+1%,IF(C$38=$W$26,$J$35,IF(ISERROR(IF(B245&gt;$D$19,1,VLOOKUP(DATE(YEAR(B245),MONTH(B245)+IF($C$35=$S$23,1,0),1),ÍNDICES!$A:$DE,$Z$35+1))),"",IF(B245&gt;$D$19,1,VLOOKUP(DATE(YEAR(B245),MONTH(B245)+IF($C$35=$S$23,1,0),1),ÍNDICES!$A:$DE,$Z$35+1))))))</f>
        <v/>
      </c>
      <c r="D245" s="154" t="str">
        <f>IF(ISERROR(IF(OR($D$38=$Y$27,$B245=""),"",VLOOKUP(B245,ÍNDICES!A:DE,AF$35+1))),"",IF(OR($D$38=$Y$27,$B245=""),"",VLOOKUP(B245,ÍNDICES!A:DE,AF$35+1)))</f>
        <v/>
      </c>
      <c r="E245" s="153"/>
      <c r="F245" s="29" t="str">
        <f>IF(E245="","",IF($L$35="SELIC - TRIBUTOS",VLOOKUP(DATE(YEAR($D$19),MONTH($D$19)-1,1),ÍNDICES!$A:$DE,HLOOKUP($BL$25,ÍNDICES!$B$3:$T$4,2)+11)-VLOOKUP(E245,ÍNDICES!$A:$DE,HLOOKUP($BL$25,ÍNDICES!$B$3:$T$4,2)+11)+1%,IF(F$38=$W$26,$J$35,IF(ISERROR(IF(E245&gt;$D$19,1,VLOOKUP(DATE(YEAR(E245),MONTH(E245)+IF($C$35=$S$23,1,0),1),ÍNDICES!$A:$DE,$Z$35+1))),"",IF(E245&gt;$D$19,1,VLOOKUP(DATE(YEAR(E245),MONTH(E245)+IF($C$35=$S$23,1,0),1),ÍNDICES!$A:$DE,$Z$35+1))))))</f>
        <v/>
      </c>
      <c r="G245" s="155"/>
      <c r="H245" s="156" t="str">
        <f t="shared" si="44"/>
        <v/>
      </c>
      <c r="I245" s="29" t="str">
        <f t="shared" si="38"/>
        <v/>
      </c>
      <c r="J245" s="5">
        <f t="shared" si="39"/>
        <v>0</v>
      </c>
      <c r="K245" s="20">
        <f t="shared" ca="1" si="40"/>
        <v>0</v>
      </c>
      <c r="L245" s="5">
        <f t="shared" ca="1" si="41"/>
        <v>0</v>
      </c>
      <c r="M245" s="64">
        <f t="shared" si="45"/>
        <v>0</v>
      </c>
      <c r="N245" s="61">
        <f t="shared" ca="1" si="46"/>
        <v>0</v>
      </c>
      <c r="O245" s="5">
        <f t="shared" ca="1" si="47"/>
        <v>0</v>
      </c>
      <c r="P245" s="446" t="e">
        <f t="shared" si="42"/>
        <v>#VALUE!</v>
      </c>
      <c r="Q245" s="446" t="e">
        <f>IF(OR($B245="",MIN(Q$38,$D$19)&lt;MAX($P$34*($B245+IF($R$17="Distrato",$I$38-1,0)),IF(AND($L$37=0,$P$34=0),"",$L$37-1),IF($R$17="Distrato",$E245,0))),0,YEARFRAC(MAX($P$34*($B245+IF($R$17="Distrato",$I$38-1,0)),IF(AND($L$37=0,$P$34=0),"",$L$37-1),IF($R$17="Distrato",$E245,0)),MIN(Q$38,$D$19),$P$20))-SUM($P245:P245)</f>
        <v>#VALUE!</v>
      </c>
      <c r="R245" s="446" t="e">
        <f>IF(OR($B245="",MIN(R$38,$D$19)&lt;MAX($P$34*($B245+IF($R$17="Distrato",$I$38-1,0)),IF(AND($L$37=0,$P$34=0),"",$L$37-1),IF($R$17="Distrato",$E245,0))),0,YEARFRAC(MAX($P$34*($B245+IF($R$17="Distrato",$I$38-1,0)),IF(AND($L$37=0,$P$34=0),"",$L$37-1),IF($R$17="Distrato",$E245,0)),MIN(R$38,$D$19),$P$20))-SUM($P245:Q245)</f>
        <v>#VALUE!</v>
      </c>
      <c r="S245" s="446" t="e">
        <f>IF(OR($B245="",MIN(S$38,$D$19)&lt;MAX($P$34*($B245+IF($R$17="Distrato",$I$38-1,0)),IF(AND($L$37=0,$P$34=0),"",$L$37-1),IF($R$17="Distrato",$E245,0))),0,YEARFRAC(MAX($P$34*($B245+IF($R$17="Distrato",$I$38-1,0)),IF(AND($L$37=0,$P$34=0),"",$L$37-1),IF($R$17="Distrato",$E245,0)),MIN(S$38,$D$19),$P$20))-SUM($P245:R245)</f>
        <v>#VALUE!</v>
      </c>
      <c r="T245" s="446" t="e">
        <f>IF(OR($B245="",MIN(T$38,$D$19)&lt;MAX($P$34*($B245+IF($R$17="Distrato",$I$38-1,0)),IF(AND($L$37=0,$P$34=0),"",$L$37-1),IF($R$17="Distrato",$E245,0))),0,YEARFRAC(MAX($P$34*($B245+IF($R$17="Distrato",$I$38-1,0)),IF(AND($L$37=0,$P$34=0),"",$L$37-1),IF($R$17="Distrato",$E245,0)),MIN(T$38,$D$19),$P$20))-SUM($P245:S245)</f>
        <v>#VALUE!</v>
      </c>
      <c r="U245" s="446" t="e">
        <f>IF(OR($B245="",MIN(U$38,$D$19)&lt;MAX($P$34*($B245+IF($R$17="Distrato",$I$38-1,0)),IF(AND($L$37=0,$P$34=0),"",$L$37-1),IF($R$17="Distrato",$E245,0))),0,YEARFRAC(MAX($P$34*($B245+IF($R$17="Distrato",$I$38-1,0)),IF(AND($L$37=0,$P$34=0),"",$L$37-1),IF($R$17="Distrato",$E245,0)),MIN(U$38,$D$19),$P$20))-SUM($P245:T245)</f>
        <v>#VALUE!</v>
      </c>
      <c r="V245" s="446" t="e">
        <f>IF(OR($B245="",MIN(V$38,$D$19)&lt;MAX($P$34*($B245+IF($R$17="Distrato",$I$38-1,0)),IF(AND($L$37=0,$P$34=0),"",$L$37-1),IF($R$17="Distrato",$E245,0))),0,YEARFRAC(MAX($P$34*($B245+IF($R$17="Distrato",$I$38-1,0)),IF(AND($L$37=0,$P$34=0),"",$L$37-1),IF($R$17="Distrato",$E245,0)),MIN(V$38,$D$19),$P$20))-SUM($P245:U245)</f>
        <v>#VALUE!</v>
      </c>
      <c r="W245" s="446" t="e">
        <f>IF(OR($B245="",MIN(W$38,$D$19)&lt;MAX($P$34*($B245+IF($R$17="Distrato",$I$38-1,0)),IF(AND($L$37=0,$P$34=0),"",$L$37-1),IF($R$17="Distrato",$E245,0))),0,YEARFRAC(MAX($P$34*($B245+IF($R$17="Distrato",$I$38-1,0)),IF(AND($L$37=0,$P$34=0),"",$L$37-1),IF($R$17="Distrato",$E245,0)),MIN(W$38,$D$19),$P$20))-SUM($P245:V245)</f>
        <v>#VALUE!</v>
      </c>
      <c r="X245" s="446" t="e">
        <f>IF(OR($B245="",MIN(X$38,$D$19)&lt;MAX($P$34*($B245+IF($R$17="Distrato",$I$38-1,0)),IF(AND($L$37=0,$P$34=0),"",$L$37-1),IF($R$17="Distrato",$E245,0))),0,YEARFRAC(MAX($P$34*($B245+IF($R$17="Distrato",$I$38-1,0)),IF(AND($L$37=0,$P$34=0),"",$L$37-1),IF($R$17="Distrato",$E245,0)),MIN(X$38,$D$19),$P$20))-SUM($P245:W245)</f>
        <v>#VALUE!</v>
      </c>
      <c r="Y245" s="446" t="e">
        <f>IF(OR($B245="",MIN(Y$38,$D$19)&lt;MAX($P$34*($B245+IF($R$17="Distrato",$I$38-1,0)),IF(AND($L$37=0,$P$34=0),"",$L$37-1),IF($R$17="Distrato",$E245,0))),0,YEARFRAC(MAX($P$34*($B245+IF($R$17="Distrato",$I$38-1,0)),IF(AND($L$37=0,$P$34=0),"",$L$37-1),IF($R$17="Distrato",$E245,0)),MIN(Y$38,$D$19),$P$20))-SUM($P245:X245)</f>
        <v>#VALUE!</v>
      </c>
      <c r="Z245" s="446" t="e">
        <f>IF(OR($B245="",MIN(Z$38,$D$19)&lt;MAX($P$34*($B245+IF($R$17="Distrato",$I$38-1,0)),IF(AND($L$37=0,$P$34=0),"",$L$37-1),IF($R$17="Distrato",$E245,0))),0,YEARFRAC(MAX($P$34*($B245+IF($R$17="Distrato",$I$38-1,0)),IF(AND($L$37=0,$P$34=0),"",$L$37-1),IF($R$17="Distrato",$E245,0)),MIN(Z$38,$D$19),$P$20))-SUM($P245:Y245)</f>
        <v>#VALUE!</v>
      </c>
      <c r="AA245" s="446" t="e">
        <f>IF(OR($B245="",MIN(AA$38,$D$19)&lt;MAX($P$34*($B245+IF($R$17="Distrato",$I$38-1,0)),IF(AND($L$37=0,$P$34=0),"",$L$37-1),IF($R$17="Distrato",$E245,0))),0,YEARFRAC(MAX($P$34*($B245+IF($R$17="Distrato",$I$38-1,0)),IF(AND($L$37=0,$P$34=0),"",$L$37-1),IF($R$17="Distrato",$E245,0)),MIN(AA$38,$D$19),$P$20))-SUM($P245:Z245)</f>
        <v>#VALUE!</v>
      </c>
      <c r="AB245" s="446" t="e">
        <f>IF(OR($B245="",MIN(AB$38,$D$19)&lt;MAX($P$34*($B245+IF($R$17="Distrato",$I$38-1,0)),IF(AND($L$37=0,$P$34=0),"",$L$37-1),IF($R$17="Distrato",$E245,0))),0,YEARFRAC(MAX($P$34*($B245+IF($R$17="Distrato",$I$38-1,0)),IF(AND($L$37=0,$P$34=0),"",$L$37-1),IF($R$17="Distrato",$E245,0)),MIN(AB$38,$D$19),$P$20))-SUM($P245:AA245)</f>
        <v>#VALUE!</v>
      </c>
      <c r="AC245" s="446" t="e">
        <f>IF(OR($B245="",MIN(AC$38,$D$19)&lt;MAX($P$34*($B245+IF($R$17="Distrato",$I$38-1,0)),IF(AND($L$37=0,$P$34=0),"",$L$37-1),IF($R$17="Distrato",$E245,0))),0,YEARFRAC(MAX($P$34*($B245+IF($R$17="Distrato",$I$38-1,0)),IF(AND($L$37=0,$P$34=0),"",$L$37-1),IF($R$17="Distrato",$E245,0)),MIN(AC$38,$D$19),$P$20))-SUM($P245:AB245)</f>
        <v>#VALUE!</v>
      </c>
      <c r="AD245" s="446" t="e">
        <f>IF(OR($B245="",MIN(AD$38,$D$19)&lt;MAX($P$34*($B245+IF($R$17="Distrato",$I$38-1,0)),IF(AND($L$37=0,$P$34=0),"",$L$37-1),IF($R$17="Distrato",$E245,0))),0,YEARFRAC(MAX($P$34*($B245+IF($R$17="Distrato",$I$38-1,0)),IF(AND($L$37=0,$P$34=0),"",$L$37-1),IF($R$17="Distrato",$E245,0)),MIN(AD$38,$D$19),$P$20))-SUM($P245:AC245)</f>
        <v>#VALUE!</v>
      </c>
      <c r="AE245" s="446" t="e">
        <f>IF(OR($B245="",MIN(AE$38,$D$19)&lt;MAX($P$34*($B245+IF($R$17="Distrato",$I$38-1,0)),IF(AND($L$37=0,$P$34=0),"",$L$37-1),IF($R$17="Distrato",$E245,0))),0,YEARFRAC(MAX($P$34*($B245+IF($R$17="Distrato",$I$38-1,0)),IF(AND($L$37=0,$P$34=0),"",$L$37-1),IF($R$17="Distrato",$E245,0)),MIN(AE$38,$D$19),$P$20))-SUM($P245:AD245)</f>
        <v>#VALUE!</v>
      </c>
      <c r="AF245" s="446" t="e">
        <f>IF(OR($B245="",MIN(AF$38,$D$19)&lt;MAX($P$34*($B245+IF($R$17="Distrato",$I$38-1,0)),IF(AND($L$37=0,$P$34=0),"",$L$37-1),IF($R$17="Distrato",$E245,0))),0,YEARFRAC(MAX($P$34*($B245+IF($R$17="Distrato",$I$38-1,0)),IF(AND($L$37=0,$P$34=0),"",$L$37-1),IF($R$17="Distrato",$E245,0)),MIN(AF$38,$D$19),$P$20))-SUM($P245:AE245)</f>
        <v>#VALUE!</v>
      </c>
      <c r="AG245" s="446" t="e">
        <f>IF(OR($B245="",MIN(AG$38,$D$19)&lt;MAX($P$34*($B245+IF($R$17="Distrato",$I$38-1,0)),IF(AND($L$37=0,$P$34=0),"",$L$37-1),IF($R$17="Distrato",$E245,0))),0,YEARFRAC(MAX($P$34*($B245+IF($R$17="Distrato",$I$38-1,0)),IF(AND($L$37=0,$P$34=0),"",$L$37-1),IF($R$17="Distrato",$E245,0)),MIN(AG$38,$D$19),$P$20))-SUM($P245:AF245)</f>
        <v>#VALUE!</v>
      </c>
      <c r="AH245" s="446" t="e">
        <f>IF(OR($B245="",MIN(AH$38,$D$19)&lt;MAX($P$34*($B245+IF($R$17="Distrato",$I$38-1,0)),IF(AND($L$37=0,$P$34=0),"",$L$37-1),IF($R$17="Distrato",$E245,0))),0,YEARFRAC(MAX($P$34*($B245+IF($R$17="Distrato",$I$38-1,0)),IF(AND($L$37=0,$P$34=0),"",$L$37-1),IF($R$17="Distrato",$E245,0)),MIN(AH$38,$D$19),$P$20))-SUM($P245:AG245)</f>
        <v>#VALUE!</v>
      </c>
      <c r="AI245" s="446" t="e">
        <f>IF(OR($B245="",MIN(AI$38,$D$19)&lt;MAX($P$34*($B245+IF($R$17="Distrato",$I$38-1,0)),IF(AND($L$37=0,$P$34=0),"",$L$37-1),IF($R$17="Distrato",$E245,0))),0,YEARFRAC(MAX($P$34*($B245+IF($R$17="Distrato",$I$38-1,0)),IF(AND($L$37=0,$P$34=0),"",$L$37-1),IF($R$17="Distrato",$E245,0)),MIN(AI$38,$D$19),$P$20))-SUM($P245:AH245)</f>
        <v>#VALUE!</v>
      </c>
      <c r="AJ245" s="446" t="e">
        <f>IF(OR($B245="",MIN(AJ$38,$D$19)&lt;MAX($P$34*($B245+IF($R$17="Distrato",$I$38-1,0)),IF(AND($L$37=0,$P$34=0),"",$L$37-1),IF($R$17="Distrato",$E245,0))),0,YEARFRAC(MAX($P$34*($B245+IF($R$17="Distrato",$I$38-1,0)),IF(AND($L$37=0,$P$34=0),"",$L$37-1),IF($R$17="Distrato",$E245,0)),MIN(AJ$38,$D$19),$P$20))-SUM($P245:AI245)</f>
        <v>#VALUE!</v>
      </c>
      <c r="AK245" s="446" t="e">
        <f>IF(OR($B245="",MIN(AK$38,$D$19)&lt;MAX($P$34*($B245+IF($R$17="Distrato",$I$38-1,0)),IF(AND($L$37=0,$P$34=0),"",$L$37-1),IF($R$17="Distrato",$E245,0))),0,YEARFRAC(MAX($P$34*($B245+IF($R$17="Distrato",$I$38-1,0)),IF(AND($L$37=0,$P$34=0),"",$L$37-1),IF($R$17="Distrato",$E245,0)),MIN(AK$38,$D$19),$P$20))-SUM($P245:AJ245)</f>
        <v>#VALUE!</v>
      </c>
      <c r="AL245" s="446" t="e">
        <f>IF(OR($B245="",MIN(AL$38,$D$19)&lt;MAX($P$34*($B245+IF($R$17="Distrato",$I$38-1,0)),IF(AND($L$37=0,$P$34=0),"",$L$37-1),IF($R$17="Distrato",$E245,0))),0,YEARFRAC(MAX($P$34*($B245+IF($R$17="Distrato",$I$38-1,0)),IF(AND($L$37=0,$P$34=0),"",$L$37-1),IF($R$17="Distrato",$E245,0)),MIN(AL$38,$D$19),$P$20))-SUM($P245:AK245)</f>
        <v>#VALUE!</v>
      </c>
      <c r="AM245" s="446" t="e">
        <f>IF(OR($B245="",MIN(AM$38,$D$19)&lt;MAX($P$34*($B245+IF($R$17="Distrato",$I$38-1,0)),IF(AND($L$37=0,$P$34=0),"",$L$37-1),IF($R$17="Distrato",$E245,0))),0,YEARFRAC(MAX($P$34*($B245+IF($R$17="Distrato",$I$38-1,0)),IF(AND($L$37=0,$P$34=0),"",$L$37-1),IF($R$17="Distrato",$E245,0)),MIN(AM$38,$D$19),$P$20))-SUM($P245:AL245)</f>
        <v>#VALUE!</v>
      </c>
      <c r="AN245" s="446" t="e">
        <f>IF(OR($B245="",MIN(AN$38,$D$19)&lt;MAX($P$34*($B245+IF($R$17="Distrato",$I$38-1,0)),IF(AND($L$37=0,$P$34=0),"",$L$37-1),IF($R$17="Distrato",$E245,0))),0,YEARFRAC(MAX($P$34*($B245+IF($R$17="Distrato",$I$38-1,0)),IF(AND($L$37=0,$P$34=0),"",$L$37-1),IF($R$17="Distrato",$E245,0)),MIN(AN$38,$D$19),$P$20))-SUM($P245:AM245)</f>
        <v>#VALUE!</v>
      </c>
      <c r="AO245" s="446" t="e">
        <f>IF(OR($B245="",MIN(AO$38,$D$19)&lt;MAX($P$34*($B245+IF($R$17="Distrato",$I$38-1,0)),IF(AND($L$37=0,$P$34=0),"",$L$37-1),IF($R$17="Distrato",$E245,0))),0,YEARFRAC(MAX($P$34*($B245+IF($R$17="Distrato",$I$38-1,0)),IF(AND($L$37=0,$P$34=0),"",$L$37-1),IF($R$17="Distrato",$E245,0)),MIN(AO$38,$D$19),$P$20))-SUM($P245:AN245)</f>
        <v>#VALUE!</v>
      </c>
      <c r="AP245" s="446" t="e">
        <f>IF(OR($B245="",MIN(AP$38,$D$19)&lt;MAX($P$34*($B245+IF($R$17="Distrato",$I$38-1,0)),IF(AND($L$37=0,$P$34=0),"",$L$37-1),IF($R$17="Distrato",$E245,0))),0,YEARFRAC(MAX($P$34*($B245+IF($R$17="Distrato",$I$38-1,0)),IF(AND($L$37=0,$P$34=0),"",$L$37-1),IF($R$17="Distrato",$E245,0)),MIN(AP$38,$D$19),$P$20))-SUM($P245:AO245)</f>
        <v>#VALUE!</v>
      </c>
      <c r="AQ245" s="446" t="e">
        <f>IF(OR($B245="",MIN(AQ$38,$D$19)&lt;MAX($P$34*($B245+IF($R$17="Distrato",$I$38-1,0)),IF(AND($L$37=0,$P$34=0),"",$L$37-1),IF($R$17="Distrato",$E245,0))),0,YEARFRAC(MAX($P$34*($B245+IF($R$17="Distrato",$I$38-1,0)),IF(AND($L$37=0,$P$34=0),"",$L$37-1),IF($R$17="Distrato",$E245,0)),MIN(AQ$38,$D$19),$P$20))-SUM($P245:AP245)</f>
        <v>#VALUE!</v>
      </c>
      <c r="AR245" s="446" t="e">
        <f>IF(OR($B245="",MIN(AR$38,$D$19)&lt;MAX($P$34*($B245+IF($R$17="Distrato",$I$38-1,0)),IF(AND($L$37=0,$P$34=0),"",$L$37-1),IF($R$17="Distrato",$E245,0))),0,YEARFRAC(MAX($P$34*($B245+IF($R$17="Distrato",$I$38-1,0)),IF(AND($L$37=0,$P$34=0),"",$L$37-1),IF($R$17="Distrato",$E245,0)),MIN(AR$38,$D$19),$P$20))-SUM($P245:AQ245)</f>
        <v>#VALUE!</v>
      </c>
      <c r="AS245" s="446" t="e">
        <f>IF(OR($B245="",MIN(AS$38,$D$19)&lt;MAX($P$34*($B245+IF($R$17="Distrato",$I$38-1,0)),IF(AND($L$37=0,$P$34=0),"",$L$37-1),IF($R$17="Distrato",$E245,0))),0,YEARFRAC(MAX($P$34*($B245+IF($R$17="Distrato",$I$38-1,0)),IF(AND($L$37=0,$P$34=0),"",$L$37-1),IF($R$17="Distrato",$E245,0)),MIN(AS$38,$D$19),$P$20))-SUM($P245:AR245)</f>
        <v>#VALUE!</v>
      </c>
      <c r="AT245" s="446" t="e">
        <f>IF(OR($B245="",MIN(AT$38,$D$19)&lt;MAX($P$34*($B245+IF($R$17="Distrato",$I$38-1,0)),IF(AND($L$37=0,$P$34=0),"",$L$37-1),IF($R$17="Distrato",$E245,0))),0,YEARFRAC(MAX($P$34*($B245+IF($R$17="Distrato",$I$38-1,0)),IF(AND($L$37=0,$P$34=0),"",$L$37-1),IF($R$17="Distrato",$E245,0)),MIN(AT$38,$D$19),$P$20))-SUM($P245:AS245)</f>
        <v>#VALUE!</v>
      </c>
      <c r="AU245" s="446" t="e">
        <f>IF(OR($B245="",MIN(AU$38,$D$19)&lt;MAX($P$34*($B245+IF($R$17="Distrato",$I$38-1,0)),IF(AND($L$37=0,$P$34=0),"",$L$37-1),IF($R$17="Distrato",$E245,0))),0,YEARFRAC(MAX($P$34*($B245+IF($R$17="Distrato",$I$38-1,0)),IF(AND($L$37=0,$P$34=0),"",$L$37-1),IF($R$17="Distrato",$E245,0)),MIN(AU$38,$D$19),$P$20))-SUM($P245:AT245)</f>
        <v>#VALUE!</v>
      </c>
      <c r="AV245" s="446" t="e">
        <f>IF(OR($B245="",MIN(AV$38,$D$19)&lt;MAX($P$34*($B245+IF($R$17="Distrato",$I$38-1,0)),IF(AND($L$37=0,$P$34=0),"",$L$37-1),IF($R$17="Distrato",$E245,0))),0,YEARFRAC(MAX($P$34*($B245+IF($R$17="Distrato",$I$38-1,0)),IF(AND($L$37=0,$P$34=0),"",$L$37-1),IF($R$17="Distrato",$E245,0)),MIN(AV$38,$D$19),$P$20))-SUM($P245:AU245)</f>
        <v>#VALUE!</v>
      </c>
      <c r="AW245" s="446" t="e">
        <f>IF(OR($B245="",MIN(AW$38,$D$19)&lt;MAX($P$34*($B245+IF($R$17="Distrato",$I$38-1,0)),IF(AND($L$37=0,$P$34=0),"",$L$37-1),IF($R$17="Distrato",$E245,0))),0,YEARFRAC(MAX($P$34*($B245+IF($R$17="Distrato",$I$38-1,0)),IF(AND($L$37=0,$P$34=0),"",$L$37-1),IF($R$17="Distrato",$E245,0)),MIN(AW$38,$D$19),$P$20))-SUM($P245:AV245)</f>
        <v>#VALUE!</v>
      </c>
      <c r="AX245" s="446" t="e">
        <f>IF(OR($B245="",MIN(AX$38,$D$19)&lt;MAX($P$34*($B245+IF($R$17="Distrato",$I$38-1,0)),IF(AND($L$37=0,$P$34=0),"",$L$37-1),IF($R$17="Distrato",$E245,0))),0,YEARFRAC(MAX($P$34*($B245+IF($R$17="Distrato",$I$38-1,0)),IF(AND($L$37=0,$P$34=0),"",$L$37-1),IF($R$17="Distrato",$E245,0)),MIN(AX$38,$D$19),$P$20))-SUM($P245:AW245)</f>
        <v>#VALUE!</v>
      </c>
      <c r="AY245" s="446" t="e">
        <f>IF(OR($B245="",MIN(AY$38,$D$19)&lt;MAX($P$34*($B245+IF($R$17="Distrato",$I$38-1,0)),IF(AND($L$37=0,$P$34=0),"",$L$37-1),IF($R$17="Distrato",$E245,0))),0,YEARFRAC(MAX($P$34*($B245+IF($R$17="Distrato",$I$38-1,0)),IF(AND($L$37=0,$P$34=0),"",$L$37-1),IF($R$17="Distrato",$E245,0)),MIN(AY$38,$D$19),$P$20))-SUM($P245:AX245)</f>
        <v>#VALUE!</v>
      </c>
      <c r="AZ245" s="446" t="e">
        <f>IF(OR($B245="",MIN(AZ$38,$D$19)&lt;MAX($P$34*($B245+IF($R$17="Distrato",$I$38-1,0)),IF(AND($L$37=0,$P$34=0),"",$L$37-1),IF($R$17="Distrato",$E245,0))),0,YEARFRAC(MAX($P$34*($B245+IF($R$17="Distrato",$I$38-1,0)),IF(AND($L$37=0,$P$34=0),"",$L$37-1),IF($R$17="Distrato",$E245,0)),MIN(AZ$38,$D$19),$P$20))-SUM($P245:AY245)</f>
        <v>#VALUE!</v>
      </c>
      <c r="BA245" s="446" t="e">
        <f>IF(OR($B245="",MIN(BA$38,$D$19)&lt;MAX($P$34*($B245+IF($R$17="Distrato",$I$38-1,0)),IF(AND($L$37=0,$P$34=0),"",$L$37-1),IF($R$17="Distrato",$E245,0))),0,YEARFRAC(MAX($P$34*($B245+IF($R$17="Distrato",$I$38-1,0)),IF(AND($L$37=0,$P$34=0),"",$L$37-1),IF($R$17="Distrato",$E245,0)),MIN(BA$38,$D$19),$P$20))-SUM($P245:AZ245)</f>
        <v>#VALUE!</v>
      </c>
      <c r="BB245" s="447"/>
      <c r="BF245" s="446">
        <f t="shared" si="43"/>
        <v>0</v>
      </c>
      <c r="BG245" s="446">
        <f>IF($E245=0,0,IF(MIN(BG$38,$E245)&lt;MAX($P$34*($B245+$I$38-1),IF(AND($L$37=0,$P$34=0),"",$L$37-1)),0,YEARFRAC(MAX($P$34*($B245+$I$38-1),IF(AND($L$37=0,$P$34=0),"",$L$37-1)),MIN(BG$38,$E245),$P$20))-SUM($BF245:BF245))</f>
        <v>0</v>
      </c>
      <c r="BH245" s="446">
        <f>IF($E245=0,0,IF(MIN(BH$38,$E245)&lt;MAX($P$34*($B245+$I$38-1),IF(AND($L$37=0,$P$34=0),"",$L$37-1)),0,YEARFRAC(MAX($P$34*($B245+$I$38-1),IF(AND($L$37=0,$P$34=0),"",$L$37-1)),MIN(BH$38,$E245),$P$20))-SUM($BF245:BG245))</f>
        <v>0</v>
      </c>
      <c r="BI245" s="446">
        <f>IF($E245=0,0,IF(MIN(BI$38,$E245)&lt;MAX($P$34*($B245+$I$38-1),IF(AND($L$37=0,$P$34=0),"",$L$37-1)),0,YEARFRAC(MAX($P$34*($B245+$I$38-1),IF(AND($L$37=0,$P$34=0),"",$L$37-1)),MIN(BI$38,$E245),$P$20))-SUM($BF245:BH245))</f>
        <v>0</v>
      </c>
      <c r="BJ245" s="446">
        <f>IF($E245=0,0,IF(MIN(BJ$38,$E245)&lt;MAX($P$34*($B245+$I$38-1),IF(AND($L$37=0,$P$34=0),"",$L$37-1)),0,YEARFRAC(MAX($P$34*($B245+$I$38-1),IF(AND($L$37=0,$P$34=0),"",$L$37-1)),MIN(BJ$38,$E245),$P$20))-SUM($BF245:BI245))</f>
        <v>0</v>
      </c>
      <c r="BK245" s="446">
        <f>IF($E245=0,0,IF(MIN(BK$38,$E245)&lt;MAX($P$34*($B245+$I$38-1),IF(AND($L$37=0,$P$34=0),"",$L$37-1)),0,YEARFRAC(MAX($P$34*($B245+$I$38-1),IF(AND($L$37=0,$P$34=0),"",$L$37-1)),MIN(BK$38,$E245),$P$20))-SUM($BF245:BJ245))</f>
        <v>0</v>
      </c>
      <c r="BL245" s="446">
        <f>IF($E245=0,0,IF(MIN(BL$38,$E245)&lt;MAX($P$34*($B245+$I$38-1),IF(AND($L$37=0,$P$34=0),"",$L$37-1)),0,YEARFRAC(MAX($P$34*($B245+$I$38-1),IF(AND($L$37=0,$P$34=0),"",$L$37-1)),MIN(BL$38,$E245),$P$20))-SUM($BF245:BK245))</f>
        <v>0</v>
      </c>
      <c r="BM245" s="446">
        <f>IF($E245=0,0,IF(MIN(BM$38,$E245)&lt;MAX($P$34*($B245+$I$38-1),IF(AND($L$37=0,$P$34=0),"",$L$37-1)),0,YEARFRAC(MAX($P$34*($B245+$I$38-1),IF(AND($L$37=0,$P$34=0),"",$L$37-1)),MIN(BM$38,$E245),$P$20))-SUM($BF245:BL245))</f>
        <v>0</v>
      </c>
      <c r="BN245" s="446">
        <f>IF($E245=0,0,IF(MIN(BN$38,$E245)&lt;MAX($P$34*($B245+$I$38-1),IF(AND($L$37=0,$P$34=0),"",$L$37-1)),0,YEARFRAC(MAX($P$34*($B245+$I$38-1),IF(AND($L$37=0,$P$34=0),"",$L$37-1)),MIN(BN$38,$E245),$P$20))-SUM($BF245:BM245))</f>
        <v>0</v>
      </c>
      <c r="BO245" s="446">
        <f>IF($E245=0,0,IF(MIN(BO$38,$E245)&lt;MAX($P$34*($B245+$I$38-1),IF(AND($L$37=0,$P$34=0),"",$L$37-1)),0,YEARFRAC(MAX($P$34*($B245+$I$38-1),IF(AND($L$37=0,$P$34=0),"",$L$37-1)),MIN(BO$38,$E245),$P$20))-SUM($BF245:BN245))</f>
        <v>0</v>
      </c>
      <c r="BP245" s="446">
        <f>IF($E245=0,0,IF(MIN(BP$38,$E245)&lt;MAX($P$34*($B245+$I$38-1),IF(AND($L$37=0,$P$34=0),"",$L$37-1)),0,YEARFRAC(MAX($P$34*($B245+$I$38-1),IF(AND($L$37=0,$P$34=0),"",$L$37-1)),MIN(BP$38,$E245),$P$20))-SUM($BF245:BO245))</f>
        <v>0</v>
      </c>
      <c r="BQ245" s="446">
        <f>IF($E245=0,0,IF(MIN(BQ$38,$E245)&lt;MAX($P$34*($B245+$I$38-1),IF(AND($L$37=0,$P$34=0),"",$L$37-1)),0,YEARFRAC(MAX($P$34*($B245+$I$38-1),IF(AND($L$37=0,$P$34=0),"",$L$37-1)),MIN(BQ$38,$E245),$P$20))-SUM($BF245:BP245))</f>
        <v>0</v>
      </c>
      <c r="BR245" s="446">
        <f>IF($E245=0,0,IF(MIN(BR$38,$E245)&lt;MAX($P$34*($B245+$I$38-1),IF(AND($L$37=0,$P$34=0),"",$L$37-1)),0,YEARFRAC(MAX($P$34*($B245+$I$38-1),IF(AND($L$37=0,$P$34=0),"",$L$37-1)),MIN(BR$38,$E245),$P$20))-SUM($BF245:BQ245))</f>
        <v>0</v>
      </c>
      <c r="BS245" s="446">
        <f>IF($E245=0,0,IF(MIN(BS$38,$E245)&lt;MAX($P$34*($B245+$I$38-1),IF(AND($L$37=0,$P$34=0),"",$L$37-1)),0,YEARFRAC(MAX($P$34*($B245+$I$38-1),IF(AND($L$37=0,$P$34=0),"",$L$37-1)),MIN(BS$38,$E245),$P$20))-SUM($BF245:BR245))</f>
        <v>0</v>
      </c>
      <c r="BT245" s="446">
        <f>IF($E245=0,0,IF(MIN(BT$38,$E245)&lt;MAX($P$34*($B245+$I$38-1),IF(AND($L$37=0,$P$34=0),"",$L$37-1)),0,YEARFRAC(MAX($P$34*($B245+$I$38-1),IF(AND($L$37=0,$P$34=0),"",$L$37-1)),MIN(BT$38,$E245),$P$20))-SUM($BF245:BS245))</f>
        <v>0</v>
      </c>
      <c r="BU245" s="446">
        <f>IF($E245=0,0,IF(MIN(BU$38,$E245)&lt;MAX($P$34*($B245+$I$38-1),IF(AND($L$37=0,$P$34=0),"",$L$37-1)),0,YEARFRAC(MAX($P$34*($B245+$I$38-1),IF(AND($L$37=0,$P$34=0),"",$L$37-1)),MIN(BU$38,$E245),$P$20))-SUM($BF245:BT245))</f>
        <v>0</v>
      </c>
      <c r="BV245" s="446">
        <f>IF($E245=0,0,IF(MIN(BV$38,$E245)&lt;MAX($P$34*($B245+$I$38-1),IF(AND($L$37=0,$P$34=0),"",$L$37-1)),0,YEARFRAC(MAX($P$34*($B245+$I$38-1),IF(AND($L$37=0,$P$34=0),"",$L$37-1)),MIN(BV$38,$E245),$P$20))-SUM($BF245:BU245))</f>
        <v>0</v>
      </c>
      <c r="BW245" s="446">
        <f>IF($E245=0,0,IF(MIN(BW$38,$E245)&lt;MAX($P$34*($B245+$I$38-1),IF(AND($L$37=0,$P$34=0),"",$L$37-1)),0,YEARFRAC(MAX($P$34*($B245+$I$38-1),IF(AND($L$37=0,$P$34=0),"",$L$37-1)),MIN(BW$38,$E245),$P$20))-SUM($BF245:BV245))</f>
        <v>0</v>
      </c>
      <c r="BX245" s="446">
        <f>IF($E245=0,0,IF(MIN(BX$38,$E245)&lt;MAX($P$34*($B245+$I$38-1),IF(AND($L$37=0,$P$34=0),"",$L$37-1)),0,YEARFRAC(MAX($P$34*($B245+$I$38-1),IF(AND($L$37=0,$P$34=0),"",$L$37-1)),MIN(BX$38,$E245),$P$20))-SUM($BF245:BW245))</f>
        <v>0</v>
      </c>
      <c r="BY245" s="446">
        <f>IF($E245=0,0,IF(MIN(BY$38,$E245)&lt;MAX($P$34*($B245+$I$38-1),IF(AND($L$37=0,$P$34=0),"",$L$37-1)),0,YEARFRAC(MAX($P$34*($B245+$I$38-1),IF(AND($L$37=0,$P$34=0),"",$L$37-1)),MIN(BY$38,$E245),$P$20))-SUM($BF245:BX245))</f>
        <v>0</v>
      </c>
      <c r="BZ245" s="446">
        <f>IF($E245=0,0,IF(MIN(BZ$38,$E245)&lt;MAX($P$34*($B245+$I$38-1),IF(AND($L$37=0,$P$34=0),"",$L$37-1)),0,YEARFRAC(MAX($P$34*($B245+$I$38-1),IF(AND($L$37=0,$P$34=0),"",$L$37-1)),MIN(BZ$38,$E245),$P$20))-SUM($BF245:BY245))</f>
        <v>0</v>
      </c>
      <c r="CA245" s="446">
        <f>IF($E245=0,0,IF(MIN(CA$38,$E245)&lt;MAX($P$34*($B245+$I$38-1),IF(AND($L$37=0,$P$34=0),"",$L$37-1)),0,YEARFRAC(MAX($P$34*($B245+$I$38-1),IF(AND($L$37=0,$P$34=0),"",$L$37-1)),MIN(CA$38,$E245),$P$20))-SUM($BF245:BZ245))</f>
        <v>0</v>
      </c>
      <c r="CB245" s="446">
        <f>IF($E245=0,0,IF(MIN(CB$38,$E245)&lt;MAX($P$34*($B245+$I$38-1),IF(AND($L$37=0,$P$34=0),"",$L$37-1)),0,YEARFRAC(MAX($P$34*($B245+$I$38-1),IF(AND($L$37=0,$P$34=0),"",$L$37-1)),MIN(CB$38,$E245),$P$20))-SUM($BF245:CA245))</f>
        <v>0</v>
      </c>
      <c r="CC245" s="446">
        <f>IF($E245=0,0,IF(MIN(CC$38,$E245)&lt;MAX($P$34*($B245+$I$38-1),IF(AND($L$37=0,$P$34=0),"",$L$37-1)),0,YEARFRAC(MAX($P$34*($B245+$I$38-1),IF(AND($L$37=0,$P$34=0),"",$L$37-1)),MIN(CC$38,$E245),$P$20))-SUM($BF245:CB245))</f>
        <v>0</v>
      </c>
      <c r="CD245" s="446">
        <f>IF($E245=0,0,IF(MIN(CD$38,$E245)&lt;MAX($P$34*($B245+$I$38-1),IF(AND($L$37=0,$P$34=0),"",$L$37-1)),0,YEARFRAC(MAX($P$34*($B245+$I$38-1),IF(AND($L$37=0,$P$34=0),"",$L$37-1)),MIN(CD$38,$E245),$P$20))-SUM($BF245:CC245))</f>
        <v>0</v>
      </c>
      <c r="CE245" s="446">
        <f>IF($E245=0,0,IF(MIN(CE$38,$E245)&lt;MAX($P$34*($B245+$I$38-1),IF(AND($L$37=0,$P$34=0),"",$L$37-1)),0,YEARFRAC(MAX($P$34*($B245+$I$38-1),IF(AND($L$37=0,$P$34=0),"",$L$37-1)),MIN(CE$38,$E245),$P$20))-SUM($BF245:CD245))</f>
        <v>0</v>
      </c>
      <c r="CF245" s="446">
        <f>IF($E245=0,0,IF(MIN(CF$38,$E245)&lt;MAX($P$34*($B245+$I$38-1),IF(AND($L$37=0,$P$34=0),"",$L$37-1)),0,YEARFRAC(MAX($P$34*($B245+$I$38-1),IF(AND($L$37=0,$P$34=0),"",$L$37-1)),MIN(CF$38,$E245),$P$20))-SUM($BF245:CE245))</f>
        <v>0</v>
      </c>
      <c r="CG245" s="446">
        <f>IF($E245=0,0,IF(MIN(CG$38,$E245)&lt;MAX($P$34*($B245+$I$38-1),IF(AND($L$37=0,$P$34=0),"",$L$37-1)),0,YEARFRAC(MAX($P$34*($B245+$I$38-1),IF(AND($L$37=0,$P$34=0),"",$L$37-1)),MIN(CG$38,$E245),$P$20))-SUM($BF245:CF245))</f>
        <v>0</v>
      </c>
      <c r="CH245" s="446">
        <f>IF($E245=0,0,IF(MIN(CH$38,$E245)&lt;MAX($P$34*($B245+$I$38-1),IF(AND($L$37=0,$P$34=0),"",$L$37-1)),0,YEARFRAC(MAX($P$34*($B245+$I$38-1),IF(AND($L$37=0,$P$34=0),"",$L$37-1)),MIN(CH$38,$E245),$P$20))-SUM($BF245:CG245))</f>
        <v>0</v>
      </c>
      <c r="CI245" s="446">
        <f>IF($E245=0,0,IF(MIN(CI$38,$E245)&lt;MAX($P$34*($B245+$I$38-1),IF(AND($L$37=0,$P$34=0),"",$L$37-1)),0,YEARFRAC(MAX($P$34*($B245+$I$38-1),IF(AND($L$37=0,$P$34=0),"",$L$37-1)),MIN(CI$38,$E245),$P$20))-SUM($BF245:CH245))</f>
        <v>0</v>
      </c>
      <c r="CJ245" s="446">
        <f>IF($E245=0,0,IF(MIN(CJ$38,$E245)&lt;MAX($P$34*($B245+$I$38-1),IF(AND($L$37=0,$P$34=0),"",$L$37-1)),0,YEARFRAC(MAX($P$34*($B245+$I$38-1),IF(AND($L$37=0,$P$34=0),"",$L$37-1)),MIN(CJ$38,$E245),$P$20))-SUM($BF245:CI245))</f>
        <v>0</v>
      </c>
      <c r="CK245" s="446">
        <f>IF($E245=0,0,IF(MIN(CK$38,$E245)&lt;MAX($P$34*($B245+$I$38-1),IF(AND($L$37=0,$P$34=0),"",$L$37-1)),0,YEARFRAC(MAX($P$34*($B245+$I$38-1),IF(AND($L$37=0,$P$34=0),"",$L$37-1)),MIN(CK$38,$E245),$P$20))-SUM($BF245:CJ245))</f>
        <v>0</v>
      </c>
      <c r="CL245" s="446">
        <f>IF($E245=0,0,IF(MIN(CL$38,$E245)&lt;MAX($P$34*($B245+$I$38-1),IF(AND($L$37=0,$P$34=0),"",$L$37-1)),0,YEARFRAC(MAX($P$34*($B245+$I$38-1),IF(AND($L$37=0,$P$34=0),"",$L$37-1)),MIN(CL$38,$E245),$P$20))-SUM($BF245:CK245))</f>
        <v>0</v>
      </c>
      <c r="CM245" s="446">
        <f>IF($E245=0,0,IF(MIN(CM$38,$E245)&lt;MAX($P$34*($B245+$I$38-1),IF(AND($L$37=0,$P$34=0),"",$L$37-1)),0,YEARFRAC(MAX($P$34*($B245+$I$38-1),IF(AND($L$37=0,$P$34=0),"",$L$37-1)),MIN(CM$38,$E245),$P$20))-SUM($BF245:CL245))</f>
        <v>0</v>
      </c>
      <c r="CN245" s="446">
        <f>IF($E245=0,0,IF(MIN(CN$38,$E245)&lt;MAX($P$34*($B245+$I$38-1),IF(AND($L$37=0,$P$34=0),"",$L$37-1)),0,YEARFRAC(MAX($P$34*($B245+$I$38-1),IF(AND($L$37=0,$P$34=0),"",$L$37-1)),MIN(CN$38,$E245),$P$20))-SUM($BF245:CM245))</f>
        <v>0</v>
      </c>
      <c r="CO245" s="446">
        <f>IF($E245=0,0,IF(MIN(CO$38,$E245)&lt;MAX($P$34*($B245+$I$38-1),IF(AND($L$37=0,$P$34=0),"",$L$37-1)),0,YEARFRAC(MAX($P$34*($B245+$I$38-1),IF(AND($L$37=0,$P$34=0),"",$L$37-1)),MIN(CO$38,$E245),$P$20))-SUM($BF245:CN245))</f>
        <v>0</v>
      </c>
      <c r="CP245" s="446">
        <f>IF($E245=0,0,IF(MIN(CP$38,$E245)&lt;MAX($P$34*($B245+$I$38-1),IF(AND($L$37=0,$P$34=0),"",$L$37-1)),0,YEARFRAC(MAX($P$34*($B245+$I$38-1),IF(AND($L$37=0,$P$34=0),"",$L$37-1)),MIN(CP$38,$E245),$P$20))-SUM($BF245:CO245))</f>
        <v>0</v>
      </c>
      <c r="CQ245" s="446">
        <f>IF($E245=0,0,IF(MIN(CQ$38,$E245)&lt;MAX($P$34*($B245+$I$38-1),IF(AND($L$37=0,$P$34=0),"",$L$37-1)),0,YEARFRAC(MAX($P$34*($B245+$I$38-1),IF(AND($L$37=0,$P$34=0),"",$L$37-1)),MIN(CQ$38,$E245),$P$20))-SUM($BF245:CP245))</f>
        <v>0</v>
      </c>
    </row>
    <row r="246" spans="1:95" s="446" customFormat="1" ht="11.25" hidden="1" customHeight="1" x14ac:dyDescent="0.2">
      <c r="A246" s="152"/>
      <c r="B246" s="153" t="str">
        <f t="shared" si="48"/>
        <v/>
      </c>
      <c r="C246" s="29" t="str">
        <f>IF(B246="","",IF($L$35="SELIC - TRIBUTOS",VLOOKUP(DATE(YEAR($D$19),MONTH($D$19)-1,1),ÍNDICES!$A:$DE,HLOOKUP($BL$25,ÍNDICES!$B$3:$T$4,2)+11)-VLOOKUP(B246,ÍNDICES!$A:$DE,HLOOKUP($BL$25,ÍNDICES!$B$3:$T$4,2)+11)+1%,IF(C$38=$W$26,$J$35,IF(ISERROR(IF(B246&gt;$D$19,1,VLOOKUP(DATE(YEAR(B246),MONTH(B246)+IF($C$35=$S$23,1,0),1),ÍNDICES!$A:$DE,$Z$35+1))),"",IF(B246&gt;$D$19,1,VLOOKUP(DATE(YEAR(B246),MONTH(B246)+IF($C$35=$S$23,1,0),1),ÍNDICES!$A:$DE,$Z$35+1))))))</f>
        <v/>
      </c>
      <c r="D246" s="154" t="str">
        <f>IF(ISERROR(IF(OR($D$38=$Y$27,$B246=""),"",VLOOKUP(B246,ÍNDICES!A:DE,AF$35+1))),"",IF(OR($D$38=$Y$27,$B246=""),"",VLOOKUP(B246,ÍNDICES!A:DE,AF$35+1)))</f>
        <v/>
      </c>
      <c r="E246" s="153"/>
      <c r="F246" s="29" t="str">
        <f>IF(E246="","",IF($L$35="SELIC - TRIBUTOS",VLOOKUP(DATE(YEAR($D$19),MONTH($D$19)-1,1),ÍNDICES!$A:$DE,HLOOKUP($BL$25,ÍNDICES!$B$3:$T$4,2)+11)-VLOOKUP(E246,ÍNDICES!$A:$DE,HLOOKUP($BL$25,ÍNDICES!$B$3:$T$4,2)+11)+1%,IF(F$38=$W$26,$J$35,IF(ISERROR(IF(E246&gt;$D$19,1,VLOOKUP(DATE(YEAR(E246),MONTH(E246)+IF($C$35=$S$23,1,0),1),ÍNDICES!$A:$DE,$Z$35+1))),"",IF(E246&gt;$D$19,1,VLOOKUP(DATE(YEAR(E246),MONTH(E246)+IF($C$35=$S$23,1,0),1),ÍNDICES!$A:$DE,$Z$35+1))))))</f>
        <v/>
      </c>
      <c r="G246" s="155"/>
      <c r="H246" s="156" t="str">
        <f t="shared" si="44"/>
        <v/>
      </c>
      <c r="I246" s="29" t="str">
        <f t="shared" si="38"/>
        <v/>
      </c>
      <c r="J246" s="5">
        <f t="shared" si="39"/>
        <v>0</v>
      </c>
      <c r="K246" s="20">
        <f t="shared" ca="1" si="40"/>
        <v>0</v>
      </c>
      <c r="L246" s="5">
        <f t="shared" ca="1" si="41"/>
        <v>0</v>
      </c>
      <c r="M246" s="64">
        <f t="shared" si="45"/>
        <v>0</v>
      </c>
      <c r="N246" s="61">
        <f t="shared" ca="1" si="46"/>
        <v>0</v>
      </c>
      <c r="O246" s="5">
        <f t="shared" ca="1" si="47"/>
        <v>0</v>
      </c>
      <c r="P246" s="446" t="e">
        <f t="shared" si="42"/>
        <v>#VALUE!</v>
      </c>
      <c r="Q246" s="446" t="e">
        <f>IF(OR($B246="",MIN(Q$38,$D$19)&lt;MAX($P$34*($B246+IF($R$17="Distrato",$I$38-1,0)),IF(AND($L$37=0,$P$34=0),"",$L$37-1),IF($R$17="Distrato",$E246,0))),0,YEARFRAC(MAX($P$34*($B246+IF($R$17="Distrato",$I$38-1,0)),IF(AND($L$37=0,$P$34=0),"",$L$37-1),IF($R$17="Distrato",$E246,0)),MIN(Q$38,$D$19),$P$20))-SUM($P246:P246)</f>
        <v>#VALUE!</v>
      </c>
      <c r="R246" s="446" t="e">
        <f>IF(OR($B246="",MIN(R$38,$D$19)&lt;MAX($P$34*($B246+IF($R$17="Distrato",$I$38-1,0)),IF(AND($L$37=0,$P$34=0),"",$L$37-1),IF($R$17="Distrato",$E246,0))),0,YEARFRAC(MAX($P$34*($B246+IF($R$17="Distrato",$I$38-1,0)),IF(AND($L$37=0,$P$34=0),"",$L$37-1),IF($R$17="Distrato",$E246,0)),MIN(R$38,$D$19),$P$20))-SUM($P246:Q246)</f>
        <v>#VALUE!</v>
      </c>
      <c r="S246" s="446" t="e">
        <f>IF(OR($B246="",MIN(S$38,$D$19)&lt;MAX($P$34*($B246+IF($R$17="Distrato",$I$38-1,0)),IF(AND($L$37=0,$P$34=0),"",$L$37-1),IF($R$17="Distrato",$E246,0))),0,YEARFRAC(MAX($P$34*($B246+IF($R$17="Distrato",$I$38-1,0)),IF(AND($L$37=0,$P$34=0),"",$L$37-1),IF($R$17="Distrato",$E246,0)),MIN(S$38,$D$19),$P$20))-SUM($P246:R246)</f>
        <v>#VALUE!</v>
      </c>
      <c r="T246" s="446" t="e">
        <f>IF(OR($B246="",MIN(T$38,$D$19)&lt;MAX($P$34*($B246+IF($R$17="Distrato",$I$38-1,0)),IF(AND($L$37=0,$P$34=0),"",$L$37-1),IF($R$17="Distrato",$E246,0))),0,YEARFRAC(MAX($P$34*($B246+IF($R$17="Distrato",$I$38-1,0)),IF(AND($L$37=0,$P$34=0),"",$L$37-1),IF($R$17="Distrato",$E246,0)),MIN(T$38,$D$19),$P$20))-SUM($P246:S246)</f>
        <v>#VALUE!</v>
      </c>
      <c r="U246" s="446" t="e">
        <f>IF(OR($B246="",MIN(U$38,$D$19)&lt;MAX($P$34*($B246+IF($R$17="Distrato",$I$38-1,0)),IF(AND($L$37=0,$P$34=0),"",$L$37-1),IF($R$17="Distrato",$E246,0))),0,YEARFRAC(MAX($P$34*($B246+IF($R$17="Distrato",$I$38-1,0)),IF(AND($L$37=0,$P$34=0),"",$L$37-1),IF($R$17="Distrato",$E246,0)),MIN(U$38,$D$19),$P$20))-SUM($P246:T246)</f>
        <v>#VALUE!</v>
      </c>
      <c r="V246" s="446" t="e">
        <f>IF(OR($B246="",MIN(V$38,$D$19)&lt;MAX($P$34*($B246+IF($R$17="Distrato",$I$38-1,0)),IF(AND($L$37=0,$P$34=0),"",$L$37-1),IF($R$17="Distrato",$E246,0))),0,YEARFRAC(MAX($P$34*($B246+IF($R$17="Distrato",$I$38-1,0)),IF(AND($L$37=0,$P$34=0),"",$L$37-1),IF($R$17="Distrato",$E246,0)),MIN(V$38,$D$19),$P$20))-SUM($P246:U246)</f>
        <v>#VALUE!</v>
      </c>
      <c r="W246" s="446" t="e">
        <f>IF(OR($B246="",MIN(W$38,$D$19)&lt;MAX($P$34*($B246+IF($R$17="Distrato",$I$38-1,0)),IF(AND($L$37=0,$P$34=0),"",$L$37-1),IF($R$17="Distrato",$E246,0))),0,YEARFRAC(MAX($P$34*($B246+IF($R$17="Distrato",$I$38-1,0)),IF(AND($L$37=0,$P$34=0),"",$L$37-1),IF($R$17="Distrato",$E246,0)),MIN(W$38,$D$19),$P$20))-SUM($P246:V246)</f>
        <v>#VALUE!</v>
      </c>
      <c r="X246" s="446" t="e">
        <f>IF(OR($B246="",MIN(X$38,$D$19)&lt;MAX($P$34*($B246+IF($R$17="Distrato",$I$38-1,0)),IF(AND($L$37=0,$P$34=0),"",$L$37-1),IF($R$17="Distrato",$E246,0))),0,YEARFRAC(MAX($P$34*($B246+IF($R$17="Distrato",$I$38-1,0)),IF(AND($L$37=0,$P$34=0),"",$L$37-1),IF($R$17="Distrato",$E246,0)),MIN(X$38,$D$19),$P$20))-SUM($P246:W246)</f>
        <v>#VALUE!</v>
      </c>
      <c r="Y246" s="446" t="e">
        <f>IF(OR($B246="",MIN(Y$38,$D$19)&lt;MAX($P$34*($B246+IF($R$17="Distrato",$I$38-1,0)),IF(AND($L$37=0,$P$34=0),"",$L$37-1),IF($R$17="Distrato",$E246,0))),0,YEARFRAC(MAX($P$34*($B246+IF($R$17="Distrato",$I$38-1,0)),IF(AND($L$37=0,$P$34=0),"",$L$37-1),IF($R$17="Distrato",$E246,0)),MIN(Y$38,$D$19),$P$20))-SUM($P246:X246)</f>
        <v>#VALUE!</v>
      </c>
      <c r="Z246" s="446" t="e">
        <f>IF(OR($B246="",MIN(Z$38,$D$19)&lt;MAX($P$34*($B246+IF($R$17="Distrato",$I$38-1,0)),IF(AND($L$37=0,$P$34=0),"",$L$37-1),IF($R$17="Distrato",$E246,0))),0,YEARFRAC(MAX($P$34*($B246+IF($R$17="Distrato",$I$38-1,0)),IF(AND($L$37=0,$P$34=0),"",$L$37-1),IF($R$17="Distrato",$E246,0)),MIN(Z$38,$D$19),$P$20))-SUM($P246:Y246)</f>
        <v>#VALUE!</v>
      </c>
      <c r="AA246" s="446" t="e">
        <f>IF(OR($B246="",MIN(AA$38,$D$19)&lt;MAX($P$34*($B246+IF($R$17="Distrato",$I$38-1,0)),IF(AND($L$37=0,$P$34=0),"",$L$37-1),IF($R$17="Distrato",$E246,0))),0,YEARFRAC(MAX($P$34*($B246+IF($R$17="Distrato",$I$38-1,0)),IF(AND($L$37=0,$P$34=0),"",$L$37-1),IF($R$17="Distrato",$E246,0)),MIN(AA$38,$D$19),$P$20))-SUM($P246:Z246)</f>
        <v>#VALUE!</v>
      </c>
      <c r="AB246" s="446" t="e">
        <f>IF(OR($B246="",MIN(AB$38,$D$19)&lt;MAX($P$34*($B246+IF($R$17="Distrato",$I$38-1,0)),IF(AND($L$37=0,$P$34=0),"",$L$37-1),IF($R$17="Distrato",$E246,0))),0,YEARFRAC(MAX($P$34*($B246+IF($R$17="Distrato",$I$38-1,0)),IF(AND($L$37=0,$P$34=0),"",$L$37-1),IF($R$17="Distrato",$E246,0)),MIN(AB$38,$D$19),$P$20))-SUM($P246:AA246)</f>
        <v>#VALUE!</v>
      </c>
      <c r="AC246" s="446" t="e">
        <f>IF(OR($B246="",MIN(AC$38,$D$19)&lt;MAX($P$34*($B246+IF($R$17="Distrato",$I$38-1,0)),IF(AND($L$37=0,$P$34=0),"",$L$37-1),IF($R$17="Distrato",$E246,0))),0,YEARFRAC(MAX($P$34*($B246+IF($R$17="Distrato",$I$38-1,0)),IF(AND($L$37=0,$P$34=0),"",$L$37-1),IF($R$17="Distrato",$E246,0)),MIN(AC$38,$D$19),$P$20))-SUM($P246:AB246)</f>
        <v>#VALUE!</v>
      </c>
      <c r="AD246" s="446" t="e">
        <f>IF(OR($B246="",MIN(AD$38,$D$19)&lt;MAX($P$34*($B246+IF($R$17="Distrato",$I$38-1,0)),IF(AND($L$37=0,$P$34=0),"",$L$37-1),IF($R$17="Distrato",$E246,0))),0,YEARFRAC(MAX($P$34*($B246+IF($R$17="Distrato",$I$38-1,0)),IF(AND($L$37=0,$P$34=0),"",$L$37-1),IF($R$17="Distrato",$E246,0)),MIN(AD$38,$D$19),$P$20))-SUM($P246:AC246)</f>
        <v>#VALUE!</v>
      </c>
      <c r="AE246" s="446" t="e">
        <f>IF(OR($B246="",MIN(AE$38,$D$19)&lt;MAX($P$34*($B246+IF($R$17="Distrato",$I$38-1,0)),IF(AND($L$37=0,$P$34=0),"",$L$37-1),IF($R$17="Distrato",$E246,0))),0,YEARFRAC(MAX($P$34*($B246+IF($R$17="Distrato",$I$38-1,0)),IF(AND($L$37=0,$P$34=0),"",$L$37-1),IF($R$17="Distrato",$E246,0)),MIN(AE$38,$D$19),$P$20))-SUM($P246:AD246)</f>
        <v>#VALUE!</v>
      </c>
      <c r="AF246" s="446" t="e">
        <f>IF(OR($B246="",MIN(AF$38,$D$19)&lt;MAX($P$34*($B246+IF($R$17="Distrato",$I$38-1,0)),IF(AND($L$37=0,$P$34=0),"",$L$37-1),IF($R$17="Distrato",$E246,0))),0,YEARFRAC(MAX($P$34*($B246+IF($R$17="Distrato",$I$38-1,0)),IF(AND($L$37=0,$P$34=0),"",$L$37-1),IF($R$17="Distrato",$E246,0)),MIN(AF$38,$D$19),$P$20))-SUM($P246:AE246)</f>
        <v>#VALUE!</v>
      </c>
      <c r="AG246" s="446" t="e">
        <f>IF(OR($B246="",MIN(AG$38,$D$19)&lt;MAX($P$34*($B246+IF($R$17="Distrato",$I$38-1,0)),IF(AND($L$37=0,$P$34=0),"",$L$37-1),IF($R$17="Distrato",$E246,0))),0,YEARFRAC(MAX($P$34*($B246+IF($R$17="Distrato",$I$38-1,0)),IF(AND($L$37=0,$P$34=0),"",$L$37-1),IF($R$17="Distrato",$E246,0)),MIN(AG$38,$D$19),$P$20))-SUM($P246:AF246)</f>
        <v>#VALUE!</v>
      </c>
      <c r="AH246" s="446" t="e">
        <f>IF(OR($B246="",MIN(AH$38,$D$19)&lt;MAX($P$34*($B246+IF($R$17="Distrato",$I$38-1,0)),IF(AND($L$37=0,$P$34=0),"",$L$37-1),IF($R$17="Distrato",$E246,0))),0,YEARFRAC(MAX($P$34*($B246+IF($R$17="Distrato",$I$38-1,0)),IF(AND($L$37=0,$P$34=0),"",$L$37-1),IF($R$17="Distrato",$E246,0)),MIN(AH$38,$D$19),$P$20))-SUM($P246:AG246)</f>
        <v>#VALUE!</v>
      </c>
      <c r="AI246" s="446" t="e">
        <f>IF(OR($B246="",MIN(AI$38,$D$19)&lt;MAX($P$34*($B246+IF($R$17="Distrato",$I$38-1,0)),IF(AND($L$37=0,$P$34=0),"",$L$37-1),IF($R$17="Distrato",$E246,0))),0,YEARFRAC(MAX($P$34*($B246+IF($R$17="Distrato",$I$38-1,0)),IF(AND($L$37=0,$P$34=0),"",$L$37-1),IF($R$17="Distrato",$E246,0)),MIN(AI$38,$D$19),$P$20))-SUM($P246:AH246)</f>
        <v>#VALUE!</v>
      </c>
      <c r="AJ246" s="446" t="e">
        <f>IF(OR($B246="",MIN(AJ$38,$D$19)&lt;MAX($P$34*($B246+IF($R$17="Distrato",$I$38-1,0)),IF(AND($L$37=0,$P$34=0),"",$L$37-1),IF($R$17="Distrato",$E246,0))),0,YEARFRAC(MAX($P$34*($B246+IF($R$17="Distrato",$I$38-1,0)),IF(AND($L$37=0,$P$34=0),"",$L$37-1),IF($R$17="Distrato",$E246,0)),MIN(AJ$38,$D$19),$P$20))-SUM($P246:AI246)</f>
        <v>#VALUE!</v>
      </c>
      <c r="AK246" s="446" t="e">
        <f>IF(OR($B246="",MIN(AK$38,$D$19)&lt;MAX($P$34*($B246+IF($R$17="Distrato",$I$38-1,0)),IF(AND($L$37=0,$P$34=0),"",$L$37-1),IF($R$17="Distrato",$E246,0))),0,YEARFRAC(MAX($P$34*($B246+IF($R$17="Distrato",$I$38-1,0)),IF(AND($L$37=0,$P$34=0),"",$L$37-1),IF($R$17="Distrato",$E246,0)),MIN(AK$38,$D$19),$P$20))-SUM($P246:AJ246)</f>
        <v>#VALUE!</v>
      </c>
      <c r="AL246" s="446" t="e">
        <f>IF(OR($B246="",MIN(AL$38,$D$19)&lt;MAX($P$34*($B246+IF($R$17="Distrato",$I$38-1,0)),IF(AND($L$37=0,$P$34=0),"",$L$37-1),IF($R$17="Distrato",$E246,0))),0,YEARFRAC(MAX($P$34*($B246+IF($R$17="Distrato",$I$38-1,0)),IF(AND($L$37=0,$P$34=0),"",$L$37-1),IF($R$17="Distrato",$E246,0)),MIN(AL$38,$D$19),$P$20))-SUM($P246:AK246)</f>
        <v>#VALUE!</v>
      </c>
      <c r="AM246" s="446" t="e">
        <f>IF(OR($B246="",MIN(AM$38,$D$19)&lt;MAX($P$34*($B246+IF($R$17="Distrato",$I$38-1,0)),IF(AND($L$37=0,$P$34=0),"",$L$37-1),IF($R$17="Distrato",$E246,0))),0,YEARFRAC(MAX($P$34*($B246+IF($R$17="Distrato",$I$38-1,0)),IF(AND($L$37=0,$P$34=0),"",$L$37-1),IF($R$17="Distrato",$E246,0)),MIN(AM$38,$D$19),$P$20))-SUM($P246:AL246)</f>
        <v>#VALUE!</v>
      </c>
      <c r="AN246" s="446" t="e">
        <f>IF(OR($B246="",MIN(AN$38,$D$19)&lt;MAX($P$34*($B246+IF($R$17="Distrato",$I$38-1,0)),IF(AND($L$37=0,$P$34=0),"",$L$37-1),IF($R$17="Distrato",$E246,0))),0,YEARFRAC(MAX($P$34*($B246+IF($R$17="Distrato",$I$38-1,0)),IF(AND($L$37=0,$P$34=0),"",$L$37-1),IF($R$17="Distrato",$E246,0)),MIN(AN$38,$D$19),$P$20))-SUM($P246:AM246)</f>
        <v>#VALUE!</v>
      </c>
      <c r="AO246" s="446" t="e">
        <f>IF(OR($B246="",MIN(AO$38,$D$19)&lt;MAX($P$34*($B246+IF($R$17="Distrato",$I$38-1,0)),IF(AND($L$37=0,$P$34=0),"",$L$37-1),IF($R$17="Distrato",$E246,0))),0,YEARFRAC(MAX($P$34*($B246+IF($R$17="Distrato",$I$38-1,0)),IF(AND($L$37=0,$P$34=0),"",$L$37-1),IF($R$17="Distrato",$E246,0)),MIN(AO$38,$D$19),$P$20))-SUM($P246:AN246)</f>
        <v>#VALUE!</v>
      </c>
      <c r="AP246" s="446" t="e">
        <f>IF(OR($B246="",MIN(AP$38,$D$19)&lt;MAX($P$34*($B246+IF($R$17="Distrato",$I$38-1,0)),IF(AND($L$37=0,$P$34=0),"",$L$37-1),IF($R$17="Distrato",$E246,0))),0,YEARFRAC(MAX($P$34*($B246+IF($R$17="Distrato",$I$38-1,0)),IF(AND($L$37=0,$P$34=0),"",$L$37-1),IF($R$17="Distrato",$E246,0)),MIN(AP$38,$D$19),$P$20))-SUM($P246:AO246)</f>
        <v>#VALUE!</v>
      </c>
      <c r="AQ246" s="446" t="e">
        <f>IF(OR($B246="",MIN(AQ$38,$D$19)&lt;MAX($P$34*($B246+IF($R$17="Distrato",$I$38-1,0)),IF(AND($L$37=0,$P$34=0),"",$L$37-1),IF($R$17="Distrato",$E246,0))),0,YEARFRAC(MAX($P$34*($B246+IF($R$17="Distrato",$I$38-1,0)),IF(AND($L$37=0,$P$34=0),"",$L$37-1),IF($R$17="Distrato",$E246,0)),MIN(AQ$38,$D$19),$P$20))-SUM($P246:AP246)</f>
        <v>#VALUE!</v>
      </c>
      <c r="AR246" s="446" t="e">
        <f>IF(OR($B246="",MIN(AR$38,$D$19)&lt;MAX($P$34*($B246+IF($R$17="Distrato",$I$38-1,0)),IF(AND($L$37=0,$P$34=0),"",$L$37-1),IF($R$17="Distrato",$E246,0))),0,YEARFRAC(MAX($P$34*($B246+IF($R$17="Distrato",$I$38-1,0)),IF(AND($L$37=0,$P$34=0),"",$L$37-1),IF($R$17="Distrato",$E246,0)),MIN(AR$38,$D$19),$P$20))-SUM($P246:AQ246)</f>
        <v>#VALUE!</v>
      </c>
      <c r="AS246" s="446" t="e">
        <f>IF(OR($B246="",MIN(AS$38,$D$19)&lt;MAX($P$34*($B246+IF($R$17="Distrato",$I$38-1,0)),IF(AND($L$37=0,$P$34=0),"",$L$37-1),IF($R$17="Distrato",$E246,0))),0,YEARFRAC(MAX($P$34*($B246+IF($R$17="Distrato",$I$38-1,0)),IF(AND($L$37=0,$P$34=0),"",$L$37-1),IF($R$17="Distrato",$E246,0)),MIN(AS$38,$D$19),$P$20))-SUM($P246:AR246)</f>
        <v>#VALUE!</v>
      </c>
      <c r="AT246" s="446" t="e">
        <f>IF(OR($B246="",MIN(AT$38,$D$19)&lt;MAX($P$34*($B246+IF($R$17="Distrato",$I$38-1,0)),IF(AND($L$37=0,$P$34=0),"",$L$37-1),IF($R$17="Distrato",$E246,0))),0,YEARFRAC(MAX($P$34*($B246+IF($R$17="Distrato",$I$38-1,0)),IF(AND($L$37=0,$P$34=0),"",$L$37-1),IF($R$17="Distrato",$E246,0)),MIN(AT$38,$D$19),$P$20))-SUM($P246:AS246)</f>
        <v>#VALUE!</v>
      </c>
      <c r="AU246" s="446" t="e">
        <f>IF(OR($B246="",MIN(AU$38,$D$19)&lt;MAX($P$34*($B246+IF($R$17="Distrato",$I$38-1,0)),IF(AND($L$37=0,$P$34=0),"",$L$37-1),IF($R$17="Distrato",$E246,0))),0,YEARFRAC(MAX($P$34*($B246+IF($R$17="Distrato",$I$38-1,0)),IF(AND($L$37=0,$P$34=0),"",$L$37-1),IF($R$17="Distrato",$E246,0)),MIN(AU$38,$D$19),$P$20))-SUM($P246:AT246)</f>
        <v>#VALUE!</v>
      </c>
      <c r="AV246" s="446" t="e">
        <f>IF(OR($B246="",MIN(AV$38,$D$19)&lt;MAX($P$34*($B246+IF($R$17="Distrato",$I$38-1,0)),IF(AND($L$37=0,$P$34=0),"",$L$37-1),IF($R$17="Distrato",$E246,0))),0,YEARFRAC(MAX($P$34*($B246+IF($R$17="Distrato",$I$38-1,0)),IF(AND($L$37=0,$P$34=0),"",$L$37-1),IF($R$17="Distrato",$E246,0)),MIN(AV$38,$D$19),$P$20))-SUM($P246:AU246)</f>
        <v>#VALUE!</v>
      </c>
      <c r="AW246" s="446" t="e">
        <f>IF(OR($B246="",MIN(AW$38,$D$19)&lt;MAX($P$34*($B246+IF($R$17="Distrato",$I$38-1,0)),IF(AND($L$37=0,$P$34=0),"",$L$37-1),IF($R$17="Distrato",$E246,0))),0,YEARFRAC(MAX($P$34*($B246+IF($R$17="Distrato",$I$38-1,0)),IF(AND($L$37=0,$P$34=0),"",$L$37-1),IF($R$17="Distrato",$E246,0)),MIN(AW$38,$D$19),$P$20))-SUM($P246:AV246)</f>
        <v>#VALUE!</v>
      </c>
      <c r="AX246" s="446" t="e">
        <f>IF(OR($B246="",MIN(AX$38,$D$19)&lt;MAX($P$34*($B246+IF($R$17="Distrato",$I$38-1,0)),IF(AND($L$37=0,$P$34=0),"",$L$37-1),IF($R$17="Distrato",$E246,0))),0,YEARFRAC(MAX($P$34*($B246+IF($R$17="Distrato",$I$38-1,0)),IF(AND($L$37=0,$P$34=0),"",$L$37-1),IF($R$17="Distrato",$E246,0)),MIN(AX$38,$D$19),$P$20))-SUM($P246:AW246)</f>
        <v>#VALUE!</v>
      </c>
      <c r="AY246" s="446" t="e">
        <f>IF(OR($B246="",MIN(AY$38,$D$19)&lt;MAX($P$34*($B246+IF($R$17="Distrato",$I$38-1,0)),IF(AND($L$37=0,$P$34=0),"",$L$37-1),IF($R$17="Distrato",$E246,0))),0,YEARFRAC(MAX($P$34*($B246+IF($R$17="Distrato",$I$38-1,0)),IF(AND($L$37=0,$P$34=0),"",$L$37-1),IF($R$17="Distrato",$E246,0)),MIN(AY$38,$D$19),$P$20))-SUM($P246:AX246)</f>
        <v>#VALUE!</v>
      </c>
      <c r="AZ246" s="446" t="e">
        <f>IF(OR($B246="",MIN(AZ$38,$D$19)&lt;MAX($P$34*($B246+IF($R$17="Distrato",$I$38-1,0)),IF(AND($L$37=0,$P$34=0),"",$L$37-1),IF($R$17="Distrato",$E246,0))),0,YEARFRAC(MAX($P$34*($B246+IF($R$17="Distrato",$I$38-1,0)),IF(AND($L$37=0,$P$34=0),"",$L$37-1),IF($R$17="Distrato",$E246,0)),MIN(AZ$38,$D$19),$P$20))-SUM($P246:AY246)</f>
        <v>#VALUE!</v>
      </c>
      <c r="BA246" s="446" t="e">
        <f>IF(OR($B246="",MIN(BA$38,$D$19)&lt;MAX($P$34*($B246+IF($R$17="Distrato",$I$38-1,0)),IF(AND($L$37=0,$P$34=0),"",$L$37-1),IF($R$17="Distrato",$E246,0))),0,YEARFRAC(MAX($P$34*($B246+IF($R$17="Distrato",$I$38-1,0)),IF(AND($L$37=0,$P$34=0),"",$L$37-1),IF($R$17="Distrato",$E246,0)),MIN(BA$38,$D$19),$P$20))-SUM($P246:AZ246)</f>
        <v>#VALUE!</v>
      </c>
      <c r="BB246" s="447"/>
      <c r="BF246" s="446">
        <f t="shared" si="43"/>
        <v>0</v>
      </c>
      <c r="BG246" s="446">
        <f>IF($E246=0,0,IF(MIN(BG$38,$E246)&lt;MAX($P$34*($B246+$I$38-1),IF(AND($L$37=0,$P$34=0),"",$L$37-1)),0,YEARFRAC(MAX($P$34*($B246+$I$38-1),IF(AND($L$37=0,$P$34=0),"",$L$37-1)),MIN(BG$38,$E246),$P$20))-SUM($BF246:BF246))</f>
        <v>0</v>
      </c>
      <c r="BH246" s="446">
        <f>IF($E246=0,0,IF(MIN(BH$38,$E246)&lt;MAX($P$34*($B246+$I$38-1),IF(AND($L$37=0,$P$34=0),"",$L$37-1)),0,YEARFRAC(MAX($P$34*($B246+$I$38-1),IF(AND($L$37=0,$P$34=0),"",$L$37-1)),MIN(BH$38,$E246),$P$20))-SUM($BF246:BG246))</f>
        <v>0</v>
      </c>
      <c r="BI246" s="446">
        <f>IF($E246=0,0,IF(MIN(BI$38,$E246)&lt;MAX($P$34*($B246+$I$38-1),IF(AND($L$37=0,$P$34=0),"",$L$37-1)),0,YEARFRAC(MAX($P$34*($B246+$I$38-1),IF(AND($L$37=0,$P$34=0),"",$L$37-1)),MIN(BI$38,$E246),$P$20))-SUM($BF246:BH246))</f>
        <v>0</v>
      </c>
      <c r="BJ246" s="446">
        <f>IF($E246=0,0,IF(MIN(BJ$38,$E246)&lt;MAX($P$34*($B246+$I$38-1),IF(AND($L$37=0,$P$34=0),"",$L$37-1)),0,YEARFRAC(MAX($P$34*($B246+$I$38-1),IF(AND($L$37=0,$P$34=0),"",$L$37-1)),MIN(BJ$38,$E246),$P$20))-SUM($BF246:BI246))</f>
        <v>0</v>
      </c>
      <c r="BK246" s="446">
        <f>IF($E246=0,0,IF(MIN(BK$38,$E246)&lt;MAX($P$34*($B246+$I$38-1),IF(AND($L$37=0,$P$34=0),"",$L$37-1)),0,YEARFRAC(MAX($P$34*($B246+$I$38-1),IF(AND($L$37=0,$P$34=0),"",$L$37-1)),MIN(BK$38,$E246),$P$20))-SUM($BF246:BJ246))</f>
        <v>0</v>
      </c>
      <c r="BL246" s="446">
        <f>IF($E246=0,0,IF(MIN(BL$38,$E246)&lt;MAX($P$34*($B246+$I$38-1),IF(AND($L$37=0,$P$34=0),"",$L$37-1)),0,YEARFRAC(MAX($P$34*($B246+$I$38-1),IF(AND($L$37=0,$P$34=0),"",$L$37-1)),MIN(BL$38,$E246),$P$20))-SUM($BF246:BK246))</f>
        <v>0</v>
      </c>
      <c r="BM246" s="446">
        <f>IF($E246=0,0,IF(MIN(BM$38,$E246)&lt;MAX($P$34*($B246+$I$38-1),IF(AND($L$37=0,$P$34=0),"",$L$37-1)),0,YEARFRAC(MAX($P$34*($B246+$I$38-1),IF(AND($L$37=0,$P$34=0),"",$L$37-1)),MIN(BM$38,$E246),$P$20))-SUM($BF246:BL246))</f>
        <v>0</v>
      </c>
      <c r="BN246" s="446">
        <f>IF($E246=0,0,IF(MIN(BN$38,$E246)&lt;MAX($P$34*($B246+$I$38-1),IF(AND($L$37=0,$P$34=0),"",$L$37-1)),0,YEARFRAC(MAX($P$34*($B246+$I$38-1),IF(AND($L$37=0,$P$34=0),"",$L$37-1)),MIN(BN$38,$E246),$P$20))-SUM($BF246:BM246))</f>
        <v>0</v>
      </c>
      <c r="BO246" s="446">
        <f>IF($E246=0,0,IF(MIN(BO$38,$E246)&lt;MAX($P$34*($B246+$I$38-1),IF(AND($L$37=0,$P$34=0),"",$L$37-1)),0,YEARFRAC(MAX($P$34*($B246+$I$38-1),IF(AND($L$37=0,$P$34=0),"",$L$37-1)),MIN(BO$38,$E246),$P$20))-SUM($BF246:BN246))</f>
        <v>0</v>
      </c>
      <c r="BP246" s="446">
        <f>IF($E246=0,0,IF(MIN(BP$38,$E246)&lt;MAX($P$34*($B246+$I$38-1),IF(AND($L$37=0,$P$34=0),"",$L$37-1)),0,YEARFRAC(MAX($P$34*($B246+$I$38-1),IF(AND($L$37=0,$P$34=0),"",$L$37-1)),MIN(BP$38,$E246),$P$20))-SUM($BF246:BO246))</f>
        <v>0</v>
      </c>
      <c r="BQ246" s="446">
        <f>IF($E246=0,0,IF(MIN(BQ$38,$E246)&lt;MAX($P$34*($B246+$I$38-1),IF(AND($L$37=0,$P$34=0),"",$L$37-1)),0,YEARFRAC(MAX($P$34*($B246+$I$38-1),IF(AND($L$37=0,$P$34=0),"",$L$37-1)),MIN(BQ$38,$E246),$P$20))-SUM($BF246:BP246))</f>
        <v>0</v>
      </c>
      <c r="BR246" s="446">
        <f>IF($E246=0,0,IF(MIN(BR$38,$E246)&lt;MAX($P$34*($B246+$I$38-1),IF(AND($L$37=0,$P$34=0),"",$L$37-1)),0,YEARFRAC(MAX($P$34*($B246+$I$38-1),IF(AND($L$37=0,$P$34=0),"",$L$37-1)),MIN(BR$38,$E246),$P$20))-SUM($BF246:BQ246))</f>
        <v>0</v>
      </c>
      <c r="BS246" s="446">
        <f>IF($E246=0,0,IF(MIN(BS$38,$E246)&lt;MAX($P$34*($B246+$I$38-1),IF(AND($L$37=0,$P$34=0),"",$L$37-1)),0,YEARFRAC(MAX($P$34*($B246+$I$38-1),IF(AND($L$37=0,$P$34=0),"",$L$37-1)),MIN(BS$38,$E246),$P$20))-SUM($BF246:BR246))</f>
        <v>0</v>
      </c>
      <c r="BT246" s="446">
        <f>IF($E246=0,0,IF(MIN(BT$38,$E246)&lt;MAX($P$34*($B246+$I$38-1),IF(AND($L$37=0,$P$34=0),"",$L$37-1)),0,YEARFRAC(MAX($P$34*($B246+$I$38-1),IF(AND($L$37=0,$P$34=0),"",$L$37-1)),MIN(BT$38,$E246),$P$20))-SUM($BF246:BS246))</f>
        <v>0</v>
      </c>
      <c r="BU246" s="446">
        <f>IF($E246=0,0,IF(MIN(BU$38,$E246)&lt;MAX($P$34*($B246+$I$38-1),IF(AND($L$37=0,$P$34=0),"",$L$37-1)),0,YEARFRAC(MAX($P$34*($B246+$I$38-1),IF(AND($L$37=0,$P$34=0),"",$L$37-1)),MIN(BU$38,$E246),$P$20))-SUM($BF246:BT246))</f>
        <v>0</v>
      </c>
      <c r="BV246" s="446">
        <f>IF($E246=0,0,IF(MIN(BV$38,$E246)&lt;MAX($P$34*($B246+$I$38-1),IF(AND($L$37=0,$P$34=0),"",$L$37-1)),0,YEARFRAC(MAX($P$34*($B246+$I$38-1),IF(AND($L$37=0,$P$34=0),"",$L$37-1)),MIN(BV$38,$E246),$P$20))-SUM($BF246:BU246))</f>
        <v>0</v>
      </c>
      <c r="BW246" s="446">
        <f>IF($E246=0,0,IF(MIN(BW$38,$E246)&lt;MAX($P$34*($B246+$I$38-1),IF(AND($L$37=0,$P$34=0),"",$L$37-1)),0,YEARFRAC(MAX($P$34*($B246+$I$38-1),IF(AND($L$37=0,$P$34=0),"",$L$37-1)),MIN(BW$38,$E246),$P$20))-SUM($BF246:BV246))</f>
        <v>0</v>
      </c>
      <c r="BX246" s="446">
        <f>IF($E246=0,0,IF(MIN(BX$38,$E246)&lt;MAX($P$34*($B246+$I$38-1),IF(AND($L$37=0,$P$34=0),"",$L$37-1)),0,YEARFRAC(MAX($P$34*($B246+$I$38-1),IF(AND($L$37=0,$P$34=0),"",$L$37-1)),MIN(BX$38,$E246),$P$20))-SUM($BF246:BW246))</f>
        <v>0</v>
      </c>
      <c r="BY246" s="446">
        <f>IF($E246=0,0,IF(MIN(BY$38,$E246)&lt;MAX($P$34*($B246+$I$38-1),IF(AND($L$37=0,$P$34=0),"",$L$37-1)),0,YEARFRAC(MAX($P$34*($B246+$I$38-1),IF(AND($L$37=0,$P$34=0),"",$L$37-1)),MIN(BY$38,$E246),$P$20))-SUM($BF246:BX246))</f>
        <v>0</v>
      </c>
      <c r="BZ246" s="446">
        <f>IF($E246=0,0,IF(MIN(BZ$38,$E246)&lt;MAX($P$34*($B246+$I$38-1),IF(AND($L$37=0,$P$34=0),"",$L$37-1)),0,YEARFRAC(MAX($P$34*($B246+$I$38-1),IF(AND($L$37=0,$P$34=0),"",$L$37-1)),MIN(BZ$38,$E246),$P$20))-SUM($BF246:BY246))</f>
        <v>0</v>
      </c>
      <c r="CA246" s="446">
        <f>IF($E246=0,0,IF(MIN(CA$38,$E246)&lt;MAX($P$34*($B246+$I$38-1),IF(AND($L$37=0,$P$34=0),"",$L$37-1)),0,YEARFRAC(MAX($P$34*($B246+$I$38-1),IF(AND($L$37=0,$P$34=0),"",$L$37-1)),MIN(CA$38,$E246),$P$20))-SUM($BF246:BZ246))</f>
        <v>0</v>
      </c>
      <c r="CB246" s="446">
        <f>IF($E246=0,0,IF(MIN(CB$38,$E246)&lt;MAX($P$34*($B246+$I$38-1),IF(AND($L$37=0,$P$34=0),"",$L$37-1)),0,YEARFRAC(MAX($P$34*($B246+$I$38-1),IF(AND($L$37=0,$P$34=0),"",$L$37-1)),MIN(CB$38,$E246),$P$20))-SUM($BF246:CA246))</f>
        <v>0</v>
      </c>
      <c r="CC246" s="446">
        <f>IF($E246=0,0,IF(MIN(CC$38,$E246)&lt;MAX($P$34*($B246+$I$38-1),IF(AND($L$37=0,$P$34=0),"",$L$37-1)),0,YEARFRAC(MAX($P$34*($B246+$I$38-1),IF(AND($L$37=0,$P$34=0),"",$L$37-1)),MIN(CC$38,$E246),$P$20))-SUM($BF246:CB246))</f>
        <v>0</v>
      </c>
      <c r="CD246" s="446">
        <f>IF($E246=0,0,IF(MIN(CD$38,$E246)&lt;MAX($P$34*($B246+$I$38-1),IF(AND($L$37=0,$P$34=0),"",$L$37-1)),0,YEARFRAC(MAX($P$34*($B246+$I$38-1),IF(AND($L$37=0,$P$34=0),"",$L$37-1)),MIN(CD$38,$E246),$P$20))-SUM($BF246:CC246))</f>
        <v>0</v>
      </c>
      <c r="CE246" s="446">
        <f>IF($E246=0,0,IF(MIN(CE$38,$E246)&lt;MAX($P$34*($B246+$I$38-1),IF(AND($L$37=0,$P$34=0),"",$L$37-1)),0,YEARFRAC(MAX($P$34*($B246+$I$38-1),IF(AND($L$37=0,$P$34=0),"",$L$37-1)),MIN(CE$38,$E246),$P$20))-SUM($BF246:CD246))</f>
        <v>0</v>
      </c>
      <c r="CF246" s="446">
        <f>IF($E246=0,0,IF(MIN(CF$38,$E246)&lt;MAX($P$34*($B246+$I$38-1),IF(AND($L$37=0,$P$34=0),"",$L$37-1)),0,YEARFRAC(MAX($P$34*($B246+$I$38-1),IF(AND($L$37=0,$P$34=0),"",$L$37-1)),MIN(CF$38,$E246),$P$20))-SUM($BF246:CE246))</f>
        <v>0</v>
      </c>
      <c r="CG246" s="446">
        <f>IF($E246=0,0,IF(MIN(CG$38,$E246)&lt;MAX($P$34*($B246+$I$38-1),IF(AND($L$37=0,$P$34=0),"",$L$37-1)),0,YEARFRAC(MAX($P$34*($B246+$I$38-1),IF(AND($L$37=0,$P$34=0),"",$L$37-1)),MIN(CG$38,$E246),$P$20))-SUM($BF246:CF246))</f>
        <v>0</v>
      </c>
      <c r="CH246" s="446">
        <f>IF($E246=0,0,IF(MIN(CH$38,$E246)&lt;MAX($P$34*($B246+$I$38-1),IF(AND($L$37=0,$P$34=0),"",$L$37-1)),0,YEARFRAC(MAX($P$34*($B246+$I$38-1),IF(AND($L$37=0,$P$34=0),"",$L$37-1)),MIN(CH$38,$E246),$P$20))-SUM($BF246:CG246))</f>
        <v>0</v>
      </c>
      <c r="CI246" s="446">
        <f>IF($E246=0,0,IF(MIN(CI$38,$E246)&lt;MAX($P$34*($B246+$I$38-1),IF(AND($L$37=0,$P$34=0),"",$L$37-1)),0,YEARFRAC(MAX($P$34*($B246+$I$38-1),IF(AND($L$37=0,$P$34=0),"",$L$37-1)),MIN(CI$38,$E246),$P$20))-SUM($BF246:CH246))</f>
        <v>0</v>
      </c>
      <c r="CJ246" s="446">
        <f>IF($E246=0,0,IF(MIN(CJ$38,$E246)&lt;MAX($P$34*($B246+$I$38-1),IF(AND($L$37=0,$P$34=0),"",$L$37-1)),0,YEARFRAC(MAX($P$34*($B246+$I$38-1),IF(AND($L$37=0,$P$34=0),"",$L$37-1)),MIN(CJ$38,$E246),$P$20))-SUM($BF246:CI246))</f>
        <v>0</v>
      </c>
      <c r="CK246" s="446">
        <f>IF($E246=0,0,IF(MIN(CK$38,$E246)&lt;MAX($P$34*($B246+$I$38-1),IF(AND($L$37=0,$P$34=0),"",$L$37-1)),0,YEARFRAC(MAX($P$34*($B246+$I$38-1),IF(AND($L$37=0,$P$34=0),"",$L$37-1)),MIN(CK$38,$E246),$P$20))-SUM($BF246:CJ246))</f>
        <v>0</v>
      </c>
      <c r="CL246" s="446">
        <f>IF($E246=0,0,IF(MIN(CL$38,$E246)&lt;MAX($P$34*($B246+$I$38-1),IF(AND($L$37=0,$P$34=0),"",$L$37-1)),0,YEARFRAC(MAX($P$34*($B246+$I$38-1),IF(AND($L$37=0,$P$34=0),"",$L$37-1)),MIN(CL$38,$E246),$P$20))-SUM($BF246:CK246))</f>
        <v>0</v>
      </c>
      <c r="CM246" s="446">
        <f>IF($E246=0,0,IF(MIN(CM$38,$E246)&lt;MAX($P$34*($B246+$I$38-1),IF(AND($L$37=0,$P$34=0),"",$L$37-1)),0,YEARFRAC(MAX($P$34*($B246+$I$38-1),IF(AND($L$37=0,$P$34=0),"",$L$37-1)),MIN(CM$38,$E246),$P$20))-SUM($BF246:CL246))</f>
        <v>0</v>
      </c>
      <c r="CN246" s="446">
        <f>IF($E246=0,0,IF(MIN(CN$38,$E246)&lt;MAX($P$34*($B246+$I$38-1),IF(AND($L$37=0,$P$34=0),"",$L$37-1)),0,YEARFRAC(MAX($P$34*($B246+$I$38-1),IF(AND($L$37=0,$P$34=0),"",$L$37-1)),MIN(CN$38,$E246),$P$20))-SUM($BF246:CM246))</f>
        <v>0</v>
      </c>
      <c r="CO246" s="446">
        <f>IF($E246=0,0,IF(MIN(CO$38,$E246)&lt;MAX($P$34*($B246+$I$38-1),IF(AND($L$37=0,$P$34=0),"",$L$37-1)),0,YEARFRAC(MAX($P$34*($B246+$I$38-1),IF(AND($L$37=0,$P$34=0),"",$L$37-1)),MIN(CO$38,$E246),$P$20))-SUM($BF246:CN246))</f>
        <v>0</v>
      </c>
      <c r="CP246" s="446">
        <f>IF($E246=0,0,IF(MIN(CP$38,$E246)&lt;MAX($P$34*($B246+$I$38-1),IF(AND($L$37=0,$P$34=0),"",$L$37-1)),0,YEARFRAC(MAX($P$34*($B246+$I$38-1),IF(AND($L$37=0,$P$34=0),"",$L$37-1)),MIN(CP$38,$E246),$P$20))-SUM($BF246:CO246))</f>
        <v>0</v>
      </c>
      <c r="CQ246" s="446">
        <f>IF($E246=0,0,IF(MIN(CQ$38,$E246)&lt;MAX($P$34*($B246+$I$38-1),IF(AND($L$37=0,$P$34=0),"",$L$37-1)),0,YEARFRAC(MAX($P$34*($B246+$I$38-1),IF(AND($L$37=0,$P$34=0),"",$L$37-1)),MIN(CQ$38,$E246),$P$20))-SUM($BF246:CP246))</f>
        <v>0</v>
      </c>
    </row>
    <row r="247" spans="1:95" s="446" customFormat="1" ht="11.25" hidden="1" customHeight="1" x14ac:dyDescent="0.2">
      <c r="A247" s="152"/>
      <c r="B247" s="153" t="str">
        <f t="shared" si="48"/>
        <v/>
      </c>
      <c r="C247" s="29" t="str">
        <f>IF(B247="","",IF($L$35="SELIC - TRIBUTOS",VLOOKUP(DATE(YEAR($D$19),MONTH($D$19)-1,1),ÍNDICES!$A:$DE,HLOOKUP($BL$25,ÍNDICES!$B$3:$T$4,2)+11)-VLOOKUP(B247,ÍNDICES!$A:$DE,HLOOKUP($BL$25,ÍNDICES!$B$3:$T$4,2)+11)+1%,IF(C$38=$W$26,$J$35,IF(ISERROR(IF(B247&gt;$D$19,1,VLOOKUP(DATE(YEAR(B247),MONTH(B247)+IF($C$35=$S$23,1,0),1),ÍNDICES!$A:$DE,$Z$35+1))),"",IF(B247&gt;$D$19,1,VLOOKUP(DATE(YEAR(B247),MONTH(B247)+IF($C$35=$S$23,1,0),1),ÍNDICES!$A:$DE,$Z$35+1))))))</f>
        <v/>
      </c>
      <c r="D247" s="154" t="str">
        <f>IF(ISERROR(IF(OR($D$38=$Y$27,$B247=""),"",VLOOKUP(B247,ÍNDICES!A:DE,AF$35+1))),"",IF(OR($D$38=$Y$27,$B247=""),"",VLOOKUP(B247,ÍNDICES!A:DE,AF$35+1)))</f>
        <v/>
      </c>
      <c r="E247" s="153"/>
      <c r="F247" s="29" t="str">
        <f>IF(E247="","",IF($L$35="SELIC - TRIBUTOS",VLOOKUP(DATE(YEAR($D$19),MONTH($D$19)-1,1),ÍNDICES!$A:$DE,HLOOKUP($BL$25,ÍNDICES!$B$3:$T$4,2)+11)-VLOOKUP(E247,ÍNDICES!$A:$DE,HLOOKUP($BL$25,ÍNDICES!$B$3:$T$4,2)+11)+1%,IF(F$38=$W$26,$J$35,IF(ISERROR(IF(E247&gt;$D$19,1,VLOOKUP(DATE(YEAR(E247),MONTH(E247)+IF($C$35=$S$23,1,0),1),ÍNDICES!$A:$DE,$Z$35+1))),"",IF(E247&gt;$D$19,1,VLOOKUP(DATE(YEAR(E247),MONTH(E247)+IF($C$35=$S$23,1,0),1),ÍNDICES!$A:$DE,$Z$35+1))))))</f>
        <v/>
      </c>
      <c r="G247" s="155"/>
      <c r="H247" s="156" t="str">
        <f t="shared" si="44"/>
        <v/>
      </c>
      <c r="I247" s="29" t="str">
        <f t="shared" si="38"/>
        <v/>
      </c>
      <c r="J247" s="5">
        <f t="shared" si="39"/>
        <v>0</v>
      </c>
      <c r="K247" s="20">
        <f t="shared" ca="1" si="40"/>
        <v>0</v>
      </c>
      <c r="L247" s="5">
        <f t="shared" ca="1" si="41"/>
        <v>0</v>
      </c>
      <c r="M247" s="64">
        <f t="shared" si="45"/>
        <v>0</v>
      </c>
      <c r="N247" s="61">
        <f t="shared" ca="1" si="46"/>
        <v>0</v>
      </c>
      <c r="O247" s="5">
        <f t="shared" ca="1" si="47"/>
        <v>0</v>
      </c>
      <c r="P247" s="446" t="e">
        <f t="shared" si="42"/>
        <v>#VALUE!</v>
      </c>
      <c r="Q247" s="446" t="e">
        <f>IF(OR($B247="",MIN(Q$38,$D$19)&lt;MAX($P$34*($B247+IF($R$17="Distrato",$I$38-1,0)),IF(AND($L$37=0,$P$34=0),"",$L$37-1),IF($R$17="Distrato",$E247,0))),0,YEARFRAC(MAX($P$34*($B247+IF($R$17="Distrato",$I$38-1,0)),IF(AND($L$37=0,$P$34=0),"",$L$37-1),IF($R$17="Distrato",$E247,0)),MIN(Q$38,$D$19),$P$20))-SUM($P247:P247)</f>
        <v>#VALUE!</v>
      </c>
      <c r="R247" s="446" t="e">
        <f>IF(OR($B247="",MIN(R$38,$D$19)&lt;MAX($P$34*($B247+IF($R$17="Distrato",$I$38-1,0)),IF(AND($L$37=0,$P$34=0),"",$L$37-1),IF($R$17="Distrato",$E247,0))),0,YEARFRAC(MAX($P$34*($B247+IF($R$17="Distrato",$I$38-1,0)),IF(AND($L$37=0,$P$34=0),"",$L$37-1),IF($R$17="Distrato",$E247,0)),MIN(R$38,$D$19),$P$20))-SUM($P247:Q247)</f>
        <v>#VALUE!</v>
      </c>
      <c r="S247" s="446" t="e">
        <f>IF(OR($B247="",MIN(S$38,$D$19)&lt;MAX($P$34*($B247+IF($R$17="Distrato",$I$38-1,0)),IF(AND($L$37=0,$P$34=0),"",$L$37-1),IF($R$17="Distrato",$E247,0))),0,YEARFRAC(MAX($P$34*($B247+IF($R$17="Distrato",$I$38-1,0)),IF(AND($L$37=0,$P$34=0),"",$L$37-1),IF($R$17="Distrato",$E247,0)),MIN(S$38,$D$19),$P$20))-SUM($P247:R247)</f>
        <v>#VALUE!</v>
      </c>
      <c r="T247" s="446" t="e">
        <f>IF(OR($B247="",MIN(T$38,$D$19)&lt;MAX($P$34*($B247+IF($R$17="Distrato",$I$38-1,0)),IF(AND($L$37=0,$P$34=0),"",$L$37-1),IF($R$17="Distrato",$E247,0))),0,YEARFRAC(MAX($P$34*($B247+IF($R$17="Distrato",$I$38-1,0)),IF(AND($L$37=0,$P$34=0),"",$L$37-1),IF($R$17="Distrato",$E247,0)),MIN(T$38,$D$19),$P$20))-SUM($P247:S247)</f>
        <v>#VALUE!</v>
      </c>
      <c r="U247" s="446" t="e">
        <f>IF(OR($B247="",MIN(U$38,$D$19)&lt;MAX($P$34*($B247+IF($R$17="Distrato",$I$38-1,0)),IF(AND($L$37=0,$P$34=0),"",$L$37-1),IF($R$17="Distrato",$E247,0))),0,YEARFRAC(MAX($P$34*($B247+IF($R$17="Distrato",$I$38-1,0)),IF(AND($L$37=0,$P$34=0),"",$L$37-1),IF($R$17="Distrato",$E247,0)),MIN(U$38,$D$19),$P$20))-SUM($P247:T247)</f>
        <v>#VALUE!</v>
      </c>
      <c r="V247" s="446" t="e">
        <f>IF(OR($B247="",MIN(V$38,$D$19)&lt;MAX($P$34*($B247+IF($R$17="Distrato",$I$38-1,0)),IF(AND($L$37=0,$P$34=0),"",$L$37-1),IF($R$17="Distrato",$E247,0))),0,YEARFRAC(MAX($P$34*($B247+IF($R$17="Distrato",$I$38-1,0)),IF(AND($L$37=0,$P$34=0),"",$L$37-1),IF($R$17="Distrato",$E247,0)),MIN(V$38,$D$19),$P$20))-SUM($P247:U247)</f>
        <v>#VALUE!</v>
      </c>
      <c r="W247" s="446" t="e">
        <f>IF(OR($B247="",MIN(W$38,$D$19)&lt;MAX($P$34*($B247+IF($R$17="Distrato",$I$38-1,0)),IF(AND($L$37=0,$P$34=0),"",$L$37-1),IF($R$17="Distrato",$E247,0))),0,YEARFRAC(MAX($P$34*($B247+IF($R$17="Distrato",$I$38-1,0)),IF(AND($L$37=0,$P$34=0),"",$L$37-1),IF($R$17="Distrato",$E247,0)),MIN(W$38,$D$19),$P$20))-SUM($P247:V247)</f>
        <v>#VALUE!</v>
      </c>
      <c r="X247" s="446" t="e">
        <f>IF(OR($B247="",MIN(X$38,$D$19)&lt;MAX($P$34*($B247+IF($R$17="Distrato",$I$38-1,0)),IF(AND($L$37=0,$P$34=0),"",$L$37-1),IF($R$17="Distrato",$E247,0))),0,YEARFRAC(MAX($P$34*($B247+IF($R$17="Distrato",$I$38-1,0)),IF(AND($L$37=0,$P$34=0),"",$L$37-1),IF($R$17="Distrato",$E247,0)),MIN(X$38,$D$19),$P$20))-SUM($P247:W247)</f>
        <v>#VALUE!</v>
      </c>
      <c r="Y247" s="446" t="e">
        <f>IF(OR($B247="",MIN(Y$38,$D$19)&lt;MAX($P$34*($B247+IF($R$17="Distrato",$I$38-1,0)),IF(AND($L$37=0,$P$34=0),"",$L$37-1),IF($R$17="Distrato",$E247,0))),0,YEARFRAC(MAX($P$34*($B247+IF($R$17="Distrato",$I$38-1,0)),IF(AND($L$37=0,$P$34=0),"",$L$37-1),IF($R$17="Distrato",$E247,0)),MIN(Y$38,$D$19),$P$20))-SUM($P247:X247)</f>
        <v>#VALUE!</v>
      </c>
      <c r="Z247" s="446" t="e">
        <f>IF(OR($B247="",MIN(Z$38,$D$19)&lt;MAX($P$34*($B247+IF($R$17="Distrato",$I$38-1,0)),IF(AND($L$37=0,$P$34=0),"",$L$37-1),IF($R$17="Distrato",$E247,0))),0,YEARFRAC(MAX($P$34*($B247+IF($R$17="Distrato",$I$38-1,0)),IF(AND($L$37=0,$P$34=0),"",$L$37-1),IF($R$17="Distrato",$E247,0)),MIN(Z$38,$D$19),$P$20))-SUM($P247:Y247)</f>
        <v>#VALUE!</v>
      </c>
      <c r="AA247" s="446" t="e">
        <f>IF(OR($B247="",MIN(AA$38,$D$19)&lt;MAX($P$34*($B247+IF($R$17="Distrato",$I$38-1,0)),IF(AND($L$37=0,$P$34=0),"",$L$37-1),IF($R$17="Distrato",$E247,0))),0,YEARFRAC(MAX($P$34*($B247+IF($R$17="Distrato",$I$38-1,0)),IF(AND($L$37=0,$P$34=0),"",$L$37-1),IF($R$17="Distrato",$E247,0)),MIN(AA$38,$D$19),$P$20))-SUM($P247:Z247)</f>
        <v>#VALUE!</v>
      </c>
      <c r="AB247" s="446" t="e">
        <f>IF(OR($B247="",MIN(AB$38,$D$19)&lt;MAX($P$34*($B247+IF($R$17="Distrato",$I$38-1,0)),IF(AND($L$37=0,$P$34=0),"",$L$37-1),IF($R$17="Distrato",$E247,0))),0,YEARFRAC(MAX($P$34*($B247+IF($R$17="Distrato",$I$38-1,0)),IF(AND($L$37=0,$P$34=0),"",$L$37-1),IF($R$17="Distrato",$E247,0)),MIN(AB$38,$D$19),$P$20))-SUM($P247:AA247)</f>
        <v>#VALUE!</v>
      </c>
      <c r="AC247" s="446" t="e">
        <f>IF(OR($B247="",MIN(AC$38,$D$19)&lt;MAX($P$34*($B247+IF($R$17="Distrato",$I$38-1,0)),IF(AND($L$37=0,$P$34=0),"",$L$37-1),IF($R$17="Distrato",$E247,0))),0,YEARFRAC(MAX($P$34*($B247+IF($R$17="Distrato",$I$38-1,0)),IF(AND($L$37=0,$P$34=0),"",$L$37-1),IF($R$17="Distrato",$E247,0)),MIN(AC$38,$D$19),$P$20))-SUM($P247:AB247)</f>
        <v>#VALUE!</v>
      </c>
      <c r="AD247" s="446" t="e">
        <f>IF(OR($B247="",MIN(AD$38,$D$19)&lt;MAX($P$34*($B247+IF($R$17="Distrato",$I$38-1,0)),IF(AND($L$37=0,$P$34=0),"",$L$37-1),IF($R$17="Distrato",$E247,0))),0,YEARFRAC(MAX($P$34*($B247+IF($R$17="Distrato",$I$38-1,0)),IF(AND($L$37=0,$P$34=0),"",$L$37-1),IF($R$17="Distrato",$E247,0)),MIN(AD$38,$D$19),$P$20))-SUM($P247:AC247)</f>
        <v>#VALUE!</v>
      </c>
      <c r="AE247" s="446" t="e">
        <f>IF(OR($B247="",MIN(AE$38,$D$19)&lt;MAX($P$34*($B247+IF($R$17="Distrato",$I$38-1,0)),IF(AND($L$37=0,$P$34=0),"",$L$37-1),IF($R$17="Distrato",$E247,0))),0,YEARFRAC(MAX($P$34*($B247+IF($R$17="Distrato",$I$38-1,0)),IF(AND($L$37=0,$P$34=0),"",$L$37-1),IF($R$17="Distrato",$E247,0)),MIN(AE$38,$D$19),$P$20))-SUM($P247:AD247)</f>
        <v>#VALUE!</v>
      </c>
      <c r="AF247" s="446" t="e">
        <f>IF(OR($B247="",MIN(AF$38,$D$19)&lt;MAX($P$34*($B247+IF($R$17="Distrato",$I$38-1,0)),IF(AND($L$37=0,$P$34=0),"",$L$37-1),IF($R$17="Distrato",$E247,0))),0,YEARFRAC(MAX($P$34*($B247+IF($R$17="Distrato",$I$38-1,0)),IF(AND($L$37=0,$P$34=0),"",$L$37-1),IF($R$17="Distrato",$E247,0)),MIN(AF$38,$D$19),$P$20))-SUM($P247:AE247)</f>
        <v>#VALUE!</v>
      </c>
      <c r="AG247" s="446" t="e">
        <f>IF(OR($B247="",MIN(AG$38,$D$19)&lt;MAX($P$34*($B247+IF($R$17="Distrato",$I$38-1,0)),IF(AND($L$37=0,$P$34=0),"",$L$37-1),IF($R$17="Distrato",$E247,0))),0,YEARFRAC(MAX($P$34*($B247+IF($R$17="Distrato",$I$38-1,0)),IF(AND($L$37=0,$P$34=0),"",$L$37-1),IF($R$17="Distrato",$E247,0)),MIN(AG$38,$D$19),$P$20))-SUM($P247:AF247)</f>
        <v>#VALUE!</v>
      </c>
      <c r="AH247" s="446" t="e">
        <f>IF(OR($B247="",MIN(AH$38,$D$19)&lt;MAX($P$34*($B247+IF($R$17="Distrato",$I$38-1,0)),IF(AND($L$37=0,$P$34=0),"",$L$37-1),IF($R$17="Distrato",$E247,0))),0,YEARFRAC(MAX($P$34*($B247+IF($R$17="Distrato",$I$38-1,0)),IF(AND($L$37=0,$P$34=0),"",$L$37-1),IF($R$17="Distrato",$E247,0)),MIN(AH$38,$D$19),$P$20))-SUM($P247:AG247)</f>
        <v>#VALUE!</v>
      </c>
      <c r="AI247" s="446" t="e">
        <f>IF(OR($B247="",MIN(AI$38,$D$19)&lt;MAX($P$34*($B247+IF($R$17="Distrato",$I$38-1,0)),IF(AND($L$37=0,$P$34=0),"",$L$37-1),IF($R$17="Distrato",$E247,0))),0,YEARFRAC(MAX($P$34*($B247+IF($R$17="Distrato",$I$38-1,0)),IF(AND($L$37=0,$P$34=0),"",$L$37-1),IF($R$17="Distrato",$E247,0)),MIN(AI$38,$D$19),$P$20))-SUM($P247:AH247)</f>
        <v>#VALUE!</v>
      </c>
      <c r="AJ247" s="446" t="e">
        <f>IF(OR($B247="",MIN(AJ$38,$D$19)&lt;MAX($P$34*($B247+IF($R$17="Distrato",$I$38-1,0)),IF(AND($L$37=0,$P$34=0),"",$L$37-1),IF($R$17="Distrato",$E247,0))),0,YEARFRAC(MAX($P$34*($B247+IF($R$17="Distrato",$I$38-1,0)),IF(AND($L$37=0,$P$34=0),"",$L$37-1),IF($R$17="Distrato",$E247,0)),MIN(AJ$38,$D$19),$P$20))-SUM($P247:AI247)</f>
        <v>#VALUE!</v>
      </c>
      <c r="AK247" s="446" t="e">
        <f>IF(OR($B247="",MIN(AK$38,$D$19)&lt;MAX($P$34*($B247+IF($R$17="Distrato",$I$38-1,0)),IF(AND($L$37=0,$P$34=0),"",$L$37-1),IF($R$17="Distrato",$E247,0))),0,YEARFRAC(MAX($P$34*($B247+IF($R$17="Distrato",$I$38-1,0)),IF(AND($L$37=0,$P$34=0),"",$L$37-1),IF($R$17="Distrato",$E247,0)),MIN(AK$38,$D$19),$P$20))-SUM($P247:AJ247)</f>
        <v>#VALUE!</v>
      </c>
      <c r="AL247" s="446" t="e">
        <f>IF(OR($B247="",MIN(AL$38,$D$19)&lt;MAX($P$34*($B247+IF($R$17="Distrato",$I$38-1,0)),IF(AND($L$37=0,$P$34=0),"",$L$37-1),IF($R$17="Distrato",$E247,0))),0,YEARFRAC(MAX($P$34*($B247+IF($R$17="Distrato",$I$38-1,0)),IF(AND($L$37=0,$P$34=0),"",$L$37-1),IF($R$17="Distrato",$E247,0)),MIN(AL$38,$D$19),$P$20))-SUM($P247:AK247)</f>
        <v>#VALUE!</v>
      </c>
      <c r="AM247" s="446" t="e">
        <f>IF(OR($B247="",MIN(AM$38,$D$19)&lt;MAX($P$34*($B247+IF($R$17="Distrato",$I$38-1,0)),IF(AND($L$37=0,$P$34=0),"",$L$37-1),IF($R$17="Distrato",$E247,0))),0,YEARFRAC(MAX($P$34*($B247+IF($R$17="Distrato",$I$38-1,0)),IF(AND($L$37=0,$P$34=0),"",$L$37-1),IF($R$17="Distrato",$E247,0)),MIN(AM$38,$D$19),$P$20))-SUM($P247:AL247)</f>
        <v>#VALUE!</v>
      </c>
      <c r="AN247" s="446" t="e">
        <f>IF(OR($B247="",MIN(AN$38,$D$19)&lt;MAX($P$34*($B247+IF($R$17="Distrato",$I$38-1,0)),IF(AND($L$37=0,$P$34=0),"",$L$37-1),IF($R$17="Distrato",$E247,0))),0,YEARFRAC(MAX($P$34*($B247+IF($R$17="Distrato",$I$38-1,0)),IF(AND($L$37=0,$P$34=0),"",$L$37-1),IF($R$17="Distrato",$E247,0)),MIN(AN$38,$D$19),$P$20))-SUM($P247:AM247)</f>
        <v>#VALUE!</v>
      </c>
      <c r="AO247" s="446" t="e">
        <f>IF(OR($B247="",MIN(AO$38,$D$19)&lt;MAX($P$34*($B247+IF($R$17="Distrato",$I$38-1,0)),IF(AND($L$37=0,$P$34=0),"",$L$37-1),IF($R$17="Distrato",$E247,0))),0,YEARFRAC(MAX($P$34*($B247+IF($R$17="Distrato",$I$38-1,0)),IF(AND($L$37=0,$P$34=0),"",$L$37-1),IF($R$17="Distrato",$E247,0)),MIN(AO$38,$D$19),$P$20))-SUM($P247:AN247)</f>
        <v>#VALUE!</v>
      </c>
      <c r="AP247" s="446" t="e">
        <f>IF(OR($B247="",MIN(AP$38,$D$19)&lt;MAX($P$34*($B247+IF($R$17="Distrato",$I$38-1,0)),IF(AND($L$37=0,$P$34=0),"",$L$37-1),IF($R$17="Distrato",$E247,0))),0,YEARFRAC(MAX($P$34*($B247+IF($R$17="Distrato",$I$38-1,0)),IF(AND($L$37=0,$P$34=0),"",$L$37-1),IF($R$17="Distrato",$E247,0)),MIN(AP$38,$D$19),$P$20))-SUM($P247:AO247)</f>
        <v>#VALUE!</v>
      </c>
      <c r="AQ247" s="446" t="e">
        <f>IF(OR($B247="",MIN(AQ$38,$D$19)&lt;MAX($P$34*($B247+IF($R$17="Distrato",$I$38-1,0)),IF(AND($L$37=0,$P$34=0),"",$L$37-1),IF($R$17="Distrato",$E247,0))),0,YEARFRAC(MAX($P$34*($B247+IF($R$17="Distrato",$I$38-1,0)),IF(AND($L$37=0,$P$34=0),"",$L$37-1),IF($R$17="Distrato",$E247,0)),MIN(AQ$38,$D$19),$P$20))-SUM($P247:AP247)</f>
        <v>#VALUE!</v>
      </c>
      <c r="AR247" s="446" t="e">
        <f>IF(OR($B247="",MIN(AR$38,$D$19)&lt;MAX($P$34*($B247+IF($R$17="Distrato",$I$38-1,0)),IF(AND($L$37=0,$P$34=0),"",$L$37-1),IF($R$17="Distrato",$E247,0))),0,YEARFRAC(MAX($P$34*($B247+IF($R$17="Distrato",$I$38-1,0)),IF(AND($L$37=0,$P$34=0),"",$L$37-1),IF($R$17="Distrato",$E247,0)),MIN(AR$38,$D$19),$P$20))-SUM($P247:AQ247)</f>
        <v>#VALUE!</v>
      </c>
      <c r="AS247" s="446" t="e">
        <f>IF(OR($B247="",MIN(AS$38,$D$19)&lt;MAX($P$34*($B247+IF($R$17="Distrato",$I$38-1,0)),IF(AND($L$37=0,$P$34=0),"",$L$37-1),IF($R$17="Distrato",$E247,0))),0,YEARFRAC(MAX($P$34*($B247+IF($R$17="Distrato",$I$38-1,0)),IF(AND($L$37=0,$P$34=0),"",$L$37-1),IF($R$17="Distrato",$E247,0)),MIN(AS$38,$D$19),$P$20))-SUM($P247:AR247)</f>
        <v>#VALUE!</v>
      </c>
      <c r="AT247" s="446" t="e">
        <f>IF(OR($B247="",MIN(AT$38,$D$19)&lt;MAX($P$34*($B247+IF($R$17="Distrato",$I$38-1,0)),IF(AND($L$37=0,$P$34=0),"",$L$37-1),IF($R$17="Distrato",$E247,0))),0,YEARFRAC(MAX($P$34*($B247+IF($R$17="Distrato",$I$38-1,0)),IF(AND($L$37=0,$P$34=0),"",$L$37-1),IF($R$17="Distrato",$E247,0)),MIN(AT$38,$D$19),$P$20))-SUM($P247:AS247)</f>
        <v>#VALUE!</v>
      </c>
      <c r="AU247" s="446" t="e">
        <f>IF(OR($B247="",MIN(AU$38,$D$19)&lt;MAX($P$34*($B247+IF($R$17="Distrato",$I$38-1,0)),IF(AND($L$37=0,$P$34=0),"",$L$37-1),IF($R$17="Distrato",$E247,0))),0,YEARFRAC(MAX($P$34*($B247+IF($R$17="Distrato",$I$38-1,0)),IF(AND($L$37=0,$P$34=0),"",$L$37-1),IF($R$17="Distrato",$E247,0)),MIN(AU$38,$D$19),$P$20))-SUM($P247:AT247)</f>
        <v>#VALUE!</v>
      </c>
      <c r="AV247" s="446" t="e">
        <f>IF(OR($B247="",MIN(AV$38,$D$19)&lt;MAX($P$34*($B247+IF($R$17="Distrato",$I$38-1,0)),IF(AND($L$37=0,$P$34=0),"",$L$37-1),IF($R$17="Distrato",$E247,0))),0,YEARFRAC(MAX($P$34*($B247+IF($R$17="Distrato",$I$38-1,0)),IF(AND($L$37=0,$P$34=0),"",$L$37-1),IF($R$17="Distrato",$E247,0)),MIN(AV$38,$D$19),$P$20))-SUM($P247:AU247)</f>
        <v>#VALUE!</v>
      </c>
      <c r="AW247" s="446" t="e">
        <f>IF(OR($B247="",MIN(AW$38,$D$19)&lt;MAX($P$34*($B247+IF($R$17="Distrato",$I$38-1,0)),IF(AND($L$37=0,$P$34=0),"",$L$37-1),IF($R$17="Distrato",$E247,0))),0,YEARFRAC(MAX($P$34*($B247+IF($R$17="Distrato",$I$38-1,0)),IF(AND($L$37=0,$P$34=0),"",$L$37-1),IF($R$17="Distrato",$E247,0)),MIN(AW$38,$D$19),$P$20))-SUM($P247:AV247)</f>
        <v>#VALUE!</v>
      </c>
      <c r="AX247" s="446" t="e">
        <f>IF(OR($B247="",MIN(AX$38,$D$19)&lt;MAX($P$34*($B247+IF($R$17="Distrato",$I$38-1,0)),IF(AND($L$37=0,$P$34=0),"",$L$37-1),IF($R$17="Distrato",$E247,0))),0,YEARFRAC(MAX($P$34*($B247+IF($R$17="Distrato",$I$38-1,0)),IF(AND($L$37=0,$P$34=0),"",$L$37-1),IF($R$17="Distrato",$E247,0)),MIN(AX$38,$D$19),$P$20))-SUM($P247:AW247)</f>
        <v>#VALUE!</v>
      </c>
      <c r="AY247" s="446" t="e">
        <f>IF(OR($B247="",MIN(AY$38,$D$19)&lt;MAX($P$34*($B247+IF($R$17="Distrato",$I$38-1,0)),IF(AND($L$37=0,$P$34=0),"",$L$37-1),IF($R$17="Distrato",$E247,0))),0,YEARFRAC(MAX($P$34*($B247+IF($R$17="Distrato",$I$38-1,0)),IF(AND($L$37=0,$P$34=0),"",$L$37-1),IF($R$17="Distrato",$E247,0)),MIN(AY$38,$D$19),$P$20))-SUM($P247:AX247)</f>
        <v>#VALUE!</v>
      </c>
      <c r="AZ247" s="446" t="e">
        <f>IF(OR($B247="",MIN(AZ$38,$D$19)&lt;MAX($P$34*($B247+IF($R$17="Distrato",$I$38-1,0)),IF(AND($L$37=0,$P$34=0),"",$L$37-1),IF($R$17="Distrato",$E247,0))),0,YEARFRAC(MAX($P$34*($B247+IF($R$17="Distrato",$I$38-1,0)),IF(AND($L$37=0,$P$34=0),"",$L$37-1),IF($R$17="Distrato",$E247,0)),MIN(AZ$38,$D$19),$P$20))-SUM($P247:AY247)</f>
        <v>#VALUE!</v>
      </c>
      <c r="BA247" s="446" t="e">
        <f>IF(OR($B247="",MIN(BA$38,$D$19)&lt;MAX($P$34*($B247+IF($R$17="Distrato",$I$38-1,0)),IF(AND($L$37=0,$P$34=0),"",$L$37-1),IF($R$17="Distrato",$E247,0))),0,YEARFRAC(MAX($P$34*($B247+IF($R$17="Distrato",$I$38-1,0)),IF(AND($L$37=0,$P$34=0),"",$L$37-1),IF($R$17="Distrato",$E247,0)),MIN(BA$38,$D$19),$P$20))-SUM($P247:AZ247)</f>
        <v>#VALUE!</v>
      </c>
      <c r="BB247" s="447"/>
      <c r="BF247" s="446">
        <f t="shared" si="43"/>
        <v>0</v>
      </c>
      <c r="BG247" s="446">
        <f>IF($E247=0,0,IF(MIN(BG$38,$E247)&lt;MAX($P$34*($B247+$I$38-1),IF(AND($L$37=0,$P$34=0),"",$L$37-1)),0,YEARFRAC(MAX($P$34*($B247+$I$38-1),IF(AND($L$37=0,$P$34=0),"",$L$37-1)),MIN(BG$38,$E247),$P$20))-SUM($BF247:BF247))</f>
        <v>0</v>
      </c>
      <c r="BH247" s="446">
        <f>IF($E247=0,0,IF(MIN(BH$38,$E247)&lt;MAX($P$34*($B247+$I$38-1),IF(AND($L$37=0,$P$34=0),"",$L$37-1)),0,YEARFRAC(MAX($P$34*($B247+$I$38-1),IF(AND($L$37=0,$P$34=0),"",$L$37-1)),MIN(BH$38,$E247),$P$20))-SUM($BF247:BG247))</f>
        <v>0</v>
      </c>
      <c r="BI247" s="446">
        <f>IF($E247=0,0,IF(MIN(BI$38,$E247)&lt;MAX($P$34*($B247+$I$38-1),IF(AND($L$37=0,$P$34=0),"",$L$37-1)),0,YEARFRAC(MAX($P$34*($B247+$I$38-1),IF(AND($L$37=0,$P$34=0),"",$L$37-1)),MIN(BI$38,$E247),$P$20))-SUM($BF247:BH247))</f>
        <v>0</v>
      </c>
      <c r="BJ247" s="446">
        <f>IF($E247=0,0,IF(MIN(BJ$38,$E247)&lt;MAX($P$34*($B247+$I$38-1),IF(AND($L$37=0,$P$34=0),"",$L$37-1)),0,YEARFRAC(MAX($P$34*($B247+$I$38-1),IF(AND($L$37=0,$P$34=0),"",$L$37-1)),MIN(BJ$38,$E247),$P$20))-SUM($BF247:BI247))</f>
        <v>0</v>
      </c>
      <c r="BK247" s="446">
        <f>IF($E247=0,0,IF(MIN(BK$38,$E247)&lt;MAX($P$34*($B247+$I$38-1),IF(AND($L$37=0,$P$34=0),"",$L$37-1)),0,YEARFRAC(MAX($P$34*($B247+$I$38-1),IF(AND($L$37=0,$P$34=0),"",$L$37-1)),MIN(BK$38,$E247),$P$20))-SUM($BF247:BJ247))</f>
        <v>0</v>
      </c>
      <c r="BL247" s="446">
        <f>IF($E247=0,0,IF(MIN(BL$38,$E247)&lt;MAX($P$34*($B247+$I$38-1),IF(AND($L$37=0,$P$34=0),"",$L$37-1)),0,YEARFRAC(MAX($P$34*($B247+$I$38-1),IF(AND($L$37=0,$P$34=0),"",$L$37-1)),MIN(BL$38,$E247),$P$20))-SUM($BF247:BK247))</f>
        <v>0</v>
      </c>
      <c r="BM247" s="446">
        <f>IF($E247=0,0,IF(MIN(BM$38,$E247)&lt;MAX($P$34*($B247+$I$38-1),IF(AND($L$37=0,$P$34=0),"",$L$37-1)),0,YEARFRAC(MAX($P$34*($B247+$I$38-1),IF(AND($L$37=0,$P$34=0),"",$L$37-1)),MIN(BM$38,$E247),$P$20))-SUM($BF247:BL247))</f>
        <v>0</v>
      </c>
      <c r="BN247" s="446">
        <f>IF($E247=0,0,IF(MIN(BN$38,$E247)&lt;MAX($P$34*($B247+$I$38-1),IF(AND($L$37=0,$P$34=0),"",$L$37-1)),0,YEARFRAC(MAX($P$34*($B247+$I$38-1),IF(AND($L$37=0,$P$34=0),"",$L$37-1)),MIN(BN$38,$E247),$P$20))-SUM($BF247:BM247))</f>
        <v>0</v>
      </c>
      <c r="BO247" s="446">
        <f>IF($E247=0,0,IF(MIN(BO$38,$E247)&lt;MAX($P$34*($B247+$I$38-1),IF(AND($L$37=0,$P$34=0),"",$L$37-1)),0,YEARFRAC(MAX($P$34*($B247+$I$38-1),IF(AND($L$37=0,$P$34=0),"",$L$37-1)),MIN(BO$38,$E247),$P$20))-SUM($BF247:BN247))</f>
        <v>0</v>
      </c>
      <c r="BP247" s="446">
        <f>IF($E247=0,0,IF(MIN(BP$38,$E247)&lt;MAX($P$34*($B247+$I$38-1),IF(AND($L$37=0,$P$34=0),"",$L$37-1)),0,YEARFRAC(MAX($P$34*($B247+$I$38-1),IF(AND($L$37=0,$P$34=0),"",$L$37-1)),MIN(BP$38,$E247),$P$20))-SUM($BF247:BO247))</f>
        <v>0</v>
      </c>
      <c r="BQ247" s="446">
        <f>IF($E247=0,0,IF(MIN(BQ$38,$E247)&lt;MAX($P$34*($B247+$I$38-1),IF(AND($L$37=0,$P$34=0),"",$L$37-1)),0,YEARFRAC(MAX($P$34*($B247+$I$38-1),IF(AND($L$37=0,$P$34=0),"",$L$37-1)),MIN(BQ$38,$E247),$P$20))-SUM($BF247:BP247))</f>
        <v>0</v>
      </c>
      <c r="BR247" s="446">
        <f>IF($E247=0,0,IF(MIN(BR$38,$E247)&lt;MAX($P$34*($B247+$I$38-1),IF(AND($L$37=0,$P$34=0),"",$L$37-1)),0,YEARFRAC(MAX($P$34*($B247+$I$38-1),IF(AND($L$37=0,$P$34=0),"",$L$37-1)),MIN(BR$38,$E247),$P$20))-SUM($BF247:BQ247))</f>
        <v>0</v>
      </c>
      <c r="BS247" s="446">
        <f>IF($E247=0,0,IF(MIN(BS$38,$E247)&lt;MAX($P$34*($B247+$I$38-1),IF(AND($L$37=0,$P$34=0),"",$L$37-1)),0,YEARFRAC(MAX($P$34*($B247+$I$38-1),IF(AND($L$37=0,$P$34=0),"",$L$37-1)),MIN(BS$38,$E247),$P$20))-SUM($BF247:BR247))</f>
        <v>0</v>
      </c>
      <c r="BT247" s="446">
        <f>IF($E247=0,0,IF(MIN(BT$38,$E247)&lt;MAX($P$34*($B247+$I$38-1),IF(AND($L$37=0,$P$34=0),"",$L$37-1)),0,YEARFRAC(MAX($P$34*($B247+$I$38-1),IF(AND($L$37=0,$P$34=0),"",$L$37-1)),MIN(BT$38,$E247),$P$20))-SUM($BF247:BS247))</f>
        <v>0</v>
      </c>
      <c r="BU247" s="446">
        <f>IF($E247=0,0,IF(MIN(BU$38,$E247)&lt;MAX($P$34*($B247+$I$38-1),IF(AND($L$37=0,$P$34=0),"",$L$37-1)),0,YEARFRAC(MAX($P$34*($B247+$I$38-1),IF(AND($L$37=0,$P$34=0),"",$L$37-1)),MIN(BU$38,$E247),$P$20))-SUM($BF247:BT247))</f>
        <v>0</v>
      </c>
      <c r="BV247" s="446">
        <f>IF($E247=0,0,IF(MIN(BV$38,$E247)&lt;MAX($P$34*($B247+$I$38-1),IF(AND($L$37=0,$P$34=0),"",$L$37-1)),0,YEARFRAC(MAX($P$34*($B247+$I$38-1),IF(AND($L$37=0,$P$34=0),"",$L$37-1)),MIN(BV$38,$E247),$P$20))-SUM($BF247:BU247))</f>
        <v>0</v>
      </c>
      <c r="BW247" s="446">
        <f>IF($E247=0,0,IF(MIN(BW$38,$E247)&lt;MAX($P$34*($B247+$I$38-1),IF(AND($L$37=0,$P$34=0),"",$L$37-1)),0,YEARFRAC(MAX($P$34*($B247+$I$38-1),IF(AND($L$37=0,$P$34=0),"",$L$37-1)),MIN(BW$38,$E247),$P$20))-SUM($BF247:BV247))</f>
        <v>0</v>
      </c>
      <c r="BX247" s="446">
        <f>IF($E247=0,0,IF(MIN(BX$38,$E247)&lt;MAX($P$34*($B247+$I$38-1),IF(AND($L$37=0,$P$34=0),"",$L$37-1)),0,YEARFRAC(MAX($P$34*($B247+$I$38-1),IF(AND($L$37=0,$P$34=0),"",$L$37-1)),MIN(BX$38,$E247),$P$20))-SUM($BF247:BW247))</f>
        <v>0</v>
      </c>
      <c r="BY247" s="446">
        <f>IF($E247=0,0,IF(MIN(BY$38,$E247)&lt;MAX($P$34*($B247+$I$38-1),IF(AND($L$37=0,$P$34=0),"",$L$37-1)),0,YEARFRAC(MAX($P$34*($B247+$I$38-1),IF(AND($L$37=0,$P$34=0),"",$L$37-1)),MIN(BY$38,$E247),$P$20))-SUM($BF247:BX247))</f>
        <v>0</v>
      </c>
      <c r="BZ247" s="446">
        <f>IF($E247=0,0,IF(MIN(BZ$38,$E247)&lt;MAX($P$34*($B247+$I$38-1),IF(AND($L$37=0,$P$34=0),"",$L$37-1)),0,YEARFRAC(MAX($P$34*($B247+$I$38-1),IF(AND($L$37=0,$P$34=0),"",$L$37-1)),MIN(BZ$38,$E247),$P$20))-SUM($BF247:BY247))</f>
        <v>0</v>
      </c>
      <c r="CA247" s="446">
        <f>IF($E247=0,0,IF(MIN(CA$38,$E247)&lt;MAX($P$34*($B247+$I$38-1),IF(AND($L$37=0,$P$34=0),"",$L$37-1)),0,YEARFRAC(MAX($P$34*($B247+$I$38-1),IF(AND($L$37=0,$P$34=0),"",$L$37-1)),MIN(CA$38,$E247),$P$20))-SUM($BF247:BZ247))</f>
        <v>0</v>
      </c>
      <c r="CB247" s="446">
        <f>IF($E247=0,0,IF(MIN(CB$38,$E247)&lt;MAX($P$34*($B247+$I$38-1),IF(AND($L$37=0,$P$34=0),"",$L$37-1)),0,YEARFRAC(MAX($P$34*($B247+$I$38-1),IF(AND($L$37=0,$P$34=0),"",$L$37-1)),MIN(CB$38,$E247),$P$20))-SUM($BF247:CA247))</f>
        <v>0</v>
      </c>
      <c r="CC247" s="446">
        <f>IF($E247=0,0,IF(MIN(CC$38,$E247)&lt;MAX($P$34*($B247+$I$38-1),IF(AND($L$37=0,$P$34=0),"",$L$37-1)),0,YEARFRAC(MAX($P$34*($B247+$I$38-1),IF(AND($L$37=0,$P$34=0),"",$L$37-1)),MIN(CC$38,$E247),$P$20))-SUM($BF247:CB247))</f>
        <v>0</v>
      </c>
      <c r="CD247" s="446">
        <f>IF($E247=0,0,IF(MIN(CD$38,$E247)&lt;MAX($P$34*($B247+$I$38-1),IF(AND($L$37=0,$P$34=0),"",$L$37-1)),0,YEARFRAC(MAX($P$34*($B247+$I$38-1),IF(AND($L$37=0,$P$34=0),"",$L$37-1)),MIN(CD$38,$E247),$P$20))-SUM($BF247:CC247))</f>
        <v>0</v>
      </c>
      <c r="CE247" s="446">
        <f>IF($E247=0,0,IF(MIN(CE$38,$E247)&lt;MAX($P$34*($B247+$I$38-1),IF(AND($L$37=0,$P$34=0),"",$L$37-1)),0,YEARFRAC(MAX($P$34*($B247+$I$38-1),IF(AND($L$37=0,$P$34=0),"",$L$37-1)),MIN(CE$38,$E247),$P$20))-SUM($BF247:CD247))</f>
        <v>0</v>
      </c>
      <c r="CF247" s="446">
        <f>IF($E247=0,0,IF(MIN(CF$38,$E247)&lt;MAX($P$34*($B247+$I$38-1),IF(AND($L$37=0,$P$34=0),"",$L$37-1)),0,YEARFRAC(MAX($P$34*($B247+$I$38-1),IF(AND($L$37=0,$P$34=0),"",$L$37-1)),MIN(CF$38,$E247),$P$20))-SUM($BF247:CE247))</f>
        <v>0</v>
      </c>
      <c r="CG247" s="446">
        <f>IF($E247=0,0,IF(MIN(CG$38,$E247)&lt;MAX($P$34*($B247+$I$38-1),IF(AND($L$37=0,$P$34=0),"",$L$37-1)),0,YEARFRAC(MAX($P$34*($B247+$I$38-1),IF(AND($L$37=0,$P$34=0),"",$L$37-1)),MIN(CG$38,$E247),$P$20))-SUM($BF247:CF247))</f>
        <v>0</v>
      </c>
      <c r="CH247" s="446">
        <f>IF($E247=0,0,IF(MIN(CH$38,$E247)&lt;MAX($P$34*($B247+$I$38-1),IF(AND($L$37=0,$P$34=0),"",$L$37-1)),0,YEARFRAC(MAX($P$34*($B247+$I$38-1),IF(AND($L$37=0,$P$34=0),"",$L$37-1)),MIN(CH$38,$E247),$P$20))-SUM($BF247:CG247))</f>
        <v>0</v>
      </c>
      <c r="CI247" s="446">
        <f>IF($E247=0,0,IF(MIN(CI$38,$E247)&lt;MAX($P$34*($B247+$I$38-1),IF(AND($L$37=0,$P$34=0),"",$L$37-1)),0,YEARFRAC(MAX($P$34*($B247+$I$38-1),IF(AND($L$37=0,$P$34=0),"",$L$37-1)),MIN(CI$38,$E247),$P$20))-SUM($BF247:CH247))</f>
        <v>0</v>
      </c>
      <c r="CJ247" s="446">
        <f>IF($E247=0,0,IF(MIN(CJ$38,$E247)&lt;MAX($P$34*($B247+$I$38-1),IF(AND($L$37=0,$P$34=0),"",$L$37-1)),0,YEARFRAC(MAX($P$34*($B247+$I$38-1),IF(AND($L$37=0,$P$34=0),"",$L$37-1)),MIN(CJ$38,$E247),$P$20))-SUM($BF247:CI247))</f>
        <v>0</v>
      </c>
      <c r="CK247" s="446">
        <f>IF($E247=0,0,IF(MIN(CK$38,$E247)&lt;MAX($P$34*($B247+$I$38-1),IF(AND($L$37=0,$P$34=0),"",$L$37-1)),0,YEARFRAC(MAX($P$34*($B247+$I$38-1),IF(AND($L$37=0,$P$34=0),"",$L$37-1)),MIN(CK$38,$E247),$P$20))-SUM($BF247:CJ247))</f>
        <v>0</v>
      </c>
      <c r="CL247" s="446">
        <f>IF($E247=0,0,IF(MIN(CL$38,$E247)&lt;MAX($P$34*($B247+$I$38-1),IF(AND($L$37=0,$P$34=0),"",$L$37-1)),0,YEARFRAC(MAX($P$34*($B247+$I$38-1),IF(AND($L$37=0,$P$34=0),"",$L$37-1)),MIN(CL$38,$E247),$P$20))-SUM($BF247:CK247))</f>
        <v>0</v>
      </c>
      <c r="CM247" s="446">
        <f>IF($E247=0,0,IF(MIN(CM$38,$E247)&lt;MAX($P$34*($B247+$I$38-1),IF(AND($L$37=0,$P$34=0),"",$L$37-1)),0,YEARFRAC(MAX($P$34*($B247+$I$38-1),IF(AND($L$37=0,$P$34=0),"",$L$37-1)),MIN(CM$38,$E247),$P$20))-SUM($BF247:CL247))</f>
        <v>0</v>
      </c>
      <c r="CN247" s="446">
        <f>IF($E247=0,0,IF(MIN(CN$38,$E247)&lt;MAX($P$34*($B247+$I$38-1),IF(AND($L$37=0,$P$34=0),"",$L$37-1)),0,YEARFRAC(MAX($P$34*($B247+$I$38-1),IF(AND($L$37=0,$P$34=0),"",$L$37-1)),MIN(CN$38,$E247),$P$20))-SUM($BF247:CM247))</f>
        <v>0</v>
      </c>
      <c r="CO247" s="446">
        <f>IF($E247=0,0,IF(MIN(CO$38,$E247)&lt;MAX($P$34*($B247+$I$38-1),IF(AND($L$37=0,$P$34=0),"",$L$37-1)),0,YEARFRAC(MAX($P$34*($B247+$I$38-1),IF(AND($L$37=0,$P$34=0),"",$L$37-1)),MIN(CO$38,$E247),$P$20))-SUM($BF247:CN247))</f>
        <v>0</v>
      </c>
      <c r="CP247" s="446">
        <f>IF($E247=0,0,IF(MIN(CP$38,$E247)&lt;MAX($P$34*($B247+$I$38-1),IF(AND($L$37=0,$P$34=0),"",$L$37-1)),0,YEARFRAC(MAX($P$34*($B247+$I$38-1),IF(AND($L$37=0,$P$34=0),"",$L$37-1)),MIN(CP$38,$E247),$P$20))-SUM($BF247:CO247))</f>
        <v>0</v>
      </c>
      <c r="CQ247" s="446">
        <f>IF($E247=0,0,IF(MIN(CQ$38,$E247)&lt;MAX($P$34*($B247+$I$38-1),IF(AND($L$37=0,$P$34=0),"",$L$37-1)),0,YEARFRAC(MAX($P$34*($B247+$I$38-1),IF(AND($L$37=0,$P$34=0),"",$L$37-1)),MIN(CQ$38,$E247),$P$20))-SUM($BF247:CP247))</f>
        <v>0</v>
      </c>
    </row>
    <row r="248" spans="1:95" s="446" customFormat="1" ht="11.25" hidden="1" customHeight="1" x14ac:dyDescent="0.2">
      <c r="A248" s="152"/>
      <c r="B248" s="153" t="str">
        <f t="shared" si="48"/>
        <v/>
      </c>
      <c r="C248" s="29" t="str">
        <f>IF(B248="","",IF($L$35="SELIC - TRIBUTOS",VLOOKUP(DATE(YEAR($D$19),MONTH($D$19)-1,1),ÍNDICES!$A:$DE,HLOOKUP($BL$25,ÍNDICES!$B$3:$T$4,2)+11)-VLOOKUP(B248,ÍNDICES!$A:$DE,HLOOKUP($BL$25,ÍNDICES!$B$3:$T$4,2)+11)+1%,IF(C$38=$W$26,$J$35,IF(ISERROR(IF(B248&gt;$D$19,1,VLOOKUP(DATE(YEAR(B248),MONTH(B248)+IF($C$35=$S$23,1,0),1),ÍNDICES!$A:$DE,$Z$35+1))),"",IF(B248&gt;$D$19,1,VLOOKUP(DATE(YEAR(B248),MONTH(B248)+IF($C$35=$S$23,1,0),1),ÍNDICES!$A:$DE,$Z$35+1))))))</f>
        <v/>
      </c>
      <c r="D248" s="154" t="str">
        <f>IF(ISERROR(IF(OR($D$38=$Y$27,$B248=""),"",VLOOKUP(B248,ÍNDICES!A:DE,AF$35+1))),"",IF(OR($D$38=$Y$27,$B248=""),"",VLOOKUP(B248,ÍNDICES!A:DE,AF$35+1)))</f>
        <v/>
      </c>
      <c r="E248" s="153"/>
      <c r="F248" s="29" t="str">
        <f>IF(E248="","",IF($L$35="SELIC - TRIBUTOS",VLOOKUP(DATE(YEAR($D$19),MONTH($D$19)-1,1),ÍNDICES!$A:$DE,HLOOKUP($BL$25,ÍNDICES!$B$3:$T$4,2)+11)-VLOOKUP(E248,ÍNDICES!$A:$DE,HLOOKUP($BL$25,ÍNDICES!$B$3:$T$4,2)+11)+1%,IF(F$38=$W$26,$J$35,IF(ISERROR(IF(E248&gt;$D$19,1,VLOOKUP(DATE(YEAR(E248),MONTH(E248)+IF($C$35=$S$23,1,0),1),ÍNDICES!$A:$DE,$Z$35+1))),"",IF(E248&gt;$D$19,1,VLOOKUP(DATE(YEAR(E248),MONTH(E248)+IF($C$35=$S$23,1,0),1),ÍNDICES!$A:$DE,$Z$35+1))))))</f>
        <v/>
      </c>
      <c r="G248" s="155"/>
      <c r="H248" s="156" t="str">
        <f t="shared" si="44"/>
        <v/>
      </c>
      <c r="I248" s="29" t="str">
        <f t="shared" si="38"/>
        <v/>
      </c>
      <c r="J248" s="5">
        <f t="shared" si="39"/>
        <v>0</v>
      </c>
      <c r="K248" s="20">
        <f t="shared" ca="1" si="40"/>
        <v>0</v>
      </c>
      <c r="L248" s="5">
        <f t="shared" ca="1" si="41"/>
        <v>0</v>
      </c>
      <c r="M248" s="64">
        <f t="shared" si="45"/>
        <v>0</v>
      </c>
      <c r="N248" s="61">
        <f t="shared" ca="1" si="46"/>
        <v>0</v>
      </c>
      <c r="O248" s="5">
        <f t="shared" ca="1" si="47"/>
        <v>0</v>
      </c>
      <c r="P248" s="446" t="e">
        <f t="shared" si="42"/>
        <v>#VALUE!</v>
      </c>
      <c r="Q248" s="446" t="e">
        <f>IF(OR($B248="",MIN(Q$38,$D$19)&lt;MAX($P$34*($B248+IF($R$17="Distrato",$I$38-1,0)),IF(AND($L$37=0,$P$34=0),"",$L$37-1),IF($R$17="Distrato",$E248,0))),0,YEARFRAC(MAX($P$34*($B248+IF($R$17="Distrato",$I$38-1,0)),IF(AND($L$37=0,$P$34=0),"",$L$37-1),IF($R$17="Distrato",$E248,0)),MIN(Q$38,$D$19),$P$20))-SUM($P248:P248)</f>
        <v>#VALUE!</v>
      </c>
      <c r="R248" s="446" t="e">
        <f>IF(OR($B248="",MIN(R$38,$D$19)&lt;MAX($P$34*($B248+IF($R$17="Distrato",$I$38-1,0)),IF(AND($L$37=0,$P$34=0),"",$L$37-1),IF($R$17="Distrato",$E248,0))),0,YEARFRAC(MAX($P$34*($B248+IF($R$17="Distrato",$I$38-1,0)),IF(AND($L$37=0,$P$34=0),"",$L$37-1),IF($R$17="Distrato",$E248,0)),MIN(R$38,$D$19),$P$20))-SUM($P248:Q248)</f>
        <v>#VALUE!</v>
      </c>
      <c r="S248" s="446" t="e">
        <f>IF(OR($B248="",MIN(S$38,$D$19)&lt;MAX($P$34*($B248+IF($R$17="Distrato",$I$38-1,0)),IF(AND($L$37=0,$P$34=0),"",$L$37-1),IF($R$17="Distrato",$E248,0))),0,YEARFRAC(MAX($P$34*($B248+IF($R$17="Distrato",$I$38-1,0)),IF(AND($L$37=0,$P$34=0),"",$L$37-1),IF($R$17="Distrato",$E248,0)),MIN(S$38,$D$19),$P$20))-SUM($P248:R248)</f>
        <v>#VALUE!</v>
      </c>
      <c r="T248" s="446" t="e">
        <f>IF(OR($B248="",MIN(T$38,$D$19)&lt;MAX($P$34*($B248+IF($R$17="Distrato",$I$38-1,0)),IF(AND($L$37=0,$P$34=0),"",$L$37-1),IF($R$17="Distrato",$E248,0))),0,YEARFRAC(MAX($P$34*($B248+IF($R$17="Distrato",$I$38-1,0)),IF(AND($L$37=0,$P$34=0),"",$L$37-1),IF($R$17="Distrato",$E248,0)),MIN(T$38,$D$19),$P$20))-SUM($P248:S248)</f>
        <v>#VALUE!</v>
      </c>
      <c r="U248" s="446" t="e">
        <f>IF(OR($B248="",MIN(U$38,$D$19)&lt;MAX($P$34*($B248+IF($R$17="Distrato",$I$38-1,0)),IF(AND($L$37=0,$P$34=0),"",$L$37-1),IF($R$17="Distrato",$E248,0))),0,YEARFRAC(MAX($P$34*($B248+IF($R$17="Distrato",$I$38-1,0)),IF(AND($L$37=0,$P$34=0),"",$L$37-1),IF($R$17="Distrato",$E248,0)),MIN(U$38,$D$19),$P$20))-SUM($P248:T248)</f>
        <v>#VALUE!</v>
      </c>
      <c r="V248" s="446" t="e">
        <f>IF(OR($B248="",MIN(V$38,$D$19)&lt;MAX($P$34*($B248+IF($R$17="Distrato",$I$38-1,0)),IF(AND($L$37=0,$P$34=0),"",$L$37-1),IF($R$17="Distrato",$E248,0))),0,YEARFRAC(MAX($P$34*($B248+IF($R$17="Distrato",$I$38-1,0)),IF(AND($L$37=0,$P$34=0),"",$L$37-1),IF($R$17="Distrato",$E248,0)),MIN(V$38,$D$19),$P$20))-SUM($P248:U248)</f>
        <v>#VALUE!</v>
      </c>
      <c r="W248" s="446" t="e">
        <f>IF(OR($B248="",MIN(W$38,$D$19)&lt;MAX($P$34*($B248+IF($R$17="Distrato",$I$38-1,0)),IF(AND($L$37=0,$P$34=0),"",$L$37-1),IF($R$17="Distrato",$E248,0))),0,YEARFRAC(MAX($P$34*($B248+IF($R$17="Distrato",$I$38-1,0)),IF(AND($L$37=0,$P$34=0),"",$L$37-1),IF($R$17="Distrato",$E248,0)),MIN(W$38,$D$19),$P$20))-SUM($P248:V248)</f>
        <v>#VALUE!</v>
      </c>
      <c r="X248" s="446" t="e">
        <f>IF(OR($B248="",MIN(X$38,$D$19)&lt;MAX($P$34*($B248+IF($R$17="Distrato",$I$38-1,0)),IF(AND($L$37=0,$P$34=0),"",$L$37-1),IF($R$17="Distrato",$E248,0))),0,YEARFRAC(MAX($P$34*($B248+IF($R$17="Distrato",$I$38-1,0)),IF(AND($L$37=0,$P$34=0),"",$L$37-1),IF($R$17="Distrato",$E248,0)),MIN(X$38,$D$19),$P$20))-SUM($P248:W248)</f>
        <v>#VALUE!</v>
      </c>
      <c r="Y248" s="446" t="e">
        <f>IF(OR($B248="",MIN(Y$38,$D$19)&lt;MAX($P$34*($B248+IF($R$17="Distrato",$I$38-1,0)),IF(AND($L$37=0,$P$34=0),"",$L$37-1),IF($R$17="Distrato",$E248,0))),0,YEARFRAC(MAX($P$34*($B248+IF($R$17="Distrato",$I$38-1,0)),IF(AND($L$37=0,$P$34=0),"",$L$37-1),IF($R$17="Distrato",$E248,0)),MIN(Y$38,$D$19),$P$20))-SUM($P248:X248)</f>
        <v>#VALUE!</v>
      </c>
      <c r="Z248" s="446" t="e">
        <f>IF(OR($B248="",MIN(Z$38,$D$19)&lt;MAX($P$34*($B248+IF($R$17="Distrato",$I$38-1,0)),IF(AND($L$37=0,$P$34=0),"",$L$37-1),IF($R$17="Distrato",$E248,0))),0,YEARFRAC(MAX($P$34*($B248+IF($R$17="Distrato",$I$38-1,0)),IF(AND($L$37=0,$P$34=0),"",$L$37-1),IF($R$17="Distrato",$E248,0)),MIN(Z$38,$D$19),$P$20))-SUM($P248:Y248)</f>
        <v>#VALUE!</v>
      </c>
      <c r="AA248" s="446" t="e">
        <f>IF(OR($B248="",MIN(AA$38,$D$19)&lt;MAX($P$34*($B248+IF($R$17="Distrato",$I$38-1,0)),IF(AND($L$37=0,$P$34=0),"",$L$37-1),IF($R$17="Distrato",$E248,0))),0,YEARFRAC(MAX($P$34*($B248+IF($R$17="Distrato",$I$38-1,0)),IF(AND($L$37=0,$P$34=0),"",$L$37-1),IF($R$17="Distrato",$E248,0)),MIN(AA$38,$D$19),$P$20))-SUM($P248:Z248)</f>
        <v>#VALUE!</v>
      </c>
      <c r="AB248" s="446" t="e">
        <f>IF(OR($B248="",MIN(AB$38,$D$19)&lt;MAX($P$34*($B248+IF($R$17="Distrato",$I$38-1,0)),IF(AND($L$37=0,$P$34=0),"",$L$37-1),IF($R$17="Distrato",$E248,0))),0,YEARFRAC(MAX($P$34*($B248+IF($R$17="Distrato",$I$38-1,0)),IF(AND($L$37=0,$P$34=0),"",$L$37-1),IF($R$17="Distrato",$E248,0)),MIN(AB$38,$D$19),$P$20))-SUM($P248:AA248)</f>
        <v>#VALUE!</v>
      </c>
      <c r="AC248" s="446" t="e">
        <f>IF(OR($B248="",MIN(AC$38,$D$19)&lt;MAX($P$34*($B248+IF($R$17="Distrato",$I$38-1,0)),IF(AND($L$37=0,$P$34=0),"",$L$37-1),IF($R$17="Distrato",$E248,0))),0,YEARFRAC(MAX($P$34*($B248+IF($R$17="Distrato",$I$38-1,0)),IF(AND($L$37=0,$P$34=0),"",$L$37-1),IF($R$17="Distrato",$E248,0)),MIN(AC$38,$D$19),$P$20))-SUM($P248:AB248)</f>
        <v>#VALUE!</v>
      </c>
      <c r="AD248" s="446" t="e">
        <f>IF(OR($B248="",MIN(AD$38,$D$19)&lt;MAX($P$34*($B248+IF($R$17="Distrato",$I$38-1,0)),IF(AND($L$37=0,$P$34=0),"",$L$37-1),IF($R$17="Distrato",$E248,0))),0,YEARFRAC(MAX($P$34*($B248+IF($R$17="Distrato",$I$38-1,0)),IF(AND($L$37=0,$P$34=0),"",$L$37-1),IF($R$17="Distrato",$E248,0)),MIN(AD$38,$D$19),$P$20))-SUM($P248:AC248)</f>
        <v>#VALUE!</v>
      </c>
      <c r="AE248" s="446" t="e">
        <f>IF(OR($B248="",MIN(AE$38,$D$19)&lt;MAX($P$34*($B248+IF($R$17="Distrato",$I$38-1,0)),IF(AND($L$37=0,$P$34=0),"",$L$37-1),IF($R$17="Distrato",$E248,0))),0,YEARFRAC(MAX($P$34*($B248+IF($R$17="Distrato",$I$38-1,0)),IF(AND($L$37=0,$P$34=0),"",$L$37-1),IF($R$17="Distrato",$E248,0)),MIN(AE$38,$D$19),$P$20))-SUM($P248:AD248)</f>
        <v>#VALUE!</v>
      </c>
      <c r="AF248" s="446" t="e">
        <f>IF(OR($B248="",MIN(AF$38,$D$19)&lt;MAX($P$34*($B248+IF($R$17="Distrato",$I$38-1,0)),IF(AND($L$37=0,$P$34=0),"",$L$37-1),IF($R$17="Distrato",$E248,0))),0,YEARFRAC(MAX($P$34*($B248+IF($R$17="Distrato",$I$38-1,0)),IF(AND($L$37=0,$P$34=0),"",$L$37-1),IF($R$17="Distrato",$E248,0)),MIN(AF$38,$D$19),$P$20))-SUM($P248:AE248)</f>
        <v>#VALUE!</v>
      </c>
      <c r="AG248" s="446" t="e">
        <f>IF(OR($B248="",MIN(AG$38,$D$19)&lt;MAX($P$34*($B248+IF($R$17="Distrato",$I$38-1,0)),IF(AND($L$37=0,$P$34=0),"",$L$37-1),IF($R$17="Distrato",$E248,0))),0,YEARFRAC(MAX($P$34*($B248+IF($R$17="Distrato",$I$38-1,0)),IF(AND($L$37=0,$P$34=0),"",$L$37-1),IF($R$17="Distrato",$E248,0)),MIN(AG$38,$D$19),$P$20))-SUM($P248:AF248)</f>
        <v>#VALUE!</v>
      </c>
      <c r="AH248" s="446" t="e">
        <f>IF(OR($B248="",MIN(AH$38,$D$19)&lt;MAX($P$34*($B248+IF($R$17="Distrato",$I$38-1,0)),IF(AND($L$37=0,$P$34=0),"",$L$37-1),IF($R$17="Distrato",$E248,0))),0,YEARFRAC(MAX($P$34*($B248+IF($R$17="Distrato",$I$38-1,0)),IF(AND($L$37=0,$P$34=0),"",$L$37-1),IF($R$17="Distrato",$E248,0)),MIN(AH$38,$D$19),$P$20))-SUM($P248:AG248)</f>
        <v>#VALUE!</v>
      </c>
      <c r="AI248" s="446" t="e">
        <f>IF(OR($B248="",MIN(AI$38,$D$19)&lt;MAX($P$34*($B248+IF($R$17="Distrato",$I$38-1,0)),IF(AND($L$37=0,$P$34=0),"",$L$37-1),IF($R$17="Distrato",$E248,0))),0,YEARFRAC(MAX($P$34*($B248+IF($R$17="Distrato",$I$38-1,0)),IF(AND($L$37=0,$P$34=0),"",$L$37-1),IF($R$17="Distrato",$E248,0)),MIN(AI$38,$D$19),$P$20))-SUM($P248:AH248)</f>
        <v>#VALUE!</v>
      </c>
      <c r="AJ248" s="446" t="e">
        <f>IF(OR($B248="",MIN(AJ$38,$D$19)&lt;MAX($P$34*($B248+IF($R$17="Distrato",$I$38-1,0)),IF(AND($L$37=0,$P$34=0),"",$L$37-1),IF($R$17="Distrato",$E248,0))),0,YEARFRAC(MAX($P$34*($B248+IF($R$17="Distrato",$I$38-1,0)),IF(AND($L$37=0,$P$34=0),"",$L$37-1),IF($R$17="Distrato",$E248,0)),MIN(AJ$38,$D$19),$P$20))-SUM($P248:AI248)</f>
        <v>#VALUE!</v>
      </c>
      <c r="AK248" s="446" t="e">
        <f>IF(OR($B248="",MIN(AK$38,$D$19)&lt;MAX($P$34*($B248+IF($R$17="Distrato",$I$38-1,0)),IF(AND($L$37=0,$P$34=0),"",$L$37-1),IF($R$17="Distrato",$E248,0))),0,YEARFRAC(MAX($P$34*($B248+IF($R$17="Distrato",$I$38-1,0)),IF(AND($L$37=0,$P$34=0),"",$L$37-1),IF($R$17="Distrato",$E248,0)),MIN(AK$38,$D$19),$P$20))-SUM($P248:AJ248)</f>
        <v>#VALUE!</v>
      </c>
      <c r="AL248" s="446" t="e">
        <f>IF(OR($B248="",MIN(AL$38,$D$19)&lt;MAX($P$34*($B248+IF($R$17="Distrato",$I$38-1,0)),IF(AND($L$37=0,$P$34=0),"",$L$37-1),IF($R$17="Distrato",$E248,0))),0,YEARFRAC(MAX($P$34*($B248+IF($R$17="Distrato",$I$38-1,0)),IF(AND($L$37=0,$P$34=0),"",$L$37-1),IF($R$17="Distrato",$E248,0)),MIN(AL$38,$D$19),$P$20))-SUM($P248:AK248)</f>
        <v>#VALUE!</v>
      </c>
      <c r="AM248" s="446" t="e">
        <f>IF(OR($B248="",MIN(AM$38,$D$19)&lt;MAX($P$34*($B248+IF($R$17="Distrato",$I$38-1,0)),IF(AND($L$37=0,$P$34=0),"",$L$37-1),IF($R$17="Distrato",$E248,0))),0,YEARFRAC(MAX($P$34*($B248+IF($R$17="Distrato",$I$38-1,0)),IF(AND($L$37=0,$P$34=0),"",$L$37-1),IF($R$17="Distrato",$E248,0)),MIN(AM$38,$D$19),$P$20))-SUM($P248:AL248)</f>
        <v>#VALUE!</v>
      </c>
      <c r="AN248" s="446" t="e">
        <f>IF(OR($B248="",MIN(AN$38,$D$19)&lt;MAX($P$34*($B248+IF($R$17="Distrato",$I$38-1,0)),IF(AND($L$37=0,$P$34=0),"",$L$37-1),IF($R$17="Distrato",$E248,0))),0,YEARFRAC(MAX($P$34*($B248+IF($R$17="Distrato",$I$38-1,0)),IF(AND($L$37=0,$P$34=0),"",$L$37-1),IF($R$17="Distrato",$E248,0)),MIN(AN$38,$D$19),$P$20))-SUM($P248:AM248)</f>
        <v>#VALUE!</v>
      </c>
      <c r="AO248" s="446" t="e">
        <f>IF(OR($B248="",MIN(AO$38,$D$19)&lt;MAX($P$34*($B248+IF($R$17="Distrato",$I$38-1,0)),IF(AND($L$37=0,$P$34=0),"",$L$37-1),IF($R$17="Distrato",$E248,0))),0,YEARFRAC(MAX($P$34*($B248+IF($R$17="Distrato",$I$38-1,0)),IF(AND($L$37=0,$P$34=0),"",$L$37-1),IF($R$17="Distrato",$E248,0)),MIN(AO$38,$D$19),$P$20))-SUM($P248:AN248)</f>
        <v>#VALUE!</v>
      </c>
      <c r="AP248" s="446" t="e">
        <f>IF(OR($B248="",MIN(AP$38,$D$19)&lt;MAX($P$34*($B248+IF($R$17="Distrato",$I$38-1,0)),IF(AND($L$37=0,$P$34=0),"",$L$37-1),IF($R$17="Distrato",$E248,0))),0,YEARFRAC(MAX($P$34*($B248+IF($R$17="Distrato",$I$38-1,0)),IF(AND($L$37=0,$P$34=0),"",$L$37-1),IF($R$17="Distrato",$E248,0)),MIN(AP$38,$D$19),$P$20))-SUM($P248:AO248)</f>
        <v>#VALUE!</v>
      </c>
      <c r="AQ248" s="446" t="e">
        <f>IF(OR($B248="",MIN(AQ$38,$D$19)&lt;MAX($P$34*($B248+IF($R$17="Distrato",$I$38-1,0)),IF(AND($L$37=0,$P$34=0),"",$L$37-1),IF($R$17="Distrato",$E248,0))),0,YEARFRAC(MAX($P$34*($B248+IF($R$17="Distrato",$I$38-1,0)),IF(AND($L$37=0,$P$34=0),"",$L$37-1),IF($R$17="Distrato",$E248,0)),MIN(AQ$38,$D$19),$P$20))-SUM($P248:AP248)</f>
        <v>#VALUE!</v>
      </c>
      <c r="AR248" s="446" t="e">
        <f>IF(OR($B248="",MIN(AR$38,$D$19)&lt;MAX($P$34*($B248+IF($R$17="Distrato",$I$38-1,0)),IF(AND($L$37=0,$P$34=0),"",$L$37-1),IF($R$17="Distrato",$E248,0))),0,YEARFRAC(MAX($P$34*($B248+IF($R$17="Distrato",$I$38-1,0)),IF(AND($L$37=0,$P$34=0),"",$L$37-1),IF($R$17="Distrato",$E248,0)),MIN(AR$38,$D$19),$P$20))-SUM($P248:AQ248)</f>
        <v>#VALUE!</v>
      </c>
      <c r="AS248" s="446" t="e">
        <f>IF(OR($B248="",MIN(AS$38,$D$19)&lt;MAX($P$34*($B248+IF($R$17="Distrato",$I$38-1,0)),IF(AND($L$37=0,$P$34=0),"",$L$37-1),IF($R$17="Distrato",$E248,0))),0,YEARFRAC(MAX($P$34*($B248+IF($R$17="Distrato",$I$38-1,0)),IF(AND($L$37=0,$P$34=0),"",$L$37-1),IF($R$17="Distrato",$E248,0)),MIN(AS$38,$D$19),$P$20))-SUM($P248:AR248)</f>
        <v>#VALUE!</v>
      </c>
      <c r="AT248" s="446" t="e">
        <f>IF(OR($B248="",MIN(AT$38,$D$19)&lt;MAX($P$34*($B248+IF($R$17="Distrato",$I$38-1,0)),IF(AND($L$37=0,$P$34=0),"",$L$37-1),IF($R$17="Distrato",$E248,0))),0,YEARFRAC(MAX($P$34*($B248+IF($R$17="Distrato",$I$38-1,0)),IF(AND($L$37=0,$P$34=0),"",$L$37-1),IF($R$17="Distrato",$E248,0)),MIN(AT$38,$D$19),$P$20))-SUM($P248:AS248)</f>
        <v>#VALUE!</v>
      </c>
      <c r="AU248" s="446" t="e">
        <f>IF(OR($B248="",MIN(AU$38,$D$19)&lt;MAX($P$34*($B248+IF($R$17="Distrato",$I$38-1,0)),IF(AND($L$37=0,$P$34=0),"",$L$37-1),IF($R$17="Distrato",$E248,0))),0,YEARFRAC(MAX($P$34*($B248+IF($R$17="Distrato",$I$38-1,0)),IF(AND($L$37=0,$P$34=0),"",$L$37-1),IF($R$17="Distrato",$E248,0)),MIN(AU$38,$D$19),$P$20))-SUM($P248:AT248)</f>
        <v>#VALUE!</v>
      </c>
      <c r="AV248" s="446" t="e">
        <f>IF(OR($B248="",MIN(AV$38,$D$19)&lt;MAX($P$34*($B248+IF($R$17="Distrato",$I$38-1,0)),IF(AND($L$37=0,$P$34=0),"",$L$37-1),IF($R$17="Distrato",$E248,0))),0,YEARFRAC(MAX($P$34*($B248+IF($R$17="Distrato",$I$38-1,0)),IF(AND($L$37=0,$P$34=0),"",$L$37-1),IF($R$17="Distrato",$E248,0)),MIN(AV$38,$D$19),$P$20))-SUM($P248:AU248)</f>
        <v>#VALUE!</v>
      </c>
      <c r="AW248" s="446" t="e">
        <f>IF(OR($B248="",MIN(AW$38,$D$19)&lt;MAX($P$34*($B248+IF($R$17="Distrato",$I$38-1,0)),IF(AND($L$37=0,$P$34=0),"",$L$37-1),IF($R$17="Distrato",$E248,0))),0,YEARFRAC(MAX($P$34*($B248+IF($R$17="Distrato",$I$38-1,0)),IF(AND($L$37=0,$P$34=0),"",$L$37-1),IF($R$17="Distrato",$E248,0)),MIN(AW$38,$D$19),$P$20))-SUM($P248:AV248)</f>
        <v>#VALUE!</v>
      </c>
      <c r="AX248" s="446" t="e">
        <f>IF(OR($B248="",MIN(AX$38,$D$19)&lt;MAX($P$34*($B248+IF($R$17="Distrato",$I$38-1,0)),IF(AND($L$37=0,$P$34=0),"",$L$37-1),IF($R$17="Distrato",$E248,0))),0,YEARFRAC(MAX($P$34*($B248+IF($R$17="Distrato",$I$38-1,0)),IF(AND($L$37=0,$P$34=0),"",$L$37-1),IF($R$17="Distrato",$E248,0)),MIN(AX$38,$D$19),$P$20))-SUM($P248:AW248)</f>
        <v>#VALUE!</v>
      </c>
      <c r="AY248" s="446" t="e">
        <f>IF(OR($B248="",MIN(AY$38,$D$19)&lt;MAX($P$34*($B248+IF($R$17="Distrato",$I$38-1,0)),IF(AND($L$37=0,$P$34=0),"",$L$37-1),IF($R$17="Distrato",$E248,0))),0,YEARFRAC(MAX($P$34*($B248+IF($R$17="Distrato",$I$38-1,0)),IF(AND($L$37=0,$P$34=0),"",$L$37-1),IF($R$17="Distrato",$E248,0)),MIN(AY$38,$D$19),$P$20))-SUM($P248:AX248)</f>
        <v>#VALUE!</v>
      </c>
      <c r="AZ248" s="446" t="e">
        <f>IF(OR($B248="",MIN(AZ$38,$D$19)&lt;MAX($P$34*($B248+IF($R$17="Distrato",$I$38-1,0)),IF(AND($L$37=0,$P$34=0),"",$L$37-1),IF($R$17="Distrato",$E248,0))),0,YEARFRAC(MAX($P$34*($B248+IF($R$17="Distrato",$I$38-1,0)),IF(AND($L$37=0,$P$34=0),"",$L$37-1),IF($R$17="Distrato",$E248,0)),MIN(AZ$38,$D$19),$P$20))-SUM($P248:AY248)</f>
        <v>#VALUE!</v>
      </c>
      <c r="BA248" s="446" t="e">
        <f>IF(OR($B248="",MIN(BA$38,$D$19)&lt;MAX($P$34*($B248+IF($R$17="Distrato",$I$38-1,0)),IF(AND($L$37=0,$P$34=0),"",$L$37-1),IF($R$17="Distrato",$E248,0))),0,YEARFRAC(MAX($P$34*($B248+IF($R$17="Distrato",$I$38-1,0)),IF(AND($L$37=0,$P$34=0),"",$L$37-1),IF($R$17="Distrato",$E248,0)),MIN(BA$38,$D$19),$P$20))-SUM($P248:AZ248)</f>
        <v>#VALUE!</v>
      </c>
      <c r="BB248" s="447"/>
      <c r="BF248" s="446">
        <f t="shared" si="43"/>
        <v>0</v>
      </c>
      <c r="BG248" s="446">
        <f>IF($E248=0,0,IF(MIN(BG$38,$E248)&lt;MAX($P$34*($B248+$I$38-1),IF(AND($L$37=0,$P$34=0),"",$L$37-1)),0,YEARFRAC(MAX($P$34*($B248+$I$38-1),IF(AND($L$37=0,$P$34=0),"",$L$37-1)),MIN(BG$38,$E248),$P$20))-SUM($BF248:BF248))</f>
        <v>0</v>
      </c>
      <c r="BH248" s="446">
        <f>IF($E248=0,0,IF(MIN(BH$38,$E248)&lt;MAX($P$34*($B248+$I$38-1),IF(AND($L$37=0,$P$34=0),"",$L$37-1)),0,YEARFRAC(MAX($P$34*($B248+$I$38-1),IF(AND($L$37=0,$P$34=0),"",$L$37-1)),MIN(BH$38,$E248),$P$20))-SUM($BF248:BG248))</f>
        <v>0</v>
      </c>
      <c r="BI248" s="446">
        <f>IF($E248=0,0,IF(MIN(BI$38,$E248)&lt;MAX($P$34*($B248+$I$38-1),IF(AND($L$37=0,$P$34=0),"",$L$37-1)),0,YEARFRAC(MAX($P$34*($B248+$I$38-1),IF(AND($L$37=0,$P$34=0),"",$L$37-1)),MIN(BI$38,$E248),$P$20))-SUM($BF248:BH248))</f>
        <v>0</v>
      </c>
      <c r="BJ248" s="446">
        <f>IF($E248=0,0,IF(MIN(BJ$38,$E248)&lt;MAX($P$34*($B248+$I$38-1),IF(AND($L$37=0,$P$34=0),"",$L$37-1)),0,YEARFRAC(MAX($P$34*($B248+$I$38-1),IF(AND($L$37=0,$P$34=0),"",$L$37-1)),MIN(BJ$38,$E248),$P$20))-SUM($BF248:BI248))</f>
        <v>0</v>
      </c>
      <c r="BK248" s="446">
        <f>IF($E248=0,0,IF(MIN(BK$38,$E248)&lt;MAX($P$34*($B248+$I$38-1),IF(AND($L$37=0,$P$34=0),"",$L$37-1)),0,YEARFRAC(MAX($P$34*($B248+$I$38-1),IF(AND($L$37=0,$P$34=0),"",$L$37-1)),MIN(BK$38,$E248),$P$20))-SUM($BF248:BJ248))</f>
        <v>0</v>
      </c>
      <c r="BL248" s="446">
        <f>IF($E248=0,0,IF(MIN(BL$38,$E248)&lt;MAX($P$34*($B248+$I$38-1),IF(AND($L$37=0,$P$34=0),"",$L$37-1)),0,YEARFRAC(MAX($P$34*($B248+$I$38-1),IF(AND($L$37=0,$P$34=0),"",$L$37-1)),MIN(BL$38,$E248),$P$20))-SUM($BF248:BK248))</f>
        <v>0</v>
      </c>
      <c r="BM248" s="446">
        <f>IF($E248=0,0,IF(MIN(BM$38,$E248)&lt;MAX($P$34*($B248+$I$38-1),IF(AND($L$37=0,$P$34=0),"",$L$37-1)),0,YEARFRAC(MAX($P$34*($B248+$I$38-1),IF(AND($L$37=0,$P$34=0),"",$L$37-1)),MIN(BM$38,$E248),$P$20))-SUM($BF248:BL248))</f>
        <v>0</v>
      </c>
      <c r="BN248" s="446">
        <f>IF($E248=0,0,IF(MIN(BN$38,$E248)&lt;MAX($P$34*($B248+$I$38-1),IF(AND($L$37=0,$P$34=0),"",$L$37-1)),0,YEARFRAC(MAX($P$34*($B248+$I$38-1),IF(AND($L$37=0,$P$34=0),"",$L$37-1)),MIN(BN$38,$E248),$P$20))-SUM($BF248:BM248))</f>
        <v>0</v>
      </c>
      <c r="BO248" s="446">
        <f>IF($E248=0,0,IF(MIN(BO$38,$E248)&lt;MAX($P$34*($B248+$I$38-1),IF(AND($L$37=0,$P$34=0),"",$L$37-1)),0,YEARFRAC(MAX($P$34*($B248+$I$38-1),IF(AND($L$37=0,$P$34=0),"",$L$37-1)),MIN(BO$38,$E248),$P$20))-SUM($BF248:BN248))</f>
        <v>0</v>
      </c>
      <c r="BP248" s="446">
        <f>IF($E248=0,0,IF(MIN(BP$38,$E248)&lt;MAX($P$34*($B248+$I$38-1),IF(AND($L$37=0,$P$34=0),"",$L$37-1)),0,YEARFRAC(MAX($P$34*($B248+$I$38-1),IF(AND($L$37=0,$P$34=0),"",$L$37-1)),MIN(BP$38,$E248),$P$20))-SUM($BF248:BO248))</f>
        <v>0</v>
      </c>
      <c r="BQ248" s="446">
        <f>IF($E248=0,0,IF(MIN(BQ$38,$E248)&lt;MAX($P$34*($B248+$I$38-1),IF(AND($L$37=0,$P$34=0),"",$L$37-1)),0,YEARFRAC(MAX($P$34*($B248+$I$38-1),IF(AND($L$37=0,$P$34=0),"",$L$37-1)),MIN(BQ$38,$E248),$P$20))-SUM($BF248:BP248))</f>
        <v>0</v>
      </c>
      <c r="BR248" s="446">
        <f>IF($E248=0,0,IF(MIN(BR$38,$E248)&lt;MAX($P$34*($B248+$I$38-1),IF(AND($L$37=0,$P$34=0),"",$L$37-1)),0,YEARFRAC(MAX($P$34*($B248+$I$38-1),IF(AND($L$37=0,$P$34=0),"",$L$37-1)),MIN(BR$38,$E248),$P$20))-SUM($BF248:BQ248))</f>
        <v>0</v>
      </c>
      <c r="BS248" s="446">
        <f>IF($E248=0,0,IF(MIN(BS$38,$E248)&lt;MAX($P$34*($B248+$I$38-1),IF(AND($L$37=0,$P$34=0),"",$L$37-1)),0,YEARFRAC(MAX($P$34*($B248+$I$38-1),IF(AND($L$37=0,$P$34=0),"",$L$37-1)),MIN(BS$38,$E248),$P$20))-SUM($BF248:BR248))</f>
        <v>0</v>
      </c>
      <c r="BT248" s="446">
        <f>IF($E248=0,0,IF(MIN(BT$38,$E248)&lt;MAX($P$34*($B248+$I$38-1),IF(AND($L$37=0,$P$34=0),"",$L$37-1)),0,YEARFRAC(MAX($P$34*($B248+$I$38-1),IF(AND($L$37=0,$P$34=0),"",$L$37-1)),MIN(BT$38,$E248),$P$20))-SUM($BF248:BS248))</f>
        <v>0</v>
      </c>
      <c r="BU248" s="446">
        <f>IF($E248=0,0,IF(MIN(BU$38,$E248)&lt;MAX($P$34*($B248+$I$38-1),IF(AND($L$37=0,$P$34=0),"",$L$37-1)),0,YEARFRAC(MAX($P$34*($B248+$I$38-1),IF(AND($L$37=0,$P$34=0),"",$L$37-1)),MIN(BU$38,$E248),$P$20))-SUM($BF248:BT248))</f>
        <v>0</v>
      </c>
      <c r="BV248" s="446">
        <f>IF($E248=0,0,IF(MIN(BV$38,$E248)&lt;MAX($P$34*($B248+$I$38-1),IF(AND($L$37=0,$P$34=0),"",$L$37-1)),0,YEARFRAC(MAX($P$34*($B248+$I$38-1),IF(AND($L$37=0,$P$34=0),"",$L$37-1)),MIN(BV$38,$E248),$P$20))-SUM($BF248:BU248))</f>
        <v>0</v>
      </c>
      <c r="BW248" s="446">
        <f>IF($E248=0,0,IF(MIN(BW$38,$E248)&lt;MAX($P$34*($B248+$I$38-1),IF(AND($L$37=0,$P$34=0),"",$L$37-1)),0,YEARFRAC(MAX($P$34*($B248+$I$38-1),IF(AND($L$37=0,$P$34=0),"",$L$37-1)),MIN(BW$38,$E248),$P$20))-SUM($BF248:BV248))</f>
        <v>0</v>
      </c>
      <c r="BX248" s="446">
        <f>IF($E248=0,0,IF(MIN(BX$38,$E248)&lt;MAX($P$34*($B248+$I$38-1),IF(AND($L$37=0,$P$34=0),"",$L$37-1)),0,YEARFRAC(MAX($P$34*($B248+$I$38-1),IF(AND($L$37=0,$P$34=0),"",$L$37-1)),MIN(BX$38,$E248),$P$20))-SUM($BF248:BW248))</f>
        <v>0</v>
      </c>
      <c r="BY248" s="446">
        <f>IF($E248=0,0,IF(MIN(BY$38,$E248)&lt;MAX($P$34*($B248+$I$38-1),IF(AND($L$37=0,$P$34=0),"",$L$37-1)),0,YEARFRAC(MAX($P$34*($B248+$I$38-1),IF(AND($L$37=0,$P$34=0),"",$L$37-1)),MIN(BY$38,$E248),$P$20))-SUM($BF248:BX248))</f>
        <v>0</v>
      </c>
      <c r="BZ248" s="446">
        <f>IF($E248=0,0,IF(MIN(BZ$38,$E248)&lt;MAX($P$34*($B248+$I$38-1),IF(AND($L$37=0,$P$34=0),"",$L$37-1)),0,YEARFRAC(MAX($P$34*($B248+$I$38-1),IF(AND($L$37=0,$P$34=0),"",$L$37-1)),MIN(BZ$38,$E248),$P$20))-SUM($BF248:BY248))</f>
        <v>0</v>
      </c>
      <c r="CA248" s="446">
        <f>IF($E248=0,0,IF(MIN(CA$38,$E248)&lt;MAX($P$34*($B248+$I$38-1),IF(AND($L$37=0,$P$34=0),"",$L$37-1)),0,YEARFRAC(MAX($P$34*($B248+$I$38-1),IF(AND($L$37=0,$P$34=0),"",$L$37-1)),MIN(CA$38,$E248),$P$20))-SUM($BF248:BZ248))</f>
        <v>0</v>
      </c>
      <c r="CB248" s="446">
        <f>IF($E248=0,0,IF(MIN(CB$38,$E248)&lt;MAX($P$34*($B248+$I$38-1),IF(AND($L$37=0,$P$34=0),"",$L$37-1)),0,YEARFRAC(MAX($P$34*($B248+$I$38-1),IF(AND($L$37=0,$P$34=0),"",$L$37-1)),MIN(CB$38,$E248),$P$20))-SUM($BF248:CA248))</f>
        <v>0</v>
      </c>
      <c r="CC248" s="446">
        <f>IF($E248=0,0,IF(MIN(CC$38,$E248)&lt;MAX($P$34*($B248+$I$38-1),IF(AND($L$37=0,$P$34=0),"",$L$37-1)),0,YEARFRAC(MAX($P$34*($B248+$I$38-1),IF(AND($L$37=0,$P$34=0),"",$L$37-1)),MIN(CC$38,$E248),$P$20))-SUM($BF248:CB248))</f>
        <v>0</v>
      </c>
      <c r="CD248" s="446">
        <f>IF($E248=0,0,IF(MIN(CD$38,$E248)&lt;MAX($P$34*($B248+$I$38-1),IF(AND($L$37=0,$P$34=0),"",$L$37-1)),0,YEARFRAC(MAX($P$34*($B248+$I$38-1),IF(AND($L$37=0,$P$34=0),"",$L$37-1)),MIN(CD$38,$E248),$P$20))-SUM($BF248:CC248))</f>
        <v>0</v>
      </c>
      <c r="CE248" s="446">
        <f>IF($E248=0,0,IF(MIN(CE$38,$E248)&lt;MAX($P$34*($B248+$I$38-1),IF(AND($L$37=0,$P$34=0),"",$L$37-1)),0,YEARFRAC(MAX($P$34*($B248+$I$38-1),IF(AND($L$37=0,$P$34=0),"",$L$37-1)),MIN(CE$38,$E248),$P$20))-SUM($BF248:CD248))</f>
        <v>0</v>
      </c>
      <c r="CF248" s="446">
        <f>IF($E248=0,0,IF(MIN(CF$38,$E248)&lt;MAX($P$34*($B248+$I$38-1),IF(AND($L$37=0,$P$34=0),"",$L$37-1)),0,YEARFRAC(MAX($P$34*($B248+$I$38-1),IF(AND($L$37=0,$P$34=0),"",$L$37-1)),MIN(CF$38,$E248),$P$20))-SUM($BF248:CE248))</f>
        <v>0</v>
      </c>
      <c r="CG248" s="446">
        <f>IF($E248=0,0,IF(MIN(CG$38,$E248)&lt;MAX($P$34*($B248+$I$38-1),IF(AND($L$37=0,$P$34=0),"",$L$37-1)),0,YEARFRAC(MAX($P$34*($B248+$I$38-1),IF(AND($L$37=0,$P$34=0),"",$L$37-1)),MIN(CG$38,$E248),$P$20))-SUM($BF248:CF248))</f>
        <v>0</v>
      </c>
      <c r="CH248" s="446">
        <f>IF($E248=0,0,IF(MIN(CH$38,$E248)&lt;MAX($P$34*($B248+$I$38-1),IF(AND($L$37=0,$P$34=0),"",$L$37-1)),0,YEARFRAC(MAX($P$34*($B248+$I$38-1),IF(AND($L$37=0,$P$34=0),"",$L$37-1)),MIN(CH$38,$E248),$P$20))-SUM($BF248:CG248))</f>
        <v>0</v>
      </c>
      <c r="CI248" s="446">
        <f>IF($E248=0,0,IF(MIN(CI$38,$E248)&lt;MAX($P$34*($B248+$I$38-1),IF(AND($L$37=0,$P$34=0),"",$L$37-1)),0,YEARFRAC(MAX($P$34*($B248+$I$38-1),IF(AND($L$37=0,$P$34=0),"",$L$37-1)),MIN(CI$38,$E248),$P$20))-SUM($BF248:CH248))</f>
        <v>0</v>
      </c>
      <c r="CJ248" s="446">
        <f>IF($E248=0,0,IF(MIN(CJ$38,$E248)&lt;MAX($P$34*($B248+$I$38-1),IF(AND($L$37=0,$P$34=0),"",$L$37-1)),0,YEARFRAC(MAX($P$34*($B248+$I$38-1),IF(AND($L$37=0,$P$34=0),"",$L$37-1)),MIN(CJ$38,$E248),$P$20))-SUM($BF248:CI248))</f>
        <v>0</v>
      </c>
      <c r="CK248" s="446">
        <f>IF($E248=0,0,IF(MIN(CK$38,$E248)&lt;MAX($P$34*($B248+$I$38-1),IF(AND($L$37=0,$P$34=0),"",$L$37-1)),0,YEARFRAC(MAX($P$34*($B248+$I$38-1),IF(AND($L$37=0,$P$34=0),"",$L$37-1)),MIN(CK$38,$E248),$P$20))-SUM($BF248:CJ248))</f>
        <v>0</v>
      </c>
      <c r="CL248" s="446">
        <f>IF($E248=0,0,IF(MIN(CL$38,$E248)&lt;MAX($P$34*($B248+$I$38-1),IF(AND($L$37=0,$P$34=0),"",$L$37-1)),0,YEARFRAC(MAX($P$34*($B248+$I$38-1),IF(AND($L$37=0,$P$34=0),"",$L$37-1)),MIN(CL$38,$E248),$P$20))-SUM($BF248:CK248))</f>
        <v>0</v>
      </c>
      <c r="CM248" s="446">
        <f>IF($E248=0,0,IF(MIN(CM$38,$E248)&lt;MAX($P$34*($B248+$I$38-1),IF(AND($L$37=0,$P$34=0),"",$L$37-1)),0,YEARFRAC(MAX($P$34*($B248+$I$38-1),IF(AND($L$37=0,$P$34=0),"",$L$37-1)),MIN(CM$38,$E248),$P$20))-SUM($BF248:CL248))</f>
        <v>0</v>
      </c>
      <c r="CN248" s="446">
        <f>IF($E248=0,0,IF(MIN(CN$38,$E248)&lt;MAX($P$34*($B248+$I$38-1),IF(AND($L$37=0,$P$34=0),"",$L$37-1)),0,YEARFRAC(MAX($P$34*($B248+$I$38-1),IF(AND($L$37=0,$P$34=0),"",$L$37-1)),MIN(CN$38,$E248),$P$20))-SUM($BF248:CM248))</f>
        <v>0</v>
      </c>
      <c r="CO248" s="446">
        <f>IF($E248=0,0,IF(MIN(CO$38,$E248)&lt;MAX($P$34*($B248+$I$38-1),IF(AND($L$37=0,$P$34=0),"",$L$37-1)),0,YEARFRAC(MAX($P$34*($B248+$I$38-1),IF(AND($L$37=0,$P$34=0),"",$L$37-1)),MIN(CO$38,$E248),$P$20))-SUM($BF248:CN248))</f>
        <v>0</v>
      </c>
      <c r="CP248" s="446">
        <f>IF($E248=0,0,IF(MIN(CP$38,$E248)&lt;MAX($P$34*($B248+$I$38-1),IF(AND($L$37=0,$P$34=0),"",$L$37-1)),0,YEARFRAC(MAX($P$34*($B248+$I$38-1),IF(AND($L$37=0,$P$34=0),"",$L$37-1)),MIN(CP$38,$E248),$P$20))-SUM($BF248:CO248))</f>
        <v>0</v>
      </c>
      <c r="CQ248" s="446">
        <f>IF($E248=0,0,IF(MIN(CQ$38,$E248)&lt;MAX($P$34*($B248+$I$38-1),IF(AND($L$37=0,$P$34=0),"",$L$37-1)),0,YEARFRAC(MAX($P$34*($B248+$I$38-1),IF(AND($L$37=0,$P$34=0),"",$L$37-1)),MIN(CQ$38,$E248),$P$20))-SUM($BF248:CP248))</f>
        <v>0</v>
      </c>
    </row>
    <row r="249" spans="1:95" s="446" customFormat="1" ht="11.25" hidden="1" customHeight="1" x14ac:dyDescent="0.2">
      <c r="A249" s="152"/>
      <c r="B249" s="153" t="str">
        <f t="shared" si="48"/>
        <v/>
      </c>
      <c r="C249" s="29" t="str">
        <f>IF(B249="","",IF($L$35="SELIC - TRIBUTOS",VLOOKUP(DATE(YEAR($D$19),MONTH($D$19)-1,1),ÍNDICES!$A:$DE,HLOOKUP($BL$25,ÍNDICES!$B$3:$T$4,2)+11)-VLOOKUP(B249,ÍNDICES!$A:$DE,HLOOKUP($BL$25,ÍNDICES!$B$3:$T$4,2)+11)+1%,IF(C$38=$W$26,$J$35,IF(ISERROR(IF(B249&gt;$D$19,1,VLOOKUP(DATE(YEAR(B249),MONTH(B249)+IF($C$35=$S$23,1,0),1),ÍNDICES!$A:$DE,$Z$35+1))),"",IF(B249&gt;$D$19,1,VLOOKUP(DATE(YEAR(B249),MONTH(B249)+IF($C$35=$S$23,1,0),1),ÍNDICES!$A:$DE,$Z$35+1))))))</f>
        <v/>
      </c>
      <c r="D249" s="154" t="str">
        <f>IF(ISERROR(IF(OR($D$38=$Y$27,$B249=""),"",VLOOKUP(B249,ÍNDICES!A:DE,AF$35+1))),"",IF(OR($D$38=$Y$27,$B249=""),"",VLOOKUP(B249,ÍNDICES!A:DE,AF$35+1)))</f>
        <v/>
      </c>
      <c r="E249" s="153"/>
      <c r="F249" s="29" t="str">
        <f>IF(E249="","",IF($L$35="SELIC - TRIBUTOS",VLOOKUP(DATE(YEAR($D$19),MONTH($D$19)-1,1),ÍNDICES!$A:$DE,HLOOKUP($BL$25,ÍNDICES!$B$3:$T$4,2)+11)-VLOOKUP(E249,ÍNDICES!$A:$DE,HLOOKUP($BL$25,ÍNDICES!$B$3:$T$4,2)+11)+1%,IF(F$38=$W$26,$J$35,IF(ISERROR(IF(E249&gt;$D$19,1,VLOOKUP(DATE(YEAR(E249),MONTH(E249)+IF($C$35=$S$23,1,0),1),ÍNDICES!$A:$DE,$Z$35+1))),"",IF(E249&gt;$D$19,1,VLOOKUP(DATE(YEAR(E249),MONTH(E249)+IF($C$35=$S$23,1,0),1),ÍNDICES!$A:$DE,$Z$35+1))))))</f>
        <v/>
      </c>
      <c r="G249" s="155"/>
      <c r="H249" s="156" t="str">
        <f t="shared" si="44"/>
        <v/>
      </c>
      <c r="I249" s="29" t="str">
        <f t="shared" si="38"/>
        <v/>
      </c>
      <c r="J249" s="5">
        <f t="shared" si="39"/>
        <v>0</v>
      </c>
      <c r="K249" s="20">
        <f t="shared" ca="1" si="40"/>
        <v>0</v>
      </c>
      <c r="L249" s="5">
        <f t="shared" ca="1" si="41"/>
        <v>0</v>
      </c>
      <c r="M249" s="64">
        <f t="shared" si="45"/>
        <v>0</v>
      </c>
      <c r="N249" s="61">
        <f t="shared" ca="1" si="46"/>
        <v>0</v>
      </c>
      <c r="O249" s="5">
        <f t="shared" ca="1" si="47"/>
        <v>0</v>
      </c>
      <c r="P249" s="446" t="e">
        <f t="shared" si="42"/>
        <v>#VALUE!</v>
      </c>
      <c r="Q249" s="446" t="e">
        <f>IF(OR($B249="",MIN(Q$38,$D$19)&lt;MAX($P$34*($B249+IF($R$17="Distrato",$I$38-1,0)),IF(AND($L$37=0,$P$34=0),"",$L$37-1),IF($R$17="Distrato",$E249,0))),0,YEARFRAC(MAX($P$34*($B249+IF($R$17="Distrato",$I$38-1,0)),IF(AND($L$37=0,$P$34=0),"",$L$37-1),IF($R$17="Distrato",$E249,0)),MIN(Q$38,$D$19),$P$20))-SUM($P249:P249)</f>
        <v>#VALUE!</v>
      </c>
      <c r="R249" s="446" t="e">
        <f>IF(OR($B249="",MIN(R$38,$D$19)&lt;MAX($P$34*($B249+IF($R$17="Distrato",$I$38-1,0)),IF(AND($L$37=0,$P$34=0),"",$L$37-1),IF($R$17="Distrato",$E249,0))),0,YEARFRAC(MAX($P$34*($B249+IF($R$17="Distrato",$I$38-1,0)),IF(AND($L$37=0,$P$34=0),"",$L$37-1),IF($R$17="Distrato",$E249,0)),MIN(R$38,$D$19),$P$20))-SUM($P249:Q249)</f>
        <v>#VALUE!</v>
      </c>
      <c r="S249" s="446" t="e">
        <f>IF(OR($B249="",MIN(S$38,$D$19)&lt;MAX($P$34*($B249+IF($R$17="Distrato",$I$38-1,0)),IF(AND($L$37=0,$P$34=0),"",$L$37-1),IF($R$17="Distrato",$E249,0))),0,YEARFRAC(MAX($P$34*($B249+IF($R$17="Distrato",$I$38-1,0)),IF(AND($L$37=0,$P$34=0),"",$L$37-1),IF($R$17="Distrato",$E249,0)),MIN(S$38,$D$19),$P$20))-SUM($P249:R249)</f>
        <v>#VALUE!</v>
      </c>
      <c r="T249" s="446" t="e">
        <f>IF(OR($B249="",MIN(T$38,$D$19)&lt;MAX($P$34*($B249+IF($R$17="Distrato",$I$38-1,0)),IF(AND($L$37=0,$P$34=0),"",$L$37-1),IF($R$17="Distrato",$E249,0))),0,YEARFRAC(MAX($P$34*($B249+IF($R$17="Distrato",$I$38-1,0)),IF(AND($L$37=0,$P$34=0),"",$L$37-1),IF($R$17="Distrato",$E249,0)),MIN(T$38,$D$19),$P$20))-SUM($P249:S249)</f>
        <v>#VALUE!</v>
      </c>
      <c r="U249" s="446" t="e">
        <f>IF(OR($B249="",MIN(U$38,$D$19)&lt;MAX($P$34*($B249+IF($R$17="Distrato",$I$38-1,0)),IF(AND($L$37=0,$P$34=0),"",$L$37-1),IF($R$17="Distrato",$E249,0))),0,YEARFRAC(MAX($P$34*($B249+IF($R$17="Distrato",$I$38-1,0)),IF(AND($L$37=0,$P$34=0),"",$L$37-1),IF($R$17="Distrato",$E249,0)),MIN(U$38,$D$19),$P$20))-SUM($P249:T249)</f>
        <v>#VALUE!</v>
      </c>
      <c r="V249" s="446" t="e">
        <f>IF(OR($B249="",MIN(V$38,$D$19)&lt;MAX($P$34*($B249+IF($R$17="Distrato",$I$38-1,0)),IF(AND($L$37=0,$P$34=0),"",$L$37-1),IF($R$17="Distrato",$E249,0))),0,YEARFRAC(MAX($P$34*($B249+IF($R$17="Distrato",$I$38-1,0)),IF(AND($L$37=0,$P$34=0),"",$L$37-1),IF($R$17="Distrato",$E249,0)),MIN(V$38,$D$19),$P$20))-SUM($P249:U249)</f>
        <v>#VALUE!</v>
      </c>
      <c r="W249" s="446" t="e">
        <f>IF(OR($B249="",MIN(W$38,$D$19)&lt;MAX($P$34*($B249+IF($R$17="Distrato",$I$38-1,0)),IF(AND($L$37=0,$P$34=0),"",$L$37-1),IF($R$17="Distrato",$E249,0))),0,YEARFRAC(MAX($P$34*($B249+IF($R$17="Distrato",$I$38-1,0)),IF(AND($L$37=0,$P$34=0),"",$L$37-1),IF($R$17="Distrato",$E249,0)),MIN(W$38,$D$19),$P$20))-SUM($P249:V249)</f>
        <v>#VALUE!</v>
      </c>
      <c r="X249" s="446" t="e">
        <f>IF(OR($B249="",MIN(X$38,$D$19)&lt;MAX($P$34*($B249+IF($R$17="Distrato",$I$38-1,0)),IF(AND($L$37=0,$P$34=0),"",$L$37-1),IF($R$17="Distrato",$E249,0))),0,YEARFRAC(MAX($P$34*($B249+IF($R$17="Distrato",$I$38-1,0)),IF(AND($L$37=0,$P$34=0),"",$L$37-1),IF($R$17="Distrato",$E249,0)),MIN(X$38,$D$19),$P$20))-SUM($P249:W249)</f>
        <v>#VALUE!</v>
      </c>
      <c r="Y249" s="446" t="e">
        <f>IF(OR($B249="",MIN(Y$38,$D$19)&lt;MAX($P$34*($B249+IF($R$17="Distrato",$I$38-1,0)),IF(AND($L$37=0,$P$34=0),"",$L$37-1),IF($R$17="Distrato",$E249,0))),0,YEARFRAC(MAX($P$34*($B249+IF($R$17="Distrato",$I$38-1,0)),IF(AND($L$37=0,$P$34=0),"",$L$37-1),IF($R$17="Distrato",$E249,0)),MIN(Y$38,$D$19),$P$20))-SUM($P249:X249)</f>
        <v>#VALUE!</v>
      </c>
      <c r="Z249" s="446" t="e">
        <f>IF(OR($B249="",MIN(Z$38,$D$19)&lt;MAX($P$34*($B249+IF($R$17="Distrato",$I$38-1,0)),IF(AND($L$37=0,$P$34=0),"",$L$37-1),IF($R$17="Distrato",$E249,0))),0,YEARFRAC(MAX($P$34*($B249+IF($R$17="Distrato",$I$38-1,0)),IF(AND($L$37=0,$P$34=0),"",$L$37-1),IF($R$17="Distrato",$E249,0)),MIN(Z$38,$D$19),$P$20))-SUM($P249:Y249)</f>
        <v>#VALUE!</v>
      </c>
      <c r="AA249" s="446" t="e">
        <f>IF(OR($B249="",MIN(AA$38,$D$19)&lt;MAX($P$34*($B249+IF($R$17="Distrato",$I$38-1,0)),IF(AND($L$37=0,$P$34=0),"",$L$37-1),IF($R$17="Distrato",$E249,0))),0,YEARFRAC(MAX($P$34*($B249+IF($R$17="Distrato",$I$38-1,0)),IF(AND($L$37=0,$P$34=0),"",$L$37-1),IF($R$17="Distrato",$E249,0)),MIN(AA$38,$D$19),$P$20))-SUM($P249:Z249)</f>
        <v>#VALUE!</v>
      </c>
      <c r="AB249" s="446" t="e">
        <f>IF(OR($B249="",MIN(AB$38,$D$19)&lt;MAX($P$34*($B249+IF($R$17="Distrato",$I$38-1,0)),IF(AND($L$37=0,$P$34=0),"",$L$37-1),IF($R$17="Distrato",$E249,0))),0,YEARFRAC(MAX($P$34*($B249+IF($R$17="Distrato",$I$38-1,0)),IF(AND($L$37=0,$P$34=0),"",$L$37-1),IF($R$17="Distrato",$E249,0)),MIN(AB$38,$D$19),$P$20))-SUM($P249:AA249)</f>
        <v>#VALUE!</v>
      </c>
      <c r="AC249" s="446" t="e">
        <f>IF(OR($B249="",MIN(AC$38,$D$19)&lt;MAX($P$34*($B249+IF($R$17="Distrato",$I$38-1,0)),IF(AND($L$37=0,$P$34=0),"",$L$37-1),IF($R$17="Distrato",$E249,0))),0,YEARFRAC(MAX($P$34*($B249+IF($R$17="Distrato",$I$38-1,0)),IF(AND($L$37=0,$P$34=0),"",$L$37-1),IF($R$17="Distrato",$E249,0)),MIN(AC$38,$D$19),$P$20))-SUM($P249:AB249)</f>
        <v>#VALUE!</v>
      </c>
      <c r="AD249" s="446" t="e">
        <f>IF(OR($B249="",MIN(AD$38,$D$19)&lt;MAX($P$34*($B249+IF($R$17="Distrato",$I$38-1,0)),IF(AND($L$37=0,$P$34=0),"",$L$37-1),IF($R$17="Distrato",$E249,0))),0,YEARFRAC(MAX($P$34*($B249+IF($R$17="Distrato",$I$38-1,0)),IF(AND($L$37=0,$P$34=0),"",$L$37-1),IF($R$17="Distrato",$E249,0)),MIN(AD$38,$D$19),$P$20))-SUM($P249:AC249)</f>
        <v>#VALUE!</v>
      </c>
      <c r="AE249" s="446" t="e">
        <f>IF(OR($B249="",MIN(AE$38,$D$19)&lt;MAX($P$34*($B249+IF($R$17="Distrato",$I$38-1,0)),IF(AND($L$37=0,$P$34=0),"",$L$37-1),IF($R$17="Distrato",$E249,0))),0,YEARFRAC(MAX($P$34*($B249+IF($R$17="Distrato",$I$38-1,0)),IF(AND($L$37=0,$P$34=0),"",$L$37-1),IF($R$17="Distrato",$E249,0)),MIN(AE$38,$D$19),$P$20))-SUM($P249:AD249)</f>
        <v>#VALUE!</v>
      </c>
      <c r="AF249" s="446" t="e">
        <f>IF(OR($B249="",MIN(AF$38,$D$19)&lt;MAX($P$34*($B249+IF($R$17="Distrato",$I$38-1,0)),IF(AND($L$37=0,$P$34=0),"",$L$37-1),IF($R$17="Distrato",$E249,0))),0,YEARFRAC(MAX($P$34*($B249+IF($R$17="Distrato",$I$38-1,0)),IF(AND($L$37=0,$P$34=0),"",$L$37-1),IF($R$17="Distrato",$E249,0)),MIN(AF$38,$D$19),$P$20))-SUM($P249:AE249)</f>
        <v>#VALUE!</v>
      </c>
      <c r="AG249" s="446" t="e">
        <f>IF(OR($B249="",MIN(AG$38,$D$19)&lt;MAX($P$34*($B249+IF($R$17="Distrato",$I$38-1,0)),IF(AND($L$37=0,$P$34=0),"",$L$37-1),IF($R$17="Distrato",$E249,0))),0,YEARFRAC(MAX($P$34*($B249+IF($R$17="Distrato",$I$38-1,0)),IF(AND($L$37=0,$P$34=0),"",$L$37-1),IF($R$17="Distrato",$E249,0)),MIN(AG$38,$D$19),$P$20))-SUM($P249:AF249)</f>
        <v>#VALUE!</v>
      </c>
      <c r="AH249" s="446" t="e">
        <f>IF(OR($B249="",MIN(AH$38,$D$19)&lt;MAX($P$34*($B249+IF($R$17="Distrato",$I$38-1,0)),IF(AND($L$37=0,$P$34=0),"",$L$37-1),IF($R$17="Distrato",$E249,0))),0,YEARFRAC(MAX($P$34*($B249+IF($R$17="Distrato",$I$38-1,0)),IF(AND($L$37=0,$P$34=0),"",$L$37-1),IF($R$17="Distrato",$E249,0)),MIN(AH$38,$D$19),$P$20))-SUM($P249:AG249)</f>
        <v>#VALUE!</v>
      </c>
      <c r="AI249" s="446" t="e">
        <f>IF(OR($B249="",MIN(AI$38,$D$19)&lt;MAX($P$34*($B249+IF($R$17="Distrato",$I$38-1,0)),IF(AND($L$37=0,$P$34=0),"",$L$37-1),IF($R$17="Distrato",$E249,0))),0,YEARFRAC(MAX($P$34*($B249+IF($R$17="Distrato",$I$38-1,0)),IF(AND($L$37=0,$P$34=0),"",$L$37-1),IF($R$17="Distrato",$E249,0)),MIN(AI$38,$D$19),$P$20))-SUM($P249:AH249)</f>
        <v>#VALUE!</v>
      </c>
      <c r="AJ249" s="446" t="e">
        <f>IF(OR($B249="",MIN(AJ$38,$D$19)&lt;MAX($P$34*($B249+IF($R$17="Distrato",$I$38-1,0)),IF(AND($L$37=0,$P$34=0),"",$L$37-1),IF($R$17="Distrato",$E249,0))),0,YEARFRAC(MAX($P$34*($B249+IF($R$17="Distrato",$I$38-1,0)),IF(AND($L$37=0,$P$34=0),"",$L$37-1),IF($R$17="Distrato",$E249,0)),MIN(AJ$38,$D$19),$P$20))-SUM($P249:AI249)</f>
        <v>#VALUE!</v>
      </c>
      <c r="AK249" s="446" t="e">
        <f>IF(OR($B249="",MIN(AK$38,$D$19)&lt;MAX($P$34*($B249+IF($R$17="Distrato",$I$38-1,0)),IF(AND($L$37=0,$P$34=0),"",$L$37-1),IF($R$17="Distrato",$E249,0))),0,YEARFRAC(MAX($P$34*($B249+IF($R$17="Distrato",$I$38-1,0)),IF(AND($L$37=0,$P$34=0),"",$L$37-1),IF($R$17="Distrato",$E249,0)),MIN(AK$38,$D$19),$P$20))-SUM($P249:AJ249)</f>
        <v>#VALUE!</v>
      </c>
      <c r="AL249" s="446" t="e">
        <f>IF(OR($B249="",MIN(AL$38,$D$19)&lt;MAX($P$34*($B249+IF($R$17="Distrato",$I$38-1,0)),IF(AND($L$37=0,$P$34=0),"",$L$37-1),IF($R$17="Distrato",$E249,0))),0,YEARFRAC(MAX($P$34*($B249+IF($R$17="Distrato",$I$38-1,0)),IF(AND($L$37=0,$P$34=0),"",$L$37-1),IF($R$17="Distrato",$E249,0)),MIN(AL$38,$D$19),$P$20))-SUM($P249:AK249)</f>
        <v>#VALUE!</v>
      </c>
      <c r="AM249" s="446" t="e">
        <f>IF(OR($B249="",MIN(AM$38,$D$19)&lt;MAX($P$34*($B249+IF($R$17="Distrato",$I$38-1,0)),IF(AND($L$37=0,$P$34=0),"",$L$37-1),IF($R$17="Distrato",$E249,0))),0,YEARFRAC(MAX($P$34*($B249+IF($R$17="Distrato",$I$38-1,0)),IF(AND($L$37=0,$P$34=0),"",$L$37-1),IF($R$17="Distrato",$E249,0)),MIN(AM$38,$D$19),$P$20))-SUM($P249:AL249)</f>
        <v>#VALUE!</v>
      </c>
      <c r="AN249" s="446" t="e">
        <f>IF(OR($B249="",MIN(AN$38,$D$19)&lt;MAX($P$34*($B249+IF($R$17="Distrato",$I$38-1,0)),IF(AND($L$37=0,$P$34=0),"",$L$37-1),IF($R$17="Distrato",$E249,0))),0,YEARFRAC(MAX($P$34*($B249+IF($R$17="Distrato",$I$38-1,0)),IF(AND($L$37=0,$P$34=0),"",$L$37-1),IF($R$17="Distrato",$E249,0)),MIN(AN$38,$D$19),$P$20))-SUM($P249:AM249)</f>
        <v>#VALUE!</v>
      </c>
      <c r="AO249" s="446" t="e">
        <f>IF(OR($B249="",MIN(AO$38,$D$19)&lt;MAX($P$34*($B249+IF($R$17="Distrato",$I$38-1,0)),IF(AND($L$37=0,$P$34=0),"",$L$37-1),IF($R$17="Distrato",$E249,0))),0,YEARFRAC(MAX($P$34*($B249+IF($R$17="Distrato",$I$38-1,0)),IF(AND($L$37=0,$P$34=0),"",$L$37-1),IF($R$17="Distrato",$E249,0)),MIN(AO$38,$D$19),$P$20))-SUM($P249:AN249)</f>
        <v>#VALUE!</v>
      </c>
      <c r="AP249" s="446" t="e">
        <f>IF(OR($B249="",MIN(AP$38,$D$19)&lt;MAX($P$34*($B249+IF($R$17="Distrato",$I$38-1,0)),IF(AND($L$37=0,$P$34=0),"",$L$37-1),IF($R$17="Distrato",$E249,0))),0,YEARFRAC(MAX($P$34*($B249+IF($R$17="Distrato",$I$38-1,0)),IF(AND($L$37=0,$P$34=0),"",$L$37-1),IF($R$17="Distrato",$E249,0)),MIN(AP$38,$D$19),$P$20))-SUM($P249:AO249)</f>
        <v>#VALUE!</v>
      </c>
      <c r="AQ249" s="446" t="e">
        <f>IF(OR($B249="",MIN(AQ$38,$D$19)&lt;MAX($P$34*($B249+IF($R$17="Distrato",$I$38-1,0)),IF(AND($L$37=0,$P$34=0),"",$L$37-1),IF($R$17="Distrato",$E249,0))),0,YEARFRAC(MAX($P$34*($B249+IF($R$17="Distrato",$I$38-1,0)),IF(AND($L$37=0,$P$34=0),"",$L$37-1),IF($R$17="Distrato",$E249,0)),MIN(AQ$38,$D$19),$P$20))-SUM($P249:AP249)</f>
        <v>#VALUE!</v>
      </c>
      <c r="AR249" s="446" t="e">
        <f>IF(OR($B249="",MIN(AR$38,$D$19)&lt;MAX($P$34*($B249+IF($R$17="Distrato",$I$38-1,0)),IF(AND($L$37=0,$P$34=0),"",$L$37-1),IF($R$17="Distrato",$E249,0))),0,YEARFRAC(MAX($P$34*($B249+IF($R$17="Distrato",$I$38-1,0)),IF(AND($L$37=0,$P$34=0),"",$L$37-1),IF($R$17="Distrato",$E249,0)),MIN(AR$38,$D$19),$P$20))-SUM($P249:AQ249)</f>
        <v>#VALUE!</v>
      </c>
      <c r="AS249" s="446" t="e">
        <f>IF(OR($B249="",MIN(AS$38,$D$19)&lt;MAX($P$34*($B249+IF($R$17="Distrato",$I$38-1,0)),IF(AND($L$37=0,$P$34=0),"",$L$37-1),IF($R$17="Distrato",$E249,0))),0,YEARFRAC(MAX($P$34*($B249+IF($R$17="Distrato",$I$38-1,0)),IF(AND($L$37=0,$P$34=0),"",$L$37-1),IF($R$17="Distrato",$E249,0)),MIN(AS$38,$D$19),$P$20))-SUM($P249:AR249)</f>
        <v>#VALUE!</v>
      </c>
      <c r="AT249" s="446" t="e">
        <f>IF(OR($B249="",MIN(AT$38,$D$19)&lt;MAX($P$34*($B249+IF($R$17="Distrato",$I$38-1,0)),IF(AND($L$37=0,$P$34=0),"",$L$37-1),IF($R$17="Distrato",$E249,0))),0,YEARFRAC(MAX($P$34*($B249+IF($R$17="Distrato",$I$38-1,0)),IF(AND($L$37=0,$P$34=0),"",$L$37-1),IF($R$17="Distrato",$E249,0)),MIN(AT$38,$D$19),$P$20))-SUM($P249:AS249)</f>
        <v>#VALUE!</v>
      </c>
      <c r="AU249" s="446" t="e">
        <f>IF(OR($B249="",MIN(AU$38,$D$19)&lt;MAX($P$34*($B249+IF($R$17="Distrato",$I$38-1,0)),IF(AND($L$37=0,$P$34=0),"",$L$37-1),IF($R$17="Distrato",$E249,0))),0,YEARFRAC(MAX($P$34*($B249+IF($R$17="Distrato",$I$38-1,0)),IF(AND($L$37=0,$P$34=0),"",$L$37-1),IF($R$17="Distrato",$E249,0)),MIN(AU$38,$D$19),$P$20))-SUM($P249:AT249)</f>
        <v>#VALUE!</v>
      </c>
      <c r="AV249" s="446" t="e">
        <f>IF(OR($B249="",MIN(AV$38,$D$19)&lt;MAX($P$34*($B249+IF($R$17="Distrato",$I$38-1,0)),IF(AND($L$37=0,$P$34=0),"",$L$37-1),IF($R$17="Distrato",$E249,0))),0,YEARFRAC(MAX($P$34*($B249+IF($R$17="Distrato",$I$38-1,0)),IF(AND($L$37=0,$P$34=0),"",$L$37-1),IF($R$17="Distrato",$E249,0)),MIN(AV$38,$D$19),$P$20))-SUM($P249:AU249)</f>
        <v>#VALUE!</v>
      </c>
      <c r="AW249" s="446" t="e">
        <f>IF(OR($B249="",MIN(AW$38,$D$19)&lt;MAX($P$34*($B249+IF($R$17="Distrato",$I$38-1,0)),IF(AND($L$37=0,$P$34=0),"",$L$37-1),IF($R$17="Distrato",$E249,0))),0,YEARFRAC(MAX($P$34*($B249+IF($R$17="Distrato",$I$38-1,0)),IF(AND($L$37=0,$P$34=0),"",$L$37-1),IF($R$17="Distrato",$E249,0)),MIN(AW$38,$D$19),$P$20))-SUM($P249:AV249)</f>
        <v>#VALUE!</v>
      </c>
      <c r="AX249" s="446" t="e">
        <f>IF(OR($B249="",MIN(AX$38,$D$19)&lt;MAX($P$34*($B249+IF($R$17="Distrato",$I$38-1,0)),IF(AND($L$37=0,$P$34=0),"",$L$37-1),IF($R$17="Distrato",$E249,0))),0,YEARFRAC(MAX($P$34*($B249+IF($R$17="Distrato",$I$38-1,0)),IF(AND($L$37=0,$P$34=0),"",$L$37-1),IF($R$17="Distrato",$E249,0)),MIN(AX$38,$D$19),$P$20))-SUM($P249:AW249)</f>
        <v>#VALUE!</v>
      </c>
      <c r="AY249" s="446" t="e">
        <f>IF(OR($B249="",MIN(AY$38,$D$19)&lt;MAX($P$34*($B249+IF($R$17="Distrato",$I$38-1,0)),IF(AND($L$37=0,$P$34=0),"",$L$37-1),IF($R$17="Distrato",$E249,0))),0,YEARFRAC(MAX($P$34*($B249+IF($R$17="Distrato",$I$38-1,0)),IF(AND($L$37=0,$P$34=0),"",$L$37-1),IF($R$17="Distrato",$E249,0)),MIN(AY$38,$D$19),$P$20))-SUM($P249:AX249)</f>
        <v>#VALUE!</v>
      </c>
      <c r="AZ249" s="446" t="e">
        <f>IF(OR($B249="",MIN(AZ$38,$D$19)&lt;MAX($P$34*($B249+IF($R$17="Distrato",$I$38-1,0)),IF(AND($L$37=0,$P$34=0),"",$L$37-1),IF($R$17="Distrato",$E249,0))),0,YEARFRAC(MAX($P$34*($B249+IF($R$17="Distrato",$I$38-1,0)),IF(AND($L$37=0,$P$34=0),"",$L$37-1),IF($R$17="Distrato",$E249,0)),MIN(AZ$38,$D$19),$P$20))-SUM($P249:AY249)</f>
        <v>#VALUE!</v>
      </c>
      <c r="BA249" s="446" t="e">
        <f>IF(OR($B249="",MIN(BA$38,$D$19)&lt;MAX($P$34*($B249+IF($R$17="Distrato",$I$38-1,0)),IF(AND($L$37=0,$P$34=0),"",$L$37-1),IF($R$17="Distrato",$E249,0))),0,YEARFRAC(MAX($P$34*($B249+IF($R$17="Distrato",$I$38-1,0)),IF(AND($L$37=0,$P$34=0),"",$L$37-1),IF($R$17="Distrato",$E249,0)),MIN(BA$38,$D$19),$P$20))-SUM($P249:AZ249)</f>
        <v>#VALUE!</v>
      </c>
      <c r="BB249" s="447"/>
      <c r="BF249" s="446">
        <f t="shared" si="43"/>
        <v>0</v>
      </c>
      <c r="BG249" s="446">
        <f>IF($E249=0,0,IF(MIN(BG$38,$E249)&lt;MAX($P$34*($B249+$I$38-1),IF(AND($L$37=0,$P$34=0),"",$L$37-1)),0,YEARFRAC(MAX($P$34*($B249+$I$38-1),IF(AND($L$37=0,$P$34=0),"",$L$37-1)),MIN(BG$38,$E249),$P$20))-SUM($BF249:BF249))</f>
        <v>0</v>
      </c>
      <c r="BH249" s="446">
        <f>IF($E249=0,0,IF(MIN(BH$38,$E249)&lt;MAX($P$34*($B249+$I$38-1),IF(AND($L$37=0,$P$34=0),"",$L$37-1)),0,YEARFRAC(MAX($P$34*($B249+$I$38-1),IF(AND($L$37=0,$P$34=0),"",$L$37-1)),MIN(BH$38,$E249),$P$20))-SUM($BF249:BG249))</f>
        <v>0</v>
      </c>
      <c r="BI249" s="446">
        <f>IF($E249=0,0,IF(MIN(BI$38,$E249)&lt;MAX($P$34*($B249+$I$38-1),IF(AND($L$37=0,$P$34=0),"",$L$37-1)),0,YEARFRAC(MAX($P$34*($B249+$I$38-1),IF(AND($L$37=0,$P$34=0),"",$L$37-1)),MIN(BI$38,$E249),$P$20))-SUM($BF249:BH249))</f>
        <v>0</v>
      </c>
      <c r="BJ249" s="446">
        <f>IF($E249=0,0,IF(MIN(BJ$38,$E249)&lt;MAX($P$34*($B249+$I$38-1),IF(AND($L$37=0,$P$34=0),"",$L$37-1)),0,YEARFRAC(MAX($P$34*($B249+$I$38-1),IF(AND($L$37=0,$P$34=0),"",$L$37-1)),MIN(BJ$38,$E249),$P$20))-SUM($BF249:BI249))</f>
        <v>0</v>
      </c>
      <c r="BK249" s="446">
        <f>IF($E249=0,0,IF(MIN(BK$38,$E249)&lt;MAX($P$34*($B249+$I$38-1),IF(AND($L$37=0,$P$34=0),"",$L$37-1)),0,YEARFRAC(MAX($P$34*($B249+$I$38-1),IF(AND($L$37=0,$P$34=0),"",$L$37-1)),MIN(BK$38,$E249),$P$20))-SUM($BF249:BJ249))</f>
        <v>0</v>
      </c>
      <c r="BL249" s="446">
        <f>IF($E249=0,0,IF(MIN(BL$38,$E249)&lt;MAX($P$34*($B249+$I$38-1),IF(AND($L$37=0,$P$34=0),"",$L$37-1)),0,YEARFRAC(MAX($P$34*($B249+$I$38-1),IF(AND($L$37=0,$P$34=0),"",$L$37-1)),MIN(BL$38,$E249),$P$20))-SUM($BF249:BK249))</f>
        <v>0</v>
      </c>
      <c r="BM249" s="446">
        <f>IF($E249=0,0,IF(MIN(BM$38,$E249)&lt;MAX($P$34*($B249+$I$38-1),IF(AND($L$37=0,$P$34=0),"",$L$37-1)),0,YEARFRAC(MAX($P$34*($B249+$I$38-1),IF(AND($L$37=0,$P$34=0),"",$L$37-1)),MIN(BM$38,$E249),$P$20))-SUM($BF249:BL249))</f>
        <v>0</v>
      </c>
      <c r="BN249" s="446">
        <f>IF($E249=0,0,IF(MIN(BN$38,$E249)&lt;MAX($P$34*($B249+$I$38-1),IF(AND($L$37=0,$P$34=0),"",$L$37-1)),0,YEARFRAC(MAX($P$34*($B249+$I$38-1),IF(AND($L$37=0,$P$34=0),"",$L$37-1)),MIN(BN$38,$E249),$P$20))-SUM($BF249:BM249))</f>
        <v>0</v>
      </c>
      <c r="BO249" s="446">
        <f>IF($E249=0,0,IF(MIN(BO$38,$E249)&lt;MAX($P$34*($B249+$I$38-1),IF(AND($L$37=0,$P$34=0),"",$L$37-1)),0,YEARFRAC(MAX($P$34*($B249+$I$38-1),IF(AND($L$37=0,$P$34=0),"",$L$37-1)),MIN(BO$38,$E249),$P$20))-SUM($BF249:BN249))</f>
        <v>0</v>
      </c>
      <c r="BP249" s="446">
        <f>IF($E249=0,0,IF(MIN(BP$38,$E249)&lt;MAX($P$34*($B249+$I$38-1),IF(AND($L$37=0,$P$34=0),"",$L$37-1)),0,YEARFRAC(MAX($P$34*($B249+$I$38-1),IF(AND($L$37=0,$P$34=0),"",$L$37-1)),MIN(BP$38,$E249),$P$20))-SUM($BF249:BO249))</f>
        <v>0</v>
      </c>
      <c r="BQ249" s="446">
        <f>IF($E249=0,0,IF(MIN(BQ$38,$E249)&lt;MAX($P$34*($B249+$I$38-1),IF(AND($L$37=0,$P$34=0),"",$L$37-1)),0,YEARFRAC(MAX($P$34*($B249+$I$38-1),IF(AND($L$37=0,$P$34=0),"",$L$37-1)),MIN(BQ$38,$E249),$P$20))-SUM($BF249:BP249))</f>
        <v>0</v>
      </c>
      <c r="BR249" s="446">
        <f>IF($E249=0,0,IF(MIN(BR$38,$E249)&lt;MAX($P$34*($B249+$I$38-1),IF(AND($L$37=0,$P$34=0),"",$L$37-1)),0,YEARFRAC(MAX($P$34*($B249+$I$38-1),IF(AND($L$37=0,$P$34=0),"",$L$37-1)),MIN(BR$38,$E249),$P$20))-SUM($BF249:BQ249))</f>
        <v>0</v>
      </c>
      <c r="BS249" s="446">
        <f>IF($E249=0,0,IF(MIN(BS$38,$E249)&lt;MAX($P$34*($B249+$I$38-1),IF(AND($L$37=0,$P$34=0),"",$L$37-1)),0,YEARFRAC(MAX($P$34*($B249+$I$38-1),IF(AND($L$37=0,$P$34=0),"",$L$37-1)),MIN(BS$38,$E249),$P$20))-SUM($BF249:BR249))</f>
        <v>0</v>
      </c>
      <c r="BT249" s="446">
        <f>IF($E249=0,0,IF(MIN(BT$38,$E249)&lt;MAX($P$34*($B249+$I$38-1),IF(AND($L$37=0,$P$34=0),"",$L$37-1)),0,YEARFRAC(MAX($P$34*($B249+$I$38-1),IF(AND($L$37=0,$P$34=0),"",$L$37-1)),MIN(BT$38,$E249),$P$20))-SUM($BF249:BS249))</f>
        <v>0</v>
      </c>
      <c r="BU249" s="446">
        <f>IF($E249=0,0,IF(MIN(BU$38,$E249)&lt;MAX($P$34*($B249+$I$38-1),IF(AND($L$37=0,$P$34=0),"",$L$37-1)),0,YEARFRAC(MAX($P$34*($B249+$I$38-1),IF(AND($L$37=0,$P$34=0),"",$L$37-1)),MIN(BU$38,$E249),$P$20))-SUM($BF249:BT249))</f>
        <v>0</v>
      </c>
      <c r="BV249" s="446">
        <f>IF($E249=0,0,IF(MIN(BV$38,$E249)&lt;MAX($P$34*($B249+$I$38-1),IF(AND($L$37=0,$P$34=0),"",$L$37-1)),0,YEARFRAC(MAX($P$34*($B249+$I$38-1),IF(AND($L$37=0,$P$34=0),"",$L$37-1)),MIN(BV$38,$E249),$P$20))-SUM($BF249:BU249))</f>
        <v>0</v>
      </c>
      <c r="BW249" s="446">
        <f>IF($E249=0,0,IF(MIN(BW$38,$E249)&lt;MAX($P$34*($B249+$I$38-1),IF(AND($L$37=0,$P$34=0),"",$L$37-1)),0,YEARFRAC(MAX($P$34*($B249+$I$38-1),IF(AND($L$37=0,$P$34=0),"",$L$37-1)),MIN(BW$38,$E249),$P$20))-SUM($BF249:BV249))</f>
        <v>0</v>
      </c>
      <c r="BX249" s="446">
        <f>IF($E249=0,0,IF(MIN(BX$38,$E249)&lt;MAX($P$34*($B249+$I$38-1),IF(AND($L$37=0,$P$34=0),"",$L$37-1)),0,YEARFRAC(MAX($P$34*($B249+$I$38-1),IF(AND($L$37=0,$P$34=0),"",$L$37-1)),MIN(BX$38,$E249),$P$20))-SUM($BF249:BW249))</f>
        <v>0</v>
      </c>
      <c r="BY249" s="446">
        <f>IF($E249=0,0,IF(MIN(BY$38,$E249)&lt;MAX($P$34*($B249+$I$38-1),IF(AND($L$37=0,$P$34=0),"",$L$37-1)),0,YEARFRAC(MAX($P$34*($B249+$I$38-1),IF(AND($L$37=0,$P$34=0),"",$L$37-1)),MIN(BY$38,$E249),$P$20))-SUM($BF249:BX249))</f>
        <v>0</v>
      </c>
      <c r="BZ249" s="446">
        <f>IF($E249=0,0,IF(MIN(BZ$38,$E249)&lt;MAX($P$34*($B249+$I$38-1),IF(AND($L$37=0,$P$34=0),"",$L$37-1)),0,YEARFRAC(MAX($P$34*($B249+$I$38-1),IF(AND($L$37=0,$P$34=0),"",$L$37-1)),MIN(BZ$38,$E249),$P$20))-SUM($BF249:BY249))</f>
        <v>0</v>
      </c>
      <c r="CA249" s="446">
        <f>IF($E249=0,0,IF(MIN(CA$38,$E249)&lt;MAX($P$34*($B249+$I$38-1),IF(AND($L$37=0,$P$34=0),"",$L$37-1)),0,YEARFRAC(MAX($P$34*($B249+$I$38-1),IF(AND($L$37=0,$P$34=0),"",$L$37-1)),MIN(CA$38,$E249),$P$20))-SUM($BF249:BZ249))</f>
        <v>0</v>
      </c>
      <c r="CB249" s="446">
        <f>IF($E249=0,0,IF(MIN(CB$38,$E249)&lt;MAX($P$34*($B249+$I$38-1),IF(AND($L$37=0,$P$34=0),"",$L$37-1)),0,YEARFRAC(MAX($P$34*($B249+$I$38-1),IF(AND($L$37=0,$P$34=0),"",$L$37-1)),MIN(CB$38,$E249),$P$20))-SUM($BF249:CA249))</f>
        <v>0</v>
      </c>
      <c r="CC249" s="446">
        <f>IF($E249=0,0,IF(MIN(CC$38,$E249)&lt;MAX($P$34*($B249+$I$38-1),IF(AND($L$37=0,$P$34=0),"",$L$37-1)),0,YEARFRAC(MAX($P$34*($B249+$I$38-1),IF(AND($L$37=0,$P$34=0),"",$L$37-1)),MIN(CC$38,$E249),$P$20))-SUM($BF249:CB249))</f>
        <v>0</v>
      </c>
      <c r="CD249" s="446">
        <f>IF($E249=0,0,IF(MIN(CD$38,$E249)&lt;MAX($P$34*($B249+$I$38-1),IF(AND($L$37=0,$P$34=0),"",$L$37-1)),0,YEARFRAC(MAX($P$34*($B249+$I$38-1),IF(AND($L$37=0,$P$34=0),"",$L$37-1)),MIN(CD$38,$E249),$P$20))-SUM($BF249:CC249))</f>
        <v>0</v>
      </c>
      <c r="CE249" s="446">
        <f>IF($E249=0,0,IF(MIN(CE$38,$E249)&lt;MAX($P$34*($B249+$I$38-1),IF(AND($L$37=0,$P$34=0),"",$L$37-1)),0,YEARFRAC(MAX($P$34*($B249+$I$38-1),IF(AND($L$37=0,$P$34=0),"",$L$37-1)),MIN(CE$38,$E249),$P$20))-SUM($BF249:CD249))</f>
        <v>0</v>
      </c>
      <c r="CF249" s="446">
        <f>IF($E249=0,0,IF(MIN(CF$38,$E249)&lt;MAX($P$34*($B249+$I$38-1),IF(AND($L$37=0,$P$34=0),"",$L$37-1)),0,YEARFRAC(MAX($P$34*($B249+$I$38-1),IF(AND($L$37=0,$P$34=0),"",$L$37-1)),MIN(CF$38,$E249),$P$20))-SUM($BF249:CE249))</f>
        <v>0</v>
      </c>
      <c r="CG249" s="446">
        <f>IF($E249=0,0,IF(MIN(CG$38,$E249)&lt;MAX($P$34*($B249+$I$38-1),IF(AND($L$37=0,$P$34=0),"",$L$37-1)),0,YEARFRAC(MAX($P$34*($B249+$I$38-1),IF(AND($L$37=0,$P$34=0),"",$L$37-1)),MIN(CG$38,$E249),$P$20))-SUM($BF249:CF249))</f>
        <v>0</v>
      </c>
      <c r="CH249" s="446">
        <f>IF($E249=0,0,IF(MIN(CH$38,$E249)&lt;MAX($P$34*($B249+$I$38-1),IF(AND($L$37=0,$P$34=0),"",$L$37-1)),0,YEARFRAC(MAX($P$34*($B249+$I$38-1),IF(AND($L$37=0,$P$34=0),"",$L$37-1)),MIN(CH$38,$E249),$P$20))-SUM($BF249:CG249))</f>
        <v>0</v>
      </c>
      <c r="CI249" s="446">
        <f>IF($E249=0,0,IF(MIN(CI$38,$E249)&lt;MAX($P$34*($B249+$I$38-1),IF(AND($L$37=0,$P$34=0),"",$L$37-1)),0,YEARFRAC(MAX($P$34*($B249+$I$38-1),IF(AND($L$37=0,$P$34=0),"",$L$37-1)),MIN(CI$38,$E249),$P$20))-SUM($BF249:CH249))</f>
        <v>0</v>
      </c>
      <c r="CJ249" s="446">
        <f>IF($E249=0,0,IF(MIN(CJ$38,$E249)&lt;MAX($P$34*($B249+$I$38-1),IF(AND($L$37=0,$P$34=0),"",$L$37-1)),0,YEARFRAC(MAX($P$34*($B249+$I$38-1),IF(AND($L$37=0,$P$34=0),"",$L$37-1)),MIN(CJ$38,$E249),$P$20))-SUM($BF249:CI249))</f>
        <v>0</v>
      </c>
      <c r="CK249" s="446">
        <f>IF($E249=0,0,IF(MIN(CK$38,$E249)&lt;MAX($P$34*($B249+$I$38-1),IF(AND($L$37=0,$P$34=0),"",$L$37-1)),0,YEARFRAC(MAX($P$34*($B249+$I$38-1),IF(AND($L$37=0,$P$34=0),"",$L$37-1)),MIN(CK$38,$E249),$P$20))-SUM($BF249:CJ249))</f>
        <v>0</v>
      </c>
      <c r="CL249" s="446">
        <f>IF($E249=0,0,IF(MIN(CL$38,$E249)&lt;MAX($P$34*($B249+$I$38-1),IF(AND($L$37=0,$P$34=0),"",$L$37-1)),0,YEARFRAC(MAX($P$34*($B249+$I$38-1),IF(AND($L$37=0,$P$34=0),"",$L$37-1)),MIN(CL$38,$E249),$P$20))-SUM($BF249:CK249))</f>
        <v>0</v>
      </c>
      <c r="CM249" s="446">
        <f>IF($E249=0,0,IF(MIN(CM$38,$E249)&lt;MAX($P$34*($B249+$I$38-1),IF(AND($L$37=0,$P$34=0),"",$L$37-1)),0,YEARFRAC(MAX($P$34*($B249+$I$38-1),IF(AND($L$37=0,$P$34=0),"",$L$37-1)),MIN(CM$38,$E249),$P$20))-SUM($BF249:CL249))</f>
        <v>0</v>
      </c>
      <c r="CN249" s="446">
        <f>IF($E249=0,0,IF(MIN(CN$38,$E249)&lt;MAX($P$34*($B249+$I$38-1),IF(AND($L$37=0,$P$34=0),"",$L$37-1)),0,YEARFRAC(MAX($P$34*($B249+$I$38-1),IF(AND($L$37=0,$P$34=0),"",$L$37-1)),MIN(CN$38,$E249),$P$20))-SUM($BF249:CM249))</f>
        <v>0</v>
      </c>
      <c r="CO249" s="446">
        <f>IF($E249=0,0,IF(MIN(CO$38,$E249)&lt;MAX($P$34*($B249+$I$38-1),IF(AND($L$37=0,$P$34=0),"",$L$37-1)),0,YEARFRAC(MAX($P$34*($B249+$I$38-1),IF(AND($L$37=0,$P$34=0),"",$L$37-1)),MIN(CO$38,$E249),$P$20))-SUM($BF249:CN249))</f>
        <v>0</v>
      </c>
      <c r="CP249" s="446">
        <f>IF($E249=0,0,IF(MIN(CP$38,$E249)&lt;MAX($P$34*($B249+$I$38-1),IF(AND($L$37=0,$P$34=0),"",$L$37-1)),0,YEARFRAC(MAX($P$34*($B249+$I$38-1),IF(AND($L$37=0,$P$34=0),"",$L$37-1)),MIN(CP$38,$E249),$P$20))-SUM($BF249:CO249))</f>
        <v>0</v>
      </c>
      <c r="CQ249" s="446">
        <f>IF($E249=0,0,IF(MIN(CQ$38,$E249)&lt;MAX($P$34*($B249+$I$38-1),IF(AND($L$37=0,$P$34=0),"",$L$37-1)),0,YEARFRAC(MAX($P$34*($B249+$I$38-1),IF(AND($L$37=0,$P$34=0),"",$L$37-1)),MIN(CQ$38,$E249),$P$20))-SUM($BF249:CP249))</f>
        <v>0</v>
      </c>
    </row>
    <row r="250" spans="1:95" s="446" customFormat="1" ht="11.25" hidden="1" customHeight="1" x14ac:dyDescent="0.2">
      <c r="A250" s="152"/>
      <c r="B250" s="153" t="str">
        <f t="shared" si="48"/>
        <v/>
      </c>
      <c r="C250" s="29" t="str">
        <f>IF(B250="","",IF($L$35="SELIC - TRIBUTOS",VLOOKUP(DATE(YEAR($D$19),MONTH($D$19)-1,1),ÍNDICES!$A:$DE,HLOOKUP($BL$25,ÍNDICES!$B$3:$T$4,2)+11)-VLOOKUP(B250,ÍNDICES!$A:$DE,HLOOKUP($BL$25,ÍNDICES!$B$3:$T$4,2)+11)+1%,IF(C$38=$W$26,$J$35,IF(ISERROR(IF(B250&gt;$D$19,1,VLOOKUP(DATE(YEAR(B250),MONTH(B250)+IF($C$35=$S$23,1,0),1),ÍNDICES!$A:$DE,$Z$35+1))),"",IF(B250&gt;$D$19,1,VLOOKUP(DATE(YEAR(B250),MONTH(B250)+IF($C$35=$S$23,1,0),1),ÍNDICES!$A:$DE,$Z$35+1))))))</f>
        <v/>
      </c>
      <c r="D250" s="154" t="str">
        <f>IF(ISERROR(IF(OR($D$38=$Y$27,$B250=""),"",VLOOKUP(B250,ÍNDICES!A:DE,AF$35+1))),"",IF(OR($D$38=$Y$27,$B250=""),"",VLOOKUP(B250,ÍNDICES!A:DE,AF$35+1)))</f>
        <v/>
      </c>
      <c r="E250" s="153"/>
      <c r="F250" s="29" t="str">
        <f>IF(E250="","",IF($L$35="SELIC - TRIBUTOS",VLOOKUP(DATE(YEAR($D$19),MONTH($D$19)-1,1),ÍNDICES!$A:$DE,HLOOKUP($BL$25,ÍNDICES!$B$3:$T$4,2)+11)-VLOOKUP(E250,ÍNDICES!$A:$DE,HLOOKUP($BL$25,ÍNDICES!$B$3:$T$4,2)+11)+1%,IF(F$38=$W$26,$J$35,IF(ISERROR(IF(E250&gt;$D$19,1,VLOOKUP(DATE(YEAR(E250),MONTH(E250)+IF($C$35=$S$23,1,0),1),ÍNDICES!$A:$DE,$Z$35+1))),"",IF(E250&gt;$D$19,1,VLOOKUP(DATE(YEAR(E250),MONTH(E250)+IF($C$35=$S$23,1,0),1),ÍNDICES!$A:$DE,$Z$35+1))))))</f>
        <v/>
      </c>
      <c r="G250" s="155"/>
      <c r="H250" s="156" t="str">
        <f t="shared" si="44"/>
        <v/>
      </c>
      <c r="I250" s="29" t="str">
        <f t="shared" si="38"/>
        <v/>
      </c>
      <c r="J250" s="5">
        <f t="shared" si="39"/>
        <v>0</v>
      </c>
      <c r="K250" s="20">
        <f t="shared" ca="1" si="40"/>
        <v>0</v>
      </c>
      <c r="L250" s="5">
        <f t="shared" ca="1" si="41"/>
        <v>0</v>
      </c>
      <c r="M250" s="64">
        <f t="shared" si="45"/>
        <v>0</v>
      </c>
      <c r="N250" s="61">
        <f t="shared" ca="1" si="46"/>
        <v>0</v>
      </c>
      <c r="O250" s="5">
        <f t="shared" ca="1" si="47"/>
        <v>0</v>
      </c>
      <c r="P250" s="446" t="e">
        <f t="shared" si="42"/>
        <v>#VALUE!</v>
      </c>
      <c r="Q250" s="446" t="e">
        <f>IF(OR($B250="",MIN(Q$38,$D$19)&lt;MAX($P$34*($B250+IF($R$17="Distrato",$I$38-1,0)),IF(AND($L$37=0,$P$34=0),"",$L$37-1),IF($R$17="Distrato",$E250,0))),0,YEARFRAC(MAX($P$34*($B250+IF($R$17="Distrato",$I$38-1,0)),IF(AND($L$37=0,$P$34=0),"",$L$37-1),IF($R$17="Distrato",$E250,0)),MIN(Q$38,$D$19),$P$20))-SUM($P250:P250)</f>
        <v>#VALUE!</v>
      </c>
      <c r="R250" s="446" t="e">
        <f>IF(OR($B250="",MIN(R$38,$D$19)&lt;MAX($P$34*($B250+IF($R$17="Distrato",$I$38-1,0)),IF(AND($L$37=0,$P$34=0),"",$L$37-1),IF($R$17="Distrato",$E250,0))),0,YEARFRAC(MAX($P$34*($B250+IF($R$17="Distrato",$I$38-1,0)),IF(AND($L$37=0,$P$34=0),"",$L$37-1),IF($R$17="Distrato",$E250,0)),MIN(R$38,$D$19),$P$20))-SUM($P250:Q250)</f>
        <v>#VALUE!</v>
      </c>
      <c r="S250" s="446" t="e">
        <f>IF(OR($B250="",MIN(S$38,$D$19)&lt;MAX($P$34*($B250+IF($R$17="Distrato",$I$38-1,0)),IF(AND($L$37=0,$P$34=0),"",$L$37-1),IF($R$17="Distrato",$E250,0))),0,YEARFRAC(MAX($P$34*($B250+IF($R$17="Distrato",$I$38-1,0)),IF(AND($L$37=0,$P$34=0),"",$L$37-1),IF($R$17="Distrato",$E250,0)),MIN(S$38,$D$19),$P$20))-SUM($P250:R250)</f>
        <v>#VALUE!</v>
      </c>
      <c r="T250" s="446" t="e">
        <f>IF(OR($B250="",MIN(T$38,$D$19)&lt;MAX($P$34*($B250+IF($R$17="Distrato",$I$38-1,0)),IF(AND($L$37=0,$P$34=0),"",$L$37-1),IF($R$17="Distrato",$E250,0))),0,YEARFRAC(MAX($P$34*($B250+IF($R$17="Distrato",$I$38-1,0)),IF(AND($L$37=0,$P$34=0),"",$L$37-1),IF($R$17="Distrato",$E250,0)),MIN(T$38,$D$19),$P$20))-SUM($P250:S250)</f>
        <v>#VALUE!</v>
      </c>
      <c r="U250" s="446" t="e">
        <f>IF(OR($B250="",MIN(U$38,$D$19)&lt;MAX($P$34*($B250+IF($R$17="Distrato",$I$38-1,0)),IF(AND($L$37=0,$P$34=0),"",$L$37-1),IF($R$17="Distrato",$E250,0))),0,YEARFRAC(MAX($P$34*($B250+IF($R$17="Distrato",$I$38-1,0)),IF(AND($L$37=0,$P$34=0),"",$L$37-1),IF($R$17="Distrato",$E250,0)),MIN(U$38,$D$19),$P$20))-SUM($P250:T250)</f>
        <v>#VALUE!</v>
      </c>
      <c r="V250" s="446" t="e">
        <f>IF(OR($B250="",MIN(V$38,$D$19)&lt;MAX($P$34*($B250+IF($R$17="Distrato",$I$38-1,0)),IF(AND($L$37=0,$P$34=0),"",$L$37-1),IF($R$17="Distrato",$E250,0))),0,YEARFRAC(MAX($P$34*($B250+IF($R$17="Distrato",$I$38-1,0)),IF(AND($L$37=0,$P$34=0),"",$L$37-1),IF($R$17="Distrato",$E250,0)),MIN(V$38,$D$19),$P$20))-SUM($P250:U250)</f>
        <v>#VALUE!</v>
      </c>
      <c r="W250" s="446" t="e">
        <f>IF(OR($B250="",MIN(W$38,$D$19)&lt;MAX($P$34*($B250+IF($R$17="Distrato",$I$38-1,0)),IF(AND($L$37=0,$P$34=0),"",$L$37-1),IF($R$17="Distrato",$E250,0))),0,YEARFRAC(MAX($P$34*($B250+IF($R$17="Distrato",$I$38-1,0)),IF(AND($L$37=0,$P$34=0),"",$L$37-1),IF($R$17="Distrato",$E250,0)),MIN(W$38,$D$19),$P$20))-SUM($P250:V250)</f>
        <v>#VALUE!</v>
      </c>
      <c r="X250" s="446" t="e">
        <f>IF(OR($B250="",MIN(X$38,$D$19)&lt;MAX($P$34*($B250+IF($R$17="Distrato",$I$38-1,0)),IF(AND($L$37=0,$P$34=0),"",$L$37-1),IF($R$17="Distrato",$E250,0))),0,YEARFRAC(MAX($P$34*($B250+IF($R$17="Distrato",$I$38-1,0)),IF(AND($L$37=0,$P$34=0),"",$L$37-1),IF($R$17="Distrato",$E250,0)),MIN(X$38,$D$19),$P$20))-SUM($P250:W250)</f>
        <v>#VALUE!</v>
      </c>
      <c r="Y250" s="446" t="e">
        <f>IF(OR($B250="",MIN(Y$38,$D$19)&lt;MAX($P$34*($B250+IF($R$17="Distrato",$I$38-1,0)),IF(AND($L$37=0,$P$34=0),"",$L$37-1),IF($R$17="Distrato",$E250,0))),0,YEARFRAC(MAX($P$34*($B250+IF($R$17="Distrato",$I$38-1,0)),IF(AND($L$37=0,$P$34=0),"",$L$37-1),IF($R$17="Distrato",$E250,0)),MIN(Y$38,$D$19),$P$20))-SUM($P250:X250)</f>
        <v>#VALUE!</v>
      </c>
      <c r="Z250" s="446" t="e">
        <f>IF(OR($B250="",MIN(Z$38,$D$19)&lt;MAX($P$34*($B250+IF($R$17="Distrato",$I$38-1,0)),IF(AND($L$37=0,$P$34=0),"",$L$37-1),IF($R$17="Distrato",$E250,0))),0,YEARFRAC(MAX($P$34*($B250+IF($R$17="Distrato",$I$38-1,0)),IF(AND($L$37=0,$P$34=0),"",$L$37-1),IF($R$17="Distrato",$E250,0)),MIN(Z$38,$D$19),$P$20))-SUM($P250:Y250)</f>
        <v>#VALUE!</v>
      </c>
      <c r="AA250" s="446" t="e">
        <f>IF(OR($B250="",MIN(AA$38,$D$19)&lt;MAX($P$34*($B250+IF($R$17="Distrato",$I$38-1,0)),IF(AND($L$37=0,$P$34=0),"",$L$37-1),IF($R$17="Distrato",$E250,0))),0,YEARFRAC(MAX($P$34*($B250+IF($R$17="Distrato",$I$38-1,0)),IF(AND($L$37=0,$P$34=0),"",$L$37-1),IF($R$17="Distrato",$E250,0)),MIN(AA$38,$D$19),$P$20))-SUM($P250:Z250)</f>
        <v>#VALUE!</v>
      </c>
      <c r="AB250" s="446" t="e">
        <f>IF(OR($B250="",MIN(AB$38,$D$19)&lt;MAX($P$34*($B250+IF($R$17="Distrato",$I$38-1,0)),IF(AND($L$37=0,$P$34=0),"",$L$37-1),IF($R$17="Distrato",$E250,0))),0,YEARFRAC(MAX($P$34*($B250+IF($R$17="Distrato",$I$38-1,0)),IF(AND($L$37=0,$P$34=0),"",$L$37-1),IF($R$17="Distrato",$E250,0)),MIN(AB$38,$D$19),$P$20))-SUM($P250:AA250)</f>
        <v>#VALUE!</v>
      </c>
      <c r="AC250" s="446" t="e">
        <f>IF(OR($B250="",MIN(AC$38,$D$19)&lt;MAX($P$34*($B250+IF($R$17="Distrato",$I$38-1,0)),IF(AND($L$37=0,$P$34=0),"",$L$37-1),IF($R$17="Distrato",$E250,0))),0,YEARFRAC(MAX($P$34*($B250+IF($R$17="Distrato",$I$38-1,0)),IF(AND($L$37=0,$P$34=0),"",$L$37-1),IF($R$17="Distrato",$E250,0)),MIN(AC$38,$D$19),$P$20))-SUM($P250:AB250)</f>
        <v>#VALUE!</v>
      </c>
      <c r="AD250" s="446" t="e">
        <f>IF(OR($B250="",MIN(AD$38,$D$19)&lt;MAX($P$34*($B250+IF($R$17="Distrato",$I$38-1,0)),IF(AND($L$37=0,$P$34=0),"",$L$37-1),IF($R$17="Distrato",$E250,0))),0,YEARFRAC(MAX($P$34*($B250+IF($R$17="Distrato",$I$38-1,0)),IF(AND($L$37=0,$P$34=0),"",$L$37-1),IF($R$17="Distrato",$E250,0)),MIN(AD$38,$D$19),$P$20))-SUM($P250:AC250)</f>
        <v>#VALUE!</v>
      </c>
      <c r="AE250" s="446" t="e">
        <f>IF(OR($B250="",MIN(AE$38,$D$19)&lt;MAX($P$34*($B250+IF($R$17="Distrato",$I$38-1,0)),IF(AND($L$37=0,$P$34=0),"",$L$37-1),IF($R$17="Distrato",$E250,0))),0,YEARFRAC(MAX($P$34*($B250+IF($R$17="Distrato",$I$38-1,0)),IF(AND($L$37=0,$P$34=0),"",$L$37-1),IF($R$17="Distrato",$E250,0)),MIN(AE$38,$D$19),$P$20))-SUM($P250:AD250)</f>
        <v>#VALUE!</v>
      </c>
      <c r="AF250" s="446" t="e">
        <f>IF(OR($B250="",MIN(AF$38,$D$19)&lt;MAX($P$34*($B250+IF($R$17="Distrato",$I$38-1,0)),IF(AND($L$37=0,$P$34=0),"",$L$37-1),IF($R$17="Distrato",$E250,0))),0,YEARFRAC(MAX($P$34*($B250+IF($R$17="Distrato",$I$38-1,0)),IF(AND($L$37=0,$P$34=0),"",$L$37-1),IF($R$17="Distrato",$E250,0)),MIN(AF$38,$D$19),$P$20))-SUM($P250:AE250)</f>
        <v>#VALUE!</v>
      </c>
      <c r="AG250" s="446" t="e">
        <f>IF(OR($B250="",MIN(AG$38,$D$19)&lt;MAX($P$34*($B250+IF($R$17="Distrato",$I$38-1,0)),IF(AND($L$37=0,$P$34=0),"",$L$37-1),IF($R$17="Distrato",$E250,0))),0,YEARFRAC(MAX($P$34*($B250+IF($R$17="Distrato",$I$38-1,0)),IF(AND($L$37=0,$P$34=0),"",$L$37-1),IF($R$17="Distrato",$E250,0)),MIN(AG$38,$D$19),$P$20))-SUM($P250:AF250)</f>
        <v>#VALUE!</v>
      </c>
      <c r="AH250" s="446" t="e">
        <f>IF(OR($B250="",MIN(AH$38,$D$19)&lt;MAX($P$34*($B250+IF($R$17="Distrato",$I$38-1,0)),IF(AND($L$37=0,$P$34=0),"",$L$37-1),IF($R$17="Distrato",$E250,0))),0,YEARFRAC(MAX($P$34*($B250+IF($R$17="Distrato",$I$38-1,0)),IF(AND($L$37=0,$P$34=0),"",$L$37-1),IF($R$17="Distrato",$E250,0)),MIN(AH$38,$D$19),$P$20))-SUM($P250:AG250)</f>
        <v>#VALUE!</v>
      </c>
      <c r="AI250" s="446" t="e">
        <f>IF(OR($B250="",MIN(AI$38,$D$19)&lt;MAX($P$34*($B250+IF($R$17="Distrato",$I$38-1,0)),IF(AND($L$37=0,$P$34=0),"",$L$37-1),IF($R$17="Distrato",$E250,0))),0,YEARFRAC(MAX($P$34*($B250+IF($R$17="Distrato",$I$38-1,0)),IF(AND($L$37=0,$P$34=0),"",$L$37-1),IF($R$17="Distrato",$E250,0)),MIN(AI$38,$D$19),$P$20))-SUM($P250:AH250)</f>
        <v>#VALUE!</v>
      </c>
      <c r="AJ250" s="446" t="e">
        <f>IF(OR($B250="",MIN(AJ$38,$D$19)&lt;MAX($P$34*($B250+IF($R$17="Distrato",$I$38-1,0)),IF(AND($L$37=0,$P$34=0),"",$L$37-1),IF($R$17="Distrato",$E250,0))),0,YEARFRAC(MAX($P$34*($B250+IF($R$17="Distrato",$I$38-1,0)),IF(AND($L$37=0,$P$34=0),"",$L$37-1),IF($R$17="Distrato",$E250,0)),MIN(AJ$38,$D$19),$P$20))-SUM($P250:AI250)</f>
        <v>#VALUE!</v>
      </c>
      <c r="AK250" s="446" t="e">
        <f>IF(OR($B250="",MIN(AK$38,$D$19)&lt;MAX($P$34*($B250+IF($R$17="Distrato",$I$38-1,0)),IF(AND($L$37=0,$P$34=0),"",$L$37-1),IF($R$17="Distrato",$E250,0))),0,YEARFRAC(MAX($P$34*($B250+IF($R$17="Distrato",$I$38-1,0)),IF(AND($L$37=0,$P$34=0),"",$L$37-1),IF($R$17="Distrato",$E250,0)),MIN(AK$38,$D$19),$P$20))-SUM($P250:AJ250)</f>
        <v>#VALUE!</v>
      </c>
      <c r="AL250" s="446" t="e">
        <f>IF(OR($B250="",MIN(AL$38,$D$19)&lt;MAX($P$34*($B250+IF($R$17="Distrato",$I$38-1,0)),IF(AND($L$37=0,$P$34=0),"",$L$37-1),IF($R$17="Distrato",$E250,0))),0,YEARFRAC(MAX($P$34*($B250+IF($R$17="Distrato",$I$38-1,0)),IF(AND($L$37=0,$P$34=0),"",$L$37-1),IF($R$17="Distrato",$E250,0)),MIN(AL$38,$D$19),$P$20))-SUM($P250:AK250)</f>
        <v>#VALUE!</v>
      </c>
      <c r="AM250" s="446" t="e">
        <f>IF(OR($B250="",MIN(AM$38,$D$19)&lt;MAX($P$34*($B250+IF($R$17="Distrato",$I$38-1,0)),IF(AND($L$37=0,$P$34=0),"",$L$37-1),IF($R$17="Distrato",$E250,0))),0,YEARFRAC(MAX($P$34*($B250+IF($R$17="Distrato",$I$38-1,0)),IF(AND($L$37=0,$P$34=0),"",$L$37-1),IF($R$17="Distrato",$E250,0)),MIN(AM$38,$D$19),$P$20))-SUM($P250:AL250)</f>
        <v>#VALUE!</v>
      </c>
      <c r="AN250" s="446" t="e">
        <f>IF(OR($B250="",MIN(AN$38,$D$19)&lt;MAX($P$34*($B250+IF($R$17="Distrato",$I$38-1,0)),IF(AND($L$37=0,$P$34=0),"",$L$37-1),IF($R$17="Distrato",$E250,0))),0,YEARFRAC(MAX($P$34*($B250+IF($R$17="Distrato",$I$38-1,0)),IF(AND($L$37=0,$P$34=0),"",$L$37-1),IF($R$17="Distrato",$E250,0)),MIN(AN$38,$D$19),$P$20))-SUM($P250:AM250)</f>
        <v>#VALUE!</v>
      </c>
      <c r="AO250" s="446" t="e">
        <f>IF(OR($B250="",MIN(AO$38,$D$19)&lt;MAX($P$34*($B250+IF($R$17="Distrato",$I$38-1,0)),IF(AND($L$37=0,$P$34=0),"",$L$37-1),IF($R$17="Distrato",$E250,0))),0,YEARFRAC(MAX($P$34*($B250+IF($R$17="Distrato",$I$38-1,0)),IF(AND($L$37=0,$P$34=0),"",$L$37-1),IF($R$17="Distrato",$E250,0)),MIN(AO$38,$D$19),$P$20))-SUM($P250:AN250)</f>
        <v>#VALUE!</v>
      </c>
      <c r="AP250" s="446" t="e">
        <f>IF(OR($B250="",MIN(AP$38,$D$19)&lt;MAX($P$34*($B250+IF($R$17="Distrato",$I$38-1,0)),IF(AND($L$37=0,$P$34=0),"",$L$37-1),IF($R$17="Distrato",$E250,0))),0,YEARFRAC(MAX($P$34*($B250+IF($R$17="Distrato",$I$38-1,0)),IF(AND($L$37=0,$P$34=0),"",$L$37-1),IF($R$17="Distrato",$E250,0)),MIN(AP$38,$D$19),$P$20))-SUM($P250:AO250)</f>
        <v>#VALUE!</v>
      </c>
      <c r="AQ250" s="446" t="e">
        <f>IF(OR($B250="",MIN(AQ$38,$D$19)&lt;MAX($P$34*($B250+IF($R$17="Distrato",$I$38-1,0)),IF(AND($L$37=0,$P$34=0),"",$L$37-1),IF($R$17="Distrato",$E250,0))),0,YEARFRAC(MAX($P$34*($B250+IF($R$17="Distrato",$I$38-1,0)),IF(AND($L$37=0,$P$34=0),"",$L$37-1),IF($R$17="Distrato",$E250,0)),MIN(AQ$38,$D$19),$P$20))-SUM($P250:AP250)</f>
        <v>#VALUE!</v>
      </c>
      <c r="AR250" s="446" t="e">
        <f>IF(OR($B250="",MIN(AR$38,$D$19)&lt;MAX($P$34*($B250+IF($R$17="Distrato",$I$38-1,0)),IF(AND($L$37=0,$P$34=0),"",$L$37-1),IF($R$17="Distrato",$E250,0))),0,YEARFRAC(MAX($P$34*($B250+IF($R$17="Distrato",$I$38-1,0)),IF(AND($L$37=0,$P$34=0),"",$L$37-1),IF($R$17="Distrato",$E250,0)),MIN(AR$38,$D$19),$P$20))-SUM($P250:AQ250)</f>
        <v>#VALUE!</v>
      </c>
      <c r="AS250" s="446" t="e">
        <f>IF(OR($B250="",MIN(AS$38,$D$19)&lt;MAX($P$34*($B250+IF($R$17="Distrato",$I$38-1,0)),IF(AND($L$37=0,$P$34=0),"",$L$37-1),IF($R$17="Distrato",$E250,0))),0,YEARFRAC(MAX($P$34*($B250+IF($R$17="Distrato",$I$38-1,0)),IF(AND($L$37=0,$P$34=0),"",$L$37-1),IF($R$17="Distrato",$E250,0)),MIN(AS$38,$D$19),$P$20))-SUM($P250:AR250)</f>
        <v>#VALUE!</v>
      </c>
      <c r="AT250" s="446" t="e">
        <f>IF(OR($B250="",MIN(AT$38,$D$19)&lt;MAX($P$34*($B250+IF($R$17="Distrato",$I$38-1,0)),IF(AND($L$37=0,$P$34=0),"",$L$37-1),IF($R$17="Distrato",$E250,0))),0,YEARFRAC(MAX($P$34*($B250+IF($R$17="Distrato",$I$38-1,0)),IF(AND($L$37=0,$P$34=0),"",$L$37-1),IF($R$17="Distrato",$E250,0)),MIN(AT$38,$D$19),$P$20))-SUM($P250:AS250)</f>
        <v>#VALUE!</v>
      </c>
      <c r="AU250" s="446" t="e">
        <f>IF(OR($B250="",MIN(AU$38,$D$19)&lt;MAX($P$34*($B250+IF($R$17="Distrato",$I$38-1,0)),IF(AND($L$37=0,$P$34=0),"",$L$37-1),IF($R$17="Distrato",$E250,0))),0,YEARFRAC(MAX($P$34*($B250+IF($R$17="Distrato",$I$38-1,0)),IF(AND($L$37=0,$P$34=0),"",$L$37-1),IF($R$17="Distrato",$E250,0)),MIN(AU$38,$D$19),$P$20))-SUM($P250:AT250)</f>
        <v>#VALUE!</v>
      </c>
      <c r="AV250" s="446" t="e">
        <f>IF(OR($B250="",MIN(AV$38,$D$19)&lt;MAX($P$34*($B250+IF($R$17="Distrato",$I$38-1,0)),IF(AND($L$37=0,$P$34=0),"",$L$37-1),IF($R$17="Distrato",$E250,0))),0,YEARFRAC(MAX($P$34*($B250+IF($R$17="Distrato",$I$38-1,0)),IF(AND($L$37=0,$P$34=0),"",$L$37-1),IF($R$17="Distrato",$E250,0)),MIN(AV$38,$D$19),$P$20))-SUM($P250:AU250)</f>
        <v>#VALUE!</v>
      </c>
      <c r="AW250" s="446" t="e">
        <f>IF(OR($B250="",MIN(AW$38,$D$19)&lt;MAX($P$34*($B250+IF($R$17="Distrato",$I$38-1,0)),IF(AND($L$37=0,$P$34=0),"",$L$37-1),IF($R$17="Distrato",$E250,0))),0,YEARFRAC(MAX($P$34*($B250+IF($R$17="Distrato",$I$38-1,0)),IF(AND($L$37=0,$P$34=0),"",$L$37-1),IF($R$17="Distrato",$E250,0)),MIN(AW$38,$D$19),$P$20))-SUM($P250:AV250)</f>
        <v>#VALUE!</v>
      </c>
      <c r="AX250" s="446" t="e">
        <f>IF(OR($B250="",MIN(AX$38,$D$19)&lt;MAX($P$34*($B250+IF($R$17="Distrato",$I$38-1,0)),IF(AND($L$37=0,$P$34=0),"",$L$37-1),IF($R$17="Distrato",$E250,0))),0,YEARFRAC(MAX($P$34*($B250+IF($R$17="Distrato",$I$38-1,0)),IF(AND($L$37=0,$P$34=0),"",$L$37-1),IF($R$17="Distrato",$E250,0)),MIN(AX$38,$D$19),$P$20))-SUM($P250:AW250)</f>
        <v>#VALUE!</v>
      </c>
      <c r="AY250" s="446" t="e">
        <f>IF(OR($B250="",MIN(AY$38,$D$19)&lt;MAX($P$34*($B250+IF($R$17="Distrato",$I$38-1,0)),IF(AND($L$37=0,$P$34=0),"",$L$37-1),IF($R$17="Distrato",$E250,0))),0,YEARFRAC(MAX($P$34*($B250+IF($R$17="Distrato",$I$38-1,0)),IF(AND($L$37=0,$P$34=0),"",$L$37-1),IF($R$17="Distrato",$E250,0)),MIN(AY$38,$D$19),$P$20))-SUM($P250:AX250)</f>
        <v>#VALUE!</v>
      </c>
      <c r="AZ250" s="446" t="e">
        <f>IF(OR($B250="",MIN(AZ$38,$D$19)&lt;MAX($P$34*($B250+IF($R$17="Distrato",$I$38-1,0)),IF(AND($L$37=0,$P$34=0),"",$L$37-1),IF($R$17="Distrato",$E250,0))),0,YEARFRAC(MAX($P$34*($B250+IF($R$17="Distrato",$I$38-1,0)),IF(AND($L$37=0,$P$34=0),"",$L$37-1),IF($R$17="Distrato",$E250,0)),MIN(AZ$38,$D$19),$P$20))-SUM($P250:AY250)</f>
        <v>#VALUE!</v>
      </c>
      <c r="BA250" s="446" t="e">
        <f>IF(OR($B250="",MIN(BA$38,$D$19)&lt;MAX($P$34*($B250+IF($R$17="Distrato",$I$38-1,0)),IF(AND($L$37=0,$P$34=0),"",$L$37-1),IF($R$17="Distrato",$E250,0))),0,YEARFRAC(MAX($P$34*($B250+IF($R$17="Distrato",$I$38-1,0)),IF(AND($L$37=0,$P$34=0),"",$L$37-1),IF($R$17="Distrato",$E250,0)),MIN(BA$38,$D$19),$P$20))-SUM($P250:AZ250)</f>
        <v>#VALUE!</v>
      </c>
      <c r="BB250" s="447"/>
      <c r="BF250" s="446">
        <f t="shared" si="43"/>
        <v>0</v>
      </c>
      <c r="BG250" s="446">
        <f>IF($E250=0,0,IF(MIN(BG$38,$E250)&lt;MAX($P$34*($B250+$I$38-1),IF(AND($L$37=0,$P$34=0),"",$L$37-1)),0,YEARFRAC(MAX($P$34*($B250+$I$38-1),IF(AND($L$37=0,$P$34=0),"",$L$37-1)),MIN(BG$38,$E250),$P$20))-SUM($BF250:BF250))</f>
        <v>0</v>
      </c>
      <c r="BH250" s="446">
        <f>IF($E250=0,0,IF(MIN(BH$38,$E250)&lt;MAX($P$34*($B250+$I$38-1),IF(AND($L$37=0,$P$34=0),"",$L$37-1)),0,YEARFRAC(MAX($P$34*($B250+$I$38-1),IF(AND($L$37=0,$P$34=0),"",$L$37-1)),MIN(BH$38,$E250),$P$20))-SUM($BF250:BG250))</f>
        <v>0</v>
      </c>
      <c r="BI250" s="446">
        <f>IF($E250=0,0,IF(MIN(BI$38,$E250)&lt;MAX($P$34*($B250+$I$38-1),IF(AND($L$37=0,$P$34=0),"",$L$37-1)),0,YEARFRAC(MAX($P$34*($B250+$I$38-1),IF(AND($L$37=0,$P$34=0),"",$L$37-1)),MIN(BI$38,$E250),$P$20))-SUM($BF250:BH250))</f>
        <v>0</v>
      </c>
      <c r="BJ250" s="446">
        <f>IF($E250=0,0,IF(MIN(BJ$38,$E250)&lt;MAX($P$34*($B250+$I$38-1),IF(AND($L$37=0,$P$34=0),"",$L$37-1)),0,YEARFRAC(MAX($P$34*($B250+$I$38-1),IF(AND($L$37=0,$P$34=0),"",$L$37-1)),MIN(BJ$38,$E250),$P$20))-SUM($BF250:BI250))</f>
        <v>0</v>
      </c>
      <c r="BK250" s="446">
        <f>IF($E250=0,0,IF(MIN(BK$38,$E250)&lt;MAX($P$34*($B250+$I$38-1),IF(AND($L$37=0,$P$34=0),"",$L$37-1)),0,YEARFRAC(MAX($P$34*($B250+$I$38-1),IF(AND($L$37=0,$P$34=0),"",$L$37-1)),MIN(BK$38,$E250),$P$20))-SUM($BF250:BJ250))</f>
        <v>0</v>
      </c>
      <c r="BL250" s="446">
        <f>IF($E250=0,0,IF(MIN(BL$38,$E250)&lt;MAX($P$34*($B250+$I$38-1),IF(AND($L$37=0,$P$34=0),"",$L$37-1)),0,YEARFRAC(MAX($P$34*($B250+$I$38-1),IF(AND($L$37=0,$P$34=0),"",$L$37-1)),MIN(BL$38,$E250),$P$20))-SUM($BF250:BK250))</f>
        <v>0</v>
      </c>
      <c r="BM250" s="446">
        <f>IF($E250=0,0,IF(MIN(BM$38,$E250)&lt;MAX($P$34*($B250+$I$38-1),IF(AND($L$37=0,$P$34=0),"",$L$37-1)),0,YEARFRAC(MAX($P$34*($B250+$I$38-1),IF(AND($L$37=0,$P$34=0),"",$L$37-1)),MIN(BM$38,$E250),$P$20))-SUM($BF250:BL250))</f>
        <v>0</v>
      </c>
      <c r="BN250" s="446">
        <f>IF($E250=0,0,IF(MIN(BN$38,$E250)&lt;MAX($P$34*($B250+$I$38-1),IF(AND($L$37=0,$P$34=0),"",$L$37-1)),0,YEARFRAC(MAX($P$34*($B250+$I$38-1),IF(AND($L$37=0,$P$34=0),"",$L$37-1)),MIN(BN$38,$E250),$P$20))-SUM($BF250:BM250))</f>
        <v>0</v>
      </c>
      <c r="BO250" s="446">
        <f>IF($E250=0,0,IF(MIN(BO$38,$E250)&lt;MAX($P$34*($B250+$I$38-1),IF(AND($L$37=0,$P$34=0),"",$L$37-1)),0,YEARFRAC(MAX($P$34*($B250+$I$38-1),IF(AND($L$37=0,$P$34=0),"",$L$37-1)),MIN(BO$38,$E250),$P$20))-SUM($BF250:BN250))</f>
        <v>0</v>
      </c>
      <c r="BP250" s="446">
        <f>IF($E250=0,0,IF(MIN(BP$38,$E250)&lt;MAX($P$34*($B250+$I$38-1),IF(AND($L$37=0,$P$34=0),"",$L$37-1)),0,YEARFRAC(MAX($P$34*($B250+$I$38-1),IF(AND($L$37=0,$P$34=0),"",$L$37-1)),MIN(BP$38,$E250),$P$20))-SUM($BF250:BO250))</f>
        <v>0</v>
      </c>
      <c r="BQ250" s="446">
        <f>IF($E250=0,0,IF(MIN(BQ$38,$E250)&lt;MAX($P$34*($B250+$I$38-1),IF(AND($L$37=0,$P$34=0),"",$L$37-1)),0,YEARFRAC(MAX($P$34*($B250+$I$38-1),IF(AND($L$37=0,$P$34=0),"",$L$37-1)),MIN(BQ$38,$E250),$P$20))-SUM($BF250:BP250))</f>
        <v>0</v>
      </c>
      <c r="BR250" s="446">
        <f>IF($E250=0,0,IF(MIN(BR$38,$E250)&lt;MAX($P$34*($B250+$I$38-1),IF(AND($L$37=0,$P$34=0),"",$L$37-1)),0,YEARFRAC(MAX($P$34*($B250+$I$38-1),IF(AND($L$37=0,$P$34=0),"",$L$37-1)),MIN(BR$38,$E250),$P$20))-SUM($BF250:BQ250))</f>
        <v>0</v>
      </c>
      <c r="BS250" s="446">
        <f>IF($E250=0,0,IF(MIN(BS$38,$E250)&lt;MAX($P$34*($B250+$I$38-1),IF(AND($L$37=0,$P$34=0),"",$L$37-1)),0,YEARFRAC(MAX($P$34*($B250+$I$38-1),IF(AND($L$37=0,$P$34=0),"",$L$37-1)),MIN(BS$38,$E250),$P$20))-SUM($BF250:BR250))</f>
        <v>0</v>
      </c>
      <c r="BT250" s="446">
        <f>IF($E250=0,0,IF(MIN(BT$38,$E250)&lt;MAX($P$34*($B250+$I$38-1),IF(AND($L$37=0,$P$34=0),"",$L$37-1)),0,YEARFRAC(MAX($P$34*($B250+$I$38-1),IF(AND($L$37=0,$P$34=0),"",$L$37-1)),MIN(BT$38,$E250),$P$20))-SUM($BF250:BS250))</f>
        <v>0</v>
      </c>
      <c r="BU250" s="446">
        <f>IF($E250=0,0,IF(MIN(BU$38,$E250)&lt;MAX($P$34*($B250+$I$38-1),IF(AND($L$37=0,$P$34=0),"",$L$37-1)),0,YEARFRAC(MAX($P$34*($B250+$I$38-1),IF(AND($L$37=0,$P$34=0),"",$L$37-1)),MIN(BU$38,$E250),$P$20))-SUM($BF250:BT250))</f>
        <v>0</v>
      </c>
      <c r="BV250" s="446">
        <f>IF($E250=0,0,IF(MIN(BV$38,$E250)&lt;MAX($P$34*($B250+$I$38-1),IF(AND($L$37=0,$P$34=0),"",$L$37-1)),0,YEARFRAC(MAX($P$34*($B250+$I$38-1),IF(AND($L$37=0,$P$34=0),"",$L$37-1)),MIN(BV$38,$E250),$P$20))-SUM($BF250:BU250))</f>
        <v>0</v>
      </c>
      <c r="BW250" s="446">
        <f>IF($E250=0,0,IF(MIN(BW$38,$E250)&lt;MAX($P$34*($B250+$I$38-1),IF(AND($L$37=0,$P$34=0),"",$L$37-1)),0,YEARFRAC(MAX($P$34*($B250+$I$38-1),IF(AND($L$37=0,$P$34=0),"",$L$37-1)),MIN(BW$38,$E250),$P$20))-SUM($BF250:BV250))</f>
        <v>0</v>
      </c>
      <c r="BX250" s="446">
        <f>IF($E250=0,0,IF(MIN(BX$38,$E250)&lt;MAX($P$34*($B250+$I$38-1),IF(AND($L$37=0,$P$34=0),"",$L$37-1)),0,YEARFRAC(MAX($P$34*($B250+$I$38-1),IF(AND($L$37=0,$P$34=0),"",$L$37-1)),MIN(BX$38,$E250),$P$20))-SUM($BF250:BW250))</f>
        <v>0</v>
      </c>
      <c r="BY250" s="446">
        <f>IF($E250=0,0,IF(MIN(BY$38,$E250)&lt;MAX($P$34*($B250+$I$38-1),IF(AND($L$37=0,$P$34=0),"",$L$37-1)),0,YEARFRAC(MAX($P$34*($B250+$I$38-1),IF(AND($L$37=0,$P$34=0),"",$L$37-1)),MIN(BY$38,$E250),$P$20))-SUM($BF250:BX250))</f>
        <v>0</v>
      </c>
      <c r="BZ250" s="446">
        <f>IF($E250=0,0,IF(MIN(BZ$38,$E250)&lt;MAX($P$34*($B250+$I$38-1),IF(AND($L$37=0,$P$34=0),"",$L$37-1)),0,YEARFRAC(MAX($P$34*($B250+$I$38-1),IF(AND($L$37=0,$P$34=0),"",$L$37-1)),MIN(BZ$38,$E250),$P$20))-SUM($BF250:BY250))</f>
        <v>0</v>
      </c>
      <c r="CA250" s="446">
        <f>IF($E250=0,0,IF(MIN(CA$38,$E250)&lt;MAX($P$34*($B250+$I$38-1),IF(AND($L$37=0,$P$34=0),"",$L$37-1)),0,YEARFRAC(MAX($P$34*($B250+$I$38-1),IF(AND($L$37=0,$P$34=0),"",$L$37-1)),MIN(CA$38,$E250),$P$20))-SUM($BF250:BZ250))</f>
        <v>0</v>
      </c>
      <c r="CB250" s="446">
        <f>IF($E250=0,0,IF(MIN(CB$38,$E250)&lt;MAX($P$34*($B250+$I$38-1),IF(AND($L$37=0,$P$34=0),"",$L$37-1)),0,YEARFRAC(MAX($P$34*($B250+$I$38-1),IF(AND($L$37=0,$P$34=0),"",$L$37-1)),MIN(CB$38,$E250),$P$20))-SUM($BF250:CA250))</f>
        <v>0</v>
      </c>
      <c r="CC250" s="446">
        <f>IF($E250=0,0,IF(MIN(CC$38,$E250)&lt;MAX($P$34*($B250+$I$38-1),IF(AND($L$37=0,$P$34=0),"",$L$37-1)),0,YEARFRAC(MAX($P$34*($B250+$I$38-1),IF(AND($L$37=0,$P$34=0),"",$L$37-1)),MIN(CC$38,$E250),$P$20))-SUM($BF250:CB250))</f>
        <v>0</v>
      </c>
      <c r="CD250" s="446">
        <f>IF($E250=0,0,IF(MIN(CD$38,$E250)&lt;MAX($P$34*($B250+$I$38-1),IF(AND($L$37=0,$P$34=0),"",$L$37-1)),0,YEARFRAC(MAX($P$34*($B250+$I$38-1),IF(AND($L$37=0,$P$34=0),"",$L$37-1)),MIN(CD$38,$E250),$P$20))-SUM($BF250:CC250))</f>
        <v>0</v>
      </c>
      <c r="CE250" s="446">
        <f>IF($E250=0,0,IF(MIN(CE$38,$E250)&lt;MAX($P$34*($B250+$I$38-1),IF(AND($L$37=0,$P$34=0),"",$L$37-1)),0,YEARFRAC(MAX($P$34*($B250+$I$38-1),IF(AND($L$37=0,$P$34=0),"",$L$37-1)),MIN(CE$38,$E250),$P$20))-SUM($BF250:CD250))</f>
        <v>0</v>
      </c>
      <c r="CF250" s="446">
        <f>IF($E250=0,0,IF(MIN(CF$38,$E250)&lt;MAX($P$34*($B250+$I$38-1),IF(AND($L$37=0,$P$34=0),"",$L$37-1)),0,YEARFRAC(MAX($P$34*($B250+$I$38-1),IF(AND($L$37=0,$P$34=0),"",$L$37-1)),MIN(CF$38,$E250),$P$20))-SUM($BF250:CE250))</f>
        <v>0</v>
      </c>
      <c r="CG250" s="446">
        <f>IF($E250=0,0,IF(MIN(CG$38,$E250)&lt;MAX($P$34*($B250+$I$38-1),IF(AND($L$37=0,$P$34=0),"",$L$37-1)),0,YEARFRAC(MAX($P$34*($B250+$I$38-1),IF(AND($L$37=0,$P$34=0),"",$L$37-1)),MIN(CG$38,$E250),$P$20))-SUM($BF250:CF250))</f>
        <v>0</v>
      </c>
      <c r="CH250" s="446">
        <f>IF($E250=0,0,IF(MIN(CH$38,$E250)&lt;MAX($P$34*($B250+$I$38-1),IF(AND($L$37=0,$P$34=0),"",$L$37-1)),0,YEARFRAC(MAX($P$34*($B250+$I$38-1),IF(AND($L$37=0,$P$34=0),"",$L$37-1)),MIN(CH$38,$E250),$P$20))-SUM($BF250:CG250))</f>
        <v>0</v>
      </c>
      <c r="CI250" s="446">
        <f>IF($E250=0,0,IF(MIN(CI$38,$E250)&lt;MAX($P$34*($B250+$I$38-1),IF(AND($L$37=0,$P$34=0),"",$L$37-1)),0,YEARFRAC(MAX($P$34*($B250+$I$38-1),IF(AND($L$37=0,$P$34=0),"",$L$37-1)),MIN(CI$38,$E250),$P$20))-SUM($BF250:CH250))</f>
        <v>0</v>
      </c>
      <c r="CJ250" s="446">
        <f>IF($E250=0,0,IF(MIN(CJ$38,$E250)&lt;MAX($P$34*($B250+$I$38-1),IF(AND($L$37=0,$P$34=0),"",$L$37-1)),0,YEARFRAC(MAX($P$34*($B250+$I$38-1),IF(AND($L$37=0,$P$34=0),"",$L$37-1)),MIN(CJ$38,$E250),$P$20))-SUM($BF250:CI250))</f>
        <v>0</v>
      </c>
      <c r="CK250" s="446">
        <f>IF($E250=0,0,IF(MIN(CK$38,$E250)&lt;MAX($P$34*($B250+$I$38-1),IF(AND($L$37=0,$P$34=0),"",$L$37-1)),0,YEARFRAC(MAX($P$34*($B250+$I$38-1),IF(AND($L$37=0,$P$34=0),"",$L$37-1)),MIN(CK$38,$E250),$P$20))-SUM($BF250:CJ250))</f>
        <v>0</v>
      </c>
      <c r="CL250" s="446">
        <f>IF($E250=0,0,IF(MIN(CL$38,$E250)&lt;MAX($P$34*($B250+$I$38-1),IF(AND($L$37=0,$P$34=0),"",$L$37-1)),0,YEARFRAC(MAX($P$34*($B250+$I$38-1),IF(AND($L$37=0,$P$34=0),"",$L$37-1)),MIN(CL$38,$E250),$P$20))-SUM($BF250:CK250))</f>
        <v>0</v>
      </c>
      <c r="CM250" s="446">
        <f>IF($E250=0,0,IF(MIN(CM$38,$E250)&lt;MAX($P$34*($B250+$I$38-1),IF(AND($L$37=0,$P$34=0),"",$L$37-1)),0,YEARFRAC(MAX($P$34*($B250+$I$38-1),IF(AND($L$37=0,$P$34=0),"",$L$37-1)),MIN(CM$38,$E250),$P$20))-SUM($BF250:CL250))</f>
        <v>0</v>
      </c>
      <c r="CN250" s="446">
        <f>IF($E250=0,0,IF(MIN(CN$38,$E250)&lt;MAX($P$34*($B250+$I$38-1),IF(AND($L$37=0,$P$34=0),"",$L$37-1)),0,YEARFRAC(MAX($P$34*($B250+$I$38-1),IF(AND($L$37=0,$P$34=0),"",$L$37-1)),MIN(CN$38,$E250),$P$20))-SUM($BF250:CM250))</f>
        <v>0</v>
      </c>
      <c r="CO250" s="446">
        <f>IF($E250=0,0,IF(MIN(CO$38,$E250)&lt;MAX($P$34*($B250+$I$38-1),IF(AND($L$37=0,$P$34=0),"",$L$37-1)),0,YEARFRAC(MAX($P$34*($B250+$I$38-1),IF(AND($L$37=0,$P$34=0),"",$L$37-1)),MIN(CO$38,$E250),$P$20))-SUM($BF250:CN250))</f>
        <v>0</v>
      </c>
      <c r="CP250" s="446">
        <f>IF($E250=0,0,IF(MIN(CP$38,$E250)&lt;MAX($P$34*($B250+$I$38-1),IF(AND($L$37=0,$P$34=0),"",$L$37-1)),0,YEARFRAC(MAX($P$34*($B250+$I$38-1),IF(AND($L$37=0,$P$34=0),"",$L$37-1)),MIN(CP$38,$E250),$P$20))-SUM($BF250:CO250))</f>
        <v>0</v>
      </c>
      <c r="CQ250" s="446">
        <f>IF($E250=0,0,IF(MIN(CQ$38,$E250)&lt;MAX($P$34*($B250+$I$38-1),IF(AND($L$37=0,$P$34=0),"",$L$37-1)),0,YEARFRAC(MAX($P$34*($B250+$I$38-1),IF(AND($L$37=0,$P$34=0),"",$L$37-1)),MIN(CQ$38,$E250),$P$20))-SUM($BF250:CP250))</f>
        <v>0</v>
      </c>
    </row>
    <row r="251" spans="1:95" s="446" customFormat="1" ht="11.25" hidden="1" customHeight="1" x14ac:dyDescent="0.2">
      <c r="A251" s="152"/>
      <c r="B251" s="153" t="str">
        <f t="shared" si="48"/>
        <v/>
      </c>
      <c r="C251" s="29" t="str">
        <f>IF(B251="","",IF($L$35="SELIC - TRIBUTOS",VLOOKUP(DATE(YEAR($D$19),MONTH($D$19)-1,1),ÍNDICES!$A:$DE,HLOOKUP($BL$25,ÍNDICES!$B$3:$T$4,2)+11)-VLOOKUP(B251,ÍNDICES!$A:$DE,HLOOKUP($BL$25,ÍNDICES!$B$3:$T$4,2)+11)+1%,IF(C$38=$W$26,$J$35,IF(ISERROR(IF(B251&gt;$D$19,1,VLOOKUP(DATE(YEAR(B251),MONTH(B251)+IF($C$35=$S$23,1,0),1),ÍNDICES!$A:$DE,$Z$35+1))),"",IF(B251&gt;$D$19,1,VLOOKUP(DATE(YEAR(B251),MONTH(B251)+IF($C$35=$S$23,1,0),1),ÍNDICES!$A:$DE,$Z$35+1))))))</f>
        <v/>
      </c>
      <c r="D251" s="154" t="str">
        <f>IF(ISERROR(IF(OR($D$38=$Y$27,$B251=""),"",VLOOKUP(B251,ÍNDICES!A:DE,AF$35+1))),"",IF(OR($D$38=$Y$27,$B251=""),"",VLOOKUP(B251,ÍNDICES!A:DE,AF$35+1)))</f>
        <v/>
      </c>
      <c r="E251" s="153"/>
      <c r="F251" s="29" t="str">
        <f>IF(E251="","",IF($L$35="SELIC - TRIBUTOS",VLOOKUP(DATE(YEAR($D$19),MONTH($D$19)-1,1),ÍNDICES!$A:$DE,HLOOKUP($BL$25,ÍNDICES!$B$3:$T$4,2)+11)-VLOOKUP(E251,ÍNDICES!$A:$DE,HLOOKUP($BL$25,ÍNDICES!$B$3:$T$4,2)+11)+1%,IF(F$38=$W$26,$J$35,IF(ISERROR(IF(E251&gt;$D$19,1,VLOOKUP(DATE(YEAR(E251),MONTH(E251)+IF($C$35=$S$23,1,0),1),ÍNDICES!$A:$DE,$Z$35+1))),"",IF(E251&gt;$D$19,1,VLOOKUP(DATE(YEAR(E251),MONTH(E251)+IF($C$35=$S$23,1,0),1),ÍNDICES!$A:$DE,$Z$35+1))))))</f>
        <v/>
      </c>
      <c r="G251" s="155"/>
      <c r="H251" s="156" t="str">
        <f t="shared" si="44"/>
        <v/>
      </c>
      <c r="I251" s="29" t="str">
        <f t="shared" si="38"/>
        <v/>
      </c>
      <c r="J251" s="5">
        <f t="shared" si="39"/>
        <v>0</v>
      </c>
      <c r="K251" s="20">
        <f t="shared" ca="1" si="40"/>
        <v>0</v>
      </c>
      <c r="L251" s="5">
        <f t="shared" ca="1" si="41"/>
        <v>0</v>
      </c>
      <c r="M251" s="64">
        <f t="shared" si="45"/>
        <v>0</v>
      </c>
      <c r="N251" s="61">
        <f t="shared" ca="1" si="46"/>
        <v>0</v>
      </c>
      <c r="O251" s="5">
        <f t="shared" ca="1" si="47"/>
        <v>0</v>
      </c>
      <c r="P251" s="446" t="e">
        <f t="shared" si="42"/>
        <v>#VALUE!</v>
      </c>
      <c r="Q251" s="446" t="e">
        <f>IF(OR($B251="",MIN(Q$38,$D$19)&lt;MAX($P$34*($B251+IF($R$17="Distrato",$I$38-1,0)),IF(AND($L$37=0,$P$34=0),"",$L$37-1),IF($R$17="Distrato",$E251,0))),0,YEARFRAC(MAX($P$34*($B251+IF($R$17="Distrato",$I$38-1,0)),IF(AND($L$37=0,$P$34=0),"",$L$37-1),IF($R$17="Distrato",$E251,0)),MIN(Q$38,$D$19),$P$20))-SUM($P251:P251)</f>
        <v>#VALUE!</v>
      </c>
      <c r="R251" s="446" t="e">
        <f>IF(OR($B251="",MIN(R$38,$D$19)&lt;MAX($P$34*($B251+IF($R$17="Distrato",$I$38-1,0)),IF(AND($L$37=0,$P$34=0),"",$L$37-1),IF($R$17="Distrato",$E251,0))),0,YEARFRAC(MAX($P$34*($B251+IF($R$17="Distrato",$I$38-1,0)),IF(AND($L$37=0,$P$34=0),"",$L$37-1),IF($R$17="Distrato",$E251,0)),MIN(R$38,$D$19),$P$20))-SUM($P251:Q251)</f>
        <v>#VALUE!</v>
      </c>
      <c r="S251" s="446" t="e">
        <f>IF(OR($B251="",MIN(S$38,$D$19)&lt;MAX($P$34*($B251+IF($R$17="Distrato",$I$38-1,0)),IF(AND($L$37=0,$P$34=0),"",$L$37-1),IF($R$17="Distrato",$E251,0))),0,YEARFRAC(MAX($P$34*($B251+IF($R$17="Distrato",$I$38-1,0)),IF(AND($L$37=0,$P$34=0),"",$L$37-1),IF($R$17="Distrato",$E251,0)),MIN(S$38,$D$19),$P$20))-SUM($P251:R251)</f>
        <v>#VALUE!</v>
      </c>
      <c r="T251" s="446" t="e">
        <f>IF(OR($B251="",MIN(T$38,$D$19)&lt;MAX($P$34*($B251+IF($R$17="Distrato",$I$38-1,0)),IF(AND($L$37=0,$P$34=0),"",$L$37-1),IF($R$17="Distrato",$E251,0))),0,YEARFRAC(MAX($P$34*($B251+IF($R$17="Distrato",$I$38-1,0)),IF(AND($L$37=0,$P$34=0),"",$L$37-1),IF($R$17="Distrato",$E251,0)),MIN(T$38,$D$19),$P$20))-SUM($P251:S251)</f>
        <v>#VALUE!</v>
      </c>
      <c r="U251" s="446" t="e">
        <f>IF(OR($B251="",MIN(U$38,$D$19)&lt;MAX($P$34*($B251+IF($R$17="Distrato",$I$38-1,0)),IF(AND($L$37=0,$P$34=0),"",$L$37-1),IF($R$17="Distrato",$E251,0))),0,YEARFRAC(MAX($P$34*($B251+IF($R$17="Distrato",$I$38-1,0)),IF(AND($L$37=0,$P$34=0),"",$L$37-1),IF($R$17="Distrato",$E251,0)),MIN(U$38,$D$19),$P$20))-SUM($P251:T251)</f>
        <v>#VALUE!</v>
      </c>
      <c r="V251" s="446" t="e">
        <f>IF(OR($B251="",MIN(V$38,$D$19)&lt;MAX($P$34*($B251+IF($R$17="Distrato",$I$38-1,0)),IF(AND($L$37=0,$P$34=0),"",$L$37-1),IF($R$17="Distrato",$E251,0))),0,YEARFRAC(MAX($P$34*($B251+IF($R$17="Distrato",$I$38-1,0)),IF(AND($L$37=0,$P$34=0),"",$L$37-1),IF($R$17="Distrato",$E251,0)),MIN(V$38,$D$19),$P$20))-SUM($P251:U251)</f>
        <v>#VALUE!</v>
      </c>
      <c r="W251" s="446" t="e">
        <f>IF(OR($B251="",MIN(W$38,$D$19)&lt;MAX($P$34*($B251+IF($R$17="Distrato",$I$38-1,0)),IF(AND($L$37=0,$P$34=0),"",$L$37-1),IF($R$17="Distrato",$E251,0))),0,YEARFRAC(MAX($P$34*($B251+IF($R$17="Distrato",$I$38-1,0)),IF(AND($L$37=0,$P$34=0),"",$L$37-1),IF($R$17="Distrato",$E251,0)),MIN(W$38,$D$19),$P$20))-SUM($P251:V251)</f>
        <v>#VALUE!</v>
      </c>
      <c r="X251" s="446" t="e">
        <f>IF(OR($B251="",MIN(X$38,$D$19)&lt;MAX($P$34*($B251+IF($R$17="Distrato",$I$38-1,0)),IF(AND($L$37=0,$P$34=0),"",$L$37-1),IF($R$17="Distrato",$E251,0))),0,YEARFRAC(MAX($P$34*($B251+IF($R$17="Distrato",$I$38-1,0)),IF(AND($L$37=0,$P$34=0),"",$L$37-1),IF($R$17="Distrato",$E251,0)),MIN(X$38,$D$19),$P$20))-SUM($P251:W251)</f>
        <v>#VALUE!</v>
      </c>
      <c r="Y251" s="446" t="e">
        <f>IF(OR($B251="",MIN(Y$38,$D$19)&lt;MAX($P$34*($B251+IF($R$17="Distrato",$I$38-1,0)),IF(AND($L$37=0,$P$34=0),"",$L$37-1),IF($R$17="Distrato",$E251,0))),0,YEARFRAC(MAX($P$34*($B251+IF($R$17="Distrato",$I$38-1,0)),IF(AND($L$37=0,$P$34=0),"",$L$37-1),IF($R$17="Distrato",$E251,0)),MIN(Y$38,$D$19),$P$20))-SUM($P251:X251)</f>
        <v>#VALUE!</v>
      </c>
      <c r="Z251" s="446" t="e">
        <f>IF(OR($B251="",MIN(Z$38,$D$19)&lt;MAX($P$34*($B251+IF($R$17="Distrato",$I$38-1,0)),IF(AND($L$37=0,$P$34=0),"",$L$37-1),IF($R$17="Distrato",$E251,0))),0,YEARFRAC(MAX($P$34*($B251+IF($R$17="Distrato",$I$38-1,0)),IF(AND($L$37=0,$P$34=0),"",$L$37-1),IF($R$17="Distrato",$E251,0)),MIN(Z$38,$D$19),$P$20))-SUM($P251:Y251)</f>
        <v>#VALUE!</v>
      </c>
      <c r="AA251" s="446" t="e">
        <f>IF(OR($B251="",MIN(AA$38,$D$19)&lt;MAX($P$34*($B251+IF($R$17="Distrato",$I$38-1,0)),IF(AND($L$37=0,$P$34=0),"",$L$37-1),IF($R$17="Distrato",$E251,0))),0,YEARFRAC(MAX($P$34*($B251+IF($R$17="Distrato",$I$38-1,0)),IF(AND($L$37=0,$P$34=0),"",$L$37-1),IF($R$17="Distrato",$E251,0)),MIN(AA$38,$D$19),$P$20))-SUM($P251:Z251)</f>
        <v>#VALUE!</v>
      </c>
      <c r="AB251" s="446" t="e">
        <f>IF(OR($B251="",MIN(AB$38,$D$19)&lt;MAX($P$34*($B251+IF($R$17="Distrato",$I$38-1,0)),IF(AND($L$37=0,$P$34=0),"",$L$37-1),IF($R$17="Distrato",$E251,0))),0,YEARFRAC(MAX($P$34*($B251+IF($R$17="Distrato",$I$38-1,0)),IF(AND($L$37=0,$P$34=0),"",$L$37-1),IF($R$17="Distrato",$E251,0)),MIN(AB$38,$D$19),$P$20))-SUM($P251:AA251)</f>
        <v>#VALUE!</v>
      </c>
      <c r="AC251" s="446" t="e">
        <f>IF(OR($B251="",MIN(AC$38,$D$19)&lt;MAX($P$34*($B251+IF($R$17="Distrato",$I$38-1,0)),IF(AND($L$37=0,$P$34=0),"",$L$37-1),IF($R$17="Distrato",$E251,0))),0,YEARFRAC(MAX($P$34*($B251+IF($R$17="Distrato",$I$38-1,0)),IF(AND($L$37=0,$P$34=0),"",$L$37-1),IF($R$17="Distrato",$E251,0)),MIN(AC$38,$D$19),$P$20))-SUM($P251:AB251)</f>
        <v>#VALUE!</v>
      </c>
      <c r="AD251" s="446" t="e">
        <f>IF(OR($B251="",MIN(AD$38,$D$19)&lt;MAX($P$34*($B251+IF($R$17="Distrato",$I$38-1,0)),IF(AND($L$37=0,$P$34=0),"",$L$37-1),IF($R$17="Distrato",$E251,0))),0,YEARFRAC(MAX($P$34*($B251+IF($R$17="Distrato",$I$38-1,0)),IF(AND($L$37=0,$P$34=0),"",$L$37-1),IF($R$17="Distrato",$E251,0)),MIN(AD$38,$D$19),$P$20))-SUM($P251:AC251)</f>
        <v>#VALUE!</v>
      </c>
      <c r="AE251" s="446" t="e">
        <f>IF(OR($B251="",MIN(AE$38,$D$19)&lt;MAX($P$34*($B251+IF($R$17="Distrato",$I$38-1,0)),IF(AND($L$37=0,$P$34=0),"",$L$37-1),IF($R$17="Distrato",$E251,0))),0,YEARFRAC(MAX($P$34*($B251+IF($R$17="Distrato",$I$38-1,0)),IF(AND($L$37=0,$P$34=0),"",$L$37-1),IF($R$17="Distrato",$E251,0)),MIN(AE$38,$D$19),$P$20))-SUM($P251:AD251)</f>
        <v>#VALUE!</v>
      </c>
      <c r="AF251" s="446" t="e">
        <f>IF(OR($B251="",MIN(AF$38,$D$19)&lt;MAX($P$34*($B251+IF($R$17="Distrato",$I$38-1,0)),IF(AND($L$37=0,$P$34=0),"",$L$37-1),IF($R$17="Distrato",$E251,0))),0,YEARFRAC(MAX($P$34*($B251+IF($R$17="Distrato",$I$38-1,0)),IF(AND($L$37=0,$P$34=0),"",$L$37-1),IF($R$17="Distrato",$E251,0)),MIN(AF$38,$D$19),$P$20))-SUM($P251:AE251)</f>
        <v>#VALUE!</v>
      </c>
      <c r="AG251" s="446" t="e">
        <f>IF(OR($B251="",MIN(AG$38,$D$19)&lt;MAX($P$34*($B251+IF($R$17="Distrato",$I$38-1,0)),IF(AND($L$37=0,$P$34=0),"",$L$37-1),IF($R$17="Distrato",$E251,0))),0,YEARFRAC(MAX($P$34*($B251+IF($R$17="Distrato",$I$38-1,0)),IF(AND($L$37=0,$P$34=0),"",$L$37-1),IF($R$17="Distrato",$E251,0)),MIN(AG$38,$D$19),$P$20))-SUM($P251:AF251)</f>
        <v>#VALUE!</v>
      </c>
      <c r="AH251" s="446" t="e">
        <f>IF(OR($B251="",MIN(AH$38,$D$19)&lt;MAX($P$34*($B251+IF($R$17="Distrato",$I$38-1,0)),IF(AND($L$37=0,$P$34=0),"",$L$37-1),IF($R$17="Distrato",$E251,0))),0,YEARFRAC(MAX($P$34*($B251+IF($R$17="Distrato",$I$38-1,0)),IF(AND($L$37=0,$P$34=0),"",$L$37-1),IF($R$17="Distrato",$E251,0)),MIN(AH$38,$D$19),$P$20))-SUM($P251:AG251)</f>
        <v>#VALUE!</v>
      </c>
      <c r="AI251" s="446" t="e">
        <f>IF(OR($B251="",MIN(AI$38,$D$19)&lt;MAX($P$34*($B251+IF($R$17="Distrato",$I$38-1,0)),IF(AND($L$37=0,$P$34=0),"",$L$37-1),IF($R$17="Distrato",$E251,0))),0,YEARFRAC(MAX($P$34*($B251+IF($R$17="Distrato",$I$38-1,0)),IF(AND($L$37=0,$P$34=0),"",$L$37-1),IF($R$17="Distrato",$E251,0)),MIN(AI$38,$D$19),$P$20))-SUM($P251:AH251)</f>
        <v>#VALUE!</v>
      </c>
      <c r="AJ251" s="446" t="e">
        <f>IF(OR($B251="",MIN(AJ$38,$D$19)&lt;MAX($P$34*($B251+IF($R$17="Distrato",$I$38-1,0)),IF(AND($L$37=0,$P$34=0),"",$L$37-1),IF($R$17="Distrato",$E251,0))),0,YEARFRAC(MAX($P$34*($B251+IF($R$17="Distrato",$I$38-1,0)),IF(AND($L$37=0,$P$34=0),"",$L$37-1),IF($R$17="Distrato",$E251,0)),MIN(AJ$38,$D$19),$P$20))-SUM($P251:AI251)</f>
        <v>#VALUE!</v>
      </c>
      <c r="AK251" s="446" t="e">
        <f>IF(OR($B251="",MIN(AK$38,$D$19)&lt;MAX($P$34*($B251+IF($R$17="Distrato",$I$38-1,0)),IF(AND($L$37=0,$P$34=0),"",$L$37-1),IF($R$17="Distrato",$E251,0))),0,YEARFRAC(MAX($P$34*($B251+IF($R$17="Distrato",$I$38-1,0)),IF(AND($L$37=0,$P$34=0),"",$L$37-1),IF($R$17="Distrato",$E251,0)),MIN(AK$38,$D$19),$P$20))-SUM($P251:AJ251)</f>
        <v>#VALUE!</v>
      </c>
      <c r="AL251" s="446" t="e">
        <f>IF(OR($B251="",MIN(AL$38,$D$19)&lt;MAX($P$34*($B251+IF($R$17="Distrato",$I$38-1,0)),IF(AND($L$37=0,$P$34=0),"",$L$37-1),IF($R$17="Distrato",$E251,0))),0,YEARFRAC(MAX($P$34*($B251+IF($R$17="Distrato",$I$38-1,0)),IF(AND($L$37=0,$P$34=0),"",$L$37-1),IF($R$17="Distrato",$E251,0)),MIN(AL$38,$D$19),$P$20))-SUM($P251:AK251)</f>
        <v>#VALUE!</v>
      </c>
      <c r="AM251" s="446" t="e">
        <f>IF(OR($B251="",MIN(AM$38,$D$19)&lt;MAX($P$34*($B251+IF($R$17="Distrato",$I$38-1,0)),IF(AND($L$37=0,$P$34=0),"",$L$37-1),IF($R$17="Distrato",$E251,0))),0,YEARFRAC(MAX($P$34*($B251+IF($R$17="Distrato",$I$38-1,0)),IF(AND($L$37=0,$P$34=0),"",$L$37-1),IF($R$17="Distrato",$E251,0)),MIN(AM$38,$D$19),$P$20))-SUM($P251:AL251)</f>
        <v>#VALUE!</v>
      </c>
      <c r="AN251" s="446" t="e">
        <f>IF(OR($B251="",MIN(AN$38,$D$19)&lt;MAX($P$34*($B251+IF($R$17="Distrato",$I$38-1,0)),IF(AND($L$37=0,$P$34=0),"",$L$37-1),IF($R$17="Distrato",$E251,0))),0,YEARFRAC(MAX($P$34*($B251+IF($R$17="Distrato",$I$38-1,0)),IF(AND($L$37=0,$P$34=0),"",$L$37-1),IF($R$17="Distrato",$E251,0)),MIN(AN$38,$D$19),$P$20))-SUM($P251:AM251)</f>
        <v>#VALUE!</v>
      </c>
      <c r="AO251" s="446" t="e">
        <f>IF(OR($B251="",MIN(AO$38,$D$19)&lt;MAX($P$34*($B251+IF($R$17="Distrato",$I$38-1,0)),IF(AND($L$37=0,$P$34=0),"",$L$37-1),IF($R$17="Distrato",$E251,0))),0,YEARFRAC(MAX($P$34*($B251+IF($R$17="Distrato",$I$38-1,0)),IF(AND($L$37=0,$P$34=0),"",$L$37-1),IF($R$17="Distrato",$E251,0)),MIN(AO$38,$D$19),$P$20))-SUM($P251:AN251)</f>
        <v>#VALUE!</v>
      </c>
      <c r="AP251" s="446" t="e">
        <f>IF(OR($B251="",MIN(AP$38,$D$19)&lt;MAX($P$34*($B251+IF($R$17="Distrato",$I$38-1,0)),IF(AND($L$37=0,$P$34=0),"",$L$37-1),IF($R$17="Distrato",$E251,0))),0,YEARFRAC(MAX($P$34*($B251+IF($R$17="Distrato",$I$38-1,0)),IF(AND($L$37=0,$P$34=0),"",$L$37-1),IF($R$17="Distrato",$E251,0)),MIN(AP$38,$D$19),$P$20))-SUM($P251:AO251)</f>
        <v>#VALUE!</v>
      </c>
      <c r="AQ251" s="446" t="e">
        <f>IF(OR($B251="",MIN(AQ$38,$D$19)&lt;MAX($P$34*($B251+IF($R$17="Distrato",$I$38-1,0)),IF(AND($L$37=0,$P$34=0),"",$L$37-1),IF($R$17="Distrato",$E251,0))),0,YEARFRAC(MAX($P$34*($B251+IF($R$17="Distrato",$I$38-1,0)),IF(AND($L$37=0,$P$34=0),"",$L$37-1),IF($R$17="Distrato",$E251,0)),MIN(AQ$38,$D$19),$P$20))-SUM($P251:AP251)</f>
        <v>#VALUE!</v>
      </c>
      <c r="AR251" s="446" t="e">
        <f>IF(OR($B251="",MIN(AR$38,$D$19)&lt;MAX($P$34*($B251+IF($R$17="Distrato",$I$38-1,0)),IF(AND($L$37=0,$P$34=0),"",$L$37-1),IF($R$17="Distrato",$E251,0))),0,YEARFRAC(MAX($P$34*($B251+IF($R$17="Distrato",$I$38-1,0)),IF(AND($L$37=0,$P$34=0),"",$L$37-1),IF($R$17="Distrato",$E251,0)),MIN(AR$38,$D$19),$P$20))-SUM($P251:AQ251)</f>
        <v>#VALUE!</v>
      </c>
      <c r="AS251" s="446" t="e">
        <f>IF(OR($B251="",MIN(AS$38,$D$19)&lt;MAX($P$34*($B251+IF($R$17="Distrato",$I$38-1,0)),IF(AND($L$37=0,$P$34=0),"",$L$37-1),IF($R$17="Distrato",$E251,0))),0,YEARFRAC(MAX($P$34*($B251+IF($R$17="Distrato",$I$38-1,0)),IF(AND($L$37=0,$P$34=0),"",$L$37-1),IF($R$17="Distrato",$E251,0)),MIN(AS$38,$D$19),$P$20))-SUM($P251:AR251)</f>
        <v>#VALUE!</v>
      </c>
      <c r="AT251" s="446" t="e">
        <f>IF(OR($B251="",MIN(AT$38,$D$19)&lt;MAX($P$34*($B251+IF($R$17="Distrato",$I$38-1,0)),IF(AND($L$37=0,$P$34=0),"",$L$37-1),IF($R$17="Distrato",$E251,0))),0,YEARFRAC(MAX($P$34*($B251+IF($R$17="Distrato",$I$38-1,0)),IF(AND($L$37=0,$P$34=0),"",$L$37-1),IF($R$17="Distrato",$E251,0)),MIN(AT$38,$D$19),$P$20))-SUM($P251:AS251)</f>
        <v>#VALUE!</v>
      </c>
      <c r="AU251" s="446" t="e">
        <f>IF(OR($B251="",MIN(AU$38,$D$19)&lt;MAX($P$34*($B251+IF($R$17="Distrato",$I$38-1,0)),IF(AND($L$37=0,$P$34=0),"",$L$37-1),IF($R$17="Distrato",$E251,0))),0,YEARFRAC(MAX($P$34*($B251+IF($R$17="Distrato",$I$38-1,0)),IF(AND($L$37=0,$P$34=0),"",$L$37-1),IF($R$17="Distrato",$E251,0)),MIN(AU$38,$D$19),$P$20))-SUM($P251:AT251)</f>
        <v>#VALUE!</v>
      </c>
      <c r="AV251" s="446" t="e">
        <f>IF(OR($B251="",MIN(AV$38,$D$19)&lt;MAX($P$34*($B251+IF($R$17="Distrato",$I$38-1,0)),IF(AND($L$37=0,$P$34=0),"",$L$37-1),IF($R$17="Distrato",$E251,0))),0,YEARFRAC(MAX($P$34*($B251+IF($R$17="Distrato",$I$38-1,0)),IF(AND($L$37=0,$P$34=0),"",$L$37-1),IF($R$17="Distrato",$E251,0)),MIN(AV$38,$D$19),$P$20))-SUM($P251:AU251)</f>
        <v>#VALUE!</v>
      </c>
      <c r="AW251" s="446" t="e">
        <f>IF(OR($B251="",MIN(AW$38,$D$19)&lt;MAX($P$34*($B251+IF($R$17="Distrato",$I$38-1,0)),IF(AND($L$37=0,$P$34=0),"",$L$37-1),IF($R$17="Distrato",$E251,0))),0,YEARFRAC(MAX($P$34*($B251+IF($R$17="Distrato",$I$38-1,0)),IF(AND($L$37=0,$P$34=0),"",$L$37-1),IF($R$17="Distrato",$E251,0)),MIN(AW$38,$D$19),$P$20))-SUM($P251:AV251)</f>
        <v>#VALUE!</v>
      </c>
      <c r="AX251" s="446" t="e">
        <f>IF(OR($B251="",MIN(AX$38,$D$19)&lt;MAX($P$34*($B251+IF($R$17="Distrato",$I$38-1,0)),IF(AND($L$37=0,$P$34=0),"",$L$37-1),IF($R$17="Distrato",$E251,0))),0,YEARFRAC(MAX($P$34*($B251+IF($R$17="Distrato",$I$38-1,0)),IF(AND($L$37=0,$P$34=0),"",$L$37-1),IF($R$17="Distrato",$E251,0)),MIN(AX$38,$D$19),$P$20))-SUM($P251:AW251)</f>
        <v>#VALUE!</v>
      </c>
      <c r="AY251" s="446" t="e">
        <f>IF(OR($B251="",MIN(AY$38,$D$19)&lt;MAX($P$34*($B251+IF($R$17="Distrato",$I$38-1,0)),IF(AND($L$37=0,$P$34=0),"",$L$37-1),IF($R$17="Distrato",$E251,0))),0,YEARFRAC(MAX($P$34*($B251+IF($R$17="Distrato",$I$38-1,0)),IF(AND($L$37=0,$P$34=0),"",$L$37-1),IF($R$17="Distrato",$E251,0)),MIN(AY$38,$D$19),$P$20))-SUM($P251:AX251)</f>
        <v>#VALUE!</v>
      </c>
      <c r="AZ251" s="446" t="e">
        <f>IF(OR($B251="",MIN(AZ$38,$D$19)&lt;MAX($P$34*($B251+IF($R$17="Distrato",$I$38-1,0)),IF(AND($L$37=0,$P$34=0),"",$L$37-1),IF($R$17="Distrato",$E251,0))),0,YEARFRAC(MAX($P$34*($B251+IF($R$17="Distrato",$I$38-1,0)),IF(AND($L$37=0,$P$34=0),"",$L$37-1),IF($R$17="Distrato",$E251,0)),MIN(AZ$38,$D$19),$P$20))-SUM($P251:AY251)</f>
        <v>#VALUE!</v>
      </c>
      <c r="BA251" s="446" t="e">
        <f>IF(OR($B251="",MIN(BA$38,$D$19)&lt;MAX($P$34*($B251+IF($R$17="Distrato",$I$38-1,0)),IF(AND($L$37=0,$P$34=0),"",$L$37-1),IF($R$17="Distrato",$E251,0))),0,YEARFRAC(MAX($P$34*($B251+IF($R$17="Distrato",$I$38-1,0)),IF(AND($L$37=0,$P$34=0),"",$L$37-1),IF($R$17="Distrato",$E251,0)),MIN(BA$38,$D$19),$P$20))-SUM($P251:AZ251)</f>
        <v>#VALUE!</v>
      </c>
      <c r="BB251" s="447"/>
      <c r="BF251" s="446">
        <f t="shared" si="43"/>
        <v>0</v>
      </c>
      <c r="BG251" s="446">
        <f>IF($E251=0,0,IF(MIN(BG$38,$E251)&lt;MAX($P$34*($B251+$I$38-1),IF(AND($L$37=0,$P$34=0),"",$L$37-1)),0,YEARFRAC(MAX($P$34*($B251+$I$38-1),IF(AND($L$37=0,$P$34=0),"",$L$37-1)),MIN(BG$38,$E251),$P$20))-SUM($BF251:BF251))</f>
        <v>0</v>
      </c>
      <c r="BH251" s="446">
        <f>IF($E251=0,0,IF(MIN(BH$38,$E251)&lt;MAX($P$34*($B251+$I$38-1),IF(AND($L$37=0,$P$34=0),"",$L$37-1)),0,YEARFRAC(MAX($P$34*($B251+$I$38-1),IF(AND($L$37=0,$P$34=0),"",$L$37-1)),MIN(BH$38,$E251),$P$20))-SUM($BF251:BG251))</f>
        <v>0</v>
      </c>
      <c r="BI251" s="446">
        <f>IF($E251=0,0,IF(MIN(BI$38,$E251)&lt;MAX($P$34*($B251+$I$38-1),IF(AND($L$37=0,$P$34=0),"",$L$37-1)),0,YEARFRAC(MAX($P$34*($B251+$I$38-1),IF(AND($L$37=0,$P$34=0),"",$L$37-1)),MIN(BI$38,$E251),$P$20))-SUM($BF251:BH251))</f>
        <v>0</v>
      </c>
      <c r="BJ251" s="446">
        <f>IF($E251=0,0,IF(MIN(BJ$38,$E251)&lt;MAX($P$34*($B251+$I$38-1),IF(AND($L$37=0,$P$34=0),"",$L$37-1)),0,YEARFRAC(MAX($P$34*($B251+$I$38-1),IF(AND($L$37=0,$P$34=0),"",$L$37-1)),MIN(BJ$38,$E251),$P$20))-SUM($BF251:BI251))</f>
        <v>0</v>
      </c>
      <c r="BK251" s="446">
        <f>IF($E251=0,0,IF(MIN(BK$38,$E251)&lt;MAX($P$34*($B251+$I$38-1),IF(AND($L$37=0,$P$34=0),"",$L$37-1)),0,YEARFRAC(MAX($P$34*($B251+$I$38-1),IF(AND($L$37=0,$P$34=0),"",$L$37-1)),MIN(BK$38,$E251),$P$20))-SUM($BF251:BJ251))</f>
        <v>0</v>
      </c>
      <c r="BL251" s="446">
        <f>IF($E251=0,0,IF(MIN(BL$38,$E251)&lt;MAX($P$34*($B251+$I$38-1),IF(AND($L$37=0,$P$34=0),"",$L$37-1)),0,YEARFRAC(MAX($P$34*($B251+$I$38-1),IF(AND($L$37=0,$P$34=0),"",$L$37-1)),MIN(BL$38,$E251),$P$20))-SUM($BF251:BK251))</f>
        <v>0</v>
      </c>
      <c r="BM251" s="446">
        <f>IF($E251=0,0,IF(MIN(BM$38,$E251)&lt;MAX($P$34*($B251+$I$38-1),IF(AND($L$37=0,$P$34=0),"",$L$37-1)),0,YEARFRAC(MAX($P$34*($B251+$I$38-1),IF(AND($L$37=0,$P$34=0),"",$L$37-1)),MIN(BM$38,$E251),$P$20))-SUM($BF251:BL251))</f>
        <v>0</v>
      </c>
      <c r="BN251" s="446">
        <f>IF($E251=0,0,IF(MIN(BN$38,$E251)&lt;MAX($P$34*($B251+$I$38-1),IF(AND($L$37=0,$P$34=0),"",$L$37-1)),0,YEARFRAC(MAX($P$34*($B251+$I$38-1),IF(AND($L$37=0,$P$34=0),"",$L$37-1)),MIN(BN$38,$E251),$P$20))-SUM($BF251:BM251))</f>
        <v>0</v>
      </c>
      <c r="BO251" s="446">
        <f>IF($E251=0,0,IF(MIN(BO$38,$E251)&lt;MAX($P$34*($B251+$I$38-1),IF(AND($L$37=0,$P$34=0),"",$L$37-1)),0,YEARFRAC(MAX($P$34*($B251+$I$38-1),IF(AND($L$37=0,$P$34=0),"",$L$37-1)),MIN(BO$38,$E251),$P$20))-SUM($BF251:BN251))</f>
        <v>0</v>
      </c>
      <c r="BP251" s="446">
        <f>IF($E251=0,0,IF(MIN(BP$38,$E251)&lt;MAX($P$34*($B251+$I$38-1),IF(AND($L$37=0,$P$34=0),"",$L$37-1)),0,YEARFRAC(MAX($P$34*($B251+$I$38-1),IF(AND($L$37=0,$P$34=0),"",$L$37-1)),MIN(BP$38,$E251),$P$20))-SUM($BF251:BO251))</f>
        <v>0</v>
      </c>
      <c r="BQ251" s="446">
        <f>IF($E251=0,0,IF(MIN(BQ$38,$E251)&lt;MAX($P$34*($B251+$I$38-1),IF(AND($L$37=0,$P$34=0),"",$L$37-1)),0,YEARFRAC(MAX($P$34*($B251+$I$38-1),IF(AND($L$37=0,$P$34=0),"",$L$37-1)),MIN(BQ$38,$E251),$P$20))-SUM($BF251:BP251))</f>
        <v>0</v>
      </c>
      <c r="BR251" s="446">
        <f>IF($E251=0,0,IF(MIN(BR$38,$E251)&lt;MAX($P$34*($B251+$I$38-1),IF(AND($L$37=0,$P$34=0),"",$L$37-1)),0,YEARFRAC(MAX($P$34*($B251+$I$38-1),IF(AND($L$37=0,$P$34=0),"",$L$37-1)),MIN(BR$38,$E251),$P$20))-SUM($BF251:BQ251))</f>
        <v>0</v>
      </c>
      <c r="BS251" s="446">
        <f>IF($E251=0,0,IF(MIN(BS$38,$E251)&lt;MAX($P$34*($B251+$I$38-1),IF(AND($L$37=0,$P$34=0),"",$L$37-1)),0,YEARFRAC(MAX($P$34*($B251+$I$38-1),IF(AND($L$37=0,$P$34=0),"",$L$37-1)),MIN(BS$38,$E251),$P$20))-SUM($BF251:BR251))</f>
        <v>0</v>
      </c>
      <c r="BT251" s="446">
        <f>IF($E251=0,0,IF(MIN(BT$38,$E251)&lt;MAX($P$34*($B251+$I$38-1),IF(AND($L$37=0,$P$34=0),"",$L$37-1)),0,YEARFRAC(MAX($P$34*($B251+$I$38-1),IF(AND($L$37=0,$P$34=0),"",$L$37-1)),MIN(BT$38,$E251),$P$20))-SUM($BF251:BS251))</f>
        <v>0</v>
      </c>
      <c r="BU251" s="446">
        <f>IF($E251=0,0,IF(MIN(BU$38,$E251)&lt;MAX($P$34*($B251+$I$38-1),IF(AND($L$37=0,$P$34=0),"",$L$37-1)),0,YEARFRAC(MAX($P$34*($B251+$I$38-1),IF(AND($L$37=0,$P$34=0),"",$L$37-1)),MIN(BU$38,$E251),$P$20))-SUM($BF251:BT251))</f>
        <v>0</v>
      </c>
      <c r="BV251" s="446">
        <f>IF($E251=0,0,IF(MIN(BV$38,$E251)&lt;MAX($P$34*($B251+$I$38-1),IF(AND($L$37=0,$P$34=0),"",$L$37-1)),0,YEARFRAC(MAX($P$34*($B251+$I$38-1),IF(AND($L$37=0,$P$34=0),"",$L$37-1)),MIN(BV$38,$E251),$P$20))-SUM($BF251:BU251))</f>
        <v>0</v>
      </c>
      <c r="BW251" s="446">
        <f>IF($E251=0,0,IF(MIN(BW$38,$E251)&lt;MAX($P$34*($B251+$I$38-1),IF(AND($L$37=0,$P$34=0),"",$L$37-1)),0,YEARFRAC(MAX($P$34*($B251+$I$38-1),IF(AND($L$37=0,$P$34=0),"",$L$37-1)),MIN(BW$38,$E251),$P$20))-SUM($BF251:BV251))</f>
        <v>0</v>
      </c>
      <c r="BX251" s="446">
        <f>IF($E251=0,0,IF(MIN(BX$38,$E251)&lt;MAX($P$34*($B251+$I$38-1),IF(AND($L$37=0,$P$34=0),"",$L$37-1)),0,YEARFRAC(MAX($P$34*($B251+$I$38-1),IF(AND($L$37=0,$P$34=0),"",$L$37-1)),MIN(BX$38,$E251),$P$20))-SUM($BF251:BW251))</f>
        <v>0</v>
      </c>
      <c r="BY251" s="446">
        <f>IF($E251=0,0,IF(MIN(BY$38,$E251)&lt;MAX($P$34*($B251+$I$38-1),IF(AND($L$37=0,$P$34=0),"",$L$37-1)),0,YEARFRAC(MAX($P$34*($B251+$I$38-1),IF(AND($L$37=0,$P$34=0),"",$L$37-1)),MIN(BY$38,$E251),$P$20))-SUM($BF251:BX251))</f>
        <v>0</v>
      </c>
      <c r="BZ251" s="446">
        <f>IF($E251=0,0,IF(MIN(BZ$38,$E251)&lt;MAX($P$34*($B251+$I$38-1),IF(AND($L$37=0,$P$34=0),"",$L$37-1)),0,YEARFRAC(MAX($P$34*($B251+$I$38-1),IF(AND($L$37=0,$P$34=0),"",$L$37-1)),MIN(BZ$38,$E251),$P$20))-SUM($BF251:BY251))</f>
        <v>0</v>
      </c>
      <c r="CA251" s="446">
        <f>IF($E251=0,0,IF(MIN(CA$38,$E251)&lt;MAX($P$34*($B251+$I$38-1),IF(AND($L$37=0,$P$34=0),"",$L$37-1)),0,YEARFRAC(MAX($P$34*($B251+$I$38-1),IF(AND($L$37=0,$P$34=0),"",$L$37-1)),MIN(CA$38,$E251),$P$20))-SUM($BF251:BZ251))</f>
        <v>0</v>
      </c>
      <c r="CB251" s="446">
        <f>IF($E251=0,0,IF(MIN(CB$38,$E251)&lt;MAX($P$34*($B251+$I$38-1),IF(AND($L$37=0,$P$34=0),"",$L$37-1)),0,YEARFRAC(MAX($P$34*($B251+$I$38-1),IF(AND($L$37=0,$P$34=0),"",$L$37-1)),MIN(CB$38,$E251),$P$20))-SUM($BF251:CA251))</f>
        <v>0</v>
      </c>
      <c r="CC251" s="446">
        <f>IF($E251=0,0,IF(MIN(CC$38,$E251)&lt;MAX($P$34*($B251+$I$38-1),IF(AND($L$37=0,$P$34=0),"",$L$37-1)),0,YEARFRAC(MAX($P$34*($B251+$I$38-1),IF(AND($L$37=0,$P$34=0),"",$L$37-1)),MIN(CC$38,$E251),$P$20))-SUM($BF251:CB251))</f>
        <v>0</v>
      </c>
      <c r="CD251" s="446">
        <f>IF($E251=0,0,IF(MIN(CD$38,$E251)&lt;MAX($P$34*($B251+$I$38-1),IF(AND($L$37=0,$P$34=0),"",$L$37-1)),0,YEARFRAC(MAX($P$34*($B251+$I$38-1),IF(AND($L$37=0,$P$34=0),"",$L$37-1)),MIN(CD$38,$E251),$P$20))-SUM($BF251:CC251))</f>
        <v>0</v>
      </c>
      <c r="CE251" s="446">
        <f>IF($E251=0,0,IF(MIN(CE$38,$E251)&lt;MAX($P$34*($B251+$I$38-1),IF(AND($L$37=0,$P$34=0),"",$L$37-1)),0,YEARFRAC(MAX($P$34*($B251+$I$38-1),IF(AND($L$37=0,$P$34=0),"",$L$37-1)),MIN(CE$38,$E251),$P$20))-SUM($BF251:CD251))</f>
        <v>0</v>
      </c>
      <c r="CF251" s="446">
        <f>IF($E251=0,0,IF(MIN(CF$38,$E251)&lt;MAX($P$34*($B251+$I$38-1),IF(AND($L$37=0,$P$34=0),"",$L$37-1)),0,YEARFRAC(MAX($P$34*($B251+$I$38-1),IF(AND($L$37=0,$P$34=0),"",$L$37-1)),MIN(CF$38,$E251),$P$20))-SUM($BF251:CE251))</f>
        <v>0</v>
      </c>
      <c r="CG251" s="446">
        <f>IF($E251=0,0,IF(MIN(CG$38,$E251)&lt;MAX($P$34*($B251+$I$38-1),IF(AND($L$37=0,$P$34=0),"",$L$37-1)),0,YEARFRAC(MAX($P$34*($B251+$I$38-1),IF(AND($L$37=0,$P$34=0),"",$L$37-1)),MIN(CG$38,$E251),$P$20))-SUM($BF251:CF251))</f>
        <v>0</v>
      </c>
      <c r="CH251" s="446">
        <f>IF($E251=0,0,IF(MIN(CH$38,$E251)&lt;MAX($P$34*($B251+$I$38-1),IF(AND($L$37=0,$P$34=0),"",$L$37-1)),0,YEARFRAC(MAX($P$34*($B251+$I$38-1),IF(AND($L$37=0,$P$34=0),"",$L$37-1)),MIN(CH$38,$E251),$P$20))-SUM($BF251:CG251))</f>
        <v>0</v>
      </c>
      <c r="CI251" s="446">
        <f>IF($E251=0,0,IF(MIN(CI$38,$E251)&lt;MAX($P$34*($B251+$I$38-1),IF(AND($L$37=0,$P$34=0),"",$L$37-1)),0,YEARFRAC(MAX($P$34*($B251+$I$38-1),IF(AND($L$37=0,$P$34=0),"",$L$37-1)),MIN(CI$38,$E251),$P$20))-SUM($BF251:CH251))</f>
        <v>0</v>
      </c>
      <c r="CJ251" s="446">
        <f>IF($E251=0,0,IF(MIN(CJ$38,$E251)&lt;MAX($P$34*($B251+$I$38-1),IF(AND($L$37=0,$P$34=0),"",$L$37-1)),0,YEARFRAC(MAX($P$34*($B251+$I$38-1),IF(AND($L$37=0,$P$34=0),"",$L$37-1)),MIN(CJ$38,$E251),$P$20))-SUM($BF251:CI251))</f>
        <v>0</v>
      </c>
      <c r="CK251" s="446">
        <f>IF($E251=0,0,IF(MIN(CK$38,$E251)&lt;MAX($P$34*($B251+$I$38-1),IF(AND($L$37=0,$P$34=0),"",$L$37-1)),0,YEARFRAC(MAX($P$34*($B251+$I$38-1),IF(AND($L$37=0,$P$34=0),"",$L$37-1)),MIN(CK$38,$E251),$P$20))-SUM($BF251:CJ251))</f>
        <v>0</v>
      </c>
      <c r="CL251" s="446">
        <f>IF($E251=0,0,IF(MIN(CL$38,$E251)&lt;MAX($P$34*($B251+$I$38-1),IF(AND($L$37=0,$P$34=0),"",$L$37-1)),0,YEARFRAC(MAX($P$34*($B251+$I$38-1),IF(AND($L$37=0,$P$34=0),"",$L$37-1)),MIN(CL$38,$E251),$P$20))-SUM($BF251:CK251))</f>
        <v>0</v>
      </c>
      <c r="CM251" s="446">
        <f>IF($E251=0,0,IF(MIN(CM$38,$E251)&lt;MAX($P$34*($B251+$I$38-1),IF(AND($L$37=0,$P$34=0),"",$L$37-1)),0,YEARFRAC(MAX($P$34*($B251+$I$38-1),IF(AND($L$37=0,$P$34=0),"",$L$37-1)),MIN(CM$38,$E251),$P$20))-SUM($BF251:CL251))</f>
        <v>0</v>
      </c>
      <c r="CN251" s="446">
        <f>IF($E251=0,0,IF(MIN(CN$38,$E251)&lt;MAX($P$34*($B251+$I$38-1),IF(AND($L$37=0,$P$34=0),"",$L$37-1)),0,YEARFRAC(MAX($P$34*($B251+$I$38-1),IF(AND($L$37=0,$P$34=0),"",$L$37-1)),MIN(CN$38,$E251),$P$20))-SUM($BF251:CM251))</f>
        <v>0</v>
      </c>
      <c r="CO251" s="446">
        <f>IF($E251=0,0,IF(MIN(CO$38,$E251)&lt;MAX($P$34*($B251+$I$38-1),IF(AND($L$37=0,$P$34=0),"",$L$37-1)),0,YEARFRAC(MAX($P$34*($B251+$I$38-1),IF(AND($L$37=0,$P$34=0),"",$L$37-1)),MIN(CO$38,$E251),$P$20))-SUM($BF251:CN251))</f>
        <v>0</v>
      </c>
      <c r="CP251" s="446">
        <f>IF($E251=0,0,IF(MIN(CP$38,$E251)&lt;MAX($P$34*($B251+$I$38-1),IF(AND($L$37=0,$P$34=0),"",$L$37-1)),0,YEARFRAC(MAX($P$34*($B251+$I$38-1),IF(AND($L$37=0,$P$34=0),"",$L$37-1)),MIN(CP$38,$E251),$P$20))-SUM($BF251:CO251))</f>
        <v>0</v>
      </c>
      <c r="CQ251" s="446">
        <f>IF($E251=0,0,IF(MIN(CQ$38,$E251)&lt;MAX($P$34*($B251+$I$38-1),IF(AND($L$37=0,$P$34=0),"",$L$37-1)),0,YEARFRAC(MAX($P$34*($B251+$I$38-1),IF(AND($L$37=0,$P$34=0),"",$L$37-1)),MIN(CQ$38,$E251),$P$20))-SUM($BF251:CP251))</f>
        <v>0</v>
      </c>
    </row>
    <row r="252" spans="1:95" s="446" customFormat="1" ht="11.25" hidden="1" customHeight="1" x14ac:dyDescent="0.2">
      <c r="A252" s="152"/>
      <c r="B252" s="153" t="str">
        <f t="shared" si="48"/>
        <v/>
      </c>
      <c r="C252" s="29" t="str">
        <f>IF(B252="","",IF($L$35="SELIC - TRIBUTOS",VLOOKUP(DATE(YEAR($D$19),MONTH($D$19)-1,1),ÍNDICES!$A:$DE,HLOOKUP($BL$25,ÍNDICES!$B$3:$T$4,2)+11)-VLOOKUP(B252,ÍNDICES!$A:$DE,HLOOKUP($BL$25,ÍNDICES!$B$3:$T$4,2)+11)+1%,IF(C$38=$W$26,$J$35,IF(ISERROR(IF(B252&gt;$D$19,1,VLOOKUP(DATE(YEAR(B252),MONTH(B252)+IF($C$35=$S$23,1,0),1),ÍNDICES!$A:$DE,$Z$35+1))),"",IF(B252&gt;$D$19,1,VLOOKUP(DATE(YEAR(B252),MONTH(B252)+IF($C$35=$S$23,1,0),1),ÍNDICES!$A:$DE,$Z$35+1))))))</f>
        <v/>
      </c>
      <c r="D252" s="154" t="str">
        <f>IF(ISERROR(IF(OR($D$38=$Y$27,$B252=""),"",VLOOKUP(B252,ÍNDICES!A:DE,AF$35+1))),"",IF(OR($D$38=$Y$27,$B252=""),"",VLOOKUP(B252,ÍNDICES!A:DE,AF$35+1)))</f>
        <v/>
      </c>
      <c r="E252" s="153"/>
      <c r="F252" s="29" t="str">
        <f>IF(E252="","",IF($L$35="SELIC - TRIBUTOS",VLOOKUP(DATE(YEAR($D$19),MONTH($D$19)-1,1),ÍNDICES!$A:$DE,HLOOKUP($BL$25,ÍNDICES!$B$3:$T$4,2)+11)-VLOOKUP(E252,ÍNDICES!$A:$DE,HLOOKUP($BL$25,ÍNDICES!$B$3:$T$4,2)+11)+1%,IF(F$38=$W$26,$J$35,IF(ISERROR(IF(E252&gt;$D$19,1,VLOOKUP(DATE(YEAR(E252),MONTH(E252)+IF($C$35=$S$23,1,0),1),ÍNDICES!$A:$DE,$Z$35+1))),"",IF(E252&gt;$D$19,1,VLOOKUP(DATE(YEAR(E252),MONTH(E252)+IF($C$35=$S$23,1,0),1),ÍNDICES!$A:$DE,$Z$35+1))))))</f>
        <v/>
      </c>
      <c r="G252" s="155"/>
      <c r="H252" s="156" t="str">
        <f t="shared" si="44"/>
        <v/>
      </c>
      <c r="I252" s="29" t="str">
        <f t="shared" si="38"/>
        <v/>
      </c>
      <c r="J252" s="5">
        <f t="shared" si="39"/>
        <v>0</v>
      </c>
      <c r="K252" s="20">
        <f t="shared" ca="1" si="40"/>
        <v>0</v>
      </c>
      <c r="L252" s="5">
        <f t="shared" ca="1" si="41"/>
        <v>0</v>
      </c>
      <c r="M252" s="64">
        <f t="shared" si="45"/>
        <v>0</v>
      </c>
      <c r="N252" s="61">
        <f t="shared" ca="1" si="46"/>
        <v>0</v>
      </c>
      <c r="O252" s="5">
        <f t="shared" ca="1" si="47"/>
        <v>0</v>
      </c>
      <c r="P252" s="446" t="e">
        <f t="shared" si="42"/>
        <v>#VALUE!</v>
      </c>
      <c r="Q252" s="446" t="e">
        <f>IF(OR($B252="",MIN(Q$38,$D$19)&lt;MAX($P$34*($B252+IF($R$17="Distrato",$I$38-1,0)),IF(AND($L$37=0,$P$34=0),"",$L$37-1),IF($R$17="Distrato",$E252,0))),0,YEARFRAC(MAX($P$34*($B252+IF($R$17="Distrato",$I$38-1,0)),IF(AND($L$37=0,$P$34=0),"",$L$37-1),IF($R$17="Distrato",$E252,0)),MIN(Q$38,$D$19),$P$20))-SUM($P252:P252)</f>
        <v>#VALUE!</v>
      </c>
      <c r="R252" s="446" t="e">
        <f>IF(OR($B252="",MIN(R$38,$D$19)&lt;MAX($P$34*($B252+IF($R$17="Distrato",$I$38-1,0)),IF(AND($L$37=0,$P$34=0),"",$L$37-1),IF($R$17="Distrato",$E252,0))),0,YEARFRAC(MAX($P$34*($B252+IF($R$17="Distrato",$I$38-1,0)),IF(AND($L$37=0,$P$34=0),"",$L$37-1),IF($R$17="Distrato",$E252,0)),MIN(R$38,$D$19),$P$20))-SUM($P252:Q252)</f>
        <v>#VALUE!</v>
      </c>
      <c r="S252" s="446" t="e">
        <f>IF(OR($B252="",MIN(S$38,$D$19)&lt;MAX($P$34*($B252+IF($R$17="Distrato",$I$38-1,0)),IF(AND($L$37=0,$P$34=0),"",$L$37-1),IF($R$17="Distrato",$E252,0))),0,YEARFRAC(MAX($P$34*($B252+IF($R$17="Distrato",$I$38-1,0)),IF(AND($L$37=0,$P$34=0),"",$L$37-1),IF($R$17="Distrato",$E252,0)),MIN(S$38,$D$19),$P$20))-SUM($P252:R252)</f>
        <v>#VALUE!</v>
      </c>
      <c r="T252" s="446" t="e">
        <f>IF(OR($B252="",MIN(T$38,$D$19)&lt;MAX($P$34*($B252+IF($R$17="Distrato",$I$38-1,0)),IF(AND($L$37=0,$P$34=0),"",$L$37-1),IF($R$17="Distrato",$E252,0))),0,YEARFRAC(MAX($P$34*($B252+IF($R$17="Distrato",$I$38-1,0)),IF(AND($L$37=0,$P$34=0),"",$L$37-1),IF($R$17="Distrato",$E252,0)),MIN(T$38,$D$19),$P$20))-SUM($P252:S252)</f>
        <v>#VALUE!</v>
      </c>
      <c r="U252" s="446" t="e">
        <f>IF(OR($B252="",MIN(U$38,$D$19)&lt;MAX($P$34*($B252+IF($R$17="Distrato",$I$38-1,0)),IF(AND($L$37=0,$P$34=0),"",$L$37-1),IF($R$17="Distrato",$E252,0))),0,YEARFRAC(MAX($P$34*($B252+IF($R$17="Distrato",$I$38-1,0)),IF(AND($L$37=0,$P$34=0),"",$L$37-1),IF($R$17="Distrato",$E252,0)),MIN(U$38,$D$19),$P$20))-SUM($P252:T252)</f>
        <v>#VALUE!</v>
      </c>
      <c r="V252" s="446" t="e">
        <f>IF(OR($B252="",MIN(V$38,$D$19)&lt;MAX($P$34*($B252+IF($R$17="Distrato",$I$38-1,0)),IF(AND($L$37=0,$P$34=0),"",$L$37-1),IF($R$17="Distrato",$E252,0))),0,YEARFRAC(MAX($P$34*($B252+IF($R$17="Distrato",$I$38-1,0)),IF(AND($L$37=0,$P$34=0),"",$L$37-1),IF($R$17="Distrato",$E252,0)),MIN(V$38,$D$19),$P$20))-SUM($P252:U252)</f>
        <v>#VALUE!</v>
      </c>
      <c r="W252" s="446" t="e">
        <f>IF(OR($B252="",MIN(W$38,$D$19)&lt;MAX($P$34*($B252+IF($R$17="Distrato",$I$38-1,0)),IF(AND($L$37=0,$P$34=0),"",$L$37-1),IF($R$17="Distrato",$E252,0))),0,YEARFRAC(MAX($P$34*($B252+IF($R$17="Distrato",$I$38-1,0)),IF(AND($L$37=0,$P$34=0),"",$L$37-1),IF($R$17="Distrato",$E252,0)),MIN(W$38,$D$19),$P$20))-SUM($P252:V252)</f>
        <v>#VALUE!</v>
      </c>
      <c r="X252" s="446" t="e">
        <f>IF(OR($B252="",MIN(X$38,$D$19)&lt;MAX($P$34*($B252+IF($R$17="Distrato",$I$38-1,0)),IF(AND($L$37=0,$P$34=0),"",$L$37-1),IF($R$17="Distrato",$E252,0))),0,YEARFRAC(MAX($P$34*($B252+IF($R$17="Distrato",$I$38-1,0)),IF(AND($L$37=0,$P$34=0),"",$L$37-1),IF($R$17="Distrato",$E252,0)),MIN(X$38,$D$19),$P$20))-SUM($P252:W252)</f>
        <v>#VALUE!</v>
      </c>
      <c r="Y252" s="446" t="e">
        <f>IF(OR($B252="",MIN(Y$38,$D$19)&lt;MAX($P$34*($B252+IF($R$17="Distrato",$I$38-1,0)),IF(AND($L$37=0,$P$34=0),"",$L$37-1),IF($R$17="Distrato",$E252,0))),0,YEARFRAC(MAX($P$34*($B252+IF($R$17="Distrato",$I$38-1,0)),IF(AND($L$37=0,$P$34=0),"",$L$37-1),IF($R$17="Distrato",$E252,0)),MIN(Y$38,$D$19),$P$20))-SUM($P252:X252)</f>
        <v>#VALUE!</v>
      </c>
      <c r="Z252" s="446" t="e">
        <f>IF(OR($B252="",MIN(Z$38,$D$19)&lt;MAX($P$34*($B252+IF($R$17="Distrato",$I$38-1,0)),IF(AND($L$37=0,$P$34=0),"",$L$37-1),IF($R$17="Distrato",$E252,0))),0,YEARFRAC(MAX($P$34*($B252+IF($R$17="Distrato",$I$38-1,0)),IF(AND($L$37=0,$P$34=0),"",$L$37-1),IF($R$17="Distrato",$E252,0)),MIN(Z$38,$D$19),$P$20))-SUM($P252:Y252)</f>
        <v>#VALUE!</v>
      </c>
      <c r="AA252" s="446" t="e">
        <f>IF(OR($B252="",MIN(AA$38,$D$19)&lt;MAX($P$34*($B252+IF($R$17="Distrato",$I$38-1,0)),IF(AND($L$37=0,$P$34=0),"",$L$37-1),IF($R$17="Distrato",$E252,0))),0,YEARFRAC(MAX($P$34*($B252+IF($R$17="Distrato",$I$38-1,0)),IF(AND($L$37=0,$P$34=0),"",$L$37-1),IF($R$17="Distrato",$E252,0)),MIN(AA$38,$D$19),$P$20))-SUM($P252:Z252)</f>
        <v>#VALUE!</v>
      </c>
      <c r="AB252" s="446" t="e">
        <f>IF(OR($B252="",MIN(AB$38,$D$19)&lt;MAX($P$34*($B252+IF($R$17="Distrato",$I$38-1,0)),IF(AND($L$37=0,$P$34=0),"",$L$37-1),IF($R$17="Distrato",$E252,0))),0,YEARFRAC(MAX($P$34*($B252+IF($R$17="Distrato",$I$38-1,0)),IF(AND($L$37=0,$P$34=0),"",$L$37-1),IF($R$17="Distrato",$E252,0)),MIN(AB$38,$D$19),$P$20))-SUM($P252:AA252)</f>
        <v>#VALUE!</v>
      </c>
      <c r="AC252" s="446" t="e">
        <f>IF(OR($B252="",MIN(AC$38,$D$19)&lt;MAX($P$34*($B252+IF($R$17="Distrato",$I$38-1,0)),IF(AND($L$37=0,$P$34=0),"",$L$37-1),IF($R$17="Distrato",$E252,0))),0,YEARFRAC(MAX($P$34*($B252+IF($R$17="Distrato",$I$38-1,0)),IF(AND($L$37=0,$P$34=0),"",$L$37-1),IF($R$17="Distrato",$E252,0)),MIN(AC$38,$D$19),$P$20))-SUM($P252:AB252)</f>
        <v>#VALUE!</v>
      </c>
      <c r="AD252" s="446" t="e">
        <f>IF(OR($B252="",MIN(AD$38,$D$19)&lt;MAX($P$34*($B252+IF($R$17="Distrato",$I$38-1,0)),IF(AND($L$37=0,$P$34=0),"",$L$37-1),IF($R$17="Distrato",$E252,0))),0,YEARFRAC(MAX($P$34*($B252+IF($R$17="Distrato",$I$38-1,0)),IF(AND($L$37=0,$P$34=0),"",$L$37-1),IF($R$17="Distrato",$E252,0)),MIN(AD$38,$D$19),$P$20))-SUM($P252:AC252)</f>
        <v>#VALUE!</v>
      </c>
      <c r="AE252" s="446" t="e">
        <f>IF(OR($B252="",MIN(AE$38,$D$19)&lt;MAX($P$34*($B252+IF($R$17="Distrato",$I$38-1,0)),IF(AND($L$37=0,$P$34=0),"",$L$37-1),IF($R$17="Distrato",$E252,0))),0,YEARFRAC(MAX($P$34*($B252+IF($R$17="Distrato",$I$38-1,0)),IF(AND($L$37=0,$P$34=0),"",$L$37-1),IF($R$17="Distrato",$E252,0)),MIN(AE$38,$D$19),$P$20))-SUM($P252:AD252)</f>
        <v>#VALUE!</v>
      </c>
      <c r="AF252" s="446" t="e">
        <f>IF(OR($B252="",MIN(AF$38,$D$19)&lt;MAX($P$34*($B252+IF($R$17="Distrato",$I$38-1,0)),IF(AND($L$37=0,$P$34=0),"",$L$37-1),IF($R$17="Distrato",$E252,0))),0,YEARFRAC(MAX($P$34*($B252+IF($R$17="Distrato",$I$38-1,0)),IF(AND($L$37=0,$P$34=0),"",$L$37-1),IF($R$17="Distrato",$E252,0)),MIN(AF$38,$D$19),$P$20))-SUM($P252:AE252)</f>
        <v>#VALUE!</v>
      </c>
      <c r="AG252" s="446" t="e">
        <f>IF(OR($B252="",MIN(AG$38,$D$19)&lt;MAX($P$34*($B252+IF($R$17="Distrato",$I$38-1,0)),IF(AND($L$37=0,$P$34=0),"",$L$37-1),IF($R$17="Distrato",$E252,0))),0,YEARFRAC(MAX($P$34*($B252+IF($R$17="Distrato",$I$38-1,0)),IF(AND($L$37=0,$P$34=0),"",$L$37-1),IF($R$17="Distrato",$E252,0)),MIN(AG$38,$D$19),$P$20))-SUM($P252:AF252)</f>
        <v>#VALUE!</v>
      </c>
      <c r="AH252" s="446" t="e">
        <f>IF(OR($B252="",MIN(AH$38,$D$19)&lt;MAX($P$34*($B252+IF($R$17="Distrato",$I$38-1,0)),IF(AND($L$37=0,$P$34=0),"",$L$37-1),IF($R$17="Distrato",$E252,0))),0,YEARFRAC(MAX($P$34*($B252+IF($R$17="Distrato",$I$38-1,0)),IF(AND($L$37=0,$P$34=0),"",$L$37-1),IF($R$17="Distrato",$E252,0)),MIN(AH$38,$D$19),$P$20))-SUM($P252:AG252)</f>
        <v>#VALUE!</v>
      </c>
      <c r="AI252" s="446" t="e">
        <f>IF(OR($B252="",MIN(AI$38,$D$19)&lt;MAX($P$34*($B252+IF($R$17="Distrato",$I$38-1,0)),IF(AND($L$37=0,$P$34=0),"",$L$37-1),IF($R$17="Distrato",$E252,0))),0,YEARFRAC(MAX($P$34*($B252+IF($R$17="Distrato",$I$38-1,0)),IF(AND($L$37=0,$P$34=0),"",$L$37-1),IF($R$17="Distrato",$E252,0)),MIN(AI$38,$D$19),$P$20))-SUM($P252:AH252)</f>
        <v>#VALUE!</v>
      </c>
      <c r="AJ252" s="446" t="e">
        <f>IF(OR($B252="",MIN(AJ$38,$D$19)&lt;MAX($P$34*($B252+IF($R$17="Distrato",$I$38-1,0)),IF(AND($L$37=0,$P$34=0),"",$L$37-1),IF($R$17="Distrato",$E252,0))),0,YEARFRAC(MAX($P$34*($B252+IF($R$17="Distrato",$I$38-1,0)),IF(AND($L$37=0,$P$34=0),"",$L$37-1),IF($R$17="Distrato",$E252,0)),MIN(AJ$38,$D$19),$P$20))-SUM($P252:AI252)</f>
        <v>#VALUE!</v>
      </c>
      <c r="AK252" s="446" t="e">
        <f>IF(OR($B252="",MIN(AK$38,$D$19)&lt;MAX($P$34*($B252+IF($R$17="Distrato",$I$38-1,0)),IF(AND($L$37=0,$P$34=0),"",$L$37-1),IF($R$17="Distrato",$E252,0))),0,YEARFRAC(MAX($P$34*($B252+IF($R$17="Distrato",$I$38-1,0)),IF(AND($L$37=0,$P$34=0),"",$L$37-1),IF($R$17="Distrato",$E252,0)),MIN(AK$38,$D$19),$P$20))-SUM($P252:AJ252)</f>
        <v>#VALUE!</v>
      </c>
      <c r="AL252" s="446" t="e">
        <f>IF(OR($B252="",MIN(AL$38,$D$19)&lt;MAX($P$34*($B252+IF($R$17="Distrato",$I$38-1,0)),IF(AND($L$37=0,$P$34=0),"",$L$37-1),IF($R$17="Distrato",$E252,0))),0,YEARFRAC(MAX($P$34*($B252+IF($R$17="Distrato",$I$38-1,0)),IF(AND($L$37=0,$P$34=0),"",$L$37-1),IF($R$17="Distrato",$E252,0)),MIN(AL$38,$D$19),$P$20))-SUM($P252:AK252)</f>
        <v>#VALUE!</v>
      </c>
      <c r="AM252" s="446" t="e">
        <f>IF(OR($B252="",MIN(AM$38,$D$19)&lt;MAX($P$34*($B252+IF($R$17="Distrato",$I$38-1,0)),IF(AND($L$37=0,$P$34=0),"",$L$37-1),IF($R$17="Distrato",$E252,0))),0,YEARFRAC(MAX($P$34*($B252+IF($R$17="Distrato",$I$38-1,0)),IF(AND($L$37=0,$P$34=0),"",$L$37-1),IF($R$17="Distrato",$E252,0)),MIN(AM$38,$D$19),$P$20))-SUM($P252:AL252)</f>
        <v>#VALUE!</v>
      </c>
      <c r="AN252" s="446" t="e">
        <f>IF(OR($B252="",MIN(AN$38,$D$19)&lt;MAX($P$34*($B252+IF($R$17="Distrato",$I$38-1,0)),IF(AND($L$37=0,$P$34=0),"",$L$37-1),IF($R$17="Distrato",$E252,0))),0,YEARFRAC(MAX($P$34*($B252+IF($R$17="Distrato",$I$38-1,0)),IF(AND($L$37=0,$P$34=0),"",$L$37-1),IF($R$17="Distrato",$E252,0)),MIN(AN$38,$D$19),$P$20))-SUM($P252:AM252)</f>
        <v>#VALUE!</v>
      </c>
      <c r="AO252" s="446" t="e">
        <f>IF(OR($B252="",MIN(AO$38,$D$19)&lt;MAX($P$34*($B252+IF($R$17="Distrato",$I$38-1,0)),IF(AND($L$37=0,$P$34=0),"",$L$37-1),IF($R$17="Distrato",$E252,0))),0,YEARFRAC(MAX($P$34*($B252+IF($R$17="Distrato",$I$38-1,0)),IF(AND($L$37=0,$P$34=0),"",$L$37-1),IF($R$17="Distrato",$E252,0)),MIN(AO$38,$D$19),$P$20))-SUM($P252:AN252)</f>
        <v>#VALUE!</v>
      </c>
      <c r="AP252" s="446" t="e">
        <f>IF(OR($B252="",MIN(AP$38,$D$19)&lt;MAX($P$34*($B252+IF($R$17="Distrato",$I$38-1,0)),IF(AND($L$37=0,$P$34=0),"",$L$37-1),IF($R$17="Distrato",$E252,0))),0,YEARFRAC(MAX($P$34*($B252+IF($R$17="Distrato",$I$38-1,0)),IF(AND($L$37=0,$P$34=0),"",$L$37-1),IF($R$17="Distrato",$E252,0)),MIN(AP$38,$D$19),$P$20))-SUM($P252:AO252)</f>
        <v>#VALUE!</v>
      </c>
      <c r="AQ252" s="446" t="e">
        <f>IF(OR($B252="",MIN(AQ$38,$D$19)&lt;MAX($P$34*($B252+IF($R$17="Distrato",$I$38-1,0)),IF(AND($L$37=0,$P$34=0),"",$L$37-1),IF($R$17="Distrato",$E252,0))),0,YEARFRAC(MAX($P$34*($B252+IF($R$17="Distrato",$I$38-1,0)),IF(AND($L$37=0,$P$34=0),"",$L$37-1),IF($R$17="Distrato",$E252,0)),MIN(AQ$38,$D$19),$P$20))-SUM($P252:AP252)</f>
        <v>#VALUE!</v>
      </c>
      <c r="AR252" s="446" t="e">
        <f>IF(OR($B252="",MIN(AR$38,$D$19)&lt;MAX($P$34*($B252+IF($R$17="Distrato",$I$38-1,0)),IF(AND($L$37=0,$P$34=0),"",$L$37-1),IF($R$17="Distrato",$E252,0))),0,YEARFRAC(MAX($P$34*($B252+IF($R$17="Distrato",$I$38-1,0)),IF(AND($L$37=0,$P$34=0),"",$L$37-1),IF($R$17="Distrato",$E252,0)),MIN(AR$38,$D$19),$P$20))-SUM($P252:AQ252)</f>
        <v>#VALUE!</v>
      </c>
      <c r="AS252" s="446" t="e">
        <f>IF(OR($B252="",MIN(AS$38,$D$19)&lt;MAX($P$34*($B252+IF($R$17="Distrato",$I$38-1,0)),IF(AND($L$37=0,$P$34=0),"",$L$37-1),IF($R$17="Distrato",$E252,0))),0,YEARFRAC(MAX($P$34*($B252+IF($R$17="Distrato",$I$38-1,0)),IF(AND($L$37=0,$P$34=0),"",$L$37-1),IF($R$17="Distrato",$E252,0)),MIN(AS$38,$D$19),$P$20))-SUM($P252:AR252)</f>
        <v>#VALUE!</v>
      </c>
      <c r="AT252" s="446" t="e">
        <f>IF(OR($B252="",MIN(AT$38,$D$19)&lt;MAX($P$34*($B252+IF($R$17="Distrato",$I$38-1,0)),IF(AND($L$37=0,$P$34=0),"",$L$37-1),IF($R$17="Distrato",$E252,0))),0,YEARFRAC(MAX($P$34*($B252+IF($R$17="Distrato",$I$38-1,0)),IF(AND($L$37=0,$P$34=0),"",$L$37-1),IF($R$17="Distrato",$E252,0)),MIN(AT$38,$D$19),$P$20))-SUM($P252:AS252)</f>
        <v>#VALUE!</v>
      </c>
      <c r="AU252" s="446" t="e">
        <f>IF(OR($B252="",MIN(AU$38,$D$19)&lt;MAX($P$34*($B252+IF($R$17="Distrato",$I$38-1,0)),IF(AND($L$37=0,$P$34=0),"",$L$37-1),IF($R$17="Distrato",$E252,0))),0,YEARFRAC(MAX($P$34*($B252+IF($R$17="Distrato",$I$38-1,0)),IF(AND($L$37=0,$P$34=0),"",$L$37-1),IF($R$17="Distrato",$E252,0)),MIN(AU$38,$D$19),$P$20))-SUM($P252:AT252)</f>
        <v>#VALUE!</v>
      </c>
      <c r="AV252" s="446" t="e">
        <f>IF(OR($B252="",MIN(AV$38,$D$19)&lt;MAX($P$34*($B252+IF($R$17="Distrato",$I$38-1,0)),IF(AND($L$37=0,$P$34=0),"",$L$37-1),IF($R$17="Distrato",$E252,0))),0,YEARFRAC(MAX($P$34*($B252+IF($R$17="Distrato",$I$38-1,0)),IF(AND($L$37=0,$P$34=0),"",$L$37-1),IF($R$17="Distrato",$E252,0)),MIN(AV$38,$D$19),$P$20))-SUM($P252:AU252)</f>
        <v>#VALUE!</v>
      </c>
      <c r="AW252" s="446" t="e">
        <f>IF(OR($B252="",MIN(AW$38,$D$19)&lt;MAX($P$34*($B252+IF($R$17="Distrato",$I$38-1,0)),IF(AND($L$37=0,$P$34=0),"",$L$37-1),IF($R$17="Distrato",$E252,0))),0,YEARFRAC(MAX($P$34*($B252+IF($R$17="Distrato",$I$38-1,0)),IF(AND($L$37=0,$P$34=0),"",$L$37-1),IF($R$17="Distrato",$E252,0)),MIN(AW$38,$D$19),$P$20))-SUM($P252:AV252)</f>
        <v>#VALUE!</v>
      </c>
      <c r="AX252" s="446" t="e">
        <f>IF(OR($B252="",MIN(AX$38,$D$19)&lt;MAX($P$34*($B252+IF($R$17="Distrato",$I$38-1,0)),IF(AND($L$37=0,$P$34=0),"",$L$37-1),IF($R$17="Distrato",$E252,0))),0,YEARFRAC(MAX($P$34*($B252+IF($R$17="Distrato",$I$38-1,0)),IF(AND($L$37=0,$P$34=0),"",$L$37-1),IF($R$17="Distrato",$E252,0)),MIN(AX$38,$D$19),$P$20))-SUM($P252:AW252)</f>
        <v>#VALUE!</v>
      </c>
      <c r="AY252" s="446" t="e">
        <f>IF(OR($B252="",MIN(AY$38,$D$19)&lt;MAX($P$34*($B252+IF($R$17="Distrato",$I$38-1,0)),IF(AND($L$37=0,$P$34=0),"",$L$37-1),IF($R$17="Distrato",$E252,0))),0,YEARFRAC(MAX($P$34*($B252+IF($R$17="Distrato",$I$38-1,0)),IF(AND($L$37=0,$P$34=0),"",$L$37-1),IF($R$17="Distrato",$E252,0)),MIN(AY$38,$D$19),$P$20))-SUM($P252:AX252)</f>
        <v>#VALUE!</v>
      </c>
      <c r="AZ252" s="446" t="e">
        <f>IF(OR($B252="",MIN(AZ$38,$D$19)&lt;MAX($P$34*($B252+IF($R$17="Distrato",$I$38-1,0)),IF(AND($L$37=0,$P$34=0),"",$L$37-1),IF($R$17="Distrato",$E252,0))),0,YEARFRAC(MAX($P$34*($B252+IF($R$17="Distrato",$I$38-1,0)),IF(AND($L$37=0,$P$34=0),"",$L$37-1),IF($R$17="Distrato",$E252,0)),MIN(AZ$38,$D$19),$P$20))-SUM($P252:AY252)</f>
        <v>#VALUE!</v>
      </c>
      <c r="BA252" s="446" t="e">
        <f>IF(OR($B252="",MIN(BA$38,$D$19)&lt;MAX($P$34*($B252+IF($R$17="Distrato",$I$38-1,0)),IF(AND($L$37=0,$P$34=0),"",$L$37-1),IF($R$17="Distrato",$E252,0))),0,YEARFRAC(MAX($P$34*($B252+IF($R$17="Distrato",$I$38-1,0)),IF(AND($L$37=0,$P$34=0),"",$L$37-1),IF($R$17="Distrato",$E252,0)),MIN(BA$38,$D$19),$P$20))-SUM($P252:AZ252)</f>
        <v>#VALUE!</v>
      </c>
      <c r="BB252" s="447"/>
      <c r="BF252" s="446">
        <f t="shared" si="43"/>
        <v>0</v>
      </c>
      <c r="BG252" s="446">
        <f>IF($E252=0,0,IF(MIN(BG$38,$E252)&lt;MAX($P$34*($B252+$I$38-1),IF(AND($L$37=0,$P$34=0),"",$L$37-1)),0,YEARFRAC(MAX($P$34*($B252+$I$38-1),IF(AND($L$37=0,$P$34=0),"",$L$37-1)),MIN(BG$38,$E252),$P$20))-SUM($BF252:BF252))</f>
        <v>0</v>
      </c>
      <c r="BH252" s="446">
        <f>IF($E252=0,0,IF(MIN(BH$38,$E252)&lt;MAX($P$34*($B252+$I$38-1),IF(AND($L$37=0,$P$34=0),"",$L$37-1)),0,YEARFRAC(MAX($P$34*($B252+$I$38-1),IF(AND($L$37=0,$P$34=0),"",$L$37-1)),MIN(BH$38,$E252),$P$20))-SUM($BF252:BG252))</f>
        <v>0</v>
      </c>
      <c r="BI252" s="446">
        <f>IF($E252=0,0,IF(MIN(BI$38,$E252)&lt;MAX($P$34*($B252+$I$38-1),IF(AND($L$37=0,$P$34=0),"",$L$37-1)),0,YEARFRAC(MAX($P$34*($B252+$I$38-1),IF(AND($L$37=0,$P$34=0),"",$L$37-1)),MIN(BI$38,$E252),$P$20))-SUM($BF252:BH252))</f>
        <v>0</v>
      </c>
      <c r="BJ252" s="446">
        <f>IF($E252=0,0,IF(MIN(BJ$38,$E252)&lt;MAX($P$34*($B252+$I$38-1),IF(AND($L$37=0,$P$34=0),"",$L$37-1)),0,YEARFRAC(MAX($P$34*($B252+$I$38-1),IF(AND($L$37=0,$P$34=0),"",$L$37-1)),MIN(BJ$38,$E252),$P$20))-SUM($BF252:BI252))</f>
        <v>0</v>
      </c>
      <c r="BK252" s="446">
        <f>IF($E252=0,0,IF(MIN(BK$38,$E252)&lt;MAX($P$34*($B252+$I$38-1),IF(AND($L$37=0,$P$34=0),"",$L$37-1)),0,YEARFRAC(MAX($P$34*($B252+$I$38-1),IF(AND($L$37=0,$P$34=0),"",$L$37-1)),MIN(BK$38,$E252),$P$20))-SUM($BF252:BJ252))</f>
        <v>0</v>
      </c>
      <c r="BL252" s="446">
        <f>IF($E252=0,0,IF(MIN(BL$38,$E252)&lt;MAX($P$34*($B252+$I$38-1),IF(AND($L$37=0,$P$34=0),"",$L$37-1)),0,YEARFRAC(MAX($P$34*($B252+$I$38-1),IF(AND($L$37=0,$P$34=0),"",$L$37-1)),MIN(BL$38,$E252),$P$20))-SUM($BF252:BK252))</f>
        <v>0</v>
      </c>
      <c r="BM252" s="446">
        <f>IF($E252=0,0,IF(MIN(BM$38,$E252)&lt;MAX($P$34*($B252+$I$38-1),IF(AND($L$37=0,$P$34=0),"",$L$37-1)),0,YEARFRAC(MAX($P$34*($B252+$I$38-1),IF(AND($L$37=0,$P$34=0),"",$L$37-1)),MIN(BM$38,$E252),$P$20))-SUM($BF252:BL252))</f>
        <v>0</v>
      </c>
      <c r="BN252" s="446">
        <f>IF($E252=0,0,IF(MIN(BN$38,$E252)&lt;MAX($P$34*($B252+$I$38-1),IF(AND($L$37=0,$P$34=0),"",$L$37-1)),0,YEARFRAC(MAX($P$34*($B252+$I$38-1),IF(AND($L$37=0,$P$34=0),"",$L$37-1)),MIN(BN$38,$E252),$P$20))-SUM($BF252:BM252))</f>
        <v>0</v>
      </c>
      <c r="BO252" s="446">
        <f>IF($E252=0,0,IF(MIN(BO$38,$E252)&lt;MAX($P$34*($B252+$I$38-1),IF(AND($L$37=0,$P$34=0),"",$L$37-1)),0,YEARFRAC(MAX($P$34*($B252+$I$38-1),IF(AND($L$37=0,$P$34=0),"",$L$37-1)),MIN(BO$38,$E252),$P$20))-SUM($BF252:BN252))</f>
        <v>0</v>
      </c>
      <c r="BP252" s="446">
        <f>IF($E252=0,0,IF(MIN(BP$38,$E252)&lt;MAX($P$34*($B252+$I$38-1),IF(AND($L$37=0,$P$34=0),"",$L$37-1)),0,YEARFRAC(MAX($P$34*($B252+$I$38-1),IF(AND($L$37=0,$P$34=0),"",$L$37-1)),MIN(BP$38,$E252),$P$20))-SUM($BF252:BO252))</f>
        <v>0</v>
      </c>
      <c r="BQ252" s="446">
        <f>IF($E252=0,0,IF(MIN(BQ$38,$E252)&lt;MAX($P$34*($B252+$I$38-1),IF(AND($L$37=0,$P$34=0),"",$L$37-1)),0,YEARFRAC(MAX($P$34*($B252+$I$38-1),IF(AND($L$37=0,$P$34=0),"",$L$37-1)),MIN(BQ$38,$E252),$P$20))-SUM($BF252:BP252))</f>
        <v>0</v>
      </c>
      <c r="BR252" s="446">
        <f>IF($E252=0,0,IF(MIN(BR$38,$E252)&lt;MAX($P$34*($B252+$I$38-1),IF(AND($L$37=0,$P$34=0),"",$L$37-1)),0,YEARFRAC(MAX($P$34*($B252+$I$38-1),IF(AND($L$37=0,$P$34=0),"",$L$37-1)),MIN(BR$38,$E252),$P$20))-SUM($BF252:BQ252))</f>
        <v>0</v>
      </c>
      <c r="BS252" s="446">
        <f>IF($E252=0,0,IF(MIN(BS$38,$E252)&lt;MAX($P$34*($B252+$I$38-1),IF(AND($L$37=0,$P$34=0),"",$L$37-1)),0,YEARFRAC(MAX($P$34*($B252+$I$38-1),IF(AND($L$37=0,$P$34=0),"",$L$37-1)),MIN(BS$38,$E252),$P$20))-SUM($BF252:BR252))</f>
        <v>0</v>
      </c>
      <c r="BT252" s="446">
        <f>IF($E252=0,0,IF(MIN(BT$38,$E252)&lt;MAX($P$34*($B252+$I$38-1),IF(AND($L$37=0,$P$34=0),"",$L$37-1)),0,YEARFRAC(MAX($P$34*($B252+$I$38-1),IF(AND($L$37=0,$P$34=0),"",$L$37-1)),MIN(BT$38,$E252),$P$20))-SUM($BF252:BS252))</f>
        <v>0</v>
      </c>
      <c r="BU252" s="446">
        <f>IF($E252=0,0,IF(MIN(BU$38,$E252)&lt;MAX($P$34*($B252+$I$38-1),IF(AND($L$37=0,$P$34=0),"",$L$37-1)),0,YEARFRAC(MAX($P$34*($B252+$I$38-1),IF(AND($L$37=0,$P$34=0),"",$L$37-1)),MIN(BU$38,$E252),$P$20))-SUM($BF252:BT252))</f>
        <v>0</v>
      </c>
      <c r="BV252" s="446">
        <f>IF($E252=0,0,IF(MIN(BV$38,$E252)&lt;MAX($P$34*($B252+$I$38-1),IF(AND($L$37=0,$P$34=0),"",$L$37-1)),0,YEARFRAC(MAX($P$34*($B252+$I$38-1),IF(AND($L$37=0,$P$34=0),"",$L$37-1)),MIN(BV$38,$E252),$P$20))-SUM($BF252:BU252))</f>
        <v>0</v>
      </c>
      <c r="BW252" s="446">
        <f>IF($E252=0,0,IF(MIN(BW$38,$E252)&lt;MAX($P$34*($B252+$I$38-1),IF(AND($L$37=0,$P$34=0),"",$L$37-1)),0,YEARFRAC(MAX($P$34*($B252+$I$38-1),IF(AND($L$37=0,$P$34=0),"",$L$37-1)),MIN(BW$38,$E252),$P$20))-SUM($BF252:BV252))</f>
        <v>0</v>
      </c>
      <c r="BX252" s="446">
        <f>IF($E252=0,0,IF(MIN(BX$38,$E252)&lt;MAX($P$34*($B252+$I$38-1),IF(AND($L$37=0,$P$34=0),"",$L$37-1)),0,YEARFRAC(MAX($P$34*($B252+$I$38-1),IF(AND($L$37=0,$P$34=0),"",$L$37-1)),MIN(BX$38,$E252),$P$20))-SUM($BF252:BW252))</f>
        <v>0</v>
      </c>
      <c r="BY252" s="446">
        <f>IF($E252=0,0,IF(MIN(BY$38,$E252)&lt;MAX($P$34*($B252+$I$38-1),IF(AND($L$37=0,$P$34=0),"",$L$37-1)),0,YEARFRAC(MAX($P$34*($B252+$I$38-1),IF(AND($L$37=0,$P$34=0),"",$L$37-1)),MIN(BY$38,$E252),$P$20))-SUM($BF252:BX252))</f>
        <v>0</v>
      </c>
      <c r="BZ252" s="446">
        <f>IF($E252=0,0,IF(MIN(BZ$38,$E252)&lt;MAX($P$34*($B252+$I$38-1),IF(AND($L$37=0,$P$34=0),"",$L$37-1)),0,YEARFRAC(MAX($P$34*($B252+$I$38-1),IF(AND($L$37=0,$P$34=0),"",$L$37-1)),MIN(BZ$38,$E252),$P$20))-SUM($BF252:BY252))</f>
        <v>0</v>
      </c>
      <c r="CA252" s="446">
        <f>IF($E252=0,0,IF(MIN(CA$38,$E252)&lt;MAX($P$34*($B252+$I$38-1),IF(AND($L$37=0,$P$34=0),"",$L$37-1)),0,YEARFRAC(MAX($P$34*($B252+$I$38-1),IF(AND($L$37=0,$P$34=0),"",$L$37-1)),MIN(CA$38,$E252),$P$20))-SUM($BF252:BZ252))</f>
        <v>0</v>
      </c>
      <c r="CB252" s="446">
        <f>IF($E252=0,0,IF(MIN(CB$38,$E252)&lt;MAX($P$34*($B252+$I$38-1),IF(AND($L$37=0,$P$34=0),"",$L$37-1)),0,YEARFRAC(MAX($P$34*($B252+$I$38-1),IF(AND($L$37=0,$P$34=0),"",$L$37-1)),MIN(CB$38,$E252),$P$20))-SUM($BF252:CA252))</f>
        <v>0</v>
      </c>
      <c r="CC252" s="446">
        <f>IF($E252=0,0,IF(MIN(CC$38,$E252)&lt;MAX($P$34*($B252+$I$38-1),IF(AND($L$37=0,$P$34=0),"",$L$37-1)),0,YEARFRAC(MAX($P$34*($B252+$I$38-1),IF(AND($L$37=0,$P$34=0),"",$L$37-1)),MIN(CC$38,$E252),$P$20))-SUM($BF252:CB252))</f>
        <v>0</v>
      </c>
      <c r="CD252" s="446">
        <f>IF($E252=0,0,IF(MIN(CD$38,$E252)&lt;MAX($P$34*($B252+$I$38-1),IF(AND($L$37=0,$P$34=0),"",$L$37-1)),0,YEARFRAC(MAX($P$34*($B252+$I$38-1),IF(AND($L$37=0,$P$34=0),"",$L$37-1)),MIN(CD$38,$E252),$P$20))-SUM($BF252:CC252))</f>
        <v>0</v>
      </c>
      <c r="CE252" s="446">
        <f>IF($E252=0,0,IF(MIN(CE$38,$E252)&lt;MAX($P$34*($B252+$I$38-1),IF(AND($L$37=0,$P$34=0),"",$L$37-1)),0,YEARFRAC(MAX($P$34*($B252+$I$38-1),IF(AND($L$37=0,$P$34=0),"",$L$37-1)),MIN(CE$38,$E252),$P$20))-SUM($BF252:CD252))</f>
        <v>0</v>
      </c>
      <c r="CF252" s="446">
        <f>IF($E252=0,0,IF(MIN(CF$38,$E252)&lt;MAX($P$34*($B252+$I$38-1),IF(AND($L$37=0,$P$34=0),"",$L$37-1)),0,YEARFRAC(MAX($P$34*($B252+$I$38-1),IF(AND($L$37=0,$P$34=0),"",$L$37-1)),MIN(CF$38,$E252),$P$20))-SUM($BF252:CE252))</f>
        <v>0</v>
      </c>
      <c r="CG252" s="446">
        <f>IF($E252=0,0,IF(MIN(CG$38,$E252)&lt;MAX($P$34*($B252+$I$38-1),IF(AND($L$37=0,$P$34=0),"",$L$37-1)),0,YEARFRAC(MAX($P$34*($B252+$I$38-1),IF(AND($L$37=0,$P$34=0),"",$L$37-1)),MIN(CG$38,$E252),$P$20))-SUM($BF252:CF252))</f>
        <v>0</v>
      </c>
      <c r="CH252" s="446">
        <f>IF($E252=0,0,IF(MIN(CH$38,$E252)&lt;MAX($P$34*($B252+$I$38-1),IF(AND($L$37=0,$P$34=0),"",$L$37-1)),0,YEARFRAC(MAX($P$34*($B252+$I$38-1),IF(AND($L$37=0,$P$34=0),"",$L$37-1)),MIN(CH$38,$E252),$P$20))-SUM($BF252:CG252))</f>
        <v>0</v>
      </c>
      <c r="CI252" s="446">
        <f>IF($E252=0,0,IF(MIN(CI$38,$E252)&lt;MAX($P$34*($B252+$I$38-1),IF(AND($L$37=0,$P$34=0),"",$L$37-1)),0,YEARFRAC(MAX($P$34*($B252+$I$38-1),IF(AND($L$37=0,$P$34=0),"",$L$37-1)),MIN(CI$38,$E252),$P$20))-SUM($BF252:CH252))</f>
        <v>0</v>
      </c>
      <c r="CJ252" s="446">
        <f>IF($E252=0,0,IF(MIN(CJ$38,$E252)&lt;MAX($P$34*($B252+$I$38-1),IF(AND($L$37=0,$P$34=0),"",$L$37-1)),0,YEARFRAC(MAX($P$34*($B252+$I$38-1),IF(AND($L$37=0,$P$34=0),"",$L$37-1)),MIN(CJ$38,$E252),$P$20))-SUM($BF252:CI252))</f>
        <v>0</v>
      </c>
      <c r="CK252" s="446">
        <f>IF($E252=0,0,IF(MIN(CK$38,$E252)&lt;MAX($P$34*($B252+$I$38-1),IF(AND($L$37=0,$P$34=0),"",$L$37-1)),0,YEARFRAC(MAX($P$34*($B252+$I$38-1),IF(AND($L$37=0,$P$34=0),"",$L$37-1)),MIN(CK$38,$E252),$P$20))-SUM($BF252:CJ252))</f>
        <v>0</v>
      </c>
      <c r="CL252" s="446">
        <f>IF($E252=0,0,IF(MIN(CL$38,$E252)&lt;MAX($P$34*($B252+$I$38-1),IF(AND($L$37=0,$P$34=0),"",$L$37-1)),0,YEARFRAC(MAX($P$34*($B252+$I$38-1),IF(AND($L$37=0,$P$34=0),"",$L$37-1)),MIN(CL$38,$E252),$P$20))-SUM($BF252:CK252))</f>
        <v>0</v>
      </c>
      <c r="CM252" s="446">
        <f>IF($E252=0,0,IF(MIN(CM$38,$E252)&lt;MAX($P$34*($B252+$I$38-1),IF(AND($L$37=0,$P$34=0),"",$L$37-1)),0,YEARFRAC(MAX($P$34*($B252+$I$38-1),IF(AND($L$37=0,$P$34=0),"",$L$37-1)),MIN(CM$38,$E252),$P$20))-SUM($BF252:CL252))</f>
        <v>0</v>
      </c>
      <c r="CN252" s="446">
        <f>IF($E252=0,0,IF(MIN(CN$38,$E252)&lt;MAX($P$34*($B252+$I$38-1),IF(AND($L$37=0,$P$34=0),"",$L$37-1)),0,YEARFRAC(MAX($P$34*($B252+$I$38-1),IF(AND($L$37=0,$P$34=0),"",$L$37-1)),MIN(CN$38,$E252),$P$20))-SUM($BF252:CM252))</f>
        <v>0</v>
      </c>
      <c r="CO252" s="446">
        <f>IF($E252=0,0,IF(MIN(CO$38,$E252)&lt;MAX($P$34*($B252+$I$38-1),IF(AND($L$37=0,$P$34=0),"",$L$37-1)),0,YEARFRAC(MAX($P$34*($B252+$I$38-1),IF(AND($L$37=0,$P$34=0),"",$L$37-1)),MIN(CO$38,$E252),$P$20))-SUM($BF252:CN252))</f>
        <v>0</v>
      </c>
      <c r="CP252" s="446">
        <f>IF($E252=0,0,IF(MIN(CP$38,$E252)&lt;MAX($P$34*($B252+$I$38-1),IF(AND($L$37=0,$P$34=0),"",$L$37-1)),0,YEARFRAC(MAX($P$34*($B252+$I$38-1),IF(AND($L$37=0,$P$34=0),"",$L$37-1)),MIN(CP$38,$E252),$P$20))-SUM($BF252:CO252))</f>
        <v>0</v>
      </c>
      <c r="CQ252" s="446">
        <f>IF($E252=0,0,IF(MIN(CQ$38,$E252)&lt;MAX($P$34*($B252+$I$38-1),IF(AND($L$37=0,$P$34=0),"",$L$37-1)),0,YEARFRAC(MAX($P$34*($B252+$I$38-1),IF(AND($L$37=0,$P$34=0),"",$L$37-1)),MIN(CQ$38,$E252),$P$20))-SUM($BF252:CP252))</f>
        <v>0</v>
      </c>
    </row>
    <row r="253" spans="1:95" s="446" customFormat="1" ht="11.25" hidden="1" customHeight="1" x14ac:dyDescent="0.2">
      <c r="A253" s="152"/>
      <c r="B253" s="153" t="str">
        <f t="shared" si="48"/>
        <v/>
      </c>
      <c r="C253" s="29" t="str">
        <f>IF(B253="","",IF($L$35="SELIC - TRIBUTOS",VLOOKUP(DATE(YEAR($D$19),MONTH($D$19)-1,1),ÍNDICES!$A:$DE,HLOOKUP($BL$25,ÍNDICES!$B$3:$T$4,2)+11)-VLOOKUP(B253,ÍNDICES!$A:$DE,HLOOKUP($BL$25,ÍNDICES!$B$3:$T$4,2)+11)+1%,IF(C$38=$W$26,$J$35,IF(ISERROR(IF(B253&gt;$D$19,1,VLOOKUP(DATE(YEAR(B253),MONTH(B253)+IF($C$35=$S$23,1,0),1),ÍNDICES!$A:$DE,$Z$35+1))),"",IF(B253&gt;$D$19,1,VLOOKUP(DATE(YEAR(B253),MONTH(B253)+IF($C$35=$S$23,1,0),1),ÍNDICES!$A:$DE,$Z$35+1))))))</f>
        <v/>
      </c>
      <c r="D253" s="154" t="str">
        <f>IF(ISERROR(IF(OR($D$38=$Y$27,$B253=""),"",VLOOKUP(B253,ÍNDICES!A:DE,AF$35+1))),"",IF(OR($D$38=$Y$27,$B253=""),"",VLOOKUP(B253,ÍNDICES!A:DE,AF$35+1)))</f>
        <v/>
      </c>
      <c r="E253" s="153"/>
      <c r="F253" s="29" t="str">
        <f>IF(E253="","",IF($L$35="SELIC - TRIBUTOS",VLOOKUP(DATE(YEAR($D$19),MONTH($D$19)-1,1),ÍNDICES!$A:$DE,HLOOKUP($BL$25,ÍNDICES!$B$3:$T$4,2)+11)-VLOOKUP(E253,ÍNDICES!$A:$DE,HLOOKUP($BL$25,ÍNDICES!$B$3:$T$4,2)+11)+1%,IF(F$38=$W$26,$J$35,IF(ISERROR(IF(E253&gt;$D$19,1,VLOOKUP(DATE(YEAR(E253),MONTH(E253)+IF($C$35=$S$23,1,0),1),ÍNDICES!$A:$DE,$Z$35+1))),"",IF(E253&gt;$D$19,1,VLOOKUP(DATE(YEAR(E253),MONTH(E253)+IF($C$35=$S$23,1,0),1),ÍNDICES!$A:$DE,$Z$35+1))))))</f>
        <v/>
      </c>
      <c r="G253" s="155"/>
      <c r="H253" s="156" t="str">
        <f t="shared" si="44"/>
        <v/>
      </c>
      <c r="I253" s="29" t="str">
        <f t="shared" si="38"/>
        <v/>
      </c>
      <c r="J253" s="5">
        <f t="shared" si="39"/>
        <v>0</v>
      </c>
      <c r="K253" s="20">
        <f t="shared" ca="1" si="40"/>
        <v>0</v>
      </c>
      <c r="L253" s="5">
        <f t="shared" ca="1" si="41"/>
        <v>0</v>
      </c>
      <c r="M253" s="64">
        <f t="shared" si="45"/>
        <v>0</v>
      </c>
      <c r="N253" s="61">
        <f t="shared" ca="1" si="46"/>
        <v>0</v>
      </c>
      <c r="O253" s="5">
        <f t="shared" ca="1" si="47"/>
        <v>0</v>
      </c>
      <c r="P253" s="446" t="e">
        <f t="shared" si="42"/>
        <v>#VALUE!</v>
      </c>
      <c r="Q253" s="446" t="e">
        <f>IF(OR($B253="",MIN(Q$38,$D$19)&lt;MAX($P$34*($B253+IF($R$17="Distrato",$I$38-1,0)),IF(AND($L$37=0,$P$34=0),"",$L$37-1),IF($R$17="Distrato",$E253,0))),0,YEARFRAC(MAX($P$34*($B253+IF($R$17="Distrato",$I$38-1,0)),IF(AND($L$37=0,$P$34=0),"",$L$37-1),IF($R$17="Distrato",$E253,0)),MIN(Q$38,$D$19),$P$20))-SUM($P253:P253)</f>
        <v>#VALUE!</v>
      </c>
      <c r="R253" s="446" t="e">
        <f>IF(OR($B253="",MIN(R$38,$D$19)&lt;MAX($P$34*($B253+IF($R$17="Distrato",$I$38-1,0)),IF(AND($L$37=0,$P$34=0),"",$L$37-1),IF($R$17="Distrato",$E253,0))),0,YEARFRAC(MAX($P$34*($B253+IF($R$17="Distrato",$I$38-1,0)),IF(AND($L$37=0,$P$34=0),"",$L$37-1),IF($R$17="Distrato",$E253,0)),MIN(R$38,$D$19),$P$20))-SUM($P253:Q253)</f>
        <v>#VALUE!</v>
      </c>
      <c r="S253" s="446" t="e">
        <f>IF(OR($B253="",MIN(S$38,$D$19)&lt;MAX($P$34*($B253+IF($R$17="Distrato",$I$38-1,0)),IF(AND($L$37=0,$P$34=0),"",$L$37-1),IF($R$17="Distrato",$E253,0))),0,YEARFRAC(MAX($P$34*($B253+IF($R$17="Distrato",$I$38-1,0)),IF(AND($L$37=0,$P$34=0),"",$L$37-1),IF($R$17="Distrato",$E253,0)),MIN(S$38,$D$19),$P$20))-SUM($P253:R253)</f>
        <v>#VALUE!</v>
      </c>
      <c r="T253" s="446" t="e">
        <f>IF(OR($B253="",MIN(T$38,$D$19)&lt;MAX($P$34*($B253+IF($R$17="Distrato",$I$38-1,0)),IF(AND($L$37=0,$P$34=0),"",$L$37-1),IF($R$17="Distrato",$E253,0))),0,YEARFRAC(MAX($P$34*($B253+IF($R$17="Distrato",$I$38-1,0)),IF(AND($L$37=0,$P$34=0),"",$L$37-1),IF($R$17="Distrato",$E253,0)),MIN(T$38,$D$19),$P$20))-SUM($P253:S253)</f>
        <v>#VALUE!</v>
      </c>
      <c r="U253" s="446" t="e">
        <f>IF(OR($B253="",MIN(U$38,$D$19)&lt;MAX($P$34*($B253+IF($R$17="Distrato",$I$38-1,0)),IF(AND($L$37=0,$P$34=0),"",$L$37-1),IF($R$17="Distrato",$E253,0))),0,YEARFRAC(MAX($P$34*($B253+IF($R$17="Distrato",$I$38-1,0)),IF(AND($L$37=0,$P$34=0),"",$L$37-1),IF($R$17="Distrato",$E253,0)),MIN(U$38,$D$19),$P$20))-SUM($P253:T253)</f>
        <v>#VALUE!</v>
      </c>
      <c r="V253" s="446" t="e">
        <f>IF(OR($B253="",MIN(V$38,$D$19)&lt;MAX($P$34*($B253+IF($R$17="Distrato",$I$38-1,0)),IF(AND($L$37=0,$P$34=0),"",$L$37-1),IF($R$17="Distrato",$E253,0))),0,YEARFRAC(MAX($P$34*($B253+IF($R$17="Distrato",$I$38-1,0)),IF(AND($L$37=0,$P$34=0),"",$L$37-1),IF($R$17="Distrato",$E253,0)),MIN(V$38,$D$19),$P$20))-SUM($P253:U253)</f>
        <v>#VALUE!</v>
      </c>
      <c r="W253" s="446" t="e">
        <f>IF(OR($B253="",MIN(W$38,$D$19)&lt;MAX($P$34*($B253+IF($R$17="Distrato",$I$38-1,0)),IF(AND($L$37=0,$P$34=0),"",$L$37-1),IF($R$17="Distrato",$E253,0))),0,YEARFRAC(MAX($P$34*($B253+IF($R$17="Distrato",$I$38-1,0)),IF(AND($L$37=0,$P$34=0),"",$L$37-1),IF($R$17="Distrato",$E253,0)),MIN(W$38,$D$19),$P$20))-SUM($P253:V253)</f>
        <v>#VALUE!</v>
      </c>
      <c r="X253" s="446" t="e">
        <f>IF(OR($B253="",MIN(X$38,$D$19)&lt;MAX($P$34*($B253+IF($R$17="Distrato",$I$38-1,0)),IF(AND($L$37=0,$P$34=0),"",$L$37-1),IF($R$17="Distrato",$E253,0))),0,YEARFRAC(MAX($P$34*($B253+IF($R$17="Distrato",$I$38-1,0)),IF(AND($L$37=0,$P$34=0),"",$L$37-1),IF($R$17="Distrato",$E253,0)),MIN(X$38,$D$19),$P$20))-SUM($P253:W253)</f>
        <v>#VALUE!</v>
      </c>
      <c r="Y253" s="446" t="e">
        <f>IF(OR($B253="",MIN(Y$38,$D$19)&lt;MAX($P$34*($B253+IF($R$17="Distrato",$I$38-1,0)),IF(AND($L$37=0,$P$34=0),"",$L$37-1),IF($R$17="Distrato",$E253,0))),0,YEARFRAC(MAX($P$34*($B253+IF($R$17="Distrato",$I$38-1,0)),IF(AND($L$37=0,$P$34=0),"",$L$37-1),IF($R$17="Distrato",$E253,0)),MIN(Y$38,$D$19),$P$20))-SUM($P253:X253)</f>
        <v>#VALUE!</v>
      </c>
      <c r="Z253" s="446" t="e">
        <f>IF(OR($B253="",MIN(Z$38,$D$19)&lt;MAX($P$34*($B253+IF($R$17="Distrato",$I$38-1,0)),IF(AND($L$37=0,$P$34=0),"",$L$37-1),IF($R$17="Distrato",$E253,0))),0,YEARFRAC(MAX($P$34*($B253+IF($R$17="Distrato",$I$38-1,0)),IF(AND($L$37=0,$P$34=0),"",$L$37-1),IF($R$17="Distrato",$E253,0)),MIN(Z$38,$D$19),$P$20))-SUM($P253:Y253)</f>
        <v>#VALUE!</v>
      </c>
      <c r="AA253" s="446" t="e">
        <f>IF(OR($B253="",MIN(AA$38,$D$19)&lt;MAX($P$34*($B253+IF($R$17="Distrato",$I$38-1,0)),IF(AND($L$37=0,$P$34=0),"",$L$37-1),IF($R$17="Distrato",$E253,0))),0,YEARFRAC(MAX($P$34*($B253+IF($R$17="Distrato",$I$38-1,0)),IF(AND($L$37=0,$P$34=0),"",$L$37-1),IF($R$17="Distrato",$E253,0)),MIN(AA$38,$D$19),$P$20))-SUM($P253:Z253)</f>
        <v>#VALUE!</v>
      </c>
      <c r="AB253" s="446" t="e">
        <f>IF(OR($B253="",MIN(AB$38,$D$19)&lt;MAX($P$34*($B253+IF($R$17="Distrato",$I$38-1,0)),IF(AND($L$37=0,$P$34=0),"",$L$37-1),IF($R$17="Distrato",$E253,0))),0,YEARFRAC(MAX($P$34*($B253+IF($R$17="Distrato",$I$38-1,0)),IF(AND($L$37=0,$P$34=0),"",$L$37-1),IF($R$17="Distrato",$E253,0)),MIN(AB$38,$D$19),$P$20))-SUM($P253:AA253)</f>
        <v>#VALUE!</v>
      </c>
      <c r="AC253" s="446" t="e">
        <f>IF(OR($B253="",MIN(AC$38,$D$19)&lt;MAX($P$34*($B253+IF($R$17="Distrato",$I$38-1,0)),IF(AND($L$37=0,$P$34=0),"",$L$37-1),IF($R$17="Distrato",$E253,0))),0,YEARFRAC(MAX($P$34*($B253+IF($R$17="Distrato",$I$38-1,0)),IF(AND($L$37=0,$P$34=0),"",$L$37-1),IF($R$17="Distrato",$E253,0)),MIN(AC$38,$D$19),$P$20))-SUM($P253:AB253)</f>
        <v>#VALUE!</v>
      </c>
      <c r="AD253" s="446" t="e">
        <f>IF(OR($B253="",MIN(AD$38,$D$19)&lt;MAX($P$34*($B253+IF($R$17="Distrato",$I$38-1,0)),IF(AND($L$37=0,$P$34=0),"",$L$37-1),IF($R$17="Distrato",$E253,0))),0,YEARFRAC(MAX($P$34*($B253+IF($R$17="Distrato",$I$38-1,0)),IF(AND($L$37=0,$P$34=0),"",$L$37-1),IF($R$17="Distrato",$E253,0)),MIN(AD$38,$D$19),$P$20))-SUM($P253:AC253)</f>
        <v>#VALUE!</v>
      </c>
      <c r="AE253" s="446" t="e">
        <f>IF(OR($B253="",MIN(AE$38,$D$19)&lt;MAX($P$34*($B253+IF($R$17="Distrato",$I$38-1,0)),IF(AND($L$37=0,$P$34=0),"",$L$37-1),IF($R$17="Distrato",$E253,0))),0,YEARFRAC(MAX($P$34*($B253+IF($R$17="Distrato",$I$38-1,0)),IF(AND($L$37=0,$P$34=0),"",$L$37-1),IF($R$17="Distrato",$E253,0)),MIN(AE$38,$D$19),$P$20))-SUM($P253:AD253)</f>
        <v>#VALUE!</v>
      </c>
      <c r="AF253" s="446" t="e">
        <f>IF(OR($B253="",MIN(AF$38,$D$19)&lt;MAX($P$34*($B253+IF($R$17="Distrato",$I$38-1,0)),IF(AND($L$37=0,$P$34=0),"",$L$37-1),IF($R$17="Distrato",$E253,0))),0,YEARFRAC(MAX($P$34*($B253+IF($R$17="Distrato",$I$38-1,0)),IF(AND($L$37=0,$P$34=0),"",$L$37-1),IF($R$17="Distrato",$E253,0)),MIN(AF$38,$D$19),$P$20))-SUM($P253:AE253)</f>
        <v>#VALUE!</v>
      </c>
      <c r="AG253" s="446" t="e">
        <f>IF(OR($B253="",MIN(AG$38,$D$19)&lt;MAX($P$34*($B253+IF($R$17="Distrato",$I$38-1,0)),IF(AND($L$37=0,$P$34=0),"",$L$37-1),IF($R$17="Distrato",$E253,0))),0,YEARFRAC(MAX($P$34*($B253+IF($R$17="Distrato",$I$38-1,0)),IF(AND($L$37=0,$P$34=0),"",$L$37-1),IF($R$17="Distrato",$E253,0)),MIN(AG$38,$D$19),$P$20))-SUM($P253:AF253)</f>
        <v>#VALUE!</v>
      </c>
      <c r="AH253" s="446" t="e">
        <f>IF(OR($B253="",MIN(AH$38,$D$19)&lt;MAX($P$34*($B253+IF($R$17="Distrato",$I$38-1,0)),IF(AND($L$37=0,$P$34=0),"",$L$37-1),IF($R$17="Distrato",$E253,0))),0,YEARFRAC(MAX($P$34*($B253+IF($R$17="Distrato",$I$38-1,0)),IF(AND($L$37=0,$P$34=0),"",$L$37-1),IF($R$17="Distrato",$E253,0)),MIN(AH$38,$D$19),$P$20))-SUM($P253:AG253)</f>
        <v>#VALUE!</v>
      </c>
      <c r="AI253" s="446" t="e">
        <f>IF(OR($B253="",MIN(AI$38,$D$19)&lt;MAX($P$34*($B253+IF($R$17="Distrato",$I$38-1,0)),IF(AND($L$37=0,$P$34=0),"",$L$37-1),IF($R$17="Distrato",$E253,0))),0,YEARFRAC(MAX($P$34*($B253+IF($R$17="Distrato",$I$38-1,0)),IF(AND($L$37=0,$P$34=0),"",$L$37-1),IF($R$17="Distrato",$E253,0)),MIN(AI$38,$D$19),$P$20))-SUM($P253:AH253)</f>
        <v>#VALUE!</v>
      </c>
      <c r="AJ253" s="446" t="e">
        <f>IF(OR($B253="",MIN(AJ$38,$D$19)&lt;MAX($P$34*($B253+IF($R$17="Distrato",$I$38-1,0)),IF(AND($L$37=0,$P$34=0),"",$L$37-1),IF($R$17="Distrato",$E253,0))),0,YEARFRAC(MAX($P$34*($B253+IF($R$17="Distrato",$I$38-1,0)),IF(AND($L$37=0,$P$34=0),"",$L$37-1),IF($R$17="Distrato",$E253,0)),MIN(AJ$38,$D$19),$P$20))-SUM($P253:AI253)</f>
        <v>#VALUE!</v>
      </c>
      <c r="AK253" s="446" t="e">
        <f>IF(OR($B253="",MIN(AK$38,$D$19)&lt;MAX($P$34*($B253+IF($R$17="Distrato",$I$38-1,0)),IF(AND($L$37=0,$P$34=0),"",$L$37-1),IF($R$17="Distrato",$E253,0))),0,YEARFRAC(MAX($P$34*($B253+IF($R$17="Distrato",$I$38-1,0)),IF(AND($L$37=0,$P$34=0),"",$L$37-1),IF($R$17="Distrato",$E253,0)),MIN(AK$38,$D$19),$P$20))-SUM($P253:AJ253)</f>
        <v>#VALUE!</v>
      </c>
      <c r="AL253" s="446" t="e">
        <f>IF(OR($B253="",MIN(AL$38,$D$19)&lt;MAX($P$34*($B253+IF($R$17="Distrato",$I$38-1,0)),IF(AND($L$37=0,$P$34=0),"",$L$37-1),IF($R$17="Distrato",$E253,0))),0,YEARFRAC(MAX($P$34*($B253+IF($R$17="Distrato",$I$38-1,0)),IF(AND($L$37=0,$P$34=0),"",$L$37-1),IF($R$17="Distrato",$E253,0)),MIN(AL$38,$D$19),$P$20))-SUM($P253:AK253)</f>
        <v>#VALUE!</v>
      </c>
      <c r="AM253" s="446" t="e">
        <f>IF(OR($B253="",MIN(AM$38,$D$19)&lt;MAX($P$34*($B253+IF($R$17="Distrato",$I$38-1,0)),IF(AND($L$37=0,$P$34=0),"",$L$37-1),IF($R$17="Distrato",$E253,0))),0,YEARFRAC(MAX($P$34*($B253+IF($R$17="Distrato",$I$38-1,0)),IF(AND($L$37=0,$P$34=0),"",$L$37-1),IF($R$17="Distrato",$E253,0)),MIN(AM$38,$D$19),$P$20))-SUM($P253:AL253)</f>
        <v>#VALUE!</v>
      </c>
      <c r="AN253" s="446" t="e">
        <f>IF(OR($B253="",MIN(AN$38,$D$19)&lt;MAX($P$34*($B253+IF($R$17="Distrato",$I$38-1,0)),IF(AND($L$37=0,$P$34=0),"",$L$37-1),IF($R$17="Distrato",$E253,0))),0,YEARFRAC(MAX($P$34*($B253+IF($R$17="Distrato",$I$38-1,0)),IF(AND($L$37=0,$P$34=0),"",$L$37-1),IF($R$17="Distrato",$E253,0)),MIN(AN$38,$D$19),$P$20))-SUM($P253:AM253)</f>
        <v>#VALUE!</v>
      </c>
      <c r="AO253" s="446" t="e">
        <f>IF(OR($B253="",MIN(AO$38,$D$19)&lt;MAX($P$34*($B253+IF($R$17="Distrato",$I$38-1,0)),IF(AND($L$37=0,$P$34=0),"",$L$37-1),IF($R$17="Distrato",$E253,0))),0,YEARFRAC(MAX($P$34*($B253+IF($R$17="Distrato",$I$38-1,0)),IF(AND($L$37=0,$P$34=0),"",$L$37-1),IF($R$17="Distrato",$E253,0)),MIN(AO$38,$D$19),$P$20))-SUM($P253:AN253)</f>
        <v>#VALUE!</v>
      </c>
      <c r="AP253" s="446" t="e">
        <f>IF(OR($B253="",MIN(AP$38,$D$19)&lt;MAX($P$34*($B253+IF($R$17="Distrato",$I$38-1,0)),IF(AND($L$37=0,$P$34=0),"",$L$37-1),IF($R$17="Distrato",$E253,0))),0,YEARFRAC(MAX($P$34*($B253+IF($R$17="Distrato",$I$38-1,0)),IF(AND($L$37=0,$P$34=0),"",$L$37-1),IF($R$17="Distrato",$E253,0)),MIN(AP$38,$D$19),$P$20))-SUM($P253:AO253)</f>
        <v>#VALUE!</v>
      </c>
      <c r="AQ253" s="446" t="e">
        <f>IF(OR($B253="",MIN(AQ$38,$D$19)&lt;MAX($P$34*($B253+IF($R$17="Distrato",$I$38-1,0)),IF(AND($L$37=0,$P$34=0),"",$L$37-1),IF($R$17="Distrato",$E253,0))),0,YEARFRAC(MAX($P$34*($B253+IF($R$17="Distrato",$I$38-1,0)),IF(AND($L$37=0,$P$34=0),"",$L$37-1),IF($R$17="Distrato",$E253,0)),MIN(AQ$38,$D$19),$P$20))-SUM($P253:AP253)</f>
        <v>#VALUE!</v>
      </c>
      <c r="AR253" s="446" t="e">
        <f>IF(OR($B253="",MIN(AR$38,$D$19)&lt;MAX($P$34*($B253+IF($R$17="Distrato",$I$38-1,0)),IF(AND($L$37=0,$P$34=0),"",$L$37-1),IF($R$17="Distrato",$E253,0))),0,YEARFRAC(MAX($P$34*($B253+IF($R$17="Distrato",$I$38-1,0)),IF(AND($L$37=0,$P$34=0),"",$L$37-1),IF($R$17="Distrato",$E253,0)),MIN(AR$38,$D$19),$P$20))-SUM($P253:AQ253)</f>
        <v>#VALUE!</v>
      </c>
      <c r="AS253" s="446" t="e">
        <f>IF(OR($B253="",MIN(AS$38,$D$19)&lt;MAX($P$34*($B253+IF($R$17="Distrato",$I$38-1,0)),IF(AND($L$37=0,$P$34=0),"",$L$37-1),IF($R$17="Distrato",$E253,0))),0,YEARFRAC(MAX($P$34*($B253+IF($R$17="Distrato",$I$38-1,0)),IF(AND($L$37=0,$P$34=0),"",$L$37-1),IF($R$17="Distrato",$E253,0)),MIN(AS$38,$D$19),$P$20))-SUM($P253:AR253)</f>
        <v>#VALUE!</v>
      </c>
      <c r="AT253" s="446" t="e">
        <f>IF(OR($B253="",MIN(AT$38,$D$19)&lt;MAX($P$34*($B253+IF($R$17="Distrato",$I$38-1,0)),IF(AND($L$37=0,$P$34=0),"",$L$37-1),IF($R$17="Distrato",$E253,0))),0,YEARFRAC(MAX($P$34*($B253+IF($R$17="Distrato",$I$38-1,0)),IF(AND($L$37=0,$P$34=0),"",$L$37-1),IF($R$17="Distrato",$E253,0)),MIN(AT$38,$D$19),$P$20))-SUM($P253:AS253)</f>
        <v>#VALUE!</v>
      </c>
      <c r="AU253" s="446" t="e">
        <f>IF(OR($B253="",MIN(AU$38,$D$19)&lt;MAX($P$34*($B253+IF($R$17="Distrato",$I$38-1,0)),IF(AND($L$37=0,$P$34=0),"",$L$37-1),IF($R$17="Distrato",$E253,0))),0,YEARFRAC(MAX($P$34*($B253+IF($R$17="Distrato",$I$38-1,0)),IF(AND($L$37=0,$P$34=0),"",$L$37-1),IF($R$17="Distrato",$E253,0)),MIN(AU$38,$D$19),$P$20))-SUM($P253:AT253)</f>
        <v>#VALUE!</v>
      </c>
      <c r="AV253" s="446" t="e">
        <f>IF(OR($B253="",MIN(AV$38,$D$19)&lt;MAX($P$34*($B253+IF($R$17="Distrato",$I$38-1,0)),IF(AND($L$37=0,$P$34=0),"",$L$37-1),IF($R$17="Distrato",$E253,0))),0,YEARFRAC(MAX($P$34*($B253+IF($R$17="Distrato",$I$38-1,0)),IF(AND($L$37=0,$P$34=0),"",$L$37-1),IF($R$17="Distrato",$E253,0)),MIN(AV$38,$D$19),$P$20))-SUM($P253:AU253)</f>
        <v>#VALUE!</v>
      </c>
      <c r="AW253" s="446" t="e">
        <f>IF(OR($B253="",MIN(AW$38,$D$19)&lt;MAX($P$34*($B253+IF($R$17="Distrato",$I$38-1,0)),IF(AND($L$37=0,$P$34=0),"",$L$37-1),IF($R$17="Distrato",$E253,0))),0,YEARFRAC(MAX($P$34*($B253+IF($R$17="Distrato",$I$38-1,0)),IF(AND($L$37=0,$P$34=0),"",$L$37-1),IF($R$17="Distrato",$E253,0)),MIN(AW$38,$D$19),$P$20))-SUM($P253:AV253)</f>
        <v>#VALUE!</v>
      </c>
      <c r="AX253" s="446" t="e">
        <f>IF(OR($B253="",MIN(AX$38,$D$19)&lt;MAX($P$34*($B253+IF($R$17="Distrato",$I$38-1,0)),IF(AND($L$37=0,$P$34=0),"",$L$37-1),IF($R$17="Distrato",$E253,0))),0,YEARFRAC(MAX($P$34*($B253+IF($R$17="Distrato",$I$38-1,0)),IF(AND($L$37=0,$P$34=0),"",$L$37-1),IF($R$17="Distrato",$E253,0)),MIN(AX$38,$D$19),$P$20))-SUM($P253:AW253)</f>
        <v>#VALUE!</v>
      </c>
      <c r="AY253" s="446" t="e">
        <f>IF(OR($B253="",MIN(AY$38,$D$19)&lt;MAX($P$34*($B253+IF($R$17="Distrato",$I$38-1,0)),IF(AND($L$37=0,$P$34=0),"",$L$37-1),IF($R$17="Distrato",$E253,0))),0,YEARFRAC(MAX($P$34*($B253+IF($R$17="Distrato",$I$38-1,0)),IF(AND($L$37=0,$P$34=0),"",$L$37-1),IF($R$17="Distrato",$E253,0)),MIN(AY$38,$D$19),$P$20))-SUM($P253:AX253)</f>
        <v>#VALUE!</v>
      </c>
      <c r="AZ253" s="446" t="e">
        <f>IF(OR($B253="",MIN(AZ$38,$D$19)&lt;MAX($P$34*($B253+IF($R$17="Distrato",$I$38-1,0)),IF(AND($L$37=0,$P$34=0),"",$L$37-1),IF($R$17="Distrato",$E253,0))),0,YEARFRAC(MAX($P$34*($B253+IF($R$17="Distrato",$I$38-1,0)),IF(AND($L$37=0,$P$34=0),"",$L$37-1),IF($R$17="Distrato",$E253,0)),MIN(AZ$38,$D$19),$P$20))-SUM($P253:AY253)</f>
        <v>#VALUE!</v>
      </c>
      <c r="BA253" s="446" t="e">
        <f>IF(OR($B253="",MIN(BA$38,$D$19)&lt;MAX($P$34*($B253+IF($R$17="Distrato",$I$38-1,0)),IF(AND($L$37=0,$P$34=0),"",$L$37-1),IF($R$17="Distrato",$E253,0))),0,YEARFRAC(MAX($P$34*($B253+IF($R$17="Distrato",$I$38-1,0)),IF(AND($L$37=0,$P$34=0),"",$L$37-1),IF($R$17="Distrato",$E253,0)),MIN(BA$38,$D$19),$P$20))-SUM($P253:AZ253)</f>
        <v>#VALUE!</v>
      </c>
      <c r="BB253" s="447"/>
      <c r="BF253" s="446">
        <f t="shared" si="43"/>
        <v>0</v>
      </c>
      <c r="BG253" s="446">
        <f>IF($E253=0,0,IF(MIN(BG$38,$E253)&lt;MAX($P$34*($B253+$I$38-1),IF(AND($L$37=0,$P$34=0),"",$L$37-1)),0,YEARFRAC(MAX($P$34*($B253+$I$38-1),IF(AND($L$37=0,$P$34=0),"",$L$37-1)),MIN(BG$38,$E253),$P$20))-SUM($BF253:BF253))</f>
        <v>0</v>
      </c>
      <c r="BH253" s="446">
        <f>IF($E253=0,0,IF(MIN(BH$38,$E253)&lt;MAX($P$34*($B253+$I$38-1),IF(AND($L$37=0,$P$34=0),"",$L$37-1)),0,YEARFRAC(MAX($P$34*($B253+$I$38-1),IF(AND($L$37=0,$P$34=0),"",$L$37-1)),MIN(BH$38,$E253),$P$20))-SUM($BF253:BG253))</f>
        <v>0</v>
      </c>
      <c r="BI253" s="446">
        <f>IF($E253=0,0,IF(MIN(BI$38,$E253)&lt;MAX($P$34*($B253+$I$38-1),IF(AND($L$37=0,$P$34=0),"",$L$37-1)),0,YEARFRAC(MAX($P$34*($B253+$I$38-1),IF(AND($L$37=0,$P$34=0),"",$L$37-1)),MIN(BI$38,$E253),$P$20))-SUM($BF253:BH253))</f>
        <v>0</v>
      </c>
      <c r="BJ253" s="446">
        <f>IF($E253=0,0,IF(MIN(BJ$38,$E253)&lt;MAX($P$34*($B253+$I$38-1),IF(AND($L$37=0,$P$34=0),"",$L$37-1)),0,YEARFRAC(MAX($P$34*($B253+$I$38-1),IF(AND($L$37=0,$P$34=0),"",$L$37-1)),MIN(BJ$38,$E253),$P$20))-SUM($BF253:BI253))</f>
        <v>0</v>
      </c>
      <c r="BK253" s="446">
        <f>IF($E253=0,0,IF(MIN(BK$38,$E253)&lt;MAX($P$34*($B253+$I$38-1),IF(AND($L$37=0,$P$34=0),"",$L$37-1)),0,YEARFRAC(MAX($P$34*($B253+$I$38-1),IF(AND($L$37=0,$P$34=0),"",$L$37-1)),MIN(BK$38,$E253),$P$20))-SUM($BF253:BJ253))</f>
        <v>0</v>
      </c>
      <c r="BL253" s="446">
        <f>IF($E253=0,0,IF(MIN(BL$38,$E253)&lt;MAX($P$34*($B253+$I$38-1),IF(AND($L$37=0,$P$34=0),"",$L$37-1)),0,YEARFRAC(MAX($P$34*($B253+$I$38-1),IF(AND($L$37=0,$P$34=0),"",$L$37-1)),MIN(BL$38,$E253),$P$20))-SUM($BF253:BK253))</f>
        <v>0</v>
      </c>
      <c r="BM253" s="446">
        <f>IF($E253=0,0,IF(MIN(BM$38,$E253)&lt;MAX($P$34*($B253+$I$38-1),IF(AND($L$37=0,$P$34=0),"",$L$37-1)),0,YEARFRAC(MAX($P$34*($B253+$I$38-1),IF(AND($L$37=0,$P$34=0),"",$L$37-1)),MIN(BM$38,$E253),$P$20))-SUM($BF253:BL253))</f>
        <v>0</v>
      </c>
      <c r="BN253" s="446">
        <f>IF($E253=0,0,IF(MIN(BN$38,$E253)&lt;MAX($P$34*($B253+$I$38-1),IF(AND($L$37=0,$P$34=0),"",$L$37-1)),0,YEARFRAC(MAX($P$34*($B253+$I$38-1),IF(AND($L$37=0,$P$34=0),"",$L$37-1)),MIN(BN$38,$E253),$P$20))-SUM($BF253:BM253))</f>
        <v>0</v>
      </c>
      <c r="BO253" s="446">
        <f>IF($E253=0,0,IF(MIN(BO$38,$E253)&lt;MAX($P$34*($B253+$I$38-1),IF(AND($L$37=0,$P$34=0),"",$L$37-1)),0,YEARFRAC(MAX($P$34*($B253+$I$38-1),IF(AND($L$37=0,$P$34=0),"",$L$37-1)),MIN(BO$38,$E253),$P$20))-SUM($BF253:BN253))</f>
        <v>0</v>
      </c>
      <c r="BP253" s="446">
        <f>IF($E253=0,0,IF(MIN(BP$38,$E253)&lt;MAX($P$34*($B253+$I$38-1),IF(AND($L$37=0,$P$34=0),"",$L$37-1)),0,YEARFRAC(MAX($P$34*($B253+$I$38-1),IF(AND($L$37=0,$P$34=0),"",$L$37-1)),MIN(BP$38,$E253),$P$20))-SUM($BF253:BO253))</f>
        <v>0</v>
      </c>
      <c r="BQ253" s="446">
        <f>IF($E253=0,0,IF(MIN(BQ$38,$E253)&lt;MAX($P$34*($B253+$I$38-1),IF(AND($L$37=0,$P$34=0),"",$L$37-1)),0,YEARFRAC(MAX($P$34*($B253+$I$38-1),IF(AND($L$37=0,$P$34=0),"",$L$37-1)),MIN(BQ$38,$E253),$P$20))-SUM($BF253:BP253))</f>
        <v>0</v>
      </c>
      <c r="BR253" s="446">
        <f>IF($E253=0,0,IF(MIN(BR$38,$E253)&lt;MAX($P$34*($B253+$I$38-1),IF(AND($L$37=0,$P$34=0),"",$L$37-1)),0,YEARFRAC(MAX($P$34*($B253+$I$38-1),IF(AND($L$37=0,$P$34=0),"",$L$37-1)),MIN(BR$38,$E253),$P$20))-SUM($BF253:BQ253))</f>
        <v>0</v>
      </c>
      <c r="BS253" s="446">
        <f>IF($E253=0,0,IF(MIN(BS$38,$E253)&lt;MAX($P$34*($B253+$I$38-1),IF(AND($L$37=0,$P$34=0),"",$L$37-1)),0,YEARFRAC(MAX($P$34*($B253+$I$38-1),IF(AND($L$37=0,$P$34=0),"",$L$37-1)),MIN(BS$38,$E253),$P$20))-SUM($BF253:BR253))</f>
        <v>0</v>
      </c>
      <c r="BT253" s="446">
        <f>IF($E253=0,0,IF(MIN(BT$38,$E253)&lt;MAX($P$34*($B253+$I$38-1),IF(AND($L$37=0,$P$34=0),"",$L$37-1)),0,YEARFRAC(MAX($P$34*($B253+$I$38-1),IF(AND($L$37=0,$P$34=0),"",$L$37-1)),MIN(BT$38,$E253),$P$20))-SUM($BF253:BS253))</f>
        <v>0</v>
      </c>
      <c r="BU253" s="446">
        <f>IF($E253=0,0,IF(MIN(BU$38,$E253)&lt;MAX($P$34*($B253+$I$38-1),IF(AND($L$37=0,$P$34=0),"",$L$37-1)),0,YEARFRAC(MAX($P$34*($B253+$I$38-1),IF(AND($L$37=0,$P$34=0),"",$L$37-1)),MIN(BU$38,$E253),$P$20))-SUM($BF253:BT253))</f>
        <v>0</v>
      </c>
      <c r="BV253" s="446">
        <f>IF($E253=0,0,IF(MIN(BV$38,$E253)&lt;MAX($P$34*($B253+$I$38-1),IF(AND($L$37=0,$P$34=0),"",$L$37-1)),0,YEARFRAC(MAX($P$34*($B253+$I$38-1),IF(AND($L$37=0,$P$34=0),"",$L$37-1)),MIN(BV$38,$E253),$P$20))-SUM($BF253:BU253))</f>
        <v>0</v>
      </c>
      <c r="BW253" s="446">
        <f>IF($E253=0,0,IF(MIN(BW$38,$E253)&lt;MAX($P$34*($B253+$I$38-1),IF(AND($L$37=0,$P$34=0),"",$L$37-1)),0,YEARFRAC(MAX($P$34*($B253+$I$38-1),IF(AND($L$37=0,$P$34=0),"",$L$37-1)),MIN(BW$38,$E253),$P$20))-SUM($BF253:BV253))</f>
        <v>0</v>
      </c>
      <c r="BX253" s="446">
        <f>IF($E253=0,0,IF(MIN(BX$38,$E253)&lt;MAX($P$34*($B253+$I$38-1),IF(AND($L$37=0,$P$34=0),"",$L$37-1)),0,YEARFRAC(MAX($P$34*($B253+$I$38-1),IF(AND($L$37=0,$P$34=0),"",$L$37-1)),MIN(BX$38,$E253),$P$20))-SUM($BF253:BW253))</f>
        <v>0</v>
      </c>
      <c r="BY253" s="446">
        <f>IF($E253=0,0,IF(MIN(BY$38,$E253)&lt;MAX($P$34*($B253+$I$38-1),IF(AND($L$37=0,$P$34=0),"",$L$37-1)),0,YEARFRAC(MAX($P$34*($B253+$I$38-1),IF(AND($L$37=0,$P$34=0),"",$L$37-1)),MIN(BY$38,$E253),$P$20))-SUM($BF253:BX253))</f>
        <v>0</v>
      </c>
      <c r="BZ253" s="446">
        <f>IF($E253=0,0,IF(MIN(BZ$38,$E253)&lt;MAX($P$34*($B253+$I$38-1),IF(AND($L$37=0,$P$34=0),"",$L$37-1)),0,YEARFRAC(MAX($P$34*($B253+$I$38-1),IF(AND($L$37=0,$P$34=0),"",$L$37-1)),MIN(BZ$38,$E253),$P$20))-SUM($BF253:BY253))</f>
        <v>0</v>
      </c>
      <c r="CA253" s="446">
        <f>IF($E253=0,0,IF(MIN(CA$38,$E253)&lt;MAX($P$34*($B253+$I$38-1),IF(AND($L$37=0,$P$34=0),"",$L$37-1)),0,YEARFRAC(MAX($P$34*($B253+$I$38-1),IF(AND($L$37=0,$P$34=0),"",$L$37-1)),MIN(CA$38,$E253),$P$20))-SUM($BF253:BZ253))</f>
        <v>0</v>
      </c>
      <c r="CB253" s="446">
        <f>IF($E253=0,0,IF(MIN(CB$38,$E253)&lt;MAX($P$34*($B253+$I$38-1),IF(AND($L$37=0,$P$34=0),"",$L$37-1)),0,YEARFRAC(MAX($P$34*($B253+$I$38-1),IF(AND($L$37=0,$P$34=0),"",$L$37-1)),MIN(CB$38,$E253),$P$20))-SUM($BF253:CA253))</f>
        <v>0</v>
      </c>
      <c r="CC253" s="446">
        <f>IF($E253=0,0,IF(MIN(CC$38,$E253)&lt;MAX($P$34*($B253+$I$38-1),IF(AND($L$37=0,$P$34=0),"",$L$37-1)),0,YEARFRAC(MAX($P$34*($B253+$I$38-1),IF(AND($L$37=0,$P$34=0),"",$L$37-1)),MIN(CC$38,$E253),$P$20))-SUM($BF253:CB253))</f>
        <v>0</v>
      </c>
      <c r="CD253" s="446">
        <f>IF($E253=0,0,IF(MIN(CD$38,$E253)&lt;MAX($P$34*($B253+$I$38-1),IF(AND($L$37=0,$P$34=0),"",$L$37-1)),0,YEARFRAC(MAX($P$34*($B253+$I$38-1),IF(AND($L$37=0,$P$34=0),"",$L$37-1)),MIN(CD$38,$E253),$P$20))-SUM($BF253:CC253))</f>
        <v>0</v>
      </c>
      <c r="CE253" s="446">
        <f>IF($E253=0,0,IF(MIN(CE$38,$E253)&lt;MAX($P$34*($B253+$I$38-1),IF(AND($L$37=0,$P$34=0),"",$L$37-1)),0,YEARFRAC(MAX($P$34*($B253+$I$38-1),IF(AND($L$37=0,$P$34=0),"",$L$37-1)),MIN(CE$38,$E253),$P$20))-SUM($BF253:CD253))</f>
        <v>0</v>
      </c>
      <c r="CF253" s="446">
        <f>IF($E253=0,0,IF(MIN(CF$38,$E253)&lt;MAX($P$34*($B253+$I$38-1),IF(AND($L$37=0,$P$34=0),"",$L$37-1)),0,YEARFRAC(MAX($P$34*($B253+$I$38-1),IF(AND($L$37=0,$P$34=0),"",$L$37-1)),MIN(CF$38,$E253),$P$20))-SUM($BF253:CE253))</f>
        <v>0</v>
      </c>
      <c r="CG253" s="446">
        <f>IF($E253=0,0,IF(MIN(CG$38,$E253)&lt;MAX($P$34*($B253+$I$38-1),IF(AND($L$37=0,$P$34=0),"",$L$37-1)),0,YEARFRAC(MAX($P$34*($B253+$I$38-1),IF(AND($L$37=0,$P$34=0),"",$L$37-1)),MIN(CG$38,$E253),$P$20))-SUM($BF253:CF253))</f>
        <v>0</v>
      </c>
      <c r="CH253" s="446">
        <f>IF($E253=0,0,IF(MIN(CH$38,$E253)&lt;MAX($P$34*($B253+$I$38-1),IF(AND($L$37=0,$P$34=0),"",$L$37-1)),0,YEARFRAC(MAX($P$34*($B253+$I$38-1),IF(AND($L$37=0,$P$34=0),"",$L$37-1)),MIN(CH$38,$E253),$P$20))-SUM($BF253:CG253))</f>
        <v>0</v>
      </c>
      <c r="CI253" s="446">
        <f>IF($E253=0,0,IF(MIN(CI$38,$E253)&lt;MAX($P$34*($B253+$I$38-1),IF(AND($L$37=0,$P$34=0),"",$L$37-1)),0,YEARFRAC(MAX($P$34*($B253+$I$38-1),IF(AND($L$37=0,$P$34=0),"",$L$37-1)),MIN(CI$38,$E253),$P$20))-SUM($BF253:CH253))</f>
        <v>0</v>
      </c>
      <c r="CJ253" s="446">
        <f>IF($E253=0,0,IF(MIN(CJ$38,$E253)&lt;MAX($P$34*($B253+$I$38-1),IF(AND($L$37=0,$P$34=0),"",$L$37-1)),0,YEARFRAC(MAX($P$34*($B253+$I$38-1),IF(AND($L$37=0,$P$34=0),"",$L$37-1)),MIN(CJ$38,$E253),$P$20))-SUM($BF253:CI253))</f>
        <v>0</v>
      </c>
      <c r="CK253" s="446">
        <f>IF($E253=0,0,IF(MIN(CK$38,$E253)&lt;MAX($P$34*($B253+$I$38-1),IF(AND($L$37=0,$P$34=0),"",$L$37-1)),0,YEARFRAC(MAX($P$34*($B253+$I$38-1),IF(AND($L$37=0,$P$34=0),"",$L$37-1)),MIN(CK$38,$E253),$P$20))-SUM($BF253:CJ253))</f>
        <v>0</v>
      </c>
      <c r="CL253" s="446">
        <f>IF($E253=0,0,IF(MIN(CL$38,$E253)&lt;MAX($P$34*($B253+$I$38-1),IF(AND($L$37=0,$P$34=0),"",$L$37-1)),0,YEARFRAC(MAX($P$34*($B253+$I$38-1),IF(AND($L$37=0,$P$34=0),"",$L$37-1)),MIN(CL$38,$E253),$P$20))-SUM($BF253:CK253))</f>
        <v>0</v>
      </c>
      <c r="CM253" s="446">
        <f>IF($E253=0,0,IF(MIN(CM$38,$E253)&lt;MAX($P$34*($B253+$I$38-1),IF(AND($L$37=0,$P$34=0),"",$L$37-1)),0,YEARFRAC(MAX($P$34*($B253+$I$38-1),IF(AND($L$37=0,$P$34=0),"",$L$37-1)),MIN(CM$38,$E253),$P$20))-SUM($BF253:CL253))</f>
        <v>0</v>
      </c>
      <c r="CN253" s="446">
        <f>IF($E253=0,0,IF(MIN(CN$38,$E253)&lt;MAX($P$34*($B253+$I$38-1),IF(AND($L$37=0,$P$34=0),"",$L$37-1)),0,YEARFRAC(MAX($P$34*($B253+$I$38-1),IF(AND($L$37=0,$P$34=0),"",$L$37-1)),MIN(CN$38,$E253),$P$20))-SUM($BF253:CM253))</f>
        <v>0</v>
      </c>
      <c r="CO253" s="446">
        <f>IF($E253=0,0,IF(MIN(CO$38,$E253)&lt;MAX($P$34*($B253+$I$38-1),IF(AND($L$37=0,$P$34=0),"",$L$37-1)),0,YEARFRAC(MAX($P$34*($B253+$I$38-1),IF(AND($L$37=0,$P$34=0),"",$L$37-1)),MIN(CO$38,$E253),$P$20))-SUM($BF253:CN253))</f>
        <v>0</v>
      </c>
      <c r="CP253" s="446">
        <f>IF($E253=0,0,IF(MIN(CP$38,$E253)&lt;MAX($P$34*($B253+$I$38-1),IF(AND($L$37=0,$P$34=0),"",$L$37-1)),0,YEARFRAC(MAX($P$34*($B253+$I$38-1),IF(AND($L$37=0,$P$34=0),"",$L$37-1)),MIN(CP$38,$E253),$P$20))-SUM($BF253:CO253))</f>
        <v>0</v>
      </c>
      <c r="CQ253" s="446">
        <f>IF($E253=0,0,IF(MIN(CQ$38,$E253)&lt;MAX($P$34*($B253+$I$38-1),IF(AND($L$37=0,$P$34=0),"",$L$37-1)),0,YEARFRAC(MAX($P$34*($B253+$I$38-1),IF(AND($L$37=0,$P$34=0),"",$L$37-1)),MIN(CQ$38,$E253),$P$20))-SUM($BF253:CP253))</f>
        <v>0</v>
      </c>
    </row>
    <row r="254" spans="1:95" s="446" customFormat="1" ht="11.25" hidden="1" customHeight="1" x14ac:dyDescent="0.2">
      <c r="A254" s="152"/>
      <c r="B254" s="153" t="str">
        <f t="shared" si="48"/>
        <v/>
      </c>
      <c r="C254" s="29" t="str">
        <f>IF(B254="","",IF($L$35="SELIC - TRIBUTOS",VLOOKUP(DATE(YEAR($D$19),MONTH($D$19)-1,1),ÍNDICES!$A:$DE,HLOOKUP($BL$25,ÍNDICES!$B$3:$T$4,2)+11)-VLOOKUP(B254,ÍNDICES!$A:$DE,HLOOKUP($BL$25,ÍNDICES!$B$3:$T$4,2)+11)+1%,IF(C$38=$W$26,$J$35,IF(ISERROR(IF(B254&gt;$D$19,1,VLOOKUP(DATE(YEAR(B254),MONTH(B254)+IF($C$35=$S$23,1,0),1),ÍNDICES!$A:$DE,$Z$35+1))),"",IF(B254&gt;$D$19,1,VLOOKUP(DATE(YEAR(B254),MONTH(B254)+IF($C$35=$S$23,1,0),1),ÍNDICES!$A:$DE,$Z$35+1))))))</f>
        <v/>
      </c>
      <c r="D254" s="154" t="str">
        <f>IF(ISERROR(IF(OR($D$38=$Y$27,$B254=""),"",VLOOKUP(B254,ÍNDICES!A:DE,AF$35+1))),"",IF(OR($D$38=$Y$27,$B254=""),"",VLOOKUP(B254,ÍNDICES!A:DE,AF$35+1)))</f>
        <v/>
      </c>
      <c r="E254" s="153"/>
      <c r="F254" s="29" t="str">
        <f>IF(E254="","",IF($L$35="SELIC - TRIBUTOS",VLOOKUP(DATE(YEAR($D$19),MONTH($D$19)-1,1),ÍNDICES!$A:$DE,HLOOKUP($BL$25,ÍNDICES!$B$3:$T$4,2)+11)-VLOOKUP(E254,ÍNDICES!$A:$DE,HLOOKUP($BL$25,ÍNDICES!$B$3:$T$4,2)+11)+1%,IF(F$38=$W$26,$J$35,IF(ISERROR(IF(E254&gt;$D$19,1,VLOOKUP(DATE(YEAR(E254),MONTH(E254)+IF($C$35=$S$23,1,0),1),ÍNDICES!$A:$DE,$Z$35+1))),"",IF(E254&gt;$D$19,1,VLOOKUP(DATE(YEAR(E254),MONTH(E254)+IF($C$35=$S$23,1,0),1),ÍNDICES!$A:$DE,$Z$35+1))))))</f>
        <v/>
      </c>
      <c r="G254" s="155"/>
      <c r="H254" s="156" t="str">
        <f t="shared" si="44"/>
        <v/>
      </c>
      <c r="I254" s="29" t="str">
        <f t="shared" si="38"/>
        <v/>
      </c>
      <c r="J254" s="5">
        <f t="shared" si="39"/>
        <v>0</v>
      </c>
      <c r="K254" s="20">
        <f t="shared" ca="1" si="40"/>
        <v>0</v>
      </c>
      <c r="L254" s="5">
        <f t="shared" ca="1" si="41"/>
        <v>0</v>
      </c>
      <c r="M254" s="64">
        <f t="shared" si="45"/>
        <v>0</v>
      </c>
      <c r="N254" s="61">
        <f t="shared" ca="1" si="46"/>
        <v>0</v>
      </c>
      <c r="O254" s="5">
        <f t="shared" ca="1" si="47"/>
        <v>0</v>
      </c>
      <c r="P254" s="446" t="e">
        <f t="shared" si="42"/>
        <v>#VALUE!</v>
      </c>
      <c r="Q254" s="446" t="e">
        <f>IF(OR($B254="",MIN(Q$38,$D$19)&lt;MAX($P$34*($B254+IF($R$17="Distrato",$I$38-1,0)),IF(AND($L$37=0,$P$34=0),"",$L$37-1),IF($R$17="Distrato",$E254,0))),0,YEARFRAC(MAX($P$34*($B254+IF($R$17="Distrato",$I$38-1,0)),IF(AND($L$37=0,$P$34=0),"",$L$37-1),IF($R$17="Distrato",$E254,0)),MIN(Q$38,$D$19),$P$20))-SUM($P254:P254)</f>
        <v>#VALUE!</v>
      </c>
      <c r="R254" s="446" t="e">
        <f>IF(OR($B254="",MIN(R$38,$D$19)&lt;MAX($P$34*($B254+IF($R$17="Distrato",$I$38-1,0)),IF(AND($L$37=0,$P$34=0),"",$L$37-1),IF($R$17="Distrato",$E254,0))),0,YEARFRAC(MAX($P$34*($B254+IF($R$17="Distrato",$I$38-1,0)),IF(AND($L$37=0,$P$34=0),"",$L$37-1),IF($R$17="Distrato",$E254,0)),MIN(R$38,$D$19),$P$20))-SUM($P254:Q254)</f>
        <v>#VALUE!</v>
      </c>
      <c r="S254" s="446" t="e">
        <f>IF(OR($B254="",MIN(S$38,$D$19)&lt;MAX($P$34*($B254+IF($R$17="Distrato",$I$38-1,0)),IF(AND($L$37=0,$P$34=0),"",$L$37-1),IF($R$17="Distrato",$E254,0))),0,YEARFRAC(MAX($P$34*($B254+IF($R$17="Distrato",$I$38-1,0)),IF(AND($L$37=0,$P$34=0),"",$L$37-1),IF($R$17="Distrato",$E254,0)),MIN(S$38,$D$19),$P$20))-SUM($P254:R254)</f>
        <v>#VALUE!</v>
      </c>
      <c r="T254" s="446" t="e">
        <f>IF(OR($B254="",MIN(T$38,$D$19)&lt;MAX($P$34*($B254+IF($R$17="Distrato",$I$38-1,0)),IF(AND($L$37=0,$P$34=0),"",$L$37-1),IF($R$17="Distrato",$E254,0))),0,YEARFRAC(MAX($P$34*($B254+IF($R$17="Distrato",$I$38-1,0)),IF(AND($L$37=0,$P$34=0),"",$L$37-1),IF($R$17="Distrato",$E254,0)),MIN(T$38,$D$19),$P$20))-SUM($P254:S254)</f>
        <v>#VALUE!</v>
      </c>
      <c r="U254" s="446" t="e">
        <f>IF(OR($B254="",MIN(U$38,$D$19)&lt;MAX($P$34*($B254+IF($R$17="Distrato",$I$38-1,0)),IF(AND($L$37=0,$P$34=0),"",$L$37-1),IF($R$17="Distrato",$E254,0))),0,YEARFRAC(MAX($P$34*($B254+IF($R$17="Distrato",$I$38-1,0)),IF(AND($L$37=0,$P$34=0),"",$L$37-1),IF($R$17="Distrato",$E254,0)),MIN(U$38,$D$19),$P$20))-SUM($P254:T254)</f>
        <v>#VALUE!</v>
      </c>
      <c r="V254" s="446" t="e">
        <f>IF(OR($B254="",MIN(V$38,$D$19)&lt;MAX($P$34*($B254+IF($R$17="Distrato",$I$38-1,0)),IF(AND($L$37=0,$P$34=0),"",$L$37-1),IF($R$17="Distrato",$E254,0))),0,YEARFRAC(MAX($P$34*($B254+IF($R$17="Distrato",$I$38-1,0)),IF(AND($L$37=0,$P$34=0),"",$L$37-1),IF($R$17="Distrato",$E254,0)),MIN(V$38,$D$19),$P$20))-SUM($P254:U254)</f>
        <v>#VALUE!</v>
      </c>
      <c r="W254" s="446" t="e">
        <f>IF(OR($B254="",MIN(W$38,$D$19)&lt;MAX($P$34*($B254+IF($R$17="Distrato",$I$38-1,0)),IF(AND($L$37=0,$P$34=0),"",$L$37-1),IF($R$17="Distrato",$E254,0))),0,YEARFRAC(MAX($P$34*($B254+IF($R$17="Distrato",$I$38-1,0)),IF(AND($L$37=0,$P$34=0),"",$L$37-1),IF($R$17="Distrato",$E254,0)),MIN(W$38,$D$19),$P$20))-SUM($P254:V254)</f>
        <v>#VALUE!</v>
      </c>
      <c r="X254" s="446" t="e">
        <f>IF(OR($B254="",MIN(X$38,$D$19)&lt;MAX($P$34*($B254+IF($R$17="Distrato",$I$38-1,0)),IF(AND($L$37=0,$P$34=0),"",$L$37-1),IF($R$17="Distrato",$E254,0))),0,YEARFRAC(MAX($P$34*($B254+IF($R$17="Distrato",$I$38-1,0)),IF(AND($L$37=0,$P$34=0),"",$L$37-1),IF($R$17="Distrato",$E254,0)),MIN(X$38,$D$19),$P$20))-SUM($P254:W254)</f>
        <v>#VALUE!</v>
      </c>
      <c r="Y254" s="446" t="e">
        <f>IF(OR($B254="",MIN(Y$38,$D$19)&lt;MAX($P$34*($B254+IF($R$17="Distrato",$I$38-1,0)),IF(AND($L$37=0,$P$34=0),"",$L$37-1),IF($R$17="Distrato",$E254,0))),0,YEARFRAC(MAX($P$34*($B254+IF($R$17="Distrato",$I$38-1,0)),IF(AND($L$37=0,$P$34=0),"",$L$37-1),IF($R$17="Distrato",$E254,0)),MIN(Y$38,$D$19),$P$20))-SUM($P254:X254)</f>
        <v>#VALUE!</v>
      </c>
      <c r="Z254" s="446" t="e">
        <f>IF(OR($B254="",MIN(Z$38,$D$19)&lt;MAX($P$34*($B254+IF($R$17="Distrato",$I$38-1,0)),IF(AND($L$37=0,$P$34=0),"",$L$37-1),IF($R$17="Distrato",$E254,0))),0,YEARFRAC(MAX($P$34*($B254+IF($R$17="Distrato",$I$38-1,0)),IF(AND($L$37=0,$P$34=0),"",$L$37-1),IF($R$17="Distrato",$E254,0)),MIN(Z$38,$D$19),$P$20))-SUM($P254:Y254)</f>
        <v>#VALUE!</v>
      </c>
      <c r="AA254" s="446" t="e">
        <f>IF(OR($B254="",MIN(AA$38,$D$19)&lt;MAX($P$34*($B254+IF($R$17="Distrato",$I$38-1,0)),IF(AND($L$37=0,$P$34=0),"",$L$37-1),IF($R$17="Distrato",$E254,0))),0,YEARFRAC(MAX($P$34*($B254+IF($R$17="Distrato",$I$38-1,0)),IF(AND($L$37=0,$P$34=0),"",$L$37-1),IF($R$17="Distrato",$E254,0)),MIN(AA$38,$D$19),$P$20))-SUM($P254:Z254)</f>
        <v>#VALUE!</v>
      </c>
      <c r="AB254" s="446" t="e">
        <f>IF(OR($B254="",MIN(AB$38,$D$19)&lt;MAX($P$34*($B254+IF($R$17="Distrato",$I$38-1,0)),IF(AND($L$37=0,$P$34=0),"",$L$37-1),IF($R$17="Distrato",$E254,0))),0,YEARFRAC(MAX($P$34*($B254+IF($R$17="Distrato",$I$38-1,0)),IF(AND($L$37=0,$P$34=0),"",$L$37-1),IF($R$17="Distrato",$E254,0)),MIN(AB$38,$D$19),$P$20))-SUM($P254:AA254)</f>
        <v>#VALUE!</v>
      </c>
      <c r="AC254" s="446" t="e">
        <f>IF(OR($B254="",MIN(AC$38,$D$19)&lt;MAX($P$34*($B254+IF($R$17="Distrato",$I$38-1,0)),IF(AND($L$37=0,$P$34=0),"",$L$37-1),IF($R$17="Distrato",$E254,0))),0,YEARFRAC(MAX($P$34*($B254+IF($R$17="Distrato",$I$38-1,0)),IF(AND($L$37=0,$P$34=0),"",$L$37-1),IF($R$17="Distrato",$E254,0)),MIN(AC$38,$D$19),$P$20))-SUM($P254:AB254)</f>
        <v>#VALUE!</v>
      </c>
      <c r="AD254" s="446" t="e">
        <f>IF(OR($B254="",MIN(AD$38,$D$19)&lt;MAX($P$34*($B254+IF($R$17="Distrato",$I$38-1,0)),IF(AND($L$37=0,$P$34=0),"",$L$37-1),IF($R$17="Distrato",$E254,0))),0,YEARFRAC(MAX($P$34*($B254+IF($R$17="Distrato",$I$38-1,0)),IF(AND($L$37=0,$P$34=0),"",$L$37-1),IF($R$17="Distrato",$E254,0)),MIN(AD$38,$D$19),$P$20))-SUM($P254:AC254)</f>
        <v>#VALUE!</v>
      </c>
      <c r="AE254" s="446" t="e">
        <f>IF(OR($B254="",MIN(AE$38,$D$19)&lt;MAX($P$34*($B254+IF($R$17="Distrato",$I$38-1,0)),IF(AND($L$37=0,$P$34=0),"",$L$37-1),IF($R$17="Distrato",$E254,0))),0,YEARFRAC(MAX($P$34*($B254+IF($R$17="Distrato",$I$38-1,0)),IF(AND($L$37=0,$P$34=0),"",$L$37-1),IF($R$17="Distrato",$E254,0)),MIN(AE$38,$D$19),$P$20))-SUM($P254:AD254)</f>
        <v>#VALUE!</v>
      </c>
      <c r="AF254" s="446" t="e">
        <f>IF(OR($B254="",MIN(AF$38,$D$19)&lt;MAX($P$34*($B254+IF($R$17="Distrato",$I$38-1,0)),IF(AND($L$37=0,$P$34=0),"",$L$37-1),IF($R$17="Distrato",$E254,0))),0,YEARFRAC(MAX($P$34*($B254+IF($R$17="Distrato",$I$38-1,0)),IF(AND($L$37=0,$P$34=0),"",$L$37-1),IF($R$17="Distrato",$E254,0)),MIN(AF$38,$D$19),$P$20))-SUM($P254:AE254)</f>
        <v>#VALUE!</v>
      </c>
      <c r="AG254" s="446" t="e">
        <f>IF(OR($B254="",MIN(AG$38,$D$19)&lt;MAX($P$34*($B254+IF($R$17="Distrato",$I$38-1,0)),IF(AND($L$37=0,$P$34=0),"",$L$37-1),IF($R$17="Distrato",$E254,0))),0,YEARFRAC(MAX($P$34*($B254+IF($R$17="Distrato",$I$38-1,0)),IF(AND($L$37=0,$P$34=0),"",$L$37-1),IF($R$17="Distrato",$E254,0)),MIN(AG$38,$D$19),$P$20))-SUM($P254:AF254)</f>
        <v>#VALUE!</v>
      </c>
      <c r="AH254" s="446" t="e">
        <f>IF(OR($B254="",MIN(AH$38,$D$19)&lt;MAX($P$34*($B254+IF($R$17="Distrato",$I$38-1,0)),IF(AND($L$37=0,$P$34=0),"",$L$37-1),IF($R$17="Distrato",$E254,0))),0,YEARFRAC(MAX($P$34*($B254+IF($R$17="Distrato",$I$38-1,0)),IF(AND($L$37=0,$P$34=0),"",$L$37-1),IF($R$17="Distrato",$E254,0)),MIN(AH$38,$D$19),$P$20))-SUM($P254:AG254)</f>
        <v>#VALUE!</v>
      </c>
      <c r="AI254" s="446" t="e">
        <f>IF(OR($B254="",MIN(AI$38,$D$19)&lt;MAX($P$34*($B254+IF($R$17="Distrato",$I$38-1,0)),IF(AND($L$37=0,$P$34=0),"",$L$37-1),IF($R$17="Distrato",$E254,0))),0,YEARFRAC(MAX($P$34*($B254+IF($R$17="Distrato",$I$38-1,0)),IF(AND($L$37=0,$P$34=0),"",$L$37-1),IF($R$17="Distrato",$E254,0)),MIN(AI$38,$D$19),$P$20))-SUM($P254:AH254)</f>
        <v>#VALUE!</v>
      </c>
      <c r="AJ254" s="446" t="e">
        <f>IF(OR($B254="",MIN(AJ$38,$D$19)&lt;MAX($P$34*($B254+IF($R$17="Distrato",$I$38-1,0)),IF(AND($L$37=0,$P$34=0),"",$L$37-1),IF($R$17="Distrato",$E254,0))),0,YEARFRAC(MAX($P$34*($B254+IF($R$17="Distrato",$I$38-1,0)),IF(AND($L$37=0,$P$34=0),"",$L$37-1),IF($R$17="Distrato",$E254,0)),MIN(AJ$38,$D$19),$P$20))-SUM($P254:AI254)</f>
        <v>#VALUE!</v>
      </c>
      <c r="AK254" s="446" t="e">
        <f>IF(OR($B254="",MIN(AK$38,$D$19)&lt;MAX($P$34*($B254+IF($R$17="Distrato",$I$38-1,0)),IF(AND($L$37=0,$P$34=0),"",$L$37-1),IF($R$17="Distrato",$E254,0))),0,YEARFRAC(MAX($P$34*($B254+IF($R$17="Distrato",$I$38-1,0)),IF(AND($L$37=0,$P$34=0),"",$L$37-1),IF($R$17="Distrato",$E254,0)),MIN(AK$38,$D$19),$P$20))-SUM($P254:AJ254)</f>
        <v>#VALUE!</v>
      </c>
      <c r="AL254" s="446" t="e">
        <f>IF(OR($B254="",MIN(AL$38,$D$19)&lt;MAX($P$34*($B254+IF($R$17="Distrato",$I$38-1,0)),IF(AND($L$37=0,$P$34=0),"",$L$37-1),IF($R$17="Distrato",$E254,0))),0,YEARFRAC(MAX($P$34*($B254+IF($R$17="Distrato",$I$38-1,0)),IF(AND($L$37=0,$P$34=0),"",$L$37-1),IF($R$17="Distrato",$E254,0)),MIN(AL$38,$D$19),$P$20))-SUM($P254:AK254)</f>
        <v>#VALUE!</v>
      </c>
      <c r="AM254" s="446" t="e">
        <f>IF(OR($B254="",MIN(AM$38,$D$19)&lt;MAX($P$34*($B254+IF($R$17="Distrato",$I$38-1,0)),IF(AND($L$37=0,$P$34=0),"",$L$37-1),IF($R$17="Distrato",$E254,0))),0,YEARFRAC(MAX($P$34*($B254+IF($R$17="Distrato",$I$38-1,0)),IF(AND($L$37=0,$P$34=0),"",$L$37-1),IF($R$17="Distrato",$E254,0)),MIN(AM$38,$D$19),$P$20))-SUM($P254:AL254)</f>
        <v>#VALUE!</v>
      </c>
      <c r="AN254" s="446" t="e">
        <f>IF(OR($B254="",MIN(AN$38,$D$19)&lt;MAX($P$34*($B254+IF($R$17="Distrato",$I$38-1,0)),IF(AND($L$37=0,$P$34=0),"",$L$37-1),IF($R$17="Distrato",$E254,0))),0,YEARFRAC(MAX($P$34*($B254+IF($R$17="Distrato",$I$38-1,0)),IF(AND($L$37=0,$P$34=0),"",$L$37-1),IF($R$17="Distrato",$E254,0)),MIN(AN$38,$D$19),$P$20))-SUM($P254:AM254)</f>
        <v>#VALUE!</v>
      </c>
      <c r="AO254" s="446" t="e">
        <f>IF(OR($B254="",MIN(AO$38,$D$19)&lt;MAX($P$34*($B254+IF($R$17="Distrato",$I$38-1,0)),IF(AND($L$37=0,$P$34=0),"",$L$37-1),IF($R$17="Distrato",$E254,0))),0,YEARFRAC(MAX($P$34*($B254+IF($R$17="Distrato",$I$38-1,0)),IF(AND($L$37=0,$P$34=0),"",$L$37-1),IF($R$17="Distrato",$E254,0)),MIN(AO$38,$D$19),$P$20))-SUM($P254:AN254)</f>
        <v>#VALUE!</v>
      </c>
      <c r="AP254" s="446" t="e">
        <f>IF(OR($B254="",MIN(AP$38,$D$19)&lt;MAX($P$34*($B254+IF($R$17="Distrato",$I$38-1,0)),IF(AND($L$37=0,$P$34=0),"",$L$37-1),IF($R$17="Distrato",$E254,0))),0,YEARFRAC(MAX($P$34*($B254+IF($R$17="Distrato",$I$38-1,0)),IF(AND($L$37=0,$P$34=0),"",$L$37-1),IF($R$17="Distrato",$E254,0)),MIN(AP$38,$D$19),$P$20))-SUM($P254:AO254)</f>
        <v>#VALUE!</v>
      </c>
      <c r="AQ254" s="446" t="e">
        <f>IF(OR($B254="",MIN(AQ$38,$D$19)&lt;MAX($P$34*($B254+IF($R$17="Distrato",$I$38-1,0)),IF(AND($L$37=0,$P$34=0),"",$L$37-1),IF($R$17="Distrato",$E254,0))),0,YEARFRAC(MAX($P$34*($B254+IF($R$17="Distrato",$I$38-1,0)),IF(AND($L$37=0,$P$34=0),"",$L$37-1),IF($R$17="Distrato",$E254,0)),MIN(AQ$38,$D$19),$P$20))-SUM($P254:AP254)</f>
        <v>#VALUE!</v>
      </c>
      <c r="AR254" s="446" t="e">
        <f>IF(OR($B254="",MIN(AR$38,$D$19)&lt;MAX($P$34*($B254+IF($R$17="Distrato",$I$38-1,0)),IF(AND($L$37=0,$P$34=0),"",$L$37-1),IF($R$17="Distrato",$E254,0))),0,YEARFRAC(MAX($P$34*($B254+IF($R$17="Distrato",$I$38-1,0)),IF(AND($L$37=0,$P$34=0),"",$L$37-1),IF($R$17="Distrato",$E254,0)),MIN(AR$38,$D$19),$P$20))-SUM($P254:AQ254)</f>
        <v>#VALUE!</v>
      </c>
      <c r="AS254" s="446" t="e">
        <f>IF(OR($B254="",MIN(AS$38,$D$19)&lt;MAX($P$34*($B254+IF($R$17="Distrato",$I$38-1,0)),IF(AND($L$37=0,$P$34=0),"",$L$37-1),IF($R$17="Distrato",$E254,0))),0,YEARFRAC(MAX($P$34*($B254+IF($R$17="Distrato",$I$38-1,0)),IF(AND($L$37=0,$P$34=0),"",$L$37-1),IF($R$17="Distrato",$E254,0)),MIN(AS$38,$D$19),$P$20))-SUM($P254:AR254)</f>
        <v>#VALUE!</v>
      </c>
      <c r="AT254" s="446" t="e">
        <f>IF(OR($B254="",MIN(AT$38,$D$19)&lt;MAX($P$34*($B254+IF($R$17="Distrato",$I$38-1,0)),IF(AND($L$37=0,$P$34=0),"",$L$37-1),IF($R$17="Distrato",$E254,0))),0,YEARFRAC(MAX($P$34*($B254+IF($R$17="Distrato",$I$38-1,0)),IF(AND($L$37=0,$P$34=0),"",$L$37-1),IF($R$17="Distrato",$E254,0)),MIN(AT$38,$D$19),$P$20))-SUM($P254:AS254)</f>
        <v>#VALUE!</v>
      </c>
      <c r="AU254" s="446" t="e">
        <f>IF(OR($B254="",MIN(AU$38,$D$19)&lt;MAX($P$34*($B254+IF($R$17="Distrato",$I$38-1,0)),IF(AND($L$37=0,$P$34=0),"",$L$37-1),IF($R$17="Distrato",$E254,0))),0,YEARFRAC(MAX($P$34*($B254+IF($R$17="Distrato",$I$38-1,0)),IF(AND($L$37=0,$P$34=0),"",$L$37-1),IF($R$17="Distrato",$E254,0)),MIN(AU$38,$D$19),$P$20))-SUM($P254:AT254)</f>
        <v>#VALUE!</v>
      </c>
      <c r="AV254" s="446" t="e">
        <f>IF(OR($B254="",MIN(AV$38,$D$19)&lt;MAX($P$34*($B254+IF($R$17="Distrato",$I$38-1,0)),IF(AND($L$37=0,$P$34=0),"",$L$37-1),IF($R$17="Distrato",$E254,0))),0,YEARFRAC(MAX($P$34*($B254+IF($R$17="Distrato",$I$38-1,0)),IF(AND($L$37=0,$P$34=0),"",$L$37-1),IF($R$17="Distrato",$E254,0)),MIN(AV$38,$D$19),$P$20))-SUM($P254:AU254)</f>
        <v>#VALUE!</v>
      </c>
      <c r="AW254" s="446" t="e">
        <f>IF(OR($B254="",MIN(AW$38,$D$19)&lt;MAX($P$34*($B254+IF($R$17="Distrato",$I$38-1,0)),IF(AND($L$37=0,$P$34=0),"",$L$37-1),IF($R$17="Distrato",$E254,0))),0,YEARFRAC(MAX($P$34*($B254+IF($R$17="Distrato",$I$38-1,0)),IF(AND($L$37=0,$P$34=0),"",$L$37-1),IF($R$17="Distrato",$E254,0)),MIN(AW$38,$D$19),$P$20))-SUM($P254:AV254)</f>
        <v>#VALUE!</v>
      </c>
      <c r="AX254" s="446" t="e">
        <f>IF(OR($B254="",MIN(AX$38,$D$19)&lt;MAX($P$34*($B254+IF($R$17="Distrato",$I$38-1,0)),IF(AND($L$37=0,$P$34=0),"",$L$37-1),IF($R$17="Distrato",$E254,0))),0,YEARFRAC(MAX($P$34*($B254+IF($R$17="Distrato",$I$38-1,0)),IF(AND($L$37=0,$P$34=0),"",$L$37-1),IF($R$17="Distrato",$E254,0)),MIN(AX$38,$D$19),$P$20))-SUM($P254:AW254)</f>
        <v>#VALUE!</v>
      </c>
      <c r="AY254" s="446" t="e">
        <f>IF(OR($B254="",MIN(AY$38,$D$19)&lt;MAX($P$34*($B254+IF($R$17="Distrato",$I$38-1,0)),IF(AND($L$37=0,$P$34=0),"",$L$37-1),IF($R$17="Distrato",$E254,0))),0,YEARFRAC(MAX($P$34*($B254+IF($R$17="Distrato",$I$38-1,0)),IF(AND($L$37=0,$P$34=0),"",$L$37-1),IF($R$17="Distrato",$E254,0)),MIN(AY$38,$D$19),$P$20))-SUM($P254:AX254)</f>
        <v>#VALUE!</v>
      </c>
      <c r="AZ254" s="446" t="e">
        <f>IF(OR($B254="",MIN(AZ$38,$D$19)&lt;MAX($P$34*($B254+IF($R$17="Distrato",$I$38-1,0)),IF(AND($L$37=0,$P$34=0),"",$L$37-1),IF($R$17="Distrato",$E254,0))),0,YEARFRAC(MAX($P$34*($B254+IF($R$17="Distrato",$I$38-1,0)),IF(AND($L$37=0,$P$34=0),"",$L$37-1),IF($R$17="Distrato",$E254,0)),MIN(AZ$38,$D$19),$P$20))-SUM($P254:AY254)</f>
        <v>#VALUE!</v>
      </c>
      <c r="BA254" s="446" t="e">
        <f>IF(OR($B254="",MIN(BA$38,$D$19)&lt;MAX($P$34*($B254+IF($R$17="Distrato",$I$38-1,0)),IF(AND($L$37=0,$P$34=0),"",$L$37-1),IF($R$17="Distrato",$E254,0))),0,YEARFRAC(MAX($P$34*($B254+IF($R$17="Distrato",$I$38-1,0)),IF(AND($L$37=0,$P$34=0),"",$L$37-1),IF($R$17="Distrato",$E254,0)),MIN(BA$38,$D$19),$P$20))-SUM($P254:AZ254)</f>
        <v>#VALUE!</v>
      </c>
      <c r="BB254" s="447"/>
      <c r="BF254" s="446">
        <f t="shared" si="43"/>
        <v>0</v>
      </c>
      <c r="BG254" s="446">
        <f>IF($E254=0,0,IF(MIN(BG$38,$E254)&lt;MAX($P$34*($B254+$I$38-1),IF(AND($L$37=0,$P$34=0),"",$L$37-1)),0,YEARFRAC(MAX($P$34*($B254+$I$38-1),IF(AND($L$37=0,$P$34=0),"",$L$37-1)),MIN(BG$38,$E254),$P$20))-SUM($BF254:BF254))</f>
        <v>0</v>
      </c>
      <c r="BH254" s="446">
        <f>IF($E254=0,0,IF(MIN(BH$38,$E254)&lt;MAX($P$34*($B254+$I$38-1),IF(AND($L$37=0,$P$34=0),"",$L$37-1)),0,YEARFRAC(MAX($P$34*($B254+$I$38-1),IF(AND($L$37=0,$P$34=0),"",$L$37-1)),MIN(BH$38,$E254),$P$20))-SUM($BF254:BG254))</f>
        <v>0</v>
      </c>
      <c r="BI254" s="446">
        <f>IF($E254=0,0,IF(MIN(BI$38,$E254)&lt;MAX($P$34*($B254+$I$38-1),IF(AND($L$37=0,$P$34=0),"",$L$37-1)),0,YEARFRAC(MAX($P$34*($B254+$I$38-1),IF(AND($L$37=0,$P$34=0),"",$L$37-1)),MIN(BI$38,$E254),$P$20))-SUM($BF254:BH254))</f>
        <v>0</v>
      </c>
      <c r="BJ254" s="446">
        <f>IF($E254=0,0,IF(MIN(BJ$38,$E254)&lt;MAX($P$34*($B254+$I$38-1),IF(AND($L$37=0,$P$34=0),"",$L$37-1)),0,YEARFRAC(MAX($P$34*($B254+$I$38-1),IF(AND($L$37=0,$P$34=0),"",$L$37-1)),MIN(BJ$38,$E254),$P$20))-SUM($BF254:BI254))</f>
        <v>0</v>
      </c>
      <c r="BK254" s="446">
        <f>IF($E254=0,0,IF(MIN(BK$38,$E254)&lt;MAX($P$34*($B254+$I$38-1),IF(AND($L$37=0,$P$34=0),"",$L$37-1)),0,YEARFRAC(MAX($P$34*($B254+$I$38-1),IF(AND($L$37=0,$P$34=0),"",$L$37-1)),MIN(BK$38,$E254),$P$20))-SUM($BF254:BJ254))</f>
        <v>0</v>
      </c>
      <c r="BL254" s="446">
        <f>IF($E254=0,0,IF(MIN(BL$38,$E254)&lt;MAX($P$34*($B254+$I$38-1),IF(AND($L$37=0,$P$34=0),"",$L$37-1)),0,YEARFRAC(MAX($P$34*($B254+$I$38-1),IF(AND($L$37=0,$P$34=0),"",$L$37-1)),MIN(BL$38,$E254),$P$20))-SUM($BF254:BK254))</f>
        <v>0</v>
      </c>
      <c r="BM254" s="446">
        <f>IF($E254=0,0,IF(MIN(BM$38,$E254)&lt;MAX($P$34*($B254+$I$38-1),IF(AND($L$37=0,$P$34=0),"",$L$37-1)),0,YEARFRAC(MAX($P$34*($B254+$I$38-1),IF(AND($L$37=0,$P$34=0),"",$L$37-1)),MIN(BM$38,$E254),$P$20))-SUM($BF254:BL254))</f>
        <v>0</v>
      </c>
      <c r="BN254" s="446">
        <f>IF($E254=0,0,IF(MIN(BN$38,$E254)&lt;MAX($P$34*($B254+$I$38-1),IF(AND($L$37=0,$P$34=0),"",$L$37-1)),0,YEARFRAC(MAX($P$34*($B254+$I$38-1),IF(AND($L$37=0,$P$34=0),"",$L$37-1)),MIN(BN$38,$E254),$P$20))-SUM($BF254:BM254))</f>
        <v>0</v>
      </c>
      <c r="BO254" s="446">
        <f>IF($E254=0,0,IF(MIN(BO$38,$E254)&lt;MAX($P$34*($B254+$I$38-1),IF(AND($L$37=0,$P$34=0),"",$L$37-1)),0,YEARFRAC(MAX($P$34*($B254+$I$38-1),IF(AND($L$37=0,$P$34=0),"",$L$37-1)),MIN(BO$38,$E254),$P$20))-SUM($BF254:BN254))</f>
        <v>0</v>
      </c>
      <c r="BP254" s="446">
        <f>IF($E254=0,0,IF(MIN(BP$38,$E254)&lt;MAX($P$34*($B254+$I$38-1),IF(AND($L$37=0,$P$34=0),"",$L$37-1)),0,YEARFRAC(MAX($P$34*($B254+$I$38-1),IF(AND($L$37=0,$P$34=0),"",$L$37-1)),MIN(BP$38,$E254),$P$20))-SUM($BF254:BO254))</f>
        <v>0</v>
      </c>
      <c r="BQ254" s="446">
        <f>IF($E254=0,0,IF(MIN(BQ$38,$E254)&lt;MAX($P$34*($B254+$I$38-1),IF(AND($L$37=0,$P$34=0),"",$L$37-1)),0,YEARFRAC(MAX($P$34*($B254+$I$38-1),IF(AND($L$37=0,$P$34=0),"",$L$37-1)),MIN(BQ$38,$E254),$P$20))-SUM($BF254:BP254))</f>
        <v>0</v>
      </c>
      <c r="BR254" s="446">
        <f>IF($E254=0,0,IF(MIN(BR$38,$E254)&lt;MAX($P$34*($B254+$I$38-1),IF(AND($L$37=0,$P$34=0),"",$L$37-1)),0,YEARFRAC(MAX($P$34*($B254+$I$38-1),IF(AND($L$37=0,$P$34=0),"",$L$37-1)),MIN(BR$38,$E254),$P$20))-SUM($BF254:BQ254))</f>
        <v>0</v>
      </c>
      <c r="BS254" s="446">
        <f>IF($E254=0,0,IF(MIN(BS$38,$E254)&lt;MAX($P$34*($B254+$I$38-1),IF(AND($L$37=0,$P$34=0),"",$L$37-1)),0,YEARFRAC(MAX($P$34*($B254+$I$38-1),IF(AND($L$37=0,$P$34=0),"",$L$37-1)),MIN(BS$38,$E254),$P$20))-SUM($BF254:BR254))</f>
        <v>0</v>
      </c>
      <c r="BT254" s="446">
        <f>IF($E254=0,0,IF(MIN(BT$38,$E254)&lt;MAX($P$34*($B254+$I$38-1),IF(AND($L$37=0,$P$34=0),"",$L$37-1)),0,YEARFRAC(MAX($P$34*($B254+$I$38-1),IF(AND($L$37=0,$P$34=0),"",$L$37-1)),MIN(BT$38,$E254),$P$20))-SUM($BF254:BS254))</f>
        <v>0</v>
      </c>
      <c r="BU254" s="446">
        <f>IF($E254=0,0,IF(MIN(BU$38,$E254)&lt;MAX($P$34*($B254+$I$38-1),IF(AND($L$37=0,$P$34=0),"",$L$37-1)),0,YEARFRAC(MAX($P$34*($B254+$I$38-1),IF(AND($L$37=0,$P$34=0),"",$L$37-1)),MIN(BU$38,$E254),$P$20))-SUM($BF254:BT254))</f>
        <v>0</v>
      </c>
      <c r="BV254" s="446">
        <f>IF($E254=0,0,IF(MIN(BV$38,$E254)&lt;MAX($P$34*($B254+$I$38-1),IF(AND($L$37=0,$P$34=0),"",$L$37-1)),0,YEARFRAC(MAX($P$34*($B254+$I$38-1),IF(AND($L$37=0,$P$34=0),"",$L$37-1)),MIN(BV$38,$E254),$P$20))-SUM($BF254:BU254))</f>
        <v>0</v>
      </c>
      <c r="BW254" s="446">
        <f>IF($E254=0,0,IF(MIN(BW$38,$E254)&lt;MAX($P$34*($B254+$I$38-1),IF(AND($L$37=0,$P$34=0),"",$L$37-1)),0,YEARFRAC(MAX($P$34*($B254+$I$38-1),IF(AND($L$37=0,$P$34=0),"",$L$37-1)),MIN(BW$38,$E254),$P$20))-SUM($BF254:BV254))</f>
        <v>0</v>
      </c>
      <c r="BX254" s="446">
        <f>IF($E254=0,0,IF(MIN(BX$38,$E254)&lt;MAX($P$34*($B254+$I$38-1),IF(AND($L$37=0,$P$34=0),"",$L$37-1)),0,YEARFRAC(MAX($P$34*($B254+$I$38-1),IF(AND($L$37=0,$P$34=0),"",$L$37-1)),MIN(BX$38,$E254),$P$20))-SUM($BF254:BW254))</f>
        <v>0</v>
      </c>
      <c r="BY254" s="446">
        <f>IF($E254=0,0,IF(MIN(BY$38,$E254)&lt;MAX($P$34*($B254+$I$38-1),IF(AND($L$37=0,$P$34=0),"",$L$37-1)),0,YEARFRAC(MAX($P$34*($B254+$I$38-1),IF(AND($L$37=0,$P$34=0),"",$L$37-1)),MIN(BY$38,$E254),$P$20))-SUM($BF254:BX254))</f>
        <v>0</v>
      </c>
      <c r="BZ254" s="446">
        <f>IF($E254=0,0,IF(MIN(BZ$38,$E254)&lt;MAX($P$34*($B254+$I$38-1),IF(AND($L$37=0,$P$34=0),"",$L$37-1)),0,YEARFRAC(MAX($P$34*($B254+$I$38-1),IF(AND($L$37=0,$P$34=0),"",$L$37-1)),MIN(BZ$38,$E254),$P$20))-SUM($BF254:BY254))</f>
        <v>0</v>
      </c>
      <c r="CA254" s="446">
        <f>IF($E254=0,0,IF(MIN(CA$38,$E254)&lt;MAX($P$34*($B254+$I$38-1),IF(AND($L$37=0,$P$34=0),"",$L$37-1)),0,YEARFRAC(MAX($P$34*($B254+$I$38-1),IF(AND($L$37=0,$P$34=0),"",$L$37-1)),MIN(CA$38,$E254),$P$20))-SUM($BF254:BZ254))</f>
        <v>0</v>
      </c>
      <c r="CB254" s="446">
        <f>IF($E254=0,0,IF(MIN(CB$38,$E254)&lt;MAX($P$34*($B254+$I$38-1),IF(AND($L$37=0,$P$34=0),"",$L$37-1)),0,YEARFRAC(MAX($P$34*($B254+$I$38-1),IF(AND($L$37=0,$P$34=0),"",$L$37-1)),MIN(CB$38,$E254),$P$20))-SUM($BF254:CA254))</f>
        <v>0</v>
      </c>
      <c r="CC254" s="446">
        <f>IF($E254=0,0,IF(MIN(CC$38,$E254)&lt;MAX($P$34*($B254+$I$38-1),IF(AND($L$37=0,$P$34=0),"",$L$37-1)),0,YEARFRAC(MAX($P$34*($B254+$I$38-1),IF(AND($L$37=0,$P$34=0),"",$L$37-1)),MIN(CC$38,$E254),$P$20))-SUM($BF254:CB254))</f>
        <v>0</v>
      </c>
      <c r="CD254" s="446">
        <f>IF($E254=0,0,IF(MIN(CD$38,$E254)&lt;MAX($P$34*($B254+$I$38-1),IF(AND($L$37=0,$P$34=0),"",$L$37-1)),0,YEARFRAC(MAX($P$34*($B254+$I$38-1),IF(AND($L$37=0,$P$34=0),"",$L$37-1)),MIN(CD$38,$E254),$P$20))-SUM($BF254:CC254))</f>
        <v>0</v>
      </c>
      <c r="CE254" s="446">
        <f>IF($E254=0,0,IF(MIN(CE$38,$E254)&lt;MAX($P$34*($B254+$I$38-1),IF(AND($L$37=0,$P$34=0),"",$L$37-1)),0,YEARFRAC(MAX($P$34*($B254+$I$38-1),IF(AND($L$37=0,$P$34=0),"",$L$37-1)),MIN(CE$38,$E254),$P$20))-SUM($BF254:CD254))</f>
        <v>0</v>
      </c>
      <c r="CF254" s="446">
        <f>IF($E254=0,0,IF(MIN(CF$38,$E254)&lt;MAX($P$34*($B254+$I$38-1),IF(AND($L$37=0,$P$34=0),"",$L$37-1)),0,YEARFRAC(MAX($P$34*($B254+$I$38-1),IF(AND($L$37=0,$P$34=0),"",$L$37-1)),MIN(CF$38,$E254),$P$20))-SUM($BF254:CE254))</f>
        <v>0</v>
      </c>
      <c r="CG254" s="446">
        <f>IF($E254=0,0,IF(MIN(CG$38,$E254)&lt;MAX($P$34*($B254+$I$38-1),IF(AND($L$37=0,$P$34=0),"",$L$37-1)),0,YEARFRAC(MAX($P$34*($B254+$I$38-1),IF(AND($L$37=0,$P$34=0),"",$L$37-1)),MIN(CG$38,$E254),$P$20))-SUM($BF254:CF254))</f>
        <v>0</v>
      </c>
      <c r="CH254" s="446">
        <f>IF($E254=0,0,IF(MIN(CH$38,$E254)&lt;MAX($P$34*($B254+$I$38-1),IF(AND($L$37=0,$P$34=0),"",$L$37-1)),0,YEARFRAC(MAX($P$34*($B254+$I$38-1),IF(AND($L$37=0,$P$34=0),"",$L$37-1)),MIN(CH$38,$E254),$P$20))-SUM($BF254:CG254))</f>
        <v>0</v>
      </c>
      <c r="CI254" s="446">
        <f>IF($E254=0,0,IF(MIN(CI$38,$E254)&lt;MAX($P$34*($B254+$I$38-1),IF(AND($L$37=0,$P$34=0),"",$L$37-1)),0,YEARFRAC(MAX($P$34*($B254+$I$38-1),IF(AND($L$37=0,$P$34=0),"",$L$37-1)),MIN(CI$38,$E254),$P$20))-SUM($BF254:CH254))</f>
        <v>0</v>
      </c>
      <c r="CJ254" s="446">
        <f>IF($E254=0,0,IF(MIN(CJ$38,$E254)&lt;MAX($P$34*($B254+$I$38-1),IF(AND($L$37=0,$P$34=0),"",$L$37-1)),0,YEARFRAC(MAX($P$34*($B254+$I$38-1),IF(AND($L$37=0,$P$34=0),"",$L$37-1)),MIN(CJ$38,$E254),$P$20))-SUM($BF254:CI254))</f>
        <v>0</v>
      </c>
      <c r="CK254" s="446">
        <f>IF($E254=0,0,IF(MIN(CK$38,$E254)&lt;MAX($P$34*($B254+$I$38-1),IF(AND($L$37=0,$P$34=0),"",$L$37-1)),0,YEARFRAC(MAX($P$34*($B254+$I$38-1),IF(AND($L$37=0,$P$34=0),"",$L$37-1)),MIN(CK$38,$E254),$P$20))-SUM($BF254:CJ254))</f>
        <v>0</v>
      </c>
      <c r="CL254" s="446">
        <f>IF($E254=0,0,IF(MIN(CL$38,$E254)&lt;MAX($P$34*($B254+$I$38-1),IF(AND($L$37=0,$P$34=0),"",$L$37-1)),0,YEARFRAC(MAX($P$34*($B254+$I$38-1),IF(AND($L$37=0,$P$34=0),"",$L$37-1)),MIN(CL$38,$E254),$P$20))-SUM($BF254:CK254))</f>
        <v>0</v>
      </c>
      <c r="CM254" s="446">
        <f>IF($E254=0,0,IF(MIN(CM$38,$E254)&lt;MAX($P$34*($B254+$I$38-1),IF(AND($L$37=0,$P$34=0),"",$L$37-1)),0,YEARFRAC(MAX($P$34*($B254+$I$38-1),IF(AND($L$37=0,$P$34=0),"",$L$37-1)),MIN(CM$38,$E254),$P$20))-SUM($BF254:CL254))</f>
        <v>0</v>
      </c>
      <c r="CN254" s="446">
        <f>IF($E254=0,0,IF(MIN(CN$38,$E254)&lt;MAX($P$34*($B254+$I$38-1),IF(AND($L$37=0,$P$34=0),"",$L$37-1)),0,YEARFRAC(MAX($P$34*($B254+$I$38-1),IF(AND($L$37=0,$P$34=0),"",$L$37-1)),MIN(CN$38,$E254),$P$20))-SUM($BF254:CM254))</f>
        <v>0</v>
      </c>
      <c r="CO254" s="446">
        <f>IF($E254=0,0,IF(MIN(CO$38,$E254)&lt;MAX($P$34*($B254+$I$38-1),IF(AND($L$37=0,$P$34=0),"",$L$37-1)),0,YEARFRAC(MAX($P$34*($B254+$I$38-1),IF(AND($L$37=0,$P$34=0),"",$L$37-1)),MIN(CO$38,$E254),$P$20))-SUM($BF254:CN254))</f>
        <v>0</v>
      </c>
      <c r="CP254" s="446">
        <f>IF($E254=0,0,IF(MIN(CP$38,$E254)&lt;MAX($P$34*($B254+$I$38-1),IF(AND($L$37=0,$P$34=0),"",$L$37-1)),0,YEARFRAC(MAX($P$34*($B254+$I$38-1),IF(AND($L$37=0,$P$34=0),"",$L$37-1)),MIN(CP$38,$E254),$P$20))-SUM($BF254:CO254))</f>
        <v>0</v>
      </c>
      <c r="CQ254" s="446">
        <f>IF($E254=0,0,IF(MIN(CQ$38,$E254)&lt;MAX($P$34*($B254+$I$38-1),IF(AND($L$37=0,$P$34=0),"",$L$37-1)),0,YEARFRAC(MAX($P$34*($B254+$I$38-1),IF(AND($L$37=0,$P$34=0),"",$L$37-1)),MIN(CQ$38,$E254),$P$20))-SUM($BF254:CP254))</f>
        <v>0</v>
      </c>
    </row>
    <row r="255" spans="1:95" s="446" customFormat="1" ht="11.25" hidden="1" customHeight="1" x14ac:dyDescent="0.2">
      <c r="A255" s="152"/>
      <c r="B255" s="153" t="str">
        <f t="shared" si="48"/>
        <v/>
      </c>
      <c r="C255" s="29" t="str">
        <f>IF(B255="","",IF($L$35="SELIC - TRIBUTOS",VLOOKUP(DATE(YEAR($D$19),MONTH($D$19)-1,1),ÍNDICES!$A:$DE,HLOOKUP($BL$25,ÍNDICES!$B$3:$T$4,2)+11)-VLOOKUP(B255,ÍNDICES!$A:$DE,HLOOKUP($BL$25,ÍNDICES!$B$3:$T$4,2)+11)+1%,IF(C$38=$W$26,$J$35,IF(ISERROR(IF(B255&gt;$D$19,1,VLOOKUP(DATE(YEAR(B255),MONTH(B255)+IF($C$35=$S$23,1,0),1),ÍNDICES!$A:$DE,$Z$35+1))),"",IF(B255&gt;$D$19,1,VLOOKUP(DATE(YEAR(B255),MONTH(B255)+IF($C$35=$S$23,1,0),1),ÍNDICES!$A:$DE,$Z$35+1))))))</f>
        <v/>
      </c>
      <c r="D255" s="154" t="str">
        <f>IF(ISERROR(IF(OR($D$38=$Y$27,$B255=""),"",VLOOKUP(B255,ÍNDICES!A:DE,AF$35+1))),"",IF(OR($D$38=$Y$27,$B255=""),"",VLOOKUP(B255,ÍNDICES!A:DE,AF$35+1)))</f>
        <v/>
      </c>
      <c r="E255" s="153"/>
      <c r="F255" s="29" t="str">
        <f>IF(E255="","",IF($L$35="SELIC - TRIBUTOS",VLOOKUP(DATE(YEAR($D$19),MONTH($D$19)-1,1),ÍNDICES!$A:$DE,HLOOKUP($BL$25,ÍNDICES!$B$3:$T$4,2)+11)-VLOOKUP(E255,ÍNDICES!$A:$DE,HLOOKUP($BL$25,ÍNDICES!$B$3:$T$4,2)+11)+1%,IF(F$38=$W$26,$J$35,IF(ISERROR(IF(E255&gt;$D$19,1,VLOOKUP(DATE(YEAR(E255),MONTH(E255)+IF($C$35=$S$23,1,0),1),ÍNDICES!$A:$DE,$Z$35+1))),"",IF(E255&gt;$D$19,1,VLOOKUP(DATE(YEAR(E255),MONTH(E255)+IF($C$35=$S$23,1,0),1),ÍNDICES!$A:$DE,$Z$35+1))))))</f>
        <v/>
      </c>
      <c r="G255" s="155"/>
      <c r="H255" s="156" t="str">
        <f t="shared" si="44"/>
        <v/>
      </c>
      <c r="I255" s="29" t="str">
        <f t="shared" si="38"/>
        <v/>
      </c>
      <c r="J255" s="5">
        <f t="shared" si="39"/>
        <v>0</v>
      </c>
      <c r="K255" s="20">
        <f t="shared" ca="1" si="40"/>
        <v>0</v>
      </c>
      <c r="L255" s="5">
        <f t="shared" ca="1" si="41"/>
        <v>0</v>
      </c>
      <c r="M255" s="64">
        <f t="shared" si="45"/>
        <v>0</v>
      </c>
      <c r="N255" s="61">
        <f t="shared" ca="1" si="46"/>
        <v>0</v>
      </c>
      <c r="O255" s="5">
        <f t="shared" ca="1" si="47"/>
        <v>0</v>
      </c>
      <c r="P255" s="446" t="e">
        <f t="shared" si="42"/>
        <v>#VALUE!</v>
      </c>
      <c r="Q255" s="446" t="e">
        <f>IF(OR($B255="",MIN(Q$38,$D$19)&lt;MAX($P$34*($B255+IF($R$17="Distrato",$I$38-1,0)),IF(AND($L$37=0,$P$34=0),"",$L$37-1),IF($R$17="Distrato",$E255,0))),0,YEARFRAC(MAX($P$34*($B255+IF($R$17="Distrato",$I$38-1,0)),IF(AND($L$37=0,$P$34=0),"",$L$37-1),IF($R$17="Distrato",$E255,0)),MIN(Q$38,$D$19),$P$20))-SUM($P255:P255)</f>
        <v>#VALUE!</v>
      </c>
      <c r="R255" s="446" t="e">
        <f>IF(OR($B255="",MIN(R$38,$D$19)&lt;MAX($P$34*($B255+IF($R$17="Distrato",$I$38-1,0)),IF(AND($L$37=0,$P$34=0),"",$L$37-1),IF($R$17="Distrato",$E255,0))),0,YEARFRAC(MAX($P$34*($B255+IF($R$17="Distrato",$I$38-1,0)),IF(AND($L$37=0,$P$34=0),"",$L$37-1),IF($R$17="Distrato",$E255,0)),MIN(R$38,$D$19),$P$20))-SUM($P255:Q255)</f>
        <v>#VALUE!</v>
      </c>
      <c r="S255" s="446" t="e">
        <f>IF(OR($B255="",MIN(S$38,$D$19)&lt;MAX($P$34*($B255+IF($R$17="Distrato",$I$38-1,0)),IF(AND($L$37=0,$P$34=0),"",$L$37-1),IF($R$17="Distrato",$E255,0))),0,YEARFRAC(MAX($P$34*($B255+IF($R$17="Distrato",$I$38-1,0)),IF(AND($L$37=0,$P$34=0),"",$L$37-1),IF($R$17="Distrato",$E255,0)),MIN(S$38,$D$19),$P$20))-SUM($P255:R255)</f>
        <v>#VALUE!</v>
      </c>
      <c r="T255" s="446" t="e">
        <f>IF(OR($B255="",MIN(T$38,$D$19)&lt;MAX($P$34*($B255+IF($R$17="Distrato",$I$38-1,0)),IF(AND($L$37=0,$P$34=0),"",$L$37-1),IF($R$17="Distrato",$E255,0))),0,YEARFRAC(MAX($P$34*($B255+IF($R$17="Distrato",$I$38-1,0)),IF(AND($L$37=0,$P$34=0),"",$L$37-1),IF($R$17="Distrato",$E255,0)),MIN(T$38,$D$19),$P$20))-SUM($P255:S255)</f>
        <v>#VALUE!</v>
      </c>
      <c r="U255" s="446" t="e">
        <f>IF(OR($B255="",MIN(U$38,$D$19)&lt;MAX($P$34*($B255+IF($R$17="Distrato",$I$38-1,0)),IF(AND($L$37=0,$P$34=0),"",$L$37-1),IF($R$17="Distrato",$E255,0))),0,YEARFRAC(MAX($P$34*($B255+IF($R$17="Distrato",$I$38-1,0)),IF(AND($L$37=0,$P$34=0),"",$L$37-1),IF($R$17="Distrato",$E255,0)),MIN(U$38,$D$19),$P$20))-SUM($P255:T255)</f>
        <v>#VALUE!</v>
      </c>
      <c r="V255" s="446" t="e">
        <f>IF(OR($B255="",MIN(V$38,$D$19)&lt;MAX($P$34*($B255+IF($R$17="Distrato",$I$38-1,0)),IF(AND($L$37=0,$P$34=0),"",$L$37-1),IF($R$17="Distrato",$E255,0))),0,YEARFRAC(MAX($P$34*($B255+IF($R$17="Distrato",$I$38-1,0)),IF(AND($L$37=0,$P$34=0),"",$L$37-1),IF($R$17="Distrato",$E255,0)),MIN(V$38,$D$19),$P$20))-SUM($P255:U255)</f>
        <v>#VALUE!</v>
      </c>
      <c r="W255" s="446" t="e">
        <f>IF(OR($B255="",MIN(W$38,$D$19)&lt;MAX($P$34*($B255+IF($R$17="Distrato",$I$38-1,0)),IF(AND($L$37=0,$P$34=0),"",$L$37-1),IF($R$17="Distrato",$E255,0))),0,YEARFRAC(MAX($P$34*($B255+IF($R$17="Distrato",$I$38-1,0)),IF(AND($L$37=0,$P$34=0),"",$L$37-1),IF($R$17="Distrato",$E255,0)),MIN(W$38,$D$19),$P$20))-SUM($P255:V255)</f>
        <v>#VALUE!</v>
      </c>
      <c r="X255" s="446" t="e">
        <f>IF(OR($B255="",MIN(X$38,$D$19)&lt;MAX($P$34*($B255+IF($R$17="Distrato",$I$38-1,0)),IF(AND($L$37=0,$P$34=0),"",$L$37-1),IF($R$17="Distrato",$E255,0))),0,YEARFRAC(MAX($P$34*($B255+IF($R$17="Distrato",$I$38-1,0)),IF(AND($L$37=0,$P$34=0),"",$L$37-1),IF($R$17="Distrato",$E255,0)),MIN(X$38,$D$19),$P$20))-SUM($P255:W255)</f>
        <v>#VALUE!</v>
      </c>
      <c r="Y255" s="446" t="e">
        <f>IF(OR($B255="",MIN(Y$38,$D$19)&lt;MAX($P$34*($B255+IF($R$17="Distrato",$I$38-1,0)),IF(AND($L$37=0,$P$34=0),"",$L$37-1),IF($R$17="Distrato",$E255,0))),0,YEARFRAC(MAX($P$34*($B255+IF($R$17="Distrato",$I$38-1,0)),IF(AND($L$37=0,$P$34=0),"",$L$37-1),IF($R$17="Distrato",$E255,0)),MIN(Y$38,$D$19),$P$20))-SUM($P255:X255)</f>
        <v>#VALUE!</v>
      </c>
      <c r="Z255" s="446" t="e">
        <f>IF(OR($B255="",MIN(Z$38,$D$19)&lt;MAX($P$34*($B255+IF($R$17="Distrato",$I$38-1,0)),IF(AND($L$37=0,$P$34=0),"",$L$37-1),IF($R$17="Distrato",$E255,0))),0,YEARFRAC(MAX($P$34*($B255+IF($R$17="Distrato",$I$38-1,0)),IF(AND($L$37=0,$P$34=0),"",$L$37-1),IF($R$17="Distrato",$E255,0)),MIN(Z$38,$D$19),$P$20))-SUM($P255:Y255)</f>
        <v>#VALUE!</v>
      </c>
      <c r="AA255" s="446" t="e">
        <f>IF(OR($B255="",MIN(AA$38,$D$19)&lt;MAX($P$34*($B255+IF($R$17="Distrato",$I$38-1,0)),IF(AND($L$37=0,$P$34=0),"",$L$37-1),IF($R$17="Distrato",$E255,0))),0,YEARFRAC(MAX($P$34*($B255+IF($R$17="Distrato",$I$38-1,0)),IF(AND($L$37=0,$P$34=0),"",$L$37-1),IF($R$17="Distrato",$E255,0)),MIN(AA$38,$D$19),$P$20))-SUM($P255:Z255)</f>
        <v>#VALUE!</v>
      </c>
      <c r="AB255" s="446" t="e">
        <f>IF(OR($B255="",MIN(AB$38,$D$19)&lt;MAX($P$34*($B255+IF($R$17="Distrato",$I$38-1,0)),IF(AND($L$37=0,$P$34=0),"",$L$37-1),IF($R$17="Distrato",$E255,0))),0,YEARFRAC(MAX($P$34*($B255+IF($R$17="Distrato",$I$38-1,0)),IF(AND($L$37=0,$P$34=0),"",$L$37-1),IF($R$17="Distrato",$E255,0)),MIN(AB$38,$D$19),$P$20))-SUM($P255:AA255)</f>
        <v>#VALUE!</v>
      </c>
      <c r="AC255" s="446" t="e">
        <f>IF(OR($B255="",MIN(AC$38,$D$19)&lt;MAX($P$34*($B255+IF($R$17="Distrato",$I$38-1,0)),IF(AND($L$37=0,$P$34=0),"",$L$37-1),IF($R$17="Distrato",$E255,0))),0,YEARFRAC(MAX($P$34*($B255+IF($R$17="Distrato",$I$38-1,0)),IF(AND($L$37=0,$P$34=0),"",$L$37-1),IF($R$17="Distrato",$E255,0)),MIN(AC$38,$D$19),$P$20))-SUM($P255:AB255)</f>
        <v>#VALUE!</v>
      </c>
      <c r="AD255" s="446" t="e">
        <f>IF(OR($B255="",MIN(AD$38,$D$19)&lt;MAX($P$34*($B255+IF($R$17="Distrato",$I$38-1,0)),IF(AND($L$37=0,$P$34=0),"",$L$37-1),IF($R$17="Distrato",$E255,0))),0,YEARFRAC(MAX($P$34*($B255+IF($R$17="Distrato",$I$38-1,0)),IF(AND($L$37=0,$P$34=0),"",$L$37-1),IF($R$17="Distrato",$E255,0)),MIN(AD$38,$D$19),$P$20))-SUM($P255:AC255)</f>
        <v>#VALUE!</v>
      </c>
      <c r="AE255" s="446" t="e">
        <f>IF(OR($B255="",MIN(AE$38,$D$19)&lt;MAX($P$34*($B255+IF($R$17="Distrato",$I$38-1,0)),IF(AND($L$37=0,$P$34=0),"",$L$37-1),IF($R$17="Distrato",$E255,0))),0,YEARFRAC(MAX($P$34*($B255+IF($R$17="Distrato",$I$38-1,0)),IF(AND($L$37=0,$P$34=0),"",$L$37-1),IF($R$17="Distrato",$E255,0)),MIN(AE$38,$D$19),$P$20))-SUM($P255:AD255)</f>
        <v>#VALUE!</v>
      </c>
      <c r="AF255" s="446" t="e">
        <f>IF(OR($B255="",MIN(AF$38,$D$19)&lt;MAX($P$34*($B255+IF($R$17="Distrato",$I$38-1,0)),IF(AND($L$37=0,$P$34=0),"",$L$37-1),IF($R$17="Distrato",$E255,0))),0,YEARFRAC(MAX($P$34*($B255+IF($R$17="Distrato",$I$38-1,0)),IF(AND($L$37=0,$P$34=0),"",$L$37-1),IF($R$17="Distrato",$E255,0)),MIN(AF$38,$D$19),$P$20))-SUM($P255:AE255)</f>
        <v>#VALUE!</v>
      </c>
      <c r="AG255" s="446" t="e">
        <f>IF(OR($B255="",MIN(AG$38,$D$19)&lt;MAX($P$34*($B255+IF($R$17="Distrato",$I$38-1,0)),IF(AND($L$37=0,$P$34=0),"",$L$37-1),IF($R$17="Distrato",$E255,0))),0,YEARFRAC(MAX($P$34*($B255+IF($R$17="Distrato",$I$38-1,0)),IF(AND($L$37=0,$P$34=0),"",$L$37-1),IF($R$17="Distrato",$E255,0)),MIN(AG$38,$D$19),$P$20))-SUM($P255:AF255)</f>
        <v>#VALUE!</v>
      </c>
      <c r="AH255" s="446" t="e">
        <f>IF(OR($B255="",MIN(AH$38,$D$19)&lt;MAX($P$34*($B255+IF($R$17="Distrato",$I$38-1,0)),IF(AND($L$37=0,$P$34=0),"",$L$37-1),IF($R$17="Distrato",$E255,0))),0,YEARFRAC(MAX($P$34*($B255+IF($R$17="Distrato",$I$38-1,0)),IF(AND($L$37=0,$P$34=0),"",$L$37-1),IF($R$17="Distrato",$E255,0)),MIN(AH$38,$D$19),$P$20))-SUM($P255:AG255)</f>
        <v>#VALUE!</v>
      </c>
      <c r="AI255" s="446" t="e">
        <f>IF(OR($B255="",MIN(AI$38,$D$19)&lt;MAX($P$34*($B255+IF($R$17="Distrato",$I$38-1,0)),IF(AND($L$37=0,$P$34=0),"",$L$37-1),IF($R$17="Distrato",$E255,0))),0,YEARFRAC(MAX($P$34*($B255+IF($R$17="Distrato",$I$38-1,0)),IF(AND($L$37=0,$P$34=0),"",$L$37-1),IF($R$17="Distrato",$E255,0)),MIN(AI$38,$D$19),$P$20))-SUM($P255:AH255)</f>
        <v>#VALUE!</v>
      </c>
      <c r="AJ255" s="446" t="e">
        <f>IF(OR($B255="",MIN(AJ$38,$D$19)&lt;MAX($P$34*($B255+IF($R$17="Distrato",$I$38-1,0)),IF(AND($L$37=0,$P$34=0),"",$L$37-1),IF($R$17="Distrato",$E255,0))),0,YEARFRAC(MAX($P$34*($B255+IF($R$17="Distrato",$I$38-1,0)),IF(AND($L$37=0,$P$34=0),"",$L$37-1),IF($R$17="Distrato",$E255,0)),MIN(AJ$38,$D$19),$P$20))-SUM($P255:AI255)</f>
        <v>#VALUE!</v>
      </c>
      <c r="AK255" s="446" t="e">
        <f>IF(OR($B255="",MIN(AK$38,$D$19)&lt;MAX($P$34*($B255+IF($R$17="Distrato",$I$38-1,0)),IF(AND($L$37=0,$P$34=0),"",$L$37-1),IF($R$17="Distrato",$E255,0))),0,YEARFRAC(MAX($P$34*($B255+IF($R$17="Distrato",$I$38-1,0)),IF(AND($L$37=0,$P$34=0),"",$L$37-1),IF($R$17="Distrato",$E255,0)),MIN(AK$38,$D$19),$P$20))-SUM($P255:AJ255)</f>
        <v>#VALUE!</v>
      </c>
      <c r="AL255" s="446" t="e">
        <f>IF(OR($B255="",MIN(AL$38,$D$19)&lt;MAX($P$34*($B255+IF($R$17="Distrato",$I$38-1,0)),IF(AND($L$37=0,$P$34=0),"",$L$37-1),IF($R$17="Distrato",$E255,0))),0,YEARFRAC(MAX($P$34*($B255+IF($R$17="Distrato",$I$38-1,0)),IF(AND($L$37=0,$P$34=0),"",$L$37-1),IF($R$17="Distrato",$E255,0)),MIN(AL$38,$D$19),$P$20))-SUM($P255:AK255)</f>
        <v>#VALUE!</v>
      </c>
      <c r="AM255" s="446" t="e">
        <f>IF(OR($B255="",MIN(AM$38,$D$19)&lt;MAX($P$34*($B255+IF($R$17="Distrato",$I$38-1,0)),IF(AND($L$37=0,$P$34=0),"",$L$37-1),IF($R$17="Distrato",$E255,0))),0,YEARFRAC(MAX($P$34*($B255+IF($R$17="Distrato",$I$38-1,0)),IF(AND($L$37=0,$P$34=0),"",$L$37-1),IF($R$17="Distrato",$E255,0)),MIN(AM$38,$D$19),$P$20))-SUM($P255:AL255)</f>
        <v>#VALUE!</v>
      </c>
      <c r="AN255" s="446" t="e">
        <f>IF(OR($B255="",MIN(AN$38,$D$19)&lt;MAX($P$34*($B255+IF($R$17="Distrato",$I$38-1,0)),IF(AND($L$37=0,$P$34=0),"",$L$37-1),IF($R$17="Distrato",$E255,0))),0,YEARFRAC(MAX($P$34*($B255+IF($R$17="Distrato",$I$38-1,0)),IF(AND($L$37=0,$P$34=0),"",$L$37-1),IF($R$17="Distrato",$E255,0)),MIN(AN$38,$D$19),$P$20))-SUM($P255:AM255)</f>
        <v>#VALUE!</v>
      </c>
      <c r="AO255" s="446" t="e">
        <f>IF(OR($B255="",MIN(AO$38,$D$19)&lt;MAX($P$34*($B255+IF($R$17="Distrato",$I$38-1,0)),IF(AND($L$37=0,$P$34=0),"",$L$37-1),IF($R$17="Distrato",$E255,0))),0,YEARFRAC(MAX($P$34*($B255+IF($R$17="Distrato",$I$38-1,0)),IF(AND($L$37=0,$P$34=0),"",$L$37-1),IF($R$17="Distrato",$E255,0)),MIN(AO$38,$D$19),$P$20))-SUM($P255:AN255)</f>
        <v>#VALUE!</v>
      </c>
      <c r="AP255" s="446" t="e">
        <f>IF(OR($B255="",MIN(AP$38,$D$19)&lt;MAX($P$34*($B255+IF($R$17="Distrato",$I$38-1,0)),IF(AND($L$37=0,$P$34=0),"",$L$37-1),IF($R$17="Distrato",$E255,0))),0,YEARFRAC(MAX($P$34*($B255+IF($R$17="Distrato",$I$38-1,0)),IF(AND($L$37=0,$P$34=0),"",$L$37-1),IF($R$17="Distrato",$E255,0)),MIN(AP$38,$D$19),$P$20))-SUM($P255:AO255)</f>
        <v>#VALUE!</v>
      </c>
      <c r="AQ255" s="446" t="e">
        <f>IF(OR($B255="",MIN(AQ$38,$D$19)&lt;MAX($P$34*($B255+IF($R$17="Distrato",$I$38-1,0)),IF(AND($L$37=0,$P$34=0),"",$L$37-1),IF($R$17="Distrato",$E255,0))),0,YEARFRAC(MAX($P$34*($B255+IF($R$17="Distrato",$I$38-1,0)),IF(AND($L$37=0,$P$34=0),"",$L$37-1),IF($R$17="Distrato",$E255,0)),MIN(AQ$38,$D$19),$P$20))-SUM($P255:AP255)</f>
        <v>#VALUE!</v>
      </c>
      <c r="AR255" s="446" t="e">
        <f>IF(OR($B255="",MIN(AR$38,$D$19)&lt;MAX($P$34*($B255+IF($R$17="Distrato",$I$38-1,0)),IF(AND($L$37=0,$P$34=0),"",$L$37-1),IF($R$17="Distrato",$E255,0))),0,YEARFRAC(MAX($P$34*($B255+IF($R$17="Distrato",$I$38-1,0)),IF(AND($L$37=0,$P$34=0),"",$L$37-1),IF($R$17="Distrato",$E255,0)),MIN(AR$38,$D$19),$P$20))-SUM($P255:AQ255)</f>
        <v>#VALUE!</v>
      </c>
      <c r="AS255" s="446" t="e">
        <f>IF(OR($B255="",MIN(AS$38,$D$19)&lt;MAX($P$34*($B255+IF($R$17="Distrato",$I$38-1,0)),IF(AND($L$37=0,$P$34=0),"",$L$37-1),IF($R$17="Distrato",$E255,0))),0,YEARFRAC(MAX($P$34*($B255+IF($R$17="Distrato",$I$38-1,0)),IF(AND($L$37=0,$P$34=0),"",$L$37-1),IF($R$17="Distrato",$E255,0)),MIN(AS$38,$D$19),$P$20))-SUM($P255:AR255)</f>
        <v>#VALUE!</v>
      </c>
      <c r="AT255" s="446" t="e">
        <f>IF(OR($B255="",MIN(AT$38,$D$19)&lt;MAX($P$34*($B255+IF($R$17="Distrato",$I$38-1,0)),IF(AND($L$37=0,$P$34=0),"",$L$37-1),IF($R$17="Distrato",$E255,0))),0,YEARFRAC(MAX($P$34*($B255+IF($R$17="Distrato",$I$38-1,0)),IF(AND($L$37=0,$P$34=0),"",$L$37-1),IF($R$17="Distrato",$E255,0)),MIN(AT$38,$D$19),$P$20))-SUM($P255:AS255)</f>
        <v>#VALUE!</v>
      </c>
      <c r="AU255" s="446" t="e">
        <f>IF(OR($B255="",MIN(AU$38,$D$19)&lt;MAX($P$34*($B255+IF($R$17="Distrato",$I$38-1,0)),IF(AND($L$37=0,$P$34=0),"",$L$37-1),IF($R$17="Distrato",$E255,0))),0,YEARFRAC(MAX($P$34*($B255+IF($R$17="Distrato",$I$38-1,0)),IF(AND($L$37=0,$P$34=0),"",$L$37-1),IF($R$17="Distrato",$E255,0)),MIN(AU$38,$D$19),$P$20))-SUM($P255:AT255)</f>
        <v>#VALUE!</v>
      </c>
      <c r="AV255" s="446" t="e">
        <f>IF(OR($B255="",MIN(AV$38,$D$19)&lt;MAX($P$34*($B255+IF($R$17="Distrato",$I$38-1,0)),IF(AND($L$37=0,$P$34=0),"",$L$37-1),IF($R$17="Distrato",$E255,0))),0,YEARFRAC(MAX($P$34*($B255+IF($R$17="Distrato",$I$38-1,0)),IF(AND($L$37=0,$P$34=0),"",$L$37-1),IF($R$17="Distrato",$E255,0)),MIN(AV$38,$D$19),$P$20))-SUM($P255:AU255)</f>
        <v>#VALUE!</v>
      </c>
      <c r="AW255" s="446" t="e">
        <f>IF(OR($B255="",MIN(AW$38,$D$19)&lt;MAX($P$34*($B255+IF($R$17="Distrato",$I$38-1,0)),IF(AND($L$37=0,$P$34=0),"",$L$37-1),IF($R$17="Distrato",$E255,0))),0,YEARFRAC(MAX($P$34*($B255+IF($R$17="Distrato",$I$38-1,0)),IF(AND($L$37=0,$P$34=0),"",$L$37-1),IF($R$17="Distrato",$E255,0)),MIN(AW$38,$D$19),$P$20))-SUM($P255:AV255)</f>
        <v>#VALUE!</v>
      </c>
      <c r="AX255" s="446" t="e">
        <f>IF(OR($B255="",MIN(AX$38,$D$19)&lt;MAX($P$34*($B255+IF($R$17="Distrato",$I$38-1,0)),IF(AND($L$37=0,$P$34=0),"",$L$37-1),IF($R$17="Distrato",$E255,0))),0,YEARFRAC(MAX($P$34*($B255+IF($R$17="Distrato",$I$38-1,0)),IF(AND($L$37=0,$P$34=0),"",$L$37-1),IF($R$17="Distrato",$E255,0)),MIN(AX$38,$D$19),$P$20))-SUM($P255:AW255)</f>
        <v>#VALUE!</v>
      </c>
      <c r="AY255" s="446" t="e">
        <f>IF(OR($B255="",MIN(AY$38,$D$19)&lt;MAX($P$34*($B255+IF($R$17="Distrato",$I$38-1,0)),IF(AND($L$37=0,$P$34=0),"",$L$37-1),IF($R$17="Distrato",$E255,0))),0,YEARFRAC(MAX($P$34*($B255+IF($R$17="Distrato",$I$38-1,0)),IF(AND($L$37=0,$P$34=0),"",$L$37-1),IF($R$17="Distrato",$E255,0)),MIN(AY$38,$D$19),$P$20))-SUM($P255:AX255)</f>
        <v>#VALUE!</v>
      </c>
      <c r="AZ255" s="446" t="e">
        <f>IF(OR($B255="",MIN(AZ$38,$D$19)&lt;MAX($P$34*($B255+IF($R$17="Distrato",$I$38-1,0)),IF(AND($L$37=0,$P$34=0),"",$L$37-1),IF($R$17="Distrato",$E255,0))),0,YEARFRAC(MAX($P$34*($B255+IF($R$17="Distrato",$I$38-1,0)),IF(AND($L$37=0,$P$34=0),"",$L$37-1),IF($R$17="Distrato",$E255,0)),MIN(AZ$38,$D$19),$P$20))-SUM($P255:AY255)</f>
        <v>#VALUE!</v>
      </c>
      <c r="BA255" s="446" t="e">
        <f>IF(OR($B255="",MIN(BA$38,$D$19)&lt;MAX($P$34*($B255+IF($R$17="Distrato",$I$38-1,0)),IF(AND($L$37=0,$P$34=0),"",$L$37-1),IF($R$17="Distrato",$E255,0))),0,YEARFRAC(MAX($P$34*($B255+IF($R$17="Distrato",$I$38-1,0)),IF(AND($L$37=0,$P$34=0),"",$L$37-1),IF($R$17="Distrato",$E255,0)),MIN(BA$38,$D$19),$P$20))-SUM($P255:AZ255)</f>
        <v>#VALUE!</v>
      </c>
      <c r="BB255" s="447"/>
      <c r="BF255" s="446">
        <f t="shared" si="43"/>
        <v>0</v>
      </c>
      <c r="BG255" s="446">
        <f>IF($E255=0,0,IF(MIN(BG$38,$E255)&lt;MAX($P$34*($B255+$I$38-1),IF(AND($L$37=0,$P$34=0),"",$L$37-1)),0,YEARFRAC(MAX($P$34*($B255+$I$38-1),IF(AND($L$37=0,$P$34=0),"",$L$37-1)),MIN(BG$38,$E255),$P$20))-SUM($BF255:BF255))</f>
        <v>0</v>
      </c>
      <c r="BH255" s="446">
        <f>IF($E255=0,0,IF(MIN(BH$38,$E255)&lt;MAX($P$34*($B255+$I$38-1),IF(AND($L$37=0,$P$34=0),"",$L$37-1)),0,YEARFRAC(MAX($P$34*($B255+$I$38-1),IF(AND($L$37=0,$P$34=0),"",$L$37-1)),MIN(BH$38,$E255),$P$20))-SUM($BF255:BG255))</f>
        <v>0</v>
      </c>
      <c r="BI255" s="446">
        <f>IF($E255=0,0,IF(MIN(BI$38,$E255)&lt;MAX($P$34*($B255+$I$38-1),IF(AND($L$37=0,$P$34=0),"",$L$37-1)),0,YEARFRAC(MAX($P$34*($B255+$I$38-1),IF(AND($L$37=0,$P$34=0),"",$L$37-1)),MIN(BI$38,$E255),$P$20))-SUM($BF255:BH255))</f>
        <v>0</v>
      </c>
      <c r="BJ255" s="446">
        <f>IF($E255=0,0,IF(MIN(BJ$38,$E255)&lt;MAX($P$34*($B255+$I$38-1),IF(AND($L$37=0,$P$34=0),"",$L$37-1)),0,YEARFRAC(MAX($P$34*($B255+$I$38-1),IF(AND($L$37=0,$P$34=0),"",$L$37-1)),MIN(BJ$38,$E255),$P$20))-SUM($BF255:BI255))</f>
        <v>0</v>
      </c>
      <c r="BK255" s="446">
        <f>IF($E255=0,0,IF(MIN(BK$38,$E255)&lt;MAX($P$34*($B255+$I$38-1),IF(AND($L$37=0,$P$34=0),"",$L$37-1)),0,YEARFRAC(MAX($P$34*($B255+$I$38-1),IF(AND($L$37=0,$P$34=0),"",$L$37-1)),MIN(BK$38,$E255),$P$20))-SUM($BF255:BJ255))</f>
        <v>0</v>
      </c>
      <c r="BL255" s="446">
        <f>IF($E255=0,0,IF(MIN(BL$38,$E255)&lt;MAX($P$34*($B255+$I$38-1),IF(AND($L$37=0,$P$34=0),"",$L$37-1)),0,YEARFRAC(MAX($P$34*($B255+$I$38-1),IF(AND($L$37=0,$P$34=0),"",$L$37-1)),MIN(BL$38,$E255),$P$20))-SUM($BF255:BK255))</f>
        <v>0</v>
      </c>
      <c r="BM255" s="446">
        <f>IF($E255=0,0,IF(MIN(BM$38,$E255)&lt;MAX($P$34*($B255+$I$38-1),IF(AND($L$37=0,$P$34=0),"",$L$37-1)),0,YEARFRAC(MAX($P$34*($B255+$I$38-1),IF(AND($L$37=0,$P$34=0),"",$L$37-1)),MIN(BM$38,$E255),$P$20))-SUM($BF255:BL255))</f>
        <v>0</v>
      </c>
      <c r="BN255" s="446">
        <f>IF($E255=0,0,IF(MIN(BN$38,$E255)&lt;MAX($P$34*($B255+$I$38-1),IF(AND($L$37=0,$P$34=0),"",$L$37-1)),0,YEARFRAC(MAX($P$34*($B255+$I$38-1),IF(AND($L$37=0,$P$34=0),"",$L$37-1)),MIN(BN$38,$E255),$P$20))-SUM($BF255:BM255))</f>
        <v>0</v>
      </c>
      <c r="BO255" s="446">
        <f>IF($E255=0,0,IF(MIN(BO$38,$E255)&lt;MAX($P$34*($B255+$I$38-1),IF(AND($L$37=0,$P$34=0),"",$L$37-1)),0,YEARFRAC(MAX($P$34*($B255+$I$38-1),IF(AND($L$37=0,$P$34=0),"",$L$37-1)),MIN(BO$38,$E255),$P$20))-SUM($BF255:BN255))</f>
        <v>0</v>
      </c>
      <c r="BP255" s="446">
        <f>IF($E255=0,0,IF(MIN(BP$38,$E255)&lt;MAX($P$34*($B255+$I$38-1),IF(AND($L$37=0,$P$34=0),"",$L$37-1)),0,YEARFRAC(MAX($P$34*($B255+$I$38-1),IF(AND($L$37=0,$P$34=0),"",$L$37-1)),MIN(BP$38,$E255),$P$20))-SUM($BF255:BO255))</f>
        <v>0</v>
      </c>
      <c r="BQ255" s="446">
        <f>IF($E255=0,0,IF(MIN(BQ$38,$E255)&lt;MAX($P$34*($B255+$I$38-1),IF(AND($L$37=0,$P$34=0),"",$L$37-1)),0,YEARFRAC(MAX($P$34*($B255+$I$38-1),IF(AND($L$37=0,$P$34=0),"",$L$37-1)),MIN(BQ$38,$E255),$P$20))-SUM($BF255:BP255))</f>
        <v>0</v>
      </c>
      <c r="BR255" s="446">
        <f>IF($E255=0,0,IF(MIN(BR$38,$E255)&lt;MAX($P$34*($B255+$I$38-1),IF(AND($L$37=0,$P$34=0),"",$L$37-1)),0,YEARFRAC(MAX($P$34*($B255+$I$38-1),IF(AND($L$37=0,$P$34=0),"",$L$37-1)),MIN(BR$38,$E255),$P$20))-SUM($BF255:BQ255))</f>
        <v>0</v>
      </c>
      <c r="BS255" s="446">
        <f>IF($E255=0,0,IF(MIN(BS$38,$E255)&lt;MAX($P$34*($B255+$I$38-1),IF(AND($L$37=0,$P$34=0),"",$L$37-1)),0,YEARFRAC(MAX($P$34*($B255+$I$38-1),IF(AND($L$37=0,$P$34=0),"",$L$37-1)),MIN(BS$38,$E255),$P$20))-SUM($BF255:BR255))</f>
        <v>0</v>
      </c>
      <c r="BT255" s="446">
        <f>IF($E255=0,0,IF(MIN(BT$38,$E255)&lt;MAX($P$34*($B255+$I$38-1),IF(AND($L$37=0,$P$34=0),"",$L$37-1)),0,YEARFRAC(MAX($P$34*($B255+$I$38-1),IF(AND($L$37=0,$P$34=0),"",$L$37-1)),MIN(BT$38,$E255),$P$20))-SUM($BF255:BS255))</f>
        <v>0</v>
      </c>
      <c r="BU255" s="446">
        <f>IF($E255=0,0,IF(MIN(BU$38,$E255)&lt;MAX($P$34*($B255+$I$38-1),IF(AND($L$37=0,$P$34=0),"",$L$37-1)),0,YEARFRAC(MAX($P$34*($B255+$I$38-1),IF(AND($L$37=0,$P$34=0),"",$L$37-1)),MIN(BU$38,$E255),$P$20))-SUM($BF255:BT255))</f>
        <v>0</v>
      </c>
      <c r="BV255" s="446">
        <f>IF($E255=0,0,IF(MIN(BV$38,$E255)&lt;MAX($P$34*($B255+$I$38-1),IF(AND($L$37=0,$P$34=0),"",$L$37-1)),0,YEARFRAC(MAX($P$34*($B255+$I$38-1),IF(AND($L$37=0,$P$34=0),"",$L$37-1)),MIN(BV$38,$E255),$P$20))-SUM($BF255:BU255))</f>
        <v>0</v>
      </c>
      <c r="BW255" s="446">
        <f>IF($E255=0,0,IF(MIN(BW$38,$E255)&lt;MAX($P$34*($B255+$I$38-1),IF(AND($L$37=0,$P$34=0),"",$L$37-1)),0,YEARFRAC(MAX($P$34*($B255+$I$38-1),IF(AND($L$37=0,$P$34=0),"",$L$37-1)),MIN(BW$38,$E255),$P$20))-SUM($BF255:BV255))</f>
        <v>0</v>
      </c>
      <c r="BX255" s="446">
        <f>IF($E255=0,0,IF(MIN(BX$38,$E255)&lt;MAX($P$34*($B255+$I$38-1),IF(AND($L$37=0,$P$34=0),"",$L$37-1)),0,YEARFRAC(MAX($P$34*($B255+$I$38-1),IF(AND($L$37=0,$P$34=0),"",$L$37-1)),MIN(BX$38,$E255),$P$20))-SUM($BF255:BW255))</f>
        <v>0</v>
      </c>
      <c r="BY255" s="446">
        <f>IF($E255=0,0,IF(MIN(BY$38,$E255)&lt;MAX($P$34*($B255+$I$38-1),IF(AND($L$37=0,$P$34=0),"",$L$37-1)),0,YEARFRAC(MAX($P$34*($B255+$I$38-1),IF(AND($L$37=0,$P$34=0),"",$L$37-1)),MIN(BY$38,$E255),$P$20))-SUM($BF255:BX255))</f>
        <v>0</v>
      </c>
      <c r="BZ255" s="446">
        <f>IF($E255=0,0,IF(MIN(BZ$38,$E255)&lt;MAX($P$34*($B255+$I$38-1),IF(AND($L$37=0,$P$34=0),"",$L$37-1)),0,YEARFRAC(MAX($P$34*($B255+$I$38-1),IF(AND($L$37=0,$P$34=0),"",$L$37-1)),MIN(BZ$38,$E255),$P$20))-SUM($BF255:BY255))</f>
        <v>0</v>
      </c>
      <c r="CA255" s="446">
        <f>IF($E255=0,0,IF(MIN(CA$38,$E255)&lt;MAX($P$34*($B255+$I$38-1),IF(AND($L$37=0,$P$34=0),"",$L$37-1)),0,YEARFRAC(MAX($P$34*($B255+$I$38-1),IF(AND($L$37=0,$P$34=0),"",$L$37-1)),MIN(CA$38,$E255),$P$20))-SUM($BF255:BZ255))</f>
        <v>0</v>
      </c>
      <c r="CB255" s="446">
        <f>IF($E255=0,0,IF(MIN(CB$38,$E255)&lt;MAX($P$34*($B255+$I$38-1),IF(AND($L$37=0,$P$34=0),"",$L$37-1)),0,YEARFRAC(MAX($P$34*($B255+$I$38-1),IF(AND($L$37=0,$P$34=0),"",$L$37-1)),MIN(CB$38,$E255),$P$20))-SUM($BF255:CA255))</f>
        <v>0</v>
      </c>
      <c r="CC255" s="446">
        <f>IF($E255=0,0,IF(MIN(CC$38,$E255)&lt;MAX($P$34*($B255+$I$38-1),IF(AND($L$37=0,$P$34=0),"",$L$37-1)),0,YEARFRAC(MAX($P$34*($B255+$I$38-1),IF(AND($L$37=0,$P$34=0),"",$L$37-1)),MIN(CC$38,$E255),$P$20))-SUM($BF255:CB255))</f>
        <v>0</v>
      </c>
      <c r="CD255" s="446">
        <f>IF($E255=0,0,IF(MIN(CD$38,$E255)&lt;MAX($P$34*($B255+$I$38-1),IF(AND($L$37=0,$P$34=0),"",$L$37-1)),0,YEARFRAC(MAX($P$34*($B255+$I$38-1),IF(AND($L$37=0,$P$34=0),"",$L$37-1)),MIN(CD$38,$E255),$P$20))-SUM($BF255:CC255))</f>
        <v>0</v>
      </c>
      <c r="CE255" s="446">
        <f>IF($E255=0,0,IF(MIN(CE$38,$E255)&lt;MAX($P$34*($B255+$I$38-1),IF(AND($L$37=0,$P$34=0),"",$L$37-1)),0,YEARFRAC(MAX($P$34*($B255+$I$38-1),IF(AND($L$37=0,$P$34=0),"",$L$37-1)),MIN(CE$38,$E255),$P$20))-SUM($BF255:CD255))</f>
        <v>0</v>
      </c>
      <c r="CF255" s="446">
        <f>IF($E255=0,0,IF(MIN(CF$38,$E255)&lt;MAX($P$34*($B255+$I$38-1),IF(AND($L$37=0,$P$34=0),"",$L$37-1)),0,YEARFRAC(MAX($P$34*($B255+$I$38-1),IF(AND($L$37=0,$P$34=0),"",$L$37-1)),MIN(CF$38,$E255),$P$20))-SUM($BF255:CE255))</f>
        <v>0</v>
      </c>
      <c r="CG255" s="446">
        <f>IF($E255=0,0,IF(MIN(CG$38,$E255)&lt;MAX($P$34*($B255+$I$38-1),IF(AND($L$37=0,$P$34=0),"",$L$37-1)),0,YEARFRAC(MAX($P$34*($B255+$I$38-1),IF(AND($L$37=0,$P$34=0),"",$L$37-1)),MIN(CG$38,$E255),$P$20))-SUM($BF255:CF255))</f>
        <v>0</v>
      </c>
      <c r="CH255" s="446">
        <f>IF($E255=0,0,IF(MIN(CH$38,$E255)&lt;MAX($P$34*($B255+$I$38-1),IF(AND($L$37=0,$P$34=0),"",$L$37-1)),0,YEARFRAC(MAX($P$34*($B255+$I$38-1),IF(AND($L$37=0,$P$34=0),"",$L$37-1)),MIN(CH$38,$E255),$P$20))-SUM($BF255:CG255))</f>
        <v>0</v>
      </c>
      <c r="CI255" s="446">
        <f>IF($E255=0,0,IF(MIN(CI$38,$E255)&lt;MAX($P$34*($B255+$I$38-1),IF(AND($L$37=0,$P$34=0),"",$L$37-1)),0,YEARFRAC(MAX($P$34*($B255+$I$38-1),IF(AND($L$37=0,$P$34=0),"",$L$37-1)),MIN(CI$38,$E255),$P$20))-SUM($BF255:CH255))</f>
        <v>0</v>
      </c>
      <c r="CJ255" s="446">
        <f>IF($E255=0,0,IF(MIN(CJ$38,$E255)&lt;MAX($P$34*($B255+$I$38-1),IF(AND($L$37=0,$P$34=0),"",$L$37-1)),0,YEARFRAC(MAX($P$34*($B255+$I$38-1),IF(AND($L$37=0,$P$34=0),"",$L$37-1)),MIN(CJ$38,$E255),$P$20))-SUM($BF255:CI255))</f>
        <v>0</v>
      </c>
      <c r="CK255" s="446">
        <f>IF($E255=0,0,IF(MIN(CK$38,$E255)&lt;MAX($P$34*($B255+$I$38-1),IF(AND($L$37=0,$P$34=0),"",$L$37-1)),0,YEARFRAC(MAX($P$34*($B255+$I$38-1),IF(AND($L$37=0,$P$34=0),"",$L$37-1)),MIN(CK$38,$E255),$P$20))-SUM($BF255:CJ255))</f>
        <v>0</v>
      </c>
      <c r="CL255" s="446">
        <f>IF($E255=0,0,IF(MIN(CL$38,$E255)&lt;MAX($P$34*($B255+$I$38-1),IF(AND($L$37=0,$P$34=0),"",$L$37-1)),0,YEARFRAC(MAX($P$34*($B255+$I$38-1),IF(AND($L$37=0,$P$34=0),"",$L$37-1)),MIN(CL$38,$E255),$P$20))-SUM($BF255:CK255))</f>
        <v>0</v>
      </c>
      <c r="CM255" s="446">
        <f>IF($E255=0,0,IF(MIN(CM$38,$E255)&lt;MAX($P$34*($B255+$I$38-1),IF(AND($L$37=0,$P$34=0),"",$L$37-1)),0,YEARFRAC(MAX($P$34*($B255+$I$38-1),IF(AND($L$37=0,$P$34=0),"",$L$37-1)),MIN(CM$38,$E255),$P$20))-SUM($BF255:CL255))</f>
        <v>0</v>
      </c>
      <c r="CN255" s="446">
        <f>IF($E255=0,0,IF(MIN(CN$38,$E255)&lt;MAX($P$34*($B255+$I$38-1),IF(AND($L$37=0,$P$34=0),"",$L$37-1)),0,YEARFRAC(MAX($P$34*($B255+$I$38-1),IF(AND($L$37=0,$P$34=0),"",$L$37-1)),MIN(CN$38,$E255),$P$20))-SUM($BF255:CM255))</f>
        <v>0</v>
      </c>
      <c r="CO255" s="446">
        <f>IF($E255=0,0,IF(MIN(CO$38,$E255)&lt;MAX($P$34*($B255+$I$38-1),IF(AND($L$37=0,$P$34=0),"",$L$37-1)),0,YEARFRAC(MAX($P$34*($B255+$I$38-1),IF(AND($L$37=0,$P$34=0),"",$L$37-1)),MIN(CO$38,$E255),$P$20))-SUM($BF255:CN255))</f>
        <v>0</v>
      </c>
      <c r="CP255" s="446">
        <f>IF($E255=0,0,IF(MIN(CP$38,$E255)&lt;MAX($P$34*($B255+$I$38-1),IF(AND($L$37=0,$P$34=0),"",$L$37-1)),0,YEARFRAC(MAX($P$34*($B255+$I$38-1),IF(AND($L$37=0,$P$34=0),"",$L$37-1)),MIN(CP$38,$E255),$P$20))-SUM($BF255:CO255))</f>
        <v>0</v>
      </c>
      <c r="CQ255" s="446">
        <f>IF($E255=0,0,IF(MIN(CQ$38,$E255)&lt;MAX($P$34*($B255+$I$38-1),IF(AND($L$37=0,$P$34=0),"",$L$37-1)),0,YEARFRAC(MAX($P$34*($B255+$I$38-1),IF(AND($L$37=0,$P$34=0),"",$L$37-1)),MIN(CQ$38,$E255),$P$20))-SUM($BF255:CP255))</f>
        <v>0</v>
      </c>
    </row>
    <row r="256" spans="1:95" s="446" customFormat="1" ht="11.25" hidden="1" customHeight="1" x14ac:dyDescent="0.2">
      <c r="A256" s="152"/>
      <c r="B256" s="153" t="str">
        <f t="shared" si="48"/>
        <v/>
      </c>
      <c r="C256" s="29" t="str">
        <f>IF(B256="","",IF($L$35="SELIC - TRIBUTOS",VLOOKUP(DATE(YEAR($D$19),MONTH($D$19)-1,1),ÍNDICES!$A:$DE,HLOOKUP($BL$25,ÍNDICES!$B$3:$T$4,2)+11)-VLOOKUP(B256,ÍNDICES!$A:$DE,HLOOKUP($BL$25,ÍNDICES!$B$3:$T$4,2)+11)+1%,IF(C$38=$W$26,$J$35,IF(ISERROR(IF(B256&gt;$D$19,1,VLOOKUP(DATE(YEAR(B256),MONTH(B256)+IF($C$35=$S$23,1,0),1),ÍNDICES!$A:$DE,$Z$35+1))),"",IF(B256&gt;$D$19,1,VLOOKUP(DATE(YEAR(B256),MONTH(B256)+IF($C$35=$S$23,1,0),1),ÍNDICES!$A:$DE,$Z$35+1))))))</f>
        <v/>
      </c>
      <c r="D256" s="154" t="str">
        <f>IF(ISERROR(IF(OR($D$38=$Y$27,$B256=""),"",VLOOKUP(B256,ÍNDICES!A:DE,AF$35+1))),"",IF(OR($D$38=$Y$27,$B256=""),"",VLOOKUP(B256,ÍNDICES!A:DE,AF$35+1)))</f>
        <v/>
      </c>
      <c r="E256" s="153"/>
      <c r="F256" s="29" t="str">
        <f>IF(E256="","",IF($L$35="SELIC - TRIBUTOS",VLOOKUP(DATE(YEAR($D$19),MONTH($D$19)-1,1),ÍNDICES!$A:$DE,HLOOKUP($BL$25,ÍNDICES!$B$3:$T$4,2)+11)-VLOOKUP(E256,ÍNDICES!$A:$DE,HLOOKUP($BL$25,ÍNDICES!$B$3:$T$4,2)+11)+1%,IF(F$38=$W$26,$J$35,IF(ISERROR(IF(E256&gt;$D$19,1,VLOOKUP(DATE(YEAR(E256),MONTH(E256)+IF($C$35=$S$23,1,0),1),ÍNDICES!$A:$DE,$Z$35+1))),"",IF(E256&gt;$D$19,1,VLOOKUP(DATE(YEAR(E256),MONTH(E256)+IF($C$35=$S$23,1,0),1),ÍNDICES!$A:$DE,$Z$35+1))))))</f>
        <v/>
      </c>
      <c r="G256" s="155"/>
      <c r="H256" s="156" t="str">
        <f t="shared" si="44"/>
        <v/>
      </c>
      <c r="I256" s="29" t="str">
        <f t="shared" si="38"/>
        <v/>
      </c>
      <c r="J256" s="5">
        <f t="shared" si="39"/>
        <v>0</v>
      </c>
      <c r="K256" s="20">
        <f t="shared" ca="1" si="40"/>
        <v>0</v>
      </c>
      <c r="L256" s="5">
        <f t="shared" ca="1" si="41"/>
        <v>0</v>
      </c>
      <c r="M256" s="64">
        <f t="shared" si="45"/>
        <v>0</v>
      </c>
      <c r="N256" s="61">
        <f t="shared" ca="1" si="46"/>
        <v>0</v>
      </c>
      <c r="O256" s="5">
        <f t="shared" ca="1" si="47"/>
        <v>0</v>
      </c>
      <c r="P256" s="446" t="e">
        <f t="shared" si="42"/>
        <v>#VALUE!</v>
      </c>
      <c r="Q256" s="446" t="e">
        <f>IF(OR($B256="",MIN(Q$38,$D$19)&lt;MAX($P$34*($B256+IF($R$17="Distrato",$I$38-1,0)),IF(AND($L$37=0,$P$34=0),"",$L$37-1),IF($R$17="Distrato",$E256,0))),0,YEARFRAC(MAX($P$34*($B256+IF($R$17="Distrato",$I$38-1,0)),IF(AND($L$37=0,$P$34=0),"",$L$37-1),IF($R$17="Distrato",$E256,0)),MIN(Q$38,$D$19),$P$20))-SUM($P256:P256)</f>
        <v>#VALUE!</v>
      </c>
      <c r="R256" s="446" t="e">
        <f>IF(OR($B256="",MIN(R$38,$D$19)&lt;MAX($P$34*($B256+IF($R$17="Distrato",$I$38-1,0)),IF(AND($L$37=0,$P$34=0),"",$L$37-1),IF($R$17="Distrato",$E256,0))),0,YEARFRAC(MAX($P$34*($B256+IF($R$17="Distrato",$I$38-1,0)),IF(AND($L$37=0,$P$34=0),"",$L$37-1),IF($R$17="Distrato",$E256,0)),MIN(R$38,$D$19),$P$20))-SUM($P256:Q256)</f>
        <v>#VALUE!</v>
      </c>
      <c r="S256" s="446" t="e">
        <f>IF(OR($B256="",MIN(S$38,$D$19)&lt;MAX($P$34*($B256+IF($R$17="Distrato",$I$38-1,0)),IF(AND($L$37=0,$P$34=0),"",$L$37-1),IF($R$17="Distrato",$E256,0))),0,YEARFRAC(MAX($P$34*($B256+IF($R$17="Distrato",$I$38-1,0)),IF(AND($L$37=0,$P$34=0),"",$L$37-1),IF($R$17="Distrato",$E256,0)),MIN(S$38,$D$19),$P$20))-SUM($P256:R256)</f>
        <v>#VALUE!</v>
      </c>
      <c r="T256" s="446" t="e">
        <f>IF(OR($B256="",MIN(T$38,$D$19)&lt;MAX($P$34*($B256+IF($R$17="Distrato",$I$38-1,0)),IF(AND($L$37=0,$P$34=0),"",$L$37-1),IF($R$17="Distrato",$E256,0))),0,YEARFRAC(MAX($P$34*($B256+IF($R$17="Distrato",$I$38-1,0)),IF(AND($L$37=0,$P$34=0),"",$L$37-1),IF($R$17="Distrato",$E256,0)),MIN(T$38,$D$19),$P$20))-SUM($P256:S256)</f>
        <v>#VALUE!</v>
      </c>
      <c r="U256" s="446" t="e">
        <f>IF(OR($B256="",MIN(U$38,$D$19)&lt;MAX($P$34*($B256+IF($R$17="Distrato",$I$38-1,0)),IF(AND($L$37=0,$P$34=0),"",$L$37-1),IF($R$17="Distrato",$E256,0))),0,YEARFRAC(MAX($P$34*($B256+IF($R$17="Distrato",$I$38-1,0)),IF(AND($L$37=0,$P$34=0),"",$L$37-1),IF($R$17="Distrato",$E256,0)),MIN(U$38,$D$19),$P$20))-SUM($P256:T256)</f>
        <v>#VALUE!</v>
      </c>
      <c r="V256" s="446" t="e">
        <f>IF(OR($B256="",MIN(V$38,$D$19)&lt;MAX($P$34*($B256+IF($R$17="Distrato",$I$38-1,0)),IF(AND($L$37=0,$P$34=0),"",$L$37-1),IF($R$17="Distrato",$E256,0))),0,YEARFRAC(MAX($P$34*($B256+IF($R$17="Distrato",$I$38-1,0)),IF(AND($L$37=0,$P$34=0),"",$L$37-1),IF($R$17="Distrato",$E256,0)),MIN(V$38,$D$19),$P$20))-SUM($P256:U256)</f>
        <v>#VALUE!</v>
      </c>
      <c r="W256" s="446" t="e">
        <f>IF(OR($B256="",MIN(W$38,$D$19)&lt;MAX($P$34*($B256+IF($R$17="Distrato",$I$38-1,0)),IF(AND($L$37=0,$P$34=0),"",$L$37-1),IF($R$17="Distrato",$E256,0))),0,YEARFRAC(MAX($P$34*($B256+IF($R$17="Distrato",$I$38-1,0)),IF(AND($L$37=0,$P$34=0),"",$L$37-1),IF($R$17="Distrato",$E256,0)),MIN(W$38,$D$19),$P$20))-SUM($P256:V256)</f>
        <v>#VALUE!</v>
      </c>
      <c r="X256" s="446" t="e">
        <f>IF(OR($B256="",MIN(X$38,$D$19)&lt;MAX($P$34*($B256+IF($R$17="Distrato",$I$38-1,0)),IF(AND($L$37=0,$P$34=0),"",$L$37-1),IF($R$17="Distrato",$E256,0))),0,YEARFRAC(MAX($P$34*($B256+IF($R$17="Distrato",$I$38-1,0)),IF(AND($L$37=0,$P$34=0),"",$L$37-1),IF($R$17="Distrato",$E256,0)),MIN(X$38,$D$19),$P$20))-SUM($P256:W256)</f>
        <v>#VALUE!</v>
      </c>
      <c r="Y256" s="446" t="e">
        <f>IF(OR($B256="",MIN(Y$38,$D$19)&lt;MAX($P$34*($B256+IF($R$17="Distrato",$I$38-1,0)),IF(AND($L$37=0,$P$34=0),"",$L$37-1),IF($R$17="Distrato",$E256,0))),0,YEARFRAC(MAX($P$34*($B256+IF($R$17="Distrato",$I$38-1,0)),IF(AND($L$37=0,$P$34=0),"",$L$37-1),IF($R$17="Distrato",$E256,0)),MIN(Y$38,$D$19),$P$20))-SUM($P256:X256)</f>
        <v>#VALUE!</v>
      </c>
      <c r="Z256" s="446" t="e">
        <f>IF(OR($B256="",MIN(Z$38,$D$19)&lt;MAX($P$34*($B256+IF($R$17="Distrato",$I$38-1,0)),IF(AND($L$37=0,$P$34=0),"",$L$37-1),IF($R$17="Distrato",$E256,0))),0,YEARFRAC(MAX($P$34*($B256+IF($R$17="Distrato",$I$38-1,0)),IF(AND($L$37=0,$P$34=0),"",$L$37-1),IF($R$17="Distrato",$E256,0)),MIN(Z$38,$D$19),$P$20))-SUM($P256:Y256)</f>
        <v>#VALUE!</v>
      </c>
      <c r="AA256" s="446" t="e">
        <f>IF(OR($B256="",MIN(AA$38,$D$19)&lt;MAX($P$34*($B256+IF($R$17="Distrato",$I$38-1,0)),IF(AND($L$37=0,$P$34=0),"",$L$37-1),IF($R$17="Distrato",$E256,0))),0,YEARFRAC(MAX($P$34*($B256+IF($R$17="Distrato",$I$38-1,0)),IF(AND($L$37=0,$P$34=0),"",$L$37-1),IF($R$17="Distrato",$E256,0)),MIN(AA$38,$D$19),$P$20))-SUM($P256:Z256)</f>
        <v>#VALUE!</v>
      </c>
      <c r="AB256" s="446" t="e">
        <f>IF(OR($B256="",MIN(AB$38,$D$19)&lt;MAX($P$34*($B256+IF($R$17="Distrato",$I$38-1,0)),IF(AND($L$37=0,$P$34=0),"",$L$37-1),IF($R$17="Distrato",$E256,0))),0,YEARFRAC(MAX($P$34*($B256+IF($R$17="Distrato",$I$38-1,0)),IF(AND($L$37=0,$P$34=0),"",$L$37-1),IF($R$17="Distrato",$E256,0)),MIN(AB$38,$D$19),$P$20))-SUM($P256:AA256)</f>
        <v>#VALUE!</v>
      </c>
      <c r="AC256" s="446" t="e">
        <f>IF(OR($B256="",MIN(AC$38,$D$19)&lt;MAX($P$34*($B256+IF($R$17="Distrato",$I$38-1,0)),IF(AND($L$37=0,$P$34=0),"",$L$37-1),IF($R$17="Distrato",$E256,0))),0,YEARFRAC(MAX($P$34*($B256+IF($R$17="Distrato",$I$38-1,0)),IF(AND($L$37=0,$P$34=0),"",$L$37-1),IF($R$17="Distrato",$E256,0)),MIN(AC$38,$D$19),$P$20))-SUM($P256:AB256)</f>
        <v>#VALUE!</v>
      </c>
      <c r="AD256" s="446" t="e">
        <f>IF(OR($B256="",MIN(AD$38,$D$19)&lt;MAX($P$34*($B256+IF($R$17="Distrato",$I$38-1,0)),IF(AND($L$37=0,$P$34=0),"",$L$37-1),IF($R$17="Distrato",$E256,0))),0,YEARFRAC(MAX($P$34*($B256+IF($R$17="Distrato",$I$38-1,0)),IF(AND($L$37=0,$P$34=0),"",$L$37-1),IF($R$17="Distrato",$E256,0)),MIN(AD$38,$D$19),$P$20))-SUM($P256:AC256)</f>
        <v>#VALUE!</v>
      </c>
      <c r="AE256" s="446" t="e">
        <f>IF(OR($B256="",MIN(AE$38,$D$19)&lt;MAX($P$34*($B256+IF($R$17="Distrato",$I$38-1,0)),IF(AND($L$37=0,$P$34=0),"",$L$37-1),IF($R$17="Distrato",$E256,0))),0,YEARFRAC(MAX($P$34*($B256+IF($R$17="Distrato",$I$38-1,0)),IF(AND($L$37=0,$P$34=0),"",$L$37-1),IF($R$17="Distrato",$E256,0)),MIN(AE$38,$D$19),$P$20))-SUM($P256:AD256)</f>
        <v>#VALUE!</v>
      </c>
      <c r="AF256" s="446" t="e">
        <f>IF(OR($B256="",MIN(AF$38,$D$19)&lt;MAX($P$34*($B256+IF($R$17="Distrato",$I$38-1,0)),IF(AND($L$37=0,$P$34=0),"",$L$37-1),IF($R$17="Distrato",$E256,0))),0,YEARFRAC(MAX($P$34*($B256+IF($R$17="Distrato",$I$38-1,0)),IF(AND($L$37=0,$P$34=0),"",$L$37-1),IF($R$17="Distrato",$E256,0)),MIN(AF$38,$D$19),$P$20))-SUM($P256:AE256)</f>
        <v>#VALUE!</v>
      </c>
      <c r="AG256" s="446" t="e">
        <f>IF(OR($B256="",MIN(AG$38,$D$19)&lt;MAX($P$34*($B256+IF($R$17="Distrato",$I$38-1,0)),IF(AND($L$37=0,$P$34=0),"",$L$37-1),IF($R$17="Distrato",$E256,0))),0,YEARFRAC(MAX($P$34*($B256+IF($R$17="Distrato",$I$38-1,0)),IF(AND($L$37=0,$P$34=0),"",$L$37-1),IF($R$17="Distrato",$E256,0)),MIN(AG$38,$D$19),$P$20))-SUM($P256:AF256)</f>
        <v>#VALUE!</v>
      </c>
      <c r="AH256" s="446" t="e">
        <f>IF(OR($B256="",MIN(AH$38,$D$19)&lt;MAX($P$34*($B256+IF($R$17="Distrato",$I$38-1,0)),IF(AND($L$37=0,$P$34=0),"",$L$37-1),IF($R$17="Distrato",$E256,0))),0,YEARFRAC(MAX($P$34*($B256+IF($R$17="Distrato",$I$38-1,0)),IF(AND($L$37=0,$P$34=0),"",$L$37-1),IF($R$17="Distrato",$E256,0)),MIN(AH$38,$D$19),$P$20))-SUM($P256:AG256)</f>
        <v>#VALUE!</v>
      </c>
      <c r="AI256" s="446" t="e">
        <f>IF(OR($B256="",MIN(AI$38,$D$19)&lt;MAX($P$34*($B256+IF($R$17="Distrato",$I$38-1,0)),IF(AND($L$37=0,$P$34=0),"",$L$37-1),IF($R$17="Distrato",$E256,0))),0,YEARFRAC(MAX($P$34*($B256+IF($R$17="Distrato",$I$38-1,0)),IF(AND($L$37=0,$P$34=0),"",$L$37-1),IF($R$17="Distrato",$E256,0)),MIN(AI$38,$D$19),$P$20))-SUM($P256:AH256)</f>
        <v>#VALUE!</v>
      </c>
      <c r="AJ256" s="446" t="e">
        <f>IF(OR($B256="",MIN(AJ$38,$D$19)&lt;MAX($P$34*($B256+IF($R$17="Distrato",$I$38-1,0)),IF(AND($L$37=0,$P$34=0),"",$L$37-1),IF($R$17="Distrato",$E256,0))),0,YEARFRAC(MAX($P$34*($B256+IF($R$17="Distrato",$I$38-1,0)),IF(AND($L$37=0,$P$34=0),"",$L$37-1),IF($R$17="Distrato",$E256,0)),MIN(AJ$38,$D$19),$P$20))-SUM($P256:AI256)</f>
        <v>#VALUE!</v>
      </c>
      <c r="AK256" s="446" t="e">
        <f>IF(OR($B256="",MIN(AK$38,$D$19)&lt;MAX($P$34*($B256+IF($R$17="Distrato",$I$38-1,0)),IF(AND($L$37=0,$P$34=0),"",$L$37-1),IF($R$17="Distrato",$E256,0))),0,YEARFRAC(MAX($P$34*($B256+IF($R$17="Distrato",$I$38-1,0)),IF(AND($L$37=0,$P$34=0),"",$L$37-1),IF($R$17="Distrato",$E256,0)),MIN(AK$38,$D$19),$P$20))-SUM($P256:AJ256)</f>
        <v>#VALUE!</v>
      </c>
      <c r="AL256" s="446" t="e">
        <f>IF(OR($B256="",MIN(AL$38,$D$19)&lt;MAX($P$34*($B256+IF($R$17="Distrato",$I$38-1,0)),IF(AND($L$37=0,$P$34=0),"",$L$37-1),IF($R$17="Distrato",$E256,0))),0,YEARFRAC(MAX($P$34*($B256+IF($R$17="Distrato",$I$38-1,0)),IF(AND($L$37=0,$P$34=0),"",$L$37-1),IF($R$17="Distrato",$E256,0)),MIN(AL$38,$D$19),$P$20))-SUM($P256:AK256)</f>
        <v>#VALUE!</v>
      </c>
      <c r="AM256" s="446" t="e">
        <f>IF(OR($B256="",MIN(AM$38,$D$19)&lt;MAX($P$34*($B256+IF($R$17="Distrato",$I$38-1,0)),IF(AND($L$37=0,$P$34=0),"",$L$37-1),IF($R$17="Distrato",$E256,0))),0,YEARFRAC(MAX($P$34*($B256+IF($R$17="Distrato",$I$38-1,0)),IF(AND($L$37=0,$P$34=0),"",$L$37-1),IF($R$17="Distrato",$E256,0)),MIN(AM$38,$D$19),$P$20))-SUM($P256:AL256)</f>
        <v>#VALUE!</v>
      </c>
      <c r="AN256" s="446" t="e">
        <f>IF(OR($B256="",MIN(AN$38,$D$19)&lt;MAX($P$34*($B256+IF($R$17="Distrato",$I$38-1,0)),IF(AND($L$37=0,$P$34=0),"",$L$37-1),IF($R$17="Distrato",$E256,0))),0,YEARFRAC(MAX($P$34*($B256+IF($R$17="Distrato",$I$38-1,0)),IF(AND($L$37=0,$P$34=0),"",$L$37-1),IF($R$17="Distrato",$E256,0)),MIN(AN$38,$D$19),$P$20))-SUM($P256:AM256)</f>
        <v>#VALUE!</v>
      </c>
      <c r="AO256" s="446" t="e">
        <f>IF(OR($B256="",MIN(AO$38,$D$19)&lt;MAX($P$34*($B256+IF($R$17="Distrato",$I$38-1,0)),IF(AND($L$37=0,$P$34=0),"",$L$37-1),IF($R$17="Distrato",$E256,0))),0,YEARFRAC(MAX($P$34*($B256+IF($R$17="Distrato",$I$38-1,0)),IF(AND($L$37=0,$P$34=0),"",$L$37-1),IF($R$17="Distrato",$E256,0)),MIN(AO$38,$D$19),$P$20))-SUM($P256:AN256)</f>
        <v>#VALUE!</v>
      </c>
      <c r="AP256" s="446" t="e">
        <f>IF(OR($B256="",MIN(AP$38,$D$19)&lt;MAX($P$34*($B256+IF($R$17="Distrato",$I$38-1,0)),IF(AND($L$37=0,$P$34=0),"",$L$37-1),IF($R$17="Distrato",$E256,0))),0,YEARFRAC(MAX($P$34*($B256+IF($R$17="Distrato",$I$38-1,0)),IF(AND($L$37=0,$P$34=0),"",$L$37-1),IF($R$17="Distrato",$E256,0)),MIN(AP$38,$D$19),$P$20))-SUM($P256:AO256)</f>
        <v>#VALUE!</v>
      </c>
      <c r="AQ256" s="446" t="e">
        <f>IF(OR($B256="",MIN(AQ$38,$D$19)&lt;MAX($P$34*($B256+IF($R$17="Distrato",$I$38-1,0)),IF(AND($L$37=0,$P$34=0),"",$L$37-1),IF($R$17="Distrato",$E256,0))),0,YEARFRAC(MAX($P$34*($B256+IF($R$17="Distrato",$I$38-1,0)),IF(AND($L$37=0,$P$34=0),"",$L$37-1),IF($R$17="Distrato",$E256,0)),MIN(AQ$38,$D$19),$P$20))-SUM($P256:AP256)</f>
        <v>#VALUE!</v>
      </c>
      <c r="AR256" s="446" t="e">
        <f>IF(OR($B256="",MIN(AR$38,$D$19)&lt;MAX($P$34*($B256+IF($R$17="Distrato",$I$38-1,0)),IF(AND($L$37=0,$P$34=0),"",$L$37-1),IF($R$17="Distrato",$E256,0))),0,YEARFRAC(MAX($P$34*($B256+IF($R$17="Distrato",$I$38-1,0)),IF(AND($L$37=0,$P$34=0),"",$L$37-1),IF($R$17="Distrato",$E256,0)),MIN(AR$38,$D$19),$P$20))-SUM($P256:AQ256)</f>
        <v>#VALUE!</v>
      </c>
      <c r="AS256" s="446" t="e">
        <f>IF(OR($B256="",MIN(AS$38,$D$19)&lt;MAX($P$34*($B256+IF($R$17="Distrato",$I$38-1,0)),IF(AND($L$37=0,$P$34=0),"",$L$37-1),IF($R$17="Distrato",$E256,0))),0,YEARFRAC(MAX($P$34*($B256+IF($R$17="Distrato",$I$38-1,0)),IF(AND($L$37=0,$P$34=0),"",$L$37-1),IF($R$17="Distrato",$E256,0)),MIN(AS$38,$D$19),$P$20))-SUM($P256:AR256)</f>
        <v>#VALUE!</v>
      </c>
      <c r="AT256" s="446" t="e">
        <f>IF(OR($B256="",MIN(AT$38,$D$19)&lt;MAX($P$34*($B256+IF($R$17="Distrato",$I$38-1,0)),IF(AND($L$37=0,$P$34=0),"",$L$37-1),IF($R$17="Distrato",$E256,0))),0,YEARFRAC(MAX($P$34*($B256+IF($R$17="Distrato",$I$38-1,0)),IF(AND($L$37=0,$P$34=0),"",$L$37-1),IF($R$17="Distrato",$E256,0)),MIN(AT$38,$D$19),$P$20))-SUM($P256:AS256)</f>
        <v>#VALUE!</v>
      </c>
      <c r="AU256" s="446" t="e">
        <f>IF(OR($B256="",MIN(AU$38,$D$19)&lt;MAX($P$34*($B256+IF($R$17="Distrato",$I$38-1,0)),IF(AND($L$37=0,$P$34=0),"",$L$37-1),IF($R$17="Distrato",$E256,0))),0,YEARFRAC(MAX($P$34*($B256+IF($R$17="Distrato",$I$38-1,0)),IF(AND($L$37=0,$P$34=0),"",$L$37-1),IF($R$17="Distrato",$E256,0)),MIN(AU$38,$D$19),$P$20))-SUM($P256:AT256)</f>
        <v>#VALUE!</v>
      </c>
      <c r="AV256" s="446" t="e">
        <f>IF(OR($B256="",MIN(AV$38,$D$19)&lt;MAX($P$34*($B256+IF($R$17="Distrato",$I$38-1,0)),IF(AND($L$37=0,$P$34=0),"",$L$37-1),IF($R$17="Distrato",$E256,0))),0,YEARFRAC(MAX($P$34*($B256+IF($R$17="Distrato",$I$38-1,0)),IF(AND($L$37=0,$P$34=0),"",$L$37-1),IF($R$17="Distrato",$E256,0)),MIN(AV$38,$D$19),$P$20))-SUM($P256:AU256)</f>
        <v>#VALUE!</v>
      </c>
      <c r="AW256" s="446" t="e">
        <f>IF(OR($B256="",MIN(AW$38,$D$19)&lt;MAX($P$34*($B256+IF($R$17="Distrato",$I$38-1,0)),IF(AND($L$37=0,$P$34=0),"",$L$37-1),IF($R$17="Distrato",$E256,0))),0,YEARFRAC(MAX($P$34*($B256+IF($R$17="Distrato",$I$38-1,0)),IF(AND($L$37=0,$P$34=0),"",$L$37-1),IF($R$17="Distrato",$E256,0)),MIN(AW$38,$D$19),$P$20))-SUM($P256:AV256)</f>
        <v>#VALUE!</v>
      </c>
      <c r="AX256" s="446" t="e">
        <f>IF(OR($B256="",MIN(AX$38,$D$19)&lt;MAX($P$34*($B256+IF($R$17="Distrato",$I$38-1,0)),IF(AND($L$37=0,$P$34=0),"",$L$37-1),IF($R$17="Distrato",$E256,0))),0,YEARFRAC(MAX($P$34*($B256+IF($R$17="Distrato",$I$38-1,0)),IF(AND($L$37=0,$P$34=0),"",$L$37-1),IF($R$17="Distrato",$E256,0)),MIN(AX$38,$D$19),$P$20))-SUM($P256:AW256)</f>
        <v>#VALUE!</v>
      </c>
      <c r="AY256" s="446" t="e">
        <f>IF(OR($B256="",MIN(AY$38,$D$19)&lt;MAX($P$34*($B256+IF($R$17="Distrato",$I$38-1,0)),IF(AND($L$37=0,$P$34=0),"",$L$37-1),IF($R$17="Distrato",$E256,0))),0,YEARFRAC(MAX($P$34*($B256+IF($R$17="Distrato",$I$38-1,0)),IF(AND($L$37=0,$P$34=0),"",$L$37-1),IF($R$17="Distrato",$E256,0)),MIN(AY$38,$D$19),$P$20))-SUM($P256:AX256)</f>
        <v>#VALUE!</v>
      </c>
      <c r="AZ256" s="446" t="e">
        <f>IF(OR($B256="",MIN(AZ$38,$D$19)&lt;MAX($P$34*($B256+IF($R$17="Distrato",$I$38-1,0)),IF(AND($L$37=0,$P$34=0),"",$L$37-1),IF($R$17="Distrato",$E256,0))),0,YEARFRAC(MAX($P$34*($B256+IF($R$17="Distrato",$I$38-1,0)),IF(AND($L$37=0,$P$34=0),"",$L$37-1),IF($R$17="Distrato",$E256,0)),MIN(AZ$38,$D$19),$P$20))-SUM($P256:AY256)</f>
        <v>#VALUE!</v>
      </c>
      <c r="BA256" s="446" t="e">
        <f>IF(OR($B256="",MIN(BA$38,$D$19)&lt;MAX($P$34*($B256+IF($R$17="Distrato",$I$38-1,0)),IF(AND($L$37=0,$P$34=0),"",$L$37-1),IF($R$17="Distrato",$E256,0))),0,YEARFRAC(MAX($P$34*($B256+IF($R$17="Distrato",$I$38-1,0)),IF(AND($L$37=0,$P$34=0),"",$L$37-1),IF($R$17="Distrato",$E256,0)),MIN(BA$38,$D$19),$P$20))-SUM($P256:AZ256)</f>
        <v>#VALUE!</v>
      </c>
      <c r="BB256" s="447"/>
      <c r="BF256" s="446">
        <f t="shared" si="43"/>
        <v>0</v>
      </c>
      <c r="BG256" s="446">
        <f>IF($E256=0,0,IF(MIN(BG$38,$E256)&lt;MAX($P$34*($B256+$I$38-1),IF(AND($L$37=0,$P$34=0),"",$L$37-1)),0,YEARFRAC(MAX($P$34*($B256+$I$38-1),IF(AND($L$37=0,$P$34=0),"",$L$37-1)),MIN(BG$38,$E256),$P$20))-SUM($BF256:BF256))</f>
        <v>0</v>
      </c>
      <c r="BH256" s="446">
        <f>IF($E256=0,0,IF(MIN(BH$38,$E256)&lt;MAX($P$34*($B256+$I$38-1),IF(AND($L$37=0,$P$34=0),"",$L$37-1)),0,YEARFRAC(MAX($P$34*($B256+$I$38-1),IF(AND($L$37=0,$P$34=0),"",$L$37-1)),MIN(BH$38,$E256),$P$20))-SUM($BF256:BG256))</f>
        <v>0</v>
      </c>
      <c r="BI256" s="446">
        <f>IF($E256=0,0,IF(MIN(BI$38,$E256)&lt;MAX($P$34*($B256+$I$38-1),IF(AND($L$37=0,$P$34=0),"",$L$37-1)),0,YEARFRAC(MAX($P$34*($B256+$I$38-1),IF(AND($L$37=0,$P$34=0),"",$L$37-1)),MIN(BI$38,$E256),$P$20))-SUM($BF256:BH256))</f>
        <v>0</v>
      </c>
      <c r="BJ256" s="446">
        <f>IF($E256=0,0,IF(MIN(BJ$38,$E256)&lt;MAX($P$34*($B256+$I$38-1),IF(AND($L$37=0,$P$34=0),"",$L$37-1)),0,YEARFRAC(MAX($P$34*($B256+$I$38-1),IF(AND($L$37=0,$P$34=0),"",$L$37-1)),MIN(BJ$38,$E256),$P$20))-SUM($BF256:BI256))</f>
        <v>0</v>
      </c>
      <c r="BK256" s="446">
        <f>IF($E256=0,0,IF(MIN(BK$38,$E256)&lt;MAX($P$34*($B256+$I$38-1),IF(AND($L$37=0,$P$34=0),"",$L$37-1)),0,YEARFRAC(MAX($P$34*($B256+$I$38-1),IF(AND($L$37=0,$P$34=0),"",$L$37-1)),MIN(BK$38,$E256),$P$20))-SUM($BF256:BJ256))</f>
        <v>0</v>
      </c>
      <c r="BL256" s="446">
        <f>IF($E256=0,0,IF(MIN(BL$38,$E256)&lt;MAX($P$34*($B256+$I$38-1),IF(AND($L$37=0,$P$34=0),"",$L$37-1)),0,YEARFRAC(MAX($P$34*($B256+$I$38-1),IF(AND($L$37=0,$P$34=0),"",$L$37-1)),MIN(BL$38,$E256),$P$20))-SUM($BF256:BK256))</f>
        <v>0</v>
      </c>
      <c r="BM256" s="446">
        <f>IF($E256=0,0,IF(MIN(BM$38,$E256)&lt;MAX($P$34*($B256+$I$38-1),IF(AND($L$37=0,$P$34=0),"",$L$37-1)),0,YEARFRAC(MAX($P$34*($B256+$I$38-1),IF(AND($L$37=0,$P$34=0),"",$L$37-1)),MIN(BM$38,$E256),$P$20))-SUM($BF256:BL256))</f>
        <v>0</v>
      </c>
      <c r="BN256" s="446">
        <f>IF($E256=0,0,IF(MIN(BN$38,$E256)&lt;MAX($P$34*($B256+$I$38-1),IF(AND($L$37=0,$P$34=0),"",$L$37-1)),0,YEARFRAC(MAX($P$34*($B256+$I$38-1),IF(AND($L$37=0,$P$34=0),"",$L$37-1)),MIN(BN$38,$E256),$P$20))-SUM($BF256:BM256))</f>
        <v>0</v>
      </c>
      <c r="BO256" s="446">
        <f>IF($E256=0,0,IF(MIN(BO$38,$E256)&lt;MAX($P$34*($B256+$I$38-1),IF(AND($L$37=0,$P$34=0),"",$L$37-1)),0,YEARFRAC(MAX($P$34*($B256+$I$38-1),IF(AND($L$37=0,$P$34=0),"",$L$37-1)),MIN(BO$38,$E256),$P$20))-SUM($BF256:BN256))</f>
        <v>0</v>
      </c>
      <c r="BP256" s="446">
        <f>IF($E256=0,0,IF(MIN(BP$38,$E256)&lt;MAX($P$34*($B256+$I$38-1),IF(AND($L$37=0,$P$34=0),"",$L$37-1)),0,YEARFRAC(MAX($P$34*($B256+$I$38-1),IF(AND($L$37=0,$P$34=0),"",$L$37-1)),MIN(BP$38,$E256),$P$20))-SUM($BF256:BO256))</f>
        <v>0</v>
      </c>
      <c r="BQ256" s="446">
        <f>IF($E256=0,0,IF(MIN(BQ$38,$E256)&lt;MAX($P$34*($B256+$I$38-1),IF(AND($L$37=0,$P$34=0),"",$L$37-1)),0,YEARFRAC(MAX($P$34*($B256+$I$38-1),IF(AND($L$37=0,$P$34=0),"",$L$37-1)),MIN(BQ$38,$E256),$P$20))-SUM($BF256:BP256))</f>
        <v>0</v>
      </c>
      <c r="BR256" s="446">
        <f>IF($E256=0,0,IF(MIN(BR$38,$E256)&lt;MAX($P$34*($B256+$I$38-1),IF(AND($L$37=0,$P$34=0),"",$L$37-1)),0,YEARFRAC(MAX($P$34*($B256+$I$38-1),IF(AND($L$37=0,$P$34=0),"",$L$37-1)),MIN(BR$38,$E256),$P$20))-SUM($BF256:BQ256))</f>
        <v>0</v>
      </c>
      <c r="BS256" s="446">
        <f>IF($E256=0,0,IF(MIN(BS$38,$E256)&lt;MAX($P$34*($B256+$I$38-1),IF(AND($L$37=0,$P$34=0),"",$L$37-1)),0,YEARFRAC(MAX($P$34*($B256+$I$38-1),IF(AND($L$37=0,$P$34=0),"",$L$37-1)),MIN(BS$38,$E256),$P$20))-SUM($BF256:BR256))</f>
        <v>0</v>
      </c>
      <c r="BT256" s="446">
        <f>IF($E256=0,0,IF(MIN(BT$38,$E256)&lt;MAX($P$34*($B256+$I$38-1),IF(AND($L$37=0,$P$34=0),"",$L$37-1)),0,YEARFRAC(MAX($P$34*($B256+$I$38-1),IF(AND($L$37=0,$P$34=0),"",$L$37-1)),MIN(BT$38,$E256),$P$20))-SUM($BF256:BS256))</f>
        <v>0</v>
      </c>
      <c r="BU256" s="446">
        <f>IF($E256=0,0,IF(MIN(BU$38,$E256)&lt;MAX($P$34*($B256+$I$38-1),IF(AND($L$37=0,$P$34=0),"",$L$37-1)),0,YEARFRAC(MAX($P$34*($B256+$I$38-1),IF(AND($L$37=0,$P$34=0),"",$L$37-1)),MIN(BU$38,$E256),$P$20))-SUM($BF256:BT256))</f>
        <v>0</v>
      </c>
      <c r="BV256" s="446">
        <f>IF($E256=0,0,IF(MIN(BV$38,$E256)&lt;MAX($P$34*($B256+$I$38-1),IF(AND($L$37=0,$P$34=0),"",$L$37-1)),0,YEARFRAC(MAX($P$34*($B256+$I$38-1),IF(AND($L$37=0,$P$34=0),"",$L$37-1)),MIN(BV$38,$E256),$P$20))-SUM($BF256:BU256))</f>
        <v>0</v>
      </c>
      <c r="BW256" s="446">
        <f>IF($E256=0,0,IF(MIN(BW$38,$E256)&lt;MAX($P$34*($B256+$I$38-1),IF(AND($L$37=0,$P$34=0),"",$L$37-1)),0,YEARFRAC(MAX($P$34*($B256+$I$38-1),IF(AND($L$37=0,$P$34=0),"",$L$37-1)),MIN(BW$38,$E256),$P$20))-SUM($BF256:BV256))</f>
        <v>0</v>
      </c>
      <c r="BX256" s="446">
        <f>IF($E256=0,0,IF(MIN(BX$38,$E256)&lt;MAX($P$34*($B256+$I$38-1),IF(AND($L$37=0,$P$34=0),"",$L$37-1)),0,YEARFRAC(MAX($P$34*($B256+$I$38-1),IF(AND($L$37=0,$P$34=0),"",$L$37-1)),MIN(BX$38,$E256),$P$20))-SUM($BF256:BW256))</f>
        <v>0</v>
      </c>
      <c r="BY256" s="446">
        <f>IF($E256=0,0,IF(MIN(BY$38,$E256)&lt;MAX($P$34*($B256+$I$38-1),IF(AND($L$37=0,$P$34=0),"",$L$37-1)),0,YEARFRAC(MAX($P$34*($B256+$I$38-1),IF(AND($L$37=0,$P$34=0),"",$L$37-1)),MIN(BY$38,$E256),$P$20))-SUM($BF256:BX256))</f>
        <v>0</v>
      </c>
      <c r="BZ256" s="446">
        <f>IF($E256=0,0,IF(MIN(BZ$38,$E256)&lt;MAX($P$34*($B256+$I$38-1),IF(AND($L$37=0,$P$34=0),"",$L$37-1)),0,YEARFRAC(MAX($P$34*($B256+$I$38-1),IF(AND($L$37=0,$P$34=0),"",$L$37-1)),MIN(BZ$38,$E256),$P$20))-SUM($BF256:BY256))</f>
        <v>0</v>
      </c>
      <c r="CA256" s="446">
        <f>IF($E256=0,0,IF(MIN(CA$38,$E256)&lt;MAX($P$34*($B256+$I$38-1),IF(AND($L$37=0,$P$34=0),"",$L$37-1)),0,YEARFRAC(MAX($P$34*($B256+$I$38-1),IF(AND($L$37=0,$P$34=0),"",$L$37-1)),MIN(CA$38,$E256),$P$20))-SUM($BF256:BZ256))</f>
        <v>0</v>
      </c>
      <c r="CB256" s="446">
        <f>IF($E256=0,0,IF(MIN(CB$38,$E256)&lt;MAX($P$34*($B256+$I$38-1),IF(AND($L$37=0,$P$34=0),"",$L$37-1)),0,YEARFRAC(MAX($P$34*($B256+$I$38-1),IF(AND($L$37=0,$P$34=0),"",$L$37-1)),MIN(CB$38,$E256),$P$20))-SUM($BF256:CA256))</f>
        <v>0</v>
      </c>
      <c r="CC256" s="446">
        <f>IF($E256=0,0,IF(MIN(CC$38,$E256)&lt;MAX($P$34*($B256+$I$38-1),IF(AND($L$37=0,$P$34=0),"",$L$37-1)),0,YEARFRAC(MAX($P$34*($B256+$I$38-1),IF(AND($L$37=0,$P$34=0),"",$L$37-1)),MIN(CC$38,$E256),$P$20))-SUM($BF256:CB256))</f>
        <v>0</v>
      </c>
      <c r="CD256" s="446">
        <f>IF($E256=0,0,IF(MIN(CD$38,$E256)&lt;MAX($P$34*($B256+$I$38-1),IF(AND($L$37=0,$P$34=0),"",$L$37-1)),0,YEARFRAC(MAX($P$34*($B256+$I$38-1),IF(AND($L$37=0,$P$34=0),"",$L$37-1)),MIN(CD$38,$E256),$P$20))-SUM($BF256:CC256))</f>
        <v>0</v>
      </c>
      <c r="CE256" s="446">
        <f>IF($E256=0,0,IF(MIN(CE$38,$E256)&lt;MAX($P$34*($B256+$I$38-1),IF(AND($L$37=0,$P$34=0),"",$L$37-1)),0,YEARFRAC(MAX($P$34*($B256+$I$38-1),IF(AND($L$37=0,$P$34=0),"",$L$37-1)),MIN(CE$38,$E256),$P$20))-SUM($BF256:CD256))</f>
        <v>0</v>
      </c>
      <c r="CF256" s="446">
        <f>IF($E256=0,0,IF(MIN(CF$38,$E256)&lt;MAX($P$34*($B256+$I$38-1),IF(AND($L$37=0,$P$34=0),"",$L$37-1)),0,YEARFRAC(MAX($P$34*($B256+$I$38-1),IF(AND($L$37=0,$P$34=0),"",$L$37-1)),MIN(CF$38,$E256),$P$20))-SUM($BF256:CE256))</f>
        <v>0</v>
      </c>
      <c r="CG256" s="446">
        <f>IF($E256=0,0,IF(MIN(CG$38,$E256)&lt;MAX($P$34*($B256+$I$38-1),IF(AND($L$37=0,$P$34=0),"",$L$37-1)),0,YEARFRAC(MAX($P$34*($B256+$I$38-1),IF(AND($L$37=0,$P$34=0),"",$L$37-1)),MIN(CG$38,$E256),$P$20))-SUM($BF256:CF256))</f>
        <v>0</v>
      </c>
      <c r="CH256" s="446">
        <f>IF($E256=0,0,IF(MIN(CH$38,$E256)&lt;MAX($P$34*($B256+$I$38-1),IF(AND($L$37=0,$P$34=0),"",$L$37-1)),0,YEARFRAC(MAX($P$34*($B256+$I$38-1),IF(AND($L$37=0,$P$34=0),"",$L$37-1)),MIN(CH$38,$E256),$P$20))-SUM($BF256:CG256))</f>
        <v>0</v>
      </c>
      <c r="CI256" s="446">
        <f>IF($E256=0,0,IF(MIN(CI$38,$E256)&lt;MAX($P$34*($B256+$I$38-1),IF(AND($L$37=0,$P$34=0),"",$L$37-1)),0,YEARFRAC(MAX($P$34*($B256+$I$38-1),IF(AND($L$37=0,$P$34=0),"",$L$37-1)),MIN(CI$38,$E256),$P$20))-SUM($BF256:CH256))</f>
        <v>0</v>
      </c>
      <c r="CJ256" s="446">
        <f>IF($E256=0,0,IF(MIN(CJ$38,$E256)&lt;MAX($P$34*($B256+$I$38-1),IF(AND($L$37=0,$P$34=0),"",$L$37-1)),0,YEARFRAC(MAX($P$34*($B256+$I$38-1),IF(AND($L$37=0,$P$34=0),"",$L$37-1)),MIN(CJ$38,$E256),$P$20))-SUM($BF256:CI256))</f>
        <v>0</v>
      </c>
      <c r="CK256" s="446">
        <f>IF($E256=0,0,IF(MIN(CK$38,$E256)&lt;MAX($P$34*($B256+$I$38-1),IF(AND($L$37=0,$P$34=0),"",$L$37-1)),0,YEARFRAC(MAX($P$34*($B256+$I$38-1),IF(AND($L$37=0,$P$34=0),"",$L$37-1)),MIN(CK$38,$E256),$P$20))-SUM($BF256:CJ256))</f>
        <v>0</v>
      </c>
      <c r="CL256" s="446">
        <f>IF($E256=0,0,IF(MIN(CL$38,$E256)&lt;MAX($P$34*($B256+$I$38-1),IF(AND($L$37=0,$P$34=0),"",$L$37-1)),0,YEARFRAC(MAX($P$34*($B256+$I$38-1),IF(AND($L$37=0,$P$34=0),"",$L$37-1)),MIN(CL$38,$E256),$P$20))-SUM($BF256:CK256))</f>
        <v>0</v>
      </c>
      <c r="CM256" s="446">
        <f>IF($E256=0,0,IF(MIN(CM$38,$E256)&lt;MAX($P$34*($B256+$I$38-1),IF(AND($L$37=0,$P$34=0),"",$L$37-1)),0,YEARFRAC(MAX($P$34*($B256+$I$38-1),IF(AND($L$37=0,$P$34=0),"",$L$37-1)),MIN(CM$38,$E256),$P$20))-SUM($BF256:CL256))</f>
        <v>0</v>
      </c>
      <c r="CN256" s="446">
        <f>IF($E256=0,0,IF(MIN(CN$38,$E256)&lt;MAX($P$34*($B256+$I$38-1),IF(AND($L$37=0,$P$34=0),"",$L$37-1)),0,YEARFRAC(MAX($P$34*($B256+$I$38-1),IF(AND($L$37=0,$P$34=0),"",$L$37-1)),MIN(CN$38,$E256),$P$20))-SUM($BF256:CM256))</f>
        <v>0</v>
      </c>
      <c r="CO256" s="446">
        <f>IF($E256=0,0,IF(MIN(CO$38,$E256)&lt;MAX($P$34*($B256+$I$38-1),IF(AND($L$37=0,$P$34=0),"",$L$37-1)),0,YEARFRAC(MAX($P$34*($B256+$I$38-1),IF(AND($L$37=0,$P$34=0),"",$L$37-1)),MIN(CO$38,$E256),$P$20))-SUM($BF256:CN256))</f>
        <v>0</v>
      </c>
      <c r="CP256" s="446">
        <f>IF($E256=0,0,IF(MIN(CP$38,$E256)&lt;MAX($P$34*($B256+$I$38-1),IF(AND($L$37=0,$P$34=0),"",$L$37-1)),0,YEARFRAC(MAX($P$34*($B256+$I$38-1),IF(AND($L$37=0,$P$34=0),"",$L$37-1)),MIN(CP$38,$E256),$P$20))-SUM($BF256:CO256))</f>
        <v>0</v>
      </c>
      <c r="CQ256" s="446">
        <f>IF($E256=0,0,IF(MIN(CQ$38,$E256)&lt;MAX($P$34*($B256+$I$38-1),IF(AND($L$37=0,$P$34=0),"",$L$37-1)),0,YEARFRAC(MAX($P$34*($B256+$I$38-1),IF(AND($L$37=0,$P$34=0),"",$L$37-1)),MIN(CQ$38,$E256),$P$20))-SUM($BF256:CP256))</f>
        <v>0</v>
      </c>
    </row>
    <row r="257" spans="1:95" s="446" customFormat="1" ht="11.25" hidden="1" customHeight="1" x14ac:dyDescent="0.2">
      <c r="A257" s="152"/>
      <c r="B257" s="153" t="str">
        <f t="shared" si="48"/>
        <v/>
      </c>
      <c r="C257" s="29" t="str">
        <f>IF(B257="","",IF($L$35="SELIC - TRIBUTOS",VLOOKUP(DATE(YEAR($D$19),MONTH($D$19)-1,1),ÍNDICES!$A:$DE,HLOOKUP($BL$25,ÍNDICES!$B$3:$T$4,2)+11)-VLOOKUP(B257,ÍNDICES!$A:$DE,HLOOKUP($BL$25,ÍNDICES!$B$3:$T$4,2)+11)+1%,IF(C$38=$W$26,$J$35,IF(ISERROR(IF(B257&gt;$D$19,1,VLOOKUP(DATE(YEAR(B257),MONTH(B257)+IF($C$35=$S$23,1,0),1),ÍNDICES!$A:$DE,$Z$35+1))),"",IF(B257&gt;$D$19,1,VLOOKUP(DATE(YEAR(B257),MONTH(B257)+IF($C$35=$S$23,1,0),1),ÍNDICES!$A:$DE,$Z$35+1))))))</f>
        <v/>
      </c>
      <c r="D257" s="154" t="str">
        <f>IF(ISERROR(IF(OR($D$38=$Y$27,$B257=""),"",VLOOKUP(B257,ÍNDICES!A:DE,AF$35+1))),"",IF(OR($D$38=$Y$27,$B257=""),"",VLOOKUP(B257,ÍNDICES!A:DE,AF$35+1)))</f>
        <v/>
      </c>
      <c r="E257" s="153"/>
      <c r="F257" s="29" t="str">
        <f>IF(E257="","",IF($L$35="SELIC - TRIBUTOS",VLOOKUP(DATE(YEAR($D$19),MONTH($D$19)-1,1),ÍNDICES!$A:$DE,HLOOKUP($BL$25,ÍNDICES!$B$3:$T$4,2)+11)-VLOOKUP(E257,ÍNDICES!$A:$DE,HLOOKUP($BL$25,ÍNDICES!$B$3:$T$4,2)+11)+1%,IF(F$38=$W$26,$J$35,IF(ISERROR(IF(E257&gt;$D$19,1,VLOOKUP(DATE(YEAR(E257),MONTH(E257)+IF($C$35=$S$23,1,0),1),ÍNDICES!$A:$DE,$Z$35+1))),"",IF(E257&gt;$D$19,1,VLOOKUP(DATE(YEAR(E257),MONTH(E257)+IF($C$35=$S$23,1,0),1),ÍNDICES!$A:$DE,$Z$35+1))))))</f>
        <v/>
      </c>
      <c r="G257" s="155"/>
      <c r="H257" s="156" t="str">
        <f t="shared" si="44"/>
        <v/>
      </c>
      <c r="I257" s="29" t="str">
        <f t="shared" si="38"/>
        <v/>
      </c>
      <c r="J257" s="5">
        <f t="shared" si="39"/>
        <v>0</v>
      </c>
      <c r="K257" s="20">
        <f t="shared" ca="1" si="40"/>
        <v>0</v>
      </c>
      <c r="L257" s="5">
        <f t="shared" ca="1" si="41"/>
        <v>0</v>
      </c>
      <c r="M257" s="64">
        <f t="shared" si="45"/>
        <v>0</v>
      </c>
      <c r="N257" s="61">
        <f t="shared" ca="1" si="46"/>
        <v>0</v>
      </c>
      <c r="O257" s="5">
        <f t="shared" ca="1" si="47"/>
        <v>0</v>
      </c>
      <c r="P257" s="446" t="e">
        <f t="shared" si="42"/>
        <v>#VALUE!</v>
      </c>
      <c r="Q257" s="446" t="e">
        <f>IF(OR($B257="",MIN(Q$38,$D$19)&lt;MAX($P$34*($B257+IF($R$17="Distrato",$I$38-1,0)),IF(AND($L$37=0,$P$34=0),"",$L$37-1),IF($R$17="Distrato",$E257,0))),0,YEARFRAC(MAX($P$34*($B257+IF($R$17="Distrato",$I$38-1,0)),IF(AND($L$37=0,$P$34=0),"",$L$37-1),IF($R$17="Distrato",$E257,0)),MIN(Q$38,$D$19),$P$20))-SUM($P257:P257)</f>
        <v>#VALUE!</v>
      </c>
      <c r="R257" s="446" t="e">
        <f>IF(OR($B257="",MIN(R$38,$D$19)&lt;MAX($P$34*($B257+IF($R$17="Distrato",$I$38-1,0)),IF(AND($L$37=0,$P$34=0),"",$L$37-1),IF($R$17="Distrato",$E257,0))),0,YEARFRAC(MAX($P$34*($B257+IF($R$17="Distrato",$I$38-1,0)),IF(AND($L$37=0,$P$34=0),"",$L$37-1),IF($R$17="Distrato",$E257,0)),MIN(R$38,$D$19),$P$20))-SUM($P257:Q257)</f>
        <v>#VALUE!</v>
      </c>
      <c r="S257" s="446" t="e">
        <f>IF(OR($B257="",MIN(S$38,$D$19)&lt;MAX($P$34*($B257+IF($R$17="Distrato",$I$38-1,0)),IF(AND($L$37=0,$P$34=0),"",$L$37-1),IF($R$17="Distrato",$E257,0))),0,YEARFRAC(MAX($P$34*($B257+IF($R$17="Distrato",$I$38-1,0)),IF(AND($L$37=0,$P$34=0),"",$L$37-1),IF($R$17="Distrato",$E257,0)),MIN(S$38,$D$19),$P$20))-SUM($P257:R257)</f>
        <v>#VALUE!</v>
      </c>
      <c r="T257" s="446" t="e">
        <f>IF(OR($B257="",MIN(T$38,$D$19)&lt;MAX($P$34*($B257+IF($R$17="Distrato",$I$38-1,0)),IF(AND($L$37=0,$P$34=0),"",$L$37-1),IF($R$17="Distrato",$E257,0))),0,YEARFRAC(MAX($P$34*($B257+IF($R$17="Distrato",$I$38-1,0)),IF(AND($L$37=0,$P$34=0),"",$L$37-1),IF($R$17="Distrato",$E257,0)),MIN(T$38,$D$19),$P$20))-SUM($P257:S257)</f>
        <v>#VALUE!</v>
      </c>
      <c r="U257" s="446" t="e">
        <f>IF(OR($B257="",MIN(U$38,$D$19)&lt;MAX($P$34*($B257+IF($R$17="Distrato",$I$38-1,0)),IF(AND($L$37=0,$P$34=0),"",$L$37-1),IF($R$17="Distrato",$E257,0))),0,YEARFRAC(MAX($P$34*($B257+IF($R$17="Distrato",$I$38-1,0)),IF(AND($L$37=0,$P$34=0),"",$L$37-1),IF($R$17="Distrato",$E257,0)),MIN(U$38,$D$19),$P$20))-SUM($P257:T257)</f>
        <v>#VALUE!</v>
      </c>
      <c r="V257" s="446" t="e">
        <f>IF(OR($B257="",MIN(V$38,$D$19)&lt;MAX($P$34*($B257+IF($R$17="Distrato",$I$38-1,0)),IF(AND($L$37=0,$P$34=0),"",$L$37-1),IF($R$17="Distrato",$E257,0))),0,YEARFRAC(MAX($P$34*($B257+IF($R$17="Distrato",$I$38-1,0)),IF(AND($L$37=0,$P$34=0),"",$L$37-1),IF($R$17="Distrato",$E257,0)),MIN(V$38,$D$19),$P$20))-SUM($P257:U257)</f>
        <v>#VALUE!</v>
      </c>
      <c r="W257" s="446" t="e">
        <f>IF(OR($B257="",MIN(W$38,$D$19)&lt;MAX($P$34*($B257+IF($R$17="Distrato",$I$38-1,0)),IF(AND($L$37=0,$P$34=0),"",$L$37-1),IF($R$17="Distrato",$E257,0))),0,YEARFRAC(MAX($P$34*($B257+IF($R$17="Distrato",$I$38-1,0)),IF(AND($L$37=0,$P$34=0),"",$L$37-1),IF($R$17="Distrato",$E257,0)),MIN(W$38,$D$19),$P$20))-SUM($P257:V257)</f>
        <v>#VALUE!</v>
      </c>
      <c r="X257" s="446" t="e">
        <f>IF(OR($B257="",MIN(X$38,$D$19)&lt;MAX($P$34*($B257+IF($R$17="Distrato",$I$38-1,0)),IF(AND($L$37=0,$P$34=0),"",$L$37-1),IF($R$17="Distrato",$E257,0))),0,YEARFRAC(MAX($P$34*($B257+IF($R$17="Distrato",$I$38-1,0)),IF(AND($L$37=0,$P$34=0),"",$L$37-1),IF($R$17="Distrato",$E257,0)),MIN(X$38,$D$19),$P$20))-SUM($P257:W257)</f>
        <v>#VALUE!</v>
      </c>
      <c r="Y257" s="446" t="e">
        <f>IF(OR($B257="",MIN(Y$38,$D$19)&lt;MAX($P$34*($B257+IF($R$17="Distrato",$I$38-1,0)),IF(AND($L$37=0,$P$34=0),"",$L$37-1),IF($R$17="Distrato",$E257,0))),0,YEARFRAC(MAX($P$34*($B257+IF($R$17="Distrato",$I$38-1,0)),IF(AND($L$37=0,$P$34=0),"",$L$37-1),IF($R$17="Distrato",$E257,0)),MIN(Y$38,$D$19),$P$20))-SUM($P257:X257)</f>
        <v>#VALUE!</v>
      </c>
      <c r="Z257" s="446" t="e">
        <f>IF(OR($B257="",MIN(Z$38,$D$19)&lt;MAX($P$34*($B257+IF($R$17="Distrato",$I$38-1,0)),IF(AND($L$37=0,$P$34=0),"",$L$37-1),IF($R$17="Distrato",$E257,0))),0,YEARFRAC(MAX($P$34*($B257+IF($R$17="Distrato",$I$38-1,0)),IF(AND($L$37=0,$P$34=0),"",$L$37-1),IF($R$17="Distrato",$E257,0)),MIN(Z$38,$D$19),$P$20))-SUM($P257:Y257)</f>
        <v>#VALUE!</v>
      </c>
      <c r="AA257" s="446" t="e">
        <f>IF(OR($B257="",MIN(AA$38,$D$19)&lt;MAX($P$34*($B257+IF($R$17="Distrato",$I$38-1,0)),IF(AND($L$37=0,$P$34=0),"",$L$37-1),IF($R$17="Distrato",$E257,0))),0,YEARFRAC(MAX($P$34*($B257+IF($R$17="Distrato",$I$38-1,0)),IF(AND($L$37=0,$P$34=0),"",$L$37-1),IF($R$17="Distrato",$E257,0)),MIN(AA$38,$D$19),$P$20))-SUM($P257:Z257)</f>
        <v>#VALUE!</v>
      </c>
      <c r="AB257" s="446" t="e">
        <f>IF(OR($B257="",MIN(AB$38,$D$19)&lt;MAX($P$34*($B257+IF($R$17="Distrato",$I$38-1,0)),IF(AND($L$37=0,$P$34=0),"",$L$37-1),IF($R$17="Distrato",$E257,0))),0,YEARFRAC(MAX($P$34*($B257+IF($R$17="Distrato",$I$38-1,0)),IF(AND($L$37=0,$P$34=0),"",$L$37-1),IF($R$17="Distrato",$E257,0)),MIN(AB$38,$D$19),$P$20))-SUM($P257:AA257)</f>
        <v>#VALUE!</v>
      </c>
      <c r="AC257" s="446" t="e">
        <f>IF(OR($B257="",MIN(AC$38,$D$19)&lt;MAX($P$34*($B257+IF($R$17="Distrato",$I$38-1,0)),IF(AND($L$37=0,$P$34=0),"",$L$37-1),IF($R$17="Distrato",$E257,0))),0,YEARFRAC(MAX($P$34*($B257+IF($R$17="Distrato",$I$38-1,0)),IF(AND($L$37=0,$P$34=0),"",$L$37-1),IF($R$17="Distrato",$E257,0)),MIN(AC$38,$D$19),$P$20))-SUM($P257:AB257)</f>
        <v>#VALUE!</v>
      </c>
      <c r="AD257" s="446" t="e">
        <f>IF(OR($B257="",MIN(AD$38,$D$19)&lt;MAX($P$34*($B257+IF($R$17="Distrato",$I$38-1,0)),IF(AND($L$37=0,$P$34=0),"",$L$37-1),IF($R$17="Distrato",$E257,0))),0,YEARFRAC(MAX($P$34*($B257+IF($R$17="Distrato",$I$38-1,0)),IF(AND($L$37=0,$P$34=0),"",$L$37-1),IF($R$17="Distrato",$E257,0)),MIN(AD$38,$D$19),$P$20))-SUM($P257:AC257)</f>
        <v>#VALUE!</v>
      </c>
      <c r="AE257" s="446" t="e">
        <f>IF(OR($B257="",MIN(AE$38,$D$19)&lt;MAX($P$34*($B257+IF($R$17="Distrato",$I$38-1,0)),IF(AND($L$37=0,$P$34=0),"",$L$37-1),IF($R$17="Distrato",$E257,0))),0,YEARFRAC(MAX($P$34*($B257+IF($R$17="Distrato",$I$38-1,0)),IF(AND($L$37=0,$P$34=0),"",$L$37-1),IF($R$17="Distrato",$E257,0)),MIN(AE$38,$D$19),$P$20))-SUM($P257:AD257)</f>
        <v>#VALUE!</v>
      </c>
      <c r="AF257" s="446" t="e">
        <f>IF(OR($B257="",MIN(AF$38,$D$19)&lt;MAX($P$34*($B257+IF($R$17="Distrato",$I$38-1,0)),IF(AND($L$37=0,$P$34=0),"",$L$37-1),IF($R$17="Distrato",$E257,0))),0,YEARFRAC(MAX($P$34*($B257+IF($R$17="Distrato",$I$38-1,0)),IF(AND($L$37=0,$P$34=0),"",$L$37-1),IF($R$17="Distrato",$E257,0)),MIN(AF$38,$D$19),$P$20))-SUM($P257:AE257)</f>
        <v>#VALUE!</v>
      </c>
      <c r="AG257" s="446" t="e">
        <f>IF(OR($B257="",MIN(AG$38,$D$19)&lt;MAX($P$34*($B257+IF($R$17="Distrato",$I$38-1,0)),IF(AND($L$37=0,$P$34=0),"",$L$37-1),IF($R$17="Distrato",$E257,0))),0,YEARFRAC(MAX($P$34*($B257+IF($R$17="Distrato",$I$38-1,0)),IF(AND($L$37=0,$P$34=0),"",$L$37-1),IF($R$17="Distrato",$E257,0)),MIN(AG$38,$D$19),$P$20))-SUM($P257:AF257)</f>
        <v>#VALUE!</v>
      </c>
      <c r="AH257" s="446" t="e">
        <f>IF(OR($B257="",MIN(AH$38,$D$19)&lt;MAX($P$34*($B257+IF($R$17="Distrato",$I$38-1,0)),IF(AND($L$37=0,$P$34=0),"",$L$37-1),IF($R$17="Distrato",$E257,0))),0,YEARFRAC(MAX($P$34*($B257+IF($R$17="Distrato",$I$38-1,0)),IF(AND($L$37=0,$P$34=0),"",$L$37-1),IF($R$17="Distrato",$E257,0)),MIN(AH$38,$D$19),$P$20))-SUM($P257:AG257)</f>
        <v>#VALUE!</v>
      </c>
      <c r="AI257" s="446" t="e">
        <f>IF(OR($B257="",MIN(AI$38,$D$19)&lt;MAX($P$34*($B257+IF($R$17="Distrato",$I$38-1,0)),IF(AND($L$37=0,$P$34=0),"",$L$37-1),IF($R$17="Distrato",$E257,0))),0,YEARFRAC(MAX($P$34*($B257+IF($R$17="Distrato",$I$38-1,0)),IF(AND($L$37=0,$P$34=0),"",$L$37-1),IF($R$17="Distrato",$E257,0)),MIN(AI$38,$D$19),$P$20))-SUM($P257:AH257)</f>
        <v>#VALUE!</v>
      </c>
      <c r="AJ257" s="446" t="e">
        <f>IF(OR($B257="",MIN(AJ$38,$D$19)&lt;MAX($P$34*($B257+IF($R$17="Distrato",$I$38-1,0)),IF(AND($L$37=0,$P$34=0),"",$L$37-1),IF($R$17="Distrato",$E257,0))),0,YEARFRAC(MAX($P$34*($B257+IF($R$17="Distrato",$I$38-1,0)),IF(AND($L$37=0,$P$34=0),"",$L$37-1),IF($R$17="Distrato",$E257,0)),MIN(AJ$38,$D$19),$P$20))-SUM($P257:AI257)</f>
        <v>#VALUE!</v>
      </c>
      <c r="AK257" s="446" t="e">
        <f>IF(OR($B257="",MIN(AK$38,$D$19)&lt;MAX($P$34*($B257+IF($R$17="Distrato",$I$38-1,0)),IF(AND($L$37=0,$P$34=0),"",$L$37-1),IF($R$17="Distrato",$E257,0))),0,YEARFRAC(MAX($P$34*($B257+IF($R$17="Distrato",$I$38-1,0)),IF(AND($L$37=0,$P$34=0),"",$L$37-1),IF($R$17="Distrato",$E257,0)),MIN(AK$38,$D$19),$P$20))-SUM($P257:AJ257)</f>
        <v>#VALUE!</v>
      </c>
      <c r="AL257" s="446" t="e">
        <f>IF(OR($B257="",MIN(AL$38,$D$19)&lt;MAX($P$34*($B257+IF($R$17="Distrato",$I$38-1,0)),IF(AND($L$37=0,$P$34=0),"",$L$37-1),IF($R$17="Distrato",$E257,0))),0,YEARFRAC(MAX($P$34*($B257+IF($R$17="Distrato",$I$38-1,0)),IF(AND($L$37=0,$P$34=0),"",$L$37-1),IF($R$17="Distrato",$E257,0)),MIN(AL$38,$D$19),$P$20))-SUM($P257:AK257)</f>
        <v>#VALUE!</v>
      </c>
      <c r="AM257" s="446" t="e">
        <f>IF(OR($B257="",MIN(AM$38,$D$19)&lt;MAX($P$34*($B257+IF($R$17="Distrato",$I$38-1,0)),IF(AND($L$37=0,$P$34=0),"",$L$37-1),IF($R$17="Distrato",$E257,0))),0,YEARFRAC(MAX($P$34*($B257+IF($R$17="Distrato",$I$38-1,0)),IF(AND($L$37=0,$P$34=0),"",$L$37-1),IF($R$17="Distrato",$E257,0)),MIN(AM$38,$D$19),$P$20))-SUM($P257:AL257)</f>
        <v>#VALUE!</v>
      </c>
      <c r="AN257" s="446" t="e">
        <f>IF(OR($B257="",MIN(AN$38,$D$19)&lt;MAX($P$34*($B257+IF($R$17="Distrato",$I$38-1,0)),IF(AND($L$37=0,$P$34=0),"",$L$37-1),IF($R$17="Distrato",$E257,0))),0,YEARFRAC(MAX($P$34*($B257+IF($R$17="Distrato",$I$38-1,0)),IF(AND($L$37=0,$P$34=0),"",$L$37-1),IF($R$17="Distrato",$E257,0)),MIN(AN$38,$D$19),$P$20))-SUM($P257:AM257)</f>
        <v>#VALUE!</v>
      </c>
      <c r="AO257" s="446" t="e">
        <f>IF(OR($B257="",MIN(AO$38,$D$19)&lt;MAX($P$34*($B257+IF($R$17="Distrato",$I$38-1,0)),IF(AND($L$37=0,$P$34=0),"",$L$37-1),IF($R$17="Distrato",$E257,0))),0,YEARFRAC(MAX($P$34*($B257+IF($R$17="Distrato",$I$38-1,0)),IF(AND($L$37=0,$P$34=0),"",$L$37-1),IF($R$17="Distrato",$E257,0)),MIN(AO$38,$D$19),$P$20))-SUM($P257:AN257)</f>
        <v>#VALUE!</v>
      </c>
      <c r="AP257" s="446" t="e">
        <f>IF(OR($B257="",MIN(AP$38,$D$19)&lt;MAX($P$34*($B257+IF($R$17="Distrato",$I$38-1,0)),IF(AND($L$37=0,$P$34=0),"",$L$37-1),IF($R$17="Distrato",$E257,0))),0,YEARFRAC(MAX($P$34*($B257+IF($R$17="Distrato",$I$38-1,0)),IF(AND($L$37=0,$P$34=0),"",$L$37-1),IF($R$17="Distrato",$E257,0)),MIN(AP$38,$D$19),$P$20))-SUM($P257:AO257)</f>
        <v>#VALUE!</v>
      </c>
      <c r="AQ257" s="446" t="e">
        <f>IF(OR($B257="",MIN(AQ$38,$D$19)&lt;MAX($P$34*($B257+IF($R$17="Distrato",$I$38-1,0)),IF(AND($L$37=0,$P$34=0),"",$L$37-1),IF($R$17="Distrato",$E257,0))),0,YEARFRAC(MAX($P$34*($B257+IF($R$17="Distrato",$I$38-1,0)),IF(AND($L$37=0,$P$34=0),"",$L$37-1),IF($R$17="Distrato",$E257,0)),MIN(AQ$38,$D$19),$P$20))-SUM($P257:AP257)</f>
        <v>#VALUE!</v>
      </c>
      <c r="AR257" s="446" t="e">
        <f>IF(OR($B257="",MIN(AR$38,$D$19)&lt;MAX($P$34*($B257+IF($R$17="Distrato",$I$38-1,0)),IF(AND($L$37=0,$P$34=0),"",$L$37-1),IF($R$17="Distrato",$E257,0))),0,YEARFRAC(MAX($P$34*($B257+IF($R$17="Distrato",$I$38-1,0)),IF(AND($L$37=0,$P$34=0),"",$L$37-1),IF($R$17="Distrato",$E257,0)),MIN(AR$38,$D$19),$P$20))-SUM($P257:AQ257)</f>
        <v>#VALUE!</v>
      </c>
      <c r="AS257" s="446" t="e">
        <f>IF(OR($B257="",MIN(AS$38,$D$19)&lt;MAX($P$34*($B257+IF($R$17="Distrato",$I$38-1,0)),IF(AND($L$37=0,$P$34=0),"",$L$37-1),IF($R$17="Distrato",$E257,0))),0,YEARFRAC(MAX($P$34*($B257+IF($R$17="Distrato",$I$38-1,0)),IF(AND($L$37=0,$P$34=0),"",$L$37-1),IF($R$17="Distrato",$E257,0)),MIN(AS$38,$D$19),$P$20))-SUM($P257:AR257)</f>
        <v>#VALUE!</v>
      </c>
      <c r="AT257" s="446" t="e">
        <f>IF(OR($B257="",MIN(AT$38,$D$19)&lt;MAX($P$34*($B257+IF($R$17="Distrato",$I$38-1,0)),IF(AND($L$37=0,$P$34=0),"",$L$37-1),IF($R$17="Distrato",$E257,0))),0,YEARFRAC(MAX($P$34*($B257+IF($R$17="Distrato",$I$38-1,0)),IF(AND($L$37=0,$P$34=0),"",$L$37-1),IF($R$17="Distrato",$E257,0)),MIN(AT$38,$D$19),$P$20))-SUM($P257:AS257)</f>
        <v>#VALUE!</v>
      </c>
      <c r="AU257" s="446" t="e">
        <f>IF(OR($B257="",MIN(AU$38,$D$19)&lt;MAX($P$34*($B257+IF($R$17="Distrato",$I$38-1,0)),IF(AND($L$37=0,$P$34=0),"",$L$37-1),IF($R$17="Distrato",$E257,0))),0,YEARFRAC(MAX($P$34*($B257+IF($R$17="Distrato",$I$38-1,0)),IF(AND($L$37=0,$P$34=0),"",$L$37-1),IF($R$17="Distrato",$E257,0)),MIN(AU$38,$D$19),$P$20))-SUM($P257:AT257)</f>
        <v>#VALUE!</v>
      </c>
      <c r="AV257" s="446" t="e">
        <f>IF(OR($B257="",MIN(AV$38,$D$19)&lt;MAX($P$34*($B257+IF($R$17="Distrato",$I$38-1,0)),IF(AND($L$37=0,$P$34=0),"",$L$37-1),IF($R$17="Distrato",$E257,0))),0,YEARFRAC(MAX($P$34*($B257+IF($R$17="Distrato",$I$38-1,0)),IF(AND($L$37=0,$P$34=0),"",$L$37-1),IF($R$17="Distrato",$E257,0)),MIN(AV$38,$D$19),$P$20))-SUM($P257:AU257)</f>
        <v>#VALUE!</v>
      </c>
      <c r="AW257" s="446" t="e">
        <f>IF(OR($B257="",MIN(AW$38,$D$19)&lt;MAX($P$34*($B257+IF($R$17="Distrato",$I$38-1,0)),IF(AND($L$37=0,$P$34=0),"",$L$37-1),IF($R$17="Distrato",$E257,0))),0,YEARFRAC(MAX($P$34*($B257+IF($R$17="Distrato",$I$38-1,0)),IF(AND($L$37=0,$P$34=0),"",$L$37-1),IF($R$17="Distrato",$E257,0)),MIN(AW$38,$D$19),$P$20))-SUM($P257:AV257)</f>
        <v>#VALUE!</v>
      </c>
      <c r="AX257" s="446" t="e">
        <f>IF(OR($B257="",MIN(AX$38,$D$19)&lt;MAX($P$34*($B257+IF($R$17="Distrato",$I$38-1,0)),IF(AND($L$37=0,$P$34=0),"",$L$37-1),IF($R$17="Distrato",$E257,0))),0,YEARFRAC(MAX($P$34*($B257+IF($R$17="Distrato",$I$38-1,0)),IF(AND($L$37=0,$P$34=0),"",$L$37-1),IF($R$17="Distrato",$E257,0)),MIN(AX$38,$D$19),$P$20))-SUM($P257:AW257)</f>
        <v>#VALUE!</v>
      </c>
      <c r="AY257" s="446" t="e">
        <f>IF(OR($B257="",MIN(AY$38,$D$19)&lt;MAX($P$34*($B257+IF($R$17="Distrato",$I$38-1,0)),IF(AND($L$37=0,$P$34=0),"",$L$37-1),IF($R$17="Distrato",$E257,0))),0,YEARFRAC(MAX($P$34*($B257+IF($R$17="Distrato",$I$38-1,0)),IF(AND($L$37=0,$P$34=0),"",$L$37-1),IF($R$17="Distrato",$E257,0)),MIN(AY$38,$D$19),$P$20))-SUM($P257:AX257)</f>
        <v>#VALUE!</v>
      </c>
      <c r="AZ257" s="446" t="e">
        <f>IF(OR($B257="",MIN(AZ$38,$D$19)&lt;MAX($P$34*($B257+IF($R$17="Distrato",$I$38-1,0)),IF(AND($L$37=0,$P$34=0),"",$L$37-1),IF($R$17="Distrato",$E257,0))),0,YEARFRAC(MAX($P$34*($B257+IF($R$17="Distrato",$I$38-1,0)),IF(AND($L$37=0,$P$34=0),"",$L$37-1),IF($R$17="Distrato",$E257,0)),MIN(AZ$38,$D$19),$P$20))-SUM($P257:AY257)</f>
        <v>#VALUE!</v>
      </c>
      <c r="BA257" s="446" t="e">
        <f>IF(OR($B257="",MIN(BA$38,$D$19)&lt;MAX($P$34*($B257+IF($R$17="Distrato",$I$38-1,0)),IF(AND($L$37=0,$P$34=0),"",$L$37-1),IF($R$17="Distrato",$E257,0))),0,YEARFRAC(MAX($P$34*($B257+IF($R$17="Distrato",$I$38-1,0)),IF(AND($L$37=0,$P$34=0),"",$L$37-1),IF($R$17="Distrato",$E257,0)),MIN(BA$38,$D$19),$P$20))-SUM($P257:AZ257)</f>
        <v>#VALUE!</v>
      </c>
      <c r="BB257" s="447"/>
      <c r="BF257" s="446">
        <f t="shared" si="43"/>
        <v>0</v>
      </c>
      <c r="BG257" s="446">
        <f>IF($E257=0,0,IF(MIN(BG$38,$E257)&lt;MAX($P$34*($B257+$I$38-1),IF(AND($L$37=0,$P$34=0),"",$L$37-1)),0,YEARFRAC(MAX($P$34*($B257+$I$38-1),IF(AND($L$37=0,$P$34=0),"",$L$37-1)),MIN(BG$38,$E257),$P$20))-SUM($BF257:BF257))</f>
        <v>0</v>
      </c>
      <c r="BH257" s="446">
        <f>IF($E257=0,0,IF(MIN(BH$38,$E257)&lt;MAX($P$34*($B257+$I$38-1),IF(AND($L$37=0,$P$34=0),"",$L$37-1)),0,YEARFRAC(MAX($P$34*($B257+$I$38-1),IF(AND($L$37=0,$P$34=0),"",$L$37-1)),MIN(BH$38,$E257),$P$20))-SUM($BF257:BG257))</f>
        <v>0</v>
      </c>
      <c r="BI257" s="446">
        <f>IF($E257=0,0,IF(MIN(BI$38,$E257)&lt;MAX($P$34*($B257+$I$38-1),IF(AND($L$37=0,$P$34=0),"",$L$37-1)),0,YEARFRAC(MAX($P$34*($B257+$I$38-1),IF(AND($L$37=0,$P$34=0),"",$L$37-1)),MIN(BI$38,$E257),$P$20))-SUM($BF257:BH257))</f>
        <v>0</v>
      </c>
      <c r="BJ257" s="446">
        <f>IF($E257=0,0,IF(MIN(BJ$38,$E257)&lt;MAX($P$34*($B257+$I$38-1),IF(AND($L$37=0,$P$34=0),"",$L$37-1)),0,YEARFRAC(MAX($P$34*($B257+$I$38-1),IF(AND($L$37=0,$P$34=0),"",$L$37-1)),MIN(BJ$38,$E257),$P$20))-SUM($BF257:BI257))</f>
        <v>0</v>
      </c>
      <c r="BK257" s="446">
        <f>IF($E257=0,0,IF(MIN(BK$38,$E257)&lt;MAX($P$34*($B257+$I$38-1),IF(AND($L$37=0,$P$34=0),"",$L$37-1)),0,YEARFRAC(MAX($P$34*($B257+$I$38-1),IF(AND($L$37=0,$P$34=0),"",$L$37-1)),MIN(BK$38,$E257),$P$20))-SUM($BF257:BJ257))</f>
        <v>0</v>
      </c>
      <c r="BL257" s="446">
        <f>IF($E257=0,0,IF(MIN(BL$38,$E257)&lt;MAX($P$34*($B257+$I$38-1),IF(AND($L$37=0,$P$34=0),"",$L$37-1)),0,YEARFRAC(MAX($P$34*($B257+$I$38-1),IF(AND($L$37=0,$P$34=0),"",$L$37-1)),MIN(BL$38,$E257),$P$20))-SUM($BF257:BK257))</f>
        <v>0</v>
      </c>
      <c r="BM257" s="446">
        <f>IF($E257=0,0,IF(MIN(BM$38,$E257)&lt;MAX($P$34*($B257+$I$38-1),IF(AND($L$37=0,$P$34=0),"",$L$37-1)),0,YEARFRAC(MAX($P$34*($B257+$I$38-1),IF(AND($L$37=0,$P$34=0),"",$L$37-1)),MIN(BM$38,$E257),$P$20))-SUM($BF257:BL257))</f>
        <v>0</v>
      </c>
      <c r="BN257" s="446">
        <f>IF($E257=0,0,IF(MIN(BN$38,$E257)&lt;MAX($P$34*($B257+$I$38-1),IF(AND($L$37=0,$P$34=0),"",$L$37-1)),0,YEARFRAC(MAX($P$34*($B257+$I$38-1),IF(AND($L$37=0,$P$34=0),"",$L$37-1)),MIN(BN$38,$E257),$P$20))-SUM($BF257:BM257))</f>
        <v>0</v>
      </c>
      <c r="BO257" s="446">
        <f>IF($E257=0,0,IF(MIN(BO$38,$E257)&lt;MAX($P$34*($B257+$I$38-1),IF(AND($L$37=0,$P$34=0),"",$L$37-1)),0,YEARFRAC(MAX($P$34*($B257+$I$38-1),IF(AND($L$37=0,$P$34=0),"",$L$37-1)),MIN(BO$38,$E257),$P$20))-SUM($BF257:BN257))</f>
        <v>0</v>
      </c>
      <c r="BP257" s="446">
        <f>IF($E257=0,0,IF(MIN(BP$38,$E257)&lt;MAX($P$34*($B257+$I$38-1),IF(AND($L$37=0,$P$34=0),"",$L$37-1)),0,YEARFRAC(MAX($P$34*($B257+$I$38-1),IF(AND($L$37=0,$P$34=0),"",$L$37-1)),MIN(BP$38,$E257),$P$20))-SUM($BF257:BO257))</f>
        <v>0</v>
      </c>
      <c r="BQ257" s="446">
        <f>IF($E257=0,0,IF(MIN(BQ$38,$E257)&lt;MAX($P$34*($B257+$I$38-1),IF(AND($L$37=0,$P$34=0),"",$L$37-1)),0,YEARFRAC(MAX($P$34*($B257+$I$38-1),IF(AND($L$37=0,$P$34=0),"",$L$37-1)),MIN(BQ$38,$E257),$P$20))-SUM($BF257:BP257))</f>
        <v>0</v>
      </c>
      <c r="BR257" s="446">
        <f>IF($E257=0,0,IF(MIN(BR$38,$E257)&lt;MAX($P$34*($B257+$I$38-1),IF(AND($L$37=0,$P$34=0),"",$L$37-1)),0,YEARFRAC(MAX($P$34*($B257+$I$38-1),IF(AND($L$37=0,$P$34=0),"",$L$37-1)),MIN(BR$38,$E257),$P$20))-SUM($BF257:BQ257))</f>
        <v>0</v>
      </c>
      <c r="BS257" s="446">
        <f>IF($E257=0,0,IF(MIN(BS$38,$E257)&lt;MAX($P$34*($B257+$I$38-1),IF(AND($L$37=0,$P$34=0),"",$L$37-1)),0,YEARFRAC(MAX($P$34*($B257+$I$38-1),IF(AND($L$37=0,$P$34=0),"",$L$37-1)),MIN(BS$38,$E257),$P$20))-SUM($BF257:BR257))</f>
        <v>0</v>
      </c>
      <c r="BT257" s="446">
        <f>IF($E257=0,0,IF(MIN(BT$38,$E257)&lt;MAX($P$34*($B257+$I$38-1),IF(AND($L$37=0,$P$34=0),"",$L$37-1)),0,YEARFRAC(MAX($P$34*($B257+$I$38-1),IF(AND($L$37=0,$P$34=0),"",$L$37-1)),MIN(BT$38,$E257),$P$20))-SUM($BF257:BS257))</f>
        <v>0</v>
      </c>
      <c r="BU257" s="446">
        <f>IF($E257=0,0,IF(MIN(BU$38,$E257)&lt;MAX($P$34*($B257+$I$38-1),IF(AND($L$37=0,$P$34=0),"",$L$37-1)),0,YEARFRAC(MAX($P$34*($B257+$I$38-1),IF(AND($L$37=0,$P$34=0),"",$L$37-1)),MIN(BU$38,$E257),$P$20))-SUM($BF257:BT257))</f>
        <v>0</v>
      </c>
      <c r="BV257" s="446">
        <f>IF($E257=0,0,IF(MIN(BV$38,$E257)&lt;MAX($P$34*($B257+$I$38-1),IF(AND($L$37=0,$P$34=0),"",$L$37-1)),0,YEARFRAC(MAX($P$34*($B257+$I$38-1),IF(AND($L$37=0,$P$34=0),"",$L$37-1)),MIN(BV$38,$E257),$P$20))-SUM($BF257:BU257))</f>
        <v>0</v>
      </c>
      <c r="BW257" s="446">
        <f>IF($E257=0,0,IF(MIN(BW$38,$E257)&lt;MAX($P$34*($B257+$I$38-1),IF(AND($L$37=0,$P$34=0),"",$L$37-1)),0,YEARFRAC(MAX($P$34*($B257+$I$38-1),IF(AND($L$37=0,$P$34=0),"",$L$37-1)),MIN(BW$38,$E257),$P$20))-SUM($BF257:BV257))</f>
        <v>0</v>
      </c>
      <c r="BX257" s="446">
        <f>IF($E257=0,0,IF(MIN(BX$38,$E257)&lt;MAX($P$34*($B257+$I$38-1),IF(AND($L$37=0,$P$34=0),"",$L$37-1)),0,YEARFRAC(MAX($P$34*($B257+$I$38-1),IF(AND($L$37=0,$P$34=0),"",$L$37-1)),MIN(BX$38,$E257),$P$20))-SUM($BF257:BW257))</f>
        <v>0</v>
      </c>
      <c r="BY257" s="446">
        <f>IF($E257=0,0,IF(MIN(BY$38,$E257)&lt;MAX($P$34*($B257+$I$38-1),IF(AND($L$37=0,$P$34=0),"",$L$37-1)),0,YEARFRAC(MAX($P$34*($B257+$I$38-1),IF(AND($L$37=0,$P$34=0),"",$L$37-1)),MIN(BY$38,$E257),$P$20))-SUM($BF257:BX257))</f>
        <v>0</v>
      </c>
      <c r="BZ257" s="446">
        <f>IF($E257=0,0,IF(MIN(BZ$38,$E257)&lt;MAX($P$34*($B257+$I$38-1),IF(AND($L$37=0,$P$34=0),"",$L$37-1)),0,YEARFRAC(MAX($P$34*($B257+$I$38-1),IF(AND($L$37=0,$P$34=0),"",$L$37-1)),MIN(BZ$38,$E257),$P$20))-SUM($BF257:BY257))</f>
        <v>0</v>
      </c>
      <c r="CA257" s="446">
        <f>IF($E257=0,0,IF(MIN(CA$38,$E257)&lt;MAX($P$34*($B257+$I$38-1),IF(AND($L$37=0,$P$34=0),"",$L$37-1)),0,YEARFRAC(MAX($P$34*($B257+$I$38-1),IF(AND($L$37=0,$P$34=0),"",$L$37-1)),MIN(CA$38,$E257),$P$20))-SUM($BF257:BZ257))</f>
        <v>0</v>
      </c>
      <c r="CB257" s="446">
        <f>IF($E257=0,0,IF(MIN(CB$38,$E257)&lt;MAX($P$34*($B257+$I$38-1),IF(AND($L$37=0,$P$34=0),"",$L$37-1)),0,YEARFRAC(MAX($P$34*($B257+$I$38-1),IF(AND($L$37=0,$P$34=0),"",$L$37-1)),MIN(CB$38,$E257),$P$20))-SUM($BF257:CA257))</f>
        <v>0</v>
      </c>
      <c r="CC257" s="446">
        <f>IF($E257=0,0,IF(MIN(CC$38,$E257)&lt;MAX($P$34*($B257+$I$38-1),IF(AND($L$37=0,$P$34=0),"",$L$37-1)),0,YEARFRAC(MAX($P$34*($B257+$I$38-1),IF(AND($L$37=0,$P$34=0),"",$L$37-1)),MIN(CC$38,$E257),$P$20))-SUM($BF257:CB257))</f>
        <v>0</v>
      </c>
      <c r="CD257" s="446">
        <f>IF($E257=0,0,IF(MIN(CD$38,$E257)&lt;MAX($P$34*($B257+$I$38-1),IF(AND($L$37=0,$P$34=0),"",$L$37-1)),0,YEARFRAC(MAX($P$34*($B257+$I$38-1),IF(AND($L$37=0,$P$34=0),"",$L$37-1)),MIN(CD$38,$E257),$P$20))-SUM($BF257:CC257))</f>
        <v>0</v>
      </c>
      <c r="CE257" s="446">
        <f>IF($E257=0,0,IF(MIN(CE$38,$E257)&lt;MAX($P$34*($B257+$I$38-1),IF(AND($L$37=0,$P$34=0),"",$L$37-1)),0,YEARFRAC(MAX($P$34*($B257+$I$38-1),IF(AND($L$37=0,$P$34=0),"",$L$37-1)),MIN(CE$38,$E257),$P$20))-SUM($BF257:CD257))</f>
        <v>0</v>
      </c>
      <c r="CF257" s="446">
        <f>IF($E257=0,0,IF(MIN(CF$38,$E257)&lt;MAX($P$34*($B257+$I$38-1),IF(AND($L$37=0,$P$34=0),"",$L$37-1)),0,YEARFRAC(MAX($P$34*($B257+$I$38-1),IF(AND($L$37=0,$P$34=0),"",$L$37-1)),MIN(CF$38,$E257),$P$20))-SUM($BF257:CE257))</f>
        <v>0</v>
      </c>
      <c r="CG257" s="446">
        <f>IF($E257=0,0,IF(MIN(CG$38,$E257)&lt;MAX($P$34*($B257+$I$38-1),IF(AND($L$37=0,$P$34=0),"",$L$37-1)),0,YEARFRAC(MAX($P$34*($B257+$I$38-1),IF(AND($L$37=0,$P$34=0),"",$L$37-1)),MIN(CG$38,$E257),$P$20))-SUM($BF257:CF257))</f>
        <v>0</v>
      </c>
      <c r="CH257" s="446">
        <f>IF($E257=0,0,IF(MIN(CH$38,$E257)&lt;MAX($P$34*($B257+$I$38-1),IF(AND($L$37=0,$P$34=0),"",$L$37-1)),0,YEARFRAC(MAX($P$34*($B257+$I$38-1),IF(AND($L$37=0,$P$34=0),"",$L$37-1)),MIN(CH$38,$E257),$P$20))-SUM($BF257:CG257))</f>
        <v>0</v>
      </c>
      <c r="CI257" s="446">
        <f>IF($E257=0,0,IF(MIN(CI$38,$E257)&lt;MAX($P$34*($B257+$I$38-1),IF(AND($L$37=0,$P$34=0),"",$L$37-1)),0,YEARFRAC(MAX($P$34*($B257+$I$38-1),IF(AND($L$37=0,$P$34=0),"",$L$37-1)),MIN(CI$38,$E257),$P$20))-SUM($BF257:CH257))</f>
        <v>0</v>
      </c>
      <c r="CJ257" s="446">
        <f>IF($E257=0,0,IF(MIN(CJ$38,$E257)&lt;MAX($P$34*($B257+$I$38-1),IF(AND($L$37=0,$P$34=0),"",$L$37-1)),0,YEARFRAC(MAX($P$34*($B257+$I$38-1),IF(AND($L$37=0,$P$34=0),"",$L$37-1)),MIN(CJ$38,$E257),$P$20))-SUM($BF257:CI257))</f>
        <v>0</v>
      </c>
      <c r="CK257" s="446">
        <f>IF($E257=0,0,IF(MIN(CK$38,$E257)&lt;MAX($P$34*($B257+$I$38-1),IF(AND($L$37=0,$P$34=0),"",$L$37-1)),0,YEARFRAC(MAX($P$34*($B257+$I$38-1),IF(AND($L$37=0,$P$34=0),"",$L$37-1)),MIN(CK$38,$E257),$P$20))-SUM($BF257:CJ257))</f>
        <v>0</v>
      </c>
      <c r="CL257" s="446">
        <f>IF($E257=0,0,IF(MIN(CL$38,$E257)&lt;MAX($P$34*($B257+$I$38-1),IF(AND($L$37=0,$P$34=0),"",$L$37-1)),0,YEARFRAC(MAX($P$34*($B257+$I$38-1),IF(AND($L$37=0,$P$34=0),"",$L$37-1)),MIN(CL$38,$E257),$P$20))-SUM($BF257:CK257))</f>
        <v>0</v>
      </c>
      <c r="CM257" s="446">
        <f>IF($E257=0,0,IF(MIN(CM$38,$E257)&lt;MAX($P$34*($B257+$I$38-1),IF(AND($L$37=0,$P$34=0),"",$L$37-1)),0,YEARFRAC(MAX($P$34*($B257+$I$38-1),IF(AND($L$37=0,$P$34=0),"",$L$37-1)),MIN(CM$38,$E257),$P$20))-SUM($BF257:CL257))</f>
        <v>0</v>
      </c>
      <c r="CN257" s="446">
        <f>IF($E257=0,0,IF(MIN(CN$38,$E257)&lt;MAX($P$34*($B257+$I$38-1),IF(AND($L$37=0,$P$34=0),"",$L$37-1)),0,YEARFRAC(MAX($P$34*($B257+$I$38-1),IF(AND($L$37=0,$P$34=0),"",$L$37-1)),MIN(CN$38,$E257),$P$20))-SUM($BF257:CM257))</f>
        <v>0</v>
      </c>
      <c r="CO257" s="446">
        <f>IF($E257=0,0,IF(MIN(CO$38,$E257)&lt;MAX($P$34*($B257+$I$38-1),IF(AND($L$37=0,$P$34=0),"",$L$37-1)),0,YEARFRAC(MAX($P$34*($B257+$I$38-1),IF(AND($L$37=0,$P$34=0),"",$L$37-1)),MIN(CO$38,$E257),$P$20))-SUM($BF257:CN257))</f>
        <v>0</v>
      </c>
      <c r="CP257" s="446">
        <f>IF($E257=0,0,IF(MIN(CP$38,$E257)&lt;MAX($P$34*($B257+$I$38-1),IF(AND($L$37=0,$P$34=0),"",$L$37-1)),0,YEARFRAC(MAX($P$34*($B257+$I$38-1),IF(AND($L$37=0,$P$34=0),"",$L$37-1)),MIN(CP$38,$E257),$P$20))-SUM($BF257:CO257))</f>
        <v>0</v>
      </c>
      <c r="CQ257" s="446">
        <f>IF($E257=0,0,IF(MIN(CQ$38,$E257)&lt;MAX($P$34*($B257+$I$38-1),IF(AND($L$37=0,$P$34=0),"",$L$37-1)),0,YEARFRAC(MAX($P$34*($B257+$I$38-1),IF(AND($L$37=0,$P$34=0),"",$L$37-1)),MIN(CQ$38,$E257),$P$20))-SUM($BF257:CP257))</f>
        <v>0</v>
      </c>
    </row>
    <row r="258" spans="1:95" s="446" customFormat="1" ht="11.25" hidden="1" customHeight="1" x14ac:dyDescent="0.2">
      <c r="A258" s="152"/>
      <c r="B258" s="153" t="str">
        <f t="shared" si="48"/>
        <v/>
      </c>
      <c r="C258" s="29" t="str">
        <f>IF(B258="","",IF($L$35="SELIC - TRIBUTOS",VLOOKUP(DATE(YEAR($D$19),MONTH($D$19)-1,1),ÍNDICES!$A:$DE,HLOOKUP($BL$25,ÍNDICES!$B$3:$T$4,2)+11)-VLOOKUP(B258,ÍNDICES!$A:$DE,HLOOKUP($BL$25,ÍNDICES!$B$3:$T$4,2)+11)+1%,IF(C$38=$W$26,$J$35,IF(ISERROR(IF(B258&gt;$D$19,1,VLOOKUP(DATE(YEAR(B258),MONTH(B258)+IF($C$35=$S$23,1,0),1),ÍNDICES!$A:$DE,$Z$35+1))),"",IF(B258&gt;$D$19,1,VLOOKUP(DATE(YEAR(B258),MONTH(B258)+IF($C$35=$S$23,1,0),1),ÍNDICES!$A:$DE,$Z$35+1))))))</f>
        <v/>
      </c>
      <c r="D258" s="154" t="str">
        <f>IF(ISERROR(IF(OR($D$38=$Y$27,$B258=""),"",VLOOKUP(B258,ÍNDICES!A:DE,AF$35+1))),"",IF(OR($D$38=$Y$27,$B258=""),"",VLOOKUP(B258,ÍNDICES!A:DE,AF$35+1)))</f>
        <v/>
      </c>
      <c r="E258" s="153"/>
      <c r="F258" s="29" t="str">
        <f>IF(E258="","",IF($L$35="SELIC - TRIBUTOS",VLOOKUP(DATE(YEAR($D$19),MONTH($D$19)-1,1),ÍNDICES!$A:$DE,HLOOKUP($BL$25,ÍNDICES!$B$3:$T$4,2)+11)-VLOOKUP(E258,ÍNDICES!$A:$DE,HLOOKUP($BL$25,ÍNDICES!$B$3:$T$4,2)+11)+1%,IF(F$38=$W$26,$J$35,IF(ISERROR(IF(E258&gt;$D$19,1,VLOOKUP(DATE(YEAR(E258),MONTH(E258)+IF($C$35=$S$23,1,0),1),ÍNDICES!$A:$DE,$Z$35+1))),"",IF(E258&gt;$D$19,1,VLOOKUP(DATE(YEAR(E258),MONTH(E258)+IF($C$35=$S$23,1,0),1),ÍNDICES!$A:$DE,$Z$35+1))))))</f>
        <v/>
      </c>
      <c r="G258" s="155"/>
      <c r="H258" s="156" t="str">
        <f t="shared" si="44"/>
        <v/>
      </c>
      <c r="I258" s="29" t="str">
        <f t="shared" si="38"/>
        <v/>
      </c>
      <c r="J258" s="5">
        <f t="shared" si="39"/>
        <v>0</v>
      </c>
      <c r="K258" s="20">
        <f t="shared" ca="1" si="40"/>
        <v>0</v>
      </c>
      <c r="L258" s="5">
        <f t="shared" ca="1" si="41"/>
        <v>0</v>
      </c>
      <c r="M258" s="64">
        <f t="shared" si="45"/>
        <v>0</v>
      </c>
      <c r="N258" s="61">
        <f t="shared" ca="1" si="46"/>
        <v>0</v>
      </c>
      <c r="O258" s="5">
        <f t="shared" ca="1" si="47"/>
        <v>0</v>
      </c>
      <c r="P258" s="446" t="e">
        <f t="shared" si="42"/>
        <v>#VALUE!</v>
      </c>
      <c r="Q258" s="446" t="e">
        <f>IF(OR($B258="",MIN(Q$38,$D$19)&lt;MAX($P$34*($B258+IF($R$17="Distrato",$I$38-1,0)),IF(AND($L$37=0,$P$34=0),"",$L$37-1),IF($R$17="Distrato",$E258,0))),0,YEARFRAC(MAX($P$34*($B258+IF($R$17="Distrato",$I$38-1,0)),IF(AND($L$37=0,$P$34=0),"",$L$37-1),IF($R$17="Distrato",$E258,0)),MIN(Q$38,$D$19),$P$20))-SUM($P258:P258)</f>
        <v>#VALUE!</v>
      </c>
      <c r="R258" s="446" t="e">
        <f>IF(OR($B258="",MIN(R$38,$D$19)&lt;MAX($P$34*($B258+IF($R$17="Distrato",$I$38-1,0)),IF(AND($L$37=0,$P$34=0),"",$L$37-1),IF($R$17="Distrato",$E258,0))),0,YEARFRAC(MAX($P$34*($B258+IF($R$17="Distrato",$I$38-1,0)),IF(AND($L$37=0,$P$34=0),"",$L$37-1),IF($R$17="Distrato",$E258,0)),MIN(R$38,$D$19),$P$20))-SUM($P258:Q258)</f>
        <v>#VALUE!</v>
      </c>
      <c r="S258" s="446" t="e">
        <f>IF(OR($B258="",MIN(S$38,$D$19)&lt;MAX($P$34*($B258+IF($R$17="Distrato",$I$38-1,0)),IF(AND($L$37=0,$P$34=0),"",$L$37-1),IF($R$17="Distrato",$E258,0))),0,YEARFRAC(MAX($P$34*($B258+IF($R$17="Distrato",$I$38-1,0)),IF(AND($L$37=0,$P$34=0),"",$L$37-1),IF($R$17="Distrato",$E258,0)),MIN(S$38,$D$19),$P$20))-SUM($P258:R258)</f>
        <v>#VALUE!</v>
      </c>
      <c r="T258" s="446" t="e">
        <f>IF(OR($B258="",MIN(T$38,$D$19)&lt;MAX($P$34*($B258+IF($R$17="Distrato",$I$38-1,0)),IF(AND($L$37=0,$P$34=0),"",$L$37-1),IF($R$17="Distrato",$E258,0))),0,YEARFRAC(MAX($P$34*($B258+IF($R$17="Distrato",$I$38-1,0)),IF(AND($L$37=0,$P$34=0),"",$L$37-1),IF($R$17="Distrato",$E258,0)),MIN(T$38,$D$19),$P$20))-SUM($P258:S258)</f>
        <v>#VALUE!</v>
      </c>
      <c r="U258" s="446" t="e">
        <f>IF(OR($B258="",MIN(U$38,$D$19)&lt;MAX($P$34*($B258+IF($R$17="Distrato",$I$38-1,0)),IF(AND($L$37=0,$P$34=0),"",$L$37-1),IF($R$17="Distrato",$E258,0))),0,YEARFRAC(MAX($P$34*($B258+IF($R$17="Distrato",$I$38-1,0)),IF(AND($L$37=0,$P$34=0),"",$L$37-1),IF($R$17="Distrato",$E258,0)),MIN(U$38,$D$19),$P$20))-SUM($P258:T258)</f>
        <v>#VALUE!</v>
      </c>
      <c r="V258" s="446" t="e">
        <f>IF(OR($B258="",MIN(V$38,$D$19)&lt;MAX($P$34*($B258+IF($R$17="Distrato",$I$38-1,0)),IF(AND($L$37=0,$P$34=0),"",$L$37-1),IF($R$17="Distrato",$E258,0))),0,YEARFRAC(MAX($P$34*($B258+IF($R$17="Distrato",$I$38-1,0)),IF(AND($L$37=0,$P$34=0),"",$L$37-1),IF($R$17="Distrato",$E258,0)),MIN(V$38,$D$19),$P$20))-SUM($P258:U258)</f>
        <v>#VALUE!</v>
      </c>
      <c r="W258" s="446" t="e">
        <f>IF(OR($B258="",MIN(W$38,$D$19)&lt;MAX($P$34*($B258+IF($R$17="Distrato",$I$38-1,0)),IF(AND($L$37=0,$P$34=0),"",$L$37-1),IF($R$17="Distrato",$E258,0))),0,YEARFRAC(MAX($P$34*($B258+IF($R$17="Distrato",$I$38-1,0)),IF(AND($L$37=0,$P$34=0),"",$L$37-1),IF($R$17="Distrato",$E258,0)),MIN(W$38,$D$19),$P$20))-SUM($P258:V258)</f>
        <v>#VALUE!</v>
      </c>
      <c r="X258" s="446" t="e">
        <f>IF(OR($B258="",MIN(X$38,$D$19)&lt;MAX($P$34*($B258+IF($R$17="Distrato",$I$38-1,0)),IF(AND($L$37=0,$P$34=0),"",$L$37-1),IF($R$17="Distrato",$E258,0))),0,YEARFRAC(MAX($P$34*($B258+IF($R$17="Distrato",$I$38-1,0)),IF(AND($L$37=0,$P$34=0),"",$L$37-1),IF($R$17="Distrato",$E258,0)),MIN(X$38,$D$19),$P$20))-SUM($P258:W258)</f>
        <v>#VALUE!</v>
      </c>
      <c r="Y258" s="446" t="e">
        <f>IF(OR($B258="",MIN(Y$38,$D$19)&lt;MAX($P$34*($B258+IF($R$17="Distrato",$I$38-1,0)),IF(AND($L$37=0,$P$34=0),"",$L$37-1),IF($R$17="Distrato",$E258,0))),0,YEARFRAC(MAX($P$34*($B258+IF($R$17="Distrato",$I$38-1,0)),IF(AND($L$37=0,$P$34=0),"",$L$37-1),IF($R$17="Distrato",$E258,0)),MIN(Y$38,$D$19),$P$20))-SUM($P258:X258)</f>
        <v>#VALUE!</v>
      </c>
      <c r="Z258" s="446" t="e">
        <f>IF(OR($B258="",MIN(Z$38,$D$19)&lt;MAX($P$34*($B258+IF($R$17="Distrato",$I$38-1,0)),IF(AND($L$37=0,$P$34=0),"",$L$37-1),IF($R$17="Distrato",$E258,0))),0,YEARFRAC(MAX($P$34*($B258+IF($R$17="Distrato",$I$38-1,0)),IF(AND($L$37=0,$P$34=0),"",$L$37-1),IF($R$17="Distrato",$E258,0)),MIN(Z$38,$D$19),$P$20))-SUM($P258:Y258)</f>
        <v>#VALUE!</v>
      </c>
      <c r="AA258" s="446" t="e">
        <f>IF(OR($B258="",MIN(AA$38,$D$19)&lt;MAX($P$34*($B258+IF($R$17="Distrato",$I$38-1,0)),IF(AND($L$37=0,$P$34=0),"",$L$37-1),IF($R$17="Distrato",$E258,0))),0,YEARFRAC(MAX($P$34*($B258+IF($R$17="Distrato",$I$38-1,0)),IF(AND($L$37=0,$P$34=0),"",$L$37-1),IF($R$17="Distrato",$E258,0)),MIN(AA$38,$D$19),$P$20))-SUM($P258:Z258)</f>
        <v>#VALUE!</v>
      </c>
      <c r="AB258" s="446" t="e">
        <f>IF(OR($B258="",MIN(AB$38,$D$19)&lt;MAX($P$34*($B258+IF($R$17="Distrato",$I$38-1,0)),IF(AND($L$37=0,$P$34=0),"",$L$37-1),IF($R$17="Distrato",$E258,0))),0,YEARFRAC(MAX($P$34*($B258+IF($R$17="Distrato",$I$38-1,0)),IF(AND($L$37=0,$P$34=0),"",$L$37-1),IF($R$17="Distrato",$E258,0)),MIN(AB$38,$D$19),$P$20))-SUM($P258:AA258)</f>
        <v>#VALUE!</v>
      </c>
      <c r="AC258" s="446" t="e">
        <f>IF(OR($B258="",MIN(AC$38,$D$19)&lt;MAX($P$34*($B258+IF($R$17="Distrato",$I$38-1,0)),IF(AND($L$37=0,$P$34=0),"",$L$37-1),IF($R$17="Distrato",$E258,0))),0,YEARFRAC(MAX($P$34*($B258+IF($R$17="Distrato",$I$38-1,0)),IF(AND($L$37=0,$P$34=0),"",$L$37-1),IF($R$17="Distrato",$E258,0)),MIN(AC$38,$D$19),$P$20))-SUM($P258:AB258)</f>
        <v>#VALUE!</v>
      </c>
      <c r="AD258" s="446" t="e">
        <f>IF(OR($B258="",MIN(AD$38,$D$19)&lt;MAX($P$34*($B258+IF($R$17="Distrato",$I$38-1,0)),IF(AND($L$37=0,$P$34=0),"",$L$37-1),IF($R$17="Distrato",$E258,0))),0,YEARFRAC(MAX($P$34*($B258+IF($R$17="Distrato",$I$38-1,0)),IF(AND($L$37=0,$P$34=0),"",$L$37-1),IF($R$17="Distrato",$E258,0)),MIN(AD$38,$D$19),$P$20))-SUM($P258:AC258)</f>
        <v>#VALUE!</v>
      </c>
      <c r="AE258" s="446" t="e">
        <f>IF(OR($B258="",MIN(AE$38,$D$19)&lt;MAX($P$34*($B258+IF($R$17="Distrato",$I$38-1,0)),IF(AND($L$37=0,$P$34=0),"",$L$37-1),IF($R$17="Distrato",$E258,0))),0,YEARFRAC(MAX($P$34*($B258+IF($R$17="Distrato",$I$38-1,0)),IF(AND($L$37=0,$P$34=0),"",$L$37-1),IF($R$17="Distrato",$E258,0)),MIN(AE$38,$D$19),$P$20))-SUM($P258:AD258)</f>
        <v>#VALUE!</v>
      </c>
      <c r="AF258" s="446" t="e">
        <f>IF(OR($B258="",MIN(AF$38,$D$19)&lt;MAX($P$34*($B258+IF($R$17="Distrato",$I$38-1,0)),IF(AND($L$37=0,$P$34=0),"",$L$37-1),IF($R$17="Distrato",$E258,0))),0,YEARFRAC(MAX($P$34*($B258+IF($R$17="Distrato",$I$38-1,0)),IF(AND($L$37=0,$P$34=0),"",$L$37-1),IF($R$17="Distrato",$E258,0)),MIN(AF$38,$D$19),$P$20))-SUM($P258:AE258)</f>
        <v>#VALUE!</v>
      </c>
      <c r="AG258" s="446" t="e">
        <f>IF(OR($B258="",MIN(AG$38,$D$19)&lt;MAX($P$34*($B258+IF($R$17="Distrato",$I$38-1,0)),IF(AND($L$37=0,$P$34=0),"",$L$37-1),IF($R$17="Distrato",$E258,0))),0,YEARFRAC(MAX($P$34*($B258+IF($R$17="Distrato",$I$38-1,0)),IF(AND($L$37=0,$P$34=0),"",$L$37-1),IF($R$17="Distrato",$E258,0)),MIN(AG$38,$D$19),$P$20))-SUM($P258:AF258)</f>
        <v>#VALUE!</v>
      </c>
      <c r="AH258" s="446" t="e">
        <f>IF(OR($B258="",MIN(AH$38,$D$19)&lt;MAX($P$34*($B258+IF($R$17="Distrato",$I$38-1,0)),IF(AND($L$37=0,$P$34=0),"",$L$37-1),IF($R$17="Distrato",$E258,0))),0,YEARFRAC(MAX($P$34*($B258+IF($R$17="Distrato",$I$38-1,0)),IF(AND($L$37=0,$P$34=0),"",$L$37-1),IF($R$17="Distrato",$E258,0)),MIN(AH$38,$D$19),$P$20))-SUM($P258:AG258)</f>
        <v>#VALUE!</v>
      </c>
      <c r="AI258" s="446" t="e">
        <f>IF(OR($B258="",MIN(AI$38,$D$19)&lt;MAX($P$34*($B258+IF($R$17="Distrato",$I$38-1,0)),IF(AND($L$37=0,$P$34=0),"",$L$37-1),IF($R$17="Distrato",$E258,0))),0,YEARFRAC(MAX($P$34*($B258+IF($R$17="Distrato",$I$38-1,0)),IF(AND($L$37=0,$P$34=0),"",$L$37-1),IF($R$17="Distrato",$E258,0)),MIN(AI$38,$D$19),$P$20))-SUM($P258:AH258)</f>
        <v>#VALUE!</v>
      </c>
      <c r="AJ258" s="446" t="e">
        <f>IF(OR($B258="",MIN(AJ$38,$D$19)&lt;MAX($P$34*($B258+IF($R$17="Distrato",$I$38-1,0)),IF(AND($L$37=0,$P$34=0),"",$L$37-1),IF($R$17="Distrato",$E258,0))),0,YEARFRAC(MAX($P$34*($B258+IF($R$17="Distrato",$I$38-1,0)),IF(AND($L$37=0,$P$34=0),"",$L$37-1),IF($R$17="Distrato",$E258,0)),MIN(AJ$38,$D$19),$P$20))-SUM($P258:AI258)</f>
        <v>#VALUE!</v>
      </c>
      <c r="AK258" s="446" t="e">
        <f>IF(OR($B258="",MIN(AK$38,$D$19)&lt;MAX($P$34*($B258+IF($R$17="Distrato",$I$38-1,0)),IF(AND($L$37=0,$P$34=0),"",$L$37-1),IF($R$17="Distrato",$E258,0))),0,YEARFRAC(MAX($P$34*($B258+IF($R$17="Distrato",$I$38-1,0)),IF(AND($L$37=0,$P$34=0),"",$L$37-1),IF($R$17="Distrato",$E258,0)),MIN(AK$38,$D$19),$P$20))-SUM($P258:AJ258)</f>
        <v>#VALUE!</v>
      </c>
      <c r="AL258" s="446" t="e">
        <f>IF(OR($B258="",MIN(AL$38,$D$19)&lt;MAX($P$34*($B258+IF($R$17="Distrato",$I$38-1,0)),IF(AND($L$37=0,$P$34=0),"",$L$37-1),IF($R$17="Distrato",$E258,0))),0,YEARFRAC(MAX($P$34*($B258+IF($R$17="Distrato",$I$38-1,0)),IF(AND($L$37=0,$P$34=0),"",$L$37-1),IF($R$17="Distrato",$E258,0)),MIN(AL$38,$D$19),$P$20))-SUM($P258:AK258)</f>
        <v>#VALUE!</v>
      </c>
      <c r="AM258" s="446" t="e">
        <f>IF(OR($B258="",MIN(AM$38,$D$19)&lt;MAX($P$34*($B258+IF($R$17="Distrato",$I$38-1,0)),IF(AND($L$37=0,$P$34=0),"",$L$37-1),IF($R$17="Distrato",$E258,0))),0,YEARFRAC(MAX($P$34*($B258+IF($R$17="Distrato",$I$38-1,0)),IF(AND($L$37=0,$P$34=0),"",$L$37-1),IF($R$17="Distrato",$E258,0)),MIN(AM$38,$D$19),$P$20))-SUM($P258:AL258)</f>
        <v>#VALUE!</v>
      </c>
      <c r="AN258" s="446" t="e">
        <f>IF(OR($B258="",MIN(AN$38,$D$19)&lt;MAX($P$34*($B258+IF($R$17="Distrato",$I$38-1,0)),IF(AND($L$37=0,$P$34=0),"",$L$37-1),IF($R$17="Distrato",$E258,0))),0,YEARFRAC(MAX($P$34*($B258+IF($R$17="Distrato",$I$38-1,0)),IF(AND($L$37=0,$P$34=0),"",$L$37-1),IF($R$17="Distrato",$E258,0)),MIN(AN$38,$D$19),$P$20))-SUM($P258:AM258)</f>
        <v>#VALUE!</v>
      </c>
      <c r="AO258" s="446" t="e">
        <f>IF(OR($B258="",MIN(AO$38,$D$19)&lt;MAX($P$34*($B258+IF($R$17="Distrato",$I$38-1,0)),IF(AND($L$37=0,$P$34=0),"",$L$37-1),IF($R$17="Distrato",$E258,0))),0,YEARFRAC(MAX($P$34*($B258+IF($R$17="Distrato",$I$38-1,0)),IF(AND($L$37=0,$P$34=0),"",$L$37-1),IF($R$17="Distrato",$E258,0)),MIN(AO$38,$D$19),$P$20))-SUM($P258:AN258)</f>
        <v>#VALUE!</v>
      </c>
      <c r="AP258" s="446" t="e">
        <f>IF(OR($B258="",MIN(AP$38,$D$19)&lt;MAX($P$34*($B258+IF($R$17="Distrato",$I$38-1,0)),IF(AND($L$37=0,$P$34=0),"",$L$37-1),IF($R$17="Distrato",$E258,0))),0,YEARFRAC(MAX($P$34*($B258+IF($R$17="Distrato",$I$38-1,0)),IF(AND($L$37=0,$P$34=0),"",$L$37-1),IF($R$17="Distrato",$E258,0)),MIN(AP$38,$D$19),$P$20))-SUM($P258:AO258)</f>
        <v>#VALUE!</v>
      </c>
      <c r="AQ258" s="446" t="e">
        <f>IF(OR($B258="",MIN(AQ$38,$D$19)&lt;MAX($P$34*($B258+IF($R$17="Distrato",$I$38-1,0)),IF(AND($L$37=0,$P$34=0),"",$L$37-1),IF($R$17="Distrato",$E258,0))),0,YEARFRAC(MAX($P$34*($B258+IF($R$17="Distrato",$I$38-1,0)),IF(AND($L$37=0,$P$34=0),"",$L$37-1),IF($R$17="Distrato",$E258,0)),MIN(AQ$38,$D$19),$P$20))-SUM($P258:AP258)</f>
        <v>#VALUE!</v>
      </c>
      <c r="AR258" s="446" t="e">
        <f>IF(OR($B258="",MIN(AR$38,$D$19)&lt;MAX($P$34*($B258+IF($R$17="Distrato",$I$38-1,0)),IF(AND($L$37=0,$P$34=0),"",$L$37-1),IF($R$17="Distrato",$E258,0))),0,YEARFRAC(MAX($P$34*($B258+IF($R$17="Distrato",$I$38-1,0)),IF(AND($L$37=0,$P$34=0),"",$L$37-1),IF($R$17="Distrato",$E258,0)),MIN(AR$38,$D$19),$P$20))-SUM($P258:AQ258)</f>
        <v>#VALUE!</v>
      </c>
      <c r="AS258" s="446" t="e">
        <f>IF(OR($B258="",MIN(AS$38,$D$19)&lt;MAX($P$34*($B258+IF($R$17="Distrato",$I$38-1,0)),IF(AND($L$37=0,$P$34=0),"",$L$37-1),IF($R$17="Distrato",$E258,0))),0,YEARFRAC(MAX($P$34*($B258+IF($R$17="Distrato",$I$38-1,0)),IF(AND($L$37=0,$P$34=0),"",$L$37-1),IF($R$17="Distrato",$E258,0)),MIN(AS$38,$D$19),$P$20))-SUM($P258:AR258)</f>
        <v>#VALUE!</v>
      </c>
      <c r="AT258" s="446" t="e">
        <f>IF(OR($B258="",MIN(AT$38,$D$19)&lt;MAX($P$34*($B258+IF($R$17="Distrato",$I$38-1,0)),IF(AND($L$37=0,$P$34=0),"",$L$37-1),IF($R$17="Distrato",$E258,0))),0,YEARFRAC(MAX($P$34*($B258+IF($R$17="Distrato",$I$38-1,0)),IF(AND($L$37=0,$P$34=0),"",$L$37-1),IF($R$17="Distrato",$E258,0)),MIN(AT$38,$D$19),$P$20))-SUM($P258:AS258)</f>
        <v>#VALUE!</v>
      </c>
      <c r="AU258" s="446" t="e">
        <f>IF(OR($B258="",MIN(AU$38,$D$19)&lt;MAX($P$34*($B258+IF($R$17="Distrato",$I$38-1,0)),IF(AND($L$37=0,$P$34=0),"",$L$37-1),IF($R$17="Distrato",$E258,0))),0,YEARFRAC(MAX($P$34*($B258+IF($R$17="Distrato",$I$38-1,0)),IF(AND($L$37=0,$P$34=0),"",$L$37-1),IF($R$17="Distrato",$E258,0)),MIN(AU$38,$D$19),$P$20))-SUM($P258:AT258)</f>
        <v>#VALUE!</v>
      </c>
      <c r="AV258" s="446" t="e">
        <f>IF(OR($B258="",MIN(AV$38,$D$19)&lt;MAX($P$34*($B258+IF($R$17="Distrato",$I$38-1,0)),IF(AND($L$37=0,$P$34=0),"",$L$37-1),IF($R$17="Distrato",$E258,0))),0,YEARFRAC(MAX($P$34*($B258+IF($R$17="Distrato",$I$38-1,0)),IF(AND($L$37=0,$P$34=0),"",$L$37-1),IF($R$17="Distrato",$E258,0)),MIN(AV$38,$D$19),$P$20))-SUM($P258:AU258)</f>
        <v>#VALUE!</v>
      </c>
      <c r="AW258" s="446" t="e">
        <f>IF(OR($B258="",MIN(AW$38,$D$19)&lt;MAX($P$34*($B258+IF($R$17="Distrato",$I$38-1,0)),IF(AND($L$37=0,$P$34=0),"",$L$37-1),IF($R$17="Distrato",$E258,0))),0,YEARFRAC(MAX($P$34*($B258+IF($R$17="Distrato",$I$38-1,0)),IF(AND($L$37=0,$P$34=0),"",$L$37-1),IF($R$17="Distrato",$E258,0)),MIN(AW$38,$D$19),$P$20))-SUM($P258:AV258)</f>
        <v>#VALUE!</v>
      </c>
      <c r="AX258" s="446" t="e">
        <f>IF(OR($B258="",MIN(AX$38,$D$19)&lt;MAX($P$34*($B258+IF($R$17="Distrato",$I$38-1,0)),IF(AND($L$37=0,$P$34=0),"",$L$37-1),IF($R$17="Distrato",$E258,0))),0,YEARFRAC(MAX($P$34*($B258+IF($R$17="Distrato",$I$38-1,0)),IF(AND($L$37=0,$P$34=0),"",$L$37-1),IF($R$17="Distrato",$E258,0)),MIN(AX$38,$D$19),$P$20))-SUM($P258:AW258)</f>
        <v>#VALUE!</v>
      </c>
      <c r="AY258" s="446" t="e">
        <f>IF(OR($B258="",MIN(AY$38,$D$19)&lt;MAX($P$34*($B258+IF($R$17="Distrato",$I$38-1,0)),IF(AND($L$37=0,$P$34=0),"",$L$37-1),IF($R$17="Distrato",$E258,0))),0,YEARFRAC(MAX($P$34*($B258+IF($R$17="Distrato",$I$38-1,0)),IF(AND($L$37=0,$P$34=0),"",$L$37-1),IF($R$17="Distrato",$E258,0)),MIN(AY$38,$D$19),$P$20))-SUM($P258:AX258)</f>
        <v>#VALUE!</v>
      </c>
      <c r="AZ258" s="446" t="e">
        <f>IF(OR($B258="",MIN(AZ$38,$D$19)&lt;MAX($P$34*($B258+IF($R$17="Distrato",$I$38-1,0)),IF(AND($L$37=0,$P$34=0),"",$L$37-1),IF($R$17="Distrato",$E258,0))),0,YEARFRAC(MAX($P$34*($B258+IF($R$17="Distrato",$I$38-1,0)),IF(AND($L$37=0,$P$34=0),"",$L$37-1),IF($R$17="Distrato",$E258,0)),MIN(AZ$38,$D$19),$P$20))-SUM($P258:AY258)</f>
        <v>#VALUE!</v>
      </c>
      <c r="BA258" s="446" t="e">
        <f>IF(OR($B258="",MIN(BA$38,$D$19)&lt;MAX($P$34*($B258+IF($R$17="Distrato",$I$38-1,0)),IF(AND($L$37=0,$P$34=0),"",$L$37-1),IF($R$17="Distrato",$E258,0))),0,YEARFRAC(MAX($P$34*($B258+IF($R$17="Distrato",$I$38-1,0)),IF(AND($L$37=0,$P$34=0),"",$L$37-1),IF($R$17="Distrato",$E258,0)),MIN(BA$38,$D$19),$P$20))-SUM($P258:AZ258)</f>
        <v>#VALUE!</v>
      </c>
      <c r="BB258" s="447"/>
      <c r="BF258" s="446">
        <f t="shared" si="43"/>
        <v>0</v>
      </c>
      <c r="BG258" s="446">
        <f>IF($E258=0,0,IF(MIN(BG$38,$E258)&lt;MAX($P$34*($B258+$I$38-1),IF(AND($L$37=0,$P$34=0),"",$L$37-1)),0,YEARFRAC(MAX($P$34*($B258+$I$38-1),IF(AND($L$37=0,$P$34=0),"",$L$37-1)),MIN(BG$38,$E258),$P$20))-SUM($BF258:BF258))</f>
        <v>0</v>
      </c>
      <c r="BH258" s="446">
        <f>IF($E258=0,0,IF(MIN(BH$38,$E258)&lt;MAX($P$34*($B258+$I$38-1),IF(AND($L$37=0,$P$34=0),"",$L$37-1)),0,YEARFRAC(MAX($P$34*($B258+$I$38-1),IF(AND($L$37=0,$P$34=0),"",$L$37-1)),MIN(BH$38,$E258),$P$20))-SUM($BF258:BG258))</f>
        <v>0</v>
      </c>
      <c r="BI258" s="446">
        <f>IF($E258=0,0,IF(MIN(BI$38,$E258)&lt;MAX($P$34*($B258+$I$38-1),IF(AND($L$37=0,$P$34=0),"",$L$37-1)),0,YEARFRAC(MAX($P$34*($B258+$I$38-1),IF(AND($L$37=0,$P$34=0),"",$L$37-1)),MIN(BI$38,$E258),$P$20))-SUM($BF258:BH258))</f>
        <v>0</v>
      </c>
      <c r="BJ258" s="446">
        <f>IF($E258=0,0,IF(MIN(BJ$38,$E258)&lt;MAX($P$34*($B258+$I$38-1),IF(AND($L$37=0,$P$34=0),"",$L$37-1)),0,YEARFRAC(MAX($P$34*($B258+$I$38-1),IF(AND($L$37=0,$P$34=0),"",$L$37-1)),MIN(BJ$38,$E258),$P$20))-SUM($BF258:BI258))</f>
        <v>0</v>
      </c>
      <c r="BK258" s="446">
        <f>IF($E258=0,0,IF(MIN(BK$38,$E258)&lt;MAX($P$34*($B258+$I$38-1),IF(AND($L$37=0,$P$34=0),"",$L$37-1)),0,YEARFRAC(MAX($P$34*($B258+$I$38-1),IF(AND($L$37=0,$P$34=0),"",$L$37-1)),MIN(BK$38,$E258),$P$20))-SUM($BF258:BJ258))</f>
        <v>0</v>
      </c>
      <c r="BL258" s="446">
        <f>IF($E258=0,0,IF(MIN(BL$38,$E258)&lt;MAX($P$34*($B258+$I$38-1),IF(AND($L$37=0,$P$34=0),"",$L$37-1)),0,YEARFRAC(MAX($P$34*($B258+$I$38-1),IF(AND($L$37=0,$P$34=0),"",$L$37-1)),MIN(BL$38,$E258),$P$20))-SUM($BF258:BK258))</f>
        <v>0</v>
      </c>
      <c r="BM258" s="446">
        <f>IF($E258=0,0,IF(MIN(BM$38,$E258)&lt;MAX($P$34*($B258+$I$38-1),IF(AND($L$37=0,$P$34=0),"",$L$37-1)),0,YEARFRAC(MAX($P$34*($B258+$I$38-1),IF(AND($L$37=0,$P$34=0),"",$L$37-1)),MIN(BM$38,$E258),$P$20))-SUM($BF258:BL258))</f>
        <v>0</v>
      </c>
      <c r="BN258" s="446">
        <f>IF($E258=0,0,IF(MIN(BN$38,$E258)&lt;MAX($P$34*($B258+$I$38-1),IF(AND($L$37=0,$P$34=0),"",$L$37-1)),0,YEARFRAC(MAX($P$34*($B258+$I$38-1),IF(AND($L$37=0,$P$34=0),"",$L$37-1)),MIN(BN$38,$E258),$P$20))-SUM($BF258:BM258))</f>
        <v>0</v>
      </c>
      <c r="BO258" s="446">
        <f>IF($E258=0,0,IF(MIN(BO$38,$E258)&lt;MAX($P$34*($B258+$I$38-1),IF(AND($L$37=0,$P$34=0),"",$L$37-1)),0,YEARFRAC(MAX($P$34*($B258+$I$38-1),IF(AND($L$37=0,$P$34=0),"",$L$37-1)),MIN(BO$38,$E258),$P$20))-SUM($BF258:BN258))</f>
        <v>0</v>
      </c>
      <c r="BP258" s="446">
        <f>IF($E258=0,0,IF(MIN(BP$38,$E258)&lt;MAX($P$34*($B258+$I$38-1),IF(AND($L$37=0,$P$34=0),"",$L$37-1)),0,YEARFRAC(MAX($P$34*($B258+$I$38-1),IF(AND($L$37=0,$P$34=0),"",$L$37-1)),MIN(BP$38,$E258),$P$20))-SUM($BF258:BO258))</f>
        <v>0</v>
      </c>
      <c r="BQ258" s="446">
        <f>IF($E258=0,0,IF(MIN(BQ$38,$E258)&lt;MAX($P$34*($B258+$I$38-1),IF(AND($L$37=0,$P$34=0),"",$L$37-1)),0,YEARFRAC(MAX($P$34*($B258+$I$38-1),IF(AND($L$37=0,$P$34=0),"",$L$37-1)),MIN(BQ$38,$E258),$P$20))-SUM($BF258:BP258))</f>
        <v>0</v>
      </c>
      <c r="BR258" s="446">
        <f>IF($E258=0,0,IF(MIN(BR$38,$E258)&lt;MAX($P$34*($B258+$I$38-1),IF(AND($L$37=0,$P$34=0),"",$L$37-1)),0,YEARFRAC(MAX($P$34*($B258+$I$38-1),IF(AND($L$37=0,$P$34=0),"",$L$37-1)),MIN(BR$38,$E258),$P$20))-SUM($BF258:BQ258))</f>
        <v>0</v>
      </c>
      <c r="BS258" s="446">
        <f>IF($E258=0,0,IF(MIN(BS$38,$E258)&lt;MAX($P$34*($B258+$I$38-1),IF(AND($L$37=0,$P$34=0),"",$L$37-1)),0,YEARFRAC(MAX($P$34*($B258+$I$38-1),IF(AND($L$37=0,$P$34=0),"",$L$37-1)),MIN(BS$38,$E258),$P$20))-SUM($BF258:BR258))</f>
        <v>0</v>
      </c>
      <c r="BT258" s="446">
        <f>IF($E258=0,0,IF(MIN(BT$38,$E258)&lt;MAX($P$34*($B258+$I$38-1),IF(AND($L$37=0,$P$34=0),"",$L$37-1)),0,YEARFRAC(MAX($P$34*($B258+$I$38-1),IF(AND($L$37=0,$P$34=0),"",$L$37-1)),MIN(BT$38,$E258),$P$20))-SUM($BF258:BS258))</f>
        <v>0</v>
      </c>
      <c r="BU258" s="446">
        <f>IF($E258=0,0,IF(MIN(BU$38,$E258)&lt;MAX($P$34*($B258+$I$38-1),IF(AND($L$37=0,$P$34=0),"",$L$37-1)),0,YEARFRAC(MAX($P$34*($B258+$I$38-1),IF(AND($L$37=0,$P$34=0),"",$L$37-1)),MIN(BU$38,$E258),$P$20))-SUM($BF258:BT258))</f>
        <v>0</v>
      </c>
      <c r="BV258" s="446">
        <f>IF($E258=0,0,IF(MIN(BV$38,$E258)&lt;MAX($P$34*($B258+$I$38-1),IF(AND($L$37=0,$P$34=0),"",$L$37-1)),0,YEARFRAC(MAX($P$34*($B258+$I$38-1),IF(AND($L$37=0,$P$34=0),"",$L$37-1)),MIN(BV$38,$E258),$P$20))-SUM($BF258:BU258))</f>
        <v>0</v>
      </c>
      <c r="BW258" s="446">
        <f>IF($E258=0,0,IF(MIN(BW$38,$E258)&lt;MAX($P$34*($B258+$I$38-1),IF(AND($L$37=0,$P$34=0),"",$L$37-1)),0,YEARFRAC(MAX($P$34*($B258+$I$38-1),IF(AND($L$37=0,$P$34=0),"",$L$37-1)),MIN(BW$38,$E258),$P$20))-SUM($BF258:BV258))</f>
        <v>0</v>
      </c>
      <c r="BX258" s="446">
        <f>IF($E258=0,0,IF(MIN(BX$38,$E258)&lt;MAX($P$34*($B258+$I$38-1),IF(AND($L$37=0,$P$34=0),"",$L$37-1)),0,YEARFRAC(MAX($P$34*($B258+$I$38-1),IF(AND($L$37=0,$P$34=0),"",$L$37-1)),MIN(BX$38,$E258),$P$20))-SUM($BF258:BW258))</f>
        <v>0</v>
      </c>
      <c r="BY258" s="446">
        <f>IF($E258=0,0,IF(MIN(BY$38,$E258)&lt;MAX($P$34*($B258+$I$38-1),IF(AND($L$37=0,$P$34=0),"",$L$37-1)),0,YEARFRAC(MAX($P$34*($B258+$I$38-1),IF(AND($L$37=0,$P$34=0),"",$L$37-1)),MIN(BY$38,$E258),$P$20))-SUM($BF258:BX258))</f>
        <v>0</v>
      </c>
      <c r="BZ258" s="446">
        <f>IF($E258=0,0,IF(MIN(BZ$38,$E258)&lt;MAX($P$34*($B258+$I$38-1),IF(AND($L$37=0,$P$34=0),"",$L$37-1)),0,YEARFRAC(MAX($P$34*($B258+$I$38-1),IF(AND($L$37=0,$P$34=0),"",$L$37-1)),MIN(BZ$38,$E258),$P$20))-SUM($BF258:BY258))</f>
        <v>0</v>
      </c>
      <c r="CA258" s="446">
        <f>IF($E258=0,0,IF(MIN(CA$38,$E258)&lt;MAX($P$34*($B258+$I$38-1),IF(AND($L$37=0,$P$34=0),"",$L$37-1)),0,YEARFRAC(MAX($P$34*($B258+$I$38-1),IF(AND($L$37=0,$P$34=0),"",$L$37-1)),MIN(CA$38,$E258),$P$20))-SUM($BF258:BZ258))</f>
        <v>0</v>
      </c>
      <c r="CB258" s="446">
        <f>IF($E258=0,0,IF(MIN(CB$38,$E258)&lt;MAX($P$34*($B258+$I$38-1),IF(AND($L$37=0,$P$34=0),"",$L$37-1)),0,YEARFRAC(MAX($P$34*($B258+$I$38-1),IF(AND($L$37=0,$P$34=0),"",$L$37-1)),MIN(CB$38,$E258),$P$20))-SUM($BF258:CA258))</f>
        <v>0</v>
      </c>
      <c r="CC258" s="446">
        <f>IF($E258=0,0,IF(MIN(CC$38,$E258)&lt;MAX($P$34*($B258+$I$38-1),IF(AND($L$37=0,$P$34=0),"",$L$37-1)),0,YEARFRAC(MAX($P$34*($B258+$I$38-1),IF(AND($L$37=0,$P$34=0),"",$L$37-1)),MIN(CC$38,$E258),$P$20))-SUM($BF258:CB258))</f>
        <v>0</v>
      </c>
      <c r="CD258" s="446">
        <f>IF($E258=0,0,IF(MIN(CD$38,$E258)&lt;MAX($P$34*($B258+$I$38-1),IF(AND($L$37=0,$P$34=0),"",$L$37-1)),0,YEARFRAC(MAX($P$34*($B258+$I$38-1),IF(AND($L$37=0,$P$34=0),"",$L$37-1)),MIN(CD$38,$E258),$P$20))-SUM($BF258:CC258))</f>
        <v>0</v>
      </c>
      <c r="CE258" s="446">
        <f>IF($E258=0,0,IF(MIN(CE$38,$E258)&lt;MAX($P$34*($B258+$I$38-1),IF(AND($L$37=0,$P$34=0),"",$L$37-1)),0,YEARFRAC(MAX($P$34*($B258+$I$38-1),IF(AND($L$37=0,$P$34=0),"",$L$37-1)),MIN(CE$38,$E258),$P$20))-SUM($BF258:CD258))</f>
        <v>0</v>
      </c>
      <c r="CF258" s="446">
        <f>IF($E258=0,0,IF(MIN(CF$38,$E258)&lt;MAX($P$34*($B258+$I$38-1),IF(AND($L$37=0,$P$34=0),"",$L$37-1)),0,YEARFRAC(MAX($P$34*($B258+$I$38-1),IF(AND($L$37=0,$P$34=0),"",$L$37-1)),MIN(CF$38,$E258),$P$20))-SUM($BF258:CE258))</f>
        <v>0</v>
      </c>
      <c r="CG258" s="446">
        <f>IF($E258=0,0,IF(MIN(CG$38,$E258)&lt;MAX($P$34*($B258+$I$38-1),IF(AND($L$37=0,$P$34=0),"",$L$37-1)),0,YEARFRAC(MAX($P$34*($B258+$I$38-1),IF(AND($L$37=0,$P$34=0),"",$L$37-1)),MIN(CG$38,$E258),$P$20))-SUM($BF258:CF258))</f>
        <v>0</v>
      </c>
      <c r="CH258" s="446">
        <f>IF($E258=0,0,IF(MIN(CH$38,$E258)&lt;MAX($P$34*($B258+$I$38-1),IF(AND($L$37=0,$P$34=0),"",$L$37-1)),0,YEARFRAC(MAX($P$34*($B258+$I$38-1),IF(AND($L$37=0,$P$34=0),"",$L$37-1)),MIN(CH$38,$E258),$P$20))-SUM($BF258:CG258))</f>
        <v>0</v>
      </c>
      <c r="CI258" s="446">
        <f>IF($E258=0,0,IF(MIN(CI$38,$E258)&lt;MAX($P$34*($B258+$I$38-1),IF(AND($L$37=0,$P$34=0),"",$L$37-1)),0,YEARFRAC(MAX($P$34*($B258+$I$38-1),IF(AND($L$37=0,$P$34=0),"",$L$37-1)),MIN(CI$38,$E258),$P$20))-SUM($BF258:CH258))</f>
        <v>0</v>
      </c>
      <c r="CJ258" s="446">
        <f>IF($E258=0,0,IF(MIN(CJ$38,$E258)&lt;MAX($P$34*($B258+$I$38-1),IF(AND($L$37=0,$P$34=0),"",$L$37-1)),0,YEARFRAC(MAX($P$34*($B258+$I$38-1),IF(AND($L$37=0,$P$34=0),"",$L$37-1)),MIN(CJ$38,$E258),$P$20))-SUM($BF258:CI258))</f>
        <v>0</v>
      </c>
      <c r="CK258" s="446">
        <f>IF($E258=0,0,IF(MIN(CK$38,$E258)&lt;MAX($P$34*($B258+$I$38-1),IF(AND($L$37=0,$P$34=0),"",$L$37-1)),0,YEARFRAC(MAX($P$34*($B258+$I$38-1),IF(AND($L$37=0,$P$34=0),"",$L$37-1)),MIN(CK$38,$E258),$P$20))-SUM($BF258:CJ258))</f>
        <v>0</v>
      </c>
      <c r="CL258" s="446">
        <f>IF($E258=0,0,IF(MIN(CL$38,$E258)&lt;MAX($P$34*($B258+$I$38-1),IF(AND($L$37=0,$P$34=0),"",$L$37-1)),0,YEARFRAC(MAX($P$34*($B258+$I$38-1),IF(AND($L$37=0,$P$34=0),"",$L$37-1)),MIN(CL$38,$E258),$P$20))-SUM($BF258:CK258))</f>
        <v>0</v>
      </c>
      <c r="CM258" s="446">
        <f>IF($E258=0,0,IF(MIN(CM$38,$E258)&lt;MAX($P$34*($B258+$I$38-1),IF(AND($L$37=0,$P$34=0),"",$L$37-1)),0,YEARFRAC(MAX($P$34*($B258+$I$38-1),IF(AND($L$37=0,$P$34=0),"",$L$37-1)),MIN(CM$38,$E258),$P$20))-SUM($BF258:CL258))</f>
        <v>0</v>
      </c>
      <c r="CN258" s="446">
        <f>IF($E258=0,0,IF(MIN(CN$38,$E258)&lt;MAX($P$34*($B258+$I$38-1),IF(AND($L$37=0,$P$34=0),"",$L$37-1)),0,YEARFRAC(MAX($P$34*($B258+$I$38-1),IF(AND($L$37=0,$P$34=0),"",$L$37-1)),MIN(CN$38,$E258),$P$20))-SUM($BF258:CM258))</f>
        <v>0</v>
      </c>
      <c r="CO258" s="446">
        <f>IF($E258=0,0,IF(MIN(CO$38,$E258)&lt;MAX($P$34*($B258+$I$38-1),IF(AND($L$37=0,$P$34=0),"",$L$37-1)),0,YEARFRAC(MAX($P$34*($B258+$I$38-1),IF(AND($L$37=0,$P$34=0),"",$L$37-1)),MIN(CO$38,$E258),$P$20))-SUM($BF258:CN258))</f>
        <v>0</v>
      </c>
      <c r="CP258" s="446">
        <f>IF($E258=0,0,IF(MIN(CP$38,$E258)&lt;MAX($P$34*($B258+$I$38-1),IF(AND($L$37=0,$P$34=0),"",$L$37-1)),0,YEARFRAC(MAX($P$34*($B258+$I$38-1),IF(AND($L$37=0,$P$34=0),"",$L$37-1)),MIN(CP$38,$E258),$P$20))-SUM($BF258:CO258))</f>
        <v>0</v>
      </c>
      <c r="CQ258" s="446">
        <f>IF($E258=0,0,IF(MIN(CQ$38,$E258)&lt;MAX($P$34*($B258+$I$38-1),IF(AND($L$37=0,$P$34=0),"",$L$37-1)),0,YEARFRAC(MAX($P$34*($B258+$I$38-1),IF(AND($L$37=0,$P$34=0),"",$L$37-1)),MIN(CQ$38,$E258),$P$20))-SUM($BF258:CP258))</f>
        <v>0</v>
      </c>
    </row>
    <row r="259" spans="1:95" s="446" customFormat="1" ht="11.25" hidden="1" customHeight="1" x14ac:dyDescent="0.2">
      <c r="A259" s="152"/>
      <c r="B259" s="153" t="str">
        <f t="shared" si="48"/>
        <v/>
      </c>
      <c r="C259" s="29" t="str">
        <f>IF(B259="","",IF($L$35="SELIC - TRIBUTOS",VLOOKUP(DATE(YEAR($D$19),MONTH($D$19)-1,1),ÍNDICES!$A:$DE,HLOOKUP($BL$25,ÍNDICES!$B$3:$T$4,2)+11)-VLOOKUP(B259,ÍNDICES!$A:$DE,HLOOKUP($BL$25,ÍNDICES!$B$3:$T$4,2)+11)+1%,IF(C$38=$W$26,$J$35,IF(ISERROR(IF(B259&gt;$D$19,1,VLOOKUP(DATE(YEAR(B259),MONTH(B259)+IF($C$35=$S$23,1,0),1),ÍNDICES!$A:$DE,$Z$35+1))),"",IF(B259&gt;$D$19,1,VLOOKUP(DATE(YEAR(B259),MONTH(B259)+IF($C$35=$S$23,1,0),1),ÍNDICES!$A:$DE,$Z$35+1))))))</f>
        <v/>
      </c>
      <c r="D259" s="154" t="str">
        <f>IF(ISERROR(IF(OR($D$38=$Y$27,$B259=""),"",VLOOKUP(B259,ÍNDICES!A:DE,AF$35+1))),"",IF(OR($D$38=$Y$27,$B259=""),"",VLOOKUP(B259,ÍNDICES!A:DE,AF$35+1)))</f>
        <v/>
      </c>
      <c r="E259" s="153"/>
      <c r="F259" s="29" t="str">
        <f>IF(E259="","",IF($L$35="SELIC - TRIBUTOS",VLOOKUP(DATE(YEAR($D$19),MONTH($D$19)-1,1),ÍNDICES!$A:$DE,HLOOKUP($BL$25,ÍNDICES!$B$3:$T$4,2)+11)-VLOOKUP(E259,ÍNDICES!$A:$DE,HLOOKUP($BL$25,ÍNDICES!$B$3:$T$4,2)+11)+1%,IF(F$38=$W$26,$J$35,IF(ISERROR(IF(E259&gt;$D$19,1,VLOOKUP(DATE(YEAR(E259),MONTH(E259)+IF($C$35=$S$23,1,0),1),ÍNDICES!$A:$DE,$Z$35+1))),"",IF(E259&gt;$D$19,1,VLOOKUP(DATE(YEAR(E259),MONTH(E259)+IF($C$35=$S$23,1,0),1),ÍNDICES!$A:$DE,$Z$35+1))))))</f>
        <v/>
      </c>
      <c r="G259" s="155"/>
      <c r="H259" s="156" t="str">
        <f t="shared" si="44"/>
        <v/>
      </c>
      <c r="I259" s="29" t="str">
        <f t="shared" si="38"/>
        <v/>
      </c>
      <c r="J259" s="5">
        <f t="shared" si="39"/>
        <v>0</v>
      </c>
      <c r="K259" s="20">
        <f t="shared" ca="1" si="40"/>
        <v>0</v>
      </c>
      <c r="L259" s="5">
        <f t="shared" ca="1" si="41"/>
        <v>0</v>
      </c>
      <c r="M259" s="64">
        <f t="shared" si="45"/>
        <v>0</v>
      </c>
      <c r="N259" s="61">
        <f t="shared" ca="1" si="46"/>
        <v>0</v>
      </c>
      <c r="O259" s="5">
        <f t="shared" ca="1" si="47"/>
        <v>0</v>
      </c>
      <c r="P259" s="446" t="e">
        <f t="shared" si="42"/>
        <v>#VALUE!</v>
      </c>
      <c r="Q259" s="446" t="e">
        <f>IF(OR($B259="",MIN(Q$38,$D$19)&lt;MAX($P$34*($B259+IF($R$17="Distrato",$I$38-1,0)),IF(AND($L$37=0,$P$34=0),"",$L$37-1),IF($R$17="Distrato",$E259,0))),0,YEARFRAC(MAX($P$34*($B259+IF($R$17="Distrato",$I$38-1,0)),IF(AND($L$37=0,$P$34=0),"",$L$37-1),IF($R$17="Distrato",$E259,0)),MIN(Q$38,$D$19),$P$20))-SUM($P259:P259)</f>
        <v>#VALUE!</v>
      </c>
      <c r="R259" s="446" t="e">
        <f>IF(OR($B259="",MIN(R$38,$D$19)&lt;MAX($P$34*($B259+IF($R$17="Distrato",$I$38-1,0)),IF(AND($L$37=0,$P$34=0),"",$L$37-1),IF($R$17="Distrato",$E259,0))),0,YEARFRAC(MAX($P$34*($B259+IF($R$17="Distrato",$I$38-1,0)),IF(AND($L$37=0,$P$34=0),"",$L$37-1),IF($R$17="Distrato",$E259,0)),MIN(R$38,$D$19),$P$20))-SUM($P259:Q259)</f>
        <v>#VALUE!</v>
      </c>
      <c r="S259" s="446" t="e">
        <f>IF(OR($B259="",MIN(S$38,$D$19)&lt;MAX($P$34*($B259+IF($R$17="Distrato",$I$38-1,0)),IF(AND($L$37=0,$P$34=0),"",$L$37-1),IF($R$17="Distrato",$E259,0))),0,YEARFRAC(MAX($P$34*($B259+IF($R$17="Distrato",$I$38-1,0)),IF(AND($L$37=0,$P$34=0),"",$L$37-1),IF($R$17="Distrato",$E259,0)),MIN(S$38,$D$19),$P$20))-SUM($P259:R259)</f>
        <v>#VALUE!</v>
      </c>
      <c r="T259" s="446" t="e">
        <f>IF(OR($B259="",MIN(T$38,$D$19)&lt;MAX($P$34*($B259+IF($R$17="Distrato",$I$38-1,0)),IF(AND($L$37=0,$P$34=0),"",$L$37-1),IF($R$17="Distrato",$E259,0))),0,YEARFRAC(MAX($P$34*($B259+IF($R$17="Distrato",$I$38-1,0)),IF(AND($L$37=0,$P$34=0),"",$L$37-1),IF($R$17="Distrato",$E259,0)),MIN(T$38,$D$19),$P$20))-SUM($P259:S259)</f>
        <v>#VALUE!</v>
      </c>
      <c r="U259" s="446" t="e">
        <f>IF(OR($B259="",MIN(U$38,$D$19)&lt;MAX($P$34*($B259+IF($R$17="Distrato",$I$38-1,0)),IF(AND($L$37=0,$P$34=0),"",$L$37-1),IF($R$17="Distrato",$E259,0))),0,YEARFRAC(MAX($P$34*($B259+IF($R$17="Distrato",$I$38-1,0)),IF(AND($L$37=0,$P$34=0),"",$L$37-1),IF($R$17="Distrato",$E259,0)),MIN(U$38,$D$19),$P$20))-SUM($P259:T259)</f>
        <v>#VALUE!</v>
      </c>
      <c r="V259" s="446" t="e">
        <f>IF(OR($B259="",MIN(V$38,$D$19)&lt;MAX($P$34*($B259+IF($R$17="Distrato",$I$38-1,0)),IF(AND($L$37=0,$P$34=0),"",$L$37-1),IF($R$17="Distrato",$E259,0))),0,YEARFRAC(MAX($P$34*($B259+IF($R$17="Distrato",$I$38-1,0)),IF(AND($L$37=0,$P$34=0),"",$L$37-1),IF($R$17="Distrato",$E259,0)),MIN(V$38,$D$19),$P$20))-SUM($P259:U259)</f>
        <v>#VALUE!</v>
      </c>
      <c r="W259" s="446" t="e">
        <f>IF(OR($B259="",MIN(W$38,$D$19)&lt;MAX($P$34*($B259+IF($R$17="Distrato",$I$38-1,0)),IF(AND($L$37=0,$P$34=0),"",$L$37-1),IF($R$17="Distrato",$E259,0))),0,YEARFRAC(MAX($P$34*($B259+IF($R$17="Distrato",$I$38-1,0)),IF(AND($L$37=0,$P$34=0),"",$L$37-1),IF($R$17="Distrato",$E259,0)),MIN(W$38,$D$19),$P$20))-SUM($P259:V259)</f>
        <v>#VALUE!</v>
      </c>
      <c r="X259" s="446" t="e">
        <f>IF(OR($B259="",MIN(X$38,$D$19)&lt;MAX($P$34*($B259+IF($R$17="Distrato",$I$38-1,0)),IF(AND($L$37=0,$P$34=0),"",$L$37-1),IF($R$17="Distrato",$E259,0))),0,YEARFRAC(MAX($P$34*($B259+IF($R$17="Distrato",$I$38-1,0)),IF(AND($L$37=0,$P$34=0),"",$L$37-1),IF($R$17="Distrato",$E259,0)),MIN(X$38,$D$19),$P$20))-SUM($P259:W259)</f>
        <v>#VALUE!</v>
      </c>
      <c r="Y259" s="446" t="e">
        <f>IF(OR($B259="",MIN(Y$38,$D$19)&lt;MAX($P$34*($B259+IF($R$17="Distrato",$I$38-1,0)),IF(AND($L$37=0,$P$34=0),"",$L$37-1),IF($R$17="Distrato",$E259,0))),0,YEARFRAC(MAX($P$34*($B259+IF($R$17="Distrato",$I$38-1,0)),IF(AND($L$37=0,$P$34=0),"",$L$37-1),IF($R$17="Distrato",$E259,0)),MIN(Y$38,$D$19),$P$20))-SUM($P259:X259)</f>
        <v>#VALUE!</v>
      </c>
      <c r="Z259" s="446" t="e">
        <f>IF(OR($B259="",MIN(Z$38,$D$19)&lt;MAX($P$34*($B259+IF($R$17="Distrato",$I$38-1,0)),IF(AND($L$37=0,$P$34=0),"",$L$37-1),IF($R$17="Distrato",$E259,0))),0,YEARFRAC(MAX($P$34*($B259+IF($R$17="Distrato",$I$38-1,0)),IF(AND($L$37=0,$P$34=0),"",$L$37-1),IF($R$17="Distrato",$E259,0)),MIN(Z$38,$D$19),$P$20))-SUM($P259:Y259)</f>
        <v>#VALUE!</v>
      </c>
      <c r="AA259" s="446" t="e">
        <f>IF(OR($B259="",MIN(AA$38,$D$19)&lt;MAX($P$34*($B259+IF($R$17="Distrato",$I$38-1,0)),IF(AND($L$37=0,$P$34=0),"",$L$37-1),IF($R$17="Distrato",$E259,0))),0,YEARFRAC(MAX($P$34*($B259+IF($R$17="Distrato",$I$38-1,0)),IF(AND($L$37=0,$P$34=0),"",$L$37-1),IF($R$17="Distrato",$E259,0)),MIN(AA$38,$D$19),$P$20))-SUM($P259:Z259)</f>
        <v>#VALUE!</v>
      </c>
      <c r="AB259" s="446" t="e">
        <f>IF(OR($B259="",MIN(AB$38,$D$19)&lt;MAX($P$34*($B259+IF($R$17="Distrato",$I$38-1,0)),IF(AND($L$37=0,$P$34=0),"",$L$37-1),IF($R$17="Distrato",$E259,0))),0,YEARFRAC(MAX($P$34*($B259+IF($R$17="Distrato",$I$38-1,0)),IF(AND($L$37=0,$P$34=0),"",$L$37-1),IF($R$17="Distrato",$E259,0)),MIN(AB$38,$D$19),$P$20))-SUM($P259:AA259)</f>
        <v>#VALUE!</v>
      </c>
      <c r="AC259" s="446" t="e">
        <f>IF(OR($B259="",MIN(AC$38,$D$19)&lt;MAX($P$34*($B259+IF($R$17="Distrato",$I$38-1,0)),IF(AND($L$37=0,$P$34=0),"",$L$37-1),IF($R$17="Distrato",$E259,0))),0,YEARFRAC(MAX($P$34*($B259+IF($R$17="Distrato",$I$38-1,0)),IF(AND($L$37=0,$P$34=0),"",$L$37-1),IF($R$17="Distrato",$E259,0)),MIN(AC$38,$D$19),$P$20))-SUM($P259:AB259)</f>
        <v>#VALUE!</v>
      </c>
      <c r="AD259" s="446" t="e">
        <f>IF(OR($B259="",MIN(AD$38,$D$19)&lt;MAX($P$34*($B259+IF($R$17="Distrato",$I$38-1,0)),IF(AND($L$37=0,$P$34=0),"",$L$37-1),IF($R$17="Distrato",$E259,0))),0,YEARFRAC(MAX($P$34*($B259+IF($R$17="Distrato",$I$38-1,0)),IF(AND($L$37=0,$P$34=0),"",$L$37-1),IF($R$17="Distrato",$E259,0)),MIN(AD$38,$D$19),$P$20))-SUM($P259:AC259)</f>
        <v>#VALUE!</v>
      </c>
      <c r="AE259" s="446" t="e">
        <f>IF(OR($B259="",MIN(AE$38,$D$19)&lt;MAX($P$34*($B259+IF($R$17="Distrato",$I$38-1,0)),IF(AND($L$37=0,$P$34=0),"",$L$37-1),IF($R$17="Distrato",$E259,0))),0,YEARFRAC(MAX($P$34*($B259+IF($R$17="Distrato",$I$38-1,0)),IF(AND($L$37=0,$P$34=0),"",$L$37-1),IF($R$17="Distrato",$E259,0)),MIN(AE$38,$D$19),$P$20))-SUM($P259:AD259)</f>
        <v>#VALUE!</v>
      </c>
      <c r="AF259" s="446" t="e">
        <f>IF(OR($B259="",MIN(AF$38,$D$19)&lt;MAX($P$34*($B259+IF($R$17="Distrato",$I$38-1,0)),IF(AND($L$37=0,$P$34=0),"",$L$37-1),IF($R$17="Distrato",$E259,0))),0,YEARFRAC(MAX($P$34*($B259+IF($R$17="Distrato",$I$38-1,0)),IF(AND($L$37=0,$P$34=0),"",$L$37-1),IF($R$17="Distrato",$E259,0)),MIN(AF$38,$D$19),$P$20))-SUM($P259:AE259)</f>
        <v>#VALUE!</v>
      </c>
      <c r="AG259" s="446" t="e">
        <f>IF(OR($B259="",MIN(AG$38,$D$19)&lt;MAX($P$34*($B259+IF($R$17="Distrato",$I$38-1,0)),IF(AND($L$37=0,$P$34=0),"",$L$37-1),IF($R$17="Distrato",$E259,0))),0,YEARFRAC(MAX($P$34*($B259+IF($R$17="Distrato",$I$38-1,0)),IF(AND($L$37=0,$P$34=0),"",$L$37-1),IF($R$17="Distrato",$E259,0)),MIN(AG$38,$D$19),$P$20))-SUM($P259:AF259)</f>
        <v>#VALUE!</v>
      </c>
      <c r="AH259" s="446" t="e">
        <f>IF(OR($B259="",MIN(AH$38,$D$19)&lt;MAX($P$34*($B259+IF($R$17="Distrato",$I$38-1,0)),IF(AND($L$37=0,$P$34=0),"",$L$37-1),IF($R$17="Distrato",$E259,0))),0,YEARFRAC(MAX($P$34*($B259+IF($R$17="Distrato",$I$38-1,0)),IF(AND($L$37=0,$P$34=0),"",$L$37-1),IF($R$17="Distrato",$E259,0)),MIN(AH$38,$D$19),$P$20))-SUM($P259:AG259)</f>
        <v>#VALUE!</v>
      </c>
      <c r="AI259" s="446" t="e">
        <f>IF(OR($B259="",MIN(AI$38,$D$19)&lt;MAX($P$34*($B259+IF($R$17="Distrato",$I$38-1,0)),IF(AND($L$37=0,$P$34=0),"",$L$37-1),IF($R$17="Distrato",$E259,0))),0,YEARFRAC(MAX($P$34*($B259+IF($R$17="Distrato",$I$38-1,0)),IF(AND($L$37=0,$P$34=0),"",$L$37-1),IF($R$17="Distrato",$E259,0)),MIN(AI$38,$D$19),$P$20))-SUM($P259:AH259)</f>
        <v>#VALUE!</v>
      </c>
      <c r="AJ259" s="446" t="e">
        <f>IF(OR($B259="",MIN(AJ$38,$D$19)&lt;MAX($P$34*($B259+IF($R$17="Distrato",$I$38-1,0)),IF(AND($L$37=0,$P$34=0),"",$L$37-1),IF($R$17="Distrato",$E259,0))),0,YEARFRAC(MAX($P$34*($B259+IF($R$17="Distrato",$I$38-1,0)),IF(AND($L$37=0,$P$34=0),"",$L$37-1),IF($R$17="Distrato",$E259,0)),MIN(AJ$38,$D$19),$P$20))-SUM($P259:AI259)</f>
        <v>#VALUE!</v>
      </c>
      <c r="AK259" s="446" t="e">
        <f>IF(OR($B259="",MIN(AK$38,$D$19)&lt;MAX($P$34*($B259+IF($R$17="Distrato",$I$38-1,0)),IF(AND($L$37=0,$P$34=0),"",$L$37-1),IF($R$17="Distrato",$E259,0))),0,YEARFRAC(MAX($P$34*($B259+IF($R$17="Distrato",$I$38-1,0)),IF(AND($L$37=0,$P$34=0),"",$L$37-1),IF($R$17="Distrato",$E259,0)),MIN(AK$38,$D$19),$P$20))-SUM($P259:AJ259)</f>
        <v>#VALUE!</v>
      </c>
      <c r="AL259" s="446" t="e">
        <f>IF(OR($B259="",MIN(AL$38,$D$19)&lt;MAX($P$34*($B259+IF($R$17="Distrato",$I$38-1,0)),IF(AND($L$37=0,$P$34=0),"",$L$37-1),IF($R$17="Distrato",$E259,0))),0,YEARFRAC(MAX($P$34*($B259+IF($R$17="Distrato",$I$38-1,0)),IF(AND($L$37=0,$P$34=0),"",$L$37-1),IF($R$17="Distrato",$E259,0)),MIN(AL$38,$D$19),$P$20))-SUM($P259:AK259)</f>
        <v>#VALUE!</v>
      </c>
      <c r="AM259" s="446" t="e">
        <f>IF(OR($B259="",MIN(AM$38,$D$19)&lt;MAX($P$34*($B259+IF($R$17="Distrato",$I$38-1,0)),IF(AND($L$37=0,$P$34=0),"",$L$37-1),IF($R$17="Distrato",$E259,0))),0,YEARFRAC(MAX($P$34*($B259+IF($R$17="Distrato",$I$38-1,0)),IF(AND($L$37=0,$P$34=0),"",$L$37-1),IF($R$17="Distrato",$E259,0)),MIN(AM$38,$D$19),$P$20))-SUM($P259:AL259)</f>
        <v>#VALUE!</v>
      </c>
      <c r="AN259" s="446" t="e">
        <f>IF(OR($B259="",MIN(AN$38,$D$19)&lt;MAX($P$34*($B259+IF($R$17="Distrato",$I$38-1,0)),IF(AND($L$37=0,$P$34=0),"",$L$37-1),IF($R$17="Distrato",$E259,0))),0,YEARFRAC(MAX($P$34*($B259+IF($R$17="Distrato",$I$38-1,0)),IF(AND($L$37=0,$P$34=0),"",$L$37-1),IF($R$17="Distrato",$E259,0)),MIN(AN$38,$D$19),$P$20))-SUM($P259:AM259)</f>
        <v>#VALUE!</v>
      </c>
      <c r="AO259" s="446" t="e">
        <f>IF(OR($B259="",MIN(AO$38,$D$19)&lt;MAX($P$34*($B259+IF($R$17="Distrato",$I$38-1,0)),IF(AND($L$37=0,$P$34=0),"",$L$37-1),IF($R$17="Distrato",$E259,0))),0,YEARFRAC(MAX($P$34*($B259+IF($R$17="Distrato",$I$38-1,0)),IF(AND($L$37=0,$P$34=0),"",$L$37-1),IF($R$17="Distrato",$E259,0)),MIN(AO$38,$D$19),$P$20))-SUM($P259:AN259)</f>
        <v>#VALUE!</v>
      </c>
      <c r="AP259" s="446" t="e">
        <f>IF(OR($B259="",MIN(AP$38,$D$19)&lt;MAX($P$34*($B259+IF($R$17="Distrato",$I$38-1,0)),IF(AND($L$37=0,$P$34=0),"",$L$37-1),IF($R$17="Distrato",$E259,0))),0,YEARFRAC(MAX($P$34*($B259+IF($R$17="Distrato",$I$38-1,0)),IF(AND($L$37=0,$P$34=0),"",$L$37-1),IF($R$17="Distrato",$E259,0)),MIN(AP$38,$D$19),$P$20))-SUM($P259:AO259)</f>
        <v>#VALUE!</v>
      </c>
      <c r="AQ259" s="446" t="e">
        <f>IF(OR($B259="",MIN(AQ$38,$D$19)&lt;MAX($P$34*($B259+IF($R$17="Distrato",$I$38-1,0)),IF(AND($L$37=0,$P$34=0),"",$L$37-1),IF($R$17="Distrato",$E259,0))),0,YEARFRAC(MAX($P$34*($B259+IF($R$17="Distrato",$I$38-1,0)),IF(AND($L$37=0,$P$34=0),"",$L$37-1),IF($R$17="Distrato",$E259,0)),MIN(AQ$38,$D$19),$P$20))-SUM($P259:AP259)</f>
        <v>#VALUE!</v>
      </c>
      <c r="AR259" s="446" t="e">
        <f>IF(OR($B259="",MIN(AR$38,$D$19)&lt;MAX($P$34*($B259+IF($R$17="Distrato",$I$38-1,0)),IF(AND($L$37=0,$P$34=0),"",$L$37-1),IF($R$17="Distrato",$E259,0))),0,YEARFRAC(MAX($P$34*($B259+IF($R$17="Distrato",$I$38-1,0)),IF(AND($L$37=0,$P$34=0),"",$L$37-1),IF($R$17="Distrato",$E259,0)),MIN(AR$38,$D$19),$P$20))-SUM($P259:AQ259)</f>
        <v>#VALUE!</v>
      </c>
      <c r="AS259" s="446" t="e">
        <f>IF(OR($B259="",MIN(AS$38,$D$19)&lt;MAX($P$34*($B259+IF($R$17="Distrato",$I$38-1,0)),IF(AND($L$37=0,$P$34=0),"",$L$37-1),IF($R$17="Distrato",$E259,0))),0,YEARFRAC(MAX($P$34*($B259+IF($R$17="Distrato",$I$38-1,0)),IF(AND($L$37=0,$P$34=0),"",$L$37-1),IF($R$17="Distrato",$E259,0)),MIN(AS$38,$D$19),$P$20))-SUM($P259:AR259)</f>
        <v>#VALUE!</v>
      </c>
      <c r="AT259" s="446" t="e">
        <f>IF(OR($B259="",MIN(AT$38,$D$19)&lt;MAX($P$34*($B259+IF($R$17="Distrato",$I$38-1,0)),IF(AND($L$37=0,$P$34=0),"",$L$37-1),IF($R$17="Distrato",$E259,0))),0,YEARFRAC(MAX($P$34*($B259+IF($R$17="Distrato",$I$38-1,0)),IF(AND($L$37=0,$P$34=0),"",$L$37-1),IF($R$17="Distrato",$E259,0)),MIN(AT$38,$D$19),$P$20))-SUM($P259:AS259)</f>
        <v>#VALUE!</v>
      </c>
      <c r="AU259" s="446" t="e">
        <f>IF(OR($B259="",MIN(AU$38,$D$19)&lt;MAX($P$34*($B259+IF($R$17="Distrato",$I$38-1,0)),IF(AND($L$37=0,$P$34=0),"",$L$37-1),IF($R$17="Distrato",$E259,0))),0,YEARFRAC(MAX($P$34*($B259+IF($R$17="Distrato",$I$38-1,0)),IF(AND($L$37=0,$P$34=0),"",$L$37-1),IF($R$17="Distrato",$E259,0)),MIN(AU$38,$D$19),$P$20))-SUM($P259:AT259)</f>
        <v>#VALUE!</v>
      </c>
      <c r="AV259" s="446" t="e">
        <f>IF(OR($B259="",MIN(AV$38,$D$19)&lt;MAX($P$34*($B259+IF($R$17="Distrato",$I$38-1,0)),IF(AND($L$37=0,$P$34=0),"",$L$37-1),IF($R$17="Distrato",$E259,0))),0,YEARFRAC(MAX($P$34*($B259+IF($R$17="Distrato",$I$38-1,0)),IF(AND($L$37=0,$P$34=0),"",$L$37-1),IF($R$17="Distrato",$E259,0)),MIN(AV$38,$D$19),$P$20))-SUM($P259:AU259)</f>
        <v>#VALUE!</v>
      </c>
      <c r="AW259" s="446" t="e">
        <f>IF(OR($B259="",MIN(AW$38,$D$19)&lt;MAX($P$34*($B259+IF($R$17="Distrato",$I$38-1,0)),IF(AND($L$37=0,$P$34=0),"",$L$37-1),IF($R$17="Distrato",$E259,0))),0,YEARFRAC(MAX($P$34*($B259+IF($R$17="Distrato",$I$38-1,0)),IF(AND($L$37=0,$P$34=0),"",$L$37-1),IF($R$17="Distrato",$E259,0)),MIN(AW$38,$D$19),$P$20))-SUM($P259:AV259)</f>
        <v>#VALUE!</v>
      </c>
      <c r="AX259" s="446" t="e">
        <f>IF(OR($B259="",MIN(AX$38,$D$19)&lt;MAX($P$34*($B259+IF($R$17="Distrato",$I$38-1,0)),IF(AND($L$37=0,$P$34=0),"",$L$37-1),IF($R$17="Distrato",$E259,0))),0,YEARFRAC(MAX($P$34*($B259+IF($R$17="Distrato",$I$38-1,0)),IF(AND($L$37=0,$P$34=0),"",$L$37-1),IF($R$17="Distrato",$E259,0)),MIN(AX$38,$D$19),$P$20))-SUM($P259:AW259)</f>
        <v>#VALUE!</v>
      </c>
      <c r="AY259" s="446" t="e">
        <f>IF(OR($B259="",MIN(AY$38,$D$19)&lt;MAX($P$34*($B259+IF($R$17="Distrato",$I$38-1,0)),IF(AND($L$37=0,$P$34=0),"",$L$37-1),IF($R$17="Distrato",$E259,0))),0,YEARFRAC(MAX($P$34*($B259+IF($R$17="Distrato",$I$38-1,0)),IF(AND($L$37=0,$P$34=0),"",$L$37-1),IF($R$17="Distrato",$E259,0)),MIN(AY$38,$D$19),$P$20))-SUM($P259:AX259)</f>
        <v>#VALUE!</v>
      </c>
      <c r="AZ259" s="446" t="e">
        <f>IF(OR($B259="",MIN(AZ$38,$D$19)&lt;MAX($P$34*($B259+IF($R$17="Distrato",$I$38-1,0)),IF(AND($L$37=0,$P$34=0),"",$L$37-1),IF($R$17="Distrato",$E259,0))),0,YEARFRAC(MAX($P$34*($B259+IF($R$17="Distrato",$I$38-1,0)),IF(AND($L$37=0,$P$34=0),"",$L$37-1),IF($R$17="Distrato",$E259,0)),MIN(AZ$38,$D$19),$P$20))-SUM($P259:AY259)</f>
        <v>#VALUE!</v>
      </c>
      <c r="BA259" s="446" t="e">
        <f>IF(OR($B259="",MIN(BA$38,$D$19)&lt;MAX($P$34*($B259+IF($R$17="Distrato",$I$38-1,0)),IF(AND($L$37=0,$P$34=0),"",$L$37-1),IF($R$17="Distrato",$E259,0))),0,YEARFRAC(MAX($P$34*($B259+IF($R$17="Distrato",$I$38-1,0)),IF(AND($L$37=0,$P$34=0),"",$L$37-1),IF($R$17="Distrato",$E259,0)),MIN(BA$38,$D$19),$P$20))-SUM($P259:AZ259)</f>
        <v>#VALUE!</v>
      </c>
      <c r="BB259" s="447"/>
      <c r="BF259" s="446">
        <f t="shared" si="43"/>
        <v>0</v>
      </c>
      <c r="BG259" s="446">
        <f>IF($E259=0,0,IF(MIN(BG$38,$E259)&lt;MAX($P$34*($B259+$I$38-1),IF(AND($L$37=0,$P$34=0),"",$L$37-1)),0,YEARFRAC(MAX($P$34*($B259+$I$38-1),IF(AND($L$37=0,$P$34=0),"",$L$37-1)),MIN(BG$38,$E259),$P$20))-SUM($BF259:BF259))</f>
        <v>0</v>
      </c>
      <c r="BH259" s="446">
        <f>IF($E259=0,0,IF(MIN(BH$38,$E259)&lt;MAX($P$34*($B259+$I$38-1),IF(AND($L$37=0,$P$34=0),"",$L$37-1)),0,YEARFRAC(MAX($P$34*($B259+$I$38-1),IF(AND($L$37=0,$P$34=0),"",$L$37-1)),MIN(BH$38,$E259),$P$20))-SUM($BF259:BG259))</f>
        <v>0</v>
      </c>
      <c r="BI259" s="446">
        <f>IF($E259=0,0,IF(MIN(BI$38,$E259)&lt;MAX($P$34*($B259+$I$38-1),IF(AND($L$37=0,$P$34=0),"",$L$37-1)),0,YEARFRAC(MAX($P$34*($B259+$I$38-1),IF(AND($L$37=0,$P$34=0),"",$L$37-1)),MIN(BI$38,$E259),$P$20))-SUM($BF259:BH259))</f>
        <v>0</v>
      </c>
      <c r="BJ259" s="446">
        <f>IF($E259=0,0,IF(MIN(BJ$38,$E259)&lt;MAX($P$34*($B259+$I$38-1),IF(AND($L$37=0,$P$34=0),"",$L$37-1)),0,YEARFRAC(MAX($P$34*($B259+$I$38-1),IF(AND($L$37=0,$P$34=0),"",$L$37-1)),MIN(BJ$38,$E259),$P$20))-SUM($BF259:BI259))</f>
        <v>0</v>
      </c>
      <c r="BK259" s="446">
        <f>IF($E259=0,0,IF(MIN(BK$38,$E259)&lt;MAX($P$34*($B259+$I$38-1),IF(AND($L$37=0,$P$34=0),"",$L$37-1)),0,YEARFRAC(MAX($P$34*($B259+$I$38-1),IF(AND($L$37=0,$P$34=0),"",$L$37-1)),MIN(BK$38,$E259),$P$20))-SUM($BF259:BJ259))</f>
        <v>0</v>
      </c>
      <c r="BL259" s="446">
        <f>IF($E259=0,0,IF(MIN(BL$38,$E259)&lt;MAX($P$34*($B259+$I$38-1),IF(AND($L$37=0,$P$34=0),"",$L$37-1)),0,YEARFRAC(MAX($P$34*($B259+$I$38-1),IF(AND($L$37=0,$P$34=0),"",$L$37-1)),MIN(BL$38,$E259),$P$20))-SUM($BF259:BK259))</f>
        <v>0</v>
      </c>
      <c r="BM259" s="446">
        <f>IF($E259=0,0,IF(MIN(BM$38,$E259)&lt;MAX($P$34*($B259+$I$38-1),IF(AND($L$37=0,$P$34=0),"",$L$37-1)),0,YEARFRAC(MAX($P$34*($B259+$I$38-1),IF(AND($L$37=0,$P$34=0),"",$L$37-1)),MIN(BM$38,$E259),$P$20))-SUM($BF259:BL259))</f>
        <v>0</v>
      </c>
      <c r="BN259" s="446">
        <f>IF($E259=0,0,IF(MIN(BN$38,$E259)&lt;MAX($P$34*($B259+$I$38-1),IF(AND($L$37=0,$P$34=0),"",$L$37-1)),0,YEARFRAC(MAX($P$34*($B259+$I$38-1),IF(AND($L$37=0,$P$34=0),"",$L$37-1)),MIN(BN$38,$E259),$P$20))-SUM($BF259:BM259))</f>
        <v>0</v>
      </c>
      <c r="BO259" s="446">
        <f>IF($E259=0,0,IF(MIN(BO$38,$E259)&lt;MAX($P$34*($B259+$I$38-1),IF(AND($L$37=0,$P$34=0),"",$L$37-1)),0,YEARFRAC(MAX($P$34*($B259+$I$38-1),IF(AND($L$37=0,$P$34=0),"",$L$37-1)),MIN(BO$38,$E259),$P$20))-SUM($BF259:BN259))</f>
        <v>0</v>
      </c>
      <c r="BP259" s="446">
        <f>IF($E259=0,0,IF(MIN(BP$38,$E259)&lt;MAX($P$34*($B259+$I$38-1),IF(AND($L$37=0,$P$34=0),"",$L$37-1)),0,YEARFRAC(MAX($P$34*($B259+$I$38-1),IF(AND($L$37=0,$P$34=0),"",$L$37-1)),MIN(BP$38,$E259),$P$20))-SUM($BF259:BO259))</f>
        <v>0</v>
      </c>
      <c r="BQ259" s="446">
        <f>IF($E259=0,0,IF(MIN(BQ$38,$E259)&lt;MAX($P$34*($B259+$I$38-1),IF(AND($L$37=0,$P$34=0),"",$L$37-1)),0,YEARFRAC(MAX($P$34*($B259+$I$38-1),IF(AND($L$37=0,$P$34=0),"",$L$37-1)),MIN(BQ$38,$E259),$P$20))-SUM($BF259:BP259))</f>
        <v>0</v>
      </c>
      <c r="BR259" s="446">
        <f>IF($E259=0,0,IF(MIN(BR$38,$E259)&lt;MAX($P$34*($B259+$I$38-1),IF(AND($L$37=0,$P$34=0),"",$L$37-1)),0,YEARFRAC(MAX($P$34*($B259+$I$38-1),IF(AND($L$37=0,$P$34=0),"",$L$37-1)),MIN(BR$38,$E259),$P$20))-SUM($BF259:BQ259))</f>
        <v>0</v>
      </c>
      <c r="BS259" s="446">
        <f>IF($E259=0,0,IF(MIN(BS$38,$E259)&lt;MAX($P$34*($B259+$I$38-1),IF(AND($L$37=0,$P$34=0),"",$L$37-1)),0,YEARFRAC(MAX($P$34*($B259+$I$38-1),IF(AND($L$37=0,$P$34=0),"",$L$37-1)),MIN(BS$38,$E259),$P$20))-SUM($BF259:BR259))</f>
        <v>0</v>
      </c>
      <c r="BT259" s="446">
        <f>IF($E259=0,0,IF(MIN(BT$38,$E259)&lt;MAX($P$34*($B259+$I$38-1),IF(AND($L$37=0,$P$34=0),"",$L$37-1)),0,YEARFRAC(MAX($P$34*($B259+$I$38-1),IF(AND($L$37=0,$P$34=0),"",$L$37-1)),MIN(BT$38,$E259),$P$20))-SUM($BF259:BS259))</f>
        <v>0</v>
      </c>
      <c r="BU259" s="446">
        <f>IF($E259=0,0,IF(MIN(BU$38,$E259)&lt;MAX($P$34*($B259+$I$38-1),IF(AND($L$37=0,$P$34=0),"",$L$37-1)),0,YEARFRAC(MAX($P$34*($B259+$I$38-1),IF(AND($L$37=0,$P$34=0),"",$L$37-1)),MIN(BU$38,$E259),$P$20))-SUM($BF259:BT259))</f>
        <v>0</v>
      </c>
      <c r="BV259" s="446">
        <f>IF($E259=0,0,IF(MIN(BV$38,$E259)&lt;MAX($P$34*($B259+$I$38-1),IF(AND($L$37=0,$P$34=0),"",$L$37-1)),0,YEARFRAC(MAX($P$34*($B259+$I$38-1),IF(AND($L$37=0,$P$34=0),"",$L$37-1)),MIN(BV$38,$E259),$P$20))-SUM($BF259:BU259))</f>
        <v>0</v>
      </c>
      <c r="BW259" s="446">
        <f>IF($E259=0,0,IF(MIN(BW$38,$E259)&lt;MAX($P$34*($B259+$I$38-1),IF(AND($L$37=0,$P$34=0),"",$L$37-1)),0,YEARFRAC(MAX($P$34*($B259+$I$38-1),IF(AND($L$37=0,$P$34=0),"",$L$37-1)),MIN(BW$38,$E259),$P$20))-SUM($BF259:BV259))</f>
        <v>0</v>
      </c>
      <c r="BX259" s="446">
        <f>IF($E259=0,0,IF(MIN(BX$38,$E259)&lt;MAX($P$34*($B259+$I$38-1),IF(AND($L$37=0,$P$34=0),"",$L$37-1)),0,YEARFRAC(MAX($P$34*($B259+$I$38-1),IF(AND($L$37=0,$P$34=0),"",$L$37-1)),MIN(BX$38,$E259),$P$20))-SUM($BF259:BW259))</f>
        <v>0</v>
      </c>
      <c r="BY259" s="446">
        <f>IF($E259=0,0,IF(MIN(BY$38,$E259)&lt;MAX($P$34*($B259+$I$38-1),IF(AND($L$37=0,$P$34=0),"",$L$37-1)),0,YEARFRAC(MAX($P$34*($B259+$I$38-1),IF(AND($L$37=0,$P$34=0),"",$L$37-1)),MIN(BY$38,$E259),$P$20))-SUM($BF259:BX259))</f>
        <v>0</v>
      </c>
      <c r="BZ259" s="446">
        <f>IF($E259=0,0,IF(MIN(BZ$38,$E259)&lt;MAX($P$34*($B259+$I$38-1),IF(AND($L$37=0,$P$34=0),"",$L$37-1)),0,YEARFRAC(MAX($P$34*($B259+$I$38-1),IF(AND($L$37=0,$P$34=0),"",$L$37-1)),MIN(BZ$38,$E259),$P$20))-SUM($BF259:BY259))</f>
        <v>0</v>
      </c>
      <c r="CA259" s="446">
        <f>IF($E259=0,0,IF(MIN(CA$38,$E259)&lt;MAX($P$34*($B259+$I$38-1),IF(AND($L$37=0,$P$34=0),"",$L$37-1)),0,YEARFRAC(MAX($P$34*($B259+$I$38-1),IF(AND($L$37=0,$P$34=0),"",$L$37-1)),MIN(CA$38,$E259),$P$20))-SUM($BF259:BZ259))</f>
        <v>0</v>
      </c>
      <c r="CB259" s="446">
        <f>IF($E259=0,0,IF(MIN(CB$38,$E259)&lt;MAX($P$34*($B259+$I$38-1),IF(AND($L$37=0,$P$34=0),"",$L$37-1)),0,YEARFRAC(MAX($P$34*($B259+$I$38-1),IF(AND($L$37=0,$P$34=0),"",$L$37-1)),MIN(CB$38,$E259),$P$20))-SUM($BF259:CA259))</f>
        <v>0</v>
      </c>
      <c r="CC259" s="446">
        <f>IF($E259=0,0,IF(MIN(CC$38,$E259)&lt;MAX($P$34*($B259+$I$38-1),IF(AND($L$37=0,$P$34=0),"",$L$37-1)),0,YEARFRAC(MAX($P$34*($B259+$I$38-1),IF(AND($L$37=0,$P$34=0),"",$L$37-1)),MIN(CC$38,$E259),$P$20))-SUM($BF259:CB259))</f>
        <v>0</v>
      </c>
      <c r="CD259" s="446">
        <f>IF($E259=0,0,IF(MIN(CD$38,$E259)&lt;MAX($P$34*($B259+$I$38-1),IF(AND($L$37=0,$P$34=0),"",$L$37-1)),0,YEARFRAC(MAX($P$34*($B259+$I$38-1),IF(AND($L$37=0,$P$34=0),"",$L$37-1)),MIN(CD$38,$E259),$P$20))-SUM($BF259:CC259))</f>
        <v>0</v>
      </c>
      <c r="CE259" s="446">
        <f>IF($E259=0,0,IF(MIN(CE$38,$E259)&lt;MAX($P$34*($B259+$I$38-1),IF(AND($L$37=0,$P$34=0),"",$L$37-1)),0,YEARFRAC(MAX($P$34*($B259+$I$38-1),IF(AND($L$37=0,$P$34=0),"",$L$37-1)),MIN(CE$38,$E259),$P$20))-SUM($BF259:CD259))</f>
        <v>0</v>
      </c>
      <c r="CF259" s="446">
        <f>IF($E259=0,0,IF(MIN(CF$38,$E259)&lt;MAX($P$34*($B259+$I$38-1),IF(AND($L$37=0,$P$34=0),"",$L$37-1)),0,YEARFRAC(MAX($P$34*($B259+$I$38-1),IF(AND($L$37=0,$P$34=0),"",$L$37-1)),MIN(CF$38,$E259),$P$20))-SUM($BF259:CE259))</f>
        <v>0</v>
      </c>
      <c r="CG259" s="446">
        <f>IF($E259=0,0,IF(MIN(CG$38,$E259)&lt;MAX($P$34*($B259+$I$38-1),IF(AND($L$37=0,$P$34=0),"",$L$37-1)),0,YEARFRAC(MAX($P$34*($B259+$I$38-1),IF(AND($L$37=0,$P$34=0),"",$L$37-1)),MIN(CG$38,$E259),$P$20))-SUM($BF259:CF259))</f>
        <v>0</v>
      </c>
      <c r="CH259" s="446">
        <f>IF($E259=0,0,IF(MIN(CH$38,$E259)&lt;MAX($P$34*($B259+$I$38-1),IF(AND($L$37=0,$P$34=0),"",$L$37-1)),0,YEARFRAC(MAX($P$34*($B259+$I$38-1),IF(AND($L$37=0,$P$34=0),"",$L$37-1)),MIN(CH$38,$E259),$P$20))-SUM($BF259:CG259))</f>
        <v>0</v>
      </c>
      <c r="CI259" s="446">
        <f>IF($E259=0,0,IF(MIN(CI$38,$E259)&lt;MAX($P$34*($B259+$I$38-1),IF(AND($L$37=0,$P$34=0),"",$L$37-1)),0,YEARFRAC(MAX($P$34*($B259+$I$38-1),IF(AND($L$37=0,$P$34=0),"",$L$37-1)),MIN(CI$38,$E259),$P$20))-SUM($BF259:CH259))</f>
        <v>0</v>
      </c>
      <c r="CJ259" s="446">
        <f>IF($E259=0,0,IF(MIN(CJ$38,$E259)&lt;MAX($P$34*($B259+$I$38-1),IF(AND($L$37=0,$P$34=0),"",$L$37-1)),0,YEARFRAC(MAX($P$34*($B259+$I$38-1),IF(AND($L$37=0,$P$34=0),"",$L$37-1)),MIN(CJ$38,$E259),$P$20))-SUM($BF259:CI259))</f>
        <v>0</v>
      </c>
      <c r="CK259" s="446">
        <f>IF($E259=0,0,IF(MIN(CK$38,$E259)&lt;MAX($P$34*($B259+$I$38-1),IF(AND($L$37=0,$P$34=0),"",$L$37-1)),0,YEARFRAC(MAX($P$34*($B259+$I$38-1),IF(AND($L$37=0,$P$34=0),"",$L$37-1)),MIN(CK$38,$E259),$P$20))-SUM($BF259:CJ259))</f>
        <v>0</v>
      </c>
      <c r="CL259" s="446">
        <f>IF($E259=0,0,IF(MIN(CL$38,$E259)&lt;MAX($P$34*($B259+$I$38-1),IF(AND($L$37=0,$P$34=0),"",$L$37-1)),0,YEARFRAC(MAX($P$34*($B259+$I$38-1),IF(AND($L$37=0,$P$34=0),"",$L$37-1)),MIN(CL$38,$E259),$P$20))-SUM($BF259:CK259))</f>
        <v>0</v>
      </c>
      <c r="CM259" s="446">
        <f>IF($E259=0,0,IF(MIN(CM$38,$E259)&lt;MAX($P$34*($B259+$I$38-1),IF(AND($L$37=0,$P$34=0),"",$L$37-1)),0,YEARFRAC(MAX($P$34*($B259+$I$38-1),IF(AND($L$37=0,$P$34=0),"",$L$37-1)),MIN(CM$38,$E259),$P$20))-SUM($BF259:CL259))</f>
        <v>0</v>
      </c>
      <c r="CN259" s="446">
        <f>IF($E259=0,0,IF(MIN(CN$38,$E259)&lt;MAX($P$34*($B259+$I$38-1),IF(AND($L$37=0,$P$34=0),"",$L$37-1)),0,YEARFRAC(MAX($P$34*($B259+$I$38-1),IF(AND($L$37=0,$P$34=0),"",$L$37-1)),MIN(CN$38,$E259),$P$20))-SUM($BF259:CM259))</f>
        <v>0</v>
      </c>
      <c r="CO259" s="446">
        <f>IF($E259=0,0,IF(MIN(CO$38,$E259)&lt;MAX($P$34*($B259+$I$38-1),IF(AND($L$37=0,$P$34=0),"",$L$37-1)),0,YEARFRAC(MAX($P$34*($B259+$I$38-1),IF(AND($L$37=0,$P$34=0),"",$L$37-1)),MIN(CO$38,$E259),$P$20))-SUM($BF259:CN259))</f>
        <v>0</v>
      </c>
      <c r="CP259" s="446">
        <f>IF($E259=0,0,IF(MIN(CP$38,$E259)&lt;MAX($P$34*($B259+$I$38-1),IF(AND($L$37=0,$P$34=0),"",$L$37-1)),0,YEARFRAC(MAX($P$34*($B259+$I$38-1),IF(AND($L$37=0,$P$34=0),"",$L$37-1)),MIN(CP$38,$E259),$P$20))-SUM($BF259:CO259))</f>
        <v>0</v>
      </c>
      <c r="CQ259" s="446">
        <f>IF($E259=0,0,IF(MIN(CQ$38,$E259)&lt;MAX($P$34*($B259+$I$38-1),IF(AND($L$37=0,$P$34=0),"",$L$37-1)),0,YEARFRAC(MAX($P$34*($B259+$I$38-1),IF(AND($L$37=0,$P$34=0),"",$L$37-1)),MIN(CQ$38,$E259),$P$20))-SUM($BF259:CP259))</f>
        <v>0</v>
      </c>
    </row>
    <row r="260" spans="1:95" s="446" customFormat="1" ht="11.25" hidden="1" customHeight="1" x14ac:dyDescent="0.2">
      <c r="A260" s="152"/>
      <c r="B260" s="153" t="str">
        <f t="shared" si="48"/>
        <v/>
      </c>
      <c r="C260" s="29" t="str">
        <f>IF(B260="","",IF($L$35="SELIC - TRIBUTOS",VLOOKUP(DATE(YEAR($D$19),MONTH($D$19)-1,1),ÍNDICES!$A:$DE,HLOOKUP($BL$25,ÍNDICES!$B$3:$T$4,2)+11)-VLOOKUP(B260,ÍNDICES!$A:$DE,HLOOKUP($BL$25,ÍNDICES!$B$3:$T$4,2)+11)+1%,IF(C$38=$W$26,$J$35,IF(ISERROR(IF(B260&gt;$D$19,1,VLOOKUP(DATE(YEAR(B260),MONTH(B260)+IF($C$35=$S$23,1,0),1),ÍNDICES!$A:$DE,$Z$35+1))),"",IF(B260&gt;$D$19,1,VLOOKUP(DATE(YEAR(B260),MONTH(B260)+IF($C$35=$S$23,1,0),1),ÍNDICES!$A:$DE,$Z$35+1))))))</f>
        <v/>
      </c>
      <c r="D260" s="154" t="str">
        <f>IF(ISERROR(IF(OR($D$38=$Y$27,$B260=""),"",VLOOKUP(B260,ÍNDICES!A:DE,AF$35+1))),"",IF(OR($D$38=$Y$27,$B260=""),"",VLOOKUP(B260,ÍNDICES!A:DE,AF$35+1)))</f>
        <v/>
      </c>
      <c r="E260" s="153"/>
      <c r="F260" s="29" t="str">
        <f>IF(E260="","",IF($L$35="SELIC - TRIBUTOS",VLOOKUP(DATE(YEAR($D$19),MONTH($D$19)-1,1),ÍNDICES!$A:$DE,HLOOKUP($BL$25,ÍNDICES!$B$3:$T$4,2)+11)-VLOOKUP(E260,ÍNDICES!$A:$DE,HLOOKUP($BL$25,ÍNDICES!$B$3:$T$4,2)+11)+1%,IF(F$38=$W$26,$J$35,IF(ISERROR(IF(E260&gt;$D$19,1,VLOOKUP(DATE(YEAR(E260),MONTH(E260)+IF($C$35=$S$23,1,0),1),ÍNDICES!$A:$DE,$Z$35+1))),"",IF(E260&gt;$D$19,1,VLOOKUP(DATE(YEAR(E260),MONTH(E260)+IF($C$35=$S$23,1,0),1),ÍNDICES!$A:$DE,$Z$35+1))))))</f>
        <v/>
      </c>
      <c r="G260" s="155"/>
      <c r="H260" s="156" t="str">
        <f t="shared" si="44"/>
        <v/>
      </c>
      <c r="I260" s="29" t="str">
        <f t="shared" si="38"/>
        <v/>
      </c>
      <c r="J260" s="5">
        <f t="shared" si="39"/>
        <v>0</v>
      </c>
      <c r="K260" s="20">
        <f t="shared" ca="1" si="40"/>
        <v>0</v>
      </c>
      <c r="L260" s="5">
        <f t="shared" ca="1" si="41"/>
        <v>0</v>
      </c>
      <c r="M260" s="64">
        <f t="shared" si="45"/>
        <v>0</v>
      </c>
      <c r="N260" s="61">
        <f t="shared" ca="1" si="46"/>
        <v>0</v>
      </c>
      <c r="O260" s="5">
        <f t="shared" ca="1" si="47"/>
        <v>0</v>
      </c>
      <c r="P260" s="446" t="e">
        <f t="shared" si="42"/>
        <v>#VALUE!</v>
      </c>
      <c r="Q260" s="446" t="e">
        <f>IF(OR($B260="",MIN(Q$38,$D$19)&lt;MAX($P$34*($B260+IF($R$17="Distrato",$I$38-1,0)),IF(AND($L$37=0,$P$34=0),"",$L$37-1),IF($R$17="Distrato",$E260,0))),0,YEARFRAC(MAX($P$34*($B260+IF($R$17="Distrato",$I$38-1,0)),IF(AND($L$37=0,$P$34=0),"",$L$37-1),IF($R$17="Distrato",$E260,0)),MIN(Q$38,$D$19),$P$20))-SUM($P260:P260)</f>
        <v>#VALUE!</v>
      </c>
      <c r="R260" s="446" t="e">
        <f>IF(OR($B260="",MIN(R$38,$D$19)&lt;MAX($P$34*($B260+IF($R$17="Distrato",$I$38-1,0)),IF(AND($L$37=0,$P$34=0),"",$L$37-1),IF($R$17="Distrato",$E260,0))),0,YEARFRAC(MAX($P$34*($B260+IF($R$17="Distrato",$I$38-1,0)),IF(AND($L$37=0,$P$34=0),"",$L$37-1),IF($R$17="Distrato",$E260,0)),MIN(R$38,$D$19),$P$20))-SUM($P260:Q260)</f>
        <v>#VALUE!</v>
      </c>
      <c r="S260" s="446" t="e">
        <f>IF(OR($B260="",MIN(S$38,$D$19)&lt;MAX($P$34*($B260+IF($R$17="Distrato",$I$38-1,0)),IF(AND($L$37=0,$P$34=0),"",$L$37-1),IF($R$17="Distrato",$E260,0))),0,YEARFRAC(MAX($P$34*($B260+IF($R$17="Distrato",$I$38-1,0)),IF(AND($L$37=0,$P$34=0),"",$L$37-1),IF($R$17="Distrato",$E260,0)),MIN(S$38,$D$19),$P$20))-SUM($P260:R260)</f>
        <v>#VALUE!</v>
      </c>
      <c r="T260" s="446" t="e">
        <f>IF(OR($B260="",MIN(T$38,$D$19)&lt;MAX($P$34*($B260+IF($R$17="Distrato",$I$38-1,0)),IF(AND($L$37=0,$P$34=0),"",$L$37-1),IF($R$17="Distrato",$E260,0))),0,YEARFRAC(MAX($P$34*($B260+IF($R$17="Distrato",$I$38-1,0)),IF(AND($L$37=0,$P$34=0),"",$L$37-1),IF($R$17="Distrato",$E260,0)),MIN(T$38,$D$19),$P$20))-SUM($P260:S260)</f>
        <v>#VALUE!</v>
      </c>
      <c r="U260" s="446" t="e">
        <f>IF(OR($B260="",MIN(U$38,$D$19)&lt;MAX($P$34*($B260+IF($R$17="Distrato",$I$38-1,0)),IF(AND($L$37=0,$P$34=0),"",$L$37-1),IF($R$17="Distrato",$E260,0))),0,YEARFRAC(MAX($P$34*($B260+IF($R$17="Distrato",$I$38-1,0)),IF(AND($L$37=0,$P$34=0),"",$L$37-1),IF($R$17="Distrato",$E260,0)),MIN(U$38,$D$19),$P$20))-SUM($P260:T260)</f>
        <v>#VALUE!</v>
      </c>
      <c r="V260" s="446" t="e">
        <f>IF(OR($B260="",MIN(V$38,$D$19)&lt;MAX($P$34*($B260+IF($R$17="Distrato",$I$38-1,0)),IF(AND($L$37=0,$P$34=0),"",$L$37-1),IF($R$17="Distrato",$E260,0))),0,YEARFRAC(MAX($P$34*($B260+IF($R$17="Distrato",$I$38-1,0)),IF(AND($L$37=0,$P$34=0),"",$L$37-1),IF($R$17="Distrato",$E260,0)),MIN(V$38,$D$19),$P$20))-SUM($P260:U260)</f>
        <v>#VALUE!</v>
      </c>
      <c r="W260" s="446" t="e">
        <f>IF(OR($B260="",MIN(W$38,$D$19)&lt;MAX($P$34*($B260+IF($R$17="Distrato",$I$38-1,0)),IF(AND($L$37=0,$P$34=0),"",$L$37-1),IF($R$17="Distrato",$E260,0))),0,YEARFRAC(MAX($P$34*($B260+IF($R$17="Distrato",$I$38-1,0)),IF(AND($L$37=0,$P$34=0),"",$L$37-1),IF($R$17="Distrato",$E260,0)),MIN(W$38,$D$19),$P$20))-SUM($P260:V260)</f>
        <v>#VALUE!</v>
      </c>
      <c r="X260" s="446" t="e">
        <f>IF(OR($B260="",MIN(X$38,$D$19)&lt;MAX($P$34*($B260+IF($R$17="Distrato",$I$38-1,0)),IF(AND($L$37=0,$P$34=0),"",$L$37-1),IF($R$17="Distrato",$E260,0))),0,YEARFRAC(MAX($P$34*($B260+IF($R$17="Distrato",$I$38-1,0)),IF(AND($L$37=0,$P$34=0),"",$L$37-1),IF($R$17="Distrato",$E260,0)),MIN(X$38,$D$19),$P$20))-SUM($P260:W260)</f>
        <v>#VALUE!</v>
      </c>
      <c r="Y260" s="446" t="e">
        <f>IF(OR($B260="",MIN(Y$38,$D$19)&lt;MAX($P$34*($B260+IF($R$17="Distrato",$I$38-1,0)),IF(AND($L$37=0,$P$34=0),"",$L$37-1),IF($R$17="Distrato",$E260,0))),0,YEARFRAC(MAX($P$34*($B260+IF($R$17="Distrato",$I$38-1,0)),IF(AND($L$37=0,$P$34=0),"",$L$37-1),IF($R$17="Distrato",$E260,0)),MIN(Y$38,$D$19),$P$20))-SUM($P260:X260)</f>
        <v>#VALUE!</v>
      </c>
      <c r="Z260" s="446" t="e">
        <f>IF(OR($B260="",MIN(Z$38,$D$19)&lt;MAX($P$34*($B260+IF($R$17="Distrato",$I$38-1,0)),IF(AND($L$37=0,$P$34=0),"",$L$37-1),IF($R$17="Distrato",$E260,0))),0,YEARFRAC(MAX($P$34*($B260+IF($R$17="Distrato",$I$38-1,0)),IF(AND($L$37=0,$P$34=0),"",$L$37-1),IF($R$17="Distrato",$E260,0)),MIN(Z$38,$D$19),$P$20))-SUM($P260:Y260)</f>
        <v>#VALUE!</v>
      </c>
      <c r="AA260" s="446" t="e">
        <f>IF(OR($B260="",MIN(AA$38,$D$19)&lt;MAX($P$34*($B260+IF($R$17="Distrato",$I$38-1,0)),IF(AND($L$37=0,$P$34=0),"",$L$37-1),IF($R$17="Distrato",$E260,0))),0,YEARFRAC(MAX($P$34*($B260+IF($R$17="Distrato",$I$38-1,0)),IF(AND($L$37=0,$P$34=0),"",$L$37-1),IF($R$17="Distrato",$E260,0)),MIN(AA$38,$D$19),$P$20))-SUM($P260:Z260)</f>
        <v>#VALUE!</v>
      </c>
      <c r="AB260" s="446" t="e">
        <f>IF(OR($B260="",MIN(AB$38,$D$19)&lt;MAX($P$34*($B260+IF($R$17="Distrato",$I$38-1,0)),IF(AND($L$37=0,$P$34=0),"",$L$37-1),IF($R$17="Distrato",$E260,0))),0,YEARFRAC(MAX($P$34*($B260+IF($R$17="Distrato",$I$38-1,0)),IF(AND($L$37=0,$P$34=0),"",$L$37-1),IF($R$17="Distrato",$E260,0)),MIN(AB$38,$D$19),$P$20))-SUM($P260:AA260)</f>
        <v>#VALUE!</v>
      </c>
      <c r="AC260" s="446" t="e">
        <f>IF(OR($B260="",MIN(AC$38,$D$19)&lt;MAX($P$34*($B260+IF($R$17="Distrato",$I$38-1,0)),IF(AND($L$37=0,$P$34=0),"",$L$37-1),IF($R$17="Distrato",$E260,0))),0,YEARFRAC(MAX($P$34*($B260+IF($R$17="Distrato",$I$38-1,0)),IF(AND($L$37=0,$P$34=0),"",$L$37-1),IF($R$17="Distrato",$E260,0)),MIN(AC$38,$D$19),$P$20))-SUM($P260:AB260)</f>
        <v>#VALUE!</v>
      </c>
      <c r="AD260" s="446" t="e">
        <f>IF(OR($B260="",MIN(AD$38,$D$19)&lt;MAX($P$34*($B260+IF($R$17="Distrato",$I$38-1,0)),IF(AND($L$37=0,$P$34=0),"",$L$37-1),IF($R$17="Distrato",$E260,0))),0,YEARFRAC(MAX($P$34*($B260+IF($R$17="Distrato",$I$38-1,0)),IF(AND($L$37=0,$P$34=0),"",$L$37-1),IF($R$17="Distrato",$E260,0)),MIN(AD$38,$D$19),$P$20))-SUM($P260:AC260)</f>
        <v>#VALUE!</v>
      </c>
      <c r="AE260" s="446" t="e">
        <f>IF(OR($B260="",MIN(AE$38,$D$19)&lt;MAX($P$34*($B260+IF($R$17="Distrato",$I$38-1,0)),IF(AND($L$37=0,$P$34=0),"",$L$37-1),IF($R$17="Distrato",$E260,0))),0,YEARFRAC(MAX($P$34*($B260+IF($R$17="Distrato",$I$38-1,0)),IF(AND($L$37=0,$P$34=0),"",$L$37-1),IF($R$17="Distrato",$E260,0)),MIN(AE$38,$D$19),$P$20))-SUM($P260:AD260)</f>
        <v>#VALUE!</v>
      </c>
      <c r="AF260" s="446" t="e">
        <f>IF(OR($B260="",MIN(AF$38,$D$19)&lt;MAX($P$34*($B260+IF($R$17="Distrato",$I$38-1,0)),IF(AND($L$37=0,$P$34=0),"",$L$37-1),IF($R$17="Distrato",$E260,0))),0,YEARFRAC(MAX($P$34*($B260+IF($R$17="Distrato",$I$38-1,0)),IF(AND($L$37=0,$P$34=0),"",$L$37-1),IF($R$17="Distrato",$E260,0)),MIN(AF$38,$D$19),$P$20))-SUM($P260:AE260)</f>
        <v>#VALUE!</v>
      </c>
      <c r="AG260" s="446" t="e">
        <f>IF(OR($B260="",MIN(AG$38,$D$19)&lt;MAX($P$34*($B260+IF($R$17="Distrato",$I$38-1,0)),IF(AND($L$37=0,$P$34=0),"",$L$37-1),IF($R$17="Distrato",$E260,0))),0,YEARFRAC(MAX($P$34*($B260+IF($R$17="Distrato",$I$38-1,0)),IF(AND($L$37=0,$P$34=0),"",$L$37-1),IF($R$17="Distrato",$E260,0)),MIN(AG$38,$D$19),$P$20))-SUM($P260:AF260)</f>
        <v>#VALUE!</v>
      </c>
      <c r="AH260" s="446" t="e">
        <f>IF(OR($B260="",MIN(AH$38,$D$19)&lt;MAX($P$34*($B260+IF($R$17="Distrato",$I$38-1,0)),IF(AND($L$37=0,$P$34=0),"",$L$37-1),IF($R$17="Distrato",$E260,0))),0,YEARFRAC(MAX($P$34*($B260+IF($R$17="Distrato",$I$38-1,0)),IF(AND($L$37=0,$P$34=0),"",$L$37-1),IF($R$17="Distrato",$E260,0)),MIN(AH$38,$D$19),$P$20))-SUM($P260:AG260)</f>
        <v>#VALUE!</v>
      </c>
      <c r="AI260" s="446" t="e">
        <f>IF(OR($B260="",MIN(AI$38,$D$19)&lt;MAX($P$34*($B260+IF($R$17="Distrato",$I$38-1,0)),IF(AND($L$37=0,$P$34=0),"",$L$37-1),IF($R$17="Distrato",$E260,0))),0,YEARFRAC(MAX($P$34*($B260+IF($R$17="Distrato",$I$38-1,0)),IF(AND($L$37=0,$P$34=0),"",$L$37-1),IF($R$17="Distrato",$E260,0)),MIN(AI$38,$D$19),$P$20))-SUM($P260:AH260)</f>
        <v>#VALUE!</v>
      </c>
      <c r="AJ260" s="446" t="e">
        <f>IF(OR($B260="",MIN(AJ$38,$D$19)&lt;MAX($P$34*($B260+IF($R$17="Distrato",$I$38-1,0)),IF(AND($L$37=0,$P$34=0),"",$L$37-1),IF($R$17="Distrato",$E260,0))),0,YEARFRAC(MAX($P$34*($B260+IF($R$17="Distrato",$I$38-1,0)),IF(AND($L$37=0,$P$34=0),"",$L$37-1),IF($R$17="Distrato",$E260,0)),MIN(AJ$38,$D$19),$P$20))-SUM($P260:AI260)</f>
        <v>#VALUE!</v>
      </c>
      <c r="AK260" s="446" t="e">
        <f>IF(OR($B260="",MIN(AK$38,$D$19)&lt;MAX($P$34*($B260+IF($R$17="Distrato",$I$38-1,0)),IF(AND($L$37=0,$P$34=0),"",$L$37-1),IF($R$17="Distrato",$E260,0))),0,YEARFRAC(MAX($P$34*($B260+IF($R$17="Distrato",$I$38-1,0)),IF(AND($L$37=0,$P$34=0),"",$L$37-1),IF($R$17="Distrato",$E260,0)),MIN(AK$38,$D$19),$P$20))-SUM($P260:AJ260)</f>
        <v>#VALUE!</v>
      </c>
      <c r="AL260" s="446" t="e">
        <f>IF(OR($B260="",MIN(AL$38,$D$19)&lt;MAX($P$34*($B260+IF($R$17="Distrato",$I$38-1,0)),IF(AND($L$37=0,$P$34=0),"",$L$37-1),IF($R$17="Distrato",$E260,0))),0,YEARFRAC(MAX($P$34*($B260+IF($R$17="Distrato",$I$38-1,0)),IF(AND($L$37=0,$P$34=0),"",$L$37-1),IF($R$17="Distrato",$E260,0)),MIN(AL$38,$D$19),$P$20))-SUM($P260:AK260)</f>
        <v>#VALUE!</v>
      </c>
      <c r="AM260" s="446" t="e">
        <f>IF(OR($B260="",MIN(AM$38,$D$19)&lt;MAX($P$34*($B260+IF($R$17="Distrato",$I$38-1,0)),IF(AND($L$37=0,$P$34=0),"",$L$37-1),IF($R$17="Distrato",$E260,0))),0,YEARFRAC(MAX($P$34*($B260+IF($R$17="Distrato",$I$38-1,0)),IF(AND($L$37=0,$P$34=0),"",$L$37-1),IF($R$17="Distrato",$E260,0)),MIN(AM$38,$D$19),$P$20))-SUM($P260:AL260)</f>
        <v>#VALUE!</v>
      </c>
      <c r="AN260" s="446" t="e">
        <f>IF(OR($B260="",MIN(AN$38,$D$19)&lt;MAX($P$34*($B260+IF($R$17="Distrato",$I$38-1,0)),IF(AND($L$37=0,$P$34=0),"",$L$37-1),IF($R$17="Distrato",$E260,0))),0,YEARFRAC(MAX($P$34*($B260+IF($R$17="Distrato",$I$38-1,0)),IF(AND($L$37=0,$P$34=0),"",$L$37-1),IF($R$17="Distrato",$E260,0)),MIN(AN$38,$D$19),$P$20))-SUM($P260:AM260)</f>
        <v>#VALUE!</v>
      </c>
      <c r="AO260" s="446" t="e">
        <f>IF(OR($B260="",MIN(AO$38,$D$19)&lt;MAX($P$34*($B260+IF($R$17="Distrato",$I$38-1,0)),IF(AND($L$37=0,$P$34=0),"",$L$37-1),IF($R$17="Distrato",$E260,0))),0,YEARFRAC(MAX($P$34*($B260+IF($R$17="Distrato",$I$38-1,0)),IF(AND($L$37=0,$P$34=0),"",$L$37-1),IF($R$17="Distrato",$E260,0)),MIN(AO$38,$D$19),$P$20))-SUM($P260:AN260)</f>
        <v>#VALUE!</v>
      </c>
      <c r="AP260" s="446" t="e">
        <f>IF(OR($B260="",MIN(AP$38,$D$19)&lt;MAX($P$34*($B260+IF($R$17="Distrato",$I$38-1,0)),IF(AND($L$37=0,$P$34=0),"",$L$37-1),IF($R$17="Distrato",$E260,0))),0,YEARFRAC(MAX($P$34*($B260+IF($R$17="Distrato",$I$38-1,0)),IF(AND($L$37=0,$P$34=0),"",$L$37-1),IF($R$17="Distrato",$E260,0)),MIN(AP$38,$D$19),$P$20))-SUM($P260:AO260)</f>
        <v>#VALUE!</v>
      </c>
      <c r="AQ260" s="446" t="e">
        <f>IF(OR($B260="",MIN(AQ$38,$D$19)&lt;MAX($P$34*($B260+IF($R$17="Distrato",$I$38-1,0)),IF(AND($L$37=0,$P$34=0),"",$L$37-1),IF($R$17="Distrato",$E260,0))),0,YEARFRAC(MAX($P$34*($B260+IF($R$17="Distrato",$I$38-1,0)),IF(AND($L$37=0,$P$34=0),"",$L$37-1),IF($R$17="Distrato",$E260,0)),MIN(AQ$38,$D$19),$P$20))-SUM($P260:AP260)</f>
        <v>#VALUE!</v>
      </c>
      <c r="AR260" s="446" t="e">
        <f>IF(OR($B260="",MIN(AR$38,$D$19)&lt;MAX($P$34*($B260+IF($R$17="Distrato",$I$38-1,0)),IF(AND($L$37=0,$P$34=0),"",$L$37-1),IF($R$17="Distrato",$E260,0))),0,YEARFRAC(MAX($P$34*($B260+IF($R$17="Distrato",$I$38-1,0)),IF(AND($L$37=0,$P$34=0),"",$L$37-1),IF($R$17="Distrato",$E260,0)),MIN(AR$38,$D$19),$P$20))-SUM($P260:AQ260)</f>
        <v>#VALUE!</v>
      </c>
      <c r="AS260" s="446" t="e">
        <f>IF(OR($B260="",MIN(AS$38,$D$19)&lt;MAX($P$34*($B260+IF($R$17="Distrato",$I$38-1,0)),IF(AND($L$37=0,$P$34=0),"",$L$37-1),IF($R$17="Distrato",$E260,0))),0,YEARFRAC(MAX($P$34*($B260+IF($R$17="Distrato",$I$38-1,0)),IF(AND($L$37=0,$P$34=0),"",$L$37-1),IF($R$17="Distrato",$E260,0)),MIN(AS$38,$D$19),$P$20))-SUM($P260:AR260)</f>
        <v>#VALUE!</v>
      </c>
      <c r="AT260" s="446" t="e">
        <f>IF(OR($B260="",MIN(AT$38,$D$19)&lt;MAX($P$34*($B260+IF($R$17="Distrato",$I$38-1,0)),IF(AND($L$37=0,$P$34=0),"",$L$37-1),IF($R$17="Distrato",$E260,0))),0,YEARFRAC(MAX($P$34*($B260+IF($R$17="Distrato",$I$38-1,0)),IF(AND($L$37=0,$P$34=0),"",$L$37-1),IF($R$17="Distrato",$E260,0)),MIN(AT$38,$D$19),$P$20))-SUM($P260:AS260)</f>
        <v>#VALUE!</v>
      </c>
      <c r="AU260" s="446" t="e">
        <f>IF(OR($B260="",MIN(AU$38,$D$19)&lt;MAX($P$34*($B260+IF($R$17="Distrato",$I$38-1,0)),IF(AND($L$37=0,$P$34=0),"",$L$37-1),IF($R$17="Distrato",$E260,0))),0,YEARFRAC(MAX($P$34*($B260+IF($R$17="Distrato",$I$38-1,0)),IF(AND($L$37=0,$P$34=0),"",$L$37-1),IF($R$17="Distrato",$E260,0)),MIN(AU$38,$D$19),$P$20))-SUM($P260:AT260)</f>
        <v>#VALUE!</v>
      </c>
      <c r="AV260" s="446" t="e">
        <f>IF(OR($B260="",MIN(AV$38,$D$19)&lt;MAX($P$34*($B260+IF($R$17="Distrato",$I$38-1,0)),IF(AND($L$37=0,$P$34=0),"",$L$37-1),IF($R$17="Distrato",$E260,0))),0,YEARFRAC(MAX($P$34*($B260+IF($R$17="Distrato",$I$38-1,0)),IF(AND($L$37=0,$P$34=0),"",$L$37-1),IF($R$17="Distrato",$E260,0)),MIN(AV$38,$D$19),$P$20))-SUM($P260:AU260)</f>
        <v>#VALUE!</v>
      </c>
      <c r="AW260" s="446" t="e">
        <f>IF(OR($B260="",MIN(AW$38,$D$19)&lt;MAX($P$34*($B260+IF($R$17="Distrato",$I$38-1,0)),IF(AND($L$37=0,$P$34=0),"",$L$37-1),IF($R$17="Distrato",$E260,0))),0,YEARFRAC(MAX($P$34*($B260+IF($R$17="Distrato",$I$38-1,0)),IF(AND($L$37=0,$P$34=0),"",$L$37-1),IF($R$17="Distrato",$E260,0)),MIN(AW$38,$D$19),$P$20))-SUM($P260:AV260)</f>
        <v>#VALUE!</v>
      </c>
      <c r="AX260" s="446" t="e">
        <f>IF(OR($B260="",MIN(AX$38,$D$19)&lt;MAX($P$34*($B260+IF($R$17="Distrato",$I$38-1,0)),IF(AND($L$37=0,$P$34=0),"",$L$37-1),IF($R$17="Distrato",$E260,0))),0,YEARFRAC(MAX($P$34*($B260+IF($R$17="Distrato",$I$38-1,0)),IF(AND($L$37=0,$P$34=0),"",$L$37-1),IF($R$17="Distrato",$E260,0)),MIN(AX$38,$D$19),$P$20))-SUM($P260:AW260)</f>
        <v>#VALUE!</v>
      </c>
      <c r="AY260" s="446" t="e">
        <f>IF(OR($B260="",MIN(AY$38,$D$19)&lt;MAX($P$34*($B260+IF($R$17="Distrato",$I$38-1,0)),IF(AND($L$37=0,$P$34=0),"",$L$37-1),IF($R$17="Distrato",$E260,0))),0,YEARFRAC(MAX($P$34*($B260+IF($R$17="Distrato",$I$38-1,0)),IF(AND($L$37=0,$P$34=0),"",$L$37-1),IF($R$17="Distrato",$E260,0)),MIN(AY$38,$D$19),$P$20))-SUM($P260:AX260)</f>
        <v>#VALUE!</v>
      </c>
      <c r="AZ260" s="446" t="e">
        <f>IF(OR($B260="",MIN(AZ$38,$D$19)&lt;MAX($P$34*($B260+IF($R$17="Distrato",$I$38-1,0)),IF(AND($L$37=0,$P$34=0),"",$L$37-1),IF($R$17="Distrato",$E260,0))),0,YEARFRAC(MAX($P$34*($B260+IF($R$17="Distrato",$I$38-1,0)),IF(AND($L$37=0,$P$34=0),"",$L$37-1),IF($R$17="Distrato",$E260,0)),MIN(AZ$38,$D$19),$P$20))-SUM($P260:AY260)</f>
        <v>#VALUE!</v>
      </c>
      <c r="BA260" s="446" t="e">
        <f>IF(OR($B260="",MIN(BA$38,$D$19)&lt;MAX($P$34*($B260+IF($R$17="Distrato",$I$38-1,0)),IF(AND($L$37=0,$P$34=0),"",$L$37-1),IF($R$17="Distrato",$E260,0))),0,YEARFRAC(MAX($P$34*($B260+IF($R$17="Distrato",$I$38-1,0)),IF(AND($L$37=0,$P$34=0),"",$L$37-1),IF($R$17="Distrato",$E260,0)),MIN(BA$38,$D$19),$P$20))-SUM($P260:AZ260)</f>
        <v>#VALUE!</v>
      </c>
      <c r="BB260" s="447"/>
      <c r="BF260" s="446">
        <f t="shared" si="43"/>
        <v>0</v>
      </c>
      <c r="BG260" s="446">
        <f>IF($E260=0,0,IF(MIN(BG$38,$E260)&lt;MAX($P$34*($B260+$I$38-1),IF(AND($L$37=0,$P$34=0),"",$L$37-1)),0,YEARFRAC(MAX($P$34*($B260+$I$38-1),IF(AND($L$37=0,$P$34=0),"",$L$37-1)),MIN(BG$38,$E260),$P$20))-SUM($BF260:BF260))</f>
        <v>0</v>
      </c>
      <c r="BH260" s="446">
        <f>IF($E260=0,0,IF(MIN(BH$38,$E260)&lt;MAX($P$34*($B260+$I$38-1),IF(AND($L$37=0,$P$34=0),"",$L$37-1)),0,YEARFRAC(MAX($P$34*($B260+$I$38-1),IF(AND($L$37=0,$P$34=0),"",$L$37-1)),MIN(BH$38,$E260),$P$20))-SUM($BF260:BG260))</f>
        <v>0</v>
      </c>
      <c r="BI260" s="446">
        <f>IF($E260=0,0,IF(MIN(BI$38,$E260)&lt;MAX($P$34*($B260+$I$38-1),IF(AND($L$37=0,$P$34=0),"",$L$37-1)),0,YEARFRAC(MAX($P$34*($B260+$I$38-1),IF(AND($L$37=0,$P$34=0),"",$L$37-1)),MIN(BI$38,$E260),$P$20))-SUM($BF260:BH260))</f>
        <v>0</v>
      </c>
      <c r="BJ260" s="446">
        <f>IF($E260=0,0,IF(MIN(BJ$38,$E260)&lt;MAX($P$34*($B260+$I$38-1),IF(AND($L$37=0,$P$34=0),"",$L$37-1)),0,YEARFRAC(MAX($P$34*($B260+$I$38-1),IF(AND($L$37=0,$P$34=0),"",$L$37-1)),MIN(BJ$38,$E260),$P$20))-SUM($BF260:BI260))</f>
        <v>0</v>
      </c>
      <c r="BK260" s="446">
        <f>IF($E260=0,0,IF(MIN(BK$38,$E260)&lt;MAX($P$34*($B260+$I$38-1),IF(AND($L$37=0,$P$34=0),"",$L$37-1)),0,YEARFRAC(MAX($P$34*($B260+$I$38-1),IF(AND($L$37=0,$P$34=0),"",$L$37-1)),MIN(BK$38,$E260),$P$20))-SUM($BF260:BJ260))</f>
        <v>0</v>
      </c>
      <c r="BL260" s="446">
        <f>IF($E260=0,0,IF(MIN(BL$38,$E260)&lt;MAX($P$34*($B260+$I$38-1),IF(AND($L$37=0,$P$34=0),"",$L$37-1)),0,YEARFRAC(MAX($P$34*($B260+$I$38-1),IF(AND($L$37=0,$P$34=0),"",$L$37-1)),MIN(BL$38,$E260),$P$20))-SUM($BF260:BK260))</f>
        <v>0</v>
      </c>
      <c r="BM260" s="446">
        <f>IF($E260=0,0,IF(MIN(BM$38,$E260)&lt;MAX($P$34*($B260+$I$38-1),IF(AND($L$37=0,$P$34=0),"",$L$37-1)),0,YEARFRAC(MAX($P$34*($B260+$I$38-1),IF(AND($L$37=0,$P$34=0),"",$L$37-1)),MIN(BM$38,$E260),$P$20))-SUM($BF260:BL260))</f>
        <v>0</v>
      </c>
      <c r="BN260" s="446">
        <f>IF($E260=0,0,IF(MIN(BN$38,$E260)&lt;MAX($P$34*($B260+$I$38-1),IF(AND($L$37=0,$P$34=0),"",$L$37-1)),0,YEARFRAC(MAX($P$34*($B260+$I$38-1),IF(AND($L$37=0,$P$34=0),"",$L$37-1)),MIN(BN$38,$E260),$P$20))-SUM($BF260:BM260))</f>
        <v>0</v>
      </c>
      <c r="BO260" s="446">
        <f>IF($E260=0,0,IF(MIN(BO$38,$E260)&lt;MAX($P$34*($B260+$I$38-1),IF(AND($L$37=0,$P$34=0),"",$L$37-1)),0,YEARFRAC(MAX($P$34*($B260+$I$38-1),IF(AND($L$37=0,$P$34=0),"",$L$37-1)),MIN(BO$38,$E260),$P$20))-SUM($BF260:BN260))</f>
        <v>0</v>
      </c>
      <c r="BP260" s="446">
        <f>IF($E260=0,0,IF(MIN(BP$38,$E260)&lt;MAX($P$34*($B260+$I$38-1),IF(AND($L$37=0,$P$34=0),"",$L$37-1)),0,YEARFRAC(MAX($P$34*($B260+$I$38-1),IF(AND($L$37=0,$P$34=0),"",$L$37-1)),MIN(BP$38,$E260),$P$20))-SUM($BF260:BO260))</f>
        <v>0</v>
      </c>
      <c r="BQ260" s="446">
        <f>IF($E260=0,0,IF(MIN(BQ$38,$E260)&lt;MAX($P$34*($B260+$I$38-1),IF(AND($L$37=0,$P$34=0),"",$L$37-1)),0,YEARFRAC(MAX($P$34*($B260+$I$38-1),IF(AND($L$37=0,$P$34=0),"",$L$37-1)),MIN(BQ$38,$E260),$P$20))-SUM($BF260:BP260))</f>
        <v>0</v>
      </c>
      <c r="BR260" s="446">
        <f>IF($E260=0,0,IF(MIN(BR$38,$E260)&lt;MAX($P$34*($B260+$I$38-1),IF(AND($L$37=0,$P$34=0),"",$L$37-1)),0,YEARFRAC(MAX($P$34*($B260+$I$38-1),IF(AND($L$37=0,$P$34=0),"",$L$37-1)),MIN(BR$38,$E260),$P$20))-SUM($BF260:BQ260))</f>
        <v>0</v>
      </c>
      <c r="BS260" s="446">
        <f>IF($E260=0,0,IF(MIN(BS$38,$E260)&lt;MAX($P$34*($B260+$I$38-1),IF(AND($L$37=0,$P$34=0),"",$L$37-1)),0,YEARFRAC(MAX($P$34*($B260+$I$38-1),IF(AND($L$37=0,$P$34=0),"",$L$37-1)),MIN(BS$38,$E260),$P$20))-SUM($BF260:BR260))</f>
        <v>0</v>
      </c>
      <c r="BT260" s="446">
        <f>IF($E260=0,0,IF(MIN(BT$38,$E260)&lt;MAX($P$34*($B260+$I$38-1),IF(AND($L$37=0,$P$34=0),"",$L$37-1)),0,YEARFRAC(MAX($P$34*($B260+$I$38-1),IF(AND($L$37=0,$P$34=0),"",$L$37-1)),MIN(BT$38,$E260),$P$20))-SUM($BF260:BS260))</f>
        <v>0</v>
      </c>
      <c r="BU260" s="446">
        <f>IF($E260=0,0,IF(MIN(BU$38,$E260)&lt;MAX($P$34*($B260+$I$38-1),IF(AND($L$37=0,$P$34=0),"",$L$37-1)),0,YEARFRAC(MAX($P$34*($B260+$I$38-1),IF(AND($L$37=0,$P$34=0),"",$L$37-1)),MIN(BU$38,$E260),$P$20))-SUM($BF260:BT260))</f>
        <v>0</v>
      </c>
      <c r="BV260" s="446">
        <f>IF($E260=0,0,IF(MIN(BV$38,$E260)&lt;MAX($P$34*($B260+$I$38-1),IF(AND($L$37=0,$P$34=0),"",$L$37-1)),0,YEARFRAC(MAX($P$34*($B260+$I$38-1),IF(AND($L$37=0,$P$34=0),"",$L$37-1)),MIN(BV$38,$E260),$P$20))-SUM($BF260:BU260))</f>
        <v>0</v>
      </c>
      <c r="BW260" s="446">
        <f>IF($E260=0,0,IF(MIN(BW$38,$E260)&lt;MAX($P$34*($B260+$I$38-1),IF(AND($L$37=0,$P$34=0),"",$L$37-1)),0,YEARFRAC(MAX($P$34*($B260+$I$38-1),IF(AND($L$37=0,$P$34=0),"",$L$37-1)),MIN(BW$38,$E260),$P$20))-SUM($BF260:BV260))</f>
        <v>0</v>
      </c>
      <c r="BX260" s="446">
        <f>IF($E260=0,0,IF(MIN(BX$38,$E260)&lt;MAX($P$34*($B260+$I$38-1),IF(AND($L$37=0,$P$34=0),"",$L$37-1)),0,YEARFRAC(MAX($P$34*($B260+$I$38-1),IF(AND($L$37=0,$P$34=0),"",$L$37-1)),MIN(BX$38,$E260),$P$20))-SUM($BF260:BW260))</f>
        <v>0</v>
      </c>
      <c r="BY260" s="446">
        <f>IF($E260=0,0,IF(MIN(BY$38,$E260)&lt;MAX($P$34*($B260+$I$38-1),IF(AND($L$37=0,$P$34=0),"",$L$37-1)),0,YEARFRAC(MAX($P$34*($B260+$I$38-1),IF(AND($L$37=0,$P$34=0),"",$L$37-1)),MIN(BY$38,$E260),$P$20))-SUM($BF260:BX260))</f>
        <v>0</v>
      </c>
      <c r="BZ260" s="446">
        <f>IF($E260=0,0,IF(MIN(BZ$38,$E260)&lt;MAX($P$34*($B260+$I$38-1),IF(AND($L$37=0,$P$34=0),"",$L$37-1)),0,YEARFRAC(MAX($P$34*($B260+$I$38-1),IF(AND($L$37=0,$P$34=0),"",$L$37-1)),MIN(BZ$38,$E260),$P$20))-SUM($BF260:BY260))</f>
        <v>0</v>
      </c>
      <c r="CA260" s="446">
        <f>IF($E260=0,0,IF(MIN(CA$38,$E260)&lt;MAX($P$34*($B260+$I$38-1),IF(AND($L$37=0,$P$34=0),"",$L$37-1)),0,YEARFRAC(MAX($P$34*($B260+$I$38-1),IF(AND($L$37=0,$P$34=0),"",$L$37-1)),MIN(CA$38,$E260),$P$20))-SUM($BF260:BZ260))</f>
        <v>0</v>
      </c>
      <c r="CB260" s="446">
        <f>IF($E260=0,0,IF(MIN(CB$38,$E260)&lt;MAX($P$34*($B260+$I$38-1),IF(AND($L$37=0,$P$34=0),"",$L$37-1)),0,YEARFRAC(MAX($P$34*($B260+$I$38-1),IF(AND($L$37=0,$P$34=0),"",$L$37-1)),MIN(CB$38,$E260),$P$20))-SUM($BF260:CA260))</f>
        <v>0</v>
      </c>
      <c r="CC260" s="446">
        <f>IF($E260=0,0,IF(MIN(CC$38,$E260)&lt;MAX($P$34*($B260+$I$38-1),IF(AND($L$37=0,$P$34=0),"",$L$37-1)),0,YEARFRAC(MAX($P$34*($B260+$I$38-1),IF(AND($L$37=0,$P$34=0),"",$L$37-1)),MIN(CC$38,$E260),$P$20))-SUM($BF260:CB260))</f>
        <v>0</v>
      </c>
      <c r="CD260" s="446">
        <f>IF($E260=0,0,IF(MIN(CD$38,$E260)&lt;MAX($P$34*($B260+$I$38-1),IF(AND($L$37=0,$P$34=0),"",$L$37-1)),0,YEARFRAC(MAX($P$34*($B260+$I$38-1),IF(AND($L$37=0,$P$34=0),"",$L$37-1)),MIN(CD$38,$E260),$P$20))-SUM($BF260:CC260))</f>
        <v>0</v>
      </c>
      <c r="CE260" s="446">
        <f>IF($E260=0,0,IF(MIN(CE$38,$E260)&lt;MAX($P$34*($B260+$I$38-1),IF(AND($L$37=0,$P$34=0),"",$L$37-1)),0,YEARFRAC(MAX($P$34*($B260+$I$38-1),IF(AND($L$37=0,$P$34=0),"",$L$37-1)),MIN(CE$38,$E260),$P$20))-SUM($BF260:CD260))</f>
        <v>0</v>
      </c>
      <c r="CF260" s="446">
        <f>IF($E260=0,0,IF(MIN(CF$38,$E260)&lt;MAX($P$34*($B260+$I$38-1),IF(AND($L$37=0,$P$34=0),"",$L$37-1)),0,YEARFRAC(MAX($P$34*($B260+$I$38-1),IF(AND($L$37=0,$P$34=0),"",$L$37-1)),MIN(CF$38,$E260),$P$20))-SUM($BF260:CE260))</f>
        <v>0</v>
      </c>
      <c r="CG260" s="446">
        <f>IF($E260=0,0,IF(MIN(CG$38,$E260)&lt;MAX($P$34*($B260+$I$38-1),IF(AND($L$37=0,$P$34=0),"",$L$37-1)),0,YEARFRAC(MAX($P$34*($B260+$I$38-1),IF(AND($L$37=0,$P$34=0),"",$L$37-1)),MIN(CG$38,$E260),$P$20))-SUM($BF260:CF260))</f>
        <v>0</v>
      </c>
      <c r="CH260" s="446">
        <f>IF($E260=0,0,IF(MIN(CH$38,$E260)&lt;MAX($P$34*($B260+$I$38-1),IF(AND($L$37=0,$P$34=0),"",$L$37-1)),0,YEARFRAC(MAX($P$34*($B260+$I$38-1),IF(AND($L$37=0,$P$34=0),"",$L$37-1)),MIN(CH$38,$E260),$P$20))-SUM($BF260:CG260))</f>
        <v>0</v>
      </c>
      <c r="CI260" s="446">
        <f>IF($E260=0,0,IF(MIN(CI$38,$E260)&lt;MAX($P$34*($B260+$I$38-1),IF(AND($L$37=0,$P$34=0),"",$L$37-1)),0,YEARFRAC(MAX($P$34*($B260+$I$38-1),IF(AND($L$37=0,$P$34=0),"",$L$37-1)),MIN(CI$38,$E260),$P$20))-SUM($BF260:CH260))</f>
        <v>0</v>
      </c>
      <c r="CJ260" s="446">
        <f>IF($E260=0,0,IF(MIN(CJ$38,$E260)&lt;MAX($P$34*($B260+$I$38-1),IF(AND($L$37=0,$P$34=0),"",$L$37-1)),0,YEARFRAC(MAX($P$34*($B260+$I$38-1),IF(AND($L$37=0,$P$34=0),"",$L$37-1)),MIN(CJ$38,$E260),$P$20))-SUM($BF260:CI260))</f>
        <v>0</v>
      </c>
      <c r="CK260" s="446">
        <f>IF($E260=0,0,IF(MIN(CK$38,$E260)&lt;MAX($P$34*($B260+$I$38-1),IF(AND($L$37=0,$P$34=0),"",$L$37-1)),0,YEARFRAC(MAX($P$34*($B260+$I$38-1),IF(AND($L$37=0,$P$34=0),"",$L$37-1)),MIN(CK$38,$E260),$P$20))-SUM($BF260:CJ260))</f>
        <v>0</v>
      </c>
      <c r="CL260" s="446">
        <f>IF($E260=0,0,IF(MIN(CL$38,$E260)&lt;MAX($P$34*($B260+$I$38-1),IF(AND($L$37=0,$P$34=0),"",$L$37-1)),0,YEARFRAC(MAX($P$34*($B260+$I$38-1),IF(AND($L$37=0,$P$34=0),"",$L$37-1)),MIN(CL$38,$E260),$P$20))-SUM($BF260:CK260))</f>
        <v>0</v>
      </c>
      <c r="CM260" s="446">
        <f>IF($E260=0,0,IF(MIN(CM$38,$E260)&lt;MAX($P$34*($B260+$I$38-1),IF(AND($L$37=0,$P$34=0),"",$L$37-1)),0,YEARFRAC(MAX($P$34*($B260+$I$38-1),IF(AND($L$37=0,$P$34=0),"",$L$37-1)),MIN(CM$38,$E260),$P$20))-SUM($BF260:CL260))</f>
        <v>0</v>
      </c>
      <c r="CN260" s="446">
        <f>IF($E260=0,0,IF(MIN(CN$38,$E260)&lt;MAX($P$34*($B260+$I$38-1),IF(AND($L$37=0,$P$34=0),"",$L$37-1)),0,YEARFRAC(MAX($P$34*($B260+$I$38-1),IF(AND($L$37=0,$P$34=0),"",$L$37-1)),MIN(CN$38,$E260),$P$20))-SUM($BF260:CM260))</f>
        <v>0</v>
      </c>
      <c r="CO260" s="446">
        <f>IF($E260=0,0,IF(MIN(CO$38,$E260)&lt;MAX($P$34*($B260+$I$38-1),IF(AND($L$37=0,$P$34=0),"",$L$37-1)),0,YEARFRAC(MAX($P$34*($B260+$I$38-1),IF(AND($L$37=0,$P$34=0),"",$L$37-1)),MIN(CO$38,$E260),$P$20))-SUM($BF260:CN260))</f>
        <v>0</v>
      </c>
      <c r="CP260" s="446">
        <f>IF($E260=0,0,IF(MIN(CP$38,$E260)&lt;MAX($P$34*($B260+$I$38-1),IF(AND($L$37=0,$P$34=0),"",$L$37-1)),0,YEARFRAC(MAX($P$34*($B260+$I$38-1),IF(AND($L$37=0,$P$34=0),"",$L$37-1)),MIN(CP$38,$E260),$P$20))-SUM($BF260:CO260))</f>
        <v>0</v>
      </c>
      <c r="CQ260" s="446">
        <f>IF($E260=0,0,IF(MIN(CQ$38,$E260)&lt;MAX($P$34*($B260+$I$38-1),IF(AND($L$37=0,$P$34=0),"",$L$37-1)),0,YEARFRAC(MAX($P$34*($B260+$I$38-1),IF(AND($L$37=0,$P$34=0),"",$L$37-1)),MIN(CQ$38,$E260),$P$20))-SUM($BF260:CP260))</f>
        <v>0</v>
      </c>
    </row>
    <row r="261" spans="1:95" s="446" customFormat="1" ht="11.25" hidden="1" customHeight="1" x14ac:dyDescent="0.2">
      <c r="A261" s="152"/>
      <c r="B261" s="153" t="str">
        <f t="shared" si="48"/>
        <v/>
      </c>
      <c r="C261" s="29" t="str">
        <f>IF(B261="","",IF($L$35="SELIC - TRIBUTOS",VLOOKUP(DATE(YEAR($D$19),MONTH($D$19)-1,1),ÍNDICES!$A:$DE,HLOOKUP($BL$25,ÍNDICES!$B$3:$T$4,2)+11)-VLOOKUP(B261,ÍNDICES!$A:$DE,HLOOKUP($BL$25,ÍNDICES!$B$3:$T$4,2)+11)+1%,IF(C$38=$W$26,$J$35,IF(ISERROR(IF(B261&gt;$D$19,1,VLOOKUP(DATE(YEAR(B261),MONTH(B261)+IF($C$35=$S$23,1,0),1),ÍNDICES!$A:$DE,$Z$35+1))),"",IF(B261&gt;$D$19,1,VLOOKUP(DATE(YEAR(B261),MONTH(B261)+IF($C$35=$S$23,1,0),1),ÍNDICES!$A:$DE,$Z$35+1))))))</f>
        <v/>
      </c>
      <c r="D261" s="154" t="str">
        <f>IF(ISERROR(IF(OR($D$38=$Y$27,$B261=""),"",VLOOKUP(B261,ÍNDICES!A:DE,AF$35+1))),"",IF(OR($D$38=$Y$27,$B261=""),"",VLOOKUP(B261,ÍNDICES!A:DE,AF$35+1)))</f>
        <v/>
      </c>
      <c r="E261" s="153"/>
      <c r="F261" s="29" t="str">
        <f>IF(E261="","",IF($L$35="SELIC - TRIBUTOS",VLOOKUP(DATE(YEAR($D$19),MONTH($D$19)-1,1),ÍNDICES!$A:$DE,HLOOKUP($BL$25,ÍNDICES!$B$3:$T$4,2)+11)-VLOOKUP(E261,ÍNDICES!$A:$DE,HLOOKUP($BL$25,ÍNDICES!$B$3:$T$4,2)+11)+1%,IF(F$38=$W$26,$J$35,IF(ISERROR(IF(E261&gt;$D$19,1,VLOOKUP(DATE(YEAR(E261),MONTH(E261)+IF($C$35=$S$23,1,0),1),ÍNDICES!$A:$DE,$Z$35+1))),"",IF(E261&gt;$D$19,1,VLOOKUP(DATE(YEAR(E261),MONTH(E261)+IF($C$35=$S$23,1,0),1),ÍNDICES!$A:$DE,$Z$35+1))))))</f>
        <v/>
      </c>
      <c r="G261" s="155"/>
      <c r="H261" s="156" t="str">
        <f t="shared" si="44"/>
        <v/>
      </c>
      <c r="I261" s="29" t="str">
        <f t="shared" si="38"/>
        <v/>
      </c>
      <c r="J261" s="5">
        <f t="shared" si="39"/>
        <v>0</v>
      </c>
      <c r="K261" s="20">
        <f t="shared" ca="1" si="40"/>
        <v>0</v>
      </c>
      <c r="L261" s="5">
        <f t="shared" ca="1" si="41"/>
        <v>0</v>
      </c>
      <c r="M261" s="64">
        <f t="shared" si="45"/>
        <v>0</v>
      </c>
      <c r="N261" s="61">
        <f t="shared" ca="1" si="46"/>
        <v>0</v>
      </c>
      <c r="O261" s="5">
        <f t="shared" ca="1" si="47"/>
        <v>0</v>
      </c>
      <c r="P261" s="446" t="e">
        <f t="shared" si="42"/>
        <v>#VALUE!</v>
      </c>
      <c r="Q261" s="446" t="e">
        <f>IF(OR($B261="",MIN(Q$38,$D$19)&lt;MAX($P$34*($B261+IF($R$17="Distrato",$I$38-1,0)),IF(AND($L$37=0,$P$34=0),"",$L$37-1),IF($R$17="Distrato",$E261,0))),0,YEARFRAC(MAX($P$34*($B261+IF($R$17="Distrato",$I$38-1,0)),IF(AND($L$37=0,$P$34=0),"",$L$37-1),IF($R$17="Distrato",$E261,0)),MIN(Q$38,$D$19),$P$20))-SUM($P261:P261)</f>
        <v>#VALUE!</v>
      </c>
      <c r="R261" s="446" t="e">
        <f>IF(OR($B261="",MIN(R$38,$D$19)&lt;MAX($P$34*($B261+IF($R$17="Distrato",$I$38-1,0)),IF(AND($L$37=0,$P$34=0),"",$L$37-1),IF($R$17="Distrato",$E261,0))),0,YEARFRAC(MAX($P$34*($B261+IF($R$17="Distrato",$I$38-1,0)),IF(AND($L$37=0,$P$34=0),"",$L$37-1),IF($R$17="Distrato",$E261,0)),MIN(R$38,$D$19),$P$20))-SUM($P261:Q261)</f>
        <v>#VALUE!</v>
      </c>
      <c r="S261" s="446" t="e">
        <f>IF(OR($B261="",MIN(S$38,$D$19)&lt;MAX($P$34*($B261+IF($R$17="Distrato",$I$38-1,0)),IF(AND($L$37=0,$P$34=0),"",$L$37-1),IF($R$17="Distrato",$E261,0))),0,YEARFRAC(MAX($P$34*($B261+IF($R$17="Distrato",$I$38-1,0)),IF(AND($L$37=0,$P$34=0),"",$L$37-1),IF($R$17="Distrato",$E261,0)),MIN(S$38,$D$19),$P$20))-SUM($P261:R261)</f>
        <v>#VALUE!</v>
      </c>
      <c r="T261" s="446" t="e">
        <f>IF(OR($B261="",MIN(T$38,$D$19)&lt;MAX($P$34*($B261+IF($R$17="Distrato",$I$38-1,0)),IF(AND($L$37=0,$P$34=0),"",$L$37-1),IF($R$17="Distrato",$E261,0))),0,YEARFRAC(MAX($P$34*($B261+IF($R$17="Distrato",$I$38-1,0)),IF(AND($L$37=0,$P$34=0),"",$L$37-1),IF($R$17="Distrato",$E261,0)),MIN(T$38,$D$19),$P$20))-SUM($P261:S261)</f>
        <v>#VALUE!</v>
      </c>
      <c r="U261" s="446" t="e">
        <f>IF(OR($B261="",MIN(U$38,$D$19)&lt;MAX($P$34*($B261+IF($R$17="Distrato",$I$38-1,0)),IF(AND($L$37=0,$P$34=0),"",$L$37-1),IF($R$17="Distrato",$E261,0))),0,YEARFRAC(MAX($P$34*($B261+IF($R$17="Distrato",$I$38-1,0)),IF(AND($L$37=0,$P$34=0),"",$L$37-1),IF($R$17="Distrato",$E261,0)),MIN(U$38,$D$19),$P$20))-SUM($P261:T261)</f>
        <v>#VALUE!</v>
      </c>
      <c r="V261" s="446" t="e">
        <f>IF(OR($B261="",MIN(V$38,$D$19)&lt;MAX($P$34*($B261+IF($R$17="Distrato",$I$38-1,0)),IF(AND($L$37=0,$P$34=0),"",$L$37-1),IF($R$17="Distrato",$E261,0))),0,YEARFRAC(MAX($P$34*($B261+IF($R$17="Distrato",$I$38-1,0)),IF(AND($L$37=0,$P$34=0),"",$L$37-1),IF($R$17="Distrato",$E261,0)),MIN(V$38,$D$19),$P$20))-SUM($P261:U261)</f>
        <v>#VALUE!</v>
      </c>
      <c r="W261" s="446" t="e">
        <f>IF(OR($B261="",MIN(W$38,$D$19)&lt;MAX($P$34*($B261+IF($R$17="Distrato",$I$38-1,0)),IF(AND($L$37=0,$P$34=0),"",$L$37-1),IF($R$17="Distrato",$E261,0))),0,YEARFRAC(MAX($P$34*($B261+IF($R$17="Distrato",$I$38-1,0)),IF(AND($L$37=0,$P$34=0),"",$L$37-1),IF($R$17="Distrato",$E261,0)),MIN(W$38,$D$19),$P$20))-SUM($P261:V261)</f>
        <v>#VALUE!</v>
      </c>
      <c r="X261" s="446" t="e">
        <f>IF(OR($B261="",MIN(X$38,$D$19)&lt;MAX($P$34*($B261+IF($R$17="Distrato",$I$38-1,0)),IF(AND($L$37=0,$P$34=0),"",$L$37-1),IF($R$17="Distrato",$E261,0))),0,YEARFRAC(MAX($P$34*($B261+IF($R$17="Distrato",$I$38-1,0)),IF(AND($L$37=0,$P$34=0),"",$L$37-1),IF($R$17="Distrato",$E261,0)),MIN(X$38,$D$19),$P$20))-SUM($P261:W261)</f>
        <v>#VALUE!</v>
      </c>
      <c r="Y261" s="446" t="e">
        <f>IF(OR($B261="",MIN(Y$38,$D$19)&lt;MAX($P$34*($B261+IF($R$17="Distrato",$I$38-1,0)),IF(AND($L$37=0,$P$34=0),"",$L$37-1),IF($R$17="Distrato",$E261,0))),0,YEARFRAC(MAX($P$34*($B261+IF($R$17="Distrato",$I$38-1,0)),IF(AND($L$37=0,$P$34=0),"",$L$37-1),IF($R$17="Distrato",$E261,0)),MIN(Y$38,$D$19),$P$20))-SUM($P261:X261)</f>
        <v>#VALUE!</v>
      </c>
      <c r="Z261" s="446" t="e">
        <f>IF(OR($B261="",MIN(Z$38,$D$19)&lt;MAX($P$34*($B261+IF($R$17="Distrato",$I$38-1,0)),IF(AND($L$37=0,$P$34=0),"",$L$37-1),IF($R$17="Distrato",$E261,0))),0,YEARFRAC(MAX($P$34*($B261+IF($R$17="Distrato",$I$38-1,0)),IF(AND($L$37=0,$P$34=0),"",$L$37-1),IF($R$17="Distrato",$E261,0)),MIN(Z$38,$D$19),$P$20))-SUM($P261:Y261)</f>
        <v>#VALUE!</v>
      </c>
      <c r="AA261" s="446" t="e">
        <f>IF(OR($B261="",MIN(AA$38,$D$19)&lt;MAX($P$34*($B261+IF($R$17="Distrato",$I$38-1,0)),IF(AND($L$37=0,$P$34=0),"",$L$37-1),IF($R$17="Distrato",$E261,0))),0,YEARFRAC(MAX($P$34*($B261+IF($R$17="Distrato",$I$38-1,0)),IF(AND($L$37=0,$P$34=0),"",$L$37-1),IF($R$17="Distrato",$E261,0)),MIN(AA$38,$D$19),$P$20))-SUM($P261:Z261)</f>
        <v>#VALUE!</v>
      </c>
      <c r="AB261" s="446" t="e">
        <f>IF(OR($B261="",MIN(AB$38,$D$19)&lt;MAX($P$34*($B261+IF($R$17="Distrato",$I$38-1,0)),IF(AND($L$37=0,$P$34=0),"",$L$37-1),IF($R$17="Distrato",$E261,0))),0,YEARFRAC(MAX($P$34*($B261+IF($R$17="Distrato",$I$38-1,0)),IF(AND($L$37=0,$P$34=0),"",$L$37-1),IF($R$17="Distrato",$E261,0)),MIN(AB$38,$D$19),$P$20))-SUM($P261:AA261)</f>
        <v>#VALUE!</v>
      </c>
      <c r="AC261" s="446" t="e">
        <f>IF(OR($B261="",MIN(AC$38,$D$19)&lt;MAX($P$34*($B261+IF($R$17="Distrato",$I$38-1,0)),IF(AND($L$37=0,$P$34=0),"",$L$37-1),IF($R$17="Distrato",$E261,0))),0,YEARFRAC(MAX($P$34*($B261+IF($R$17="Distrato",$I$38-1,0)),IF(AND($L$37=0,$P$34=0),"",$L$37-1),IF($R$17="Distrato",$E261,0)),MIN(AC$38,$D$19),$P$20))-SUM($P261:AB261)</f>
        <v>#VALUE!</v>
      </c>
      <c r="AD261" s="446" t="e">
        <f>IF(OR($B261="",MIN(AD$38,$D$19)&lt;MAX($P$34*($B261+IF($R$17="Distrato",$I$38-1,0)),IF(AND($L$37=0,$P$34=0),"",$L$37-1),IF($R$17="Distrato",$E261,0))),0,YEARFRAC(MAX($P$34*($B261+IF($R$17="Distrato",$I$38-1,0)),IF(AND($L$37=0,$P$34=0),"",$L$37-1),IF($R$17="Distrato",$E261,0)),MIN(AD$38,$D$19),$P$20))-SUM($P261:AC261)</f>
        <v>#VALUE!</v>
      </c>
      <c r="AE261" s="446" t="e">
        <f>IF(OR($B261="",MIN(AE$38,$D$19)&lt;MAX($P$34*($B261+IF($R$17="Distrato",$I$38-1,0)),IF(AND($L$37=0,$P$34=0),"",$L$37-1),IF($R$17="Distrato",$E261,0))),0,YEARFRAC(MAX($P$34*($B261+IF($R$17="Distrato",$I$38-1,0)),IF(AND($L$37=0,$P$34=0),"",$L$37-1),IF($R$17="Distrato",$E261,0)),MIN(AE$38,$D$19),$P$20))-SUM($P261:AD261)</f>
        <v>#VALUE!</v>
      </c>
      <c r="AF261" s="446" t="e">
        <f>IF(OR($B261="",MIN(AF$38,$D$19)&lt;MAX($P$34*($B261+IF($R$17="Distrato",$I$38-1,0)),IF(AND($L$37=0,$P$34=0),"",$L$37-1),IF($R$17="Distrato",$E261,0))),0,YEARFRAC(MAX($P$34*($B261+IF($R$17="Distrato",$I$38-1,0)),IF(AND($L$37=0,$P$34=0),"",$L$37-1),IF($R$17="Distrato",$E261,0)),MIN(AF$38,$D$19),$P$20))-SUM($P261:AE261)</f>
        <v>#VALUE!</v>
      </c>
      <c r="AG261" s="446" t="e">
        <f>IF(OR($B261="",MIN(AG$38,$D$19)&lt;MAX($P$34*($B261+IF($R$17="Distrato",$I$38-1,0)),IF(AND($L$37=0,$P$34=0),"",$L$37-1),IF($R$17="Distrato",$E261,0))),0,YEARFRAC(MAX($P$34*($B261+IF($R$17="Distrato",$I$38-1,0)),IF(AND($L$37=0,$P$34=0),"",$L$37-1),IF($R$17="Distrato",$E261,0)),MIN(AG$38,$D$19),$P$20))-SUM($P261:AF261)</f>
        <v>#VALUE!</v>
      </c>
      <c r="AH261" s="446" t="e">
        <f>IF(OR($B261="",MIN(AH$38,$D$19)&lt;MAX($P$34*($B261+IF($R$17="Distrato",$I$38-1,0)),IF(AND($L$37=0,$P$34=0),"",$L$37-1),IF($R$17="Distrato",$E261,0))),0,YEARFRAC(MAX($P$34*($B261+IF($R$17="Distrato",$I$38-1,0)),IF(AND($L$37=0,$P$34=0),"",$L$37-1),IF($R$17="Distrato",$E261,0)),MIN(AH$38,$D$19),$P$20))-SUM($P261:AG261)</f>
        <v>#VALUE!</v>
      </c>
      <c r="AI261" s="446" t="e">
        <f>IF(OR($B261="",MIN(AI$38,$D$19)&lt;MAX($P$34*($B261+IF($R$17="Distrato",$I$38-1,0)),IF(AND($L$37=0,$P$34=0),"",$L$37-1),IF($R$17="Distrato",$E261,0))),0,YEARFRAC(MAX($P$34*($B261+IF($R$17="Distrato",$I$38-1,0)),IF(AND($L$37=0,$P$34=0),"",$L$37-1),IF($R$17="Distrato",$E261,0)),MIN(AI$38,$D$19),$P$20))-SUM($P261:AH261)</f>
        <v>#VALUE!</v>
      </c>
      <c r="AJ261" s="446" t="e">
        <f>IF(OR($B261="",MIN(AJ$38,$D$19)&lt;MAX($P$34*($B261+IF($R$17="Distrato",$I$38-1,0)),IF(AND($L$37=0,$P$34=0),"",$L$37-1),IF($R$17="Distrato",$E261,0))),0,YEARFRAC(MAX($P$34*($B261+IF($R$17="Distrato",$I$38-1,0)),IF(AND($L$37=0,$P$34=0),"",$L$37-1),IF($R$17="Distrato",$E261,0)),MIN(AJ$38,$D$19),$P$20))-SUM($P261:AI261)</f>
        <v>#VALUE!</v>
      </c>
      <c r="AK261" s="446" t="e">
        <f>IF(OR($B261="",MIN(AK$38,$D$19)&lt;MAX($P$34*($B261+IF($R$17="Distrato",$I$38-1,0)),IF(AND($L$37=0,$P$34=0),"",$L$37-1),IF($R$17="Distrato",$E261,0))),0,YEARFRAC(MAX($P$34*($B261+IF($R$17="Distrato",$I$38-1,0)),IF(AND($L$37=0,$P$34=0),"",$L$37-1),IF($R$17="Distrato",$E261,0)),MIN(AK$38,$D$19),$P$20))-SUM($P261:AJ261)</f>
        <v>#VALUE!</v>
      </c>
      <c r="AL261" s="446" t="e">
        <f>IF(OR($B261="",MIN(AL$38,$D$19)&lt;MAX($P$34*($B261+IF($R$17="Distrato",$I$38-1,0)),IF(AND($L$37=0,$P$34=0),"",$L$37-1),IF($R$17="Distrato",$E261,0))),0,YEARFRAC(MAX($P$34*($B261+IF($R$17="Distrato",$I$38-1,0)),IF(AND($L$37=0,$P$34=0),"",$L$37-1),IF($R$17="Distrato",$E261,0)),MIN(AL$38,$D$19),$P$20))-SUM($P261:AK261)</f>
        <v>#VALUE!</v>
      </c>
      <c r="AM261" s="446" t="e">
        <f>IF(OR($B261="",MIN(AM$38,$D$19)&lt;MAX($P$34*($B261+IF($R$17="Distrato",$I$38-1,0)),IF(AND($L$37=0,$P$34=0),"",$L$37-1),IF($R$17="Distrato",$E261,0))),0,YEARFRAC(MAX($P$34*($B261+IF($R$17="Distrato",$I$38-1,0)),IF(AND($L$37=0,$P$34=0),"",$L$37-1),IF($R$17="Distrato",$E261,0)),MIN(AM$38,$D$19),$P$20))-SUM($P261:AL261)</f>
        <v>#VALUE!</v>
      </c>
      <c r="AN261" s="446" t="e">
        <f>IF(OR($B261="",MIN(AN$38,$D$19)&lt;MAX($P$34*($B261+IF($R$17="Distrato",$I$38-1,0)),IF(AND($L$37=0,$P$34=0),"",$L$37-1),IF($R$17="Distrato",$E261,0))),0,YEARFRAC(MAX($P$34*($B261+IF($R$17="Distrato",$I$38-1,0)),IF(AND($L$37=0,$P$34=0),"",$L$37-1),IF($R$17="Distrato",$E261,0)),MIN(AN$38,$D$19),$P$20))-SUM($P261:AM261)</f>
        <v>#VALUE!</v>
      </c>
      <c r="AO261" s="446" t="e">
        <f>IF(OR($B261="",MIN(AO$38,$D$19)&lt;MAX($P$34*($B261+IF($R$17="Distrato",$I$38-1,0)),IF(AND($L$37=0,$P$34=0),"",$L$37-1),IF($R$17="Distrato",$E261,0))),0,YEARFRAC(MAX($P$34*($B261+IF($R$17="Distrato",$I$38-1,0)),IF(AND($L$37=0,$P$34=0),"",$L$37-1),IF($R$17="Distrato",$E261,0)),MIN(AO$38,$D$19),$P$20))-SUM($P261:AN261)</f>
        <v>#VALUE!</v>
      </c>
      <c r="AP261" s="446" t="e">
        <f>IF(OR($B261="",MIN(AP$38,$D$19)&lt;MAX($P$34*($B261+IF($R$17="Distrato",$I$38-1,0)),IF(AND($L$37=0,$P$34=0),"",$L$37-1),IF($R$17="Distrato",$E261,0))),0,YEARFRAC(MAX($P$34*($B261+IF($R$17="Distrato",$I$38-1,0)),IF(AND($L$37=0,$P$34=0),"",$L$37-1),IF($R$17="Distrato",$E261,0)),MIN(AP$38,$D$19),$P$20))-SUM($P261:AO261)</f>
        <v>#VALUE!</v>
      </c>
      <c r="AQ261" s="446" t="e">
        <f>IF(OR($B261="",MIN(AQ$38,$D$19)&lt;MAX($P$34*($B261+IF($R$17="Distrato",$I$38-1,0)),IF(AND($L$37=0,$P$34=0),"",$L$37-1),IF($R$17="Distrato",$E261,0))),0,YEARFRAC(MAX($P$34*($B261+IF($R$17="Distrato",$I$38-1,0)),IF(AND($L$37=0,$P$34=0),"",$L$37-1),IF($R$17="Distrato",$E261,0)),MIN(AQ$38,$D$19),$P$20))-SUM($P261:AP261)</f>
        <v>#VALUE!</v>
      </c>
      <c r="AR261" s="446" t="e">
        <f>IF(OR($B261="",MIN(AR$38,$D$19)&lt;MAX($P$34*($B261+IF($R$17="Distrato",$I$38-1,0)),IF(AND($L$37=0,$P$34=0),"",$L$37-1),IF($R$17="Distrato",$E261,0))),0,YEARFRAC(MAX($P$34*($B261+IF($R$17="Distrato",$I$38-1,0)),IF(AND($L$37=0,$P$34=0),"",$L$37-1),IF($R$17="Distrato",$E261,0)),MIN(AR$38,$D$19),$P$20))-SUM($P261:AQ261)</f>
        <v>#VALUE!</v>
      </c>
      <c r="AS261" s="446" t="e">
        <f>IF(OR($B261="",MIN(AS$38,$D$19)&lt;MAX($P$34*($B261+IF($R$17="Distrato",$I$38-1,0)),IF(AND($L$37=0,$P$34=0),"",$L$37-1),IF($R$17="Distrato",$E261,0))),0,YEARFRAC(MAX($P$34*($B261+IF($R$17="Distrato",$I$38-1,0)),IF(AND($L$37=0,$P$34=0),"",$L$37-1),IF($R$17="Distrato",$E261,0)),MIN(AS$38,$D$19),$P$20))-SUM($P261:AR261)</f>
        <v>#VALUE!</v>
      </c>
      <c r="AT261" s="446" t="e">
        <f>IF(OR($B261="",MIN(AT$38,$D$19)&lt;MAX($P$34*($B261+IF($R$17="Distrato",$I$38-1,0)),IF(AND($L$37=0,$P$34=0),"",$L$37-1),IF($R$17="Distrato",$E261,0))),0,YEARFRAC(MAX($P$34*($B261+IF($R$17="Distrato",$I$38-1,0)),IF(AND($L$37=0,$P$34=0),"",$L$37-1),IF($R$17="Distrato",$E261,0)),MIN(AT$38,$D$19),$P$20))-SUM($P261:AS261)</f>
        <v>#VALUE!</v>
      </c>
      <c r="AU261" s="446" t="e">
        <f>IF(OR($B261="",MIN(AU$38,$D$19)&lt;MAX($P$34*($B261+IF($R$17="Distrato",$I$38-1,0)),IF(AND($L$37=0,$P$34=0),"",$L$37-1),IF($R$17="Distrato",$E261,0))),0,YEARFRAC(MAX($P$34*($B261+IF($R$17="Distrato",$I$38-1,0)),IF(AND($L$37=0,$P$34=0),"",$L$37-1),IF($R$17="Distrato",$E261,0)),MIN(AU$38,$D$19),$P$20))-SUM($P261:AT261)</f>
        <v>#VALUE!</v>
      </c>
      <c r="AV261" s="446" t="e">
        <f>IF(OR($B261="",MIN(AV$38,$D$19)&lt;MAX($P$34*($B261+IF($R$17="Distrato",$I$38-1,0)),IF(AND($L$37=0,$P$34=0),"",$L$37-1),IF($R$17="Distrato",$E261,0))),0,YEARFRAC(MAX($P$34*($B261+IF($R$17="Distrato",$I$38-1,0)),IF(AND($L$37=0,$P$34=0),"",$L$37-1),IF($R$17="Distrato",$E261,0)),MIN(AV$38,$D$19),$P$20))-SUM($P261:AU261)</f>
        <v>#VALUE!</v>
      </c>
      <c r="AW261" s="446" t="e">
        <f>IF(OR($B261="",MIN(AW$38,$D$19)&lt;MAX($P$34*($B261+IF($R$17="Distrato",$I$38-1,0)),IF(AND($L$37=0,$P$34=0),"",$L$37-1),IF($R$17="Distrato",$E261,0))),0,YEARFRAC(MAX($P$34*($B261+IF($R$17="Distrato",$I$38-1,0)),IF(AND($L$37=0,$P$34=0),"",$L$37-1),IF($R$17="Distrato",$E261,0)),MIN(AW$38,$D$19),$P$20))-SUM($P261:AV261)</f>
        <v>#VALUE!</v>
      </c>
      <c r="AX261" s="446" t="e">
        <f>IF(OR($B261="",MIN(AX$38,$D$19)&lt;MAX($P$34*($B261+IF($R$17="Distrato",$I$38-1,0)),IF(AND($L$37=0,$P$34=0),"",$L$37-1),IF($R$17="Distrato",$E261,0))),0,YEARFRAC(MAX($P$34*($B261+IF($R$17="Distrato",$I$38-1,0)),IF(AND($L$37=0,$P$34=0),"",$L$37-1),IF($R$17="Distrato",$E261,0)),MIN(AX$38,$D$19),$P$20))-SUM($P261:AW261)</f>
        <v>#VALUE!</v>
      </c>
      <c r="AY261" s="446" t="e">
        <f>IF(OR($B261="",MIN(AY$38,$D$19)&lt;MAX($P$34*($B261+IF($R$17="Distrato",$I$38-1,0)),IF(AND($L$37=0,$P$34=0),"",$L$37-1),IF($R$17="Distrato",$E261,0))),0,YEARFRAC(MAX($P$34*($B261+IF($R$17="Distrato",$I$38-1,0)),IF(AND($L$37=0,$P$34=0),"",$L$37-1),IF($R$17="Distrato",$E261,0)),MIN(AY$38,$D$19),$P$20))-SUM($P261:AX261)</f>
        <v>#VALUE!</v>
      </c>
      <c r="AZ261" s="446" t="e">
        <f>IF(OR($B261="",MIN(AZ$38,$D$19)&lt;MAX($P$34*($B261+IF($R$17="Distrato",$I$38-1,0)),IF(AND($L$37=0,$P$34=0),"",$L$37-1),IF($R$17="Distrato",$E261,0))),0,YEARFRAC(MAX($P$34*($B261+IF($R$17="Distrato",$I$38-1,0)),IF(AND($L$37=0,$P$34=0),"",$L$37-1),IF($R$17="Distrato",$E261,0)),MIN(AZ$38,$D$19),$P$20))-SUM($P261:AY261)</f>
        <v>#VALUE!</v>
      </c>
      <c r="BA261" s="446" t="e">
        <f>IF(OR($B261="",MIN(BA$38,$D$19)&lt;MAX($P$34*($B261+IF($R$17="Distrato",$I$38-1,0)),IF(AND($L$37=0,$P$34=0),"",$L$37-1),IF($R$17="Distrato",$E261,0))),0,YEARFRAC(MAX($P$34*($B261+IF($R$17="Distrato",$I$38-1,0)),IF(AND($L$37=0,$P$34=0),"",$L$37-1),IF($R$17="Distrato",$E261,0)),MIN(BA$38,$D$19),$P$20))-SUM($P261:AZ261)</f>
        <v>#VALUE!</v>
      </c>
      <c r="BB261" s="447"/>
      <c r="BF261" s="446">
        <f t="shared" si="43"/>
        <v>0</v>
      </c>
      <c r="BG261" s="446">
        <f>IF($E261=0,0,IF(MIN(BG$38,$E261)&lt;MAX($P$34*($B261+$I$38-1),IF(AND($L$37=0,$P$34=0),"",$L$37-1)),0,YEARFRAC(MAX($P$34*($B261+$I$38-1),IF(AND($L$37=0,$P$34=0),"",$L$37-1)),MIN(BG$38,$E261),$P$20))-SUM($BF261:BF261))</f>
        <v>0</v>
      </c>
      <c r="BH261" s="446">
        <f>IF($E261=0,0,IF(MIN(BH$38,$E261)&lt;MAX($P$34*($B261+$I$38-1),IF(AND($L$37=0,$P$34=0),"",$L$37-1)),0,YEARFRAC(MAX($P$34*($B261+$I$38-1),IF(AND($L$37=0,$P$34=0),"",$L$37-1)),MIN(BH$38,$E261),$P$20))-SUM($BF261:BG261))</f>
        <v>0</v>
      </c>
      <c r="BI261" s="446">
        <f>IF($E261=0,0,IF(MIN(BI$38,$E261)&lt;MAX($P$34*($B261+$I$38-1),IF(AND($L$37=0,$P$34=0),"",$L$37-1)),0,YEARFRAC(MAX($P$34*($B261+$I$38-1),IF(AND($L$37=0,$P$34=0),"",$L$37-1)),MIN(BI$38,$E261),$P$20))-SUM($BF261:BH261))</f>
        <v>0</v>
      </c>
      <c r="BJ261" s="446">
        <f>IF($E261=0,0,IF(MIN(BJ$38,$E261)&lt;MAX($P$34*($B261+$I$38-1),IF(AND($L$37=0,$P$34=0),"",$L$37-1)),0,YEARFRAC(MAX($P$34*($B261+$I$38-1),IF(AND($L$37=0,$P$34=0),"",$L$37-1)),MIN(BJ$38,$E261),$P$20))-SUM($BF261:BI261))</f>
        <v>0</v>
      </c>
      <c r="BK261" s="446">
        <f>IF($E261=0,0,IF(MIN(BK$38,$E261)&lt;MAX($P$34*($B261+$I$38-1),IF(AND($L$37=0,$P$34=0),"",$L$37-1)),0,YEARFRAC(MAX($P$34*($B261+$I$38-1),IF(AND($L$37=0,$P$34=0),"",$L$37-1)),MIN(BK$38,$E261),$P$20))-SUM($BF261:BJ261))</f>
        <v>0</v>
      </c>
      <c r="BL261" s="446">
        <f>IF($E261=0,0,IF(MIN(BL$38,$E261)&lt;MAX($P$34*($B261+$I$38-1),IF(AND($L$37=0,$P$34=0),"",$L$37-1)),0,YEARFRAC(MAX($P$34*($B261+$I$38-1),IF(AND($L$37=0,$P$34=0),"",$L$37-1)),MIN(BL$38,$E261),$P$20))-SUM($BF261:BK261))</f>
        <v>0</v>
      </c>
      <c r="BM261" s="446">
        <f>IF($E261=0,0,IF(MIN(BM$38,$E261)&lt;MAX($P$34*($B261+$I$38-1),IF(AND($L$37=0,$P$34=0),"",$L$37-1)),0,YEARFRAC(MAX($P$34*($B261+$I$38-1),IF(AND($L$37=0,$P$34=0),"",$L$37-1)),MIN(BM$38,$E261),$P$20))-SUM($BF261:BL261))</f>
        <v>0</v>
      </c>
      <c r="BN261" s="446">
        <f>IF($E261=0,0,IF(MIN(BN$38,$E261)&lt;MAX($P$34*($B261+$I$38-1),IF(AND($L$37=0,$P$34=0),"",$L$37-1)),0,YEARFRAC(MAX($P$34*($B261+$I$38-1),IF(AND($L$37=0,$P$34=0),"",$L$37-1)),MIN(BN$38,$E261),$P$20))-SUM($BF261:BM261))</f>
        <v>0</v>
      </c>
      <c r="BO261" s="446">
        <f>IF($E261=0,0,IF(MIN(BO$38,$E261)&lt;MAX($P$34*($B261+$I$38-1),IF(AND($L$37=0,$P$34=0),"",$L$37-1)),0,YEARFRAC(MAX($P$34*($B261+$I$38-1),IF(AND($L$37=0,$P$34=0),"",$L$37-1)),MIN(BO$38,$E261),$P$20))-SUM($BF261:BN261))</f>
        <v>0</v>
      </c>
      <c r="BP261" s="446">
        <f>IF($E261=0,0,IF(MIN(BP$38,$E261)&lt;MAX($P$34*($B261+$I$38-1),IF(AND($L$37=0,$P$34=0),"",$L$37-1)),0,YEARFRAC(MAX($P$34*($B261+$I$38-1),IF(AND($L$37=0,$P$34=0),"",$L$37-1)),MIN(BP$38,$E261),$P$20))-SUM($BF261:BO261))</f>
        <v>0</v>
      </c>
      <c r="BQ261" s="446">
        <f>IF($E261=0,0,IF(MIN(BQ$38,$E261)&lt;MAX($P$34*($B261+$I$38-1),IF(AND($L$37=0,$P$34=0),"",$L$37-1)),0,YEARFRAC(MAX($P$34*($B261+$I$38-1),IF(AND($L$37=0,$P$34=0),"",$L$37-1)),MIN(BQ$38,$E261),$P$20))-SUM($BF261:BP261))</f>
        <v>0</v>
      </c>
      <c r="BR261" s="446">
        <f>IF($E261=0,0,IF(MIN(BR$38,$E261)&lt;MAX($P$34*($B261+$I$38-1),IF(AND($L$37=0,$P$34=0),"",$L$37-1)),0,YEARFRAC(MAX($P$34*($B261+$I$38-1),IF(AND($L$37=0,$P$34=0),"",$L$37-1)),MIN(BR$38,$E261),$P$20))-SUM($BF261:BQ261))</f>
        <v>0</v>
      </c>
      <c r="BS261" s="446">
        <f>IF($E261=0,0,IF(MIN(BS$38,$E261)&lt;MAX($P$34*($B261+$I$38-1),IF(AND($L$37=0,$P$34=0),"",$L$37-1)),0,YEARFRAC(MAX($P$34*($B261+$I$38-1),IF(AND($L$37=0,$P$34=0),"",$L$37-1)),MIN(BS$38,$E261),$P$20))-SUM($BF261:BR261))</f>
        <v>0</v>
      </c>
      <c r="BT261" s="446">
        <f>IF($E261=0,0,IF(MIN(BT$38,$E261)&lt;MAX($P$34*($B261+$I$38-1),IF(AND($L$37=0,$P$34=0),"",$L$37-1)),0,YEARFRAC(MAX($P$34*($B261+$I$38-1),IF(AND($L$37=0,$P$34=0),"",$L$37-1)),MIN(BT$38,$E261),$P$20))-SUM($BF261:BS261))</f>
        <v>0</v>
      </c>
      <c r="BU261" s="446">
        <f>IF($E261=0,0,IF(MIN(BU$38,$E261)&lt;MAX($P$34*($B261+$I$38-1),IF(AND($L$37=0,$P$34=0),"",$L$37-1)),0,YEARFRAC(MAX($P$34*($B261+$I$38-1),IF(AND($L$37=0,$P$34=0),"",$L$37-1)),MIN(BU$38,$E261),$P$20))-SUM($BF261:BT261))</f>
        <v>0</v>
      </c>
      <c r="BV261" s="446">
        <f>IF($E261=0,0,IF(MIN(BV$38,$E261)&lt;MAX($P$34*($B261+$I$38-1),IF(AND($L$37=0,$P$34=0),"",$L$37-1)),0,YEARFRAC(MAX($P$34*($B261+$I$38-1),IF(AND($L$37=0,$P$34=0),"",$L$37-1)),MIN(BV$38,$E261),$P$20))-SUM($BF261:BU261))</f>
        <v>0</v>
      </c>
      <c r="BW261" s="446">
        <f>IF($E261=0,0,IF(MIN(BW$38,$E261)&lt;MAX($P$34*($B261+$I$38-1),IF(AND($L$37=0,$P$34=0),"",$L$37-1)),0,YEARFRAC(MAX($P$34*($B261+$I$38-1),IF(AND($L$37=0,$P$34=0),"",$L$37-1)),MIN(BW$38,$E261),$P$20))-SUM($BF261:BV261))</f>
        <v>0</v>
      </c>
      <c r="BX261" s="446">
        <f>IF($E261=0,0,IF(MIN(BX$38,$E261)&lt;MAX($P$34*($B261+$I$38-1),IF(AND($L$37=0,$P$34=0),"",$L$37-1)),0,YEARFRAC(MAX($P$34*($B261+$I$38-1),IF(AND($L$37=0,$P$34=0),"",$L$37-1)),MIN(BX$38,$E261),$P$20))-SUM($BF261:BW261))</f>
        <v>0</v>
      </c>
      <c r="BY261" s="446">
        <f>IF($E261=0,0,IF(MIN(BY$38,$E261)&lt;MAX($P$34*($B261+$I$38-1),IF(AND($L$37=0,$P$34=0),"",$L$37-1)),0,YEARFRAC(MAX($P$34*($B261+$I$38-1),IF(AND($L$37=0,$P$34=0),"",$L$37-1)),MIN(BY$38,$E261),$P$20))-SUM($BF261:BX261))</f>
        <v>0</v>
      </c>
      <c r="BZ261" s="446">
        <f>IF($E261=0,0,IF(MIN(BZ$38,$E261)&lt;MAX($P$34*($B261+$I$38-1),IF(AND($L$37=0,$P$34=0),"",$L$37-1)),0,YEARFRAC(MAX($P$34*($B261+$I$38-1),IF(AND($L$37=0,$P$34=0),"",$L$37-1)),MIN(BZ$38,$E261),$P$20))-SUM($BF261:BY261))</f>
        <v>0</v>
      </c>
      <c r="CA261" s="446">
        <f>IF($E261=0,0,IF(MIN(CA$38,$E261)&lt;MAX($P$34*($B261+$I$38-1),IF(AND($L$37=0,$P$34=0),"",$L$37-1)),0,YEARFRAC(MAX($P$34*($B261+$I$38-1),IF(AND($L$37=0,$P$34=0),"",$L$37-1)),MIN(CA$38,$E261),$P$20))-SUM($BF261:BZ261))</f>
        <v>0</v>
      </c>
      <c r="CB261" s="446">
        <f>IF($E261=0,0,IF(MIN(CB$38,$E261)&lt;MAX($P$34*($B261+$I$38-1),IF(AND($L$37=0,$P$34=0),"",$L$37-1)),0,YEARFRAC(MAX($P$34*($B261+$I$38-1),IF(AND($L$37=0,$P$34=0),"",$L$37-1)),MIN(CB$38,$E261),$P$20))-SUM($BF261:CA261))</f>
        <v>0</v>
      </c>
      <c r="CC261" s="446">
        <f>IF($E261=0,0,IF(MIN(CC$38,$E261)&lt;MAX($P$34*($B261+$I$38-1),IF(AND($L$37=0,$P$34=0),"",$L$37-1)),0,YEARFRAC(MAX($P$34*($B261+$I$38-1),IF(AND($L$37=0,$P$34=0),"",$L$37-1)),MIN(CC$38,$E261),$P$20))-SUM($BF261:CB261))</f>
        <v>0</v>
      </c>
      <c r="CD261" s="446">
        <f>IF($E261=0,0,IF(MIN(CD$38,$E261)&lt;MAX($P$34*($B261+$I$38-1),IF(AND($L$37=0,$P$34=0),"",$L$37-1)),0,YEARFRAC(MAX($P$34*($B261+$I$38-1),IF(AND($L$37=0,$P$34=0),"",$L$37-1)),MIN(CD$38,$E261),$P$20))-SUM($BF261:CC261))</f>
        <v>0</v>
      </c>
      <c r="CE261" s="446">
        <f>IF($E261=0,0,IF(MIN(CE$38,$E261)&lt;MAX($P$34*($B261+$I$38-1),IF(AND($L$37=0,$P$34=0),"",$L$37-1)),0,YEARFRAC(MAX($P$34*($B261+$I$38-1),IF(AND($L$37=0,$P$34=0),"",$L$37-1)),MIN(CE$38,$E261),$P$20))-SUM($BF261:CD261))</f>
        <v>0</v>
      </c>
      <c r="CF261" s="446">
        <f>IF($E261=0,0,IF(MIN(CF$38,$E261)&lt;MAX($P$34*($B261+$I$38-1),IF(AND($L$37=0,$P$34=0),"",$L$37-1)),0,YEARFRAC(MAX($P$34*($B261+$I$38-1),IF(AND($L$37=0,$P$34=0),"",$L$37-1)),MIN(CF$38,$E261),$P$20))-SUM($BF261:CE261))</f>
        <v>0</v>
      </c>
      <c r="CG261" s="446">
        <f>IF($E261=0,0,IF(MIN(CG$38,$E261)&lt;MAX($P$34*($B261+$I$38-1),IF(AND($L$37=0,$P$34=0),"",$L$37-1)),0,YEARFRAC(MAX($P$34*($B261+$I$38-1),IF(AND($L$37=0,$P$34=0),"",$L$37-1)),MIN(CG$38,$E261),$P$20))-SUM($BF261:CF261))</f>
        <v>0</v>
      </c>
      <c r="CH261" s="446">
        <f>IF($E261=0,0,IF(MIN(CH$38,$E261)&lt;MAX($P$34*($B261+$I$38-1),IF(AND($L$37=0,$P$34=0),"",$L$37-1)),0,YEARFRAC(MAX($P$34*($B261+$I$38-1),IF(AND($L$37=0,$P$34=0),"",$L$37-1)),MIN(CH$38,$E261),$P$20))-SUM($BF261:CG261))</f>
        <v>0</v>
      </c>
      <c r="CI261" s="446">
        <f>IF($E261=0,0,IF(MIN(CI$38,$E261)&lt;MAX($P$34*($B261+$I$38-1),IF(AND($L$37=0,$P$34=0),"",$L$37-1)),0,YEARFRAC(MAX($P$34*($B261+$I$38-1),IF(AND($L$37=0,$P$34=0),"",$L$37-1)),MIN(CI$38,$E261),$P$20))-SUM($BF261:CH261))</f>
        <v>0</v>
      </c>
      <c r="CJ261" s="446">
        <f>IF($E261=0,0,IF(MIN(CJ$38,$E261)&lt;MAX($P$34*($B261+$I$38-1),IF(AND($L$37=0,$P$34=0),"",$L$37-1)),0,YEARFRAC(MAX($P$34*($B261+$I$38-1),IF(AND($L$37=0,$P$34=0),"",$L$37-1)),MIN(CJ$38,$E261),$P$20))-SUM($BF261:CI261))</f>
        <v>0</v>
      </c>
      <c r="CK261" s="446">
        <f>IF($E261=0,0,IF(MIN(CK$38,$E261)&lt;MAX($P$34*($B261+$I$38-1),IF(AND($L$37=0,$P$34=0),"",$L$37-1)),0,YEARFRAC(MAX($P$34*($B261+$I$38-1),IF(AND($L$37=0,$P$34=0),"",$L$37-1)),MIN(CK$38,$E261),$P$20))-SUM($BF261:CJ261))</f>
        <v>0</v>
      </c>
      <c r="CL261" s="446">
        <f>IF($E261=0,0,IF(MIN(CL$38,$E261)&lt;MAX($P$34*($B261+$I$38-1),IF(AND($L$37=0,$P$34=0),"",$L$37-1)),0,YEARFRAC(MAX($P$34*($B261+$I$38-1),IF(AND($L$37=0,$P$34=0),"",$L$37-1)),MIN(CL$38,$E261),$P$20))-SUM($BF261:CK261))</f>
        <v>0</v>
      </c>
      <c r="CM261" s="446">
        <f>IF($E261=0,0,IF(MIN(CM$38,$E261)&lt;MAX($P$34*($B261+$I$38-1),IF(AND($L$37=0,$P$34=0),"",$L$37-1)),0,YEARFRAC(MAX($P$34*($B261+$I$38-1),IF(AND($L$37=0,$P$34=0),"",$L$37-1)),MIN(CM$38,$E261),$P$20))-SUM($BF261:CL261))</f>
        <v>0</v>
      </c>
      <c r="CN261" s="446">
        <f>IF($E261=0,0,IF(MIN(CN$38,$E261)&lt;MAX($P$34*($B261+$I$38-1),IF(AND($L$37=0,$P$34=0),"",$L$37-1)),0,YEARFRAC(MAX($P$34*($B261+$I$38-1),IF(AND($L$37=0,$P$34=0),"",$L$37-1)),MIN(CN$38,$E261),$P$20))-SUM($BF261:CM261))</f>
        <v>0</v>
      </c>
      <c r="CO261" s="446">
        <f>IF($E261=0,0,IF(MIN(CO$38,$E261)&lt;MAX($P$34*($B261+$I$38-1),IF(AND($L$37=0,$P$34=0),"",$L$37-1)),0,YEARFRAC(MAX($P$34*($B261+$I$38-1),IF(AND($L$37=0,$P$34=0),"",$L$37-1)),MIN(CO$38,$E261),$P$20))-SUM($BF261:CN261))</f>
        <v>0</v>
      </c>
      <c r="CP261" s="446">
        <f>IF($E261=0,0,IF(MIN(CP$38,$E261)&lt;MAX($P$34*($B261+$I$38-1),IF(AND($L$37=0,$P$34=0),"",$L$37-1)),0,YEARFRAC(MAX($P$34*($B261+$I$38-1),IF(AND($L$37=0,$P$34=0),"",$L$37-1)),MIN(CP$38,$E261),$P$20))-SUM($BF261:CO261))</f>
        <v>0</v>
      </c>
      <c r="CQ261" s="446">
        <f>IF($E261=0,0,IF(MIN(CQ$38,$E261)&lt;MAX($P$34*($B261+$I$38-1),IF(AND($L$37=0,$P$34=0),"",$L$37-1)),0,YEARFRAC(MAX($P$34*($B261+$I$38-1),IF(AND($L$37=0,$P$34=0),"",$L$37-1)),MIN(CQ$38,$E261),$P$20))-SUM($BF261:CP261))</f>
        <v>0</v>
      </c>
    </row>
    <row r="262" spans="1:95" s="446" customFormat="1" ht="11.25" hidden="1" customHeight="1" x14ac:dyDescent="0.2">
      <c r="A262" s="152"/>
      <c r="B262" s="153" t="str">
        <f t="shared" si="48"/>
        <v/>
      </c>
      <c r="C262" s="29" t="str">
        <f>IF(B262="","",IF($L$35="SELIC - TRIBUTOS",VLOOKUP(DATE(YEAR($D$19),MONTH($D$19)-1,1),ÍNDICES!$A:$DE,HLOOKUP($BL$25,ÍNDICES!$B$3:$T$4,2)+11)-VLOOKUP(B262,ÍNDICES!$A:$DE,HLOOKUP($BL$25,ÍNDICES!$B$3:$T$4,2)+11)+1%,IF(C$38=$W$26,$J$35,IF(ISERROR(IF(B262&gt;$D$19,1,VLOOKUP(DATE(YEAR(B262),MONTH(B262)+IF($C$35=$S$23,1,0),1),ÍNDICES!$A:$DE,$Z$35+1))),"",IF(B262&gt;$D$19,1,VLOOKUP(DATE(YEAR(B262),MONTH(B262)+IF($C$35=$S$23,1,0),1),ÍNDICES!$A:$DE,$Z$35+1))))))</f>
        <v/>
      </c>
      <c r="D262" s="154" t="str">
        <f>IF(ISERROR(IF(OR($D$38=$Y$27,$B262=""),"",VLOOKUP(B262,ÍNDICES!A:DE,AF$35+1))),"",IF(OR($D$38=$Y$27,$B262=""),"",VLOOKUP(B262,ÍNDICES!A:DE,AF$35+1)))</f>
        <v/>
      </c>
      <c r="E262" s="153"/>
      <c r="F262" s="29" t="str">
        <f>IF(E262="","",IF($L$35="SELIC - TRIBUTOS",VLOOKUP(DATE(YEAR($D$19),MONTH($D$19)-1,1),ÍNDICES!$A:$DE,HLOOKUP($BL$25,ÍNDICES!$B$3:$T$4,2)+11)-VLOOKUP(E262,ÍNDICES!$A:$DE,HLOOKUP($BL$25,ÍNDICES!$B$3:$T$4,2)+11)+1%,IF(F$38=$W$26,$J$35,IF(ISERROR(IF(E262&gt;$D$19,1,VLOOKUP(DATE(YEAR(E262),MONTH(E262)+IF($C$35=$S$23,1,0),1),ÍNDICES!$A:$DE,$Z$35+1))),"",IF(E262&gt;$D$19,1,VLOOKUP(DATE(YEAR(E262),MONTH(E262)+IF($C$35=$S$23,1,0),1),ÍNDICES!$A:$DE,$Z$35+1))))))</f>
        <v/>
      </c>
      <c r="G262" s="155"/>
      <c r="H262" s="156" t="str">
        <f t="shared" si="44"/>
        <v/>
      </c>
      <c r="I262" s="29" t="str">
        <f t="shared" si="38"/>
        <v/>
      </c>
      <c r="J262" s="5">
        <f t="shared" si="39"/>
        <v>0</v>
      </c>
      <c r="K262" s="20">
        <f t="shared" ca="1" si="40"/>
        <v>0</v>
      </c>
      <c r="L262" s="5">
        <f t="shared" ca="1" si="41"/>
        <v>0</v>
      </c>
      <c r="M262" s="64">
        <f t="shared" si="45"/>
        <v>0</v>
      </c>
      <c r="N262" s="61">
        <f t="shared" ca="1" si="46"/>
        <v>0</v>
      </c>
      <c r="O262" s="5">
        <f t="shared" ca="1" si="47"/>
        <v>0</v>
      </c>
      <c r="P262" s="446" t="e">
        <f t="shared" si="42"/>
        <v>#VALUE!</v>
      </c>
      <c r="Q262" s="446" t="e">
        <f>IF(OR($B262="",MIN(Q$38,$D$19)&lt;MAX($P$34*($B262+IF($R$17="Distrato",$I$38-1,0)),IF(AND($L$37=0,$P$34=0),"",$L$37-1),IF($R$17="Distrato",$E262,0))),0,YEARFRAC(MAX($P$34*($B262+IF($R$17="Distrato",$I$38-1,0)),IF(AND($L$37=0,$P$34=0),"",$L$37-1),IF($R$17="Distrato",$E262,0)),MIN(Q$38,$D$19),$P$20))-SUM($P262:P262)</f>
        <v>#VALUE!</v>
      </c>
      <c r="R262" s="446" t="e">
        <f>IF(OR($B262="",MIN(R$38,$D$19)&lt;MAX($P$34*($B262+IF($R$17="Distrato",$I$38-1,0)),IF(AND($L$37=0,$P$34=0),"",$L$37-1),IF($R$17="Distrato",$E262,0))),0,YEARFRAC(MAX($P$34*($B262+IF($R$17="Distrato",$I$38-1,0)),IF(AND($L$37=0,$P$34=0),"",$L$37-1),IF($R$17="Distrato",$E262,0)),MIN(R$38,$D$19),$P$20))-SUM($P262:Q262)</f>
        <v>#VALUE!</v>
      </c>
      <c r="S262" s="446" t="e">
        <f>IF(OR($B262="",MIN(S$38,$D$19)&lt;MAX($P$34*($B262+IF($R$17="Distrato",$I$38-1,0)),IF(AND($L$37=0,$P$34=0),"",$L$37-1),IF($R$17="Distrato",$E262,0))),0,YEARFRAC(MAX($P$34*($B262+IF($R$17="Distrato",$I$38-1,0)),IF(AND($L$37=0,$P$34=0),"",$L$37-1),IF($R$17="Distrato",$E262,0)),MIN(S$38,$D$19),$P$20))-SUM($P262:R262)</f>
        <v>#VALUE!</v>
      </c>
      <c r="T262" s="446" t="e">
        <f>IF(OR($B262="",MIN(T$38,$D$19)&lt;MAX($P$34*($B262+IF($R$17="Distrato",$I$38-1,0)),IF(AND($L$37=0,$P$34=0),"",$L$37-1),IF($R$17="Distrato",$E262,0))),0,YEARFRAC(MAX($P$34*($B262+IF($R$17="Distrato",$I$38-1,0)),IF(AND($L$37=0,$P$34=0),"",$L$37-1),IF($R$17="Distrato",$E262,0)),MIN(T$38,$D$19),$P$20))-SUM($P262:S262)</f>
        <v>#VALUE!</v>
      </c>
      <c r="U262" s="446" t="e">
        <f>IF(OR($B262="",MIN(U$38,$D$19)&lt;MAX($P$34*($B262+IF($R$17="Distrato",$I$38-1,0)),IF(AND($L$37=0,$P$34=0),"",$L$37-1),IF($R$17="Distrato",$E262,0))),0,YEARFRAC(MAX($P$34*($B262+IF($R$17="Distrato",$I$38-1,0)),IF(AND($L$37=0,$P$34=0),"",$L$37-1),IF($R$17="Distrato",$E262,0)),MIN(U$38,$D$19),$P$20))-SUM($P262:T262)</f>
        <v>#VALUE!</v>
      </c>
      <c r="V262" s="446" t="e">
        <f>IF(OR($B262="",MIN(V$38,$D$19)&lt;MAX($P$34*($B262+IF($R$17="Distrato",$I$38-1,0)),IF(AND($L$37=0,$P$34=0),"",$L$37-1),IF($R$17="Distrato",$E262,0))),0,YEARFRAC(MAX($P$34*($B262+IF($R$17="Distrato",$I$38-1,0)),IF(AND($L$37=0,$P$34=0),"",$L$37-1),IF($R$17="Distrato",$E262,0)),MIN(V$38,$D$19),$P$20))-SUM($P262:U262)</f>
        <v>#VALUE!</v>
      </c>
      <c r="W262" s="446" t="e">
        <f>IF(OR($B262="",MIN(W$38,$D$19)&lt;MAX($P$34*($B262+IF($R$17="Distrato",$I$38-1,0)),IF(AND($L$37=0,$P$34=0),"",$L$37-1),IF($R$17="Distrato",$E262,0))),0,YEARFRAC(MAX($P$34*($B262+IF($R$17="Distrato",$I$38-1,0)),IF(AND($L$37=0,$P$34=0),"",$L$37-1),IF($R$17="Distrato",$E262,0)),MIN(W$38,$D$19),$P$20))-SUM($P262:V262)</f>
        <v>#VALUE!</v>
      </c>
      <c r="X262" s="446" t="e">
        <f>IF(OR($B262="",MIN(X$38,$D$19)&lt;MAX($P$34*($B262+IF($R$17="Distrato",$I$38-1,0)),IF(AND($L$37=0,$P$34=0),"",$L$37-1),IF($R$17="Distrato",$E262,0))),0,YEARFRAC(MAX($P$34*($B262+IF($R$17="Distrato",$I$38-1,0)),IF(AND($L$37=0,$P$34=0),"",$L$37-1),IF($R$17="Distrato",$E262,0)),MIN(X$38,$D$19),$P$20))-SUM($P262:W262)</f>
        <v>#VALUE!</v>
      </c>
      <c r="Y262" s="446" t="e">
        <f>IF(OR($B262="",MIN(Y$38,$D$19)&lt;MAX($P$34*($B262+IF($R$17="Distrato",$I$38-1,0)),IF(AND($L$37=0,$P$34=0),"",$L$37-1),IF($R$17="Distrato",$E262,0))),0,YEARFRAC(MAX($P$34*($B262+IF($R$17="Distrato",$I$38-1,0)),IF(AND($L$37=0,$P$34=0),"",$L$37-1),IF($R$17="Distrato",$E262,0)),MIN(Y$38,$D$19),$P$20))-SUM($P262:X262)</f>
        <v>#VALUE!</v>
      </c>
      <c r="Z262" s="446" t="e">
        <f>IF(OR($B262="",MIN(Z$38,$D$19)&lt;MAX($P$34*($B262+IF($R$17="Distrato",$I$38-1,0)),IF(AND($L$37=0,$P$34=0),"",$L$37-1),IF($R$17="Distrato",$E262,0))),0,YEARFRAC(MAX($P$34*($B262+IF($R$17="Distrato",$I$38-1,0)),IF(AND($L$37=0,$P$34=0),"",$L$37-1),IF($R$17="Distrato",$E262,0)),MIN(Z$38,$D$19),$P$20))-SUM($P262:Y262)</f>
        <v>#VALUE!</v>
      </c>
      <c r="AA262" s="446" t="e">
        <f>IF(OR($B262="",MIN(AA$38,$D$19)&lt;MAX($P$34*($B262+IF($R$17="Distrato",$I$38-1,0)),IF(AND($L$37=0,$P$34=0),"",$L$37-1),IF($R$17="Distrato",$E262,0))),0,YEARFRAC(MAX($P$34*($B262+IF($R$17="Distrato",$I$38-1,0)),IF(AND($L$37=0,$P$34=0),"",$L$37-1),IF($R$17="Distrato",$E262,0)),MIN(AA$38,$D$19),$P$20))-SUM($P262:Z262)</f>
        <v>#VALUE!</v>
      </c>
      <c r="AB262" s="446" t="e">
        <f>IF(OR($B262="",MIN(AB$38,$D$19)&lt;MAX($P$34*($B262+IF($R$17="Distrato",$I$38-1,0)),IF(AND($L$37=0,$P$34=0),"",$L$37-1),IF($R$17="Distrato",$E262,0))),0,YEARFRAC(MAX($P$34*($B262+IF($R$17="Distrato",$I$38-1,0)),IF(AND($L$37=0,$P$34=0),"",$L$37-1),IF($R$17="Distrato",$E262,0)),MIN(AB$38,$D$19),$P$20))-SUM($P262:AA262)</f>
        <v>#VALUE!</v>
      </c>
      <c r="AC262" s="446" t="e">
        <f>IF(OR($B262="",MIN(AC$38,$D$19)&lt;MAX($P$34*($B262+IF($R$17="Distrato",$I$38-1,0)),IF(AND($L$37=0,$P$34=0),"",$L$37-1),IF($R$17="Distrato",$E262,0))),0,YEARFRAC(MAX($P$34*($B262+IF($R$17="Distrato",$I$38-1,0)),IF(AND($L$37=0,$P$34=0),"",$L$37-1),IF($R$17="Distrato",$E262,0)),MIN(AC$38,$D$19),$P$20))-SUM($P262:AB262)</f>
        <v>#VALUE!</v>
      </c>
      <c r="AD262" s="446" t="e">
        <f>IF(OR($B262="",MIN(AD$38,$D$19)&lt;MAX($P$34*($B262+IF($R$17="Distrato",$I$38-1,0)),IF(AND($L$37=0,$P$34=0),"",$L$37-1),IF($R$17="Distrato",$E262,0))),0,YEARFRAC(MAX($P$34*($B262+IF($R$17="Distrato",$I$38-1,0)),IF(AND($L$37=0,$P$34=0),"",$L$37-1),IF($R$17="Distrato",$E262,0)),MIN(AD$38,$D$19),$P$20))-SUM($P262:AC262)</f>
        <v>#VALUE!</v>
      </c>
      <c r="AE262" s="446" t="e">
        <f>IF(OR($B262="",MIN(AE$38,$D$19)&lt;MAX($P$34*($B262+IF($R$17="Distrato",$I$38-1,0)),IF(AND($L$37=0,$P$34=0),"",$L$37-1),IF($R$17="Distrato",$E262,0))),0,YEARFRAC(MAX($P$34*($B262+IF($R$17="Distrato",$I$38-1,0)),IF(AND($L$37=0,$P$34=0),"",$L$37-1),IF($R$17="Distrato",$E262,0)),MIN(AE$38,$D$19),$P$20))-SUM($P262:AD262)</f>
        <v>#VALUE!</v>
      </c>
      <c r="AF262" s="446" t="e">
        <f>IF(OR($B262="",MIN(AF$38,$D$19)&lt;MAX($P$34*($B262+IF($R$17="Distrato",$I$38-1,0)),IF(AND($L$37=0,$P$34=0),"",$L$37-1),IF($R$17="Distrato",$E262,0))),0,YEARFRAC(MAX($P$34*($B262+IF($R$17="Distrato",$I$38-1,0)),IF(AND($L$37=0,$P$34=0),"",$L$37-1),IF($R$17="Distrato",$E262,0)),MIN(AF$38,$D$19),$P$20))-SUM($P262:AE262)</f>
        <v>#VALUE!</v>
      </c>
      <c r="AG262" s="446" t="e">
        <f>IF(OR($B262="",MIN(AG$38,$D$19)&lt;MAX($P$34*($B262+IF($R$17="Distrato",$I$38-1,0)),IF(AND($L$37=0,$P$34=0),"",$L$37-1),IF($R$17="Distrato",$E262,0))),0,YEARFRAC(MAX($P$34*($B262+IF($R$17="Distrato",$I$38-1,0)),IF(AND($L$37=0,$P$34=0),"",$L$37-1),IF($R$17="Distrato",$E262,0)),MIN(AG$38,$D$19),$P$20))-SUM($P262:AF262)</f>
        <v>#VALUE!</v>
      </c>
      <c r="AH262" s="446" t="e">
        <f>IF(OR($B262="",MIN(AH$38,$D$19)&lt;MAX($P$34*($B262+IF($R$17="Distrato",$I$38-1,0)),IF(AND($L$37=0,$P$34=0),"",$L$37-1),IF($R$17="Distrato",$E262,0))),0,YEARFRAC(MAX($P$34*($B262+IF($R$17="Distrato",$I$38-1,0)),IF(AND($L$37=0,$P$34=0),"",$L$37-1),IF($R$17="Distrato",$E262,0)),MIN(AH$38,$D$19),$P$20))-SUM($P262:AG262)</f>
        <v>#VALUE!</v>
      </c>
      <c r="AI262" s="446" t="e">
        <f>IF(OR($B262="",MIN(AI$38,$D$19)&lt;MAX($P$34*($B262+IF($R$17="Distrato",$I$38-1,0)),IF(AND($L$37=0,$P$34=0),"",$L$37-1),IF($R$17="Distrato",$E262,0))),0,YEARFRAC(MAX($P$34*($B262+IF($R$17="Distrato",$I$38-1,0)),IF(AND($L$37=0,$P$34=0),"",$L$37-1),IF($R$17="Distrato",$E262,0)),MIN(AI$38,$D$19),$P$20))-SUM($P262:AH262)</f>
        <v>#VALUE!</v>
      </c>
      <c r="AJ262" s="446" t="e">
        <f>IF(OR($B262="",MIN(AJ$38,$D$19)&lt;MAX($P$34*($B262+IF($R$17="Distrato",$I$38-1,0)),IF(AND($L$37=0,$P$34=0),"",$L$37-1),IF($R$17="Distrato",$E262,0))),0,YEARFRAC(MAX($P$34*($B262+IF($R$17="Distrato",$I$38-1,0)),IF(AND($L$37=0,$P$34=0),"",$L$37-1),IF($R$17="Distrato",$E262,0)),MIN(AJ$38,$D$19),$P$20))-SUM($P262:AI262)</f>
        <v>#VALUE!</v>
      </c>
      <c r="AK262" s="446" t="e">
        <f>IF(OR($B262="",MIN(AK$38,$D$19)&lt;MAX($P$34*($B262+IF($R$17="Distrato",$I$38-1,0)),IF(AND($L$37=0,$P$34=0),"",$L$37-1),IF($R$17="Distrato",$E262,0))),0,YEARFRAC(MAX($P$34*($B262+IF($R$17="Distrato",$I$38-1,0)),IF(AND($L$37=0,$P$34=0),"",$L$37-1),IF($R$17="Distrato",$E262,0)),MIN(AK$38,$D$19),$P$20))-SUM($P262:AJ262)</f>
        <v>#VALUE!</v>
      </c>
      <c r="AL262" s="446" t="e">
        <f>IF(OR($B262="",MIN(AL$38,$D$19)&lt;MAX($P$34*($B262+IF($R$17="Distrato",$I$38-1,0)),IF(AND($L$37=0,$P$34=0),"",$L$37-1),IF($R$17="Distrato",$E262,0))),0,YEARFRAC(MAX($P$34*($B262+IF($R$17="Distrato",$I$38-1,0)),IF(AND($L$37=0,$P$34=0),"",$L$37-1),IF($R$17="Distrato",$E262,0)),MIN(AL$38,$D$19),$P$20))-SUM($P262:AK262)</f>
        <v>#VALUE!</v>
      </c>
      <c r="AM262" s="446" t="e">
        <f>IF(OR($B262="",MIN(AM$38,$D$19)&lt;MAX($P$34*($B262+IF($R$17="Distrato",$I$38-1,0)),IF(AND($L$37=0,$P$34=0),"",$L$37-1),IF($R$17="Distrato",$E262,0))),0,YEARFRAC(MAX($P$34*($B262+IF($R$17="Distrato",$I$38-1,0)),IF(AND($L$37=0,$P$34=0),"",$L$37-1),IF($R$17="Distrato",$E262,0)),MIN(AM$38,$D$19),$P$20))-SUM($P262:AL262)</f>
        <v>#VALUE!</v>
      </c>
      <c r="AN262" s="446" t="e">
        <f>IF(OR($B262="",MIN(AN$38,$D$19)&lt;MAX($P$34*($B262+IF($R$17="Distrato",$I$38-1,0)),IF(AND($L$37=0,$P$34=0),"",$L$37-1),IF($R$17="Distrato",$E262,0))),0,YEARFRAC(MAX($P$34*($B262+IF($R$17="Distrato",$I$38-1,0)),IF(AND($L$37=0,$P$34=0),"",$L$37-1),IF($R$17="Distrato",$E262,0)),MIN(AN$38,$D$19),$P$20))-SUM($P262:AM262)</f>
        <v>#VALUE!</v>
      </c>
      <c r="AO262" s="446" t="e">
        <f>IF(OR($B262="",MIN(AO$38,$D$19)&lt;MAX($P$34*($B262+IF($R$17="Distrato",$I$38-1,0)),IF(AND($L$37=0,$P$34=0),"",$L$37-1),IF($R$17="Distrato",$E262,0))),0,YEARFRAC(MAX($P$34*($B262+IF($R$17="Distrato",$I$38-1,0)),IF(AND($L$37=0,$P$34=0),"",$L$37-1),IF($R$17="Distrato",$E262,0)),MIN(AO$38,$D$19),$P$20))-SUM($P262:AN262)</f>
        <v>#VALUE!</v>
      </c>
      <c r="AP262" s="446" t="e">
        <f>IF(OR($B262="",MIN(AP$38,$D$19)&lt;MAX($P$34*($B262+IF($R$17="Distrato",$I$38-1,0)),IF(AND($L$37=0,$P$34=0),"",$L$37-1),IF($R$17="Distrato",$E262,0))),0,YEARFRAC(MAX($P$34*($B262+IF($R$17="Distrato",$I$38-1,0)),IF(AND($L$37=0,$P$34=0),"",$L$37-1),IF($R$17="Distrato",$E262,0)),MIN(AP$38,$D$19),$P$20))-SUM($P262:AO262)</f>
        <v>#VALUE!</v>
      </c>
      <c r="AQ262" s="446" t="e">
        <f>IF(OR($B262="",MIN(AQ$38,$D$19)&lt;MAX($P$34*($B262+IF($R$17="Distrato",$I$38-1,0)),IF(AND($L$37=0,$P$34=0),"",$L$37-1),IF($R$17="Distrato",$E262,0))),0,YEARFRAC(MAX($P$34*($B262+IF($R$17="Distrato",$I$38-1,0)),IF(AND($L$37=0,$P$34=0),"",$L$37-1),IF($R$17="Distrato",$E262,0)),MIN(AQ$38,$D$19),$P$20))-SUM($P262:AP262)</f>
        <v>#VALUE!</v>
      </c>
      <c r="AR262" s="446" t="e">
        <f>IF(OR($B262="",MIN(AR$38,$D$19)&lt;MAX($P$34*($B262+IF($R$17="Distrato",$I$38-1,0)),IF(AND($L$37=0,$P$34=0),"",$L$37-1),IF($R$17="Distrato",$E262,0))),0,YEARFRAC(MAX($P$34*($B262+IF($R$17="Distrato",$I$38-1,0)),IF(AND($L$37=0,$P$34=0),"",$L$37-1),IF($R$17="Distrato",$E262,0)),MIN(AR$38,$D$19),$P$20))-SUM($P262:AQ262)</f>
        <v>#VALUE!</v>
      </c>
      <c r="AS262" s="446" t="e">
        <f>IF(OR($B262="",MIN(AS$38,$D$19)&lt;MAX($P$34*($B262+IF($R$17="Distrato",$I$38-1,0)),IF(AND($L$37=0,$P$34=0),"",$L$37-1),IF($R$17="Distrato",$E262,0))),0,YEARFRAC(MAX($P$34*($B262+IF($R$17="Distrato",$I$38-1,0)),IF(AND($L$37=0,$P$34=0),"",$L$37-1),IF($R$17="Distrato",$E262,0)),MIN(AS$38,$D$19),$P$20))-SUM($P262:AR262)</f>
        <v>#VALUE!</v>
      </c>
      <c r="AT262" s="446" t="e">
        <f>IF(OR($B262="",MIN(AT$38,$D$19)&lt;MAX($P$34*($B262+IF($R$17="Distrato",$I$38-1,0)),IF(AND($L$37=0,$P$34=0),"",$L$37-1),IF($R$17="Distrato",$E262,0))),0,YEARFRAC(MAX($P$34*($B262+IF($R$17="Distrato",$I$38-1,0)),IF(AND($L$37=0,$P$34=0),"",$L$37-1),IF($R$17="Distrato",$E262,0)),MIN(AT$38,$D$19),$P$20))-SUM($P262:AS262)</f>
        <v>#VALUE!</v>
      </c>
      <c r="AU262" s="446" t="e">
        <f>IF(OR($B262="",MIN(AU$38,$D$19)&lt;MAX($P$34*($B262+IF($R$17="Distrato",$I$38-1,0)),IF(AND($L$37=0,$P$34=0),"",$L$37-1),IF($R$17="Distrato",$E262,0))),0,YEARFRAC(MAX($P$34*($B262+IF($R$17="Distrato",$I$38-1,0)),IF(AND($L$37=0,$P$34=0),"",$L$37-1),IF($R$17="Distrato",$E262,0)),MIN(AU$38,$D$19),$P$20))-SUM($P262:AT262)</f>
        <v>#VALUE!</v>
      </c>
      <c r="AV262" s="446" t="e">
        <f>IF(OR($B262="",MIN(AV$38,$D$19)&lt;MAX($P$34*($B262+IF($R$17="Distrato",$I$38-1,0)),IF(AND($L$37=0,$P$34=0),"",$L$37-1),IF($R$17="Distrato",$E262,0))),0,YEARFRAC(MAX($P$34*($B262+IF($R$17="Distrato",$I$38-1,0)),IF(AND($L$37=0,$P$34=0),"",$L$37-1),IF($R$17="Distrato",$E262,0)),MIN(AV$38,$D$19),$P$20))-SUM($P262:AU262)</f>
        <v>#VALUE!</v>
      </c>
      <c r="AW262" s="446" t="e">
        <f>IF(OR($B262="",MIN(AW$38,$D$19)&lt;MAX($P$34*($B262+IF($R$17="Distrato",$I$38-1,0)),IF(AND($L$37=0,$P$34=0),"",$L$37-1),IF($R$17="Distrato",$E262,0))),0,YEARFRAC(MAX($P$34*($B262+IF($R$17="Distrato",$I$38-1,0)),IF(AND($L$37=0,$P$34=0),"",$L$37-1),IF($R$17="Distrato",$E262,0)),MIN(AW$38,$D$19),$P$20))-SUM($P262:AV262)</f>
        <v>#VALUE!</v>
      </c>
      <c r="AX262" s="446" t="e">
        <f>IF(OR($B262="",MIN(AX$38,$D$19)&lt;MAX($P$34*($B262+IF($R$17="Distrato",$I$38-1,0)),IF(AND($L$37=0,$P$34=0),"",$L$37-1),IF($R$17="Distrato",$E262,0))),0,YEARFRAC(MAX($P$34*($B262+IF($R$17="Distrato",$I$38-1,0)),IF(AND($L$37=0,$P$34=0),"",$L$37-1),IF($R$17="Distrato",$E262,0)),MIN(AX$38,$D$19),$P$20))-SUM($P262:AW262)</f>
        <v>#VALUE!</v>
      </c>
      <c r="AY262" s="446" t="e">
        <f>IF(OR($B262="",MIN(AY$38,$D$19)&lt;MAX($P$34*($B262+IF($R$17="Distrato",$I$38-1,0)),IF(AND($L$37=0,$P$34=0),"",$L$37-1),IF($R$17="Distrato",$E262,0))),0,YEARFRAC(MAX($P$34*($B262+IF($R$17="Distrato",$I$38-1,0)),IF(AND($L$37=0,$P$34=0),"",$L$37-1),IF($R$17="Distrato",$E262,0)),MIN(AY$38,$D$19),$P$20))-SUM($P262:AX262)</f>
        <v>#VALUE!</v>
      </c>
      <c r="AZ262" s="446" t="e">
        <f>IF(OR($B262="",MIN(AZ$38,$D$19)&lt;MAX($P$34*($B262+IF($R$17="Distrato",$I$38-1,0)),IF(AND($L$37=0,$P$34=0),"",$L$37-1),IF($R$17="Distrato",$E262,0))),0,YEARFRAC(MAX($P$34*($B262+IF($R$17="Distrato",$I$38-1,0)),IF(AND($L$37=0,$P$34=0),"",$L$37-1),IF($R$17="Distrato",$E262,0)),MIN(AZ$38,$D$19),$P$20))-SUM($P262:AY262)</f>
        <v>#VALUE!</v>
      </c>
      <c r="BA262" s="446" t="e">
        <f>IF(OR($B262="",MIN(BA$38,$D$19)&lt;MAX($P$34*($B262+IF($R$17="Distrato",$I$38-1,0)),IF(AND($L$37=0,$P$34=0),"",$L$37-1),IF($R$17="Distrato",$E262,0))),0,YEARFRAC(MAX($P$34*($B262+IF($R$17="Distrato",$I$38-1,0)),IF(AND($L$37=0,$P$34=0),"",$L$37-1),IF($R$17="Distrato",$E262,0)),MIN(BA$38,$D$19),$P$20))-SUM($P262:AZ262)</f>
        <v>#VALUE!</v>
      </c>
      <c r="BB262" s="447"/>
      <c r="BF262" s="446">
        <f t="shared" si="43"/>
        <v>0</v>
      </c>
      <c r="BG262" s="446">
        <f>IF($E262=0,0,IF(MIN(BG$38,$E262)&lt;MAX($P$34*($B262+$I$38-1),IF(AND($L$37=0,$P$34=0),"",$L$37-1)),0,YEARFRAC(MAX($P$34*($B262+$I$38-1),IF(AND($L$37=0,$P$34=0),"",$L$37-1)),MIN(BG$38,$E262),$P$20))-SUM($BF262:BF262))</f>
        <v>0</v>
      </c>
      <c r="BH262" s="446">
        <f>IF($E262=0,0,IF(MIN(BH$38,$E262)&lt;MAX($P$34*($B262+$I$38-1),IF(AND($L$37=0,$P$34=0),"",$L$37-1)),0,YEARFRAC(MAX($P$34*($B262+$I$38-1),IF(AND($L$37=0,$P$34=0),"",$L$37-1)),MIN(BH$38,$E262),$P$20))-SUM($BF262:BG262))</f>
        <v>0</v>
      </c>
      <c r="BI262" s="446">
        <f>IF($E262=0,0,IF(MIN(BI$38,$E262)&lt;MAX($P$34*($B262+$I$38-1),IF(AND($L$37=0,$P$34=0),"",$L$37-1)),0,YEARFRAC(MAX($P$34*($B262+$I$38-1),IF(AND($L$37=0,$P$34=0),"",$L$37-1)),MIN(BI$38,$E262),$P$20))-SUM($BF262:BH262))</f>
        <v>0</v>
      </c>
      <c r="BJ262" s="446">
        <f>IF($E262=0,0,IF(MIN(BJ$38,$E262)&lt;MAX($P$34*($B262+$I$38-1),IF(AND($L$37=0,$P$34=0),"",$L$37-1)),0,YEARFRAC(MAX($P$34*($B262+$I$38-1),IF(AND($L$37=0,$P$34=0),"",$L$37-1)),MIN(BJ$38,$E262),$P$20))-SUM($BF262:BI262))</f>
        <v>0</v>
      </c>
      <c r="BK262" s="446">
        <f>IF($E262=0,0,IF(MIN(BK$38,$E262)&lt;MAX($P$34*($B262+$I$38-1),IF(AND($L$37=0,$P$34=0),"",$L$37-1)),0,YEARFRAC(MAX($P$34*($B262+$I$38-1),IF(AND($L$37=0,$P$34=0),"",$L$37-1)),MIN(BK$38,$E262),$P$20))-SUM($BF262:BJ262))</f>
        <v>0</v>
      </c>
      <c r="BL262" s="446">
        <f>IF($E262=0,0,IF(MIN(BL$38,$E262)&lt;MAX($P$34*($B262+$I$38-1),IF(AND($L$37=0,$P$34=0),"",$L$37-1)),0,YEARFRAC(MAX($P$34*($B262+$I$38-1),IF(AND($L$37=0,$P$34=0),"",$L$37-1)),MIN(BL$38,$E262),$P$20))-SUM($BF262:BK262))</f>
        <v>0</v>
      </c>
      <c r="BM262" s="446">
        <f>IF($E262=0,0,IF(MIN(BM$38,$E262)&lt;MAX($P$34*($B262+$I$38-1),IF(AND($L$37=0,$P$34=0),"",$L$37-1)),0,YEARFRAC(MAX($P$34*($B262+$I$38-1),IF(AND($L$37=0,$P$34=0),"",$L$37-1)),MIN(BM$38,$E262),$P$20))-SUM($BF262:BL262))</f>
        <v>0</v>
      </c>
      <c r="BN262" s="446">
        <f>IF($E262=0,0,IF(MIN(BN$38,$E262)&lt;MAX($P$34*($B262+$I$38-1),IF(AND($L$37=0,$P$34=0),"",$L$37-1)),0,YEARFRAC(MAX($P$34*($B262+$I$38-1),IF(AND($L$37=0,$P$34=0),"",$L$37-1)),MIN(BN$38,$E262),$P$20))-SUM($BF262:BM262))</f>
        <v>0</v>
      </c>
      <c r="BO262" s="446">
        <f>IF($E262=0,0,IF(MIN(BO$38,$E262)&lt;MAX($P$34*($B262+$I$38-1),IF(AND($L$37=0,$P$34=0),"",$L$37-1)),0,YEARFRAC(MAX($P$34*($B262+$I$38-1),IF(AND($L$37=0,$P$34=0),"",$L$37-1)),MIN(BO$38,$E262),$P$20))-SUM($BF262:BN262))</f>
        <v>0</v>
      </c>
      <c r="BP262" s="446">
        <f>IF($E262=0,0,IF(MIN(BP$38,$E262)&lt;MAX($P$34*($B262+$I$38-1),IF(AND($L$37=0,$P$34=0),"",$L$37-1)),0,YEARFRAC(MAX($P$34*($B262+$I$38-1),IF(AND($L$37=0,$P$34=0),"",$L$37-1)),MIN(BP$38,$E262),$P$20))-SUM($BF262:BO262))</f>
        <v>0</v>
      </c>
      <c r="BQ262" s="446">
        <f>IF($E262=0,0,IF(MIN(BQ$38,$E262)&lt;MAX($P$34*($B262+$I$38-1),IF(AND($L$37=0,$P$34=0),"",$L$37-1)),0,YEARFRAC(MAX($P$34*($B262+$I$38-1),IF(AND($L$37=0,$P$34=0),"",$L$37-1)),MIN(BQ$38,$E262),$P$20))-SUM($BF262:BP262))</f>
        <v>0</v>
      </c>
      <c r="BR262" s="446">
        <f>IF($E262=0,0,IF(MIN(BR$38,$E262)&lt;MAX($P$34*($B262+$I$38-1),IF(AND($L$37=0,$P$34=0),"",$L$37-1)),0,YEARFRAC(MAX($P$34*($B262+$I$38-1),IF(AND($L$37=0,$P$34=0),"",$L$37-1)),MIN(BR$38,$E262),$P$20))-SUM($BF262:BQ262))</f>
        <v>0</v>
      </c>
      <c r="BS262" s="446">
        <f>IF($E262=0,0,IF(MIN(BS$38,$E262)&lt;MAX($P$34*($B262+$I$38-1),IF(AND($L$37=0,$P$34=0),"",$L$37-1)),0,YEARFRAC(MAX($P$34*($B262+$I$38-1),IF(AND($L$37=0,$P$34=0),"",$L$37-1)),MIN(BS$38,$E262),$P$20))-SUM($BF262:BR262))</f>
        <v>0</v>
      </c>
      <c r="BT262" s="446">
        <f>IF($E262=0,0,IF(MIN(BT$38,$E262)&lt;MAX($P$34*($B262+$I$38-1),IF(AND($L$37=0,$P$34=0),"",$L$37-1)),0,YEARFRAC(MAX($P$34*($B262+$I$38-1),IF(AND($L$37=0,$P$34=0),"",$L$37-1)),MIN(BT$38,$E262),$P$20))-SUM($BF262:BS262))</f>
        <v>0</v>
      </c>
      <c r="BU262" s="446">
        <f>IF($E262=0,0,IF(MIN(BU$38,$E262)&lt;MAX($P$34*($B262+$I$38-1),IF(AND($L$37=0,$P$34=0),"",$L$37-1)),0,YEARFRAC(MAX($P$34*($B262+$I$38-1),IF(AND($L$37=0,$P$34=0),"",$L$37-1)),MIN(BU$38,$E262),$P$20))-SUM($BF262:BT262))</f>
        <v>0</v>
      </c>
      <c r="BV262" s="446">
        <f>IF($E262=0,0,IF(MIN(BV$38,$E262)&lt;MAX($P$34*($B262+$I$38-1),IF(AND($L$37=0,$P$34=0),"",$L$37-1)),0,YEARFRAC(MAX($P$34*($B262+$I$38-1),IF(AND($L$37=0,$P$34=0),"",$L$37-1)),MIN(BV$38,$E262),$P$20))-SUM($BF262:BU262))</f>
        <v>0</v>
      </c>
      <c r="BW262" s="446">
        <f>IF($E262=0,0,IF(MIN(BW$38,$E262)&lt;MAX($P$34*($B262+$I$38-1),IF(AND($L$37=0,$P$34=0),"",$L$37-1)),0,YEARFRAC(MAX($P$34*($B262+$I$38-1),IF(AND($L$37=0,$P$34=0),"",$L$37-1)),MIN(BW$38,$E262),$P$20))-SUM($BF262:BV262))</f>
        <v>0</v>
      </c>
      <c r="BX262" s="446">
        <f>IF($E262=0,0,IF(MIN(BX$38,$E262)&lt;MAX($P$34*($B262+$I$38-1),IF(AND($L$37=0,$P$34=0),"",$L$37-1)),0,YEARFRAC(MAX($P$34*($B262+$I$38-1),IF(AND($L$37=0,$P$34=0),"",$L$37-1)),MIN(BX$38,$E262),$P$20))-SUM($BF262:BW262))</f>
        <v>0</v>
      </c>
      <c r="BY262" s="446">
        <f>IF($E262=0,0,IF(MIN(BY$38,$E262)&lt;MAX($P$34*($B262+$I$38-1),IF(AND($L$37=0,$P$34=0),"",$L$37-1)),0,YEARFRAC(MAX($P$34*($B262+$I$38-1),IF(AND($L$37=0,$P$34=0),"",$L$37-1)),MIN(BY$38,$E262),$P$20))-SUM($BF262:BX262))</f>
        <v>0</v>
      </c>
      <c r="BZ262" s="446">
        <f>IF($E262=0,0,IF(MIN(BZ$38,$E262)&lt;MAX($P$34*($B262+$I$38-1),IF(AND($L$37=0,$P$34=0),"",$L$37-1)),0,YEARFRAC(MAX($P$34*($B262+$I$38-1),IF(AND($L$37=0,$P$34=0),"",$L$37-1)),MIN(BZ$38,$E262),$P$20))-SUM($BF262:BY262))</f>
        <v>0</v>
      </c>
      <c r="CA262" s="446">
        <f>IF($E262=0,0,IF(MIN(CA$38,$E262)&lt;MAX($P$34*($B262+$I$38-1),IF(AND($L$37=0,$P$34=0),"",$L$37-1)),0,YEARFRAC(MAX($P$34*($B262+$I$38-1),IF(AND($L$37=0,$P$34=0),"",$L$37-1)),MIN(CA$38,$E262),$P$20))-SUM($BF262:BZ262))</f>
        <v>0</v>
      </c>
      <c r="CB262" s="446">
        <f>IF($E262=0,0,IF(MIN(CB$38,$E262)&lt;MAX($P$34*($B262+$I$38-1),IF(AND($L$37=0,$P$34=0),"",$L$37-1)),0,YEARFRAC(MAX($P$34*($B262+$I$38-1),IF(AND($L$37=0,$P$34=0),"",$L$37-1)),MIN(CB$38,$E262),$P$20))-SUM($BF262:CA262))</f>
        <v>0</v>
      </c>
      <c r="CC262" s="446">
        <f>IF($E262=0,0,IF(MIN(CC$38,$E262)&lt;MAX($P$34*($B262+$I$38-1),IF(AND($L$37=0,$P$34=0),"",$L$37-1)),0,YEARFRAC(MAX($P$34*($B262+$I$38-1),IF(AND($L$37=0,$P$34=0),"",$L$37-1)),MIN(CC$38,$E262),$P$20))-SUM($BF262:CB262))</f>
        <v>0</v>
      </c>
      <c r="CD262" s="446">
        <f>IF($E262=0,0,IF(MIN(CD$38,$E262)&lt;MAX($P$34*($B262+$I$38-1),IF(AND($L$37=0,$P$34=0),"",$L$37-1)),0,YEARFRAC(MAX($P$34*($B262+$I$38-1),IF(AND($L$37=0,$P$34=0),"",$L$37-1)),MIN(CD$38,$E262),$P$20))-SUM($BF262:CC262))</f>
        <v>0</v>
      </c>
      <c r="CE262" s="446">
        <f>IF($E262=0,0,IF(MIN(CE$38,$E262)&lt;MAX($P$34*($B262+$I$38-1),IF(AND($L$37=0,$P$34=0),"",$L$37-1)),0,YEARFRAC(MAX($P$34*($B262+$I$38-1),IF(AND($L$37=0,$P$34=0),"",$L$37-1)),MIN(CE$38,$E262),$P$20))-SUM($BF262:CD262))</f>
        <v>0</v>
      </c>
      <c r="CF262" s="446">
        <f>IF($E262=0,0,IF(MIN(CF$38,$E262)&lt;MAX($P$34*($B262+$I$38-1),IF(AND($L$37=0,$P$34=0),"",$L$37-1)),0,YEARFRAC(MAX($P$34*($B262+$I$38-1),IF(AND($L$37=0,$P$34=0),"",$L$37-1)),MIN(CF$38,$E262),$P$20))-SUM($BF262:CE262))</f>
        <v>0</v>
      </c>
      <c r="CG262" s="446">
        <f>IF($E262=0,0,IF(MIN(CG$38,$E262)&lt;MAX($P$34*($B262+$I$38-1),IF(AND($L$37=0,$P$34=0),"",$L$37-1)),0,YEARFRAC(MAX($P$34*($B262+$I$38-1),IF(AND($L$37=0,$P$34=0),"",$L$37-1)),MIN(CG$38,$E262),$P$20))-SUM($BF262:CF262))</f>
        <v>0</v>
      </c>
      <c r="CH262" s="446">
        <f>IF($E262=0,0,IF(MIN(CH$38,$E262)&lt;MAX($P$34*($B262+$I$38-1),IF(AND($L$37=0,$P$34=0),"",$L$37-1)),0,YEARFRAC(MAX($P$34*($B262+$I$38-1),IF(AND($L$37=0,$P$34=0),"",$L$37-1)),MIN(CH$38,$E262),$P$20))-SUM($BF262:CG262))</f>
        <v>0</v>
      </c>
      <c r="CI262" s="446">
        <f>IF($E262=0,0,IF(MIN(CI$38,$E262)&lt;MAX($P$34*($B262+$I$38-1),IF(AND($L$37=0,$P$34=0),"",$L$37-1)),0,YEARFRAC(MAX($P$34*($B262+$I$38-1),IF(AND($L$37=0,$P$34=0),"",$L$37-1)),MIN(CI$38,$E262),$P$20))-SUM($BF262:CH262))</f>
        <v>0</v>
      </c>
      <c r="CJ262" s="446">
        <f>IF($E262=0,0,IF(MIN(CJ$38,$E262)&lt;MAX($P$34*($B262+$I$38-1),IF(AND($L$37=0,$P$34=0),"",$L$37-1)),0,YEARFRAC(MAX($P$34*($B262+$I$38-1),IF(AND($L$37=0,$P$34=0),"",$L$37-1)),MIN(CJ$38,$E262),$P$20))-SUM($BF262:CI262))</f>
        <v>0</v>
      </c>
      <c r="CK262" s="446">
        <f>IF($E262=0,0,IF(MIN(CK$38,$E262)&lt;MAX($P$34*($B262+$I$38-1),IF(AND($L$37=0,$P$34=0),"",$L$37-1)),0,YEARFRAC(MAX($P$34*($B262+$I$38-1),IF(AND($L$37=0,$P$34=0),"",$L$37-1)),MIN(CK$38,$E262),$P$20))-SUM($BF262:CJ262))</f>
        <v>0</v>
      </c>
      <c r="CL262" s="446">
        <f>IF($E262=0,0,IF(MIN(CL$38,$E262)&lt;MAX($P$34*($B262+$I$38-1),IF(AND($L$37=0,$P$34=0),"",$L$37-1)),0,YEARFRAC(MAX($P$34*($B262+$I$38-1),IF(AND($L$37=0,$P$34=0),"",$L$37-1)),MIN(CL$38,$E262),$P$20))-SUM($BF262:CK262))</f>
        <v>0</v>
      </c>
      <c r="CM262" s="446">
        <f>IF($E262=0,0,IF(MIN(CM$38,$E262)&lt;MAX($P$34*($B262+$I$38-1),IF(AND($L$37=0,$P$34=0),"",$L$37-1)),0,YEARFRAC(MAX($P$34*($B262+$I$38-1),IF(AND($L$37=0,$P$34=0),"",$L$37-1)),MIN(CM$38,$E262),$P$20))-SUM($BF262:CL262))</f>
        <v>0</v>
      </c>
      <c r="CN262" s="446">
        <f>IF($E262=0,0,IF(MIN(CN$38,$E262)&lt;MAX($P$34*($B262+$I$38-1),IF(AND($L$37=0,$P$34=0),"",$L$37-1)),0,YEARFRAC(MAX($P$34*($B262+$I$38-1),IF(AND($L$37=0,$P$34=0),"",$L$37-1)),MIN(CN$38,$E262),$P$20))-SUM($BF262:CM262))</f>
        <v>0</v>
      </c>
      <c r="CO262" s="446">
        <f>IF($E262=0,0,IF(MIN(CO$38,$E262)&lt;MAX($P$34*($B262+$I$38-1),IF(AND($L$37=0,$P$34=0),"",$L$37-1)),0,YEARFRAC(MAX($P$34*($B262+$I$38-1),IF(AND($L$37=0,$P$34=0),"",$L$37-1)),MIN(CO$38,$E262),$P$20))-SUM($BF262:CN262))</f>
        <v>0</v>
      </c>
      <c r="CP262" s="446">
        <f>IF($E262=0,0,IF(MIN(CP$38,$E262)&lt;MAX($P$34*($B262+$I$38-1),IF(AND($L$37=0,$P$34=0),"",$L$37-1)),0,YEARFRAC(MAX($P$34*($B262+$I$38-1),IF(AND($L$37=0,$P$34=0),"",$L$37-1)),MIN(CP$38,$E262),$P$20))-SUM($BF262:CO262))</f>
        <v>0</v>
      </c>
      <c r="CQ262" s="446">
        <f>IF($E262=0,0,IF(MIN(CQ$38,$E262)&lt;MAX($P$34*($B262+$I$38-1),IF(AND($L$37=0,$P$34=0),"",$L$37-1)),0,YEARFRAC(MAX($P$34*($B262+$I$38-1),IF(AND($L$37=0,$P$34=0),"",$L$37-1)),MIN(CQ$38,$E262),$P$20))-SUM($BF262:CP262))</f>
        <v>0</v>
      </c>
    </row>
    <row r="263" spans="1:95" s="446" customFormat="1" ht="11.25" hidden="1" customHeight="1" x14ac:dyDescent="0.2">
      <c r="A263" s="152"/>
      <c r="B263" s="153" t="str">
        <f t="shared" si="48"/>
        <v/>
      </c>
      <c r="C263" s="29" t="str">
        <f>IF(B263="","",IF($L$35="SELIC - TRIBUTOS",VLOOKUP(DATE(YEAR($D$19),MONTH($D$19)-1,1),ÍNDICES!$A:$DE,HLOOKUP($BL$25,ÍNDICES!$B$3:$T$4,2)+11)-VLOOKUP(B263,ÍNDICES!$A:$DE,HLOOKUP($BL$25,ÍNDICES!$B$3:$T$4,2)+11)+1%,IF(C$38=$W$26,$J$35,IF(ISERROR(IF(B263&gt;$D$19,1,VLOOKUP(DATE(YEAR(B263),MONTH(B263)+IF($C$35=$S$23,1,0),1),ÍNDICES!$A:$DE,$Z$35+1))),"",IF(B263&gt;$D$19,1,VLOOKUP(DATE(YEAR(B263),MONTH(B263)+IF($C$35=$S$23,1,0),1),ÍNDICES!$A:$DE,$Z$35+1))))))</f>
        <v/>
      </c>
      <c r="D263" s="154" t="str">
        <f>IF(ISERROR(IF(OR($D$38=$Y$27,$B263=""),"",VLOOKUP(B263,ÍNDICES!A:DE,AF$35+1))),"",IF(OR($D$38=$Y$27,$B263=""),"",VLOOKUP(B263,ÍNDICES!A:DE,AF$35+1)))</f>
        <v/>
      </c>
      <c r="E263" s="153"/>
      <c r="F263" s="29" t="str">
        <f>IF(E263="","",IF($L$35="SELIC - TRIBUTOS",VLOOKUP(DATE(YEAR($D$19),MONTH($D$19)-1,1),ÍNDICES!$A:$DE,HLOOKUP($BL$25,ÍNDICES!$B$3:$T$4,2)+11)-VLOOKUP(E263,ÍNDICES!$A:$DE,HLOOKUP($BL$25,ÍNDICES!$B$3:$T$4,2)+11)+1%,IF(F$38=$W$26,$J$35,IF(ISERROR(IF(E263&gt;$D$19,1,VLOOKUP(DATE(YEAR(E263),MONTH(E263)+IF($C$35=$S$23,1,0),1),ÍNDICES!$A:$DE,$Z$35+1))),"",IF(E263&gt;$D$19,1,VLOOKUP(DATE(YEAR(E263),MONTH(E263)+IF($C$35=$S$23,1,0),1),ÍNDICES!$A:$DE,$Z$35+1))))))</f>
        <v/>
      </c>
      <c r="G263" s="155"/>
      <c r="H263" s="156" t="str">
        <f t="shared" si="44"/>
        <v/>
      </c>
      <c r="I263" s="29" t="str">
        <f t="shared" si="38"/>
        <v/>
      </c>
      <c r="J263" s="5">
        <f t="shared" si="39"/>
        <v>0</v>
      </c>
      <c r="K263" s="20">
        <f t="shared" ca="1" si="40"/>
        <v>0</v>
      </c>
      <c r="L263" s="5">
        <f t="shared" ca="1" si="41"/>
        <v>0</v>
      </c>
      <c r="M263" s="64">
        <f t="shared" si="45"/>
        <v>0</v>
      </c>
      <c r="N263" s="61">
        <f t="shared" ca="1" si="46"/>
        <v>0</v>
      </c>
      <c r="O263" s="5">
        <f t="shared" ca="1" si="47"/>
        <v>0</v>
      </c>
      <c r="P263" s="446" t="e">
        <f t="shared" si="42"/>
        <v>#VALUE!</v>
      </c>
      <c r="Q263" s="446" t="e">
        <f>IF(OR($B263="",MIN(Q$38,$D$19)&lt;MAX($P$34*($B263+IF($R$17="Distrato",$I$38-1,0)),IF(AND($L$37=0,$P$34=0),"",$L$37-1),IF($R$17="Distrato",$E263,0))),0,YEARFRAC(MAX($P$34*($B263+IF($R$17="Distrato",$I$38-1,0)),IF(AND($L$37=0,$P$34=0),"",$L$37-1),IF($R$17="Distrato",$E263,0)),MIN(Q$38,$D$19),$P$20))-SUM($P263:P263)</f>
        <v>#VALUE!</v>
      </c>
      <c r="R263" s="446" t="e">
        <f>IF(OR($B263="",MIN(R$38,$D$19)&lt;MAX($P$34*($B263+IF($R$17="Distrato",$I$38-1,0)),IF(AND($L$37=0,$P$34=0),"",$L$37-1),IF($R$17="Distrato",$E263,0))),0,YEARFRAC(MAX($P$34*($B263+IF($R$17="Distrato",$I$38-1,0)),IF(AND($L$37=0,$P$34=0),"",$L$37-1),IF($R$17="Distrato",$E263,0)),MIN(R$38,$D$19),$P$20))-SUM($P263:Q263)</f>
        <v>#VALUE!</v>
      </c>
      <c r="S263" s="446" t="e">
        <f>IF(OR($B263="",MIN(S$38,$D$19)&lt;MAX($P$34*($B263+IF($R$17="Distrato",$I$38-1,0)),IF(AND($L$37=0,$P$34=0),"",$L$37-1),IF($R$17="Distrato",$E263,0))),0,YEARFRAC(MAX($P$34*($B263+IF($R$17="Distrato",$I$38-1,0)),IF(AND($L$37=0,$P$34=0),"",$L$37-1),IF($R$17="Distrato",$E263,0)),MIN(S$38,$D$19),$P$20))-SUM($P263:R263)</f>
        <v>#VALUE!</v>
      </c>
      <c r="T263" s="446" t="e">
        <f>IF(OR($B263="",MIN(T$38,$D$19)&lt;MAX($P$34*($B263+IF($R$17="Distrato",$I$38-1,0)),IF(AND($L$37=0,$P$34=0),"",$L$37-1),IF($R$17="Distrato",$E263,0))),0,YEARFRAC(MAX($P$34*($B263+IF($R$17="Distrato",$I$38-1,0)),IF(AND($L$37=0,$P$34=0),"",$L$37-1),IF($R$17="Distrato",$E263,0)),MIN(T$38,$D$19),$P$20))-SUM($P263:S263)</f>
        <v>#VALUE!</v>
      </c>
      <c r="U263" s="446" t="e">
        <f>IF(OR($B263="",MIN(U$38,$D$19)&lt;MAX($P$34*($B263+IF($R$17="Distrato",$I$38-1,0)),IF(AND($L$37=0,$P$34=0),"",$L$37-1),IF($R$17="Distrato",$E263,0))),0,YEARFRAC(MAX($P$34*($B263+IF($R$17="Distrato",$I$38-1,0)),IF(AND($L$37=0,$P$34=0),"",$L$37-1),IF($R$17="Distrato",$E263,0)),MIN(U$38,$D$19),$P$20))-SUM($P263:T263)</f>
        <v>#VALUE!</v>
      </c>
      <c r="V263" s="446" t="e">
        <f>IF(OR($B263="",MIN(V$38,$D$19)&lt;MAX($P$34*($B263+IF($R$17="Distrato",$I$38-1,0)),IF(AND($L$37=0,$P$34=0),"",$L$37-1),IF($R$17="Distrato",$E263,0))),0,YEARFRAC(MAX($P$34*($B263+IF($R$17="Distrato",$I$38-1,0)),IF(AND($L$37=0,$P$34=0),"",$L$37-1),IF($R$17="Distrato",$E263,0)),MIN(V$38,$D$19),$P$20))-SUM($P263:U263)</f>
        <v>#VALUE!</v>
      </c>
      <c r="W263" s="446" t="e">
        <f>IF(OR($B263="",MIN(W$38,$D$19)&lt;MAX($P$34*($B263+IF($R$17="Distrato",$I$38-1,0)),IF(AND($L$37=0,$P$34=0),"",$L$37-1),IF($R$17="Distrato",$E263,0))),0,YEARFRAC(MAX($P$34*($B263+IF($R$17="Distrato",$I$38-1,0)),IF(AND($L$37=0,$P$34=0),"",$L$37-1),IF($R$17="Distrato",$E263,0)),MIN(W$38,$D$19),$P$20))-SUM($P263:V263)</f>
        <v>#VALUE!</v>
      </c>
      <c r="X263" s="446" t="e">
        <f>IF(OR($B263="",MIN(X$38,$D$19)&lt;MAX($P$34*($B263+IF($R$17="Distrato",$I$38-1,0)),IF(AND($L$37=0,$P$34=0),"",$L$37-1),IF($R$17="Distrato",$E263,0))),0,YEARFRAC(MAX($P$34*($B263+IF($R$17="Distrato",$I$38-1,0)),IF(AND($L$37=0,$P$34=0),"",$L$37-1),IF($R$17="Distrato",$E263,0)),MIN(X$38,$D$19),$P$20))-SUM($P263:W263)</f>
        <v>#VALUE!</v>
      </c>
      <c r="Y263" s="446" t="e">
        <f>IF(OR($B263="",MIN(Y$38,$D$19)&lt;MAX($P$34*($B263+IF($R$17="Distrato",$I$38-1,0)),IF(AND($L$37=0,$P$34=0),"",$L$37-1),IF($R$17="Distrato",$E263,0))),0,YEARFRAC(MAX($P$34*($B263+IF($R$17="Distrato",$I$38-1,0)),IF(AND($L$37=0,$P$34=0),"",$L$37-1),IF($R$17="Distrato",$E263,0)),MIN(Y$38,$D$19),$P$20))-SUM($P263:X263)</f>
        <v>#VALUE!</v>
      </c>
      <c r="Z263" s="446" t="e">
        <f>IF(OR($B263="",MIN(Z$38,$D$19)&lt;MAX($P$34*($B263+IF($R$17="Distrato",$I$38-1,0)),IF(AND($L$37=0,$P$34=0),"",$L$37-1),IF($R$17="Distrato",$E263,0))),0,YEARFRAC(MAX($P$34*($B263+IF($R$17="Distrato",$I$38-1,0)),IF(AND($L$37=0,$P$34=0),"",$L$37-1),IF($R$17="Distrato",$E263,0)),MIN(Z$38,$D$19),$P$20))-SUM($P263:Y263)</f>
        <v>#VALUE!</v>
      </c>
      <c r="AA263" s="446" t="e">
        <f>IF(OR($B263="",MIN(AA$38,$D$19)&lt;MAX($P$34*($B263+IF($R$17="Distrato",$I$38-1,0)),IF(AND($L$37=0,$P$34=0),"",$L$37-1),IF($R$17="Distrato",$E263,0))),0,YEARFRAC(MAX($P$34*($B263+IF($R$17="Distrato",$I$38-1,0)),IF(AND($L$37=0,$P$34=0),"",$L$37-1),IF($R$17="Distrato",$E263,0)),MIN(AA$38,$D$19),$P$20))-SUM($P263:Z263)</f>
        <v>#VALUE!</v>
      </c>
      <c r="AB263" s="446" t="e">
        <f>IF(OR($B263="",MIN(AB$38,$D$19)&lt;MAX($P$34*($B263+IF($R$17="Distrato",$I$38-1,0)),IF(AND($L$37=0,$P$34=0),"",$L$37-1),IF($R$17="Distrato",$E263,0))),0,YEARFRAC(MAX($P$34*($B263+IF($R$17="Distrato",$I$38-1,0)),IF(AND($L$37=0,$P$34=0),"",$L$37-1),IF($R$17="Distrato",$E263,0)),MIN(AB$38,$D$19),$P$20))-SUM($P263:AA263)</f>
        <v>#VALUE!</v>
      </c>
      <c r="AC263" s="446" t="e">
        <f>IF(OR($B263="",MIN(AC$38,$D$19)&lt;MAX($P$34*($B263+IF($R$17="Distrato",$I$38-1,0)),IF(AND($L$37=0,$P$34=0),"",$L$37-1),IF($R$17="Distrato",$E263,0))),0,YEARFRAC(MAX($P$34*($B263+IF($R$17="Distrato",$I$38-1,0)),IF(AND($L$37=0,$P$34=0),"",$L$37-1),IF($R$17="Distrato",$E263,0)),MIN(AC$38,$D$19),$P$20))-SUM($P263:AB263)</f>
        <v>#VALUE!</v>
      </c>
      <c r="AD263" s="446" t="e">
        <f>IF(OR($B263="",MIN(AD$38,$D$19)&lt;MAX($P$34*($B263+IF($R$17="Distrato",$I$38-1,0)),IF(AND($L$37=0,$P$34=0),"",$L$37-1),IF($R$17="Distrato",$E263,0))),0,YEARFRAC(MAX($P$34*($B263+IF($R$17="Distrato",$I$38-1,0)),IF(AND($L$37=0,$P$34=0),"",$L$37-1),IF($R$17="Distrato",$E263,0)),MIN(AD$38,$D$19),$P$20))-SUM($P263:AC263)</f>
        <v>#VALUE!</v>
      </c>
      <c r="AE263" s="446" t="e">
        <f>IF(OR($B263="",MIN(AE$38,$D$19)&lt;MAX($P$34*($B263+IF($R$17="Distrato",$I$38-1,0)),IF(AND($L$37=0,$P$34=0),"",$L$37-1),IF($R$17="Distrato",$E263,0))),0,YEARFRAC(MAX($P$34*($B263+IF($R$17="Distrato",$I$38-1,0)),IF(AND($L$37=0,$P$34=0),"",$L$37-1),IF($R$17="Distrato",$E263,0)),MIN(AE$38,$D$19),$P$20))-SUM($P263:AD263)</f>
        <v>#VALUE!</v>
      </c>
      <c r="AF263" s="446" t="e">
        <f>IF(OR($B263="",MIN(AF$38,$D$19)&lt;MAX($P$34*($B263+IF($R$17="Distrato",$I$38-1,0)),IF(AND($L$37=0,$P$34=0),"",$L$37-1),IF($R$17="Distrato",$E263,0))),0,YEARFRAC(MAX($P$34*($B263+IF($R$17="Distrato",$I$38-1,0)),IF(AND($L$37=0,$P$34=0),"",$L$37-1),IF($R$17="Distrato",$E263,0)),MIN(AF$38,$D$19),$P$20))-SUM($P263:AE263)</f>
        <v>#VALUE!</v>
      </c>
      <c r="AG263" s="446" t="e">
        <f>IF(OR($B263="",MIN(AG$38,$D$19)&lt;MAX($P$34*($B263+IF($R$17="Distrato",$I$38-1,0)),IF(AND($L$37=0,$P$34=0),"",$L$37-1),IF($R$17="Distrato",$E263,0))),0,YEARFRAC(MAX($P$34*($B263+IF($R$17="Distrato",$I$38-1,0)),IF(AND($L$37=0,$P$34=0),"",$L$37-1),IF($R$17="Distrato",$E263,0)),MIN(AG$38,$D$19),$P$20))-SUM($P263:AF263)</f>
        <v>#VALUE!</v>
      </c>
      <c r="AH263" s="446" t="e">
        <f>IF(OR($B263="",MIN(AH$38,$D$19)&lt;MAX($P$34*($B263+IF($R$17="Distrato",$I$38-1,0)),IF(AND($L$37=0,$P$34=0),"",$L$37-1),IF($R$17="Distrato",$E263,0))),0,YEARFRAC(MAX($P$34*($B263+IF($R$17="Distrato",$I$38-1,0)),IF(AND($L$37=0,$P$34=0),"",$L$37-1),IF($R$17="Distrato",$E263,0)),MIN(AH$38,$D$19),$P$20))-SUM($P263:AG263)</f>
        <v>#VALUE!</v>
      </c>
      <c r="AI263" s="446" t="e">
        <f>IF(OR($B263="",MIN(AI$38,$D$19)&lt;MAX($P$34*($B263+IF($R$17="Distrato",$I$38-1,0)),IF(AND($L$37=0,$P$34=0),"",$L$37-1),IF($R$17="Distrato",$E263,0))),0,YEARFRAC(MAX($P$34*($B263+IF($R$17="Distrato",$I$38-1,0)),IF(AND($L$37=0,$P$34=0),"",$L$37-1),IF($R$17="Distrato",$E263,0)),MIN(AI$38,$D$19),$P$20))-SUM($P263:AH263)</f>
        <v>#VALUE!</v>
      </c>
      <c r="AJ263" s="446" t="e">
        <f>IF(OR($B263="",MIN(AJ$38,$D$19)&lt;MAX($P$34*($B263+IF($R$17="Distrato",$I$38-1,0)),IF(AND($L$37=0,$P$34=0),"",$L$37-1),IF($R$17="Distrato",$E263,0))),0,YEARFRAC(MAX($P$34*($B263+IF($R$17="Distrato",$I$38-1,0)),IF(AND($L$37=0,$P$34=0),"",$L$37-1),IF($R$17="Distrato",$E263,0)),MIN(AJ$38,$D$19),$P$20))-SUM($P263:AI263)</f>
        <v>#VALUE!</v>
      </c>
      <c r="AK263" s="446" t="e">
        <f>IF(OR($B263="",MIN(AK$38,$D$19)&lt;MAX($P$34*($B263+IF($R$17="Distrato",$I$38-1,0)),IF(AND($L$37=0,$P$34=0),"",$L$37-1),IF($R$17="Distrato",$E263,0))),0,YEARFRAC(MAX($P$34*($B263+IF($R$17="Distrato",$I$38-1,0)),IF(AND($L$37=0,$P$34=0),"",$L$37-1),IF($R$17="Distrato",$E263,0)),MIN(AK$38,$D$19),$P$20))-SUM($P263:AJ263)</f>
        <v>#VALUE!</v>
      </c>
      <c r="AL263" s="446" t="e">
        <f>IF(OR($B263="",MIN(AL$38,$D$19)&lt;MAX($P$34*($B263+IF($R$17="Distrato",$I$38-1,0)),IF(AND($L$37=0,$P$34=0),"",$L$37-1),IF($R$17="Distrato",$E263,0))),0,YEARFRAC(MAX($P$34*($B263+IF($R$17="Distrato",$I$38-1,0)),IF(AND($L$37=0,$P$34=0),"",$L$37-1),IF($R$17="Distrato",$E263,0)),MIN(AL$38,$D$19),$P$20))-SUM($P263:AK263)</f>
        <v>#VALUE!</v>
      </c>
      <c r="AM263" s="446" t="e">
        <f>IF(OR($B263="",MIN(AM$38,$D$19)&lt;MAX($P$34*($B263+IF($R$17="Distrato",$I$38-1,0)),IF(AND($L$37=0,$P$34=0),"",$L$37-1),IF($R$17="Distrato",$E263,0))),0,YEARFRAC(MAX($P$34*($B263+IF($R$17="Distrato",$I$38-1,0)),IF(AND($L$37=0,$P$34=0),"",$L$37-1),IF($R$17="Distrato",$E263,0)),MIN(AM$38,$D$19),$P$20))-SUM($P263:AL263)</f>
        <v>#VALUE!</v>
      </c>
      <c r="AN263" s="446" t="e">
        <f>IF(OR($B263="",MIN(AN$38,$D$19)&lt;MAX($P$34*($B263+IF($R$17="Distrato",$I$38-1,0)),IF(AND($L$37=0,$P$34=0),"",$L$37-1),IF($R$17="Distrato",$E263,0))),0,YEARFRAC(MAX($P$34*($B263+IF($R$17="Distrato",$I$38-1,0)),IF(AND($L$37=0,$P$34=0),"",$L$37-1),IF($R$17="Distrato",$E263,0)),MIN(AN$38,$D$19),$P$20))-SUM($P263:AM263)</f>
        <v>#VALUE!</v>
      </c>
      <c r="AO263" s="446" t="e">
        <f>IF(OR($B263="",MIN(AO$38,$D$19)&lt;MAX($P$34*($B263+IF($R$17="Distrato",$I$38-1,0)),IF(AND($L$37=0,$P$34=0),"",$L$37-1),IF($R$17="Distrato",$E263,0))),0,YEARFRAC(MAX($P$34*($B263+IF($R$17="Distrato",$I$38-1,0)),IF(AND($L$37=0,$P$34=0),"",$L$37-1),IF($R$17="Distrato",$E263,0)),MIN(AO$38,$D$19),$P$20))-SUM($P263:AN263)</f>
        <v>#VALUE!</v>
      </c>
      <c r="AP263" s="446" t="e">
        <f>IF(OR($B263="",MIN(AP$38,$D$19)&lt;MAX($P$34*($B263+IF($R$17="Distrato",$I$38-1,0)),IF(AND($L$37=0,$P$34=0),"",$L$37-1),IF($R$17="Distrato",$E263,0))),0,YEARFRAC(MAX($P$34*($B263+IF($R$17="Distrato",$I$38-1,0)),IF(AND($L$37=0,$P$34=0),"",$L$37-1),IF($R$17="Distrato",$E263,0)),MIN(AP$38,$D$19),$P$20))-SUM($P263:AO263)</f>
        <v>#VALUE!</v>
      </c>
      <c r="AQ263" s="446" t="e">
        <f>IF(OR($B263="",MIN(AQ$38,$D$19)&lt;MAX($P$34*($B263+IF($R$17="Distrato",$I$38-1,0)),IF(AND($L$37=0,$P$34=0),"",$L$37-1),IF($R$17="Distrato",$E263,0))),0,YEARFRAC(MAX($P$34*($B263+IF($R$17="Distrato",$I$38-1,0)),IF(AND($L$37=0,$P$34=0),"",$L$37-1),IF($R$17="Distrato",$E263,0)),MIN(AQ$38,$D$19),$P$20))-SUM($P263:AP263)</f>
        <v>#VALUE!</v>
      </c>
      <c r="AR263" s="446" t="e">
        <f>IF(OR($B263="",MIN(AR$38,$D$19)&lt;MAX($P$34*($B263+IF($R$17="Distrato",$I$38-1,0)),IF(AND($L$37=0,$P$34=0),"",$L$37-1),IF($R$17="Distrato",$E263,0))),0,YEARFRAC(MAX($P$34*($B263+IF($R$17="Distrato",$I$38-1,0)),IF(AND($L$37=0,$P$34=0),"",$L$37-1),IF($R$17="Distrato",$E263,0)),MIN(AR$38,$D$19),$P$20))-SUM($P263:AQ263)</f>
        <v>#VALUE!</v>
      </c>
      <c r="AS263" s="446" t="e">
        <f>IF(OR($B263="",MIN(AS$38,$D$19)&lt;MAX($P$34*($B263+IF($R$17="Distrato",$I$38-1,0)),IF(AND($L$37=0,$P$34=0),"",$L$37-1),IF($R$17="Distrato",$E263,0))),0,YEARFRAC(MAX($P$34*($B263+IF($R$17="Distrato",$I$38-1,0)),IF(AND($L$37=0,$P$34=0),"",$L$37-1),IF($R$17="Distrato",$E263,0)),MIN(AS$38,$D$19),$P$20))-SUM($P263:AR263)</f>
        <v>#VALUE!</v>
      </c>
      <c r="AT263" s="446" t="e">
        <f>IF(OR($B263="",MIN(AT$38,$D$19)&lt;MAX($P$34*($B263+IF($R$17="Distrato",$I$38-1,0)),IF(AND($L$37=0,$P$34=0),"",$L$37-1),IF($R$17="Distrato",$E263,0))),0,YEARFRAC(MAX($P$34*($B263+IF($R$17="Distrato",$I$38-1,0)),IF(AND($L$37=0,$P$34=0),"",$L$37-1),IF($R$17="Distrato",$E263,0)),MIN(AT$38,$D$19),$P$20))-SUM($P263:AS263)</f>
        <v>#VALUE!</v>
      </c>
      <c r="AU263" s="446" t="e">
        <f>IF(OR($B263="",MIN(AU$38,$D$19)&lt;MAX($P$34*($B263+IF($R$17="Distrato",$I$38-1,0)),IF(AND($L$37=0,$P$34=0),"",$L$37-1),IF($R$17="Distrato",$E263,0))),0,YEARFRAC(MAX($P$34*($B263+IF($R$17="Distrato",$I$38-1,0)),IF(AND($L$37=0,$P$34=0),"",$L$37-1),IF($R$17="Distrato",$E263,0)),MIN(AU$38,$D$19),$P$20))-SUM($P263:AT263)</f>
        <v>#VALUE!</v>
      </c>
      <c r="AV263" s="446" t="e">
        <f>IF(OR($B263="",MIN(AV$38,$D$19)&lt;MAX($P$34*($B263+IF($R$17="Distrato",$I$38-1,0)),IF(AND($L$37=0,$P$34=0),"",$L$37-1),IF($R$17="Distrato",$E263,0))),0,YEARFRAC(MAX($P$34*($B263+IF($R$17="Distrato",$I$38-1,0)),IF(AND($L$37=0,$P$34=0),"",$L$37-1),IF($R$17="Distrato",$E263,0)),MIN(AV$38,$D$19),$P$20))-SUM($P263:AU263)</f>
        <v>#VALUE!</v>
      </c>
      <c r="AW263" s="446" t="e">
        <f>IF(OR($B263="",MIN(AW$38,$D$19)&lt;MAX($P$34*($B263+IF($R$17="Distrato",$I$38-1,0)),IF(AND($L$37=0,$P$34=0),"",$L$37-1),IF($R$17="Distrato",$E263,0))),0,YEARFRAC(MAX($P$34*($B263+IF($R$17="Distrato",$I$38-1,0)),IF(AND($L$37=0,$P$34=0),"",$L$37-1),IF($R$17="Distrato",$E263,0)),MIN(AW$38,$D$19),$P$20))-SUM($P263:AV263)</f>
        <v>#VALUE!</v>
      </c>
      <c r="AX263" s="446" t="e">
        <f>IF(OR($B263="",MIN(AX$38,$D$19)&lt;MAX($P$34*($B263+IF($R$17="Distrato",$I$38-1,0)),IF(AND($L$37=0,$P$34=0),"",$L$37-1),IF($R$17="Distrato",$E263,0))),0,YEARFRAC(MAX($P$34*($B263+IF($R$17="Distrato",$I$38-1,0)),IF(AND($L$37=0,$P$34=0),"",$L$37-1),IF($R$17="Distrato",$E263,0)),MIN(AX$38,$D$19),$P$20))-SUM($P263:AW263)</f>
        <v>#VALUE!</v>
      </c>
      <c r="AY263" s="446" t="e">
        <f>IF(OR($B263="",MIN(AY$38,$D$19)&lt;MAX($P$34*($B263+IF($R$17="Distrato",$I$38-1,0)),IF(AND($L$37=0,$P$34=0),"",$L$37-1),IF($R$17="Distrato",$E263,0))),0,YEARFRAC(MAX($P$34*($B263+IF($R$17="Distrato",$I$38-1,0)),IF(AND($L$37=0,$P$34=0),"",$L$37-1),IF($R$17="Distrato",$E263,0)),MIN(AY$38,$D$19),$P$20))-SUM($P263:AX263)</f>
        <v>#VALUE!</v>
      </c>
      <c r="AZ263" s="446" t="e">
        <f>IF(OR($B263="",MIN(AZ$38,$D$19)&lt;MAX($P$34*($B263+IF($R$17="Distrato",$I$38-1,0)),IF(AND($L$37=0,$P$34=0),"",$L$37-1),IF($R$17="Distrato",$E263,0))),0,YEARFRAC(MAX($P$34*($B263+IF($R$17="Distrato",$I$38-1,0)),IF(AND($L$37=0,$P$34=0),"",$L$37-1),IF($R$17="Distrato",$E263,0)),MIN(AZ$38,$D$19),$P$20))-SUM($P263:AY263)</f>
        <v>#VALUE!</v>
      </c>
      <c r="BA263" s="446" t="e">
        <f>IF(OR($B263="",MIN(BA$38,$D$19)&lt;MAX($P$34*($B263+IF($R$17="Distrato",$I$38-1,0)),IF(AND($L$37=0,$P$34=0),"",$L$37-1),IF($R$17="Distrato",$E263,0))),0,YEARFRAC(MAX($P$34*($B263+IF($R$17="Distrato",$I$38-1,0)),IF(AND($L$37=0,$P$34=0),"",$L$37-1),IF($R$17="Distrato",$E263,0)),MIN(BA$38,$D$19),$P$20))-SUM($P263:AZ263)</f>
        <v>#VALUE!</v>
      </c>
      <c r="BB263" s="447"/>
      <c r="BF263" s="446">
        <f t="shared" si="43"/>
        <v>0</v>
      </c>
      <c r="BG263" s="446">
        <f>IF($E263=0,0,IF(MIN(BG$38,$E263)&lt;MAX($P$34*($B263+$I$38-1),IF(AND($L$37=0,$P$34=0),"",$L$37-1)),0,YEARFRAC(MAX($P$34*($B263+$I$38-1),IF(AND($L$37=0,$P$34=0),"",$L$37-1)),MIN(BG$38,$E263),$P$20))-SUM($BF263:BF263))</f>
        <v>0</v>
      </c>
      <c r="BH263" s="446">
        <f>IF($E263=0,0,IF(MIN(BH$38,$E263)&lt;MAX($P$34*($B263+$I$38-1),IF(AND($L$37=0,$P$34=0),"",$L$37-1)),0,YEARFRAC(MAX($P$34*($B263+$I$38-1),IF(AND($L$37=0,$P$34=0),"",$L$37-1)),MIN(BH$38,$E263),$P$20))-SUM($BF263:BG263))</f>
        <v>0</v>
      </c>
      <c r="BI263" s="446">
        <f>IF($E263=0,0,IF(MIN(BI$38,$E263)&lt;MAX($P$34*($B263+$I$38-1),IF(AND($L$37=0,$P$34=0),"",$L$37-1)),0,YEARFRAC(MAX($P$34*($B263+$I$38-1),IF(AND($L$37=0,$P$34=0),"",$L$37-1)),MIN(BI$38,$E263),$P$20))-SUM($BF263:BH263))</f>
        <v>0</v>
      </c>
      <c r="BJ263" s="446">
        <f>IF($E263=0,0,IF(MIN(BJ$38,$E263)&lt;MAX($P$34*($B263+$I$38-1),IF(AND($L$37=0,$P$34=0),"",$L$37-1)),0,YEARFRAC(MAX($P$34*($B263+$I$38-1),IF(AND($L$37=0,$P$34=0),"",$L$37-1)),MIN(BJ$38,$E263),$P$20))-SUM($BF263:BI263))</f>
        <v>0</v>
      </c>
      <c r="BK263" s="446">
        <f>IF($E263=0,0,IF(MIN(BK$38,$E263)&lt;MAX($P$34*($B263+$I$38-1),IF(AND($L$37=0,$P$34=0),"",$L$37-1)),0,YEARFRAC(MAX($P$34*($B263+$I$38-1),IF(AND($L$37=0,$P$34=0),"",$L$37-1)),MIN(BK$38,$E263),$P$20))-SUM($BF263:BJ263))</f>
        <v>0</v>
      </c>
      <c r="BL263" s="446">
        <f>IF($E263=0,0,IF(MIN(BL$38,$E263)&lt;MAX($P$34*($B263+$I$38-1),IF(AND($L$37=0,$P$34=0),"",$L$37-1)),0,YEARFRAC(MAX($P$34*($B263+$I$38-1),IF(AND($L$37=0,$P$34=0),"",$L$37-1)),MIN(BL$38,$E263),$P$20))-SUM($BF263:BK263))</f>
        <v>0</v>
      </c>
      <c r="BM263" s="446">
        <f>IF($E263=0,0,IF(MIN(BM$38,$E263)&lt;MAX($P$34*($B263+$I$38-1),IF(AND($L$37=0,$P$34=0),"",$L$37-1)),0,YEARFRAC(MAX($P$34*($B263+$I$38-1),IF(AND($L$37=0,$P$34=0),"",$L$37-1)),MIN(BM$38,$E263),$P$20))-SUM($BF263:BL263))</f>
        <v>0</v>
      </c>
      <c r="BN263" s="446">
        <f>IF($E263=0,0,IF(MIN(BN$38,$E263)&lt;MAX($P$34*($B263+$I$38-1),IF(AND($L$37=0,$P$34=0),"",$L$37-1)),0,YEARFRAC(MAX($P$34*($B263+$I$38-1),IF(AND($L$37=0,$P$34=0),"",$L$37-1)),MIN(BN$38,$E263),$P$20))-SUM($BF263:BM263))</f>
        <v>0</v>
      </c>
      <c r="BO263" s="446">
        <f>IF($E263=0,0,IF(MIN(BO$38,$E263)&lt;MAX($P$34*($B263+$I$38-1),IF(AND($L$37=0,$P$34=0),"",$L$37-1)),0,YEARFRAC(MAX($P$34*($B263+$I$38-1),IF(AND($L$37=0,$P$34=0),"",$L$37-1)),MIN(BO$38,$E263),$P$20))-SUM($BF263:BN263))</f>
        <v>0</v>
      </c>
      <c r="BP263" s="446">
        <f>IF($E263=0,0,IF(MIN(BP$38,$E263)&lt;MAX($P$34*($B263+$I$38-1),IF(AND($L$37=0,$P$34=0),"",$L$37-1)),0,YEARFRAC(MAX($P$34*($B263+$I$38-1),IF(AND($L$37=0,$P$34=0),"",$L$37-1)),MIN(BP$38,$E263),$P$20))-SUM($BF263:BO263))</f>
        <v>0</v>
      </c>
      <c r="BQ263" s="446">
        <f>IF($E263=0,0,IF(MIN(BQ$38,$E263)&lt;MAX($P$34*($B263+$I$38-1),IF(AND($L$37=0,$P$34=0),"",$L$37-1)),0,YEARFRAC(MAX($P$34*($B263+$I$38-1),IF(AND($L$37=0,$P$34=0),"",$L$37-1)),MIN(BQ$38,$E263),$P$20))-SUM($BF263:BP263))</f>
        <v>0</v>
      </c>
      <c r="BR263" s="446">
        <f>IF($E263=0,0,IF(MIN(BR$38,$E263)&lt;MAX($P$34*($B263+$I$38-1),IF(AND($L$37=0,$P$34=0),"",$L$37-1)),0,YEARFRAC(MAX($P$34*($B263+$I$38-1),IF(AND($L$37=0,$P$34=0),"",$L$37-1)),MIN(BR$38,$E263),$P$20))-SUM($BF263:BQ263))</f>
        <v>0</v>
      </c>
      <c r="BS263" s="446">
        <f>IF($E263=0,0,IF(MIN(BS$38,$E263)&lt;MAX($P$34*($B263+$I$38-1),IF(AND($L$37=0,$P$34=0),"",$L$37-1)),0,YEARFRAC(MAX($P$34*($B263+$I$38-1),IF(AND($L$37=0,$P$34=0),"",$L$37-1)),MIN(BS$38,$E263),$P$20))-SUM($BF263:BR263))</f>
        <v>0</v>
      </c>
      <c r="BT263" s="446">
        <f>IF($E263=0,0,IF(MIN(BT$38,$E263)&lt;MAX($P$34*($B263+$I$38-1),IF(AND($L$37=0,$P$34=0),"",$L$37-1)),0,YEARFRAC(MAX($P$34*($B263+$I$38-1),IF(AND($L$37=0,$P$34=0),"",$L$37-1)),MIN(BT$38,$E263),$P$20))-SUM($BF263:BS263))</f>
        <v>0</v>
      </c>
      <c r="BU263" s="446">
        <f>IF($E263=0,0,IF(MIN(BU$38,$E263)&lt;MAX($P$34*($B263+$I$38-1),IF(AND($L$37=0,$P$34=0),"",$L$37-1)),0,YEARFRAC(MAX($P$34*($B263+$I$38-1),IF(AND($L$37=0,$P$34=0),"",$L$37-1)),MIN(BU$38,$E263),$P$20))-SUM($BF263:BT263))</f>
        <v>0</v>
      </c>
      <c r="BV263" s="446">
        <f>IF($E263=0,0,IF(MIN(BV$38,$E263)&lt;MAX($P$34*($B263+$I$38-1),IF(AND($L$37=0,$P$34=0),"",$L$37-1)),0,YEARFRAC(MAX($P$34*($B263+$I$38-1),IF(AND($L$37=0,$P$34=0),"",$L$37-1)),MIN(BV$38,$E263),$P$20))-SUM($BF263:BU263))</f>
        <v>0</v>
      </c>
      <c r="BW263" s="446">
        <f>IF($E263=0,0,IF(MIN(BW$38,$E263)&lt;MAX($P$34*($B263+$I$38-1),IF(AND($L$37=0,$P$34=0),"",$L$37-1)),0,YEARFRAC(MAX($P$34*($B263+$I$38-1),IF(AND($L$37=0,$P$34=0),"",$L$37-1)),MIN(BW$38,$E263),$P$20))-SUM($BF263:BV263))</f>
        <v>0</v>
      </c>
      <c r="BX263" s="446">
        <f>IF($E263=0,0,IF(MIN(BX$38,$E263)&lt;MAX($P$34*($B263+$I$38-1),IF(AND($L$37=0,$P$34=0),"",$L$37-1)),0,YEARFRAC(MAX($P$34*($B263+$I$38-1),IF(AND($L$37=0,$P$34=0),"",$L$37-1)),MIN(BX$38,$E263),$P$20))-SUM($BF263:BW263))</f>
        <v>0</v>
      </c>
      <c r="BY263" s="446">
        <f>IF($E263=0,0,IF(MIN(BY$38,$E263)&lt;MAX($P$34*($B263+$I$38-1),IF(AND($L$37=0,$P$34=0),"",$L$37-1)),0,YEARFRAC(MAX($P$34*($B263+$I$38-1),IF(AND($L$37=0,$P$34=0),"",$L$37-1)),MIN(BY$38,$E263),$P$20))-SUM($BF263:BX263))</f>
        <v>0</v>
      </c>
      <c r="BZ263" s="446">
        <f>IF($E263=0,0,IF(MIN(BZ$38,$E263)&lt;MAX($P$34*($B263+$I$38-1),IF(AND($L$37=0,$P$34=0),"",$L$37-1)),0,YEARFRAC(MAX($P$34*($B263+$I$38-1),IF(AND($L$37=0,$P$34=0),"",$L$37-1)),MIN(BZ$38,$E263),$P$20))-SUM($BF263:BY263))</f>
        <v>0</v>
      </c>
      <c r="CA263" s="446">
        <f>IF($E263=0,0,IF(MIN(CA$38,$E263)&lt;MAX($P$34*($B263+$I$38-1),IF(AND($L$37=0,$P$34=0),"",$L$37-1)),0,YEARFRAC(MAX($P$34*($B263+$I$38-1),IF(AND($L$37=0,$P$34=0),"",$L$37-1)),MIN(CA$38,$E263),$P$20))-SUM($BF263:BZ263))</f>
        <v>0</v>
      </c>
      <c r="CB263" s="446">
        <f>IF($E263=0,0,IF(MIN(CB$38,$E263)&lt;MAX($P$34*($B263+$I$38-1),IF(AND($L$37=0,$P$34=0),"",$L$37-1)),0,YEARFRAC(MAX($P$34*($B263+$I$38-1),IF(AND($L$37=0,$P$34=0),"",$L$37-1)),MIN(CB$38,$E263),$P$20))-SUM($BF263:CA263))</f>
        <v>0</v>
      </c>
      <c r="CC263" s="446">
        <f>IF($E263=0,0,IF(MIN(CC$38,$E263)&lt;MAX($P$34*($B263+$I$38-1),IF(AND($L$37=0,$P$34=0),"",$L$37-1)),0,YEARFRAC(MAX($P$34*($B263+$I$38-1),IF(AND($L$37=0,$P$34=0),"",$L$37-1)),MIN(CC$38,$E263),$P$20))-SUM($BF263:CB263))</f>
        <v>0</v>
      </c>
      <c r="CD263" s="446">
        <f>IF($E263=0,0,IF(MIN(CD$38,$E263)&lt;MAX($P$34*($B263+$I$38-1),IF(AND($L$37=0,$P$34=0),"",$L$37-1)),0,YEARFRAC(MAX($P$34*($B263+$I$38-1),IF(AND($L$37=0,$P$34=0),"",$L$37-1)),MIN(CD$38,$E263),$P$20))-SUM($BF263:CC263))</f>
        <v>0</v>
      </c>
      <c r="CE263" s="446">
        <f>IF($E263=0,0,IF(MIN(CE$38,$E263)&lt;MAX($P$34*($B263+$I$38-1),IF(AND($L$37=0,$P$34=0),"",$L$37-1)),0,YEARFRAC(MAX($P$34*($B263+$I$38-1),IF(AND($L$37=0,$P$34=0),"",$L$37-1)),MIN(CE$38,$E263),$P$20))-SUM($BF263:CD263))</f>
        <v>0</v>
      </c>
      <c r="CF263" s="446">
        <f>IF($E263=0,0,IF(MIN(CF$38,$E263)&lt;MAX($P$34*($B263+$I$38-1),IF(AND($L$37=0,$P$34=0),"",$L$37-1)),0,YEARFRAC(MAX($P$34*($B263+$I$38-1),IF(AND($L$37=0,$P$34=0),"",$L$37-1)),MIN(CF$38,$E263),$P$20))-SUM($BF263:CE263))</f>
        <v>0</v>
      </c>
      <c r="CG263" s="446">
        <f>IF($E263=0,0,IF(MIN(CG$38,$E263)&lt;MAX($P$34*($B263+$I$38-1),IF(AND($L$37=0,$P$34=0),"",$L$37-1)),0,YEARFRAC(MAX($P$34*($B263+$I$38-1),IF(AND($L$37=0,$P$34=0),"",$L$37-1)),MIN(CG$38,$E263),$P$20))-SUM($BF263:CF263))</f>
        <v>0</v>
      </c>
      <c r="CH263" s="446">
        <f>IF($E263=0,0,IF(MIN(CH$38,$E263)&lt;MAX($P$34*($B263+$I$38-1),IF(AND($L$37=0,$P$34=0),"",$L$37-1)),0,YEARFRAC(MAX($P$34*($B263+$I$38-1),IF(AND($L$37=0,$P$34=0),"",$L$37-1)),MIN(CH$38,$E263),$P$20))-SUM($BF263:CG263))</f>
        <v>0</v>
      </c>
      <c r="CI263" s="446">
        <f>IF($E263=0,0,IF(MIN(CI$38,$E263)&lt;MAX($P$34*($B263+$I$38-1),IF(AND($L$37=0,$P$34=0),"",$L$37-1)),0,YEARFRAC(MAX($P$34*($B263+$I$38-1),IF(AND($L$37=0,$P$34=0),"",$L$37-1)),MIN(CI$38,$E263),$P$20))-SUM($BF263:CH263))</f>
        <v>0</v>
      </c>
      <c r="CJ263" s="446">
        <f>IF($E263=0,0,IF(MIN(CJ$38,$E263)&lt;MAX($P$34*($B263+$I$38-1),IF(AND($L$37=0,$P$34=0),"",$L$37-1)),0,YEARFRAC(MAX($P$34*($B263+$I$38-1),IF(AND($L$37=0,$P$34=0),"",$L$37-1)),MIN(CJ$38,$E263),$P$20))-SUM($BF263:CI263))</f>
        <v>0</v>
      </c>
      <c r="CK263" s="446">
        <f>IF($E263=0,0,IF(MIN(CK$38,$E263)&lt;MAX($P$34*($B263+$I$38-1),IF(AND($L$37=0,$P$34=0),"",$L$37-1)),0,YEARFRAC(MAX($P$34*($B263+$I$38-1),IF(AND($L$37=0,$P$34=0),"",$L$37-1)),MIN(CK$38,$E263),$P$20))-SUM($BF263:CJ263))</f>
        <v>0</v>
      </c>
      <c r="CL263" s="446">
        <f>IF($E263=0,0,IF(MIN(CL$38,$E263)&lt;MAX($P$34*($B263+$I$38-1),IF(AND($L$37=0,$P$34=0),"",$L$37-1)),0,YEARFRAC(MAX($P$34*($B263+$I$38-1),IF(AND($L$37=0,$P$34=0),"",$L$37-1)),MIN(CL$38,$E263),$P$20))-SUM($BF263:CK263))</f>
        <v>0</v>
      </c>
      <c r="CM263" s="446">
        <f>IF($E263=0,0,IF(MIN(CM$38,$E263)&lt;MAX($P$34*($B263+$I$38-1),IF(AND($L$37=0,$P$34=0),"",$L$37-1)),0,YEARFRAC(MAX($P$34*($B263+$I$38-1),IF(AND($L$37=0,$P$34=0),"",$L$37-1)),MIN(CM$38,$E263),$P$20))-SUM($BF263:CL263))</f>
        <v>0</v>
      </c>
      <c r="CN263" s="446">
        <f>IF($E263=0,0,IF(MIN(CN$38,$E263)&lt;MAX($P$34*($B263+$I$38-1),IF(AND($L$37=0,$P$34=0),"",$L$37-1)),0,YEARFRAC(MAX($P$34*($B263+$I$38-1),IF(AND($L$37=0,$P$34=0),"",$L$37-1)),MIN(CN$38,$E263),$P$20))-SUM($BF263:CM263))</f>
        <v>0</v>
      </c>
      <c r="CO263" s="446">
        <f>IF($E263=0,0,IF(MIN(CO$38,$E263)&lt;MAX($P$34*($B263+$I$38-1),IF(AND($L$37=0,$P$34=0),"",$L$37-1)),0,YEARFRAC(MAX($P$34*($B263+$I$38-1),IF(AND($L$37=0,$P$34=0),"",$L$37-1)),MIN(CO$38,$E263),$P$20))-SUM($BF263:CN263))</f>
        <v>0</v>
      </c>
      <c r="CP263" s="446">
        <f>IF($E263=0,0,IF(MIN(CP$38,$E263)&lt;MAX($P$34*($B263+$I$38-1),IF(AND($L$37=0,$P$34=0),"",$L$37-1)),0,YEARFRAC(MAX($P$34*($B263+$I$38-1),IF(AND($L$37=0,$P$34=0),"",$L$37-1)),MIN(CP$38,$E263),$P$20))-SUM($BF263:CO263))</f>
        <v>0</v>
      </c>
      <c r="CQ263" s="446">
        <f>IF($E263=0,0,IF(MIN(CQ$38,$E263)&lt;MAX($P$34*($B263+$I$38-1),IF(AND($L$37=0,$P$34=0),"",$L$37-1)),0,YEARFRAC(MAX($P$34*($B263+$I$38-1),IF(AND($L$37=0,$P$34=0),"",$L$37-1)),MIN(CQ$38,$E263),$P$20))-SUM($BF263:CP263))</f>
        <v>0</v>
      </c>
    </row>
    <row r="264" spans="1:95" s="446" customFormat="1" ht="11.25" hidden="1" customHeight="1" x14ac:dyDescent="0.2">
      <c r="A264" s="152"/>
      <c r="B264" s="153" t="str">
        <f t="shared" si="48"/>
        <v/>
      </c>
      <c r="C264" s="29" t="str">
        <f>IF(B264="","",IF($L$35="SELIC - TRIBUTOS",VLOOKUP(DATE(YEAR($D$19),MONTH($D$19)-1,1),ÍNDICES!$A:$DE,HLOOKUP($BL$25,ÍNDICES!$B$3:$T$4,2)+11)-VLOOKUP(B264,ÍNDICES!$A:$DE,HLOOKUP($BL$25,ÍNDICES!$B$3:$T$4,2)+11)+1%,IF(C$38=$W$26,$J$35,IF(ISERROR(IF(B264&gt;$D$19,1,VLOOKUP(DATE(YEAR(B264),MONTH(B264)+IF($C$35=$S$23,1,0),1),ÍNDICES!$A:$DE,$Z$35+1))),"",IF(B264&gt;$D$19,1,VLOOKUP(DATE(YEAR(B264),MONTH(B264)+IF($C$35=$S$23,1,0),1),ÍNDICES!$A:$DE,$Z$35+1))))))</f>
        <v/>
      </c>
      <c r="D264" s="154" t="str">
        <f>IF(ISERROR(IF(OR($D$38=$Y$27,$B264=""),"",VLOOKUP(B264,ÍNDICES!A:DE,AF$35+1))),"",IF(OR($D$38=$Y$27,$B264=""),"",VLOOKUP(B264,ÍNDICES!A:DE,AF$35+1)))</f>
        <v/>
      </c>
      <c r="E264" s="153"/>
      <c r="F264" s="29" t="str">
        <f>IF(E264="","",IF($L$35="SELIC - TRIBUTOS",VLOOKUP(DATE(YEAR($D$19),MONTH($D$19)-1,1),ÍNDICES!$A:$DE,HLOOKUP($BL$25,ÍNDICES!$B$3:$T$4,2)+11)-VLOOKUP(E264,ÍNDICES!$A:$DE,HLOOKUP($BL$25,ÍNDICES!$B$3:$T$4,2)+11)+1%,IF(F$38=$W$26,$J$35,IF(ISERROR(IF(E264&gt;$D$19,1,VLOOKUP(DATE(YEAR(E264),MONTH(E264)+IF($C$35=$S$23,1,0),1),ÍNDICES!$A:$DE,$Z$35+1))),"",IF(E264&gt;$D$19,1,VLOOKUP(DATE(YEAR(E264),MONTH(E264)+IF($C$35=$S$23,1,0),1),ÍNDICES!$A:$DE,$Z$35+1))))))</f>
        <v/>
      </c>
      <c r="G264" s="155"/>
      <c r="H264" s="156" t="str">
        <f t="shared" si="44"/>
        <v/>
      </c>
      <c r="I264" s="29" t="str">
        <f t="shared" si="38"/>
        <v/>
      </c>
      <c r="J264" s="5">
        <f t="shared" si="39"/>
        <v>0</v>
      </c>
      <c r="K264" s="20">
        <f t="shared" ca="1" si="40"/>
        <v>0</v>
      </c>
      <c r="L264" s="5">
        <f t="shared" ca="1" si="41"/>
        <v>0</v>
      </c>
      <c r="M264" s="64">
        <f t="shared" si="45"/>
        <v>0</v>
      </c>
      <c r="N264" s="61">
        <f t="shared" ca="1" si="46"/>
        <v>0</v>
      </c>
      <c r="O264" s="5">
        <f t="shared" ca="1" si="47"/>
        <v>0</v>
      </c>
      <c r="P264" s="446" t="e">
        <f t="shared" si="42"/>
        <v>#VALUE!</v>
      </c>
      <c r="Q264" s="446" t="e">
        <f>IF(OR($B264="",MIN(Q$38,$D$19)&lt;MAX($P$34*($B264+IF($R$17="Distrato",$I$38-1,0)),IF(AND($L$37=0,$P$34=0),"",$L$37-1),IF($R$17="Distrato",$E264,0))),0,YEARFRAC(MAX($P$34*($B264+IF($R$17="Distrato",$I$38-1,0)),IF(AND($L$37=0,$P$34=0),"",$L$37-1),IF($R$17="Distrato",$E264,0)),MIN(Q$38,$D$19),$P$20))-SUM($P264:P264)</f>
        <v>#VALUE!</v>
      </c>
      <c r="R264" s="446" t="e">
        <f>IF(OR($B264="",MIN(R$38,$D$19)&lt;MAX($P$34*($B264+IF($R$17="Distrato",$I$38-1,0)),IF(AND($L$37=0,$P$34=0),"",$L$37-1),IF($R$17="Distrato",$E264,0))),0,YEARFRAC(MAX($P$34*($B264+IF($R$17="Distrato",$I$38-1,0)),IF(AND($L$37=0,$P$34=0),"",$L$37-1),IF($R$17="Distrato",$E264,0)),MIN(R$38,$D$19),$P$20))-SUM($P264:Q264)</f>
        <v>#VALUE!</v>
      </c>
      <c r="S264" s="446" t="e">
        <f>IF(OR($B264="",MIN(S$38,$D$19)&lt;MAX($P$34*($B264+IF($R$17="Distrato",$I$38-1,0)),IF(AND($L$37=0,$P$34=0),"",$L$37-1),IF($R$17="Distrato",$E264,0))),0,YEARFRAC(MAX($P$34*($B264+IF($R$17="Distrato",$I$38-1,0)),IF(AND($L$37=0,$P$34=0),"",$L$37-1),IF($R$17="Distrato",$E264,0)),MIN(S$38,$D$19),$P$20))-SUM($P264:R264)</f>
        <v>#VALUE!</v>
      </c>
      <c r="T264" s="446" t="e">
        <f>IF(OR($B264="",MIN(T$38,$D$19)&lt;MAX($P$34*($B264+IF($R$17="Distrato",$I$38-1,0)),IF(AND($L$37=0,$P$34=0),"",$L$37-1),IF($R$17="Distrato",$E264,0))),0,YEARFRAC(MAX($P$34*($B264+IF($R$17="Distrato",$I$38-1,0)),IF(AND($L$37=0,$P$34=0),"",$L$37-1),IF($R$17="Distrato",$E264,0)),MIN(T$38,$D$19),$P$20))-SUM($P264:S264)</f>
        <v>#VALUE!</v>
      </c>
      <c r="U264" s="446" t="e">
        <f>IF(OR($B264="",MIN(U$38,$D$19)&lt;MAX($P$34*($B264+IF($R$17="Distrato",$I$38-1,0)),IF(AND($L$37=0,$P$34=0),"",$L$37-1),IF($R$17="Distrato",$E264,0))),0,YEARFRAC(MAX($P$34*($B264+IF($R$17="Distrato",$I$38-1,0)),IF(AND($L$37=0,$P$34=0),"",$L$37-1),IF($R$17="Distrato",$E264,0)),MIN(U$38,$D$19),$P$20))-SUM($P264:T264)</f>
        <v>#VALUE!</v>
      </c>
      <c r="V264" s="446" t="e">
        <f>IF(OR($B264="",MIN(V$38,$D$19)&lt;MAX($P$34*($B264+IF($R$17="Distrato",$I$38-1,0)),IF(AND($L$37=0,$P$34=0),"",$L$37-1),IF($R$17="Distrato",$E264,0))),0,YEARFRAC(MAX($P$34*($B264+IF($R$17="Distrato",$I$38-1,0)),IF(AND($L$37=0,$P$34=0),"",$L$37-1),IF($R$17="Distrato",$E264,0)),MIN(V$38,$D$19),$P$20))-SUM($P264:U264)</f>
        <v>#VALUE!</v>
      </c>
      <c r="W264" s="446" t="e">
        <f>IF(OR($B264="",MIN(W$38,$D$19)&lt;MAX($P$34*($B264+IF($R$17="Distrato",$I$38-1,0)),IF(AND($L$37=0,$P$34=0),"",$L$37-1),IF($R$17="Distrato",$E264,0))),0,YEARFRAC(MAX($P$34*($B264+IF($R$17="Distrato",$I$38-1,0)),IF(AND($L$37=0,$P$34=0),"",$L$37-1),IF($R$17="Distrato",$E264,0)),MIN(W$38,$D$19),$P$20))-SUM($P264:V264)</f>
        <v>#VALUE!</v>
      </c>
      <c r="X264" s="446" t="e">
        <f>IF(OR($B264="",MIN(X$38,$D$19)&lt;MAX($P$34*($B264+IF($R$17="Distrato",$I$38-1,0)),IF(AND($L$37=0,$P$34=0),"",$L$37-1),IF($R$17="Distrato",$E264,0))),0,YEARFRAC(MAX($P$34*($B264+IF($R$17="Distrato",$I$38-1,0)),IF(AND($L$37=0,$P$34=0),"",$L$37-1),IF($R$17="Distrato",$E264,0)),MIN(X$38,$D$19),$P$20))-SUM($P264:W264)</f>
        <v>#VALUE!</v>
      </c>
      <c r="Y264" s="446" t="e">
        <f>IF(OR($B264="",MIN(Y$38,$D$19)&lt;MAX($P$34*($B264+IF($R$17="Distrato",$I$38-1,0)),IF(AND($L$37=0,$P$34=0),"",$L$37-1),IF($R$17="Distrato",$E264,0))),0,YEARFRAC(MAX($P$34*($B264+IF($R$17="Distrato",$I$38-1,0)),IF(AND($L$37=0,$P$34=0),"",$L$37-1),IF($R$17="Distrato",$E264,0)),MIN(Y$38,$D$19),$P$20))-SUM($P264:X264)</f>
        <v>#VALUE!</v>
      </c>
      <c r="Z264" s="446" t="e">
        <f>IF(OR($B264="",MIN(Z$38,$D$19)&lt;MAX($P$34*($B264+IF($R$17="Distrato",$I$38-1,0)),IF(AND($L$37=0,$P$34=0),"",$L$37-1),IF($R$17="Distrato",$E264,0))),0,YEARFRAC(MAX($P$34*($B264+IF($R$17="Distrato",$I$38-1,0)),IF(AND($L$37=0,$P$34=0),"",$L$37-1),IF($R$17="Distrato",$E264,0)),MIN(Z$38,$D$19),$P$20))-SUM($P264:Y264)</f>
        <v>#VALUE!</v>
      </c>
      <c r="AA264" s="446" t="e">
        <f>IF(OR($B264="",MIN(AA$38,$D$19)&lt;MAX($P$34*($B264+IF($R$17="Distrato",$I$38-1,0)),IF(AND($L$37=0,$P$34=0),"",$L$37-1),IF($R$17="Distrato",$E264,0))),0,YEARFRAC(MAX($P$34*($B264+IF($R$17="Distrato",$I$38-1,0)),IF(AND($L$37=0,$P$34=0),"",$L$37-1),IF($R$17="Distrato",$E264,0)),MIN(AA$38,$D$19),$P$20))-SUM($P264:Z264)</f>
        <v>#VALUE!</v>
      </c>
      <c r="AB264" s="446" t="e">
        <f>IF(OR($B264="",MIN(AB$38,$D$19)&lt;MAX($P$34*($B264+IF($R$17="Distrato",$I$38-1,0)),IF(AND($L$37=0,$P$34=0),"",$L$37-1),IF($R$17="Distrato",$E264,0))),0,YEARFRAC(MAX($P$34*($B264+IF($R$17="Distrato",$I$38-1,0)),IF(AND($L$37=0,$P$34=0),"",$L$37-1),IF($R$17="Distrato",$E264,0)),MIN(AB$38,$D$19),$P$20))-SUM($P264:AA264)</f>
        <v>#VALUE!</v>
      </c>
      <c r="AC264" s="446" t="e">
        <f>IF(OR($B264="",MIN(AC$38,$D$19)&lt;MAX($P$34*($B264+IF($R$17="Distrato",$I$38-1,0)),IF(AND($L$37=0,$P$34=0),"",$L$37-1),IF($R$17="Distrato",$E264,0))),0,YEARFRAC(MAX($P$34*($B264+IF($R$17="Distrato",$I$38-1,0)),IF(AND($L$37=0,$P$34=0),"",$L$37-1),IF($R$17="Distrato",$E264,0)),MIN(AC$38,$D$19),$P$20))-SUM($P264:AB264)</f>
        <v>#VALUE!</v>
      </c>
      <c r="AD264" s="446" t="e">
        <f>IF(OR($B264="",MIN(AD$38,$D$19)&lt;MAX($P$34*($B264+IF($R$17="Distrato",$I$38-1,0)),IF(AND($L$37=0,$P$34=0),"",$L$37-1),IF($R$17="Distrato",$E264,0))),0,YEARFRAC(MAX($P$34*($B264+IF($R$17="Distrato",$I$38-1,0)),IF(AND($L$37=0,$P$34=0),"",$L$37-1),IF($R$17="Distrato",$E264,0)),MIN(AD$38,$D$19),$P$20))-SUM($P264:AC264)</f>
        <v>#VALUE!</v>
      </c>
      <c r="AE264" s="446" t="e">
        <f>IF(OR($B264="",MIN(AE$38,$D$19)&lt;MAX($P$34*($B264+IF($R$17="Distrato",$I$38-1,0)),IF(AND($L$37=0,$P$34=0),"",$L$37-1),IF($R$17="Distrato",$E264,0))),0,YEARFRAC(MAX($P$34*($B264+IF($R$17="Distrato",$I$38-1,0)),IF(AND($L$37=0,$P$34=0),"",$L$37-1),IF($R$17="Distrato",$E264,0)),MIN(AE$38,$D$19),$P$20))-SUM($P264:AD264)</f>
        <v>#VALUE!</v>
      </c>
      <c r="AF264" s="446" t="e">
        <f>IF(OR($B264="",MIN(AF$38,$D$19)&lt;MAX($P$34*($B264+IF($R$17="Distrato",$I$38-1,0)),IF(AND($L$37=0,$P$34=0),"",$L$37-1),IF($R$17="Distrato",$E264,0))),0,YEARFRAC(MAX($P$34*($B264+IF($R$17="Distrato",$I$38-1,0)),IF(AND($L$37=0,$P$34=0),"",$L$37-1),IF($R$17="Distrato",$E264,0)),MIN(AF$38,$D$19),$P$20))-SUM($P264:AE264)</f>
        <v>#VALUE!</v>
      </c>
      <c r="AG264" s="446" t="e">
        <f>IF(OR($B264="",MIN(AG$38,$D$19)&lt;MAX($P$34*($B264+IF($R$17="Distrato",$I$38-1,0)),IF(AND($L$37=0,$P$34=0),"",$L$37-1),IF($R$17="Distrato",$E264,0))),0,YEARFRAC(MAX($P$34*($B264+IF($R$17="Distrato",$I$38-1,0)),IF(AND($L$37=0,$P$34=0),"",$L$37-1),IF($R$17="Distrato",$E264,0)),MIN(AG$38,$D$19),$P$20))-SUM($P264:AF264)</f>
        <v>#VALUE!</v>
      </c>
      <c r="AH264" s="446" t="e">
        <f>IF(OR($B264="",MIN(AH$38,$D$19)&lt;MAX($P$34*($B264+IF($R$17="Distrato",$I$38-1,0)),IF(AND($L$37=0,$P$34=0),"",$L$37-1),IF($R$17="Distrato",$E264,0))),0,YEARFRAC(MAX($P$34*($B264+IF($R$17="Distrato",$I$38-1,0)),IF(AND($L$37=0,$P$34=0),"",$L$37-1),IF($R$17="Distrato",$E264,0)),MIN(AH$38,$D$19),$P$20))-SUM($P264:AG264)</f>
        <v>#VALUE!</v>
      </c>
      <c r="AI264" s="446" t="e">
        <f>IF(OR($B264="",MIN(AI$38,$D$19)&lt;MAX($P$34*($B264+IF($R$17="Distrato",$I$38-1,0)),IF(AND($L$37=0,$P$34=0),"",$L$37-1),IF($R$17="Distrato",$E264,0))),0,YEARFRAC(MAX($P$34*($B264+IF($R$17="Distrato",$I$38-1,0)),IF(AND($L$37=0,$P$34=0),"",$L$37-1),IF($R$17="Distrato",$E264,0)),MIN(AI$38,$D$19),$P$20))-SUM($P264:AH264)</f>
        <v>#VALUE!</v>
      </c>
      <c r="AJ264" s="446" t="e">
        <f>IF(OR($B264="",MIN(AJ$38,$D$19)&lt;MAX($P$34*($B264+IF($R$17="Distrato",$I$38-1,0)),IF(AND($L$37=0,$P$34=0),"",$L$37-1),IF($R$17="Distrato",$E264,0))),0,YEARFRAC(MAX($P$34*($B264+IF($R$17="Distrato",$I$38-1,0)),IF(AND($L$37=0,$P$34=0),"",$L$37-1),IF($R$17="Distrato",$E264,0)),MIN(AJ$38,$D$19),$P$20))-SUM($P264:AI264)</f>
        <v>#VALUE!</v>
      </c>
      <c r="AK264" s="446" t="e">
        <f>IF(OR($B264="",MIN(AK$38,$D$19)&lt;MAX($P$34*($B264+IF($R$17="Distrato",$I$38-1,0)),IF(AND($L$37=0,$P$34=0),"",$L$37-1),IF($R$17="Distrato",$E264,0))),0,YEARFRAC(MAX($P$34*($B264+IF($R$17="Distrato",$I$38-1,0)),IF(AND($L$37=0,$P$34=0),"",$L$37-1),IF($R$17="Distrato",$E264,0)),MIN(AK$38,$D$19),$P$20))-SUM($P264:AJ264)</f>
        <v>#VALUE!</v>
      </c>
      <c r="AL264" s="446" t="e">
        <f>IF(OR($B264="",MIN(AL$38,$D$19)&lt;MAX($P$34*($B264+IF($R$17="Distrato",$I$38-1,0)),IF(AND($L$37=0,$P$34=0),"",$L$37-1),IF($R$17="Distrato",$E264,0))),0,YEARFRAC(MAX($P$34*($B264+IF($R$17="Distrato",$I$38-1,0)),IF(AND($L$37=0,$P$34=0),"",$L$37-1),IF($R$17="Distrato",$E264,0)),MIN(AL$38,$D$19),$P$20))-SUM($P264:AK264)</f>
        <v>#VALUE!</v>
      </c>
      <c r="AM264" s="446" t="e">
        <f>IF(OR($B264="",MIN(AM$38,$D$19)&lt;MAX($P$34*($B264+IF($R$17="Distrato",$I$38-1,0)),IF(AND($L$37=0,$P$34=0),"",$L$37-1),IF($R$17="Distrato",$E264,0))),0,YEARFRAC(MAX($P$34*($B264+IF($R$17="Distrato",$I$38-1,0)),IF(AND($L$37=0,$P$34=0),"",$L$37-1),IF($R$17="Distrato",$E264,0)),MIN(AM$38,$D$19),$P$20))-SUM($P264:AL264)</f>
        <v>#VALUE!</v>
      </c>
      <c r="AN264" s="446" t="e">
        <f>IF(OR($B264="",MIN(AN$38,$D$19)&lt;MAX($P$34*($B264+IF($R$17="Distrato",$I$38-1,0)),IF(AND($L$37=0,$P$34=0),"",$L$37-1),IF($R$17="Distrato",$E264,0))),0,YEARFRAC(MAX($P$34*($B264+IF($R$17="Distrato",$I$38-1,0)),IF(AND($L$37=0,$P$34=0),"",$L$37-1),IF($R$17="Distrato",$E264,0)),MIN(AN$38,$D$19),$P$20))-SUM($P264:AM264)</f>
        <v>#VALUE!</v>
      </c>
      <c r="AO264" s="446" t="e">
        <f>IF(OR($B264="",MIN(AO$38,$D$19)&lt;MAX($P$34*($B264+IF($R$17="Distrato",$I$38-1,0)),IF(AND($L$37=0,$P$34=0),"",$L$37-1),IF($R$17="Distrato",$E264,0))),0,YEARFRAC(MAX($P$34*($B264+IF($R$17="Distrato",$I$38-1,0)),IF(AND($L$37=0,$P$34=0),"",$L$37-1),IF($R$17="Distrato",$E264,0)),MIN(AO$38,$D$19),$P$20))-SUM($P264:AN264)</f>
        <v>#VALUE!</v>
      </c>
      <c r="AP264" s="446" t="e">
        <f>IF(OR($B264="",MIN(AP$38,$D$19)&lt;MAX($P$34*($B264+IF($R$17="Distrato",$I$38-1,0)),IF(AND($L$37=0,$P$34=0),"",$L$37-1),IF($R$17="Distrato",$E264,0))),0,YEARFRAC(MAX($P$34*($B264+IF($R$17="Distrato",$I$38-1,0)),IF(AND($L$37=0,$P$34=0),"",$L$37-1),IF($R$17="Distrato",$E264,0)),MIN(AP$38,$D$19),$P$20))-SUM($P264:AO264)</f>
        <v>#VALUE!</v>
      </c>
      <c r="AQ264" s="446" t="e">
        <f>IF(OR($B264="",MIN(AQ$38,$D$19)&lt;MAX($P$34*($B264+IF($R$17="Distrato",$I$38-1,0)),IF(AND($L$37=0,$P$34=0),"",$L$37-1),IF($R$17="Distrato",$E264,0))),0,YEARFRAC(MAX($P$34*($B264+IF($R$17="Distrato",$I$38-1,0)),IF(AND($L$37=0,$P$34=0),"",$L$37-1),IF($R$17="Distrato",$E264,0)),MIN(AQ$38,$D$19),$P$20))-SUM($P264:AP264)</f>
        <v>#VALUE!</v>
      </c>
      <c r="AR264" s="446" t="e">
        <f>IF(OR($B264="",MIN(AR$38,$D$19)&lt;MAX($P$34*($B264+IF($R$17="Distrato",$I$38-1,0)),IF(AND($L$37=0,$P$34=0),"",$L$37-1),IF($R$17="Distrato",$E264,0))),0,YEARFRAC(MAX($P$34*($B264+IF($R$17="Distrato",$I$38-1,0)),IF(AND($L$37=0,$P$34=0),"",$L$37-1),IF($R$17="Distrato",$E264,0)),MIN(AR$38,$D$19),$P$20))-SUM($P264:AQ264)</f>
        <v>#VALUE!</v>
      </c>
      <c r="AS264" s="446" t="e">
        <f>IF(OR($B264="",MIN(AS$38,$D$19)&lt;MAX($P$34*($B264+IF($R$17="Distrato",$I$38-1,0)),IF(AND($L$37=0,$P$34=0),"",$L$37-1),IF($R$17="Distrato",$E264,0))),0,YEARFRAC(MAX($P$34*($B264+IF($R$17="Distrato",$I$38-1,0)),IF(AND($L$37=0,$P$34=0),"",$L$37-1),IF($R$17="Distrato",$E264,0)),MIN(AS$38,$D$19),$P$20))-SUM($P264:AR264)</f>
        <v>#VALUE!</v>
      </c>
      <c r="AT264" s="446" t="e">
        <f>IF(OR($B264="",MIN(AT$38,$D$19)&lt;MAX($P$34*($B264+IF($R$17="Distrato",$I$38-1,0)),IF(AND($L$37=0,$P$34=0),"",$L$37-1),IF($R$17="Distrato",$E264,0))),0,YEARFRAC(MAX($P$34*($B264+IF($R$17="Distrato",$I$38-1,0)),IF(AND($L$37=0,$P$34=0),"",$L$37-1),IF($R$17="Distrato",$E264,0)),MIN(AT$38,$D$19),$P$20))-SUM($P264:AS264)</f>
        <v>#VALUE!</v>
      </c>
      <c r="AU264" s="446" t="e">
        <f>IF(OR($B264="",MIN(AU$38,$D$19)&lt;MAX($P$34*($B264+IF($R$17="Distrato",$I$38-1,0)),IF(AND($L$37=0,$P$34=0),"",$L$37-1),IF($R$17="Distrato",$E264,0))),0,YEARFRAC(MAX($P$34*($B264+IF($R$17="Distrato",$I$38-1,0)),IF(AND($L$37=0,$P$34=0),"",$L$37-1),IF($R$17="Distrato",$E264,0)),MIN(AU$38,$D$19),$P$20))-SUM($P264:AT264)</f>
        <v>#VALUE!</v>
      </c>
      <c r="AV264" s="446" t="e">
        <f>IF(OR($B264="",MIN(AV$38,$D$19)&lt;MAX($P$34*($B264+IF($R$17="Distrato",$I$38-1,0)),IF(AND($L$37=0,$P$34=0),"",$L$37-1),IF($R$17="Distrato",$E264,0))),0,YEARFRAC(MAX($P$34*($B264+IF($R$17="Distrato",$I$38-1,0)),IF(AND($L$37=0,$P$34=0),"",$L$37-1),IF($R$17="Distrato",$E264,0)),MIN(AV$38,$D$19),$P$20))-SUM($P264:AU264)</f>
        <v>#VALUE!</v>
      </c>
      <c r="AW264" s="446" t="e">
        <f>IF(OR($B264="",MIN(AW$38,$D$19)&lt;MAX($P$34*($B264+IF($R$17="Distrato",$I$38-1,0)),IF(AND($L$37=0,$P$34=0),"",$L$37-1),IF($R$17="Distrato",$E264,0))),0,YEARFRAC(MAX($P$34*($B264+IF($R$17="Distrato",$I$38-1,0)),IF(AND($L$37=0,$P$34=0),"",$L$37-1),IF($R$17="Distrato",$E264,0)),MIN(AW$38,$D$19),$P$20))-SUM($P264:AV264)</f>
        <v>#VALUE!</v>
      </c>
      <c r="AX264" s="446" t="e">
        <f>IF(OR($B264="",MIN(AX$38,$D$19)&lt;MAX($P$34*($B264+IF($R$17="Distrato",$I$38-1,0)),IF(AND($L$37=0,$P$34=0),"",$L$37-1),IF($R$17="Distrato",$E264,0))),0,YEARFRAC(MAX($P$34*($B264+IF($R$17="Distrato",$I$38-1,0)),IF(AND($L$37=0,$P$34=0),"",$L$37-1),IF($R$17="Distrato",$E264,0)),MIN(AX$38,$D$19),$P$20))-SUM($P264:AW264)</f>
        <v>#VALUE!</v>
      </c>
      <c r="AY264" s="446" t="e">
        <f>IF(OR($B264="",MIN(AY$38,$D$19)&lt;MAX($P$34*($B264+IF($R$17="Distrato",$I$38-1,0)),IF(AND($L$37=0,$P$34=0),"",$L$37-1),IF($R$17="Distrato",$E264,0))),0,YEARFRAC(MAX($P$34*($B264+IF($R$17="Distrato",$I$38-1,0)),IF(AND($L$37=0,$P$34=0),"",$L$37-1),IF($R$17="Distrato",$E264,0)),MIN(AY$38,$D$19),$P$20))-SUM($P264:AX264)</f>
        <v>#VALUE!</v>
      </c>
      <c r="AZ264" s="446" t="e">
        <f>IF(OR($B264="",MIN(AZ$38,$D$19)&lt;MAX($P$34*($B264+IF($R$17="Distrato",$I$38-1,0)),IF(AND($L$37=0,$P$34=0),"",$L$37-1),IF($R$17="Distrato",$E264,0))),0,YEARFRAC(MAX($P$34*($B264+IF($R$17="Distrato",$I$38-1,0)),IF(AND($L$37=0,$P$34=0),"",$L$37-1),IF($R$17="Distrato",$E264,0)),MIN(AZ$38,$D$19),$P$20))-SUM($P264:AY264)</f>
        <v>#VALUE!</v>
      </c>
      <c r="BA264" s="446" t="e">
        <f>IF(OR($B264="",MIN(BA$38,$D$19)&lt;MAX($P$34*($B264+IF($R$17="Distrato",$I$38-1,0)),IF(AND($L$37=0,$P$34=0),"",$L$37-1),IF($R$17="Distrato",$E264,0))),0,YEARFRAC(MAX($P$34*($B264+IF($R$17="Distrato",$I$38-1,0)),IF(AND($L$37=0,$P$34=0),"",$L$37-1),IF($R$17="Distrato",$E264,0)),MIN(BA$38,$D$19),$P$20))-SUM($P264:AZ264)</f>
        <v>#VALUE!</v>
      </c>
      <c r="BB264" s="447"/>
      <c r="BF264" s="446">
        <f t="shared" si="43"/>
        <v>0</v>
      </c>
      <c r="BG264" s="446">
        <f>IF($E264=0,0,IF(MIN(BG$38,$E264)&lt;MAX($P$34*($B264+$I$38-1),IF(AND($L$37=0,$P$34=0),"",$L$37-1)),0,YEARFRAC(MAX($P$34*($B264+$I$38-1),IF(AND($L$37=0,$P$34=0),"",$L$37-1)),MIN(BG$38,$E264),$P$20))-SUM($BF264:BF264))</f>
        <v>0</v>
      </c>
      <c r="BH264" s="446">
        <f>IF($E264=0,0,IF(MIN(BH$38,$E264)&lt;MAX($P$34*($B264+$I$38-1),IF(AND($L$37=0,$P$34=0),"",$L$37-1)),0,YEARFRAC(MAX($P$34*($B264+$I$38-1),IF(AND($L$37=0,$P$34=0),"",$L$37-1)),MIN(BH$38,$E264),$P$20))-SUM($BF264:BG264))</f>
        <v>0</v>
      </c>
      <c r="BI264" s="446">
        <f>IF($E264=0,0,IF(MIN(BI$38,$E264)&lt;MAX($P$34*($B264+$I$38-1),IF(AND($L$37=0,$P$34=0),"",$L$37-1)),0,YEARFRAC(MAX($P$34*($B264+$I$38-1),IF(AND($L$37=0,$P$34=0),"",$L$37-1)),MIN(BI$38,$E264),$P$20))-SUM($BF264:BH264))</f>
        <v>0</v>
      </c>
      <c r="BJ264" s="446">
        <f>IF($E264=0,0,IF(MIN(BJ$38,$E264)&lt;MAX($P$34*($B264+$I$38-1),IF(AND($L$37=0,$P$34=0),"",$L$37-1)),0,YEARFRAC(MAX($P$34*($B264+$I$38-1),IF(AND($L$37=0,$P$34=0),"",$L$37-1)),MIN(BJ$38,$E264),$P$20))-SUM($BF264:BI264))</f>
        <v>0</v>
      </c>
      <c r="BK264" s="446">
        <f>IF($E264=0,0,IF(MIN(BK$38,$E264)&lt;MAX($P$34*($B264+$I$38-1),IF(AND($L$37=0,$P$34=0),"",$L$37-1)),0,YEARFRAC(MAX($P$34*($B264+$I$38-1),IF(AND($L$37=0,$P$34=0),"",$L$37-1)),MIN(BK$38,$E264),$P$20))-SUM($BF264:BJ264))</f>
        <v>0</v>
      </c>
      <c r="BL264" s="446">
        <f>IF($E264=0,0,IF(MIN(BL$38,$E264)&lt;MAX($P$34*($B264+$I$38-1),IF(AND($L$37=0,$P$34=0),"",$L$37-1)),0,YEARFRAC(MAX($P$34*($B264+$I$38-1),IF(AND($L$37=0,$P$34=0),"",$L$37-1)),MIN(BL$38,$E264),$P$20))-SUM($BF264:BK264))</f>
        <v>0</v>
      </c>
      <c r="BM264" s="446">
        <f>IF($E264=0,0,IF(MIN(BM$38,$E264)&lt;MAX($P$34*($B264+$I$38-1),IF(AND($L$37=0,$P$34=0),"",$L$37-1)),0,YEARFRAC(MAX($P$34*($B264+$I$38-1),IF(AND($L$37=0,$P$34=0),"",$L$37-1)),MIN(BM$38,$E264),$P$20))-SUM($BF264:BL264))</f>
        <v>0</v>
      </c>
      <c r="BN264" s="446">
        <f>IF($E264=0,0,IF(MIN(BN$38,$E264)&lt;MAX($P$34*($B264+$I$38-1),IF(AND($L$37=0,$P$34=0),"",$L$37-1)),0,YEARFRAC(MAX($P$34*($B264+$I$38-1),IF(AND($L$37=0,$P$34=0),"",$L$37-1)),MIN(BN$38,$E264),$P$20))-SUM($BF264:BM264))</f>
        <v>0</v>
      </c>
      <c r="BO264" s="446">
        <f>IF($E264=0,0,IF(MIN(BO$38,$E264)&lt;MAX($P$34*($B264+$I$38-1),IF(AND($L$37=0,$P$34=0),"",$L$37-1)),0,YEARFRAC(MAX($P$34*($B264+$I$38-1),IF(AND($L$37=0,$P$34=0),"",$L$37-1)),MIN(BO$38,$E264),$P$20))-SUM($BF264:BN264))</f>
        <v>0</v>
      </c>
      <c r="BP264" s="446">
        <f>IF($E264=0,0,IF(MIN(BP$38,$E264)&lt;MAX($P$34*($B264+$I$38-1),IF(AND($L$37=0,$P$34=0),"",$L$37-1)),0,YEARFRAC(MAX($P$34*($B264+$I$38-1),IF(AND($L$37=0,$P$34=0),"",$L$37-1)),MIN(BP$38,$E264),$P$20))-SUM($BF264:BO264))</f>
        <v>0</v>
      </c>
      <c r="BQ264" s="446">
        <f>IF($E264=0,0,IF(MIN(BQ$38,$E264)&lt;MAX($P$34*($B264+$I$38-1),IF(AND($L$37=0,$P$34=0),"",$L$37-1)),0,YEARFRAC(MAX($P$34*($B264+$I$38-1),IF(AND($L$37=0,$P$34=0),"",$L$37-1)),MIN(BQ$38,$E264),$P$20))-SUM($BF264:BP264))</f>
        <v>0</v>
      </c>
      <c r="BR264" s="446">
        <f>IF($E264=0,0,IF(MIN(BR$38,$E264)&lt;MAX($P$34*($B264+$I$38-1),IF(AND($L$37=0,$P$34=0),"",$L$37-1)),0,YEARFRAC(MAX($P$34*($B264+$I$38-1),IF(AND($L$37=0,$P$34=0),"",$L$37-1)),MIN(BR$38,$E264),$P$20))-SUM($BF264:BQ264))</f>
        <v>0</v>
      </c>
      <c r="BS264" s="446">
        <f>IF($E264=0,0,IF(MIN(BS$38,$E264)&lt;MAX($P$34*($B264+$I$38-1),IF(AND($L$37=0,$P$34=0),"",$L$37-1)),0,YEARFRAC(MAX($P$34*($B264+$I$38-1),IF(AND($L$37=0,$P$34=0),"",$L$37-1)),MIN(BS$38,$E264),$P$20))-SUM($BF264:BR264))</f>
        <v>0</v>
      </c>
      <c r="BT264" s="446">
        <f>IF($E264=0,0,IF(MIN(BT$38,$E264)&lt;MAX($P$34*($B264+$I$38-1),IF(AND($L$37=0,$P$34=0),"",$L$37-1)),0,YEARFRAC(MAX($P$34*($B264+$I$38-1),IF(AND($L$37=0,$P$34=0),"",$L$37-1)),MIN(BT$38,$E264),$P$20))-SUM($BF264:BS264))</f>
        <v>0</v>
      </c>
      <c r="BU264" s="446">
        <f>IF($E264=0,0,IF(MIN(BU$38,$E264)&lt;MAX($P$34*($B264+$I$38-1),IF(AND($L$37=0,$P$34=0),"",$L$37-1)),0,YEARFRAC(MAX($P$34*($B264+$I$38-1),IF(AND($L$37=0,$P$34=0),"",$L$37-1)),MIN(BU$38,$E264),$P$20))-SUM($BF264:BT264))</f>
        <v>0</v>
      </c>
      <c r="BV264" s="446">
        <f>IF($E264=0,0,IF(MIN(BV$38,$E264)&lt;MAX($P$34*($B264+$I$38-1),IF(AND($L$37=0,$P$34=0),"",$L$37-1)),0,YEARFRAC(MAX($P$34*($B264+$I$38-1),IF(AND($L$37=0,$P$34=0),"",$L$37-1)),MIN(BV$38,$E264),$P$20))-SUM($BF264:BU264))</f>
        <v>0</v>
      </c>
      <c r="BW264" s="446">
        <f>IF($E264=0,0,IF(MIN(BW$38,$E264)&lt;MAX($P$34*($B264+$I$38-1),IF(AND($L$37=0,$P$34=0),"",$L$37-1)),0,YEARFRAC(MAX($P$34*($B264+$I$38-1),IF(AND($L$37=0,$P$34=0),"",$L$37-1)),MIN(BW$38,$E264),$P$20))-SUM($BF264:BV264))</f>
        <v>0</v>
      </c>
      <c r="BX264" s="446">
        <f>IF($E264=0,0,IF(MIN(BX$38,$E264)&lt;MAX($P$34*($B264+$I$38-1),IF(AND($L$37=0,$P$34=0),"",$L$37-1)),0,YEARFRAC(MAX($P$34*($B264+$I$38-1),IF(AND($L$37=0,$P$34=0),"",$L$37-1)),MIN(BX$38,$E264),$P$20))-SUM($BF264:BW264))</f>
        <v>0</v>
      </c>
      <c r="BY264" s="446">
        <f>IF($E264=0,0,IF(MIN(BY$38,$E264)&lt;MAX($P$34*($B264+$I$38-1),IF(AND($L$37=0,$P$34=0),"",$L$37-1)),0,YEARFRAC(MAX($P$34*($B264+$I$38-1),IF(AND($L$37=0,$P$34=0),"",$L$37-1)),MIN(BY$38,$E264),$P$20))-SUM($BF264:BX264))</f>
        <v>0</v>
      </c>
      <c r="BZ264" s="446">
        <f>IF($E264=0,0,IF(MIN(BZ$38,$E264)&lt;MAX($P$34*($B264+$I$38-1),IF(AND($L$37=0,$P$34=0),"",$L$37-1)),0,YEARFRAC(MAX($P$34*($B264+$I$38-1),IF(AND($L$37=0,$P$34=0),"",$L$37-1)),MIN(BZ$38,$E264),$P$20))-SUM($BF264:BY264))</f>
        <v>0</v>
      </c>
      <c r="CA264" s="446">
        <f>IF($E264=0,0,IF(MIN(CA$38,$E264)&lt;MAX($P$34*($B264+$I$38-1),IF(AND($L$37=0,$P$34=0),"",$L$37-1)),0,YEARFRAC(MAX($P$34*($B264+$I$38-1),IF(AND($L$37=0,$P$34=0),"",$L$37-1)),MIN(CA$38,$E264),$P$20))-SUM($BF264:BZ264))</f>
        <v>0</v>
      </c>
      <c r="CB264" s="446">
        <f>IF($E264=0,0,IF(MIN(CB$38,$E264)&lt;MAX($P$34*($B264+$I$38-1),IF(AND($L$37=0,$P$34=0),"",$L$37-1)),0,YEARFRAC(MAX($P$34*($B264+$I$38-1),IF(AND($L$37=0,$P$34=0),"",$L$37-1)),MIN(CB$38,$E264),$P$20))-SUM($BF264:CA264))</f>
        <v>0</v>
      </c>
      <c r="CC264" s="446">
        <f>IF($E264=0,0,IF(MIN(CC$38,$E264)&lt;MAX($P$34*($B264+$I$38-1),IF(AND($L$37=0,$P$34=0),"",$L$37-1)),0,YEARFRAC(MAX($P$34*($B264+$I$38-1),IF(AND($L$37=0,$P$34=0),"",$L$37-1)),MIN(CC$38,$E264),$P$20))-SUM($BF264:CB264))</f>
        <v>0</v>
      </c>
      <c r="CD264" s="446">
        <f>IF($E264=0,0,IF(MIN(CD$38,$E264)&lt;MAX($P$34*($B264+$I$38-1),IF(AND($L$37=0,$P$34=0),"",$L$37-1)),0,YEARFRAC(MAX($P$34*($B264+$I$38-1),IF(AND($L$37=0,$P$34=0),"",$L$37-1)),MIN(CD$38,$E264),$P$20))-SUM($BF264:CC264))</f>
        <v>0</v>
      </c>
      <c r="CE264" s="446">
        <f>IF($E264=0,0,IF(MIN(CE$38,$E264)&lt;MAX($P$34*($B264+$I$38-1),IF(AND($L$37=0,$P$34=0),"",$L$37-1)),0,YEARFRAC(MAX($P$34*($B264+$I$38-1),IF(AND($L$37=0,$P$34=0),"",$L$37-1)),MIN(CE$38,$E264),$P$20))-SUM($BF264:CD264))</f>
        <v>0</v>
      </c>
      <c r="CF264" s="446">
        <f>IF($E264=0,0,IF(MIN(CF$38,$E264)&lt;MAX($P$34*($B264+$I$38-1),IF(AND($L$37=0,$P$34=0),"",$L$37-1)),0,YEARFRAC(MAX($P$34*($B264+$I$38-1),IF(AND($L$37=0,$P$34=0),"",$L$37-1)),MIN(CF$38,$E264),$P$20))-SUM($BF264:CE264))</f>
        <v>0</v>
      </c>
      <c r="CG264" s="446">
        <f>IF($E264=0,0,IF(MIN(CG$38,$E264)&lt;MAX($P$34*($B264+$I$38-1),IF(AND($L$37=0,$P$34=0),"",$L$37-1)),0,YEARFRAC(MAX($P$34*($B264+$I$38-1),IF(AND($L$37=0,$P$34=0),"",$L$37-1)),MIN(CG$38,$E264),$P$20))-SUM($BF264:CF264))</f>
        <v>0</v>
      </c>
      <c r="CH264" s="446">
        <f>IF($E264=0,0,IF(MIN(CH$38,$E264)&lt;MAX($P$34*($B264+$I$38-1),IF(AND($L$37=0,$P$34=0),"",$L$37-1)),0,YEARFRAC(MAX($P$34*($B264+$I$38-1),IF(AND($L$37=0,$P$34=0),"",$L$37-1)),MIN(CH$38,$E264),$P$20))-SUM($BF264:CG264))</f>
        <v>0</v>
      </c>
      <c r="CI264" s="446">
        <f>IF($E264=0,0,IF(MIN(CI$38,$E264)&lt;MAX($P$34*($B264+$I$38-1),IF(AND($L$37=0,$P$34=0),"",$L$37-1)),0,YEARFRAC(MAX($P$34*($B264+$I$38-1),IF(AND($L$37=0,$P$34=0),"",$L$37-1)),MIN(CI$38,$E264),$P$20))-SUM($BF264:CH264))</f>
        <v>0</v>
      </c>
      <c r="CJ264" s="446">
        <f>IF($E264=0,0,IF(MIN(CJ$38,$E264)&lt;MAX($P$34*($B264+$I$38-1),IF(AND($L$37=0,$P$34=0),"",$L$37-1)),0,YEARFRAC(MAX($P$34*($B264+$I$38-1),IF(AND($L$37=0,$P$34=0),"",$L$37-1)),MIN(CJ$38,$E264),$P$20))-SUM($BF264:CI264))</f>
        <v>0</v>
      </c>
      <c r="CK264" s="446">
        <f>IF($E264=0,0,IF(MIN(CK$38,$E264)&lt;MAX($P$34*($B264+$I$38-1),IF(AND($L$37=0,$P$34=0),"",$L$37-1)),0,YEARFRAC(MAX($P$34*($B264+$I$38-1),IF(AND($L$37=0,$P$34=0),"",$L$37-1)),MIN(CK$38,$E264),$P$20))-SUM($BF264:CJ264))</f>
        <v>0</v>
      </c>
      <c r="CL264" s="446">
        <f>IF($E264=0,0,IF(MIN(CL$38,$E264)&lt;MAX($P$34*($B264+$I$38-1),IF(AND($L$37=0,$P$34=0),"",$L$37-1)),0,YEARFRAC(MAX($P$34*($B264+$I$38-1),IF(AND($L$37=0,$P$34=0),"",$L$37-1)),MIN(CL$38,$E264),$P$20))-SUM($BF264:CK264))</f>
        <v>0</v>
      </c>
      <c r="CM264" s="446">
        <f>IF($E264=0,0,IF(MIN(CM$38,$E264)&lt;MAX($P$34*($B264+$I$38-1),IF(AND($L$37=0,$P$34=0),"",$L$37-1)),0,YEARFRAC(MAX($P$34*($B264+$I$38-1),IF(AND($L$37=0,$P$34=0),"",$L$37-1)),MIN(CM$38,$E264),$P$20))-SUM($BF264:CL264))</f>
        <v>0</v>
      </c>
      <c r="CN264" s="446">
        <f>IF($E264=0,0,IF(MIN(CN$38,$E264)&lt;MAX($P$34*($B264+$I$38-1),IF(AND($L$37=0,$P$34=0),"",$L$37-1)),0,YEARFRAC(MAX($P$34*($B264+$I$38-1),IF(AND($L$37=0,$P$34=0),"",$L$37-1)),MIN(CN$38,$E264),$P$20))-SUM($BF264:CM264))</f>
        <v>0</v>
      </c>
      <c r="CO264" s="446">
        <f>IF($E264=0,0,IF(MIN(CO$38,$E264)&lt;MAX($P$34*($B264+$I$38-1),IF(AND($L$37=0,$P$34=0),"",$L$37-1)),0,YEARFRAC(MAX($P$34*($B264+$I$38-1),IF(AND($L$37=0,$P$34=0),"",$L$37-1)),MIN(CO$38,$E264),$P$20))-SUM($BF264:CN264))</f>
        <v>0</v>
      </c>
      <c r="CP264" s="446">
        <f>IF($E264=0,0,IF(MIN(CP$38,$E264)&lt;MAX($P$34*($B264+$I$38-1),IF(AND($L$37=0,$P$34=0),"",$L$37-1)),0,YEARFRAC(MAX($P$34*($B264+$I$38-1),IF(AND($L$37=0,$P$34=0),"",$L$37-1)),MIN(CP$38,$E264),$P$20))-SUM($BF264:CO264))</f>
        <v>0</v>
      </c>
      <c r="CQ264" s="446">
        <f>IF($E264=0,0,IF(MIN(CQ$38,$E264)&lt;MAX($P$34*($B264+$I$38-1),IF(AND($L$37=0,$P$34=0),"",$L$37-1)),0,YEARFRAC(MAX($P$34*($B264+$I$38-1),IF(AND($L$37=0,$P$34=0),"",$L$37-1)),MIN(CQ$38,$E264),$P$20))-SUM($BF264:CP264))</f>
        <v>0</v>
      </c>
    </row>
    <row r="265" spans="1:95" s="446" customFormat="1" ht="11.25" hidden="1" customHeight="1" x14ac:dyDescent="0.2">
      <c r="A265" s="152"/>
      <c r="B265" s="153" t="str">
        <f t="shared" si="48"/>
        <v/>
      </c>
      <c r="C265" s="29" t="str">
        <f>IF(B265="","",IF($L$35="SELIC - TRIBUTOS",VLOOKUP(DATE(YEAR($D$19),MONTH($D$19)-1,1),ÍNDICES!$A:$DE,HLOOKUP($BL$25,ÍNDICES!$B$3:$T$4,2)+11)-VLOOKUP(B265,ÍNDICES!$A:$DE,HLOOKUP($BL$25,ÍNDICES!$B$3:$T$4,2)+11)+1%,IF(C$38=$W$26,$J$35,IF(ISERROR(IF(B265&gt;$D$19,1,VLOOKUP(DATE(YEAR(B265),MONTH(B265)+IF($C$35=$S$23,1,0),1),ÍNDICES!$A:$DE,$Z$35+1))),"",IF(B265&gt;$D$19,1,VLOOKUP(DATE(YEAR(B265),MONTH(B265)+IF($C$35=$S$23,1,0),1),ÍNDICES!$A:$DE,$Z$35+1))))))</f>
        <v/>
      </c>
      <c r="D265" s="154" t="str">
        <f>IF(ISERROR(IF(OR($D$38=$Y$27,$B265=""),"",VLOOKUP(B265,ÍNDICES!A:DE,AF$35+1))),"",IF(OR($D$38=$Y$27,$B265=""),"",VLOOKUP(B265,ÍNDICES!A:DE,AF$35+1)))</f>
        <v/>
      </c>
      <c r="E265" s="153"/>
      <c r="F265" s="29" t="str">
        <f>IF(E265="","",IF($L$35="SELIC - TRIBUTOS",VLOOKUP(DATE(YEAR($D$19),MONTH($D$19)-1,1),ÍNDICES!$A:$DE,HLOOKUP($BL$25,ÍNDICES!$B$3:$T$4,2)+11)-VLOOKUP(E265,ÍNDICES!$A:$DE,HLOOKUP($BL$25,ÍNDICES!$B$3:$T$4,2)+11)+1%,IF(F$38=$W$26,$J$35,IF(ISERROR(IF(E265&gt;$D$19,1,VLOOKUP(DATE(YEAR(E265),MONTH(E265)+IF($C$35=$S$23,1,0),1),ÍNDICES!$A:$DE,$Z$35+1))),"",IF(E265&gt;$D$19,1,VLOOKUP(DATE(YEAR(E265),MONTH(E265)+IF($C$35=$S$23,1,0),1),ÍNDICES!$A:$DE,$Z$35+1))))))</f>
        <v/>
      </c>
      <c r="G265" s="155"/>
      <c r="H265" s="156" t="str">
        <f t="shared" si="44"/>
        <v/>
      </c>
      <c r="I265" s="29" t="str">
        <f t="shared" si="38"/>
        <v/>
      </c>
      <c r="J265" s="5">
        <f t="shared" si="39"/>
        <v>0</v>
      </c>
      <c r="K265" s="20">
        <f t="shared" ca="1" si="40"/>
        <v>0</v>
      </c>
      <c r="L265" s="5">
        <f t="shared" ca="1" si="41"/>
        <v>0</v>
      </c>
      <c r="M265" s="64">
        <f t="shared" si="45"/>
        <v>0</v>
      </c>
      <c r="N265" s="61">
        <f t="shared" ca="1" si="46"/>
        <v>0</v>
      </c>
      <c r="O265" s="5">
        <f t="shared" ca="1" si="47"/>
        <v>0</v>
      </c>
      <c r="P265" s="446" t="e">
        <f t="shared" si="42"/>
        <v>#VALUE!</v>
      </c>
      <c r="Q265" s="446" t="e">
        <f>IF(OR($B265="",MIN(Q$38,$D$19)&lt;MAX($P$34*($B265+IF($R$17="Distrato",$I$38-1,0)),IF(AND($L$37=0,$P$34=0),"",$L$37-1),IF($R$17="Distrato",$E265,0))),0,YEARFRAC(MAX($P$34*($B265+IF($R$17="Distrato",$I$38-1,0)),IF(AND($L$37=0,$P$34=0),"",$L$37-1),IF($R$17="Distrato",$E265,0)),MIN(Q$38,$D$19),$P$20))-SUM($P265:P265)</f>
        <v>#VALUE!</v>
      </c>
      <c r="R265" s="446" t="e">
        <f>IF(OR($B265="",MIN(R$38,$D$19)&lt;MAX($P$34*($B265+IF($R$17="Distrato",$I$38-1,0)),IF(AND($L$37=0,$P$34=0),"",$L$37-1),IF($R$17="Distrato",$E265,0))),0,YEARFRAC(MAX($P$34*($B265+IF($R$17="Distrato",$I$38-1,0)),IF(AND($L$37=0,$P$34=0),"",$L$37-1),IF($R$17="Distrato",$E265,0)),MIN(R$38,$D$19),$P$20))-SUM($P265:Q265)</f>
        <v>#VALUE!</v>
      </c>
      <c r="S265" s="446" t="e">
        <f>IF(OR($B265="",MIN(S$38,$D$19)&lt;MAX($P$34*($B265+IF($R$17="Distrato",$I$38-1,0)),IF(AND($L$37=0,$P$34=0),"",$L$37-1),IF($R$17="Distrato",$E265,0))),0,YEARFRAC(MAX($P$34*($B265+IF($R$17="Distrato",$I$38-1,0)),IF(AND($L$37=0,$P$34=0),"",$L$37-1),IF($R$17="Distrato",$E265,0)),MIN(S$38,$D$19),$P$20))-SUM($P265:R265)</f>
        <v>#VALUE!</v>
      </c>
      <c r="T265" s="446" t="e">
        <f>IF(OR($B265="",MIN(T$38,$D$19)&lt;MAX($P$34*($B265+IF($R$17="Distrato",$I$38-1,0)),IF(AND($L$37=0,$P$34=0),"",$L$37-1),IF($R$17="Distrato",$E265,0))),0,YEARFRAC(MAX($P$34*($B265+IF($R$17="Distrato",$I$38-1,0)),IF(AND($L$37=0,$P$34=0),"",$L$37-1),IF($R$17="Distrato",$E265,0)),MIN(T$38,$D$19),$P$20))-SUM($P265:S265)</f>
        <v>#VALUE!</v>
      </c>
      <c r="U265" s="446" t="e">
        <f>IF(OR($B265="",MIN(U$38,$D$19)&lt;MAX($P$34*($B265+IF($R$17="Distrato",$I$38-1,0)),IF(AND($L$37=0,$P$34=0),"",$L$37-1),IF($R$17="Distrato",$E265,0))),0,YEARFRAC(MAX($P$34*($B265+IF($R$17="Distrato",$I$38-1,0)),IF(AND($L$37=0,$P$34=0),"",$L$37-1),IF($R$17="Distrato",$E265,0)),MIN(U$38,$D$19),$P$20))-SUM($P265:T265)</f>
        <v>#VALUE!</v>
      </c>
      <c r="V265" s="446" t="e">
        <f>IF(OR($B265="",MIN(V$38,$D$19)&lt;MAX($P$34*($B265+IF($R$17="Distrato",$I$38-1,0)),IF(AND($L$37=0,$P$34=0),"",$L$37-1),IF($R$17="Distrato",$E265,0))),0,YEARFRAC(MAX($P$34*($B265+IF($R$17="Distrato",$I$38-1,0)),IF(AND($L$37=0,$P$34=0),"",$L$37-1),IF($R$17="Distrato",$E265,0)),MIN(V$38,$D$19),$P$20))-SUM($P265:U265)</f>
        <v>#VALUE!</v>
      </c>
      <c r="W265" s="446" t="e">
        <f>IF(OR($B265="",MIN(W$38,$D$19)&lt;MAX($P$34*($B265+IF($R$17="Distrato",$I$38-1,0)),IF(AND($L$37=0,$P$34=0),"",$L$37-1),IF($R$17="Distrato",$E265,0))),0,YEARFRAC(MAX($P$34*($B265+IF($R$17="Distrato",$I$38-1,0)),IF(AND($L$37=0,$P$34=0),"",$L$37-1),IF($R$17="Distrato",$E265,0)),MIN(W$38,$D$19),$P$20))-SUM($P265:V265)</f>
        <v>#VALUE!</v>
      </c>
      <c r="X265" s="446" t="e">
        <f>IF(OR($B265="",MIN(X$38,$D$19)&lt;MAX($P$34*($B265+IF($R$17="Distrato",$I$38-1,0)),IF(AND($L$37=0,$P$34=0),"",$L$37-1),IF($R$17="Distrato",$E265,0))),0,YEARFRAC(MAX($P$34*($B265+IF($R$17="Distrato",$I$38-1,0)),IF(AND($L$37=0,$P$34=0),"",$L$37-1),IF($R$17="Distrato",$E265,0)),MIN(X$38,$D$19),$P$20))-SUM($P265:W265)</f>
        <v>#VALUE!</v>
      </c>
      <c r="Y265" s="446" t="e">
        <f>IF(OR($B265="",MIN(Y$38,$D$19)&lt;MAX($P$34*($B265+IF($R$17="Distrato",$I$38-1,0)),IF(AND($L$37=0,$P$34=0),"",$L$37-1),IF($R$17="Distrato",$E265,0))),0,YEARFRAC(MAX($P$34*($B265+IF($R$17="Distrato",$I$38-1,0)),IF(AND($L$37=0,$P$34=0),"",$L$37-1),IF($R$17="Distrato",$E265,0)),MIN(Y$38,$D$19),$P$20))-SUM($P265:X265)</f>
        <v>#VALUE!</v>
      </c>
      <c r="Z265" s="446" t="e">
        <f>IF(OR($B265="",MIN(Z$38,$D$19)&lt;MAX($P$34*($B265+IF($R$17="Distrato",$I$38-1,0)),IF(AND($L$37=0,$P$34=0),"",$L$37-1),IF($R$17="Distrato",$E265,0))),0,YEARFRAC(MAX($P$34*($B265+IF($R$17="Distrato",$I$38-1,0)),IF(AND($L$37=0,$P$34=0),"",$L$37-1),IF($R$17="Distrato",$E265,0)),MIN(Z$38,$D$19),$P$20))-SUM($P265:Y265)</f>
        <v>#VALUE!</v>
      </c>
      <c r="AA265" s="446" t="e">
        <f>IF(OR($B265="",MIN(AA$38,$D$19)&lt;MAX($P$34*($B265+IF($R$17="Distrato",$I$38-1,0)),IF(AND($L$37=0,$P$34=0),"",$L$37-1),IF($R$17="Distrato",$E265,0))),0,YEARFRAC(MAX($P$34*($B265+IF($R$17="Distrato",$I$38-1,0)),IF(AND($L$37=0,$P$34=0),"",$L$37-1),IF($R$17="Distrato",$E265,0)),MIN(AA$38,$D$19),$P$20))-SUM($P265:Z265)</f>
        <v>#VALUE!</v>
      </c>
      <c r="AB265" s="446" t="e">
        <f>IF(OR($B265="",MIN(AB$38,$D$19)&lt;MAX($P$34*($B265+IF($R$17="Distrato",$I$38-1,0)),IF(AND($L$37=0,$P$34=0),"",$L$37-1),IF($R$17="Distrato",$E265,0))),0,YEARFRAC(MAX($P$34*($B265+IF($R$17="Distrato",$I$38-1,0)),IF(AND($L$37=0,$P$34=0),"",$L$37-1),IF($R$17="Distrato",$E265,0)),MIN(AB$38,$D$19),$P$20))-SUM($P265:AA265)</f>
        <v>#VALUE!</v>
      </c>
      <c r="AC265" s="446" t="e">
        <f>IF(OR($B265="",MIN(AC$38,$D$19)&lt;MAX($P$34*($B265+IF($R$17="Distrato",$I$38-1,0)),IF(AND($L$37=0,$P$34=0),"",$L$37-1),IF($R$17="Distrato",$E265,0))),0,YEARFRAC(MAX($P$34*($B265+IF($R$17="Distrato",$I$38-1,0)),IF(AND($L$37=0,$P$34=0),"",$L$37-1),IF($R$17="Distrato",$E265,0)),MIN(AC$38,$D$19),$P$20))-SUM($P265:AB265)</f>
        <v>#VALUE!</v>
      </c>
      <c r="AD265" s="446" t="e">
        <f>IF(OR($B265="",MIN(AD$38,$D$19)&lt;MAX($P$34*($B265+IF($R$17="Distrato",$I$38-1,0)),IF(AND($L$37=0,$P$34=0),"",$L$37-1),IF($R$17="Distrato",$E265,0))),0,YEARFRAC(MAX($P$34*($B265+IF($R$17="Distrato",$I$38-1,0)),IF(AND($L$37=0,$P$34=0),"",$L$37-1),IF($R$17="Distrato",$E265,0)),MIN(AD$38,$D$19),$P$20))-SUM($P265:AC265)</f>
        <v>#VALUE!</v>
      </c>
      <c r="AE265" s="446" t="e">
        <f>IF(OR($B265="",MIN(AE$38,$D$19)&lt;MAX($P$34*($B265+IF($R$17="Distrato",$I$38-1,0)),IF(AND($L$37=0,$P$34=0),"",$L$37-1),IF($R$17="Distrato",$E265,0))),0,YEARFRAC(MAX($P$34*($B265+IF($R$17="Distrato",$I$38-1,0)),IF(AND($L$37=0,$P$34=0),"",$L$37-1),IF($R$17="Distrato",$E265,0)),MIN(AE$38,$D$19),$P$20))-SUM($P265:AD265)</f>
        <v>#VALUE!</v>
      </c>
      <c r="AF265" s="446" t="e">
        <f>IF(OR($B265="",MIN(AF$38,$D$19)&lt;MAX($P$34*($B265+IF($R$17="Distrato",$I$38-1,0)),IF(AND($L$37=0,$P$34=0),"",$L$37-1),IF($R$17="Distrato",$E265,0))),0,YEARFRAC(MAX($P$34*($B265+IF($R$17="Distrato",$I$38-1,0)),IF(AND($L$37=0,$P$34=0),"",$L$37-1),IF($R$17="Distrato",$E265,0)),MIN(AF$38,$D$19),$P$20))-SUM($P265:AE265)</f>
        <v>#VALUE!</v>
      </c>
      <c r="AG265" s="446" t="e">
        <f>IF(OR($B265="",MIN(AG$38,$D$19)&lt;MAX($P$34*($B265+IF($R$17="Distrato",$I$38-1,0)),IF(AND($L$37=0,$P$34=0),"",$L$37-1),IF($R$17="Distrato",$E265,0))),0,YEARFRAC(MAX($P$34*($B265+IF($R$17="Distrato",$I$38-1,0)),IF(AND($L$37=0,$P$34=0),"",$L$37-1),IF($R$17="Distrato",$E265,0)),MIN(AG$38,$D$19),$P$20))-SUM($P265:AF265)</f>
        <v>#VALUE!</v>
      </c>
      <c r="AH265" s="446" t="e">
        <f>IF(OR($B265="",MIN(AH$38,$D$19)&lt;MAX($P$34*($B265+IF($R$17="Distrato",$I$38-1,0)),IF(AND($L$37=0,$P$34=0),"",$L$37-1),IF($R$17="Distrato",$E265,0))),0,YEARFRAC(MAX($P$34*($B265+IF($R$17="Distrato",$I$38-1,0)),IF(AND($L$37=0,$P$34=0),"",$L$37-1),IF($R$17="Distrato",$E265,0)),MIN(AH$38,$D$19),$P$20))-SUM($P265:AG265)</f>
        <v>#VALUE!</v>
      </c>
      <c r="AI265" s="446" t="e">
        <f>IF(OR($B265="",MIN(AI$38,$D$19)&lt;MAX($P$34*($B265+IF($R$17="Distrato",$I$38-1,0)),IF(AND($L$37=0,$P$34=0),"",$L$37-1),IF($R$17="Distrato",$E265,0))),0,YEARFRAC(MAX($P$34*($B265+IF($R$17="Distrato",$I$38-1,0)),IF(AND($L$37=0,$P$34=0),"",$L$37-1),IF($R$17="Distrato",$E265,0)),MIN(AI$38,$D$19),$P$20))-SUM($P265:AH265)</f>
        <v>#VALUE!</v>
      </c>
      <c r="AJ265" s="446" t="e">
        <f>IF(OR($B265="",MIN(AJ$38,$D$19)&lt;MAX($P$34*($B265+IF($R$17="Distrato",$I$38-1,0)),IF(AND($L$37=0,$P$34=0),"",$L$37-1),IF($R$17="Distrato",$E265,0))),0,YEARFRAC(MAX($P$34*($B265+IF($R$17="Distrato",$I$38-1,0)),IF(AND($L$37=0,$P$34=0),"",$L$37-1),IF($R$17="Distrato",$E265,0)),MIN(AJ$38,$D$19),$P$20))-SUM($P265:AI265)</f>
        <v>#VALUE!</v>
      </c>
      <c r="AK265" s="446" t="e">
        <f>IF(OR($B265="",MIN(AK$38,$D$19)&lt;MAX($P$34*($B265+IF($R$17="Distrato",$I$38-1,0)),IF(AND($L$37=0,$P$34=0),"",$L$37-1),IF($R$17="Distrato",$E265,0))),0,YEARFRAC(MAX($P$34*($B265+IF($R$17="Distrato",$I$38-1,0)),IF(AND($L$37=0,$P$34=0),"",$L$37-1),IF($R$17="Distrato",$E265,0)),MIN(AK$38,$D$19),$P$20))-SUM($P265:AJ265)</f>
        <v>#VALUE!</v>
      </c>
      <c r="AL265" s="446" t="e">
        <f>IF(OR($B265="",MIN(AL$38,$D$19)&lt;MAX($P$34*($B265+IF($R$17="Distrato",$I$38-1,0)),IF(AND($L$37=0,$P$34=0),"",$L$37-1),IF($R$17="Distrato",$E265,0))),0,YEARFRAC(MAX($P$34*($B265+IF($R$17="Distrato",$I$38-1,0)),IF(AND($L$37=0,$P$34=0),"",$L$37-1),IF($R$17="Distrato",$E265,0)),MIN(AL$38,$D$19),$P$20))-SUM($P265:AK265)</f>
        <v>#VALUE!</v>
      </c>
      <c r="AM265" s="446" t="e">
        <f>IF(OR($B265="",MIN(AM$38,$D$19)&lt;MAX($P$34*($B265+IF($R$17="Distrato",$I$38-1,0)),IF(AND($L$37=0,$P$34=0),"",$L$37-1),IF($R$17="Distrato",$E265,0))),0,YEARFRAC(MAX($P$34*($B265+IF($R$17="Distrato",$I$38-1,0)),IF(AND($L$37=0,$P$34=0),"",$L$37-1),IF($R$17="Distrato",$E265,0)),MIN(AM$38,$D$19),$P$20))-SUM($P265:AL265)</f>
        <v>#VALUE!</v>
      </c>
      <c r="AN265" s="446" t="e">
        <f>IF(OR($B265="",MIN(AN$38,$D$19)&lt;MAX($P$34*($B265+IF($R$17="Distrato",$I$38-1,0)),IF(AND($L$37=0,$P$34=0),"",$L$37-1),IF($R$17="Distrato",$E265,0))),0,YEARFRAC(MAX($P$34*($B265+IF($R$17="Distrato",$I$38-1,0)),IF(AND($L$37=0,$P$34=0),"",$L$37-1),IF($R$17="Distrato",$E265,0)),MIN(AN$38,$D$19),$P$20))-SUM($P265:AM265)</f>
        <v>#VALUE!</v>
      </c>
      <c r="AO265" s="446" t="e">
        <f>IF(OR($B265="",MIN(AO$38,$D$19)&lt;MAX($P$34*($B265+IF($R$17="Distrato",$I$38-1,0)),IF(AND($L$37=0,$P$34=0),"",$L$37-1),IF($R$17="Distrato",$E265,0))),0,YEARFRAC(MAX($P$34*($B265+IF($R$17="Distrato",$I$38-1,0)),IF(AND($L$37=0,$P$34=0),"",$L$37-1),IF($R$17="Distrato",$E265,0)),MIN(AO$38,$D$19),$P$20))-SUM($P265:AN265)</f>
        <v>#VALUE!</v>
      </c>
      <c r="AP265" s="446" t="e">
        <f>IF(OR($B265="",MIN(AP$38,$D$19)&lt;MAX($P$34*($B265+IF($R$17="Distrato",$I$38-1,0)),IF(AND($L$37=0,$P$34=0),"",$L$37-1),IF($R$17="Distrato",$E265,0))),0,YEARFRAC(MAX($P$34*($B265+IF($R$17="Distrato",$I$38-1,0)),IF(AND($L$37=0,$P$34=0),"",$L$37-1),IF($R$17="Distrato",$E265,0)),MIN(AP$38,$D$19),$P$20))-SUM($P265:AO265)</f>
        <v>#VALUE!</v>
      </c>
      <c r="AQ265" s="446" t="e">
        <f>IF(OR($B265="",MIN(AQ$38,$D$19)&lt;MAX($P$34*($B265+IF($R$17="Distrato",$I$38-1,0)),IF(AND($L$37=0,$P$34=0),"",$L$37-1),IF($R$17="Distrato",$E265,0))),0,YEARFRAC(MAX($P$34*($B265+IF($R$17="Distrato",$I$38-1,0)),IF(AND($L$37=0,$P$34=0),"",$L$37-1),IF($R$17="Distrato",$E265,0)),MIN(AQ$38,$D$19),$P$20))-SUM($P265:AP265)</f>
        <v>#VALUE!</v>
      </c>
      <c r="AR265" s="446" t="e">
        <f>IF(OR($B265="",MIN(AR$38,$D$19)&lt;MAX($P$34*($B265+IF($R$17="Distrato",$I$38-1,0)),IF(AND($L$37=0,$P$34=0),"",$L$37-1),IF($R$17="Distrato",$E265,0))),0,YEARFRAC(MAX($P$34*($B265+IF($R$17="Distrato",$I$38-1,0)),IF(AND($L$37=0,$P$34=0),"",$L$37-1),IF($R$17="Distrato",$E265,0)),MIN(AR$38,$D$19),$P$20))-SUM($P265:AQ265)</f>
        <v>#VALUE!</v>
      </c>
      <c r="AS265" s="446" t="e">
        <f>IF(OR($B265="",MIN(AS$38,$D$19)&lt;MAX($P$34*($B265+IF($R$17="Distrato",$I$38-1,0)),IF(AND($L$37=0,$P$34=0),"",$L$37-1),IF($R$17="Distrato",$E265,0))),0,YEARFRAC(MAX($P$34*($B265+IF($R$17="Distrato",$I$38-1,0)),IF(AND($L$37=0,$P$34=0),"",$L$37-1),IF($R$17="Distrato",$E265,0)),MIN(AS$38,$D$19),$P$20))-SUM($P265:AR265)</f>
        <v>#VALUE!</v>
      </c>
      <c r="AT265" s="446" t="e">
        <f>IF(OR($B265="",MIN(AT$38,$D$19)&lt;MAX($P$34*($B265+IF($R$17="Distrato",$I$38-1,0)),IF(AND($L$37=0,$P$34=0),"",$L$37-1),IF($R$17="Distrato",$E265,0))),0,YEARFRAC(MAX($P$34*($B265+IF($R$17="Distrato",$I$38-1,0)),IF(AND($L$37=0,$P$34=0),"",$L$37-1),IF($R$17="Distrato",$E265,0)),MIN(AT$38,$D$19),$P$20))-SUM($P265:AS265)</f>
        <v>#VALUE!</v>
      </c>
      <c r="AU265" s="446" t="e">
        <f>IF(OR($B265="",MIN(AU$38,$D$19)&lt;MAX($P$34*($B265+IF($R$17="Distrato",$I$38-1,0)),IF(AND($L$37=0,$P$34=0),"",$L$37-1),IF($R$17="Distrato",$E265,0))),0,YEARFRAC(MAX($P$34*($B265+IF($R$17="Distrato",$I$38-1,0)),IF(AND($L$37=0,$P$34=0),"",$L$37-1),IF($R$17="Distrato",$E265,0)),MIN(AU$38,$D$19),$P$20))-SUM($P265:AT265)</f>
        <v>#VALUE!</v>
      </c>
      <c r="AV265" s="446" t="e">
        <f>IF(OR($B265="",MIN(AV$38,$D$19)&lt;MAX($P$34*($B265+IF($R$17="Distrato",$I$38-1,0)),IF(AND($L$37=0,$P$34=0),"",$L$37-1),IF($R$17="Distrato",$E265,0))),0,YEARFRAC(MAX($P$34*($B265+IF($R$17="Distrato",$I$38-1,0)),IF(AND($L$37=0,$P$34=0),"",$L$37-1),IF($R$17="Distrato",$E265,0)),MIN(AV$38,$D$19),$P$20))-SUM($P265:AU265)</f>
        <v>#VALUE!</v>
      </c>
      <c r="AW265" s="446" t="e">
        <f>IF(OR($B265="",MIN(AW$38,$D$19)&lt;MAX($P$34*($B265+IF($R$17="Distrato",$I$38-1,0)),IF(AND($L$37=0,$P$34=0),"",$L$37-1),IF($R$17="Distrato",$E265,0))),0,YEARFRAC(MAX($P$34*($B265+IF($R$17="Distrato",$I$38-1,0)),IF(AND($L$37=0,$P$34=0),"",$L$37-1),IF($R$17="Distrato",$E265,0)),MIN(AW$38,$D$19),$P$20))-SUM($P265:AV265)</f>
        <v>#VALUE!</v>
      </c>
      <c r="AX265" s="446" t="e">
        <f>IF(OR($B265="",MIN(AX$38,$D$19)&lt;MAX($P$34*($B265+IF($R$17="Distrato",$I$38-1,0)),IF(AND($L$37=0,$P$34=0),"",$L$37-1),IF($R$17="Distrato",$E265,0))),0,YEARFRAC(MAX($P$34*($B265+IF($R$17="Distrato",$I$38-1,0)),IF(AND($L$37=0,$P$34=0),"",$L$37-1),IF($R$17="Distrato",$E265,0)),MIN(AX$38,$D$19),$P$20))-SUM($P265:AW265)</f>
        <v>#VALUE!</v>
      </c>
      <c r="AY265" s="446" t="e">
        <f>IF(OR($B265="",MIN(AY$38,$D$19)&lt;MAX($P$34*($B265+IF($R$17="Distrato",$I$38-1,0)),IF(AND($L$37=0,$P$34=0),"",$L$37-1),IF($R$17="Distrato",$E265,0))),0,YEARFRAC(MAX($P$34*($B265+IF($R$17="Distrato",$I$38-1,0)),IF(AND($L$37=0,$P$34=0),"",$L$37-1),IF($R$17="Distrato",$E265,0)),MIN(AY$38,$D$19),$P$20))-SUM($P265:AX265)</f>
        <v>#VALUE!</v>
      </c>
      <c r="AZ265" s="446" t="e">
        <f>IF(OR($B265="",MIN(AZ$38,$D$19)&lt;MAX($P$34*($B265+IF($R$17="Distrato",$I$38-1,0)),IF(AND($L$37=0,$P$34=0),"",$L$37-1),IF($R$17="Distrato",$E265,0))),0,YEARFRAC(MAX($P$34*($B265+IF($R$17="Distrato",$I$38-1,0)),IF(AND($L$37=0,$P$34=0),"",$L$37-1),IF($R$17="Distrato",$E265,0)),MIN(AZ$38,$D$19),$P$20))-SUM($P265:AY265)</f>
        <v>#VALUE!</v>
      </c>
      <c r="BA265" s="446" t="e">
        <f>IF(OR($B265="",MIN(BA$38,$D$19)&lt;MAX($P$34*($B265+IF($R$17="Distrato",$I$38-1,0)),IF(AND($L$37=0,$P$34=0),"",$L$37-1),IF($R$17="Distrato",$E265,0))),0,YEARFRAC(MAX($P$34*($B265+IF($R$17="Distrato",$I$38-1,0)),IF(AND($L$37=0,$P$34=0),"",$L$37-1),IF($R$17="Distrato",$E265,0)),MIN(BA$38,$D$19),$P$20))-SUM($P265:AZ265)</f>
        <v>#VALUE!</v>
      </c>
      <c r="BB265" s="447"/>
      <c r="BF265" s="446">
        <f t="shared" si="43"/>
        <v>0</v>
      </c>
      <c r="BG265" s="446">
        <f>IF($E265=0,0,IF(MIN(BG$38,$E265)&lt;MAX($P$34*($B265+$I$38-1),IF(AND($L$37=0,$P$34=0),"",$L$37-1)),0,YEARFRAC(MAX($P$34*($B265+$I$38-1),IF(AND($L$37=0,$P$34=0),"",$L$37-1)),MIN(BG$38,$E265),$P$20))-SUM($BF265:BF265))</f>
        <v>0</v>
      </c>
      <c r="BH265" s="446">
        <f>IF($E265=0,0,IF(MIN(BH$38,$E265)&lt;MAX($P$34*($B265+$I$38-1),IF(AND($L$37=0,$P$34=0),"",$L$37-1)),0,YEARFRAC(MAX($P$34*($B265+$I$38-1),IF(AND($L$37=0,$P$34=0),"",$L$37-1)),MIN(BH$38,$E265),$P$20))-SUM($BF265:BG265))</f>
        <v>0</v>
      </c>
      <c r="BI265" s="446">
        <f>IF($E265=0,0,IF(MIN(BI$38,$E265)&lt;MAX($P$34*($B265+$I$38-1),IF(AND($L$37=0,$P$34=0),"",$L$37-1)),0,YEARFRAC(MAX($P$34*($B265+$I$38-1),IF(AND($L$37=0,$P$34=0),"",$L$37-1)),MIN(BI$38,$E265),$P$20))-SUM($BF265:BH265))</f>
        <v>0</v>
      </c>
      <c r="BJ265" s="446">
        <f>IF($E265=0,0,IF(MIN(BJ$38,$E265)&lt;MAX($P$34*($B265+$I$38-1),IF(AND($L$37=0,$P$34=0),"",$L$37-1)),0,YEARFRAC(MAX($P$34*($B265+$I$38-1),IF(AND($L$37=0,$P$34=0),"",$L$37-1)),MIN(BJ$38,$E265),$P$20))-SUM($BF265:BI265))</f>
        <v>0</v>
      </c>
      <c r="BK265" s="446">
        <f>IF($E265=0,0,IF(MIN(BK$38,$E265)&lt;MAX($P$34*($B265+$I$38-1),IF(AND($L$37=0,$P$34=0),"",$L$37-1)),0,YEARFRAC(MAX($P$34*($B265+$I$38-1),IF(AND($L$37=0,$P$34=0),"",$L$37-1)),MIN(BK$38,$E265),$P$20))-SUM($BF265:BJ265))</f>
        <v>0</v>
      </c>
      <c r="BL265" s="446">
        <f>IF($E265=0,0,IF(MIN(BL$38,$E265)&lt;MAX($P$34*($B265+$I$38-1),IF(AND($L$37=0,$P$34=0),"",$L$37-1)),0,YEARFRAC(MAX($P$34*($B265+$I$38-1),IF(AND($L$37=0,$P$34=0),"",$L$37-1)),MIN(BL$38,$E265),$P$20))-SUM($BF265:BK265))</f>
        <v>0</v>
      </c>
      <c r="BM265" s="446">
        <f>IF($E265=0,0,IF(MIN(BM$38,$E265)&lt;MAX($P$34*($B265+$I$38-1),IF(AND($L$37=0,$P$34=0),"",$L$37-1)),0,YEARFRAC(MAX($P$34*($B265+$I$38-1),IF(AND($L$37=0,$P$34=0),"",$L$37-1)),MIN(BM$38,$E265),$P$20))-SUM($BF265:BL265))</f>
        <v>0</v>
      </c>
      <c r="BN265" s="446">
        <f>IF($E265=0,0,IF(MIN(BN$38,$E265)&lt;MAX($P$34*($B265+$I$38-1),IF(AND($L$37=0,$P$34=0),"",$L$37-1)),0,YEARFRAC(MAX($P$34*($B265+$I$38-1),IF(AND($L$37=0,$P$34=0),"",$L$37-1)),MIN(BN$38,$E265),$P$20))-SUM($BF265:BM265))</f>
        <v>0</v>
      </c>
      <c r="BO265" s="446">
        <f>IF($E265=0,0,IF(MIN(BO$38,$E265)&lt;MAX($P$34*($B265+$I$38-1),IF(AND($L$37=0,$P$34=0),"",$L$37-1)),0,YEARFRAC(MAX($P$34*($B265+$I$38-1),IF(AND($L$37=0,$P$34=0),"",$L$37-1)),MIN(BO$38,$E265),$P$20))-SUM($BF265:BN265))</f>
        <v>0</v>
      </c>
      <c r="BP265" s="446">
        <f>IF($E265=0,0,IF(MIN(BP$38,$E265)&lt;MAX($P$34*($B265+$I$38-1),IF(AND($L$37=0,$P$34=0),"",$L$37-1)),0,YEARFRAC(MAX($P$34*($B265+$I$38-1),IF(AND($L$37=0,$P$34=0),"",$L$37-1)),MIN(BP$38,$E265),$P$20))-SUM($BF265:BO265))</f>
        <v>0</v>
      </c>
      <c r="BQ265" s="446">
        <f>IF($E265=0,0,IF(MIN(BQ$38,$E265)&lt;MAX($P$34*($B265+$I$38-1),IF(AND($L$37=0,$P$34=0),"",$L$37-1)),0,YEARFRAC(MAX($P$34*($B265+$I$38-1),IF(AND($L$37=0,$P$34=0),"",$L$37-1)),MIN(BQ$38,$E265),$P$20))-SUM($BF265:BP265))</f>
        <v>0</v>
      </c>
      <c r="BR265" s="446">
        <f>IF($E265=0,0,IF(MIN(BR$38,$E265)&lt;MAX($P$34*($B265+$I$38-1),IF(AND($L$37=0,$P$34=0),"",$L$37-1)),0,YEARFRAC(MAX($P$34*($B265+$I$38-1),IF(AND($L$37=0,$P$34=0),"",$L$37-1)),MIN(BR$38,$E265),$P$20))-SUM($BF265:BQ265))</f>
        <v>0</v>
      </c>
      <c r="BS265" s="446">
        <f>IF($E265=0,0,IF(MIN(BS$38,$E265)&lt;MAX($P$34*($B265+$I$38-1),IF(AND($L$37=0,$P$34=0),"",$L$37-1)),0,YEARFRAC(MAX($P$34*($B265+$I$38-1),IF(AND($L$37=0,$P$34=0),"",$L$37-1)),MIN(BS$38,$E265),$P$20))-SUM($BF265:BR265))</f>
        <v>0</v>
      </c>
      <c r="BT265" s="446">
        <f>IF($E265=0,0,IF(MIN(BT$38,$E265)&lt;MAX($P$34*($B265+$I$38-1),IF(AND($L$37=0,$P$34=0),"",$L$37-1)),0,YEARFRAC(MAX($P$34*($B265+$I$38-1),IF(AND($L$37=0,$P$34=0),"",$L$37-1)),MIN(BT$38,$E265),$P$20))-SUM($BF265:BS265))</f>
        <v>0</v>
      </c>
      <c r="BU265" s="446">
        <f>IF($E265=0,0,IF(MIN(BU$38,$E265)&lt;MAX($P$34*($B265+$I$38-1),IF(AND($L$37=0,$P$34=0),"",$L$37-1)),0,YEARFRAC(MAX($P$34*($B265+$I$38-1),IF(AND($L$37=0,$P$34=0),"",$L$37-1)),MIN(BU$38,$E265),$P$20))-SUM($BF265:BT265))</f>
        <v>0</v>
      </c>
      <c r="BV265" s="446">
        <f>IF($E265=0,0,IF(MIN(BV$38,$E265)&lt;MAX($P$34*($B265+$I$38-1),IF(AND($L$37=0,$P$34=0),"",$L$37-1)),0,YEARFRAC(MAX($P$34*($B265+$I$38-1),IF(AND($L$37=0,$P$34=0),"",$L$37-1)),MIN(BV$38,$E265),$P$20))-SUM($BF265:BU265))</f>
        <v>0</v>
      </c>
      <c r="BW265" s="446">
        <f>IF($E265=0,0,IF(MIN(BW$38,$E265)&lt;MAX($P$34*($B265+$I$38-1),IF(AND($L$37=0,$P$34=0),"",$L$37-1)),0,YEARFRAC(MAX($P$34*($B265+$I$38-1),IF(AND($L$37=0,$P$34=0),"",$L$37-1)),MIN(BW$38,$E265),$P$20))-SUM($BF265:BV265))</f>
        <v>0</v>
      </c>
      <c r="BX265" s="446">
        <f>IF($E265=0,0,IF(MIN(BX$38,$E265)&lt;MAX($P$34*($B265+$I$38-1),IF(AND($L$37=0,$P$34=0),"",$L$37-1)),0,YEARFRAC(MAX($P$34*($B265+$I$38-1),IF(AND($L$37=0,$P$34=0),"",$L$37-1)),MIN(BX$38,$E265),$P$20))-SUM($BF265:BW265))</f>
        <v>0</v>
      </c>
      <c r="BY265" s="446">
        <f>IF($E265=0,0,IF(MIN(BY$38,$E265)&lt;MAX($P$34*($B265+$I$38-1),IF(AND($L$37=0,$P$34=0),"",$L$37-1)),0,YEARFRAC(MAX($P$34*($B265+$I$38-1),IF(AND($L$37=0,$P$34=0),"",$L$37-1)),MIN(BY$38,$E265),$P$20))-SUM($BF265:BX265))</f>
        <v>0</v>
      </c>
      <c r="BZ265" s="446">
        <f>IF($E265=0,0,IF(MIN(BZ$38,$E265)&lt;MAX($P$34*($B265+$I$38-1),IF(AND($L$37=0,$P$34=0),"",$L$37-1)),0,YEARFRAC(MAX($P$34*($B265+$I$38-1),IF(AND($L$37=0,$P$34=0),"",$L$37-1)),MIN(BZ$38,$E265),$P$20))-SUM($BF265:BY265))</f>
        <v>0</v>
      </c>
      <c r="CA265" s="446">
        <f>IF($E265=0,0,IF(MIN(CA$38,$E265)&lt;MAX($P$34*($B265+$I$38-1),IF(AND($L$37=0,$P$34=0),"",$L$37-1)),0,YEARFRAC(MAX($P$34*($B265+$I$38-1),IF(AND($L$37=0,$P$34=0),"",$L$37-1)),MIN(CA$38,$E265),$P$20))-SUM($BF265:BZ265))</f>
        <v>0</v>
      </c>
      <c r="CB265" s="446">
        <f>IF($E265=0,0,IF(MIN(CB$38,$E265)&lt;MAX($P$34*($B265+$I$38-1),IF(AND($L$37=0,$P$34=0),"",$L$37-1)),0,YEARFRAC(MAX($P$34*($B265+$I$38-1),IF(AND($L$37=0,$P$34=0),"",$L$37-1)),MIN(CB$38,$E265),$P$20))-SUM($BF265:CA265))</f>
        <v>0</v>
      </c>
      <c r="CC265" s="446">
        <f>IF($E265=0,0,IF(MIN(CC$38,$E265)&lt;MAX($P$34*($B265+$I$38-1),IF(AND($L$37=0,$P$34=0),"",$L$37-1)),0,YEARFRAC(MAX($P$34*($B265+$I$38-1),IF(AND($L$37=0,$P$34=0),"",$L$37-1)),MIN(CC$38,$E265),$P$20))-SUM($BF265:CB265))</f>
        <v>0</v>
      </c>
      <c r="CD265" s="446">
        <f>IF($E265=0,0,IF(MIN(CD$38,$E265)&lt;MAX($P$34*($B265+$I$38-1),IF(AND($L$37=0,$P$34=0),"",$L$37-1)),0,YEARFRAC(MAX($P$34*($B265+$I$38-1),IF(AND($L$37=0,$P$34=0),"",$L$37-1)),MIN(CD$38,$E265),$P$20))-SUM($BF265:CC265))</f>
        <v>0</v>
      </c>
      <c r="CE265" s="446">
        <f>IF($E265=0,0,IF(MIN(CE$38,$E265)&lt;MAX($P$34*($B265+$I$38-1),IF(AND($L$37=0,$P$34=0),"",$L$37-1)),0,YEARFRAC(MAX($P$34*($B265+$I$38-1),IF(AND($L$37=0,$P$34=0),"",$L$37-1)),MIN(CE$38,$E265),$P$20))-SUM($BF265:CD265))</f>
        <v>0</v>
      </c>
      <c r="CF265" s="446">
        <f>IF($E265=0,0,IF(MIN(CF$38,$E265)&lt;MAX($P$34*($B265+$I$38-1),IF(AND($L$37=0,$P$34=0),"",$L$37-1)),0,YEARFRAC(MAX($P$34*($B265+$I$38-1),IF(AND($L$37=0,$P$34=0),"",$L$37-1)),MIN(CF$38,$E265),$P$20))-SUM($BF265:CE265))</f>
        <v>0</v>
      </c>
      <c r="CG265" s="446">
        <f>IF($E265=0,0,IF(MIN(CG$38,$E265)&lt;MAX($P$34*($B265+$I$38-1),IF(AND($L$37=0,$P$34=0),"",$L$37-1)),0,YEARFRAC(MAX($P$34*($B265+$I$38-1),IF(AND($L$37=0,$P$34=0),"",$L$37-1)),MIN(CG$38,$E265),$P$20))-SUM($BF265:CF265))</f>
        <v>0</v>
      </c>
      <c r="CH265" s="446">
        <f>IF($E265=0,0,IF(MIN(CH$38,$E265)&lt;MAX($P$34*($B265+$I$38-1),IF(AND($L$37=0,$P$34=0),"",$L$37-1)),0,YEARFRAC(MAX($P$34*($B265+$I$38-1),IF(AND($L$37=0,$P$34=0),"",$L$37-1)),MIN(CH$38,$E265),$P$20))-SUM($BF265:CG265))</f>
        <v>0</v>
      </c>
      <c r="CI265" s="446">
        <f>IF($E265=0,0,IF(MIN(CI$38,$E265)&lt;MAX($P$34*($B265+$I$38-1),IF(AND($L$37=0,$P$34=0),"",$L$37-1)),0,YEARFRAC(MAX($P$34*($B265+$I$38-1),IF(AND($L$37=0,$P$34=0),"",$L$37-1)),MIN(CI$38,$E265),$P$20))-SUM($BF265:CH265))</f>
        <v>0</v>
      </c>
      <c r="CJ265" s="446">
        <f>IF($E265=0,0,IF(MIN(CJ$38,$E265)&lt;MAX($P$34*($B265+$I$38-1),IF(AND($L$37=0,$P$34=0),"",$L$37-1)),0,YEARFRAC(MAX($P$34*($B265+$I$38-1),IF(AND($L$37=0,$P$34=0),"",$L$37-1)),MIN(CJ$38,$E265),$P$20))-SUM($BF265:CI265))</f>
        <v>0</v>
      </c>
      <c r="CK265" s="446">
        <f>IF($E265=0,0,IF(MIN(CK$38,$E265)&lt;MAX($P$34*($B265+$I$38-1),IF(AND($L$37=0,$P$34=0),"",$L$37-1)),0,YEARFRAC(MAX($P$34*($B265+$I$38-1),IF(AND($L$37=0,$P$34=0),"",$L$37-1)),MIN(CK$38,$E265),$P$20))-SUM($BF265:CJ265))</f>
        <v>0</v>
      </c>
      <c r="CL265" s="446">
        <f>IF($E265=0,0,IF(MIN(CL$38,$E265)&lt;MAX($P$34*($B265+$I$38-1),IF(AND($L$37=0,$P$34=0),"",$L$37-1)),0,YEARFRAC(MAX($P$34*($B265+$I$38-1),IF(AND($L$37=0,$P$34=0),"",$L$37-1)),MIN(CL$38,$E265),$P$20))-SUM($BF265:CK265))</f>
        <v>0</v>
      </c>
      <c r="CM265" s="446">
        <f>IF($E265=0,0,IF(MIN(CM$38,$E265)&lt;MAX($P$34*($B265+$I$38-1),IF(AND($L$37=0,$P$34=0),"",$L$37-1)),0,YEARFRAC(MAX($P$34*($B265+$I$38-1),IF(AND($L$37=0,$P$34=0),"",$L$37-1)),MIN(CM$38,$E265),$P$20))-SUM($BF265:CL265))</f>
        <v>0</v>
      </c>
      <c r="CN265" s="446">
        <f>IF($E265=0,0,IF(MIN(CN$38,$E265)&lt;MAX($P$34*($B265+$I$38-1),IF(AND($L$37=0,$P$34=0),"",$L$37-1)),0,YEARFRAC(MAX($P$34*($B265+$I$38-1),IF(AND($L$37=0,$P$34=0),"",$L$37-1)),MIN(CN$38,$E265),$P$20))-SUM($BF265:CM265))</f>
        <v>0</v>
      </c>
      <c r="CO265" s="446">
        <f>IF($E265=0,0,IF(MIN(CO$38,$E265)&lt;MAX($P$34*($B265+$I$38-1),IF(AND($L$37=0,$P$34=0),"",$L$37-1)),0,YEARFRAC(MAX($P$34*($B265+$I$38-1),IF(AND($L$37=0,$P$34=0),"",$L$37-1)),MIN(CO$38,$E265),$P$20))-SUM($BF265:CN265))</f>
        <v>0</v>
      </c>
      <c r="CP265" s="446">
        <f>IF($E265=0,0,IF(MIN(CP$38,$E265)&lt;MAX($P$34*($B265+$I$38-1),IF(AND($L$37=0,$P$34=0),"",$L$37-1)),0,YEARFRAC(MAX($P$34*($B265+$I$38-1),IF(AND($L$37=0,$P$34=0),"",$L$37-1)),MIN(CP$38,$E265),$P$20))-SUM($BF265:CO265))</f>
        <v>0</v>
      </c>
      <c r="CQ265" s="446">
        <f>IF($E265=0,0,IF(MIN(CQ$38,$E265)&lt;MAX($P$34*($B265+$I$38-1),IF(AND($L$37=0,$P$34=0),"",$L$37-1)),0,YEARFRAC(MAX($P$34*($B265+$I$38-1),IF(AND($L$37=0,$P$34=0),"",$L$37-1)),MIN(CQ$38,$E265),$P$20))-SUM($BF265:CP265))</f>
        <v>0</v>
      </c>
    </row>
    <row r="266" spans="1:95" s="446" customFormat="1" ht="11.25" hidden="1" customHeight="1" x14ac:dyDescent="0.2">
      <c r="A266" s="152"/>
      <c r="B266" s="153" t="str">
        <f t="shared" si="48"/>
        <v/>
      </c>
      <c r="C266" s="29" t="str">
        <f>IF(B266="","",IF($L$35="SELIC - TRIBUTOS",VLOOKUP(DATE(YEAR($D$19),MONTH($D$19)-1,1),ÍNDICES!$A:$DE,HLOOKUP($BL$25,ÍNDICES!$B$3:$T$4,2)+11)-VLOOKUP(B266,ÍNDICES!$A:$DE,HLOOKUP($BL$25,ÍNDICES!$B$3:$T$4,2)+11)+1%,IF(C$38=$W$26,$J$35,IF(ISERROR(IF(B266&gt;$D$19,1,VLOOKUP(DATE(YEAR(B266),MONTH(B266)+IF($C$35=$S$23,1,0),1),ÍNDICES!$A:$DE,$Z$35+1))),"",IF(B266&gt;$D$19,1,VLOOKUP(DATE(YEAR(B266),MONTH(B266)+IF($C$35=$S$23,1,0),1),ÍNDICES!$A:$DE,$Z$35+1))))))</f>
        <v/>
      </c>
      <c r="D266" s="154" t="str">
        <f>IF(ISERROR(IF(OR($D$38=$Y$27,$B266=""),"",VLOOKUP(B266,ÍNDICES!A:DE,AF$35+1))),"",IF(OR($D$38=$Y$27,$B266=""),"",VLOOKUP(B266,ÍNDICES!A:DE,AF$35+1)))</f>
        <v/>
      </c>
      <c r="E266" s="153"/>
      <c r="F266" s="29" t="str">
        <f>IF(E266="","",IF($L$35="SELIC - TRIBUTOS",VLOOKUP(DATE(YEAR($D$19),MONTH($D$19)-1,1),ÍNDICES!$A:$DE,HLOOKUP($BL$25,ÍNDICES!$B$3:$T$4,2)+11)-VLOOKUP(E266,ÍNDICES!$A:$DE,HLOOKUP($BL$25,ÍNDICES!$B$3:$T$4,2)+11)+1%,IF(F$38=$W$26,$J$35,IF(ISERROR(IF(E266&gt;$D$19,1,VLOOKUP(DATE(YEAR(E266),MONTH(E266)+IF($C$35=$S$23,1,0),1),ÍNDICES!$A:$DE,$Z$35+1))),"",IF(E266&gt;$D$19,1,VLOOKUP(DATE(YEAR(E266),MONTH(E266)+IF($C$35=$S$23,1,0),1),ÍNDICES!$A:$DE,$Z$35+1))))))</f>
        <v/>
      </c>
      <c r="G266" s="155"/>
      <c r="H266" s="156" t="str">
        <f t="shared" si="44"/>
        <v/>
      </c>
      <c r="I266" s="29" t="str">
        <f t="shared" si="38"/>
        <v/>
      </c>
      <c r="J266" s="5">
        <f t="shared" si="39"/>
        <v>0</v>
      </c>
      <c r="K266" s="20">
        <f t="shared" ca="1" si="40"/>
        <v>0</v>
      </c>
      <c r="L266" s="5">
        <f t="shared" ca="1" si="41"/>
        <v>0</v>
      </c>
      <c r="M266" s="64">
        <f t="shared" si="45"/>
        <v>0</v>
      </c>
      <c r="N266" s="61">
        <f t="shared" ca="1" si="46"/>
        <v>0</v>
      </c>
      <c r="O266" s="5">
        <f t="shared" ca="1" si="47"/>
        <v>0</v>
      </c>
      <c r="P266" s="446" t="e">
        <f t="shared" si="42"/>
        <v>#VALUE!</v>
      </c>
      <c r="Q266" s="446" t="e">
        <f>IF(OR($B266="",MIN(Q$38,$D$19)&lt;MAX($P$34*($B266+IF($R$17="Distrato",$I$38-1,0)),IF(AND($L$37=0,$P$34=0),"",$L$37-1),IF($R$17="Distrato",$E266,0))),0,YEARFRAC(MAX($P$34*($B266+IF($R$17="Distrato",$I$38-1,0)),IF(AND($L$37=0,$P$34=0),"",$L$37-1),IF($R$17="Distrato",$E266,0)),MIN(Q$38,$D$19),$P$20))-SUM($P266:P266)</f>
        <v>#VALUE!</v>
      </c>
      <c r="R266" s="446" t="e">
        <f>IF(OR($B266="",MIN(R$38,$D$19)&lt;MAX($P$34*($B266+IF($R$17="Distrato",$I$38-1,0)),IF(AND($L$37=0,$P$34=0),"",$L$37-1),IF($R$17="Distrato",$E266,0))),0,YEARFRAC(MAX($P$34*($B266+IF($R$17="Distrato",$I$38-1,0)),IF(AND($L$37=0,$P$34=0),"",$L$37-1),IF($R$17="Distrato",$E266,0)),MIN(R$38,$D$19),$P$20))-SUM($P266:Q266)</f>
        <v>#VALUE!</v>
      </c>
      <c r="S266" s="446" t="e">
        <f>IF(OR($B266="",MIN(S$38,$D$19)&lt;MAX($P$34*($B266+IF($R$17="Distrato",$I$38-1,0)),IF(AND($L$37=0,$P$34=0),"",$L$37-1),IF($R$17="Distrato",$E266,0))),0,YEARFRAC(MAX($P$34*($B266+IF($R$17="Distrato",$I$38-1,0)),IF(AND($L$37=0,$P$34=0),"",$L$37-1),IF($R$17="Distrato",$E266,0)),MIN(S$38,$D$19),$P$20))-SUM($P266:R266)</f>
        <v>#VALUE!</v>
      </c>
      <c r="T266" s="446" t="e">
        <f>IF(OR($B266="",MIN(T$38,$D$19)&lt;MAX($P$34*($B266+IF($R$17="Distrato",$I$38-1,0)),IF(AND($L$37=0,$P$34=0),"",$L$37-1),IF($R$17="Distrato",$E266,0))),0,YEARFRAC(MAX($P$34*($B266+IF($R$17="Distrato",$I$38-1,0)),IF(AND($L$37=0,$P$34=0),"",$L$37-1),IF($R$17="Distrato",$E266,0)),MIN(T$38,$D$19),$P$20))-SUM($P266:S266)</f>
        <v>#VALUE!</v>
      </c>
      <c r="U266" s="446" t="e">
        <f>IF(OR($B266="",MIN(U$38,$D$19)&lt;MAX($P$34*($B266+IF($R$17="Distrato",$I$38-1,0)),IF(AND($L$37=0,$P$34=0),"",$L$37-1),IF($R$17="Distrato",$E266,0))),0,YEARFRAC(MAX($P$34*($B266+IF($R$17="Distrato",$I$38-1,0)),IF(AND($L$37=0,$P$34=0),"",$L$37-1),IF($R$17="Distrato",$E266,0)),MIN(U$38,$D$19),$P$20))-SUM($P266:T266)</f>
        <v>#VALUE!</v>
      </c>
      <c r="V266" s="446" t="e">
        <f>IF(OR($B266="",MIN(V$38,$D$19)&lt;MAX($P$34*($B266+IF($R$17="Distrato",$I$38-1,0)),IF(AND($L$37=0,$P$34=0),"",$L$37-1),IF($R$17="Distrato",$E266,0))),0,YEARFRAC(MAX($P$34*($B266+IF($R$17="Distrato",$I$38-1,0)),IF(AND($L$37=0,$P$34=0),"",$L$37-1),IF($R$17="Distrato",$E266,0)),MIN(V$38,$D$19),$P$20))-SUM($P266:U266)</f>
        <v>#VALUE!</v>
      </c>
      <c r="W266" s="446" t="e">
        <f>IF(OR($B266="",MIN(W$38,$D$19)&lt;MAX($P$34*($B266+IF($R$17="Distrato",$I$38-1,0)),IF(AND($L$37=0,$P$34=0),"",$L$37-1),IF($R$17="Distrato",$E266,0))),0,YEARFRAC(MAX($P$34*($B266+IF($R$17="Distrato",$I$38-1,0)),IF(AND($L$37=0,$P$34=0),"",$L$37-1),IF($R$17="Distrato",$E266,0)),MIN(W$38,$D$19),$P$20))-SUM($P266:V266)</f>
        <v>#VALUE!</v>
      </c>
      <c r="X266" s="446" t="e">
        <f>IF(OR($B266="",MIN(X$38,$D$19)&lt;MAX($P$34*($B266+IF($R$17="Distrato",$I$38-1,0)),IF(AND($L$37=0,$P$34=0),"",$L$37-1),IF($R$17="Distrato",$E266,0))),0,YEARFRAC(MAX($P$34*($B266+IF($R$17="Distrato",$I$38-1,0)),IF(AND($L$37=0,$P$34=0),"",$L$37-1),IF($R$17="Distrato",$E266,0)),MIN(X$38,$D$19),$P$20))-SUM($P266:W266)</f>
        <v>#VALUE!</v>
      </c>
      <c r="Y266" s="446" t="e">
        <f>IF(OR($B266="",MIN(Y$38,$D$19)&lt;MAX($P$34*($B266+IF($R$17="Distrato",$I$38-1,0)),IF(AND($L$37=0,$P$34=0),"",$L$37-1),IF($R$17="Distrato",$E266,0))),0,YEARFRAC(MAX($P$34*($B266+IF($R$17="Distrato",$I$38-1,0)),IF(AND($L$37=0,$P$34=0),"",$L$37-1),IF($R$17="Distrato",$E266,0)),MIN(Y$38,$D$19),$P$20))-SUM($P266:X266)</f>
        <v>#VALUE!</v>
      </c>
      <c r="Z266" s="446" t="e">
        <f>IF(OR($B266="",MIN(Z$38,$D$19)&lt;MAX($P$34*($B266+IF($R$17="Distrato",$I$38-1,0)),IF(AND($L$37=0,$P$34=0),"",$L$37-1),IF($R$17="Distrato",$E266,0))),0,YEARFRAC(MAX($P$34*($B266+IF($R$17="Distrato",$I$38-1,0)),IF(AND($L$37=0,$P$34=0),"",$L$37-1),IF($R$17="Distrato",$E266,0)),MIN(Z$38,$D$19),$P$20))-SUM($P266:Y266)</f>
        <v>#VALUE!</v>
      </c>
      <c r="AA266" s="446" t="e">
        <f>IF(OR($B266="",MIN(AA$38,$D$19)&lt;MAX($P$34*($B266+IF($R$17="Distrato",$I$38-1,0)),IF(AND($L$37=0,$P$34=0),"",$L$37-1),IF($R$17="Distrato",$E266,0))),0,YEARFRAC(MAX($P$34*($B266+IF($R$17="Distrato",$I$38-1,0)),IF(AND($L$37=0,$P$34=0),"",$L$37-1),IF($R$17="Distrato",$E266,0)),MIN(AA$38,$D$19),$P$20))-SUM($P266:Z266)</f>
        <v>#VALUE!</v>
      </c>
      <c r="AB266" s="446" t="e">
        <f>IF(OR($B266="",MIN(AB$38,$D$19)&lt;MAX($P$34*($B266+IF($R$17="Distrato",$I$38-1,0)),IF(AND($L$37=0,$P$34=0),"",$L$37-1),IF($R$17="Distrato",$E266,0))),0,YEARFRAC(MAX($P$34*($B266+IF($R$17="Distrato",$I$38-1,0)),IF(AND($L$37=0,$P$34=0),"",$L$37-1),IF($R$17="Distrato",$E266,0)),MIN(AB$38,$D$19),$P$20))-SUM($P266:AA266)</f>
        <v>#VALUE!</v>
      </c>
      <c r="AC266" s="446" t="e">
        <f>IF(OR($B266="",MIN(AC$38,$D$19)&lt;MAX($P$34*($B266+IF($R$17="Distrato",$I$38-1,0)),IF(AND($L$37=0,$P$34=0),"",$L$37-1),IF($R$17="Distrato",$E266,0))),0,YEARFRAC(MAX($P$34*($B266+IF($R$17="Distrato",$I$38-1,0)),IF(AND($L$37=0,$P$34=0),"",$L$37-1),IF($R$17="Distrato",$E266,0)),MIN(AC$38,$D$19),$P$20))-SUM($P266:AB266)</f>
        <v>#VALUE!</v>
      </c>
      <c r="AD266" s="446" t="e">
        <f>IF(OR($B266="",MIN(AD$38,$D$19)&lt;MAX($P$34*($B266+IF($R$17="Distrato",$I$38-1,0)),IF(AND($L$37=0,$P$34=0),"",$L$37-1),IF($R$17="Distrato",$E266,0))),0,YEARFRAC(MAX($P$34*($B266+IF($R$17="Distrato",$I$38-1,0)),IF(AND($L$37=0,$P$34=0),"",$L$37-1),IF($R$17="Distrato",$E266,0)),MIN(AD$38,$D$19),$P$20))-SUM($P266:AC266)</f>
        <v>#VALUE!</v>
      </c>
      <c r="AE266" s="446" t="e">
        <f>IF(OR($B266="",MIN(AE$38,$D$19)&lt;MAX($P$34*($B266+IF($R$17="Distrato",$I$38-1,0)),IF(AND($L$37=0,$P$34=0),"",$L$37-1),IF($R$17="Distrato",$E266,0))),0,YEARFRAC(MAX($P$34*($B266+IF($R$17="Distrato",$I$38-1,0)),IF(AND($L$37=0,$P$34=0),"",$L$37-1),IF($R$17="Distrato",$E266,0)),MIN(AE$38,$D$19),$P$20))-SUM($P266:AD266)</f>
        <v>#VALUE!</v>
      </c>
      <c r="AF266" s="446" t="e">
        <f>IF(OR($B266="",MIN(AF$38,$D$19)&lt;MAX($P$34*($B266+IF($R$17="Distrato",$I$38-1,0)),IF(AND($L$37=0,$P$34=0),"",$L$37-1),IF($R$17="Distrato",$E266,0))),0,YEARFRAC(MAX($P$34*($B266+IF($R$17="Distrato",$I$38-1,0)),IF(AND($L$37=0,$P$34=0),"",$L$37-1),IF($R$17="Distrato",$E266,0)),MIN(AF$38,$D$19),$P$20))-SUM($P266:AE266)</f>
        <v>#VALUE!</v>
      </c>
      <c r="AG266" s="446" t="e">
        <f>IF(OR($B266="",MIN(AG$38,$D$19)&lt;MAX($P$34*($B266+IF($R$17="Distrato",$I$38-1,0)),IF(AND($L$37=0,$P$34=0),"",$L$37-1),IF($R$17="Distrato",$E266,0))),0,YEARFRAC(MAX($P$34*($B266+IF($R$17="Distrato",$I$38-1,0)),IF(AND($L$37=0,$P$34=0),"",$L$37-1),IF($R$17="Distrato",$E266,0)),MIN(AG$38,$D$19),$P$20))-SUM($P266:AF266)</f>
        <v>#VALUE!</v>
      </c>
      <c r="AH266" s="446" t="e">
        <f>IF(OR($B266="",MIN(AH$38,$D$19)&lt;MAX($P$34*($B266+IF($R$17="Distrato",$I$38-1,0)),IF(AND($L$37=0,$P$34=0),"",$L$37-1),IF($R$17="Distrato",$E266,0))),0,YEARFRAC(MAX($P$34*($B266+IF($R$17="Distrato",$I$38-1,0)),IF(AND($L$37=0,$P$34=0),"",$L$37-1),IF($R$17="Distrato",$E266,0)),MIN(AH$38,$D$19),$P$20))-SUM($P266:AG266)</f>
        <v>#VALUE!</v>
      </c>
      <c r="AI266" s="446" t="e">
        <f>IF(OR($B266="",MIN(AI$38,$D$19)&lt;MAX($P$34*($B266+IF($R$17="Distrato",$I$38-1,0)),IF(AND($L$37=0,$P$34=0),"",$L$37-1),IF($R$17="Distrato",$E266,0))),0,YEARFRAC(MAX($P$34*($B266+IF($R$17="Distrato",$I$38-1,0)),IF(AND($L$37=0,$P$34=0),"",$L$37-1),IF($R$17="Distrato",$E266,0)),MIN(AI$38,$D$19),$P$20))-SUM($P266:AH266)</f>
        <v>#VALUE!</v>
      </c>
      <c r="AJ266" s="446" t="e">
        <f>IF(OR($B266="",MIN(AJ$38,$D$19)&lt;MAX($P$34*($B266+IF($R$17="Distrato",$I$38-1,0)),IF(AND($L$37=0,$P$34=0),"",$L$37-1),IF($R$17="Distrato",$E266,0))),0,YEARFRAC(MAX($P$34*($B266+IF($R$17="Distrato",$I$38-1,0)),IF(AND($L$37=0,$P$34=0),"",$L$37-1),IF($R$17="Distrato",$E266,0)),MIN(AJ$38,$D$19),$P$20))-SUM($P266:AI266)</f>
        <v>#VALUE!</v>
      </c>
      <c r="AK266" s="446" t="e">
        <f>IF(OR($B266="",MIN(AK$38,$D$19)&lt;MAX($P$34*($B266+IF($R$17="Distrato",$I$38-1,0)),IF(AND($L$37=0,$P$34=0),"",$L$37-1),IF($R$17="Distrato",$E266,0))),0,YEARFRAC(MAX($P$34*($B266+IF($R$17="Distrato",$I$38-1,0)),IF(AND($L$37=0,$P$34=0),"",$L$37-1),IF($R$17="Distrato",$E266,0)),MIN(AK$38,$D$19),$P$20))-SUM($P266:AJ266)</f>
        <v>#VALUE!</v>
      </c>
      <c r="AL266" s="446" t="e">
        <f>IF(OR($B266="",MIN(AL$38,$D$19)&lt;MAX($P$34*($B266+IF($R$17="Distrato",$I$38-1,0)),IF(AND($L$37=0,$P$34=0),"",$L$37-1),IF($R$17="Distrato",$E266,0))),0,YEARFRAC(MAX($P$34*($B266+IF($R$17="Distrato",$I$38-1,0)),IF(AND($L$37=0,$P$34=0),"",$L$37-1),IF($R$17="Distrato",$E266,0)),MIN(AL$38,$D$19),$P$20))-SUM($P266:AK266)</f>
        <v>#VALUE!</v>
      </c>
      <c r="AM266" s="446" t="e">
        <f>IF(OR($B266="",MIN(AM$38,$D$19)&lt;MAX($P$34*($B266+IF($R$17="Distrato",$I$38-1,0)),IF(AND($L$37=0,$P$34=0),"",$L$37-1),IF($R$17="Distrato",$E266,0))),0,YEARFRAC(MAX($P$34*($B266+IF($R$17="Distrato",$I$38-1,0)),IF(AND($L$37=0,$P$34=0),"",$L$37-1),IF($R$17="Distrato",$E266,0)),MIN(AM$38,$D$19),$P$20))-SUM($P266:AL266)</f>
        <v>#VALUE!</v>
      </c>
      <c r="AN266" s="446" t="e">
        <f>IF(OR($B266="",MIN(AN$38,$D$19)&lt;MAX($P$34*($B266+IF($R$17="Distrato",$I$38-1,0)),IF(AND($L$37=0,$P$34=0),"",$L$37-1),IF($R$17="Distrato",$E266,0))),0,YEARFRAC(MAX($P$34*($B266+IF($R$17="Distrato",$I$38-1,0)),IF(AND($L$37=0,$P$34=0),"",$L$37-1),IF($R$17="Distrato",$E266,0)),MIN(AN$38,$D$19),$P$20))-SUM($P266:AM266)</f>
        <v>#VALUE!</v>
      </c>
      <c r="AO266" s="446" t="e">
        <f>IF(OR($B266="",MIN(AO$38,$D$19)&lt;MAX($P$34*($B266+IF($R$17="Distrato",$I$38-1,0)),IF(AND($L$37=0,$P$34=0),"",$L$37-1),IF($R$17="Distrato",$E266,0))),0,YEARFRAC(MAX($P$34*($B266+IF($R$17="Distrato",$I$38-1,0)),IF(AND($L$37=0,$P$34=0),"",$L$37-1),IF($R$17="Distrato",$E266,0)),MIN(AO$38,$D$19),$P$20))-SUM($P266:AN266)</f>
        <v>#VALUE!</v>
      </c>
      <c r="AP266" s="446" t="e">
        <f>IF(OR($B266="",MIN(AP$38,$D$19)&lt;MAX($P$34*($B266+IF($R$17="Distrato",$I$38-1,0)),IF(AND($L$37=0,$P$34=0),"",$L$37-1),IF($R$17="Distrato",$E266,0))),0,YEARFRAC(MAX($P$34*($B266+IF($R$17="Distrato",$I$38-1,0)),IF(AND($L$37=0,$P$34=0),"",$L$37-1),IF($R$17="Distrato",$E266,0)),MIN(AP$38,$D$19),$P$20))-SUM($P266:AO266)</f>
        <v>#VALUE!</v>
      </c>
      <c r="AQ266" s="446" t="e">
        <f>IF(OR($B266="",MIN(AQ$38,$D$19)&lt;MAX($P$34*($B266+IF($R$17="Distrato",$I$38-1,0)),IF(AND($L$37=0,$P$34=0),"",$L$37-1),IF($R$17="Distrato",$E266,0))),0,YEARFRAC(MAX($P$34*($B266+IF($R$17="Distrato",$I$38-1,0)),IF(AND($L$37=0,$P$34=0),"",$L$37-1),IF($R$17="Distrato",$E266,0)),MIN(AQ$38,$D$19),$P$20))-SUM($P266:AP266)</f>
        <v>#VALUE!</v>
      </c>
      <c r="AR266" s="446" t="e">
        <f>IF(OR($B266="",MIN(AR$38,$D$19)&lt;MAX($P$34*($B266+IF($R$17="Distrato",$I$38-1,0)),IF(AND($L$37=0,$P$34=0),"",$L$37-1),IF($R$17="Distrato",$E266,0))),0,YEARFRAC(MAX($P$34*($B266+IF($R$17="Distrato",$I$38-1,0)),IF(AND($L$37=0,$P$34=0),"",$L$37-1),IF($R$17="Distrato",$E266,0)),MIN(AR$38,$D$19),$P$20))-SUM($P266:AQ266)</f>
        <v>#VALUE!</v>
      </c>
      <c r="AS266" s="446" t="e">
        <f>IF(OR($B266="",MIN(AS$38,$D$19)&lt;MAX($P$34*($B266+IF($R$17="Distrato",$I$38-1,0)),IF(AND($L$37=0,$P$34=0),"",$L$37-1),IF($R$17="Distrato",$E266,0))),0,YEARFRAC(MAX($P$34*($B266+IF($R$17="Distrato",$I$38-1,0)),IF(AND($L$37=0,$P$34=0),"",$L$37-1),IF($R$17="Distrato",$E266,0)),MIN(AS$38,$D$19),$P$20))-SUM($P266:AR266)</f>
        <v>#VALUE!</v>
      </c>
      <c r="AT266" s="446" t="e">
        <f>IF(OR($B266="",MIN(AT$38,$D$19)&lt;MAX($P$34*($B266+IF($R$17="Distrato",$I$38-1,0)),IF(AND($L$37=0,$P$34=0),"",$L$37-1),IF($R$17="Distrato",$E266,0))),0,YEARFRAC(MAX($P$34*($B266+IF($R$17="Distrato",$I$38-1,0)),IF(AND($L$37=0,$P$34=0),"",$L$37-1),IF($R$17="Distrato",$E266,0)),MIN(AT$38,$D$19),$P$20))-SUM($P266:AS266)</f>
        <v>#VALUE!</v>
      </c>
      <c r="AU266" s="446" t="e">
        <f>IF(OR($B266="",MIN(AU$38,$D$19)&lt;MAX($P$34*($B266+IF($R$17="Distrato",$I$38-1,0)),IF(AND($L$37=0,$P$34=0),"",$L$37-1),IF($R$17="Distrato",$E266,0))),0,YEARFRAC(MAX($P$34*($B266+IF($R$17="Distrato",$I$38-1,0)),IF(AND($L$37=0,$P$34=0),"",$L$37-1),IF($R$17="Distrato",$E266,0)),MIN(AU$38,$D$19),$P$20))-SUM($P266:AT266)</f>
        <v>#VALUE!</v>
      </c>
      <c r="AV266" s="446" t="e">
        <f>IF(OR($B266="",MIN(AV$38,$D$19)&lt;MAX($P$34*($B266+IF($R$17="Distrato",$I$38-1,0)),IF(AND($L$37=0,$P$34=0),"",$L$37-1),IF($R$17="Distrato",$E266,0))),0,YEARFRAC(MAX($P$34*($B266+IF($R$17="Distrato",$I$38-1,0)),IF(AND($L$37=0,$P$34=0),"",$L$37-1),IF($R$17="Distrato",$E266,0)),MIN(AV$38,$D$19),$P$20))-SUM($P266:AU266)</f>
        <v>#VALUE!</v>
      </c>
      <c r="AW266" s="446" t="e">
        <f>IF(OR($B266="",MIN(AW$38,$D$19)&lt;MAX($P$34*($B266+IF($R$17="Distrato",$I$38-1,0)),IF(AND($L$37=0,$P$34=0),"",$L$37-1),IF($R$17="Distrato",$E266,0))),0,YEARFRAC(MAX($P$34*($B266+IF($R$17="Distrato",$I$38-1,0)),IF(AND($L$37=0,$P$34=0),"",$L$37-1),IF($R$17="Distrato",$E266,0)),MIN(AW$38,$D$19),$P$20))-SUM($P266:AV266)</f>
        <v>#VALUE!</v>
      </c>
      <c r="AX266" s="446" t="e">
        <f>IF(OR($B266="",MIN(AX$38,$D$19)&lt;MAX($P$34*($B266+IF($R$17="Distrato",$I$38-1,0)),IF(AND($L$37=0,$P$34=0),"",$L$37-1),IF($R$17="Distrato",$E266,0))),0,YEARFRAC(MAX($P$34*($B266+IF($R$17="Distrato",$I$38-1,0)),IF(AND($L$37=0,$P$34=0),"",$L$37-1),IF($R$17="Distrato",$E266,0)),MIN(AX$38,$D$19),$P$20))-SUM($P266:AW266)</f>
        <v>#VALUE!</v>
      </c>
      <c r="AY266" s="446" t="e">
        <f>IF(OR($B266="",MIN(AY$38,$D$19)&lt;MAX($P$34*($B266+IF($R$17="Distrato",$I$38-1,0)),IF(AND($L$37=0,$P$34=0),"",$L$37-1),IF($R$17="Distrato",$E266,0))),0,YEARFRAC(MAX($P$34*($B266+IF($R$17="Distrato",$I$38-1,0)),IF(AND($L$37=0,$P$34=0),"",$L$37-1),IF($R$17="Distrato",$E266,0)),MIN(AY$38,$D$19),$P$20))-SUM($P266:AX266)</f>
        <v>#VALUE!</v>
      </c>
      <c r="AZ266" s="446" t="e">
        <f>IF(OR($B266="",MIN(AZ$38,$D$19)&lt;MAX($P$34*($B266+IF($R$17="Distrato",$I$38-1,0)),IF(AND($L$37=0,$P$34=0),"",$L$37-1),IF($R$17="Distrato",$E266,0))),0,YEARFRAC(MAX($P$34*($B266+IF($R$17="Distrato",$I$38-1,0)),IF(AND($L$37=0,$P$34=0),"",$L$37-1),IF($R$17="Distrato",$E266,0)),MIN(AZ$38,$D$19),$P$20))-SUM($P266:AY266)</f>
        <v>#VALUE!</v>
      </c>
      <c r="BA266" s="446" t="e">
        <f>IF(OR($B266="",MIN(BA$38,$D$19)&lt;MAX($P$34*($B266+IF($R$17="Distrato",$I$38-1,0)),IF(AND($L$37=0,$P$34=0),"",$L$37-1),IF($R$17="Distrato",$E266,0))),0,YEARFRAC(MAX($P$34*($B266+IF($R$17="Distrato",$I$38-1,0)),IF(AND($L$37=0,$P$34=0),"",$L$37-1),IF($R$17="Distrato",$E266,0)),MIN(BA$38,$D$19),$P$20))-SUM($P266:AZ266)</f>
        <v>#VALUE!</v>
      </c>
      <c r="BB266" s="447"/>
      <c r="BF266" s="446">
        <f t="shared" si="43"/>
        <v>0</v>
      </c>
      <c r="BG266" s="446">
        <f>IF($E266=0,0,IF(MIN(BG$38,$E266)&lt;MAX($P$34*($B266+$I$38-1),IF(AND($L$37=0,$P$34=0),"",$L$37-1)),0,YEARFRAC(MAX($P$34*($B266+$I$38-1),IF(AND($L$37=0,$P$34=0),"",$L$37-1)),MIN(BG$38,$E266),$P$20))-SUM($BF266:BF266))</f>
        <v>0</v>
      </c>
      <c r="BH266" s="446">
        <f>IF($E266=0,0,IF(MIN(BH$38,$E266)&lt;MAX($P$34*($B266+$I$38-1),IF(AND($L$37=0,$P$34=0),"",$L$37-1)),0,YEARFRAC(MAX($P$34*($B266+$I$38-1),IF(AND($L$37=0,$P$34=0),"",$L$37-1)),MIN(BH$38,$E266),$P$20))-SUM($BF266:BG266))</f>
        <v>0</v>
      </c>
      <c r="BI266" s="446">
        <f>IF($E266=0,0,IF(MIN(BI$38,$E266)&lt;MAX($P$34*($B266+$I$38-1),IF(AND($L$37=0,$P$34=0),"",$L$37-1)),0,YEARFRAC(MAX($P$34*($B266+$I$38-1),IF(AND($L$37=0,$P$34=0),"",$L$37-1)),MIN(BI$38,$E266),$P$20))-SUM($BF266:BH266))</f>
        <v>0</v>
      </c>
      <c r="BJ266" s="446">
        <f>IF($E266=0,0,IF(MIN(BJ$38,$E266)&lt;MAX($P$34*($B266+$I$38-1),IF(AND($L$37=0,$P$34=0),"",$L$37-1)),0,YEARFRAC(MAX($P$34*($B266+$I$38-1),IF(AND($L$37=0,$P$34=0),"",$L$37-1)),MIN(BJ$38,$E266),$P$20))-SUM($BF266:BI266))</f>
        <v>0</v>
      </c>
      <c r="BK266" s="446">
        <f>IF($E266=0,0,IF(MIN(BK$38,$E266)&lt;MAX($P$34*($B266+$I$38-1),IF(AND($L$37=0,$P$34=0),"",$L$37-1)),0,YEARFRAC(MAX($P$34*($B266+$I$38-1),IF(AND($L$37=0,$P$34=0),"",$L$37-1)),MIN(BK$38,$E266),$P$20))-SUM($BF266:BJ266))</f>
        <v>0</v>
      </c>
      <c r="BL266" s="446">
        <f>IF($E266=0,0,IF(MIN(BL$38,$E266)&lt;MAX($P$34*($B266+$I$38-1),IF(AND($L$37=0,$P$34=0),"",$L$37-1)),0,YEARFRAC(MAX($P$34*($B266+$I$38-1),IF(AND($L$37=0,$P$34=0),"",$L$37-1)),MIN(BL$38,$E266),$P$20))-SUM($BF266:BK266))</f>
        <v>0</v>
      </c>
      <c r="BM266" s="446">
        <f>IF($E266=0,0,IF(MIN(BM$38,$E266)&lt;MAX($P$34*($B266+$I$38-1),IF(AND($L$37=0,$P$34=0),"",$L$37-1)),0,YEARFRAC(MAX($P$34*($B266+$I$38-1),IF(AND($L$37=0,$P$34=0),"",$L$37-1)),MIN(BM$38,$E266),$P$20))-SUM($BF266:BL266))</f>
        <v>0</v>
      </c>
      <c r="BN266" s="446">
        <f>IF($E266=0,0,IF(MIN(BN$38,$E266)&lt;MAX($P$34*($B266+$I$38-1),IF(AND($L$37=0,$P$34=0),"",$L$37-1)),0,YEARFRAC(MAX($P$34*($B266+$I$38-1),IF(AND($L$37=0,$P$34=0),"",$L$37-1)),MIN(BN$38,$E266),$P$20))-SUM($BF266:BM266))</f>
        <v>0</v>
      </c>
      <c r="BO266" s="446">
        <f>IF($E266=0,0,IF(MIN(BO$38,$E266)&lt;MAX($P$34*($B266+$I$38-1),IF(AND($L$37=0,$P$34=0),"",$L$37-1)),0,YEARFRAC(MAX($P$34*($B266+$I$38-1),IF(AND($L$37=0,$P$34=0),"",$L$37-1)),MIN(BO$38,$E266),$P$20))-SUM($BF266:BN266))</f>
        <v>0</v>
      </c>
      <c r="BP266" s="446">
        <f>IF($E266=0,0,IF(MIN(BP$38,$E266)&lt;MAX($P$34*($B266+$I$38-1),IF(AND($L$37=0,$P$34=0),"",$L$37-1)),0,YEARFRAC(MAX($P$34*($B266+$I$38-1),IF(AND($L$37=0,$P$34=0),"",$L$37-1)),MIN(BP$38,$E266),$P$20))-SUM($BF266:BO266))</f>
        <v>0</v>
      </c>
      <c r="BQ266" s="446">
        <f>IF($E266=0,0,IF(MIN(BQ$38,$E266)&lt;MAX($P$34*($B266+$I$38-1),IF(AND($L$37=0,$P$34=0),"",$L$37-1)),0,YEARFRAC(MAX($P$34*($B266+$I$38-1),IF(AND($L$37=0,$P$34=0),"",$L$37-1)),MIN(BQ$38,$E266),$P$20))-SUM($BF266:BP266))</f>
        <v>0</v>
      </c>
      <c r="BR266" s="446">
        <f>IF($E266=0,0,IF(MIN(BR$38,$E266)&lt;MAX($P$34*($B266+$I$38-1),IF(AND($L$37=0,$P$34=0),"",$L$37-1)),0,YEARFRAC(MAX($P$34*($B266+$I$38-1),IF(AND($L$37=0,$P$34=0),"",$L$37-1)),MIN(BR$38,$E266),$P$20))-SUM($BF266:BQ266))</f>
        <v>0</v>
      </c>
      <c r="BS266" s="446">
        <f>IF($E266=0,0,IF(MIN(BS$38,$E266)&lt;MAX($P$34*($B266+$I$38-1),IF(AND($L$37=0,$P$34=0),"",$L$37-1)),0,YEARFRAC(MAX($P$34*($B266+$I$38-1),IF(AND($L$37=0,$P$34=0),"",$L$37-1)),MIN(BS$38,$E266),$P$20))-SUM($BF266:BR266))</f>
        <v>0</v>
      </c>
      <c r="BT266" s="446">
        <f>IF($E266=0,0,IF(MIN(BT$38,$E266)&lt;MAX($P$34*($B266+$I$38-1),IF(AND($L$37=0,$P$34=0),"",$L$37-1)),0,YEARFRAC(MAX($P$34*($B266+$I$38-1),IF(AND($L$37=0,$P$34=0),"",$L$37-1)),MIN(BT$38,$E266),$P$20))-SUM($BF266:BS266))</f>
        <v>0</v>
      </c>
      <c r="BU266" s="446">
        <f>IF($E266=0,0,IF(MIN(BU$38,$E266)&lt;MAX($P$34*($B266+$I$38-1),IF(AND($L$37=0,$P$34=0),"",$L$37-1)),0,YEARFRAC(MAX($P$34*($B266+$I$38-1),IF(AND($L$37=0,$P$34=0),"",$L$37-1)),MIN(BU$38,$E266),$P$20))-SUM($BF266:BT266))</f>
        <v>0</v>
      </c>
      <c r="BV266" s="446">
        <f>IF($E266=0,0,IF(MIN(BV$38,$E266)&lt;MAX($P$34*($B266+$I$38-1),IF(AND($L$37=0,$P$34=0),"",$L$37-1)),0,YEARFRAC(MAX($P$34*($B266+$I$38-1),IF(AND($L$37=0,$P$34=0),"",$L$37-1)),MIN(BV$38,$E266),$P$20))-SUM($BF266:BU266))</f>
        <v>0</v>
      </c>
      <c r="BW266" s="446">
        <f>IF($E266=0,0,IF(MIN(BW$38,$E266)&lt;MAX($P$34*($B266+$I$38-1),IF(AND($L$37=0,$P$34=0),"",$L$37-1)),0,YEARFRAC(MAX($P$34*($B266+$I$38-1),IF(AND($L$37=0,$P$34=0),"",$L$37-1)),MIN(BW$38,$E266),$P$20))-SUM($BF266:BV266))</f>
        <v>0</v>
      </c>
      <c r="BX266" s="446">
        <f>IF($E266=0,0,IF(MIN(BX$38,$E266)&lt;MAX($P$34*($B266+$I$38-1),IF(AND($L$37=0,$P$34=0),"",$L$37-1)),0,YEARFRAC(MAX($P$34*($B266+$I$38-1),IF(AND($L$37=0,$P$34=0),"",$L$37-1)),MIN(BX$38,$E266),$P$20))-SUM($BF266:BW266))</f>
        <v>0</v>
      </c>
      <c r="BY266" s="446">
        <f>IF($E266=0,0,IF(MIN(BY$38,$E266)&lt;MAX($P$34*($B266+$I$38-1),IF(AND($L$37=0,$P$34=0),"",$L$37-1)),0,YEARFRAC(MAX($P$34*($B266+$I$38-1),IF(AND($L$37=0,$P$34=0),"",$L$37-1)),MIN(BY$38,$E266),$P$20))-SUM($BF266:BX266))</f>
        <v>0</v>
      </c>
      <c r="BZ266" s="446">
        <f>IF($E266=0,0,IF(MIN(BZ$38,$E266)&lt;MAX($P$34*($B266+$I$38-1),IF(AND($L$37=0,$P$34=0),"",$L$37-1)),0,YEARFRAC(MAX($P$34*($B266+$I$38-1),IF(AND($L$37=0,$P$34=0),"",$L$37-1)),MIN(BZ$38,$E266),$P$20))-SUM($BF266:BY266))</f>
        <v>0</v>
      </c>
      <c r="CA266" s="446">
        <f>IF($E266=0,0,IF(MIN(CA$38,$E266)&lt;MAX($P$34*($B266+$I$38-1),IF(AND($L$37=0,$P$34=0),"",$L$37-1)),0,YEARFRAC(MAX($P$34*($B266+$I$38-1),IF(AND($L$37=0,$P$34=0),"",$L$37-1)),MIN(CA$38,$E266),$P$20))-SUM($BF266:BZ266))</f>
        <v>0</v>
      </c>
      <c r="CB266" s="446">
        <f>IF($E266=0,0,IF(MIN(CB$38,$E266)&lt;MAX($P$34*($B266+$I$38-1),IF(AND($L$37=0,$P$34=0),"",$L$37-1)),0,YEARFRAC(MAX($P$34*($B266+$I$38-1),IF(AND($L$37=0,$P$34=0),"",$L$37-1)),MIN(CB$38,$E266),$P$20))-SUM($BF266:CA266))</f>
        <v>0</v>
      </c>
      <c r="CC266" s="446">
        <f>IF($E266=0,0,IF(MIN(CC$38,$E266)&lt;MAX($P$34*($B266+$I$38-1),IF(AND($L$37=0,$P$34=0),"",$L$37-1)),0,YEARFRAC(MAX($P$34*($B266+$I$38-1),IF(AND($L$37=0,$P$34=0),"",$L$37-1)),MIN(CC$38,$E266),$P$20))-SUM($BF266:CB266))</f>
        <v>0</v>
      </c>
      <c r="CD266" s="446">
        <f>IF($E266=0,0,IF(MIN(CD$38,$E266)&lt;MAX($P$34*($B266+$I$38-1),IF(AND($L$37=0,$P$34=0),"",$L$37-1)),0,YEARFRAC(MAX($P$34*($B266+$I$38-1),IF(AND($L$37=0,$P$34=0),"",$L$37-1)),MIN(CD$38,$E266),$P$20))-SUM($BF266:CC266))</f>
        <v>0</v>
      </c>
      <c r="CE266" s="446">
        <f>IF($E266=0,0,IF(MIN(CE$38,$E266)&lt;MAX($P$34*($B266+$I$38-1),IF(AND($L$37=0,$P$34=0),"",$L$37-1)),0,YEARFRAC(MAX($P$34*($B266+$I$38-1),IF(AND($L$37=0,$P$34=0),"",$L$37-1)),MIN(CE$38,$E266),$P$20))-SUM($BF266:CD266))</f>
        <v>0</v>
      </c>
      <c r="CF266" s="446">
        <f>IF($E266=0,0,IF(MIN(CF$38,$E266)&lt;MAX($P$34*($B266+$I$38-1),IF(AND($L$37=0,$P$34=0),"",$L$37-1)),0,YEARFRAC(MAX($P$34*($B266+$I$38-1),IF(AND($L$37=0,$P$34=0),"",$L$37-1)),MIN(CF$38,$E266),$P$20))-SUM($BF266:CE266))</f>
        <v>0</v>
      </c>
      <c r="CG266" s="446">
        <f>IF($E266=0,0,IF(MIN(CG$38,$E266)&lt;MAX($P$34*($B266+$I$38-1),IF(AND($L$37=0,$P$34=0),"",$L$37-1)),0,YEARFRAC(MAX($P$34*($B266+$I$38-1),IF(AND($L$37=0,$P$34=0),"",$L$37-1)),MIN(CG$38,$E266),$P$20))-SUM($BF266:CF266))</f>
        <v>0</v>
      </c>
      <c r="CH266" s="446">
        <f>IF($E266=0,0,IF(MIN(CH$38,$E266)&lt;MAX($P$34*($B266+$I$38-1),IF(AND($L$37=0,$P$34=0),"",$L$37-1)),0,YEARFRAC(MAX($P$34*($B266+$I$38-1),IF(AND($L$37=0,$P$34=0),"",$L$37-1)),MIN(CH$38,$E266),$P$20))-SUM($BF266:CG266))</f>
        <v>0</v>
      </c>
      <c r="CI266" s="446">
        <f>IF($E266=0,0,IF(MIN(CI$38,$E266)&lt;MAX($P$34*($B266+$I$38-1),IF(AND($L$37=0,$P$34=0),"",$L$37-1)),0,YEARFRAC(MAX($P$34*($B266+$I$38-1),IF(AND($L$37=0,$P$34=0),"",$L$37-1)),MIN(CI$38,$E266),$P$20))-SUM($BF266:CH266))</f>
        <v>0</v>
      </c>
      <c r="CJ266" s="446">
        <f>IF($E266=0,0,IF(MIN(CJ$38,$E266)&lt;MAX($P$34*($B266+$I$38-1),IF(AND($L$37=0,$P$34=0),"",$L$37-1)),0,YEARFRAC(MAX($P$34*($B266+$I$38-1),IF(AND($L$37=0,$P$34=0),"",$L$37-1)),MIN(CJ$38,$E266),$P$20))-SUM($BF266:CI266))</f>
        <v>0</v>
      </c>
      <c r="CK266" s="446">
        <f>IF($E266=0,0,IF(MIN(CK$38,$E266)&lt;MAX($P$34*($B266+$I$38-1),IF(AND($L$37=0,$P$34=0),"",$L$37-1)),0,YEARFRAC(MAX($P$34*($B266+$I$38-1),IF(AND($L$37=0,$P$34=0),"",$L$37-1)),MIN(CK$38,$E266),$P$20))-SUM($BF266:CJ266))</f>
        <v>0</v>
      </c>
      <c r="CL266" s="446">
        <f>IF($E266=0,0,IF(MIN(CL$38,$E266)&lt;MAX($P$34*($B266+$I$38-1),IF(AND($L$37=0,$P$34=0),"",$L$37-1)),0,YEARFRAC(MAX($P$34*($B266+$I$38-1),IF(AND($L$37=0,$P$34=0),"",$L$37-1)),MIN(CL$38,$E266),$P$20))-SUM($BF266:CK266))</f>
        <v>0</v>
      </c>
      <c r="CM266" s="446">
        <f>IF($E266=0,0,IF(MIN(CM$38,$E266)&lt;MAX($P$34*($B266+$I$38-1),IF(AND($L$37=0,$P$34=0),"",$L$37-1)),0,YEARFRAC(MAX($P$34*($B266+$I$38-1),IF(AND($L$37=0,$P$34=0),"",$L$37-1)),MIN(CM$38,$E266),$P$20))-SUM($BF266:CL266))</f>
        <v>0</v>
      </c>
      <c r="CN266" s="446">
        <f>IF($E266=0,0,IF(MIN(CN$38,$E266)&lt;MAX($P$34*($B266+$I$38-1),IF(AND($L$37=0,$P$34=0),"",$L$37-1)),0,YEARFRAC(MAX($P$34*($B266+$I$38-1),IF(AND($L$37=0,$P$34=0),"",$L$37-1)),MIN(CN$38,$E266),$P$20))-SUM($BF266:CM266))</f>
        <v>0</v>
      </c>
      <c r="CO266" s="446">
        <f>IF($E266=0,0,IF(MIN(CO$38,$E266)&lt;MAX($P$34*($B266+$I$38-1),IF(AND($L$37=0,$P$34=0),"",$L$37-1)),0,YEARFRAC(MAX($P$34*($B266+$I$38-1),IF(AND($L$37=0,$P$34=0),"",$L$37-1)),MIN(CO$38,$E266),$P$20))-SUM($BF266:CN266))</f>
        <v>0</v>
      </c>
      <c r="CP266" s="446">
        <f>IF($E266=0,0,IF(MIN(CP$38,$E266)&lt;MAX($P$34*($B266+$I$38-1),IF(AND($L$37=0,$P$34=0),"",$L$37-1)),0,YEARFRAC(MAX($P$34*($B266+$I$38-1),IF(AND($L$37=0,$P$34=0),"",$L$37-1)),MIN(CP$38,$E266),$P$20))-SUM($BF266:CO266))</f>
        <v>0</v>
      </c>
      <c r="CQ266" s="446">
        <f>IF($E266=0,0,IF(MIN(CQ$38,$E266)&lt;MAX($P$34*($B266+$I$38-1),IF(AND($L$37=0,$P$34=0),"",$L$37-1)),0,YEARFRAC(MAX($P$34*($B266+$I$38-1),IF(AND($L$37=0,$P$34=0),"",$L$37-1)),MIN(CQ$38,$E266),$P$20))-SUM($BF266:CP266))</f>
        <v>0</v>
      </c>
    </row>
    <row r="267" spans="1:95" s="446" customFormat="1" ht="11.25" hidden="1" customHeight="1" x14ac:dyDescent="0.2">
      <c r="A267" s="152"/>
      <c r="B267" s="153" t="str">
        <f t="shared" si="48"/>
        <v/>
      </c>
      <c r="C267" s="29" t="str">
        <f>IF(B267="","",IF($L$35="SELIC - TRIBUTOS",VLOOKUP(DATE(YEAR($D$19),MONTH($D$19)-1,1),ÍNDICES!$A:$DE,HLOOKUP($BL$25,ÍNDICES!$B$3:$T$4,2)+11)-VLOOKUP(B267,ÍNDICES!$A:$DE,HLOOKUP($BL$25,ÍNDICES!$B$3:$T$4,2)+11)+1%,IF(C$38=$W$26,$J$35,IF(ISERROR(IF(B267&gt;$D$19,1,VLOOKUP(DATE(YEAR(B267),MONTH(B267)+IF($C$35=$S$23,1,0),1),ÍNDICES!$A:$DE,$Z$35+1))),"",IF(B267&gt;$D$19,1,VLOOKUP(DATE(YEAR(B267),MONTH(B267)+IF($C$35=$S$23,1,0),1),ÍNDICES!$A:$DE,$Z$35+1))))))</f>
        <v/>
      </c>
      <c r="D267" s="154" t="str">
        <f>IF(ISERROR(IF(OR($D$38=$Y$27,$B267=""),"",VLOOKUP(B267,ÍNDICES!A:DE,AF$35+1))),"",IF(OR($D$38=$Y$27,$B267=""),"",VLOOKUP(B267,ÍNDICES!A:DE,AF$35+1)))</f>
        <v/>
      </c>
      <c r="E267" s="153"/>
      <c r="F267" s="29" t="str">
        <f>IF(E267="","",IF($L$35="SELIC - TRIBUTOS",VLOOKUP(DATE(YEAR($D$19),MONTH($D$19)-1,1),ÍNDICES!$A:$DE,HLOOKUP($BL$25,ÍNDICES!$B$3:$T$4,2)+11)-VLOOKUP(E267,ÍNDICES!$A:$DE,HLOOKUP($BL$25,ÍNDICES!$B$3:$T$4,2)+11)+1%,IF(F$38=$W$26,$J$35,IF(ISERROR(IF(E267&gt;$D$19,1,VLOOKUP(DATE(YEAR(E267),MONTH(E267)+IF($C$35=$S$23,1,0),1),ÍNDICES!$A:$DE,$Z$35+1))),"",IF(E267&gt;$D$19,1,VLOOKUP(DATE(YEAR(E267),MONTH(E267)+IF($C$35=$S$23,1,0),1),ÍNDICES!$A:$DE,$Z$35+1))))))</f>
        <v/>
      </c>
      <c r="G267" s="155"/>
      <c r="H267" s="156" t="str">
        <f t="shared" si="44"/>
        <v/>
      </c>
      <c r="I267" s="29" t="str">
        <f t="shared" si="38"/>
        <v/>
      </c>
      <c r="J267" s="5">
        <f t="shared" si="39"/>
        <v>0</v>
      </c>
      <c r="K267" s="20">
        <f t="shared" ca="1" si="40"/>
        <v>0</v>
      </c>
      <c r="L267" s="5">
        <f t="shared" ca="1" si="41"/>
        <v>0</v>
      </c>
      <c r="M267" s="64">
        <f t="shared" si="45"/>
        <v>0</v>
      </c>
      <c r="N267" s="61">
        <f t="shared" ca="1" si="46"/>
        <v>0</v>
      </c>
      <c r="O267" s="5">
        <f t="shared" ca="1" si="47"/>
        <v>0</v>
      </c>
      <c r="P267" s="446" t="e">
        <f t="shared" si="42"/>
        <v>#VALUE!</v>
      </c>
      <c r="Q267" s="446" t="e">
        <f>IF(OR($B267="",MIN(Q$38,$D$19)&lt;MAX($P$34*($B267+IF($R$17="Distrato",$I$38-1,0)),IF(AND($L$37=0,$P$34=0),"",$L$37-1),IF($R$17="Distrato",$E267,0))),0,YEARFRAC(MAX($P$34*($B267+IF($R$17="Distrato",$I$38-1,0)),IF(AND($L$37=0,$P$34=0),"",$L$37-1),IF($R$17="Distrato",$E267,0)),MIN(Q$38,$D$19),$P$20))-SUM($P267:P267)</f>
        <v>#VALUE!</v>
      </c>
      <c r="R267" s="446" t="e">
        <f>IF(OR($B267="",MIN(R$38,$D$19)&lt;MAX($P$34*($B267+IF($R$17="Distrato",$I$38-1,0)),IF(AND($L$37=0,$P$34=0),"",$L$37-1),IF($R$17="Distrato",$E267,0))),0,YEARFRAC(MAX($P$34*($B267+IF($R$17="Distrato",$I$38-1,0)),IF(AND($L$37=0,$P$34=0),"",$L$37-1),IF($R$17="Distrato",$E267,0)),MIN(R$38,$D$19),$P$20))-SUM($P267:Q267)</f>
        <v>#VALUE!</v>
      </c>
      <c r="S267" s="446" t="e">
        <f>IF(OR($B267="",MIN(S$38,$D$19)&lt;MAX($P$34*($B267+IF($R$17="Distrato",$I$38-1,0)),IF(AND($L$37=0,$P$34=0),"",$L$37-1),IF($R$17="Distrato",$E267,0))),0,YEARFRAC(MAX($P$34*($B267+IF($R$17="Distrato",$I$38-1,0)),IF(AND($L$37=0,$P$34=0),"",$L$37-1),IF($R$17="Distrato",$E267,0)),MIN(S$38,$D$19),$P$20))-SUM($P267:R267)</f>
        <v>#VALUE!</v>
      </c>
      <c r="T267" s="446" t="e">
        <f>IF(OR($B267="",MIN(T$38,$D$19)&lt;MAX($P$34*($B267+IF($R$17="Distrato",$I$38-1,0)),IF(AND($L$37=0,$P$34=0),"",$L$37-1),IF($R$17="Distrato",$E267,0))),0,YEARFRAC(MAX($P$34*($B267+IF($R$17="Distrato",$I$38-1,0)),IF(AND($L$37=0,$P$34=0),"",$L$37-1),IF($R$17="Distrato",$E267,0)),MIN(T$38,$D$19),$P$20))-SUM($P267:S267)</f>
        <v>#VALUE!</v>
      </c>
      <c r="U267" s="446" t="e">
        <f>IF(OR($B267="",MIN(U$38,$D$19)&lt;MAX($P$34*($B267+IF($R$17="Distrato",$I$38-1,0)),IF(AND($L$37=0,$P$34=0),"",$L$37-1),IF($R$17="Distrato",$E267,0))),0,YEARFRAC(MAX($P$34*($B267+IF($R$17="Distrato",$I$38-1,0)),IF(AND($L$37=0,$P$34=0),"",$L$37-1),IF($R$17="Distrato",$E267,0)),MIN(U$38,$D$19),$P$20))-SUM($P267:T267)</f>
        <v>#VALUE!</v>
      </c>
      <c r="V267" s="446" t="e">
        <f>IF(OR($B267="",MIN(V$38,$D$19)&lt;MAX($P$34*($B267+IF($R$17="Distrato",$I$38-1,0)),IF(AND($L$37=0,$P$34=0),"",$L$37-1),IF($R$17="Distrato",$E267,0))),0,YEARFRAC(MAX($P$34*($B267+IF($R$17="Distrato",$I$38-1,0)),IF(AND($L$37=0,$P$34=0),"",$L$37-1),IF($R$17="Distrato",$E267,0)),MIN(V$38,$D$19),$P$20))-SUM($P267:U267)</f>
        <v>#VALUE!</v>
      </c>
      <c r="W267" s="446" t="e">
        <f>IF(OR($B267="",MIN(W$38,$D$19)&lt;MAX($P$34*($B267+IF($R$17="Distrato",$I$38-1,0)),IF(AND($L$37=0,$P$34=0),"",$L$37-1),IF($R$17="Distrato",$E267,0))),0,YEARFRAC(MAX($P$34*($B267+IF($R$17="Distrato",$I$38-1,0)),IF(AND($L$37=0,$P$34=0),"",$L$37-1),IF($R$17="Distrato",$E267,0)),MIN(W$38,$D$19),$P$20))-SUM($P267:V267)</f>
        <v>#VALUE!</v>
      </c>
      <c r="X267" s="446" t="e">
        <f>IF(OR($B267="",MIN(X$38,$D$19)&lt;MAX($P$34*($B267+IF($R$17="Distrato",$I$38-1,0)),IF(AND($L$37=0,$P$34=0),"",$L$37-1),IF($R$17="Distrato",$E267,0))),0,YEARFRAC(MAX($P$34*($B267+IF($R$17="Distrato",$I$38-1,0)),IF(AND($L$37=0,$P$34=0),"",$L$37-1),IF($R$17="Distrato",$E267,0)),MIN(X$38,$D$19),$P$20))-SUM($P267:W267)</f>
        <v>#VALUE!</v>
      </c>
      <c r="Y267" s="446" t="e">
        <f>IF(OR($B267="",MIN(Y$38,$D$19)&lt;MAX($P$34*($B267+IF($R$17="Distrato",$I$38-1,0)),IF(AND($L$37=0,$P$34=0),"",$L$37-1),IF($R$17="Distrato",$E267,0))),0,YEARFRAC(MAX($P$34*($B267+IF($R$17="Distrato",$I$38-1,0)),IF(AND($L$37=0,$P$34=0),"",$L$37-1),IF($R$17="Distrato",$E267,0)),MIN(Y$38,$D$19),$P$20))-SUM($P267:X267)</f>
        <v>#VALUE!</v>
      </c>
      <c r="Z267" s="446" t="e">
        <f>IF(OR($B267="",MIN(Z$38,$D$19)&lt;MAX($P$34*($B267+IF($R$17="Distrato",$I$38-1,0)),IF(AND($L$37=0,$P$34=0),"",$L$37-1),IF($R$17="Distrato",$E267,0))),0,YEARFRAC(MAX($P$34*($B267+IF($R$17="Distrato",$I$38-1,0)),IF(AND($L$37=0,$P$34=0),"",$L$37-1),IF($R$17="Distrato",$E267,0)),MIN(Z$38,$D$19),$P$20))-SUM($P267:Y267)</f>
        <v>#VALUE!</v>
      </c>
      <c r="AA267" s="446" t="e">
        <f>IF(OR($B267="",MIN(AA$38,$D$19)&lt;MAX($P$34*($B267+IF($R$17="Distrato",$I$38-1,0)),IF(AND($L$37=0,$P$34=0),"",$L$37-1),IF($R$17="Distrato",$E267,0))),0,YEARFRAC(MAX($P$34*($B267+IF($R$17="Distrato",$I$38-1,0)),IF(AND($L$37=0,$P$34=0),"",$L$37-1),IF($R$17="Distrato",$E267,0)),MIN(AA$38,$D$19),$P$20))-SUM($P267:Z267)</f>
        <v>#VALUE!</v>
      </c>
      <c r="AB267" s="446" t="e">
        <f>IF(OR($B267="",MIN(AB$38,$D$19)&lt;MAX($P$34*($B267+IF($R$17="Distrato",$I$38-1,0)),IF(AND($L$37=0,$P$34=0),"",$L$37-1),IF($R$17="Distrato",$E267,0))),0,YEARFRAC(MAX($P$34*($B267+IF($R$17="Distrato",$I$38-1,0)),IF(AND($L$37=0,$P$34=0),"",$L$37-1),IF($R$17="Distrato",$E267,0)),MIN(AB$38,$D$19),$P$20))-SUM($P267:AA267)</f>
        <v>#VALUE!</v>
      </c>
      <c r="AC267" s="446" t="e">
        <f>IF(OR($B267="",MIN(AC$38,$D$19)&lt;MAX($P$34*($B267+IF($R$17="Distrato",$I$38-1,0)),IF(AND($L$37=0,$P$34=0),"",$L$37-1),IF($R$17="Distrato",$E267,0))),0,YEARFRAC(MAX($P$34*($B267+IF($R$17="Distrato",$I$38-1,0)),IF(AND($L$37=0,$P$34=0),"",$L$37-1),IF($R$17="Distrato",$E267,0)),MIN(AC$38,$D$19),$P$20))-SUM($P267:AB267)</f>
        <v>#VALUE!</v>
      </c>
      <c r="AD267" s="446" t="e">
        <f>IF(OR($B267="",MIN(AD$38,$D$19)&lt;MAX($P$34*($B267+IF($R$17="Distrato",$I$38-1,0)),IF(AND($L$37=0,$P$34=0),"",$L$37-1),IF($R$17="Distrato",$E267,0))),0,YEARFRAC(MAX($P$34*($B267+IF($R$17="Distrato",$I$38-1,0)),IF(AND($L$37=0,$P$34=0),"",$L$37-1),IF($R$17="Distrato",$E267,0)),MIN(AD$38,$D$19),$P$20))-SUM($P267:AC267)</f>
        <v>#VALUE!</v>
      </c>
      <c r="AE267" s="446" t="e">
        <f>IF(OR($B267="",MIN(AE$38,$D$19)&lt;MAX($P$34*($B267+IF($R$17="Distrato",$I$38-1,0)),IF(AND($L$37=0,$P$34=0),"",$L$37-1),IF($R$17="Distrato",$E267,0))),0,YEARFRAC(MAX($P$34*($B267+IF($R$17="Distrato",$I$38-1,0)),IF(AND($L$37=0,$P$34=0),"",$L$37-1),IF($R$17="Distrato",$E267,0)),MIN(AE$38,$D$19),$P$20))-SUM($P267:AD267)</f>
        <v>#VALUE!</v>
      </c>
      <c r="AF267" s="446" t="e">
        <f>IF(OR($B267="",MIN(AF$38,$D$19)&lt;MAX($P$34*($B267+IF($R$17="Distrato",$I$38-1,0)),IF(AND($L$37=0,$P$34=0),"",$L$37-1),IF($R$17="Distrato",$E267,0))),0,YEARFRAC(MAX($P$34*($B267+IF($R$17="Distrato",$I$38-1,0)),IF(AND($L$37=0,$P$34=0),"",$L$37-1),IF($R$17="Distrato",$E267,0)),MIN(AF$38,$D$19),$P$20))-SUM($P267:AE267)</f>
        <v>#VALUE!</v>
      </c>
      <c r="AG267" s="446" t="e">
        <f>IF(OR($B267="",MIN(AG$38,$D$19)&lt;MAX($P$34*($B267+IF($R$17="Distrato",$I$38-1,0)),IF(AND($L$37=0,$P$34=0),"",$L$37-1),IF($R$17="Distrato",$E267,0))),0,YEARFRAC(MAX($P$34*($B267+IF($R$17="Distrato",$I$38-1,0)),IF(AND($L$37=0,$P$34=0),"",$L$37-1),IF($R$17="Distrato",$E267,0)),MIN(AG$38,$D$19),$P$20))-SUM($P267:AF267)</f>
        <v>#VALUE!</v>
      </c>
      <c r="AH267" s="446" t="e">
        <f>IF(OR($B267="",MIN(AH$38,$D$19)&lt;MAX($P$34*($B267+IF($R$17="Distrato",$I$38-1,0)),IF(AND($L$37=0,$P$34=0),"",$L$37-1),IF($R$17="Distrato",$E267,0))),0,YEARFRAC(MAX($P$34*($B267+IF($R$17="Distrato",$I$38-1,0)),IF(AND($L$37=0,$P$34=0),"",$L$37-1),IF($R$17="Distrato",$E267,0)),MIN(AH$38,$D$19),$P$20))-SUM($P267:AG267)</f>
        <v>#VALUE!</v>
      </c>
      <c r="AI267" s="446" t="e">
        <f>IF(OR($B267="",MIN(AI$38,$D$19)&lt;MAX($P$34*($B267+IF($R$17="Distrato",$I$38-1,0)),IF(AND($L$37=0,$P$34=0),"",$L$37-1),IF($R$17="Distrato",$E267,0))),0,YEARFRAC(MAX($P$34*($B267+IF($R$17="Distrato",$I$38-1,0)),IF(AND($L$37=0,$P$34=0),"",$L$37-1),IF($R$17="Distrato",$E267,0)),MIN(AI$38,$D$19),$P$20))-SUM($P267:AH267)</f>
        <v>#VALUE!</v>
      </c>
      <c r="AJ267" s="446" t="e">
        <f>IF(OR($B267="",MIN(AJ$38,$D$19)&lt;MAX($P$34*($B267+IF($R$17="Distrato",$I$38-1,0)),IF(AND($L$37=0,$P$34=0),"",$L$37-1),IF($R$17="Distrato",$E267,0))),0,YEARFRAC(MAX($P$34*($B267+IF($R$17="Distrato",$I$38-1,0)),IF(AND($L$37=0,$P$34=0),"",$L$37-1),IF($R$17="Distrato",$E267,0)),MIN(AJ$38,$D$19),$P$20))-SUM($P267:AI267)</f>
        <v>#VALUE!</v>
      </c>
      <c r="AK267" s="446" t="e">
        <f>IF(OR($B267="",MIN(AK$38,$D$19)&lt;MAX($P$34*($B267+IF($R$17="Distrato",$I$38-1,0)),IF(AND($L$37=0,$P$34=0),"",$L$37-1),IF($R$17="Distrato",$E267,0))),0,YEARFRAC(MAX($P$34*($B267+IF($R$17="Distrato",$I$38-1,0)),IF(AND($L$37=0,$P$34=0),"",$L$37-1),IF($R$17="Distrato",$E267,0)),MIN(AK$38,$D$19),$P$20))-SUM($P267:AJ267)</f>
        <v>#VALUE!</v>
      </c>
      <c r="AL267" s="446" t="e">
        <f>IF(OR($B267="",MIN(AL$38,$D$19)&lt;MAX($P$34*($B267+IF($R$17="Distrato",$I$38-1,0)),IF(AND($L$37=0,$P$34=0),"",$L$37-1),IF($R$17="Distrato",$E267,0))),0,YEARFRAC(MAX($P$34*($B267+IF($R$17="Distrato",$I$38-1,0)),IF(AND($L$37=0,$P$34=0),"",$L$37-1),IF($R$17="Distrato",$E267,0)),MIN(AL$38,$D$19),$P$20))-SUM($P267:AK267)</f>
        <v>#VALUE!</v>
      </c>
      <c r="AM267" s="446" t="e">
        <f>IF(OR($B267="",MIN(AM$38,$D$19)&lt;MAX($P$34*($B267+IF($R$17="Distrato",$I$38-1,0)),IF(AND($L$37=0,$P$34=0),"",$L$37-1),IF($R$17="Distrato",$E267,0))),0,YEARFRAC(MAX($P$34*($B267+IF($R$17="Distrato",$I$38-1,0)),IF(AND($L$37=0,$P$34=0),"",$L$37-1),IF($R$17="Distrato",$E267,0)),MIN(AM$38,$D$19),$P$20))-SUM($P267:AL267)</f>
        <v>#VALUE!</v>
      </c>
      <c r="AN267" s="446" t="e">
        <f>IF(OR($B267="",MIN(AN$38,$D$19)&lt;MAX($P$34*($B267+IF($R$17="Distrato",$I$38-1,0)),IF(AND($L$37=0,$P$34=0),"",$L$37-1),IF($R$17="Distrato",$E267,0))),0,YEARFRAC(MAX($P$34*($B267+IF($R$17="Distrato",$I$38-1,0)),IF(AND($L$37=0,$P$34=0),"",$L$37-1),IF($R$17="Distrato",$E267,0)),MIN(AN$38,$D$19),$P$20))-SUM($P267:AM267)</f>
        <v>#VALUE!</v>
      </c>
      <c r="AO267" s="446" t="e">
        <f>IF(OR($B267="",MIN(AO$38,$D$19)&lt;MAX($P$34*($B267+IF($R$17="Distrato",$I$38-1,0)),IF(AND($L$37=0,$P$34=0),"",$L$37-1),IF($R$17="Distrato",$E267,0))),0,YEARFRAC(MAX($P$34*($B267+IF($R$17="Distrato",$I$38-1,0)),IF(AND($L$37=0,$P$34=0),"",$L$37-1),IF($R$17="Distrato",$E267,0)),MIN(AO$38,$D$19),$P$20))-SUM($P267:AN267)</f>
        <v>#VALUE!</v>
      </c>
      <c r="AP267" s="446" t="e">
        <f>IF(OR($B267="",MIN(AP$38,$D$19)&lt;MAX($P$34*($B267+IF($R$17="Distrato",$I$38-1,0)),IF(AND($L$37=0,$P$34=0),"",$L$37-1),IF($R$17="Distrato",$E267,0))),0,YEARFRAC(MAX($P$34*($B267+IF($R$17="Distrato",$I$38-1,0)),IF(AND($L$37=0,$P$34=0),"",$L$37-1),IF($R$17="Distrato",$E267,0)),MIN(AP$38,$D$19),$P$20))-SUM($P267:AO267)</f>
        <v>#VALUE!</v>
      </c>
      <c r="AQ267" s="446" t="e">
        <f>IF(OR($B267="",MIN(AQ$38,$D$19)&lt;MAX($P$34*($B267+IF($R$17="Distrato",$I$38-1,0)),IF(AND($L$37=0,$P$34=0),"",$L$37-1),IF($R$17="Distrato",$E267,0))),0,YEARFRAC(MAX($P$34*($B267+IF($R$17="Distrato",$I$38-1,0)),IF(AND($L$37=0,$P$34=0),"",$L$37-1),IF($R$17="Distrato",$E267,0)),MIN(AQ$38,$D$19),$P$20))-SUM($P267:AP267)</f>
        <v>#VALUE!</v>
      </c>
      <c r="AR267" s="446" t="e">
        <f>IF(OR($B267="",MIN(AR$38,$D$19)&lt;MAX($P$34*($B267+IF($R$17="Distrato",$I$38-1,0)),IF(AND($L$37=0,$P$34=0),"",$L$37-1),IF($R$17="Distrato",$E267,0))),0,YEARFRAC(MAX($P$34*($B267+IF($R$17="Distrato",$I$38-1,0)),IF(AND($L$37=0,$P$34=0),"",$L$37-1),IF($R$17="Distrato",$E267,0)),MIN(AR$38,$D$19),$P$20))-SUM($P267:AQ267)</f>
        <v>#VALUE!</v>
      </c>
      <c r="AS267" s="446" t="e">
        <f>IF(OR($B267="",MIN(AS$38,$D$19)&lt;MAX($P$34*($B267+IF($R$17="Distrato",$I$38-1,0)),IF(AND($L$37=0,$P$34=0),"",$L$37-1),IF($R$17="Distrato",$E267,0))),0,YEARFRAC(MAX($P$34*($B267+IF($R$17="Distrato",$I$38-1,0)),IF(AND($L$37=0,$P$34=0),"",$L$37-1),IF($R$17="Distrato",$E267,0)),MIN(AS$38,$D$19),$P$20))-SUM($P267:AR267)</f>
        <v>#VALUE!</v>
      </c>
      <c r="AT267" s="446" t="e">
        <f>IF(OR($B267="",MIN(AT$38,$D$19)&lt;MAX($P$34*($B267+IF($R$17="Distrato",$I$38-1,0)),IF(AND($L$37=0,$P$34=0),"",$L$37-1),IF($R$17="Distrato",$E267,0))),0,YEARFRAC(MAX($P$34*($B267+IF($R$17="Distrato",$I$38-1,0)),IF(AND($L$37=0,$P$34=0),"",$L$37-1),IF($R$17="Distrato",$E267,0)),MIN(AT$38,$D$19),$P$20))-SUM($P267:AS267)</f>
        <v>#VALUE!</v>
      </c>
      <c r="AU267" s="446" t="e">
        <f>IF(OR($B267="",MIN(AU$38,$D$19)&lt;MAX($P$34*($B267+IF($R$17="Distrato",$I$38-1,0)),IF(AND($L$37=0,$P$34=0),"",$L$37-1),IF($R$17="Distrato",$E267,0))),0,YEARFRAC(MAX($P$34*($B267+IF($R$17="Distrato",$I$38-1,0)),IF(AND($L$37=0,$P$34=0),"",$L$37-1),IF($R$17="Distrato",$E267,0)),MIN(AU$38,$D$19),$P$20))-SUM($P267:AT267)</f>
        <v>#VALUE!</v>
      </c>
      <c r="AV267" s="446" t="e">
        <f>IF(OR($B267="",MIN(AV$38,$D$19)&lt;MAX($P$34*($B267+IF($R$17="Distrato",$I$38-1,0)),IF(AND($L$37=0,$P$34=0),"",$L$37-1),IF($R$17="Distrato",$E267,0))),0,YEARFRAC(MAX($P$34*($B267+IF($R$17="Distrato",$I$38-1,0)),IF(AND($L$37=0,$P$34=0),"",$L$37-1),IF($R$17="Distrato",$E267,0)),MIN(AV$38,$D$19),$P$20))-SUM($P267:AU267)</f>
        <v>#VALUE!</v>
      </c>
      <c r="AW267" s="446" t="e">
        <f>IF(OR($B267="",MIN(AW$38,$D$19)&lt;MAX($P$34*($B267+IF($R$17="Distrato",$I$38-1,0)),IF(AND($L$37=0,$P$34=0),"",$L$37-1),IF($R$17="Distrato",$E267,0))),0,YEARFRAC(MAX($P$34*($B267+IF($R$17="Distrato",$I$38-1,0)),IF(AND($L$37=0,$P$34=0),"",$L$37-1),IF($R$17="Distrato",$E267,0)),MIN(AW$38,$D$19),$P$20))-SUM($P267:AV267)</f>
        <v>#VALUE!</v>
      </c>
      <c r="AX267" s="446" t="e">
        <f>IF(OR($B267="",MIN(AX$38,$D$19)&lt;MAX($P$34*($B267+IF($R$17="Distrato",$I$38-1,0)),IF(AND($L$37=0,$P$34=0),"",$L$37-1),IF($R$17="Distrato",$E267,0))),0,YEARFRAC(MAX($P$34*($B267+IF($R$17="Distrato",$I$38-1,0)),IF(AND($L$37=0,$P$34=0),"",$L$37-1),IF($R$17="Distrato",$E267,0)),MIN(AX$38,$D$19),$P$20))-SUM($P267:AW267)</f>
        <v>#VALUE!</v>
      </c>
      <c r="AY267" s="446" t="e">
        <f>IF(OR($B267="",MIN(AY$38,$D$19)&lt;MAX($P$34*($B267+IF($R$17="Distrato",$I$38-1,0)),IF(AND($L$37=0,$P$34=0),"",$L$37-1),IF($R$17="Distrato",$E267,0))),0,YEARFRAC(MAX($P$34*($B267+IF($R$17="Distrato",$I$38-1,0)),IF(AND($L$37=0,$P$34=0),"",$L$37-1),IF($R$17="Distrato",$E267,0)),MIN(AY$38,$D$19),$P$20))-SUM($P267:AX267)</f>
        <v>#VALUE!</v>
      </c>
      <c r="AZ267" s="446" t="e">
        <f>IF(OR($B267="",MIN(AZ$38,$D$19)&lt;MAX($P$34*($B267+IF($R$17="Distrato",$I$38-1,0)),IF(AND($L$37=0,$P$34=0),"",$L$37-1),IF($R$17="Distrato",$E267,0))),0,YEARFRAC(MAX($P$34*($B267+IF($R$17="Distrato",$I$38-1,0)),IF(AND($L$37=0,$P$34=0),"",$L$37-1),IF($R$17="Distrato",$E267,0)),MIN(AZ$38,$D$19),$P$20))-SUM($P267:AY267)</f>
        <v>#VALUE!</v>
      </c>
      <c r="BA267" s="446" t="e">
        <f>IF(OR($B267="",MIN(BA$38,$D$19)&lt;MAX($P$34*($B267+IF($R$17="Distrato",$I$38-1,0)),IF(AND($L$37=0,$P$34=0),"",$L$37-1),IF($R$17="Distrato",$E267,0))),0,YEARFRAC(MAX($P$34*($B267+IF($R$17="Distrato",$I$38-1,0)),IF(AND($L$37=0,$P$34=0),"",$L$37-1),IF($R$17="Distrato",$E267,0)),MIN(BA$38,$D$19),$P$20))-SUM($P267:AZ267)</f>
        <v>#VALUE!</v>
      </c>
      <c r="BB267" s="447"/>
      <c r="BF267" s="446">
        <f t="shared" si="43"/>
        <v>0</v>
      </c>
      <c r="BG267" s="446">
        <f>IF($E267=0,0,IF(MIN(BG$38,$E267)&lt;MAX($P$34*($B267+$I$38-1),IF(AND($L$37=0,$P$34=0),"",$L$37-1)),0,YEARFRAC(MAX($P$34*($B267+$I$38-1),IF(AND($L$37=0,$P$34=0),"",$L$37-1)),MIN(BG$38,$E267),$P$20))-SUM($BF267:BF267))</f>
        <v>0</v>
      </c>
      <c r="BH267" s="446">
        <f>IF($E267=0,0,IF(MIN(BH$38,$E267)&lt;MAX($P$34*($B267+$I$38-1),IF(AND($L$37=0,$P$34=0),"",$L$37-1)),0,YEARFRAC(MAX($P$34*($B267+$I$38-1),IF(AND($L$37=0,$P$34=0),"",$L$37-1)),MIN(BH$38,$E267),$P$20))-SUM($BF267:BG267))</f>
        <v>0</v>
      </c>
      <c r="BI267" s="446">
        <f>IF($E267=0,0,IF(MIN(BI$38,$E267)&lt;MAX($P$34*($B267+$I$38-1),IF(AND($L$37=0,$P$34=0),"",$L$37-1)),0,YEARFRAC(MAX($P$34*($B267+$I$38-1),IF(AND($L$37=0,$P$34=0),"",$L$37-1)),MIN(BI$38,$E267),$P$20))-SUM($BF267:BH267))</f>
        <v>0</v>
      </c>
      <c r="BJ267" s="446">
        <f>IF($E267=0,0,IF(MIN(BJ$38,$E267)&lt;MAX($P$34*($B267+$I$38-1),IF(AND($L$37=0,$P$34=0),"",$L$37-1)),0,YEARFRAC(MAX($P$34*($B267+$I$38-1),IF(AND($L$37=0,$P$34=0),"",$L$37-1)),MIN(BJ$38,$E267),$P$20))-SUM($BF267:BI267))</f>
        <v>0</v>
      </c>
      <c r="BK267" s="446">
        <f>IF($E267=0,0,IF(MIN(BK$38,$E267)&lt;MAX($P$34*($B267+$I$38-1),IF(AND($L$37=0,$P$34=0),"",$L$37-1)),0,YEARFRAC(MAX($P$34*($B267+$I$38-1),IF(AND($L$37=0,$P$34=0),"",$L$37-1)),MIN(BK$38,$E267),$P$20))-SUM($BF267:BJ267))</f>
        <v>0</v>
      </c>
      <c r="BL267" s="446">
        <f>IF($E267=0,0,IF(MIN(BL$38,$E267)&lt;MAX($P$34*($B267+$I$38-1),IF(AND($L$37=0,$P$34=0),"",$L$37-1)),0,YEARFRAC(MAX($P$34*($B267+$I$38-1),IF(AND($L$37=0,$P$34=0),"",$L$37-1)),MIN(BL$38,$E267),$P$20))-SUM($BF267:BK267))</f>
        <v>0</v>
      </c>
      <c r="BM267" s="446">
        <f>IF($E267=0,0,IF(MIN(BM$38,$E267)&lt;MAX($P$34*($B267+$I$38-1),IF(AND($L$37=0,$P$34=0),"",$L$37-1)),0,YEARFRAC(MAX($P$34*($B267+$I$38-1),IF(AND($L$37=0,$P$34=0),"",$L$37-1)),MIN(BM$38,$E267),$P$20))-SUM($BF267:BL267))</f>
        <v>0</v>
      </c>
      <c r="BN267" s="446">
        <f>IF($E267=0,0,IF(MIN(BN$38,$E267)&lt;MAX($P$34*($B267+$I$38-1),IF(AND($L$37=0,$P$34=0),"",$L$37-1)),0,YEARFRAC(MAX($P$34*($B267+$I$38-1),IF(AND($L$37=0,$P$34=0),"",$L$37-1)),MIN(BN$38,$E267),$P$20))-SUM($BF267:BM267))</f>
        <v>0</v>
      </c>
      <c r="BO267" s="446">
        <f>IF($E267=0,0,IF(MIN(BO$38,$E267)&lt;MAX($P$34*($B267+$I$38-1),IF(AND($L$37=0,$P$34=0),"",$L$37-1)),0,YEARFRAC(MAX($P$34*($B267+$I$38-1),IF(AND($L$37=0,$P$34=0),"",$L$37-1)),MIN(BO$38,$E267),$P$20))-SUM($BF267:BN267))</f>
        <v>0</v>
      </c>
      <c r="BP267" s="446">
        <f>IF($E267=0,0,IF(MIN(BP$38,$E267)&lt;MAX($P$34*($B267+$I$38-1),IF(AND($L$37=0,$P$34=0),"",$L$37-1)),0,YEARFRAC(MAX($P$34*($B267+$I$38-1),IF(AND($L$37=0,$P$34=0),"",$L$37-1)),MIN(BP$38,$E267),$P$20))-SUM($BF267:BO267))</f>
        <v>0</v>
      </c>
      <c r="BQ267" s="446">
        <f>IF($E267=0,0,IF(MIN(BQ$38,$E267)&lt;MAX($P$34*($B267+$I$38-1),IF(AND($L$37=0,$P$34=0),"",$L$37-1)),0,YEARFRAC(MAX($P$34*($B267+$I$38-1),IF(AND($L$37=0,$P$34=0),"",$L$37-1)),MIN(BQ$38,$E267),$P$20))-SUM($BF267:BP267))</f>
        <v>0</v>
      </c>
      <c r="BR267" s="446">
        <f>IF($E267=0,0,IF(MIN(BR$38,$E267)&lt;MAX($P$34*($B267+$I$38-1),IF(AND($L$37=0,$P$34=0),"",$L$37-1)),0,YEARFRAC(MAX($P$34*($B267+$I$38-1),IF(AND($L$37=0,$P$34=0),"",$L$37-1)),MIN(BR$38,$E267),$P$20))-SUM($BF267:BQ267))</f>
        <v>0</v>
      </c>
      <c r="BS267" s="446">
        <f>IF($E267=0,0,IF(MIN(BS$38,$E267)&lt;MAX($P$34*($B267+$I$38-1),IF(AND($L$37=0,$P$34=0),"",$L$37-1)),0,YEARFRAC(MAX($P$34*($B267+$I$38-1),IF(AND($L$37=0,$P$34=0),"",$L$37-1)),MIN(BS$38,$E267),$P$20))-SUM($BF267:BR267))</f>
        <v>0</v>
      </c>
      <c r="BT267" s="446">
        <f>IF($E267=0,0,IF(MIN(BT$38,$E267)&lt;MAX($P$34*($B267+$I$38-1),IF(AND($L$37=0,$P$34=0),"",$L$37-1)),0,YEARFRAC(MAX($P$34*($B267+$I$38-1),IF(AND($L$37=0,$P$34=0),"",$L$37-1)),MIN(BT$38,$E267),$P$20))-SUM($BF267:BS267))</f>
        <v>0</v>
      </c>
      <c r="BU267" s="446">
        <f>IF($E267=0,0,IF(MIN(BU$38,$E267)&lt;MAX($P$34*($B267+$I$38-1),IF(AND($L$37=0,$P$34=0),"",$L$37-1)),0,YEARFRAC(MAX($P$34*($B267+$I$38-1),IF(AND($L$37=0,$P$34=0),"",$L$37-1)),MIN(BU$38,$E267),$P$20))-SUM($BF267:BT267))</f>
        <v>0</v>
      </c>
      <c r="BV267" s="446">
        <f>IF($E267=0,0,IF(MIN(BV$38,$E267)&lt;MAX($P$34*($B267+$I$38-1),IF(AND($L$37=0,$P$34=0),"",$L$37-1)),0,YEARFRAC(MAX($P$34*($B267+$I$38-1),IF(AND($L$37=0,$P$34=0),"",$L$37-1)),MIN(BV$38,$E267),$P$20))-SUM($BF267:BU267))</f>
        <v>0</v>
      </c>
      <c r="BW267" s="446">
        <f>IF($E267=0,0,IF(MIN(BW$38,$E267)&lt;MAX($P$34*($B267+$I$38-1),IF(AND($L$37=0,$P$34=0),"",$L$37-1)),0,YEARFRAC(MAX($P$34*($B267+$I$38-1),IF(AND($L$37=0,$P$34=0),"",$L$37-1)),MIN(BW$38,$E267),$P$20))-SUM($BF267:BV267))</f>
        <v>0</v>
      </c>
      <c r="BX267" s="446">
        <f>IF($E267=0,0,IF(MIN(BX$38,$E267)&lt;MAX($P$34*($B267+$I$38-1),IF(AND($L$37=0,$P$34=0),"",$L$37-1)),0,YEARFRAC(MAX($P$34*($B267+$I$38-1),IF(AND($L$37=0,$P$34=0),"",$L$37-1)),MIN(BX$38,$E267),$P$20))-SUM($BF267:BW267))</f>
        <v>0</v>
      </c>
      <c r="BY267" s="446">
        <f>IF($E267=0,0,IF(MIN(BY$38,$E267)&lt;MAX($P$34*($B267+$I$38-1),IF(AND($L$37=0,$P$34=0),"",$L$37-1)),0,YEARFRAC(MAX($P$34*($B267+$I$38-1),IF(AND($L$37=0,$P$34=0),"",$L$37-1)),MIN(BY$38,$E267),$P$20))-SUM($BF267:BX267))</f>
        <v>0</v>
      </c>
      <c r="BZ267" s="446">
        <f>IF($E267=0,0,IF(MIN(BZ$38,$E267)&lt;MAX($P$34*($B267+$I$38-1),IF(AND($L$37=0,$P$34=0),"",$L$37-1)),0,YEARFRAC(MAX($P$34*($B267+$I$38-1),IF(AND($L$37=0,$P$34=0),"",$L$37-1)),MIN(BZ$38,$E267),$P$20))-SUM($BF267:BY267))</f>
        <v>0</v>
      </c>
      <c r="CA267" s="446">
        <f>IF($E267=0,0,IF(MIN(CA$38,$E267)&lt;MAX($P$34*($B267+$I$38-1),IF(AND($L$37=0,$P$34=0),"",$L$37-1)),0,YEARFRAC(MAX($P$34*($B267+$I$38-1),IF(AND($L$37=0,$P$34=0),"",$L$37-1)),MIN(CA$38,$E267),$P$20))-SUM($BF267:BZ267))</f>
        <v>0</v>
      </c>
      <c r="CB267" s="446">
        <f>IF($E267=0,0,IF(MIN(CB$38,$E267)&lt;MAX($P$34*($B267+$I$38-1),IF(AND($L$37=0,$P$34=0),"",$L$37-1)),0,YEARFRAC(MAX($P$34*($B267+$I$38-1),IF(AND($L$37=0,$P$34=0),"",$L$37-1)),MIN(CB$38,$E267),$P$20))-SUM($BF267:CA267))</f>
        <v>0</v>
      </c>
      <c r="CC267" s="446">
        <f>IF($E267=0,0,IF(MIN(CC$38,$E267)&lt;MAX($P$34*($B267+$I$38-1),IF(AND($L$37=0,$P$34=0),"",$L$37-1)),0,YEARFRAC(MAX($P$34*($B267+$I$38-1),IF(AND($L$37=0,$P$34=0),"",$L$37-1)),MIN(CC$38,$E267),$P$20))-SUM($BF267:CB267))</f>
        <v>0</v>
      </c>
      <c r="CD267" s="446">
        <f>IF($E267=0,0,IF(MIN(CD$38,$E267)&lt;MAX($P$34*($B267+$I$38-1),IF(AND($L$37=0,$P$34=0),"",$L$37-1)),0,YEARFRAC(MAX($P$34*($B267+$I$38-1),IF(AND($L$37=0,$P$34=0),"",$L$37-1)),MIN(CD$38,$E267),$P$20))-SUM($BF267:CC267))</f>
        <v>0</v>
      </c>
      <c r="CE267" s="446">
        <f>IF($E267=0,0,IF(MIN(CE$38,$E267)&lt;MAX($P$34*($B267+$I$38-1),IF(AND($L$37=0,$P$34=0),"",$L$37-1)),0,YEARFRAC(MAX($P$34*($B267+$I$38-1),IF(AND($L$37=0,$P$34=0),"",$L$37-1)),MIN(CE$38,$E267),$P$20))-SUM($BF267:CD267))</f>
        <v>0</v>
      </c>
      <c r="CF267" s="446">
        <f>IF($E267=0,0,IF(MIN(CF$38,$E267)&lt;MAX($P$34*($B267+$I$38-1),IF(AND($L$37=0,$P$34=0),"",$L$37-1)),0,YEARFRAC(MAX($P$34*($B267+$I$38-1),IF(AND($L$37=0,$P$34=0),"",$L$37-1)),MIN(CF$38,$E267),$P$20))-SUM($BF267:CE267))</f>
        <v>0</v>
      </c>
      <c r="CG267" s="446">
        <f>IF($E267=0,0,IF(MIN(CG$38,$E267)&lt;MAX($P$34*($B267+$I$38-1),IF(AND($L$37=0,$P$34=0),"",$L$37-1)),0,YEARFRAC(MAX($P$34*($B267+$I$38-1),IF(AND($L$37=0,$P$34=0),"",$L$37-1)),MIN(CG$38,$E267),$P$20))-SUM($BF267:CF267))</f>
        <v>0</v>
      </c>
      <c r="CH267" s="446">
        <f>IF($E267=0,0,IF(MIN(CH$38,$E267)&lt;MAX($P$34*($B267+$I$38-1),IF(AND($L$37=0,$P$34=0),"",$L$37-1)),0,YEARFRAC(MAX($P$34*($B267+$I$38-1),IF(AND($L$37=0,$P$34=0),"",$L$37-1)),MIN(CH$38,$E267),$P$20))-SUM($BF267:CG267))</f>
        <v>0</v>
      </c>
      <c r="CI267" s="446">
        <f>IF($E267=0,0,IF(MIN(CI$38,$E267)&lt;MAX($P$34*($B267+$I$38-1),IF(AND($L$37=0,$P$34=0),"",$L$37-1)),0,YEARFRAC(MAX($P$34*($B267+$I$38-1),IF(AND($L$37=0,$P$34=0),"",$L$37-1)),MIN(CI$38,$E267),$P$20))-SUM($BF267:CH267))</f>
        <v>0</v>
      </c>
      <c r="CJ267" s="446">
        <f>IF($E267=0,0,IF(MIN(CJ$38,$E267)&lt;MAX($P$34*($B267+$I$38-1),IF(AND($L$37=0,$P$34=0),"",$L$37-1)),0,YEARFRAC(MAX($P$34*($B267+$I$38-1),IF(AND($L$37=0,$P$34=0),"",$L$37-1)),MIN(CJ$38,$E267),$P$20))-SUM($BF267:CI267))</f>
        <v>0</v>
      </c>
      <c r="CK267" s="446">
        <f>IF($E267=0,0,IF(MIN(CK$38,$E267)&lt;MAX($P$34*($B267+$I$38-1),IF(AND($L$37=0,$P$34=0),"",$L$37-1)),0,YEARFRAC(MAX($P$34*($B267+$I$38-1),IF(AND($L$37=0,$P$34=0),"",$L$37-1)),MIN(CK$38,$E267),$P$20))-SUM($BF267:CJ267))</f>
        <v>0</v>
      </c>
      <c r="CL267" s="446">
        <f>IF($E267=0,0,IF(MIN(CL$38,$E267)&lt;MAX($P$34*($B267+$I$38-1),IF(AND($L$37=0,$P$34=0),"",$L$37-1)),0,YEARFRAC(MAX($P$34*($B267+$I$38-1),IF(AND($L$37=0,$P$34=0),"",$L$37-1)),MIN(CL$38,$E267),$P$20))-SUM($BF267:CK267))</f>
        <v>0</v>
      </c>
      <c r="CM267" s="446">
        <f>IF($E267=0,0,IF(MIN(CM$38,$E267)&lt;MAX($P$34*($B267+$I$38-1),IF(AND($L$37=0,$P$34=0),"",$L$37-1)),0,YEARFRAC(MAX($P$34*($B267+$I$38-1),IF(AND($L$37=0,$P$34=0),"",$L$37-1)),MIN(CM$38,$E267),$P$20))-SUM($BF267:CL267))</f>
        <v>0</v>
      </c>
      <c r="CN267" s="446">
        <f>IF($E267=0,0,IF(MIN(CN$38,$E267)&lt;MAX($P$34*($B267+$I$38-1),IF(AND($L$37=0,$P$34=0),"",$L$37-1)),0,YEARFRAC(MAX($P$34*($B267+$I$38-1),IF(AND($L$37=0,$P$34=0),"",$L$37-1)),MIN(CN$38,$E267),$P$20))-SUM($BF267:CM267))</f>
        <v>0</v>
      </c>
      <c r="CO267" s="446">
        <f>IF($E267=0,0,IF(MIN(CO$38,$E267)&lt;MAX($P$34*($B267+$I$38-1),IF(AND($L$37=0,$P$34=0),"",$L$37-1)),0,YEARFRAC(MAX($P$34*($B267+$I$38-1),IF(AND($L$37=0,$P$34=0),"",$L$37-1)),MIN(CO$38,$E267),$P$20))-SUM($BF267:CN267))</f>
        <v>0</v>
      </c>
      <c r="CP267" s="446">
        <f>IF($E267=0,0,IF(MIN(CP$38,$E267)&lt;MAX($P$34*($B267+$I$38-1),IF(AND($L$37=0,$P$34=0),"",$L$37-1)),0,YEARFRAC(MAX($P$34*($B267+$I$38-1),IF(AND($L$37=0,$P$34=0),"",$L$37-1)),MIN(CP$38,$E267),$P$20))-SUM($BF267:CO267))</f>
        <v>0</v>
      </c>
      <c r="CQ267" s="446">
        <f>IF($E267=0,0,IF(MIN(CQ$38,$E267)&lt;MAX($P$34*($B267+$I$38-1),IF(AND($L$37=0,$P$34=0),"",$L$37-1)),0,YEARFRAC(MAX($P$34*($B267+$I$38-1),IF(AND($L$37=0,$P$34=0),"",$L$37-1)),MIN(CQ$38,$E267),$P$20))-SUM($BF267:CP267))</f>
        <v>0</v>
      </c>
    </row>
    <row r="268" spans="1:95" s="446" customFormat="1" ht="11.25" hidden="1" customHeight="1" x14ac:dyDescent="0.2">
      <c r="A268" s="152"/>
      <c r="B268" s="153" t="str">
        <f t="shared" si="48"/>
        <v/>
      </c>
      <c r="C268" s="29" t="str">
        <f>IF(B268="","",IF($L$35="SELIC - TRIBUTOS",VLOOKUP(DATE(YEAR($D$19),MONTH($D$19)-1,1),ÍNDICES!$A:$DE,HLOOKUP($BL$25,ÍNDICES!$B$3:$T$4,2)+11)-VLOOKUP(B268,ÍNDICES!$A:$DE,HLOOKUP($BL$25,ÍNDICES!$B$3:$T$4,2)+11)+1%,IF(C$38=$W$26,$J$35,IF(ISERROR(IF(B268&gt;$D$19,1,VLOOKUP(DATE(YEAR(B268),MONTH(B268)+IF($C$35=$S$23,1,0),1),ÍNDICES!$A:$DE,$Z$35+1))),"",IF(B268&gt;$D$19,1,VLOOKUP(DATE(YEAR(B268),MONTH(B268)+IF($C$35=$S$23,1,0),1),ÍNDICES!$A:$DE,$Z$35+1))))))</f>
        <v/>
      </c>
      <c r="D268" s="154" t="str">
        <f>IF(ISERROR(IF(OR($D$38=$Y$27,$B268=""),"",VLOOKUP(B268,ÍNDICES!A:DE,AF$35+1))),"",IF(OR($D$38=$Y$27,$B268=""),"",VLOOKUP(B268,ÍNDICES!A:DE,AF$35+1)))</f>
        <v/>
      </c>
      <c r="E268" s="153"/>
      <c r="F268" s="29" t="str">
        <f>IF(E268="","",IF($L$35="SELIC - TRIBUTOS",VLOOKUP(DATE(YEAR($D$19),MONTH($D$19)-1,1),ÍNDICES!$A:$DE,HLOOKUP($BL$25,ÍNDICES!$B$3:$T$4,2)+11)-VLOOKUP(E268,ÍNDICES!$A:$DE,HLOOKUP($BL$25,ÍNDICES!$B$3:$T$4,2)+11)+1%,IF(F$38=$W$26,$J$35,IF(ISERROR(IF(E268&gt;$D$19,1,VLOOKUP(DATE(YEAR(E268),MONTH(E268)+IF($C$35=$S$23,1,0),1),ÍNDICES!$A:$DE,$Z$35+1))),"",IF(E268&gt;$D$19,1,VLOOKUP(DATE(YEAR(E268),MONTH(E268)+IF($C$35=$S$23,1,0),1),ÍNDICES!$A:$DE,$Z$35+1))))))</f>
        <v/>
      </c>
      <c r="G268" s="155"/>
      <c r="H268" s="156" t="str">
        <f t="shared" si="44"/>
        <v/>
      </c>
      <c r="I268" s="29" t="str">
        <f t="shared" si="38"/>
        <v/>
      </c>
      <c r="J268" s="5">
        <f t="shared" si="39"/>
        <v>0</v>
      </c>
      <c r="K268" s="20">
        <f t="shared" ca="1" si="40"/>
        <v>0</v>
      </c>
      <c r="L268" s="5">
        <f t="shared" ca="1" si="41"/>
        <v>0</v>
      </c>
      <c r="M268" s="64">
        <f t="shared" si="45"/>
        <v>0</v>
      </c>
      <c r="N268" s="61">
        <f t="shared" ca="1" si="46"/>
        <v>0</v>
      </c>
      <c r="O268" s="5">
        <f t="shared" ca="1" si="47"/>
        <v>0</v>
      </c>
      <c r="P268" s="446" t="e">
        <f t="shared" si="42"/>
        <v>#VALUE!</v>
      </c>
      <c r="Q268" s="446" t="e">
        <f>IF(OR($B268="",MIN(Q$38,$D$19)&lt;MAX($P$34*($B268+IF($R$17="Distrato",$I$38-1,0)),IF(AND($L$37=0,$P$34=0),"",$L$37-1),IF($R$17="Distrato",$E268,0))),0,YEARFRAC(MAX($P$34*($B268+IF($R$17="Distrato",$I$38-1,0)),IF(AND($L$37=0,$P$34=0),"",$L$37-1),IF($R$17="Distrato",$E268,0)),MIN(Q$38,$D$19),$P$20))-SUM($P268:P268)</f>
        <v>#VALUE!</v>
      </c>
      <c r="R268" s="446" t="e">
        <f>IF(OR($B268="",MIN(R$38,$D$19)&lt;MAX($P$34*($B268+IF($R$17="Distrato",$I$38-1,0)),IF(AND($L$37=0,$P$34=0),"",$L$37-1),IF($R$17="Distrato",$E268,0))),0,YEARFRAC(MAX($P$34*($B268+IF($R$17="Distrato",$I$38-1,0)),IF(AND($L$37=0,$P$34=0),"",$L$37-1),IF($R$17="Distrato",$E268,0)),MIN(R$38,$D$19),$P$20))-SUM($P268:Q268)</f>
        <v>#VALUE!</v>
      </c>
      <c r="S268" s="446" t="e">
        <f>IF(OR($B268="",MIN(S$38,$D$19)&lt;MAX($P$34*($B268+IF($R$17="Distrato",$I$38-1,0)),IF(AND($L$37=0,$P$34=0),"",$L$37-1),IF($R$17="Distrato",$E268,0))),0,YEARFRAC(MAX($P$34*($B268+IF($R$17="Distrato",$I$38-1,0)),IF(AND($L$37=0,$P$34=0),"",$L$37-1),IF($R$17="Distrato",$E268,0)),MIN(S$38,$D$19),$P$20))-SUM($P268:R268)</f>
        <v>#VALUE!</v>
      </c>
      <c r="T268" s="446" t="e">
        <f>IF(OR($B268="",MIN(T$38,$D$19)&lt;MAX($P$34*($B268+IF($R$17="Distrato",$I$38-1,0)),IF(AND($L$37=0,$P$34=0),"",$L$37-1),IF($R$17="Distrato",$E268,0))),0,YEARFRAC(MAX($P$34*($B268+IF($R$17="Distrato",$I$38-1,0)),IF(AND($L$37=0,$P$34=0),"",$L$37-1),IF($R$17="Distrato",$E268,0)),MIN(T$38,$D$19),$P$20))-SUM($P268:S268)</f>
        <v>#VALUE!</v>
      </c>
      <c r="U268" s="446" t="e">
        <f>IF(OR($B268="",MIN(U$38,$D$19)&lt;MAX($P$34*($B268+IF($R$17="Distrato",$I$38-1,0)),IF(AND($L$37=0,$P$34=0),"",$L$37-1),IF($R$17="Distrato",$E268,0))),0,YEARFRAC(MAX($P$34*($B268+IF($R$17="Distrato",$I$38-1,0)),IF(AND($L$37=0,$P$34=0),"",$L$37-1),IF($R$17="Distrato",$E268,0)),MIN(U$38,$D$19),$P$20))-SUM($P268:T268)</f>
        <v>#VALUE!</v>
      </c>
      <c r="V268" s="446" t="e">
        <f>IF(OR($B268="",MIN(V$38,$D$19)&lt;MAX($P$34*($B268+IF($R$17="Distrato",$I$38-1,0)),IF(AND($L$37=0,$P$34=0),"",$L$37-1),IF($R$17="Distrato",$E268,0))),0,YEARFRAC(MAX($P$34*($B268+IF($R$17="Distrato",$I$38-1,0)),IF(AND($L$37=0,$P$34=0),"",$L$37-1),IF($R$17="Distrato",$E268,0)),MIN(V$38,$D$19),$P$20))-SUM($P268:U268)</f>
        <v>#VALUE!</v>
      </c>
      <c r="W268" s="446" t="e">
        <f>IF(OR($B268="",MIN(W$38,$D$19)&lt;MAX($P$34*($B268+IF($R$17="Distrato",$I$38-1,0)),IF(AND($L$37=0,$P$34=0),"",$L$37-1),IF($R$17="Distrato",$E268,0))),0,YEARFRAC(MAX($P$34*($B268+IF($R$17="Distrato",$I$38-1,0)),IF(AND($L$37=0,$P$34=0),"",$L$37-1),IF($R$17="Distrato",$E268,0)),MIN(W$38,$D$19),$P$20))-SUM($P268:V268)</f>
        <v>#VALUE!</v>
      </c>
      <c r="X268" s="446" t="e">
        <f>IF(OR($B268="",MIN(X$38,$D$19)&lt;MAX($P$34*($B268+IF($R$17="Distrato",$I$38-1,0)),IF(AND($L$37=0,$P$34=0),"",$L$37-1),IF($R$17="Distrato",$E268,0))),0,YEARFRAC(MAX($P$34*($B268+IF($R$17="Distrato",$I$38-1,0)),IF(AND($L$37=0,$P$34=0),"",$L$37-1),IF($R$17="Distrato",$E268,0)),MIN(X$38,$D$19),$P$20))-SUM($P268:W268)</f>
        <v>#VALUE!</v>
      </c>
      <c r="Y268" s="446" t="e">
        <f>IF(OR($B268="",MIN(Y$38,$D$19)&lt;MAX($P$34*($B268+IF($R$17="Distrato",$I$38-1,0)),IF(AND($L$37=0,$P$34=0),"",$L$37-1),IF($R$17="Distrato",$E268,0))),0,YEARFRAC(MAX($P$34*($B268+IF($R$17="Distrato",$I$38-1,0)),IF(AND($L$37=0,$P$34=0),"",$L$37-1),IF($R$17="Distrato",$E268,0)),MIN(Y$38,$D$19),$P$20))-SUM($P268:X268)</f>
        <v>#VALUE!</v>
      </c>
      <c r="Z268" s="446" t="e">
        <f>IF(OR($B268="",MIN(Z$38,$D$19)&lt;MAX($P$34*($B268+IF($R$17="Distrato",$I$38-1,0)),IF(AND($L$37=0,$P$34=0),"",$L$37-1),IF($R$17="Distrato",$E268,0))),0,YEARFRAC(MAX($P$34*($B268+IF($R$17="Distrato",$I$38-1,0)),IF(AND($L$37=0,$P$34=0),"",$L$37-1),IF($R$17="Distrato",$E268,0)),MIN(Z$38,$D$19),$P$20))-SUM($P268:Y268)</f>
        <v>#VALUE!</v>
      </c>
      <c r="AA268" s="446" t="e">
        <f>IF(OR($B268="",MIN(AA$38,$D$19)&lt;MAX($P$34*($B268+IF($R$17="Distrato",$I$38-1,0)),IF(AND($L$37=0,$P$34=0),"",$L$37-1),IF($R$17="Distrato",$E268,0))),0,YEARFRAC(MAX($P$34*($B268+IF($R$17="Distrato",$I$38-1,0)),IF(AND($L$37=0,$P$34=0),"",$L$37-1),IF($R$17="Distrato",$E268,0)),MIN(AA$38,$D$19),$P$20))-SUM($P268:Z268)</f>
        <v>#VALUE!</v>
      </c>
      <c r="AB268" s="446" t="e">
        <f>IF(OR($B268="",MIN(AB$38,$D$19)&lt;MAX($P$34*($B268+IF($R$17="Distrato",$I$38-1,0)),IF(AND($L$37=0,$P$34=0),"",$L$37-1),IF($R$17="Distrato",$E268,0))),0,YEARFRAC(MAX($P$34*($B268+IF($R$17="Distrato",$I$38-1,0)),IF(AND($L$37=0,$P$34=0),"",$L$37-1),IF($R$17="Distrato",$E268,0)),MIN(AB$38,$D$19),$P$20))-SUM($P268:AA268)</f>
        <v>#VALUE!</v>
      </c>
      <c r="AC268" s="446" t="e">
        <f>IF(OR($B268="",MIN(AC$38,$D$19)&lt;MAX($P$34*($B268+IF($R$17="Distrato",$I$38-1,0)),IF(AND($L$37=0,$P$34=0),"",$L$37-1),IF($R$17="Distrato",$E268,0))),0,YEARFRAC(MAX($P$34*($B268+IF($R$17="Distrato",$I$38-1,0)),IF(AND($L$37=0,$P$34=0),"",$L$37-1),IF($R$17="Distrato",$E268,0)),MIN(AC$38,$D$19),$P$20))-SUM($P268:AB268)</f>
        <v>#VALUE!</v>
      </c>
      <c r="AD268" s="446" t="e">
        <f>IF(OR($B268="",MIN(AD$38,$D$19)&lt;MAX($P$34*($B268+IF($R$17="Distrato",$I$38-1,0)),IF(AND($L$37=0,$P$34=0),"",$L$37-1),IF($R$17="Distrato",$E268,0))),0,YEARFRAC(MAX($P$34*($B268+IF($R$17="Distrato",$I$38-1,0)),IF(AND($L$37=0,$P$34=0),"",$L$37-1),IF($R$17="Distrato",$E268,0)),MIN(AD$38,$D$19),$P$20))-SUM($P268:AC268)</f>
        <v>#VALUE!</v>
      </c>
      <c r="AE268" s="446" t="e">
        <f>IF(OR($B268="",MIN(AE$38,$D$19)&lt;MAX($P$34*($B268+IF($R$17="Distrato",$I$38-1,0)),IF(AND($L$37=0,$P$34=0),"",$L$37-1),IF($R$17="Distrato",$E268,0))),0,YEARFRAC(MAX($P$34*($B268+IF($R$17="Distrato",$I$38-1,0)),IF(AND($L$37=0,$P$34=0),"",$L$37-1),IF($R$17="Distrato",$E268,0)),MIN(AE$38,$D$19),$P$20))-SUM($P268:AD268)</f>
        <v>#VALUE!</v>
      </c>
      <c r="AF268" s="446" t="e">
        <f>IF(OR($B268="",MIN(AF$38,$D$19)&lt;MAX($P$34*($B268+IF($R$17="Distrato",$I$38-1,0)),IF(AND($L$37=0,$P$34=0),"",$L$37-1),IF($R$17="Distrato",$E268,0))),0,YEARFRAC(MAX($P$34*($B268+IF($R$17="Distrato",$I$38-1,0)),IF(AND($L$37=0,$P$34=0),"",$L$37-1),IF($R$17="Distrato",$E268,0)),MIN(AF$38,$D$19),$P$20))-SUM($P268:AE268)</f>
        <v>#VALUE!</v>
      </c>
      <c r="AG268" s="446" t="e">
        <f>IF(OR($B268="",MIN(AG$38,$D$19)&lt;MAX($P$34*($B268+IF($R$17="Distrato",$I$38-1,0)),IF(AND($L$37=0,$P$34=0),"",$L$37-1),IF($R$17="Distrato",$E268,0))),0,YEARFRAC(MAX($P$34*($B268+IF($R$17="Distrato",$I$38-1,0)),IF(AND($L$37=0,$P$34=0),"",$L$37-1),IF($R$17="Distrato",$E268,0)),MIN(AG$38,$D$19),$P$20))-SUM($P268:AF268)</f>
        <v>#VALUE!</v>
      </c>
      <c r="AH268" s="446" t="e">
        <f>IF(OR($B268="",MIN(AH$38,$D$19)&lt;MAX($P$34*($B268+IF($R$17="Distrato",$I$38-1,0)),IF(AND($L$37=0,$P$34=0),"",$L$37-1),IF($R$17="Distrato",$E268,0))),0,YEARFRAC(MAX($P$34*($B268+IF($R$17="Distrato",$I$38-1,0)),IF(AND($L$37=0,$P$34=0),"",$L$37-1),IF($R$17="Distrato",$E268,0)),MIN(AH$38,$D$19),$P$20))-SUM($P268:AG268)</f>
        <v>#VALUE!</v>
      </c>
      <c r="AI268" s="446" t="e">
        <f>IF(OR($B268="",MIN(AI$38,$D$19)&lt;MAX($P$34*($B268+IF($R$17="Distrato",$I$38-1,0)),IF(AND($L$37=0,$P$34=0),"",$L$37-1),IF($R$17="Distrato",$E268,0))),0,YEARFRAC(MAX($P$34*($B268+IF($R$17="Distrato",$I$38-1,0)),IF(AND($L$37=0,$P$34=0),"",$L$37-1),IF($R$17="Distrato",$E268,0)),MIN(AI$38,$D$19),$P$20))-SUM($P268:AH268)</f>
        <v>#VALUE!</v>
      </c>
      <c r="AJ268" s="446" t="e">
        <f>IF(OR($B268="",MIN(AJ$38,$D$19)&lt;MAX($P$34*($B268+IF($R$17="Distrato",$I$38-1,0)),IF(AND($L$37=0,$P$34=0),"",$L$37-1),IF($R$17="Distrato",$E268,0))),0,YEARFRAC(MAX($P$34*($B268+IF($R$17="Distrato",$I$38-1,0)),IF(AND($L$37=0,$P$34=0),"",$L$37-1),IF($R$17="Distrato",$E268,0)),MIN(AJ$38,$D$19),$P$20))-SUM($P268:AI268)</f>
        <v>#VALUE!</v>
      </c>
      <c r="AK268" s="446" t="e">
        <f>IF(OR($B268="",MIN(AK$38,$D$19)&lt;MAX($P$34*($B268+IF($R$17="Distrato",$I$38-1,0)),IF(AND($L$37=0,$P$34=0),"",$L$37-1),IF($R$17="Distrato",$E268,0))),0,YEARFRAC(MAX($P$34*($B268+IF($R$17="Distrato",$I$38-1,0)),IF(AND($L$37=0,$P$34=0),"",$L$37-1),IF($R$17="Distrato",$E268,0)),MIN(AK$38,$D$19),$P$20))-SUM($P268:AJ268)</f>
        <v>#VALUE!</v>
      </c>
      <c r="AL268" s="446" t="e">
        <f>IF(OR($B268="",MIN(AL$38,$D$19)&lt;MAX($P$34*($B268+IF($R$17="Distrato",$I$38-1,0)),IF(AND($L$37=0,$P$34=0),"",$L$37-1),IF($R$17="Distrato",$E268,0))),0,YEARFRAC(MAX($P$34*($B268+IF($R$17="Distrato",$I$38-1,0)),IF(AND($L$37=0,$P$34=0),"",$L$37-1),IF($R$17="Distrato",$E268,0)),MIN(AL$38,$D$19),$P$20))-SUM($P268:AK268)</f>
        <v>#VALUE!</v>
      </c>
      <c r="AM268" s="446" t="e">
        <f>IF(OR($B268="",MIN(AM$38,$D$19)&lt;MAX($P$34*($B268+IF($R$17="Distrato",$I$38-1,0)),IF(AND($L$37=0,$P$34=0),"",$L$37-1),IF($R$17="Distrato",$E268,0))),0,YEARFRAC(MAX($P$34*($B268+IF($R$17="Distrato",$I$38-1,0)),IF(AND($L$37=0,$P$34=0),"",$L$37-1),IF($R$17="Distrato",$E268,0)),MIN(AM$38,$D$19),$P$20))-SUM($P268:AL268)</f>
        <v>#VALUE!</v>
      </c>
      <c r="AN268" s="446" t="e">
        <f>IF(OR($B268="",MIN(AN$38,$D$19)&lt;MAX($P$34*($B268+IF($R$17="Distrato",$I$38-1,0)),IF(AND($L$37=0,$P$34=0),"",$L$37-1),IF($R$17="Distrato",$E268,0))),0,YEARFRAC(MAX($P$34*($B268+IF($R$17="Distrato",$I$38-1,0)),IF(AND($L$37=0,$P$34=0),"",$L$37-1),IF($R$17="Distrato",$E268,0)),MIN(AN$38,$D$19),$P$20))-SUM($P268:AM268)</f>
        <v>#VALUE!</v>
      </c>
      <c r="AO268" s="446" t="e">
        <f>IF(OR($B268="",MIN(AO$38,$D$19)&lt;MAX($P$34*($B268+IF($R$17="Distrato",$I$38-1,0)),IF(AND($L$37=0,$P$34=0),"",$L$37-1),IF($R$17="Distrato",$E268,0))),0,YEARFRAC(MAX($P$34*($B268+IF($R$17="Distrato",$I$38-1,0)),IF(AND($L$37=0,$P$34=0),"",$L$37-1),IF($R$17="Distrato",$E268,0)),MIN(AO$38,$D$19),$P$20))-SUM($P268:AN268)</f>
        <v>#VALUE!</v>
      </c>
      <c r="AP268" s="446" t="e">
        <f>IF(OR($B268="",MIN(AP$38,$D$19)&lt;MAX($P$34*($B268+IF($R$17="Distrato",$I$38-1,0)),IF(AND($L$37=0,$P$34=0),"",$L$37-1),IF($R$17="Distrato",$E268,0))),0,YEARFRAC(MAX($P$34*($B268+IF($R$17="Distrato",$I$38-1,0)),IF(AND($L$37=0,$P$34=0),"",$L$37-1),IF($R$17="Distrato",$E268,0)),MIN(AP$38,$D$19),$P$20))-SUM($P268:AO268)</f>
        <v>#VALUE!</v>
      </c>
      <c r="AQ268" s="446" t="e">
        <f>IF(OR($B268="",MIN(AQ$38,$D$19)&lt;MAX($P$34*($B268+IF($R$17="Distrato",$I$38-1,0)),IF(AND($L$37=0,$P$34=0),"",$L$37-1),IF($R$17="Distrato",$E268,0))),0,YEARFRAC(MAX($P$34*($B268+IF($R$17="Distrato",$I$38-1,0)),IF(AND($L$37=0,$P$34=0),"",$L$37-1),IF($R$17="Distrato",$E268,0)),MIN(AQ$38,$D$19),$P$20))-SUM($P268:AP268)</f>
        <v>#VALUE!</v>
      </c>
      <c r="AR268" s="446" t="e">
        <f>IF(OR($B268="",MIN(AR$38,$D$19)&lt;MAX($P$34*($B268+IF($R$17="Distrato",$I$38-1,0)),IF(AND($L$37=0,$P$34=0),"",$L$37-1),IF($R$17="Distrato",$E268,0))),0,YEARFRAC(MAX($P$34*($B268+IF($R$17="Distrato",$I$38-1,0)),IF(AND($L$37=0,$P$34=0),"",$L$37-1),IF($R$17="Distrato",$E268,0)),MIN(AR$38,$D$19),$P$20))-SUM($P268:AQ268)</f>
        <v>#VALUE!</v>
      </c>
      <c r="AS268" s="446" t="e">
        <f>IF(OR($B268="",MIN(AS$38,$D$19)&lt;MAX($P$34*($B268+IF($R$17="Distrato",$I$38-1,0)),IF(AND($L$37=0,$P$34=0),"",$L$37-1),IF($R$17="Distrato",$E268,0))),0,YEARFRAC(MAX($P$34*($B268+IF($R$17="Distrato",$I$38-1,0)),IF(AND($L$37=0,$P$34=0),"",$L$37-1),IF($R$17="Distrato",$E268,0)),MIN(AS$38,$D$19),$P$20))-SUM($P268:AR268)</f>
        <v>#VALUE!</v>
      </c>
      <c r="AT268" s="446" t="e">
        <f>IF(OR($B268="",MIN(AT$38,$D$19)&lt;MAX($P$34*($B268+IF($R$17="Distrato",$I$38-1,0)),IF(AND($L$37=0,$P$34=0),"",$L$37-1),IF($R$17="Distrato",$E268,0))),0,YEARFRAC(MAX($P$34*($B268+IF($R$17="Distrato",$I$38-1,0)),IF(AND($L$37=0,$P$34=0),"",$L$37-1),IF($R$17="Distrato",$E268,0)),MIN(AT$38,$D$19),$P$20))-SUM($P268:AS268)</f>
        <v>#VALUE!</v>
      </c>
      <c r="AU268" s="446" t="e">
        <f>IF(OR($B268="",MIN(AU$38,$D$19)&lt;MAX($P$34*($B268+IF($R$17="Distrato",$I$38-1,0)),IF(AND($L$37=0,$P$34=0),"",$L$37-1),IF($R$17="Distrato",$E268,0))),0,YEARFRAC(MAX($P$34*($B268+IF($R$17="Distrato",$I$38-1,0)),IF(AND($L$37=0,$P$34=0),"",$L$37-1),IF($R$17="Distrato",$E268,0)),MIN(AU$38,$D$19),$P$20))-SUM($P268:AT268)</f>
        <v>#VALUE!</v>
      </c>
      <c r="AV268" s="446" t="e">
        <f>IF(OR($B268="",MIN(AV$38,$D$19)&lt;MAX($P$34*($B268+IF($R$17="Distrato",$I$38-1,0)),IF(AND($L$37=0,$P$34=0),"",$L$37-1),IF($R$17="Distrato",$E268,0))),0,YEARFRAC(MAX($P$34*($B268+IF($R$17="Distrato",$I$38-1,0)),IF(AND($L$37=0,$P$34=0),"",$L$37-1),IF($R$17="Distrato",$E268,0)),MIN(AV$38,$D$19),$P$20))-SUM($P268:AU268)</f>
        <v>#VALUE!</v>
      </c>
      <c r="AW268" s="446" t="e">
        <f>IF(OR($B268="",MIN(AW$38,$D$19)&lt;MAX($P$34*($B268+IF($R$17="Distrato",$I$38-1,0)),IF(AND($L$37=0,$P$34=0),"",$L$37-1),IF($R$17="Distrato",$E268,0))),0,YEARFRAC(MAX($P$34*($B268+IF($R$17="Distrato",$I$38-1,0)),IF(AND($L$37=0,$P$34=0),"",$L$37-1),IF($R$17="Distrato",$E268,0)),MIN(AW$38,$D$19),$P$20))-SUM($P268:AV268)</f>
        <v>#VALUE!</v>
      </c>
      <c r="AX268" s="446" t="e">
        <f>IF(OR($B268="",MIN(AX$38,$D$19)&lt;MAX($P$34*($B268+IF($R$17="Distrato",$I$38-1,0)),IF(AND($L$37=0,$P$34=0),"",$L$37-1),IF($R$17="Distrato",$E268,0))),0,YEARFRAC(MAX($P$34*($B268+IF($R$17="Distrato",$I$38-1,0)),IF(AND($L$37=0,$P$34=0),"",$L$37-1),IF($R$17="Distrato",$E268,0)),MIN(AX$38,$D$19),$P$20))-SUM($P268:AW268)</f>
        <v>#VALUE!</v>
      </c>
      <c r="AY268" s="446" t="e">
        <f>IF(OR($B268="",MIN(AY$38,$D$19)&lt;MAX($P$34*($B268+IF($R$17="Distrato",$I$38-1,0)),IF(AND($L$37=0,$P$34=0),"",$L$37-1),IF($R$17="Distrato",$E268,0))),0,YEARFRAC(MAX($P$34*($B268+IF($R$17="Distrato",$I$38-1,0)),IF(AND($L$37=0,$P$34=0),"",$L$37-1),IF($R$17="Distrato",$E268,0)),MIN(AY$38,$D$19),$P$20))-SUM($P268:AX268)</f>
        <v>#VALUE!</v>
      </c>
      <c r="AZ268" s="446" t="e">
        <f>IF(OR($B268="",MIN(AZ$38,$D$19)&lt;MAX($P$34*($B268+IF($R$17="Distrato",$I$38-1,0)),IF(AND($L$37=0,$P$34=0),"",$L$37-1),IF($R$17="Distrato",$E268,0))),0,YEARFRAC(MAX($P$34*($B268+IF($R$17="Distrato",$I$38-1,0)),IF(AND($L$37=0,$P$34=0),"",$L$37-1),IF($R$17="Distrato",$E268,0)),MIN(AZ$38,$D$19),$P$20))-SUM($P268:AY268)</f>
        <v>#VALUE!</v>
      </c>
      <c r="BA268" s="446" t="e">
        <f>IF(OR($B268="",MIN(BA$38,$D$19)&lt;MAX($P$34*($B268+IF($R$17="Distrato",$I$38-1,0)),IF(AND($L$37=0,$P$34=0),"",$L$37-1),IF($R$17="Distrato",$E268,0))),0,YEARFRAC(MAX($P$34*($B268+IF($R$17="Distrato",$I$38-1,0)),IF(AND($L$37=0,$P$34=0),"",$L$37-1),IF($R$17="Distrato",$E268,0)),MIN(BA$38,$D$19),$P$20))-SUM($P268:AZ268)</f>
        <v>#VALUE!</v>
      </c>
      <c r="BB268" s="447"/>
      <c r="BF268" s="446">
        <f t="shared" si="43"/>
        <v>0</v>
      </c>
      <c r="BG268" s="446">
        <f>IF($E268=0,0,IF(MIN(BG$38,$E268)&lt;MAX($P$34*($B268+$I$38-1),IF(AND($L$37=0,$P$34=0),"",$L$37-1)),0,YEARFRAC(MAX($P$34*($B268+$I$38-1),IF(AND($L$37=0,$P$34=0),"",$L$37-1)),MIN(BG$38,$E268),$P$20))-SUM($BF268:BF268))</f>
        <v>0</v>
      </c>
      <c r="BH268" s="446">
        <f>IF($E268=0,0,IF(MIN(BH$38,$E268)&lt;MAX($P$34*($B268+$I$38-1),IF(AND($L$37=0,$P$34=0),"",$L$37-1)),0,YEARFRAC(MAX($P$34*($B268+$I$38-1),IF(AND($L$37=0,$P$34=0),"",$L$37-1)),MIN(BH$38,$E268),$P$20))-SUM($BF268:BG268))</f>
        <v>0</v>
      </c>
      <c r="BI268" s="446">
        <f>IF($E268=0,0,IF(MIN(BI$38,$E268)&lt;MAX($P$34*($B268+$I$38-1),IF(AND($L$37=0,$P$34=0),"",$L$37-1)),0,YEARFRAC(MAX($P$34*($B268+$I$38-1),IF(AND($L$37=0,$P$34=0),"",$L$37-1)),MIN(BI$38,$E268),$P$20))-SUM($BF268:BH268))</f>
        <v>0</v>
      </c>
      <c r="BJ268" s="446">
        <f>IF($E268=0,0,IF(MIN(BJ$38,$E268)&lt;MAX($P$34*($B268+$I$38-1),IF(AND($L$37=0,$P$34=0),"",$L$37-1)),0,YEARFRAC(MAX($P$34*($B268+$I$38-1),IF(AND($L$37=0,$P$34=0),"",$L$37-1)),MIN(BJ$38,$E268),$P$20))-SUM($BF268:BI268))</f>
        <v>0</v>
      </c>
      <c r="BK268" s="446">
        <f>IF($E268=0,0,IF(MIN(BK$38,$E268)&lt;MAX($P$34*($B268+$I$38-1),IF(AND($L$37=0,$P$34=0),"",$L$37-1)),0,YEARFRAC(MAX($P$34*($B268+$I$38-1),IF(AND($L$37=0,$P$34=0),"",$L$37-1)),MIN(BK$38,$E268),$P$20))-SUM($BF268:BJ268))</f>
        <v>0</v>
      </c>
      <c r="BL268" s="446">
        <f>IF($E268=0,0,IF(MIN(BL$38,$E268)&lt;MAX($P$34*($B268+$I$38-1),IF(AND($L$37=0,$P$34=0),"",$L$37-1)),0,YEARFRAC(MAX($P$34*($B268+$I$38-1),IF(AND($L$37=0,$P$34=0),"",$L$37-1)),MIN(BL$38,$E268),$P$20))-SUM($BF268:BK268))</f>
        <v>0</v>
      </c>
      <c r="BM268" s="446">
        <f>IF($E268=0,0,IF(MIN(BM$38,$E268)&lt;MAX($P$34*($B268+$I$38-1),IF(AND($L$37=0,$P$34=0),"",$L$37-1)),0,YEARFRAC(MAX($P$34*($B268+$I$38-1),IF(AND($L$37=0,$P$34=0),"",$L$37-1)),MIN(BM$38,$E268),$P$20))-SUM($BF268:BL268))</f>
        <v>0</v>
      </c>
      <c r="BN268" s="446">
        <f>IF($E268=0,0,IF(MIN(BN$38,$E268)&lt;MAX($P$34*($B268+$I$38-1),IF(AND($L$37=0,$P$34=0),"",$L$37-1)),0,YEARFRAC(MAX($P$34*($B268+$I$38-1),IF(AND($L$37=0,$P$34=0),"",$L$37-1)),MIN(BN$38,$E268),$P$20))-SUM($BF268:BM268))</f>
        <v>0</v>
      </c>
      <c r="BO268" s="446">
        <f>IF($E268=0,0,IF(MIN(BO$38,$E268)&lt;MAX($P$34*($B268+$I$38-1),IF(AND($L$37=0,$P$34=0),"",$L$37-1)),0,YEARFRAC(MAX($P$34*($B268+$I$38-1),IF(AND($L$37=0,$P$34=0),"",$L$37-1)),MIN(BO$38,$E268),$P$20))-SUM($BF268:BN268))</f>
        <v>0</v>
      </c>
      <c r="BP268" s="446">
        <f>IF($E268=0,0,IF(MIN(BP$38,$E268)&lt;MAX($P$34*($B268+$I$38-1),IF(AND($L$37=0,$P$34=0),"",$L$37-1)),0,YEARFRAC(MAX($P$34*($B268+$I$38-1),IF(AND($L$37=0,$P$34=0),"",$L$37-1)),MIN(BP$38,$E268),$P$20))-SUM($BF268:BO268))</f>
        <v>0</v>
      </c>
      <c r="BQ268" s="446">
        <f>IF($E268=0,0,IF(MIN(BQ$38,$E268)&lt;MAX($P$34*($B268+$I$38-1),IF(AND($L$37=0,$P$34=0),"",$L$37-1)),0,YEARFRAC(MAX($P$34*($B268+$I$38-1),IF(AND($L$37=0,$P$34=0),"",$L$37-1)),MIN(BQ$38,$E268),$P$20))-SUM($BF268:BP268))</f>
        <v>0</v>
      </c>
      <c r="BR268" s="446">
        <f>IF($E268=0,0,IF(MIN(BR$38,$E268)&lt;MAX($P$34*($B268+$I$38-1),IF(AND($L$37=0,$P$34=0),"",$L$37-1)),0,YEARFRAC(MAX($P$34*($B268+$I$38-1),IF(AND($L$37=0,$P$34=0),"",$L$37-1)),MIN(BR$38,$E268),$P$20))-SUM($BF268:BQ268))</f>
        <v>0</v>
      </c>
      <c r="BS268" s="446">
        <f>IF($E268=0,0,IF(MIN(BS$38,$E268)&lt;MAX($P$34*($B268+$I$38-1),IF(AND($L$37=0,$P$34=0),"",$L$37-1)),0,YEARFRAC(MAX($P$34*($B268+$I$38-1),IF(AND($L$37=0,$P$34=0),"",$L$37-1)),MIN(BS$38,$E268),$P$20))-SUM($BF268:BR268))</f>
        <v>0</v>
      </c>
      <c r="BT268" s="446">
        <f>IF($E268=0,0,IF(MIN(BT$38,$E268)&lt;MAX($P$34*($B268+$I$38-1),IF(AND($L$37=0,$P$34=0),"",$L$37-1)),0,YEARFRAC(MAX($P$34*($B268+$I$38-1),IF(AND($L$37=0,$P$34=0),"",$L$37-1)),MIN(BT$38,$E268),$P$20))-SUM($BF268:BS268))</f>
        <v>0</v>
      </c>
      <c r="BU268" s="446">
        <f>IF($E268=0,0,IF(MIN(BU$38,$E268)&lt;MAX($P$34*($B268+$I$38-1),IF(AND($L$37=0,$P$34=0),"",$L$37-1)),0,YEARFRAC(MAX($P$34*($B268+$I$38-1),IF(AND($L$37=0,$P$34=0),"",$L$37-1)),MIN(BU$38,$E268),$P$20))-SUM($BF268:BT268))</f>
        <v>0</v>
      </c>
      <c r="BV268" s="446">
        <f>IF($E268=0,0,IF(MIN(BV$38,$E268)&lt;MAX($P$34*($B268+$I$38-1),IF(AND($L$37=0,$P$34=0),"",$L$37-1)),0,YEARFRAC(MAX($P$34*($B268+$I$38-1),IF(AND($L$37=0,$P$34=0),"",$L$37-1)),MIN(BV$38,$E268),$P$20))-SUM($BF268:BU268))</f>
        <v>0</v>
      </c>
      <c r="BW268" s="446">
        <f>IF($E268=0,0,IF(MIN(BW$38,$E268)&lt;MAX($P$34*($B268+$I$38-1),IF(AND($L$37=0,$P$34=0),"",$L$37-1)),0,YEARFRAC(MAX($P$34*($B268+$I$38-1),IF(AND($L$37=0,$P$34=0),"",$L$37-1)),MIN(BW$38,$E268),$P$20))-SUM($BF268:BV268))</f>
        <v>0</v>
      </c>
      <c r="BX268" s="446">
        <f>IF($E268=0,0,IF(MIN(BX$38,$E268)&lt;MAX($P$34*($B268+$I$38-1),IF(AND($L$37=0,$P$34=0),"",$L$37-1)),0,YEARFRAC(MAX($P$34*($B268+$I$38-1),IF(AND($L$37=0,$P$34=0),"",$L$37-1)),MIN(BX$38,$E268),$P$20))-SUM($BF268:BW268))</f>
        <v>0</v>
      </c>
      <c r="BY268" s="446">
        <f>IF($E268=0,0,IF(MIN(BY$38,$E268)&lt;MAX($P$34*($B268+$I$38-1),IF(AND($L$37=0,$P$34=0),"",$L$37-1)),0,YEARFRAC(MAX($P$34*($B268+$I$38-1),IF(AND($L$37=0,$P$34=0),"",$L$37-1)),MIN(BY$38,$E268),$P$20))-SUM($BF268:BX268))</f>
        <v>0</v>
      </c>
      <c r="BZ268" s="446">
        <f>IF($E268=0,0,IF(MIN(BZ$38,$E268)&lt;MAX($P$34*($B268+$I$38-1),IF(AND($L$37=0,$P$34=0),"",$L$37-1)),0,YEARFRAC(MAX($P$34*($B268+$I$38-1),IF(AND($L$37=0,$P$34=0),"",$L$37-1)),MIN(BZ$38,$E268),$P$20))-SUM($BF268:BY268))</f>
        <v>0</v>
      </c>
      <c r="CA268" s="446">
        <f>IF($E268=0,0,IF(MIN(CA$38,$E268)&lt;MAX($P$34*($B268+$I$38-1),IF(AND($L$37=0,$P$34=0),"",$L$37-1)),0,YEARFRAC(MAX($P$34*($B268+$I$38-1),IF(AND($L$37=0,$P$34=0),"",$L$37-1)),MIN(CA$38,$E268),$P$20))-SUM($BF268:BZ268))</f>
        <v>0</v>
      </c>
      <c r="CB268" s="446">
        <f>IF($E268=0,0,IF(MIN(CB$38,$E268)&lt;MAX($P$34*($B268+$I$38-1),IF(AND($L$37=0,$P$34=0),"",$L$37-1)),0,YEARFRAC(MAX($P$34*($B268+$I$38-1),IF(AND($L$37=0,$P$34=0),"",$L$37-1)),MIN(CB$38,$E268),$P$20))-SUM($BF268:CA268))</f>
        <v>0</v>
      </c>
      <c r="CC268" s="446">
        <f>IF($E268=0,0,IF(MIN(CC$38,$E268)&lt;MAX($P$34*($B268+$I$38-1),IF(AND($L$37=0,$P$34=0),"",$L$37-1)),0,YEARFRAC(MAX($P$34*($B268+$I$38-1),IF(AND($L$37=0,$P$34=0),"",$L$37-1)),MIN(CC$38,$E268),$P$20))-SUM($BF268:CB268))</f>
        <v>0</v>
      </c>
      <c r="CD268" s="446">
        <f>IF($E268=0,0,IF(MIN(CD$38,$E268)&lt;MAX($P$34*($B268+$I$38-1),IF(AND($L$37=0,$P$34=0),"",$L$37-1)),0,YEARFRAC(MAX($P$34*($B268+$I$38-1),IF(AND($L$37=0,$P$34=0),"",$L$37-1)),MIN(CD$38,$E268),$P$20))-SUM($BF268:CC268))</f>
        <v>0</v>
      </c>
      <c r="CE268" s="446">
        <f>IF($E268=0,0,IF(MIN(CE$38,$E268)&lt;MAX($P$34*($B268+$I$38-1),IF(AND($L$37=0,$P$34=0),"",$L$37-1)),0,YEARFRAC(MAX($P$34*($B268+$I$38-1),IF(AND($L$37=0,$P$34=0),"",$L$37-1)),MIN(CE$38,$E268),$P$20))-SUM($BF268:CD268))</f>
        <v>0</v>
      </c>
      <c r="CF268" s="446">
        <f>IF($E268=0,0,IF(MIN(CF$38,$E268)&lt;MAX($P$34*($B268+$I$38-1),IF(AND($L$37=0,$P$34=0),"",$L$37-1)),0,YEARFRAC(MAX($P$34*($B268+$I$38-1),IF(AND($L$37=0,$P$34=0),"",$L$37-1)),MIN(CF$38,$E268),$P$20))-SUM($BF268:CE268))</f>
        <v>0</v>
      </c>
      <c r="CG268" s="446">
        <f>IF($E268=0,0,IF(MIN(CG$38,$E268)&lt;MAX($P$34*($B268+$I$38-1),IF(AND($L$37=0,$P$34=0),"",$L$37-1)),0,YEARFRAC(MAX($P$34*($B268+$I$38-1),IF(AND($L$37=0,$P$34=0),"",$L$37-1)),MIN(CG$38,$E268),$P$20))-SUM($BF268:CF268))</f>
        <v>0</v>
      </c>
      <c r="CH268" s="446">
        <f>IF($E268=0,0,IF(MIN(CH$38,$E268)&lt;MAX($P$34*($B268+$I$38-1),IF(AND($L$37=0,$P$34=0),"",$L$37-1)),0,YEARFRAC(MAX($P$34*($B268+$I$38-1),IF(AND($L$37=0,$P$34=0),"",$L$37-1)),MIN(CH$38,$E268),$P$20))-SUM($BF268:CG268))</f>
        <v>0</v>
      </c>
      <c r="CI268" s="446">
        <f>IF($E268=0,0,IF(MIN(CI$38,$E268)&lt;MAX($P$34*($B268+$I$38-1),IF(AND($L$37=0,$P$34=0),"",$L$37-1)),0,YEARFRAC(MAX($P$34*($B268+$I$38-1),IF(AND($L$37=0,$P$34=0),"",$L$37-1)),MIN(CI$38,$E268),$P$20))-SUM($BF268:CH268))</f>
        <v>0</v>
      </c>
      <c r="CJ268" s="446">
        <f>IF($E268=0,0,IF(MIN(CJ$38,$E268)&lt;MAX($P$34*($B268+$I$38-1),IF(AND($L$37=0,$P$34=0),"",$L$37-1)),0,YEARFRAC(MAX($P$34*($B268+$I$38-1),IF(AND($L$37=0,$P$34=0),"",$L$37-1)),MIN(CJ$38,$E268),$P$20))-SUM($BF268:CI268))</f>
        <v>0</v>
      </c>
      <c r="CK268" s="446">
        <f>IF($E268=0,0,IF(MIN(CK$38,$E268)&lt;MAX($P$34*($B268+$I$38-1),IF(AND($L$37=0,$P$34=0),"",$L$37-1)),0,YEARFRAC(MAX($P$34*($B268+$I$38-1),IF(AND($L$37=0,$P$34=0),"",$L$37-1)),MIN(CK$38,$E268),$P$20))-SUM($BF268:CJ268))</f>
        <v>0</v>
      </c>
      <c r="CL268" s="446">
        <f>IF($E268=0,0,IF(MIN(CL$38,$E268)&lt;MAX($P$34*($B268+$I$38-1),IF(AND($L$37=0,$P$34=0),"",$L$37-1)),0,YEARFRAC(MAX($P$34*($B268+$I$38-1),IF(AND($L$37=0,$P$34=0),"",$L$37-1)),MIN(CL$38,$E268),$P$20))-SUM($BF268:CK268))</f>
        <v>0</v>
      </c>
      <c r="CM268" s="446">
        <f>IF($E268=0,0,IF(MIN(CM$38,$E268)&lt;MAX($P$34*($B268+$I$38-1),IF(AND($L$37=0,$P$34=0),"",$L$37-1)),0,YEARFRAC(MAX($P$34*($B268+$I$38-1),IF(AND($L$37=0,$P$34=0),"",$L$37-1)),MIN(CM$38,$E268),$P$20))-SUM($BF268:CL268))</f>
        <v>0</v>
      </c>
      <c r="CN268" s="446">
        <f>IF($E268=0,0,IF(MIN(CN$38,$E268)&lt;MAX($P$34*($B268+$I$38-1),IF(AND($L$37=0,$P$34=0),"",$L$37-1)),0,YEARFRAC(MAX($P$34*($B268+$I$38-1),IF(AND($L$37=0,$P$34=0),"",$L$37-1)),MIN(CN$38,$E268),$P$20))-SUM($BF268:CM268))</f>
        <v>0</v>
      </c>
      <c r="CO268" s="446">
        <f>IF($E268=0,0,IF(MIN(CO$38,$E268)&lt;MAX($P$34*($B268+$I$38-1),IF(AND($L$37=0,$P$34=0),"",$L$37-1)),0,YEARFRAC(MAX($P$34*($B268+$I$38-1),IF(AND($L$37=0,$P$34=0),"",$L$37-1)),MIN(CO$38,$E268),$P$20))-SUM($BF268:CN268))</f>
        <v>0</v>
      </c>
      <c r="CP268" s="446">
        <f>IF($E268=0,0,IF(MIN(CP$38,$E268)&lt;MAX($P$34*($B268+$I$38-1),IF(AND($L$37=0,$P$34=0),"",$L$37-1)),0,YEARFRAC(MAX($P$34*($B268+$I$38-1),IF(AND($L$37=0,$P$34=0),"",$L$37-1)),MIN(CP$38,$E268),$P$20))-SUM($BF268:CO268))</f>
        <v>0</v>
      </c>
      <c r="CQ268" s="446">
        <f>IF($E268=0,0,IF(MIN(CQ$38,$E268)&lt;MAX($P$34*($B268+$I$38-1),IF(AND($L$37=0,$P$34=0),"",$L$37-1)),0,YEARFRAC(MAX($P$34*($B268+$I$38-1),IF(AND($L$37=0,$P$34=0),"",$L$37-1)),MIN(CQ$38,$E268),$P$20))-SUM($BF268:CP268))</f>
        <v>0</v>
      </c>
    </row>
    <row r="269" spans="1:95" s="446" customFormat="1" ht="11.25" hidden="1" customHeight="1" x14ac:dyDescent="0.2">
      <c r="A269" s="152"/>
      <c r="B269" s="153" t="str">
        <f t="shared" si="48"/>
        <v/>
      </c>
      <c r="C269" s="29" t="str">
        <f>IF(B269="","",IF($L$35="SELIC - TRIBUTOS",VLOOKUP(DATE(YEAR($D$19),MONTH($D$19)-1,1),ÍNDICES!$A:$DE,HLOOKUP($BL$25,ÍNDICES!$B$3:$T$4,2)+11)-VLOOKUP(B269,ÍNDICES!$A:$DE,HLOOKUP($BL$25,ÍNDICES!$B$3:$T$4,2)+11)+1%,IF(C$38=$W$26,$J$35,IF(ISERROR(IF(B269&gt;$D$19,1,VLOOKUP(DATE(YEAR(B269),MONTH(B269)+IF($C$35=$S$23,1,0),1),ÍNDICES!$A:$DE,$Z$35+1))),"",IF(B269&gt;$D$19,1,VLOOKUP(DATE(YEAR(B269),MONTH(B269)+IF($C$35=$S$23,1,0),1),ÍNDICES!$A:$DE,$Z$35+1))))))</f>
        <v/>
      </c>
      <c r="D269" s="154" t="str">
        <f>IF(ISERROR(IF(OR($D$38=$Y$27,$B269=""),"",VLOOKUP(B269,ÍNDICES!A:DE,AF$35+1))),"",IF(OR($D$38=$Y$27,$B269=""),"",VLOOKUP(B269,ÍNDICES!A:DE,AF$35+1)))</f>
        <v/>
      </c>
      <c r="E269" s="153"/>
      <c r="F269" s="29" t="str">
        <f>IF(E269="","",IF($L$35="SELIC - TRIBUTOS",VLOOKUP(DATE(YEAR($D$19),MONTH($D$19)-1,1),ÍNDICES!$A:$DE,HLOOKUP($BL$25,ÍNDICES!$B$3:$T$4,2)+11)-VLOOKUP(E269,ÍNDICES!$A:$DE,HLOOKUP($BL$25,ÍNDICES!$B$3:$T$4,2)+11)+1%,IF(F$38=$W$26,$J$35,IF(ISERROR(IF(E269&gt;$D$19,1,VLOOKUP(DATE(YEAR(E269),MONTH(E269)+IF($C$35=$S$23,1,0),1),ÍNDICES!$A:$DE,$Z$35+1))),"",IF(E269&gt;$D$19,1,VLOOKUP(DATE(YEAR(E269),MONTH(E269)+IF($C$35=$S$23,1,0),1),ÍNDICES!$A:$DE,$Z$35+1))))))</f>
        <v/>
      </c>
      <c r="G269" s="155"/>
      <c r="H269" s="156" t="str">
        <f t="shared" si="44"/>
        <v/>
      </c>
      <c r="I269" s="29" t="str">
        <f t="shared" si="38"/>
        <v/>
      </c>
      <c r="J269" s="5">
        <f t="shared" si="39"/>
        <v>0</v>
      </c>
      <c r="K269" s="20">
        <f t="shared" ca="1" si="40"/>
        <v>0</v>
      </c>
      <c r="L269" s="5">
        <f t="shared" ca="1" si="41"/>
        <v>0</v>
      </c>
      <c r="M269" s="64">
        <f t="shared" si="45"/>
        <v>0</v>
      </c>
      <c r="N269" s="61">
        <f t="shared" ca="1" si="46"/>
        <v>0</v>
      </c>
      <c r="O269" s="5">
        <f t="shared" ca="1" si="47"/>
        <v>0</v>
      </c>
      <c r="P269" s="446" t="e">
        <f t="shared" si="42"/>
        <v>#VALUE!</v>
      </c>
      <c r="Q269" s="446" t="e">
        <f>IF(OR($B269="",MIN(Q$38,$D$19)&lt;MAX($P$34*($B269+IF($R$17="Distrato",$I$38-1,0)),IF(AND($L$37=0,$P$34=0),"",$L$37-1),IF($R$17="Distrato",$E269,0))),0,YEARFRAC(MAX($P$34*($B269+IF($R$17="Distrato",$I$38-1,0)),IF(AND($L$37=0,$P$34=0),"",$L$37-1),IF($R$17="Distrato",$E269,0)),MIN(Q$38,$D$19),$P$20))-SUM($P269:P269)</f>
        <v>#VALUE!</v>
      </c>
      <c r="R269" s="446" t="e">
        <f>IF(OR($B269="",MIN(R$38,$D$19)&lt;MAX($P$34*($B269+IF($R$17="Distrato",$I$38-1,0)),IF(AND($L$37=0,$P$34=0),"",$L$37-1),IF($R$17="Distrato",$E269,0))),0,YEARFRAC(MAX($P$34*($B269+IF($R$17="Distrato",$I$38-1,0)),IF(AND($L$37=0,$P$34=0),"",$L$37-1),IF($R$17="Distrato",$E269,0)),MIN(R$38,$D$19),$P$20))-SUM($P269:Q269)</f>
        <v>#VALUE!</v>
      </c>
      <c r="S269" s="446" t="e">
        <f>IF(OR($B269="",MIN(S$38,$D$19)&lt;MAX($P$34*($B269+IF($R$17="Distrato",$I$38-1,0)),IF(AND($L$37=0,$P$34=0),"",$L$37-1),IF($R$17="Distrato",$E269,0))),0,YEARFRAC(MAX($P$34*($B269+IF($R$17="Distrato",$I$38-1,0)),IF(AND($L$37=0,$P$34=0),"",$L$37-1),IF($R$17="Distrato",$E269,0)),MIN(S$38,$D$19),$P$20))-SUM($P269:R269)</f>
        <v>#VALUE!</v>
      </c>
      <c r="T269" s="446" t="e">
        <f>IF(OR($B269="",MIN(T$38,$D$19)&lt;MAX($P$34*($B269+IF($R$17="Distrato",$I$38-1,0)),IF(AND($L$37=0,$P$34=0),"",$L$37-1),IF($R$17="Distrato",$E269,0))),0,YEARFRAC(MAX($P$34*($B269+IF($R$17="Distrato",$I$38-1,0)),IF(AND($L$37=0,$P$34=0),"",$L$37-1),IF($R$17="Distrato",$E269,0)),MIN(T$38,$D$19),$P$20))-SUM($P269:S269)</f>
        <v>#VALUE!</v>
      </c>
      <c r="U269" s="446" t="e">
        <f>IF(OR($B269="",MIN(U$38,$D$19)&lt;MAX($P$34*($B269+IF($R$17="Distrato",$I$38-1,0)),IF(AND($L$37=0,$P$34=0),"",$L$37-1),IF($R$17="Distrato",$E269,0))),0,YEARFRAC(MAX($P$34*($B269+IF($R$17="Distrato",$I$38-1,0)),IF(AND($L$37=0,$P$34=0),"",$L$37-1),IF($R$17="Distrato",$E269,0)),MIN(U$38,$D$19),$P$20))-SUM($P269:T269)</f>
        <v>#VALUE!</v>
      </c>
      <c r="V269" s="446" t="e">
        <f>IF(OR($B269="",MIN(V$38,$D$19)&lt;MAX($P$34*($B269+IF($R$17="Distrato",$I$38-1,0)),IF(AND($L$37=0,$P$34=0),"",$L$37-1),IF($R$17="Distrato",$E269,0))),0,YEARFRAC(MAX($P$34*($B269+IF($R$17="Distrato",$I$38-1,0)),IF(AND($L$37=0,$P$34=0),"",$L$37-1),IF($R$17="Distrato",$E269,0)),MIN(V$38,$D$19),$P$20))-SUM($P269:U269)</f>
        <v>#VALUE!</v>
      </c>
      <c r="W269" s="446" t="e">
        <f>IF(OR($B269="",MIN(W$38,$D$19)&lt;MAX($P$34*($B269+IF($R$17="Distrato",$I$38-1,0)),IF(AND($L$37=0,$P$34=0),"",$L$37-1),IF($R$17="Distrato",$E269,0))),0,YEARFRAC(MAX($P$34*($B269+IF($R$17="Distrato",$I$38-1,0)),IF(AND($L$37=0,$P$34=0),"",$L$37-1),IF($R$17="Distrato",$E269,0)),MIN(W$38,$D$19),$P$20))-SUM($P269:V269)</f>
        <v>#VALUE!</v>
      </c>
      <c r="X269" s="446" t="e">
        <f>IF(OR($B269="",MIN(X$38,$D$19)&lt;MAX($P$34*($B269+IF($R$17="Distrato",$I$38-1,0)),IF(AND($L$37=0,$P$34=0),"",$L$37-1),IF($R$17="Distrato",$E269,0))),0,YEARFRAC(MAX($P$34*($B269+IF($R$17="Distrato",$I$38-1,0)),IF(AND($L$37=0,$P$34=0),"",$L$37-1),IF($R$17="Distrato",$E269,0)),MIN(X$38,$D$19),$P$20))-SUM($P269:W269)</f>
        <v>#VALUE!</v>
      </c>
      <c r="Y269" s="446" t="e">
        <f>IF(OR($B269="",MIN(Y$38,$D$19)&lt;MAX($P$34*($B269+IF($R$17="Distrato",$I$38-1,0)),IF(AND($L$37=0,$P$34=0),"",$L$37-1),IF($R$17="Distrato",$E269,0))),0,YEARFRAC(MAX($P$34*($B269+IF($R$17="Distrato",$I$38-1,0)),IF(AND($L$37=0,$P$34=0),"",$L$37-1),IF($R$17="Distrato",$E269,0)),MIN(Y$38,$D$19),$P$20))-SUM($P269:X269)</f>
        <v>#VALUE!</v>
      </c>
      <c r="Z269" s="446" t="e">
        <f>IF(OR($B269="",MIN(Z$38,$D$19)&lt;MAX($P$34*($B269+IF($R$17="Distrato",$I$38-1,0)),IF(AND($L$37=0,$P$34=0),"",$L$37-1),IF($R$17="Distrato",$E269,0))),0,YEARFRAC(MAX($P$34*($B269+IF($R$17="Distrato",$I$38-1,0)),IF(AND($L$37=0,$P$34=0),"",$L$37-1),IF($R$17="Distrato",$E269,0)),MIN(Z$38,$D$19),$P$20))-SUM($P269:Y269)</f>
        <v>#VALUE!</v>
      </c>
      <c r="AA269" s="446" t="e">
        <f>IF(OR($B269="",MIN(AA$38,$D$19)&lt;MAX($P$34*($B269+IF($R$17="Distrato",$I$38-1,0)),IF(AND($L$37=0,$P$34=0),"",$L$37-1),IF($R$17="Distrato",$E269,0))),0,YEARFRAC(MAX($P$34*($B269+IF($R$17="Distrato",$I$38-1,0)),IF(AND($L$37=0,$P$34=0),"",$L$37-1),IF($R$17="Distrato",$E269,0)),MIN(AA$38,$D$19),$P$20))-SUM($P269:Z269)</f>
        <v>#VALUE!</v>
      </c>
      <c r="AB269" s="446" t="e">
        <f>IF(OR($B269="",MIN(AB$38,$D$19)&lt;MAX($P$34*($B269+IF($R$17="Distrato",$I$38-1,0)),IF(AND($L$37=0,$P$34=0),"",$L$37-1),IF($R$17="Distrato",$E269,0))),0,YEARFRAC(MAX($P$34*($B269+IF($R$17="Distrato",$I$38-1,0)),IF(AND($L$37=0,$P$34=0),"",$L$37-1),IF($R$17="Distrato",$E269,0)),MIN(AB$38,$D$19),$P$20))-SUM($P269:AA269)</f>
        <v>#VALUE!</v>
      </c>
      <c r="AC269" s="446" t="e">
        <f>IF(OR($B269="",MIN(AC$38,$D$19)&lt;MAX($P$34*($B269+IF($R$17="Distrato",$I$38-1,0)),IF(AND($L$37=0,$P$34=0),"",$L$37-1),IF($R$17="Distrato",$E269,0))),0,YEARFRAC(MAX($P$34*($B269+IF($R$17="Distrato",$I$38-1,0)),IF(AND($L$37=0,$P$34=0),"",$L$37-1),IF($R$17="Distrato",$E269,0)),MIN(AC$38,$D$19),$P$20))-SUM($P269:AB269)</f>
        <v>#VALUE!</v>
      </c>
      <c r="AD269" s="446" t="e">
        <f>IF(OR($B269="",MIN(AD$38,$D$19)&lt;MAX($P$34*($B269+IF($R$17="Distrato",$I$38-1,0)),IF(AND($L$37=0,$P$34=0),"",$L$37-1),IF($R$17="Distrato",$E269,0))),0,YEARFRAC(MAX($P$34*($B269+IF($R$17="Distrato",$I$38-1,0)),IF(AND($L$37=0,$P$34=0),"",$L$37-1),IF($R$17="Distrato",$E269,0)),MIN(AD$38,$D$19),$P$20))-SUM($P269:AC269)</f>
        <v>#VALUE!</v>
      </c>
      <c r="AE269" s="446" t="e">
        <f>IF(OR($B269="",MIN(AE$38,$D$19)&lt;MAX($P$34*($B269+IF($R$17="Distrato",$I$38-1,0)),IF(AND($L$37=0,$P$34=0),"",$L$37-1),IF($R$17="Distrato",$E269,0))),0,YEARFRAC(MAX($P$34*($B269+IF($R$17="Distrato",$I$38-1,0)),IF(AND($L$37=0,$P$34=0),"",$L$37-1),IF($R$17="Distrato",$E269,0)),MIN(AE$38,$D$19),$P$20))-SUM($P269:AD269)</f>
        <v>#VALUE!</v>
      </c>
      <c r="AF269" s="446" t="e">
        <f>IF(OR($B269="",MIN(AF$38,$D$19)&lt;MAX($P$34*($B269+IF($R$17="Distrato",$I$38-1,0)),IF(AND($L$37=0,$P$34=0),"",$L$37-1),IF($R$17="Distrato",$E269,0))),0,YEARFRAC(MAX($P$34*($B269+IF($R$17="Distrato",$I$38-1,0)),IF(AND($L$37=0,$P$34=0),"",$L$37-1),IF($R$17="Distrato",$E269,0)),MIN(AF$38,$D$19),$P$20))-SUM($P269:AE269)</f>
        <v>#VALUE!</v>
      </c>
      <c r="AG269" s="446" t="e">
        <f>IF(OR($B269="",MIN(AG$38,$D$19)&lt;MAX($P$34*($B269+IF($R$17="Distrato",$I$38-1,0)),IF(AND($L$37=0,$P$34=0),"",$L$37-1),IF($R$17="Distrato",$E269,0))),0,YEARFRAC(MAX($P$34*($B269+IF($R$17="Distrato",$I$38-1,0)),IF(AND($L$37=0,$P$34=0),"",$L$37-1),IF($R$17="Distrato",$E269,0)),MIN(AG$38,$D$19),$P$20))-SUM($P269:AF269)</f>
        <v>#VALUE!</v>
      </c>
      <c r="AH269" s="446" t="e">
        <f>IF(OR($B269="",MIN(AH$38,$D$19)&lt;MAX($P$34*($B269+IF($R$17="Distrato",$I$38-1,0)),IF(AND($L$37=0,$P$34=0),"",$L$37-1),IF($R$17="Distrato",$E269,0))),0,YEARFRAC(MAX($P$34*($B269+IF($R$17="Distrato",$I$38-1,0)),IF(AND($L$37=0,$P$34=0),"",$L$37-1),IF($R$17="Distrato",$E269,0)),MIN(AH$38,$D$19),$P$20))-SUM($P269:AG269)</f>
        <v>#VALUE!</v>
      </c>
      <c r="AI269" s="446" t="e">
        <f>IF(OR($B269="",MIN(AI$38,$D$19)&lt;MAX($P$34*($B269+IF($R$17="Distrato",$I$38-1,0)),IF(AND($L$37=0,$P$34=0),"",$L$37-1),IF($R$17="Distrato",$E269,0))),0,YEARFRAC(MAX($P$34*($B269+IF($R$17="Distrato",$I$38-1,0)),IF(AND($L$37=0,$P$34=0),"",$L$37-1),IF($R$17="Distrato",$E269,0)),MIN(AI$38,$D$19),$P$20))-SUM($P269:AH269)</f>
        <v>#VALUE!</v>
      </c>
      <c r="AJ269" s="446" t="e">
        <f>IF(OR($B269="",MIN(AJ$38,$D$19)&lt;MAX($P$34*($B269+IF($R$17="Distrato",$I$38-1,0)),IF(AND($L$37=0,$P$34=0),"",$L$37-1),IF($R$17="Distrato",$E269,0))),0,YEARFRAC(MAX($P$34*($B269+IF($R$17="Distrato",$I$38-1,0)),IF(AND($L$37=0,$P$34=0),"",$L$37-1),IF($R$17="Distrato",$E269,0)),MIN(AJ$38,$D$19),$P$20))-SUM($P269:AI269)</f>
        <v>#VALUE!</v>
      </c>
      <c r="AK269" s="446" t="e">
        <f>IF(OR($B269="",MIN(AK$38,$D$19)&lt;MAX($P$34*($B269+IF($R$17="Distrato",$I$38-1,0)),IF(AND($L$37=0,$P$34=0),"",$L$37-1),IF($R$17="Distrato",$E269,0))),0,YEARFRAC(MAX($P$34*($B269+IF($R$17="Distrato",$I$38-1,0)),IF(AND($L$37=0,$P$34=0),"",$L$37-1),IF($R$17="Distrato",$E269,0)),MIN(AK$38,$D$19),$P$20))-SUM($P269:AJ269)</f>
        <v>#VALUE!</v>
      </c>
      <c r="AL269" s="446" t="e">
        <f>IF(OR($B269="",MIN(AL$38,$D$19)&lt;MAX($P$34*($B269+IF($R$17="Distrato",$I$38-1,0)),IF(AND($L$37=0,$P$34=0),"",$L$37-1),IF($R$17="Distrato",$E269,0))),0,YEARFRAC(MAX($P$34*($B269+IF($R$17="Distrato",$I$38-1,0)),IF(AND($L$37=0,$P$34=0),"",$L$37-1),IF($R$17="Distrato",$E269,0)),MIN(AL$38,$D$19),$P$20))-SUM($P269:AK269)</f>
        <v>#VALUE!</v>
      </c>
      <c r="AM269" s="446" t="e">
        <f>IF(OR($B269="",MIN(AM$38,$D$19)&lt;MAX($P$34*($B269+IF($R$17="Distrato",$I$38-1,0)),IF(AND($L$37=0,$P$34=0),"",$L$37-1),IF($R$17="Distrato",$E269,0))),0,YEARFRAC(MAX($P$34*($B269+IF($R$17="Distrato",$I$38-1,0)),IF(AND($L$37=0,$P$34=0),"",$L$37-1),IF($R$17="Distrato",$E269,0)),MIN(AM$38,$D$19),$P$20))-SUM($P269:AL269)</f>
        <v>#VALUE!</v>
      </c>
      <c r="AN269" s="446" t="e">
        <f>IF(OR($B269="",MIN(AN$38,$D$19)&lt;MAX($P$34*($B269+IF($R$17="Distrato",$I$38-1,0)),IF(AND($L$37=0,$P$34=0),"",$L$37-1),IF($R$17="Distrato",$E269,0))),0,YEARFRAC(MAX($P$34*($B269+IF($R$17="Distrato",$I$38-1,0)),IF(AND($L$37=0,$P$34=0),"",$L$37-1),IF($R$17="Distrato",$E269,0)),MIN(AN$38,$D$19),$P$20))-SUM($P269:AM269)</f>
        <v>#VALUE!</v>
      </c>
      <c r="AO269" s="446" t="e">
        <f>IF(OR($B269="",MIN(AO$38,$D$19)&lt;MAX($P$34*($B269+IF($R$17="Distrato",$I$38-1,0)),IF(AND($L$37=0,$P$34=0),"",$L$37-1),IF($R$17="Distrato",$E269,0))),0,YEARFRAC(MAX($P$34*($B269+IF($R$17="Distrato",$I$38-1,0)),IF(AND($L$37=0,$P$34=0),"",$L$37-1),IF($R$17="Distrato",$E269,0)),MIN(AO$38,$D$19),$P$20))-SUM($P269:AN269)</f>
        <v>#VALUE!</v>
      </c>
      <c r="AP269" s="446" t="e">
        <f>IF(OR($B269="",MIN(AP$38,$D$19)&lt;MAX($P$34*($B269+IF($R$17="Distrato",$I$38-1,0)),IF(AND($L$37=0,$P$34=0),"",$L$37-1),IF($R$17="Distrato",$E269,0))),0,YEARFRAC(MAX($P$34*($B269+IF($R$17="Distrato",$I$38-1,0)),IF(AND($L$37=0,$P$34=0),"",$L$37-1),IF($R$17="Distrato",$E269,0)),MIN(AP$38,$D$19),$P$20))-SUM($P269:AO269)</f>
        <v>#VALUE!</v>
      </c>
      <c r="AQ269" s="446" t="e">
        <f>IF(OR($B269="",MIN(AQ$38,$D$19)&lt;MAX($P$34*($B269+IF($R$17="Distrato",$I$38-1,0)),IF(AND($L$37=0,$P$34=0),"",$L$37-1),IF($R$17="Distrato",$E269,0))),0,YEARFRAC(MAX($P$34*($B269+IF($R$17="Distrato",$I$38-1,0)),IF(AND($L$37=0,$P$34=0),"",$L$37-1),IF($R$17="Distrato",$E269,0)),MIN(AQ$38,$D$19),$P$20))-SUM($P269:AP269)</f>
        <v>#VALUE!</v>
      </c>
      <c r="AR269" s="446" t="e">
        <f>IF(OR($B269="",MIN(AR$38,$D$19)&lt;MAX($P$34*($B269+IF($R$17="Distrato",$I$38-1,0)),IF(AND($L$37=0,$P$34=0),"",$L$37-1),IF($R$17="Distrato",$E269,0))),0,YEARFRAC(MAX($P$34*($B269+IF($R$17="Distrato",$I$38-1,0)),IF(AND($L$37=0,$P$34=0),"",$L$37-1),IF($R$17="Distrato",$E269,0)),MIN(AR$38,$D$19),$P$20))-SUM($P269:AQ269)</f>
        <v>#VALUE!</v>
      </c>
      <c r="AS269" s="446" t="e">
        <f>IF(OR($B269="",MIN(AS$38,$D$19)&lt;MAX($P$34*($B269+IF($R$17="Distrato",$I$38-1,0)),IF(AND($L$37=0,$P$34=0),"",$L$37-1),IF($R$17="Distrato",$E269,0))),0,YEARFRAC(MAX($P$34*($B269+IF($R$17="Distrato",$I$38-1,0)),IF(AND($L$37=0,$P$34=0),"",$L$37-1),IF($R$17="Distrato",$E269,0)),MIN(AS$38,$D$19),$P$20))-SUM($P269:AR269)</f>
        <v>#VALUE!</v>
      </c>
      <c r="AT269" s="446" t="e">
        <f>IF(OR($B269="",MIN(AT$38,$D$19)&lt;MAX($P$34*($B269+IF($R$17="Distrato",$I$38-1,0)),IF(AND($L$37=0,$P$34=0),"",$L$37-1),IF($R$17="Distrato",$E269,0))),0,YEARFRAC(MAX($P$34*($B269+IF($R$17="Distrato",$I$38-1,0)),IF(AND($L$37=0,$P$34=0),"",$L$37-1),IF($R$17="Distrato",$E269,0)),MIN(AT$38,$D$19),$P$20))-SUM($P269:AS269)</f>
        <v>#VALUE!</v>
      </c>
      <c r="AU269" s="446" t="e">
        <f>IF(OR($B269="",MIN(AU$38,$D$19)&lt;MAX($P$34*($B269+IF($R$17="Distrato",$I$38-1,0)),IF(AND($L$37=0,$P$34=0),"",$L$37-1),IF($R$17="Distrato",$E269,0))),0,YEARFRAC(MAX($P$34*($B269+IF($R$17="Distrato",$I$38-1,0)),IF(AND($L$37=0,$P$34=0),"",$L$37-1),IF($R$17="Distrato",$E269,0)),MIN(AU$38,$D$19),$P$20))-SUM($P269:AT269)</f>
        <v>#VALUE!</v>
      </c>
      <c r="AV269" s="446" t="e">
        <f>IF(OR($B269="",MIN(AV$38,$D$19)&lt;MAX($P$34*($B269+IF($R$17="Distrato",$I$38-1,0)),IF(AND($L$37=0,$P$34=0),"",$L$37-1),IF($R$17="Distrato",$E269,0))),0,YEARFRAC(MAX($P$34*($B269+IF($R$17="Distrato",$I$38-1,0)),IF(AND($L$37=0,$P$34=0),"",$L$37-1),IF($R$17="Distrato",$E269,0)),MIN(AV$38,$D$19),$P$20))-SUM($P269:AU269)</f>
        <v>#VALUE!</v>
      </c>
      <c r="AW269" s="446" t="e">
        <f>IF(OR($B269="",MIN(AW$38,$D$19)&lt;MAX($P$34*($B269+IF($R$17="Distrato",$I$38-1,0)),IF(AND($L$37=0,$P$34=0),"",$L$37-1),IF($R$17="Distrato",$E269,0))),0,YEARFRAC(MAX($P$34*($B269+IF($R$17="Distrato",$I$38-1,0)),IF(AND($L$37=0,$P$34=0),"",$L$37-1),IF($R$17="Distrato",$E269,0)),MIN(AW$38,$D$19),$P$20))-SUM($P269:AV269)</f>
        <v>#VALUE!</v>
      </c>
      <c r="AX269" s="446" t="e">
        <f>IF(OR($B269="",MIN(AX$38,$D$19)&lt;MAX($P$34*($B269+IF($R$17="Distrato",$I$38-1,0)),IF(AND($L$37=0,$P$34=0),"",$L$37-1),IF($R$17="Distrato",$E269,0))),0,YEARFRAC(MAX($P$34*($B269+IF($R$17="Distrato",$I$38-1,0)),IF(AND($L$37=0,$P$34=0),"",$L$37-1),IF($R$17="Distrato",$E269,0)),MIN(AX$38,$D$19),$P$20))-SUM($P269:AW269)</f>
        <v>#VALUE!</v>
      </c>
      <c r="AY269" s="446" t="e">
        <f>IF(OR($B269="",MIN(AY$38,$D$19)&lt;MAX($P$34*($B269+IF($R$17="Distrato",$I$38-1,0)),IF(AND($L$37=0,$P$34=0),"",$L$37-1),IF($R$17="Distrato",$E269,0))),0,YEARFRAC(MAX($P$34*($B269+IF($R$17="Distrato",$I$38-1,0)),IF(AND($L$37=0,$P$34=0),"",$L$37-1),IF($R$17="Distrato",$E269,0)),MIN(AY$38,$D$19),$P$20))-SUM($P269:AX269)</f>
        <v>#VALUE!</v>
      </c>
      <c r="AZ269" s="446" t="e">
        <f>IF(OR($B269="",MIN(AZ$38,$D$19)&lt;MAX($P$34*($B269+IF($R$17="Distrato",$I$38-1,0)),IF(AND($L$37=0,$P$34=0),"",$L$37-1),IF($R$17="Distrato",$E269,0))),0,YEARFRAC(MAX($P$34*($B269+IF($R$17="Distrato",$I$38-1,0)),IF(AND($L$37=0,$P$34=0),"",$L$37-1),IF($R$17="Distrato",$E269,0)),MIN(AZ$38,$D$19),$P$20))-SUM($P269:AY269)</f>
        <v>#VALUE!</v>
      </c>
      <c r="BA269" s="446" t="e">
        <f>IF(OR($B269="",MIN(BA$38,$D$19)&lt;MAX($P$34*($B269+IF($R$17="Distrato",$I$38-1,0)),IF(AND($L$37=0,$P$34=0),"",$L$37-1),IF($R$17="Distrato",$E269,0))),0,YEARFRAC(MAX($P$34*($B269+IF($R$17="Distrato",$I$38-1,0)),IF(AND($L$37=0,$P$34=0),"",$L$37-1),IF($R$17="Distrato",$E269,0)),MIN(BA$38,$D$19),$P$20))-SUM($P269:AZ269)</f>
        <v>#VALUE!</v>
      </c>
      <c r="BB269" s="447"/>
      <c r="BF269" s="446">
        <f t="shared" si="43"/>
        <v>0</v>
      </c>
      <c r="BG269" s="446">
        <f>IF($E269=0,0,IF(MIN(BG$38,$E269)&lt;MAX($P$34*($B269+$I$38-1),IF(AND($L$37=0,$P$34=0),"",$L$37-1)),0,YEARFRAC(MAX($P$34*($B269+$I$38-1),IF(AND($L$37=0,$P$34=0),"",$L$37-1)),MIN(BG$38,$E269),$P$20))-SUM($BF269:BF269))</f>
        <v>0</v>
      </c>
      <c r="BH269" s="446">
        <f>IF($E269=0,0,IF(MIN(BH$38,$E269)&lt;MAX($P$34*($B269+$I$38-1),IF(AND($L$37=0,$P$34=0),"",$L$37-1)),0,YEARFRAC(MAX($P$34*($B269+$I$38-1),IF(AND($L$37=0,$P$34=0),"",$L$37-1)),MIN(BH$38,$E269),$P$20))-SUM($BF269:BG269))</f>
        <v>0</v>
      </c>
      <c r="BI269" s="446">
        <f>IF($E269=0,0,IF(MIN(BI$38,$E269)&lt;MAX($P$34*($B269+$I$38-1),IF(AND($L$37=0,$P$34=0),"",$L$37-1)),0,YEARFRAC(MAX($P$34*($B269+$I$38-1),IF(AND($L$37=0,$P$34=0),"",$L$37-1)),MIN(BI$38,$E269),$P$20))-SUM($BF269:BH269))</f>
        <v>0</v>
      </c>
      <c r="BJ269" s="446">
        <f>IF($E269=0,0,IF(MIN(BJ$38,$E269)&lt;MAX($P$34*($B269+$I$38-1),IF(AND($L$37=0,$P$34=0),"",$L$37-1)),0,YEARFRAC(MAX($P$34*($B269+$I$38-1),IF(AND($L$37=0,$P$34=0),"",$L$37-1)),MIN(BJ$38,$E269),$P$20))-SUM($BF269:BI269))</f>
        <v>0</v>
      </c>
      <c r="BK269" s="446">
        <f>IF($E269=0,0,IF(MIN(BK$38,$E269)&lt;MAX($P$34*($B269+$I$38-1),IF(AND($L$37=0,$P$34=0),"",$L$37-1)),0,YEARFRAC(MAX($P$34*($B269+$I$38-1),IF(AND($L$37=0,$P$34=0),"",$L$37-1)),MIN(BK$38,$E269),$P$20))-SUM($BF269:BJ269))</f>
        <v>0</v>
      </c>
      <c r="BL269" s="446">
        <f>IF($E269=0,0,IF(MIN(BL$38,$E269)&lt;MAX($P$34*($B269+$I$38-1),IF(AND($L$37=0,$P$34=0),"",$L$37-1)),0,YEARFRAC(MAX($P$34*($B269+$I$38-1),IF(AND($L$37=0,$P$34=0),"",$L$37-1)),MIN(BL$38,$E269),$P$20))-SUM($BF269:BK269))</f>
        <v>0</v>
      </c>
      <c r="BM269" s="446">
        <f>IF($E269=0,0,IF(MIN(BM$38,$E269)&lt;MAX($P$34*($B269+$I$38-1),IF(AND($L$37=0,$P$34=0),"",$L$37-1)),0,YEARFRAC(MAX($P$34*($B269+$I$38-1),IF(AND($L$37=0,$P$34=0),"",$L$37-1)),MIN(BM$38,$E269),$P$20))-SUM($BF269:BL269))</f>
        <v>0</v>
      </c>
      <c r="BN269" s="446">
        <f>IF($E269=0,0,IF(MIN(BN$38,$E269)&lt;MAX($P$34*($B269+$I$38-1),IF(AND($L$37=0,$P$34=0),"",$L$37-1)),0,YEARFRAC(MAX($P$34*($B269+$I$38-1),IF(AND($L$37=0,$P$34=0),"",$L$37-1)),MIN(BN$38,$E269),$P$20))-SUM($BF269:BM269))</f>
        <v>0</v>
      </c>
      <c r="BO269" s="446">
        <f>IF($E269=0,0,IF(MIN(BO$38,$E269)&lt;MAX($P$34*($B269+$I$38-1),IF(AND($L$37=0,$P$34=0),"",$L$37-1)),0,YEARFRAC(MAX($P$34*($B269+$I$38-1),IF(AND($L$37=0,$P$34=0),"",$L$37-1)),MIN(BO$38,$E269),$P$20))-SUM($BF269:BN269))</f>
        <v>0</v>
      </c>
      <c r="BP269" s="446">
        <f>IF($E269=0,0,IF(MIN(BP$38,$E269)&lt;MAX($P$34*($B269+$I$38-1),IF(AND($L$37=0,$P$34=0),"",$L$37-1)),0,YEARFRAC(MAX($P$34*($B269+$I$38-1),IF(AND($L$37=0,$P$34=0),"",$L$37-1)),MIN(BP$38,$E269),$P$20))-SUM($BF269:BO269))</f>
        <v>0</v>
      </c>
      <c r="BQ269" s="446">
        <f>IF($E269=0,0,IF(MIN(BQ$38,$E269)&lt;MAX($P$34*($B269+$I$38-1),IF(AND($L$37=0,$P$34=0),"",$L$37-1)),0,YEARFRAC(MAX($P$34*($B269+$I$38-1),IF(AND($L$37=0,$P$34=0),"",$L$37-1)),MIN(BQ$38,$E269),$P$20))-SUM($BF269:BP269))</f>
        <v>0</v>
      </c>
      <c r="BR269" s="446">
        <f>IF($E269=0,0,IF(MIN(BR$38,$E269)&lt;MAX($P$34*($B269+$I$38-1),IF(AND($L$37=0,$P$34=0),"",$L$37-1)),0,YEARFRAC(MAX($P$34*($B269+$I$38-1),IF(AND($L$37=0,$P$34=0),"",$L$37-1)),MIN(BR$38,$E269),$P$20))-SUM($BF269:BQ269))</f>
        <v>0</v>
      </c>
      <c r="BS269" s="446">
        <f>IF($E269=0,0,IF(MIN(BS$38,$E269)&lt;MAX($P$34*($B269+$I$38-1),IF(AND($L$37=0,$P$34=0),"",$L$37-1)),0,YEARFRAC(MAX($P$34*($B269+$I$38-1),IF(AND($L$37=0,$P$34=0),"",$L$37-1)),MIN(BS$38,$E269),$P$20))-SUM($BF269:BR269))</f>
        <v>0</v>
      </c>
      <c r="BT269" s="446">
        <f>IF($E269=0,0,IF(MIN(BT$38,$E269)&lt;MAX($P$34*($B269+$I$38-1),IF(AND($L$37=0,$P$34=0),"",$L$37-1)),0,YEARFRAC(MAX($P$34*($B269+$I$38-1),IF(AND($L$37=0,$P$34=0),"",$L$37-1)),MIN(BT$38,$E269),$P$20))-SUM($BF269:BS269))</f>
        <v>0</v>
      </c>
      <c r="BU269" s="446">
        <f>IF($E269=0,0,IF(MIN(BU$38,$E269)&lt;MAX($P$34*($B269+$I$38-1),IF(AND($L$37=0,$P$34=0),"",$L$37-1)),0,YEARFRAC(MAX($P$34*($B269+$I$38-1),IF(AND($L$37=0,$P$34=0),"",$L$37-1)),MIN(BU$38,$E269),$P$20))-SUM($BF269:BT269))</f>
        <v>0</v>
      </c>
      <c r="BV269" s="446">
        <f>IF($E269=0,0,IF(MIN(BV$38,$E269)&lt;MAX($P$34*($B269+$I$38-1),IF(AND($L$37=0,$P$34=0),"",$L$37-1)),0,YEARFRAC(MAX($P$34*($B269+$I$38-1),IF(AND($L$37=0,$P$34=0),"",$L$37-1)),MIN(BV$38,$E269),$P$20))-SUM($BF269:BU269))</f>
        <v>0</v>
      </c>
      <c r="BW269" s="446">
        <f>IF($E269=0,0,IF(MIN(BW$38,$E269)&lt;MAX($P$34*($B269+$I$38-1),IF(AND($L$37=0,$P$34=0),"",$L$37-1)),0,YEARFRAC(MAX($P$34*($B269+$I$38-1),IF(AND($L$37=0,$P$34=0),"",$L$37-1)),MIN(BW$38,$E269),$P$20))-SUM($BF269:BV269))</f>
        <v>0</v>
      </c>
      <c r="BX269" s="446">
        <f>IF($E269=0,0,IF(MIN(BX$38,$E269)&lt;MAX($P$34*($B269+$I$38-1),IF(AND($L$37=0,$P$34=0),"",$L$37-1)),0,YEARFRAC(MAX($P$34*($B269+$I$38-1),IF(AND($L$37=0,$P$34=0),"",$L$37-1)),MIN(BX$38,$E269),$P$20))-SUM($BF269:BW269))</f>
        <v>0</v>
      </c>
      <c r="BY269" s="446">
        <f>IF($E269=0,0,IF(MIN(BY$38,$E269)&lt;MAX($P$34*($B269+$I$38-1),IF(AND($L$37=0,$P$34=0),"",$L$37-1)),0,YEARFRAC(MAX($P$34*($B269+$I$38-1),IF(AND($L$37=0,$P$34=0),"",$L$37-1)),MIN(BY$38,$E269),$P$20))-SUM($BF269:BX269))</f>
        <v>0</v>
      </c>
      <c r="BZ269" s="446">
        <f>IF($E269=0,0,IF(MIN(BZ$38,$E269)&lt;MAX($P$34*($B269+$I$38-1),IF(AND($L$37=0,$P$34=0),"",$L$37-1)),0,YEARFRAC(MAX($P$34*($B269+$I$38-1),IF(AND($L$37=0,$P$34=0),"",$L$37-1)),MIN(BZ$38,$E269),$P$20))-SUM($BF269:BY269))</f>
        <v>0</v>
      </c>
      <c r="CA269" s="446">
        <f>IF($E269=0,0,IF(MIN(CA$38,$E269)&lt;MAX($P$34*($B269+$I$38-1),IF(AND($L$37=0,$P$34=0),"",$L$37-1)),0,YEARFRAC(MAX($P$34*($B269+$I$38-1),IF(AND($L$37=0,$P$34=0),"",$L$37-1)),MIN(CA$38,$E269),$P$20))-SUM($BF269:BZ269))</f>
        <v>0</v>
      </c>
      <c r="CB269" s="446">
        <f>IF($E269=0,0,IF(MIN(CB$38,$E269)&lt;MAX($P$34*($B269+$I$38-1),IF(AND($L$37=0,$P$34=0),"",$L$37-1)),0,YEARFRAC(MAX($P$34*($B269+$I$38-1),IF(AND($L$37=0,$P$34=0),"",$L$37-1)),MIN(CB$38,$E269),$P$20))-SUM($BF269:CA269))</f>
        <v>0</v>
      </c>
      <c r="CC269" s="446">
        <f>IF($E269=0,0,IF(MIN(CC$38,$E269)&lt;MAX($P$34*($B269+$I$38-1),IF(AND($L$37=0,$P$34=0),"",$L$37-1)),0,YEARFRAC(MAX($P$34*($B269+$I$38-1),IF(AND($L$37=0,$P$34=0),"",$L$37-1)),MIN(CC$38,$E269),$P$20))-SUM($BF269:CB269))</f>
        <v>0</v>
      </c>
      <c r="CD269" s="446">
        <f>IF($E269=0,0,IF(MIN(CD$38,$E269)&lt;MAX($P$34*($B269+$I$38-1),IF(AND($L$37=0,$P$34=0),"",$L$37-1)),0,YEARFRAC(MAX($P$34*($B269+$I$38-1),IF(AND($L$37=0,$P$34=0),"",$L$37-1)),MIN(CD$38,$E269),$P$20))-SUM($BF269:CC269))</f>
        <v>0</v>
      </c>
      <c r="CE269" s="446">
        <f>IF($E269=0,0,IF(MIN(CE$38,$E269)&lt;MAX($P$34*($B269+$I$38-1),IF(AND($L$37=0,$P$34=0),"",$L$37-1)),0,YEARFRAC(MAX($P$34*($B269+$I$38-1),IF(AND($L$37=0,$P$34=0),"",$L$37-1)),MIN(CE$38,$E269),$P$20))-SUM($BF269:CD269))</f>
        <v>0</v>
      </c>
      <c r="CF269" s="446">
        <f>IF($E269=0,0,IF(MIN(CF$38,$E269)&lt;MAX($P$34*($B269+$I$38-1),IF(AND($L$37=0,$P$34=0),"",$L$37-1)),0,YEARFRAC(MAX($P$34*($B269+$I$38-1),IF(AND($L$37=0,$P$34=0),"",$L$37-1)),MIN(CF$38,$E269),$P$20))-SUM($BF269:CE269))</f>
        <v>0</v>
      </c>
      <c r="CG269" s="446">
        <f>IF($E269=0,0,IF(MIN(CG$38,$E269)&lt;MAX($P$34*($B269+$I$38-1),IF(AND($L$37=0,$P$34=0),"",$L$37-1)),0,YEARFRAC(MAX($P$34*($B269+$I$38-1),IF(AND($L$37=0,$P$34=0),"",$L$37-1)),MIN(CG$38,$E269),$P$20))-SUM($BF269:CF269))</f>
        <v>0</v>
      </c>
      <c r="CH269" s="446">
        <f>IF($E269=0,0,IF(MIN(CH$38,$E269)&lt;MAX($P$34*($B269+$I$38-1),IF(AND($L$37=0,$P$34=0),"",$L$37-1)),0,YEARFRAC(MAX($P$34*($B269+$I$38-1),IF(AND($L$37=0,$P$34=0),"",$L$37-1)),MIN(CH$38,$E269),$P$20))-SUM($BF269:CG269))</f>
        <v>0</v>
      </c>
      <c r="CI269" s="446">
        <f>IF($E269=0,0,IF(MIN(CI$38,$E269)&lt;MAX($P$34*($B269+$I$38-1),IF(AND($L$37=0,$P$34=0),"",$L$37-1)),0,YEARFRAC(MAX($P$34*($B269+$I$38-1),IF(AND($L$37=0,$P$34=0),"",$L$37-1)),MIN(CI$38,$E269),$P$20))-SUM($BF269:CH269))</f>
        <v>0</v>
      </c>
      <c r="CJ269" s="446">
        <f>IF($E269=0,0,IF(MIN(CJ$38,$E269)&lt;MAX($P$34*($B269+$I$38-1),IF(AND($L$37=0,$P$34=0),"",$L$37-1)),0,YEARFRAC(MAX($P$34*($B269+$I$38-1),IF(AND($L$37=0,$P$34=0),"",$L$37-1)),MIN(CJ$38,$E269),$P$20))-SUM($BF269:CI269))</f>
        <v>0</v>
      </c>
      <c r="CK269" s="446">
        <f>IF($E269=0,0,IF(MIN(CK$38,$E269)&lt;MAX($P$34*($B269+$I$38-1),IF(AND($L$37=0,$P$34=0),"",$L$37-1)),0,YEARFRAC(MAX($P$34*($B269+$I$38-1),IF(AND($L$37=0,$P$34=0),"",$L$37-1)),MIN(CK$38,$E269),$P$20))-SUM($BF269:CJ269))</f>
        <v>0</v>
      </c>
      <c r="CL269" s="446">
        <f>IF($E269=0,0,IF(MIN(CL$38,$E269)&lt;MAX($P$34*($B269+$I$38-1),IF(AND($L$37=0,$P$34=0),"",$L$37-1)),0,YEARFRAC(MAX($P$34*($B269+$I$38-1),IF(AND($L$37=0,$P$34=0),"",$L$37-1)),MIN(CL$38,$E269),$P$20))-SUM($BF269:CK269))</f>
        <v>0</v>
      </c>
      <c r="CM269" s="446">
        <f>IF($E269=0,0,IF(MIN(CM$38,$E269)&lt;MAX($P$34*($B269+$I$38-1),IF(AND($L$37=0,$P$34=0),"",$L$37-1)),0,YEARFRAC(MAX($P$34*($B269+$I$38-1),IF(AND($L$37=0,$P$34=0),"",$L$37-1)),MIN(CM$38,$E269),$P$20))-SUM($BF269:CL269))</f>
        <v>0</v>
      </c>
      <c r="CN269" s="446">
        <f>IF($E269=0,0,IF(MIN(CN$38,$E269)&lt;MAX($P$34*($B269+$I$38-1),IF(AND($L$37=0,$P$34=0),"",$L$37-1)),0,YEARFRAC(MAX($P$34*($B269+$I$38-1),IF(AND($L$37=0,$P$34=0),"",$L$37-1)),MIN(CN$38,$E269),$P$20))-SUM($BF269:CM269))</f>
        <v>0</v>
      </c>
      <c r="CO269" s="446">
        <f>IF($E269=0,0,IF(MIN(CO$38,$E269)&lt;MAX($P$34*($B269+$I$38-1),IF(AND($L$37=0,$P$34=0),"",$L$37-1)),0,YEARFRAC(MAX($P$34*($B269+$I$38-1),IF(AND($L$37=0,$P$34=0),"",$L$37-1)),MIN(CO$38,$E269),$P$20))-SUM($BF269:CN269))</f>
        <v>0</v>
      </c>
      <c r="CP269" s="446">
        <f>IF($E269=0,0,IF(MIN(CP$38,$E269)&lt;MAX($P$34*($B269+$I$38-1),IF(AND($L$37=0,$P$34=0),"",$L$37-1)),0,YEARFRAC(MAX($P$34*($B269+$I$38-1),IF(AND($L$37=0,$P$34=0),"",$L$37-1)),MIN(CP$38,$E269),$P$20))-SUM($BF269:CO269))</f>
        <v>0</v>
      </c>
      <c r="CQ269" s="446">
        <f>IF($E269=0,0,IF(MIN(CQ$38,$E269)&lt;MAX($P$34*($B269+$I$38-1),IF(AND($L$37=0,$P$34=0),"",$L$37-1)),0,YEARFRAC(MAX($P$34*($B269+$I$38-1),IF(AND($L$37=0,$P$34=0),"",$L$37-1)),MIN(CQ$38,$E269),$P$20))-SUM($BF269:CP269))</f>
        <v>0</v>
      </c>
    </row>
    <row r="270" spans="1:95" s="446" customFormat="1" ht="11.25" hidden="1" customHeight="1" x14ac:dyDescent="0.2">
      <c r="A270" s="152"/>
      <c r="B270" s="153" t="str">
        <f t="shared" si="48"/>
        <v/>
      </c>
      <c r="C270" s="29" t="str">
        <f>IF(B270="","",IF($L$35="SELIC - TRIBUTOS",VLOOKUP(DATE(YEAR($D$19),MONTH($D$19)-1,1),ÍNDICES!$A:$DE,HLOOKUP($BL$25,ÍNDICES!$B$3:$T$4,2)+11)-VLOOKUP(B270,ÍNDICES!$A:$DE,HLOOKUP($BL$25,ÍNDICES!$B$3:$T$4,2)+11)+1%,IF(C$38=$W$26,$J$35,IF(ISERROR(IF(B270&gt;$D$19,1,VLOOKUP(DATE(YEAR(B270),MONTH(B270)+IF($C$35=$S$23,1,0),1),ÍNDICES!$A:$DE,$Z$35+1))),"",IF(B270&gt;$D$19,1,VLOOKUP(DATE(YEAR(B270),MONTH(B270)+IF($C$35=$S$23,1,0),1),ÍNDICES!$A:$DE,$Z$35+1))))))</f>
        <v/>
      </c>
      <c r="D270" s="154" t="str">
        <f>IF(ISERROR(IF(OR($D$38=$Y$27,$B270=""),"",VLOOKUP(B270,ÍNDICES!A:DE,AF$35+1))),"",IF(OR($D$38=$Y$27,$B270=""),"",VLOOKUP(B270,ÍNDICES!A:DE,AF$35+1)))</f>
        <v/>
      </c>
      <c r="E270" s="153"/>
      <c r="F270" s="29" t="str">
        <f>IF(E270="","",IF($L$35="SELIC - TRIBUTOS",VLOOKUP(DATE(YEAR($D$19),MONTH($D$19)-1,1),ÍNDICES!$A:$DE,HLOOKUP($BL$25,ÍNDICES!$B$3:$T$4,2)+11)-VLOOKUP(E270,ÍNDICES!$A:$DE,HLOOKUP($BL$25,ÍNDICES!$B$3:$T$4,2)+11)+1%,IF(F$38=$W$26,$J$35,IF(ISERROR(IF(E270&gt;$D$19,1,VLOOKUP(DATE(YEAR(E270),MONTH(E270)+IF($C$35=$S$23,1,0),1),ÍNDICES!$A:$DE,$Z$35+1))),"",IF(E270&gt;$D$19,1,VLOOKUP(DATE(YEAR(E270),MONTH(E270)+IF($C$35=$S$23,1,0),1),ÍNDICES!$A:$DE,$Z$35+1))))))</f>
        <v/>
      </c>
      <c r="G270" s="155"/>
      <c r="H270" s="156" t="str">
        <f t="shared" si="44"/>
        <v/>
      </c>
      <c r="I270" s="29" t="str">
        <f t="shared" si="38"/>
        <v/>
      </c>
      <c r="J270" s="5">
        <f t="shared" si="39"/>
        <v>0</v>
      </c>
      <c r="K270" s="20">
        <f t="shared" ca="1" si="40"/>
        <v>0</v>
      </c>
      <c r="L270" s="5">
        <f t="shared" ca="1" si="41"/>
        <v>0</v>
      </c>
      <c r="M270" s="64">
        <f t="shared" si="45"/>
        <v>0</v>
      </c>
      <c r="N270" s="61">
        <f t="shared" ca="1" si="46"/>
        <v>0</v>
      </c>
      <c r="O270" s="5">
        <f t="shared" ca="1" si="47"/>
        <v>0</v>
      </c>
      <c r="P270" s="446" t="e">
        <f t="shared" si="42"/>
        <v>#VALUE!</v>
      </c>
      <c r="Q270" s="446" t="e">
        <f>IF(OR($B270="",MIN(Q$38,$D$19)&lt;MAX($P$34*($B270+IF($R$17="Distrato",$I$38-1,0)),IF(AND($L$37=0,$P$34=0),"",$L$37-1),IF($R$17="Distrato",$E270,0))),0,YEARFRAC(MAX($P$34*($B270+IF($R$17="Distrato",$I$38-1,0)),IF(AND($L$37=0,$P$34=0),"",$L$37-1),IF($R$17="Distrato",$E270,0)),MIN(Q$38,$D$19),$P$20))-SUM($P270:P270)</f>
        <v>#VALUE!</v>
      </c>
      <c r="R270" s="446" t="e">
        <f>IF(OR($B270="",MIN(R$38,$D$19)&lt;MAX($P$34*($B270+IF($R$17="Distrato",$I$38-1,0)),IF(AND($L$37=0,$P$34=0),"",$L$37-1),IF($R$17="Distrato",$E270,0))),0,YEARFRAC(MAX($P$34*($B270+IF($R$17="Distrato",$I$38-1,0)),IF(AND($L$37=0,$P$34=0),"",$L$37-1),IF($R$17="Distrato",$E270,0)),MIN(R$38,$D$19),$P$20))-SUM($P270:Q270)</f>
        <v>#VALUE!</v>
      </c>
      <c r="S270" s="446" t="e">
        <f>IF(OR($B270="",MIN(S$38,$D$19)&lt;MAX($P$34*($B270+IF($R$17="Distrato",$I$38-1,0)),IF(AND($L$37=0,$P$34=0),"",$L$37-1),IF($R$17="Distrato",$E270,0))),0,YEARFRAC(MAX($P$34*($B270+IF($R$17="Distrato",$I$38-1,0)),IF(AND($L$37=0,$P$34=0),"",$L$37-1),IF($R$17="Distrato",$E270,0)),MIN(S$38,$D$19),$P$20))-SUM($P270:R270)</f>
        <v>#VALUE!</v>
      </c>
      <c r="T270" s="446" t="e">
        <f>IF(OR($B270="",MIN(T$38,$D$19)&lt;MAX($P$34*($B270+IF($R$17="Distrato",$I$38-1,0)),IF(AND($L$37=0,$P$34=0),"",$L$37-1),IF($R$17="Distrato",$E270,0))),0,YEARFRAC(MAX($P$34*($B270+IF($R$17="Distrato",$I$38-1,0)),IF(AND($L$37=0,$P$34=0),"",$L$37-1),IF($R$17="Distrato",$E270,0)),MIN(T$38,$D$19),$P$20))-SUM($P270:S270)</f>
        <v>#VALUE!</v>
      </c>
      <c r="U270" s="446" t="e">
        <f>IF(OR($B270="",MIN(U$38,$D$19)&lt;MAX($P$34*($B270+IF($R$17="Distrato",$I$38-1,0)),IF(AND($L$37=0,$P$34=0),"",$L$37-1),IF($R$17="Distrato",$E270,0))),0,YEARFRAC(MAX($P$34*($B270+IF($R$17="Distrato",$I$38-1,0)),IF(AND($L$37=0,$P$34=0),"",$L$37-1),IF($R$17="Distrato",$E270,0)),MIN(U$38,$D$19),$P$20))-SUM($P270:T270)</f>
        <v>#VALUE!</v>
      </c>
      <c r="V270" s="446" t="e">
        <f>IF(OR($B270="",MIN(V$38,$D$19)&lt;MAX($P$34*($B270+IF($R$17="Distrato",$I$38-1,0)),IF(AND($L$37=0,$P$34=0),"",$L$37-1),IF($R$17="Distrato",$E270,0))),0,YEARFRAC(MAX($P$34*($B270+IF($R$17="Distrato",$I$38-1,0)),IF(AND($L$37=0,$P$34=0),"",$L$37-1),IF($R$17="Distrato",$E270,0)),MIN(V$38,$D$19),$P$20))-SUM($P270:U270)</f>
        <v>#VALUE!</v>
      </c>
      <c r="W270" s="446" t="e">
        <f>IF(OR($B270="",MIN(W$38,$D$19)&lt;MAX($P$34*($B270+IF($R$17="Distrato",$I$38-1,0)),IF(AND($L$37=0,$P$34=0),"",$L$37-1),IF($R$17="Distrato",$E270,0))),0,YEARFRAC(MAX($P$34*($B270+IF($R$17="Distrato",$I$38-1,0)),IF(AND($L$37=0,$P$34=0),"",$L$37-1),IF($R$17="Distrato",$E270,0)),MIN(W$38,$D$19),$P$20))-SUM($P270:V270)</f>
        <v>#VALUE!</v>
      </c>
      <c r="X270" s="446" t="e">
        <f>IF(OR($B270="",MIN(X$38,$D$19)&lt;MAX($P$34*($B270+IF($R$17="Distrato",$I$38-1,0)),IF(AND($L$37=0,$P$34=0),"",$L$37-1),IF($R$17="Distrato",$E270,0))),0,YEARFRAC(MAX($P$34*($B270+IF($R$17="Distrato",$I$38-1,0)),IF(AND($L$37=0,$P$34=0),"",$L$37-1),IF($R$17="Distrato",$E270,0)),MIN(X$38,$D$19),$P$20))-SUM($P270:W270)</f>
        <v>#VALUE!</v>
      </c>
      <c r="Y270" s="446" t="e">
        <f>IF(OR($B270="",MIN(Y$38,$D$19)&lt;MAX($P$34*($B270+IF($R$17="Distrato",$I$38-1,0)),IF(AND($L$37=0,$P$34=0),"",$L$37-1),IF($R$17="Distrato",$E270,0))),0,YEARFRAC(MAX($P$34*($B270+IF($R$17="Distrato",$I$38-1,0)),IF(AND($L$37=0,$P$34=0),"",$L$37-1),IF($R$17="Distrato",$E270,0)),MIN(Y$38,$D$19),$P$20))-SUM($P270:X270)</f>
        <v>#VALUE!</v>
      </c>
      <c r="Z270" s="446" t="e">
        <f>IF(OR($B270="",MIN(Z$38,$D$19)&lt;MAX($P$34*($B270+IF($R$17="Distrato",$I$38-1,0)),IF(AND($L$37=0,$P$34=0),"",$L$37-1),IF($R$17="Distrato",$E270,0))),0,YEARFRAC(MAX($P$34*($B270+IF($R$17="Distrato",$I$38-1,0)),IF(AND($L$37=0,$P$34=0),"",$L$37-1),IF($R$17="Distrato",$E270,0)),MIN(Z$38,$D$19),$P$20))-SUM($P270:Y270)</f>
        <v>#VALUE!</v>
      </c>
      <c r="AA270" s="446" t="e">
        <f>IF(OR($B270="",MIN(AA$38,$D$19)&lt;MAX($P$34*($B270+IF($R$17="Distrato",$I$38-1,0)),IF(AND($L$37=0,$P$34=0),"",$L$37-1),IF($R$17="Distrato",$E270,0))),0,YEARFRAC(MAX($P$34*($B270+IF($R$17="Distrato",$I$38-1,0)),IF(AND($L$37=0,$P$34=0),"",$L$37-1),IF($R$17="Distrato",$E270,0)),MIN(AA$38,$D$19),$P$20))-SUM($P270:Z270)</f>
        <v>#VALUE!</v>
      </c>
      <c r="AB270" s="446" t="e">
        <f>IF(OR($B270="",MIN(AB$38,$D$19)&lt;MAX($P$34*($B270+IF($R$17="Distrato",$I$38-1,0)),IF(AND($L$37=0,$P$34=0),"",$L$37-1),IF($R$17="Distrato",$E270,0))),0,YEARFRAC(MAX($P$34*($B270+IF($R$17="Distrato",$I$38-1,0)),IF(AND($L$37=0,$P$34=0),"",$L$37-1),IF($R$17="Distrato",$E270,0)),MIN(AB$38,$D$19),$P$20))-SUM($P270:AA270)</f>
        <v>#VALUE!</v>
      </c>
      <c r="AC270" s="446" t="e">
        <f>IF(OR($B270="",MIN(AC$38,$D$19)&lt;MAX($P$34*($B270+IF($R$17="Distrato",$I$38-1,0)),IF(AND($L$37=0,$P$34=0),"",$L$37-1),IF($R$17="Distrato",$E270,0))),0,YEARFRAC(MAX($P$34*($B270+IF($R$17="Distrato",$I$38-1,0)),IF(AND($L$37=0,$P$34=0),"",$L$37-1),IF($R$17="Distrato",$E270,0)),MIN(AC$38,$D$19),$P$20))-SUM($P270:AB270)</f>
        <v>#VALUE!</v>
      </c>
      <c r="AD270" s="446" t="e">
        <f>IF(OR($B270="",MIN(AD$38,$D$19)&lt;MAX($P$34*($B270+IF($R$17="Distrato",$I$38-1,0)),IF(AND($L$37=0,$P$34=0),"",$L$37-1),IF($R$17="Distrato",$E270,0))),0,YEARFRAC(MAX($P$34*($B270+IF($R$17="Distrato",$I$38-1,0)),IF(AND($L$37=0,$P$34=0),"",$L$37-1),IF($R$17="Distrato",$E270,0)),MIN(AD$38,$D$19),$P$20))-SUM($P270:AC270)</f>
        <v>#VALUE!</v>
      </c>
      <c r="AE270" s="446" t="e">
        <f>IF(OR($B270="",MIN(AE$38,$D$19)&lt;MAX($P$34*($B270+IF($R$17="Distrato",$I$38-1,0)),IF(AND($L$37=0,$P$34=0),"",$L$37-1),IF($R$17="Distrato",$E270,0))),0,YEARFRAC(MAX($P$34*($B270+IF($R$17="Distrato",$I$38-1,0)),IF(AND($L$37=0,$P$34=0),"",$L$37-1),IF($R$17="Distrato",$E270,0)),MIN(AE$38,$D$19),$P$20))-SUM($P270:AD270)</f>
        <v>#VALUE!</v>
      </c>
      <c r="AF270" s="446" t="e">
        <f>IF(OR($B270="",MIN(AF$38,$D$19)&lt;MAX($P$34*($B270+IF($R$17="Distrato",$I$38-1,0)),IF(AND($L$37=0,$P$34=0),"",$L$37-1),IF($R$17="Distrato",$E270,0))),0,YEARFRAC(MAX($P$34*($B270+IF($R$17="Distrato",$I$38-1,0)),IF(AND($L$37=0,$P$34=0),"",$L$37-1),IF($R$17="Distrato",$E270,0)),MIN(AF$38,$D$19),$P$20))-SUM($P270:AE270)</f>
        <v>#VALUE!</v>
      </c>
      <c r="AG270" s="446" t="e">
        <f>IF(OR($B270="",MIN(AG$38,$D$19)&lt;MAX($P$34*($B270+IF($R$17="Distrato",$I$38-1,0)),IF(AND($L$37=0,$P$34=0),"",$L$37-1),IF($R$17="Distrato",$E270,0))),0,YEARFRAC(MAX($P$34*($B270+IF($R$17="Distrato",$I$38-1,0)),IF(AND($L$37=0,$P$34=0),"",$L$37-1),IF($R$17="Distrato",$E270,0)),MIN(AG$38,$D$19),$P$20))-SUM($P270:AF270)</f>
        <v>#VALUE!</v>
      </c>
      <c r="AH270" s="446" t="e">
        <f>IF(OR($B270="",MIN(AH$38,$D$19)&lt;MAX($P$34*($B270+IF($R$17="Distrato",$I$38-1,0)),IF(AND($L$37=0,$P$34=0),"",$L$37-1),IF($R$17="Distrato",$E270,0))),0,YEARFRAC(MAX($P$34*($B270+IF($R$17="Distrato",$I$38-1,0)),IF(AND($L$37=0,$P$34=0),"",$L$37-1),IF($R$17="Distrato",$E270,0)),MIN(AH$38,$D$19),$P$20))-SUM($P270:AG270)</f>
        <v>#VALUE!</v>
      </c>
      <c r="AI270" s="446" t="e">
        <f>IF(OR($B270="",MIN(AI$38,$D$19)&lt;MAX($P$34*($B270+IF($R$17="Distrato",$I$38-1,0)),IF(AND($L$37=0,$P$34=0),"",$L$37-1),IF($R$17="Distrato",$E270,0))),0,YEARFRAC(MAX($P$34*($B270+IF($R$17="Distrato",$I$38-1,0)),IF(AND($L$37=0,$P$34=0),"",$L$37-1),IF($R$17="Distrato",$E270,0)),MIN(AI$38,$D$19),$P$20))-SUM($P270:AH270)</f>
        <v>#VALUE!</v>
      </c>
      <c r="AJ270" s="446" t="e">
        <f>IF(OR($B270="",MIN(AJ$38,$D$19)&lt;MAX($P$34*($B270+IF($R$17="Distrato",$I$38-1,0)),IF(AND($L$37=0,$P$34=0),"",$L$37-1),IF($R$17="Distrato",$E270,0))),0,YEARFRAC(MAX($P$34*($B270+IF($R$17="Distrato",$I$38-1,0)),IF(AND($L$37=0,$P$34=0),"",$L$37-1),IF($R$17="Distrato",$E270,0)),MIN(AJ$38,$D$19),$P$20))-SUM($P270:AI270)</f>
        <v>#VALUE!</v>
      </c>
      <c r="AK270" s="446" t="e">
        <f>IF(OR($B270="",MIN(AK$38,$D$19)&lt;MAX($P$34*($B270+IF($R$17="Distrato",$I$38-1,0)),IF(AND($L$37=0,$P$34=0),"",$L$37-1),IF($R$17="Distrato",$E270,0))),0,YEARFRAC(MAX($P$34*($B270+IF($R$17="Distrato",$I$38-1,0)),IF(AND($L$37=0,$P$34=0),"",$L$37-1),IF($R$17="Distrato",$E270,0)),MIN(AK$38,$D$19),$P$20))-SUM($P270:AJ270)</f>
        <v>#VALUE!</v>
      </c>
      <c r="AL270" s="446" t="e">
        <f>IF(OR($B270="",MIN(AL$38,$D$19)&lt;MAX($P$34*($B270+IF($R$17="Distrato",$I$38-1,0)),IF(AND($L$37=0,$P$34=0),"",$L$37-1),IF($R$17="Distrato",$E270,0))),0,YEARFRAC(MAX($P$34*($B270+IF($R$17="Distrato",$I$38-1,0)),IF(AND($L$37=0,$P$34=0),"",$L$37-1),IF($R$17="Distrato",$E270,0)),MIN(AL$38,$D$19),$P$20))-SUM($P270:AK270)</f>
        <v>#VALUE!</v>
      </c>
      <c r="AM270" s="446" t="e">
        <f>IF(OR($B270="",MIN(AM$38,$D$19)&lt;MAX($P$34*($B270+IF($R$17="Distrato",$I$38-1,0)),IF(AND($L$37=0,$P$34=0),"",$L$37-1),IF($R$17="Distrato",$E270,0))),0,YEARFRAC(MAX($P$34*($B270+IF($R$17="Distrato",$I$38-1,0)),IF(AND($L$37=0,$P$34=0),"",$L$37-1),IF($R$17="Distrato",$E270,0)),MIN(AM$38,$D$19),$P$20))-SUM($P270:AL270)</f>
        <v>#VALUE!</v>
      </c>
      <c r="AN270" s="446" t="e">
        <f>IF(OR($B270="",MIN(AN$38,$D$19)&lt;MAX($P$34*($B270+IF($R$17="Distrato",$I$38-1,0)),IF(AND($L$37=0,$P$34=0),"",$L$37-1),IF($R$17="Distrato",$E270,0))),0,YEARFRAC(MAX($P$34*($B270+IF($R$17="Distrato",$I$38-1,0)),IF(AND($L$37=0,$P$34=0),"",$L$37-1),IF($R$17="Distrato",$E270,0)),MIN(AN$38,$D$19),$P$20))-SUM($P270:AM270)</f>
        <v>#VALUE!</v>
      </c>
      <c r="AO270" s="446" t="e">
        <f>IF(OR($B270="",MIN(AO$38,$D$19)&lt;MAX($P$34*($B270+IF($R$17="Distrato",$I$38-1,0)),IF(AND($L$37=0,$P$34=0),"",$L$37-1),IF($R$17="Distrato",$E270,0))),0,YEARFRAC(MAX($P$34*($B270+IF($R$17="Distrato",$I$38-1,0)),IF(AND($L$37=0,$P$34=0),"",$L$37-1),IF($R$17="Distrato",$E270,0)),MIN(AO$38,$D$19),$P$20))-SUM($P270:AN270)</f>
        <v>#VALUE!</v>
      </c>
      <c r="AP270" s="446" t="e">
        <f>IF(OR($B270="",MIN(AP$38,$D$19)&lt;MAX($P$34*($B270+IF($R$17="Distrato",$I$38-1,0)),IF(AND($L$37=0,$P$34=0),"",$L$37-1),IF($R$17="Distrato",$E270,0))),0,YEARFRAC(MAX($P$34*($B270+IF($R$17="Distrato",$I$38-1,0)),IF(AND($L$37=0,$P$34=0),"",$L$37-1),IF($R$17="Distrato",$E270,0)),MIN(AP$38,$D$19),$P$20))-SUM($P270:AO270)</f>
        <v>#VALUE!</v>
      </c>
      <c r="AQ270" s="446" t="e">
        <f>IF(OR($B270="",MIN(AQ$38,$D$19)&lt;MAX($P$34*($B270+IF($R$17="Distrato",$I$38-1,0)),IF(AND($L$37=0,$P$34=0),"",$L$37-1),IF($R$17="Distrato",$E270,0))),0,YEARFRAC(MAX($P$34*($B270+IF($R$17="Distrato",$I$38-1,0)),IF(AND($L$37=0,$P$34=0),"",$L$37-1),IF($R$17="Distrato",$E270,0)),MIN(AQ$38,$D$19),$P$20))-SUM($P270:AP270)</f>
        <v>#VALUE!</v>
      </c>
      <c r="AR270" s="446" t="e">
        <f>IF(OR($B270="",MIN(AR$38,$D$19)&lt;MAX($P$34*($B270+IF($R$17="Distrato",$I$38-1,0)),IF(AND($L$37=0,$P$34=0),"",$L$37-1),IF($R$17="Distrato",$E270,0))),0,YEARFRAC(MAX($P$34*($B270+IF($R$17="Distrato",$I$38-1,0)),IF(AND($L$37=0,$P$34=0),"",$L$37-1),IF($R$17="Distrato",$E270,0)),MIN(AR$38,$D$19),$P$20))-SUM($P270:AQ270)</f>
        <v>#VALUE!</v>
      </c>
      <c r="AS270" s="446" t="e">
        <f>IF(OR($B270="",MIN(AS$38,$D$19)&lt;MAX($P$34*($B270+IF($R$17="Distrato",$I$38-1,0)),IF(AND($L$37=0,$P$34=0),"",$L$37-1),IF($R$17="Distrato",$E270,0))),0,YEARFRAC(MAX($P$34*($B270+IF($R$17="Distrato",$I$38-1,0)),IF(AND($L$37=0,$P$34=0),"",$L$37-1),IF($R$17="Distrato",$E270,0)),MIN(AS$38,$D$19),$P$20))-SUM($P270:AR270)</f>
        <v>#VALUE!</v>
      </c>
      <c r="AT270" s="446" t="e">
        <f>IF(OR($B270="",MIN(AT$38,$D$19)&lt;MAX($P$34*($B270+IF($R$17="Distrato",$I$38-1,0)),IF(AND($L$37=0,$P$34=0),"",$L$37-1),IF($R$17="Distrato",$E270,0))),0,YEARFRAC(MAX($P$34*($B270+IF($R$17="Distrato",$I$38-1,0)),IF(AND($L$37=0,$P$34=0),"",$L$37-1),IF($R$17="Distrato",$E270,0)),MIN(AT$38,$D$19),$P$20))-SUM($P270:AS270)</f>
        <v>#VALUE!</v>
      </c>
      <c r="AU270" s="446" t="e">
        <f>IF(OR($B270="",MIN(AU$38,$D$19)&lt;MAX($P$34*($B270+IF($R$17="Distrato",$I$38-1,0)),IF(AND($L$37=0,$P$34=0),"",$L$37-1),IF($R$17="Distrato",$E270,0))),0,YEARFRAC(MAX($P$34*($B270+IF($R$17="Distrato",$I$38-1,0)),IF(AND($L$37=0,$P$34=0),"",$L$37-1),IF($R$17="Distrato",$E270,0)),MIN(AU$38,$D$19),$P$20))-SUM($P270:AT270)</f>
        <v>#VALUE!</v>
      </c>
      <c r="AV270" s="446" t="e">
        <f>IF(OR($B270="",MIN(AV$38,$D$19)&lt;MAX($P$34*($B270+IF($R$17="Distrato",$I$38-1,0)),IF(AND($L$37=0,$P$34=0),"",$L$37-1),IF($R$17="Distrato",$E270,0))),0,YEARFRAC(MAX($P$34*($B270+IF($R$17="Distrato",$I$38-1,0)),IF(AND($L$37=0,$P$34=0),"",$L$37-1),IF($R$17="Distrato",$E270,0)),MIN(AV$38,$D$19),$P$20))-SUM($P270:AU270)</f>
        <v>#VALUE!</v>
      </c>
      <c r="AW270" s="446" t="e">
        <f>IF(OR($B270="",MIN(AW$38,$D$19)&lt;MAX($P$34*($B270+IF($R$17="Distrato",$I$38-1,0)),IF(AND($L$37=0,$P$34=0),"",$L$37-1),IF($R$17="Distrato",$E270,0))),0,YEARFRAC(MAX($P$34*($B270+IF($R$17="Distrato",$I$38-1,0)),IF(AND($L$37=0,$P$34=0),"",$L$37-1),IF($R$17="Distrato",$E270,0)),MIN(AW$38,$D$19),$P$20))-SUM($P270:AV270)</f>
        <v>#VALUE!</v>
      </c>
      <c r="AX270" s="446" t="e">
        <f>IF(OR($B270="",MIN(AX$38,$D$19)&lt;MAX($P$34*($B270+IF($R$17="Distrato",$I$38-1,0)),IF(AND($L$37=0,$P$34=0),"",$L$37-1),IF($R$17="Distrato",$E270,0))),0,YEARFRAC(MAX($P$34*($B270+IF($R$17="Distrato",$I$38-1,0)),IF(AND($L$37=0,$P$34=0),"",$L$37-1),IF($R$17="Distrato",$E270,0)),MIN(AX$38,$D$19),$P$20))-SUM($P270:AW270)</f>
        <v>#VALUE!</v>
      </c>
      <c r="AY270" s="446" t="e">
        <f>IF(OR($B270="",MIN(AY$38,$D$19)&lt;MAX($P$34*($B270+IF($R$17="Distrato",$I$38-1,0)),IF(AND($L$37=0,$P$34=0),"",$L$37-1),IF($R$17="Distrato",$E270,0))),0,YEARFRAC(MAX($P$34*($B270+IF($R$17="Distrato",$I$38-1,0)),IF(AND($L$37=0,$P$34=0),"",$L$37-1),IF($R$17="Distrato",$E270,0)),MIN(AY$38,$D$19),$P$20))-SUM($P270:AX270)</f>
        <v>#VALUE!</v>
      </c>
      <c r="AZ270" s="446" t="e">
        <f>IF(OR($B270="",MIN(AZ$38,$D$19)&lt;MAX($P$34*($B270+IF($R$17="Distrato",$I$38-1,0)),IF(AND($L$37=0,$P$34=0),"",$L$37-1),IF($R$17="Distrato",$E270,0))),0,YEARFRAC(MAX($P$34*($B270+IF($R$17="Distrato",$I$38-1,0)),IF(AND($L$37=0,$P$34=0),"",$L$37-1),IF($R$17="Distrato",$E270,0)),MIN(AZ$38,$D$19),$P$20))-SUM($P270:AY270)</f>
        <v>#VALUE!</v>
      </c>
      <c r="BA270" s="446" t="e">
        <f>IF(OR($B270="",MIN(BA$38,$D$19)&lt;MAX($P$34*($B270+IF($R$17="Distrato",$I$38-1,0)),IF(AND($L$37=0,$P$34=0),"",$L$37-1),IF($R$17="Distrato",$E270,0))),0,YEARFRAC(MAX($P$34*($B270+IF($R$17="Distrato",$I$38-1,0)),IF(AND($L$37=0,$P$34=0),"",$L$37-1),IF($R$17="Distrato",$E270,0)),MIN(BA$38,$D$19),$P$20))-SUM($P270:AZ270)</f>
        <v>#VALUE!</v>
      </c>
      <c r="BB270" s="447"/>
      <c r="BF270" s="446">
        <f t="shared" si="43"/>
        <v>0</v>
      </c>
      <c r="BG270" s="446">
        <f>IF($E270=0,0,IF(MIN(BG$38,$E270)&lt;MAX($P$34*($B270+$I$38-1),IF(AND($L$37=0,$P$34=0),"",$L$37-1)),0,YEARFRAC(MAX($P$34*($B270+$I$38-1),IF(AND($L$37=0,$P$34=0),"",$L$37-1)),MIN(BG$38,$E270),$P$20))-SUM($BF270:BF270))</f>
        <v>0</v>
      </c>
      <c r="BH270" s="446">
        <f>IF($E270=0,0,IF(MIN(BH$38,$E270)&lt;MAX($P$34*($B270+$I$38-1),IF(AND($L$37=0,$P$34=0),"",$L$37-1)),0,YEARFRAC(MAX($P$34*($B270+$I$38-1),IF(AND($L$37=0,$P$34=0),"",$L$37-1)),MIN(BH$38,$E270),$P$20))-SUM($BF270:BG270))</f>
        <v>0</v>
      </c>
      <c r="BI270" s="446">
        <f>IF($E270=0,0,IF(MIN(BI$38,$E270)&lt;MAX($P$34*($B270+$I$38-1),IF(AND($L$37=0,$P$34=0),"",$L$37-1)),0,YEARFRAC(MAX($P$34*($B270+$I$38-1),IF(AND($L$37=0,$P$34=0),"",$L$37-1)),MIN(BI$38,$E270),$P$20))-SUM($BF270:BH270))</f>
        <v>0</v>
      </c>
      <c r="BJ270" s="446">
        <f>IF($E270=0,0,IF(MIN(BJ$38,$E270)&lt;MAX($P$34*($B270+$I$38-1),IF(AND($L$37=0,$P$34=0),"",$L$37-1)),0,YEARFRAC(MAX($P$34*($B270+$I$38-1),IF(AND($L$37=0,$P$34=0),"",$L$37-1)),MIN(BJ$38,$E270),$P$20))-SUM($BF270:BI270))</f>
        <v>0</v>
      </c>
      <c r="BK270" s="446">
        <f>IF($E270=0,0,IF(MIN(BK$38,$E270)&lt;MAX($P$34*($B270+$I$38-1),IF(AND($L$37=0,$P$34=0),"",$L$37-1)),0,YEARFRAC(MAX($P$34*($B270+$I$38-1),IF(AND($L$37=0,$P$34=0),"",$L$37-1)),MIN(BK$38,$E270),$P$20))-SUM($BF270:BJ270))</f>
        <v>0</v>
      </c>
      <c r="BL270" s="446">
        <f>IF($E270=0,0,IF(MIN(BL$38,$E270)&lt;MAX($P$34*($B270+$I$38-1),IF(AND($L$37=0,$P$34=0),"",$L$37-1)),0,YEARFRAC(MAX($P$34*($B270+$I$38-1),IF(AND($L$37=0,$P$34=0),"",$L$37-1)),MIN(BL$38,$E270),$P$20))-SUM($BF270:BK270))</f>
        <v>0</v>
      </c>
      <c r="BM270" s="446">
        <f>IF($E270=0,0,IF(MIN(BM$38,$E270)&lt;MAX($P$34*($B270+$I$38-1),IF(AND($L$37=0,$P$34=0),"",$L$37-1)),0,YEARFRAC(MAX($P$34*($B270+$I$38-1),IF(AND($L$37=0,$P$34=0),"",$L$37-1)),MIN(BM$38,$E270),$P$20))-SUM($BF270:BL270))</f>
        <v>0</v>
      </c>
      <c r="BN270" s="446">
        <f>IF($E270=0,0,IF(MIN(BN$38,$E270)&lt;MAX($P$34*($B270+$I$38-1),IF(AND($L$37=0,$P$34=0),"",$L$37-1)),0,YEARFRAC(MAX($P$34*($B270+$I$38-1),IF(AND($L$37=0,$P$34=0),"",$L$37-1)),MIN(BN$38,$E270),$P$20))-SUM($BF270:BM270))</f>
        <v>0</v>
      </c>
      <c r="BO270" s="446">
        <f>IF($E270=0,0,IF(MIN(BO$38,$E270)&lt;MAX($P$34*($B270+$I$38-1),IF(AND($L$37=0,$P$34=0),"",$L$37-1)),0,YEARFRAC(MAX($P$34*($B270+$I$38-1),IF(AND($L$37=0,$P$34=0),"",$L$37-1)),MIN(BO$38,$E270),$P$20))-SUM($BF270:BN270))</f>
        <v>0</v>
      </c>
      <c r="BP270" s="446">
        <f>IF($E270=0,0,IF(MIN(BP$38,$E270)&lt;MAX($P$34*($B270+$I$38-1),IF(AND($L$37=0,$P$34=0),"",$L$37-1)),0,YEARFRAC(MAX($P$34*($B270+$I$38-1),IF(AND($L$37=0,$P$34=0),"",$L$37-1)),MIN(BP$38,$E270),$P$20))-SUM($BF270:BO270))</f>
        <v>0</v>
      </c>
      <c r="BQ270" s="446">
        <f>IF($E270=0,0,IF(MIN(BQ$38,$E270)&lt;MAX($P$34*($B270+$I$38-1),IF(AND($L$37=0,$P$34=0),"",$L$37-1)),0,YEARFRAC(MAX($P$34*($B270+$I$38-1),IF(AND($L$37=0,$P$34=0),"",$L$37-1)),MIN(BQ$38,$E270),$P$20))-SUM($BF270:BP270))</f>
        <v>0</v>
      </c>
      <c r="BR270" s="446">
        <f>IF($E270=0,0,IF(MIN(BR$38,$E270)&lt;MAX($P$34*($B270+$I$38-1),IF(AND($L$37=0,$P$34=0),"",$L$37-1)),0,YEARFRAC(MAX($P$34*($B270+$I$38-1),IF(AND($L$37=0,$P$34=0),"",$L$37-1)),MIN(BR$38,$E270),$P$20))-SUM($BF270:BQ270))</f>
        <v>0</v>
      </c>
      <c r="BS270" s="446">
        <f>IF($E270=0,0,IF(MIN(BS$38,$E270)&lt;MAX($P$34*($B270+$I$38-1),IF(AND($L$37=0,$P$34=0),"",$L$37-1)),0,YEARFRAC(MAX($P$34*($B270+$I$38-1),IF(AND($L$37=0,$P$34=0),"",$L$37-1)),MIN(BS$38,$E270),$P$20))-SUM($BF270:BR270))</f>
        <v>0</v>
      </c>
      <c r="BT270" s="446">
        <f>IF($E270=0,0,IF(MIN(BT$38,$E270)&lt;MAX($P$34*($B270+$I$38-1),IF(AND($L$37=0,$P$34=0),"",$L$37-1)),0,YEARFRAC(MAX($P$34*($B270+$I$38-1),IF(AND($L$37=0,$P$34=0),"",$L$37-1)),MIN(BT$38,$E270),$P$20))-SUM($BF270:BS270))</f>
        <v>0</v>
      </c>
      <c r="BU270" s="446">
        <f>IF($E270=0,0,IF(MIN(BU$38,$E270)&lt;MAX($P$34*($B270+$I$38-1),IF(AND($L$37=0,$P$34=0),"",$L$37-1)),0,YEARFRAC(MAX($P$34*($B270+$I$38-1),IF(AND($L$37=0,$P$34=0),"",$L$37-1)),MIN(BU$38,$E270),$P$20))-SUM($BF270:BT270))</f>
        <v>0</v>
      </c>
      <c r="BV270" s="446">
        <f>IF($E270=0,0,IF(MIN(BV$38,$E270)&lt;MAX($P$34*($B270+$I$38-1),IF(AND($L$37=0,$P$34=0),"",$L$37-1)),0,YEARFRAC(MAX($P$34*($B270+$I$38-1),IF(AND($L$37=0,$P$34=0),"",$L$37-1)),MIN(BV$38,$E270),$P$20))-SUM($BF270:BU270))</f>
        <v>0</v>
      </c>
      <c r="BW270" s="446">
        <f>IF($E270=0,0,IF(MIN(BW$38,$E270)&lt;MAX($P$34*($B270+$I$38-1),IF(AND($L$37=0,$P$34=0),"",$L$37-1)),0,YEARFRAC(MAX($P$34*($B270+$I$38-1),IF(AND($L$37=0,$P$34=0),"",$L$37-1)),MIN(BW$38,$E270),$P$20))-SUM($BF270:BV270))</f>
        <v>0</v>
      </c>
      <c r="BX270" s="446">
        <f>IF($E270=0,0,IF(MIN(BX$38,$E270)&lt;MAX($P$34*($B270+$I$38-1),IF(AND($L$37=0,$P$34=0),"",$L$37-1)),0,YEARFRAC(MAX($P$34*($B270+$I$38-1),IF(AND($L$37=0,$P$34=0),"",$L$37-1)),MIN(BX$38,$E270),$P$20))-SUM($BF270:BW270))</f>
        <v>0</v>
      </c>
      <c r="BY270" s="446">
        <f>IF($E270=0,0,IF(MIN(BY$38,$E270)&lt;MAX($P$34*($B270+$I$38-1),IF(AND($L$37=0,$P$34=0),"",$L$37-1)),0,YEARFRAC(MAX($P$34*($B270+$I$38-1),IF(AND($L$37=0,$P$34=0),"",$L$37-1)),MIN(BY$38,$E270),$P$20))-SUM($BF270:BX270))</f>
        <v>0</v>
      </c>
      <c r="BZ270" s="446">
        <f>IF($E270=0,0,IF(MIN(BZ$38,$E270)&lt;MAX($P$34*($B270+$I$38-1),IF(AND($L$37=0,$P$34=0),"",$L$37-1)),0,YEARFRAC(MAX($P$34*($B270+$I$38-1),IF(AND($L$37=0,$P$34=0),"",$L$37-1)),MIN(BZ$38,$E270),$P$20))-SUM($BF270:BY270))</f>
        <v>0</v>
      </c>
      <c r="CA270" s="446">
        <f>IF($E270=0,0,IF(MIN(CA$38,$E270)&lt;MAX($P$34*($B270+$I$38-1),IF(AND($L$37=0,$P$34=0),"",$L$37-1)),0,YEARFRAC(MAX($P$34*($B270+$I$38-1),IF(AND($L$37=0,$P$34=0),"",$L$37-1)),MIN(CA$38,$E270),$P$20))-SUM($BF270:BZ270))</f>
        <v>0</v>
      </c>
      <c r="CB270" s="446">
        <f>IF($E270=0,0,IF(MIN(CB$38,$E270)&lt;MAX($P$34*($B270+$I$38-1),IF(AND($L$37=0,$P$34=0),"",$L$37-1)),0,YEARFRAC(MAX($P$34*($B270+$I$38-1),IF(AND($L$37=0,$P$34=0),"",$L$37-1)),MIN(CB$38,$E270),$P$20))-SUM($BF270:CA270))</f>
        <v>0</v>
      </c>
      <c r="CC270" s="446">
        <f>IF($E270=0,0,IF(MIN(CC$38,$E270)&lt;MAX($P$34*($B270+$I$38-1),IF(AND($L$37=0,$P$34=0),"",$L$37-1)),0,YEARFRAC(MAX($P$34*($B270+$I$38-1),IF(AND($L$37=0,$P$34=0),"",$L$37-1)),MIN(CC$38,$E270),$P$20))-SUM($BF270:CB270))</f>
        <v>0</v>
      </c>
      <c r="CD270" s="446">
        <f>IF($E270=0,0,IF(MIN(CD$38,$E270)&lt;MAX($P$34*($B270+$I$38-1),IF(AND($L$37=0,$P$34=0),"",$L$37-1)),0,YEARFRAC(MAX($P$34*($B270+$I$38-1),IF(AND($L$37=0,$P$34=0),"",$L$37-1)),MIN(CD$38,$E270),$P$20))-SUM($BF270:CC270))</f>
        <v>0</v>
      </c>
      <c r="CE270" s="446">
        <f>IF($E270=0,0,IF(MIN(CE$38,$E270)&lt;MAX($P$34*($B270+$I$38-1),IF(AND($L$37=0,$P$34=0),"",$L$37-1)),0,YEARFRAC(MAX($P$34*($B270+$I$38-1),IF(AND($L$37=0,$P$34=0),"",$L$37-1)),MIN(CE$38,$E270),$P$20))-SUM($BF270:CD270))</f>
        <v>0</v>
      </c>
      <c r="CF270" s="446">
        <f>IF($E270=0,0,IF(MIN(CF$38,$E270)&lt;MAX($P$34*($B270+$I$38-1),IF(AND($L$37=0,$P$34=0),"",$L$37-1)),0,YEARFRAC(MAX($P$34*($B270+$I$38-1),IF(AND($L$37=0,$P$34=0),"",$L$37-1)),MIN(CF$38,$E270),$P$20))-SUM($BF270:CE270))</f>
        <v>0</v>
      </c>
      <c r="CG270" s="446">
        <f>IF($E270=0,0,IF(MIN(CG$38,$E270)&lt;MAX($P$34*($B270+$I$38-1),IF(AND($L$37=0,$P$34=0),"",$L$37-1)),0,YEARFRAC(MAX($P$34*($B270+$I$38-1),IF(AND($L$37=0,$P$34=0),"",$L$37-1)),MIN(CG$38,$E270),$P$20))-SUM($BF270:CF270))</f>
        <v>0</v>
      </c>
      <c r="CH270" s="446">
        <f>IF($E270=0,0,IF(MIN(CH$38,$E270)&lt;MAX($P$34*($B270+$I$38-1),IF(AND($L$37=0,$P$34=0),"",$L$37-1)),0,YEARFRAC(MAX($P$34*($B270+$I$38-1),IF(AND($L$37=0,$P$34=0),"",$L$37-1)),MIN(CH$38,$E270),$P$20))-SUM($BF270:CG270))</f>
        <v>0</v>
      </c>
      <c r="CI270" s="446">
        <f>IF($E270=0,0,IF(MIN(CI$38,$E270)&lt;MAX($P$34*($B270+$I$38-1),IF(AND($L$37=0,$P$34=0),"",$L$37-1)),0,YEARFRAC(MAX($P$34*($B270+$I$38-1),IF(AND($L$37=0,$P$34=0),"",$L$37-1)),MIN(CI$38,$E270),$P$20))-SUM($BF270:CH270))</f>
        <v>0</v>
      </c>
      <c r="CJ270" s="446">
        <f>IF($E270=0,0,IF(MIN(CJ$38,$E270)&lt;MAX($P$34*($B270+$I$38-1),IF(AND($L$37=0,$P$34=0),"",$L$37-1)),0,YEARFRAC(MAX($P$34*($B270+$I$38-1),IF(AND($L$37=0,$P$34=0),"",$L$37-1)),MIN(CJ$38,$E270),$P$20))-SUM($BF270:CI270))</f>
        <v>0</v>
      </c>
      <c r="CK270" s="446">
        <f>IF($E270=0,0,IF(MIN(CK$38,$E270)&lt;MAX($P$34*($B270+$I$38-1),IF(AND($L$37=0,$P$34=0),"",$L$37-1)),0,YEARFRAC(MAX($P$34*($B270+$I$38-1),IF(AND($L$37=0,$P$34=0),"",$L$37-1)),MIN(CK$38,$E270),$P$20))-SUM($BF270:CJ270))</f>
        <v>0</v>
      </c>
      <c r="CL270" s="446">
        <f>IF($E270=0,0,IF(MIN(CL$38,$E270)&lt;MAX($P$34*($B270+$I$38-1),IF(AND($L$37=0,$P$34=0),"",$L$37-1)),0,YEARFRAC(MAX($P$34*($B270+$I$38-1),IF(AND($L$37=0,$P$34=0),"",$L$37-1)),MIN(CL$38,$E270),$P$20))-SUM($BF270:CK270))</f>
        <v>0</v>
      </c>
      <c r="CM270" s="446">
        <f>IF($E270=0,0,IF(MIN(CM$38,$E270)&lt;MAX($P$34*($B270+$I$38-1),IF(AND($L$37=0,$P$34=0),"",$L$37-1)),0,YEARFRAC(MAX($P$34*($B270+$I$38-1),IF(AND($L$37=0,$P$34=0),"",$L$37-1)),MIN(CM$38,$E270),$P$20))-SUM($BF270:CL270))</f>
        <v>0</v>
      </c>
      <c r="CN270" s="446">
        <f>IF($E270=0,0,IF(MIN(CN$38,$E270)&lt;MAX($P$34*($B270+$I$38-1),IF(AND($L$37=0,$P$34=0),"",$L$37-1)),0,YEARFRAC(MAX($P$34*($B270+$I$38-1),IF(AND($L$37=0,$P$34=0),"",$L$37-1)),MIN(CN$38,$E270),$P$20))-SUM($BF270:CM270))</f>
        <v>0</v>
      </c>
      <c r="CO270" s="446">
        <f>IF($E270=0,0,IF(MIN(CO$38,$E270)&lt;MAX($P$34*($B270+$I$38-1),IF(AND($L$37=0,$P$34=0),"",$L$37-1)),0,YEARFRAC(MAX($P$34*($B270+$I$38-1),IF(AND($L$37=0,$P$34=0),"",$L$37-1)),MIN(CO$38,$E270),$P$20))-SUM($BF270:CN270))</f>
        <v>0</v>
      </c>
      <c r="CP270" s="446">
        <f>IF($E270=0,0,IF(MIN(CP$38,$E270)&lt;MAX($P$34*($B270+$I$38-1),IF(AND($L$37=0,$P$34=0),"",$L$37-1)),0,YEARFRAC(MAX($P$34*($B270+$I$38-1),IF(AND($L$37=0,$P$34=0),"",$L$37-1)),MIN(CP$38,$E270),$P$20))-SUM($BF270:CO270))</f>
        <v>0</v>
      </c>
      <c r="CQ270" s="446">
        <f>IF($E270=0,0,IF(MIN(CQ$38,$E270)&lt;MAX($P$34*($B270+$I$38-1),IF(AND($L$37=0,$P$34=0),"",$L$37-1)),0,YEARFRAC(MAX($P$34*($B270+$I$38-1),IF(AND($L$37=0,$P$34=0),"",$L$37-1)),MIN(CQ$38,$E270),$P$20))-SUM($BF270:CP270))</f>
        <v>0</v>
      </c>
    </row>
    <row r="271" spans="1:95" s="446" customFormat="1" ht="11.25" hidden="1" customHeight="1" x14ac:dyDescent="0.2">
      <c r="A271" s="152"/>
      <c r="B271" s="153" t="str">
        <f t="shared" si="48"/>
        <v/>
      </c>
      <c r="C271" s="29" t="str">
        <f>IF(B271="","",IF($L$35="SELIC - TRIBUTOS",VLOOKUP(DATE(YEAR($D$19),MONTH($D$19)-1,1),ÍNDICES!$A:$DE,HLOOKUP($BL$25,ÍNDICES!$B$3:$T$4,2)+11)-VLOOKUP(B271,ÍNDICES!$A:$DE,HLOOKUP($BL$25,ÍNDICES!$B$3:$T$4,2)+11)+1%,IF(C$38=$W$26,$J$35,IF(ISERROR(IF(B271&gt;$D$19,1,VLOOKUP(DATE(YEAR(B271),MONTH(B271)+IF($C$35=$S$23,1,0),1),ÍNDICES!$A:$DE,$Z$35+1))),"",IF(B271&gt;$D$19,1,VLOOKUP(DATE(YEAR(B271),MONTH(B271)+IF($C$35=$S$23,1,0),1),ÍNDICES!$A:$DE,$Z$35+1))))))</f>
        <v/>
      </c>
      <c r="D271" s="154" t="str">
        <f>IF(ISERROR(IF(OR($D$38=$Y$27,$B271=""),"",VLOOKUP(B271,ÍNDICES!A:DE,AF$35+1))),"",IF(OR($D$38=$Y$27,$B271=""),"",VLOOKUP(B271,ÍNDICES!A:DE,AF$35+1)))</f>
        <v/>
      </c>
      <c r="E271" s="153"/>
      <c r="F271" s="29" t="str">
        <f>IF(E271="","",IF($L$35="SELIC - TRIBUTOS",VLOOKUP(DATE(YEAR($D$19),MONTH($D$19)-1,1),ÍNDICES!$A:$DE,HLOOKUP($BL$25,ÍNDICES!$B$3:$T$4,2)+11)-VLOOKUP(E271,ÍNDICES!$A:$DE,HLOOKUP($BL$25,ÍNDICES!$B$3:$T$4,2)+11)+1%,IF(F$38=$W$26,$J$35,IF(ISERROR(IF(E271&gt;$D$19,1,VLOOKUP(DATE(YEAR(E271),MONTH(E271)+IF($C$35=$S$23,1,0),1),ÍNDICES!$A:$DE,$Z$35+1))),"",IF(E271&gt;$D$19,1,VLOOKUP(DATE(YEAR(E271),MONTH(E271)+IF($C$35=$S$23,1,0),1),ÍNDICES!$A:$DE,$Z$35+1))))))</f>
        <v/>
      </c>
      <c r="G271" s="155"/>
      <c r="H271" s="156" t="str">
        <f t="shared" si="44"/>
        <v/>
      </c>
      <c r="I271" s="29" t="str">
        <f t="shared" si="38"/>
        <v/>
      </c>
      <c r="J271" s="5">
        <f t="shared" si="39"/>
        <v>0</v>
      </c>
      <c r="K271" s="20">
        <f t="shared" ca="1" si="40"/>
        <v>0</v>
      </c>
      <c r="L271" s="5">
        <f t="shared" ca="1" si="41"/>
        <v>0</v>
      </c>
      <c r="M271" s="64">
        <f t="shared" si="45"/>
        <v>0</v>
      </c>
      <c r="N271" s="61">
        <f t="shared" ca="1" si="46"/>
        <v>0</v>
      </c>
      <c r="O271" s="5">
        <f t="shared" ca="1" si="47"/>
        <v>0</v>
      </c>
      <c r="P271" s="446" t="e">
        <f t="shared" si="42"/>
        <v>#VALUE!</v>
      </c>
      <c r="Q271" s="446" t="e">
        <f>IF(OR($B271="",MIN(Q$38,$D$19)&lt;MAX($P$34*($B271+IF($R$17="Distrato",$I$38-1,0)),IF(AND($L$37=0,$P$34=0),"",$L$37-1),IF($R$17="Distrato",$E271,0))),0,YEARFRAC(MAX($P$34*($B271+IF($R$17="Distrato",$I$38-1,0)),IF(AND($L$37=0,$P$34=0),"",$L$37-1),IF($R$17="Distrato",$E271,0)),MIN(Q$38,$D$19),$P$20))-SUM($P271:P271)</f>
        <v>#VALUE!</v>
      </c>
      <c r="R271" s="446" t="e">
        <f>IF(OR($B271="",MIN(R$38,$D$19)&lt;MAX($P$34*($B271+IF($R$17="Distrato",$I$38-1,0)),IF(AND($L$37=0,$P$34=0),"",$L$37-1),IF($R$17="Distrato",$E271,0))),0,YEARFRAC(MAX($P$34*($B271+IF($R$17="Distrato",$I$38-1,0)),IF(AND($L$37=0,$P$34=0),"",$L$37-1),IF($R$17="Distrato",$E271,0)),MIN(R$38,$D$19),$P$20))-SUM($P271:Q271)</f>
        <v>#VALUE!</v>
      </c>
      <c r="S271" s="446" t="e">
        <f>IF(OR($B271="",MIN(S$38,$D$19)&lt;MAX($P$34*($B271+IF($R$17="Distrato",$I$38-1,0)),IF(AND($L$37=0,$P$34=0),"",$L$37-1),IF($R$17="Distrato",$E271,0))),0,YEARFRAC(MAX($P$34*($B271+IF($R$17="Distrato",$I$38-1,0)),IF(AND($L$37=0,$P$34=0),"",$L$37-1),IF($R$17="Distrato",$E271,0)),MIN(S$38,$D$19),$P$20))-SUM($P271:R271)</f>
        <v>#VALUE!</v>
      </c>
      <c r="T271" s="446" t="e">
        <f>IF(OR($B271="",MIN(T$38,$D$19)&lt;MAX($P$34*($B271+IF($R$17="Distrato",$I$38-1,0)),IF(AND($L$37=0,$P$34=0),"",$L$37-1),IF($R$17="Distrato",$E271,0))),0,YEARFRAC(MAX($P$34*($B271+IF($R$17="Distrato",$I$38-1,0)),IF(AND($L$37=0,$P$34=0),"",$L$37-1),IF($R$17="Distrato",$E271,0)),MIN(T$38,$D$19),$P$20))-SUM($P271:S271)</f>
        <v>#VALUE!</v>
      </c>
      <c r="U271" s="446" t="e">
        <f>IF(OR($B271="",MIN(U$38,$D$19)&lt;MAX($P$34*($B271+IF($R$17="Distrato",$I$38-1,0)),IF(AND($L$37=0,$P$34=0),"",$L$37-1),IF($R$17="Distrato",$E271,0))),0,YEARFRAC(MAX($P$34*($B271+IF($R$17="Distrato",$I$38-1,0)),IF(AND($L$37=0,$P$34=0),"",$L$37-1),IF($R$17="Distrato",$E271,0)),MIN(U$38,$D$19),$P$20))-SUM($P271:T271)</f>
        <v>#VALUE!</v>
      </c>
      <c r="V271" s="446" t="e">
        <f>IF(OR($B271="",MIN(V$38,$D$19)&lt;MAX($P$34*($B271+IF($R$17="Distrato",$I$38-1,0)),IF(AND($L$37=0,$P$34=0),"",$L$37-1),IF($R$17="Distrato",$E271,0))),0,YEARFRAC(MAX($P$34*($B271+IF($R$17="Distrato",$I$38-1,0)),IF(AND($L$37=0,$P$34=0),"",$L$37-1),IF($R$17="Distrato",$E271,0)),MIN(V$38,$D$19),$P$20))-SUM($P271:U271)</f>
        <v>#VALUE!</v>
      </c>
      <c r="W271" s="446" t="e">
        <f>IF(OR($B271="",MIN(W$38,$D$19)&lt;MAX($P$34*($B271+IF($R$17="Distrato",$I$38-1,0)),IF(AND($L$37=0,$P$34=0),"",$L$37-1),IF($R$17="Distrato",$E271,0))),0,YEARFRAC(MAX($P$34*($B271+IF($R$17="Distrato",$I$38-1,0)),IF(AND($L$37=0,$P$34=0),"",$L$37-1),IF($R$17="Distrato",$E271,0)),MIN(W$38,$D$19),$P$20))-SUM($P271:V271)</f>
        <v>#VALUE!</v>
      </c>
      <c r="X271" s="446" t="e">
        <f>IF(OR($B271="",MIN(X$38,$D$19)&lt;MAX($P$34*($B271+IF($R$17="Distrato",$I$38-1,0)),IF(AND($L$37=0,$P$34=0),"",$L$37-1),IF($R$17="Distrato",$E271,0))),0,YEARFRAC(MAX($P$34*($B271+IF($R$17="Distrato",$I$38-1,0)),IF(AND($L$37=0,$P$34=0),"",$L$37-1),IF($R$17="Distrato",$E271,0)),MIN(X$38,$D$19),$P$20))-SUM($P271:W271)</f>
        <v>#VALUE!</v>
      </c>
      <c r="Y271" s="446" t="e">
        <f>IF(OR($B271="",MIN(Y$38,$D$19)&lt;MAX($P$34*($B271+IF($R$17="Distrato",$I$38-1,0)),IF(AND($L$37=0,$P$34=0),"",$L$37-1),IF($R$17="Distrato",$E271,0))),0,YEARFRAC(MAX($P$34*($B271+IF($R$17="Distrato",$I$38-1,0)),IF(AND($L$37=0,$P$34=0),"",$L$37-1),IF($R$17="Distrato",$E271,0)),MIN(Y$38,$D$19),$P$20))-SUM($P271:X271)</f>
        <v>#VALUE!</v>
      </c>
      <c r="Z271" s="446" t="e">
        <f>IF(OR($B271="",MIN(Z$38,$D$19)&lt;MAX($P$34*($B271+IF($R$17="Distrato",$I$38-1,0)),IF(AND($L$37=0,$P$34=0),"",$L$37-1),IF($R$17="Distrato",$E271,0))),0,YEARFRAC(MAX($P$34*($B271+IF($R$17="Distrato",$I$38-1,0)),IF(AND($L$37=0,$P$34=0),"",$L$37-1),IF($R$17="Distrato",$E271,0)),MIN(Z$38,$D$19),$P$20))-SUM($P271:Y271)</f>
        <v>#VALUE!</v>
      </c>
      <c r="AA271" s="446" t="e">
        <f>IF(OR($B271="",MIN(AA$38,$D$19)&lt;MAX($P$34*($B271+IF($R$17="Distrato",$I$38-1,0)),IF(AND($L$37=0,$P$34=0),"",$L$37-1),IF($R$17="Distrato",$E271,0))),0,YEARFRAC(MAX($P$34*($B271+IF($R$17="Distrato",$I$38-1,0)),IF(AND($L$37=0,$P$34=0),"",$L$37-1),IF($R$17="Distrato",$E271,0)),MIN(AA$38,$D$19),$P$20))-SUM($P271:Z271)</f>
        <v>#VALUE!</v>
      </c>
      <c r="AB271" s="446" t="e">
        <f>IF(OR($B271="",MIN(AB$38,$D$19)&lt;MAX($P$34*($B271+IF($R$17="Distrato",$I$38-1,0)),IF(AND($L$37=0,$P$34=0),"",$L$37-1),IF($R$17="Distrato",$E271,0))),0,YEARFRAC(MAX($P$34*($B271+IF($R$17="Distrato",$I$38-1,0)),IF(AND($L$37=0,$P$34=0),"",$L$37-1),IF($R$17="Distrato",$E271,0)),MIN(AB$38,$D$19),$P$20))-SUM($P271:AA271)</f>
        <v>#VALUE!</v>
      </c>
      <c r="AC271" s="446" t="e">
        <f>IF(OR($B271="",MIN(AC$38,$D$19)&lt;MAX($P$34*($B271+IF($R$17="Distrato",$I$38-1,0)),IF(AND($L$37=0,$P$34=0),"",$L$37-1),IF($R$17="Distrato",$E271,0))),0,YEARFRAC(MAX($P$34*($B271+IF($R$17="Distrato",$I$38-1,0)),IF(AND($L$37=0,$P$34=0),"",$L$37-1),IF($R$17="Distrato",$E271,0)),MIN(AC$38,$D$19),$P$20))-SUM($P271:AB271)</f>
        <v>#VALUE!</v>
      </c>
      <c r="AD271" s="446" t="e">
        <f>IF(OR($B271="",MIN(AD$38,$D$19)&lt;MAX($P$34*($B271+IF($R$17="Distrato",$I$38-1,0)),IF(AND($L$37=0,$P$34=0),"",$L$37-1),IF($R$17="Distrato",$E271,0))),0,YEARFRAC(MAX($P$34*($B271+IF($R$17="Distrato",$I$38-1,0)),IF(AND($L$37=0,$P$34=0),"",$L$37-1),IF($R$17="Distrato",$E271,0)),MIN(AD$38,$D$19),$P$20))-SUM($P271:AC271)</f>
        <v>#VALUE!</v>
      </c>
      <c r="AE271" s="446" t="e">
        <f>IF(OR($B271="",MIN(AE$38,$D$19)&lt;MAX($P$34*($B271+IF($R$17="Distrato",$I$38-1,0)),IF(AND($L$37=0,$P$34=0),"",$L$37-1),IF($R$17="Distrato",$E271,0))),0,YEARFRAC(MAX($P$34*($B271+IF($R$17="Distrato",$I$38-1,0)),IF(AND($L$37=0,$P$34=0),"",$L$37-1),IF($R$17="Distrato",$E271,0)),MIN(AE$38,$D$19),$P$20))-SUM($P271:AD271)</f>
        <v>#VALUE!</v>
      </c>
      <c r="AF271" s="446" t="e">
        <f>IF(OR($B271="",MIN(AF$38,$D$19)&lt;MAX($P$34*($B271+IF($R$17="Distrato",$I$38-1,0)),IF(AND($L$37=0,$P$34=0),"",$L$37-1),IF($R$17="Distrato",$E271,0))),0,YEARFRAC(MAX($P$34*($B271+IF($R$17="Distrato",$I$38-1,0)),IF(AND($L$37=0,$P$34=0),"",$L$37-1),IF($R$17="Distrato",$E271,0)),MIN(AF$38,$D$19),$P$20))-SUM($P271:AE271)</f>
        <v>#VALUE!</v>
      </c>
      <c r="AG271" s="446" t="e">
        <f>IF(OR($B271="",MIN(AG$38,$D$19)&lt;MAX($P$34*($B271+IF($R$17="Distrato",$I$38-1,0)),IF(AND($L$37=0,$P$34=0),"",$L$37-1),IF($R$17="Distrato",$E271,0))),0,YEARFRAC(MAX($P$34*($B271+IF($R$17="Distrato",$I$38-1,0)),IF(AND($L$37=0,$P$34=0),"",$L$37-1),IF($R$17="Distrato",$E271,0)),MIN(AG$38,$D$19),$P$20))-SUM($P271:AF271)</f>
        <v>#VALUE!</v>
      </c>
      <c r="AH271" s="446" t="e">
        <f>IF(OR($B271="",MIN(AH$38,$D$19)&lt;MAX($P$34*($B271+IF($R$17="Distrato",$I$38-1,0)),IF(AND($L$37=0,$P$34=0),"",$L$37-1),IF($R$17="Distrato",$E271,0))),0,YEARFRAC(MAX($P$34*($B271+IF($R$17="Distrato",$I$38-1,0)),IF(AND($L$37=0,$P$34=0),"",$L$37-1),IF($R$17="Distrato",$E271,0)),MIN(AH$38,$D$19),$P$20))-SUM($P271:AG271)</f>
        <v>#VALUE!</v>
      </c>
      <c r="AI271" s="446" t="e">
        <f>IF(OR($B271="",MIN(AI$38,$D$19)&lt;MAX($P$34*($B271+IF($R$17="Distrato",$I$38-1,0)),IF(AND($L$37=0,$P$34=0),"",$L$37-1),IF($R$17="Distrato",$E271,0))),0,YEARFRAC(MAX($P$34*($B271+IF($R$17="Distrato",$I$38-1,0)),IF(AND($L$37=0,$P$34=0),"",$L$37-1),IF($R$17="Distrato",$E271,0)),MIN(AI$38,$D$19),$P$20))-SUM($P271:AH271)</f>
        <v>#VALUE!</v>
      </c>
      <c r="AJ271" s="446" t="e">
        <f>IF(OR($B271="",MIN(AJ$38,$D$19)&lt;MAX($P$34*($B271+IF($R$17="Distrato",$I$38-1,0)),IF(AND($L$37=0,$P$34=0),"",$L$37-1),IF($R$17="Distrato",$E271,0))),0,YEARFRAC(MAX($P$34*($B271+IF($R$17="Distrato",$I$38-1,0)),IF(AND($L$37=0,$P$34=0),"",$L$37-1),IF($R$17="Distrato",$E271,0)),MIN(AJ$38,$D$19),$P$20))-SUM($P271:AI271)</f>
        <v>#VALUE!</v>
      </c>
      <c r="AK271" s="446" t="e">
        <f>IF(OR($B271="",MIN(AK$38,$D$19)&lt;MAX($P$34*($B271+IF($R$17="Distrato",$I$38-1,0)),IF(AND($L$37=0,$P$34=0),"",$L$37-1),IF($R$17="Distrato",$E271,0))),0,YEARFRAC(MAX($P$34*($B271+IF($R$17="Distrato",$I$38-1,0)),IF(AND($L$37=0,$P$34=0),"",$L$37-1),IF($R$17="Distrato",$E271,0)),MIN(AK$38,$D$19),$P$20))-SUM($P271:AJ271)</f>
        <v>#VALUE!</v>
      </c>
      <c r="AL271" s="446" t="e">
        <f>IF(OR($B271="",MIN(AL$38,$D$19)&lt;MAX($P$34*($B271+IF($R$17="Distrato",$I$38-1,0)),IF(AND($L$37=0,$P$34=0),"",$L$37-1),IF($R$17="Distrato",$E271,0))),0,YEARFRAC(MAX($P$34*($B271+IF($R$17="Distrato",$I$38-1,0)),IF(AND($L$37=0,$P$34=0),"",$L$37-1),IF($R$17="Distrato",$E271,0)),MIN(AL$38,$D$19),$P$20))-SUM($P271:AK271)</f>
        <v>#VALUE!</v>
      </c>
      <c r="AM271" s="446" t="e">
        <f>IF(OR($B271="",MIN(AM$38,$D$19)&lt;MAX($P$34*($B271+IF($R$17="Distrato",$I$38-1,0)),IF(AND($L$37=0,$P$34=0),"",$L$37-1),IF($R$17="Distrato",$E271,0))),0,YEARFRAC(MAX($P$34*($B271+IF($R$17="Distrato",$I$38-1,0)),IF(AND($L$37=0,$P$34=0),"",$L$37-1),IF($R$17="Distrato",$E271,0)),MIN(AM$38,$D$19),$P$20))-SUM($P271:AL271)</f>
        <v>#VALUE!</v>
      </c>
      <c r="AN271" s="446" t="e">
        <f>IF(OR($B271="",MIN(AN$38,$D$19)&lt;MAX($P$34*($B271+IF($R$17="Distrato",$I$38-1,0)),IF(AND($L$37=0,$P$34=0),"",$L$37-1),IF($R$17="Distrato",$E271,0))),0,YEARFRAC(MAX($P$34*($B271+IF($R$17="Distrato",$I$38-1,0)),IF(AND($L$37=0,$P$34=0),"",$L$37-1),IF($R$17="Distrato",$E271,0)),MIN(AN$38,$D$19),$P$20))-SUM($P271:AM271)</f>
        <v>#VALUE!</v>
      </c>
      <c r="AO271" s="446" t="e">
        <f>IF(OR($B271="",MIN(AO$38,$D$19)&lt;MAX($P$34*($B271+IF($R$17="Distrato",$I$38-1,0)),IF(AND($L$37=0,$P$34=0),"",$L$37-1),IF($R$17="Distrato",$E271,0))),0,YEARFRAC(MAX($P$34*($B271+IF($R$17="Distrato",$I$38-1,0)),IF(AND($L$37=0,$P$34=0),"",$L$37-1),IF($R$17="Distrato",$E271,0)),MIN(AO$38,$D$19),$P$20))-SUM($P271:AN271)</f>
        <v>#VALUE!</v>
      </c>
      <c r="AP271" s="446" t="e">
        <f>IF(OR($B271="",MIN(AP$38,$D$19)&lt;MAX($P$34*($B271+IF($R$17="Distrato",$I$38-1,0)),IF(AND($L$37=0,$P$34=0),"",$L$37-1),IF($R$17="Distrato",$E271,0))),0,YEARFRAC(MAX($P$34*($B271+IF($R$17="Distrato",$I$38-1,0)),IF(AND($L$37=0,$P$34=0),"",$L$37-1),IF($R$17="Distrato",$E271,0)),MIN(AP$38,$D$19),$P$20))-SUM($P271:AO271)</f>
        <v>#VALUE!</v>
      </c>
      <c r="AQ271" s="446" t="e">
        <f>IF(OR($B271="",MIN(AQ$38,$D$19)&lt;MAX($P$34*($B271+IF($R$17="Distrato",$I$38-1,0)),IF(AND($L$37=0,$P$34=0),"",$L$37-1),IF($R$17="Distrato",$E271,0))),0,YEARFRAC(MAX($P$34*($B271+IF($R$17="Distrato",$I$38-1,0)),IF(AND($L$37=0,$P$34=0),"",$L$37-1),IF($R$17="Distrato",$E271,0)),MIN(AQ$38,$D$19),$P$20))-SUM($P271:AP271)</f>
        <v>#VALUE!</v>
      </c>
      <c r="AR271" s="446" t="e">
        <f>IF(OR($B271="",MIN(AR$38,$D$19)&lt;MAX($P$34*($B271+IF($R$17="Distrato",$I$38-1,0)),IF(AND($L$37=0,$P$34=0),"",$L$37-1),IF($R$17="Distrato",$E271,0))),0,YEARFRAC(MAX($P$34*($B271+IF($R$17="Distrato",$I$38-1,0)),IF(AND($L$37=0,$P$34=0),"",$L$37-1),IF($R$17="Distrato",$E271,0)),MIN(AR$38,$D$19),$P$20))-SUM($P271:AQ271)</f>
        <v>#VALUE!</v>
      </c>
      <c r="AS271" s="446" t="e">
        <f>IF(OR($B271="",MIN(AS$38,$D$19)&lt;MAX($P$34*($B271+IF($R$17="Distrato",$I$38-1,0)),IF(AND($L$37=0,$P$34=0),"",$L$37-1),IF($R$17="Distrato",$E271,0))),0,YEARFRAC(MAX($P$34*($B271+IF($R$17="Distrato",$I$38-1,0)),IF(AND($L$37=0,$P$34=0),"",$L$37-1),IF($R$17="Distrato",$E271,0)),MIN(AS$38,$D$19),$P$20))-SUM($P271:AR271)</f>
        <v>#VALUE!</v>
      </c>
      <c r="AT271" s="446" t="e">
        <f>IF(OR($B271="",MIN(AT$38,$D$19)&lt;MAX($P$34*($B271+IF($R$17="Distrato",$I$38-1,0)),IF(AND($L$37=0,$P$34=0),"",$L$37-1),IF($R$17="Distrato",$E271,0))),0,YEARFRAC(MAX($P$34*($B271+IF($R$17="Distrato",$I$38-1,0)),IF(AND($L$37=0,$P$34=0),"",$L$37-1),IF($R$17="Distrato",$E271,0)),MIN(AT$38,$D$19),$P$20))-SUM($P271:AS271)</f>
        <v>#VALUE!</v>
      </c>
      <c r="AU271" s="446" t="e">
        <f>IF(OR($B271="",MIN(AU$38,$D$19)&lt;MAX($P$34*($B271+IF($R$17="Distrato",$I$38-1,0)),IF(AND($L$37=0,$P$34=0),"",$L$37-1),IF($R$17="Distrato",$E271,0))),0,YEARFRAC(MAX($P$34*($B271+IF($R$17="Distrato",$I$38-1,0)),IF(AND($L$37=0,$P$34=0),"",$L$37-1),IF($R$17="Distrato",$E271,0)),MIN(AU$38,$D$19),$P$20))-SUM($P271:AT271)</f>
        <v>#VALUE!</v>
      </c>
      <c r="AV271" s="446" t="e">
        <f>IF(OR($B271="",MIN(AV$38,$D$19)&lt;MAX($P$34*($B271+IF($R$17="Distrato",$I$38-1,0)),IF(AND($L$37=0,$P$34=0),"",$L$37-1),IF($R$17="Distrato",$E271,0))),0,YEARFRAC(MAX($P$34*($B271+IF($R$17="Distrato",$I$38-1,0)),IF(AND($L$37=0,$P$34=0),"",$L$37-1),IF($R$17="Distrato",$E271,0)),MIN(AV$38,$D$19),$P$20))-SUM($P271:AU271)</f>
        <v>#VALUE!</v>
      </c>
      <c r="AW271" s="446" t="e">
        <f>IF(OR($B271="",MIN(AW$38,$D$19)&lt;MAX($P$34*($B271+IF($R$17="Distrato",$I$38-1,0)),IF(AND($L$37=0,$P$34=0),"",$L$37-1),IF($R$17="Distrato",$E271,0))),0,YEARFRAC(MAX($P$34*($B271+IF($R$17="Distrato",$I$38-1,0)),IF(AND($L$37=0,$P$34=0),"",$L$37-1),IF($R$17="Distrato",$E271,0)),MIN(AW$38,$D$19),$P$20))-SUM($P271:AV271)</f>
        <v>#VALUE!</v>
      </c>
      <c r="AX271" s="446" t="e">
        <f>IF(OR($B271="",MIN(AX$38,$D$19)&lt;MAX($P$34*($B271+IF($R$17="Distrato",$I$38-1,0)),IF(AND($L$37=0,$P$34=0),"",$L$37-1),IF($R$17="Distrato",$E271,0))),0,YEARFRAC(MAX($P$34*($B271+IF($R$17="Distrato",$I$38-1,0)),IF(AND($L$37=0,$P$34=0),"",$L$37-1),IF($R$17="Distrato",$E271,0)),MIN(AX$38,$D$19),$P$20))-SUM($P271:AW271)</f>
        <v>#VALUE!</v>
      </c>
      <c r="AY271" s="446" t="e">
        <f>IF(OR($B271="",MIN(AY$38,$D$19)&lt;MAX($P$34*($B271+IF($R$17="Distrato",$I$38-1,0)),IF(AND($L$37=0,$P$34=0),"",$L$37-1),IF($R$17="Distrato",$E271,0))),0,YEARFRAC(MAX($P$34*($B271+IF($R$17="Distrato",$I$38-1,0)),IF(AND($L$37=0,$P$34=0),"",$L$37-1),IF($R$17="Distrato",$E271,0)),MIN(AY$38,$D$19),$P$20))-SUM($P271:AX271)</f>
        <v>#VALUE!</v>
      </c>
      <c r="AZ271" s="446" t="e">
        <f>IF(OR($B271="",MIN(AZ$38,$D$19)&lt;MAX($P$34*($B271+IF($R$17="Distrato",$I$38-1,0)),IF(AND($L$37=0,$P$34=0),"",$L$37-1),IF($R$17="Distrato",$E271,0))),0,YEARFRAC(MAX($P$34*($B271+IF($R$17="Distrato",$I$38-1,0)),IF(AND($L$37=0,$P$34=0),"",$L$37-1),IF($R$17="Distrato",$E271,0)),MIN(AZ$38,$D$19),$P$20))-SUM($P271:AY271)</f>
        <v>#VALUE!</v>
      </c>
      <c r="BA271" s="446" t="e">
        <f>IF(OR($B271="",MIN(BA$38,$D$19)&lt;MAX($P$34*($B271+IF($R$17="Distrato",$I$38-1,0)),IF(AND($L$37=0,$P$34=0),"",$L$37-1),IF($R$17="Distrato",$E271,0))),0,YEARFRAC(MAX($P$34*($B271+IF($R$17="Distrato",$I$38-1,0)),IF(AND($L$37=0,$P$34=0),"",$L$37-1),IF($R$17="Distrato",$E271,0)),MIN(BA$38,$D$19),$P$20))-SUM($P271:AZ271)</f>
        <v>#VALUE!</v>
      </c>
      <c r="BB271" s="447"/>
      <c r="BF271" s="446">
        <f t="shared" si="43"/>
        <v>0</v>
      </c>
      <c r="BG271" s="446">
        <f>IF($E271=0,0,IF(MIN(BG$38,$E271)&lt;MAX($P$34*($B271+$I$38-1),IF(AND($L$37=0,$P$34=0),"",$L$37-1)),0,YEARFRAC(MAX($P$34*($B271+$I$38-1),IF(AND($L$37=0,$P$34=0),"",$L$37-1)),MIN(BG$38,$E271),$P$20))-SUM($BF271:BF271))</f>
        <v>0</v>
      </c>
      <c r="BH271" s="446">
        <f>IF($E271=0,0,IF(MIN(BH$38,$E271)&lt;MAX($P$34*($B271+$I$38-1),IF(AND($L$37=0,$P$34=0),"",$L$37-1)),0,YEARFRAC(MAX($P$34*($B271+$I$38-1),IF(AND($L$37=0,$P$34=0),"",$L$37-1)),MIN(BH$38,$E271),$P$20))-SUM($BF271:BG271))</f>
        <v>0</v>
      </c>
      <c r="BI271" s="446">
        <f>IF($E271=0,0,IF(MIN(BI$38,$E271)&lt;MAX($P$34*($B271+$I$38-1),IF(AND($L$37=0,$P$34=0),"",$L$37-1)),0,YEARFRAC(MAX($P$34*($B271+$I$38-1),IF(AND($L$37=0,$P$34=0),"",$L$37-1)),MIN(BI$38,$E271),$P$20))-SUM($BF271:BH271))</f>
        <v>0</v>
      </c>
      <c r="BJ271" s="446">
        <f>IF($E271=0,0,IF(MIN(BJ$38,$E271)&lt;MAX($P$34*($B271+$I$38-1),IF(AND($L$37=0,$P$34=0),"",$L$37-1)),0,YEARFRAC(MAX($P$34*($B271+$I$38-1),IF(AND($L$37=0,$P$34=0),"",$L$37-1)),MIN(BJ$38,$E271),$P$20))-SUM($BF271:BI271))</f>
        <v>0</v>
      </c>
      <c r="BK271" s="446">
        <f>IF($E271=0,0,IF(MIN(BK$38,$E271)&lt;MAX($P$34*($B271+$I$38-1),IF(AND($L$37=0,$P$34=0),"",$L$37-1)),0,YEARFRAC(MAX($P$34*($B271+$I$38-1),IF(AND($L$37=0,$P$34=0),"",$L$37-1)),MIN(BK$38,$E271),$P$20))-SUM($BF271:BJ271))</f>
        <v>0</v>
      </c>
      <c r="BL271" s="446">
        <f>IF($E271=0,0,IF(MIN(BL$38,$E271)&lt;MAX($P$34*($B271+$I$38-1),IF(AND($L$37=0,$P$34=0),"",$L$37-1)),0,YEARFRAC(MAX($P$34*($B271+$I$38-1),IF(AND($L$37=0,$P$34=0),"",$L$37-1)),MIN(BL$38,$E271),$P$20))-SUM($BF271:BK271))</f>
        <v>0</v>
      </c>
      <c r="BM271" s="446">
        <f>IF($E271=0,0,IF(MIN(BM$38,$E271)&lt;MAX($P$34*($B271+$I$38-1),IF(AND($L$37=0,$P$34=0),"",$L$37-1)),0,YEARFRAC(MAX($P$34*($B271+$I$38-1),IF(AND($L$37=0,$P$34=0),"",$L$37-1)),MIN(BM$38,$E271),$P$20))-SUM($BF271:BL271))</f>
        <v>0</v>
      </c>
      <c r="BN271" s="446">
        <f>IF($E271=0,0,IF(MIN(BN$38,$E271)&lt;MAX($P$34*($B271+$I$38-1),IF(AND($L$37=0,$P$34=0),"",$L$37-1)),0,YEARFRAC(MAX($P$34*($B271+$I$38-1),IF(AND($L$37=0,$P$34=0),"",$L$37-1)),MIN(BN$38,$E271),$P$20))-SUM($BF271:BM271))</f>
        <v>0</v>
      </c>
      <c r="BO271" s="446">
        <f>IF($E271=0,0,IF(MIN(BO$38,$E271)&lt;MAX($P$34*($B271+$I$38-1),IF(AND($L$37=0,$P$34=0),"",$L$37-1)),0,YEARFRAC(MAX($P$34*($B271+$I$38-1),IF(AND($L$37=0,$P$34=0),"",$L$37-1)),MIN(BO$38,$E271),$P$20))-SUM($BF271:BN271))</f>
        <v>0</v>
      </c>
      <c r="BP271" s="446">
        <f>IF($E271=0,0,IF(MIN(BP$38,$E271)&lt;MAX($P$34*($B271+$I$38-1),IF(AND($L$37=0,$P$34=0),"",$L$37-1)),0,YEARFRAC(MAX($P$34*($B271+$I$38-1),IF(AND($L$37=0,$P$34=0),"",$L$37-1)),MIN(BP$38,$E271),$P$20))-SUM($BF271:BO271))</f>
        <v>0</v>
      </c>
      <c r="BQ271" s="446">
        <f>IF($E271=0,0,IF(MIN(BQ$38,$E271)&lt;MAX($P$34*($B271+$I$38-1),IF(AND($L$37=0,$P$34=0),"",$L$37-1)),0,YEARFRAC(MAX($P$34*($B271+$I$38-1),IF(AND($L$37=0,$P$34=0),"",$L$37-1)),MIN(BQ$38,$E271),$P$20))-SUM($BF271:BP271))</f>
        <v>0</v>
      </c>
      <c r="BR271" s="446">
        <f>IF($E271=0,0,IF(MIN(BR$38,$E271)&lt;MAX($P$34*($B271+$I$38-1),IF(AND($L$37=0,$P$34=0),"",$L$37-1)),0,YEARFRAC(MAX($P$34*($B271+$I$38-1),IF(AND($L$37=0,$P$34=0),"",$L$37-1)),MIN(BR$38,$E271),$P$20))-SUM($BF271:BQ271))</f>
        <v>0</v>
      </c>
      <c r="BS271" s="446">
        <f>IF($E271=0,0,IF(MIN(BS$38,$E271)&lt;MAX($P$34*($B271+$I$38-1),IF(AND($L$37=0,$P$34=0),"",$L$37-1)),0,YEARFRAC(MAX($P$34*($B271+$I$38-1),IF(AND($L$37=0,$P$34=0),"",$L$37-1)),MIN(BS$38,$E271),$P$20))-SUM($BF271:BR271))</f>
        <v>0</v>
      </c>
      <c r="BT271" s="446">
        <f>IF($E271=0,0,IF(MIN(BT$38,$E271)&lt;MAX($P$34*($B271+$I$38-1),IF(AND($L$37=0,$P$34=0),"",$L$37-1)),0,YEARFRAC(MAX($P$34*($B271+$I$38-1),IF(AND($L$37=0,$P$34=0),"",$L$37-1)),MIN(BT$38,$E271),$P$20))-SUM($BF271:BS271))</f>
        <v>0</v>
      </c>
      <c r="BU271" s="446">
        <f>IF($E271=0,0,IF(MIN(BU$38,$E271)&lt;MAX($P$34*($B271+$I$38-1),IF(AND($L$37=0,$P$34=0),"",$L$37-1)),0,YEARFRAC(MAX($P$34*($B271+$I$38-1),IF(AND($L$37=0,$P$34=0),"",$L$37-1)),MIN(BU$38,$E271),$P$20))-SUM($BF271:BT271))</f>
        <v>0</v>
      </c>
      <c r="BV271" s="446">
        <f>IF($E271=0,0,IF(MIN(BV$38,$E271)&lt;MAX($P$34*($B271+$I$38-1),IF(AND($L$37=0,$P$34=0),"",$L$37-1)),0,YEARFRAC(MAX($P$34*($B271+$I$38-1),IF(AND($L$37=0,$P$34=0),"",$L$37-1)),MIN(BV$38,$E271),$P$20))-SUM($BF271:BU271))</f>
        <v>0</v>
      </c>
      <c r="BW271" s="446">
        <f>IF($E271=0,0,IF(MIN(BW$38,$E271)&lt;MAX($P$34*($B271+$I$38-1),IF(AND($L$37=0,$P$34=0),"",$L$37-1)),0,YEARFRAC(MAX($P$34*($B271+$I$38-1),IF(AND($L$37=0,$P$34=0),"",$L$37-1)),MIN(BW$38,$E271),$P$20))-SUM($BF271:BV271))</f>
        <v>0</v>
      </c>
      <c r="BX271" s="446">
        <f>IF($E271=0,0,IF(MIN(BX$38,$E271)&lt;MAX($P$34*($B271+$I$38-1),IF(AND($L$37=0,$P$34=0),"",$L$37-1)),0,YEARFRAC(MAX($P$34*($B271+$I$38-1),IF(AND($L$37=0,$P$34=0),"",$L$37-1)),MIN(BX$38,$E271),$P$20))-SUM($BF271:BW271))</f>
        <v>0</v>
      </c>
      <c r="BY271" s="446">
        <f>IF($E271=0,0,IF(MIN(BY$38,$E271)&lt;MAX($P$34*($B271+$I$38-1),IF(AND($L$37=0,$P$34=0),"",$L$37-1)),0,YEARFRAC(MAX($P$34*($B271+$I$38-1),IF(AND($L$37=0,$P$34=0),"",$L$37-1)),MIN(BY$38,$E271),$P$20))-SUM($BF271:BX271))</f>
        <v>0</v>
      </c>
      <c r="BZ271" s="446">
        <f>IF($E271=0,0,IF(MIN(BZ$38,$E271)&lt;MAX($P$34*($B271+$I$38-1),IF(AND($L$37=0,$P$34=0),"",$L$37-1)),0,YEARFRAC(MAX($P$34*($B271+$I$38-1),IF(AND($L$37=0,$P$34=0),"",$L$37-1)),MIN(BZ$38,$E271),$P$20))-SUM($BF271:BY271))</f>
        <v>0</v>
      </c>
      <c r="CA271" s="446">
        <f>IF($E271=0,0,IF(MIN(CA$38,$E271)&lt;MAX($P$34*($B271+$I$38-1),IF(AND($L$37=0,$P$34=0),"",$L$37-1)),0,YEARFRAC(MAX($P$34*($B271+$I$38-1),IF(AND($L$37=0,$P$34=0),"",$L$37-1)),MIN(CA$38,$E271),$P$20))-SUM($BF271:BZ271))</f>
        <v>0</v>
      </c>
      <c r="CB271" s="446">
        <f>IF($E271=0,0,IF(MIN(CB$38,$E271)&lt;MAX($P$34*($B271+$I$38-1),IF(AND($L$37=0,$P$34=0),"",$L$37-1)),0,YEARFRAC(MAX($P$34*($B271+$I$38-1),IF(AND($L$37=0,$P$34=0),"",$L$37-1)),MIN(CB$38,$E271),$P$20))-SUM($BF271:CA271))</f>
        <v>0</v>
      </c>
      <c r="CC271" s="446">
        <f>IF($E271=0,0,IF(MIN(CC$38,$E271)&lt;MAX($P$34*($B271+$I$38-1),IF(AND($L$37=0,$P$34=0),"",$L$37-1)),0,YEARFRAC(MAX($P$34*($B271+$I$38-1),IF(AND($L$37=0,$P$34=0),"",$L$37-1)),MIN(CC$38,$E271),$P$20))-SUM($BF271:CB271))</f>
        <v>0</v>
      </c>
      <c r="CD271" s="446">
        <f>IF($E271=0,0,IF(MIN(CD$38,$E271)&lt;MAX($P$34*($B271+$I$38-1),IF(AND($L$37=0,$P$34=0),"",$L$37-1)),0,YEARFRAC(MAX($P$34*($B271+$I$38-1),IF(AND($L$37=0,$P$34=0),"",$L$37-1)),MIN(CD$38,$E271),$P$20))-SUM($BF271:CC271))</f>
        <v>0</v>
      </c>
      <c r="CE271" s="446">
        <f>IF($E271=0,0,IF(MIN(CE$38,$E271)&lt;MAX($P$34*($B271+$I$38-1),IF(AND($L$37=0,$P$34=0),"",$L$37-1)),0,YEARFRAC(MAX($P$34*($B271+$I$38-1),IF(AND($L$37=0,$P$34=0),"",$L$37-1)),MIN(CE$38,$E271),$P$20))-SUM($BF271:CD271))</f>
        <v>0</v>
      </c>
      <c r="CF271" s="446">
        <f>IF($E271=0,0,IF(MIN(CF$38,$E271)&lt;MAX($P$34*($B271+$I$38-1),IF(AND($L$37=0,$P$34=0),"",$L$37-1)),0,YEARFRAC(MAX($P$34*($B271+$I$38-1),IF(AND($L$37=0,$P$34=0),"",$L$37-1)),MIN(CF$38,$E271),$P$20))-SUM($BF271:CE271))</f>
        <v>0</v>
      </c>
      <c r="CG271" s="446">
        <f>IF($E271=0,0,IF(MIN(CG$38,$E271)&lt;MAX($P$34*($B271+$I$38-1),IF(AND($L$37=0,$P$34=0),"",$L$37-1)),0,YEARFRAC(MAX($P$34*($B271+$I$38-1),IF(AND($L$37=0,$P$34=0),"",$L$37-1)),MIN(CG$38,$E271),$P$20))-SUM($BF271:CF271))</f>
        <v>0</v>
      </c>
      <c r="CH271" s="446">
        <f>IF($E271=0,0,IF(MIN(CH$38,$E271)&lt;MAX($P$34*($B271+$I$38-1),IF(AND($L$37=0,$P$34=0),"",$L$37-1)),0,YEARFRAC(MAX($P$34*($B271+$I$38-1),IF(AND($L$37=0,$P$34=0),"",$L$37-1)),MIN(CH$38,$E271),$P$20))-SUM($BF271:CG271))</f>
        <v>0</v>
      </c>
      <c r="CI271" s="446">
        <f>IF($E271=0,0,IF(MIN(CI$38,$E271)&lt;MAX($P$34*($B271+$I$38-1),IF(AND($L$37=0,$P$34=0),"",$L$37-1)),0,YEARFRAC(MAX($P$34*($B271+$I$38-1),IF(AND($L$37=0,$P$34=0),"",$L$37-1)),MIN(CI$38,$E271),$P$20))-SUM($BF271:CH271))</f>
        <v>0</v>
      </c>
      <c r="CJ271" s="446">
        <f>IF($E271=0,0,IF(MIN(CJ$38,$E271)&lt;MAX($P$34*($B271+$I$38-1),IF(AND($L$37=0,$P$34=0),"",$L$37-1)),0,YEARFRAC(MAX($P$34*($B271+$I$38-1),IF(AND($L$37=0,$P$34=0),"",$L$37-1)),MIN(CJ$38,$E271),$P$20))-SUM($BF271:CI271))</f>
        <v>0</v>
      </c>
      <c r="CK271" s="446">
        <f>IF($E271=0,0,IF(MIN(CK$38,$E271)&lt;MAX($P$34*($B271+$I$38-1),IF(AND($L$37=0,$P$34=0),"",$L$37-1)),0,YEARFRAC(MAX($P$34*($B271+$I$38-1),IF(AND($L$37=0,$P$34=0),"",$L$37-1)),MIN(CK$38,$E271),$P$20))-SUM($BF271:CJ271))</f>
        <v>0</v>
      </c>
      <c r="CL271" s="446">
        <f>IF($E271=0,0,IF(MIN(CL$38,$E271)&lt;MAX($P$34*($B271+$I$38-1),IF(AND($L$37=0,$P$34=0),"",$L$37-1)),0,YEARFRAC(MAX($P$34*($B271+$I$38-1),IF(AND($L$37=0,$P$34=0),"",$L$37-1)),MIN(CL$38,$E271),$P$20))-SUM($BF271:CK271))</f>
        <v>0</v>
      </c>
      <c r="CM271" s="446">
        <f>IF($E271=0,0,IF(MIN(CM$38,$E271)&lt;MAX($P$34*($B271+$I$38-1),IF(AND($L$37=0,$P$34=0),"",$L$37-1)),0,YEARFRAC(MAX($P$34*($B271+$I$38-1),IF(AND($L$37=0,$P$34=0),"",$L$37-1)),MIN(CM$38,$E271),$P$20))-SUM($BF271:CL271))</f>
        <v>0</v>
      </c>
      <c r="CN271" s="446">
        <f>IF($E271=0,0,IF(MIN(CN$38,$E271)&lt;MAX($P$34*($B271+$I$38-1),IF(AND($L$37=0,$P$34=0),"",$L$37-1)),0,YEARFRAC(MAX($P$34*($B271+$I$38-1),IF(AND($L$37=0,$P$34=0),"",$L$37-1)),MIN(CN$38,$E271),$P$20))-SUM($BF271:CM271))</f>
        <v>0</v>
      </c>
      <c r="CO271" s="446">
        <f>IF($E271=0,0,IF(MIN(CO$38,$E271)&lt;MAX($P$34*($B271+$I$38-1),IF(AND($L$37=0,$P$34=0),"",$L$37-1)),0,YEARFRAC(MAX($P$34*($B271+$I$38-1),IF(AND($L$37=0,$P$34=0),"",$L$37-1)),MIN(CO$38,$E271),$P$20))-SUM($BF271:CN271))</f>
        <v>0</v>
      </c>
      <c r="CP271" s="446">
        <f>IF($E271=0,0,IF(MIN(CP$38,$E271)&lt;MAX($P$34*($B271+$I$38-1),IF(AND($L$37=0,$P$34=0),"",$L$37-1)),0,YEARFRAC(MAX($P$34*($B271+$I$38-1),IF(AND($L$37=0,$P$34=0),"",$L$37-1)),MIN(CP$38,$E271),$P$20))-SUM($BF271:CO271))</f>
        <v>0</v>
      </c>
      <c r="CQ271" s="446">
        <f>IF($E271=0,0,IF(MIN(CQ$38,$E271)&lt;MAX($P$34*($B271+$I$38-1),IF(AND($L$37=0,$P$34=0),"",$L$37-1)),0,YEARFRAC(MAX($P$34*($B271+$I$38-1),IF(AND($L$37=0,$P$34=0),"",$L$37-1)),MIN(CQ$38,$E271),$P$20))-SUM($BF271:CP271))</f>
        <v>0</v>
      </c>
    </row>
    <row r="272" spans="1:95" s="446" customFormat="1" ht="11.25" hidden="1" customHeight="1" x14ac:dyDescent="0.2">
      <c r="A272" s="152"/>
      <c r="B272" s="153" t="str">
        <f t="shared" si="48"/>
        <v/>
      </c>
      <c r="C272" s="29" t="str">
        <f>IF(B272="","",IF($L$35="SELIC - TRIBUTOS",VLOOKUP(DATE(YEAR($D$19),MONTH($D$19)-1,1),ÍNDICES!$A:$DE,HLOOKUP($BL$25,ÍNDICES!$B$3:$T$4,2)+11)-VLOOKUP(B272,ÍNDICES!$A:$DE,HLOOKUP($BL$25,ÍNDICES!$B$3:$T$4,2)+11)+1%,IF(C$38=$W$26,$J$35,IF(ISERROR(IF(B272&gt;$D$19,1,VLOOKUP(DATE(YEAR(B272),MONTH(B272)+IF($C$35=$S$23,1,0),1),ÍNDICES!$A:$DE,$Z$35+1))),"",IF(B272&gt;$D$19,1,VLOOKUP(DATE(YEAR(B272),MONTH(B272)+IF($C$35=$S$23,1,0),1),ÍNDICES!$A:$DE,$Z$35+1))))))</f>
        <v/>
      </c>
      <c r="D272" s="154" t="str">
        <f>IF(ISERROR(IF(OR($D$38=$Y$27,$B272=""),"",VLOOKUP(B272,ÍNDICES!A:DE,AF$35+1))),"",IF(OR($D$38=$Y$27,$B272=""),"",VLOOKUP(B272,ÍNDICES!A:DE,AF$35+1)))</f>
        <v/>
      </c>
      <c r="E272" s="153"/>
      <c r="F272" s="29" t="str">
        <f>IF(E272="","",IF($L$35="SELIC - TRIBUTOS",VLOOKUP(DATE(YEAR($D$19),MONTH($D$19)-1,1),ÍNDICES!$A:$DE,HLOOKUP($BL$25,ÍNDICES!$B$3:$T$4,2)+11)-VLOOKUP(E272,ÍNDICES!$A:$DE,HLOOKUP($BL$25,ÍNDICES!$B$3:$T$4,2)+11)+1%,IF(F$38=$W$26,$J$35,IF(ISERROR(IF(E272&gt;$D$19,1,VLOOKUP(DATE(YEAR(E272),MONTH(E272)+IF($C$35=$S$23,1,0),1),ÍNDICES!$A:$DE,$Z$35+1))),"",IF(E272&gt;$D$19,1,VLOOKUP(DATE(YEAR(E272),MONTH(E272)+IF($C$35=$S$23,1,0),1),ÍNDICES!$A:$DE,$Z$35+1))))))</f>
        <v/>
      </c>
      <c r="G272" s="155"/>
      <c r="H272" s="156" t="str">
        <f t="shared" si="44"/>
        <v/>
      </c>
      <c r="I272" s="29" t="str">
        <f t="shared" si="38"/>
        <v/>
      </c>
      <c r="J272" s="5">
        <f t="shared" si="39"/>
        <v>0</v>
      </c>
      <c r="K272" s="20">
        <f t="shared" ca="1" si="40"/>
        <v>0</v>
      </c>
      <c r="L272" s="5">
        <f t="shared" ca="1" si="41"/>
        <v>0</v>
      </c>
      <c r="M272" s="64">
        <f t="shared" si="45"/>
        <v>0</v>
      </c>
      <c r="N272" s="61">
        <f t="shared" ca="1" si="46"/>
        <v>0</v>
      </c>
      <c r="O272" s="5">
        <f t="shared" ca="1" si="47"/>
        <v>0</v>
      </c>
      <c r="P272" s="446" t="e">
        <f t="shared" si="42"/>
        <v>#VALUE!</v>
      </c>
      <c r="Q272" s="446" t="e">
        <f>IF(OR($B272="",MIN(Q$38,$D$19)&lt;MAX($P$34*($B272+IF($R$17="Distrato",$I$38-1,0)),IF(AND($L$37=0,$P$34=0),"",$L$37-1),IF($R$17="Distrato",$E272,0))),0,YEARFRAC(MAX($P$34*($B272+IF($R$17="Distrato",$I$38-1,0)),IF(AND($L$37=0,$P$34=0),"",$L$37-1),IF($R$17="Distrato",$E272,0)),MIN(Q$38,$D$19),$P$20))-SUM($P272:P272)</f>
        <v>#VALUE!</v>
      </c>
      <c r="R272" s="446" t="e">
        <f>IF(OR($B272="",MIN(R$38,$D$19)&lt;MAX($P$34*($B272+IF($R$17="Distrato",$I$38-1,0)),IF(AND($L$37=0,$P$34=0),"",$L$37-1),IF($R$17="Distrato",$E272,0))),0,YEARFRAC(MAX($P$34*($B272+IF($R$17="Distrato",$I$38-1,0)),IF(AND($L$37=0,$P$34=0),"",$L$37-1),IF($R$17="Distrato",$E272,0)),MIN(R$38,$D$19),$P$20))-SUM($P272:Q272)</f>
        <v>#VALUE!</v>
      </c>
      <c r="S272" s="446" t="e">
        <f>IF(OR($B272="",MIN(S$38,$D$19)&lt;MAX($P$34*($B272+IF($R$17="Distrato",$I$38-1,0)),IF(AND($L$37=0,$P$34=0),"",$L$37-1),IF($R$17="Distrato",$E272,0))),0,YEARFRAC(MAX($P$34*($B272+IF($R$17="Distrato",$I$38-1,0)),IF(AND($L$37=0,$P$34=0),"",$L$37-1),IF($R$17="Distrato",$E272,0)),MIN(S$38,$D$19),$P$20))-SUM($P272:R272)</f>
        <v>#VALUE!</v>
      </c>
      <c r="T272" s="446" t="e">
        <f>IF(OR($B272="",MIN(T$38,$D$19)&lt;MAX($P$34*($B272+IF($R$17="Distrato",$I$38-1,0)),IF(AND($L$37=0,$P$34=0),"",$L$37-1),IF($R$17="Distrato",$E272,0))),0,YEARFRAC(MAX($P$34*($B272+IF($R$17="Distrato",$I$38-1,0)),IF(AND($L$37=0,$P$34=0),"",$L$37-1),IF($R$17="Distrato",$E272,0)),MIN(T$38,$D$19),$P$20))-SUM($P272:S272)</f>
        <v>#VALUE!</v>
      </c>
      <c r="U272" s="446" t="e">
        <f>IF(OR($B272="",MIN(U$38,$D$19)&lt;MAX($P$34*($B272+IF($R$17="Distrato",$I$38-1,0)),IF(AND($L$37=0,$P$34=0),"",$L$37-1),IF($R$17="Distrato",$E272,0))),0,YEARFRAC(MAX($P$34*($B272+IF($R$17="Distrato",$I$38-1,0)),IF(AND($L$37=0,$P$34=0),"",$L$37-1),IF($R$17="Distrato",$E272,0)),MIN(U$38,$D$19),$P$20))-SUM($P272:T272)</f>
        <v>#VALUE!</v>
      </c>
      <c r="V272" s="446" t="e">
        <f>IF(OR($B272="",MIN(V$38,$D$19)&lt;MAX($P$34*($B272+IF($R$17="Distrato",$I$38-1,0)),IF(AND($L$37=0,$P$34=0),"",$L$37-1),IF($R$17="Distrato",$E272,0))),0,YEARFRAC(MAX($P$34*($B272+IF($R$17="Distrato",$I$38-1,0)),IF(AND($L$37=0,$P$34=0),"",$L$37-1),IF($R$17="Distrato",$E272,0)),MIN(V$38,$D$19),$P$20))-SUM($P272:U272)</f>
        <v>#VALUE!</v>
      </c>
      <c r="W272" s="446" t="e">
        <f>IF(OR($B272="",MIN(W$38,$D$19)&lt;MAX($P$34*($B272+IF($R$17="Distrato",$I$38-1,0)),IF(AND($L$37=0,$P$34=0),"",$L$37-1),IF($R$17="Distrato",$E272,0))),0,YEARFRAC(MAX($P$34*($B272+IF($R$17="Distrato",$I$38-1,0)),IF(AND($L$37=0,$P$34=0),"",$L$37-1),IF($R$17="Distrato",$E272,0)),MIN(W$38,$D$19),$P$20))-SUM($P272:V272)</f>
        <v>#VALUE!</v>
      </c>
      <c r="X272" s="446" t="e">
        <f>IF(OR($B272="",MIN(X$38,$D$19)&lt;MAX($P$34*($B272+IF($R$17="Distrato",$I$38-1,0)),IF(AND($L$37=0,$P$34=0),"",$L$37-1),IF($R$17="Distrato",$E272,0))),0,YEARFRAC(MAX($P$34*($B272+IF($R$17="Distrato",$I$38-1,0)),IF(AND($L$37=0,$P$34=0),"",$L$37-1),IF($R$17="Distrato",$E272,0)),MIN(X$38,$D$19),$P$20))-SUM($P272:W272)</f>
        <v>#VALUE!</v>
      </c>
      <c r="Y272" s="446" t="e">
        <f>IF(OR($B272="",MIN(Y$38,$D$19)&lt;MAX($P$34*($B272+IF($R$17="Distrato",$I$38-1,0)),IF(AND($L$37=0,$P$34=0),"",$L$37-1),IF($R$17="Distrato",$E272,0))),0,YEARFRAC(MAX($P$34*($B272+IF($R$17="Distrato",$I$38-1,0)),IF(AND($L$37=0,$P$34=0),"",$L$37-1),IF($R$17="Distrato",$E272,0)),MIN(Y$38,$D$19),$P$20))-SUM($P272:X272)</f>
        <v>#VALUE!</v>
      </c>
      <c r="Z272" s="446" t="e">
        <f>IF(OR($B272="",MIN(Z$38,$D$19)&lt;MAX($P$34*($B272+IF($R$17="Distrato",$I$38-1,0)),IF(AND($L$37=0,$P$34=0),"",$L$37-1),IF($R$17="Distrato",$E272,0))),0,YEARFRAC(MAX($P$34*($B272+IF($R$17="Distrato",$I$38-1,0)),IF(AND($L$37=0,$P$34=0),"",$L$37-1),IF($R$17="Distrato",$E272,0)),MIN(Z$38,$D$19),$P$20))-SUM($P272:Y272)</f>
        <v>#VALUE!</v>
      </c>
      <c r="AA272" s="446" t="e">
        <f>IF(OR($B272="",MIN(AA$38,$D$19)&lt;MAX($P$34*($B272+IF($R$17="Distrato",$I$38-1,0)),IF(AND($L$37=0,$P$34=0),"",$L$37-1),IF($R$17="Distrato",$E272,0))),0,YEARFRAC(MAX($P$34*($B272+IF($R$17="Distrato",$I$38-1,0)),IF(AND($L$37=0,$P$34=0),"",$L$37-1),IF($R$17="Distrato",$E272,0)),MIN(AA$38,$D$19),$P$20))-SUM($P272:Z272)</f>
        <v>#VALUE!</v>
      </c>
      <c r="AB272" s="446" t="e">
        <f>IF(OR($B272="",MIN(AB$38,$D$19)&lt;MAX($P$34*($B272+IF($R$17="Distrato",$I$38-1,0)),IF(AND($L$37=0,$P$34=0),"",$L$37-1),IF($R$17="Distrato",$E272,0))),0,YEARFRAC(MAX($P$34*($B272+IF($R$17="Distrato",$I$38-1,0)),IF(AND($L$37=0,$P$34=0),"",$L$37-1),IF($R$17="Distrato",$E272,0)),MIN(AB$38,$D$19),$P$20))-SUM($P272:AA272)</f>
        <v>#VALUE!</v>
      </c>
      <c r="AC272" s="446" t="e">
        <f>IF(OR($B272="",MIN(AC$38,$D$19)&lt;MAX($P$34*($B272+IF($R$17="Distrato",$I$38-1,0)),IF(AND($L$37=0,$P$34=0),"",$L$37-1),IF($R$17="Distrato",$E272,0))),0,YEARFRAC(MAX($P$34*($B272+IF($R$17="Distrato",$I$38-1,0)),IF(AND($L$37=0,$P$34=0),"",$L$37-1),IF($R$17="Distrato",$E272,0)),MIN(AC$38,$D$19),$P$20))-SUM($P272:AB272)</f>
        <v>#VALUE!</v>
      </c>
      <c r="AD272" s="446" t="e">
        <f>IF(OR($B272="",MIN(AD$38,$D$19)&lt;MAX($P$34*($B272+IF($R$17="Distrato",$I$38-1,0)),IF(AND($L$37=0,$P$34=0),"",$L$37-1),IF($R$17="Distrato",$E272,0))),0,YEARFRAC(MAX($P$34*($B272+IF($R$17="Distrato",$I$38-1,0)),IF(AND($L$37=0,$P$34=0),"",$L$37-1),IF($R$17="Distrato",$E272,0)),MIN(AD$38,$D$19),$P$20))-SUM($P272:AC272)</f>
        <v>#VALUE!</v>
      </c>
      <c r="AE272" s="446" t="e">
        <f>IF(OR($B272="",MIN(AE$38,$D$19)&lt;MAX($P$34*($B272+IF($R$17="Distrato",$I$38-1,0)),IF(AND($L$37=0,$P$34=0),"",$L$37-1),IF($R$17="Distrato",$E272,0))),0,YEARFRAC(MAX($P$34*($B272+IF($R$17="Distrato",$I$38-1,0)),IF(AND($L$37=0,$P$34=0),"",$L$37-1),IF($R$17="Distrato",$E272,0)),MIN(AE$38,$D$19),$P$20))-SUM($P272:AD272)</f>
        <v>#VALUE!</v>
      </c>
      <c r="AF272" s="446" t="e">
        <f>IF(OR($B272="",MIN(AF$38,$D$19)&lt;MAX($P$34*($B272+IF($R$17="Distrato",$I$38-1,0)),IF(AND($L$37=0,$P$34=0),"",$L$37-1),IF($R$17="Distrato",$E272,0))),0,YEARFRAC(MAX($P$34*($B272+IF($R$17="Distrato",$I$38-1,0)),IF(AND($L$37=0,$P$34=0),"",$L$37-1),IF($R$17="Distrato",$E272,0)),MIN(AF$38,$D$19),$P$20))-SUM($P272:AE272)</f>
        <v>#VALUE!</v>
      </c>
      <c r="AG272" s="446" t="e">
        <f>IF(OR($B272="",MIN(AG$38,$D$19)&lt;MAX($P$34*($B272+IF($R$17="Distrato",$I$38-1,0)),IF(AND($L$37=0,$P$34=0),"",$L$37-1),IF($R$17="Distrato",$E272,0))),0,YEARFRAC(MAX($P$34*($B272+IF($R$17="Distrato",$I$38-1,0)),IF(AND($L$37=0,$P$34=0),"",$L$37-1),IF($R$17="Distrato",$E272,0)),MIN(AG$38,$D$19),$P$20))-SUM($P272:AF272)</f>
        <v>#VALUE!</v>
      </c>
      <c r="AH272" s="446" t="e">
        <f>IF(OR($B272="",MIN(AH$38,$D$19)&lt;MAX($P$34*($B272+IF($R$17="Distrato",$I$38-1,0)),IF(AND($L$37=0,$P$34=0),"",$L$37-1),IF($R$17="Distrato",$E272,0))),0,YEARFRAC(MAX($P$34*($B272+IF($R$17="Distrato",$I$38-1,0)),IF(AND($L$37=0,$P$34=0),"",$L$37-1),IF($R$17="Distrato",$E272,0)),MIN(AH$38,$D$19),$P$20))-SUM($P272:AG272)</f>
        <v>#VALUE!</v>
      </c>
      <c r="AI272" s="446" t="e">
        <f>IF(OR($B272="",MIN(AI$38,$D$19)&lt;MAX($P$34*($B272+IF($R$17="Distrato",$I$38-1,0)),IF(AND($L$37=0,$P$34=0),"",$L$37-1),IF($R$17="Distrato",$E272,0))),0,YEARFRAC(MAX($P$34*($B272+IF($R$17="Distrato",$I$38-1,0)),IF(AND($L$37=0,$P$34=0),"",$L$37-1),IF($R$17="Distrato",$E272,0)),MIN(AI$38,$D$19),$P$20))-SUM($P272:AH272)</f>
        <v>#VALUE!</v>
      </c>
      <c r="AJ272" s="446" t="e">
        <f>IF(OR($B272="",MIN(AJ$38,$D$19)&lt;MAX($P$34*($B272+IF($R$17="Distrato",$I$38-1,0)),IF(AND($L$37=0,$P$34=0),"",$L$37-1),IF($R$17="Distrato",$E272,0))),0,YEARFRAC(MAX($P$34*($B272+IF($R$17="Distrato",$I$38-1,0)),IF(AND($L$37=0,$P$34=0),"",$L$37-1),IF($R$17="Distrato",$E272,0)),MIN(AJ$38,$D$19),$P$20))-SUM($P272:AI272)</f>
        <v>#VALUE!</v>
      </c>
      <c r="AK272" s="446" t="e">
        <f>IF(OR($B272="",MIN(AK$38,$D$19)&lt;MAX($P$34*($B272+IF($R$17="Distrato",$I$38-1,0)),IF(AND($L$37=0,$P$34=0),"",$L$37-1),IF($R$17="Distrato",$E272,0))),0,YEARFRAC(MAX($P$34*($B272+IF($R$17="Distrato",$I$38-1,0)),IF(AND($L$37=0,$P$34=0),"",$L$37-1),IF($R$17="Distrato",$E272,0)),MIN(AK$38,$D$19),$P$20))-SUM($P272:AJ272)</f>
        <v>#VALUE!</v>
      </c>
      <c r="AL272" s="446" t="e">
        <f>IF(OR($B272="",MIN(AL$38,$D$19)&lt;MAX($P$34*($B272+IF($R$17="Distrato",$I$38-1,0)),IF(AND($L$37=0,$P$34=0),"",$L$37-1),IF($R$17="Distrato",$E272,0))),0,YEARFRAC(MAX($P$34*($B272+IF($R$17="Distrato",$I$38-1,0)),IF(AND($L$37=0,$P$34=0),"",$L$37-1),IF($R$17="Distrato",$E272,0)),MIN(AL$38,$D$19),$P$20))-SUM($P272:AK272)</f>
        <v>#VALUE!</v>
      </c>
      <c r="AM272" s="446" t="e">
        <f>IF(OR($B272="",MIN(AM$38,$D$19)&lt;MAX($P$34*($B272+IF($R$17="Distrato",$I$38-1,0)),IF(AND($L$37=0,$P$34=0),"",$L$37-1),IF($R$17="Distrato",$E272,0))),0,YEARFRAC(MAX($P$34*($B272+IF($R$17="Distrato",$I$38-1,0)),IF(AND($L$37=0,$P$34=0),"",$L$37-1),IF($R$17="Distrato",$E272,0)),MIN(AM$38,$D$19),$P$20))-SUM($P272:AL272)</f>
        <v>#VALUE!</v>
      </c>
      <c r="AN272" s="446" t="e">
        <f>IF(OR($B272="",MIN(AN$38,$D$19)&lt;MAX($P$34*($B272+IF($R$17="Distrato",$I$38-1,0)),IF(AND($L$37=0,$P$34=0),"",$L$37-1),IF($R$17="Distrato",$E272,0))),0,YEARFRAC(MAX($P$34*($B272+IF($R$17="Distrato",$I$38-1,0)),IF(AND($L$37=0,$P$34=0),"",$L$37-1),IF($R$17="Distrato",$E272,0)),MIN(AN$38,$D$19),$P$20))-SUM($P272:AM272)</f>
        <v>#VALUE!</v>
      </c>
      <c r="AO272" s="446" t="e">
        <f>IF(OR($B272="",MIN(AO$38,$D$19)&lt;MAX($P$34*($B272+IF($R$17="Distrato",$I$38-1,0)),IF(AND($L$37=0,$P$34=0),"",$L$37-1),IF($R$17="Distrato",$E272,0))),0,YEARFRAC(MAX($P$34*($B272+IF($R$17="Distrato",$I$38-1,0)),IF(AND($L$37=0,$P$34=0),"",$L$37-1),IF($R$17="Distrato",$E272,0)),MIN(AO$38,$D$19),$P$20))-SUM($P272:AN272)</f>
        <v>#VALUE!</v>
      </c>
      <c r="AP272" s="446" t="e">
        <f>IF(OR($B272="",MIN(AP$38,$D$19)&lt;MAX($P$34*($B272+IF($R$17="Distrato",$I$38-1,0)),IF(AND($L$37=0,$P$34=0),"",$L$37-1),IF($R$17="Distrato",$E272,0))),0,YEARFRAC(MAX($P$34*($B272+IF($R$17="Distrato",$I$38-1,0)),IF(AND($L$37=0,$P$34=0),"",$L$37-1),IF($R$17="Distrato",$E272,0)),MIN(AP$38,$D$19),$P$20))-SUM($P272:AO272)</f>
        <v>#VALUE!</v>
      </c>
      <c r="AQ272" s="446" t="e">
        <f>IF(OR($B272="",MIN(AQ$38,$D$19)&lt;MAX($P$34*($B272+IF($R$17="Distrato",$I$38-1,0)),IF(AND($L$37=0,$P$34=0),"",$L$37-1),IF($R$17="Distrato",$E272,0))),0,YEARFRAC(MAX($P$34*($B272+IF($R$17="Distrato",$I$38-1,0)),IF(AND($L$37=0,$P$34=0),"",$L$37-1),IF($R$17="Distrato",$E272,0)),MIN(AQ$38,$D$19),$P$20))-SUM($P272:AP272)</f>
        <v>#VALUE!</v>
      </c>
      <c r="AR272" s="446" t="e">
        <f>IF(OR($B272="",MIN(AR$38,$D$19)&lt;MAX($P$34*($B272+IF($R$17="Distrato",$I$38-1,0)),IF(AND($L$37=0,$P$34=0),"",$L$37-1),IF($R$17="Distrato",$E272,0))),0,YEARFRAC(MAX($P$34*($B272+IF($R$17="Distrato",$I$38-1,0)),IF(AND($L$37=0,$P$34=0),"",$L$37-1),IF($R$17="Distrato",$E272,0)),MIN(AR$38,$D$19),$P$20))-SUM($P272:AQ272)</f>
        <v>#VALUE!</v>
      </c>
      <c r="AS272" s="446" t="e">
        <f>IF(OR($B272="",MIN(AS$38,$D$19)&lt;MAX($P$34*($B272+IF($R$17="Distrato",$I$38-1,0)),IF(AND($L$37=0,$P$34=0),"",$L$37-1),IF($R$17="Distrato",$E272,0))),0,YEARFRAC(MAX($P$34*($B272+IF($R$17="Distrato",$I$38-1,0)),IF(AND($L$37=0,$P$34=0),"",$L$37-1),IF($R$17="Distrato",$E272,0)),MIN(AS$38,$D$19),$P$20))-SUM($P272:AR272)</f>
        <v>#VALUE!</v>
      </c>
      <c r="AT272" s="446" t="e">
        <f>IF(OR($B272="",MIN(AT$38,$D$19)&lt;MAX($P$34*($B272+IF($R$17="Distrato",$I$38-1,0)),IF(AND($L$37=0,$P$34=0),"",$L$37-1),IF($R$17="Distrato",$E272,0))),0,YEARFRAC(MAX($P$34*($B272+IF($R$17="Distrato",$I$38-1,0)),IF(AND($L$37=0,$P$34=0),"",$L$37-1),IF($R$17="Distrato",$E272,0)),MIN(AT$38,$D$19),$P$20))-SUM($P272:AS272)</f>
        <v>#VALUE!</v>
      </c>
      <c r="AU272" s="446" t="e">
        <f>IF(OR($B272="",MIN(AU$38,$D$19)&lt;MAX($P$34*($B272+IF($R$17="Distrato",$I$38-1,0)),IF(AND($L$37=0,$P$34=0),"",$L$37-1),IF($R$17="Distrato",$E272,0))),0,YEARFRAC(MAX($P$34*($B272+IF($R$17="Distrato",$I$38-1,0)),IF(AND($L$37=0,$P$34=0),"",$L$37-1),IF($R$17="Distrato",$E272,0)),MIN(AU$38,$D$19),$P$20))-SUM($P272:AT272)</f>
        <v>#VALUE!</v>
      </c>
      <c r="AV272" s="446" t="e">
        <f>IF(OR($B272="",MIN(AV$38,$D$19)&lt;MAX($P$34*($B272+IF($R$17="Distrato",$I$38-1,0)),IF(AND($L$37=0,$P$34=0),"",$L$37-1),IF($R$17="Distrato",$E272,0))),0,YEARFRAC(MAX($P$34*($B272+IF($R$17="Distrato",$I$38-1,0)),IF(AND($L$37=0,$P$34=0),"",$L$37-1),IF($R$17="Distrato",$E272,0)),MIN(AV$38,$D$19),$P$20))-SUM($P272:AU272)</f>
        <v>#VALUE!</v>
      </c>
      <c r="AW272" s="446" t="e">
        <f>IF(OR($B272="",MIN(AW$38,$D$19)&lt;MAX($P$34*($B272+IF($R$17="Distrato",$I$38-1,0)),IF(AND($L$37=0,$P$34=0),"",$L$37-1),IF($R$17="Distrato",$E272,0))),0,YEARFRAC(MAX($P$34*($B272+IF($R$17="Distrato",$I$38-1,0)),IF(AND($L$37=0,$P$34=0),"",$L$37-1),IF($R$17="Distrato",$E272,0)),MIN(AW$38,$D$19),$P$20))-SUM($P272:AV272)</f>
        <v>#VALUE!</v>
      </c>
      <c r="AX272" s="446" t="e">
        <f>IF(OR($B272="",MIN(AX$38,$D$19)&lt;MAX($P$34*($B272+IF($R$17="Distrato",$I$38-1,0)),IF(AND($L$37=0,$P$34=0),"",$L$37-1),IF($R$17="Distrato",$E272,0))),0,YEARFRAC(MAX($P$34*($B272+IF($R$17="Distrato",$I$38-1,0)),IF(AND($L$37=0,$P$34=0),"",$L$37-1),IF($R$17="Distrato",$E272,0)),MIN(AX$38,$D$19),$P$20))-SUM($P272:AW272)</f>
        <v>#VALUE!</v>
      </c>
      <c r="AY272" s="446" t="e">
        <f>IF(OR($B272="",MIN(AY$38,$D$19)&lt;MAX($P$34*($B272+IF($R$17="Distrato",$I$38-1,0)),IF(AND($L$37=0,$P$34=0),"",$L$37-1),IF($R$17="Distrato",$E272,0))),0,YEARFRAC(MAX($P$34*($B272+IF($R$17="Distrato",$I$38-1,0)),IF(AND($L$37=0,$P$34=0),"",$L$37-1),IF($R$17="Distrato",$E272,0)),MIN(AY$38,$D$19),$P$20))-SUM($P272:AX272)</f>
        <v>#VALUE!</v>
      </c>
      <c r="AZ272" s="446" t="e">
        <f>IF(OR($B272="",MIN(AZ$38,$D$19)&lt;MAX($P$34*($B272+IF($R$17="Distrato",$I$38-1,0)),IF(AND($L$37=0,$P$34=0),"",$L$37-1),IF($R$17="Distrato",$E272,0))),0,YEARFRAC(MAX($P$34*($B272+IF($R$17="Distrato",$I$38-1,0)),IF(AND($L$37=0,$P$34=0),"",$L$37-1),IF($R$17="Distrato",$E272,0)),MIN(AZ$38,$D$19),$P$20))-SUM($P272:AY272)</f>
        <v>#VALUE!</v>
      </c>
      <c r="BA272" s="446" t="e">
        <f>IF(OR($B272="",MIN(BA$38,$D$19)&lt;MAX($P$34*($B272+IF($R$17="Distrato",$I$38-1,0)),IF(AND($L$37=0,$P$34=0),"",$L$37-1),IF($R$17="Distrato",$E272,0))),0,YEARFRAC(MAX($P$34*($B272+IF($R$17="Distrato",$I$38-1,0)),IF(AND($L$37=0,$P$34=0),"",$L$37-1),IF($R$17="Distrato",$E272,0)),MIN(BA$38,$D$19),$P$20))-SUM($P272:AZ272)</f>
        <v>#VALUE!</v>
      </c>
      <c r="BB272" s="447"/>
      <c r="BF272" s="446">
        <f t="shared" si="43"/>
        <v>0</v>
      </c>
      <c r="BG272" s="446">
        <f>IF($E272=0,0,IF(MIN(BG$38,$E272)&lt;MAX($P$34*($B272+$I$38-1),IF(AND($L$37=0,$P$34=0),"",$L$37-1)),0,YEARFRAC(MAX($P$34*($B272+$I$38-1),IF(AND($L$37=0,$P$34=0),"",$L$37-1)),MIN(BG$38,$E272),$P$20))-SUM($BF272:BF272))</f>
        <v>0</v>
      </c>
      <c r="BH272" s="446">
        <f>IF($E272=0,0,IF(MIN(BH$38,$E272)&lt;MAX($P$34*($B272+$I$38-1),IF(AND($L$37=0,$P$34=0),"",$L$37-1)),0,YEARFRAC(MAX($P$34*($B272+$I$38-1),IF(AND($L$37=0,$P$34=0),"",$L$37-1)),MIN(BH$38,$E272),$P$20))-SUM($BF272:BG272))</f>
        <v>0</v>
      </c>
      <c r="BI272" s="446">
        <f>IF($E272=0,0,IF(MIN(BI$38,$E272)&lt;MAX($P$34*($B272+$I$38-1),IF(AND($L$37=0,$P$34=0),"",$L$37-1)),0,YEARFRAC(MAX($P$34*($B272+$I$38-1),IF(AND($L$37=0,$P$34=0),"",$L$37-1)),MIN(BI$38,$E272),$P$20))-SUM($BF272:BH272))</f>
        <v>0</v>
      </c>
      <c r="BJ272" s="446">
        <f>IF($E272=0,0,IF(MIN(BJ$38,$E272)&lt;MAX($P$34*($B272+$I$38-1),IF(AND($L$37=0,$P$34=0),"",$L$37-1)),0,YEARFRAC(MAX($P$34*($B272+$I$38-1),IF(AND($L$37=0,$P$34=0),"",$L$37-1)),MIN(BJ$38,$E272),$P$20))-SUM($BF272:BI272))</f>
        <v>0</v>
      </c>
      <c r="BK272" s="446">
        <f>IF($E272=0,0,IF(MIN(BK$38,$E272)&lt;MAX($P$34*($B272+$I$38-1),IF(AND($L$37=0,$P$34=0),"",$L$37-1)),0,YEARFRAC(MAX($P$34*($B272+$I$38-1),IF(AND($L$37=0,$P$34=0),"",$L$37-1)),MIN(BK$38,$E272),$P$20))-SUM($BF272:BJ272))</f>
        <v>0</v>
      </c>
      <c r="BL272" s="446">
        <f>IF($E272=0,0,IF(MIN(BL$38,$E272)&lt;MAX($P$34*($B272+$I$38-1),IF(AND($L$37=0,$P$34=0),"",$L$37-1)),0,YEARFRAC(MAX($P$34*($B272+$I$38-1),IF(AND($L$37=0,$P$34=0),"",$L$37-1)),MIN(BL$38,$E272),$P$20))-SUM($BF272:BK272))</f>
        <v>0</v>
      </c>
      <c r="BM272" s="446">
        <f>IF($E272=0,0,IF(MIN(BM$38,$E272)&lt;MAX($P$34*($B272+$I$38-1),IF(AND($L$37=0,$P$34=0),"",$L$37-1)),0,YEARFRAC(MAX($P$34*($B272+$I$38-1),IF(AND($L$37=0,$P$34=0),"",$L$37-1)),MIN(BM$38,$E272),$P$20))-SUM($BF272:BL272))</f>
        <v>0</v>
      </c>
      <c r="BN272" s="446">
        <f>IF($E272=0,0,IF(MIN(BN$38,$E272)&lt;MAX($P$34*($B272+$I$38-1),IF(AND($L$37=0,$P$34=0),"",$L$37-1)),0,YEARFRAC(MAX($P$34*($B272+$I$38-1),IF(AND($L$37=0,$P$34=0),"",$L$37-1)),MIN(BN$38,$E272),$P$20))-SUM($BF272:BM272))</f>
        <v>0</v>
      </c>
      <c r="BO272" s="446">
        <f>IF($E272=0,0,IF(MIN(BO$38,$E272)&lt;MAX($P$34*($B272+$I$38-1),IF(AND($L$37=0,$P$34=0),"",$L$37-1)),0,YEARFRAC(MAX($P$34*($B272+$I$38-1),IF(AND($L$37=0,$P$34=0),"",$L$37-1)),MIN(BO$38,$E272),$P$20))-SUM($BF272:BN272))</f>
        <v>0</v>
      </c>
      <c r="BP272" s="446">
        <f>IF($E272=0,0,IF(MIN(BP$38,$E272)&lt;MAX($P$34*($B272+$I$38-1),IF(AND($L$37=0,$P$34=0),"",$L$37-1)),0,YEARFRAC(MAX($P$34*($B272+$I$38-1),IF(AND($L$37=0,$P$34=0),"",$L$37-1)),MIN(BP$38,$E272),$P$20))-SUM($BF272:BO272))</f>
        <v>0</v>
      </c>
      <c r="BQ272" s="446">
        <f>IF($E272=0,0,IF(MIN(BQ$38,$E272)&lt;MAX($P$34*($B272+$I$38-1),IF(AND($L$37=0,$P$34=0),"",$L$37-1)),0,YEARFRAC(MAX($P$34*($B272+$I$38-1),IF(AND($L$37=0,$P$34=0),"",$L$37-1)),MIN(BQ$38,$E272),$P$20))-SUM($BF272:BP272))</f>
        <v>0</v>
      </c>
      <c r="BR272" s="446">
        <f>IF($E272=0,0,IF(MIN(BR$38,$E272)&lt;MAX($P$34*($B272+$I$38-1),IF(AND($L$37=0,$P$34=0),"",$L$37-1)),0,YEARFRAC(MAX($P$34*($B272+$I$38-1),IF(AND($L$37=0,$P$34=0),"",$L$37-1)),MIN(BR$38,$E272),$P$20))-SUM($BF272:BQ272))</f>
        <v>0</v>
      </c>
      <c r="BS272" s="446">
        <f>IF($E272=0,0,IF(MIN(BS$38,$E272)&lt;MAX($P$34*($B272+$I$38-1),IF(AND($L$37=0,$P$34=0),"",$L$37-1)),0,YEARFRAC(MAX($P$34*($B272+$I$38-1),IF(AND($L$37=0,$P$34=0),"",$L$37-1)),MIN(BS$38,$E272),$P$20))-SUM($BF272:BR272))</f>
        <v>0</v>
      </c>
      <c r="BT272" s="446">
        <f>IF($E272=0,0,IF(MIN(BT$38,$E272)&lt;MAX($P$34*($B272+$I$38-1),IF(AND($L$37=0,$P$34=0),"",$L$37-1)),0,YEARFRAC(MAX($P$34*($B272+$I$38-1),IF(AND($L$37=0,$P$34=0),"",$L$37-1)),MIN(BT$38,$E272),$P$20))-SUM($BF272:BS272))</f>
        <v>0</v>
      </c>
      <c r="BU272" s="446">
        <f>IF($E272=0,0,IF(MIN(BU$38,$E272)&lt;MAX($P$34*($B272+$I$38-1),IF(AND($L$37=0,$P$34=0),"",$L$37-1)),0,YEARFRAC(MAX($P$34*($B272+$I$38-1),IF(AND($L$37=0,$P$34=0),"",$L$37-1)),MIN(BU$38,$E272),$P$20))-SUM($BF272:BT272))</f>
        <v>0</v>
      </c>
      <c r="BV272" s="446">
        <f>IF($E272=0,0,IF(MIN(BV$38,$E272)&lt;MAX($P$34*($B272+$I$38-1),IF(AND($L$37=0,$P$34=0),"",$L$37-1)),0,YEARFRAC(MAX($P$34*($B272+$I$38-1),IF(AND($L$37=0,$P$34=0),"",$L$37-1)),MIN(BV$38,$E272),$P$20))-SUM($BF272:BU272))</f>
        <v>0</v>
      </c>
      <c r="BW272" s="446">
        <f>IF($E272=0,0,IF(MIN(BW$38,$E272)&lt;MAX($P$34*($B272+$I$38-1),IF(AND($L$37=0,$P$34=0),"",$L$37-1)),0,YEARFRAC(MAX($P$34*($B272+$I$38-1),IF(AND($L$37=0,$P$34=0),"",$L$37-1)),MIN(BW$38,$E272),$P$20))-SUM($BF272:BV272))</f>
        <v>0</v>
      </c>
      <c r="BX272" s="446">
        <f>IF($E272=0,0,IF(MIN(BX$38,$E272)&lt;MAX($P$34*($B272+$I$38-1),IF(AND($L$37=0,$P$34=0),"",$L$37-1)),0,YEARFRAC(MAX($P$34*($B272+$I$38-1),IF(AND($L$37=0,$P$34=0),"",$L$37-1)),MIN(BX$38,$E272),$P$20))-SUM($BF272:BW272))</f>
        <v>0</v>
      </c>
      <c r="BY272" s="446">
        <f>IF($E272=0,0,IF(MIN(BY$38,$E272)&lt;MAX($P$34*($B272+$I$38-1),IF(AND($L$37=0,$P$34=0),"",$L$37-1)),0,YEARFRAC(MAX($P$34*($B272+$I$38-1),IF(AND($L$37=0,$P$34=0),"",$L$37-1)),MIN(BY$38,$E272),$P$20))-SUM($BF272:BX272))</f>
        <v>0</v>
      </c>
      <c r="BZ272" s="446">
        <f>IF($E272=0,0,IF(MIN(BZ$38,$E272)&lt;MAX($P$34*($B272+$I$38-1),IF(AND($L$37=0,$P$34=0),"",$L$37-1)),0,YEARFRAC(MAX($P$34*($B272+$I$38-1),IF(AND($L$37=0,$P$34=0),"",$L$37-1)),MIN(BZ$38,$E272),$P$20))-SUM($BF272:BY272))</f>
        <v>0</v>
      </c>
      <c r="CA272" s="446">
        <f>IF($E272=0,0,IF(MIN(CA$38,$E272)&lt;MAX($P$34*($B272+$I$38-1),IF(AND($L$37=0,$P$34=0),"",$L$37-1)),0,YEARFRAC(MAX($P$34*($B272+$I$38-1),IF(AND($L$37=0,$P$34=0),"",$L$37-1)),MIN(CA$38,$E272),$P$20))-SUM($BF272:BZ272))</f>
        <v>0</v>
      </c>
      <c r="CB272" s="446">
        <f>IF($E272=0,0,IF(MIN(CB$38,$E272)&lt;MAX($P$34*($B272+$I$38-1),IF(AND($L$37=0,$P$34=0),"",$L$37-1)),0,YEARFRAC(MAX($P$34*($B272+$I$38-1),IF(AND($L$37=0,$P$34=0),"",$L$37-1)),MIN(CB$38,$E272),$P$20))-SUM($BF272:CA272))</f>
        <v>0</v>
      </c>
      <c r="CC272" s="446">
        <f>IF($E272=0,0,IF(MIN(CC$38,$E272)&lt;MAX($P$34*($B272+$I$38-1),IF(AND($L$37=0,$P$34=0),"",$L$37-1)),0,YEARFRAC(MAX($P$34*($B272+$I$38-1),IF(AND($L$37=0,$P$34=0),"",$L$37-1)),MIN(CC$38,$E272),$P$20))-SUM($BF272:CB272))</f>
        <v>0</v>
      </c>
      <c r="CD272" s="446">
        <f>IF($E272=0,0,IF(MIN(CD$38,$E272)&lt;MAX($P$34*($B272+$I$38-1),IF(AND($L$37=0,$P$34=0),"",$L$37-1)),0,YEARFRAC(MAX($P$34*($B272+$I$38-1),IF(AND($L$37=0,$P$34=0),"",$L$37-1)),MIN(CD$38,$E272),$P$20))-SUM($BF272:CC272))</f>
        <v>0</v>
      </c>
      <c r="CE272" s="446">
        <f>IF($E272=0,0,IF(MIN(CE$38,$E272)&lt;MAX($P$34*($B272+$I$38-1),IF(AND($L$37=0,$P$34=0),"",$L$37-1)),0,YEARFRAC(MAX($P$34*($B272+$I$38-1),IF(AND($L$37=0,$P$34=0),"",$L$37-1)),MIN(CE$38,$E272),$P$20))-SUM($BF272:CD272))</f>
        <v>0</v>
      </c>
      <c r="CF272" s="446">
        <f>IF($E272=0,0,IF(MIN(CF$38,$E272)&lt;MAX($P$34*($B272+$I$38-1),IF(AND($L$37=0,$P$34=0),"",$L$37-1)),0,YEARFRAC(MAX($P$34*($B272+$I$38-1),IF(AND($L$37=0,$P$34=0),"",$L$37-1)),MIN(CF$38,$E272),$P$20))-SUM($BF272:CE272))</f>
        <v>0</v>
      </c>
      <c r="CG272" s="446">
        <f>IF($E272=0,0,IF(MIN(CG$38,$E272)&lt;MAX($P$34*($B272+$I$38-1),IF(AND($L$37=0,$P$34=0),"",$L$37-1)),0,YEARFRAC(MAX($P$34*($B272+$I$38-1),IF(AND($L$37=0,$P$34=0),"",$L$37-1)),MIN(CG$38,$E272),$P$20))-SUM($BF272:CF272))</f>
        <v>0</v>
      </c>
      <c r="CH272" s="446">
        <f>IF($E272=0,0,IF(MIN(CH$38,$E272)&lt;MAX($P$34*($B272+$I$38-1),IF(AND($L$37=0,$P$34=0),"",$L$37-1)),0,YEARFRAC(MAX($P$34*($B272+$I$38-1),IF(AND($L$37=0,$P$34=0),"",$L$37-1)),MIN(CH$38,$E272),$P$20))-SUM($BF272:CG272))</f>
        <v>0</v>
      </c>
      <c r="CI272" s="446">
        <f>IF($E272=0,0,IF(MIN(CI$38,$E272)&lt;MAX($P$34*($B272+$I$38-1),IF(AND($L$37=0,$P$34=0),"",$L$37-1)),0,YEARFRAC(MAX($P$34*($B272+$I$38-1),IF(AND($L$37=0,$P$34=0),"",$L$37-1)),MIN(CI$38,$E272),$P$20))-SUM($BF272:CH272))</f>
        <v>0</v>
      </c>
      <c r="CJ272" s="446">
        <f>IF($E272=0,0,IF(MIN(CJ$38,$E272)&lt;MAX($P$34*($B272+$I$38-1),IF(AND($L$37=0,$P$34=0),"",$L$37-1)),0,YEARFRAC(MAX($P$34*($B272+$I$38-1),IF(AND($L$37=0,$P$34=0),"",$L$37-1)),MIN(CJ$38,$E272),$P$20))-SUM($BF272:CI272))</f>
        <v>0</v>
      </c>
      <c r="CK272" s="446">
        <f>IF($E272=0,0,IF(MIN(CK$38,$E272)&lt;MAX($P$34*($B272+$I$38-1),IF(AND($L$37=0,$P$34=0),"",$L$37-1)),0,YEARFRAC(MAX($P$34*($B272+$I$38-1),IF(AND($L$37=0,$P$34=0),"",$L$37-1)),MIN(CK$38,$E272),$P$20))-SUM($BF272:CJ272))</f>
        <v>0</v>
      </c>
      <c r="CL272" s="446">
        <f>IF($E272=0,0,IF(MIN(CL$38,$E272)&lt;MAX($P$34*($B272+$I$38-1),IF(AND($L$37=0,$P$34=0),"",$L$37-1)),0,YEARFRAC(MAX($P$34*($B272+$I$38-1),IF(AND($L$37=0,$P$34=0),"",$L$37-1)),MIN(CL$38,$E272),$P$20))-SUM($BF272:CK272))</f>
        <v>0</v>
      </c>
      <c r="CM272" s="446">
        <f>IF($E272=0,0,IF(MIN(CM$38,$E272)&lt;MAX($P$34*($B272+$I$38-1),IF(AND($L$37=0,$P$34=0),"",$L$37-1)),0,YEARFRAC(MAX($P$34*($B272+$I$38-1),IF(AND($L$37=0,$P$34=0),"",$L$37-1)),MIN(CM$38,$E272),$P$20))-SUM($BF272:CL272))</f>
        <v>0</v>
      </c>
      <c r="CN272" s="446">
        <f>IF($E272=0,0,IF(MIN(CN$38,$E272)&lt;MAX($P$34*($B272+$I$38-1),IF(AND($L$37=0,$P$34=0),"",$L$37-1)),0,YEARFRAC(MAX($P$34*($B272+$I$38-1),IF(AND($L$37=0,$P$34=0),"",$L$37-1)),MIN(CN$38,$E272),$P$20))-SUM($BF272:CM272))</f>
        <v>0</v>
      </c>
      <c r="CO272" s="446">
        <f>IF($E272=0,0,IF(MIN(CO$38,$E272)&lt;MAX($P$34*($B272+$I$38-1),IF(AND($L$37=0,$P$34=0),"",$L$37-1)),0,YEARFRAC(MAX($P$34*($B272+$I$38-1),IF(AND($L$37=0,$P$34=0),"",$L$37-1)),MIN(CO$38,$E272),$P$20))-SUM($BF272:CN272))</f>
        <v>0</v>
      </c>
      <c r="CP272" s="446">
        <f>IF($E272=0,0,IF(MIN(CP$38,$E272)&lt;MAX($P$34*($B272+$I$38-1),IF(AND($L$37=0,$P$34=0),"",$L$37-1)),0,YEARFRAC(MAX($P$34*($B272+$I$38-1),IF(AND($L$37=0,$P$34=0),"",$L$37-1)),MIN(CP$38,$E272),$P$20))-SUM($BF272:CO272))</f>
        <v>0</v>
      </c>
      <c r="CQ272" s="446">
        <f>IF($E272=0,0,IF(MIN(CQ$38,$E272)&lt;MAX($P$34*($B272+$I$38-1),IF(AND($L$37=0,$P$34=0),"",$L$37-1)),0,YEARFRAC(MAX($P$34*($B272+$I$38-1),IF(AND($L$37=0,$P$34=0),"",$L$37-1)),MIN(CQ$38,$E272),$P$20))-SUM($BF272:CP272))</f>
        <v>0</v>
      </c>
    </row>
    <row r="273" spans="1:95" s="446" customFormat="1" ht="11.25" hidden="1" customHeight="1" x14ac:dyDescent="0.2">
      <c r="A273" s="152"/>
      <c r="B273" s="153" t="str">
        <f t="shared" si="48"/>
        <v/>
      </c>
      <c r="C273" s="29" t="str">
        <f>IF(B273="","",IF($L$35="SELIC - TRIBUTOS",VLOOKUP(DATE(YEAR($D$19),MONTH($D$19)-1,1),ÍNDICES!$A:$DE,HLOOKUP($BL$25,ÍNDICES!$B$3:$T$4,2)+11)-VLOOKUP(B273,ÍNDICES!$A:$DE,HLOOKUP($BL$25,ÍNDICES!$B$3:$T$4,2)+11)+1%,IF(C$38=$W$26,$J$35,IF(ISERROR(IF(B273&gt;$D$19,1,VLOOKUP(DATE(YEAR(B273),MONTH(B273)+IF($C$35=$S$23,1,0),1),ÍNDICES!$A:$DE,$Z$35+1))),"",IF(B273&gt;$D$19,1,VLOOKUP(DATE(YEAR(B273),MONTH(B273)+IF($C$35=$S$23,1,0),1),ÍNDICES!$A:$DE,$Z$35+1))))))</f>
        <v/>
      </c>
      <c r="D273" s="154" t="str">
        <f>IF(ISERROR(IF(OR($D$38=$Y$27,$B273=""),"",VLOOKUP(B273,ÍNDICES!A:DE,AF$35+1))),"",IF(OR($D$38=$Y$27,$B273=""),"",VLOOKUP(B273,ÍNDICES!A:DE,AF$35+1)))</f>
        <v/>
      </c>
      <c r="E273" s="153"/>
      <c r="F273" s="29" t="str">
        <f>IF(E273="","",IF($L$35="SELIC - TRIBUTOS",VLOOKUP(DATE(YEAR($D$19),MONTH($D$19)-1,1),ÍNDICES!$A:$DE,HLOOKUP($BL$25,ÍNDICES!$B$3:$T$4,2)+11)-VLOOKUP(E273,ÍNDICES!$A:$DE,HLOOKUP($BL$25,ÍNDICES!$B$3:$T$4,2)+11)+1%,IF(F$38=$W$26,$J$35,IF(ISERROR(IF(E273&gt;$D$19,1,VLOOKUP(DATE(YEAR(E273),MONTH(E273)+IF($C$35=$S$23,1,0),1),ÍNDICES!$A:$DE,$Z$35+1))),"",IF(E273&gt;$D$19,1,VLOOKUP(DATE(YEAR(E273),MONTH(E273)+IF($C$35=$S$23,1,0),1),ÍNDICES!$A:$DE,$Z$35+1))))))</f>
        <v/>
      </c>
      <c r="G273" s="155"/>
      <c r="H273" s="156" t="str">
        <f t="shared" si="44"/>
        <v/>
      </c>
      <c r="I273" s="29" t="str">
        <f t="shared" si="38"/>
        <v/>
      </c>
      <c r="J273" s="5">
        <f t="shared" si="39"/>
        <v>0</v>
      </c>
      <c r="K273" s="20">
        <f t="shared" ca="1" si="40"/>
        <v>0</v>
      </c>
      <c r="L273" s="5">
        <f t="shared" ca="1" si="41"/>
        <v>0</v>
      </c>
      <c r="M273" s="64">
        <f t="shared" si="45"/>
        <v>0</v>
      </c>
      <c r="N273" s="61">
        <f t="shared" ca="1" si="46"/>
        <v>0</v>
      </c>
      <c r="O273" s="5">
        <f t="shared" ca="1" si="47"/>
        <v>0</v>
      </c>
      <c r="P273" s="446" t="e">
        <f t="shared" si="42"/>
        <v>#VALUE!</v>
      </c>
      <c r="Q273" s="446" t="e">
        <f>IF(OR($B273="",MIN(Q$38,$D$19)&lt;MAX($P$34*($B273+IF($R$17="Distrato",$I$38-1,0)),IF(AND($L$37=0,$P$34=0),"",$L$37-1),IF($R$17="Distrato",$E273,0))),0,YEARFRAC(MAX($P$34*($B273+IF($R$17="Distrato",$I$38-1,0)),IF(AND($L$37=0,$P$34=0),"",$L$37-1),IF($R$17="Distrato",$E273,0)),MIN(Q$38,$D$19),$P$20))-SUM($P273:P273)</f>
        <v>#VALUE!</v>
      </c>
      <c r="R273" s="446" t="e">
        <f>IF(OR($B273="",MIN(R$38,$D$19)&lt;MAX($P$34*($B273+IF($R$17="Distrato",$I$38-1,0)),IF(AND($L$37=0,$P$34=0),"",$L$37-1),IF($R$17="Distrato",$E273,0))),0,YEARFRAC(MAX($P$34*($B273+IF($R$17="Distrato",$I$38-1,0)),IF(AND($L$37=0,$P$34=0),"",$L$37-1),IF($R$17="Distrato",$E273,0)),MIN(R$38,$D$19),$P$20))-SUM($P273:Q273)</f>
        <v>#VALUE!</v>
      </c>
      <c r="S273" s="446" t="e">
        <f>IF(OR($B273="",MIN(S$38,$D$19)&lt;MAX($P$34*($B273+IF($R$17="Distrato",$I$38-1,0)),IF(AND($L$37=0,$P$34=0),"",$L$37-1),IF($R$17="Distrato",$E273,0))),0,YEARFRAC(MAX($P$34*($B273+IF($R$17="Distrato",$I$38-1,0)),IF(AND($L$37=0,$P$34=0),"",$L$37-1),IF($R$17="Distrato",$E273,0)),MIN(S$38,$D$19),$P$20))-SUM($P273:R273)</f>
        <v>#VALUE!</v>
      </c>
      <c r="T273" s="446" t="e">
        <f>IF(OR($B273="",MIN(T$38,$D$19)&lt;MAX($P$34*($B273+IF($R$17="Distrato",$I$38-1,0)),IF(AND($L$37=0,$P$34=0),"",$L$37-1),IF($R$17="Distrato",$E273,0))),0,YEARFRAC(MAX($P$34*($B273+IF($R$17="Distrato",$I$38-1,0)),IF(AND($L$37=0,$P$34=0),"",$L$37-1),IF($R$17="Distrato",$E273,0)),MIN(T$38,$D$19),$P$20))-SUM($P273:S273)</f>
        <v>#VALUE!</v>
      </c>
      <c r="U273" s="446" t="e">
        <f>IF(OR($B273="",MIN(U$38,$D$19)&lt;MAX($P$34*($B273+IF($R$17="Distrato",$I$38-1,0)),IF(AND($L$37=0,$P$34=0),"",$L$37-1),IF($R$17="Distrato",$E273,0))),0,YEARFRAC(MAX($P$34*($B273+IF($R$17="Distrato",$I$38-1,0)),IF(AND($L$37=0,$P$34=0),"",$L$37-1),IF($R$17="Distrato",$E273,0)),MIN(U$38,$D$19),$P$20))-SUM($P273:T273)</f>
        <v>#VALUE!</v>
      </c>
      <c r="V273" s="446" t="e">
        <f>IF(OR($B273="",MIN(V$38,$D$19)&lt;MAX($P$34*($B273+IF($R$17="Distrato",$I$38-1,0)),IF(AND($L$37=0,$P$34=0),"",$L$37-1),IF($R$17="Distrato",$E273,0))),0,YEARFRAC(MAX($P$34*($B273+IF($R$17="Distrato",$I$38-1,0)),IF(AND($L$37=0,$P$34=0),"",$L$37-1),IF($R$17="Distrato",$E273,0)),MIN(V$38,$D$19),$P$20))-SUM($P273:U273)</f>
        <v>#VALUE!</v>
      </c>
      <c r="W273" s="446" t="e">
        <f>IF(OR($B273="",MIN(W$38,$D$19)&lt;MAX($P$34*($B273+IF($R$17="Distrato",$I$38-1,0)),IF(AND($L$37=0,$P$34=0),"",$L$37-1),IF($R$17="Distrato",$E273,0))),0,YEARFRAC(MAX($P$34*($B273+IF($R$17="Distrato",$I$38-1,0)),IF(AND($L$37=0,$P$34=0),"",$L$37-1),IF($R$17="Distrato",$E273,0)),MIN(W$38,$D$19),$P$20))-SUM($P273:V273)</f>
        <v>#VALUE!</v>
      </c>
      <c r="X273" s="446" t="e">
        <f>IF(OR($B273="",MIN(X$38,$D$19)&lt;MAX($P$34*($B273+IF($R$17="Distrato",$I$38-1,0)),IF(AND($L$37=0,$P$34=0),"",$L$37-1),IF($R$17="Distrato",$E273,0))),0,YEARFRAC(MAX($P$34*($B273+IF($R$17="Distrato",$I$38-1,0)),IF(AND($L$37=0,$P$34=0),"",$L$37-1),IF($R$17="Distrato",$E273,0)),MIN(X$38,$D$19),$P$20))-SUM($P273:W273)</f>
        <v>#VALUE!</v>
      </c>
      <c r="Y273" s="446" t="e">
        <f>IF(OR($B273="",MIN(Y$38,$D$19)&lt;MAX($P$34*($B273+IF($R$17="Distrato",$I$38-1,0)),IF(AND($L$37=0,$P$34=0),"",$L$37-1),IF($R$17="Distrato",$E273,0))),0,YEARFRAC(MAX($P$34*($B273+IF($R$17="Distrato",$I$38-1,0)),IF(AND($L$37=0,$P$34=0),"",$L$37-1),IF($R$17="Distrato",$E273,0)),MIN(Y$38,$D$19),$P$20))-SUM($P273:X273)</f>
        <v>#VALUE!</v>
      </c>
      <c r="Z273" s="446" t="e">
        <f>IF(OR($B273="",MIN(Z$38,$D$19)&lt;MAX($P$34*($B273+IF($R$17="Distrato",$I$38-1,0)),IF(AND($L$37=0,$P$34=0),"",$L$37-1),IF($R$17="Distrato",$E273,0))),0,YEARFRAC(MAX($P$34*($B273+IF($R$17="Distrato",$I$38-1,0)),IF(AND($L$37=0,$P$34=0),"",$L$37-1),IF($R$17="Distrato",$E273,0)),MIN(Z$38,$D$19),$P$20))-SUM($P273:Y273)</f>
        <v>#VALUE!</v>
      </c>
      <c r="AA273" s="446" t="e">
        <f>IF(OR($B273="",MIN(AA$38,$D$19)&lt;MAX($P$34*($B273+IF($R$17="Distrato",$I$38-1,0)),IF(AND($L$37=0,$P$34=0),"",$L$37-1),IF($R$17="Distrato",$E273,0))),0,YEARFRAC(MAX($P$34*($B273+IF($R$17="Distrato",$I$38-1,0)),IF(AND($L$37=0,$P$34=0),"",$L$37-1),IF($R$17="Distrato",$E273,0)),MIN(AA$38,$D$19),$P$20))-SUM($P273:Z273)</f>
        <v>#VALUE!</v>
      </c>
      <c r="AB273" s="446" t="e">
        <f>IF(OR($B273="",MIN(AB$38,$D$19)&lt;MAX($P$34*($B273+IF($R$17="Distrato",$I$38-1,0)),IF(AND($L$37=0,$P$34=0),"",$L$37-1),IF($R$17="Distrato",$E273,0))),0,YEARFRAC(MAX($P$34*($B273+IF($R$17="Distrato",$I$38-1,0)),IF(AND($L$37=0,$P$34=0),"",$L$37-1),IF($R$17="Distrato",$E273,0)),MIN(AB$38,$D$19),$P$20))-SUM($P273:AA273)</f>
        <v>#VALUE!</v>
      </c>
      <c r="AC273" s="446" t="e">
        <f>IF(OR($B273="",MIN(AC$38,$D$19)&lt;MAX($P$34*($B273+IF($R$17="Distrato",$I$38-1,0)),IF(AND($L$37=0,$P$34=0),"",$L$37-1),IF($R$17="Distrato",$E273,0))),0,YEARFRAC(MAX($P$34*($B273+IF($R$17="Distrato",$I$38-1,0)),IF(AND($L$37=0,$P$34=0),"",$L$37-1),IF($R$17="Distrato",$E273,0)),MIN(AC$38,$D$19),$P$20))-SUM($P273:AB273)</f>
        <v>#VALUE!</v>
      </c>
      <c r="AD273" s="446" t="e">
        <f>IF(OR($B273="",MIN(AD$38,$D$19)&lt;MAX($P$34*($B273+IF($R$17="Distrato",$I$38-1,0)),IF(AND($L$37=0,$P$34=0),"",$L$37-1),IF($R$17="Distrato",$E273,0))),0,YEARFRAC(MAX($P$34*($B273+IF($R$17="Distrato",$I$38-1,0)),IF(AND($L$37=0,$P$34=0),"",$L$37-1),IF($R$17="Distrato",$E273,0)),MIN(AD$38,$D$19),$P$20))-SUM($P273:AC273)</f>
        <v>#VALUE!</v>
      </c>
      <c r="AE273" s="446" t="e">
        <f>IF(OR($B273="",MIN(AE$38,$D$19)&lt;MAX($P$34*($B273+IF($R$17="Distrato",$I$38-1,0)),IF(AND($L$37=0,$P$34=0),"",$L$37-1),IF($R$17="Distrato",$E273,0))),0,YEARFRAC(MAX($P$34*($B273+IF($R$17="Distrato",$I$38-1,0)),IF(AND($L$37=0,$P$34=0),"",$L$37-1),IF($R$17="Distrato",$E273,0)),MIN(AE$38,$D$19),$P$20))-SUM($P273:AD273)</f>
        <v>#VALUE!</v>
      </c>
      <c r="AF273" s="446" t="e">
        <f>IF(OR($B273="",MIN(AF$38,$D$19)&lt;MAX($P$34*($B273+IF($R$17="Distrato",$I$38-1,0)),IF(AND($L$37=0,$P$34=0),"",$L$37-1),IF($R$17="Distrato",$E273,0))),0,YEARFRAC(MAX($P$34*($B273+IF($R$17="Distrato",$I$38-1,0)),IF(AND($L$37=0,$P$34=0),"",$L$37-1),IF($R$17="Distrato",$E273,0)),MIN(AF$38,$D$19),$P$20))-SUM($P273:AE273)</f>
        <v>#VALUE!</v>
      </c>
      <c r="AG273" s="446" t="e">
        <f>IF(OR($B273="",MIN(AG$38,$D$19)&lt;MAX($P$34*($B273+IF($R$17="Distrato",$I$38-1,0)),IF(AND($L$37=0,$P$34=0),"",$L$37-1),IF($R$17="Distrato",$E273,0))),0,YEARFRAC(MAX($P$34*($B273+IF($R$17="Distrato",$I$38-1,0)),IF(AND($L$37=0,$P$34=0),"",$L$37-1),IF($R$17="Distrato",$E273,0)),MIN(AG$38,$D$19),$P$20))-SUM($P273:AF273)</f>
        <v>#VALUE!</v>
      </c>
      <c r="AH273" s="446" t="e">
        <f>IF(OR($B273="",MIN(AH$38,$D$19)&lt;MAX($P$34*($B273+IF($R$17="Distrato",$I$38-1,0)),IF(AND($L$37=0,$P$34=0),"",$L$37-1),IF($R$17="Distrato",$E273,0))),0,YEARFRAC(MAX($P$34*($B273+IF($R$17="Distrato",$I$38-1,0)),IF(AND($L$37=0,$P$34=0),"",$L$37-1),IF($R$17="Distrato",$E273,0)),MIN(AH$38,$D$19),$P$20))-SUM($P273:AG273)</f>
        <v>#VALUE!</v>
      </c>
      <c r="AI273" s="446" t="e">
        <f>IF(OR($B273="",MIN(AI$38,$D$19)&lt;MAX($P$34*($B273+IF($R$17="Distrato",$I$38-1,0)),IF(AND($L$37=0,$P$34=0),"",$L$37-1),IF($R$17="Distrato",$E273,0))),0,YEARFRAC(MAX($P$34*($B273+IF($R$17="Distrato",$I$38-1,0)),IF(AND($L$37=0,$P$34=0),"",$L$37-1),IF($R$17="Distrato",$E273,0)),MIN(AI$38,$D$19),$P$20))-SUM($P273:AH273)</f>
        <v>#VALUE!</v>
      </c>
      <c r="AJ273" s="446" t="e">
        <f>IF(OR($B273="",MIN(AJ$38,$D$19)&lt;MAX($P$34*($B273+IF($R$17="Distrato",$I$38-1,0)),IF(AND($L$37=0,$P$34=0),"",$L$37-1),IF($R$17="Distrato",$E273,0))),0,YEARFRAC(MAX($P$34*($B273+IF($R$17="Distrato",$I$38-1,0)),IF(AND($L$37=0,$P$34=0),"",$L$37-1),IF($R$17="Distrato",$E273,0)),MIN(AJ$38,$D$19),$P$20))-SUM($P273:AI273)</f>
        <v>#VALUE!</v>
      </c>
      <c r="AK273" s="446" t="e">
        <f>IF(OR($B273="",MIN(AK$38,$D$19)&lt;MAX($P$34*($B273+IF($R$17="Distrato",$I$38-1,0)),IF(AND($L$37=0,$P$34=0),"",$L$37-1),IF($R$17="Distrato",$E273,0))),0,YEARFRAC(MAX($P$34*($B273+IF($R$17="Distrato",$I$38-1,0)),IF(AND($L$37=0,$P$34=0),"",$L$37-1),IF($R$17="Distrato",$E273,0)),MIN(AK$38,$D$19),$P$20))-SUM($P273:AJ273)</f>
        <v>#VALUE!</v>
      </c>
      <c r="AL273" s="446" t="e">
        <f>IF(OR($B273="",MIN(AL$38,$D$19)&lt;MAX($P$34*($B273+IF($R$17="Distrato",$I$38-1,0)),IF(AND($L$37=0,$P$34=0),"",$L$37-1),IF($R$17="Distrato",$E273,0))),0,YEARFRAC(MAX($P$34*($B273+IF($R$17="Distrato",$I$38-1,0)),IF(AND($L$37=0,$P$34=0),"",$L$37-1),IF($R$17="Distrato",$E273,0)),MIN(AL$38,$D$19),$P$20))-SUM($P273:AK273)</f>
        <v>#VALUE!</v>
      </c>
      <c r="AM273" s="446" t="e">
        <f>IF(OR($B273="",MIN(AM$38,$D$19)&lt;MAX($P$34*($B273+IF($R$17="Distrato",$I$38-1,0)),IF(AND($L$37=0,$P$34=0),"",$L$37-1),IF($R$17="Distrato",$E273,0))),0,YEARFRAC(MAX($P$34*($B273+IF($R$17="Distrato",$I$38-1,0)),IF(AND($L$37=0,$P$34=0),"",$L$37-1),IF($R$17="Distrato",$E273,0)),MIN(AM$38,$D$19),$P$20))-SUM($P273:AL273)</f>
        <v>#VALUE!</v>
      </c>
      <c r="AN273" s="446" t="e">
        <f>IF(OR($B273="",MIN(AN$38,$D$19)&lt;MAX($P$34*($B273+IF($R$17="Distrato",$I$38-1,0)),IF(AND($L$37=0,$P$34=0),"",$L$37-1),IF($R$17="Distrato",$E273,0))),0,YEARFRAC(MAX($P$34*($B273+IF($R$17="Distrato",$I$38-1,0)),IF(AND($L$37=0,$P$34=0),"",$L$37-1),IF($R$17="Distrato",$E273,0)),MIN(AN$38,$D$19),$P$20))-SUM($P273:AM273)</f>
        <v>#VALUE!</v>
      </c>
      <c r="AO273" s="446" t="e">
        <f>IF(OR($B273="",MIN(AO$38,$D$19)&lt;MAX($P$34*($B273+IF($R$17="Distrato",$I$38-1,0)),IF(AND($L$37=0,$P$34=0),"",$L$37-1),IF($R$17="Distrato",$E273,0))),0,YEARFRAC(MAX($P$34*($B273+IF($R$17="Distrato",$I$38-1,0)),IF(AND($L$37=0,$P$34=0),"",$L$37-1),IF($R$17="Distrato",$E273,0)),MIN(AO$38,$D$19),$P$20))-SUM($P273:AN273)</f>
        <v>#VALUE!</v>
      </c>
      <c r="AP273" s="446" t="e">
        <f>IF(OR($B273="",MIN(AP$38,$D$19)&lt;MAX($P$34*($B273+IF($R$17="Distrato",$I$38-1,0)),IF(AND($L$37=0,$P$34=0),"",$L$37-1),IF($R$17="Distrato",$E273,0))),0,YEARFRAC(MAX($P$34*($B273+IF($R$17="Distrato",$I$38-1,0)),IF(AND($L$37=0,$P$34=0),"",$L$37-1),IF($R$17="Distrato",$E273,0)),MIN(AP$38,$D$19),$P$20))-SUM($P273:AO273)</f>
        <v>#VALUE!</v>
      </c>
      <c r="AQ273" s="446" t="e">
        <f>IF(OR($B273="",MIN(AQ$38,$D$19)&lt;MAX($P$34*($B273+IF($R$17="Distrato",$I$38-1,0)),IF(AND($L$37=0,$P$34=0),"",$L$37-1),IF($R$17="Distrato",$E273,0))),0,YEARFRAC(MAX($P$34*($B273+IF($R$17="Distrato",$I$38-1,0)),IF(AND($L$37=0,$P$34=0),"",$L$37-1),IF($R$17="Distrato",$E273,0)),MIN(AQ$38,$D$19),$P$20))-SUM($P273:AP273)</f>
        <v>#VALUE!</v>
      </c>
      <c r="AR273" s="446" t="e">
        <f>IF(OR($B273="",MIN(AR$38,$D$19)&lt;MAX($P$34*($B273+IF($R$17="Distrato",$I$38-1,0)),IF(AND($L$37=0,$P$34=0),"",$L$37-1),IF($R$17="Distrato",$E273,0))),0,YEARFRAC(MAX($P$34*($B273+IF($R$17="Distrato",$I$38-1,0)),IF(AND($L$37=0,$P$34=0),"",$L$37-1),IF($R$17="Distrato",$E273,0)),MIN(AR$38,$D$19),$P$20))-SUM($P273:AQ273)</f>
        <v>#VALUE!</v>
      </c>
      <c r="AS273" s="446" t="e">
        <f>IF(OR($B273="",MIN(AS$38,$D$19)&lt;MAX($P$34*($B273+IF($R$17="Distrato",$I$38-1,0)),IF(AND($L$37=0,$P$34=0),"",$L$37-1),IF($R$17="Distrato",$E273,0))),0,YEARFRAC(MAX($P$34*($B273+IF($R$17="Distrato",$I$38-1,0)),IF(AND($L$37=0,$P$34=0),"",$L$37-1),IF($R$17="Distrato",$E273,0)),MIN(AS$38,$D$19),$P$20))-SUM($P273:AR273)</f>
        <v>#VALUE!</v>
      </c>
      <c r="AT273" s="446" t="e">
        <f>IF(OR($B273="",MIN(AT$38,$D$19)&lt;MAX($P$34*($B273+IF($R$17="Distrato",$I$38-1,0)),IF(AND($L$37=0,$P$34=0),"",$L$37-1),IF($R$17="Distrato",$E273,0))),0,YEARFRAC(MAX($P$34*($B273+IF($R$17="Distrato",$I$38-1,0)),IF(AND($L$37=0,$P$34=0),"",$L$37-1),IF($R$17="Distrato",$E273,0)),MIN(AT$38,$D$19),$P$20))-SUM($P273:AS273)</f>
        <v>#VALUE!</v>
      </c>
      <c r="AU273" s="446" t="e">
        <f>IF(OR($B273="",MIN(AU$38,$D$19)&lt;MAX($P$34*($B273+IF($R$17="Distrato",$I$38-1,0)),IF(AND($L$37=0,$P$34=0),"",$L$37-1),IF($R$17="Distrato",$E273,0))),0,YEARFRAC(MAX($P$34*($B273+IF($R$17="Distrato",$I$38-1,0)),IF(AND($L$37=0,$P$34=0),"",$L$37-1),IF($R$17="Distrato",$E273,0)),MIN(AU$38,$D$19),$P$20))-SUM($P273:AT273)</f>
        <v>#VALUE!</v>
      </c>
      <c r="AV273" s="446" t="e">
        <f>IF(OR($B273="",MIN(AV$38,$D$19)&lt;MAX($P$34*($B273+IF($R$17="Distrato",$I$38-1,0)),IF(AND($L$37=0,$P$34=0),"",$L$37-1),IF($R$17="Distrato",$E273,0))),0,YEARFRAC(MAX($P$34*($B273+IF($R$17="Distrato",$I$38-1,0)),IF(AND($L$37=0,$P$34=0),"",$L$37-1),IF($R$17="Distrato",$E273,0)),MIN(AV$38,$D$19),$P$20))-SUM($P273:AU273)</f>
        <v>#VALUE!</v>
      </c>
      <c r="AW273" s="446" t="e">
        <f>IF(OR($B273="",MIN(AW$38,$D$19)&lt;MAX($P$34*($B273+IF($R$17="Distrato",$I$38-1,0)),IF(AND($L$37=0,$P$34=0),"",$L$37-1),IF($R$17="Distrato",$E273,0))),0,YEARFRAC(MAX($P$34*($B273+IF($R$17="Distrato",$I$38-1,0)),IF(AND($L$37=0,$P$34=0),"",$L$37-1),IF($R$17="Distrato",$E273,0)),MIN(AW$38,$D$19),$P$20))-SUM($P273:AV273)</f>
        <v>#VALUE!</v>
      </c>
      <c r="AX273" s="446" t="e">
        <f>IF(OR($B273="",MIN(AX$38,$D$19)&lt;MAX($P$34*($B273+IF($R$17="Distrato",$I$38-1,0)),IF(AND($L$37=0,$P$34=0),"",$L$37-1),IF($R$17="Distrato",$E273,0))),0,YEARFRAC(MAX($P$34*($B273+IF($R$17="Distrato",$I$38-1,0)),IF(AND($L$37=0,$P$34=0),"",$L$37-1),IF($R$17="Distrato",$E273,0)),MIN(AX$38,$D$19),$P$20))-SUM($P273:AW273)</f>
        <v>#VALUE!</v>
      </c>
      <c r="AY273" s="446" t="e">
        <f>IF(OR($B273="",MIN(AY$38,$D$19)&lt;MAX($P$34*($B273+IF($R$17="Distrato",$I$38-1,0)),IF(AND($L$37=0,$P$34=0),"",$L$37-1),IF($R$17="Distrato",$E273,0))),0,YEARFRAC(MAX($P$34*($B273+IF($R$17="Distrato",$I$38-1,0)),IF(AND($L$37=0,$P$34=0),"",$L$37-1),IF($R$17="Distrato",$E273,0)),MIN(AY$38,$D$19),$P$20))-SUM($P273:AX273)</f>
        <v>#VALUE!</v>
      </c>
      <c r="AZ273" s="446" t="e">
        <f>IF(OR($B273="",MIN(AZ$38,$D$19)&lt;MAX($P$34*($B273+IF($R$17="Distrato",$I$38-1,0)),IF(AND($L$37=0,$P$34=0),"",$L$37-1),IF($R$17="Distrato",$E273,0))),0,YEARFRAC(MAX($P$34*($B273+IF($R$17="Distrato",$I$38-1,0)),IF(AND($L$37=0,$P$34=0),"",$L$37-1),IF($R$17="Distrato",$E273,0)),MIN(AZ$38,$D$19),$P$20))-SUM($P273:AY273)</f>
        <v>#VALUE!</v>
      </c>
      <c r="BA273" s="446" t="e">
        <f>IF(OR($B273="",MIN(BA$38,$D$19)&lt;MAX($P$34*($B273+IF($R$17="Distrato",$I$38-1,0)),IF(AND($L$37=0,$P$34=0),"",$L$37-1),IF($R$17="Distrato",$E273,0))),0,YEARFRAC(MAX($P$34*($B273+IF($R$17="Distrato",$I$38-1,0)),IF(AND($L$37=0,$P$34=0),"",$L$37-1),IF($R$17="Distrato",$E273,0)),MIN(BA$38,$D$19),$P$20))-SUM($P273:AZ273)</f>
        <v>#VALUE!</v>
      </c>
      <c r="BB273" s="447"/>
      <c r="BF273" s="446">
        <f t="shared" si="43"/>
        <v>0</v>
      </c>
      <c r="BG273" s="446">
        <f>IF($E273=0,0,IF(MIN(BG$38,$E273)&lt;MAX($P$34*($B273+$I$38-1),IF(AND($L$37=0,$P$34=0),"",$L$37-1)),0,YEARFRAC(MAX($P$34*($B273+$I$38-1),IF(AND($L$37=0,$P$34=0),"",$L$37-1)),MIN(BG$38,$E273),$P$20))-SUM($BF273:BF273))</f>
        <v>0</v>
      </c>
      <c r="BH273" s="446">
        <f>IF($E273=0,0,IF(MIN(BH$38,$E273)&lt;MAX($P$34*($B273+$I$38-1),IF(AND($L$37=0,$P$34=0),"",$L$37-1)),0,YEARFRAC(MAX($P$34*($B273+$I$38-1),IF(AND($L$37=0,$P$34=0),"",$L$37-1)),MIN(BH$38,$E273),$P$20))-SUM($BF273:BG273))</f>
        <v>0</v>
      </c>
      <c r="BI273" s="446">
        <f>IF($E273=0,0,IF(MIN(BI$38,$E273)&lt;MAX($P$34*($B273+$I$38-1),IF(AND($L$37=0,$P$34=0),"",$L$37-1)),0,YEARFRAC(MAX($P$34*($B273+$I$38-1),IF(AND($L$37=0,$P$34=0),"",$L$37-1)),MIN(BI$38,$E273),$P$20))-SUM($BF273:BH273))</f>
        <v>0</v>
      </c>
      <c r="BJ273" s="446">
        <f>IF($E273=0,0,IF(MIN(BJ$38,$E273)&lt;MAX($P$34*($B273+$I$38-1),IF(AND($L$37=0,$P$34=0),"",$L$37-1)),0,YEARFRAC(MAX($P$34*($B273+$I$38-1),IF(AND($L$37=0,$P$34=0),"",$L$37-1)),MIN(BJ$38,$E273),$P$20))-SUM($BF273:BI273))</f>
        <v>0</v>
      </c>
      <c r="BK273" s="446">
        <f>IF($E273=0,0,IF(MIN(BK$38,$E273)&lt;MAX($P$34*($B273+$I$38-1),IF(AND($L$37=0,$P$34=0),"",$L$37-1)),0,YEARFRAC(MAX($P$34*($B273+$I$38-1),IF(AND($L$37=0,$P$34=0),"",$L$37-1)),MIN(BK$38,$E273),$P$20))-SUM($BF273:BJ273))</f>
        <v>0</v>
      </c>
      <c r="BL273" s="446">
        <f>IF($E273=0,0,IF(MIN(BL$38,$E273)&lt;MAX($P$34*($B273+$I$38-1),IF(AND($L$37=0,$P$34=0),"",$L$37-1)),0,YEARFRAC(MAX($P$34*($B273+$I$38-1),IF(AND($L$37=0,$P$34=0),"",$L$37-1)),MIN(BL$38,$E273),$P$20))-SUM($BF273:BK273))</f>
        <v>0</v>
      </c>
      <c r="BM273" s="446">
        <f>IF($E273=0,0,IF(MIN(BM$38,$E273)&lt;MAX($P$34*($B273+$I$38-1),IF(AND($L$37=0,$P$34=0),"",$L$37-1)),0,YEARFRAC(MAX($P$34*($B273+$I$38-1),IF(AND($L$37=0,$P$34=0),"",$L$37-1)),MIN(BM$38,$E273),$P$20))-SUM($BF273:BL273))</f>
        <v>0</v>
      </c>
      <c r="BN273" s="446">
        <f>IF($E273=0,0,IF(MIN(BN$38,$E273)&lt;MAX($P$34*($B273+$I$38-1),IF(AND($L$37=0,$P$34=0),"",$L$37-1)),0,YEARFRAC(MAX($P$34*($B273+$I$38-1),IF(AND($L$37=0,$P$34=0),"",$L$37-1)),MIN(BN$38,$E273),$P$20))-SUM($BF273:BM273))</f>
        <v>0</v>
      </c>
      <c r="BO273" s="446">
        <f>IF($E273=0,0,IF(MIN(BO$38,$E273)&lt;MAX($P$34*($B273+$I$38-1),IF(AND($L$37=0,$P$34=0),"",$L$37-1)),0,YEARFRAC(MAX($P$34*($B273+$I$38-1),IF(AND($L$37=0,$P$34=0),"",$L$37-1)),MIN(BO$38,$E273),$P$20))-SUM($BF273:BN273))</f>
        <v>0</v>
      </c>
      <c r="BP273" s="446">
        <f>IF($E273=0,0,IF(MIN(BP$38,$E273)&lt;MAX($P$34*($B273+$I$38-1),IF(AND($L$37=0,$P$34=0),"",$L$37-1)),0,YEARFRAC(MAX($P$34*($B273+$I$38-1),IF(AND($L$37=0,$P$34=0),"",$L$37-1)),MIN(BP$38,$E273),$P$20))-SUM($BF273:BO273))</f>
        <v>0</v>
      </c>
      <c r="BQ273" s="446">
        <f>IF($E273=0,0,IF(MIN(BQ$38,$E273)&lt;MAX($P$34*($B273+$I$38-1),IF(AND($L$37=0,$P$34=0),"",$L$37-1)),0,YEARFRAC(MAX($P$34*($B273+$I$38-1),IF(AND($L$37=0,$P$34=0),"",$L$37-1)),MIN(BQ$38,$E273),$P$20))-SUM($BF273:BP273))</f>
        <v>0</v>
      </c>
      <c r="BR273" s="446">
        <f>IF($E273=0,0,IF(MIN(BR$38,$E273)&lt;MAX($P$34*($B273+$I$38-1),IF(AND($L$37=0,$P$34=0),"",$L$37-1)),0,YEARFRAC(MAX($P$34*($B273+$I$38-1),IF(AND($L$37=0,$P$34=0),"",$L$37-1)),MIN(BR$38,$E273),$P$20))-SUM($BF273:BQ273))</f>
        <v>0</v>
      </c>
      <c r="BS273" s="446">
        <f>IF($E273=0,0,IF(MIN(BS$38,$E273)&lt;MAX($P$34*($B273+$I$38-1),IF(AND($L$37=0,$P$34=0),"",$L$37-1)),0,YEARFRAC(MAX($P$34*($B273+$I$38-1),IF(AND($L$37=0,$P$34=0),"",$L$37-1)),MIN(BS$38,$E273),$P$20))-SUM($BF273:BR273))</f>
        <v>0</v>
      </c>
      <c r="BT273" s="446">
        <f>IF($E273=0,0,IF(MIN(BT$38,$E273)&lt;MAX($P$34*($B273+$I$38-1),IF(AND($L$37=0,$P$34=0),"",$L$37-1)),0,YEARFRAC(MAX($P$34*($B273+$I$38-1),IF(AND($L$37=0,$P$34=0),"",$L$37-1)),MIN(BT$38,$E273),$P$20))-SUM($BF273:BS273))</f>
        <v>0</v>
      </c>
      <c r="BU273" s="446">
        <f>IF($E273=0,0,IF(MIN(BU$38,$E273)&lt;MAX($P$34*($B273+$I$38-1),IF(AND($L$37=0,$P$34=0),"",$L$37-1)),0,YEARFRAC(MAX($P$34*($B273+$I$38-1),IF(AND($L$37=0,$P$34=0),"",$L$37-1)),MIN(BU$38,$E273),$P$20))-SUM($BF273:BT273))</f>
        <v>0</v>
      </c>
      <c r="BV273" s="446">
        <f>IF($E273=0,0,IF(MIN(BV$38,$E273)&lt;MAX($P$34*($B273+$I$38-1),IF(AND($L$37=0,$P$34=0),"",$L$37-1)),0,YEARFRAC(MAX($P$34*($B273+$I$38-1),IF(AND($L$37=0,$P$34=0),"",$L$37-1)),MIN(BV$38,$E273),$P$20))-SUM($BF273:BU273))</f>
        <v>0</v>
      </c>
      <c r="BW273" s="446">
        <f>IF($E273=0,0,IF(MIN(BW$38,$E273)&lt;MAX($P$34*($B273+$I$38-1),IF(AND($L$37=0,$P$34=0),"",$L$37-1)),0,YEARFRAC(MAX($P$34*($B273+$I$38-1),IF(AND($L$37=0,$P$34=0),"",$L$37-1)),MIN(BW$38,$E273),$P$20))-SUM($BF273:BV273))</f>
        <v>0</v>
      </c>
      <c r="BX273" s="446">
        <f>IF($E273=0,0,IF(MIN(BX$38,$E273)&lt;MAX($P$34*($B273+$I$38-1),IF(AND($L$37=0,$P$34=0),"",$L$37-1)),0,YEARFRAC(MAX($P$34*($B273+$I$38-1),IF(AND($L$37=0,$P$34=0),"",$L$37-1)),MIN(BX$38,$E273),$P$20))-SUM($BF273:BW273))</f>
        <v>0</v>
      </c>
      <c r="BY273" s="446">
        <f>IF($E273=0,0,IF(MIN(BY$38,$E273)&lt;MAX($P$34*($B273+$I$38-1),IF(AND($L$37=0,$P$34=0),"",$L$37-1)),0,YEARFRAC(MAX($P$34*($B273+$I$38-1),IF(AND($L$37=0,$P$34=0),"",$L$37-1)),MIN(BY$38,$E273),$P$20))-SUM($BF273:BX273))</f>
        <v>0</v>
      </c>
      <c r="BZ273" s="446">
        <f>IF($E273=0,0,IF(MIN(BZ$38,$E273)&lt;MAX($P$34*($B273+$I$38-1),IF(AND($L$37=0,$P$34=0),"",$L$37-1)),0,YEARFRAC(MAX($P$34*($B273+$I$38-1),IF(AND($L$37=0,$P$34=0),"",$L$37-1)),MIN(BZ$38,$E273),$P$20))-SUM($BF273:BY273))</f>
        <v>0</v>
      </c>
      <c r="CA273" s="446">
        <f>IF($E273=0,0,IF(MIN(CA$38,$E273)&lt;MAX($P$34*($B273+$I$38-1),IF(AND($L$37=0,$P$34=0),"",$L$37-1)),0,YEARFRAC(MAX($P$34*($B273+$I$38-1),IF(AND($L$37=0,$P$34=0),"",$L$37-1)),MIN(CA$38,$E273),$P$20))-SUM($BF273:BZ273))</f>
        <v>0</v>
      </c>
      <c r="CB273" s="446">
        <f>IF($E273=0,0,IF(MIN(CB$38,$E273)&lt;MAX($P$34*($B273+$I$38-1),IF(AND($L$37=0,$P$34=0),"",$L$37-1)),0,YEARFRAC(MAX($P$34*($B273+$I$38-1),IF(AND($L$37=0,$P$34=0),"",$L$37-1)),MIN(CB$38,$E273),$P$20))-SUM($BF273:CA273))</f>
        <v>0</v>
      </c>
      <c r="CC273" s="446">
        <f>IF($E273=0,0,IF(MIN(CC$38,$E273)&lt;MAX($P$34*($B273+$I$38-1),IF(AND($L$37=0,$P$34=0),"",$L$37-1)),0,YEARFRAC(MAX($P$34*($B273+$I$38-1),IF(AND($L$37=0,$P$34=0),"",$L$37-1)),MIN(CC$38,$E273),$P$20))-SUM($BF273:CB273))</f>
        <v>0</v>
      </c>
      <c r="CD273" s="446">
        <f>IF($E273=0,0,IF(MIN(CD$38,$E273)&lt;MAX($P$34*($B273+$I$38-1),IF(AND($L$37=0,$P$34=0),"",$L$37-1)),0,YEARFRAC(MAX($P$34*($B273+$I$38-1),IF(AND($L$37=0,$P$34=0),"",$L$37-1)),MIN(CD$38,$E273),$P$20))-SUM($BF273:CC273))</f>
        <v>0</v>
      </c>
      <c r="CE273" s="446">
        <f>IF($E273=0,0,IF(MIN(CE$38,$E273)&lt;MAX($P$34*($B273+$I$38-1),IF(AND($L$37=0,$P$34=0),"",$L$37-1)),0,YEARFRAC(MAX($P$34*($B273+$I$38-1),IF(AND($L$37=0,$P$34=0),"",$L$37-1)),MIN(CE$38,$E273),$P$20))-SUM($BF273:CD273))</f>
        <v>0</v>
      </c>
      <c r="CF273" s="446">
        <f>IF($E273=0,0,IF(MIN(CF$38,$E273)&lt;MAX($P$34*($B273+$I$38-1),IF(AND($L$37=0,$P$34=0),"",$L$37-1)),0,YEARFRAC(MAX($P$34*($B273+$I$38-1),IF(AND($L$37=0,$P$34=0),"",$L$37-1)),MIN(CF$38,$E273),$P$20))-SUM($BF273:CE273))</f>
        <v>0</v>
      </c>
      <c r="CG273" s="446">
        <f>IF($E273=0,0,IF(MIN(CG$38,$E273)&lt;MAX($P$34*($B273+$I$38-1),IF(AND($L$37=0,$P$34=0),"",$L$37-1)),0,YEARFRAC(MAX($P$34*($B273+$I$38-1),IF(AND($L$37=0,$P$34=0),"",$L$37-1)),MIN(CG$38,$E273),$P$20))-SUM($BF273:CF273))</f>
        <v>0</v>
      </c>
      <c r="CH273" s="446">
        <f>IF($E273=0,0,IF(MIN(CH$38,$E273)&lt;MAX($P$34*($B273+$I$38-1),IF(AND($L$37=0,$P$34=0),"",$L$37-1)),0,YEARFRAC(MAX($P$34*($B273+$I$38-1),IF(AND($L$37=0,$P$34=0),"",$L$37-1)),MIN(CH$38,$E273),$P$20))-SUM($BF273:CG273))</f>
        <v>0</v>
      </c>
      <c r="CI273" s="446">
        <f>IF($E273=0,0,IF(MIN(CI$38,$E273)&lt;MAX($P$34*($B273+$I$38-1),IF(AND($L$37=0,$P$34=0),"",$L$37-1)),0,YEARFRAC(MAX($P$34*($B273+$I$38-1),IF(AND($L$37=0,$P$34=0),"",$L$37-1)),MIN(CI$38,$E273),$P$20))-SUM($BF273:CH273))</f>
        <v>0</v>
      </c>
      <c r="CJ273" s="446">
        <f>IF($E273=0,0,IF(MIN(CJ$38,$E273)&lt;MAX($P$34*($B273+$I$38-1),IF(AND($L$37=0,$P$34=0),"",$L$37-1)),0,YEARFRAC(MAX($P$34*($B273+$I$38-1),IF(AND($L$37=0,$P$34=0),"",$L$37-1)),MIN(CJ$38,$E273),$P$20))-SUM($BF273:CI273))</f>
        <v>0</v>
      </c>
      <c r="CK273" s="446">
        <f>IF($E273=0,0,IF(MIN(CK$38,$E273)&lt;MAX($P$34*($B273+$I$38-1),IF(AND($L$37=0,$P$34=0),"",$L$37-1)),0,YEARFRAC(MAX($P$34*($B273+$I$38-1),IF(AND($L$37=0,$P$34=0),"",$L$37-1)),MIN(CK$38,$E273),$P$20))-SUM($BF273:CJ273))</f>
        <v>0</v>
      </c>
      <c r="CL273" s="446">
        <f>IF($E273=0,0,IF(MIN(CL$38,$E273)&lt;MAX($P$34*($B273+$I$38-1),IF(AND($L$37=0,$P$34=0),"",$L$37-1)),0,YEARFRAC(MAX($P$34*($B273+$I$38-1),IF(AND($L$37=0,$P$34=0),"",$L$37-1)),MIN(CL$38,$E273),$P$20))-SUM($BF273:CK273))</f>
        <v>0</v>
      </c>
      <c r="CM273" s="446">
        <f>IF($E273=0,0,IF(MIN(CM$38,$E273)&lt;MAX($P$34*($B273+$I$38-1),IF(AND($L$37=0,$P$34=0),"",$L$37-1)),0,YEARFRAC(MAX($P$34*($B273+$I$38-1),IF(AND($L$37=0,$P$34=0),"",$L$37-1)),MIN(CM$38,$E273),$P$20))-SUM($BF273:CL273))</f>
        <v>0</v>
      </c>
      <c r="CN273" s="446">
        <f>IF($E273=0,0,IF(MIN(CN$38,$E273)&lt;MAX($P$34*($B273+$I$38-1),IF(AND($L$37=0,$P$34=0),"",$L$37-1)),0,YEARFRAC(MAX($P$34*($B273+$I$38-1),IF(AND($L$37=0,$P$34=0),"",$L$37-1)),MIN(CN$38,$E273),$P$20))-SUM($BF273:CM273))</f>
        <v>0</v>
      </c>
      <c r="CO273" s="446">
        <f>IF($E273=0,0,IF(MIN(CO$38,$E273)&lt;MAX($P$34*($B273+$I$38-1),IF(AND($L$37=0,$P$34=0),"",$L$37-1)),0,YEARFRAC(MAX($P$34*($B273+$I$38-1),IF(AND($L$37=0,$P$34=0),"",$L$37-1)),MIN(CO$38,$E273),$P$20))-SUM($BF273:CN273))</f>
        <v>0</v>
      </c>
      <c r="CP273" s="446">
        <f>IF($E273=0,0,IF(MIN(CP$38,$E273)&lt;MAX($P$34*($B273+$I$38-1),IF(AND($L$37=0,$P$34=0),"",$L$37-1)),0,YEARFRAC(MAX($P$34*($B273+$I$38-1),IF(AND($L$37=0,$P$34=0),"",$L$37-1)),MIN(CP$38,$E273),$P$20))-SUM($BF273:CO273))</f>
        <v>0</v>
      </c>
      <c r="CQ273" s="446">
        <f>IF($E273=0,0,IF(MIN(CQ$38,$E273)&lt;MAX($P$34*($B273+$I$38-1),IF(AND($L$37=0,$P$34=0),"",$L$37-1)),0,YEARFRAC(MAX($P$34*($B273+$I$38-1),IF(AND($L$37=0,$P$34=0),"",$L$37-1)),MIN(CQ$38,$E273),$P$20))-SUM($BF273:CP273))</f>
        <v>0</v>
      </c>
    </row>
    <row r="274" spans="1:95" s="446" customFormat="1" ht="11.25" hidden="1" customHeight="1" x14ac:dyDescent="0.2">
      <c r="A274" s="152"/>
      <c r="B274" s="153" t="str">
        <f t="shared" si="48"/>
        <v/>
      </c>
      <c r="C274" s="29" t="str">
        <f>IF(B274="","",IF($L$35="SELIC - TRIBUTOS",VLOOKUP(DATE(YEAR($D$19),MONTH($D$19)-1,1),ÍNDICES!$A:$DE,HLOOKUP($BL$25,ÍNDICES!$B$3:$T$4,2)+11)-VLOOKUP(B274,ÍNDICES!$A:$DE,HLOOKUP($BL$25,ÍNDICES!$B$3:$T$4,2)+11)+1%,IF(C$38=$W$26,$J$35,IF(ISERROR(IF(B274&gt;$D$19,1,VLOOKUP(DATE(YEAR(B274),MONTH(B274)+IF($C$35=$S$23,1,0),1),ÍNDICES!$A:$DE,$Z$35+1))),"",IF(B274&gt;$D$19,1,VLOOKUP(DATE(YEAR(B274),MONTH(B274)+IF($C$35=$S$23,1,0),1),ÍNDICES!$A:$DE,$Z$35+1))))))</f>
        <v/>
      </c>
      <c r="D274" s="154" t="str">
        <f>IF(ISERROR(IF(OR($D$38=$Y$27,$B274=""),"",VLOOKUP(B274,ÍNDICES!A:DE,AF$35+1))),"",IF(OR($D$38=$Y$27,$B274=""),"",VLOOKUP(B274,ÍNDICES!A:DE,AF$35+1)))</f>
        <v/>
      </c>
      <c r="E274" s="153"/>
      <c r="F274" s="29" t="str">
        <f>IF(E274="","",IF($L$35="SELIC - TRIBUTOS",VLOOKUP(DATE(YEAR($D$19),MONTH($D$19)-1,1),ÍNDICES!$A:$DE,HLOOKUP($BL$25,ÍNDICES!$B$3:$T$4,2)+11)-VLOOKUP(E274,ÍNDICES!$A:$DE,HLOOKUP($BL$25,ÍNDICES!$B$3:$T$4,2)+11)+1%,IF(F$38=$W$26,$J$35,IF(ISERROR(IF(E274&gt;$D$19,1,VLOOKUP(DATE(YEAR(E274),MONTH(E274)+IF($C$35=$S$23,1,0),1),ÍNDICES!$A:$DE,$Z$35+1))),"",IF(E274&gt;$D$19,1,VLOOKUP(DATE(YEAR(E274),MONTH(E274)+IF($C$35=$S$23,1,0),1),ÍNDICES!$A:$DE,$Z$35+1))))))</f>
        <v/>
      </c>
      <c r="G274" s="155"/>
      <c r="H274" s="156" t="str">
        <f t="shared" si="44"/>
        <v/>
      </c>
      <c r="I274" s="29" t="str">
        <f t="shared" si="38"/>
        <v/>
      </c>
      <c r="J274" s="5">
        <f t="shared" si="39"/>
        <v>0</v>
      </c>
      <c r="K274" s="20">
        <f t="shared" ca="1" si="40"/>
        <v>0</v>
      </c>
      <c r="L274" s="5">
        <f t="shared" ca="1" si="41"/>
        <v>0</v>
      </c>
      <c r="M274" s="64">
        <f t="shared" si="45"/>
        <v>0</v>
      </c>
      <c r="N274" s="61">
        <f t="shared" ca="1" si="46"/>
        <v>0</v>
      </c>
      <c r="O274" s="5">
        <f t="shared" ca="1" si="47"/>
        <v>0</v>
      </c>
      <c r="P274" s="446" t="e">
        <f t="shared" si="42"/>
        <v>#VALUE!</v>
      </c>
      <c r="Q274" s="446" t="e">
        <f>IF(OR($B274="",MIN(Q$38,$D$19)&lt;MAX($P$34*($B274+IF($R$17="Distrato",$I$38-1,0)),IF(AND($L$37=0,$P$34=0),"",$L$37-1),IF($R$17="Distrato",$E274,0))),0,YEARFRAC(MAX($P$34*($B274+IF($R$17="Distrato",$I$38-1,0)),IF(AND($L$37=0,$P$34=0),"",$L$37-1),IF($R$17="Distrato",$E274,0)),MIN(Q$38,$D$19),$P$20))-SUM($P274:P274)</f>
        <v>#VALUE!</v>
      </c>
      <c r="R274" s="446" t="e">
        <f>IF(OR($B274="",MIN(R$38,$D$19)&lt;MAX($P$34*($B274+IF($R$17="Distrato",$I$38-1,0)),IF(AND($L$37=0,$P$34=0),"",$L$37-1),IF($R$17="Distrato",$E274,0))),0,YEARFRAC(MAX($P$34*($B274+IF($R$17="Distrato",$I$38-1,0)),IF(AND($L$37=0,$P$34=0),"",$L$37-1),IF($R$17="Distrato",$E274,0)),MIN(R$38,$D$19),$P$20))-SUM($P274:Q274)</f>
        <v>#VALUE!</v>
      </c>
      <c r="S274" s="446" t="e">
        <f>IF(OR($B274="",MIN(S$38,$D$19)&lt;MAX($P$34*($B274+IF($R$17="Distrato",$I$38-1,0)),IF(AND($L$37=0,$P$34=0),"",$L$37-1),IF($R$17="Distrato",$E274,0))),0,YEARFRAC(MAX($P$34*($B274+IF($R$17="Distrato",$I$38-1,0)),IF(AND($L$37=0,$P$34=0),"",$L$37-1),IF($R$17="Distrato",$E274,0)),MIN(S$38,$D$19),$P$20))-SUM($P274:R274)</f>
        <v>#VALUE!</v>
      </c>
      <c r="T274" s="446" t="e">
        <f>IF(OR($B274="",MIN(T$38,$D$19)&lt;MAX($P$34*($B274+IF($R$17="Distrato",$I$38-1,0)),IF(AND($L$37=0,$P$34=0),"",$L$37-1),IF($R$17="Distrato",$E274,0))),0,YEARFRAC(MAX($P$34*($B274+IF($R$17="Distrato",$I$38-1,0)),IF(AND($L$37=0,$P$34=0),"",$L$37-1),IF($R$17="Distrato",$E274,0)),MIN(T$38,$D$19),$P$20))-SUM($P274:S274)</f>
        <v>#VALUE!</v>
      </c>
      <c r="U274" s="446" t="e">
        <f>IF(OR($B274="",MIN(U$38,$D$19)&lt;MAX($P$34*($B274+IF($R$17="Distrato",$I$38-1,0)),IF(AND($L$37=0,$P$34=0),"",$L$37-1),IF($R$17="Distrato",$E274,0))),0,YEARFRAC(MAX($P$34*($B274+IF($R$17="Distrato",$I$38-1,0)),IF(AND($L$37=0,$P$34=0),"",$L$37-1),IF($R$17="Distrato",$E274,0)),MIN(U$38,$D$19),$P$20))-SUM($P274:T274)</f>
        <v>#VALUE!</v>
      </c>
      <c r="V274" s="446" t="e">
        <f>IF(OR($B274="",MIN(V$38,$D$19)&lt;MAX($P$34*($B274+IF($R$17="Distrato",$I$38-1,0)),IF(AND($L$37=0,$P$34=0),"",$L$37-1),IF($R$17="Distrato",$E274,0))),0,YEARFRAC(MAX($P$34*($B274+IF($R$17="Distrato",$I$38-1,0)),IF(AND($L$37=0,$P$34=0),"",$L$37-1),IF($R$17="Distrato",$E274,0)),MIN(V$38,$D$19),$P$20))-SUM($P274:U274)</f>
        <v>#VALUE!</v>
      </c>
      <c r="W274" s="446" t="e">
        <f>IF(OR($B274="",MIN(W$38,$D$19)&lt;MAX($P$34*($B274+IF($R$17="Distrato",$I$38-1,0)),IF(AND($L$37=0,$P$34=0),"",$L$37-1),IF($R$17="Distrato",$E274,0))),0,YEARFRAC(MAX($P$34*($B274+IF($R$17="Distrato",$I$38-1,0)),IF(AND($L$37=0,$P$34=0),"",$L$37-1),IF($R$17="Distrato",$E274,0)),MIN(W$38,$D$19),$P$20))-SUM($P274:V274)</f>
        <v>#VALUE!</v>
      </c>
      <c r="X274" s="446" t="e">
        <f>IF(OR($B274="",MIN(X$38,$D$19)&lt;MAX($P$34*($B274+IF($R$17="Distrato",$I$38-1,0)),IF(AND($L$37=0,$P$34=0),"",$L$37-1),IF($R$17="Distrato",$E274,0))),0,YEARFRAC(MAX($P$34*($B274+IF($R$17="Distrato",$I$38-1,0)),IF(AND($L$37=0,$P$34=0),"",$L$37-1),IF($R$17="Distrato",$E274,0)),MIN(X$38,$D$19),$P$20))-SUM($P274:W274)</f>
        <v>#VALUE!</v>
      </c>
      <c r="Y274" s="446" t="e">
        <f>IF(OR($B274="",MIN(Y$38,$D$19)&lt;MAX($P$34*($B274+IF($R$17="Distrato",$I$38-1,0)),IF(AND($L$37=0,$P$34=0),"",$L$37-1),IF($R$17="Distrato",$E274,0))),0,YEARFRAC(MAX($P$34*($B274+IF($R$17="Distrato",$I$38-1,0)),IF(AND($L$37=0,$P$34=0),"",$L$37-1),IF($R$17="Distrato",$E274,0)),MIN(Y$38,$D$19),$P$20))-SUM($P274:X274)</f>
        <v>#VALUE!</v>
      </c>
      <c r="Z274" s="446" t="e">
        <f>IF(OR($B274="",MIN(Z$38,$D$19)&lt;MAX($P$34*($B274+IF($R$17="Distrato",$I$38-1,0)),IF(AND($L$37=0,$P$34=0),"",$L$37-1),IF($R$17="Distrato",$E274,0))),0,YEARFRAC(MAX($P$34*($B274+IF($R$17="Distrato",$I$38-1,0)),IF(AND($L$37=0,$P$34=0),"",$L$37-1),IF($R$17="Distrato",$E274,0)),MIN(Z$38,$D$19),$P$20))-SUM($P274:Y274)</f>
        <v>#VALUE!</v>
      </c>
      <c r="AA274" s="446" t="e">
        <f>IF(OR($B274="",MIN(AA$38,$D$19)&lt;MAX($P$34*($B274+IF($R$17="Distrato",$I$38-1,0)),IF(AND($L$37=0,$P$34=0),"",$L$37-1),IF($R$17="Distrato",$E274,0))),0,YEARFRAC(MAX($P$34*($B274+IF($R$17="Distrato",$I$38-1,0)),IF(AND($L$37=0,$P$34=0),"",$L$37-1),IF($R$17="Distrato",$E274,0)),MIN(AA$38,$D$19),$P$20))-SUM($P274:Z274)</f>
        <v>#VALUE!</v>
      </c>
      <c r="AB274" s="446" t="e">
        <f>IF(OR($B274="",MIN(AB$38,$D$19)&lt;MAX($P$34*($B274+IF($R$17="Distrato",$I$38-1,0)),IF(AND($L$37=0,$P$34=0),"",$L$37-1),IF($R$17="Distrato",$E274,0))),0,YEARFRAC(MAX($P$34*($B274+IF($R$17="Distrato",$I$38-1,0)),IF(AND($L$37=0,$P$34=0),"",$L$37-1),IF($R$17="Distrato",$E274,0)),MIN(AB$38,$D$19),$P$20))-SUM($P274:AA274)</f>
        <v>#VALUE!</v>
      </c>
      <c r="AC274" s="446" t="e">
        <f>IF(OR($B274="",MIN(AC$38,$D$19)&lt;MAX($P$34*($B274+IF($R$17="Distrato",$I$38-1,0)),IF(AND($L$37=0,$P$34=0),"",$L$37-1),IF($R$17="Distrato",$E274,0))),0,YEARFRAC(MAX($P$34*($B274+IF($R$17="Distrato",$I$38-1,0)),IF(AND($L$37=0,$P$34=0),"",$L$37-1),IF($R$17="Distrato",$E274,0)),MIN(AC$38,$D$19),$P$20))-SUM($P274:AB274)</f>
        <v>#VALUE!</v>
      </c>
      <c r="AD274" s="446" t="e">
        <f>IF(OR($B274="",MIN(AD$38,$D$19)&lt;MAX($P$34*($B274+IF($R$17="Distrato",$I$38-1,0)),IF(AND($L$37=0,$P$34=0),"",$L$37-1),IF($R$17="Distrato",$E274,0))),0,YEARFRAC(MAX($P$34*($B274+IF($R$17="Distrato",$I$38-1,0)),IF(AND($L$37=0,$P$34=0),"",$L$37-1),IF($R$17="Distrato",$E274,0)),MIN(AD$38,$D$19),$P$20))-SUM($P274:AC274)</f>
        <v>#VALUE!</v>
      </c>
      <c r="AE274" s="446" t="e">
        <f>IF(OR($B274="",MIN(AE$38,$D$19)&lt;MAX($P$34*($B274+IF($R$17="Distrato",$I$38-1,0)),IF(AND($L$37=0,$P$34=0),"",$L$37-1),IF($R$17="Distrato",$E274,0))),0,YEARFRAC(MAX($P$34*($B274+IF($R$17="Distrato",$I$38-1,0)),IF(AND($L$37=0,$P$34=0),"",$L$37-1),IF($R$17="Distrato",$E274,0)),MIN(AE$38,$D$19),$P$20))-SUM($P274:AD274)</f>
        <v>#VALUE!</v>
      </c>
      <c r="AF274" s="446" t="e">
        <f>IF(OR($B274="",MIN(AF$38,$D$19)&lt;MAX($P$34*($B274+IF($R$17="Distrato",$I$38-1,0)),IF(AND($L$37=0,$P$34=0),"",$L$37-1),IF($R$17="Distrato",$E274,0))),0,YEARFRAC(MAX($P$34*($B274+IF($R$17="Distrato",$I$38-1,0)),IF(AND($L$37=0,$P$34=0),"",$L$37-1),IF($R$17="Distrato",$E274,0)),MIN(AF$38,$D$19),$P$20))-SUM($P274:AE274)</f>
        <v>#VALUE!</v>
      </c>
      <c r="AG274" s="446" t="e">
        <f>IF(OR($B274="",MIN(AG$38,$D$19)&lt;MAX($P$34*($B274+IF($R$17="Distrato",$I$38-1,0)),IF(AND($L$37=0,$P$34=0),"",$L$37-1),IF($R$17="Distrato",$E274,0))),0,YEARFRAC(MAX($P$34*($B274+IF($R$17="Distrato",$I$38-1,0)),IF(AND($L$37=0,$P$34=0),"",$L$37-1),IF($R$17="Distrato",$E274,0)),MIN(AG$38,$D$19),$P$20))-SUM($P274:AF274)</f>
        <v>#VALUE!</v>
      </c>
      <c r="AH274" s="446" t="e">
        <f>IF(OR($B274="",MIN(AH$38,$D$19)&lt;MAX($P$34*($B274+IF($R$17="Distrato",$I$38-1,0)),IF(AND($L$37=0,$P$34=0),"",$L$37-1),IF($R$17="Distrato",$E274,0))),0,YEARFRAC(MAX($P$34*($B274+IF($R$17="Distrato",$I$38-1,0)),IF(AND($L$37=0,$P$34=0),"",$L$37-1),IF($R$17="Distrato",$E274,0)),MIN(AH$38,$D$19),$P$20))-SUM($P274:AG274)</f>
        <v>#VALUE!</v>
      </c>
      <c r="AI274" s="446" t="e">
        <f>IF(OR($B274="",MIN(AI$38,$D$19)&lt;MAX($P$34*($B274+IF($R$17="Distrato",$I$38-1,0)),IF(AND($L$37=0,$P$34=0),"",$L$37-1),IF($R$17="Distrato",$E274,0))),0,YEARFRAC(MAX($P$34*($B274+IF($R$17="Distrato",$I$38-1,0)),IF(AND($L$37=0,$P$34=0),"",$L$37-1),IF($R$17="Distrato",$E274,0)),MIN(AI$38,$D$19),$P$20))-SUM($P274:AH274)</f>
        <v>#VALUE!</v>
      </c>
      <c r="AJ274" s="446" t="e">
        <f>IF(OR($B274="",MIN(AJ$38,$D$19)&lt;MAX($P$34*($B274+IF($R$17="Distrato",$I$38-1,0)),IF(AND($L$37=0,$P$34=0),"",$L$37-1),IF($R$17="Distrato",$E274,0))),0,YEARFRAC(MAX($P$34*($B274+IF($R$17="Distrato",$I$38-1,0)),IF(AND($L$37=0,$P$34=0),"",$L$37-1),IF($R$17="Distrato",$E274,0)),MIN(AJ$38,$D$19),$P$20))-SUM($P274:AI274)</f>
        <v>#VALUE!</v>
      </c>
      <c r="AK274" s="446" t="e">
        <f>IF(OR($B274="",MIN(AK$38,$D$19)&lt;MAX($P$34*($B274+IF($R$17="Distrato",$I$38-1,0)),IF(AND($L$37=0,$P$34=0),"",$L$37-1),IF($R$17="Distrato",$E274,0))),0,YEARFRAC(MAX($P$34*($B274+IF($R$17="Distrato",$I$38-1,0)),IF(AND($L$37=0,$P$34=0),"",$L$37-1),IF($R$17="Distrato",$E274,0)),MIN(AK$38,$D$19),$P$20))-SUM($P274:AJ274)</f>
        <v>#VALUE!</v>
      </c>
      <c r="AL274" s="446" t="e">
        <f>IF(OR($B274="",MIN(AL$38,$D$19)&lt;MAX($P$34*($B274+IF($R$17="Distrato",$I$38-1,0)),IF(AND($L$37=0,$P$34=0),"",$L$37-1),IF($R$17="Distrato",$E274,0))),0,YEARFRAC(MAX($P$34*($B274+IF($R$17="Distrato",$I$38-1,0)),IF(AND($L$37=0,$P$34=0),"",$L$37-1),IF($R$17="Distrato",$E274,0)),MIN(AL$38,$D$19),$P$20))-SUM($P274:AK274)</f>
        <v>#VALUE!</v>
      </c>
      <c r="AM274" s="446" t="e">
        <f>IF(OR($B274="",MIN(AM$38,$D$19)&lt;MAX($P$34*($B274+IF($R$17="Distrato",$I$38-1,0)),IF(AND($L$37=0,$P$34=0),"",$L$37-1),IF($R$17="Distrato",$E274,0))),0,YEARFRAC(MAX($P$34*($B274+IF($R$17="Distrato",$I$38-1,0)),IF(AND($L$37=0,$P$34=0),"",$L$37-1),IF($R$17="Distrato",$E274,0)),MIN(AM$38,$D$19),$P$20))-SUM($P274:AL274)</f>
        <v>#VALUE!</v>
      </c>
      <c r="AN274" s="446" t="e">
        <f>IF(OR($B274="",MIN(AN$38,$D$19)&lt;MAX($P$34*($B274+IF($R$17="Distrato",$I$38-1,0)),IF(AND($L$37=0,$P$34=0),"",$L$37-1),IF($R$17="Distrato",$E274,0))),0,YEARFRAC(MAX($P$34*($B274+IF($R$17="Distrato",$I$38-1,0)),IF(AND($L$37=0,$P$34=0),"",$L$37-1),IF($R$17="Distrato",$E274,0)),MIN(AN$38,$D$19),$P$20))-SUM($P274:AM274)</f>
        <v>#VALUE!</v>
      </c>
      <c r="AO274" s="446" t="e">
        <f>IF(OR($B274="",MIN(AO$38,$D$19)&lt;MAX($P$34*($B274+IF($R$17="Distrato",$I$38-1,0)),IF(AND($L$37=0,$P$34=0),"",$L$37-1),IF($R$17="Distrato",$E274,0))),0,YEARFRAC(MAX($P$34*($B274+IF($R$17="Distrato",$I$38-1,0)),IF(AND($L$37=0,$P$34=0),"",$L$37-1),IF($R$17="Distrato",$E274,0)),MIN(AO$38,$D$19),$P$20))-SUM($P274:AN274)</f>
        <v>#VALUE!</v>
      </c>
      <c r="AP274" s="446" t="e">
        <f>IF(OR($B274="",MIN(AP$38,$D$19)&lt;MAX($P$34*($B274+IF($R$17="Distrato",$I$38-1,0)),IF(AND($L$37=0,$P$34=0),"",$L$37-1),IF($R$17="Distrato",$E274,0))),0,YEARFRAC(MAX($P$34*($B274+IF($R$17="Distrato",$I$38-1,0)),IF(AND($L$37=0,$P$34=0),"",$L$37-1),IF($R$17="Distrato",$E274,0)),MIN(AP$38,$D$19),$P$20))-SUM($P274:AO274)</f>
        <v>#VALUE!</v>
      </c>
      <c r="AQ274" s="446" t="e">
        <f>IF(OR($B274="",MIN(AQ$38,$D$19)&lt;MAX($P$34*($B274+IF($R$17="Distrato",$I$38-1,0)),IF(AND($L$37=0,$P$34=0),"",$L$37-1),IF($R$17="Distrato",$E274,0))),0,YEARFRAC(MAX($P$34*($B274+IF($R$17="Distrato",$I$38-1,0)),IF(AND($L$37=0,$P$34=0),"",$L$37-1),IF($R$17="Distrato",$E274,0)),MIN(AQ$38,$D$19),$P$20))-SUM($P274:AP274)</f>
        <v>#VALUE!</v>
      </c>
      <c r="AR274" s="446" t="e">
        <f>IF(OR($B274="",MIN(AR$38,$D$19)&lt;MAX($P$34*($B274+IF($R$17="Distrato",$I$38-1,0)),IF(AND($L$37=0,$P$34=0),"",$L$37-1),IF($R$17="Distrato",$E274,0))),0,YEARFRAC(MAX($P$34*($B274+IF($R$17="Distrato",$I$38-1,0)),IF(AND($L$37=0,$P$34=0),"",$L$37-1),IF($R$17="Distrato",$E274,0)),MIN(AR$38,$D$19),$P$20))-SUM($P274:AQ274)</f>
        <v>#VALUE!</v>
      </c>
      <c r="AS274" s="446" t="e">
        <f>IF(OR($B274="",MIN(AS$38,$D$19)&lt;MAX($P$34*($B274+IF($R$17="Distrato",$I$38-1,0)),IF(AND($L$37=0,$P$34=0),"",$L$37-1),IF($R$17="Distrato",$E274,0))),0,YEARFRAC(MAX($P$34*($B274+IF($R$17="Distrato",$I$38-1,0)),IF(AND($L$37=0,$P$34=0),"",$L$37-1),IF($R$17="Distrato",$E274,0)),MIN(AS$38,$D$19),$P$20))-SUM($P274:AR274)</f>
        <v>#VALUE!</v>
      </c>
      <c r="AT274" s="446" t="e">
        <f>IF(OR($B274="",MIN(AT$38,$D$19)&lt;MAX($P$34*($B274+IF($R$17="Distrato",$I$38-1,0)),IF(AND($L$37=0,$P$34=0),"",$L$37-1),IF($R$17="Distrato",$E274,0))),0,YEARFRAC(MAX($P$34*($B274+IF($R$17="Distrato",$I$38-1,0)),IF(AND($L$37=0,$P$34=0),"",$L$37-1),IF($R$17="Distrato",$E274,0)),MIN(AT$38,$D$19),$P$20))-SUM($P274:AS274)</f>
        <v>#VALUE!</v>
      </c>
      <c r="AU274" s="446" t="e">
        <f>IF(OR($B274="",MIN(AU$38,$D$19)&lt;MAX($P$34*($B274+IF($R$17="Distrato",$I$38-1,0)),IF(AND($L$37=0,$P$34=0),"",$L$37-1),IF($R$17="Distrato",$E274,0))),0,YEARFRAC(MAX($P$34*($B274+IF($R$17="Distrato",$I$38-1,0)),IF(AND($L$37=0,$P$34=0),"",$L$37-1),IF($R$17="Distrato",$E274,0)),MIN(AU$38,$D$19),$P$20))-SUM($P274:AT274)</f>
        <v>#VALUE!</v>
      </c>
      <c r="AV274" s="446" t="e">
        <f>IF(OR($B274="",MIN(AV$38,$D$19)&lt;MAX($P$34*($B274+IF($R$17="Distrato",$I$38-1,0)),IF(AND($L$37=0,$P$34=0),"",$L$37-1),IF($R$17="Distrato",$E274,0))),0,YEARFRAC(MAX($P$34*($B274+IF($R$17="Distrato",$I$38-1,0)),IF(AND($L$37=0,$P$34=0),"",$L$37-1),IF($R$17="Distrato",$E274,0)),MIN(AV$38,$D$19),$P$20))-SUM($P274:AU274)</f>
        <v>#VALUE!</v>
      </c>
      <c r="AW274" s="446" t="e">
        <f>IF(OR($B274="",MIN(AW$38,$D$19)&lt;MAX($P$34*($B274+IF($R$17="Distrato",$I$38-1,0)),IF(AND($L$37=0,$P$34=0),"",$L$37-1),IF($R$17="Distrato",$E274,0))),0,YEARFRAC(MAX($P$34*($B274+IF($R$17="Distrato",$I$38-1,0)),IF(AND($L$37=0,$P$34=0),"",$L$37-1),IF($R$17="Distrato",$E274,0)),MIN(AW$38,$D$19),$P$20))-SUM($P274:AV274)</f>
        <v>#VALUE!</v>
      </c>
      <c r="AX274" s="446" t="e">
        <f>IF(OR($B274="",MIN(AX$38,$D$19)&lt;MAX($P$34*($B274+IF($R$17="Distrato",$I$38-1,0)),IF(AND($L$37=0,$P$34=0),"",$L$37-1),IF($R$17="Distrato",$E274,0))),0,YEARFRAC(MAX($P$34*($B274+IF($R$17="Distrato",$I$38-1,0)),IF(AND($L$37=0,$P$34=0),"",$L$37-1),IF($R$17="Distrato",$E274,0)),MIN(AX$38,$D$19),$P$20))-SUM($P274:AW274)</f>
        <v>#VALUE!</v>
      </c>
      <c r="AY274" s="446" t="e">
        <f>IF(OR($B274="",MIN(AY$38,$D$19)&lt;MAX($P$34*($B274+IF($R$17="Distrato",$I$38-1,0)),IF(AND($L$37=0,$P$34=0),"",$L$37-1),IF($R$17="Distrato",$E274,0))),0,YEARFRAC(MAX($P$34*($B274+IF($R$17="Distrato",$I$38-1,0)),IF(AND($L$37=0,$P$34=0),"",$L$37-1),IF($R$17="Distrato",$E274,0)),MIN(AY$38,$D$19),$P$20))-SUM($P274:AX274)</f>
        <v>#VALUE!</v>
      </c>
      <c r="AZ274" s="446" t="e">
        <f>IF(OR($B274="",MIN(AZ$38,$D$19)&lt;MAX($P$34*($B274+IF($R$17="Distrato",$I$38-1,0)),IF(AND($L$37=0,$P$34=0),"",$L$37-1),IF($R$17="Distrato",$E274,0))),0,YEARFRAC(MAX($P$34*($B274+IF($R$17="Distrato",$I$38-1,0)),IF(AND($L$37=0,$P$34=0),"",$L$37-1),IF($R$17="Distrato",$E274,0)),MIN(AZ$38,$D$19),$P$20))-SUM($P274:AY274)</f>
        <v>#VALUE!</v>
      </c>
      <c r="BA274" s="446" t="e">
        <f>IF(OR($B274="",MIN(BA$38,$D$19)&lt;MAX($P$34*($B274+IF($R$17="Distrato",$I$38-1,0)),IF(AND($L$37=0,$P$34=0),"",$L$37-1),IF($R$17="Distrato",$E274,0))),0,YEARFRAC(MAX($P$34*($B274+IF($R$17="Distrato",$I$38-1,0)),IF(AND($L$37=0,$P$34=0),"",$L$37-1),IF($R$17="Distrato",$E274,0)),MIN(BA$38,$D$19),$P$20))-SUM($P274:AZ274)</f>
        <v>#VALUE!</v>
      </c>
      <c r="BB274" s="447"/>
      <c r="BF274" s="446">
        <f t="shared" si="43"/>
        <v>0</v>
      </c>
      <c r="BG274" s="446">
        <f>IF($E274=0,0,IF(MIN(BG$38,$E274)&lt;MAX($P$34*($B274+$I$38-1),IF(AND($L$37=0,$P$34=0),"",$L$37-1)),0,YEARFRAC(MAX($P$34*($B274+$I$38-1),IF(AND($L$37=0,$P$34=0),"",$L$37-1)),MIN(BG$38,$E274),$P$20))-SUM($BF274:BF274))</f>
        <v>0</v>
      </c>
      <c r="BH274" s="446">
        <f>IF($E274=0,0,IF(MIN(BH$38,$E274)&lt;MAX($P$34*($B274+$I$38-1),IF(AND($L$37=0,$P$34=0),"",$L$37-1)),0,YEARFRAC(MAX($P$34*($B274+$I$38-1),IF(AND($L$37=0,$P$34=0),"",$L$37-1)),MIN(BH$38,$E274),$P$20))-SUM($BF274:BG274))</f>
        <v>0</v>
      </c>
      <c r="BI274" s="446">
        <f>IF($E274=0,0,IF(MIN(BI$38,$E274)&lt;MAX($P$34*($B274+$I$38-1),IF(AND($L$37=0,$P$34=0),"",$L$37-1)),0,YEARFRAC(MAX($P$34*($B274+$I$38-1),IF(AND($L$37=0,$P$34=0),"",$L$37-1)),MIN(BI$38,$E274),$P$20))-SUM($BF274:BH274))</f>
        <v>0</v>
      </c>
      <c r="BJ274" s="446">
        <f>IF($E274=0,0,IF(MIN(BJ$38,$E274)&lt;MAX($P$34*($B274+$I$38-1),IF(AND($L$37=0,$P$34=0),"",$L$37-1)),0,YEARFRAC(MAX($P$34*($B274+$I$38-1),IF(AND($L$37=0,$P$34=0),"",$L$37-1)),MIN(BJ$38,$E274),$P$20))-SUM($BF274:BI274))</f>
        <v>0</v>
      </c>
      <c r="BK274" s="446">
        <f>IF($E274=0,0,IF(MIN(BK$38,$E274)&lt;MAX($P$34*($B274+$I$38-1),IF(AND($L$37=0,$P$34=0),"",$L$37-1)),0,YEARFRAC(MAX($P$34*($B274+$I$38-1),IF(AND($L$37=0,$P$34=0),"",$L$37-1)),MIN(BK$38,$E274),$P$20))-SUM($BF274:BJ274))</f>
        <v>0</v>
      </c>
      <c r="BL274" s="446">
        <f>IF($E274=0,0,IF(MIN(BL$38,$E274)&lt;MAX($P$34*($B274+$I$38-1),IF(AND($L$37=0,$P$34=0),"",$L$37-1)),0,YEARFRAC(MAX($P$34*($B274+$I$38-1),IF(AND($L$37=0,$P$34=0),"",$L$37-1)),MIN(BL$38,$E274),$P$20))-SUM($BF274:BK274))</f>
        <v>0</v>
      </c>
      <c r="BM274" s="446">
        <f>IF($E274=0,0,IF(MIN(BM$38,$E274)&lt;MAX($P$34*($B274+$I$38-1),IF(AND($L$37=0,$P$34=0),"",$L$37-1)),0,YEARFRAC(MAX($P$34*($B274+$I$38-1),IF(AND($L$37=0,$P$34=0),"",$L$37-1)),MIN(BM$38,$E274),$P$20))-SUM($BF274:BL274))</f>
        <v>0</v>
      </c>
      <c r="BN274" s="446">
        <f>IF($E274=0,0,IF(MIN(BN$38,$E274)&lt;MAX($P$34*($B274+$I$38-1),IF(AND($L$37=0,$P$34=0),"",$L$37-1)),0,YEARFRAC(MAX($P$34*($B274+$I$38-1),IF(AND($L$37=0,$P$34=0),"",$L$37-1)),MIN(BN$38,$E274),$P$20))-SUM($BF274:BM274))</f>
        <v>0</v>
      </c>
      <c r="BO274" s="446">
        <f>IF($E274=0,0,IF(MIN(BO$38,$E274)&lt;MAX($P$34*($B274+$I$38-1),IF(AND($L$37=0,$P$34=0),"",$L$37-1)),0,YEARFRAC(MAX($P$34*($B274+$I$38-1),IF(AND($L$37=0,$P$34=0),"",$L$37-1)),MIN(BO$38,$E274),$P$20))-SUM($BF274:BN274))</f>
        <v>0</v>
      </c>
      <c r="BP274" s="446">
        <f>IF($E274=0,0,IF(MIN(BP$38,$E274)&lt;MAX($P$34*($B274+$I$38-1),IF(AND($L$37=0,$P$34=0),"",$L$37-1)),0,YEARFRAC(MAX($P$34*($B274+$I$38-1),IF(AND($L$37=0,$P$34=0),"",$L$37-1)),MIN(BP$38,$E274),$P$20))-SUM($BF274:BO274))</f>
        <v>0</v>
      </c>
      <c r="BQ274" s="446">
        <f>IF($E274=0,0,IF(MIN(BQ$38,$E274)&lt;MAX($P$34*($B274+$I$38-1),IF(AND($L$37=0,$P$34=0),"",$L$37-1)),0,YEARFRAC(MAX($P$34*($B274+$I$38-1),IF(AND($L$37=0,$P$34=0),"",$L$37-1)),MIN(BQ$38,$E274),$P$20))-SUM($BF274:BP274))</f>
        <v>0</v>
      </c>
      <c r="BR274" s="446">
        <f>IF($E274=0,0,IF(MIN(BR$38,$E274)&lt;MAX($P$34*($B274+$I$38-1),IF(AND($L$37=0,$P$34=0),"",$L$37-1)),0,YEARFRAC(MAX($P$34*($B274+$I$38-1),IF(AND($L$37=0,$P$34=0),"",$L$37-1)),MIN(BR$38,$E274),$P$20))-SUM($BF274:BQ274))</f>
        <v>0</v>
      </c>
      <c r="BS274" s="446">
        <f>IF($E274=0,0,IF(MIN(BS$38,$E274)&lt;MAX($P$34*($B274+$I$38-1),IF(AND($L$37=0,$P$34=0),"",$L$37-1)),0,YEARFRAC(MAX($P$34*($B274+$I$38-1),IF(AND($L$37=0,$P$34=0),"",$L$37-1)),MIN(BS$38,$E274),$P$20))-SUM($BF274:BR274))</f>
        <v>0</v>
      </c>
      <c r="BT274" s="446">
        <f>IF($E274=0,0,IF(MIN(BT$38,$E274)&lt;MAX($P$34*($B274+$I$38-1),IF(AND($L$37=0,$P$34=0),"",$L$37-1)),0,YEARFRAC(MAX($P$34*($B274+$I$38-1),IF(AND($L$37=0,$P$34=0),"",$L$37-1)),MIN(BT$38,$E274),$P$20))-SUM($BF274:BS274))</f>
        <v>0</v>
      </c>
      <c r="BU274" s="446">
        <f>IF($E274=0,0,IF(MIN(BU$38,$E274)&lt;MAX($P$34*($B274+$I$38-1),IF(AND($L$37=0,$P$34=0),"",$L$37-1)),0,YEARFRAC(MAX($P$34*($B274+$I$38-1),IF(AND($L$37=0,$P$34=0),"",$L$37-1)),MIN(BU$38,$E274),$P$20))-SUM($BF274:BT274))</f>
        <v>0</v>
      </c>
      <c r="BV274" s="446">
        <f>IF($E274=0,0,IF(MIN(BV$38,$E274)&lt;MAX($P$34*($B274+$I$38-1),IF(AND($L$37=0,$P$34=0),"",$L$37-1)),0,YEARFRAC(MAX($P$34*($B274+$I$38-1),IF(AND($L$37=0,$P$34=0),"",$L$37-1)),MIN(BV$38,$E274),$P$20))-SUM($BF274:BU274))</f>
        <v>0</v>
      </c>
      <c r="BW274" s="446">
        <f>IF($E274=0,0,IF(MIN(BW$38,$E274)&lt;MAX($P$34*($B274+$I$38-1),IF(AND($L$37=0,$P$34=0),"",$L$37-1)),0,YEARFRAC(MAX($P$34*($B274+$I$38-1),IF(AND($L$37=0,$P$34=0),"",$L$37-1)),MIN(BW$38,$E274),$P$20))-SUM($BF274:BV274))</f>
        <v>0</v>
      </c>
      <c r="BX274" s="446">
        <f>IF($E274=0,0,IF(MIN(BX$38,$E274)&lt;MAX($P$34*($B274+$I$38-1),IF(AND($L$37=0,$P$34=0),"",$L$37-1)),0,YEARFRAC(MAX($P$34*($B274+$I$38-1),IF(AND($L$37=0,$P$34=0),"",$L$37-1)),MIN(BX$38,$E274),$P$20))-SUM($BF274:BW274))</f>
        <v>0</v>
      </c>
      <c r="BY274" s="446">
        <f>IF($E274=0,0,IF(MIN(BY$38,$E274)&lt;MAX($P$34*($B274+$I$38-1),IF(AND($L$37=0,$P$34=0),"",$L$37-1)),0,YEARFRAC(MAX($P$34*($B274+$I$38-1),IF(AND($L$37=0,$P$34=0),"",$L$37-1)),MIN(BY$38,$E274),$P$20))-SUM($BF274:BX274))</f>
        <v>0</v>
      </c>
      <c r="BZ274" s="446">
        <f>IF($E274=0,0,IF(MIN(BZ$38,$E274)&lt;MAX($P$34*($B274+$I$38-1),IF(AND($L$37=0,$P$34=0),"",$L$37-1)),0,YEARFRAC(MAX($P$34*($B274+$I$38-1),IF(AND($L$37=0,$P$34=0),"",$L$37-1)),MIN(BZ$38,$E274),$P$20))-SUM($BF274:BY274))</f>
        <v>0</v>
      </c>
      <c r="CA274" s="446">
        <f>IF($E274=0,0,IF(MIN(CA$38,$E274)&lt;MAX($P$34*($B274+$I$38-1),IF(AND($L$37=0,$P$34=0),"",$L$37-1)),0,YEARFRAC(MAX($P$34*($B274+$I$38-1),IF(AND($L$37=0,$P$34=0),"",$L$37-1)),MIN(CA$38,$E274),$P$20))-SUM($BF274:BZ274))</f>
        <v>0</v>
      </c>
      <c r="CB274" s="446">
        <f>IF($E274=0,0,IF(MIN(CB$38,$E274)&lt;MAX($P$34*($B274+$I$38-1),IF(AND($L$37=0,$P$34=0),"",$L$37-1)),0,YEARFRAC(MAX($P$34*($B274+$I$38-1),IF(AND($L$37=0,$P$34=0),"",$L$37-1)),MIN(CB$38,$E274),$P$20))-SUM($BF274:CA274))</f>
        <v>0</v>
      </c>
      <c r="CC274" s="446">
        <f>IF($E274=0,0,IF(MIN(CC$38,$E274)&lt;MAX($P$34*($B274+$I$38-1),IF(AND($L$37=0,$P$34=0),"",$L$37-1)),0,YEARFRAC(MAX($P$34*($B274+$I$38-1),IF(AND($L$37=0,$P$34=0),"",$L$37-1)),MIN(CC$38,$E274),$P$20))-SUM($BF274:CB274))</f>
        <v>0</v>
      </c>
      <c r="CD274" s="446">
        <f>IF($E274=0,0,IF(MIN(CD$38,$E274)&lt;MAX($P$34*($B274+$I$38-1),IF(AND($L$37=0,$P$34=0),"",$L$37-1)),0,YEARFRAC(MAX($P$34*($B274+$I$38-1),IF(AND($L$37=0,$P$34=0),"",$L$37-1)),MIN(CD$38,$E274),$P$20))-SUM($BF274:CC274))</f>
        <v>0</v>
      </c>
      <c r="CE274" s="446">
        <f>IF($E274=0,0,IF(MIN(CE$38,$E274)&lt;MAX($P$34*($B274+$I$38-1),IF(AND($L$37=0,$P$34=0),"",$L$37-1)),0,YEARFRAC(MAX($P$34*($B274+$I$38-1),IF(AND($L$37=0,$P$34=0),"",$L$37-1)),MIN(CE$38,$E274),$P$20))-SUM($BF274:CD274))</f>
        <v>0</v>
      </c>
      <c r="CF274" s="446">
        <f>IF($E274=0,0,IF(MIN(CF$38,$E274)&lt;MAX($P$34*($B274+$I$38-1),IF(AND($L$37=0,$P$34=0),"",$L$37-1)),0,YEARFRAC(MAX($P$34*($B274+$I$38-1),IF(AND($L$37=0,$P$34=0),"",$L$37-1)),MIN(CF$38,$E274),$P$20))-SUM($BF274:CE274))</f>
        <v>0</v>
      </c>
      <c r="CG274" s="446">
        <f>IF($E274=0,0,IF(MIN(CG$38,$E274)&lt;MAX($P$34*($B274+$I$38-1),IF(AND($L$37=0,$P$34=0),"",$L$37-1)),0,YEARFRAC(MAX($P$34*($B274+$I$38-1),IF(AND($L$37=0,$P$34=0),"",$L$37-1)),MIN(CG$38,$E274),$P$20))-SUM($BF274:CF274))</f>
        <v>0</v>
      </c>
      <c r="CH274" s="446">
        <f>IF($E274=0,0,IF(MIN(CH$38,$E274)&lt;MAX($P$34*($B274+$I$38-1),IF(AND($L$37=0,$P$34=0),"",$L$37-1)),0,YEARFRAC(MAX($P$34*($B274+$I$38-1),IF(AND($L$37=0,$P$34=0),"",$L$37-1)),MIN(CH$38,$E274),$P$20))-SUM($BF274:CG274))</f>
        <v>0</v>
      </c>
      <c r="CI274" s="446">
        <f>IF($E274=0,0,IF(MIN(CI$38,$E274)&lt;MAX($P$34*($B274+$I$38-1),IF(AND($L$37=0,$P$34=0),"",$L$37-1)),0,YEARFRAC(MAX($P$34*($B274+$I$38-1),IF(AND($L$37=0,$P$34=0),"",$L$37-1)),MIN(CI$38,$E274),$P$20))-SUM($BF274:CH274))</f>
        <v>0</v>
      </c>
      <c r="CJ274" s="446">
        <f>IF($E274=0,0,IF(MIN(CJ$38,$E274)&lt;MAX($P$34*($B274+$I$38-1),IF(AND($L$37=0,$P$34=0),"",$L$37-1)),0,YEARFRAC(MAX($P$34*($B274+$I$38-1),IF(AND($L$37=0,$P$34=0),"",$L$37-1)),MIN(CJ$38,$E274),$P$20))-SUM($BF274:CI274))</f>
        <v>0</v>
      </c>
      <c r="CK274" s="446">
        <f>IF($E274=0,0,IF(MIN(CK$38,$E274)&lt;MAX($P$34*($B274+$I$38-1),IF(AND($L$37=0,$P$34=0),"",$L$37-1)),0,YEARFRAC(MAX($P$34*($B274+$I$38-1),IF(AND($L$37=0,$P$34=0),"",$L$37-1)),MIN(CK$38,$E274),$P$20))-SUM($BF274:CJ274))</f>
        <v>0</v>
      </c>
      <c r="CL274" s="446">
        <f>IF($E274=0,0,IF(MIN(CL$38,$E274)&lt;MAX($P$34*($B274+$I$38-1),IF(AND($L$37=0,$P$34=0),"",$L$37-1)),0,YEARFRAC(MAX($P$34*($B274+$I$38-1),IF(AND($L$37=0,$P$34=0),"",$L$37-1)),MIN(CL$38,$E274),$P$20))-SUM($BF274:CK274))</f>
        <v>0</v>
      </c>
      <c r="CM274" s="446">
        <f>IF($E274=0,0,IF(MIN(CM$38,$E274)&lt;MAX($P$34*($B274+$I$38-1),IF(AND($L$37=0,$P$34=0),"",$L$37-1)),0,YEARFRAC(MAX($P$34*($B274+$I$38-1),IF(AND($L$37=0,$P$34=0),"",$L$37-1)),MIN(CM$38,$E274),$P$20))-SUM($BF274:CL274))</f>
        <v>0</v>
      </c>
      <c r="CN274" s="446">
        <f>IF($E274=0,0,IF(MIN(CN$38,$E274)&lt;MAX($P$34*($B274+$I$38-1),IF(AND($L$37=0,$P$34=0),"",$L$37-1)),0,YEARFRAC(MAX($P$34*($B274+$I$38-1),IF(AND($L$37=0,$P$34=0),"",$L$37-1)),MIN(CN$38,$E274),$P$20))-SUM($BF274:CM274))</f>
        <v>0</v>
      </c>
      <c r="CO274" s="446">
        <f>IF($E274=0,0,IF(MIN(CO$38,$E274)&lt;MAX($P$34*($B274+$I$38-1),IF(AND($L$37=0,$P$34=0),"",$L$37-1)),0,YEARFRAC(MAX($P$34*($B274+$I$38-1),IF(AND($L$37=0,$P$34=0),"",$L$37-1)),MIN(CO$38,$E274),$P$20))-SUM($BF274:CN274))</f>
        <v>0</v>
      </c>
      <c r="CP274" s="446">
        <f>IF($E274=0,0,IF(MIN(CP$38,$E274)&lt;MAX($P$34*($B274+$I$38-1),IF(AND($L$37=0,$P$34=0),"",$L$37-1)),0,YEARFRAC(MAX($P$34*($B274+$I$38-1),IF(AND($L$37=0,$P$34=0),"",$L$37-1)),MIN(CP$38,$E274),$P$20))-SUM($BF274:CO274))</f>
        <v>0</v>
      </c>
      <c r="CQ274" s="446">
        <f>IF($E274=0,0,IF(MIN(CQ$38,$E274)&lt;MAX($P$34*($B274+$I$38-1),IF(AND($L$37=0,$P$34=0),"",$L$37-1)),0,YEARFRAC(MAX($P$34*($B274+$I$38-1),IF(AND($L$37=0,$P$34=0),"",$L$37-1)),MIN(CQ$38,$E274),$P$20))-SUM($BF274:CP274))</f>
        <v>0</v>
      </c>
    </row>
    <row r="275" spans="1:95" s="446" customFormat="1" ht="11.25" hidden="1" customHeight="1" x14ac:dyDescent="0.2">
      <c r="A275" s="152"/>
      <c r="B275" s="153" t="str">
        <f t="shared" si="48"/>
        <v/>
      </c>
      <c r="C275" s="29" t="str">
        <f>IF(B275="","",IF($L$35="SELIC - TRIBUTOS",VLOOKUP(DATE(YEAR($D$19),MONTH($D$19)-1,1),ÍNDICES!$A:$DE,HLOOKUP($BL$25,ÍNDICES!$B$3:$T$4,2)+11)-VLOOKUP(B275,ÍNDICES!$A:$DE,HLOOKUP($BL$25,ÍNDICES!$B$3:$T$4,2)+11)+1%,IF(C$38=$W$26,$J$35,IF(ISERROR(IF(B275&gt;$D$19,1,VLOOKUP(DATE(YEAR(B275),MONTH(B275)+IF($C$35=$S$23,1,0),1),ÍNDICES!$A:$DE,$Z$35+1))),"",IF(B275&gt;$D$19,1,VLOOKUP(DATE(YEAR(B275),MONTH(B275)+IF($C$35=$S$23,1,0),1),ÍNDICES!$A:$DE,$Z$35+1))))))</f>
        <v/>
      </c>
      <c r="D275" s="154" t="str">
        <f>IF(ISERROR(IF(OR($D$38=$Y$27,$B275=""),"",VLOOKUP(B275,ÍNDICES!A:DE,AF$35+1))),"",IF(OR($D$38=$Y$27,$B275=""),"",VLOOKUP(B275,ÍNDICES!A:DE,AF$35+1)))</f>
        <v/>
      </c>
      <c r="E275" s="153"/>
      <c r="F275" s="29" t="str">
        <f>IF(E275="","",IF($L$35="SELIC - TRIBUTOS",VLOOKUP(DATE(YEAR($D$19),MONTH($D$19)-1,1),ÍNDICES!$A:$DE,HLOOKUP($BL$25,ÍNDICES!$B$3:$T$4,2)+11)-VLOOKUP(E275,ÍNDICES!$A:$DE,HLOOKUP($BL$25,ÍNDICES!$B$3:$T$4,2)+11)+1%,IF(F$38=$W$26,$J$35,IF(ISERROR(IF(E275&gt;$D$19,1,VLOOKUP(DATE(YEAR(E275),MONTH(E275)+IF($C$35=$S$23,1,0),1),ÍNDICES!$A:$DE,$Z$35+1))),"",IF(E275&gt;$D$19,1,VLOOKUP(DATE(YEAR(E275),MONTH(E275)+IF($C$35=$S$23,1,0),1),ÍNDICES!$A:$DE,$Z$35+1))))))</f>
        <v/>
      </c>
      <c r="G275" s="155"/>
      <c r="H275" s="156" t="str">
        <f t="shared" si="44"/>
        <v/>
      </c>
      <c r="I275" s="29" t="str">
        <f t="shared" si="38"/>
        <v/>
      </c>
      <c r="J275" s="5">
        <f t="shared" si="39"/>
        <v>0</v>
      </c>
      <c r="K275" s="20">
        <f t="shared" ca="1" si="40"/>
        <v>0</v>
      </c>
      <c r="L275" s="5">
        <f t="shared" ca="1" si="41"/>
        <v>0</v>
      </c>
      <c r="M275" s="64">
        <f t="shared" si="45"/>
        <v>0</v>
      </c>
      <c r="N275" s="61">
        <f t="shared" ca="1" si="46"/>
        <v>0</v>
      </c>
      <c r="O275" s="5">
        <f t="shared" ca="1" si="47"/>
        <v>0</v>
      </c>
      <c r="P275" s="446" t="e">
        <f t="shared" si="42"/>
        <v>#VALUE!</v>
      </c>
      <c r="Q275" s="446" t="e">
        <f>IF(OR($B275="",MIN(Q$38,$D$19)&lt;MAX($P$34*($B275+IF($R$17="Distrato",$I$38-1,0)),IF(AND($L$37=0,$P$34=0),"",$L$37-1),IF($R$17="Distrato",$E275,0))),0,YEARFRAC(MAX($P$34*($B275+IF($R$17="Distrato",$I$38-1,0)),IF(AND($L$37=0,$P$34=0),"",$L$37-1),IF($R$17="Distrato",$E275,0)),MIN(Q$38,$D$19),$P$20))-SUM($P275:P275)</f>
        <v>#VALUE!</v>
      </c>
      <c r="R275" s="446" t="e">
        <f>IF(OR($B275="",MIN(R$38,$D$19)&lt;MAX($P$34*($B275+IF($R$17="Distrato",$I$38-1,0)),IF(AND($L$37=0,$P$34=0),"",$L$37-1),IF($R$17="Distrato",$E275,0))),0,YEARFRAC(MAX($P$34*($B275+IF($R$17="Distrato",$I$38-1,0)),IF(AND($L$37=0,$P$34=0),"",$L$37-1),IF($R$17="Distrato",$E275,0)),MIN(R$38,$D$19),$P$20))-SUM($P275:Q275)</f>
        <v>#VALUE!</v>
      </c>
      <c r="S275" s="446" t="e">
        <f>IF(OR($B275="",MIN(S$38,$D$19)&lt;MAX($P$34*($B275+IF($R$17="Distrato",$I$38-1,0)),IF(AND($L$37=0,$P$34=0),"",$L$37-1),IF($R$17="Distrato",$E275,0))),0,YEARFRAC(MAX($P$34*($B275+IF($R$17="Distrato",$I$38-1,0)),IF(AND($L$37=0,$P$34=0),"",$L$37-1),IF($R$17="Distrato",$E275,0)),MIN(S$38,$D$19),$P$20))-SUM($P275:R275)</f>
        <v>#VALUE!</v>
      </c>
      <c r="T275" s="446" t="e">
        <f>IF(OR($B275="",MIN(T$38,$D$19)&lt;MAX($P$34*($B275+IF($R$17="Distrato",$I$38-1,0)),IF(AND($L$37=0,$P$34=0),"",$L$37-1),IF($R$17="Distrato",$E275,0))),0,YEARFRAC(MAX($P$34*($B275+IF($R$17="Distrato",$I$38-1,0)),IF(AND($L$37=0,$P$34=0),"",$L$37-1),IF($R$17="Distrato",$E275,0)),MIN(T$38,$D$19),$P$20))-SUM($P275:S275)</f>
        <v>#VALUE!</v>
      </c>
      <c r="U275" s="446" t="e">
        <f>IF(OR($B275="",MIN(U$38,$D$19)&lt;MAX($P$34*($B275+IF($R$17="Distrato",$I$38-1,0)),IF(AND($L$37=0,$P$34=0),"",$L$37-1),IF($R$17="Distrato",$E275,0))),0,YEARFRAC(MAX($P$34*($B275+IF($R$17="Distrato",$I$38-1,0)),IF(AND($L$37=0,$P$34=0),"",$L$37-1),IF($R$17="Distrato",$E275,0)),MIN(U$38,$D$19),$P$20))-SUM($P275:T275)</f>
        <v>#VALUE!</v>
      </c>
      <c r="V275" s="446" t="e">
        <f>IF(OR($B275="",MIN(V$38,$D$19)&lt;MAX($P$34*($B275+IF($R$17="Distrato",$I$38-1,0)),IF(AND($L$37=0,$P$34=0),"",$L$37-1),IF($R$17="Distrato",$E275,0))),0,YEARFRAC(MAX($P$34*($B275+IF($R$17="Distrato",$I$38-1,0)),IF(AND($L$37=0,$P$34=0),"",$L$37-1),IF($R$17="Distrato",$E275,0)),MIN(V$38,$D$19),$P$20))-SUM($P275:U275)</f>
        <v>#VALUE!</v>
      </c>
      <c r="W275" s="446" t="e">
        <f>IF(OR($B275="",MIN(W$38,$D$19)&lt;MAX($P$34*($B275+IF($R$17="Distrato",$I$38-1,0)),IF(AND($L$37=0,$P$34=0),"",$L$37-1),IF($R$17="Distrato",$E275,0))),0,YEARFRAC(MAX($P$34*($B275+IF($R$17="Distrato",$I$38-1,0)),IF(AND($L$37=0,$P$34=0),"",$L$37-1),IF($R$17="Distrato",$E275,0)),MIN(W$38,$D$19),$P$20))-SUM($P275:V275)</f>
        <v>#VALUE!</v>
      </c>
      <c r="X275" s="446" t="e">
        <f>IF(OR($B275="",MIN(X$38,$D$19)&lt;MAX($P$34*($B275+IF($R$17="Distrato",$I$38-1,0)),IF(AND($L$37=0,$P$34=0),"",$L$37-1),IF($R$17="Distrato",$E275,0))),0,YEARFRAC(MAX($P$34*($B275+IF($R$17="Distrato",$I$38-1,0)),IF(AND($L$37=0,$P$34=0),"",$L$37-1),IF($R$17="Distrato",$E275,0)),MIN(X$38,$D$19),$P$20))-SUM($P275:W275)</f>
        <v>#VALUE!</v>
      </c>
      <c r="Y275" s="446" t="e">
        <f>IF(OR($B275="",MIN(Y$38,$D$19)&lt;MAX($P$34*($B275+IF($R$17="Distrato",$I$38-1,0)),IF(AND($L$37=0,$P$34=0),"",$L$37-1),IF($R$17="Distrato",$E275,0))),0,YEARFRAC(MAX($P$34*($B275+IF($R$17="Distrato",$I$38-1,0)),IF(AND($L$37=0,$P$34=0),"",$L$37-1),IF($R$17="Distrato",$E275,0)),MIN(Y$38,$D$19),$P$20))-SUM($P275:X275)</f>
        <v>#VALUE!</v>
      </c>
      <c r="Z275" s="446" t="e">
        <f>IF(OR($B275="",MIN(Z$38,$D$19)&lt;MAX($P$34*($B275+IF($R$17="Distrato",$I$38-1,0)),IF(AND($L$37=0,$P$34=0),"",$L$37-1),IF($R$17="Distrato",$E275,0))),0,YEARFRAC(MAX($P$34*($B275+IF($R$17="Distrato",$I$38-1,0)),IF(AND($L$37=0,$P$34=0),"",$L$37-1),IF($R$17="Distrato",$E275,0)),MIN(Z$38,$D$19),$P$20))-SUM($P275:Y275)</f>
        <v>#VALUE!</v>
      </c>
      <c r="AA275" s="446" t="e">
        <f>IF(OR($B275="",MIN(AA$38,$D$19)&lt;MAX($P$34*($B275+IF($R$17="Distrato",$I$38-1,0)),IF(AND($L$37=0,$P$34=0),"",$L$37-1),IF($R$17="Distrato",$E275,0))),0,YEARFRAC(MAX($P$34*($B275+IF($R$17="Distrato",$I$38-1,0)),IF(AND($L$37=0,$P$34=0),"",$L$37-1),IF($R$17="Distrato",$E275,0)),MIN(AA$38,$D$19),$P$20))-SUM($P275:Z275)</f>
        <v>#VALUE!</v>
      </c>
      <c r="AB275" s="446" t="e">
        <f>IF(OR($B275="",MIN(AB$38,$D$19)&lt;MAX($P$34*($B275+IF($R$17="Distrato",$I$38-1,0)),IF(AND($L$37=0,$P$34=0),"",$L$37-1),IF($R$17="Distrato",$E275,0))),0,YEARFRAC(MAX($P$34*($B275+IF($R$17="Distrato",$I$38-1,0)),IF(AND($L$37=0,$P$34=0),"",$L$37-1),IF($R$17="Distrato",$E275,0)),MIN(AB$38,$D$19),$P$20))-SUM($P275:AA275)</f>
        <v>#VALUE!</v>
      </c>
      <c r="AC275" s="446" t="e">
        <f>IF(OR($B275="",MIN(AC$38,$D$19)&lt;MAX($P$34*($B275+IF($R$17="Distrato",$I$38-1,0)),IF(AND($L$37=0,$P$34=0),"",$L$37-1),IF($R$17="Distrato",$E275,0))),0,YEARFRAC(MAX($P$34*($B275+IF($R$17="Distrato",$I$38-1,0)),IF(AND($L$37=0,$P$34=0),"",$L$37-1),IF($R$17="Distrato",$E275,0)),MIN(AC$38,$D$19),$P$20))-SUM($P275:AB275)</f>
        <v>#VALUE!</v>
      </c>
      <c r="AD275" s="446" t="e">
        <f>IF(OR($B275="",MIN(AD$38,$D$19)&lt;MAX($P$34*($B275+IF($R$17="Distrato",$I$38-1,0)),IF(AND($L$37=0,$P$34=0),"",$L$37-1),IF($R$17="Distrato",$E275,0))),0,YEARFRAC(MAX($P$34*($B275+IF($R$17="Distrato",$I$38-1,0)),IF(AND($L$37=0,$P$34=0),"",$L$37-1),IF($R$17="Distrato",$E275,0)),MIN(AD$38,$D$19),$P$20))-SUM($P275:AC275)</f>
        <v>#VALUE!</v>
      </c>
      <c r="AE275" s="446" t="e">
        <f>IF(OR($B275="",MIN(AE$38,$D$19)&lt;MAX($P$34*($B275+IF($R$17="Distrato",$I$38-1,0)),IF(AND($L$37=0,$P$34=0),"",$L$37-1),IF($R$17="Distrato",$E275,0))),0,YEARFRAC(MAX($P$34*($B275+IF($R$17="Distrato",$I$38-1,0)),IF(AND($L$37=0,$P$34=0),"",$L$37-1),IF($R$17="Distrato",$E275,0)),MIN(AE$38,$D$19),$P$20))-SUM($P275:AD275)</f>
        <v>#VALUE!</v>
      </c>
      <c r="AF275" s="446" t="e">
        <f>IF(OR($B275="",MIN(AF$38,$D$19)&lt;MAX($P$34*($B275+IF($R$17="Distrato",$I$38-1,0)),IF(AND($L$37=0,$P$34=0),"",$L$37-1),IF($R$17="Distrato",$E275,0))),0,YEARFRAC(MAX($P$34*($B275+IF($R$17="Distrato",$I$38-1,0)),IF(AND($L$37=0,$P$34=0),"",$L$37-1),IF($R$17="Distrato",$E275,0)),MIN(AF$38,$D$19),$P$20))-SUM($P275:AE275)</f>
        <v>#VALUE!</v>
      </c>
      <c r="AG275" s="446" t="e">
        <f>IF(OR($B275="",MIN(AG$38,$D$19)&lt;MAX($P$34*($B275+IF($R$17="Distrato",$I$38-1,0)),IF(AND($L$37=0,$P$34=0),"",$L$37-1),IF($R$17="Distrato",$E275,0))),0,YEARFRAC(MAX($P$34*($B275+IF($R$17="Distrato",$I$38-1,0)),IF(AND($L$37=0,$P$34=0),"",$L$37-1),IF($R$17="Distrato",$E275,0)),MIN(AG$38,$D$19),$P$20))-SUM($P275:AF275)</f>
        <v>#VALUE!</v>
      </c>
      <c r="AH275" s="446" t="e">
        <f>IF(OR($B275="",MIN(AH$38,$D$19)&lt;MAX($P$34*($B275+IF($R$17="Distrato",$I$38-1,0)),IF(AND($L$37=0,$P$34=0),"",$L$37-1),IF($R$17="Distrato",$E275,0))),0,YEARFRAC(MAX($P$34*($B275+IF($R$17="Distrato",$I$38-1,0)),IF(AND($L$37=0,$P$34=0),"",$L$37-1),IF($R$17="Distrato",$E275,0)),MIN(AH$38,$D$19),$P$20))-SUM($P275:AG275)</f>
        <v>#VALUE!</v>
      </c>
      <c r="AI275" s="446" t="e">
        <f>IF(OR($B275="",MIN(AI$38,$D$19)&lt;MAX($P$34*($B275+IF($R$17="Distrato",$I$38-1,0)),IF(AND($L$37=0,$P$34=0),"",$L$37-1),IF($R$17="Distrato",$E275,0))),0,YEARFRAC(MAX($P$34*($B275+IF($R$17="Distrato",$I$38-1,0)),IF(AND($L$37=0,$P$34=0),"",$L$37-1),IF($R$17="Distrato",$E275,0)),MIN(AI$38,$D$19),$P$20))-SUM($P275:AH275)</f>
        <v>#VALUE!</v>
      </c>
      <c r="AJ275" s="446" t="e">
        <f>IF(OR($B275="",MIN(AJ$38,$D$19)&lt;MAX($P$34*($B275+IF($R$17="Distrato",$I$38-1,0)),IF(AND($L$37=0,$P$34=0),"",$L$37-1),IF($R$17="Distrato",$E275,0))),0,YEARFRAC(MAX($P$34*($B275+IF($R$17="Distrato",$I$38-1,0)),IF(AND($L$37=0,$P$34=0),"",$L$37-1),IF($R$17="Distrato",$E275,0)),MIN(AJ$38,$D$19),$P$20))-SUM($P275:AI275)</f>
        <v>#VALUE!</v>
      </c>
      <c r="AK275" s="446" t="e">
        <f>IF(OR($B275="",MIN(AK$38,$D$19)&lt;MAX($P$34*($B275+IF($R$17="Distrato",$I$38-1,0)),IF(AND($L$37=0,$P$34=0),"",$L$37-1),IF($R$17="Distrato",$E275,0))),0,YEARFRAC(MAX($P$34*($B275+IF($R$17="Distrato",$I$38-1,0)),IF(AND($L$37=0,$P$34=0),"",$L$37-1),IF($R$17="Distrato",$E275,0)),MIN(AK$38,$D$19),$P$20))-SUM($P275:AJ275)</f>
        <v>#VALUE!</v>
      </c>
      <c r="AL275" s="446" t="e">
        <f>IF(OR($B275="",MIN(AL$38,$D$19)&lt;MAX($P$34*($B275+IF($R$17="Distrato",$I$38-1,0)),IF(AND($L$37=0,$P$34=0),"",$L$37-1),IF($R$17="Distrato",$E275,0))),0,YEARFRAC(MAX($P$34*($B275+IF($R$17="Distrato",$I$38-1,0)),IF(AND($L$37=0,$P$34=0),"",$L$37-1),IF($R$17="Distrato",$E275,0)),MIN(AL$38,$D$19),$P$20))-SUM($P275:AK275)</f>
        <v>#VALUE!</v>
      </c>
      <c r="AM275" s="446" t="e">
        <f>IF(OR($B275="",MIN(AM$38,$D$19)&lt;MAX($P$34*($B275+IF($R$17="Distrato",$I$38-1,0)),IF(AND($L$37=0,$P$34=0),"",$L$37-1),IF($R$17="Distrato",$E275,0))),0,YEARFRAC(MAX($P$34*($B275+IF($R$17="Distrato",$I$38-1,0)),IF(AND($L$37=0,$P$34=0),"",$L$37-1),IF($R$17="Distrato",$E275,0)),MIN(AM$38,$D$19),$P$20))-SUM($P275:AL275)</f>
        <v>#VALUE!</v>
      </c>
      <c r="AN275" s="446" t="e">
        <f>IF(OR($B275="",MIN(AN$38,$D$19)&lt;MAX($P$34*($B275+IF($R$17="Distrato",$I$38-1,0)),IF(AND($L$37=0,$P$34=0),"",$L$37-1),IF($R$17="Distrato",$E275,0))),0,YEARFRAC(MAX($P$34*($B275+IF($R$17="Distrato",$I$38-1,0)),IF(AND($L$37=0,$P$34=0),"",$L$37-1),IF($R$17="Distrato",$E275,0)),MIN(AN$38,$D$19),$P$20))-SUM($P275:AM275)</f>
        <v>#VALUE!</v>
      </c>
      <c r="AO275" s="446" t="e">
        <f>IF(OR($B275="",MIN(AO$38,$D$19)&lt;MAX($P$34*($B275+IF($R$17="Distrato",$I$38-1,0)),IF(AND($L$37=0,$P$34=0),"",$L$37-1),IF($R$17="Distrato",$E275,0))),0,YEARFRAC(MAX($P$34*($B275+IF($R$17="Distrato",$I$38-1,0)),IF(AND($L$37=0,$P$34=0),"",$L$37-1),IF($R$17="Distrato",$E275,0)),MIN(AO$38,$D$19),$P$20))-SUM($P275:AN275)</f>
        <v>#VALUE!</v>
      </c>
      <c r="AP275" s="446" t="e">
        <f>IF(OR($B275="",MIN(AP$38,$D$19)&lt;MAX($P$34*($B275+IF($R$17="Distrato",$I$38-1,0)),IF(AND($L$37=0,$P$34=0),"",$L$37-1),IF($R$17="Distrato",$E275,0))),0,YEARFRAC(MAX($P$34*($B275+IF($R$17="Distrato",$I$38-1,0)),IF(AND($L$37=0,$P$34=0),"",$L$37-1),IF($R$17="Distrato",$E275,0)),MIN(AP$38,$D$19),$P$20))-SUM($P275:AO275)</f>
        <v>#VALUE!</v>
      </c>
      <c r="AQ275" s="446" t="e">
        <f>IF(OR($B275="",MIN(AQ$38,$D$19)&lt;MAX($P$34*($B275+IF($R$17="Distrato",$I$38-1,0)),IF(AND($L$37=0,$P$34=0),"",$L$37-1),IF($R$17="Distrato",$E275,0))),0,YEARFRAC(MAX($P$34*($B275+IF($R$17="Distrato",$I$38-1,0)),IF(AND($L$37=0,$P$34=0),"",$L$37-1),IF($R$17="Distrato",$E275,0)),MIN(AQ$38,$D$19),$P$20))-SUM($P275:AP275)</f>
        <v>#VALUE!</v>
      </c>
      <c r="AR275" s="446" t="e">
        <f>IF(OR($B275="",MIN(AR$38,$D$19)&lt;MAX($P$34*($B275+IF($R$17="Distrato",$I$38-1,0)),IF(AND($L$37=0,$P$34=0),"",$L$37-1),IF($R$17="Distrato",$E275,0))),0,YEARFRAC(MAX($P$34*($B275+IF($R$17="Distrato",$I$38-1,0)),IF(AND($L$37=0,$P$34=0),"",$L$37-1),IF($R$17="Distrato",$E275,0)),MIN(AR$38,$D$19),$P$20))-SUM($P275:AQ275)</f>
        <v>#VALUE!</v>
      </c>
      <c r="AS275" s="446" t="e">
        <f>IF(OR($B275="",MIN(AS$38,$D$19)&lt;MAX($P$34*($B275+IF($R$17="Distrato",$I$38-1,0)),IF(AND($L$37=0,$P$34=0),"",$L$37-1),IF($R$17="Distrato",$E275,0))),0,YEARFRAC(MAX($P$34*($B275+IF($R$17="Distrato",$I$38-1,0)),IF(AND($L$37=0,$P$34=0),"",$L$37-1),IF($R$17="Distrato",$E275,0)),MIN(AS$38,$D$19),$P$20))-SUM($P275:AR275)</f>
        <v>#VALUE!</v>
      </c>
      <c r="AT275" s="446" t="e">
        <f>IF(OR($B275="",MIN(AT$38,$D$19)&lt;MAX($P$34*($B275+IF($R$17="Distrato",$I$38-1,0)),IF(AND($L$37=0,$P$34=0),"",$L$37-1),IF($R$17="Distrato",$E275,0))),0,YEARFRAC(MAX($P$34*($B275+IF($R$17="Distrato",$I$38-1,0)),IF(AND($L$37=0,$P$34=0),"",$L$37-1),IF($R$17="Distrato",$E275,0)),MIN(AT$38,$D$19),$P$20))-SUM($P275:AS275)</f>
        <v>#VALUE!</v>
      </c>
      <c r="AU275" s="446" t="e">
        <f>IF(OR($B275="",MIN(AU$38,$D$19)&lt;MAX($P$34*($B275+IF($R$17="Distrato",$I$38-1,0)),IF(AND($L$37=0,$P$34=0),"",$L$37-1),IF($R$17="Distrato",$E275,0))),0,YEARFRAC(MAX($P$34*($B275+IF($R$17="Distrato",$I$38-1,0)),IF(AND($L$37=0,$P$34=0),"",$L$37-1),IF($R$17="Distrato",$E275,0)),MIN(AU$38,$D$19),$P$20))-SUM($P275:AT275)</f>
        <v>#VALUE!</v>
      </c>
      <c r="AV275" s="446" t="e">
        <f>IF(OR($B275="",MIN(AV$38,$D$19)&lt;MAX($P$34*($B275+IF($R$17="Distrato",$I$38-1,0)),IF(AND($L$37=0,$P$34=0),"",$L$37-1),IF($R$17="Distrato",$E275,0))),0,YEARFRAC(MAX($P$34*($B275+IF($R$17="Distrato",$I$38-1,0)),IF(AND($L$37=0,$P$34=0),"",$L$37-1),IF($R$17="Distrato",$E275,0)),MIN(AV$38,$D$19),$P$20))-SUM($P275:AU275)</f>
        <v>#VALUE!</v>
      </c>
      <c r="AW275" s="446" t="e">
        <f>IF(OR($B275="",MIN(AW$38,$D$19)&lt;MAX($P$34*($B275+IF($R$17="Distrato",$I$38-1,0)),IF(AND($L$37=0,$P$34=0),"",$L$37-1),IF($R$17="Distrato",$E275,0))),0,YEARFRAC(MAX($P$34*($B275+IF($R$17="Distrato",$I$38-1,0)),IF(AND($L$37=0,$P$34=0),"",$L$37-1),IF($R$17="Distrato",$E275,0)),MIN(AW$38,$D$19),$P$20))-SUM($P275:AV275)</f>
        <v>#VALUE!</v>
      </c>
      <c r="AX275" s="446" t="e">
        <f>IF(OR($B275="",MIN(AX$38,$D$19)&lt;MAX($P$34*($B275+IF($R$17="Distrato",$I$38-1,0)),IF(AND($L$37=0,$P$34=0),"",$L$37-1),IF($R$17="Distrato",$E275,0))),0,YEARFRAC(MAX($P$34*($B275+IF($R$17="Distrato",$I$38-1,0)),IF(AND($L$37=0,$P$34=0),"",$L$37-1),IF($R$17="Distrato",$E275,0)),MIN(AX$38,$D$19),$P$20))-SUM($P275:AW275)</f>
        <v>#VALUE!</v>
      </c>
      <c r="AY275" s="446" t="e">
        <f>IF(OR($B275="",MIN(AY$38,$D$19)&lt;MAX($P$34*($B275+IF($R$17="Distrato",$I$38-1,0)),IF(AND($L$37=0,$P$34=0),"",$L$37-1),IF($R$17="Distrato",$E275,0))),0,YEARFRAC(MAX($P$34*($B275+IF($R$17="Distrato",$I$38-1,0)),IF(AND($L$37=0,$P$34=0),"",$L$37-1),IF($R$17="Distrato",$E275,0)),MIN(AY$38,$D$19),$P$20))-SUM($P275:AX275)</f>
        <v>#VALUE!</v>
      </c>
      <c r="AZ275" s="446" t="e">
        <f>IF(OR($B275="",MIN(AZ$38,$D$19)&lt;MAX($P$34*($B275+IF($R$17="Distrato",$I$38-1,0)),IF(AND($L$37=0,$P$34=0),"",$L$37-1),IF($R$17="Distrato",$E275,0))),0,YEARFRAC(MAX($P$34*($B275+IF($R$17="Distrato",$I$38-1,0)),IF(AND($L$37=0,$P$34=0),"",$L$37-1),IF($R$17="Distrato",$E275,0)),MIN(AZ$38,$D$19),$P$20))-SUM($P275:AY275)</f>
        <v>#VALUE!</v>
      </c>
      <c r="BA275" s="446" t="e">
        <f>IF(OR($B275="",MIN(BA$38,$D$19)&lt;MAX($P$34*($B275+IF($R$17="Distrato",$I$38-1,0)),IF(AND($L$37=0,$P$34=0),"",$L$37-1),IF($R$17="Distrato",$E275,0))),0,YEARFRAC(MAX($P$34*($B275+IF($R$17="Distrato",$I$38-1,0)),IF(AND($L$37=0,$P$34=0),"",$L$37-1),IF($R$17="Distrato",$E275,0)),MIN(BA$38,$D$19),$P$20))-SUM($P275:AZ275)</f>
        <v>#VALUE!</v>
      </c>
      <c r="BB275" s="447"/>
      <c r="BF275" s="446">
        <f t="shared" si="43"/>
        <v>0</v>
      </c>
      <c r="BG275" s="446">
        <f>IF($E275=0,0,IF(MIN(BG$38,$E275)&lt;MAX($P$34*($B275+$I$38-1),IF(AND($L$37=0,$P$34=0),"",$L$37-1)),0,YEARFRAC(MAX($P$34*($B275+$I$38-1),IF(AND($L$37=0,$P$34=0),"",$L$37-1)),MIN(BG$38,$E275),$P$20))-SUM($BF275:BF275))</f>
        <v>0</v>
      </c>
      <c r="BH275" s="446">
        <f>IF($E275=0,0,IF(MIN(BH$38,$E275)&lt;MAX($P$34*($B275+$I$38-1),IF(AND($L$37=0,$P$34=0),"",$L$37-1)),0,YEARFRAC(MAX($P$34*($B275+$I$38-1),IF(AND($L$37=0,$P$34=0),"",$L$37-1)),MIN(BH$38,$E275),$P$20))-SUM($BF275:BG275))</f>
        <v>0</v>
      </c>
      <c r="BI275" s="446">
        <f>IF($E275=0,0,IF(MIN(BI$38,$E275)&lt;MAX($P$34*($B275+$I$38-1),IF(AND($L$37=0,$P$34=0),"",$L$37-1)),0,YEARFRAC(MAX($P$34*($B275+$I$38-1),IF(AND($L$37=0,$P$34=0),"",$L$37-1)),MIN(BI$38,$E275),$P$20))-SUM($BF275:BH275))</f>
        <v>0</v>
      </c>
      <c r="BJ275" s="446">
        <f>IF($E275=0,0,IF(MIN(BJ$38,$E275)&lt;MAX($P$34*($B275+$I$38-1),IF(AND($L$37=0,$P$34=0),"",$L$37-1)),0,YEARFRAC(MAX($P$34*($B275+$I$38-1),IF(AND($L$37=0,$P$34=0),"",$L$37-1)),MIN(BJ$38,$E275),$P$20))-SUM($BF275:BI275))</f>
        <v>0</v>
      </c>
      <c r="BK275" s="446">
        <f>IF($E275=0,0,IF(MIN(BK$38,$E275)&lt;MAX($P$34*($B275+$I$38-1),IF(AND($L$37=0,$P$34=0),"",$L$37-1)),0,YEARFRAC(MAX($P$34*($B275+$I$38-1),IF(AND($L$37=0,$P$34=0),"",$L$37-1)),MIN(BK$38,$E275),$P$20))-SUM($BF275:BJ275))</f>
        <v>0</v>
      </c>
      <c r="BL275" s="446">
        <f>IF($E275=0,0,IF(MIN(BL$38,$E275)&lt;MAX($P$34*($B275+$I$38-1),IF(AND($L$37=0,$P$34=0),"",$L$37-1)),0,YEARFRAC(MAX($P$34*($B275+$I$38-1),IF(AND($L$37=0,$P$34=0),"",$L$37-1)),MIN(BL$38,$E275),$P$20))-SUM($BF275:BK275))</f>
        <v>0</v>
      </c>
      <c r="BM275" s="446">
        <f>IF($E275=0,0,IF(MIN(BM$38,$E275)&lt;MAX($P$34*($B275+$I$38-1),IF(AND($L$37=0,$P$34=0),"",$L$37-1)),0,YEARFRAC(MAX($P$34*($B275+$I$38-1),IF(AND($L$37=0,$P$34=0),"",$L$37-1)),MIN(BM$38,$E275),$P$20))-SUM($BF275:BL275))</f>
        <v>0</v>
      </c>
      <c r="BN275" s="446">
        <f>IF($E275=0,0,IF(MIN(BN$38,$E275)&lt;MAX($P$34*($B275+$I$38-1),IF(AND($L$37=0,$P$34=0),"",$L$37-1)),0,YEARFRAC(MAX($P$34*($B275+$I$38-1),IF(AND($L$37=0,$P$34=0),"",$L$37-1)),MIN(BN$38,$E275),$P$20))-SUM($BF275:BM275))</f>
        <v>0</v>
      </c>
      <c r="BO275" s="446">
        <f>IF($E275=0,0,IF(MIN(BO$38,$E275)&lt;MAX($P$34*($B275+$I$38-1),IF(AND($L$37=0,$P$34=0),"",$L$37-1)),0,YEARFRAC(MAX($P$34*($B275+$I$38-1),IF(AND($L$37=0,$P$34=0),"",$L$37-1)),MIN(BO$38,$E275),$P$20))-SUM($BF275:BN275))</f>
        <v>0</v>
      </c>
      <c r="BP275" s="446">
        <f>IF($E275=0,0,IF(MIN(BP$38,$E275)&lt;MAX($P$34*($B275+$I$38-1),IF(AND($L$37=0,$P$34=0),"",$L$37-1)),0,YEARFRAC(MAX($P$34*($B275+$I$38-1),IF(AND($L$37=0,$P$34=0),"",$L$37-1)),MIN(BP$38,$E275),$P$20))-SUM($BF275:BO275))</f>
        <v>0</v>
      </c>
      <c r="BQ275" s="446">
        <f>IF($E275=0,0,IF(MIN(BQ$38,$E275)&lt;MAX($P$34*($B275+$I$38-1),IF(AND($L$37=0,$P$34=0),"",$L$37-1)),0,YEARFRAC(MAX($P$34*($B275+$I$38-1),IF(AND($L$37=0,$P$34=0),"",$L$37-1)),MIN(BQ$38,$E275),$P$20))-SUM($BF275:BP275))</f>
        <v>0</v>
      </c>
      <c r="BR275" s="446">
        <f>IF($E275=0,0,IF(MIN(BR$38,$E275)&lt;MAX($P$34*($B275+$I$38-1),IF(AND($L$37=0,$P$34=0),"",$L$37-1)),0,YEARFRAC(MAX($P$34*($B275+$I$38-1),IF(AND($L$37=0,$P$34=0),"",$L$37-1)),MIN(BR$38,$E275),$P$20))-SUM($BF275:BQ275))</f>
        <v>0</v>
      </c>
      <c r="BS275" s="446">
        <f>IF($E275=0,0,IF(MIN(BS$38,$E275)&lt;MAX($P$34*($B275+$I$38-1),IF(AND($L$37=0,$P$34=0),"",$L$37-1)),0,YEARFRAC(MAX($P$34*($B275+$I$38-1),IF(AND($L$37=0,$P$34=0),"",$L$37-1)),MIN(BS$38,$E275),$P$20))-SUM($BF275:BR275))</f>
        <v>0</v>
      </c>
      <c r="BT275" s="446">
        <f>IF($E275=0,0,IF(MIN(BT$38,$E275)&lt;MAX($P$34*($B275+$I$38-1),IF(AND($L$37=0,$P$34=0),"",$L$37-1)),0,YEARFRAC(MAX($P$34*($B275+$I$38-1),IF(AND($L$37=0,$P$34=0),"",$L$37-1)),MIN(BT$38,$E275),$P$20))-SUM($BF275:BS275))</f>
        <v>0</v>
      </c>
      <c r="BU275" s="446">
        <f>IF($E275=0,0,IF(MIN(BU$38,$E275)&lt;MAX($P$34*($B275+$I$38-1),IF(AND($L$37=0,$P$34=0),"",$L$37-1)),0,YEARFRAC(MAX($P$34*($B275+$I$38-1),IF(AND($L$37=0,$P$34=0),"",$L$37-1)),MIN(BU$38,$E275),$P$20))-SUM($BF275:BT275))</f>
        <v>0</v>
      </c>
      <c r="BV275" s="446">
        <f>IF($E275=0,0,IF(MIN(BV$38,$E275)&lt;MAX($P$34*($B275+$I$38-1),IF(AND($L$37=0,$P$34=0),"",$L$37-1)),0,YEARFRAC(MAX($P$34*($B275+$I$38-1),IF(AND($L$37=0,$P$34=0),"",$L$37-1)),MIN(BV$38,$E275),$P$20))-SUM($BF275:BU275))</f>
        <v>0</v>
      </c>
      <c r="BW275" s="446">
        <f>IF($E275=0,0,IF(MIN(BW$38,$E275)&lt;MAX($P$34*($B275+$I$38-1),IF(AND($L$37=0,$P$34=0),"",$L$37-1)),0,YEARFRAC(MAX($P$34*($B275+$I$38-1),IF(AND($L$37=0,$P$34=0),"",$L$37-1)),MIN(BW$38,$E275),$P$20))-SUM($BF275:BV275))</f>
        <v>0</v>
      </c>
      <c r="BX275" s="446">
        <f>IF($E275=0,0,IF(MIN(BX$38,$E275)&lt;MAX($P$34*($B275+$I$38-1),IF(AND($L$37=0,$P$34=0),"",$L$37-1)),0,YEARFRAC(MAX($P$34*($B275+$I$38-1),IF(AND($L$37=0,$P$34=0),"",$L$37-1)),MIN(BX$38,$E275),$P$20))-SUM($BF275:BW275))</f>
        <v>0</v>
      </c>
      <c r="BY275" s="446">
        <f>IF($E275=0,0,IF(MIN(BY$38,$E275)&lt;MAX($P$34*($B275+$I$38-1),IF(AND($L$37=0,$P$34=0),"",$L$37-1)),0,YEARFRAC(MAX($P$34*($B275+$I$38-1),IF(AND($L$37=0,$P$34=0),"",$L$37-1)),MIN(BY$38,$E275),$P$20))-SUM($BF275:BX275))</f>
        <v>0</v>
      </c>
      <c r="BZ275" s="446">
        <f>IF($E275=0,0,IF(MIN(BZ$38,$E275)&lt;MAX($P$34*($B275+$I$38-1),IF(AND($L$37=0,$P$34=0),"",$L$37-1)),0,YEARFRAC(MAX($P$34*($B275+$I$38-1),IF(AND($L$37=0,$P$34=0),"",$L$37-1)),MIN(BZ$38,$E275),$P$20))-SUM($BF275:BY275))</f>
        <v>0</v>
      </c>
      <c r="CA275" s="446">
        <f>IF($E275=0,0,IF(MIN(CA$38,$E275)&lt;MAX($P$34*($B275+$I$38-1),IF(AND($L$37=0,$P$34=0),"",$L$37-1)),0,YEARFRAC(MAX($P$34*($B275+$I$38-1),IF(AND($L$37=0,$P$34=0),"",$L$37-1)),MIN(CA$38,$E275),$P$20))-SUM($BF275:BZ275))</f>
        <v>0</v>
      </c>
      <c r="CB275" s="446">
        <f>IF($E275=0,0,IF(MIN(CB$38,$E275)&lt;MAX($P$34*($B275+$I$38-1),IF(AND($L$37=0,$P$34=0),"",$L$37-1)),0,YEARFRAC(MAX($P$34*($B275+$I$38-1),IF(AND($L$37=0,$P$34=0),"",$L$37-1)),MIN(CB$38,$E275),$P$20))-SUM($BF275:CA275))</f>
        <v>0</v>
      </c>
      <c r="CC275" s="446">
        <f>IF($E275=0,0,IF(MIN(CC$38,$E275)&lt;MAX($P$34*($B275+$I$38-1),IF(AND($L$37=0,$P$34=0),"",$L$37-1)),0,YEARFRAC(MAX($P$34*($B275+$I$38-1),IF(AND($L$37=0,$P$34=0),"",$L$37-1)),MIN(CC$38,$E275),$P$20))-SUM($BF275:CB275))</f>
        <v>0</v>
      </c>
      <c r="CD275" s="446">
        <f>IF($E275=0,0,IF(MIN(CD$38,$E275)&lt;MAX($P$34*($B275+$I$38-1),IF(AND($L$37=0,$P$34=0),"",$L$37-1)),0,YEARFRAC(MAX($P$34*($B275+$I$38-1),IF(AND($L$37=0,$P$34=0),"",$L$37-1)),MIN(CD$38,$E275),$P$20))-SUM($BF275:CC275))</f>
        <v>0</v>
      </c>
      <c r="CE275" s="446">
        <f>IF($E275=0,0,IF(MIN(CE$38,$E275)&lt;MAX($P$34*($B275+$I$38-1),IF(AND($L$37=0,$P$34=0),"",$L$37-1)),0,YEARFRAC(MAX($P$34*($B275+$I$38-1),IF(AND($L$37=0,$P$34=0),"",$L$37-1)),MIN(CE$38,$E275),$P$20))-SUM($BF275:CD275))</f>
        <v>0</v>
      </c>
      <c r="CF275" s="446">
        <f>IF($E275=0,0,IF(MIN(CF$38,$E275)&lt;MAX($P$34*($B275+$I$38-1),IF(AND($L$37=0,$P$34=0),"",$L$37-1)),0,YEARFRAC(MAX($P$34*($B275+$I$38-1),IF(AND($L$37=0,$P$34=0),"",$L$37-1)),MIN(CF$38,$E275),$P$20))-SUM($BF275:CE275))</f>
        <v>0</v>
      </c>
      <c r="CG275" s="446">
        <f>IF($E275=0,0,IF(MIN(CG$38,$E275)&lt;MAX($P$34*($B275+$I$38-1),IF(AND($L$37=0,$P$34=0),"",$L$37-1)),0,YEARFRAC(MAX($P$34*($B275+$I$38-1),IF(AND($L$37=0,$P$34=0),"",$L$37-1)),MIN(CG$38,$E275),$P$20))-SUM($BF275:CF275))</f>
        <v>0</v>
      </c>
      <c r="CH275" s="446">
        <f>IF($E275=0,0,IF(MIN(CH$38,$E275)&lt;MAX($P$34*($B275+$I$38-1),IF(AND($L$37=0,$P$34=0),"",$L$37-1)),0,YEARFRAC(MAX($P$34*($B275+$I$38-1),IF(AND($L$37=0,$P$34=0),"",$L$37-1)),MIN(CH$38,$E275),$P$20))-SUM($BF275:CG275))</f>
        <v>0</v>
      </c>
      <c r="CI275" s="446">
        <f>IF($E275=0,0,IF(MIN(CI$38,$E275)&lt;MAX($P$34*($B275+$I$38-1),IF(AND($L$37=0,$P$34=0),"",$L$37-1)),0,YEARFRAC(MAX($P$34*($B275+$I$38-1),IF(AND($L$37=0,$P$34=0),"",$L$37-1)),MIN(CI$38,$E275),$P$20))-SUM($BF275:CH275))</f>
        <v>0</v>
      </c>
      <c r="CJ275" s="446">
        <f>IF($E275=0,0,IF(MIN(CJ$38,$E275)&lt;MAX($P$34*($B275+$I$38-1),IF(AND($L$37=0,$P$34=0),"",$L$37-1)),0,YEARFRAC(MAX($P$34*($B275+$I$38-1),IF(AND($L$37=0,$P$34=0),"",$L$37-1)),MIN(CJ$38,$E275),$P$20))-SUM($BF275:CI275))</f>
        <v>0</v>
      </c>
      <c r="CK275" s="446">
        <f>IF($E275=0,0,IF(MIN(CK$38,$E275)&lt;MAX($P$34*($B275+$I$38-1),IF(AND($L$37=0,$P$34=0),"",$L$37-1)),0,YEARFRAC(MAX($P$34*($B275+$I$38-1),IF(AND($L$37=0,$P$34=0),"",$L$37-1)),MIN(CK$38,$E275),$P$20))-SUM($BF275:CJ275))</f>
        <v>0</v>
      </c>
      <c r="CL275" s="446">
        <f>IF($E275=0,0,IF(MIN(CL$38,$E275)&lt;MAX($P$34*($B275+$I$38-1),IF(AND($L$37=0,$P$34=0),"",$L$37-1)),0,YEARFRAC(MAX($P$34*($B275+$I$38-1),IF(AND($L$37=0,$P$34=0),"",$L$37-1)),MIN(CL$38,$E275),$P$20))-SUM($BF275:CK275))</f>
        <v>0</v>
      </c>
      <c r="CM275" s="446">
        <f>IF($E275=0,0,IF(MIN(CM$38,$E275)&lt;MAX($P$34*($B275+$I$38-1),IF(AND($L$37=0,$P$34=0),"",$L$37-1)),0,YEARFRAC(MAX($P$34*($B275+$I$38-1),IF(AND($L$37=0,$P$34=0),"",$L$37-1)),MIN(CM$38,$E275),$P$20))-SUM($BF275:CL275))</f>
        <v>0</v>
      </c>
      <c r="CN275" s="446">
        <f>IF($E275=0,0,IF(MIN(CN$38,$E275)&lt;MAX($P$34*($B275+$I$38-1),IF(AND($L$37=0,$P$34=0),"",$L$37-1)),0,YEARFRAC(MAX($P$34*($B275+$I$38-1),IF(AND($L$37=0,$P$34=0),"",$L$37-1)),MIN(CN$38,$E275),$P$20))-SUM($BF275:CM275))</f>
        <v>0</v>
      </c>
      <c r="CO275" s="446">
        <f>IF($E275=0,0,IF(MIN(CO$38,$E275)&lt;MAX($P$34*($B275+$I$38-1),IF(AND($L$37=0,$P$34=0),"",$L$37-1)),0,YEARFRAC(MAX($P$34*($B275+$I$38-1),IF(AND($L$37=0,$P$34=0),"",$L$37-1)),MIN(CO$38,$E275),$P$20))-SUM($BF275:CN275))</f>
        <v>0</v>
      </c>
      <c r="CP275" s="446">
        <f>IF($E275=0,0,IF(MIN(CP$38,$E275)&lt;MAX($P$34*($B275+$I$38-1),IF(AND($L$37=0,$P$34=0),"",$L$37-1)),0,YEARFRAC(MAX($P$34*($B275+$I$38-1),IF(AND($L$37=0,$P$34=0),"",$L$37-1)),MIN(CP$38,$E275),$P$20))-SUM($BF275:CO275))</f>
        <v>0</v>
      </c>
      <c r="CQ275" s="446">
        <f>IF($E275=0,0,IF(MIN(CQ$38,$E275)&lt;MAX($P$34*($B275+$I$38-1),IF(AND($L$37=0,$P$34=0),"",$L$37-1)),0,YEARFRAC(MAX($P$34*($B275+$I$38-1),IF(AND($L$37=0,$P$34=0),"",$L$37-1)),MIN(CQ$38,$E275),$P$20))-SUM($BF275:CP275))</f>
        <v>0</v>
      </c>
    </row>
    <row r="276" spans="1:95" s="446" customFormat="1" ht="11.25" hidden="1" customHeight="1" x14ac:dyDescent="0.2">
      <c r="A276" s="152"/>
      <c r="B276" s="153" t="str">
        <f t="shared" si="48"/>
        <v/>
      </c>
      <c r="C276" s="29" t="str">
        <f>IF(B276="","",IF($L$35="SELIC - TRIBUTOS",VLOOKUP(DATE(YEAR($D$19),MONTH($D$19)-1,1),ÍNDICES!$A:$DE,HLOOKUP($BL$25,ÍNDICES!$B$3:$T$4,2)+11)-VLOOKUP(B276,ÍNDICES!$A:$DE,HLOOKUP($BL$25,ÍNDICES!$B$3:$T$4,2)+11)+1%,IF(C$38=$W$26,$J$35,IF(ISERROR(IF(B276&gt;$D$19,1,VLOOKUP(DATE(YEAR(B276),MONTH(B276)+IF($C$35=$S$23,1,0),1),ÍNDICES!$A:$DE,$Z$35+1))),"",IF(B276&gt;$D$19,1,VLOOKUP(DATE(YEAR(B276),MONTH(B276)+IF($C$35=$S$23,1,0),1),ÍNDICES!$A:$DE,$Z$35+1))))))</f>
        <v/>
      </c>
      <c r="D276" s="154" t="str">
        <f>IF(ISERROR(IF(OR($D$38=$Y$27,$B276=""),"",VLOOKUP(B276,ÍNDICES!A:DE,AF$35+1))),"",IF(OR($D$38=$Y$27,$B276=""),"",VLOOKUP(B276,ÍNDICES!A:DE,AF$35+1)))</f>
        <v/>
      </c>
      <c r="E276" s="153"/>
      <c r="F276" s="29" t="str">
        <f>IF(E276="","",IF($L$35="SELIC - TRIBUTOS",VLOOKUP(DATE(YEAR($D$19),MONTH($D$19)-1,1),ÍNDICES!$A:$DE,HLOOKUP($BL$25,ÍNDICES!$B$3:$T$4,2)+11)-VLOOKUP(E276,ÍNDICES!$A:$DE,HLOOKUP($BL$25,ÍNDICES!$B$3:$T$4,2)+11)+1%,IF(F$38=$W$26,$J$35,IF(ISERROR(IF(E276&gt;$D$19,1,VLOOKUP(DATE(YEAR(E276),MONTH(E276)+IF($C$35=$S$23,1,0),1),ÍNDICES!$A:$DE,$Z$35+1))),"",IF(E276&gt;$D$19,1,VLOOKUP(DATE(YEAR(E276),MONTH(E276)+IF($C$35=$S$23,1,0),1),ÍNDICES!$A:$DE,$Z$35+1))))))</f>
        <v/>
      </c>
      <c r="G276" s="155"/>
      <c r="H276" s="156" t="str">
        <f t="shared" si="44"/>
        <v/>
      </c>
      <c r="I276" s="29" t="str">
        <f t="shared" si="38"/>
        <v/>
      </c>
      <c r="J276" s="5">
        <f t="shared" si="39"/>
        <v>0</v>
      </c>
      <c r="K276" s="20">
        <f t="shared" ca="1" si="40"/>
        <v>0</v>
      </c>
      <c r="L276" s="5">
        <f t="shared" ca="1" si="41"/>
        <v>0</v>
      </c>
      <c r="M276" s="64">
        <f t="shared" si="45"/>
        <v>0</v>
      </c>
      <c r="N276" s="61">
        <f t="shared" ca="1" si="46"/>
        <v>0</v>
      </c>
      <c r="O276" s="5">
        <f t="shared" ca="1" si="47"/>
        <v>0</v>
      </c>
      <c r="P276" s="446" t="e">
        <f t="shared" si="42"/>
        <v>#VALUE!</v>
      </c>
      <c r="Q276" s="446" t="e">
        <f>IF(OR($B276="",MIN(Q$38,$D$19)&lt;MAX($P$34*($B276+IF($R$17="Distrato",$I$38-1,0)),IF(AND($L$37=0,$P$34=0),"",$L$37-1),IF($R$17="Distrato",$E276,0))),0,YEARFRAC(MAX($P$34*($B276+IF($R$17="Distrato",$I$38-1,0)),IF(AND($L$37=0,$P$34=0),"",$L$37-1),IF($R$17="Distrato",$E276,0)),MIN(Q$38,$D$19),$P$20))-SUM($P276:P276)</f>
        <v>#VALUE!</v>
      </c>
      <c r="R276" s="446" t="e">
        <f>IF(OR($B276="",MIN(R$38,$D$19)&lt;MAX($P$34*($B276+IF($R$17="Distrato",$I$38-1,0)),IF(AND($L$37=0,$P$34=0),"",$L$37-1),IF($R$17="Distrato",$E276,0))),0,YEARFRAC(MAX($P$34*($B276+IF($R$17="Distrato",$I$38-1,0)),IF(AND($L$37=0,$P$34=0),"",$L$37-1),IF($R$17="Distrato",$E276,0)),MIN(R$38,$D$19),$P$20))-SUM($P276:Q276)</f>
        <v>#VALUE!</v>
      </c>
      <c r="S276" s="446" t="e">
        <f>IF(OR($B276="",MIN(S$38,$D$19)&lt;MAX($P$34*($B276+IF($R$17="Distrato",$I$38-1,0)),IF(AND($L$37=0,$P$34=0),"",$L$37-1),IF($R$17="Distrato",$E276,0))),0,YEARFRAC(MAX($P$34*($B276+IF($R$17="Distrato",$I$38-1,0)),IF(AND($L$37=0,$P$34=0),"",$L$37-1),IF($R$17="Distrato",$E276,0)),MIN(S$38,$D$19),$P$20))-SUM($P276:R276)</f>
        <v>#VALUE!</v>
      </c>
      <c r="T276" s="446" t="e">
        <f>IF(OR($B276="",MIN(T$38,$D$19)&lt;MAX($P$34*($B276+IF($R$17="Distrato",$I$38-1,0)),IF(AND($L$37=0,$P$34=0),"",$L$37-1),IF($R$17="Distrato",$E276,0))),0,YEARFRAC(MAX($P$34*($B276+IF($R$17="Distrato",$I$38-1,0)),IF(AND($L$37=0,$P$34=0),"",$L$37-1),IF($R$17="Distrato",$E276,0)),MIN(T$38,$D$19),$P$20))-SUM($P276:S276)</f>
        <v>#VALUE!</v>
      </c>
      <c r="U276" s="446" t="e">
        <f>IF(OR($B276="",MIN(U$38,$D$19)&lt;MAX($P$34*($B276+IF($R$17="Distrato",$I$38-1,0)),IF(AND($L$37=0,$P$34=0),"",$L$37-1),IF($R$17="Distrato",$E276,0))),0,YEARFRAC(MAX($P$34*($B276+IF($R$17="Distrato",$I$38-1,0)),IF(AND($L$37=0,$P$34=0),"",$L$37-1),IF($R$17="Distrato",$E276,0)),MIN(U$38,$D$19),$P$20))-SUM($P276:T276)</f>
        <v>#VALUE!</v>
      </c>
      <c r="V276" s="446" t="e">
        <f>IF(OR($B276="",MIN(V$38,$D$19)&lt;MAX($P$34*($B276+IF($R$17="Distrato",$I$38-1,0)),IF(AND($L$37=0,$P$34=0),"",$L$37-1),IF($R$17="Distrato",$E276,0))),0,YEARFRAC(MAX($P$34*($B276+IF($R$17="Distrato",$I$38-1,0)),IF(AND($L$37=0,$P$34=0),"",$L$37-1),IF($R$17="Distrato",$E276,0)),MIN(V$38,$D$19),$P$20))-SUM($P276:U276)</f>
        <v>#VALUE!</v>
      </c>
      <c r="W276" s="446" t="e">
        <f>IF(OR($B276="",MIN(W$38,$D$19)&lt;MAX($P$34*($B276+IF($R$17="Distrato",$I$38-1,0)),IF(AND($L$37=0,$P$34=0),"",$L$37-1),IF($R$17="Distrato",$E276,0))),0,YEARFRAC(MAX($P$34*($B276+IF($R$17="Distrato",$I$38-1,0)),IF(AND($L$37=0,$P$34=0),"",$L$37-1),IF($R$17="Distrato",$E276,0)),MIN(W$38,$D$19),$P$20))-SUM($P276:V276)</f>
        <v>#VALUE!</v>
      </c>
      <c r="X276" s="446" t="e">
        <f>IF(OR($B276="",MIN(X$38,$D$19)&lt;MAX($P$34*($B276+IF($R$17="Distrato",$I$38-1,0)),IF(AND($L$37=0,$P$34=0),"",$L$37-1),IF($R$17="Distrato",$E276,0))),0,YEARFRAC(MAX($P$34*($B276+IF($R$17="Distrato",$I$38-1,0)),IF(AND($L$37=0,$P$34=0),"",$L$37-1),IF($R$17="Distrato",$E276,0)),MIN(X$38,$D$19),$P$20))-SUM($P276:W276)</f>
        <v>#VALUE!</v>
      </c>
      <c r="Y276" s="446" t="e">
        <f>IF(OR($B276="",MIN(Y$38,$D$19)&lt;MAX($P$34*($B276+IF($R$17="Distrato",$I$38-1,0)),IF(AND($L$37=0,$P$34=0),"",$L$37-1),IF($R$17="Distrato",$E276,0))),0,YEARFRAC(MAX($P$34*($B276+IF($R$17="Distrato",$I$38-1,0)),IF(AND($L$37=0,$P$34=0),"",$L$37-1),IF($R$17="Distrato",$E276,0)),MIN(Y$38,$D$19),$P$20))-SUM($P276:X276)</f>
        <v>#VALUE!</v>
      </c>
      <c r="Z276" s="446" t="e">
        <f>IF(OR($B276="",MIN(Z$38,$D$19)&lt;MAX($P$34*($B276+IF($R$17="Distrato",$I$38-1,0)),IF(AND($L$37=0,$P$34=0),"",$L$37-1),IF($R$17="Distrato",$E276,0))),0,YEARFRAC(MAX($P$34*($B276+IF($R$17="Distrato",$I$38-1,0)),IF(AND($L$37=0,$P$34=0),"",$L$37-1),IF($R$17="Distrato",$E276,0)),MIN(Z$38,$D$19),$P$20))-SUM($P276:Y276)</f>
        <v>#VALUE!</v>
      </c>
      <c r="AA276" s="446" t="e">
        <f>IF(OR($B276="",MIN(AA$38,$D$19)&lt;MAX($P$34*($B276+IF($R$17="Distrato",$I$38-1,0)),IF(AND($L$37=0,$P$34=0),"",$L$37-1),IF($R$17="Distrato",$E276,0))),0,YEARFRAC(MAX($P$34*($B276+IF($R$17="Distrato",$I$38-1,0)),IF(AND($L$37=0,$P$34=0),"",$L$37-1),IF($R$17="Distrato",$E276,0)),MIN(AA$38,$D$19),$P$20))-SUM($P276:Z276)</f>
        <v>#VALUE!</v>
      </c>
      <c r="AB276" s="446" t="e">
        <f>IF(OR($B276="",MIN(AB$38,$D$19)&lt;MAX($P$34*($B276+IF($R$17="Distrato",$I$38-1,0)),IF(AND($L$37=0,$P$34=0),"",$L$37-1),IF($R$17="Distrato",$E276,0))),0,YEARFRAC(MAX($P$34*($B276+IF($R$17="Distrato",$I$38-1,0)),IF(AND($L$37=0,$P$34=0),"",$L$37-1),IF($R$17="Distrato",$E276,0)),MIN(AB$38,$D$19),$P$20))-SUM($P276:AA276)</f>
        <v>#VALUE!</v>
      </c>
      <c r="AC276" s="446" t="e">
        <f>IF(OR($B276="",MIN(AC$38,$D$19)&lt;MAX($P$34*($B276+IF($R$17="Distrato",$I$38-1,0)),IF(AND($L$37=0,$P$34=0),"",$L$37-1),IF($R$17="Distrato",$E276,0))),0,YEARFRAC(MAX($P$34*($B276+IF($R$17="Distrato",$I$38-1,0)),IF(AND($L$37=0,$P$34=0),"",$L$37-1),IF($R$17="Distrato",$E276,0)),MIN(AC$38,$D$19),$P$20))-SUM($P276:AB276)</f>
        <v>#VALUE!</v>
      </c>
      <c r="AD276" s="446" t="e">
        <f>IF(OR($B276="",MIN(AD$38,$D$19)&lt;MAX($P$34*($B276+IF($R$17="Distrato",$I$38-1,0)),IF(AND($L$37=0,$P$34=0),"",$L$37-1),IF($R$17="Distrato",$E276,0))),0,YEARFRAC(MAX($P$34*($B276+IF($R$17="Distrato",$I$38-1,0)),IF(AND($L$37=0,$P$34=0),"",$L$37-1),IF($R$17="Distrato",$E276,0)),MIN(AD$38,$D$19),$P$20))-SUM($P276:AC276)</f>
        <v>#VALUE!</v>
      </c>
      <c r="AE276" s="446" t="e">
        <f>IF(OR($B276="",MIN(AE$38,$D$19)&lt;MAX($P$34*($B276+IF($R$17="Distrato",$I$38-1,0)),IF(AND($L$37=0,$P$34=0),"",$L$37-1),IF($R$17="Distrato",$E276,0))),0,YEARFRAC(MAX($P$34*($B276+IF($R$17="Distrato",$I$38-1,0)),IF(AND($L$37=0,$P$34=0),"",$L$37-1),IF($R$17="Distrato",$E276,0)),MIN(AE$38,$D$19),$P$20))-SUM($P276:AD276)</f>
        <v>#VALUE!</v>
      </c>
      <c r="AF276" s="446" t="e">
        <f>IF(OR($B276="",MIN(AF$38,$D$19)&lt;MAX($P$34*($B276+IF($R$17="Distrato",$I$38-1,0)),IF(AND($L$37=0,$P$34=0),"",$L$37-1),IF($R$17="Distrato",$E276,0))),0,YEARFRAC(MAX($P$34*($B276+IF($R$17="Distrato",$I$38-1,0)),IF(AND($L$37=0,$P$34=0),"",$L$37-1),IF($R$17="Distrato",$E276,0)),MIN(AF$38,$D$19),$P$20))-SUM($P276:AE276)</f>
        <v>#VALUE!</v>
      </c>
      <c r="AG276" s="446" t="e">
        <f>IF(OR($B276="",MIN(AG$38,$D$19)&lt;MAX($P$34*($B276+IF($R$17="Distrato",$I$38-1,0)),IF(AND($L$37=0,$P$34=0),"",$L$37-1),IF($R$17="Distrato",$E276,0))),0,YEARFRAC(MAX($P$34*($B276+IF($R$17="Distrato",$I$38-1,0)),IF(AND($L$37=0,$P$34=0),"",$L$37-1),IF($R$17="Distrato",$E276,0)),MIN(AG$38,$D$19),$P$20))-SUM($P276:AF276)</f>
        <v>#VALUE!</v>
      </c>
      <c r="AH276" s="446" t="e">
        <f>IF(OR($B276="",MIN(AH$38,$D$19)&lt;MAX($P$34*($B276+IF($R$17="Distrato",$I$38-1,0)),IF(AND($L$37=0,$P$34=0),"",$L$37-1),IF($R$17="Distrato",$E276,0))),0,YEARFRAC(MAX($P$34*($B276+IF($R$17="Distrato",$I$38-1,0)),IF(AND($L$37=0,$P$34=0),"",$L$37-1),IF($R$17="Distrato",$E276,0)),MIN(AH$38,$D$19),$P$20))-SUM($P276:AG276)</f>
        <v>#VALUE!</v>
      </c>
      <c r="AI276" s="446" t="e">
        <f>IF(OR($B276="",MIN(AI$38,$D$19)&lt;MAX($P$34*($B276+IF($R$17="Distrato",$I$38-1,0)),IF(AND($L$37=0,$P$34=0),"",$L$37-1),IF($R$17="Distrato",$E276,0))),0,YEARFRAC(MAX($P$34*($B276+IF($R$17="Distrato",$I$38-1,0)),IF(AND($L$37=0,$P$34=0),"",$L$37-1),IF($R$17="Distrato",$E276,0)),MIN(AI$38,$D$19),$P$20))-SUM($P276:AH276)</f>
        <v>#VALUE!</v>
      </c>
      <c r="AJ276" s="446" t="e">
        <f>IF(OR($B276="",MIN(AJ$38,$D$19)&lt;MAX($P$34*($B276+IF($R$17="Distrato",$I$38-1,0)),IF(AND($L$37=0,$P$34=0),"",$L$37-1),IF($R$17="Distrato",$E276,0))),0,YEARFRAC(MAX($P$34*($B276+IF($R$17="Distrato",$I$38-1,0)),IF(AND($L$37=0,$P$34=0),"",$L$37-1),IF($R$17="Distrato",$E276,0)),MIN(AJ$38,$D$19),$P$20))-SUM($P276:AI276)</f>
        <v>#VALUE!</v>
      </c>
      <c r="AK276" s="446" t="e">
        <f>IF(OR($B276="",MIN(AK$38,$D$19)&lt;MAX($P$34*($B276+IF($R$17="Distrato",$I$38-1,0)),IF(AND($L$37=0,$P$34=0),"",$L$37-1),IF($R$17="Distrato",$E276,0))),0,YEARFRAC(MAX($P$34*($B276+IF($R$17="Distrato",$I$38-1,0)),IF(AND($L$37=0,$P$34=0),"",$L$37-1),IF($R$17="Distrato",$E276,0)),MIN(AK$38,$D$19),$P$20))-SUM($P276:AJ276)</f>
        <v>#VALUE!</v>
      </c>
      <c r="AL276" s="446" t="e">
        <f>IF(OR($B276="",MIN(AL$38,$D$19)&lt;MAX($P$34*($B276+IF($R$17="Distrato",$I$38-1,0)),IF(AND($L$37=0,$P$34=0),"",$L$37-1),IF($R$17="Distrato",$E276,0))),0,YEARFRAC(MAX($P$34*($B276+IF($R$17="Distrato",$I$38-1,0)),IF(AND($L$37=0,$P$34=0),"",$L$37-1),IF($R$17="Distrato",$E276,0)),MIN(AL$38,$D$19),$P$20))-SUM($P276:AK276)</f>
        <v>#VALUE!</v>
      </c>
      <c r="AM276" s="446" t="e">
        <f>IF(OR($B276="",MIN(AM$38,$D$19)&lt;MAX($P$34*($B276+IF($R$17="Distrato",$I$38-1,0)),IF(AND($L$37=0,$P$34=0),"",$L$37-1),IF($R$17="Distrato",$E276,0))),0,YEARFRAC(MAX($P$34*($B276+IF($R$17="Distrato",$I$38-1,0)),IF(AND($L$37=0,$P$34=0),"",$L$37-1),IF($R$17="Distrato",$E276,0)),MIN(AM$38,$D$19),$P$20))-SUM($P276:AL276)</f>
        <v>#VALUE!</v>
      </c>
      <c r="AN276" s="446" t="e">
        <f>IF(OR($B276="",MIN(AN$38,$D$19)&lt;MAX($P$34*($B276+IF($R$17="Distrato",$I$38-1,0)),IF(AND($L$37=0,$P$34=0),"",$L$37-1),IF($R$17="Distrato",$E276,0))),0,YEARFRAC(MAX($P$34*($B276+IF($R$17="Distrato",$I$38-1,0)),IF(AND($L$37=0,$P$34=0),"",$L$37-1),IF($R$17="Distrato",$E276,0)),MIN(AN$38,$D$19),$P$20))-SUM($P276:AM276)</f>
        <v>#VALUE!</v>
      </c>
      <c r="AO276" s="446" t="e">
        <f>IF(OR($B276="",MIN(AO$38,$D$19)&lt;MAX($P$34*($B276+IF($R$17="Distrato",$I$38-1,0)),IF(AND($L$37=0,$P$34=0),"",$L$37-1),IF($R$17="Distrato",$E276,0))),0,YEARFRAC(MAX($P$34*($B276+IF($R$17="Distrato",$I$38-1,0)),IF(AND($L$37=0,$P$34=0),"",$L$37-1),IF($R$17="Distrato",$E276,0)),MIN(AO$38,$D$19),$P$20))-SUM($P276:AN276)</f>
        <v>#VALUE!</v>
      </c>
      <c r="AP276" s="446" t="e">
        <f>IF(OR($B276="",MIN(AP$38,$D$19)&lt;MAX($P$34*($B276+IF($R$17="Distrato",$I$38-1,0)),IF(AND($L$37=0,$P$34=0),"",$L$37-1),IF($R$17="Distrato",$E276,0))),0,YEARFRAC(MAX($P$34*($B276+IF($R$17="Distrato",$I$38-1,0)),IF(AND($L$37=0,$P$34=0),"",$L$37-1),IF($R$17="Distrato",$E276,0)),MIN(AP$38,$D$19),$P$20))-SUM($P276:AO276)</f>
        <v>#VALUE!</v>
      </c>
      <c r="AQ276" s="446" t="e">
        <f>IF(OR($B276="",MIN(AQ$38,$D$19)&lt;MAX($P$34*($B276+IF($R$17="Distrato",$I$38-1,0)),IF(AND($L$37=0,$P$34=0),"",$L$37-1),IF($R$17="Distrato",$E276,0))),0,YEARFRAC(MAX($P$34*($B276+IF($R$17="Distrato",$I$38-1,0)),IF(AND($L$37=0,$P$34=0),"",$L$37-1),IF($R$17="Distrato",$E276,0)),MIN(AQ$38,$D$19),$P$20))-SUM($P276:AP276)</f>
        <v>#VALUE!</v>
      </c>
      <c r="AR276" s="446" t="e">
        <f>IF(OR($B276="",MIN(AR$38,$D$19)&lt;MAX($P$34*($B276+IF($R$17="Distrato",$I$38-1,0)),IF(AND($L$37=0,$P$34=0),"",$L$37-1),IF($R$17="Distrato",$E276,0))),0,YEARFRAC(MAX($P$34*($B276+IF($R$17="Distrato",$I$38-1,0)),IF(AND($L$37=0,$P$34=0),"",$L$37-1),IF($R$17="Distrato",$E276,0)),MIN(AR$38,$D$19),$P$20))-SUM($P276:AQ276)</f>
        <v>#VALUE!</v>
      </c>
      <c r="AS276" s="446" t="e">
        <f>IF(OR($B276="",MIN(AS$38,$D$19)&lt;MAX($P$34*($B276+IF($R$17="Distrato",$I$38-1,0)),IF(AND($L$37=0,$P$34=0),"",$L$37-1),IF($R$17="Distrato",$E276,0))),0,YEARFRAC(MAX($P$34*($B276+IF($R$17="Distrato",$I$38-1,0)),IF(AND($L$37=0,$P$34=0),"",$L$37-1),IF($R$17="Distrato",$E276,0)),MIN(AS$38,$D$19),$P$20))-SUM($P276:AR276)</f>
        <v>#VALUE!</v>
      </c>
      <c r="AT276" s="446" t="e">
        <f>IF(OR($B276="",MIN(AT$38,$D$19)&lt;MAX($P$34*($B276+IF($R$17="Distrato",$I$38-1,0)),IF(AND($L$37=0,$P$34=0),"",$L$37-1),IF($R$17="Distrato",$E276,0))),0,YEARFRAC(MAX($P$34*($B276+IF($R$17="Distrato",$I$38-1,0)),IF(AND($L$37=0,$P$34=0),"",$L$37-1),IF($R$17="Distrato",$E276,0)),MIN(AT$38,$D$19),$P$20))-SUM($P276:AS276)</f>
        <v>#VALUE!</v>
      </c>
      <c r="AU276" s="446" t="e">
        <f>IF(OR($B276="",MIN(AU$38,$D$19)&lt;MAX($P$34*($B276+IF($R$17="Distrato",$I$38-1,0)),IF(AND($L$37=0,$P$34=0),"",$L$37-1),IF($R$17="Distrato",$E276,0))),0,YEARFRAC(MAX($P$34*($B276+IF($R$17="Distrato",$I$38-1,0)),IF(AND($L$37=0,$P$34=0),"",$L$37-1),IF($R$17="Distrato",$E276,0)),MIN(AU$38,$D$19),$P$20))-SUM($P276:AT276)</f>
        <v>#VALUE!</v>
      </c>
      <c r="AV276" s="446" t="e">
        <f>IF(OR($B276="",MIN(AV$38,$D$19)&lt;MAX($P$34*($B276+IF($R$17="Distrato",$I$38-1,0)),IF(AND($L$37=0,$P$34=0),"",$L$37-1),IF($R$17="Distrato",$E276,0))),0,YEARFRAC(MAX($P$34*($B276+IF($R$17="Distrato",$I$38-1,0)),IF(AND($L$37=0,$P$34=0),"",$L$37-1),IF($R$17="Distrato",$E276,0)),MIN(AV$38,$D$19),$P$20))-SUM($P276:AU276)</f>
        <v>#VALUE!</v>
      </c>
      <c r="AW276" s="446" t="e">
        <f>IF(OR($B276="",MIN(AW$38,$D$19)&lt;MAX($P$34*($B276+IF($R$17="Distrato",$I$38-1,0)),IF(AND($L$37=0,$P$34=0),"",$L$37-1),IF($R$17="Distrato",$E276,0))),0,YEARFRAC(MAX($P$34*($B276+IF($R$17="Distrato",$I$38-1,0)),IF(AND($L$37=0,$P$34=0),"",$L$37-1),IF($R$17="Distrato",$E276,0)),MIN(AW$38,$D$19),$P$20))-SUM($P276:AV276)</f>
        <v>#VALUE!</v>
      </c>
      <c r="AX276" s="446" t="e">
        <f>IF(OR($B276="",MIN(AX$38,$D$19)&lt;MAX($P$34*($B276+IF($R$17="Distrato",$I$38-1,0)),IF(AND($L$37=0,$P$34=0),"",$L$37-1),IF($R$17="Distrato",$E276,0))),0,YEARFRAC(MAX($P$34*($B276+IF($R$17="Distrato",$I$38-1,0)),IF(AND($L$37=0,$P$34=0),"",$L$37-1),IF($R$17="Distrato",$E276,0)),MIN(AX$38,$D$19),$P$20))-SUM($P276:AW276)</f>
        <v>#VALUE!</v>
      </c>
      <c r="AY276" s="446" t="e">
        <f>IF(OR($B276="",MIN(AY$38,$D$19)&lt;MAX($P$34*($B276+IF($R$17="Distrato",$I$38-1,0)),IF(AND($L$37=0,$P$34=0),"",$L$37-1),IF($R$17="Distrato",$E276,0))),0,YEARFRAC(MAX($P$34*($B276+IF($R$17="Distrato",$I$38-1,0)),IF(AND($L$37=0,$P$34=0),"",$L$37-1),IF($R$17="Distrato",$E276,0)),MIN(AY$38,$D$19),$P$20))-SUM($P276:AX276)</f>
        <v>#VALUE!</v>
      </c>
      <c r="AZ276" s="446" t="e">
        <f>IF(OR($B276="",MIN(AZ$38,$D$19)&lt;MAX($P$34*($B276+IF($R$17="Distrato",$I$38-1,0)),IF(AND($L$37=0,$P$34=0),"",$L$37-1),IF($R$17="Distrato",$E276,0))),0,YEARFRAC(MAX($P$34*($B276+IF($R$17="Distrato",$I$38-1,0)),IF(AND($L$37=0,$P$34=0),"",$L$37-1),IF($R$17="Distrato",$E276,0)),MIN(AZ$38,$D$19),$P$20))-SUM($P276:AY276)</f>
        <v>#VALUE!</v>
      </c>
      <c r="BA276" s="446" t="e">
        <f>IF(OR($B276="",MIN(BA$38,$D$19)&lt;MAX($P$34*($B276+IF($R$17="Distrato",$I$38-1,0)),IF(AND($L$37=0,$P$34=0),"",$L$37-1),IF($R$17="Distrato",$E276,0))),0,YEARFRAC(MAX($P$34*($B276+IF($R$17="Distrato",$I$38-1,0)),IF(AND($L$37=0,$P$34=0),"",$L$37-1),IF($R$17="Distrato",$E276,0)),MIN(BA$38,$D$19),$P$20))-SUM($P276:AZ276)</f>
        <v>#VALUE!</v>
      </c>
      <c r="BB276" s="447"/>
      <c r="BF276" s="446">
        <f t="shared" si="43"/>
        <v>0</v>
      </c>
      <c r="BG276" s="446">
        <f>IF($E276=0,0,IF(MIN(BG$38,$E276)&lt;MAX($P$34*($B276+$I$38-1),IF(AND($L$37=0,$P$34=0),"",$L$37-1)),0,YEARFRAC(MAX($P$34*($B276+$I$38-1),IF(AND($L$37=0,$P$34=0),"",$L$37-1)),MIN(BG$38,$E276),$P$20))-SUM($BF276:BF276))</f>
        <v>0</v>
      </c>
      <c r="BH276" s="446">
        <f>IF($E276=0,0,IF(MIN(BH$38,$E276)&lt;MAX($P$34*($B276+$I$38-1),IF(AND($L$37=0,$P$34=0),"",$L$37-1)),0,YEARFRAC(MAX($P$34*($B276+$I$38-1),IF(AND($L$37=0,$P$34=0),"",$L$37-1)),MIN(BH$38,$E276),$P$20))-SUM($BF276:BG276))</f>
        <v>0</v>
      </c>
      <c r="BI276" s="446">
        <f>IF($E276=0,0,IF(MIN(BI$38,$E276)&lt;MAX($P$34*($B276+$I$38-1),IF(AND($L$37=0,$P$34=0),"",$L$37-1)),0,YEARFRAC(MAX($P$34*($B276+$I$38-1),IF(AND($L$37=0,$P$34=0),"",$L$37-1)),MIN(BI$38,$E276),$P$20))-SUM($BF276:BH276))</f>
        <v>0</v>
      </c>
      <c r="BJ276" s="446">
        <f>IF($E276=0,0,IF(MIN(BJ$38,$E276)&lt;MAX($P$34*($B276+$I$38-1),IF(AND($L$37=0,$P$34=0),"",$L$37-1)),0,YEARFRAC(MAX($P$34*($B276+$I$38-1),IF(AND($L$37=0,$P$34=0),"",$L$37-1)),MIN(BJ$38,$E276),$P$20))-SUM($BF276:BI276))</f>
        <v>0</v>
      </c>
      <c r="BK276" s="446">
        <f>IF($E276=0,0,IF(MIN(BK$38,$E276)&lt;MAX($P$34*($B276+$I$38-1),IF(AND($L$37=0,$P$34=0),"",$L$37-1)),0,YEARFRAC(MAX($P$34*($B276+$I$38-1),IF(AND($L$37=0,$P$34=0),"",$L$37-1)),MIN(BK$38,$E276),$P$20))-SUM($BF276:BJ276))</f>
        <v>0</v>
      </c>
      <c r="BL276" s="446">
        <f>IF($E276=0,0,IF(MIN(BL$38,$E276)&lt;MAX($P$34*($B276+$I$38-1),IF(AND($L$37=0,$P$34=0),"",$L$37-1)),0,YEARFRAC(MAX($P$34*($B276+$I$38-1),IF(AND($L$37=0,$P$34=0),"",$L$37-1)),MIN(BL$38,$E276),$P$20))-SUM($BF276:BK276))</f>
        <v>0</v>
      </c>
      <c r="BM276" s="446">
        <f>IF($E276=0,0,IF(MIN(BM$38,$E276)&lt;MAX($P$34*($B276+$I$38-1),IF(AND($L$37=0,$P$34=0),"",$L$37-1)),0,YEARFRAC(MAX($P$34*($B276+$I$38-1),IF(AND($L$37=0,$P$34=0),"",$L$37-1)),MIN(BM$38,$E276),$P$20))-SUM($BF276:BL276))</f>
        <v>0</v>
      </c>
      <c r="BN276" s="446">
        <f>IF($E276=0,0,IF(MIN(BN$38,$E276)&lt;MAX($P$34*($B276+$I$38-1),IF(AND($L$37=0,$P$34=0),"",$L$37-1)),0,YEARFRAC(MAX($P$34*($B276+$I$38-1),IF(AND($L$37=0,$P$34=0),"",$L$37-1)),MIN(BN$38,$E276),$P$20))-SUM($BF276:BM276))</f>
        <v>0</v>
      </c>
      <c r="BO276" s="446">
        <f>IF($E276=0,0,IF(MIN(BO$38,$E276)&lt;MAX($P$34*($B276+$I$38-1),IF(AND($L$37=0,$P$34=0),"",$L$37-1)),0,YEARFRAC(MAX($P$34*($B276+$I$38-1),IF(AND($L$37=0,$P$34=0),"",$L$37-1)),MIN(BO$38,$E276),$P$20))-SUM($BF276:BN276))</f>
        <v>0</v>
      </c>
      <c r="BP276" s="446">
        <f>IF($E276=0,0,IF(MIN(BP$38,$E276)&lt;MAX($P$34*($B276+$I$38-1),IF(AND($L$37=0,$P$34=0),"",$L$37-1)),0,YEARFRAC(MAX($P$34*($B276+$I$38-1),IF(AND($L$37=0,$P$34=0),"",$L$37-1)),MIN(BP$38,$E276),$P$20))-SUM($BF276:BO276))</f>
        <v>0</v>
      </c>
      <c r="BQ276" s="446">
        <f>IF($E276=0,0,IF(MIN(BQ$38,$E276)&lt;MAX($P$34*($B276+$I$38-1),IF(AND($L$37=0,$P$34=0),"",$L$37-1)),0,YEARFRAC(MAX($P$34*($B276+$I$38-1),IF(AND($L$37=0,$P$34=0),"",$L$37-1)),MIN(BQ$38,$E276),$P$20))-SUM($BF276:BP276))</f>
        <v>0</v>
      </c>
      <c r="BR276" s="446">
        <f>IF($E276=0,0,IF(MIN(BR$38,$E276)&lt;MAX($P$34*($B276+$I$38-1),IF(AND($L$37=0,$P$34=0),"",$L$37-1)),0,YEARFRAC(MAX($P$34*($B276+$I$38-1),IF(AND($L$37=0,$P$34=0),"",$L$37-1)),MIN(BR$38,$E276),$P$20))-SUM($BF276:BQ276))</f>
        <v>0</v>
      </c>
      <c r="BS276" s="446">
        <f>IF($E276=0,0,IF(MIN(BS$38,$E276)&lt;MAX($P$34*($B276+$I$38-1),IF(AND($L$37=0,$P$34=0),"",$L$37-1)),0,YEARFRAC(MAX($P$34*($B276+$I$38-1),IF(AND($L$37=0,$P$34=0),"",$L$37-1)),MIN(BS$38,$E276),$P$20))-SUM($BF276:BR276))</f>
        <v>0</v>
      </c>
      <c r="BT276" s="446">
        <f>IF($E276=0,0,IF(MIN(BT$38,$E276)&lt;MAX($P$34*($B276+$I$38-1),IF(AND($L$37=0,$P$34=0),"",$L$37-1)),0,YEARFRAC(MAX($P$34*($B276+$I$38-1),IF(AND($L$37=0,$P$34=0),"",$L$37-1)),MIN(BT$38,$E276),$P$20))-SUM($BF276:BS276))</f>
        <v>0</v>
      </c>
      <c r="BU276" s="446">
        <f>IF($E276=0,0,IF(MIN(BU$38,$E276)&lt;MAX($P$34*($B276+$I$38-1),IF(AND($L$37=0,$P$34=0),"",$L$37-1)),0,YEARFRAC(MAX($P$34*($B276+$I$38-1),IF(AND($L$37=0,$P$34=0),"",$L$37-1)),MIN(BU$38,$E276),$P$20))-SUM($BF276:BT276))</f>
        <v>0</v>
      </c>
      <c r="BV276" s="446">
        <f>IF($E276=0,0,IF(MIN(BV$38,$E276)&lt;MAX($P$34*($B276+$I$38-1),IF(AND($L$37=0,$P$34=0),"",$L$37-1)),0,YEARFRAC(MAX($P$34*($B276+$I$38-1),IF(AND($L$37=0,$P$34=0),"",$L$37-1)),MIN(BV$38,$E276),$P$20))-SUM($BF276:BU276))</f>
        <v>0</v>
      </c>
      <c r="BW276" s="446">
        <f>IF($E276=0,0,IF(MIN(BW$38,$E276)&lt;MAX($P$34*($B276+$I$38-1),IF(AND($L$37=0,$P$34=0),"",$L$37-1)),0,YEARFRAC(MAX($P$34*($B276+$I$38-1),IF(AND($L$37=0,$P$34=0),"",$L$37-1)),MIN(BW$38,$E276),$P$20))-SUM($BF276:BV276))</f>
        <v>0</v>
      </c>
      <c r="BX276" s="446">
        <f>IF($E276=0,0,IF(MIN(BX$38,$E276)&lt;MAX($P$34*($B276+$I$38-1),IF(AND($L$37=0,$P$34=0),"",$L$37-1)),0,YEARFRAC(MAX($P$34*($B276+$I$38-1),IF(AND($L$37=0,$P$34=0),"",$L$37-1)),MIN(BX$38,$E276),$P$20))-SUM($BF276:BW276))</f>
        <v>0</v>
      </c>
      <c r="BY276" s="446">
        <f>IF($E276=0,0,IF(MIN(BY$38,$E276)&lt;MAX($P$34*($B276+$I$38-1),IF(AND($L$37=0,$P$34=0),"",$L$37-1)),0,YEARFRAC(MAX($P$34*($B276+$I$38-1),IF(AND($L$37=0,$P$34=0),"",$L$37-1)),MIN(BY$38,$E276),$P$20))-SUM($BF276:BX276))</f>
        <v>0</v>
      </c>
      <c r="BZ276" s="446">
        <f>IF($E276=0,0,IF(MIN(BZ$38,$E276)&lt;MAX($P$34*($B276+$I$38-1),IF(AND($L$37=0,$P$34=0),"",$L$37-1)),0,YEARFRAC(MAX($P$34*($B276+$I$38-1),IF(AND($L$37=0,$P$34=0),"",$L$37-1)),MIN(BZ$38,$E276),$P$20))-SUM($BF276:BY276))</f>
        <v>0</v>
      </c>
      <c r="CA276" s="446">
        <f>IF($E276=0,0,IF(MIN(CA$38,$E276)&lt;MAX($P$34*($B276+$I$38-1),IF(AND($L$37=0,$P$34=0),"",$L$37-1)),0,YEARFRAC(MAX($P$34*($B276+$I$38-1),IF(AND($L$37=0,$P$34=0),"",$L$37-1)),MIN(CA$38,$E276),$P$20))-SUM($BF276:BZ276))</f>
        <v>0</v>
      </c>
      <c r="CB276" s="446">
        <f>IF($E276=0,0,IF(MIN(CB$38,$E276)&lt;MAX($P$34*($B276+$I$38-1),IF(AND($L$37=0,$P$34=0),"",$L$37-1)),0,YEARFRAC(MAX($P$34*($B276+$I$38-1),IF(AND($L$37=0,$P$34=0),"",$L$37-1)),MIN(CB$38,$E276),$P$20))-SUM($BF276:CA276))</f>
        <v>0</v>
      </c>
      <c r="CC276" s="446">
        <f>IF($E276=0,0,IF(MIN(CC$38,$E276)&lt;MAX($P$34*($B276+$I$38-1),IF(AND($L$37=0,$P$34=0),"",$L$37-1)),0,YEARFRAC(MAX($P$34*($B276+$I$38-1),IF(AND($L$37=0,$P$34=0),"",$L$37-1)),MIN(CC$38,$E276),$P$20))-SUM($BF276:CB276))</f>
        <v>0</v>
      </c>
      <c r="CD276" s="446">
        <f>IF($E276=0,0,IF(MIN(CD$38,$E276)&lt;MAX($P$34*($B276+$I$38-1),IF(AND($L$37=0,$P$34=0),"",$L$37-1)),0,YEARFRAC(MAX($P$34*($B276+$I$38-1),IF(AND($L$37=0,$P$34=0),"",$L$37-1)),MIN(CD$38,$E276),$P$20))-SUM($BF276:CC276))</f>
        <v>0</v>
      </c>
      <c r="CE276" s="446">
        <f>IF($E276=0,0,IF(MIN(CE$38,$E276)&lt;MAX($P$34*($B276+$I$38-1),IF(AND($L$37=0,$P$34=0),"",$L$37-1)),0,YEARFRAC(MAX($P$34*($B276+$I$38-1),IF(AND($L$37=0,$P$34=0),"",$L$37-1)),MIN(CE$38,$E276),$P$20))-SUM($BF276:CD276))</f>
        <v>0</v>
      </c>
      <c r="CF276" s="446">
        <f>IF($E276=0,0,IF(MIN(CF$38,$E276)&lt;MAX($P$34*($B276+$I$38-1),IF(AND($L$37=0,$P$34=0),"",$L$37-1)),0,YEARFRAC(MAX($P$34*($B276+$I$38-1),IF(AND($L$37=0,$P$34=0),"",$L$37-1)),MIN(CF$38,$E276),$P$20))-SUM($BF276:CE276))</f>
        <v>0</v>
      </c>
      <c r="CG276" s="446">
        <f>IF($E276=0,0,IF(MIN(CG$38,$E276)&lt;MAX($P$34*($B276+$I$38-1),IF(AND($L$37=0,$P$34=0),"",$L$37-1)),0,YEARFRAC(MAX($P$34*($B276+$I$38-1),IF(AND($L$37=0,$P$34=0),"",$L$37-1)),MIN(CG$38,$E276),$P$20))-SUM($BF276:CF276))</f>
        <v>0</v>
      </c>
      <c r="CH276" s="446">
        <f>IF($E276=0,0,IF(MIN(CH$38,$E276)&lt;MAX($P$34*($B276+$I$38-1),IF(AND($L$37=0,$P$34=0),"",$L$37-1)),0,YEARFRAC(MAX($P$34*($B276+$I$38-1),IF(AND($L$37=0,$P$34=0),"",$L$37-1)),MIN(CH$38,$E276),$P$20))-SUM($BF276:CG276))</f>
        <v>0</v>
      </c>
      <c r="CI276" s="446">
        <f>IF($E276=0,0,IF(MIN(CI$38,$E276)&lt;MAX($P$34*($B276+$I$38-1),IF(AND($L$37=0,$P$34=0),"",$L$37-1)),0,YEARFRAC(MAX($P$34*($B276+$I$38-1),IF(AND($L$37=0,$P$34=0),"",$L$37-1)),MIN(CI$38,$E276),$P$20))-SUM($BF276:CH276))</f>
        <v>0</v>
      </c>
      <c r="CJ276" s="446">
        <f>IF($E276=0,0,IF(MIN(CJ$38,$E276)&lt;MAX($P$34*($B276+$I$38-1),IF(AND($L$37=0,$P$34=0),"",$L$37-1)),0,YEARFRAC(MAX($P$34*($B276+$I$38-1),IF(AND($L$37=0,$P$34=0),"",$L$37-1)),MIN(CJ$38,$E276),$P$20))-SUM($BF276:CI276))</f>
        <v>0</v>
      </c>
      <c r="CK276" s="446">
        <f>IF($E276=0,0,IF(MIN(CK$38,$E276)&lt;MAX($P$34*($B276+$I$38-1),IF(AND($L$37=0,$P$34=0),"",$L$37-1)),0,YEARFRAC(MAX($P$34*($B276+$I$38-1),IF(AND($L$37=0,$P$34=0),"",$L$37-1)),MIN(CK$38,$E276),$P$20))-SUM($BF276:CJ276))</f>
        <v>0</v>
      </c>
      <c r="CL276" s="446">
        <f>IF($E276=0,0,IF(MIN(CL$38,$E276)&lt;MAX($P$34*($B276+$I$38-1),IF(AND($L$37=0,$P$34=0),"",$L$37-1)),0,YEARFRAC(MAX($P$34*($B276+$I$38-1),IF(AND($L$37=0,$P$34=0),"",$L$37-1)),MIN(CL$38,$E276),$P$20))-SUM($BF276:CK276))</f>
        <v>0</v>
      </c>
      <c r="CM276" s="446">
        <f>IF($E276=0,0,IF(MIN(CM$38,$E276)&lt;MAX($P$34*($B276+$I$38-1),IF(AND($L$37=0,$P$34=0),"",$L$37-1)),0,YEARFRAC(MAX($P$34*($B276+$I$38-1),IF(AND($L$37=0,$P$34=0),"",$L$37-1)),MIN(CM$38,$E276),$P$20))-SUM($BF276:CL276))</f>
        <v>0</v>
      </c>
      <c r="CN276" s="446">
        <f>IF($E276=0,0,IF(MIN(CN$38,$E276)&lt;MAX($P$34*($B276+$I$38-1),IF(AND($L$37=0,$P$34=0),"",$L$37-1)),0,YEARFRAC(MAX($P$34*($B276+$I$38-1),IF(AND($L$37=0,$P$34=0),"",$L$37-1)),MIN(CN$38,$E276),$P$20))-SUM($BF276:CM276))</f>
        <v>0</v>
      </c>
      <c r="CO276" s="446">
        <f>IF($E276=0,0,IF(MIN(CO$38,$E276)&lt;MAX($P$34*($B276+$I$38-1),IF(AND($L$37=0,$P$34=0),"",$L$37-1)),0,YEARFRAC(MAX($P$34*($B276+$I$38-1),IF(AND($L$37=0,$P$34=0),"",$L$37-1)),MIN(CO$38,$E276),$P$20))-SUM($BF276:CN276))</f>
        <v>0</v>
      </c>
      <c r="CP276" s="446">
        <f>IF($E276=0,0,IF(MIN(CP$38,$E276)&lt;MAX($P$34*($B276+$I$38-1),IF(AND($L$37=0,$P$34=0),"",$L$37-1)),0,YEARFRAC(MAX($P$34*($B276+$I$38-1),IF(AND($L$37=0,$P$34=0),"",$L$37-1)),MIN(CP$38,$E276),$P$20))-SUM($BF276:CO276))</f>
        <v>0</v>
      </c>
      <c r="CQ276" s="446">
        <f>IF($E276=0,0,IF(MIN(CQ$38,$E276)&lt;MAX($P$34*($B276+$I$38-1),IF(AND($L$37=0,$P$34=0),"",$L$37-1)),0,YEARFRAC(MAX($P$34*($B276+$I$38-1),IF(AND($L$37=0,$P$34=0),"",$L$37-1)),MIN(CQ$38,$E276),$P$20))-SUM($BF276:CP276))</f>
        <v>0</v>
      </c>
    </row>
    <row r="277" spans="1:95" s="446" customFormat="1" ht="11.25" hidden="1" customHeight="1" x14ac:dyDescent="0.2">
      <c r="A277" s="152"/>
      <c r="B277" s="153" t="str">
        <f t="shared" si="48"/>
        <v/>
      </c>
      <c r="C277" s="29" t="str">
        <f>IF(B277="","",IF($L$35="SELIC - TRIBUTOS",VLOOKUP(DATE(YEAR($D$19),MONTH($D$19)-1,1),ÍNDICES!$A:$DE,HLOOKUP($BL$25,ÍNDICES!$B$3:$T$4,2)+11)-VLOOKUP(B277,ÍNDICES!$A:$DE,HLOOKUP($BL$25,ÍNDICES!$B$3:$T$4,2)+11)+1%,IF(C$38=$W$26,$J$35,IF(ISERROR(IF(B277&gt;$D$19,1,VLOOKUP(DATE(YEAR(B277),MONTH(B277)+IF($C$35=$S$23,1,0),1),ÍNDICES!$A:$DE,$Z$35+1))),"",IF(B277&gt;$D$19,1,VLOOKUP(DATE(YEAR(B277),MONTH(B277)+IF($C$35=$S$23,1,0),1),ÍNDICES!$A:$DE,$Z$35+1))))))</f>
        <v/>
      </c>
      <c r="D277" s="154" t="str">
        <f>IF(ISERROR(IF(OR($D$38=$Y$27,$B277=""),"",VLOOKUP(B277,ÍNDICES!A:DE,AF$35+1))),"",IF(OR($D$38=$Y$27,$B277=""),"",VLOOKUP(B277,ÍNDICES!A:DE,AF$35+1)))</f>
        <v/>
      </c>
      <c r="E277" s="153"/>
      <c r="F277" s="29" t="str">
        <f>IF(E277="","",IF($L$35="SELIC - TRIBUTOS",VLOOKUP(DATE(YEAR($D$19),MONTH($D$19)-1,1),ÍNDICES!$A:$DE,HLOOKUP($BL$25,ÍNDICES!$B$3:$T$4,2)+11)-VLOOKUP(E277,ÍNDICES!$A:$DE,HLOOKUP($BL$25,ÍNDICES!$B$3:$T$4,2)+11)+1%,IF(F$38=$W$26,$J$35,IF(ISERROR(IF(E277&gt;$D$19,1,VLOOKUP(DATE(YEAR(E277),MONTH(E277)+IF($C$35=$S$23,1,0),1),ÍNDICES!$A:$DE,$Z$35+1))),"",IF(E277&gt;$D$19,1,VLOOKUP(DATE(YEAR(E277),MONTH(E277)+IF($C$35=$S$23,1,0),1),ÍNDICES!$A:$DE,$Z$35+1))))))</f>
        <v/>
      </c>
      <c r="G277" s="155"/>
      <c r="H277" s="156" t="str">
        <f t="shared" si="44"/>
        <v/>
      </c>
      <c r="I277" s="29" t="str">
        <f t="shared" si="38"/>
        <v/>
      </c>
      <c r="J277" s="5">
        <f t="shared" si="39"/>
        <v>0</v>
      </c>
      <c r="K277" s="20">
        <f t="shared" ca="1" si="40"/>
        <v>0</v>
      </c>
      <c r="L277" s="5">
        <f t="shared" ca="1" si="41"/>
        <v>0</v>
      </c>
      <c r="M277" s="64">
        <f t="shared" si="45"/>
        <v>0</v>
      </c>
      <c r="N277" s="61">
        <f t="shared" ca="1" si="46"/>
        <v>0</v>
      </c>
      <c r="O277" s="5">
        <f t="shared" ca="1" si="47"/>
        <v>0</v>
      </c>
      <c r="P277" s="446" t="e">
        <f t="shared" si="42"/>
        <v>#VALUE!</v>
      </c>
      <c r="Q277" s="446" t="e">
        <f>IF(OR($B277="",MIN(Q$38,$D$19)&lt;MAX($P$34*($B277+IF($R$17="Distrato",$I$38-1,0)),IF(AND($L$37=0,$P$34=0),"",$L$37-1),IF($R$17="Distrato",$E277,0))),0,YEARFRAC(MAX($P$34*($B277+IF($R$17="Distrato",$I$38-1,0)),IF(AND($L$37=0,$P$34=0),"",$L$37-1),IF($R$17="Distrato",$E277,0)),MIN(Q$38,$D$19),$P$20))-SUM($P277:P277)</f>
        <v>#VALUE!</v>
      </c>
      <c r="R277" s="446" t="e">
        <f>IF(OR($B277="",MIN(R$38,$D$19)&lt;MAX($P$34*($B277+IF($R$17="Distrato",$I$38-1,0)),IF(AND($L$37=0,$P$34=0),"",$L$37-1),IF($R$17="Distrato",$E277,0))),0,YEARFRAC(MAX($P$34*($B277+IF($R$17="Distrato",$I$38-1,0)),IF(AND($L$37=0,$P$34=0),"",$L$37-1),IF($R$17="Distrato",$E277,0)),MIN(R$38,$D$19),$P$20))-SUM($P277:Q277)</f>
        <v>#VALUE!</v>
      </c>
      <c r="S277" s="446" t="e">
        <f>IF(OR($B277="",MIN(S$38,$D$19)&lt;MAX($P$34*($B277+IF($R$17="Distrato",$I$38-1,0)),IF(AND($L$37=0,$P$34=0),"",$L$37-1),IF($R$17="Distrato",$E277,0))),0,YEARFRAC(MAX($P$34*($B277+IF($R$17="Distrato",$I$38-1,0)),IF(AND($L$37=0,$P$34=0),"",$L$37-1),IF($R$17="Distrato",$E277,0)),MIN(S$38,$D$19),$P$20))-SUM($P277:R277)</f>
        <v>#VALUE!</v>
      </c>
      <c r="T277" s="446" t="e">
        <f>IF(OR($B277="",MIN(T$38,$D$19)&lt;MAX($P$34*($B277+IF($R$17="Distrato",$I$38-1,0)),IF(AND($L$37=0,$P$34=0),"",$L$37-1),IF($R$17="Distrato",$E277,0))),0,YEARFRAC(MAX($P$34*($B277+IF($R$17="Distrato",$I$38-1,0)),IF(AND($L$37=0,$P$34=0),"",$L$37-1),IF($R$17="Distrato",$E277,0)),MIN(T$38,$D$19),$P$20))-SUM($P277:S277)</f>
        <v>#VALUE!</v>
      </c>
      <c r="U277" s="446" t="e">
        <f>IF(OR($B277="",MIN(U$38,$D$19)&lt;MAX($P$34*($B277+IF($R$17="Distrato",$I$38-1,0)),IF(AND($L$37=0,$P$34=0),"",$L$37-1),IF($R$17="Distrato",$E277,0))),0,YEARFRAC(MAX($P$34*($B277+IF($R$17="Distrato",$I$38-1,0)),IF(AND($L$37=0,$P$34=0),"",$L$37-1),IF($R$17="Distrato",$E277,0)),MIN(U$38,$D$19),$P$20))-SUM($P277:T277)</f>
        <v>#VALUE!</v>
      </c>
      <c r="V277" s="446" t="e">
        <f>IF(OR($B277="",MIN(V$38,$D$19)&lt;MAX($P$34*($B277+IF($R$17="Distrato",$I$38-1,0)),IF(AND($L$37=0,$P$34=0),"",$L$37-1),IF($R$17="Distrato",$E277,0))),0,YEARFRAC(MAX($P$34*($B277+IF($R$17="Distrato",$I$38-1,0)),IF(AND($L$37=0,$P$34=0),"",$L$37-1),IF($R$17="Distrato",$E277,0)),MIN(V$38,$D$19),$P$20))-SUM($P277:U277)</f>
        <v>#VALUE!</v>
      </c>
      <c r="W277" s="446" t="e">
        <f>IF(OR($B277="",MIN(W$38,$D$19)&lt;MAX($P$34*($B277+IF($R$17="Distrato",$I$38-1,0)),IF(AND($L$37=0,$P$34=0),"",$L$37-1),IF($R$17="Distrato",$E277,0))),0,YEARFRAC(MAX($P$34*($B277+IF($R$17="Distrato",$I$38-1,0)),IF(AND($L$37=0,$P$34=0),"",$L$37-1),IF($R$17="Distrato",$E277,0)),MIN(W$38,$D$19),$P$20))-SUM($P277:V277)</f>
        <v>#VALUE!</v>
      </c>
      <c r="X277" s="446" t="e">
        <f>IF(OR($B277="",MIN(X$38,$D$19)&lt;MAX($P$34*($B277+IF($R$17="Distrato",$I$38-1,0)),IF(AND($L$37=0,$P$34=0),"",$L$37-1),IF($R$17="Distrato",$E277,0))),0,YEARFRAC(MAX($P$34*($B277+IF($R$17="Distrato",$I$38-1,0)),IF(AND($L$37=0,$P$34=0),"",$L$37-1),IF($R$17="Distrato",$E277,0)),MIN(X$38,$D$19),$P$20))-SUM($P277:W277)</f>
        <v>#VALUE!</v>
      </c>
      <c r="Y277" s="446" t="e">
        <f>IF(OR($B277="",MIN(Y$38,$D$19)&lt;MAX($P$34*($B277+IF($R$17="Distrato",$I$38-1,0)),IF(AND($L$37=0,$P$34=0),"",$L$37-1),IF($R$17="Distrato",$E277,0))),0,YEARFRAC(MAX($P$34*($B277+IF($R$17="Distrato",$I$38-1,0)),IF(AND($L$37=0,$P$34=0),"",$L$37-1),IF($R$17="Distrato",$E277,0)),MIN(Y$38,$D$19),$P$20))-SUM($P277:X277)</f>
        <v>#VALUE!</v>
      </c>
      <c r="Z277" s="446" t="e">
        <f>IF(OR($B277="",MIN(Z$38,$D$19)&lt;MAX($P$34*($B277+IF($R$17="Distrato",$I$38-1,0)),IF(AND($L$37=0,$P$34=0),"",$L$37-1),IF($R$17="Distrato",$E277,0))),0,YEARFRAC(MAX($P$34*($B277+IF($R$17="Distrato",$I$38-1,0)),IF(AND($L$37=0,$P$34=0),"",$L$37-1),IF($R$17="Distrato",$E277,0)),MIN(Z$38,$D$19),$P$20))-SUM($P277:Y277)</f>
        <v>#VALUE!</v>
      </c>
      <c r="AA277" s="446" t="e">
        <f>IF(OR($B277="",MIN(AA$38,$D$19)&lt;MAX($P$34*($B277+IF($R$17="Distrato",$I$38-1,0)),IF(AND($L$37=0,$P$34=0),"",$L$37-1),IF($R$17="Distrato",$E277,0))),0,YEARFRAC(MAX($P$34*($B277+IF($R$17="Distrato",$I$38-1,0)),IF(AND($L$37=0,$P$34=0),"",$L$37-1),IF($R$17="Distrato",$E277,0)),MIN(AA$38,$D$19),$P$20))-SUM($P277:Z277)</f>
        <v>#VALUE!</v>
      </c>
      <c r="AB277" s="446" t="e">
        <f>IF(OR($B277="",MIN(AB$38,$D$19)&lt;MAX($P$34*($B277+IF($R$17="Distrato",$I$38-1,0)),IF(AND($L$37=0,$P$34=0),"",$L$37-1),IF($R$17="Distrato",$E277,0))),0,YEARFRAC(MAX($P$34*($B277+IF($R$17="Distrato",$I$38-1,0)),IF(AND($L$37=0,$P$34=0),"",$L$37-1),IF($R$17="Distrato",$E277,0)),MIN(AB$38,$D$19),$P$20))-SUM($P277:AA277)</f>
        <v>#VALUE!</v>
      </c>
      <c r="AC277" s="446" t="e">
        <f>IF(OR($B277="",MIN(AC$38,$D$19)&lt;MAX($P$34*($B277+IF($R$17="Distrato",$I$38-1,0)),IF(AND($L$37=0,$P$34=0),"",$L$37-1),IF($R$17="Distrato",$E277,0))),0,YEARFRAC(MAX($P$34*($B277+IF($R$17="Distrato",$I$38-1,0)),IF(AND($L$37=0,$P$34=0),"",$L$37-1),IF($R$17="Distrato",$E277,0)),MIN(AC$38,$D$19),$P$20))-SUM($P277:AB277)</f>
        <v>#VALUE!</v>
      </c>
      <c r="AD277" s="446" t="e">
        <f>IF(OR($B277="",MIN(AD$38,$D$19)&lt;MAX($P$34*($B277+IF($R$17="Distrato",$I$38-1,0)),IF(AND($L$37=0,$P$34=0),"",$L$37-1),IF($R$17="Distrato",$E277,0))),0,YEARFRAC(MAX($P$34*($B277+IF($R$17="Distrato",$I$38-1,0)),IF(AND($L$37=0,$P$34=0),"",$L$37-1),IF($R$17="Distrato",$E277,0)),MIN(AD$38,$D$19),$P$20))-SUM($P277:AC277)</f>
        <v>#VALUE!</v>
      </c>
      <c r="AE277" s="446" t="e">
        <f>IF(OR($B277="",MIN(AE$38,$D$19)&lt;MAX($P$34*($B277+IF($R$17="Distrato",$I$38-1,0)),IF(AND($L$37=0,$P$34=0),"",$L$37-1),IF($R$17="Distrato",$E277,0))),0,YEARFRAC(MAX($P$34*($B277+IF($R$17="Distrato",$I$38-1,0)),IF(AND($L$37=0,$P$34=0),"",$L$37-1),IF($R$17="Distrato",$E277,0)),MIN(AE$38,$D$19),$P$20))-SUM($P277:AD277)</f>
        <v>#VALUE!</v>
      </c>
      <c r="AF277" s="446" t="e">
        <f>IF(OR($B277="",MIN(AF$38,$D$19)&lt;MAX($P$34*($B277+IF($R$17="Distrato",$I$38-1,0)),IF(AND($L$37=0,$P$34=0),"",$L$37-1),IF($R$17="Distrato",$E277,0))),0,YEARFRAC(MAX($P$34*($B277+IF($R$17="Distrato",$I$38-1,0)),IF(AND($L$37=0,$P$34=0),"",$L$37-1),IF($R$17="Distrato",$E277,0)),MIN(AF$38,$D$19),$P$20))-SUM($P277:AE277)</f>
        <v>#VALUE!</v>
      </c>
      <c r="AG277" s="446" t="e">
        <f>IF(OR($B277="",MIN(AG$38,$D$19)&lt;MAX($P$34*($B277+IF($R$17="Distrato",$I$38-1,0)),IF(AND($L$37=0,$P$34=0),"",$L$37-1),IF($R$17="Distrato",$E277,0))),0,YEARFRAC(MAX($P$34*($B277+IF($R$17="Distrato",$I$38-1,0)),IF(AND($L$37=0,$P$34=0),"",$L$37-1),IF($R$17="Distrato",$E277,0)),MIN(AG$38,$D$19),$P$20))-SUM($P277:AF277)</f>
        <v>#VALUE!</v>
      </c>
      <c r="AH277" s="446" t="e">
        <f>IF(OR($B277="",MIN(AH$38,$D$19)&lt;MAX($P$34*($B277+IF($R$17="Distrato",$I$38-1,0)),IF(AND($L$37=0,$P$34=0),"",$L$37-1),IF($R$17="Distrato",$E277,0))),0,YEARFRAC(MAX($P$34*($B277+IF($R$17="Distrato",$I$38-1,0)),IF(AND($L$37=0,$P$34=0),"",$L$37-1),IF($R$17="Distrato",$E277,0)),MIN(AH$38,$D$19),$P$20))-SUM($P277:AG277)</f>
        <v>#VALUE!</v>
      </c>
      <c r="AI277" s="446" t="e">
        <f>IF(OR($B277="",MIN(AI$38,$D$19)&lt;MAX($P$34*($B277+IF($R$17="Distrato",$I$38-1,0)),IF(AND($L$37=0,$P$34=0),"",$L$37-1),IF($R$17="Distrato",$E277,0))),0,YEARFRAC(MAX($P$34*($B277+IF($R$17="Distrato",$I$38-1,0)),IF(AND($L$37=0,$P$34=0),"",$L$37-1),IF($R$17="Distrato",$E277,0)),MIN(AI$38,$D$19),$P$20))-SUM($P277:AH277)</f>
        <v>#VALUE!</v>
      </c>
      <c r="AJ277" s="446" t="e">
        <f>IF(OR($B277="",MIN(AJ$38,$D$19)&lt;MAX($P$34*($B277+IF($R$17="Distrato",$I$38-1,0)),IF(AND($L$37=0,$P$34=0),"",$L$37-1),IF($R$17="Distrato",$E277,0))),0,YEARFRAC(MAX($P$34*($B277+IF($R$17="Distrato",$I$38-1,0)),IF(AND($L$37=0,$P$34=0),"",$L$37-1),IF($R$17="Distrato",$E277,0)),MIN(AJ$38,$D$19),$P$20))-SUM($P277:AI277)</f>
        <v>#VALUE!</v>
      </c>
      <c r="AK277" s="446" t="e">
        <f>IF(OR($B277="",MIN(AK$38,$D$19)&lt;MAX($P$34*($B277+IF($R$17="Distrato",$I$38-1,0)),IF(AND($L$37=0,$P$34=0),"",$L$37-1),IF($R$17="Distrato",$E277,0))),0,YEARFRAC(MAX($P$34*($B277+IF($R$17="Distrato",$I$38-1,0)),IF(AND($L$37=0,$P$34=0),"",$L$37-1),IF($R$17="Distrato",$E277,0)),MIN(AK$38,$D$19),$P$20))-SUM($P277:AJ277)</f>
        <v>#VALUE!</v>
      </c>
      <c r="AL277" s="446" t="e">
        <f>IF(OR($B277="",MIN(AL$38,$D$19)&lt;MAX($P$34*($B277+IF($R$17="Distrato",$I$38-1,0)),IF(AND($L$37=0,$P$34=0),"",$L$37-1),IF($R$17="Distrato",$E277,0))),0,YEARFRAC(MAX($P$34*($B277+IF($R$17="Distrato",$I$38-1,0)),IF(AND($L$37=0,$P$34=0),"",$L$37-1),IF($R$17="Distrato",$E277,0)),MIN(AL$38,$D$19),$P$20))-SUM($P277:AK277)</f>
        <v>#VALUE!</v>
      </c>
      <c r="AM277" s="446" t="e">
        <f>IF(OR($B277="",MIN(AM$38,$D$19)&lt;MAX($P$34*($B277+IF($R$17="Distrato",$I$38-1,0)),IF(AND($L$37=0,$P$34=0),"",$L$37-1),IF($R$17="Distrato",$E277,0))),0,YEARFRAC(MAX($P$34*($B277+IF($R$17="Distrato",$I$38-1,0)),IF(AND($L$37=0,$P$34=0),"",$L$37-1),IF($R$17="Distrato",$E277,0)),MIN(AM$38,$D$19),$P$20))-SUM($P277:AL277)</f>
        <v>#VALUE!</v>
      </c>
      <c r="AN277" s="446" t="e">
        <f>IF(OR($B277="",MIN(AN$38,$D$19)&lt;MAX($P$34*($B277+IF($R$17="Distrato",$I$38-1,0)),IF(AND($L$37=0,$P$34=0),"",$L$37-1),IF($R$17="Distrato",$E277,0))),0,YEARFRAC(MAX($P$34*($B277+IF($R$17="Distrato",$I$38-1,0)),IF(AND($L$37=0,$P$34=0),"",$L$37-1),IF($R$17="Distrato",$E277,0)),MIN(AN$38,$D$19),$P$20))-SUM($P277:AM277)</f>
        <v>#VALUE!</v>
      </c>
      <c r="AO277" s="446" t="e">
        <f>IF(OR($B277="",MIN(AO$38,$D$19)&lt;MAX($P$34*($B277+IF($R$17="Distrato",$I$38-1,0)),IF(AND($L$37=0,$P$34=0),"",$L$37-1),IF($R$17="Distrato",$E277,0))),0,YEARFRAC(MAX($P$34*($B277+IF($R$17="Distrato",$I$38-1,0)),IF(AND($L$37=0,$P$34=0),"",$L$37-1),IF($R$17="Distrato",$E277,0)),MIN(AO$38,$D$19),$P$20))-SUM($P277:AN277)</f>
        <v>#VALUE!</v>
      </c>
      <c r="AP277" s="446" t="e">
        <f>IF(OR($B277="",MIN(AP$38,$D$19)&lt;MAX($P$34*($B277+IF($R$17="Distrato",$I$38-1,0)),IF(AND($L$37=0,$P$34=0),"",$L$37-1),IF($R$17="Distrato",$E277,0))),0,YEARFRAC(MAX($P$34*($B277+IF($R$17="Distrato",$I$38-1,0)),IF(AND($L$37=0,$P$34=0),"",$L$37-1),IF($R$17="Distrato",$E277,0)),MIN(AP$38,$D$19),$P$20))-SUM($P277:AO277)</f>
        <v>#VALUE!</v>
      </c>
      <c r="AQ277" s="446" t="e">
        <f>IF(OR($B277="",MIN(AQ$38,$D$19)&lt;MAX($P$34*($B277+IF($R$17="Distrato",$I$38-1,0)),IF(AND($L$37=0,$P$34=0),"",$L$37-1),IF($R$17="Distrato",$E277,0))),0,YEARFRAC(MAX($P$34*($B277+IF($R$17="Distrato",$I$38-1,0)),IF(AND($L$37=0,$P$34=0),"",$L$37-1),IF($R$17="Distrato",$E277,0)),MIN(AQ$38,$D$19),$P$20))-SUM($P277:AP277)</f>
        <v>#VALUE!</v>
      </c>
      <c r="AR277" s="446" t="e">
        <f>IF(OR($B277="",MIN(AR$38,$D$19)&lt;MAX($P$34*($B277+IF($R$17="Distrato",$I$38-1,0)),IF(AND($L$37=0,$P$34=0),"",$L$37-1),IF($R$17="Distrato",$E277,0))),0,YEARFRAC(MAX($P$34*($B277+IF($R$17="Distrato",$I$38-1,0)),IF(AND($L$37=0,$P$34=0),"",$L$37-1),IF($R$17="Distrato",$E277,0)),MIN(AR$38,$D$19),$P$20))-SUM($P277:AQ277)</f>
        <v>#VALUE!</v>
      </c>
      <c r="AS277" s="446" t="e">
        <f>IF(OR($B277="",MIN(AS$38,$D$19)&lt;MAX($P$34*($B277+IF($R$17="Distrato",$I$38-1,0)),IF(AND($L$37=0,$P$34=0),"",$L$37-1),IF($R$17="Distrato",$E277,0))),0,YEARFRAC(MAX($P$34*($B277+IF($R$17="Distrato",$I$38-1,0)),IF(AND($L$37=0,$P$34=0),"",$L$37-1),IF($R$17="Distrato",$E277,0)),MIN(AS$38,$D$19),$P$20))-SUM($P277:AR277)</f>
        <v>#VALUE!</v>
      </c>
      <c r="AT277" s="446" t="e">
        <f>IF(OR($B277="",MIN(AT$38,$D$19)&lt;MAX($P$34*($B277+IF($R$17="Distrato",$I$38-1,0)),IF(AND($L$37=0,$P$34=0),"",$L$37-1),IF($R$17="Distrato",$E277,0))),0,YEARFRAC(MAX($P$34*($B277+IF($R$17="Distrato",$I$38-1,0)),IF(AND($L$37=0,$P$34=0),"",$L$37-1),IF($R$17="Distrato",$E277,0)),MIN(AT$38,$D$19),$P$20))-SUM($P277:AS277)</f>
        <v>#VALUE!</v>
      </c>
      <c r="AU277" s="446" t="e">
        <f>IF(OR($B277="",MIN(AU$38,$D$19)&lt;MAX($P$34*($B277+IF($R$17="Distrato",$I$38-1,0)),IF(AND($L$37=0,$P$34=0),"",$L$37-1),IF($R$17="Distrato",$E277,0))),0,YEARFRAC(MAX($P$34*($B277+IF($R$17="Distrato",$I$38-1,0)),IF(AND($L$37=0,$P$34=0),"",$L$37-1),IF($R$17="Distrato",$E277,0)),MIN(AU$38,$D$19),$P$20))-SUM($P277:AT277)</f>
        <v>#VALUE!</v>
      </c>
      <c r="AV277" s="446" t="e">
        <f>IF(OR($B277="",MIN(AV$38,$D$19)&lt;MAX($P$34*($B277+IF($R$17="Distrato",$I$38-1,0)),IF(AND($L$37=0,$P$34=0),"",$L$37-1),IF($R$17="Distrato",$E277,0))),0,YEARFRAC(MAX($P$34*($B277+IF($R$17="Distrato",$I$38-1,0)),IF(AND($L$37=0,$P$34=0),"",$L$37-1),IF($R$17="Distrato",$E277,0)),MIN(AV$38,$D$19),$P$20))-SUM($P277:AU277)</f>
        <v>#VALUE!</v>
      </c>
      <c r="AW277" s="446" t="e">
        <f>IF(OR($B277="",MIN(AW$38,$D$19)&lt;MAX($P$34*($B277+IF($R$17="Distrato",$I$38-1,0)),IF(AND($L$37=0,$P$34=0),"",$L$37-1),IF($R$17="Distrato",$E277,0))),0,YEARFRAC(MAX($P$34*($B277+IF($R$17="Distrato",$I$38-1,0)),IF(AND($L$37=0,$P$34=0),"",$L$37-1),IF($R$17="Distrato",$E277,0)),MIN(AW$38,$D$19),$P$20))-SUM($P277:AV277)</f>
        <v>#VALUE!</v>
      </c>
      <c r="AX277" s="446" t="e">
        <f>IF(OR($B277="",MIN(AX$38,$D$19)&lt;MAX($P$34*($B277+IF($R$17="Distrato",$I$38-1,0)),IF(AND($L$37=0,$P$34=0),"",$L$37-1),IF($R$17="Distrato",$E277,0))),0,YEARFRAC(MAX($P$34*($B277+IF($R$17="Distrato",$I$38-1,0)),IF(AND($L$37=0,$P$34=0),"",$L$37-1),IF($R$17="Distrato",$E277,0)),MIN(AX$38,$D$19),$P$20))-SUM($P277:AW277)</f>
        <v>#VALUE!</v>
      </c>
      <c r="AY277" s="446" t="e">
        <f>IF(OR($B277="",MIN(AY$38,$D$19)&lt;MAX($P$34*($B277+IF($R$17="Distrato",$I$38-1,0)),IF(AND($L$37=0,$P$34=0),"",$L$37-1),IF($R$17="Distrato",$E277,0))),0,YEARFRAC(MAX($P$34*($B277+IF($R$17="Distrato",$I$38-1,0)),IF(AND($L$37=0,$P$34=0),"",$L$37-1),IF($R$17="Distrato",$E277,0)),MIN(AY$38,$D$19),$P$20))-SUM($P277:AX277)</f>
        <v>#VALUE!</v>
      </c>
      <c r="AZ277" s="446" t="e">
        <f>IF(OR($B277="",MIN(AZ$38,$D$19)&lt;MAX($P$34*($B277+IF($R$17="Distrato",$I$38-1,0)),IF(AND($L$37=0,$P$34=0),"",$L$37-1),IF($R$17="Distrato",$E277,0))),0,YEARFRAC(MAX($P$34*($B277+IF($R$17="Distrato",$I$38-1,0)),IF(AND($L$37=0,$P$34=0),"",$L$37-1),IF($R$17="Distrato",$E277,0)),MIN(AZ$38,$D$19),$P$20))-SUM($P277:AY277)</f>
        <v>#VALUE!</v>
      </c>
      <c r="BA277" s="446" t="e">
        <f>IF(OR($B277="",MIN(BA$38,$D$19)&lt;MAX($P$34*($B277+IF($R$17="Distrato",$I$38-1,0)),IF(AND($L$37=0,$P$34=0),"",$L$37-1),IF($R$17="Distrato",$E277,0))),0,YEARFRAC(MAX($P$34*($B277+IF($R$17="Distrato",$I$38-1,0)),IF(AND($L$37=0,$P$34=0),"",$L$37-1),IF($R$17="Distrato",$E277,0)),MIN(BA$38,$D$19),$P$20))-SUM($P277:AZ277)</f>
        <v>#VALUE!</v>
      </c>
      <c r="BB277" s="447"/>
      <c r="BF277" s="446">
        <f t="shared" si="43"/>
        <v>0</v>
      </c>
      <c r="BG277" s="446">
        <f>IF($E277=0,0,IF(MIN(BG$38,$E277)&lt;MAX($P$34*($B277+$I$38-1),IF(AND($L$37=0,$P$34=0),"",$L$37-1)),0,YEARFRAC(MAX($P$34*($B277+$I$38-1),IF(AND($L$37=0,$P$34=0),"",$L$37-1)),MIN(BG$38,$E277),$P$20))-SUM($BF277:BF277))</f>
        <v>0</v>
      </c>
      <c r="BH277" s="446">
        <f>IF($E277=0,0,IF(MIN(BH$38,$E277)&lt;MAX($P$34*($B277+$I$38-1),IF(AND($L$37=0,$P$34=0),"",$L$37-1)),0,YEARFRAC(MAX($P$34*($B277+$I$38-1),IF(AND($L$37=0,$P$34=0),"",$L$37-1)),MIN(BH$38,$E277),$P$20))-SUM($BF277:BG277))</f>
        <v>0</v>
      </c>
      <c r="BI277" s="446">
        <f>IF($E277=0,0,IF(MIN(BI$38,$E277)&lt;MAX($P$34*($B277+$I$38-1),IF(AND($L$37=0,$P$34=0),"",$L$37-1)),0,YEARFRAC(MAX($P$34*($B277+$I$38-1),IF(AND($L$37=0,$P$34=0),"",$L$37-1)),MIN(BI$38,$E277),$P$20))-SUM($BF277:BH277))</f>
        <v>0</v>
      </c>
      <c r="BJ277" s="446">
        <f>IF($E277=0,0,IF(MIN(BJ$38,$E277)&lt;MAX($P$34*($B277+$I$38-1),IF(AND($L$37=0,$P$34=0),"",$L$37-1)),0,YEARFRAC(MAX($P$34*($B277+$I$38-1),IF(AND($L$37=0,$P$34=0),"",$L$37-1)),MIN(BJ$38,$E277),$P$20))-SUM($BF277:BI277))</f>
        <v>0</v>
      </c>
      <c r="BK277" s="446">
        <f>IF($E277=0,0,IF(MIN(BK$38,$E277)&lt;MAX($P$34*($B277+$I$38-1),IF(AND($L$37=0,$P$34=0),"",$L$37-1)),0,YEARFRAC(MAX($P$34*($B277+$I$38-1),IF(AND($L$37=0,$P$34=0),"",$L$37-1)),MIN(BK$38,$E277),$P$20))-SUM($BF277:BJ277))</f>
        <v>0</v>
      </c>
      <c r="BL277" s="446">
        <f>IF($E277=0,0,IF(MIN(BL$38,$E277)&lt;MAX($P$34*($B277+$I$38-1),IF(AND($L$37=0,$P$34=0),"",$L$37-1)),0,YEARFRAC(MAX($P$34*($B277+$I$38-1),IF(AND($L$37=0,$P$34=0),"",$L$37-1)),MIN(BL$38,$E277),$P$20))-SUM($BF277:BK277))</f>
        <v>0</v>
      </c>
      <c r="BM277" s="446">
        <f>IF($E277=0,0,IF(MIN(BM$38,$E277)&lt;MAX($P$34*($B277+$I$38-1),IF(AND($L$37=0,$P$34=0),"",$L$37-1)),0,YEARFRAC(MAX($P$34*($B277+$I$38-1),IF(AND($L$37=0,$P$34=0),"",$L$37-1)),MIN(BM$38,$E277),$P$20))-SUM($BF277:BL277))</f>
        <v>0</v>
      </c>
      <c r="BN277" s="446">
        <f>IF($E277=0,0,IF(MIN(BN$38,$E277)&lt;MAX($P$34*($B277+$I$38-1),IF(AND($L$37=0,$P$34=0),"",$L$37-1)),0,YEARFRAC(MAX($P$34*($B277+$I$38-1),IF(AND($L$37=0,$P$34=0),"",$L$37-1)),MIN(BN$38,$E277),$P$20))-SUM($BF277:BM277))</f>
        <v>0</v>
      </c>
      <c r="BO277" s="446">
        <f>IF($E277=0,0,IF(MIN(BO$38,$E277)&lt;MAX($P$34*($B277+$I$38-1),IF(AND($L$37=0,$P$34=0),"",$L$37-1)),0,YEARFRAC(MAX($P$34*($B277+$I$38-1),IF(AND($L$37=0,$P$34=0),"",$L$37-1)),MIN(BO$38,$E277),$P$20))-SUM($BF277:BN277))</f>
        <v>0</v>
      </c>
      <c r="BP277" s="446">
        <f>IF($E277=0,0,IF(MIN(BP$38,$E277)&lt;MAX($P$34*($B277+$I$38-1),IF(AND($L$37=0,$P$34=0),"",$L$37-1)),0,YEARFRAC(MAX($P$34*($B277+$I$38-1),IF(AND($L$37=0,$P$34=0),"",$L$37-1)),MIN(BP$38,$E277),$P$20))-SUM($BF277:BO277))</f>
        <v>0</v>
      </c>
      <c r="BQ277" s="446">
        <f>IF($E277=0,0,IF(MIN(BQ$38,$E277)&lt;MAX($P$34*($B277+$I$38-1),IF(AND($L$37=0,$P$34=0),"",$L$37-1)),0,YEARFRAC(MAX($P$34*($B277+$I$38-1),IF(AND($L$37=0,$P$34=0),"",$L$37-1)),MIN(BQ$38,$E277),$P$20))-SUM($BF277:BP277))</f>
        <v>0</v>
      </c>
      <c r="BR277" s="446">
        <f>IF($E277=0,0,IF(MIN(BR$38,$E277)&lt;MAX($P$34*($B277+$I$38-1),IF(AND($L$37=0,$P$34=0),"",$L$37-1)),0,YEARFRAC(MAX($P$34*($B277+$I$38-1),IF(AND($L$37=0,$P$34=0),"",$L$37-1)),MIN(BR$38,$E277),$P$20))-SUM($BF277:BQ277))</f>
        <v>0</v>
      </c>
      <c r="BS277" s="446">
        <f>IF($E277=0,0,IF(MIN(BS$38,$E277)&lt;MAX($P$34*($B277+$I$38-1),IF(AND($L$37=0,$P$34=0),"",$L$37-1)),0,YEARFRAC(MAX($P$34*($B277+$I$38-1),IF(AND($L$37=0,$P$34=0),"",$L$37-1)),MIN(BS$38,$E277),$P$20))-SUM($BF277:BR277))</f>
        <v>0</v>
      </c>
      <c r="BT277" s="446">
        <f>IF($E277=0,0,IF(MIN(BT$38,$E277)&lt;MAX($P$34*($B277+$I$38-1),IF(AND($L$37=0,$P$34=0),"",$L$37-1)),0,YEARFRAC(MAX($P$34*($B277+$I$38-1),IF(AND($L$37=0,$P$34=0),"",$L$37-1)),MIN(BT$38,$E277),$P$20))-SUM($BF277:BS277))</f>
        <v>0</v>
      </c>
      <c r="BU277" s="446">
        <f>IF($E277=0,0,IF(MIN(BU$38,$E277)&lt;MAX($P$34*($B277+$I$38-1),IF(AND($L$37=0,$P$34=0),"",$L$37-1)),0,YEARFRAC(MAX($P$34*($B277+$I$38-1),IF(AND($L$37=0,$P$34=0),"",$L$37-1)),MIN(BU$38,$E277),$P$20))-SUM($BF277:BT277))</f>
        <v>0</v>
      </c>
      <c r="BV277" s="446">
        <f>IF($E277=0,0,IF(MIN(BV$38,$E277)&lt;MAX($P$34*($B277+$I$38-1),IF(AND($L$37=0,$P$34=0),"",$L$37-1)),0,YEARFRAC(MAX($P$34*($B277+$I$38-1),IF(AND($L$37=0,$P$34=0),"",$L$37-1)),MIN(BV$38,$E277),$P$20))-SUM($BF277:BU277))</f>
        <v>0</v>
      </c>
      <c r="BW277" s="446">
        <f>IF($E277=0,0,IF(MIN(BW$38,$E277)&lt;MAX($P$34*($B277+$I$38-1),IF(AND($L$37=0,$P$34=0),"",$L$37-1)),0,YEARFRAC(MAX($P$34*($B277+$I$38-1),IF(AND($L$37=0,$P$34=0),"",$L$37-1)),MIN(BW$38,$E277),$P$20))-SUM($BF277:BV277))</f>
        <v>0</v>
      </c>
      <c r="BX277" s="446">
        <f>IF($E277=0,0,IF(MIN(BX$38,$E277)&lt;MAX($P$34*($B277+$I$38-1),IF(AND($L$37=0,$P$34=0),"",$L$37-1)),0,YEARFRAC(MAX($P$34*($B277+$I$38-1),IF(AND($L$37=0,$P$34=0),"",$L$37-1)),MIN(BX$38,$E277),$P$20))-SUM($BF277:BW277))</f>
        <v>0</v>
      </c>
      <c r="BY277" s="446">
        <f>IF($E277=0,0,IF(MIN(BY$38,$E277)&lt;MAX($P$34*($B277+$I$38-1),IF(AND($L$37=0,$P$34=0),"",$L$37-1)),0,YEARFRAC(MAX($P$34*($B277+$I$38-1),IF(AND($L$37=0,$P$34=0),"",$L$37-1)),MIN(BY$38,$E277),$P$20))-SUM($BF277:BX277))</f>
        <v>0</v>
      </c>
      <c r="BZ277" s="446">
        <f>IF($E277=0,0,IF(MIN(BZ$38,$E277)&lt;MAX($P$34*($B277+$I$38-1),IF(AND($L$37=0,$P$34=0),"",$L$37-1)),0,YEARFRAC(MAX($P$34*($B277+$I$38-1),IF(AND($L$37=0,$P$34=0),"",$L$37-1)),MIN(BZ$38,$E277),$P$20))-SUM($BF277:BY277))</f>
        <v>0</v>
      </c>
      <c r="CA277" s="446">
        <f>IF($E277=0,0,IF(MIN(CA$38,$E277)&lt;MAX($P$34*($B277+$I$38-1),IF(AND($L$37=0,$P$34=0),"",$L$37-1)),0,YEARFRAC(MAX($P$34*($B277+$I$38-1),IF(AND($L$37=0,$P$34=0),"",$L$37-1)),MIN(CA$38,$E277),$P$20))-SUM($BF277:BZ277))</f>
        <v>0</v>
      </c>
      <c r="CB277" s="446">
        <f>IF($E277=0,0,IF(MIN(CB$38,$E277)&lt;MAX($P$34*($B277+$I$38-1),IF(AND($L$37=0,$P$34=0),"",$L$37-1)),0,YEARFRAC(MAX($P$34*($B277+$I$38-1),IF(AND($L$37=0,$P$34=0),"",$L$37-1)),MIN(CB$38,$E277),$P$20))-SUM($BF277:CA277))</f>
        <v>0</v>
      </c>
      <c r="CC277" s="446">
        <f>IF($E277=0,0,IF(MIN(CC$38,$E277)&lt;MAX($P$34*($B277+$I$38-1),IF(AND($L$37=0,$P$34=0),"",$L$37-1)),0,YEARFRAC(MAX($P$34*($B277+$I$38-1),IF(AND($L$37=0,$P$34=0),"",$L$37-1)),MIN(CC$38,$E277),$P$20))-SUM($BF277:CB277))</f>
        <v>0</v>
      </c>
      <c r="CD277" s="446">
        <f>IF($E277=0,0,IF(MIN(CD$38,$E277)&lt;MAX($P$34*($B277+$I$38-1),IF(AND($L$37=0,$P$34=0),"",$L$37-1)),0,YEARFRAC(MAX($P$34*($B277+$I$38-1),IF(AND($L$37=0,$P$34=0),"",$L$37-1)),MIN(CD$38,$E277),$P$20))-SUM($BF277:CC277))</f>
        <v>0</v>
      </c>
      <c r="CE277" s="446">
        <f>IF($E277=0,0,IF(MIN(CE$38,$E277)&lt;MAX($P$34*($B277+$I$38-1),IF(AND($L$37=0,$P$34=0),"",$L$37-1)),0,YEARFRAC(MAX($P$34*($B277+$I$38-1),IF(AND($L$37=0,$P$34=0),"",$L$37-1)),MIN(CE$38,$E277),$P$20))-SUM($BF277:CD277))</f>
        <v>0</v>
      </c>
      <c r="CF277" s="446">
        <f>IF($E277=0,0,IF(MIN(CF$38,$E277)&lt;MAX($P$34*($B277+$I$38-1),IF(AND($L$37=0,$P$34=0),"",$L$37-1)),0,YEARFRAC(MAX($P$34*($B277+$I$38-1),IF(AND($L$37=0,$P$34=0),"",$L$37-1)),MIN(CF$38,$E277),$P$20))-SUM($BF277:CE277))</f>
        <v>0</v>
      </c>
      <c r="CG277" s="446">
        <f>IF($E277=0,0,IF(MIN(CG$38,$E277)&lt;MAX($P$34*($B277+$I$38-1),IF(AND($L$37=0,$P$34=0),"",$L$37-1)),0,YEARFRAC(MAX($P$34*($B277+$I$38-1),IF(AND($L$37=0,$P$34=0),"",$L$37-1)),MIN(CG$38,$E277),$P$20))-SUM($BF277:CF277))</f>
        <v>0</v>
      </c>
      <c r="CH277" s="446">
        <f>IF($E277=0,0,IF(MIN(CH$38,$E277)&lt;MAX($P$34*($B277+$I$38-1),IF(AND($L$37=0,$P$34=0),"",$L$37-1)),0,YEARFRAC(MAX($P$34*($B277+$I$38-1),IF(AND($L$37=0,$P$34=0),"",$L$37-1)),MIN(CH$38,$E277),$P$20))-SUM($BF277:CG277))</f>
        <v>0</v>
      </c>
      <c r="CI277" s="446">
        <f>IF($E277=0,0,IF(MIN(CI$38,$E277)&lt;MAX($P$34*($B277+$I$38-1),IF(AND($L$37=0,$P$34=0),"",$L$37-1)),0,YEARFRAC(MAX($P$34*($B277+$I$38-1),IF(AND($L$37=0,$P$34=0),"",$L$37-1)),MIN(CI$38,$E277),$P$20))-SUM($BF277:CH277))</f>
        <v>0</v>
      </c>
      <c r="CJ277" s="446">
        <f>IF($E277=0,0,IF(MIN(CJ$38,$E277)&lt;MAX($P$34*($B277+$I$38-1),IF(AND($L$37=0,$P$34=0),"",$L$37-1)),0,YEARFRAC(MAX($P$34*($B277+$I$38-1),IF(AND($L$37=0,$P$34=0),"",$L$37-1)),MIN(CJ$38,$E277),$P$20))-SUM($BF277:CI277))</f>
        <v>0</v>
      </c>
      <c r="CK277" s="446">
        <f>IF($E277=0,0,IF(MIN(CK$38,$E277)&lt;MAX($P$34*($B277+$I$38-1),IF(AND($L$37=0,$P$34=0),"",$L$37-1)),0,YEARFRAC(MAX($P$34*($B277+$I$38-1),IF(AND($L$37=0,$P$34=0),"",$L$37-1)),MIN(CK$38,$E277),$P$20))-SUM($BF277:CJ277))</f>
        <v>0</v>
      </c>
      <c r="CL277" s="446">
        <f>IF($E277=0,0,IF(MIN(CL$38,$E277)&lt;MAX($P$34*($B277+$I$38-1),IF(AND($L$37=0,$P$34=0),"",$L$37-1)),0,YEARFRAC(MAX($P$34*($B277+$I$38-1),IF(AND($L$37=0,$P$34=0),"",$L$37-1)),MIN(CL$38,$E277),$P$20))-SUM($BF277:CK277))</f>
        <v>0</v>
      </c>
      <c r="CM277" s="446">
        <f>IF($E277=0,0,IF(MIN(CM$38,$E277)&lt;MAX($P$34*($B277+$I$38-1),IF(AND($L$37=0,$P$34=0),"",$L$37-1)),0,YEARFRAC(MAX($P$34*($B277+$I$38-1),IF(AND($L$37=0,$P$34=0),"",$L$37-1)),MIN(CM$38,$E277),$P$20))-SUM($BF277:CL277))</f>
        <v>0</v>
      </c>
      <c r="CN277" s="446">
        <f>IF($E277=0,0,IF(MIN(CN$38,$E277)&lt;MAX($P$34*($B277+$I$38-1),IF(AND($L$37=0,$P$34=0),"",$L$37-1)),0,YEARFRAC(MAX($P$34*($B277+$I$38-1),IF(AND($L$37=0,$P$34=0),"",$L$37-1)),MIN(CN$38,$E277),$P$20))-SUM($BF277:CM277))</f>
        <v>0</v>
      </c>
      <c r="CO277" s="446">
        <f>IF($E277=0,0,IF(MIN(CO$38,$E277)&lt;MAX($P$34*($B277+$I$38-1),IF(AND($L$37=0,$P$34=0),"",$L$37-1)),0,YEARFRAC(MAX($P$34*($B277+$I$38-1),IF(AND($L$37=0,$P$34=0),"",$L$37-1)),MIN(CO$38,$E277),$P$20))-SUM($BF277:CN277))</f>
        <v>0</v>
      </c>
      <c r="CP277" s="446">
        <f>IF($E277=0,0,IF(MIN(CP$38,$E277)&lt;MAX($P$34*($B277+$I$38-1),IF(AND($L$37=0,$P$34=0),"",$L$37-1)),0,YEARFRAC(MAX($P$34*($B277+$I$38-1),IF(AND($L$37=0,$P$34=0),"",$L$37-1)),MIN(CP$38,$E277),$P$20))-SUM($BF277:CO277))</f>
        <v>0</v>
      </c>
      <c r="CQ277" s="446">
        <f>IF($E277=0,0,IF(MIN(CQ$38,$E277)&lt;MAX($P$34*($B277+$I$38-1),IF(AND($L$37=0,$P$34=0),"",$L$37-1)),0,YEARFRAC(MAX($P$34*($B277+$I$38-1),IF(AND($L$37=0,$P$34=0),"",$L$37-1)),MIN(CQ$38,$E277),$P$20))-SUM($BF277:CP277))</f>
        <v>0</v>
      </c>
    </row>
    <row r="278" spans="1:95" s="446" customFormat="1" ht="11.25" hidden="1" customHeight="1" x14ac:dyDescent="0.2">
      <c r="A278" s="152"/>
      <c r="B278" s="153" t="str">
        <f t="shared" si="48"/>
        <v/>
      </c>
      <c r="C278" s="29" t="str">
        <f>IF(B278="","",IF($L$35="SELIC - TRIBUTOS",VLOOKUP(DATE(YEAR($D$19),MONTH($D$19)-1,1),ÍNDICES!$A:$DE,HLOOKUP($BL$25,ÍNDICES!$B$3:$T$4,2)+11)-VLOOKUP(B278,ÍNDICES!$A:$DE,HLOOKUP($BL$25,ÍNDICES!$B$3:$T$4,2)+11)+1%,IF(C$38=$W$26,$J$35,IF(ISERROR(IF(B278&gt;$D$19,1,VLOOKUP(DATE(YEAR(B278),MONTH(B278)+IF($C$35=$S$23,1,0),1),ÍNDICES!$A:$DE,$Z$35+1))),"",IF(B278&gt;$D$19,1,VLOOKUP(DATE(YEAR(B278),MONTH(B278)+IF($C$35=$S$23,1,0),1),ÍNDICES!$A:$DE,$Z$35+1))))))</f>
        <v/>
      </c>
      <c r="D278" s="154" t="str">
        <f>IF(ISERROR(IF(OR($D$38=$Y$27,$B278=""),"",VLOOKUP(B278,ÍNDICES!A:DE,AF$35+1))),"",IF(OR($D$38=$Y$27,$B278=""),"",VLOOKUP(B278,ÍNDICES!A:DE,AF$35+1)))</f>
        <v/>
      </c>
      <c r="E278" s="153"/>
      <c r="F278" s="29" t="str">
        <f>IF(E278="","",IF($L$35="SELIC - TRIBUTOS",VLOOKUP(DATE(YEAR($D$19),MONTH($D$19)-1,1),ÍNDICES!$A:$DE,HLOOKUP($BL$25,ÍNDICES!$B$3:$T$4,2)+11)-VLOOKUP(E278,ÍNDICES!$A:$DE,HLOOKUP($BL$25,ÍNDICES!$B$3:$T$4,2)+11)+1%,IF(F$38=$W$26,$J$35,IF(ISERROR(IF(E278&gt;$D$19,1,VLOOKUP(DATE(YEAR(E278),MONTH(E278)+IF($C$35=$S$23,1,0),1),ÍNDICES!$A:$DE,$Z$35+1))),"",IF(E278&gt;$D$19,1,VLOOKUP(DATE(YEAR(E278),MONTH(E278)+IF($C$35=$S$23,1,0),1),ÍNDICES!$A:$DE,$Z$35+1))))))</f>
        <v/>
      </c>
      <c r="G278" s="155"/>
      <c r="H278" s="156" t="str">
        <f t="shared" si="44"/>
        <v/>
      </c>
      <c r="I278" s="29" t="str">
        <f t="shared" si="38"/>
        <v/>
      </c>
      <c r="J278" s="5">
        <f t="shared" si="39"/>
        <v>0</v>
      </c>
      <c r="K278" s="20">
        <f t="shared" ca="1" si="40"/>
        <v>0</v>
      </c>
      <c r="L278" s="5">
        <f t="shared" ca="1" si="41"/>
        <v>0</v>
      </c>
      <c r="M278" s="64">
        <f t="shared" si="45"/>
        <v>0</v>
      </c>
      <c r="N278" s="61">
        <f t="shared" ca="1" si="46"/>
        <v>0</v>
      </c>
      <c r="O278" s="5">
        <f t="shared" ca="1" si="47"/>
        <v>0</v>
      </c>
      <c r="P278" s="446" t="e">
        <f t="shared" si="42"/>
        <v>#VALUE!</v>
      </c>
      <c r="Q278" s="446" t="e">
        <f>IF(OR($B278="",MIN(Q$38,$D$19)&lt;MAX($P$34*($B278+IF($R$17="Distrato",$I$38-1,0)),IF(AND($L$37=0,$P$34=0),"",$L$37-1),IF($R$17="Distrato",$E278,0))),0,YEARFRAC(MAX($P$34*($B278+IF($R$17="Distrato",$I$38-1,0)),IF(AND($L$37=0,$P$34=0),"",$L$37-1),IF($R$17="Distrato",$E278,0)),MIN(Q$38,$D$19),$P$20))-SUM($P278:P278)</f>
        <v>#VALUE!</v>
      </c>
      <c r="R278" s="446" t="e">
        <f>IF(OR($B278="",MIN(R$38,$D$19)&lt;MAX($P$34*($B278+IF($R$17="Distrato",$I$38-1,0)),IF(AND($L$37=0,$P$34=0),"",$L$37-1),IF($R$17="Distrato",$E278,0))),0,YEARFRAC(MAX($P$34*($B278+IF($R$17="Distrato",$I$38-1,0)),IF(AND($L$37=0,$P$34=0),"",$L$37-1),IF($R$17="Distrato",$E278,0)),MIN(R$38,$D$19),$P$20))-SUM($P278:Q278)</f>
        <v>#VALUE!</v>
      </c>
      <c r="S278" s="446" t="e">
        <f>IF(OR($B278="",MIN(S$38,$D$19)&lt;MAX($P$34*($B278+IF($R$17="Distrato",$I$38-1,0)),IF(AND($L$37=0,$P$34=0),"",$L$37-1),IF($R$17="Distrato",$E278,0))),0,YEARFRAC(MAX($P$34*($B278+IF($R$17="Distrato",$I$38-1,0)),IF(AND($L$37=0,$P$34=0),"",$L$37-1),IF($R$17="Distrato",$E278,0)),MIN(S$38,$D$19),$P$20))-SUM($P278:R278)</f>
        <v>#VALUE!</v>
      </c>
      <c r="T278" s="446" t="e">
        <f>IF(OR($B278="",MIN(T$38,$D$19)&lt;MAX($P$34*($B278+IF($R$17="Distrato",$I$38-1,0)),IF(AND($L$37=0,$P$34=0),"",$L$37-1),IF($R$17="Distrato",$E278,0))),0,YEARFRAC(MAX($P$34*($B278+IF($R$17="Distrato",$I$38-1,0)),IF(AND($L$37=0,$P$34=0),"",$L$37-1),IF($R$17="Distrato",$E278,0)),MIN(T$38,$D$19),$P$20))-SUM($P278:S278)</f>
        <v>#VALUE!</v>
      </c>
      <c r="U278" s="446" t="e">
        <f>IF(OR($B278="",MIN(U$38,$D$19)&lt;MAX($P$34*($B278+IF($R$17="Distrato",$I$38-1,0)),IF(AND($L$37=0,$P$34=0),"",$L$37-1),IF($R$17="Distrato",$E278,0))),0,YEARFRAC(MAX($P$34*($B278+IF($R$17="Distrato",$I$38-1,0)),IF(AND($L$37=0,$P$34=0),"",$L$37-1),IF($R$17="Distrato",$E278,0)),MIN(U$38,$D$19),$P$20))-SUM($P278:T278)</f>
        <v>#VALUE!</v>
      </c>
      <c r="V278" s="446" t="e">
        <f>IF(OR($B278="",MIN(V$38,$D$19)&lt;MAX($P$34*($B278+IF($R$17="Distrato",$I$38-1,0)),IF(AND($L$37=0,$P$34=0),"",$L$37-1),IF($R$17="Distrato",$E278,0))),0,YEARFRAC(MAX($P$34*($B278+IF($R$17="Distrato",$I$38-1,0)),IF(AND($L$37=0,$P$34=0),"",$L$37-1),IF($R$17="Distrato",$E278,0)),MIN(V$38,$D$19),$P$20))-SUM($P278:U278)</f>
        <v>#VALUE!</v>
      </c>
      <c r="W278" s="446" t="e">
        <f>IF(OR($B278="",MIN(W$38,$D$19)&lt;MAX($P$34*($B278+IF($R$17="Distrato",$I$38-1,0)),IF(AND($L$37=0,$P$34=0),"",$L$37-1),IF($R$17="Distrato",$E278,0))),0,YEARFRAC(MAX($P$34*($B278+IF($R$17="Distrato",$I$38-1,0)),IF(AND($L$37=0,$P$34=0),"",$L$37-1),IF($R$17="Distrato",$E278,0)),MIN(W$38,$D$19),$P$20))-SUM($P278:V278)</f>
        <v>#VALUE!</v>
      </c>
      <c r="X278" s="446" t="e">
        <f>IF(OR($B278="",MIN(X$38,$D$19)&lt;MAX($P$34*($B278+IF($R$17="Distrato",$I$38-1,0)),IF(AND($L$37=0,$P$34=0),"",$L$37-1),IF($R$17="Distrato",$E278,0))),0,YEARFRAC(MAX($P$34*($B278+IF($R$17="Distrato",$I$38-1,0)),IF(AND($L$37=0,$P$34=0),"",$L$37-1),IF($R$17="Distrato",$E278,0)),MIN(X$38,$D$19),$P$20))-SUM($P278:W278)</f>
        <v>#VALUE!</v>
      </c>
      <c r="Y278" s="446" t="e">
        <f>IF(OR($B278="",MIN(Y$38,$D$19)&lt;MAX($P$34*($B278+IF($R$17="Distrato",$I$38-1,0)),IF(AND($L$37=0,$P$34=0),"",$L$37-1),IF($R$17="Distrato",$E278,0))),0,YEARFRAC(MAX($P$34*($B278+IF($R$17="Distrato",$I$38-1,0)),IF(AND($L$37=0,$P$34=0),"",$L$37-1),IF($R$17="Distrato",$E278,0)),MIN(Y$38,$D$19),$P$20))-SUM($P278:X278)</f>
        <v>#VALUE!</v>
      </c>
      <c r="Z278" s="446" t="e">
        <f>IF(OR($B278="",MIN(Z$38,$D$19)&lt;MAX($P$34*($B278+IF($R$17="Distrato",$I$38-1,0)),IF(AND($L$37=0,$P$34=0),"",$L$37-1),IF($R$17="Distrato",$E278,0))),0,YEARFRAC(MAX($P$34*($B278+IF($R$17="Distrato",$I$38-1,0)),IF(AND($L$37=0,$P$34=0),"",$L$37-1),IF($R$17="Distrato",$E278,0)),MIN(Z$38,$D$19),$P$20))-SUM($P278:Y278)</f>
        <v>#VALUE!</v>
      </c>
      <c r="AA278" s="446" t="e">
        <f>IF(OR($B278="",MIN(AA$38,$D$19)&lt;MAX($P$34*($B278+IF($R$17="Distrato",$I$38-1,0)),IF(AND($L$37=0,$P$34=0),"",$L$37-1),IF($R$17="Distrato",$E278,0))),0,YEARFRAC(MAX($P$34*($B278+IF($R$17="Distrato",$I$38-1,0)),IF(AND($L$37=0,$P$34=0),"",$L$37-1),IF($R$17="Distrato",$E278,0)),MIN(AA$38,$D$19),$P$20))-SUM($P278:Z278)</f>
        <v>#VALUE!</v>
      </c>
      <c r="AB278" s="446" t="e">
        <f>IF(OR($B278="",MIN(AB$38,$D$19)&lt;MAX($P$34*($B278+IF($R$17="Distrato",$I$38-1,0)),IF(AND($L$37=0,$P$34=0),"",$L$37-1),IF($R$17="Distrato",$E278,0))),0,YEARFRAC(MAX($P$34*($B278+IF($R$17="Distrato",$I$38-1,0)),IF(AND($L$37=0,$P$34=0),"",$L$37-1),IF($R$17="Distrato",$E278,0)),MIN(AB$38,$D$19),$P$20))-SUM($P278:AA278)</f>
        <v>#VALUE!</v>
      </c>
      <c r="AC278" s="446" t="e">
        <f>IF(OR($B278="",MIN(AC$38,$D$19)&lt;MAX($P$34*($B278+IF($R$17="Distrato",$I$38-1,0)),IF(AND($L$37=0,$P$34=0),"",$L$37-1),IF($R$17="Distrato",$E278,0))),0,YEARFRAC(MAX($P$34*($B278+IF($R$17="Distrato",$I$38-1,0)),IF(AND($L$37=0,$P$34=0),"",$L$37-1),IF($R$17="Distrato",$E278,0)),MIN(AC$38,$D$19),$P$20))-SUM($P278:AB278)</f>
        <v>#VALUE!</v>
      </c>
      <c r="AD278" s="446" t="e">
        <f>IF(OR($B278="",MIN(AD$38,$D$19)&lt;MAX($P$34*($B278+IF($R$17="Distrato",$I$38-1,0)),IF(AND($L$37=0,$P$34=0),"",$L$37-1),IF($R$17="Distrato",$E278,0))),0,YEARFRAC(MAX($P$34*($B278+IF($R$17="Distrato",$I$38-1,0)),IF(AND($L$37=0,$P$34=0),"",$L$37-1),IF($R$17="Distrato",$E278,0)),MIN(AD$38,$D$19),$P$20))-SUM($P278:AC278)</f>
        <v>#VALUE!</v>
      </c>
      <c r="AE278" s="446" t="e">
        <f>IF(OR($B278="",MIN(AE$38,$D$19)&lt;MAX($P$34*($B278+IF($R$17="Distrato",$I$38-1,0)),IF(AND($L$37=0,$P$34=0),"",$L$37-1),IF($R$17="Distrato",$E278,0))),0,YEARFRAC(MAX($P$34*($B278+IF($R$17="Distrato",$I$38-1,0)),IF(AND($L$37=0,$P$34=0),"",$L$37-1),IF($R$17="Distrato",$E278,0)),MIN(AE$38,$D$19),$P$20))-SUM($P278:AD278)</f>
        <v>#VALUE!</v>
      </c>
      <c r="AF278" s="446" t="e">
        <f>IF(OR($B278="",MIN(AF$38,$D$19)&lt;MAX($P$34*($B278+IF($R$17="Distrato",$I$38-1,0)),IF(AND($L$37=0,$P$34=0),"",$L$37-1),IF($R$17="Distrato",$E278,0))),0,YEARFRAC(MAX($P$34*($B278+IF($R$17="Distrato",$I$38-1,0)),IF(AND($L$37=0,$P$34=0),"",$L$37-1),IF($R$17="Distrato",$E278,0)),MIN(AF$38,$D$19),$P$20))-SUM($P278:AE278)</f>
        <v>#VALUE!</v>
      </c>
      <c r="AG278" s="446" t="e">
        <f>IF(OR($B278="",MIN(AG$38,$D$19)&lt;MAX($P$34*($B278+IF($R$17="Distrato",$I$38-1,0)),IF(AND($L$37=0,$P$34=0),"",$L$37-1),IF($R$17="Distrato",$E278,0))),0,YEARFRAC(MAX($P$34*($B278+IF($R$17="Distrato",$I$38-1,0)),IF(AND($L$37=0,$P$34=0),"",$L$37-1),IF($R$17="Distrato",$E278,0)),MIN(AG$38,$D$19),$P$20))-SUM($P278:AF278)</f>
        <v>#VALUE!</v>
      </c>
      <c r="AH278" s="446" t="e">
        <f>IF(OR($B278="",MIN(AH$38,$D$19)&lt;MAX($P$34*($B278+IF($R$17="Distrato",$I$38-1,0)),IF(AND($L$37=0,$P$34=0),"",$L$37-1),IF($R$17="Distrato",$E278,0))),0,YEARFRAC(MAX($P$34*($B278+IF($R$17="Distrato",$I$38-1,0)),IF(AND($L$37=0,$P$34=0),"",$L$37-1),IF($R$17="Distrato",$E278,0)),MIN(AH$38,$D$19),$P$20))-SUM($P278:AG278)</f>
        <v>#VALUE!</v>
      </c>
      <c r="AI278" s="446" t="e">
        <f>IF(OR($B278="",MIN(AI$38,$D$19)&lt;MAX($P$34*($B278+IF($R$17="Distrato",$I$38-1,0)),IF(AND($L$37=0,$P$34=0),"",$L$37-1),IF($R$17="Distrato",$E278,0))),0,YEARFRAC(MAX($P$34*($B278+IF($R$17="Distrato",$I$38-1,0)),IF(AND($L$37=0,$P$34=0),"",$L$37-1),IF($R$17="Distrato",$E278,0)),MIN(AI$38,$D$19),$P$20))-SUM($P278:AH278)</f>
        <v>#VALUE!</v>
      </c>
      <c r="AJ278" s="446" t="e">
        <f>IF(OR($B278="",MIN(AJ$38,$D$19)&lt;MAX($P$34*($B278+IF($R$17="Distrato",$I$38-1,0)),IF(AND($L$37=0,$P$34=0),"",$L$37-1),IF($R$17="Distrato",$E278,0))),0,YEARFRAC(MAX($P$34*($B278+IF($R$17="Distrato",$I$38-1,0)),IF(AND($L$37=0,$P$34=0),"",$L$37-1),IF($R$17="Distrato",$E278,0)),MIN(AJ$38,$D$19),$P$20))-SUM($P278:AI278)</f>
        <v>#VALUE!</v>
      </c>
      <c r="AK278" s="446" t="e">
        <f>IF(OR($B278="",MIN(AK$38,$D$19)&lt;MAX($P$34*($B278+IF($R$17="Distrato",$I$38-1,0)),IF(AND($L$37=0,$P$34=0),"",$L$37-1),IF($R$17="Distrato",$E278,0))),0,YEARFRAC(MAX($P$34*($B278+IF($R$17="Distrato",$I$38-1,0)),IF(AND($L$37=0,$P$34=0),"",$L$37-1),IF($R$17="Distrato",$E278,0)),MIN(AK$38,$D$19),$P$20))-SUM($P278:AJ278)</f>
        <v>#VALUE!</v>
      </c>
      <c r="AL278" s="446" t="e">
        <f>IF(OR($B278="",MIN(AL$38,$D$19)&lt;MAX($P$34*($B278+IF($R$17="Distrato",$I$38-1,0)),IF(AND($L$37=0,$P$34=0),"",$L$37-1),IF($R$17="Distrato",$E278,0))),0,YEARFRAC(MAX($P$34*($B278+IF($R$17="Distrato",$I$38-1,0)),IF(AND($L$37=0,$P$34=0),"",$L$37-1),IF($R$17="Distrato",$E278,0)),MIN(AL$38,$D$19),$P$20))-SUM($P278:AK278)</f>
        <v>#VALUE!</v>
      </c>
      <c r="AM278" s="446" t="e">
        <f>IF(OR($B278="",MIN(AM$38,$D$19)&lt;MAX($P$34*($B278+IF($R$17="Distrato",$I$38-1,0)),IF(AND($L$37=0,$P$34=0),"",$L$37-1),IF($R$17="Distrato",$E278,0))),0,YEARFRAC(MAX($P$34*($B278+IF($R$17="Distrato",$I$38-1,0)),IF(AND($L$37=0,$P$34=0),"",$L$37-1),IF($R$17="Distrato",$E278,0)),MIN(AM$38,$D$19),$P$20))-SUM($P278:AL278)</f>
        <v>#VALUE!</v>
      </c>
      <c r="AN278" s="446" t="e">
        <f>IF(OR($B278="",MIN(AN$38,$D$19)&lt;MAX($P$34*($B278+IF($R$17="Distrato",$I$38-1,0)),IF(AND($L$37=0,$P$34=0),"",$L$37-1),IF($R$17="Distrato",$E278,0))),0,YEARFRAC(MAX($P$34*($B278+IF($R$17="Distrato",$I$38-1,0)),IF(AND($L$37=0,$P$34=0),"",$L$37-1),IF($R$17="Distrato",$E278,0)),MIN(AN$38,$D$19),$P$20))-SUM($P278:AM278)</f>
        <v>#VALUE!</v>
      </c>
      <c r="AO278" s="446" t="e">
        <f>IF(OR($B278="",MIN(AO$38,$D$19)&lt;MAX($P$34*($B278+IF($R$17="Distrato",$I$38-1,0)),IF(AND($L$37=0,$P$34=0),"",$L$37-1),IF($R$17="Distrato",$E278,0))),0,YEARFRAC(MAX($P$34*($B278+IF($R$17="Distrato",$I$38-1,0)),IF(AND($L$37=0,$P$34=0),"",$L$37-1),IF($R$17="Distrato",$E278,0)),MIN(AO$38,$D$19),$P$20))-SUM($P278:AN278)</f>
        <v>#VALUE!</v>
      </c>
      <c r="AP278" s="446" t="e">
        <f>IF(OR($B278="",MIN(AP$38,$D$19)&lt;MAX($P$34*($B278+IF($R$17="Distrato",$I$38-1,0)),IF(AND($L$37=0,$P$34=0),"",$L$37-1),IF($R$17="Distrato",$E278,0))),0,YEARFRAC(MAX($P$34*($B278+IF($R$17="Distrato",$I$38-1,0)),IF(AND($L$37=0,$P$34=0),"",$L$37-1),IF($R$17="Distrato",$E278,0)),MIN(AP$38,$D$19),$P$20))-SUM($P278:AO278)</f>
        <v>#VALUE!</v>
      </c>
      <c r="AQ278" s="446" t="e">
        <f>IF(OR($B278="",MIN(AQ$38,$D$19)&lt;MAX($P$34*($B278+IF($R$17="Distrato",$I$38-1,0)),IF(AND($L$37=0,$P$34=0),"",$L$37-1),IF($R$17="Distrato",$E278,0))),0,YEARFRAC(MAX($P$34*($B278+IF($R$17="Distrato",$I$38-1,0)),IF(AND($L$37=0,$P$34=0),"",$L$37-1),IF($R$17="Distrato",$E278,0)),MIN(AQ$38,$D$19),$P$20))-SUM($P278:AP278)</f>
        <v>#VALUE!</v>
      </c>
      <c r="AR278" s="446" t="e">
        <f>IF(OR($B278="",MIN(AR$38,$D$19)&lt;MAX($P$34*($B278+IF($R$17="Distrato",$I$38-1,0)),IF(AND($L$37=0,$P$34=0),"",$L$37-1),IF($R$17="Distrato",$E278,0))),0,YEARFRAC(MAX($P$34*($B278+IF($R$17="Distrato",$I$38-1,0)),IF(AND($L$37=0,$P$34=0),"",$L$37-1),IF($R$17="Distrato",$E278,0)),MIN(AR$38,$D$19),$P$20))-SUM($P278:AQ278)</f>
        <v>#VALUE!</v>
      </c>
      <c r="AS278" s="446" t="e">
        <f>IF(OR($B278="",MIN(AS$38,$D$19)&lt;MAX($P$34*($B278+IF($R$17="Distrato",$I$38-1,0)),IF(AND($L$37=0,$P$34=0),"",$L$37-1),IF($R$17="Distrato",$E278,0))),0,YEARFRAC(MAX($P$34*($B278+IF($R$17="Distrato",$I$38-1,0)),IF(AND($L$37=0,$P$34=0),"",$L$37-1),IF($R$17="Distrato",$E278,0)),MIN(AS$38,$D$19),$P$20))-SUM($P278:AR278)</f>
        <v>#VALUE!</v>
      </c>
      <c r="AT278" s="446" t="e">
        <f>IF(OR($B278="",MIN(AT$38,$D$19)&lt;MAX($P$34*($B278+IF($R$17="Distrato",$I$38-1,0)),IF(AND($L$37=0,$P$34=0),"",$L$37-1),IF($R$17="Distrato",$E278,0))),0,YEARFRAC(MAX($P$34*($B278+IF($R$17="Distrato",$I$38-1,0)),IF(AND($L$37=0,$P$34=0),"",$L$37-1),IF($R$17="Distrato",$E278,0)),MIN(AT$38,$D$19),$P$20))-SUM($P278:AS278)</f>
        <v>#VALUE!</v>
      </c>
      <c r="AU278" s="446" t="e">
        <f>IF(OR($B278="",MIN(AU$38,$D$19)&lt;MAX($P$34*($B278+IF($R$17="Distrato",$I$38-1,0)),IF(AND($L$37=0,$P$34=0),"",$L$37-1),IF($R$17="Distrato",$E278,0))),0,YEARFRAC(MAX($P$34*($B278+IF($R$17="Distrato",$I$38-1,0)),IF(AND($L$37=0,$P$34=0),"",$L$37-1),IF($R$17="Distrato",$E278,0)),MIN(AU$38,$D$19),$P$20))-SUM($P278:AT278)</f>
        <v>#VALUE!</v>
      </c>
      <c r="AV278" s="446" t="e">
        <f>IF(OR($B278="",MIN(AV$38,$D$19)&lt;MAX($P$34*($B278+IF($R$17="Distrato",$I$38-1,0)),IF(AND($L$37=0,$P$34=0),"",$L$37-1),IF($R$17="Distrato",$E278,0))),0,YEARFRAC(MAX($P$34*($B278+IF($R$17="Distrato",$I$38-1,0)),IF(AND($L$37=0,$P$34=0),"",$L$37-1),IF($R$17="Distrato",$E278,0)),MIN(AV$38,$D$19),$P$20))-SUM($P278:AU278)</f>
        <v>#VALUE!</v>
      </c>
      <c r="AW278" s="446" t="e">
        <f>IF(OR($B278="",MIN(AW$38,$D$19)&lt;MAX($P$34*($B278+IF($R$17="Distrato",$I$38-1,0)),IF(AND($L$37=0,$P$34=0),"",$L$37-1),IF($R$17="Distrato",$E278,0))),0,YEARFRAC(MAX($P$34*($B278+IF($R$17="Distrato",$I$38-1,0)),IF(AND($L$37=0,$P$34=0),"",$L$37-1),IF($R$17="Distrato",$E278,0)),MIN(AW$38,$D$19),$P$20))-SUM($P278:AV278)</f>
        <v>#VALUE!</v>
      </c>
      <c r="AX278" s="446" t="e">
        <f>IF(OR($B278="",MIN(AX$38,$D$19)&lt;MAX($P$34*($B278+IF($R$17="Distrato",$I$38-1,0)),IF(AND($L$37=0,$P$34=0),"",$L$37-1),IF($R$17="Distrato",$E278,0))),0,YEARFRAC(MAX($P$34*($B278+IF($R$17="Distrato",$I$38-1,0)),IF(AND($L$37=0,$P$34=0),"",$L$37-1),IF($R$17="Distrato",$E278,0)),MIN(AX$38,$D$19),$P$20))-SUM($P278:AW278)</f>
        <v>#VALUE!</v>
      </c>
      <c r="AY278" s="446" t="e">
        <f>IF(OR($B278="",MIN(AY$38,$D$19)&lt;MAX($P$34*($B278+IF($R$17="Distrato",$I$38-1,0)),IF(AND($L$37=0,$P$34=0),"",$L$37-1),IF($R$17="Distrato",$E278,0))),0,YEARFRAC(MAX($P$34*($B278+IF($R$17="Distrato",$I$38-1,0)),IF(AND($L$37=0,$P$34=0),"",$L$37-1),IF($R$17="Distrato",$E278,0)),MIN(AY$38,$D$19),$P$20))-SUM($P278:AX278)</f>
        <v>#VALUE!</v>
      </c>
      <c r="AZ278" s="446" t="e">
        <f>IF(OR($B278="",MIN(AZ$38,$D$19)&lt;MAX($P$34*($B278+IF($R$17="Distrato",$I$38-1,0)),IF(AND($L$37=0,$P$34=0),"",$L$37-1),IF($R$17="Distrato",$E278,0))),0,YEARFRAC(MAX($P$34*($B278+IF($R$17="Distrato",$I$38-1,0)),IF(AND($L$37=0,$P$34=0),"",$L$37-1),IF($R$17="Distrato",$E278,0)),MIN(AZ$38,$D$19),$P$20))-SUM($P278:AY278)</f>
        <v>#VALUE!</v>
      </c>
      <c r="BA278" s="446" t="e">
        <f>IF(OR($B278="",MIN(BA$38,$D$19)&lt;MAX($P$34*($B278+IF($R$17="Distrato",$I$38-1,0)),IF(AND($L$37=0,$P$34=0),"",$L$37-1),IF($R$17="Distrato",$E278,0))),0,YEARFRAC(MAX($P$34*($B278+IF($R$17="Distrato",$I$38-1,0)),IF(AND($L$37=0,$P$34=0),"",$L$37-1),IF($R$17="Distrato",$E278,0)),MIN(BA$38,$D$19),$P$20))-SUM($P278:AZ278)</f>
        <v>#VALUE!</v>
      </c>
      <c r="BB278" s="447"/>
      <c r="BF278" s="446">
        <f t="shared" si="43"/>
        <v>0</v>
      </c>
      <c r="BG278" s="446">
        <f>IF($E278=0,0,IF(MIN(BG$38,$E278)&lt;MAX($P$34*($B278+$I$38-1),IF(AND($L$37=0,$P$34=0),"",$L$37-1)),0,YEARFRAC(MAX($P$34*($B278+$I$38-1),IF(AND($L$37=0,$P$34=0),"",$L$37-1)),MIN(BG$38,$E278),$P$20))-SUM($BF278:BF278))</f>
        <v>0</v>
      </c>
      <c r="BH278" s="446">
        <f>IF($E278=0,0,IF(MIN(BH$38,$E278)&lt;MAX($P$34*($B278+$I$38-1),IF(AND($L$37=0,$P$34=0),"",$L$37-1)),0,YEARFRAC(MAX($P$34*($B278+$I$38-1),IF(AND($L$37=0,$P$34=0),"",$L$37-1)),MIN(BH$38,$E278),$P$20))-SUM($BF278:BG278))</f>
        <v>0</v>
      </c>
      <c r="BI278" s="446">
        <f>IF($E278=0,0,IF(MIN(BI$38,$E278)&lt;MAX($P$34*($B278+$I$38-1),IF(AND($L$37=0,$P$34=0),"",$L$37-1)),0,YEARFRAC(MAX($P$34*($B278+$I$38-1),IF(AND($L$37=0,$P$34=0),"",$L$37-1)),MIN(BI$38,$E278),$P$20))-SUM($BF278:BH278))</f>
        <v>0</v>
      </c>
      <c r="BJ278" s="446">
        <f>IF($E278=0,0,IF(MIN(BJ$38,$E278)&lt;MAX($P$34*($B278+$I$38-1),IF(AND($L$37=0,$P$34=0),"",$L$37-1)),0,YEARFRAC(MAX($P$34*($B278+$I$38-1),IF(AND($L$37=0,$P$34=0),"",$L$37-1)),MIN(BJ$38,$E278),$P$20))-SUM($BF278:BI278))</f>
        <v>0</v>
      </c>
      <c r="BK278" s="446">
        <f>IF($E278=0,0,IF(MIN(BK$38,$E278)&lt;MAX($P$34*($B278+$I$38-1),IF(AND($L$37=0,$P$34=0),"",$L$37-1)),0,YEARFRAC(MAX($P$34*($B278+$I$38-1),IF(AND($L$37=0,$P$34=0),"",$L$37-1)),MIN(BK$38,$E278),$P$20))-SUM($BF278:BJ278))</f>
        <v>0</v>
      </c>
      <c r="BL278" s="446">
        <f>IF($E278=0,0,IF(MIN(BL$38,$E278)&lt;MAX($P$34*($B278+$I$38-1),IF(AND($L$37=0,$P$34=0),"",$L$37-1)),0,YEARFRAC(MAX($P$34*($B278+$I$38-1),IF(AND($L$37=0,$P$34=0),"",$L$37-1)),MIN(BL$38,$E278),$P$20))-SUM($BF278:BK278))</f>
        <v>0</v>
      </c>
      <c r="BM278" s="446">
        <f>IF($E278=0,0,IF(MIN(BM$38,$E278)&lt;MAX($P$34*($B278+$I$38-1),IF(AND($L$37=0,$P$34=0),"",$L$37-1)),0,YEARFRAC(MAX($P$34*($B278+$I$38-1),IF(AND($L$37=0,$P$34=0),"",$L$37-1)),MIN(BM$38,$E278),$P$20))-SUM($BF278:BL278))</f>
        <v>0</v>
      </c>
      <c r="BN278" s="446">
        <f>IF($E278=0,0,IF(MIN(BN$38,$E278)&lt;MAX($P$34*($B278+$I$38-1),IF(AND($L$37=0,$P$34=0),"",$L$37-1)),0,YEARFRAC(MAX($P$34*($B278+$I$38-1),IF(AND($L$37=0,$P$34=0),"",$L$37-1)),MIN(BN$38,$E278),$P$20))-SUM($BF278:BM278))</f>
        <v>0</v>
      </c>
      <c r="BO278" s="446">
        <f>IF($E278=0,0,IF(MIN(BO$38,$E278)&lt;MAX($P$34*($B278+$I$38-1),IF(AND($L$37=0,$P$34=0),"",$L$37-1)),0,YEARFRAC(MAX($P$34*($B278+$I$38-1),IF(AND($L$37=0,$P$34=0),"",$L$37-1)),MIN(BO$38,$E278),$P$20))-SUM($BF278:BN278))</f>
        <v>0</v>
      </c>
      <c r="BP278" s="446">
        <f>IF($E278=0,0,IF(MIN(BP$38,$E278)&lt;MAX($P$34*($B278+$I$38-1),IF(AND($L$37=0,$P$34=0),"",$L$37-1)),0,YEARFRAC(MAX($P$34*($B278+$I$38-1),IF(AND($L$37=0,$P$34=0),"",$L$37-1)),MIN(BP$38,$E278),$P$20))-SUM($BF278:BO278))</f>
        <v>0</v>
      </c>
      <c r="BQ278" s="446">
        <f>IF($E278=0,0,IF(MIN(BQ$38,$E278)&lt;MAX($P$34*($B278+$I$38-1),IF(AND($L$37=0,$P$34=0),"",$L$37-1)),0,YEARFRAC(MAX($P$34*($B278+$I$38-1),IF(AND($L$37=0,$P$34=0),"",$L$37-1)),MIN(BQ$38,$E278),$P$20))-SUM($BF278:BP278))</f>
        <v>0</v>
      </c>
      <c r="BR278" s="446">
        <f>IF($E278=0,0,IF(MIN(BR$38,$E278)&lt;MAX($P$34*($B278+$I$38-1),IF(AND($L$37=0,$P$34=0),"",$L$37-1)),0,YEARFRAC(MAX($P$34*($B278+$I$38-1),IF(AND($L$37=0,$P$34=0),"",$L$37-1)),MIN(BR$38,$E278),$P$20))-SUM($BF278:BQ278))</f>
        <v>0</v>
      </c>
      <c r="BS278" s="446">
        <f>IF($E278=0,0,IF(MIN(BS$38,$E278)&lt;MAX($P$34*($B278+$I$38-1),IF(AND($L$37=0,$P$34=0),"",$L$37-1)),0,YEARFRAC(MAX($P$34*($B278+$I$38-1),IF(AND($L$37=0,$P$34=0),"",$L$37-1)),MIN(BS$38,$E278),$P$20))-SUM($BF278:BR278))</f>
        <v>0</v>
      </c>
      <c r="BT278" s="446">
        <f>IF($E278=0,0,IF(MIN(BT$38,$E278)&lt;MAX($P$34*($B278+$I$38-1),IF(AND($L$37=0,$P$34=0),"",$L$37-1)),0,YEARFRAC(MAX($P$34*($B278+$I$38-1),IF(AND($L$37=0,$P$34=0),"",$L$37-1)),MIN(BT$38,$E278),$P$20))-SUM($BF278:BS278))</f>
        <v>0</v>
      </c>
      <c r="BU278" s="446">
        <f>IF($E278=0,0,IF(MIN(BU$38,$E278)&lt;MAX($P$34*($B278+$I$38-1),IF(AND($L$37=0,$P$34=0),"",$L$37-1)),0,YEARFRAC(MAX($P$34*($B278+$I$38-1),IF(AND($L$37=0,$P$34=0),"",$L$37-1)),MIN(BU$38,$E278),$P$20))-SUM($BF278:BT278))</f>
        <v>0</v>
      </c>
      <c r="BV278" s="446">
        <f>IF($E278=0,0,IF(MIN(BV$38,$E278)&lt;MAX($P$34*($B278+$I$38-1),IF(AND($L$37=0,$P$34=0),"",$L$37-1)),0,YEARFRAC(MAX($P$34*($B278+$I$38-1),IF(AND($L$37=0,$P$34=0),"",$L$37-1)),MIN(BV$38,$E278),$P$20))-SUM($BF278:BU278))</f>
        <v>0</v>
      </c>
      <c r="BW278" s="446">
        <f>IF($E278=0,0,IF(MIN(BW$38,$E278)&lt;MAX($P$34*($B278+$I$38-1),IF(AND($L$37=0,$P$34=0),"",$L$37-1)),0,YEARFRAC(MAX($P$34*($B278+$I$38-1),IF(AND($L$37=0,$P$34=0),"",$L$37-1)),MIN(BW$38,$E278),$P$20))-SUM($BF278:BV278))</f>
        <v>0</v>
      </c>
      <c r="BX278" s="446">
        <f>IF($E278=0,0,IF(MIN(BX$38,$E278)&lt;MAX($P$34*($B278+$I$38-1),IF(AND($L$37=0,$P$34=0),"",$L$37-1)),0,YEARFRAC(MAX($P$34*($B278+$I$38-1),IF(AND($L$37=0,$P$34=0),"",$L$37-1)),MIN(BX$38,$E278),$P$20))-SUM($BF278:BW278))</f>
        <v>0</v>
      </c>
      <c r="BY278" s="446">
        <f>IF($E278=0,0,IF(MIN(BY$38,$E278)&lt;MAX($P$34*($B278+$I$38-1),IF(AND($L$37=0,$P$34=0),"",$L$37-1)),0,YEARFRAC(MAX($P$34*($B278+$I$38-1),IF(AND($L$37=0,$P$34=0),"",$L$37-1)),MIN(BY$38,$E278),$P$20))-SUM($BF278:BX278))</f>
        <v>0</v>
      </c>
      <c r="BZ278" s="446">
        <f>IF($E278=0,0,IF(MIN(BZ$38,$E278)&lt;MAX($P$34*($B278+$I$38-1),IF(AND($L$37=0,$P$34=0),"",$L$37-1)),0,YEARFRAC(MAX($P$34*($B278+$I$38-1),IF(AND($L$37=0,$P$34=0),"",$L$37-1)),MIN(BZ$38,$E278),$P$20))-SUM($BF278:BY278))</f>
        <v>0</v>
      </c>
      <c r="CA278" s="446">
        <f>IF($E278=0,0,IF(MIN(CA$38,$E278)&lt;MAX($P$34*($B278+$I$38-1),IF(AND($L$37=0,$P$34=0),"",$L$37-1)),0,YEARFRAC(MAX($P$34*($B278+$I$38-1),IF(AND($L$37=0,$P$34=0),"",$L$37-1)),MIN(CA$38,$E278),$P$20))-SUM($BF278:BZ278))</f>
        <v>0</v>
      </c>
      <c r="CB278" s="446">
        <f>IF($E278=0,0,IF(MIN(CB$38,$E278)&lt;MAX($P$34*($B278+$I$38-1),IF(AND($L$37=0,$P$34=0),"",$L$37-1)),0,YEARFRAC(MAX($P$34*($B278+$I$38-1),IF(AND($L$37=0,$P$34=0),"",$L$37-1)),MIN(CB$38,$E278),$P$20))-SUM($BF278:CA278))</f>
        <v>0</v>
      </c>
      <c r="CC278" s="446">
        <f>IF($E278=0,0,IF(MIN(CC$38,$E278)&lt;MAX($P$34*($B278+$I$38-1),IF(AND($L$37=0,$P$34=0),"",$L$37-1)),0,YEARFRAC(MAX($P$34*($B278+$I$38-1),IF(AND($L$37=0,$P$34=0),"",$L$37-1)),MIN(CC$38,$E278),$P$20))-SUM($BF278:CB278))</f>
        <v>0</v>
      </c>
      <c r="CD278" s="446">
        <f>IF($E278=0,0,IF(MIN(CD$38,$E278)&lt;MAX($P$34*($B278+$I$38-1),IF(AND($L$37=0,$P$34=0),"",$L$37-1)),0,YEARFRAC(MAX($P$34*($B278+$I$38-1),IF(AND($L$37=0,$P$34=0),"",$L$37-1)),MIN(CD$38,$E278),$P$20))-SUM($BF278:CC278))</f>
        <v>0</v>
      </c>
      <c r="CE278" s="446">
        <f>IF($E278=0,0,IF(MIN(CE$38,$E278)&lt;MAX($P$34*($B278+$I$38-1),IF(AND($L$37=0,$P$34=0),"",$L$37-1)),0,YEARFRAC(MAX($P$34*($B278+$I$38-1),IF(AND($L$37=0,$P$34=0),"",$L$37-1)),MIN(CE$38,$E278),$P$20))-SUM($BF278:CD278))</f>
        <v>0</v>
      </c>
      <c r="CF278" s="446">
        <f>IF($E278=0,0,IF(MIN(CF$38,$E278)&lt;MAX($P$34*($B278+$I$38-1),IF(AND($L$37=0,$P$34=0),"",$L$37-1)),0,YEARFRAC(MAX($P$34*($B278+$I$38-1),IF(AND($L$37=0,$P$34=0),"",$L$37-1)),MIN(CF$38,$E278),$P$20))-SUM($BF278:CE278))</f>
        <v>0</v>
      </c>
      <c r="CG278" s="446">
        <f>IF($E278=0,0,IF(MIN(CG$38,$E278)&lt;MAX($P$34*($B278+$I$38-1),IF(AND($L$37=0,$P$34=0),"",$L$37-1)),0,YEARFRAC(MAX($P$34*($B278+$I$38-1),IF(AND($L$37=0,$P$34=0),"",$L$37-1)),MIN(CG$38,$E278),$P$20))-SUM($BF278:CF278))</f>
        <v>0</v>
      </c>
      <c r="CH278" s="446">
        <f>IF($E278=0,0,IF(MIN(CH$38,$E278)&lt;MAX($P$34*($B278+$I$38-1),IF(AND($L$37=0,$P$34=0),"",$L$37-1)),0,YEARFRAC(MAX($P$34*($B278+$I$38-1),IF(AND($L$37=0,$P$34=0),"",$L$37-1)),MIN(CH$38,$E278),$P$20))-SUM($BF278:CG278))</f>
        <v>0</v>
      </c>
      <c r="CI278" s="446">
        <f>IF($E278=0,0,IF(MIN(CI$38,$E278)&lt;MAX($P$34*($B278+$I$38-1),IF(AND($L$37=0,$P$34=0),"",$L$37-1)),0,YEARFRAC(MAX($P$34*($B278+$I$38-1),IF(AND($L$37=0,$P$34=0),"",$L$37-1)),MIN(CI$38,$E278),$P$20))-SUM($BF278:CH278))</f>
        <v>0</v>
      </c>
      <c r="CJ278" s="446">
        <f>IF($E278=0,0,IF(MIN(CJ$38,$E278)&lt;MAX($P$34*($B278+$I$38-1),IF(AND($L$37=0,$P$34=0),"",$L$37-1)),0,YEARFRAC(MAX($P$34*($B278+$I$38-1),IF(AND($L$37=0,$P$34=0),"",$L$37-1)),MIN(CJ$38,$E278),$P$20))-SUM($BF278:CI278))</f>
        <v>0</v>
      </c>
      <c r="CK278" s="446">
        <f>IF($E278=0,0,IF(MIN(CK$38,$E278)&lt;MAX($P$34*($B278+$I$38-1),IF(AND($L$37=0,$P$34=0),"",$L$37-1)),0,YEARFRAC(MAX($P$34*($B278+$I$38-1),IF(AND($L$37=0,$P$34=0),"",$L$37-1)),MIN(CK$38,$E278),$P$20))-SUM($BF278:CJ278))</f>
        <v>0</v>
      </c>
      <c r="CL278" s="446">
        <f>IF($E278=0,0,IF(MIN(CL$38,$E278)&lt;MAX($P$34*($B278+$I$38-1),IF(AND($L$37=0,$P$34=0),"",$L$37-1)),0,YEARFRAC(MAX($P$34*($B278+$I$38-1),IF(AND($L$37=0,$P$34=0),"",$L$37-1)),MIN(CL$38,$E278),$P$20))-SUM($BF278:CK278))</f>
        <v>0</v>
      </c>
      <c r="CM278" s="446">
        <f>IF($E278=0,0,IF(MIN(CM$38,$E278)&lt;MAX($P$34*($B278+$I$38-1),IF(AND($L$37=0,$P$34=0),"",$L$37-1)),0,YEARFRAC(MAX($P$34*($B278+$I$38-1),IF(AND($L$37=0,$P$34=0),"",$L$37-1)),MIN(CM$38,$E278),$P$20))-SUM($BF278:CL278))</f>
        <v>0</v>
      </c>
      <c r="CN278" s="446">
        <f>IF($E278=0,0,IF(MIN(CN$38,$E278)&lt;MAX($P$34*($B278+$I$38-1),IF(AND($L$37=0,$P$34=0),"",$L$37-1)),0,YEARFRAC(MAX($P$34*($B278+$I$38-1),IF(AND($L$37=0,$P$34=0),"",$L$37-1)),MIN(CN$38,$E278),$P$20))-SUM($BF278:CM278))</f>
        <v>0</v>
      </c>
      <c r="CO278" s="446">
        <f>IF($E278=0,0,IF(MIN(CO$38,$E278)&lt;MAX($P$34*($B278+$I$38-1),IF(AND($L$37=0,$P$34=0),"",$L$37-1)),0,YEARFRAC(MAX($P$34*($B278+$I$38-1),IF(AND($L$37=0,$P$34=0),"",$L$37-1)),MIN(CO$38,$E278),$P$20))-SUM($BF278:CN278))</f>
        <v>0</v>
      </c>
      <c r="CP278" s="446">
        <f>IF($E278=0,0,IF(MIN(CP$38,$E278)&lt;MAX($P$34*($B278+$I$38-1),IF(AND($L$37=0,$P$34=0),"",$L$37-1)),0,YEARFRAC(MAX($P$34*($B278+$I$38-1),IF(AND($L$37=0,$P$34=0),"",$L$37-1)),MIN(CP$38,$E278),$P$20))-SUM($BF278:CO278))</f>
        <v>0</v>
      </c>
      <c r="CQ278" s="446">
        <f>IF($E278=0,0,IF(MIN(CQ$38,$E278)&lt;MAX($P$34*($B278+$I$38-1),IF(AND($L$37=0,$P$34=0),"",$L$37-1)),0,YEARFRAC(MAX($P$34*($B278+$I$38-1),IF(AND($L$37=0,$P$34=0),"",$L$37-1)),MIN(CQ$38,$E278),$P$20))-SUM($BF278:CP278))</f>
        <v>0</v>
      </c>
    </row>
    <row r="279" spans="1:95" s="446" customFormat="1" ht="11.25" hidden="1" customHeight="1" x14ac:dyDescent="0.2">
      <c r="A279" s="152"/>
      <c r="B279" s="153" t="str">
        <f t="shared" si="48"/>
        <v/>
      </c>
      <c r="C279" s="29" t="str">
        <f>IF(B279="","",IF($L$35="SELIC - TRIBUTOS",VLOOKUP(DATE(YEAR($D$19),MONTH($D$19)-1,1),ÍNDICES!$A:$DE,HLOOKUP($BL$25,ÍNDICES!$B$3:$T$4,2)+11)-VLOOKUP(B279,ÍNDICES!$A:$DE,HLOOKUP($BL$25,ÍNDICES!$B$3:$T$4,2)+11)+1%,IF(C$38=$W$26,$J$35,IF(ISERROR(IF(B279&gt;$D$19,1,VLOOKUP(DATE(YEAR(B279),MONTH(B279)+IF($C$35=$S$23,1,0),1),ÍNDICES!$A:$DE,$Z$35+1))),"",IF(B279&gt;$D$19,1,VLOOKUP(DATE(YEAR(B279),MONTH(B279)+IF($C$35=$S$23,1,0),1),ÍNDICES!$A:$DE,$Z$35+1))))))</f>
        <v/>
      </c>
      <c r="D279" s="154" t="str">
        <f>IF(ISERROR(IF(OR($D$38=$Y$27,$B279=""),"",VLOOKUP(B279,ÍNDICES!A:DE,AF$35+1))),"",IF(OR($D$38=$Y$27,$B279=""),"",VLOOKUP(B279,ÍNDICES!A:DE,AF$35+1)))</f>
        <v/>
      </c>
      <c r="E279" s="153"/>
      <c r="F279" s="29" t="str">
        <f>IF(E279="","",IF($L$35="SELIC - TRIBUTOS",VLOOKUP(DATE(YEAR($D$19),MONTH($D$19)-1,1),ÍNDICES!$A:$DE,HLOOKUP($BL$25,ÍNDICES!$B$3:$T$4,2)+11)-VLOOKUP(E279,ÍNDICES!$A:$DE,HLOOKUP($BL$25,ÍNDICES!$B$3:$T$4,2)+11)+1%,IF(F$38=$W$26,$J$35,IF(ISERROR(IF(E279&gt;$D$19,1,VLOOKUP(DATE(YEAR(E279),MONTH(E279)+IF($C$35=$S$23,1,0),1),ÍNDICES!$A:$DE,$Z$35+1))),"",IF(E279&gt;$D$19,1,VLOOKUP(DATE(YEAR(E279),MONTH(E279)+IF($C$35=$S$23,1,0),1),ÍNDICES!$A:$DE,$Z$35+1))))))</f>
        <v/>
      </c>
      <c r="G279" s="155"/>
      <c r="H279" s="156" t="str">
        <f t="shared" si="44"/>
        <v/>
      </c>
      <c r="I279" s="29" t="str">
        <f t="shared" si="38"/>
        <v/>
      </c>
      <c r="J279" s="5">
        <f t="shared" si="39"/>
        <v>0</v>
      </c>
      <c r="K279" s="20">
        <f t="shared" ca="1" si="40"/>
        <v>0</v>
      </c>
      <c r="L279" s="5">
        <f t="shared" ca="1" si="41"/>
        <v>0</v>
      </c>
      <c r="M279" s="64">
        <f t="shared" si="45"/>
        <v>0</v>
      </c>
      <c r="N279" s="61">
        <f t="shared" ca="1" si="46"/>
        <v>0</v>
      </c>
      <c r="O279" s="5">
        <f t="shared" ca="1" si="47"/>
        <v>0</v>
      </c>
      <c r="P279" s="446" t="e">
        <f t="shared" si="42"/>
        <v>#VALUE!</v>
      </c>
      <c r="Q279" s="446" t="e">
        <f>IF(OR($B279="",MIN(Q$38,$D$19)&lt;MAX($P$34*($B279+IF($R$17="Distrato",$I$38-1,0)),IF(AND($L$37=0,$P$34=0),"",$L$37-1),IF($R$17="Distrato",$E279,0))),0,YEARFRAC(MAX($P$34*($B279+IF($R$17="Distrato",$I$38-1,0)),IF(AND($L$37=0,$P$34=0),"",$L$37-1),IF($R$17="Distrato",$E279,0)),MIN(Q$38,$D$19),$P$20))-SUM($P279:P279)</f>
        <v>#VALUE!</v>
      </c>
      <c r="R279" s="446" t="e">
        <f>IF(OR($B279="",MIN(R$38,$D$19)&lt;MAX($P$34*($B279+IF($R$17="Distrato",$I$38-1,0)),IF(AND($L$37=0,$P$34=0),"",$L$37-1),IF($R$17="Distrato",$E279,0))),0,YEARFRAC(MAX($P$34*($B279+IF($R$17="Distrato",$I$38-1,0)),IF(AND($L$37=0,$P$34=0),"",$L$37-1),IF($R$17="Distrato",$E279,0)),MIN(R$38,$D$19),$P$20))-SUM($P279:Q279)</f>
        <v>#VALUE!</v>
      </c>
      <c r="S279" s="446" t="e">
        <f>IF(OR($B279="",MIN(S$38,$D$19)&lt;MAX($P$34*($B279+IF($R$17="Distrato",$I$38-1,0)),IF(AND($L$37=0,$P$34=0),"",$L$37-1),IF($R$17="Distrato",$E279,0))),0,YEARFRAC(MAX($P$34*($B279+IF($R$17="Distrato",$I$38-1,0)),IF(AND($L$37=0,$P$34=0),"",$L$37-1),IF($R$17="Distrato",$E279,0)),MIN(S$38,$D$19),$P$20))-SUM($P279:R279)</f>
        <v>#VALUE!</v>
      </c>
      <c r="T279" s="446" t="e">
        <f>IF(OR($B279="",MIN(T$38,$D$19)&lt;MAX($P$34*($B279+IF($R$17="Distrato",$I$38-1,0)),IF(AND($L$37=0,$P$34=0),"",$L$37-1),IF($R$17="Distrato",$E279,0))),0,YEARFRAC(MAX($P$34*($B279+IF($R$17="Distrato",$I$38-1,0)),IF(AND($L$37=0,$P$34=0),"",$L$37-1),IF($R$17="Distrato",$E279,0)),MIN(T$38,$D$19),$P$20))-SUM($P279:S279)</f>
        <v>#VALUE!</v>
      </c>
      <c r="U279" s="446" t="e">
        <f>IF(OR($B279="",MIN(U$38,$D$19)&lt;MAX($P$34*($B279+IF($R$17="Distrato",$I$38-1,0)),IF(AND($L$37=0,$P$34=0),"",$L$37-1),IF($R$17="Distrato",$E279,0))),0,YEARFRAC(MAX($P$34*($B279+IF($R$17="Distrato",$I$38-1,0)),IF(AND($L$37=0,$P$34=0),"",$L$37-1),IF($R$17="Distrato",$E279,0)),MIN(U$38,$D$19),$P$20))-SUM($P279:T279)</f>
        <v>#VALUE!</v>
      </c>
      <c r="V279" s="446" t="e">
        <f>IF(OR($B279="",MIN(V$38,$D$19)&lt;MAX($P$34*($B279+IF($R$17="Distrato",$I$38-1,0)),IF(AND($L$37=0,$P$34=0),"",$L$37-1),IF($R$17="Distrato",$E279,0))),0,YEARFRAC(MAX($P$34*($B279+IF($R$17="Distrato",$I$38-1,0)),IF(AND($L$37=0,$P$34=0),"",$L$37-1),IF($R$17="Distrato",$E279,0)),MIN(V$38,$D$19),$P$20))-SUM($P279:U279)</f>
        <v>#VALUE!</v>
      </c>
      <c r="W279" s="446" t="e">
        <f>IF(OR($B279="",MIN(W$38,$D$19)&lt;MAX($P$34*($B279+IF($R$17="Distrato",$I$38-1,0)),IF(AND($L$37=0,$P$34=0),"",$L$37-1),IF($R$17="Distrato",$E279,0))),0,YEARFRAC(MAX($P$34*($B279+IF($R$17="Distrato",$I$38-1,0)),IF(AND($L$37=0,$P$34=0),"",$L$37-1),IF($R$17="Distrato",$E279,0)),MIN(W$38,$D$19),$P$20))-SUM($P279:V279)</f>
        <v>#VALUE!</v>
      </c>
      <c r="X279" s="446" t="e">
        <f>IF(OR($B279="",MIN(X$38,$D$19)&lt;MAX($P$34*($B279+IF($R$17="Distrato",$I$38-1,0)),IF(AND($L$37=0,$P$34=0),"",$L$37-1),IF($R$17="Distrato",$E279,0))),0,YEARFRAC(MAX($P$34*($B279+IF($R$17="Distrato",$I$38-1,0)),IF(AND($L$37=0,$P$34=0),"",$L$37-1),IF($R$17="Distrato",$E279,0)),MIN(X$38,$D$19),$P$20))-SUM($P279:W279)</f>
        <v>#VALUE!</v>
      </c>
      <c r="Y279" s="446" t="e">
        <f>IF(OR($B279="",MIN(Y$38,$D$19)&lt;MAX($P$34*($B279+IF($R$17="Distrato",$I$38-1,0)),IF(AND($L$37=0,$P$34=0),"",$L$37-1),IF($R$17="Distrato",$E279,0))),0,YEARFRAC(MAX($P$34*($B279+IF($R$17="Distrato",$I$38-1,0)),IF(AND($L$37=0,$P$34=0),"",$L$37-1),IF($R$17="Distrato",$E279,0)),MIN(Y$38,$D$19),$P$20))-SUM($P279:X279)</f>
        <v>#VALUE!</v>
      </c>
      <c r="Z279" s="446" t="e">
        <f>IF(OR($B279="",MIN(Z$38,$D$19)&lt;MAX($P$34*($B279+IF($R$17="Distrato",$I$38-1,0)),IF(AND($L$37=0,$P$34=0),"",$L$37-1),IF($R$17="Distrato",$E279,0))),0,YEARFRAC(MAX($P$34*($B279+IF($R$17="Distrato",$I$38-1,0)),IF(AND($L$37=0,$P$34=0),"",$L$37-1),IF($R$17="Distrato",$E279,0)),MIN(Z$38,$D$19),$P$20))-SUM($P279:Y279)</f>
        <v>#VALUE!</v>
      </c>
      <c r="AA279" s="446" t="e">
        <f>IF(OR($B279="",MIN(AA$38,$D$19)&lt;MAX($P$34*($B279+IF($R$17="Distrato",$I$38-1,0)),IF(AND($L$37=0,$P$34=0),"",$L$37-1),IF($R$17="Distrato",$E279,0))),0,YEARFRAC(MAX($P$34*($B279+IF($R$17="Distrato",$I$38-1,0)),IF(AND($L$37=0,$P$34=0),"",$L$37-1),IF($R$17="Distrato",$E279,0)),MIN(AA$38,$D$19),$P$20))-SUM($P279:Z279)</f>
        <v>#VALUE!</v>
      </c>
      <c r="AB279" s="446" t="e">
        <f>IF(OR($B279="",MIN(AB$38,$D$19)&lt;MAX($P$34*($B279+IF($R$17="Distrato",$I$38-1,0)),IF(AND($L$37=0,$P$34=0),"",$L$37-1),IF($R$17="Distrato",$E279,0))),0,YEARFRAC(MAX($P$34*($B279+IF($R$17="Distrato",$I$38-1,0)),IF(AND($L$37=0,$P$34=0),"",$L$37-1),IF($R$17="Distrato",$E279,0)),MIN(AB$38,$D$19),$P$20))-SUM($P279:AA279)</f>
        <v>#VALUE!</v>
      </c>
      <c r="AC279" s="446" t="e">
        <f>IF(OR($B279="",MIN(AC$38,$D$19)&lt;MAX($P$34*($B279+IF($R$17="Distrato",$I$38-1,0)),IF(AND($L$37=0,$P$34=0),"",$L$37-1),IF($R$17="Distrato",$E279,0))),0,YEARFRAC(MAX($P$34*($B279+IF($R$17="Distrato",$I$38-1,0)),IF(AND($L$37=0,$P$34=0),"",$L$37-1),IF($R$17="Distrato",$E279,0)),MIN(AC$38,$D$19),$P$20))-SUM($P279:AB279)</f>
        <v>#VALUE!</v>
      </c>
      <c r="AD279" s="446" t="e">
        <f>IF(OR($B279="",MIN(AD$38,$D$19)&lt;MAX($P$34*($B279+IF($R$17="Distrato",$I$38-1,0)),IF(AND($L$37=0,$P$34=0),"",$L$37-1),IF($R$17="Distrato",$E279,0))),0,YEARFRAC(MAX($P$34*($B279+IF($R$17="Distrato",$I$38-1,0)),IF(AND($L$37=0,$P$34=0),"",$L$37-1),IF($R$17="Distrato",$E279,0)),MIN(AD$38,$D$19),$P$20))-SUM($P279:AC279)</f>
        <v>#VALUE!</v>
      </c>
      <c r="AE279" s="446" t="e">
        <f>IF(OR($B279="",MIN(AE$38,$D$19)&lt;MAX($P$34*($B279+IF($R$17="Distrato",$I$38-1,0)),IF(AND($L$37=0,$P$34=0),"",$L$37-1),IF($R$17="Distrato",$E279,0))),0,YEARFRAC(MAX($P$34*($B279+IF($R$17="Distrato",$I$38-1,0)),IF(AND($L$37=0,$P$34=0),"",$L$37-1),IF($R$17="Distrato",$E279,0)),MIN(AE$38,$D$19),$P$20))-SUM($P279:AD279)</f>
        <v>#VALUE!</v>
      </c>
      <c r="AF279" s="446" t="e">
        <f>IF(OR($B279="",MIN(AF$38,$D$19)&lt;MAX($P$34*($B279+IF($R$17="Distrato",$I$38-1,0)),IF(AND($L$37=0,$P$34=0),"",$L$37-1),IF($R$17="Distrato",$E279,0))),0,YEARFRAC(MAX($P$34*($B279+IF($R$17="Distrato",$I$38-1,0)),IF(AND($L$37=0,$P$34=0),"",$L$37-1),IF($R$17="Distrato",$E279,0)),MIN(AF$38,$D$19),$P$20))-SUM($P279:AE279)</f>
        <v>#VALUE!</v>
      </c>
      <c r="AG279" s="446" t="e">
        <f>IF(OR($B279="",MIN(AG$38,$D$19)&lt;MAX($P$34*($B279+IF($R$17="Distrato",$I$38-1,0)),IF(AND($L$37=0,$P$34=0),"",$L$37-1),IF($R$17="Distrato",$E279,0))),0,YEARFRAC(MAX($P$34*($B279+IF($R$17="Distrato",$I$38-1,0)),IF(AND($L$37=0,$P$34=0),"",$L$37-1),IF($R$17="Distrato",$E279,0)),MIN(AG$38,$D$19),$P$20))-SUM($P279:AF279)</f>
        <v>#VALUE!</v>
      </c>
      <c r="AH279" s="446" t="e">
        <f>IF(OR($B279="",MIN(AH$38,$D$19)&lt;MAX($P$34*($B279+IF($R$17="Distrato",$I$38-1,0)),IF(AND($L$37=0,$P$34=0),"",$L$37-1),IF($R$17="Distrato",$E279,0))),0,YEARFRAC(MAX($P$34*($B279+IF($R$17="Distrato",$I$38-1,0)),IF(AND($L$37=0,$P$34=0),"",$L$37-1),IF($R$17="Distrato",$E279,0)),MIN(AH$38,$D$19),$P$20))-SUM($P279:AG279)</f>
        <v>#VALUE!</v>
      </c>
      <c r="AI279" s="446" t="e">
        <f>IF(OR($B279="",MIN(AI$38,$D$19)&lt;MAX($P$34*($B279+IF($R$17="Distrato",$I$38-1,0)),IF(AND($L$37=0,$P$34=0),"",$L$37-1),IF($R$17="Distrato",$E279,0))),0,YEARFRAC(MAX($P$34*($B279+IF($R$17="Distrato",$I$38-1,0)),IF(AND($L$37=0,$P$34=0),"",$L$37-1),IF($R$17="Distrato",$E279,0)),MIN(AI$38,$D$19),$P$20))-SUM($P279:AH279)</f>
        <v>#VALUE!</v>
      </c>
      <c r="AJ279" s="446" t="e">
        <f>IF(OR($B279="",MIN(AJ$38,$D$19)&lt;MAX($P$34*($B279+IF($R$17="Distrato",$I$38-1,0)),IF(AND($L$37=0,$P$34=0),"",$L$37-1),IF($R$17="Distrato",$E279,0))),0,YEARFRAC(MAX($P$34*($B279+IF($R$17="Distrato",$I$38-1,0)),IF(AND($L$37=0,$P$34=0),"",$L$37-1),IF($R$17="Distrato",$E279,0)),MIN(AJ$38,$D$19),$P$20))-SUM($P279:AI279)</f>
        <v>#VALUE!</v>
      </c>
      <c r="AK279" s="446" t="e">
        <f>IF(OR($B279="",MIN(AK$38,$D$19)&lt;MAX($P$34*($B279+IF($R$17="Distrato",$I$38-1,0)),IF(AND($L$37=0,$P$34=0),"",$L$37-1),IF($R$17="Distrato",$E279,0))),0,YEARFRAC(MAX($P$34*($B279+IF($R$17="Distrato",$I$38-1,0)),IF(AND($L$37=0,$P$34=0),"",$L$37-1),IF($R$17="Distrato",$E279,0)),MIN(AK$38,$D$19),$P$20))-SUM($P279:AJ279)</f>
        <v>#VALUE!</v>
      </c>
      <c r="AL279" s="446" t="e">
        <f>IF(OR($B279="",MIN(AL$38,$D$19)&lt;MAX($P$34*($B279+IF($R$17="Distrato",$I$38-1,0)),IF(AND($L$37=0,$P$34=0),"",$L$37-1),IF($R$17="Distrato",$E279,0))),0,YEARFRAC(MAX($P$34*($B279+IF($R$17="Distrato",$I$38-1,0)),IF(AND($L$37=0,$P$34=0),"",$L$37-1),IF($R$17="Distrato",$E279,0)),MIN(AL$38,$D$19),$P$20))-SUM($P279:AK279)</f>
        <v>#VALUE!</v>
      </c>
      <c r="AM279" s="446" t="e">
        <f>IF(OR($B279="",MIN(AM$38,$D$19)&lt;MAX($P$34*($B279+IF($R$17="Distrato",$I$38-1,0)),IF(AND($L$37=0,$P$34=0),"",$L$37-1),IF($R$17="Distrato",$E279,0))),0,YEARFRAC(MAX($P$34*($B279+IF($R$17="Distrato",$I$38-1,0)),IF(AND($L$37=0,$P$34=0),"",$L$37-1),IF($R$17="Distrato",$E279,0)),MIN(AM$38,$D$19),$P$20))-SUM($P279:AL279)</f>
        <v>#VALUE!</v>
      </c>
      <c r="AN279" s="446" t="e">
        <f>IF(OR($B279="",MIN(AN$38,$D$19)&lt;MAX($P$34*($B279+IF($R$17="Distrato",$I$38-1,0)),IF(AND($L$37=0,$P$34=0),"",$L$37-1),IF($R$17="Distrato",$E279,0))),0,YEARFRAC(MAX($P$34*($B279+IF($R$17="Distrato",$I$38-1,0)),IF(AND($L$37=0,$P$34=0),"",$L$37-1),IF($R$17="Distrato",$E279,0)),MIN(AN$38,$D$19),$P$20))-SUM($P279:AM279)</f>
        <v>#VALUE!</v>
      </c>
      <c r="AO279" s="446" t="e">
        <f>IF(OR($B279="",MIN(AO$38,$D$19)&lt;MAX($P$34*($B279+IF($R$17="Distrato",$I$38-1,0)),IF(AND($L$37=0,$P$34=0),"",$L$37-1),IF($R$17="Distrato",$E279,0))),0,YEARFRAC(MAX($P$34*($B279+IF($R$17="Distrato",$I$38-1,0)),IF(AND($L$37=0,$P$34=0),"",$L$37-1),IF($R$17="Distrato",$E279,0)),MIN(AO$38,$D$19),$P$20))-SUM($P279:AN279)</f>
        <v>#VALUE!</v>
      </c>
      <c r="AP279" s="446" t="e">
        <f>IF(OR($B279="",MIN(AP$38,$D$19)&lt;MAX($P$34*($B279+IF($R$17="Distrato",$I$38-1,0)),IF(AND($L$37=0,$P$34=0),"",$L$37-1),IF($R$17="Distrato",$E279,0))),0,YEARFRAC(MAX($P$34*($B279+IF($R$17="Distrato",$I$38-1,0)),IF(AND($L$37=0,$P$34=0),"",$L$37-1),IF($R$17="Distrato",$E279,0)),MIN(AP$38,$D$19),$P$20))-SUM($P279:AO279)</f>
        <v>#VALUE!</v>
      </c>
      <c r="AQ279" s="446" t="e">
        <f>IF(OR($B279="",MIN(AQ$38,$D$19)&lt;MAX($P$34*($B279+IF($R$17="Distrato",$I$38-1,0)),IF(AND($L$37=0,$P$34=0),"",$L$37-1),IF($R$17="Distrato",$E279,0))),0,YEARFRAC(MAX($P$34*($B279+IF($R$17="Distrato",$I$38-1,0)),IF(AND($L$37=0,$P$34=0),"",$L$37-1),IF($R$17="Distrato",$E279,0)),MIN(AQ$38,$D$19),$P$20))-SUM($P279:AP279)</f>
        <v>#VALUE!</v>
      </c>
      <c r="AR279" s="446" t="e">
        <f>IF(OR($B279="",MIN(AR$38,$D$19)&lt;MAX($P$34*($B279+IF($R$17="Distrato",$I$38-1,0)),IF(AND($L$37=0,$P$34=0),"",$L$37-1),IF($R$17="Distrato",$E279,0))),0,YEARFRAC(MAX($P$34*($B279+IF($R$17="Distrato",$I$38-1,0)),IF(AND($L$37=0,$P$34=0),"",$L$37-1),IF($R$17="Distrato",$E279,0)),MIN(AR$38,$D$19),$P$20))-SUM($P279:AQ279)</f>
        <v>#VALUE!</v>
      </c>
      <c r="AS279" s="446" t="e">
        <f>IF(OR($B279="",MIN(AS$38,$D$19)&lt;MAX($P$34*($B279+IF($R$17="Distrato",$I$38-1,0)),IF(AND($L$37=0,$P$34=0),"",$L$37-1),IF($R$17="Distrato",$E279,0))),0,YEARFRAC(MAX($P$34*($B279+IF($R$17="Distrato",$I$38-1,0)),IF(AND($L$37=0,$P$34=0),"",$L$37-1),IF($R$17="Distrato",$E279,0)),MIN(AS$38,$D$19),$P$20))-SUM($P279:AR279)</f>
        <v>#VALUE!</v>
      </c>
      <c r="AT279" s="446" t="e">
        <f>IF(OR($B279="",MIN(AT$38,$D$19)&lt;MAX($P$34*($B279+IF($R$17="Distrato",$I$38-1,0)),IF(AND($L$37=0,$P$34=0),"",$L$37-1),IF($R$17="Distrato",$E279,0))),0,YEARFRAC(MAX($P$34*($B279+IF($R$17="Distrato",$I$38-1,0)),IF(AND($L$37=0,$P$34=0),"",$L$37-1),IF($R$17="Distrato",$E279,0)),MIN(AT$38,$D$19),$P$20))-SUM($P279:AS279)</f>
        <v>#VALUE!</v>
      </c>
      <c r="AU279" s="446" t="e">
        <f>IF(OR($B279="",MIN(AU$38,$D$19)&lt;MAX($P$34*($B279+IF($R$17="Distrato",$I$38-1,0)),IF(AND($L$37=0,$P$34=0),"",$L$37-1),IF($R$17="Distrato",$E279,0))),0,YEARFRAC(MAX($P$34*($B279+IF($R$17="Distrato",$I$38-1,0)),IF(AND($L$37=0,$P$34=0),"",$L$37-1),IF($R$17="Distrato",$E279,0)),MIN(AU$38,$D$19),$P$20))-SUM($P279:AT279)</f>
        <v>#VALUE!</v>
      </c>
      <c r="AV279" s="446" t="e">
        <f>IF(OR($B279="",MIN(AV$38,$D$19)&lt;MAX($P$34*($B279+IF($R$17="Distrato",$I$38-1,0)),IF(AND($L$37=0,$P$34=0),"",$L$37-1),IF($R$17="Distrato",$E279,0))),0,YEARFRAC(MAX($P$34*($B279+IF($R$17="Distrato",$I$38-1,0)),IF(AND($L$37=0,$P$34=0),"",$L$37-1),IF($R$17="Distrato",$E279,0)),MIN(AV$38,$D$19),$P$20))-SUM($P279:AU279)</f>
        <v>#VALUE!</v>
      </c>
      <c r="AW279" s="446" t="e">
        <f>IF(OR($B279="",MIN(AW$38,$D$19)&lt;MAX($P$34*($B279+IF($R$17="Distrato",$I$38-1,0)),IF(AND($L$37=0,$P$34=0),"",$L$37-1),IF($R$17="Distrato",$E279,0))),0,YEARFRAC(MAX($P$34*($B279+IF($R$17="Distrato",$I$38-1,0)),IF(AND($L$37=0,$P$34=0),"",$L$37-1),IF($R$17="Distrato",$E279,0)),MIN(AW$38,$D$19),$P$20))-SUM($P279:AV279)</f>
        <v>#VALUE!</v>
      </c>
      <c r="AX279" s="446" t="e">
        <f>IF(OR($B279="",MIN(AX$38,$D$19)&lt;MAX($P$34*($B279+IF($R$17="Distrato",$I$38-1,0)),IF(AND($L$37=0,$P$34=0),"",$L$37-1),IF($R$17="Distrato",$E279,0))),0,YEARFRAC(MAX($P$34*($B279+IF($R$17="Distrato",$I$38-1,0)),IF(AND($L$37=0,$P$34=0),"",$L$37-1),IF($R$17="Distrato",$E279,0)),MIN(AX$38,$D$19),$P$20))-SUM($P279:AW279)</f>
        <v>#VALUE!</v>
      </c>
      <c r="AY279" s="446" t="e">
        <f>IF(OR($B279="",MIN(AY$38,$D$19)&lt;MAX($P$34*($B279+IF($R$17="Distrato",$I$38-1,0)),IF(AND($L$37=0,$P$34=0),"",$L$37-1),IF($R$17="Distrato",$E279,0))),0,YEARFRAC(MAX($P$34*($B279+IF($R$17="Distrato",$I$38-1,0)),IF(AND($L$37=0,$P$34=0),"",$L$37-1),IF($R$17="Distrato",$E279,0)),MIN(AY$38,$D$19),$P$20))-SUM($P279:AX279)</f>
        <v>#VALUE!</v>
      </c>
      <c r="AZ279" s="446" t="e">
        <f>IF(OR($B279="",MIN(AZ$38,$D$19)&lt;MAX($P$34*($B279+IF($R$17="Distrato",$I$38-1,0)),IF(AND($L$37=0,$P$34=0),"",$L$37-1),IF($R$17="Distrato",$E279,0))),0,YEARFRAC(MAX($P$34*($B279+IF($R$17="Distrato",$I$38-1,0)),IF(AND($L$37=0,$P$34=0),"",$L$37-1),IF($R$17="Distrato",$E279,0)),MIN(AZ$38,$D$19),$P$20))-SUM($P279:AY279)</f>
        <v>#VALUE!</v>
      </c>
      <c r="BA279" s="446" t="e">
        <f>IF(OR($B279="",MIN(BA$38,$D$19)&lt;MAX($P$34*($B279+IF($R$17="Distrato",$I$38-1,0)),IF(AND($L$37=0,$P$34=0),"",$L$37-1),IF($R$17="Distrato",$E279,0))),0,YEARFRAC(MAX($P$34*($B279+IF($R$17="Distrato",$I$38-1,0)),IF(AND($L$37=0,$P$34=0),"",$L$37-1),IF($R$17="Distrato",$E279,0)),MIN(BA$38,$D$19),$P$20))-SUM($P279:AZ279)</f>
        <v>#VALUE!</v>
      </c>
      <c r="BB279" s="447"/>
      <c r="BF279" s="446">
        <f t="shared" si="43"/>
        <v>0</v>
      </c>
      <c r="BG279" s="446">
        <f>IF($E279=0,0,IF(MIN(BG$38,$E279)&lt;MAX($P$34*($B279+$I$38-1),IF(AND($L$37=0,$P$34=0),"",$L$37-1)),0,YEARFRAC(MAX($P$34*($B279+$I$38-1),IF(AND($L$37=0,$P$34=0),"",$L$37-1)),MIN(BG$38,$E279),$P$20))-SUM($BF279:BF279))</f>
        <v>0</v>
      </c>
      <c r="BH279" s="446">
        <f>IF($E279=0,0,IF(MIN(BH$38,$E279)&lt;MAX($P$34*($B279+$I$38-1),IF(AND($L$37=0,$P$34=0),"",$L$37-1)),0,YEARFRAC(MAX($P$34*($B279+$I$38-1),IF(AND($L$37=0,$P$34=0),"",$L$37-1)),MIN(BH$38,$E279),$P$20))-SUM($BF279:BG279))</f>
        <v>0</v>
      </c>
      <c r="BI279" s="446">
        <f>IF($E279=0,0,IF(MIN(BI$38,$E279)&lt;MAX($P$34*($B279+$I$38-1),IF(AND($L$37=0,$P$34=0),"",$L$37-1)),0,YEARFRAC(MAX($P$34*($B279+$I$38-1),IF(AND($L$37=0,$P$34=0),"",$L$37-1)),MIN(BI$38,$E279),$P$20))-SUM($BF279:BH279))</f>
        <v>0</v>
      </c>
      <c r="BJ279" s="446">
        <f>IF($E279=0,0,IF(MIN(BJ$38,$E279)&lt;MAX($P$34*($B279+$I$38-1),IF(AND($L$37=0,$P$34=0),"",$L$37-1)),0,YEARFRAC(MAX($P$34*($B279+$I$38-1),IF(AND($L$37=0,$P$34=0),"",$L$37-1)),MIN(BJ$38,$E279),$P$20))-SUM($BF279:BI279))</f>
        <v>0</v>
      </c>
      <c r="BK279" s="446">
        <f>IF($E279=0,0,IF(MIN(BK$38,$E279)&lt;MAX($P$34*($B279+$I$38-1),IF(AND($L$37=0,$P$34=0),"",$L$37-1)),0,YEARFRAC(MAX($P$34*($B279+$I$38-1),IF(AND($L$37=0,$P$34=0),"",$L$37-1)),MIN(BK$38,$E279),$P$20))-SUM($BF279:BJ279))</f>
        <v>0</v>
      </c>
      <c r="BL279" s="446">
        <f>IF($E279=0,0,IF(MIN(BL$38,$E279)&lt;MAX($P$34*($B279+$I$38-1),IF(AND($L$37=0,$P$34=0),"",$L$37-1)),0,YEARFRAC(MAX($P$34*($B279+$I$38-1),IF(AND($L$37=0,$P$34=0),"",$L$37-1)),MIN(BL$38,$E279),$P$20))-SUM($BF279:BK279))</f>
        <v>0</v>
      </c>
      <c r="BM279" s="446">
        <f>IF($E279=0,0,IF(MIN(BM$38,$E279)&lt;MAX($P$34*($B279+$I$38-1),IF(AND($L$37=0,$P$34=0),"",$L$37-1)),0,YEARFRAC(MAX($P$34*($B279+$I$38-1),IF(AND($L$37=0,$P$34=0),"",$L$37-1)),MIN(BM$38,$E279),$P$20))-SUM($BF279:BL279))</f>
        <v>0</v>
      </c>
      <c r="BN279" s="446">
        <f>IF($E279=0,0,IF(MIN(BN$38,$E279)&lt;MAX($P$34*($B279+$I$38-1),IF(AND($L$37=0,$P$34=0),"",$L$37-1)),0,YEARFRAC(MAX($P$34*($B279+$I$38-1),IF(AND($L$37=0,$P$34=0),"",$L$37-1)),MIN(BN$38,$E279),$P$20))-SUM($BF279:BM279))</f>
        <v>0</v>
      </c>
      <c r="BO279" s="446">
        <f>IF($E279=0,0,IF(MIN(BO$38,$E279)&lt;MAX($P$34*($B279+$I$38-1),IF(AND($L$37=0,$P$34=0),"",$L$37-1)),0,YEARFRAC(MAX($P$34*($B279+$I$38-1),IF(AND($L$37=0,$P$34=0),"",$L$37-1)),MIN(BO$38,$E279),$P$20))-SUM($BF279:BN279))</f>
        <v>0</v>
      </c>
      <c r="BP279" s="446">
        <f>IF($E279=0,0,IF(MIN(BP$38,$E279)&lt;MAX($P$34*($B279+$I$38-1),IF(AND($L$37=0,$P$34=0),"",$L$37-1)),0,YEARFRAC(MAX($P$34*($B279+$I$38-1),IF(AND($L$37=0,$P$34=0),"",$L$37-1)),MIN(BP$38,$E279),$P$20))-SUM($BF279:BO279))</f>
        <v>0</v>
      </c>
      <c r="BQ279" s="446">
        <f>IF($E279=0,0,IF(MIN(BQ$38,$E279)&lt;MAX($P$34*($B279+$I$38-1),IF(AND($L$37=0,$P$34=0),"",$L$37-1)),0,YEARFRAC(MAX($P$34*($B279+$I$38-1),IF(AND($L$37=0,$P$34=0),"",$L$37-1)),MIN(BQ$38,$E279),$P$20))-SUM($BF279:BP279))</f>
        <v>0</v>
      </c>
      <c r="BR279" s="446">
        <f>IF($E279=0,0,IF(MIN(BR$38,$E279)&lt;MAX($P$34*($B279+$I$38-1),IF(AND($L$37=0,$P$34=0),"",$L$37-1)),0,YEARFRAC(MAX($P$34*($B279+$I$38-1),IF(AND($L$37=0,$P$34=0),"",$L$37-1)),MIN(BR$38,$E279),$P$20))-SUM($BF279:BQ279))</f>
        <v>0</v>
      </c>
      <c r="BS279" s="446">
        <f>IF($E279=0,0,IF(MIN(BS$38,$E279)&lt;MAX($P$34*($B279+$I$38-1),IF(AND($L$37=0,$P$34=0),"",$L$37-1)),0,YEARFRAC(MAX($P$34*($B279+$I$38-1),IF(AND($L$37=0,$P$34=0),"",$L$37-1)),MIN(BS$38,$E279),$P$20))-SUM($BF279:BR279))</f>
        <v>0</v>
      </c>
      <c r="BT279" s="446">
        <f>IF($E279=0,0,IF(MIN(BT$38,$E279)&lt;MAX($P$34*($B279+$I$38-1),IF(AND($L$37=0,$P$34=0),"",$L$37-1)),0,YEARFRAC(MAX($P$34*($B279+$I$38-1),IF(AND($L$37=0,$P$34=0),"",$L$37-1)),MIN(BT$38,$E279),$P$20))-SUM($BF279:BS279))</f>
        <v>0</v>
      </c>
      <c r="BU279" s="446">
        <f>IF($E279=0,0,IF(MIN(BU$38,$E279)&lt;MAX($P$34*($B279+$I$38-1),IF(AND($L$37=0,$P$34=0),"",$L$37-1)),0,YEARFRAC(MAX($P$34*($B279+$I$38-1),IF(AND($L$37=0,$P$34=0),"",$L$37-1)),MIN(BU$38,$E279),$P$20))-SUM($BF279:BT279))</f>
        <v>0</v>
      </c>
      <c r="BV279" s="446">
        <f>IF($E279=0,0,IF(MIN(BV$38,$E279)&lt;MAX($P$34*($B279+$I$38-1),IF(AND($L$37=0,$P$34=0),"",$L$37-1)),0,YEARFRAC(MAX($P$34*($B279+$I$38-1),IF(AND($L$37=0,$P$34=0),"",$L$37-1)),MIN(BV$38,$E279),$P$20))-SUM($BF279:BU279))</f>
        <v>0</v>
      </c>
      <c r="BW279" s="446">
        <f>IF($E279=0,0,IF(MIN(BW$38,$E279)&lt;MAX($P$34*($B279+$I$38-1),IF(AND($L$37=0,$P$34=0),"",$L$37-1)),0,YEARFRAC(MAX($P$34*($B279+$I$38-1),IF(AND($L$37=0,$P$34=0),"",$L$37-1)),MIN(BW$38,$E279),$P$20))-SUM($BF279:BV279))</f>
        <v>0</v>
      </c>
      <c r="BX279" s="446">
        <f>IF($E279=0,0,IF(MIN(BX$38,$E279)&lt;MAX($P$34*($B279+$I$38-1),IF(AND($L$37=0,$P$34=0),"",$L$37-1)),0,YEARFRAC(MAX($P$34*($B279+$I$38-1),IF(AND($L$37=0,$P$34=0),"",$L$37-1)),MIN(BX$38,$E279),$P$20))-SUM($BF279:BW279))</f>
        <v>0</v>
      </c>
      <c r="BY279" s="446">
        <f>IF($E279=0,0,IF(MIN(BY$38,$E279)&lt;MAX($P$34*($B279+$I$38-1),IF(AND($L$37=0,$P$34=0),"",$L$37-1)),0,YEARFRAC(MAX($P$34*($B279+$I$38-1),IF(AND($L$37=0,$P$34=0),"",$L$37-1)),MIN(BY$38,$E279),$P$20))-SUM($BF279:BX279))</f>
        <v>0</v>
      </c>
      <c r="BZ279" s="446">
        <f>IF($E279=0,0,IF(MIN(BZ$38,$E279)&lt;MAX($P$34*($B279+$I$38-1),IF(AND($L$37=0,$P$34=0),"",$L$37-1)),0,YEARFRAC(MAX($P$34*($B279+$I$38-1),IF(AND($L$37=0,$P$34=0),"",$L$37-1)),MIN(BZ$38,$E279),$P$20))-SUM($BF279:BY279))</f>
        <v>0</v>
      </c>
      <c r="CA279" s="446">
        <f>IF($E279=0,0,IF(MIN(CA$38,$E279)&lt;MAX($P$34*($B279+$I$38-1),IF(AND($L$37=0,$P$34=0),"",$L$37-1)),0,YEARFRAC(MAX($P$34*($B279+$I$38-1),IF(AND($L$37=0,$P$34=0),"",$L$37-1)),MIN(CA$38,$E279),$P$20))-SUM($BF279:BZ279))</f>
        <v>0</v>
      </c>
      <c r="CB279" s="446">
        <f>IF($E279=0,0,IF(MIN(CB$38,$E279)&lt;MAX($P$34*($B279+$I$38-1),IF(AND($L$37=0,$P$34=0),"",$L$37-1)),0,YEARFRAC(MAX($P$34*($B279+$I$38-1),IF(AND($L$37=0,$P$34=0),"",$L$37-1)),MIN(CB$38,$E279),$P$20))-SUM($BF279:CA279))</f>
        <v>0</v>
      </c>
      <c r="CC279" s="446">
        <f>IF($E279=0,0,IF(MIN(CC$38,$E279)&lt;MAX($P$34*($B279+$I$38-1),IF(AND($L$37=0,$P$34=0),"",$L$37-1)),0,YEARFRAC(MAX($P$34*($B279+$I$38-1),IF(AND($L$37=0,$P$34=0),"",$L$37-1)),MIN(CC$38,$E279),$P$20))-SUM($BF279:CB279))</f>
        <v>0</v>
      </c>
      <c r="CD279" s="446">
        <f>IF($E279=0,0,IF(MIN(CD$38,$E279)&lt;MAX($P$34*($B279+$I$38-1),IF(AND($L$37=0,$P$34=0),"",$L$37-1)),0,YEARFRAC(MAX($P$34*($B279+$I$38-1),IF(AND($L$37=0,$P$34=0),"",$L$37-1)),MIN(CD$38,$E279),$P$20))-SUM($BF279:CC279))</f>
        <v>0</v>
      </c>
      <c r="CE279" s="446">
        <f>IF($E279=0,0,IF(MIN(CE$38,$E279)&lt;MAX($P$34*($B279+$I$38-1),IF(AND($L$37=0,$P$34=0),"",$L$37-1)),0,YEARFRAC(MAX($P$34*($B279+$I$38-1),IF(AND($L$37=0,$P$34=0),"",$L$37-1)),MIN(CE$38,$E279),$P$20))-SUM($BF279:CD279))</f>
        <v>0</v>
      </c>
      <c r="CF279" s="446">
        <f>IF($E279=0,0,IF(MIN(CF$38,$E279)&lt;MAX($P$34*($B279+$I$38-1),IF(AND($L$37=0,$P$34=0),"",$L$37-1)),0,YEARFRAC(MAX($P$34*($B279+$I$38-1),IF(AND($L$37=0,$P$34=0),"",$L$37-1)),MIN(CF$38,$E279),$P$20))-SUM($BF279:CE279))</f>
        <v>0</v>
      </c>
      <c r="CG279" s="446">
        <f>IF($E279=0,0,IF(MIN(CG$38,$E279)&lt;MAX($P$34*($B279+$I$38-1),IF(AND($L$37=0,$P$34=0),"",$L$37-1)),0,YEARFRAC(MAX($P$34*($B279+$I$38-1),IF(AND($L$37=0,$P$34=0),"",$L$37-1)),MIN(CG$38,$E279),$P$20))-SUM($BF279:CF279))</f>
        <v>0</v>
      </c>
      <c r="CH279" s="446">
        <f>IF($E279=0,0,IF(MIN(CH$38,$E279)&lt;MAX($P$34*($B279+$I$38-1),IF(AND($L$37=0,$P$34=0),"",$L$37-1)),0,YEARFRAC(MAX($P$34*($B279+$I$38-1),IF(AND($L$37=0,$P$34=0),"",$L$37-1)),MIN(CH$38,$E279),$P$20))-SUM($BF279:CG279))</f>
        <v>0</v>
      </c>
      <c r="CI279" s="446">
        <f>IF($E279=0,0,IF(MIN(CI$38,$E279)&lt;MAX($P$34*($B279+$I$38-1),IF(AND($L$37=0,$P$34=0),"",$L$37-1)),0,YEARFRAC(MAX($P$34*($B279+$I$38-1),IF(AND($L$37=0,$P$34=0),"",$L$37-1)),MIN(CI$38,$E279),$P$20))-SUM($BF279:CH279))</f>
        <v>0</v>
      </c>
      <c r="CJ279" s="446">
        <f>IF($E279=0,0,IF(MIN(CJ$38,$E279)&lt;MAX($P$34*($B279+$I$38-1),IF(AND($L$37=0,$P$34=0),"",$L$37-1)),0,YEARFRAC(MAX($P$34*($B279+$I$38-1),IF(AND($L$37=0,$P$34=0),"",$L$37-1)),MIN(CJ$38,$E279),$P$20))-SUM($BF279:CI279))</f>
        <v>0</v>
      </c>
      <c r="CK279" s="446">
        <f>IF($E279=0,0,IF(MIN(CK$38,$E279)&lt;MAX($P$34*($B279+$I$38-1),IF(AND($L$37=0,$P$34=0),"",$L$37-1)),0,YEARFRAC(MAX($P$34*($B279+$I$38-1),IF(AND($L$37=0,$P$34=0),"",$L$37-1)),MIN(CK$38,$E279),$P$20))-SUM($BF279:CJ279))</f>
        <v>0</v>
      </c>
      <c r="CL279" s="446">
        <f>IF($E279=0,0,IF(MIN(CL$38,$E279)&lt;MAX($P$34*($B279+$I$38-1),IF(AND($L$37=0,$P$34=0),"",$L$37-1)),0,YEARFRAC(MAX($P$34*($B279+$I$38-1),IF(AND($L$37=0,$P$34=0),"",$L$37-1)),MIN(CL$38,$E279),$P$20))-SUM($BF279:CK279))</f>
        <v>0</v>
      </c>
      <c r="CM279" s="446">
        <f>IF($E279=0,0,IF(MIN(CM$38,$E279)&lt;MAX($P$34*($B279+$I$38-1),IF(AND($L$37=0,$P$34=0),"",$L$37-1)),0,YEARFRAC(MAX($P$34*($B279+$I$38-1),IF(AND($L$37=0,$P$34=0),"",$L$37-1)),MIN(CM$38,$E279),$P$20))-SUM($BF279:CL279))</f>
        <v>0</v>
      </c>
      <c r="CN279" s="446">
        <f>IF($E279=0,0,IF(MIN(CN$38,$E279)&lt;MAX($P$34*($B279+$I$38-1),IF(AND($L$37=0,$P$34=0),"",$L$37-1)),0,YEARFRAC(MAX($P$34*($B279+$I$38-1),IF(AND($L$37=0,$P$34=0),"",$L$37-1)),MIN(CN$38,$E279),$P$20))-SUM($BF279:CM279))</f>
        <v>0</v>
      </c>
      <c r="CO279" s="446">
        <f>IF($E279=0,0,IF(MIN(CO$38,$E279)&lt;MAX($P$34*($B279+$I$38-1),IF(AND($L$37=0,$P$34=0),"",$L$37-1)),0,YEARFRAC(MAX($P$34*($B279+$I$38-1),IF(AND($L$37=0,$P$34=0),"",$L$37-1)),MIN(CO$38,$E279),$P$20))-SUM($BF279:CN279))</f>
        <v>0</v>
      </c>
      <c r="CP279" s="446">
        <f>IF($E279=0,0,IF(MIN(CP$38,$E279)&lt;MAX($P$34*($B279+$I$38-1),IF(AND($L$37=0,$P$34=0),"",$L$37-1)),0,YEARFRAC(MAX($P$34*($B279+$I$38-1),IF(AND($L$37=0,$P$34=0),"",$L$37-1)),MIN(CP$38,$E279),$P$20))-SUM($BF279:CO279))</f>
        <v>0</v>
      </c>
      <c r="CQ279" s="446">
        <f>IF($E279=0,0,IF(MIN(CQ$38,$E279)&lt;MAX($P$34*($B279+$I$38-1),IF(AND($L$37=0,$P$34=0),"",$L$37-1)),0,YEARFRAC(MAX($P$34*($B279+$I$38-1),IF(AND($L$37=0,$P$34=0),"",$L$37-1)),MIN(CQ$38,$E279),$P$20))-SUM($BF279:CP279))</f>
        <v>0</v>
      </c>
    </row>
    <row r="280" spans="1:95" s="446" customFormat="1" ht="11.25" hidden="1" customHeight="1" x14ac:dyDescent="0.2">
      <c r="A280" s="152"/>
      <c r="B280" s="153" t="str">
        <f t="shared" si="48"/>
        <v/>
      </c>
      <c r="C280" s="29" t="str">
        <f>IF(B280="","",IF($L$35="SELIC - TRIBUTOS",VLOOKUP(DATE(YEAR($D$19),MONTH($D$19)-1,1),ÍNDICES!$A:$DE,HLOOKUP($BL$25,ÍNDICES!$B$3:$T$4,2)+11)-VLOOKUP(B280,ÍNDICES!$A:$DE,HLOOKUP($BL$25,ÍNDICES!$B$3:$T$4,2)+11)+1%,IF(C$38=$W$26,$J$35,IF(ISERROR(IF(B280&gt;$D$19,1,VLOOKUP(DATE(YEAR(B280),MONTH(B280)+IF($C$35=$S$23,1,0),1),ÍNDICES!$A:$DE,$Z$35+1))),"",IF(B280&gt;$D$19,1,VLOOKUP(DATE(YEAR(B280),MONTH(B280)+IF($C$35=$S$23,1,0),1),ÍNDICES!$A:$DE,$Z$35+1))))))</f>
        <v/>
      </c>
      <c r="D280" s="154" t="str">
        <f>IF(ISERROR(IF(OR($D$38=$Y$27,$B280=""),"",VLOOKUP(B280,ÍNDICES!A:DE,AF$35+1))),"",IF(OR($D$38=$Y$27,$B280=""),"",VLOOKUP(B280,ÍNDICES!A:DE,AF$35+1)))</f>
        <v/>
      </c>
      <c r="E280" s="153"/>
      <c r="F280" s="29" t="str">
        <f>IF(E280="","",IF($L$35="SELIC - TRIBUTOS",VLOOKUP(DATE(YEAR($D$19),MONTH($D$19)-1,1),ÍNDICES!$A:$DE,HLOOKUP($BL$25,ÍNDICES!$B$3:$T$4,2)+11)-VLOOKUP(E280,ÍNDICES!$A:$DE,HLOOKUP($BL$25,ÍNDICES!$B$3:$T$4,2)+11)+1%,IF(F$38=$W$26,$J$35,IF(ISERROR(IF(E280&gt;$D$19,1,VLOOKUP(DATE(YEAR(E280),MONTH(E280)+IF($C$35=$S$23,1,0),1),ÍNDICES!$A:$DE,$Z$35+1))),"",IF(E280&gt;$D$19,1,VLOOKUP(DATE(YEAR(E280),MONTH(E280)+IF($C$35=$S$23,1,0),1),ÍNDICES!$A:$DE,$Z$35+1))))))</f>
        <v/>
      </c>
      <c r="G280" s="155"/>
      <c r="H280" s="156" t="str">
        <f t="shared" si="44"/>
        <v/>
      </c>
      <c r="I280" s="29" t="str">
        <f t="shared" si="38"/>
        <v/>
      </c>
      <c r="J280" s="5">
        <f t="shared" si="39"/>
        <v>0</v>
      </c>
      <c r="K280" s="20">
        <f t="shared" ca="1" si="40"/>
        <v>0</v>
      </c>
      <c r="L280" s="5">
        <f t="shared" ca="1" si="41"/>
        <v>0</v>
      </c>
      <c r="M280" s="64">
        <f t="shared" si="45"/>
        <v>0</v>
      </c>
      <c r="N280" s="61">
        <f t="shared" ca="1" si="46"/>
        <v>0</v>
      </c>
      <c r="O280" s="5">
        <f t="shared" ca="1" si="47"/>
        <v>0</v>
      </c>
      <c r="P280" s="446" t="e">
        <f t="shared" si="42"/>
        <v>#VALUE!</v>
      </c>
      <c r="Q280" s="446" t="e">
        <f>IF(OR($B280="",MIN(Q$38,$D$19)&lt;MAX($P$34*($B280+IF($R$17="Distrato",$I$38-1,0)),IF(AND($L$37=0,$P$34=0),"",$L$37-1),IF($R$17="Distrato",$E280,0))),0,YEARFRAC(MAX($P$34*($B280+IF($R$17="Distrato",$I$38-1,0)),IF(AND($L$37=0,$P$34=0),"",$L$37-1),IF($R$17="Distrato",$E280,0)),MIN(Q$38,$D$19),$P$20))-SUM($P280:P280)</f>
        <v>#VALUE!</v>
      </c>
      <c r="R280" s="446" t="e">
        <f>IF(OR($B280="",MIN(R$38,$D$19)&lt;MAX($P$34*($B280+IF($R$17="Distrato",$I$38-1,0)),IF(AND($L$37=0,$P$34=0),"",$L$37-1),IF($R$17="Distrato",$E280,0))),0,YEARFRAC(MAX($P$34*($B280+IF($R$17="Distrato",$I$38-1,0)),IF(AND($L$37=0,$P$34=0),"",$L$37-1),IF($R$17="Distrato",$E280,0)),MIN(R$38,$D$19),$P$20))-SUM($P280:Q280)</f>
        <v>#VALUE!</v>
      </c>
      <c r="S280" s="446" t="e">
        <f>IF(OR($B280="",MIN(S$38,$D$19)&lt;MAX($P$34*($B280+IF($R$17="Distrato",$I$38-1,0)),IF(AND($L$37=0,$P$34=0),"",$L$37-1),IF($R$17="Distrato",$E280,0))),0,YEARFRAC(MAX($P$34*($B280+IF($R$17="Distrato",$I$38-1,0)),IF(AND($L$37=0,$P$34=0),"",$L$37-1),IF($R$17="Distrato",$E280,0)),MIN(S$38,$D$19),$P$20))-SUM($P280:R280)</f>
        <v>#VALUE!</v>
      </c>
      <c r="T280" s="446" t="e">
        <f>IF(OR($B280="",MIN(T$38,$D$19)&lt;MAX($P$34*($B280+IF($R$17="Distrato",$I$38-1,0)),IF(AND($L$37=0,$P$34=0),"",$L$37-1),IF($R$17="Distrato",$E280,0))),0,YEARFRAC(MAX($P$34*($B280+IF($R$17="Distrato",$I$38-1,0)),IF(AND($L$37=0,$P$34=0),"",$L$37-1),IF($R$17="Distrato",$E280,0)),MIN(T$38,$D$19),$P$20))-SUM($P280:S280)</f>
        <v>#VALUE!</v>
      </c>
      <c r="U280" s="446" t="e">
        <f>IF(OR($B280="",MIN(U$38,$D$19)&lt;MAX($P$34*($B280+IF($R$17="Distrato",$I$38-1,0)),IF(AND($L$37=0,$P$34=0),"",$L$37-1),IF($R$17="Distrato",$E280,0))),0,YEARFRAC(MAX($P$34*($B280+IF($R$17="Distrato",$I$38-1,0)),IF(AND($L$37=0,$P$34=0),"",$L$37-1),IF($R$17="Distrato",$E280,0)),MIN(U$38,$D$19),$P$20))-SUM($P280:T280)</f>
        <v>#VALUE!</v>
      </c>
      <c r="V280" s="446" t="e">
        <f>IF(OR($B280="",MIN(V$38,$D$19)&lt;MAX($P$34*($B280+IF($R$17="Distrato",$I$38-1,0)),IF(AND($L$37=0,$P$34=0),"",$L$37-1),IF($R$17="Distrato",$E280,0))),0,YEARFRAC(MAX($P$34*($B280+IF($R$17="Distrato",$I$38-1,0)),IF(AND($L$37=0,$P$34=0),"",$L$37-1),IF($R$17="Distrato",$E280,0)),MIN(V$38,$D$19),$P$20))-SUM($P280:U280)</f>
        <v>#VALUE!</v>
      </c>
      <c r="W280" s="446" t="e">
        <f>IF(OR($B280="",MIN(W$38,$D$19)&lt;MAX($P$34*($B280+IF($R$17="Distrato",$I$38-1,0)),IF(AND($L$37=0,$P$34=0),"",$L$37-1),IF($R$17="Distrato",$E280,0))),0,YEARFRAC(MAX($P$34*($B280+IF($R$17="Distrato",$I$38-1,0)),IF(AND($L$37=0,$P$34=0),"",$L$37-1),IF($R$17="Distrato",$E280,0)),MIN(W$38,$D$19),$P$20))-SUM($P280:V280)</f>
        <v>#VALUE!</v>
      </c>
      <c r="X280" s="446" t="e">
        <f>IF(OR($B280="",MIN(X$38,$D$19)&lt;MAX($P$34*($B280+IF($R$17="Distrato",$I$38-1,0)),IF(AND($L$37=0,$P$34=0),"",$L$37-1),IF($R$17="Distrato",$E280,0))),0,YEARFRAC(MAX($P$34*($B280+IF($R$17="Distrato",$I$38-1,0)),IF(AND($L$37=0,$P$34=0),"",$L$37-1),IF($R$17="Distrato",$E280,0)),MIN(X$38,$D$19),$P$20))-SUM($P280:W280)</f>
        <v>#VALUE!</v>
      </c>
      <c r="Y280" s="446" t="e">
        <f>IF(OR($B280="",MIN(Y$38,$D$19)&lt;MAX($P$34*($B280+IF($R$17="Distrato",$I$38-1,0)),IF(AND($L$37=0,$P$34=0),"",$L$37-1),IF($R$17="Distrato",$E280,0))),0,YEARFRAC(MAX($P$34*($B280+IF($R$17="Distrato",$I$38-1,0)),IF(AND($L$37=0,$P$34=0),"",$L$37-1),IF($R$17="Distrato",$E280,0)),MIN(Y$38,$D$19),$P$20))-SUM($P280:X280)</f>
        <v>#VALUE!</v>
      </c>
      <c r="Z280" s="446" t="e">
        <f>IF(OR($B280="",MIN(Z$38,$D$19)&lt;MAX($P$34*($B280+IF($R$17="Distrato",$I$38-1,0)),IF(AND($L$37=0,$P$34=0),"",$L$37-1),IF($R$17="Distrato",$E280,0))),0,YEARFRAC(MAX($P$34*($B280+IF($R$17="Distrato",$I$38-1,0)),IF(AND($L$37=0,$P$34=0),"",$L$37-1),IF($R$17="Distrato",$E280,0)),MIN(Z$38,$D$19),$P$20))-SUM($P280:Y280)</f>
        <v>#VALUE!</v>
      </c>
      <c r="AA280" s="446" t="e">
        <f>IF(OR($B280="",MIN(AA$38,$D$19)&lt;MAX($P$34*($B280+IF($R$17="Distrato",$I$38-1,0)),IF(AND($L$37=0,$P$34=0),"",$L$37-1),IF($R$17="Distrato",$E280,0))),0,YEARFRAC(MAX($P$34*($B280+IF($R$17="Distrato",$I$38-1,0)),IF(AND($L$37=0,$P$34=0),"",$L$37-1),IF($R$17="Distrato",$E280,0)),MIN(AA$38,$D$19),$P$20))-SUM($P280:Z280)</f>
        <v>#VALUE!</v>
      </c>
      <c r="AB280" s="446" t="e">
        <f>IF(OR($B280="",MIN(AB$38,$D$19)&lt;MAX($P$34*($B280+IF($R$17="Distrato",$I$38-1,0)),IF(AND($L$37=0,$P$34=0),"",$L$37-1),IF($R$17="Distrato",$E280,0))),0,YEARFRAC(MAX($P$34*($B280+IF($R$17="Distrato",$I$38-1,0)),IF(AND($L$37=0,$P$34=0),"",$L$37-1),IF($R$17="Distrato",$E280,0)),MIN(AB$38,$D$19),$P$20))-SUM($P280:AA280)</f>
        <v>#VALUE!</v>
      </c>
      <c r="AC280" s="446" t="e">
        <f>IF(OR($B280="",MIN(AC$38,$D$19)&lt;MAX($P$34*($B280+IF($R$17="Distrato",$I$38-1,0)),IF(AND($L$37=0,$P$34=0),"",$L$37-1),IF($R$17="Distrato",$E280,0))),0,YEARFRAC(MAX($P$34*($B280+IF($R$17="Distrato",$I$38-1,0)),IF(AND($L$37=0,$P$34=0),"",$L$37-1),IF($R$17="Distrato",$E280,0)),MIN(AC$38,$D$19),$P$20))-SUM($P280:AB280)</f>
        <v>#VALUE!</v>
      </c>
      <c r="AD280" s="446" t="e">
        <f>IF(OR($B280="",MIN(AD$38,$D$19)&lt;MAX($P$34*($B280+IF($R$17="Distrato",$I$38-1,0)),IF(AND($L$37=0,$P$34=0),"",$L$37-1),IF($R$17="Distrato",$E280,0))),0,YEARFRAC(MAX($P$34*($B280+IF($R$17="Distrato",$I$38-1,0)),IF(AND($L$37=0,$P$34=0),"",$L$37-1),IF($R$17="Distrato",$E280,0)),MIN(AD$38,$D$19),$P$20))-SUM($P280:AC280)</f>
        <v>#VALUE!</v>
      </c>
      <c r="AE280" s="446" t="e">
        <f>IF(OR($B280="",MIN(AE$38,$D$19)&lt;MAX($P$34*($B280+IF($R$17="Distrato",$I$38-1,0)),IF(AND($L$37=0,$P$34=0),"",$L$37-1),IF($R$17="Distrato",$E280,0))),0,YEARFRAC(MAX($P$34*($B280+IF($R$17="Distrato",$I$38-1,0)),IF(AND($L$37=0,$P$34=0),"",$L$37-1),IF($R$17="Distrato",$E280,0)),MIN(AE$38,$D$19),$P$20))-SUM($P280:AD280)</f>
        <v>#VALUE!</v>
      </c>
      <c r="AF280" s="446" t="e">
        <f>IF(OR($B280="",MIN(AF$38,$D$19)&lt;MAX($P$34*($B280+IF($R$17="Distrato",$I$38-1,0)),IF(AND($L$37=0,$P$34=0),"",$L$37-1),IF($R$17="Distrato",$E280,0))),0,YEARFRAC(MAX($P$34*($B280+IF($R$17="Distrato",$I$38-1,0)),IF(AND($L$37=0,$P$34=0),"",$L$37-1),IF($R$17="Distrato",$E280,0)),MIN(AF$38,$D$19),$P$20))-SUM($P280:AE280)</f>
        <v>#VALUE!</v>
      </c>
      <c r="AG280" s="446" t="e">
        <f>IF(OR($B280="",MIN(AG$38,$D$19)&lt;MAX($P$34*($B280+IF($R$17="Distrato",$I$38-1,0)),IF(AND($L$37=0,$P$34=0),"",$L$37-1),IF($R$17="Distrato",$E280,0))),0,YEARFRAC(MAX($P$34*($B280+IF($R$17="Distrato",$I$38-1,0)),IF(AND($L$37=0,$P$34=0),"",$L$37-1),IF($R$17="Distrato",$E280,0)),MIN(AG$38,$D$19),$P$20))-SUM($P280:AF280)</f>
        <v>#VALUE!</v>
      </c>
      <c r="AH280" s="446" t="e">
        <f>IF(OR($B280="",MIN(AH$38,$D$19)&lt;MAX($P$34*($B280+IF($R$17="Distrato",$I$38-1,0)),IF(AND($L$37=0,$P$34=0),"",$L$37-1),IF($R$17="Distrato",$E280,0))),0,YEARFRAC(MAX($P$34*($B280+IF($R$17="Distrato",$I$38-1,0)),IF(AND($L$37=0,$P$34=0),"",$L$37-1),IF($R$17="Distrato",$E280,0)),MIN(AH$38,$D$19),$P$20))-SUM($P280:AG280)</f>
        <v>#VALUE!</v>
      </c>
      <c r="AI280" s="446" t="e">
        <f>IF(OR($B280="",MIN(AI$38,$D$19)&lt;MAX($P$34*($B280+IF($R$17="Distrato",$I$38-1,0)),IF(AND($L$37=0,$P$34=0),"",$L$37-1),IF($R$17="Distrato",$E280,0))),0,YEARFRAC(MAX($P$34*($B280+IF($R$17="Distrato",$I$38-1,0)),IF(AND($L$37=0,$P$34=0),"",$L$37-1),IF($R$17="Distrato",$E280,0)),MIN(AI$38,$D$19),$P$20))-SUM($P280:AH280)</f>
        <v>#VALUE!</v>
      </c>
      <c r="AJ280" s="446" t="e">
        <f>IF(OR($B280="",MIN(AJ$38,$D$19)&lt;MAX($P$34*($B280+IF($R$17="Distrato",$I$38-1,0)),IF(AND($L$37=0,$P$34=0),"",$L$37-1),IF($R$17="Distrato",$E280,0))),0,YEARFRAC(MAX($P$34*($B280+IF($R$17="Distrato",$I$38-1,0)),IF(AND($L$37=0,$P$34=0),"",$L$37-1),IF($R$17="Distrato",$E280,0)),MIN(AJ$38,$D$19),$P$20))-SUM($P280:AI280)</f>
        <v>#VALUE!</v>
      </c>
      <c r="AK280" s="446" t="e">
        <f>IF(OR($B280="",MIN(AK$38,$D$19)&lt;MAX($P$34*($B280+IF($R$17="Distrato",$I$38-1,0)),IF(AND($L$37=0,$P$34=0),"",$L$37-1),IF($R$17="Distrato",$E280,0))),0,YEARFRAC(MAX($P$34*($B280+IF($R$17="Distrato",$I$38-1,0)),IF(AND($L$37=0,$P$34=0),"",$L$37-1),IF($R$17="Distrato",$E280,0)),MIN(AK$38,$D$19),$P$20))-SUM($P280:AJ280)</f>
        <v>#VALUE!</v>
      </c>
      <c r="AL280" s="446" t="e">
        <f>IF(OR($B280="",MIN(AL$38,$D$19)&lt;MAX($P$34*($B280+IF($R$17="Distrato",$I$38-1,0)),IF(AND($L$37=0,$P$34=0),"",$L$37-1),IF($R$17="Distrato",$E280,0))),0,YEARFRAC(MAX($P$34*($B280+IF($R$17="Distrato",$I$38-1,0)),IF(AND($L$37=0,$P$34=0),"",$L$37-1),IF($R$17="Distrato",$E280,0)),MIN(AL$38,$D$19),$P$20))-SUM($P280:AK280)</f>
        <v>#VALUE!</v>
      </c>
      <c r="AM280" s="446" t="e">
        <f>IF(OR($B280="",MIN(AM$38,$D$19)&lt;MAX($P$34*($B280+IF($R$17="Distrato",$I$38-1,0)),IF(AND($L$37=0,$P$34=0),"",$L$37-1),IF($R$17="Distrato",$E280,0))),0,YEARFRAC(MAX($P$34*($B280+IF($R$17="Distrato",$I$38-1,0)),IF(AND($L$37=0,$P$34=0),"",$L$37-1),IF($R$17="Distrato",$E280,0)),MIN(AM$38,$D$19),$P$20))-SUM($P280:AL280)</f>
        <v>#VALUE!</v>
      </c>
      <c r="AN280" s="446" t="e">
        <f>IF(OR($B280="",MIN(AN$38,$D$19)&lt;MAX($P$34*($B280+IF($R$17="Distrato",$I$38-1,0)),IF(AND($L$37=0,$P$34=0),"",$L$37-1),IF($R$17="Distrato",$E280,0))),0,YEARFRAC(MAX($P$34*($B280+IF($R$17="Distrato",$I$38-1,0)),IF(AND($L$37=0,$P$34=0),"",$L$37-1),IF($R$17="Distrato",$E280,0)),MIN(AN$38,$D$19),$P$20))-SUM($P280:AM280)</f>
        <v>#VALUE!</v>
      </c>
      <c r="AO280" s="446" t="e">
        <f>IF(OR($B280="",MIN(AO$38,$D$19)&lt;MAX($P$34*($B280+IF($R$17="Distrato",$I$38-1,0)),IF(AND($L$37=0,$P$34=0),"",$L$37-1),IF($R$17="Distrato",$E280,0))),0,YEARFRAC(MAX($P$34*($B280+IF($R$17="Distrato",$I$38-1,0)),IF(AND($L$37=0,$P$34=0),"",$L$37-1),IF($R$17="Distrato",$E280,0)),MIN(AO$38,$D$19),$P$20))-SUM($P280:AN280)</f>
        <v>#VALUE!</v>
      </c>
      <c r="AP280" s="446" t="e">
        <f>IF(OR($B280="",MIN(AP$38,$D$19)&lt;MAX($P$34*($B280+IF($R$17="Distrato",$I$38-1,0)),IF(AND($L$37=0,$P$34=0),"",$L$37-1),IF($R$17="Distrato",$E280,0))),0,YEARFRAC(MAX($P$34*($B280+IF($R$17="Distrato",$I$38-1,0)),IF(AND($L$37=0,$P$34=0),"",$L$37-1),IF($R$17="Distrato",$E280,0)),MIN(AP$38,$D$19),$P$20))-SUM($P280:AO280)</f>
        <v>#VALUE!</v>
      </c>
      <c r="AQ280" s="446" t="e">
        <f>IF(OR($B280="",MIN(AQ$38,$D$19)&lt;MAX($P$34*($B280+IF($R$17="Distrato",$I$38-1,0)),IF(AND($L$37=0,$P$34=0),"",$L$37-1),IF($R$17="Distrato",$E280,0))),0,YEARFRAC(MAX($P$34*($B280+IF($R$17="Distrato",$I$38-1,0)),IF(AND($L$37=0,$P$34=0),"",$L$37-1),IF($R$17="Distrato",$E280,0)),MIN(AQ$38,$D$19),$P$20))-SUM($P280:AP280)</f>
        <v>#VALUE!</v>
      </c>
      <c r="AR280" s="446" t="e">
        <f>IF(OR($B280="",MIN(AR$38,$D$19)&lt;MAX($P$34*($B280+IF($R$17="Distrato",$I$38-1,0)),IF(AND($L$37=0,$P$34=0),"",$L$37-1),IF($R$17="Distrato",$E280,0))),0,YEARFRAC(MAX($P$34*($B280+IF($R$17="Distrato",$I$38-1,0)),IF(AND($L$37=0,$P$34=0),"",$L$37-1),IF($R$17="Distrato",$E280,0)),MIN(AR$38,$D$19),$P$20))-SUM($P280:AQ280)</f>
        <v>#VALUE!</v>
      </c>
      <c r="AS280" s="446" t="e">
        <f>IF(OR($B280="",MIN(AS$38,$D$19)&lt;MAX($P$34*($B280+IF($R$17="Distrato",$I$38-1,0)),IF(AND($L$37=0,$P$34=0),"",$L$37-1),IF($R$17="Distrato",$E280,0))),0,YEARFRAC(MAX($P$34*($B280+IF($R$17="Distrato",$I$38-1,0)),IF(AND($L$37=0,$P$34=0),"",$L$37-1),IF($R$17="Distrato",$E280,0)),MIN(AS$38,$D$19),$P$20))-SUM($P280:AR280)</f>
        <v>#VALUE!</v>
      </c>
      <c r="AT280" s="446" t="e">
        <f>IF(OR($B280="",MIN(AT$38,$D$19)&lt;MAX($P$34*($B280+IF($R$17="Distrato",$I$38-1,0)),IF(AND($L$37=0,$P$34=0),"",$L$37-1),IF($R$17="Distrato",$E280,0))),0,YEARFRAC(MAX($P$34*($B280+IF($R$17="Distrato",$I$38-1,0)),IF(AND($L$37=0,$P$34=0),"",$L$37-1),IF($R$17="Distrato",$E280,0)),MIN(AT$38,$D$19),$P$20))-SUM($P280:AS280)</f>
        <v>#VALUE!</v>
      </c>
      <c r="AU280" s="446" t="e">
        <f>IF(OR($B280="",MIN(AU$38,$D$19)&lt;MAX($P$34*($B280+IF($R$17="Distrato",$I$38-1,0)),IF(AND($L$37=0,$P$34=0),"",$L$37-1),IF($R$17="Distrato",$E280,0))),0,YEARFRAC(MAX($P$34*($B280+IF($R$17="Distrato",$I$38-1,0)),IF(AND($L$37=0,$P$34=0),"",$L$37-1),IF($R$17="Distrato",$E280,0)),MIN(AU$38,$D$19),$P$20))-SUM($P280:AT280)</f>
        <v>#VALUE!</v>
      </c>
      <c r="AV280" s="446" t="e">
        <f>IF(OR($B280="",MIN(AV$38,$D$19)&lt;MAX($P$34*($B280+IF($R$17="Distrato",$I$38-1,0)),IF(AND($L$37=0,$P$34=0),"",$L$37-1),IF($R$17="Distrato",$E280,0))),0,YEARFRAC(MAX($P$34*($B280+IF($R$17="Distrato",$I$38-1,0)),IF(AND($L$37=0,$P$34=0),"",$L$37-1),IF($R$17="Distrato",$E280,0)),MIN(AV$38,$D$19),$P$20))-SUM($P280:AU280)</f>
        <v>#VALUE!</v>
      </c>
      <c r="AW280" s="446" t="e">
        <f>IF(OR($B280="",MIN(AW$38,$D$19)&lt;MAX($P$34*($B280+IF($R$17="Distrato",$I$38-1,0)),IF(AND($L$37=0,$P$34=0),"",$L$37-1),IF($R$17="Distrato",$E280,0))),0,YEARFRAC(MAX($P$34*($B280+IF($R$17="Distrato",$I$38-1,0)),IF(AND($L$37=0,$P$34=0),"",$L$37-1),IF($R$17="Distrato",$E280,0)),MIN(AW$38,$D$19),$P$20))-SUM($P280:AV280)</f>
        <v>#VALUE!</v>
      </c>
      <c r="AX280" s="446" t="e">
        <f>IF(OR($B280="",MIN(AX$38,$D$19)&lt;MAX($P$34*($B280+IF($R$17="Distrato",$I$38-1,0)),IF(AND($L$37=0,$P$34=0),"",$L$37-1),IF($R$17="Distrato",$E280,0))),0,YEARFRAC(MAX($P$34*($B280+IF($R$17="Distrato",$I$38-1,0)),IF(AND($L$37=0,$P$34=0),"",$L$37-1),IF($R$17="Distrato",$E280,0)),MIN(AX$38,$D$19),$P$20))-SUM($P280:AW280)</f>
        <v>#VALUE!</v>
      </c>
      <c r="AY280" s="446" t="e">
        <f>IF(OR($B280="",MIN(AY$38,$D$19)&lt;MAX($P$34*($B280+IF($R$17="Distrato",$I$38-1,0)),IF(AND($L$37=0,$P$34=0),"",$L$37-1),IF($R$17="Distrato",$E280,0))),0,YEARFRAC(MAX($P$34*($B280+IF($R$17="Distrato",$I$38-1,0)),IF(AND($L$37=0,$P$34=0),"",$L$37-1),IF($R$17="Distrato",$E280,0)),MIN(AY$38,$D$19),$P$20))-SUM($P280:AX280)</f>
        <v>#VALUE!</v>
      </c>
      <c r="AZ280" s="446" t="e">
        <f>IF(OR($B280="",MIN(AZ$38,$D$19)&lt;MAX($P$34*($B280+IF($R$17="Distrato",$I$38-1,0)),IF(AND($L$37=0,$P$34=0),"",$L$37-1),IF($R$17="Distrato",$E280,0))),0,YEARFRAC(MAX($P$34*($B280+IF($R$17="Distrato",$I$38-1,0)),IF(AND($L$37=0,$P$34=0),"",$L$37-1),IF($R$17="Distrato",$E280,0)),MIN(AZ$38,$D$19),$P$20))-SUM($P280:AY280)</f>
        <v>#VALUE!</v>
      </c>
      <c r="BA280" s="446" t="e">
        <f>IF(OR($B280="",MIN(BA$38,$D$19)&lt;MAX($P$34*($B280+IF($R$17="Distrato",$I$38-1,0)),IF(AND($L$37=0,$P$34=0),"",$L$37-1),IF($R$17="Distrato",$E280,0))),0,YEARFRAC(MAX($P$34*($B280+IF($R$17="Distrato",$I$38-1,0)),IF(AND($L$37=0,$P$34=0),"",$L$37-1),IF($R$17="Distrato",$E280,0)),MIN(BA$38,$D$19),$P$20))-SUM($P280:AZ280)</f>
        <v>#VALUE!</v>
      </c>
      <c r="BB280" s="447"/>
      <c r="BF280" s="446">
        <f t="shared" si="43"/>
        <v>0</v>
      </c>
      <c r="BG280" s="446">
        <f>IF($E280=0,0,IF(MIN(BG$38,$E280)&lt;MAX($P$34*($B280+$I$38-1),IF(AND($L$37=0,$P$34=0),"",$L$37-1)),0,YEARFRAC(MAX($P$34*($B280+$I$38-1),IF(AND($L$37=0,$P$34=0),"",$L$37-1)),MIN(BG$38,$E280),$P$20))-SUM($BF280:BF280))</f>
        <v>0</v>
      </c>
      <c r="BH280" s="446">
        <f>IF($E280=0,0,IF(MIN(BH$38,$E280)&lt;MAX($P$34*($B280+$I$38-1),IF(AND($L$37=0,$P$34=0),"",$L$37-1)),0,YEARFRAC(MAX($P$34*($B280+$I$38-1),IF(AND($L$37=0,$P$34=0),"",$L$37-1)),MIN(BH$38,$E280),$P$20))-SUM($BF280:BG280))</f>
        <v>0</v>
      </c>
      <c r="BI280" s="446">
        <f>IF($E280=0,0,IF(MIN(BI$38,$E280)&lt;MAX($P$34*($B280+$I$38-1),IF(AND($L$37=0,$P$34=0),"",$L$37-1)),0,YEARFRAC(MAX($P$34*($B280+$I$38-1),IF(AND($L$37=0,$P$34=0),"",$L$37-1)),MIN(BI$38,$E280),$P$20))-SUM($BF280:BH280))</f>
        <v>0</v>
      </c>
      <c r="BJ280" s="446">
        <f>IF($E280=0,0,IF(MIN(BJ$38,$E280)&lt;MAX($P$34*($B280+$I$38-1),IF(AND($L$37=0,$P$34=0),"",$L$37-1)),0,YEARFRAC(MAX($P$34*($B280+$I$38-1),IF(AND($L$37=0,$P$34=0),"",$L$37-1)),MIN(BJ$38,$E280),$P$20))-SUM($BF280:BI280))</f>
        <v>0</v>
      </c>
      <c r="BK280" s="446">
        <f>IF($E280=0,0,IF(MIN(BK$38,$E280)&lt;MAX($P$34*($B280+$I$38-1),IF(AND($L$37=0,$P$34=0),"",$L$37-1)),0,YEARFRAC(MAX($P$34*($B280+$I$38-1),IF(AND($L$37=0,$P$34=0),"",$L$37-1)),MIN(BK$38,$E280),$P$20))-SUM($BF280:BJ280))</f>
        <v>0</v>
      </c>
      <c r="BL280" s="446">
        <f>IF($E280=0,0,IF(MIN(BL$38,$E280)&lt;MAX($P$34*($B280+$I$38-1),IF(AND($L$37=0,$P$34=0),"",$L$37-1)),0,YEARFRAC(MAX($P$34*($B280+$I$38-1),IF(AND($L$37=0,$P$34=0),"",$L$37-1)),MIN(BL$38,$E280),$P$20))-SUM($BF280:BK280))</f>
        <v>0</v>
      </c>
      <c r="BM280" s="446">
        <f>IF($E280=0,0,IF(MIN(BM$38,$E280)&lt;MAX($P$34*($B280+$I$38-1),IF(AND($L$37=0,$P$34=0),"",$L$37-1)),0,YEARFRAC(MAX($P$34*($B280+$I$38-1),IF(AND($L$37=0,$P$34=0),"",$L$37-1)),MIN(BM$38,$E280),$P$20))-SUM($BF280:BL280))</f>
        <v>0</v>
      </c>
      <c r="BN280" s="446">
        <f>IF($E280=0,0,IF(MIN(BN$38,$E280)&lt;MAX($P$34*($B280+$I$38-1),IF(AND($L$37=0,$P$34=0),"",$L$37-1)),0,YEARFRAC(MAX($P$34*($B280+$I$38-1),IF(AND($L$37=0,$P$34=0),"",$L$37-1)),MIN(BN$38,$E280),$P$20))-SUM($BF280:BM280))</f>
        <v>0</v>
      </c>
      <c r="BO280" s="446">
        <f>IF($E280=0,0,IF(MIN(BO$38,$E280)&lt;MAX($P$34*($B280+$I$38-1),IF(AND($L$37=0,$P$34=0),"",$L$37-1)),0,YEARFRAC(MAX($P$34*($B280+$I$38-1),IF(AND($L$37=0,$P$34=0),"",$L$37-1)),MIN(BO$38,$E280),$P$20))-SUM($BF280:BN280))</f>
        <v>0</v>
      </c>
      <c r="BP280" s="446">
        <f>IF($E280=0,0,IF(MIN(BP$38,$E280)&lt;MAX($P$34*($B280+$I$38-1),IF(AND($L$37=0,$P$34=0),"",$L$37-1)),0,YEARFRAC(MAX($P$34*($B280+$I$38-1),IF(AND($L$37=0,$P$34=0),"",$L$37-1)),MIN(BP$38,$E280),$P$20))-SUM($BF280:BO280))</f>
        <v>0</v>
      </c>
      <c r="BQ280" s="446">
        <f>IF($E280=0,0,IF(MIN(BQ$38,$E280)&lt;MAX($P$34*($B280+$I$38-1),IF(AND($L$37=0,$P$34=0),"",$L$37-1)),0,YEARFRAC(MAX($P$34*($B280+$I$38-1),IF(AND($L$37=0,$P$34=0),"",$L$37-1)),MIN(BQ$38,$E280),$P$20))-SUM($BF280:BP280))</f>
        <v>0</v>
      </c>
      <c r="BR280" s="446">
        <f>IF($E280=0,0,IF(MIN(BR$38,$E280)&lt;MAX($P$34*($B280+$I$38-1),IF(AND($L$37=0,$P$34=0),"",$L$37-1)),0,YEARFRAC(MAX($P$34*($B280+$I$38-1),IF(AND($L$37=0,$P$34=0),"",$L$37-1)),MIN(BR$38,$E280),$P$20))-SUM($BF280:BQ280))</f>
        <v>0</v>
      </c>
      <c r="BS280" s="446">
        <f>IF($E280=0,0,IF(MIN(BS$38,$E280)&lt;MAX($P$34*($B280+$I$38-1),IF(AND($L$37=0,$P$34=0),"",$L$37-1)),0,YEARFRAC(MAX($P$34*($B280+$I$38-1),IF(AND($L$37=0,$P$34=0),"",$L$37-1)),MIN(BS$38,$E280),$P$20))-SUM($BF280:BR280))</f>
        <v>0</v>
      </c>
      <c r="BT280" s="446">
        <f>IF($E280=0,0,IF(MIN(BT$38,$E280)&lt;MAX($P$34*($B280+$I$38-1),IF(AND($L$37=0,$P$34=0),"",$L$37-1)),0,YEARFRAC(MAX($P$34*($B280+$I$38-1),IF(AND($L$37=0,$P$34=0),"",$L$37-1)),MIN(BT$38,$E280),$P$20))-SUM($BF280:BS280))</f>
        <v>0</v>
      </c>
      <c r="BU280" s="446">
        <f>IF($E280=0,0,IF(MIN(BU$38,$E280)&lt;MAX($P$34*($B280+$I$38-1),IF(AND($L$37=0,$P$34=0),"",$L$37-1)),0,YEARFRAC(MAX($P$34*($B280+$I$38-1),IF(AND($L$37=0,$P$34=0),"",$L$37-1)),MIN(BU$38,$E280),$P$20))-SUM($BF280:BT280))</f>
        <v>0</v>
      </c>
      <c r="BV280" s="446">
        <f>IF($E280=0,0,IF(MIN(BV$38,$E280)&lt;MAX($P$34*($B280+$I$38-1),IF(AND($L$37=0,$P$34=0),"",$L$37-1)),0,YEARFRAC(MAX($P$34*($B280+$I$38-1),IF(AND($L$37=0,$P$34=0),"",$L$37-1)),MIN(BV$38,$E280),$P$20))-SUM($BF280:BU280))</f>
        <v>0</v>
      </c>
      <c r="BW280" s="446">
        <f>IF($E280=0,0,IF(MIN(BW$38,$E280)&lt;MAX($P$34*($B280+$I$38-1),IF(AND($L$37=0,$P$34=0),"",$L$37-1)),0,YEARFRAC(MAX($P$34*($B280+$I$38-1),IF(AND($L$37=0,$P$34=0),"",$L$37-1)),MIN(BW$38,$E280),$P$20))-SUM($BF280:BV280))</f>
        <v>0</v>
      </c>
      <c r="BX280" s="446">
        <f>IF($E280=0,0,IF(MIN(BX$38,$E280)&lt;MAX($P$34*($B280+$I$38-1),IF(AND($L$37=0,$P$34=0),"",$L$37-1)),0,YEARFRAC(MAX($P$34*($B280+$I$38-1),IF(AND($L$37=0,$P$34=0),"",$L$37-1)),MIN(BX$38,$E280),$P$20))-SUM($BF280:BW280))</f>
        <v>0</v>
      </c>
      <c r="BY280" s="446">
        <f>IF($E280=0,0,IF(MIN(BY$38,$E280)&lt;MAX($P$34*($B280+$I$38-1),IF(AND($L$37=0,$P$34=0),"",$L$37-1)),0,YEARFRAC(MAX($P$34*($B280+$I$38-1),IF(AND($L$37=0,$P$34=0),"",$L$37-1)),MIN(BY$38,$E280),$P$20))-SUM($BF280:BX280))</f>
        <v>0</v>
      </c>
      <c r="BZ280" s="446">
        <f>IF($E280=0,0,IF(MIN(BZ$38,$E280)&lt;MAX($P$34*($B280+$I$38-1),IF(AND($L$37=0,$P$34=0),"",$L$37-1)),0,YEARFRAC(MAX($P$34*($B280+$I$38-1),IF(AND($L$37=0,$P$34=0),"",$L$37-1)),MIN(BZ$38,$E280),$P$20))-SUM($BF280:BY280))</f>
        <v>0</v>
      </c>
      <c r="CA280" s="446">
        <f>IF($E280=0,0,IF(MIN(CA$38,$E280)&lt;MAX($P$34*($B280+$I$38-1),IF(AND($L$37=0,$P$34=0),"",$L$37-1)),0,YEARFRAC(MAX($P$34*($B280+$I$38-1),IF(AND($L$37=0,$P$34=0),"",$L$37-1)),MIN(CA$38,$E280),$P$20))-SUM($BF280:BZ280))</f>
        <v>0</v>
      </c>
      <c r="CB280" s="446">
        <f>IF($E280=0,0,IF(MIN(CB$38,$E280)&lt;MAX($P$34*($B280+$I$38-1),IF(AND($L$37=0,$P$34=0),"",$L$37-1)),0,YEARFRAC(MAX($P$34*($B280+$I$38-1),IF(AND($L$37=0,$P$34=0),"",$L$37-1)),MIN(CB$38,$E280),$P$20))-SUM($BF280:CA280))</f>
        <v>0</v>
      </c>
      <c r="CC280" s="446">
        <f>IF($E280=0,0,IF(MIN(CC$38,$E280)&lt;MAX($P$34*($B280+$I$38-1),IF(AND($L$37=0,$P$34=0),"",$L$37-1)),0,YEARFRAC(MAX($P$34*($B280+$I$38-1),IF(AND($L$37=0,$P$34=0),"",$L$37-1)),MIN(CC$38,$E280),$P$20))-SUM($BF280:CB280))</f>
        <v>0</v>
      </c>
      <c r="CD280" s="446">
        <f>IF($E280=0,0,IF(MIN(CD$38,$E280)&lt;MAX($P$34*($B280+$I$38-1),IF(AND($L$37=0,$P$34=0),"",$L$37-1)),0,YEARFRAC(MAX($P$34*($B280+$I$38-1),IF(AND($L$37=0,$P$34=0),"",$L$37-1)),MIN(CD$38,$E280),$P$20))-SUM($BF280:CC280))</f>
        <v>0</v>
      </c>
      <c r="CE280" s="446">
        <f>IF($E280=0,0,IF(MIN(CE$38,$E280)&lt;MAX($P$34*($B280+$I$38-1),IF(AND($L$37=0,$P$34=0),"",$L$37-1)),0,YEARFRAC(MAX($P$34*($B280+$I$38-1),IF(AND($L$37=0,$P$34=0),"",$L$37-1)),MIN(CE$38,$E280),$P$20))-SUM($BF280:CD280))</f>
        <v>0</v>
      </c>
      <c r="CF280" s="446">
        <f>IF($E280=0,0,IF(MIN(CF$38,$E280)&lt;MAX($P$34*($B280+$I$38-1),IF(AND($L$37=0,$P$34=0),"",$L$37-1)),0,YEARFRAC(MAX($P$34*($B280+$I$38-1),IF(AND($L$37=0,$P$34=0),"",$L$37-1)),MIN(CF$38,$E280),$P$20))-SUM($BF280:CE280))</f>
        <v>0</v>
      </c>
      <c r="CG280" s="446">
        <f>IF($E280=0,0,IF(MIN(CG$38,$E280)&lt;MAX($P$34*($B280+$I$38-1),IF(AND($L$37=0,$P$34=0),"",$L$37-1)),0,YEARFRAC(MAX($P$34*($B280+$I$38-1),IF(AND($L$37=0,$P$34=0),"",$L$37-1)),MIN(CG$38,$E280),$P$20))-SUM($BF280:CF280))</f>
        <v>0</v>
      </c>
      <c r="CH280" s="446">
        <f>IF($E280=0,0,IF(MIN(CH$38,$E280)&lt;MAX($P$34*($B280+$I$38-1),IF(AND($L$37=0,$P$34=0),"",$L$37-1)),0,YEARFRAC(MAX($P$34*($B280+$I$38-1),IF(AND($L$37=0,$P$34=0),"",$L$37-1)),MIN(CH$38,$E280),$P$20))-SUM($BF280:CG280))</f>
        <v>0</v>
      </c>
      <c r="CI280" s="446">
        <f>IF($E280=0,0,IF(MIN(CI$38,$E280)&lt;MAX($P$34*($B280+$I$38-1),IF(AND($L$37=0,$P$34=0),"",$L$37-1)),0,YEARFRAC(MAX($P$34*($B280+$I$38-1),IF(AND($L$37=0,$P$34=0),"",$L$37-1)),MIN(CI$38,$E280),$P$20))-SUM($BF280:CH280))</f>
        <v>0</v>
      </c>
      <c r="CJ280" s="446">
        <f>IF($E280=0,0,IF(MIN(CJ$38,$E280)&lt;MAX($P$34*($B280+$I$38-1),IF(AND($L$37=0,$P$34=0),"",$L$37-1)),0,YEARFRAC(MAX($P$34*($B280+$I$38-1),IF(AND($L$37=0,$P$34=0),"",$L$37-1)),MIN(CJ$38,$E280),$P$20))-SUM($BF280:CI280))</f>
        <v>0</v>
      </c>
      <c r="CK280" s="446">
        <f>IF($E280=0,0,IF(MIN(CK$38,$E280)&lt;MAX($P$34*($B280+$I$38-1),IF(AND($L$37=0,$P$34=0),"",$L$37-1)),0,YEARFRAC(MAX($P$34*($B280+$I$38-1),IF(AND($L$37=0,$P$34=0),"",$L$37-1)),MIN(CK$38,$E280),$P$20))-SUM($BF280:CJ280))</f>
        <v>0</v>
      </c>
      <c r="CL280" s="446">
        <f>IF($E280=0,0,IF(MIN(CL$38,$E280)&lt;MAX($P$34*($B280+$I$38-1),IF(AND($L$37=0,$P$34=0),"",$L$37-1)),0,YEARFRAC(MAX($P$34*($B280+$I$38-1),IF(AND($L$37=0,$P$34=0),"",$L$37-1)),MIN(CL$38,$E280),$P$20))-SUM($BF280:CK280))</f>
        <v>0</v>
      </c>
      <c r="CM280" s="446">
        <f>IF($E280=0,0,IF(MIN(CM$38,$E280)&lt;MAX($P$34*($B280+$I$38-1),IF(AND($L$37=0,$P$34=0),"",$L$37-1)),0,YEARFRAC(MAX($P$34*($B280+$I$38-1),IF(AND($L$37=0,$P$34=0),"",$L$37-1)),MIN(CM$38,$E280),$P$20))-SUM($BF280:CL280))</f>
        <v>0</v>
      </c>
      <c r="CN280" s="446">
        <f>IF($E280=0,0,IF(MIN(CN$38,$E280)&lt;MAX($P$34*($B280+$I$38-1),IF(AND($L$37=0,$P$34=0),"",$L$37-1)),0,YEARFRAC(MAX($P$34*($B280+$I$38-1),IF(AND($L$37=0,$P$34=0),"",$L$37-1)),MIN(CN$38,$E280),$P$20))-SUM($BF280:CM280))</f>
        <v>0</v>
      </c>
      <c r="CO280" s="446">
        <f>IF($E280=0,0,IF(MIN(CO$38,$E280)&lt;MAX($P$34*($B280+$I$38-1),IF(AND($L$37=0,$P$34=0),"",$L$37-1)),0,YEARFRAC(MAX($P$34*($B280+$I$38-1),IF(AND($L$37=0,$P$34=0),"",$L$37-1)),MIN(CO$38,$E280),$P$20))-SUM($BF280:CN280))</f>
        <v>0</v>
      </c>
      <c r="CP280" s="446">
        <f>IF($E280=0,0,IF(MIN(CP$38,$E280)&lt;MAX($P$34*($B280+$I$38-1),IF(AND($L$37=0,$P$34=0),"",$L$37-1)),0,YEARFRAC(MAX($P$34*($B280+$I$38-1),IF(AND($L$37=0,$P$34=0),"",$L$37-1)),MIN(CP$38,$E280),$P$20))-SUM($BF280:CO280))</f>
        <v>0</v>
      </c>
      <c r="CQ280" s="446">
        <f>IF($E280=0,0,IF(MIN(CQ$38,$E280)&lt;MAX($P$34*($B280+$I$38-1),IF(AND($L$37=0,$P$34=0),"",$L$37-1)),0,YEARFRAC(MAX($P$34*($B280+$I$38-1),IF(AND($L$37=0,$P$34=0),"",$L$37-1)),MIN(CQ$38,$E280),$P$20))-SUM($BF280:CP280))</f>
        <v>0</v>
      </c>
    </row>
    <row r="281" spans="1:95" s="446" customFormat="1" ht="11.25" hidden="1" customHeight="1" x14ac:dyDescent="0.2">
      <c r="A281" s="152"/>
      <c r="B281" s="153" t="str">
        <f t="shared" si="48"/>
        <v/>
      </c>
      <c r="C281" s="29" t="str">
        <f>IF(B281="","",IF($L$35="SELIC - TRIBUTOS",VLOOKUP(DATE(YEAR($D$19),MONTH($D$19)-1,1),ÍNDICES!$A:$DE,HLOOKUP($BL$25,ÍNDICES!$B$3:$T$4,2)+11)-VLOOKUP(B281,ÍNDICES!$A:$DE,HLOOKUP($BL$25,ÍNDICES!$B$3:$T$4,2)+11)+1%,IF(C$38=$W$26,$J$35,IF(ISERROR(IF(B281&gt;$D$19,1,VLOOKUP(DATE(YEAR(B281),MONTH(B281)+IF($C$35=$S$23,1,0),1),ÍNDICES!$A:$DE,$Z$35+1))),"",IF(B281&gt;$D$19,1,VLOOKUP(DATE(YEAR(B281),MONTH(B281)+IF($C$35=$S$23,1,0),1),ÍNDICES!$A:$DE,$Z$35+1))))))</f>
        <v/>
      </c>
      <c r="D281" s="154" t="str">
        <f>IF(ISERROR(IF(OR($D$38=$Y$27,$B281=""),"",VLOOKUP(B281,ÍNDICES!A:DE,AF$35+1))),"",IF(OR($D$38=$Y$27,$B281=""),"",VLOOKUP(B281,ÍNDICES!A:DE,AF$35+1)))</f>
        <v/>
      </c>
      <c r="E281" s="153"/>
      <c r="F281" s="29" t="str">
        <f>IF(E281="","",IF($L$35="SELIC - TRIBUTOS",VLOOKUP(DATE(YEAR($D$19),MONTH($D$19)-1,1),ÍNDICES!$A:$DE,HLOOKUP($BL$25,ÍNDICES!$B$3:$T$4,2)+11)-VLOOKUP(E281,ÍNDICES!$A:$DE,HLOOKUP($BL$25,ÍNDICES!$B$3:$T$4,2)+11)+1%,IF(F$38=$W$26,$J$35,IF(ISERROR(IF(E281&gt;$D$19,1,VLOOKUP(DATE(YEAR(E281),MONTH(E281)+IF($C$35=$S$23,1,0),1),ÍNDICES!$A:$DE,$Z$35+1))),"",IF(E281&gt;$D$19,1,VLOOKUP(DATE(YEAR(E281),MONTH(E281)+IF($C$35=$S$23,1,0),1),ÍNDICES!$A:$DE,$Z$35+1))))))</f>
        <v/>
      </c>
      <c r="G281" s="155"/>
      <c r="H281" s="156" t="str">
        <f t="shared" si="44"/>
        <v/>
      </c>
      <c r="I281" s="29" t="str">
        <f t="shared" si="38"/>
        <v/>
      </c>
      <c r="J281" s="5">
        <f t="shared" si="39"/>
        <v>0</v>
      </c>
      <c r="K281" s="20">
        <f t="shared" ca="1" si="40"/>
        <v>0</v>
      </c>
      <c r="L281" s="5">
        <f t="shared" ca="1" si="41"/>
        <v>0</v>
      </c>
      <c r="M281" s="64">
        <f t="shared" si="45"/>
        <v>0</v>
      </c>
      <c r="N281" s="61">
        <f t="shared" ca="1" si="46"/>
        <v>0</v>
      </c>
      <c r="O281" s="5">
        <f t="shared" ca="1" si="47"/>
        <v>0</v>
      </c>
      <c r="P281" s="446" t="e">
        <f t="shared" si="42"/>
        <v>#VALUE!</v>
      </c>
      <c r="Q281" s="446" t="e">
        <f>IF(OR($B281="",MIN(Q$38,$D$19)&lt;MAX($P$34*($B281+IF($R$17="Distrato",$I$38-1,0)),IF(AND($L$37=0,$P$34=0),"",$L$37-1),IF($R$17="Distrato",$E281,0))),0,YEARFRAC(MAX($P$34*($B281+IF($R$17="Distrato",$I$38-1,0)),IF(AND($L$37=0,$P$34=0),"",$L$37-1),IF($R$17="Distrato",$E281,0)),MIN(Q$38,$D$19),$P$20))-SUM($P281:P281)</f>
        <v>#VALUE!</v>
      </c>
      <c r="R281" s="446" t="e">
        <f>IF(OR($B281="",MIN(R$38,$D$19)&lt;MAX($P$34*($B281+IF($R$17="Distrato",$I$38-1,0)),IF(AND($L$37=0,$P$34=0),"",$L$37-1),IF($R$17="Distrato",$E281,0))),0,YEARFRAC(MAX($P$34*($B281+IF($R$17="Distrato",$I$38-1,0)),IF(AND($L$37=0,$P$34=0),"",$L$37-1),IF($R$17="Distrato",$E281,0)),MIN(R$38,$D$19),$P$20))-SUM($P281:Q281)</f>
        <v>#VALUE!</v>
      </c>
      <c r="S281" s="446" t="e">
        <f>IF(OR($B281="",MIN(S$38,$D$19)&lt;MAX($P$34*($B281+IF($R$17="Distrato",$I$38-1,0)),IF(AND($L$37=0,$P$34=0),"",$L$37-1),IF($R$17="Distrato",$E281,0))),0,YEARFRAC(MAX($P$34*($B281+IF($R$17="Distrato",$I$38-1,0)),IF(AND($L$37=0,$P$34=0),"",$L$37-1),IF($R$17="Distrato",$E281,0)),MIN(S$38,$D$19),$P$20))-SUM($P281:R281)</f>
        <v>#VALUE!</v>
      </c>
      <c r="T281" s="446" t="e">
        <f>IF(OR($B281="",MIN(T$38,$D$19)&lt;MAX($P$34*($B281+IF($R$17="Distrato",$I$38-1,0)),IF(AND($L$37=0,$P$34=0),"",$L$37-1),IF($R$17="Distrato",$E281,0))),0,YEARFRAC(MAX($P$34*($B281+IF($R$17="Distrato",$I$38-1,0)),IF(AND($L$37=0,$P$34=0),"",$L$37-1),IF($R$17="Distrato",$E281,0)),MIN(T$38,$D$19),$P$20))-SUM($P281:S281)</f>
        <v>#VALUE!</v>
      </c>
      <c r="U281" s="446" t="e">
        <f>IF(OR($B281="",MIN(U$38,$D$19)&lt;MAX($P$34*($B281+IF($R$17="Distrato",$I$38-1,0)),IF(AND($L$37=0,$P$34=0),"",$L$37-1),IF($R$17="Distrato",$E281,0))),0,YEARFRAC(MAX($P$34*($B281+IF($R$17="Distrato",$I$38-1,0)),IF(AND($L$37=0,$P$34=0),"",$L$37-1),IF($R$17="Distrato",$E281,0)),MIN(U$38,$D$19),$P$20))-SUM($P281:T281)</f>
        <v>#VALUE!</v>
      </c>
      <c r="V281" s="446" t="e">
        <f>IF(OR($B281="",MIN(V$38,$D$19)&lt;MAX($P$34*($B281+IF($R$17="Distrato",$I$38-1,0)),IF(AND($L$37=0,$P$34=0),"",$L$37-1),IF($R$17="Distrato",$E281,0))),0,YEARFRAC(MAX($P$34*($B281+IF($R$17="Distrato",$I$38-1,0)),IF(AND($L$37=0,$P$34=0),"",$L$37-1),IF($R$17="Distrato",$E281,0)),MIN(V$38,$D$19),$P$20))-SUM($P281:U281)</f>
        <v>#VALUE!</v>
      </c>
      <c r="W281" s="446" t="e">
        <f>IF(OR($B281="",MIN(W$38,$D$19)&lt;MAX($P$34*($B281+IF($R$17="Distrato",$I$38-1,0)),IF(AND($L$37=0,$P$34=0),"",$L$37-1),IF($R$17="Distrato",$E281,0))),0,YEARFRAC(MAX($P$34*($B281+IF($R$17="Distrato",$I$38-1,0)),IF(AND($L$37=0,$P$34=0),"",$L$37-1),IF($R$17="Distrato",$E281,0)),MIN(W$38,$D$19),$P$20))-SUM($P281:V281)</f>
        <v>#VALUE!</v>
      </c>
      <c r="X281" s="446" t="e">
        <f>IF(OR($B281="",MIN(X$38,$D$19)&lt;MAX($P$34*($B281+IF($R$17="Distrato",$I$38-1,0)),IF(AND($L$37=0,$P$34=0),"",$L$37-1),IF($R$17="Distrato",$E281,0))),0,YEARFRAC(MAX($P$34*($B281+IF($R$17="Distrato",$I$38-1,0)),IF(AND($L$37=0,$P$34=0),"",$L$37-1),IF($R$17="Distrato",$E281,0)),MIN(X$38,$D$19),$P$20))-SUM($P281:W281)</f>
        <v>#VALUE!</v>
      </c>
      <c r="Y281" s="446" t="e">
        <f>IF(OR($B281="",MIN(Y$38,$D$19)&lt;MAX($P$34*($B281+IF($R$17="Distrato",$I$38-1,0)),IF(AND($L$37=0,$P$34=0),"",$L$37-1),IF($R$17="Distrato",$E281,0))),0,YEARFRAC(MAX($P$34*($B281+IF($R$17="Distrato",$I$38-1,0)),IF(AND($L$37=0,$P$34=0),"",$L$37-1),IF($R$17="Distrato",$E281,0)),MIN(Y$38,$D$19),$P$20))-SUM($P281:X281)</f>
        <v>#VALUE!</v>
      </c>
      <c r="Z281" s="446" t="e">
        <f>IF(OR($B281="",MIN(Z$38,$D$19)&lt;MAX($P$34*($B281+IF($R$17="Distrato",$I$38-1,0)),IF(AND($L$37=0,$P$34=0),"",$L$37-1),IF($R$17="Distrato",$E281,0))),0,YEARFRAC(MAX($P$34*($B281+IF($R$17="Distrato",$I$38-1,0)),IF(AND($L$37=0,$P$34=0),"",$L$37-1),IF($R$17="Distrato",$E281,0)),MIN(Z$38,$D$19),$P$20))-SUM($P281:Y281)</f>
        <v>#VALUE!</v>
      </c>
      <c r="AA281" s="446" t="e">
        <f>IF(OR($B281="",MIN(AA$38,$D$19)&lt;MAX($P$34*($B281+IF($R$17="Distrato",$I$38-1,0)),IF(AND($L$37=0,$P$34=0),"",$L$37-1),IF($R$17="Distrato",$E281,0))),0,YEARFRAC(MAX($P$34*($B281+IF($R$17="Distrato",$I$38-1,0)),IF(AND($L$37=0,$P$34=0),"",$L$37-1),IF($R$17="Distrato",$E281,0)),MIN(AA$38,$D$19),$P$20))-SUM($P281:Z281)</f>
        <v>#VALUE!</v>
      </c>
      <c r="AB281" s="446" t="e">
        <f>IF(OR($B281="",MIN(AB$38,$D$19)&lt;MAX($P$34*($B281+IF($R$17="Distrato",$I$38-1,0)),IF(AND($L$37=0,$P$34=0),"",$L$37-1),IF($R$17="Distrato",$E281,0))),0,YEARFRAC(MAX($P$34*($B281+IF($R$17="Distrato",$I$38-1,0)),IF(AND($L$37=0,$P$34=0),"",$L$37-1),IF($R$17="Distrato",$E281,0)),MIN(AB$38,$D$19),$P$20))-SUM($P281:AA281)</f>
        <v>#VALUE!</v>
      </c>
      <c r="AC281" s="446" t="e">
        <f>IF(OR($B281="",MIN(AC$38,$D$19)&lt;MAX($P$34*($B281+IF($R$17="Distrato",$I$38-1,0)),IF(AND($L$37=0,$P$34=0),"",$L$37-1),IF($R$17="Distrato",$E281,0))),0,YEARFRAC(MAX($P$34*($B281+IF($R$17="Distrato",$I$38-1,0)),IF(AND($L$37=0,$P$34=0),"",$L$37-1),IF($R$17="Distrato",$E281,0)),MIN(AC$38,$D$19),$P$20))-SUM($P281:AB281)</f>
        <v>#VALUE!</v>
      </c>
      <c r="AD281" s="446" t="e">
        <f>IF(OR($B281="",MIN(AD$38,$D$19)&lt;MAX($P$34*($B281+IF($R$17="Distrato",$I$38-1,0)),IF(AND($L$37=0,$P$34=0),"",$L$37-1),IF($R$17="Distrato",$E281,0))),0,YEARFRAC(MAX($P$34*($B281+IF($R$17="Distrato",$I$38-1,0)),IF(AND($L$37=0,$P$34=0),"",$L$37-1),IF($R$17="Distrato",$E281,0)),MIN(AD$38,$D$19),$P$20))-SUM($P281:AC281)</f>
        <v>#VALUE!</v>
      </c>
      <c r="AE281" s="446" t="e">
        <f>IF(OR($B281="",MIN(AE$38,$D$19)&lt;MAX($P$34*($B281+IF($R$17="Distrato",$I$38-1,0)),IF(AND($L$37=0,$P$34=0),"",$L$37-1),IF($R$17="Distrato",$E281,0))),0,YEARFRAC(MAX($P$34*($B281+IF($R$17="Distrato",$I$38-1,0)),IF(AND($L$37=0,$P$34=0),"",$L$37-1),IF($R$17="Distrato",$E281,0)),MIN(AE$38,$D$19),$P$20))-SUM($P281:AD281)</f>
        <v>#VALUE!</v>
      </c>
      <c r="AF281" s="446" t="e">
        <f>IF(OR($B281="",MIN(AF$38,$D$19)&lt;MAX($P$34*($B281+IF($R$17="Distrato",$I$38-1,0)),IF(AND($L$37=0,$P$34=0),"",$L$37-1),IF($R$17="Distrato",$E281,0))),0,YEARFRAC(MAX($P$34*($B281+IF($R$17="Distrato",$I$38-1,0)),IF(AND($L$37=0,$P$34=0),"",$L$37-1),IF($R$17="Distrato",$E281,0)),MIN(AF$38,$D$19),$P$20))-SUM($P281:AE281)</f>
        <v>#VALUE!</v>
      </c>
      <c r="AG281" s="446" t="e">
        <f>IF(OR($B281="",MIN(AG$38,$D$19)&lt;MAX($P$34*($B281+IF($R$17="Distrato",$I$38-1,0)),IF(AND($L$37=0,$P$34=0),"",$L$37-1),IF($R$17="Distrato",$E281,0))),0,YEARFRAC(MAX($P$34*($B281+IF($R$17="Distrato",$I$38-1,0)),IF(AND($L$37=0,$P$34=0),"",$L$37-1),IF($R$17="Distrato",$E281,0)),MIN(AG$38,$D$19),$P$20))-SUM($P281:AF281)</f>
        <v>#VALUE!</v>
      </c>
      <c r="AH281" s="446" t="e">
        <f>IF(OR($B281="",MIN(AH$38,$D$19)&lt;MAX($P$34*($B281+IF($R$17="Distrato",$I$38-1,0)),IF(AND($L$37=0,$P$34=0),"",$L$37-1),IF($R$17="Distrato",$E281,0))),0,YEARFRAC(MAX($P$34*($B281+IF($R$17="Distrato",$I$38-1,0)),IF(AND($L$37=0,$P$34=0),"",$L$37-1),IF($R$17="Distrato",$E281,0)),MIN(AH$38,$D$19),$P$20))-SUM($P281:AG281)</f>
        <v>#VALUE!</v>
      </c>
      <c r="AI281" s="446" t="e">
        <f>IF(OR($B281="",MIN(AI$38,$D$19)&lt;MAX($P$34*($B281+IF($R$17="Distrato",$I$38-1,0)),IF(AND($L$37=0,$P$34=0),"",$L$37-1),IF($R$17="Distrato",$E281,0))),0,YEARFRAC(MAX($P$34*($B281+IF($R$17="Distrato",$I$38-1,0)),IF(AND($L$37=0,$P$34=0),"",$L$37-1),IF($R$17="Distrato",$E281,0)),MIN(AI$38,$D$19),$P$20))-SUM($P281:AH281)</f>
        <v>#VALUE!</v>
      </c>
      <c r="AJ281" s="446" t="e">
        <f>IF(OR($B281="",MIN(AJ$38,$D$19)&lt;MAX($P$34*($B281+IF($R$17="Distrato",$I$38-1,0)),IF(AND($L$37=0,$P$34=0),"",$L$37-1),IF($R$17="Distrato",$E281,0))),0,YEARFRAC(MAX($P$34*($B281+IF($R$17="Distrato",$I$38-1,0)),IF(AND($L$37=0,$P$34=0),"",$L$37-1),IF($R$17="Distrato",$E281,0)),MIN(AJ$38,$D$19),$P$20))-SUM($P281:AI281)</f>
        <v>#VALUE!</v>
      </c>
      <c r="AK281" s="446" t="e">
        <f>IF(OR($B281="",MIN(AK$38,$D$19)&lt;MAX($P$34*($B281+IF($R$17="Distrato",$I$38-1,0)),IF(AND($L$37=0,$P$34=0),"",$L$37-1),IF($R$17="Distrato",$E281,0))),0,YEARFRAC(MAX($P$34*($B281+IF($R$17="Distrato",$I$38-1,0)),IF(AND($L$37=0,$P$34=0),"",$L$37-1),IF($R$17="Distrato",$E281,0)),MIN(AK$38,$D$19),$P$20))-SUM($P281:AJ281)</f>
        <v>#VALUE!</v>
      </c>
      <c r="AL281" s="446" t="e">
        <f>IF(OR($B281="",MIN(AL$38,$D$19)&lt;MAX($P$34*($B281+IF($R$17="Distrato",$I$38-1,0)),IF(AND($L$37=0,$P$34=0),"",$L$37-1),IF($R$17="Distrato",$E281,0))),0,YEARFRAC(MAX($P$34*($B281+IF($R$17="Distrato",$I$38-1,0)),IF(AND($L$37=0,$P$34=0),"",$L$37-1),IF($R$17="Distrato",$E281,0)),MIN(AL$38,$D$19),$P$20))-SUM($P281:AK281)</f>
        <v>#VALUE!</v>
      </c>
      <c r="AM281" s="446" t="e">
        <f>IF(OR($B281="",MIN(AM$38,$D$19)&lt;MAX($P$34*($B281+IF($R$17="Distrato",$I$38-1,0)),IF(AND($L$37=0,$P$34=0),"",$L$37-1),IF($R$17="Distrato",$E281,0))),0,YEARFRAC(MAX($P$34*($B281+IF($R$17="Distrato",$I$38-1,0)),IF(AND($L$37=0,$P$34=0),"",$L$37-1),IF($R$17="Distrato",$E281,0)),MIN(AM$38,$D$19),$P$20))-SUM($P281:AL281)</f>
        <v>#VALUE!</v>
      </c>
      <c r="AN281" s="446" t="e">
        <f>IF(OR($B281="",MIN(AN$38,$D$19)&lt;MAX($P$34*($B281+IF($R$17="Distrato",$I$38-1,0)),IF(AND($L$37=0,$P$34=0),"",$L$37-1),IF($R$17="Distrato",$E281,0))),0,YEARFRAC(MAX($P$34*($B281+IF($R$17="Distrato",$I$38-1,0)),IF(AND($L$37=0,$P$34=0),"",$L$37-1),IF($R$17="Distrato",$E281,0)),MIN(AN$38,$D$19),$P$20))-SUM($P281:AM281)</f>
        <v>#VALUE!</v>
      </c>
      <c r="AO281" s="446" t="e">
        <f>IF(OR($B281="",MIN(AO$38,$D$19)&lt;MAX($P$34*($B281+IF($R$17="Distrato",$I$38-1,0)),IF(AND($L$37=0,$P$34=0),"",$L$37-1),IF($R$17="Distrato",$E281,0))),0,YEARFRAC(MAX($P$34*($B281+IF($R$17="Distrato",$I$38-1,0)),IF(AND($L$37=0,$P$34=0),"",$L$37-1),IF($R$17="Distrato",$E281,0)),MIN(AO$38,$D$19),$P$20))-SUM($P281:AN281)</f>
        <v>#VALUE!</v>
      </c>
      <c r="AP281" s="446" t="e">
        <f>IF(OR($B281="",MIN(AP$38,$D$19)&lt;MAX($P$34*($B281+IF($R$17="Distrato",$I$38-1,0)),IF(AND($L$37=0,$P$34=0),"",$L$37-1),IF($R$17="Distrato",$E281,0))),0,YEARFRAC(MAX($P$34*($B281+IF($R$17="Distrato",$I$38-1,0)),IF(AND($L$37=0,$P$34=0),"",$L$37-1),IF($R$17="Distrato",$E281,0)),MIN(AP$38,$D$19),$P$20))-SUM($P281:AO281)</f>
        <v>#VALUE!</v>
      </c>
      <c r="AQ281" s="446" t="e">
        <f>IF(OR($B281="",MIN(AQ$38,$D$19)&lt;MAX($P$34*($B281+IF($R$17="Distrato",$I$38-1,0)),IF(AND($L$37=0,$P$34=0),"",$L$37-1),IF($R$17="Distrato",$E281,0))),0,YEARFRAC(MAX($P$34*($B281+IF($R$17="Distrato",$I$38-1,0)),IF(AND($L$37=0,$P$34=0),"",$L$37-1),IF($R$17="Distrato",$E281,0)),MIN(AQ$38,$D$19),$P$20))-SUM($P281:AP281)</f>
        <v>#VALUE!</v>
      </c>
      <c r="AR281" s="446" t="e">
        <f>IF(OR($B281="",MIN(AR$38,$D$19)&lt;MAX($P$34*($B281+IF($R$17="Distrato",$I$38-1,0)),IF(AND($L$37=0,$P$34=0),"",$L$37-1),IF($R$17="Distrato",$E281,0))),0,YEARFRAC(MAX($P$34*($B281+IF($R$17="Distrato",$I$38-1,0)),IF(AND($L$37=0,$P$34=0),"",$L$37-1),IF($R$17="Distrato",$E281,0)),MIN(AR$38,$D$19),$P$20))-SUM($P281:AQ281)</f>
        <v>#VALUE!</v>
      </c>
      <c r="AS281" s="446" t="e">
        <f>IF(OR($B281="",MIN(AS$38,$D$19)&lt;MAX($P$34*($B281+IF($R$17="Distrato",$I$38-1,0)),IF(AND($L$37=0,$P$34=0),"",$L$37-1),IF($R$17="Distrato",$E281,0))),0,YEARFRAC(MAX($P$34*($B281+IF($R$17="Distrato",$I$38-1,0)),IF(AND($L$37=0,$P$34=0),"",$L$37-1),IF($R$17="Distrato",$E281,0)),MIN(AS$38,$D$19),$P$20))-SUM($P281:AR281)</f>
        <v>#VALUE!</v>
      </c>
      <c r="AT281" s="446" t="e">
        <f>IF(OR($B281="",MIN(AT$38,$D$19)&lt;MAX($P$34*($B281+IF($R$17="Distrato",$I$38-1,0)),IF(AND($L$37=0,$P$34=0),"",$L$37-1),IF($R$17="Distrato",$E281,0))),0,YEARFRAC(MAX($P$34*($B281+IF($R$17="Distrato",$I$38-1,0)),IF(AND($L$37=0,$P$34=0),"",$L$37-1),IF($R$17="Distrato",$E281,0)),MIN(AT$38,$D$19),$P$20))-SUM($P281:AS281)</f>
        <v>#VALUE!</v>
      </c>
      <c r="AU281" s="446" t="e">
        <f>IF(OR($B281="",MIN(AU$38,$D$19)&lt;MAX($P$34*($B281+IF($R$17="Distrato",$I$38-1,0)),IF(AND($L$37=0,$P$34=0),"",$L$37-1),IF($R$17="Distrato",$E281,0))),0,YEARFRAC(MAX($P$34*($B281+IF($R$17="Distrato",$I$38-1,0)),IF(AND($L$37=0,$P$34=0),"",$L$37-1),IF($R$17="Distrato",$E281,0)),MIN(AU$38,$D$19),$P$20))-SUM($P281:AT281)</f>
        <v>#VALUE!</v>
      </c>
      <c r="AV281" s="446" t="e">
        <f>IF(OR($B281="",MIN(AV$38,$D$19)&lt;MAX($P$34*($B281+IF($R$17="Distrato",$I$38-1,0)),IF(AND($L$37=0,$P$34=0),"",$L$37-1),IF($R$17="Distrato",$E281,0))),0,YEARFRAC(MAX($P$34*($B281+IF($R$17="Distrato",$I$38-1,0)),IF(AND($L$37=0,$P$34=0),"",$L$37-1),IF($R$17="Distrato",$E281,0)),MIN(AV$38,$D$19),$P$20))-SUM($P281:AU281)</f>
        <v>#VALUE!</v>
      </c>
      <c r="AW281" s="446" t="e">
        <f>IF(OR($B281="",MIN(AW$38,$D$19)&lt;MAX($P$34*($B281+IF($R$17="Distrato",$I$38-1,0)),IF(AND($L$37=0,$P$34=0),"",$L$37-1),IF($R$17="Distrato",$E281,0))),0,YEARFRAC(MAX($P$34*($B281+IF($R$17="Distrato",$I$38-1,0)),IF(AND($L$37=0,$P$34=0),"",$L$37-1),IF($R$17="Distrato",$E281,0)),MIN(AW$38,$D$19),$P$20))-SUM($P281:AV281)</f>
        <v>#VALUE!</v>
      </c>
      <c r="AX281" s="446" t="e">
        <f>IF(OR($B281="",MIN(AX$38,$D$19)&lt;MAX($P$34*($B281+IF($R$17="Distrato",$I$38-1,0)),IF(AND($L$37=0,$P$34=0),"",$L$37-1),IF($R$17="Distrato",$E281,0))),0,YEARFRAC(MAX($P$34*($B281+IF($R$17="Distrato",$I$38-1,0)),IF(AND($L$37=0,$P$34=0),"",$L$37-1),IF($R$17="Distrato",$E281,0)),MIN(AX$38,$D$19),$P$20))-SUM($P281:AW281)</f>
        <v>#VALUE!</v>
      </c>
      <c r="AY281" s="446" t="e">
        <f>IF(OR($B281="",MIN(AY$38,$D$19)&lt;MAX($P$34*($B281+IF($R$17="Distrato",$I$38-1,0)),IF(AND($L$37=0,$P$34=0),"",$L$37-1),IF($R$17="Distrato",$E281,0))),0,YEARFRAC(MAX($P$34*($B281+IF($R$17="Distrato",$I$38-1,0)),IF(AND($L$37=0,$P$34=0),"",$L$37-1),IF($R$17="Distrato",$E281,0)),MIN(AY$38,$D$19),$P$20))-SUM($P281:AX281)</f>
        <v>#VALUE!</v>
      </c>
      <c r="AZ281" s="446" t="e">
        <f>IF(OR($B281="",MIN(AZ$38,$D$19)&lt;MAX($P$34*($B281+IF($R$17="Distrato",$I$38-1,0)),IF(AND($L$37=0,$P$34=0),"",$L$37-1),IF($R$17="Distrato",$E281,0))),0,YEARFRAC(MAX($P$34*($B281+IF($R$17="Distrato",$I$38-1,0)),IF(AND($L$37=0,$P$34=0),"",$L$37-1),IF($R$17="Distrato",$E281,0)),MIN(AZ$38,$D$19),$P$20))-SUM($P281:AY281)</f>
        <v>#VALUE!</v>
      </c>
      <c r="BA281" s="446" t="e">
        <f>IF(OR($B281="",MIN(BA$38,$D$19)&lt;MAX($P$34*($B281+IF($R$17="Distrato",$I$38-1,0)),IF(AND($L$37=0,$P$34=0),"",$L$37-1),IF($R$17="Distrato",$E281,0))),0,YEARFRAC(MAX($P$34*($B281+IF($R$17="Distrato",$I$38-1,0)),IF(AND($L$37=0,$P$34=0),"",$L$37-1),IF($R$17="Distrato",$E281,0)),MIN(BA$38,$D$19),$P$20))-SUM($P281:AZ281)</f>
        <v>#VALUE!</v>
      </c>
      <c r="BB281" s="447"/>
      <c r="BF281" s="446">
        <f t="shared" si="43"/>
        <v>0</v>
      </c>
      <c r="BG281" s="446">
        <f>IF($E281=0,0,IF(MIN(BG$38,$E281)&lt;MAX($P$34*($B281+$I$38-1),IF(AND($L$37=0,$P$34=0),"",$L$37-1)),0,YEARFRAC(MAX($P$34*($B281+$I$38-1),IF(AND($L$37=0,$P$34=0),"",$L$37-1)),MIN(BG$38,$E281),$P$20))-SUM($BF281:BF281))</f>
        <v>0</v>
      </c>
      <c r="BH281" s="446">
        <f>IF($E281=0,0,IF(MIN(BH$38,$E281)&lt;MAX($P$34*($B281+$I$38-1),IF(AND($L$37=0,$P$34=0),"",$L$37-1)),0,YEARFRAC(MAX($P$34*($B281+$I$38-1),IF(AND($L$37=0,$P$34=0),"",$L$37-1)),MIN(BH$38,$E281),$P$20))-SUM($BF281:BG281))</f>
        <v>0</v>
      </c>
      <c r="BI281" s="446">
        <f>IF($E281=0,0,IF(MIN(BI$38,$E281)&lt;MAX($P$34*($B281+$I$38-1),IF(AND($L$37=0,$P$34=0),"",$L$37-1)),0,YEARFRAC(MAX($P$34*($B281+$I$38-1),IF(AND($L$37=0,$P$34=0),"",$L$37-1)),MIN(BI$38,$E281),$P$20))-SUM($BF281:BH281))</f>
        <v>0</v>
      </c>
      <c r="BJ281" s="446">
        <f>IF($E281=0,0,IF(MIN(BJ$38,$E281)&lt;MAX($P$34*($B281+$I$38-1),IF(AND($L$37=0,$P$34=0),"",$L$37-1)),0,YEARFRAC(MAX($P$34*($B281+$I$38-1),IF(AND($L$37=0,$P$34=0),"",$L$37-1)),MIN(BJ$38,$E281),$P$20))-SUM($BF281:BI281))</f>
        <v>0</v>
      </c>
      <c r="BK281" s="446">
        <f>IF($E281=0,0,IF(MIN(BK$38,$E281)&lt;MAX($P$34*($B281+$I$38-1),IF(AND($L$37=0,$P$34=0),"",$L$37-1)),0,YEARFRAC(MAX($P$34*($B281+$I$38-1),IF(AND($L$37=0,$P$34=0),"",$L$37-1)),MIN(BK$38,$E281),$P$20))-SUM($BF281:BJ281))</f>
        <v>0</v>
      </c>
      <c r="BL281" s="446">
        <f>IF($E281=0,0,IF(MIN(BL$38,$E281)&lt;MAX($P$34*($B281+$I$38-1),IF(AND($L$37=0,$P$34=0),"",$L$37-1)),0,YEARFRAC(MAX($P$34*($B281+$I$38-1),IF(AND($L$37=0,$P$34=0),"",$L$37-1)),MIN(BL$38,$E281),$P$20))-SUM($BF281:BK281))</f>
        <v>0</v>
      </c>
      <c r="BM281" s="446">
        <f>IF($E281=0,0,IF(MIN(BM$38,$E281)&lt;MAX($P$34*($B281+$I$38-1),IF(AND($L$37=0,$P$34=0),"",$L$37-1)),0,YEARFRAC(MAX($P$34*($B281+$I$38-1),IF(AND($L$37=0,$P$34=0),"",$L$37-1)),MIN(BM$38,$E281),$P$20))-SUM($BF281:BL281))</f>
        <v>0</v>
      </c>
      <c r="BN281" s="446">
        <f>IF($E281=0,0,IF(MIN(BN$38,$E281)&lt;MAX($P$34*($B281+$I$38-1),IF(AND($L$37=0,$P$34=0),"",$L$37-1)),0,YEARFRAC(MAX($P$34*($B281+$I$38-1),IF(AND($L$37=0,$P$34=0),"",$L$37-1)),MIN(BN$38,$E281),$P$20))-SUM($BF281:BM281))</f>
        <v>0</v>
      </c>
      <c r="BO281" s="446">
        <f>IF($E281=0,0,IF(MIN(BO$38,$E281)&lt;MAX($P$34*($B281+$I$38-1),IF(AND($L$37=0,$P$34=0),"",$L$37-1)),0,YEARFRAC(MAX($P$34*($B281+$I$38-1),IF(AND($L$37=0,$P$34=0),"",$L$37-1)),MIN(BO$38,$E281),$P$20))-SUM($BF281:BN281))</f>
        <v>0</v>
      </c>
      <c r="BP281" s="446">
        <f>IF($E281=0,0,IF(MIN(BP$38,$E281)&lt;MAX($P$34*($B281+$I$38-1),IF(AND($L$37=0,$P$34=0),"",$L$37-1)),0,YEARFRAC(MAX($P$34*($B281+$I$38-1),IF(AND($L$37=0,$P$34=0),"",$L$37-1)),MIN(BP$38,$E281),$P$20))-SUM($BF281:BO281))</f>
        <v>0</v>
      </c>
      <c r="BQ281" s="446">
        <f>IF($E281=0,0,IF(MIN(BQ$38,$E281)&lt;MAX($P$34*($B281+$I$38-1),IF(AND($L$37=0,$P$34=0),"",$L$37-1)),0,YEARFRAC(MAX($P$34*($B281+$I$38-1),IF(AND($L$37=0,$P$34=0),"",$L$37-1)),MIN(BQ$38,$E281),$P$20))-SUM($BF281:BP281))</f>
        <v>0</v>
      </c>
      <c r="BR281" s="446">
        <f>IF($E281=0,0,IF(MIN(BR$38,$E281)&lt;MAX($P$34*($B281+$I$38-1),IF(AND($L$37=0,$P$34=0),"",$L$37-1)),0,YEARFRAC(MAX($P$34*($B281+$I$38-1),IF(AND($L$37=0,$P$34=0),"",$L$37-1)),MIN(BR$38,$E281),$P$20))-SUM($BF281:BQ281))</f>
        <v>0</v>
      </c>
      <c r="BS281" s="446">
        <f>IF($E281=0,0,IF(MIN(BS$38,$E281)&lt;MAX($P$34*($B281+$I$38-1),IF(AND($L$37=0,$P$34=0),"",$L$37-1)),0,YEARFRAC(MAX($P$34*($B281+$I$38-1),IF(AND($L$37=0,$P$34=0),"",$L$37-1)),MIN(BS$38,$E281),$P$20))-SUM($BF281:BR281))</f>
        <v>0</v>
      </c>
      <c r="BT281" s="446">
        <f>IF($E281=0,0,IF(MIN(BT$38,$E281)&lt;MAX($P$34*($B281+$I$38-1),IF(AND($L$37=0,$P$34=0),"",$L$37-1)),0,YEARFRAC(MAX($P$34*($B281+$I$38-1),IF(AND($L$37=0,$P$34=0),"",$L$37-1)),MIN(BT$38,$E281),$P$20))-SUM($BF281:BS281))</f>
        <v>0</v>
      </c>
      <c r="BU281" s="446">
        <f>IF($E281=0,0,IF(MIN(BU$38,$E281)&lt;MAX($P$34*($B281+$I$38-1),IF(AND($L$37=0,$P$34=0),"",$L$37-1)),0,YEARFRAC(MAX($P$34*($B281+$I$38-1),IF(AND($L$37=0,$P$34=0),"",$L$37-1)),MIN(BU$38,$E281),$P$20))-SUM($BF281:BT281))</f>
        <v>0</v>
      </c>
      <c r="BV281" s="446">
        <f>IF($E281=0,0,IF(MIN(BV$38,$E281)&lt;MAX($P$34*($B281+$I$38-1),IF(AND($L$37=0,$P$34=0),"",$L$37-1)),0,YEARFRAC(MAX($P$34*($B281+$I$38-1),IF(AND($L$37=0,$P$34=0),"",$L$37-1)),MIN(BV$38,$E281),$P$20))-SUM($BF281:BU281))</f>
        <v>0</v>
      </c>
      <c r="BW281" s="446">
        <f>IF($E281=0,0,IF(MIN(BW$38,$E281)&lt;MAX($P$34*($B281+$I$38-1),IF(AND($L$37=0,$P$34=0),"",$L$37-1)),0,YEARFRAC(MAX($P$34*($B281+$I$38-1),IF(AND($L$37=0,$P$34=0),"",$L$37-1)),MIN(BW$38,$E281),$P$20))-SUM($BF281:BV281))</f>
        <v>0</v>
      </c>
      <c r="BX281" s="446">
        <f>IF($E281=0,0,IF(MIN(BX$38,$E281)&lt;MAX($P$34*($B281+$I$38-1),IF(AND($L$37=0,$P$34=0),"",$L$37-1)),0,YEARFRAC(MAX($P$34*($B281+$I$38-1),IF(AND($L$37=0,$P$34=0),"",$L$37-1)),MIN(BX$38,$E281),$P$20))-SUM($BF281:BW281))</f>
        <v>0</v>
      </c>
      <c r="BY281" s="446">
        <f>IF($E281=0,0,IF(MIN(BY$38,$E281)&lt;MAX($P$34*($B281+$I$38-1),IF(AND($L$37=0,$P$34=0),"",$L$37-1)),0,YEARFRAC(MAX($P$34*($B281+$I$38-1),IF(AND($L$37=0,$P$34=0),"",$L$37-1)),MIN(BY$38,$E281),$P$20))-SUM($BF281:BX281))</f>
        <v>0</v>
      </c>
      <c r="BZ281" s="446">
        <f>IF($E281=0,0,IF(MIN(BZ$38,$E281)&lt;MAX($P$34*($B281+$I$38-1),IF(AND($L$37=0,$P$34=0),"",$L$37-1)),0,YEARFRAC(MAX($P$34*($B281+$I$38-1),IF(AND($L$37=0,$P$34=0),"",$L$37-1)),MIN(BZ$38,$E281),$P$20))-SUM($BF281:BY281))</f>
        <v>0</v>
      </c>
      <c r="CA281" s="446">
        <f>IF($E281=0,0,IF(MIN(CA$38,$E281)&lt;MAX($P$34*($B281+$I$38-1),IF(AND($L$37=0,$P$34=0),"",$L$37-1)),0,YEARFRAC(MAX($P$34*($B281+$I$38-1),IF(AND($L$37=0,$P$34=0),"",$L$37-1)),MIN(CA$38,$E281),$P$20))-SUM($BF281:BZ281))</f>
        <v>0</v>
      </c>
      <c r="CB281" s="446">
        <f>IF($E281=0,0,IF(MIN(CB$38,$E281)&lt;MAX($P$34*($B281+$I$38-1),IF(AND($L$37=0,$P$34=0),"",$L$37-1)),0,YEARFRAC(MAX($P$34*($B281+$I$38-1),IF(AND($L$37=0,$P$34=0),"",$L$37-1)),MIN(CB$38,$E281),$P$20))-SUM($BF281:CA281))</f>
        <v>0</v>
      </c>
      <c r="CC281" s="446">
        <f>IF($E281=0,0,IF(MIN(CC$38,$E281)&lt;MAX($P$34*($B281+$I$38-1),IF(AND($L$37=0,$P$34=0),"",$L$37-1)),0,YEARFRAC(MAX($P$34*($B281+$I$38-1),IF(AND($L$37=0,$P$34=0),"",$L$37-1)),MIN(CC$38,$E281),$P$20))-SUM($BF281:CB281))</f>
        <v>0</v>
      </c>
      <c r="CD281" s="446">
        <f>IF($E281=0,0,IF(MIN(CD$38,$E281)&lt;MAX($P$34*($B281+$I$38-1),IF(AND($L$37=0,$P$34=0),"",$L$37-1)),0,YEARFRAC(MAX($P$34*($B281+$I$38-1),IF(AND($L$37=0,$P$34=0),"",$L$37-1)),MIN(CD$38,$E281),$P$20))-SUM($BF281:CC281))</f>
        <v>0</v>
      </c>
      <c r="CE281" s="446">
        <f>IF($E281=0,0,IF(MIN(CE$38,$E281)&lt;MAX($P$34*($B281+$I$38-1),IF(AND($L$37=0,$P$34=0),"",$L$37-1)),0,YEARFRAC(MAX($P$34*($B281+$I$38-1),IF(AND($L$37=0,$P$34=0),"",$L$37-1)),MIN(CE$38,$E281),$P$20))-SUM($BF281:CD281))</f>
        <v>0</v>
      </c>
      <c r="CF281" s="446">
        <f>IF($E281=0,0,IF(MIN(CF$38,$E281)&lt;MAX($P$34*($B281+$I$38-1),IF(AND($L$37=0,$P$34=0),"",$L$37-1)),0,YEARFRAC(MAX($P$34*($B281+$I$38-1),IF(AND($L$37=0,$P$34=0),"",$L$37-1)),MIN(CF$38,$E281),$P$20))-SUM($BF281:CE281))</f>
        <v>0</v>
      </c>
      <c r="CG281" s="446">
        <f>IF($E281=0,0,IF(MIN(CG$38,$E281)&lt;MAX($P$34*($B281+$I$38-1),IF(AND($L$37=0,$P$34=0),"",$L$37-1)),0,YEARFRAC(MAX($P$34*($B281+$I$38-1),IF(AND($L$37=0,$P$34=0),"",$L$37-1)),MIN(CG$38,$E281),$P$20))-SUM($BF281:CF281))</f>
        <v>0</v>
      </c>
      <c r="CH281" s="446">
        <f>IF($E281=0,0,IF(MIN(CH$38,$E281)&lt;MAX($P$34*($B281+$I$38-1),IF(AND($L$37=0,$P$34=0),"",$L$37-1)),0,YEARFRAC(MAX($P$34*($B281+$I$38-1),IF(AND($L$37=0,$P$34=0),"",$L$37-1)),MIN(CH$38,$E281),$P$20))-SUM($BF281:CG281))</f>
        <v>0</v>
      </c>
      <c r="CI281" s="446">
        <f>IF($E281=0,0,IF(MIN(CI$38,$E281)&lt;MAX($P$34*($B281+$I$38-1),IF(AND($L$37=0,$P$34=0),"",$L$37-1)),0,YEARFRAC(MAX($P$34*($B281+$I$38-1),IF(AND($L$37=0,$P$34=0),"",$L$37-1)),MIN(CI$38,$E281),$P$20))-SUM($BF281:CH281))</f>
        <v>0</v>
      </c>
      <c r="CJ281" s="446">
        <f>IF($E281=0,0,IF(MIN(CJ$38,$E281)&lt;MAX($P$34*($B281+$I$38-1),IF(AND($L$37=0,$P$34=0),"",$L$37-1)),0,YEARFRAC(MAX($P$34*($B281+$I$38-1),IF(AND($L$37=0,$P$34=0),"",$L$37-1)),MIN(CJ$38,$E281),$P$20))-SUM($BF281:CI281))</f>
        <v>0</v>
      </c>
      <c r="CK281" s="446">
        <f>IF($E281=0,0,IF(MIN(CK$38,$E281)&lt;MAX($P$34*($B281+$I$38-1),IF(AND($L$37=0,$P$34=0),"",$L$37-1)),0,YEARFRAC(MAX($P$34*($B281+$I$38-1),IF(AND($L$37=0,$P$34=0),"",$L$37-1)),MIN(CK$38,$E281),$P$20))-SUM($BF281:CJ281))</f>
        <v>0</v>
      </c>
      <c r="CL281" s="446">
        <f>IF($E281=0,0,IF(MIN(CL$38,$E281)&lt;MAX($P$34*($B281+$I$38-1),IF(AND($L$37=0,$P$34=0),"",$L$37-1)),0,YEARFRAC(MAX($P$34*($B281+$I$38-1),IF(AND($L$37=0,$P$34=0),"",$L$37-1)),MIN(CL$38,$E281),$P$20))-SUM($BF281:CK281))</f>
        <v>0</v>
      </c>
      <c r="CM281" s="446">
        <f>IF($E281=0,0,IF(MIN(CM$38,$E281)&lt;MAX($P$34*($B281+$I$38-1),IF(AND($L$37=0,$P$34=0),"",$L$37-1)),0,YEARFRAC(MAX($P$34*($B281+$I$38-1),IF(AND($L$37=0,$P$34=0),"",$L$37-1)),MIN(CM$38,$E281),$P$20))-SUM($BF281:CL281))</f>
        <v>0</v>
      </c>
      <c r="CN281" s="446">
        <f>IF($E281=0,0,IF(MIN(CN$38,$E281)&lt;MAX($P$34*($B281+$I$38-1),IF(AND($L$37=0,$P$34=0),"",$L$37-1)),0,YEARFRAC(MAX($P$34*($B281+$I$38-1),IF(AND($L$37=0,$P$34=0),"",$L$37-1)),MIN(CN$38,$E281),$P$20))-SUM($BF281:CM281))</f>
        <v>0</v>
      </c>
      <c r="CO281" s="446">
        <f>IF($E281=0,0,IF(MIN(CO$38,$E281)&lt;MAX($P$34*($B281+$I$38-1),IF(AND($L$37=0,$P$34=0),"",$L$37-1)),0,YEARFRAC(MAX($P$34*($B281+$I$38-1),IF(AND($L$37=0,$P$34=0),"",$L$37-1)),MIN(CO$38,$E281),$P$20))-SUM($BF281:CN281))</f>
        <v>0</v>
      </c>
      <c r="CP281" s="446">
        <f>IF($E281=0,0,IF(MIN(CP$38,$E281)&lt;MAX($P$34*($B281+$I$38-1),IF(AND($L$37=0,$P$34=0),"",$L$37-1)),0,YEARFRAC(MAX($P$34*($B281+$I$38-1),IF(AND($L$37=0,$P$34=0),"",$L$37-1)),MIN(CP$38,$E281),$P$20))-SUM($BF281:CO281))</f>
        <v>0</v>
      </c>
      <c r="CQ281" s="446">
        <f>IF($E281=0,0,IF(MIN(CQ$38,$E281)&lt;MAX($P$34*($B281+$I$38-1),IF(AND($L$37=0,$P$34=0),"",$L$37-1)),0,YEARFRAC(MAX($P$34*($B281+$I$38-1),IF(AND($L$37=0,$P$34=0),"",$L$37-1)),MIN(CQ$38,$E281),$P$20))-SUM($BF281:CP281))</f>
        <v>0</v>
      </c>
    </row>
    <row r="282" spans="1:95" s="446" customFormat="1" ht="11.25" hidden="1" customHeight="1" x14ac:dyDescent="0.2">
      <c r="A282" s="152"/>
      <c r="B282" s="153" t="str">
        <f t="shared" si="48"/>
        <v/>
      </c>
      <c r="C282" s="29" t="str">
        <f>IF(B282="","",IF($L$35="SELIC - TRIBUTOS",VLOOKUP(DATE(YEAR($D$19),MONTH($D$19)-1,1),ÍNDICES!$A:$DE,HLOOKUP($BL$25,ÍNDICES!$B$3:$T$4,2)+11)-VLOOKUP(B282,ÍNDICES!$A:$DE,HLOOKUP($BL$25,ÍNDICES!$B$3:$T$4,2)+11)+1%,IF(C$38=$W$26,$J$35,IF(ISERROR(IF(B282&gt;$D$19,1,VLOOKUP(DATE(YEAR(B282),MONTH(B282)+IF($C$35=$S$23,1,0),1),ÍNDICES!$A:$DE,$Z$35+1))),"",IF(B282&gt;$D$19,1,VLOOKUP(DATE(YEAR(B282),MONTH(B282)+IF($C$35=$S$23,1,0),1),ÍNDICES!$A:$DE,$Z$35+1))))))</f>
        <v/>
      </c>
      <c r="D282" s="154" t="str">
        <f>IF(ISERROR(IF(OR($D$38=$Y$27,$B282=""),"",VLOOKUP(B282,ÍNDICES!A:DE,AF$35+1))),"",IF(OR($D$38=$Y$27,$B282=""),"",VLOOKUP(B282,ÍNDICES!A:DE,AF$35+1)))</f>
        <v/>
      </c>
      <c r="E282" s="153"/>
      <c r="F282" s="29" t="str">
        <f>IF(E282="","",IF($L$35="SELIC - TRIBUTOS",VLOOKUP(DATE(YEAR($D$19),MONTH($D$19)-1,1),ÍNDICES!$A:$DE,HLOOKUP($BL$25,ÍNDICES!$B$3:$T$4,2)+11)-VLOOKUP(E282,ÍNDICES!$A:$DE,HLOOKUP($BL$25,ÍNDICES!$B$3:$T$4,2)+11)+1%,IF(F$38=$W$26,$J$35,IF(ISERROR(IF(E282&gt;$D$19,1,VLOOKUP(DATE(YEAR(E282),MONTH(E282)+IF($C$35=$S$23,1,0),1),ÍNDICES!$A:$DE,$Z$35+1))),"",IF(E282&gt;$D$19,1,VLOOKUP(DATE(YEAR(E282),MONTH(E282)+IF($C$35=$S$23,1,0),1),ÍNDICES!$A:$DE,$Z$35+1))))))</f>
        <v/>
      </c>
      <c r="G282" s="155"/>
      <c r="H282" s="156" t="str">
        <f t="shared" si="44"/>
        <v/>
      </c>
      <c r="I282" s="29" t="str">
        <f t="shared" si="38"/>
        <v/>
      </c>
      <c r="J282" s="5">
        <f t="shared" si="39"/>
        <v>0</v>
      </c>
      <c r="K282" s="20">
        <f t="shared" ca="1" si="40"/>
        <v>0</v>
      </c>
      <c r="L282" s="5">
        <f t="shared" ca="1" si="41"/>
        <v>0</v>
      </c>
      <c r="M282" s="64">
        <f t="shared" si="45"/>
        <v>0</v>
      </c>
      <c r="N282" s="61">
        <f t="shared" ca="1" si="46"/>
        <v>0</v>
      </c>
      <c r="O282" s="5">
        <f t="shared" ca="1" si="47"/>
        <v>0</v>
      </c>
      <c r="P282" s="446" t="e">
        <f t="shared" si="42"/>
        <v>#VALUE!</v>
      </c>
      <c r="Q282" s="446" t="e">
        <f>IF(OR($B282="",MIN(Q$38,$D$19)&lt;MAX($P$34*($B282+IF($R$17="Distrato",$I$38-1,0)),IF(AND($L$37=0,$P$34=0),"",$L$37-1),IF($R$17="Distrato",$E282,0))),0,YEARFRAC(MAX($P$34*($B282+IF($R$17="Distrato",$I$38-1,0)),IF(AND($L$37=0,$P$34=0),"",$L$37-1),IF($R$17="Distrato",$E282,0)),MIN(Q$38,$D$19),$P$20))-SUM($P282:P282)</f>
        <v>#VALUE!</v>
      </c>
      <c r="R282" s="446" t="e">
        <f>IF(OR($B282="",MIN(R$38,$D$19)&lt;MAX($P$34*($B282+IF($R$17="Distrato",$I$38-1,0)),IF(AND($L$37=0,$P$34=0),"",$L$37-1),IF($R$17="Distrato",$E282,0))),0,YEARFRAC(MAX($P$34*($B282+IF($R$17="Distrato",$I$38-1,0)),IF(AND($L$37=0,$P$34=0),"",$L$37-1),IF($R$17="Distrato",$E282,0)),MIN(R$38,$D$19),$P$20))-SUM($P282:Q282)</f>
        <v>#VALUE!</v>
      </c>
      <c r="S282" s="446" t="e">
        <f>IF(OR($B282="",MIN(S$38,$D$19)&lt;MAX($P$34*($B282+IF($R$17="Distrato",$I$38-1,0)),IF(AND($L$37=0,$P$34=0),"",$L$37-1),IF($R$17="Distrato",$E282,0))),0,YEARFRAC(MAX($P$34*($B282+IF($R$17="Distrato",$I$38-1,0)),IF(AND($L$37=0,$P$34=0),"",$L$37-1),IF($R$17="Distrato",$E282,0)),MIN(S$38,$D$19),$P$20))-SUM($P282:R282)</f>
        <v>#VALUE!</v>
      </c>
      <c r="T282" s="446" t="e">
        <f>IF(OR($B282="",MIN(T$38,$D$19)&lt;MAX($P$34*($B282+IF($R$17="Distrato",$I$38-1,0)),IF(AND($L$37=0,$P$34=0),"",$L$37-1),IF($R$17="Distrato",$E282,0))),0,YEARFRAC(MAX($P$34*($B282+IF($R$17="Distrato",$I$38-1,0)),IF(AND($L$37=0,$P$34=0),"",$L$37-1),IF($R$17="Distrato",$E282,0)),MIN(T$38,$D$19),$P$20))-SUM($P282:S282)</f>
        <v>#VALUE!</v>
      </c>
      <c r="U282" s="446" t="e">
        <f>IF(OR($B282="",MIN(U$38,$D$19)&lt;MAX($P$34*($B282+IF($R$17="Distrato",$I$38-1,0)),IF(AND($L$37=0,$P$34=0),"",$L$37-1),IF($R$17="Distrato",$E282,0))),0,YEARFRAC(MAX($P$34*($B282+IF($R$17="Distrato",$I$38-1,0)),IF(AND($L$37=0,$P$34=0),"",$L$37-1),IF($R$17="Distrato",$E282,0)),MIN(U$38,$D$19),$P$20))-SUM($P282:T282)</f>
        <v>#VALUE!</v>
      </c>
      <c r="V282" s="446" t="e">
        <f>IF(OR($B282="",MIN(V$38,$D$19)&lt;MAX($P$34*($B282+IF($R$17="Distrato",$I$38-1,0)),IF(AND($L$37=0,$P$34=0),"",$L$37-1),IF($R$17="Distrato",$E282,0))),0,YEARFRAC(MAX($P$34*($B282+IF($R$17="Distrato",$I$38-1,0)),IF(AND($L$37=0,$P$34=0),"",$L$37-1),IF($R$17="Distrato",$E282,0)),MIN(V$38,$D$19),$P$20))-SUM($P282:U282)</f>
        <v>#VALUE!</v>
      </c>
      <c r="W282" s="446" t="e">
        <f>IF(OR($B282="",MIN(W$38,$D$19)&lt;MAX($P$34*($B282+IF($R$17="Distrato",$I$38-1,0)),IF(AND($L$37=0,$P$34=0),"",$L$37-1),IF($R$17="Distrato",$E282,0))),0,YEARFRAC(MAX($P$34*($B282+IF($R$17="Distrato",$I$38-1,0)),IF(AND($L$37=0,$P$34=0),"",$L$37-1),IF($R$17="Distrato",$E282,0)),MIN(W$38,$D$19),$P$20))-SUM($P282:V282)</f>
        <v>#VALUE!</v>
      </c>
      <c r="X282" s="446" t="e">
        <f>IF(OR($B282="",MIN(X$38,$D$19)&lt;MAX($P$34*($B282+IF($R$17="Distrato",$I$38-1,0)),IF(AND($L$37=0,$P$34=0),"",$L$37-1),IF($R$17="Distrato",$E282,0))),0,YEARFRAC(MAX($P$34*($B282+IF($R$17="Distrato",$I$38-1,0)),IF(AND($L$37=0,$P$34=0),"",$L$37-1),IF($R$17="Distrato",$E282,0)),MIN(X$38,$D$19),$P$20))-SUM($P282:W282)</f>
        <v>#VALUE!</v>
      </c>
      <c r="Y282" s="446" t="e">
        <f>IF(OR($B282="",MIN(Y$38,$D$19)&lt;MAX($P$34*($B282+IF($R$17="Distrato",$I$38-1,0)),IF(AND($L$37=0,$P$34=0),"",$L$37-1),IF($R$17="Distrato",$E282,0))),0,YEARFRAC(MAX($P$34*($B282+IF($R$17="Distrato",$I$38-1,0)),IF(AND($L$37=0,$P$34=0),"",$L$37-1),IF($R$17="Distrato",$E282,0)),MIN(Y$38,$D$19),$P$20))-SUM($P282:X282)</f>
        <v>#VALUE!</v>
      </c>
      <c r="Z282" s="446" t="e">
        <f>IF(OR($B282="",MIN(Z$38,$D$19)&lt;MAX($P$34*($B282+IF($R$17="Distrato",$I$38-1,0)),IF(AND($L$37=0,$P$34=0),"",$L$37-1),IF($R$17="Distrato",$E282,0))),0,YEARFRAC(MAX($P$34*($B282+IF($R$17="Distrato",$I$38-1,0)),IF(AND($L$37=0,$P$34=0),"",$L$37-1),IF($R$17="Distrato",$E282,0)),MIN(Z$38,$D$19),$P$20))-SUM($P282:Y282)</f>
        <v>#VALUE!</v>
      </c>
      <c r="AA282" s="446" t="e">
        <f>IF(OR($B282="",MIN(AA$38,$D$19)&lt;MAX($P$34*($B282+IF($R$17="Distrato",$I$38-1,0)),IF(AND($L$37=0,$P$34=0),"",$L$37-1),IF($R$17="Distrato",$E282,0))),0,YEARFRAC(MAX($P$34*($B282+IF($R$17="Distrato",$I$38-1,0)),IF(AND($L$37=0,$P$34=0),"",$L$37-1),IF($R$17="Distrato",$E282,0)),MIN(AA$38,$D$19),$P$20))-SUM($P282:Z282)</f>
        <v>#VALUE!</v>
      </c>
      <c r="AB282" s="446" t="e">
        <f>IF(OR($B282="",MIN(AB$38,$D$19)&lt;MAX($P$34*($B282+IF($R$17="Distrato",$I$38-1,0)),IF(AND($L$37=0,$P$34=0),"",$L$37-1),IF($R$17="Distrato",$E282,0))),0,YEARFRAC(MAX($P$34*($B282+IF($R$17="Distrato",$I$38-1,0)),IF(AND($L$37=0,$P$34=0),"",$L$37-1),IF($R$17="Distrato",$E282,0)),MIN(AB$38,$D$19),$P$20))-SUM($P282:AA282)</f>
        <v>#VALUE!</v>
      </c>
      <c r="AC282" s="446" t="e">
        <f>IF(OR($B282="",MIN(AC$38,$D$19)&lt;MAX($P$34*($B282+IF($R$17="Distrato",$I$38-1,0)),IF(AND($L$37=0,$P$34=0),"",$L$37-1),IF($R$17="Distrato",$E282,0))),0,YEARFRAC(MAX($P$34*($B282+IF($R$17="Distrato",$I$38-1,0)),IF(AND($L$37=0,$P$34=0),"",$L$37-1),IF($R$17="Distrato",$E282,0)),MIN(AC$38,$D$19),$P$20))-SUM($P282:AB282)</f>
        <v>#VALUE!</v>
      </c>
      <c r="AD282" s="446" t="e">
        <f>IF(OR($B282="",MIN(AD$38,$D$19)&lt;MAX($P$34*($B282+IF($R$17="Distrato",$I$38-1,0)),IF(AND($L$37=0,$P$34=0),"",$L$37-1),IF($R$17="Distrato",$E282,0))),0,YEARFRAC(MAX($P$34*($B282+IF($R$17="Distrato",$I$38-1,0)),IF(AND($L$37=0,$P$34=0),"",$L$37-1),IF($R$17="Distrato",$E282,0)),MIN(AD$38,$D$19),$P$20))-SUM($P282:AC282)</f>
        <v>#VALUE!</v>
      </c>
      <c r="AE282" s="446" t="e">
        <f>IF(OR($B282="",MIN(AE$38,$D$19)&lt;MAX($P$34*($B282+IF($R$17="Distrato",$I$38-1,0)),IF(AND($L$37=0,$P$34=0),"",$L$37-1),IF($R$17="Distrato",$E282,0))),0,YEARFRAC(MAX($P$34*($B282+IF($R$17="Distrato",$I$38-1,0)),IF(AND($L$37=0,$P$34=0),"",$L$37-1),IF($R$17="Distrato",$E282,0)),MIN(AE$38,$D$19),$P$20))-SUM($P282:AD282)</f>
        <v>#VALUE!</v>
      </c>
      <c r="AF282" s="446" t="e">
        <f>IF(OR($B282="",MIN(AF$38,$D$19)&lt;MAX($P$34*($B282+IF($R$17="Distrato",$I$38-1,0)),IF(AND($L$37=0,$P$34=0),"",$L$37-1),IF($R$17="Distrato",$E282,0))),0,YEARFRAC(MAX($P$34*($B282+IF($R$17="Distrato",$I$38-1,0)),IF(AND($L$37=0,$P$34=0),"",$L$37-1),IF($R$17="Distrato",$E282,0)),MIN(AF$38,$D$19),$P$20))-SUM($P282:AE282)</f>
        <v>#VALUE!</v>
      </c>
      <c r="AG282" s="446" t="e">
        <f>IF(OR($B282="",MIN(AG$38,$D$19)&lt;MAX($P$34*($B282+IF($R$17="Distrato",$I$38-1,0)),IF(AND($L$37=0,$P$34=0),"",$L$37-1),IF($R$17="Distrato",$E282,0))),0,YEARFRAC(MAX($P$34*($B282+IF($R$17="Distrato",$I$38-1,0)),IF(AND($L$37=0,$P$34=0),"",$L$37-1),IF($R$17="Distrato",$E282,0)),MIN(AG$38,$D$19),$P$20))-SUM($P282:AF282)</f>
        <v>#VALUE!</v>
      </c>
      <c r="AH282" s="446" t="e">
        <f>IF(OR($B282="",MIN(AH$38,$D$19)&lt;MAX($P$34*($B282+IF($R$17="Distrato",$I$38-1,0)),IF(AND($L$37=0,$P$34=0),"",$L$37-1),IF($R$17="Distrato",$E282,0))),0,YEARFRAC(MAX($P$34*($B282+IF($R$17="Distrato",$I$38-1,0)),IF(AND($L$37=0,$P$34=0),"",$L$37-1),IF($R$17="Distrato",$E282,0)),MIN(AH$38,$D$19),$P$20))-SUM($P282:AG282)</f>
        <v>#VALUE!</v>
      </c>
      <c r="AI282" s="446" t="e">
        <f>IF(OR($B282="",MIN(AI$38,$D$19)&lt;MAX($P$34*($B282+IF($R$17="Distrato",$I$38-1,0)),IF(AND($L$37=0,$P$34=0),"",$L$37-1),IF($R$17="Distrato",$E282,0))),0,YEARFRAC(MAX($P$34*($B282+IF($R$17="Distrato",$I$38-1,0)),IF(AND($L$37=0,$P$34=0),"",$L$37-1),IF($R$17="Distrato",$E282,0)),MIN(AI$38,$D$19),$P$20))-SUM($P282:AH282)</f>
        <v>#VALUE!</v>
      </c>
      <c r="AJ282" s="446" t="e">
        <f>IF(OR($B282="",MIN(AJ$38,$D$19)&lt;MAX($P$34*($B282+IF($R$17="Distrato",$I$38-1,0)),IF(AND($L$37=0,$P$34=0),"",$L$37-1),IF($R$17="Distrato",$E282,0))),0,YEARFRAC(MAX($P$34*($B282+IF($R$17="Distrato",$I$38-1,0)),IF(AND($L$37=0,$P$34=0),"",$L$37-1),IF($R$17="Distrato",$E282,0)),MIN(AJ$38,$D$19),$P$20))-SUM($P282:AI282)</f>
        <v>#VALUE!</v>
      </c>
      <c r="AK282" s="446" t="e">
        <f>IF(OR($B282="",MIN(AK$38,$D$19)&lt;MAX($P$34*($B282+IF($R$17="Distrato",$I$38-1,0)),IF(AND($L$37=0,$P$34=0),"",$L$37-1),IF($R$17="Distrato",$E282,0))),0,YEARFRAC(MAX($P$34*($B282+IF($R$17="Distrato",$I$38-1,0)),IF(AND($L$37=0,$P$34=0),"",$L$37-1),IF($R$17="Distrato",$E282,0)),MIN(AK$38,$D$19),$P$20))-SUM($P282:AJ282)</f>
        <v>#VALUE!</v>
      </c>
      <c r="AL282" s="446" t="e">
        <f>IF(OR($B282="",MIN(AL$38,$D$19)&lt;MAX($P$34*($B282+IF($R$17="Distrato",$I$38-1,0)),IF(AND($L$37=0,$P$34=0),"",$L$37-1),IF($R$17="Distrato",$E282,0))),0,YEARFRAC(MAX($P$34*($B282+IF($R$17="Distrato",$I$38-1,0)),IF(AND($L$37=0,$P$34=0),"",$L$37-1),IF($R$17="Distrato",$E282,0)),MIN(AL$38,$D$19),$P$20))-SUM($P282:AK282)</f>
        <v>#VALUE!</v>
      </c>
      <c r="AM282" s="446" t="e">
        <f>IF(OR($B282="",MIN(AM$38,$D$19)&lt;MAX($P$34*($B282+IF($R$17="Distrato",$I$38-1,0)),IF(AND($L$37=0,$P$34=0),"",$L$37-1),IF($R$17="Distrato",$E282,0))),0,YEARFRAC(MAX($P$34*($B282+IF($R$17="Distrato",$I$38-1,0)),IF(AND($L$37=0,$P$34=0),"",$L$37-1),IF($R$17="Distrato",$E282,0)),MIN(AM$38,$D$19),$P$20))-SUM($P282:AL282)</f>
        <v>#VALUE!</v>
      </c>
      <c r="AN282" s="446" t="e">
        <f>IF(OR($B282="",MIN(AN$38,$D$19)&lt;MAX($P$34*($B282+IF($R$17="Distrato",$I$38-1,0)),IF(AND($L$37=0,$P$34=0),"",$L$37-1),IF($R$17="Distrato",$E282,0))),0,YEARFRAC(MAX($P$34*($B282+IF($R$17="Distrato",$I$38-1,0)),IF(AND($L$37=0,$P$34=0),"",$L$37-1),IF($R$17="Distrato",$E282,0)),MIN(AN$38,$D$19),$P$20))-SUM($P282:AM282)</f>
        <v>#VALUE!</v>
      </c>
      <c r="AO282" s="446" t="e">
        <f>IF(OR($B282="",MIN(AO$38,$D$19)&lt;MAX($P$34*($B282+IF($R$17="Distrato",$I$38-1,0)),IF(AND($L$37=0,$P$34=0),"",$L$37-1),IF($R$17="Distrato",$E282,0))),0,YEARFRAC(MAX($P$34*($B282+IF($R$17="Distrato",$I$38-1,0)),IF(AND($L$37=0,$P$34=0),"",$L$37-1),IF($R$17="Distrato",$E282,0)),MIN(AO$38,$D$19),$P$20))-SUM($P282:AN282)</f>
        <v>#VALUE!</v>
      </c>
      <c r="AP282" s="446" t="e">
        <f>IF(OR($B282="",MIN(AP$38,$D$19)&lt;MAX($P$34*($B282+IF($R$17="Distrato",$I$38-1,0)),IF(AND($L$37=0,$P$34=0),"",$L$37-1),IF($R$17="Distrato",$E282,0))),0,YEARFRAC(MAX($P$34*($B282+IF($R$17="Distrato",$I$38-1,0)),IF(AND($L$37=0,$P$34=0),"",$L$37-1),IF($R$17="Distrato",$E282,0)),MIN(AP$38,$D$19),$P$20))-SUM($P282:AO282)</f>
        <v>#VALUE!</v>
      </c>
      <c r="AQ282" s="446" t="e">
        <f>IF(OR($B282="",MIN(AQ$38,$D$19)&lt;MAX($P$34*($B282+IF($R$17="Distrato",$I$38-1,0)),IF(AND($L$37=0,$P$34=0),"",$L$37-1),IF($R$17="Distrato",$E282,0))),0,YEARFRAC(MAX($P$34*($B282+IF($R$17="Distrato",$I$38-1,0)),IF(AND($L$37=0,$P$34=0),"",$L$37-1),IF($R$17="Distrato",$E282,0)),MIN(AQ$38,$D$19),$P$20))-SUM($P282:AP282)</f>
        <v>#VALUE!</v>
      </c>
      <c r="AR282" s="446" t="e">
        <f>IF(OR($B282="",MIN(AR$38,$D$19)&lt;MAX($P$34*($B282+IF($R$17="Distrato",$I$38-1,0)),IF(AND($L$37=0,$P$34=0),"",$L$37-1),IF($R$17="Distrato",$E282,0))),0,YEARFRAC(MAX($P$34*($B282+IF($R$17="Distrato",$I$38-1,0)),IF(AND($L$37=0,$P$34=0),"",$L$37-1),IF($R$17="Distrato",$E282,0)),MIN(AR$38,$D$19),$P$20))-SUM($P282:AQ282)</f>
        <v>#VALUE!</v>
      </c>
      <c r="AS282" s="446" t="e">
        <f>IF(OR($B282="",MIN(AS$38,$D$19)&lt;MAX($P$34*($B282+IF($R$17="Distrato",$I$38-1,0)),IF(AND($L$37=0,$P$34=0),"",$L$37-1),IF($R$17="Distrato",$E282,0))),0,YEARFRAC(MAX($P$34*($B282+IF($R$17="Distrato",$I$38-1,0)),IF(AND($L$37=0,$P$34=0),"",$L$37-1),IF($R$17="Distrato",$E282,0)),MIN(AS$38,$D$19),$P$20))-SUM($P282:AR282)</f>
        <v>#VALUE!</v>
      </c>
      <c r="AT282" s="446" t="e">
        <f>IF(OR($B282="",MIN(AT$38,$D$19)&lt;MAX($P$34*($B282+IF($R$17="Distrato",$I$38-1,0)),IF(AND($L$37=0,$P$34=0),"",$L$37-1),IF($R$17="Distrato",$E282,0))),0,YEARFRAC(MAX($P$34*($B282+IF($R$17="Distrato",$I$38-1,0)),IF(AND($L$37=0,$P$34=0),"",$L$37-1),IF($R$17="Distrato",$E282,0)),MIN(AT$38,$D$19),$P$20))-SUM($P282:AS282)</f>
        <v>#VALUE!</v>
      </c>
      <c r="AU282" s="446" t="e">
        <f>IF(OR($B282="",MIN(AU$38,$D$19)&lt;MAX($P$34*($B282+IF($R$17="Distrato",$I$38-1,0)),IF(AND($L$37=0,$P$34=0),"",$L$37-1),IF($R$17="Distrato",$E282,0))),0,YEARFRAC(MAX($P$34*($B282+IF($R$17="Distrato",$I$38-1,0)),IF(AND($L$37=0,$P$34=0),"",$L$37-1),IF($R$17="Distrato",$E282,0)),MIN(AU$38,$D$19),$P$20))-SUM($P282:AT282)</f>
        <v>#VALUE!</v>
      </c>
      <c r="AV282" s="446" t="e">
        <f>IF(OR($B282="",MIN(AV$38,$D$19)&lt;MAX($P$34*($B282+IF($R$17="Distrato",$I$38-1,0)),IF(AND($L$37=0,$P$34=0),"",$L$37-1),IF($R$17="Distrato",$E282,0))),0,YEARFRAC(MAX($P$34*($B282+IF($R$17="Distrato",$I$38-1,0)),IF(AND($L$37=0,$P$34=0),"",$L$37-1),IF($R$17="Distrato",$E282,0)),MIN(AV$38,$D$19),$P$20))-SUM($P282:AU282)</f>
        <v>#VALUE!</v>
      </c>
      <c r="AW282" s="446" t="e">
        <f>IF(OR($B282="",MIN(AW$38,$D$19)&lt;MAX($P$34*($B282+IF($R$17="Distrato",$I$38-1,0)),IF(AND($L$37=0,$P$34=0),"",$L$37-1),IF($R$17="Distrato",$E282,0))),0,YEARFRAC(MAX($P$34*($B282+IF($R$17="Distrato",$I$38-1,0)),IF(AND($L$37=0,$P$34=0),"",$L$37-1),IF($R$17="Distrato",$E282,0)),MIN(AW$38,$D$19),$P$20))-SUM($P282:AV282)</f>
        <v>#VALUE!</v>
      </c>
      <c r="AX282" s="446" t="e">
        <f>IF(OR($B282="",MIN(AX$38,$D$19)&lt;MAX($P$34*($B282+IF($R$17="Distrato",$I$38-1,0)),IF(AND($L$37=0,$P$34=0),"",$L$37-1),IF($R$17="Distrato",$E282,0))),0,YEARFRAC(MAX($P$34*($B282+IF($R$17="Distrato",$I$38-1,0)),IF(AND($L$37=0,$P$34=0),"",$L$37-1),IF($R$17="Distrato",$E282,0)),MIN(AX$38,$D$19),$P$20))-SUM($P282:AW282)</f>
        <v>#VALUE!</v>
      </c>
      <c r="AY282" s="446" t="e">
        <f>IF(OR($B282="",MIN(AY$38,$D$19)&lt;MAX($P$34*($B282+IF($R$17="Distrato",$I$38-1,0)),IF(AND($L$37=0,$P$34=0),"",$L$37-1),IF($R$17="Distrato",$E282,0))),0,YEARFRAC(MAX($P$34*($B282+IF($R$17="Distrato",$I$38-1,0)),IF(AND($L$37=0,$P$34=0),"",$L$37-1),IF($R$17="Distrato",$E282,0)),MIN(AY$38,$D$19),$P$20))-SUM($P282:AX282)</f>
        <v>#VALUE!</v>
      </c>
      <c r="AZ282" s="446" t="e">
        <f>IF(OR($B282="",MIN(AZ$38,$D$19)&lt;MAX($P$34*($B282+IF($R$17="Distrato",$I$38-1,0)),IF(AND($L$37=0,$P$34=0),"",$L$37-1),IF($R$17="Distrato",$E282,0))),0,YEARFRAC(MAX($P$34*($B282+IF($R$17="Distrato",$I$38-1,0)),IF(AND($L$37=0,$P$34=0),"",$L$37-1),IF($R$17="Distrato",$E282,0)),MIN(AZ$38,$D$19),$P$20))-SUM($P282:AY282)</f>
        <v>#VALUE!</v>
      </c>
      <c r="BA282" s="446" t="e">
        <f>IF(OR($B282="",MIN(BA$38,$D$19)&lt;MAX($P$34*($B282+IF($R$17="Distrato",$I$38-1,0)),IF(AND($L$37=0,$P$34=0),"",$L$37-1),IF($R$17="Distrato",$E282,0))),0,YEARFRAC(MAX($P$34*($B282+IF($R$17="Distrato",$I$38-1,0)),IF(AND($L$37=0,$P$34=0),"",$L$37-1),IF($R$17="Distrato",$E282,0)),MIN(BA$38,$D$19),$P$20))-SUM($P282:AZ282)</f>
        <v>#VALUE!</v>
      </c>
      <c r="BB282" s="447"/>
      <c r="BF282" s="446">
        <f t="shared" si="43"/>
        <v>0</v>
      </c>
      <c r="BG282" s="446">
        <f>IF($E282=0,0,IF(MIN(BG$38,$E282)&lt;MAX($P$34*($B282+$I$38-1),IF(AND($L$37=0,$P$34=0),"",$L$37-1)),0,YEARFRAC(MAX($P$34*($B282+$I$38-1),IF(AND($L$37=0,$P$34=0),"",$L$37-1)),MIN(BG$38,$E282),$P$20))-SUM($BF282:BF282))</f>
        <v>0</v>
      </c>
      <c r="BH282" s="446">
        <f>IF($E282=0,0,IF(MIN(BH$38,$E282)&lt;MAX($P$34*($B282+$I$38-1),IF(AND($L$37=0,$P$34=0),"",$L$37-1)),0,YEARFRAC(MAX($P$34*($B282+$I$38-1),IF(AND($L$37=0,$P$34=0),"",$L$37-1)),MIN(BH$38,$E282),$P$20))-SUM($BF282:BG282))</f>
        <v>0</v>
      </c>
      <c r="BI282" s="446">
        <f>IF($E282=0,0,IF(MIN(BI$38,$E282)&lt;MAX($P$34*($B282+$I$38-1),IF(AND($L$37=0,$P$34=0),"",$L$37-1)),0,YEARFRAC(MAX($P$34*($B282+$I$38-1),IF(AND($L$37=0,$P$34=0),"",$L$37-1)),MIN(BI$38,$E282),$P$20))-SUM($BF282:BH282))</f>
        <v>0</v>
      </c>
      <c r="BJ282" s="446">
        <f>IF($E282=0,0,IF(MIN(BJ$38,$E282)&lt;MAX($P$34*($B282+$I$38-1),IF(AND($L$37=0,$P$34=0),"",$L$37-1)),0,YEARFRAC(MAX($P$34*($B282+$I$38-1),IF(AND($L$37=0,$P$34=0),"",$L$37-1)),MIN(BJ$38,$E282),$P$20))-SUM($BF282:BI282))</f>
        <v>0</v>
      </c>
      <c r="BK282" s="446">
        <f>IF($E282=0,0,IF(MIN(BK$38,$E282)&lt;MAX($P$34*($B282+$I$38-1),IF(AND($L$37=0,$P$34=0),"",$L$37-1)),0,YEARFRAC(MAX($P$34*($B282+$I$38-1),IF(AND($L$37=0,$P$34=0),"",$L$37-1)),MIN(BK$38,$E282),$P$20))-SUM($BF282:BJ282))</f>
        <v>0</v>
      </c>
      <c r="BL282" s="446">
        <f>IF($E282=0,0,IF(MIN(BL$38,$E282)&lt;MAX($P$34*($B282+$I$38-1),IF(AND($L$37=0,$P$34=0),"",$L$37-1)),0,YEARFRAC(MAX($P$34*($B282+$I$38-1),IF(AND($L$37=0,$P$34=0),"",$L$37-1)),MIN(BL$38,$E282),$P$20))-SUM($BF282:BK282))</f>
        <v>0</v>
      </c>
      <c r="BM282" s="446">
        <f>IF($E282=0,0,IF(MIN(BM$38,$E282)&lt;MAX($P$34*($B282+$I$38-1),IF(AND($L$37=0,$P$34=0),"",$L$37-1)),0,YEARFRAC(MAX($P$34*($B282+$I$38-1),IF(AND($L$37=0,$P$34=0),"",$L$37-1)),MIN(BM$38,$E282),$P$20))-SUM($BF282:BL282))</f>
        <v>0</v>
      </c>
      <c r="BN282" s="446">
        <f>IF($E282=0,0,IF(MIN(BN$38,$E282)&lt;MAX($P$34*($B282+$I$38-1),IF(AND($L$37=0,$P$34=0),"",$L$37-1)),0,YEARFRAC(MAX($P$34*($B282+$I$38-1),IF(AND($L$37=0,$P$34=0),"",$L$37-1)),MIN(BN$38,$E282),$P$20))-SUM($BF282:BM282))</f>
        <v>0</v>
      </c>
      <c r="BO282" s="446">
        <f>IF($E282=0,0,IF(MIN(BO$38,$E282)&lt;MAX($P$34*($B282+$I$38-1),IF(AND($L$37=0,$P$34=0),"",$L$37-1)),0,YEARFRAC(MAX($P$34*($B282+$I$38-1),IF(AND($L$37=0,$P$34=0),"",$L$37-1)),MIN(BO$38,$E282),$P$20))-SUM($BF282:BN282))</f>
        <v>0</v>
      </c>
      <c r="BP282" s="446">
        <f>IF($E282=0,0,IF(MIN(BP$38,$E282)&lt;MAX($P$34*($B282+$I$38-1),IF(AND($L$37=0,$P$34=0),"",$L$37-1)),0,YEARFRAC(MAX($P$34*($B282+$I$38-1),IF(AND($L$37=0,$P$34=0),"",$L$37-1)),MIN(BP$38,$E282),$P$20))-SUM($BF282:BO282))</f>
        <v>0</v>
      </c>
      <c r="BQ282" s="446">
        <f>IF($E282=0,0,IF(MIN(BQ$38,$E282)&lt;MAX($P$34*($B282+$I$38-1),IF(AND($L$37=0,$P$34=0),"",$L$37-1)),0,YEARFRAC(MAX($P$34*($B282+$I$38-1),IF(AND($L$37=0,$P$34=0),"",$L$37-1)),MIN(BQ$38,$E282),$P$20))-SUM($BF282:BP282))</f>
        <v>0</v>
      </c>
      <c r="BR282" s="446">
        <f>IF($E282=0,0,IF(MIN(BR$38,$E282)&lt;MAX($P$34*($B282+$I$38-1),IF(AND($L$37=0,$P$34=0),"",$L$37-1)),0,YEARFRAC(MAX($P$34*($B282+$I$38-1),IF(AND($L$37=0,$P$34=0),"",$L$37-1)),MIN(BR$38,$E282),$P$20))-SUM($BF282:BQ282))</f>
        <v>0</v>
      </c>
      <c r="BS282" s="446">
        <f>IF($E282=0,0,IF(MIN(BS$38,$E282)&lt;MAX($P$34*($B282+$I$38-1),IF(AND($L$37=0,$P$34=0),"",$L$37-1)),0,YEARFRAC(MAX($P$34*($B282+$I$38-1),IF(AND($L$37=0,$P$34=0),"",$L$37-1)),MIN(BS$38,$E282),$P$20))-SUM($BF282:BR282))</f>
        <v>0</v>
      </c>
      <c r="BT282" s="446">
        <f>IF($E282=0,0,IF(MIN(BT$38,$E282)&lt;MAX($P$34*($B282+$I$38-1),IF(AND($L$37=0,$P$34=0),"",$L$37-1)),0,YEARFRAC(MAX($P$34*($B282+$I$38-1),IF(AND($L$37=0,$P$34=0),"",$L$37-1)),MIN(BT$38,$E282),$P$20))-SUM($BF282:BS282))</f>
        <v>0</v>
      </c>
      <c r="BU282" s="446">
        <f>IF($E282=0,0,IF(MIN(BU$38,$E282)&lt;MAX($P$34*($B282+$I$38-1),IF(AND($L$37=0,$P$34=0),"",$L$37-1)),0,YEARFRAC(MAX($P$34*($B282+$I$38-1),IF(AND($L$37=0,$P$34=0),"",$L$37-1)),MIN(BU$38,$E282),$P$20))-SUM($BF282:BT282))</f>
        <v>0</v>
      </c>
      <c r="BV282" s="446">
        <f>IF($E282=0,0,IF(MIN(BV$38,$E282)&lt;MAX($P$34*($B282+$I$38-1),IF(AND($L$37=0,$P$34=0),"",$L$37-1)),0,YEARFRAC(MAX($P$34*($B282+$I$38-1),IF(AND($L$37=0,$P$34=0),"",$L$37-1)),MIN(BV$38,$E282),$P$20))-SUM($BF282:BU282))</f>
        <v>0</v>
      </c>
      <c r="BW282" s="446">
        <f>IF($E282=0,0,IF(MIN(BW$38,$E282)&lt;MAX($P$34*($B282+$I$38-1),IF(AND($L$37=0,$P$34=0),"",$L$37-1)),0,YEARFRAC(MAX($P$34*($B282+$I$38-1),IF(AND($L$37=0,$P$34=0),"",$L$37-1)),MIN(BW$38,$E282),$P$20))-SUM($BF282:BV282))</f>
        <v>0</v>
      </c>
      <c r="BX282" s="446">
        <f>IF($E282=0,0,IF(MIN(BX$38,$E282)&lt;MAX($P$34*($B282+$I$38-1),IF(AND($L$37=0,$P$34=0),"",$L$37-1)),0,YEARFRAC(MAX($P$34*($B282+$I$38-1),IF(AND($L$37=0,$P$34=0),"",$L$37-1)),MIN(BX$38,$E282),$P$20))-SUM($BF282:BW282))</f>
        <v>0</v>
      </c>
      <c r="BY282" s="446">
        <f>IF($E282=0,0,IF(MIN(BY$38,$E282)&lt;MAX($P$34*($B282+$I$38-1),IF(AND($L$37=0,$P$34=0),"",$L$37-1)),0,YEARFRAC(MAX($P$34*($B282+$I$38-1),IF(AND($L$37=0,$P$34=0),"",$L$37-1)),MIN(BY$38,$E282),$P$20))-SUM($BF282:BX282))</f>
        <v>0</v>
      </c>
      <c r="BZ282" s="446">
        <f>IF($E282=0,0,IF(MIN(BZ$38,$E282)&lt;MAX($P$34*($B282+$I$38-1),IF(AND($L$37=0,$P$34=0),"",$L$37-1)),0,YEARFRAC(MAX($P$34*($B282+$I$38-1),IF(AND($L$37=0,$P$34=0),"",$L$37-1)),MIN(BZ$38,$E282),$P$20))-SUM($BF282:BY282))</f>
        <v>0</v>
      </c>
      <c r="CA282" s="446">
        <f>IF($E282=0,0,IF(MIN(CA$38,$E282)&lt;MAX($P$34*($B282+$I$38-1),IF(AND($L$37=0,$P$34=0),"",$L$37-1)),0,YEARFRAC(MAX($P$34*($B282+$I$38-1),IF(AND($L$37=0,$P$34=0),"",$L$37-1)),MIN(CA$38,$E282),$P$20))-SUM($BF282:BZ282))</f>
        <v>0</v>
      </c>
      <c r="CB282" s="446">
        <f>IF($E282=0,0,IF(MIN(CB$38,$E282)&lt;MAX($P$34*($B282+$I$38-1),IF(AND($L$37=0,$P$34=0),"",$L$37-1)),0,YEARFRAC(MAX($P$34*($B282+$I$38-1),IF(AND($L$37=0,$P$34=0),"",$L$37-1)),MIN(CB$38,$E282),$P$20))-SUM($BF282:CA282))</f>
        <v>0</v>
      </c>
      <c r="CC282" s="446">
        <f>IF($E282=0,0,IF(MIN(CC$38,$E282)&lt;MAX($P$34*($B282+$I$38-1),IF(AND($L$37=0,$P$34=0),"",$L$37-1)),0,YEARFRAC(MAX($P$34*($B282+$I$38-1),IF(AND($L$37=0,$P$34=0),"",$L$37-1)),MIN(CC$38,$E282),$P$20))-SUM($BF282:CB282))</f>
        <v>0</v>
      </c>
      <c r="CD282" s="446">
        <f>IF($E282=0,0,IF(MIN(CD$38,$E282)&lt;MAX($P$34*($B282+$I$38-1),IF(AND($L$37=0,$P$34=0),"",$L$37-1)),0,YEARFRAC(MAX($P$34*($B282+$I$38-1),IF(AND($L$37=0,$P$34=0),"",$L$37-1)),MIN(CD$38,$E282),$P$20))-SUM($BF282:CC282))</f>
        <v>0</v>
      </c>
      <c r="CE282" s="446">
        <f>IF($E282=0,0,IF(MIN(CE$38,$E282)&lt;MAX($P$34*($B282+$I$38-1),IF(AND($L$37=0,$P$34=0),"",$L$37-1)),0,YEARFRAC(MAX($P$34*($B282+$I$38-1),IF(AND($L$37=0,$P$34=0),"",$L$37-1)),MIN(CE$38,$E282),$P$20))-SUM($BF282:CD282))</f>
        <v>0</v>
      </c>
      <c r="CF282" s="446">
        <f>IF($E282=0,0,IF(MIN(CF$38,$E282)&lt;MAX($P$34*($B282+$I$38-1),IF(AND($L$37=0,$P$34=0),"",$L$37-1)),0,YEARFRAC(MAX($P$34*($B282+$I$38-1),IF(AND($L$37=0,$P$34=0),"",$L$37-1)),MIN(CF$38,$E282),$P$20))-SUM($BF282:CE282))</f>
        <v>0</v>
      </c>
      <c r="CG282" s="446">
        <f>IF($E282=0,0,IF(MIN(CG$38,$E282)&lt;MAX($P$34*($B282+$I$38-1),IF(AND($L$37=0,$P$34=0),"",$L$37-1)),0,YEARFRAC(MAX($P$34*($B282+$I$38-1),IF(AND($L$37=0,$P$34=0),"",$L$37-1)),MIN(CG$38,$E282),$P$20))-SUM($BF282:CF282))</f>
        <v>0</v>
      </c>
      <c r="CH282" s="446">
        <f>IF($E282=0,0,IF(MIN(CH$38,$E282)&lt;MAX($P$34*($B282+$I$38-1),IF(AND($L$37=0,$P$34=0),"",$L$37-1)),0,YEARFRAC(MAX($P$34*($B282+$I$38-1),IF(AND($L$37=0,$P$34=0),"",$L$37-1)),MIN(CH$38,$E282),$P$20))-SUM($BF282:CG282))</f>
        <v>0</v>
      </c>
      <c r="CI282" s="446">
        <f>IF($E282=0,0,IF(MIN(CI$38,$E282)&lt;MAX($P$34*($B282+$I$38-1),IF(AND($L$37=0,$P$34=0),"",$L$37-1)),0,YEARFRAC(MAX($P$34*($B282+$I$38-1),IF(AND($L$37=0,$P$34=0),"",$L$37-1)),MIN(CI$38,$E282),$P$20))-SUM($BF282:CH282))</f>
        <v>0</v>
      </c>
      <c r="CJ282" s="446">
        <f>IF($E282=0,0,IF(MIN(CJ$38,$E282)&lt;MAX($P$34*($B282+$I$38-1),IF(AND($L$37=0,$P$34=0),"",$L$37-1)),0,YEARFRAC(MAX($P$34*($B282+$I$38-1),IF(AND($L$37=0,$P$34=0),"",$L$37-1)),MIN(CJ$38,$E282),$P$20))-SUM($BF282:CI282))</f>
        <v>0</v>
      </c>
      <c r="CK282" s="446">
        <f>IF($E282=0,0,IF(MIN(CK$38,$E282)&lt;MAX($P$34*($B282+$I$38-1),IF(AND($L$37=0,$P$34=0),"",$L$37-1)),0,YEARFRAC(MAX($P$34*($B282+$I$38-1),IF(AND($L$37=0,$P$34=0),"",$L$37-1)),MIN(CK$38,$E282),$P$20))-SUM($BF282:CJ282))</f>
        <v>0</v>
      </c>
      <c r="CL282" s="446">
        <f>IF($E282=0,0,IF(MIN(CL$38,$E282)&lt;MAX($P$34*($B282+$I$38-1),IF(AND($L$37=0,$P$34=0),"",$L$37-1)),0,YEARFRAC(MAX($P$34*($B282+$I$38-1),IF(AND($L$37=0,$P$34=0),"",$L$37-1)),MIN(CL$38,$E282),$P$20))-SUM($BF282:CK282))</f>
        <v>0</v>
      </c>
      <c r="CM282" s="446">
        <f>IF($E282=0,0,IF(MIN(CM$38,$E282)&lt;MAX($P$34*($B282+$I$38-1),IF(AND($L$37=0,$P$34=0),"",$L$37-1)),0,YEARFRAC(MAX($P$34*($B282+$I$38-1),IF(AND($L$37=0,$P$34=0),"",$L$37-1)),MIN(CM$38,$E282),$P$20))-SUM($BF282:CL282))</f>
        <v>0</v>
      </c>
      <c r="CN282" s="446">
        <f>IF($E282=0,0,IF(MIN(CN$38,$E282)&lt;MAX($P$34*($B282+$I$38-1),IF(AND($L$37=0,$P$34=0),"",$L$37-1)),0,YEARFRAC(MAX($P$34*($B282+$I$38-1),IF(AND($L$37=0,$P$34=0),"",$L$37-1)),MIN(CN$38,$E282),$P$20))-SUM($BF282:CM282))</f>
        <v>0</v>
      </c>
      <c r="CO282" s="446">
        <f>IF($E282=0,0,IF(MIN(CO$38,$E282)&lt;MAX($P$34*($B282+$I$38-1),IF(AND($L$37=0,$P$34=0),"",$L$37-1)),0,YEARFRAC(MAX($P$34*($B282+$I$38-1),IF(AND($L$37=0,$P$34=0),"",$L$37-1)),MIN(CO$38,$E282),$P$20))-SUM($BF282:CN282))</f>
        <v>0</v>
      </c>
      <c r="CP282" s="446">
        <f>IF($E282=0,0,IF(MIN(CP$38,$E282)&lt;MAX($P$34*($B282+$I$38-1),IF(AND($L$37=0,$P$34=0),"",$L$37-1)),0,YEARFRAC(MAX($P$34*($B282+$I$38-1),IF(AND($L$37=0,$P$34=0),"",$L$37-1)),MIN(CP$38,$E282),$P$20))-SUM($BF282:CO282))</f>
        <v>0</v>
      </c>
      <c r="CQ282" s="446">
        <f>IF($E282=0,0,IF(MIN(CQ$38,$E282)&lt;MAX($P$34*($B282+$I$38-1),IF(AND($L$37=0,$P$34=0),"",$L$37-1)),0,YEARFRAC(MAX($P$34*($B282+$I$38-1),IF(AND($L$37=0,$P$34=0),"",$L$37-1)),MIN(CQ$38,$E282),$P$20))-SUM($BF282:CP282))</f>
        <v>0</v>
      </c>
    </row>
    <row r="283" spans="1:95" s="446" customFormat="1" ht="11.25" hidden="1" customHeight="1" x14ac:dyDescent="0.2">
      <c r="A283" s="152"/>
      <c r="B283" s="153" t="str">
        <f t="shared" si="48"/>
        <v/>
      </c>
      <c r="C283" s="29" t="str">
        <f>IF(B283="","",IF($L$35="SELIC - TRIBUTOS",VLOOKUP(DATE(YEAR($D$19),MONTH($D$19)-1,1),ÍNDICES!$A:$DE,HLOOKUP($BL$25,ÍNDICES!$B$3:$T$4,2)+11)-VLOOKUP(B283,ÍNDICES!$A:$DE,HLOOKUP($BL$25,ÍNDICES!$B$3:$T$4,2)+11)+1%,IF(C$38=$W$26,$J$35,IF(ISERROR(IF(B283&gt;$D$19,1,VLOOKUP(DATE(YEAR(B283),MONTH(B283)+IF($C$35=$S$23,1,0),1),ÍNDICES!$A:$DE,$Z$35+1))),"",IF(B283&gt;$D$19,1,VLOOKUP(DATE(YEAR(B283),MONTH(B283)+IF($C$35=$S$23,1,0),1),ÍNDICES!$A:$DE,$Z$35+1))))))</f>
        <v/>
      </c>
      <c r="D283" s="154" t="str">
        <f>IF(ISERROR(IF(OR($D$38=$Y$27,$B283=""),"",VLOOKUP(B283,ÍNDICES!A:DE,AF$35+1))),"",IF(OR($D$38=$Y$27,$B283=""),"",VLOOKUP(B283,ÍNDICES!A:DE,AF$35+1)))</f>
        <v/>
      </c>
      <c r="E283" s="153"/>
      <c r="F283" s="29" t="str">
        <f>IF(E283="","",IF($L$35="SELIC - TRIBUTOS",VLOOKUP(DATE(YEAR($D$19),MONTH($D$19)-1,1),ÍNDICES!$A:$DE,HLOOKUP($BL$25,ÍNDICES!$B$3:$T$4,2)+11)-VLOOKUP(E283,ÍNDICES!$A:$DE,HLOOKUP($BL$25,ÍNDICES!$B$3:$T$4,2)+11)+1%,IF(F$38=$W$26,$J$35,IF(ISERROR(IF(E283&gt;$D$19,1,VLOOKUP(DATE(YEAR(E283),MONTH(E283)+IF($C$35=$S$23,1,0),1),ÍNDICES!$A:$DE,$Z$35+1))),"",IF(E283&gt;$D$19,1,VLOOKUP(DATE(YEAR(E283),MONTH(E283)+IF($C$35=$S$23,1,0),1),ÍNDICES!$A:$DE,$Z$35+1))))))</f>
        <v/>
      </c>
      <c r="G283" s="155"/>
      <c r="H283" s="156" t="str">
        <f t="shared" si="44"/>
        <v/>
      </c>
      <c r="I283" s="29" t="str">
        <f t="shared" si="38"/>
        <v/>
      </c>
      <c r="J283" s="5">
        <f t="shared" si="39"/>
        <v>0</v>
      </c>
      <c r="K283" s="20">
        <f t="shared" ca="1" si="40"/>
        <v>0</v>
      </c>
      <c r="L283" s="5">
        <f t="shared" ca="1" si="41"/>
        <v>0</v>
      </c>
      <c r="M283" s="64">
        <f t="shared" si="45"/>
        <v>0</v>
      </c>
      <c r="N283" s="61">
        <f t="shared" ca="1" si="46"/>
        <v>0</v>
      </c>
      <c r="O283" s="5">
        <f t="shared" ca="1" si="47"/>
        <v>0</v>
      </c>
      <c r="P283" s="446" t="e">
        <f t="shared" si="42"/>
        <v>#VALUE!</v>
      </c>
      <c r="Q283" s="446" t="e">
        <f>IF(OR($B283="",MIN(Q$38,$D$19)&lt;MAX($P$34*($B283+IF($R$17="Distrato",$I$38-1,0)),IF(AND($L$37=0,$P$34=0),"",$L$37-1),IF($R$17="Distrato",$E283,0))),0,YEARFRAC(MAX($P$34*($B283+IF($R$17="Distrato",$I$38-1,0)),IF(AND($L$37=0,$P$34=0),"",$L$37-1),IF($R$17="Distrato",$E283,0)),MIN(Q$38,$D$19),$P$20))-SUM($P283:P283)</f>
        <v>#VALUE!</v>
      </c>
      <c r="R283" s="446" t="e">
        <f>IF(OR($B283="",MIN(R$38,$D$19)&lt;MAX($P$34*($B283+IF($R$17="Distrato",$I$38-1,0)),IF(AND($L$37=0,$P$34=0),"",$L$37-1),IF($R$17="Distrato",$E283,0))),0,YEARFRAC(MAX($P$34*($B283+IF($R$17="Distrato",$I$38-1,0)),IF(AND($L$37=0,$P$34=0),"",$L$37-1),IF($R$17="Distrato",$E283,0)),MIN(R$38,$D$19),$P$20))-SUM($P283:Q283)</f>
        <v>#VALUE!</v>
      </c>
      <c r="S283" s="446" t="e">
        <f>IF(OR($B283="",MIN(S$38,$D$19)&lt;MAX($P$34*($B283+IF($R$17="Distrato",$I$38-1,0)),IF(AND($L$37=0,$P$34=0),"",$L$37-1),IF($R$17="Distrato",$E283,0))),0,YEARFRAC(MAX($P$34*($B283+IF($R$17="Distrato",$I$38-1,0)),IF(AND($L$37=0,$P$34=0),"",$L$37-1),IF($R$17="Distrato",$E283,0)),MIN(S$38,$D$19),$P$20))-SUM($P283:R283)</f>
        <v>#VALUE!</v>
      </c>
      <c r="T283" s="446" t="e">
        <f>IF(OR($B283="",MIN(T$38,$D$19)&lt;MAX($P$34*($B283+IF($R$17="Distrato",$I$38-1,0)),IF(AND($L$37=0,$P$34=0),"",$L$37-1),IF($R$17="Distrato",$E283,0))),0,YEARFRAC(MAX($P$34*($B283+IF($R$17="Distrato",$I$38-1,0)),IF(AND($L$37=0,$P$34=0),"",$L$37-1),IF($R$17="Distrato",$E283,0)),MIN(T$38,$D$19),$P$20))-SUM($P283:S283)</f>
        <v>#VALUE!</v>
      </c>
      <c r="U283" s="446" t="e">
        <f>IF(OR($B283="",MIN(U$38,$D$19)&lt;MAX($P$34*($B283+IF($R$17="Distrato",$I$38-1,0)),IF(AND($L$37=0,$P$34=0),"",$L$37-1),IF($R$17="Distrato",$E283,0))),0,YEARFRAC(MAX($P$34*($B283+IF($R$17="Distrato",$I$38-1,0)),IF(AND($L$37=0,$P$34=0),"",$L$37-1),IF($R$17="Distrato",$E283,0)),MIN(U$38,$D$19),$P$20))-SUM($P283:T283)</f>
        <v>#VALUE!</v>
      </c>
      <c r="V283" s="446" t="e">
        <f>IF(OR($B283="",MIN(V$38,$D$19)&lt;MAX($P$34*($B283+IF($R$17="Distrato",$I$38-1,0)),IF(AND($L$37=0,$P$34=0),"",$L$37-1),IF($R$17="Distrato",$E283,0))),0,YEARFRAC(MAX($P$34*($B283+IF($R$17="Distrato",$I$38-1,0)),IF(AND($L$37=0,$P$34=0),"",$L$37-1),IF($R$17="Distrato",$E283,0)),MIN(V$38,$D$19),$P$20))-SUM($P283:U283)</f>
        <v>#VALUE!</v>
      </c>
      <c r="W283" s="446" t="e">
        <f>IF(OR($B283="",MIN(W$38,$D$19)&lt;MAX($P$34*($B283+IF($R$17="Distrato",$I$38-1,0)),IF(AND($L$37=0,$P$34=0),"",$L$37-1),IF($R$17="Distrato",$E283,0))),0,YEARFRAC(MAX($P$34*($B283+IF($R$17="Distrato",$I$38-1,0)),IF(AND($L$37=0,$P$34=0),"",$L$37-1),IF($R$17="Distrato",$E283,0)),MIN(W$38,$D$19),$P$20))-SUM($P283:V283)</f>
        <v>#VALUE!</v>
      </c>
      <c r="X283" s="446" t="e">
        <f>IF(OR($B283="",MIN(X$38,$D$19)&lt;MAX($P$34*($B283+IF($R$17="Distrato",$I$38-1,0)),IF(AND($L$37=0,$P$34=0),"",$L$37-1),IF($R$17="Distrato",$E283,0))),0,YEARFRAC(MAX($P$34*($B283+IF($R$17="Distrato",$I$38-1,0)),IF(AND($L$37=0,$P$34=0),"",$L$37-1),IF($R$17="Distrato",$E283,0)),MIN(X$38,$D$19),$P$20))-SUM($P283:W283)</f>
        <v>#VALUE!</v>
      </c>
      <c r="Y283" s="446" t="e">
        <f>IF(OR($B283="",MIN(Y$38,$D$19)&lt;MAX($P$34*($B283+IF($R$17="Distrato",$I$38-1,0)),IF(AND($L$37=0,$P$34=0),"",$L$37-1),IF($R$17="Distrato",$E283,0))),0,YEARFRAC(MAX($P$34*($B283+IF($R$17="Distrato",$I$38-1,0)),IF(AND($L$37=0,$P$34=0),"",$L$37-1),IF($R$17="Distrato",$E283,0)),MIN(Y$38,$D$19),$P$20))-SUM($P283:X283)</f>
        <v>#VALUE!</v>
      </c>
      <c r="Z283" s="446" t="e">
        <f>IF(OR($B283="",MIN(Z$38,$D$19)&lt;MAX($P$34*($B283+IF($R$17="Distrato",$I$38-1,0)),IF(AND($L$37=0,$P$34=0),"",$L$37-1),IF($R$17="Distrato",$E283,0))),0,YEARFRAC(MAX($P$34*($B283+IF($R$17="Distrato",$I$38-1,0)),IF(AND($L$37=0,$P$34=0),"",$L$37-1),IF($R$17="Distrato",$E283,0)),MIN(Z$38,$D$19),$P$20))-SUM($P283:Y283)</f>
        <v>#VALUE!</v>
      </c>
      <c r="AA283" s="446" t="e">
        <f>IF(OR($B283="",MIN(AA$38,$D$19)&lt;MAX($P$34*($B283+IF($R$17="Distrato",$I$38-1,0)),IF(AND($L$37=0,$P$34=0),"",$L$37-1),IF($R$17="Distrato",$E283,0))),0,YEARFRAC(MAX($P$34*($B283+IF($R$17="Distrato",$I$38-1,0)),IF(AND($L$37=0,$P$34=0),"",$L$37-1),IF($R$17="Distrato",$E283,0)),MIN(AA$38,$D$19),$P$20))-SUM($P283:Z283)</f>
        <v>#VALUE!</v>
      </c>
      <c r="AB283" s="446" t="e">
        <f>IF(OR($B283="",MIN(AB$38,$D$19)&lt;MAX($P$34*($B283+IF($R$17="Distrato",$I$38-1,0)),IF(AND($L$37=0,$P$34=0),"",$L$37-1),IF($R$17="Distrato",$E283,0))),0,YEARFRAC(MAX($P$34*($B283+IF($R$17="Distrato",$I$38-1,0)),IF(AND($L$37=0,$P$34=0),"",$L$37-1),IF($R$17="Distrato",$E283,0)),MIN(AB$38,$D$19),$P$20))-SUM($P283:AA283)</f>
        <v>#VALUE!</v>
      </c>
      <c r="AC283" s="446" t="e">
        <f>IF(OR($B283="",MIN(AC$38,$D$19)&lt;MAX($P$34*($B283+IF($R$17="Distrato",$I$38-1,0)),IF(AND($L$37=0,$P$34=0),"",$L$37-1),IF($R$17="Distrato",$E283,0))),0,YEARFRAC(MAX($P$34*($B283+IF($R$17="Distrato",$I$38-1,0)),IF(AND($L$37=0,$P$34=0),"",$L$37-1),IF($R$17="Distrato",$E283,0)),MIN(AC$38,$D$19),$P$20))-SUM($P283:AB283)</f>
        <v>#VALUE!</v>
      </c>
      <c r="AD283" s="446" t="e">
        <f>IF(OR($B283="",MIN(AD$38,$D$19)&lt;MAX($P$34*($B283+IF($R$17="Distrato",$I$38-1,0)),IF(AND($L$37=0,$P$34=0),"",$L$37-1),IF($R$17="Distrato",$E283,0))),0,YEARFRAC(MAX($P$34*($B283+IF($R$17="Distrato",$I$38-1,0)),IF(AND($L$37=0,$P$34=0),"",$L$37-1),IF($R$17="Distrato",$E283,0)),MIN(AD$38,$D$19),$P$20))-SUM($P283:AC283)</f>
        <v>#VALUE!</v>
      </c>
      <c r="AE283" s="446" t="e">
        <f>IF(OR($B283="",MIN(AE$38,$D$19)&lt;MAX($P$34*($B283+IF($R$17="Distrato",$I$38-1,0)),IF(AND($L$37=0,$P$34=0),"",$L$37-1),IF($R$17="Distrato",$E283,0))),0,YEARFRAC(MAX($P$34*($B283+IF($R$17="Distrato",$I$38-1,0)),IF(AND($L$37=0,$P$34=0),"",$L$37-1),IF($R$17="Distrato",$E283,0)),MIN(AE$38,$D$19),$P$20))-SUM($P283:AD283)</f>
        <v>#VALUE!</v>
      </c>
      <c r="AF283" s="446" t="e">
        <f>IF(OR($B283="",MIN(AF$38,$D$19)&lt;MAX($P$34*($B283+IF($R$17="Distrato",$I$38-1,0)),IF(AND($L$37=0,$P$34=0),"",$L$37-1),IF($R$17="Distrato",$E283,0))),0,YEARFRAC(MAX($P$34*($B283+IF($R$17="Distrato",$I$38-1,0)),IF(AND($L$37=0,$P$34=0),"",$L$37-1),IF($R$17="Distrato",$E283,0)),MIN(AF$38,$D$19),$P$20))-SUM($P283:AE283)</f>
        <v>#VALUE!</v>
      </c>
      <c r="AG283" s="446" t="e">
        <f>IF(OR($B283="",MIN(AG$38,$D$19)&lt;MAX($P$34*($B283+IF($R$17="Distrato",$I$38-1,0)),IF(AND($L$37=0,$P$34=0),"",$L$37-1),IF($R$17="Distrato",$E283,0))),0,YEARFRAC(MAX($P$34*($B283+IF($R$17="Distrato",$I$38-1,0)),IF(AND($L$37=0,$P$34=0),"",$L$37-1),IF($R$17="Distrato",$E283,0)),MIN(AG$38,$D$19),$P$20))-SUM($P283:AF283)</f>
        <v>#VALUE!</v>
      </c>
      <c r="AH283" s="446" t="e">
        <f>IF(OR($B283="",MIN(AH$38,$D$19)&lt;MAX($P$34*($B283+IF($R$17="Distrato",$I$38-1,0)),IF(AND($L$37=0,$P$34=0),"",$L$37-1),IF($R$17="Distrato",$E283,0))),0,YEARFRAC(MAX($P$34*($B283+IF($R$17="Distrato",$I$38-1,0)),IF(AND($L$37=0,$P$34=0),"",$L$37-1),IF($R$17="Distrato",$E283,0)),MIN(AH$38,$D$19),$P$20))-SUM($P283:AG283)</f>
        <v>#VALUE!</v>
      </c>
      <c r="AI283" s="446" t="e">
        <f>IF(OR($B283="",MIN(AI$38,$D$19)&lt;MAX($P$34*($B283+IF($R$17="Distrato",$I$38-1,0)),IF(AND($L$37=0,$P$34=0),"",$L$37-1),IF($R$17="Distrato",$E283,0))),0,YEARFRAC(MAX($P$34*($B283+IF($R$17="Distrato",$I$38-1,0)),IF(AND($L$37=0,$P$34=0),"",$L$37-1),IF($R$17="Distrato",$E283,0)),MIN(AI$38,$D$19),$P$20))-SUM($P283:AH283)</f>
        <v>#VALUE!</v>
      </c>
      <c r="AJ283" s="446" t="e">
        <f>IF(OR($B283="",MIN(AJ$38,$D$19)&lt;MAX($P$34*($B283+IF($R$17="Distrato",$I$38-1,0)),IF(AND($L$37=0,$P$34=0),"",$L$37-1),IF($R$17="Distrato",$E283,0))),0,YEARFRAC(MAX($P$34*($B283+IF($R$17="Distrato",$I$38-1,0)),IF(AND($L$37=0,$P$34=0),"",$L$37-1),IF($R$17="Distrato",$E283,0)),MIN(AJ$38,$D$19),$P$20))-SUM($P283:AI283)</f>
        <v>#VALUE!</v>
      </c>
      <c r="AK283" s="446" t="e">
        <f>IF(OR($B283="",MIN(AK$38,$D$19)&lt;MAX($P$34*($B283+IF($R$17="Distrato",$I$38-1,0)),IF(AND($L$37=0,$P$34=0),"",$L$37-1),IF($R$17="Distrato",$E283,0))),0,YEARFRAC(MAX($P$34*($B283+IF($R$17="Distrato",$I$38-1,0)),IF(AND($L$37=0,$P$34=0),"",$L$37-1),IF($R$17="Distrato",$E283,0)),MIN(AK$38,$D$19),$P$20))-SUM($P283:AJ283)</f>
        <v>#VALUE!</v>
      </c>
      <c r="AL283" s="446" t="e">
        <f>IF(OR($B283="",MIN(AL$38,$D$19)&lt;MAX($P$34*($B283+IF($R$17="Distrato",$I$38-1,0)),IF(AND($L$37=0,$P$34=0),"",$L$37-1),IF($R$17="Distrato",$E283,0))),0,YEARFRAC(MAX($P$34*($B283+IF($R$17="Distrato",$I$38-1,0)),IF(AND($L$37=0,$P$34=0),"",$L$37-1),IF($R$17="Distrato",$E283,0)),MIN(AL$38,$D$19),$P$20))-SUM($P283:AK283)</f>
        <v>#VALUE!</v>
      </c>
      <c r="AM283" s="446" t="e">
        <f>IF(OR($B283="",MIN(AM$38,$D$19)&lt;MAX($P$34*($B283+IF($R$17="Distrato",$I$38-1,0)),IF(AND($L$37=0,$P$34=0),"",$L$37-1),IF($R$17="Distrato",$E283,0))),0,YEARFRAC(MAX($P$34*($B283+IF($R$17="Distrato",$I$38-1,0)),IF(AND($L$37=0,$P$34=0),"",$L$37-1),IF($R$17="Distrato",$E283,0)),MIN(AM$38,$D$19),$P$20))-SUM($P283:AL283)</f>
        <v>#VALUE!</v>
      </c>
      <c r="AN283" s="446" t="e">
        <f>IF(OR($B283="",MIN(AN$38,$D$19)&lt;MAX($P$34*($B283+IF($R$17="Distrato",$I$38-1,0)),IF(AND($L$37=0,$P$34=0),"",$L$37-1),IF($R$17="Distrato",$E283,0))),0,YEARFRAC(MAX($P$34*($B283+IF($R$17="Distrato",$I$38-1,0)),IF(AND($L$37=0,$P$34=0),"",$L$37-1),IF($R$17="Distrato",$E283,0)),MIN(AN$38,$D$19),$P$20))-SUM($P283:AM283)</f>
        <v>#VALUE!</v>
      </c>
      <c r="AO283" s="446" t="e">
        <f>IF(OR($B283="",MIN(AO$38,$D$19)&lt;MAX($P$34*($B283+IF($R$17="Distrato",$I$38-1,0)),IF(AND($L$37=0,$P$34=0),"",$L$37-1),IF($R$17="Distrato",$E283,0))),0,YEARFRAC(MAX($P$34*($B283+IF($R$17="Distrato",$I$38-1,0)),IF(AND($L$37=0,$P$34=0),"",$L$37-1),IF($R$17="Distrato",$E283,0)),MIN(AO$38,$D$19),$P$20))-SUM($P283:AN283)</f>
        <v>#VALUE!</v>
      </c>
      <c r="AP283" s="446" t="e">
        <f>IF(OR($B283="",MIN(AP$38,$D$19)&lt;MAX($P$34*($B283+IF($R$17="Distrato",$I$38-1,0)),IF(AND($L$37=0,$P$34=0),"",$L$37-1),IF($R$17="Distrato",$E283,0))),0,YEARFRAC(MAX($P$34*($B283+IF($R$17="Distrato",$I$38-1,0)),IF(AND($L$37=0,$P$34=0),"",$L$37-1),IF($R$17="Distrato",$E283,0)),MIN(AP$38,$D$19),$P$20))-SUM($P283:AO283)</f>
        <v>#VALUE!</v>
      </c>
      <c r="AQ283" s="446" t="e">
        <f>IF(OR($B283="",MIN(AQ$38,$D$19)&lt;MAX($P$34*($B283+IF($R$17="Distrato",$I$38-1,0)),IF(AND($L$37=0,$P$34=0),"",$L$37-1),IF($R$17="Distrato",$E283,0))),0,YEARFRAC(MAX($P$34*($B283+IF($R$17="Distrato",$I$38-1,0)),IF(AND($L$37=0,$P$34=0),"",$L$37-1),IF($R$17="Distrato",$E283,0)),MIN(AQ$38,$D$19),$P$20))-SUM($P283:AP283)</f>
        <v>#VALUE!</v>
      </c>
      <c r="AR283" s="446" t="e">
        <f>IF(OR($B283="",MIN(AR$38,$D$19)&lt;MAX($P$34*($B283+IF($R$17="Distrato",$I$38-1,0)),IF(AND($L$37=0,$P$34=0),"",$L$37-1),IF($R$17="Distrato",$E283,0))),0,YEARFRAC(MAX($P$34*($B283+IF($R$17="Distrato",$I$38-1,0)),IF(AND($L$37=0,$P$34=0),"",$L$37-1),IF($R$17="Distrato",$E283,0)),MIN(AR$38,$D$19),$P$20))-SUM($P283:AQ283)</f>
        <v>#VALUE!</v>
      </c>
      <c r="AS283" s="446" t="e">
        <f>IF(OR($B283="",MIN(AS$38,$D$19)&lt;MAX($P$34*($B283+IF($R$17="Distrato",$I$38-1,0)),IF(AND($L$37=0,$P$34=0),"",$L$37-1),IF($R$17="Distrato",$E283,0))),0,YEARFRAC(MAX($P$34*($B283+IF($R$17="Distrato",$I$38-1,0)),IF(AND($L$37=0,$P$34=0),"",$L$37-1),IF($R$17="Distrato",$E283,0)),MIN(AS$38,$D$19),$P$20))-SUM($P283:AR283)</f>
        <v>#VALUE!</v>
      </c>
      <c r="AT283" s="446" t="e">
        <f>IF(OR($B283="",MIN(AT$38,$D$19)&lt;MAX($P$34*($B283+IF($R$17="Distrato",$I$38-1,0)),IF(AND($L$37=0,$P$34=0),"",$L$37-1),IF($R$17="Distrato",$E283,0))),0,YEARFRAC(MAX($P$34*($B283+IF($R$17="Distrato",$I$38-1,0)),IF(AND($L$37=0,$P$34=0),"",$L$37-1),IF($R$17="Distrato",$E283,0)),MIN(AT$38,$D$19),$P$20))-SUM($P283:AS283)</f>
        <v>#VALUE!</v>
      </c>
      <c r="AU283" s="446" t="e">
        <f>IF(OR($B283="",MIN(AU$38,$D$19)&lt;MAX($P$34*($B283+IF($R$17="Distrato",$I$38-1,0)),IF(AND($L$37=0,$P$34=0),"",$L$37-1),IF($R$17="Distrato",$E283,0))),0,YEARFRAC(MAX($P$34*($B283+IF($R$17="Distrato",$I$38-1,0)),IF(AND($L$37=0,$P$34=0),"",$L$37-1),IF($R$17="Distrato",$E283,0)),MIN(AU$38,$D$19),$P$20))-SUM($P283:AT283)</f>
        <v>#VALUE!</v>
      </c>
      <c r="AV283" s="446" t="e">
        <f>IF(OR($B283="",MIN(AV$38,$D$19)&lt;MAX($P$34*($B283+IF($R$17="Distrato",$I$38-1,0)),IF(AND($L$37=0,$P$34=0),"",$L$37-1),IF($R$17="Distrato",$E283,0))),0,YEARFRAC(MAX($P$34*($B283+IF($R$17="Distrato",$I$38-1,0)),IF(AND($L$37=0,$P$34=0),"",$L$37-1),IF($R$17="Distrato",$E283,0)),MIN(AV$38,$D$19),$P$20))-SUM($P283:AU283)</f>
        <v>#VALUE!</v>
      </c>
      <c r="AW283" s="446" t="e">
        <f>IF(OR($B283="",MIN(AW$38,$D$19)&lt;MAX($P$34*($B283+IF($R$17="Distrato",$I$38-1,0)),IF(AND($L$37=0,$P$34=0),"",$L$37-1),IF($R$17="Distrato",$E283,0))),0,YEARFRAC(MAX($P$34*($B283+IF($R$17="Distrato",$I$38-1,0)),IF(AND($L$37=0,$P$34=0),"",$L$37-1),IF($R$17="Distrato",$E283,0)),MIN(AW$38,$D$19),$P$20))-SUM($P283:AV283)</f>
        <v>#VALUE!</v>
      </c>
      <c r="AX283" s="446" t="e">
        <f>IF(OR($B283="",MIN(AX$38,$D$19)&lt;MAX($P$34*($B283+IF($R$17="Distrato",$I$38-1,0)),IF(AND($L$37=0,$P$34=0),"",$L$37-1),IF($R$17="Distrato",$E283,0))),0,YEARFRAC(MAX($P$34*($B283+IF($R$17="Distrato",$I$38-1,0)),IF(AND($L$37=0,$P$34=0),"",$L$37-1),IF($R$17="Distrato",$E283,0)),MIN(AX$38,$D$19),$P$20))-SUM($P283:AW283)</f>
        <v>#VALUE!</v>
      </c>
      <c r="AY283" s="446" t="e">
        <f>IF(OR($B283="",MIN(AY$38,$D$19)&lt;MAX($P$34*($B283+IF($R$17="Distrato",$I$38-1,0)),IF(AND($L$37=0,$P$34=0),"",$L$37-1),IF($R$17="Distrato",$E283,0))),0,YEARFRAC(MAX($P$34*($B283+IF($R$17="Distrato",$I$38-1,0)),IF(AND($L$37=0,$P$34=0),"",$L$37-1),IF($R$17="Distrato",$E283,0)),MIN(AY$38,$D$19),$P$20))-SUM($P283:AX283)</f>
        <v>#VALUE!</v>
      </c>
      <c r="AZ283" s="446" t="e">
        <f>IF(OR($B283="",MIN(AZ$38,$D$19)&lt;MAX($P$34*($B283+IF($R$17="Distrato",$I$38-1,0)),IF(AND($L$37=0,$P$34=0),"",$L$37-1),IF($R$17="Distrato",$E283,0))),0,YEARFRAC(MAX($P$34*($B283+IF($R$17="Distrato",$I$38-1,0)),IF(AND($L$37=0,$P$34=0),"",$L$37-1),IF($R$17="Distrato",$E283,0)),MIN(AZ$38,$D$19),$P$20))-SUM($P283:AY283)</f>
        <v>#VALUE!</v>
      </c>
      <c r="BA283" s="446" t="e">
        <f>IF(OR($B283="",MIN(BA$38,$D$19)&lt;MAX($P$34*($B283+IF($R$17="Distrato",$I$38-1,0)),IF(AND($L$37=0,$P$34=0),"",$L$37-1),IF($R$17="Distrato",$E283,0))),0,YEARFRAC(MAX($P$34*($B283+IF($R$17="Distrato",$I$38-1,0)),IF(AND($L$37=0,$P$34=0),"",$L$37-1),IF($R$17="Distrato",$E283,0)),MIN(BA$38,$D$19),$P$20))-SUM($P283:AZ283)</f>
        <v>#VALUE!</v>
      </c>
      <c r="BB283" s="447"/>
      <c r="BF283" s="446">
        <f t="shared" si="43"/>
        <v>0</v>
      </c>
      <c r="BG283" s="446">
        <f>IF($E283=0,0,IF(MIN(BG$38,$E283)&lt;MAX($P$34*($B283+$I$38-1),IF(AND($L$37=0,$P$34=0),"",$L$37-1)),0,YEARFRAC(MAX($P$34*($B283+$I$38-1),IF(AND($L$37=0,$P$34=0),"",$L$37-1)),MIN(BG$38,$E283),$P$20))-SUM($BF283:BF283))</f>
        <v>0</v>
      </c>
      <c r="BH283" s="446">
        <f>IF($E283=0,0,IF(MIN(BH$38,$E283)&lt;MAX($P$34*($B283+$I$38-1),IF(AND($L$37=0,$P$34=0),"",$L$37-1)),0,YEARFRAC(MAX($P$34*($B283+$I$38-1),IF(AND($L$37=0,$P$34=0),"",$L$37-1)),MIN(BH$38,$E283),$P$20))-SUM($BF283:BG283))</f>
        <v>0</v>
      </c>
      <c r="BI283" s="446">
        <f>IF($E283=0,0,IF(MIN(BI$38,$E283)&lt;MAX($P$34*($B283+$I$38-1),IF(AND($L$37=0,$P$34=0),"",$L$37-1)),0,YEARFRAC(MAX($P$34*($B283+$I$38-1),IF(AND($L$37=0,$P$34=0),"",$L$37-1)),MIN(BI$38,$E283),$P$20))-SUM($BF283:BH283))</f>
        <v>0</v>
      </c>
      <c r="BJ283" s="446">
        <f>IF($E283=0,0,IF(MIN(BJ$38,$E283)&lt;MAX($P$34*($B283+$I$38-1),IF(AND($L$37=0,$P$34=0),"",$L$37-1)),0,YEARFRAC(MAX($P$34*($B283+$I$38-1),IF(AND($L$37=0,$P$34=0),"",$L$37-1)),MIN(BJ$38,$E283),$P$20))-SUM($BF283:BI283))</f>
        <v>0</v>
      </c>
      <c r="BK283" s="446">
        <f>IF($E283=0,0,IF(MIN(BK$38,$E283)&lt;MAX($P$34*($B283+$I$38-1),IF(AND($L$37=0,$P$34=0),"",$L$37-1)),0,YEARFRAC(MAX($P$34*($B283+$I$38-1),IF(AND($L$37=0,$P$34=0),"",$L$37-1)),MIN(BK$38,$E283),$P$20))-SUM($BF283:BJ283))</f>
        <v>0</v>
      </c>
      <c r="BL283" s="446">
        <f>IF($E283=0,0,IF(MIN(BL$38,$E283)&lt;MAX($P$34*($B283+$I$38-1),IF(AND($L$37=0,$P$34=0),"",$L$37-1)),0,YEARFRAC(MAX($P$34*($B283+$I$38-1),IF(AND($L$37=0,$P$34=0),"",$L$37-1)),MIN(BL$38,$E283),$P$20))-SUM($BF283:BK283))</f>
        <v>0</v>
      </c>
      <c r="BM283" s="446">
        <f>IF($E283=0,0,IF(MIN(BM$38,$E283)&lt;MAX($P$34*($B283+$I$38-1),IF(AND($L$37=0,$P$34=0),"",$L$37-1)),0,YEARFRAC(MAX($P$34*($B283+$I$38-1),IF(AND($L$37=0,$P$34=0),"",$L$37-1)),MIN(BM$38,$E283),$P$20))-SUM($BF283:BL283))</f>
        <v>0</v>
      </c>
      <c r="BN283" s="446">
        <f>IF($E283=0,0,IF(MIN(BN$38,$E283)&lt;MAX($P$34*($B283+$I$38-1),IF(AND($L$37=0,$P$34=0),"",$L$37-1)),0,YEARFRAC(MAX($P$34*($B283+$I$38-1),IF(AND($L$37=0,$P$34=0),"",$L$37-1)),MIN(BN$38,$E283),$P$20))-SUM($BF283:BM283))</f>
        <v>0</v>
      </c>
      <c r="BO283" s="446">
        <f>IF($E283=0,0,IF(MIN(BO$38,$E283)&lt;MAX($P$34*($B283+$I$38-1),IF(AND($L$37=0,$P$34=0),"",$L$37-1)),0,YEARFRAC(MAX($P$34*($B283+$I$38-1),IF(AND($L$37=0,$P$34=0),"",$L$37-1)),MIN(BO$38,$E283),$P$20))-SUM($BF283:BN283))</f>
        <v>0</v>
      </c>
      <c r="BP283" s="446">
        <f>IF($E283=0,0,IF(MIN(BP$38,$E283)&lt;MAX($P$34*($B283+$I$38-1),IF(AND($L$37=0,$P$34=0),"",$L$37-1)),0,YEARFRAC(MAX($P$34*($B283+$I$38-1),IF(AND($L$37=0,$P$34=0),"",$L$37-1)),MIN(BP$38,$E283),$P$20))-SUM($BF283:BO283))</f>
        <v>0</v>
      </c>
      <c r="BQ283" s="446">
        <f>IF($E283=0,0,IF(MIN(BQ$38,$E283)&lt;MAX($P$34*($B283+$I$38-1),IF(AND($L$37=0,$P$34=0),"",$L$37-1)),0,YEARFRAC(MAX($P$34*($B283+$I$38-1),IF(AND($L$37=0,$P$34=0),"",$L$37-1)),MIN(BQ$38,$E283),$P$20))-SUM($BF283:BP283))</f>
        <v>0</v>
      </c>
      <c r="BR283" s="446">
        <f>IF($E283=0,0,IF(MIN(BR$38,$E283)&lt;MAX($P$34*($B283+$I$38-1),IF(AND($L$37=0,$P$34=0),"",$L$37-1)),0,YEARFRAC(MAX($P$34*($B283+$I$38-1),IF(AND($L$37=0,$P$34=0),"",$L$37-1)),MIN(BR$38,$E283),$P$20))-SUM($BF283:BQ283))</f>
        <v>0</v>
      </c>
      <c r="BS283" s="446">
        <f>IF($E283=0,0,IF(MIN(BS$38,$E283)&lt;MAX($P$34*($B283+$I$38-1),IF(AND($L$37=0,$P$34=0),"",$L$37-1)),0,YEARFRAC(MAX($P$34*($B283+$I$38-1),IF(AND($L$37=0,$P$34=0),"",$L$37-1)),MIN(BS$38,$E283),$P$20))-SUM($BF283:BR283))</f>
        <v>0</v>
      </c>
      <c r="BT283" s="446">
        <f>IF($E283=0,0,IF(MIN(BT$38,$E283)&lt;MAX($P$34*($B283+$I$38-1),IF(AND($L$37=0,$P$34=0),"",$L$37-1)),0,YEARFRAC(MAX($P$34*($B283+$I$38-1),IF(AND($L$37=0,$P$34=0),"",$L$37-1)),MIN(BT$38,$E283),$P$20))-SUM($BF283:BS283))</f>
        <v>0</v>
      </c>
      <c r="BU283" s="446">
        <f>IF($E283=0,0,IF(MIN(BU$38,$E283)&lt;MAX($P$34*($B283+$I$38-1),IF(AND($L$37=0,$P$34=0),"",$L$37-1)),0,YEARFRAC(MAX($P$34*($B283+$I$38-1),IF(AND($L$37=0,$P$34=0),"",$L$37-1)),MIN(BU$38,$E283),$P$20))-SUM($BF283:BT283))</f>
        <v>0</v>
      </c>
      <c r="BV283" s="446">
        <f>IF($E283=0,0,IF(MIN(BV$38,$E283)&lt;MAX($P$34*($B283+$I$38-1),IF(AND($L$37=0,$P$34=0),"",$L$37-1)),0,YEARFRAC(MAX($P$34*($B283+$I$38-1),IF(AND($L$37=0,$P$34=0),"",$L$37-1)),MIN(BV$38,$E283),$P$20))-SUM($BF283:BU283))</f>
        <v>0</v>
      </c>
      <c r="BW283" s="446">
        <f>IF($E283=0,0,IF(MIN(BW$38,$E283)&lt;MAX($P$34*($B283+$I$38-1),IF(AND($L$37=0,$P$34=0),"",$L$37-1)),0,YEARFRAC(MAX($P$34*($B283+$I$38-1),IF(AND($L$37=0,$P$34=0),"",$L$37-1)),MIN(BW$38,$E283),$P$20))-SUM($BF283:BV283))</f>
        <v>0</v>
      </c>
      <c r="BX283" s="446">
        <f>IF($E283=0,0,IF(MIN(BX$38,$E283)&lt;MAX($P$34*($B283+$I$38-1),IF(AND($L$37=0,$P$34=0),"",$L$37-1)),0,YEARFRAC(MAX($P$34*($B283+$I$38-1),IF(AND($L$37=0,$P$34=0),"",$L$37-1)),MIN(BX$38,$E283),$P$20))-SUM($BF283:BW283))</f>
        <v>0</v>
      </c>
      <c r="BY283" s="446">
        <f>IF($E283=0,0,IF(MIN(BY$38,$E283)&lt;MAX($P$34*($B283+$I$38-1),IF(AND($L$37=0,$P$34=0),"",$L$37-1)),0,YEARFRAC(MAX($P$34*($B283+$I$38-1),IF(AND($L$37=0,$P$34=0),"",$L$37-1)),MIN(BY$38,$E283),$P$20))-SUM($BF283:BX283))</f>
        <v>0</v>
      </c>
      <c r="BZ283" s="446">
        <f>IF($E283=0,0,IF(MIN(BZ$38,$E283)&lt;MAX($P$34*($B283+$I$38-1),IF(AND($L$37=0,$P$34=0),"",$L$37-1)),0,YEARFRAC(MAX($P$34*($B283+$I$38-1),IF(AND($L$37=0,$P$34=0),"",$L$37-1)),MIN(BZ$38,$E283),$P$20))-SUM($BF283:BY283))</f>
        <v>0</v>
      </c>
      <c r="CA283" s="446">
        <f>IF($E283=0,0,IF(MIN(CA$38,$E283)&lt;MAX($P$34*($B283+$I$38-1),IF(AND($L$37=0,$P$34=0),"",$L$37-1)),0,YEARFRAC(MAX($P$34*($B283+$I$38-1),IF(AND($L$37=0,$P$34=0),"",$L$37-1)),MIN(CA$38,$E283),$P$20))-SUM($BF283:BZ283))</f>
        <v>0</v>
      </c>
      <c r="CB283" s="446">
        <f>IF($E283=0,0,IF(MIN(CB$38,$E283)&lt;MAX($P$34*($B283+$I$38-1),IF(AND($L$37=0,$P$34=0),"",$L$37-1)),0,YEARFRAC(MAX($P$34*($B283+$I$38-1),IF(AND($L$37=0,$P$34=0),"",$L$37-1)),MIN(CB$38,$E283),$P$20))-SUM($BF283:CA283))</f>
        <v>0</v>
      </c>
      <c r="CC283" s="446">
        <f>IF($E283=0,0,IF(MIN(CC$38,$E283)&lt;MAX($P$34*($B283+$I$38-1),IF(AND($L$37=0,$P$34=0),"",$L$37-1)),0,YEARFRAC(MAX($P$34*($B283+$I$38-1),IF(AND($L$37=0,$P$34=0),"",$L$37-1)),MIN(CC$38,$E283),$P$20))-SUM($BF283:CB283))</f>
        <v>0</v>
      </c>
      <c r="CD283" s="446">
        <f>IF($E283=0,0,IF(MIN(CD$38,$E283)&lt;MAX($P$34*($B283+$I$38-1),IF(AND($L$37=0,$P$34=0),"",$L$37-1)),0,YEARFRAC(MAX($P$34*($B283+$I$38-1),IF(AND($L$37=0,$P$34=0),"",$L$37-1)),MIN(CD$38,$E283),$P$20))-SUM($BF283:CC283))</f>
        <v>0</v>
      </c>
      <c r="CE283" s="446">
        <f>IF($E283=0,0,IF(MIN(CE$38,$E283)&lt;MAX($P$34*($B283+$I$38-1),IF(AND($L$37=0,$P$34=0),"",$L$37-1)),0,YEARFRAC(MAX($P$34*($B283+$I$38-1),IF(AND($L$37=0,$P$34=0),"",$L$37-1)),MIN(CE$38,$E283),$P$20))-SUM($BF283:CD283))</f>
        <v>0</v>
      </c>
      <c r="CF283" s="446">
        <f>IF($E283=0,0,IF(MIN(CF$38,$E283)&lt;MAX($P$34*($B283+$I$38-1),IF(AND($L$37=0,$P$34=0),"",$L$37-1)),0,YEARFRAC(MAX($P$34*($B283+$I$38-1),IF(AND($L$37=0,$P$34=0),"",$L$37-1)),MIN(CF$38,$E283),$P$20))-SUM($BF283:CE283))</f>
        <v>0</v>
      </c>
      <c r="CG283" s="446">
        <f>IF($E283=0,0,IF(MIN(CG$38,$E283)&lt;MAX($P$34*($B283+$I$38-1),IF(AND($L$37=0,$P$34=0),"",$L$37-1)),0,YEARFRAC(MAX($P$34*($B283+$I$38-1),IF(AND($L$37=0,$P$34=0),"",$L$37-1)),MIN(CG$38,$E283),$P$20))-SUM($BF283:CF283))</f>
        <v>0</v>
      </c>
      <c r="CH283" s="446">
        <f>IF($E283=0,0,IF(MIN(CH$38,$E283)&lt;MAX($P$34*($B283+$I$38-1),IF(AND($L$37=0,$P$34=0),"",$L$37-1)),0,YEARFRAC(MAX($P$34*($B283+$I$38-1),IF(AND($L$37=0,$P$34=0),"",$L$37-1)),MIN(CH$38,$E283),$P$20))-SUM($BF283:CG283))</f>
        <v>0</v>
      </c>
      <c r="CI283" s="446">
        <f>IF($E283=0,0,IF(MIN(CI$38,$E283)&lt;MAX($P$34*($B283+$I$38-1),IF(AND($L$37=0,$P$34=0),"",$L$37-1)),0,YEARFRAC(MAX($P$34*($B283+$I$38-1),IF(AND($L$37=0,$P$34=0),"",$L$37-1)),MIN(CI$38,$E283),$P$20))-SUM($BF283:CH283))</f>
        <v>0</v>
      </c>
      <c r="CJ283" s="446">
        <f>IF($E283=0,0,IF(MIN(CJ$38,$E283)&lt;MAX($P$34*($B283+$I$38-1),IF(AND($L$37=0,$P$34=0),"",$L$37-1)),0,YEARFRAC(MAX($P$34*($B283+$I$38-1),IF(AND($L$37=0,$P$34=0),"",$L$37-1)),MIN(CJ$38,$E283),$P$20))-SUM($BF283:CI283))</f>
        <v>0</v>
      </c>
      <c r="CK283" s="446">
        <f>IF($E283=0,0,IF(MIN(CK$38,$E283)&lt;MAX($P$34*($B283+$I$38-1),IF(AND($L$37=0,$P$34=0),"",$L$37-1)),0,YEARFRAC(MAX($P$34*($B283+$I$38-1),IF(AND($L$37=0,$P$34=0),"",$L$37-1)),MIN(CK$38,$E283),$P$20))-SUM($BF283:CJ283))</f>
        <v>0</v>
      </c>
      <c r="CL283" s="446">
        <f>IF($E283=0,0,IF(MIN(CL$38,$E283)&lt;MAX($P$34*($B283+$I$38-1),IF(AND($L$37=0,$P$34=0),"",$L$37-1)),0,YEARFRAC(MAX($P$34*($B283+$I$38-1),IF(AND($L$37=0,$P$34=0),"",$L$37-1)),MIN(CL$38,$E283),$P$20))-SUM($BF283:CK283))</f>
        <v>0</v>
      </c>
      <c r="CM283" s="446">
        <f>IF($E283=0,0,IF(MIN(CM$38,$E283)&lt;MAX($P$34*($B283+$I$38-1),IF(AND($L$37=0,$P$34=0),"",$L$37-1)),0,YEARFRAC(MAX($P$34*($B283+$I$38-1),IF(AND($L$37=0,$P$34=0),"",$L$37-1)),MIN(CM$38,$E283),$P$20))-SUM($BF283:CL283))</f>
        <v>0</v>
      </c>
      <c r="CN283" s="446">
        <f>IF($E283=0,0,IF(MIN(CN$38,$E283)&lt;MAX($P$34*($B283+$I$38-1),IF(AND($L$37=0,$P$34=0),"",$L$37-1)),0,YEARFRAC(MAX($P$34*($B283+$I$38-1),IF(AND($L$37=0,$P$34=0),"",$L$37-1)),MIN(CN$38,$E283),$P$20))-SUM($BF283:CM283))</f>
        <v>0</v>
      </c>
      <c r="CO283" s="446">
        <f>IF($E283=0,0,IF(MIN(CO$38,$E283)&lt;MAX($P$34*($B283+$I$38-1),IF(AND($L$37=0,$P$34=0),"",$L$37-1)),0,YEARFRAC(MAX($P$34*($B283+$I$38-1),IF(AND($L$37=0,$P$34=0),"",$L$37-1)),MIN(CO$38,$E283),$P$20))-SUM($BF283:CN283))</f>
        <v>0</v>
      </c>
      <c r="CP283" s="446">
        <f>IF($E283=0,0,IF(MIN(CP$38,$E283)&lt;MAX($P$34*($B283+$I$38-1),IF(AND($L$37=0,$P$34=0),"",$L$37-1)),0,YEARFRAC(MAX($P$34*($B283+$I$38-1),IF(AND($L$37=0,$P$34=0),"",$L$37-1)),MIN(CP$38,$E283),$P$20))-SUM($BF283:CO283))</f>
        <v>0</v>
      </c>
      <c r="CQ283" s="446">
        <f>IF($E283=0,0,IF(MIN(CQ$38,$E283)&lt;MAX($P$34*($B283+$I$38-1),IF(AND($L$37=0,$P$34=0),"",$L$37-1)),0,YEARFRAC(MAX($P$34*($B283+$I$38-1),IF(AND($L$37=0,$P$34=0),"",$L$37-1)),MIN(CQ$38,$E283),$P$20))-SUM($BF283:CP283))</f>
        <v>0</v>
      </c>
    </row>
    <row r="284" spans="1:95" s="446" customFormat="1" ht="11.25" hidden="1" customHeight="1" x14ac:dyDescent="0.2">
      <c r="A284" s="152"/>
      <c r="B284" s="153" t="str">
        <f t="shared" si="48"/>
        <v/>
      </c>
      <c r="C284" s="29" t="str">
        <f>IF(B284="","",IF($L$35="SELIC - TRIBUTOS",VLOOKUP(DATE(YEAR($D$19),MONTH($D$19)-1,1),ÍNDICES!$A:$DE,HLOOKUP($BL$25,ÍNDICES!$B$3:$T$4,2)+11)-VLOOKUP(B284,ÍNDICES!$A:$DE,HLOOKUP($BL$25,ÍNDICES!$B$3:$T$4,2)+11)+1%,IF(C$38=$W$26,$J$35,IF(ISERROR(IF(B284&gt;$D$19,1,VLOOKUP(DATE(YEAR(B284),MONTH(B284)+IF($C$35=$S$23,1,0),1),ÍNDICES!$A:$DE,$Z$35+1))),"",IF(B284&gt;$D$19,1,VLOOKUP(DATE(YEAR(B284),MONTH(B284)+IF($C$35=$S$23,1,0),1),ÍNDICES!$A:$DE,$Z$35+1))))))</f>
        <v/>
      </c>
      <c r="D284" s="154" t="str">
        <f>IF(ISERROR(IF(OR($D$38=$Y$27,$B284=""),"",VLOOKUP(B284,ÍNDICES!A:DE,AF$35+1))),"",IF(OR($D$38=$Y$27,$B284=""),"",VLOOKUP(B284,ÍNDICES!A:DE,AF$35+1)))</f>
        <v/>
      </c>
      <c r="E284" s="153"/>
      <c r="F284" s="29" t="str">
        <f>IF(E284="","",IF($L$35="SELIC - TRIBUTOS",VLOOKUP(DATE(YEAR($D$19),MONTH($D$19)-1,1),ÍNDICES!$A:$DE,HLOOKUP($BL$25,ÍNDICES!$B$3:$T$4,2)+11)-VLOOKUP(E284,ÍNDICES!$A:$DE,HLOOKUP($BL$25,ÍNDICES!$B$3:$T$4,2)+11)+1%,IF(F$38=$W$26,$J$35,IF(ISERROR(IF(E284&gt;$D$19,1,VLOOKUP(DATE(YEAR(E284),MONTH(E284)+IF($C$35=$S$23,1,0),1),ÍNDICES!$A:$DE,$Z$35+1))),"",IF(E284&gt;$D$19,1,VLOOKUP(DATE(YEAR(E284),MONTH(E284)+IF($C$35=$S$23,1,0),1),ÍNDICES!$A:$DE,$Z$35+1))))))</f>
        <v/>
      </c>
      <c r="G284" s="155"/>
      <c r="H284" s="156" t="str">
        <f t="shared" si="44"/>
        <v/>
      </c>
      <c r="I284" s="29" t="str">
        <f t="shared" si="38"/>
        <v/>
      </c>
      <c r="J284" s="5">
        <f t="shared" si="39"/>
        <v>0</v>
      </c>
      <c r="K284" s="20">
        <f t="shared" ca="1" si="40"/>
        <v>0</v>
      </c>
      <c r="L284" s="5">
        <f t="shared" ca="1" si="41"/>
        <v>0</v>
      </c>
      <c r="M284" s="64">
        <f t="shared" si="45"/>
        <v>0</v>
      </c>
      <c r="N284" s="61">
        <f t="shared" ca="1" si="46"/>
        <v>0</v>
      </c>
      <c r="O284" s="5">
        <f t="shared" ca="1" si="47"/>
        <v>0</v>
      </c>
      <c r="P284" s="446" t="e">
        <f t="shared" si="42"/>
        <v>#VALUE!</v>
      </c>
      <c r="Q284" s="446" t="e">
        <f>IF(OR($B284="",MIN(Q$38,$D$19)&lt;MAX($P$34*($B284+IF($R$17="Distrato",$I$38-1,0)),IF(AND($L$37=0,$P$34=0),"",$L$37-1),IF($R$17="Distrato",$E284,0))),0,YEARFRAC(MAX($P$34*($B284+IF($R$17="Distrato",$I$38-1,0)),IF(AND($L$37=0,$P$34=0),"",$L$37-1),IF($R$17="Distrato",$E284,0)),MIN(Q$38,$D$19),$P$20))-SUM($P284:P284)</f>
        <v>#VALUE!</v>
      </c>
      <c r="R284" s="446" t="e">
        <f>IF(OR($B284="",MIN(R$38,$D$19)&lt;MAX($P$34*($B284+IF($R$17="Distrato",$I$38-1,0)),IF(AND($L$37=0,$P$34=0),"",$L$37-1),IF($R$17="Distrato",$E284,0))),0,YEARFRAC(MAX($P$34*($B284+IF($R$17="Distrato",$I$38-1,0)),IF(AND($L$37=0,$P$34=0),"",$L$37-1),IF($R$17="Distrato",$E284,0)),MIN(R$38,$D$19),$P$20))-SUM($P284:Q284)</f>
        <v>#VALUE!</v>
      </c>
      <c r="S284" s="446" t="e">
        <f>IF(OR($B284="",MIN(S$38,$D$19)&lt;MAX($P$34*($B284+IF($R$17="Distrato",$I$38-1,0)),IF(AND($L$37=0,$P$34=0),"",$L$37-1),IF($R$17="Distrato",$E284,0))),0,YEARFRAC(MAX($P$34*($B284+IF($R$17="Distrato",$I$38-1,0)),IF(AND($L$37=0,$P$34=0),"",$L$37-1),IF($R$17="Distrato",$E284,0)),MIN(S$38,$D$19),$P$20))-SUM($P284:R284)</f>
        <v>#VALUE!</v>
      </c>
      <c r="T284" s="446" t="e">
        <f>IF(OR($B284="",MIN(T$38,$D$19)&lt;MAX($P$34*($B284+IF($R$17="Distrato",$I$38-1,0)),IF(AND($L$37=0,$P$34=0),"",$L$37-1),IF($R$17="Distrato",$E284,0))),0,YEARFRAC(MAX($P$34*($B284+IF($R$17="Distrato",$I$38-1,0)),IF(AND($L$37=0,$P$34=0),"",$L$37-1),IF($R$17="Distrato",$E284,0)),MIN(T$38,$D$19),$P$20))-SUM($P284:S284)</f>
        <v>#VALUE!</v>
      </c>
      <c r="U284" s="446" t="e">
        <f>IF(OR($B284="",MIN(U$38,$D$19)&lt;MAX($P$34*($B284+IF($R$17="Distrato",$I$38-1,0)),IF(AND($L$37=0,$P$34=0),"",$L$37-1),IF($R$17="Distrato",$E284,0))),0,YEARFRAC(MAX($P$34*($B284+IF($R$17="Distrato",$I$38-1,0)),IF(AND($L$37=0,$P$34=0),"",$L$37-1),IF($R$17="Distrato",$E284,0)),MIN(U$38,$D$19),$P$20))-SUM($P284:T284)</f>
        <v>#VALUE!</v>
      </c>
      <c r="V284" s="446" t="e">
        <f>IF(OR($B284="",MIN(V$38,$D$19)&lt;MAX($P$34*($B284+IF($R$17="Distrato",$I$38-1,0)),IF(AND($L$37=0,$P$34=0),"",$L$37-1),IF($R$17="Distrato",$E284,0))),0,YEARFRAC(MAX($P$34*($B284+IF($R$17="Distrato",$I$38-1,0)),IF(AND($L$37=0,$P$34=0),"",$L$37-1),IF($R$17="Distrato",$E284,0)),MIN(V$38,$D$19),$P$20))-SUM($P284:U284)</f>
        <v>#VALUE!</v>
      </c>
      <c r="W284" s="446" t="e">
        <f>IF(OR($B284="",MIN(W$38,$D$19)&lt;MAX($P$34*($B284+IF($R$17="Distrato",$I$38-1,0)),IF(AND($L$37=0,$P$34=0),"",$L$37-1),IF($R$17="Distrato",$E284,0))),0,YEARFRAC(MAX($P$34*($B284+IF($R$17="Distrato",$I$38-1,0)),IF(AND($L$37=0,$P$34=0),"",$L$37-1),IF($R$17="Distrato",$E284,0)),MIN(W$38,$D$19),$P$20))-SUM($P284:V284)</f>
        <v>#VALUE!</v>
      </c>
      <c r="X284" s="446" t="e">
        <f>IF(OR($B284="",MIN(X$38,$D$19)&lt;MAX($P$34*($B284+IF($R$17="Distrato",$I$38-1,0)),IF(AND($L$37=0,$P$34=0),"",$L$37-1),IF($R$17="Distrato",$E284,0))),0,YEARFRAC(MAX($P$34*($B284+IF($R$17="Distrato",$I$38-1,0)),IF(AND($L$37=0,$P$34=0),"",$L$37-1),IF($R$17="Distrato",$E284,0)),MIN(X$38,$D$19),$P$20))-SUM($P284:W284)</f>
        <v>#VALUE!</v>
      </c>
      <c r="Y284" s="446" t="e">
        <f>IF(OR($B284="",MIN(Y$38,$D$19)&lt;MAX($P$34*($B284+IF($R$17="Distrato",$I$38-1,0)),IF(AND($L$37=0,$P$34=0),"",$L$37-1),IF($R$17="Distrato",$E284,0))),0,YEARFRAC(MAX($P$34*($B284+IF($R$17="Distrato",$I$38-1,0)),IF(AND($L$37=0,$P$34=0),"",$L$37-1),IF($R$17="Distrato",$E284,0)),MIN(Y$38,$D$19),$P$20))-SUM($P284:X284)</f>
        <v>#VALUE!</v>
      </c>
      <c r="Z284" s="446" t="e">
        <f>IF(OR($B284="",MIN(Z$38,$D$19)&lt;MAX($P$34*($B284+IF($R$17="Distrato",$I$38-1,0)),IF(AND($L$37=0,$P$34=0),"",$L$37-1),IF($R$17="Distrato",$E284,0))),0,YEARFRAC(MAX($P$34*($B284+IF($R$17="Distrato",$I$38-1,0)),IF(AND($L$37=0,$P$34=0),"",$L$37-1),IF($R$17="Distrato",$E284,0)),MIN(Z$38,$D$19),$P$20))-SUM($P284:Y284)</f>
        <v>#VALUE!</v>
      </c>
      <c r="AA284" s="446" t="e">
        <f>IF(OR($B284="",MIN(AA$38,$D$19)&lt;MAX($P$34*($B284+IF($R$17="Distrato",$I$38-1,0)),IF(AND($L$37=0,$P$34=0),"",$L$37-1),IF($R$17="Distrato",$E284,0))),0,YEARFRAC(MAX($P$34*($B284+IF($R$17="Distrato",$I$38-1,0)),IF(AND($L$37=0,$P$34=0),"",$L$37-1),IF($R$17="Distrato",$E284,0)),MIN(AA$38,$D$19),$P$20))-SUM($P284:Z284)</f>
        <v>#VALUE!</v>
      </c>
      <c r="AB284" s="446" t="e">
        <f>IF(OR($B284="",MIN(AB$38,$D$19)&lt;MAX($P$34*($B284+IF($R$17="Distrato",$I$38-1,0)),IF(AND($L$37=0,$P$34=0),"",$L$37-1),IF($R$17="Distrato",$E284,0))),0,YEARFRAC(MAX($P$34*($B284+IF($R$17="Distrato",$I$38-1,0)),IF(AND($L$37=0,$P$34=0),"",$L$37-1),IF($R$17="Distrato",$E284,0)),MIN(AB$38,$D$19),$P$20))-SUM($P284:AA284)</f>
        <v>#VALUE!</v>
      </c>
      <c r="AC284" s="446" t="e">
        <f>IF(OR($B284="",MIN(AC$38,$D$19)&lt;MAX($P$34*($B284+IF($R$17="Distrato",$I$38-1,0)),IF(AND($L$37=0,$P$34=0),"",$L$37-1),IF($R$17="Distrato",$E284,0))),0,YEARFRAC(MAX($P$34*($B284+IF($R$17="Distrato",$I$38-1,0)),IF(AND($L$37=0,$P$34=0),"",$L$37-1),IF($R$17="Distrato",$E284,0)),MIN(AC$38,$D$19),$P$20))-SUM($P284:AB284)</f>
        <v>#VALUE!</v>
      </c>
      <c r="AD284" s="446" t="e">
        <f>IF(OR($B284="",MIN(AD$38,$D$19)&lt;MAX($P$34*($B284+IF($R$17="Distrato",$I$38-1,0)),IF(AND($L$37=0,$P$34=0),"",$L$37-1),IF($R$17="Distrato",$E284,0))),0,YEARFRAC(MAX($P$34*($B284+IF($R$17="Distrato",$I$38-1,0)),IF(AND($L$37=0,$P$34=0),"",$L$37-1),IF($R$17="Distrato",$E284,0)),MIN(AD$38,$D$19),$P$20))-SUM($P284:AC284)</f>
        <v>#VALUE!</v>
      </c>
      <c r="AE284" s="446" t="e">
        <f>IF(OR($B284="",MIN(AE$38,$D$19)&lt;MAX($P$34*($B284+IF($R$17="Distrato",$I$38-1,0)),IF(AND($L$37=0,$P$34=0),"",$L$37-1),IF($R$17="Distrato",$E284,0))),0,YEARFRAC(MAX($P$34*($B284+IF($R$17="Distrato",$I$38-1,0)),IF(AND($L$37=0,$P$34=0),"",$L$37-1),IF($R$17="Distrato",$E284,0)),MIN(AE$38,$D$19),$P$20))-SUM($P284:AD284)</f>
        <v>#VALUE!</v>
      </c>
      <c r="AF284" s="446" t="e">
        <f>IF(OR($B284="",MIN(AF$38,$D$19)&lt;MAX($P$34*($B284+IF($R$17="Distrato",$I$38-1,0)),IF(AND($L$37=0,$P$34=0),"",$L$37-1),IF($R$17="Distrato",$E284,0))),0,YEARFRAC(MAX($P$34*($B284+IF($R$17="Distrato",$I$38-1,0)),IF(AND($L$37=0,$P$34=0),"",$L$37-1),IF($R$17="Distrato",$E284,0)),MIN(AF$38,$D$19),$P$20))-SUM($P284:AE284)</f>
        <v>#VALUE!</v>
      </c>
      <c r="AG284" s="446" t="e">
        <f>IF(OR($B284="",MIN(AG$38,$D$19)&lt;MAX($P$34*($B284+IF($R$17="Distrato",$I$38-1,0)),IF(AND($L$37=0,$P$34=0),"",$L$37-1),IF($R$17="Distrato",$E284,0))),0,YEARFRAC(MAX($P$34*($B284+IF($R$17="Distrato",$I$38-1,0)),IF(AND($L$37=0,$P$34=0),"",$L$37-1),IF($R$17="Distrato",$E284,0)),MIN(AG$38,$D$19),$P$20))-SUM($P284:AF284)</f>
        <v>#VALUE!</v>
      </c>
      <c r="AH284" s="446" t="e">
        <f>IF(OR($B284="",MIN(AH$38,$D$19)&lt;MAX($P$34*($B284+IF($R$17="Distrato",$I$38-1,0)),IF(AND($L$37=0,$P$34=0),"",$L$37-1),IF($R$17="Distrato",$E284,0))),0,YEARFRAC(MAX($P$34*($B284+IF($R$17="Distrato",$I$38-1,0)),IF(AND($L$37=0,$P$34=0),"",$L$37-1),IF($R$17="Distrato",$E284,0)),MIN(AH$38,$D$19),$P$20))-SUM($P284:AG284)</f>
        <v>#VALUE!</v>
      </c>
      <c r="AI284" s="446" t="e">
        <f>IF(OR($B284="",MIN(AI$38,$D$19)&lt;MAX($P$34*($B284+IF($R$17="Distrato",$I$38-1,0)),IF(AND($L$37=0,$P$34=0),"",$L$37-1),IF($R$17="Distrato",$E284,0))),0,YEARFRAC(MAX($P$34*($B284+IF($R$17="Distrato",$I$38-1,0)),IF(AND($L$37=0,$P$34=0),"",$L$37-1),IF($R$17="Distrato",$E284,0)),MIN(AI$38,$D$19),$P$20))-SUM($P284:AH284)</f>
        <v>#VALUE!</v>
      </c>
      <c r="AJ284" s="446" t="e">
        <f>IF(OR($B284="",MIN(AJ$38,$D$19)&lt;MAX($P$34*($B284+IF($R$17="Distrato",$I$38-1,0)),IF(AND($L$37=0,$P$34=0),"",$L$37-1),IF($R$17="Distrato",$E284,0))),0,YEARFRAC(MAX($P$34*($B284+IF($R$17="Distrato",$I$38-1,0)),IF(AND($L$37=0,$P$34=0),"",$L$37-1),IF($R$17="Distrato",$E284,0)),MIN(AJ$38,$D$19),$P$20))-SUM($P284:AI284)</f>
        <v>#VALUE!</v>
      </c>
      <c r="AK284" s="446" t="e">
        <f>IF(OR($B284="",MIN(AK$38,$D$19)&lt;MAX($P$34*($B284+IF($R$17="Distrato",$I$38-1,0)),IF(AND($L$37=0,$P$34=0),"",$L$37-1),IF($R$17="Distrato",$E284,0))),0,YEARFRAC(MAX($P$34*($B284+IF($R$17="Distrato",$I$38-1,0)),IF(AND($L$37=0,$P$34=0),"",$L$37-1),IF($R$17="Distrato",$E284,0)),MIN(AK$38,$D$19),$P$20))-SUM($P284:AJ284)</f>
        <v>#VALUE!</v>
      </c>
      <c r="AL284" s="446" t="e">
        <f>IF(OR($B284="",MIN(AL$38,$D$19)&lt;MAX($P$34*($B284+IF($R$17="Distrato",$I$38-1,0)),IF(AND($L$37=0,$P$34=0),"",$L$37-1),IF($R$17="Distrato",$E284,0))),0,YEARFRAC(MAX($P$34*($B284+IF($R$17="Distrato",$I$38-1,0)),IF(AND($L$37=0,$P$34=0),"",$L$37-1),IF($R$17="Distrato",$E284,0)),MIN(AL$38,$D$19),$P$20))-SUM($P284:AK284)</f>
        <v>#VALUE!</v>
      </c>
      <c r="AM284" s="446" t="e">
        <f>IF(OR($B284="",MIN(AM$38,$D$19)&lt;MAX($P$34*($B284+IF($R$17="Distrato",$I$38-1,0)),IF(AND($L$37=0,$P$34=0),"",$L$37-1),IF($R$17="Distrato",$E284,0))),0,YEARFRAC(MAX($P$34*($B284+IF($R$17="Distrato",$I$38-1,0)),IF(AND($L$37=0,$P$34=0),"",$L$37-1),IF($R$17="Distrato",$E284,0)),MIN(AM$38,$D$19),$P$20))-SUM($P284:AL284)</f>
        <v>#VALUE!</v>
      </c>
      <c r="AN284" s="446" t="e">
        <f>IF(OR($B284="",MIN(AN$38,$D$19)&lt;MAX($P$34*($B284+IF($R$17="Distrato",$I$38-1,0)),IF(AND($L$37=0,$P$34=0),"",$L$37-1),IF($R$17="Distrato",$E284,0))),0,YEARFRAC(MAX($P$34*($B284+IF($R$17="Distrato",$I$38-1,0)),IF(AND($L$37=0,$P$34=0),"",$L$37-1),IF($R$17="Distrato",$E284,0)),MIN(AN$38,$D$19),$P$20))-SUM($P284:AM284)</f>
        <v>#VALUE!</v>
      </c>
      <c r="AO284" s="446" t="e">
        <f>IF(OR($B284="",MIN(AO$38,$D$19)&lt;MAX($P$34*($B284+IF($R$17="Distrato",$I$38-1,0)),IF(AND($L$37=0,$P$34=0),"",$L$37-1),IF($R$17="Distrato",$E284,0))),0,YEARFRAC(MAX($P$34*($B284+IF($R$17="Distrato",$I$38-1,0)),IF(AND($L$37=0,$P$34=0),"",$L$37-1),IF($R$17="Distrato",$E284,0)),MIN(AO$38,$D$19),$P$20))-SUM($P284:AN284)</f>
        <v>#VALUE!</v>
      </c>
      <c r="AP284" s="446" t="e">
        <f>IF(OR($B284="",MIN(AP$38,$D$19)&lt;MAX($P$34*($B284+IF($R$17="Distrato",$I$38-1,0)),IF(AND($L$37=0,$P$34=0),"",$L$37-1),IF($R$17="Distrato",$E284,0))),0,YEARFRAC(MAX($P$34*($B284+IF($R$17="Distrato",$I$38-1,0)),IF(AND($L$37=0,$P$34=0),"",$L$37-1),IF($R$17="Distrato",$E284,0)),MIN(AP$38,$D$19),$P$20))-SUM($P284:AO284)</f>
        <v>#VALUE!</v>
      </c>
      <c r="AQ284" s="446" t="e">
        <f>IF(OR($B284="",MIN(AQ$38,$D$19)&lt;MAX($P$34*($B284+IF($R$17="Distrato",$I$38-1,0)),IF(AND($L$37=0,$P$34=0),"",$L$37-1),IF($R$17="Distrato",$E284,0))),0,YEARFRAC(MAX($P$34*($B284+IF($R$17="Distrato",$I$38-1,0)),IF(AND($L$37=0,$P$34=0),"",$L$37-1),IF($R$17="Distrato",$E284,0)),MIN(AQ$38,$D$19),$P$20))-SUM($P284:AP284)</f>
        <v>#VALUE!</v>
      </c>
      <c r="AR284" s="446" t="e">
        <f>IF(OR($B284="",MIN(AR$38,$D$19)&lt;MAX($P$34*($B284+IF($R$17="Distrato",$I$38-1,0)),IF(AND($L$37=0,$P$34=0),"",$L$37-1),IF($R$17="Distrato",$E284,0))),0,YEARFRAC(MAX($P$34*($B284+IF($R$17="Distrato",$I$38-1,0)),IF(AND($L$37=0,$P$34=0),"",$L$37-1),IF($R$17="Distrato",$E284,0)),MIN(AR$38,$D$19),$P$20))-SUM($P284:AQ284)</f>
        <v>#VALUE!</v>
      </c>
      <c r="AS284" s="446" t="e">
        <f>IF(OR($B284="",MIN(AS$38,$D$19)&lt;MAX($P$34*($B284+IF($R$17="Distrato",$I$38-1,0)),IF(AND($L$37=0,$P$34=0),"",$L$37-1),IF($R$17="Distrato",$E284,0))),0,YEARFRAC(MAX($P$34*($B284+IF($R$17="Distrato",$I$38-1,0)),IF(AND($L$37=0,$P$34=0),"",$L$37-1),IF($R$17="Distrato",$E284,0)),MIN(AS$38,$D$19),$P$20))-SUM($P284:AR284)</f>
        <v>#VALUE!</v>
      </c>
      <c r="AT284" s="446" t="e">
        <f>IF(OR($B284="",MIN(AT$38,$D$19)&lt;MAX($P$34*($B284+IF($R$17="Distrato",$I$38-1,0)),IF(AND($L$37=0,$P$34=0),"",$L$37-1),IF($R$17="Distrato",$E284,0))),0,YEARFRAC(MAX($P$34*($B284+IF($R$17="Distrato",$I$38-1,0)),IF(AND($L$37=0,$P$34=0),"",$L$37-1),IF($R$17="Distrato",$E284,0)),MIN(AT$38,$D$19),$P$20))-SUM($P284:AS284)</f>
        <v>#VALUE!</v>
      </c>
      <c r="AU284" s="446" t="e">
        <f>IF(OR($B284="",MIN(AU$38,$D$19)&lt;MAX($P$34*($B284+IF($R$17="Distrato",$I$38-1,0)),IF(AND($L$37=0,$P$34=0),"",$L$37-1),IF($R$17="Distrato",$E284,0))),0,YEARFRAC(MAX($P$34*($B284+IF($R$17="Distrato",$I$38-1,0)),IF(AND($L$37=0,$P$34=0),"",$L$37-1),IF($R$17="Distrato",$E284,0)),MIN(AU$38,$D$19),$P$20))-SUM($P284:AT284)</f>
        <v>#VALUE!</v>
      </c>
      <c r="AV284" s="446" t="e">
        <f>IF(OR($B284="",MIN(AV$38,$D$19)&lt;MAX($P$34*($B284+IF($R$17="Distrato",$I$38-1,0)),IF(AND($L$37=0,$P$34=0),"",$L$37-1),IF($R$17="Distrato",$E284,0))),0,YEARFRAC(MAX($P$34*($B284+IF($R$17="Distrato",$I$38-1,0)),IF(AND($L$37=0,$P$34=0),"",$L$37-1),IF($R$17="Distrato",$E284,0)),MIN(AV$38,$D$19),$P$20))-SUM($P284:AU284)</f>
        <v>#VALUE!</v>
      </c>
      <c r="AW284" s="446" t="e">
        <f>IF(OR($B284="",MIN(AW$38,$D$19)&lt;MAX($P$34*($B284+IF($R$17="Distrato",$I$38-1,0)),IF(AND($L$37=0,$P$34=0),"",$L$37-1),IF($R$17="Distrato",$E284,0))),0,YEARFRAC(MAX($P$34*($B284+IF($R$17="Distrato",$I$38-1,0)),IF(AND($L$37=0,$P$34=0),"",$L$37-1),IF($R$17="Distrato",$E284,0)),MIN(AW$38,$D$19),$P$20))-SUM($P284:AV284)</f>
        <v>#VALUE!</v>
      </c>
      <c r="AX284" s="446" t="e">
        <f>IF(OR($B284="",MIN(AX$38,$D$19)&lt;MAX($P$34*($B284+IF($R$17="Distrato",$I$38-1,0)),IF(AND($L$37=0,$P$34=0),"",$L$37-1),IF($R$17="Distrato",$E284,0))),0,YEARFRAC(MAX($P$34*($B284+IF($R$17="Distrato",$I$38-1,0)),IF(AND($L$37=0,$P$34=0),"",$L$37-1),IF($R$17="Distrato",$E284,0)),MIN(AX$38,$D$19),$P$20))-SUM($P284:AW284)</f>
        <v>#VALUE!</v>
      </c>
      <c r="AY284" s="446" t="e">
        <f>IF(OR($B284="",MIN(AY$38,$D$19)&lt;MAX($P$34*($B284+IF($R$17="Distrato",$I$38-1,0)),IF(AND($L$37=0,$P$34=0),"",$L$37-1),IF($R$17="Distrato",$E284,0))),0,YEARFRAC(MAX($P$34*($B284+IF($R$17="Distrato",$I$38-1,0)),IF(AND($L$37=0,$P$34=0),"",$L$37-1),IF($R$17="Distrato",$E284,0)),MIN(AY$38,$D$19),$P$20))-SUM($P284:AX284)</f>
        <v>#VALUE!</v>
      </c>
      <c r="AZ284" s="446" t="e">
        <f>IF(OR($B284="",MIN(AZ$38,$D$19)&lt;MAX($P$34*($B284+IF($R$17="Distrato",$I$38-1,0)),IF(AND($L$37=0,$P$34=0),"",$L$37-1),IF($R$17="Distrato",$E284,0))),0,YEARFRAC(MAX($P$34*($B284+IF($R$17="Distrato",$I$38-1,0)),IF(AND($L$37=0,$P$34=0),"",$L$37-1),IF($R$17="Distrato",$E284,0)),MIN(AZ$38,$D$19),$P$20))-SUM($P284:AY284)</f>
        <v>#VALUE!</v>
      </c>
      <c r="BA284" s="446" t="e">
        <f>IF(OR($B284="",MIN(BA$38,$D$19)&lt;MAX($P$34*($B284+IF($R$17="Distrato",$I$38-1,0)),IF(AND($L$37=0,$P$34=0),"",$L$37-1),IF($R$17="Distrato",$E284,0))),0,YEARFRAC(MAX($P$34*($B284+IF($R$17="Distrato",$I$38-1,0)),IF(AND($L$37=0,$P$34=0),"",$L$37-1),IF($R$17="Distrato",$E284,0)),MIN(BA$38,$D$19),$P$20))-SUM($P284:AZ284)</f>
        <v>#VALUE!</v>
      </c>
      <c r="BB284" s="447"/>
      <c r="BF284" s="446">
        <f t="shared" si="43"/>
        <v>0</v>
      </c>
      <c r="BG284" s="446">
        <f>IF($E284=0,0,IF(MIN(BG$38,$E284)&lt;MAX($P$34*($B284+$I$38-1),IF(AND($L$37=0,$P$34=0),"",$L$37-1)),0,YEARFRAC(MAX($P$34*($B284+$I$38-1),IF(AND($L$37=0,$P$34=0),"",$L$37-1)),MIN(BG$38,$E284),$P$20))-SUM($BF284:BF284))</f>
        <v>0</v>
      </c>
      <c r="BH284" s="446">
        <f>IF($E284=0,0,IF(MIN(BH$38,$E284)&lt;MAX($P$34*($B284+$I$38-1),IF(AND($L$37=0,$P$34=0),"",$L$37-1)),0,YEARFRAC(MAX($P$34*($B284+$I$38-1),IF(AND($L$37=0,$P$34=0),"",$L$37-1)),MIN(BH$38,$E284),$P$20))-SUM($BF284:BG284))</f>
        <v>0</v>
      </c>
      <c r="BI284" s="446">
        <f>IF($E284=0,0,IF(MIN(BI$38,$E284)&lt;MAX($P$34*($B284+$I$38-1),IF(AND($L$37=0,$P$34=0),"",$L$37-1)),0,YEARFRAC(MAX($P$34*($B284+$I$38-1),IF(AND($L$37=0,$P$34=0),"",$L$37-1)),MIN(BI$38,$E284),$P$20))-SUM($BF284:BH284))</f>
        <v>0</v>
      </c>
      <c r="BJ284" s="446">
        <f>IF($E284=0,0,IF(MIN(BJ$38,$E284)&lt;MAX($P$34*($B284+$I$38-1),IF(AND($L$37=0,$P$34=0),"",$L$37-1)),0,YEARFRAC(MAX($P$34*($B284+$I$38-1),IF(AND($L$37=0,$P$34=0),"",$L$37-1)),MIN(BJ$38,$E284),$P$20))-SUM($BF284:BI284))</f>
        <v>0</v>
      </c>
      <c r="BK284" s="446">
        <f>IF($E284=0,0,IF(MIN(BK$38,$E284)&lt;MAX($P$34*($B284+$I$38-1),IF(AND($L$37=0,$P$34=0),"",$L$37-1)),0,YEARFRAC(MAX($P$34*($B284+$I$38-1),IF(AND($L$37=0,$P$34=0),"",$L$37-1)),MIN(BK$38,$E284),$P$20))-SUM($BF284:BJ284))</f>
        <v>0</v>
      </c>
      <c r="BL284" s="446">
        <f>IF($E284=0,0,IF(MIN(BL$38,$E284)&lt;MAX($P$34*($B284+$I$38-1),IF(AND($L$37=0,$P$34=0),"",$L$37-1)),0,YEARFRAC(MAX($P$34*($B284+$I$38-1),IF(AND($L$37=0,$P$34=0),"",$L$37-1)),MIN(BL$38,$E284),$P$20))-SUM($BF284:BK284))</f>
        <v>0</v>
      </c>
      <c r="BM284" s="446">
        <f>IF($E284=0,0,IF(MIN(BM$38,$E284)&lt;MAX($P$34*($B284+$I$38-1),IF(AND($L$37=0,$P$34=0),"",$L$37-1)),0,YEARFRAC(MAX($P$34*($B284+$I$38-1),IF(AND($L$37=0,$P$34=0),"",$L$37-1)),MIN(BM$38,$E284),$P$20))-SUM($BF284:BL284))</f>
        <v>0</v>
      </c>
      <c r="BN284" s="446">
        <f>IF($E284=0,0,IF(MIN(BN$38,$E284)&lt;MAX($P$34*($B284+$I$38-1),IF(AND($L$37=0,$P$34=0),"",$L$37-1)),0,YEARFRAC(MAX($P$34*($B284+$I$38-1),IF(AND($L$37=0,$P$34=0),"",$L$37-1)),MIN(BN$38,$E284),$P$20))-SUM($BF284:BM284))</f>
        <v>0</v>
      </c>
      <c r="BO284" s="446">
        <f>IF($E284=0,0,IF(MIN(BO$38,$E284)&lt;MAX($P$34*($B284+$I$38-1),IF(AND($L$37=0,$P$34=0),"",$L$37-1)),0,YEARFRAC(MAX($P$34*($B284+$I$38-1),IF(AND($L$37=0,$P$34=0),"",$L$37-1)),MIN(BO$38,$E284),$P$20))-SUM($BF284:BN284))</f>
        <v>0</v>
      </c>
      <c r="BP284" s="446">
        <f>IF($E284=0,0,IF(MIN(BP$38,$E284)&lt;MAX($P$34*($B284+$I$38-1),IF(AND($L$37=0,$P$34=0),"",$L$37-1)),0,YEARFRAC(MAX($P$34*($B284+$I$38-1),IF(AND($L$37=0,$P$34=0),"",$L$37-1)),MIN(BP$38,$E284),$P$20))-SUM($BF284:BO284))</f>
        <v>0</v>
      </c>
      <c r="BQ284" s="446">
        <f>IF($E284=0,0,IF(MIN(BQ$38,$E284)&lt;MAX($P$34*($B284+$I$38-1),IF(AND($L$37=0,$P$34=0),"",$L$37-1)),0,YEARFRAC(MAX($P$34*($B284+$I$38-1),IF(AND($L$37=0,$P$34=0),"",$L$37-1)),MIN(BQ$38,$E284),$P$20))-SUM($BF284:BP284))</f>
        <v>0</v>
      </c>
      <c r="BR284" s="446">
        <f>IF($E284=0,0,IF(MIN(BR$38,$E284)&lt;MAX($P$34*($B284+$I$38-1),IF(AND($L$37=0,$P$34=0),"",$L$37-1)),0,YEARFRAC(MAX($P$34*($B284+$I$38-1),IF(AND($L$37=0,$P$34=0),"",$L$37-1)),MIN(BR$38,$E284),$P$20))-SUM($BF284:BQ284))</f>
        <v>0</v>
      </c>
      <c r="BS284" s="446">
        <f>IF($E284=0,0,IF(MIN(BS$38,$E284)&lt;MAX($P$34*($B284+$I$38-1),IF(AND($L$37=0,$P$34=0),"",$L$37-1)),0,YEARFRAC(MAX($P$34*($B284+$I$38-1),IF(AND($L$37=0,$P$34=0),"",$L$37-1)),MIN(BS$38,$E284),$P$20))-SUM($BF284:BR284))</f>
        <v>0</v>
      </c>
      <c r="BT284" s="446">
        <f>IF($E284=0,0,IF(MIN(BT$38,$E284)&lt;MAX($P$34*($B284+$I$38-1),IF(AND($L$37=0,$P$34=0),"",$L$37-1)),0,YEARFRAC(MAX($P$34*($B284+$I$38-1),IF(AND($L$37=0,$P$34=0),"",$L$37-1)),MIN(BT$38,$E284),$P$20))-SUM($BF284:BS284))</f>
        <v>0</v>
      </c>
      <c r="BU284" s="446">
        <f>IF($E284=0,0,IF(MIN(BU$38,$E284)&lt;MAX($P$34*($B284+$I$38-1),IF(AND($L$37=0,$P$34=0),"",$L$37-1)),0,YEARFRAC(MAX($P$34*($B284+$I$38-1),IF(AND($L$37=0,$P$34=0),"",$L$37-1)),MIN(BU$38,$E284),$P$20))-SUM($BF284:BT284))</f>
        <v>0</v>
      </c>
      <c r="BV284" s="446">
        <f>IF($E284=0,0,IF(MIN(BV$38,$E284)&lt;MAX($P$34*($B284+$I$38-1),IF(AND($L$37=0,$P$34=0),"",$L$37-1)),0,YEARFRAC(MAX($P$34*($B284+$I$38-1),IF(AND($L$37=0,$P$34=0),"",$L$37-1)),MIN(BV$38,$E284),$P$20))-SUM($BF284:BU284))</f>
        <v>0</v>
      </c>
      <c r="BW284" s="446">
        <f>IF($E284=0,0,IF(MIN(BW$38,$E284)&lt;MAX($P$34*($B284+$I$38-1),IF(AND($L$37=0,$P$34=0),"",$L$37-1)),0,YEARFRAC(MAX($P$34*($B284+$I$38-1),IF(AND($L$37=0,$P$34=0),"",$L$37-1)),MIN(BW$38,$E284),$P$20))-SUM($BF284:BV284))</f>
        <v>0</v>
      </c>
      <c r="BX284" s="446">
        <f>IF($E284=0,0,IF(MIN(BX$38,$E284)&lt;MAX($P$34*($B284+$I$38-1),IF(AND($L$37=0,$P$34=0),"",$L$37-1)),0,YEARFRAC(MAX($P$34*($B284+$I$38-1),IF(AND($L$37=0,$P$34=0),"",$L$37-1)),MIN(BX$38,$E284),$P$20))-SUM($BF284:BW284))</f>
        <v>0</v>
      </c>
      <c r="BY284" s="446">
        <f>IF($E284=0,0,IF(MIN(BY$38,$E284)&lt;MAX($P$34*($B284+$I$38-1),IF(AND($L$37=0,$P$34=0),"",$L$37-1)),0,YEARFRAC(MAX($P$34*($B284+$I$38-1),IF(AND($L$37=0,$P$34=0),"",$L$37-1)),MIN(BY$38,$E284),$P$20))-SUM($BF284:BX284))</f>
        <v>0</v>
      </c>
      <c r="BZ284" s="446">
        <f>IF($E284=0,0,IF(MIN(BZ$38,$E284)&lt;MAX($P$34*($B284+$I$38-1),IF(AND($L$37=0,$P$34=0),"",$L$37-1)),0,YEARFRAC(MAX($P$34*($B284+$I$38-1),IF(AND($L$37=0,$P$34=0),"",$L$37-1)),MIN(BZ$38,$E284),$P$20))-SUM($BF284:BY284))</f>
        <v>0</v>
      </c>
      <c r="CA284" s="446">
        <f>IF($E284=0,0,IF(MIN(CA$38,$E284)&lt;MAX($P$34*($B284+$I$38-1),IF(AND($L$37=0,$P$34=0),"",$L$37-1)),0,YEARFRAC(MAX($P$34*($B284+$I$38-1),IF(AND($L$37=0,$P$34=0),"",$L$37-1)),MIN(CA$38,$E284),$P$20))-SUM($BF284:BZ284))</f>
        <v>0</v>
      </c>
      <c r="CB284" s="446">
        <f>IF($E284=0,0,IF(MIN(CB$38,$E284)&lt;MAX($P$34*($B284+$I$38-1),IF(AND($L$37=0,$P$34=0),"",$L$37-1)),0,YEARFRAC(MAX($P$34*($B284+$I$38-1),IF(AND($L$37=0,$P$34=0),"",$L$37-1)),MIN(CB$38,$E284),$P$20))-SUM($BF284:CA284))</f>
        <v>0</v>
      </c>
      <c r="CC284" s="446">
        <f>IF($E284=0,0,IF(MIN(CC$38,$E284)&lt;MAX($P$34*($B284+$I$38-1),IF(AND($L$37=0,$P$34=0),"",$L$37-1)),0,YEARFRAC(MAX($P$34*($B284+$I$38-1),IF(AND($L$37=0,$P$34=0),"",$L$37-1)),MIN(CC$38,$E284),$P$20))-SUM($BF284:CB284))</f>
        <v>0</v>
      </c>
      <c r="CD284" s="446">
        <f>IF($E284=0,0,IF(MIN(CD$38,$E284)&lt;MAX($P$34*($B284+$I$38-1),IF(AND($L$37=0,$P$34=0),"",$L$37-1)),0,YEARFRAC(MAX($P$34*($B284+$I$38-1),IF(AND($L$37=0,$P$34=0),"",$L$37-1)),MIN(CD$38,$E284),$P$20))-SUM($BF284:CC284))</f>
        <v>0</v>
      </c>
      <c r="CE284" s="446">
        <f>IF($E284=0,0,IF(MIN(CE$38,$E284)&lt;MAX($P$34*($B284+$I$38-1),IF(AND($L$37=0,$P$34=0),"",$L$37-1)),0,YEARFRAC(MAX($P$34*($B284+$I$38-1),IF(AND($L$37=0,$P$34=0),"",$L$37-1)),MIN(CE$38,$E284),$P$20))-SUM($BF284:CD284))</f>
        <v>0</v>
      </c>
      <c r="CF284" s="446">
        <f>IF($E284=0,0,IF(MIN(CF$38,$E284)&lt;MAX($P$34*($B284+$I$38-1),IF(AND($L$37=0,$P$34=0),"",$L$37-1)),0,YEARFRAC(MAX($P$34*($B284+$I$38-1),IF(AND($L$37=0,$P$34=0),"",$L$37-1)),MIN(CF$38,$E284),$P$20))-SUM($BF284:CE284))</f>
        <v>0</v>
      </c>
      <c r="CG284" s="446">
        <f>IF($E284=0,0,IF(MIN(CG$38,$E284)&lt;MAX($P$34*($B284+$I$38-1),IF(AND($L$37=0,$P$34=0),"",$L$37-1)),0,YEARFRAC(MAX($P$34*($B284+$I$38-1),IF(AND($L$37=0,$P$34=0),"",$L$37-1)),MIN(CG$38,$E284),$P$20))-SUM($BF284:CF284))</f>
        <v>0</v>
      </c>
      <c r="CH284" s="446">
        <f>IF($E284=0,0,IF(MIN(CH$38,$E284)&lt;MAX($P$34*($B284+$I$38-1),IF(AND($L$37=0,$P$34=0),"",$L$37-1)),0,YEARFRAC(MAX($P$34*($B284+$I$38-1),IF(AND($L$37=0,$P$34=0),"",$L$37-1)),MIN(CH$38,$E284),$P$20))-SUM($BF284:CG284))</f>
        <v>0</v>
      </c>
      <c r="CI284" s="446">
        <f>IF($E284=0,0,IF(MIN(CI$38,$E284)&lt;MAX($P$34*($B284+$I$38-1),IF(AND($L$37=0,$P$34=0),"",$L$37-1)),0,YEARFRAC(MAX($P$34*($B284+$I$38-1),IF(AND($L$37=0,$P$34=0),"",$L$37-1)),MIN(CI$38,$E284),$P$20))-SUM($BF284:CH284))</f>
        <v>0</v>
      </c>
      <c r="CJ284" s="446">
        <f>IF($E284=0,0,IF(MIN(CJ$38,$E284)&lt;MAX($P$34*($B284+$I$38-1),IF(AND($L$37=0,$P$34=0),"",$L$37-1)),0,YEARFRAC(MAX($P$34*($B284+$I$38-1),IF(AND($L$37=0,$P$34=0),"",$L$37-1)),MIN(CJ$38,$E284),$P$20))-SUM($BF284:CI284))</f>
        <v>0</v>
      </c>
      <c r="CK284" s="446">
        <f>IF($E284=0,0,IF(MIN(CK$38,$E284)&lt;MAX($P$34*($B284+$I$38-1),IF(AND($L$37=0,$P$34=0),"",$L$37-1)),0,YEARFRAC(MAX($P$34*($B284+$I$38-1),IF(AND($L$37=0,$P$34=0),"",$L$37-1)),MIN(CK$38,$E284),$P$20))-SUM($BF284:CJ284))</f>
        <v>0</v>
      </c>
      <c r="CL284" s="446">
        <f>IF($E284=0,0,IF(MIN(CL$38,$E284)&lt;MAX($P$34*($B284+$I$38-1),IF(AND($L$37=0,$P$34=0),"",$L$37-1)),0,YEARFRAC(MAX($P$34*($B284+$I$38-1),IF(AND($L$37=0,$P$34=0),"",$L$37-1)),MIN(CL$38,$E284),$P$20))-SUM($BF284:CK284))</f>
        <v>0</v>
      </c>
      <c r="CM284" s="446">
        <f>IF($E284=0,0,IF(MIN(CM$38,$E284)&lt;MAX($P$34*($B284+$I$38-1),IF(AND($L$37=0,$P$34=0),"",$L$37-1)),0,YEARFRAC(MAX($P$34*($B284+$I$38-1),IF(AND($L$37=0,$P$34=0),"",$L$37-1)),MIN(CM$38,$E284),$P$20))-SUM($BF284:CL284))</f>
        <v>0</v>
      </c>
      <c r="CN284" s="446">
        <f>IF($E284=0,0,IF(MIN(CN$38,$E284)&lt;MAX($P$34*($B284+$I$38-1),IF(AND($L$37=0,$P$34=0),"",$L$37-1)),0,YEARFRAC(MAX($P$34*($B284+$I$38-1),IF(AND($L$37=0,$P$34=0),"",$L$37-1)),MIN(CN$38,$E284),$P$20))-SUM($BF284:CM284))</f>
        <v>0</v>
      </c>
      <c r="CO284" s="446">
        <f>IF($E284=0,0,IF(MIN(CO$38,$E284)&lt;MAX($P$34*($B284+$I$38-1),IF(AND($L$37=0,$P$34=0),"",$L$37-1)),0,YEARFRAC(MAX($P$34*($B284+$I$38-1),IF(AND($L$37=0,$P$34=0),"",$L$37-1)),MIN(CO$38,$E284),$P$20))-SUM($BF284:CN284))</f>
        <v>0</v>
      </c>
      <c r="CP284" s="446">
        <f>IF($E284=0,0,IF(MIN(CP$38,$E284)&lt;MAX($P$34*($B284+$I$38-1),IF(AND($L$37=0,$P$34=0),"",$L$37-1)),0,YEARFRAC(MAX($P$34*($B284+$I$38-1),IF(AND($L$37=0,$P$34=0),"",$L$37-1)),MIN(CP$38,$E284),$P$20))-SUM($BF284:CO284))</f>
        <v>0</v>
      </c>
      <c r="CQ284" s="446">
        <f>IF($E284=0,0,IF(MIN(CQ$38,$E284)&lt;MAX($P$34*($B284+$I$38-1),IF(AND($L$37=0,$P$34=0),"",$L$37-1)),0,YEARFRAC(MAX($P$34*($B284+$I$38-1),IF(AND($L$37=0,$P$34=0),"",$L$37-1)),MIN(CQ$38,$E284),$P$20))-SUM($BF284:CP284))</f>
        <v>0</v>
      </c>
    </row>
    <row r="285" spans="1:95" s="446" customFormat="1" ht="11.25" hidden="1" customHeight="1" x14ac:dyDescent="0.2">
      <c r="A285" s="152"/>
      <c r="B285" s="153" t="str">
        <f t="shared" si="48"/>
        <v/>
      </c>
      <c r="C285" s="29" t="str">
        <f>IF(B285="","",IF($L$35="SELIC - TRIBUTOS",VLOOKUP(DATE(YEAR($D$19),MONTH($D$19)-1,1),ÍNDICES!$A:$DE,HLOOKUP($BL$25,ÍNDICES!$B$3:$T$4,2)+11)-VLOOKUP(B285,ÍNDICES!$A:$DE,HLOOKUP($BL$25,ÍNDICES!$B$3:$T$4,2)+11)+1%,IF(C$38=$W$26,$J$35,IF(ISERROR(IF(B285&gt;$D$19,1,VLOOKUP(DATE(YEAR(B285),MONTH(B285)+IF($C$35=$S$23,1,0),1),ÍNDICES!$A:$DE,$Z$35+1))),"",IF(B285&gt;$D$19,1,VLOOKUP(DATE(YEAR(B285),MONTH(B285)+IF($C$35=$S$23,1,0),1),ÍNDICES!$A:$DE,$Z$35+1))))))</f>
        <v/>
      </c>
      <c r="D285" s="154" t="str">
        <f>IF(ISERROR(IF(OR($D$38=$Y$27,$B285=""),"",VLOOKUP(B285,ÍNDICES!A:DE,AF$35+1))),"",IF(OR($D$38=$Y$27,$B285=""),"",VLOOKUP(B285,ÍNDICES!A:DE,AF$35+1)))</f>
        <v/>
      </c>
      <c r="E285" s="153"/>
      <c r="F285" s="29" t="str">
        <f>IF(E285="","",IF($L$35="SELIC - TRIBUTOS",VLOOKUP(DATE(YEAR($D$19),MONTH($D$19)-1,1),ÍNDICES!$A:$DE,HLOOKUP($BL$25,ÍNDICES!$B$3:$T$4,2)+11)-VLOOKUP(E285,ÍNDICES!$A:$DE,HLOOKUP($BL$25,ÍNDICES!$B$3:$T$4,2)+11)+1%,IF(F$38=$W$26,$J$35,IF(ISERROR(IF(E285&gt;$D$19,1,VLOOKUP(DATE(YEAR(E285),MONTH(E285)+IF($C$35=$S$23,1,0),1),ÍNDICES!$A:$DE,$Z$35+1))),"",IF(E285&gt;$D$19,1,VLOOKUP(DATE(YEAR(E285),MONTH(E285)+IF($C$35=$S$23,1,0),1),ÍNDICES!$A:$DE,$Z$35+1))))))</f>
        <v/>
      </c>
      <c r="G285" s="155"/>
      <c r="H285" s="156" t="str">
        <f t="shared" si="44"/>
        <v/>
      </c>
      <c r="I285" s="29" t="str">
        <f t="shared" si="38"/>
        <v/>
      </c>
      <c r="J285" s="5">
        <f t="shared" si="39"/>
        <v>0</v>
      </c>
      <c r="K285" s="20">
        <f t="shared" ca="1" si="40"/>
        <v>0</v>
      </c>
      <c r="L285" s="5">
        <f t="shared" ca="1" si="41"/>
        <v>0</v>
      </c>
      <c r="M285" s="64">
        <f t="shared" si="45"/>
        <v>0</v>
      </c>
      <c r="N285" s="61">
        <f t="shared" ca="1" si="46"/>
        <v>0</v>
      </c>
      <c r="O285" s="5">
        <f t="shared" ca="1" si="47"/>
        <v>0</v>
      </c>
      <c r="P285" s="446" t="e">
        <f t="shared" si="42"/>
        <v>#VALUE!</v>
      </c>
      <c r="Q285" s="446" t="e">
        <f>IF(OR($B285="",MIN(Q$38,$D$19)&lt;MAX($P$34*($B285+IF($R$17="Distrato",$I$38-1,0)),IF(AND($L$37=0,$P$34=0),"",$L$37-1),IF($R$17="Distrato",$E285,0))),0,YEARFRAC(MAX($P$34*($B285+IF($R$17="Distrato",$I$38-1,0)),IF(AND($L$37=0,$P$34=0),"",$L$37-1),IF($R$17="Distrato",$E285,0)),MIN(Q$38,$D$19),$P$20))-SUM($P285:P285)</f>
        <v>#VALUE!</v>
      </c>
      <c r="R285" s="446" t="e">
        <f>IF(OR($B285="",MIN(R$38,$D$19)&lt;MAX($P$34*($B285+IF($R$17="Distrato",$I$38-1,0)),IF(AND($L$37=0,$P$34=0),"",$L$37-1),IF($R$17="Distrato",$E285,0))),0,YEARFRAC(MAX($P$34*($B285+IF($R$17="Distrato",$I$38-1,0)),IF(AND($L$37=0,$P$34=0),"",$L$37-1),IF($R$17="Distrato",$E285,0)),MIN(R$38,$D$19),$P$20))-SUM($P285:Q285)</f>
        <v>#VALUE!</v>
      </c>
      <c r="S285" s="446" t="e">
        <f>IF(OR($B285="",MIN(S$38,$D$19)&lt;MAX($P$34*($B285+IF($R$17="Distrato",$I$38-1,0)),IF(AND($L$37=0,$P$34=0),"",$L$37-1),IF($R$17="Distrato",$E285,0))),0,YEARFRAC(MAX($P$34*($B285+IF($R$17="Distrato",$I$38-1,0)),IF(AND($L$37=0,$P$34=0),"",$L$37-1),IF($R$17="Distrato",$E285,0)),MIN(S$38,$D$19),$P$20))-SUM($P285:R285)</f>
        <v>#VALUE!</v>
      </c>
      <c r="T285" s="446" t="e">
        <f>IF(OR($B285="",MIN(T$38,$D$19)&lt;MAX($P$34*($B285+IF($R$17="Distrato",$I$38-1,0)),IF(AND($L$37=0,$P$34=0),"",$L$37-1),IF($R$17="Distrato",$E285,0))),0,YEARFRAC(MAX($P$34*($B285+IF($R$17="Distrato",$I$38-1,0)),IF(AND($L$37=0,$P$34=0),"",$L$37-1),IF($R$17="Distrato",$E285,0)),MIN(T$38,$D$19),$P$20))-SUM($P285:S285)</f>
        <v>#VALUE!</v>
      </c>
      <c r="U285" s="446" t="e">
        <f>IF(OR($B285="",MIN(U$38,$D$19)&lt;MAX($P$34*($B285+IF($R$17="Distrato",$I$38-1,0)),IF(AND($L$37=0,$P$34=0),"",$L$37-1),IF($R$17="Distrato",$E285,0))),0,YEARFRAC(MAX($P$34*($B285+IF($R$17="Distrato",$I$38-1,0)),IF(AND($L$37=0,$P$34=0),"",$L$37-1),IF($R$17="Distrato",$E285,0)),MIN(U$38,$D$19),$P$20))-SUM($P285:T285)</f>
        <v>#VALUE!</v>
      </c>
      <c r="V285" s="446" t="e">
        <f>IF(OR($B285="",MIN(V$38,$D$19)&lt;MAX($P$34*($B285+IF($R$17="Distrato",$I$38-1,0)),IF(AND($L$37=0,$P$34=0),"",$L$37-1),IF($R$17="Distrato",$E285,0))),0,YEARFRAC(MAX($P$34*($B285+IF($R$17="Distrato",$I$38-1,0)),IF(AND($L$37=0,$P$34=0),"",$L$37-1),IF($R$17="Distrato",$E285,0)),MIN(V$38,$D$19),$P$20))-SUM($P285:U285)</f>
        <v>#VALUE!</v>
      </c>
      <c r="W285" s="446" t="e">
        <f>IF(OR($B285="",MIN(W$38,$D$19)&lt;MAX($P$34*($B285+IF($R$17="Distrato",$I$38-1,0)),IF(AND($L$37=0,$P$34=0),"",$L$37-1),IF($R$17="Distrato",$E285,0))),0,YEARFRAC(MAX($P$34*($B285+IF($R$17="Distrato",$I$38-1,0)),IF(AND($L$37=0,$P$34=0),"",$L$37-1),IF($R$17="Distrato",$E285,0)),MIN(W$38,$D$19),$P$20))-SUM($P285:V285)</f>
        <v>#VALUE!</v>
      </c>
      <c r="X285" s="446" t="e">
        <f>IF(OR($B285="",MIN(X$38,$D$19)&lt;MAX($P$34*($B285+IF($R$17="Distrato",$I$38-1,0)),IF(AND($L$37=0,$P$34=0),"",$L$37-1),IF($R$17="Distrato",$E285,0))),0,YEARFRAC(MAX($P$34*($B285+IF($R$17="Distrato",$I$38-1,0)),IF(AND($L$37=0,$P$34=0),"",$L$37-1),IF($R$17="Distrato",$E285,0)),MIN(X$38,$D$19),$P$20))-SUM($P285:W285)</f>
        <v>#VALUE!</v>
      </c>
      <c r="Y285" s="446" t="e">
        <f>IF(OR($B285="",MIN(Y$38,$D$19)&lt;MAX($P$34*($B285+IF($R$17="Distrato",$I$38-1,0)),IF(AND($L$37=0,$P$34=0),"",$L$37-1),IF($R$17="Distrato",$E285,0))),0,YEARFRAC(MAX($P$34*($B285+IF($R$17="Distrato",$I$38-1,0)),IF(AND($L$37=0,$P$34=0),"",$L$37-1),IF($R$17="Distrato",$E285,0)),MIN(Y$38,$D$19),$P$20))-SUM($P285:X285)</f>
        <v>#VALUE!</v>
      </c>
      <c r="Z285" s="446" t="e">
        <f>IF(OR($B285="",MIN(Z$38,$D$19)&lt;MAX($P$34*($B285+IF($R$17="Distrato",$I$38-1,0)),IF(AND($L$37=0,$P$34=0),"",$L$37-1),IF($R$17="Distrato",$E285,0))),0,YEARFRAC(MAX($P$34*($B285+IF($R$17="Distrato",$I$38-1,0)),IF(AND($L$37=0,$P$34=0),"",$L$37-1),IF($R$17="Distrato",$E285,0)),MIN(Z$38,$D$19),$P$20))-SUM($P285:Y285)</f>
        <v>#VALUE!</v>
      </c>
      <c r="AA285" s="446" t="e">
        <f>IF(OR($B285="",MIN(AA$38,$D$19)&lt;MAX($P$34*($B285+IF($R$17="Distrato",$I$38-1,0)),IF(AND($L$37=0,$P$34=0),"",$L$37-1),IF($R$17="Distrato",$E285,0))),0,YEARFRAC(MAX($P$34*($B285+IF($R$17="Distrato",$I$38-1,0)),IF(AND($L$37=0,$P$34=0),"",$L$37-1),IF($R$17="Distrato",$E285,0)),MIN(AA$38,$D$19),$P$20))-SUM($P285:Z285)</f>
        <v>#VALUE!</v>
      </c>
      <c r="AB285" s="446" t="e">
        <f>IF(OR($B285="",MIN(AB$38,$D$19)&lt;MAX($P$34*($B285+IF($R$17="Distrato",$I$38-1,0)),IF(AND($L$37=0,$P$34=0),"",$L$37-1),IF($R$17="Distrato",$E285,0))),0,YEARFRAC(MAX($P$34*($B285+IF($R$17="Distrato",$I$38-1,0)),IF(AND($L$37=0,$P$34=0),"",$L$37-1),IF($R$17="Distrato",$E285,0)),MIN(AB$38,$D$19),$P$20))-SUM($P285:AA285)</f>
        <v>#VALUE!</v>
      </c>
      <c r="AC285" s="446" t="e">
        <f>IF(OR($B285="",MIN(AC$38,$D$19)&lt;MAX($P$34*($B285+IF($R$17="Distrato",$I$38-1,0)),IF(AND($L$37=0,$P$34=0),"",$L$37-1),IF($R$17="Distrato",$E285,0))),0,YEARFRAC(MAX($P$34*($B285+IF($R$17="Distrato",$I$38-1,0)),IF(AND($L$37=0,$P$34=0),"",$L$37-1),IF($R$17="Distrato",$E285,0)),MIN(AC$38,$D$19),$P$20))-SUM($P285:AB285)</f>
        <v>#VALUE!</v>
      </c>
      <c r="AD285" s="446" t="e">
        <f>IF(OR($B285="",MIN(AD$38,$D$19)&lt;MAX($P$34*($B285+IF($R$17="Distrato",$I$38-1,0)),IF(AND($L$37=0,$P$34=0),"",$L$37-1),IF($R$17="Distrato",$E285,0))),0,YEARFRAC(MAX($P$34*($B285+IF($R$17="Distrato",$I$38-1,0)),IF(AND($L$37=0,$P$34=0),"",$L$37-1),IF($R$17="Distrato",$E285,0)),MIN(AD$38,$D$19),$P$20))-SUM($P285:AC285)</f>
        <v>#VALUE!</v>
      </c>
      <c r="AE285" s="446" t="e">
        <f>IF(OR($B285="",MIN(AE$38,$D$19)&lt;MAX($P$34*($B285+IF($R$17="Distrato",$I$38-1,0)),IF(AND($L$37=0,$P$34=0),"",$L$37-1),IF($R$17="Distrato",$E285,0))),0,YEARFRAC(MAX($P$34*($B285+IF($R$17="Distrato",$I$38-1,0)),IF(AND($L$37=0,$P$34=0),"",$L$37-1),IF($R$17="Distrato",$E285,0)),MIN(AE$38,$D$19),$P$20))-SUM($P285:AD285)</f>
        <v>#VALUE!</v>
      </c>
      <c r="AF285" s="446" t="e">
        <f>IF(OR($B285="",MIN(AF$38,$D$19)&lt;MAX($P$34*($B285+IF($R$17="Distrato",$I$38-1,0)),IF(AND($L$37=0,$P$34=0),"",$L$37-1),IF($R$17="Distrato",$E285,0))),0,YEARFRAC(MAX($P$34*($B285+IF($R$17="Distrato",$I$38-1,0)),IF(AND($L$37=0,$P$34=0),"",$L$37-1),IF($R$17="Distrato",$E285,0)),MIN(AF$38,$D$19),$P$20))-SUM($P285:AE285)</f>
        <v>#VALUE!</v>
      </c>
      <c r="AG285" s="446" t="e">
        <f>IF(OR($B285="",MIN(AG$38,$D$19)&lt;MAX($P$34*($B285+IF($R$17="Distrato",$I$38-1,0)),IF(AND($L$37=0,$P$34=0),"",$L$37-1),IF($R$17="Distrato",$E285,0))),0,YEARFRAC(MAX($P$34*($B285+IF($R$17="Distrato",$I$38-1,0)),IF(AND($L$37=0,$P$34=0),"",$L$37-1),IF($R$17="Distrato",$E285,0)),MIN(AG$38,$D$19),$P$20))-SUM($P285:AF285)</f>
        <v>#VALUE!</v>
      </c>
      <c r="AH285" s="446" t="e">
        <f>IF(OR($B285="",MIN(AH$38,$D$19)&lt;MAX($P$34*($B285+IF($R$17="Distrato",$I$38-1,0)),IF(AND($L$37=0,$P$34=0),"",$L$37-1),IF($R$17="Distrato",$E285,0))),0,YEARFRAC(MAX($P$34*($B285+IF($R$17="Distrato",$I$38-1,0)),IF(AND($L$37=0,$P$34=0),"",$L$37-1),IF($R$17="Distrato",$E285,0)),MIN(AH$38,$D$19),$P$20))-SUM($P285:AG285)</f>
        <v>#VALUE!</v>
      </c>
      <c r="AI285" s="446" t="e">
        <f>IF(OR($B285="",MIN(AI$38,$D$19)&lt;MAX($P$34*($B285+IF($R$17="Distrato",$I$38-1,0)),IF(AND($L$37=0,$P$34=0),"",$L$37-1),IF($R$17="Distrato",$E285,0))),0,YEARFRAC(MAX($P$34*($B285+IF($R$17="Distrato",$I$38-1,0)),IF(AND($L$37=0,$P$34=0),"",$L$37-1),IF($R$17="Distrato",$E285,0)),MIN(AI$38,$D$19),$P$20))-SUM($P285:AH285)</f>
        <v>#VALUE!</v>
      </c>
      <c r="AJ285" s="446" t="e">
        <f>IF(OR($B285="",MIN(AJ$38,$D$19)&lt;MAX($P$34*($B285+IF($R$17="Distrato",$I$38-1,0)),IF(AND($L$37=0,$P$34=0),"",$L$37-1),IF($R$17="Distrato",$E285,0))),0,YEARFRAC(MAX($P$34*($B285+IF($R$17="Distrato",$I$38-1,0)),IF(AND($L$37=0,$P$34=0),"",$L$37-1),IF($R$17="Distrato",$E285,0)),MIN(AJ$38,$D$19),$P$20))-SUM($P285:AI285)</f>
        <v>#VALUE!</v>
      </c>
      <c r="AK285" s="446" t="e">
        <f>IF(OR($B285="",MIN(AK$38,$D$19)&lt;MAX($P$34*($B285+IF($R$17="Distrato",$I$38-1,0)),IF(AND($L$37=0,$P$34=0),"",$L$37-1),IF($R$17="Distrato",$E285,0))),0,YEARFRAC(MAX($P$34*($B285+IF($R$17="Distrato",$I$38-1,0)),IF(AND($L$37=0,$P$34=0),"",$L$37-1),IF($R$17="Distrato",$E285,0)),MIN(AK$38,$D$19),$P$20))-SUM($P285:AJ285)</f>
        <v>#VALUE!</v>
      </c>
      <c r="AL285" s="446" t="e">
        <f>IF(OR($B285="",MIN(AL$38,$D$19)&lt;MAX($P$34*($B285+IF($R$17="Distrato",$I$38-1,0)),IF(AND($L$37=0,$P$34=0),"",$L$37-1),IF($R$17="Distrato",$E285,0))),0,YEARFRAC(MAX($P$34*($B285+IF($R$17="Distrato",$I$38-1,0)),IF(AND($L$37=0,$P$34=0),"",$L$37-1),IF($R$17="Distrato",$E285,0)),MIN(AL$38,$D$19),$P$20))-SUM($P285:AK285)</f>
        <v>#VALUE!</v>
      </c>
      <c r="AM285" s="446" t="e">
        <f>IF(OR($B285="",MIN(AM$38,$D$19)&lt;MAX($P$34*($B285+IF($R$17="Distrato",$I$38-1,0)),IF(AND($L$37=0,$P$34=0),"",$L$37-1),IF($R$17="Distrato",$E285,0))),0,YEARFRAC(MAX($P$34*($B285+IF($R$17="Distrato",$I$38-1,0)),IF(AND($L$37=0,$P$34=0),"",$L$37-1),IF($R$17="Distrato",$E285,0)),MIN(AM$38,$D$19),$P$20))-SUM($P285:AL285)</f>
        <v>#VALUE!</v>
      </c>
      <c r="AN285" s="446" t="e">
        <f>IF(OR($B285="",MIN(AN$38,$D$19)&lt;MAX($P$34*($B285+IF($R$17="Distrato",$I$38-1,0)),IF(AND($L$37=0,$P$34=0),"",$L$37-1),IF($R$17="Distrato",$E285,0))),0,YEARFRAC(MAX($P$34*($B285+IF($R$17="Distrato",$I$38-1,0)),IF(AND($L$37=0,$P$34=0),"",$L$37-1),IF($R$17="Distrato",$E285,0)),MIN(AN$38,$D$19),$P$20))-SUM($P285:AM285)</f>
        <v>#VALUE!</v>
      </c>
      <c r="AO285" s="446" t="e">
        <f>IF(OR($B285="",MIN(AO$38,$D$19)&lt;MAX($P$34*($B285+IF($R$17="Distrato",$I$38-1,0)),IF(AND($L$37=0,$P$34=0),"",$L$37-1),IF($R$17="Distrato",$E285,0))),0,YEARFRAC(MAX($P$34*($B285+IF($R$17="Distrato",$I$38-1,0)),IF(AND($L$37=0,$P$34=0),"",$L$37-1),IF($R$17="Distrato",$E285,0)),MIN(AO$38,$D$19),$P$20))-SUM($P285:AN285)</f>
        <v>#VALUE!</v>
      </c>
      <c r="AP285" s="446" t="e">
        <f>IF(OR($B285="",MIN(AP$38,$D$19)&lt;MAX($P$34*($B285+IF($R$17="Distrato",$I$38-1,0)),IF(AND($L$37=0,$P$34=0),"",$L$37-1),IF($R$17="Distrato",$E285,0))),0,YEARFRAC(MAX($P$34*($B285+IF($R$17="Distrato",$I$38-1,0)),IF(AND($L$37=0,$P$34=0),"",$L$37-1),IF($R$17="Distrato",$E285,0)),MIN(AP$38,$D$19),$P$20))-SUM($P285:AO285)</f>
        <v>#VALUE!</v>
      </c>
      <c r="AQ285" s="446" t="e">
        <f>IF(OR($B285="",MIN(AQ$38,$D$19)&lt;MAX($P$34*($B285+IF($R$17="Distrato",$I$38-1,0)),IF(AND($L$37=0,$P$34=0),"",$L$37-1),IF($R$17="Distrato",$E285,0))),0,YEARFRAC(MAX($P$34*($B285+IF($R$17="Distrato",$I$38-1,0)),IF(AND($L$37=0,$P$34=0),"",$L$37-1),IF($R$17="Distrato",$E285,0)),MIN(AQ$38,$D$19),$P$20))-SUM($P285:AP285)</f>
        <v>#VALUE!</v>
      </c>
      <c r="AR285" s="446" t="e">
        <f>IF(OR($B285="",MIN(AR$38,$D$19)&lt;MAX($P$34*($B285+IF($R$17="Distrato",$I$38-1,0)),IF(AND($L$37=0,$P$34=0),"",$L$37-1),IF($R$17="Distrato",$E285,0))),0,YEARFRAC(MAX($P$34*($B285+IF($R$17="Distrato",$I$38-1,0)),IF(AND($L$37=0,$P$34=0),"",$L$37-1),IF($R$17="Distrato",$E285,0)),MIN(AR$38,$D$19),$P$20))-SUM($P285:AQ285)</f>
        <v>#VALUE!</v>
      </c>
      <c r="AS285" s="446" t="e">
        <f>IF(OR($B285="",MIN(AS$38,$D$19)&lt;MAX($P$34*($B285+IF($R$17="Distrato",$I$38-1,0)),IF(AND($L$37=0,$P$34=0),"",$L$37-1),IF($R$17="Distrato",$E285,0))),0,YEARFRAC(MAX($P$34*($B285+IF($R$17="Distrato",$I$38-1,0)),IF(AND($L$37=0,$P$34=0),"",$L$37-1),IF($R$17="Distrato",$E285,0)),MIN(AS$38,$D$19),$P$20))-SUM($P285:AR285)</f>
        <v>#VALUE!</v>
      </c>
      <c r="AT285" s="446" t="e">
        <f>IF(OR($B285="",MIN(AT$38,$D$19)&lt;MAX($P$34*($B285+IF($R$17="Distrato",$I$38-1,0)),IF(AND($L$37=0,$P$34=0),"",$L$37-1),IF($R$17="Distrato",$E285,0))),0,YEARFRAC(MAX($P$34*($B285+IF($R$17="Distrato",$I$38-1,0)),IF(AND($L$37=0,$P$34=0),"",$L$37-1),IF($R$17="Distrato",$E285,0)),MIN(AT$38,$D$19),$P$20))-SUM($P285:AS285)</f>
        <v>#VALUE!</v>
      </c>
      <c r="AU285" s="446" t="e">
        <f>IF(OR($B285="",MIN(AU$38,$D$19)&lt;MAX($P$34*($B285+IF($R$17="Distrato",$I$38-1,0)),IF(AND($L$37=0,$P$34=0),"",$L$37-1),IF($R$17="Distrato",$E285,0))),0,YEARFRAC(MAX($P$34*($B285+IF($R$17="Distrato",$I$38-1,0)),IF(AND($L$37=0,$P$34=0),"",$L$37-1),IF($R$17="Distrato",$E285,0)),MIN(AU$38,$D$19),$P$20))-SUM($P285:AT285)</f>
        <v>#VALUE!</v>
      </c>
      <c r="AV285" s="446" t="e">
        <f>IF(OR($B285="",MIN(AV$38,$D$19)&lt;MAX($P$34*($B285+IF($R$17="Distrato",$I$38-1,0)),IF(AND($L$37=0,$P$34=0),"",$L$37-1),IF($R$17="Distrato",$E285,0))),0,YEARFRAC(MAX($P$34*($B285+IF($R$17="Distrato",$I$38-1,0)),IF(AND($L$37=0,$P$34=0),"",$L$37-1),IF($R$17="Distrato",$E285,0)),MIN(AV$38,$D$19),$P$20))-SUM($P285:AU285)</f>
        <v>#VALUE!</v>
      </c>
      <c r="AW285" s="446" t="e">
        <f>IF(OR($B285="",MIN(AW$38,$D$19)&lt;MAX($P$34*($B285+IF($R$17="Distrato",$I$38-1,0)),IF(AND($L$37=0,$P$34=0),"",$L$37-1),IF($R$17="Distrato",$E285,0))),0,YEARFRAC(MAX($P$34*($B285+IF($R$17="Distrato",$I$38-1,0)),IF(AND($L$37=0,$P$34=0),"",$L$37-1),IF($R$17="Distrato",$E285,0)),MIN(AW$38,$D$19),$P$20))-SUM($P285:AV285)</f>
        <v>#VALUE!</v>
      </c>
      <c r="AX285" s="446" t="e">
        <f>IF(OR($B285="",MIN(AX$38,$D$19)&lt;MAX($P$34*($B285+IF($R$17="Distrato",$I$38-1,0)),IF(AND($L$37=0,$P$34=0),"",$L$37-1),IF($R$17="Distrato",$E285,0))),0,YEARFRAC(MAX($P$34*($B285+IF($R$17="Distrato",$I$38-1,0)),IF(AND($L$37=0,$P$34=0),"",$L$37-1),IF($R$17="Distrato",$E285,0)),MIN(AX$38,$D$19),$P$20))-SUM($P285:AW285)</f>
        <v>#VALUE!</v>
      </c>
      <c r="AY285" s="446" t="e">
        <f>IF(OR($B285="",MIN(AY$38,$D$19)&lt;MAX($P$34*($B285+IF($R$17="Distrato",$I$38-1,0)),IF(AND($L$37=0,$P$34=0),"",$L$37-1),IF($R$17="Distrato",$E285,0))),0,YEARFRAC(MAX($P$34*($B285+IF($R$17="Distrato",$I$38-1,0)),IF(AND($L$37=0,$P$34=0),"",$L$37-1),IF($R$17="Distrato",$E285,0)),MIN(AY$38,$D$19),$P$20))-SUM($P285:AX285)</f>
        <v>#VALUE!</v>
      </c>
      <c r="AZ285" s="446" t="e">
        <f>IF(OR($B285="",MIN(AZ$38,$D$19)&lt;MAX($P$34*($B285+IF($R$17="Distrato",$I$38-1,0)),IF(AND($L$37=0,$P$34=0),"",$L$37-1),IF($R$17="Distrato",$E285,0))),0,YEARFRAC(MAX($P$34*($B285+IF($R$17="Distrato",$I$38-1,0)),IF(AND($L$37=0,$P$34=0),"",$L$37-1),IF($R$17="Distrato",$E285,0)),MIN(AZ$38,$D$19),$P$20))-SUM($P285:AY285)</f>
        <v>#VALUE!</v>
      </c>
      <c r="BA285" s="446" t="e">
        <f>IF(OR($B285="",MIN(BA$38,$D$19)&lt;MAX($P$34*($B285+IF($R$17="Distrato",$I$38-1,0)),IF(AND($L$37=0,$P$34=0),"",$L$37-1),IF($R$17="Distrato",$E285,0))),0,YEARFRAC(MAX($P$34*($B285+IF($R$17="Distrato",$I$38-1,0)),IF(AND($L$37=0,$P$34=0),"",$L$37-1),IF($R$17="Distrato",$E285,0)),MIN(BA$38,$D$19),$P$20))-SUM($P285:AZ285)</f>
        <v>#VALUE!</v>
      </c>
      <c r="BB285" s="447"/>
      <c r="BF285" s="446">
        <f t="shared" si="43"/>
        <v>0</v>
      </c>
      <c r="BG285" s="446">
        <f>IF($E285=0,0,IF(MIN(BG$38,$E285)&lt;MAX($P$34*($B285+$I$38-1),IF(AND($L$37=0,$P$34=0),"",$L$37-1)),0,YEARFRAC(MAX($P$34*($B285+$I$38-1),IF(AND($L$37=0,$P$34=0),"",$L$37-1)),MIN(BG$38,$E285),$P$20))-SUM($BF285:BF285))</f>
        <v>0</v>
      </c>
      <c r="BH285" s="446">
        <f>IF($E285=0,0,IF(MIN(BH$38,$E285)&lt;MAX($P$34*($B285+$I$38-1),IF(AND($L$37=0,$P$34=0),"",$L$37-1)),0,YEARFRAC(MAX($P$34*($B285+$I$38-1),IF(AND($L$37=0,$P$34=0),"",$L$37-1)),MIN(BH$38,$E285),$P$20))-SUM($BF285:BG285))</f>
        <v>0</v>
      </c>
      <c r="BI285" s="446">
        <f>IF($E285=0,0,IF(MIN(BI$38,$E285)&lt;MAX($P$34*($B285+$I$38-1),IF(AND($L$37=0,$P$34=0),"",$L$37-1)),0,YEARFRAC(MAX($P$34*($B285+$I$38-1),IF(AND($L$37=0,$P$34=0),"",$L$37-1)),MIN(BI$38,$E285),$P$20))-SUM($BF285:BH285))</f>
        <v>0</v>
      </c>
      <c r="BJ285" s="446">
        <f>IF($E285=0,0,IF(MIN(BJ$38,$E285)&lt;MAX($P$34*($B285+$I$38-1),IF(AND($L$37=0,$P$34=0),"",$L$37-1)),0,YEARFRAC(MAX($P$34*($B285+$I$38-1),IF(AND($L$37=0,$P$34=0),"",$L$37-1)),MIN(BJ$38,$E285),$P$20))-SUM($BF285:BI285))</f>
        <v>0</v>
      </c>
      <c r="BK285" s="446">
        <f>IF($E285=0,0,IF(MIN(BK$38,$E285)&lt;MAX($P$34*($B285+$I$38-1),IF(AND($L$37=0,$P$34=0),"",$L$37-1)),0,YEARFRAC(MAX($P$34*($B285+$I$38-1),IF(AND($L$37=0,$P$34=0),"",$L$37-1)),MIN(BK$38,$E285),$P$20))-SUM($BF285:BJ285))</f>
        <v>0</v>
      </c>
      <c r="BL285" s="446">
        <f>IF($E285=0,0,IF(MIN(BL$38,$E285)&lt;MAX($P$34*($B285+$I$38-1),IF(AND($L$37=0,$P$34=0),"",$L$37-1)),0,YEARFRAC(MAX($P$34*($B285+$I$38-1),IF(AND($L$37=0,$P$34=0),"",$L$37-1)),MIN(BL$38,$E285),$P$20))-SUM($BF285:BK285))</f>
        <v>0</v>
      </c>
      <c r="BM285" s="446">
        <f>IF($E285=0,0,IF(MIN(BM$38,$E285)&lt;MAX($P$34*($B285+$I$38-1),IF(AND($L$37=0,$P$34=0),"",$L$37-1)),0,YEARFRAC(MAX($P$34*($B285+$I$38-1),IF(AND($L$37=0,$P$34=0),"",$L$37-1)),MIN(BM$38,$E285),$P$20))-SUM($BF285:BL285))</f>
        <v>0</v>
      </c>
      <c r="BN285" s="446">
        <f>IF($E285=0,0,IF(MIN(BN$38,$E285)&lt;MAX($P$34*($B285+$I$38-1),IF(AND($L$37=0,$P$34=0),"",$L$37-1)),0,YEARFRAC(MAX($P$34*($B285+$I$38-1),IF(AND($L$37=0,$P$34=0),"",$L$37-1)),MIN(BN$38,$E285),$P$20))-SUM($BF285:BM285))</f>
        <v>0</v>
      </c>
      <c r="BO285" s="446">
        <f>IF($E285=0,0,IF(MIN(BO$38,$E285)&lt;MAX($P$34*($B285+$I$38-1),IF(AND($L$37=0,$P$34=0),"",$L$37-1)),0,YEARFRAC(MAX($P$34*($B285+$I$38-1),IF(AND($L$37=0,$P$34=0),"",$L$37-1)),MIN(BO$38,$E285),$P$20))-SUM($BF285:BN285))</f>
        <v>0</v>
      </c>
      <c r="BP285" s="446">
        <f>IF($E285=0,0,IF(MIN(BP$38,$E285)&lt;MAX($P$34*($B285+$I$38-1),IF(AND($L$37=0,$P$34=0),"",$L$37-1)),0,YEARFRAC(MAX($P$34*($B285+$I$38-1),IF(AND($L$37=0,$P$34=0),"",$L$37-1)),MIN(BP$38,$E285),$P$20))-SUM($BF285:BO285))</f>
        <v>0</v>
      </c>
      <c r="BQ285" s="446">
        <f>IF($E285=0,0,IF(MIN(BQ$38,$E285)&lt;MAX($P$34*($B285+$I$38-1),IF(AND($L$37=0,$P$34=0),"",$L$37-1)),0,YEARFRAC(MAX($P$34*($B285+$I$38-1),IF(AND($L$37=0,$P$34=0),"",$L$37-1)),MIN(BQ$38,$E285),$P$20))-SUM($BF285:BP285))</f>
        <v>0</v>
      </c>
      <c r="BR285" s="446">
        <f>IF($E285=0,0,IF(MIN(BR$38,$E285)&lt;MAX($P$34*($B285+$I$38-1),IF(AND($L$37=0,$P$34=0),"",$L$37-1)),0,YEARFRAC(MAX($P$34*($B285+$I$38-1),IF(AND($L$37=0,$P$34=0),"",$L$37-1)),MIN(BR$38,$E285),$P$20))-SUM($BF285:BQ285))</f>
        <v>0</v>
      </c>
      <c r="BS285" s="446">
        <f>IF($E285=0,0,IF(MIN(BS$38,$E285)&lt;MAX($P$34*($B285+$I$38-1),IF(AND($L$37=0,$P$34=0),"",$L$37-1)),0,YEARFRAC(MAX($P$34*($B285+$I$38-1),IF(AND($L$37=0,$P$34=0),"",$L$37-1)),MIN(BS$38,$E285),$P$20))-SUM($BF285:BR285))</f>
        <v>0</v>
      </c>
      <c r="BT285" s="446">
        <f>IF($E285=0,0,IF(MIN(BT$38,$E285)&lt;MAX($P$34*($B285+$I$38-1),IF(AND($L$37=0,$P$34=0),"",$L$37-1)),0,YEARFRAC(MAX($P$34*($B285+$I$38-1),IF(AND($L$37=0,$P$34=0),"",$L$37-1)),MIN(BT$38,$E285),$P$20))-SUM($BF285:BS285))</f>
        <v>0</v>
      </c>
      <c r="BU285" s="446">
        <f>IF($E285=0,0,IF(MIN(BU$38,$E285)&lt;MAX($P$34*($B285+$I$38-1),IF(AND($L$37=0,$P$34=0),"",$L$37-1)),0,YEARFRAC(MAX($P$34*($B285+$I$38-1),IF(AND($L$37=0,$P$34=0),"",$L$37-1)),MIN(BU$38,$E285),$P$20))-SUM($BF285:BT285))</f>
        <v>0</v>
      </c>
      <c r="BV285" s="446">
        <f>IF($E285=0,0,IF(MIN(BV$38,$E285)&lt;MAX($P$34*($B285+$I$38-1),IF(AND($L$37=0,$P$34=0),"",$L$37-1)),0,YEARFRAC(MAX($P$34*($B285+$I$38-1),IF(AND($L$37=0,$P$34=0),"",$L$37-1)),MIN(BV$38,$E285),$P$20))-SUM($BF285:BU285))</f>
        <v>0</v>
      </c>
      <c r="BW285" s="446">
        <f>IF($E285=0,0,IF(MIN(BW$38,$E285)&lt;MAX($P$34*($B285+$I$38-1),IF(AND($L$37=0,$P$34=0),"",$L$37-1)),0,YEARFRAC(MAX($P$34*($B285+$I$38-1),IF(AND($L$37=0,$P$34=0),"",$L$37-1)),MIN(BW$38,$E285),$P$20))-SUM($BF285:BV285))</f>
        <v>0</v>
      </c>
      <c r="BX285" s="446">
        <f>IF($E285=0,0,IF(MIN(BX$38,$E285)&lt;MAX($P$34*($B285+$I$38-1),IF(AND($L$37=0,$P$34=0),"",$L$37-1)),0,YEARFRAC(MAX($P$34*($B285+$I$38-1),IF(AND($L$37=0,$P$34=0),"",$L$37-1)),MIN(BX$38,$E285),$P$20))-SUM($BF285:BW285))</f>
        <v>0</v>
      </c>
      <c r="BY285" s="446">
        <f>IF($E285=0,0,IF(MIN(BY$38,$E285)&lt;MAX($P$34*($B285+$I$38-1),IF(AND($L$37=0,$P$34=0),"",$L$37-1)),0,YEARFRAC(MAX($P$34*($B285+$I$38-1),IF(AND($L$37=0,$P$34=0),"",$L$37-1)),MIN(BY$38,$E285),$P$20))-SUM($BF285:BX285))</f>
        <v>0</v>
      </c>
      <c r="BZ285" s="446">
        <f>IF($E285=0,0,IF(MIN(BZ$38,$E285)&lt;MAX($P$34*($B285+$I$38-1),IF(AND($L$37=0,$P$34=0),"",$L$37-1)),0,YEARFRAC(MAX($P$34*($B285+$I$38-1),IF(AND($L$37=0,$P$34=0),"",$L$37-1)),MIN(BZ$38,$E285),$P$20))-SUM($BF285:BY285))</f>
        <v>0</v>
      </c>
      <c r="CA285" s="446">
        <f>IF($E285=0,0,IF(MIN(CA$38,$E285)&lt;MAX($P$34*($B285+$I$38-1),IF(AND($L$37=0,$P$34=0),"",$L$37-1)),0,YEARFRAC(MAX($P$34*($B285+$I$38-1),IF(AND($L$37=0,$P$34=0),"",$L$37-1)),MIN(CA$38,$E285),$P$20))-SUM($BF285:BZ285))</f>
        <v>0</v>
      </c>
      <c r="CB285" s="446">
        <f>IF($E285=0,0,IF(MIN(CB$38,$E285)&lt;MAX($P$34*($B285+$I$38-1),IF(AND($L$37=0,$P$34=0),"",$L$37-1)),0,YEARFRAC(MAX($P$34*($B285+$I$38-1),IF(AND($L$37=0,$P$34=0),"",$L$37-1)),MIN(CB$38,$E285),$P$20))-SUM($BF285:CA285))</f>
        <v>0</v>
      </c>
      <c r="CC285" s="446">
        <f>IF($E285=0,0,IF(MIN(CC$38,$E285)&lt;MAX($P$34*($B285+$I$38-1),IF(AND($L$37=0,$P$34=0),"",$L$37-1)),0,YEARFRAC(MAX($P$34*($B285+$I$38-1),IF(AND($L$37=0,$P$34=0),"",$L$37-1)),MIN(CC$38,$E285),$P$20))-SUM($BF285:CB285))</f>
        <v>0</v>
      </c>
      <c r="CD285" s="446">
        <f>IF($E285=0,0,IF(MIN(CD$38,$E285)&lt;MAX($P$34*($B285+$I$38-1),IF(AND($L$37=0,$P$34=0),"",$L$37-1)),0,YEARFRAC(MAX($P$34*($B285+$I$38-1),IF(AND($L$37=0,$P$34=0),"",$L$37-1)),MIN(CD$38,$E285),$P$20))-SUM($BF285:CC285))</f>
        <v>0</v>
      </c>
      <c r="CE285" s="446">
        <f>IF($E285=0,0,IF(MIN(CE$38,$E285)&lt;MAX($P$34*($B285+$I$38-1),IF(AND($L$37=0,$P$34=0),"",$L$37-1)),0,YEARFRAC(MAX($P$34*($B285+$I$38-1),IF(AND($L$37=0,$P$34=0),"",$L$37-1)),MIN(CE$38,$E285),$P$20))-SUM($BF285:CD285))</f>
        <v>0</v>
      </c>
      <c r="CF285" s="446">
        <f>IF($E285=0,0,IF(MIN(CF$38,$E285)&lt;MAX($P$34*($B285+$I$38-1),IF(AND($L$37=0,$P$34=0),"",$L$37-1)),0,YEARFRAC(MAX($P$34*($B285+$I$38-1),IF(AND($L$37=0,$P$34=0),"",$L$37-1)),MIN(CF$38,$E285),$P$20))-SUM($BF285:CE285))</f>
        <v>0</v>
      </c>
      <c r="CG285" s="446">
        <f>IF($E285=0,0,IF(MIN(CG$38,$E285)&lt;MAX($P$34*($B285+$I$38-1),IF(AND($L$37=0,$P$34=0),"",$L$37-1)),0,YEARFRAC(MAX($P$34*($B285+$I$38-1),IF(AND($L$37=0,$P$34=0),"",$L$37-1)),MIN(CG$38,$E285),$P$20))-SUM($BF285:CF285))</f>
        <v>0</v>
      </c>
      <c r="CH285" s="446">
        <f>IF($E285=0,0,IF(MIN(CH$38,$E285)&lt;MAX($P$34*($B285+$I$38-1),IF(AND($L$37=0,$P$34=0),"",$L$37-1)),0,YEARFRAC(MAX($P$34*($B285+$I$38-1),IF(AND($L$37=0,$P$34=0),"",$L$37-1)),MIN(CH$38,$E285),$P$20))-SUM($BF285:CG285))</f>
        <v>0</v>
      </c>
      <c r="CI285" s="446">
        <f>IF($E285=0,0,IF(MIN(CI$38,$E285)&lt;MAX($P$34*($B285+$I$38-1),IF(AND($L$37=0,$P$34=0),"",$L$37-1)),0,YEARFRAC(MAX($P$34*($B285+$I$38-1),IF(AND($L$37=0,$P$34=0),"",$L$37-1)),MIN(CI$38,$E285),$P$20))-SUM($BF285:CH285))</f>
        <v>0</v>
      </c>
      <c r="CJ285" s="446">
        <f>IF($E285=0,0,IF(MIN(CJ$38,$E285)&lt;MAX($P$34*($B285+$I$38-1),IF(AND($L$37=0,$P$34=0),"",$L$37-1)),0,YEARFRAC(MAX($P$34*($B285+$I$38-1),IF(AND($L$37=0,$P$34=0),"",$L$37-1)),MIN(CJ$38,$E285),$P$20))-SUM($BF285:CI285))</f>
        <v>0</v>
      </c>
      <c r="CK285" s="446">
        <f>IF($E285=0,0,IF(MIN(CK$38,$E285)&lt;MAX($P$34*($B285+$I$38-1),IF(AND($L$37=0,$P$34=0),"",$L$37-1)),0,YEARFRAC(MAX($P$34*($B285+$I$38-1),IF(AND($L$37=0,$P$34=0),"",$L$37-1)),MIN(CK$38,$E285),$P$20))-SUM($BF285:CJ285))</f>
        <v>0</v>
      </c>
      <c r="CL285" s="446">
        <f>IF($E285=0,0,IF(MIN(CL$38,$E285)&lt;MAX($P$34*($B285+$I$38-1),IF(AND($L$37=0,$P$34=0),"",$L$37-1)),0,YEARFRAC(MAX($P$34*($B285+$I$38-1),IF(AND($L$37=0,$P$34=0),"",$L$37-1)),MIN(CL$38,$E285),$P$20))-SUM($BF285:CK285))</f>
        <v>0</v>
      </c>
      <c r="CM285" s="446">
        <f>IF($E285=0,0,IF(MIN(CM$38,$E285)&lt;MAX($P$34*($B285+$I$38-1),IF(AND($L$37=0,$P$34=0),"",$L$37-1)),0,YEARFRAC(MAX($P$34*($B285+$I$38-1),IF(AND($L$37=0,$P$34=0),"",$L$37-1)),MIN(CM$38,$E285),$P$20))-SUM($BF285:CL285))</f>
        <v>0</v>
      </c>
      <c r="CN285" s="446">
        <f>IF($E285=0,0,IF(MIN(CN$38,$E285)&lt;MAX($P$34*($B285+$I$38-1),IF(AND($L$37=0,$P$34=0),"",$L$37-1)),0,YEARFRAC(MAX($P$34*($B285+$I$38-1),IF(AND($L$37=0,$P$34=0),"",$L$37-1)),MIN(CN$38,$E285),$P$20))-SUM($BF285:CM285))</f>
        <v>0</v>
      </c>
      <c r="CO285" s="446">
        <f>IF($E285=0,0,IF(MIN(CO$38,$E285)&lt;MAX($P$34*($B285+$I$38-1),IF(AND($L$37=0,$P$34=0),"",$L$37-1)),0,YEARFRAC(MAX($P$34*($B285+$I$38-1),IF(AND($L$37=0,$P$34=0),"",$L$37-1)),MIN(CO$38,$E285),$P$20))-SUM($BF285:CN285))</f>
        <v>0</v>
      </c>
      <c r="CP285" s="446">
        <f>IF($E285=0,0,IF(MIN(CP$38,$E285)&lt;MAX($P$34*($B285+$I$38-1),IF(AND($L$37=0,$P$34=0),"",$L$37-1)),0,YEARFRAC(MAX($P$34*($B285+$I$38-1),IF(AND($L$37=0,$P$34=0),"",$L$37-1)),MIN(CP$38,$E285),$P$20))-SUM($BF285:CO285))</f>
        <v>0</v>
      </c>
      <c r="CQ285" s="446">
        <f>IF($E285=0,0,IF(MIN(CQ$38,$E285)&lt;MAX($P$34*($B285+$I$38-1),IF(AND($L$37=0,$P$34=0),"",$L$37-1)),0,YEARFRAC(MAX($P$34*($B285+$I$38-1),IF(AND($L$37=0,$P$34=0),"",$L$37-1)),MIN(CQ$38,$E285),$P$20))-SUM($BF285:CP285))</f>
        <v>0</v>
      </c>
    </row>
    <row r="286" spans="1:95" s="446" customFormat="1" ht="11.25" hidden="1" customHeight="1" x14ac:dyDescent="0.2">
      <c r="A286" s="152"/>
      <c r="B286" s="153" t="str">
        <f t="shared" si="48"/>
        <v/>
      </c>
      <c r="C286" s="29" t="str">
        <f>IF(B286="","",IF($L$35="SELIC - TRIBUTOS",VLOOKUP(DATE(YEAR($D$19),MONTH($D$19)-1,1),ÍNDICES!$A:$DE,HLOOKUP($BL$25,ÍNDICES!$B$3:$T$4,2)+11)-VLOOKUP(B286,ÍNDICES!$A:$DE,HLOOKUP($BL$25,ÍNDICES!$B$3:$T$4,2)+11)+1%,IF(C$38=$W$26,$J$35,IF(ISERROR(IF(B286&gt;$D$19,1,VLOOKUP(DATE(YEAR(B286),MONTH(B286)+IF($C$35=$S$23,1,0),1),ÍNDICES!$A:$DE,$Z$35+1))),"",IF(B286&gt;$D$19,1,VLOOKUP(DATE(YEAR(B286),MONTH(B286)+IF($C$35=$S$23,1,0),1),ÍNDICES!$A:$DE,$Z$35+1))))))</f>
        <v/>
      </c>
      <c r="D286" s="154" t="str">
        <f>IF(ISERROR(IF(OR($D$38=$Y$27,$B286=""),"",VLOOKUP(B286,ÍNDICES!A:DE,AF$35+1))),"",IF(OR($D$38=$Y$27,$B286=""),"",VLOOKUP(B286,ÍNDICES!A:DE,AF$35+1)))</f>
        <v/>
      </c>
      <c r="E286" s="153"/>
      <c r="F286" s="29" t="str">
        <f>IF(E286="","",IF($L$35="SELIC - TRIBUTOS",VLOOKUP(DATE(YEAR($D$19),MONTH($D$19)-1,1),ÍNDICES!$A:$DE,HLOOKUP($BL$25,ÍNDICES!$B$3:$T$4,2)+11)-VLOOKUP(E286,ÍNDICES!$A:$DE,HLOOKUP($BL$25,ÍNDICES!$B$3:$T$4,2)+11)+1%,IF(F$38=$W$26,$J$35,IF(ISERROR(IF(E286&gt;$D$19,1,VLOOKUP(DATE(YEAR(E286),MONTH(E286)+IF($C$35=$S$23,1,0),1),ÍNDICES!$A:$DE,$Z$35+1))),"",IF(E286&gt;$D$19,1,VLOOKUP(DATE(YEAR(E286),MONTH(E286)+IF($C$35=$S$23,1,0),1),ÍNDICES!$A:$DE,$Z$35+1))))))</f>
        <v/>
      </c>
      <c r="G286" s="155"/>
      <c r="H286" s="156" t="str">
        <f t="shared" si="44"/>
        <v/>
      </c>
      <c r="I286" s="29" t="str">
        <f t="shared" si="38"/>
        <v/>
      </c>
      <c r="J286" s="5">
        <f t="shared" si="39"/>
        <v>0</v>
      </c>
      <c r="K286" s="20">
        <f t="shared" ca="1" si="40"/>
        <v>0</v>
      </c>
      <c r="L286" s="5">
        <f t="shared" ca="1" si="41"/>
        <v>0</v>
      </c>
      <c r="M286" s="64">
        <f t="shared" si="45"/>
        <v>0</v>
      </c>
      <c r="N286" s="61">
        <f t="shared" ca="1" si="46"/>
        <v>0</v>
      </c>
      <c r="O286" s="5">
        <f t="shared" ca="1" si="47"/>
        <v>0</v>
      </c>
      <c r="P286" s="446" t="e">
        <f t="shared" si="42"/>
        <v>#VALUE!</v>
      </c>
      <c r="Q286" s="446" t="e">
        <f>IF(OR($B286="",MIN(Q$38,$D$19)&lt;MAX($P$34*($B286+IF($R$17="Distrato",$I$38-1,0)),IF(AND($L$37=0,$P$34=0),"",$L$37-1),IF($R$17="Distrato",$E286,0))),0,YEARFRAC(MAX($P$34*($B286+IF($R$17="Distrato",$I$38-1,0)),IF(AND($L$37=0,$P$34=0),"",$L$37-1),IF($R$17="Distrato",$E286,0)),MIN(Q$38,$D$19),$P$20))-SUM($P286:P286)</f>
        <v>#VALUE!</v>
      </c>
      <c r="R286" s="446" t="e">
        <f>IF(OR($B286="",MIN(R$38,$D$19)&lt;MAX($P$34*($B286+IF($R$17="Distrato",$I$38-1,0)),IF(AND($L$37=0,$P$34=0),"",$L$37-1),IF($R$17="Distrato",$E286,0))),0,YEARFRAC(MAX($P$34*($B286+IF($R$17="Distrato",$I$38-1,0)),IF(AND($L$37=0,$P$34=0),"",$L$37-1),IF($R$17="Distrato",$E286,0)),MIN(R$38,$D$19),$P$20))-SUM($P286:Q286)</f>
        <v>#VALUE!</v>
      </c>
      <c r="S286" s="446" t="e">
        <f>IF(OR($B286="",MIN(S$38,$D$19)&lt;MAX($P$34*($B286+IF($R$17="Distrato",$I$38-1,0)),IF(AND($L$37=0,$P$34=0),"",$L$37-1),IF($R$17="Distrato",$E286,0))),0,YEARFRAC(MAX($P$34*($B286+IF($R$17="Distrato",$I$38-1,0)),IF(AND($L$37=0,$P$34=0),"",$L$37-1),IF($R$17="Distrato",$E286,0)),MIN(S$38,$D$19),$P$20))-SUM($P286:R286)</f>
        <v>#VALUE!</v>
      </c>
      <c r="T286" s="446" t="e">
        <f>IF(OR($B286="",MIN(T$38,$D$19)&lt;MAX($P$34*($B286+IF($R$17="Distrato",$I$38-1,0)),IF(AND($L$37=0,$P$34=0),"",$L$37-1),IF($R$17="Distrato",$E286,0))),0,YEARFRAC(MAX($P$34*($B286+IF($R$17="Distrato",$I$38-1,0)),IF(AND($L$37=0,$P$34=0),"",$L$37-1),IF($R$17="Distrato",$E286,0)),MIN(T$38,$D$19),$P$20))-SUM($P286:S286)</f>
        <v>#VALUE!</v>
      </c>
      <c r="U286" s="446" t="e">
        <f>IF(OR($B286="",MIN(U$38,$D$19)&lt;MAX($P$34*($B286+IF($R$17="Distrato",$I$38-1,0)),IF(AND($L$37=0,$P$34=0),"",$L$37-1),IF($R$17="Distrato",$E286,0))),0,YEARFRAC(MAX($P$34*($B286+IF($R$17="Distrato",$I$38-1,0)),IF(AND($L$37=0,$P$34=0),"",$L$37-1),IF($R$17="Distrato",$E286,0)),MIN(U$38,$D$19),$P$20))-SUM($P286:T286)</f>
        <v>#VALUE!</v>
      </c>
      <c r="V286" s="446" t="e">
        <f>IF(OR($B286="",MIN(V$38,$D$19)&lt;MAX($P$34*($B286+IF($R$17="Distrato",$I$38-1,0)),IF(AND($L$37=0,$P$34=0),"",$L$37-1),IF($R$17="Distrato",$E286,0))),0,YEARFRAC(MAX($P$34*($B286+IF($R$17="Distrato",$I$38-1,0)),IF(AND($L$37=0,$P$34=0),"",$L$37-1),IF($R$17="Distrato",$E286,0)),MIN(V$38,$D$19),$P$20))-SUM($P286:U286)</f>
        <v>#VALUE!</v>
      </c>
      <c r="W286" s="446" t="e">
        <f>IF(OR($B286="",MIN(W$38,$D$19)&lt;MAX($P$34*($B286+IF($R$17="Distrato",$I$38-1,0)),IF(AND($L$37=0,$P$34=0),"",$L$37-1),IF($R$17="Distrato",$E286,0))),0,YEARFRAC(MAX($P$34*($B286+IF($R$17="Distrato",$I$38-1,0)),IF(AND($L$37=0,$P$34=0),"",$L$37-1),IF($R$17="Distrato",$E286,0)),MIN(W$38,$D$19),$P$20))-SUM($P286:V286)</f>
        <v>#VALUE!</v>
      </c>
      <c r="X286" s="446" t="e">
        <f>IF(OR($B286="",MIN(X$38,$D$19)&lt;MAX($P$34*($B286+IF($R$17="Distrato",$I$38-1,0)),IF(AND($L$37=0,$P$34=0),"",$L$37-1),IF($R$17="Distrato",$E286,0))),0,YEARFRAC(MAX($P$34*($B286+IF($R$17="Distrato",$I$38-1,0)),IF(AND($L$37=0,$P$34=0),"",$L$37-1),IF($R$17="Distrato",$E286,0)),MIN(X$38,$D$19),$P$20))-SUM($P286:W286)</f>
        <v>#VALUE!</v>
      </c>
      <c r="Y286" s="446" t="e">
        <f>IF(OR($B286="",MIN(Y$38,$D$19)&lt;MAX($P$34*($B286+IF($R$17="Distrato",$I$38-1,0)),IF(AND($L$37=0,$P$34=0),"",$L$37-1),IF($R$17="Distrato",$E286,0))),0,YEARFRAC(MAX($P$34*($B286+IF($R$17="Distrato",$I$38-1,0)),IF(AND($L$37=0,$P$34=0),"",$L$37-1),IF($R$17="Distrato",$E286,0)),MIN(Y$38,$D$19),$P$20))-SUM($P286:X286)</f>
        <v>#VALUE!</v>
      </c>
      <c r="Z286" s="446" t="e">
        <f>IF(OR($B286="",MIN(Z$38,$D$19)&lt;MAX($P$34*($B286+IF($R$17="Distrato",$I$38-1,0)),IF(AND($L$37=0,$P$34=0),"",$L$37-1),IF($R$17="Distrato",$E286,0))),0,YEARFRAC(MAX($P$34*($B286+IF($R$17="Distrato",$I$38-1,0)),IF(AND($L$37=0,$P$34=0),"",$L$37-1),IF($R$17="Distrato",$E286,0)),MIN(Z$38,$D$19),$P$20))-SUM($P286:Y286)</f>
        <v>#VALUE!</v>
      </c>
      <c r="AA286" s="446" t="e">
        <f>IF(OR($B286="",MIN(AA$38,$D$19)&lt;MAX($P$34*($B286+IF($R$17="Distrato",$I$38-1,0)),IF(AND($L$37=0,$P$34=0),"",$L$37-1),IF($R$17="Distrato",$E286,0))),0,YEARFRAC(MAX($P$34*($B286+IF($R$17="Distrato",$I$38-1,0)),IF(AND($L$37=0,$P$34=0),"",$L$37-1),IF($R$17="Distrato",$E286,0)),MIN(AA$38,$D$19),$P$20))-SUM($P286:Z286)</f>
        <v>#VALUE!</v>
      </c>
      <c r="AB286" s="446" t="e">
        <f>IF(OR($B286="",MIN(AB$38,$D$19)&lt;MAX($P$34*($B286+IF($R$17="Distrato",$I$38-1,0)),IF(AND($L$37=0,$P$34=0),"",$L$37-1),IF($R$17="Distrato",$E286,0))),0,YEARFRAC(MAX($P$34*($B286+IF($R$17="Distrato",$I$38-1,0)),IF(AND($L$37=0,$P$34=0),"",$L$37-1),IF($R$17="Distrato",$E286,0)),MIN(AB$38,$D$19),$P$20))-SUM($P286:AA286)</f>
        <v>#VALUE!</v>
      </c>
      <c r="AC286" s="446" t="e">
        <f>IF(OR($B286="",MIN(AC$38,$D$19)&lt;MAX($P$34*($B286+IF($R$17="Distrato",$I$38-1,0)),IF(AND($L$37=0,$P$34=0),"",$L$37-1),IF($R$17="Distrato",$E286,0))),0,YEARFRAC(MAX($P$34*($B286+IF($R$17="Distrato",$I$38-1,0)),IF(AND($L$37=0,$P$34=0),"",$L$37-1),IF($R$17="Distrato",$E286,0)),MIN(AC$38,$D$19),$P$20))-SUM($P286:AB286)</f>
        <v>#VALUE!</v>
      </c>
      <c r="AD286" s="446" t="e">
        <f>IF(OR($B286="",MIN(AD$38,$D$19)&lt;MAX($P$34*($B286+IF($R$17="Distrato",$I$38-1,0)),IF(AND($L$37=0,$P$34=0),"",$L$37-1),IF($R$17="Distrato",$E286,0))),0,YEARFRAC(MAX($P$34*($B286+IF($R$17="Distrato",$I$38-1,0)),IF(AND($L$37=0,$P$34=0),"",$L$37-1),IF($R$17="Distrato",$E286,0)),MIN(AD$38,$D$19),$P$20))-SUM($P286:AC286)</f>
        <v>#VALUE!</v>
      </c>
      <c r="AE286" s="446" t="e">
        <f>IF(OR($B286="",MIN(AE$38,$D$19)&lt;MAX($P$34*($B286+IF($R$17="Distrato",$I$38-1,0)),IF(AND($L$37=0,$P$34=0),"",$L$37-1),IF($R$17="Distrato",$E286,0))),0,YEARFRAC(MAX($P$34*($B286+IF($R$17="Distrato",$I$38-1,0)),IF(AND($L$37=0,$P$34=0),"",$L$37-1),IF($R$17="Distrato",$E286,0)),MIN(AE$38,$D$19),$P$20))-SUM($P286:AD286)</f>
        <v>#VALUE!</v>
      </c>
      <c r="AF286" s="446" t="e">
        <f>IF(OR($B286="",MIN(AF$38,$D$19)&lt;MAX($P$34*($B286+IF($R$17="Distrato",$I$38-1,0)),IF(AND($L$37=0,$P$34=0),"",$L$37-1),IF($R$17="Distrato",$E286,0))),0,YEARFRAC(MAX($P$34*($B286+IF($R$17="Distrato",$I$38-1,0)),IF(AND($L$37=0,$P$34=0),"",$L$37-1),IF($R$17="Distrato",$E286,0)),MIN(AF$38,$D$19),$P$20))-SUM($P286:AE286)</f>
        <v>#VALUE!</v>
      </c>
      <c r="AG286" s="446" t="e">
        <f>IF(OR($B286="",MIN(AG$38,$D$19)&lt;MAX($P$34*($B286+IF($R$17="Distrato",$I$38-1,0)),IF(AND($L$37=0,$P$34=0),"",$L$37-1),IF($R$17="Distrato",$E286,0))),0,YEARFRAC(MAX($P$34*($B286+IF($R$17="Distrato",$I$38-1,0)),IF(AND($L$37=0,$P$34=0),"",$L$37-1),IF($R$17="Distrato",$E286,0)),MIN(AG$38,$D$19),$P$20))-SUM($P286:AF286)</f>
        <v>#VALUE!</v>
      </c>
      <c r="AH286" s="446" t="e">
        <f>IF(OR($B286="",MIN(AH$38,$D$19)&lt;MAX($P$34*($B286+IF($R$17="Distrato",$I$38-1,0)),IF(AND($L$37=0,$P$34=0),"",$L$37-1),IF($R$17="Distrato",$E286,0))),0,YEARFRAC(MAX($P$34*($B286+IF($R$17="Distrato",$I$38-1,0)),IF(AND($L$37=0,$P$34=0),"",$L$37-1),IF($R$17="Distrato",$E286,0)),MIN(AH$38,$D$19),$P$20))-SUM($P286:AG286)</f>
        <v>#VALUE!</v>
      </c>
      <c r="AI286" s="446" t="e">
        <f>IF(OR($B286="",MIN(AI$38,$D$19)&lt;MAX($P$34*($B286+IF($R$17="Distrato",$I$38-1,0)),IF(AND($L$37=0,$P$34=0),"",$L$37-1),IF($R$17="Distrato",$E286,0))),0,YEARFRAC(MAX($P$34*($B286+IF($R$17="Distrato",$I$38-1,0)),IF(AND($L$37=0,$P$34=0),"",$L$37-1),IF($R$17="Distrato",$E286,0)),MIN(AI$38,$D$19),$P$20))-SUM($P286:AH286)</f>
        <v>#VALUE!</v>
      </c>
      <c r="AJ286" s="446" t="e">
        <f>IF(OR($B286="",MIN(AJ$38,$D$19)&lt;MAX($P$34*($B286+IF($R$17="Distrato",$I$38-1,0)),IF(AND($L$37=0,$P$34=0),"",$L$37-1),IF($R$17="Distrato",$E286,0))),0,YEARFRAC(MAX($P$34*($B286+IF($R$17="Distrato",$I$38-1,0)),IF(AND($L$37=0,$P$34=0),"",$L$37-1),IF($R$17="Distrato",$E286,0)),MIN(AJ$38,$D$19),$P$20))-SUM($P286:AI286)</f>
        <v>#VALUE!</v>
      </c>
      <c r="AK286" s="446" t="e">
        <f>IF(OR($B286="",MIN(AK$38,$D$19)&lt;MAX($P$34*($B286+IF($R$17="Distrato",$I$38-1,0)),IF(AND($L$37=0,$P$34=0),"",$L$37-1),IF($R$17="Distrato",$E286,0))),0,YEARFRAC(MAX($P$34*($B286+IF($R$17="Distrato",$I$38-1,0)),IF(AND($L$37=0,$P$34=0),"",$L$37-1),IF($R$17="Distrato",$E286,0)),MIN(AK$38,$D$19),$P$20))-SUM($P286:AJ286)</f>
        <v>#VALUE!</v>
      </c>
      <c r="AL286" s="446" t="e">
        <f>IF(OR($B286="",MIN(AL$38,$D$19)&lt;MAX($P$34*($B286+IF($R$17="Distrato",$I$38-1,0)),IF(AND($L$37=0,$P$34=0),"",$L$37-1),IF($R$17="Distrato",$E286,0))),0,YEARFRAC(MAX($P$34*($B286+IF($R$17="Distrato",$I$38-1,0)),IF(AND($L$37=0,$P$34=0),"",$L$37-1),IF($R$17="Distrato",$E286,0)),MIN(AL$38,$D$19),$P$20))-SUM($P286:AK286)</f>
        <v>#VALUE!</v>
      </c>
      <c r="AM286" s="446" t="e">
        <f>IF(OR($B286="",MIN(AM$38,$D$19)&lt;MAX($P$34*($B286+IF($R$17="Distrato",$I$38-1,0)),IF(AND($L$37=0,$P$34=0),"",$L$37-1),IF($R$17="Distrato",$E286,0))),0,YEARFRAC(MAX($P$34*($B286+IF($R$17="Distrato",$I$38-1,0)),IF(AND($L$37=0,$P$34=0),"",$L$37-1),IF($R$17="Distrato",$E286,0)),MIN(AM$38,$D$19),$P$20))-SUM($P286:AL286)</f>
        <v>#VALUE!</v>
      </c>
      <c r="AN286" s="446" t="e">
        <f>IF(OR($B286="",MIN(AN$38,$D$19)&lt;MAX($P$34*($B286+IF($R$17="Distrato",$I$38-1,0)),IF(AND($L$37=0,$P$34=0),"",$L$37-1),IF($R$17="Distrato",$E286,0))),0,YEARFRAC(MAX($P$34*($B286+IF($R$17="Distrato",$I$38-1,0)),IF(AND($L$37=0,$P$34=0),"",$L$37-1),IF($R$17="Distrato",$E286,0)),MIN(AN$38,$D$19),$P$20))-SUM($P286:AM286)</f>
        <v>#VALUE!</v>
      </c>
      <c r="AO286" s="446" t="e">
        <f>IF(OR($B286="",MIN(AO$38,$D$19)&lt;MAX($P$34*($B286+IF($R$17="Distrato",$I$38-1,0)),IF(AND($L$37=0,$P$34=0),"",$L$37-1),IF($R$17="Distrato",$E286,0))),0,YEARFRAC(MAX($P$34*($B286+IF($R$17="Distrato",$I$38-1,0)),IF(AND($L$37=0,$P$34=0),"",$L$37-1),IF($R$17="Distrato",$E286,0)),MIN(AO$38,$D$19),$P$20))-SUM($P286:AN286)</f>
        <v>#VALUE!</v>
      </c>
      <c r="AP286" s="446" t="e">
        <f>IF(OR($B286="",MIN(AP$38,$D$19)&lt;MAX($P$34*($B286+IF($R$17="Distrato",$I$38-1,0)),IF(AND($L$37=0,$P$34=0),"",$L$37-1),IF($R$17="Distrato",$E286,0))),0,YEARFRAC(MAX($P$34*($B286+IF($R$17="Distrato",$I$38-1,0)),IF(AND($L$37=0,$P$34=0),"",$L$37-1),IF($R$17="Distrato",$E286,0)),MIN(AP$38,$D$19),$P$20))-SUM($P286:AO286)</f>
        <v>#VALUE!</v>
      </c>
      <c r="AQ286" s="446" t="e">
        <f>IF(OR($B286="",MIN(AQ$38,$D$19)&lt;MAX($P$34*($B286+IF($R$17="Distrato",$I$38-1,0)),IF(AND($L$37=0,$P$34=0),"",$L$37-1),IF($R$17="Distrato",$E286,0))),0,YEARFRAC(MAX($P$34*($B286+IF($R$17="Distrato",$I$38-1,0)),IF(AND($L$37=0,$P$34=0),"",$L$37-1),IF($R$17="Distrato",$E286,0)),MIN(AQ$38,$D$19),$P$20))-SUM($P286:AP286)</f>
        <v>#VALUE!</v>
      </c>
      <c r="AR286" s="446" t="e">
        <f>IF(OR($B286="",MIN(AR$38,$D$19)&lt;MAX($P$34*($B286+IF($R$17="Distrato",$I$38-1,0)),IF(AND($L$37=0,$P$34=0),"",$L$37-1),IF($R$17="Distrato",$E286,0))),0,YEARFRAC(MAX($P$34*($B286+IF($R$17="Distrato",$I$38-1,0)),IF(AND($L$37=0,$P$34=0),"",$L$37-1),IF($R$17="Distrato",$E286,0)),MIN(AR$38,$D$19),$P$20))-SUM($P286:AQ286)</f>
        <v>#VALUE!</v>
      </c>
      <c r="AS286" s="446" t="e">
        <f>IF(OR($B286="",MIN(AS$38,$D$19)&lt;MAX($P$34*($B286+IF($R$17="Distrato",$I$38-1,0)),IF(AND($L$37=0,$P$34=0),"",$L$37-1),IF($R$17="Distrato",$E286,0))),0,YEARFRAC(MAX($P$34*($B286+IF($R$17="Distrato",$I$38-1,0)),IF(AND($L$37=0,$P$34=0),"",$L$37-1),IF($R$17="Distrato",$E286,0)),MIN(AS$38,$D$19),$P$20))-SUM($P286:AR286)</f>
        <v>#VALUE!</v>
      </c>
      <c r="AT286" s="446" t="e">
        <f>IF(OR($B286="",MIN(AT$38,$D$19)&lt;MAX($P$34*($B286+IF($R$17="Distrato",$I$38-1,0)),IF(AND($L$37=0,$P$34=0),"",$L$37-1),IF($R$17="Distrato",$E286,0))),0,YEARFRAC(MAX($P$34*($B286+IF($R$17="Distrato",$I$38-1,0)),IF(AND($L$37=0,$P$34=0),"",$L$37-1),IF($R$17="Distrato",$E286,0)),MIN(AT$38,$D$19),$P$20))-SUM($P286:AS286)</f>
        <v>#VALUE!</v>
      </c>
      <c r="AU286" s="446" t="e">
        <f>IF(OR($B286="",MIN(AU$38,$D$19)&lt;MAX($P$34*($B286+IF($R$17="Distrato",$I$38-1,0)),IF(AND($L$37=0,$P$34=0),"",$L$37-1),IF($R$17="Distrato",$E286,0))),0,YEARFRAC(MAX($P$34*($B286+IF($R$17="Distrato",$I$38-1,0)),IF(AND($L$37=0,$P$34=0),"",$L$37-1),IF($R$17="Distrato",$E286,0)),MIN(AU$38,$D$19),$P$20))-SUM($P286:AT286)</f>
        <v>#VALUE!</v>
      </c>
      <c r="AV286" s="446" t="e">
        <f>IF(OR($B286="",MIN(AV$38,$D$19)&lt;MAX($P$34*($B286+IF($R$17="Distrato",$I$38-1,0)),IF(AND($L$37=0,$P$34=0),"",$L$37-1),IF($R$17="Distrato",$E286,0))),0,YEARFRAC(MAX($P$34*($B286+IF($R$17="Distrato",$I$38-1,0)),IF(AND($L$37=0,$P$34=0),"",$L$37-1),IF($R$17="Distrato",$E286,0)),MIN(AV$38,$D$19),$P$20))-SUM($P286:AU286)</f>
        <v>#VALUE!</v>
      </c>
      <c r="AW286" s="446" t="e">
        <f>IF(OR($B286="",MIN(AW$38,$D$19)&lt;MAX($P$34*($B286+IF($R$17="Distrato",$I$38-1,0)),IF(AND($L$37=0,$P$34=0),"",$L$37-1),IF($R$17="Distrato",$E286,0))),0,YEARFRAC(MAX($P$34*($B286+IF($R$17="Distrato",$I$38-1,0)),IF(AND($L$37=0,$P$34=0),"",$L$37-1),IF($R$17="Distrato",$E286,0)),MIN(AW$38,$D$19),$P$20))-SUM($P286:AV286)</f>
        <v>#VALUE!</v>
      </c>
      <c r="AX286" s="446" t="e">
        <f>IF(OR($B286="",MIN(AX$38,$D$19)&lt;MAX($P$34*($B286+IF($R$17="Distrato",$I$38-1,0)),IF(AND($L$37=0,$P$34=0),"",$L$37-1),IF($R$17="Distrato",$E286,0))),0,YEARFRAC(MAX($P$34*($B286+IF($R$17="Distrato",$I$38-1,0)),IF(AND($L$37=0,$P$34=0),"",$L$37-1),IF($R$17="Distrato",$E286,0)),MIN(AX$38,$D$19),$P$20))-SUM($P286:AW286)</f>
        <v>#VALUE!</v>
      </c>
      <c r="AY286" s="446" t="e">
        <f>IF(OR($B286="",MIN(AY$38,$D$19)&lt;MAX($P$34*($B286+IF($R$17="Distrato",$I$38-1,0)),IF(AND($L$37=0,$P$34=0),"",$L$37-1),IF($R$17="Distrato",$E286,0))),0,YEARFRAC(MAX($P$34*($B286+IF($R$17="Distrato",$I$38-1,0)),IF(AND($L$37=0,$P$34=0),"",$L$37-1),IF($R$17="Distrato",$E286,0)),MIN(AY$38,$D$19),$P$20))-SUM($P286:AX286)</f>
        <v>#VALUE!</v>
      </c>
      <c r="AZ286" s="446" t="e">
        <f>IF(OR($B286="",MIN(AZ$38,$D$19)&lt;MAX($P$34*($B286+IF($R$17="Distrato",$I$38-1,0)),IF(AND($L$37=0,$P$34=0),"",$L$37-1),IF($R$17="Distrato",$E286,0))),0,YEARFRAC(MAX($P$34*($B286+IF($R$17="Distrato",$I$38-1,0)),IF(AND($L$37=0,$P$34=0),"",$L$37-1),IF($R$17="Distrato",$E286,0)),MIN(AZ$38,$D$19),$P$20))-SUM($P286:AY286)</f>
        <v>#VALUE!</v>
      </c>
      <c r="BA286" s="446" t="e">
        <f>IF(OR($B286="",MIN(BA$38,$D$19)&lt;MAX($P$34*($B286+IF($R$17="Distrato",$I$38-1,0)),IF(AND($L$37=0,$P$34=0),"",$L$37-1),IF($R$17="Distrato",$E286,0))),0,YEARFRAC(MAX($P$34*($B286+IF($R$17="Distrato",$I$38-1,0)),IF(AND($L$37=0,$P$34=0),"",$L$37-1),IF($R$17="Distrato",$E286,0)),MIN(BA$38,$D$19),$P$20))-SUM($P286:AZ286)</f>
        <v>#VALUE!</v>
      </c>
      <c r="BB286" s="447"/>
      <c r="BF286" s="446">
        <f t="shared" si="43"/>
        <v>0</v>
      </c>
      <c r="BG286" s="446">
        <f>IF($E286=0,0,IF(MIN(BG$38,$E286)&lt;MAX($P$34*($B286+$I$38-1),IF(AND($L$37=0,$P$34=0),"",$L$37-1)),0,YEARFRAC(MAX($P$34*($B286+$I$38-1),IF(AND($L$37=0,$P$34=0),"",$L$37-1)),MIN(BG$38,$E286),$P$20))-SUM($BF286:BF286))</f>
        <v>0</v>
      </c>
      <c r="BH286" s="446">
        <f>IF($E286=0,0,IF(MIN(BH$38,$E286)&lt;MAX($P$34*($B286+$I$38-1),IF(AND($L$37=0,$P$34=0),"",$L$37-1)),0,YEARFRAC(MAX($P$34*($B286+$I$38-1),IF(AND($L$37=0,$P$34=0),"",$L$37-1)),MIN(BH$38,$E286),$P$20))-SUM($BF286:BG286))</f>
        <v>0</v>
      </c>
      <c r="BI286" s="446">
        <f>IF($E286=0,0,IF(MIN(BI$38,$E286)&lt;MAX($P$34*($B286+$I$38-1),IF(AND($L$37=0,$P$34=0),"",$L$37-1)),0,YEARFRAC(MAX($P$34*($B286+$I$38-1),IF(AND($L$37=0,$P$34=0),"",$L$37-1)),MIN(BI$38,$E286),$P$20))-SUM($BF286:BH286))</f>
        <v>0</v>
      </c>
      <c r="BJ286" s="446">
        <f>IF($E286=0,0,IF(MIN(BJ$38,$E286)&lt;MAX($P$34*($B286+$I$38-1),IF(AND($L$37=0,$P$34=0),"",$L$37-1)),0,YEARFRAC(MAX($P$34*($B286+$I$38-1),IF(AND($L$37=0,$P$34=0),"",$L$37-1)),MIN(BJ$38,$E286),$P$20))-SUM($BF286:BI286))</f>
        <v>0</v>
      </c>
      <c r="BK286" s="446">
        <f>IF($E286=0,0,IF(MIN(BK$38,$E286)&lt;MAX($P$34*($B286+$I$38-1),IF(AND($L$37=0,$P$34=0),"",$L$37-1)),0,YEARFRAC(MAX($P$34*($B286+$I$38-1),IF(AND($L$37=0,$P$34=0),"",$L$37-1)),MIN(BK$38,$E286),$P$20))-SUM($BF286:BJ286))</f>
        <v>0</v>
      </c>
      <c r="BL286" s="446">
        <f>IF($E286=0,0,IF(MIN(BL$38,$E286)&lt;MAX($P$34*($B286+$I$38-1),IF(AND($L$37=0,$P$34=0),"",$L$37-1)),0,YEARFRAC(MAX($P$34*($B286+$I$38-1),IF(AND($L$37=0,$P$34=0),"",$L$37-1)),MIN(BL$38,$E286),$P$20))-SUM($BF286:BK286))</f>
        <v>0</v>
      </c>
      <c r="BM286" s="446">
        <f>IF($E286=0,0,IF(MIN(BM$38,$E286)&lt;MAX($P$34*($B286+$I$38-1),IF(AND($L$37=0,$P$34=0),"",$L$37-1)),0,YEARFRAC(MAX($P$34*($B286+$I$38-1),IF(AND($L$37=0,$P$34=0),"",$L$37-1)),MIN(BM$38,$E286),$P$20))-SUM($BF286:BL286))</f>
        <v>0</v>
      </c>
      <c r="BN286" s="446">
        <f>IF($E286=0,0,IF(MIN(BN$38,$E286)&lt;MAX($P$34*($B286+$I$38-1),IF(AND($L$37=0,$P$34=0),"",$L$37-1)),0,YEARFRAC(MAX($P$34*($B286+$I$38-1),IF(AND($L$37=0,$P$34=0),"",$L$37-1)),MIN(BN$38,$E286),$P$20))-SUM($BF286:BM286))</f>
        <v>0</v>
      </c>
      <c r="BO286" s="446">
        <f>IF($E286=0,0,IF(MIN(BO$38,$E286)&lt;MAX($P$34*($B286+$I$38-1),IF(AND($L$37=0,$P$34=0),"",$L$37-1)),0,YEARFRAC(MAX($P$34*($B286+$I$38-1),IF(AND($L$37=0,$P$34=0),"",$L$37-1)),MIN(BO$38,$E286),$P$20))-SUM($BF286:BN286))</f>
        <v>0</v>
      </c>
      <c r="BP286" s="446">
        <f>IF($E286=0,0,IF(MIN(BP$38,$E286)&lt;MAX($P$34*($B286+$I$38-1),IF(AND($L$37=0,$P$34=0),"",$L$37-1)),0,YEARFRAC(MAX($P$34*($B286+$I$38-1),IF(AND($L$37=0,$P$34=0),"",$L$37-1)),MIN(BP$38,$E286),$P$20))-SUM($BF286:BO286))</f>
        <v>0</v>
      </c>
      <c r="BQ286" s="446">
        <f>IF($E286=0,0,IF(MIN(BQ$38,$E286)&lt;MAX($P$34*($B286+$I$38-1),IF(AND($L$37=0,$P$34=0),"",$L$37-1)),0,YEARFRAC(MAX($P$34*($B286+$I$38-1),IF(AND($L$37=0,$P$34=0),"",$L$37-1)),MIN(BQ$38,$E286),$P$20))-SUM($BF286:BP286))</f>
        <v>0</v>
      </c>
      <c r="BR286" s="446">
        <f>IF($E286=0,0,IF(MIN(BR$38,$E286)&lt;MAX($P$34*($B286+$I$38-1),IF(AND($L$37=0,$P$34=0),"",$L$37-1)),0,YEARFRAC(MAX($P$34*($B286+$I$38-1),IF(AND($L$37=0,$P$34=0),"",$L$37-1)),MIN(BR$38,$E286),$P$20))-SUM($BF286:BQ286))</f>
        <v>0</v>
      </c>
      <c r="BS286" s="446">
        <f>IF($E286=0,0,IF(MIN(BS$38,$E286)&lt;MAX($P$34*($B286+$I$38-1),IF(AND($L$37=0,$P$34=0),"",$L$37-1)),0,YEARFRAC(MAX($P$34*($B286+$I$38-1),IF(AND($L$37=0,$P$34=0),"",$L$37-1)),MIN(BS$38,$E286),$P$20))-SUM($BF286:BR286))</f>
        <v>0</v>
      </c>
      <c r="BT286" s="446">
        <f>IF($E286=0,0,IF(MIN(BT$38,$E286)&lt;MAX($P$34*($B286+$I$38-1),IF(AND($L$37=0,$P$34=0),"",$L$37-1)),0,YEARFRAC(MAX($P$34*($B286+$I$38-1),IF(AND($L$37=0,$P$34=0),"",$L$37-1)),MIN(BT$38,$E286),$P$20))-SUM($BF286:BS286))</f>
        <v>0</v>
      </c>
      <c r="BU286" s="446">
        <f>IF($E286=0,0,IF(MIN(BU$38,$E286)&lt;MAX($P$34*($B286+$I$38-1),IF(AND($L$37=0,$P$34=0),"",$L$37-1)),0,YEARFRAC(MAX($P$34*($B286+$I$38-1),IF(AND($L$37=0,$P$34=0),"",$L$37-1)),MIN(BU$38,$E286),$P$20))-SUM($BF286:BT286))</f>
        <v>0</v>
      </c>
      <c r="BV286" s="446">
        <f>IF($E286=0,0,IF(MIN(BV$38,$E286)&lt;MAX($P$34*($B286+$I$38-1),IF(AND($L$37=0,$P$34=0),"",$L$37-1)),0,YEARFRAC(MAX($P$34*($B286+$I$38-1),IF(AND($L$37=0,$P$34=0),"",$L$37-1)),MIN(BV$38,$E286),$P$20))-SUM($BF286:BU286))</f>
        <v>0</v>
      </c>
      <c r="BW286" s="446">
        <f>IF($E286=0,0,IF(MIN(BW$38,$E286)&lt;MAX($P$34*($B286+$I$38-1),IF(AND($L$37=0,$P$34=0),"",$L$37-1)),0,YEARFRAC(MAX($P$34*($B286+$I$38-1),IF(AND($L$37=0,$P$34=0),"",$L$37-1)),MIN(BW$38,$E286),$P$20))-SUM($BF286:BV286))</f>
        <v>0</v>
      </c>
      <c r="BX286" s="446">
        <f>IF($E286=0,0,IF(MIN(BX$38,$E286)&lt;MAX($P$34*($B286+$I$38-1),IF(AND($L$37=0,$P$34=0),"",$L$37-1)),0,YEARFRAC(MAX($P$34*($B286+$I$38-1),IF(AND($L$37=0,$P$34=0),"",$L$37-1)),MIN(BX$38,$E286),$P$20))-SUM($BF286:BW286))</f>
        <v>0</v>
      </c>
      <c r="BY286" s="446">
        <f>IF($E286=0,0,IF(MIN(BY$38,$E286)&lt;MAX($P$34*($B286+$I$38-1),IF(AND($L$37=0,$P$34=0),"",$L$37-1)),0,YEARFRAC(MAX($P$34*($B286+$I$38-1),IF(AND($L$37=0,$P$34=0),"",$L$37-1)),MIN(BY$38,$E286),$P$20))-SUM($BF286:BX286))</f>
        <v>0</v>
      </c>
      <c r="BZ286" s="446">
        <f>IF($E286=0,0,IF(MIN(BZ$38,$E286)&lt;MAX($P$34*($B286+$I$38-1),IF(AND($L$37=0,$P$34=0),"",$L$37-1)),0,YEARFRAC(MAX($P$34*($B286+$I$38-1),IF(AND($L$37=0,$P$34=0),"",$L$37-1)),MIN(BZ$38,$E286),$P$20))-SUM($BF286:BY286))</f>
        <v>0</v>
      </c>
      <c r="CA286" s="446">
        <f>IF($E286=0,0,IF(MIN(CA$38,$E286)&lt;MAX($P$34*($B286+$I$38-1),IF(AND($L$37=0,$P$34=0),"",$L$37-1)),0,YEARFRAC(MAX($P$34*($B286+$I$38-1),IF(AND($L$37=0,$P$34=0),"",$L$37-1)),MIN(CA$38,$E286),$P$20))-SUM($BF286:BZ286))</f>
        <v>0</v>
      </c>
      <c r="CB286" s="446">
        <f>IF($E286=0,0,IF(MIN(CB$38,$E286)&lt;MAX($P$34*($B286+$I$38-1),IF(AND($L$37=0,$P$34=0),"",$L$37-1)),0,YEARFRAC(MAX($P$34*($B286+$I$38-1),IF(AND($L$37=0,$P$34=0),"",$L$37-1)),MIN(CB$38,$E286),$P$20))-SUM($BF286:CA286))</f>
        <v>0</v>
      </c>
      <c r="CC286" s="446">
        <f>IF($E286=0,0,IF(MIN(CC$38,$E286)&lt;MAX($P$34*($B286+$I$38-1),IF(AND($L$37=0,$P$34=0),"",$L$37-1)),0,YEARFRAC(MAX($P$34*($B286+$I$38-1),IF(AND($L$37=0,$P$34=0),"",$L$37-1)),MIN(CC$38,$E286),$P$20))-SUM($BF286:CB286))</f>
        <v>0</v>
      </c>
      <c r="CD286" s="446">
        <f>IF($E286=0,0,IF(MIN(CD$38,$E286)&lt;MAX($P$34*($B286+$I$38-1),IF(AND($L$37=0,$P$34=0),"",$L$37-1)),0,YEARFRAC(MAX($P$34*($B286+$I$38-1),IF(AND($L$37=0,$P$34=0),"",$L$37-1)),MIN(CD$38,$E286),$P$20))-SUM($BF286:CC286))</f>
        <v>0</v>
      </c>
      <c r="CE286" s="446">
        <f>IF($E286=0,0,IF(MIN(CE$38,$E286)&lt;MAX($P$34*($B286+$I$38-1),IF(AND($L$37=0,$P$34=0),"",$L$37-1)),0,YEARFRAC(MAX($P$34*($B286+$I$38-1),IF(AND($L$37=0,$P$34=0),"",$L$37-1)),MIN(CE$38,$E286),$P$20))-SUM($BF286:CD286))</f>
        <v>0</v>
      </c>
      <c r="CF286" s="446">
        <f>IF($E286=0,0,IF(MIN(CF$38,$E286)&lt;MAX($P$34*($B286+$I$38-1),IF(AND($L$37=0,$P$34=0),"",$L$37-1)),0,YEARFRAC(MAX($P$34*($B286+$I$38-1),IF(AND($L$37=0,$P$34=0),"",$L$37-1)),MIN(CF$38,$E286),$P$20))-SUM($BF286:CE286))</f>
        <v>0</v>
      </c>
      <c r="CG286" s="446">
        <f>IF($E286=0,0,IF(MIN(CG$38,$E286)&lt;MAX($P$34*($B286+$I$38-1),IF(AND($L$37=0,$P$34=0),"",$L$37-1)),0,YEARFRAC(MAX($P$34*($B286+$I$38-1),IF(AND($L$37=0,$P$34=0),"",$L$37-1)),MIN(CG$38,$E286),$P$20))-SUM($BF286:CF286))</f>
        <v>0</v>
      </c>
      <c r="CH286" s="446">
        <f>IF($E286=0,0,IF(MIN(CH$38,$E286)&lt;MAX($P$34*($B286+$I$38-1),IF(AND($L$37=0,$P$34=0),"",$L$37-1)),0,YEARFRAC(MAX($P$34*($B286+$I$38-1),IF(AND($L$37=0,$P$34=0),"",$L$37-1)),MIN(CH$38,$E286),$P$20))-SUM($BF286:CG286))</f>
        <v>0</v>
      </c>
      <c r="CI286" s="446">
        <f>IF($E286=0,0,IF(MIN(CI$38,$E286)&lt;MAX($P$34*($B286+$I$38-1),IF(AND($L$37=0,$P$34=0),"",$L$37-1)),0,YEARFRAC(MAX($P$34*($B286+$I$38-1),IF(AND($L$37=0,$P$34=0),"",$L$37-1)),MIN(CI$38,$E286),$P$20))-SUM($BF286:CH286))</f>
        <v>0</v>
      </c>
      <c r="CJ286" s="446">
        <f>IF($E286=0,0,IF(MIN(CJ$38,$E286)&lt;MAX($P$34*($B286+$I$38-1),IF(AND($L$37=0,$P$34=0),"",$L$37-1)),0,YEARFRAC(MAX($P$34*($B286+$I$38-1),IF(AND($L$37=0,$P$34=0),"",$L$37-1)),MIN(CJ$38,$E286),$P$20))-SUM($BF286:CI286))</f>
        <v>0</v>
      </c>
      <c r="CK286" s="446">
        <f>IF($E286=0,0,IF(MIN(CK$38,$E286)&lt;MAX($P$34*($B286+$I$38-1),IF(AND($L$37=0,$P$34=0),"",$L$37-1)),0,YEARFRAC(MAX($P$34*($B286+$I$38-1),IF(AND($L$37=0,$P$34=0),"",$L$37-1)),MIN(CK$38,$E286),$P$20))-SUM($BF286:CJ286))</f>
        <v>0</v>
      </c>
      <c r="CL286" s="446">
        <f>IF($E286=0,0,IF(MIN(CL$38,$E286)&lt;MAX($P$34*($B286+$I$38-1),IF(AND($L$37=0,$P$34=0),"",$L$37-1)),0,YEARFRAC(MAX($P$34*($B286+$I$38-1),IF(AND($L$37=0,$P$34=0),"",$L$37-1)),MIN(CL$38,$E286),$P$20))-SUM($BF286:CK286))</f>
        <v>0</v>
      </c>
      <c r="CM286" s="446">
        <f>IF($E286=0,0,IF(MIN(CM$38,$E286)&lt;MAX($P$34*($B286+$I$38-1),IF(AND($L$37=0,$P$34=0),"",$L$37-1)),0,YEARFRAC(MAX($P$34*($B286+$I$38-1),IF(AND($L$37=0,$P$34=0),"",$L$37-1)),MIN(CM$38,$E286),$P$20))-SUM($BF286:CL286))</f>
        <v>0</v>
      </c>
      <c r="CN286" s="446">
        <f>IF($E286=0,0,IF(MIN(CN$38,$E286)&lt;MAX($P$34*($B286+$I$38-1),IF(AND($L$37=0,$P$34=0),"",$L$37-1)),0,YEARFRAC(MAX($P$34*($B286+$I$38-1),IF(AND($L$37=0,$P$34=0),"",$L$37-1)),MIN(CN$38,$E286),$P$20))-SUM($BF286:CM286))</f>
        <v>0</v>
      </c>
      <c r="CO286" s="446">
        <f>IF($E286=0,0,IF(MIN(CO$38,$E286)&lt;MAX($P$34*($B286+$I$38-1),IF(AND($L$37=0,$P$34=0),"",$L$37-1)),0,YEARFRAC(MAX($P$34*($B286+$I$38-1),IF(AND($L$37=0,$P$34=0),"",$L$37-1)),MIN(CO$38,$E286),$P$20))-SUM($BF286:CN286))</f>
        <v>0</v>
      </c>
      <c r="CP286" s="446">
        <f>IF($E286=0,0,IF(MIN(CP$38,$E286)&lt;MAX($P$34*($B286+$I$38-1),IF(AND($L$37=0,$P$34=0),"",$L$37-1)),0,YEARFRAC(MAX($P$34*($B286+$I$38-1),IF(AND($L$37=0,$P$34=0),"",$L$37-1)),MIN(CP$38,$E286),$P$20))-SUM($BF286:CO286))</f>
        <v>0</v>
      </c>
      <c r="CQ286" s="446">
        <f>IF($E286=0,0,IF(MIN(CQ$38,$E286)&lt;MAX($P$34*($B286+$I$38-1),IF(AND($L$37=0,$P$34=0),"",$L$37-1)),0,YEARFRAC(MAX($P$34*($B286+$I$38-1),IF(AND($L$37=0,$P$34=0),"",$L$37-1)),MIN(CQ$38,$E286),$P$20))-SUM($BF286:CP286))</f>
        <v>0</v>
      </c>
    </row>
    <row r="287" spans="1:95" s="446" customFormat="1" ht="11.25" hidden="1" customHeight="1" x14ac:dyDescent="0.2">
      <c r="A287" s="152"/>
      <c r="B287" s="153" t="str">
        <f t="shared" si="48"/>
        <v/>
      </c>
      <c r="C287" s="29" t="str">
        <f>IF(B287="","",IF($L$35="SELIC - TRIBUTOS",VLOOKUP(DATE(YEAR($D$19),MONTH($D$19)-1,1),ÍNDICES!$A:$DE,HLOOKUP($BL$25,ÍNDICES!$B$3:$T$4,2)+11)-VLOOKUP(B287,ÍNDICES!$A:$DE,HLOOKUP($BL$25,ÍNDICES!$B$3:$T$4,2)+11)+1%,IF(C$38=$W$26,$J$35,IF(ISERROR(IF(B287&gt;$D$19,1,VLOOKUP(DATE(YEAR(B287),MONTH(B287)+IF($C$35=$S$23,1,0),1),ÍNDICES!$A:$DE,$Z$35+1))),"",IF(B287&gt;$D$19,1,VLOOKUP(DATE(YEAR(B287),MONTH(B287)+IF($C$35=$S$23,1,0),1),ÍNDICES!$A:$DE,$Z$35+1))))))</f>
        <v/>
      </c>
      <c r="D287" s="154" t="str">
        <f>IF(ISERROR(IF(OR($D$38=$Y$27,$B287=""),"",VLOOKUP(B287,ÍNDICES!A:DE,AF$35+1))),"",IF(OR($D$38=$Y$27,$B287=""),"",VLOOKUP(B287,ÍNDICES!A:DE,AF$35+1)))</f>
        <v/>
      </c>
      <c r="E287" s="153"/>
      <c r="F287" s="29" t="str">
        <f>IF(E287="","",IF($L$35="SELIC - TRIBUTOS",VLOOKUP(DATE(YEAR($D$19),MONTH($D$19)-1,1),ÍNDICES!$A:$DE,HLOOKUP($BL$25,ÍNDICES!$B$3:$T$4,2)+11)-VLOOKUP(E287,ÍNDICES!$A:$DE,HLOOKUP($BL$25,ÍNDICES!$B$3:$T$4,2)+11)+1%,IF(F$38=$W$26,$J$35,IF(ISERROR(IF(E287&gt;$D$19,1,VLOOKUP(DATE(YEAR(E287),MONTH(E287)+IF($C$35=$S$23,1,0),1),ÍNDICES!$A:$DE,$Z$35+1))),"",IF(E287&gt;$D$19,1,VLOOKUP(DATE(YEAR(E287),MONTH(E287)+IF($C$35=$S$23,1,0),1),ÍNDICES!$A:$DE,$Z$35+1))))))</f>
        <v/>
      </c>
      <c r="G287" s="155"/>
      <c r="H287" s="156" t="str">
        <f t="shared" si="44"/>
        <v/>
      </c>
      <c r="I287" s="29" t="str">
        <f t="shared" si="38"/>
        <v/>
      </c>
      <c r="J287" s="5">
        <f t="shared" si="39"/>
        <v>0</v>
      </c>
      <c r="K287" s="20">
        <f t="shared" ca="1" si="40"/>
        <v>0</v>
      </c>
      <c r="L287" s="5">
        <f t="shared" ca="1" si="41"/>
        <v>0</v>
      </c>
      <c r="M287" s="64">
        <f t="shared" si="45"/>
        <v>0</v>
      </c>
      <c r="N287" s="61">
        <f t="shared" ca="1" si="46"/>
        <v>0</v>
      </c>
      <c r="O287" s="5">
        <f t="shared" ca="1" si="47"/>
        <v>0</v>
      </c>
      <c r="P287" s="446" t="e">
        <f t="shared" si="42"/>
        <v>#VALUE!</v>
      </c>
      <c r="Q287" s="446" t="e">
        <f>IF(OR($B287="",MIN(Q$38,$D$19)&lt;MAX($P$34*($B287+IF($R$17="Distrato",$I$38-1,0)),IF(AND($L$37=0,$P$34=0),"",$L$37-1),IF($R$17="Distrato",$E287,0))),0,YEARFRAC(MAX($P$34*($B287+IF($R$17="Distrato",$I$38-1,0)),IF(AND($L$37=0,$P$34=0),"",$L$37-1),IF($R$17="Distrato",$E287,0)),MIN(Q$38,$D$19),$P$20))-SUM($P287:P287)</f>
        <v>#VALUE!</v>
      </c>
      <c r="R287" s="446" t="e">
        <f>IF(OR($B287="",MIN(R$38,$D$19)&lt;MAX($P$34*($B287+IF($R$17="Distrato",$I$38-1,0)),IF(AND($L$37=0,$P$34=0),"",$L$37-1),IF($R$17="Distrato",$E287,0))),0,YEARFRAC(MAX($P$34*($B287+IF($R$17="Distrato",$I$38-1,0)),IF(AND($L$37=0,$P$34=0),"",$L$37-1),IF($R$17="Distrato",$E287,0)),MIN(R$38,$D$19),$P$20))-SUM($P287:Q287)</f>
        <v>#VALUE!</v>
      </c>
      <c r="S287" s="446" t="e">
        <f>IF(OR($B287="",MIN(S$38,$D$19)&lt;MAX($P$34*($B287+IF($R$17="Distrato",$I$38-1,0)),IF(AND($L$37=0,$P$34=0),"",$L$37-1),IF($R$17="Distrato",$E287,0))),0,YEARFRAC(MAX($P$34*($B287+IF($R$17="Distrato",$I$38-1,0)),IF(AND($L$37=0,$P$34=0),"",$L$37-1),IF($R$17="Distrato",$E287,0)),MIN(S$38,$D$19),$P$20))-SUM($P287:R287)</f>
        <v>#VALUE!</v>
      </c>
      <c r="T287" s="446" t="e">
        <f>IF(OR($B287="",MIN(T$38,$D$19)&lt;MAX($P$34*($B287+IF($R$17="Distrato",$I$38-1,0)),IF(AND($L$37=0,$P$34=0),"",$L$37-1),IF($R$17="Distrato",$E287,0))),0,YEARFRAC(MAX($P$34*($B287+IF($R$17="Distrato",$I$38-1,0)),IF(AND($L$37=0,$P$34=0),"",$L$37-1),IF($R$17="Distrato",$E287,0)),MIN(T$38,$D$19),$P$20))-SUM($P287:S287)</f>
        <v>#VALUE!</v>
      </c>
      <c r="U287" s="446" t="e">
        <f>IF(OR($B287="",MIN(U$38,$D$19)&lt;MAX($P$34*($B287+IF($R$17="Distrato",$I$38-1,0)),IF(AND($L$37=0,$P$34=0),"",$L$37-1),IF($R$17="Distrato",$E287,0))),0,YEARFRAC(MAX($P$34*($B287+IF($R$17="Distrato",$I$38-1,0)),IF(AND($L$37=0,$P$34=0),"",$L$37-1),IF($R$17="Distrato",$E287,0)),MIN(U$38,$D$19),$P$20))-SUM($P287:T287)</f>
        <v>#VALUE!</v>
      </c>
      <c r="V287" s="446" t="e">
        <f>IF(OR($B287="",MIN(V$38,$D$19)&lt;MAX($P$34*($B287+IF($R$17="Distrato",$I$38-1,0)),IF(AND($L$37=0,$P$34=0),"",$L$37-1),IF($R$17="Distrato",$E287,0))),0,YEARFRAC(MAX($P$34*($B287+IF($R$17="Distrato",$I$38-1,0)),IF(AND($L$37=0,$P$34=0),"",$L$37-1),IF($R$17="Distrato",$E287,0)),MIN(V$38,$D$19),$P$20))-SUM($P287:U287)</f>
        <v>#VALUE!</v>
      </c>
      <c r="W287" s="446" t="e">
        <f>IF(OR($B287="",MIN(W$38,$D$19)&lt;MAX($P$34*($B287+IF($R$17="Distrato",$I$38-1,0)),IF(AND($L$37=0,$P$34=0),"",$L$37-1),IF($R$17="Distrato",$E287,0))),0,YEARFRAC(MAX($P$34*($B287+IF($R$17="Distrato",$I$38-1,0)),IF(AND($L$37=0,$P$34=0),"",$L$37-1),IF($R$17="Distrato",$E287,0)),MIN(W$38,$D$19),$P$20))-SUM($P287:V287)</f>
        <v>#VALUE!</v>
      </c>
      <c r="X287" s="446" t="e">
        <f>IF(OR($B287="",MIN(X$38,$D$19)&lt;MAX($P$34*($B287+IF($R$17="Distrato",$I$38-1,0)),IF(AND($L$37=0,$P$34=0),"",$L$37-1),IF($R$17="Distrato",$E287,0))),0,YEARFRAC(MAX($P$34*($B287+IF($R$17="Distrato",$I$38-1,0)),IF(AND($L$37=0,$P$34=0),"",$L$37-1),IF($R$17="Distrato",$E287,0)),MIN(X$38,$D$19),$P$20))-SUM($P287:W287)</f>
        <v>#VALUE!</v>
      </c>
      <c r="Y287" s="446" t="e">
        <f>IF(OR($B287="",MIN(Y$38,$D$19)&lt;MAX($P$34*($B287+IF($R$17="Distrato",$I$38-1,0)),IF(AND($L$37=0,$P$34=0),"",$L$37-1),IF($R$17="Distrato",$E287,0))),0,YEARFRAC(MAX($P$34*($B287+IF($R$17="Distrato",$I$38-1,0)),IF(AND($L$37=0,$P$34=0),"",$L$37-1),IF($R$17="Distrato",$E287,0)),MIN(Y$38,$D$19),$P$20))-SUM($P287:X287)</f>
        <v>#VALUE!</v>
      </c>
      <c r="Z287" s="446" t="e">
        <f>IF(OR($B287="",MIN(Z$38,$D$19)&lt;MAX($P$34*($B287+IF($R$17="Distrato",$I$38-1,0)),IF(AND($L$37=0,$P$34=0),"",$L$37-1),IF($R$17="Distrato",$E287,0))),0,YEARFRAC(MAX($P$34*($B287+IF($R$17="Distrato",$I$38-1,0)),IF(AND($L$37=0,$P$34=0),"",$L$37-1),IF($R$17="Distrato",$E287,0)),MIN(Z$38,$D$19),$P$20))-SUM($P287:Y287)</f>
        <v>#VALUE!</v>
      </c>
      <c r="AA287" s="446" t="e">
        <f>IF(OR($B287="",MIN(AA$38,$D$19)&lt;MAX($P$34*($B287+IF($R$17="Distrato",$I$38-1,0)),IF(AND($L$37=0,$P$34=0),"",$L$37-1),IF($R$17="Distrato",$E287,0))),0,YEARFRAC(MAX($P$34*($B287+IF($R$17="Distrato",$I$38-1,0)),IF(AND($L$37=0,$P$34=0),"",$L$37-1),IF($R$17="Distrato",$E287,0)),MIN(AA$38,$D$19),$P$20))-SUM($P287:Z287)</f>
        <v>#VALUE!</v>
      </c>
      <c r="AB287" s="446" t="e">
        <f>IF(OR($B287="",MIN(AB$38,$D$19)&lt;MAX($P$34*($B287+IF($R$17="Distrato",$I$38-1,0)),IF(AND($L$37=0,$P$34=0),"",$L$37-1),IF($R$17="Distrato",$E287,0))),0,YEARFRAC(MAX($P$34*($B287+IF($R$17="Distrato",$I$38-1,0)),IF(AND($L$37=0,$P$34=0),"",$L$37-1),IF($R$17="Distrato",$E287,0)),MIN(AB$38,$D$19),$P$20))-SUM($P287:AA287)</f>
        <v>#VALUE!</v>
      </c>
      <c r="AC287" s="446" t="e">
        <f>IF(OR($B287="",MIN(AC$38,$D$19)&lt;MAX($P$34*($B287+IF($R$17="Distrato",$I$38-1,0)),IF(AND($L$37=0,$P$34=0),"",$L$37-1),IF($R$17="Distrato",$E287,0))),0,YEARFRAC(MAX($P$34*($B287+IF($R$17="Distrato",$I$38-1,0)),IF(AND($L$37=0,$P$34=0),"",$L$37-1),IF($R$17="Distrato",$E287,0)),MIN(AC$38,$D$19),$P$20))-SUM($P287:AB287)</f>
        <v>#VALUE!</v>
      </c>
      <c r="AD287" s="446" t="e">
        <f>IF(OR($B287="",MIN(AD$38,$D$19)&lt;MAX($P$34*($B287+IF($R$17="Distrato",$I$38-1,0)),IF(AND($L$37=0,$P$34=0),"",$L$37-1),IF($R$17="Distrato",$E287,0))),0,YEARFRAC(MAX($P$34*($B287+IF($R$17="Distrato",$I$38-1,0)),IF(AND($L$37=0,$P$34=0),"",$L$37-1),IF($R$17="Distrato",$E287,0)),MIN(AD$38,$D$19),$P$20))-SUM($P287:AC287)</f>
        <v>#VALUE!</v>
      </c>
      <c r="AE287" s="446" t="e">
        <f>IF(OR($B287="",MIN(AE$38,$D$19)&lt;MAX($P$34*($B287+IF($R$17="Distrato",$I$38-1,0)),IF(AND($L$37=0,$P$34=0),"",$L$37-1),IF($R$17="Distrato",$E287,0))),0,YEARFRAC(MAX($P$34*($B287+IF($R$17="Distrato",$I$38-1,0)),IF(AND($L$37=0,$P$34=0),"",$L$37-1),IF($R$17="Distrato",$E287,0)),MIN(AE$38,$D$19),$P$20))-SUM($P287:AD287)</f>
        <v>#VALUE!</v>
      </c>
      <c r="AF287" s="446" t="e">
        <f>IF(OR($B287="",MIN(AF$38,$D$19)&lt;MAX($P$34*($B287+IF($R$17="Distrato",$I$38-1,0)),IF(AND($L$37=0,$P$34=0),"",$L$37-1),IF($R$17="Distrato",$E287,0))),0,YEARFRAC(MAX($P$34*($B287+IF($R$17="Distrato",$I$38-1,0)),IF(AND($L$37=0,$P$34=0),"",$L$37-1),IF($R$17="Distrato",$E287,0)),MIN(AF$38,$D$19),$P$20))-SUM($P287:AE287)</f>
        <v>#VALUE!</v>
      </c>
      <c r="AG287" s="446" t="e">
        <f>IF(OR($B287="",MIN(AG$38,$D$19)&lt;MAX($P$34*($B287+IF($R$17="Distrato",$I$38-1,0)),IF(AND($L$37=0,$P$34=0),"",$L$37-1),IF($R$17="Distrato",$E287,0))),0,YEARFRAC(MAX($P$34*($B287+IF($R$17="Distrato",$I$38-1,0)),IF(AND($L$37=0,$P$34=0),"",$L$37-1),IF($R$17="Distrato",$E287,0)),MIN(AG$38,$D$19),$P$20))-SUM($P287:AF287)</f>
        <v>#VALUE!</v>
      </c>
      <c r="AH287" s="446" t="e">
        <f>IF(OR($B287="",MIN(AH$38,$D$19)&lt;MAX($P$34*($B287+IF($R$17="Distrato",$I$38-1,0)),IF(AND($L$37=0,$P$34=0),"",$L$37-1),IF($R$17="Distrato",$E287,0))),0,YEARFRAC(MAX($P$34*($B287+IF($R$17="Distrato",$I$38-1,0)),IF(AND($L$37=0,$P$34=0),"",$L$37-1),IF($R$17="Distrato",$E287,0)),MIN(AH$38,$D$19),$P$20))-SUM($P287:AG287)</f>
        <v>#VALUE!</v>
      </c>
      <c r="AI287" s="446" t="e">
        <f>IF(OR($B287="",MIN(AI$38,$D$19)&lt;MAX($P$34*($B287+IF($R$17="Distrato",$I$38-1,0)),IF(AND($L$37=0,$P$34=0),"",$L$37-1),IF($R$17="Distrato",$E287,0))),0,YEARFRAC(MAX($P$34*($B287+IF($R$17="Distrato",$I$38-1,0)),IF(AND($L$37=0,$P$34=0),"",$L$37-1),IF($R$17="Distrato",$E287,0)),MIN(AI$38,$D$19),$P$20))-SUM($P287:AH287)</f>
        <v>#VALUE!</v>
      </c>
      <c r="AJ287" s="446" t="e">
        <f>IF(OR($B287="",MIN(AJ$38,$D$19)&lt;MAX($P$34*($B287+IF($R$17="Distrato",$I$38-1,0)),IF(AND($L$37=0,$P$34=0),"",$L$37-1),IF($R$17="Distrato",$E287,0))),0,YEARFRAC(MAX($P$34*($B287+IF($R$17="Distrato",$I$38-1,0)),IF(AND($L$37=0,$P$34=0),"",$L$37-1),IF($R$17="Distrato",$E287,0)),MIN(AJ$38,$D$19),$P$20))-SUM($P287:AI287)</f>
        <v>#VALUE!</v>
      </c>
      <c r="AK287" s="446" t="e">
        <f>IF(OR($B287="",MIN(AK$38,$D$19)&lt;MAX($P$34*($B287+IF($R$17="Distrato",$I$38-1,0)),IF(AND($L$37=0,$P$34=0),"",$L$37-1),IF($R$17="Distrato",$E287,0))),0,YEARFRAC(MAX($P$34*($B287+IF($R$17="Distrato",$I$38-1,0)),IF(AND($L$37=0,$P$34=0),"",$L$37-1),IF($R$17="Distrato",$E287,0)),MIN(AK$38,$D$19),$P$20))-SUM($P287:AJ287)</f>
        <v>#VALUE!</v>
      </c>
      <c r="AL287" s="446" t="e">
        <f>IF(OR($B287="",MIN(AL$38,$D$19)&lt;MAX($P$34*($B287+IF($R$17="Distrato",$I$38-1,0)),IF(AND($L$37=0,$P$34=0),"",$L$37-1),IF($R$17="Distrato",$E287,0))),0,YEARFRAC(MAX($P$34*($B287+IF($R$17="Distrato",$I$38-1,0)),IF(AND($L$37=0,$P$34=0),"",$L$37-1),IF($R$17="Distrato",$E287,0)),MIN(AL$38,$D$19),$P$20))-SUM($P287:AK287)</f>
        <v>#VALUE!</v>
      </c>
      <c r="AM287" s="446" t="e">
        <f>IF(OR($B287="",MIN(AM$38,$D$19)&lt;MAX($P$34*($B287+IF($R$17="Distrato",$I$38-1,0)),IF(AND($L$37=0,$P$34=0),"",$L$37-1),IF($R$17="Distrato",$E287,0))),0,YEARFRAC(MAX($P$34*($B287+IF($R$17="Distrato",$I$38-1,0)),IF(AND($L$37=0,$P$34=0),"",$L$37-1),IF($R$17="Distrato",$E287,0)),MIN(AM$38,$D$19),$P$20))-SUM($P287:AL287)</f>
        <v>#VALUE!</v>
      </c>
      <c r="AN287" s="446" t="e">
        <f>IF(OR($B287="",MIN(AN$38,$D$19)&lt;MAX($P$34*($B287+IF($R$17="Distrato",$I$38-1,0)),IF(AND($L$37=0,$P$34=0),"",$L$37-1),IF($R$17="Distrato",$E287,0))),0,YEARFRAC(MAX($P$34*($B287+IF($R$17="Distrato",$I$38-1,0)),IF(AND($L$37=0,$P$34=0),"",$L$37-1),IF($R$17="Distrato",$E287,0)),MIN(AN$38,$D$19),$P$20))-SUM($P287:AM287)</f>
        <v>#VALUE!</v>
      </c>
      <c r="AO287" s="446" t="e">
        <f>IF(OR($B287="",MIN(AO$38,$D$19)&lt;MAX($P$34*($B287+IF($R$17="Distrato",$I$38-1,0)),IF(AND($L$37=0,$P$34=0),"",$L$37-1),IF($R$17="Distrato",$E287,0))),0,YEARFRAC(MAX($P$34*($B287+IF($R$17="Distrato",$I$38-1,0)),IF(AND($L$37=0,$P$34=0),"",$L$37-1),IF($R$17="Distrato",$E287,0)),MIN(AO$38,$D$19),$P$20))-SUM($P287:AN287)</f>
        <v>#VALUE!</v>
      </c>
      <c r="AP287" s="446" t="e">
        <f>IF(OR($B287="",MIN(AP$38,$D$19)&lt;MAX($P$34*($B287+IF($R$17="Distrato",$I$38-1,0)),IF(AND($L$37=0,$P$34=0),"",$L$37-1),IF($R$17="Distrato",$E287,0))),0,YEARFRAC(MAX($P$34*($B287+IF($R$17="Distrato",$I$38-1,0)),IF(AND($L$37=0,$P$34=0),"",$L$37-1),IF($R$17="Distrato",$E287,0)),MIN(AP$38,$D$19),$P$20))-SUM($P287:AO287)</f>
        <v>#VALUE!</v>
      </c>
      <c r="AQ287" s="446" t="e">
        <f>IF(OR($B287="",MIN(AQ$38,$D$19)&lt;MAX($P$34*($B287+IF($R$17="Distrato",$I$38-1,0)),IF(AND($L$37=0,$P$34=0),"",$L$37-1),IF($R$17="Distrato",$E287,0))),0,YEARFRAC(MAX($P$34*($B287+IF($R$17="Distrato",$I$38-1,0)),IF(AND($L$37=0,$P$34=0),"",$L$37-1),IF($R$17="Distrato",$E287,0)),MIN(AQ$38,$D$19),$P$20))-SUM($P287:AP287)</f>
        <v>#VALUE!</v>
      </c>
      <c r="AR287" s="446" t="e">
        <f>IF(OR($B287="",MIN(AR$38,$D$19)&lt;MAX($P$34*($B287+IF($R$17="Distrato",$I$38-1,0)),IF(AND($L$37=0,$P$34=0),"",$L$37-1),IF($R$17="Distrato",$E287,0))),0,YEARFRAC(MAX($P$34*($B287+IF($R$17="Distrato",$I$38-1,0)),IF(AND($L$37=0,$P$34=0),"",$L$37-1),IF($R$17="Distrato",$E287,0)),MIN(AR$38,$D$19),$P$20))-SUM($P287:AQ287)</f>
        <v>#VALUE!</v>
      </c>
      <c r="AS287" s="446" t="e">
        <f>IF(OR($B287="",MIN(AS$38,$D$19)&lt;MAX($P$34*($B287+IF($R$17="Distrato",$I$38-1,0)),IF(AND($L$37=0,$P$34=0),"",$L$37-1),IF($R$17="Distrato",$E287,0))),0,YEARFRAC(MAX($P$34*($B287+IF($R$17="Distrato",$I$38-1,0)),IF(AND($L$37=0,$P$34=0),"",$L$37-1),IF($R$17="Distrato",$E287,0)),MIN(AS$38,$D$19),$P$20))-SUM($P287:AR287)</f>
        <v>#VALUE!</v>
      </c>
      <c r="AT287" s="446" t="e">
        <f>IF(OR($B287="",MIN(AT$38,$D$19)&lt;MAX($P$34*($B287+IF($R$17="Distrato",$I$38-1,0)),IF(AND($L$37=0,$P$34=0),"",$L$37-1),IF($R$17="Distrato",$E287,0))),0,YEARFRAC(MAX($P$34*($B287+IF($R$17="Distrato",$I$38-1,0)),IF(AND($L$37=0,$P$34=0),"",$L$37-1),IF($R$17="Distrato",$E287,0)),MIN(AT$38,$D$19),$P$20))-SUM($P287:AS287)</f>
        <v>#VALUE!</v>
      </c>
      <c r="AU287" s="446" t="e">
        <f>IF(OR($B287="",MIN(AU$38,$D$19)&lt;MAX($P$34*($B287+IF($R$17="Distrato",$I$38-1,0)),IF(AND($L$37=0,$P$34=0),"",$L$37-1),IF($R$17="Distrato",$E287,0))),0,YEARFRAC(MAX($P$34*($B287+IF($R$17="Distrato",$I$38-1,0)),IF(AND($L$37=0,$P$34=0),"",$L$37-1),IF($R$17="Distrato",$E287,0)),MIN(AU$38,$D$19),$P$20))-SUM($P287:AT287)</f>
        <v>#VALUE!</v>
      </c>
      <c r="AV287" s="446" t="e">
        <f>IF(OR($B287="",MIN(AV$38,$D$19)&lt;MAX($P$34*($B287+IF($R$17="Distrato",$I$38-1,0)),IF(AND($L$37=0,$P$34=0),"",$L$37-1),IF($R$17="Distrato",$E287,0))),0,YEARFRAC(MAX($P$34*($B287+IF($R$17="Distrato",$I$38-1,0)),IF(AND($L$37=0,$P$34=0),"",$L$37-1),IF($R$17="Distrato",$E287,0)),MIN(AV$38,$D$19),$P$20))-SUM($P287:AU287)</f>
        <v>#VALUE!</v>
      </c>
      <c r="AW287" s="446" t="e">
        <f>IF(OR($B287="",MIN(AW$38,$D$19)&lt;MAX($P$34*($B287+IF($R$17="Distrato",$I$38-1,0)),IF(AND($L$37=0,$P$34=0),"",$L$37-1),IF($R$17="Distrato",$E287,0))),0,YEARFRAC(MAX($P$34*($B287+IF($R$17="Distrato",$I$38-1,0)),IF(AND($L$37=0,$P$34=0),"",$L$37-1),IF($R$17="Distrato",$E287,0)),MIN(AW$38,$D$19),$P$20))-SUM($P287:AV287)</f>
        <v>#VALUE!</v>
      </c>
      <c r="AX287" s="446" t="e">
        <f>IF(OR($B287="",MIN(AX$38,$D$19)&lt;MAX($P$34*($B287+IF($R$17="Distrato",$I$38-1,0)),IF(AND($L$37=0,$P$34=0),"",$L$37-1),IF($R$17="Distrato",$E287,0))),0,YEARFRAC(MAX($P$34*($B287+IF($R$17="Distrato",$I$38-1,0)),IF(AND($L$37=0,$P$34=0),"",$L$37-1),IF($R$17="Distrato",$E287,0)),MIN(AX$38,$D$19),$P$20))-SUM($P287:AW287)</f>
        <v>#VALUE!</v>
      </c>
      <c r="AY287" s="446" t="e">
        <f>IF(OR($B287="",MIN(AY$38,$D$19)&lt;MAX($P$34*($B287+IF($R$17="Distrato",$I$38-1,0)),IF(AND($L$37=0,$P$34=0),"",$L$37-1),IF($R$17="Distrato",$E287,0))),0,YEARFRAC(MAX($P$34*($B287+IF($R$17="Distrato",$I$38-1,0)),IF(AND($L$37=0,$P$34=0),"",$L$37-1),IF($R$17="Distrato",$E287,0)),MIN(AY$38,$D$19),$P$20))-SUM($P287:AX287)</f>
        <v>#VALUE!</v>
      </c>
      <c r="AZ287" s="446" t="e">
        <f>IF(OR($B287="",MIN(AZ$38,$D$19)&lt;MAX($P$34*($B287+IF($R$17="Distrato",$I$38-1,0)),IF(AND($L$37=0,$P$34=0),"",$L$37-1),IF($R$17="Distrato",$E287,0))),0,YEARFRAC(MAX($P$34*($B287+IF($R$17="Distrato",$I$38-1,0)),IF(AND($L$37=0,$P$34=0),"",$L$37-1),IF($R$17="Distrato",$E287,0)),MIN(AZ$38,$D$19),$P$20))-SUM($P287:AY287)</f>
        <v>#VALUE!</v>
      </c>
      <c r="BA287" s="446" t="e">
        <f>IF(OR($B287="",MIN(BA$38,$D$19)&lt;MAX($P$34*($B287+IF($R$17="Distrato",$I$38-1,0)),IF(AND($L$37=0,$P$34=0),"",$L$37-1),IF($R$17="Distrato",$E287,0))),0,YEARFRAC(MAX($P$34*($B287+IF($R$17="Distrato",$I$38-1,0)),IF(AND($L$37=0,$P$34=0),"",$L$37-1),IF($R$17="Distrato",$E287,0)),MIN(BA$38,$D$19),$P$20))-SUM($P287:AZ287)</f>
        <v>#VALUE!</v>
      </c>
      <c r="BB287" s="447"/>
      <c r="BF287" s="446">
        <f t="shared" si="43"/>
        <v>0</v>
      </c>
      <c r="BG287" s="446">
        <f>IF($E287=0,0,IF(MIN(BG$38,$E287)&lt;MAX($P$34*($B287+$I$38-1),IF(AND($L$37=0,$P$34=0),"",$L$37-1)),0,YEARFRAC(MAX($P$34*($B287+$I$38-1),IF(AND($L$37=0,$P$34=0),"",$L$37-1)),MIN(BG$38,$E287),$P$20))-SUM($BF287:BF287))</f>
        <v>0</v>
      </c>
      <c r="BH287" s="446">
        <f>IF($E287=0,0,IF(MIN(BH$38,$E287)&lt;MAX($P$34*($B287+$I$38-1),IF(AND($L$37=0,$P$34=0),"",$L$37-1)),0,YEARFRAC(MAX($P$34*($B287+$I$38-1),IF(AND($L$37=0,$P$34=0),"",$L$37-1)),MIN(BH$38,$E287),$P$20))-SUM($BF287:BG287))</f>
        <v>0</v>
      </c>
      <c r="BI287" s="446">
        <f>IF($E287=0,0,IF(MIN(BI$38,$E287)&lt;MAX($P$34*($B287+$I$38-1),IF(AND($L$37=0,$P$34=0),"",$L$37-1)),0,YEARFRAC(MAX($P$34*($B287+$I$38-1),IF(AND($L$37=0,$P$34=0),"",$L$37-1)),MIN(BI$38,$E287),$P$20))-SUM($BF287:BH287))</f>
        <v>0</v>
      </c>
      <c r="BJ287" s="446">
        <f>IF($E287=0,0,IF(MIN(BJ$38,$E287)&lt;MAX($P$34*($B287+$I$38-1),IF(AND($L$37=0,$P$34=0),"",$L$37-1)),0,YEARFRAC(MAX($P$34*($B287+$I$38-1),IF(AND($L$37=0,$P$34=0),"",$L$37-1)),MIN(BJ$38,$E287),$P$20))-SUM($BF287:BI287))</f>
        <v>0</v>
      </c>
      <c r="BK287" s="446">
        <f>IF($E287=0,0,IF(MIN(BK$38,$E287)&lt;MAX($P$34*($B287+$I$38-1),IF(AND($L$37=0,$P$34=0),"",$L$37-1)),0,YEARFRAC(MAX($P$34*($B287+$I$38-1),IF(AND($L$37=0,$P$34=0),"",$L$37-1)),MIN(BK$38,$E287),$P$20))-SUM($BF287:BJ287))</f>
        <v>0</v>
      </c>
      <c r="BL287" s="446">
        <f>IF($E287=0,0,IF(MIN(BL$38,$E287)&lt;MAX($P$34*($B287+$I$38-1),IF(AND($L$37=0,$P$34=0),"",$L$37-1)),0,YEARFRAC(MAX($P$34*($B287+$I$38-1),IF(AND($L$37=0,$P$34=0),"",$L$37-1)),MIN(BL$38,$E287),$P$20))-SUM($BF287:BK287))</f>
        <v>0</v>
      </c>
      <c r="BM287" s="446">
        <f>IF($E287=0,0,IF(MIN(BM$38,$E287)&lt;MAX($P$34*($B287+$I$38-1),IF(AND($L$37=0,$P$34=0),"",$L$37-1)),0,YEARFRAC(MAX($P$34*($B287+$I$38-1),IF(AND($L$37=0,$P$34=0),"",$L$37-1)),MIN(BM$38,$E287),$P$20))-SUM($BF287:BL287))</f>
        <v>0</v>
      </c>
      <c r="BN287" s="446">
        <f>IF($E287=0,0,IF(MIN(BN$38,$E287)&lt;MAX($P$34*($B287+$I$38-1),IF(AND($L$37=0,$P$34=0),"",$L$37-1)),0,YEARFRAC(MAX($P$34*($B287+$I$38-1),IF(AND($L$37=0,$P$34=0),"",$L$37-1)),MIN(BN$38,$E287),$P$20))-SUM($BF287:BM287))</f>
        <v>0</v>
      </c>
      <c r="BO287" s="446">
        <f>IF($E287=0,0,IF(MIN(BO$38,$E287)&lt;MAX($P$34*($B287+$I$38-1),IF(AND($L$37=0,$P$34=0),"",$L$37-1)),0,YEARFRAC(MAX($P$34*($B287+$I$38-1),IF(AND($L$37=0,$P$34=0),"",$L$37-1)),MIN(BO$38,$E287),$P$20))-SUM($BF287:BN287))</f>
        <v>0</v>
      </c>
      <c r="BP287" s="446">
        <f>IF($E287=0,0,IF(MIN(BP$38,$E287)&lt;MAX($P$34*($B287+$I$38-1),IF(AND($L$37=0,$P$34=0),"",$L$37-1)),0,YEARFRAC(MAX($P$34*($B287+$I$38-1),IF(AND($L$37=0,$P$34=0),"",$L$37-1)),MIN(BP$38,$E287),$P$20))-SUM($BF287:BO287))</f>
        <v>0</v>
      </c>
      <c r="BQ287" s="446">
        <f>IF($E287=0,0,IF(MIN(BQ$38,$E287)&lt;MAX($P$34*($B287+$I$38-1),IF(AND($L$37=0,$P$34=0),"",$L$37-1)),0,YEARFRAC(MAX($P$34*($B287+$I$38-1),IF(AND($L$37=0,$P$34=0),"",$L$37-1)),MIN(BQ$38,$E287),$P$20))-SUM($BF287:BP287))</f>
        <v>0</v>
      </c>
      <c r="BR287" s="446">
        <f>IF($E287=0,0,IF(MIN(BR$38,$E287)&lt;MAX($P$34*($B287+$I$38-1),IF(AND($L$37=0,$P$34=0),"",$L$37-1)),0,YEARFRAC(MAX($P$34*($B287+$I$38-1),IF(AND($L$37=0,$P$34=0),"",$L$37-1)),MIN(BR$38,$E287),$P$20))-SUM($BF287:BQ287))</f>
        <v>0</v>
      </c>
      <c r="BS287" s="446">
        <f>IF($E287=0,0,IF(MIN(BS$38,$E287)&lt;MAX($P$34*($B287+$I$38-1),IF(AND($L$37=0,$P$34=0),"",$L$37-1)),0,YEARFRAC(MAX($P$34*($B287+$I$38-1),IF(AND($L$37=0,$P$34=0),"",$L$37-1)),MIN(BS$38,$E287),$P$20))-SUM($BF287:BR287))</f>
        <v>0</v>
      </c>
      <c r="BT287" s="446">
        <f>IF($E287=0,0,IF(MIN(BT$38,$E287)&lt;MAX($P$34*($B287+$I$38-1),IF(AND($L$37=0,$P$34=0),"",$L$37-1)),0,YEARFRAC(MAX($P$34*($B287+$I$38-1),IF(AND($L$37=0,$P$34=0),"",$L$37-1)),MIN(BT$38,$E287),$P$20))-SUM($BF287:BS287))</f>
        <v>0</v>
      </c>
      <c r="BU287" s="446">
        <f>IF($E287=0,0,IF(MIN(BU$38,$E287)&lt;MAX($P$34*($B287+$I$38-1),IF(AND($L$37=0,$P$34=0),"",$L$37-1)),0,YEARFRAC(MAX($P$34*($B287+$I$38-1),IF(AND($L$37=0,$P$34=0),"",$L$37-1)),MIN(BU$38,$E287),$P$20))-SUM($BF287:BT287))</f>
        <v>0</v>
      </c>
      <c r="BV287" s="446">
        <f>IF($E287=0,0,IF(MIN(BV$38,$E287)&lt;MAX($P$34*($B287+$I$38-1),IF(AND($L$37=0,$P$34=0),"",$L$37-1)),0,YEARFRAC(MAX($P$34*($B287+$I$38-1),IF(AND($L$37=0,$P$34=0),"",$L$37-1)),MIN(BV$38,$E287),$P$20))-SUM($BF287:BU287))</f>
        <v>0</v>
      </c>
      <c r="BW287" s="446">
        <f>IF($E287=0,0,IF(MIN(BW$38,$E287)&lt;MAX($P$34*($B287+$I$38-1),IF(AND($L$37=0,$P$34=0),"",$L$37-1)),0,YEARFRAC(MAX($P$34*($B287+$I$38-1),IF(AND($L$37=0,$P$34=0),"",$L$37-1)),MIN(BW$38,$E287),$P$20))-SUM($BF287:BV287))</f>
        <v>0</v>
      </c>
      <c r="BX287" s="446">
        <f>IF($E287=0,0,IF(MIN(BX$38,$E287)&lt;MAX($P$34*($B287+$I$38-1),IF(AND($L$37=0,$P$34=0),"",$L$37-1)),0,YEARFRAC(MAX($P$34*($B287+$I$38-1),IF(AND($L$37=0,$P$34=0),"",$L$37-1)),MIN(BX$38,$E287),$P$20))-SUM($BF287:BW287))</f>
        <v>0</v>
      </c>
      <c r="BY287" s="446">
        <f>IF($E287=0,0,IF(MIN(BY$38,$E287)&lt;MAX($P$34*($B287+$I$38-1),IF(AND($L$37=0,$P$34=0),"",$L$37-1)),0,YEARFRAC(MAX($P$34*($B287+$I$38-1),IF(AND($L$37=0,$P$34=0),"",$L$37-1)),MIN(BY$38,$E287),$P$20))-SUM($BF287:BX287))</f>
        <v>0</v>
      </c>
      <c r="BZ287" s="446">
        <f>IF($E287=0,0,IF(MIN(BZ$38,$E287)&lt;MAX($P$34*($B287+$I$38-1),IF(AND($L$37=0,$P$34=0),"",$L$37-1)),0,YEARFRAC(MAX($P$34*($B287+$I$38-1),IF(AND($L$37=0,$P$34=0),"",$L$37-1)),MIN(BZ$38,$E287),$P$20))-SUM($BF287:BY287))</f>
        <v>0</v>
      </c>
      <c r="CA287" s="446">
        <f>IF($E287=0,0,IF(MIN(CA$38,$E287)&lt;MAX($P$34*($B287+$I$38-1),IF(AND($L$37=0,$P$34=0),"",$L$37-1)),0,YEARFRAC(MAX($P$34*($B287+$I$38-1),IF(AND($L$37=0,$P$34=0),"",$L$37-1)),MIN(CA$38,$E287),$P$20))-SUM($BF287:BZ287))</f>
        <v>0</v>
      </c>
      <c r="CB287" s="446">
        <f>IF($E287=0,0,IF(MIN(CB$38,$E287)&lt;MAX($P$34*($B287+$I$38-1),IF(AND($L$37=0,$P$34=0),"",$L$37-1)),0,YEARFRAC(MAX($P$34*($B287+$I$38-1),IF(AND($L$37=0,$P$34=0),"",$L$37-1)),MIN(CB$38,$E287),$P$20))-SUM($BF287:CA287))</f>
        <v>0</v>
      </c>
      <c r="CC287" s="446">
        <f>IF($E287=0,0,IF(MIN(CC$38,$E287)&lt;MAX($P$34*($B287+$I$38-1),IF(AND($L$37=0,$P$34=0),"",$L$37-1)),0,YEARFRAC(MAX($P$34*($B287+$I$38-1),IF(AND($L$37=0,$P$34=0),"",$L$37-1)),MIN(CC$38,$E287),$P$20))-SUM($BF287:CB287))</f>
        <v>0</v>
      </c>
      <c r="CD287" s="446">
        <f>IF($E287=0,0,IF(MIN(CD$38,$E287)&lt;MAX($P$34*($B287+$I$38-1),IF(AND($L$37=0,$P$34=0),"",$L$37-1)),0,YEARFRAC(MAX($P$34*($B287+$I$38-1),IF(AND($L$37=0,$P$34=0),"",$L$37-1)),MIN(CD$38,$E287),$P$20))-SUM($BF287:CC287))</f>
        <v>0</v>
      </c>
      <c r="CE287" s="446">
        <f>IF($E287=0,0,IF(MIN(CE$38,$E287)&lt;MAX($P$34*($B287+$I$38-1),IF(AND($L$37=0,$P$34=0),"",$L$37-1)),0,YEARFRAC(MAX($P$34*($B287+$I$38-1),IF(AND($L$37=0,$P$34=0),"",$L$37-1)),MIN(CE$38,$E287),$P$20))-SUM($BF287:CD287))</f>
        <v>0</v>
      </c>
      <c r="CF287" s="446">
        <f>IF($E287=0,0,IF(MIN(CF$38,$E287)&lt;MAX($P$34*($B287+$I$38-1),IF(AND($L$37=0,$P$34=0),"",$L$37-1)),0,YEARFRAC(MAX($P$34*($B287+$I$38-1),IF(AND($L$37=0,$P$34=0),"",$L$37-1)),MIN(CF$38,$E287),$P$20))-SUM($BF287:CE287))</f>
        <v>0</v>
      </c>
      <c r="CG287" s="446">
        <f>IF($E287=0,0,IF(MIN(CG$38,$E287)&lt;MAX($P$34*($B287+$I$38-1),IF(AND($L$37=0,$P$34=0),"",$L$37-1)),0,YEARFRAC(MAX($P$34*($B287+$I$38-1),IF(AND($L$37=0,$P$34=0),"",$L$37-1)),MIN(CG$38,$E287),$P$20))-SUM($BF287:CF287))</f>
        <v>0</v>
      </c>
      <c r="CH287" s="446">
        <f>IF($E287=0,0,IF(MIN(CH$38,$E287)&lt;MAX($P$34*($B287+$I$38-1),IF(AND($L$37=0,$P$34=0),"",$L$37-1)),0,YEARFRAC(MAX($P$34*($B287+$I$38-1),IF(AND($L$37=0,$P$34=0),"",$L$37-1)),MIN(CH$38,$E287),$P$20))-SUM($BF287:CG287))</f>
        <v>0</v>
      </c>
      <c r="CI287" s="446">
        <f>IF($E287=0,0,IF(MIN(CI$38,$E287)&lt;MAX($P$34*($B287+$I$38-1),IF(AND($L$37=0,$P$34=0),"",$L$37-1)),0,YEARFRAC(MAX($P$34*($B287+$I$38-1),IF(AND($L$37=0,$P$34=0),"",$L$37-1)),MIN(CI$38,$E287),$P$20))-SUM($BF287:CH287))</f>
        <v>0</v>
      </c>
      <c r="CJ287" s="446">
        <f>IF($E287=0,0,IF(MIN(CJ$38,$E287)&lt;MAX($P$34*($B287+$I$38-1),IF(AND($L$37=0,$P$34=0),"",$L$37-1)),0,YEARFRAC(MAX($P$34*($B287+$I$38-1),IF(AND($L$37=0,$P$34=0),"",$L$37-1)),MIN(CJ$38,$E287),$P$20))-SUM($BF287:CI287))</f>
        <v>0</v>
      </c>
      <c r="CK287" s="446">
        <f>IF($E287=0,0,IF(MIN(CK$38,$E287)&lt;MAX($P$34*($B287+$I$38-1),IF(AND($L$37=0,$P$34=0),"",$L$37-1)),0,YEARFRAC(MAX($P$34*($B287+$I$38-1),IF(AND($L$37=0,$P$34=0),"",$L$37-1)),MIN(CK$38,$E287),$P$20))-SUM($BF287:CJ287))</f>
        <v>0</v>
      </c>
      <c r="CL287" s="446">
        <f>IF($E287=0,0,IF(MIN(CL$38,$E287)&lt;MAX($P$34*($B287+$I$38-1),IF(AND($L$37=0,$P$34=0),"",$L$37-1)),0,YEARFRAC(MAX($P$34*($B287+$I$38-1),IF(AND($L$37=0,$P$34=0),"",$L$37-1)),MIN(CL$38,$E287),$P$20))-SUM($BF287:CK287))</f>
        <v>0</v>
      </c>
      <c r="CM287" s="446">
        <f>IF($E287=0,0,IF(MIN(CM$38,$E287)&lt;MAX($P$34*($B287+$I$38-1),IF(AND($L$37=0,$P$34=0),"",$L$37-1)),0,YEARFRAC(MAX($P$34*($B287+$I$38-1),IF(AND($L$37=0,$P$34=0),"",$L$37-1)),MIN(CM$38,$E287),$P$20))-SUM($BF287:CL287))</f>
        <v>0</v>
      </c>
      <c r="CN287" s="446">
        <f>IF($E287=0,0,IF(MIN(CN$38,$E287)&lt;MAX($P$34*($B287+$I$38-1),IF(AND($L$37=0,$P$34=0),"",$L$37-1)),0,YEARFRAC(MAX($P$34*($B287+$I$38-1),IF(AND($L$37=0,$P$34=0),"",$L$37-1)),MIN(CN$38,$E287),$P$20))-SUM($BF287:CM287))</f>
        <v>0</v>
      </c>
      <c r="CO287" s="446">
        <f>IF($E287=0,0,IF(MIN(CO$38,$E287)&lt;MAX($P$34*($B287+$I$38-1),IF(AND($L$37=0,$P$34=0),"",$L$37-1)),0,YEARFRAC(MAX($P$34*($B287+$I$38-1),IF(AND($L$37=0,$P$34=0),"",$L$37-1)),MIN(CO$38,$E287),$P$20))-SUM($BF287:CN287))</f>
        <v>0</v>
      </c>
      <c r="CP287" s="446">
        <f>IF($E287=0,0,IF(MIN(CP$38,$E287)&lt;MAX($P$34*($B287+$I$38-1),IF(AND($L$37=0,$P$34=0),"",$L$37-1)),0,YEARFRAC(MAX($P$34*($B287+$I$38-1),IF(AND($L$37=0,$P$34=0),"",$L$37-1)),MIN(CP$38,$E287),$P$20))-SUM($BF287:CO287))</f>
        <v>0</v>
      </c>
      <c r="CQ287" s="446">
        <f>IF($E287=0,0,IF(MIN(CQ$38,$E287)&lt;MAX($P$34*($B287+$I$38-1),IF(AND($L$37=0,$P$34=0),"",$L$37-1)),0,YEARFRAC(MAX($P$34*($B287+$I$38-1),IF(AND($L$37=0,$P$34=0),"",$L$37-1)),MIN(CQ$38,$E287),$P$20))-SUM($BF287:CP287))</f>
        <v>0</v>
      </c>
    </row>
    <row r="288" spans="1:95" s="446" customFormat="1" ht="11.25" hidden="1" customHeight="1" x14ac:dyDescent="0.2">
      <c r="A288" s="152"/>
      <c r="B288" s="153" t="str">
        <f t="shared" si="48"/>
        <v/>
      </c>
      <c r="C288" s="29" t="str">
        <f>IF(B288="","",IF($L$35="SELIC - TRIBUTOS",VLOOKUP(DATE(YEAR($D$19),MONTH($D$19)-1,1),ÍNDICES!$A:$DE,HLOOKUP($BL$25,ÍNDICES!$B$3:$T$4,2)+11)-VLOOKUP(B288,ÍNDICES!$A:$DE,HLOOKUP($BL$25,ÍNDICES!$B$3:$T$4,2)+11)+1%,IF(C$38=$W$26,$J$35,IF(ISERROR(IF(B288&gt;$D$19,1,VLOOKUP(DATE(YEAR(B288),MONTH(B288)+IF($C$35=$S$23,1,0),1),ÍNDICES!$A:$DE,$Z$35+1))),"",IF(B288&gt;$D$19,1,VLOOKUP(DATE(YEAR(B288),MONTH(B288)+IF($C$35=$S$23,1,0),1),ÍNDICES!$A:$DE,$Z$35+1))))))</f>
        <v/>
      </c>
      <c r="D288" s="154" t="str">
        <f>IF(ISERROR(IF(OR($D$38=$Y$27,$B288=""),"",VLOOKUP(B288,ÍNDICES!A:DE,AF$35+1))),"",IF(OR($D$38=$Y$27,$B288=""),"",VLOOKUP(B288,ÍNDICES!A:DE,AF$35+1)))</f>
        <v/>
      </c>
      <c r="E288" s="153"/>
      <c r="F288" s="29" t="str">
        <f>IF(E288="","",IF($L$35="SELIC - TRIBUTOS",VLOOKUP(DATE(YEAR($D$19),MONTH($D$19)-1,1),ÍNDICES!$A:$DE,HLOOKUP($BL$25,ÍNDICES!$B$3:$T$4,2)+11)-VLOOKUP(E288,ÍNDICES!$A:$DE,HLOOKUP($BL$25,ÍNDICES!$B$3:$T$4,2)+11)+1%,IF(F$38=$W$26,$J$35,IF(ISERROR(IF(E288&gt;$D$19,1,VLOOKUP(DATE(YEAR(E288),MONTH(E288)+IF($C$35=$S$23,1,0),1),ÍNDICES!$A:$DE,$Z$35+1))),"",IF(E288&gt;$D$19,1,VLOOKUP(DATE(YEAR(E288),MONTH(E288)+IF($C$35=$S$23,1,0),1),ÍNDICES!$A:$DE,$Z$35+1))))))</f>
        <v/>
      </c>
      <c r="G288" s="155"/>
      <c r="H288" s="156" t="str">
        <f t="shared" si="44"/>
        <v/>
      </c>
      <c r="I288" s="29" t="str">
        <f t="shared" si="38"/>
        <v/>
      </c>
      <c r="J288" s="5">
        <f t="shared" si="39"/>
        <v>0</v>
      </c>
      <c r="K288" s="20">
        <f t="shared" ca="1" si="40"/>
        <v>0</v>
      </c>
      <c r="L288" s="5">
        <f t="shared" ca="1" si="41"/>
        <v>0</v>
      </c>
      <c r="M288" s="64">
        <f t="shared" si="45"/>
        <v>0</v>
      </c>
      <c r="N288" s="61">
        <f t="shared" ca="1" si="46"/>
        <v>0</v>
      </c>
      <c r="O288" s="5">
        <f t="shared" ca="1" si="47"/>
        <v>0</v>
      </c>
      <c r="P288" s="446" t="e">
        <f t="shared" si="42"/>
        <v>#VALUE!</v>
      </c>
      <c r="Q288" s="446" t="e">
        <f>IF(OR($B288="",MIN(Q$38,$D$19)&lt;MAX($P$34*($B288+IF($R$17="Distrato",$I$38-1,0)),IF(AND($L$37=0,$P$34=0),"",$L$37-1),IF($R$17="Distrato",$E288,0))),0,YEARFRAC(MAX($P$34*($B288+IF($R$17="Distrato",$I$38-1,0)),IF(AND($L$37=0,$P$34=0),"",$L$37-1),IF($R$17="Distrato",$E288,0)),MIN(Q$38,$D$19),$P$20))-SUM($P288:P288)</f>
        <v>#VALUE!</v>
      </c>
      <c r="R288" s="446" t="e">
        <f>IF(OR($B288="",MIN(R$38,$D$19)&lt;MAX($P$34*($B288+IF($R$17="Distrato",$I$38-1,0)),IF(AND($L$37=0,$P$34=0),"",$L$37-1),IF($R$17="Distrato",$E288,0))),0,YEARFRAC(MAX($P$34*($B288+IF($R$17="Distrato",$I$38-1,0)),IF(AND($L$37=0,$P$34=0),"",$L$37-1),IF($R$17="Distrato",$E288,0)),MIN(R$38,$D$19),$P$20))-SUM($P288:Q288)</f>
        <v>#VALUE!</v>
      </c>
      <c r="S288" s="446" t="e">
        <f>IF(OR($B288="",MIN(S$38,$D$19)&lt;MAX($P$34*($B288+IF($R$17="Distrato",$I$38-1,0)),IF(AND($L$37=0,$P$34=0),"",$L$37-1),IF($R$17="Distrato",$E288,0))),0,YEARFRAC(MAX($P$34*($B288+IF($R$17="Distrato",$I$38-1,0)),IF(AND($L$37=0,$P$34=0),"",$L$37-1),IF($R$17="Distrato",$E288,0)),MIN(S$38,$D$19),$P$20))-SUM($P288:R288)</f>
        <v>#VALUE!</v>
      </c>
      <c r="T288" s="446" t="e">
        <f>IF(OR($B288="",MIN(T$38,$D$19)&lt;MAX($P$34*($B288+IF($R$17="Distrato",$I$38-1,0)),IF(AND($L$37=0,$P$34=0),"",$L$37-1),IF($R$17="Distrato",$E288,0))),0,YEARFRAC(MAX($P$34*($B288+IF($R$17="Distrato",$I$38-1,0)),IF(AND($L$37=0,$P$34=0),"",$L$37-1),IF($R$17="Distrato",$E288,0)),MIN(T$38,$D$19),$P$20))-SUM($P288:S288)</f>
        <v>#VALUE!</v>
      </c>
      <c r="U288" s="446" t="e">
        <f>IF(OR($B288="",MIN(U$38,$D$19)&lt;MAX($P$34*($B288+IF($R$17="Distrato",$I$38-1,0)),IF(AND($L$37=0,$P$34=0),"",$L$37-1),IF($R$17="Distrato",$E288,0))),0,YEARFRAC(MAX($P$34*($B288+IF($R$17="Distrato",$I$38-1,0)),IF(AND($L$37=0,$P$34=0),"",$L$37-1),IF($R$17="Distrato",$E288,0)),MIN(U$38,$D$19),$P$20))-SUM($P288:T288)</f>
        <v>#VALUE!</v>
      </c>
      <c r="V288" s="446" t="e">
        <f>IF(OR($B288="",MIN(V$38,$D$19)&lt;MAX($P$34*($B288+IF($R$17="Distrato",$I$38-1,0)),IF(AND($L$37=0,$P$34=0),"",$L$37-1),IF($R$17="Distrato",$E288,0))),0,YEARFRAC(MAX($P$34*($B288+IF($R$17="Distrato",$I$38-1,0)),IF(AND($L$37=0,$P$34=0),"",$L$37-1),IF($R$17="Distrato",$E288,0)),MIN(V$38,$D$19),$P$20))-SUM($P288:U288)</f>
        <v>#VALUE!</v>
      </c>
      <c r="W288" s="446" t="e">
        <f>IF(OR($B288="",MIN(W$38,$D$19)&lt;MAX($P$34*($B288+IF($R$17="Distrato",$I$38-1,0)),IF(AND($L$37=0,$P$34=0),"",$L$37-1),IF($R$17="Distrato",$E288,0))),0,YEARFRAC(MAX($P$34*($B288+IF($R$17="Distrato",$I$38-1,0)),IF(AND($L$37=0,$P$34=0),"",$L$37-1),IF($R$17="Distrato",$E288,0)),MIN(W$38,$D$19),$P$20))-SUM($P288:V288)</f>
        <v>#VALUE!</v>
      </c>
      <c r="X288" s="446" t="e">
        <f>IF(OR($B288="",MIN(X$38,$D$19)&lt;MAX($P$34*($B288+IF($R$17="Distrato",$I$38-1,0)),IF(AND($L$37=0,$P$34=0),"",$L$37-1),IF($R$17="Distrato",$E288,0))),0,YEARFRAC(MAX($P$34*($B288+IF($R$17="Distrato",$I$38-1,0)),IF(AND($L$37=0,$P$34=0),"",$L$37-1),IF($R$17="Distrato",$E288,0)),MIN(X$38,$D$19),$P$20))-SUM($P288:W288)</f>
        <v>#VALUE!</v>
      </c>
      <c r="Y288" s="446" t="e">
        <f>IF(OR($B288="",MIN(Y$38,$D$19)&lt;MAX($P$34*($B288+IF($R$17="Distrato",$I$38-1,0)),IF(AND($L$37=0,$P$34=0),"",$L$37-1),IF($R$17="Distrato",$E288,0))),0,YEARFRAC(MAX($P$34*($B288+IF($R$17="Distrato",$I$38-1,0)),IF(AND($L$37=0,$P$34=0),"",$L$37-1),IF($R$17="Distrato",$E288,0)),MIN(Y$38,$D$19),$P$20))-SUM($P288:X288)</f>
        <v>#VALUE!</v>
      </c>
      <c r="Z288" s="446" t="e">
        <f>IF(OR($B288="",MIN(Z$38,$D$19)&lt;MAX($P$34*($B288+IF($R$17="Distrato",$I$38-1,0)),IF(AND($L$37=0,$P$34=0),"",$L$37-1),IF($R$17="Distrato",$E288,0))),0,YEARFRAC(MAX($P$34*($B288+IF($R$17="Distrato",$I$38-1,0)),IF(AND($L$37=0,$P$34=0),"",$L$37-1),IF($R$17="Distrato",$E288,0)),MIN(Z$38,$D$19),$P$20))-SUM($P288:Y288)</f>
        <v>#VALUE!</v>
      </c>
      <c r="AA288" s="446" t="e">
        <f>IF(OR($B288="",MIN(AA$38,$D$19)&lt;MAX($P$34*($B288+IF($R$17="Distrato",$I$38-1,0)),IF(AND($L$37=0,$P$34=0),"",$L$37-1),IF($R$17="Distrato",$E288,0))),0,YEARFRAC(MAX($P$34*($B288+IF($R$17="Distrato",$I$38-1,0)),IF(AND($L$37=0,$P$34=0),"",$L$37-1),IF($R$17="Distrato",$E288,0)),MIN(AA$38,$D$19),$P$20))-SUM($P288:Z288)</f>
        <v>#VALUE!</v>
      </c>
      <c r="AB288" s="446" t="e">
        <f>IF(OR($B288="",MIN(AB$38,$D$19)&lt;MAX($P$34*($B288+IF($R$17="Distrato",$I$38-1,0)),IF(AND($L$37=0,$P$34=0),"",$L$37-1),IF($R$17="Distrato",$E288,0))),0,YEARFRAC(MAX($P$34*($B288+IF($R$17="Distrato",$I$38-1,0)),IF(AND($L$37=0,$P$34=0),"",$L$37-1),IF($R$17="Distrato",$E288,0)),MIN(AB$38,$D$19),$P$20))-SUM($P288:AA288)</f>
        <v>#VALUE!</v>
      </c>
      <c r="AC288" s="446" t="e">
        <f>IF(OR($B288="",MIN(AC$38,$D$19)&lt;MAX($P$34*($B288+IF($R$17="Distrato",$I$38-1,0)),IF(AND($L$37=0,$P$34=0),"",$L$37-1),IF($R$17="Distrato",$E288,0))),0,YEARFRAC(MAX($P$34*($B288+IF($R$17="Distrato",$I$38-1,0)),IF(AND($L$37=0,$P$34=0),"",$L$37-1),IF($R$17="Distrato",$E288,0)),MIN(AC$38,$D$19),$P$20))-SUM($P288:AB288)</f>
        <v>#VALUE!</v>
      </c>
      <c r="AD288" s="446" t="e">
        <f>IF(OR($B288="",MIN(AD$38,$D$19)&lt;MAX($P$34*($B288+IF($R$17="Distrato",$I$38-1,0)),IF(AND($L$37=0,$P$34=0),"",$L$37-1),IF($R$17="Distrato",$E288,0))),0,YEARFRAC(MAX($P$34*($B288+IF($R$17="Distrato",$I$38-1,0)),IF(AND($L$37=0,$P$34=0),"",$L$37-1),IF($R$17="Distrato",$E288,0)),MIN(AD$38,$D$19),$P$20))-SUM($P288:AC288)</f>
        <v>#VALUE!</v>
      </c>
      <c r="AE288" s="446" t="e">
        <f>IF(OR($B288="",MIN(AE$38,$D$19)&lt;MAX($P$34*($B288+IF($R$17="Distrato",$I$38-1,0)),IF(AND($L$37=0,$P$34=0),"",$L$37-1),IF($R$17="Distrato",$E288,0))),0,YEARFRAC(MAX($P$34*($B288+IF($R$17="Distrato",$I$38-1,0)),IF(AND($L$37=0,$P$34=0),"",$L$37-1),IF($R$17="Distrato",$E288,0)),MIN(AE$38,$D$19),$P$20))-SUM($P288:AD288)</f>
        <v>#VALUE!</v>
      </c>
      <c r="AF288" s="446" t="e">
        <f>IF(OR($B288="",MIN(AF$38,$D$19)&lt;MAX($P$34*($B288+IF($R$17="Distrato",$I$38-1,0)),IF(AND($L$37=0,$P$34=0),"",$L$37-1),IF($R$17="Distrato",$E288,0))),0,YEARFRAC(MAX($P$34*($B288+IF($R$17="Distrato",$I$38-1,0)),IF(AND($L$37=0,$P$34=0),"",$L$37-1),IF($R$17="Distrato",$E288,0)),MIN(AF$38,$D$19),$P$20))-SUM($P288:AE288)</f>
        <v>#VALUE!</v>
      </c>
      <c r="AG288" s="446" t="e">
        <f>IF(OR($B288="",MIN(AG$38,$D$19)&lt;MAX($P$34*($B288+IF($R$17="Distrato",$I$38-1,0)),IF(AND($L$37=0,$P$34=0),"",$L$37-1),IF($R$17="Distrato",$E288,0))),0,YEARFRAC(MAX($P$34*($B288+IF($R$17="Distrato",$I$38-1,0)),IF(AND($L$37=0,$P$34=0),"",$L$37-1),IF($R$17="Distrato",$E288,0)),MIN(AG$38,$D$19),$P$20))-SUM($P288:AF288)</f>
        <v>#VALUE!</v>
      </c>
      <c r="AH288" s="446" t="e">
        <f>IF(OR($B288="",MIN(AH$38,$D$19)&lt;MAX($P$34*($B288+IF($R$17="Distrato",$I$38-1,0)),IF(AND($L$37=0,$P$34=0),"",$L$37-1),IF($R$17="Distrato",$E288,0))),0,YEARFRAC(MAX($P$34*($B288+IF($R$17="Distrato",$I$38-1,0)),IF(AND($L$37=0,$P$34=0),"",$L$37-1),IF($R$17="Distrato",$E288,0)),MIN(AH$38,$D$19),$P$20))-SUM($P288:AG288)</f>
        <v>#VALUE!</v>
      </c>
      <c r="AI288" s="446" t="e">
        <f>IF(OR($B288="",MIN(AI$38,$D$19)&lt;MAX($P$34*($B288+IF($R$17="Distrato",$I$38-1,0)),IF(AND($L$37=0,$P$34=0),"",$L$37-1),IF($R$17="Distrato",$E288,0))),0,YEARFRAC(MAX($P$34*($B288+IF($R$17="Distrato",$I$38-1,0)),IF(AND($L$37=0,$P$34=0),"",$L$37-1),IF($R$17="Distrato",$E288,0)),MIN(AI$38,$D$19),$P$20))-SUM($P288:AH288)</f>
        <v>#VALUE!</v>
      </c>
      <c r="AJ288" s="446" t="e">
        <f>IF(OR($B288="",MIN(AJ$38,$D$19)&lt;MAX($P$34*($B288+IF($R$17="Distrato",$I$38-1,0)),IF(AND($L$37=0,$P$34=0),"",$L$37-1),IF($R$17="Distrato",$E288,0))),0,YEARFRAC(MAX($P$34*($B288+IF($R$17="Distrato",$I$38-1,0)),IF(AND($L$37=0,$P$34=0),"",$L$37-1),IF($R$17="Distrato",$E288,0)),MIN(AJ$38,$D$19),$P$20))-SUM($P288:AI288)</f>
        <v>#VALUE!</v>
      </c>
      <c r="AK288" s="446" t="e">
        <f>IF(OR($B288="",MIN(AK$38,$D$19)&lt;MAX($P$34*($B288+IF($R$17="Distrato",$I$38-1,0)),IF(AND($L$37=0,$P$34=0),"",$L$37-1),IF($R$17="Distrato",$E288,0))),0,YEARFRAC(MAX($P$34*($B288+IF($R$17="Distrato",$I$38-1,0)),IF(AND($L$37=0,$P$34=0),"",$L$37-1),IF($R$17="Distrato",$E288,0)),MIN(AK$38,$D$19),$P$20))-SUM($P288:AJ288)</f>
        <v>#VALUE!</v>
      </c>
      <c r="AL288" s="446" t="e">
        <f>IF(OR($B288="",MIN(AL$38,$D$19)&lt;MAX($P$34*($B288+IF($R$17="Distrato",$I$38-1,0)),IF(AND($L$37=0,$P$34=0),"",$L$37-1),IF($R$17="Distrato",$E288,0))),0,YEARFRAC(MAX($P$34*($B288+IF($R$17="Distrato",$I$38-1,0)),IF(AND($L$37=0,$P$34=0),"",$L$37-1),IF($R$17="Distrato",$E288,0)),MIN(AL$38,$D$19),$P$20))-SUM($P288:AK288)</f>
        <v>#VALUE!</v>
      </c>
      <c r="AM288" s="446" t="e">
        <f>IF(OR($B288="",MIN(AM$38,$D$19)&lt;MAX($P$34*($B288+IF($R$17="Distrato",$I$38-1,0)),IF(AND($L$37=0,$P$34=0),"",$L$37-1),IF($R$17="Distrato",$E288,0))),0,YEARFRAC(MAX($P$34*($B288+IF($R$17="Distrato",$I$38-1,0)),IF(AND($L$37=0,$P$34=0),"",$L$37-1),IF($R$17="Distrato",$E288,0)),MIN(AM$38,$D$19),$P$20))-SUM($P288:AL288)</f>
        <v>#VALUE!</v>
      </c>
      <c r="AN288" s="446" t="e">
        <f>IF(OR($B288="",MIN(AN$38,$D$19)&lt;MAX($P$34*($B288+IF($R$17="Distrato",$I$38-1,0)),IF(AND($L$37=0,$P$34=0),"",$L$37-1),IF($R$17="Distrato",$E288,0))),0,YEARFRAC(MAX($P$34*($B288+IF($R$17="Distrato",$I$38-1,0)),IF(AND($L$37=0,$P$34=0),"",$L$37-1),IF($R$17="Distrato",$E288,0)),MIN(AN$38,$D$19),$P$20))-SUM($P288:AM288)</f>
        <v>#VALUE!</v>
      </c>
      <c r="AO288" s="446" t="e">
        <f>IF(OR($B288="",MIN(AO$38,$D$19)&lt;MAX($P$34*($B288+IF($R$17="Distrato",$I$38-1,0)),IF(AND($L$37=0,$P$34=0),"",$L$37-1),IF($R$17="Distrato",$E288,0))),0,YEARFRAC(MAX($P$34*($B288+IF($R$17="Distrato",$I$38-1,0)),IF(AND($L$37=0,$P$34=0),"",$L$37-1),IF($R$17="Distrato",$E288,0)),MIN(AO$38,$D$19),$P$20))-SUM($P288:AN288)</f>
        <v>#VALUE!</v>
      </c>
      <c r="AP288" s="446" t="e">
        <f>IF(OR($B288="",MIN(AP$38,$D$19)&lt;MAX($P$34*($B288+IF($R$17="Distrato",$I$38-1,0)),IF(AND($L$37=0,$P$34=0),"",$L$37-1),IF($R$17="Distrato",$E288,0))),0,YEARFRAC(MAX($P$34*($B288+IF($R$17="Distrato",$I$38-1,0)),IF(AND($L$37=0,$P$34=0),"",$L$37-1),IF($R$17="Distrato",$E288,0)),MIN(AP$38,$D$19),$P$20))-SUM($P288:AO288)</f>
        <v>#VALUE!</v>
      </c>
      <c r="AQ288" s="446" t="e">
        <f>IF(OR($B288="",MIN(AQ$38,$D$19)&lt;MAX($P$34*($B288+IF($R$17="Distrato",$I$38-1,0)),IF(AND($L$37=0,$P$34=0),"",$L$37-1),IF($R$17="Distrato",$E288,0))),0,YEARFRAC(MAX($P$34*($B288+IF($R$17="Distrato",$I$38-1,0)),IF(AND($L$37=0,$P$34=0),"",$L$37-1),IF($R$17="Distrato",$E288,0)),MIN(AQ$38,$D$19),$P$20))-SUM($P288:AP288)</f>
        <v>#VALUE!</v>
      </c>
      <c r="AR288" s="446" t="e">
        <f>IF(OR($B288="",MIN(AR$38,$D$19)&lt;MAX($P$34*($B288+IF($R$17="Distrato",$I$38-1,0)),IF(AND($L$37=0,$P$34=0),"",$L$37-1),IF($R$17="Distrato",$E288,0))),0,YEARFRAC(MAX($P$34*($B288+IF($R$17="Distrato",$I$38-1,0)),IF(AND($L$37=0,$P$34=0),"",$L$37-1),IF($R$17="Distrato",$E288,0)),MIN(AR$38,$D$19),$P$20))-SUM($P288:AQ288)</f>
        <v>#VALUE!</v>
      </c>
      <c r="AS288" s="446" t="e">
        <f>IF(OR($B288="",MIN(AS$38,$D$19)&lt;MAX($P$34*($B288+IF($R$17="Distrato",$I$38-1,0)),IF(AND($L$37=0,$P$34=0),"",$L$37-1),IF($R$17="Distrato",$E288,0))),0,YEARFRAC(MAX($P$34*($B288+IF($R$17="Distrato",$I$38-1,0)),IF(AND($L$37=0,$P$34=0),"",$L$37-1),IF($R$17="Distrato",$E288,0)),MIN(AS$38,$D$19),$P$20))-SUM($P288:AR288)</f>
        <v>#VALUE!</v>
      </c>
      <c r="AT288" s="446" t="e">
        <f>IF(OR($B288="",MIN(AT$38,$D$19)&lt;MAX($P$34*($B288+IF($R$17="Distrato",$I$38-1,0)),IF(AND($L$37=0,$P$34=0),"",$L$37-1),IF($R$17="Distrato",$E288,0))),0,YEARFRAC(MAX($P$34*($B288+IF($R$17="Distrato",$I$38-1,0)),IF(AND($L$37=0,$P$34=0),"",$L$37-1),IF($R$17="Distrato",$E288,0)),MIN(AT$38,$D$19),$P$20))-SUM($P288:AS288)</f>
        <v>#VALUE!</v>
      </c>
      <c r="AU288" s="446" t="e">
        <f>IF(OR($B288="",MIN(AU$38,$D$19)&lt;MAX($P$34*($B288+IF($R$17="Distrato",$I$38-1,0)),IF(AND($L$37=0,$P$34=0),"",$L$37-1),IF($R$17="Distrato",$E288,0))),0,YEARFRAC(MAX($P$34*($B288+IF($R$17="Distrato",$I$38-1,0)),IF(AND($L$37=0,$P$34=0),"",$L$37-1),IF($R$17="Distrato",$E288,0)),MIN(AU$38,$D$19),$P$20))-SUM($P288:AT288)</f>
        <v>#VALUE!</v>
      </c>
      <c r="AV288" s="446" t="e">
        <f>IF(OR($B288="",MIN(AV$38,$D$19)&lt;MAX($P$34*($B288+IF($R$17="Distrato",$I$38-1,0)),IF(AND($L$37=0,$P$34=0),"",$L$37-1),IF($R$17="Distrato",$E288,0))),0,YEARFRAC(MAX($P$34*($B288+IF($R$17="Distrato",$I$38-1,0)),IF(AND($L$37=0,$P$34=0),"",$L$37-1),IF($R$17="Distrato",$E288,0)),MIN(AV$38,$D$19),$P$20))-SUM($P288:AU288)</f>
        <v>#VALUE!</v>
      </c>
      <c r="AW288" s="446" t="e">
        <f>IF(OR($B288="",MIN(AW$38,$D$19)&lt;MAX($P$34*($B288+IF($R$17="Distrato",$I$38-1,0)),IF(AND($L$37=0,$P$34=0),"",$L$37-1),IF($R$17="Distrato",$E288,0))),0,YEARFRAC(MAX($P$34*($B288+IF($R$17="Distrato",$I$38-1,0)),IF(AND($L$37=0,$P$34=0),"",$L$37-1),IF($R$17="Distrato",$E288,0)),MIN(AW$38,$D$19),$P$20))-SUM($P288:AV288)</f>
        <v>#VALUE!</v>
      </c>
      <c r="AX288" s="446" t="e">
        <f>IF(OR($B288="",MIN(AX$38,$D$19)&lt;MAX($P$34*($B288+IF($R$17="Distrato",$I$38-1,0)),IF(AND($L$37=0,$P$34=0),"",$L$37-1),IF($R$17="Distrato",$E288,0))),0,YEARFRAC(MAX($P$34*($B288+IF($R$17="Distrato",$I$38-1,0)),IF(AND($L$37=0,$P$34=0),"",$L$37-1),IF($R$17="Distrato",$E288,0)),MIN(AX$38,$D$19),$P$20))-SUM($P288:AW288)</f>
        <v>#VALUE!</v>
      </c>
      <c r="AY288" s="446" t="e">
        <f>IF(OR($B288="",MIN(AY$38,$D$19)&lt;MAX($P$34*($B288+IF($R$17="Distrato",$I$38-1,0)),IF(AND($L$37=0,$P$34=0),"",$L$37-1),IF($R$17="Distrato",$E288,0))),0,YEARFRAC(MAX($P$34*($B288+IF($R$17="Distrato",$I$38-1,0)),IF(AND($L$37=0,$P$34=0),"",$L$37-1),IF($R$17="Distrato",$E288,0)),MIN(AY$38,$D$19),$P$20))-SUM($P288:AX288)</f>
        <v>#VALUE!</v>
      </c>
      <c r="AZ288" s="446" t="e">
        <f>IF(OR($B288="",MIN(AZ$38,$D$19)&lt;MAX($P$34*($B288+IF($R$17="Distrato",$I$38-1,0)),IF(AND($L$37=0,$P$34=0),"",$L$37-1),IF($R$17="Distrato",$E288,0))),0,YEARFRAC(MAX($P$34*($B288+IF($R$17="Distrato",$I$38-1,0)),IF(AND($L$37=0,$P$34=0),"",$L$37-1),IF($R$17="Distrato",$E288,0)),MIN(AZ$38,$D$19),$P$20))-SUM($P288:AY288)</f>
        <v>#VALUE!</v>
      </c>
      <c r="BA288" s="446" t="e">
        <f>IF(OR($B288="",MIN(BA$38,$D$19)&lt;MAX($P$34*($B288+IF($R$17="Distrato",$I$38-1,0)),IF(AND($L$37=0,$P$34=0),"",$L$37-1),IF($R$17="Distrato",$E288,0))),0,YEARFRAC(MAX($P$34*($B288+IF($R$17="Distrato",$I$38-1,0)),IF(AND($L$37=0,$P$34=0),"",$L$37-1),IF($R$17="Distrato",$E288,0)),MIN(BA$38,$D$19),$P$20))-SUM($P288:AZ288)</f>
        <v>#VALUE!</v>
      </c>
      <c r="BB288" s="447"/>
      <c r="BF288" s="446">
        <f t="shared" si="43"/>
        <v>0</v>
      </c>
      <c r="BG288" s="446">
        <f>IF($E288=0,0,IF(MIN(BG$38,$E288)&lt;MAX($P$34*($B288+$I$38-1),IF(AND($L$37=0,$P$34=0),"",$L$37-1)),0,YEARFRAC(MAX($P$34*($B288+$I$38-1),IF(AND($L$37=0,$P$34=0),"",$L$37-1)),MIN(BG$38,$E288),$P$20))-SUM($BF288:BF288))</f>
        <v>0</v>
      </c>
      <c r="BH288" s="446">
        <f>IF($E288=0,0,IF(MIN(BH$38,$E288)&lt;MAX($P$34*($B288+$I$38-1),IF(AND($L$37=0,$P$34=0),"",$L$37-1)),0,YEARFRAC(MAX($P$34*($B288+$I$38-1),IF(AND($L$37=0,$P$34=0),"",$L$37-1)),MIN(BH$38,$E288),$P$20))-SUM($BF288:BG288))</f>
        <v>0</v>
      </c>
      <c r="BI288" s="446">
        <f>IF($E288=0,0,IF(MIN(BI$38,$E288)&lt;MAX($P$34*($B288+$I$38-1),IF(AND($L$37=0,$P$34=0),"",$L$37-1)),0,YEARFRAC(MAX($P$34*($B288+$I$38-1),IF(AND($L$37=0,$P$34=0),"",$L$37-1)),MIN(BI$38,$E288),$P$20))-SUM($BF288:BH288))</f>
        <v>0</v>
      </c>
      <c r="BJ288" s="446">
        <f>IF($E288=0,0,IF(MIN(BJ$38,$E288)&lt;MAX($P$34*($B288+$I$38-1),IF(AND($L$37=0,$P$34=0),"",$L$37-1)),0,YEARFRAC(MAX($P$34*($B288+$I$38-1),IF(AND($L$37=0,$P$34=0),"",$L$37-1)),MIN(BJ$38,$E288),$P$20))-SUM($BF288:BI288))</f>
        <v>0</v>
      </c>
      <c r="BK288" s="446">
        <f>IF($E288=0,0,IF(MIN(BK$38,$E288)&lt;MAX($P$34*($B288+$I$38-1),IF(AND($L$37=0,$P$34=0),"",$L$37-1)),0,YEARFRAC(MAX($P$34*($B288+$I$38-1),IF(AND($L$37=0,$P$34=0),"",$L$37-1)),MIN(BK$38,$E288),$P$20))-SUM($BF288:BJ288))</f>
        <v>0</v>
      </c>
      <c r="BL288" s="446">
        <f>IF($E288=0,0,IF(MIN(BL$38,$E288)&lt;MAX($P$34*($B288+$I$38-1),IF(AND($L$37=0,$P$34=0),"",$L$37-1)),0,YEARFRAC(MAX($P$34*($B288+$I$38-1),IF(AND($L$37=0,$P$34=0),"",$L$37-1)),MIN(BL$38,$E288),$P$20))-SUM($BF288:BK288))</f>
        <v>0</v>
      </c>
      <c r="BM288" s="446">
        <f>IF($E288=0,0,IF(MIN(BM$38,$E288)&lt;MAX($P$34*($B288+$I$38-1),IF(AND($L$37=0,$P$34=0),"",$L$37-1)),0,YEARFRAC(MAX($P$34*($B288+$I$38-1),IF(AND($L$37=0,$P$34=0),"",$L$37-1)),MIN(BM$38,$E288),$P$20))-SUM($BF288:BL288))</f>
        <v>0</v>
      </c>
      <c r="BN288" s="446">
        <f>IF($E288=0,0,IF(MIN(BN$38,$E288)&lt;MAX($P$34*($B288+$I$38-1),IF(AND($L$37=0,$P$34=0),"",$L$37-1)),0,YEARFRAC(MAX($P$34*($B288+$I$38-1),IF(AND($L$37=0,$P$34=0),"",$L$37-1)),MIN(BN$38,$E288),$P$20))-SUM($BF288:BM288))</f>
        <v>0</v>
      </c>
      <c r="BO288" s="446">
        <f>IF($E288=0,0,IF(MIN(BO$38,$E288)&lt;MAX($P$34*($B288+$I$38-1),IF(AND($L$37=0,$P$34=0),"",$L$37-1)),0,YEARFRAC(MAX($P$34*($B288+$I$38-1),IF(AND($L$37=0,$P$34=0),"",$L$37-1)),MIN(BO$38,$E288),$P$20))-SUM($BF288:BN288))</f>
        <v>0</v>
      </c>
      <c r="BP288" s="446">
        <f>IF($E288=0,0,IF(MIN(BP$38,$E288)&lt;MAX($P$34*($B288+$I$38-1),IF(AND($L$37=0,$P$34=0),"",$L$37-1)),0,YEARFRAC(MAX($P$34*($B288+$I$38-1),IF(AND($L$37=0,$P$34=0),"",$L$37-1)),MIN(BP$38,$E288),$P$20))-SUM($BF288:BO288))</f>
        <v>0</v>
      </c>
      <c r="BQ288" s="446">
        <f>IF($E288=0,0,IF(MIN(BQ$38,$E288)&lt;MAX($P$34*($B288+$I$38-1),IF(AND($L$37=0,$P$34=0),"",$L$37-1)),0,YEARFRAC(MAX($P$34*($B288+$I$38-1),IF(AND($L$37=0,$P$34=0),"",$L$37-1)),MIN(BQ$38,$E288),$P$20))-SUM($BF288:BP288))</f>
        <v>0</v>
      </c>
      <c r="BR288" s="446">
        <f>IF($E288=0,0,IF(MIN(BR$38,$E288)&lt;MAX($P$34*($B288+$I$38-1),IF(AND($L$37=0,$P$34=0),"",$L$37-1)),0,YEARFRAC(MAX($P$34*($B288+$I$38-1),IF(AND($L$37=0,$P$34=0),"",$L$37-1)),MIN(BR$38,$E288),$P$20))-SUM($BF288:BQ288))</f>
        <v>0</v>
      </c>
      <c r="BS288" s="446">
        <f>IF($E288=0,0,IF(MIN(BS$38,$E288)&lt;MAX($P$34*($B288+$I$38-1),IF(AND($L$37=0,$P$34=0),"",$L$37-1)),0,YEARFRAC(MAX($P$34*($B288+$I$38-1),IF(AND($L$37=0,$P$34=0),"",$L$37-1)),MIN(BS$38,$E288),$P$20))-SUM($BF288:BR288))</f>
        <v>0</v>
      </c>
      <c r="BT288" s="446">
        <f>IF($E288=0,0,IF(MIN(BT$38,$E288)&lt;MAX($P$34*($B288+$I$38-1),IF(AND($L$37=0,$P$34=0),"",$L$37-1)),0,YEARFRAC(MAX($P$34*($B288+$I$38-1),IF(AND($L$37=0,$P$34=0),"",$L$37-1)),MIN(BT$38,$E288),$P$20))-SUM($BF288:BS288))</f>
        <v>0</v>
      </c>
      <c r="BU288" s="446">
        <f>IF($E288=0,0,IF(MIN(BU$38,$E288)&lt;MAX($P$34*($B288+$I$38-1),IF(AND($L$37=0,$P$34=0),"",$L$37-1)),0,YEARFRAC(MAX($P$34*($B288+$I$38-1),IF(AND($L$37=0,$P$34=0),"",$L$37-1)),MIN(BU$38,$E288),$P$20))-SUM($BF288:BT288))</f>
        <v>0</v>
      </c>
      <c r="BV288" s="446">
        <f>IF($E288=0,0,IF(MIN(BV$38,$E288)&lt;MAX($P$34*($B288+$I$38-1),IF(AND($L$37=0,$P$34=0),"",$L$37-1)),0,YEARFRAC(MAX($P$34*($B288+$I$38-1),IF(AND($L$37=0,$P$34=0),"",$L$37-1)),MIN(BV$38,$E288),$P$20))-SUM($BF288:BU288))</f>
        <v>0</v>
      </c>
      <c r="BW288" s="446">
        <f>IF($E288=0,0,IF(MIN(BW$38,$E288)&lt;MAX($P$34*($B288+$I$38-1),IF(AND($L$37=0,$P$34=0),"",$L$37-1)),0,YEARFRAC(MAX($P$34*($B288+$I$38-1),IF(AND($L$37=0,$P$34=0),"",$L$37-1)),MIN(BW$38,$E288),$P$20))-SUM($BF288:BV288))</f>
        <v>0</v>
      </c>
      <c r="BX288" s="446">
        <f>IF($E288=0,0,IF(MIN(BX$38,$E288)&lt;MAX($P$34*($B288+$I$38-1),IF(AND($L$37=0,$P$34=0),"",$L$37-1)),0,YEARFRAC(MAX($P$34*($B288+$I$38-1),IF(AND($L$37=0,$P$34=0),"",$L$37-1)),MIN(BX$38,$E288),$P$20))-SUM($BF288:BW288))</f>
        <v>0</v>
      </c>
      <c r="BY288" s="446">
        <f>IF($E288=0,0,IF(MIN(BY$38,$E288)&lt;MAX($P$34*($B288+$I$38-1),IF(AND($L$37=0,$P$34=0),"",$L$37-1)),0,YEARFRAC(MAX($P$34*($B288+$I$38-1),IF(AND($L$37=0,$P$34=0),"",$L$37-1)),MIN(BY$38,$E288),$P$20))-SUM($BF288:BX288))</f>
        <v>0</v>
      </c>
      <c r="BZ288" s="446">
        <f>IF($E288=0,0,IF(MIN(BZ$38,$E288)&lt;MAX($P$34*($B288+$I$38-1),IF(AND($L$37=0,$P$34=0),"",$L$37-1)),0,YEARFRAC(MAX($P$34*($B288+$I$38-1),IF(AND($L$37=0,$P$34=0),"",$L$37-1)),MIN(BZ$38,$E288),$P$20))-SUM($BF288:BY288))</f>
        <v>0</v>
      </c>
      <c r="CA288" s="446">
        <f>IF($E288=0,0,IF(MIN(CA$38,$E288)&lt;MAX($P$34*($B288+$I$38-1),IF(AND($L$37=0,$P$34=0),"",$L$37-1)),0,YEARFRAC(MAX($P$34*($B288+$I$38-1),IF(AND($L$37=0,$P$34=0),"",$L$37-1)),MIN(CA$38,$E288),$P$20))-SUM($BF288:BZ288))</f>
        <v>0</v>
      </c>
      <c r="CB288" s="446">
        <f>IF($E288=0,0,IF(MIN(CB$38,$E288)&lt;MAX($P$34*($B288+$I$38-1),IF(AND($L$37=0,$P$34=0),"",$L$37-1)),0,YEARFRAC(MAX($P$34*($B288+$I$38-1),IF(AND($L$37=0,$P$34=0),"",$L$37-1)),MIN(CB$38,$E288),$P$20))-SUM($BF288:CA288))</f>
        <v>0</v>
      </c>
      <c r="CC288" s="446">
        <f>IF($E288=0,0,IF(MIN(CC$38,$E288)&lt;MAX($P$34*($B288+$I$38-1),IF(AND($L$37=0,$P$34=0),"",$L$37-1)),0,YEARFRAC(MAX($P$34*($B288+$I$38-1),IF(AND($L$37=0,$P$34=0),"",$L$37-1)),MIN(CC$38,$E288),$P$20))-SUM($BF288:CB288))</f>
        <v>0</v>
      </c>
      <c r="CD288" s="446">
        <f>IF($E288=0,0,IF(MIN(CD$38,$E288)&lt;MAX($P$34*($B288+$I$38-1),IF(AND($L$37=0,$P$34=0),"",$L$37-1)),0,YEARFRAC(MAX($P$34*($B288+$I$38-1),IF(AND($L$37=0,$P$34=0),"",$L$37-1)),MIN(CD$38,$E288),$P$20))-SUM($BF288:CC288))</f>
        <v>0</v>
      </c>
      <c r="CE288" s="446">
        <f>IF($E288=0,0,IF(MIN(CE$38,$E288)&lt;MAX($P$34*($B288+$I$38-1),IF(AND($L$37=0,$P$34=0),"",$L$37-1)),0,YEARFRAC(MAX($P$34*($B288+$I$38-1),IF(AND($L$37=0,$P$34=0),"",$L$37-1)),MIN(CE$38,$E288),$P$20))-SUM($BF288:CD288))</f>
        <v>0</v>
      </c>
      <c r="CF288" s="446">
        <f>IF($E288=0,0,IF(MIN(CF$38,$E288)&lt;MAX($P$34*($B288+$I$38-1),IF(AND($L$37=0,$P$34=0),"",$L$37-1)),0,YEARFRAC(MAX($P$34*($B288+$I$38-1),IF(AND($L$37=0,$P$34=0),"",$L$37-1)),MIN(CF$38,$E288),$P$20))-SUM($BF288:CE288))</f>
        <v>0</v>
      </c>
      <c r="CG288" s="446">
        <f>IF($E288=0,0,IF(MIN(CG$38,$E288)&lt;MAX($P$34*($B288+$I$38-1),IF(AND($L$37=0,$P$34=0),"",$L$37-1)),0,YEARFRAC(MAX($P$34*($B288+$I$38-1),IF(AND($L$37=0,$P$34=0),"",$L$37-1)),MIN(CG$38,$E288),$P$20))-SUM($BF288:CF288))</f>
        <v>0</v>
      </c>
      <c r="CH288" s="446">
        <f>IF($E288=0,0,IF(MIN(CH$38,$E288)&lt;MAX($P$34*($B288+$I$38-1),IF(AND($L$37=0,$P$34=0),"",$L$37-1)),0,YEARFRAC(MAX($P$34*($B288+$I$38-1),IF(AND($L$37=0,$P$34=0),"",$L$37-1)),MIN(CH$38,$E288),$P$20))-SUM($BF288:CG288))</f>
        <v>0</v>
      </c>
      <c r="CI288" s="446">
        <f>IF($E288=0,0,IF(MIN(CI$38,$E288)&lt;MAX($P$34*($B288+$I$38-1),IF(AND($L$37=0,$P$34=0),"",$L$37-1)),0,YEARFRAC(MAX($P$34*($B288+$I$38-1),IF(AND($L$37=0,$P$34=0),"",$L$37-1)),MIN(CI$38,$E288),$P$20))-SUM($BF288:CH288))</f>
        <v>0</v>
      </c>
      <c r="CJ288" s="446">
        <f>IF($E288=0,0,IF(MIN(CJ$38,$E288)&lt;MAX($P$34*($B288+$I$38-1),IF(AND($L$37=0,$P$34=0),"",$L$37-1)),0,YEARFRAC(MAX($P$34*($B288+$I$38-1),IF(AND($L$37=0,$P$34=0),"",$L$37-1)),MIN(CJ$38,$E288),$P$20))-SUM($BF288:CI288))</f>
        <v>0</v>
      </c>
      <c r="CK288" s="446">
        <f>IF($E288=0,0,IF(MIN(CK$38,$E288)&lt;MAX($P$34*($B288+$I$38-1),IF(AND($L$37=0,$P$34=0),"",$L$37-1)),0,YEARFRAC(MAX($P$34*($B288+$I$38-1),IF(AND($L$37=0,$P$34=0),"",$L$37-1)),MIN(CK$38,$E288),$P$20))-SUM($BF288:CJ288))</f>
        <v>0</v>
      </c>
      <c r="CL288" s="446">
        <f>IF($E288=0,0,IF(MIN(CL$38,$E288)&lt;MAX($P$34*($B288+$I$38-1),IF(AND($L$37=0,$P$34=0),"",$L$37-1)),0,YEARFRAC(MAX($P$34*($B288+$I$38-1),IF(AND($L$37=0,$P$34=0),"",$L$37-1)),MIN(CL$38,$E288),$P$20))-SUM($BF288:CK288))</f>
        <v>0</v>
      </c>
      <c r="CM288" s="446">
        <f>IF($E288=0,0,IF(MIN(CM$38,$E288)&lt;MAX($P$34*($B288+$I$38-1),IF(AND($L$37=0,$P$34=0),"",$L$37-1)),0,YEARFRAC(MAX($P$34*($B288+$I$38-1),IF(AND($L$37=0,$P$34=0),"",$L$37-1)),MIN(CM$38,$E288),$P$20))-SUM($BF288:CL288))</f>
        <v>0</v>
      </c>
      <c r="CN288" s="446">
        <f>IF($E288=0,0,IF(MIN(CN$38,$E288)&lt;MAX($P$34*($B288+$I$38-1),IF(AND($L$37=0,$P$34=0),"",$L$37-1)),0,YEARFRAC(MAX($P$34*($B288+$I$38-1),IF(AND($L$37=0,$P$34=0),"",$L$37-1)),MIN(CN$38,$E288),$P$20))-SUM($BF288:CM288))</f>
        <v>0</v>
      </c>
      <c r="CO288" s="446">
        <f>IF($E288=0,0,IF(MIN(CO$38,$E288)&lt;MAX($P$34*($B288+$I$38-1),IF(AND($L$37=0,$P$34=0),"",$L$37-1)),0,YEARFRAC(MAX($P$34*($B288+$I$38-1),IF(AND($L$37=0,$P$34=0),"",$L$37-1)),MIN(CO$38,$E288),$P$20))-SUM($BF288:CN288))</f>
        <v>0</v>
      </c>
      <c r="CP288" s="446">
        <f>IF($E288=0,0,IF(MIN(CP$38,$E288)&lt;MAX($P$34*($B288+$I$38-1),IF(AND($L$37=0,$P$34=0),"",$L$37-1)),0,YEARFRAC(MAX($P$34*($B288+$I$38-1),IF(AND($L$37=0,$P$34=0),"",$L$37-1)),MIN(CP$38,$E288),$P$20))-SUM($BF288:CO288))</f>
        <v>0</v>
      </c>
      <c r="CQ288" s="446">
        <f>IF($E288=0,0,IF(MIN(CQ$38,$E288)&lt;MAX($P$34*($B288+$I$38-1),IF(AND($L$37=0,$P$34=0),"",$L$37-1)),0,YEARFRAC(MAX($P$34*($B288+$I$38-1),IF(AND($L$37=0,$P$34=0),"",$L$37-1)),MIN(CQ$38,$E288),$P$20))-SUM($BF288:CP288))</f>
        <v>0</v>
      </c>
    </row>
    <row r="289" spans="1:95" s="446" customFormat="1" ht="11.25" hidden="1" customHeight="1" x14ac:dyDescent="0.2">
      <c r="A289" s="152"/>
      <c r="B289" s="153" t="str">
        <f t="shared" si="48"/>
        <v/>
      </c>
      <c r="C289" s="29" t="str">
        <f>IF(B289="","",IF($L$35="SELIC - TRIBUTOS",VLOOKUP(DATE(YEAR($D$19),MONTH($D$19)-1,1),ÍNDICES!$A:$DE,HLOOKUP($BL$25,ÍNDICES!$B$3:$T$4,2)+11)-VLOOKUP(B289,ÍNDICES!$A:$DE,HLOOKUP($BL$25,ÍNDICES!$B$3:$T$4,2)+11)+1%,IF(C$38=$W$26,$J$35,IF(ISERROR(IF(B289&gt;$D$19,1,VLOOKUP(DATE(YEAR(B289),MONTH(B289)+IF($C$35=$S$23,1,0),1),ÍNDICES!$A:$DE,$Z$35+1))),"",IF(B289&gt;$D$19,1,VLOOKUP(DATE(YEAR(B289),MONTH(B289)+IF($C$35=$S$23,1,0),1),ÍNDICES!$A:$DE,$Z$35+1))))))</f>
        <v/>
      </c>
      <c r="D289" s="154" t="str">
        <f>IF(ISERROR(IF(OR($D$38=$Y$27,$B289=""),"",VLOOKUP(B289,ÍNDICES!A:DE,AF$35+1))),"",IF(OR($D$38=$Y$27,$B289=""),"",VLOOKUP(B289,ÍNDICES!A:DE,AF$35+1)))</f>
        <v/>
      </c>
      <c r="E289" s="153"/>
      <c r="F289" s="29" t="str">
        <f>IF(E289="","",IF($L$35="SELIC - TRIBUTOS",VLOOKUP(DATE(YEAR($D$19),MONTH($D$19)-1,1),ÍNDICES!$A:$DE,HLOOKUP($BL$25,ÍNDICES!$B$3:$T$4,2)+11)-VLOOKUP(E289,ÍNDICES!$A:$DE,HLOOKUP($BL$25,ÍNDICES!$B$3:$T$4,2)+11)+1%,IF(F$38=$W$26,$J$35,IF(ISERROR(IF(E289&gt;$D$19,1,VLOOKUP(DATE(YEAR(E289),MONTH(E289)+IF($C$35=$S$23,1,0),1),ÍNDICES!$A:$DE,$Z$35+1))),"",IF(E289&gt;$D$19,1,VLOOKUP(DATE(YEAR(E289),MONTH(E289)+IF($C$35=$S$23,1,0),1),ÍNDICES!$A:$DE,$Z$35+1))))))</f>
        <v/>
      </c>
      <c r="G289" s="155"/>
      <c r="H289" s="156" t="str">
        <f t="shared" si="44"/>
        <v/>
      </c>
      <c r="I289" s="29" t="str">
        <f t="shared" si="38"/>
        <v/>
      </c>
      <c r="J289" s="5">
        <f t="shared" si="39"/>
        <v>0</v>
      </c>
      <c r="K289" s="20">
        <f t="shared" ca="1" si="40"/>
        <v>0</v>
      </c>
      <c r="L289" s="5">
        <f t="shared" ca="1" si="41"/>
        <v>0</v>
      </c>
      <c r="M289" s="64">
        <f t="shared" si="45"/>
        <v>0</v>
      </c>
      <c r="N289" s="61">
        <f t="shared" ca="1" si="46"/>
        <v>0</v>
      </c>
      <c r="O289" s="5">
        <f t="shared" ca="1" si="47"/>
        <v>0</v>
      </c>
      <c r="P289" s="446" t="e">
        <f t="shared" si="42"/>
        <v>#VALUE!</v>
      </c>
      <c r="Q289" s="446" t="e">
        <f>IF(OR($B289="",MIN(Q$38,$D$19)&lt;MAX($P$34*($B289+IF($R$17="Distrato",$I$38-1,0)),IF(AND($L$37=0,$P$34=0),"",$L$37-1),IF($R$17="Distrato",$E289,0))),0,YEARFRAC(MAX($P$34*($B289+IF($R$17="Distrato",$I$38-1,0)),IF(AND($L$37=0,$P$34=0),"",$L$37-1),IF($R$17="Distrato",$E289,0)),MIN(Q$38,$D$19),$P$20))-SUM($P289:P289)</f>
        <v>#VALUE!</v>
      </c>
      <c r="R289" s="446" t="e">
        <f>IF(OR($B289="",MIN(R$38,$D$19)&lt;MAX($P$34*($B289+IF($R$17="Distrato",$I$38-1,0)),IF(AND($L$37=0,$P$34=0),"",$L$37-1),IF($R$17="Distrato",$E289,0))),0,YEARFRAC(MAX($P$34*($B289+IF($R$17="Distrato",$I$38-1,0)),IF(AND($L$37=0,$P$34=0),"",$L$37-1),IF($R$17="Distrato",$E289,0)),MIN(R$38,$D$19),$P$20))-SUM($P289:Q289)</f>
        <v>#VALUE!</v>
      </c>
      <c r="S289" s="446" t="e">
        <f>IF(OR($B289="",MIN(S$38,$D$19)&lt;MAX($P$34*($B289+IF($R$17="Distrato",$I$38-1,0)),IF(AND($L$37=0,$P$34=0),"",$L$37-1),IF($R$17="Distrato",$E289,0))),0,YEARFRAC(MAX($P$34*($B289+IF($R$17="Distrato",$I$38-1,0)),IF(AND($L$37=0,$P$34=0),"",$L$37-1),IF($R$17="Distrato",$E289,0)),MIN(S$38,$D$19),$P$20))-SUM($P289:R289)</f>
        <v>#VALUE!</v>
      </c>
      <c r="T289" s="446" t="e">
        <f>IF(OR($B289="",MIN(T$38,$D$19)&lt;MAX($P$34*($B289+IF($R$17="Distrato",$I$38-1,0)),IF(AND($L$37=0,$P$34=0),"",$L$37-1),IF($R$17="Distrato",$E289,0))),0,YEARFRAC(MAX($P$34*($B289+IF($R$17="Distrato",$I$38-1,0)),IF(AND($L$37=0,$P$34=0),"",$L$37-1),IF($R$17="Distrato",$E289,0)),MIN(T$38,$D$19),$P$20))-SUM($P289:S289)</f>
        <v>#VALUE!</v>
      </c>
      <c r="U289" s="446" t="e">
        <f>IF(OR($B289="",MIN(U$38,$D$19)&lt;MAX($P$34*($B289+IF($R$17="Distrato",$I$38-1,0)),IF(AND($L$37=0,$P$34=0),"",$L$37-1),IF($R$17="Distrato",$E289,0))),0,YEARFRAC(MAX($P$34*($B289+IF($R$17="Distrato",$I$38-1,0)),IF(AND($L$37=0,$P$34=0),"",$L$37-1),IF($R$17="Distrato",$E289,0)),MIN(U$38,$D$19),$P$20))-SUM($P289:T289)</f>
        <v>#VALUE!</v>
      </c>
      <c r="V289" s="446" t="e">
        <f>IF(OR($B289="",MIN(V$38,$D$19)&lt;MAX($P$34*($B289+IF($R$17="Distrato",$I$38-1,0)),IF(AND($L$37=0,$P$34=0),"",$L$37-1),IF($R$17="Distrato",$E289,0))),0,YEARFRAC(MAX($P$34*($B289+IF($R$17="Distrato",$I$38-1,0)),IF(AND($L$37=0,$P$34=0),"",$L$37-1),IF($R$17="Distrato",$E289,0)),MIN(V$38,$D$19),$P$20))-SUM($P289:U289)</f>
        <v>#VALUE!</v>
      </c>
      <c r="W289" s="446" t="e">
        <f>IF(OR($B289="",MIN(W$38,$D$19)&lt;MAX($P$34*($B289+IF($R$17="Distrato",$I$38-1,0)),IF(AND($L$37=0,$P$34=0),"",$L$37-1),IF($R$17="Distrato",$E289,0))),0,YEARFRAC(MAX($P$34*($B289+IF($R$17="Distrato",$I$38-1,0)),IF(AND($L$37=0,$P$34=0),"",$L$37-1),IF($R$17="Distrato",$E289,0)),MIN(W$38,$D$19),$P$20))-SUM($P289:V289)</f>
        <v>#VALUE!</v>
      </c>
      <c r="X289" s="446" t="e">
        <f>IF(OR($B289="",MIN(X$38,$D$19)&lt;MAX($P$34*($B289+IF($R$17="Distrato",$I$38-1,0)),IF(AND($L$37=0,$P$34=0),"",$L$37-1),IF($R$17="Distrato",$E289,0))),0,YEARFRAC(MAX($P$34*($B289+IF($R$17="Distrato",$I$38-1,0)),IF(AND($L$37=0,$P$34=0),"",$L$37-1),IF($R$17="Distrato",$E289,0)),MIN(X$38,$D$19),$P$20))-SUM($P289:W289)</f>
        <v>#VALUE!</v>
      </c>
      <c r="Y289" s="446" t="e">
        <f>IF(OR($B289="",MIN(Y$38,$D$19)&lt;MAX($P$34*($B289+IF($R$17="Distrato",$I$38-1,0)),IF(AND($L$37=0,$P$34=0),"",$L$37-1),IF($R$17="Distrato",$E289,0))),0,YEARFRAC(MAX($P$34*($B289+IF($R$17="Distrato",$I$38-1,0)),IF(AND($L$37=0,$P$34=0),"",$L$37-1),IF($R$17="Distrato",$E289,0)),MIN(Y$38,$D$19),$P$20))-SUM($P289:X289)</f>
        <v>#VALUE!</v>
      </c>
      <c r="Z289" s="446" t="e">
        <f>IF(OR($B289="",MIN(Z$38,$D$19)&lt;MAX($P$34*($B289+IF($R$17="Distrato",$I$38-1,0)),IF(AND($L$37=0,$P$34=0),"",$L$37-1),IF($R$17="Distrato",$E289,0))),0,YEARFRAC(MAX($P$34*($B289+IF($R$17="Distrato",$I$38-1,0)),IF(AND($L$37=0,$P$34=0),"",$L$37-1),IF($R$17="Distrato",$E289,0)),MIN(Z$38,$D$19),$P$20))-SUM($P289:Y289)</f>
        <v>#VALUE!</v>
      </c>
      <c r="AA289" s="446" t="e">
        <f>IF(OR($B289="",MIN(AA$38,$D$19)&lt;MAX($P$34*($B289+IF($R$17="Distrato",$I$38-1,0)),IF(AND($L$37=0,$P$34=0),"",$L$37-1),IF($R$17="Distrato",$E289,0))),0,YEARFRAC(MAX($P$34*($B289+IF($R$17="Distrato",$I$38-1,0)),IF(AND($L$37=0,$P$34=0),"",$L$37-1),IF($R$17="Distrato",$E289,0)),MIN(AA$38,$D$19),$P$20))-SUM($P289:Z289)</f>
        <v>#VALUE!</v>
      </c>
      <c r="AB289" s="446" t="e">
        <f>IF(OR($B289="",MIN(AB$38,$D$19)&lt;MAX($P$34*($B289+IF($R$17="Distrato",$I$38-1,0)),IF(AND($L$37=0,$P$34=0),"",$L$37-1),IF($R$17="Distrato",$E289,0))),0,YEARFRAC(MAX($P$34*($B289+IF($R$17="Distrato",$I$38-1,0)),IF(AND($L$37=0,$P$34=0),"",$L$37-1),IF($R$17="Distrato",$E289,0)),MIN(AB$38,$D$19),$P$20))-SUM($P289:AA289)</f>
        <v>#VALUE!</v>
      </c>
      <c r="AC289" s="446" t="e">
        <f>IF(OR($B289="",MIN(AC$38,$D$19)&lt;MAX($P$34*($B289+IF($R$17="Distrato",$I$38-1,0)),IF(AND($L$37=0,$P$34=0),"",$L$37-1),IF($R$17="Distrato",$E289,0))),0,YEARFRAC(MAX($P$34*($B289+IF($R$17="Distrato",$I$38-1,0)),IF(AND($L$37=0,$P$34=0),"",$L$37-1),IF($R$17="Distrato",$E289,0)),MIN(AC$38,$D$19),$P$20))-SUM($P289:AB289)</f>
        <v>#VALUE!</v>
      </c>
      <c r="AD289" s="446" t="e">
        <f>IF(OR($B289="",MIN(AD$38,$D$19)&lt;MAX($P$34*($B289+IF($R$17="Distrato",$I$38-1,0)),IF(AND($L$37=0,$P$34=0),"",$L$37-1),IF($R$17="Distrato",$E289,0))),0,YEARFRAC(MAX($P$34*($B289+IF($R$17="Distrato",$I$38-1,0)),IF(AND($L$37=0,$P$34=0),"",$L$37-1),IF($R$17="Distrato",$E289,0)),MIN(AD$38,$D$19),$P$20))-SUM($P289:AC289)</f>
        <v>#VALUE!</v>
      </c>
      <c r="AE289" s="446" t="e">
        <f>IF(OR($B289="",MIN(AE$38,$D$19)&lt;MAX($P$34*($B289+IF($R$17="Distrato",$I$38-1,0)),IF(AND($L$37=0,$P$34=0),"",$L$37-1),IF($R$17="Distrato",$E289,0))),0,YEARFRAC(MAX($P$34*($B289+IF($R$17="Distrato",$I$38-1,0)),IF(AND($L$37=0,$P$34=0),"",$L$37-1),IF($R$17="Distrato",$E289,0)),MIN(AE$38,$D$19),$P$20))-SUM($P289:AD289)</f>
        <v>#VALUE!</v>
      </c>
      <c r="AF289" s="446" t="e">
        <f>IF(OR($B289="",MIN(AF$38,$D$19)&lt;MAX($P$34*($B289+IF($R$17="Distrato",$I$38-1,0)),IF(AND($L$37=0,$P$34=0),"",$L$37-1),IF($R$17="Distrato",$E289,0))),0,YEARFRAC(MAX($P$34*($B289+IF($R$17="Distrato",$I$38-1,0)),IF(AND($L$37=0,$P$34=0),"",$L$37-1),IF($R$17="Distrato",$E289,0)),MIN(AF$38,$D$19),$P$20))-SUM($P289:AE289)</f>
        <v>#VALUE!</v>
      </c>
      <c r="AG289" s="446" t="e">
        <f>IF(OR($B289="",MIN(AG$38,$D$19)&lt;MAX($P$34*($B289+IF($R$17="Distrato",$I$38-1,0)),IF(AND($L$37=0,$P$34=0),"",$L$37-1),IF($R$17="Distrato",$E289,0))),0,YEARFRAC(MAX($P$34*($B289+IF($R$17="Distrato",$I$38-1,0)),IF(AND($L$37=0,$P$34=0),"",$L$37-1),IF($R$17="Distrato",$E289,0)),MIN(AG$38,$D$19),$P$20))-SUM($P289:AF289)</f>
        <v>#VALUE!</v>
      </c>
      <c r="AH289" s="446" t="e">
        <f>IF(OR($B289="",MIN(AH$38,$D$19)&lt;MAX($P$34*($B289+IF($R$17="Distrato",$I$38-1,0)),IF(AND($L$37=0,$P$34=0),"",$L$37-1),IF($R$17="Distrato",$E289,0))),0,YEARFRAC(MAX($P$34*($B289+IF($R$17="Distrato",$I$38-1,0)),IF(AND($L$37=0,$P$34=0),"",$L$37-1),IF($R$17="Distrato",$E289,0)),MIN(AH$38,$D$19),$P$20))-SUM($P289:AG289)</f>
        <v>#VALUE!</v>
      </c>
      <c r="AI289" s="446" t="e">
        <f>IF(OR($B289="",MIN(AI$38,$D$19)&lt;MAX($P$34*($B289+IF($R$17="Distrato",$I$38-1,0)),IF(AND($L$37=0,$P$34=0),"",$L$37-1),IF($R$17="Distrato",$E289,0))),0,YEARFRAC(MAX($P$34*($B289+IF($R$17="Distrato",$I$38-1,0)),IF(AND($L$37=0,$P$34=0),"",$L$37-1),IF($R$17="Distrato",$E289,0)),MIN(AI$38,$D$19),$P$20))-SUM($P289:AH289)</f>
        <v>#VALUE!</v>
      </c>
      <c r="AJ289" s="446" t="e">
        <f>IF(OR($B289="",MIN(AJ$38,$D$19)&lt;MAX($P$34*($B289+IF($R$17="Distrato",$I$38-1,0)),IF(AND($L$37=0,$P$34=0),"",$L$37-1),IF($R$17="Distrato",$E289,0))),0,YEARFRAC(MAX($P$34*($B289+IF($R$17="Distrato",$I$38-1,0)),IF(AND($L$37=0,$P$34=0),"",$L$37-1),IF($R$17="Distrato",$E289,0)),MIN(AJ$38,$D$19),$P$20))-SUM($P289:AI289)</f>
        <v>#VALUE!</v>
      </c>
      <c r="AK289" s="446" t="e">
        <f>IF(OR($B289="",MIN(AK$38,$D$19)&lt;MAX($P$34*($B289+IF($R$17="Distrato",$I$38-1,0)),IF(AND($L$37=0,$P$34=0),"",$L$37-1),IF($R$17="Distrato",$E289,0))),0,YEARFRAC(MAX($P$34*($B289+IF($R$17="Distrato",$I$38-1,0)),IF(AND($L$37=0,$P$34=0),"",$L$37-1),IF($R$17="Distrato",$E289,0)),MIN(AK$38,$D$19),$P$20))-SUM($P289:AJ289)</f>
        <v>#VALUE!</v>
      </c>
      <c r="AL289" s="446" t="e">
        <f>IF(OR($B289="",MIN(AL$38,$D$19)&lt;MAX($P$34*($B289+IF($R$17="Distrato",$I$38-1,0)),IF(AND($L$37=0,$P$34=0),"",$L$37-1),IF($R$17="Distrato",$E289,0))),0,YEARFRAC(MAX($P$34*($B289+IF($R$17="Distrato",$I$38-1,0)),IF(AND($L$37=0,$P$34=0),"",$L$37-1),IF($R$17="Distrato",$E289,0)),MIN(AL$38,$D$19),$P$20))-SUM($P289:AK289)</f>
        <v>#VALUE!</v>
      </c>
      <c r="AM289" s="446" t="e">
        <f>IF(OR($B289="",MIN(AM$38,$D$19)&lt;MAX($P$34*($B289+IF($R$17="Distrato",$I$38-1,0)),IF(AND($L$37=0,$P$34=0),"",$L$37-1),IF($R$17="Distrato",$E289,0))),0,YEARFRAC(MAX($P$34*($B289+IF($R$17="Distrato",$I$38-1,0)),IF(AND($L$37=0,$P$34=0),"",$L$37-1),IF($R$17="Distrato",$E289,0)),MIN(AM$38,$D$19),$P$20))-SUM($P289:AL289)</f>
        <v>#VALUE!</v>
      </c>
      <c r="AN289" s="446" t="e">
        <f>IF(OR($B289="",MIN(AN$38,$D$19)&lt;MAX($P$34*($B289+IF($R$17="Distrato",$I$38-1,0)),IF(AND($L$37=0,$P$34=0),"",$L$37-1),IF($R$17="Distrato",$E289,0))),0,YEARFRAC(MAX($P$34*($B289+IF($R$17="Distrato",$I$38-1,0)),IF(AND($L$37=0,$P$34=0),"",$L$37-1),IF($R$17="Distrato",$E289,0)),MIN(AN$38,$D$19),$P$20))-SUM($P289:AM289)</f>
        <v>#VALUE!</v>
      </c>
      <c r="AO289" s="446" t="e">
        <f>IF(OR($B289="",MIN(AO$38,$D$19)&lt;MAX($P$34*($B289+IF($R$17="Distrato",$I$38-1,0)),IF(AND($L$37=0,$P$34=0),"",$L$37-1),IF($R$17="Distrato",$E289,0))),0,YEARFRAC(MAX($P$34*($B289+IF($R$17="Distrato",$I$38-1,0)),IF(AND($L$37=0,$P$34=0),"",$L$37-1),IF($R$17="Distrato",$E289,0)),MIN(AO$38,$D$19),$P$20))-SUM($P289:AN289)</f>
        <v>#VALUE!</v>
      </c>
      <c r="AP289" s="446" t="e">
        <f>IF(OR($B289="",MIN(AP$38,$D$19)&lt;MAX($P$34*($B289+IF($R$17="Distrato",$I$38-1,0)),IF(AND($L$37=0,$P$34=0),"",$L$37-1),IF($R$17="Distrato",$E289,0))),0,YEARFRAC(MAX($P$34*($B289+IF($R$17="Distrato",$I$38-1,0)),IF(AND($L$37=0,$P$34=0),"",$L$37-1),IF($R$17="Distrato",$E289,0)),MIN(AP$38,$D$19),$P$20))-SUM($P289:AO289)</f>
        <v>#VALUE!</v>
      </c>
      <c r="AQ289" s="446" t="e">
        <f>IF(OR($B289="",MIN(AQ$38,$D$19)&lt;MAX($P$34*($B289+IF($R$17="Distrato",$I$38-1,0)),IF(AND($L$37=0,$P$34=0),"",$L$37-1),IF($R$17="Distrato",$E289,0))),0,YEARFRAC(MAX($P$34*($B289+IF($R$17="Distrato",$I$38-1,0)),IF(AND($L$37=0,$P$34=0),"",$L$37-1),IF($R$17="Distrato",$E289,0)),MIN(AQ$38,$D$19),$P$20))-SUM($P289:AP289)</f>
        <v>#VALUE!</v>
      </c>
      <c r="AR289" s="446" t="e">
        <f>IF(OR($B289="",MIN(AR$38,$D$19)&lt;MAX($P$34*($B289+IF($R$17="Distrato",$I$38-1,0)),IF(AND($L$37=0,$P$34=0),"",$L$37-1),IF($R$17="Distrato",$E289,0))),0,YEARFRAC(MAX($P$34*($B289+IF($R$17="Distrato",$I$38-1,0)),IF(AND($L$37=0,$P$34=0),"",$L$37-1),IF($R$17="Distrato",$E289,0)),MIN(AR$38,$D$19),$P$20))-SUM($P289:AQ289)</f>
        <v>#VALUE!</v>
      </c>
      <c r="AS289" s="446" t="e">
        <f>IF(OR($B289="",MIN(AS$38,$D$19)&lt;MAX($P$34*($B289+IF($R$17="Distrato",$I$38-1,0)),IF(AND($L$37=0,$P$34=0),"",$L$37-1),IF($R$17="Distrato",$E289,0))),0,YEARFRAC(MAX($P$34*($B289+IF($R$17="Distrato",$I$38-1,0)),IF(AND($L$37=0,$P$34=0),"",$L$37-1),IF($R$17="Distrato",$E289,0)),MIN(AS$38,$D$19),$P$20))-SUM($P289:AR289)</f>
        <v>#VALUE!</v>
      </c>
      <c r="AT289" s="446" t="e">
        <f>IF(OR($B289="",MIN(AT$38,$D$19)&lt;MAX($P$34*($B289+IF($R$17="Distrato",$I$38-1,0)),IF(AND($L$37=0,$P$34=0),"",$L$37-1),IF($R$17="Distrato",$E289,0))),0,YEARFRAC(MAX($P$34*($B289+IF($R$17="Distrato",$I$38-1,0)),IF(AND($L$37=0,$P$34=0),"",$L$37-1),IF($R$17="Distrato",$E289,0)),MIN(AT$38,$D$19),$P$20))-SUM($P289:AS289)</f>
        <v>#VALUE!</v>
      </c>
      <c r="AU289" s="446" t="e">
        <f>IF(OR($B289="",MIN(AU$38,$D$19)&lt;MAX($P$34*($B289+IF($R$17="Distrato",$I$38-1,0)),IF(AND($L$37=0,$P$34=0),"",$L$37-1),IF($R$17="Distrato",$E289,0))),0,YEARFRAC(MAX($P$34*($B289+IF($R$17="Distrato",$I$38-1,0)),IF(AND($L$37=0,$P$34=0),"",$L$37-1),IF($R$17="Distrato",$E289,0)),MIN(AU$38,$D$19),$P$20))-SUM($P289:AT289)</f>
        <v>#VALUE!</v>
      </c>
      <c r="AV289" s="446" t="e">
        <f>IF(OR($B289="",MIN(AV$38,$D$19)&lt;MAX($P$34*($B289+IF($R$17="Distrato",$I$38-1,0)),IF(AND($L$37=0,$P$34=0),"",$L$37-1),IF($R$17="Distrato",$E289,0))),0,YEARFRAC(MAX($P$34*($B289+IF($R$17="Distrato",$I$38-1,0)),IF(AND($L$37=0,$P$34=0),"",$L$37-1),IF($R$17="Distrato",$E289,0)),MIN(AV$38,$D$19),$P$20))-SUM($P289:AU289)</f>
        <v>#VALUE!</v>
      </c>
      <c r="AW289" s="446" t="e">
        <f>IF(OR($B289="",MIN(AW$38,$D$19)&lt;MAX($P$34*($B289+IF($R$17="Distrato",$I$38-1,0)),IF(AND($L$37=0,$P$34=0),"",$L$37-1),IF($R$17="Distrato",$E289,0))),0,YEARFRAC(MAX($P$34*($B289+IF($R$17="Distrato",$I$38-1,0)),IF(AND($L$37=0,$P$34=0),"",$L$37-1),IF($R$17="Distrato",$E289,0)),MIN(AW$38,$D$19),$P$20))-SUM($P289:AV289)</f>
        <v>#VALUE!</v>
      </c>
      <c r="AX289" s="446" t="e">
        <f>IF(OR($B289="",MIN(AX$38,$D$19)&lt;MAX($P$34*($B289+IF($R$17="Distrato",$I$38-1,0)),IF(AND($L$37=0,$P$34=0),"",$L$37-1),IF($R$17="Distrato",$E289,0))),0,YEARFRAC(MAX($P$34*($B289+IF($R$17="Distrato",$I$38-1,0)),IF(AND($L$37=0,$P$34=0),"",$L$37-1),IF($R$17="Distrato",$E289,0)),MIN(AX$38,$D$19),$P$20))-SUM($P289:AW289)</f>
        <v>#VALUE!</v>
      </c>
      <c r="AY289" s="446" t="e">
        <f>IF(OR($B289="",MIN(AY$38,$D$19)&lt;MAX($P$34*($B289+IF($R$17="Distrato",$I$38-1,0)),IF(AND($L$37=0,$P$34=0),"",$L$37-1),IF($R$17="Distrato",$E289,0))),0,YEARFRAC(MAX($P$34*($B289+IF($R$17="Distrato",$I$38-1,0)),IF(AND($L$37=0,$P$34=0),"",$L$37-1),IF($R$17="Distrato",$E289,0)),MIN(AY$38,$D$19),$P$20))-SUM($P289:AX289)</f>
        <v>#VALUE!</v>
      </c>
      <c r="AZ289" s="446" t="e">
        <f>IF(OR($B289="",MIN(AZ$38,$D$19)&lt;MAX($P$34*($B289+IF($R$17="Distrato",$I$38-1,0)),IF(AND($L$37=0,$P$34=0),"",$L$37-1),IF($R$17="Distrato",$E289,0))),0,YEARFRAC(MAX($P$34*($B289+IF($R$17="Distrato",$I$38-1,0)),IF(AND($L$37=0,$P$34=0),"",$L$37-1),IF($R$17="Distrato",$E289,0)),MIN(AZ$38,$D$19),$P$20))-SUM($P289:AY289)</f>
        <v>#VALUE!</v>
      </c>
      <c r="BA289" s="446" t="e">
        <f>IF(OR($B289="",MIN(BA$38,$D$19)&lt;MAX($P$34*($B289+IF($R$17="Distrato",$I$38-1,0)),IF(AND($L$37=0,$P$34=0),"",$L$37-1),IF($R$17="Distrato",$E289,0))),0,YEARFRAC(MAX($P$34*($B289+IF($R$17="Distrato",$I$38-1,0)),IF(AND($L$37=0,$P$34=0),"",$L$37-1),IF($R$17="Distrato",$E289,0)),MIN(BA$38,$D$19),$P$20))-SUM($P289:AZ289)</f>
        <v>#VALUE!</v>
      </c>
      <c r="BB289" s="447"/>
      <c r="BF289" s="446">
        <f t="shared" si="43"/>
        <v>0</v>
      </c>
      <c r="BG289" s="446">
        <f>IF($E289=0,0,IF(MIN(BG$38,$E289)&lt;MAX($P$34*($B289+$I$38-1),IF(AND($L$37=0,$P$34=0),"",$L$37-1)),0,YEARFRAC(MAX($P$34*($B289+$I$38-1),IF(AND($L$37=0,$P$34=0),"",$L$37-1)),MIN(BG$38,$E289),$P$20))-SUM($BF289:BF289))</f>
        <v>0</v>
      </c>
      <c r="BH289" s="446">
        <f>IF($E289=0,0,IF(MIN(BH$38,$E289)&lt;MAX($P$34*($B289+$I$38-1),IF(AND($L$37=0,$P$34=0),"",$L$37-1)),0,YEARFRAC(MAX($P$34*($B289+$I$38-1),IF(AND($L$37=0,$P$34=0),"",$L$37-1)),MIN(BH$38,$E289),$P$20))-SUM($BF289:BG289))</f>
        <v>0</v>
      </c>
      <c r="BI289" s="446">
        <f>IF($E289=0,0,IF(MIN(BI$38,$E289)&lt;MAX($P$34*($B289+$I$38-1),IF(AND($L$37=0,$P$34=0),"",$L$37-1)),0,YEARFRAC(MAX($P$34*($B289+$I$38-1),IF(AND($L$37=0,$P$34=0),"",$L$37-1)),MIN(BI$38,$E289),$P$20))-SUM($BF289:BH289))</f>
        <v>0</v>
      </c>
      <c r="BJ289" s="446">
        <f>IF($E289=0,0,IF(MIN(BJ$38,$E289)&lt;MAX($P$34*($B289+$I$38-1),IF(AND($L$37=0,$P$34=0),"",$L$37-1)),0,YEARFRAC(MAX($P$34*($B289+$I$38-1),IF(AND($L$37=0,$P$34=0),"",$L$37-1)),MIN(BJ$38,$E289),$P$20))-SUM($BF289:BI289))</f>
        <v>0</v>
      </c>
      <c r="BK289" s="446">
        <f>IF($E289=0,0,IF(MIN(BK$38,$E289)&lt;MAX($P$34*($B289+$I$38-1),IF(AND($L$37=0,$P$34=0),"",$L$37-1)),0,YEARFRAC(MAX($P$34*($B289+$I$38-1),IF(AND($L$37=0,$P$34=0),"",$L$37-1)),MIN(BK$38,$E289),$P$20))-SUM($BF289:BJ289))</f>
        <v>0</v>
      </c>
      <c r="BL289" s="446">
        <f>IF($E289=0,0,IF(MIN(BL$38,$E289)&lt;MAX($P$34*($B289+$I$38-1),IF(AND($L$37=0,$P$34=0),"",$L$37-1)),0,YEARFRAC(MAX($P$34*($B289+$I$38-1),IF(AND($L$37=0,$P$34=0),"",$L$37-1)),MIN(BL$38,$E289),$P$20))-SUM($BF289:BK289))</f>
        <v>0</v>
      </c>
      <c r="BM289" s="446">
        <f>IF($E289=0,0,IF(MIN(BM$38,$E289)&lt;MAX($P$34*($B289+$I$38-1),IF(AND($L$37=0,$P$34=0),"",$L$37-1)),0,YEARFRAC(MAX($P$34*($B289+$I$38-1),IF(AND($L$37=0,$P$34=0),"",$L$37-1)),MIN(BM$38,$E289),$P$20))-SUM($BF289:BL289))</f>
        <v>0</v>
      </c>
      <c r="BN289" s="446">
        <f>IF($E289=0,0,IF(MIN(BN$38,$E289)&lt;MAX($P$34*($B289+$I$38-1),IF(AND($L$37=0,$P$34=0),"",$L$37-1)),0,YEARFRAC(MAX($P$34*($B289+$I$38-1),IF(AND($L$37=0,$P$34=0),"",$L$37-1)),MIN(BN$38,$E289),$P$20))-SUM($BF289:BM289))</f>
        <v>0</v>
      </c>
      <c r="BO289" s="446">
        <f>IF($E289=0,0,IF(MIN(BO$38,$E289)&lt;MAX($P$34*($B289+$I$38-1),IF(AND($L$37=0,$P$34=0),"",$L$37-1)),0,YEARFRAC(MAX($P$34*($B289+$I$38-1),IF(AND($L$37=0,$P$34=0),"",$L$37-1)),MIN(BO$38,$E289),$P$20))-SUM($BF289:BN289))</f>
        <v>0</v>
      </c>
      <c r="BP289" s="446">
        <f>IF($E289=0,0,IF(MIN(BP$38,$E289)&lt;MAX($P$34*($B289+$I$38-1),IF(AND($L$37=0,$P$34=0),"",$L$37-1)),0,YEARFRAC(MAX($P$34*($B289+$I$38-1),IF(AND($L$37=0,$P$34=0),"",$L$37-1)),MIN(BP$38,$E289),$P$20))-SUM($BF289:BO289))</f>
        <v>0</v>
      </c>
      <c r="BQ289" s="446">
        <f>IF($E289=0,0,IF(MIN(BQ$38,$E289)&lt;MAX($P$34*($B289+$I$38-1),IF(AND($L$37=0,$P$34=0),"",$L$37-1)),0,YEARFRAC(MAX($P$34*($B289+$I$38-1),IF(AND($L$37=0,$P$34=0),"",$L$37-1)),MIN(BQ$38,$E289),$P$20))-SUM($BF289:BP289))</f>
        <v>0</v>
      </c>
      <c r="BR289" s="446">
        <f>IF($E289=0,0,IF(MIN(BR$38,$E289)&lt;MAX($P$34*($B289+$I$38-1),IF(AND($L$37=0,$P$34=0),"",$L$37-1)),0,YEARFRAC(MAX($P$34*($B289+$I$38-1),IF(AND($L$37=0,$P$34=0),"",$L$37-1)),MIN(BR$38,$E289),$P$20))-SUM($BF289:BQ289))</f>
        <v>0</v>
      </c>
      <c r="BS289" s="446">
        <f>IF($E289=0,0,IF(MIN(BS$38,$E289)&lt;MAX($P$34*($B289+$I$38-1),IF(AND($L$37=0,$P$34=0),"",$L$37-1)),0,YEARFRAC(MAX($P$34*($B289+$I$38-1),IF(AND($L$37=0,$P$34=0),"",$L$37-1)),MIN(BS$38,$E289),$P$20))-SUM($BF289:BR289))</f>
        <v>0</v>
      </c>
      <c r="BT289" s="446">
        <f>IF($E289=0,0,IF(MIN(BT$38,$E289)&lt;MAX($P$34*($B289+$I$38-1),IF(AND($L$37=0,$P$34=0),"",$L$37-1)),0,YEARFRAC(MAX($P$34*($B289+$I$38-1),IF(AND($L$37=0,$P$34=0),"",$L$37-1)),MIN(BT$38,$E289),$P$20))-SUM($BF289:BS289))</f>
        <v>0</v>
      </c>
      <c r="BU289" s="446">
        <f>IF($E289=0,0,IF(MIN(BU$38,$E289)&lt;MAX($P$34*($B289+$I$38-1),IF(AND($L$37=0,$P$34=0),"",$L$37-1)),0,YEARFRAC(MAX($P$34*($B289+$I$38-1),IF(AND($L$37=0,$P$34=0),"",$L$37-1)),MIN(BU$38,$E289),$P$20))-SUM($BF289:BT289))</f>
        <v>0</v>
      </c>
      <c r="BV289" s="446">
        <f>IF($E289=0,0,IF(MIN(BV$38,$E289)&lt;MAX($P$34*($B289+$I$38-1),IF(AND($L$37=0,$P$34=0),"",$L$37-1)),0,YEARFRAC(MAX($P$34*($B289+$I$38-1),IF(AND($L$37=0,$P$34=0),"",$L$37-1)),MIN(BV$38,$E289),$P$20))-SUM($BF289:BU289))</f>
        <v>0</v>
      </c>
      <c r="BW289" s="446">
        <f>IF($E289=0,0,IF(MIN(BW$38,$E289)&lt;MAX($P$34*($B289+$I$38-1),IF(AND($L$37=0,$P$34=0),"",$L$37-1)),0,YEARFRAC(MAX($P$34*($B289+$I$38-1),IF(AND($L$37=0,$P$34=0),"",$L$37-1)),MIN(BW$38,$E289),$P$20))-SUM($BF289:BV289))</f>
        <v>0</v>
      </c>
      <c r="BX289" s="446">
        <f>IF($E289=0,0,IF(MIN(BX$38,$E289)&lt;MAX($P$34*($B289+$I$38-1),IF(AND($L$37=0,$P$34=0),"",$L$37-1)),0,YEARFRAC(MAX($P$34*($B289+$I$38-1),IF(AND($L$37=0,$P$34=0),"",$L$37-1)),MIN(BX$38,$E289),$P$20))-SUM($BF289:BW289))</f>
        <v>0</v>
      </c>
      <c r="BY289" s="446">
        <f>IF($E289=0,0,IF(MIN(BY$38,$E289)&lt;MAX($P$34*($B289+$I$38-1),IF(AND($L$37=0,$P$34=0),"",$L$37-1)),0,YEARFRAC(MAX($P$34*($B289+$I$38-1),IF(AND($L$37=0,$P$34=0),"",$L$37-1)),MIN(BY$38,$E289),$P$20))-SUM($BF289:BX289))</f>
        <v>0</v>
      </c>
      <c r="BZ289" s="446">
        <f>IF($E289=0,0,IF(MIN(BZ$38,$E289)&lt;MAX($P$34*($B289+$I$38-1),IF(AND($L$37=0,$P$34=0),"",$L$37-1)),0,YEARFRAC(MAX($P$34*($B289+$I$38-1),IF(AND($L$37=0,$P$34=0),"",$L$37-1)),MIN(BZ$38,$E289),$P$20))-SUM($BF289:BY289))</f>
        <v>0</v>
      </c>
      <c r="CA289" s="446">
        <f>IF($E289=0,0,IF(MIN(CA$38,$E289)&lt;MAX($P$34*($B289+$I$38-1),IF(AND($L$37=0,$P$34=0),"",$L$37-1)),0,YEARFRAC(MAX($P$34*($B289+$I$38-1),IF(AND($L$37=0,$P$34=0),"",$L$37-1)),MIN(CA$38,$E289),$P$20))-SUM($BF289:BZ289))</f>
        <v>0</v>
      </c>
      <c r="CB289" s="446">
        <f>IF($E289=0,0,IF(MIN(CB$38,$E289)&lt;MAX($P$34*($B289+$I$38-1),IF(AND($L$37=0,$P$34=0),"",$L$37-1)),0,YEARFRAC(MAX($P$34*($B289+$I$38-1),IF(AND($L$37=0,$P$34=0),"",$L$37-1)),MIN(CB$38,$E289),$P$20))-SUM($BF289:CA289))</f>
        <v>0</v>
      </c>
      <c r="CC289" s="446">
        <f>IF($E289=0,0,IF(MIN(CC$38,$E289)&lt;MAX($P$34*($B289+$I$38-1),IF(AND($L$37=0,$P$34=0),"",$L$37-1)),0,YEARFRAC(MAX($P$34*($B289+$I$38-1),IF(AND($L$37=0,$P$34=0),"",$L$37-1)),MIN(CC$38,$E289),$P$20))-SUM($BF289:CB289))</f>
        <v>0</v>
      </c>
      <c r="CD289" s="446">
        <f>IF($E289=0,0,IF(MIN(CD$38,$E289)&lt;MAX($P$34*($B289+$I$38-1),IF(AND($L$37=0,$P$34=0),"",$L$37-1)),0,YEARFRAC(MAX($P$34*($B289+$I$38-1),IF(AND($L$37=0,$P$34=0),"",$L$37-1)),MIN(CD$38,$E289),$P$20))-SUM($BF289:CC289))</f>
        <v>0</v>
      </c>
      <c r="CE289" s="446">
        <f>IF($E289=0,0,IF(MIN(CE$38,$E289)&lt;MAX($P$34*($B289+$I$38-1),IF(AND($L$37=0,$P$34=0),"",$L$37-1)),0,YEARFRAC(MAX($P$34*($B289+$I$38-1),IF(AND($L$37=0,$P$34=0),"",$L$37-1)),MIN(CE$38,$E289),$P$20))-SUM($BF289:CD289))</f>
        <v>0</v>
      </c>
      <c r="CF289" s="446">
        <f>IF($E289=0,0,IF(MIN(CF$38,$E289)&lt;MAX($P$34*($B289+$I$38-1),IF(AND($L$37=0,$P$34=0),"",$L$37-1)),0,YEARFRAC(MAX($P$34*($B289+$I$38-1),IF(AND($L$37=0,$P$34=0),"",$L$37-1)),MIN(CF$38,$E289),$P$20))-SUM($BF289:CE289))</f>
        <v>0</v>
      </c>
      <c r="CG289" s="446">
        <f>IF($E289=0,0,IF(MIN(CG$38,$E289)&lt;MAX($P$34*($B289+$I$38-1),IF(AND($L$37=0,$P$34=0),"",$L$37-1)),0,YEARFRAC(MAX($P$34*($B289+$I$38-1),IF(AND($L$37=0,$P$34=0),"",$L$37-1)),MIN(CG$38,$E289),$P$20))-SUM($BF289:CF289))</f>
        <v>0</v>
      </c>
      <c r="CH289" s="446">
        <f>IF($E289=0,0,IF(MIN(CH$38,$E289)&lt;MAX($P$34*($B289+$I$38-1),IF(AND($L$37=0,$P$34=0),"",$L$37-1)),0,YEARFRAC(MAX($P$34*($B289+$I$38-1),IF(AND($L$37=0,$P$34=0),"",$L$37-1)),MIN(CH$38,$E289),$P$20))-SUM($BF289:CG289))</f>
        <v>0</v>
      </c>
      <c r="CI289" s="446">
        <f>IF($E289=0,0,IF(MIN(CI$38,$E289)&lt;MAX($P$34*($B289+$I$38-1),IF(AND($L$37=0,$P$34=0),"",$L$37-1)),0,YEARFRAC(MAX($P$34*($B289+$I$38-1),IF(AND($L$37=0,$P$34=0),"",$L$37-1)),MIN(CI$38,$E289),$P$20))-SUM($BF289:CH289))</f>
        <v>0</v>
      </c>
      <c r="CJ289" s="446">
        <f>IF($E289=0,0,IF(MIN(CJ$38,$E289)&lt;MAX($P$34*($B289+$I$38-1),IF(AND($L$37=0,$P$34=0),"",$L$37-1)),0,YEARFRAC(MAX($P$34*($B289+$I$38-1),IF(AND($L$37=0,$P$34=0),"",$L$37-1)),MIN(CJ$38,$E289),$P$20))-SUM($BF289:CI289))</f>
        <v>0</v>
      </c>
      <c r="CK289" s="446">
        <f>IF($E289=0,0,IF(MIN(CK$38,$E289)&lt;MAX($P$34*($B289+$I$38-1),IF(AND($L$37=0,$P$34=0),"",$L$37-1)),0,YEARFRAC(MAX($P$34*($B289+$I$38-1),IF(AND($L$37=0,$P$34=0),"",$L$37-1)),MIN(CK$38,$E289),$P$20))-SUM($BF289:CJ289))</f>
        <v>0</v>
      </c>
      <c r="CL289" s="446">
        <f>IF($E289=0,0,IF(MIN(CL$38,$E289)&lt;MAX($P$34*($B289+$I$38-1),IF(AND($L$37=0,$P$34=0),"",$L$37-1)),0,YEARFRAC(MAX($P$34*($B289+$I$38-1),IF(AND($L$37=0,$P$34=0),"",$L$37-1)),MIN(CL$38,$E289),$P$20))-SUM($BF289:CK289))</f>
        <v>0</v>
      </c>
      <c r="CM289" s="446">
        <f>IF($E289=0,0,IF(MIN(CM$38,$E289)&lt;MAX($P$34*($B289+$I$38-1),IF(AND($L$37=0,$P$34=0),"",$L$37-1)),0,YEARFRAC(MAX($P$34*($B289+$I$38-1),IF(AND($L$37=0,$P$34=0),"",$L$37-1)),MIN(CM$38,$E289),$P$20))-SUM($BF289:CL289))</f>
        <v>0</v>
      </c>
      <c r="CN289" s="446">
        <f>IF($E289=0,0,IF(MIN(CN$38,$E289)&lt;MAX($P$34*($B289+$I$38-1),IF(AND($L$37=0,$P$34=0),"",$L$37-1)),0,YEARFRAC(MAX($P$34*($B289+$I$38-1),IF(AND($L$37=0,$P$34=0),"",$L$37-1)),MIN(CN$38,$E289),$P$20))-SUM($BF289:CM289))</f>
        <v>0</v>
      </c>
      <c r="CO289" s="446">
        <f>IF($E289=0,0,IF(MIN(CO$38,$E289)&lt;MAX($P$34*($B289+$I$38-1),IF(AND($L$37=0,$P$34=0),"",$L$37-1)),0,YEARFRAC(MAX($P$34*($B289+$I$38-1),IF(AND($L$37=0,$P$34=0),"",$L$37-1)),MIN(CO$38,$E289),$P$20))-SUM($BF289:CN289))</f>
        <v>0</v>
      </c>
      <c r="CP289" s="446">
        <f>IF($E289=0,0,IF(MIN(CP$38,$E289)&lt;MAX($P$34*($B289+$I$38-1),IF(AND($L$37=0,$P$34=0),"",$L$37-1)),0,YEARFRAC(MAX($P$34*($B289+$I$38-1),IF(AND($L$37=0,$P$34=0),"",$L$37-1)),MIN(CP$38,$E289),$P$20))-SUM($BF289:CO289))</f>
        <v>0</v>
      </c>
      <c r="CQ289" s="446">
        <f>IF($E289=0,0,IF(MIN(CQ$38,$E289)&lt;MAX($P$34*($B289+$I$38-1),IF(AND($L$37=0,$P$34=0),"",$L$37-1)),0,YEARFRAC(MAX($P$34*($B289+$I$38-1),IF(AND($L$37=0,$P$34=0),"",$L$37-1)),MIN(CQ$38,$E289),$P$20))-SUM($BF289:CP289))</f>
        <v>0</v>
      </c>
    </row>
    <row r="290" spans="1:95" s="446" customFormat="1" ht="11.25" hidden="1" customHeight="1" x14ac:dyDescent="0.2">
      <c r="A290" s="152"/>
      <c r="B290" s="153" t="str">
        <f t="shared" si="48"/>
        <v/>
      </c>
      <c r="C290" s="29" t="str">
        <f>IF(B290="","",IF($L$35="SELIC - TRIBUTOS",VLOOKUP(DATE(YEAR($D$19),MONTH($D$19)-1,1),ÍNDICES!$A:$DE,HLOOKUP($BL$25,ÍNDICES!$B$3:$T$4,2)+11)-VLOOKUP(B290,ÍNDICES!$A:$DE,HLOOKUP($BL$25,ÍNDICES!$B$3:$T$4,2)+11)+1%,IF(C$38=$W$26,$J$35,IF(ISERROR(IF(B290&gt;$D$19,1,VLOOKUP(DATE(YEAR(B290),MONTH(B290)+IF($C$35=$S$23,1,0),1),ÍNDICES!$A:$DE,$Z$35+1))),"",IF(B290&gt;$D$19,1,VLOOKUP(DATE(YEAR(B290),MONTH(B290)+IF($C$35=$S$23,1,0),1),ÍNDICES!$A:$DE,$Z$35+1))))))</f>
        <v/>
      </c>
      <c r="D290" s="154" t="str">
        <f>IF(ISERROR(IF(OR($D$38=$Y$27,$B290=""),"",VLOOKUP(B290,ÍNDICES!A:DE,AF$35+1))),"",IF(OR($D$38=$Y$27,$B290=""),"",VLOOKUP(B290,ÍNDICES!A:DE,AF$35+1)))</f>
        <v/>
      </c>
      <c r="E290" s="153"/>
      <c r="F290" s="29" t="str">
        <f>IF(E290="","",IF($L$35="SELIC - TRIBUTOS",VLOOKUP(DATE(YEAR($D$19),MONTH($D$19)-1,1),ÍNDICES!$A:$DE,HLOOKUP($BL$25,ÍNDICES!$B$3:$T$4,2)+11)-VLOOKUP(E290,ÍNDICES!$A:$DE,HLOOKUP($BL$25,ÍNDICES!$B$3:$T$4,2)+11)+1%,IF(F$38=$W$26,$J$35,IF(ISERROR(IF(E290&gt;$D$19,1,VLOOKUP(DATE(YEAR(E290),MONTH(E290)+IF($C$35=$S$23,1,0),1),ÍNDICES!$A:$DE,$Z$35+1))),"",IF(E290&gt;$D$19,1,VLOOKUP(DATE(YEAR(E290),MONTH(E290)+IF($C$35=$S$23,1,0),1),ÍNDICES!$A:$DE,$Z$35+1))))))</f>
        <v/>
      </c>
      <c r="G290" s="155"/>
      <c r="H290" s="156" t="str">
        <f t="shared" si="44"/>
        <v/>
      </c>
      <c r="I290" s="29" t="str">
        <f t="shared" si="38"/>
        <v/>
      </c>
      <c r="J290" s="5">
        <f t="shared" si="39"/>
        <v>0</v>
      </c>
      <c r="K290" s="20">
        <f t="shared" ca="1" si="40"/>
        <v>0</v>
      </c>
      <c r="L290" s="5">
        <f t="shared" ca="1" si="41"/>
        <v>0</v>
      </c>
      <c r="M290" s="64">
        <f t="shared" si="45"/>
        <v>0</v>
      </c>
      <c r="N290" s="61">
        <f t="shared" ca="1" si="46"/>
        <v>0</v>
      </c>
      <c r="O290" s="5">
        <f t="shared" ca="1" si="47"/>
        <v>0</v>
      </c>
      <c r="P290" s="446" t="e">
        <f t="shared" si="42"/>
        <v>#VALUE!</v>
      </c>
      <c r="Q290" s="446" t="e">
        <f>IF(OR($B290="",MIN(Q$38,$D$19)&lt;MAX($P$34*($B290+IF($R$17="Distrato",$I$38-1,0)),IF(AND($L$37=0,$P$34=0),"",$L$37-1),IF($R$17="Distrato",$E290,0))),0,YEARFRAC(MAX($P$34*($B290+IF($R$17="Distrato",$I$38-1,0)),IF(AND($L$37=0,$P$34=0),"",$L$37-1),IF($R$17="Distrato",$E290,0)),MIN(Q$38,$D$19),$P$20))-SUM($P290:P290)</f>
        <v>#VALUE!</v>
      </c>
      <c r="R290" s="446" t="e">
        <f>IF(OR($B290="",MIN(R$38,$D$19)&lt;MAX($P$34*($B290+IF($R$17="Distrato",$I$38-1,0)),IF(AND($L$37=0,$P$34=0),"",$L$37-1),IF($R$17="Distrato",$E290,0))),0,YEARFRAC(MAX($P$34*($B290+IF($R$17="Distrato",$I$38-1,0)),IF(AND($L$37=0,$P$34=0),"",$L$37-1),IF($R$17="Distrato",$E290,0)),MIN(R$38,$D$19),$P$20))-SUM($P290:Q290)</f>
        <v>#VALUE!</v>
      </c>
      <c r="S290" s="446" t="e">
        <f>IF(OR($B290="",MIN(S$38,$D$19)&lt;MAX($P$34*($B290+IF($R$17="Distrato",$I$38-1,0)),IF(AND($L$37=0,$P$34=0),"",$L$37-1),IF($R$17="Distrato",$E290,0))),0,YEARFRAC(MAX($P$34*($B290+IF($R$17="Distrato",$I$38-1,0)),IF(AND($L$37=0,$P$34=0),"",$L$37-1),IF($R$17="Distrato",$E290,0)),MIN(S$38,$D$19),$P$20))-SUM($P290:R290)</f>
        <v>#VALUE!</v>
      </c>
      <c r="T290" s="446" t="e">
        <f>IF(OR($B290="",MIN(T$38,$D$19)&lt;MAX($P$34*($B290+IF($R$17="Distrato",$I$38-1,0)),IF(AND($L$37=0,$P$34=0),"",$L$37-1),IF($R$17="Distrato",$E290,0))),0,YEARFRAC(MAX($P$34*($B290+IF($R$17="Distrato",$I$38-1,0)),IF(AND($L$37=0,$P$34=0),"",$L$37-1),IF($R$17="Distrato",$E290,0)),MIN(T$38,$D$19),$P$20))-SUM($P290:S290)</f>
        <v>#VALUE!</v>
      </c>
      <c r="U290" s="446" t="e">
        <f>IF(OR($B290="",MIN(U$38,$D$19)&lt;MAX($P$34*($B290+IF($R$17="Distrato",$I$38-1,0)),IF(AND($L$37=0,$P$34=0),"",$L$37-1),IF($R$17="Distrato",$E290,0))),0,YEARFRAC(MAX($P$34*($B290+IF($R$17="Distrato",$I$38-1,0)),IF(AND($L$37=0,$P$34=0),"",$L$37-1),IF($R$17="Distrato",$E290,0)),MIN(U$38,$D$19),$P$20))-SUM($P290:T290)</f>
        <v>#VALUE!</v>
      </c>
      <c r="V290" s="446" t="e">
        <f>IF(OR($B290="",MIN(V$38,$D$19)&lt;MAX($P$34*($B290+IF($R$17="Distrato",$I$38-1,0)),IF(AND($L$37=0,$P$34=0),"",$L$37-1),IF($R$17="Distrato",$E290,0))),0,YEARFRAC(MAX($P$34*($B290+IF($R$17="Distrato",$I$38-1,0)),IF(AND($L$37=0,$P$34=0),"",$L$37-1),IF($R$17="Distrato",$E290,0)),MIN(V$38,$D$19),$P$20))-SUM($P290:U290)</f>
        <v>#VALUE!</v>
      </c>
      <c r="W290" s="446" t="e">
        <f>IF(OR($B290="",MIN(W$38,$D$19)&lt;MAX($P$34*($B290+IF($R$17="Distrato",$I$38-1,0)),IF(AND($L$37=0,$P$34=0),"",$L$37-1),IF($R$17="Distrato",$E290,0))),0,YEARFRAC(MAX($P$34*($B290+IF($R$17="Distrato",$I$38-1,0)),IF(AND($L$37=0,$P$34=0),"",$L$37-1),IF($R$17="Distrato",$E290,0)),MIN(W$38,$D$19),$P$20))-SUM($P290:V290)</f>
        <v>#VALUE!</v>
      </c>
      <c r="X290" s="446" t="e">
        <f>IF(OR($B290="",MIN(X$38,$D$19)&lt;MAX($P$34*($B290+IF($R$17="Distrato",$I$38-1,0)),IF(AND($L$37=0,$P$34=0),"",$L$37-1),IF($R$17="Distrato",$E290,0))),0,YEARFRAC(MAX($P$34*($B290+IF($R$17="Distrato",$I$38-1,0)),IF(AND($L$37=0,$P$34=0),"",$L$37-1),IF($R$17="Distrato",$E290,0)),MIN(X$38,$D$19),$P$20))-SUM($P290:W290)</f>
        <v>#VALUE!</v>
      </c>
      <c r="Y290" s="446" t="e">
        <f>IF(OR($B290="",MIN(Y$38,$D$19)&lt;MAX($P$34*($B290+IF($R$17="Distrato",$I$38-1,0)),IF(AND($L$37=0,$P$34=0),"",$L$37-1),IF($R$17="Distrato",$E290,0))),0,YEARFRAC(MAX($P$34*($B290+IF($R$17="Distrato",$I$38-1,0)),IF(AND($L$37=0,$P$34=0),"",$L$37-1),IF($R$17="Distrato",$E290,0)),MIN(Y$38,$D$19),$P$20))-SUM($P290:X290)</f>
        <v>#VALUE!</v>
      </c>
      <c r="Z290" s="446" t="e">
        <f>IF(OR($B290="",MIN(Z$38,$D$19)&lt;MAX($P$34*($B290+IF($R$17="Distrato",$I$38-1,0)),IF(AND($L$37=0,$P$34=0),"",$L$37-1),IF($R$17="Distrato",$E290,0))),0,YEARFRAC(MAX($P$34*($B290+IF($R$17="Distrato",$I$38-1,0)),IF(AND($L$37=0,$P$34=0),"",$L$37-1),IF($R$17="Distrato",$E290,0)),MIN(Z$38,$D$19),$P$20))-SUM($P290:Y290)</f>
        <v>#VALUE!</v>
      </c>
      <c r="AA290" s="446" t="e">
        <f>IF(OR($B290="",MIN(AA$38,$D$19)&lt;MAX($P$34*($B290+IF($R$17="Distrato",$I$38-1,0)),IF(AND($L$37=0,$P$34=0),"",$L$37-1),IF($R$17="Distrato",$E290,0))),0,YEARFRAC(MAX($P$34*($B290+IF($R$17="Distrato",$I$38-1,0)),IF(AND($L$37=0,$P$34=0),"",$L$37-1),IF($R$17="Distrato",$E290,0)),MIN(AA$38,$D$19),$P$20))-SUM($P290:Z290)</f>
        <v>#VALUE!</v>
      </c>
      <c r="AB290" s="446" t="e">
        <f>IF(OR($B290="",MIN(AB$38,$D$19)&lt;MAX($P$34*($B290+IF($R$17="Distrato",$I$38-1,0)),IF(AND($L$37=0,$P$34=0),"",$L$37-1),IF($R$17="Distrato",$E290,0))),0,YEARFRAC(MAX($P$34*($B290+IF($R$17="Distrato",$I$38-1,0)),IF(AND($L$37=0,$P$34=0),"",$L$37-1),IF($R$17="Distrato",$E290,0)),MIN(AB$38,$D$19),$P$20))-SUM($P290:AA290)</f>
        <v>#VALUE!</v>
      </c>
      <c r="AC290" s="446" t="e">
        <f>IF(OR($B290="",MIN(AC$38,$D$19)&lt;MAX($P$34*($B290+IF($R$17="Distrato",$I$38-1,0)),IF(AND($L$37=0,$P$34=0),"",$L$37-1),IF($R$17="Distrato",$E290,0))),0,YEARFRAC(MAX($P$34*($B290+IF($R$17="Distrato",$I$38-1,0)),IF(AND($L$37=0,$P$34=0),"",$L$37-1),IF($R$17="Distrato",$E290,0)),MIN(AC$38,$D$19),$P$20))-SUM($P290:AB290)</f>
        <v>#VALUE!</v>
      </c>
      <c r="AD290" s="446" t="e">
        <f>IF(OR($B290="",MIN(AD$38,$D$19)&lt;MAX($P$34*($B290+IF($R$17="Distrato",$I$38-1,0)),IF(AND($L$37=0,$P$34=0),"",$L$37-1),IF($R$17="Distrato",$E290,0))),0,YEARFRAC(MAX($P$34*($B290+IF($R$17="Distrato",$I$38-1,0)),IF(AND($L$37=0,$P$34=0),"",$L$37-1),IF($R$17="Distrato",$E290,0)),MIN(AD$38,$D$19),$P$20))-SUM($P290:AC290)</f>
        <v>#VALUE!</v>
      </c>
      <c r="AE290" s="446" t="e">
        <f>IF(OR($B290="",MIN(AE$38,$D$19)&lt;MAX($P$34*($B290+IF($R$17="Distrato",$I$38-1,0)),IF(AND($L$37=0,$P$34=0),"",$L$37-1),IF($R$17="Distrato",$E290,0))),0,YEARFRAC(MAX($P$34*($B290+IF($R$17="Distrato",$I$38-1,0)),IF(AND($L$37=0,$P$34=0),"",$L$37-1),IF($R$17="Distrato",$E290,0)),MIN(AE$38,$D$19),$P$20))-SUM($P290:AD290)</f>
        <v>#VALUE!</v>
      </c>
      <c r="AF290" s="446" t="e">
        <f>IF(OR($B290="",MIN(AF$38,$D$19)&lt;MAX($P$34*($B290+IF($R$17="Distrato",$I$38-1,0)),IF(AND($L$37=0,$P$34=0),"",$L$37-1),IF($R$17="Distrato",$E290,0))),0,YEARFRAC(MAX($P$34*($B290+IF($R$17="Distrato",$I$38-1,0)),IF(AND($L$37=0,$P$34=0),"",$L$37-1),IF($R$17="Distrato",$E290,0)),MIN(AF$38,$D$19),$P$20))-SUM($P290:AE290)</f>
        <v>#VALUE!</v>
      </c>
      <c r="AG290" s="446" t="e">
        <f>IF(OR($B290="",MIN(AG$38,$D$19)&lt;MAX($P$34*($B290+IF($R$17="Distrato",$I$38-1,0)),IF(AND($L$37=0,$P$34=0),"",$L$37-1),IF($R$17="Distrato",$E290,0))),0,YEARFRAC(MAX($P$34*($B290+IF($R$17="Distrato",$I$38-1,0)),IF(AND($L$37=0,$P$34=0),"",$L$37-1),IF($R$17="Distrato",$E290,0)),MIN(AG$38,$D$19),$P$20))-SUM($P290:AF290)</f>
        <v>#VALUE!</v>
      </c>
      <c r="AH290" s="446" t="e">
        <f>IF(OR($B290="",MIN(AH$38,$D$19)&lt;MAX($P$34*($B290+IF($R$17="Distrato",$I$38-1,0)),IF(AND($L$37=0,$P$34=0),"",$L$37-1),IF($R$17="Distrato",$E290,0))),0,YEARFRAC(MAX($P$34*($B290+IF($R$17="Distrato",$I$38-1,0)),IF(AND($L$37=0,$P$34=0),"",$L$37-1),IF($R$17="Distrato",$E290,0)),MIN(AH$38,$D$19),$P$20))-SUM($P290:AG290)</f>
        <v>#VALUE!</v>
      </c>
      <c r="AI290" s="446" t="e">
        <f>IF(OR($B290="",MIN(AI$38,$D$19)&lt;MAX($P$34*($B290+IF($R$17="Distrato",$I$38-1,0)),IF(AND($L$37=0,$P$34=0),"",$L$37-1),IF($R$17="Distrato",$E290,0))),0,YEARFRAC(MAX($P$34*($B290+IF($R$17="Distrato",$I$38-1,0)),IF(AND($L$37=0,$P$34=0),"",$L$37-1),IF($R$17="Distrato",$E290,0)),MIN(AI$38,$D$19),$P$20))-SUM($P290:AH290)</f>
        <v>#VALUE!</v>
      </c>
      <c r="AJ290" s="446" t="e">
        <f>IF(OR($B290="",MIN(AJ$38,$D$19)&lt;MAX($P$34*($B290+IF($R$17="Distrato",$I$38-1,0)),IF(AND($L$37=0,$P$34=0),"",$L$37-1),IF($R$17="Distrato",$E290,0))),0,YEARFRAC(MAX($P$34*($B290+IF($R$17="Distrato",$I$38-1,0)),IF(AND($L$37=0,$P$34=0),"",$L$37-1),IF($R$17="Distrato",$E290,0)),MIN(AJ$38,$D$19),$P$20))-SUM($P290:AI290)</f>
        <v>#VALUE!</v>
      </c>
      <c r="AK290" s="446" t="e">
        <f>IF(OR($B290="",MIN(AK$38,$D$19)&lt;MAX($P$34*($B290+IF($R$17="Distrato",$I$38-1,0)),IF(AND($L$37=0,$P$34=0),"",$L$37-1),IF($R$17="Distrato",$E290,0))),0,YEARFRAC(MAX($P$34*($B290+IF($R$17="Distrato",$I$38-1,0)),IF(AND($L$37=0,$P$34=0),"",$L$37-1),IF($R$17="Distrato",$E290,0)),MIN(AK$38,$D$19),$P$20))-SUM($P290:AJ290)</f>
        <v>#VALUE!</v>
      </c>
      <c r="AL290" s="446" t="e">
        <f>IF(OR($B290="",MIN(AL$38,$D$19)&lt;MAX($P$34*($B290+IF($R$17="Distrato",$I$38-1,0)),IF(AND($L$37=0,$P$34=0),"",$L$37-1),IF($R$17="Distrato",$E290,0))),0,YEARFRAC(MAX($P$34*($B290+IF($R$17="Distrato",$I$38-1,0)),IF(AND($L$37=0,$P$34=0),"",$L$37-1),IF($R$17="Distrato",$E290,0)),MIN(AL$38,$D$19),$P$20))-SUM($P290:AK290)</f>
        <v>#VALUE!</v>
      </c>
      <c r="AM290" s="446" t="e">
        <f>IF(OR($B290="",MIN(AM$38,$D$19)&lt;MAX($P$34*($B290+IF($R$17="Distrato",$I$38-1,0)),IF(AND($L$37=0,$P$34=0),"",$L$37-1),IF($R$17="Distrato",$E290,0))),0,YEARFRAC(MAX($P$34*($B290+IF($R$17="Distrato",$I$38-1,0)),IF(AND($L$37=0,$P$34=0),"",$L$37-1),IF($R$17="Distrato",$E290,0)),MIN(AM$38,$D$19),$P$20))-SUM($P290:AL290)</f>
        <v>#VALUE!</v>
      </c>
      <c r="AN290" s="446" t="e">
        <f>IF(OR($B290="",MIN(AN$38,$D$19)&lt;MAX($P$34*($B290+IF($R$17="Distrato",$I$38-1,0)),IF(AND($L$37=0,$P$34=0),"",$L$37-1),IF($R$17="Distrato",$E290,0))),0,YEARFRAC(MAX($P$34*($B290+IF($R$17="Distrato",$I$38-1,0)),IF(AND($L$37=0,$P$34=0),"",$L$37-1),IF($R$17="Distrato",$E290,0)),MIN(AN$38,$D$19),$P$20))-SUM($P290:AM290)</f>
        <v>#VALUE!</v>
      </c>
      <c r="AO290" s="446" t="e">
        <f>IF(OR($B290="",MIN(AO$38,$D$19)&lt;MAX($P$34*($B290+IF($R$17="Distrato",$I$38-1,0)),IF(AND($L$37=0,$P$34=0),"",$L$37-1),IF($R$17="Distrato",$E290,0))),0,YEARFRAC(MAX($P$34*($B290+IF($R$17="Distrato",$I$38-1,0)),IF(AND($L$37=0,$P$34=0),"",$L$37-1),IF($R$17="Distrato",$E290,0)),MIN(AO$38,$D$19),$P$20))-SUM($P290:AN290)</f>
        <v>#VALUE!</v>
      </c>
      <c r="AP290" s="446" t="e">
        <f>IF(OR($B290="",MIN(AP$38,$D$19)&lt;MAX($P$34*($B290+IF($R$17="Distrato",$I$38-1,0)),IF(AND($L$37=0,$P$34=0),"",$L$37-1),IF($R$17="Distrato",$E290,0))),0,YEARFRAC(MAX($P$34*($B290+IF($R$17="Distrato",$I$38-1,0)),IF(AND($L$37=0,$P$34=0),"",$L$37-1),IF($R$17="Distrato",$E290,0)),MIN(AP$38,$D$19),$P$20))-SUM($P290:AO290)</f>
        <v>#VALUE!</v>
      </c>
      <c r="AQ290" s="446" t="e">
        <f>IF(OR($B290="",MIN(AQ$38,$D$19)&lt;MAX($P$34*($B290+IF($R$17="Distrato",$I$38-1,0)),IF(AND($L$37=0,$P$34=0),"",$L$37-1),IF($R$17="Distrato",$E290,0))),0,YEARFRAC(MAX($P$34*($B290+IF($R$17="Distrato",$I$38-1,0)),IF(AND($L$37=0,$P$34=0),"",$L$37-1),IF($R$17="Distrato",$E290,0)),MIN(AQ$38,$D$19),$P$20))-SUM($P290:AP290)</f>
        <v>#VALUE!</v>
      </c>
      <c r="AR290" s="446" t="e">
        <f>IF(OR($B290="",MIN(AR$38,$D$19)&lt;MAX($P$34*($B290+IF($R$17="Distrato",$I$38-1,0)),IF(AND($L$37=0,$P$34=0),"",$L$37-1),IF($R$17="Distrato",$E290,0))),0,YEARFRAC(MAX($P$34*($B290+IF($R$17="Distrato",$I$38-1,0)),IF(AND($L$37=0,$P$34=0),"",$L$37-1),IF($R$17="Distrato",$E290,0)),MIN(AR$38,$D$19),$P$20))-SUM($P290:AQ290)</f>
        <v>#VALUE!</v>
      </c>
      <c r="AS290" s="446" t="e">
        <f>IF(OR($B290="",MIN(AS$38,$D$19)&lt;MAX($P$34*($B290+IF($R$17="Distrato",$I$38-1,0)),IF(AND($L$37=0,$P$34=0),"",$L$37-1),IF($R$17="Distrato",$E290,0))),0,YEARFRAC(MAX($P$34*($B290+IF($R$17="Distrato",$I$38-1,0)),IF(AND($L$37=0,$P$34=0),"",$L$37-1),IF($R$17="Distrato",$E290,0)),MIN(AS$38,$D$19),$P$20))-SUM($P290:AR290)</f>
        <v>#VALUE!</v>
      </c>
      <c r="AT290" s="446" t="e">
        <f>IF(OR($B290="",MIN(AT$38,$D$19)&lt;MAX($P$34*($B290+IF($R$17="Distrato",$I$38-1,0)),IF(AND($L$37=0,$P$34=0),"",$L$37-1),IF($R$17="Distrato",$E290,0))),0,YEARFRAC(MAX($P$34*($B290+IF($R$17="Distrato",$I$38-1,0)),IF(AND($L$37=0,$P$34=0),"",$L$37-1),IF($R$17="Distrato",$E290,0)),MIN(AT$38,$D$19),$P$20))-SUM($P290:AS290)</f>
        <v>#VALUE!</v>
      </c>
      <c r="AU290" s="446" t="e">
        <f>IF(OR($B290="",MIN(AU$38,$D$19)&lt;MAX($P$34*($B290+IF($R$17="Distrato",$I$38-1,0)),IF(AND($L$37=0,$P$34=0),"",$L$37-1),IF($R$17="Distrato",$E290,0))),0,YEARFRAC(MAX($P$34*($B290+IF($R$17="Distrato",$I$38-1,0)),IF(AND($L$37=0,$P$34=0),"",$L$37-1),IF($R$17="Distrato",$E290,0)),MIN(AU$38,$D$19),$P$20))-SUM($P290:AT290)</f>
        <v>#VALUE!</v>
      </c>
      <c r="AV290" s="446" t="e">
        <f>IF(OR($B290="",MIN(AV$38,$D$19)&lt;MAX($P$34*($B290+IF($R$17="Distrato",$I$38-1,0)),IF(AND($L$37=0,$P$34=0),"",$L$37-1),IF($R$17="Distrato",$E290,0))),0,YEARFRAC(MAX($P$34*($B290+IF($R$17="Distrato",$I$38-1,0)),IF(AND($L$37=0,$P$34=0),"",$L$37-1),IF($R$17="Distrato",$E290,0)),MIN(AV$38,$D$19),$P$20))-SUM($P290:AU290)</f>
        <v>#VALUE!</v>
      </c>
      <c r="AW290" s="446" t="e">
        <f>IF(OR($B290="",MIN(AW$38,$D$19)&lt;MAX($P$34*($B290+IF($R$17="Distrato",$I$38-1,0)),IF(AND($L$37=0,$P$34=0),"",$L$37-1),IF($R$17="Distrato",$E290,0))),0,YEARFRAC(MAX($P$34*($B290+IF($R$17="Distrato",$I$38-1,0)),IF(AND($L$37=0,$P$34=0),"",$L$37-1),IF($R$17="Distrato",$E290,0)),MIN(AW$38,$D$19),$P$20))-SUM($P290:AV290)</f>
        <v>#VALUE!</v>
      </c>
      <c r="AX290" s="446" t="e">
        <f>IF(OR($B290="",MIN(AX$38,$D$19)&lt;MAX($P$34*($B290+IF($R$17="Distrato",$I$38-1,0)),IF(AND($L$37=0,$P$34=0),"",$L$37-1),IF($R$17="Distrato",$E290,0))),0,YEARFRAC(MAX($P$34*($B290+IF($R$17="Distrato",$I$38-1,0)),IF(AND($L$37=0,$P$34=0),"",$L$37-1),IF($R$17="Distrato",$E290,0)),MIN(AX$38,$D$19),$P$20))-SUM($P290:AW290)</f>
        <v>#VALUE!</v>
      </c>
      <c r="AY290" s="446" t="e">
        <f>IF(OR($B290="",MIN(AY$38,$D$19)&lt;MAX($P$34*($B290+IF($R$17="Distrato",$I$38-1,0)),IF(AND($L$37=0,$P$34=0),"",$L$37-1),IF($R$17="Distrato",$E290,0))),0,YEARFRAC(MAX($P$34*($B290+IF($R$17="Distrato",$I$38-1,0)),IF(AND($L$37=0,$P$34=0),"",$L$37-1),IF($R$17="Distrato",$E290,0)),MIN(AY$38,$D$19),$P$20))-SUM($P290:AX290)</f>
        <v>#VALUE!</v>
      </c>
      <c r="AZ290" s="446" t="e">
        <f>IF(OR($B290="",MIN(AZ$38,$D$19)&lt;MAX($P$34*($B290+IF($R$17="Distrato",$I$38-1,0)),IF(AND($L$37=0,$P$34=0),"",$L$37-1),IF($R$17="Distrato",$E290,0))),0,YEARFRAC(MAX($P$34*($B290+IF($R$17="Distrato",$I$38-1,0)),IF(AND($L$37=0,$P$34=0),"",$L$37-1),IF($R$17="Distrato",$E290,0)),MIN(AZ$38,$D$19),$P$20))-SUM($P290:AY290)</f>
        <v>#VALUE!</v>
      </c>
      <c r="BA290" s="446" t="e">
        <f>IF(OR($B290="",MIN(BA$38,$D$19)&lt;MAX($P$34*($B290+IF($R$17="Distrato",$I$38-1,0)),IF(AND($L$37=0,$P$34=0),"",$L$37-1),IF($R$17="Distrato",$E290,0))),0,YEARFRAC(MAX($P$34*($B290+IF($R$17="Distrato",$I$38-1,0)),IF(AND($L$37=0,$P$34=0),"",$L$37-1),IF($R$17="Distrato",$E290,0)),MIN(BA$38,$D$19),$P$20))-SUM($P290:AZ290)</f>
        <v>#VALUE!</v>
      </c>
      <c r="BB290" s="447"/>
      <c r="BF290" s="446">
        <f t="shared" si="43"/>
        <v>0</v>
      </c>
      <c r="BG290" s="446">
        <f>IF($E290=0,0,IF(MIN(BG$38,$E290)&lt;MAX($P$34*($B290+$I$38-1),IF(AND($L$37=0,$P$34=0),"",$L$37-1)),0,YEARFRAC(MAX($P$34*($B290+$I$38-1),IF(AND($L$37=0,$P$34=0),"",$L$37-1)),MIN(BG$38,$E290),$P$20))-SUM($BF290:BF290))</f>
        <v>0</v>
      </c>
      <c r="BH290" s="446">
        <f>IF($E290=0,0,IF(MIN(BH$38,$E290)&lt;MAX($P$34*($B290+$I$38-1),IF(AND($L$37=0,$P$34=0),"",$L$37-1)),0,YEARFRAC(MAX($P$34*($B290+$I$38-1),IF(AND($L$37=0,$P$34=0),"",$L$37-1)),MIN(BH$38,$E290),$P$20))-SUM($BF290:BG290))</f>
        <v>0</v>
      </c>
      <c r="BI290" s="446">
        <f>IF($E290=0,0,IF(MIN(BI$38,$E290)&lt;MAX($P$34*($B290+$I$38-1),IF(AND($L$37=0,$P$34=0),"",$L$37-1)),0,YEARFRAC(MAX($P$34*($B290+$I$38-1),IF(AND($L$37=0,$P$34=0),"",$L$37-1)),MIN(BI$38,$E290),$P$20))-SUM($BF290:BH290))</f>
        <v>0</v>
      </c>
      <c r="BJ290" s="446">
        <f>IF($E290=0,0,IF(MIN(BJ$38,$E290)&lt;MAX($P$34*($B290+$I$38-1),IF(AND($L$37=0,$P$34=0),"",$L$37-1)),0,YEARFRAC(MAX($P$34*($B290+$I$38-1),IF(AND($L$37=0,$P$34=0),"",$L$37-1)),MIN(BJ$38,$E290),$P$20))-SUM($BF290:BI290))</f>
        <v>0</v>
      </c>
      <c r="BK290" s="446">
        <f>IF($E290=0,0,IF(MIN(BK$38,$E290)&lt;MAX($P$34*($B290+$I$38-1),IF(AND($L$37=0,$P$34=0),"",$L$37-1)),0,YEARFRAC(MAX($P$34*($B290+$I$38-1),IF(AND($L$37=0,$P$34=0),"",$L$37-1)),MIN(BK$38,$E290),$P$20))-SUM($BF290:BJ290))</f>
        <v>0</v>
      </c>
      <c r="BL290" s="446">
        <f>IF($E290=0,0,IF(MIN(BL$38,$E290)&lt;MAX($P$34*($B290+$I$38-1),IF(AND($L$37=0,$P$34=0),"",$L$37-1)),0,YEARFRAC(MAX($P$34*($B290+$I$38-1),IF(AND($L$37=0,$P$34=0),"",$L$37-1)),MIN(BL$38,$E290),$P$20))-SUM($BF290:BK290))</f>
        <v>0</v>
      </c>
      <c r="BM290" s="446">
        <f>IF($E290=0,0,IF(MIN(BM$38,$E290)&lt;MAX($P$34*($B290+$I$38-1),IF(AND($L$37=0,$P$34=0),"",$L$37-1)),0,YEARFRAC(MAX($P$34*($B290+$I$38-1),IF(AND($L$37=0,$P$34=0),"",$L$37-1)),MIN(BM$38,$E290),$P$20))-SUM($BF290:BL290))</f>
        <v>0</v>
      </c>
      <c r="BN290" s="446">
        <f>IF($E290=0,0,IF(MIN(BN$38,$E290)&lt;MAX($P$34*($B290+$I$38-1),IF(AND($L$37=0,$P$34=0),"",$L$37-1)),0,YEARFRAC(MAX($P$34*($B290+$I$38-1),IF(AND($L$37=0,$P$34=0),"",$L$37-1)),MIN(BN$38,$E290),$P$20))-SUM($BF290:BM290))</f>
        <v>0</v>
      </c>
      <c r="BO290" s="446">
        <f>IF($E290=0,0,IF(MIN(BO$38,$E290)&lt;MAX($P$34*($B290+$I$38-1),IF(AND($L$37=0,$P$34=0),"",$L$37-1)),0,YEARFRAC(MAX($P$34*($B290+$I$38-1),IF(AND($L$37=0,$P$34=0),"",$L$37-1)),MIN(BO$38,$E290),$P$20))-SUM($BF290:BN290))</f>
        <v>0</v>
      </c>
      <c r="BP290" s="446">
        <f>IF($E290=0,0,IF(MIN(BP$38,$E290)&lt;MAX($P$34*($B290+$I$38-1),IF(AND($L$37=0,$P$34=0),"",$L$37-1)),0,YEARFRAC(MAX($P$34*($B290+$I$38-1),IF(AND($L$37=0,$P$34=0),"",$L$37-1)),MIN(BP$38,$E290),$P$20))-SUM($BF290:BO290))</f>
        <v>0</v>
      </c>
      <c r="BQ290" s="446">
        <f>IF($E290=0,0,IF(MIN(BQ$38,$E290)&lt;MAX($P$34*($B290+$I$38-1),IF(AND($L$37=0,$P$34=0),"",$L$37-1)),0,YEARFRAC(MAX($P$34*($B290+$I$38-1),IF(AND($L$37=0,$P$34=0),"",$L$37-1)),MIN(BQ$38,$E290),$P$20))-SUM($BF290:BP290))</f>
        <v>0</v>
      </c>
      <c r="BR290" s="446">
        <f>IF($E290=0,0,IF(MIN(BR$38,$E290)&lt;MAX($P$34*($B290+$I$38-1),IF(AND($L$37=0,$P$34=0),"",$L$37-1)),0,YEARFRAC(MAX($P$34*($B290+$I$38-1),IF(AND($L$37=0,$P$34=0),"",$L$37-1)),MIN(BR$38,$E290),$P$20))-SUM($BF290:BQ290))</f>
        <v>0</v>
      </c>
      <c r="BS290" s="446">
        <f>IF($E290=0,0,IF(MIN(BS$38,$E290)&lt;MAX($P$34*($B290+$I$38-1),IF(AND($L$37=0,$P$34=0),"",$L$37-1)),0,YEARFRAC(MAX($P$34*($B290+$I$38-1),IF(AND($L$37=0,$P$34=0),"",$L$37-1)),MIN(BS$38,$E290),$P$20))-SUM($BF290:BR290))</f>
        <v>0</v>
      </c>
      <c r="BT290" s="446">
        <f>IF($E290=0,0,IF(MIN(BT$38,$E290)&lt;MAX($P$34*($B290+$I$38-1),IF(AND($L$37=0,$P$34=0),"",$L$37-1)),0,YEARFRAC(MAX($P$34*($B290+$I$38-1),IF(AND($L$37=0,$P$34=0),"",$L$37-1)),MIN(BT$38,$E290),$P$20))-SUM($BF290:BS290))</f>
        <v>0</v>
      </c>
      <c r="BU290" s="446">
        <f>IF($E290=0,0,IF(MIN(BU$38,$E290)&lt;MAX($P$34*($B290+$I$38-1),IF(AND($L$37=0,$P$34=0),"",$L$37-1)),0,YEARFRAC(MAX($P$34*($B290+$I$38-1),IF(AND($L$37=0,$P$34=0),"",$L$37-1)),MIN(BU$38,$E290),$P$20))-SUM($BF290:BT290))</f>
        <v>0</v>
      </c>
      <c r="BV290" s="446">
        <f>IF($E290=0,0,IF(MIN(BV$38,$E290)&lt;MAX($P$34*($B290+$I$38-1),IF(AND($L$37=0,$P$34=0),"",$L$37-1)),0,YEARFRAC(MAX($P$34*($B290+$I$38-1),IF(AND($L$37=0,$P$34=0),"",$L$37-1)),MIN(BV$38,$E290),$P$20))-SUM($BF290:BU290))</f>
        <v>0</v>
      </c>
      <c r="BW290" s="446">
        <f>IF($E290=0,0,IF(MIN(BW$38,$E290)&lt;MAX($P$34*($B290+$I$38-1),IF(AND($L$37=0,$P$34=0),"",$L$37-1)),0,YEARFRAC(MAX($P$34*($B290+$I$38-1),IF(AND($L$37=0,$P$34=0),"",$L$37-1)),MIN(BW$38,$E290),$P$20))-SUM($BF290:BV290))</f>
        <v>0</v>
      </c>
      <c r="BX290" s="446">
        <f>IF($E290=0,0,IF(MIN(BX$38,$E290)&lt;MAX($P$34*($B290+$I$38-1),IF(AND($L$37=0,$P$34=0),"",$L$37-1)),0,YEARFRAC(MAX($P$34*($B290+$I$38-1),IF(AND($L$37=0,$P$34=0),"",$L$37-1)),MIN(BX$38,$E290),$P$20))-SUM($BF290:BW290))</f>
        <v>0</v>
      </c>
      <c r="BY290" s="446">
        <f>IF($E290=0,0,IF(MIN(BY$38,$E290)&lt;MAX($P$34*($B290+$I$38-1),IF(AND($L$37=0,$P$34=0),"",$L$37-1)),0,YEARFRAC(MAX($P$34*($B290+$I$38-1),IF(AND($L$37=0,$P$34=0),"",$L$37-1)),MIN(BY$38,$E290),$P$20))-SUM($BF290:BX290))</f>
        <v>0</v>
      </c>
      <c r="BZ290" s="446">
        <f>IF($E290=0,0,IF(MIN(BZ$38,$E290)&lt;MAX($P$34*($B290+$I$38-1),IF(AND($L$37=0,$P$34=0),"",$L$37-1)),0,YEARFRAC(MAX($P$34*($B290+$I$38-1),IF(AND($L$37=0,$P$34=0),"",$L$37-1)),MIN(BZ$38,$E290),$P$20))-SUM($BF290:BY290))</f>
        <v>0</v>
      </c>
      <c r="CA290" s="446">
        <f>IF($E290=0,0,IF(MIN(CA$38,$E290)&lt;MAX($P$34*($B290+$I$38-1),IF(AND($L$37=0,$P$34=0),"",$L$37-1)),0,YEARFRAC(MAX($P$34*($B290+$I$38-1),IF(AND($L$37=0,$P$34=0),"",$L$37-1)),MIN(CA$38,$E290),$P$20))-SUM($BF290:BZ290))</f>
        <v>0</v>
      </c>
      <c r="CB290" s="446">
        <f>IF($E290=0,0,IF(MIN(CB$38,$E290)&lt;MAX($P$34*($B290+$I$38-1),IF(AND($L$37=0,$P$34=0),"",$L$37-1)),0,YEARFRAC(MAX($P$34*($B290+$I$38-1),IF(AND($L$37=0,$P$34=0),"",$L$37-1)),MIN(CB$38,$E290),$P$20))-SUM($BF290:CA290))</f>
        <v>0</v>
      </c>
      <c r="CC290" s="446">
        <f>IF($E290=0,0,IF(MIN(CC$38,$E290)&lt;MAX($P$34*($B290+$I$38-1),IF(AND($L$37=0,$P$34=0),"",$L$37-1)),0,YEARFRAC(MAX($P$34*($B290+$I$38-1),IF(AND($L$37=0,$P$34=0),"",$L$37-1)),MIN(CC$38,$E290),$P$20))-SUM($BF290:CB290))</f>
        <v>0</v>
      </c>
      <c r="CD290" s="446">
        <f>IF($E290=0,0,IF(MIN(CD$38,$E290)&lt;MAX($P$34*($B290+$I$38-1),IF(AND($L$37=0,$P$34=0),"",$L$37-1)),0,YEARFRAC(MAX($P$34*($B290+$I$38-1),IF(AND($L$37=0,$P$34=0),"",$L$37-1)),MIN(CD$38,$E290),$P$20))-SUM($BF290:CC290))</f>
        <v>0</v>
      </c>
      <c r="CE290" s="446">
        <f>IF($E290=0,0,IF(MIN(CE$38,$E290)&lt;MAX($P$34*($B290+$I$38-1),IF(AND($L$37=0,$P$34=0),"",$L$37-1)),0,YEARFRAC(MAX($P$34*($B290+$I$38-1),IF(AND($L$37=0,$P$34=0),"",$L$37-1)),MIN(CE$38,$E290),$P$20))-SUM($BF290:CD290))</f>
        <v>0</v>
      </c>
      <c r="CF290" s="446">
        <f>IF($E290=0,0,IF(MIN(CF$38,$E290)&lt;MAX($P$34*($B290+$I$38-1),IF(AND($L$37=0,$P$34=0),"",$L$37-1)),0,YEARFRAC(MAX($P$34*($B290+$I$38-1),IF(AND($L$37=0,$P$34=0),"",$L$37-1)),MIN(CF$38,$E290),$P$20))-SUM($BF290:CE290))</f>
        <v>0</v>
      </c>
      <c r="CG290" s="446">
        <f>IF($E290=0,0,IF(MIN(CG$38,$E290)&lt;MAX($P$34*($B290+$I$38-1),IF(AND($L$37=0,$P$34=0),"",$L$37-1)),0,YEARFRAC(MAX($P$34*($B290+$I$38-1),IF(AND($L$37=0,$P$34=0),"",$L$37-1)),MIN(CG$38,$E290),$P$20))-SUM($BF290:CF290))</f>
        <v>0</v>
      </c>
      <c r="CH290" s="446">
        <f>IF($E290=0,0,IF(MIN(CH$38,$E290)&lt;MAX($P$34*($B290+$I$38-1),IF(AND($L$37=0,$P$34=0),"",$L$37-1)),0,YEARFRAC(MAX($P$34*($B290+$I$38-1),IF(AND($L$37=0,$P$34=0),"",$L$37-1)),MIN(CH$38,$E290),$P$20))-SUM($BF290:CG290))</f>
        <v>0</v>
      </c>
      <c r="CI290" s="446">
        <f>IF($E290=0,0,IF(MIN(CI$38,$E290)&lt;MAX($P$34*($B290+$I$38-1),IF(AND($L$37=0,$P$34=0),"",$L$37-1)),0,YEARFRAC(MAX($P$34*($B290+$I$38-1),IF(AND($L$37=0,$P$34=0),"",$L$37-1)),MIN(CI$38,$E290),$P$20))-SUM($BF290:CH290))</f>
        <v>0</v>
      </c>
      <c r="CJ290" s="446">
        <f>IF($E290=0,0,IF(MIN(CJ$38,$E290)&lt;MAX($P$34*($B290+$I$38-1),IF(AND($L$37=0,$P$34=0),"",$L$37-1)),0,YEARFRAC(MAX($P$34*($B290+$I$38-1),IF(AND($L$37=0,$P$34=0),"",$L$37-1)),MIN(CJ$38,$E290),$P$20))-SUM($BF290:CI290))</f>
        <v>0</v>
      </c>
      <c r="CK290" s="446">
        <f>IF($E290=0,0,IF(MIN(CK$38,$E290)&lt;MAX($P$34*($B290+$I$38-1),IF(AND($L$37=0,$P$34=0),"",$L$37-1)),0,YEARFRAC(MAX($P$34*($B290+$I$38-1),IF(AND($L$37=0,$P$34=0),"",$L$37-1)),MIN(CK$38,$E290),$P$20))-SUM($BF290:CJ290))</f>
        <v>0</v>
      </c>
      <c r="CL290" s="446">
        <f>IF($E290=0,0,IF(MIN(CL$38,$E290)&lt;MAX($P$34*($B290+$I$38-1),IF(AND($L$37=0,$P$34=0),"",$L$37-1)),0,YEARFRAC(MAX($P$34*($B290+$I$38-1),IF(AND($L$37=0,$P$34=0),"",$L$37-1)),MIN(CL$38,$E290),$P$20))-SUM($BF290:CK290))</f>
        <v>0</v>
      </c>
      <c r="CM290" s="446">
        <f>IF($E290=0,0,IF(MIN(CM$38,$E290)&lt;MAX($P$34*($B290+$I$38-1),IF(AND($L$37=0,$P$34=0),"",$L$37-1)),0,YEARFRAC(MAX($P$34*($B290+$I$38-1),IF(AND($L$37=0,$P$34=0),"",$L$37-1)),MIN(CM$38,$E290),$P$20))-SUM($BF290:CL290))</f>
        <v>0</v>
      </c>
      <c r="CN290" s="446">
        <f>IF($E290=0,0,IF(MIN(CN$38,$E290)&lt;MAX($P$34*($B290+$I$38-1),IF(AND($L$37=0,$P$34=0),"",$L$37-1)),0,YEARFRAC(MAX($P$34*($B290+$I$38-1),IF(AND($L$37=0,$P$34=0),"",$L$37-1)),MIN(CN$38,$E290),$P$20))-SUM($BF290:CM290))</f>
        <v>0</v>
      </c>
      <c r="CO290" s="446">
        <f>IF($E290=0,0,IF(MIN(CO$38,$E290)&lt;MAX($P$34*($B290+$I$38-1),IF(AND($L$37=0,$P$34=0),"",$L$37-1)),0,YEARFRAC(MAX($P$34*($B290+$I$38-1),IF(AND($L$37=0,$P$34=0),"",$L$37-1)),MIN(CO$38,$E290),$P$20))-SUM($BF290:CN290))</f>
        <v>0</v>
      </c>
      <c r="CP290" s="446">
        <f>IF($E290=0,0,IF(MIN(CP$38,$E290)&lt;MAX($P$34*($B290+$I$38-1),IF(AND($L$37=0,$P$34=0),"",$L$37-1)),0,YEARFRAC(MAX($P$34*($B290+$I$38-1),IF(AND($L$37=0,$P$34=0),"",$L$37-1)),MIN(CP$38,$E290),$P$20))-SUM($BF290:CO290))</f>
        <v>0</v>
      </c>
      <c r="CQ290" s="446">
        <f>IF($E290=0,0,IF(MIN(CQ$38,$E290)&lt;MAX($P$34*($B290+$I$38-1),IF(AND($L$37=0,$P$34=0),"",$L$37-1)),0,YEARFRAC(MAX($P$34*($B290+$I$38-1),IF(AND($L$37=0,$P$34=0),"",$L$37-1)),MIN(CQ$38,$E290),$P$20))-SUM($BF290:CP290))</f>
        <v>0</v>
      </c>
    </row>
    <row r="291" spans="1:95" s="446" customFormat="1" ht="11.25" hidden="1" customHeight="1" x14ac:dyDescent="0.2">
      <c r="A291" s="152"/>
      <c r="B291" s="153" t="str">
        <f t="shared" si="48"/>
        <v/>
      </c>
      <c r="C291" s="29" t="str">
        <f>IF(B291="","",IF($L$35="SELIC - TRIBUTOS",VLOOKUP(DATE(YEAR($D$19),MONTH($D$19)-1,1),ÍNDICES!$A:$DE,HLOOKUP($BL$25,ÍNDICES!$B$3:$T$4,2)+11)-VLOOKUP(B291,ÍNDICES!$A:$DE,HLOOKUP($BL$25,ÍNDICES!$B$3:$T$4,2)+11)+1%,IF(C$38=$W$26,$J$35,IF(ISERROR(IF(B291&gt;$D$19,1,VLOOKUP(DATE(YEAR(B291),MONTH(B291)+IF($C$35=$S$23,1,0),1),ÍNDICES!$A:$DE,$Z$35+1))),"",IF(B291&gt;$D$19,1,VLOOKUP(DATE(YEAR(B291),MONTH(B291)+IF($C$35=$S$23,1,0),1),ÍNDICES!$A:$DE,$Z$35+1))))))</f>
        <v/>
      </c>
      <c r="D291" s="154" t="str">
        <f>IF(ISERROR(IF(OR($D$38=$Y$27,$B291=""),"",VLOOKUP(B291,ÍNDICES!A:DE,AF$35+1))),"",IF(OR($D$38=$Y$27,$B291=""),"",VLOOKUP(B291,ÍNDICES!A:DE,AF$35+1)))</f>
        <v/>
      </c>
      <c r="E291" s="153"/>
      <c r="F291" s="29" t="str">
        <f>IF(E291="","",IF($L$35="SELIC - TRIBUTOS",VLOOKUP(DATE(YEAR($D$19),MONTH($D$19)-1,1),ÍNDICES!$A:$DE,HLOOKUP($BL$25,ÍNDICES!$B$3:$T$4,2)+11)-VLOOKUP(E291,ÍNDICES!$A:$DE,HLOOKUP($BL$25,ÍNDICES!$B$3:$T$4,2)+11)+1%,IF(F$38=$W$26,$J$35,IF(ISERROR(IF(E291&gt;$D$19,1,VLOOKUP(DATE(YEAR(E291),MONTH(E291)+IF($C$35=$S$23,1,0),1),ÍNDICES!$A:$DE,$Z$35+1))),"",IF(E291&gt;$D$19,1,VLOOKUP(DATE(YEAR(E291),MONTH(E291)+IF($C$35=$S$23,1,0),1),ÍNDICES!$A:$DE,$Z$35+1))))))</f>
        <v/>
      </c>
      <c r="G291" s="155"/>
      <c r="H291" s="156" t="str">
        <f t="shared" si="44"/>
        <v/>
      </c>
      <c r="I291" s="29" t="str">
        <f t="shared" si="38"/>
        <v/>
      </c>
      <c r="J291" s="5">
        <f t="shared" si="39"/>
        <v>0</v>
      </c>
      <c r="K291" s="20">
        <f t="shared" ca="1" si="40"/>
        <v>0</v>
      </c>
      <c r="L291" s="5">
        <f t="shared" ca="1" si="41"/>
        <v>0</v>
      </c>
      <c r="M291" s="64">
        <f t="shared" si="45"/>
        <v>0</v>
      </c>
      <c r="N291" s="61">
        <f t="shared" ca="1" si="46"/>
        <v>0</v>
      </c>
      <c r="O291" s="5">
        <f t="shared" ca="1" si="47"/>
        <v>0</v>
      </c>
      <c r="P291" s="446" t="e">
        <f t="shared" si="42"/>
        <v>#VALUE!</v>
      </c>
      <c r="Q291" s="446" t="e">
        <f>IF(OR($B291="",MIN(Q$38,$D$19)&lt;MAX($P$34*($B291+IF($R$17="Distrato",$I$38-1,0)),IF(AND($L$37=0,$P$34=0),"",$L$37-1),IF($R$17="Distrato",$E291,0))),0,YEARFRAC(MAX($P$34*($B291+IF($R$17="Distrato",$I$38-1,0)),IF(AND($L$37=0,$P$34=0),"",$L$37-1),IF($R$17="Distrato",$E291,0)),MIN(Q$38,$D$19),$P$20))-SUM($P291:P291)</f>
        <v>#VALUE!</v>
      </c>
      <c r="R291" s="446" t="e">
        <f>IF(OR($B291="",MIN(R$38,$D$19)&lt;MAX($P$34*($B291+IF($R$17="Distrato",$I$38-1,0)),IF(AND($L$37=0,$P$34=0),"",$L$37-1),IF($R$17="Distrato",$E291,0))),0,YEARFRAC(MAX($P$34*($B291+IF($R$17="Distrato",$I$38-1,0)),IF(AND($L$37=0,$P$34=0),"",$L$37-1),IF($R$17="Distrato",$E291,0)),MIN(R$38,$D$19),$P$20))-SUM($P291:Q291)</f>
        <v>#VALUE!</v>
      </c>
      <c r="S291" s="446" t="e">
        <f>IF(OR($B291="",MIN(S$38,$D$19)&lt;MAX($P$34*($B291+IF($R$17="Distrato",$I$38-1,0)),IF(AND($L$37=0,$P$34=0),"",$L$37-1),IF($R$17="Distrato",$E291,0))),0,YEARFRAC(MAX($P$34*($B291+IF($R$17="Distrato",$I$38-1,0)),IF(AND($L$37=0,$P$34=0),"",$L$37-1),IF($R$17="Distrato",$E291,0)),MIN(S$38,$D$19),$P$20))-SUM($P291:R291)</f>
        <v>#VALUE!</v>
      </c>
      <c r="T291" s="446" t="e">
        <f>IF(OR($B291="",MIN(T$38,$D$19)&lt;MAX($P$34*($B291+IF($R$17="Distrato",$I$38-1,0)),IF(AND($L$37=0,$P$34=0),"",$L$37-1),IF($R$17="Distrato",$E291,0))),0,YEARFRAC(MAX($P$34*($B291+IF($R$17="Distrato",$I$38-1,0)),IF(AND($L$37=0,$P$34=0),"",$L$37-1),IF($R$17="Distrato",$E291,0)),MIN(T$38,$D$19),$P$20))-SUM($P291:S291)</f>
        <v>#VALUE!</v>
      </c>
      <c r="U291" s="446" t="e">
        <f>IF(OR($B291="",MIN(U$38,$D$19)&lt;MAX($P$34*($B291+IF($R$17="Distrato",$I$38-1,0)),IF(AND($L$37=0,$P$34=0),"",$L$37-1),IF($R$17="Distrato",$E291,0))),0,YEARFRAC(MAX($P$34*($B291+IF($R$17="Distrato",$I$38-1,0)),IF(AND($L$37=0,$P$34=0),"",$L$37-1),IF($R$17="Distrato",$E291,0)),MIN(U$38,$D$19),$P$20))-SUM($P291:T291)</f>
        <v>#VALUE!</v>
      </c>
      <c r="V291" s="446" t="e">
        <f>IF(OR($B291="",MIN(V$38,$D$19)&lt;MAX($P$34*($B291+IF($R$17="Distrato",$I$38-1,0)),IF(AND($L$37=0,$P$34=0),"",$L$37-1),IF($R$17="Distrato",$E291,0))),0,YEARFRAC(MAX($P$34*($B291+IF($R$17="Distrato",$I$38-1,0)),IF(AND($L$37=0,$P$34=0),"",$L$37-1),IF($R$17="Distrato",$E291,0)),MIN(V$38,$D$19),$P$20))-SUM($P291:U291)</f>
        <v>#VALUE!</v>
      </c>
      <c r="W291" s="446" t="e">
        <f>IF(OR($B291="",MIN(W$38,$D$19)&lt;MAX($P$34*($B291+IF($R$17="Distrato",$I$38-1,0)),IF(AND($L$37=0,$P$34=0),"",$L$37-1),IF($R$17="Distrato",$E291,0))),0,YEARFRAC(MAX($P$34*($B291+IF($R$17="Distrato",$I$38-1,0)),IF(AND($L$37=0,$P$34=0),"",$L$37-1),IF($R$17="Distrato",$E291,0)),MIN(W$38,$D$19),$P$20))-SUM($P291:V291)</f>
        <v>#VALUE!</v>
      </c>
      <c r="X291" s="446" t="e">
        <f>IF(OR($B291="",MIN(X$38,$D$19)&lt;MAX($P$34*($B291+IF($R$17="Distrato",$I$38-1,0)),IF(AND($L$37=0,$P$34=0),"",$L$37-1),IF($R$17="Distrato",$E291,0))),0,YEARFRAC(MAX($P$34*($B291+IF($R$17="Distrato",$I$38-1,0)),IF(AND($L$37=0,$P$34=0),"",$L$37-1),IF($R$17="Distrato",$E291,0)),MIN(X$38,$D$19),$P$20))-SUM($P291:W291)</f>
        <v>#VALUE!</v>
      </c>
      <c r="Y291" s="446" t="e">
        <f>IF(OR($B291="",MIN(Y$38,$D$19)&lt;MAX($P$34*($B291+IF($R$17="Distrato",$I$38-1,0)),IF(AND($L$37=0,$P$34=0),"",$L$37-1),IF($R$17="Distrato",$E291,0))),0,YEARFRAC(MAX($P$34*($B291+IF($R$17="Distrato",$I$38-1,0)),IF(AND($L$37=0,$P$34=0),"",$L$37-1),IF($R$17="Distrato",$E291,0)),MIN(Y$38,$D$19),$P$20))-SUM($P291:X291)</f>
        <v>#VALUE!</v>
      </c>
      <c r="Z291" s="446" t="e">
        <f>IF(OR($B291="",MIN(Z$38,$D$19)&lt;MAX($P$34*($B291+IF($R$17="Distrato",$I$38-1,0)),IF(AND($L$37=0,$P$34=0),"",$L$37-1),IF($R$17="Distrato",$E291,0))),0,YEARFRAC(MAX($P$34*($B291+IF($R$17="Distrato",$I$38-1,0)),IF(AND($L$37=0,$P$34=0),"",$L$37-1),IF($R$17="Distrato",$E291,0)),MIN(Z$38,$D$19),$P$20))-SUM($P291:Y291)</f>
        <v>#VALUE!</v>
      </c>
      <c r="AA291" s="446" t="e">
        <f>IF(OR($B291="",MIN(AA$38,$D$19)&lt;MAX($P$34*($B291+IF($R$17="Distrato",$I$38-1,0)),IF(AND($L$37=0,$P$34=0),"",$L$37-1),IF($R$17="Distrato",$E291,0))),0,YEARFRAC(MAX($P$34*($B291+IF($R$17="Distrato",$I$38-1,0)),IF(AND($L$37=0,$P$34=0),"",$L$37-1),IF($R$17="Distrato",$E291,0)),MIN(AA$38,$D$19),$P$20))-SUM($P291:Z291)</f>
        <v>#VALUE!</v>
      </c>
      <c r="AB291" s="446" t="e">
        <f>IF(OR($B291="",MIN(AB$38,$D$19)&lt;MAX($P$34*($B291+IF($R$17="Distrato",$I$38-1,0)),IF(AND($L$37=0,$P$34=0),"",$L$37-1),IF($R$17="Distrato",$E291,0))),0,YEARFRAC(MAX($P$34*($B291+IF($R$17="Distrato",$I$38-1,0)),IF(AND($L$37=0,$P$34=0),"",$L$37-1),IF($R$17="Distrato",$E291,0)),MIN(AB$38,$D$19),$P$20))-SUM($P291:AA291)</f>
        <v>#VALUE!</v>
      </c>
      <c r="AC291" s="446" t="e">
        <f>IF(OR($B291="",MIN(AC$38,$D$19)&lt;MAX($P$34*($B291+IF($R$17="Distrato",$I$38-1,0)),IF(AND($L$37=0,$P$34=0),"",$L$37-1),IF($R$17="Distrato",$E291,0))),0,YEARFRAC(MAX($P$34*($B291+IF($R$17="Distrato",$I$38-1,0)),IF(AND($L$37=0,$P$34=0),"",$L$37-1),IF($R$17="Distrato",$E291,0)),MIN(AC$38,$D$19),$P$20))-SUM($P291:AB291)</f>
        <v>#VALUE!</v>
      </c>
      <c r="AD291" s="446" t="e">
        <f>IF(OR($B291="",MIN(AD$38,$D$19)&lt;MAX($P$34*($B291+IF($R$17="Distrato",$I$38-1,0)),IF(AND($L$37=0,$P$34=0),"",$L$37-1),IF($R$17="Distrato",$E291,0))),0,YEARFRAC(MAX($P$34*($B291+IF($R$17="Distrato",$I$38-1,0)),IF(AND($L$37=0,$P$34=0),"",$L$37-1),IF($R$17="Distrato",$E291,0)),MIN(AD$38,$D$19),$P$20))-SUM($P291:AC291)</f>
        <v>#VALUE!</v>
      </c>
      <c r="AE291" s="446" t="e">
        <f>IF(OR($B291="",MIN(AE$38,$D$19)&lt;MAX($P$34*($B291+IF($R$17="Distrato",$I$38-1,0)),IF(AND($L$37=0,$P$34=0),"",$L$37-1),IF($R$17="Distrato",$E291,0))),0,YEARFRAC(MAX($P$34*($B291+IF($R$17="Distrato",$I$38-1,0)),IF(AND($L$37=0,$P$34=0),"",$L$37-1),IF($R$17="Distrato",$E291,0)),MIN(AE$38,$D$19),$P$20))-SUM($P291:AD291)</f>
        <v>#VALUE!</v>
      </c>
      <c r="AF291" s="446" t="e">
        <f>IF(OR($B291="",MIN(AF$38,$D$19)&lt;MAX($P$34*($B291+IF($R$17="Distrato",$I$38-1,0)),IF(AND($L$37=0,$P$34=0),"",$L$37-1),IF($R$17="Distrato",$E291,0))),0,YEARFRAC(MAX($P$34*($B291+IF($R$17="Distrato",$I$38-1,0)),IF(AND($L$37=0,$P$34=0),"",$L$37-1),IF($R$17="Distrato",$E291,0)),MIN(AF$38,$D$19),$P$20))-SUM($P291:AE291)</f>
        <v>#VALUE!</v>
      </c>
      <c r="AG291" s="446" t="e">
        <f>IF(OR($B291="",MIN(AG$38,$D$19)&lt;MAX($P$34*($B291+IF($R$17="Distrato",$I$38-1,0)),IF(AND($L$37=0,$P$34=0),"",$L$37-1),IF($R$17="Distrato",$E291,0))),0,YEARFRAC(MAX($P$34*($B291+IF($R$17="Distrato",$I$38-1,0)),IF(AND($L$37=0,$P$34=0),"",$L$37-1),IF($R$17="Distrato",$E291,0)),MIN(AG$38,$D$19),$P$20))-SUM($P291:AF291)</f>
        <v>#VALUE!</v>
      </c>
      <c r="AH291" s="446" t="e">
        <f>IF(OR($B291="",MIN(AH$38,$D$19)&lt;MAX($P$34*($B291+IF($R$17="Distrato",$I$38-1,0)),IF(AND($L$37=0,$P$34=0),"",$L$37-1),IF($R$17="Distrato",$E291,0))),0,YEARFRAC(MAX($P$34*($B291+IF($R$17="Distrato",$I$38-1,0)),IF(AND($L$37=0,$P$34=0),"",$L$37-1),IF($R$17="Distrato",$E291,0)),MIN(AH$38,$D$19),$P$20))-SUM($P291:AG291)</f>
        <v>#VALUE!</v>
      </c>
      <c r="AI291" s="446" t="e">
        <f>IF(OR($B291="",MIN(AI$38,$D$19)&lt;MAX($P$34*($B291+IF($R$17="Distrato",$I$38-1,0)),IF(AND($L$37=0,$P$34=0),"",$L$37-1),IF($R$17="Distrato",$E291,0))),0,YEARFRAC(MAX($P$34*($B291+IF($R$17="Distrato",$I$38-1,0)),IF(AND($L$37=0,$P$34=0),"",$L$37-1),IF($R$17="Distrato",$E291,0)),MIN(AI$38,$D$19),$P$20))-SUM($P291:AH291)</f>
        <v>#VALUE!</v>
      </c>
      <c r="AJ291" s="446" t="e">
        <f>IF(OR($B291="",MIN(AJ$38,$D$19)&lt;MAX($P$34*($B291+IF($R$17="Distrato",$I$38-1,0)),IF(AND($L$37=0,$P$34=0),"",$L$37-1),IF($R$17="Distrato",$E291,0))),0,YEARFRAC(MAX($P$34*($B291+IF($R$17="Distrato",$I$38-1,0)),IF(AND($L$37=0,$P$34=0),"",$L$37-1),IF($R$17="Distrato",$E291,0)),MIN(AJ$38,$D$19),$P$20))-SUM($P291:AI291)</f>
        <v>#VALUE!</v>
      </c>
      <c r="AK291" s="446" t="e">
        <f>IF(OR($B291="",MIN(AK$38,$D$19)&lt;MAX($P$34*($B291+IF($R$17="Distrato",$I$38-1,0)),IF(AND($L$37=0,$P$34=0),"",$L$37-1),IF($R$17="Distrato",$E291,0))),0,YEARFRAC(MAX($P$34*($B291+IF($R$17="Distrato",$I$38-1,0)),IF(AND($L$37=0,$P$34=0),"",$L$37-1),IF($R$17="Distrato",$E291,0)),MIN(AK$38,$D$19),$P$20))-SUM($P291:AJ291)</f>
        <v>#VALUE!</v>
      </c>
      <c r="AL291" s="446" t="e">
        <f>IF(OR($B291="",MIN(AL$38,$D$19)&lt;MAX($P$34*($B291+IF($R$17="Distrato",$I$38-1,0)),IF(AND($L$37=0,$P$34=0),"",$L$37-1),IF($R$17="Distrato",$E291,0))),0,YEARFRAC(MAX($P$34*($B291+IF($R$17="Distrato",$I$38-1,0)),IF(AND($L$37=0,$P$34=0),"",$L$37-1),IF($R$17="Distrato",$E291,0)),MIN(AL$38,$D$19),$P$20))-SUM($P291:AK291)</f>
        <v>#VALUE!</v>
      </c>
      <c r="AM291" s="446" t="e">
        <f>IF(OR($B291="",MIN(AM$38,$D$19)&lt;MAX($P$34*($B291+IF($R$17="Distrato",$I$38-1,0)),IF(AND($L$37=0,$P$34=0),"",$L$37-1),IF($R$17="Distrato",$E291,0))),0,YEARFRAC(MAX($P$34*($B291+IF($R$17="Distrato",$I$38-1,0)),IF(AND($L$37=0,$P$34=0),"",$L$37-1),IF($R$17="Distrato",$E291,0)),MIN(AM$38,$D$19),$P$20))-SUM($P291:AL291)</f>
        <v>#VALUE!</v>
      </c>
      <c r="AN291" s="446" t="e">
        <f>IF(OR($B291="",MIN(AN$38,$D$19)&lt;MAX($P$34*($B291+IF($R$17="Distrato",$I$38-1,0)),IF(AND($L$37=0,$P$34=0),"",$L$37-1),IF($R$17="Distrato",$E291,0))),0,YEARFRAC(MAX($P$34*($B291+IF($R$17="Distrato",$I$38-1,0)),IF(AND($L$37=0,$P$34=0),"",$L$37-1),IF($R$17="Distrato",$E291,0)),MIN(AN$38,$D$19),$P$20))-SUM($P291:AM291)</f>
        <v>#VALUE!</v>
      </c>
      <c r="AO291" s="446" t="e">
        <f>IF(OR($B291="",MIN(AO$38,$D$19)&lt;MAX($P$34*($B291+IF($R$17="Distrato",$I$38-1,0)),IF(AND($L$37=0,$P$34=0),"",$L$37-1),IF($R$17="Distrato",$E291,0))),0,YEARFRAC(MAX($P$34*($B291+IF($R$17="Distrato",$I$38-1,0)),IF(AND($L$37=0,$P$34=0),"",$L$37-1),IF($R$17="Distrato",$E291,0)),MIN(AO$38,$D$19),$P$20))-SUM($P291:AN291)</f>
        <v>#VALUE!</v>
      </c>
      <c r="AP291" s="446" t="e">
        <f>IF(OR($B291="",MIN(AP$38,$D$19)&lt;MAX($P$34*($B291+IF($R$17="Distrato",$I$38-1,0)),IF(AND($L$37=0,$P$34=0),"",$L$37-1),IF($R$17="Distrato",$E291,0))),0,YEARFRAC(MAX($P$34*($B291+IF($R$17="Distrato",$I$38-1,0)),IF(AND($L$37=0,$P$34=0),"",$L$37-1),IF($R$17="Distrato",$E291,0)),MIN(AP$38,$D$19),$P$20))-SUM($P291:AO291)</f>
        <v>#VALUE!</v>
      </c>
      <c r="AQ291" s="446" t="e">
        <f>IF(OR($B291="",MIN(AQ$38,$D$19)&lt;MAX($P$34*($B291+IF($R$17="Distrato",$I$38-1,0)),IF(AND($L$37=0,$P$34=0),"",$L$37-1),IF($R$17="Distrato",$E291,0))),0,YEARFRAC(MAX($P$34*($B291+IF($R$17="Distrato",$I$38-1,0)),IF(AND($L$37=0,$P$34=0),"",$L$37-1),IF($R$17="Distrato",$E291,0)),MIN(AQ$38,$D$19),$P$20))-SUM($P291:AP291)</f>
        <v>#VALUE!</v>
      </c>
      <c r="AR291" s="446" t="e">
        <f>IF(OR($B291="",MIN(AR$38,$D$19)&lt;MAX($P$34*($B291+IF($R$17="Distrato",$I$38-1,0)),IF(AND($L$37=0,$P$34=0),"",$L$37-1),IF($R$17="Distrato",$E291,0))),0,YEARFRAC(MAX($P$34*($B291+IF($R$17="Distrato",$I$38-1,0)),IF(AND($L$37=0,$P$34=0),"",$L$37-1),IF($R$17="Distrato",$E291,0)),MIN(AR$38,$D$19),$P$20))-SUM($P291:AQ291)</f>
        <v>#VALUE!</v>
      </c>
      <c r="AS291" s="446" t="e">
        <f>IF(OR($B291="",MIN(AS$38,$D$19)&lt;MAX($P$34*($B291+IF($R$17="Distrato",$I$38-1,0)),IF(AND($L$37=0,$P$34=0),"",$L$37-1),IF($R$17="Distrato",$E291,0))),0,YEARFRAC(MAX($P$34*($B291+IF($R$17="Distrato",$I$38-1,0)),IF(AND($L$37=0,$P$34=0),"",$L$37-1),IF($R$17="Distrato",$E291,0)),MIN(AS$38,$D$19),$P$20))-SUM($P291:AR291)</f>
        <v>#VALUE!</v>
      </c>
      <c r="AT291" s="446" t="e">
        <f>IF(OR($B291="",MIN(AT$38,$D$19)&lt;MAX($P$34*($B291+IF($R$17="Distrato",$I$38-1,0)),IF(AND($L$37=0,$P$34=0),"",$L$37-1),IF($R$17="Distrato",$E291,0))),0,YEARFRAC(MAX($P$34*($B291+IF($R$17="Distrato",$I$38-1,0)),IF(AND($L$37=0,$P$34=0),"",$L$37-1),IF($R$17="Distrato",$E291,0)),MIN(AT$38,$D$19),$P$20))-SUM($P291:AS291)</f>
        <v>#VALUE!</v>
      </c>
      <c r="AU291" s="446" t="e">
        <f>IF(OR($B291="",MIN(AU$38,$D$19)&lt;MAX($P$34*($B291+IF($R$17="Distrato",$I$38-1,0)),IF(AND($L$37=0,$P$34=0),"",$L$37-1),IF($R$17="Distrato",$E291,0))),0,YEARFRAC(MAX($P$34*($B291+IF($R$17="Distrato",$I$38-1,0)),IF(AND($L$37=0,$P$34=0),"",$L$37-1),IF($R$17="Distrato",$E291,0)),MIN(AU$38,$D$19),$P$20))-SUM($P291:AT291)</f>
        <v>#VALUE!</v>
      </c>
      <c r="AV291" s="446" t="e">
        <f>IF(OR($B291="",MIN(AV$38,$D$19)&lt;MAX($P$34*($B291+IF($R$17="Distrato",$I$38-1,0)),IF(AND($L$37=0,$P$34=0),"",$L$37-1),IF($R$17="Distrato",$E291,0))),0,YEARFRAC(MAX($P$34*($B291+IF($R$17="Distrato",$I$38-1,0)),IF(AND($L$37=0,$P$34=0),"",$L$37-1),IF($R$17="Distrato",$E291,0)),MIN(AV$38,$D$19),$P$20))-SUM($P291:AU291)</f>
        <v>#VALUE!</v>
      </c>
      <c r="AW291" s="446" t="e">
        <f>IF(OR($B291="",MIN(AW$38,$D$19)&lt;MAX($P$34*($B291+IF($R$17="Distrato",$I$38-1,0)),IF(AND($L$37=0,$P$34=0),"",$L$37-1),IF($R$17="Distrato",$E291,0))),0,YEARFRAC(MAX($P$34*($B291+IF($R$17="Distrato",$I$38-1,0)),IF(AND($L$37=0,$P$34=0),"",$L$37-1),IF($R$17="Distrato",$E291,0)),MIN(AW$38,$D$19),$P$20))-SUM($P291:AV291)</f>
        <v>#VALUE!</v>
      </c>
      <c r="AX291" s="446" t="e">
        <f>IF(OR($B291="",MIN(AX$38,$D$19)&lt;MAX($P$34*($B291+IF($R$17="Distrato",$I$38-1,0)),IF(AND($L$37=0,$P$34=0),"",$L$37-1),IF($R$17="Distrato",$E291,0))),0,YEARFRAC(MAX($P$34*($B291+IF($R$17="Distrato",$I$38-1,0)),IF(AND($L$37=0,$P$34=0),"",$L$37-1),IF($R$17="Distrato",$E291,0)),MIN(AX$38,$D$19),$P$20))-SUM($P291:AW291)</f>
        <v>#VALUE!</v>
      </c>
      <c r="AY291" s="446" t="e">
        <f>IF(OR($B291="",MIN(AY$38,$D$19)&lt;MAX($P$34*($B291+IF($R$17="Distrato",$I$38-1,0)),IF(AND($L$37=0,$P$34=0),"",$L$37-1),IF($R$17="Distrato",$E291,0))),0,YEARFRAC(MAX($P$34*($B291+IF($R$17="Distrato",$I$38-1,0)),IF(AND($L$37=0,$P$34=0),"",$L$37-1),IF($R$17="Distrato",$E291,0)),MIN(AY$38,$D$19),$P$20))-SUM($P291:AX291)</f>
        <v>#VALUE!</v>
      </c>
      <c r="AZ291" s="446" t="e">
        <f>IF(OR($B291="",MIN(AZ$38,$D$19)&lt;MAX($P$34*($B291+IF($R$17="Distrato",$I$38-1,0)),IF(AND($L$37=0,$P$34=0),"",$L$37-1),IF($R$17="Distrato",$E291,0))),0,YEARFRAC(MAX($P$34*($B291+IF($R$17="Distrato",$I$38-1,0)),IF(AND($L$37=0,$P$34=0),"",$L$37-1),IF($R$17="Distrato",$E291,0)),MIN(AZ$38,$D$19),$P$20))-SUM($P291:AY291)</f>
        <v>#VALUE!</v>
      </c>
      <c r="BA291" s="446" t="e">
        <f>IF(OR($B291="",MIN(BA$38,$D$19)&lt;MAX($P$34*($B291+IF($R$17="Distrato",$I$38-1,0)),IF(AND($L$37=0,$P$34=0),"",$L$37-1),IF($R$17="Distrato",$E291,0))),0,YEARFRAC(MAX($P$34*($B291+IF($R$17="Distrato",$I$38-1,0)),IF(AND($L$37=0,$P$34=0),"",$L$37-1),IF($R$17="Distrato",$E291,0)),MIN(BA$38,$D$19),$P$20))-SUM($P291:AZ291)</f>
        <v>#VALUE!</v>
      </c>
      <c r="BB291" s="447"/>
      <c r="BF291" s="446">
        <f t="shared" si="43"/>
        <v>0</v>
      </c>
      <c r="BG291" s="446">
        <f>IF($E291=0,0,IF(MIN(BG$38,$E291)&lt;MAX($P$34*($B291+$I$38-1),IF(AND($L$37=0,$P$34=0),"",$L$37-1)),0,YEARFRAC(MAX($P$34*($B291+$I$38-1),IF(AND($L$37=0,$P$34=0),"",$L$37-1)),MIN(BG$38,$E291),$P$20))-SUM($BF291:BF291))</f>
        <v>0</v>
      </c>
      <c r="BH291" s="446">
        <f>IF($E291=0,0,IF(MIN(BH$38,$E291)&lt;MAX($P$34*($B291+$I$38-1),IF(AND($L$37=0,$P$34=0),"",$L$37-1)),0,YEARFRAC(MAX($P$34*($B291+$I$38-1),IF(AND($L$37=0,$P$34=0),"",$L$37-1)),MIN(BH$38,$E291),$P$20))-SUM($BF291:BG291))</f>
        <v>0</v>
      </c>
      <c r="BI291" s="446">
        <f>IF($E291=0,0,IF(MIN(BI$38,$E291)&lt;MAX($P$34*($B291+$I$38-1),IF(AND($L$37=0,$P$34=0),"",$L$37-1)),0,YEARFRAC(MAX($P$34*($B291+$I$38-1),IF(AND($L$37=0,$P$34=0),"",$L$37-1)),MIN(BI$38,$E291),$P$20))-SUM($BF291:BH291))</f>
        <v>0</v>
      </c>
      <c r="BJ291" s="446">
        <f>IF($E291=0,0,IF(MIN(BJ$38,$E291)&lt;MAX($P$34*($B291+$I$38-1),IF(AND($L$37=0,$P$34=0),"",$L$37-1)),0,YEARFRAC(MAX($P$34*($B291+$I$38-1),IF(AND($L$37=0,$P$34=0),"",$L$37-1)),MIN(BJ$38,$E291),$P$20))-SUM($BF291:BI291))</f>
        <v>0</v>
      </c>
      <c r="BK291" s="446">
        <f>IF($E291=0,0,IF(MIN(BK$38,$E291)&lt;MAX($P$34*($B291+$I$38-1),IF(AND($L$37=0,$P$34=0),"",$L$37-1)),0,YEARFRAC(MAX($P$34*($B291+$I$38-1),IF(AND($L$37=0,$P$34=0),"",$L$37-1)),MIN(BK$38,$E291),$P$20))-SUM($BF291:BJ291))</f>
        <v>0</v>
      </c>
      <c r="BL291" s="446">
        <f>IF($E291=0,0,IF(MIN(BL$38,$E291)&lt;MAX($P$34*($B291+$I$38-1),IF(AND($L$37=0,$P$34=0),"",$L$37-1)),0,YEARFRAC(MAX($P$34*($B291+$I$38-1),IF(AND($L$37=0,$P$34=0),"",$L$37-1)),MIN(BL$38,$E291),$P$20))-SUM($BF291:BK291))</f>
        <v>0</v>
      </c>
      <c r="BM291" s="446">
        <f>IF($E291=0,0,IF(MIN(BM$38,$E291)&lt;MAX($P$34*($B291+$I$38-1),IF(AND($L$37=0,$P$34=0),"",$L$37-1)),0,YEARFRAC(MAX($P$34*($B291+$I$38-1),IF(AND($L$37=0,$P$34=0),"",$L$37-1)),MIN(BM$38,$E291),$P$20))-SUM($BF291:BL291))</f>
        <v>0</v>
      </c>
      <c r="BN291" s="446">
        <f>IF($E291=0,0,IF(MIN(BN$38,$E291)&lt;MAX($P$34*($B291+$I$38-1),IF(AND($L$37=0,$P$34=0),"",$L$37-1)),0,YEARFRAC(MAX($P$34*($B291+$I$38-1),IF(AND($L$37=0,$P$34=0),"",$L$37-1)),MIN(BN$38,$E291),$P$20))-SUM($BF291:BM291))</f>
        <v>0</v>
      </c>
      <c r="BO291" s="446">
        <f>IF($E291=0,0,IF(MIN(BO$38,$E291)&lt;MAX($P$34*($B291+$I$38-1),IF(AND($L$37=0,$P$34=0),"",$L$37-1)),0,YEARFRAC(MAX($P$34*($B291+$I$38-1),IF(AND($L$37=0,$P$34=0),"",$L$37-1)),MIN(BO$38,$E291),$P$20))-SUM($BF291:BN291))</f>
        <v>0</v>
      </c>
      <c r="BP291" s="446">
        <f>IF($E291=0,0,IF(MIN(BP$38,$E291)&lt;MAX($P$34*($B291+$I$38-1),IF(AND($L$37=0,$P$34=0),"",$L$37-1)),0,YEARFRAC(MAX($P$34*($B291+$I$38-1),IF(AND($L$37=0,$P$34=0),"",$L$37-1)),MIN(BP$38,$E291),$P$20))-SUM($BF291:BO291))</f>
        <v>0</v>
      </c>
      <c r="BQ291" s="446">
        <f>IF($E291=0,0,IF(MIN(BQ$38,$E291)&lt;MAX($P$34*($B291+$I$38-1),IF(AND($L$37=0,$P$34=0),"",$L$37-1)),0,YEARFRAC(MAX($P$34*($B291+$I$38-1),IF(AND($L$37=0,$P$34=0),"",$L$37-1)),MIN(BQ$38,$E291),$P$20))-SUM($BF291:BP291))</f>
        <v>0</v>
      </c>
      <c r="BR291" s="446">
        <f>IF($E291=0,0,IF(MIN(BR$38,$E291)&lt;MAX($P$34*($B291+$I$38-1),IF(AND($L$37=0,$P$34=0),"",$L$37-1)),0,YEARFRAC(MAX($P$34*($B291+$I$38-1),IF(AND($L$37=0,$P$34=0),"",$L$37-1)),MIN(BR$38,$E291),$P$20))-SUM($BF291:BQ291))</f>
        <v>0</v>
      </c>
      <c r="BS291" s="446">
        <f>IF($E291=0,0,IF(MIN(BS$38,$E291)&lt;MAX($P$34*($B291+$I$38-1),IF(AND($L$37=0,$P$34=0),"",$L$37-1)),0,YEARFRAC(MAX($P$34*($B291+$I$38-1),IF(AND($L$37=0,$P$34=0),"",$L$37-1)),MIN(BS$38,$E291),$P$20))-SUM($BF291:BR291))</f>
        <v>0</v>
      </c>
      <c r="BT291" s="446">
        <f>IF($E291=0,0,IF(MIN(BT$38,$E291)&lt;MAX($P$34*($B291+$I$38-1),IF(AND($L$37=0,$P$34=0),"",$L$37-1)),0,YEARFRAC(MAX($P$34*($B291+$I$38-1),IF(AND($L$37=0,$P$34=0),"",$L$37-1)),MIN(BT$38,$E291),$P$20))-SUM($BF291:BS291))</f>
        <v>0</v>
      </c>
      <c r="BU291" s="446">
        <f>IF($E291=0,0,IF(MIN(BU$38,$E291)&lt;MAX($P$34*($B291+$I$38-1),IF(AND($L$37=0,$P$34=0),"",$L$37-1)),0,YEARFRAC(MAX($P$34*($B291+$I$38-1),IF(AND($L$37=0,$P$34=0),"",$L$37-1)),MIN(BU$38,$E291),$P$20))-SUM($BF291:BT291))</f>
        <v>0</v>
      </c>
      <c r="BV291" s="446">
        <f>IF($E291=0,0,IF(MIN(BV$38,$E291)&lt;MAX($P$34*($B291+$I$38-1),IF(AND($L$37=0,$P$34=0),"",$L$37-1)),0,YEARFRAC(MAX($P$34*($B291+$I$38-1),IF(AND($L$37=0,$P$34=0),"",$L$37-1)),MIN(BV$38,$E291),$P$20))-SUM($BF291:BU291))</f>
        <v>0</v>
      </c>
      <c r="BW291" s="446">
        <f>IF($E291=0,0,IF(MIN(BW$38,$E291)&lt;MAX($P$34*($B291+$I$38-1),IF(AND($L$37=0,$P$34=0),"",$L$37-1)),0,YEARFRAC(MAX($P$34*($B291+$I$38-1),IF(AND($L$37=0,$P$34=0),"",$L$37-1)),MIN(BW$38,$E291),$P$20))-SUM($BF291:BV291))</f>
        <v>0</v>
      </c>
      <c r="BX291" s="446">
        <f>IF($E291=0,0,IF(MIN(BX$38,$E291)&lt;MAX($P$34*($B291+$I$38-1),IF(AND($L$37=0,$P$34=0),"",$L$37-1)),0,YEARFRAC(MAX($P$34*($B291+$I$38-1),IF(AND($L$37=0,$P$34=0),"",$L$37-1)),MIN(BX$38,$E291),$P$20))-SUM($BF291:BW291))</f>
        <v>0</v>
      </c>
      <c r="BY291" s="446">
        <f>IF($E291=0,0,IF(MIN(BY$38,$E291)&lt;MAX($P$34*($B291+$I$38-1),IF(AND($L$37=0,$P$34=0),"",$L$37-1)),0,YEARFRAC(MAX($P$34*($B291+$I$38-1),IF(AND($L$37=0,$P$34=0),"",$L$37-1)),MIN(BY$38,$E291),$P$20))-SUM($BF291:BX291))</f>
        <v>0</v>
      </c>
      <c r="BZ291" s="446">
        <f>IF($E291=0,0,IF(MIN(BZ$38,$E291)&lt;MAX($P$34*($B291+$I$38-1),IF(AND($L$37=0,$P$34=0),"",$L$37-1)),0,YEARFRAC(MAX($P$34*($B291+$I$38-1),IF(AND($L$37=0,$P$34=0),"",$L$37-1)),MIN(BZ$38,$E291),$P$20))-SUM($BF291:BY291))</f>
        <v>0</v>
      </c>
      <c r="CA291" s="446">
        <f>IF($E291=0,0,IF(MIN(CA$38,$E291)&lt;MAX($P$34*($B291+$I$38-1),IF(AND($L$37=0,$P$34=0),"",$L$37-1)),0,YEARFRAC(MAX($P$34*($B291+$I$38-1),IF(AND($L$37=0,$P$34=0),"",$L$37-1)),MIN(CA$38,$E291),$P$20))-SUM($BF291:BZ291))</f>
        <v>0</v>
      </c>
      <c r="CB291" s="446">
        <f>IF($E291=0,0,IF(MIN(CB$38,$E291)&lt;MAX($P$34*($B291+$I$38-1),IF(AND($L$37=0,$P$34=0),"",$L$37-1)),0,YEARFRAC(MAX($P$34*($B291+$I$38-1),IF(AND($L$37=0,$P$34=0),"",$L$37-1)),MIN(CB$38,$E291),$P$20))-SUM($BF291:CA291))</f>
        <v>0</v>
      </c>
      <c r="CC291" s="446">
        <f>IF($E291=0,0,IF(MIN(CC$38,$E291)&lt;MAX($P$34*($B291+$I$38-1),IF(AND($L$37=0,$P$34=0),"",$L$37-1)),0,YEARFRAC(MAX($P$34*($B291+$I$38-1),IF(AND($L$37=0,$P$34=0),"",$L$37-1)),MIN(CC$38,$E291),$P$20))-SUM($BF291:CB291))</f>
        <v>0</v>
      </c>
      <c r="CD291" s="446">
        <f>IF($E291=0,0,IF(MIN(CD$38,$E291)&lt;MAX($P$34*($B291+$I$38-1),IF(AND($L$37=0,$P$34=0),"",$L$37-1)),0,YEARFRAC(MAX($P$34*($B291+$I$38-1),IF(AND($L$37=0,$P$34=0),"",$L$37-1)),MIN(CD$38,$E291),$P$20))-SUM($BF291:CC291))</f>
        <v>0</v>
      </c>
      <c r="CE291" s="446">
        <f>IF($E291=0,0,IF(MIN(CE$38,$E291)&lt;MAX($P$34*($B291+$I$38-1),IF(AND($L$37=0,$P$34=0),"",$L$37-1)),0,YEARFRAC(MAX($P$34*($B291+$I$38-1),IF(AND($L$37=0,$P$34=0),"",$L$37-1)),MIN(CE$38,$E291),$P$20))-SUM($BF291:CD291))</f>
        <v>0</v>
      </c>
      <c r="CF291" s="446">
        <f>IF($E291=0,0,IF(MIN(CF$38,$E291)&lt;MAX($P$34*($B291+$I$38-1),IF(AND($L$37=0,$P$34=0),"",$L$37-1)),0,YEARFRAC(MAX($P$34*($B291+$I$38-1),IF(AND($L$37=0,$P$34=0),"",$L$37-1)),MIN(CF$38,$E291),$P$20))-SUM($BF291:CE291))</f>
        <v>0</v>
      </c>
      <c r="CG291" s="446">
        <f>IF($E291=0,0,IF(MIN(CG$38,$E291)&lt;MAX($P$34*($B291+$I$38-1),IF(AND($L$37=0,$P$34=0),"",$L$37-1)),0,YEARFRAC(MAX($P$34*($B291+$I$38-1),IF(AND($L$37=0,$P$34=0),"",$L$37-1)),MIN(CG$38,$E291),$P$20))-SUM($BF291:CF291))</f>
        <v>0</v>
      </c>
      <c r="CH291" s="446">
        <f>IF($E291=0,0,IF(MIN(CH$38,$E291)&lt;MAX($P$34*($B291+$I$38-1),IF(AND($L$37=0,$P$34=0),"",$L$37-1)),0,YEARFRAC(MAX($P$34*($B291+$I$38-1),IF(AND($L$37=0,$P$34=0),"",$L$37-1)),MIN(CH$38,$E291),$P$20))-SUM($BF291:CG291))</f>
        <v>0</v>
      </c>
      <c r="CI291" s="446">
        <f>IF($E291=0,0,IF(MIN(CI$38,$E291)&lt;MAX($P$34*($B291+$I$38-1),IF(AND($L$37=0,$P$34=0),"",$L$37-1)),0,YEARFRAC(MAX($P$34*($B291+$I$38-1),IF(AND($L$37=0,$P$34=0),"",$L$37-1)),MIN(CI$38,$E291),$P$20))-SUM($BF291:CH291))</f>
        <v>0</v>
      </c>
      <c r="CJ291" s="446">
        <f>IF($E291=0,0,IF(MIN(CJ$38,$E291)&lt;MAX($P$34*($B291+$I$38-1),IF(AND($L$37=0,$P$34=0),"",$L$37-1)),0,YEARFRAC(MAX($P$34*($B291+$I$38-1),IF(AND($L$37=0,$P$34=0),"",$L$37-1)),MIN(CJ$38,$E291),$P$20))-SUM($BF291:CI291))</f>
        <v>0</v>
      </c>
      <c r="CK291" s="446">
        <f>IF($E291=0,0,IF(MIN(CK$38,$E291)&lt;MAX($P$34*($B291+$I$38-1),IF(AND($L$37=0,$P$34=0),"",$L$37-1)),0,YEARFRAC(MAX($P$34*($B291+$I$38-1),IF(AND($L$37=0,$P$34=0),"",$L$37-1)),MIN(CK$38,$E291),$P$20))-SUM($BF291:CJ291))</f>
        <v>0</v>
      </c>
      <c r="CL291" s="446">
        <f>IF($E291=0,0,IF(MIN(CL$38,$E291)&lt;MAX($P$34*($B291+$I$38-1),IF(AND($L$37=0,$P$34=0),"",$L$37-1)),0,YEARFRAC(MAX($P$34*($B291+$I$38-1),IF(AND($L$37=0,$P$34=0),"",$L$37-1)),MIN(CL$38,$E291),$P$20))-SUM($BF291:CK291))</f>
        <v>0</v>
      </c>
      <c r="CM291" s="446">
        <f>IF($E291=0,0,IF(MIN(CM$38,$E291)&lt;MAX($P$34*($B291+$I$38-1),IF(AND($L$37=0,$P$34=0),"",$L$37-1)),0,YEARFRAC(MAX($P$34*($B291+$I$38-1),IF(AND($L$37=0,$P$34=0),"",$L$37-1)),MIN(CM$38,$E291),$P$20))-SUM($BF291:CL291))</f>
        <v>0</v>
      </c>
      <c r="CN291" s="446">
        <f>IF($E291=0,0,IF(MIN(CN$38,$E291)&lt;MAX($P$34*($B291+$I$38-1),IF(AND($L$37=0,$P$34=0),"",$L$37-1)),0,YEARFRAC(MAX($P$34*($B291+$I$38-1),IF(AND($L$37=0,$P$34=0),"",$L$37-1)),MIN(CN$38,$E291),$P$20))-SUM($BF291:CM291))</f>
        <v>0</v>
      </c>
      <c r="CO291" s="446">
        <f>IF($E291=0,0,IF(MIN(CO$38,$E291)&lt;MAX($P$34*($B291+$I$38-1),IF(AND($L$37=0,$P$34=0),"",$L$37-1)),0,YEARFRAC(MAX($P$34*($B291+$I$38-1),IF(AND($L$37=0,$P$34=0),"",$L$37-1)),MIN(CO$38,$E291),$P$20))-SUM($BF291:CN291))</f>
        <v>0</v>
      </c>
      <c r="CP291" s="446">
        <f>IF($E291=0,0,IF(MIN(CP$38,$E291)&lt;MAX($P$34*($B291+$I$38-1),IF(AND($L$37=0,$P$34=0),"",$L$37-1)),0,YEARFRAC(MAX($P$34*($B291+$I$38-1),IF(AND($L$37=0,$P$34=0),"",$L$37-1)),MIN(CP$38,$E291),$P$20))-SUM($BF291:CO291))</f>
        <v>0</v>
      </c>
      <c r="CQ291" s="446">
        <f>IF($E291=0,0,IF(MIN(CQ$38,$E291)&lt;MAX($P$34*($B291+$I$38-1),IF(AND($L$37=0,$P$34=0),"",$L$37-1)),0,YEARFRAC(MAX($P$34*($B291+$I$38-1),IF(AND($L$37=0,$P$34=0),"",$L$37-1)),MIN(CQ$38,$E291),$P$20))-SUM($BF291:CP291))</f>
        <v>0</v>
      </c>
    </row>
    <row r="292" spans="1:95" s="446" customFormat="1" ht="11.25" hidden="1" customHeight="1" x14ac:dyDescent="0.2">
      <c r="A292" s="152"/>
      <c r="B292" s="153" t="str">
        <f t="shared" si="48"/>
        <v/>
      </c>
      <c r="C292" s="29" t="str">
        <f>IF(B292="","",IF($L$35="SELIC - TRIBUTOS",VLOOKUP(DATE(YEAR($D$19),MONTH($D$19)-1,1),ÍNDICES!$A:$DE,HLOOKUP($BL$25,ÍNDICES!$B$3:$T$4,2)+11)-VLOOKUP(B292,ÍNDICES!$A:$DE,HLOOKUP($BL$25,ÍNDICES!$B$3:$T$4,2)+11)+1%,IF(C$38=$W$26,$J$35,IF(ISERROR(IF(B292&gt;$D$19,1,VLOOKUP(DATE(YEAR(B292),MONTH(B292)+IF($C$35=$S$23,1,0),1),ÍNDICES!$A:$DE,$Z$35+1))),"",IF(B292&gt;$D$19,1,VLOOKUP(DATE(YEAR(B292),MONTH(B292)+IF($C$35=$S$23,1,0),1),ÍNDICES!$A:$DE,$Z$35+1))))))</f>
        <v/>
      </c>
      <c r="D292" s="154" t="str">
        <f>IF(ISERROR(IF(OR($D$38=$Y$27,$B292=""),"",VLOOKUP(B292,ÍNDICES!A:DE,AF$35+1))),"",IF(OR($D$38=$Y$27,$B292=""),"",VLOOKUP(B292,ÍNDICES!A:DE,AF$35+1)))</f>
        <v/>
      </c>
      <c r="E292" s="153"/>
      <c r="F292" s="29" t="str">
        <f>IF(E292="","",IF($L$35="SELIC - TRIBUTOS",VLOOKUP(DATE(YEAR($D$19),MONTH($D$19)-1,1),ÍNDICES!$A:$DE,HLOOKUP($BL$25,ÍNDICES!$B$3:$T$4,2)+11)-VLOOKUP(E292,ÍNDICES!$A:$DE,HLOOKUP($BL$25,ÍNDICES!$B$3:$T$4,2)+11)+1%,IF(F$38=$W$26,$J$35,IF(ISERROR(IF(E292&gt;$D$19,1,VLOOKUP(DATE(YEAR(E292),MONTH(E292)+IF($C$35=$S$23,1,0),1),ÍNDICES!$A:$DE,$Z$35+1))),"",IF(E292&gt;$D$19,1,VLOOKUP(DATE(YEAR(E292),MONTH(E292)+IF($C$35=$S$23,1,0),1),ÍNDICES!$A:$DE,$Z$35+1))))))</f>
        <v/>
      </c>
      <c r="G292" s="155"/>
      <c r="H292" s="156" t="str">
        <f t="shared" si="44"/>
        <v/>
      </c>
      <c r="I292" s="29" t="str">
        <f t="shared" si="38"/>
        <v/>
      </c>
      <c r="J292" s="5">
        <f t="shared" si="39"/>
        <v>0</v>
      </c>
      <c r="K292" s="20">
        <f t="shared" ca="1" si="40"/>
        <v>0</v>
      </c>
      <c r="L292" s="5">
        <f t="shared" ca="1" si="41"/>
        <v>0</v>
      </c>
      <c r="M292" s="64">
        <f t="shared" si="45"/>
        <v>0</v>
      </c>
      <c r="N292" s="61">
        <f t="shared" ca="1" si="46"/>
        <v>0</v>
      </c>
      <c r="O292" s="5">
        <f t="shared" ca="1" si="47"/>
        <v>0</v>
      </c>
      <c r="P292" s="446" t="e">
        <f t="shared" si="42"/>
        <v>#VALUE!</v>
      </c>
      <c r="Q292" s="446" t="e">
        <f>IF(OR($B292="",MIN(Q$38,$D$19)&lt;MAX($P$34*($B292+IF($R$17="Distrato",$I$38-1,0)),IF(AND($L$37=0,$P$34=0),"",$L$37-1),IF($R$17="Distrato",$E292,0))),0,YEARFRAC(MAX($P$34*($B292+IF($R$17="Distrato",$I$38-1,0)),IF(AND($L$37=0,$P$34=0),"",$L$37-1),IF($R$17="Distrato",$E292,0)),MIN(Q$38,$D$19),$P$20))-SUM($P292:P292)</f>
        <v>#VALUE!</v>
      </c>
      <c r="R292" s="446" t="e">
        <f>IF(OR($B292="",MIN(R$38,$D$19)&lt;MAX($P$34*($B292+IF($R$17="Distrato",$I$38-1,0)),IF(AND($L$37=0,$P$34=0),"",$L$37-1),IF($R$17="Distrato",$E292,0))),0,YEARFRAC(MAX($P$34*($B292+IF($R$17="Distrato",$I$38-1,0)),IF(AND($L$37=0,$P$34=0),"",$L$37-1),IF($R$17="Distrato",$E292,0)),MIN(R$38,$D$19),$P$20))-SUM($P292:Q292)</f>
        <v>#VALUE!</v>
      </c>
      <c r="S292" s="446" t="e">
        <f>IF(OR($B292="",MIN(S$38,$D$19)&lt;MAX($P$34*($B292+IF($R$17="Distrato",$I$38-1,0)),IF(AND($L$37=0,$P$34=0),"",$L$37-1),IF($R$17="Distrato",$E292,0))),0,YEARFRAC(MAX($P$34*($B292+IF($R$17="Distrato",$I$38-1,0)),IF(AND($L$37=0,$P$34=0),"",$L$37-1),IF($R$17="Distrato",$E292,0)),MIN(S$38,$D$19),$P$20))-SUM($P292:R292)</f>
        <v>#VALUE!</v>
      </c>
      <c r="T292" s="446" t="e">
        <f>IF(OR($B292="",MIN(T$38,$D$19)&lt;MAX($P$34*($B292+IF($R$17="Distrato",$I$38-1,0)),IF(AND($L$37=0,$P$34=0),"",$L$37-1),IF($R$17="Distrato",$E292,0))),0,YEARFRAC(MAX($P$34*($B292+IF($R$17="Distrato",$I$38-1,0)),IF(AND($L$37=0,$P$34=0),"",$L$37-1),IF($R$17="Distrato",$E292,0)),MIN(T$38,$D$19),$P$20))-SUM($P292:S292)</f>
        <v>#VALUE!</v>
      </c>
      <c r="U292" s="446" t="e">
        <f>IF(OR($B292="",MIN(U$38,$D$19)&lt;MAX($P$34*($B292+IF($R$17="Distrato",$I$38-1,0)),IF(AND($L$37=0,$P$34=0),"",$L$37-1),IF($R$17="Distrato",$E292,0))),0,YEARFRAC(MAX($P$34*($B292+IF($R$17="Distrato",$I$38-1,0)),IF(AND($L$37=0,$P$34=0),"",$L$37-1),IF($R$17="Distrato",$E292,0)),MIN(U$38,$D$19),$P$20))-SUM($P292:T292)</f>
        <v>#VALUE!</v>
      </c>
      <c r="V292" s="446" t="e">
        <f>IF(OR($B292="",MIN(V$38,$D$19)&lt;MAX($P$34*($B292+IF($R$17="Distrato",$I$38-1,0)),IF(AND($L$37=0,$P$34=0),"",$L$37-1),IF($R$17="Distrato",$E292,0))),0,YEARFRAC(MAX($P$34*($B292+IF($R$17="Distrato",$I$38-1,0)),IF(AND($L$37=0,$P$34=0),"",$L$37-1),IF($R$17="Distrato",$E292,0)),MIN(V$38,$D$19),$P$20))-SUM($P292:U292)</f>
        <v>#VALUE!</v>
      </c>
      <c r="W292" s="446" t="e">
        <f>IF(OR($B292="",MIN(W$38,$D$19)&lt;MAX($P$34*($B292+IF($R$17="Distrato",$I$38-1,0)),IF(AND($L$37=0,$P$34=0),"",$L$37-1),IF($R$17="Distrato",$E292,0))),0,YEARFRAC(MAX($P$34*($B292+IF($R$17="Distrato",$I$38-1,0)),IF(AND($L$37=0,$P$34=0),"",$L$37-1),IF($R$17="Distrato",$E292,0)),MIN(W$38,$D$19),$P$20))-SUM($P292:V292)</f>
        <v>#VALUE!</v>
      </c>
      <c r="X292" s="446" t="e">
        <f>IF(OR($B292="",MIN(X$38,$D$19)&lt;MAX($P$34*($B292+IF($R$17="Distrato",$I$38-1,0)),IF(AND($L$37=0,$P$34=0),"",$L$37-1),IF($R$17="Distrato",$E292,0))),0,YEARFRAC(MAX($P$34*($B292+IF($R$17="Distrato",$I$38-1,0)),IF(AND($L$37=0,$P$34=0),"",$L$37-1),IF($R$17="Distrato",$E292,0)),MIN(X$38,$D$19),$P$20))-SUM($P292:W292)</f>
        <v>#VALUE!</v>
      </c>
      <c r="Y292" s="446" t="e">
        <f>IF(OR($B292="",MIN(Y$38,$D$19)&lt;MAX($P$34*($B292+IF($R$17="Distrato",$I$38-1,0)),IF(AND($L$37=0,$P$34=0),"",$L$37-1),IF($R$17="Distrato",$E292,0))),0,YEARFRAC(MAX($P$34*($B292+IF($R$17="Distrato",$I$38-1,0)),IF(AND($L$37=0,$P$34=0),"",$L$37-1),IF($R$17="Distrato",$E292,0)),MIN(Y$38,$D$19),$P$20))-SUM($P292:X292)</f>
        <v>#VALUE!</v>
      </c>
      <c r="Z292" s="446" t="e">
        <f>IF(OR($B292="",MIN(Z$38,$D$19)&lt;MAX($P$34*($B292+IF($R$17="Distrato",$I$38-1,0)),IF(AND($L$37=0,$P$34=0),"",$L$37-1),IF($R$17="Distrato",$E292,0))),0,YEARFRAC(MAX($P$34*($B292+IF($R$17="Distrato",$I$38-1,0)),IF(AND($L$37=0,$P$34=0),"",$L$37-1),IF($R$17="Distrato",$E292,0)),MIN(Z$38,$D$19),$P$20))-SUM($P292:Y292)</f>
        <v>#VALUE!</v>
      </c>
      <c r="AA292" s="446" t="e">
        <f>IF(OR($B292="",MIN(AA$38,$D$19)&lt;MAX($P$34*($B292+IF($R$17="Distrato",$I$38-1,0)),IF(AND($L$37=0,$P$34=0),"",$L$37-1),IF($R$17="Distrato",$E292,0))),0,YEARFRAC(MAX($P$34*($B292+IF($R$17="Distrato",$I$38-1,0)),IF(AND($L$37=0,$P$34=0),"",$L$37-1),IF($R$17="Distrato",$E292,0)),MIN(AA$38,$D$19),$P$20))-SUM($P292:Z292)</f>
        <v>#VALUE!</v>
      </c>
      <c r="AB292" s="446" t="e">
        <f>IF(OR($B292="",MIN(AB$38,$D$19)&lt;MAX($P$34*($B292+IF($R$17="Distrato",$I$38-1,0)),IF(AND($L$37=0,$P$34=0),"",$L$37-1),IF($R$17="Distrato",$E292,0))),0,YEARFRAC(MAX($P$34*($B292+IF($R$17="Distrato",$I$38-1,0)),IF(AND($L$37=0,$P$34=0),"",$L$37-1),IF($R$17="Distrato",$E292,0)),MIN(AB$38,$D$19),$P$20))-SUM($P292:AA292)</f>
        <v>#VALUE!</v>
      </c>
      <c r="AC292" s="446" t="e">
        <f>IF(OR($B292="",MIN(AC$38,$D$19)&lt;MAX($P$34*($B292+IF($R$17="Distrato",$I$38-1,0)),IF(AND($L$37=0,$P$34=0),"",$L$37-1),IF($R$17="Distrato",$E292,0))),0,YEARFRAC(MAX($P$34*($B292+IF($R$17="Distrato",$I$38-1,0)),IF(AND($L$37=0,$P$34=0),"",$L$37-1),IF($R$17="Distrato",$E292,0)),MIN(AC$38,$D$19),$P$20))-SUM($P292:AB292)</f>
        <v>#VALUE!</v>
      </c>
      <c r="AD292" s="446" t="e">
        <f>IF(OR($B292="",MIN(AD$38,$D$19)&lt;MAX($P$34*($B292+IF($R$17="Distrato",$I$38-1,0)),IF(AND($L$37=0,$P$34=0),"",$L$37-1),IF($R$17="Distrato",$E292,0))),0,YEARFRAC(MAX($P$34*($B292+IF($R$17="Distrato",$I$38-1,0)),IF(AND($L$37=0,$P$34=0),"",$L$37-1),IF($R$17="Distrato",$E292,0)),MIN(AD$38,$D$19),$P$20))-SUM($P292:AC292)</f>
        <v>#VALUE!</v>
      </c>
      <c r="AE292" s="446" t="e">
        <f>IF(OR($B292="",MIN(AE$38,$D$19)&lt;MAX($P$34*($B292+IF($R$17="Distrato",$I$38-1,0)),IF(AND($L$37=0,$P$34=0),"",$L$37-1),IF($R$17="Distrato",$E292,0))),0,YEARFRAC(MAX($P$34*($B292+IF($R$17="Distrato",$I$38-1,0)),IF(AND($L$37=0,$P$34=0),"",$L$37-1),IF($R$17="Distrato",$E292,0)),MIN(AE$38,$D$19),$P$20))-SUM($P292:AD292)</f>
        <v>#VALUE!</v>
      </c>
      <c r="AF292" s="446" t="e">
        <f>IF(OR($B292="",MIN(AF$38,$D$19)&lt;MAX($P$34*($B292+IF($R$17="Distrato",$I$38-1,0)),IF(AND($L$37=0,$P$34=0),"",$L$37-1),IF($R$17="Distrato",$E292,0))),0,YEARFRAC(MAX($P$34*($B292+IF($R$17="Distrato",$I$38-1,0)),IF(AND($L$37=0,$P$34=0),"",$L$37-1),IF($R$17="Distrato",$E292,0)),MIN(AF$38,$D$19),$P$20))-SUM($P292:AE292)</f>
        <v>#VALUE!</v>
      </c>
      <c r="AG292" s="446" t="e">
        <f>IF(OR($B292="",MIN(AG$38,$D$19)&lt;MAX($P$34*($B292+IF($R$17="Distrato",$I$38-1,0)),IF(AND($L$37=0,$P$34=0),"",$L$37-1),IF($R$17="Distrato",$E292,0))),0,YEARFRAC(MAX($P$34*($B292+IF($R$17="Distrato",$I$38-1,0)),IF(AND($L$37=0,$P$34=0),"",$L$37-1),IF($R$17="Distrato",$E292,0)),MIN(AG$38,$D$19),$P$20))-SUM($P292:AF292)</f>
        <v>#VALUE!</v>
      </c>
      <c r="AH292" s="446" t="e">
        <f>IF(OR($B292="",MIN(AH$38,$D$19)&lt;MAX($P$34*($B292+IF($R$17="Distrato",$I$38-1,0)),IF(AND($L$37=0,$P$34=0),"",$L$37-1),IF($R$17="Distrato",$E292,0))),0,YEARFRAC(MAX($P$34*($B292+IF($R$17="Distrato",$I$38-1,0)),IF(AND($L$37=0,$P$34=0),"",$L$37-1),IF($R$17="Distrato",$E292,0)),MIN(AH$38,$D$19),$P$20))-SUM($P292:AG292)</f>
        <v>#VALUE!</v>
      </c>
      <c r="AI292" s="446" t="e">
        <f>IF(OR($B292="",MIN(AI$38,$D$19)&lt;MAX($P$34*($B292+IF($R$17="Distrato",$I$38-1,0)),IF(AND($L$37=0,$P$34=0),"",$L$37-1),IF($R$17="Distrato",$E292,0))),0,YEARFRAC(MAX($P$34*($B292+IF($R$17="Distrato",$I$38-1,0)),IF(AND($L$37=0,$P$34=0),"",$L$37-1),IF($R$17="Distrato",$E292,0)),MIN(AI$38,$D$19),$P$20))-SUM($P292:AH292)</f>
        <v>#VALUE!</v>
      </c>
      <c r="AJ292" s="446" t="e">
        <f>IF(OR($B292="",MIN(AJ$38,$D$19)&lt;MAX($P$34*($B292+IF($R$17="Distrato",$I$38-1,0)),IF(AND($L$37=0,$P$34=0),"",$L$37-1),IF($R$17="Distrato",$E292,0))),0,YEARFRAC(MAX($P$34*($B292+IF($R$17="Distrato",$I$38-1,0)),IF(AND($L$37=0,$P$34=0),"",$L$37-1),IF($R$17="Distrato",$E292,0)),MIN(AJ$38,$D$19),$P$20))-SUM($P292:AI292)</f>
        <v>#VALUE!</v>
      </c>
      <c r="AK292" s="446" t="e">
        <f>IF(OR($B292="",MIN(AK$38,$D$19)&lt;MAX($P$34*($B292+IF($R$17="Distrato",$I$38-1,0)),IF(AND($L$37=0,$P$34=0),"",$L$37-1),IF($R$17="Distrato",$E292,0))),0,YEARFRAC(MAX($P$34*($B292+IF($R$17="Distrato",$I$38-1,0)),IF(AND($L$37=0,$P$34=0),"",$L$37-1),IF($R$17="Distrato",$E292,0)),MIN(AK$38,$D$19),$P$20))-SUM($P292:AJ292)</f>
        <v>#VALUE!</v>
      </c>
      <c r="AL292" s="446" t="e">
        <f>IF(OR($B292="",MIN(AL$38,$D$19)&lt;MAX($P$34*($B292+IF($R$17="Distrato",$I$38-1,0)),IF(AND($L$37=0,$P$34=0),"",$L$37-1),IF($R$17="Distrato",$E292,0))),0,YEARFRAC(MAX($P$34*($B292+IF($R$17="Distrato",$I$38-1,0)),IF(AND($L$37=0,$P$34=0),"",$L$37-1),IF($R$17="Distrato",$E292,0)),MIN(AL$38,$D$19),$P$20))-SUM($P292:AK292)</f>
        <v>#VALUE!</v>
      </c>
      <c r="AM292" s="446" t="e">
        <f>IF(OR($B292="",MIN(AM$38,$D$19)&lt;MAX($P$34*($B292+IF($R$17="Distrato",$I$38-1,0)),IF(AND($L$37=0,$P$34=0),"",$L$37-1),IF($R$17="Distrato",$E292,0))),0,YEARFRAC(MAX($P$34*($B292+IF($R$17="Distrato",$I$38-1,0)),IF(AND($L$37=0,$P$34=0),"",$L$37-1),IF($R$17="Distrato",$E292,0)),MIN(AM$38,$D$19),$P$20))-SUM($P292:AL292)</f>
        <v>#VALUE!</v>
      </c>
      <c r="AN292" s="446" t="e">
        <f>IF(OR($B292="",MIN(AN$38,$D$19)&lt;MAX($P$34*($B292+IF($R$17="Distrato",$I$38-1,0)),IF(AND($L$37=0,$P$34=0),"",$L$37-1),IF($R$17="Distrato",$E292,0))),0,YEARFRAC(MAX($P$34*($B292+IF($R$17="Distrato",$I$38-1,0)),IF(AND($L$37=0,$P$34=0),"",$L$37-1),IF($R$17="Distrato",$E292,0)),MIN(AN$38,$D$19),$P$20))-SUM($P292:AM292)</f>
        <v>#VALUE!</v>
      </c>
      <c r="AO292" s="446" t="e">
        <f>IF(OR($B292="",MIN(AO$38,$D$19)&lt;MAX($P$34*($B292+IF($R$17="Distrato",$I$38-1,0)),IF(AND($L$37=0,$P$34=0),"",$L$37-1),IF($R$17="Distrato",$E292,0))),0,YEARFRAC(MAX($P$34*($B292+IF($R$17="Distrato",$I$38-1,0)),IF(AND($L$37=0,$P$34=0),"",$L$37-1),IF($R$17="Distrato",$E292,0)),MIN(AO$38,$D$19),$P$20))-SUM($P292:AN292)</f>
        <v>#VALUE!</v>
      </c>
      <c r="AP292" s="446" t="e">
        <f>IF(OR($B292="",MIN(AP$38,$D$19)&lt;MAX($P$34*($B292+IF($R$17="Distrato",$I$38-1,0)),IF(AND($L$37=0,$P$34=0),"",$L$37-1),IF($R$17="Distrato",$E292,0))),0,YEARFRAC(MAX($P$34*($B292+IF($R$17="Distrato",$I$38-1,0)),IF(AND($L$37=0,$P$34=0),"",$L$37-1),IF($R$17="Distrato",$E292,0)),MIN(AP$38,$D$19),$P$20))-SUM($P292:AO292)</f>
        <v>#VALUE!</v>
      </c>
      <c r="AQ292" s="446" t="e">
        <f>IF(OR($B292="",MIN(AQ$38,$D$19)&lt;MAX($P$34*($B292+IF($R$17="Distrato",$I$38-1,0)),IF(AND($L$37=0,$P$34=0),"",$L$37-1),IF($R$17="Distrato",$E292,0))),0,YEARFRAC(MAX($P$34*($B292+IF($R$17="Distrato",$I$38-1,0)),IF(AND($L$37=0,$P$34=0),"",$L$37-1),IF($R$17="Distrato",$E292,0)),MIN(AQ$38,$D$19),$P$20))-SUM($P292:AP292)</f>
        <v>#VALUE!</v>
      </c>
      <c r="AR292" s="446" t="e">
        <f>IF(OR($B292="",MIN(AR$38,$D$19)&lt;MAX($P$34*($B292+IF($R$17="Distrato",$I$38-1,0)),IF(AND($L$37=0,$P$34=0),"",$L$37-1),IF($R$17="Distrato",$E292,0))),0,YEARFRAC(MAX($P$34*($B292+IF($R$17="Distrato",$I$38-1,0)),IF(AND($L$37=0,$P$34=0),"",$L$37-1),IF($R$17="Distrato",$E292,0)),MIN(AR$38,$D$19),$P$20))-SUM($P292:AQ292)</f>
        <v>#VALUE!</v>
      </c>
      <c r="AS292" s="446" t="e">
        <f>IF(OR($B292="",MIN(AS$38,$D$19)&lt;MAX($P$34*($B292+IF($R$17="Distrato",$I$38-1,0)),IF(AND($L$37=0,$P$34=0),"",$L$37-1),IF($R$17="Distrato",$E292,0))),0,YEARFRAC(MAX($P$34*($B292+IF($R$17="Distrato",$I$38-1,0)),IF(AND($L$37=0,$P$34=0),"",$L$37-1),IF($R$17="Distrato",$E292,0)),MIN(AS$38,$D$19),$P$20))-SUM($P292:AR292)</f>
        <v>#VALUE!</v>
      </c>
      <c r="AT292" s="446" t="e">
        <f>IF(OR($B292="",MIN(AT$38,$D$19)&lt;MAX($P$34*($B292+IF($R$17="Distrato",$I$38-1,0)),IF(AND($L$37=0,$P$34=0),"",$L$37-1),IF($R$17="Distrato",$E292,0))),0,YEARFRAC(MAX($P$34*($B292+IF($R$17="Distrato",$I$38-1,0)),IF(AND($L$37=0,$P$34=0),"",$L$37-1),IF($R$17="Distrato",$E292,0)),MIN(AT$38,$D$19),$P$20))-SUM($P292:AS292)</f>
        <v>#VALUE!</v>
      </c>
      <c r="AU292" s="446" t="e">
        <f>IF(OR($B292="",MIN(AU$38,$D$19)&lt;MAX($P$34*($B292+IF($R$17="Distrato",$I$38-1,0)),IF(AND($L$37=0,$P$34=0),"",$L$37-1),IF($R$17="Distrato",$E292,0))),0,YEARFRAC(MAX($P$34*($B292+IF($R$17="Distrato",$I$38-1,0)),IF(AND($L$37=0,$P$34=0),"",$L$37-1),IF($R$17="Distrato",$E292,0)),MIN(AU$38,$D$19),$P$20))-SUM($P292:AT292)</f>
        <v>#VALUE!</v>
      </c>
      <c r="AV292" s="446" t="e">
        <f>IF(OR($B292="",MIN(AV$38,$D$19)&lt;MAX($P$34*($B292+IF($R$17="Distrato",$I$38-1,0)),IF(AND($L$37=0,$P$34=0),"",$L$37-1),IF($R$17="Distrato",$E292,0))),0,YEARFRAC(MAX($P$34*($B292+IF($R$17="Distrato",$I$38-1,0)),IF(AND($L$37=0,$P$34=0),"",$L$37-1),IF($R$17="Distrato",$E292,0)),MIN(AV$38,$D$19),$P$20))-SUM($P292:AU292)</f>
        <v>#VALUE!</v>
      </c>
      <c r="AW292" s="446" t="e">
        <f>IF(OR($B292="",MIN(AW$38,$D$19)&lt;MAX($P$34*($B292+IF($R$17="Distrato",$I$38-1,0)),IF(AND($L$37=0,$P$34=0),"",$L$37-1),IF($R$17="Distrato",$E292,0))),0,YEARFRAC(MAX($P$34*($B292+IF($R$17="Distrato",$I$38-1,0)),IF(AND($L$37=0,$P$34=0),"",$L$37-1),IF($R$17="Distrato",$E292,0)),MIN(AW$38,$D$19),$P$20))-SUM($P292:AV292)</f>
        <v>#VALUE!</v>
      </c>
      <c r="AX292" s="446" t="e">
        <f>IF(OR($B292="",MIN(AX$38,$D$19)&lt;MAX($P$34*($B292+IF($R$17="Distrato",$I$38-1,0)),IF(AND($L$37=0,$P$34=0),"",$L$37-1),IF($R$17="Distrato",$E292,0))),0,YEARFRAC(MAX($P$34*($B292+IF($R$17="Distrato",$I$38-1,0)),IF(AND($L$37=0,$P$34=0),"",$L$37-1),IF($R$17="Distrato",$E292,0)),MIN(AX$38,$D$19),$P$20))-SUM($P292:AW292)</f>
        <v>#VALUE!</v>
      </c>
      <c r="AY292" s="446" t="e">
        <f>IF(OR($B292="",MIN(AY$38,$D$19)&lt;MAX($P$34*($B292+IF($R$17="Distrato",$I$38-1,0)),IF(AND($L$37=0,$P$34=0),"",$L$37-1),IF($R$17="Distrato",$E292,0))),0,YEARFRAC(MAX($P$34*($B292+IF($R$17="Distrato",$I$38-1,0)),IF(AND($L$37=0,$P$34=0),"",$L$37-1),IF($R$17="Distrato",$E292,0)),MIN(AY$38,$D$19),$P$20))-SUM($P292:AX292)</f>
        <v>#VALUE!</v>
      </c>
      <c r="AZ292" s="446" t="e">
        <f>IF(OR($B292="",MIN(AZ$38,$D$19)&lt;MAX($P$34*($B292+IF($R$17="Distrato",$I$38-1,0)),IF(AND($L$37=0,$P$34=0),"",$L$37-1),IF($R$17="Distrato",$E292,0))),0,YEARFRAC(MAX($P$34*($B292+IF($R$17="Distrato",$I$38-1,0)),IF(AND($L$37=0,$P$34=0),"",$L$37-1),IF($R$17="Distrato",$E292,0)),MIN(AZ$38,$D$19),$P$20))-SUM($P292:AY292)</f>
        <v>#VALUE!</v>
      </c>
      <c r="BA292" s="446" t="e">
        <f>IF(OR($B292="",MIN(BA$38,$D$19)&lt;MAX($P$34*($B292+IF($R$17="Distrato",$I$38-1,0)),IF(AND($L$37=0,$P$34=0),"",$L$37-1),IF($R$17="Distrato",$E292,0))),0,YEARFRAC(MAX($P$34*($B292+IF($R$17="Distrato",$I$38-1,0)),IF(AND($L$37=0,$P$34=0),"",$L$37-1),IF($R$17="Distrato",$E292,0)),MIN(BA$38,$D$19),$P$20))-SUM($P292:AZ292)</f>
        <v>#VALUE!</v>
      </c>
      <c r="BB292" s="447"/>
      <c r="BF292" s="446">
        <f t="shared" si="43"/>
        <v>0</v>
      </c>
      <c r="BG292" s="446">
        <f>IF($E292=0,0,IF(MIN(BG$38,$E292)&lt;MAX($P$34*($B292+$I$38-1),IF(AND($L$37=0,$P$34=0),"",$L$37-1)),0,YEARFRAC(MAX($P$34*($B292+$I$38-1),IF(AND($L$37=0,$P$34=0),"",$L$37-1)),MIN(BG$38,$E292),$P$20))-SUM($BF292:BF292))</f>
        <v>0</v>
      </c>
      <c r="BH292" s="446">
        <f>IF($E292=0,0,IF(MIN(BH$38,$E292)&lt;MAX($P$34*($B292+$I$38-1),IF(AND($L$37=0,$P$34=0),"",$L$37-1)),0,YEARFRAC(MAX($P$34*($B292+$I$38-1),IF(AND($L$37=0,$P$34=0),"",$L$37-1)),MIN(BH$38,$E292),$P$20))-SUM($BF292:BG292))</f>
        <v>0</v>
      </c>
      <c r="BI292" s="446">
        <f>IF($E292=0,0,IF(MIN(BI$38,$E292)&lt;MAX($P$34*($B292+$I$38-1),IF(AND($L$37=0,$P$34=0),"",$L$37-1)),0,YEARFRAC(MAX($P$34*($B292+$I$38-1),IF(AND($L$37=0,$P$34=0),"",$L$37-1)),MIN(BI$38,$E292),$P$20))-SUM($BF292:BH292))</f>
        <v>0</v>
      </c>
      <c r="BJ292" s="446">
        <f>IF($E292=0,0,IF(MIN(BJ$38,$E292)&lt;MAX($P$34*($B292+$I$38-1),IF(AND($L$37=0,$P$34=0),"",$L$37-1)),0,YEARFRAC(MAX($P$34*($B292+$I$38-1),IF(AND($L$37=0,$P$34=0),"",$L$37-1)),MIN(BJ$38,$E292),$P$20))-SUM($BF292:BI292))</f>
        <v>0</v>
      </c>
      <c r="BK292" s="446">
        <f>IF($E292=0,0,IF(MIN(BK$38,$E292)&lt;MAX($P$34*($B292+$I$38-1),IF(AND($L$37=0,$P$34=0),"",$L$37-1)),0,YEARFRAC(MAX($P$34*($B292+$I$38-1),IF(AND($L$37=0,$P$34=0),"",$L$37-1)),MIN(BK$38,$E292),$P$20))-SUM($BF292:BJ292))</f>
        <v>0</v>
      </c>
      <c r="BL292" s="446">
        <f>IF($E292=0,0,IF(MIN(BL$38,$E292)&lt;MAX($P$34*($B292+$I$38-1),IF(AND($L$37=0,$P$34=0),"",$L$37-1)),0,YEARFRAC(MAX($P$34*($B292+$I$38-1),IF(AND($L$37=0,$P$34=0),"",$L$37-1)),MIN(BL$38,$E292),$P$20))-SUM($BF292:BK292))</f>
        <v>0</v>
      </c>
      <c r="BM292" s="446">
        <f>IF($E292=0,0,IF(MIN(BM$38,$E292)&lt;MAX($P$34*($B292+$I$38-1),IF(AND($L$37=0,$P$34=0),"",$L$37-1)),0,YEARFRAC(MAX($P$34*($B292+$I$38-1),IF(AND($L$37=0,$P$34=0),"",$L$37-1)),MIN(BM$38,$E292),$P$20))-SUM($BF292:BL292))</f>
        <v>0</v>
      </c>
      <c r="BN292" s="446">
        <f>IF($E292=0,0,IF(MIN(BN$38,$E292)&lt;MAX($P$34*($B292+$I$38-1),IF(AND($L$37=0,$P$34=0),"",$L$37-1)),0,YEARFRAC(MAX($P$34*($B292+$I$38-1),IF(AND($L$37=0,$P$34=0),"",$L$37-1)),MIN(BN$38,$E292),$P$20))-SUM($BF292:BM292))</f>
        <v>0</v>
      </c>
      <c r="BO292" s="446">
        <f>IF($E292=0,0,IF(MIN(BO$38,$E292)&lt;MAX($P$34*($B292+$I$38-1),IF(AND($L$37=0,$P$34=0),"",$L$37-1)),0,YEARFRAC(MAX($P$34*($B292+$I$38-1),IF(AND($L$37=0,$P$34=0),"",$L$37-1)),MIN(BO$38,$E292),$P$20))-SUM($BF292:BN292))</f>
        <v>0</v>
      </c>
      <c r="BP292" s="446">
        <f>IF($E292=0,0,IF(MIN(BP$38,$E292)&lt;MAX($P$34*($B292+$I$38-1),IF(AND($L$37=0,$P$34=0),"",$L$37-1)),0,YEARFRAC(MAX($P$34*($B292+$I$38-1),IF(AND($L$37=0,$P$34=0),"",$L$37-1)),MIN(BP$38,$E292),$P$20))-SUM($BF292:BO292))</f>
        <v>0</v>
      </c>
      <c r="BQ292" s="446">
        <f>IF($E292=0,0,IF(MIN(BQ$38,$E292)&lt;MAX($P$34*($B292+$I$38-1),IF(AND($L$37=0,$P$34=0),"",$L$37-1)),0,YEARFRAC(MAX($P$34*($B292+$I$38-1),IF(AND($L$37=0,$P$34=0),"",$L$37-1)),MIN(BQ$38,$E292),$P$20))-SUM($BF292:BP292))</f>
        <v>0</v>
      </c>
      <c r="BR292" s="446">
        <f>IF($E292=0,0,IF(MIN(BR$38,$E292)&lt;MAX($P$34*($B292+$I$38-1),IF(AND($L$37=0,$P$34=0),"",$L$37-1)),0,YEARFRAC(MAX($P$34*($B292+$I$38-1),IF(AND($L$37=0,$P$34=0),"",$L$37-1)),MIN(BR$38,$E292),$P$20))-SUM($BF292:BQ292))</f>
        <v>0</v>
      </c>
      <c r="BS292" s="446">
        <f>IF($E292=0,0,IF(MIN(BS$38,$E292)&lt;MAX($P$34*($B292+$I$38-1),IF(AND($L$37=0,$P$34=0),"",$L$37-1)),0,YEARFRAC(MAX($P$34*($B292+$I$38-1),IF(AND($L$37=0,$P$34=0),"",$L$37-1)),MIN(BS$38,$E292),$P$20))-SUM($BF292:BR292))</f>
        <v>0</v>
      </c>
      <c r="BT292" s="446">
        <f>IF($E292=0,0,IF(MIN(BT$38,$E292)&lt;MAX($P$34*($B292+$I$38-1),IF(AND($L$37=0,$P$34=0),"",$L$37-1)),0,YEARFRAC(MAX($P$34*($B292+$I$38-1),IF(AND($L$37=0,$P$34=0),"",$L$37-1)),MIN(BT$38,$E292),$P$20))-SUM($BF292:BS292))</f>
        <v>0</v>
      </c>
      <c r="BU292" s="446">
        <f>IF($E292=0,0,IF(MIN(BU$38,$E292)&lt;MAX($P$34*($B292+$I$38-1),IF(AND($L$37=0,$P$34=0),"",$L$37-1)),0,YEARFRAC(MAX($P$34*($B292+$I$38-1),IF(AND($L$37=0,$P$34=0),"",$L$37-1)),MIN(BU$38,$E292),$P$20))-SUM($BF292:BT292))</f>
        <v>0</v>
      </c>
      <c r="BV292" s="446">
        <f>IF($E292=0,0,IF(MIN(BV$38,$E292)&lt;MAX($P$34*($B292+$I$38-1),IF(AND($L$37=0,$P$34=0),"",$L$37-1)),0,YEARFRAC(MAX($P$34*($B292+$I$38-1),IF(AND($L$37=0,$P$34=0),"",$L$37-1)),MIN(BV$38,$E292),$P$20))-SUM($BF292:BU292))</f>
        <v>0</v>
      </c>
      <c r="BW292" s="446">
        <f>IF($E292=0,0,IF(MIN(BW$38,$E292)&lt;MAX($P$34*($B292+$I$38-1),IF(AND($L$37=0,$P$34=0),"",$L$37-1)),0,YEARFRAC(MAX($P$34*($B292+$I$38-1),IF(AND($L$37=0,$P$34=0),"",$L$37-1)),MIN(BW$38,$E292),$P$20))-SUM($BF292:BV292))</f>
        <v>0</v>
      </c>
      <c r="BX292" s="446">
        <f>IF($E292=0,0,IF(MIN(BX$38,$E292)&lt;MAX($P$34*($B292+$I$38-1),IF(AND($L$37=0,$P$34=0),"",$L$37-1)),0,YEARFRAC(MAX($P$34*($B292+$I$38-1),IF(AND($L$37=0,$P$34=0),"",$L$37-1)),MIN(BX$38,$E292),$P$20))-SUM($BF292:BW292))</f>
        <v>0</v>
      </c>
      <c r="BY292" s="446">
        <f>IF($E292=0,0,IF(MIN(BY$38,$E292)&lt;MAX($P$34*($B292+$I$38-1),IF(AND($L$37=0,$P$34=0),"",$L$37-1)),0,YEARFRAC(MAX($P$34*($B292+$I$38-1),IF(AND($L$37=0,$P$34=0),"",$L$37-1)),MIN(BY$38,$E292),$P$20))-SUM($BF292:BX292))</f>
        <v>0</v>
      </c>
      <c r="BZ292" s="446">
        <f>IF($E292=0,0,IF(MIN(BZ$38,$E292)&lt;MAX($P$34*($B292+$I$38-1),IF(AND($L$37=0,$P$34=0),"",$L$37-1)),0,YEARFRAC(MAX($P$34*($B292+$I$38-1),IF(AND($L$37=0,$P$34=0),"",$L$37-1)),MIN(BZ$38,$E292),$P$20))-SUM($BF292:BY292))</f>
        <v>0</v>
      </c>
      <c r="CA292" s="446">
        <f>IF($E292=0,0,IF(MIN(CA$38,$E292)&lt;MAX($P$34*($B292+$I$38-1),IF(AND($L$37=0,$P$34=0),"",$L$37-1)),0,YEARFRAC(MAX($P$34*($B292+$I$38-1),IF(AND($L$37=0,$P$34=0),"",$L$37-1)),MIN(CA$38,$E292),$P$20))-SUM($BF292:BZ292))</f>
        <v>0</v>
      </c>
      <c r="CB292" s="446">
        <f>IF($E292=0,0,IF(MIN(CB$38,$E292)&lt;MAX($P$34*($B292+$I$38-1),IF(AND($L$37=0,$P$34=0),"",$L$37-1)),0,YEARFRAC(MAX($P$34*($B292+$I$38-1),IF(AND($L$37=0,$P$34=0),"",$L$37-1)),MIN(CB$38,$E292),$P$20))-SUM($BF292:CA292))</f>
        <v>0</v>
      </c>
      <c r="CC292" s="446">
        <f>IF($E292=0,0,IF(MIN(CC$38,$E292)&lt;MAX($P$34*($B292+$I$38-1),IF(AND($L$37=0,$P$34=0),"",$L$37-1)),0,YEARFRAC(MAX($P$34*($B292+$I$38-1),IF(AND($L$37=0,$P$34=0),"",$L$37-1)),MIN(CC$38,$E292),$P$20))-SUM($BF292:CB292))</f>
        <v>0</v>
      </c>
      <c r="CD292" s="446">
        <f>IF($E292=0,0,IF(MIN(CD$38,$E292)&lt;MAX($P$34*($B292+$I$38-1),IF(AND($L$37=0,$P$34=0),"",$L$37-1)),0,YEARFRAC(MAX($P$34*($B292+$I$38-1),IF(AND($L$37=0,$P$34=0),"",$L$37-1)),MIN(CD$38,$E292),$P$20))-SUM($BF292:CC292))</f>
        <v>0</v>
      </c>
      <c r="CE292" s="446">
        <f>IF($E292=0,0,IF(MIN(CE$38,$E292)&lt;MAX($P$34*($B292+$I$38-1),IF(AND($L$37=0,$P$34=0),"",$L$37-1)),0,YEARFRAC(MAX($P$34*($B292+$I$38-1),IF(AND($L$37=0,$P$34=0),"",$L$37-1)),MIN(CE$38,$E292),$P$20))-SUM($BF292:CD292))</f>
        <v>0</v>
      </c>
      <c r="CF292" s="446">
        <f>IF($E292=0,0,IF(MIN(CF$38,$E292)&lt;MAX($P$34*($B292+$I$38-1),IF(AND($L$37=0,$P$34=0),"",$L$37-1)),0,YEARFRAC(MAX($P$34*($B292+$I$38-1),IF(AND($L$37=0,$P$34=0),"",$L$37-1)),MIN(CF$38,$E292),$P$20))-SUM($BF292:CE292))</f>
        <v>0</v>
      </c>
      <c r="CG292" s="446">
        <f>IF($E292=0,0,IF(MIN(CG$38,$E292)&lt;MAX($P$34*($B292+$I$38-1),IF(AND($L$37=0,$P$34=0),"",$L$37-1)),0,YEARFRAC(MAX($P$34*($B292+$I$38-1),IF(AND($L$37=0,$P$34=0),"",$L$37-1)),MIN(CG$38,$E292),$P$20))-SUM($BF292:CF292))</f>
        <v>0</v>
      </c>
      <c r="CH292" s="446">
        <f>IF($E292=0,0,IF(MIN(CH$38,$E292)&lt;MAX($P$34*($B292+$I$38-1),IF(AND($L$37=0,$P$34=0),"",$L$37-1)),0,YEARFRAC(MAX($P$34*($B292+$I$38-1),IF(AND($L$37=0,$P$34=0),"",$L$37-1)),MIN(CH$38,$E292),$P$20))-SUM($BF292:CG292))</f>
        <v>0</v>
      </c>
      <c r="CI292" s="446">
        <f>IF($E292=0,0,IF(MIN(CI$38,$E292)&lt;MAX($P$34*($B292+$I$38-1),IF(AND($L$37=0,$P$34=0),"",$L$37-1)),0,YEARFRAC(MAX($P$34*($B292+$I$38-1),IF(AND($L$37=0,$P$34=0),"",$L$37-1)),MIN(CI$38,$E292),$P$20))-SUM($BF292:CH292))</f>
        <v>0</v>
      </c>
      <c r="CJ292" s="446">
        <f>IF($E292=0,0,IF(MIN(CJ$38,$E292)&lt;MAX($P$34*($B292+$I$38-1),IF(AND($L$37=0,$P$34=0),"",$L$37-1)),0,YEARFRAC(MAX($P$34*($B292+$I$38-1),IF(AND($L$37=0,$P$34=0),"",$L$37-1)),MIN(CJ$38,$E292),$P$20))-SUM($BF292:CI292))</f>
        <v>0</v>
      </c>
      <c r="CK292" s="446">
        <f>IF($E292=0,0,IF(MIN(CK$38,$E292)&lt;MAX($P$34*($B292+$I$38-1),IF(AND($L$37=0,$P$34=0),"",$L$37-1)),0,YEARFRAC(MAX($P$34*($B292+$I$38-1),IF(AND($L$37=0,$P$34=0),"",$L$37-1)),MIN(CK$38,$E292),$P$20))-SUM($BF292:CJ292))</f>
        <v>0</v>
      </c>
      <c r="CL292" s="446">
        <f>IF($E292=0,0,IF(MIN(CL$38,$E292)&lt;MAX($P$34*($B292+$I$38-1),IF(AND($L$37=0,$P$34=0),"",$L$37-1)),0,YEARFRAC(MAX($P$34*($B292+$I$38-1),IF(AND($L$37=0,$P$34=0),"",$L$37-1)),MIN(CL$38,$E292),$P$20))-SUM($BF292:CK292))</f>
        <v>0</v>
      </c>
      <c r="CM292" s="446">
        <f>IF($E292=0,0,IF(MIN(CM$38,$E292)&lt;MAX($P$34*($B292+$I$38-1),IF(AND($L$37=0,$P$34=0),"",$L$37-1)),0,YEARFRAC(MAX($P$34*($B292+$I$38-1),IF(AND($L$37=0,$P$34=0),"",$L$37-1)),MIN(CM$38,$E292),$P$20))-SUM($BF292:CL292))</f>
        <v>0</v>
      </c>
      <c r="CN292" s="446">
        <f>IF($E292=0,0,IF(MIN(CN$38,$E292)&lt;MAX($P$34*($B292+$I$38-1),IF(AND($L$37=0,$P$34=0),"",$L$37-1)),0,YEARFRAC(MAX($P$34*($B292+$I$38-1),IF(AND($L$37=0,$P$34=0),"",$L$37-1)),MIN(CN$38,$E292),$P$20))-SUM($BF292:CM292))</f>
        <v>0</v>
      </c>
      <c r="CO292" s="446">
        <f>IF($E292=0,0,IF(MIN(CO$38,$E292)&lt;MAX($P$34*($B292+$I$38-1),IF(AND($L$37=0,$P$34=0),"",$L$37-1)),0,YEARFRAC(MAX($P$34*($B292+$I$38-1),IF(AND($L$37=0,$P$34=0),"",$L$37-1)),MIN(CO$38,$E292),$P$20))-SUM($BF292:CN292))</f>
        <v>0</v>
      </c>
      <c r="CP292" s="446">
        <f>IF($E292=0,0,IF(MIN(CP$38,$E292)&lt;MAX($P$34*($B292+$I$38-1),IF(AND($L$37=0,$P$34=0),"",$L$37-1)),0,YEARFRAC(MAX($P$34*($B292+$I$38-1),IF(AND($L$37=0,$P$34=0),"",$L$37-1)),MIN(CP$38,$E292),$P$20))-SUM($BF292:CO292))</f>
        <v>0</v>
      </c>
      <c r="CQ292" s="446">
        <f>IF($E292=0,0,IF(MIN(CQ$38,$E292)&lt;MAX($P$34*($B292+$I$38-1),IF(AND($L$37=0,$P$34=0),"",$L$37-1)),0,YEARFRAC(MAX($P$34*($B292+$I$38-1),IF(AND($L$37=0,$P$34=0),"",$L$37-1)),MIN(CQ$38,$E292),$P$20))-SUM($BF292:CP292))</f>
        <v>0</v>
      </c>
    </row>
    <row r="293" spans="1:95" s="446" customFormat="1" ht="11.25" hidden="1" customHeight="1" x14ac:dyDescent="0.2">
      <c r="A293" s="152"/>
      <c r="B293" s="153" t="str">
        <f t="shared" si="48"/>
        <v/>
      </c>
      <c r="C293" s="29" t="str">
        <f>IF(B293="","",IF($L$35="SELIC - TRIBUTOS",VLOOKUP(DATE(YEAR($D$19),MONTH($D$19)-1,1),ÍNDICES!$A:$DE,HLOOKUP($BL$25,ÍNDICES!$B$3:$T$4,2)+11)-VLOOKUP(B293,ÍNDICES!$A:$DE,HLOOKUP($BL$25,ÍNDICES!$B$3:$T$4,2)+11)+1%,IF(C$38=$W$26,$J$35,IF(ISERROR(IF(B293&gt;$D$19,1,VLOOKUP(DATE(YEAR(B293),MONTH(B293)+IF($C$35=$S$23,1,0),1),ÍNDICES!$A:$DE,$Z$35+1))),"",IF(B293&gt;$D$19,1,VLOOKUP(DATE(YEAR(B293),MONTH(B293)+IF($C$35=$S$23,1,0),1),ÍNDICES!$A:$DE,$Z$35+1))))))</f>
        <v/>
      </c>
      <c r="D293" s="154" t="str">
        <f>IF(ISERROR(IF(OR($D$38=$Y$27,$B293=""),"",VLOOKUP(B293,ÍNDICES!A:DE,AF$35+1))),"",IF(OR($D$38=$Y$27,$B293=""),"",VLOOKUP(B293,ÍNDICES!A:DE,AF$35+1)))</f>
        <v/>
      </c>
      <c r="E293" s="153"/>
      <c r="F293" s="29" t="str">
        <f>IF(E293="","",IF($L$35="SELIC - TRIBUTOS",VLOOKUP(DATE(YEAR($D$19),MONTH($D$19)-1,1),ÍNDICES!$A:$DE,HLOOKUP($BL$25,ÍNDICES!$B$3:$T$4,2)+11)-VLOOKUP(E293,ÍNDICES!$A:$DE,HLOOKUP($BL$25,ÍNDICES!$B$3:$T$4,2)+11)+1%,IF(F$38=$W$26,$J$35,IF(ISERROR(IF(E293&gt;$D$19,1,VLOOKUP(DATE(YEAR(E293),MONTH(E293)+IF($C$35=$S$23,1,0),1),ÍNDICES!$A:$DE,$Z$35+1))),"",IF(E293&gt;$D$19,1,VLOOKUP(DATE(YEAR(E293),MONTH(E293)+IF($C$35=$S$23,1,0),1),ÍNDICES!$A:$DE,$Z$35+1))))))</f>
        <v/>
      </c>
      <c r="G293" s="155"/>
      <c r="H293" s="156" t="str">
        <f t="shared" si="44"/>
        <v/>
      </c>
      <c r="I293" s="29" t="str">
        <f t="shared" si="38"/>
        <v/>
      </c>
      <c r="J293" s="5">
        <f t="shared" si="39"/>
        <v>0</v>
      </c>
      <c r="K293" s="20">
        <f t="shared" ca="1" si="40"/>
        <v>0</v>
      </c>
      <c r="L293" s="5">
        <f t="shared" ca="1" si="41"/>
        <v>0</v>
      </c>
      <c r="M293" s="64">
        <f t="shared" si="45"/>
        <v>0</v>
      </c>
      <c r="N293" s="61">
        <f t="shared" ca="1" si="46"/>
        <v>0</v>
      </c>
      <c r="O293" s="5">
        <f t="shared" ca="1" si="47"/>
        <v>0</v>
      </c>
      <c r="P293" s="446" t="e">
        <f t="shared" si="42"/>
        <v>#VALUE!</v>
      </c>
      <c r="Q293" s="446" t="e">
        <f>IF(OR($B293="",MIN(Q$38,$D$19)&lt;MAX($P$34*($B293+IF($R$17="Distrato",$I$38-1,0)),IF(AND($L$37=0,$P$34=0),"",$L$37-1),IF($R$17="Distrato",$E293,0))),0,YEARFRAC(MAX($P$34*($B293+IF($R$17="Distrato",$I$38-1,0)),IF(AND($L$37=0,$P$34=0),"",$L$37-1),IF($R$17="Distrato",$E293,0)),MIN(Q$38,$D$19),$P$20))-SUM($P293:P293)</f>
        <v>#VALUE!</v>
      </c>
      <c r="R293" s="446" t="e">
        <f>IF(OR($B293="",MIN(R$38,$D$19)&lt;MAX($P$34*($B293+IF($R$17="Distrato",$I$38-1,0)),IF(AND($L$37=0,$P$34=0),"",$L$37-1),IF($R$17="Distrato",$E293,0))),0,YEARFRAC(MAX($P$34*($B293+IF($R$17="Distrato",$I$38-1,0)),IF(AND($L$37=0,$P$34=0),"",$L$37-1),IF($R$17="Distrato",$E293,0)),MIN(R$38,$D$19),$P$20))-SUM($P293:Q293)</f>
        <v>#VALUE!</v>
      </c>
      <c r="S293" s="446" t="e">
        <f>IF(OR($B293="",MIN(S$38,$D$19)&lt;MAX($P$34*($B293+IF($R$17="Distrato",$I$38-1,0)),IF(AND($L$37=0,$P$34=0),"",$L$37-1),IF($R$17="Distrato",$E293,0))),0,YEARFRAC(MAX($P$34*($B293+IF($R$17="Distrato",$I$38-1,0)),IF(AND($L$37=0,$P$34=0),"",$L$37-1),IF($R$17="Distrato",$E293,0)),MIN(S$38,$D$19),$P$20))-SUM($P293:R293)</f>
        <v>#VALUE!</v>
      </c>
      <c r="T293" s="446" t="e">
        <f>IF(OR($B293="",MIN(T$38,$D$19)&lt;MAX($P$34*($B293+IF($R$17="Distrato",$I$38-1,0)),IF(AND($L$37=0,$P$34=0),"",$L$37-1),IF($R$17="Distrato",$E293,0))),0,YEARFRAC(MAX($P$34*($B293+IF($R$17="Distrato",$I$38-1,0)),IF(AND($L$37=0,$P$34=0),"",$L$37-1),IF($R$17="Distrato",$E293,0)),MIN(T$38,$D$19),$P$20))-SUM($P293:S293)</f>
        <v>#VALUE!</v>
      </c>
      <c r="U293" s="446" t="e">
        <f>IF(OR($B293="",MIN(U$38,$D$19)&lt;MAX($P$34*($B293+IF($R$17="Distrato",$I$38-1,0)),IF(AND($L$37=0,$P$34=0),"",$L$37-1),IF($R$17="Distrato",$E293,0))),0,YEARFRAC(MAX($P$34*($B293+IF($R$17="Distrato",$I$38-1,0)),IF(AND($L$37=0,$P$34=0),"",$L$37-1),IF($R$17="Distrato",$E293,0)),MIN(U$38,$D$19),$P$20))-SUM($P293:T293)</f>
        <v>#VALUE!</v>
      </c>
      <c r="V293" s="446" t="e">
        <f>IF(OR($B293="",MIN(V$38,$D$19)&lt;MAX($P$34*($B293+IF($R$17="Distrato",$I$38-1,0)),IF(AND($L$37=0,$P$34=0),"",$L$37-1),IF($R$17="Distrato",$E293,0))),0,YEARFRAC(MAX($P$34*($B293+IF($R$17="Distrato",$I$38-1,0)),IF(AND($L$37=0,$P$34=0),"",$L$37-1),IF($R$17="Distrato",$E293,0)),MIN(V$38,$D$19),$P$20))-SUM($P293:U293)</f>
        <v>#VALUE!</v>
      </c>
      <c r="W293" s="446" t="e">
        <f>IF(OR($B293="",MIN(W$38,$D$19)&lt;MAX($P$34*($B293+IF($R$17="Distrato",$I$38-1,0)),IF(AND($L$37=0,$P$34=0),"",$L$37-1),IF($R$17="Distrato",$E293,0))),0,YEARFRAC(MAX($P$34*($B293+IF($R$17="Distrato",$I$38-1,0)),IF(AND($L$37=0,$P$34=0),"",$L$37-1),IF($R$17="Distrato",$E293,0)),MIN(W$38,$D$19),$P$20))-SUM($P293:V293)</f>
        <v>#VALUE!</v>
      </c>
      <c r="X293" s="446" t="e">
        <f>IF(OR($B293="",MIN(X$38,$D$19)&lt;MAX($P$34*($B293+IF($R$17="Distrato",$I$38-1,0)),IF(AND($L$37=0,$P$34=0),"",$L$37-1),IF($R$17="Distrato",$E293,0))),0,YEARFRAC(MAX($P$34*($B293+IF($R$17="Distrato",$I$38-1,0)),IF(AND($L$37=0,$P$34=0),"",$L$37-1),IF($R$17="Distrato",$E293,0)),MIN(X$38,$D$19),$P$20))-SUM($P293:W293)</f>
        <v>#VALUE!</v>
      </c>
      <c r="Y293" s="446" t="e">
        <f>IF(OR($B293="",MIN(Y$38,$D$19)&lt;MAX($P$34*($B293+IF($R$17="Distrato",$I$38-1,0)),IF(AND($L$37=0,$P$34=0),"",$L$37-1),IF($R$17="Distrato",$E293,0))),0,YEARFRAC(MAX($P$34*($B293+IF($R$17="Distrato",$I$38-1,0)),IF(AND($L$37=0,$P$34=0),"",$L$37-1),IF($R$17="Distrato",$E293,0)),MIN(Y$38,$D$19),$P$20))-SUM($P293:X293)</f>
        <v>#VALUE!</v>
      </c>
      <c r="Z293" s="446" t="e">
        <f>IF(OR($B293="",MIN(Z$38,$D$19)&lt;MAX($P$34*($B293+IF($R$17="Distrato",$I$38-1,0)),IF(AND($L$37=0,$P$34=0),"",$L$37-1),IF($R$17="Distrato",$E293,0))),0,YEARFRAC(MAX($P$34*($B293+IF($R$17="Distrato",$I$38-1,0)),IF(AND($L$37=0,$P$34=0),"",$L$37-1),IF($R$17="Distrato",$E293,0)),MIN(Z$38,$D$19),$P$20))-SUM($P293:Y293)</f>
        <v>#VALUE!</v>
      </c>
      <c r="AA293" s="446" t="e">
        <f>IF(OR($B293="",MIN(AA$38,$D$19)&lt;MAX($P$34*($B293+IF($R$17="Distrato",$I$38-1,0)),IF(AND($L$37=0,$P$34=0),"",$L$37-1),IF($R$17="Distrato",$E293,0))),0,YEARFRAC(MAX($P$34*($B293+IF($R$17="Distrato",$I$38-1,0)),IF(AND($L$37=0,$P$34=0),"",$L$37-1),IF($R$17="Distrato",$E293,0)),MIN(AA$38,$D$19),$P$20))-SUM($P293:Z293)</f>
        <v>#VALUE!</v>
      </c>
      <c r="AB293" s="446" t="e">
        <f>IF(OR($B293="",MIN(AB$38,$D$19)&lt;MAX($P$34*($B293+IF($R$17="Distrato",$I$38-1,0)),IF(AND($L$37=0,$P$34=0),"",$L$37-1),IF($R$17="Distrato",$E293,0))),0,YEARFRAC(MAX($P$34*($B293+IF($R$17="Distrato",$I$38-1,0)),IF(AND($L$37=0,$P$34=0),"",$L$37-1),IF($R$17="Distrato",$E293,0)),MIN(AB$38,$D$19),$P$20))-SUM($P293:AA293)</f>
        <v>#VALUE!</v>
      </c>
      <c r="AC293" s="446" t="e">
        <f>IF(OR($B293="",MIN(AC$38,$D$19)&lt;MAX($P$34*($B293+IF($R$17="Distrato",$I$38-1,0)),IF(AND($L$37=0,$P$34=0),"",$L$37-1),IF($R$17="Distrato",$E293,0))),0,YEARFRAC(MAX($P$34*($B293+IF($R$17="Distrato",$I$38-1,0)),IF(AND($L$37=0,$P$34=0),"",$L$37-1),IF($R$17="Distrato",$E293,0)),MIN(AC$38,$D$19),$P$20))-SUM($P293:AB293)</f>
        <v>#VALUE!</v>
      </c>
      <c r="AD293" s="446" t="e">
        <f>IF(OR($B293="",MIN(AD$38,$D$19)&lt;MAX($P$34*($B293+IF($R$17="Distrato",$I$38-1,0)),IF(AND($L$37=0,$P$34=0),"",$L$37-1),IF($R$17="Distrato",$E293,0))),0,YEARFRAC(MAX($P$34*($B293+IF($R$17="Distrato",$I$38-1,0)),IF(AND($L$37=0,$P$34=0),"",$L$37-1),IF($R$17="Distrato",$E293,0)),MIN(AD$38,$D$19),$P$20))-SUM($P293:AC293)</f>
        <v>#VALUE!</v>
      </c>
      <c r="AE293" s="446" t="e">
        <f>IF(OR($B293="",MIN(AE$38,$D$19)&lt;MAX($P$34*($B293+IF($R$17="Distrato",$I$38-1,0)),IF(AND($L$37=0,$P$34=0),"",$L$37-1),IF($R$17="Distrato",$E293,0))),0,YEARFRAC(MAX($P$34*($B293+IF($R$17="Distrato",$I$38-1,0)),IF(AND($L$37=0,$P$34=0),"",$L$37-1),IF($R$17="Distrato",$E293,0)),MIN(AE$38,$D$19),$P$20))-SUM($P293:AD293)</f>
        <v>#VALUE!</v>
      </c>
      <c r="AF293" s="446" t="e">
        <f>IF(OR($B293="",MIN(AF$38,$D$19)&lt;MAX($P$34*($B293+IF($R$17="Distrato",$I$38-1,0)),IF(AND($L$37=0,$P$34=0),"",$L$37-1),IF($R$17="Distrato",$E293,0))),0,YEARFRAC(MAX($P$34*($B293+IF($R$17="Distrato",$I$38-1,0)),IF(AND($L$37=0,$P$34=0),"",$L$37-1),IF($R$17="Distrato",$E293,0)),MIN(AF$38,$D$19),$P$20))-SUM($P293:AE293)</f>
        <v>#VALUE!</v>
      </c>
      <c r="AG293" s="446" t="e">
        <f>IF(OR($B293="",MIN(AG$38,$D$19)&lt;MAX($P$34*($B293+IF($R$17="Distrato",$I$38-1,0)),IF(AND($L$37=0,$P$34=0),"",$L$37-1),IF($R$17="Distrato",$E293,0))),0,YEARFRAC(MAX($P$34*($B293+IF($R$17="Distrato",$I$38-1,0)),IF(AND($L$37=0,$P$34=0),"",$L$37-1),IF($R$17="Distrato",$E293,0)),MIN(AG$38,$D$19),$P$20))-SUM($P293:AF293)</f>
        <v>#VALUE!</v>
      </c>
      <c r="AH293" s="446" t="e">
        <f>IF(OR($B293="",MIN(AH$38,$D$19)&lt;MAX($P$34*($B293+IF($R$17="Distrato",$I$38-1,0)),IF(AND($L$37=0,$P$34=0),"",$L$37-1),IF($R$17="Distrato",$E293,0))),0,YEARFRAC(MAX($P$34*($B293+IF($R$17="Distrato",$I$38-1,0)),IF(AND($L$37=0,$P$34=0),"",$L$37-1),IF($R$17="Distrato",$E293,0)),MIN(AH$38,$D$19),$P$20))-SUM($P293:AG293)</f>
        <v>#VALUE!</v>
      </c>
      <c r="AI293" s="446" t="e">
        <f>IF(OR($B293="",MIN(AI$38,$D$19)&lt;MAX($P$34*($B293+IF($R$17="Distrato",$I$38-1,0)),IF(AND($L$37=0,$P$34=0),"",$L$37-1),IF($R$17="Distrato",$E293,0))),0,YEARFRAC(MAX($P$34*($B293+IF($R$17="Distrato",$I$38-1,0)),IF(AND($L$37=0,$P$34=0),"",$L$37-1),IF($R$17="Distrato",$E293,0)),MIN(AI$38,$D$19),$P$20))-SUM($P293:AH293)</f>
        <v>#VALUE!</v>
      </c>
      <c r="AJ293" s="446" t="e">
        <f>IF(OR($B293="",MIN(AJ$38,$D$19)&lt;MAX($P$34*($B293+IF($R$17="Distrato",$I$38-1,0)),IF(AND($L$37=0,$P$34=0),"",$L$37-1),IF($R$17="Distrato",$E293,0))),0,YEARFRAC(MAX($P$34*($B293+IF($R$17="Distrato",$I$38-1,0)),IF(AND($L$37=0,$P$34=0),"",$L$37-1),IF($R$17="Distrato",$E293,0)),MIN(AJ$38,$D$19),$P$20))-SUM($P293:AI293)</f>
        <v>#VALUE!</v>
      </c>
      <c r="AK293" s="446" t="e">
        <f>IF(OR($B293="",MIN(AK$38,$D$19)&lt;MAX($P$34*($B293+IF($R$17="Distrato",$I$38-1,0)),IF(AND($L$37=0,$P$34=0),"",$L$37-1),IF($R$17="Distrato",$E293,0))),0,YEARFRAC(MAX($P$34*($B293+IF($R$17="Distrato",$I$38-1,0)),IF(AND($L$37=0,$P$34=0),"",$L$37-1),IF($R$17="Distrato",$E293,0)),MIN(AK$38,$D$19),$P$20))-SUM($P293:AJ293)</f>
        <v>#VALUE!</v>
      </c>
      <c r="AL293" s="446" t="e">
        <f>IF(OR($B293="",MIN(AL$38,$D$19)&lt;MAX($P$34*($B293+IF($R$17="Distrato",$I$38-1,0)),IF(AND($L$37=0,$P$34=0),"",$L$37-1),IF($R$17="Distrato",$E293,0))),0,YEARFRAC(MAX($P$34*($B293+IF($R$17="Distrato",$I$38-1,0)),IF(AND($L$37=0,$P$34=0),"",$L$37-1),IF($R$17="Distrato",$E293,0)),MIN(AL$38,$D$19),$P$20))-SUM($P293:AK293)</f>
        <v>#VALUE!</v>
      </c>
      <c r="AM293" s="446" t="e">
        <f>IF(OR($B293="",MIN(AM$38,$D$19)&lt;MAX($P$34*($B293+IF($R$17="Distrato",$I$38-1,0)),IF(AND($L$37=0,$P$34=0),"",$L$37-1),IF($R$17="Distrato",$E293,0))),0,YEARFRAC(MAX($P$34*($B293+IF($R$17="Distrato",$I$38-1,0)),IF(AND($L$37=0,$P$34=0),"",$L$37-1),IF($R$17="Distrato",$E293,0)),MIN(AM$38,$D$19),$P$20))-SUM($P293:AL293)</f>
        <v>#VALUE!</v>
      </c>
      <c r="AN293" s="446" t="e">
        <f>IF(OR($B293="",MIN(AN$38,$D$19)&lt;MAX($P$34*($B293+IF($R$17="Distrato",$I$38-1,0)),IF(AND($L$37=0,$P$34=0),"",$L$37-1),IF($R$17="Distrato",$E293,0))),0,YEARFRAC(MAX($P$34*($B293+IF($R$17="Distrato",$I$38-1,0)),IF(AND($L$37=0,$P$34=0),"",$L$37-1),IF($R$17="Distrato",$E293,0)),MIN(AN$38,$D$19),$P$20))-SUM($P293:AM293)</f>
        <v>#VALUE!</v>
      </c>
      <c r="AO293" s="446" t="e">
        <f>IF(OR($B293="",MIN(AO$38,$D$19)&lt;MAX($P$34*($B293+IF($R$17="Distrato",$I$38-1,0)),IF(AND($L$37=0,$P$34=0),"",$L$37-1),IF($R$17="Distrato",$E293,0))),0,YEARFRAC(MAX($P$34*($B293+IF($R$17="Distrato",$I$38-1,0)),IF(AND($L$37=0,$P$34=0),"",$L$37-1),IF($R$17="Distrato",$E293,0)),MIN(AO$38,$D$19),$P$20))-SUM($P293:AN293)</f>
        <v>#VALUE!</v>
      </c>
      <c r="AP293" s="446" t="e">
        <f>IF(OR($B293="",MIN(AP$38,$D$19)&lt;MAX($P$34*($B293+IF($R$17="Distrato",$I$38-1,0)),IF(AND($L$37=0,$P$34=0),"",$L$37-1),IF($R$17="Distrato",$E293,0))),0,YEARFRAC(MAX($P$34*($B293+IF($R$17="Distrato",$I$38-1,0)),IF(AND($L$37=0,$P$34=0),"",$L$37-1),IF($R$17="Distrato",$E293,0)),MIN(AP$38,$D$19),$P$20))-SUM($P293:AO293)</f>
        <v>#VALUE!</v>
      </c>
      <c r="AQ293" s="446" t="e">
        <f>IF(OR($B293="",MIN(AQ$38,$D$19)&lt;MAX($P$34*($B293+IF($R$17="Distrato",$I$38-1,0)),IF(AND($L$37=0,$P$34=0),"",$L$37-1),IF($R$17="Distrato",$E293,0))),0,YEARFRAC(MAX($P$34*($B293+IF($R$17="Distrato",$I$38-1,0)),IF(AND($L$37=0,$P$34=0),"",$L$37-1),IF($R$17="Distrato",$E293,0)),MIN(AQ$38,$D$19),$P$20))-SUM($P293:AP293)</f>
        <v>#VALUE!</v>
      </c>
      <c r="AR293" s="446" t="e">
        <f>IF(OR($B293="",MIN(AR$38,$D$19)&lt;MAX($P$34*($B293+IF($R$17="Distrato",$I$38-1,0)),IF(AND($L$37=0,$P$34=0),"",$L$37-1),IF($R$17="Distrato",$E293,0))),0,YEARFRAC(MAX($P$34*($B293+IF($R$17="Distrato",$I$38-1,0)),IF(AND($L$37=0,$P$34=0),"",$L$37-1),IF($R$17="Distrato",$E293,0)),MIN(AR$38,$D$19),$P$20))-SUM($P293:AQ293)</f>
        <v>#VALUE!</v>
      </c>
      <c r="AS293" s="446" t="e">
        <f>IF(OR($B293="",MIN(AS$38,$D$19)&lt;MAX($P$34*($B293+IF($R$17="Distrato",$I$38-1,0)),IF(AND($L$37=0,$P$34=0),"",$L$37-1),IF($R$17="Distrato",$E293,0))),0,YEARFRAC(MAX($P$34*($B293+IF($R$17="Distrato",$I$38-1,0)),IF(AND($L$37=0,$P$34=0),"",$L$37-1),IF($R$17="Distrato",$E293,0)),MIN(AS$38,$D$19),$P$20))-SUM($P293:AR293)</f>
        <v>#VALUE!</v>
      </c>
      <c r="AT293" s="446" t="e">
        <f>IF(OR($B293="",MIN(AT$38,$D$19)&lt;MAX($P$34*($B293+IF($R$17="Distrato",$I$38-1,0)),IF(AND($L$37=0,$P$34=0),"",$L$37-1),IF($R$17="Distrato",$E293,0))),0,YEARFRAC(MAX($P$34*($B293+IF($R$17="Distrato",$I$38-1,0)),IF(AND($L$37=0,$P$34=0),"",$L$37-1),IF($R$17="Distrato",$E293,0)),MIN(AT$38,$D$19),$P$20))-SUM($P293:AS293)</f>
        <v>#VALUE!</v>
      </c>
      <c r="AU293" s="446" t="e">
        <f>IF(OR($B293="",MIN(AU$38,$D$19)&lt;MAX($P$34*($B293+IF($R$17="Distrato",$I$38-1,0)),IF(AND($L$37=0,$P$34=0),"",$L$37-1),IF($R$17="Distrato",$E293,0))),0,YEARFRAC(MAX($P$34*($B293+IF($R$17="Distrato",$I$38-1,0)),IF(AND($L$37=0,$P$34=0),"",$L$37-1),IF($R$17="Distrato",$E293,0)),MIN(AU$38,$D$19),$P$20))-SUM($P293:AT293)</f>
        <v>#VALUE!</v>
      </c>
      <c r="AV293" s="446" t="e">
        <f>IF(OR($B293="",MIN(AV$38,$D$19)&lt;MAX($P$34*($B293+IF($R$17="Distrato",$I$38-1,0)),IF(AND($L$37=0,$P$34=0),"",$L$37-1),IF($R$17="Distrato",$E293,0))),0,YEARFRAC(MAX($P$34*($B293+IF($R$17="Distrato",$I$38-1,0)),IF(AND($L$37=0,$P$34=0),"",$L$37-1),IF($R$17="Distrato",$E293,0)),MIN(AV$38,$D$19),$P$20))-SUM($P293:AU293)</f>
        <v>#VALUE!</v>
      </c>
      <c r="AW293" s="446" t="e">
        <f>IF(OR($B293="",MIN(AW$38,$D$19)&lt;MAX($P$34*($B293+IF($R$17="Distrato",$I$38-1,0)),IF(AND($L$37=0,$P$34=0),"",$L$37-1),IF($R$17="Distrato",$E293,0))),0,YEARFRAC(MAX($P$34*($B293+IF($R$17="Distrato",$I$38-1,0)),IF(AND($L$37=0,$P$34=0),"",$L$37-1),IF($R$17="Distrato",$E293,0)),MIN(AW$38,$D$19),$P$20))-SUM($P293:AV293)</f>
        <v>#VALUE!</v>
      </c>
      <c r="AX293" s="446" t="e">
        <f>IF(OR($B293="",MIN(AX$38,$D$19)&lt;MAX($P$34*($B293+IF($R$17="Distrato",$I$38-1,0)),IF(AND($L$37=0,$P$34=0),"",$L$37-1),IF($R$17="Distrato",$E293,0))),0,YEARFRAC(MAX($P$34*($B293+IF($R$17="Distrato",$I$38-1,0)),IF(AND($L$37=0,$P$34=0),"",$L$37-1),IF($R$17="Distrato",$E293,0)),MIN(AX$38,$D$19),$P$20))-SUM($P293:AW293)</f>
        <v>#VALUE!</v>
      </c>
      <c r="AY293" s="446" t="e">
        <f>IF(OR($B293="",MIN(AY$38,$D$19)&lt;MAX($P$34*($B293+IF($R$17="Distrato",$I$38-1,0)),IF(AND($L$37=0,$P$34=0),"",$L$37-1),IF($R$17="Distrato",$E293,0))),0,YEARFRAC(MAX($P$34*($B293+IF($R$17="Distrato",$I$38-1,0)),IF(AND($L$37=0,$P$34=0),"",$L$37-1),IF($R$17="Distrato",$E293,0)),MIN(AY$38,$D$19),$P$20))-SUM($P293:AX293)</f>
        <v>#VALUE!</v>
      </c>
      <c r="AZ293" s="446" t="e">
        <f>IF(OR($B293="",MIN(AZ$38,$D$19)&lt;MAX($P$34*($B293+IF($R$17="Distrato",$I$38-1,0)),IF(AND($L$37=0,$P$34=0),"",$L$37-1),IF($R$17="Distrato",$E293,0))),0,YEARFRAC(MAX($P$34*($B293+IF($R$17="Distrato",$I$38-1,0)),IF(AND($L$37=0,$P$34=0),"",$L$37-1),IF($R$17="Distrato",$E293,0)),MIN(AZ$38,$D$19),$P$20))-SUM($P293:AY293)</f>
        <v>#VALUE!</v>
      </c>
      <c r="BA293" s="446" t="e">
        <f>IF(OR($B293="",MIN(BA$38,$D$19)&lt;MAX($P$34*($B293+IF($R$17="Distrato",$I$38-1,0)),IF(AND($L$37=0,$P$34=0),"",$L$37-1),IF($R$17="Distrato",$E293,0))),0,YEARFRAC(MAX($P$34*($B293+IF($R$17="Distrato",$I$38-1,0)),IF(AND($L$37=0,$P$34=0),"",$L$37-1),IF($R$17="Distrato",$E293,0)),MIN(BA$38,$D$19),$P$20))-SUM($P293:AZ293)</f>
        <v>#VALUE!</v>
      </c>
      <c r="BB293" s="447"/>
      <c r="BF293" s="446">
        <f t="shared" si="43"/>
        <v>0</v>
      </c>
      <c r="BG293" s="446">
        <f>IF($E293=0,0,IF(MIN(BG$38,$E293)&lt;MAX($P$34*($B293+$I$38-1),IF(AND($L$37=0,$P$34=0),"",$L$37-1)),0,YEARFRAC(MAX($P$34*($B293+$I$38-1),IF(AND($L$37=0,$P$34=0),"",$L$37-1)),MIN(BG$38,$E293),$P$20))-SUM($BF293:BF293))</f>
        <v>0</v>
      </c>
      <c r="BH293" s="446">
        <f>IF($E293=0,0,IF(MIN(BH$38,$E293)&lt;MAX($P$34*($B293+$I$38-1),IF(AND($L$37=0,$P$34=0),"",$L$37-1)),0,YEARFRAC(MAX($P$34*($B293+$I$38-1),IF(AND($L$37=0,$P$34=0),"",$L$37-1)),MIN(BH$38,$E293),$P$20))-SUM($BF293:BG293))</f>
        <v>0</v>
      </c>
      <c r="BI293" s="446">
        <f>IF($E293=0,0,IF(MIN(BI$38,$E293)&lt;MAX($P$34*($B293+$I$38-1),IF(AND($L$37=0,$P$34=0),"",$L$37-1)),0,YEARFRAC(MAX($P$34*($B293+$I$38-1),IF(AND($L$37=0,$P$34=0),"",$L$37-1)),MIN(BI$38,$E293),$P$20))-SUM($BF293:BH293))</f>
        <v>0</v>
      </c>
      <c r="BJ293" s="446">
        <f>IF($E293=0,0,IF(MIN(BJ$38,$E293)&lt;MAX($P$34*($B293+$I$38-1),IF(AND($L$37=0,$P$34=0),"",$L$37-1)),0,YEARFRAC(MAX($P$34*($B293+$I$38-1),IF(AND($L$37=0,$P$34=0),"",$L$37-1)),MIN(BJ$38,$E293),$P$20))-SUM($BF293:BI293))</f>
        <v>0</v>
      </c>
      <c r="BK293" s="446">
        <f>IF($E293=0,0,IF(MIN(BK$38,$E293)&lt;MAX($P$34*($B293+$I$38-1),IF(AND($L$37=0,$P$34=0),"",$L$37-1)),0,YEARFRAC(MAX($P$34*($B293+$I$38-1),IF(AND($L$37=0,$P$34=0),"",$L$37-1)),MIN(BK$38,$E293),$P$20))-SUM($BF293:BJ293))</f>
        <v>0</v>
      </c>
      <c r="BL293" s="446">
        <f>IF($E293=0,0,IF(MIN(BL$38,$E293)&lt;MAX($P$34*($B293+$I$38-1),IF(AND($L$37=0,$P$34=0),"",$L$37-1)),0,YEARFRAC(MAX($P$34*($B293+$I$38-1),IF(AND($L$37=0,$P$34=0),"",$L$37-1)),MIN(BL$38,$E293),$P$20))-SUM($BF293:BK293))</f>
        <v>0</v>
      </c>
      <c r="BM293" s="446">
        <f>IF($E293=0,0,IF(MIN(BM$38,$E293)&lt;MAX($P$34*($B293+$I$38-1),IF(AND($L$37=0,$P$34=0),"",$L$37-1)),0,YEARFRAC(MAX($P$34*($B293+$I$38-1),IF(AND($L$37=0,$P$34=0),"",$L$37-1)),MIN(BM$38,$E293),$P$20))-SUM($BF293:BL293))</f>
        <v>0</v>
      </c>
      <c r="BN293" s="446">
        <f>IF($E293=0,0,IF(MIN(BN$38,$E293)&lt;MAX($P$34*($B293+$I$38-1),IF(AND($L$37=0,$P$34=0),"",$L$37-1)),0,YEARFRAC(MAX($P$34*($B293+$I$38-1),IF(AND($L$37=0,$P$34=0),"",$L$37-1)),MIN(BN$38,$E293),$P$20))-SUM($BF293:BM293))</f>
        <v>0</v>
      </c>
      <c r="BO293" s="446">
        <f>IF($E293=0,0,IF(MIN(BO$38,$E293)&lt;MAX($P$34*($B293+$I$38-1),IF(AND($L$37=0,$P$34=0),"",$L$37-1)),0,YEARFRAC(MAX($P$34*($B293+$I$38-1),IF(AND($L$37=0,$P$34=0),"",$L$37-1)),MIN(BO$38,$E293),$P$20))-SUM($BF293:BN293))</f>
        <v>0</v>
      </c>
      <c r="BP293" s="446">
        <f>IF($E293=0,0,IF(MIN(BP$38,$E293)&lt;MAX($P$34*($B293+$I$38-1),IF(AND($L$37=0,$P$34=0),"",$L$37-1)),0,YEARFRAC(MAX($P$34*($B293+$I$38-1),IF(AND($L$37=0,$P$34=0),"",$L$37-1)),MIN(BP$38,$E293),$P$20))-SUM($BF293:BO293))</f>
        <v>0</v>
      </c>
      <c r="BQ293" s="446">
        <f>IF($E293=0,0,IF(MIN(BQ$38,$E293)&lt;MAX($P$34*($B293+$I$38-1),IF(AND($L$37=0,$P$34=0),"",$L$37-1)),0,YEARFRAC(MAX($P$34*($B293+$I$38-1),IF(AND($L$37=0,$P$34=0),"",$L$37-1)),MIN(BQ$38,$E293),$P$20))-SUM($BF293:BP293))</f>
        <v>0</v>
      </c>
      <c r="BR293" s="446">
        <f>IF($E293=0,0,IF(MIN(BR$38,$E293)&lt;MAX($P$34*($B293+$I$38-1),IF(AND($L$37=0,$P$34=0),"",$L$37-1)),0,YEARFRAC(MAX($P$34*($B293+$I$38-1),IF(AND($L$37=0,$P$34=0),"",$L$37-1)),MIN(BR$38,$E293),$P$20))-SUM($BF293:BQ293))</f>
        <v>0</v>
      </c>
      <c r="BS293" s="446">
        <f>IF($E293=0,0,IF(MIN(BS$38,$E293)&lt;MAX($P$34*($B293+$I$38-1),IF(AND($L$37=0,$P$34=0),"",$L$37-1)),0,YEARFRAC(MAX($P$34*($B293+$I$38-1),IF(AND($L$37=0,$P$34=0),"",$L$37-1)),MIN(BS$38,$E293),$P$20))-SUM($BF293:BR293))</f>
        <v>0</v>
      </c>
      <c r="BT293" s="446">
        <f>IF($E293=0,0,IF(MIN(BT$38,$E293)&lt;MAX($P$34*($B293+$I$38-1),IF(AND($L$37=0,$P$34=0),"",$L$37-1)),0,YEARFRAC(MAX($P$34*($B293+$I$38-1),IF(AND($L$37=0,$P$34=0),"",$L$37-1)),MIN(BT$38,$E293),$P$20))-SUM($BF293:BS293))</f>
        <v>0</v>
      </c>
      <c r="BU293" s="446">
        <f>IF($E293=0,0,IF(MIN(BU$38,$E293)&lt;MAX($P$34*($B293+$I$38-1),IF(AND($L$37=0,$P$34=0),"",$L$37-1)),0,YEARFRAC(MAX($P$34*($B293+$I$38-1),IF(AND($L$37=0,$P$34=0),"",$L$37-1)),MIN(BU$38,$E293),$P$20))-SUM($BF293:BT293))</f>
        <v>0</v>
      </c>
      <c r="BV293" s="446">
        <f>IF($E293=0,0,IF(MIN(BV$38,$E293)&lt;MAX($P$34*($B293+$I$38-1),IF(AND($L$37=0,$P$34=0),"",$L$37-1)),0,YEARFRAC(MAX($P$34*($B293+$I$38-1),IF(AND($L$37=0,$P$34=0),"",$L$37-1)),MIN(BV$38,$E293),$P$20))-SUM($BF293:BU293))</f>
        <v>0</v>
      </c>
      <c r="BW293" s="446">
        <f>IF($E293=0,0,IF(MIN(BW$38,$E293)&lt;MAX($P$34*($B293+$I$38-1),IF(AND($L$37=0,$P$34=0),"",$L$37-1)),0,YEARFRAC(MAX($P$34*($B293+$I$38-1),IF(AND($L$37=0,$P$34=0),"",$L$37-1)),MIN(BW$38,$E293),$P$20))-SUM($BF293:BV293))</f>
        <v>0</v>
      </c>
      <c r="BX293" s="446">
        <f>IF($E293=0,0,IF(MIN(BX$38,$E293)&lt;MAX($P$34*($B293+$I$38-1),IF(AND($L$37=0,$P$34=0),"",$L$37-1)),0,YEARFRAC(MAX($P$34*($B293+$I$38-1),IF(AND($L$37=0,$P$34=0),"",$L$37-1)),MIN(BX$38,$E293),$P$20))-SUM($BF293:BW293))</f>
        <v>0</v>
      </c>
      <c r="BY293" s="446">
        <f>IF($E293=0,0,IF(MIN(BY$38,$E293)&lt;MAX($P$34*($B293+$I$38-1),IF(AND($L$37=0,$P$34=0),"",$L$37-1)),0,YEARFRAC(MAX($P$34*($B293+$I$38-1),IF(AND($L$37=0,$P$34=0),"",$L$37-1)),MIN(BY$38,$E293),$P$20))-SUM($BF293:BX293))</f>
        <v>0</v>
      </c>
      <c r="BZ293" s="446">
        <f>IF($E293=0,0,IF(MIN(BZ$38,$E293)&lt;MAX($P$34*($B293+$I$38-1),IF(AND($L$37=0,$P$34=0),"",$L$37-1)),0,YEARFRAC(MAX($P$34*($B293+$I$38-1),IF(AND($L$37=0,$P$34=0),"",$L$37-1)),MIN(BZ$38,$E293),$P$20))-SUM($BF293:BY293))</f>
        <v>0</v>
      </c>
      <c r="CA293" s="446">
        <f>IF($E293=0,0,IF(MIN(CA$38,$E293)&lt;MAX($P$34*($B293+$I$38-1),IF(AND($L$37=0,$P$34=0),"",$L$37-1)),0,YEARFRAC(MAX($P$34*($B293+$I$38-1),IF(AND($L$37=0,$P$34=0),"",$L$37-1)),MIN(CA$38,$E293),$P$20))-SUM($BF293:BZ293))</f>
        <v>0</v>
      </c>
      <c r="CB293" s="446">
        <f>IF($E293=0,0,IF(MIN(CB$38,$E293)&lt;MAX($P$34*($B293+$I$38-1),IF(AND($L$37=0,$P$34=0),"",$L$37-1)),0,YEARFRAC(MAX($P$34*($B293+$I$38-1),IF(AND($L$37=0,$P$34=0),"",$L$37-1)),MIN(CB$38,$E293),$P$20))-SUM($BF293:CA293))</f>
        <v>0</v>
      </c>
      <c r="CC293" s="446">
        <f>IF($E293=0,0,IF(MIN(CC$38,$E293)&lt;MAX($P$34*($B293+$I$38-1),IF(AND($L$37=0,$P$34=0),"",$L$37-1)),0,YEARFRAC(MAX($P$34*($B293+$I$38-1),IF(AND($L$37=0,$P$34=0),"",$L$37-1)),MIN(CC$38,$E293),$P$20))-SUM($BF293:CB293))</f>
        <v>0</v>
      </c>
      <c r="CD293" s="446">
        <f>IF($E293=0,0,IF(MIN(CD$38,$E293)&lt;MAX($P$34*($B293+$I$38-1),IF(AND($L$37=0,$P$34=0),"",$L$37-1)),0,YEARFRAC(MAX($P$34*($B293+$I$38-1),IF(AND($L$37=0,$P$34=0),"",$L$37-1)),MIN(CD$38,$E293),$P$20))-SUM($BF293:CC293))</f>
        <v>0</v>
      </c>
      <c r="CE293" s="446">
        <f>IF($E293=0,0,IF(MIN(CE$38,$E293)&lt;MAX($P$34*($B293+$I$38-1),IF(AND($L$37=0,$P$34=0),"",$L$37-1)),0,YEARFRAC(MAX($P$34*($B293+$I$38-1),IF(AND($L$37=0,$P$34=0),"",$L$37-1)),MIN(CE$38,$E293),$P$20))-SUM($BF293:CD293))</f>
        <v>0</v>
      </c>
      <c r="CF293" s="446">
        <f>IF($E293=0,0,IF(MIN(CF$38,$E293)&lt;MAX($P$34*($B293+$I$38-1),IF(AND($L$37=0,$P$34=0),"",$L$37-1)),0,YEARFRAC(MAX($P$34*($B293+$I$38-1),IF(AND($L$37=0,$P$34=0),"",$L$37-1)),MIN(CF$38,$E293),$P$20))-SUM($BF293:CE293))</f>
        <v>0</v>
      </c>
      <c r="CG293" s="446">
        <f>IF($E293=0,0,IF(MIN(CG$38,$E293)&lt;MAX($P$34*($B293+$I$38-1),IF(AND($L$37=0,$P$34=0),"",$L$37-1)),0,YEARFRAC(MAX($P$34*($B293+$I$38-1),IF(AND($L$37=0,$P$34=0),"",$L$37-1)),MIN(CG$38,$E293),$P$20))-SUM($BF293:CF293))</f>
        <v>0</v>
      </c>
      <c r="CH293" s="446">
        <f>IF($E293=0,0,IF(MIN(CH$38,$E293)&lt;MAX($P$34*($B293+$I$38-1),IF(AND($L$37=0,$P$34=0),"",$L$37-1)),0,YEARFRAC(MAX($P$34*($B293+$I$38-1),IF(AND($L$37=0,$P$34=0),"",$L$37-1)),MIN(CH$38,$E293),$P$20))-SUM($BF293:CG293))</f>
        <v>0</v>
      </c>
      <c r="CI293" s="446">
        <f>IF($E293=0,0,IF(MIN(CI$38,$E293)&lt;MAX($P$34*($B293+$I$38-1),IF(AND($L$37=0,$P$34=0),"",$L$37-1)),0,YEARFRAC(MAX($P$34*($B293+$I$38-1),IF(AND($L$37=0,$P$34=0),"",$L$37-1)),MIN(CI$38,$E293),$P$20))-SUM($BF293:CH293))</f>
        <v>0</v>
      </c>
      <c r="CJ293" s="446">
        <f>IF($E293=0,0,IF(MIN(CJ$38,$E293)&lt;MAX($P$34*($B293+$I$38-1),IF(AND($L$37=0,$P$34=0),"",$L$37-1)),0,YEARFRAC(MAX($P$34*($B293+$I$38-1),IF(AND($L$37=0,$P$34=0),"",$L$37-1)),MIN(CJ$38,$E293),$P$20))-SUM($BF293:CI293))</f>
        <v>0</v>
      </c>
      <c r="CK293" s="446">
        <f>IF($E293=0,0,IF(MIN(CK$38,$E293)&lt;MAX($P$34*($B293+$I$38-1),IF(AND($L$37=0,$P$34=0),"",$L$37-1)),0,YEARFRAC(MAX($P$34*($B293+$I$38-1),IF(AND($L$37=0,$P$34=0),"",$L$37-1)),MIN(CK$38,$E293),$P$20))-SUM($BF293:CJ293))</f>
        <v>0</v>
      </c>
      <c r="CL293" s="446">
        <f>IF($E293=0,0,IF(MIN(CL$38,$E293)&lt;MAX($P$34*($B293+$I$38-1),IF(AND($L$37=0,$P$34=0),"",$L$37-1)),0,YEARFRAC(MAX($P$34*($B293+$I$38-1),IF(AND($L$37=0,$P$34=0),"",$L$37-1)),MIN(CL$38,$E293),$P$20))-SUM($BF293:CK293))</f>
        <v>0</v>
      </c>
      <c r="CM293" s="446">
        <f>IF($E293=0,0,IF(MIN(CM$38,$E293)&lt;MAX($P$34*($B293+$I$38-1),IF(AND($L$37=0,$P$34=0),"",$L$37-1)),0,YEARFRAC(MAX($P$34*($B293+$I$38-1),IF(AND($L$37=0,$P$34=0),"",$L$37-1)),MIN(CM$38,$E293),$P$20))-SUM($BF293:CL293))</f>
        <v>0</v>
      </c>
      <c r="CN293" s="446">
        <f>IF($E293=0,0,IF(MIN(CN$38,$E293)&lt;MAX($P$34*($B293+$I$38-1),IF(AND($L$37=0,$P$34=0),"",$L$37-1)),0,YEARFRAC(MAX($P$34*($B293+$I$38-1),IF(AND($L$37=0,$P$34=0),"",$L$37-1)),MIN(CN$38,$E293),$P$20))-SUM($BF293:CM293))</f>
        <v>0</v>
      </c>
      <c r="CO293" s="446">
        <f>IF($E293=0,0,IF(MIN(CO$38,$E293)&lt;MAX($P$34*($B293+$I$38-1),IF(AND($L$37=0,$P$34=0),"",$L$37-1)),0,YEARFRAC(MAX($P$34*($B293+$I$38-1),IF(AND($L$37=0,$P$34=0),"",$L$37-1)),MIN(CO$38,$E293),$P$20))-SUM($BF293:CN293))</f>
        <v>0</v>
      </c>
      <c r="CP293" s="446">
        <f>IF($E293=0,0,IF(MIN(CP$38,$E293)&lt;MAX($P$34*($B293+$I$38-1),IF(AND($L$37=0,$P$34=0),"",$L$37-1)),0,YEARFRAC(MAX($P$34*($B293+$I$38-1),IF(AND($L$37=0,$P$34=0),"",$L$37-1)),MIN(CP$38,$E293),$P$20))-SUM($BF293:CO293))</f>
        <v>0</v>
      </c>
      <c r="CQ293" s="446">
        <f>IF($E293=0,0,IF(MIN(CQ$38,$E293)&lt;MAX($P$34*($B293+$I$38-1),IF(AND($L$37=0,$P$34=0),"",$L$37-1)),0,YEARFRAC(MAX($P$34*($B293+$I$38-1),IF(AND($L$37=0,$P$34=0),"",$L$37-1)),MIN(CQ$38,$E293),$P$20))-SUM($BF293:CP293))</f>
        <v>0</v>
      </c>
    </row>
    <row r="294" spans="1:95" s="446" customFormat="1" ht="11.25" hidden="1" customHeight="1" x14ac:dyDescent="0.2">
      <c r="A294" s="152"/>
      <c r="B294" s="153" t="str">
        <f t="shared" si="48"/>
        <v/>
      </c>
      <c r="C294" s="29" t="str">
        <f>IF(B294="","",IF($L$35="SELIC - TRIBUTOS",VLOOKUP(DATE(YEAR($D$19),MONTH($D$19)-1,1),ÍNDICES!$A:$DE,HLOOKUP($BL$25,ÍNDICES!$B$3:$T$4,2)+11)-VLOOKUP(B294,ÍNDICES!$A:$DE,HLOOKUP($BL$25,ÍNDICES!$B$3:$T$4,2)+11)+1%,IF(C$38=$W$26,$J$35,IF(ISERROR(IF(B294&gt;$D$19,1,VLOOKUP(DATE(YEAR(B294),MONTH(B294)+IF($C$35=$S$23,1,0),1),ÍNDICES!$A:$DE,$Z$35+1))),"",IF(B294&gt;$D$19,1,VLOOKUP(DATE(YEAR(B294),MONTH(B294)+IF($C$35=$S$23,1,0),1),ÍNDICES!$A:$DE,$Z$35+1))))))</f>
        <v/>
      </c>
      <c r="D294" s="154" t="str">
        <f>IF(ISERROR(IF(OR($D$38=$Y$27,$B294=""),"",VLOOKUP(B294,ÍNDICES!A:DE,AF$35+1))),"",IF(OR($D$38=$Y$27,$B294=""),"",VLOOKUP(B294,ÍNDICES!A:DE,AF$35+1)))</f>
        <v/>
      </c>
      <c r="E294" s="153"/>
      <c r="F294" s="29" t="str">
        <f>IF(E294="","",IF($L$35="SELIC - TRIBUTOS",VLOOKUP(DATE(YEAR($D$19),MONTH($D$19)-1,1),ÍNDICES!$A:$DE,HLOOKUP($BL$25,ÍNDICES!$B$3:$T$4,2)+11)-VLOOKUP(E294,ÍNDICES!$A:$DE,HLOOKUP($BL$25,ÍNDICES!$B$3:$T$4,2)+11)+1%,IF(F$38=$W$26,$J$35,IF(ISERROR(IF(E294&gt;$D$19,1,VLOOKUP(DATE(YEAR(E294),MONTH(E294)+IF($C$35=$S$23,1,0),1),ÍNDICES!$A:$DE,$Z$35+1))),"",IF(E294&gt;$D$19,1,VLOOKUP(DATE(YEAR(E294),MONTH(E294)+IF($C$35=$S$23,1,0),1),ÍNDICES!$A:$DE,$Z$35+1))))))</f>
        <v/>
      </c>
      <c r="G294" s="155"/>
      <c r="H294" s="156" t="str">
        <f t="shared" si="44"/>
        <v/>
      </c>
      <c r="I294" s="29" t="str">
        <f t="shared" si="38"/>
        <v/>
      </c>
      <c r="J294" s="5">
        <f t="shared" si="39"/>
        <v>0</v>
      </c>
      <c r="K294" s="20">
        <f t="shared" ca="1" si="40"/>
        <v>0</v>
      </c>
      <c r="L294" s="5">
        <f t="shared" ca="1" si="41"/>
        <v>0</v>
      </c>
      <c r="M294" s="64">
        <f t="shared" si="45"/>
        <v>0</v>
      </c>
      <c r="N294" s="61">
        <f t="shared" ca="1" si="46"/>
        <v>0</v>
      </c>
      <c r="O294" s="5">
        <f t="shared" ca="1" si="47"/>
        <v>0</v>
      </c>
      <c r="P294" s="446" t="e">
        <f t="shared" si="42"/>
        <v>#VALUE!</v>
      </c>
      <c r="Q294" s="446" t="e">
        <f>IF(OR($B294="",MIN(Q$38,$D$19)&lt;MAX($P$34*($B294+IF($R$17="Distrato",$I$38-1,0)),IF(AND($L$37=0,$P$34=0),"",$L$37-1),IF($R$17="Distrato",$E294,0))),0,YEARFRAC(MAX($P$34*($B294+IF($R$17="Distrato",$I$38-1,0)),IF(AND($L$37=0,$P$34=0),"",$L$37-1),IF($R$17="Distrato",$E294,0)),MIN(Q$38,$D$19),$P$20))-SUM($P294:P294)</f>
        <v>#VALUE!</v>
      </c>
      <c r="R294" s="446" t="e">
        <f>IF(OR($B294="",MIN(R$38,$D$19)&lt;MAX($P$34*($B294+IF($R$17="Distrato",$I$38-1,0)),IF(AND($L$37=0,$P$34=0),"",$L$37-1),IF($R$17="Distrato",$E294,0))),0,YEARFRAC(MAX($P$34*($B294+IF($R$17="Distrato",$I$38-1,0)),IF(AND($L$37=0,$P$34=0),"",$L$37-1),IF($R$17="Distrato",$E294,0)),MIN(R$38,$D$19),$P$20))-SUM($P294:Q294)</f>
        <v>#VALUE!</v>
      </c>
      <c r="S294" s="446" t="e">
        <f>IF(OR($B294="",MIN(S$38,$D$19)&lt;MAX($P$34*($B294+IF($R$17="Distrato",$I$38-1,0)),IF(AND($L$37=0,$P$34=0),"",$L$37-1),IF($R$17="Distrato",$E294,0))),0,YEARFRAC(MAX($P$34*($B294+IF($R$17="Distrato",$I$38-1,0)),IF(AND($L$37=0,$P$34=0),"",$L$37-1),IF($R$17="Distrato",$E294,0)),MIN(S$38,$D$19),$P$20))-SUM($P294:R294)</f>
        <v>#VALUE!</v>
      </c>
      <c r="T294" s="446" t="e">
        <f>IF(OR($B294="",MIN(T$38,$D$19)&lt;MAX($P$34*($B294+IF($R$17="Distrato",$I$38-1,0)),IF(AND($L$37=0,$P$34=0),"",$L$37-1),IF($R$17="Distrato",$E294,0))),0,YEARFRAC(MAX($P$34*($B294+IF($R$17="Distrato",$I$38-1,0)),IF(AND($L$37=0,$P$34=0),"",$L$37-1),IF($R$17="Distrato",$E294,0)),MIN(T$38,$D$19),$P$20))-SUM($P294:S294)</f>
        <v>#VALUE!</v>
      </c>
      <c r="U294" s="446" t="e">
        <f>IF(OR($B294="",MIN(U$38,$D$19)&lt;MAX($P$34*($B294+IF($R$17="Distrato",$I$38-1,0)),IF(AND($L$37=0,$P$34=0),"",$L$37-1),IF($R$17="Distrato",$E294,0))),0,YEARFRAC(MAX($P$34*($B294+IF($R$17="Distrato",$I$38-1,0)),IF(AND($L$37=0,$P$34=0),"",$L$37-1),IF($R$17="Distrato",$E294,0)),MIN(U$38,$D$19),$P$20))-SUM($P294:T294)</f>
        <v>#VALUE!</v>
      </c>
      <c r="V294" s="446" t="e">
        <f>IF(OR($B294="",MIN(V$38,$D$19)&lt;MAX($P$34*($B294+IF($R$17="Distrato",$I$38-1,0)),IF(AND($L$37=0,$P$34=0),"",$L$37-1),IF($R$17="Distrato",$E294,0))),0,YEARFRAC(MAX($P$34*($B294+IF($R$17="Distrato",$I$38-1,0)),IF(AND($L$37=0,$P$34=0),"",$L$37-1),IF($R$17="Distrato",$E294,0)),MIN(V$38,$D$19),$P$20))-SUM($P294:U294)</f>
        <v>#VALUE!</v>
      </c>
      <c r="W294" s="446" t="e">
        <f>IF(OR($B294="",MIN(W$38,$D$19)&lt;MAX($P$34*($B294+IF($R$17="Distrato",$I$38-1,0)),IF(AND($L$37=0,$P$34=0),"",$L$37-1),IF($R$17="Distrato",$E294,0))),0,YEARFRAC(MAX($P$34*($B294+IF($R$17="Distrato",$I$38-1,0)),IF(AND($L$37=0,$P$34=0),"",$L$37-1),IF($R$17="Distrato",$E294,0)),MIN(W$38,$D$19),$P$20))-SUM($P294:V294)</f>
        <v>#VALUE!</v>
      </c>
      <c r="X294" s="446" t="e">
        <f>IF(OR($B294="",MIN(X$38,$D$19)&lt;MAX($P$34*($B294+IF($R$17="Distrato",$I$38-1,0)),IF(AND($L$37=0,$P$34=0),"",$L$37-1),IF($R$17="Distrato",$E294,0))),0,YEARFRAC(MAX($P$34*($B294+IF($R$17="Distrato",$I$38-1,0)),IF(AND($L$37=0,$P$34=0),"",$L$37-1),IF($R$17="Distrato",$E294,0)),MIN(X$38,$D$19),$P$20))-SUM($P294:W294)</f>
        <v>#VALUE!</v>
      </c>
      <c r="Y294" s="446" t="e">
        <f>IF(OR($B294="",MIN(Y$38,$D$19)&lt;MAX($P$34*($B294+IF($R$17="Distrato",$I$38-1,0)),IF(AND($L$37=0,$P$34=0),"",$L$37-1),IF($R$17="Distrato",$E294,0))),0,YEARFRAC(MAX($P$34*($B294+IF($R$17="Distrato",$I$38-1,0)),IF(AND($L$37=0,$P$34=0),"",$L$37-1),IF($R$17="Distrato",$E294,0)),MIN(Y$38,$D$19),$P$20))-SUM($P294:X294)</f>
        <v>#VALUE!</v>
      </c>
      <c r="Z294" s="446" t="e">
        <f>IF(OR($B294="",MIN(Z$38,$D$19)&lt;MAX($P$34*($B294+IF($R$17="Distrato",$I$38-1,0)),IF(AND($L$37=0,$P$34=0),"",$L$37-1),IF($R$17="Distrato",$E294,0))),0,YEARFRAC(MAX($P$34*($B294+IF($R$17="Distrato",$I$38-1,0)),IF(AND($L$37=0,$P$34=0),"",$L$37-1),IF($R$17="Distrato",$E294,0)),MIN(Z$38,$D$19),$P$20))-SUM($P294:Y294)</f>
        <v>#VALUE!</v>
      </c>
      <c r="AA294" s="446" t="e">
        <f>IF(OR($B294="",MIN(AA$38,$D$19)&lt;MAX($P$34*($B294+IF($R$17="Distrato",$I$38-1,0)),IF(AND($L$37=0,$P$34=0),"",$L$37-1),IF($R$17="Distrato",$E294,0))),0,YEARFRAC(MAX($P$34*($B294+IF($R$17="Distrato",$I$38-1,0)),IF(AND($L$37=0,$P$34=0),"",$L$37-1),IF($R$17="Distrato",$E294,0)),MIN(AA$38,$D$19),$P$20))-SUM($P294:Z294)</f>
        <v>#VALUE!</v>
      </c>
      <c r="AB294" s="446" t="e">
        <f>IF(OR($B294="",MIN(AB$38,$D$19)&lt;MAX($P$34*($B294+IF($R$17="Distrato",$I$38-1,0)),IF(AND($L$37=0,$P$34=0),"",$L$37-1),IF($R$17="Distrato",$E294,0))),0,YEARFRAC(MAX($P$34*($B294+IF($R$17="Distrato",$I$38-1,0)),IF(AND($L$37=0,$P$34=0),"",$L$37-1),IF($R$17="Distrato",$E294,0)),MIN(AB$38,$D$19),$P$20))-SUM($P294:AA294)</f>
        <v>#VALUE!</v>
      </c>
      <c r="AC294" s="446" t="e">
        <f>IF(OR($B294="",MIN(AC$38,$D$19)&lt;MAX($P$34*($B294+IF($R$17="Distrato",$I$38-1,0)),IF(AND($L$37=0,$P$34=0),"",$L$37-1),IF($R$17="Distrato",$E294,0))),0,YEARFRAC(MAX($P$34*($B294+IF($R$17="Distrato",$I$38-1,0)),IF(AND($L$37=0,$P$34=0),"",$L$37-1),IF($R$17="Distrato",$E294,0)),MIN(AC$38,$D$19),$P$20))-SUM($P294:AB294)</f>
        <v>#VALUE!</v>
      </c>
      <c r="AD294" s="446" t="e">
        <f>IF(OR($B294="",MIN(AD$38,$D$19)&lt;MAX($P$34*($B294+IF($R$17="Distrato",$I$38-1,0)),IF(AND($L$37=0,$P$34=0),"",$L$37-1),IF($R$17="Distrato",$E294,0))),0,YEARFRAC(MAX($P$34*($B294+IF($R$17="Distrato",$I$38-1,0)),IF(AND($L$37=0,$P$34=0),"",$L$37-1),IF($R$17="Distrato",$E294,0)),MIN(AD$38,$D$19),$P$20))-SUM($P294:AC294)</f>
        <v>#VALUE!</v>
      </c>
      <c r="AE294" s="446" t="e">
        <f>IF(OR($B294="",MIN(AE$38,$D$19)&lt;MAX($P$34*($B294+IF($R$17="Distrato",$I$38-1,0)),IF(AND($L$37=0,$P$34=0),"",$L$37-1),IF($R$17="Distrato",$E294,0))),0,YEARFRAC(MAX($P$34*($B294+IF($R$17="Distrato",$I$38-1,0)),IF(AND($L$37=0,$P$34=0),"",$L$37-1),IF($R$17="Distrato",$E294,0)),MIN(AE$38,$D$19),$P$20))-SUM($P294:AD294)</f>
        <v>#VALUE!</v>
      </c>
      <c r="AF294" s="446" t="e">
        <f>IF(OR($B294="",MIN(AF$38,$D$19)&lt;MAX($P$34*($B294+IF($R$17="Distrato",$I$38-1,0)),IF(AND($L$37=0,$P$34=0),"",$L$37-1),IF($R$17="Distrato",$E294,0))),0,YEARFRAC(MAX($P$34*($B294+IF($R$17="Distrato",$I$38-1,0)),IF(AND($L$37=0,$P$34=0),"",$L$37-1),IF($R$17="Distrato",$E294,0)),MIN(AF$38,$D$19),$P$20))-SUM($P294:AE294)</f>
        <v>#VALUE!</v>
      </c>
      <c r="AG294" s="446" t="e">
        <f>IF(OR($B294="",MIN(AG$38,$D$19)&lt;MAX($P$34*($B294+IF($R$17="Distrato",$I$38-1,0)),IF(AND($L$37=0,$P$34=0),"",$L$37-1),IF($R$17="Distrato",$E294,0))),0,YEARFRAC(MAX($P$34*($B294+IF($R$17="Distrato",$I$38-1,0)),IF(AND($L$37=0,$P$34=0),"",$L$37-1),IF($R$17="Distrato",$E294,0)),MIN(AG$38,$D$19),$P$20))-SUM($P294:AF294)</f>
        <v>#VALUE!</v>
      </c>
      <c r="AH294" s="446" t="e">
        <f>IF(OR($B294="",MIN(AH$38,$D$19)&lt;MAX($P$34*($B294+IF($R$17="Distrato",$I$38-1,0)),IF(AND($L$37=0,$P$34=0),"",$L$37-1),IF($R$17="Distrato",$E294,0))),0,YEARFRAC(MAX($P$34*($B294+IF($R$17="Distrato",$I$38-1,0)),IF(AND($L$37=0,$P$34=0),"",$L$37-1),IF($R$17="Distrato",$E294,0)),MIN(AH$38,$D$19),$P$20))-SUM($P294:AG294)</f>
        <v>#VALUE!</v>
      </c>
      <c r="AI294" s="446" t="e">
        <f>IF(OR($B294="",MIN(AI$38,$D$19)&lt;MAX($P$34*($B294+IF($R$17="Distrato",$I$38-1,0)),IF(AND($L$37=0,$P$34=0),"",$L$37-1),IF($R$17="Distrato",$E294,0))),0,YEARFRAC(MAX($P$34*($B294+IF($R$17="Distrato",$I$38-1,0)),IF(AND($L$37=0,$P$34=0),"",$L$37-1),IF($R$17="Distrato",$E294,0)),MIN(AI$38,$D$19),$P$20))-SUM($P294:AH294)</f>
        <v>#VALUE!</v>
      </c>
      <c r="AJ294" s="446" t="e">
        <f>IF(OR($B294="",MIN(AJ$38,$D$19)&lt;MAX($P$34*($B294+IF($R$17="Distrato",$I$38-1,0)),IF(AND($L$37=0,$P$34=0),"",$L$37-1),IF($R$17="Distrato",$E294,0))),0,YEARFRAC(MAX($P$34*($B294+IF($R$17="Distrato",$I$38-1,0)),IF(AND($L$37=0,$P$34=0),"",$L$37-1),IF($R$17="Distrato",$E294,0)),MIN(AJ$38,$D$19),$P$20))-SUM($P294:AI294)</f>
        <v>#VALUE!</v>
      </c>
      <c r="AK294" s="446" t="e">
        <f>IF(OR($B294="",MIN(AK$38,$D$19)&lt;MAX($P$34*($B294+IF($R$17="Distrato",$I$38-1,0)),IF(AND($L$37=0,$P$34=0),"",$L$37-1),IF($R$17="Distrato",$E294,0))),0,YEARFRAC(MAX($P$34*($B294+IF($R$17="Distrato",$I$38-1,0)),IF(AND($L$37=0,$P$34=0),"",$L$37-1),IF($R$17="Distrato",$E294,0)),MIN(AK$38,$D$19),$P$20))-SUM($P294:AJ294)</f>
        <v>#VALUE!</v>
      </c>
      <c r="AL294" s="446" t="e">
        <f>IF(OR($B294="",MIN(AL$38,$D$19)&lt;MAX($P$34*($B294+IF($R$17="Distrato",$I$38-1,0)),IF(AND($L$37=0,$P$34=0),"",$L$37-1),IF($R$17="Distrato",$E294,0))),0,YEARFRAC(MAX($P$34*($B294+IF($R$17="Distrato",$I$38-1,0)),IF(AND($L$37=0,$P$34=0),"",$L$37-1),IF($R$17="Distrato",$E294,0)),MIN(AL$38,$D$19),$P$20))-SUM($P294:AK294)</f>
        <v>#VALUE!</v>
      </c>
      <c r="AM294" s="446" t="e">
        <f>IF(OR($B294="",MIN(AM$38,$D$19)&lt;MAX($P$34*($B294+IF($R$17="Distrato",$I$38-1,0)),IF(AND($L$37=0,$P$34=0),"",$L$37-1),IF($R$17="Distrato",$E294,0))),0,YEARFRAC(MAX($P$34*($B294+IF($R$17="Distrato",$I$38-1,0)),IF(AND($L$37=0,$P$34=0),"",$L$37-1),IF($R$17="Distrato",$E294,0)),MIN(AM$38,$D$19),$P$20))-SUM($P294:AL294)</f>
        <v>#VALUE!</v>
      </c>
      <c r="AN294" s="446" t="e">
        <f>IF(OR($B294="",MIN(AN$38,$D$19)&lt;MAX($P$34*($B294+IF($R$17="Distrato",$I$38-1,0)),IF(AND($L$37=0,$P$34=0),"",$L$37-1),IF($R$17="Distrato",$E294,0))),0,YEARFRAC(MAX($P$34*($B294+IF($R$17="Distrato",$I$38-1,0)),IF(AND($L$37=0,$P$34=0),"",$L$37-1),IF($R$17="Distrato",$E294,0)),MIN(AN$38,$D$19),$P$20))-SUM($P294:AM294)</f>
        <v>#VALUE!</v>
      </c>
      <c r="AO294" s="446" t="e">
        <f>IF(OR($B294="",MIN(AO$38,$D$19)&lt;MAX($P$34*($B294+IF($R$17="Distrato",$I$38-1,0)),IF(AND($L$37=0,$P$34=0),"",$L$37-1),IF($R$17="Distrato",$E294,0))),0,YEARFRAC(MAX($P$34*($B294+IF($R$17="Distrato",$I$38-1,0)),IF(AND($L$37=0,$P$34=0),"",$L$37-1),IF($R$17="Distrato",$E294,0)),MIN(AO$38,$D$19),$P$20))-SUM($P294:AN294)</f>
        <v>#VALUE!</v>
      </c>
      <c r="AP294" s="446" t="e">
        <f>IF(OR($B294="",MIN(AP$38,$D$19)&lt;MAX($P$34*($B294+IF($R$17="Distrato",$I$38-1,0)),IF(AND($L$37=0,$P$34=0),"",$L$37-1),IF($R$17="Distrato",$E294,0))),0,YEARFRAC(MAX($P$34*($B294+IF($R$17="Distrato",$I$38-1,0)),IF(AND($L$37=0,$P$34=0),"",$L$37-1),IF($R$17="Distrato",$E294,0)),MIN(AP$38,$D$19),$P$20))-SUM($P294:AO294)</f>
        <v>#VALUE!</v>
      </c>
      <c r="AQ294" s="446" t="e">
        <f>IF(OR($B294="",MIN(AQ$38,$D$19)&lt;MAX($P$34*($B294+IF($R$17="Distrato",$I$38-1,0)),IF(AND($L$37=0,$P$34=0),"",$L$37-1),IF($R$17="Distrato",$E294,0))),0,YEARFRAC(MAX($P$34*($B294+IF($R$17="Distrato",$I$38-1,0)),IF(AND($L$37=0,$P$34=0),"",$L$37-1),IF($R$17="Distrato",$E294,0)),MIN(AQ$38,$D$19),$P$20))-SUM($P294:AP294)</f>
        <v>#VALUE!</v>
      </c>
      <c r="AR294" s="446" t="e">
        <f>IF(OR($B294="",MIN(AR$38,$D$19)&lt;MAX($P$34*($B294+IF($R$17="Distrato",$I$38-1,0)),IF(AND($L$37=0,$P$34=0),"",$L$37-1),IF($R$17="Distrato",$E294,0))),0,YEARFRAC(MAX($P$34*($B294+IF($R$17="Distrato",$I$38-1,0)),IF(AND($L$37=0,$P$34=0),"",$L$37-1),IF($R$17="Distrato",$E294,0)),MIN(AR$38,$D$19),$P$20))-SUM($P294:AQ294)</f>
        <v>#VALUE!</v>
      </c>
      <c r="AS294" s="446" t="e">
        <f>IF(OR($B294="",MIN(AS$38,$D$19)&lt;MAX($P$34*($B294+IF($R$17="Distrato",$I$38-1,0)),IF(AND($L$37=0,$P$34=0),"",$L$37-1),IF($R$17="Distrato",$E294,0))),0,YEARFRAC(MAX($P$34*($B294+IF($R$17="Distrato",$I$38-1,0)),IF(AND($L$37=0,$P$34=0),"",$L$37-1),IF($R$17="Distrato",$E294,0)),MIN(AS$38,$D$19),$P$20))-SUM($P294:AR294)</f>
        <v>#VALUE!</v>
      </c>
      <c r="AT294" s="446" t="e">
        <f>IF(OR($B294="",MIN(AT$38,$D$19)&lt;MAX($P$34*($B294+IF($R$17="Distrato",$I$38-1,0)),IF(AND($L$37=0,$P$34=0),"",$L$37-1),IF($R$17="Distrato",$E294,0))),0,YEARFRAC(MAX($P$34*($B294+IF($R$17="Distrato",$I$38-1,0)),IF(AND($L$37=0,$P$34=0),"",$L$37-1),IF($R$17="Distrato",$E294,0)),MIN(AT$38,$D$19),$P$20))-SUM($P294:AS294)</f>
        <v>#VALUE!</v>
      </c>
      <c r="AU294" s="446" t="e">
        <f>IF(OR($B294="",MIN(AU$38,$D$19)&lt;MAX($P$34*($B294+IF($R$17="Distrato",$I$38-1,0)),IF(AND($L$37=0,$P$34=0),"",$L$37-1),IF($R$17="Distrato",$E294,0))),0,YEARFRAC(MAX($P$34*($B294+IF($R$17="Distrato",$I$38-1,0)),IF(AND($L$37=0,$P$34=0),"",$L$37-1),IF($R$17="Distrato",$E294,0)),MIN(AU$38,$D$19),$P$20))-SUM($P294:AT294)</f>
        <v>#VALUE!</v>
      </c>
      <c r="AV294" s="446" t="e">
        <f>IF(OR($B294="",MIN(AV$38,$D$19)&lt;MAX($P$34*($B294+IF($R$17="Distrato",$I$38-1,0)),IF(AND($L$37=0,$P$34=0),"",$L$37-1),IF($R$17="Distrato",$E294,0))),0,YEARFRAC(MAX($P$34*($B294+IF($R$17="Distrato",$I$38-1,0)),IF(AND($L$37=0,$P$34=0),"",$L$37-1),IF($R$17="Distrato",$E294,0)),MIN(AV$38,$D$19),$P$20))-SUM($P294:AU294)</f>
        <v>#VALUE!</v>
      </c>
      <c r="AW294" s="446" t="e">
        <f>IF(OR($B294="",MIN(AW$38,$D$19)&lt;MAX($P$34*($B294+IF($R$17="Distrato",$I$38-1,0)),IF(AND($L$37=0,$P$34=0),"",$L$37-1),IF($R$17="Distrato",$E294,0))),0,YEARFRAC(MAX($P$34*($B294+IF($R$17="Distrato",$I$38-1,0)),IF(AND($L$37=0,$P$34=0),"",$L$37-1),IF($R$17="Distrato",$E294,0)),MIN(AW$38,$D$19),$P$20))-SUM($P294:AV294)</f>
        <v>#VALUE!</v>
      </c>
      <c r="AX294" s="446" t="e">
        <f>IF(OR($B294="",MIN(AX$38,$D$19)&lt;MAX($P$34*($B294+IF($R$17="Distrato",$I$38-1,0)),IF(AND($L$37=0,$P$34=0),"",$L$37-1),IF($R$17="Distrato",$E294,0))),0,YEARFRAC(MAX($P$34*($B294+IF($R$17="Distrato",$I$38-1,0)),IF(AND($L$37=0,$P$34=0),"",$L$37-1),IF($R$17="Distrato",$E294,0)),MIN(AX$38,$D$19),$P$20))-SUM($P294:AW294)</f>
        <v>#VALUE!</v>
      </c>
      <c r="AY294" s="446" t="e">
        <f>IF(OR($B294="",MIN(AY$38,$D$19)&lt;MAX($P$34*($B294+IF($R$17="Distrato",$I$38-1,0)),IF(AND($L$37=0,$P$34=0),"",$L$37-1),IF($R$17="Distrato",$E294,0))),0,YEARFRAC(MAX($P$34*($B294+IF($R$17="Distrato",$I$38-1,0)),IF(AND($L$37=0,$P$34=0),"",$L$37-1),IF($R$17="Distrato",$E294,0)),MIN(AY$38,$D$19),$P$20))-SUM($P294:AX294)</f>
        <v>#VALUE!</v>
      </c>
      <c r="AZ294" s="446" t="e">
        <f>IF(OR($B294="",MIN(AZ$38,$D$19)&lt;MAX($P$34*($B294+IF($R$17="Distrato",$I$38-1,0)),IF(AND($L$37=0,$P$34=0),"",$L$37-1),IF($R$17="Distrato",$E294,0))),0,YEARFRAC(MAX($P$34*($B294+IF($R$17="Distrato",$I$38-1,0)),IF(AND($L$37=0,$P$34=0),"",$L$37-1),IF($R$17="Distrato",$E294,0)),MIN(AZ$38,$D$19),$P$20))-SUM($P294:AY294)</f>
        <v>#VALUE!</v>
      </c>
      <c r="BA294" s="446" t="e">
        <f>IF(OR($B294="",MIN(BA$38,$D$19)&lt;MAX($P$34*($B294+IF($R$17="Distrato",$I$38-1,0)),IF(AND($L$37=0,$P$34=0),"",$L$37-1),IF($R$17="Distrato",$E294,0))),0,YEARFRAC(MAX($P$34*($B294+IF($R$17="Distrato",$I$38-1,0)),IF(AND($L$37=0,$P$34=0),"",$L$37-1),IF($R$17="Distrato",$E294,0)),MIN(BA$38,$D$19),$P$20))-SUM($P294:AZ294)</f>
        <v>#VALUE!</v>
      </c>
      <c r="BB294" s="447"/>
      <c r="BF294" s="446">
        <f t="shared" si="43"/>
        <v>0</v>
      </c>
      <c r="BG294" s="446">
        <f>IF($E294=0,0,IF(MIN(BG$38,$E294)&lt;MAX($P$34*($B294+$I$38-1),IF(AND($L$37=0,$P$34=0),"",$L$37-1)),0,YEARFRAC(MAX($P$34*($B294+$I$38-1),IF(AND($L$37=0,$P$34=0),"",$L$37-1)),MIN(BG$38,$E294),$P$20))-SUM($BF294:BF294))</f>
        <v>0</v>
      </c>
      <c r="BH294" s="446">
        <f>IF($E294=0,0,IF(MIN(BH$38,$E294)&lt;MAX($P$34*($B294+$I$38-1),IF(AND($L$37=0,$P$34=0),"",$L$37-1)),0,YEARFRAC(MAX($P$34*($B294+$I$38-1),IF(AND($L$37=0,$P$34=0),"",$L$37-1)),MIN(BH$38,$E294),$P$20))-SUM($BF294:BG294))</f>
        <v>0</v>
      </c>
      <c r="BI294" s="446">
        <f>IF($E294=0,0,IF(MIN(BI$38,$E294)&lt;MAX($P$34*($B294+$I$38-1),IF(AND($L$37=0,$P$34=0),"",$L$37-1)),0,YEARFRAC(MAX($P$34*($B294+$I$38-1),IF(AND($L$37=0,$P$34=0),"",$L$37-1)),MIN(BI$38,$E294),$P$20))-SUM($BF294:BH294))</f>
        <v>0</v>
      </c>
      <c r="BJ294" s="446">
        <f>IF($E294=0,0,IF(MIN(BJ$38,$E294)&lt;MAX($P$34*($B294+$I$38-1),IF(AND($L$37=0,$P$34=0),"",$L$37-1)),0,YEARFRAC(MAX($P$34*($B294+$I$38-1),IF(AND($L$37=0,$P$34=0),"",$L$37-1)),MIN(BJ$38,$E294),$P$20))-SUM($BF294:BI294))</f>
        <v>0</v>
      </c>
      <c r="BK294" s="446">
        <f>IF($E294=0,0,IF(MIN(BK$38,$E294)&lt;MAX($P$34*($B294+$I$38-1),IF(AND($L$37=0,$P$34=0),"",$L$37-1)),0,YEARFRAC(MAX($P$34*($B294+$I$38-1),IF(AND($L$37=0,$P$34=0),"",$L$37-1)),MIN(BK$38,$E294),$P$20))-SUM($BF294:BJ294))</f>
        <v>0</v>
      </c>
      <c r="BL294" s="446">
        <f>IF($E294=0,0,IF(MIN(BL$38,$E294)&lt;MAX($P$34*($B294+$I$38-1),IF(AND($L$37=0,$P$34=0),"",$L$37-1)),0,YEARFRAC(MAX($P$34*($B294+$I$38-1),IF(AND($L$37=0,$P$34=0),"",$L$37-1)),MIN(BL$38,$E294),$P$20))-SUM($BF294:BK294))</f>
        <v>0</v>
      </c>
      <c r="BM294" s="446">
        <f>IF($E294=0,0,IF(MIN(BM$38,$E294)&lt;MAX($P$34*($B294+$I$38-1),IF(AND($L$37=0,$P$34=0),"",$L$37-1)),0,YEARFRAC(MAX($P$34*($B294+$I$38-1),IF(AND($L$37=0,$P$34=0),"",$L$37-1)),MIN(BM$38,$E294),$P$20))-SUM($BF294:BL294))</f>
        <v>0</v>
      </c>
      <c r="BN294" s="446">
        <f>IF($E294=0,0,IF(MIN(BN$38,$E294)&lt;MAX($P$34*($B294+$I$38-1),IF(AND($L$37=0,$P$34=0),"",$L$37-1)),0,YEARFRAC(MAX($P$34*($B294+$I$38-1),IF(AND($L$37=0,$P$34=0),"",$L$37-1)),MIN(BN$38,$E294),$P$20))-SUM($BF294:BM294))</f>
        <v>0</v>
      </c>
      <c r="BO294" s="446">
        <f>IF($E294=0,0,IF(MIN(BO$38,$E294)&lt;MAX($P$34*($B294+$I$38-1),IF(AND($L$37=0,$P$34=0),"",$L$37-1)),0,YEARFRAC(MAX($P$34*($B294+$I$38-1),IF(AND($L$37=0,$P$34=0),"",$L$37-1)),MIN(BO$38,$E294),$P$20))-SUM($BF294:BN294))</f>
        <v>0</v>
      </c>
      <c r="BP294" s="446">
        <f>IF($E294=0,0,IF(MIN(BP$38,$E294)&lt;MAX($P$34*($B294+$I$38-1),IF(AND($L$37=0,$P$34=0),"",$L$37-1)),0,YEARFRAC(MAX($P$34*($B294+$I$38-1),IF(AND($L$37=0,$P$34=0),"",$L$37-1)),MIN(BP$38,$E294),$P$20))-SUM($BF294:BO294))</f>
        <v>0</v>
      </c>
      <c r="BQ294" s="446">
        <f>IF($E294=0,0,IF(MIN(BQ$38,$E294)&lt;MAX($P$34*($B294+$I$38-1),IF(AND($L$37=0,$P$34=0),"",$L$37-1)),0,YEARFRAC(MAX($P$34*($B294+$I$38-1),IF(AND($L$37=0,$P$34=0),"",$L$37-1)),MIN(BQ$38,$E294),$P$20))-SUM($BF294:BP294))</f>
        <v>0</v>
      </c>
      <c r="BR294" s="446">
        <f>IF($E294=0,0,IF(MIN(BR$38,$E294)&lt;MAX($P$34*($B294+$I$38-1),IF(AND($L$37=0,$P$34=0),"",$L$37-1)),0,YEARFRAC(MAX($P$34*($B294+$I$38-1),IF(AND($L$37=0,$P$34=0),"",$L$37-1)),MIN(BR$38,$E294),$P$20))-SUM($BF294:BQ294))</f>
        <v>0</v>
      </c>
      <c r="BS294" s="446">
        <f>IF($E294=0,0,IF(MIN(BS$38,$E294)&lt;MAX($P$34*($B294+$I$38-1),IF(AND($L$37=0,$P$34=0),"",$L$37-1)),0,YEARFRAC(MAX($P$34*($B294+$I$38-1),IF(AND($L$37=0,$P$34=0),"",$L$37-1)),MIN(BS$38,$E294),$P$20))-SUM($BF294:BR294))</f>
        <v>0</v>
      </c>
      <c r="BT294" s="446">
        <f>IF($E294=0,0,IF(MIN(BT$38,$E294)&lt;MAX($P$34*($B294+$I$38-1),IF(AND($L$37=0,$P$34=0),"",$L$37-1)),0,YEARFRAC(MAX($P$34*($B294+$I$38-1),IF(AND($L$37=0,$P$34=0),"",$L$37-1)),MIN(BT$38,$E294),$P$20))-SUM($BF294:BS294))</f>
        <v>0</v>
      </c>
      <c r="BU294" s="446">
        <f>IF($E294=0,0,IF(MIN(BU$38,$E294)&lt;MAX($P$34*($B294+$I$38-1),IF(AND($L$37=0,$P$34=0),"",$L$37-1)),0,YEARFRAC(MAX($P$34*($B294+$I$38-1),IF(AND($L$37=0,$P$34=0),"",$L$37-1)),MIN(BU$38,$E294),$P$20))-SUM($BF294:BT294))</f>
        <v>0</v>
      </c>
      <c r="BV294" s="446">
        <f>IF($E294=0,0,IF(MIN(BV$38,$E294)&lt;MAX($P$34*($B294+$I$38-1),IF(AND($L$37=0,$P$34=0),"",$L$37-1)),0,YEARFRAC(MAX($P$34*($B294+$I$38-1),IF(AND($L$37=0,$P$34=0),"",$L$37-1)),MIN(BV$38,$E294),$P$20))-SUM($BF294:BU294))</f>
        <v>0</v>
      </c>
      <c r="BW294" s="446">
        <f>IF($E294=0,0,IF(MIN(BW$38,$E294)&lt;MAX($P$34*($B294+$I$38-1),IF(AND($L$37=0,$P$34=0),"",$L$37-1)),0,YEARFRAC(MAX($P$34*($B294+$I$38-1),IF(AND($L$37=0,$P$34=0),"",$L$37-1)),MIN(BW$38,$E294),$P$20))-SUM($BF294:BV294))</f>
        <v>0</v>
      </c>
      <c r="BX294" s="446">
        <f>IF($E294=0,0,IF(MIN(BX$38,$E294)&lt;MAX($P$34*($B294+$I$38-1),IF(AND($L$37=0,$P$34=0),"",$L$37-1)),0,YEARFRAC(MAX($P$34*($B294+$I$38-1),IF(AND($L$37=0,$P$34=0),"",$L$37-1)),MIN(BX$38,$E294),$P$20))-SUM($BF294:BW294))</f>
        <v>0</v>
      </c>
      <c r="BY294" s="446">
        <f>IF($E294=0,0,IF(MIN(BY$38,$E294)&lt;MAX($P$34*($B294+$I$38-1),IF(AND($L$37=0,$P$34=0),"",$L$37-1)),0,YEARFRAC(MAX($P$34*($B294+$I$38-1),IF(AND($L$37=0,$P$34=0),"",$L$37-1)),MIN(BY$38,$E294),$P$20))-SUM($BF294:BX294))</f>
        <v>0</v>
      </c>
      <c r="BZ294" s="446">
        <f>IF($E294=0,0,IF(MIN(BZ$38,$E294)&lt;MAX($P$34*($B294+$I$38-1),IF(AND($L$37=0,$P$34=0),"",$L$37-1)),0,YEARFRAC(MAX($P$34*($B294+$I$38-1),IF(AND($L$37=0,$P$34=0),"",$L$37-1)),MIN(BZ$38,$E294),$P$20))-SUM($BF294:BY294))</f>
        <v>0</v>
      </c>
      <c r="CA294" s="446">
        <f>IF($E294=0,0,IF(MIN(CA$38,$E294)&lt;MAX($P$34*($B294+$I$38-1),IF(AND($L$37=0,$P$34=0),"",$L$37-1)),0,YEARFRAC(MAX($P$34*($B294+$I$38-1),IF(AND($L$37=0,$P$34=0),"",$L$37-1)),MIN(CA$38,$E294),$P$20))-SUM($BF294:BZ294))</f>
        <v>0</v>
      </c>
      <c r="CB294" s="446">
        <f>IF($E294=0,0,IF(MIN(CB$38,$E294)&lt;MAX($P$34*($B294+$I$38-1),IF(AND($L$37=0,$P$34=0),"",$L$37-1)),0,YEARFRAC(MAX($P$34*($B294+$I$38-1),IF(AND($L$37=0,$P$34=0),"",$L$37-1)),MIN(CB$38,$E294),$P$20))-SUM($BF294:CA294))</f>
        <v>0</v>
      </c>
      <c r="CC294" s="446">
        <f>IF($E294=0,0,IF(MIN(CC$38,$E294)&lt;MAX($P$34*($B294+$I$38-1),IF(AND($L$37=0,$P$34=0),"",$L$37-1)),0,YEARFRAC(MAX($P$34*($B294+$I$38-1),IF(AND($L$37=0,$P$34=0),"",$L$37-1)),MIN(CC$38,$E294),$P$20))-SUM($BF294:CB294))</f>
        <v>0</v>
      </c>
      <c r="CD294" s="446">
        <f>IF($E294=0,0,IF(MIN(CD$38,$E294)&lt;MAX($P$34*($B294+$I$38-1),IF(AND($L$37=0,$P$34=0),"",$L$37-1)),0,YEARFRAC(MAX($P$34*($B294+$I$38-1),IF(AND($L$37=0,$P$34=0),"",$L$37-1)),MIN(CD$38,$E294),$P$20))-SUM($BF294:CC294))</f>
        <v>0</v>
      </c>
      <c r="CE294" s="446">
        <f>IF($E294=0,0,IF(MIN(CE$38,$E294)&lt;MAX($P$34*($B294+$I$38-1),IF(AND($L$37=0,$P$34=0),"",$L$37-1)),0,YEARFRAC(MAX($P$34*($B294+$I$38-1),IF(AND($L$37=0,$P$34=0),"",$L$37-1)),MIN(CE$38,$E294),$P$20))-SUM($BF294:CD294))</f>
        <v>0</v>
      </c>
      <c r="CF294" s="446">
        <f>IF($E294=0,0,IF(MIN(CF$38,$E294)&lt;MAX($P$34*($B294+$I$38-1),IF(AND($L$37=0,$P$34=0),"",$L$37-1)),0,YEARFRAC(MAX($P$34*($B294+$I$38-1),IF(AND($L$37=0,$P$34=0),"",$L$37-1)),MIN(CF$38,$E294),$P$20))-SUM($BF294:CE294))</f>
        <v>0</v>
      </c>
      <c r="CG294" s="446">
        <f>IF($E294=0,0,IF(MIN(CG$38,$E294)&lt;MAX($P$34*($B294+$I$38-1),IF(AND($L$37=0,$P$34=0),"",$L$37-1)),0,YEARFRAC(MAX($P$34*($B294+$I$38-1),IF(AND($L$37=0,$P$34=0),"",$L$37-1)),MIN(CG$38,$E294),$P$20))-SUM($BF294:CF294))</f>
        <v>0</v>
      </c>
      <c r="CH294" s="446">
        <f>IF($E294=0,0,IF(MIN(CH$38,$E294)&lt;MAX($P$34*($B294+$I$38-1),IF(AND($L$37=0,$P$34=0),"",$L$37-1)),0,YEARFRAC(MAX($P$34*($B294+$I$38-1),IF(AND($L$37=0,$P$34=0),"",$L$37-1)),MIN(CH$38,$E294),$P$20))-SUM($BF294:CG294))</f>
        <v>0</v>
      </c>
      <c r="CI294" s="446">
        <f>IF($E294=0,0,IF(MIN(CI$38,$E294)&lt;MAX($P$34*($B294+$I$38-1),IF(AND($L$37=0,$P$34=0),"",$L$37-1)),0,YEARFRAC(MAX($P$34*($B294+$I$38-1),IF(AND($L$37=0,$P$34=0),"",$L$37-1)),MIN(CI$38,$E294),$P$20))-SUM($BF294:CH294))</f>
        <v>0</v>
      </c>
      <c r="CJ294" s="446">
        <f>IF($E294=0,0,IF(MIN(CJ$38,$E294)&lt;MAX($P$34*($B294+$I$38-1),IF(AND($L$37=0,$P$34=0),"",$L$37-1)),0,YEARFRAC(MAX($P$34*($B294+$I$38-1),IF(AND($L$37=0,$P$34=0),"",$L$37-1)),MIN(CJ$38,$E294),$P$20))-SUM($BF294:CI294))</f>
        <v>0</v>
      </c>
      <c r="CK294" s="446">
        <f>IF($E294=0,0,IF(MIN(CK$38,$E294)&lt;MAX($P$34*($B294+$I$38-1),IF(AND($L$37=0,$P$34=0),"",$L$37-1)),0,YEARFRAC(MAX($P$34*($B294+$I$38-1),IF(AND($L$37=0,$P$34=0),"",$L$37-1)),MIN(CK$38,$E294),$P$20))-SUM($BF294:CJ294))</f>
        <v>0</v>
      </c>
      <c r="CL294" s="446">
        <f>IF($E294=0,0,IF(MIN(CL$38,$E294)&lt;MAX($P$34*($B294+$I$38-1),IF(AND($L$37=0,$P$34=0),"",$L$37-1)),0,YEARFRAC(MAX($P$34*($B294+$I$38-1),IF(AND($L$37=0,$P$34=0),"",$L$37-1)),MIN(CL$38,$E294),$P$20))-SUM($BF294:CK294))</f>
        <v>0</v>
      </c>
      <c r="CM294" s="446">
        <f>IF($E294=0,0,IF(MIN(CM$38,$E294)&lt;MAX($P$34*($B294+$I$38-1),IF(AND($L$37=0,$P$34=0),"",$L$37-1)),0,YEARFRAC(MAX($P$34*($B294+$I$38-1),IF(AND($L$37=0,$P$34=0),"",$L$37-1)),MIN(CM$38,$E294),$P$20))-SUM($BF294:CL294))</f>
        <v>0</v>
      </c>
      <c r="CN294" s="446">
        <f>IF($E294=0,0,IF(MIN(CN$38,$E294)&lt;MAX($P$34*($B294+$I$38-1),IF(AND($L$37=0,$P$34=0),"",$L$37-1)),0,YEARFRAC(MAX($P$34*($B294+$I$38-1),IF(AND($L$37=0,$P$34=0),"",$L$37-1)),MIN(CN$38,$E294),$P$20))-SUM($BF294:CM294))</f>
        <v>0</v>
      </c>
      <c r="CO294" s="446">
        <f>IF($E294=0,0,IF(MIN(CO$38,$E294)&lt;MAX($P$34*($B294+$I$38-1),IF(AND($L$37=0,$P$34=0),"",$L$37-1)),0,YEARFRAC(MAX($P$34*($B294+$I$38-1),IF(AND($L$37=0,$P$34=0),"",$L$37-1)),MIN(CO$38,$E294),$P$20))-SUM($BF294:CN294))</f>
        <v>0</v>
      </c>
      <c r="CP294" s="446">
        <f>IF($E294=0,0,IF(MIN(CP$38,$E294)&lt;MAX($P$34*($B294+$I$38-1),IF(AND($L$37=0,$P$34=0),"",$L$37-1)),0,YEARFRAC(MAX($P$34*($B294+$I$38-1),IF(AND($L$37=0,$P$34=0),"",$L$37-1)),MIN(CP$38,$E294),$P$20))-SUM($BF294:CO294))</f>
        <v>0</v>
      </c>
      <c r="CQ294" s="446">
        <f>IF($E294=0,0,IF(MIN(CQ$38,$E294)&lt;MAX($P$34*($B294+$I$38-1),IF(AND($L$37=0,$P$34=0),"",$L$37-1)),0,YEARFRAC(MAX($P$34*($B294+$I$38-1),IF(AND($L$37=0,$P$34=0),"",$L$37-1)),MIN(CQ$38,$E294),$P$20))-SUM($BF294:CP294))</f>
        <v>0</v>
      </c>
    </row>
    <row r="295" spans="1:95" s="446" customFormat="1" ht="11.25" hidden="1" customHeight="1" x14ac:dyDescent="0.2">
      <c r="A295" s="152"/>
      <c r="B295" s="153" t="str">
        <f t="shared" si="48"/>
        <v/>
      </c>
      <c r="C295" s="29" t="str">
        <f>IF(B295="","",IF($L$35="SELIC - TRIBUTOS",VLOOKUP(DATE(YEAR($D$19),MONTH($D$19)-1,1),ÍNDICES!$A:$DE,HLOOKUP($BL$25,ÍNDICES!$B$3:$T$4,2)+11)-VLOOKUP(B295,ÍNDICES!$A:$DE,HLOOKUP($BL$25,ÍNDICES!$B$3:$T$4,2)+11)+1%,IF(C$38=$W$26,$J$35,IF(ISERROR(IF(B295&gt;$D$19,1,VLOOKUP(DATE(YEAR(B295),MONTH(B295)+IF($C$35=$S$23,1,0),1),ÍNDICES!$A:$DE,$Z$35+1))),"",IF(B295&gt;$D$19,1,VLOOKUP(DATE(YEAR(B295),MONTH(B295)+IF($C$35=$S$23,1,0),1),ÍNDICES!$A:$DE,$Z$35+1))))))</f>
        <v/>
      </c>
      <c r="D295" s="154" t="str">
        <f>IF(ISERROR(IF(OR($D$38=$Y$27,$B295=""),"",VLOOKUP(B295,ÍNDICES!A:DE,AF$35+1))),"",IF(OR($D$38=$Y$27,$B295=""),"",VLOOKUP(B295,ÍNDICES!A:DE,AF$35+1)))</f>
        <v/>
      </c>
      <c r="E295" s="153"/>
      <c r="F295" s="29" t="str">
        <f>IF(E295="","",IF($L$35="SELIC - TRIBUTOS",VLOOKUP(DATE(YEAR($D$19),MONTH($D$19)-1,1),ÍNDICES!$A:$DE,HLOOKUP($BL$25,ÍNDICES!$B$3:$T$4,2)+11)-VLOOKUP(E295,ÍNDICES!$A:$DE,HLOOKUP($BL$25,ÍNDICES!$B$3:$T$4,2)+11)+1%,IF(F$38=$W$26,$J$35,IF(ISERROR(IF(E295&gt;$D$19,1,VLOOKUP(DATE(YEAR(E295),MONTH(E295)+IF($C$35=$S$23,1,0),1),ÍNDICES!$A:$DE,$Z$35+1))),"",IF(E295&gt;$D$19,1,VLOOKUP(DATE(YEAR(E295),MONTH(E295)+IF($C$35=$S$23,1,0),1),ÍNDICES!$A:$DE,$Z$35+1))))))</f>
        <v/>
      </c>
      <c r="G295" s="155"/>
      <c r="H295" s="156" t="str">
        <f t="shared" si="44"/>
        <v/>
      </c>
      <c r="I295" s="29" t="str">
        <f t="shared" si="38"/>
        <v/>
      </c>
      <c r="J295" s="5">
        <f t="shared" si="39"/>
        <v>0</v>
      </c>
      <c r="K295" s="20">
        <f t="shared" ca="1" si="40"/>
        <v>0</v>
      </c>
      <c r="L295" s="5">
        <f t="shared" ca="1" si="41"/>
        <v>0</v>
      </c>
      <c r="M295" s="64">
        <f t="shared" si="45"/>
        <v>0</v>
      </c>
      <c r="N295" s="61">
        <f t="shared" ca="1" si="46"/>
        <v>0</v>
      </c>
      <c r="O295" s="5">
        <f t="shared" ca="1" si="47"/>
        <v>0</v>
      </c>
      <c r="P295" s="446" t="e">
        <f t="shared" si="42"/>
        <v>#VALUE!</v>
      </c>
      <c r="Q295" s="446" t="e">
        <f>IF(OR($B295="",MIN(Q$38,$D$19)&lt;MAX($P$34*($B295+IF($R$17="Distrato",$I$38-1,0)),IF(AND($L$37=0,$P$34=0),"",$L$37-1),IF($R$17="Distrato",$E295,0))),0,YEARFRAC(MAX($P$34*($B295+IF($R$17="Distrato",$I$38-1,0)),IF(AND($L$37=0,$P$34=0),"",$L$37-1),IF($R$17="Distrato",$E295,0)),MIN(Q$38,$D$19),$P$20))-SUM($P295:P295)</f>
        <v>#VALUE!</v>
      </c>
      <c r="R295" s="446" t="e">
        <f>IF(OR($B295="",MIN(R$38,$D$19)&lt;MAX($P$34*($B295+IF($R$17="Distrato",$I$38-1,0)),IF(AND($L$37=0,$P$34=0),"",$L$37-1),IF($R$17="Distrato",$E295,0))),0,YEARFRAC(MAX($P$34*($B295+IF($R$17="Distrato",$I$38-1,0)),IF(AND($L$37=0,$P$34=0),"",$L$37-1),IF($R$17="Distrato",$E295,0)),MIN(R$38,$D$19),$P$20))-SUM($P295:Q295)</f>
        <v>#VALUE!</v>
      </c>
      <c r="S295" s="446" t="e">
        <f>IF(OR($B295="",MIN(S$38,$D$19)&lt;MAX($P$34*($B295+IF($R$17="Distrato",$I$38-1,0)),IF(AND($L$37=0,$P$34=0),"",$L$37-1),IF($R$17="Distrato",$E295,0))),0,YEARFRAC(MAX($P$34*($B295+IF($R$17="Distrato",$I$38-1,0)),IF(AND($L$37=0,$P$34=0),"",$L$37-1),IF($R$17="Distrato",$E295,0)),MIN(S$38,$D$19),$P$20))-SUM($P295:R295)</f>
        <v>#VALUE!</v>
      </c>
      <c r="T295" s="446" t="e">
        <f>IF(OR($B295="",MIN(T$38,$D$19)&lt;MAX($P$34*($B295+IF($R$17="Distrato",$I$38-1,0)),IF(AND($L$37=0,$P$34=0),"",$L$37-1),IF($R$17="Distrato",$E295,0))),0,YEARFRAC(MAX($P$34*($B295+IF($R$17="Distrato",$I$38-1,0)),IF(AND($L$37=0,$P$34=0),"",$L$37-1),IF($R$17="Distrato",$E295,0)),MIN(T$38,$D$19),$P$20))-SUM($P295:S295)</f>
        <v>#VALUE!</v>
      </c>
      <c r="U295" s="446" t="e">
        <f>IF(OR($B295="",MIN(U$38,$D$19)&lt;MAX($P$34*($B295+IF($R$17="Distrato",$I$38-1,0)),IF(AND($L$37=0,$P$34=0),"",$L$37-1),IF($R$17="Distrato",$E295,0))),0,YEARFRAC(MAX($P$34*($B295+IF($R$17="Distrato",$I$38-1,0)),IF(AND($L$37=0,$P$34=0),"",$L$37-1),IF($R$17="Distrato",$E295,0)),MIN(U$38,$D$19),$P$20))-SUM($P295:T295)</f>
        <v>#VALUE!</v>
      </c>
      <c r="V295" s="446" t="e">
        <f>IF(OR($B295="",MIN(V$38,$D$19)&lt;MAX($P$34*($B295+IF($R$17="Distrato",$I$38-1,0)),IF(AND($L$37=0,$P$34=0),"",$L$37-1),IF($R$17="Distrato",$E295,0))),0,YEARFRAC(MAX($P$34*($B295+IF($R$17="Distrato",$I$38-1,0)),IF(AND($L$37=0,$P$34=0),"",$L$37-1),IF($R$17="Distrato",$E295,0)),MIN(V$38,$D$19),$P$20))-SUM($P295:U295)</f>
        <v>#VALUE!</v>
      </c>
      <c r="W295" s="446" t="e">
        <f>IF(OR($B295="",MIN(W$38,$D$19)&lt;MAX($P$34*($B295+IF($R$17="Distrato",$I$38-1,0)),IF(AND($L$37=0,$P$34=0),"",$L$37-1),IF($R$17="Distrato",$E295,0))),0,YEARFRAC(MAX($P$34*($B295+IF($R$17="Distrato",$I$38-1,0)),IF(AND($L$37=0,$P$34=0),"",$L$37-1),IF($R$17="Distrato",$E295,0)),MIN(W$38,$D$19),$P$20))-SUM($P295:V295)</f>
        <v>#VALUE!</v>
      </c>
      <c r="X295" s="446" t="e">
        <f>IF(OR($B295="",MIN(X$38,$D$19)&lt;MAX($P$34*($B295+IF($R$17="Distrato",$I$38-1,0)),IF(AND($L$37=0,$P$34=0),"",$L$37-1),IF($R$17="Distrato",$E295,0))),0,YEARFRAC(MAX($P$34*($B295+IF($R$17="Distrato",$I$38-1,0)),IF(AND($L$37=0,$P$34=0),"",$L$37-1),IF($R$17="Distrato",$E295,0)),MIN(X$38,$D$19),$P$20))-SUM($P295:W295)</f>
        <v>#VALUE!</v>
      </c>
      <c r="Y295" s="446" t="e">
        <f>IF(OR($B295="",MIN(Y$38,$D$19)&lt;MAX($P$34*($B295+IF($R$17="Distrato",$I$38-1,0)),IF(AND($L$37=0,$P$34=0),"",$L$37-1),IF($R$17="Distrato",$E295,0))),0,YEARFRAC(MAX($P$34*($B295+IF($R$17="Distrato",$I$38-1,0)),IF(AND($L$37=0,$P$34=0),"",$L$37-1),IF($R$17="Distrato",$E295,0)),MIN(Y$38,$D$19),$P$20))-SUM($P295:X295)</f>
        <v>#VALUE!</v>
      </c>
      <c r="Z295" s="446" t="e">
        <f>IF(OR($B295="",MIN(Z$38,$D$19)&lt;MAX($P$34*($B295+IF($R$17="Distrato",$I$38-1,0)),IF(AND($L$37=0,$P$34=0),"",$L$37-1),IF($R$17="Distrato",$E295,0))),0,YEARFRAC(MAX($P$34*($B295+IF($R$17="Distrato",$I$38-1,0)),IF(AND($L$37=0,$P$34=0),"",$L$37-1),IF($R$17="Distrato",$E295,0)),MIN(Z$38,$D$19),$P$20))-SUM($P295:Y295)</f>
        <v>#VALUE!</v>
      </c>
      <c r="AA295" s="446" t="e">
        <f>IF(OR($B295="",MIN(AA$38,$D$19)&lt;MAX($P$34*($B295+IF($R$17="Distrato",$I$38-1,0)),IF(AND($L$37=0,$P$34=0),"",$L$37-1),IF($R$17="Distrato",$E295,0))),0,YEARFRAC(MAX($P$34*($B295+IF($R$17="Distrato",$I$38-1,0)),IF(AND($L$37=0,$P$34=0),"",$L$37-1),IF($R$17="Distrato",$E295,0)),MIN(AA$38,$D$19),$P$20))-SUM($P295:Z295)</f>
        <v>#VALUE!</v>
      </c>
      <c r="AB295" s="446" t="e">
        <f>IF(OR($B295="",MIN(AB$38,$D$19)&lt;MAX($P$34*($B295+IF($R$17="Distrato",$I$38-1,0)),IF(AND($L$37=0,$P$34=0),"",$L$37-1),IF($R$17="Distrato",$E295,0))),0,YEARFRAC(MAX($P$34*($B295+IF($R$17="Distrato",$I$38-1,0)),IF(AND($L$37=0,$P$34=0),"",$L$37-1),IF($R$17="Distrato",$E295,0)),MIN(AB$38,$D$19),$P$20))-SUM($P295:AA295)</f>
        <v>#VALUE!</v>
      </c>
      <c r="AC295" s="446" t="e">
        <f>IF(OR($B295="",MIN(AC$38,$D$19)&lt;MAX($P$34*($B295+IF($R$17="Distrato",$I$38-1,0)),IF(AND($L$37=0,$P$34=0),"",$L$37-1),IF($R$17="Distrato",$E295,0))),0,YEARFRAC(MAX($P$34*($B295+IF($R$17="Distrato",$I$38-1,0)),IF(AND($L$37=0,$P$34=0),"",$L$37-1),IF($R$17="Distrato",$E295,0)),MIN(AC$38,$D$19),$P$20))-SUM($P295:AB295)</f>
        <v>#VALUE!</v>
      </c>
      <c r="AD295" s="446" t="e">
        <f>IF(OR($B295="",MIN(AD$38,$D$19)&lt;MAX($P$34*($B295+IF($R$17="Distrato",$I$38-1,0)),IF(AND($L$37=0,$P$34=0),"",$L$37-1),IF($R$17="Distrato",$E295,0))),0,YEARFRAC(MAX($P$34*($B295+IF($R$17="Distrato",$I$38-1,0)),IF(AND($L$37=0,$P$34=0),"",$L$37-1),IF($R$17="Distrato",$E295,0)),MIN(AD$38,$D$19),$P$20))-SUM($P295:AC295)</f>
        <v>#VALUE!</v>
      </c>
      <c r="AE295" s="446" t="e">
        <f>IF(OR($B295="",MIN(AE$38,$D$19)&lt;MAX($P$34*($B295+IF($R$17="Distrato",$I$38-1,0)),IF(AND($L$37=0,$P$34=0),"",$L$37-1),IF($R$17="Distrato",$E295,0))),0,YEARFRAC(MAX($P$34*($B295+IF($R$17="Distrato",$I$38-1,0)),IF(AND($L$37=0,$P$34=0),"",$L$37-1),IF($R$17="Distrato",$E295,0)),MIN(AE$38,$D$19),$P$20))-SUM($P295:AD295)</f>
        <v>#VALUE!</v>
      </c>
      <c r="AF295" s="446" t="e">
        <f>IF(OR($B295="",MIN(AF$38,$D$19)&lt;MAX($P$34*($B295+IF($R$17="Distrato",$I$38-1,0)),IF(AND($L$37=0,$P$34=0),"",$L$37-1),IF($R$17="Distrato",$E295,0))),0,YEARFRAC(MAX($P$34*($B295+IF($R$17="Distrato",$I$38-1,0)),IF(AND($L$37=0,$P$34=0),"",$L$37-1),IF($R$17="Distrato",$E295,0)),MIN(AF$38,$D$19),$P$20))-SUM($P295:AE295)</f>
        <v>#VALUE!</v>
      </c>
      <c r="AG295" s="446" t="e">
        <f>IF(OR($B295="",MIN(AG$38,$D$19)&lt;MAX($P$34*($B295+IF($R$17="Distrato",$I$38-1,0)),IF(AND($L$37=0,$P$34=0),"",$L$37-1),IF($R$17="Distrato",$E295,0))),0,YEARFRAC(MAX($P$34*($B295+IF($R$17="Distrato",$I$38-1,0)),IF(AND($L$37=0,$P$34=0),"",$L$37-1),IF($R$17="Distrato",$E295,0)),MIN(AG$38,$D$19),$P$20))-SUM($P295:AF295)</f>
        <v>#VALUE!</v>
      </c>
      <c r="AH295" s="446" t="e">
        <f>IF(OR($B295="",MIN(AH$38,$D$19)&lt;MAX($P$34*($B295+IF($R$17="Distrato",$I$38-1,0)),IF(AND($L$37=0,$P$34=0),"",$L$37-1),IF($R$17="Distrato",$E295,0))),0,YEARFRAC(MAX($P$34*($B295+IF($R$17="Distrato",$I$38-1,0)),IF(AND($L$37=0,$P$34=0),"",$L$37-1),IF($R$17="Distrato",$E295,0)),MIN(AH$38,$D$19),$P$20))-SUM($P295:AG295)</f>
        <v>#VALUE!</v>
      </c>
      <c r="AI295" s="446" t="e">
        <f>IF(OR($B295="",MIN(AI$38,$D$19)&lt;MAX($P$34*($B295+IF($R$17="Distrato",$I$38-1,0)),IF(AND($L$37=0,$P$34=0),"",$L$37-1),IF($R$17="Distrato",$E295,0))),0,YEARFRAC(MAX($P$34*($B295+IF($R$17="Distrato",$I$38-1,0)),IF(AND($L$37=0,$P$34=0),"",$L$37-1),IF($R$17="Distrato",$E295,0)),MIN(AI$38,$D$19),$P$20))-SUM($P295:AH295)</f>
        <v>#VALUE!</v>
      </c>
      <c r="AJ295" s="446" t="e">
        <f>IF(OR($B295="",MIN(AJ$38,$D$19)&lt;MAX($P$34*($B295+IF($R$17="Distrato",$I$38-1,0)),IF(AND($L$37=0,$P$34=0),"",$L$37-1),IF($R$17="Distrato",$E295,0))),0,YEARFRAC(MAX($P$34*($B295+IF($R$17="Distrato",$I$38-1,0)),IF(AND($L$37=0,$P$34=0),"",$L$37-1),IF($R$17="Distrato",$E295,0)),MIN(AJ$38,$D$19),$P$20))-SUM($P295:AI295)</f>
        <v>#VALUE!</v>
      </c>
      <c r="AK295" s="446" t="e">
        <f>IF(OR($B295="",MIN(AK$38,$D$19)&lt;MAX($P$34*($B295+IF($R$17="Distrato",$I$38-1,0)),IF(AND($L$37=0,$P$34=0),"",$L$37-1),IF($R$17="Distrato",$E295,0))),0,YEARFRAC(MAX($P$34*($B295+IF($R$17="Distrato",$I$38-1,0)),IF(AND($L$37=0,$P$34=0),"",$L$37-1),IF($R$17="Distrato",$E295,0)),MIN(AK$38,$D$19),$P$20))-SUM($P295:AJ295)</f>
        <v>#VALUE!</v>
      </c>
      <c r="AL295" s="446" t="e">
        <f>IF(OR($B295="",MIN(AL$38,$D$19)&lt;MAX($P$34*($B295+IF($R$17="Distrato",$I$38-1,0)),IF(AND($L$37=0,$P$34=0),"",$L$37-1),IF($R$17="Distrato",$E295,0))),0,YEARFRAC(MAX($P$34*($B295+IF($R$17="Distrato",$I$38-1,0)),IF(AND($L$37=0,$P$34=0),"",$L$37-1),IF($R$17="Distrato",$E295,0)),MIN(AL$38,$D$19),$P$20))-SUM($P295:AK295)</f>
        <v>#VALUE!</v>
      </c>
      <c r="AM295" s="446" t="e">
        <f>IF(OR($B295="",MIN(AM$38,$D$19)&lt;MAX($P$34*($B295+IF($R$17="Distrato",$I$38-1,0)),IF(AND($L$37=0,$P$34=0),"",$L$37-1),IF($R$17="Distrato",$E295,0))),0,YEARFRAC(MAX($P$34*($B295+IF($R$17="Distrato",$I$38-1,0)),IF(AND($L$37=0,$P$34=0),"",$L$37-1),IF($R$17="Distrato",$E295,0)),MIN(AM$38,$D$19),$P$20))-SUM($P295:AL295)</f>
        <v>#VALUE!</v>
      </c>
      <c r="AN295" s="446" t="e">
        <f>IF(OR($B295="",MIN(AN$38,$D$19)&lt;MAX($P$34*($B295+IF($R$17="Distrato",$I$38-1,0)),IF(AND($L$37=0,$P$34=0),"",$L$37-1),IF($R$17="Distrato",$E295,0))),0,YEARFRAC(MAX($P$34*($B295+IF($R$17="Distrato",$I$38-1,0)),IF(AND($L$37=0,$P$34=0),"",$L$37-1),IF($R$17="Distrato",$E295,0)),MIN(AN$38,$D$19),$P$20))-SUM($P295:AM295)</f>
        <v>#VALUE!</v>
      </c>
      <c r="AO295" s="446" t="e">
        <f>IF(OR($B295="",MIN(AO$38,$D$19)&lt;MAX($P$34*($B295+IF($R$17="Distrato",$I$38-1,0)),IF(AND($L$37=0,$P$34=0),"",$L$37-1),IF($R$17="Distrato",$E295,0))),0,YEARFRAC(MAX($P$34*($B295+IF($R$17="Distrato",$I$38-1,0)),IF(AND($L$37=0,$P$34=0),"",$L$37-1),IF($R$17="Distrato",$E295,0)),MIN(AO$38,$D$19),$P$20))-SUM($P295:AN295)</f>
        <v>#VALUE!</v>
      </c>
      <c r="AP295" s="446" t="e">
        <f>IF(OR($B295="",MIN(AP$38,$D$19)&lt;MAX($P$34*($B295+IF($R$17="Distrato",$I$38-1,0)),IF(AND($L$37=0,$P$34=0),"",$L$37-1),IF($R$17="Distrato",$E295,0))),0,YEARFRAC(MAX($P$34*($B295+IF($R$17="Distrato",$I$38-1,0)),IF(AND($L$37=0,$P$34=0),"",$L$37-1),IF($R$17="Distrato",$E295,0)),MIN(AP$38,$D$19),$P$20))-SUM($P295:AO295)</f>
        <v>#VALUE!</v>
      </c>
      <c r="AQ295" s="446" t="e">
        <f>IF(OR($B295="",MIN(AQ$38,$D$19)&lt;MAX($P$34*($B295+IF($R$17="Distrato",$I$38-1,0)),IF(AND($L$37=0,$P$34=0),"",$L$37-1),IF($R$17="Distrato",$E295,0))),0,YEARFRAC(MAX($P$34*($B295+IF($R$17="Distrato",$I$38-1,0)),IF(AND($L$37=0,$P$34=0),"",$L$37-1),IF($R$17="Distrato",$E295,0)),MIN(AQ$38,$D$19),$P$20))-SUM($P295:AP295)</f>
        <v>#VALUE!</v>
      </c>
      <c r="AR295" s="446" t="e">
        <f>IF(OR($B295="",MIN(AR$38,$D$19)&lt;MAX($P$34*($B295+IF($R$17="Distrato",$I$38-1,0)),IF(AND($L$37=0,$P$34=0),"",$L$37-1),IF($R$17="Distrato",$E295,0))),0,YEARFRAC(MAX($P$34*($B295+IF($R$17="Distrato",$I$38-1,0)),IF(AND($L$37=0,$P$34=0),"",$L$37-1),IF($R$17="Distrato",$E295,0)),MIN(AR$38,$D$19),$P$20))-SUM($P295:AQ295)</f>
        <v>#VALUE!</v>
      </c>
      <c r="AS295" s="446" t="e">
        <f>IF(OR($B295="",MIN(AS$38,$D$19)&lt;MAX($P$34*($B295+IF($R$17="Distrato",$I$38-1,0)),IF(AND($L$37=0,$P$34=0),"",$L$37-1),IF($R$17="Distrato",$E295,0))),0,YEARFRAC(MAX($P$34*($B295+IF($R$17="Distrato",$I$38-1,0)),IF(AND($L$37=0,$P$34=0),"",$L$37-1),IF($R$17="Distrato",$E295,0)),MIN(AS$38,$D$19),$P$20))-SUM($P295:AR295)</f>
        <v>#VALUE!</v>
      </c>
      <c r="AT295" s="446" t="e">
        <f>IF(OR($B295="",MIN(AT$38,$D$19)&lt;MAX($P$34*($B295+IF($R$17="Distrato",$I$38-1,0)),IF(AND($L$37=0,$P$34=0),"",$L$37-1),IF($R$17="Distrato",$E295,0))),0,YEARFRAC(MAX($P$34*($B295+IF($R$17="Distrato",$I$38-1,0)),IF(AND($L$37=0,$P$34=0),"",$L$37-1),IF($R$17="Distrato",$E295,0)),MIN(AT$38,$D$19),$P$20))-SUM($P295:AS295)</f>
        <v>#VALUE!</v>
      </c>
      <c r="AU295" s="446" t="e">
        <f>IF(OR($B295="",MIN(AU$38,$D$19)&lt;MAX($P$34*($B295+IF($R$17="Distrato",$I$38-1,0)),IF(AND($L$37=0,$P$34=0),"",$L$37-1),IF($R$17="Distrato",$E295,0))),0,YEARFRAC(MAX($P$34*($B295+IF($R$17="Distrato",$I$38-1,0)),IF(AND($L$37=0,$P$34=0),"",$L$37-1),IF($R$17="Distrato",$E295,0)),MIN(AU$38,$D$19),$P$20))-SUM($P295:AT295)</f>
        <v>#VALUE!</v>
      </c>
      <c r="AV295" s="446" t="e">
        <f>IF(OR($B295="",MIN(AV$38,$D$19)&lt;MAX($P$34*($B295+IF($R$17="Distrato",$I$38-1,0)),IF(AND($L$37=0,$P$34=0),"",$L$37-1),IF($R$17="Distrato",$E295,0))),0,YEARFRAC(MAX($P$34*($B295+IF($R$17="Distrato",$I$38-1,0)),IF(AND($L$37=0,$P$34=0),"",$L$37-1),IF($R$17="Distrato",$E295,0)),MIN(AV$38,$D$19),$P$20))-SUM($P295:AU295)</f>
        <v>#VALUE!</v>
      </c>
      <c r="AW295" s="446" t="e">
        <f>IF(OR($B295="",MIN(AW$38,$D$19)&lt;MAX($P$34*($B295+IF($R$17="Distrato",$I$38-1,0)),IF(AND($L$37=0,$P$34=0),"",$L$37-1),IF($R$17="Distrato",$E295,0))),0,YEARFRAC(MAX($P$34*($B295+IF($R$17="Distrato",$I$38-1,0)),IF(AND($L$37=0,$P$34=0),"",$L$37-1),IF($R$17="Distrato",$E295,0)),MIN(AW$38,$D$19),$P$20))-SUM($P295:AV295)</f>
        <v>#VALUE!</v>
      </c>
      <c r="AX295" s="446" t="e">
        <f>IF(OR($B295="",MIN(AX$38,$D$19)&lt;MAX($P$34*($B295+IF($R$17="Distrato",$I$38-1,0)),IF(AND($L$37=0,$P$34=0),"",$L$37-1),IF($R$17="Distrato",$E295,0))),0,YEARFRAC(MAX($P$34*($B295+IF($R$17="Distrato",$I$38-1,0)),IF(AND($L$37=0,$P$34=0),"",$L$37-1),IF($R$17="Distrato",$E295,0)),MIN(AX$38,$D$19),$P$20))-SUM($P295:AW295)</f>
        <v>#VALUE!</v>
      </c>
      <c r="AY295" s="446" t="e">
        <f>IF(OR($B295="",MIN(AY$38,$D$19)&lt;MAX($P$34*($B295+IF($R$17="Distrato",$I$38-1,0)),IF(AND($L$37=0,$P$34=0),"",$L$37-1),IF($R$17="Distrato",$E295,0))),0,YEARFRAC(MAX($P$34*($B295+IF($R$17="Distrato",$I$38-1,0)),IF(AND($L$37=0,$P$34=0),"",$L$37-1),IF($R$17="Distrato",$E295,0)),MIN(AY$38,$D$19),$P$20))-SUM($P295:AX295)</f>
        <v>#VALUE!</v>
      </c>
      <c r="AZ295" s="446" t="e">
        <f>IF(OR($B295="",MIN(AZ$38,$D$19)&lt;MAX($P$34*($B295+IF($R$17="Distrato",$I$38-1,0)),IF(AND($L$37=0,$P$34=0),"",$L$37-1),IF($R$17="Distrato",$E295,0))),0,YEARFRAC(MAX($P$34*($B295+IF($R$17="Distrato",$I$38-1,0)),IF(AND($L$37=0,$P$34=0),"",$L$37-1),IF($R$17="Distrato",$E295,0)),MIN(AZ$38,$D$19),$P$20))-SUM($P295:AY295)</f>
        <v>#VALUE!</v>
      </c>
      <c r="BA295" s="446" t="e">
        <f>IF(OR($B295="",MIN(BA$38,$D$19)&lt;MAX($P$34*($B295+IF($R$17="Distrato",$I$38-1,0)),IF(AND($L$37=0,$P$34=0),"",$L$37-1),IF($R$17="Distrato",$E295,0))),0,YEARFRAC(MAX($P$34*($B295+IF($R$17="Distrato",$I$38-1,0)),IF(AND($L$37=0,$P$34=0),"",$L$37-1),IF($R$17="Distrato",$E295,0)),MIN(BA$38,$D$19),$P$20))-SUM($P295:AZ295)</f>
        <v>#VALUE!</v>
      </c>
      <c r="BB295" s="447"/>
      <c r="BF295" s="446">
        <f t="shared" si="43"/>
        <v>0</v>
      </c>
      <c r="BG295" s="446">
        <f>IF($E295=0,0,IF(MIN(BG$38,$E295)&lt;MAX($P$34*($B295+$I$38-1),IF(AND($L$37=0,$P$34=0),"",$L$37-1)),0,YEARFRAC(MAX($P$34*($B295+$I$38-1),IF(AND($L$37=0,$P$34=0),"",$L$37-1)),MIN(BG$38,$E295),$P$20))-SUM($BF295:BF295))</f>
        <v>0</v>
      </c>
      <c r="BH295" s="446">
        <f>IF($E295=0,0,IF(MIN(BH$38,$E295)&lt;MAX($P$34*($B295+$I$38-1),IF(AND($L$37=0,$P$34=0),"",$L$37-1)),0,YEARFRAC(MAX($P$34*($B295+$I$38-1),IF(AND($L$37=0,$P$34=0),"",$L$37-1)),MIN(BH$38,$E295),$P$20))-SUM($BF295:BG295))</f>
        <v>0</v>
      </c>
      <c r="BI295" s="446">
        <f>IF($E295=0,0,IF(MIN(BI$38,$E295)&lt;MAX($P$34*($B295+$I$38-1),IF(AND($L$37=0,$P$34=0),"",$L$37-1)),0,YEARFRAC(MAX($P$34*($B295+$I$38-1),IF(AND($L$37=0,$P$34=0),"",$L$37-1)),MIN(BI$38,$E295),$P$20))-SUM($BF295:BH295))</f>
        <v>0</v>
      </c>
      <c r="BJ295" s="446">
        <f>IF($E295=0,0,IF(MIN(BJ$38,$E295)&lt;MAX($P$34*($B295+$I$38-1),IF(AND($L$37=0,$P$34=0),"",$L$37-1)),0,YEARFRAC(MAX($P$34*($B295+$I$38-1),IF(AND($L$37=0,$P$34=0),"",$L$37-1)),MIN(BJ$38,$E295),$P$20))-SUM($BF295:BI295))</f>
        <v>0</v>
      </c>
      <c r="BK295" s="446">
        <f>IF($E295=0,0,IF(MIN(BK$38,$E295)&lt;MAX($P$34*($B295+$I$38-1),IF(AND($L$37=0,$P$34=0),"",$L$37-1)),0,YEARFRAC(MAX($P$34*($B295+$I$38-1),IF(AND($L$37=0,$P$34=0),"",$L$37-1)),MIN(BK$38,$E295),$P$20))-SUM($BF295:BJ295))</f>
        <v>0</v>
      </c>
      <c r="BL295" s="446">
        <f>IF($E295=0,0,IF(MIN(BL$38,$E295)&lt;MAX($P$34*($B295+$I$38-1),IF(AND($L$37=0,$P$34=0),"",$L$37-1)),0,YEARFRAC(MAX($P$34*($B295+$I$38-1),IF(AND($L$37=0,$P$34=0),"",$L$37-1)),MIN(BL$38,$E295),$P$20))-SUM($BF295:BK295))</f>
        <v>0</v>
      </c>
      <c r="BM295" s="446">
        <f>IF($E295=0,0,IF(MIN(BM$38,$E295)&lt;MAX($P$34*($B295+$I$38-1),IF(AND($L$37=0,$P$34=0),"",$L$37-1)),0,YEARFRAC(MAX($P$34*($B295+$I$38-1),IF(AND($L$37=0,$P$34=0),"",$L$37-1)),MIN(BM$38,$E295),$P$20))-SUM($BF295:BL295))</f>
        <v>0</v>
      </c>
      <c r="BN295" s="446">
        <f>IF($E295=0,0,IF(MIN(BN$38,$E295)&lt;MAX($P$34*($B295+$I$38-1),IF(AND($L$37=0,$P$34=0),"",$L$37-1)),0,YEARFRAC(MAX($P$34*($B295+$I$38-1),IF(AND($L$37=0,$P$34=0),"",$L$37-1)),MIN(BN$38,$E295),$P$20))-SUM($BF295:BM295))</f>
        <v>0</v>
      </c>
      <c r="BO295" s="446">
        <f>IF($E295=0,0,IF(MIN(BO$38,$E295)&lt;MAX($P$34*($B295+$I$38-1),IF(AND($L$37=0,$P$34=0),"",$L$37-1)),0,YEARFRAC(MAX($P$34*($B295+$I$38-1),IF(AND($L$37=0,$P$34=0),"",$L$37-1)),MIN(BO$38,$E295),$P$20))-SUM($BF295:BN295))</f>
        <v>0</v>
      </c>
      <c r="BP295" s="446">
        <f>IF($E295=0,0,IF(MIN(BP$38,$E295)&lt;MAX($P$34*($B295+$I$38-1),IF(AND($L$37=0,$P$34=0),"",$L$37-1)),0,YEARFRAC(MAX($P$34*($B295+$I$38-1),IF(AND($L$37=0,$P$34=0),"",$L$37-1)),MIN(BP$38,$E295),$P$20))-SUM($BF295:BO295))</f>
        <v>0</v>
      </c>
      <c r="BQ295" s="446">
        <f>IF($E295=0,0,IF(MIN(BQ$38,$E295)&lt;MAX($P$34*($B295+$I$38-1),IF(AND($L$37=0,$P$34=0),"",$L$37-1)),0,YEARFRAC(MAX($P$34*($B295+$I$38-1),IF(AND($L$37=0,$P$34=0),"",$L$37-1)),MIN(BQ$38,$E295),$P$20))-SUM($BF295:BP295))</f>
        <v>0</v>
      </c>
      <c r="BR295" s="446">
        <f>IF($E295=0,0,IF(MIN(BR$38,$E295)&lt;MAX($P$34*($B295+$I$38-1),IF(AND($L$37=0,$P$34=0),"",$L$37-1)),0,YEARFRAC(MAX($P$34*($B295+$I$38-1),IF(AND($L$37=0,$P$34=0),"",$L$37-1)),MIN(BR$38,$E295),$P$20))-SUM($BF295:BQ295))</f>
        <v>0</v>
      </c>
      <c r="BS295" s="446">
        <f>IF($E295=0,0,IF(MIN(BS$38,$E295)&lt;MAX($P$34*($B295+$I$38-1),IF(AND($L$37=0,$P$34=0),"",$L$37-1)),0,YEARFRAC(MAX($P$34*($B295+$I$38-1),IF(AND($L$37=0,$P$34=0),"",$L$37-1)),MIN(BS$38,$E295),$P$20))-SUM($BF295:BR295))</f>
        <v>0</v>
      </c>
      <c r="BT295" s="446">
        <f>IF($E295=0,0,IF(MIN(BT$38,$E295)&lt;MAX($P$34*($B295+$I$38-1),IF(AND($L$37=0,$P$34=0),"",$L$37-1)),0,YEARFRAC(MAX($P$34*($B295+$I$38-1),IF(AND($L$37=0,$P$34=0),"",$L$37-1)),MIN(BT$38,$E295),$P$20))-SUM($BF295:BS295))</f>
        <v>0</v>
      </c>
      <c r="BU295" s="446">
        <f>IF($E295=0,0,IF(MIN(BU$38,$E295)&lt;MAX($P$34*($B295+$I$38-1),IF(AND($L$37=0,$P$34=0),"",$L$37-1)),0,YEARFRAC(MAX($P$34*($B295+$I$38-1),IF(AND($L$37=0,$P$34=0),"",$L$37-1)),MIN(BU$38,$E295),$P$20))-SUM($BF295:BT295))</f>
        <v>0</v>
      </c>
      <c r="BV295" s="446">
        <f>IF($E295=0,0,IF(MIN(BV$38,$E295)&lt;MAX($P$34*($B295+$I$38-1),IF(AND($L$37=0,$P$34=0),"",$L$37-1)),0,YEARFRAC(MAX($P$34*($B295+$I$38-1),IF(AND($L$37=0,$P$34=0),"",$L$37-1)),MIN(BV$38,$E295),$P$20))-SUM($BF295:BU295))</f>
        <v>0</v>
      </c>
      <c r="BW295" s="446">
        <f>IF($E295=0,0,IF(MIN(BW$38,$E295)&lt;MAX($P$34*($B295+$I$38-1),IF(AND($L$37=0,$P$34=0),"",$L$37-1)),0,YEARFRAC(MAX($P$34*($B295+$I$38-1),IF(AND($L$37=0,$P$34=0),"",$L$37-1)),MIN(BW$38,$E295),$P$20))-SUM($BF295:BV295))</f>
        <v>0</v>
      </c>
      <c r="BX295" s="446">
        <f>IF($E295=0,0,IF(MIN(BX$38,$E295)&lt;MAX($P$34*($B295+$I$38-1),IF(AND($L$37=0,$P$34=0),"",$L$37-1)),0,YEARFRAC(MAX($P$34*($B295+$I$38-1),IF(AND($L$37=0,$P$34=0),"",$L$37-1)),MIN(BX$38,$E295),$P$20))-SUM($BF295:BW295))</f>
        <v>0</v>
      </c>
      <c r="BY295" s="446">
        <f>IF($E295=0,0,IF(MIN(BY$38,$E295)&lt;MAX($P$34*($B295+$I$38-1),IF(AND($L$37=0,$P$34=0),"",$L$37-1)),0,YEARFRAC(MAX($P$34*($B295+$I$38-1),IF(AND($L$37=0,$P$34=0),"",$L$37-1)),MIN(BY$38,$E295),$P$20))-SUM($BF295:BX295))</f>
        <v>0</v>
      </c>
      <c r="BZ295" s="446">
        <f>IF($E295=0,0,IF(MIN(BZ$38,$E295)&lt;MAX($P$34*($B295+$I$38-1),IF(AND($L$37=0,$P$34=0),"",$L$37-1)),0,YEARFRAC(MAX($P$34*($B295+$I$38-1),IF(AND($L$37=0,$P$34=0),"",$L$37-1)),MIN(BZ$38,$E295),$P$20))-SUM($BF295:BY295))</f>
        <v>0</v>
      </c>
      <c r="CA295" s="446">
        <f>IF($E295=0,0,IF(MIN(CA$38,$E295)&lt;MAX($P$34*($B295+$I$38-1),IF(AND($L$37=0,$P$34=0),"",$L$37-1)),0,YEARFRAC(MAX($P$34*($B295+$I$38-1),IF(AND($L$37=0,$P$34=0),"",$L$37-1)),MIN(CA$38,$E295),$P$20))-SUM($BF295:BZ295))</f>
        <v>0</v>
      </c>
      <c r="CB295" s="446">
        <f>IF($E295=0,0,IF(MIN(CB$38,$E295)&lt;MAX($P$34*($B295+$I$38-1),IF(AND($L$37=0,$P$34=0),"",$L$37-1)),0,YEARFRAC(MAX($P$34*($B295+$I$38-1),IF(AND($L$37=0,$P$34=0),"",$L$37-1)),MIN(CB$38,$E295),$P$20))-SUM($BF295:CA295))</f>
        <v>0</v>
      </c>
      <c r="CC295" s="446">
        <f>IF($E295=0,0,IF(MIN(CC$38,$E295)&lt;MAX($P$34*($B295+$I$38-1),IF(AND($L$37=0,$P$34=0),"",$L$37-1)),0,YEARFRAC(MAX($P$34*($B295+$I$38-1),IF(AND($L$37=0,$P$34=0),"",$L$37-1)),MIN(CC$38,$E295),$P$20))-SUM($BF295:CB295))</f>
        <v>0</v>
      </c>
      <c r="CD295" s="446">
        <f>IF($E295=0,0,IF(MIN(CD$38,$E295)&lt;MAX($P$34*($B295+$I$38-1),IF(AND($L$37=0,$P$34=0),"",$L$37-1)),0,YEARFRAC(MAX($P$34*($B295+$I$38-1),IF(AND($L$37=0,$P$34=0),"",$L$37-1)),MIN(CD$38,$E295),$P$20))-SUM($BF295:CC295))</f>
        <v>0</v>
      </c>
      <c r="CE295" s="446">
        <f>IF($E295=0,0,IF(MIN(CE$38,$E295)&lt;MAX($P$34*($B295+$I$38-1),IF(AND($L$37=0,$P$34=0),"",$L$37-1)),0,YEARFRAC(MAX($P$34*($B295+$I$38-1),IF(AND($L$37=0,$P$34=0),"",$L$37-1)),MIN(CE$38,$E295),$P$20))-SUM($BF295:CD295))</f>
        <v>0</v>
      </c>
      <c r="CF295" s="446">
        <f>IF($E295=0,0,IF(MIN(CF$38,$E295)&lt;MAX($P$34*($B295+$I$38-1),IF(AND($L$37=0,$P$34=0),"",$L$37-1)),0,YEARFRAC(MAX($P$34*($B295+$I$38-1),IF(AND($L$37=0,$P$34=0),"",$L$37-1)),MIN(CF$38,$E295),$P$20))-SUM($BF295:CE295))</f>
        <v>0</v>
      </c>
      <c r="CG295" s="446">
        <f>IF($E295=0,0,IF(MIN(CG$38,$E295)&lt;MAX($P$34*($B295+$I$38-1),IF(AND($L$37=0,$P$34=0),"",$L$37-1)),0,YEARFRAC(MAX($P$34*($B295+$I$38-1),IF(AND($L$37=0,$P$34=0),"",$L$37-1)),MIN(CG$38,$E295),$P$20))-SUM($BF295:CF295))</f>
        <v>0</v>
      </c>
      <c r="CH295" s="446">
        <f>IF($E295=0,0,IF(MIN(CH$38,$E295)&lt;MAX($P$34*($B295+$I$38-1),IF(AND($L$37=0,$P$34=0),"",$L$37-1)),0,YEARFRAC(MAX($P$34*($B295+$I$38-1),IF(AND($L$37=0,$P$34=0),"",$L$37-1)),MIN(CH$38,$E295),$P$20))-SUM($BF295:CG295))</f>
        <v>0</v>
      </c>
      <c r="CI295" s="446">
        <f>IF($E295=0,0,IF(MIN(CI$38,$E295)&lt;MAX($P$34*($B295+$I$38-1),IF(AND($L$37=0,$P$34=0),"",$L$37-1)),0,YEARFRAC(MAX($P$34*($B295+$I$38-1),IF(AND($L$37=0,$P$34=0),"",$L$37-1)),MIN(CI$38,$E295),$P$20))-SUM($BF295:CH295))</f>
        <v>0</v>
      </c>
      <c r="CJ295" s="446">
        <f>IF($E295=0,0,IF(MIN(CJ$38,$E295)&lt;MAX($P$34*($B295+$I$38-1),IF(AND($L$37=0,$P$34=0),"",$L$37-1)),0,YEARFRAC(MAX($P$34*($B295+$I$38-1),IF(AND($L$37=0,$P$34=0),"",$L$37-1)),MIN(CJ$38,$E295),$P$20))-SUM($BF295:CI295))</f>
        <v>0</v>
      </c>
      <c r="CK295" s="446">
        <f>IF($E295=0,0,IF(MIN(CK$38,$E295)&lt;MAX($P$34*($B295+$I$38-1),IF(AND($L$37=0,$P$34=0),"",$L$37-1)),0,YEARFRAC(MAX($P$34*($B295+$I$38-1),IF(AND($L$37=0,$P$34=0),"",$L$37-1)),MIN(CK$38,$E295),$P$20))-SUM($BF295:CJ295))</f>
        <v>0</v>
      </c>
      <c r="CL295" s="446">
        <f>IF($E295=0,0,IF(MIN(CL$38,$E295)&lt;MAX($P$34*($B295+$I$38-1),IF(AND($L$37=0,$P$34=0),"",$L$37-1)),0,YEARFRAC(MAX($P$34*($B295+$I$38-1),IF(AND($L$37=0,$P$34=0),"",$L$37-1)),MIN(CL$38,$E295),$P$20))-SUM($BF295:CK295))</f>
        <v>0</v>
      </c>
      <c r="CM295" s="446">
        <f>IF($E295=0,0,IF(MIN(CM$38,$E295)&lt;MAX($P$34*($B295+$I$38-1),IF(AND($L$37=0,$P$34=0),"",$L$37-1)),0,YEARFRAC(MAX($P$34*($B295+$I$38-1),IF(AND($L$37=0,$P$34=0),"",$L$37-1)),MIN(CM$38,$E295),$P$20))-SUM($BF295:CL295))</f>
        <v>0</v>
      </c>
      <c r="CN295" s="446">
        <f>IF($E295=0,0,IF(MIN(CN$38,$E295)&lt;MAX($P$34*($B295+$I$38-1),IF(AND($L$37=0,$P$34=0),"",$L$37-1)),0,YEARFRAC(MAX($P$34*($B295+$I$38-1),IF(AND($L$37=0,$P$34=0),"",$L$37-1)),MIN(CN$38,$E295),$P$20))-SUM($BF295:CM295))</f>
        <v>0</v>
      </c>
      <c r="CO295" s="446">
        <f>IF($E295=0,0,IF(MIN(CO$38,$E295)&lt;MAX($P$34*($B295+$I$38-1),IF(AND($L$37=0,$P$34=0),"",$L$37-1)),0,YEARFRAC(MAX($P$34*($B295+$I$38-1),IF(AND($L$37=0,$P$34=0),"",$L$37-1)),MIN(CO$38,$E295),$P$20))-SUM($BF295:CN295))</f>
        <v>0</v>
      </c>
      <c r="CP295" s="446">
        <f>IF($E295=0,0,IF(MIN(CP$38,$E295)&lt;MAX($P$34*($B295+$I$38-1),IF(AND($L$37=0,$P$34=0),"",$L$37-1)),0,YEARFRAC(MAX($P$34*($B295+$I$38-1),IF(AND($L$37=0,$P$34=0),"",$L$37-1)),MIN(CP$38,$E295),$P$20))-SUM($BF295:CO295))</f>
        <v>0</v>
      </c>
      <c r="CQ295" s="446">
        <f>IF($E295=0,0,IF(MIN(CQ$38,$E295)&lt;MAX($P$34*($B295+$I$38-1),IF(AND($L$37=0,$P$34=0),"",$L$37-1)),0,YEARFRAC(MAX($P$34*($B295+$I$38-1),IF(AND($L$37=0,$P$34=0),"",$L$37-1)),MIN(CQ$38,$E295),$P$20))-SUM($BF295:CP295))</f>
        <v>0</v>
      </c>
    </row>
    <row r="296" spans="1:95" s="446" customFormat="1" ht="11.25" hidden="1" customHeight="1" x14ac:dyDescent="0.2">
      <c r="A296" s="152"/>
      <c r="B296" s="153" t="str">
        <f t="shared" si="48"/>
        <v/>
      </c>
      <c r="C296" s="29" t="str">
        <f>IF(B296="","",IF($L$35="SELIC - TRIBUTOS",VLOOKUP(DATE(YEAR($D$19),MONTH($D$19)-1,1),ÍNDICES!$A:$DE,HLOOKUP($BL$25,ÍNDICES!$B$3:$T$4,2)+11)-VLOOKUP(B296,ÍNDICES!$A:$DE,HLOOKUP($BL$25,ÍNDICES!$B$3:$T$4,2)+11)+1%,IF(C$38=$W$26,$J$35,IF(ISERROR(IF(B296&gt;$D$19,1,VLOOKUP(DATE(YEAR(B296),MONTH(B296)+IF($C$35=$S$23,1,0),1),ÍNDICES!$A:$DE,$Z$35+1))),"",IF(B296&gt;$D$19,1,VLOOKUP(DATE(YEAR(B296),MONTH(B296)+IF($C$35=$S$23,1,0),1),ÍNDICES!$A:$DE,$Z$35+1))))))</f>
        <v/>
      </c>
      <c r="D296" s="154" t="str">
        <f>IF(ISERROR(IF(OR($D$38=$Y$27,$B296=""),"",VLOOKUP(B296,ÍNDICES!A:DE,AF$35+1))),"",IF(OR($D$38=$Y$27,$B296=""),"",VLOOKUP(B296,ÍNDICES!A:DE,AF$35+1)))</f>
        <v/>
      </c>
      <c r="E296" s="153"/>
      <c r="F296" s="29" t="str">
        <f>IF(E296="","",IF($L$35="SELIC - TRIBUTOS",VLOOKUP(DATE(YEAR($D$19),MONTH($D$19)-1,1),ÍNDICES!$A:$DE,HLOOKUP($BL$25,ÍNDICES!$B$3:$T$4,2)+11)-VLOOKUP(E296,ÍNDICES!$A:$DE,HLOOKUP($BL$25,ÍNDICES!$B$3:$T$4,2)+11)+1%,IF(F$38=$W$26,$J$35,IF(ISERROR(IF(E296&gt;$D$19,1,VLOOKUP(DATE(YEAR(E296),MONTH(E296)+IF($C$35=$S$23,1,0),1),ÍNDICES!$A:$DE,$Z$35+1))),"",IF(E296&gt;$D$19,1,VLOOKUP(DATE(YEAR(E296),MONTH(E296)+IF($C$35=$S$23,1,0),1),ÍNDICES!$A:$DE,$Z$35+1))))))</f>
        <v/>
      </c>
      <c r="G296" s="155"/>
      <c r="H296" s="156" t="str">
        <f t="shared" si="44"/>
        <v/>
      </c>
      <c r="I296" s="29" t="str">
        <f t="shared" ref="I296:I359" si="49">IF(OR($L$35=$BL$25,B296=""),"",SUM(BF296:CF296))</f>
        <v/>
      </c>
      <c r="J296" s="5">
        <f t="shared" ref="J296:J359" si="50">IF(OR($L$35="SELIC - TRIBUTOS",B296=""),0,IF(D296="",0,D296)/C296*J$35*SUMPRODUCT($BF$37:$DD$37,$BF296:$DD296))</f>
        <v>0</v>
      </c>
      <c r="K296" s="20">
        <f t="shared" ref="K296:K359" ca="1" si="51">IF($L$35="SELIC - TRIBUTOS",$K$38*(-IFERROR(D296*(1+C296),0)-IF($R$17="Distrato",IFERROR(G296*(1+F296),0),0)),$K$38*(IFERROR(D296/C296*$J$35,0)-IF($R$17="Distrato",IFERROR(G296/F296*$J$35,0),0)))</f>
        <v>0</v>
      </c>
      <c r="L296" s="5">
        <f t="shared" ref="L296:L359" ca="1" si="52">IF(L$35="SELIC - TRIBUTOS",0,IFERROR(K296*SUMPRODUCT($P$37:$BA$37,$P296:$BA296),0))</f>
        <v>0</v>
      </c>
      <c r="M296" s="64">
        <f t="shared" si="45"/>
        <v>0</v>
      </c>
      <c r="N296" s="61">
        <f t="shared" ca="1" si="46"/>
        <v>0</v>
      </c>
      <c r="O296" s="5">
        <f t="shared" ca="1" si="47"/>
        <v>0</v>
      </c>
      <c r="P296" s="446" t="e">
        <f t="shared" ref="P296:P359" si="53">IF(OR($B296="",MIN(P$38,$D$19)&lt;MAX($P$34*($B296+IF($R$17="Distrato",$I$38-1,0)),IF(AND($L$37=0,$P$34=0),"",$L$37-1),IF($R$17="Distrato",$E296,0))),0,YEARFRAC(MAX($P$34*($B296+IF($R$17="Distrato",$I$38-1,0)),IF(AND($L$37=0,$P$34=0),"",$L$37-1),IF($R$17="Distrato",$E296,0)),MIN(P$38,$D$19),$P$20))</f>
        <v>#VALUE!</v>
      </c>
      <c r="Q296" s="446" t="e">
        <f>IF(OR($B296="",MIN(Q$38,$D$19)&lt;MAX($P$34*($B296+IF($R$17="Distrato",$I$38-1,0)),IF(AND($L$37=0,$P$34=0),"",$L$37-1),IF($R$17="Distrato",$E296,0))),0,YEARFRAC(MAX($P$34*($B296+IF($R$17="Distrato",$I$38-1,0)),IF(AND($L$37=0,$P$34=0),"",$L$37-1),IF($R$17="Distrato",$E296,0)),MIN(Q$38,$D$19),$P$20))-SUM($P296:P296)</f>
        <v>#VALUE!</v>
      </c>
      <c r="R296" s="446" t="e">
        <f>IF(OR($B296="",MIN(R$38,$D$19)&lt;MAX($P$34*($B296+IF($R$17="Distrato",$I$38-1,0)),IF(AND($L$37=0,$P$34=0),"",$L$37-1),IF($R$17="Distrato",$E296,0))),0,YEARFRAC(MAX($P$34*($B296+IF($R$17="Distrato",$I$38-1,0)),IF(AND($L$37=0,$P$34=0),"",$L$37-1),IF($R$17="Distrato",$E296,0)),MIN(R$38,$D$19),$P$20))-SUM($P296:Q296)</f>
        <v>#VALUE!</v>
      </c>
      <c r="S296" s="446" t="e">
        <f>IF(OR($B296="",MIN(S$38,$D$19)&lt;MAX($P$34*($B296+IF($R$17="Distrato",$I$38-1,0)),IF(AND($L$37=0,$P$34=0),"",$L$37-1),IF($R$17="Distrato",$E296,0))),0,YEARFRAC(MAX($P$34*($B296+IF($R$17="Distrato",$I$38-1,0)),IF(AND($L$37=0,$P$34=0),"",$L$37-1),IF($R$17="Distrato",$E296,0)),MIN(S$38,$D$19),$P$20))-SUM($P296:R296)</f>
        <v>#VALUE!</v>
      </c>
      <c r="T296" s="446" t="e">
        <f>IF(OR($B296="",MIN(T$38,$D$19)&lt;MAX($P$34*($B296+IF($R$17="Distrato",$I$38-1,0)),IF(AND($L$37=0,$P$34=0),"",$L$37-1),IF($R$17="Distrato",$E296,0))),0,YEARFRAC(MAX($P$34*($B296+IF($R$17="Distrato",$I$38-1,0)),IF(AND($L$37=0,$P$34=0),"",$L$37-1),IF($R$17="Distrato",$E296,0)),MIN(T$38,$D$19),$P$20))-SUM($P296:S296)</f>
        <v>#VALUE!</v>
      </c>
      <c r="U296" s="446" t="e">
        <f>IF(OR($B296="",MIN(U$38,$D$19)&lt;MAX($P$34*($B296+IF($R$17="Distrato",$I$38-1,0)),IF(AND($L$37=0,$P$34=0),"",$L$37-1),IF($R$17="Distrato",$E296,0))),0,YEARFRAC(MAX($P$34*($B296+IF($R$17="Distrato",$I$38-1,0)),IF(AND($L$37=0,$P$34=0),"",$L$37-1),IF($R$17="Distrato",$E296,0)),MIN(U$38,$D$19),$P$20))-SUM($P296:T296)</f>
        <v>#VALUE!</v>
      </c>
      <c r="V296" s="446" t="e">
        <f>IF(OR($B296="",MIN(V$38,$D$19)&lt;MAX($P$34*($B296+IF($R$17="Distrato",$I$38-1,0)),IF(AND($L$37=0,$P$34=0),"",$L$37-1),IF($R$17="Distrato",$E296,0))),0,YEARFRAC(MAX($P$34*($B296+IF($R$17="Distrato",$I$38-1,0)),IF(AND($L$37=0,$P$34=0),"",$L$37-1),IF($R$17="Distrato",$E296,0)),MIN(V$38,$D$19),$P$20))-SUM($P296:U296)</f>
        <v>#VALUE!</v>
      </c>
      <c r="W296" s="446" t="e">
        <f>IF(OR($B296="",MIN(W$38,$D$19)&lt;MAX($P$34*($B296+IF($R$17="Distrato",$I$38-1,0)),IF(AND($L$37=0,$P$34=0),"",$L$37-1),IF($R$17="Distrato",$E296,0))),0,YEARFRAC(MAX($P$34*($B296+IF($R$17="Distrato",$I$38-1,0)),IF(AND($L$37=0,$P$34=0),"",$L$37-1),IF($R$17="Distrato",$E296,0)),MIN(W$38,$D$19),$P$20))-SUM($P296:V296)</f>
        <v>#VALUE!</v>
      </c>
      <c r="X296" s="446" t="e">
        <f>IF(OR($B296="",MIN(X$38,$D$19)&lt;MAX($P$34*($B296+IF($R$17="Distrato",$I$38-1,0)),IF(AND($L$37=0,$P$34=0),"",$L$37-1),IF($R$17="Distrato",$E296,0))),0,YEARFRAC(MAX($P$34*($B296+IF($R$17="Distrato",$I$38-1,0)),IF(AND($L$37=0,$P$34=0),"",$L$37-1),IF($R$17="Distrato",$E296,0)),MIN(X$38,$D$19),$P$20))-SUM($P296:W296)</f>
        <v>#VALUE!</v>
      </c>
      <c r="Y296" s="446" t="e">
        <f>IF(OR($B296="",MIN(Y$38,$D$19)&lt;MAX($P$34*($B296+IF($R$17="Distrato",$I$38-1,0)),IF(AND($L$37=0,$P$34=0),"",$L$37-1),IF($R$17="Distrato",$E296,0))),0,YEARFRAC(MAX($P$34*($B296+IF($R$17="Distrato",$I$38-1,0)),IF(AND($L$37=0,$P$34=0),"",$L$37-1),IF($R$17="Distrato",$E296,0)),MIN(Y$38,$D$19),$P$20))-SUM($P296:X296)</f>
        <v>#VALUE!</v>
      </c>
      <c r="Z296" s="446" t="e">
        <f>IF(OR($B296="",MIN(Z$38,$D$19)&lt;MAX($P$34*($B296+IF($R$17="Distrato",$I$38-1,0)),IF(AND($L$37=0,$P$34=0),"",$L$37-1),IF($R$17="Distrato",$E296,0))),0,YEARFRAC(MAX($P$34*($B296+IF($R$17="Distrato",$I$38-1,0)),IF(AND($L$37=0,$P$34=0),"",$L$37-1),IF($R$17="Distrato",$E296,0)),MIN(Z$38,$D$19),$P$20))-SUM($P296:Y296)</f>
        <v>#VALUE!</v>
      </c>
      <c r="AA296" s="446" t="e">
        <f>IF(OR($B296="",MIN(AA$38,$D$19)&lt;MAX($P$34*($B296+IF($R$17="Distrato",$I$38-1,0)),IF(AND($L$37=0,$P$34=0),"",$L$37-1),IF($R$17="Distrato",$E296,0))),0,YEARFRAC(MAX($P$34*($B296+IF($R$17="Distrato",$I$38-1,0)),IF(AND($L$37=0,$P$34=0),"",$L$37-1),IF($R$17="Distrato",$E296,0)),MIN(AA$38,$D$19),$P$20))-SUM($P296:Z296)</f>
        <v>#VALUE!</v>
      </c>
      <c r="AB296" s="446" t="e">
        <f>IF(OR($B296="",MIN(AB$38,$D$19)&lt;MAX($P$34*($B296+IF($R$17="Distrato",$I$38-1,0)),IF(AND($L$37=0,$P$34=0),"",$L$37-1),IF($R$17="Distrato",$E296,0))),0,YEARFRAC(MAX($P$34*($B296+IF($R$17="Distrato",$I$38-1,0)),IF(AND($L$37=0,$P$34=0),"",$L$37-1),IF($R$17="Distrato",$E296,0)),MIN(AB$38,$D$19),$P$20))-SUM($P296:AA296)</f>
        <v>#VALUE!</v>
      </c>
      <c r="AC296" s="446" t="e">
        <f>IF(OR($B296="",MIN(AC$38,$D$19)&lt;MAX($P$34*($B296+IF($R$17="Distrato",$I$38-1,0)),IF(AND($L$37=0,$P$34=0),"",$L$37-1),IF($R$17="Distrato",$E296,0))),0,YEARFRAC(MAX($P$34*($B296+IF($R$17="Distrato",$I$38-1,0)),IF(AND($L$37=0,$P$34=0),"",$L$37-1),IF($R$17="Distrato",$E296,0)),MIN(AC$38,$D$19),$P$20))-SUM($P296:AB296)</f>
        <v>#VALUE!</v>
      </c>
      <c r="AD296" s="446" t="e">
        <f>IF(OR($B296="",MIN(AD$38,$D$19)&lt;MAX($P$34*($B296+IF($R$17="Distrato",$I$38-1,0)),IF(AND($L$37=0,$P$34=0),"",$L$37-1),IF($R$17="Distrato",$E296,0))),0,YEARFRAC(MAX($P$34*($B296+IF($R$17="Distrato",$I$38-1,0)),IF(AND($L$37=0,$P$34=0),"",$L$37-1),IF($R$17="Distrato",$E296,0)),MIN(AD$38,$D$19),$P$20))-SUM($P296:AC296)</f>
        <v>#VALUE!</v>
      </c>
      <c r="AE296" s="446" t="e">
        <f>IF(OR($B296="",MIN(AE$38,$D$19)&lt;MAX($P$34*($B296+IF($R$17="Distrato",$I$38-1,0)),IF(AND($L$37=0,$P$34=0),"",$L$37-1),IF($R$17="Distrato",$E296,0))),0,YEARFRAC(MAX($P$34*($B296+IF($R$17="Distrato",$I$38-1,0)),IF(AND($L$37=0,$P$34=0),"",$L$37-1),IF($R$17="Distrato",$E296,0)),MIN(AE$38,$D$19),$P$20))-SUM($P296:AD296)</f>
        <v>#VALUE!</v>
      </c>
      <c r="AF296" s="446" t="e">
        <f>IF(OR($B296="",MIN(AF$38,$D$19)&lt;MAX($P$34*($B296+IF($R$17="Distrato",$I$38-1,0)),IF(AND($L$37=0,$P$34=0),"",$L$37-1),IF($R$17="Distrato",$E296,0))),0,YEARFRAC(MAX($P$34*($B296+IF($R$17="Distrato",$I$38-1,0)),IF(AND($L$37=0,$P$34=0),"",$L$37-1),IF($R$17="Distrato",$E296,0)),MIN(AF$38,$D$19),$P$20))-SUM($P296:AE296)</f>
        <v>#VALUE!</v>
      </c>
      <c r="AG296" s="446" t="e">
        <f>IF(OR($B296="",MIN(AG$38,$D$19)&lt;MAX($P$34*($B296+IF($R$17="Distrato",$I$38-1,0)),IF(AND($L$37=0,$P$34=0),"",$L$37-1),IF($R$17="Distrato",$E296,0))),0,YEARFRAC(MAX($P$34*($B296+IF($R$17="Distrato",$I$38-1,0)),IF(AND($L$37=0,$P$34=0),"",$L$37-1),IF($R$17="Distrato",$E296,0)),MIN(AG$38,$D$19),$P$20))-SUM($P296:AF296)</f>
        <v>#VALUE!</v>
      </c>
      <c r="AH296" s="446" t="e">
        <f>IF(OR($B296="",MIN(AH$38,$D$19)&lt;MAX($P$34*($B296+IF($R$17="Distrato",$I$38-1,0)),IF(AND($L$37=0,$P$34=0),"",$L$37-1),IF($R$17="Distrato",$E296,0))),0,YEARFRAC(MAX($P$34*($B296+IF($R$17="Distrato",$I$38-1,0)),IF(AND($L$37=0,$P$34=0),"",$L$37-1),IF($R$17="Distrato",$E296,0)),MIN(AH$38,$D$19),$P$20))-SUM($P296:AG296)</f>
        <v>#VALUE!</v>
      </c>
      <c r="AI296" s="446" t="e">
        <f>IF(OR($B296="",MIN(AI$38,$D$19)&lt;MAX($P$34*($B296+IF($R$17="Distrato",$I$38-1,0)),IF(AND($L$37=0,$P$34=0),"",$L$37-1),IF($R$17="Distrato",$E296,0))),0,YEARFRAC(MAX($P$34*($B296+IF($R$17="Distrato",$I$38-1,0)),IF(AND($L$37=0,$P$34=0),"",$L$37-1),IF($R$17="Distrato",$E296,0)),MIN(AI$38,$D$19),$P$20))-SUM($P296:AH296)</f>
        <v>#VALUE!</v>
      </c>
      <c r="AJ296" s="446" t="e">
        <f>IF(OR($B296="",MIN(AJ$38,$D$19)&lt;MAX($P$34*($B296+IF($R$17="Distrato",$I$38-1,0)),IF(AND($L$37=0,$P$34=0),"",$L$37-1),IF($R$17="Distrato",$E296,0))),0,YEARFRAC(MAX($P$34*($B296+IF($R$17="Distrato",$I$38-1,0)),IF(AND($L$37=0,$P$34=0),"",$L$37-1),IF($R$17="Distrato",$E296,0)),MIN(AJ$38,$D$19),$P$20))-SUM($P296:AI296)</f>
        <v>#VALUE!</v>
      </c>
      <c r="AK296" s="446" t="e">
        <f>IF(OR($B296="",MIN(AK$38,$D$19)&lt;MAX($P$34*($B296+IF($R$17="Distrato",$I$38-1,0)),IF(AND($L$37=0,$P$34=0),"",$L$37-1),IF($R$17="Distrato",$E296,0))),0,YEARFRAC(MAX($P$34*($B296+IF($R$17="Distrato",$I$38-1,0)),IF(AND($L$37=0,$P$34=0),"",$L$37-1),IF($R$17="Distrato",$E296,0)),MIN(AK$38,$D$19),$P$20))-SUM($P296:AJ296)</f>
        <v>#VALUE!</v>
      </c>
      <c r="AL296" s="446" t="e">
        <f>IF(OR($B296="",MIN(AL$38,$D$19)&lt;MAX($P$34*($B296+IF($R$17="Distrato",$I$38-1,0)),IF(AND($L$37=0,$P$34=0),"",$L$37-1),IF($R$17="Distrato",$E296,0))),0,YEARFRAC(MAX($P$34*($B296+IF($R$17="Distrato",$I$38-1,0)),IF(AND($L$37=0,$P$34=0),"",$L$37-1),IF($R$17="Distrato",$E296,0)),MIN(AL$38,$D$19),$P$20))-SUM($P296:AK296)</f>
        <v>#VALUE!</v>
      </c>
      <c r="AM296" s="446" t="e">
        <f>IF(OR($B296="",MIN(AM$38,$D$19)&lt;MAX($P$34*($B296+IF($R$17="Distrato",$I$38-1,0)),IF(AND($L$37=0,$P$34=0),"",$L$37-1),IF($R$17="Distrato",$E296,0))),0,YEARFRAC(MAX($P$34*($B296+IF($R$17="Distrato",$I$38-1,0)),IF(AND($L$37=0,$P$34=0),"",$L$37-1),IF($R$17="Distrato",$E296,0)),MIN(AM$38,$D$19),$P$20))-SUM($P296:AL296)</f>
        <v>#VALUE!</v>
      </c>
      <c r="AN296" s="446" t="e">
        <f>IF(OR($B296="",MIN(AN$38,$D$19)&lt;MAX($P$34*($B296+IF($R$17="Distrato",$I$38-1,0)),IF(AND($L$37=0,$P$34=0),"",$L$37-1),IF($R$17="Distrato",$E296,0))),0,YEARFRAC(MAX($P$34*($B296+IF($R$17="Distrato",$I$38-1,0)),IF(AND($L$37=0,$P$34=0),"",$L$37-1),IF($R$17="Distrato",$E296,0)),MIN(AN$38,$D$19),$P$20))-SUM($P296:AM296)</f>
        <v>#VALUE!</v>
      </c>
      <c r="AO296" s="446" t="e">
        <f>IF(OR($B296="",MIN(AO$38,$D$19)&lt;MAX($P$34*($B296+IF($R$17="Distrato",$I$38-1,0)),IF(AND($L$37=0,$P$34=0),"",$L$37-1),IF($R$17="Distrato",$E296,0))),0,YEARFRAC(MAX($P$34*($B296+IF($R$17="Distrato",$I$38-1,0)),IF(AND($L$37=0,$P$34=0),"",$L$37-1),IF($R$17="Distrato",$E296,0)),MIN(AO$38,$D$19),$P$20))-SUM($P296:AN296)</f>
        <v>#VALUE!</v>
      </c>
      <c r="AP296" s="446" t="e">
        <f>IF(OR($B296="",MIN(AP$38,$D$19)&lt;MAX($P$34*($B296+IF($R$17="Distrato",$I$38-1,0)),IF(AND($L$37=0,$P$34=0),"",$L$37-1),IF($R$17="Distrato",$E296,0))),0,YEARFRAC(MAX($P$34*($B296+IF($R$17="Distrato",$I$38-1,0)),IF(AND($L$37=0,$P$34=0),"",$L$37-1),IF($R$17="Distrato",$E296,0)),MIN(AP$38,$D$19),$P$20))-SUM($P296:AO296)</f>
        <v>#VALUE!</v>
      </c>
      <c r="AQ296" s="446" t="e">
        <f>IF(OR($B296="",MIN(AQ$38,$D$19)&lt;MAX($P$34*($B296+IF($R$17="Distrato",$I$38-1,0)),IF(AND($L$37=0,$P$34=0),"",$L$37-1),IF($R$17="Distrato",$E296,0))),0,YEARFRAC(MAX($P$34*($B296+IF($R$17="Distrato",$I$38-1,0)),IF(AND($L$37=0,$P$34=0),"",$L$37-1),IF($R$17="Distrato",$E296,0)),MIN(AQ$38,$D$19),$P$20))-SUM($P296:AP296)</f>
        <v>#VALUE!</v>
      </c>
      <c r="AR296" s="446" t="e">
        <f>IF(OR($B296="",MIN(AR$38,$D$19)&lt;MAX($P$34*($B296+IF($R$17="Distrato",$I$38-1,0)),IF(AND($L$37=0,$P$34=0),"",$L$37-1),IF($R$17="Distrato",$E296,0))),0,YEARFRAC(MAX($P$34*($B296+IF($R$17="Distrato",$I$38-1,0)),IF(AND($L$37=0,$P$34=0),"",$L$37-1),IF($R$17="Distrato",$E296,0)),MIN(AR$38,$D$19),$P$20))-SUM($P296:AQ296)</f>
        <v>#VALUE!</v>
      </c>
      <c r="AS296" s="446" t="e">
        <f>IF(OR($B296="",MIN(AS$38,$D$19)&lt;MAX($P$34*($B296+IF($R$17="Distrato",$I$38-1,0)),IF(AND($L$37=0,$P$34=0),"",$L$37-1),IF($R$17="Distrato",$E296,0))),0,YEARFRAC(MAX($P$34*($B296+IF($R$17="Distrato",$I$38-1,0)),IF(AND($L$37=0,$P$34=0),"",$L$37-1),IF($R$17="Distrato",$E296,0)),MIN(AS$38,$D$19),$P$20))-SUM($P296:AR296)</f>
        <v>#VALUE!</v>
      </c>
      <c r="AT296" s="446" t="e">
        <f>IF(OR($B296="",MIN(AT$38,$D$19)&lt;MAX($P$34*($B296+IF($R$17="Distrato",$I$38-1,0)),IF(AND($L$37=0,$P$34=0),"",$L$37-1),IF($R$17="Distrato",$E296,0))),0,YEARFRAC(MAX($P$34*($B296+IF($R$17="Distrato",$I$38-1,0)),IF(AND($L$37=0,$P$34=0),"",$L$37-1),IF($R$17="Distrato",$E296,0)),MIN(AT$38,$D$19),$P$20))-SUM($P296:AS296)</f>
        <v>#VALUE!</v>
      </c>
      <c r="AU296" s="446" t="e">
        <f>IF(OR($B296="",MIN(AU$38,$D$19)&lt;MAX($P$34*($B296+IF($R$17="Distrato",$I$38-1,0)),IF(AND($L$37=0,$P$34=0),"",$L$37-1),IF($R$17="Distrato",$E296,0))),0,YEARFRAC(MAX($P$34*($B296+IF($R$17="Distrato",$I$38-1,0)),IF(AND($L$37=0,$P$34=0),"",$L$37-1),IF($R$17="Distrato",$E296,0)),MIN(AU$38,$D$19),$P$20))-SUM($P296:AT296)</f>
        <v>#VALUE!</v>
      </c>
      <c r="AV296" s="446" t="e">
        <f>IF(OR($B296="",MIN(AV$38,$D$19)&lt;MAX($P$34*($B296+IF($R$17="Distrato",$I$38-1,0)),IF(AND($L$37=0,$P$34=0),"",$L$37-1),IF($R$17="Distrato",$E296,0))),0,YEARFRAC(MAX($P$34*($B296+IF($R$17="Distrato",$I$38-1,0)),IF(AND($L$37=0,$P$34=0),"",$L$37-1),IF($R$17="Distrato",$E296,0)),MIN(AV$38,$D$19),$P$20))-SUM($P296:AU296)</f>
        <v>#VALUE!</v>
      </c>
      <c r="AW296" s="446" t="e">
        <f>IF(OR($B296="",MIN(AW$38,$D$19)&lt;MAX($P$34*($B296+IF($R$17="Distrato",$I$38-1,0)),IF(AND($L$37=0,$P$34=0),"",$L$37-1),IF($R$17="Distrato",$E296,0))),0,YEARFRAC(MAX($P$34*($B296+IF($R$17="Distrato",$I$38-1,0)),IF(AND($L$37=0,$P$34=0),"",$L$37-1),IF($R$17="Distrato",$E296,0)),MIN(AW$38,$D$19),$P$20))-SUM($P296:AV296)</f>
        <v>#VALUE!</v>
      </c>
      <c r="AX296" s="446" t="e">
        <f>IF(OR($B296="",MIN(AX$38,$D$19)&lt;MAX($P$34*($B296+IF($R$17="Distrato",$I$38-1,0)),IF(AND($L$37=0,$P$34=0),"",$L$37-1),IF($R$17="Distrato",$E296,0))),0,YEARFRAC(MAX($P$34*($B296+IF($R$17="Distrato",$I$38-1,0)),IF(AND($L$37=0,$P$34=0),"",$L$37-1),IF($R$17="Distrato",$E296,0)),MIN(AX$38,$D$19),$P$20))-SUM($P296:AW296)</f>
        <v>#VALUE!</v>
      </c>
      <c r="AY296" s="446" t="e">
        <f>IF(OR($B296="",MIN(AY$38,$D$19)&lt;MAX($P$34*($B296+IF($R$17="Distrato",$I$38-1,0)),IF(AND($L$37=0,$P$34=0),"",$L$37-1),IF($R$17="Distrato",$E296,0))),0,YEARFRAC(MAX($P$34*($B296+IF($R$17="Distrato",$I$38-1,0)),IF(AND($L$37=0,$P$34=0),"",$L$37-1),IF($R$17="Distrato",$E296,0)),MIN(AY$38,$D$19),$P$20))-SUM($P296:AX296)</f>
        <v>#VALUE!</v>
      </c>
      <c r="AZ296" s="446" t="e">
        <f>IF(OR($B296="",MIN(AZ$38,$D$19)&lt;MAX($P$34*($B296+IF($R$17="Distrato",$I$38-1,0)),IF(AND($L$37=0,$P$34=0),"",$L$37-1),IF($R$17="Distrato",$E296,0))),0,YEARFRAC(MAX($P$34*($B296+IF($R$17="Distrato",$I$38-1,0)),IF(AND($L$37=0,$P$34=0),"",$L$37-1),IF($R$17="Distrato",$E296,0)),MIN(AZ$38,$D$19),$P$20))-SUM($P296:AY296)</f>
        <v>#VALUE!</v>
      </c>
      <c r="BA296" s="446" t="e">
        <f>IF(OR($B296="",MIN(BA$38,$D$19)&lt;MAX($P$34*($B296+IF($R$17="Distrato",$I$38-1,0)),IF(AND($L$37=0,$P$34=0),"",$L$37-1),IF($R$17="Distrato",$E296,0))),0,YEARFRAC(MAX($P$34*($B296+IF($R$17="Distrato",$I$38-1,0)),IF(AND($L$37=0,$P$34=0),"",$L$37-1),IF($R$17="Distrato",$E296,0)),MIN(BA$38,$D$19),$P$20))-SUM($P296:AZ296)</f>
        <v>#VALUE!</v>
      </c>
      <c r="BB296" s="447"/>
      <c r="BF296" s="446">
        <f t="shared" ref="BF296:BF359" si="54">IF($E296=0,0,IF(MIN(BF$38,$E296)&lt;MAX($P$34*($B296+$I$38-1),IF(AND($L$37=0,$P$34=0),"",$L$37-1)),0,YEARFRAC(MAX($P$34*($B296+$I$38-1),IF(AND($L$37=0,$P$34=0),"",$L$37-1)),MIN(BF$38,$E296),$P$20)))</f>
        <v>0</v>
      </c>
      <c r="BG296" s="446">
        <f>IF($E296=0,0,IF(MIN(BG$38,$E296)&lt;MAX($P$34*($B296+$I$38-1),IF(AND($L$37=0,$P$34=0),"",$L$37-1)),0,YEARFRAC(MAX($P$34*($B296+$I$38-1),IF(AND($L$37=0,$P$34=0),"",$L$37-1)),MIN(BG$38,$E296),$P$20))-SUM($BF296:BF296))</f>
        <v>0</v>
      </c>
      <c r="BH296" s="446">
        <f>IF($E296=0,0,IF(MIN(BH$38,$E296)&lt;MAX($P$34*($B296+$I$38-1),IF(AND($L$37=0,$P$34=0),"",$L$37-1)),0,YEARFRAC(MAX($P$34*($B296+$I$38-1),IF(AND($L$37=0,$P$34=0),"",$L$37-1)),MIN(BH$38,$E296),$P$20))-SUM($BF296:BG296))</f>
        <v>0</v>
      </c>
      <c r="BI296" s="446">
        <f>IF($E296=0,0,IF(MIN(BI$38,$E296)&lt;MAX($P$34*($B296+$I$38-1),IF(AND($L$37=0,$P$34=0),"",$L$37-1)),0,YEARFRAC(MAX($P$34*($B296+$I$38-1),IF(AND($L$37=0,$P$34=0),"",$L$37-1)),MIN(BI$38,$E296),$P$20))-SUM($BF296:BH296))</f>
        <v>0</v>
      </c>
      <c r="BJ296" s="446">
        <f>IF($E296=0,0,IF(MIN(BJ$38,$E296)&lt;MAX($P$34*($B296+$I$38-1),IF(AND($L$37=0,$P$34=0),"",$L$37-1)),0,YEARFRAC(MAX($P$34*($B296+$I$38-1),IF(AND($L$37=0,$P$34=0),"",$L$37-1)),MIN(BJ$38,$E296),$P$20))-SUM($BF296:BI296))</f>
        <v>0</v>
      </c>
      <c r="BK296" s="446">
        <f>IF($E296=0,0,IF(MIN(BK$38,$E296)&lt;MAX($P$34*($B296+$I$38-1),IF(AND($L$37=0,$P$34=0),"",$L$37-1)),0,YEARFRAC(MAX($P$34*($B296+$I$38-1),IF(AND($L$37=0,$P$34=0),"",$L$37-1)),MIN(BK$38,$E296),$P$20))-SUM($BF296:BJ296))</f>
        <v>0</v>
      </c>
      <c r="BL296" s="446">
        <f>IF($E296=0,0,IF(MIN(BL$38,$E296)&lt;MAX($P$34*($B296+$I$38-1),IF(AND($L$37=0,$P$34=0),"",$L$37-1)),0,YEARFRAC(MAX($P$34*($B296+$I$38-1),IF(AND($L$37=0,$P$34=0),"",$L$37-1)),MIN(BL$38,$E296),$P$20))-SUM($BF296:BK296))</f>
        <v>0</v>
      </c>
      <c r="BM296" s="446">
        <f>IF($E296=0,0,IF(MIN(BM$38,$E296)&lt;MAX($P$34*($B296+$I$38-1),IF(AND($L$37=0,$P$34=0),"",$L$37-1)),0,YEARFRAC(MAX($P$34*($B296+$I$38-1),IF(AND($L$37=0,$P$34=0),"",$L$37-1)),MIN(BM$38,$E296),$P$20))-SUM($BF296:BL296))</f>
        <v>0</v>
      </c>
      <c r="BN296" s="446">
        <f>IF($E296=0,0,IF(MIN(BN$38,$E296)&lt;MAX($P$34*($B296+$I$38-1),IF(AND($L$37=0,$P$34=0),"",$L$37-1)),0,YEARFRAC(MAX($P$34*($B296+$I$38-1),IF(AND($L$37=0,$P$34=0),"",$L$37-1)),MIN(BN$38,$E296),$P$20))-SUM($BF296:BM296))</f>
        <v>0</v>
      </c>
      <c r="BO296" s="446">
        <f>IF($E296=0,0,IF(MIN(BO$38,$E296)&lt;MAX($P$34*($B296+$I$38-1),IF(AND($L$37=0,$P$34=0),"",$L$37-1)),0,YEARFRAC(MAX($P$34*($B296+$I$38-1),IF(AND($L$37=0,$P$34=0),"",$L$37-1)),MIN(BO$38,$E296),$P$20))-SUM($BF296:BN296))</f>
        <v>0</v>
      </c>
      <c r="BP296" s="446">
        <f>IF($E296=0,0,IF(MIN(BP$38,$E296)&lt;MAX($P$34*($B296+$I$38-1),IF(AND($L$37=0,$P$34=0),"",$L$37-1)),0,YEARFRAC(MAX($P$34*($B296+$I$38-1),IF(AND($L$37=0,$P$34=0),"",$L$37-1)),MIN(BP$38,$E296),$P$20))-SUM($BF296:BO296))</f>
        <v>0</v>
      </c>
      <c r="BQ296" s="446">
        <f>IF($E296=0,0,IF(MIN(BQ$38,$E296)&lt;MAX($P$34*($B296+$I$38-1),IF(AND($L$37=0,$P$34=0),"",$L$37-1)),0,YEARFRAC(MAX($P$34*($B296+$I$38-1),IF(AND($L$37=0,$P$34=0),"",$L$37-1)),MIN(BQ$38,$E296),$P$20))-SUM($BF296:BP296))</f>
        <v>0</v>
      </c>
      <c r="BR296" s="446">
        <f>IF($E296=0,0,IF(MIN(BR$38,$E296)&lt;MAX($P$34*($B296+$I$38-1),IF(AND($L$37=0,$P$34=0),"",$L$37-1)),0,YEARFRAC(MAX($P$34*($B296+$I$38-1),IF(AND($L$37=0,$P$34=0),"",$L$37-1)),MIN(BR$38,$E296),$P$20))-SUM($BF296:BQ296))</f>
        <v>0</v>
      </c>
      <c r="BS296" s="446">
        <f>IF($E296=0,0,IF(MIN(BS$38,$E296)&lt;MAX($P$34*($B296+$I$38-1),IF(AND($L$37=0,$P$34=0),"",$L$37-1)),0,YEARFRAC(MAX($P$34*($B296+$I$38-1),IF(AND($L$37=0,$P$34=0),"",$L$37-1)),MIN(BS$38,$E296),$P$20))-SUM($BF296:BR296))</f>
        <v>0</v>
      </c>
      <c r="BT296" s="446">
        <f>IF($E296=0,0,IF(MIN(BT$38,$E296)&lt;MAX($P$34*($B296+$I$38-1),IF(AND($L$37=0,$P$34=0),"",$L$37-1)),0,YEARFRAC(MAX($P$34*($B296+$I$38-1),IF(AND($L$37=0,$P$34=0),"",$L$37-1)),MIN(BT$38,$E296),$P$20))-SUM($BF296:BS296))</f>
        <v>0</v>
      </c>
      <c r="BU296" s="446">
        <f>IF($E296=0,0,IF(MIN(BU$38,$E296)&lt;MAX($P$34*($B296+$I$38-1),IF(AND($L$37=0,$P$34=0),"",$L$37-1)),0,YEARFRAC(MAX($P$34*($B296+$I$38-1),IF(AND($L$37=0,$P$34=0),"",$L$37-1)),MIN(BU$38,$E296),$P$20))-SUM($BF296:BT296))</f>
        <v>0</v>
      </c>
      <c r="BV296" s="446">
        <f>IF($E296=0,0,IF(MIN(BV$38,$E296)&lt;MAX($P$34*($B296+$I$38-1),IF(AND($L$37=0,$P$34=0),"",$L$37-1)),0,YEARFRAC(MAX($P$34*($B296+$I$38-1),IF(AND($L$37=0,$P$34=0),"",$L$37-1)),MIN(BV$38,$E296),$P$20))-SUM($BF296:BU296))</f>
        <v>0</v>
      </c>
      <c r="BW296" s="446">
        <f>IF($E296=0,0,IF(MIN(BW$38,$E296)&lt;MAX($P$34*($B296+$I$38-1),IF(AND($L$37=0,$P$34=0),"",$L$37-1)),0,YEARFRAC(MAX($P$34*($B296+$I$38-1),IF(AND($L$37=0,$P$34=0),"",$L$37-1)),MIN(BW$38,$E296),$P$20))-SUM($BF296:BV296))</f>
        <v>0</v>
      </c>
      <c r="BX296" s="446">
        <f>IF($E296=0,0,IF(MIN(BX$38,$E296)&lt;MAX($P$34*($B296+$I$38-1),IF(AND($L$37=0,$P$34=0),"",$L$37-1)),0,YEARFRAC(MAX($P$34*($B296+$I$38-1),IF(AND($L$37=0,$P$34=0),"",$L$37-1)),MIN(BX$38,$E296),$P$20))-SUM($BF296:BW296))</f>
        <v>0</v>
      </c>
      <c r="BY296" s="446">
        <f>IF($E296=0,0,IF(MIN(BY$38,$E296)&lt;MAX($P$34*($B296+$I$38-1),IF(AND($L$37=0,$P$34=0),"",$L$37-1)),0,YEARFRAC(MAX($P$34*($B296+$I$38-1),IF(AND($L$37=0,$P$34=0),"",$L$37-1)),MIN(BY$38,$E296),$P$20))-SUM($BF296:BX296))</f>
        <v>0</v>
      </c>
      <c r="BZ296" s="446">
        <f>IF($E296=0,0,IF(MIN(BZ$38,$E296)&lt;MAX($P$34*($B296+$I$38-1),IF(AND($L$37=0,$P$34=0),"",$L$37-1)),0,YEARFRAC(MAX($P$34*($B296+$I$38-1),IF(AND($L$37=0,$P$34=0),"",$L$37-1)),MIN(BZ$38,$E296),$P$20))-SUM($BF296:BY296))</f>
        <v>0</v>
      </c>
      <c r="CA296" s="446">
        <f>IF($E296=0,0,IF(MIN(CA$38,$E296)&lt;MAX($P$34*($B296+$I$38-1),IF(AND($L$37=0,$P$34=0),"",$L$37-1)),0,YEARFRAC(MAX($P$34*($B296+$I$38-1),IF(AND($L$37=0,$P$34=0),"",$L$37-1)),MIN(CA$38,$E296),$P$20))-SUM($BF296:BZ296))</f>
        <v>0</v>
      </c>
      <c r="CB296" s="446">
        <f>IF($E296=0,0,IF(MIN(CB$38,$E296)&lt;MAX($P$34*($B296+$I$38-1),IF(AND($L$37=0,$P$34=0),"",$L$37-1)),0,YEARFRAC(MAX($P$34*($B296+$I$38-1),IF(AND($L$37=0,$P$34=0),"",$L$37-1)),MIN(CB$38,$E296),$P$20))-SUM($BF296:CA296))</f>
        <v>0</v>
      </c>
      <c r="CC296" s="446">
        <f>IF($E296=0,0,IF(MIN(CC$38,$E296)&lt;MAX($P$34*($B296+$I$38-1),IF(AND($L$37=0,$P$34=0),"",$L$37-1)),0,YEARFRAC(MAX($P$34*($B296+$I$38-1),IF(AND($L$37=0,$P$34=0),"",$L$37-1)),MIN(CC$38,$E296),$P$20))-SUM($BF296:CB296))</f>
        <v>0</v>
      </c>
      <c r="CD296" s="446">
        <f>IF($E296=0,0,IF(MIN(CD$38,$E296)&lt;MAX($P$34*($B296+$I$38-1),IF(AND($L$37=0,$P$34=0),"",$L$37-1)),0,YEARFRAC(MAX($P$34*($B296+$I$38-1),IF(AND($L$37=0,$P$34=0),"",$L$37-1)),MIN(CD$38,$E296),$P$20))-SUM($BF296:CC296))</f>
        <v>0</v>
      </c>
      <c r="CE296" s="446">
        <f>IF($E296=0,0,IF(MIN(CE$38,$E296)&lt;MAX($P$34*($B296+$I$38-1),IF(AND($L$37=0,$P$34=0),"",$L$37-1)),0,YEARFRAC(MAX($P$34*($B296+$I$38-1),IF(AND($L$37=0,$P$34=0),"",$L$37-1)),MIN(CE$38,$E296),$P$20))-SUM($BF296:CD296))</f>
        <v>0</v>
      </c>
      <c r="CF296" s="446">
        <f>IF($E296=0,0,IF(MIN(CF$38,$E296)&lt;MAX($P$34*($B296+$I$38-1),IF(AND($L$37=0,$P$34=0),"",$L$37-1)),0,YEARFRAC(MAX($P$34*($B296+$I$38-1),IF(AND($L$37=0,$P$34=0),"",$L$37-1)),MIN(CF$38,$E296),$P$20))-SUM($BF296:CE296))</f>
        <v>0</v>
      </c>
      <c r="CG296" s="446">
        <f>IF($E296=0,0,IF(MIN(CG$38,$E296)&lt;MAX($P$34*($B296+$I$38-1),IF(AND($L$37=0,$P$34=0),"",$L$37-1)),0,YEARFRAC(MAX($P$34*($B296+$I$38-1),IF(AND($L$37=0,$P$34=0),"",$L$37-1)),MIN(CG$38,$E296),$P$20))-SUM($BF296:CF296))</f>
        <v>0</v>
      </c>
      <c r="CH296" s="446">
        <f>IF($E296=0,0,IF(MIN(CH$38,$E296)&lt;MAX($P$34*($B296+$I$38-1),IF(AND($L$37=0,$P$34=0),"",$L$37-1)),0,YEARFRAC(MAX($P$34*($B296+$I$38-1),IF(AND($L$37=0,$P$34=0),"",$L$37-1)),MIN(CH$38,$E296),$P$20))-SUM($BF296:CG296))</f>
        <v>0</v>
      </c>
      <c r="CI296" s="446">
        <f>IF($E296=0,0,IF(MIN(CI$38,$E296)&lt;MAX($P$34*($B296+$I$38-1),IF(AND($L$37=0,$P$34=0),"",$L$37-1)),0,YEARFRAC(MAX($P$34*($B296+$I$38-1),IF(AND($L$37=0,$P$34=0),"",$L$37-1)),MIN(CI$38,$E296),$P$20))-SUM($BF296:CH296))</f>
        <v>0</v>
      </c>
      <c r="CJ296" s="446">
        <f>IF($E296=0,0,IF(MIN(CJ$38,$E296)&lt;MAX($P$34*($B296+$I$38-1),IF(AND($L$37=0,$P$34=0),"",$L$37-1)),0,YEARFRAC(MAX($P$34*($B296+$I$38-1),IF(AND($L$37=0,$P$34=0),"",$L$37-1)),MIN(CJ$38,$E296),$P$20))-SUM($BF296:CI296))</f>
        <v>0</v>
      </c>
      <c r="CK296" s="446">
        <f>IF($E296=0,0,IF(MIN(CK$38,$E296)&lt;MAX($P$34*($B296+$I$38-1),IF(AND($L$37=0,$P$34=0),"",$L$37-1)),0,YEARFRAC(MAX($P$34*($B296+$I$38-1),IF(AND($L$37=0,$P$34=0),"",$L$37-1)),MIN(CK$38,$E296),$P$20))-SUM($BF296:CJ296))</f>
        <v>0</v>
      </c>
      <c r="CL296" s="446">
        <f>IF($E296=0,0,IF(MIN(CL$38,$E296)&lt;MAX($P$34*($B296+$I$38-1),IF(AND($L$37=0,$P$34=0),"",$L$37-1)),0,YEARFRAC(MAX($P$34*($B296+$I$38-1),IF(AND($L$37=0,$P$34=0),"",$L$37-1)),MIN(CL$38,$E296),$P$20))-SUM($BF296:CK296))</f>
        <v>0</v>
      </c>
      <c r="CM296" s="446">
        <f>IF($E296=0,0,IF(MIN(CM$38,$E296)&lt;MAX($P$34*($B296+$I$38-1),IF(AND($L$37=0,$P$34=0),"",$L$37-1)),0,YEARFRAC(MAX($P$34*($B296+$I$38-1),IF(AND($L$37=0,$P$34=0),"",$L$37-1)),MIN(CM$38,$E296),$P$20))-SUM($BF296:CL296))</f>
        <v>0</v>
      </c>
      <c r="CN296" s="446">
        <f>IF($E296=0,0,IF(MIN(CN$38,$E296)&lt;MAX($P$34*($B296+$I$38-1),IF(AND($L$37=0,$P$34=0),"",$L$37-1)),0,YEARFRAC(MAX($P$34*($B296+$I$38-1),IF(AND($L$37=0,$P$34=0),"",$L$37-1)),MIN(CN$38,$E296),$P$20))-SUM($BF296:CM296))</f>
        <v>0</v>
      </c>
      <c r="CO296" s="446">
        <f>IF($E296=0,0,IF(MIN(CO$38,$E296)&lt;MAX($P$34*($B296+$I$38-1),IF(AND($L$37=0,$P$34=0),"",$L$37-1)),0,YEARFRAC(MAX($P$34*($B296+$I$38-1),IF(AND($L$37=0,$P$34=0),"",$L$37-1)),MIN(CO$38,$E296),$P$20))-SUM($BF296:CN296))</f>
        <v>0</v>
      </c>
      <c r="CP296" s="446">
        <f>IF($E296=0,0,IF(MIN(CP$38,$E296)&lt;MAX($P$34*($B296+$I$38-1),IF(AND($L$37=0,$P$34=0),"",$L$37-1)),0,YEARFRAC(MAX($P$34*($B296+$I$38-1),IF(AND($L$37=0,$P$34=0),"",$L$37-1)),MIN(CP$38,$E296),$P$20))-SUM($BF296:CO296))</f>
        <v>0</v>
      </c>
      <c r="CQ296" s="446">
        <f>IF($E296=0,0,IF(MIN(CQ$38,$E296)&lt;MAX($P$34*($B296+$I$38-1),IF(AND($L$37=0,$P$34=0),"",$L$37-1)),0,YEARFRAC(MAX($P$34*($B296+$I$38-1),IF(AND($L$37=0,$P$34=0),"",$L$37-1)),MIN(CQ$38,$E296),$P$20))-SUM($BF296:CP296))</f>
        <v>0</v>
      </c>
    </row>
    <row r="297" spans="1:95" s="446" customFormat="1" ht="11.25" hidden="1" customHeight="1" x14ac:dyDescent="0.2">
      <c r="A297" s="152"/>
      <c r="B297" s="153" t="str">
        <f t="shared" si="48"/>
        <v/>
      </c>
      <c r="C297" s="29" t="str">
        <f>IF(B297="","",IF($L$35="SELIC - TRIBUTOS",VLOOKUP(DATE(YEAR($D$19),MONTH($D$19)-1,1),ÍNDICES!$A:$DE,HLOOKUP($BL$25,ÍNDICES!$B$3:$T$4,2)+11)-VLOOKUP(B297,ÍNDICES!$A:$DE,HLOOKUP($BL$25,ÍNDICES!$B$3:$T$4,2)+11)+1%,IF(C$38=$W$26,$J$35,IF(ISERROR(IF(B297&gt;$D$19,1,VLOOKUP(DATE(YEAR(B297),MONTH(B297)+IF($C$35=$S$23,1,0),1),ÍNDICES!$A:$DE,$Z$35+1))),"",IF(B297&gt;$D$19,1,VLOOKUP(DATE(YEAR(B297),MONTH(B297)+IF($C$35=$S$23,1,0),1),ÍNDICES!$A:$DE,$Z$35+1))))))</f>
        <v/>
      </c>
      <c r="D297" s="154" t="str">
        <f>IF(ISERROR(IF(OR($D$38=$Y$27,$B297=""),"",VLOOKUP(B297,ÍNDICES!A:DE,AF$35+1))),"",IF(OR($D$38=$Y$27,$B297=""),"",VLOOKUP(B297,ÍNDICES!A:DE,AF$35+1)))</f>
        <v/>
      </c>
      <c r="E297" s="153"/>
      <c r="F297" s="29" t="str">
        <f>IF(E297="","",IF($L$35="SELIC - TRIBUTOS",VLOOKUP(DATE(YEAR($D$19),MONTH($D$19)-1,1),ÍNDICES!$A:$DE,HLOOKUP($BL$25,ÍNDICES!$B$3:$T$4,2)+11)-VLOOKUP(E297,ÍNDICES!$A:$DE,HLOOKUP($BL$25,ÍNDICES!$B$3:$T$4,2)+11)+1%,IF(F$38=$W$26,$J$35,IF(ISERROR(IF(E297&gt;$D$19,1,VLOOKUP(DATE(YEAR(E297),MONTH(E297)+IF($C$35=$S$23,1,0),1),ÍNDICES!$A:$DE,$Z$35+1))),"",IF(E297&gt;$D$19,1,VLOOKUP(DATE(YEAR(E297),MONTH(E297)+IF($C$35=$S$23,1,0),1),ÍNDICES!$A:$DE,$Z$35+1))))))</f>
        <v/>
      </c>
      <c r="G297" s="155"/>
      <c r="H297" s="156" t="str">
        <f t="shared" ref="H297:H360" si="55">IF(E297="",IF(D297="","",D297),IF(ISERROR(D297/(IF(E297&lt;B297,1,C297/F297))-G297),-G297,D297/(IF(E297&lt;B297,1,C297/F297))-G297))</f>
        <v/>
      </c>
      <c r="I297" s="29" t="str">
        <f t="shared" si="49"/>
        <v/>
      </c>
      <c r="J297" s="5">
        <f t="shared" si="50"/>
        <v>0</v>
      </c>
      <c r="K297" s="20">
        <f t="shared" ca="1" si="51"/>
        <v>0</v>
      </c>
      <c r="L297" s="5">
        <f t="shared" ca="1" si="52"/>
        <v>0</v>
      </c>
      <c r="M297" s="64">
        <f t="shared" ref="M297:M360" si="56">IFERROR(SUM(P297:BA297),0)</f>
        <v>0</v>
      </c>
      <c r="N297" s="61">
        <f t="shared" ref="N297:N360" ca="1" si="57">IFERROR($N$38*(K297+IF(OR(L$35="SELIC - TRIBUTOS",$N$37="sobre principal"),0,J297+L297)),0)</f>
        <v>0</v>
      </c>
      <c r="O297" s="5">
        <f t="shared" ref="O297:O360" ca="1" si="58">IF(ISERROR((K297+J297+L297+N297)*O$38),"",(K297+J297+L297+N297)*O$38)</f>
        <v>0</v>
      </c>
      <c r="P297" s="446" t="e">
        <f t="shared" si="53"/>
        <v>#VALUE!</v>
      </c>
      <c r="Q297" s="446" t="e">
        <f>IF(OR($B297="",MIN(Q$38,$D$19)&lt;MAX($P$34*($B297+IF($R$17="Distrato",$I$38-1,0)),IF(AND($L$37=0,$P$34=0),"",$L$37-1),IF($R$17="Distrato",$E297,0))),0,YEARFRAC(MAX($P$34*($B297+IF($R$17="Distrato",$I$38-1,0)),IF(AND($L$37=0,$P$34=0),"",$L$37-1),IF($R$17="Distrato",$E297,0)),MIN(Q$38,$D$19),$P$20))-SUM($P297:P297)</f>
        <v>#VALUE!</v>
      </c>
      <c r="R297" s="446" t="e">
        <f>IF(OR($B297="",MIN(R$38,$D$19)&lt;MAX($P$34*($B297+IF($R$17="Distrato",$I$38-1,0)),IF(AND($L$37=0,$P$34=0),"",$L$37-1),IF($R$17="Distrato",$E297,0))),0,YEARFRAC(MAX($P$34*($B297+IF($R$17="Distrato",$I$38-1,0)),IF(AND($L$37=0,$P$34=0),"",$L$37-1),IF($R$17="Distrato",$E297,0)),MIN(R$38,$D$19),$P$20))-SUM($P297:Q297)</f>
        <v>#VALUE!</v>
      </c>
      <c r="S297" s="446" t="e">
        <f>IF(OR($B297="",MIN(S$38,$D$19)&lt;MAX($P$34*($B297+IF($R$17="Distrato",$I$38-1,0)),IF(AND($L$37=0,$P$34=0),"",$L$37-1),IF($R$17="Distrato",$E297,0))),0,YEARFRAC(MAX($P$34*($B297+IF($R$17="Distrato",$I$38-1,0)),IF(AND($L$37=0,$P$34=0),"",$L$37-1),IF($R$17="Distrato",$E297,0)),MIN(S$38,$D$19),$P$20))-SUM($P297:R297)</f>
        <v>#VALUE!</v>
      </c>
      <c r="T297" s="446" t="e">
        <f>IF(OR($B297="",MIN(T$38,$D$19)&lt;MAX($P$34*($B297+IF($R$17="Distrato",$I$38-1,0)),IF(AND($L$37=0,$P$34=0),"",$L$37-1),IF($R$17="Distrato",$E297,0))),0,YEARFRAC(MAX($P$34*($B297+IF($R$17="Distrato",$I$38-1,0)),IF(AND($L$37=0,$P$34=0),"",$L$37-1),IF($R$17="Distrato",$E297,0)),MIN(T$38,$D$19),$P$20))-SUM($P297:S297)</f>
        <v>#VALUE!</v>
      </c>
      <c r="U297" s="446" t="e">
        <f>IF(OR($B297="",MIN(U$38,$D$19)&lt;MAX($P$34*($B297+IF($R$17="Distrato",$I$38-1,0)),IF(AND($L$37=0,$P$34=0),"",$L$37-1),IF($R$17="Distrato",$E297,0))),0,YEARFRAC(MAX($P$34*($B297+IF($R$17="Distrato",$I$38-1,0)),IF(AND($L$37=0,$P$34=0),"",$L$37-1),IF($R$17="Distrato",$E297,0)),MIN(U$38,$D$19),$P$20))-SUM($P297:T297)</f>
        <v>#VALUE!</v>
      </c>
      <c r="V297" s="446" t="e">
        <f>IF(OR($B297="",MIN(V$38,$D$19)&lt;MAX($P$34*($B297+IF($R$17="Distrato",$I$38-1,0)),IF(AND($L$37=0,$P$34=0),"",$L$37-1),IF($R$17="Distrato",$E297,0))),0,YEARFRAC(MAX($P$34*($B297+IF($R$17="Distrato",$I$38-1,0)),IF(AND($L$37=0,$P$34=0),"",$L$37-1),IF($R$17="Distrato",$E297,0)),MIN(V$38,$D$19),$P$20))-SUM($P297:U297)</f>
        <v>#VALUE!</v>
      </c>
      <c r="W297" s="446" t="e">
        <f>IF(OR($B297="",MIN(W$38,$D$19)&lt;MAX($P$34*($B297+IF($R$17="Distrato",$I$38-1,0)),IF(AND($L$37=0,$P$34=0),"",$L$37-1),IF($R$17="Distrato",$E297,0))),0,YEARFRAC(MAX($P$34*($B297+IF($R$17="Distrato",$I$38-1,0)),IF(AND($L$37=0,$P$34=0),"",$L$37-1),IF($R$17="Distrato",$E297,0)),MIN(W$38,$D$19),$P$20))-SUM($P297:V297)</f>
        <v>#VALUE!</v>
      </c>
      <c r="X297" s="446" t="e">
        <f>IF(OR($B297="",MIN(X$38,$D$19)&lt;MAX($P$34*($B297+IF($R$17="Distrato",$I$38-1,0)),IF(AND($L$37=0,$P$34=0),"",$L$37-1),IF($R$17="Distrato",$E297,0))),0,YEARFRAC(MAX($P$34*($B297+IF($R$17="Distrato",$I$38-1,0)),IF(AND($L$37=0,$P$34=0),"",$L$37-1),IF($R$17="Distrato",$E297,0)),MIN(X$38,$D$19),$P$20))-SUM($P297:W297)</f>
        <v>#VALUE!</v>
      </c>
      <c r="Y297" s="446" t="e">
        <f>IF(OR($B297="",MIN(Y$38,$D$19)&lt;MAX($P$34*($B297+IF($R$17="Distrato",$I$38-1,0)),IF(AND($L$37=0,$P$34=0),"",$L$37-1),IF($R$17="Distrato",$E297,0))),0,YEARFRAC(MAX($P$34*($B297+IF($R$17="Distrato",$I$38-1,0)),IF(AND($L$37=0,$P$34=0),"",$L$37-1),IF($R$17="Distrato",$E297,0)),MIN(Y$38,$D$19),$P$20))-SUM($P297:X297)</f>
        <v>#VALUE!</v>
      </c>
      <c r="Z297" s="446" t="e">
        <f>IF(OR($B297="",MIN(Z$38,$D$19)&lt;MAX($P$34*($B297+IF($R$17="Distrato",$I$38-1,0)),IF(AND($L$37=0,$P$34=0),"",$L$37-1),IF($R$17="Distrato",$E297,0))),0,YEARFRAC(MAX($P$34*($B297+IF($R$17="Distrato",$I$38-1,0)),IF(AND($L$37=0,$P$34=0),"",$L$37-1),IF($R$17="Distrato",$E297,0)),MIN(Z$38,$D$19),$P$20))-SUM($P297:Y297)</f>
        <v>#VALUE!</v>
      </c>
      <c r="AA297" s="446" t="e">
        <f>IF(OR($B297="",MIN(AA$38,$D$19)&lt;MAX($P$34*($B297+IF($R$17="Distrato",$I$38-1,0)),IF(AND($L$37=0,$P$34=0),"",$L$37-1),IF($R$17="Distrato",$E297,0))),0,YEARFRAC(MAX($P$34*($B297+IF($R$17="Distrato",$I$38-1,0)),IF(AND($L$37=0,$P$34=0),"",$L$37-1),IF($R$17="Distrato",$E297,0)),MIN(AA$38,$D$19),$P$20))-SUM($P297:Z297)</f>
        <v>#VALUE!</v>
      </c>
      <c r="AB297" s="446" t="e">
        <f>IF(OR($B297="",MIN(AB$38,$D$19)&lt;MAX($P$34*($B297+IF($R$17="Distrato",$I$38-1,0)),IF(AND($L$37=0,$P$34=0),"",$L$37-1),IF($R$17="Distrato",$E297,0))),0,YEARFRAC(MAX($P$34*($B297+IF($R$17="Distrato",$I$38-1,0)),IF(AND($L$37=0,$P$34=0),"",$L$37-1),IF($R$17="Distrato",$E297,0)),MIN(AB$38,$D$19),$P$20))-SUM($P297:AA297)</f>
        <v>#VALUE!</v>
      </c>
      <c r="AC297" s="446" t="e">
        <f>IF(OR($B297="",MIN(AC$38,$D$19)&lt;MAX($P$34*($B297+IF($R$17="Distrato",$I$38-1,0)),IF(AND($L$37=0,$P$34=0),"",$L$37-1),IF($R$17="Distrato",$E297,0))),0,YEARFRAC(MAX($P$34*($B297+IF($R$17="Distrato",$I$38-1,0)),IF(AND($L$37=0,$P$34=0),"",$L$37-1),IF($R$17="Distrato",$E297,0)),MIN(AC$38,$D$19),$P$20))-SUM($P297:AB297)</f>
        <v>#VALUE!</v>
      </c>
      <c r="AD297" s="446" t="e">
        <f>IF(OR($B297="",MIN(AD$38,$D$19)&lt;MAX($P$34*($B297+IF($R$17="Distrato",$I$38-1,0)),IF(AND($L$37=0,$P$34=0),"",$L$37-1),IF($R$17="Distrato",$E297,0))),0,YEARFRAC(MAX($P$34*($B297+IF($R$17="Distrato",$I$38-1,0)),IF(AND($L$37=0,$P$34=0),"",$L$37-1),IF($R$17="Distrato",$E297,0)),MIN(AD$38,$D$19),$P$20))-SUM($P297:AC297)</f>
        <v>#VALUE!</v>
      </c>
      <c r="AE297" s="446" t="e">
        <f>IF(OR($B297="",MIN(AE$38,$D$19)&lt;MAX($P$34*($B297+IF($R$17="Distrato",$I$38-1,0)),IF(AND($L$37=0,$P$34=0),"",$L$37-1),IF($R$17="Distrato",$E297,0))),0,YEARFRAC(MAX($P$34*($B297+IF($R$17="Distrato",$I$38-1,0)),IF(AND($L$37=0,$P$34=0),"",$L$37-1),IF($R$17="Distrato",$E297,0)),MIN(AE$38,$D$19),$P$20))-SUM($P297:AD297)</f>
        <v>#VALUE!</v>
      </c>
      <c r="AF297" s="446" t="e">
        <f>IF(OR($B297="",MIN(AF$38,$D$19)&lt;MAX($P$34*($B297+IF($R$17="Distrato",$I$38-1,0)),IF(AND($L$37=0,$P$34=0),"",$L$37-1),IF($R$17="Distrato",$E297,0))),0,YEARFRAC(MAX($P$34*($B297+IF($R$17="Distrato",$I$38-1,0)),IF(AND($L$37=0,$P$34=0),"",$L$37-1),IF($R$17="Distrato",$E297,0)),MIN(AF$38,$D$19),$P$20))-SUM($P297:AE297)</f>
        <v>#VALUE!</v>
      </c>
      <c r="AG297" s="446" t="e">
        <f>IF(OR($B297="",MIN(AG$38,$D$19)&lt;MAX($P$34*($B297+IF($R$17="Distrato",$I$38-1,0)),IF(AND($L$37=0,$P$34=0),"",$L$37-1),IF($R$17="Distrato",$E297,0))),0,YEARFRAC(MAX($P$34*($B297+IF($R$17="Distrato",$I$38-1,0)),IF(AND($L$37=0,$P$34=0),"",$L$37-1),IF($R$17="Distrato",$E297,0)),MIN(AG$38,$D$19),$P$20))-SUM($P297:AF297)</f>
        <v>#VALUE!</v>
      </c>
      <c r="AH297" s="446" t="e">
        <f>IF(OR($B297="",MIN(AH$38,$D$19)&lt;MAX($P$34*($B297+IF($R$17="Distrato",$I$38-1,0)),IF(AND($L$37=0,$P$34=0),"",$L$37-1),IF($R$17="Distrato",$E297,0))),0,YEARFRAC(MAX($P$34*($B297+IF($R$17="Distrato",$I$38-1,0)),IF(AND($L$37=0,$P$34=0),"",$L$37-1),IF($R$17="Distrato",$E297,0)),MIN(AH$38,$D$19),$P$20))-SUM($P297:AG297)</f>
        <v>#VALUE!</v>
      </c>
      <c r="AI297" s="446" t="e">
        <f>IF(OR($B297="",MIN(AI$38,$D$19)&lt;MAX($P$34*($B297+IF($R$17="Distrato",$I$38-1,0)),IF(AND($L$37=0,$P$34=0),"",$L$37-1),IF($R$17="Distrato",$E297,0))),0,YEARFRAC(MAX($P$34*($B297+IF($R$17="Distrato",$I$38-1,0)),IF(AND($L$37=0,$P$34=0),"",$L$37-1),IF($R$17="Distrato",$E297,0)),MIN(AI$38,$D$19),$P$20))-SUM($P297:AH297)</f>
        <v>#VALUE!</v>
      </c>
      <c r="AJ297" s="446" t="e">
        <f>IF(OR($B297="",MIN(AJ$38,$D$19)&lt;MAX($P$34*($B297+IF($R$17="Distrato",$I$38-1,0)),IF(AND($L$37=0,$P$34=0),"",$L$37-1),IF($R$17="Distrato",$E297,0))),0,YEARFRAC(MAX($P$34*($B297+IF($R$17="Distrato",$I$38-1,0)),IF(AND($L$37=0,$P$34=0),"",$L$37-1),IF($R$17="Distrato",$E297,0)),MIN(AJ$38,$D$19),$P$20))-SUM($P297:AI297)</f>
        <v>#VALUE!</v>
      </c>
      <c r="AK297" s="446" t="e">
        <f>IF(OR($B297="",MIN(AK$38,$D$19)&lt;MAX($P$34*($B297+IF($R$17="Distrato",$I$38-1,0)),IF(AND($L$37=0,$P$34=0),"",$L$37-1),IF($R$17="Distrato",$E297,0))),0,YEARFRAC(MAX($P$34*($B297+IF($R$17="Distrato",$I$38-1,0)),IF(AND($L$37=0,$P$34=0),"",$L$37-1),IF($R$17="Distrato",$E297,0)),MIN(AK$38,$D$19),$P$20))-SUM($P297:AJ297)</f>
        <v>#VALUE!</v>
      </c>
      <c r="AL297" s="446" t="e">
        <f>IF(OR($B297="",MIN(AL$38,$D$19)&lt;MAX($P$34*($B297+IF($R$17="Distrato",$I$38-1,0)),IF(AND($L$37=0,$P$34=0),"",$L$37-1),IF($R$17="Distrato",$E297,0))),0,YEARFRAC(MAX($P$34*($B297+IF($R$17="Distrato",$I$38-1,0)),IF(AND($L$37=0,$P$34=0),"",$L$37-1),IF($R$17="Distrato",$E297,0)),MIN(AL$38,$D$19),$P$20))-SUM($P297:AK297)</f>
        <v>#VALUE!</v>
      </c>
      <c r="AM297" s="446" t="e">
        <f>IF(OR($B297="",MIN(AM$38,$D$19)&lt;MAX($P$34*($B297+IF($R$17="Distrato",$I$38-1,0)),IF(AND($L$37=0,$P$34=0),"",$L$37-1),IF($R$17="Distrato",$E297,0))),0,YEARFRAC(MAX($P$34*($B297+IF($R$17="Distrato",$I$38-1,0)),IF(AND($L$37=0,$P$34=0),"",$L$37-1),IF($R$17="Distrato",$E297,0)),MIN(AM$38,$D$19),$P$20))-SUM($P297:AL297)</f>
        <v>#VALUE!</v>
      </c>
      <c r="AN297" s="446" t="e">
        <f>IF(OR($B297="",MIN(AN$38,$D$19)&lt;MAX($P$34*($B297+IF($R$17="Distrato",$I$38-1,0)),IF(AND($L$37=0,$P$34=0),"",$L$37-1),IF($R$17="Distrato",$E297,0))),0,YEARFRAC(MAX($P$34*($B297+IF($R$17="Distrato",$I$38-1,0)),IF(AND($L$37=0,$P$34=0),"",$L$37-1),IF($R$17="Distrato",$E297,0)),MIN(AN$38,$D$19),$P$20))-SUM($P297:AM297)</f>
        <v>#VALUE!</v>
      </c>
      <c r="AO297" s="446" t="e">
        <f>IF(OR($B297="",MIN(AO$38,$D$19)&lt;MAX($P$34*($B297+IF($R$17="Distrato",$I$38-1,0)),IF(AND($L$37=0,$P$34=0),"",$L$37-1),IF($R$17="Distrato",$E297,0))),0,YEARFRAC(MAX($P$34*($B297+IF($R$17="Distrato",$I$38-1,0)),IF(AND($L$37=0,$P$34=0),"",$L$37-1),IF($R$17="Distrato",$E297,0)),MIN(AO$38,$D$19),$P$20))-SUM($P297:AN297)</f>
        <v>#VALUE!</v>
      </c>
      <c r="AP297" s="446" t="e">
        <f>IF(OR($B297="",MIN(AP$38,$D$19)&lt;MAX($P$34*($B297+IF($R$17="Distrato",$I$38-1,0)),IF(AND($L$37=0,$P$34=0),"",$L$37-1),IF($R$17="Distrato",$E297,0))),0,YEARFRAC(MAX($P$34*($B297+IF($R$17="Distrato",$I$38-1,0)),IF(AND($L$37=0,$P$34=0),"",$L$37-1),IF($R$17="Distrato",$E297,0)),MIN(AP$38,$D$19),$P$20))-SUM($P297:AO297)</f>
        <v>#VALUE!</v>
      </c>
      <c r="AQ297" s="446" t="e">
        <f>IF(OR($B297="",MIN(AQ$38,$D$19)&lt;MAX($P$34*($B297+IF($R$17="Distrato",$I$38-1,0)),IF(AND($L$37=0,$P$34=0),"",$L$37-1),IF($R$17="Distrato",$E297,0))),0,YEARFRAC(MAX($P$34*($B297+IF($R$17="Distrato",$I$38-1,0)),IF(AND($L$37=0,$P$34=0),"",$L$37-1),IF($R$17="Distrato",$E297,0)),MIN(AQ$38,$D$19),$P$20))-SUM($P297:AP297)</f>
        <v>#VALUE!</v>
      </c>
      <c r="AR297" s="446" t="e">
        <f>IF(OR($B297="",MIN(AR$38,$D$19)&lt;MAX($P$34*($B297+IF($R$17="Distrato",$I$38-1,0)),IF(AND($L$37=0,$P$34=0),"",$L$37-1),IF($R$17="Distrato",$E297,0))),0,YEARFRAC(MAX($P$34*($B297+IF($R$17="Distrato",$I$38-1,0)),IF(AND($L$37=0,$P$34=0),"",$L$37-1),IF($R$17="Distrato",$E297,0)),MIN(AR$38,$D$19),$P$20))-SUM($P297:AQ297)</f>
        <v>#VALUE!</v>
      </c>
      <c r="AS297" s="446" t="e">
        <f>IF(OR($B297="",MIN(AS$38,$D$19)&lt;MAX($P$34*($B297+IF($R$17="Distrato",$I$38-1,0)),IF(AND($L$37=0,$P$34=0),"",$L$37-1),IF($R$17="Distrato",$E297,0))),0,YEARFRAC(MAX($P$34*($B297+IF($R$17="Distrato",$I$38-1,0)),IF(AND($L$37=0,$P$34=0),"",$L$37-1),IF($R$17="Distrato",$E297,0)),MIN(AS$38,$D$19),$P$20))-SUM($P297:AR297)</f>
        <v>#VALUE!</v>
      </c>
      <c r="AT297" s="446" t="e">
        <f>IF(OR($B297="",MIN(AT$38,$D$19)&lt;MAX($P$34*($B297+IF($R$17="Distrato",$I$38-1,0)),IF(AND($L$37=0,$P$34=0),"",$L$37-1),IF($R$17="Distrato",$E297,0))),0,YEARFRAC(MAX($P$34*($B297+IF($R$17="Distrato",$I$38-1,0)),IF(AND($L$37=0,$P$34=0),"",$L$37-1),IF($R$17="Distrato",$E297,0)),MIN(AT$38,$D$19),$P$20))-SUM($P297:AS297)</f>
        <v>#VALUE!</v>
      </c>
      <c r="AU297" s="446" t="e">
        <f>IF(OR($B297="",MIN(AU$38,$D$19)&lt;MAX($P$34*($B297+IF($R$17="Distrato",$I$38-1,0)),IF(AND($L$37=0,$P$34=0),"",$L$37-1),IF($R$17="Distrato",$E297,0))),0,YEARFRAC(MAX($P$34*($B297+IF($R$17="Distrato",$I$38-1,0)),IF(AND($L$37=0,$P$34=0),"",$L$37-1),IF($R$17="Distrato",$E297,0)),MIN(AU$38,$D$19),$P$20))-SUM($P297:AT297)</f>
        <v>#VALUE!</v>
      </c>
      <c r="AV297" s="446" t="e">
        <f>IF(OR($B297="",MIN(AV$38,$D$19)&lt;MAX($P$34*($B297+IF($R$17="Distrato",$I$38-1,0)),IF(AND($L$37=0,$P$34=0),"",$L$37-1),IF($R$17="Distrato",$E297,0))),0,YEARFRAC(MAX($P$34*($B297+IF($R$17="Distrato",$I$38-1,0)),IF(AND($L$37=0,$P$34=0),"",$L$37-1),IF($R$17="Distrato",$E297,0)),MIN(AV$38,$D$19),$P$20))-SUM($P297:AU297)</f>
        <v>#VALUE!</v>
      </c>
      <c r="AW297" s="446" t="e">
        <f>IF(OR($B297="",MIN(AW$38,$D$19)&lt;MAX($P$34*($B297+IF($R$17="Distrato",$I$38-1,0)),IF(AND($L$37=0,$P$34=0),"",$L$37-1),IF($R$17="Distrato",$E297,0))),0,YEARFRAC(MAX($P$34*($B297+IF($R$17="Distrato",$I$38-1,0)),IF(AND($L$37=0,$P$34=0),"",$L$37-1),IF($R$17="Distrato",$E297,0)),MIN(AW$38,$D$19),$P$20))-SUM($P297:AV297)</f>
        <v>#VALUE!</v>
      </c>
      <c r="AX297" s="446" t="e">
        <f>IF(OR($B297="",MIN(AX$38,$D$19)&lt;MAX($P$34*($B297+IF($R$17="Distrato",$I$38-1,0)),IF(AND($L$37=0,$P$34=0),"",$L$37-1),IF($R$17="Distrato",$E297,0))),0,YEARFRAC(MAX($P$34*($B297+IF($R$17="Distrato",$I$38-1,0)),IF(AND($L$37=0,$P$34=0),"",$L$37-1),IF($R$17="Distrato",$E297,0)),MIN(AX$38,$D$19),$P$20))-SUM($P297:AW297)</f>
        <v>#VALUE!</v>
      </c>
      <c r="AY297" s="446" t="e">
        <f>IF(OR($B297="",MIN(AY$38,$D$19)&lt;MAX($P$34*($B297+IF($R$17="Distrato",$I$38-1,0)),IF(AND($L$37=0,$P$34=0),"",$L$37-1),IF($R$17="Distrato",$E297,0))),0,YEARFRAC(MAX($P$34*($B297+IF($R$17="Distrato",$I$38-1,0)),IF(AND($L$37=0,$P$34=0),"",$L$37-1),IF($R$17="Distrato",$E297,0)),MIN(AY$38,$D$19),$P$20))-SUM($P297:AX297)</f>
        <v>#VALUE!</v>
      </c>
      <c r="AZ297" s="446" t="e">
        <f>IF(OR($B297="",MIN(AZ$38,$D$19)&lt;MAX($P$34*($B297+IF($R$17="Distrato",$I$38-1,0)),IF(AND($L$37=0,$P$34=0),"",$L$37-1),IF($R$17="Distrato",$E297,0))),0,YEARFRAC(MAX($P$34*($B297+IF($R$17="Distrato",$I$38-1,0)),IF(AND($L$37=0,$P$34=0),"",$L$37-1),IF($R$17="Distrato",$E297,0)),MIN(AZ$38,$D$19),$P$20))-SUM($P297:AY297)</f>
        <v>#VALUE!</v>
      </c>
      <c r="BA297" s="446" t="e">
        <f>IF(OR($B297="",MIN(BA$38,$D$19)&lt;MAX($P$34*($B297+IF($R$17="Distrato",$I$38-1,0)),IF(AND($L$37=0,$P$34=0),"",$L$37-1),IF($R$17="Distrato",$E297,0))),0,YEARFRAC(MAX($P$34*($B297+IF($R$17="Distrato",$I$38-1,0)),IF(AND($L$37=0,$P$34=0),"",$L$37-1),IF($R$17="Distrato",$E297,0)),MIN(BA$38,$D$19),$P$20))-SUM($P297:AZ297)</f>
        <v>#VALUE!</v>
      </c>
      <c r="BB297" s="447"/>
      <c r="BF297" s="446">
        <f t="shared" si="54"/>
        <v>0</v>
      </c>
      <c r="BG297" s="446">
        <f>IF($E297=0,0,IF(MIN(BG$38,$E297)&lt;MAX($P$34*($B297+$I$38-1),IF(AND($L$37=0,$P$34=0),"",$L$37-1)),0,YEARFRAC(MAX($P$34*($B297+$I$38-1),IF(AND($L$37=0,$P$34=0),"",$L$37-1)),MIN(BG$38,$E297),$P$20))-SUM($BF297:BF297))</f>
        <v>0</v>
      </c>
      <c r="BH297" s="446">
        <f>IF($E297=0,0,IF(MIN(BH$38,$E297)&lt;MAX($P$34*($B297+$I$38-1),IF(AND($L$37=0,$P$34=0),"",$L$37-1)),0,YEARFRAC(MAX($P$34*($B297+$I$38-1),IF(AND($L$37=0,$P$34=0),"",$L$37-1)),MIN(BH$38,$E297),$P$20))-SUM($BF297:BG297))</f>
        <v>0</v>
      </c>
      <c r="BI297" s="446">
        <f>IF($E297=0,0,IF(MIN(BI$38,$E297)&lt;MAX($P$34*($B297+$I$38-1),IF(AND($L$37=0,$P$34=0),"",$L$37-1)),0,YEARFRAC(MAX($P$34*($B297+$I$38-1),IF(AND($L$37=0,$P$34=0),"",$L$37-1)),MIN(BI$38,$E297),$P$20))-SUM($BF297:BH297))</f>
        <v>0</v>
      </c>
      <c r="BJ297" s="446">
        <f>IF($E297=0,0,IF(MIN(BJ$38,$E297)&lt;MAX($P$34*($B297+$I$38-1),IF(AND($L$37=0,$P$34=0),"",$L$37-1)),0,YEARFRAC(MAX($P$34*($B297+$I$38-1),IF(AND($L$37=0,$P$34=0),"",$L$37-1)),MIN(BJ$38,$E297),$P$20))-SUM($BF297:BI297))</f>
        <v>0</v>
      </c>
      <c r="BK297" s="446">
        <f>IF($E297=0,0,IF(MIN(BK$38,$E297)&lt;MAX($P$34*($B297+$I$38-1),IF(AND($L$37=0,$P$34=0),"",$L$37-1)),0,YEARFRAC(MAX($P$34*($B297+$I$38-1),IF(AND($L$37=0,$P$34=0),"",$L$37-1)),MIN(BK$38,$E297),$P$20))-SUM($BF297:BJ297))</f>
        <v>0</v>
      </c>
      <c r="BL297" s="446">
        <f>IF($E297=0,0,IF(MIN(BL$38,$E297)&lt;MAX($P$34*($B297+$I$38-1),IF(AND($L$37=0,$P$34=0),"",$L$37-1)),0,YEARFRAC(MAX($P$34*($B297+$I$38-1),IF(AND($L$37=0,$P$34=0),"",$L$37-1)),MIN(BL$38,$E297),$P$20))-SUM($BF297:BK297))</f>
        <v>0</v>
      </c>
      <c r="BM297" s="446">
        <f>IF($E297=0,0,IF(MIN(BM$38,$E297)&lt;MAX($P$34*($B297+$I$38-1),IF(AND($L$37=0,$P$34=0),"",$L$37-1)),0,YEARFRAC(MAX($P$34*($B297+$I$38-1),IF(AND($L$37=0,$P$34=0),"",$L$37-1)),MIN(BM$38,$E297),$P$20))-SUM($BF297:BL297))</f>
        <v>0</v>
      </c>
      <c r="BN297" s="446">
        <f>IF($E297=0,0,IF(MIN(BN$38,$E297)&lt;MAX($P$34*($B297+$I$38-1),IF(AND($L$37=0,$P$34=0),"",$L$37-1)),0,YEARFRAC(MAX($P$34*($B297+$I$38-1),IF(AND($L$37=0,$P$34=0),"",$L$37-1)),MIN(BN$38,$E297),$P$20))-SUM($BF297:BM297))</f>
        <v>0</v>
      </c>
      <c r="BO297" s="446">
        <f>IF($E297=0,0,IF(MIN(BO$38,$E297)&lt;MAX($P$34*($B297+$I$38-1),IF(AND($L$37=0,$P$34=0),"",$L$37-1)),0,YEARFRAC(MAX($P$34*($B297+$I$38-1),IF(AND($L$37=0,$P$34=0),"",$L$37-1)),MIN(BO$38,$E297),$P$20))-SUM($BF297:BN297))</f>
        <v>0</v>
      </c>
      <c r="BP297" s="446">
        <f>IF($E297=0,0,IF(MIN(BP$38,$E297)&lt;MAX($P$34*($B297+$I$38-1),IF(AND($L$37=0,$P$34=0),"",$L$37-1)),0,YEARFRAC(MAX($P$34*($B297+$I$38-1),IF(AND($L$37=0,$P$34=0),"",$L$37-1)),MIN(BP$38,$E297),$P$20))-SUM($BF297:BO297))</f>
        <v>0</v>
      </c>
      <c r="BQ297" s="446">
        <f>IF($E297=0,0,IF(MIN(BQ$38,$E297)&lt;MAX($P$34*($B297+$I$38-1),IF(AND($L$37=0,$P$34=0),"",$L$37-1)),0,YEARFRAC(MAX($P$34*($B297+$I$38-1),IF(AND($L$37=0,$P$34=0),"",$L$37-1)),MIN(BQ$38,$E297),$P$20))-SUM($BF297:BP297))</f>
        <v>0</v>
      </c>
      <c r="BR297" s="446">
        <f>IF($E297=0,0,IF(MIN(BR$38,$E297)&lt;MAX($P$34*($B297+$I$38-1),IF(AND($L$37=0,$P$34=0),"",$L$37-1)),0,YEARFRAC(MAX($P$34*($B297+$I$38-1),IF(AND($L$37=0,$P$34=0),"",$L$37-1)),MIN(BR$38,$E297),$P$20))-SUM($BF297:BQ297))</f>
        <v>0</v>
      </c>
      <c r="BS297" s="446">
        <f>IF($E297=0,0,IF(MIN(BS$38,$E297)&lt;MAX($P$34*($B297+$I$38-1),IF(AND($L$37=0,$P$34=0),"",$L$37-1)),0,YEARFRAC(MAX($P$34*($B297+$I$38-1),IF(AND($L$37=0,$P$34=0),"",$L$37-1)),MIN(BS$38,$E297),$P$20))-SUM($BF297:BR297))</f>
        <v>0</v>
      </c>
      <c r="BT297" s="446">
        <f>IF($E297=0,0,IF(MIN(BT$38,$E297)&lt;MAX($P$34*($B297+$I$38-1),IF(AND($L$37=0,$P$34=0),"",$L$37-1)),0,YEARFRAC(MAX($P$34*($B297+$I$38-1),IF(AND($L$37=0,$P$34=0),"",$L$37-1)),MIN(BT$38,$E297),$P$20))-SUM($BF297:BS297))</f>
        <v>0</v>
      </c>
      <c r="BU297" s="446">
        <f>IF($E297=0,0,IF(MIN(BU$38,$E297)&lt;MAX($P$34*($B297+$I$38-1),IF(AND($L$37=0,$P$34=0),"",$L$37-1)),0,YEARFRAC(MAX($P$34*($B297+$I$38-1),IF(AND($L$37=0,$P$34=0),"",$L$37-1)),MIN(BU$38,$E297),$P$20))-SUM($BF297:BT297))</f>
        <v>0</v>
      </c>
      <c r="BV297" s="446">
        <f>IF($E297=0,0,IF(MIN(BV$38,$E297)&lt;MAX($P$34*($B297+$I$38-1),IF(AND($L$37=0,$P$34=0),"",$L$37-1)),0,YEARFRAC(MAX($P$34*($B297+$I$38-1),IF(AND($L$37=0,$P$34=0),"",$L$37-1)),MIN(BV$38,$E297),$P$20))-SUM($BF297:BU297))</f>
        <v>0</v>
      </c>
      <c r="BW297" s="446">
        <f>IF($E297=0,0,IF(MIN(BW$38,$E297)&lt;MAX($P$34*($B297+$I$38-1),IF(AND($L$37=0,$P$34=0),"",$L$37-1)),0,YEARFRAC(MAX($P$34*($B297+$I$38-1),IF(AND($L$37=0,$P$34=0),"",$L$37-1)),MIN(BW$38,$E297),$P$20))-SUM($BF297:BV297))</f>
        <v>0</v>
      </c>
      <c r="BX297" s="446">
        <f>IF($E297=0,0,IF(MIN(BX$38,$E297)&lt;MAX($P$34*($B297+$I$38-1),IF(AND($L$37=0,$P$34=0),"",$L$37-1)),0,YEARFRAC(MAX($P$34*($B297+$I$38-1),IF(AND($L$37=0,$P$34=0),"",$L$37-1)),MIN(BX$38,$E297),$P$20))-SUM($BF297:BW297))</f>
        <v>0</v>
      </c>
      <c r="BY297" s="446">
        <f>IF($E297=0,0,IF(MIN(BY$38,$E297)&lt;MAX($P$34*($B297+$I$38-1),IF(AND($L$37=0,$P$34=0),"",$L$37-1)),0,YEARFRAC(MAX($P$34*($B297+$I$38-1),IF(AND($L$37=0,$P$34=0),"",$L$37-1)),MIN(BY$38,$E297),$P$20))-SUM($BF297:BX297))</f>
        <v>0</v>
      </c>
      <c r="BZ297" s="446">
        <f>IF($E297=0,0,IF(MIN(BZ$38,$E297)&lt;MAX($P$34*($B297+$I$38-1),IF(AND($L$37=0,$P$34=0),"",$L$37-1)),0,YEARFRAC(MAX($P$34*($B297+$I$38-1),IF(AND($L$37=0,$P$34=0),"",$L$37-1)),MIN(BZ$38,$E297),$P$20))-SUM($BF297:BY297))</f>
        <v>0</v>
      </c>
      <c r="CA297" s="446">
        <f>IF($E297=0,0,IF(MIN(CA$38,$E297)&lt;MAX($P$34*($B297+$I$38-1),IF(AND($L$37=0,$P$34=0),"",$L$37-1)),0,YEARFRAC(MAX($P$34*($B297+$I$38-1),IF(AND($L$37=0,$P$34=0),"",$L$37-1)),MIN(CA$38,$E297),$P$20))-SUM($BF297:BZ297))</f>
        <v>0</v>
      </c>
      <c r="CB297" s="446">
        <f>IF($E297=0,0,IF(MIN(CB$38,$E297)&lt;MAX($P$34*($B297+$I$38-1),IF(AND($L$37=0,$P$34=0),"",$L$37-1)),0,YEARFRAC(MAX($P$34*($B297+$I$38-1),IF(AND($L$37=0,$P$34=0),"",$L$37-1)),MIN(CB$38,$E297),$P$20))-SUM($BF297:CA297))</f>
        <v>0</v>
      </c>
      <c r="CC297" s="446">
        <f>IF($E297=0,0,IF(MIN(CC$38,$E297)&lt;MAX($P$34*($B297+$I$38-1),IF(AND($L$37=0,$P$34=0),"",$L$37-1)),0,YEARFRAC(MAX($P$34*($B297+$I$38-1),IF(AND($L$37=0,$P$34=0),"",$L$37-1)),MIN(CC$38,$E297),$P$20))-SUM($BF297:CB297))</f>
        <v>0</v>
      </c>
      <c r="CD297" s="446">
        <f>IF($E297=0,0,IF(MIN(CD$38,$E297)&lt;MAX($P$34*($B297+$I$38-1),IF(AND($L$37=0,$P$34=0),"",$L$37-1)),0,YEARFRAC(MAX($P$34*($B297+$I$38-1),IF(AND($L$37=0,$P$34=0),"",$L$37-1)),MIN(CD$38,$E297),$P$20))-SUM($BF297:CC297))</f>
        <v>0</v>
      </c>
      <c r="CE297" s="446">
        <f>IF($E297=0,0,IF(MIN(CE$38,$E297)&lt;MAX($P$34*($B297+$I$38-1),IF(AND($L$37=0,$P$34=0),"",$L$37-1)),0,YEARFRAC(MAX($P$34*($B297+$I$38-1),IF(AND($L$37=0,$P$34=0),"",$L$37-1)),MIN(CE$38,$E297),$P$20))-SUM($BF297:CD297))</f>
        <v>0</v>
      </c>
      <c r="CF297" s="446">
        <f>IF($E297=0,0,IF(MIN(CF$38,$E297)&lt;MAX($P$34*($B297+$I$38-1),IF(AND($L$37=0,$P$34=0),"",$L$37-1)),0,YEARFRAC(MAX($P$34*($B297+$I$38-1),IF(AND($L$37=0,$P$34=0),"",$L$37-1)),MIN(CF$38,$E297),$P$20))-SUM($BF297:CE297))</f>
        <v>0</v>
      </c>
      <c r="CG297" s="446">
        <f>IF($E297=0,0,IF(MIN(CG$38,$E297)&lt;MAX($P$34*($B297+$I$38-1),IF(AND($L$37=0,$P$34=0),"",$L$37-1)),0,YEARFRAC(MAX($P$34*($B297+$I$38-1),IF(AND($L$37=0,$P$34=0),"",$L$37-1)),MIN(CG$38,$E297),$P$20))-SUM($BF297:CF297))</f>
        <v>0</v>
      </c>
      <c r="CH297" s="446">
        <f>IF($E297=0,0,IF(MIN(CH$38,$E297)&lt;MAX($P$34*($B297+$I$38-1),IF(AND($L$37=0,$P$34=0),"",$L$37-1)),0,YEARFRAC(MAX($P$34*($B297+$I$38-1),IF(AND($L$37=0,$P$34=0),"",$L$37-1)),MIN(CH$38,$E297),$P$20))-SUM($BF297:CG297))</f>
        <v>0</v>
      </c>
      <c r="CI297" s="446">
        <f>IF($E297=0,0,IF(MIN(CI$38,$E297)&lt;MAX($P$34*($B297+$I$38-1),IF(AND($L$37=0,$P$34=0),"",$L$37-1)),0,YEARFRAC(MAX($P$34*($B297+$I$38-1),IF(AND($L$37=0,$P$34=0),"",$L$37-1)),MIN(CI$38,$E297),$P$20))-SUM($BF297:CH297))</f>
        <v>0</v>
      </c>
      <c r="CJ297" s="446">
        <f>IF($E297=0,0,IF(MIN(CJ$38,$E297)&lt;MAX($P$34*($B297+$I$38-1),IF(AND($L$37=0,$P$34=0),"",$L$37-1)),0,YEARFRAC(MAX($P$34*($B297+$I$38-1),IF(AND($L$37=0,$P$34=0),"",$L$37-1)),MIN(CJ$38,$E297),$P$20))-SUM($BF297:CI297))</f>
        <v>0</v>
      </c>
      <c r="CK297" s="446">
        <f>IF($E297=0,0,IF(MIN(CK$38,$E297)&lt;MAX($P$34*($B297+$I$38-1),IF(AND($L$37=0,$P$34=0),"",$L$37-1)),0,YEARFRAC(MAX($P$34*($B297+$I$38-1),IF(AND($L$37=0,$P$34=0),"",$L$37-1)),MIN(CK$38,$E297),$P$20))-SUM($BF297:CJ297))</f>
        <v>0</v>
      </c>
      <c r="CL297" s="446">
        <f>IF($E297=0,0,IF(MIN(CL$38,$E297)&lt;MAX($P$34*($B297+$I$38-1),IF(AND($L$37=0,$P$34=0),"",$L$37-1)),0,YEARFRAC(MAX($P$34*($B297+$I$38-1),IF(AND($L$37=0,$P$34=0),"",$L$37-1)),MIN(CL$38,$E297),$P$20))-SUM($BF297:CK297))</f>
        <v>0</v>
      </c>
      <c r="CM297" s="446">
        <f>IF($E297=0,0,IF(MIN(CM$38,$E297)&lt;MAX($P$34*($B297+$I$38-1),IF(AND($L$37=0,$P$34=0),"",$L$37-1)),0,YEARFRAC(MAX($P$34*($B297+$I$38-1),IF(AND($L$37=0,$P$34=0),"",$L$37-1)),MIN(CM$38,$E297),$P$20))-SUM($BF297:CL297))</f>
        <v>0</v>
      </c>
      <c r="CN297" s="446">
        <f>IF($E297=0,0,IF(MIN(CN$38,$E297)&lt;MAX($P$34*($B297+$I$38-1),IF(AND($L$37=0,$P$34=0),"",$L$37-1)),0,YEARFRAC(MAX($P$34*($B297+$I$38-1),IF(AND($L$37=0,$P$34=0),"",$L$37-1)),MIN(CN$38,$E297),$P$20))-SUM($BF297:CM297))</f>
        <v>0</v>
      </c>
      <c r="CO297" s="446">
        <f>IF($E297=0,0,IF(MIN(CO$38,$E297)&lt;MAX($P$34*($B297+$I$38-1),IF(AND($L$37=0,$P$34=0),"",$L$37-1)),0,YEARFRAC(MAX($P$34*($B297+$I$38-1),IF(AND($L$37=0,$P$34=0),"",$L$37-1)),MIN(CO$38,$E297),$P$20))-SUM($BF297:CN297))</f>
        <v>0</v>
      </c>
      <c r="CP297" s="446">
        <f>IF($E297=0,0,IF(MIN(CP$38,$E297)&lt;MAX($P$34*($B297+$I$38-1),IF(AND($L$37=0,$P$34=0),"",$L$37-1)),0,YEARFRAC(MAX($P$34*($B297+$I$38-1),IF(AND($L$37=0,$P$34=0),"",$L$37-1)),MIN(CP$38,$E297),$P$20))-SUM($BF297:CO297))</f>
        <v>0</v>
      </c>
      <c r="CQ297" s="446">
        <f>IF($E297=0,0,IF(MIN(CQ$38,$E297)&lt;MAX($P$34*($B297+$I$38-1),IF(AND($L$37=0,$P$34=0),"",$L$37-1)),0,YEARFRAC(MAX($P$34*($B297+$I$38-1),IF(AND($L$37=0,$P$34=0),"",$L$37-1)),MIN(CQ$38,$E297),$P$20))-SUM($BF297:CP297))</f>
        <v>0</v>
      </c>
    </row>
    <row r="298" spans="1:95" s="446" customFormat="1" ht="11.25" hidden="1" customHeight="1" x14ac:dyDescent="0.2">
      <c r="A298" s="152"/>
      <c r="B298" s="153" t="str">
        <f t="shared" ref="B298:B361" si="59">IF(B297="","",IF(AND(MONTH(B297)=12,MONTH(B296)=11,$B$38="com 13º"),IF(B297&gt;$D$19,"",B297),IF(DATE(YEAR(B297),MONTH(B297)+1,DAY(B297))&gt;$D$19,"",DATE(YEAR(B297),MONTH(B297)+1,DAY(B297)))))</f>
        <v/>
      </c>
      <c r="C298" s="29" t="str">
        <f>IF(B298="","",IF($L$35="SELIC - TRIBUTOS",VLOOKUP(DATE(YEAR($D$19),MONTH($D$19)-1,1),ÍNDICES!$A:$DE,HLOOKUP($BL$25,ÍNDICES!$B$3:$T$4,2)+11)-VLOOKUP(B298,ÍNDICES!$A:$DE,HLOOKUP($BL$25,ÍNDICES!$B$3:$T$4,2)+11)+1%,IF(C$38=$W$26,$J$35,IF(ISERROR(IF(B298&gt;$D$19,1,VLOOKUP(DATE(YEAR(B298),MONTH(B298)+IF($C$35=$S$23,1,0),1),ÍNDICES!$A:$DE,$Z$35+1))),"",IF(B298&gt;$D$19,1,VLOOKUP(DATE(YEAR(B298),MONTH(B298)+IF($C$35=$S$23,1,0),1),ÍNDICES!$A:$DE,$Z$35+1))))))</f>
        <v/>
      </c>
      <c r="D298" s="154" t="str">
        <f>IF(ISERROR(IF(OR($D$38=$Y$27,$B298=""),"",VLOOKUP(B298,ÍNDICES!A:DE,AF$35+1))),"",IF(OR($D$38=$Y$27,$B298=""),"",VLOOKUP(B298,ÍNDICES!A:DE,AF$35+1)))</f>
        <v/>
      </c>
      <c r="E298" s="153"/>
      <c r="F298" s="29" t="str">
        <f>IF(E298="","",IF($L$35="SELIC - TRIBUTOS",VLOOKUP(DATE(YEAR($D$19),MONTH($D$19)-1,1),ÍNDICES!$A:$DE,HLOOKUP($BL$25,ÍNDICES!$B$3:$T$4,2)+11)-VLOOKUP(E298,ÍNDICES!$A:$DE,HLOOKUP($BL$25,ÍNDICES!$B$3:$T$4,2)+11)+1%,IF(F$38=$W$26,$J$35,IF(ISERROR(IF(E298&gt;$D$19,1,VLOOKUP(DATE(YEAR(E298),MONTH(E298)+IF($C$35=$S$23,1,0),1),ÍNDICES!$A:$DE,$Z$35+1))),"",IF(E298&gt;$D$19,1,VLOOKUP(DATE(YEAR(E298),MONTH(E298)+IF($C$35=$S$23,1,0),1),ÍNDICES!$A:$DE,$Z$35+1))))))</f>
        <v/>
      </c>
      <c r="G298" s="155"/>
      <c r="H298" s="156" t="str">
        <f t="shared" si="55"/>
        <v/>
      </c>
      <c r="I298" s="29" t="str">
        <f t="shared" si="49"/>
        <v/>
      </c>
      <c r="J298" s="5">
        <f t="shared" si="50"/>
        <v>0</v>
      </c>
      <c r="K298" s="20">
        <f t="shared" ca="1" si="51"/>
        <v>0</v>
      </c>
      <c r="L298" s="5">
        <f t="shared" ca="1" si="52"/>
        <v>0</v>
      </c>
      <c r="M298" s="64">
        <f t="shared" si="56"/>
        <v>0</v>
      </c>
      <c r="N298" s="61">
        <f t="shared" ca="1" si="57"/>
        <v>0</v>
      </c>
      <c r="O298" s="5">
        <f t="shared" ca="1" si="58"/>
        <v>0</v>
      </c>
      <c r="P298" s="446" t="e">
        <f t="shared" si="53"/>
        <v>#VALUE!</v>
      </c>
      <c r="Q298" s="446" t="e">
        <f>IF(OR($B298="",MIN(Q$38,$D$19)&lt;MAX($P$34*($B298+IF($R$17="Distrato",$I$38-1,0)),IF(AND($L$37=0,$P$34=0),"",$L$37-1),IF($R$17="Distrato",$E298,0))),0,YEARFRAC(MAX($P$34*($B298+IF($R$17="Distrato",$I$38-1,0)),IF(AND($L$37=0,$P$34=0),"",$L$37-1),IF($R$17="Distrato",$E298,0)),MIN(Q$38,$D$19),$P$20))-SUM($P298:P298)</f>
        <v>#VALUE!</v>
      </c>
      <c r="R298" s="446" t="e">
        <f>IF(OR($B298="",MIN(R$38,$D$19)&lt;MAX($P$34*($B298+IF($R$17="Distrato",$I$38-1,0)),IF(AND($L$37=0,$P$34=0),"",$L$37-1),IF($R$17="Distrato",$E298,0))),0,YEARFRAC(MAX($P$34*($B298+IF($R$17="Distrato",$I$38-1,0)),IF(AND($L$37=0,$P$34=0),"",$L$37-1),IF($R$17="Distrato",$E298,0)),MIN(R$38,$D$19),$P$20))-SUM($P298:Q298)</f>
        <v>#VALUE!</v>
      </c>
      <c r="S298" s="446" t="e">
        <f>IF(OR($B298="",MIN(S$38,$D$19)&lt;MAX($P$34*($B298+IF($R$17="Distrato",$I$38-1,0)),IF(AND($L$37=0,$P$34=0),"",$L$37-1),IF($R$17="Distrato",$E298,0))),0,YEARFRAC(MAX($P$34*($B298+IF($R$17="Distrato",$I$38-1,0)),IF(AND($L$37=0,$P$34=0),"",$L$37-1),IF($R$17="Distrato",$E298,0)),MIN(S$38,$D$19),$P$20))-SUM($P298:R298)</f>
        <v>#VALUE!</v>
      </c>
      <c r="T298" s="446" t="e">
        <f>IF(OR($B298="",MIN(T$38,$D$19)&lt;MAX($P$34*($B298+IF($R$17="Distrato",$I$38-1,0)),IF(AND($L$37=0,$P$34=0),"",$L$37-1),IF($R$17="Distrato",$E298,0))),0,YEARFRAC(MAX($P$34*($B298+IF($R$17="Distrato",$I$38-1,0)),IF(AND($L$37=0,$P$34=0),"",$L$37-1),IF($R$17="Distrato",$E298,0)),MIN(T$38,$D$19),$P$20))-SUM($P298:S298)</f>
        <v>#VALUE!</v>
      </c>
      <c r="U298" s="446" t="e">
        <f>IF(OR($B298="",MIN(U$38,$D$19)&lt;MAX($P$34*($B298+IF($R$17="Distrato",$I$38-1,0)),IF(AND($L$37=0,$P$34=0),"",$L$37-1),IF($R$17="Distrato",$E298,0))),0,YEARFRAC(MAX($P$34*($B298+IF($R$17="Distrato",$I$38-1,0)),IF(AND($L$37=0,$P$34=0),"",$L$37-1),IF($R$17="Distrato",$E298,0)),MIN(U$38,$D$19),$P$20))-SUM($P298:T298)</f>
        <v>#VALUE!</v>
      </c>
      <c r="V298" s="446" t="e">
        <f>IF(OR($B298="",MIN(V$38,$D$19)&lt;MAX($P$34*($B298+IF($R$17="Distrato",$I$38-1,0)),IF(AND($L$37=0,$P$34=0),"",$L$37-1),IF($R$17="Distrato",$E298,0))),0,YEARFRAC(MAX($P$34*($B298+IF($R$17="Distrato",$I$38-1,0)),IF(AND($L$37=0,$P$34=0),"",$L$37-1),IF($R$17="Distrato",$E298,0)),MIN(V$38,$D$19),$P$20))-SUM($P298:U298)</f>
        <v>#VALUE!</v>
      </c>
      <c r="W298" s="446" t="e">
        <f>IF(OR($B298="",MIN(W$38,$D$19)&lt;MAX($P$34*($B298+IF($R$17="Distrato",$I$38-1,0)),IF(AND($L$37=0,$P$34=0),"",$L$37-1),IF($R$17="Distrato",$E298,0))),0,YEARFRAC(MAX($P$34*($B298+IF($R$17="Distrato",$I$38-1,0)),IF(AND($L$37=0,$P$34=0),"",$L$37-1),IF($R$17="Distrato",$E298,0)),MIN(W$38,$D$19),$P$20))-SUM($P298:V298)</f>
        <v>#VALUE!</v>
      </c>
      <c r="X298" s="446" t="e">
        <f>IF(OR($B298="",MIN(X$38,$D$19)&lt;MAX($P$34*($B298+IF($R$17="Distrato",$I$38-1,0)),IF(AND($L$37=0,$P$34=0),"",$L$37-1),IF($R$17="Distrato",$E298,0))),0,YEARFRAC(MAX($P$34*($B298+IF($R$17="Distrato",$I$38-1,0)),IF(AND($L$37=0,$P$34=0),"",$L$37-1),IF($R$17="Distrato",$E298,0)),MIN(X$38,$D$19),$P$20))-SUM($P298:W298)</f>
        <v>#VALUE!</v>
      </c>
      <c r="Y298" s="446" t="e">
        <f>IF(OR($B298="",MIN(Y$38,$D$19)&lt;MAX($P$34*($B298+IF($R$17="Distrato",$I$38-1,0)),IF(AND($L$37=0,$P$34=0),"",$L$37-1),IF($R$17="Distrato",$E298,0))),0,YEARFRAC(MAX($P$34*($B298+IF($R$17="Distrato",$I$38-1,0)),IF(AND($L$37=0,$P$34=0),"",$L$37-1),IF($R$17="Distrato",$E298,0)),MIN(Y$38,$D$19),$P$20))-SUM($P298:X298)</f>
        <v>#VALUE!</v>
      </c>
      <c r="Z298" s="446" t="e">
        <f>IF(OR($B298="",MIN(Z$38,$D$19)&lt;MAX($P$34*($B298+IF($R$17="Distrato",$I$38-1,0)),IF(AND($L$37=0,$P$34=0),"",$L$37-1),IF($R$17="Distrato",$E298,0))),0,YEARFRAC(MAX($P$34*($B298+IF($R$17="Distrato",$I$38-1,0)),IF(AND($L$37=0,$P$34=0),"",$L$37-1),IF($R$17="Distrato",$E298,0)),MIN(Z$38,$D$19),$P$20))-SUM($P298:Y298)</f>
        <v>#VALUE!</v>
      </c>
      <c r="AA298" s="446" t="e">
        <f>IF(OR($B298="",MIN(AA$38,$D$19)&lt;MAX($P$34*($B298+IF($R$17="Distrato",$I$38-1,0)),IF(AND($L$37=0,$P$34=0),"",$L$37-1),IF($R$17="Distrato",$E298,0))),0,YEARFRAC(MAX($P$34*($B298+IF($R$17="Distrato",$I$38-1,0)),IF(AND($L$37=0,$P$34=0),"",$L$37-1),IF($R$17="Distrato",$E298,0)),MIN(AA$38,$D$19),$P$20))-SUM($P298:Z298)</f>
        <v>#VALUE!</v>
      </c>
      <c r="AB298" s="446" t="e">
        <f>IF(OR($B298="",MIN(AB$38,$D$19)&lt;MAX($P$34*($B298+IF($R$17="Distrato",$I$38-1,0)),IF(AND($L$37=0,$P$34=0),"",$L$37-1),IF($R$17="Distrato",$E298,0))),0,YEARFRAC(MAX($P$34*($B298+IF($R$17="Distrato",$I$38-1,0)),IF(AND($L$37=0,$P$34=0),"",$L$37-1),IF($R$17="Distrato",$E298,0)),MIN(AB$38,$D$19),$P$20))-SUM($P298:AA298)</f>
        <v>#VALUE!</v>
      </c>
      <c r="AC298" s="446" t="e">
        <f>IF(OR($B298="",MIN(AC$38,$D$19)&lt;MAX($P$34*($B298+IF($R$17="Distrato",$I$38-1,0)),IF(AND($L$37=0,$P$34=0),"",$L$37-1),IF($R$17="Distrato",$E298,0))),0,YEARFRAC(MAX($P$34*($B298+IF($R$17="Distrato",$I$38-1,0)),IF(AND($L$37=0,$P$34=0),"",$L$37-1),IF($R$17="Distrato",$E298,0)),MIN(AC$38,$D$19),$P$20))-SUM($P298:AB298)</f>
        <v>#VALUE!</v>
      </c>
      <c r="AD298" s="446" t="e">
        <f>IF(OR($B298="",MIN(AD$38,$D$19)&lt;MAX($P$34*($B298+IF($R$17="Distrato",$I$38-1,0)),IF(AND($L$37=0,$P$34=0),"",$L$37-1),IF($R$17="Distrato",$E298,0))),0,YEARFRAC(MAX($P$34*($B298+IF($R$17="Distrato",$I$38-1,0)),IF(AND($L$37=0,$P$34=0),"",$L$37-1),IF($R$17="Distrato",$E298,0)),MIN(AD$38,$D$19),$P$20))-SUM($P298:AC298)</f>
        <v>#VALUE!</v>
      </c>
      <c r="AE298" s="446" t="e">
        <f>IF(OR($B298="",MIN(AE$38,$D$19)&lt;MAX($P$34*($B298+IF($R$17="Distrato",$I$38-1,0)),IF(AND($L$37=0,$P$34=0),"",$L$37-1),IF($R$17="Distrato",$E298,0))),0,YEARFRAC(MAX($P$34*($B298+IF($R$17="Distrato",$I$38-1,0)),IF(AND($L$37=0,$P$34=0),"",$L$37-1),IF($R$17="Distrato",$E298,0)),MIN(AE$38,$D$19),$P$20))-SUM($P298:AD298)</f>
        <v>#VALUE!</v>
      </c>
      <c r="AF298" s="446" t="e">
        <f>IF(OR($B298="",MIN(AF$38,$D$19)&lt;MAX($P$34*($B298+IF($R$17="Distrato",$I$38-1,0)),IF(AND($L$37=0,$P$34=0),"",$L$37-1),IF($R$17="Distrato",$E298,0))),0,YEARFRAC(MAX($P$34*($B298+IF($R$17="Distrato",$I$38-1,0)),IF(AND($L$37=0,$P$34=0),"",$L$37-1),IF($R$17="Distrato",$E298,0)),MIN(AF$38,$D$19),$P$20))-SUM($P298:AE298)</f>
        <v>#VALUE!</v>
      </c>
      <c r="AG298" s="446" t="e">
        <f>IF(OR($B298="",MIN(AG$38,$D$19)&lt;MAX($P$34*($B298+IF($R$17="Distrato",$I$38-1,0)),IF(AND($L$37=0,$P$34=0),"",$L$37-1),IF($R$17="Distrato",$E298,0))),0,YEARFRAC(MAX($P$34*($B298+IF($R$17="Distrato",$I$38-1,0)),IF(AND($L$37=0,$P$34=0),"",$L$37-1),IF($R$17="Distrato",$E298,0)),MIN(AG$38,$D$19),$P$20))-SUM($P298:AF298)</f>
        <v>#VALUE!</v>
      </c>
      <c r="AH298" s="446" t="e">
        <f>IF(OR($B298="",MIN(AH$38,$D$19)&lt;MAX($P$34*($B298+IF($R$17="Distrato",$I$38-1,0)),IF(AND($L$37=0,$P$34=0),"",$L$37-1),IF($R$17="Distrato",$E298,0))),0,YEARFRAC(MAX($P$34*($B298+IF($R$17="Distrato",$I$38-1,0)),IF(AND($L$37=0,$P$34=0),"",$L$37-1),IF($R$17="Distrato",$E298,0)),MIN(AH$38,$D$19),$P$20))-SUM($P298:AG298)</f>
        <v>#VALUE!</v>
      </c>
      <c r="AI298" s="446" t="e">
        <f>IF(OR($B298="",MIN(AI$38,$D$19)&lt;MAX($P$34*($B298+IF($R$17="Distrato",$I$38-1,0)),IF(AND($L$37=0,$P$34=0),"",$L$37-1),IF($R$17="Distrato",$E298,0))),0,YEARFRAC(MAX($P$34*($B298+IF($R$17="Distrato",$I$38-1,0)),IF(AND($L$37=0,$P$34=0),"",$L$37-1),IF($R$17="Distrato",$E298,0)),MIN(AI$38,$D$19),$P$20))-SUM($P298:AH298)</f>
        <v>#VALUE!</v>
      </c>
      <c r="AJ298" s="446" t="e">
        <f>IF(OR($B298="",MIN(AJ$38,$D$19)&lt;MAX($P$34*($B298+IF($R$17="Distrato",$I$38-1,0)),IF(AND($L$37=0,$P$34=0),"",$L$37-1),IF($R$17="Distrato",$E298,0))),0,YEARFRAC(MAX($P$34*($B298+IF($R$17="Distrato",$I$38-1,0)),IF(AND($L$37=0,$P$34=0),"",$L$37-1),IF($R$17="Distrato",$E298,0)),MIN(AJ$38,$D$19),$P$20))-SUM($P298:AI298)</f>
        <v>#VALUE!</v>
      </c>
      <c r="AK298" s="446" t="e">
        <f>IF(OR($B298="",MIN(AK$38,$D$19)&lt;MAX($P$34*($B298+IF($R$17="Distrato",$I$38-1,0)),IF(AND($L$37=0,$P$34=0),"",$L$37-1),IF($R$17="Distrato",$E298,0))),0,YEARFRAC(MAX($P$34*($B298+IF($R$17="Distrato",$I$38-1,0)),IF(AND($L$37=0,$P$34=0),"",$L$37-1),IF($R$17="Distrato",$E298,0)),MIN(AK$38,$D$19),$P$20))-SUM($P298:AJ298)</f>
        <v>#VALUE!</v>
      </c>
      <c r="AL298" s="446" t="e">
        <f>IF(OR($B298="",MIN(AL$38,$D$19)&lt;MAX($P$34*($B298+IF($R$17="Distrato",$I$38-1,0)),IF(AND($L$37=0,$P$34=0),"",$L$37-1),IF($R$17="Distrato",$E298,0))),0,YEARFRAC(MAX($P$34*($B298+IF($R$17="Distrato",$I$38-1,0)),IF(AND($L$37=0,$P$34=0),"",$L$37-1),IF($R$17="Distrato",$E298,0)),MIN(AL$38,$D$19),$P$20))-SUM($P298:AK298)</f>
        <v>#VALUE!</v>
      </c>
      <c r="AM298" s="446" t="e">
        <f>IF(OR($B298="",MIN(AM$38,$D$19)&lt;MAX($P$34*($B298+IF($R$17="Distrato",$I$38-1,0)),IF(AND($L$37=0,$P$34=0),"",$L$37-1),IF($R$17="Distrato",$E298,0))),0,YEARFRAC(MAX($P$34*($B298+IF($R$17="Distrato",$I$38-1,0)),IF(AND($L$37=0,$P$34=0),"",$L$37-1),IF($R$17="Distrato",$E298,0)),MIN(AM$38,$D$19),$P$20))-SUM($P298:AL298)</f>
        <v>#VALUE!</v>
      </c>
      <c r="AN298" s="446" t="e">
        <f>IF(OR($B298="",MIN(AN$38,$D$19)&lt;MAX($P$34*($B298+IF($R$17="Distrato",$I$38-1,0)),IF(AND($L$37=0,$P$34=0),"",$L$37-1),IF($R$17="Distrato",$E298,0))),0,YEARFRAC(MAX($P$34*($B298+IF($R$17="Distrato",$I$38-1,0)),IF(AND($L$37=0,$P$34=0),"",$L$37-1),IF($R$17="Distrato",$E298,0)),MIN(AN$38,$D$19),$P$20))-SUM($P298:AM298)</f>
        <v>#VALUE!</v>
      </c>
      <c r="AO298" s="446" t="e">
        <f>IF(OR($B298="",MIN(AO$38,$D$19)&lt;MAX($P$34*($B298+IF($R$17="Distrato",$I$38-1,0)),IF(AND($L$37=0,$P$34=0),"",$L$37-1),IF($R$17="Distrato",$E298,0))),0,YEARFRAC(MAX($P$34*($B298+IF($R$17="Distrato",$I$38-1,0)),IF(AND($L$37=0,$P$34=0),"",$L$37-1),IF($R$17="Distrato",$E298,0)),MIN(AO$38,$D$19),$P$20))-SUM($P298:AN298)</f>
        <v>#VALUE!</v>
      </c>
      <c r="AP298" s="446" t="e">
        <f>IF(OR($B298="",MIN(AP$38,$D$19)&lt;MAX($P$34*($B298+IF($R$17="Distrato",$I$38-1,0)),IF(AND($L$37=0,$P$34=0),"",$L$37-1),IF($R$17="Distrato",$E298,0))),0,YEARFRAC(MAX($P$34*($B298+IF($R$17="Distrato",$I$38-1,0)),IF(AND($L$37=0,$P$34=0),"",$L$37-1),IF($R$17="Distrato",$E298,0)),MIN(AP$38,$D$19),$P$20))-SUM($P298:AO298)</f>
        <v>#VALUE!</v>
      </c>
      <c r="AQ298" s="446" t="e">
        <f>IF(OR($B298="",MIN(AQ$38,$D$19)&lt;MAX($P$34*($B298+IF($R$17="Distrato",$I$38-1,0)),IF(AND($L$37=0,$P$34=0),"",$L$37-1),IF($R$17="Distrato",$E298,0))),0,YEARFRAC(MAX($P$34*($B298+IF($R$17="Distrato",$I$38-1,0)),IF(AND($L$37=0,$P$34=0),"",$L$37-1),IF($R$17="Distrato",$E298,0)),MIN(AQ$38,$D$19),$P$20))-SUM($P298:AP298)</f>
        <v>#VALUE!</v>
      </c>
      <c r="AR298" s="446" t="e">
        <f>IF(OR($B298="",MIN(AR$38,$D$19)&lt;MAX($P$34*($B298+IF($R$17="Distrato",$I$38-1,0)),IF(AND($L$37=0,$P$34=0),"",$L$37-1),IF($R$17="Distrato",$E298,0))),0,YEARFRAC(MAX($P$34*($B298+IF($R$17="Distrato",$I$38-1,0)),IF(AND($L$37=0,$P$34=0),"",$L$37-1),IF($R$17="Distrato",$E298,0)),MIN(AR$38,$D$19),$P$20))-SUM($P298:AQ298)</f>
        <v>#VALUE!</v>
      </c>
      <c r="AS298" s="446" t="e">
        <f>IF(OR($B298="",MIN(AS$38,$D$19)&lt;MAX($P$34*($B298+IF($R$17="Distrato",$I$38-1,0)),IF(AND($L$37=0,$P$34=0),"",$L$37-1),IF($R$17="Distrato",$E298,0))),0,YEARFRAC(MAX($P$34*($B298+IF($R$17="Distrato",$I$38-1,0)),IF(AND($L$37=0,$P$34=0),"",$L$37-1),IF($R$17="Distrato",$E298,0)),MIN(AS$38,$D$19),$P$20))-SUM($P298:AR298)</f>
        <v>#VALUE!</v>
      </c>
      <c r="AT298" s="446" t="e">
        <f>IF(OR($B298="",MIN(AT$38,$D$19)&lt;MAX($P$34*($B298+IF($R$17="Distrato",$I$38-1,0)),IF(AND($L$37=0,$P$34=0),"",$L$37-1),IF($R$17="Distrato",$E298,0))),0,YEARFRAC(MAX($P$34*($B298+IF($R$17="Distrato",$I$38-1,0)),IF(AND($L$37=0,$P$34=0),"",$L$37-1),IF($R$17="Distrato",$E298,0)),MIN(AT$38,$D$19),$P$20))-SUM($P298:AS298)</f>
        <v>#VALUE!</v>
      </c>
      <c r="AU298" s="446" t="e">
        <f>IF(OR($B298="",MIN(AU$38,$D$19)&lt;MAX($P$34*($B298+IF($R$17="Distrato",$I$38-1,0)),IF(AND($L$37=0,$P$34=0),"",$L$37-1),IF($R$17="Distrato",$E298,0))),0,YEARFRAC(MAX($P$34*($B298+IF($R$17="Distrato",$I$38-1,0)),IF(AND($L$37=0,$P$34=0),"",$L$37-1),IF($R$17="Distrato",$E298,0)),MIN(AU$38,$D$19),$P$20))-SUM($P298:AT298)</f>
        <v>#VALUE!</v>
      </c>
      <c r="AV298" s="446" t="e">
        <f>IF(OR($B298="",MIN(AV$38,$D$19)&lt;MAX($P$34*($B298+IF($R$17="Distrato",$I$38-1,0)),IF(AND($L$37=0,$P$34=0),"",$L$37-1),IF($R$17="Distrato",$E298,0))),0,YEARFRAC(MAX($P$34*($B298+IF($R$17="Distrato",$I$38-1,0)),IF(AND($L$37=0,$P$34=0),"",$L$37-1),IF($R$17="Distrato",$E298,0)),MIN(AV$38,$D$19),$P$20))-SUM($P298:AU298)</f>
        <v>#VALUE!</v>
      </c>
      <c r="AW298" s="446" t="e">
        <f>IF(OR($B298="",MIN(AW$38,$D$19)&lt;MAX($P$34*($B298+IF($R$17="Distrato",$I$38-1,0)),IF(AND($L$37=0,$P$34=0),"",$L$37-1),IF($R$17="Distrato",$E298,0))),0,YEARFRAC(MAX($P$34*($B298+IF($R$17="Distrato",$I$38-1,0)),IF(AND($L$37=0,$P$34=0),"",$L$37-1),IF($R$17="Distrato",$E298,0)),MIN(AW$38,$D$19),$P$20))-SUM($P298:AV298)</f>
        <v>#VALUE!</v>
      </c>
      <c r="AX298" s="446" t="e">
        <f>IF(OR($B298="",MIN(AX$38,$D$19)&lt;MAX($P$34*($B298+IF($R$17="Distrato",$I$38-1,0)),IF(AND($L$37=0,$P$34=0),"",$L$37-1),IF($R$17="Distrato",$E298,0))),0,YEARFRAC(MAX($P$34*($B298+IF($R$17="Distrato",$I$38-1,0)),IF(AND($L$37=0,$P$34=0),"",$L$37-1),IF($R$17="Distrato",$E298,0)),MIN(AX$38,$D$19),$P$20))-SUM($P298:AW298)</f>
        <v>#VALUE!</v>
      </c>
      <c r="AY298" s="446" t="e">
        <f>IF(OR($B298="",MIN(AY$38,$D$19)&lt;MAX($P$34*($B298+IF($R$17="Distrato",$I$38-1,0)),IF(AND($L$37=0,$P$34=0),"",$L$37-1),IF($R$17="Distrato",$E298,0))),0,YEARFRAC(MAX($P$34*($B298+IF($R$17="Distrato",$I$38-1,0)),IF(AND($L$37=0,$P$34=0),"",$L$37-1),IF($R$17="Distrato",$E298,0)),MIN(AY$38,$D$19),$P$20))-SUM($P298:AX298)</f>
        <v>#VALUE!</v>
      </c>
      <c r="AZ298" s="446" t="e">
        <f>IF(OR($B298="",MIN(AZ$38,$D$19)&lt;MAX($P$34*($B298+IF($R$17="Distrato",$I$38-1,0)),IF(AND($L$37=0,$P$34=0),"",$L$37-1),IF($R$17="Distrato",$E298,0))),0,YEARFRAC(MAX($P$34*($B298+IF($R$17="Distrato",$I$38-1,0)),IF(AND($L$37=0,$P$34=0),"",$L$37-1),IF($R$17="Distrato",$E298,0)),MIN(AZ$38,$D$19),$P$20))-SUM($P298:AY298)</f>
        <v>#VALUE!</v>
      </c>
      <c r="BA298" s="446" t="e">
        <f>IF(OR($B298="",MIN(BA$38,$D$19)&lt;MAX($P$34*($B298+IF($R$17="Distrato",$I$38-1,0)),IF(AND($L$37=0,$P$34=0),"",$L$37-1),IF($R$17="Distrato",$E298,0))),0,YEARFRAC(MAX($P$34*($B298+IF($R$17="Distrato",$I$38-1,0)),IF(AND($L$37=0,$P$34=0),"",$L$37-1),IF($R$17="Distrato",$E298,0)),MIN(BA$38,$D$19),$P$20))-SUM($P298:AZ298)</f>
        <v>#VALUE!</v>
      </c>
      <c r="BB298" s="447"/>
      <c r="BF298" s="446">
        <f t="shared" si="54"/>
        <v>0</v>
      </c>
      <c r="BG298" s="446">
        <f>IF($E298=0,0,IF(MIN(BG$38,$E298)&lt;MAX($P$34*($B298+$I$38-1),IF(AND($L$37=0,$P$34=0),"",$L$37-1)),0,YEARFRAC(MAX($P$34*($B298+$I$38-1),IF(AND($L$37=0,$P$34=0),"",$L$37-1)),MIN(BG$38,$E298),$P$20))-SUM($BF298:BF298))</f>
        <v>0</v>
      </c>
      <c r="BH298" s="446">
        <f>IF($E298=0,0,IF(MIN(BH$38,$E298)&lt;MAX($P$34*($B298+$I$38-1),IF(AND($L$37=0,$P$34=0),"",$L$37-1)),0,YEARFRAC(MAX($P$34*($B298+$I$38-1),IF(AND($L$37=0,$P$34=0),"",$L$37-1)),MIN(BH$38,$E298),$P$20))-SUM($BF298:BG298))</f>
        <v>0</v>
      </c>
      <c r="BI298" s="446">
        <f>IF($E298=0,0,IF(MIN(BI$38,$E298)&lt;MAX($P$34*($B298+$I$38-1),IF(AND($L$37=0,$P$34=0),"",$L$37-1)),0,YEARFRAC(MAX($P$34*($B298+$I$38-1),IF(AND($L$37=0,$P$34=0),"",$L$37-1)),MIN(BI$38,$E298),$P$20))-SUM($BF298:BH298))</f>
        <v>0</v>
      </c>
      <c r="BJ298" s="446">
        <f>IF($E298=0,0,IF(MIN(BJ$38,$E298)&lt;MAX($P$34*($B298+$I$38-1),IF(AND($L$37=0,$P$34=0),"",$L$37-1)),0,YEARFRAC(MAX($P$34*($B298+$I$38-1),IF(AND($L$37=0,$P$34=0),"",$L$37-1)),MIN(BJ$38,$E298),$P$20))-SUM($BF298:BI298))</f>
        <v>0</v>
      </c>
      <c r="BK298" s="446">
        <f>IF($E298=0,0,IF(MIN(BK$38,$E298)&lt;MAX($P$34*($B298+$I$38-1),IF(AND($L$37=0,$P$34=0),"",$L$37-1)),0,YEARFRAC(MAX($P$34*($B298+$I$38-1),IF(AND($L$37=0,$P$34=0),"",$L$37-1)),MIN(BK$38,$E298),$P$20))-SUM($BF298:BJ298))</f>
        <v>0</v>
      </c>
      <c r="BL298" s="446">
        <f>IF($E298=0,0,IF(MIN(BL$38,$E298)&lt;MAX($P$34*($B298+$I$38-1),IF(AND($L$37=0,$P$34=0),"",$L$37-1)),0,YEARFRAC(MAX($P$34*($B298+$I$38-1),IF(AND($L$37=0,$P$34=0),"",$L$37-1)),MIN(BL$38,$E298),$P$20))-SUM($BF298:BK298))</f>
        <v>0</v>
      </c>
      <c r="BM298" s="446">
        <f>IF($E298=0,0,IF(MIN(BM$38,$E298)&lt;MAX($P$34*($B298+$I$38-1),IF(AND($L$37=0,$P$34=0),"",$L$37-1)),0,YEARFRAC(MAX($P$34*($B298+$I$38-1),IF(AND($L$37=0,$P$34=0),"",$L$37-1)),MIN(BM$38,$E298),$P$20))-SUM($BF298:BL298))</f>
        <v>0</v>
      </c>
      <c r="BN298" s="446">
        <f>IF($E298=0,0,IF(MIN(BN$38,$E298)&lt;MAX($P$34*($B298+$I$38-1),IF(AND($L$37=0,$P$34=0),"",$L$37-1)),0,YEARFRAC(MAX($P$34*($B298+$I$38-1),IF(AND($L$37=0,$P$34=0),"",$L$37-1)),MIN(BN$38,$E298),$P$20))-SUM($BF298:BM298))</f>
        <v>0</v>
      </c>
      <c r="BO298" s="446">
        <f>IF($E298=0,0,IF(MIN(BO$38,$E298)&lt;MAX($P$34*($B298+$I$38-1),IF(AND($L$37=0,$P$34=0),"",$L$37-1)),0,YEARFRAC(MAX($P$34*($B298+$I$38-1),IF(AND($L$37=0,$P$34=0),"",$L$37-1)),MIN(BO$38,$E298),$P$20))-SUM($BF298:BN298))</f>
        <v>0</v>
      </c>
      <c r="BP298" s="446">
        <f>IF($E298=0,0,IF(MIN(BP$38,$E298)&lt;MAX($P$34*($B298+$I$38-1),IF(AND($L$37=0,$P$34=0),"",$L$37-1)),0,YEARFRAC(MAX($P$34*($B298+$I$38-1),IF(AND($L$37=0,$P$34=0),"",$L$37-1)),MIN(BP$38,$E298),$P$20))-SUM($BF298:BO298))</f>
        <v>0</v>
      </c>
      <c r="BQ298" s="446">
        <f>IF($E298=0,0,IF(MIN(BQ$38,$E298)&lt;MAX($P$34*($B298+$I$38-1),IF(AND($L$37=0,$P$34=0),"",$L$37-1)),0,YEARFRAC(MAX($P$34*($B298+$I$38-1),IF(AND($L$37=0,$P$34=0),"",$L$37-1)),MIN(BQ$38,$E298),$P$20))-SUM($BF298:BP298))</f>
        <v>0</v>
      </c>
      <c r="BR298" s="446">
        <f>IF($E298=0,0,IF(MIN(BR$38,$E298)&lt;MAX($P$34*($B298+$I$38-1),IF(AND($L$37=0,$P$34=0),"",$L$37-1)),0,YEARFRAC(MAX($P$34*($B298+$I$38-1),IF(AND($L$37=0,$P$34=0),"",$L$37-1)),MIN(BR$38,$E298),$P$20))-SUM($BF298:BQ298))</f>
        <v>0</v>
      </c>
      <c r="BS298" s="446">
        <f>IF($E298=0,0,IF(MIN(BS$38,$E298)&lt;MAX($P$34*($B298+$I$38-1),IF(AND($L$37=0,$P$34=0),"",$L$37-1)),0,YEARFRAC(MAX($P$34*($B298+$I$38-1),IF(AND($L$37=0,$P$34=0),"",$L$37-1)),MIN(BS$38,$E298),$P$20))-SUM($BF298:BR298))</f>
        <v>0</v>
      </c>
      <c r="BT298" s="446">
        <f>IF($E298=0,0,IF(MIN(BT$38,$E298)&lt;MAX($P$34*($B298+$I$38-1),IF(AND($L$37=0,$P$34=0),"",$L$37-1)),0,YEARFRAC(MAX($P$34*($B298+$I$38-1),IF(AND($L$37=0,$P$34=0),"",$L$37-1)),MIN(BT$38,$E298),$P$20))-SUM($BF298:BS298))</f>
        <v>0</v>
      </c>
      <c r="BU298" s="446">
        <f>IF($E298=0,0,IF(MIN(BU$38,$E298)&lt;MAX($P$34*($B298+$I$38-1),IF(AND($L$37=0,$P$34=0),"",$L$37-1)),0,YEARFRAC(MAX($P$34*($B298+$I$38-1),IF(AND($L$37=0,$P$34=0),"",$L$37-1)),MIN(BU$38,$E298),$P$20))-SUM($BF298:BT298))</f>
        <v>0</v>
      </c>
      <c r="BV298" s="446">
        <f>IF($E298=0,0,IF(MIN(BV$38,$E298)&lt;MAX($P$34*($B298+$I$38-1),IF(AND($L$37=0,$P$34=0),"",$L$37-1)),0,YEARFRAC(MAX($P$34*($B298+$I$38-1),IF(AND($L$37=0,$P$34=0),"",$L$37-1)),MIN(BV$38,$E298),$P$20))-SUM($BF298:BU298))</f>
        <v>0</v>
      </c>
      <c r="BW298" s="446">
        <f>IF($E298=0,0,IF(MIN(BW$38,$E298)&lt;MAX($P$34*($B298+$I$38-1),IF(AND($L$37=0,$P$34=0),"",$L$37-1)),0,YEARFRAC(MAX($P$34*($B298+$I$38-1),IF(AND($L$37=0,$P$34=0),"",$L$37-1)),MIN(BW$38,$E298),$P$20))-SUM($BF298:BV298))</f>
        <v>0</v>
      </c>
      <c r="BX298" s="446">
        <f>IF($E298=0,0,IF(MIN(BX$38,$E298)&lt;MAX($P$34*($B298+$I$38-1),IF(AND($L$37=0,$P$34=0),"",$L$37-1)),0,YEARFRAC(MAX($P$34*($B298+$I$38-1),IF(AND($L$37=0,$P$34=0),"",$L$37-1)),MIN(BX$38,$E298),$P$20))-SUM($BF298:BW298))</f>
        <v>0</v>
      </c>
      <c r="BY298" s="446">
        <f>IF($E298=0,0,IF(MIN(BY$38,$E298)&lt;MAX($P$34*($B298+$I$38-1),IF(AND($L$37=0,$P$34=0),"",$L$37-1)),0,YEARFRAC(MAX($P$34*($B298+$I$38-1),IF(AND($L$37=0,$P$34=0),"",$L$37-1)),MIN(BY$38,$E298),$P$20))-SUM($BF298:BX298))</f>
        <v>0</v>
      </c>
      <c r="BZ298" s="446">
        <f>IF($E298=0,0,IF(MIN(BZ$38,$E298)&lt;MAX($P$34*($B298+$I$38-1),IF(AND($L$37=0,$P$34=0),"",$L$37-1)),0,YEARFRAC(MAX($P$34*($B298+$I$38-1),IF(AND($L$37=0,$P$34=0),"",$L$37-1)),MIN(BZ$38,$E298),$P$20))-SUM($BF298:BY298))</f>
        <v>0</v>
      </c>
      <c r="CA298" s="446">
        <f>IF($E298=0,0,IF(MIN(CA$38,$E298)&lt;MAX($P$34*($B298+$I$38-1),IF(AND($L$37=0,$P$34=0),"",$L$37-1)),0,YEARFRAC(MAX($P$34*($B298+$I$38-1),IF(AND($L$37=0,$P$34=0),"",$L$37-1)),MIN(CA$38,$E298),$P$20))-SUM($BF298:BZ298))</f>
        <v>0</v>
      </c>
      <c r="CB298" s="446">
        <f>IF($E298=0,0,IF(MIN(CB$38,$E298)&lt;MAX($P$34*($B298+$I$38-1),IF(AND($L$37=0,$P$34=0),"",$L$37-1)),0,YEARFRAC(MAX($P$34*($B298+$I$38-1),IF(AND($L$37=0,$P$34=0),"",$L$37-1)),MIN(CB$38,$E298),$P$20))-SUM($BF298:CA298))</f>
        <v>0</v>
      </c>
      <c r="CC298" s="446">
        <f>IF($E298=0,0,IF(MIN(CC$38,$E298)&lt;MAX($P$34*($B298+$I$38-1),IF(AND($L$37=0,$P$34=0),"",$L$37-1)),0,YEARFRAC(MAX($P$34*($B298+$I$38-1),IF(AND($L$37=0,$P$34=0),"",$L$37-1)),MIN(CC$38,$E298),$P$20))-SUM($BF298:CB298))</f>
        <v>0</v>
      </c>
      <c r="CD298" s="446">
        <f>IF($E298=0,0,IF(MIN(CD$38,$E298)&lt;MAX($P$34*($B298+$I$38-1),IF(AND($L$37=0,$P$34=0),"",$L$37-1)),0,YEARFRAC(MAX($P$34*($B298+$I$38-1),IF(AND($L$37=0,$P$34=0),"",$L$37-1)),MIN(CD$38,$E298),$P$20))-SUM($BF298:CC298))</f>
        <v>0</v>
      </c>
      <c r="CE298" s="446">
        <f>IF($E298=0,0,IF(MIN(CE$38,$E298)&lt;MAX($P$34*($B298+$I$38-1),IF(AND($L$37=0,$P$34=0),"",$L$37-1)),0,YEARFRAC(MAX($P$34*($B298+$I$38-1),IF(AND($L$37=0,$P$34=0),"",$L$37-1)),MIN(CE$38,$E298),$P$20))-SUM($BF298:CD298))</f>
        <v>0</v>
      </c>
      <c r="CF298" s="446">
        <f>IF($E298=0,0,IF(MIN(CF$38,$E298)&lt;MAX($P$34*($B298+$I$38-1),IF(AND($L$37=0,$P$34=0),"",$L$37-1)),0,YEARFRAC(MAX($P$34*($B298+$I$38-1),IF(AND($L$37=0,$P$34=0),"",$L$37-1)),MIN(CF$38,$E298),$P$20))-SUM($BF298:CE298))</f>
        <v>0</v>
      </c>
      <c r="CG298" s="446">
        <f>IF($E298=0,0,IF(MIN(CG$38,$E298)&lt;MAX($P$34*($B298+$I$38-1),IF(AND($L$37=0,$P$34=0),"",$L$37-1)),0,YEARFRAC(MAX($P$34*($B298+$I$38-1),IF(AND($L$37=0,$P$34=0),"",$L$37-1)),MIN(CG$38,$E298),$P$20))-SUM($BF298:CF298))</f>
        <v>0</v>
      </c>
      <c r="CH298" s="446">
        <f>IF($E298=0,0,IF(MIN(CH$38,$E298)&lt;MAX($P$34*($B298+$I$38-1),IF(AND($L$37=0,$P$34=0),"",$L$37-1)),0,YEARFRAC(MAX($P$34*($B298+$I$38-1),IF(AND($L$37=0,$P$34=0),"",$L$37-1)),MIN(CH$38,$E298),$P$20))-SUM($BF298:CG298))</f>
        <v>0</v>
      </c>
      <c r="CI298" s="446">
        <f>IF($E298=0,0,IF(MIN(CI$38,$E298)&lt;MAX($P$34*($B298+$I$38-1),IF(AND($L$37=0,$P$34=0),"",$L$37-1)),0,YEARFRAC(MAX($P$34*($B298+$I$38-1),IF(AND($L$37=0,$P$34=0),"",$L$37-1)),MIN(CI$38,$E298),$P$20))-SUM($BF298:CH298))</f>
        <v>0</v>
      </c>
      <c r="CJ298" s="446">
        <f>IF($E298=0,0,IF(MIN(CJ$38,$E298)&lt;MAX($P$34*($B298+$I$38-1),IF(AND($L$37=0,$P$34=0),"",$L$37-1)),0,YEARFRAC(MAX($P$34*($B298+$I$38-1),IF(AND($L$37=0,$P$34=0),"",$L$37-1)),MIN(CJ$38,$E298),$P$20))-SUM($BF298:CI298))</f>
        <v>0</v>
      </c>
      <c r="CK298" s="446">
        <f>IF($E298=0,0,IF(MIN(CK$38,$E298)&lt;MAX($P$34*($B298+$I$38-1),IF(AND($L$37=0,$P$34=0),"",$L$37-1)),0,YEARFRAC(MAX($P$34*($B298+$I$38-1),IF(AND($L$37=0,$P$34=0),"",$L$37-1)),MIN(CK$38,$E298),$P$20))-SUM($BF298:CJ298))</f>
        <v>0</v>
      </c>
      <c r="CL298" s="446">
        <f>IF($E298=0,0,IF(MIN(CL$38,$E298)&lt;MAX($P$34*($B298+$I$38-1),IF(AND($L$37=0,$P$34=0),"",$L$37-1)),0,YEARFRAC(MAX($P$34*($B298+$I$38-1),IF(AND($L$37=0,$P$34=0),"",$L$37-1)),MIN(CL$38,$E298),$P$20))-SUM($BF298:CK298))</f>
        <v>0</v>
      </c>
      <c r="CM298" s="446">
        <f>IF($E298=0,0,IF(MIN(CM$38,$E298)&lt;MAX($P$34*($B298+$I$38-1),IF(AND($L$37=0,$P$34=0),"",$L$37-1)),0,YEARFRAC(MAX($P$34*($B298+$I$38-1),IF(AND($L$37=0,$P$34=0),"",$L$37-1)),MIN(CM$38,$E298),$P$20))-SUM($BF298:CL298))</f>
        <v>0</v>
      </c>
      <c r="CN298" s="446">
        <f>IF($E298=0,0,IF(MIN(CN$38,$E298)&lt;MAX($P$34*($B298+$I$38-1),IF(AND($L$37=0,$P$34=0),"",$L$37-1)),0,YEARFRAC(MAX($P$34*($B298+$I$38-1),IF(AND($L$37=0,$P$34=0),"",$L$37-1)),MIN(CN$38,$E298),$P$20))-SUM($BF298:CM298))</f>
        <v>0</v>
      </c>
      <c r="CO298" s="446">
        <f>IF($E298=0,0,IF(MIN(CO$38,$E298)&lt;MAX($P$34*($B298+$I$38-1),IF(AND($L$37=0,$P$34=0),"",$L$37-1)),0,YEARFRAC(MAX($P$34*($B298+$I$38-1),IF(AND($L$37=0,$P$34=0),"",$L$37-1)),MIN(CO$38,$E298),$P$20))-SUM($BF298:CN298))</f>
        <v>0</v>
      </c>
      <c r="CP298" s="446">
        <f>IF($E298=0,0,IF(MIN(CP$38,$E298)&lt;MAX($P$34*($B298+$I$38-1),IF(AND($L$37=0,$P$34=0),"",$L$37-1)),0,YEARFRAC(MAX($P$34*($B298+$I$38-1),IF(AND($L$37=0,$P$34=0),"",$L$37-1)),MIN(CP$38,$E298),$P$20))-SUM($BF298:CO298))</f>
        <v>0</v>
      </c>
      <c r="CQ298" s="446">
        <f>IF($E298=0,0,IF(MIN(CQ$38,$E298)&lt;MAX($P$34*($B298+$I$38-1),IF(AND($L$37=0,$P$34=0),"",$L$37-1)),0,YEARFRAC(MAX($P$34*($B298+$I$38-1),IF(AND($L$37=0,$P$34=0),"",$L$37-1)),MIN(CQ$38,$E298),$P$20))-SUM($BF298:CP298))</f>
        <v>0</v>
      </c>
    </row>
    <row r="299" spans="1:95" s="446" customFormat="1" ht="11.25" hidden="1" customHeight="1" x14ac:dyDescent="0.2">
      <c r="A299" s="152"/>
      <c r="B299" s="153" t="str">
        <f t="shared" si="59"/>
        <v/>
      </c>
      <c r="C299" s="29" t="str">
        <f>IF(B299="","",IF($L$35="SELIC - TRIBUTOS",VLOOKUP(DATE(YEAR($D$19),MONTH($D$19)-1,1),ÍNDICES!$A:$DE,HLOOKUP($BL$25,ÍNDICES!$B$3:$T$4,2)+11)-VLOOKUP(B299,ÍNDICES!$A:$DE,HLOOKUP($BL$25,ÍNDICES!$B$3:$T$4,2)+11)+1%,IF(C$38=$W$26,$J$35,IF(ISERROR(IF(B299&gt;$D$19,1,VLOOKUP(DATE(YEAR(B299),MONTH(B299)+IF($C$35=$S$23,1,0),1),ÍNDICES!$A:$DE,$Z$35+1))),"",IF(B299&gt;$D$19,1,VLOOKUP(DATE(YEAR(B299),MONTH(B299)+IF($C$35=$S$23,1,0),1),ÍNDICES!$A:$DE,$Z$35+1))))))</f>
        <v/>
      </c>
      <c r="D299" s="154" t="str">
        <f>IF(ISERROR(IF(OR($D$38=$Y$27,$B299=""),"",VLOOKUP(B299,ÍNDICES!A:DE,AF$35+1))),"",IF(OR($D$38=$Y$27,$B299=""),"",VLOOKUP(B299,ÍNDICES!A:DE,AF$35+1)))</f>
        <v/>
      </c>
      <c r="E299" s="153"/>
      <c r="F299" s="29" t="str">
        <f>IF(E299="","",IF($L$35="SELIC - TRIBUTOS",VLOOKUP(DATE(YEAR($D$19),MONTH($D$19)-1,1),ÍNDICES!$A:$DE,HLOOKUP($BL$25,ÍNDICES!$B$3:$T$4,2)+11)-VLOOKUP(E299,ÍNDICES!$A:$DE,HLOOKUP($BL$25,ÍNDICES!$B$3:$T$4,2)+11)+1%,IF(F$38=$W$26,$J$35,IF(ISERROR(IF(E299&gt;$D$19,1,VLOOKUP(DATE(YEAR(E299),MONTH(E299)+IF($C$35=$S$23,1,0),1),ÍNDICES!$A:$DE,$Z$35+1))),"",IF(E299&gt;$D$19,1,VLOOKUP(DATE(YEAR(E299),MONTH(E299)+IF($C$35=$S$23,1,0),1),ÍNDICES!$A:$DE,$Z$35+1))))))</f>
        <v/>
      </c>
      <c r="G299" s="155"/>
      <c r="H299" s="156" t="str">
        <f t="shared" si="55"/>
        <v/>
      </c>
      <c r="I299" s="29" t="str">
        <f t="shared" si="49"/>
        <v/>
      </c>
      <c r="J299" s="5">
        <f t="shared" si="50"/>
        <v>0</v>
      </c>
      <c r="K299" s="20">
        <f t="shared" ca="1" si="51"/>
        <v>0</v>
      </c>
      <c r="L299" s="5">
        <f t="shared" ca="1" si="52"/>
        <v>0</v>
      </c>
      <c r="M299" s="64">
        <f t="shared" si="56"/>
        <v>0</v>
      </c>
      <c r="N299" s="61">
        <f t="shared" ca="1" si="57"/>
        <v>0</v>
      </c>
      <c r="O299" s="5">
        <f t="shared" ca="1" si="58"/>
        <v>0</v>
      </c>
      <c r="P299" s="446" t="e">
        <f t="shared" si="53"/>
        <v>#VALUE!</v>
      </c>
      <c r="Q299" s="446" t="e">
        <f>IF(OR($B299="",MIN(Q$38,$D$19)&lt;MAX($P$34*($B299+IF($R$17="Distrato",$I$38-1,0)),IF(AND($L$37=0,$P$34=0),"",$L$37-1),IF($R$17="Distrato",$E299,0))),0,YEARFRAC(MAX($P$34*($B299+IF($R$17="Distrato",$I$38-1,0)),IF(AND($L$37=0,$P$34=0),"",$L$37-1),IF($R$17="Distrato",$E299,0)),MIN(Q$38,$D$19),$P$20))-SUM($P299:P299)</f>
        <v>#VALUE!</v>
      </c>
      <c r="R299" s="446" t="e">
        <f>IF(OR($B299="",MIN(R$38,$D$19)&lt;MAX($P$34*($B299+IF($R$17="Distrato",$I$38-1,0)),IF(AND($L$37=0,$P$34=0),"",$L$37-1),IF($R$17="Distrato",$E299,0))),0,YEARFRAC(MAX($P$34*($B299+IF($R$17="Distrato",$I$38-1,0)),IF(AND($L$37=0,$P$34=0),"",$L$37-1),IF($R$17="Distrato",$E299,0)),MIN(R$38,$D$19),$P$20))-SUM($P299:Q299)</f>
        <v>#VALUE!</v>
      </c>
      <c r="S299" s="446" t="e">
        <f>IF(OR($B299="",MIN(S$38,$D$19)&lt;MAX($P$34*($B299+IF($R$17="Distrato",$I$38-1,0)),IF(AND($L$37=0,$P$34=0),"",$L$37-1),IF($R$17="Distrato",$E299,0))),0,YEARFRAC(MAX($P$34*($B299+IF($R$17="Distrato",$I$38-1,0)),IF(AND($L$37=0,$P$34=0),"",$L$37-1),IF($R$17="Distrato",$E299,0)),MIN(S$38,$D$19),$P$20))-SUM($P299:R299)</f>
        <v>#VALUE!</v>
      </c>
      <c r="T299" s="446" t="e">
        <f>IF(OR($B299="",MIN(T$38,$D$19)&lt;MAX($P$34*($B299+IF($R$17="Distrato",$I$38-1,0)),IF(AND($L$37=0,$P$34=0),"",$L$37-1),IF($R$17="Distrato",$E299,0))),0,YEARFRAC(MAX($P$34*($B299+IF($R$17="Distrato",$I$38-1,0)),IF(AND($L$37=0,$P$34=0),"",$L$37-1),IF($R$17="Distrato",$E299,0)),MIN(T$38,$D$19),$P$20))-SUM($P299:S299)</f>
        <v>#VALUE!</v>
      </c>
      <c r="U299" s="446" t="e">
        <f>IF(OR($B299="",MIN(U$38,$D$19)&lt;MAX($P$34*($B299+IF($R$17="Distrato",$I$38-1,0)),IF(AND($L$37=0,$P$34=0),"",$L$37-1),IF($R$17="Distrato",$E299,0))),0,YEARFRAC(MAX($P$34*($B299+IF($R$17="Distrato",$I$38-1,0)),IF(AND($L$37=0,$P$34=0),"",$L$37-1),IF($R$17="Distrato",$E299,0)),MIN(U$38,$D$19),$P$20))-SUM($P299:T299)</f>
        <v>#VALUE!</v>
      </c>
      <c r="V299" s="446" t="e">
        <f>IF(OR($B299="",MIN(V$38,$D$19)&lt;MAX($P$34*($B299+IF($R$17="Distrato",$I$38-1,0)),IF(AND($L$37=0,$P$34=0),"",$L$37-1),IF($R$17="Distrato",$E299,0))),0,YEARFRAC(MAX($P$34*($B299+IF($R$17="Distrato",$I$38-1,0)),IF(AND($L$37=0,$P$34=0),"",$L$37-1),IF($R$17="Distrato",$E299,0)),MIN(V$38,$D$19),$P$20))-SUM($P299:U299)</f>
        <v>#VALUE!</v>
      </c>
      <c r="W299" s="446" t="e">
        <f>IF(OR($B299="",MIN(W$38,$D$19)&lt;MAX($P$34*($B299+IF($R$17="Distrato",$I$38-1,0)),IF(AND($L$37=0,$P$34=0),"",$L$37-1),IF($R$17="Distrato",$E299,0))),0,YEARFRAC(MAX($P$34*($B299+IF($R$17="Distrato",$I$38-1,0)),IF(AND($L$37=0,$P$34=0),"",$L$37-1),IF($R$17="Distrato",$E299,0)),MIN(W$38,$D$19),$P$20))-SUM($P299:V299)</f>
        <v>#VALUE!</v>
      </c>
      <c r="X299" s="446" t="e">
        <f>IF(OR($B299="",MIN(X$38,$D$19)&lt;MAX($P$34*($B299+IF($R$17="Distrato",$I$38-1,0)),IF(AND($L$37=0,$P$34=0),"",$L$37-1),IF($R$17="Distrato",$E299,0))),0,YEARFRAC(MAX($P$34*($B299+IF($R$17="Distrato",$I$38-1,0)),IF(AND($L$37=0,$P$34=0),"",$L$37-1),IF($R$17="Distrato",$E299,0)),MIN(X$38,$D$19),$P$20))-SUM($P299:W299)</f>
        <v>#VALUE!</v>
      </c>
      <c r="Y299" s="446" t="e">
        <f>IF(OR($B299="",MIN(Y$38,$D$19)&lt;MAX($P$34*($B299+IF($R$17="Distrato",$I$38-1,0)),IF(AND($L$37=0,$P$34=0),"",$L$37-1),IF($R$17="Distrato",$E299,0))),0,YEARFRAC(MAX($P$34*($B299+IF($R$17="Distrato",$I$38-1,0)),IF(AND($L$37=0,$P$34=0),"",$L$37-1),IF($R$17="Distrato",$E299,0)),MIN(Y$38,$D$19),$P$20))-SUM($P299:X299)</f>
        <v>#VALUE!</v>
      </c>
      <c r="Z299" s="446" t="e">
        <f>IF(OR($B299="",MIN(Z$38,$D$19)&lt;MAX($P$34*($B299+IF($R$17="Distrato",$I$38-1,0)),IF(AND($L$37=0,$P$34=0),"",$L$37-1),IF($R$17="Distrato",$E299,0))),0,YEARFRAC(MAX($P$34*($B299+IF($R$17="Distrato",$I$38-1,0)),IF(AND($L$37=0,$P$34=0),"",$L$37-1),IF($R$17="Distrato",$E299,0)),MIN(Z$38,$D$19),$P$20))-SUM($P299:Y299)</f>
        <v>#VALUE!</v>
      </c>
      <c r="AA299" s="446" t="e">
        <f>IF(OR($B299="",MIN(AA$38,$D$19)&lt;MAX($P$34*($B299+IF($R$17="Distrato",$I$38-1,0)),IF(AND($L$37=0,$P$34=0),"",$L$37-1),IF($R$17="Distrato",$E299,0))),0,YEARFRAC(MAX($P$34*($B299+IF($R$17="Distrato",$I$38-1,0)),IF(AND($L$37=0,$P$34=0),"",$L$37-1),IF($R$17="Distrato",$E299,0)),MIN(AA$38,$D$19),$P$20))-SUM($P299:Z299)</f>
        <v>#VALUE!</v>
      </c>
      <c r="AB299" s="446" t="e">
        <f>IF(OR($B299="",MIN(AB$38,$D$19)&lt;MAX($P$34*($B299+IF($R$17="Distrato",$I$38-1,0)),IF(AND($L$37=0,$P$34=0),"",$L$37-1),IF($R$17="Distrato",$E299,0))),0,YEARFRAC(MAX($P$34*($B299+IF($R$17="Distrato",$I$38-1,0)),IF(AND($L$37=0,$P$34=0),"",$L$37-1),IF($R$17="Distrato",$E299,0)),MIN(AB$38,$D$19),$P$20))-SUM($P299:AA299)</f>
        <v>#VALUE!</v>
      </c>
      <c r="AC299" s="446" t="e">
        <f>IF(OR($B299="",MIN(AC$38,$D$19)&lt;MAX($P$34*($B299+IF($R$17="Distrato",$I$38-1,0)),IF(AND($L$37=0,$P$34=0),"",$L$37-1),IF($R$17="Distrato",$E299,0))),0,YEARFRAC(MAX($P$34*($B299+IF($R$17="Distrato",$I$38-1,0)),IF(AND($L$37=0,$P$34=0),"",$L$37-1),IF($R$17="Distrato",$E299,0)),MIN(AC$38,$D$19),$P$20))-SUM($P299:AB299)</f>
        <v>#VALUE!</v>
      </c>
      <c r="AD299" s="446" t="e">
        <f>IF(OR($B299="",MIN(AD$38,$D$19)&lt;MAX($P$34*($B299+IF($R$17="Distrato",$I$38-1,0)),IF(AND($L$37=0,$P$34=0),"",$L$37-1),IF($R$17="Distrato",$E299,0))),0,YEARFRAC(MAX($P$34*($B299+IF($R$17="Distrato",$I$38-1,0)),IF(AND($L$37=0,$P$34=0),"",$L$37-1),IF($R$17="Distrato",$E299,0)),MIN(AD$38,$D$19),$P$20))-SUM($P299:AC299)</f>
        <v>#VALUE!</v>
      </c>
      <c r="AE299" s="446" t="e">
        <f>IF(OR($B299="",MIN(AE$38,$D$19)&lt;MAX($P$34*($B299+IF($R$17="Distrato",$I$38-1,0)),IF(AND($L$37=0,$P$34=0),"",$L$37-1),IF($R$17="Distrato",$E299,0))),0,YEARFRAC(MAX($P$34*($B299+IF($R$17="Distrato",$I$38-1,0)),IF(AND($L$37=0,$P$34=0),"",$L$37-1),IF($R$17="Distrato",$E299,0)),MIN(AE$38,$D$19),$P$20))-SUM($P299:AD299)</f>
        <v>#VALUE!</v>
      </c>
      <c r="AF299" s="446" t="e">
        <f>IF(OR($B299="",MIN(AF$38,$D$19)&lt;MAX($P$34*($B299+IF($R$17="Distrato",$I$38-1,0)),IF(AND($L$37=0,$P$34=0),"",$L$37-1),IF($R$17="Distrato",$E299,0))),0,YEARFRAC(MAX($P$34*($B299+IF($R$17="Distrato",$I$38-1,0)),IF(AND($L$37=0,$P$34=0),"",$L$37-1),IF($R$17="Distrato",$E299,0)),MIN(AF$38,$D$19),$P$20))-SUM($P299:AE299)</f>
        <v>#VALUE!</v>
      </c>
      <c r="AG299" s="446" t="e">
        <f>IF(OR($B299="",MIN(AG$38,$D$19)&lt;MAX($P$34*($B299+IF($R$17="Distrato",$I$38-1,0)),IF(AND($L$37=0,$P$34=0),"",$L$37-1),IF($R$17="Distrato",$E299,0))),0,YEARFRAC(MAX($P$34*($B299+IF($R$17="Distrato",$I$38-1,0)),IF(AND($L$37=0,$P$34=0),"",$L$37-1),IF($R$17="Distrato",$E299,0)),MIN(AG$38,$D$19),$P$20))-SUM($P299:AF299)</f>
        <v>#VALUE!</v>
      </c>
      <c r="AH299" s="446" t="e">
        <f>IF(OR($B299="",MIN(AH$38,$D$19)&lt;MAX($P$34*($B299+IF($R$17="Distrato",$I$38-1,0)),IF(AND($L$37=0,$P$34=0),"",$L$37-1),IF($R$17="Distrato",$E299,0))),0,YEARFRAC(MAX($P$34*($B299+IF($R$17="Distrato",$I$38-1,0)),IF(AND($L$37=0,$P$34=0),"",$L$37-1),IF($R$17="Distrato",$E299,0)),MIN(AH$38,$D$19),$P$20))-SUM($P299:AG299)</f>
        <v>#VALUE!</v>
      </c>
      <c r="AI299" s="446" t="e">
        <f>IF(OR($B299="",MIN(AI$38,$D$19)&lt;MAX($P$34*($B299+IF($R$17="Distrato",$I$38-1,0)),IF(AND($L$37=0,$P$34=0),"",$L$37-1),IF($R$17="Distrato",$E299,0))),0,YEARFRAC(MAX($P$34*($B299+IF($R$17="Distrato",$I$38-1,0)),IF(AND($L$37=0,$P$34=0),"",$L$37-1),IF($R$17="Distrato",$E299,0)),MIN(AI$38,$D$19),$P$20))-SUM($P299:AH299)</f>
        <v>#VALUE!</v>
      </c>
      <c r="AJ299" s="446" t="e">
        <f>IF(OR($B299="",MIN(AJ$38,$D$19)&lt;MAX($P$34*($B299+IF($R$17="Distrato",$I$38-1,0)),IF(AND($L$37=0,$P$34=0),"",$L$37-1),IF($R$17="Distrato",$E299,0))),0,YEARFRAC(MAX($P$34*($B299+IF($R$17="Distrato",$I$38-1,0)),IF(AND($L$37=0,$P$34=0),"",$L$37-1),IF($R$17="Distrato",$E299,0)),MIN(AJ$38,$D$19),$P$20))-SUM($P299:AI299)</f>
        <v>#VALUE!</v>
      </c>
      <c r="AK299" s="446" t="e">
        <f>IF(OR($B299="",MIN(AK$38,$D$19)&lt;MAX($P$34*($B299+IF($R$17="Distrato",$I$38-1,0)),IF(AND($L$37=0,$P$34=0),"",$L$37-1),IF($R$17="Distrato",$E299,0))),0,YEARFRAC(MAX($P$34*($B299+IF($R$17="Distrato",$I$38-1,0)),IF(AND($L$37=0,$P$34=0),"",$L$37-1),IF($R$17="Distrato",$E299,0)),MIN(AK$38,$D$19),$P$20))-SUM($P299:AJ299)</f>
        <v>#VALUE!</v>
      </c>
      <c r="AL299" s="446" t="e">
        <f>IF(OR($B299="",MIN(AL$38,$D$19)&lt;MAX($P$34*($B299+IF($R$17="Distrato",$I$38-1,0)),IF(AND($L$37=0,$P$34=0),"",$L$37-1),IF($R$17="Distrato",$E299,0))),0,YEARFRAC(MAX($P$34*($B299+IF($R$17="Distrato",$I$38-1,0)),IF(AND($L$37=0,$P$34=0),"",$L$37-1),IF($R$17="Distrato",$E299,0)),MIN(AL$38,$D$19),$P$20))-SUM($P299:AK299)</f>
        <v>#VALUE!</v>
      </c>
      <c r="AM299" s="446" t="e">
        <f>IF(OR($B299="",MIN(AM$38,$D$19)&lt;MAX($P$34*($B299+IF($R$17="Distrato",$I$38-1,0)),IF(AND($L$37=0,$P$34=0),"",$L$37-1),IF($R$17="Distrato",$E299,0))),0,YEARFRAC(MAX($P$34*($B299+IF($R$17="Distrato",$I$38-1,0)),IF(AND($L$37=0,$P$34=0),"",$L$37-1),IF($R$17="Distrato",$E299,0)),MIN(AM$38,$D$19),$P$20))-SUM($P299:AL299)</f>
        <v>#VALUE!</v>
      </c>
      <c r="AN299" s="446" t="e">
        <f>IF(OR($B299="",MIN(AN$38,$D$19)&lt;MAX($P$34*($B299+IF($R$17="Distrato",$I$38-1,0)),IF(AND($L$37=0,$P$34=0),"",$L$37-1),IF($R$17="Distrato",$E299,0))),0,YEARFRAC(MAX($P$34*($B299+IF($R$17="Distrato",$I$38-1,0)),IF(AND($L$37=0,$P$34=0),"",$L$37-1),IF($R$17="Distrato",$E299,0)),MIN(AN$38,$D$19),$P$20))-SUM($P299:AM299)</f>
        <v>#VALUE!</v>
      </c>
      <c r="AO299" s="446" t="e">
        <f>IF(OR($B299="",MIN(AO$38,$D$19)&lt;MAX($P$34*($B299+IF($R$17="Distrato",$I$38-1,0)),IF(AND($L$37=0,$P$34=0),"",$L$37-1),IF($R$17="Distrato",$E299,0))),0,YEARFRAC(MAX($P$34*($B299+IF($R$17="Distrato",$I$38-1,0)),IF(AND($L$37=0,$P$34=0),"",$L$37-1),IF($R$17="Distrato",$E299,0)),MIN(AO$38,$D$19),$P$20))-SUM($P299:AN299)</f>
        <v>#VALUE!</v>
      </c>
      <c r="AP299" s="446" t="e">
        <f>IF(OR($B299="",MIN(AP$38,$D$19)&lt;MAX($P$34*($B299+IF($R$17="Distrato",$I$38-1,0)),IF(AND($L$37=0,$P$34=0),"",$L$37-1),IF($R$17="Distrato",$E299,0))),0,YEARFRAC(MAX($P$34*($B299+IF($R$17="Distrato",$I$38-1,0)),IF(AND($L$37=0,$P$34=0),"",$L$37-1),IF($R$17="Distrato",$E299,0)),MIN(AP$38,$D$19),$P$20))-SUM($P299:AO299)</f>
        <v>#VALUE!</v>
      </c>
      <c r="AQ299" s="446" t="e">
        <f>IF(OR($B299="",MIN(AQ$38,$D$19)&lt;MAX($P$34*($B299+IF($R$17="Distrato",$I$38-1,0)),IF(AND($L$37=0,$P$34=0),"",$L$37-1),IF($R$17="Distrato",$E299,0))),0,YEARFRAC(MAX($P$34*($B299+IF($R$17="Distrato",$I$38-1,0)),IF(AND($L$37=0,$P$34=0),"",$L$37-1),IF($R$17="Distrato",$E299,0)),MIN(AQ$38,$D$19),$P$20))-SUM($P299:AP299)</f>
        <v>#VALUE!</v>
      </c>
      <c r="AR299" s="446" t="e">
        <f>IF(OR($B299="",MIN(AR$38,$D$19)&lt;MAX($P$34*($B299+IF($R$17="Distrato",$I$38-1,0)),IF(AND($L$37=0,$P$34=0),"",$L$37-1),IF($R$17="Distrato",$E299,0))),0,YEARFRAC(MAX($P$34*($B299+IF($R$17="Distrato",$I$38-1,0)),IF(AND($L$37=0,$P$34=0),"",$L$37-1),IF($R$17="Distrato",$E299,0)),MIN(AR$38,$D$19),$P$20))-SUM($P299:AQ299)</f>
        <v>#VALUE!</v>
      </c>
      <c r="AS299" s="446" t="e">
        <f>IF(OR($B299="",MIN(AS$38,$D$19)&lt;MAX($P$34*($B299+IF($R$17="Distrato",$I$38-1,0)),IF(AND($L$37=0,$P$34=0),"",$L$37-1),IF($R$17="Distrato",$E299,0))),0,YEARFRAC(MAX($P$34*($B299+IF($R$17="Distrato",$I$38-1,0)),IF(AND($L$37=0,$P$34=0),"",$L$37-1),IF($R$17="Distrato",$E299,0)),MIN(AS$38,$D$19),$P$20))-SUM($P299:AR299)</f>
        <v>#VALUE!</v>
      </c>
      <c r="AT299" s="446" t="e">
        <f>IF(OR($B299="",MIN(AT$38,$D$19)&lt;MAX($P$34*($B299+IF($R$17="Distrato",$I$38-1,0)),IF(AND($L$37=0,$P$34=0),"",$L$37-1),IF($R$17="Distrato",$E299,0))),0,YEARFRAC(MAX($P$34*($B299+IF($R$17="Distrato",$I$38-1,0)),IF(AND($L$37=0,$P$34=0),"",$L$37-1),IF($R$17="Distrato",$E299,0)),MIN(AT$38,$D$19),$P$20))-SUM($P299:AS299)</f>
        <v>#VALUE!</v>
      </c>
      <c r="AU299" s="446" t="e">
        <f>IF(OR($B299="",MIN(AU$38,$D$19)&lt;MAX($P$34*($B299+IF($R$17="Distrato",$I$38-1,0)),IF(AND($L$37=0,$P$34=0),"",$L$37-1),IF($R$17="Distrato",$E299,0))),0,YEARFRAC(MAX($P$34*($B299+IF($R$17="Distrato",$I$38-1,0)),IF(AND($L$37=0,$P$34=0),"",$L$37-1),IF($R$17="Distrato",$E299,0)),MIN(AU$38,$D$19),$P$20))-SUM($P299:AT299)</f>
        <v>#VALUE!</v>
      </c>
      <c r="AV299" s="446" t="e">
        <f>IF(OR($B299="",MIN(AV$38,$D$19)&lt;MAX($P$34*($B299+IF($R$17="Distrato",$I$38-1,0)),IF(AND($L$37=0,$P$34=0),"",$L$37-1),IF($R$17="Distrato",$E299,0))),0,YEARFRAC(MAX($P$34*($B299+IF($R$17="Distrato",$I$38-1,0)),IF(AND($L$37=0,$P$34=0),"",$L$37-1),IF($R$17="Distrato",$E299,0)),MIN(AV$38,$D$19),$P$20))-SUM($P299:AU299)</f>
        <v>#VALUE!</v>
      </c>
      <c r="AW299" s="446" t="e">
        <f>IF(OR($B299="",MIN(AW$38,$D$19)&lt;MAX($P$34*($B299+IF($R$17="Distrato",$I$38-1,0)),IF(AND($L$37=0,$P$34=0),"",$L$37-1),IF($R$17="Distrato",$E299,0))),0,YEARFRAC(MAX($P$34*($B299+IF($R$17="Distrato",$I$38-1,0)),IF(AND($L$37=0,$P$34=0),"",$L$37-1),IF($R$17="Distrato",$E299,0)),MIN(AW$38,$D$19),$P$20))-SUM($P299:AV299)</f>
        <v>#VALUE!</v>
      </c>
      <c r="AX299" s="446" t="e">
        <f>IF(OR($B299="",MIN(AX$38,$D$19)&lt;MAX($P$34*($B299+IF($R$17="Distrato",$I$38-1,0)),IF(AND($L$37=0,$P$34=0),"",$L$37-1),IF($R$17="Distrato",$E299,0))),0,YEARFRAC(MAX($P$34*($B299+IF($R$17="Distrato",$I$38-1,0)),IF(AND($L$37=0,$P$34=0),"",$L$37-1),IF($R$17="Distrato",$E299,0)),MIN(AX$38,$D$19),$P$20))-SUM($P299:AW299)</f>
        <v>#VALUE!</v>
      </c>
      <c r="AY299" s="446" t="e">
        <f>IF(OR($B299="",MIN(AY$38,$D$19)&lt;MAX($P$34*($B299+IF($R$17="Distrato",$I$38-1,0)),IF(AND($L$37=0,$P$34=0),"",$L$37-1),IF($R$17="Distrato",$E299,0))),0,YEARFRAC(MAX($P$34*($B299+IF($R$17="Distrato",$I$38-1,0)),IF(AND($L$37=0,$P$34=0),"",$L$37-1),IF($R$17="Distrato",$E299,0)),MIN(AY$38,$D$19),$P$20))-SUM($P299:AX299)</f>
        <v>#VALUE!</v>
      </c>
      <c r="AZ299" s="446" t="e">
        <f>IF(OR($B299="",MIN(AZ$38,$D$19)&lt;MAX($P$34*($B299+IF($R$17="Distrato",$I$38-1,0)),IF(AND($L$37=0,$P$34=0),"",$L$37-1),IF($R$17="Distrato",$E299,0))),0,YEARFRAC(MAX($P$34*($B299+IF($R$17="Distrato",$I$38-1,0)),IF(AND($L$37=0,$P$34=0),"",$L$37-1),IF($R$17="Distrato",$E299,0)),MIN(AZ$38,$D$19),$P$20))-SUM($P299:AY299)</f>
        <v>#VALUE!</v>
      </c>
      <c r="BA299" s="446" t="e">
        <f>IF(OR($B299="",MIN(BA$38,$D$19)&lt;MAX($P$34*($B299+IF($R$17="Distrato",$I$38-1,0)),IF(AND($L$37=0,$P$34=0),"",$L$37-1),IF($R$17="Distrato",$E299,0))),0,YEARFRAC(MAX($P$34*($B299+IF($R$17="Distrato",$I$38-1,0)),IF(AND($L$37=0,$P$34=0),"",$L$37-1),IF($R$17="Distrato",$E299,0)),MIN(BA$38,$D$19),$P$20))-SUM($P299:AZ299)</f>
        <v>#VALUE!</v>
      </c>
      <c r="BB299" s="447"/>
      <c r="BF299" s="446">
        <f t="shared" si="54"/>
        <v>0</v>
      </c>
      <c r="BG299" s="446">
        <f>IF($E299=0,0,IF(MIN(BG$38,$E299)&lt;MAX($P$34*($B299+$I$38-1),IF(AND($L$37=0,$P$34=0),"",$L$37-1)),0,YEARFRAC(MAX($P$34*($B299+$I$38-1),IF(AND($L$37=0,$P$34=0),"",$L$37-1)),MIN(BG$38,$E299),$P$20))-SUM($BF299:BF299))</f>
        <v>0</v>
      </c>
      <c r="BH299" s="446">
        <f>IF($E299=0,0,IF(MIN(BH$38,$E299)&lt;MAX($P$34*($B299+$I$38-1),IF(AND($L$37=0,$P$34=0),"",$L$37-1)),0,YEARFRAC(MAX($P$34*($B299+$I$38-1),IF(AND($L$37=0,$P$34=0),"",$L$37-1)),MIN(BH$38,$E299),$P$20))-SUM($BF299:BG299))</f>
        <v>0</v>
      </c>
      <c r="BI299" s="446">
        <f>IF($E299=0,0,IF(MIN(BI$38,$E299)&lt;MAX($P$34*($B299+$I$38-1),IF(AND($L$37=0,$P$34=0),"",$L$37-1)),0,YEARFRAC(MAX($P$34*($B299+$I$38-1),IF(AND($L$37=0,$P$34=0),"",$L$37-1)),MIN(BI$38,$E299),$P$20))-SUM($BF299:BH299))</f>
        <v>0</v>
      </c>
      <c r="BJ299" s="446">
        <f>IF($E299=0,0,IF(MIN(BJ$38,$E299)&lt;MAX($P$34*($B299+$I$38-1),IF(AND($L$37=0,$P$34=0),"",$L$37-1)),0,YEARFRAC(MAX($P$34*($B299+$I$38-1),IF(AND($L$37=0,$P$34=0),"",$L$37-1)),MIN(BJ$38,$E299),$P$20))-SUM($BF299:BI299))</f>
        <v>0</v>
      </c>
      <c r="BK299" s="446">
        <f>IF($E299=0,0,IF(MIN(BK$38,$E299)&lt;MAX($P$34*($B299+$I$38-1),IF(AND($L$37=0,$P$34=0),"",$L$37-1)),0,YEARFRAC(MAX($P$34*($B299+$I$38-1),IF(AND($L$37=0,$P$34=0),"",$L$37-1)),MIN(BK$38,$E299),$P$20))-SUM($BF299:BJ299))</f>
        <v>0</v>
      </c>
      <c r="BL299" s="446">
        <f>IF($E299=0,0,IF(MIN(BL$38,$E299)&lt;MAX($P$34*($B299+$I$38-1),IF(AND($L$37=0,$P$34=0),"",$L$37-1)),0,YEARFRAC(MAX($P$34*($B299+$I$38-1),IF(AND($L$37=0,$P$34=0),"",$L$37-1)),MIN(BL$38,$E299),$P$20))-SUM($BF299:BK299))</f>
        <v>0</v>
      </c>
      <c r="BM299" s="446">
        <f>IF($E299=0,0,IF(MIN(BM$38,$E299)&lt;MAX($P$34*($B299+$I$38-1),IF(AND($L$37=0,$P$34=0),"",$L$37-1)),0,YEARFRAC(MAX($P$34*($B299+$I$38-1),IF(AND($L$37=0,$P$34=0),"",$L$37-1)),MIN(BM$38,$E299),$P$20))-SUM($BF299:BL299))</f>
        <v>0</v>
      </c>
      <c r="BN299" s="446">
        <f>IF($E299=0,0,IF(MIN(BN$38,$E299)&lt;MAX($P$34*($B299+$I$38-1),IF(AND($L$37=0,$P$34=0),"",$L$37-1)),0,YEARFRAC(MAX($P$34*($B299+$I$38-1),IF(AND($L$37=0,$P$34=0),"",$L$37-1)),MIN(BN$38,$E299),$P$20))-SUM($BF299:BM299))</f>
        <v>0</v>
      </c>
      <c r="BO299" s="446">
        <f>IF($E299=0,0,IF(MIN(BO$38,$E299)&lt;MAX($P$34*($B299+$I$38-1),IF(AND($L$37=0,$P$34=0),"",$L$37-1)),0,YEARFRAC(MAX($P$34*($B299+$I$38-1),IF(AND($L$37=0,$P$34=0),"",$L$37-1)),MIN(BO$38,$E299),$P$20))-SUM($BF299:BN299))</f>
        <v>0</v>
      </c>
      <c r="BP299" s="446">
        <f>IF($E299=0,0,IF(MIN(BP$38,$E299)&lt;MAX($P$34*($B299+$I$38-1),IF(AND($L$37=0,$P$34=0),"",$L$37-1)),0,YEARFRAC(MAX($P$34*($B299+$I$38-1),IF(AND($L$37=0,$P$34=0),"",$L$37-1)),MIN(BP$38,$E299),$P$20))-SUM($BF299:BO299))</f>
        <v>0</v>
      </c>
      <c r="BQ299" s="446">
        <f>IF($E299=0,0,IF(MIN(BQ$38,$E299)&lt;MAX($P$34*($B299+$I$38-1),IF(AND($L$37=0,$P$34=0),"",$L$37-1)),0,YEARFRAC(MAX($P$34*($B299+$I$38-1),IF(AND($L$37=0,$P$34=0),"",$L$37-1)),MIN(BQ$38,$E299),$P$20))-SUM($BF299:BP299))</f>
        <v>0</v>
      </c>
      <c r="BR299" s="446">
        <f>IF($E299=0,0,IF(MIN(BR$38,$E299)&lt;MAX($P$34*($B299+$I$38-1),IF(AND($L$37=0,$P$34=0),"",$L$37-1)),0,YEARFRAC(MAX($P$34*($B299+$I$38-1),IF(AND($L$37=0,$P$34=0),"",$L$37-1)),MIN(BR$38,$E299),$P$20))-SUM($BF299:BQ299))</f>
        <v>0</v>
      </c>
      <c r="BS299" s="446">
        <f>IF($E299=0,0,IF(MIN(BS$38,$E299)&lt;MAX($P$34*($B299+$I$38-1),IF(AND($L$37=0,$P$34=0),"",$L$37-1)),0,YEARFRAC(MAX($P$34*($B299+$I$38-1),IF(AND($L$37=0,$P$34=0),"",$L$37-1)),MIN(BS$38,$E299),$P$20))-SUM($BF299:BR299))</f>
        <v>0</v>
      </c>
      <c r="BT299" s="446">
        <f>IF($E299=0,0,IF(MIN(BT$38,$E299)&lt;MAX($P$34*($B299+$I$38-1),IF(AND($L$37=0,$P$34=0),"",$L$37-1)),0,YEARFRAC(MAX($P$34*($B299+$I$38-1),IF(AND($L$37=0,$P$34=0),"",$L$37-1)),MIN(BT$38,$E299),$P$20))-SUM($BF299:BS299))</f>
        <v>0</v>
      </c>
      <c r="BU299" s="446">
        <f>IF($E299=0,0,IF(MIN(BU$38,$E299)&lt;MAX($P$34*($B299+$I$38-1),IF(AND($L$37=0,$P$34=0),"",$L$37-1)),0,YEARFRAC(MAX($P$34*($B299+$I$38-1),IF(AND($L$37=0,$P$34=0),"",$L$37-1)),MIN(BU$38,$E299),$P$20))-SUM($BF299:BT299))</f>
        <v>0</v>
      </c>
      <c r="BV299" s="446">
        <f>IF($E299=0,0,IF(MIN(BV$38,$E299)&lt;MAX($P$34*($B299+$I$38-1),IF(AND($L$37=0,$P$34=0),"",$L$37-1)),0,YEARFRAC(MAX($P$34*($B299+$I$38-1),IF(AND($L$37=0,$P$34=0),"",$L$37-1)),MIN(BV$38,$E299),$P$20))-SUM($BF299:BU299))</f>
        <v>0</v>
      </c>
      <c r="BW299" s="446">
        <f>IF($E299=0,0,IF(MIN(BW$38,$E299)&lt;MAX($P$34*($B299+$I$38-1),IF(AND($L$37=0,$P$34=0),"",$L$37-1)),0,YEARFRAC(MAX($P$34*($B299+$I$38-1),IF(AND($L$37=0,$P$34=0),"",$L$37-1)),MIN(BW$38,$E299),$P$20))-SUM($BF299:BV299))</f>
        <v>0</v>
      </c>
      <c r="BX299" s="446">
        <f>IF($E299=0,0,IF(MIN(BX$38,$E299)&lt;MAX($P$34*($B299+$I$38-1),IF(AND($L$37=0,$P$34=0),"",$L$37-1)),0,YEARFRAC(MAX($P$34*($B299+$I$38-1),IF(AND($L$37=0,$P$34=0),"",$L$37-1)),MIN(BX$38,$E299),$P$20))-SUM($BF299:BW299))</f>
        <v>0</v>
      </c>
      <c r="BY299" s="446">
        <f>IF($E299=0,0,IF(MIN(BY$38,$E299)&lt;MAX($P$34*($B299+$I$38-1),IF(AND($L$37=0,$P$34=0),"",$L$37-1)),0,YEARFRAC(MAX($P$34*($B299+$I$38-1),IF(AND($L$37=0,$P$34=0),"",$L$37-1)),MIN(BY$38,$E299),$P$20))-SUM($BF299:BX299))</f>
        <v>0</v>
      </c>
      <c r="BZ299" s="446">
        <f>IF($E299=0,0,IF(MIN(BZ$38,$E299)&lt;MAX($P$34*($B299+$I$38-1),IF(AND($L$37=0,$P$34=0),"",$L$37-1)),0,YEARFRAC(MAX($P$34*($B299+$I$38-1),IF(AND($L$37=0,$P$34=0),"",$L$37-1)),MIN(BZ$38,$E299),$P$20))-SUM($BF299:BY299))</f>
        <v>0</v>
      </c>
      <c r="CA299" s="446">
        <f>IF($E299=0,0,IF(MIN(CA$38,$E299)&lt;MAX($P$34*($B299+$I$38-1),IF(AND($L$37=0,$P$34=0),"",$L$37-1)),0,YEARFRAC(MAX($P$34*($B299+$I$38-1),IF(AND($L$37=0,$P$34=0),"",$L$37-1)),MIN(CA$38,$E299),$P$20))-SUM($BF299:BZ299))</f>
        <v>0</v>
      </c>
      <c r="CB299" s="446">
        <f>IF($E299=0,0,IF(MIN(CB$38,$E299)&lt;MAX($P$34*($B299+$I$38-1),IF(AND($L$37=0,$P$34=0),"",$L$37-1)),0,YEARFRAC(MAX($P$34*($B299+$I$38-1),IF(AND($L$37=0,$P$34=0),"",$L$37-1)),MIN(CB$38,$E299),$P$20))-SUM($BF299:CA299))</f>
        <v>0</v>
      </c>
      <c r="CC299" s="446">
        <f>IF($E299=0,0,IF(MIN(CC$38,$E299)&lt;MAX($P$34*($B299+$I$38-1),IF(AND($L$37=0,$P$34=0),"",$L$37-1)),0,YEARFRAC(MAX($P$34*($B299+$I$38-1),IF(AND($L$37=0,$P$34=0),"",$L$37-1)),MIN(CC$38,$E299),$P$20))-SUM($BF299:CB299))</f>
        <v>0</v>
      </c>
      <c r="CD299" s="446">
        <f>IF($E299=0,0,IF(MIN(CD$38,$E299)&lt;MAX($P$34*($B299+$I$38-1),IF(AND($L$37=0,$P$34=0),"",$L$37-1)),0,YEARFRAC(MAX($P$34*($B299+$I$38-1),IF(AND($L$37=0,$P$34=0),"",$L$37-1)),MIN(CD$38,$E299),$P$20))-SUM($BF299:CC299))</f>
        <v>0</v>
      </c>
      <c r="CE299" s="446">
        <f>IF($E299=0,0,IF(MIN(CE$38,$E299)&lt;MAX($P$34*($B299+$I$38-1),IF(AND($L$37=0,$P$34=0),"",$L$37-1)),0,YEARFRAC(MAX($P$34*($B299+$I$38-1),IF(AND($L$37=0,$P$34=0),"",$L$37-1)),MIN(CE$38,$E299),$P$20))-SUM($BF299:CD299))</f>
        <v>0</v>
      </c>
      <c r="CF299" s="446">
        <f>IF($E299=0,0,IF(MIN(CF$38,$E299)&lt;MAX($P$34*($B299+$I$38-1),IF(AND($L$37=0,$P$34=0),"",$L$37-1)),0,YEARFRAC(MAX($P$34*($B299+$I$38-1),IF(AND($L$37=0,$P$34=0),"",$L$37-1)),MIN(CF$38,$E299),$P$20))-SUM($BF299:CE299))</f>
        <v>0</v>
      </c>
      <c r="CG299" s="446">
        <f>IF($E299=0,0,IF(MIN(CG$38,$E299)&lt;MAX($P$34*($B299+$I$38-1),IF(AND($L$37=0,$P$34=0),"",$L$37-1)),0,YEARFRAC(MAX($P$34*($B299+$I$38-1),IF(AND($L$37=0,$P$34=0),"",$L$37-1)),MIN(CG$38,$E299),$P$20))-SUM($BF299:CF299))</f>
        <v>0</v>
      </c>
      <c r="CH299" s="446">
        <f>IF($E299=0,0,IF(MIN(CH$38,$E299)&lt;MAX($P$34*($B299+$I$38-1),IF(AND($L$37=0,$P$34=0),"",$L$37-1)),0,YEARFRAC(MAX($P$34*($B299+$I$38-1),IF(AND($L$37=0,$P$34=0),"",$L$37-1)),MIN(CH$38,$E299),$P$20))-SUM($BF299:CG299))</f>
        <v>0</v>
      </c>
      <c r="CI299" s="446">
        <f>IF($E299=0,0,IF(MIN(CI$38,$E299)&lt;MAX($P$34*($B299+$I$38-1),IF(AND($L$37=0,$P$34=0),"",$L$37-1)),0,YEARFRAC(MAX($P$34*($B299+$I$38-1),IF(AND($L$37=0,$P$34=0),"",$L$37-1)),MIN(CI$38,$E299),$P$20))-SUM($BF299:CH299))</f>
        <v>0</v>
      </c>
      <c r="CJ299" s="446">
        <f>IF($E299=0,0,IF(MIN(CJ$38,$E299)&lt;MAX($P$34*($B299+$I$38-1),IF(AND($L$37=0,$P$34=0),"",$L$37-1)),0,YEARFRAC(MAX($P$34*($B299+$I$38-1),IF(AND($L$37=0,$P$34=0),"",$L$37-1)),MIN(CJ$38,$E299),$P$20))-SUM($BF299:CI299))</f>
        <v>0</v>
      </c>
      <c r="CK299" s="446">
        <f>IF($E299=0,0,IF(MIN(CK$38,$E299)&lt;MAX($P$34*($B299+$I$38-1),IF(AND($L$37=0,$P$34=0),"",$L$37-1)),0,YEARFRAC(MAX($P$34*($B299+$I$38-1),IF(AND($L$37=0,$P$34=0),"",$L$37-1)),MIN(CK$38,$E299),$P$20))-SUM($BF299:CJ299))</f>
        <v>0</v>
      </c>
      <c r="CL299" s="446">
        <f>IF($E299=0,0,IF(MIN(CL$38,$E299)&lt;MAX($P$34*($B299+$I$38-1),IF(AND($L$37=0,$P$34=0),"",$L$37-1)),0,YEARFRAC(MAX($P$34*($B299+$I$38-1),IF(AND($L$37=0,$P$34=0),"",$L$37-1)),MIN(CL$38,$E299),$P$20))-SUM($BF299:CK299))</f>
        <v>0</v>
      </c>
      <c r="CM299" s="446">
        <f>IF($E299=0,0,IF(MIN(CM$38,$E299)&lt;MAX($P$34*($B299+$I$38-1),IF(AND($L$37=0,$P$34=0),"",$L$37-1)),0,YEARFRAC(MAX($P$34*($B299+$I$38-1),IF(AND($L$37=0,$P$34=0),"",$L$37-1)),MIN(CM$38,$E299),$P$20))-SUM($BF299:CL299))</f>
        <v>0</v>
      </c>
      <c r="CN299" s="446">
        <f>IF($E299=0,0,IF(MIN(CN$38,$E299)&lt;MAX($P$34*($B299+$I$38-1),IF(AND($L$37=0,$P$34=0),"",$L$37-1)),0,YEARFRAC(MAX($P$34*($B299+$I$38-1),IF(AND($L$37=0,$P$34=0),"",$L$37-1)),MIN(CN$38,$E299),$P$20))-SUM($BF299:CM299))</f>
        <v>0</v>
      </c>
      <c r="CO299" s="446">
        <f>IF($E299=0,0,IF(MIN(CO$38,$E299)&lt;MAX($P$34*($B299+$I$38-1),IF(AND($L$37=0,$P$34=0),"",$L$37-1)),0,YEARFRAC(MAX($P$34*($B299+$I$38-1),IF(AND($L$37=0,$P$34=0),"",$L$37-1)),MIN(CO$38,$E299),$P$20))-SUM($BF299:CN299))</f>
        <v>0</v>
      </c>
      <c r="CP299" s="446">
        <f>IF($E299=0,0,IF(MIN(CP$38,$E299)&lt;MAX($P$34*($B299+$I$38-1),IF(AND($L$37=0,$P$34=0),"",$L$37-1)),0,YEARFRAC(MAX($P$34*($B299+$I$38-1),IF(AND($L$37=0,$P$34=0),"",$L$37-1)),MIN(CP$38,$E299),$P$20))-SUM($BF299:CO299))</f>
        <v>0</v>
      </c>
      <c r="CQ299" s="446">
        <f>IF($E299=0,0,IF(MIN(CQ$38,$E299)&lt;MAX($P$34*($B299+$I$38-1),IF(AND($L$37=0,$P$34=0),"",$L$37-1)),0,YEARFRAC(MAX($P$34*($B299+$I$38-1),IF(AND($L$37=0,$P$34=0),"",$L$37-1)),MIN(CQ$38,$E299),$P$20))-SUM($BF299:CP299))</f>
        <v>0</v>
      </c>
    </row>
    <row r="300" spans="1:95" s="446" customFormat="1" ht="11.25" hidden="1" customHeight="1" x14ac:dyDescent="0.2">
      <c r="A300" s="152"/>
      <c r="B300" s="153" t="str">
        <f t="shared" si="59"/>
        <v/>
      </c>
      <c r="C300" s="29" t="str">
        <f>IF(B300="","",IF($L$35="SELIC - TRIBUTOS",VLOOKUP(DATE(YEAR($D$19),MONTH($D$19)-1,1),ÍNDICES!$A:$DE,HLOOKUP($BL$25,ÍNDICES!$B$3:$T$4,2)+11)-VLOOKUP(B300,ÍNDICES!$A:$DE,HLOOKUP($BL$25,ÍNDICES!$B$3:$T$4,2)+11)+1%,IF(C$38=$W$26,$J$35,IF(ISERROR(IF(B300&gt;$D$19,1,VLOOKUP(DATE(YEAR(B300),MONTH(B300)+IF($C$35=$S$23,1,0),1),ÍNDICES!$A:$DE,$Z$35+1))),"",IF(B300&gt;$D$19,1,VLOOKUP(DATE(YEAR(B300),MONTH(B300)+IF($C$35=$S$23,1,0),1),ÍNDICES!$A:$DE,$Z$35+1))))))</f>
        <v/>
      </c>
      <c r="D300" s="154" t="str">
        <f>IF(ISERROR(IF(OR($D$38=$Y$27,$B300=""),"",VLOOKUP(B300,ÍNDICES!A:DE,AF$35+1))),"",IF(OR($D$38=$Y$27,$B300=""),"",VLOOKUP(B300,ÍNDICES!A:DE,AF$35+1)))</f>
        <v/>
      </c>
      <c r="E300" s="153"/>
      <c r="F300" s="29" t="str">
        <f>IF(E300="","",IF($L$35="SELIC - TRIBUTOS",VLOOKUP(DATE(YEAR($D$19),MONTH($D$19)-1,1),ÍNDICES!$A:$DE,HLOOKUP($BL$25,ÍNDICES!$B$3:$T$4,2)+11)-VLOOKUP(E300,ÍNDICES!$A:$DE,HLOOKUP($BL$25,ÍNDICES!$B$3:$T$4,2)+11)+1%,IF(F$38=$W$26,$J$35,IF(ISERROR(IF(E300&gt;$D$19,1,VLOOKUP(DATE(YEAR(E300),MONTH(E300)+IF($C$35=$S$23,1,0),1),ÍNDICES!$A:$DE,$Z$35+1))),"",IF(E300&gt;$D$19,1,VLOOKUP(DATE(YEAR(E300),MONTH(E300)+IF($C$35=$S$23,1,0),1),ÍNDICES!$A:$DE,$Z$35+1))))))</f>
        <v/>
      </c>
      <c r="G300" s="155"/>
      <c r="H300" s="156" t="str">
        <f t="shared" si="55"/>
        <v/>
      </c>
      <c r="I300" s="29" t="str">
        <f t="shared" si="49"/>
        <v/>
      </c>
      <c r="J300" s="5">
        <f t="shared" si="50"/>
        <v>0</v>
      </c>
      <c r="K300" s="20">
        <f t="shared" ca="1" si="51"/>
        <v>0</v>
      </c>
      <c r="L300" s="5">
        <f t="shared" ca="1" si="52"/>
        <v>0</v>
      </c>
      <c r="M300" s="64">
        <f t="shared" si="56"/>
        <v>0</v>
      </c>
      <c r="N300" s="61">
        <f t="shared" ca="1" si="57"/>
        <v>0</v>
      </c>
      <c r="O300" s="5">
        <f t="shared" ca="1" si="58"/>
        <v>0</v>
      </c>
      <c r="P300" s="446" t="e">
        <f t="shared" si="53"/>
        <v>#VALUE!</v>
      </c>
      <c r="Q300" s="446" t="e">
        <f>IF(OR($B300="",MIN(Q$38,$D$19)&lt;MAX($P$34*($B300+IF($R$17="Distrato",$I$38-1,0)),IF(AND($L$37=0,$P$34=0),"",$L$37-1),IF($R$17="Distrato",$E300,0))),0,YEARFRAC(MAX($P$34*($B300+IF($R$17="Distrato",$I$38-1,0)),IF(AND($L$37=0,$P$34=0),"",$L$37-1),IF($R$17="Distrato",$E300,0)),MIN(Q$38,$D$19),$P$20))-SUM($P300:P300)</f>
        <v>#VALUE!</v>
      </c>
      <c r="R300" s="446" t="e">
        <f>IF(OR($B300="",MIN(R$38,$D$19)&lt;MAX($P$34*($B300+IF($R$17="Distrato",$I$38-1,0)),IF(AND($L$37=0,$P$34=0),"",$L$37-1),IF($R$17="Distrato",$E300,0))),0,YEARFRAC(MAX($P$34*($B300+IF($R$17="Distrato",$I$38-1,0)),IF(AND($L$37=0,$P$34=0),"",$L$37-1),IF($R$17="Distrato",$E300,0)),MIN(R$38,$D$19),$P$20))-SUM($P300:Q300)</f>
        <v>#VALUE!</v>
      </c>
      <c r="S300" s="446" t="e">
        <f>IF(OR($B300="",MIN(S$38,$D$19)&lt;MAX($P$34*($B300+IF($R$17="Distrato",$I$38-1,0)),IF(AND($L$37=0,$P$34=0),"",$L$37-1),IF($R$17="Distrato",$E300,0))),0,YEARFRAC(MAX($P$34*($B300+IF($R$17="Distrato",$I$38-1,0)),IF(AND($L$37=0,$P$34=0),"",$L$37-1),IF($R$17="Distrato",$E300,0)),MIN(S$38,$D$19),$P$20))-SUM($P300:R300)</f>
        <v>#VALUE!</v>
      </c>
      <c r="T300" s="446" t="e">
        <f>IF(OR($B300="",MIN(T$38,$D$19)&lt;MAX($P$34*($B300+IF($R$17="Distrato",$I$38-1,0)),IF(AND($L$37=0,$P$34=0),"",$L$37-1),IF($R$17="Distrato",$E300,0))),0,YEARFRAC(MAX($P$34*($B300+IF($R$17="Distrato",$I$38-1,0)),IF(AND($L$37=0,$P$34=0),"",$L$37-1),IF($R$17="Distrato",$E300,0)),MIN(T$38,$D$19),$P$20))-SUM($P300:S300)</f>
        <v>#VALUE!</v>
      </c>
      <c r="U300" s="446" t="e">
        <f>IF(OR($B300="",MIN(U$38,$D$19)&lt;MAX($P$34*($B300+IF($R$17="Distrato",$I$38-1,0)),IF(AND($L$37=0,$P$34=0),"",$L$37-1),IF($R$17="Distrato",$E300,0))),0,YEARFRAC(MAX($P$34*($B300+IF($R$17="Distrato",$I$38-1,0)),IF(AND($L$37=0,$P$34=0),"",$L$37-1),IF($R$17="Distrato",$E300,0)),MIN(U$38,$D$19),$P$20))-SUM($P300:T300)</f>
        <v>#VALUE!</v>
      </c>
      <c r="V300" s="446" t="e">
        <f>IF(OR($B300="",MIN(V$38,$D$19)&lt;MAX($P$34*($B300+IF($R$17="Distrato",$I$38-1,0)),IF(AND($L$37=0,$P$34=0),"",$L$37-1),IF($R$17="Distrato",$E300,0))),0,YEARFRAC(MAX($P$34*($B300+IF($R$17="Distrato",$I$38-1,0)),IF(AND($L$37=0,$P$34=0),"",$L$37-1),IF($R$17="Distrato",$E300,0)),MIN(V$38,$D$19),$P$20))-SUM($P300:U300)</f>
        <v>#VALUE!</v>
      </c>
      <c r="W300" s="446" t="e">
        <f>IF(OR($B300="",MIN(W$38,$D$19)&lt;MAX($P$34*($B300+IF($R$17="Distrato",$I$38-1,0)),IF(AND($L$37=0,$P$34=0),"",$L$37-1),IF($R$17="Distrato",$E300,0))),0,YEARFRAC(MAX($P$34*($B300+IF($R$17="Distrato",$I$38-1,0)),IF(AND($L$37=0,$P$34=0),"",$L$37-1),IF($R$17="Distrato",$E300,0)),MIN(W$38,$D$19),$P$20))-SUM($P300:V300)</f>
        <v>#VALUE!</v>
      </c>
      <c r="X300" s="446" t="e">
        <f>IF(OR($B300="",MIN(X$38,$D$19)&lt;MAX($P$34*($B300+IF($R$17="Distrato",$I$38-1,0)),IF(AND($L$37=0,$P$34=0),"",$L$37-1),IF($R$17="Distrato",$E300,0))),0,YEARFRAC(MAX($P$34*($B300+IF($R$17="Distrato",$I$38-1,0)),IF(AND($L$37=0,$P$34=0),"",$L$37-1),IF($R$17="Distrato",$E300,0)),MIN(X$38,$D$19),$P$20))-SUM($P300:W300)</f>
        <v>#VALUE!</v>
      </c>
      <c r="Y300" s="446" t="e">
        <f>IF(OR($B300="",MIN(Y$38,$D$19)&lt;MAX($P$34*($B300+IF($R$17="Distrato",$I$38-1,0)),IF(AND($L$37=0,$P$34=0),"",$L$37-1),IF($R$17="Distrato",$E300,0))),0,YEARFRAC(MAX($P$34*($B300+IF($R$17="Distrato",$I$38-1,0)),IF(AND($L$37=0,$P$34=0),"",$L$37-1),IF($R$17="Distrato",$E300,0)),MIN(Y$38,$D$19),$P$20))-SUM($P300:X300)</f>
        <v>#VALUE!</v>
      </c>
      <c r="Z300" s="446" t="e">
        <f>IF(OR($B300="",MIN(Z$38,$D$19)&lt;MAX($P$34*($B300+IF($R$17="Distrato",$I$38-1,0)),IF(AND($L$37=0,$P$34=0),"",$L$37-1),IF($R$17="Distrato",$E300,0))),0,YEARFRAC(MAX($P$34*($B300+IF($R$17="Distrato",$I$38-1,0)),IF(AND($L$37=0,$P$34=0),"",$L$37-1),IF($R$17="Distrato",$E300,0)),MIN(Z$38,$D$19),$P$20))-SUM($P300:Y300)</f>
        <v>#VALUE!</v>
      </c>
      <c r="AA300" s="446" t="e">
        <f>IF(OR($B300="",MIN(AA$38,$D$19)&lt;MAX($P$34*($B300+IF($R$17="Distrato",$I$38-1,0)),IF(AND($L$37=0,$P$34=0),"",$L$37-1),IF($R$17="Distrato",$E300,0))),0,YEARFRAC(MAX($P$34*($B300+IF($R$17="Distrato",$I$38-1,0)),IF(AND($L$37=0,$P$34=0),"",$L$37-1),IF($R$17="Distrato",$E300,0)),MIN(AA$38,$D$19),$P$20))-SUM($P300:Z300)</f>
        <v>#VALUE!</v>
      </c>
      <c r="AB300" s="446" t="e">
        <f>IF(OR($B300="",MIN(AB$38,$D$19)&lt;MAX($P$34*($B300+IF($R$17="Distrato",$I$38-1,0)),IF(AND($L$37=0,$P$34=0),"",$L$37-1),IF($R$17="Distrato",$E300,0))),0,YEARFRAC(MAX($P$34*($B300+IF($R$17="Distrato",$I$38-1,0)),IF(AND($L$37=0,$P$34=0),"",$L$37-1),IF($R$17="Distrato",$E300,0)),MIN(AB$38,$D$19),$P$20))-SUM($P300:AA300)</f>
        <v>#VALUE!</v>
      </c>
      <c r="AC300" s="446" t="e">
        <f>IF(OR($B300="",MIN(AC$38,$D$19)&lt;MAX($P$34*($B300+IF($R$17="Distrato",$I$38-1,0)),IF(AND($L$37=0,$P$34=0),"",$L$37-1),IF($R$17="Distrato",$E300,0))),0,YEARFRAC(MAX($P$34*($B300+IF($R$17="Distrato",$I$38-1,0)),IF(AND($L$37=0,$P$34=0),"",$L$37-1),IF($R$17="Distrato",$E300,0)),MIN(AC$38,$D$19),$P$20))-SUM($P300:AB300)</f>
        <v>#VALUE!</v>
      </c>
      <c r="AD300" s="446" t="e">
        <f>IF(OR($B300="",MIN(AD$38,$D$19)&lt;MAX($P$34*($B300+IF($R$17="Distrato",$I$38-1,0)),IF(AND($L$37=0,$P$34=0),"",$L$37-1),IF($R$17="Distrato",$E300,0))),0,YEARFRAC(MAX($P$34*($B300+IF($R$17="Distrato",$I$38-1,0)),IF(AND($L$37=0,$P$34=0),"",$L$37-1),IF($R$17="Distrato",$E300,0)),MIN(AD$38,$D$19),$P$20))-SUM($P300:AC300)</f>
        <v>#VALUE!</v>
      </c>
      <c r="AE300" s="446" t="e">
        <f>IF(OR($B300="",MIN(AE$38,$D$19)&lt;MAX($P$34*($B300+IF($R$17="Distrato",$I$38-1,0)),IF(AND($L$37=0,$P$34=0),"",$L$37-1),IF($R$17="Distrato",$E300,0))),0,YEARFRAC(MAX($P$34*($B300+IF($R$17="Distrato",$I$38-1,0)),IF(AND($L$37=0,$P$34=0),"",$L$37-1),IF($R$17="Distrato",$E300,0)),MIN(AE$38,$D$19),$P$20))-SUM($P300:AD300)</f>
        <v>#VALUE!</v>
      </c>
      <c r="AF300" s="446" t="e">
        <f>IF(OR($B300="",MIN(AF$38,$D$19)&lt;MAX($P$34*($B300+IF($R$17="Distrato",$I$38-1,0)),IF(AND($L$37=0,$P$34=0),"",$L$37-1),IF($R$17="Distrato",$E300,0))),0,YEARFRAC(MAX($P$34*($B300+IF($R$17="Distrato",$I$38-1,0)),IF(AND($L$37=0,$P$34=0),"",$L$37-1),IF($R$17="Distrato",$E300,0)),MIN(AF$38,$D$19),$P$20))-SUM($P300:AE300)</f>
        <v>#VALUE!</v>
      </c>
      <c r="AG300" s="446" t="e">
        <f>IF(OR($B300="",MIN(AG$38,$D$19)&lt;MAX($P$34*($B300+IF($R$17="Distrato",$I$38-1,0)),IF(AND($L$37=0,$P$34=0),"",$L$37-1),IF($R$17="Distrato",$E300,0))),0,YEARFRAC(MAX($P$34*($B300+IF($R$17="Distrato",$I$38-1,0)),IF(AND($L$37=0,$P$34=0),"",$L$37-1),IF($R$17="Distrato",$E300,0)),MIN(AG$38,$D$19),$P$20))-SUM($P300:AF300)</f>
        <v>#VALUE!</v>
      </c>
      <c r="AH300" s="446" t="e">
        <f>IF(OR($B300="",MIN(AH$38,$D$19)&lt;MAX($P$34*($B300+IF($R$17="Distrato",$I$38-1,0)),IF(AND($L$37=0,$P$34=0),"",$L$37-1),IF($R$17="Distrato",$E300,0))),0,YEARFRAC(MAX($P$34*($B300+IF($R$17="Distrato",$I$38-1,0)),IF(AND($L$37=0,$P$34=0),"",$L$37-1),IF($R$17="Distrato",$E300,0)),MIN(AH$38,$D$19),$P$20))-SUM($P300:AG300)</f>
        <v>#VALUE!</v>
      </c>
      <c r="AI300" s="446" t="e">
        <f>IF(OR($B300="",MIN(AI$38,$D$19)&lt;MAX($P$34*($B300+IF($R$17="Distrato",$I$38-1,0)),IF(AND($L$37=0,$P$34=0),"",$L$37-1),IF($R$17="Distrato",$E300,0))),0,YEARFRAC(MAX($P$34*($B300+IF($R$17="Distrato",$I$38-1,0)),IF(AND($L$37=0,$P$34=0),"",$L$37-1),IF($R$17="Distrato",$E300,0)),MIN(AI$38,$D$19),$P$20))-SUM($P300:AH300)</f>
        <v>#VALUE!</v>
      </c>
      <c r="AJ300" s="446" t="e">
        <f>IF(OR($B300="",MIN(AJ$38,$D$19)&lt;MAX($P$34*($B300+IF($R$17="Distrato",$I$38-1,0)),IF(AND($L$37=0,$P$34=0),"",$L$37-1),IF($R$17="Distrato",$E300,0))),0,YEARFRAC(MAX($P$34*($B300+IF($R$17="Distrato",$I$38-1,0)),IF(AND($L$37=0,$P$34=0),"",$L$37-1),IF($R$17="Distrato",$E300,0)),MIN(AJ$38,$D$19),$P$20))-SUM($P300:AI300)</f>
        <v>#VALUE!</v>
      </c>
      <c r="AK300" s="446" t="e">
        <f>IF(OR($B300="",MIN(AK$38,$D$19)&lt;MAX($P$34*($B300+IF($R$17="Distrato",$I$38-1,0)),IF(AND($L$37=0,$P$34=0),"",$L$37-1),IF($R$17="Distrato",$E300,0))),0,YEARFRAC(MAX($P$34*($B300+IF($R$17="Distrato",$I$38-1,0)),IF(AND($L$37=0,$P$34=0),"",$L$37-1),IF($R$17="Distrato",$E300,0)),MIN(AK$38,$D$19),$P$20))-SUM($P300:AJ300)</f>
        <v>#VALUE!</v>
      </c>
      <c r="AL300" s="446" t="e">
        <f>IF(OR($B300="",MIN(AL$38,$D$19)&lt;MAX($P$34*($B300+IF($R$17="Distrato",$I$38-1,0)),IF(AND($L$37=0,$P$34=0),"",$L$37-1),IF($R$17="Distrato",$E300,0))),0,YEARFRAC(MAX($P$34*($B300+IF($R$17="Distrato",$I$38-1,0)),IF(AND($L$37=0,$P$34=0),"",$L$37-1),IF($R$17="Distrato",$E300,0)),MIN(AL$38,$D$19),$P$20))-SUM($P300:AK300)</f>
        <v>#VALUE!</v>
      </c>
      <c r="AM300" s="446" t="e">
        <f>IF(OR($B300="",MIN(AM$38,$D$19)&lt;MAX($P$34*($B300+IF($R$17="Distrato",$I$38-1,0)),IF(AND($L$37=0,$P$34=0),"",$L$37-1),IF($R$17="Distrato",$E300,0))),0,YEARFRAC(MAX($P$34*($B300+IF($R$17="Distrato",$I$38-1,0)),IF(AND($L$37=0,$P$34=0),"",$L$37-1),IF($R$17="Distrato",$E300,0)),MIN(AM$38,$D$19),$P$20))-SUM($P300:AL300)</f>
        <v>#VALUE!</v>
      </c>
      <c r="AN300" s="446" t="e">
        <f>IF(OR($B300="",MIN(AN$38,$D$19)&lt;MAX($P$34*($B300+IF($R$17="Distrato",$I$38-1,0)),IF(AND($L$37=0,$P$34=0),"",$L$37-1),IF($R$17="Distrato",$E300,0))),0,YEARFRAC(MAX($P$34*($B300+IF($R$17="Distrato",$I$38-1,0)),IF(AND($L$37=0,$P$34=0),"",$L$37-1),IF($R$17="Distrato",$E300,0)),MIN(AN$38,$D$19),$P$20))-SUM($P300:AM300)</f>
        <v>#VALUE!</v>
      </c>
      <c r="AO300" s="446" t="e">
        <f>IF(OR($B300="",MIN(AO$38,$D$19)&lt;MAX($P$34*($B300+IF($R$17="Distrato",$I$38-1,0)),IF(AND($L$37=0,$P$34=0),"",$L$37-1),IF($R$17="Distrato",$E300,0))),0,YEARFRAC(MAX($P$34*($B300+IF($R$17="Distrato",$I$38-1,0)),IF(AND($L$37=0,$P$34=0),"",$L$37-1),IF($R$17="Distrato",$E300,0)),MIN(AO$38,$D$19),$P$20))-SUM($P300:AN300)</f>
        <v>#VALUE!</v>
      </c>
      <c r="AP300" s="446" t="e">
        <f>IF(OR($B300="",MIN(AP$38,$D$19)&lt;MAX($P$34*($B300+IF($R$17="Distrato",$I$38-1,0)),IF(AND($L$37=0,$P$34=0),"",$L$37-1),IF($R$17="Distrato",$E300,0))),0,YEARFRAC(MAX($P$34*($B300+IF($R$17="Distrato",$I$38-1,0)),IF(AND($L$37=0,$P$34=0),"",$L$37-1),IF($R$17="Distrato",$E300,0)),MIN(AP$38,$D$19),$P$20))-SUM($P300:AO300)</f>
        <v>#VALUE!</v>
      </c>
      <c r="AQ300" s="446" t="e">
        <f>IF(OR($B300="",MIN(AQ$38,$D$19)&lt;MAX($P$34*($B300+IF($R$17="Distrato",$I$38-1,0)),IF(AND($L$37=0,$P$34=0),"",$L$37-1),IF($R$17="Distrato",$E300,0))),0,YEARFRAC(MAX($P$34*($B300+IF($R$17="Distrato",$I$38-1,0)),IF(AND($L$37=0,$P$34=0),"",$L$37-1),IF($R$17="Distrato",$E300,0)),MIN(AQ$38,$D$19),$P$20))-SUM($P300:AP300)</f>
        <v>#VALUE!</v>
      </c>
      <c r="AR300" s="446" t="e">
        <f>IF(OR($B300="",MIN(AR$38,$D$19)&lt;MAX($P$34*($B300+IF($R$17="Distrato",$I$38-1,0)),IF(AND($L$37=0,$P$34=0),"",$L$37-1),IF($R$17="Distrato",$E300,0))),0,YEARFRAC(MAX($P$34*($B300+IF($R$17="Distrato",$I$38-1,0)),IF(AND($L$37=0,$P$34=0),"",$L$37-1),IF($R$17="Distrato",$E300,0)),MIN(AR$38,$D$19),$P$20))-SUM($P300:AQ300)</f>
        <v>#VALUE!</v>
      </c>
      <c r="AS300" s="446" t="e">
        <f>IF(OR($B300="",MIN(AS$38,$D$19)&lt;MAX($P$34*($B300+IF($R$17="Distrato",$I$38-1,0)),IF(AND($L$37=0,$P$34=0),"",$L$37-1),IF($R$17="Distrato",$E300,0))),0,YEARFRAC(MAX($P$34*($B300+IF($R$17="Distrato",$I$38-1,0)),IF(AND($L$37=0,$P$34=0),"",$L$37-1),IF($R$17="Distrato",$E300,0)),MIN(AS$38,$D$19),$P$20))-SUM($P300:AR300)</f>
        <v>#VALUE!</v>
      </c>
      <c r="AT300" s="446" t="e">
        <f>IF(OR($B300="",MIN(AT$38,$D$19)&lt;MAX($P$34*($B300+IF($R$17="Distrato",$I$38-1,0)),IF(AND($L$37=0,$P$34=0),"",$L$37-1),IF($R$17="Distrato",$E300,0))),0,YEARFRAC(MAX($P$34*($B300+IF($R$17="Distrato",$I$38-1,0)),IF(AND($L$37=0,$P$34=0),"",$L$37-1),IF($R$17="Distrato",$E300,0)),MIN(AT$38,$D$19),$P$20))-SUM($P300:AS300)</f>
        <v>#VALUE!</v>
      </c>
      <c r="AU300" s="446" t="e">
        <f>IF(OR($B300="",MIN(AU$38,$D$19)&lt;MAX($P$34*($B300+IF($R$17="Distrato",$I$38-1,0)),IF(AND($L$37=0,$P$34=0),"",$L$37-1),IF($R$17="Distrato",$E300,0))),0,YEARFRAC(MAX($P$34*($B300+IF($R$17="Distrato",$I$38-1,0)),IF(AND($L$37=0,$P$34=0),"",$L$37-1),IF($R$17="Distrato",$E300,0)),MIN(AU$38,$D$19),$P$20))-SUM($P300:AT300)</f>
        <v>#VALUE!</v>
      </c>
      <c r="AV300" s="446" t="e">
        <f>IF(OR($B300="",MIN(AV$38,$D$19)&lt;MAX($P$34*($B300+IF($R$17="Distrato",$I$38-1,0)),IF(AND($L$37=0,$P$34=0),"",$L$37-1),IF($R$17="Distrato",$E300,0))),0,YEARFRAC(MAX($P$34*($B300+IF($R$17="Distrato",$I$38-1,0)),IF(AND($L$37=0,$P$34=0),"",$L$37-1),IF($R$17="Distrato",$E300,0)),MIN(AV$38,$D$19),$P$20))-SUM($P300:AU300)</f>
        <v>#VALUE!</v>
      </c>
      <c r="AW300" s="446" t="e">
        <f>IF(OR($B300="",MIN(AW$38,$D$19)&lt;MAX($P$34*($B300+IF($R$17="Distrato",$I$38-1,0)),IF(AND($L$37=0,$P$34=0),"",$L$37-1),IF($R$17="Distrato",$E300,0))),0,YEARFRAC(MAX($P$34*($B300+IF($R$17="Distrato",$I$38-1,0)),IF(AND($L$37=0,$P$34=0),"",$L$37-1),IF($R$17="Distrato",$E300,0)),MIN(AW$38,$D$19),$P$20))-SUM($P300:AV300)</f>
        <v>#VALUE!</v>
      </c>
      <c r="AX300" s="446" t="e">
        <f>IF(OR($B300="",MIN(AX$38,$D$19)&lt;MAX($P$34*($B300+IF($R$17="Distrato",$I$38-1,0)),IF(AND($L$37=0,$P$34=0),"",$L$37-1),IF($R$17="Distrato",$E300,0))),0,YEARFRAC(MAX($P$34*($B300+IF($R$17="Distrato",$I$38-1,0)),IF(AND($L$37=0,$P$34=0),"",$L$37-1),IF($R$17="Distrato",$E300,0)),MIN(AX$38,$D$19),$P$20))-SUM($P300:AW300)</f>
        <v>#VALUE!</v>
      </c>
      <c r="AY300" s="446" t="e">
        <f>IF(OR($B300="",MIN(AY$38,$D$19)&lt;MAX($P$34*($B300+IF($R$17="Distrato",$I$38-1,0)),IF(AND($L$37=0,$P$34=0),"",$L$37-1),IF($R$17="Distrato",$E300,0))),0,YEARFRAC(MAX($P$34*($B300+IF($R$17="Distrato",$I$38-1,0)),IF(AND($L$37=0,$P$34=0),"",$L$37-1),IF($R$17="Distrato",$E300,0)),MIN(AY$38,$D$19),$P$20))-SUM($P300:AX300)</f>
        <v>#VALUE!</v>
      </c>
      <c r="AZ300" s="446" t="e">
        <f>IF(OR($B300="",MIN(AZ$38,$D$19)&lt;MAX($P$34*($B300+IF($R$17="Distrato",$I$38-1,0)),IF(AND($L$37=0,$P$34=0),"",$L$37-1),IF($R$17="Distrato",$E300,0))),0,YEARFRAC(MAX($P$34*($B300+IF($R$17="Distrato",$I$38-1,0)),IF(AND($L$37=0,$P$34=0),"",$L$37-1),IF($R$17="Distrato",$E300,0)),MIN(AZ$38,$D$19),$P$20))-SUM($P300:AY300)</f>
        <v>#VALUE!</v>
      </c>
      <c r="BA300" s="446" t="e">
        <f>IF(OR($B300="",MIN(BA$38,$D$19)&lt;MAX($P$34*($B300+IF($R$17="Distrato",$I$38-1,0)),IF(AND($L$37=0,$P$34=0),"",$L$37-1),IF($R$17="Distrato",$E300,0))),0,YEARFRAC(MAX($P$34*($B300+IF($R$17="Distrato",$I$38-1,0)),IF(AND($L$37=0,$P$34=0),"",$L$37-1),IF($R$17="Distrato",$E300,0)),MIN(BA$38,$D$19),$P$20))-SUM($P300:AZ300)</f>
        <v>#VALUE!</v>
      </c>
      <c r="BB300" s="447"/>
      <c r="BF300" s="446">
        <f t="shared" si="54"/>
        <v>0</v>
      </c>
      <c r="BG300" s="446">
        <f>IF($E300=0,0,IF(MIN(BG$38,$E300)&lt;MAX($P$34*($B300+$I$38-1),IF(AND($L$37=0,$P$34=0),"",$L$37-1)),0,YEARFRAC(MAX($P$34*($B300+$I$38-1),IF(AND($L$37=0,$P$34=0),"",$L$37-1)),MIN(BG$38,$E300),$P$20))-SUM($BF300:BF300))</f>
        <v>0</v>
      </c>
      <c r="BH300" s="446">
        <f>IF($E300=0,0,IF(MIN(BH$38,$E300)&lt;MAX($P$34*($B300+$I$38-1),IF(AND($L$37=0,$P$34=0),"",$L$37-1)),0,YEARFRAC(MAX($P$34*($B300+$I$38-1),IF(AND($L$37=0,$P$34=0),"",$L$37-1)),MIN(BH$38,$E300),$P$20))-SUM($BF300:BG300))</f>
        <v>0</v>
      </c>
      <c r="BI300" s="446">
        <f>IF($E300=0,0,IF(MIN(BI$38,$E300)&lt;MAX($P$34*($B300+$I$38-1),IF(AND($L$37=0,$P$34=0),"",$L$37-1)),0,YEARFRAC(MAX($P$34*($B300+$I$38-1),IF(AND($L$37=0,$P$34=0),"",$L$37-1)),MIN(BI$38,$E300),$P$20))-SUM($BF300:BH300))</f>
        <v>0</v>
      </c>
      <c r="BJ300" s="446">
        <f>IF($E300=0,0,IF(MIN(BJ$38,$E300)&lt;MAX($P$34*($B300+$I$38-1),IF(AND($L$37=0,$P$34=0),"",$L$37-1)),0,YEARFRAC(MAX($P$34*($B300+$I$38-1),IF(AND($L$37=0,$P$34=0),"",$L$37-1)),MIN(BJ$38,$E300),$P$20))-SUM($BF300:BI300))</f>
        <v>0</v>
      </c>
      <c r="BK300" s="446">
        <f>IF($E300=0,0,IF(MIN(BK$38,$E300)&lt;MAX($P$34*($B300+$I$38-1),IF(AND($L$37=0,$P$34=0),"",$L$37-1)),0,YEARFRAC(MAX($P$34*($B300+$I$38-1),IF(AND($L$37=0,$P$34=0),"",$L$37-1)),MIN(BK$38,$E300),$P$20))-SUM($BF300:BJ300))</f>
        <v>0</v>
      </c>
      <c r="BL300" s="446">
        <f>IF($E300=0,0,IF(MIN(BL$38,$E300)&lt;MAX($P$34*($B300+$I$38-1),IF(AND($L$37=0,$P$34=0),"",$L$37-1)),0,YEARFRAC(MAX($P$34*($B300+$I$38-1),IF(AND($L$37=0,$P$34=0),"",$L$37-1)),MIN(BL$38,$E300),$P$20))-SUM($BF300:BK300))</f>
        <v>0</v>
      </c>
      <c r="BM300" s="446">
        <f>IF($E300=0,0,IF(MIN(BM$38,$E300)&lt;MAX($P$34*($B300+$I$38-1),IF(AND($L$37=0,$P$34=0),"",$L$37-1)),0,YEARFRAC(MAX($P$34*($B300+$I$38-1),IF(AND($L$37=0,$P$34=0),"",$L$37-1)),MIN(BM$38,$E300),$P$20))-SUM($BF300:BL300))</f>
        <v>0</v>
      </c>
      <c r="BN300" s="446">
        <f>IF($E300=0,0,IF(MIN(BN$38,$E300)&lt;MAX($P$34*($B300+$I$38-1),IF(AND($L$37=0,$P$34=0),"",$L$37-1)),0,YEARFRAC(MAX($P$34*($B300+$I$38-1),IF(AND($L$37=0,$P$34=0),"",$L$37-1)),MIN(BN$38,$E300),$P$20))-SUM($BF300:BM300))</f>
        <v>0</v>
      </c>
      <c r="BO300" s="446">
        <f>IF($E300=0,0,IF(MIN(BO$38,$E300)&lt;MAX($P$34*($B300+$I$38-1),IF(AND($L$37=0,$P$34=0),"",$L$37-1)),0,YEARFRAC(MAX($P$34*($B300+$I$38-1),IF(AND($L$37=0,$P$34=0),"",$L$37-1)),MIN(BO$38,$E300),$P$20))-SUM($BF300:BN300))</f>
        <v>0</v>
      </c>
      <c r="BP300" s="446">
        <f>IF($E300=0,0,IF(MIN(BP$38,$E300)&lt;MAX($P$34*($B300+$I$38-1),IF(AND($L$37=0,$P$34=0),"",$L$37-1)),0,YEARFRAC(MAX($P$34*($B300+$I$38-1),IF(AND($L$37=0,$P$34=0),"",$L$37-1)),MIN(BP$38,$E300),$P$20))-SUM($BF300:BO300))</f>
        <v>0</v>
      </c>
      <c r="BQ300" s="446">
        <f>IF($E300=0,0,IF(MIN(BQ$38,$E300)&lt;MAX($P$34*($B300+$I$38-1),IF(AND($L$37=0,$P$34=0),"",$L$37-1)),0,YEARFRAC(MAX($P$34*($B300+$I$38-1),IF(AND($L$37=0,$P$34=0),"",$L$37-1)),MIN(BQ$38,$E300),$P$20))-SUM($BF300:BP300))</f>
        <v>0</v>
      </c>
      <c r="BR300" s="446">
        <f>IF($E300=0,0,IF(MIN(BR$38,$E300)&lt;MAX($P$34*($B300+$I$38-1),IF(AND($L$37=0,$P$34=0),"",$L$37-1)),0,YEARFRAC(MAX($P$34*($B300+$I$38-1),IF(AND($L$37=0,$P$34=0),"",$L$37-1)),MIN(BR$38,$E300),$P$20))-SUM($BF300:BQ300))</f>
        <v>0</v>
      </c>
      <c r="BS300" s="446">
        <f>IF($E300=0,0,IF(MIN(BS$38,$E300)&lt;MAX($P$34*($B300+$I$38-1),IF(AND($L$37=0,$P$34=0),"",$L$37-1)),0,YEARFRAC(MAX($P$34*($B300+$I$38-1),IF(AND($L$37=0,$P$34=0),"",$L$37-1)),MIN(BS$38,$E300),$P$20))-SUM($BF300:BR300))</f>
        <v>0</v>
      </c>
      <c r="BT300" s="446">
        <f>IF($E300=0,0,IF(MIN(BT$38,$E300)&lt;MAX($P$34*($B300+$I$38-1),IF(AND($L$37=0,$P$34=0),"",$L$37-1)),0,YEARFRAC(MAX($P$34*($B300+$I$38-1),IF(AND($L$37=0,$P$34=0),"",$L$37-1)),MIN(BT$38,$E300),$P$20))-SUM($BF300:BS300))</f>
        <v>0</v>
      </c>
      <c r="BU300" s="446">
        <f>IF($E300=0,0,IF(MIN(BU$38,$E300)&lt;MAX($P$34*($B300+$I$38-1),IF(AND($L$37=0,$P$34=0),"",$L$37-1)),0,YEARFRAC(MAX($P$34*($B300+$I$38-1),IF(AND($L$37=0,$P$34=0),"",$L$37-1)),MIN(BU$38,$E300),$P$20))-SUM($BF300:BT300))</f>
        <v>0</v>
      </c>
      <c r="BV300" s="446">
        <f>IF($E300=0,0,IF(MIN(BV$38,$E300)&lt;MAX($P$34*($B300+$I$38-1),IF(AND($L$37=0,$P$34=0),"",$L$37-1)),0,YEARFRAC(MAX($P$34*($B300+$I$38-1),IF(AND($L$37=0,$P$34=0),"",$L$37-1)),MIN(BV$38,$E300),$P$20))-SUM($BF300:BU300))</f>
        <v>0</v>
      </c>
      <c r="BW300" s="446">
        <f>IF($E300=0,0,IF(MIN(BW$38,$E300)&lt;MAX($P$34*($B300+$I$38-1),IF(AND($L$37=0,$P$34=0),"",$L$37-1)),0,YEARFRAC(MAX($P$34*($B300+$I$38-1),IF(AND($L$37=0,$P$34=0),"",$L$37-1)),MIN(BW$38,$E300),$P$20))-SUM($BF300:BV300))</f>
        <v>0</v>
      </c>
      <c r="BX300" s="446">
        <f>IF($E300=0,0,IF(MIN(BX$38,$E300)&lt;MAX($P$34*($B300+$I$38-1),IF(AND($L$37=0,$P$34=0),"",$L$37-1)),0,YEARFRAC(MAX($P$34*($B300+$I$38-1),IF(AND($L$37=0,$P$34=0),"",$L$37-1)),MIN(BX$38,$E300),$P$20))-SUM($BF300:BW300))</f>
        <v>0</v>
      </c>
      <c r="BY300" s="446">
        <f>IF($E300=0,0,IF(MIN(BY$38,$E300)&lt;MAX($P$34*($B300+$I$38-1),IF(AND($L$37=0,$P$34=0),"",$L$37-1)),0,YEARFRAC(MAX($P$34*($B300+$I$38-1),IF(AND($L$37=0,$P$34=0),"",$L$37-1)),MIN(BY$38,$E300),$P$20))-SUM($BF300:BX300))</f>
        <v>0</v>
      </c>
      <c r="BZ300" s="446">
        <f>IF($E300=0,0,IF(MIN(BZ$38,$E300)&lt;MAX($P$34*($B300+$I$38-1),IF(AND($L$37=0,$P$34=0),"",$L$37-1)),0,YEARFRAC(MAX($P$34*($B300+$I$38-1),IF(AND($L$37=0,$P$34=0),"",$L$37-1)),MIN(BZ$38,$E300),$P$20))-SUM($BF300:BY300))</f>
        <v>0</v>
      </c>
      <c r="CA300" s="446">
        <f>IF($E300=0,0,IF(MIN(CA$38,$E300)&lt;MAX($P$34*($B300+$I$38-1),IF(AND($L$37=0,$P$34=0),"",$L$37-1)),0,YEARFRAC(MAX($P$34*($B300+$I$38-1),IF(AND($L$37=0,$P$34=0),"",$L$37-1)),MIN(CA$38,$E300),$P$20))-SUM($BF300:BZ300))</f>
        <v>0</v>
      </c>
      <c r="CB300" s="446">
        <f>IF($E300=0,0,IF(MIN(CB$38,$E300)&lt;MAX($P$34*($B300+$I$38-1),IF(AND($L$37=0,$P$34=0),"",$L$37-1)),0,YEARFRAC(MAX($P$34*($B300+$I$38-1),IF(AND($L$37=0,$P$34=0),"",$L$37-1)),MIN(CB$38,$E300),$P$20))-SUM($BF300:CA300))</f>
        <v>0</v>
      </c>
      <c r="CC300" s="446">
        <f>IF($E300=0,0,IF(MIN(CC$38,$E300)&lt;MAX($P$34*($B300+$I$38-1),IF(AND($L$37=0,$P$34=0),"",$L$37-1)),0,YEARFRAC(MAX($P$34*($B300+$I$38-1),IF(AND($L$37=0,$P$34=0),"",$L$37-1)),MIN(CC$38,$E300),$P$20))-SUM($BF300:CB300))</f>
        <v>0</v>
      </c>
      <c r="CD300" s="446">
        <f>IF($E300=0,0,IF(MIN(CD$38,$E300)&lt;MAX($P$34*($B300+$I$38-1),IF(AND($L$37=0,$P$34=0),"",$L$37-1)),0,YEARFRAC(MAX($P$34*($B300+$I$38-1),IF(AND($L$37=0,$P$34=0),"",$L$37-1)),MIN(CD$38,$E300),$P$20))-SUM($BF300:CC300))</f>
        <v>0</v>
      </c>
      <c r="CE300" s="446">
        <f>IF($E300=0,0,IF(MIN(CE$38,$E300)&lt;MAX($P$34*($B300+$I$38-1),IF(AND($L$37=0,$P$34=0),"",$L$37-1)),0,YEARFRAC(MAX($P$34*($B300+$I$38-1),IF(AND($L$37=0,$P$34=0),"",$L$37-1)),MIN(CE$38,$E300),$P$20))-SUM($BF300:CD300))</f>
        <v>0</v>
      </c>
      <c r="CF300" s="446">
        <f>IF($E300=0,0,IF(MIN(CF$38,$E300)&lt;MAX($P$34*($B300+$I$38-1),IF(AND($L$37=0,$P$34=0),"",$L$37-1)),0,YEARFRAC(MAX($P$34*($B300+$I$38-1),IF(AND($L$37=0,$P$34=0),"",$L$37-1)),MIN(CF$38,$E300),$P$20))-SUM($BF300:CE300))</f>
        <v>0</v>
      </c>
      <c r="CG300" s="446">
        <f>IF($E300=0,0,IF(MIN(CG$38,$E300)&lt;MAX($P$34*($B300+$I$38-1),IF(AND($L$37=0,$P$34=0),"",$L$37-1)),0,YEARFRAC(MAX($P$34*($B300+$I$38-1),IF(AND($L$37=0,$P$34=0),"",$L$37-1)),MIN(CG$38,$E300),$P$20))-SUM($BF300:CF300))</f>
        <v>0</v>
      </c>
      <c r="CH300" s="446">
        <f>IF($E300=0,0,IF(MIN(CH$38,$E300)&lt;MAX($P$34*($B300+$I$38-1),IF(AND($L$37=0,$P$34=0),"",$L$37-1)),0,YEARFRAC(MAX($P$34*($B300+$I$38-1),IF(AND($L$37=0,$P$34=0),"",$L$37-1)),MIN(CH$38,$E300),$P$20))-SUM($BF300:CG300))</f>
        <v>0</v>
      </c>
      <c r="CI300" s="446">
        <f>IF($E300=0,0,IF(MIN(CI$38,$E300)&lt;MAX($P$34*($B300+$I$38-1),IF(AND($L$37=0,$P$34=0),"",$L$37-1)),0,YEARFRAC(MAX($P$34*($B300+$I$38-1),IF(AND($L$37=0,$P$34=0),"",$L$37-1)),MIN(CI$38,$E300),$P$20))-SUM($BF300:CH300))</f>
        <v>0</v>
      </c>
      <c r="CJ300" s="446">
        <f>IF($E300=0,0,IF(MIN(CJ$38,$E300)&lt;MAX($P$34*($B300+$I$38-1),IF(AND($L$37=0,$P$34=0),"",$L$37-1)),0,YEARFRAC(MAX($P$34*($B300+$I$38-1),IF(AND($L$37=0,$P$34=0),"",$L$37-1)),MIN(CJ$38,$E300),$P$20))-SUM($BF300:CI300))</f>
        <v>0</v>
      </c>
      <c r="CK300" s="446">
        <f>IF($E300=0,0,IF(MIN(CK$38,$E300)&lt;MAX($P$34*($B300+$I$38-1),IF(AND($L$37=0,$P$34=0),"",$L$37-1)),0,YEARFRAC(MAX($P$34*($B300+$I$38-1),IF(AND($L$37=0,$P$34=0),"",$L$37-1)),MIN(CK$38,$E300),$P$20))-SUM($BF300:CJ300))</f>
        <v>0</v>
      </c>
      <c r="CL300" s="446">
        <f>IF($E300=0,0,IF(MIN(CL$38,$E300)&lt;MAX($P$34*($B300+$I$38-1),IF(AND($L$37=0,$P$34=0),"",$L$37-1)),0,YEARFRAC(MAX($P$34*($B300+$I$38-1),IF(AND($L$37=0,$P$34=0),"",$L$37-1)),MIN(CL$38,$E300),$P$20))-SUM($BF300:CK300))</f>
        <v>0</v>
      </c>
      <c r="CM300" s="446">
        <f>IF($E300=0,0,IF(MIN(CM$38,$E300)&lt;MAX($P$34*($B300+$I$38-1),IF(AND($L$37=0,$P$34=0),"",$L$37-1)),0,YEARFRAC(MAX($P$34*($B300+$I$38-1),IF(AND($L$37=0,$P$34=0),"",$L$37-1)),MIN(CM$38,$E300),$P$20))-SUM($BF300:CL300))</f>
        <v>0</v>
      </c>
      <c r="CN300" s="446">
        <f>IF($E300=0,0,IF(MIN(CN$38,$E300)&lt;MAX($P$34*($B300+$I$38-1),IF(AND($L$37=0,$P$34=0),"",$L$37-1)),0,YEARFRAC(MAX($P$34*($B300+$I$38-1),IF(AND($L$37=0,$P$34=0),"",$L$37-1)),MIN(CN$38,$E300),$P$20))-SUM($BF300:CM300))</f>
        <v>0</v>
      </c>
      <c r="CO300" s="446">
        <f>IF($E300=0,0,IF(MIN(CO$38,$E300)&lt;MAX($P$34*($B300+$I$38-1),IF(AND($L$37=0,$P$34=0),"",$L$37-1)),0,YEARFRAC(MAX($P$34*($B300+$I$38-1),IF(AND($L$37=0,$P$34=0),"",$L$37-1)),MIN(CO$38,$E300),$P$20))-SUM($BF300:CN300))</f>
        <v>0</v>
      </c>
      <c r="CP300" s="446">
        <f>IF($E300=0,0,IF(MIN(CP$38,$E300)&lt;MAX($P$34*($B300+$I$38-1),IF(AND($L$37=0,$P$34=0),"",$L$37-1)),0,YEARFRAC(MAX($P$34*($B300+$I$38-1),IF(AND($L$37=0,$P$34=0),"",$L$37-1)),MIN(CP$38,$E300),$P$20))-SUM($BF300:CO300))</f>
        <v>0</v>
      </c>
      <c r="CQ300" s="446">
        <f>IF($E300=0,0,IF(MIN(CQ$38,$E300)&lt;MAX($P$34*($B300+$I$38-1),IF(AND($L$37=0,$P$34=0),"",$L$37-1)),0,YEARFRAC(MAX($P$34*($B300+$I$38-1),IF(AND($L$37=0,$P$34=0),"",$L$37-1)),MIN(CQ$38,$E300),$P$20))-SUM($BF300:CP300))</f>
        <v>0</v>
      </c>
    </row>
    <row r="301" spans="1:95" s="446" customFormat="1" ht="11.25" hidden="1" customHeight="1" x14ac:dyDescent="0.2">
      <c r="A301" s="152"/>
      <c r="B301" s="153" t="str">
        <f t="shared" si="59"/>
        <v/>
      </c>
      <c r="C301" s="29" t="str">
        <f>IF(B301="","",IF($L$35="SELIC - TRIBUTOS",VLOOKUP(DATE(YEAR($D$19),MONTH($D$19)-1,1),ÍNDICES!$A:$DE,HLOOKUP($BL$25,ÍNDICES!$B$3:$T$4,2)+11)-VLOOKUP(B301,ÍNDICES!$A:$DE,HLOOKUP($BL$25,ÍNDICES!$B$3:$T$4,2)+11)+1%,IF(C$38=$W$26,$J$35,IF(ISERROR(IF(B301&gt;$D$19,1,VLOOKUP(DATE(YEAR(B301),MONTH(B301)+IF($C$35=$S$23,1,0),1),ÍNDICES!$A:$DE,$Z$35+1))),"",IF(B301&gt;$D$19,1,VLOOKUP(DATE(YEAR(B301),MONTH(B301)+IF($C$35=$S$23,1,0),1),ÍNDICES!$A:$DE,$Z$35+1))))))</f>
        <v/>
      </c>
      <c r="D301" s="154" t="str">
        <f>IF(ISERROR(IF(OR($D$38=$Y$27,$B301=""),"",VLOOKUP(B301,ÍNDICES!A:DE,AF$35+1))),"",IF(OR($D$38=$Y$27,$B301=""),"",VLOOKUP(B301,ÍNDICES!A:DE,AF$35+1)))</f>
        <v/>
      </c>
      <c r="E301" s="153"/>
      <c r="F301" s="29" t="str">
        <f>IF(E301="","",IF($L$35="SELIC - TRIBUTOS",VLOOKUP(DATE(YEAR($D$19),MONTH($D$19)-1,1),ÍNDICES!$A:$DE,HLOOKUP($BL$25,ÍNDICES!$B$3:$T$4,2)+11)-VLOOKUP(E301,ÍNDICES!$A:$DE,HLOOKUP($BL$25,ÍNDICES!$B$3:$T$4,2)+11)+1%,IF(F$38=$W$26,$J$35,IF(ISERROR(IF(E301&gt;$D$19,1,VLOOKUP(DATE(YEAR(E301),MONTH(E301)+IF($C$35=$S$23,1,0),1),ÍNDICES!$A:$DE,$Z$35+1))),"",IF(E301&gt;$D$19,1,VLOOKUP(DATE(YEAR(E301),MONTH(E301)+IF($C$35=$S$23,1,0),1),ÍNDICES!$A:$DE,$Z$35+1))))))</f>
        <v/>
      </c>
      <c r="G301" s="155"/>
      <c r="H301" s="156" t="str">
        <f t="shared" si="55"/>
        <v/>
      </c>
      <c r="I301" s="29" t="str">
        <f t="shared" si="49"/>
        <v/>
      </c>
      <c r="J301" s="5">
        <f t="shared" si="50"/>
        <v>0</v>
      </c>
      <c r="K301" s="20">
        <f t="shared" ca="1" si="51"/>
        <v>0</v>
      </c>
      <c r="L301" s="5">
        <f t="shared" ca="1" si="52"/>
        <v>0</v>
      </c>
      <c r="M301" s="64">
        <f t="shared" si="56"/>
        <v>0</v>
      </c>
      <c r="N301" s="61">
        <f t="shared" ca="1" si="57"/>
        <v>0</v>
      </c>
      <c r="O301" s="5">
        <f t="shared" ca="1" si="58"/>
        <v>0</v>
      </c>
      <c r="P301" s="446" t="e">
        <f t="shared" si="53"/>
        <v>#VALUE!</v>
      </c>
      <c r="Q301" s="446" t="e">
        <f>IF(OR($B301="",MIN(Q$38,$D$19)&lt;MAX($P$34*($B301+IF($R$17="Distrato",$I$38-1,0)),IF(AND($L$37=0,$P$34=0),"",$L$37-1),IF($R$17="Distrato",$E301,0))),0,YEARFRAC(MAX($P$34*($B301+IF($R$17="Distrato",$I$38-1,0)),IF(AND($L$37=0,$P$34=0),"",$L$37-1),IF($R$17="Distrato",$E301,0)),MIN(Q$38,$D$19),$P$20))-SUM($P301:P301)</f>
        <v>#VALUE!</v>
      </c>
      <c r="R301" s="446" t="e">
        <f>IF(OR($B301="",MIN(R$38,$D$19)&lt;MAX($P$34*($B301+IF($R$17="Distrato",$I$38-1,0)),IF(AND($L$37=0,$P$34=0),"",$L$37-1),IF($R$17="Distrato",$E301,0))),0,YEARFRAC(MAX($P$34*($B301+IF($R$17="Distrato",$I$38-1,0)),IF(AND($L$37=0,$P$34=0),"",$L$37-1),IF($R$17="Distrato",$E301,0)),MIN(R$38,$D$19),$P$20))-SUM($P301:Q301)</f>
        <v>#VALUE!</v>
      </c>
      <c r="S301" s="446" t="e">
        <f>IF(OR($B301="",MIN(S$38,$D$19)&lt;MAX($P$34*($B301+IF($R$17="Distrato",$I$38-1,0)),IF(AND($L$37=0,$P$34=0),"",$L$37-1),IF($R$17="Distrato",$E301,0))),0,YEARFRAC(MAX($P$34*($B301+IF($R$17="Distrato",$I$38-1,0)),IF(AND($L$37=0,$P$34=0),"",$L$37-1),IF($R$17="Distrato",$E301,0)),MIN(S$38,$D$19),$P$20))-SUM($P301:R301)</f>
        <v>#VALUE!</v>
      </c>
      <c r="T301" s="446" t="e">
        <f>IF(OR($B301="",MIN(T$38,$D$19)&lt;MAX($P$34*($B301+IF($R$17="Distrato",$I$38-1,0)),IF(AND($L$37=0,$P$34=0),"",$L$37-1),IF($R$17="Distrato",$E301,0))),0,YEARFRAC(MAX($P$34*($B301+IF($R$17="Distrato",$I$38-1,0)),IF(AND($L$37=0,$P$34=0),"",$L$37-1),IF($R$17="Distrato",$E301,0)),MIN(T$38,$D$19),$P$20))-SUM($P301:S301)</f>
        <v>#VALUE!</v>
      </c>
      <c r="U301" s="446" t="e">
        <f>IF(OR($B301="",MIN(U$38,$D$19)&lt;MAX($P$34*($B301+IF($R$17="Distrato",$I$38-1,0)),IF(AND($L$37=0,$P$34=0),"",$L$37-1),IF($R$17="Distrato",$E301,0))),0,YEARFRAC(MAX($P$34*($B301+IF($R$17="Distrato",$I$38-1,0)),IF(AND($L$37=0,$P$34=0),"",$L$37-1),IF($R$17="Distrato",$E301,0)),MIN(U$38,$D$19),$P$20))-SUM($P301:T301)</f>
        <v>#VALUE!</v>
      </c>
      <c r="V301" s="446" t="e">
        <f>IF(OR($B301="",MIN(V$38,$D$19)&lt;MAX($P$34*($B301+IF($R$17="Distrato",$I$38-1,0)),IF(AND($L$37=0,$P$34=0),"",$L$37-1),IF($R$17="Distrato",$E301,0))),0,YEARFRAC(MAX($P$34*($B301+IF($R$17="Distrato",$I$38-1,0)),IF(AND($L$37=0,$P$34=0),"",$L$37-1),IF($R$17="Distrato",$E301,0)),MIN(V$38,$D$19),$P$20))-SUM($P301:U301)</f>
        <v>#VALUE!</v>
      </c>
      <c r="W301" s="446" t="e">
        <f>IF(OR($B301="",MIN(W$38,$D$19)&lt;MAX($P$34*($B301+IF($R$17="Distrato",$I$38-1,0)),IF(AND($L$37=0,$P$34=0),"",$L$37-1),IF($R$17="Distrato",$E301,0))),0,YEARFRAC(MAX($P$34*($B301+IF($R$17="Distrato",$I$38-1,0)),IF(AND($L$37=0,$P$34=0),"",$L$37-1),IF($R$17="Distrato",$E301,0)),MIN(W$38,$D$19),$P$20))-SUM($P301:V301)</f>
        <v>#VALUE!</v>
      </c>
      <c r="X301" s="446" t="e">
        <f>IF(OR($B301="",MIN(X$38,$D$19)&lt;MAX($P$34*($B301+IF($R$17="Distrato",$I$38-1,0)),IF(AND($L$37=0,$P$34=0),"",$L$37-1),IF($R$17="Distrato",$E301,0))),0,YEARFRAC(MAX($P$34*($B301+IF($R$17="Distrato",$I$38-1,0)),IF(AND($L$37=0,$P$34=0),"",$L$37-1),IF($R$17="Distrato",$E301,0)),MIN(X$38,$D$19),$P$20))-SUM($P301:W301)</f>
        <v>#VALUE!</v>
      </c>
      <c r="Y301" s="446" t="e">
        <f>IF(OR($B301="",MIN(Y$38,$D$19)&lt;MAX($P$34*($B301+IF($R$17="Distrato",$I$38-1,0)),IF(AND($L$37=0,$P$34=0),"",$L$37-1),IF($R$17="Distrato",$E301,0))),0,YEARFRAC(MAX($P$34*($B301+IF($R$17="Distrato",$I$38-1,0)),IF(AND($L$37=0,$P$34=0),"",$L$37-1),IF($R$17="Distrato",$E301,0)),MIN(Y$38,$D$19),$P$20))-SUM($P301:X301)</f>
        <v>#VALUE!</v>
      </c>
      <c r="Z301" s="446" t="e">
        <f>IF(OR($B301="",MIN(Z$38,$D$19)&lt;MAX($P$34*($B301+IF($R$17="Distrato",$I$38-1,0)),IF(AND($L$37=0,$P$34=0),"",$L$37-1),IF($R$17="Distrato",$E301,0))),0,YEARFRAC(MAX($P$34*($B301+IF($R$17="Distrato",$I$38-1,0)),IF(AND($L$37=0,$P$34=0),"",$L$37-1),IF($R$17="Distrato",$E301,0)),MIN(Z$38,$D$19),$P$20))-SUM($P301:Y301)</f>
        <v>#VALUE!</v>
      </c>
      <c r="AA301" s="446" t="e">
        <f>IF(OR($B301="",MIN(AA$38,$D$19)&lt;MAX($P$34*($B301+IF($R$17="Distrato",$I$38-1,0)),IF(AND($L$37=0,$P$34=0),"",$L$37-1),IF($R$17="Distrato",$E301,0))),0,YEARFRAC(MAX($P$34*($B301+IF($R$17="Distrato",$I$38-1,0)),IF(AND($L$37=0,$P$34=0),"",$L$37-1),IF($R$17="Distrato",$E301,0)),MIN(AA$38,$D$19),$P$20))-SUM($P301:Z301)</f>
        <v>#VALUE!</v>
      </c>
      <c r="AB301" s="446" t="e">
        <f>IF(OR($B301="",MIN(AB$38,$D$19)&lt;MAX($P$34*($B301+IF($R$17="Distrato",$I$38-1,0)),IF(AND($L$37=0,$P$34=0),"",$L$37-1),IF($R$17="Distrato",$E301,0))),0,YEARFRAC(MAX($P$34*($B301+IF($R$17="Distrato",$I$38-1,0)),IF(AND($L$37=0,$P$34=0),"",$L$37-1),IF($R$17="Distrato",$E301,0)),MIN(AB$38,$D$19),$P$20))-SUM($P301:AA301)</f>
        <v>#VALUE!</v>
      </c>
      <c r="AC301" s="446" t="e">
        <f>IF(OR($B301="",MIN(AC$38,$D$19)&lt;MAX($P$34*($B301+IF($R$17="Distrato",$I$38-1,0)),IF(AND($L$37=0,$P$34=0),"",$L$37-1),IF($R$17="Distrato",$E301,0))),0,YEARFRAC(MAX($P$34*($B301+IF($R$17="Distrato",$I$38-1,0)),IF(AND($L$37=0,$P$34=0),"",$L$37-1),IF($R$17="Distrato",$E301,0)),MIN(AC$38,$D$19),$P$20))-SUM($P301:AB301)</f>
        <v>#VALUE!</v>
      </c>
      <c r="AD301" s="446" t="e">
        <f>IF(OR($B301="",MIN(AD$38,$D$19)&lt;MAX($P$34*($B301+IF($R$17="Distrato",$I$38-1,0)),IF(AND($L$37=0,$P$34=0),"",$L$37-1),IF($R$17="Distrato",$E301,0))),0,YEARFRAC(MAX($P$34*($B301+IF($R$17="Distrato",$I$38-1,0)),IF(AND($L$37=0,$P$34=0),"",$L$37-1),IF($R$17="Distrato",$E301,0)),MIN(AD$38,$D$19),$P$20))-SUM($P301:AC301)</f>
        <v>#VALUE!</v>
      </c>
      <c r="AE301" s="446" t="e">
        <f>IF(OR($B301="",MIN(AE$38,$D$19)&lt;MAX($P$34*($B301+IF($R$17="Distrato",$I$38-1,0)),IF(AND($L$37=0,$P$34=0),"",$L$37-1),IF($R$17="Distrato",$E301,0))),0,YEARFRAC(MAX($P$34*($B301+IF($R$17="Distrato",$I$38-1,0)),IF(AND($L$37=0,$P$34=0),"",$L$37-1),IF($R$17="Distrato",$E301,0)),MIN(AE$38,$D$19),$P$20))-SUM($P301:AD301)</f>
        <v>#VALUE!</v>
      </c>
      <c r="AF301" s="446" t="e">
        <f>IF(OR($B301="",MIN(AF$38,$D$19)&lt;MAX($P$34*($B301+IF($R$17="Distrato",$I$38-1,0)),IF(AND($L$37=0,$P$34=0),"",$L$37-1),IF($R$17="Distrato",$E301,0))),0,YEARFRAC(MAX($P$34*($B301+IF($R$17="Distrato",$I$38-1,0)),IF(AND($L$37=0,$P$34=0),"",$L$37-1),IF($R$17="Distrato",$E301,0)),MIN(AF$38,$D$19),$P$20))-SUM($P301:AE301)</f>
        <v>#VALUE!</v>
      </c>
      <c r="AG301" s="446" t="e">
        <f>IF(OR($B301="",MIN(AG$38,$D$19)&lt;MAX($P$34*($B301+IF($R$17="Distrato",$I$38-1,0)),IF(AND($L$37=0,$P$34=0),"",$L$37-1),IF($R$17="Distrato",$E301,0))),0,YEARFRAC(MAX($P$34*($B301+IF($R$17="Distrato",$I$38-1,0)),IF(AND($L$37=0,$P$34=0),"",$L$37-1),IF($R$17="Distrato",$E301,0)),MIN(AG$38,$D$19),$P$20))-SUM($P301:AF301)</f>
        <v>#VALUE!</v>
      </c>
      <c r="AH301" s="446" t="e">
        <f>IF(OR($B301="",MIN(AH$38,$D$19)&lt;MAX($P$34*($B301+IF($R$17="Distrato",$I$38-1,0)),IF(AND($L$37=0,$P$34=0),"",$L$37-1),IF($R$17="Distrato",$E301,0))),0,YEARFRAC(MAX($P$34*($B301+IF($R$17="Distrato",$I$38-1,0)),IF(AND($L$37=0,$P$34=0),"",$L$37-1),IF($R$17="Distrato",$E301,0)),MIN(AH$38,$D$19),$P$20))-SUM($P301:AG301)</f>
        <v>#VALUE!</v>
      </c>
      <c r="AI301" s="446" t="e">
        <f>IF(OR($B301="",MIN(AI$38,$D$19)&lt;MAX($P$34*($B301+IF($R$17="Distrato",$I$38-1,0)),IF(AND($L$37=0,$P$34=0),"",$L$37-1),IF($R$17="Distrato",$E301,0))),0,YEARFRAC(MAX($P$34*($B301+IF($R$17="Distrato",$I$38-1,0)),IF(AND($L$37=0,$P$34=0),"",$L$37-1),IF($R$17="Distrato",$E301,0)),MIN(AI$38,$D$19),$P$20))-SUM($P301:AH301)</f>
        <v>#VALUE!</v>
      </c>
      <c r="AJ301" s="446" t="e">
        <f>IF(OR($B301="",MIN(AJ$38,$D$19)&lt;MAX($P$34*($B301+IF($R$17="Distrato",$I$38-1,0)),IF(AND($L$37=0,$P$34=0),"",$L$37-1),IF($R$17="Distrato",$E301,0))),0,YEARFRAC(MAX($P$34*($B301+IF($R$17="Distrato",$I$38-1,0)),IF(AND($L$37=0,$P$34=0),"",$L$37-1),IF($R$17="Distrato",$E301,0)),MIN(AJ$38,$D$19),$P$20))-SUM($P301:AI301)</f>
        <v>#VALUE!</v>
      </c>
      <c r="AK301" s="446" t="e">
        <f>IF(OR($B301="",MIN(AK$38,$D$19)&lt;MAX($P$34*($B301+IF($R$17="Distrato",$I$38-1,0)),IF(AND($L$37=0,$P$34=0),"",$L$37-1),IF($R$17="Distrato",$E301,0))),0,YEARFRAC(MAX($P$34*($B301+IF($R$17="Distrato",$I$38-1,0)),IF(AND($L$37=0,$P$34=0),"",$L$37-1),IF($R$17="Distrato",$E301,0)),MIN(AK$38,$D$19),$P$20))-SUM($P301:AJ301)</f>
        <v>#VALUE!</v>
      </c>
      <c r="AL301" s="446" t="e">
        <f>IF(OR($B301="",MIN(AL$38,$D$19)&lt;MAX($P$34*($B301+IF($R$17="Distrato",$I$38-1,0)),IF(AND($L$37=0,$P$34=0),"",$L$37-1),IF($R$17="Distrato",$E301,0))),0,YEARFRAC(MAX($P$34*($B301+IF($R$17="Distrato",$I$38-1,0)),IF(AND($L$37=0,$P$34=0),"",$L$37-1),IF($R$17="Distrato",$E301,0)),MIN(AL$38,$D$19),$P$20))-SUM($P301:AK301)</f>
        <v>#VALUE!</v>
      </c>
      <c r="AM301" s="446" t="e">
        <f>IF(OR($B301="",MIN(AM$38,$D$19)&lt;MAX($P$34*($B301+IF($R$17="Distrato",$I$38-1,0)),IF(AND($L$37=0,$P$34=0),"",$L$37-1),IF($R$17="Distrato",$E301,0))),0,YEARFRAC(MAX($P$34*($B301+IF($R$17="Distrato",$I$38-1,0)),IF(AND($L$37=0,$P$34=0),"",$L$37-1),IF($R$17="Distrato",$E301,0)),MIN(AM$38,$D$19),$P$20))-SUM($P301:AL301)</f>
        <v>#VALUE!</v>
      </c>
      <c r="AN301" s="446" t="e">
        <f>IF(OR($B301="",MIN(AN$38,$D$19)&lt;MAX($P$34*($B301+IF($R$17="Distrato",$I$38-1,0)),IF(AND($L$37=0,$P$34=0),"",$L$37-1),IF($R$17="Distrato",$E301,0))),0,YEARFRAC(MAX($P$34*($B301+IF($R$17="Distrato",$I$38-1,0)),IF(AND($L$37=0,$P$34=0),"",$L$37-1),IF($R$17="Distrato",$E301,0)),MIN(AN$38,$D$19),$P$20))-SUM($P301:AM301)</f>
        <v>#VALUE!</v>
      </c>
      <c r="AO301" s="446" t="e">
        <f>IF(OR($B301="",MIN(AO$38,$D$19)&lt;MAX($P$34*($B301+IF($R$17="Distrato",$I$38-1,0)),IF(AND($L$37=0,$P$34=0),"",$L$37-1),IF($R$17="Distrato",$E301,0))),0,YEARFRAC(MAX($P$34*($B301+IF($R$17="Distrato",$I$38-1,0)),IF(AND($L$37=0,$P$34=0),"",$L$37-1),IF($R$17="Distrato",$E301,0)),MIN(AO$38,$D$19),$P$20))-SUM($P301:AN301)</f>
        <v>#VALUE!</v>
      </c>
      <c r="AP301" s="446" t="e">
        <f>IF(OR($B301="",MIN(AP$38,$D$19)&lt;MAX($P$34*($B301+IF($R$17="Distrato",$I$38-1,0)),IF(AND($L$37=0,$P$34=0),"",$L$37-1),IF($R$17="Distrato",$E301,0))),0,YEARFRAC(MAX($P$34*($B301+IF($R$17="Distrato",$I$38-1,0)),IF(AND($L$37=0,$P$34=0),"",$L$37-1),IF($R$17="Distrato",$E301,0)),MIN(AP$38,$D$19),$P$20))-SUM($P301:AO301)</f>
        <v>#VALUE!</v>
      </c>
      <c r="AQ301" s="446" t="e">
        <f>IF(OR($B301="",MIN(AQ$38,$D$19)&lt;MAX($P$34*($B301+IF($R$17="Distrato",$I$38-1,0)),IF(AND($L$37=0,$P$34=0),"",$L$37-1),IF($R$17="Distrato",$E301,0))),0,YEARFRAC(MAX($P$34*($B301+IF($R$17="Distrato",$I$38-1,0)),IF(AND($L$37=0,$P$34=0),"",$L$37-1),IF($R$17="Distrato",$E301,0)),MIN(AQ$38,$D$19),$P$20))-SUM($P301:AP301)</f>
        <v>#VALUE!</v>
      </c>
      <c r="AR301" s="446" t="e">
        <f>IF(OR($B301="",MIN(AR$38,$D$19)&lt;MAX($P$34*($B301+IF($R$17="Distrato",$I$38-1,0)),IF(AND($L$37=0,$P$34=0),"",$L$37-1),IF($R$17="Distrato",$E301,0))),0,YEARFRAC(MAX($P$34*($B301+IF($R$17="Distrato",$I$38-1,0)),IF(AND($L$37=0,$P$34=0),"",$L$37-1),IF($R$17="Distrato",$E301,0)),MIN(AR$38,$D$19),$P$20))-SUM($P301:AQ301)</f>
        <v>#VALUE!</v>
      </c>
      <c r="AS301" s="446" t="e">
        <f>IF(OR($B301="",MIN(AS$38,$D$19)&lt;MAX($P$34*($B301+IF($R$17="Distrato",$I$38-1,0)),IF(AND($L$37=0,$P$34=0),"",$L$37-1),IF($R$17="Distrato",$E301,0))),0,YEARFRAC(MAX($P$34*($B301+IF($R$17="Distrato",$I$38-1,0)),IF(AND($L$37=0,$P$34=0),"",$L$37-1),IF($R$17="Distrato",$E301,0)),MIN(AS$38,$D$19),$P$20))-SUM($P301:AR301)</f>
        <v>#VALUE!</v>
      </c>
      <c r="AT301" s="446" t="e">
        <f>IF(OR($B301="",MIN(AT$38,$D$19)&lt;MAX($P$34*($B301+IF($R$17="Distrato",$I$38-1,0)),IF(AND($L$37=0,$P$34=0),"",$L$37-1),IF($R$17="Distrato",$E301,0))),0,YEARFRAC(MAX($P$34*($B301+IF($R$17="Distrato",$I$38-1,0)),IF(AND($L$37=0,$P$34=0),"",$L$37-1),IF($R$17="Distrato",$E301,0)),MIN(AT$38,$D$19),$P$20))-SUM($P301:AS301)</f>
        <v>#VALUE!</v>
      </c>
      <c r="AU301" s="446" t="e">
        <f>IF(OR($B301="",MIN(AU$38,$D$19)&lt;MAX($P$34*($B301+IF($R$17="Distrato",$I$38-1,0)),IF(AND($L$37=0,$P$34=0),"",$L$37-1),IF($R$17="Distrato",$E301,0))),0,YEARFRAC(MAX($P$34*($B301+IF($R$17="Distrato",$I$38-1,0)),IF(AND($L$37=0,$P$34=0),"",$L$37-1),IF($R$17="Distrato",$E301,0)),MIN(AU$38,$D$19),$P$20))-SUM($P301:AT301)</f>
        <v>#VALUE!</v>
      </c>
      <c r="AV301" s="446" t="e">
        <f>IF(OR($B301="",MIN(AV$38,$D$19)&lt;MAX($P$34*($B301+IF($R$17="Distrato",$I$38-1,0)),IF(AND($L$37=0,$P$34=0),"",$L$37-1),IF($R$17="Distrato",$E301,0))),0,YEARFRAC(MAX($P$34*($B301+IF($R$17="Distrato",$I$38-1,0)),IF(AND($L$37=0,$P$34=0),"",$L$37-1),IF($R$17="Distrato",$E301,0)),MIN(AV$38,$D$19),$P$20))-SUM($P301:AU301)</f>
        <v>#VALUE!</v>
      </c>
      <c r="AW301" s="446" t="e">
        <f>IF(OR($B301="",MIN(AW$38,$D$19)&lt;MAX($P$34*($B301+IF($R$17="Distrato",$I$38-1,0)),IF(AND($L$37=0,$P$34=0),"",$L$37-1),IF($R$17="Distrato",$E301,0))),0,YEARFRAC(MAX($P$34*($B301+IF($R$17="Distrato",$I$38-1,0)),IF(AND($L$37=0,$P$34=0),"",$L$37-1),IF($R$17="Distrato",$E301,0)),MIN(AW$38,$D$19),$P$20))-SUM($P301:AV301)</f>
        <v>#VALUE!</v>
      </c>
      <c r="AX301" s="446" t="e">
        <f>IF(OR($B301="",MIN(AX$38,$D$19)&lt;MAX($P$34*($B301+IF($R$17="Distrato",$I$38-1,0)),IF(AND($L$37=0,$P$34=0),"",$L$37-1),IF($R$17="Distrato",$E301,0))),0,YEARFRAC(MAX($P$34*($B301+IF($R$17="Distrato",$I$38-1,0)),IF(AND($L$37=0,$P$34=0),"",$L$37-1),IF($R$17="Distrato",$E301,0)),MIN(AX$38,$D$19),$P$20))-SUM($P301:AW301)</f>
        <v>#VALUE!</v>
      </c>
      <c r="AY301" s="446" t="e">
        <f>IF(OR($B301="",MIN(AY$38,$D$19)&lt;MAX($P$34*($B301+IF($R$17="Distrato",$I$38-1,0)),IF(AND($L$37=0,$P$34=0),"",$L$37-1),IF($R$17="Distrato",$E301,0))),0,YEARFRAC(MAX($P$34*($B301+IF($R$17="Distrato",$I$38-1,0)),IF(AND($L$37=0,$P$34=0),"",$L$37-1),IF($R$17="Distrato",$E301,0)),MIN(AY$38,$D$19),$P$20))-SUM($P301:AX301)</f>
        <v>#VALUE!</v>
      </c>
      <c r="AZ301" s="446" t="e">
        <f>IF(OR($B301="",MIN(AZ$38,$D$19)&lt;MAX($P$34*($B301+IF($R$17="Distrato",$I$38-1,0)),IF(AND($L$37=0,$P$34=0),"",$L$37-1),IF($R$17="Distrato",$E301,0))),0,YEARFRAC(MAX($P$34*($B301+IF($R$17="Distrato",$I$38-1,0)),IF(AND($L$37=0,$P$34=0),"",$L$37-1),IF($R$17="Distrato",$E301,0)),MIN(AZ$38,$D$19),$P$20))-SUM($P301:AY301)</f>
        <v>#VALUE!</v>
      </c>
      <c r="BA301" s="446" t="e">
        <f>IF(OR($B301="",MIN(BA$38,$D$19)&lt;MAX($P$34*($B301+IF($R$17="Distrato",$I$38-1,0)),IF(AND($L$37=0,$P$34=0),"",$L$37-1),IF($R$17="Distrato",$E301,0))),0,YEARFRAC(MAX($P$34*($B301+IF($R$17="Distrato",$I$38-1,0)),IF(AND($L$37=0,$P$34=0),"",$L$37-1),IF($R$17="Distrato",$E301,0)),MIN(BA$38,$D$19),$P$20))-SUM($P301:AZ301)</f>
        <v>#VALUE!</v>
      </c>
      <c r="BB301" s="447"/>
      <c r="BF301" s="446">
        <f t="shared" si="54"/>
        <v>0</v>
      </c>
      <c r="BG301" s="446">
        <f>IF($E301=0,0,IF(MIN(BG$38,$E301)&lt;MAX($P$34*($B301+$I$38-1),IF(AND($L$37=0,$P$34=0),"",$L$37-1)),0,YEARFRAC(MAX($P$34*($B301+$I$38-1),IF(AND($L$37=0,$P$34=0),"",$L$37-1)),MIN(BG$38,$E301),$P$20))-SUM($BF301:BF301))</f>
        <v>0</v>
      </c>
      <c r="BH301" s="446">
        <f>IF($E301=0,0,IF(MIN(BH$38,$E301)&lt;MAX($P$34*($B301+$I$38-1),IF(AND($L$37=0,$P$34=0),"",$L$37-1)),0,YEARFRAC(MAX($P$34*($B301+$I$38-1),IF(AND($L$37=0,$P$34=0),"",$L$37-1)),MIN(BH$38,$E301),$P$20))-SUM($BF301:BG301))</f>
        <v>0</v>
      </c>
      <c r="BI301" s="446">
        <f>IF($E301=0,0,IF(MIN(BI$38,$E301)&lt;MAX($P$34*($B301+$I$38-1),IF(AND($L$37=0,$P$34=0),"",$L$37-1)),0,YEARFRAC(MAX($P$34*($B301+$I$38-1),IF(AND($L$37=0,$P$34=0),"",$L$37-1)),MIN(BI$38,$E301),$P$20))-SUM($BF301:BH301))</f>
        <v>0</v>
      </c>
      <c r="BJ301" s="446">
        <f>IF($E301=0,0,IF(MIN(BJ$38,$E301)&lt;MAX($P$34*($B301+$I$38-1),IF(AND($L$37=0,$P$34=0),"",$L$37-1)),0,YEARFRAC(MAX($P$34*($B301+$I$38-1),IF(AND($L$37=0,$P$34=0),"",$L$37-1)),MIN(BJ$38,$E301),$P$20))-SUM($BF301:BI301))</f>
        <v>0</v>
      </c>
      <c r="BK301" s="446">
        <f>IF($E301=0,0,IF(MIN(BK$38,$E301)&lt;MAX($P$34*($B301+$I$38-1),IF(AND($L$37=0,$P$34=0),"",$L$37-1)),0,YEARFRAC(MAX($P$34*($B301+$I$38-1),IF(AND($L$37=0,$P$34=0),"",$L$37-1)),MIN(BK$38,$E301),$P$20))-SUM($BF301:BJ301))</f>
        <v>0</v>
      </c>
      <c r="BL301" s="446">
        <f>IF($E301=0,0,IF(MIN(BL$38,$E301)&lt;MAX($P$34*($B301+$I$38-1),IF(AND($L$37=0,$P$34=0),"",$L$37-1)),0,YEARFRAC(MAX($P$34*($B301+$I$38-1),IF(AND($L$37=0,$P$34=0),"",$L$37-1)),MIN(BL$38,$E301),$P$20))-SUM($BF301:BK301))</f>
        <v>0</v>
      </c>
      <c r="BM301" s="446">
        <f>IF($E301=0,0,IF(MIN(BM$38,$E301)&lt;MAX($P$34*($B301+$I$38-1),IF(AND($L$37=0,$P$34=0),"",$L$37-1)),0,YEARFRAC(MAX($P$34*($B301+$I$38-1),IF(AND($L$37=0,$P$34=0),"",$L$37-1)),MIN(BM$38,$E301),$P$20))-SUM($BF301:BL301))</f>
        <v>0</v>
      </c>
      <c r="BN301" s="446">
        <f>IF($E301=0,0,IF(MIN(BN$38,$E301)&lt;MAX($P$34*($B301+$I$38-1),IF(AND($L$37=0,$P$34=0),"",$L$37-1)),0,YEARFRAC(MAX($P$34*($B301+$I$38-1),IF(AND($L$37=0,$P$34=0),"",$L$37-1)),MIN(BN$38,$E301),$P$20))-SUM($BF301:BM301))</f>
        <v>0</v>
      </c>
      <c r="BO301" s="446">
        <f>IF($E301=0,0,IF(MIN(BO$38,$E301)&lt;MAX($P$34*($B301+$I$38-1),IF(AND($L$37=0,$P$34=0),"",$L$37-1)),0,YEARFRAC(MAX($P$34*($B301+$I$38-1),IF(AND($L$37=0,$P$34=0),"",$L$37-1)),MIN(BO$38,$E301),$P$20))-SUM($BF301:BN301))</f>
        <v>0</v>
      </c>
      <c r="BP301" s="446">
        <f>IF($E301=0,0,IF(MIN(BP$38,$E301)&lt;MAX($P$34*($B301+$I$38-1),IF(AND($L$37=0,$P$34=0),"",$L$37-1)),0,YEARFRAC(MAX($P$34*($B301+$I$38-1),IF(AND($L$37=0,$P$34=0),"",$L$37-1)),MIN(BP$38,$E301),$P$20))-SUM($BF301:BO301))</f>
        <v>0</v>
      </c>
      <c r="BQ301" s="446">
        <f>IF($E301=0,0,IF(MIN(BQ$38,$E301)&lt;MAX($P$34*($B301+$I$38-1),IF(AND($L$37=0,$P$34=0),"",$L$37-1)),0,YEARFRAC(MAX($P$34*($B301+$I$38-1),IF(AND($L$37=0,$P$34=0),"",$L$37-1)),MIN(BQ$38,$E301),$P$20))-SUM($BF301:BP301))</f>
        <v>0</v>
      </c>
      <c r="BR301" s="446">
        <f>IF($E301=0,0,IF(MIN(BR$38,$E301)&lt;MAX($P$34*($B301+$I$38-1),IF(AND($L$37=0,$P$34=0),"",$L$37-1)),0,YEARFRAC(MAX($P$34*($B301+$I$38-1),IF(AND($L$37=0,$P$34=0),"",$L$37-1)),MIN(BR$38,$E301),$P$20))-SUM($BF301:BQ301))</f>
        <v>0</v>
      </c>
      <c r="BS301" s="446">
        <f>IF($E301=0,0,IF(MIN(BS$38,$E301)&lt;MAX($P$34*($B301+$I$38-1),IF(AND($L$37=0,$P$34=0),"",$L$37-1)),0,YEARFRAC(MAX($P$34*($B301+$I$38-1),IF(AND($L$37=0,$P$34=0),"",$L$37-1)),MIN(BS$38,$E301),$P$20))-SUM($BF301:BR301))</f>
        <v>0</v>
      </c>
      <c r="BT301" s="446">
        <f>IF($E301=0,0,IF(MIN(BT$38,$E301)&lt;MAX($P$34*($B301+$I$38-1),IF(AND($L$37=0,$P$34=0),"",$L$37-1)),0,YEARFRAC(MAX($P$34*($B301+$I$38-1),IF(AND($L$37=0,$P$34=0),"",$L$37-1)),MIN(BT$38,$E301),$P$20))-SUM($BF301:BS301))</f>
        <v>0</v>
      </c>
      <c r="BU301" s="446">
        <f>IF($E301=0,0,IF(MIN(BU$38,$E301)&lt;MAX($P$34*($B301+$I$38-1),IF(AND($L$37=0,$P$34=0),"",$L$37-1)),0,YEARFRAC(MAX($P$34*($B301+$I$38-1),IF(AND($L$37=0,$P$34=0),"",$L$37-1)),MIN(BU$38,$E301),$P$20))-SUM($BF301:BT301))</f>
        <v>0</v>
      </c>
      <c r="BV301" s="446">
        <f>IF($E301=0,0,IF(MIN(BV$38,$E301)&lt;MAX($P$34*($B301+$I$38-1),IF(AND($L$37=0,$P$34=0),"",$L$37-1)),0,YEARFRAC(MAX($P$34*($B301+$I$38-1),IF(AND($L$37=0,$P$34=0),"",$L$37-1)),MIN(BV$38,$E301),$P$20))-SUM($BF301:BU301))</f>
        <v>0</v>
      </c>
      <c r="BW301" s="446">
        <f>IF($E301=0,0,IF(MIN(BW$38,$E301)&lt;MAX($P$34*($B301+$I$38-1),IF(AND($L$37=0,$P$34=0),"",$L$37-1)),0,YEARFRAC(MAX($P$34*($B301+$I$38-1),IF(AND($L$37=0,$P$34=0),"",$L$37-1)),MIN(BW$38,$E301),$P$20))-SUM($BF301:BV301))</f>
        <v>0</v>
      </c>
      <c r="BX301" s="446">
        <f>IF($E301=0,0,IF(MIN(BX$38,$E301)&lt;MAX($P$34*($B301+$I$38-1),IF(AND($L$37=0,$P$34=0),"",$L$37-1)),0,YEARFRAC(MAX($P$34*($B301+$I$38-1),IF(AND($L$37=0,$P$34=0),"",$L$37-1)),MIN(BX$38,$E301),$P$20))-SUM($BF301:BW301))</f>
        <v>0</v>
      </c>
      <c r="BY301" s="446">
        <f>IF($E301=0,0,IF(MIN(BY$38,$E301)&lt;MAX($P$34*($B301+$I$38-1),IF(AND($L$37=0,$P$34=0),"",$L$37-1)),0,YEARFRAC(MAX($P$34*($B301+$I$38-1),IF(AND($L$37=0,$P$34=0),"",$L$37-1)),MIN(BY$38,$E301),$P$20))-SUM($BF301:BX301))</f>
        <v>0</v>
      </c>
      <c r="BZ301" s="446">
        <f>IF($E301=0,0,IF(MIN(BZ$38,$E301)&lt;MAX($P$34*($B301+$I$38-1),IF(AND($L$37=0,$P$34=0),"",$L$37-1)),0,YEARFRAC(MAX($P$34*($B301+$I$38-1),IF(AND($L$37=0,$P$34=0),"",$L$37-1)),MIN(BZ$38,$E301),$P$20))-SUM($BF301:BY301))</f>
        <v>0</v>
      </c>
      <c r="CA301" s="446">
        <f>IF($E301=0,0,IF(MIN(CA$38,$E301)&lt;MAX($P$34*($B301+$I$38-1),IF(AND($L$37=0,$P$34=0),"",$L$37-1)),0,YEARFRAC(MAX($P$34*($B301+$I$38-1),IF(AND($L$37=0,$P$34=0),"",$L$37-1)),MIN(CA$38,$E301),$P$20))-SUM($BF301:BZ301))</f>
        <v>0</v>
      </c>
      <c r="CB301" s="446">
        <f>IF($E301=0,0,IF(MIN(CB$38,$E301)&lt;MAX($P$34*($B301+$I$38-1),IF(AND($L$37=0,$P$34=0),"",$L$37-1)),0,YEARFRAC(MAX($P$34*($B301+$I$38-1),IF(AND($L$37=0,$P$34=0),"",$L$37-1)),MIN(CB$38,$E301),$P$20))-SUM($BF301:CA301))</f>
        <v>0</v>
      </c>
      <c r="CC301" s="446">
        <f>IF($E301=0,0,IF(MIN(CC$38,$E301)&lt;MAX($P$34*($B301+$I$38-1),IF(AND($L$37=0,$P$34=0),"",$L$37-1)),0,YEARFRAC(MAX($P$34*($B301+$I$38-1),IF(AND($L$37=0,$P$34=0),"",$L$37-1)),MIN(CC$38,$E301),$P$20))-SUM($BF301:CB301))</f>
        <v>0</v>
      </c>
      <c r="CD301" s="446">
        <f>IF($E301=0,0,IF(MIN(CD$38,$E301)&lt;MAX($P$34*($B301+$I$38-1),IF(AND($L$37=0,$P$34=0),"",$L$37-1)),0,YEARFRAC(MAX($P$34*($B301+$I$38-1),IF(AND($L$37=0,$P$34=0),"",$L$37-1)),MIN(CD$38,$E301),$P$20))-SUM($BF301:CC301))</f>
        <v>0</v>
      </c>
      <c r="CE301" s="446">
        <f>IF($E301=0,0,IF(MIN(CE$38,$E301)&lt;MAX($P$34*($B301+$I$38-1),IF(AND($L$37=0,$P$34=0),"",$L$37-1)),0,YEARFRAC(MAX($P$34*($B301+$I$38-1),IF(AND($L$37=0,$P$34=0),"",$L$37-1)),MIN(CE$38,$E301),$P$20))-SUM($BF301:CD301))</f>
        <v>0</v>
      </c>
      <c r="CF301" s="446">
        <f>IF($E301=0,0,IF(MIN(CF$38,$E301)&lt;MAX($P$34*($B301+$I$38-1),IF(AND($L$37=0,$P$34=0),"",$L$37-1)),0,YEARFRAC(MAX($P$34*($B301+$I$38-1),IF(AND($L$37=0,$P$34=0),"",$L$37-1)),MIN(CF$38,$E301),$P$20))-SUM($BF301:CE301))</f>
        <v>0</v>
      </c>
      <c r="CG301" s="446">
        <f>IF($E301=0,0,IF(MIN(CG$38,$E301)&lt;MAX($P$34*($B301+$I$38-1),IF(AND($L$37=0,$P$34=0),"",$L$37-1)),0,YEARFRAC(MAX($P$34*($B301+$I$38-1),IF(AND($L$37=0,$P$34=0),"",$L$37-1)),MIN(CG$38,$E301),$P$20))-SUM($BF301:CF301))</f>
        <v>0</v>
      </c>
      <c r="CH301" s="446">
        <f>IF($E301=0,0,IF(MIN(CH$38,$E301)&lt;MAX($P$34*($B301+$I$38-1),IF(AND($L$37=0,$P$34=0),"",$L$37-1)),0,YEARFRAC(MAX($P$34*($B301+$I$38-1),IF(AND($L$37=0,$P$34=0),"",$L$37-1)),MIN(CH$38,$E301),$P$20))-SUM($BF301:CG301))</f>
        <v>0</v>
      </c>
      <c r="CI301" s="446">
        <f>IF($E301=0,0,IF(MIN(CI$38,$E301)&lt;MAX($P$34*($B301+$I$38-1),IF(AND($L$37=0,$P$34=0),"",$L$37-1)),0,YEARFRAC(MAX($P$34*($B301+$I$38-1),IF(AND($L$37=0,$P$34=0),"",$L$37-1)),MIN(CI$38,$E301),$P$20))-SUM($BF301:CH301))</f>
        <v>0</v>
      </c>
      <c r="CJ301" s="446">
        <f>IF($E301=0,0,IF(MIN(CJ$38,$E301)&lt;MAX($P$34*($B301+$I$38-1),IF(AND($L$37=0,$P$34=0),"",$L$37-1)),0,YEARFRAC(MAX($P$34*($B301+$I$38-1),IF(AND($L$37=0,$P$34=0),"",$L$37-1)),MIN(CJ$38,$E301),$P$20))-SUM($BF301:CI301))</f>
        <v>0</v>
      </c>
      <c r="CK301" s="446">
        <f>IF($E301=0,0,IF(MIN(CK$38,$E301)&lt;MAX($P$34*($B301+$I$38-1),IF(AND($L$37=0,$P$34=0),"",$L$37-1)),0,YEARFRAC(MAX($P$34*($B301+$I$38-1),IF(AND($L$37=0,$P$34=0),"",$L$37-1)),MIN(CK$38,$E301),$P$20))-SUM($BF301:CJ301))</f>
        <v>0</v>
      </c>
      <c r="CL301" s="446">
        <f>IF($E301=0,0,IF(MIN(CL$38,$E301)&lt;MAX($P$34*($B301+$I$38-1),IF(AND($L$37=0,$P$34=0),"",$L$37-1)),0,YEARFRAC(MAX($P$34*($B301+$I$38-1),IF(AND($L$37=0,$P$34=0),"",$L$37-1)),MIN(CL$38,$E301),$P$20))-SUM($BF301:CK301))</f>
        <v>0</v>
      </c>
      <c r="CM301" s="446">
        <f>IF($E301=0,0,IF(MIN(CM$38,$E301)&lt;MAX($P$34*($B301+$I$38-1),IF(AND($L$37=0,$P$34=0),"",$L$37-1)),0,YEARFRAC(MAX($P$34*($B301+$I$38-1),IF(AND($L$37=0,$P$34=0),"",$L$37-1)),MIN(CM$38,$E301),$P$20))-SUM($BF301:CL301))</f>
        <v>0</v>
      </c>
      <c r="CN301" s="446">
        <f>IF($E301=0,0,IF(MIN(CN$38,$E301)&lt;MAX($P$34*($B301+$I$38-1),IF(AND($L$37=0,$P$34=0),"",$L$37-1)),0,YEARFRAC(MAX($P$34*($B301+$I$38-1),IF(AND($L$37=0,$P$34=0),"",$L$37-1)),MIN(CN$38,$E301),$P$20))-SUM($BF301:CM301))</f>
        <v>0</v>
      </c>
      <c r="CO301" s="446">
        <f>IF($E301=0,0,IF(MIN(CO$38,$E301)&lt;MAX($P$34*($B301+$I$38-1),IF(AND($L$37=0,$P$34=0),"",$L$37-1)),0,YEARFRAC(MAX($P$34*($B301+$I$38-1),IF(AND($L$37=0,$P$34=0),"",$L$37-1)),MIN(CO$38,$E301),$P$20))-SUM($BF301:CN301))</f>
        <v>0</v>
      </c>
      <c r="CP301" s="446">
        <f>IF($E301=0,0,IF(MIN(CP$38,$E301)&lt;MAX($P$34*($B301+$I$38-1),IF(AND($L$37=0,$P$34=0),"",$L$37-1)),0,YEARFRAC(MAX($P$34*($B301+$I$38-1),IF(AND($L$37=0,$P$34=0),"",$L$37-1)),MIN(CP$38,$E301),$P$20))-SUM($BF301:CO301))</f>
        <v>0</v>
      </c>
      <c r="CQ301" s="446">
        <f>IF($E301=0,0,IF(MIN(CQ$38,$E301)&lt;MAX($P$34*($B301+$I$38-1),IF(AND($L$37=0,$P$34=0),"",$L$37-1)),0,YEARFRAC(MAX($P$34*($B301+$I$38-1),IF(AND($L$37=0,$P$34=0),"",$L$37-1)),MIN(CQ$38,$E301),$P$20))-SUM($BF301:CP301))</f>
        <v>0</v>
      </c>
    </row>
    <row r="302" spans="1:95" s="446" customFormat="1" ht="11.25" hidden="1" customHeight="1" x14ac:dyDescent="0.2">
      <c r="A302" s="152"/>
      <c r="B302" s="153" t="str">
        <f t="shared" si="59"/>
        <v/>
      </c>
      <c r="C302" s="29" t="str">
        <f>IF(B302="","",IF($L$35="SELIC - TRIBUTOS",VLOOKUP(DATE(YEAR($D$19),MONTH($D$19)-1,1),ÍNDICES!$A:$DE,HLOOKUP($BL$25,ÍNDICES!$B$3:$T$4,2)+11)-VLOOKUP(B302,ÍNDICES!$A:$DE,HLOOKUP($BL$25,ÍNDICES!$B$3:$T$4,2)+11)+1%,IF(C$38=$W$26,$J$35,IF(ISERROR(IF(B302&gt;$D$19,1,VLOOKUP(DATE(YEAR(B302),MONTH(B302)+IF($C$35=$S$23,1,0),1),ÍNDICES!$A:$DE,$Z$35+1))),"",IF(B302&gt;$D$19,1,VLOOKUP(DATE(YEAR(B302),MONTH(B302)+IF($C$35=$S$23,1,0),1),ÍNDICES!$A:$DE,$Z$35+1))))))</f>
        <v/>
      </c>
      <c r="D302" s="154" t="str">
        <f>IF(ISERROR(IF(OR($D$38=$Y$27,$B302=""),"",VLOOKUP(B302,ÍNDICES!A:DE,AF$35+1))),"",IF(OR($D$38=$Y$27,$B302=""),"",VLOOKUP(B302,ÍNDICES!A:DE,AF$35+1)))</f>
        <v/>
      </c>
      <c r="E302" s="153"/>
      <c r="F302" s="29" t="str">
        <f>IF(E302="","",IF($L$35="SELIC - TRIBUTOS",VLOOKUP(DATE(YEAR($D$19),MONTH($D$19)-1,1),ÍNDICES!$A:$DE,HLOOKUP($BL$25,ÍNDICES!$B$3:$T$4,2)+11)-VLOOKUP(E302,ÍNDICES!$A:$DE,HLOOKUP($BL$25,ÍNDICES!$B$3:$T$4,2)+11)+1%,IF(F$38=$W$26,$J$35,IF(ISERROR(IF(E302&gt;$D$19,1,VLOOKUP(DATE(YEAR(E302),MONTH(E302)+IF($C$35=$S$23,1,0),1),ÍNDICES!$A:$DE,$Z$35+1))),"",IF(E302&gt;$D$19,1,VLOOKUP(DATE(YEAR(E302),MONTH(E302)+IF($C$35=$S$23,1,0),1),ÍNDICES!$A:$DE,$Z$35+1))))))</f>
        <v/>
      </c>
      <c r="G302" s="155"/>
      <c r="H302" s="156" t="str">
        <f t="shared" si="55"/>
        <v/>
      </c>
      <c r="I302" s="29" t="str">
        <f t="shared" si="49"/>
        <v/>
      </c>
      <c r="J302" s="5">
        <f t="shared" si="50"/>
        <v>0</v>
      </c>
      <c r="K302" s="20">
        <f t="shared" ca="1" si="51"/>
        <v>0</v>
      </c>
      <c r="L302" s="5">
        <f t="shared" ca="1" si="52"/>
        <v>0</v>
      </c>
      <c r="M302" s="64">
        <f t="shared" si="56"/>
        <v>0</v>
      </c>
      <c r="N302" s="61">
        <f t="shared" ca="1" si="57"/>
        <v>0</v>
      </c>
      <c r="O302" s="5">
        <f t="shared" ca="1" si="58"/>
        <v>0</v>
      </c>
      <c r="P302" s="446" t="e">
        <f t="shared" si="53"/>
        <v>#VALUE!</v>
      </c>
      <c r="Q302" s="446" t="e">
        <f>IF(OR($B302="",MIN(Q$38,$D$19)&lt;MAX($P$34*($B302+IF($R$17="Distrato",$I$38-1,0)),IF(AND($L$37=0,$P$34=0),"",$L$37-1),IF($R$17="Distrato",$E302,0))),0,YEARFRAC(MAX($P$34*($B302+IF($R$17="Distrato",$I$38-1,0)),IF(AND($L$37=0,$P$34=0),"",$L$37-1),IF($R$17="Distrato",$E302,0)),MIN(Q$38,$D$19),$P$20))-SUM($P302:P302)</f>
        <v>#VALUE!</v>
      </c>
      <c r="R302" s="446" t="e">
        <f>IF(OR($B302="",MIN(R$38,$D$19)&lt;MAX($P$34*($B302+IF($R$17="Distrato",$I$38-1,0)),IF(AND($L$37=0,$P$34=0),"",$L$37-1),IF($R$17="Distrato",$E302,0))),0,YEARFRAC(MAX($P$34*($B302+IF($R$17="Distrato",$I$38-1,0)),IF(AND($L$37=0,$P$34=0),"",$L$37-1),IF($R$17="Distrato",$E302,0)),MIN(R$38,$D$19),$P$20))-SUM($P302:Q302)</f>
        <v>#VALUE!</v>
      </c>
      <c r="S302" s="446" t="e">
        <f>IF(OR($B302="",MIN(S$38,$D$19)&lt;MAX($P$34*($B302+IF($R$17="Distrato",$I$38-1,0)),IF(AND($L$37=0,$P$34=0),"",$L$37-1),IF($R$17="Distrato",$E302,0))),0,YEARFRAC(MAX($P$34*($B302+IF($R$17="Distrato",$I$38-1,0)),IF(AND($L$37=0,$P$34=0),"",$L$37-1),IF($R$17="Distrato",$E302,0)),MIN(S$38,$D$19),$P$20))-SUM($P302:R302)</f>
        <v>#VALUE!</v>
      </c>
      <c r="T302" s="446" t="e">
        <f>IF(OR($B302="",MIN(T$38,$D$19)&lt;MAX($P$34*($B302+IF($R$17="Distrato",$I$38-1,0)),IF(AND($L$37=0,$P$34=0),"",$L$37-1),IF($R$17="Distrato",$E302,0))),0,YEARFRAC(MAX($P$34*($B302+IF($R$17="Distrato",$I$38-1,0)),IF(AND($L$37=0,$P$34=0),"",$L$37-1),IF($R$17="Distrato",$E302,0)),MIN(T$38,$D$19),$P$20))-SUM($P302:S302)</f>
        <v>#VALUE!</v>
      </c>
      <c r="U302" s="446" t="e">
        <f>IF(OR($B302="",MIN(U$38,$D$19)&lt;MAX($P$34*($B302+IF($R$17="Distrato",$I$38-1,0)),IF(AND($L$37=0,$P$34=0),"",$L$37-1),IF($R$17="Distrato",$E302,0))),0,YEARFRAC(MAX($P$34*($B302+IF($R$17="Distrato",$I$38-1,0)),IF(AND($L$37=0,$P$34=0),"",$L$37-1),IF($R$17="Distrato",$E302,0)),MIN(U$38,$D$19),$P$20))-SUM($P302:T302)</f>
        <v>#VALUE!</v>
      </c>
      <c r="V302" s="446" t="e">
        <f>IF(OR($B302="",MIN(V$38,$D$19)&lt;MAX($P$34*($B302+IF($R$17="Distrato",$I$38-1,0)),IF(AND($L$37=0,$P$34=0),"",$L$37-1),IF($R$17="Distrato",$E302,0))),0,YEARFRAC(MAX($P$34*($B302+IF($R$17="Distrato",$I$38-1,0)),IF(AND($L$37=0,$P$34=0),"",$L$37-1),IF($R$17="Distrato",$E302,0)),MIN(V$38,$D$19),$P$20))-SUM($P302:U302)</f>
        <v>#VALUE!</v>
      </c>
      <c r="W302" s="446" t="e">
        <f>IF(OR($B302="",MIN(W$38,$D$19)&lt;MAX($P$34*($B302+IF($R$17="Distrato",$I$38-1,0)),IF(AND($L$37=0,$P$34=0),"",$L$37-1),IF($R$17="Distrato",$E302,0))),0,YEARFRAC(MAX($P$34*($B302+IF($R$17="Distrato",$I$38-1,0)),IF(AND($L$37=0,$P$34=0),"",$L$37-1),IF($R$17="Distrato",$E302,0)),MIN(W$38,$D$19),$P$20))-SUM($P302:V302)</f>
        <v>#VALUE!</v>
      </c>
      <c r="X302" s="446" t="e">
        <f>IF(OR($B302="",MIN(X$38,$D$19)&lt;MAX($P$34*($B302+IF($R$17="Distrato",$I$38-1,0)),IF(AND($L$37=0,$P$34=0),"",$L$37-1),IF($R$17="Distrato",$E302,0))),0,YEARFRAC(MAX($P$34*($B302+IF($R$17="Distrato",$I$38-1,0)),IF(AND($L$37=0,$P$34=0),"",$L$37-1),IF($R$17="Distrato",$E302,0)),MIN(X$38,$D$19),$P$20))-SUM($P302:W302)</f>
        <v>#VALUE!</v>
      </c>
      <c r="Y302" s="446" t="e">
        <f>IF(OR($B302="",MIN(Y$38,$D$19)&lt;MAX($P$34*($B302+IF($R$17="Distrato",$I$38-1,0)),IF(AND($L$37=0,$P$34=0),"",$L$37-1),IF($R$17="Distrato",$E302,0))),0,YEARFRAC(MAX($P$34*($B302+IF($R$17="Distrato",$I$38-1,0)),IF(AND($L$37=0,$P$34=0),"",$L$37-1),IF($R$17="Distrato",$E302,0)),MIN(Y$38,$D$19),$P$20))-SUM($P302:X302)</f>
        <v>#VALUE!</v>
      </c>
      <c r="Z302" s="446" t="e">
        <f>IF(OR($B302="",MIN(Z$38,$D$19)&lt;MAX($P$34*($B302+IF($R$17="Distrato",$I$38-1,0)),IF(AND($L$37=0,$P$34=0),"",$L$37-1),IF($R$17="Distrato",$E302,0))),0,YEARFRAC(MAX($P$34*($B302+IF($R$17="Distrato",$I$38-1,0)),IF(AND($L$37=0,$P$34=0),"",$L$37-1),IF($R$17="Distrato",$E302,0)),MIN(Z$38,$D$19),$P$20))-SUM($P302:Y302)</f>
        <v>#VALUE!</v>
      </c>
      <c r="AA302" s="446" t="e">
        <f>IF(OR($B302="",MIN(AA$38,$D$19)&lt;MAX($P$34*($B302+IF($R$17="Distrato",$I$38-1,0)),IF(AND($L$37=0,$P$34=0),"",$L$37-1),IF($R$17="Distrato",$E302,0))),0,YEARFRAC(MAX($P$34*($B302+IF($R$17="Distrato",$I$38-1,0)),IF(AND($L$37=0,$P$34=0),"",$L$37-1),IF($R$17="Distrato",$E302,0)),MIN(AA$38,$D$19),$P$20))-SUM($P302:Z302)</f>
        <v>#VALUE!</v>
      </c>
      <c r="AB302" s="446" t="e">
        <f>IF(OR($B302="",MIN(AB$38,$D$19)&lt;MAX($P$34*($B302+IF($R$17="Distrato",$I$38-1,0)),IF(AND($L$37=0,$P$34=0),"",$L$37-1),IF($R$17="Distrato",$E302,0))),0,YEARFRAC(MAX($P$34*($B302+IF($R$17="Distrato",$I$38-1,0)),IF(AND($L$37=0,$P$34=0),"",$L$37-1),IF($R$17="Distrato",$E302,0)),MIN(AB$38,$D$19),$P$20))-SUM($P302:AA302)</f>
        <v>#VALUE!</v>
      </c>
      <c r="AC302" s="446" t="e">
        <f>IF(OR($B302="",MIN(AC$38,$D$19)&lt;MAX($P$34*($B302+IF($R$17="Distrato",$I$38-1,0)),IF(AND($L$37=0,$P$34=0),"",$L$37-1),IF($R$17="Distrato",$E302,0))),0,YEARFRAC(MAX($P$34*($B302+IF($R$17="Distrato",$I$38-1,0)),IF(AND($L$37=0,$P$34=0),"",$L$37-1),IF($R$17="Distrato",$E302,0)),MIN(AC$38,$D$19),$P$20))-SUM($P302:AB302)</f>
        <v>#VALUE!</v>
      </c>
      <c r="AD302" s="446" t="e">
        <f>IF(OR($B302="",MIN(AD$38,$D$19)&lt;MAX($P$34*($B302+IF($R$17="Distrato",$I$38-1,0)),IF(AND($L$37=0,$P$34=0),"",$L$37-1),IF($R$17="Distrato",$E302,0))),0,YEARFRAC(MAX($P$34*($B302+IF($R$17="Distrato",$I$38-1,0)),IF(AND($L$37=0,$P$34=0),"",$L$37-1),IF($R$17="Distrato",$E302,0)),MIN(AD$38,$D$19),$P$20))-SUM($P302:AC302)</f>
        <v>#VALUE!</v>
      </c>
      <c r="AE302" s="446" t="e">
        <f>IF(OR($B302="",MIN(AE$38,$D$19)&lt;MAX($P$34*($B302+IF($R$17="Distrato",$I$38-1,0)),IF(AND($L$37=0,$P$34=0),"",$L$37-1),IF($R$17="Distrato",$E302,0))),0,YEARFRAC(MAX($P$34*($B302+IF($R$17="Distrato",$I$38-1,0)),IF(AND($L$37=0,$P$34=0),"",$L$37-1),IF($R$17="Distrato",$E302,0)),MIN(AE$38,$D$19),$P$20))-SUM($P302:AD302)</f>
        <v>#VALUE!</v>
      </c>
      <c r="AF302" s="446" t="e">
        <f>IF(OR($B302="",MIN(AF$38,$D$19)&lt;MAX($P$34*($B302+IF($R$17="Distrato",$I$38-1,0)),IF(AND($L$37=0,$P$34=0),"",$L$37-1),IF($R$17="Distrato",$E302,0))),0,YEARFRAC(MAX($P$34*($B302+IF($R$17="Distrato",$I$38-1,0)),IF(AND($L$37=0,$P$34=0),"",$L$37-1),IF($R$17="Distrato",$E302,0)),MIN(AF$38,$D$19),$P$20))-SUM($P302:AE302)</f>
        <v>#VALUE!</v>
      </c>
      <c r="AG302" s="446" t="e">
        <f>IF(OR($B302="",MIN(AG$38,$D$19)&lt;MAX($P$34*($B302+IF($R$17="Distrato",$I$38-1,0)),IF(AND($L$37=0,$P$34=0),"",$L$37-1),IF($R$17="Distrato",$E302,0))),0,YEARFRAC(MAX($P$34*($B302+IF($R$17="Distrato",$I$38-1,0)),IF(AND($L$37=0,$P$34=0),"",$L$37-1),IF($R$17="Distrato",$E302,0)),MIN(AG$38,$D$19),$P$20))-SUM($P302:AF302)</f>
        <v>#VALUE!</v>
      </c>
      <c r="AH302" s="446" t="e">
        <f>IF(OR($B302="",MIN(AH$38,$D$19)&lt;MAX($P$34*($B302+IF($R$17="Distrato",$I$38-1,0)),IF(AND($L$37=0,$P$34=0),"",$L$37-1),IF($R$17="Distrato",$E302,0))),0,YEARFRAC(MAX($P$34*($B302+IF($R$17="Distrato",$I$38-1,0)),IF(AND($L$37=0,$P$34=0),"",$L$37-1),IF($R$17="Distrato",$E302,0)),MIN(AH$38,$D$19),$P$20))-SUM($P302:AG302)</f>
        <v>#VALUE!</v>
      </c>
      <c r="AI302" s="446" t="e">
        <f>IF(OR($B302="",MIN(AI$38,$D$19)&lt;MAX($P$34*($B302+IF($R$17="Distrato",$I$38-1,0)),IF(AND($L$37=0,$P$34=0),"",$L$37-1),IF($R$17="Distrato",$E302,0))),0,YEARFRAC(MAX($P$34*($B302+IF($R$17="Distrato",$I$38-1,0)),IF(AND($L$37=0,$P$34=0),"",$L$37-1),IF($R$17="Distrato",$E302,0)),MIN(AI$38,$D$19),$P$20))-SUM($P302:AH302)</f>
        <v>#VALUE!</v>
      </c>
      <c r="AJ302" s="446" t="e">
        <f>IF(OR($B302="",MIN(AJ$38,$D$19)&lt;MAX($P$34*($B302+IF($R$17="Distrato",$I$38-1,0)),IF(AND($L$37=0,$P$34=0),"",$L$37-1),IF($R$17="Distrato",$E302,0))),0,YEARFRAC(MAX($P$34*($B302+IF($R$17="Distrato",$I$38-1,0)),IF(AND($L$37=0,$P$34=0),"",$L$37-1),IF($R$17="Distrato",$E302,0)),MIN(AJ$38,$D$19),$P$20))-SUM($P302:AI302)</f>
        <v>#VALUE!</v>
      </c>
      <c r="AK302" s="446" t="e">
        <f>IF(OR($B302="",MIN(AK$38,$D$19)&lt;MAX($P$34*($B302+IF($R$17="Distrato",$I$38-1,0)),IF(AND($L$37=0,$P$34=0),"",$L$37-1),IF($R$17="Distrato",$E302,0))),0,YEARFRAC(MAX($P$34*($B302+IF($R$17="Distrato",$I$38-1,0)),IF(AND($L$37=0,$P$34=0),"",$L$37-1),IF($R$17="Distrato",$E302,0)),MIN(AK$38,$D$19),$P$20))-SUM($P302:AJ302)</f>
        <v>#VALUE!</v>
      </c>
      <c r="AL302" s="446" t="e">
        <f>IF(OR($B302="",MIN(AL$38,$D$19)&lt;MAX($P$34*($B302+IF($R$17="Distrato",$I$38-1,0)),IF(AND($L$37=0,$P$34=0),"",$L$37-1),IF($R$17="Distrato",$E302,0))),0,YEARFRAC(MAX($P$34*($B302+IF($R$17="Distrato",$I$38-1,0)),IF(AND($L$37=0,$P$34=0),"",$L$37-1),IF($R$17="Distrato",$E302,0)),MIN(AL$38,$D$19),$P$20))-SUM($P302:AK302)</f>
        <v>#VALUE!</v>
      </c>
      <c r="AM302" s="446" t="e">
        <f>IF(OR($B302="",MIN(AM$38,$D$19)&lt;MAX($P$34*($B302+IF($R$17="Distrato",$I$38-1,0)),IF(AND($L$37=0,$P$34=0),"",$L$37-1),IF($R$17="Distrato",$E302,0))),0,YEARFRAC(MAX($P$34*($B302+IF($R$17="Distrato",$I$38-1,0)),IF(AND($L$37=0,$P$34=0),"",$L$37-1),IF($R$17="Distrato",$E302,0)),MIN(AM$38,$D$19),$P$20))-SUM($P302:AL302)</f>
        <v>#VALUE!</v>
      </c>
      <c r="AN302" s="446" t="e">
        <f>IF(OR($B302="",MIN(AN$38,$D$19)&lt;MAX($P$34*($B302+IF($R$17="Distrato",$I$38-1,0)),IF(AND($L$37=0,$P$34=0),"",$L$37-1),IF($R$17="Distrato",$E302,0))),0,YEARFRAC(MAX($P$34*($B302+IF($R$17="Distrato",$I$38-1,0)),IF(AND($L$37=0,$P$34=0),"",$L$37-1),IF($R$17="Distrato",$E302,0)),MIN(AN$38,$D$19),$P$20))-SUM($P302:AM302)</f>
        <v>#VALUE!</v>
      </c>
      <c r="AO302" s="446" t="e">
        <f>IF(OR($B302="",MIN(AO$38,$D$19)&lt;MAX($P$34*($B302+IF($R$17="Distrato",$I$38-1,0)),IF(AND($L$37=0,$P$34=0),"",$L$37-1),IF($R$17="Distrato",$E302,0))),0,YEARFRAC(MAX($P$34*($B302+IF($R$17="Distrato",$I$38-1,0)),IF(AND($L$37=0,$P$34=0),"",$L$37-1),IF($R$17="Distrato",$E302,0)),MIN(AO$38,$D$19),$P$20))-SUM($P302:AN302)</f>
        <v>#VALUE!</v>
      </c>
      <c r="AP302" s="446" t="e">
        <f>IF(OR($B302="",MIN(AP$38,$D$19)&lt;MAX($P$34*($B302+IF($R$17="Distrato",$I$38-1,0)),IF(AND($L$37=0,$P$34=0),"",$L$37-1),IF($R$17="Distrato",$E302,0))),0,YEARFRAC(MAX($P$34*($B302+IF($R$17="Distrato",$I$38-1,0)),IF(AND($L$37=0,$P$34=0),"",$L$37-1),IF($R$17="Distrato",$E302,0)),MIN(AP$38,$D$19),$P$20))-SUM($P302:AO302)</f>
        <v>#VALUE!</v>
      </c>
      <c r="AQ302" s="446" t="e">
        <f>IF(OR($B302="",MIN(AQ$38,$D$19)&lt;MAX($P$34*($B302+IF($R$17="Distrato",$I$38-1,0)),IF(AND($L$37=0,$P$34=0),"",$L$37-1),IF($R$17="Distrato",$E302,0))),0,YEARFRAC(MAX($P$34*($B302+IF($R$17="Distrato",$I$38-1,0)),IF(AND($L$37=0,$P$34=0),"",$L$37-1),IF($R$17="Distrato",$E302,0)),MIN(AQ$38,$D$19),$P$20))-SUM($P302:AP302)</f>
        <v>#VALUE!</v>
      </c>
      <c r="AR302" s="446" t="e">
        <f>IF(OR($B302="",MIN(AR$38,$D$19)&lt;MAX($P$34*($B302+IF($R$17="Distrato",$I$38-1,0)),IF(AND($L$37=0,$P$34=0),"",$L$37-1),IF($R$17="Distrato",$E302,0))),0,YEARFRAC(MAX($P$34*($B302+IF($R$17="Distrato",$I$38-1,0)),IF(AND($L$37=0,$P$34=0),"",$L$37-1),IF($R$17="Distrato",$E302,0)),MIN(AR$38,$D$19),$P$20))-SUM($P302:AQ302)</f>
        <v>#VALUE!</v>
      </c>
      <c r="AS302" s="446" t="e">
        <f>IF(OR($B302="",MIN(AS$38,$D$19)&lt;MAX($P$34*($B302+IF($R$17="Distrato",$I$38-1,0)),IF(AND($L$37=0,$P$34=0),"",$L$37-1),IF($R$17="Distrato",$E302,0))),0,YEARFRAC(MAX($P$34*($B302+IF($R$17="Distrato",$I$38-1,0)),IF(AND($L$37=0,$P$34=0),"",$L$37-1),IF($R$17="Distrato",$E302,0)),MIN(AS$38,$D$19),$P$20))-SUM($P302:AR302)</f>
        <v>#VALUE!</v>
      </c>
      <c r="AT302" s="446" t="e">
        <f>IF(OR($B302="",MIN(AT$38,$D$19)&lt;MAX($P$34*($B302+IF($R$17="Distrato",$I$38-1,0)),IF(AND($L$37=0,$P$34=0),"",$L$37-1),IF($R$17="Distrato",$E302,0))),0,YEARFRAC(MAX($P$34*($B302+IF($R$17="Distrato",$I$38-1,0)),IF(AND($L$37=0,$P$34=0),"",$L$37-1),IF($R$17="Distrato",$E302,0)),MIN(AT$38,$D$19),$P$20))-SUM($P302:AS302)</f>
        <v>#VALUE!</v>
      </c>
      <c r="AU302" s="446" t="e">
        <f>IF(OR($B302="",MIN(AU$38,$D$19)&lt;MAX($P$34*($B302+IF($R$17="Distrato",$I$38-1,0)),IF(AND($L$37=0,$P$34=0),"",$L$37-1),IF($R$17="Distrato",$E302,0))),0,YEARFRAC(MAX($P$34*($B302+IF($R$17="Distrato",$I$38-1,0)),IF(AND($L$37=0,$P$34=0),"",$L$37-1),IF($R$17="Distrato",$E302,0)),MIN(AU$38,$D$19),$P$20))-SUM($P302:AT302)</f>
        <v>#VALUE!</v>
      </c>
      <c r="AV302" s="446" t="e">
        <f>IF(OR($B302="",MIN(AV$38,$D$19)&lt;MAX($P$34*($B302+IF($R$17="Distrato",$I$38-1,0)),IF(AND($L$37=0,$P$34=0),"",$L$37-1),IF($R$17="Distrato",$E302,0))),0,YEARFRAC(MAX($P$34*($B302+IF($R$17="Distrato",$I$38-1,0)),IF(AND($L$37=0,$P$34=0),"",$L$37-1),IF($R$17="Distrato",$E302,0)),MIN(AV$38,$D$19),$P$20))-SUM($P302:AU302)</f>
        <v>#VALUE!</v>
      </c>
      <c r="AW302" s="446" t="e">
        <f>IF(OR($B302="",MIN(AW$38,$D$19)&lt;MAX($P$34*($B302+IF($R$17="Distrato",$I$38-1,0)),IF(AND($L$37=0,$P$34=0),"",$L$37-1),IF($R$17="Distrato",$E302,0))),0,YEARFRAC(MAX($P$34*($B302+IF($R$17="Distrato",$I$38-1,0)),IF(AND($L$37=0,$P$34=0),"",$L$37-1),IF($R$17="Distrato",$E302,0)),MIN(AW$38,$D$19),$P$20))-SUM($P302:AV302)</f>
        <v>#VALUE!</v>
      </c>
      <c r="AX302" s="446" t="e">
        <f>IF(OR($B302="",MIN(AX$38,$D$19)&lt;MAX($P$34*($B302+IF($R$17="Distrato",$I$38-1,0)),IF(AND($L$37=0,$P$34=0),"",$L$37-1),IF($R$17="Distrato",$E302,0))),0,YEARFRAC(MAX($P$34*($B302+IF($R$17="Distrato",$I$38-1,0)),IF(AND($L$37=0,$P$34=0),"",$L$37-1),IF($R$17="Distrato",$E302,0)),MIN(AX$38,$D$19),$P$20))-SUM($P302:AW302)</f>
        <v>#VALUE!</v>
      </c>
      <c r="AY302" s="446" t="e">
        <f>IF(OR($B302="",MIN(AY$38,$D$19)&lt;MAX($P$34*($B302+IF($R$17="Distrato",$I$38-1,0)),IF(AND($L$37=0,$P$34=0),"",$L$37-1),IF($R$17="Distrato",$E302,0))),0,YEARFRAC(MAX($P$34*($B302+IF($R$17="Distrato",$I$38-1,0)),IF(AND($L$37=0,$P$34=0),"",$L$37-1),IF($R$17="Distrato",$E302,0)),MIN(AY$38,$D$19),$P$20))-SUM($P302:AX302)</f>
        <v>#VALUE!</v>
      </c>
      <c r="AZ302" s="446" t="e">
        <f>IF(OR($B302="",MIN(AZ$38,$D$19)&lt;MAX($P$34*($B302+IF($R$17="Distrato",$I$38-1,0)),IF(AND($L$37=0,$P$34=0),"",$L$37-1),IF($R$17="Distrato",$E302,0))),0,YEARFRAC(MAX($P$34*($B302+IF($R$17="Distrato",$I$38-1,0)),IF(AND($L$37=0,$P$34=0),"",$L$37-1),IF($R$17="Distrato",$E302,0)),MIN(AZ$38,$D$19),$P$20))-SUM($P302:AY302)</f>
        <v>#VALUE!</v>
      </c>
      <c r="BA302" s="446" t="e">
        <f>IF(OR($B302="",MIN(BA$38,$D$19)&lt;MAX($P$34*($B302+IF($R$17="Distrato",$I$38-1,0)),IF(AND($L$37=0,$P$34=0),"",$L$37-1),IF($R$17="Distrato",$E302,0))),0,YEARFRAC(MAX($P$34*($B302+IF($R$17="Distrato",$I$38-1,0)),IF(AND($L$37=0,$P$34=0),"",$L$37-1),IF($R$17="Distrato",$E302,0)),MIN(BA$38,$D$19),$P$20))-SUM($P302:AZ302)</f>
        <v>#VALUE!</v>
      </c>
      <c r="BB302" s="447"/>
      <c r="BF302" s="446">
        <f t="shared" si="54"/>
        <v>0</v>
      </c>
      <c r="BG302" s="446">
        <f>IF($E302=0,0,IF(MIN(BG$38,$E302)&lt;MAX($P$34*($B302+$I$38-1),IF(AND($L$37=0,$P$34=0),"",$L$37-1)),0,YEARFRAC(MAX($P$34*($B302+$I$38-1),IF(AND($L$37=0,$P$34=0),"",$L$37-1)),MIN(BG$38,$E302),$P$20))-SUM($BF302:BF302))</f>
        <v>0</v>
      </c>
      <c r="BH302" s="446">
        <f>IF($E302=0,0,IF(MIN(BH$38,$E302)&lt;MAX($P$34*($B302+$I$38-1),IF(AND($L$37=0,$P$34=0),"",$L$37-1)),0,YEARFRAC(MAX($P$34*($B302+$I$38-1),IF(AND($L$37=0,$P$34=0),"",$L$37-1)),MIN(BH$38,$E302),$P$20))-SUM($BF302:BG302))</f>
        <v>0</v>
      </c>
      <c r="BI302" s="446">
        <f>IF($E302=0,0,IF(MIN(BI$38,$E302)&lt;MAX($P$34*($B302+$I$38-1),IF(AND($L$37=0,$P$34=0),"",$L$37-1)),0,YEARFRAC(MAX($P$34*($B302+$I$38-1),IF(AND($L$37=0,$P$34=0),"",$L$37-1)),MIN(BI$38,$E302),$P$20))-SUM($BF302:BH302))</f>
        <v>0</v>
      </c>
      <c r="BJ302" s="446">
        <f>IF($E302=0,0,IF(MIN(BJ$38,$E302)&lt;MAX($P$34*($B302+$I$38-1),IF(AND($L$37=0,$P$34=0),"",$L$37-1)),0,YEARFRAC(MAX($P$34*($B302+$I$38-1),IF(AND($L$37=0,$P$34=0),"",$L$37-1)),MIN(BJ$38,$E302),$P$20))-SUM($BF302:BI302))</f>
        <v>0</v>
      </c>
      <c r="BK302" s="446">
        <f>IF($E302=0,0,IF(MIN(BK$38,$E302)&lt;MAX($P$34*($B302+$I$38-1),IF(AND($L$37=0,$P$34=0),"",$L$37-1)),0,YEARFRAC(MAX($P$34*($B302+$I$38-1),IF(AND($L$37=0,$P$34=0),"",$L$37-1)),MIN(BK$38,$E302),$P$20))-SUM($BF302:BJ302))</f>
        <v>0</v>
      </c>
      <c r="BL302" s="446">
        <f>IF($E302=0,0,IF(MIN(BL$38,$E302)&lt;MAX($P$34*($B302+$I$38-1),IF(AND($L$37=0,$P$34=0),"",$L$37-1)),0,YEARFRAC(MAX($P$34*($B302+$I$38-1),IF(AND($L$37=0,$P$34=0),"",$L$37-1)),MIN(BL$38,$E302),$P$20))-SUM($BF302:BK302))</f>
        <v>0</v>
      </c>
      <c r="BM302" s="446">
        <f>IF($E302=0,0,IF(MIN(BM$38,$E302)&lt;MAX($P$34*($B302+$I$38-1),IF(AND($L$37=0,$P$34=0),"",$L$37-1)),0,YEARFRAC(MAX($P$34*($B302+$I$38-1),IF(AND($L$37=0,$P$34=0),"",$L$37-1)),MIN(BM$38,$E302),$P$20))-SUM($BF302:BL302))</f>
        <v>0</v>
      </c>
      <c r="BN302" s="446">
        <f>IF($E302=0,0,IF(MIN(BN$38,$E302)&lt;MAX($P$34*($B302+$I$38-1),IF(AND($L$37=0,$P$34=0),"",$L$37-1)),0,YEARFRAC(MAX($P$34*($B302+$I$38-1),IF(AND($L$37=0,$P$34=0),"",$L$37-1)),MIN(BN$38,$E302),$P$20))-SUM($BF302:BM302))</f>
        <v>0</v>
      </c>
      <c r="BO302" s="446">
        <f>IF($E302=0,0,IF(MIN(BO$38,$E302)&lt;MAX($P$34*($B302+$I$38-1),IF(AND($L$37=0,$P$34=0),"",$L$37-1)),0,YEARFRAC(MAX($P$34*($B302+$I$38-1),IF(AND($L$37=0,$P$34=0),"",$L$37-1)),MIN(BO$38,$E302),$P$20))-SUM($BF302:BN302))</f>
        <v>0</v>
      </c>
      <c r="BP302" s="446">
        <f>IF($E302=0,0,IF(MIN(BP$38,$E302)&lt;MAX($P$34*($B302+$I$38-1),IF(AND($L$37=0,$P$34=0),"",$L$37-1)),0,YEARFRAC(MAX($P$34*($B302+$I$38-1),IF(AND($L$37=0,$P$34=0),"",$L$37-1)),MIN(BP$38,$E302),$P$20))-SUM($BF302:BO302))</f>
        <v>0</v>
      </c>
      <c r="BQ302" s="446">
        <f>IF($E302=0,0,IF(MIN(BQ$38,$E302)&lt;MAX($P$34*($B302+$I$38-1),IF(AND($L$37=0,$P$34=0),"",$L$37-1)),0,YEARFRAC(MAX($P$34*($B302+$I$38-1),IF(AND($L$37=0,$P$34=0),"",$L$37-1)),MIN(BQ$38,$E302),$P$20))-SUM($BF302:BP302))</f>
        <v>0</v>
      </c>
      <c r="BR302" s="446">
        <f>IF($E302=0,0,IF(MIN(BR$38,$E302)&lt;MAX($P$34*($B302+$I$38-1),IF(AND($L$37=0,$P$34=0),"",$L$37-1)),0,YEARFRAC(MAX($P$34*($B302+$I$38-1),IF(AND($L$37=0,$P$34=0),"",$L$37-1)),MIN(BR$38,$E302),$P$20))-SUM($BF302:BQ302))</f>
        <v>0</v>
      </c>
      <c r="BS302" s="446">
        <f>IF($E302=0,0,IF(MIN(BS$38,$E302)&lt;MAX($P$34*($B302+$I$38-1),IF(AND($L$37=0,$P$34=0),"",$L$37-1)),0,YEARFRAC(MAX($P$34*($B302+$I$38-1),IF(AND($L$37=0,$P$34=0),"",$L$37-1)),MIN(BS$38,$E302),$P$20))-SUM($BF302:BR302))</f>
        <v>0</v>
      </c>
      <c r="BT302" s="446">
        <f>IF($E302=0,0,IF(MIN(BT$38,$E302)&lt;MAX($P$34*($B302+$I$38-1),IF(AND($L$37=0,$P$34=0),"",$L$37-1)),0,YEARFRAC(MAX($P$34*($B302+$I$38-1),IF(AND($L$37=0,$P$34=0),"",$L$37-1)),MIN(BT$38,$E302),$P$20))-SUM($BF302:BS302))</f>
        <v>0</v>
      </c>
      <c r="BU302" s="446">
        <f>IF($E302=0,0,IF(MIN(BU$38,$E302)&lt;MAX($P$34*($B302+$I$38-1),IF(AND($L$37=0,$P$34=0),"",$L$37-1)),0,YEARFRAC(MAX($P$34*($B302+$I$38-1),IF(AND($L$37=0,$P$34=0),"",$L$37-1)),MIN(BU$38,$E302),$P$20))-SUM($BF302:BT302))</f>
        <v>0</v>
      </c>
      <c r="BV302" s="446">
        <f>IF($E302=0,0,IF(MIN(BV$38,$E302)&lt;MAX($P$34*($B302+$I$38-1),IF(AND($L$37=0,$P$34=0),"",$L$37-1)),0,YEARFRAC(MAX($P$34*($B302+$I$38-1),IF(AND($L$37=0,$P$34=0),"",$L$37-1)),MIN(BV$38,$E302),$P$20))-SUM($BF302:BU302))</f>
        <v>0</v>
      </c>
      <c r="BW302" s="446">
        <f>IF($E302=0,0,IF(MIN(BW$38,$E302)&lt;MAX($P$34*($B302+$I$38-1),IF(AND($L$37=0,$P$34=0),"",$L$37-1)),0,YEARFRAC(MAX($P$34*($B302+$I$38-1),IF(AND($L$37=0,$P$34=0),"",$L$37-1)),MIN(BW$38,$E302),$P$20))-SUM($BF302:BV302))</f>
        <v>0</v>
      </c>
      <c r="BX302" s="446">
        <f>IF($E302=0,0,IF(MIN(BX$38,$E302)&lt;MAX($P$34*($B302+$I$38-1),IF(AND($L$37=0,$P$34=0),"",$L$37-1)),0,YEARFRAC(MAX($P$34*($B302+$I$38-1),IF(AND($L$37=0,$P$34=0),"",$L$37-1)),MIN(BX$38,$E302),$P$20))-SUM($BF302:BW302))</f>
        <v>0</v>
      </c>
      <c r="BY302" s="446">
        <f>IF($E302=0,0,IF(MIN(BY$38,$E302)&lt;MAX($P$34*($B302+$I$38-1),IF(AND($L$37=0,$P$34=0),"",$L$37-1)),0,YEARFRAC(MAX($P$34*($B302+$I$38-1),IF(AND($L$37=0,$P$34=0),"",$L$37-1)),MIN(BY$38,$E302),$P$20))-SUM($BF302:BX302))</f>
        <v>0</v>
      </c>
      <c r="BZ302" s="446">
        <f>IF($E302=0,0,IF(MIN(BZ$38,$E302)&lt;MAX($P$34*($B302+$I$38-1),IF(AND($L$37=0,$P$34=0),"",$L$37-1)),0,YEARFRAC(MAX($P$34*($B302+$I$38-1),IF(AND($L$37=0,$P$34=0),"",$L$37-1)),MIN(BZ$38,$E302),$P$20))-SUM($BF302:BY302))</f>
        <v>0</v>
      </c>
      <c r="CA302" s="446">
        <f>IF($E302=0,0,IF(MIN(CA$38,$E302)&lt;MAX($P$34*($B302+$I$38-1),IF(AND($L$37=0,$P$34=0),"",$L$37-1)),0,YEARFRAC(MAX($P$34*($B302+$I$38-1),IF(AND($L$37=0,$P$34=0),"",$L$37-1)),MIN(CA$38,$E302),$P$20))-SUM($BF302:BZ302))</f>
        <v>0</v>
      </c>
      <c r="CB302" s="446">
        <f>IF($E302=0,0,IF(MIN(CB$38,$E302)&lt;MAX($P$34*($B302+$I$38-1),IF(AND($L$37=0,$P$34=0),"",$L$37-1)),0,YEARFRAC(MAX($P$34*($B302+$I$38-1),IF(AND($L$37=0,$P$34=0),"",$L$37-1)),MIN(CB$38,$E302),$P$20))-SUM($BF302:CA302))</f>
        <v>0</v>
      </c>
      <c r="CC302" s="446">
        <f>IF($E302=0,0,IF(MIN(CC$38,$E302)&lt;MAX($P$34*($B302+$I$38-1),IF(AND($L$37=0,$P$34=0),"",$L$37-1)),0,YEARFRAC(MAX($P$34*($B302+$I$38-1),IF(AND($L$37=0,$P$34=0),"",$L$37-1)),MIN(CC$38,$E302),$P$20))-SUM($BF302:CB302))</f>
        <v>0</v>
      </c>
      <c r="CD302" s="446">
        <f>IF($E302=0,0,IF(MIN(CD$38,$E302)&lt;MAX($P$34*($B302+$I$38-1),IF(AND($L$37=0,$P$34=0),"",$L$37-1)),0,YEARFRAC(MAX($P$34*($B302+$I$38-1),IF(AND($L$37=0,$P$34=0),"",$L$37-1)),MIN(CD$38,$E302),$P$20))-SUM($BF302:CC302))</f>
        <v>0</v>
      </c>
      <c r="CE302" s="446">
        <f>IF($E302=0,0,IF(MIN(CE$38,$E302)&lt;MAX($P$34*($B302+$I$38-1),IF(AND($L$37=0,$P$34=0),"",$L$37-1)),0,YEARFRAC(MAX($P$34*($B302+$I$38-1),IF(AND($L$37=0,$P$34=0),"",$L$37-1)),MIN(CE$38,$E302),$P$20))-SUM($BF302:CD302))</f>
        <v>0</v>
      </c>
      <c r="CF302" s="446">
        <f>IF($E302=0,0,IF(MIN(CF$38,$E302)&lt;MAX($P$34*($B302+$I$38-1),IF(AND($L$37=0,$P$34=0),"",$L$37-1)),0,YEARFRAC(MAX($P$34*($B302+$I$38-1),IF(AND($L$37=0,$P$34=0),"",$L$37-1)),MIN(CF$38,$E302),$P$20))-SUM($BF302:CE302))</f>
        <v>0</v>
      </c>
      <c r="CG302" s="446">
        <f>IF($E302=0,0,IF(MIN(CG$38,$E302)&lt;MAX($P$34*($B302+$I$38-1),IF(AND($L$37=0,$P$34=0),"",$L$37-1)),0,YEARFRAC(MAX($P$34*($B302+$I$38-1),IF(AND($L$37=0,$P$34=0),"",$L$37-1)),MIN(CG$38,$E302),$P$20))-SUM($BF302:CF302))</f>
        <v>0</v>
      </c>
      <c r="CH302" s="446">
        <f>IF($E302=0,0,IF(MIN(CH$38,$E302)&lt;MAX($P$34*($B302+$I$38-1),IF(AND($L$37=0,$P$34=0),"",$L$37-1)),0,YEARFRAC(MAX($P$34*($B302+$I$38-1),IF(AND($L$37=0,$P$34=0),"",$L$37-1)),MIN(CH$38,$E302),$P$20))-SUM($BF302:CG302))</f>
        <v>0</v>
      </c>
      <c r="CI302" s="446">
        <f>IF($E302=0,0,IF(MIN(CI$38,$E302)&lt;MAX($P$34*($B302+$I$38-1),IF(AND($L$37=0,$P$34=0),"",$L$37-1)),0,YEARFRAC(MAX($P$34*($B302+$I$38-1),IF(AND($L$37=0,$P$34=0),"",$L$37-1)),MIN(CI$38,$E302),$P$20))-SUM($BF302:CH302))</f>
        <v>0</v>
      </c>
      <c r="CJ302" s="446">
        <f>IF($E302=0,0,IF(MIN(CJ$38,$E302)&lt;MAX($P$34*($B302+$I$38-1),IF(AND($L$37=0,$P$34=0),"",$L$37-1)),0,YEARFRAC(MAX($P$34*($B302+$I$38-1),IF(AND($L$37=0,$P$34=0),"",$L$37-1)),MIN(CJ$38,$E302),$P$20))-SUM($BF302:CI302))</f>
        <v>0</v>
      </c>
      <c r="CK302" s="446">
        <f>IF($E302=0,0,IF(MIN(CK$38,$E302)&lt;MAX($P$34*($B302+$I$38-1),IF(AND($L$37=0,$P$34=0),"",$L$37-1)),0,YEARFRAC(MAX($P$34*($B302+$I$38-1),IF(AND($L$37=0,$P$34=0),"",$L$37-1)),MIN(CK$38,$E302),$P$20))-SUM($BF302:CJ302))</f>
        <v>0</v>
      </c>
      <c r="CL302" s="446">
        <f>IF($E302=0,0,IF(MIN(CL$38,$E302)&lt;MAX($P$34*($B302+$I$38-1),IF(AND($L$37=0,$P$34=0),"",$L$37-1)),0,YEARFRAC(MAX($P$34*($B302+$I$38-1),IF(AND($L$37=0,$P$34=0),"",$L$37-1)),MIN(CL$38,$E302),$P$20))-SUM($BF302:CK302))</f>
        <v>0</v>
      </c>
      <c r="CM302" s="446">
        <f>IF($E302=0,0,IF(MIN(CM$38,$E302)&lt;MAX($P$34*($B302+$I$38-1),IF(AND($L$37=0,$P$34=0),"",$L$37-1)),0,YEARFRAC(MAX($P$34*($B302+$I$38-1),IF(AND($L$37=0,$P$34=0),"",$L$37-1)),MIN(CM$38,$E302),$P$20))-SUM($BF302:CL302))</f>
        <v>0</v>
      </c>
      <c r="CN302" s="446">
        <f>IF($E302=0,0,IF(MIN(CN$38,$E302)&lt;MAX($P$34*($B302+$I$38-1),IF(AND($L$37=0,$P$34=0),"",$L$37-1)),0,YEARFRAC(MAX($P$34*($B302+$I$38-1),IF(AND($L$37=0,$P$34=0),"",$L$37-1)),MIN(CN$38,$E302),$P$20))-SUM($BF302:CM302))</f>
        <v>0</v>
      </c>
      <c r="CO302" s="446">
        <f>IF($E302=0,0,IF(MIN(CO$38,$E302)&lt;MAX($P$34*($B302+$I$38-1),IF(AND($L$37=0,$P$34=0),"",$L$37-1)),0,YEARFRAC(MAX($P$34*($B302+$I$38-1),IF(AND($L$37=0,$P$34=0),"",$L$37-1)),MIN(CO$38,$E302),$P$20))-SUM($BF302:CN302))</f>
        <v>0</v>
      </c>
      <c r="CP302" s="446">
        <f>IF($E302=0,0,IF(MIN(CP$38,$E302)&lt;MAX($P$34*($B302+$I$38-1),IF(AND($L$37=0,$P$34=0),"",$L$37-1)),0,YEARFRAC(MAX($P$34*($B302+$I$38-1),IF(AND($L$37=0,$P$34=0),"",$L$37-1)),MIN(CP$38,$E302),$P$20))-SUM($BF302:CO302))</f>
        <v>0</v>
      </c>
      <c r="CQ302" s="446">
        <f>IF($E302=0,0,IF(MIN(CQ$38,$E302)&lt;MAX($P$34*($B302+$I$38-1),IF(AND($L$37=0,$P$34=0),"",$L$37-1)),0,YEARFRAC(MAX($P$34*($B302+$I$38-1),IF(AND($L$37=0,$P$34=0),"",$L$37-1)),MIN(CQ$38,$E302),$P$20))-SUM($BF302:CP302))</f>
        <v>0</v>
      </c>
    </row>
    <row r="303" spans="1:95" s="446" customFormat="1" ht="11.25" hidden="1" customHeight="1" x14ac:dyDescent="0.2">
      <c r="A303" s="152"/>
      <c r="B303" s="153" t="str">
        <f t="shared" si="59"/>
        <v/>
      </c>
      <c r="C303" s="29" t="str">
        <f>IF(B303="","",IF($L$35="SELIC - TRIBUTOS",VLOOKUP(DATE(YEAR($D$19),MONTH($D$19)-1,1),ÍNDICES!$A:$DE,HLOOKUP($BL$25,ÍNDICES!$B$3:$T$4,2)+11)-VLOOKUP(B303,ÍNDICES!$A:$DE,HLOOKUP($BL$25,ÍNDICES!$B$3:$T$4,2)+11)+1%,IF(C$38=$W$26,$J$35,IF(ISERROR(IF(B303&gt;$D$19,1,VLOOKUP(DATE(YEAR(B303),MONTH(B303)+IF($C$35=$S$23,1,0),1),ÍNDICES!$A:$DE,$Z$35+1))),"",IF(B303&gt;$D$19,1,VLOOKUP(DATE(YEAR(B303),MONTH(B303)+IF($C$35=$S$23,1,0),1),ÍNDICES!$A:$DE,$Z$35+1))))))</f>
        <v/>
      </c>
      <c r="D303" s="154" t="str">
        <f>IF(ISERROR(IF(OR($D$38=$Y$27,$B303=""),"",VLOOKUP(B303,ÍNDICES!A:DE,AF$35+1))),"",IF(OR($D$38=$Y$27,$B303=""),"",VLOOKUP(B303,ÍNDICES!A:DE,AF$35+1)))</f>
        <v/>
      </c>
      <c r="E303" s="153"/>
      <c r="F303" s="29" t="str">
        <f>IF(E303="","",IF($L$35="SELIC - TRIBUTOS",VLOOKUP(DATE(YEAR($D$19),MONTH($D$19)-1,1),ÍNDICES!$A:$DE,HLOOKUP($BL$25,ÍNDICES!$B$3:$T$4,2)+11)-VLOOKUP(E303,ÍNDICES!$A:$DE,HLOOKUP($BL$25,ÍNDICES!$B$3:$T$4,2)+11)+1%,IF(F$38=$W$26,$J$35,IF(ISERROR(IF(E303&gt;$D$19,1,VLOOKUP(DATE(YEAR(E303),MONTH(E303)+IF($C$35=$S$23,1,0),1),ÍNDICES!$A:$DE,$Z$35+1))),"",IF(E303&gt;$D$19,1,VLOOKUP(DATE(YEAR(E303),MONTH(E303)+IF($C$35=$S$23,1,0),1),ÍNDICES!$A:$DE,$Z$35+1))))))</f>
        <v/>
      </c>
      <c r="G303" s="155"/>
      <c r="H303" s="156" t="str">
        <f t="shared" si="55"/>
        <v/>
      </c>
      <c r="I303" s="29" t="str">
        <f t="shared" si="49"/>
        <v/>
      </c>
      <c r="J303" s="5">
        <f t="shared" si="50"/>
        <v>0</v>
      </c>
      <c r="K303" s="20">
        <f t="shared" ca="1" si="51"/>
        <v>0</v>
      </c>
      <c r="L303" s="5">
        <f t="shared" ca="1" si="52"/>
        <v>0</v>
      </c>
      <c r="M303" s="64">
        <f t="shared" si="56"/>
        <v>0</v>
      </c>
      <c r="N303" s="61">
        <f t="shared" ca="1" si="57"/>
        <v>0</v>
      </c>
      <c r="O303" s="5">
        <f t="shared" ca="1" si="58"/>
        <v>0</v>
      </c>
      <c r="P303" s="446" t="e">
        <f t="shared" si="53"/>
        <v>#VALUE!</v>
      </c>
      <c r="Q303" s="446" t="e">
        <f>IF(OR($B303="",MIN(Q$38,$D$19)&lt;MAX($P$34*($B303+IF($R$17="Distrato",$I$38-1,0)),IF(AND($L$37=0,$P$34=0),"",$L$37-1),IF($R$17="Distrato",$E303,0))),0,YEARFRAC(MAX($P$34*($B303+IF($R$17="Distrato",$I$38-1,0)),IF(AND($L$37=0,$P$34=0),"",$L$37-1),IF($R$17="Distrato",$E303,0)),MIN(Q$38,$D$19),$P$20))-SUM($P303:P303)</f>
        <v>#VALUE!</v>
      </c>
      <c r="R303" s="446" t="e">
        <f>IF(OR($B303="",MIN(R$38,$D$19)&lt;MAX($P$34*($B303+IF($R$17="Distrato",$I$38-1,0)),IF(AND($L$37=0,$P$34=0),"",$L$37-1),IF($R$17="Distrato",$E303,0))),0,YEARFRAC(MAX($P$34*($B303+IF($R$17="Distrato",$I$38-1,0)),IF(AND($L$37=0,$P$34=0),"",$L$37-1),IF($R$17="Distrato",$E303,0)),MIN(R$38,$D$19),$P$20))-SUM($P303:Q303)</f>
        <v>#VALUE!</v>
      </c>
      <c r="S303" s="446" t="e">
        <f>IF(OR($B303="",MIN(S$38,$D$19)&lt;MAX($P$34*($B303+IF($R$17="Distrato",$I$38-1,0)),IF(AND($L$37=0,$P$34=0),"",$L$37-1),IF($R$17="Distrato",$E303,0))),0,YEARFRAC(MAX($P$34*($B303+IF($R$17="Distrato",$I$38-1,0)),IF(AND($L$37=0,$P$34=0),"",$L$37-1),IF($R$17="Distrato",$E303,0)),MIN(S$38,$D$19),$P$20))-SUM($P303:R303)</f>
        <v>#VALUE!</v>
      </c>
      <c r="T303" s="446" t="e">
        <f>IF(OR($B303="",MIN(T$38,$D$19)&lt;MAX($P$34*($B303+IF($R$17="Distrato",$I$38-1,0)),IF(AND($L$37=0,$P$34=0),"",$L$37-1),IF($R$17="Distrato",$E303,0))),0,YEARFRAC(MAX($P$34*($B303+IF($R$17="Distrato",$I$38-1,0)),IF(AND($L$37=0,$P$34=0),"",$L$37-1),IF($R$17="Distrato",$E303,0)),MIN(T$38,$D$19),$P$20))-SUM($P303:S303)</f>
        <v>#VALUE!</v>
      </c>
      <c r="U303" s="446" t="e">
        <f>IF(OR($B303="",MIN(U$38,$D$19)&lt;MAX($P$34*($B303+IF($R$17="Distrato",$I$38-1,0)),IF(AND($L$37=0,$P$34=0),"",$L$37-1),IF($R$17="Distrato",$E303,0))),0,YEARFRAC(MAX($P$34*($B303+IF($R$17="Distrato",$I$38-1,0)),IF(AND($L$37=0,$P$34=0),"",$L$37-1),IF($R$17="Distrato",$E303,0)),MIN(U$38,$D$19),$P$20))-SUM($P303:T303)</f>
        <v>#VALUE!</v>
      </c>
      <c r="V303" s="446" t="e">
        <f>IF(OR($B303="",MIN(V$38,$D$19)&lt;MAX($P$34*($B303+IF($R$17="Distrato",$I$38-1,0)),IF(AND($L$37=0,$P$34=0),"",$L$37-1),IF($R$17="Distrato",$E303,0))),0,YEARFRAC(MAX($P$34*($B303+IF($R$17="Distrato",$I$38-1,0)),IF(AND($L$37=0,$P$34=0),"",$L$37-1),IF($R$17="Distrato",$E303,0)),MIN(V$38,$D$19),$P$20))-SUM($P303:U303)</f>
        <v>#VALUE!</v>
      </c>
      <c r="W303" s="446" t="e">
        <f>IF(OR($B303="",MIN(W$38,$D$19)&lt;MAX($P$34*($B303+IF($R$17="Distrato",$I$38-1,0)),IF(AND($L$37=0,$P$34=0),"",$L$37-1),IF($R$17="Distrato",$E303,0))),0,YEARFRAC(MAX($P$34*($B303+IF($R$17="Distrato",$I$38-1,0)),IF(AND($L$37=0,$P$34=0),"",$L$37-1),IF($R$17="Distrato",$E303,0)),MIN(W$38,$D$19),$P$20))-SUM($P303:V303)</f>
        <v>#VALUE!</v>
      </c>
      <c r="X303" s="446" t="e">
        <f>IF(OR($B303="",MIN(X$38,$D$19)&lt;MAX($P$34*($B303+IF($R$17="Distrato",$I$38-1,0)),IF(AND($L$37=0,$P$34=0),"",$L$37-1),IF($R$17="Distrato",$E303,0))),0,YEARFRAC(MAX($P$34*($B303+IF($R$17="Distrato",$I$38-1,0)),IF(AND($L$37=0,$P$34=0),"",$L$37-1),IF($R$17="Distrato",$E303,0)),MIN(X$38,$D$19),$P$20))-SUM($P303:W303)</f>
        <v>#VALUE!</v>
      </c>
      <c r="Y303" s="446" t="e">
        <f>IF(OR($B303="",MIN(Y$38,$D$19)&lt;MAX($P$34*($B303+IF($R$17="Distrato",$I$38-1,0)),IF(AND($L$37=0,$P$34=0),"",$L$37-1),IF($R$17="Distrato",$E303,0))),0,YEARFRAC(MAX($P$34*($B303+IF($R$17="Distrato",$I$38-1,0)),IF(AND($L$37=0,$P$34=0),"",$L$37-1),IF($R$17="Distrato",$E303,0)),MIN(Y$38,$D$19),$P$20))-SUM($P303:X303)</f>
        <v>#VALUE!</v>
      </c>
      <c r="Z303" s="446" t="e">
        <f>IF(OR($B303="",MIN(Z$38,$D$19)&lt;MAX($P$34*($B303+IF($R$17="Distrato",$I$38-1,0)),IF(AND($L$37=0,$P$34=0),"",$L$37-1),IF($R$17="Distrato",$E303,0))),0,YEARFRAC(MAX($P$34*($B303+IF($R$17="Distrato",$I$38-1,0)),IF(AND($L$37=0,$P$34=0),"",$L$37-1),IF($R$17="Distrato",$E303,0)),MIN(Z$38,$D$19),$P$20))-SUM($P303:Y303)</f>
        <v>#VALUE!</v>
      </c>
      <c r="AA303" s="446" t="e">
        <f>IF(OR($B303="",MIN(AA$38,$D$19)&lt;MAX($P$34*($B303+IF($R$17="Distrato",$I$38-1,0)),IF(AND($L$37=0,$P$34=0),"",$L$37-1),IF($R$17="Distrato",$E303,0))),0,YEARFRAC(MAX($P$34*($B303+IF($R$17="Distrato",$I$38-1,0)),IF(AND($L$37=0,$P$34=0),"",$L$37-1),IF($R$17="Distrato",$E303,0)),MIN(AA$38,$D$19),$P$20))-SUM($P303:Z303)</f>
        <v>#VALUE!</v>
      </c>
      <c r="AB303" s="446" t="e">
        <f>IF(OR($B303="",MIN(AB$38,$D$19)&lt;MAX($P$34*($B303+IF($R$17="Distrato",$I$38-1,0)),IF(AND($L$37=0,$P$34=0),"",$L$37-1),IF($R$17="Distrato",$E303,0))),0,YEARFRAC(MAX($P$34*($B303+IF($R$17="Distrato",$I$38-1,0)),IF(AND($L$37=0,$P$34=0),"",$L$37-1),IF($R$17="Distrato",$E303,0)),MIN(AB$38,$D$19),$P$20))-SUM($P303:AA303)</f>
        <v>#VALUE!</v>
      </c>
      <c r="AC303" s="446" t="e">
        <f>IF(OR($B303="",MIN(AC$38,$D$19)&lt;MAX($P$34*($B303+IF($R$17="Distrato",$I$38-1,0)),IF(AND($L$37=0,$P$34=0),"",$L$37-1),IF($R$17="Distrato",$E303,0))),0,YEARFRAC(MAX($P$34*($B303+IF($R$17="Distrato",$I$38-1,0)),IF(AND($L$37=0,$P$34=0),"",$L$37-1),IF($R$17="Distrato",$E303,0)),MIN(AC$38,$D$19),$P$20))-SUM($P303:AB303)</f>
        <v>#VALUE!</v>
      </c>
      <c r="AD303" s="446" t="e">
        <f>IF(OR($B303="",MIN(AD$38,$D$19)&lt;MAX($P$34*($B303+IF($R$17="Distrato",$I$38-1,0)),IF(AND($L$37=0,$P$34=0),"",$L$37-1),IF($R$17="Distrato",$E303,0))),0,YEARFRAC(MAX($P$34*($B303+IF($R$17="Distrato",$I$38-1,0)),IF(AND($L$37=0,$P$34=0),"",$L$37-1),IF($R$17="Distrato",$E303,0)),MIN(AD$38,$D$19),$P$20))-SUM($P303:AC303)</f>
        <v>#VALUE!</v>
      </c>
      <c r="AE303" s="446" t="e">
        <f>IF(OR($B303="",MIN(AE$38,$D$19)&lt;MAX($P$34*($B303+IF($R$17="Distrato",$I$38-1,0)),IF(AND($L$37=0,$P$34=0),"",$L$37-1),IF($R$17="Distrato",$E303,0))),0,YEARFRAC(MAX($P$34*($B303+IF($R$17="Distrato",$I$38-1,0)),IF(AND($L$37=0,$P$34=0),"",$L$37-1),IF($R$17="Distrato",$E303,0)),MIN(AE$38,$D$19),$P$20))-SUM($P303:AD303)</f>
        <v>#VALUE!</v>
      </c>
      <c r="AF303" s="446" t="e">
        <f>IF(OR($B303="",MIN(AF$38,$D$19)&lt;MAX($P$34*($B303+IF($R$17="Distrato",$I$38-1,0)),IF(AND($L$37=0,$P$34=0),"",$L$37-1),IF($R$17="Distrato",$E303,0))),0,YEARFRAC(MAX($P$34*($B303+IF($R$17="Distrato",$I$38-1,0)),IF(AND($L$37=0,$P$34=0),"",$L$37-1),IF($R$17="Distrato",$E303,0)),MIN(AF$38,$D$19),$P$20))-SUM($P303:AE303)</f>
        <v>#VALUE!</v>
      </c>
      <c r="AG303" s="446" t="e">
        <f>IF(OR($B303="",MIN(AG$38,$D$19)&lt;MAX($P$34*($B303+IF($R$17="Distrato",$I$38-1,0)),IF(AND($L$37=0,$P$34=0),"",$L$37-1),IF($R$17="Distrato",$E303,0))),0,YEARFRAC(MAX($P$34*($B303+IF($R$17="Distrato",$I$38-1,0)),IF(AND($L$37=0,$P$34=0),"",$L$37-1),IF($R$17="Distrato",$E303,0)),MIN(AG$38,$D$19),$P$20))-SUM($P303:AF303)</f>
        <v>#VALUE!</v>
      </c>
      <c r="AH303" s="446" t="e">
        <f>IF(OR($B303="",MIN(AH$38,$D$19)&lt;MAX($P$34*($B303+IF($R$17="Distrato",$I$38-1,0)),IF(AND($L$37=0,$P$34=0),"",$L$37-1),IF($R$17="Distrato",$E303,0))),0,YEARFRAC(MAX($P$34*($B303+IF($R$17="Distrato",$I$38-1,0)),IF(AND($L$37=0,$P$34=0),"",$L$37-1),IF($R$17="Distrato",$E303,0)),MIN(AH$38,$D$19),$P$20))-SUM($P303:AG303)</f>
        <v>#VALUE!</v>
      </c>
      <c r="AI303" s="446" t="e">
        <f>IF(OR($B303="",MIN(AI$38,$D$19)&lt;MAX($P$34*($B303+IF($R$17="Distrato",$I$38-1,0)),IF(AND($L$37=0,$P$34=0),"",$L$37-1),IF($R$17="Distrato",$E303,0))),0,YEARFRAC(MAX($P$34*($B303+IF($R$17="Distrato",$I$38-1,0)),IF(AND($L$37=0,$P$34=0),"",$L$37-1),IF($R$17="Distrato",$E303,0)),MIN(AI$38,$D$19),$P$20))-SUM($P303:AH303)</f>
        <v>#VALUE!</v>
      </c>
      <c r="AJ303" s="446" t="e">
        <f>IF(OR($B303="",MIN(AJ$38,$D$19)&lt;MAX($P$34*($B303+IF($R$17="Distrato",$I$38-1,0)),IF(AND($L$37=0,$P$34=0),"",$L$37-1),IF($R$17="Distrato",$E303,0))),0,YEARFRAC(MAX($P$34*($B303+IF($R$17="Distrato",$I$38-1,0)),IF(AND($L$37=0,$P$34=0),"",$L$37-1),IF($R$17="Distrato",$E303,0)),MIN(AJ$38,$D$19),$P$20))-SUM($P303:AI303)</f>
        <v>#VALUE!</v>
      </c>
      <c r="AK303" s="446" t="e">
        <f>IF(OR($B303="",MIN(AK$38,$D$19)&lt;MAX($P$34*($B303+IF($R$17="Distrato",$I$38-1,0)),IF(AND($L$37=0,$P$34=0),"",$L$37-1),IF($R$17="Distrato",$E303,0))),0,YEARFRAC(MAX($P$34*($B303+IF($R$17="Distrato",$I$38-1,0)),IF(AND($L$37=0,$P$34=0),"",$L$37-1),IF($R$17="Distrato",$E303,0)),MIN(AK$38,$D$19),$P$20))-SUM($P303:AJ303)</f>
        <v>#VALUE!</v>
      </c>
      <c r="AL303" s="446" t="e">
        <f>IF(OR($B303="",MIN(AL$38,$D$19)&lt;MAX($P$34*($B303+IF($R$17="Distrato",$I$38-1,0)),IF(AND($L$37=0,$P$34=0),"",$L$37-1),IF($R$17="Distrato",$E303,0))),0,YEARFRAC(MAX($P$34*($B303+IF($R$17="Distrato",$I$38-1,0)),IF(AND($L$37=0,$P$34=0),"",$L$37-1),IF($R$17="Distrato",$E303,0)),MIN(AL$38,$D$19),$P$20))-SUM($P303:AK303)</f>
        <v>#VALUE!</v>
      </c>
      <c r="AM303" s="446" t="e">
        <f>IF(OR($B303="",MIN(AM$38,$D$19)&lt;MAX($P$34*($B303+IF($R$17="Distrato",$I$38-1,0)),IF(AND($L$37=0,$P$34=0),"",$L$37-1),IF($R$17="Distrato",$E303,0))),0,YEARFRAC(MAX($P$34*($B303+IF($R$17="Distrato",$I$38-1,0)),IF(AND($L$37=0,$P$34=0),"",$L$37-1),IF($R$17="Distrato",$E303,0)),MIN(AM$38,$D$19),$P$20))-SUM($P303:AL303)</f>
        <v>#VALUE!</v>
      </c>
      <c r="AN303" s="446" t="e">
        <f>IF(OR($B303="",MIN(AN$38,$D$19)&lt;MAX($P$34*($B303+IF($R$17="Distrato",$I$38-1,0)),IF(AND($L$37=0,$P$34=0),"",$L$37-1),IF($R$17="Distrato",$E303,0))),0,YEARFRAC(MAX($P$34*($B303+IF($R$17="Distrato",$I$38-1,0)),IF(AND($L$37=0,$P$34=0),"",$L$37-1),IF($R$17="Distrato",$E303,0)),MIN(AN$38,$D$19),$P$20))-SUM($P303:AM303)</f>
        <v>#VALUE!</v>
      </c>
      <c r="AO303" s="446" t="e">
        <f>IF(OR($B303="",MIN(AO$38,$D$19)&lt;MAX($P$34*($B303+IF($R$17="Distrato",$I$38-1,0)),IF(AND($L$37=0,$P$34=0),"",$L$37-1),IF($R$17="Distrato",$E303,0))),0,YEARFRAC(MAX($P$34*($B303+IF($R$17="Distrato",$I$38-1,0)),IF(AND($L$37=0,$P$34=0),"",$L$37-1),IF($R$17="Distrato",$E303,0)),MIN(AO$38,$D$19),$P$20))-SUM($P303:AN303)</f>
        <v>#VALUE!</v>
      </c>
      <c r="AP303" s="446" t="e">
        <f>IF(OR($B303="",MIN(AP$38,$D$19)&lt;MAX($P$34*($B303+IF($R$17="Distrato",$I$38-1,0)),IF(AND($L$37=0,$P$34=0),"",$L$37-1),IF($R$17="Distrato",$E303,0))),0,YEARFRAC(MAX($P$34*($B303+IF($R$17="Distrato",$I$38-1,0)),IF(AND($L$37=0,$P$34=0),"",$L$37-1),IF($R$17="Distrato",$E303,0)),MIN(AP$38,$D$19),$P$20))-SUM($P303:AO303)</f>
        <v>#VALUE!</v>
      </c>
      <c r="AQ303" s="446" t="e">
        <f>IF(OR($B303="",MIN(AQ$38,$D$19)&lt;MAX($P$34*($B303+IF($R$17="Distrato",$I$38-1,0)),IF(AND($L$37=0,$P$34=0),"",$L$37-1),IF($R$17="Distrato",$E303,0))),0,YEARFRAC(MAX($P$34*($B303+IF($R$17="Distrato",$I$38-1,0)),IF(AND($L$37=0,$P$34=0),"",$L$37-1),IF($R$17="Distrato",$E303,0)),MIN(AQ$38,$D$19),$P$20))-SUM($P303:AP303)</f>
        <v>#VALUE!</v>
      </c>
      <c r="AR303" s="446" t="e">
        <f>IF(OR($B303="",MIN(AR$38,$D$19)&lt;MAX($P$34*($B303+IF($R$17="Distrato",$I$38-1,0)),IF(AND($L$37=0,$P$34=0),"",$L$37-1),IF($R$17="Distrato",$E303,0))),0,YEARFRAC(MAX($P$34*($B303+IF($R$17="Distrato",$I$38-1,0)),IF(AND($L$37=0,$P$34=0),"",$L$37-1),IF($R$17="Distrato",$E303,0)),MIN(AR$38,$D$19),$P$20))-SUM($P303:AQ303)</f>
        <v>#VALUE!</v>
      </c>
      <c r="AS303" s="446" t="e">
        <f>IF(OR($B303="",MIN(AS$38,$D$19)&lt;MAX($P$34*($B303+IF($R$17="Distrato",$I$38-1,0)),IF(AND($L$37=0,$P$34=0),"",$L$37-1),IF($R$17="Distrato",$E303,0))),0,YEARFRAC(MAX($P$34*($B303+IF($R$17="Distrato",$I$38-1,0)),IF(AND($L$37=0,$P$34=0),"",$L$37-1),IF($R$17="Distrato",$E303,0)),MIN(AS$38,$D$19),$P$20))-SUM($P303:AR303)</f>
        <v>#VALUE!</v>
      </c>
      <c r="AT303" s="446" t="e">
        <f>IF(OR($B303="",MIN(AT$38,$D$19)&lt;MAX($P$34*($B303+IF($R$17="Distrato",$I$38-1,0)),IF(AND($L$37=0,$P$34=0),"",$L$37-1),IF($R$17="Distrato",$E303,0))),0,YEARFRAC(MAX($P$34*($B303+IF($R$17="Distrato",$I$38-1,0)),IF(AND($L$37=0,$P$34=0),"",$L$37-1),IF($R$17="Distrato",$E303,0)),MIN(AT$38,$D$19),$P$20))-SUM($P303:AS303)</f>
        <v>#VALUE!</v>
      </c>
      <c r="AU303" s="446" t="e">
        <f>IF(OR($B303="",MIN(AU$38,$D$19)&lt;MAX($P$34*($B303+IF($R$17="Distrato",$I$38-1,0)),IF(AND($L$37=0,$P$34=0),"",$L$37-1),IF($R$17="Distrato",$E303,0))),0,YEARFRAC(MAX($P$34*($B303+IF($R$17="Distrato",$I$38-1,0)),IF(AND($L$37=0,$P$34=0),"",$L$37-1),IF($R$17="Distrato",$E303,0)),MIN(AU$38,$D$19),$P$20))-SUM($P303:AT303)</f>
        <v>#VALUE!</v>
      </c>
      <c r="AV303" s="446" t="e">
        <f>IF(OR($B303="",MIN(AV$38,$D$19)&lt;MAX($P$34*($B303+IF($R$17="Distrato",$I$38-1,0)),IF(AND($L$37=0,$P$34=0),"",$L$37-1),IF($R$17="Distrato",$E303,0))),0,YEARFRAC(MAX($P$34*($B303+IF($R$17="Distrato",$I$38-1,0)),IF(AND($L$37=0,$P$34=0),"",$L$37-1),IF($R$17="Distrato",$E303,0)),MIN(AV$38,$D$19),$P$20))-SUM($P303:AU303)</f>
        <v>#VALUE!</v>
      </c>
      <c r="AW303" s="446" t="e">
        <f>IF(OR($B303="",MIN(AW$38,$D$19)&lt;MAX($P$34*($B303+IF($R$17="Distrato",$I$38-1,0)),IF(AND($L$37=0,$P$34=0),"",$L$37-1),IF($R$17="Distrato",$E303,0))),0,YEARFRAC(MAX($P$34*($B303+IF($R$17="Distrato",$I$38-1,0)),IF(AND($L$37=0,$P$34=0),"",$L$37-1),IF($R$17="Distrato",$E303,0)),MIN(AW$38,$D$19),$P$20))-SUM($P303:AV303)</f>
        <v>#VALUE!</v>
      </c>
      <c r="AX303" s="446" t="e">
        <f>IF(OR($B303="",MIN(AX$38,$D$19)&lt;MAX($P$34*($B303+IF($R$17="Distrato",$I$38-1,0)),IF(AND($L$37=0,$P$34=0),"",$L$37-1),IF($R$17="Distrato",$E303,0))),0,YEARFRAC(MAX($P$34*($B303+IF($R$17="Distrato",$I$38-1,0)),IF(AND($L$37=0,$P$34=0),"",$L$37-1),IF($R$17="Distrato",$E303,0)),MIN(AX$38,$D$19),$P$20))-SUM($P303:AW303)</f>
        <v>#VALUE!</v>
      </c>
      <c r="AY303" s="446" t="e">
        <f>IF(OR($B303="",MIN(AY$38,$D$19)&lt;MAX($P$34*($B303+IF($R$17="Distrato",$I$38-1,0)),IF(AND($L$37=0,$P$34=0),"",$L$37-1),IF($R$17="Distrato",$E303,0))),0,YEARFRAC(MAX($P$34*($B303+IF($R$17="Distrato",$I$38-1,0)),IF(AND($L$37=0,$P$34=0),"",$L$37-1),IF($R$17="Distrato",$E303,0)),MIN(AY$38,$D$19),$P$20))-SUM($P303:AX303)</f>
        <v>#VALUE!</v>
      </c>
      <c r="AZ303" s="446" t="e">
        <f>IF(OR($B303="",MIN(AZ$38,$D$19)&lt;MAX($P$34*($B303+IF($R$17="Distrato",$I$38-1,0)),IF(AND($L$37=0,$P$34=0),"",$L$37-1),IF($R$17="Distrato",$E303,0))),0,YEARFRAC(MAX($P$34*($B303+IF($R$17="Distrato",$I$38-1,0)),IF(AND($L$37=0,$P$34=0),"",$L$37-1),IF($R$17="Distrato",$E303,0)),MIN(AZ$38,$D$19),$P$20))-SUM($P303:AY303)</f>
        <v>#VALUE!</v>
      </c>
      <c r="BA303" s="446" t="e">
        <f>IF(OR($B303="",MIN(BA$38,$D$19)&lt;MAX($P$34*($B303+IF($R$17="Distrato",$I$38-1,0)),IF(AND($L$37=0,$P$34=0),"",$L$37-1),IF($R$17="Distrato",$E303,0))),0,YEARFRAC(MAX($P$34*($B303+IF($R$17="Distrato",$I$38-1,0)),IF(AND($L$37=0,$P$34=0),"",$L$37-1),IF($R$17="Distrato",$E303,0)),MIN(BA$38,$D$19),$P$20))-SUM($P303:AZ303)</f>
        <v>#VALUE!</v>
      </c>
      <c r="BB303" s="447"/>
      <c r="BF303" s="446">
        <f t="shared" si="54"/>
        <v>0</v>
      </c>
      <c r="BG303" s="446">
        <f>IF($E303=0,0,IF(MIN(BG$38,$E303)&lt;MAX($P$34*($B303+$I$38-1),IF(AND($L$37=0,$P$34=0),"",$L$37-1)),0,YEARFRAC(MAX($P$34*($B303+$I$38-1),IF(AND($L$37=0,$P$34=0),"",$L$37-1)),MIN(BG$38,$E303),$P$20))-SUM($BF303:BF303))</f>
        <v>0</v>
      </c>
      <c r="BH303" s="446">
        <f>IF($E303=0,0,IF(MIN(BH$38,$E303)&lt;MAX($P$34*($B303+$I$38-1),IF(AND($L$37=0,$P$34=0),"",$L$37-1)),0,YEARFRAC(MAX($P$34*($B303+$I$38-1),IF(AND($L$37=0,$P$34=0),"",$L$37-1)),MIN(BH$38,$E303),$P$20))-SUM($BF303:BG303))</f>
        <v>0</v>
      </c>
      <c r="BI303" s="446">
        <f>IF($E303=0,0,IF(MIN(BI$38,$E303)&lt;MAX($P$34*($B303+$I$38-1),IF(AND($L$37=0,$P$34=0),"",$L$37-1)),0,YEARFRAC(MAX($P$34*($B303+$I$38-1),IF(AND($L$37=0,$P$34=0),"",$L$37-1)),MIN(BI$38,$E303),$P$20))-SUM($BF303:BH303))</f>
        <v>0</v>
      </c>
      <c r="BJ303" s="446">
        <f>IF($E303=0,0,IF(MIN(BJ$38,$E303)&lt;MAX($P$34*($B303+$I$38-1),IF(AND($L$37=0,$P$34=0),"",$L$37-1)),0,YEARFRAC(MAX($P$34*($B303+$I$38-1),IF(AND($L$37=0,$P$34=0),"",$L$37-1)),MIN(BJ$38,$E303),$P$20))-SUM($BF303:BI303))</f>
        <v>0</v>
      </c>
      <c r="BK303" s="446">
        <f>IF($E303=0,0,IF(MIN(BK$38,$E303)&lt;MAX($P$34*($B303+$I$38-1),IF(AND($L$37=0,$P$34=0),"",$L$37-1)),0,YEARFRAC(MAX($P$34*($B303+$I$38-1),IF(AND($L$37=0,$P$34=0),"",$L$37-1)),MIN(BK$38,$E303),$P$20))-SUM($BF303:BJ303))</f>
        <v>0</v>
      </c>
      <c r="BL303" s="446">
        <f>IF($E303=0,0,IF(MIN(BL$38,$E303)&lt;MAX($P$34*($B303+$I$38-1),IF(AND($L$37=0,$P$34=0),"",$L$37-1)),0,YEARFRAC(MAX($P$34*($B303+$I$38-1),IF(AND($L$37=0,$P$34=0),"",$L$37-1)),MIN(BL$38,$E303),$P$20))-SUM($BF303:BK303))</f>
        <v>0</v>
      </c>
      <c r="BM303" s="446">
        <f>IF($E303=0,0,IF(MIN(BM$38,$E303)&lt;MAX($P$34*($B303+$I$38-1),IF(AND($L$37=0,$P$34=0),"",$L$37-1)),0,YEARFRAC(MAX($P$34*($B303+$I$38-1),IF(AND($L$37=0,$P$34=0),"",$L$37-1)),MIN(BM$38,$E303),$P$20))-SUM($BF303:BL303))</f>
        <v>0</v>
      </c>
      <c r="BN303" s="446">
        <f>IF($E303=0,0,IF(MIN(BN$38,$E303)&lt;MAX($P$34*($B303+$I$38-1),IF(AND($L$37=0,$P$34=0),"",$L$37-1)),0,YEARFRAC(MAX($P$34*($B303+$I$38-1),IF(AND($L$37=0,$P$34=0),"",$L$37-1)),MIN(BN$38,$E303),$P$20))-SUM($BF303:BM303))</f>
        <v>0</v>
      </c>
      <c r="BO303" s="446">
        <f>IF($E303=0,0,IF(MIN(BO$38,$E303)&lt;MAX($P$34*($B303+$I$38-1),IF(AND($L$37=0,$P$34=0),"",$L$37-1)),0,YEARFRAC(MAX($P$34*($B303+$I$38-1),IF(AND($L$37=0,$P$34=0),"",$L$37-1)),MIN(BO$38,$E303),$P$20))-SUM($BF303:BN303))</f>
        <v>0</v>
      </c>
      <c r="BP303" s="446">
        <f>IF($E303=0,0,IF(MIN(BP$38,$E303)&lt;MAX($P$34*($B303+$I$38-1),IF(AND($L$37=0,$P$34=0),"",$L$37-1)),0,YEARFRAC(MAX($P$34*($B303+$I$38-1),IF(AND($L$37=0,$P$34=0),"",$L$37-1)),MIN(BP$38,$E303),$P$20))-SUM($BF303:BO303))</f>
        <v>0</v>
      </c>
      <c r="BQ303" s="446">
        <f>IF($E303=0,0,IF(MIN(BQ$38,$E303)&lt;MAX($P$34*($B303+$I$38-1),IF(AND($L$37=0,$P$34=0),"",$L$37-1)),0,YEARFRAC(MAX($P$34*($B303+$I$38-1),IF(AND($L$37=0,$P$34=0),"",$L$37-1)),MIN(BQ$38,$E303),$P$20))-SUM($BF303:BP303))</f>
        <v>0</v>
      </c>
      <c r="BR303" s="446">
        <f>IF($E303=0,0,IF(MIN(BR$38,$E303)&lt;MAX($P$34*($B303+$I$38-1),IF(AND($L$37=0,$P$34=0),"",$L$37-1)),0,YEARFRAC(MAX($P$34*($B303+$I$38-1),IF(AND($L$37=0,$P$34=0),"",$L$37-1)),MIN(BR$38,$E303),$P$20))-SUM($BF303:BQ303))</f>
        <v>0</v>
      </c>
      <c r="BS303" s="446">
        <f>IF($E303=0,0,IF(MIN(BS$38,$E303)&lt;MAX($P$34*($B303+$I$38-1),IF(AND($L$37=0,$P$34=0),"",$L$37-1)),0,YEARFRAC(MAX($P$34*($B303+$I$38-1),IF(AND($L$37=0,$P$34=0),"",$L$37-1)),MIN(BS$38,$E303),$P$20))-SUM($BF303:BR303))</f>
        <v>0</v>
      </c>
      <c r="BT303" s="446">
        <f>IF($E303=0,0,IF(MIN(BT$38,$E303)&lt;MAX($P$34*($B303+$I$38-1),IF(AND($L$37=0,$P$34=0),"",$L$37-1)),0,YEARFRAC(MAX($P$34*($B303+$I$38-1),IF(AND($L$37=0,$P$34=0),"",$L$37-1)),MIN(BT$38,$E303),$P$20))-SUM($BF303:BS303))</f>
        <v>0</v>
      </c>
      <c r="BU303" s="446">
        <f>IF($E303=0,0,IF(MIN(BU$38,$E303)&lt;MAX($P$34*($B303+$I$38-1),IF(AND($L$37=0,$P$34=0),"",$L$37-1)),0,YEARFRAC(MAX($P$34*($B303+$I$38-1),IF(AND($L$37=0,$P$34=0),"",$L$37-1)),MIN(BU$38,$E303),$P$20))-SUM($BF303:BT303))</f>
        <v>0</v>
      </c>
      <c r="BV303" s="446">
        <f>IF($E303=0,0,IF(MIN(BV$38,$E303)&lt;MAX($P$34*($B303+$I$38-1),IF(AND($L$37=0,$P$34=0),"",$L$37-1)),0,YEARFRAC(MAX($P$34*($B303+$I$38-1),IF(AND($L$37=0,$P$34=0),"",$L$37-1)),MIN(BV$38,$E303),$P$20))-SUM($BF303:BU303))</f>
        <v>0</v>
      </c>
      <c r="BW303" s="446">
        <f>IF($E303=0,0,IF(MIN(BW$38,$E303)&lt;MAX($P$34*($B303+$I$38-1),IF(AND($L$37=0,$P$34=0),"",$L$37-1)),0,YEARFRAC(MAX($P$34*($B303+$I$38-1),IF(AND($L$37=0,$P$34=0),"",$L$37-1)),MIN(BW$38,$E303),$P$20))-SUM($BF303:BV303))</f>
        <v>0</v>
      </c>
      <c r="BX303" s="446">
        <f>IF($E303=0,0,IF(MIN(BX$38,$E303)&lt;MAX($P$34*($B303+$I$38-1),IF(AND($L$37=0,$P$34=0),"",$L$37-1)),0,YEARFRAC(MAX($P$34*($B303+$I$38-1),IF(AND($L$37=0,$P$34=0),"",$L$37-1)),MIN(BX$38,$E303),$P$20))-SUM($BF303:BW303))</f>
        <v>0</v>
      </c>
      <c r="BY303" s="446">
        <f>IF($E303=0,0,IF(MIN(BY$38,$E303)&lt;MAX($P$34*($B303+$I$38-1),IF(AND($L$37=0,$P$34=0),"",$L$37-1)),0,YEARFRAC(MAX($P$34*($B303+$I$38-1),IF(AND($L$37=0,$P$34=0),"",$L$37-1)),MIN(BY$38,$E303),$P$20))-SUM($BF303:BX303))</f>
        <v>0</v>
      </c>
      <c r="BZ303" s="446">
        <f>IF($E303=0,0,IF(MIN(BZ$38,$E303)&lt;MAX($P$34*($B303+$I$38-1),IF(AND($L$37=0,$P$34=0),"",$L$37-1)),0,YEARFRAC(MAX($P$34*($B303+$I$38-1),IF(AND($L$37=0,$P$34=0),"",$L$37-1)),MIN(BZ$38,$E303),$P$20))-SUM($BF303:BY303))</f>
        <v>0</v>
      </c>
      <c r="CA303" s="446">
        <f>IF($E303=0,0,IF(MIN(CA$38,$E303)&lt;MAX($P$34*($B303+$I$38-1),IF(AND($L$37=0,$P$34=0),"",$L$37-1)),0,YEARFRAC(MAX($P$34*($B303+$I$38-1),IF(AND($L$37=0,$P$34=0),"",$L$37-1)),MIN(CA$38,$E303),$P$20))-SUM($BF303:BZ303))</f>
        <v>0</v>
      </c>
      <c r="CB303" s="446">
        <f>IF($E303=0,0,IF(MIN(CB$38,$E303)&lt;MAX($P$34*($B303+$I$38-1),IF(AND($L$37=0,$P$34=0),"",$L$37-1)),0,YEARFRAC(MAX($P$34*($B303+$I$38-1),IF(AND($L$37=0,$P$34=0),"",$L$37-1)),MIN(CB$38,$E303),$P$20))-SUM($BF303:CA303))</f>
        <v>0</v>
      </c>
      <c r="CC303" s="446">
        <f>IF($E303=0,0,IF(MIN(CC$38,$E303)&lt;MAX($P$34*($B303+$I$38-1),IF(AND($L$37=0,$P$34=0),"",$L$37-1)),0,YEARFRAC(MAX($P$34*($B303+$I$38-1),IF(AND($L$37=0,$P$34=0),"",$L$37-1)),MIN(CC$38,$E303),$P$20))-SUM($BF303:CB303))</f>
        <v>0</v>
      </c>
      <c r="CD303" s="446">
        <f>IF($E303=0,0,IF(MIN(CD$38,$E303)&lt;MAX($P$34*($B303+$I$38-1),IF(AND($L$37=0,$P$34=0),"",$L$37-1)),0,YEARFRAC(MAX($P$34*($B303+$I$38-1),IF(AND($L$37=0,$P$34=0),"",$L$37-1)),MIN(CD$38,$E303),$P$20))-SUM($BF303:CC303))</f>
        <v>0</v>
      </c>
      <c r="CE303" s="446">
        <f>IF($E303=0,0,IF(MIN(CE$38,$E303)&lt;MAX($P$34*($B303+$I$38-1),IF(AND($L$37=0,$P$34=0),"",$L$37-1)),0,YEARFRAC(MAX($P$34*($B303+$I$38-1),IF(AND($L$37=0,$P$34=0),"",$L$37-1)),MIN(CE$38,$E303),$P$20))-SUM($BF303:CD303))</f>
        <v>0</v>
      </c>
      <c r="CF303" s="446">
        <f>IF($E303=0,0,IF(MIN(CF$38,$E303)&lt;MAX($P$34*($B303+$I$38-1),IF(AND($L$37=0,$P$34=0),"",$L$37-1)),0,YEARFRAC(MAX($P$34*($B303+$I$38-1),IF(AND($L$37=0,$P$34=0),"",$L$37-1)),MIN(CF$38,$E303),$P$20))-SUM($BF303:CE303))</f>
        <v>0</v>
      </c>
      <c r="CG303" s="446">
        <f>IF($E303=0,0,IF(MIN(CG$38,$E303)&lt;MAX($P$34*($B303+$I$38-1),IF(AND($L$37=0,$P$34=0),"",$L$37-1)),0,YEARFRAC(MAX($P$34*($B303+$I$38-1),IF(AND($L$37=0,$P$34=0),"",$L$37-1)),MIN(CG$38,$E303),$P$20))-SUM($BF303:CF303))</f>
        <v>0</v>
      </c>
      <c r="CH303" s="446">
        <f>IF($E303=0,0,IF(MIN(CH$38,$E303)&lt;MAX($P$34*($B303+$I$38-1),IF(AND($L$37=0,$P$34=0),"",$L$37-1)),0,YEARFRAC(MAX($P$34*($B303+$I$38-1),IF(AND($L$37=0,$P$34=0),"",$L$37-1)),MIN(CH$38,$E303),$P$20))-SUM($BF303:CG303))</f>
        <v>0</v>
      </c>
      <c r="CI303" s="446">
        <f>IF($E303=0,0,IF(MIN(CI$38,$E303)&lt;MAX($P$34*($B303+$I$38-1),IF(AND($L$37=0,$P$34=0),"",$L$37-1)),0,YEARFRAC(MAX($P$34*($B303+$I$38-1),IF(AND($L$37=0,$P$34=0),"",$L$37-1)),MIN(CI$38,$E303),$P$20))-SUM($BF303:CH303))</f>
        <v>0</v>
      </c>
      <c r="CJ303" s="446">
        <f>IF($E303=0,0,IF(MIN(CJ$38,$E303)&lt;MAX($P$34*($B303+$I$38-1),IF(AND($L$37=0,$P$34=0),"",$L$37-1)),0,YEARFRAC(MAX($P$34*($B303+$I$38-1),IF(AND($L$37=0,$P$34=0),"",$L$37-1)),MIN(CJ$38,$E303),$P$20))-SUM($BF303:CI303))</f>
        <v>0</v>
      </c>
      <c r="CK303" s="446">
        <f>IF($E303=0,0,IF(MIN(CK$38,$E303)&lt;MAX($P$34*($B303+$I$38-1),IF(AND($L$37=0,$P$34=0),"",$L$37-1)),0,YEARFRAC(MAX($P$34*($B303+$I$38-1),IF(AND($L$37=0,$P$34=0),"",$L$37-1)),MIN(CK$38,$E303),$P$20))-SUM($BF303:CJ303))</f>
        <v>0</v>
      </c>
      <c r="CL303" s="446">
        <f>IF($E303=0,0,IF(MIN(CL$38,$E303)&lt;MAX($P$34*($B303+$I$38-1),IF(AND($L$37=0,$P$34=0),"",$L$37-1)),0,YEARFRAC(MAX($P$34*($B303+$I$38-1),IF(AND($L$37=0,$P$34=0),"",$L$37-1)),MIN(CL$38,$E303),$P$20))-SUM($BF303:CK303))</f>
        <v>0</v>
      </c>
      <c r="CM303" s="446">
        <f>IF($E303=0,0,IF(MIN(CM$38,$E303)&lt;MAX($P$34*($B303+$I$38-1),IF(AND($L$37=0,$P$34=0),"",$L$37-1)),0,YEARFRAC(MAX($P$34*($B303+$I$38-1),IF(AND($L$37=0,$P$34=0),"",$L$37-1)),MIN(CM$38,$E303),$P$20))-SUM($BF303:CL303))</f>
        <v>0</v>
      </c>
      <c r="CN303" s="446">
        <f>IF($E303=0,0,IF(MIN(CN$38,$E303)&lt;MAX($P$34*($B303+$I$38-1),IF(AND($L$37=0,$P$34=0),"",$L$37-1)),0,YEARFRAC(MAX($P$34*($B303+$I$38-1),IF(AND($L$37=0,$P$34=0),"",$L$37-1)),MIN(CN$38,$E303),$P$20))-SUM($BF303:CM303))</f>
        <v>0</v>
      </c>
      <c r="CO303" s="446">
        <f>IF($E303=0,0,IF(MIN(CO$38,$E303)&lt;MAX($P$34*($B303+$I$38-1),IF(AND($L$37=0,$P$34=0),"",$L$37-1)),0,YEARFRAC(MAX($P$34*($B303+$I$38-1),IF(AND($L$37=0,$P$34=0),"",$L$37-1)),MIN(CO$38,$E303),$P$20))-SUM($BF303:CN303))</f>
        <v>0</v>
      </c>
      <c r="CP303" s="446">
        <f>IF($E303=0,0,IF(MIN(CP$38,$E303)&lt;MAX($P$34*($B303+$I$38-1),IF(AND($L$37=0,$P$34=0),"",$L$37-1)),0,YEARFRAC(MAX($P$34*($B303+$I$38-1),IF(AND($L$37=0,$P$34=0),"",$L$37-1)),MIN(CP$38,$E303),$P$20))-SUM($BF303:CO303))</f>
        <v>0</v>
      </c>
      <c r="CQ303" s="446">
        <f>IF($E303=0,0,IF(MIN(CQ$38,$E303)&lt;MAX($P$34*($B303+$I$38-1),IF(AND($L$37=0,$P$34=0),"",$L$37-1)),0,YEARFRAC(MAX($P$34*($B303+$I$38-1),IF(AND($L$37=0,$P$34=0),"",$L$37-1)),MIN(CQ$38,$E303),$P$20))-SUM($BF303:CP303))</f>
        <v>0</v>
      </c>
    </row>
    <row r="304" spans="1:95" s="446" customFormat="1" ht="11.25" hidden="1" customHeight="1" x14ac:dyDescent="0.2">
      <c r="A304" s="152"/>
      <c r="B304" s="153" t="str">
        <f t="shared" si="59"/>
        <v/>
      </c>
      <c r="C304" s="29" t="str">
        <f>IF(B304="","",IF($L$35="SELIC - TRIBUTOS",VLOOKUP(DATE(YEAR($D$19),MONTH($D$19)-1,1),ÍNDICES!$A:$DE,HLOOKUP($BL$25,ÍNDICES!$B$3:$T$4,2)+11)-VLOOKUP(B304,ÍNDICES!$A:$DE,HLOOKUP($BL$25,ÍNDICES!$B$3:$T$4,2)+11)+1%,IF(C$38=$W$26,$J$35,IF(ISERROR(IF(B304&gt;$D$19,1,VLOOKUP(DATE(YEAR(B304),MONTH(B304)+IF($C$35=$S$23,1,0),1),ÍNDICES!$A:$DE,$Z$35+1))),"",IF(B304&gt;$D$19,1,VLOOKUP(DATE(YEAR(B304),MONTH(B304)+IF($C$35=$S$23,1,0),1),ÍNDICES!$A:$DE,$Z$35+1))))))</f>
        <v/>
      </c>
      <c r="D304" s="154" t="str">
        <f>IF(ISERROR(IF(OR($D$38=$Y$27,$B304=""),"",VLOOKUP(B304,ÍNDICES!A:DE,AF$35+1))),"",IF(OR($D$38=$Y$27,$B304=""),"",VLOOKUP(B304,ÍNDICES!A:DE,AF$35+1)))</f>
        <v/>
      </c>
      <c r="E304" s="153"/>
      <c r="F304" s="29" t="str">
        <f>IF(E304="","",IF($L$35="SELIC - TRIBUTOS",VLOOKUP(DATE(YEAR($D$19),MONTH($D$19)-1,1),ÍNDICES!$A:$DE,HLOOKUP($BL$25,ÍNDICES!$B$3:$T$4,2)+11)-VLOOKUP(E304,ÍNDICES!$A:$DE,HLOOKUP($BL$25,ÍNDICES!$B$3:$T$4,2)+11)+1%,IF(F$38=$W$26,$J$35,IF(ISERROR(IF(E304&gt;$D$19,1,VLOOKUP(DATE(YEAR(E304),MONTH(E304)+IF($C$35=$S$23,1,0),1),ÍNDICES!$A:$DE,$Z$35+1))),"",IF(E304&gt;$D$19,1,VLOOKUP(DATE(YEAR(E304),MONTH(E304)+IF($C$35=$S$23,1,0),1),ÍNDICES!$A:$DE,$Z$35+1))))))</f>
        <v/>
      </c>
      <c r="G304" s="155"/>
      <c r="H304" s="156" t="str">
        <f t="shared" si="55"/>
        <v/>
      </c>
      <c r="I304" s="29" t="str">
        <f t="shared" si="49"/>
        <v/>
      </c>
      <c r="J304" s="5">
        <f t="shared" si="50"/>
        <v>0</v>
      </c>
      <c r="K304" s="20">
        <f t="shared" ca="1" si="51"/>
        <v>0</v>
      </c>
      <c r="L304" s="5">
        <f t="shared" ca="1" si="52"/>
        <v>0</v>
      </c>
      <c r="M304" s="64">
        <f t="shared" si="56"/>
        <v>0</v>
      </c>
      <c r="N304" s="61">
        <f t="shared" ca="1" si="57"/>
        <v>0</v>
      </c>
      <c r="O304" s="5">
        <f t="shared" ca="1" si="58"/>
        <v>0</v>
      </c>
      <c r="P304" s="446" t="e">
        <f t="shared" si="53"/>
        <v>#VALUE!</v>
      </c>
      <c r="Q304" s="446" t="e">
        <f>IF(OR($B304="",MIN(Q$38,$D$19)&lt;MAX($P$34*($B304+IF($R$17="Distrato",$I$38-1,0)),IF(AND($L$37=0,$P$34=0),"",$L$37-1),IF($R$17="Distrato",$E304,0))),0,YEARFRAC(MAX($P$34*($B304+IF($R$17="Distrato",$I$38-1,0)),IF(AND($L$37=0,$P$34=0),"",$L$37-1),IF($R$17="Distrato",$E304,0)),MIN(Q$38,$D$19),$P$20))-SUM($P304:P304)</f>
        <v>#VALUE!</v>
      </c>
      <c r="R304" s="446" t="e">
        <f>IF(OR($B304="",MIN(R$38,$D$19)&lt;MAX($P$34*($B304+IF($R$17="Distrato",$I$38-1,0)),IF(AND($L$37=0,$P$34=0),"",$L$37-1),IF($R$17="Distrato",$E304,0))),0,YEARFRAC(MAX($P$34*($B304+IF($R$17="Distrato",$I$38-1,0)),IF(AND($L$37=0,$P$34=0),"",$L$37-1),IF($R$17="Distrato",$E304,0)),MIN(R$38,$D$19),$P$20))-SUM($P304:Q304)</f>
        <v>#VALUE!</v>
      </c>
      <c r="S304" s="446" t="e">
        <f>IF(OR($B304="",MIN(S$38,$D$19)&lt;MAX($P$34*($B304+IF($R$17="Distrato",$I$38-1,0)),IF(AND($L$37=0,$P$34=0),"",$L$37-1),IF($R$17="Distrato",$E304,0))),0,YEARFRAC(MAX($P$34*($B304+IF($R$17="Distrato",$I$38-1,0)),IF(AND($L$37=0,$P$34=0),"",$L$37-1),IF($R$17="Distrato",$E304,0)),MIN(S$38,$D$19),$P$20))-SUM($P304:R304)</f>
        <v>#VALUE!</v>
      </c>
      <c r="T304" s="446" t="e">
        <f>IF(OR($B304="",MIN(T$38,$D$19)&lt;MAX($P$34*($B304+IF($R$17="Distrato",$I$38-1,0)),IF(AND($L$37=0,$P$34=0),"",$L$37-1),IF($R$17="Distrato",$E304,0))),0,YEARFRAC(MAX($P$34*($B304+IF($R$17="Distrato",$I$38-1,0)),IF(AND($L$37=0,$P$34=0),"",$L$37-1),IF($R$17="Distrato",$E304,0)),MIN(T$38,$D$19),$P$20))-SUM($P304:S304)</f>
        <v>#VALUE!</v>
      </c>
      <c r="U304" s="446" t="e">
        <f>IF(OR($B304="",MIN(U$38,$D$19)&lt;MAX($P$34*($B304+IF($R$17="Distrato",$I$38-1,0)),IF(AND($L$37=0,$P$34=0),"",$L$37-1),IF($R$17="Distrato",$E304,0))),0,YEARFRAC(MAX($P$34*($B304+IF($R$17="Distrato",$I$38-1,0)),IF(AND($L$37=0,$P$34=0),"",$L$37-1),IF($R$17="Distrato",$E304,0)),MIN(U$38,$D$19),$P$20))-SUM($P304:T304)</f>
        <v>#VALUE!</v>
      </c>
      <c r="V304" s="446" t="e">
        <f>IF(OR($B304="",MIN(V$38,$D$19)&lt;MAX($P$34*($B304+IF($R$17="Distrato",$I$38-1,0)),IF(AND($L$37=0,$P$34=0),"",$L$37-1),IF($R$17="Distrato",$E304,0))),0,YEARFRAC(MAX($P$34*($B304+IF($R$17="Distrato",$I$38-1,0)),IF(AND($L$37=0,$P$34=0),"",$L$37-1),IF($R$17="Distrato",$E304,0)),MIN(V$38,$D$19),$P$20))-SUM($P304:U304)</f>
        <v>#VALUE!</v>
      </c>
      <c r="W304" s="446" t="e">
        <f>IF(OR($B304="",MIN(W$38,$D$19)&lt;MAX($P$34*($B304+IF($R$17="Distrato",$I$38-1,0)),IF(AND($L$37=0,$P$34=0),"",$L$37-1),IF($R$17="Distrato",$E304,0))),0,YEARFRAC(MAX($P$34*($B304+IF($R$17="Distrato",$I$38-1,0)),IF(AND($L$37=0,$P$34=0),"",$L$37-1),IF($R$17="Distrato",$E304,0)),MIN(W$38,$D$19),$P$20))-SUM($P304:V304)</f>
        <v>#VALUE!</v>
      </c>
      <c r="X304" s="446" t="e">
        <f>IF(OR($B304="",MIN(X$38,$D$19)&lt;MAX($P$34*($B304+IF($R$17="Distrato",$I$38-1,0)),IF(AND($L$37=0,$P$34=0),"",$L$37-1),IF($R$17="Distrato",$E304,0))),0,YEARFRAC(MAX($P$34*($B304+IF($R$17="Distrato",$I$38-1,0)),IF(AND($L$37=0,$P$34=0),"",$L$37-1),IF($R$17="Distrato",$E304,0)),MIN(X$38,$D$19),$P$20))-SUM($P304:W304)</f>
        <v>#VALUE!</v>
      </c>
      <c r="Y304" s="446" t="e">
        <f>IF(OR($B304="",MIN(Y$38,$D$19)&lt;MAX($P$34*($B304+IF($R$17="Distrato",$I$38-1,0)),IF(AND($L$37=0,$P$34=0),"",$L$37-1),IF($R$17="Distrato",$E304,0))),0,YEARFRAC(MAX($P$34*($B304+IF($R$17="Distrato",$I$38-1,0)),IF(AND($L$37=0,$P$34=0),"",$L$37-1),IF($R$17="Distrato",$E304,0)),MIN(Y$38,$D$19),$P$20))-SUM($P304:X304)</f>
        <v>#VALUE!</v>
      </c>
      <c r="Z304" s="446" t="e">
        <f>IF(OR($B304="",MIN(Z$38,$D$19)&lt;MAX($P$34*($B304+IF($R$17="Distrato",$I$38-1,0)),IF(AND($L$37=0,$P$34=0),"",$L$37-1),IF($R$17="Distrato",$E304,0))),0,YEARFRAC(MAX($P$34*($B304+IF($R$17="Distrato",$I$38-1,0)),IF(AND($L$37=0,$P$34=0),"",$L$37-1),IF($R$17="Distrato",$E304,0)),MIN(Z$38,$D$19),$P$20))-SUM($P304:Y304)</f>
        <v>#VALUE!</v>
      </c>
      <c r="AA304" s="446" t="e">
        <f>IF(OR($B304="",MIN(AA$38,$D$19)&lt;MAX($P$34*($B304+IF($R$17="Distrato",$I$38-1,0)),IF(AND($L$37=0,$P$34=0),"",$L$37-1),IF($R$17="Distrato",$E304,0))),0,YEARFRAC(MAX($P$34*($B304+IF($R$17="Distrato",$I$38-1,0)),IF(AND($L$37=0,$P$34=0),"",$L$37-1),IF($R$17="Distrato",$E304,0)),MIN(AA$38,$D$19),$P$20))-SUM($P304:Z304)</f>
        <v>#VALUE!</v>
      </c>
      <c r="AB304" s="446" t="e">
        <f>IF(OR($B304="",MIN(AB$38,$D$19)&lt;MAX($P$34*($B304+IF($R$17="Distrato",$I$38-1,0)),IF(AND($L$37=0,$P$34=0),"",$L$37-1),IF($R$17="Distrato",$E304,0))),0,YEARFRAC(MAX($P$34*($B304+IF($R$17="Distrato",$I$38-1,0)),IF(AND($L$37=0,$P$34=0),"",$L$37-1),IF($R$17="Distrato",$E304,0)),MIN(AB$38,$D$19),$P$20))-SUM($P304:AA304)</f>
        <v>#VALUE!</v>
      </c>
      <c r="AC304" s="446" t="e">
        <f>IF(OR($B304="",MIN(AC$38,$D$19)&lt;MAX($P$34*($B304+IF($R$17="Distrato",$I$38-1,0)),IF(AND($L$37=0,$P$34=0),"",$L$37-1),IF($R$17="Distrato",$E304,0))),0,YEARFRAC(MAX($P$34*($B304+IF($R$17="Distrato",$I$38-1,0)),IF(AND($L$37=0,$P$34=0),"",$L$37-1),IF($R$17="Distrato",$E304,0)),MIN(AC$38,$D$19),$P$20))-SUM($P304:AB304)</f>
        <v>#VALUE!</v>
      </c>
      <c r="AD304" s="446" t="e">
        <f>IF(OR($B304="",MIN(AD$38,$D$19)&lt;MAX($P$34*($B304+IF($R$17="Distrato",$I$38-1,0)),IF(AND($L$37=0,$P$34=0),"",$L$37-1),IF($R$17="Distrato",$E304,0))),0,YEARFRAC(MAX($P$34*($B304+IF($R$17="Distrato",$I$38-1,0)),IF(AND($L$37=0,$P$34=0),"",$L$37-1),IF($R$17="Distrato",$E304,0)),MIN(AD$38,$D$19),$P$20))-SUM($P304:AC304)</f>
        <v>#VALUE!</v>
      </c>
      <c r="AE304" s="446" t="e">
        <f>IF(OR($B304="",MIN(AE$38,$D$19)&lt;MAX($P$34*($B304+IF($R$17="Distrato",$I$38-1,0)),IF(AND($L$37=0,$P$34=0),"",$L$37-1),IF($R$17="Distrato",$E304,0))),0,YEARFRAC(MAX($P$34*($B304+IF($R$17="Distrato",$I$38-1,0)),IF(AND($L$37=0,$P$34=0),"",$L$37-1),IF($R$17="Distrato",$E304,0)),MIN(AE$38,$D$19),$P$20))-SUM($P304:AD304)</f>
        <v>#VALUE!</v>
      </c>
      <c r="AF304" s="446" t="e">
        <f>IF(OR($B304="",MIN(AF$38,$D$19)&lt;MAX($P$34*($B304+IF($R$17="Distrato",$I$38-1,0)),IF(AND($L$37=0,$P$34=0),"",$L$37-1),IF($R$17="Distrato",$E304,0))),0,YEARFRAC(MAX($P$34*($B304+IF($R$17="Distrato",$I$38-1,0)),IF(AND($L$37=0,$P$34=0),"",$L$37-1),IF($R$17="Distrato",$E304,0)),MIN(AF$38,$D$19),$P$20))-SUM($P304:AE304)</f>
        <v>#VALUE!</v>
      </c>
      <c r="AG304" s="446" t="e">
        <f>IF(OR($B304="",MIN(AG$38,$D$19)&lt;MAX($P$34*($B304+IF($R$17="Distrato",$I$38-1,0)),IF(AND($L$37=0,$P$34=0),"",$L$37-1),IF($R$17="Distrato",$E304,0))),0,YEARFRAC(MAX($P$34*($B304+IF($R$17="Distrato",$I$38-1,0)),IF(AND($L$37=0,$P$34=0),"",$L$37-1),IF($R$17="Distrato",$E304,0)),MIN(AG$38,$D$19),$P$20))-SUM($P304:AF304)</f>
        <v>#VALUE!</v>
      </c>
      <c r="AH304" s="446" t="e">
        <f>IF(OR($B304="",MIN(AH$38,$D$19)&lt;MAX($P$34*($B304+IF($R$17="Distrato",$I$38-1,0)),IF(AND($L$37=0,$P$34=0),"",$L$37-1),IF($R$17="Distrato",$E304,0))),0,YEARFRAC(MAX($P$34*($B304+IF($R$17="Distrato",$I$38-1,0)),IF(AND($L$37=0,$P$34=0),"",$L$37-1),IF($R$17="Distrato",$E304,0)),MIN(AH$38,$D$19),$P$20))-SUM($P304:AG304)</f>
        <v>#VALUE!</v>
      </c>
      <c r="AI304" s="446" t="e">
        <f>IF(OR($B304="",MIN(AI$38,$D$19)&lt;MAX($P$34*($B304+IF($R$17="Distrato",$I$38-1,0)),IF(AND($L$37=0,$P$34=0),"",$L$37-1),IF($R$17="Distrato",$E304,0))),0,YEARFRAC(MAX($P$34*($B304+IF($R$17="Distrato",$I$38-1,0)),IF(AND($L$37=0,$P$34=0),"",$L$37-1),IF($R$17="Distrato",$E304,0)),MIN(AI$38,$D$19),$P$20))-SUM($P304:AH304)</f>
        <v>#VALUE!</v>
      </c>
      <c r="AJ304" s="446" t="e">
        <f>IF(OR($B304="",MIN(AJ$38,$D$19)&lt;MAX($P$34*($B304+IF($R$17="Distrato",$I$38-1,0)),IF(AND($L$37=0,$P$34=0),"",$L$37-1),IF($R$17="Distrato",$E304,0))),0,YEARFRAC(MAX($P$34*($B304+IF($R$17="Distrato",$I$38-1,0)),IF(AND($L$37=0,$P$34=0),"",$L$37-1),IF($R$17="Distrato",$E304,0)),MIN(AJ$38,$D$19),$P$20))-SUM($P304:AI304)</f>
        <v>#VALUE!</v>
      </c>
      <c r="AK304" s="446" t="e">
        <f>IF(OR($B304="",MIN(AK$38,$D$19)&lt;MAX($P$34*($B304+IF($R$17="Distrato",$I$38-1,0)),IF(AND($L$37=0,$P$34=0),"",$L$37-1),IF($R$17="Distrato",$E304,0))),0,YEARFRAC(MAX($P$34*($B304+IF($R$17="Distrato",$I$38-1,0)),IF(AND($L$37=0,$P$34=0),"",$L$37-1),IF($R$17="Distrato",$E304,0)),MIN(AK$38,$D$19),$P$20))-SUM($P304:AJ304)</f>
        <v>#VALUE!</v>
      </c>
      <c r="AL304" s="446" t="e">
        <f>IF(OR($B304="",MIN(AL$38,$D$19)&lt;MAX($P$34*($B304+IF($R$17="Distrato",$I$38-1,0)),IF(AND($L$37=0,$P$34=0),"",$L$37-1),IF($R$17="Distrato",$E304,0))),0,YEARFRAC(MAX($P$34*($B304+IF($R$17="Distrato",$I$38-1,0)),IF(AND($L$37=0,$P$34=0),"",$L$37-1),IF($R$17="Distrato",$E304,0)),MIN(AL$38,$D$19),$P$20))-SUM($P304:AK304)</f>
        <v>#VALUE!</v>
      </c>
      <c r="AM304" s="446" t="e">
        <f>IF(OR($B304="",MIN(AM$38,$D$19)&lt;MAX($P$34*($B304+IF($R$17="Distrato",$I$38-1,0)),IF(AND($L$37=0,$P$34=0),"",$L$37-1),IF($R$17="Distrato",$E304,0))),0,YEARFRAC(MAX($P$34*($B304+IF($R$17="Distrato",$I$38-1,0)),IF(AND($L$37=0,$P$34=0),"",$L$37-1),IF($R$17="Distrato",$E304,0)),MIN(AM$38,$D$19),$P$20))-SUM($P304:AL304)</f>
        <v>#VALUE!</v>
      </c>
      <c r="AN304" s="446" t="e">
        <f>IF(OR($B304="",MIN(AN$38,$D$19)&lt;MAX($P$34*($B304+IF($R$17="Distrato",$I$38-1,0)),IF(AND($L$37=0,$P$34=0),"",$L$37-1),IF($R$17="Distrato",$E304,0))),0,YEARFRAC(MAX($P$34*($B304+IF($R$17="Distrato",$I$38-1,0)),IF(AND($L$37=0,$P$34=0),"",$L$37-1),IF($R$17="Distrato",$E304,0)),MIN(AN$38,$D$19),$P$20))-SUM($P304:AM304)</f>
        <v>#VALUE!</v>
      </c>
      <c r="AO304" s="446" t="e">
        <f>IF(OR($B304="",MIN(AO$38,$D$19)&lt;MAX($P$34*($B304+IF($R$17="Distrato",$I$38-1,0)),IF(AND($L$37=0,$P$34=0),"",$L$37-1),IF($R$17="Distrato",$E304,0))),0,YEARFRAC(MAX($P$34*($B304+IF($R$17="Distrato",$I$38-1,0)),IF(AND($L$37=0,$P$34=0),"",$L$37-1),IF($R$17="Distrato",$E304,0)),MIN(AO$38,$D$19),$P$20))-SUM($P304:AN304)</f>
        <v>#VALUE!</v>
      </c>
      <c r="AP304" s="446" t="e">
        <f>IF(OR($B304="",MIN(AP$38,$D$19)&lt;MAX($P$34*($B304+IF($R$17="Distrato",$I$38-1,0)),IF(AND($L$37=0,$P$34=0),"",$L$37-1),IF($R$17="Distrato",$E304,0))),0,YEARFRAC(MAX($P$34*($B304+IF($R$17="Distrato",$I$38-1,0)),IF(AND($L$37=0,$P$34=0),"",$L$37-1),IF($R$17="Distrato",$E304,0)),MIN(AP$38,$D$19),$P$20))-SUM($P304:AO304)</f>
        <v>#VALUE!</v>
      </c>
      <c r="AQ304" s="446" t="e">
        <f>IF(OR($B304="",MIN(AQ$38,$D$19)&lt;MAX($P$34*($B304+IF($R$17="Distrato",$I$38-1,0)),IF(AND($L$37=0,$P$34=0),"",$L$37-1),IF($R$17="Distrato",$E304,0))),0,YEARFRAC(MAX($P$34*($B304+IF($R$17="Distrato",$I$38-1,0)),IF(AND($L$37=0,$P$34=0),"",$L$37-1),IF($R$17="Distrato",$E304,0)),MIN(AQ$38,$D$19),$P$20))-SUM($P304:AP304)</f>
        <v>#VALUE!</v>
      </c>
      <c r="AR304" s="446" t="e">
        <f>IF(OR($B304="",MIN(AR$38,$D$19)&lt;MAX($P$34*($B304+IF($R$17="Distrato",$I$38-1,0)),IF(AND($L$37=0,$P$34=0),"",$L$37-1),IF($R$17="Distrato",$E304,0))),0,YEARFRAC(MAX($P$34*($B304+IF($R$17="Distrato",$I$38-1,0)),IF(AND($L$37=0,$P$34=0),"",$L$37-1),IF($R$17="Distrato",$E304,0)),MIN(AR$38,$D$19),$P$20))-SUM($P304:AQ304)</f>
        <v>#VALUE!</v>
      </c>
      <c r="AS304" s="446" t="e">
        <f>IF(OR($B304="",MIN(AS$38,$D$19)&lt;MAX($P$34*($B304+IF($R$17="Distrato",$I$38-1,0)),IF(AND($L$37=0,$P$34=0),"",$L$37-1),IF($R$17="Distrato",$E304,0))),0,YEARFRAC(MAX($P$34*($B304+IF($R$17="Distrato",$I$38-1,0)),IF(AND($L$37=0,$P$34=0),"",$L$37-1),IF($R$17="Distrato",$E304,0)),MIN(AS$38,$D$19),$P$20))-SUM($P304:AR304)</f>
        <v>#VALUE!</v>
      </c>
      <c r="AT304" s="446" t="e">
        <f>IF(OR($B304="",MIN(AT$38,$D$19)&lt;MAX($P$34*($B304+IF($R$17="Distrato",$I$38-1,0)),IF(AND($L$37=0,$P$34=0),"",$L$37-1),IF($R$17="Distrato",$E304,0))),0,YEARFRAC(MAX($P$34*($B304+IF($R$17="Distrato",$I$38-1,0)),IF(AND($L$37=0,$P$34=0),"",$L$37-1),IF($R$17="Distrato",$E304,0)),MIN(AT$38,$D$19),$P$20))-SUM($P304:AS304)</f>
        <v>#VALUE!</v>
      </c>
      <c r="AU304" s="446" t="e">
        <f>IF(OR($B304="",MIN(AU$38,$D$19)&lt;MAX($P$34*($B304+IF($R$17="Distrato",$I$38-1,0)),IF(AND($L$37=0,$P$34=0),"",$L$37-1),IF($R$17="Distrato",$E304,0))),0,YEARFRAC(MAX($P$34*($B304+IF($R$17="Distrato",$I$38-1,0)),IF(AND($L$37=0,$P$34=0),"",$L$37-1),IF($R$17="Distrato",$E304,0)),MIN(AU$38,$D$19),$P$20))-SUM($P304:AT304)</f>
        <v>#VALUE!</v>
      </c>
      <c r="AV304" s="446" t="e">
        <f>IF(OR($B304="",MIN(AV$38,$D$19)&lt;MAX($P$34*($B304+IF($R$17="Distrato",$I$38-1,0)),IF(AND($L$37=0,$P$34=0),"",$L$37-1),IF($R$17="Distrato",$E304,0))),0,YEARFRAC(MAX($P$34*($B304+IF($R$17="Distrato",$I$38-1,0)),IF(AND($L$37=0,$P$34=0),"",$L$37-1),IF($R$17="Distrato",$E304,0)),MIN(AV$38,$D$19),$P$20))-SUM($P304:AU304)</f>
        <v>#VALUE!</v>
      </c>
      <c r="AW304" s="446" t="e">
        <f>IF(OR($B304="",MIN(AW$38,$D$19)&lt;MAX($P$34*($B304+IF($R$17="Distrato",$I$38-1,0)),IF(AND($L$37=0,$P$34=0),"",$L$37-1),IF($R$17="Distrato",$E304,0))),0,YEARFRAC(MAX($P$34*($B304+IF($R$17="Distrato",$I$38-1,0)),IF(AND($L$37=0,$P$34=0),"",$L$37-1),IF($R$17="Distrato",$E304,0)),MIN(AW$38,$D$19),$P$20))-SUM($P304:AV304)</f>
        <v>#VALUE!</v>
      </c>
      <c r="AX304" s="446" t="e">
        <f>IF(OR($B304="",MIN(AX$38,$D$19)&lt;MAX($P$34*($B304+IF($R$17="Distrato",$I$38-1,0)),IF(AND($L$37=0,$P$34=0),"",$L$37-1),IF($R$17="Distrato",$E304,0))),0,YEARFRAC(MAX($P$34*($B304+IF($R$17="Distrato",$I$38-1,0)),IF(AND($L$37=0,$P$34=0),"",$L$37-1),IF($R$17="Distrato",$E304,0)),MIN(AX$38,$D$19),$P$20))-SUM($P304:AW304)</f>
        <v>#VALUE!</v>
      </c>
      <c r="AY304" s="446" t="e">
        <f>IF(OR($B304="",MIN(AY$38,$D$19)&lt;MAX($P$34*($B304+IF($R$17="Distrato",$I$38-1,0)),IF(AND($L$37=0,$P$34=0),"",$L$37-1),IF($R$17="Distrato",$E304,0))),0,YEARFRAC(MAX($P$34*($B304+IF($R$17="Distrato",$I$38-1,0)),IF(AND($L$37=0,$P$34=0),"",$L$37-1),IF($R$17="Distrato",$E304,0)),MIN(AY$38,$D$19),$P$20))-SUM($P304:AX304)</f>
        <v>#VALUE!</v>
      </c>
      <c r="AZ304" s="446" t="e">
        <f>IF(OR($B304="",MIN(AZ$38,$D$19)&lt;MAX($P$34*($B304+IF($R$17="Distrato",$I$38-1,0)),IF(AND($L$37=0,$P$34=0),"",$L$37-1),IF($R$17="Distrato",$E304,0))),0,YEARFRAC(MAX($P$34*($B304+IF($R$17="Distrato",$I$38-1,0)),IF(AND($L$37=0,$P$34=0),"",$L$37-1),IF($R$17="Distrato",$E304,0)),MIN(AZ$38,$D$19),$P$20))-SUM($P304:AY304)</f>
        <v>#VALUE!</v>
      </c>
      <c r="BA304" s="446" t="e">
        <f>IF(OR($B304="",MIN(BA$38,$D$19)&lt;MAX($P$34*($B304+IF($R$17="Distrato",$I$38-1,0)),IF(AND($L$37=0,$P$34=0),"",$L$37-1),IF($R$17="Distrato",$E304,0))),0,YEARFRAC(MAX($P$34*($B304+IF($R$17="Distrato",$I$38-1,0)),IF(AND($L$37=0,$P$34=0),"",$L$37-1),IF($R$17="Distrato",$E304,0)),MIN(BA$38,$D$19),$P$20))-SUM($P304:AZ304)</f>
        <v>#VALUE!</v>
      </c>
      <c r="BB304" s="447"/>
      <c r="BF304" s="446">
        <f t="shared" si="54"/>
        <v>0</v>
      </c>
      <c r="BG304" s="446">
        <f>IF($E304=0,0,IF(MIN(BG$38,$E304)&lt;MAX($P$34*($B304+$I$38-1),IF(AND($L$37=0,$P$34=0),"",$L$37-1)),0,YEARFRAC(MAX($P$34*($B304+$I$38-1),IF(AND($L$37=0,$P$34=0),"",$L$37-1)),MIN(BG$38,$E304),$P$20))-SUM($BF304:BF304))</f>
        <v>0</v>
      </c>
      <c r="BH304" s="446">
        <f>IF($E304=0,0,IF(MIN(BH$38,$E304)&lt;MAX($P$34*($B304+$I$38-1),IF(AND($L$37=0,$P$34=0),"",$L$37-1)),0,YEARFRAC(MAX($P$34*($B304+$I$38-1),IF(AND($L$37=0,$P$34=0),"",$L$37-1)),MIN(BH$38,$E304),$P$20))-SUM($BF304:BG304))</f>
        <v>0</v>
      </c>
      <c r="BI304" s="446">
        <f>IF($E304=0,0,IF(MIN(BI$38,$E304)&lt;MAX($P$34*($B304+$I$38-1),IF(AND($L$37=0,$P$34=0),"",$L$37-1)),0,YEARFRAC(MAX($P$34*($B304+$I$38-1),IF(AND($L$37=0,$P$34=0),"",$L$37-1)),MIN(BI$38,$E304),$P$20))-SUM($BF304:BH304))</f>
        <v>0</v>
      </c>
      <c r="BJ304" s="446">
        <f>IF($E304=0,0,IF(MIN(BJ$38,$E304)&lt;MAX($P$34*($B304+$I$38-1),IF(AND($L$37=0,$P$34=0),"",$L$37-1)),0,YEARFRAC(MAX($P$34*($B304+$I$38-1),IF(AND($L$37=0,$P$34=0),"",$L$37-1)),MIN(BJ$38,$E304),$P$20))-SUM($BF304:BI304))</f>
        <v>0</v>
      </c>
      <c r="BK304" s="446">
        <f>IF($E304=0,0,IF(MIN(BK$38,$E304)&lt;MAX($P$34*($B304+$I$38-1),IF(AND($L$37=0,$P$34=0),"",$L$37-1)),0,YEARFRAC(MAX($P$34*($B304+$I$38-1),IF(AND($L$37=0,$P$34=0),"",$L$37-1)),MIN(BK$38,$E304),$P$20))-SUM($BF304:BJ304))</f>
        <v>0</v>
      </c>
      <c r="BL304" s="446">
        <f>IF($E304=0,0,IF(MIN(BL$38,$E304)&lt;MAX($P$34*($B304+$I$38-1),IF(AND($L$37=0,$P$34=0),"",$L$37-1)),0,YEARFRAC(MAX($P$34*($B304+$I$38-1),IF(AND($L$37=0,$P$34=0),"",$L$37-1)),MIN(BL$38,$E304),$P$20))-SUM($BF304:BK304))</f>
        <v>0</v>
      </c>
      <c r="BM304" s="446">
        <f>IF($E304=0,0,IF(MIN(BM$38,$E304)&lt;MAX($P$34*($B304+$I$38-1),IF(AND($L$37=0,$P$34=0),"",$L$37-1)),0,YEARFRAC(MAX($P$34*($B304+$I$38-1),IF(AND($L$37=0,$P$34=0),"",$L$37-1)),MIN(BM$38,$E304),$P$20))-SUM($BF304:BL304))</f>
        <v>0</v>
      </c>
      <c r="BN304" s="446">
        <f>IF($E304=0,0,IF(MIN(BN$38,$E304)&lt;MAX($P$34*($B304+$I$38-1),IF(AND($L$37=0,$P$34=0),"",$L$37-1)),0,YEARFRAC(MAX($P$34*($B304+$I$38-1),IF(AND($L$37=0,$P$34=0),"",$L$37-1)),MIN(BN$38,$E304),$P$20))-SUM($BF304:BM304))</f>
        <v>0</v>
      </c>
      <c r="BO304" s="446">
        <f>IF($E304=0,0,IF(MIN(BO$38,$E304)&lt;MAX($P$34*($B304+$I$38-1),IF(AND($L$37=0,$P$34=0),"",$L$37-1)),0,YEARFRAC(MAX($P$34*($B304+$I$38-1),IF(AND($L$37=0,$P$34=0),"",$L$37-1)),MIN(BO$38,$E304),$P$20))-SUM($BF304:BN304))</f>
        <v>0</v>
      </c>
      <c r="BP304" s="446">
        <f>IF($E304=0,0,IF(MIN(BP$38,$E304)&lt;MAX($P$34*($B304+$I$38-1),IF(AND($L$37=0,$P$34=0),"",$L$37-1)),0,YEARFRAC(MAX($P$34*($B304+$I$38-1),IF(AND($L$37=0,$P$34=0),"",$L$37-1)),MIN(BP$38,$E304),$P$20))-SUM($BF304:BO304))</f>
        <v>0</v>
      </c>
      <c r="BQ304" s="446">
        <f>IF($E304=0,0,IF(MIN(BQ$38,$E304)&lt;MAX($P$34*($B304+$I$38-1),IF(AND($L$37=0,$P$34=0),"",$L$37-1)),0,YEARFRAC(MAX($P$34*($B304+$I$38-1),IF(AND($L$37=0,$P$34=0),"",$L$37-1)),MIN(BQ$38,$E304),$P$20))-SUM($BF304:BP304))</f>
        <v>0</v>
      </c>
      <c r="BR304" s="446">
        <f>IF($E304=0,0,IF(MIN(BR$38,$E304)&lt;MAX($P$34*($B304+$I$38-1),IF(AND($L$37=0,$P$34=0),"",$L$37-1)),0,YEARFRAC(MAX($P$34*($B304+$I$38-1),IF(AND($L$37=0,$P$34=0),"",$L$37-1)),MIN(BR$38,$E304),$P$20))-SUM($BF304:BQ304))</f>
        <v>0</v>
      </c>
      <c r="BS304" s="446">
        <f>IF($E304=0,0,IF(MIN(BS$38,$E304)&lt;MAX($P$34*($B304+$I$38-1),IF(AND($L$37=0,$P$34=0),"",$L$37-1)),0,YEARFRAC(MAX($P$34*($B304+$I$38-1),IF(AND($L$37=0,$P$34=0),"",$L$37-1)),MIN(BS$38,$E304),$P$20))-SUM($BF304:BR304))</f>
        <v>0</v>
      </c>
      <c r="BT304" s="446">
        <f>IF($E304=0,0,IF(MIN(BT$38,$E304)&lt;MAX($P$34*($B304+$I$38-1),IF(AND($L$37=0,$P$34=0),"",$L$37-1)),0,YEARFRAC(MAX($P$34*($B304+$I$38-1),IF(AND($L$37=0,$P$34=0),"",$L$37-1)),MIN(BT$38,$E304),$P$20))-SUM($BF304:BS304))</f>
        <v>0</v>
      </c>
      <c r="BU304" s="446">
        <f>IF($E304=0,0,IF(MIN(BU$38,$E304)&lt;MAX($P$34*($B304+$I$38-1),IF(AND($L$37=0,$P$34=0),"",$L$37-1)),0,YEARFRAC(MAX($P$34*($B304+$I$38-1),IF(AND($L$37=0,$P$34=0),"",$L$37-1)),MIN(BU$38,$E304),$P$20))-SUM($BF304:BT304))</f>
        <v>0</v>
      </c>
      <c r="BV304" s="446">
        <f>IF($E304=0,0,IF(MIN(BV$38,$E304)&lt;MAX($P$34*($B304+$I$38-1),IF(AND($L$37=0,$P$34=0),"",$L$37-1)),0,YEARFRAC(MAX($P$34*($B304+$I$38-1),IF(AND($L$37=0,$P$34=0),"",$L$37-1)),MIN(BV$38,$E304),$P$20))-SUM($BF304:BU304))</f>
        <v>0</v>
      </c>
      <c r="BW304" s="446">
        <f>IF($E304=0,0,IF(MIN(BW$38,$E304)&lt;MAX($P$34*($B304+$I$38-1),IF(AND($L$37=0,$P$34=0),"",$L$37-1)),0,YEARFRAC(MAX($P$34*($B304+$I$38-1),IF(AND($L$37=0,$P$34=0),"",$L$37-1)),MIN(BW$38,$E304),$P$20))-SUM($BF304:BV304))</f>
        <v>0</v>
      </c>
      <c r="BX304" s="446">
        <f>IF($E304=0,0,IF(MIN(BX$38,$E304)&lt;MAX($P$34*($B304+$I$38-1),IF(AND($L$37=0,$P$34=0),"",$L$37-1)),0,YEARFRAC(MAX($P$34*($B304+$I$38-1),IF(AND($L$37=0,$P$34=0),"",$L$37-1)),MIN(BX$38,$E304),$P$20))-SUM($BF304:BW304))</f>
        <v>0</v>
      </c>
      <c r="BY304" s="446">
        <f>IF($E304=0,0,IF(MIN(BY$38,$E304)&lt;MAX($P$34*($B304+$I$38-1),IF(AND($L$37=0,$P$34=0),"",$L$37-1)),0,YEARFRAC(MAX($P$34*($B304+$I$38-1),IF(AND($L$37=0,$P$34=0),"",$L$37-1)),MIN(BY$38,$E304),$P$20))-SUM($BF304:BX304))</f>
        <v>0</v>
      </c>
      <c r="BZ304" s="446">
        <f>IF($E304=0,0,IF(MIN(BZ$38,$E304)&lt;MAX($P$34*($B304+$I$38-1),IF(AND($L$37=0,$P$34=0),"",$L$37-1)),0,YEARFRAC(MAX($P$34*($B304+$I$38-1),IF(AND($L$37=0,$P$34=0),"",$L$37-1)),MIN(BZ$38,$E304),$P$20))-SUM($BF304:BY304))</f>
        <v>0</v>
      </c>
      <c r="CA304" s="446">
        <f>IF($E304=0,0,IF(MIN(CA$38,$E304)&lt;MAX($P$34*($B304+$I$38-1),IF(AND($L$37=0,$P$34=0),"",$L$37-1)),0,YEARFRAC(MAX($P$34*($B304+$I$38-1),IF(AND($L$37=0,$P$34=0),"",$L$37-1)),MIN(CA$38,$E304),$P$20))-SUM($BF304:BZ304))</f>
        <v>0</v>
      </c>
      <c r="CB304" s="446">
        <f>IF($E304=0,0,IF(MIN(CB$38,$E304)&lt;MAX($P$34*($B304+$I$38-1),IF(AND($L$37=0,$P$34=0),"",$L$37-1)),0,YEARFRAC(MAX($P$34*($B304+$I$38-1),IF(AND($L$37=0,$P$34=0),"",$L$37-1)),MIN(CB$38,$E304),$P$20))-SUM($BF304:CA304))</f>
        <v>0</v>
      </c>
      <c r="CC304" s="446">
        <f>IF($E304=0,0,IF(MIN(CC$38,$E304)&lt;MAX($P$34*($B304+$I$38-1),IF(AND($L$37=0,$P$34=0),"",$L$37-1)),0,YEARFRAC(MAX($P$34*($B304+$I$38-1),IF(AND($L$37=0,$P$34=0),"",$L$37-1)),MIN(CC$38,$E304),$P$20))-SUM($BF304:CB304))</f>
        <v>0</v>
      </c>
      <c r="CD304" s="446">
        <f>IF($E304=0,0,IF(MIN(CD$38,$E304)&lt;MAX($P$34*($B304+$I$38-1),IF(AND($L$37=0,$P$34=0),"",$L$37-1)),0,YEARFRAC(MAX($P$34*($B304+$I$38-1),IF(AND($L$37=0,$P$34=0),"",$L$37-1)),MIN(CD$38,$E304),$P$20))-SUM($BF304:CC304))</f>
        <v>0</v>
      </c>
      <c r="CE304" s="446">
        <f>IF($E304=0,0,IF(MIN(CE$38,$E304)&lt;MAX($P$34*($B304+$I$38-1),IF(AND($L$37=0,$P$34=0),"",$L$37-1)),0,YEARFRAC(MAX($P$34*($B304+$I$38-1),IF(AND($L$37=0,$P$34=0),"",$L$37-1)),MIN(CE$38,$E304),$P$20))-SUM($BF304:CD304))</f>
        <v>0</v>
      </c>
      <c r="CF304" s="446">
        <f>IF($E304=0,0,IF(MIN(CF$38,$E304)&lt;MAX($P$34*($B304+$I$38-1),IF(AND($L$37=0,$P$34=0),"",$L$37-1)),0,YEARFRAC(MAX($P$34*($B304+$I$38-1),IF(AND($L$37=0,$P$34=0),"",$L$37-1)),MIN(CF$38,$E304),$P$20))-SUM($BF304:CE304))</f>
        <v>0</v>
      </c>
      <c r="CG304" s="446">
        <f>IF($E304=0,0,IF(MIN(CG$38,$E304)&lt;MAX($P$34*($B304+$I$38-1),IF(AND($L$37=0,$P$34=0),"",$L$37-1)),0,YEARFRAC(MAX($P$34*($B304+$I$38-1),IF(AND($L$37=0,$P$34=0),"",$L$37-1)),MIN(CG$38,$E304),$P$20))-SUM($BF304:CF304))</f>
        <v>0</v>
      </c>
      <c r="CH304" s="446">
        <f>IF($E304=0,0,IF(MIN(CH$38,$E304)&lt;MAX($P$34*($B304+$I$38-1),IF(AND($L$37=0,$P$34=0),"",$L$37-1)),0,YEARFRAC(MAX($P$34*($B304+$I$38-1),IF(AND($L$37=0,$P$34=0),"",$L$37-1)),MIN(CH$38,$E304),$P$20))-SUM($BF304:CG304))</f>
        <v>0</v>
      </c>
      <c r="CI304" s="446">
        <f>IF($E304=0,0,IF(MIN(CI$38,$E304)&lt;MAX($P$34*($B304+$I$38-1),IF(AND($L$37=0,$P$34=0),"",$L$37-1)),0,YEARFRAC(MAX($P$34*($B304+$I$38-1),IF(AND($L$37=0,$P$34=0),"",$L$37-1)),MIN(CI$38,$E304),$P$20))-SUM($BF304:CH304))</f>
        <v>0</v>
      </c>
      <c r="CJ304" s="446">
        <f>IF($E304=0,0,IF(MIN(CJ$38,$E304)&lt;MAX($P$34*($B304+$I$38-1),IF(AND($L$37=0,$P$34=0),"",$L$37-1)),0,YEARFRAC(MAX($P$34*($B304+$I$38-1),IF(AND($L$37=0,$P$34=0),"",$L$37-1)),MIN(CJ$38,$E304),$P$20))-SUM($BF304:CI304))</f>
        <v>0</v>
      </c>
      <c r="CK304" s="446">
        <f>IF($E304=0,0,IF(MIN(CK$38,$E304)&lt;MAX($P$34*($B304+$I$38-1),IF(AND($L$37=0,$P$34=0),"",$L$37-1)),0,YEARFRAC(MAX($P$34*($B304+$I$38-1),IF(AND($L$37=0,$P$34=0),"",$L$37-1)),MIN(CK$38,$E304),$P$20))-SUM($BF304:CJ304))</f>
        <v>0</v>
      </c>
      <c r="CL304" s="446">
        <f>IF($E304=0,0,IF(MIN(CL$38,$E304)&lt;MAX($P$34*($B304+$I$38-1),IF(AND($L$37=0,$P$34=0),"",$L$37-1)),0,YEARFRAC(MAX($P$34*($B304+$I$38-1),IF(AND($L$37=0,$P$34=0),"",$L$37-1)),MIN(CL$38,$E304),$P$20))-SUM($BF304:CK304))</f>
        <v>0</v>
      </c>
      <c r="CM304" s="446">
        <f>IF($E304=0,0,IF(MIN(CM$38,$E304)&lt;MAX($P$34*($B304+$I$38-1),IF(AND($L$37=0,$P$34=0),"",$L$37-1)),0,YEARFRAC(MAX($P$34*($B304+$I$38-1),IF(AND($L$37=0,$P$34=0),"",$L$37-1)),MIN(CM$38,$E304),$P$20))-SUM($BF304:CL304))</f>
        <v>0</v>
      </c>
      <c r="CN304" s="446">
        <f>IF($E304=0,0,IF(MIN(CN$38,$E304)&lt;MAX($P$34*($B304+$I$38-1),IF(AND($L$37=0,$P$34=0),"",$L$37-1)),0,YEARFRAC(MAX($P$34*($B304+$I$38-1),IF(AND($L$37=0,$P$34=0),"",$L$37-1)),MIN(CN$38,$E304),$P$20))-SUM($BF304:CM304))</f>
        <v>0</v>
      </c>
      <c r="CO304" s="446">
        <f>IF($E304=0,0,IF(MIN(CO$38,$E304)&lt;MAX($P$34*($B304+$I$38-1),IF(AND($L$37=0,$P$34=0),"",$L$37-1)),0,YEARFRAC(MAX($P$34*($B304+$I$38-1),IF(AND($L$37=0,$P$34=0),"",$L$37-1)),MIN(CO$38,$E304),$P$20))-SUM($BF304:CN304))</f>
        <v>0</v>
      </c>
      <c r="CP304" s="446">
        <f>IF($E304=0,0,IF(MIN(CP$38,$E304)&lt;MAX($P$34*($B304+$I$38-1),IF(AND($L$37=0,$P$34=0),"",$L$37-1)),0,YEARFRAC(MAX($P$34*($B304+$I$38-1),IF(AND($L$37=0,$P$34=0),"",$L$37-1)),MIN(CP$38,$E304),$P$20))-SUM($BF304:CO304))</f>
        <v>0</v>
      </c>
      <c r="CQ304" s="446">
        <f>IF($E304=0,0,IF(MIN(CQ$38,$E304)&lt;MAX($P$34*($B304+$I$38-1),IF(AND($L$37=0,$P$34=0),"",$L$37-1)),0,YEARFRAC(MAX($P$34*($B304+$I$38-1),IF(AND($L$37=0,$P$34=0),"",$L$37-1)),MIN(CQ$38,$E304),$P$20))-SUM($BF304:CP304))</f>
        <v>0</v>
      </c>
    </row>
    <row r="305" spans="1:95" s="446" customFormat="1" ht="11.25" hidden="1" customHeight="1" x14ac:dyDescent="0.2">
      <c r="A305" s="152"/>
      <c r="B305" s="153" t="str">
        <f t="shared" si="59"/>
        <v/>
      </c>
      <c r="C305" s="29" t="str">
        <f>IF(B305="","",IF($L$35="SELIC - TRIBUTOS",VLOOKUP(DATE(YEAR($D$19),MONTH($D$19)-1,1),ÍNDICES!$A:$DE,HLOOKUP($BL$25,ÍNDICES!$B$3:$T$4,2)+11)-VLOOKUP(B305,ÍNDICES!$A:$DE,HLOOKUP($BL$25,ÍNDICES!$B$3:$T$4,2)+11)+1%,IF(C$38=$W$26,$J$35,IF(ISERROR(IF(B305&gt;$D$19,1,VLOOKUP(DATE(YEAR(B305),MONTH(B305)+IF($C$35=$S$23,1,0),1),ÍNDICES!$A:$DE,$Z$35+1))),"",IF(B305&gt;$D$19,1,VLOOKUP(DATE(YEAR(B305),MONTH(B305)+IF($C$35=$S$23,1,0),1),ÍNDICES!$A:$DE,$Z$35+1))))))</f>
        <v/>
      </c>
      <c r="D305" s="154" t="str">
        <f>IF(ISERROR(IF(OR($D$38=$Y$27,$B305=""),"",VLOOKUP(B305,ÍNDICES!A:DE,AF$35+1))),"",IF(OR($D$38=$Y$27,$B305=""),"",VLOOKUP(B305,ÍNDICES!A:DE,AF$35+1)))</f>
        <v/>
      </c>
      <c r="E305" s="153"/>
      <c r="F305" s="29" t="str">
        <f>IF(E305="","",IF($L$35="SELIC - TRIBUTOS",VLOOKUP(DATE(YEAR($D$19),MONTH($D$19)-1,1),ÍNDICES!$A:$DE,HLOOKUP($BL$25,ÍNDICES!$B$3:$T$4,2)+11)-VLOOKUP(E305,ÍNDICES!$A:$DE,HLOOKUP($BL$25,ÍNDICES!$B$3:$T$4,2)+11)+1%,IF(F$38=$W$26,$J$35,IF(ISERROR(IF(E305&gt;$D$19,1,VLOOKUP(DATE(YEAR(E305),MONTH(E305)+IF($C$35=$S$23,1,0),1),ÍNDICES!$A:$DE,$Z$35+1))),"",IF(E305&gt;$D$19,1,VLOOKUP(DATE(YEAR(E305),MONTH(E305)+IF($C$35=$S$23,1,0),1),ÍNDICES!$A:$DE,$Z$35+1))))))</f>
        <v/>
      </c>
      <c r="G305" s="155"/>
      <c r="H305" s="156" t="str">
        <f t="shared" si="55"/>
        <v/>
      </c>
      <c r="I305" s="29" t="str">
        <f t="shared" si="49"/>
        <v/>
      </c>
      <c r="J305" s="5">
        <f t="shared" si="50"/>
        <v>0</v>
      </c>
      <c r="K305" s="20">
        <f t="shared" ca="1" si="51"/>
        <v>0</v>
      </c>
      <c r="L305" s="5">
        <f t="shared" ca="1" si="52"/>
        <v>0</v>
      </c>
      <c r="M305" s="64">
        <f t="shared" si="56"/>
        <v>0</v>
      </c>
      <c r="N305" s="61">
        <f t="shared" ca="1" si="57"/>
        <v>0</v>
      </c>
      <c r="O305" s="5">
        <f t="shared" ca="1" si="58"/>
        <v>0</v>
      </c>
      <c r="P305" s="446" t="e">
        <f t="shared" si="53"/>
        <v>#VALUE!</v>
      </c>
      <c r="Q305" s="446" t="e">
        <f>IF(OR($B305="",MIN(Q$38,$D$19)&lt;MAX($P$34*($B305+IF($R$17="Distrato",$I$38-1,0)),IF(AND($L$37=0,$P$34=0),"",$L$37-1),IF($R$17="Distrato",$E305,0))),0,YEARFRAC(MAX($P$34*($B305+IF($R$17="Distrato",$I$38-1,0)),IF(AND($L$37=0,$P$34=0),"",$L$37-1),IF($R$17="Distrato",$E305,0)),MIN(Q$38,$D$19),$P$20))-SUM($P305:P305)</f>
        <v>#VALUE!</v>
      </c>
      <c r="R305" s="446" t="e">
        <f>IF(OR($B305="",MIN(R$38,$D$19)&lt;MAX($P$34*($B305+IF($R$17="Distrato",$I$38-1,0)),IF(AND($L$37=0,$P$34=0),"",$L$37-1),IF($R$17="Distrato",$E305,0))),0,YEARFRAC(MAX($P$34*($B305+IF($R$17="Distrato",$I$38-1,0)),IF(AND($L$37=0,$P$34=0),"",$L$37-1),IF($R$17="Distrato",$E305,0)),MIN(R$38,$D$19),$P$20))-SUM($P305:Q305)</f>
        <v>#VALUE!</v>
      </c>
      <c r="S305" s="446" t="e">
        <f>IF(OR($B305="",MIN(S$38,$D$19)&lt;MAX($P$34*($B305+IF($R$17="Distrato",$I$38-1,0)),IF(AND($L$37=0,$P$34=0),"",$L$37-1),IF($R$17="Distrato",$E305,0))),0,YEARFRAC(MAX($P$34*($B305+IF($R$17="Distrato",$I$38-1,0)),IF(AND($L$37=0,$P$34=0),"",$L$37-1),IF($R$17="Distrato",$E305,0)),MIN(S$38,$D$19),$P$20))-SUM($P305:R305)</f>
        <v>#VALUE!</v>
      </c>
      <c r="T305" s="446" t="e">
        <f>IF(OR($B305="",MIN(T$38,$D$19)&lt;MAX($P$34*($B305+IF($R$17="Distrato",$I$38-1,0)),IF(AND($L$37=0,$P$34=0),"",$L$37-1),IF($R$17="Distrato",$E305,0))),0,YEARFRAC(MAX($P$34*($B305+IF($R$17="Distrato",$I$38-1,0)),IF(AND($L$37=0,$P$34=0),"",$L$37-1),IF($R$17="Distrato",$E305,0)),MIN(T$38,$D$19),$P$20))-SUM($P305:S305)</f>
        <v>#VALUE!</v>
      </c>
      <c r="U305" s="446" t="e">
        <f>IF(OR($B305="",MIN(U$38,$D$19)&lt;MAX($P$34*($B305+IF($R$17="Distrato",$I$38-1,0)),IF(AND($L$37=0,$P$34=0),"",$L$37-1),IF($R$17="Distrato",$E305,0))),0,YEARFRAC(MAX($P$34*($B305+IF($R$17="Distrato",$I$38-1,0)),IF(AND($L$37=0,$P$34=0),"",$L$37-1),IF($R$17="Distrato",$E305,0)),MIN(U$38,$D$19),$P$20))-SUM($P305:T305)</f>
        <v>#VALUE!</v>
      </c>
      <c r="V305" s="446" t="e">
        <f>IF(OR($B305="",MIN(V$38,$D$19)&lt;MAX($P$34*($B305+IF($R$17="Distrato",$I$38-1,0)),IF(AND($L$37=0,$P$34=0),"",$L$37-1),IF($R$17="Distrato",$E305,0))),0,YEARFRAC(MAX($P$34*($B305+IF($R$17="Distrato",$I$38-1,0)),IF(AND($L$37=0,$P$34=0),"",$L$37-1),IF($R$17="Distrato",$E305,0)),MIN(V$38,$D$19),$P$20))-SUM($P305:U305)</f>
        <v>#VALUE!</v>
      </c>
      <c r="W305" s="446" t="e">
        <f>IF(OR($B305="",MIN(W$38,$D$19)&lt;MAX($P$34*($B305+IF($R$17="Distrato",$I$38-1,0)),IF(AND($L$37=0,$P$34=0),"",$L$37-1),IF($R$17="Distrato",$E305,0))),0,YEARFRAC(MAX($P$34*($B305+IF($R$17="Distrato",$I$38-1,0)),IF(AND($L$37=0,$P$34=0),"",$L$37-1),IF($R$17="Distrato",$E305,0)),MIN(W$38,$D$19),$P$20))-SUM($P305:V305)</f>
        <v>#VALUE!</v>
      </c>
      <c r="X305" s="446" t="e">
        <f>IF(OR($B305="",MIN(X$38,$D$19)&lt;MAX($P$34*($B305+IF($R$17="Distrato",$I$38-1,0)),IF(AND($L$37=0,$P$34=0),"",$L$37-1),IF($R$17="Distrato",$E305,0))),0,YEARFRAC(MAX($P$34*($B305+IF($R$17="Distrato",$I$38-1,0)),IF(AND($L$37=0,$P$34=0),"",$L$37-1),IF($R$17="Distrato",$E305,0)),MIN(X$38,$D$19),$P$20))-SUM($P305:W305)</f>
        <v>#VALUE!</v>
      </c>
      <c r="Y305" s="446" t="e">
        <f>IF(OR($B305="",MIN(Y$38,$D$19)&lt;MAX($P$34*($B305+IF($R$17="Distrato",$I$38-1,0)),IF(AND($L$37=0,$P$34=0),"",$L$37-1),IF($R$17="Distrato",$E305,0))),0,YEARFRAC(MAX($P$34*($B305+IF($R$17="Distrato",$I$38-1,0)),IF(AND($L$37=0,$P$34=0),"",$L$37-1),IF($R$17="Distrato",$E305,0)),MIN(Y$38,$D$19),$P$20))-SUM($P305:X305)</f>
        <v>#VALUE!</v>
      </c>
      <c r="Z305" s="446" t="e">
        <f>IF(OR($B305="",MIN(Z$38,$D$19)&lt;MAX($P$34*($B305+IF($R$17="Distrato",$I$38-1,0)),IF(AND($L$37=0,$P$34=0),"",$L$37-1),IF($R$17="Distrato",$E305,0))),0,YEARFRAC(MAX($P$34*($B305+IF($R$17="Distrato",$I$38-1,0)),IF(AND($L$37=0,$P$34=0),"",$L$37-1),IF($R$17="Distrato",$E305,0)),MIN(Z$38,$D$19),$P$20))-SUM($P305:Y305)</f>
        <v>#VALUE!</v>
      </c>
      <c r="AA305" s="446" t="e">
        <f>IF(OR($B305="",MIN(AA$38,$D$19)&lt;MAX($P$34*($B305+IF($R$17="Distrato",$I$38-1,0)),IF(AND($L$37=0,$P$34=0),"",$L$37-1),IF($R$17="Distrato",$E305,0))),0,YEARFRAC(MAX($P$34*($B305+IF($R$17="Distrato",$I$38-1,0)),IF(AND($L$37=0,$P$34=0),"",$L$37-1),IF($R$17="Distrato",$E305,0)),MIN(AA$38,$D$19),$P$20))-SUM($P305:Z305)</f>
        <v>#VALUE!</v>
      </c>
      <c r="AB305" s="446" t="e">
        <f>IF(OR($B305="",MIN(AB$38,$D$19)&lt;MAX($P$34*($B305+IF($R$17="Distrato",$I$38-1,0)),IF(AND($L$37=0,$P$34=0),"",$L$37-1),IF($R$17="Distrato",$E305,0))),0,YEARFRAC(MAX($P$34*($B305+IF($R$17="Distrato",$I$38-1,0)),IF(AND($L$37=0,$P$34=0),"",$L$37-1),IF($R$17="Distrato",$E305,0)),MIN(AB$38,$D$19),$P$20))-SUM($P305:AA305)</f>
        <v>#VALUE!</v>
      </c>
      <c r="AC305" s="446" t="e">
        <f>IF(OR($B305="",MIN(AC$38,$D$19)&lt;MAX($P$34*($B305+IF($R$17="Distrato",$I$38-1,0)),IF(AND($L$37=0,$P$34=0),"",$L$37-1),IF($R$17="Distrato",$E305,0))),0,YEARFRAC(MAX($P$34*($B305+IF($R$17="Distrato",$I$38-1,0)),IF(AND($L$37=0,$P$34=0),"",$L$37-1),IF($R$17="Distrato",$E305,0)),MIN(AC$38,$D$19),$P$20))-SUM($P305:AB305)</f>
        <v>#VALUE!</v>
      </c>
      <c r="AD305" s="446" t="e">
        <f>IF(OR($B305="",MIN(AD$38,$D$19)&lt;MAX($P$34*($B305+IF($R$17="Distrato",$I$38-1,0)),IF(AND($L$37=0,$P$34=0),"",$L$37-1),IF($R$17="Distrato",$E305,0))),0,YEARFRAC(MAX($P$34*($B305+IF($R$17="Distrato",$I$38-1,0)),IF(AND($L$37=0,$P$34=0),"",$L$37-1),IF($R$17="Distrato",$E305,0)),MIN(AD$38,$D$19),$P$20))-SUM($P305:AC305)</f>
        <v>#VALUE!</v>
      </c>
      <c r="AE305" s="446" t="e">
        <f>IF(OR($B305="",MIN(AE$38,$D$19)&lt;MAX($P$34*($B305+IF($R$17="Distrato",$I$38-1,0)),IF(AND($L$37=0,$P$34=0),"",$L$37-1),IF($R$17="Distrato",$E305,0))),0,YEARFRAC(MAX($P$34*($B305+IF($R$17="Distrato",$I$38-1,0)),IF(AND($L$37=0,$P$34=0),"",$L$37-1),IF($R$17="Distrato",$E305,0)),MIN(AE$38,$D$19),$P$20))-SUM($P305:AD305)</f>
        <v>#VALUE!</v>
      </c>
      <c r="AF305" s="446" t="e">
        <f>IF(OR($B305="",MIN(AF$38,$D$19)&lt;MAX($P$34*($B305+IF($R$17="Distrato",$I$38-1,0)),IF(AND($L$37=0,$P$34=0),"",$L$37-1),IF($R$17="Distrato",$E305,0))),0,YEARFRAC(MAX($P$34*($B305+IF($R$17="Distrato",$I$38-1,0)),IF(AND($L$37=0,$P$34=0),"",$L$37-1),IF($R$17="Distrato",$E305,0)),MIN(AF$38,$D$19),$P$20))-SUM($P305:AE305)</f>
        <v>#VALUE!</v>
      </c>
      <c r="AG305" s="446" t="e">
        <f>IF(OR($B305="",MIN(AG$38,$D$19)&lt;MAX($P$34*($B305+IF($R$17="Distrato",$I$38-1,0)),IF(AND($L$37=0,$P$34=0),"",$L$37-1),IF($R$17="Distrato",$E305,0))),0,YEARFRAC(MAX($P$34*($B305+IF($R$17="Distrato",$I$38-1,0)),IF(AND($L$37=0,$P$34=0),"",$L$37-1),IF($R$17="Distrato",$E305,0)),MIN(AG$38,$D$19),$P$20))-SUM($P305:AF305)</f>
        <v>#VALUE!</v>
      </c>
      <c r="AH305" s="446" t="e">
        <f>IF(OR($B305="",MIN(AH$38,$D$19)&lt;MAX($P$34*($B305+IF($R$17="Distrato",$I$38-1,0)),IF(AND($L$37=0,$P$34=0),"",$L$37-1),IF($R$17="Distrato",$E305,0))),0,YEARFRAC(MAX($P$34*($B305+IF($R$17="Distrato",$I$38-1,0)),IF(AND($L$37=0,$P$34=0),"",$L$37-1),IF($R$17="Distrato",$E305,0)),MIN(AH$38,$D$19),$P$20))-SUM($P305:AG305)</f>
        <v>#VALUE!</v>
      </c>
      <c r="AI305" s="446" t="e">
        <f>IF(OR($B305="",MIN(AI$38,$D$19)&lt;MAX($P$34*($B305+IF($R$17="Distrato",$I$38-1,0)),IF(AND($L$37=0,$P$34=0),"",$L$37-1),IF($R$17="Distrato",$E305,0))),0,YEARFRAC(MAX($P$34*($B305+IF($R$17="Distrato",$I$38-1,0)),IF(AND($L$37=0,$P$34=0),"",$L$37-1),IF($R$17="Distrato",$E305,0)),MIN(AI$38,$D$19),$P$20))-SUM($P305:AH305)</f>
        <v>#VALUE!</v>
      </c>
      <c r="AJ305" s="446" t="e">
        <f>IF(OR($B305="",MIN(AJ$38,$D$19)&lt;MAX($P$34*($B305+IF($R$17="Distrato",$I$38-1,0)),IF(AND($L$37=0,$P$34=0),"",$L$37-1),IF($R$17="Distrato",$E305,0))),0,YEARFRAC(MAX($P$34*($B305+IF($R$17="Distrato",$I$38-1,0)),IF(AND($L$37=0,$P$34=0),"",$L$37-1),IF($R$17="Distrato",$E305,0)),MIN(AJ$38,$D$19),$P$20))-SUM($P305:AI305)</f>
        <v>#VALUE!</v>
      </c>
      <c r="AK305" s="446" t="e">
        <f>IF(OR($B305="",MIN(AK$38,$D$19)&lt;MAX($P$34*($B305+IF($R$17="Distrato",$I$38-1,0)),IF(AND($L$37=0,$P$34=0),"",$L$37-1),IF($R$17="Distrato",$E305,0))),0,YEARFRAC(MAX($P$34*($B305+IF($R$17="Distrato",$I$38-1,0)),IF(AND($L$37=0,$P$34=0),"",$L$37-1),IF($R$17="Distrato",$E305,0)),MIN(AK$38,$D$19),$P$20))-SUM($P305:AJ305)</f>
        <v>#VALUE!</v>
      </c>
      <c r="AL305" s="446" t="e">
        <f>IF(OR($B305="",MIN(AL$38,$D$19)&lt;MAX($P$34*($B305+IF($R$17="Distrato",$I$38-1,0)),IF(AND($L$37=0,$P$34=0),"",$L$37-1),IF($R$17="Distrato",$E305,0))),0,YEARFRAC(MAX($P$34*($B305+IF($R$17="Distrato",$I$38-1,0)),IF(AND($L$37=0,$P$34=0),"",$L$37-1),IF($R$17="Distrato",$E305,0)),MIN(AL$38,$D$19),$P$20))-SUM($P305:AK305)</f>
        <v>#VALUE!</v>
      </c>
      <c r="AM305" s="446" t="e">
        <f>IF(OR($B305="",MIN(AM$38,$D$19)&lt;MAX($P$34*($B305+IF($R$17="Distrato",$I$38-1,0)),IF(AND($L$37=0,$P$34=0),"",$L$37-1),IF($R$17="Distrato",$E305,0))),0,YEARFRAC(MAX($P$34*($B305+IF($R$17="Distrato",$I$38-1,0)),IF(AND($L$37=0,$P$34=0),"",$L$37-1),IF($R$17="Distrato",$E305,0)),MIN(AM$38,$D$19),$P$20))-SUM($P305:AL305)</f>
        <v>#VALUE!</v>
      </c>
      <c r="AN305" s="446" t="e">
        <f>IF(OR($B305="",MIN(AN$38,$D$19)&lt;MAX($P$34*($B305+IF($R$17="Distrato",$I$38-1,0)),IF(AND($L$37=0,$P$34=0),"",$L$37-1),IF($R$17="Distrato",$E305,0))),0,YEARFRAC(MAX($P$34*($B305+IF($R$17="Distrato",$I$38-1,0)),IF(AND($L$37=0,$P$34=0),"",$L$37-1),IF($R$17="Distrato",$E305,0)),MIN(AN$38,$D$19),$P$20))-SUM($P305:AM305)</f>
        <v>#VALUE!</v>
      </c>
      <c r="AO305" s="446" t="e">
        <f>IF(OR($B305="",MIN(AO$38,$D$19)&lt;MAX($P$34*($B305+IF($R$17="Distrato",$I$38-1,0)),IF(AND($L$37=0,$P$34=0),"",$L$37-1),IF($R$17="Distrato",$E305,0))),0,YEARFRAC(MAX($P$34*($B305+IF($R$17="Distrato",$I$38-1,0)),IF(AND($L$37=0,$P$34=0),"",$L$37-1),IF($R$17="Distrato",$E305,0)),MIN(AO$38,$D$19),$P$20))-SUM($P305:AN305)</f>
        <v>#VALUE!</v>
      </c>
      <c r="AP305" s="446" t="e">
        <f>IF(OR($B305="",MIN(AP$38,$D$19)&lt;MAX($P$34*($B305+IF($R$17="Distrato",$I$38-1,0)),IF(AND($L$37=0,$P$34=0),"",$L$37-1),IF($R$17="Distrato",$E305,0))),0,YEARFRAC(MAX($P$34*($B305+IF($R$17="Distrato",$I$38-1,0)),IF(AND($L$37=0,$P$34=0),"",$L$37-1),IF($R$17="Distrato",$E305,0)),MIN(AP$38,$D$19),$P$20))-SUM($P305:AO305)</f>
        <v>#VALUE!</v>
      </c>
      <c r="AQ305" s="446" t="e">
        <f>IF(OR($B305="",MIN(AQ$38,$D$19)&lt;MAX($P$34*($B305+IF($R$17="Distrato",$I$38-1,0)),IF(AND($L$37=0,$P$34=0),"",$L$37-1),IF($R$17="Distrato",$E305,0))),0,YEARFRAC(MAX($P$34*($B305+IF($R$17="Distrato",$I$38-1,0)),IF(AND($L$37=0,$P$34=0),"",$L$37-1),IF($R$17="Distrato",$E305,0)),MIN(AQ$38,$D$19),$P$20))-SUM($P305:AP305)</f>
        <v>#VALUE!</v>
      </c>
      <c r="AR305" s="446" t="e">
        <f>IF(OR($B305="",MIN(AR$38,$D$19)&lt;MAX($P$34*($B305+IF($R$17="Distrato",$I$38-1,0)),IF(AND($L$37=0,$P$34=0),"",$L$37-1),IF($R$17="Distrato",$E305,0))),0,YEARFRAC(MAX($P$34*($B305+IF($R$17="Distrato",$I$38-1,0)),IF(AND($L$37=0,$P$34=0),"",$L$37-1),IF($R$17="Distrato",$E305,0)),MIN(AR$38,$D$19),$P$20))-SUM($P305:AQ305)</f>
        <v>#VALUE!</v>
      </c>
      <c r="AS305" s="446" t="e">
        <f>IF(OR($B305="",MIN(AS$38,$D$19)&lt;MAX($P$34*($B305+IF($R$17="Distrato",$I$38-1,0)),IF(AND($L$37=0,$P$34=0),"",$L$37-1),IF($R$17="Distrato",$E305,0))),0,YEARFRAC(MAX($P$34*($B305+IF($R$17="Distrato",$I$38-1,0)),IF(AND($L$37=0,$P$34=0),"",$L$37-1),IF($R$17="Distrato",$E305,0)),MIN(AS$38,$D$19),$P$20))-SUM($P305:AR305)</f>
        <v>#VALUE!</v>
      </c>
      <c r="AT305" s="446" t="e">
        <f>IF(OR($B305="",MIN(AT$38,$D$19)&lt;MAX($P$34*($B305+IF($R$17="Distrato",$I$38-1,0)),IF(AND($L$37=0,$P$34=0),"",$L$37-1),IF($R$17="Distrato",$E305,0))),0,YEARFRAC(MAX($P$34*($B305+IF($R$17="Distrato",$I$38-1,0)),IF(AND($L$37=0,$P$34=0),"",$L$37-1),IF($R$17="Distrato",$E305,0)),MIN(AT$38,$D$19),$P$20))-SUM($P305:AS305)</f>
        <v>#VALUE!</v>
      </c>
      <c r="AU305" s="446" t="e">
        <f>IF(OR($B305="",MIN(AU$38,$D$19)&lt;MAX($P$34*($B305+IF($R$17="Distrato",$I$38-1,0)),IF(AND($L$37=0,$P$34=0),"",$L$37-1),IF($R$17="Distrato",$E305,0))),0,YEARFRAC(MAX($P$34*($B305+IF($R$17="Distrato",$I$38-1,0)),IF(AND($L$37=0,$P$34=0),"",$L$37-1),IF($R$17="Distrato",$E305,0)),MIN(AU$38,$D$19),$P$20))-SUM($P305:AT305)</f>
        <v>#VALUE!</v>
      </c>
      <c r="AV305" s="446" t="e">
        <f>IF(OR($B305="",MIN(AV$38,$D$19)&lt;MAX($P$34*($B305+IF($R$17="Distrato",$I$38-1,0)),IF(AND($L$37=0,$P$34=0),"",$L$37-1),IF($R$17="Distrato",$E305,0))),0,YEARFRAC(MAX($P$34*($B305+IF($R$17="Distrato",$I$38-1,0)),IF(AND($L$37=0,$P$34=0),"",$L$37-1),IF($R$17="Distrato",$E305,0)),MIN(AV$38,$D$19),$P$20))-SUM($P305:AU305)</f>
        <v>#VALUE!</v>
      </c>
      <c r="AW305" s="446" t="e">
        <f>IF(OR($B305="",MIN(AW$38,$D$19)&lt;MAX($P$34*($B305+IF($R$17="Distrato",$I$38-1,0)),IF(AND($L$37=0,$P$34=0),"",$L$37-1),IF($R$17="Distrato",$E305,0))),0,YEARFRAC(MAX($P$34*($B305+IF($R$17="Distrato",$I$38-1,0)),IF(AND($L$37=0,$P$34=0),"",$L$37-1),IF($R$17="Distrato",$E305,0)),MIN(AW$38,$D$19),$P$20))-SUM($P305:AV305)</f>
        <v>#VALUE!</v>
      </c>
      <c r="AX305" s="446" t="e">
        <f>IF(OR($B305="",MIN(AX$38,$D$19)&lt;MAX($P$34*($B305+IF($R$17="Distrato",$I$38-1,0)),IF(AND($L$37=0,$P$34=0),"",$L$37-1),IF($R$17="Distrato",$E305,0))),0,YEARFRAC(MAX($P$34*($B305+IF($R$17="Distrato",$I$38-1,0)),IF(AND($L$37=0,$P$34=0),"",$L$37-1),IF($R$17="Distrato",$E305,0)),MIN(AX$38,$D$19),$P$20))-SUM($P305:AW305)</f>
        <v>#VALUE!</v>
      </c>
      <c r="AY305" s="446" t="e">
        <f>IF(OR($B305="",MIN(AY$38,$D$19)&lt;MAX($P$34*($B305+IF($R$17="Distrato",$I$38-1,0)),IF(AND($L$37=0,$P$34=0),"",$L$37-1),IF($R$17="Distrato",$E305,0))),0,YEARFRAC(MAX($P$34*($B305+IF($R$17="Distrato",$I$38-1,0)),IF(AND($L$37=0,$P$34=0),"",$L$37-1),IF($R$17="Distrato",$E305,0)),MIN(AY$38,$D$19),$P$20))-SUM($P305:AX305)</f>
        <v>#VALUE!</v>
      </c>
      <c r="AZ305" s="446" t="e">
        <f>IF(OR($B305="",MIN(AZ$38,$D$19)&lt;MAX($P$34*($B305+IF($R$17="Distrato",$I$38-1,0)),IF(AND($L$37=0,$P$34=0),"",$L$37-1),IF($R$17="Distrato",$E305,0))),0,YEARFRAC(MAX($P$34*($B305+IF($R$17="Distrato",$I$38-1,0)),IF(AND($L$37=0,$P$34=0),"",$L$37-1),IF($R$17="Distrato",$E305,0)),MIN(AZ$38,$D$19),$P$20))-SUM($P305:AY305)</f>
        <v>#VALUE!</v>
      </c>
      <c r="BA305" s="446" t="e">
        <f>IF(OR($B305="",MIN(BA$38,$D$19)&lt;MAX($P$34*($B305+IF($R$17="Distrato",$I$38-1,0)),IF(AND($L$37=0,$P$34=0),"",$L$37-1),IF($R$17="Distrato",$E305,0))),0,YEARFRAC(MAX($P$34*($B305+IF($R$17="Distrato",$I$38-1,0)),IF(AND($L$37=0,$P$34=0),"",$L$37-1),IF($R$17="Distrato",$E305,0)),MIN(BA$38,$D$19),$P$20))-SUM($P305:AZ305)</f>
        <v>#VALUE!</v>
      </c>
      <c r="BB305" s="447"/>
      <c r="BF305" s="446">
        <f t="shared" si="54"/>
        <v>0</v>
      </c>
      <c r="BG305" s="446">
        <f>IF($E305=0,0,IF(MIN(BG$38,$E305)&lt;MAX($P$34*($B305+$I$38-1),IF(AND($L$37=0,$P$34=0),"",$L$37-1)),0,YEARFRAC(MAX($P$34*($B305+$I$38-1),IF(AND($L$37=0,$P$34=0),"",$L$37-1)),MIN(BG$38,$E305),$P$20))-SUM($BF305:BF305))</f>
        <v>0</v>
      </c>
      <c r="BH305" s="446">
        <f>IF($E305=0,0,IF(MIN(BH$38,$E305)&lt;MAX($P$34*($B305+$I$38-1),IF(AND($L$37=0,$P$34=0),"",$L$37-1)),0,YEARFRAC(MAX($P$34*($B305+$I$38-1),IF(AND($L$37=0,$P$34=0),"",$L$37-1)),MIN(BH$38,$E305),$P$20))-SUM($BF305:BG305))</f>
        <v>0</v>
      </c>
      <c r="BI305" s="446">
        <f>IF($E305=0,0,IF(MIN(BI$38,$E305)&lt;MAX($P$34*($B305+$I$38-1),IF(AND($L$37=0,$P$34=0),"",$L$37-1)),0,YEARFRAC(MAX($P$34*($B305+$I$38-1),IF(AND($L$37=0,$P$34=0),"",$L$37-1)),MIN(BI$38,$E305),$P$20))-SUM($BF305:BH305))</f>
        <v>0</v>
      </c>
      <c r="BJ305" s="446">
        <f>IF($E305=0,0,IF(MIN(BJ$38,$E305)&lt;MAX($P$34*($B305+$I$38-1),IF(AND($L$37=0,$P$34=0),"",$L$37-1)),0,YEARFRAC(MAX($P$34*($B305+$I$38-1),IF(AND($L$37=0,$P$34=0),"",$L$37-1)),MIN(BJ$38,$E305),$P$20))-SUM($BF305:BI305))</f>
        <v>0</v>
      </c>
      <c r="BK305" s="446">
        <f>IF($E305=0,0,IF(MIN(BK$38,$E305)&lt;MAX($P$34*($B305+$I$38-1),IF(AND($L$37=0,$P$34=0),"",$L$37-1)),0,YEARFRAC(MAX($P$34*($B305+$I$38-1),IF(AND($L$37=0,$P$34=0),"",$L$37-1)),MIN(BK$38,$E305),$P$20))-SUM($BF305:BJ305))</f>
        <v>0</v>
      </c>
      <c r="BL305" s="446">
        <f>IF($E305=0,0,IF(MIN(BL$38,$E305)&lt;MAX($P$34*($B305+$I$38-1),IF(AND($L$37=0,$P$34=0),"",$L$37-1)),0,YEARFRAC(MAX($P$34*($B305+$I$38-1),IF(AND($L$37=0,$P$34=0),"",$L$37-1)),MIN(BL$38,$E305),$P$20))-SUM($BF305:BK305))</f>
        <v>0</v>
      </c>
      <c r="BM305" s="446">
        <f>IF($E305=0,0,IF(MIN(BM$38,$E305)&lt;MAX($P$34*($B305+$I$38-1),IF(AND($L$37=0,$P$34=0),"",$L$37-1)),0,YEARFRAC(MAX($P$34*($B305+$I$38-1),IF(AND($L$37=0,$P$34=0),"",$L$37-1)),MIN(BM$38,$E305),$P$20))-SUM($BF305:BL305))</f>
        <v>0</v>
      </c>
      <c r="BN305" s="446">
        <f>IF($E305=0,0,IF(MIN(BN$38,$E305)&lt;MAX($P$34*($B305+$I$38-1),IF(AND($L$37=0,$P$34=0),"",$L$37-1)),0,YEARFRAC(MAX($P$34*($B305+$I$38-1),IF(AND($L$37=0,$P$34=0),"",$L$37-1)),MIN(BN$38,$E305),$P$20))-SUM($BF305:BM305))</f>
        <v>0</v>
      </c>
      <c r="BO305" s="446">
        <f>IF($E305=0,0,IF(MIN(BO$38,$E305)&lt;MAX($P$34*($B305+$I$38-1),IF(AND($L$37=0,$P$34=0),"",$L$37-1)),0,YEARFRAC(MAX($P$34*($B305+$I$38-1),IF(AND($L$37=0,$P$34=0),"",$L$37-1)),MIN(BO$38,$E305),$P$20))-SUM($BF305:BN305))</f>
        <v>0</v>
      </c>
      <c r="BP305" s="446">
        <f>IF($E305=0,0,IF(MIN(BP$38,$E305)&lt;MAX($P$34*($B305+$I$38-1),IF(AND($L$37=0,$P$34=0),"",$L$37-1)),0,YEARFRAC(MAX($P$34*($B305+$I$38-1),IF(AND($L$37=0,$P$34=0),"",$L$37-1)),MIN(BP$38,$E305),$P$20))-SUM($BF305:BO305))</f>
        <v>0</v>
      </c>
      <c r="BQ305" s="446">
        <f>IF($E305=0,0,IF(MIN(BQ$38,$E305)&lt;MAX($P$34*($B305+$I$38-1),IF(AND($L$37=0,$P$34=0),"",$L$37-1)),0,YEARFRAC(MAX($P$34*($B305+$I$38-1),IF(AND($L$37=0,$P$34=0),"",$L$37-1)),MIN(BQ$38,$E305),$P$20))-SUM($BF305:BP305))</f>
        <v>0</v>
      </c>
      <c r="BR305" s="446">
        <f>IF($E305=0,0,IF(MIN(BR$38,$E305)&lt;MAX($P$34*($B305+$I$38-1),IF(AND($L$37=0,$P$34=0),"",$L$37-1)),0,YEARFRAC(MAX($P$34*($B305+$I$38-1),IF(AND($L$37=0,$P$34=0),"",$L$37-1)),MIN(BR$38,$E305),$P$20))-SUM($BF305:BQ305))</f>
        <v>0</v>
      </c>
      <c r="BS305" s="446">
        <f>IF($E305=0,0,IF(MIN(BS$38,$E305)&lt;MAX($P$34*($B305+$I$38-1),IF(AND($L$37=0,$P$34=0),"",$L$37-1)),0,YEARFRAC(MAX($P$34*($B305+$I$38-1),IF(AND($L$37=0,$P$34=0),"",$L$37-1)),MIN(BS$38,$E305),$P$20))-SUM($BF305:BR305))</f>
        <v>0</v>
      </c>
      <c r="BT305" s="446">
        <f>IF($E305=0,0,IF(MIN(BT$38,$E305)&lt;MAX($P$34*($B305+$I$38-1),IF(AND($L$37=0,$P$34=0),"",$L$37-1)),0,YEARFRAC(MAX($P$34*($B305+$I$38-1),IF(AND($L$37=0,$P$34=0),"",$L$37-1)),MIN(BT$38,$E305),$P$20))-SUM($BF305:BS305))</f>
        <v>0</v>
      </c>
      <c r="BU305" s="446">
        <f>IF($E305=0,0,IF(MIN(BU$38,$E305)&lt;MAX($P$34*($B305+$I$38-1),IF(AND($L$37=0,$P$34=0),"",$L$37-1)),0,YEARFRAC(MAX($P$34*($B305+$I$38-1),IF(AND($L$37=0,$P$34=0),"",$L$37-1)),MIN(BU$38,$E305),$P$20))-SUM($BF305:BT305))</f>
        <v>0</v>
      </c>
      <c r="BV305" s="446">
        <f>IF($E305=0,0,IF(MIN(BV$38,$E305)&lt;MAX($P$34*($B305+$I$38-1),IF(AND($L$37=0,$P$34=0),"",$L$37-1)),0,YEARFRAC(MAX($P$34*($B305+$I$38-1),IF(AND($L$37=0,$P$34=0),"",$L$37-1)),MIN(BV$38,$E305),$P$20))-SUM($BF305:BU305))</f>
        <v>0</v>
      </c>
      <c r="BW305" s="446">
        <f>IF($E305=0,0,IF(MIN(BW$38,$E305)&lt;MAX($P$34*($B305+$I$38-1),IF(AND($L$37=0,$P$34=0),"",$L$37-1)),0,YEARFRAC(MAX($P$34*($B305+$I$38-1),IF(AND($L$37=0,$P$34=0),"",$L$37-1)),MIN(BW$38,$E305),$P$20))-SUM($BF305:BV305))</f>
        <v>0</v>
      </c>
      <c r="BX305" s="446">
        <f>IF($E305=0,0,IF(MIN(BX$38,$E305)&lt;MAX($P$34*($B305+$I$38-1),IF(AND($L$37=0,$P$34=0),"",$L$37-1)),0,YEARFRAC(MAX($P$34*($B305+$I$38-1),IF(AND($L$37=0,$P$34=0),"",$L$37-1)),MIN(BX$38,$E305),$P$20))-SUM($BF305:BW305))</f>
        <v>0</v>
      </c>
      <c r="BY305" s="446">
        <f>IF($E305=0,0,IF(MIN(BY$38,$E305)&lt;MAX($P$34*($B305+$I$38-1),IF(AND($L$37=0,$P$34=0),"",$L$37-1)),0,YEARFRAC(MAX($P$34*($B305+$I$38-1),IF(AND($L$37=0,$P$34=0),"",$L$37-1)),MIN(BY$38,$E305),$P$20))-SUM($BF305:BX305))</f>
        <v>0</v>
      </c>
      <c r="BZ305" s="446">
        <f>IF($E305=0,0,IF(MIN(BZ$38,$E305)&lt;MAX($P$34*($B305+$I$38-1),IF(AND($L$37=0,$P$34=0),"",$L$37-1)),0,YEARFRAC(MAX($P$34*($B305+$I$38-1),IF(AND($L$37=0,$P$34=0),"",$L$37-1)),MIN(BZ$38,$E305),$P$20))-SUM($BF305:BY305))</f>
        <v>0</v>
      </c>
      <c r="CA305" s="446">
        <f>IF($E305=0,0,IF(MIN(CA$38,$E305)&lt;MAX($P$34*($B305+$I$38-1),IF(AND($L$37=0,$P$34=0),"",$L$37-1)),0,YEARFRAC(MAX($P$34*($B305+$I$38-1),IF(AND($L$37=0,$P$34=0),"",$L$37-1)),MIN(CA$38,$E305),$P$20))-SUM($BF305:BZ305))</f>
        <v>0</v>
      </c>
      <c r="CB305" s="446">
        <f>IF($E305=0,0,IF(MIN(CB$38,$E305)&lt;MAX($P$34*($B305+$I$38-1),IF(AND($L$37=0,$P$34=0),"",$L$37-1)),0,YEARFRAC(MAX($P$34*($B305+$I$38-1),IF(AND($L$37=0,$P$34=0),"",$L$37-1)),MIN(CB$38,$E305),$P$20))-SUM($BF305:CA305))</f>
        <v>0</v>
      </c>
      <c r="CC305" s="446">
        <f>IF($E305=0,0,IF(MIN(CC$38,$E305)&lt;MAX($P$34*($B305+$I$38-1),IF(AND($L$37=0,$P$34=0),"",$L$37-1)),0,YEARFRAC(MAX($P$34*($B305+$I$38-1),IF(AND($L$37=0,$P$34=0),"",$L$37-1)),MIN(CC$38,$E305),$P$20))-SUM($BF305:CB305))</f>
        <v>0</v>
      </c>
      <c r="CD305" s="446">
        <f>IF($E305=0,0,IF(MIN(CD$38,$E305)&lt;MAX($P$34*($B305+$I$38-1),IF(AND($L$37=0,$P$34=0),"",$L$37-1)),0,YEARFRAC(MAX($P$34*($B305+$I$38-1),IF(AND($L$37=0,$P$34=0),"",$L$37-1)),MIN(CD$38,$E305),$P$20))-SUM($BF305:CC305))</f>
        <v>0</v>
      </c>
      <c r="CE305" s="446">
        <f>IF($E305=0,0,IF(MIN(CE$38,$E305)&lt;MAX($P$34*($B305+$I$38-1),IF(AND($L$37=0,$P$34=0),"",$L$37-1)),0,YEARFRAC(MAX($P$34*($B305+$I$38-1),IF(AND($L$37=0,$P$34=0),"",$L$37-1)),MIN(CE$38,$E305),$P$20))-SUM($BF305:CD305))</f>
        <v>0</v>
      </c>
      <c r="CF305" s="446">
        <f>IF($E305=0,0,IF(MIN(CF$38,$E305)&lt;MAX($P$34*($B305+$I$38-1),IF(AND($L$37=0,$P$34=0),"",$L$37-1)),0,YEARFRAC(MAX($P$34*($B305+$I$38-1),IF(AND($L$37=0,$P$34=0),"",$L$37-1)),MIN(CF$38,$E305),$P$20))-SUM($BF305:CE305))</f>
        <v>0</v>
      </c>
      <c r="CG305" s="446">
        <f>IF($E305=0,0,IF(MIN(CG$38,$E305)&lt;MAX($P$34*($B305+$I$38-1),IF(AND($L$37=0,$P$34=0),"",$L$37-1)),0,YEARFRAC(MAX($P$34*($B305+$I$38-1),IF(AND($L$37=0,$P$34=0),"",$L$37-1)),MIN(CG$38,$E305),$P$20))-SUM($BF305:CF305))</f>
        <v>0</v>
      </c>
      <c r="CH305" s="446">
        <f>IF($E305=0,0,IF(MIN(CH$38,$E305)&lt;MAX($P$34*($B305+$I$38-1),IF(AND($L$37=0,$P$34=0),"",$L$37-1)),0,YEARFRAC(MAX($P$34*($B305+$I$38-1),IF(AND($L$37=0,$P$34=0),"",$L$37-1)),MIN(CH$38,$E305),$P$20))-SUM($BF305:CG305))</f>
        <v>0</v>
      </c>
      <c r="CI305" s="446">
        <f>IF($E305=0,0,IF(MIN(CI$38,$E305)&lt;MAX($P$34*($B305+$I$38-1),IF(AND($L$37=0,$P$34=0),"",$L$37-1)),0,YEARFRAC(MAX($P$34*($B305+$I$38-1),IF(AND($L$37=0,$P$34=0),"",$L$37-1)),MIN(CI$38,$E305),$P$20))-SUM($BF305:CH305))</f>
        <v>0</v>
      </c>
      <c r="CJ305" s="446">
        <f>IF($E305=0,0,IF(MIN(CJ$38,$E305)&lt;MAX($P$34*($B305+$I$38-1),IF(AND($L$37=0,$P$34=0),"",$L$37-1)),0,YEARFRAC(MAX($P$34*($B305+$I$38-1),IF(AND($L$37=0,$P$34=0),"",$L$37-1)),MIN(CJ$38,$E305),$P$20))-SUM($BF305:CI305))</f>
        <v>0</v>
      </c>
      <c r="CK305" s="446">
        <f>IF($E305=0,0,IF(MIN(CK$38,$E305)&lt;MAX($P$34*($B305+$I$38-1),IF(AND($L$37=0,$P$34=0),"",$L$37-1)),0,YEARFRAC(MAX($P$34*($B305+$I$38-1),IF(AND($L$37=0,$P$34=0),"",$L$37-1)),MIN(CK$38,$E305),$P$20))-SUM($BF305:CJ305))</f>
        <v>0</v>
      </c>
      <c r="CL305" s="446">
        <f>IF($E305=0,0,IF(MIN(CL$38,$E305)&lt;MAX($P$34*($B305+$I$38-1),IF(AND($L$37=0,$P$34=0),"",$L$37-1)),0,YEARFRAC(MAX($P$34*($B305+$I$38-1),IF(AND($L$37=0,$P$34=0),"",$L$37-1)),MIN(CL$38,$E305),$P$20))-SUM($BF305:CK305))</f>
        <v>0</v>
      </c>
      <c r="CM305" s="446">
        <f>IF($E305=0,0,IF(MIN(CM$38,$E305)&lt;MAX($P$34*($B305+$I$38-1),IF(AND($L$37=0,$P$34=0),"",$L$37-1)),0,YEARFRAC(MAX($P$34*($B305+$I$38-1),IF(AND($L$37=0,$P$34=0),"",$L$37-1)),MIN(CM$38,$E305),$P$20))-SUM($BF305:CL305))</f>
        <v>0</v>
      </c>
      <c r="CN305" s="446">
        <f>IF($E305=0,0,IF(MIN(CN$38,$E305)&lt;MAX($P$34*($B305+$I$38-1),IF(AND($L$37=0,$P$34=0),"",$L$37-1)),0,YEARFRAC(MAX($P$34*($B305+$I$38-1),IF(AND($L$37=0,$P$34=0),"",$L$37-1)),MIN(CN$38,$E305),$P$20))-SUM($BF305:CM305))</f>
        <v>0</v>
      </c>
      <c r="CO305" s="446">
        <f>IF($E305=0,0,IF(MIN(CO$38,$E305)&lt;MAX($P$34*($B305+$I$38-1),IF(AND($L$37=0,$P$34=0),"",$L$37-1)),0,YEARFRAC(MAX($P$34*($B305+$I$38-1),IF(AND($L$37=0,$P$34=0),"",$L$37-1)),MIN(CO$38,$E305),$P$20))-SUM($BF305:CN305))</f>
        <v>0</v>
      </c>
      <c r="CP305" s="446">
        <f>IF($E305=0,0,IF(MIN(CP$38,$E305)&lt;MAX($P$34*($B305+$I$38-1),IF(AND($L$37=0,$P$34=0),"",$L$37-1)),0,YEARFRAC(MAX($P$34*($B305+$I$38-1),IF(AND($L$37=0,$P$34=0),"",$L$37-1)),MIN(CP$38,$E305),$P$20))-SUM($BF305:CO305))</f>
        <v>0</v>
      </c>
      <c r="CQ305" s="446">
        <f>IF($E305=0,0,IF(MIN(CQ$38,$E305)&lt;MAX($P$34*($B305+$I$38-1),IF(AND($L$37=0,$P$34=0),"",$L$37-1)),0,YEARFRAC(MAX($P$34*($B305+$I$38-1),IF(AND($L$37=0,$P$34=0),"",$L$37-1)),MIN(CQ$38,$E305),$P$20))-SUM($BF305:CP305))</f>
        <v>0</v>
      </c>
    </row>
    <row r="306" spans="1:95" s="446" customFormat="1" ht="11.25" hidden="1" customHeight="1" x14ac:dyDescent="0.2">
      <c r="A306" s="152"/>
      <c r="B306" s="153" t="str">
        <f t="shared" si="59"/>
        <v/>
      </c>
      <c r="C306" s="29" t="str">
        <f>IF(B306="","",IF($L$35="SELIC - TRIBUTOS",VLOOKUP(DATE(YEAR($D$19),MONTH($D$19)-1,1),ÍNDICES!$A:$DE,HLOOKUP($BL$25,ÍNDICES!$B$3:$T$4,2)+11)-VLOOKUP(B306,ÍNDICES!$A:$DE,HLOOKUP($BL$25,ÍNDICES!$B$3:$T$4,2)+11)+1%,IF(C$38=$W$26,$J$35,IF(ISERROR(IF(B306&gt;$D$19,1,VLOOKUP(DATE(YEAR(B306),MONTH(B306)+IF($C$35=$S$23,1,0),1),ÍNDICES!$A:$DE,$Z$35+1))),"",IF(B306&gt;$D$19,1,VLOOKUP(DATE(YEAR(B306),MONTH(B306)+IF($C$35=$S$23,1,0),1),ÍNDICES!$A:$DE,$Z$35+1))))))</f>
        <v/>
      </c>
      <c r="D306" s="154" t="str">
        <f>IF(ISERROR(IF(OR($D$38=$Y$27,$B306=""),"",VLOOKUP(B306,ÍNDICES!A:DE,AF$35+1))),"",IF(OR($D$38=$Y$27,$B306=""),"",VLOOKUP(B306,ÍNDICES!A:DE,AF$35+1)))</f>
        <v/>
      </c>
      <c r="E306" s="153"/>
      <c r="F306" s="29" t="str">
        <f>IF(E306="","",IF($L$35="SELIC - TRIBUTOS",VLOOKUP(DATE(YEAR($D$19),MONTH($D$19)-1,1),ÍNDICES!$A:$DE,HLOOKUP($BL$25,ÍNDICES!$B$3:$T$4,2)+11)-VLOOKUP(E306,ÍNDICES!$A:$DE,HLOOKUP($BL$25,ÍNDICES!$B$3:$T$4,2)+11)+1%,IF(F$38=$W$26,$J$35,IF(ISERROR(IF(E306&gt;$D$19,1,VLOOKUP(DATE(YEAR(E306),MONTH(E306)+IF($C$35=$S$23,1,0),1),ÍNDICES!$A:$DE,$Z$35+1))),"",IF(E306&gt;$D$19,1,VLOOKUP(DATE(YEAR(E306),MONTH(E306)+IF($C$35=$S$23,1,0),1),ÍNDICES!$A:$DE,$Z$35+1))))))</f>
        <v/>
      </c>
      <c r="G306" s="155"/>
      <c r="H306" s="156" t="str">
        <f t="shared" si="55"/>
        <v/>
      </c>
      <c r="I306" s="29" t="str">
        <f t="shared" si="49"/>
        <v/>
      </c>
      <c r="J306" s="5">
        <f t="shared" si="50"/>
        <v>0</v>
      </c>
      <c r="K306" s="20">
        <f t="shared" ca="1" si="51"/>
        <v>0</v>
      </c>
      <c r="L306" s="5">
        <f t="shared" ca="1" si="52"/>
        <v>0</v>
      </c>
      <c r="M306" s="64">
        <f t="shared" si="56"/>
        <v>0</v>
      </c>
      <c r="N306" s="61">
        <f t="shared" ca="1" si="57"/>
        <v>0</v>
      </c>
      <c r="O306" s="5">
        <f t="shared" ca="1" si="58"/>
        <v>0</v>
      </c>
      <c r="P306" s="446" t="e">
        <f t="shared" si="53"/>
        <v>#VALUE!</v>
      </c>
      <c r="Q306" s="446" t="e">
        <f>IF(OR($B306="",MIN(Q$38,$D$19)&lt;MAX($P$34*($B306+IF($R$17="Distrato",$I$38-1,0)),IF(AND($L$37=0,$P$34=0),"",$L$37-1),IF($R$17="Distrato",$E306,0))),0,YEARFRAC(MAX($P$34*($B306+IF($R$17="Distrato",$I$38-1,0)),IF(AND($L$37=0,$P$34=0),"",$L$37-1),IF($R$17="Distrato",$E306,0)),MIN(Q$38,$D$19),$P$20))-SUM($P306:P306)</f>
        <v>#VALUE!</v>
      </c>
      <c r="R306" s="446" t="e">
        <f>IF(OR($B306="",MIN(R$38,$D$19)&lt;MAX($P$34*($B306+IF($R$17="Distrato",$I$38-1,0)),IF(AND($L$37=0,$P$34=0),"",$L$37-1),IF($R$17="Distrato",$E306,0))),0,YEARFRAC(MAX($P$34*($B306+IF($R$17="Distrato",$I$38-1,0)),IF(AND($L$37=0,$P$34=0),"",$L$37-1),IF($R$17="Distrato",$E306,0)),MIN(R$38,$D$19),$P$20))-SUM($P306:Q306)</f>
        <v>#VALUE!</v>
      </c>
      <c r="S306" s="446" t="e">
        <f>IF(OR($B306="",MIN(S$38,$D$19)&lt;MAX($P$34*($B306+IF($R$17="Distrato",$I$38-1,0)),IF(AND($L$37=0,$P$34=0),"",$L$37-1),IF($R$17="Distrato",$E306,0))),0,YEARFRAC(MAX($P$34*($B306+IF($R$17="Distrato",$I$38-1,0)),IF(AND($L$37=0,$P$34=0),"",$L$37-1),IF($R$17="Distrato",$E306,0)),MIN(S$38,$D$19),$P$20))-SUM($P306:R306)</f>
        <v>#VALUE!</v>
      </c>
      <c r="T306" s="446" t="e">
        <f>IF(OR($B306="",MIN(T$38,$D$19)&lt;MAX($P$34*($B306+IF($R$17="Distrato",$I$38-1,0)),IF(AND($L$37=0,$P$34=0),"",$L$37-1),IF($R$17="Distrato",$E306,0))),0,YEARFRAC(MAX($P$34*($B306+IF($R$17="Distrato",$I$38-1,0)),IF(AND($L$37=0,$P$34=0),"",$L$37-1),IF($R$17="Distrato",$E306,0)),MIN(T$38,$D$19),$P$20))-SUM($P306:S306)</f>
        <v>#VALUE!</v>
      </c>
      <c r="U306" s="446" t="e">
        <f>IF(OR($B306="",MIN(U$38,$D$19)&lt;MAX($P$34*($B306+IF($R$17="Distrato",$I$38-1,0)),IF(AND($L$37=0,$P$34=0),"",$L$37-1),IF($R$17="Distrato",$E306,0))),0,YEARFRAC(MAX($P$34*($B306+IF($R$17="Distrato",$I$38-1,0)),IF(AND($L$37=0,$P$34=0),"",$L$37-1),IF($R$17="Distrato",$E306,0)),MIN(U$38,$D$19),$P$20))-SUM($P306:T306)</f>
        <v>#VALUE!</v>
      </c>
      <c r="V306" s="446" t="e">
        <f>IF(OR($B306="",MIN(V$38,$D$19)&lt;MAX($P$34*($B306+IF($R$17="Distrato",$I$38-1,0)),IF(AND($L$37=0,$P$34=0),"",$L$37-1),IF($R$17="Distrato",$E306,0))),0,YEARFRAC(MAX($P$34*($B306+IF($R$17="Distrato",$I$38-1,0)),IF(AND($L$37=0,$P$34=0),"",$L$37-1),IF($R$17="Distrato",$E306,0)),MIN(V$38,$D$19),$P$20))-SUM($P306:U306)</f>
        <v>#VALUE!</v>
      </c>
      <c r="W306" s="446" t="e">
        <f>IF(OR($B306="",MIN(W$38,$D$19)&lt;MAX($P$34*($B306+IF($R$17="Distrato",$I$38-1,0)),IF(AND($L$37=0,$P$34=0),"",$L$37-1),IF($R$17="Distrato",$E306,0))),0,YEARFRAC(MAX($P$34*($B306+IF($R$17="Distrato",$I$38-1,0)),IF(AND($L$37=0,$P$34=0),"",$L$37-1),IF($R$17="Distrato",$E306,0)),MIN(W$38,$D$19),$P$20))-SUM($P306:V306)</f>
        <v>#VALUE!</v>
      </c>
      <c r="X306" s="446" t="e">
        <f>IF(OR($B306="",MIN(X$38,$D$19)&lt;MAX($P$34*($B306+IF($R$17="Distrato",$I$38-1,0)),IF(AND($L$37=0,$P$34=0),"",$L$37-1),IF($R$17="Distrato",$E306,0))),0,YEARFRAC(MAX($P$34*($B306+IF($R$17="Distrato",$I$38-1,0)),IF(AND($L$37=0,$P$34=0),"",$L$37-1),IF($R$17="Distrato",$E306,0)),MIN(X$38,$D$19),$P$20))-SUM($P306:W306)</f>
        <v>#VALUE!</v>
      </c>
      <c r="Y306" s="446" t="e">
        <f>IF(OR($B306="",MIN(Y$38,$D$19)&lt;MAX($P$34*($B306+IF($R$17="Distrato",$I$38-1,0)),IF(AND($L$37=0,$P$34=0),"",$L$37-1),IF($R$17="Distrato",$E306,0))),0,YEARFRAC(MAX($P$34*($B306+IF($R$17="Distrato",$I$38-1,0)),IF(AND($L$37=0,$P$34=0),"",$L$37-1),IF($R$17="Distrato",$E306,0)),MIN(Y$38,$D$19),$P$20))-SUM($P306:X306)</f>
        <v>#VALUE!</v>
      </c>
      <c r="Z306" s="446" t="e">
        <f>IF(OR($B306="",MIN(Z$38,$D$19)&lt;MAX($P$34*($B306+IF($R$17="Distrato",$I$38-1,0)),IF(AND($L$37=0,$P$34=0),"",$L$37-1),IF($R$17="Distrato",$E306,0))),0,YEARFRAC(MAX($P$34*($B306+IF($R$17="Distrato",$I$38-1,0)),IF(AND($L$37=0,$P$34=0),"",$L$37-1),IF($R$17="Distrato",$E306,0)),MIN(Z$38,$D$19),$P$20))-SUM($P306:Y306)</f>
        <v>#VALUE!</v>
      </c>
      <c r="AA306" s="446" t="e">
        <f>IF(OR($B306="",MIN(AA$38,$D$19)&lt;MAX($P$34*($B306+IF($R$17="Distrato",$I$38-1,0)),IF(AND($L$37=0,$P$34=0),"",$L$37-1),IF($R$17="Distrato",$E306,0))),0,YEARFRAC(MAX($P$34*($B306+IF($R$17="Distrato",$I$38-1,0)),IF(AND($L$37=0,$P$34=0),"",$L$37-1),IF($R$17="Distrato",$E306,0)),MIN(AA$38,$D$19),$P$20))-SUM($P306:Z306)</f>
        <v>#VALUE!</v>
      </c>
      <c r="AB306" s="446" t="e">
        <f>IF(OR($B306="",MIN(AB$38,$D$19)&lt;MAX($P$34*($B306+IF($R$17="Distrato",$I$38-1,0)),IF(AND($L$37=0,$P$34=0),"",$L$37-1),IF($R$17="Distrato",$E306,0))),0,YEARFRAC(MAX($P$34*($B306+IF($R$17="Distrato",$I$38-1,0)),IF(AND($L$37=0,$P$34=0),"",$L$37-1),IF($R$17="Distrato",$E306,0)),MIN(AB$38,$D$19),$P$20))-SUM($P306:AA306)</f>
        <v>#VALUE!</v>
      </c>
      <c r="AC306" s="446" t="e">
        <f>IF(OR($B306="",MIN(AC$38,$D$19)&lt;MAX($P$34*($B306+IF($R$17="Distrato",$I$38-1,0)),IF(AND($L$37=0,$P$34=0),"",$L$37-1),IF($R$17="Distrato",$E306,0))),0,YEARFRAC(MAX($P$34*($B306+IF($R$17="Distrato",$I$38-1,0)),IF(AND($L$37=0,$P$34=0),"",$L$37-1),IF($R$17="Distrato",$E306,0)),MIN(AC$38,$D$19),$P$20))-SUM($P306:AB306)</f>
        <v>#VALUE!</v>
      </c>
      <c r="AD306" s="446" t="e">
        <f>IF(OR($B306="",MIN(AD$38,$D$19)&lt;MAX($P$34*($B306+IF($R$17="Distrato",$I$38-1,0)),IF(AND($L$37=0,$P$34=0),"",$L$37-1),IF($R$17="Distrato",$E306,0))),0,YEARFRAC(MAX($P$34*($B306+IF($R$17="Distrato",$I$38-1,0)),IF(AND($L$37=0,$P$34=0),"",$L$37-1),IF($R$17="Distrato",$E306,0)),MIN(AD$38,$D$19),$P$20))-SUM($P306:AC306)</f>
        <v>#VALUE!</v>
      </c>
      <c r="AE306" s="446" t="e">
        <f>IF(OR($B306="",MIN(AE$38,$D$19)&lt;MAX($P$34*($B306+IF($R$17="Distrato",$I$38-1,0)),IF(AND($L$37=0,$P$34=0),"",$L$37-1),IF($R$17="Distrato",$E306,0))),0,YEARFRAC(MAX($P$34*($B306+IF($R$17="Distrato",$I$38-1,0)),IF(AND($L$37=0,$P$34=0),"",$L$37-1),IF($R$17="Distrato",$E306,0)),MIN(AE$38,$D$19),$P$20))-SUM($P306:AD306)</f>
        <v>#VALUE!</v>
      </c>
      <c r="AF306" s="446" t="e">
        <f>IF(OR($B306="",MIN(AF$38,$D$19)&lt;MAX($P$34*($B306+IF($R$17="Distrato",$I$38-1,0)),IF(AND($L$37=0,$P$34=0),"",$L$37-1),IF($R$17="Distrato",$E306,0))),0,YEARFRAC(MAX($P$34*($B306+IF($R$17="Distrato",$I$38-1,0)),IF(AND($L$37=0,$P$34=0),"",$L$37-1),IF($R$17="Distrato",$E306,0)),MIN(AF$38,$D$19),$P$20))-SUM($P306:AE306)</f>
        <v>#VALUE!</v>
      </c>
      <c r="AG306" s="446" t="e">
        <f>IF(OR($B306="",MIN(AG$38,$D$19)&lt;MAX($P$34*($B306+IF($R$17="Distrato",$I$38-1,0)),IF(AND($L$37=0,$P$34=0),"",$L$37-1),IF($R$17="Distrato",$E306,0))),0,YEARFRAC(MAX($P$34*($B306+IF($R$17="Distrato",$I$38-1,0)),IF(AND($L$37=0,$P$34=0),"",$L$37-1),IF($R$17="Distrato",$E306,0)),MIN(AG$38,$D$19),$P$20))-SUM($P306:AF306)</f>
        <v>#VALUE!</v>
      </c>
      <c r="AH306" s="446" t="e">
        <f>IF(OR($B306="",MIN(AH$38,$D$19)&lt;MAX($P$34*($B306+IF($R$17="Distrato",$I$38-1,0)),IF(AND($L$37=0,$P$34=0),"",$L$37-1),IF($R$17="Distrato",$E306,0))),0,YEARFRAC(MAX($P$34*($B306+IF($R$17="Distrato",$I$38-1,0)),IF(AND($L$37=0,$P$34=0),"",$L$37-1),IF($R$17="Distrato",$E306,0)),MIN(AH$38,$D$19),$P$20))-SUM($P306:AG306)</f>
        <v>#VALUE!</v>
      </c>
      <c r="AI306" s="446" t="e">
        <f>IF(OR($B306="",MIN(AI$38,$D$19)&lt;MAX($P$34*($B306+IF($R$17="Distrato",$I$38-1,0)),IF(AND($L$37=0,$P$34=0),"",$L$37-1),IF($R$17="Distrato",$E306,0))),0,YEARFRAC(MAX($P$34*($B306+IF($R$17="Distrato",$I$38-1,0)),IF(AND($L$37=0,$P$34=0),"",$L$37-1),IF($R$17="Distrato",$E306,0)),MIN(AI$38,$D$19),$P$20))-SUM($P306:AH306)</f>
        <v>#VALUE!</v>
      </c>
      <c r="AJ306" s="446" t="e">
        <f>IF(OR($B306="",MIN(AJ$38,$D$19)&lt;MAX($P$34*($B306+IF($R$17="Distrato",$I$38-1,0)),IF(AND($L$37=0,$P$34=0),"",$L$37-1),IF($R$17="Distrato",$E306,0))),0,YEARFRAC(MAX($P$34*($B306+IF($R$17="Distrato",$I$38-1,0)),IF(AND($L$37=0,$P$34=0),"",$L$37-1),IF($R$17="Distrato",$E306,0)),MIN(AJ$38,$D$19),$P$20))-SUM($P306:AI306)</f>
        <v>#VALUE!</v>
      </c>
      <c r="AK306" s="446" t="e">
        <f>IF(OR($B306="",MIN(AK$38,$D$19)&lt;MAX($P$34*($B306+IF($R$17="Distrato",$I$38-1,0)),IF(AND($L$37=0,$P$34=0),"",$L$37-1),IF($R$17="Distrato",$E306,0))),0,YEARFRAC(MAX($P$34*($B306+IF($R$17="Distrato",$I$38-1,0)),IF(AND($L$37=0,$P$34=0),"",$L$37-1),IF($R$17="Distrato",$E306,0)),MIN(AK$38,$D$19),$P$20))-SUM($P306:AJ306)</f>
        <v>#VALUE!</v>
      </c>
      <c r="AL306" s="446" t="e">
        <f>IF(OR($B306="",MIN(AL$38,$D$19)&lt;MAX($P$34*($B306+IF($R$17="Distrato",$I$38-1,0)),IF(AND($L$37=0,$P$34=0),"",$L$37-1),IF($R$17="Distrato",$E306,0))),0,YEARFRAC(MAX($P$34*($B306+IF($R$17="Distrato",$I$38-1,0)),IF(AND($L$37=0,$P$34=0),"",$L$37-1),IF($R$17="Distrato",$E306,0)),MIN(AL$38,$D$19),$P$20))-SUM($P306:AK306)</f>
        <v>#VALUE!</v>
      </c>
      <c r="AM306" s="446" t="e">
        <f>IF(OR($B306="",MIN(AM$38,$D$19)&lt;MAX($P$34*($B306+IF($R$17="Distrato",$I$38-1,0)),IF(AND($L$37=0,$P$34=0),"",$L$37-1),IF($R$17="Distrato",$E306,0))),0,YEARFRAC(MAX($P$34*($B306+IF($R$17="Distrato",$I$38-1,0)),IF(AND($L$37=0,$P$34=0),"",$L$37-1),IF($R$17="Distrato",$E306,0)),MIN(AM$38,$D$19),$P$20))-SUM($P306:AL306)</f>
        <v>#VALUE!</v>
      </c>
      <c r="AN306" s="446" t="e">
        <f>IF(OR($B306="",MIN(AN$38,$D$19)&lt;MAX($P$34*($B306+IF($R$17="Distrato",$I$38-1,0)),IF(AND($L$37=0,$P$34=0),"",$L$37-1),IF($R$17="Distrato",$E306,0))),0,YEARFRAC(MAX($P$34*($B306+IF($R$17="Distrato",$I$38-1,0)),IF(AND($L$37=0,$P$34=0),"",$L$37-1),IF($R$17="Distrato",$E306,0)),MIN(AN$38,$D$19),$P$20))-SUM($P306:AM306)</f>
        <v>#VALUE!</v>
      </c>
      <c r="AO306" s="446" t="e">
        <f>IF(OR($B306="",MIN(AO$38,$D$19)&lt;MAX($P$34*($B306+IF($R$17="Distrato",$I$38-1,0)),IF(AND($L$37=0,$P$34=0),"",$L$37-1),IF($R$17="Distrato",$E306,0))),0,YEARFRAC(MAX($P$34*($B306+IF($R$17="Distrato",$I$38-1,0)),IF(AND($L$37=0,$P$34=0),"",$L$37-1),IF($R$17="Distrato",$E306,0)),MIN(AO$38,$D$19),$P$20))-SUM($P306:AN306)</f>
        <v>#VALUE!</v>
      </c>
      <c r="AP306" s="446" t="e">
        <f>IF(OR($B306="",MIN(AP$38,$D$19)&lt;MAX($P$34*($B306+IF($R$17="Distrato",$I$38-1,0)),IF(AND($L$37=0,$P$34=0),"",$L$37-1),IF($R$17="Distrato",$E306,0))),0,YEARFRAC(MAX($P$34*($B306+IF($R$17="Distrato",$I$38-1,0)),IF(AND($L$37=0,$P$34=0),"",$L$37-1),IF($R$17="Distrato",$E306,0)),MIN(AP$38,$D$19),$P$20))-SUM($P306:AO306)</f>
        <v>#VALUE!</v>
      </c>
      <c r="AQ306" s="446" t="e">
        <f>IF(OR($B306="",MIN(AQ$38,$D$19)&lt;MAX($P$34*($B306+IF($R$17="Distrato",$I$38-1,0)),IF(AND($L$37=0,$P$34=0),"",$L$37-1),IF($R$17="Distrato",$E306,0))),0,YEARFRAC(MAX($P$34*($B306+IF($R$17="Distrato",$I$38-1,0)),IF(AND($L$37=0,$P$34=0),"",$L$37-1),IF($R$17="Distrato",$E306,0)),MIN(AQ$38,$D$19),$P$20))-SUM($P306:AP306)</f>
        <v>#VALUE!</v>
      </c>
      <c r="AR306" s="446" t="e">
        <f>IF(OR($B306="",MIN(AR$38,$D$19)&lt;MAX($P$34*($B306+IF($R$17="Distrato",$I$38-1,0)),IF(AND($L$37=0,$P$34=0),"",$L$37-1),IF($R$17="Distrato",$E306,0))),0,YEARFRAC(MAX($P$34*($B306+IF($R$17="Distrato",$I$38-1,0)),IF(AND($L$37=0,$P$34=0),"",$L$37-1),IF($R$17="Distrato",$E306,0)),MIN(AR$38,$D$19),$P$20))-SUM($P306:AQ306)</f>
        <v>#VALUE!</v>
      </c>
      <c r="AS306" s="446" t="e">
        <f>IF(OR($B306="",MIN(AS$38,$D$19)&lt;MAX($P$34*($B306+IF($R$17="Distrato",$I$38-1,0)),IF(AND($L$37=0,$P$34=0),"",$L$37-1),IF($R$17="Distrato",$E306,0))),0,YEARFRAC(MAX($P$34*($B306+IF($R$17="Distrato",$I$38-1,0)),IF(AND($L$37=0,$P$34=0),"",$L$37-1),IF($R$17="Distrato",$E306,0)),MIN(AS$38,$D$19),$P$20))-SUM($P306:AR306)</f>
        <v>#VALUE!</v>
      </c>
      <c r="AT306" s="446" t="e">
        <f>IF(OR($B306="",MIN(AT$38,$D$19)&lt;MAX($P$34*($B306+IF($R$17="Distrato",$I$38-1,0)),IF(AND($L$37=0,$P$34=0),"",$L$37-1),IF($R$17="Distrato",$E306,0))),0,YEARFRAC(MAX($P$34*($B306+IF($R$17="Distrato",$I$38-1,0)),IF(AND($L$37=0,$P$34=0),"",$L$37-1),IF($R$17="Distrato",$E306,0)),MIN(AT$38,$D$19),$P$20))-SUM($P306:AS306)</f>
        <v>#VALUE!</v>
      </c>
      <c r="AU306" s="446" t="e">
        <f>IF(OR($B306="",MIN(AU$38,$D$19)&lt;MAX($P$34*($B306+IF($R$17="Distrato",$I$38-1,0)),IF(AND($L$37=0,$P$34=0),"",$L$37-1),IF($R$17="Distrato",$E306,0))),0,YEARFRAC(MAX($P$34*($B306+IF($R$17="Distrato",$I$38-1,0)),IF(AND($L$37=0,$P$34=0),"",$L$37-1),IF($R$17="Distrato",$E306,0)),MIN(AU$38,$D$19),$P$20))-SUM($P306:AT306)</f>
        <v>#VALUE!</v>
      </c>
      <c r="AV306" s="446" t="e">
        <f>IF(OR($B306="",MIN(AV$38,$D$19)&lt;MAX($P$34*($B306+IF($R$17="Distrato",$I$38-1,0)),IF(AND($L$37=0,$P$34=0),"",$L$37-1),IF($R$17="Distrato",$E306,0))),0,YEARFRAC(MAX($P$34*($B306+IF($R$17="Distrato",$I$38-1,0)),IF(AND($L$37=0,$P$34=0),"",$L$37-1),IF($R$17="Distrato",$E306,0)),MIN(AV$38,$D$19),$P$20))-SUM($P306:AU306)</f>
        <v>#VALUE!</v>
      </c>
      <c r="AW306" s="446" t="e">
        <f>IF(OR($B306="",MIN(AW$38,$D$19)&lt;MAX($P$34*($B306+IF($R$17="Distrato",$I$38-1,0)),IF(AND($L$37=0,$P$34=0),"",$L$37-1),IF($R$17="Distrato",$E306,0))),0,YEARFRAC(MAX($P$34*($B306+IF($R$17="Distrato",$I$38-1,0)),IF(AND($L$37=0,$P$34=0),"",$L$37-1),IF($R$17="Distrato",$E306,0)),MIN(AW$38,$D$19),$P$20))-SUM($P306:AV306)</f>
        <v>#VALUE!</v>
      </c>
      <c r="AX306" s="446" t="e">
        <f>IF(OR($B306="",MIN(AX$38,$D$19)&lt;MAX($P$34*($B306+IF($R$17="Distrato",$I$38-1,0)),IF(AND($L$37=0,$P$34=0),"",$L$37-1),IF($R$17="Distrato",$E306,0))),0,YEARFRAC(MAX($P$34*($B306+IF($R$17="Distrato",$I$38-1,0)),IF(AND($L$37=0,$P$34=0),"",$L$37-1),IF($R$17="Distrato",$E306,0)),MIN(AX$38,$D$19),$P$20))-SUM($P306:AW306)</f>
        <v>#VALUE!</v>
      </c>
      <c r="AY306" s="446" t="e">
        <f>IF(OR($B306="",MIN(AY$38,$D$19)&lt;MAX($P$34*($B306+IF($R$17="Distrato",$I$38-1,0)),IF(AND($L$37=0,$P$34=0),"",$L$37-1),IF($R$17="Distrato",$E306,0))),0,YEARFRAC(MAX($P$34*($B306+IF($R$17="Distrato",$I$38-1,0)),IF(AND($L$37=0,$P$34=0),"",$L$37-1),IF($R$17="Distrato",$E306,0)),MIN(AY$38,$D$19),$P$20))-SUM($P306:AX306)</f>
        <v>#VALUE!</v>
      </c>
      <c r="AZ306" s="446" t="e">
        <f>IF(OR($B306="",MIN(AZ$38,$D$19)&lt;MAX($P$34*($B306+IF($R$17="Distrato",$I$38-1,0)),IF(AND($L$37=0,$P$34=0),"",$L$37-1),IF($R$17="Distrato",$E306,0))),0,YEARFRAC(MAX($P$34*($B306+IF($R$17="Distrato",$I$38-1,0)),IF(AND($L$37=0,$P$34=0),"",$L$37-1),IF($R$17="Distrato",$E306,0)),MIN(AZ$38,$D$19),$P$20))-SUM($P306:AY306)</f>
        <v>#VALUE!</v>
      </c>
      <c r="BA306" s="446" t="e">
        <f>IF(OR($B306="",MIN(BA$38,$D$19)&lt;MAX($P$34*($B306+IF($R$17="Distrato",$I$38-1,0)),IF(AND($L$37=0,$P$34=0),"",$L$37-1),IF($R$17="Distrato",$E306,0))),0,YEARFRAC(MAX($P$34*($B306+IF($R$17="Distrato",$I$38-1,0)),IF(AND($L$37=0,$P$34=0),"",$L$37-1),IF($R$17="Distrato",$E306,0)),MIN(BA$38,$D$19),$P$20))-SUM($P306:AZ306)</f>
        <v>#VALUE!</v>
      </c>
      <c r="BB306" s="447"/>
      <c r="BF306" s="446">
        <f t="shared" si="54"/>
        <v>0</v>
      </c>
      <c r="BG306" s="446">
        <f>IF($E306=0,0,IF(MIN(BG$38,$E306)&lt;MAX($P$34*($B306+$I$38-1),IF(AND($L$37=0,$P$34=0),"",$L$37-1)),0,YEARFRAC(MAX($P$34*($B306+$I$38-1),IF(AND($L$37=0,$P$34=0),"",$L$37-1)),MIN(BG$38,$E306),$P$20))-SUM($BF306:BF306))</f>
        <v>0</v>
      </c>
      <c r="BH306" s="446">
        <f>IF($E306=0,0,IF(MIN(BH$38,$E306)&lt;MAX($P$34*($B306+$I$38-1),IF(AND($L$37=0,$P$34=0),"",$L$37-1)),0,YEARFRAC(MAX($P$34*($B306+$I$38-1),IF(AND($L$37=0,$P$34=0),"",$L$37-1)),MIN(BH$38,$E306),$P$20))-SUM($BF306:BG306))</f>
        <v>0</v>
      </c>
      <c r="BI306" s="446">
        <f>IF($E306=0,0,IF(MIN(BI$38,$E306)&lt;MAX($P$34*($B306+$I$38-1),IF(AND($L$37=0,$P$34=0),"",$L$37-1)),0,YEARFRAC(MAX($P$34*($B306+$I$38-1),IF(AND($L$37=0,$P$34=0),"",$L$37-1)),MIN(BI$38,$E306),$P$20))-SUM($BF306:BH306))</f>
        <v>0</v>
      </c>
      <c r="BJ306" s="446">
        <f>IF($E306=0,0,IF(MIN(BJ$38,$E306)&lt;MAX($P$34*($B306+$I$38-1),IF(AND($L$37=0,$P$34=0),"",$L$37-1)),0,YEARFRAC(MAX($P$34*($B306+$I$38-1),IF(AND($L$37=0,$P$34=0),"",$L$37-1)),MIN(BJ$38,$E306),$P$20))-SUM($BF306:BI306))</f>
        <v>0</v>
      </c>
      <c r="BK306" s="446">
        <f>IF($E306=0,0,IF(MIN(BK$38,$E306)&lt;MAX($P$34*($B306+$I$38-1),IF(AND($L$37=0,$P$34=0),"",$L$37-1)),0,YEARFRAC(MAX($P$34*($B306+$I$38-1),IF(AND($L$37=0,$P$34=0),"",$L$37-1)),MIN(BK$38,$E306),$P$20))-SUM($BF306:BJ306))</f>
        <v>0</v>
      </c>
      <c r="BL306" s="446">
        <f>IF($E306=0,0,IF(MIN(BL$38,$E306)&lt;MAX($P$34*($B306+$I$38-1),IF(AND($L$37=0,$P$34=0),"",$L$37-1)),0,YEARFRAC(MAX($P$34*($B306+$I$38-1),IF(AND($L$37=0,$P$34=0),"",$L$37-1)),MIN(BL$38,$E306),$P$20))-SUM($BF306:BK306))</f>
        <v>0</v>
      </c>
      <c r="BM306" s="446">
        <f>IF($E306=0,0,IF(MIN(BM$38,$E306)&lt;MAX($P$34*($B306+$I$38-1),IF(AND($L$37=0,$P$34=0),"",$L$37-1)),0,YEARFRAC(MAX($P$34*($B306+$I$38-1),IF(AND($L$37=0,$P$34=0),"",$L$37-1)),MIN(BM$38,$E306),$P$20))-SUM($BF306:BL306))</f>
        <v>0</v>
      </c>
      <c r="BN306" s="446">
        <f>IF($E306=0,0,IF(MIN(BN$38,$E306)&lt;MAX($P$34*($B306+$I$38-1),IF(AND($L$37=0,$P$34=0),"",$L$37-1)),0,YEARFRAC(MAX($P$34*($B306+$I$38-1),IF(AND($L$37=0,$P$34=0),"",$L$37-1)),MIN(BN$38,$E306),$P$20))-SUM($BF306:BM306))</f>
        <v>0</v>
      </c>
      <c r="BO306" s="446">
        <f>IF($E306=0,0,IF(MIN(BO$38,$E306)&lt;MAX($P$34*($B306+$I$38-1),IF(AND($L$37=0,$P$34=0),"",$L$37-1)),0,YEARFRAC(MAX($P$34*($B306+$I$38-1),IF(AND($L$37=0,$P$34=0),"",$L$37-1)),MIN(BO$38,$E306),$P$20))-SUM($BF306:BN306))</f>
        <v>0</v>
      </c>
      <c r="BP306" s="446">
        <f>IF($E306=0,0,IF(MIN(BP$38,$E306)&lt;MAX($P$34*($B306+$I$38-1),IF(AND($L$37=0,$P$34=0),"",$L$37-1)),0,YEARFRAC(MAX($P$34*($B306+$I$38-1),IF(AND($L$37=0,$P$34=0),"",$L$37-1)),MIN(BP$38,$E306),$P$20))-SUM($BF306:BO306))</f>
        <v>0</v>
      </c>
      <c r="BQ306" s="446">
        <f>IF($E306=0,0,IF(MIN(BQ$38,$E306)&lt;MAX($P$34*($B306+$I$38-1),IF(AND($L$37=0,$P$34=0),"",$L$37-1)),0,YEARFRAC(MAX($P$34*($B306+$I$38-1),IF(AND($L$37=0,$P$34=0),"",$L$37-1)),MIN(BQ$38,$E306),$P$20))-SUM($BF306:BP306))</f>
        <v>0</v>
      </c>
      <c r="BR306" s="446">
        <f>IF($E306=0,0,IF(MIN(BR$38,$E306)&lt;MAX($P$34*($B306+$I$38-1),IF(AND($L$37=0,$P$34=0),"",$L$37-1)),0,YEARFRAC(MAX($P$34*($B306+$I$38-1),IF(AND($L$37=0,$P$34=0),"",$L$37-1)),MIN(BR$38,$E306),$P$20))-SUM($BF306:BQ306))</f>
        <v>0</v>
      </c>
      <c r="BS306" s="446">
        <f>IF($E306=0,0,IF(MIN(BS$38,$E306)&lt;MAX($P$34*($B306+$I$38-1),IF(AND($L$37=0,$P$34=0),"",$L$37-1)),0,YEARFRAC(MAX($P$34*($B306+$I$38-1),IF(AND($L$37=0,$P$34=0),"",$L$37-1)),MIN(BS$38,$E306),$P$20))-SUM($BF306:BR306))</f>
        <v>0</v>
      </c>
      <c r="BT306" s="446">
        <f>IF($E306=0,0,IF(MIN(BT$38,$E306)&lt;MAX($P$34*($B306+$I$38-1),IF(AND($L$37=0,$P$34=0),"",$L$37-1)),0,YEARFRAC(MAX($P$34*($B306+$I$38-1),IF(AND($L$37=0,$P$34=0),"",$L$37-1)),MIN(BT$38,$E306),$P$20))-SUM($BF306:BS306))</f>
        <v>0</v>
      </c>
      <c r="BU306" s="446">
        <f>IF($E306=0,0,IF(MIN(BU$38,$E306)&lt;MAX($P$34*($B306+$I$38-1),IF(AND($L$37=0,$P$34=0),"",$L$37-1)),0,YEARFRAC(MAX($P$34*($B306+$I$38-1),IF(AND($L$37=0,$P$34=0),"",$L$37-1)),MIN(BU$38,$E306),$P$20))-SUM($BF306:BT306))</f>
        <v>0</v>
      </c>
      <c r="BV306" s="446">
        <f>IF($E306=0,0,IF(MIN(BV$38,$E306)&lt;MAX($P$34*($B306+$I$38-1),IF(AND($L$37=0,$P$34=0),"",$L$37-1)),0,YEARFRAC(MAX($P$34*($B306+$I$38-1),IF(AND($L$37=0,$P$34=0),"",$L$37-1)),MIN(BV$38,$E306),$P$20))-SUM($BF306:BU306))</f>
        <v>0</v>
      </c>
      <c r="BW306" s="446">
        <f>IF($E306=0,0,IF(MIN(BW$38,$E306)&lt;MAX($P$34*($B306+$I$38-1),IF(AND($L$37=0,$P$34=0),"",$L$37-1)),0,YEARFRAC(MAX($P$34*($B306+$I$38-1),IF(AND($L$37=0,$P$34=0),"",$L$37-1)),MIN(BW$38,$E306),$P$20))-SUM($BF306:BV306))</f>
        <v>0</v>
      </c>
      <c r="BX306" s="446">
        <f>IF($E306=0,0,IF(MIN(BX$38,$E306)&lt;MAX($P$34*($B306+$I$38-1),IF(AND($L$37=0,$P$34=0),"",$L$37-1)),0,YEARFRAC(MAX($P$34*($B306+$I$38-1),IF(AND($L$37=0,$P$34=0),"",$L$37-1)),MIN(BX$38,$E306),$P$20))-SUM($BF306:BW306))</f>
        <v>0</v>
      </c>
      <c r="BY306" s="446">
        <f>IF($E306=0,0,IF(MIN(BY$38,$E306)&lt;MAX($P$34*($B306+$I$38-1),IF(AND($L$37=0,$P$34=0),"",$L$37-1)),0,YEARFRAC(MAX($P$34*($B306+$I$38-1),IF(AND($L$37=0,$P$34=0),"",$L$37-1)),MIN(BY$38,$E306),$P$20))-SUM($BF306:BX306))</f>
        <v>0</v>
      </c>
      <c r="BZ306" s="446">
        <f>IF($E306=0,0,IF(MIN(BZ$38,$E306)&lt;MAX($P$34*($B306+$I$38-1),IF(AND($L$37=0,$P$34=0),"",$L$37-1)),0,YEARFRAC(MAX($P$34*($B306+$I$38-1),IF(AND($L$37=0,$P$34=0),"",$L$37-1)),MIN(BZ$38,$E306),$P$20))-SUM($BF306:BY306))</f>
        <v>0</v>
      </c>
      <c r="CA306" s="446">
        <f>IF($E306=0,0,IF(MIN(CA$38,$E306)&lt;MAX($P$34*($B306+$I$38-1),IF(AND($L$37=0,$P$34=0),"",$L$37-1)),0,YEARFRAC(MAX($P$34*($B306+$I$38-1),IF(AND($L$37=0,$P$34=0),"",$L$37-1)),MIN(CA$38,$E306),$P$20))-SUM($BF306:BZ306))</f>
        <v>0</v>
      </c>
      <c r="CB306" s="446">
        <f>IF($E306=0,0,IF(MIN(CB$38,$E306)&lt;MAX($P$34*($B306+$I$38-1),IF(AND($L$37=0,$P$34=0),"",$L$37-1)),0,YEARFRAC(MAX($P$34*($B306+$I$38-1),IF(AND($L$37=0,$P$34=0),"",$L$37-1)),MIN(CB$38,$E306),$P$20))-SUM($BF306:CA306))</f>
        <v>0</v>
      </c>
      <c r="CC306" s="446">
        <f>IF($E306=0,0,IF(MIN(CC$38,$E306)&lt;MAX($P$34*($B306+$I$38-1),IF(AND($L$37=0,$P$34=0),"",$L$37-1)),0,YEARFRAC(MAX($P$34*($B306+$I$38-1),IF(AND($L$37=0,$P$34=0),"",$L$37-1)),MIN(CC$38,$E306),$P$20))-SUM($BF306:CB306))</f>
        <v>0</v>
      </c>
      <c r="CD306" s="446">
        <f>IF($E306=0,0,IF(MIN(CD$38,$E306)&lt;MAX($P$34*($B306+$I$38-1),IF(AND($L$37=0,$P$34=0),"",$L$37-1)),0,YEARFRAC(MAX($P$34*($B306+$I$38-1),IF(AND($L$37=0,$P$34=0),"",$L$37-1)),MIN(CD$38,$E306),$P$20))-SUM($BF306:CC306))</f>
        <v>0</v>
      </c>
      <c r="CE306" s="446">
        <f>IF($E306=0,0,IF(MIN(CE$38,$E306)&lt;MAX($P$34*($B306+$I$38-1),IF(AND($L$37=0,$P$34=0),"",$L$37-1)),0,YEARFRAC(MAX($P$34*($B306+$I$38-1),IF(AND($L$37=0,$P$34=0),"",$L$37-1)),MIN(CE$38,$E306),$P$20))-SUM($BF306:CD306))</f>
        <v>0</v>
      </c>
      <c r="CF306" s="446">
        <f>IF($E306=0,0,IF(MIN(CF$38,$E306)&lt;MAX($P$34*($B306+$I$38-1),IF(AND($L$37=0,$P$34=0),"",$L$37-1)),0,YEARFRAC(MAX($P$34*($B306+$I$38-1),IF(AND($L$37=0,$P$34=0),"",$L$37-1)),MIN(CF$38,$E306),$P$20))-SUM($BF306:CE306))</f>
        <v>0</v>
      </c>
      <c r="CG306" s="446">
        <f>IF($E306=0,0,IF(MIN(CG$38,$E306)&lt;MAX($P$34*($B306+$I$38-1),IF(AND($L$37=0,$P$34=0),"",$L$37-1)),0,YEARFRAC(MAX($P$34*($B306+$I$38-1),IF(AND($L$37=0,$P$34=0),"",$L$37-1)),MIN(CG$38,$E306),$P$20))-SUM($BF306:CF306))</f>
        <v>0</v>
      </c>
      <c r="CH306" s="446">
        <f>IF($E306=0,0,IF(MIN(CH$38,$E306)&lt;MAX($P$34*($B306+$I$38-1),IF(AND($L$37=0,$P$34=0),"",$L$37-1)),0,YEARFRAC(MAX($P$34*($B306+$I$38-1),IF(AND($L$37=0,$P$34=0),"",$L$37-1)),MIN(CH$38,$E306),$P$20))-SUM($BF306:CG306))</f>
        <v>0</v>
      </c>
      <c r="CI306" s="446">
        <f>IF($E306=0,0,IF(MIN(CI$38,$E306)&lt;MAX($P$34*($B306+$I$38-1),IF(AND($L$37=0,$P$34=0),"",$L$37-1)),0,YEARFRAC(MAX($P$34*($B306+$I$38-1),IF(AND($L$37=0,$P$34=0),"",$L$37-1)),MIN(CI$38,$E306),$P$20))-SUM($BF306:CH306))</f>
        <v>0</v>
      </c>
      <c r="CJ306" s="446">
        <f>IF($E306=0,0,IF(MIN(CJ$38,$E306)&lt;MAX($P$34*($B306+$I$38-1),IF(AND($L$37=0,$P$34=0),"",$L$37-1)),0,YEARFRAC(MAX($P$34*($B306+$I$38-1),IF(AND($L$37=0,$P$34=0),"",$L$37-1)),MIN(CJ$38,$E306),$P$20))-SUM($BF306:CI306))</f>
        <v>0</v>
      </c>
      <c r="CK306" s="446">
        <f>IF($E306=0,0,IF(MIN(CK$38,$E306)&lt;MAX($P$34*($B306+$I$38-1),IF(AND($L$37=0,$P$34=0),"",$L$37-1)),0,YEARFRAC(MAX($P$34*($B306+$I$38-1),IF(AND($L$37=0,$P$34=0),"",$L$37-1)),MIN(CK$38,$E306),$P$20))-SUM($BF306:CJ306))</f>
        <v>0</v>
      </c>
      <c r="CL306" s="446">
        <f>IF($E306=0,0,IF(MIN(CL$38,$E306)&lt;MAX($P$34*($B306+$I$38-1),IF(AND($L$37=0,$P$34=0),"",$L$37-1)),0,YEARFRAC(MAX($P$34*($B306+$I$38-1),IF(AND($L$37=0,$P$34=0),"",$L$37-1)),MIN(CL$38,$E306),$P$20))-SUM($BF306:CK306))</f>
        <v>0</v>
      </c>
      <c r="CM306" s="446">
        <f>IF($E306=0,0,IF(MIN(CM$38,$E306)&lt;MAX($P$34*($B306+$I$38-1),IF(AND($L$37=0,$P$34=0),"",$L$37-1)),0,YEARFRAC(MAX($P$34*($B306+$I$38-1),IF(AND($L$37=0,$P$34=0),"",$L$37-1)),MIN(CM$38,$E306),$P$20))-SUM($BF306:CL306))</f>
        <v>0</v>
      </c>
      <c r="CN306" s="446">
        <f>IF($E306=0,0,IF(MIN(CN$38,$E306)&lt;MAX($P$34*($B306+$I$38-1),IF(AND($L$37=0,$P$34=0),"",$L$37-1)),0,YEARFRAC(MAX($P$34*($B306+$I$38-1),IF(AND($L$37=0,$P$34=0),"",$L$37-1)),MIN(CN$38,$E306),$P$20))-SUM($BF306:CM306))</f>
        <v>0</v>
      </c>
      <c r="CO306" s="446">
        <f>IF($E306=0,0,IF(MIN(CO$38,$E306)&lt;MAX($P$34*($B306+$I$38-1),IF(AND($L$37=0,$P$34=0),"",$L$37-1)),0,YEARFRAC(MAX($P$34*($B306+$I$38-1),IF(AND($L$37=0,$P$34=0),"",$L$37-1)),MIN(CO$38,$E306),$P$20))-SUM($BF306:CN306))</f>
        <v>0</v>
      </c>
      <c r="CP306" s="446">
        <f>IF($E306=0,0,IF(MIN(CP$38,$E306)&lt;MAX($P$34*($B306+$I$38-1),IF(AND($L$37=0,$P$34=0),"",$L$37-1)),0,YEARFRAC(MAX($P$34*($B306+$I$38-1),IF(AND($L$37=0,$P$34=0),"",$L$37-1)),MIN(CP$38,$E306),$P$20))-SUM($BF306:CO306))</f>
        <v>0</v>
      </c>
      <c r="CQ306" s="446">
        <f>IF($E306=0,0,IF(MIN(CQ$38,$E306)&lt;MAX($P$34*($B306+$I$38-1),IF(AND($L$37=0,$P$34=0),"",$L$37-1)),0,YEARFRAC(MAX($P$34*($B306+$I$38-1),IF(AND($L$37=0,$P$34=0),"",$L$37-1)),MIN(CQ$38,$E306),$P$20))-SUM($BF306:CP306))</f>
        <v>0</v>
      </c>
    </row>
    <row r="307" spans="1:95" s="446" customFormat="1" ht="11.25" hidden="1" customHeight="1" x14ac:dyDescent="0.2">
      <c r="A307" s="152"/>
      <c r="B307" s="153" t="str">
        <f t="shared" si="59"/>
        <v/>
      </c>
      <c r="C307" s="29" t="str">
        <f>IF(B307="","",IF($L$35="SELIC - TRIBUTOS",VLOOKUP(DATE(YEAR($D$19),MONTH($D$19)-1,1),ÍNDICES!$A:$DE,HLOOKUP($BL$25,ÍNDICES!$B$3:$T$4,2)+11)-VLOOKUP(B307,ÍNDICES!$A:$DE,HLOOKUP($BL$25,ÍNDICES!$B$3:$T$4,2)+11)+1%,IF(C$38=$W$26,$J$35,IF(ISERROR(IF(B307&gt;$D$19,1,VLOOKUP(DATE(YEAR(B307),MONTH(B307)+IF($C$35=$S$23,1,0),1),ÍNDICES!$A:$DE,$Z$35+1))),"",IF(B307&gt;$D$19,1,VLOOKUP(DATE(YEAR(B307),MONTH(B307)+IF($C$35=$S$23,1,0),1),ÍNDICES!$A:$DE,$Z$35+1))))))</f>
        <v/>
      </c>
      <c r="D307" s="154" t="str">
        <f>IF(ISERROR(IF(OR($D$38=$Y$27,$B307=""),"",VLOOKUP(B307,ÍNDICES!A:DE,AF$35+1))),"",IF(OR($D$38=$Y$27,$B307=""),"",VLOOKUP(B307,ÍNDICES!A:DE,AF$35+1)))</f>
        <v/>
      </c>
      <c r="E307" s="153"/>
      <c r="F307" s="29" t="str">
        <f>IF(E307="","",IF($L$35="SELIC - TRIBUTOS",VLOOKUP(DATE(YEAR($D$19),MONTH($D$19)-1,1),ÍNDICES!$A:$DE,HLOOKUP($BL$25,ÍNDICES!$B$3:$T$4,2)+11)-VLOOKUP(E307,ÍNDICES!$A:$DE,HLOOKUP($BL$25,ÍNDICES!$B$3:$T$4,2)+11)+1%,IF(F$38=$W$26,$J$35,IF(ISERROR(IF(E307&gt;$D$19,1,VLOOKUP(DATE(YEAR(E307),MONTH(E307)+IF($C$35=$S$23,1,0),1),ÍNDICES!$A:$DE,$Z$35+1))),"",IF(E307&gt;$D$19,1,VLOOKUP(DATE(YEAR(E307),MONTH(E307)+IF($C$35=$S$23,1,0),1),ÍNDICES!$A:$DE,$Z$35+1))))))</f>
        <v/>
      </c>
      <c r="G307" s="155"/>
      <c r="H307" s="156" t="str">
        <f t="shared" si="55"/>
        <v/>
      </c>
      <c r="I307" s="29" t="str">
        <f t="shared" si="49"/>
        <v/>
      </c>
      <c r="J307" s="5">
        <f t="shared" si="50"/>
        <v>0</v>
      </c>
      <c r="K307" s="20">
        <f t="shared" ca="1" si="51"/>
        <v>0</v>
      </c>
      <c r="L307" s="5">
        <f t="shared" ca="1" si="52"/>
        <v>0</v>
      </c>
      <c r="M307" s="64">
        <f t="shared" si="56"/>
        <v>0</v>
      </c>
      <c r="N307" s="61">
        <f t="shared" ca="1" si="57"/>
        <v>0</v>
      </c>
      <c r="O307" s="5">
        <f t="shared" ca="1" si="58"/>
        <v>0</v>
      </c>
      <c r="P307" s="446" t="e">
        <f t="shared" si="53"/>
        <v>#VALUE!</v>
      </c>
      <c r="Q307" s="446" t="e">
        <f>IF(OR($B307="",MIN(Q$38,$D$19)&lt;MAX($P$34*($B307+IF($R$17="Distrato",$I$38-1,0)),IF(AND($L$37=0,$P$34=0),"",$L$37-1),IF($R$17="Distrato",$E307,0))),0,YEARFRAC(MAX($P$34*($B307+IF($R$17="Distrato",$I$38-1,0)),IF(AND($L$37=0,$P$34=0),"",$L$37-1),IF($R$17="Distrato",$E307,0)),MIN(Q$38,$D$19),$P$20))-SUM($P307:P307)</f>
        <v>#VALUE!</v>
      </c>
      <c r="R307" s="446" t="e">
        <f>IF(OR($B307="",MIN(R$38,$D$19)&lt;MAX($P$34*($B307+IF($R$17="Distrato",$I$38-1,0)),IF(AND($L$37=0,$P$34=0),"",$L$37-1),IF($R$17="Distrato",$E307,0))),0,YEARFRAC(MAX($P$34*($B307+IF($R$17="Distrato",$I$38-1,0)),IF(AND($L$37=0,$P$34=0),"",$L$37-1),IF($R$17="Distrato",$E307,0)),MIN(R$38,$D$19),$P$20))-SUM($P307:Q307)</f>
        <v>#VALUE!</v>
      </c>
      <c r="S307" s="446" t="e">
        <f>IF(OR($B307="",MIN(S$38,$D$19)&lt;MAX($P$34*($B307+IF($R$17="Distrato",$I$38-1,0)),IF(AND($L$37=0,$P$34=0),"",$L$37-1),IF($R$17="Distrato",$E307,0))),0,YEARFRAC(MAX($P$34*($B307+IF($R$17="Distrato",$I$38-1,0)),IF(AND($L$37=0,$P$34=0),"",$L$37-1),IF($R$17="Distrato",$E307,0)),MIN(S$38,$D$19),$P$20))-SUM($P307:R307)</f>
        <v>#VALUE!</v>
      </c>
      <c r="T307" s="446" t="e">
        <f>IF(OR($B307="",MIN(T$38,$D$19)&lt;MAX($P$34*($B307+IF($R$17="Distrato",$I$38-1,0)),IF(AND($L$37=0,$P$34=0),"",$L$37-1),IF($R$17="Distrato",$E307,0))),0,YEARFRAC(MAX($P$34*($B307+IF($R$17="Distrato",$I$38-1,0)),IF(AND($L$37=0,$P$34=0),"",$L$37-1),IF($R$17="Distrato",$E307,0)),MIN(T$38,$D$19),$P$20))-SUM($P307:S307)</f>
        <v>#VALUE!</v>
      </c>
      <c r="U307" s="446" t="e">
        <f>IF(OR($B307="",MIN(U$38,$D$19)&lt;MAX($P$34*($B307+IF($R$17="Distrato",$I$38-1,0)),IF(AND($L$37=0,$P$34=0),"",$L$37-1),IF($R$17="Distrato",$E307,0))),0,YEARFRAC(MAX($P$34*($B307+IF($R$17="Distrato",$I$38-1,0)),IF(AND($L$37=0,$P$34=0),"",$L$37-1),IF($R$17="Distrato",$E307,0)),MIN(U$38,$D$19),$P$20))-SUM($P307:T307)</f>
        <v>#VALUE!</v>
      </c>
      <c r="V307" s="446" t="e">
        <f>IF(OR($B307="",MIN(V$38,$D$19)&lt;MAX($P$34*($B307+IF($R$17="Distrato",$I$38-1,0)),IF(AND($L$37=0,$P$34=0),"",$L$37-1),IF($R$17="Distrato",$E307,0))),0,YEARFRAC(MAX($P$34*($B307+IF($R$17="Distrato",$I$38-1,0)),IF(AND($L$37=0,$P$34=0),"",$L$37-1),IF($R$17="Distrato",$E307,0)),MIN(V$38,$D$19),$P$20))-SUM($P307:U307)</f>
        <v>#VALUE!</v>
      </c>
      <c r="W307" s="446" t="e">
        <f>IF(OR($B307="",MIN(W$38,$D$19)&lt;MAX($P$34*($B307+IF($R$17="Distrato",$I$38-1,0)),IF(AND($L$37=0,$P$34=0),"",$L$37-1),IF($R$17="Distrato",$E307,0))),0,YEARFRAC(MAX($P$34*($B307+IF($R$17="Distrato",$I$38-1,0)),IF(AND($L$37=0,$P$34=0),"",$L$37-1),IF($R$17="Distrato",$E307,0)),MIN(W$38,$D$19),$P$20))-SUM($P307:V307)</f>
        <v>#VALUE!</v>
      </c>
      <c r="X307" s="446" t="e">
        <f>IF(OR($B307="",MIN(X$38,$D$19)&lt;MAX($P$34*($B307+IF($R$17="Distrato",$I$38-1,0)),IF(AND($L$37=0,$P$34=0),"",$L$37-1),IF($R$17="Distrato",$E307,0))),0,YEARFRAC(MAX($P$34*($B307+IF($R$17="Distrato",$I$38-1,0)),IF(AND($L$37=0,$P$34=0),"",$L$37-1),IF($R$17="Distrato",$E307,0)),MIN(X$38,$D$19),$P$20))-SUM($P307:W307)</f>
        <v>#VALUE!</v>
      </c>
      <c r="Y307" s="446" t="e">
        <f>IF(OR($B307="",MIN(Y$38,$D$19)&lt;MAX($P$34*($B307+IF($R$17="Distrato",$I$38-1,0)),IF(AND($L$37=0,$P$34=0),"",$L$37-1),IF($R$17="Distrato",$E307,0))),0,YEARFRAC(MAX($P$34*($B307+IF($R$17="Distrato",$I$38-1,0)),IF(AND($L$37=0,$P$34=0),"",$L$37-1),IF($R$17="Distrato",$E307,0)),MIN(Y$38,$D$19),$P$20))-SUM($P307:X307)</f>
        <v>#VALUE!</v>
      </c>
      <c r="Z307" s="446" t="e">
        <f>IF(OR($B307="",MIN(Z$38,$D$19)&lt;MAX($P$34*($B307+IF($R$17="Distrato",$I$38-1,0)),IF(AND($L$37=0,$P$34=0),"",$L$37-1),IF($R$17="Distrato",$E307,0))),0,YEARFRAC(MAX($P$34*($B307+IF($R$17="Distrato",$I$38-1,0)),IF(AND($L$37=0,$P$34=0),"",$L$37-1),IF($R$17="Distrato",$E307,0)),MIN(Z$38,$D$19),$P$20))-SUM($P307:Y307)</f>
        <v>#VALUE!</v>
      </c>
      <c r="AA307" s="446" t="e">
        <f>IF(OR($B307="",MIN(AA$38,$D$19)&lt;MAX($P$34*($B307+IF($R$17="Distrato",$I$38-1,0)),IF(AND($L$37=0,$P$34=0),"",$L$37-1),IF($R$17="Distrato",$E307,0))),0,YEARFRAC(MAX($P$34*($B307+IF($R$17="Distrato",$I$38-1,0)),IF(AND($L$37=0,$P$34=0),"",$L$37-1),IF($R$17="Distrato",$E307,0)),MIN(AA$38,$D$19),$P$20))-SUM($P307:Z307)</f>
        <v>#VALUE!</v>
      </c>
      <c r="AB307" s="446" t="e">
        <f>IF(OR($B307="",MIN(AB$38,$D$19)&lt;MAX($P$34*($B307+IF($R$17="Distrato",$I$38-1,0)),IF(AND($L$37=0,$P$34=0),"",$L$37-1),IF($R$17="Distrato",$E307,0))),0,YEARFRAC(MAX($P$34*($B307+IF($R$17="Distrato",$I$38-1,0)),IF(AND($L$37=0,$P$34=0),"",$L$37-1),IF($R$17="Distrato",$E307,0)),MIN(AB$38,$D$19),$P$20))-SUM($P307:AA307)</f>
        <v>#VALUE!</v>
      </c>
      <c r="AC307" s="446" t="e">
        <f>IF(OR($B307="",MIN(AC$38,$D$19)&lt;MAX($P$34*($B307+IF($R$17="Distrato",$I$38-1,0)),IF(AND($L$37=0,$P$34=0),"",$L$37-1),IF($R$17="Distrato",$E307,0))),0,YEARFRAC(MAX($P$34*($B307+IF($R$17="Distrato",$I$38-1,0)),IF(AND($L$37=0,$P$34=0),"",$L$37-1),IF($R$17="Distrato",$E307,0)),MIN(AC$38,$D$19),$P$20))-SUM($P307:AB307)</f>
        <v>#VALUE!</v>
      </c>
      <c r="AD307" s="446" t="e">
        <f>IF(OR($B307="",MIN(AD$38,$D$19)&lt;MAX($P$34*($B307+IF($R$17="Distrato",$I$38-1,0)),IF(AND($L$37=0,$P$34=0),"",$L$37-1),IF($R$17="Distrato",$E307,0))),0,YEARFRAC(MAX($P$34*($B307+IF($R$17="Distrato",$I$38-1,0)),IF(AND($L$37=0,$P$34=0),"",$L$37-1),IF($R$17="Distrato",$E307,0)),MIN(AD$38,$D$19),$P$20))-SUM($P307:AC307)</f>
        <v>#VALUE!</v>
      </c>
      <c r="AE307" s="446" t="e">
        <f>IF(OR($B307="",MIN(AE$38,$D$19)&lt;MAX($P$34*($B307+IF($R$17="Distrato",$I$38-1,0)),IF(AND($L$37=0,$P$34=0),"",$L$37-1),IF($R$17="Distrato",$E307,0))),0,YEARFRAC(MAX($P$34*($B307+IF($R$17="Distrato",$I$38-1,0)),IF(AND($L$37=0,$P$34=0),"",$L$37-1),IF($R$17="Distrato",$E307,0)),MIN(AE$38,$D$19),$P$20))-SUM($P307:AD307)</f>
        <v>#VALUE!</v>
      </c>
      <c r="AF307" s="446" t="e">
        <f>IF(OR($B307="",MIN(AF$38,$D$19)&lt;MAX($P$34*($B307+IF($R$17="Distrato",$I$38-1,0)),IF(AND($L$37=0,$P$34=0),"",$L$37-1),IF($R$17="Distrato",$E307,0))),0,YEARFRAC(MAX($P$34*($B307+IF($R$17="Distrato",$I$38-1,0)),IF(AND($L$37=0,$P$34=0),"",$L$37-1),IF($R$17="Distrato",$E307,0)),MIN(AF$38,$D$19),$P$20))-SUM($P307:AE307)</f>
        <v>#VALUE!</v>
      </c>
      <c r="AG307" s="446" t="e">
        <f>IF(OR($B307="",MIN(AG$38,$D$19)&lt;MAX($P$34*($B307+IF($R$17="Distrato",$I$38-1,0)),IF(AND($L$37=0,$P$34=0),"",$L$37-1),IF($R$17="Distrato",$E307,0))),0,YEARFRAC(MAX($P$34*($B307+IF($R$17="Distrato",$I$38-1,0)),IF(AND($L$37=0,$P$34=0),"",$L$37-1),IF($R$17="Distrato",$E307,0)),MIN(AG$38,$D$19),$P$20))-SUM($P307:AF307)</f>
        <v>#VALUE!</v>
      </c>
      <c r="AH307" s="446" t="e">
        <f>IF(OR($B307="",MIN(AH$38,$D$19)&lt;MAX($P$34*($B307+IF($R$17="Distrato",$I$38-1,0)),IF(AND($L$37=0,$P$34=0),"",$L$37-1),IF($R$17="Distrato",$E307,0))),0,YEARFRAC(MAX($P$34*($B307+IF($R$17="Distrato",$I$38-1,0)),IF(AND($L$37=0,$P$34=0),"",$L$37-1),IF($R$17="Distrato",$E307,0)),MIN(AH$38,$D$19),$P$20))-SUM($P307:AG307)</f>
        <v>#VALUE!</v>
      </c>
      <c r="AI307" s="446" t="e">
        <f>IF(OR($B307="",MIN(AI$38,$D$19)&lt;MAX($P$34*($B307+IF($R$17="Distrato",$I$38-1,0)),IF(AND($L$37=0,$P$34=0),"",$L$37-1),IF($R$17="Distrato",$E307,0))),0,YEARFRAC(MAX($P$34*($B307+IF($R$17="Distrato",$I$38-1,0)),IF(AND($L$37=0,$P$34=0),"",$L$37-1),IF($R$17="Distrato",$E307,0)),MIN(AI$38,$D$19),$P$20))-SUM($P307:AH307)</f>
        <v>#VALUE!</v>
      </c>
      <c r="AJ307" s="446" t="e">
        <f>IF(OR($B307="",MIN(AJ$38,$D$19)&lt;MAX($P$34*($B307+IF($R$17="Distrato",$I$38-1,0)),IF(AND($L$37=0,$P$34=0),"",$L$37-1),IF($R$17="Distrato",$E307,0))),0,YEARFRAC(MAX($P$34*($B307+IF($R$17="Distrato",$I$38-1,0)),IF(AND($L$37=0,$P$34=0),"",$L$37-1),IF($R$17="Distrato",$E307,0)),MIN(AJ$38,$D$19),$P$20))-SUM($P307:AI307)</f>
        <v>#VALUE!</v>
      </c>
      <c r="AK307" s="446" t="e">
        <f>IF(OR($B307="",MIN(AK$38,$D$19)&lt;MAX($P$34*($B307+IF($R$17="Distrato",$I$38-1,0)),IF(AND($L$37=0,$P$34=0),"",$L$37-1),IF($R$17="Distrato",$E307,0))),0,YEARFRAC(MAX($P$34*($B307+IF($R$17="Distrato",$I$38-1,0)),IF(AND($L$37=0,$P$34=0),"",$L$37-1),IF($R$17="Distrato",$E307,0)),MIN(AK$38,$D$19),$P$20))-SUM($P307:AJ307)</f>
        <v>#VALUE!</v>
      </c>
      <c r="AL307" s="446" t="e">
        <f>IF(OR($B307="",MIN(AL$38,$D$19)&lt;MAX($P$34*($B307+IF($R$17="Distrato",$I$38-1,0)),IF(AND($L$37=0,$P$34=0),"",$L$37-1),IF($R$17="Distrato",$E307,0))),0,YEARFRAC(MAX($P$34*($B307+IF($R$17="Distrato",$I$38-1,0)),IF(AND($L$37=0,$P$34=0),"",$L$37-1),IF($R$17="Distrato",$E307,0)),MIN(AL$38,$D$19),$P$20))-SUM($P307:AK307)</f>
        <v>#VALUE!</v>
      </c>
      <c r="AM307" s="446" t="e">
        <f>IF(OR($B307="",MIN(AM$38,$D$19)&lt;MAX($P$34*($B307+IF($R$17="Distrato",$I$38-1,0)),IF(AND($L$37=0,$P$34=0),"",$L$37-1),IF($R$17="Distrato",$E307,0))),0,YEARFRAC(MAX($P$34*($B307+IF($R$17="Distrato",$I$38-1,0)),IF(AND($L$37=0,$P$34=0),"",$L$37-1),IF($R$17="Distrato",$E307,0)),MIN(AM$38,$D$19),$P$20))-SUM($P307:AL307)</f>
        <v>#VALUE!</v>
      </c>
      <c r="AN307" s="446" t="e">
        <f>IF(OR($B307="",MIN(AN$38,$D$19)&lt;MAX($P$34*($B307+IF($R$17="Distrato",$I$38-1,0)),IF(AND($L$37=0,$P$34=0),"",$L$37-1),IF($R$17="Distrato",$E307,0))),0,YEARFRAC(MAX($P$34*($B307+IF($R$17="Distrato",$I$38-1,0)),IF(AND($L$37=0,$P$34=0),"",$L$37-1),IF($R$17="Distrato",$E307,0)),MIN(AN$38,$D$19),$P$20))-SUM($P307:AM307)</f>
        <v>#VALUE!</v>
      </c>
      <c r="AO307" s="446" t="e">
        <f>IF(OR($B307="",MIN(AO$38,$D$19)&lt;MAX($P$34*($B307+IF($R$17="Distrato",$I$38-1,0)),IF(AND($L$37=0,$P$34=0),"",$L$37-1),IF($R$17="Distrato",$E307,0))),0,YEARFRAC(MAX($P$34*($B307+IF($R$17="Distrato",$I$38-1,0)),IF(AND($L$37=0,$P$34=0),"",$L$37-1),IF($R$17="Distrato",$E307,0)),MIN(AO$38,$D$19),$P$20))-SUM($P307:AN307)</f>
        <v>#VALUE!</v>
      </c>
      <c r="AP307" s="446" t="e">
        <f>IF(OR($B307="",MIN(AP$38,$D$19)&lt;MAX($P$34*($B307+IF($R$17="Distrato",$I$38-1,0)),IF(AND($L$37=0,$P$34=0),"",$L$37-1),IF($R$17="Distrato",$E307,0))),0,YEARFRAC(MAX($P$34*($B307+IF($R$17="Distrato",$I$38-1,0)),IF(AND($L$37=0,$P$34=0),"",$L$37-1),IF($R$17="Distrato",$E307,0)),MIN(AP$38,$D$19),$P$20))-SUM($P307:AO307)</f>
        <v>#VALUE!</v>
      </c>
      <c r="AQ307" s="446" t="e">
        <f>IF(OR($B307="",MIN(AQ$38,$D$19)&lt;MAX($P$34*($B307+IF($R$17="Distrato",$I$38-1,0)),IF(AND($L$37=0,$P$34=0),"",$L$37-1),IF($R$17="Distrato",$E307,0))),0,YEARFRAC(MAX($P$34*($B307+IF($R$17="Distrato",$I$38-1,0)),IF(AND($L$37=0,$P$34=0),"",$L$37-1),IF($R$17="Distrato",$E307,0)),MIN(AQ$38,$D$19),$P$20))-SUM($P307:AP307)</f>
        <v>#VALUE!</v>
      </c>
      <c r="AR307" s="446" t="e">
        <f>IF(OR($B307="",MIN(AR$38,$D$19)&lt;MAX($P$34*($B307+IF($R$17="Distrato",$I$38-1,0)),IF(AND($L$37=0,$P$34=0),"",$L$37-1),IF($R$17="Distrato",$E307,0))),0,YEARFRAC(MAX($P$34*($B307+IF($R$17="Distrato",$I$38-1,0)),IF(AND($L$37=0,$P$34=0),"",$L$37-1),IF($R$17="Distrato",$E307,0)),MIN(AR$38,$D$19),$P$20))-SUM($P307:AQ307)</f>
        <v>#VALUE!</v>
      </c>
      <c r="AS307" s="446" t="e">
        <f>IF(OR($B307="",MIN(AS$38,$D$19)&lt;MAX($P$34*($B307+IF($R$17="Distrato",$I$38-1,0)),IF(AND($L$37=0,$P$34=0),"",$L$37-1),IF($R$17="Distrato",$E307,0))),0,YEARFRAC(MAX($P$34*($B307+IF($R$17="Distrato",$I$38-1,0)),IF(AND($L$37=0,$P$34=0),"",$L$37-1),IF($R$17="Distrato",$E307,0)),MIN(AS$38,$D$19),$P$20))-SUM($P307:AR307)</f>
        <v>#VALUE!</v>
      </c>
      <c r="AT307" s="446" t="e">
        <f>IF(OR($B307="",MIN(AT$38,$D$19)&lt;MAX($P$34*($B307+IF($R$17="Distrato",$I$38-1,0)),IF(AND($L$37=0,$P$34=0),"",$L$37-1),IF($R$17="Distrato",$E307,0))),0,YEARFRAC(MAX($P$34*($B307+IF($R$17="Distrato",$I$38-1,0)),IF(AND($L$37=0,$P$34=0),"",$L$37-1),IF($R$17="Distrato",$E307,0)),MIN(AT$38,$D$19),$P$20))-SUM($P307:AS307)</f>
        <v>#VALUE!</v>
      </c>
      <c r="AU307" s="446" t="e">
        <f>IF(OR($B307="",MIN(AU$38,$D$19)&lt;MAX($P$34*($B307+IF($R$17="Distrato",$I$38-1,0)),IF(AND($L$37=0,$P$34=0),"",$L$37-1),IF($R$17="Distrato",$E307,0))),0,YEARFRAC(MAX($P$34*($B307+IF($R$17="Distrato",$I$38-1,0)),IF(AND($L$37=0,$P$34=0),"",$L$37-1),IF($R$17="Distrato",$E307,0)),MIN(AU$38,$D$19),$P$20))-SUM($P307:AT307)</f>
        <v>#VALUE!</v>
      </c>
      <c r="AV307" s="446" t="e">
        <f>IF(OR($B307="",MIN(AV$38,$D$19)&lt;MAX($P$34*($B307+IF($R$17="Distrato",$I$38-1,0)),IF(AND($L$37=0,$P$34=0),"",$L$37-1),IF($R$17="Distrato",$E307,0))),0,YEARFRAC(MAX($P$34*($B307+IF($R$17="Distrato",$I$38-1,0)),IF(AND($L$37=0,$P$34=0),"",$L$37-1),IF($R$17="Distrato",$E307,0)),MIN(AV$38,$D$19),$P$20))-SUM($P307:AU307)</f>
        <v>#VALUE!</v>
      </c>
      <c r="AW307" s="446" t="e">
        <f>IF(OR($B307="",MIN(AW$38,$D$19)&lt;MAX($P$34*($B307+IF($R$17="Distrato",$I$38-1,0)),IF(AND($L$37=0,$P$34=0),"",$L$37-1),IF($R$17="Distrato",$E307,0))),0,YEARFRAC(MAX($P$34*($B307+IF($R$17="Distrato",$I$38-1,0)),IF(AND($L$37=0,$P$34=0),"",$L$37-1),IF($R$17="Distrato",$E307,0)),MIN(AW$38,$D$19),$P$20))-SUM($P307:AV307)</f>
        <v>#VALUE!</v>
      </c>
      <c r="AX307" s="446" t="e">
        <f>IF(OR($B307="",MIN(AX$38,$D$19)&lt;MAX($P$34*($B307+IF($R$17="Distrato",$I$38-1,0)),IF(AND($L$37=0,$P$34=0),"",$L$37-1),IF($R$17="Distrato",$E307,0))),0,YEARFRAC(MAX($P$34*($B307+IF($R$17="Distrato",$I$38-1,0)),IF(AND($L$37=0,$P$34=0),"",$L$37-1),IF($R$17="Distrato",$E307,0)),MIN(AX$38,$D$19),$P$20))-SUM($P307:AW307)</f>
        <v>#VALUE!</v>
      </c>
      <c r="AY307" s="446" t="e">
        <f>IF(OR($B307="",MIN(AY$38,$D$19)&lt;MAX($P$34*($B307+IF($R$17="Distrato",$I$38-1,0)),IF(AND($L$37=0,$P$34=0),"",$L$37-1),IF($R$17="Distrato",$E307,0))),0,YEARFRAC(MAX($P$34*($B307+IF($R$17="Distrato",$I$38-1,0)),IF(AND($L$37=0,$P$34=0),"",$L$37-1),IF($R$17="Distrato",$E307,0)),MIN(AY$38,$D$19),$P$20))-SUM($P307:AX307)</f>
        <v>#VALUE!</v>
      </c>
      <c r="AZ307" s="446" t="e">
        <f>IF(OR($B307="",MIN(AZ$38,$D$19)&lt;MAX($P$34*($B307+IF($R$17="Distrato",$I$38-1,0)),IF(AND($L$37=0,$P$34=0),"",$L$37-1),IF($R$17="Distrato",$E307,0))),0,YEARFRAC(MAX($P$34*($B307+IF($R$17="Distrato",$I$38-1,0)),IF(AND($L$37=0,$P$34=0),"",$L$37-1),IF($R$17="Distrato",$E307,0)),MIN(AZ$38,$D$19),$P$20))-SUM($P307:AY307)</f>
        <v>#VALUE!</v>
      </c>
      <c r="BA307" s="446" t="e">
        <f>IF(OR($B307="",MIN(BA$38,$D$19)&lt;MAX($P$34*($B307+IF($R$17="Distrato",$I$38-1,0)),IF(AND($L$37=0,$P$34=0),"",$L$37-1),IF($R$17="Distrato",$E307,0))),0,YEARFRAC(MAX($P$34*($B307+IF($R$17="Distrato",$I$38-1,0)),IF(AND($L$37=0,$P$34=0),"",$L$37-1),IF($R$17="Distrato",$E307,0)),MIN(BA$38,$D$19),$P$20))-SUM($P307:AZ307)</f>
        <v>#VALUE!</v>
      </c>
      <c r="BB307" s="447"/>
      <c r="BF307" s="446">
        <f t="shared" si="54"/>
        <v>0</v>
      </c>
      <c r="BG307" s="446">
        <f>IF($E307=0,0,IF(MIN(BG$38,$E307)&lt;MAX($P$34*($B307+$I$38-1),IF(AND($L$37=0,$P$34=0),"",$L$37-1)),0,YEARFRAC(MAX($P$34*($B307+$I$38-1),IF(AND($L$37=0,$P$34=0),"",$L$37-1)),MIN(BG$38,$E307),$P$20))-SUM($BF307:BF307))</f>
        <v>0</v>
      </c>
      <c r="BH307" s="446">
        <f>IF($E307=0,0,IF(MIN(BH$38,$E307)&lt;MAX($P$34*($B307+$I$38-1),IF(AND($L$37=0,$P$34=0),"",$L$37-1)),0,YEARFRAC(MAX($P$34*($B307+$I$38-1),IF(AND($L$37=0,$P$34=0),"",$L$37-1)),MIN(BH$38,$E307),$P$20))-SUM($BF307:BG307))</f>
        <v>0</v>
      </c>
      <c r="BI307" s="446">
        <f>IF($E307=0,0,IF(MIN(BI$38,$E307)&lt;MAX($P$34*($B307+$I$38-1),IF(AND($L$37=0,$P$34=0),"",$L$37-1)),0,YEARFRAC(MAX($P$34*($B307+$I$38-1),IF(AND($L$37=0,$P$34=0),"",$L$37-1)),MIN(BI$38,$E307),$P$20))-SUM($BF307:BH307))</f>
        <v>0</v>
      </c>
      <c r="BJ307" s="446">
        <f>IF($E307=0,0,IF(MIN(BJ$38,$E307)&lt;MAX($P$34*($B307+$I$38-1),IF(AND($L$37=0,$P$34=0),"",$L$37-1)),0,YEARFRAC(MAX($P$34*($B307+$I$38-1),IF(AND($L$37=0,$P$34=0),"",$L$37-1)),MIN(BJ$38,$E307),$P$20))-SUM($BF307:BI307))</f>
        <v>0</v>
      </c>
      <c r="BK307" s="446">
        <f>IF($E307=0,0,IF(MIN(BK$38,$E307)&lt;MAX($P$34*($B307+$I$38-1),IF(AND($L$37=0,$P$34=0),"",$L$37-1)),0,YEARFRAC(MAX($P$34*($B307+$I$38-1),IF(AND($L$37=0,$P$34=0),"",$L$37-1)),MIN(BK$38,$E307),$P$20))-SUM($BF307:BJ307))</f>
        <v>0</v>
      </c>
      <c r="BL307" s="446">
        <f>IF($E307=0,0,IF(MIN(BL$38,$E307)&lt;MAX($P$34*($B307+$I$38-1),IF(AND($L$37=0,$P$34=0),"",$L$37-1)),0,YEARFRAC(MAX($P$34*($B307+$I$38-1),IF(AND($L$37=0,$P$34=0),"",$L$37-1)),MIN(BL$38,$E307),$P$20))-SUM($BF307:BK307))</f>
        <v>0</v>
      </c>
      <c r="BM307" s="446">
        <f>IF($E307=0,0,IF(MIN(BM$38,$E307)&lt;MAX($P$34*($B307+$I$38-1),IF(AND($L$37=0,$P$34=0),"",$L$37-1)),0,YEARFRAC(MAX($P$34*($B307+$I$38-1),IF(AND($L$37=0,$P$34=0),"",$L$37-1)),MIN(BM$38,$E307),$P$20))-SUM($BF307:BL307))</f>
        <v>0</v>
      </c>
      <c r="BN307" s="446">
        <f>IF($E307=0,0,IF(MIN(BN$38,$E307)&lt;MAX($P$34*($B307+$I$38-1),IF(AND($L$37=0,$P$34=0),"",$L$37-1)),0,YEARFRAC(MAX($P$34*($B307+$I$38-1),IF(AND($L$37=0,$P$34=0),"",$L$37-1)),MIN(BN$38,$E307),$P$20))-SUM($BF307:BM307))</f>
        <v>0</v>
      </c>
      <c r="BO307" s="446">
        <f>IF($E307=0,0,IF(MIN(BO$38,$E307)&lt;MAX($P$34*($B307+$I$38-1),IF(AND($L$37=0,$P$34=0),"",$L$37-1)),0,YEARFRAC(MAX($P$34*($B307+$I$38-1),IF(AND($L$37=0,$P$34=0),"",$L$37-1)),MIN(BO$38,$E307),$P$20))-SUM($BF307:BN307))</f>
        <v>0</v>
      </c>
      <c r="BP307" s="446">
        <f>IF($E307=0,0,IF(MIN(BP$38,$E307)&lt;MAX($P$34*($B307+$I$38-1),IF(AND($L$37=0,$P$34=0),"",$L$37-1)),0,YEARFRAC(MAX($P$34*($B307+$I$38-1),IF(AND($L$37=0,$P$34=0),"",$L$37-1)),MIN(BP$38,$E307),$P$20))-SUM($BF307:BO307))</f>
        <v>0</v>
      </c>
      <c r="BQ307" s="446">
        <f>IF($E307=0,0,IF(MIN(BQ$38,$E307)&lt;MAX($P$34*($B307+$I$38-1),IF(AND($L$37=0,$P$34=0),"",$L$37-1)),0,YEARFRAC(MAX($P$34*($B307+$I$38-1),IF(AND($L$37=0,$P$34=0),"",$L$37-1)),MIN(BQ$38,$E307),$P$20))-SUM($BF307:BP307))</f>
        <v>0</v>
      </c>
      <c r="BR307" s="446">
        <f>IF($E307=0,0,IF(MIN(BR$38,$E307)&lt;MAX($P$34*($B307+$I$38-1),IF(AND($L$37=0,$P$34=0),"",$L$37-1)),0,YEARFRAC(MAX($P$34*($B307+$I$38-1),IF(AND($L$37=0,$P$34=0),"",$L$37-1)),MIN(BR$38,$E307),$P$20))-SUM($BF307:BQ307))</f>
        <v>0</v>
      </c>
      <c r="BS307" s="446">
        <f>IF($E307=0,0,IF(MIN(BS$38,$E307)&lt;MAX($P$34*($B307+$I$38-1),IF(AND($L$37=0,$P$34=0),"",$L$37-1)),0,YEARFRAC(MAX($P$34*($B307+$I$38-1),IF(AND($L$37=0,$P$34=0),"",$L$37-1)),MIN(BS$38,$E307),$P$20))-SUM($BF307:BR307))</f>
        <v>0</v>
      </c>
      <c r="BT307" s="446">
        <f>IF($E307=0,0,IF(MIN(BT$38,$E307)&lt;MAX($P$34*($B307+$I$38-1),IF(AND($L$37=0,$P$34=0),"",$L$37-1)),0,YEARFRAC(MAX($P$34*($B307+$I$38-1),IF(AND($L$37=0,$P$34=0),"",$L$37-1)),MIN(BT$38,$E307),$P$20))-SUM($BF307:BS307))</f>
        <v>0</v>
      </c>
      <c r="BU307" s="446">
        <f>IF($E307=0,0,IF(MIN(BU$38,$E307)&lt;MAX($P$34*($B307+$I$38-1),IF(AND($L$37=0,$P$34=0),"",$L$37-1)),0,YEARFRAC(MAX($P$34*($B307+$I$38-1),IF(AND($L$37=0,$P$34=0),"",$L$37-1)),MIN(BU$38,$E307),$P$20))-SUM($BF307:BT307))</f>
        <v>0</v>
      </c>
      <c r="BV307" s="446">
        <f>IF($E307=0,0,IF(MIN(BV$38,$E307)&lt;MAX($P$34*($B307+$I$38-1),IF(AND($L$37=0,$P$34=0),"",$L$37-1)),0,YEARFRAC(MAX($P$34*($B307+$I$38-1),IF(AND($L$37=0,$P$34=0),"",$L$37-1)),MIN(BV$38,$E307),$P$20))-SUM($BF307:BU307))</f>
        <v>0</v>
      </c>
      <c r="BW307" s="446">
        <f>IF($E307=0,0,IF(MIN(BW$38,$E307)&lt;MAX($P$34*($B307+$I$38-1),IF(AND($L$37=0,$P$34=0),"",$L$37-1)),0,YEARFRAC(MAX($P$34*($B307+$I$38-1),IF(AND($L$37=0,$P$34=0),"",$L$37-1)),MIN(BW$38,$E307),$P$20))-SUM($BF307:BV307))</f>
        <v>0</v>
      </c>
      <c r="BX307" s="446">
        <f>IF($E307=0,0,IF(MIN(BX$38,$E307)&lt;MAX($P$34*($B307+$I$38-1),IF(AND($L$37=0,$P$34=0),"",$L$37-1)),0,YEARFRAC(MAX($P$34*($B307+$I$38-1),IF(AND($L$37=0,$P$34=0),"",$L$37-1)),MIN(BX$38,$E307),$P$20))-SUM($BF307:BW307))</f>
        <v>0</v>
      </c>
      <c r="BY307" s="446">
        <f>IF($E307=0,0,IF(MIN(BY$38,$E307)&lt;MAX($P$34*($B307+$I$38-1),IF(AND($L$37=0,$P$34=0),"",$L$37-1)),0,YEARFRAC(MAX($P$34*($B307+$I$38-1),IF(AND($L$37=0,$P$34=0),"",$L$37-1)),MIN(BY$38,$E307),$P$20))-SUM($BF307:BX307))</f>
        <v>0</v>
      </c>
      <c r="BZ307" s="446">
        <f>IF($E307=0,0,IF(MIN(BZ$38,$E307)&lt;MAX($P$34*($B307+$I$38-1),IF(AND($L$37=0,$P$34=0),"",$L$37-1)),0,YEARFRAC(MAX($P$34*($B307+$I$38-1),IF(AND($L$37=0,$P$34=0),"",$L$37-1)),MIN(BZ$38,$E307),$P$20))-SUM($BF307:BY307))</f>
        <v>0</v>
      </c>
      <c r="CA307" s="446">
        <f>IF($E307=0,0,IF(MIN(CA$38,$E307)&lt;MAX($P$34*($B307+$I$38-1),IF(AND($L$37=0,$P$34=0),"",$L$37-1)),0,YEARFRAC(MAX($P$34*($B307+$I$38-1),IF(AND($L$37=0,$P$34=0),"",$L$37-1)),MIN(CA$38,$E307),$P$20))-SUM($BF307:BZ307))</f>
        <v>0</v>
      </c>
      <c r="CB307" s="446">
        <f>IF($E307=0,0,IF(MIN(CB$38,$E307)&lt;MAX($P$34*($B307+$I$38-1),IF(AND($L$37=0,$P$34=0),"",$L$37-1)),0,YEARFRAC(MAX($P$34*($B307+$I$38-1),IF(AND($L$37=0,$P$34=0),"",$L$37-1)),MIN(CB$38,$E307),$P$20))-SUM($BF307:CA307))</f>
        <v>0</v>
      </c>
      <c r="CC307" s="446">
        <f>IF($E307=0,0,IF(MIN(CC$38,$E307)&lt;MAX($P$34*($B307+$I$38-1),IF(AND($L$37=0,$P$34=0),"",$L$37-1)),0,YEARFRAC(MAX($P$34*($B307+$I$38-1),IF(AND($L$37=0,$P$34=0),"",$L$37-1)),MIN(CC$38,$E307),$P$20))-SUM($BF307:CB307))</f>
        <v>0</v>
      </c>
      <c r="CD307" s="446">
        <f>IF($E307=0,0,IF(MIN(CD$38,$E307)&lt;MAX($P$34*($B307+$I$38-1),IF(AND($L$37=0,$P$34=0),"",$L$37-1)),0,YEARFRAC(MAX($P$34*($B307+$I$38-1),IF(AND($L$37=0,$P$34=0),"",$L$37-1)),MIN(CD$38,$E307),$P$20))-SUM($BF307:CC307))</f>
        <v>0</v>
      </c>
      <c r="CE307" s="446">
        <f>IF($E307=0,0,IF(MIN(CE$38,$E307)&lt;MAX($P$34*($B307+$I$38-1),IF(AND($L$37=0,$P$34=0),"",$L$37-1)),0,YEARFRAC(MAX($P$34*($B307+$I$38-1),IF(AND($L$37=0,$P$34=0),"",$L$37-1)),MIN(CE$38,$E307),$P$20))-SUM($BF307:CD307))</f>
        <v>0</v>
      </c>
      <c r="CF307" s="446">
        <f>IF($E307=0,0,IF(MIN(CF$38,$E307)&lt;MAX($P$34*($B307+$I$38-1),IF(AND($L$37=0,$P$34=0),"",$L$37-1)),0,YEARFRAC(MAX($P$34*($B307+$I$38-1),IF(AND($L$37=0,$P$34=0),"",$L$37-1)),MIN(CF$38,$E307),$P$20))-SUM($BF307:CE307))</f>
        <v>0</v>
      </c>
      <c r="CG307" s="446">
        <f>IF($E307=0,0,IF(MIN(CG$38,$E307)&lt;MAX($P$34*($B307+$I$38-1),IF(AND($L$37=0,$P$34=0),"",$L$37-1)),0,YEARFRAC(MAX($P$34*($B307+$I$38-1),IF(AND($L$37=0,$P$34=0),"",$L$37-1)),MIN(CG$38,$E307),$P$20))-SUM($BF307:CF307))</f>
        <v>0</v>
      </c>
      <c r="CH307" s="446">
        <f>IF($E307=0,0,IF(MIN(CH$38,$E307)&lt;MAX($P$34*($B307+$I$38-1),IF(AND($L$37=0,$P$34=0),"",$L$37-1)),0,YEARFRAC(MAX($P$34*($B307+$I$38-1),IF(AND($L$37=0,$P$34=0),"",$L$37-1)),MIN(CH$38,$E307),$P$20))-SUM($BF307:CG307))</f>
        <v>0</v>
      </c>
      <c r="CI307" s="446">
        <f>IF($E307=0,0,IF(MIN(CI$38,$E307)&lt;MAX($P$34*($B307+$I$38-1),IF(AND($L$37=0,$P$34=0),"",$L$37-1)),0,YEARFRAC(MAX($P$34*($B307+$I$38-1),IF(AND($L$37=0,$P$34=0),"",$L$37-1)),MIN(CI$38,$E307),$P$20))-SUM($BF307:CH307))</f>
        <v>0</v>
      </c>
      <c r="CJ307" s="446">
        <f>IF($E307=0,0,IF(MIN(CJ$38,$E307)&lt;MAX($P$34*($B307+$I$38-1),IF(AND($L$37=0,$P$34=0),"",$L$37-1)),0,YEARFRAC(MAX($P$34*($B307+$I$38-1),IF(AND($L$37=0,$P$34=0),"",$L$37-1)),MIN(CJ$38,$E307),$P$20))-SUM($BF307:CI307))</f>
        <v>0</v>
      </c>
      <c r="CK307" s="446">
        <f>IF($E307=0,0,IF(MIN(CK$38,$E307)&lt;MAX($P$34*($B307+$I$38-1),IF(AND($L$37=0,$P$34=0),"",$L$37-1)),0,YEARFRAC(MAX($P$34*($B307+$I$38-1),IF(AND($L$37=0,$P$34=0),"",$L$37-1)),MIN(CK$38,$E307),$P$20))-SUM($BF307:CJ307))</f>
        <v>0</v>
      </c>
      <c r="CL307" s="446">
        <f>IF($E307=0,0,IF(MIN(CL$38,$E307)&lt;MAX($P$34*($B307+$I$38-1),IF(AND($L$37=0,$P$34=0),"",$L$37-1)),0,YEARFRAC(MAX($P$34*($B307+$I$38-1),IF(AND($L$37=0,$P$34=0),"",$L$37-1)),MIN(CL$38,$E307),$P$20))-SUM($BF307:CK307))</f>
        <v>0</v>
      </c>
      <c r="CM307" s="446">
        <f>IF($E307=0,0,IF(MIN(CM$38,$E307)&lt;MAX($P$34*($B307+$I$38-1),IF(AND($L$37=0,$P$34=0),"",$L$37-1)),0,YEARFRAC(MAX($P$34*($B307+$I$38-1),IF(AND($L$37=0,$P$34=0),"",$L$37-1)),MIN(CM$38,$E307),$P$20))-SUM($BF307:CL307))</f>
        <v>0</v>
      </c>
      <c r="CN307" s="446">
        <f>IF($E307=0,0,IF(MIN(CN$38,$E307)&lt;MAX($P$34*($B307+$I$38-1),IF(AND($L$37=0,$P$34=0),"",$L$37-1)),0,YEARFRAC(MAX($P$34*($B307+$I$38-1),IF(AND($L$37=0,$P$34=0),"",$L$37-1)),MIN(CN$38,$E307),$P$20))-SUM($BF307:CM307))</f>
        <v>0</v>
      </c>
      <c r="CO307" s="446">
        <f>IF($E307=0,0,IF(MIN(CO$38,$E307)&lt;MAX($P$34*($B307+$I$38-1),IF(AND($L$37=0,$P$34=0),"",$L$37-1)),0,YEARFRAC(MAX($P$34*($B307+$I$38-1),IF(AND($L$37=0,$P$34=0),"",$L$37-1)),MIN(CO$38,$E307),$P$20))-SUM($BF307:CN307))</f>
        <v>0</v>
      </c>
      <c r="CP307" s="446">
        <f>IF($E307=0,0,IF(MIN(CP$38,$E307)&lt;MAX($P$34*($B307+$I$38-1),IF(AND($L$37=0,$P$34=0),"",$L$37-1)),0,YEARFRAC(MAX($P$34*($B307+$I$38-1),IF(AND($L$37=0,$P$34=0),"",$L$37-1)),MIN(CP$38,$E307),$P$20))-SUM($BF307:CO307))</f>
        <v>0</v>
      </c>
      <c r="CQ307" s="446">
        <f>IF($E307=0,0,IF(MIN(CQ$38,$E307)&lt;MAX($P$34*($B307+$I$38-1),IF(AND($L$37=0,$P$34=0),"",$L$37-1)),0,YEARFRAC(MAX($P$34*($B307+$I$38-1),IF(AND($L$37=0,$P$34=0),"",$L$37-1)),MIN(CQ$38,$E307),$P$20))-SUM($BF307:CP307))</f>
        <v>0</v>
      </c>
    </row>
    <row r="308" spans="1:95" s="446" customFormat="1" ht="11.25" hidden="1" customHeight="1" x14ac:dyDescent="0.2">
      <c r="A308" s="152"/>
      <c r="B308" s="153" t="str">
        <f t="shared" si="59"/>
        <v/>
      </c>
      <c r="C308" s="29" t="str">
        <f>IF(B308="","",IF($L$35="SELIC - TRIBUTOS",VLOOKUP(DATE(YEAR($D$19),MONTH($D$19)-1,1),ÍNDICES!$A:$DE,HLOOKUP($BL$25,ÍNDICES!$B$3:$T$4,2)+11)-VLOOKUP(B308,ÍNDICES!$A:$DE,HLOOKUP($BL$25,ÍNDICES!$B$3:$T$4,2)+11)+1%,IF(C$38=$W$26,$J$35,IF(ISERROR(IF(B308&gt;$D$19,1,VLOOKUP(DATE(YEAR(B308),MONTH(B308)+IF($C$35=$S$23,1,0),1),ÍNDICES!$A:$DE,$Z$35+1))),"",IF(B308&gt;$D$19,1,VLOOKUP(DATE(YEAR(B308),MONTH(B308)+IF($C$35=$S$23,1,0),1),ÍNDICES!$A:$DE,$Z$35+1))))))</f>
        <v/>
      </c>
      <c r="D308" s="154" t="str">
        <f>IF(ISERROR(IF(OR($D$38=$Y$27,$B308=""),"",VLOOKUP(B308,ÍNDICES!A:DE,AF$35+1))),"",IF(OR($D$38=$Y$27,$B308=""),"",VLOOKUP(B308,ÍNDICES!A:DE,AF$35+1)))</f>
        <v/>
      </c>
      <c r="E308" s="153"/>
      <c r="F308" s="29" t="str">
        <f>IF(E308="","",IF($L$35="SELIC - TRIBUTOS",VLOOKUP(DATE(YEAR($D$19),MONTH($D$19)-1,1),ÍNDICES!$A:$DE,HLOOKUP($BL$25,ÍNDICES!$B$3:$T$4,2)+11)-VLOOKUP(E308,ÍNDICES!$A:$DE,HLOOKUP($BL$25,ÍNDICES!$B$3:$T$4,2)+11)+1%,IF(F$38=$W$26,$J$35,IF(ISERROR(IF(E308&gt;$D$19,1,VLOOKUP(DATE(YEAR(E308),MONTH(E308)+IF($C$35=$S$23,1,0),1),ÍNDICES!$A:$DE,$Z$35+1))),"",IF(E308&gt;$D$19,1,VLOOKUP(DATE(YEAR(E308),MONTH(E308)+IF($C$35=$S$23,1,0),1),ÍNDICES!$A:$DE,$Z$35+1))))))</f>
        <v/>
      </c>
      <c r="G308" s="155"/>
      <c r="H308" s="156" t="str">
        <f t="shared" si="55"/>
        <v/>
      </c>
      <c r="I308" s="29" t="str">
        <f t="shared" si="49"/>
        <v/>
      </c>
      <c r="J308" s="5">
        <f t="shared" si="50"/>
        <v>0</v>
      </c>
      <c r="K308" s="20">
        <f t="shared" ca="1" si="51"/>
        <v>0</v>
      </c>
      <c r="L308" s="5">
        <f t="shared" ca="1" si="52"/>
        <v>0</v>
      </c>
      <c r="M308" s="64">
        <f t="shared" si="56"/>
        <v>0</v>
      </c>
      <c r="N308" s="61">
        <f t="shared" ca="1" si="57"/>
        <v>0</v>
      </c>
      <c r="O308" s="5">
        <f t="shared" ca="1" si="58"/>
        <v>0</v>
      </c>
      <c r="P308" s="446" t="e">
        <f t="shared" si="53"/>
        <v>#VALUE!</v>
      </c>
      <c r="Q308" s="446" t="e">
        <f>IF(OR($B308="",MIN(Q$38,$D$19)&lt;MAX($P$34*($B308+IF($R$17="Distrato",$I$38-1,0)),IF(AND($L$37=0,$P$34=0),"",$L$37-1),IF($R$17="Distrato",$E308,0))),0,YEARFRAC(MAX($P$34*($B308+IF($R$17="Distrato",$I$38-1,0)),IF(AND($L$37=0,$P$34=0),"",$L$37-1),IF($R$17="Distrato",$E308,0)),MIN(Q$38,$D$19),$P$20))-SUM($P308:P308)</f>
        <v>#VALUE!</v>
      </c>
      <c r="R308" s="446" t="e">
        <f>IF(OR($B308="",MIN(R$38,$D$19)&lt;MAX($P$34*($B308+IF($R$17="Distrato",$I$38-1,0)),IF(AND($L$37=0,$P$34=0),"",$L$37-1),IF($R$17="Distrato",$E308,0))),0,YEARFRAC(MAX($P$34*($B308+IF($R$17="Distrato",$I$38-1,0)),IF(AND($L$37=0,$P$34=0),"",$L$37-1),IF($R$17="Distrato",$E308,0)),MIN(R$38,$D$19),$P$20))-SUM($P308:Q308)</f>
        <v>#VALUE!</v>
      </c>
      <c r="S308" s="446" t="e">
        <f>IF(OR($B308="",MIN(S$38,$D$19)&lt;MAX($P$34*($B308+IF($R$17="Distrato",$I$38-1,0)),IF(AND($L$37=0,$P$34=0),"",$L$37-1),IF($R$17="Distrato",$E308,0))),0,YEARFRAC(MAX($P$34*($B308+IF($R$17="Distrato",$I$38-1,0)),IF(AND($L$37=0,$P$34=0),"",$L$37-1),IF($R$17="Distrato",$E308,0)),MIN(S$38,$D$19),$P$20))-SUM($P308:R308)</f>
        <v>#VALUE!</v>
      </c>
      <c r="T308" s="446" t="e">
        <f>IF(OR($B308="",MIN(T$38,$D$19)&lt;MAX($P$34*($B308+IF($R$17="Distrato",$I$38-1,0)),IF(AND($L$37=0,$P$34=0),"",$L$37-1),IF($R$17="Distrato",$E308,0))),0,YEARFRAC(MAX($P$34*($B308+IF($R$17="Distrato",$I$38-1,0)),IF(AND($L$37=0,$P$34=0),"",$L$37-1),IF($R$17="Distrato",$E308,0)),MIN(T$38,$D$19),$P$20))-SUM($P308:S308)</f>
        <v>#VALUE!</v>
      </c>
      <c r="U308" s="446" t="e">
        <f>IF(OR($B308="",MIN(U$38,$D$19)&lt;MAX($P$34*($B308+IF($R$17="Distrato",$I$38-1,0)),IF(AND($L$37=0,$P$34=0),"",$L$37-1),IF($R$17="Distrato",$E308,0))),0,YEARFRAC(MAX($P$34*($B308+IF($R$17="Distrato",$I$38-1,0)),IF(AND($L$37=0,$P$34=0),"",$L$37-1),IF($R$17="Distrato",$E308,0)),MIN(U$38,$D$19),$P$20))-SUM($P308:T308)</f>
        <v>#VALUE!</v>
      </c>
      <c r="V308" s="446" t="e">
        <f>IF(OR($B308="",MIN(V$38,$D$19)&lt;MAX($P$34*($B308+IF($R$17="Distrato",$I$38-1,0)),IF(AND($L$37=0,$P$34=0),"",$L$37-1),IF($R$17="Distrato",$E308,0))),0,YEARFRAC(MAX($P$34*($B308+IF($R$17="Distrato",$I$38-1,0)),IF(AND($L$37=0,$P$34=0),"",$L$37-1),IF($R$17="Distrato",$E308,0)),MIN(V$38,$D$19),$P$20))-SUM($P308:U308)</f>
        <v>#VALUE!</v>
      </c>
      <c r="W308" s="446" t="e">
        <f>IF(OR($B308="",MIN(W$38,$D$19)&lt;MAX($P$34*($B308+IF($R$17="Distrato",$I$38-1,0)),IF(AND($L$37=0,$P$34=0),"",$L$37-1),IF($R$17="Distrato",$E308,0))),0,YEARFRAC(MAX($P$34*($B308+IF($R$17="Distrato",$I$38-1,0)),IF(AND($L$37=0,$P$34=0),"",$L$37-1),IF($R$17="Distrato",$E308,0)),MIN(W$38,$D$19),$P$20))-SUM($P308:V308)</f>
        <v>#VALUE!</v>
      </c>
      <c r="X308" s="446" t="e">
        <f>IF(OR($B308="",MIN(X$38,$D$19)&lt;MAX($P$34*($B308+IF($R$17="Distrato",$I$38-1,0)),IF(AND($L$37=0,$P$34=0),"",$L$37-1),IF($R$17="Distrato",$E308,0))),0,YEARFRAC(MAX($P$34*($B308+IF($R$17="Distrato",$I$38-1,0)),IF(AND($L$37=0,$P$34=0),"",$L$37-1),IF($R$17="Distrato",$E308,0)),MIN(X$38,$D$19),$P$20))-SUM($P308:W308)</f>
        <v>#VALUE!</v>
      </c>
      <c r="Y308" s="446" t="e">
        <f>IF(OR($B308="",MIN(Y$38,$D$19)&lt;MAX($P$34*($B308+IF($R$17="Distrato",$I$38-1,0)),IF(AND($L$37=0,$P$34=0),"",$L$37-1),IF($R$17="Distrato",$E308,0))),0,YEARFRAC(MAX($P$34*($B308+IF($R$17="Distrato",$I$38-1,0)),IF(AND($L$37=0,$P$34=0),"",$L$37-1),IF($R$17="Distrato",$E308,0)),MIN(Y$38,$D$19),$P$20))-SUM($P308:X308)</f>
        <v>#VALUE!</v>
      </c>
      <c r="Z308" s="446" t="e">
        <f>IF(OR($B308="",MIN(Z$38,$D$19)&lt;MAX($P$34*($B308+IF($R$17="Distrato",$I$38-1,0)),IF(AND($L$37=0,$P$34=0),"",$L$37-1),IF($R$17="Distrato",$E308,0))),0,YEARFRAC(MAX($P$34*($B308+IF($R$17="Distrato",$I$38-1,0)),IF(AND($L$37=0,$P$34=0),"",$L$37-1),IF($R$17="Distrato",$E308,0)),MIN(Z$38,$D$19),$P$20))-SUM($P308:Y308)</f>
        <v>#VALUE!</v>
      </c>
      <c r="AA308" s="446" t="e">
        <f>IF(OR($B308="",MIN(AA$38,$D$19)&lt;MAX($P$34*($B308+IF($R$17="Distrato",$I$38-1,0)),IF(AND($L$37=0,$P$34=0),"",$L$37-1),IF($R$17="Distrato",$E308,0))),0,YEARFRAC(MAX($P$34*($B308+IF($R$17="Distrato",$I$38-1,0)),IF(AND($L$37=0,$P$34=0),"",$L$37-1),IF($R$17="Distrato",$E308,0)),MIN(AA$38,$D$19),$P$20))-SUM($P308:Z308)</f>
        <v>#VALUE!</v>
      </c>
      <c r="AB308" s="446" t="e">
        <f>IF(OR($B308="",MIN(AB$38,$D$19)&lt;MAX($P$34*($B308+IF($R$17="Distrato",$I$38-1,0)),IF(AND($L$37=0,$P$34=0),"",$L$37-1),IF($R$17="Distrato",$E308,0))),0,YEARFRAC(MAX($P$34*($B308+IF($R$17="Distrato",$I$38-1,0)),IF(AND($L$37=0,$P$34=0),"",$L$37-1),IF($R$17="Distrato",$E308,0)),MIN(AB$38,$D$19),$P$20))-SUM($P308:AA308)</f>
        <v>#VALUE!</v>
      </c>
      <c r="AC308" s="446" t="e">
        <f>IF(OR($B308="",MIN(AC$38,$D$19)&lt;MAX($P$34*($B308+IF($R$17="Distrato",$I$38-1,0)),IF(AND($L$37=0,$P$34=0),"",$L$37-1),IF($R$17="Distrato",$E308,0))),0,YEARFRAC(MAX($P$34*($B308+IF($R$17="Distrato",$I$38-1,0)),IF(AND($L$37=0,$P$34=0),"",$L$37-1),IF($R$17="Distrato",$E308,0)),MIN(AC$38,$D$19),$P$20))-SUM($P308:AB308)</f>
        <v>#VALUE!</v>
      </c>
      <c r="AD308" s="446" t="e">
        <f>IF(OR($B308="",MIN(AD$38,$D$19)&lt;MAX($P$34*($B308+IF($R$17="Distrato",$I$38-1,0)),IF(AND($L$37=0,$P$34=0),"",$L$37-1),IF($R$17="Distrato",$E308,0))),0,YEARFRAC(MAX($P$34*($B308+IF($R$17="Distrato",$I$38-1,0)),IF(AND($L$37=0,$P$34=0),"",$L$37-1),IF($R$17="Distrato",$E308,0)),MIN(AD$38,$D$19),$P$20))-SUM($P308:AC308)</f>
        <v>#VALUE!</v>
      </c>
      <c r="AE308" s="446" t="e">
        <f>IF(OR($B308="",MIN(AE$38,$D$19)&lt;MAX($P$34*($B308+IF($R$17="Distrato",$I$38-1,0)),IF(AND($L$37=0,$P$34=0),"",$L$37-1),IF($R$17="Distrato",$E308,0))),0,YEARFRAC(MAX($P$34*($B308+IF($R$17="Distrato",$I$38-1,0)),IF(AND($L$37=0,$P$34=0),"",$L$37-1),IF($R$17="Distrato",$E308,0)),MIN(AE$38,$D$19),$P$20))-SUM($P308:AD308)</f>
        <v>#VALUE!</v>
      </c>
      <c r="AF308" s="446" t="e">
        <f>IF(OR($B308="",MIN(AF$38,$D$19)&lt;MAX($P$34*($B308+IF($R$17="Distrato",$I$38-1,0)),IF(AND($L$37=0,$P$34=0),"",$L$37-1),IF($R$17="Distrato",$E308,0))),0,YEARFRAC(MAX($P$34*($B308+IF($R$17="Distrato",$I$38-1,0)),IF(AND($L$37=0,$P$34=0),"",$L$37-1),IF($R$17="Distrato",$E308,0)),MIN(AF$38,$D$19),$P$20))-SUM($P308:AE308)</f>
        <v>#VALUE!</v>
      </c>
      <c r="AG308" s="446" t="e">
        <f>IF(OR($B308="",MIN(AG$38,$D$19)&lt;MAX($P$34*($B308+IF($R$17="Distrato",$I$38-1,0)),IF(AND($L$37=0,$P$34=0),"",$L$37-1),IF($R$17="Distrato",$E308,0))),0,YEARFRAC(MAX($P$34*($B308+IF($R$17="Distrato",$I$38-1,0)),IF(AND($L$37=0,$P$34=0),"",$L$37-1),IF($R$17="Distrato",$E308,0)),MIN(AG$38,$D$19),$P$20))-SUM($P308:AF308)</f>
        <v>#VALUE!</v>
      </c>
      <c r="AH308" s="446" t="e">
        <f>IF(OR($B308="",MIN(AH$38,$D$19)&lt;MAX($P$34*($B308+IF($R$17="Distrato",$I$38-1,0)),IF(AND($L$37=0,$P$34=0),"",$L$37-1),IF($R$17="Distrato",$E308,0))),0,YEARFRAC(MAX($P$34*($B308+IF($R$17="Distrato",$I$38-1,0)),IF(AND($L$37=0,$P$34=0),"",$L$37-1),IF($R$17="Distrato",$E308,0)),MIN(AH$38,$D$19),$P$20))-SUM($P308:AG308)</f>
        <v>#VALUE!</v>
      </c>
      <c r="AI308" s="446" t="e">
        <f>IF(OR($B308="",MIN(AI$38,$D$19)&lt;MAX($P$34*($B308+IF($R$17="Distrato",$I$38-1,0)),IF(AND($L$37=0,$P$34=0),"",$L$37-1),IF($R$17="Distrato",$E308,0))),0,YEARFRAC(MAX($P$34*($B308+IF($R$17="Distrato",$I$38-1,0)),IF(AND($L$37=0,$P$34=0),"",$L$37-1),IF($R$17="Distrato",$E308,0)),MIN(AI$38,$D$19),$P$20))-SUM($P308:AH308)</f>
        <v>#VALUE!</v>
      </c>
      <c r="AJ308" s="446" t="e">
        <f>IF(OR($B308="",MIN(AJ$38,$D$19)&lt;MAX($P$34*($B308+IF($R$17="Distrato",$I$38-1,0)),IF(AND($L$37=0,$P$34=0),"",$L$37-1),IF($R$17="Distrato",$E308,0))),0,YEARFRAC(MAX($P$34*($B308+IF($R$17="Distrato",$I$38-1,0)),IF(AND($L$37=0,$P$34=0),"",$L$37-1),IF($R$17="Distrato",$E308,0)),MIN(AJ$38,$D$19),$P$20))-SUM($P308:AI308)</f>
        <v>#VALUE!</v>
      </c>
      <c r="AK308" s="446" t="e">
        <f>IF(OR($B308="",MIN(AK$38,$D$19)&lt;MAX($P$34*($B308+IF($R$17="Distrato",$I$38-1,0)),IF(AND($L$37=0,$P$34=0),"",$L$37-1),IF($R$17="Distrato",$E308,0))),0,YEARFRAC(MAX($P$34*($B308+IF($R$17="Distrato",$I$38-1,0)),IF(AND($L$37=0,$P$34=0),"",$L$37-1),IF($R$17="Distrato",$E308,0)),MIN(AK$38,$D$19),$P$20))-SUM($P308:AJ308)</f>
        <v>#VALUE!</v>
      </c>
      <c r="AL308" s="446" t="e">
        <f>IF(OR($B308="",MIN(AL$38,$D$19)&lt;MAX($P$34*($B308+IF($R$17="Distrato",$I$38-1,0)),IF(AND($L$37=0,$P$34=0),"",$L$37-1),IF($R$17="Distrato",$E308,0))),0,YEARFRAC(MAX($P$34*($B308+IF($R$17="Distrato",$I$38-1,0)),IF(AND($L$37=0,$P$34=0),"",$L$37-1),IF($R$17="Distrato",$E308,0)),MIN(AL$38,$D$19),$P$20))-SUM($P308:AK308)</f>
        <v>#VALUE!</v>
      </c>
      <c r="AM308" s="446" t="e">
        <f>IF(OR($B308="",MIN(AM$38,$D$19)&lt;MAX($P$34*($B308+IF($R$17="Distrato",$I$38-1,0)),IF(AND($L$37=0,$P$34=0),"",$L$37-1),IF($R$17="Distrato",$E308,0))),0,YEARFRAC(MAX($P$34*($B308+IF($R$17="Distrato",$I$38-1,0)),IF(AND($L$37=0,$P$34=0),"",$L$37-1),IF($R$17="Distrato",$E308,0)),MIN(AM$38,$D$19),$P$20))-SUM($P308:AL308)</f>
        <v>#VALUE!</v>
      </c>
      <c r="AN308" s="446" t="e">
        <f>IF(OR($B308="",MIN(AN$38,$D$19)&lt;MAX($P$34*($B308+IF($R$17="Distrato",$I$38-1,0)),IF(AND($L$37=0,$P$34=0),"",$L$37-1),IF($R$17="Distrato",$E308,0))),0,YEARFRAC(MAX($P$34*($B308+IF($R$17="Distrato",$I$38-1,0)),IF(AND($L$37=0,$P$34=0),"",$L$37-1),IF($R$17="Distrato",$E308,0)),MIN(AN$38,$D$19),$P$20))-SUM($P308:AM308)</f>
        <v>#VALUE!</v>
      </c>
      <c r="AO308" s="446" t="e">
        <f>IF(OR($B308="",MIN(AO$38,$D$19)&lt;MAX($P$34*($B308+IF($R$17="Distrato",$I$38-1,0)),IF(AND($L$37=0,$P$34=0),"",$L$37-1),IF($R$17="Distrato",$E308,0))),0,YEARFRAC(MAX($P$34*($B308+IF($R$17="Distrato",$I$38-1,0)),IF(AND($L$37=0,$P$34=0),"",$L$37-1),IF($R$17="Distrato",$E308,0)),MIN(AO$38,$D$19),$P$20))-SUM($P308:AN308)</f>
        <v>#VALUE!</v>
      </c>
      <c r="AP308" s="446" t="e">
        <f>IF(OR($B308="",MIN(AP$38,$D$19)&lt;MAX($P$34*($B308+IF($R$17="Distrato",$I$38-1,0)),IF(AND($L$37=0,$P$34=0),"",$L$37-1),IF($R$17="Distrato",$E308,0))),0,YEARFRAC(MAX($P$34*($B308+IF($R$17="Distrato",$I$38-1,0)),IF(AND($L$37=0,$P$34=0),"",$L$37-1),IF($R$17="Distrato",$E308,0)),MIN(AP$38,$D$19),$P$20))-SUM($P308:AO308)</f>
        <v>#VALUE!</v>
      </c>
      <c r="AQ308" s="446" t="e">
        <f>IF(OR($B308="",MIN(AQ$38,$D$19)&lt;MAX($P$34*($B308+IF($R$17="Distrato",$I$38-1,0)),IF(AND($L$37=0,$P$34=0),"",$L$37-1),IF($R$17="Distrato",$E308,0))),0,YEARFRAC(MAX($P$34*($B308+IF($R$17="Distrato",$I$38-1,0)),IF(AND($L$37=0,$P$34=0),"",$L$37-1),IF($R$17="Distrato",$E308,0)),MIN(AQ$38,$D$19),$P$20))-SUM($P308:AP308)</f>
        <v>#VALUE!</v>
      </c>
      <c r="AR308" s="446" t="e">
        <f>IF(OR($B308="",MIN(AR$38,$D$19)&lt;MAX($P$34*($B308+IF($R$17="Distrato",$I$38-1,0)),IF(AND($L$37=0,$P$34=0),"",$L$37-1),IF($R$17="Distrato",$E308,0))),0,YEARFRAC(MAX($P$34*($B308+IF($R$17="Distrato",$I$38-1,0)),IF(AND($L$37=0,$P$34=0),"",$L$37-1),IF($R$17="Distrato",$E308,0)),MIN(AR$38,$D$19),$P$20))-SUM($P308:AQ308)</f>
        <v>#VALUE!</v>
      </c>
      <c r="AS308" s="446" t="e">
        <f>IF(OR($B308="",MIN(AS$38,$D$19)&lt;MAX($P$34*($B308+IF($R$17="Distrato",$I$38-1,0)),IF(AND($L$37=0,$P$34=0),"",$L$37-1),IF($R$17="Distrato",$E308,0))),0,YEARFRAC(MAX($P$34*($B308+IF($R$17="Distrato",$I$38-1,0)),IF(AND($L$37=0,$P$34=0),"",$L$37-1),IF($R$17="Distrato",$E308,0)),MIN(AS$38,$D$19),$P$20))-SUM($P308:AR308)</f>
        <v>#VALUE!</v>
      </c>
      <c r="AT308" s="446" t="e">
        <f>IF(OR($B308="",MIN(AT$38,$D$19)&lt;MAX($P$34*($B308+IF($R$17="Distrato",$I$38-1,0)),IF(AND($L$37=0,$P$34=0),"",$L$37-1),IF($R$17="Distrato",$E308,0))),0,YEARFRAC(MAX($P$34*($B308+IF($R$17="Distrato",$I$38-1,0)),IF(AND($L$37=0,$P$34=0),"",$L$37-1),IF($R$17="Distrato",$E308,0)),MIN(AT$38,$D$19),$P$20))-SUM($P308:AS308)</f>
        <v>#VALUE!</v>
      </c>
      <c r="AU308" s="446" t="e">
        <f>IF(OR($B308="",MIN(AU$38,$D$19)&lt;MAX($P$34*($B308+IF($R$17="Distrato",$I$38-1,0)),IF(AND($L$37=0,$P$34=0),"",$L$37-1),IF($R$17="Distrato",$E308,0))),0,YEARFRAC(MAX($P$34*($B308+IF($R$17="Distrato",$I$38-1,0)),IF(AND($L$37=0,$P$34=0),"",$L$37-1),IF($R$17="Distrato",$E308,0)),MIN(AU$38,$D$19),$P$20))-SUM($P308:AT308)</f>
        <v>#VALUE!</v>
      </c>
      <c r="AV308" s="446" t="e">
        <f>IF(OR($B308="",MIN(AV$38,$D$19)&lt;MAX($P$34*($B308+IF($R$17="Distrato",$I$38-1,0)),IF(AND($L$37=0,$P$34=0),"",$L$37-1),IF($R$17="Distrato",$E308,0))),0,YEARFRAC(MAX($P$34*($B308+IF($R$17="Distrato",$I$38-1,0)),IF(AND($L$37=0,$P$34=0),"",$L$37-1),IF($R$17="Distrato",$E308,0)),MIN(AV$38,$D$19),$P$20))-SUM($P308:AU308)</f>
        <v>#VALUE!</v>
      </c>
      <c r="AW308" s="446" t="e">
        <f>IF(OR($B308="",MIN(AW$38,$D$19)&lt;MAX($P$34*($B308+IF($R$17="Distrato",$I$38-1,0)),IF(AND($L$37=0,$P$34=0),"",$L$37-1),IF($R$17="Distrato",$E308,0))),0,YEARFRAC(MAX($P$34*($B308+IF($R$17="Distrato",$I$38-1,0)),IF(AND($L$37=0,$P$34=0),"",$L$37-1),IF($R$17="Distrato",$E308,0)),MIN(AW$38,$D$19),$P$20))-SUM($P308:AV308)</f>
        <v>#VALUE!</v>
      </c>
      <c r="AX308" s="446" t="e">
        <f>IF(OR($B308="",MIN(AX$38,$D$19)&lt;MAX($P$34*($B308+IF($R$17="Distrato",$I$38-1,0)),IF(AND($L$37=0,$P$34=0),"",$L$37-1),IF($R$17="Distrato",$E308,0))),0,YEARFRAC(MAX($P$34*($B308+IF($R$17="Distrato",$I$38-1,0)),IF(AND($L$37=0,$P$34=0),"",$L$37-1),IF($R$17="Distrato",$E308,0)),MIN(AX$38,$D$19),$P$20))-SUM($P308:AW308)</f>
        <v>#VALUE!</v>
      </c>
      <c r="AY308" s="446" t="e">
        <f>IF(OR($B308="",MIN(AY$38,$D$19)&lt;MAX($P$34*($B308+IF($R$17="Distrato",$I$38-1,0)),IF(AND($L$37=0,$P$34=0),"",$L$37-1),IF($R$17="Distrato",$E308,0))),0,YEARFRAC(MAX($P$34*($B308+IF($R$17="Distrato",$I$38-1,0)),IF(AND($L$37=0,$P$34=0),"",$L$37-1),IF($R$17="Distrato",$E308,0)),MIN(AY$38,$D$19),$P$20))-SUM($P308:AX308)</f>
        <v>#VALUE!</v>
      </c>
      <c r="AZ308" s="446" t="e">
        <f>IF(OR($B308="",MIN(AZ$38,$D$19)&lt;MAX($P$34*($B308+IF($R$17="Distrato",$I$38-1,0)),IF(AND($L$37=0,$P$34=0),"",$L$37-1),IF($R$17="Distrato",$E308,0))),0,YEARFRAC(MAX($P$34*($B308+IF($R$17="Distrato",$I$38-1,0)),IF(AND($L$37=0,$P$34=0),"",$L$37-1),IF($R$17="Distrato",$E308,0)),MIN(AZ$38,$D$19),$P$20))-SUM($P308:AY308)</f>
        <v>#VALUE!</v>
      </c>
      <c r="BA308" s="446" t="e">
        <f>IF(OR($B308="",MIN(BA$38,$D$19)&lt;MAX($P$34*($B308+IF($R$17="Distrato",$I$38-1,0)),IF(AND($L$37=0,$P$34=0),"",$L$37-1),IF($R$17="Distrato",$E308,0))),0,YEARFRAC(MAX($P$34*($B308+IF($R$17="Distrato",$I$38-1,0)),IF(AND($L$37=0,$P$34=0),"",$L$37-1),IF($R$17="Distrato",$E308,0)),MIN(BA$38,$D$19),$P$20))-SUM($P308:AZ308)</f>
        <v>#VALUE!</v>
      </c>
      <c r="BB308" s="447"/>
      <c r="BF308" s="446">
        <f t="shared" si="54"/>
        <v>0</v>
      </c>
      <c r="BG308" s="446">
        <f>IF($E308=0,0,IF(MIN(BG$38,$E308)&lt;MAX($P$34*($B308+$I$38-1),IF(AND($L$37=0,$P$34=0),"",$L$37-1)),0,YEARFRAC(MAX($P$34*($B308+$I$38-1),IF(AND($L$37=0,$P$34=0),"",$L$37-1)),MIN(BG$38,$E308),$P$20))-SUM($BF308:BF308))</f>
        <v>0</v>
      </c>
      <c r="BH308" s="446">
        <f>IF($E308=0,0,IF(MIN(BH$38,$E308)&lt;MAX($P$34*($B308+$I$38-1),IF(AND($L$37=0,$P$34=0),"",$L$37-1)),0,YEARFRAC(MAX($P$34*($B308+$I$38-1),IF(AND($L$37=0,$P$34=0),"",$L$37-1)),MIN(BH$38,$E308),$P$20))-SUM($BF308:BG308))</f>
        <v>0</v>
      </c>
      <c r="BI308" s="446">
        <f>IF($E308=0,0,IF(MIN(BI$38,$E308)&lt;MAX($P$34*($B308+$I$38-1),IF(AND($L$37=0,$P$34=0),"",$L$37-1)),0,YEARFRAC(MAX($P$34*($B308+$I$38-1),IF(AND($L$37=0,$P$34=0),"",$L$37-1)),MIN(BI$38,$E308),$P$20))-SUM($BF308:BH308))</f>
        <v>0</v>
      </c>
      <c r="BJ308" s="446">
        <f>IF($E308=0,0,IF(MIN(BJ$38,$E308)&lt;MAX($P$34*($B308+$I$38-1),IF(AND($L$37=0,$P$34=0),"",$L$37-1)),0,YEARFRAC(MAX($P$34*($B308+$I$38-1),IF(AND($L$37=0,$P$34=0),"",$L$37-1)),MIN(BJ$38,$E308),$P$20))-SUM($BF308:BI308))</f>
        <v>0</v>
      </c>
      <c r="BK308" s="446">
        <f>IF($E308=0,0,IF(MIN(BK$38,$E308)&lt;MAX($P$34*($B308+$I$38-1),IF(AND($L$37=0,$P$34=0),"",$L$37-1)),0,YEARFRAC(MAX($P$34*($B308+$I$38-1),IF(AND($L$37=0,$P$34=0),"",$L$37-1)),MIN(BK$38,$E308),$P$20))-SUM($BF308:BJ308))</f>
        <v>0</v>
      </c>
      <c r="BL308" s="446">
        <f>IF($E308=0,0,IF(MIN(BL$38,$E308)&lt;MAX($P$34*($B308+$I$38-1),IF(AND($L$37=0,$P$34=0),"",$L$37-1)),0,YEARFRAC(MAX($P$34*($B308+$I$38-1),IF(AND($L$37=0,$P$34=0),"",$L$37-1)),MIN(BL$38,$E308),$P$20))-SUM($BF308:BK308))</f>
        <v>0</v>
      </c>
      <c r="BM308" s="446">
        <f>IF($E308=0,0,IF(MIN(BM$38,$E308)&lt;MAX($P$34*($B308+$I$38-1),IF(AND($L$37=0,$P$34=0),"",$L$37-1)),0,YEARFRAC(MAX($P$34*($B308+$I$38-1),IF(AND($L$37=0,$P$34=0),"",$L$37-1)),MIN(BM$38,$E308),$P$20))-SUM($BF308:BL308))</f>
        <v>0</v>
      </c>
      <c r="BN308" s="446">
        <f>IF($E308=0,0,IF(MIN(BN$38,$E308)&lt;MAX($P$34*($B308+$I$38-1),IF(AND($L$37=0,$P$34=0),"",$L$37-1)),0,YEARFRAC(MAX($P$34*($B308+$I$38-1),IF(AND($L$37=0,$P$34=0),"",$L$37-1)),MIN(BN$38,$E308),$P$20))-SUM($BF308:BM308))</f>
        <v>0</v>
      </c>
      <c r="BO308" s="446">
        <f>IF($E308=0,0,IF(MIN(BO$38,$E308)&lt;MAX($P$34*($B308+$I$38-1),IF(AND($L$37=0,$P$34=0),"",$L$37-1)),0,YEARFRAC(MAX($P$34*($B308+$I$38-1),IF(AND($L$37=0,$P$34=0),"",$L$37-1)),MIN(BO$38,$E308),$P$20))-SUM($BF308:BN308))</f>
        <v>0</v>
      </c>
      <c r="BP308" s="446">
        <f>IF($E308=0,0,IF(MIN(BP$38,$E308)&lt;MAX($P$34*($B308+$I$38-1),IF(AND($L$37=0,$P$34=0),"",$L$37-1)),0,YEARFRAC(MAX($P$34*($B308+$I$38-1),IF(AND($L$37=0,$P$34=0),"",$L$37-1)),MIN(BP$38,$E308),$P$20))-SUM($BF308:BO308))</f>
        <v>0</v>
      </c>
      <c r="BQ308" s="446">
        <f>IF($E308=0,0,IF(MIN(BQ$38,$E308)&lt;MAX($P$34*($B308+$I$38-1),IF(AND($L$37=0,$P$34=0),"",$L$37-1)),0,YEARFRAC(MAX($P$34*($B308+$I$38-1),IF(AND($L$37=0,$P$34=0),"",$L$37-1)),MIN(BQ$38,$E308),$P$20))-SUM($BF308:BP308))</f>
        <v>0</v>
      </c>
      <c r="BR308" s="446">
        <f>IF($E308=0,0,IF(MIN(BR$38,$E308)&lt;MAX($P$34*($B308+$I$38-1),IF(AND($L$37=0,$P$34=0),"",$L$37-1)),0,YEARFRAC(MAX($P$34*($B308+$I$38-1),IF(AND($L$37=0,$P$34=0),"",$L$37-1)),MIN(BR$38,$E308),$P$20))-SUM($BF308:BQ308))</f>
        <v>0</v>
      </c>
      <c r="BS308" s="446">
        <f>IF($E308=0,0,IF(MIN(BS$38,$E308)&lt;MAX($P$34*($B308+$I$38-1),IF(AND($L$37=0,$P$34=0),"",$L$37-1)),0,YEARFRAC(MAX($P$34*($B308+$I$38-1),IF(AND($L$37=0,$P$34=0),"",$L$37-1)),MIN(BS$38,$E308),$P$20))-SUM($BF308:BR308))</f>
        <v>0</v>
      </c>
      <c r="BT308" s="446">
        <f>IF($E308=0,0,IF(MIN(BT$38,$E308)&lt;MAX($P$34*($B308+$I$38-1),IF(AND($L$37=0,$P$34=0),"",$L$37-1)),0,YEARFRAC(MAX($P$34*($B308+$I$38-1),IF(AND($L$37=0,$P$34=0),"",$L$37-1)),MIN(BT$38,$E308),$P$20))-SUM($BF308:BS308))</f>
        <v>0</v>
      </c>
      <c r="BU308" s="446">
        <f>IF($E308=0,0,IF(MIN(BU$38,$E308)&lt;MAX($P$34*($B308+$I$38-1),IF(AND($L$37=0,$P$34=0),"",$L$37-1)),0,YEARFRAC(MAX($P$34*($B308+$I$38-1),IF(AND($L$37=0,$P$34=0),"",$L$37-1)),MIN(BU$38,$E308),$P$20))-SUM($BF308:BT308))</f>
        <v>0</v>
      </c>
      <c r="BV308" s="446">
        <f>IF($E308=0,0,IF(MIN(BV$38,$E308)&lt;MAX($P$34*($B308+$I$38-1),IF(AND($L$37=0,$P$34=0),"",$L$37-1)),0,YEARFRAC(MAX($P$34*($B308+$I$38-1),IF(AND($L$37=0,$P$34=0),"",$L$37-1)),MIN(BV$38,$E308),$P$20))-SUM($BF308:BU308))</f>
        <v>0</v>
      </c>
      <c r="BW308" s="446">
        <f>IF($E308=0,0,IF(MIN(BW$38,$E308)&lt;MAX($P$34*($B308+$I$38-1),IF(AND($L$37=0,$P$34=0),"",$L$37-1)),0,YEARFRAC(MAX($P$34*($B308+$I$38-1),IF(AND($L$37=0,$P$34=0),"",$L$37-1)),MIN(BW$38,$E308),$P$20))-SUM($BF308:BV308))</f>
        <v>0</v>
      </c>
      <c r="BX308" s="446">
        <f>IF($E308=0,0,IF(MIN(BX$38,$E308)&lt;MAX($P$34*($B308+$I$38-1),IF(AND($L$37=0,$P$34=0),"",$L$37-1)),0,YEARFRAC(MAX($P$34*($B308+$I$38-1),IF(AND($L$37=0,$P$34=0),"",$L$37-1)),MIN(BX$38,$E308),$P$20))-SUM($BF308:BW308))</f>
        <v>0</v>
      </c>
      <c r="BY308" s="446">
        <f>IF($E308=0,0,IF(MIN(BY$38,$E308)&lt;MAX($P$34*($B308+$I$38-1),IF(AND($L$37=0,$P$34=0),"",$L$37-1)),0,YEARFRAC(MAX($P$34*($B308+$I$38-1),IF(AND($L$37=0,$P$34=0),"",$L$37-1)),MIN(BY$38,$E308),$P$20))-SUM($BF308:BX308))</f>
        <v>0</v>
      </c>
      <c r="BZ308" s="446">
        <f>IF($E308=0,0,IF(MIN(BZ$38,$E308)&lt;MAX($P$34*($B308+$I$38-1),IF(AND($L$37=0,$P$34=0),"",$L$37-1)),0,YEARFRAC(MAX($P$34*($B308+$I$38-1),IF(AND($L$37=0,$P$34=0),"",$L$37-1)),MIN(BZ$38,$E308),$P$20))-SUM($BF308:BY308))</f>
        <v>0</v>
      </c>
      <c r="CA308" s="446">
        <f>IF($E308=0,0,IF(MIN(CA$38,$E308)&lt;MAX($P$34*($B308+$I$38-1),IF(AND($L$37=0,$P$34=0),"",$L$37-1)),0,YEARFRAC(MAX($P$34*($B308+$I$38-1),IF(AND($L$37=0,$P$34=0),"",$L$37-1)),MIN(CA$38,$E308),$P$20))-SUM($BF308:BZ308))</f>
        <v>0</v>
      </c>
      <c r="CB308" s="446">
        <f>IF($E308=0,0,IF(MIN(CB$38,$E308)&lt;MAX($P$34*($B308+$I$38-1),IF(AND($L$37=0,$P$34=0),"",$L$37-1)),0,YEARFRAC(MAX($P$34*($B308+$I$38-1),IF(AND($L$37=0,$P$34=0),"",$L$37-1)),MIN(CB$38,$E308),$P$20))-SUM($BF308:CA308))</f>
        <v>0</v>
      </c>
      <c r="CC308" s="446">
        <f>IF($E308=0,0,IF(MIN(CC$38,$E308)&lt;MAX($P$34*($B308+$I$38-1),IF(AND($L$37=0,$P$34=0),"",$L$37-1)),0,YEARFRAC(MAX($P$34*($B308+$I$38-1),IF(AND($L$37=0,$P$34=0),"",$L$37-1)),MIN(CC$38,$E308),$P$20))-SUM($BF308:CB308))</f>
        <v>0</v>
      </c>
      <c r="CD308" s="446">
        <f>IF($E308=0,0,IF(MIN(CD$38,$E308)&lt;MAX($P$34*($B308+$I$38-1),IF(AND($L$37=0,$P$34=0),"",$L$37-1)),0,YEARFRAC(MAX($P$34*($B308+$I$38-1),IF(AND($L$37=0,$P$34=0),"",$L$37-1)),MIN(CD$38,$E308),$P$20))-SUM($BF308:CC308))</f>
        <v>0</v>
      </c>
      <c r="CE308" s="446">
        <f>IF($E308=0,0,IF(MIN(CE$38,$E308)&lt;MAX($P$34*($B308+$I$38-1),IF(AND($L$37=0,$P$34=0),"",$L$37-1)),0,YEARFRAC(MAX($P$34*($B308+$I$38-1),IF(AND($L$37=0,$P$34=0),"",$L$37-1)),MIN(CE$38,$E308),$P$20))-SUM($BF308:CD308))</f>
        <v>0</v>
      </c>
      <c r="CF308" s="446">
        <f>IF($E308=0,0,IF(MIN(CF$38,$E308)&lt;MAX($P$34*($B308+$I$38-1),IF(AND($L$37=0,$P$34=0),"",$L$37-1)),0,YEARFRAC(MAX($P$34*($B308+$I$38-1),IF(AND($L$37=0,$P$34=0),"",$L$37-1)),MIN(CF$38,$E308),$P$20))-SUM($BF308:CE308))</f>
        <v>0</v>
      </c>
      <c r="CG308" s="446">
        <f>IF($E308=0,0,IF(MIN(CG$38,$E308)&lt;MAX($P$34*($B308+$I$38-1),IF(AND($L$37=0,$P$34=0),"",$L$37-1)),0,YEARFRAC(MAX($P$34*($B308+$I$38-1),IF(AND($L$37=0,$P$34=0),"",$L$37-1)),MIN(CG$38,$E308),$P$20))-SUM($BF308:CF308))</f>
        <v>0</v>
      </c>
      <c r="CH308" s="446">
        <f>IF($E308=0,0,IF(MIN(CH$38,$E308)&lt;MAX($P$34*($B308+$I$38-1),IF(AND($L$37=0,$P$34=0),"",$L$37-1)),0,YEARFRAC(MAX($P$34*($B308+$I$38-1),IF(AND($L$37=0,$P$34=0),"",$L$37-1)),MIN(CH$38,$E308),$P$20))-SUM($BF308:CG308))</f>
        <v>0</v>
      </c>
      <c r="CI308" s="446">
        <f>IF($E308=0,0,IF(MIN(CI$38,$E308)&lt;MAX($P$34*($B308+$I$38-1),IF(AND($L$37=0,$P$34=0),"",$L$37-1)),0,YEARFRAC(MAX($P$34*($B308+$I$38-1),IF(AND($L$37=0,$P$34=0),"",$L$37-1)),MIN(CI$38,$E308),$P$20))-SUM($BF308:CH308))</f>
        <v>0</v>
      </c>
      <c r="CJ308" s="446">
        <f>IF($E308=0,0,IF(MIN(CJ$38,$E308)&lt;MAX($P$34*($B308+$I$38-1),IF(AND($L$37=0,$P$34=0),"",$L$37-1)),0,YEARFRAC(MAX($P$34*($B308+$I$38-1),IF(AND($L$37=0,$P$34=0),"",$L$37-1)),MIN(CJ$38,$E308),$P$20))-SUM($BF308:CI308))</f>
        <v>0</v>
      </c>
      <c r="CK308" s="446">
        <f>IF($E308=0,0,IF(MIN(CK$38,$E308)&lt;MAX($P$34*($B308+$I$38-1),IF(AND($L$37=0,$P$34=0),"",$L$37-1)),0,YEARFRAC(MAX($P$34*($B308+$I$38-1),IF(AND($L$37=0,$P$34=0),"",$L$37-1)),MIN(CK$38,$E308),$P$20))-SUM($BF308:CJ308))</f>
        <v>0</v>
      </c>
      <c r="CL308" s="446">
        <f>IF($E308=0,0,IF(MIN(CL$38,$E308)&lt;MAX($P$34*($B308+$I$38-1),IF(AND($L$37=0,$P$34=0),"",$L$37-1)),0,YEARFRAC(MAX($P$34*($B308+$I$38-1),IF(AND($L$37=0,$P$34=0),"",$L$37-1)),MIN(CL$38,$E308),$P$20))-SUM($BF308:CK308))</f>
        <v>0</v>
      </c>
      <c r="CM308" s="446">
        <f>IF($E308=0,0,IF(MIN(CM$38,$E308)&lt;MAX($P$34*($B308+$I$38-1),IF(AND($L$37=0,$P$34=0),"",$L$37-1)),0,YEARFRAC(MAX($P$34*($B308+$I$38-1),IF(AND($L$37=0,$P$34=0),"",$L$37-1)),MIN(CM$38,$E308),$P$20))-SUM($BF308:CL308))</f>
        <v>0</v>
      </c>
      <c r="CN308" s="446">
        <f>IF($E308=0,0,IF(MIN(CN$38,$E308)&lt;MAX($P$34*($B308+$I$38-1),IF(AND($L$37=0,$P$34=0),"",$L$37-1)),0,YEARFRAC(MAX($P$34*($B308+$I$38-1),IF(AND($L$37=0,$P$34=0),"",$L$37-1)),MIN(CN$38,$E308),$P$20))-SUM($BF308:CM308))</f>
        <v>0</v>
      </c>
      <c r="CO308" s="446">
        <f>IF($E308=0,0,IF(MIN(CO$38,$E308)&lt;MAX($P$34*($B308+$I$38-1),IF(AND($L$37=0,$P$34=0),"",$L$37-1)),0,YEARFRAC(MAX($P$34*($B308+$I$38-1),IF(AND($L$37=0,$P$34=0),"",$L$37-1)),MIN(CO$38,$E308),$P$20))-SUM($BF308:CN308))</f>
        <v>0</v>
      </c>
      <c r="CP308" s="446">
        <f>IF($E308=0,0,IF(MIN(CP$38,$E308)&lt;MAX($P$34*($B308+$I$38-1),IF(AND($L$37=0,$P$34=0),"",$L$37-1)),0,YEARFRAC(MAX($P$34*($B308+$I$38-1),IF(AND($L$37=0,$P$34=0),"",$L$37-1)),MIN(CP$38,$E308),$P$20))-SUM($BF308:CO308))</f>
        <v>0</v>
      </c>
      <c r="CQ308" s="446">
        <f>IF($E308=0,0,IF(MIN(CQ$38,$E308)&lt;MAX($P$34*($B308+$I$38-1),IF(AND($L$37=0,$P$34=0),"",$L$37-1)),0,YEARFRAC(MAX($P$34*($B308+$I$38-1),IF(AND($L$37=0,$P$34=0),"",$L$37-1)),MIN(CQ$38,$E308),$P$20))-SUM($BF308:CP308))</f>
        <v>0</v>
      </c>
    </row>
    <row r="309" spans="1:95" s="446" customFormat="1" ht="11.25" hidden="1" customHeight="1" x14ac:dyDescent="0.2">
      <c r="A309" s="152"/>
      <c r="B309" s="153" t="str">
        <f t="shared" si="59"/>
        <v/>
      </c>
      <c r="C309" s="29" t="str">
        <f>IF(B309="","",IF($L$35="SELIC - TRIBUTOS",VLOOKUP(DATE(YEAR($D$19),MONTH($D$19)-1,1),ÍNDICES!$A:$DE,HLOOKUP($BL$25,ÍNDICES!$B$3:$T$4,2)+11)-VLOOKUP(B309,ÍNDICES!$A:$DE,HLOOKUP($BL$25,ÍNDICES!$B$3:$T$4,2)+11)+1%,IF(C$38=$W$26,$J$35,IF(ISERROR(IF(B309&gt;$D$19,1,VLOOKUP(DATE(YEAR(B309),MONTH(B309)+IF($C$35=$S$23,1,0),1),ÍNDICES!$A:$DE,$Z$35+1))),"",IF(B309&gt;$D$19,1,VLOOKUP(DATE(YEAR(B309),MONTH(B309)+IF($C$35=$S$23,1,0),1),ÍNDICES!$A:$DE,$Z$35+1))))))</f>
        <v/>
      </c>
      <c r="D309" s="154" t="str">
        <f>IF(ISERROR(IF(OR($D$38=$Y$27,$B309=""),"",VLOOKUP(B309,ÍNDICES!A:DE,AF$35+1))),"",IF(OR($D$38=$Y$27,$B309=""),"",VLOOKUP(B309,ÍNDICES!A:DE,AF$35+1)))</f>
        <v/>
      </c>
      <c r="E309" s="153"/>
      <c r="F309" s="29" t="str">
        <f>IF(E309="","",IF($L$35="SELIC - TRIBUTOS",VLOOKUP(DATE(YEAR($D$19),MONTH($D$19)-1,1),ÍNDICES!$A:$DE,HLOOKUP($BL$25,ÍNDICES!$B$3:$T$4,2)+11)-VLOOKUP(E309,ÍNDICES!$A:$DE,HLOOKUP($BL$25,ÍNDICES!$B$3:$T$4,2)+11)+1%,IF(F$38=$W$26,$J$35,IF(ISERROR(IF(E309&gt;$D$19,1,VLOOKUP(DATE(YEAR(E309),MONTH(E309)+IF($C$35=$S$23,1,0),1),ÍNDICES!$A:$DE,$Z$35+1))),"",IF(E309&gt;$D$19,1,VLOOKUP(DATE(YEAR(E309),MONTH(E309)+IF($C$35=$S$23,1,0),1),ÍNDICES!$A:$DE,$Z$35+1))))))</f>
        <v/>
      </c>
      <c r="G309" s="155"/>
      <c r="H309" s="156" t="str">
        <f t="shared" si="55"/>
        <v/>
      </c>
      <c r="I309" s="29" t="str">
        <f t="shared" si="49"/>
        <v/>
      </c>
      <c r="J309" s="5">
        <f t="shared" si="50"/>
        <v>0</v>
      </c>
      <c r="K309" s="20">
        <f t="shared" ca="1" si="51"/>
        <v>0</v>
      </c>
      <c r="L309" s="5">
        <f t="shared" ca="1" si="52"/>
        <v>0</v>
      </c>
      <c r="M309" s="64">
        <f t="shared" si="56"/>
        <v>0</v>
      </c>
      <c r="N309" s="61">
        <f t="shared" ca="1" si="57"/>
        <v>0</v>
      </c>
      <c r="O309" s="5">
        <f t="shared" ca="1" si="58"/>
        <v>0</v>
      </c>
      <c r="P309" s="446" t="e">
        <f t="shared" si="53"/>
        <v>#VALUE!</v>
      </c>
      <c r="Q309" s="446" t="e">
        <f>IF(OR($B309="",MIN(Q$38,$D$19)&lt;MAX($P$34*($B309+IF($R$17="Distrato",$I$38-1,0)),IF(AND($L$37=0,$P$34=0),"",$L$37-1),IF($R$17="Distrato",$E309,0))),0,YEARFRAC(MAX($P$34*($B309+IF($R$17="Distrato",$I$38-1,0)),IF(AND($L$37=0,$P$34=0),"",$L$37-1),IF($R$17="Distrato",$E309,0)),MIN(Q$38,$D$19),$P$20))-SUM($P309:P309)</f>
        <v>#VALUE!</v>
      </c>
      <c r="R309" s="446" t="e">
        <f>IF(OR($B309="",MIN(R$38,$D$19)&lt;MAX($P$34*($B309+IF($R$17="Distrato",$I$38-1,0)),IF(AND($L$37=0,$P$34=0),"",$L$37-1),IF($R$17="Distrato",$E309,0))),0,YEARFRAC(MAX($P$34*($B309+IF($R$17="Distrato",$I$38-1,0)),IF(AND($L$37=0,$P$34=0),"",$L$37-1),IF($R$17="Distrato",$E309,0)),MIN(R$38,$D$19),$P$20))-SUM($P309:Q309)</f>
        <v>#VALUE!</v>
      </c>
      <c r="S309" s="446" t="e">
        <f>IF(OR($B309="",MIN(S$38,$D$19)&lt;MAX($P$34*($B309+IF($R$17="Distrato",$I$38-1,0)),IF(AND($L$37=0,$P$34=0),"",$L$37-1),IF($R$17="Distrato",$E309,0))),0,YEARFRAC(MAX($P$34*($B309+IF($R$17="Distrato",$I$38-1,0)),IF(AND($L$37=0,$P$34=0),"",$L$37-1),IF($R$17="Distrato",$E309,0)),MIN(S$38,$D$19),$P$20))-SUM($P309:R309)</f>
        <v>#VALUE!</v>
      </c>
      <c r="T309" s="446" t="e">
        <f>IF(OR($B309="",MIN(T$38,$D$19)&lt;MAX($P$34*($B309+IF($R$17="Distrato",$I$38-1,0)),IF(AND($L$37=0,$P$34=0),"",$L$37-1),IF($R$17="Distrato",$E309,0))),0,YEARFRAC(MAX($P$34*($B309+IF($R$17="Distrato",$I$38-1,0)),IF(AND($L$37=0,$P$34=0),"",$L$37-1),IF($R$17="Distrato",$E309,0)),MIN(T$38,$D$19),$P$20))-SUM($P309:S309)</f>
        <v>#VALUE!</v>
      </c>
      <c r="U309" s="446" t="e">
        <f>IF(OR($B309="",MIN(U$38,$D$19)&lt;MAX($P$34*($B309+IF($R$17="Distrato",$I$38-1,0)),IF(AND($L$37=0,$P$34=0),"",$L$37-1),IF($R$17="Distrato",$E309,0))),0,YEARFRAC(MAX($P$34*($B309+IF($R$17="Distrato",$I$38-1,0)),IF(AND($L$37=0,$P$34=0),"",$L$37-1),IF($R$17="Distrato",$E309,0)),MIN(U$38,$D$19),$P$20))-SUM($P309:T309)</f>
        <v>#VALUE!</v>
      </c>
      <c r="V309" s="446" t="e">
        <f>IF(OR($B309="",MIN(V$38,$D$19)&lt;MAX($P$34*($B309+IF($R$17="Distrato",$I$38-1,0)),IF(AND($L$37=0,$P$34=0),"",$L$37-1),IF($R$17="Distrato",$E309,0))),0,YEARFRAC(MAX($P$34*($B309+IF($R$17="Distrato",$I$38-1,0)),IF(AND($L$37=0,$P$34=0),"",$L$37-1),IF($R$17="Distrato",$E309,0)),MIN(V$38,$D$19),$P$20))-SUM($P309:U309)</f>
        <v>#VALUE!</v>
      </c>
      <c r="W309" s="446" t="e">
        <f>IF(OR($B309="",MIN(W$38,$D$19)&lt;MAX($P$34*($B309+IF($R$17="Distrato",$I$38-1,0)),IF(AND($L$37=0,$P$34=0),"",$L$37-1),IF($R$17="Distrato",$E309,0))),0,YEARFRAC(MAX($P$34*($B309+IF($R$17="Distrato",$I$38-1,0)),IF(AND($L$37=0,$P$34=0),"",$L$37-1),IF($R$17="Distrato",$E309,0)),MIN(W$38,$D$19),$P$20))-SUM($P309:V309)</f>
        <v>#VALUE!</v>
      </c>
      <c r="X309" s="446" t="e">
        <f>IF(OR($B309="",MIN(X$38,$D$19)&lt;MAX($P$34*($B309+IF($R$17="Distrato",$I$38-1,0)),IF(AND($L$37=0,$P$34=0),"",$L$37-1),IF($R$17="Distrato",$E309,0))),0,YEARFRAC(MAX($P$34*($B309+IF($R$17="Distrato",$I$38-1,0)),IF(AND($L$37=0,$P$34=0),"",$L$37-1),IF($R$17="Distrato",$E309,0)),MIN(X$38,$D$19),$P$20))-SUM($P309:W309)</f>
        <v>#VALUE!</v>
      </c>
      <c r="Y309" s="446" t="e">
        <f>IF(OR($B309="",MIN(Y$38,$D$19)&lt;MAX($P$34*($B309+IF($R$17="Distrato",$I$38-1,0)),IF(AND($L$37=0,$P$34=0),"",$L$37-1),IF($R$17="Distrato",$E309,0))),0,YEARFRAC(MAX($P$34*($B309+IF($R$17="Distrato",$I$38-1,0)),IF(AND($L$37=0,$P$34=0),"",$L$37-1),IF($R$17="Distrato",$E309,0)),MIN(Y$38,$D$19),$P$20))-SUM($P309:X309)</f>
        <v>#VALUE!</v>
      </c>
      <c r="Z309" s="446" t="e">
        <f>IF(OR($B309="",MIN(Z$38,$D$19)&lt;MAX($P$34*($B309+IF($R$17="Distrato",$I$38-1,0)),IF(AND($L$37=0,$P$34=0),"",$L$37-1),IF($R$17="Distrato",$E309,0))),0,YEARFRAC(MAX($P$34*($B309+IF($R$17="Distrato",$I$38-1,0)),IF(AND($L$37=0,$P$34=0),"",$L$37-1),IF($R$17="Distrato",$E309,0)),MIN(Z$38,$D$19),$P$20))-SUM($P309:Y309)</f>
        <v>#VALUE!</v>
      </c>
      <c r="AA309" s="446" t="e">
        <f>IF(OR($B309="",MIN(AA$38,$D$19)&lt;MAX($P$34*($B309+IF($R$17="Distrato",$I$38-1,0)),IF(AND($L$37=0,$P$34=0),"",$L$37-1),IF($R$17="Distrato",$E309,0))),0,YEARFRAC(MAX($P$34*($B309+IF($R$17="Distrato",$I$38-1,0)),IF(AND($L$37=0,$P$34=0),"",$L$37-1),IF($R$17="Distrato",$E309,0)),MIN(AA$38,$D$19),$P$20))-SUM($P309:Z309)</f>
        <v>#VALUE!</v>
      </c>
      <c r="AB309" s="446" t="e">
        <f>IF(OR($B309="",MIN(AB$38,$D$19)&lt;MAX($P$34*($B309+IF($R$17="Distrato",$I$38-1,0)),IF(AND($L$37=0,$P$34=0),"",$L$37-1),IF($R$17="Distrato",$E309,0))),0,YEARFRAC(MAX($P$34*($B309+IF($R$17="Distrato",$I$38-1,0)),IF(AND($L$37=0,$P$34=0),"",$L$37-1),IF($R$17="Distrato",$E309,0)),MIN(AB$38,$D$19),$P$20))-SUM($P309:AA309)</f>
        <v>#VALUE!</v>
      </c>
      <c r="AC309" s="446" t="e">
        <f>IF(OR($B309="",MIN(AC$38,$D$19)&lt;MAX($P$34*($B309+IF($R$17="Distrato",$I$38-1,0)),IF(AND($L$37=0,$P$34=0),"",$L$37-1),IF($R$17="Distrato",$E309,0))),0,YEARFRAC(MAX($P$34*($B309+IF($R$17="Distrato",$I$38-1,0)),IF(AND($L$37=0,$P$34=0),"",$L$37-1),IF($R$17="Distrato",$E309,0)),MIN(AC$38,$D$19),$P$20))-SUM($P309:AB309)</f>
        <v>#VALUE!</v>
      </c>
      <c r="AD309" s="446" t="e">
        <f>IF(OR($B309="",MIN(AD$38,$D$19)&lt;MAX($P$34*($B309+IF($R$17="Distrato",$I$38-1,0)),IF(AND($L$37=0,$P$34=0),"",$L$37-1),IF($R$17="Distrato",$E309,0))),0,YEARFRAC(MAX($P$34*($B309+IF($R$17="Distrato",$I$38-1,0)),IF(AND($L$37=0,$P$34=0),"",$L$37-1),IF($R$17="Distrato",$E309,0)),MIN(AD$38,$D$19),$P$20))-SUM($P309:AC309)</f>
        <v>#VALUE!</v>
      </c>
      <c r="AE309" s="446" t="e">
        <f>IF(OR($B309="",MIN(AE$38,$D$19)&lt;MAX($P$34*($B309+IF($R$17="Distrato",$I$38-1,0)),IF(AND($L$37=0,$P$34=0),"",$L$37-1),IF($R$17="Distrato",$E309,0))),0,YEARFRAC(MAX($P$34*($B309+IF($R$17="Distrato",$I$38-1,0)),IF(AND($L$37=0,$P$34=0),"",$L$37-1),IF($R$17="Distrato",$E309,0)),MIN(AE$38,$D$19),$P$20))-SUM($P309:AD309)</f>
        <v>#VALUE!</v>
      </c>
      <c r="AF309" s="446" t="e">
        <f>IF(OR($B309="",MIN(AF$38,$D$19)&lt;MAX($P$34*($B309+IF($R$17="Distrato",$I$38-1,0)),IF(AND($L$37=0,$P$34=0),"",$L$37-1),IF($R$17="Distrato",$E309,0))),0,YEARFRAC(MAX($P$34*($B309+IF($R$17="Distrato",$I$38-1,0)),IF(AND($L$37=0,$P$34=0),"",$L$37-1),IF($R$17="Distrato",$E309,0)),MIN(AF$38,$D$19),$P$20))-SUM($P309:AE309)</f>
        <v>#VALUE!</v>
      </c>
      <c r="AG309" s="446" t="e">
        <f>IF(OR($B309="",MIN(AG$38,$D$19)&lt;MAX($P$34*($B309+IF($R$17="Distrato",$I$38-1,0)),IF(AND($L$37=0,$P$34=0),"",$L$37-1),IF($R$17="Distrato",$E309,0))),0,YEARFRAC(MAX($P$34*($B309+IF($R$17="Distrato",$I$38-1,0)),IF(AND($L$37=0,$P$34=0),"",$L$37-1),IF($R$17="Distrato",$E309,0)),MIN(AG$38,$D$19),$P$20))-SUM($P309:AF309)</f>
        <v>#VALUE!</v>
      </c>
      <c r="AH309" s="446" t="e">
        <f>IF(OR($B309="",MIN(AH$38,$D$19)&lt;MAX($P$34*($B309+IF($R$17="Distrato",$I$38-1,0)),IF(AND($L$37=0,$P$34=0),"",$L$37-1),IF($R$17="Distrato",$E309,0))),0,YEARFRAC(MAX($P$34*($B309+IF($R$17="Distrato",$I$38-1,0)),IF(AND($L$37=0,$P$34=0),"",$L$37-1),IF($R$17="Distrato",$E309,0)),MIN(AH$38,$D$19),$P$20))-SUM($P309:AG309)</f>
        <v>#VALUE!</v>
      </c>
      <c r="AI309" s="446" t="e">
        <f>IF(OR($B309="",MIN(AI$38,$D$19)&lt;MAX($P$34*($B309+IF($R$17="Distrato",$I$38-1,0)),IF(AND($L$37=0,$P$34=0),"",$L$37-1),IF($R$17="Distrato",$E309,0))),0,YEARFRAC(MAX($P$34*($B309+IF($R$17="Distrato",$I$38-1,0)),IF(AND($L$37=0,$P$34=0),"",$L$37-1),IF($R$17="Distrato",$E309,0)),MIN(AI$38,$D$19),$P$20))-SUM($P309:AH309)</f>
        <v>#VALUE!</v>
      </c>
      <c r="AJ309" s="446" t="e">
        <f>IF(OR($B309="",MIN(AJ$38,$D$19)&lt;MAX($P$34*($B309+IF($R$17="Distrato",$I$38-1,0)),IF(AND($L$37=0,$P$34=0),"",$L$37-1),IF($R$17="Distrato",$E309,0))),0,YEARFRAC(MAX($P$34*($B309+IF($R$17="Distrato",$I$38-1,0)),IF(AND($L$37=0,$P$34=0),"",$L$37-1),IF($R$17="Distrato",$E309,0)),MIN(AJ$38,$D$19),$P$20))-SUM($P309:AI309)</f>
        <v>#VALUE!</v>
      </c>
      <c r="AK309" s="446" t="e">
        <f>IF(OR($B309="",MIN(AK$38,$D$19)&lt;MAX($P$34*($B309+IF($R$17="Distrato",$I$38-1,0)),IF(AND($L$37=0,$P$34=0),"",$L$37-1),IF($R$17="Distrato",$E309,0))),0,YEARFRAC(MAX($P$34*($B309+IF($R$17="Distrato",$I$38-1,0)),IF(AND($L$37=0,$P$34=0),"",$L$37-1),IF($R$17="Distrato",$E309,0)),MIN(AK$38,$D$19),$P$20))-SUM($P309:AJ309)</f>
        <v>#VALUE!</v>
      </c>
      <c r="AL309" s="446" t="e">
        <f>IF(OR($B309="",MIN(AL$38,$D$19)&lt;MAX($P$34*($B309+IF($R$17="Distrato",$I$38-1,0)),IF(AND($L$37=0,$P$34=0),"",$L$37-1),IF($R$17="Distrato",$E309,0))),0,YEARFRAC(MAX($P$34*($B309+IF($R$17="Distrato",$I$38-1,0)),IF(AND($L$37=0,$P$34=0),"",$L$37-1),IF($R$17="Distrato",$E309,0)),MIN(AL$38,$D$19),$P$20))-SUM($P309:AK309)</f>
        <v>#VALUE!</v>
      </c>
      <c r="AM309" s="446" t="e">
        <f>IF(OR($B309="",MIN(AM$38,$D$19)&lt;MAX($P$34*($B309+IF($R$17="Distrato",$I$38-1,0)),IF(AND($L$37=0,$P$34=0),"",$L$37-1),IF($R$17="Distrato",$E309,0))),0,YEARFRAC(MAX($P$34*($B309+IF($R$17="Distrato",$I$38-1,0)),IF(AND($L$37=0,$P$34=0),"",$L$37-1),IF($R$17="Distrato",$E309,0)),MIN(AM$38,$D$19),$P$20))-SUM($P309:AL309)</f>
        <v>#VALUE!</v>
      </c>
      <c r="AN309" s="446" t="e">
        <f>IF(OR($B309="",MIN(AN$38,$D$19)&lt;MAX($P$34*($B309+IF($R$17="Distrato",$I$38-1,0)),IF(AND($L$37=0,$P$34=0),"",$L$37-1),IF($R$17="Distrato",$E309,0))),0,YEARFRAC(MAX($P$34*($B309+IF($R$17="Distrato",$I$38-1,0)),IF(AND($L$37=0,$P$34=0),"",$L$37-1),IF($R$17="Distrato",$E309,0)),MIN(AN$38,$D$19),$P$20))-SUM($P309:AM309)</f>
        <v>#VALUE!</v>
      </c>
      <c r="AO309" s="446" t="e">
        <f>IF(OR($B309="",MIN(AO$38,$D$19)&lt;MAX($P$34*($B309+IF($R$17="Distrato",$I$38-1,0)),IF(AND($L$37=0,$P$34=0),"",$L$37-1),IF($R$17="Distrato",$E309,0))),0,YEARFRAC(MAX($P$34*($B309+IF($R$17="Distrato",$I$38-1,0)),IF(AND($L$37=0,$P$34=0),"",$L$37-1),IF($R$17="Distrato",$E309,0)),MIN(AO$38,$D$19),$P$20))-SUM($P309:AN309)</f>
        <v>#VALUE!</v>
      </c>
      <c r="AP309" s="446" t="e">
        <f>IF(OR($B309="",MIN(AP$38,$D$19)&lt;MAX($P$34*($B309+IF($R$17="Distrato",$I$38-1,0)),IF(AND($L$37=0,$P$34=0),"",$L$37-1),IF($R$17="Distrato",$E309,0))),0,YEARFRAC(MAX($P$34*($B309+IF($R$17="Distrato",$I$38-1,0)),IF(AND($L$37=0,$P$34=0),"",$L$37-1),IF($R$17="Distrato",$E309,0)),MIN(AP$38,$D$19),$P$20))-SUM($P309:AO309)</f>
        <v>#VALUE!</v>
      </c>
      <c r="AQ309" s="446" t="e">
        <f>IF(OR($B309="",MIN(AQ$38,$D$19)&lt;MAX($P$34*($B309+IF($R$17="Distrato",$I$38-1,0)),IF(AND($L$37=0,$P$34=0),"",$L$37-1),IF($R$17="Distrato",$E309,0))),0,YEARFRAC(MAX($P$34*($B309+IF($R$17="Distrato",$I$38-1,0)),IF(AND($L$37=0,$P$34=0),"",$L$37-1),IF($R$17="Distrato",$E309,0)),MIN(AQ$38,$D$19),$P$20))-SUM($P309:AP309)</f>
        <v>#VALUE!</v>
      </c>
      <c r="AR309" s="446" t="e">
        <f>IF(OR($B309="",MIN(AR$38,$D$19)&lt;MAX($P$34*($B309+IF($R$17="Distrato",$I$38-1,0)),IF(AND($L$37=0,$P$34=0),"",$L$37-1),IF($R$17="Distrato",$E309,0))),0,YEARFRAC(MAX($P$34*($B309+IF($R$17="Distrato",$I$38-1,0)),IF(AND($L$37=0,$P$34=0),"",$L$37-1),IF($R$17="Distrato",$E309,0)),MIN(AR$38,$D$19),$P$20))-SUM($P309:AQ309)</f>
        <v>#VALUE!</v>
      </c>
      <c r="AS309" s="446" t="e">
        <f>IF(OR($B309="",MIN(AS$38,$D$19)&lt;MAX($P$34*($B309+IF($R$17="Distrato",$I$38-1,0)),IF(AND($L$37=0,$P$34=0),"",$L$37-1),IF($R$17="Distrato",$E309,0))),0,YEARFRAC(MAX($P$34*($B309+IF($R$17="Distrato",$I$38-1,0)),IF(AND($L$37=0,$P$34=0),"",$L$37-1),IF($R$17="Distrato",$E309,0)),MIN(AS$38,$D$19),$P$20))-SUM($P309:AR309)</f>
        <v>#VALUE!</v>
      </c>
      <c r="AT309" s="446" t="e">
        <f>IF(OR($B309="",MIN(AT$38,$D$19)&lt;MAX($P$34*($B309+IF($R$17="Distrato",$I$38-1,0)),IF(AND($L$37=0,$P$34=0),"",$L$37-1),IF($R$17="Distrato",$E309,0))),0,YEARFRAC(MAX($P$34*($B309+IF($R$17="Distrato",$I$38-1,0)),IF(AND($L$37=0,$P$34=0),"",$L$37-1),IF($R$17="Distrato",$E309,0)),MIN(AT$38,$D$19),$P$20))-SUM($P309:AS309)</f>
        <v>#VALUE!</v>
      </c>
      <c r="AU309" s="446" t="e">
        <f>IF(OR($B309="",MIN(AU$38,$D$19)&lt;MAX($P$34*($B309+IF($R$17="Distrato",$I$38-1,0)),IF(AND($L$37=0,$P$34=0),"",$L$37-1),IF($R$17="Distrato",$E309,0))),0,YEARFRAC(MAX($P$34*($B309+IF($R$17="Distrato",$I$38-1,0)),IF(AND($L$37=0,$P$34=0),"",$L$37-1),IF($R$17="Distrato",$E309,0)),MIN(AU$38,$D$19),$P$20))-SUM($P309:AT309)</f>
        <v>#VALUE!</v>
      </c>
      <c r="AV309" s="446" t="e">
        <f>IF(OR($B309="",MIN(AV$38,$D$19)&lt;MAX($P$34*($B309+IF($R$17="Distrato",$I$38-1,0)),IF(AND($L$37=0,$P$34=0),"",$L$37-1),IF($R$17="Distrato",$E309,0))),0,YEARFRAC(MAX($P$34*($B309+IF($R$17="Distrato",$I$38-1,0)),IF(AND($L$37=0,$P$34=0),"",$L$37-1),IF($R$17="Distrato",$E309,0)),MIN(AV$38,$D$19),$P$20))-SUM($P309:AU309)</f>
        <v>#VALUE!</v>
      </c>
      <c r="AW309" s="446" t="e">
        <f>IF(OR($B309="",MIN(AW$38,$D$19)&lt;MAX($P$34*($B309+IF($R$17="Distrato",$I$38-1,0)),IF(AND($L$37=0,$P$34=0),"",$L$37-1),IF($R$17="Distrato",$E309,0))),0,YEARFRAC(MAX($P$34*($B309+IF($R$17="Distrato",$I$38-1,0)),IF(AND($L$37=0,$P$34=0),"",$L$37-1),IF($R$17="Distrato",$E309,0)),MIN(AW$38,$D$19),$P$20))-SUM($P309:AV309)</f>
        <v>#VALUE!</v>
      </c>
      <c r="AX309" s="446" t="e">
        <f>IF(OR($B309="",MIN(AX$38,$D$19)&lt;MAX($P$34*($B309+IF($R$17="Distrato",$I$38-1,0)),IF(AND($L$37=0,$P$34=0),"",$L$37-1),IF($R$17="Distrato",$E309,0))),0,YEARFRAC(MAX($P$34*($B309+IF($R$17="Distrato",$I$38-1,0)),IF(AND($L$37=0,$P$34=0),"",$L$37-1),IF($R$17="Distrato",$E309,0)),MIN(AX$38,$D$19),$P$20))-SUM($P309:AW309)</f>
        <v>#VALUE!</v>
      </c>
      <c r="AY309" s="446" t="e">
        <f>IF(OR($B309="",MIN(AY$38,$D$19)&lt;MAX($P$34*($B309+IF($R$17="Distrato",$I$38-1,0)),IF(AND($L$37=0,$P$34=0),"",$L$37-1),IF($R$17="Distrato",$E309,0))),0,YEARFRAC(MAX($P$34*($B309+IF($R$17="Distrato",$I$38-1,0)),IF(AND($L$37=0,$P$34=0),"",$L$37-1),IF($R$17="Distrato",$E309,0)),MIN(AY$38,$D$19),$P$20))-SUM($P309:AX309)</f>
        <v>#VALUE!</v>
      </c>
      <c r="AZ309" s="446" t="e">
        <f>IF(OR($B309="",MIN(AZ$38,$D$19)&lt;MAX($P$34*($B309+IF($R$17="Distrato",$I$38-1,0)),IF(AND($L$37=0,$P$34=0),"",$L$37-1),IF($R$17="Distrato",$E309,0))),0,YEARFRAC(MAX($P$34*($B309+IF($R$17="Distrato",$I$38-1,0)),IF(AND($L$37=0,$P$34=0),"",$L$37-1),IF($R$17="Distrato",$E309,0)),MIN(AZ$38,$D$19),$P$20))-SUM($P309:AY309)</f>
        <v>#VALUE!</v>
      </c>
      <c r="BA309" s="446" t="e">
        <f>IF(OR($B309="",MIN(BA$38,$D$19)&lt;MAX($P$34*($B309+IF($R$17="Distrato",$I$38-1,0)),IF(AND($L$37=0,$P$34=0),"",$L$37-1),IF($R$17="Distrato",$E309,0))),0,YEARFRAC(MAX($P$34*($B309+IF($R$17="Distrato",$I$38-1,0)),IF(AND($L$37=0,$P$34=0),"",$L$37-1),IF($R$17="Distrato",$E309,0)),MIN(BA$38,$D$19),$P$20))-SUM($P309:AZ309)</f>
        <v>#VALUE!</v>
      </c>
      <c r="BB309" s="447"/>
      <c r="BF309" s="446">
        <f t="shared" si="54"/>
        <v>0</v>
      </c>
      <c r="BG309" s="446">
        <f>IF($E309=0,0,IF(MIN(BG$38,$E309)&lt;MAX($P$34*($B309+$I$38-1),IF(AND($L$37=0,$P$34=0),"",$L$37-1)),0,YEARFRAC(MAX($P$34*($B309+$I$38-1),IF(AND($L$37=0,$P$34=0),"",$L$37-1)),MIN(BG$38,$E309),$P$20))-SUM($BF309:BF309))</f>
        <v>0</v>
      </c>
      <c r="BH309" s="446">
        <f>IF($E309=0,0,IF(MIN(BH$38,$E309)&lt;MAX($P$34*($B309+$I$38-1),IF(AND($L$37=0,$P$34=0),"",$L$37-1)),0,YEARFRAC(MAX($P$34*($B309+$I$38-1),IF(AND($L$37=0,$P$34=0),"",$L$37-1)),MIN(BH$38,$E309),$P$20))-SUM($BF309:BG309))</f>
        <v>0</v>
      </c>
      <c r="BI309" s="446">
        <f>IF($E309=0,0,IF(MIN(BI$38,$E309)&lt;MAX($P$34*($B309+$I$38-1),IF(AND($L$37=0,$P$34=0),"",$L$37-1)),0,YEARFRAC(MAX($P$34*($B309+$I$38-1),IF(AND($L$37=0,$P$34=0),"",$L$37-1)),MIN(BI$38,$E309),$P$20))-SUM($BF309:BH309))</f>
        <v>0</v>
      </c>
      <c r="BJ309" s="446">
        <f>IF($E309=0,0,IF(MIN(BJ$38,$E309)&lt;MAX($P$34*($B309+$I$38-1),IF(AND($L$37=0,$P$34=0),"",$L$37-1)),0,YEARFRAC(MAX($P$34*($B309+$I$38-1),IF(AND($L$37=0,$P$34=0),"",$L$37-1)),MIN(BJ$38,$E309),$P$20))-SUM($BF309:BI309))</f>
        <v>0</v>
      </c>
      <c r="BK309" s="446">
        <f>IF($E309=0,0,IF(MIN(BK$38,$E309)&lt;MAX($P$34*($B309+$I$38-1),IF(AND($L$37=0,$P$34=0),"",$L$37-1)),0,YEARFRAC(MAX($P$34*($B309+$I$38-1),IF(AND($L$37=0,$P$34=0),"",$L$37-1)),MIN(BK$38,$E309),$P$20))-SUM($BF309:BJ309))</f>
        <v>0</v>
      </c>
      <c r="BL309" s="446">
        <f>IF($E309=0,0,IF(MIN(BL$38,$E309)&lt;MAX($P$34*($B309+$I$38-1),IF(AND($L$37=0,$P$34=0),"",$L$37-1)),0,YEARFRAC(MAX($P$34*($B309+$I$38-1),IF(AND($L$37=0,$P$34=0),"",$L$37-1)),MIN(BL$38,$E309),$P$20))-SUM($BF309:BK309))</f>
        <v>0</v>
      </c>
      <c r="BM309" s="446">
        <f>IF($E309=0,0,IF(MIN(BM$38,$E309)&lt;MAX($P$34*($B309+$I$38-1),IF(AND($L$37=0,$P$34=0),"",$L$37-1)),0,YEARFRAC(MAX($P$34*($B309+$I$38-1),IF(AND($L$37=0,$P$34=0),"",$L$37-1)),MIN(BM$38,$E309),$P$20))-SUM($BF309:BL309))</f>
        <v>0</v>
      </c>
      <c r="BN309" s="446">
        <f>IF($E309=0,0,IF(MIN(BN$38,$E309)&lt;MAX($P$34*($B309+$I$38-1),IF(AND($L$37=0,$P$34=0),"",$L$37-1)),0,YEARFRAC(MAX($P$34*($B309+$I$38-1),IF(AND($L$37=0,$P$34=0),"",$L$37-1)),MIN(BN$38,$E309),$P$20))-SUM($BF309:BM309))</f>
        <v>0</v>
      </c>
      <c r="BO309" s="446">
        <f>IF($E309=0,0,IF(MIN(BO$38,$E309)&lt;MAX($P$34*($B309+$I$38-1),IF(AND($L$37=0,$P$34=0),"",$L$37-1)),0,YEARFRAC(MAX($P$34*($B309+$I$38-1),IF(AND($L$37=0,$P$34=0),"",$L$37-1)),MIN(BO$38,$E309),$P$20))-SUM($BF309:BN309))</f>
        <v>0</v>
      </c>
      <c r="BP309" s="446">
        <f>IF($E309=0,0,IF(MIN(BP$38,$E309)&lt;MAX($P$34*($B309+$I$38-1),IF(AND($L$37=0,$P$34=0),"",$L$37-1)),0,YEARFRAC(MAX($P$34*($B309+$I$38-1),IF(AND($L$37=0,$P$34=0),"",$L$37-1)),MIN(BP$38,$E309),$P$20))-SUM($BF309:BO309))</f>
        <v>0</v>
      </c>
      <c r="BQ309" s="446">
        <f>IF($E309=0,0,IF(MIN(BQ$38,$E309)&lt;MAX($P$34*($B309+$I$38-1),IF(AND($L$37=0,$P$34=0),"",$L$37-1)),0,YEARFRAC(MAX($P$34*($B309+$I$38-1),IF(AND($L$37=0,$P$34=0),"",$L$37-1)),MIN(BQ$38,$E309),$P$20))-SUM($BF309:BP309))</f>
        <v>0</v>
      </c>
      <c r="BR309" s="446">
        <f>IF($E309=0,0,IF(MIN(BR$38,$E309)&lt;MAX($P$34*($B309+$I$38-1),IF(AND($L$37=0,$P$34=0),"",$L$37-1)),0,YEARFRAC(MAX($P$34*($B309+$I$38-1),IF(AND($L$37=0,$P$34=0),"",$L$37-1)),MIN(BR$38,$E309),$P$20))-SUM($BF309:BQ309))</f>
        <v>0</v>
      </c>
      <c r="BS309" s="446">
        <f>IF($E309=0,0,IF(MIN(BS$38,$E309)&lt;MAX($P$34*($B309+$I$38-1),IF(AND($L$37=0,$P$34=0),"",$L$37-1)),0,YEARFRAC(MAX($P$34*($B309+$I$38-1),IF(AND($L$37=0,$P$34=0),"",$L$37-1)),MIN(BS$38,$E309),$P$20))-SUM($BF309:BR309))</f>
        <v>0</v>
      </c>
      <c r="BT309" s="446">
        <f>IF($E309=0,0,IF(MIN(BT$38,$E309)&lt;MAX($P$34*($B309+$I$38-1),IF(AND($L$37=0,$P$34=0),"",$L$37-1)),0,YEARFRAC(MAX($P$34*($B309+$I$38-1),IF(AND($L$37=0,$P$34=0),"",$L$37-1)),MIN(BT$38,$E309),$P$20))-SUM($BF309:BS309))</f>
        <v>0</v>
      </c>
      <c r="BU309" s="446">
        <f>IF($E309=0,0,IF(MIN(BU$38,$E309)&lt;MAX($P$34*($B309+$I$38-1),IF(AND($L$37=0,$P$34=0),"",$L$37-1)),0,YEARFRAC(MAX($P$34*($B309+$I$38-1),IF(AND($L$37=0,$P$34=0),"",$L$37-1)),MIN(BU$38,$E309),$P$20))-SUM($BF309:BT309))</f>
        <v>0</v>
      </c>
      <c r="BV309" s="446">
        <f>IF($E309=0,0,IF(MIN(BV$38,$E309)&lt;MAX($P$34*($B309+$I$38-1),IF(AND($L$37=0,$P$34=0),"",$L$37-1)),0,YEARFRAC(MAX($P$34*($B309+$I$38-1),IF(AND($L$37=0,$P$34=0),"",$L$37-1)),MIN(BV$38,$E309),$P$20))-SUM($BF309:BU309))</f>
        <v>0</v>
      </c>
      <c r="BW309" s="446">
        <f>IF($E309=0,0,IF(MIN(BW$38,$E309)&lt;MAX($P$34*($B309+$I$38-1),IF(AND($L$37=0,$P$34=0),"",$L$37-1)),0,YEARFRAC(MAX($P$34*($B309+$I$38-1),IF(AND($L$37=0,$P$34=0),"",$L$37-1)),MIN(BW$38,$E309),$P$20))-SUM($BF309:BV309))</f>
        <v>0</v>
      </c>
      <c r="BX309" s="446">
        <f>IF($E309=0,0,IF(MIN(BX$38,$E309)&lt;MAX($P$34*($B309+$I$38-1),IF(AND($L$37=0,$P$34=0),"",$L$37-1)),0,YEARFRAC(MAX($P$34*($B309+$I$38-1),IF(AND($L$37=0,$P$34=0),"",$L$37-1)),MIN(BX$38,$E309),$P$20))-SUM($BF309:BW309))</f>
        <v>0</v>
      </c>
      <c r="BY309" s="446">
        <f>IF($E309=0,0,IF(MIN(BY$38,$E309)&lt;MAX($P$34*($B309+$I$38-1),IF(AND($L$37=0,$P$34=0),"",$L$37-1)),0,YEARFRAC(MAX($P$34*($B309+$I$38-1),IF(AND($L$37=0,$P$34=0),"",$L$37-1)),MIN(BY$38,$E309),$P$20))-SUM($BF309:BX309))</f>
        <v>0</v>
      </c>
      <c r="BZ309" s="446">
        <f>IF($E309=0,0,IF(MIN(BZ$38,$E309)&lt;MAX($P$34*($B309+$I$38-1),IF(AND($L$37=0,$P$34=0),"",$L$37-1)),0,YEARFRAC(MAX($P$34*($B309+$I$38-1),IF(AND($L$37=0,$P$34=0),"",$L$37-1)),MIN(BZ$38,$E309),$P$20))-SUM($BF309:BY309))</f>
        <v>0</v>
      </c>
      <c r="CA309" s="446">
        <f>IF($E309=0,0,IF(MIN(CA$38,$E309)&lt;MAX($P$34*($B309+$I$38-1),IF(AND($L$37=0,$P$34=0),"",$L$37-1)),0,YEARFRAC(MAX($P$34*($B309+$I$38-1),IF(AND($L$37=0,$P$34=0),"",$L$37-1)),MIN(CA$38,$E309),$P$20))-SUM($BF309:BZ309))</f>
        <v>0</v>
      </c>
      <c r="CB309" s="446">
        <f>IF($E309=0,0,IF(MIN(CB$38,$E309)&lt;MAX($P$34*($B309+$I$38-1),IF(AND($L$37=0,$P$34=0),"",$L$37-1)),0,YEARFRAC(MAX($P$34*($B309+$I$38-1),IF(AND($L$37=0,$P$34=0),"",$L$37-1)),MIN(CB$38,$E309),$P$20))-SUM($BF309:CA309))</f>
        <v>0</v>
      </c>
      <c r="CC309" s="446">
        <f>IF($E309=0,0,IF(MIN(CC$38,$E309)&lt;MAX($P$34*($B309+$I$38-1),IF(AND($L$37=0,$P$34=0),"",$L$37-1)),0,YEARFRAC(MAX($P$34*($B309+$I$38-1),IF(AND($L$37=0,$P$34=0),"",$L$37-1)),MIN(CC$38,$E309),$P$20))-SUM($BF309:CB309))</f>
        <v>0</v>
      </c>
      <c r="CD309" s="446">
        <f>IF($E309=0,0,IF(MIN(CD$38,$E309)&lt;MAX($P$34*($B309+$I$38-1),IF(AND($L$37=0,$P$34=0),"",$L$37-1)),0,YEARFRAC(MAX($P$34*($B309+$I$38-1),IF(AND($L$37=0,$P$34=0),"",$L$37-1)),MIN(CD$38,$E309),$P$20))-SUM($BF309:CC309))</f>
        <v>0</v>
      </c>
      <c r="CE309" s="446">
        <f>IF($E309=0,0,IF(MIN(CE$38,$E309)&lt;MAX($P$34*($B309+$I$38-1),IF(AND($L$37=0,$P$34=0),"",$L$37-1)),0,YEARFRAC(MAX($P$34*($B309+$I$38-1),IF(AND($L$37=0,$P$34=0),"",$L$37-1)),MIN(CE$38,$E309),$P$20))-SUM($BF309:CD309))</f>
        <v>0</v>
      </c>
      <c r="CF309" s="446">
        <f>IF($E309=0,0,IF(MIN(CF$38,$E309)&lt;MAX($P$34*($B309+$I$38-1),IF(AND($L$37=0,$P$34=0),"",$L$37-1)),0,YEARFRAC(MAX($P$34*($B309+$I$38-1),IF(AND($L$37=0,$P$34=0),"",$L$37-1)),MIN(CF$38,$E309),$P$20))-SUM($BF309:CE309))</f>
        <v>0</v>
      </c>
      <c r="CG309" s="446">
        <f>IF($E309=0,0,IF(MIN(CG$38,$E309)&lt;MAX($P$34*($B309+$I$38-1),IF(AND($L$37=0,$P$34=0),"",$L$37-1)),0,YEARFRAC(MAX($P$34*($B309+$I$38-1),IF(AND($L$37=0,$P$34=0),"",$L$37-1)),MIN(CG$38,$E309),$P$20))-SUM($BF309:CF309))</f>
        <v>0</v>
      </c>
      <c r="CH309" s="446">
        <f>IF($E309=0,0,IF(MIN(CH$38,$E309)&lt;MAX($P$34*($B309+$I$38-1),IF(AND($L$37=0,$P$34=0),"",$L$37-1)),0,YEARFRAC(MAX($P$34*($B309+$I$38-1),IF(AND($L$37=0,$P$34=0),"",$L$37-1)),MIN(CH$38,$E309),$P$20))-SUM($BF309:CG309))</f>
        <v>0</v>
      </c>
      <c r="CI309" s="446">
        <f>IF($E309=0,0,IF(MIN(CI$38,$E309)&lt;MAX($P$34*($B309+$I$38-1),IF(AND($L$37=0,$P$34=0),"",$L$37-1)),0,YEARFRAC(MAX($P$34*($B309+$I$38-1),IF(AND($L$37=0,$P$34=0),"",$L$37-1)),MIN(CI$38,$E309),$P$20))-SUM($BF309:CH309))</f>
        <v>0</v>
      </c>
      <c r="CJ309" s="446">
        <f>IF($E309=0,0,IF(MIN(CJ$38,$E309)&lt;MAX($P$34*($B309+$I$38-1),IF(AND($L$37=0,$P$34=0),"",$L$37-1)),0,YEARFRAC(MAX($P$34*($B309+$I$38-1),IF(AND($L$37=0,$P$34=0),"",$L$37-1)),MIN(CJ$38,$E309),$P$20))-SUM($BF309:CI309))</f>
        <v>0</v>
      </c>
      <c r="CK309" s="446">
        <f>IF($E309=0,0,IF(MIN(CK$38,$E309)&lt;MAX($P$34*($B309+$I$38-1),IF(AND($L$37=0,$P$34=0),"",$L$37-1)),0,YEARFRAC(MAX($P$34*($B309+$I$38-1),IF(AND($L$37=0,$P$34=0),"",$L$37-1)),MIN(CK$38,$E309),$P$20))-SUM($BF309:CJ309))</f>
        <v>0</v>
      </c>
      <c r="CL309" s="446">
        <f>IF($E309=0,0,IF(MIN(CL$38,$E309)&lt;MAX($P$34*($B309+$I$38-1),IF(AND($L$37=0,$P$34=0),"",$L$37-1)),0,YEARFRAC(MAX($P$34*($B309+$I$38-1),IF(AND($L$37=0,$P$34=0),"",$L$37-1)),MIN(CL$38,$E309),$P$20))-SUM($BF309:CK309))</f>
        <v>0</v>
      </c>
      <c r="CM309" s="446">
        <f>IF($E309=0,0,IF(MIN(CM$38,$E309)&lt;MAX($P$34*($B309+$I$38-1),IF(AND($L$37=0,$P$34=0),"",$L$37-1)),0,YEARFRAC(MAX($P$34*($B309+$I$38-1),IF(AND($L$37=0,$P$34=0),"",$L$37-1)),MIN(CM$38,$E309),$P$20))-SUM($BF309:CL309))</f>
        <v>0</v>
      </c>
      <c r="CN309" s="446">
        <f>IF($E309=0,0,IF(MIN(CN$38,$E309)&lt;MAX($P$34*($B309+$I$38-1),IF(AND($L$37=0,$P$34=0),"",$L$37-1)),0,YEARFRAC(MAX($P$34*($B309+$I$38-1),IF(AND($L$37=0,$P$34=0),"",$L$37-1)),MIN(CN$38,$E309),$P$20))-SUM($BF309:CM309))</f>
        <v>0</v>
      </c>
      <c r="CO309" s="446">
        <f>IF($E309=0,0,IF(MIN(CO$38,$E309)&lt;MAX($P$34*($B309+$I$38-1),IF(AND($L$37=0,$P$34=0),"",$L$37-1)),0,YEARFRAC(MAX($P$34*($B309+$I$38-1),IF(AND($L$37=0,$P$34=0),"",$L$37-1)),MIN(CO$38,$E309),$P$20))-SUM($BF309:CN309))</f>
        <v>0</v>
      </c>
      <c r="CP309" s="446">
        <f>IF($E309=0,0,IF(MIN(CP$38,$E309)&lt;MAX($P$34*($B309+$I$38-1),IF(AND($L$37=0,$P$34=0),"",$L$37-1)),0,YEARFRAC(MAX($P$34*($B309+$I$38-1),IF(AND($L$37=0,$P$34=0),"",$L$37-1)),MIN(CP$38,$E309),$P$20))-SUM($BF309:CO309))</f>
        <v>0</v>
      </c>
      <c r="CQ309" s="446">
        <f>IF($E309=0,0,IF(MIN(CQ$38,$E309)&lt;MAX($P$34*($B309+$I$38-1),IF(AND($L$37=0,$P$34=0),"",$L$37-1)),0,YEARFRAC(MAX($P$34*($B309+$I$38-1),IF(AND($L$37=0,$P$34=0),"",$L$37-1)),MIN(CQ$38,$E309),$P$20))-SUM($BF309:CP309))</f>
        <v>0</v>
      </c>
    </row>
    <row r="310" spans="1:95" s="446" customFormat="1" ht="11.25" hidden="1" customHeight="1" x14ac:dyDescent="0.2">
      <c r="A310" s="152"/>
      <c r="B310" s="153" t="str">
        <f t="shared" si="59"/>
        <v/>
      </c>
      <c r="C310" s="29" t="str">
        <f>IF(B310="","",IF($L$35="SELIC - TRIBUTOS",VLOOKUP(DATE(YEAR($D$19),MONTH($D$19)-1,1),ÍNDICES!$A:$DE,HLOOKUP($BL$25,ÍNDICES!$B$3:$T$4,2)+11)-VLOOKUP(B310,ÍNDICES!$A:$DE,HLOOKUP($BL$25,ÍNDICES!$B$3:$T$4,2)+11)+1%,IF(C$38=$W$26,$J$35,IF(ISERROR(IF(B310&gt;$D$19,1,VLOOKUP(DATE(YEAR(B310),MONTH(B310)+IF($C$35=$S$23,1,0),1),ÍNDICES!$A:$DE,$Z$35+1))),"",IF(B310&gt;$D$19,1,VLOOKUP(DATE(YEAR(B310),MONTH(B310)+IF($C$35=$S$23,1,0),1),ÍNDICES!$A:$DE,$Z$35+1))))))</f>
        <v/>
      </c>
      <c r="D310" s="154" t="str">
        <f>IF(ISERROR(IF(OR($D$38=$Y$27,$B310=""),"",VLOOKUP(B310,ÍNDICES!A:DE,AF$35+1))),"",IF(OR($D$38=$Y$27,$B310=""),"",VLOOKUP(B310,ÍNDICES!A:DE,AF$35+1)))</f>
        <v/>
      </c>
      <c r="E310" s="153"/>
      <c r="F310" s="29" t="str">
        <f>IF(E310="","",IF($L$35="SELIC - TRIBUTOS",VLOOKUP(DATE(YEAR($D$19),MONTH($D$19)-1,1),ÍNDICES!$A:$DE,HLOOKUP($BL$25,ÍNDICES!$B$3:$T$4,2)+11)-VLOOKUP(E310,ÍNDICES!$A:$DE,HLOOKUP($BL$25,ÍNDICES!$B$3:$T$4,2)+11)+1%,IF(F$38=$W$26,$J$35,IF(ISERROR(IF(E310&gt;$D$19,1,VLOOKUP(DATE(YEAR(E310),MONTH(E310)+IF($C$35=$S$23,1,0),1),ÍNDICES!$A:$DE,$Z$35+1))),"",IF(E310&gt;$D$19,1,VLOOKUP(DATE(YEAR(E310),MONTH(E310)+IF($C$35=$S$23,1,0),1),ÍNDICES!$A:$DE,$Z$35+1))))))</f>
        <v/>
      </c>
      <c r="G310" s="155"/>
      <c r="H310" s="156" t="str">
        <f t="shared" si="55"/>
        <v/>
      </c>
      <c r="I310" s="29" t="str">
        <f t="shared" si="49"/>
        <v/>
      </c>
      <c r="J310" s="5">
        <f t="shared" si="50"/>
        <v>0</v>
      </c>
      <c r="K310" s="20">
        <f t="shared" ca="1" si="51"/>
        <v>0</v>
      </c>
      <c r="L310" s="5">
        <f t="shared" ca="1" si="52"/>
        <v>0</v>
      </c>
      <c r="M310" s="64">
        <f t="shared" si="56"/>
        <v>0</v>
      </c>
      <c r="N310" s="61">
        <f t="shared" ca="1" si="57"/>
        <v>0</v>
      </c>
      <c r="O310" s="5">
        <f t="shared" ca="1" si="58"/>
        <v>0</v>
      </c>
      <c r="P310" s="446" t="e">
        <f t="shared" si="53"/>
        <v>#VALUE!</v>
      </c>
      <c r="Q310" s="446" t="e">
        <f>IF(OR($B310="",MIN(Q$38,$D$19)&lt;MAX($P$34*($B310+IF($R$17="Distrato",$I$38-1,0)),IF(AND($L$37=0,$P$34=0),"",$L$37-1),IF($R$17="Distrato",$E310,0))),0,YEARFRAC(MAX($P$34*($B310+IF($R$17="Distrato",$I$38-1,0)),IF(AND($L$37=0,$P$34=0),"",$L$37-1),IF($R$17="Distrato",$E310,0)),MIN(Q$38,$D$19),$P$20))-SUM($P310:P310)</f>
        <v>#VALUE!</v>
      </c>
      <c r="R310" s="446" t="e">
        <f>IF(OR($B310="",MIN(R$38,$D$19)&lt;MAX($P$34*($B310+IF($R$17="Distrato",$I$38-1,0)),IF(AND($L$37=0,$P$34=0),"",$L$37-1),IF($R$17="Distrato",$E310,0))),0,YEARFRAC(MAX($P$34*($B310+IF($R$17="Distrato",$I$38-1,0)),IF(AND($L$37=0,$P$34=0),"",$L$37-1),IF($R$17="Distrato",$E310,0)),MIN(R$38,$D$19),$P$20))-SUM($P310:Q310)</f>
        <v>#VALUE!</v>
      </c>
      <c r="S310" s="446" t="e">
        <f>IF(OR($B310="",MIN(S$38,$D$19)&lt;MAX($P$34*($B310+IF($R$17="Distrato",$I$38-1,0)),IF(AND($L$37=0,$P$34=0),"",$L$37-1),IF($R$17="Distrato",$E310,0))),0,YEARFRAC(MAX($P$34*($B310+IF($R$17="Distrato",$I$38-1,0)),IF(AND($L$37=0,$P$34=0),"",$L$37-1),IF($R$17="Distrato",$E310,0)),MIN(S$38,$D$19),$P$20))-SUM($P310:R310)</f>
        <v>#VALUE!</v>
      </c>
      <c r="T310" s="446" t="e">
        <f>IF(OR($B310="",MIN(T$38,$D$19)&lt;MAX($P$34*($B310+IF($R$17="Distrato",$I$38-1,0)),IF(AND($L$37=0,$P$34=0),"",$L$37-1),IF($R$17="Distrato",$E310,0))),0,YEARFRAC(MAX($P$34*($B310+IF($R$17="Distrato",$I$38-1,0)),IF(AND($L$37=0,$P$34=0),"",$L$37-1),IF($R$17="Distrato",$E310,0)),MIN(T$38,$D$19),$P$20))-SUM($P310:S310)</f>
        <v>#VALUE!</v>
      </c>
      <c r="U310" s="446" t="e">
        <f>IF(OR($B310="",MIN(U$38,$D$19)&lt;MAX($P$34*($B310+IF($R$17="Distrato",$I$38-1,0)),IF(AND($L$37=0,$P$34=0),"",$L$37-1),IF($R$17="Distrato",$E310,0))),0,YEARFRAC(MAX($P$34*($B310+IF($R$17="Distrato",$I$38-1,0)),IF(AND($L$37=0,$P$34=0),"",$L$37-1),IF($R$17="Distrato",$E310,0)),MIN(U$38,$D$19),$P$20))-SUM($P310:T310)</f>
        <v>#VALUE!</v>
      </c>
      <c r="V310" s="446" t="e">
        <f>IF(OR($B310="",MIN(V$38,$D$19)&lt;MAX($P$34*($B310+IF($R$17="Distrato",$I$38-1,0)),IF(AND($L$37=0,$P$34=0),"",$L$37-1),IF($R$17="Distrato",$E310,0))),0,YEARFRAC(MAX($P$34*($B310+IF($R$17="Distrato",$I$38-1,0)),IF(AND($L$37=0,$P$34=0),"",$L$37-1),IF($R$17="Distrato",$E310,0)),MIN(V$38,$D$19),$P$20))-SUM($P310:U310)</f>
        <v>#VALUE!</v>
      </c>
      <c r="W310" s="446" t="e">
        <f>IF(OR($B310="",MIN(W$38,$D$19)&lt;MAX($P$34*($B310+IF($R$17="Distrato",$I$38-1,0)),IF(AND($L$37=0,$P$34=0),"",$L$37-1),IF($R$17="Distrato",$E310,0))),0,YEARFRAC(MAX($P$34*($B310+IF($R$17="Distrato",$I$38-1,0)),IF(AND($L$37=0,$P$34=0),"",$L$37-1),IF($R$17="Distrato",$E310,0)),MIN(W$38,$D$19),$P$20))-SUM($P310:V310)</f>
        <v>#VALUE!</v>
      </c>
      <c r="X310" s="446" t="e">
        <f>IF(OR($B310="",MIN(X$38,$D$19)&lt;MAX($P$34*($B310+IF($R$17="Distrato",$I$38-1,0)),IF(AND($L$37=0,$P$34=0),"",$L$37-1),IF($R$17="Distrato",$E310,0))),0,YEARFRAC(MAX($P$34*($B310+IF($R$17="Distrato",$I$38-1,0)),IF(AND($L$37=0,$P$34=0),"",$L$37-1),IF($R$17="Distrato",$E310,0)),MIN(X$38,$D$19),$P$20))-SUM($P310:W310)</f>
        <v>#VALUE!</v>
      </c>
      <c r="Y310" s="446" t="e">
        <f>IF(OR($B310="",MIN(Y$38,$D$19)&lt;MAX($P$34*($B310+IF($R$17="Distrato",$I$38-1,0)),IF(AND($L$37=0,$P$34=0),"",$L$37-1),IF($R$17="Distrato",$E310,0))),0,YEARFRAC(MAX($P$34*($B310+IF($R$17="Distrato",$I$38-1,0)),IF(AND($L$37=0,$P$34=0),"",$L$37-1),IF($R$17="Distrato",$E310,0)),MIN(Y$38,$D$19),$P$20))-SUM($P310:X310)</f>
        <v>#VALUE!</v>
      </c>
      <c r="Z310" s="446" t="e">
        <f>IF(OR($B310="",MIN(Z$38,$D$19)&lt;MAX($P$34*($B310+IF($R$17="Distrato",$I$38-1,0)),IF(AND($L$37=0,$P$34=0),"",$L$37-1),IF($R$17="Distrato",$E310,0))),0,YEARFRAC(MAX($P$34*($B310+IF($R$17="Distrato",$I$38-1,0)),IF(AND($L$37=0,$P$34=0),"",$L$37-1),IF($R$17="Distrato",$E310,0)),MIN(Z$38,$D$19),$P$20))-SUM($P310:Y310)</f>
        <v>#VALUE!</v>
      </c>
      <c r="AA310" s="446" t="e">
        <f>IF(OR($B310="",MIN(AA$38,$D$19)&lt;MAX($P$34*($B310+IF($R$17="Distrato",$I$38-1,0)),IF(AND($L$37=0,$P$34=0),"",$L$37-1),IF($R$17="Distrato",$E310,0))),0,YEARFRAC(MAX($P$34*($B310+IF($R$17="Distrato",$I$38-1,0)),IF(AND($L$37=0,$P$34=0),"",$L$37-1),IF($R$17="Distrato",$E310,0)),MIN(AA$38,$D$19),$P$20))-SUM($P310:Z310)</f>
        <v>#VALUE!</v>
      </c>
      <c r="AB310" s="446" t="e">
        <f>IF(OR($B310="",MIN(AB$38,$D$19)&lt;MAX($P$34*($B310+IF($R$17="Distrato",$I$38-1,0)),IF(AND($L$37=0,$P$34=0),"",$L$37-1),IF($R$17="Distrato",$E310,0))),0,YEARFRAC(MAX($P$34*($B310+IF($R$17="Distrato",$I$38-1,0)),IF(AND($L$37=0,$P$34=0),"",$L$37-1),IF($R$17="Distrato",$E310,0)),MIN(AB$38,$D$19),$P$20))-SUM($P310:AA310)</f>
        <v>#VALUE!</v>
      </c>
      <c r="AC310" s="446" t="e">
        <f>IF(OR($B310="",MIN(AC$38,$D$19)&lt;MAX($P$34*($B310+IF($R$17="Distrato",$I$38-1,0)),IF(AND($L$37=0,$P$34=0),"",$L$37-1),IF($R$17="Distrato",$E310,0))),0,YEARFRAC(MAX($P$34*($B310+IF($R$17="Distrato",$I$38-1,0)),IF(AND($L$37=0,$P$34=0),"",$L$37-1),IF($R$17="Distrato",$E310,0)),MIN(AC$38,$D$19),$P$20))-SUM($P310:AB310)</f>
        <v>#VALUE!</v>
      </c>
      <c r="AD310" s="446" t="e">
        <f>IF(OR($B310="",MIN(AD$38,$D$19)&lt;MAX($P$34*($B310+IF($R$17="Distrato",$I$38-1,0)),IF(AND($L$37=0,$P$34=0),"",$L$37-1),IF($R$17="Distrato",$E310,0))),0,YEARFRAC(MAX($P$34*($B310+IF($R$17="Distrato",$I$38-1,0)),IF(AND($L$37=0,$P$34=0),"",$L$37-1),IF($R$17="Distrato",$E310,0)),MIN(AD$38,$D$19),$P$20))-SUM($P310:AC310)</f>
        <v>#VALUE!</v>
      </c>
      <c r="AE310" s="446" t="e">
        <f>IF(OR($B310="",MIN(AE$38,$D$19)&lt;MAX($P$34*($B310+IF($R$17="Distrato",$I$38-1,0)),IF(AND($L$37=0,$P$34=0),"",$L$37-1),IF($R$17="Distrato",$E310,0))),0,YEARFRAC(MAX($P$34*($B310+IF($R$17="Distrato",$I$38-1,0)),IF(AND($L$37=0,$P$34=0),"",$L$37-1),IF($R$17="Distrato",$E310,0)),MIN(AE$38,$D$19),$P$20))-SUM($P310:AD310)</f>
        <v>#VALUE!</v>
      </c>
      <c r="AF310" s="446" t="e">
        <f>IF(OR($B310="",MIN(AF$38,$D$19)&lt;MAX($P$34*($B310+IF($R$17="Distrato",$I$38-1,0)),IF(AND($L$37=0,$P$34=0),"",$L$37-1),IF($R$17="Distrato",$E310,0))),0,YEARFRAC(MAX($P$34*($B310+IF($R$17="Distrato",$I$38-1,0)),IF(AND($L$37=0,$P$34=0),"",$L$37-1),IF($R$17="Distrato",$E310,0)),MIN(AF$38,$D$19),$P$20))-SUM($P310:AE310)</f>
        <v>#VALUE!</v>
      </c>
      <c r="AG310" s="446" t="e">
        <f>IF(OR($B310="",MIN(AG$38,$D$19)&lt;MAX($P$34*($B310+IF($R$17="Distrato",$I$38-1,0)),IF(AND($L$37=0,$P$34=0),"",$L$37-1),IF($R$17="Distrato",$E310,0))),0,YEARFRAC(MAX($P$34*($B310+IF($R$17="Distrato",$I$38-1,0)),IF(AND($L$37=0,$P$34=0),"",$L$37-1),IF($R$17="Distrato",$E310,0)),MIN(AG$38,$D$19),$P$20))-SUM($P310:AF310)</f>
        <v>#VALUE!</v>
      </c>
      <c r="AH310" s="446" t="e">
        <f>IF(OR($B310="",MIN(AH$38,$D$19)&lt;MAX($P$34*($B310+IF($R$17="Distrato",$I$38-1,0)),IF(AND($L$37=0,$P$34=0),"",$L$37-1),IF($R$17="Distrato",$E310,0))),0,YEARFRAC(MAX($P$34*($B310+IF($R$17="Distrato",$I$38-1,0)),IF(AND($L$37=0,$P$34=0),"",$L$37-1),IF($R$17="Distrato",$E310,0)),MIN(AH$38,$D$19),$P$20))-SUM($P310:AG310)</f>
        <v>#VALUE!</v>
      </c>
      <c r="AI310" s="446" t="e">
        <f>IF(OR($B310="",MIN(AI$38,$D$19)&lt;MAX($P$34*($B310+IF($R$17="Distrato",$I$38-1,0)),IF(AND($L$37=0,$P$34=0),"",$L$37-1),IF($R$17="Distrato",$E310,0))),0,YEARFRAC(MAX($P$34*($B310+IF($R$17="Distrato",$I$38-1,0)),IF(AND($L$37=0,$P$34=0),"",$L$37-1),IF($R$17="Distrato",$E310,0)),MIN(AI$38,$D$19),$P$20))-SUM($P310:AH310)</f>
        <v>#VALUE!</v>
      </c>
      <c r="AJ310" s="446" t="e">
        <f>IF(OR($B310="",MIN(AJ$38,$D$19)&lt;MAX($P$34*($B310+IF($R$17="Distrato",$I$38-1,0)),IF(AND($L$37=0,$P$34=0),"",$L$37-1),IF($R$17="Distrato",$E310,0))),0,YEARFRAC(MAX($P$34*($B310+IF($R$17="Distrato",$I$38-1,0)),IF(AND($L$37=0,$P$34=0),"",$L$37-1),IF($R$17="Distrato",$E310,0)),MIN(AJ$38,$D$19),$P$20))-SUM($P310:AI310)</f>
        <v>#VALUE!</v>
      </c>
      <c r="AK310" s="446" t="e">
        <f>IF(OR($B310="",MIN(AK$38,$D$19)&lt;MAX($P$34*($B310+IF($R$17="Distrato",$I$38-1,0)),IF(AND($L$37=0,$P$34=0),"",$L$37-1),IF($R$17="Distrato",$E310,0))),0,YEARFRAC(MAX($P$34*($B310+IF($R$17="Distrato",$I$38-1,0)),IF(AND($L$37=0,$P$34=0),"",$L$37-1),IF($R$17="Distrato",$E310,0)),MIN(AK$38,$D$19),$P$20))-SUM($P310:AJ310)</f>
        <v>#VALUE!</v>
      </c>
      <c r="AL310" s="446" t="e">
        <f>IF(OR($B310="",MIN(AL$38,$D$19)&lt;MAX($P$34*($B310+IF($R$17="Distrato",$I$38-1,0)),IF(AND($L$37=0,$P$34=0),"",$L$37-1),IF($R$17="Distrato",$E310,0))),0,YEARFRAC(MAX($P$34*($B310+IF($R$17="Distrato",$I$38-1,0)),IF(AND($L$37=0,$P$34=0),"",$L$37-1),IF($R$17="Distrato",$E310,0)),MIN(AL$38,$D$19),$P$20))-SUM($P310:AK310)</f>
        <v>#VALUE!</v>
      </c>
      <c r="AM310" s="446" t="e">
        <f>IF(OR($B310="",MIN(AM$38,$D$19)&lt;MAX($P$34*($B310+IF($R$17="Distrato",$I$38-1,0)),IF(AND($L$37=0,$P$34=0),"",$L$37-1),IF($R$17="Distrato",$E310,0))),0,YEARFRAC(MAX($P$34*($B310+IF($R$17="Distrato",$I$38-1,0)),IF(AND($L$37=0,$P$34=0),"",$L$37-1),IF($R$17="Distrato",$E310,0)),MIN(AM$38,$D$19),$P$20))-SUM($P310:AL310)</f>
        <v>#VALUE!</v>
      </c>
      <c r="AN310" s="446" t="e">
        <f>IF(OR($B310="",MIN(AN$38,$D$19)&lt;MAX($P$34*($B310+IF($R$17="Distrato",$I$38-1,0)),IF(AND($L$37=0,$P$34=0),"",$L$37-1),IF($R$17="Distrato",$E310,0))),0,YEARFRAC(MAX($P$34*($B310+IF($R$17="Distrato",$I$38-1,0)),IF(AND($L$37=0,$P$34=0),"",$L$37-1),IF($R$17="Distrato",$E310,0)),MIN(AN$38,$D$19),$P$20))-SUM($P310:AM310)</f>
        <v>#VALUE!</v>
      </c>
      <c r="AO310" s="446" t="e">
        <f>IF(OR($B310="",MIN(AO$38,$D$19)&lt;MAX($P$34*($B310+IF($R$17="Distrato",$I$38-1,0)),IF(AND($L$37=0,$P$34=0),"",$L$37-1),IF($R$17="Distrato",$E310,0))),0,YEARFRAC(MAX($P$34*($B310+IF($R$17="Distrato",$I$38-1,0)),IF(AND($L$37=0,$P$34=0),"",$L$37-1),IF($R$17="Distrato",$E310,0)),MIN(AO$38,$D$19),$P$20))-SUM($P310:AN310)</f>
        <v>#VALUE!</v>
      </c>
      <c r="AP310" s="446" t="e">
        <f>IF(OR($B310="",MIN(AP$38,$D$19)&lt;MAX($P$34*($B310+IF($R$17="Distrato",$I$38-1,0)),IF(AND($L$37=0,$P$34=0),"",$L$37-1),IF($R$17="Distrato",$E310,0))),0,YEARFRAC(MAX($P$34*($B310+IF($R$17="Distrato",$I$38-1,0)),IF(AND($L$37=0,$P$34=0),"",$L$37-1),IF($R$17="Distrato",$E310,0)),MIN(AP$38,$D$19),$P$20))-SUM($P310:AO310)</f>
        <v>#VALUE!</v>
      </c>
      <c r="AQ310" s="446" t="e">
        <f>IF(OR($B310="",MIN(AQ$38,$D$19)&lt;MAX($P$34*($B310+IF($R$17="Distrato",$I$38-1,0)),IF(AND($L$37=0,$P$34=0),"",$L$37-1),IF($R$17="Distrato",$E310,0))),0,YEARFRAC(MAX($P$34*($B310+IF($R$17="Distrato",$I$38-1,0)),IF(AND($L$37=0,$P$34=0),"",$L$37-1),IF($R$17="Distrato",$E310,0)),MIN(AQ$38,$D$19),$P$20))-SUM($P310:AP310)</f>
        <v>#VALUE!</v>
      </c>
      <c r="AR310" s="446" t="e">
        <f>IF(OR($B310="",MIN(AR$38,$D$19)&lt;MAX($P$34*($B310+IF($R$17="Distrato",$I$38-1,0)),IF(AND($L$37=0,$P$34=0),"",$L$37-1),IF($R$17="Distrato",$E310,0))),0,YEARFRAC(MAX($P$34*($B310+IF($R$17="Distrato",$I$38-1,0)),IF(AND($L$37=0,$P$34=0),"",$L$37-1),IF($R$17="Distrato",$E310,0)),MIN(AR$38,$D$19),$P$20))-SUM($P310:AQ310)</f>
        <v>#VALUE!</v>
      </c>
      <c r="AS310" s="446" t="e">
        <f>IF(OR($B310="",MIN(AS$38,$D$19)&lt;MAX($P$34*($B310+IF($R$17="Distrato",$I$38-1,0)),IF(AND($L$37=0,$P$34=0),"",$L$37-1),IF($R$17="Distrato",$E310,0))),0,YEARFRAC(MAX($P$34*($B310+IF($R$17="Distrato",$I$38-1,0)),IF(AND($L$37=0,$P$34=0),"",$L$37-1),IF($R$17="Distrato",$E310,0)),MIN(AS$38,$D$19),$P$20))-SUM($P310:AR310)</f>
        <v>#VALUE!</v>
      </c>
      <c r="AT310" s="446" t="e">
        <f>IF(OR($B310="",MIN(AT$38,$D$19)&lt;MAX($P$34*($B310+IF($R$17="Distrato",$I$38-1,0)),IF(AND($L$37=0,$P$34=0),"",$L$37-1),IF($R$17="Distrato",$E310,0))),0,YEARFRAC(MAX($P$34*($B310+IF($R$17="Distrato",$I$38-1,0)),IF(AND($L$37=0,$P$34=0),"",$L$37-1),IF($R$17="Distrato",$E310,0)),MIN(AT$38,$D$19),$P$20))-SUM($P310:AS310)</f>
        <v>#VALUE!</v>
      </c>
      <c r="AU310" s="446" t="e">
        <f>IF(OR($B310="",MIN(AU$38,$D$19)&lt;MAX($P$34*($B310+IF($R$17="Distrato",$I$38-1,0)),IF(AND($L$37=0,$P$34=0),"",$L$37-1),IF($R$17="Distrato",$E310,0))),0,YEARFRAC(MAX($P$34*($B310+IF($R$17="Distrato",$I$38-1,0)),IF(AND($L$37=0,$P$34=0),"",$L$37-1),IF($R$17="Distrato",$E310,0)),MIN(AU$38,$D$19),$P$20))-SUM($P310:AT310)</f>
        <v>#VALUE!</v>
      </c>
      <c r="AV310" s="446" t="e">
        <f>IF(OR($B310="",MIN(AV$38,$D$19)&lt;MAX($P$34*($B310+IF($R$17="Distrato",$I$38-1,0)),IF(AND($L$37=0,$P$34=0),"",$L$37-1),IF($R$17="Distrato",$E310,0))),0,YEARFRAC(MAX($P$34*($B310+IF($R$17="Distrato",$I$38-1,0)),IF(AND($L$37=0,$P$34=0),"",$L$37-1),IF($R$17="Distrato",$E310,0)),MIN(AV$38,$D$19),$P$20))-SUM($P310:AU310)</f>
        <v>#VALUE!</v>
      </c>
      <c r="AW310" s="446" t="e">
        <f>IF(OR($B310="",MIN(AW$38,$D$19)&lt;MAX($P$34*($B310+IF($R$17="Distrato",$I$38-1,0)),IF(AND($L$37=0,$P$34=0),"",$L$37-1),IF($R$17="Distrato",$E310,0))),0,YEARFRAC(MAX($P$34*($B310+IF($R$17="Distrato",$I$38-1,0)),IF(AND($L$37=0,$P$34=0),"",$L$37-1),IF($R$17="Distrato",$E310,0)),MIN(AW$38,$D$19),$P$20))-SUM($P310:AV310)</f>
        <v>#VALUE!</v>
      </c>
      <c r="AX310" s="446" t="e">
        <f>IF(OR($B310="",MIN(AX$38,$D$19)&lt;MAX($P$34*($B310+IF($R$17="Distrato",$I$38-1,0)),IF(AND($L$37=0,$P$34=0),"",$L$37-1),IF($R$17="Distrato",$E310,0))),0,YEARFRAC(MAX($P$34*($B310+IF($R$17="Distrato",$I$38-1,0)),IF(AND($L$37=0,$P$34=0),"",$L$37-1),IF($R$17="Distrato",$E310,0)),MIN(AX$38,$D$19),$P$20))-SUM($P310:AW310)</f>
        <v>#VALUE!</v>
      </c>
      <c r="AY310" s="446" t="e">
        <f>IF(OR($B310="",MIN(AY$38,$D$19)&lt;MAX($P$34*($B310+IF($R$17="Distrato",$I$38-1,0)),IF(AND($L$37=0,$P$34=0),"",$L$37-1),IF($R$17="Distrato",$E310,0))),0,YEARFRAC(MAX($P$34*($B310+IF($R$17="Distrato",$I$38-1,0)),IF(AND($L$37=0,$P$34=0),"",$L$37-1),IF($R$17="Distrato",$E310,0)),MIN(AY$38,$D$19),$P$20))-SUM($P310:AX310)</f>
        <v>#VALUE!</v>
      </c>
      <c r="AZ310" s="446" t="e">
        <f>IF(OR($B310="",MIN(AZ$38,$D$19)&lt;MAX($P$34*($B310+IF($R$17="Distrato",$I$38-1,0)),IF(AND($L$37=0,$P$34=0),"",$L$37-1),IF($R$17="Distrato",$E310,0))),0,YEARFRAC(MAX($P$34*($B310+IF($R$17="Distrato",$I$38-1,0)),IF(AND($L$37=0,$P$34=0),"",$L$37-1),IF($R$17="Distrato",$E310,0)),MIN(AZ$38,$D$19),$P$20))-SUM($P310:AY310)</f>
        <v>#VALUE!</v>
      </c>
      <c r="BA310" s="446" t="e">
        <f>IF(OR($B310="",MIN(BA$38,$D$19)&lt;MAX($P$34*($B310+IF($R$17="Distrato",$I$38-1,0)),IF(AND($L$37=0,$P$34=0),"",$L$37-1),IF($R$17="Distrato",$E310,0))),0,YEARFRAC(MAX($P$34*($B310+IF($R$17="Distrato",$I$38-1,0)),IF(AND($L$37=0,$P$34=0),"",$L$37-1),IF($R$17="Distrato",$E310,0)),MIN(BA$38,$D$19),$P$20))-SUM($P310:AZ310)</f>
        <v>#VALUE!</v>
      </c>
      <c r="BB310" s="447"/>
      <c r="BF310" s="446">
        <f t="shared" si="54"/>
        <v>0</v>
      </c>
      <c r="BG310" s="446">
        <f>IF($E310=0,0,IF(MIN(BG$38,$E310)&lt;MAX($P$34*($B310+$I$38-1),IF(AND($L$37=0,$P$34=0),"",$L$37-1)),0,YEARFRAC(MAX($P$34*($B310+$I$38-1),IF(AND($L$37=0,$P$34=0),"",$L$37-1)),MIN(BG$38,$E310),$P$20))-SUM($BF310:BF310))</f>
        <v>0</v>
      </c>
      <c r="BH310" s="446">
        <f>IF($E310=0,0,IF(MIN(BH$38,$E310)&lt;MAX($P$34*($B310+$I$38-1),IF(AND($L$37=0,$P$34=0),"",$L$37-1)),0,YEARFRAC(MAX($P$34*($B310+$I$38-1),IF(AND($L$37=0,$P$34=0),"",$L$37-1)),MIN(BH$38,$E310),$P$20))-SUM($BF310:BG310))</f>
        <v>0</v>
      </c>
      <c r="BI310" s="446">
        <f>IF($E310=0,0,IF(MIN(BI$38,$E310)&lt;MAX($P$34*($B310+$I$38-1),IF(AND($L$37=0,$P$34=0),"",$L$37-1)),0,YEARFRAC(MAX($P$34*($B310+$I$38-1),IF(AND($L$37=0,$P$34=0),"",$L$37-1)),MIN(BI$38,$E310),$P$20))-SUM($BF310:BH310))</f>
        <v>0</v>
      </c>
      <c r="BJ310" s="446">
        <f>IF($E310=0,0,IF(MIN(BJ$38,$E310)&lt;MAX($P$34*($B310+$I$38-1),IF(AND($L$37=0,$P$34=0),"",$L$37-1)),0,YEARFRAC(MAX($P$34*($B310+$I$38-1),IF(AND($L$37=0,$P$34=0),"",$L$37-1)),MIN(BJ$38,$E310),$P$20))-SUM($BF310:BI310))</f>
        <v>0</v>
      </c>
      <c r="BK310" s="446">
        <f>IF($E310=0,0,IF(MIN(BK$38,$E310)&lt;MAX($P$34*($B310+$I$38-1),IF(AND($L$37=0,$P$34=0),"",$L$37-1)),0,YEARFRAC(MAX($P$34*($B310+$I$38-1),IF(AND($L$37=0,$P$34=0),"",$L$37-1)),MIN(BK$38,$E310),$P$20))-SUM($BF310:BJ310))</f>
        <v>0</v>
      </c>
      <c r="BL310" s="446">
        <f>IF($E310=0,0,IF(MIN(BL$38,$E310)&lt;MAX($P$34*($B310+$I$38-1),IF(AND($L$37=0,$P$34=0),"",$L$37-1)),0,YEARFRAC(MAX($P$34*($B310+$I$38-1),IF(AND($L$37=0,$P$34=0),"",$L$37-1)),MIN(BL$38,$E310),$P$20))-SUM($BF310:BK310))</f>
        <v>0</v>
      </c>
      <c r="BM310" s="446">
        <f>IF($E310=0,0,IF(MIN(BM$38,$E310)&lt;MAX($P$34*($B310+$I$38-1),IF(AND($L$37=0,$P$34=0),"",$L$37-1)),0,YEARFRAC(MAX($P$34*($B310+$I$38-1),IF(AND($L$37=0,$P$34=0),"",$L$37-1)),MIN(BM$38,$E310),$P$20))-SUM($BF310:BL310))</f>
        <v>0</v>
      </c>
      <c r="BN310" s="446">
        <f>IF($E310=0,0,IF(MIN(BN$38,$E310)&lt;MAX($P$34*($B310+$I$38-1),IF(AND($L$37=0,$P$34=0),"",$L$37-1)),0,YEARFRAC(MAX($P$34*($B310+$I$38-1),IF(AND($L$37=0,$P$34=0),"",$L$37-1)),MIN(BN$38,$E310),$P$20))-SUM($BF310:BM310))</f>
        <v>0</v>
      </c>
      <c r="BO310" s="446">
        <f>IF($E310=0,0,IF(MIN(BO$38,$E310)&lt;MAX($P$34*($B310+$I$38-1),IF(AND($L$37=0,$P$34=0),"",$L$37-1)),0,YEARFRAC(MAX($P$34*($B310+$I$38-1),IF(AND($L$37=0,$P$34=0),"",$L$37-1)),MIN(BO$38,$E310),$P$20))-SUM($BF310:BN310))</f>
        <v>0</v>
      </c>
      <c r="BP310" s="446">
        <f>IF($E310=0,0,IF(MIN(BP$38,$E310)&lt;MAX($P$34*($B310+$I$38-1),IF(AND($L$37=0,$P$34=0),"",$L$37-1)),0,YEARFRAC(MAX($P$34*($B310+$I$38-1),IF(AND($L$37=0,$P$34=0),"",$L$37-1)),MIN(BP$38,$E310),$P$20))-SUM($BF310:BO310))</f>
        <v>0</v>
      </c>
      <c r="BQ310" s="446">
        <f>IF($E310=0,0,IF(MIN(BQ$38,$E310)&lt;MAX($P$34*($B310+$I$38-1),IF(AND($L$37=0,$P$34=0),"",$L$37-1)),0,YEARFRAC(MAX($P$34*($B310+$I$38-1),IF(AND($L$37=0,$P$34=0),"",$L$37-1)),MIN(BQ$38,$E310),$P$20))-SUM($BF310:BP310))</f>
        <v>0</v>
      </c>
      <c r="BR310" s="446">
        <f>IF($E310=0,0,IF(MIN(BR$38,$E310)&lt;MAX($P$34*($B310+$I$38-1),IF(AND($L$37=0,$P$34=0),"",$L$37-1)),0,YEARFRAC(MAX($P$34*($B310+$I$38-1),IF(AND($L$37=0,$P$34=0),"",$L$37-1)),MIN(BR$38,$E310),$P$20))-SUM($BF310:BQ310))</f>
        <v>0</v>
      </c>
      <c r="BS310" s="446">
        <f>IF($E310=0,0,IF(MIN(BS$38,$E310)&lt;MAX($P$34*($B310+$I$38-1),IF(AND($L$37=0,$P$34=0),"",$L$37-1)),0,YEARFRAC(MAX($P$34*($B310+$I$38-1),IF(AND($L$37=0,$P$34=0),"",$L$37-1)),MIN(BS$38,$E310),$P$20))-SUM($BF310:BR310))</f>
        <v>0</v>
      </c>
      <c r="BT310" s="446">
        <f>IF($E310=0,0,IF(MIN(BT$38,$E310)&lt;MAX($P$34*($B310+$I$38-1),IF(AND($L$37=0,$P$34=0),"",$L$37-1)),0,YEARFRAC(MAX($P$34*($B310+$I$38-1),IF(AND($L$37=0,$P$34=0),"",$L$37-1)),MIN(BT$38,$E310),$P$20))-SUM($BF310:BS310))</f>
        <v>0</v>
      </c>
      <c r="BU310" s="446">
        <f>IF($E310=0,0,IF(MIN(BU$38,$E310)&lt;MAX($P$34*($B310+$I$38-1),IF(AND($L$37=0,$P$34=0),"",$L$37-1)),0,YEARFRAC(MAX($P$34*($B310+$I$38-1),IF(AND($L$37=0,$P$34=0),"",$L$37-1)),MIN(BU$38,$E310),$P$20))-SUM($BF310:BT310))</f>
        <v>0</v>
      </c>
      <c r="BV310" s="446">
        <f>IF($E310=0,0,IF(MIN(BV$38,$E310)&lt;MAX($P$34*($B310+$I$38-1),IF(AND($L$37=0,$P$34=0),"",$L$37-1)),0,YEARFRAC(MAX($P$34*($B310+$I$38-1),IF(AND($L$37=0,$P$34=0),"",$L$37-1)),MIN(BV$38,$E310),$P$20))-SUM($BF310:BU310))</f>
        <v>0</v>
      </c>
      <c r="BW310" s="446">
        <f>IF($E310=0,0,IF(MIN(BW$38,$E310)&lt;MAX($P$34*($B310+$I$38-1),IF(AND($L$37=0,$P$34=0),"",$L$37-1)),0,YEARFRAC(MAX($P$34*($B310+$I$38-1),IF(AND($L$37=0,$P$34=0),"",$L$37-1)),MIN(BW$38,$E310),$P$20))-SUM($BF310:BV310))</f>
        <v>0</v>
      </c>
      <c r="BX310" s="446">
        <f>IF($E310=0,0,IF(MIN(BX$38,$E310)&lt;MAX($P$34*($B310+$I$38-1),IF(AND($L$37=0,$P$34=0),"",$L$37-1)),0,YEARFRAC(MAX($P$34*($B310+$I$38-1),IF(AND($L$37=0,$P$34=0),"",$L$37-1)),MIN(BX$38,$E310),$P$20))-SUM($BF310:BW310))</f>
        <v>0</v>
      </c>
      <c r="BY310" s="446">
        <f>IF($E310=0,0,IF(MIN(BY$38,$E310)&lt;MAX($P$34*($B310+$I$38-1),IF(AND($L$37=0,$P$34=0),"",$L$37-1)),0,YEARFRAC(MAX($P$34*($B310+$I$38-1),IF(AND($L$37=0,$P$34=0),"",$L$37-1)),MIN(BY$38,$E310),$P$20))-SUM($BF310:BX310))</f>
        <v>0</v>
      </c>
      <c r="BZ310" s="446">
        <f>IF($E310=0,0,IF(MIN(BZ$38,$E310)&lt;MAX($P$34*($B310+$I$38-1),IF(AND($L$37=0,$P$34=0),"",$L$37-1)),0,YEARFRAC(MAX($P$34*($B310+$I$38-1),IF(AND($L$37=0,$P$34=0),"",$L$37-1)),MIN(BZ$38,$E310),$P$20))-SUM($BF310:BY310))</f>
        <v>0</v>
      </c>
      <c r="CA310" s="446">
        <f>IF($E310=0,0,IF(MIN(CA$38,$E310)&lt;MAX($P$34*($B310+$I$38-1),IF(AND($L$37=0,$P$34=0),"",$L$37-1)),0,YEARFRAC(MAX($P$34*($B310+$I$38-1),IF(AND($L$37=0,$P$34=0),"",$L$37-1)),MIN(CA$38,$E310),$P$20))-SUM($BF310:BZ310))</f>
        <v>0</v>
      </c>
      <c r="CB310" s="446">
        <f>IF($E310=0,0,IF(MIN(CB$38,$E310)&lt;MAX($P$34*($B310+$I$38-1),IF(AND($L$37=0,$P$34=0),"",$L$37-1)),0,YEARFRAC(MAX($P$34*($B310+$I$38-1),IF(AND($L$37=0,$P$34=0),"",$L$37-1)),MIN(CB$38,$E310),$P$20))-SUM($BF310:CA310))</f>
        <v>0</v>
      </c>
      <c r="CC310" s="446">
        <f>IF($E310=0,0,IF(MIN(CC$38,$E310)&lt;MAX($P$34*($B310+$I$38-1),IF(AND($L$37=0,$P$34=0),"",$L$37-1)),0,YEARFRAC(MAX($P$34*($B310+$I$38-1),IF(AND($L$37=0,$P$34=0),"",$L$37-1)),MIN(CC$38,$E310),$P$20))-SUM($BF310:CB310))</f>
        <v>0</v>
      </c>
      <c r="CD310" s="446">
        <f>IF($E310=0,0,IF(MIN(CD$38,$E310)&lt;MAX($P$34*($B310+$I$38-1),IF(AND($L$37=0,$P$34=0),"",$L$37-1)),0,YEARFRAC(MAX($P$34*($B310+$I$38-1),IF(AND($L$37=0,$P$34=0),"",$L$37-1)),MIN(CD$38,$E310),$P$20))-SUM($BF310:CC310))</f>
        <v>0</v>
      </c>
      <c r="CE310" s="446">
        <f>IF($E310=0,0,IF(MIN(CE$38,$E310)&lt;MAX($P$34*($B310+$I$38-1),IF(AND($L$37=0,$P$34=0),"",$L$37-1)),0,YEARFRAC(MAX($P$34*($B310+$I$38-1),IF(AND($L$37=0,$P$34=0),"",$L$37-1)),MIN(CE$38,$E310),$P$20))-SUM($BF310:CD310))</f>
        <v>0</v>
      </c>
      <c r="CF310" s="446">
        <f>IF($E310=0,0,IF(MIN(CF$38,$E310)&lt;MAX($P$34*($B310+$I$38-1),IF(AND($L$37=0,$P$34=0),"",$L$37-1)),0,YEARFRAC(MAX($P$34*($B310+$I$38-1),IF(AND($L$37=0,$P$34=0),"",$L$37-1)),MIN(CF$38,$E310),$P$20))-SUM($BF310:CE310))</f>
        <v>0</v>
      </c>
      <c r="CG310" s="446">
        <f>IF($E310=0,0,IF(MIN(CG$38,$E310)&lt;MAX($P$34*($B310+$I$38-1),IF(AND($L$37=0,$P$34=0),"",$L$37-1)),0,YEARFRAC(MAX($P$34*($B310+$I$38-1),IF(AND($L$37=0,$P$34=0),"",$L$37-1)),MIN(CG$38,$E310),$P$20))-SUM($BF310:CF310))</f>
        <v>0</v>
      </c>
      <c r="CH310" s="446">
        <f>IF($E310=0,0,IF(MIN(CH$38,$E310)&lt;MAX($P$34*($B310+$I$38-1),IF(AND($L$37=0,$P$34=0),"",$L$37-1)),0,YEARFRAC(MAX($P$34*($B310+$I$38-1),IF(AND($L$37=0,$P$34=0),"",$L$37-1)),MIN(CH$38,$E310),$P$20))-SUM($BF310:CG310))</f>
        <v>0</v>
      </c>
      <c r="CI310" s="446">
        <f>IF($E310=0,0,IF(MIN(CI$38,$E310)&lt;MAX($P$34*($B310+$I$38-1),IF(AND($L$37=0,$P$34=0),"",$L$37-1)),0,YEARFRAC(MAX($P$34*($B310+$I$38-1),IF(AND($L$37=0,$P$34=0),"",$L$37-1)),MIN(CI$38,$E310),$P$20))-SUM($BF310:CH310))</f>
        <v>0</v>
      </c>
      <c r="CJ310" s="446">
        <f>IF($E310=0,0,IF(MIN(CJ$38,$E310)&lt;MAX($P$34*($B310+$I$38-1),IF(AND($L$37=0,$P$34=0),"",$L$37-1)),0,YEARFRAC(MAX($P$34*($B310+$I$38-1),IF(AND($L$37=0,$P$34=0),"",$L$37-1)),MIN(CJ$38,$E310),$P$20))-SUM($BF310:CI310))</f>
        <v>0</v>
      </c>
      <c r="CK310" s="446">
        <f>IF($E310=0,0,IF(MIN(CK$38,$E310)&lt;MAX($P$34*($B310+$I$38-1),IF(AND($L$37=0,$P$34=0),"",$L$37-1)),0,YEARFRAC(MAX($P$34*($B310+$I$38-1),IF(AND($L$37=0,$P$34=0),"",$L$37-1)),MIN(CK$38,$E310),$P$20))-SUM($BF310:CJ310))</f>
        <v>0</v>
      </c>
      <c r="CL310" s="446">
        <f>IF($E310=0,0,IF(MIN(CL$38,$E310)&lt;MAX($P$34*($B310+$I$38-1),IF(AND($L$37=0,$P$34=0),"",$L$37-1)),0,YEARFRAC(MAX($P$34*($B310+$I$38-1),IF(AND($L$37=0,$P$34=0),"",$L$37-1)),MIN(CL$38,$E310),$P$20))-SUM($BF310:CK310))</f>
        <v>0</v>
      </c>
      <c r="CM310" s="446">
        <f>IF($E310=0,0,IF(MIN(CM$38,$E310)&lt;MAX($P$34*($B310+$I$38-1),IF(AND($L$37=0,$P$34=0),"",$L$37-1)),0,YEARFRAC(MAX($P$34*($B310+$I$38-1),IF(AND($L$37=0,$P$34=0),"",$L$37-1)),MIN(CM$38,$E310),$P$20))-SUM($BF310:CL310))</f>
        <v>0</v>
      </c>
      <c r="CN310" s="446">
        <f>IF($E310=0,0,IF(MIN(CN$38,$E310)&lt;MAX($P$34*($B310+$I$38-1),IF(AND($L$37=0,$P$34=0),"",$L$37-1)),0,YEARFRAC(MAX($P$34*($B310+$I$38-1),IF(AND($L$37=0,$P$34=0),"",$L$37-1)),MIN(CN$38,$E310),$P$20))-SUM($BF310:CM310))</f>
        <v>0</v>
      </c>
      <c r="CO310" s="446">
        <f>IF($E310=0,0,IF(MIN(CO$38,$E310)&lt;MAX($P$34*($B310+$I$38-1),IF(AND($L$37=0,$P$34=0),"",$L$37-1)),0,YEARFRAC(MAX($P$34*($B310+$I$38-1),IF(AND($L$37=0,$P$34=0),"",$L$37-1)),MIN(CO$38,$E310),$P$20))-SUM($BF310:CN310))</f>
        <v>0</v>
      </c>
      <c r="CP310" s="446">
        <f>IF($E310=0,0,IF(MIN(CP$38,$E310)&lt;MAX($P$34*($B310+$I$38-1),IF(AND($L$37=0,$P$34=0),"",$L$37-1)),0,YEARFRAC(MAX($P$34*($B310+$I$38-1),IF(AND($L$37=0,$P$34=0),"",$L$37-1)),MIN(CP$38,$E310),$P$20))-SUM($BF310:CO310))</f>
        <v>0</v>
      </c>
      <c r="CQ310" s="446">
        <f>IF($E310=0,0,IF(MIN(CQ$38,$E310)&lt;MAX($P$34*($B310+$I$38-1),IF(AND($L$37=0,$P$34=0),"",$L$37-1)),0,YEARFRAC(MAX($P$34*($B310+$I$38-1),IF(AND($L$37=0,$P$34=0),"",$L$37-1)),MIN(CQ$38,$E310),$P$20))-SUM($BF310:CP310))</f>
        <v>0</v>
      </c>
    </row>
    <row r="311" spans="1:95" s="446" customFormat="1" ht="11.25" hidden="1" customHeight="1" x14ac:dyDescent="0.2">
      <c r="A311" s="152"/>
      <c r="B311" s="153" t="str">
        <f t="shared" si="59"/>
        <v/>
      </c>
      <c r="C311" s="29" t="str">
        <f>IF(B311="","",IF($L$35="SELIC - TRIBUTOS",VLOOKUP(DATE(YEAR($D$19),MONTH($D$19)-1,1),ÍNDICES!$A:$DE,HLOOKUP($BL$25,ÍNDICES!$B$3:$T$4,2)+11)-VLOOKUP(B311,ÍNDICES!$A:$DE,HLOOKUP($BL$25,ÍNDICES!$B$3:$T$4,2)+11)+1%,IF(C$38=$W$26,$J$35,IF(ISERROR(IF(B311&gt;$D$19,1,VLOOKUP(DATE(YEAR(B311),MONTH(B311)+IF($C$35=$S$23,1,0),1),ÍNDICES!$A:$DE,$Z$35+1))),"",IF(B311&gt;$D$19,1,VLOOKUP(DATE(YEAR(B311),MONTH(B311)+IF($C$35=$S$23,1,0),1),ÍNDICES!$A:$DE,$Z$35+1))))))</f>
        <v/>
      </c>
      <c r="D311" s="154" t="str">
        <f>IF(ISERROR(IF(OR($D$38=$Y$27,$B311=""),"",VLOOKUP(B311,ÍNDICES!A:DE,AF$35+1))),"",IF(OR($D$38=$Y$27,$B311=""),"",VLOOKUP(B311,ÍNDICES!A:DE,AF$35+1)))</f>
        <v/>
      </c>
      <c r="E311" s="153"/>
      <c r="F311" s="29" t="str">
        <f>IF(E311="","",IF($L$35="SELIC - TRIBUTOS",VLOOKUP(DATE(YEAR($D$19),MONTH($D$19)-1,1),ÍNDICES!$A:$DE,HLOOKUP($BL$25,ÍNDICES!$B$3:$T$4,2)+11)-VLOOKUP(E311,ÍNDICES!$A:$DE,HLOOKUP($BL$25,ÍNDICES!$B$3:$T$4,2)+11)+1%,IF(F$38=$W$26,$J$35,IF(ISERROR(IF(E311&gt;$D$19,1,VLOOKUP(DATE(YEAR(E311),MONTH(E311)+IF($C$35=$S$23,1,0),1),ÍNDICES!$A:$DE,$Z$35+1))),"",IF(E311&gt;$D$19,1,VLOOKUP(DATE(YEAR(E311),MONTH(E311)+IF($C$35=$S$23,1,0),1),ÍNDICES!$A:$DE,$Z$35+1))))))</f>
        <v/>
      </c>
      <c r="G311" s="155"/>
      <c r="H311" s="156" t="str">
        <f t="shared" si="55"/>
        <v/>
      </c>
      <c r="I311" s="29" t="str">
        <f t="shared" si="49"/>
        <v/>
      </c>
      <c r="J311" s="5">
        <f t="shared" si="50"/>
        <v>0</v>
      </c>
      <c r="K311" s="20">
        <f t="shared" ca="1" si="51"/>
        <v>0</v>
      </c>
      <c r="L311" s="5">
        <f t="shared" ca="1" si="52"/>
        <v>0</v>
      </c>
      <c r="M311" s="64">
        <f t="shared" si="56"/>
        <v>0</v>
      </c>
      <c r="N311" s="61">
        <f t="shared" ca="1" si="57"/>
        <v>0</v>
      </c>
      <c r="O311" s="5">
        <f t="shared" ca="1" si="58"/>
        <v>0</v>
      </c>
      <c r="P311" s="446" t="e">
        <f t="shared" si="53"/>
        <v>#VALUE!</v>
      </c>
      <c r="Q311" s="446" t="e">
        <f>IF(OR($B311="",MIN(Q$38,$D$19)&lt;MAX($P$34*($B311+IF($R$17="Distrato",$I$38-1,0)),IF(AND($L$37=0,$P$34=0),"",$L$37-1),IF($R$17="Distrato",$E311,0))),0,YEARFRAC(MAX($P$34*($B311+IF($R$17="Distrato",$I$38-1,0)),IF(AND($L$37=0,$P$34=0),"",$L$37-1),IF($R$17="Distrato",$E311,0)),MIN(Q$38,$D$19),$P$20))-SUM($P311:P311)</f>
        <v>#VALUE!</v>
      </c>
      <c r="R311" s="446" t="e">
        <f>IF(OR($B311="",MIN(R$38,$D$19)&lt;MAX($P$34*($B311+IF($R$17="Distrato",$I$38-1,0)),IF(AND($L$37=0,$P$34=0),"",$L$37-1),IF($R$17="Distrato",$E311,0))),0,YEARFRAC(MAX($P$34*($B311+IF($R$17="Distrato",$I$38-1,0)),IF(AND($L$37=0,$P$34=0),"",$L$37-1),IF($R$17="Distrato",$E311,0)),MIN(R$38,$D$19),$P$20))-SUM($P311:Q311)</f>
        <v>#VALUE!</v>
      </c>
      <c r="S311" s="446" t="e">
        <f>IF(OR($B311="",MIN(S$38,$D$19)&lt;MAX($P$34*($B311+IF($R$17="Distrato",$I$38-1,0)),IF(AND($L$37=0,$P$34=0),"",$L$37-1),IF($R$17="Distrato",$E311,0))),0,YEARFRAC(MAX($P$34*($B311+IF($R$17="Distrato",$I$38-1,0)),IF(AND($L$37=0,$P$34=0),"",$L$37-1),IF($R$17="Distrato",$E311,0)),MIN(S$38,$D$19),$P$20))-SUM($P311:R311)</f>
        <v>#VALUE!</v>
      </c>
      <c r="T311" s="446" t="e">
        <f>IF(OR($B311="",MIN(T$38,$D$19)&lt;MAX($P$34*($B311+IF($R$17="Distrato",$I$38-1,0)),IF(AND($L$37=0,$P$34=0),"",$L$37-1),IF($R$17="Distrato",$E311,0))),0,YEARFRAC(MAX($P$34*($B311+IF($R$17="Distrato",$I$38-1,0)),IF(AND($L$37=0,$P$34=0),"",$L$37-1),IF($R$17="Distrato",$E311,0)),MIN(T$38,$D$19),$P$20))-SUM($P311:S311)</f>
        <v>#VALUE!</v>
      </c>
      <c r="U311" s="446" t="e">
        <f>IF(OR($B311="",MIN(U$38,$D$19)&lt;MAX($P$34*($B311+IF($R$17="Distrato",$I$38-1,0)),IF(AND($L$37=0,$P$34=0),"",$L$37-1),IF($R$17="Distrato",$E311,0))),0,YEARFRAC(MAX($P$34*($B311+IF($R$17="Distrato",$I$38-1,0)),IF(AND($L$37=0,$P$34=0),"",$L$37-1),IF($R$17="Distrato",$E311,0)),MIN(U$38,$D$19),$P$20))-SUM($P311:T311)</f>
        <v>#VALUE!</v>
      </c>
      <c r="V311" s="446" t="e">
        <f>IF(OR($B311="",MIN(V$38,$D$19)&lt;MAX($P$34*($B311+IF($R$17="Distrato",$I$38-1,0)),IF(AND($L$37=0,$P$34=0),"",$L$37-1),IF($R$17="Distrato",$E311,0))),0,YEARFRAC(MAX($P$34*($B311+IF($R$17="Distrato",$I$38-1,0)),IF(AND($L$37=0,$P$34=0),"",$L$37-1),IF($R$17="Distrato",$E311,0)),MIN(V$38,$D$19),$P$20))-SUM($P311:U311)</f>
        <v>#VALUE!</v>
      </c>
      <c r="W311" s="446" t="e">
        <f>IF(OR($B311="",MIN(W$38,$D$19)&lt;MAX($P$34*($B311+IF($R$17="Distrato",$I$38-1,0)),IF(AND($L$37=0,$P$34=0),"",$L$37-1),IF($R$17="Distrato",$E311,0))),0,YEARFRAC(MAX($P$34*($B311+IF($R$17="Distrato",$I$38-1,0)),IF(AND($L$37=0,$P$34=0),"",$L$37-1),IF($R$17="Distrato",$E311,0)),MIN(W$38,$D$19),$P$20))-SUM($P311:V311)</f>
        <v>#VALUE!</v>
      </c>
      <c r="X311" s="446" t="e">
        <f>IF(OR($B311="",MIN(X$38,$D$19)&lt;MAX($P$34*($B311+IF($R$17="Distrato",$I$38-1,0)),IF(AND($L$37=0,$P$34=0),"",$L$37-1),IF($R$17="Distrato",$E311,0))),0,YEARFRAC(MAX($P$34*($B311+IF($R$17="Distrato",$I$38-1,0)),IF(AND($L$37=0,$P$34=0),"",$L$37-1),IF($R$17="Distrato",$E311,0)),MIN(X$38,$D$19),$P$20))-SUM($P311:W311)</f>
        <v>#VALUE!</v>
      </c>
      <c r="Y311" s="446" t="e">
        <f>IF(OR($B311="",MIN(Y$38,$D$19)&lt;MAX($P$34*($B311+IF($R$17="Distrato",$I$38-1,0)),IF(AND($L$37=0,$P$34=0),"",$L$37-1),IF($R$17="Distrato",$E311,0))),0,YEARFRAC(MAX($P$34*($B311+IF($R$17="Distrato",$I$38-1,0)),IF(AND($L$37=0,$P$34=0),"",$L$37-1),IF($R$17="Distrato",$E311,0)),MIN(Y$38,$D$19),$P$20))-SUM($P311:X311)</f>
        <v>#VALUE!</v>
      </c>
      <c r="Z311" s="446" t="e">
        <f>IF(OR($B311="",MIN(Z$38,$D$19)&lt;MAX($P$34*($B311+IF($R$17="Distrato",$I$38-1,0)),IF(AND($L$37=0,$P$34=0),"",$L$37-1),IF($R$17="Distrato",$E311,0))),0,YEARFRAC(MAX($P$34*($B311+IF($R$17="Distrato",$I$38-1,0)),IF(AND($L$37=0,$P$34=0),"",$L$37-1),IF($R$17="Distrato",$E311,0)),MIN(Z$38,$D$19),$P$20))-SUM($P311:Y311)</f>
        <v>#VALUE!</v>
      </c>
      <c r="AA311" s="446" t="e">
        <f>IF(OR($B311="",MIN(AA$38,$D$19)&lt;MAX($P$34*($B311+IF($R$17="Distrato",$I$38-1,0)),IF(AND($L$37=0,$P$34=0),"",$L$37-1),IF($R$17="Distrato",$E311,0))),0,YEARFRAC(MAX($P$34*($B311+IF($R$17="Distrato",$I$38-1,0)),IF(AND($L$37=0,$P$34=0),"",$L$37-1),IF($R$17="Distrato",$E311,0)),MIN(AA$38,$D$19),$P$20))-SUM($P311:Z311)</f>
        <v>#VALUE!</v>
      </c>
      <c r="AB311" s="446" t="e">
        <f>IF(OR($B311="",MIN(AB$38,$D$19)&lt;MAX($P$34*($B311+IF($R$17="Distrato",$I$38-1,0)),IF(AND($L$37=0,$P$34=0),"",$L$37-1),IF($R$17="Distrato",$E311,0))),0,YEARFRAC(MAX($P$34*($B311+IF($R$17="Distrato",$I$38-1,0)),IF(AND($L$37=0,$P$34=0),"",$L$37-1),IF($R$17="Distrato",$E311,0)),MIN(AB$38,$D$19),$P$20))-SUM($P311:AA311)</f>
        <v>#VALUE!</v>
      </c>
      <c r="AC311" s="446" t="e">
        <f>IF(OR($B311="",MIN(AC$38,$D$19)&lt;MAX($P$34*($B311+IF($R$17="Distrato",$I$38-1,0)),IF(AND($L$37=0,$P$34=0),"",$L$37-1),IF($R$17="Distrato",$E311,0))),0,YEARFRAC(MAX($P$34*($B311+IF($R$17="Distrato",$I$38-1,0)),IF(AND($L$37=0,$P$34=0),"",$L$37-1),IF($R$17="Distrato",$E311,0)),MIN(AC$38,$D$19),$P$20))-SUM($P311:AB311)</f>
        <v>#VALUE!</v>
      </c>
      <c r="AD311" s="446" t="e">
        <f>IF(OR($B311="",MIN(AD$38,$D$19)&lt;MAX($P$34*($B311+IF($R$17="Distrato",$I$38-1,0)),IF(AND($L$37=0,$P$34=0),"",$L$37-1),IF($R$17="Distrato",$E311,0))),0,YEARFRAC(MAX($P$34*($B311+IF($R$17="Distrato",$I$38-1,0)),IF(AND($L$37=0,$P$34=0),"",$L$37-1),IF($R$17="Distrato",$E311,0)),MIN(AD$38,$D$19),$P$20))-SUM($P311:AC311)</f>
        <v>#VALUE!</v>
      </c>
      <c r="AE311" s="446" t="e">
        <f>IF(OR($B311="",MIN(AE$38,$D$19)&lt;MAX($P$34*($B311+IF($R$17="Distrato",$I$38-1,0)),IF(AND($L$37=0,$P$34=0),"",$L$37-1),IF($R$17="Distrato",$E311,0))),0,YEARFRAC(MAX($P$34*($B311+IF($R$17="Distrato",$I$38-1,0)),IF(AND($L$37=0,$P$34=0),"",$L$37-1),IF($R$17="Distrato",$E311,0)),MIN(AE$38,$D$19),$P$20))-SUM($P311:AD311)</f>
        <v>#VALUE!</v>
      </c>
      <c r="AF311" s="446" t="e">
        <f>IF(OR($B311="",MIN(AF$38,$D$19)&lt;MAX($P$34*($B311+IF($R$17="Distrato",$I$38-1,0)),IF(AND($L$37=0,$P$34=0),"",$L$37-1),IF($R$17="Distrato",$E311,0))),0,YEARFRAC(MAX($P$34*($B311+IF($R$17="Distrato",$I$38-1,0)),IF(AND($L$37=0,$P$34=0),"",$L$37-1),IF($R$17="Distrato",$E311,0)),MIN(AF$38,$D$19),$P$20))-SUM($P311:AE311)</f>
        <v>#VALUE!</v>
      </c>
      <c r="AG311" s="446" t="e">
        <f>IF(OR($B311="",MIN(AG$38,$D$19)&lt;MAX($P$34*($B311+IF($R$17="Distrato",$I$38-1,0)),IF(AND($L$37=0,$P$34=0),"",$L$37-1),IF($R$17="Distrato",$E311,0))),0,YEARFRAC(MAX($P$34*($B311+IF($R$17="Distrato",$I$38-1,0)),IF(AND($L$37=0,$P$34=0),"",$L$37-1),IF($R$17="Distrato",$E311,0)),MIN(AG$38,$D$19),$P$20))-SUM($P311:AF311)</f>
        <v>#VALUE!</v>
      </c>
      <c r="AH311" s="446" t="e">
        <f>IF(OR($B311="",MIN(AH$38,$D$19)&lt;MAX($P$34*($B311+IF($R$17="Distrato",$I$38-1,0)),IF(AND($L$37=0,$P$34=0),"",$L$37-1),IF($R$17="Distrato",$E311,0))),0,YEARFRAC(MAX($P$34*($B311+IF($R$17="Distrato",$I$38-1,0)),IF(AND($L$37=0,$P$34=0),"",$L$37-1),IF($R$17="Distrato",$E311,0)),MIN(AH$38,$D$19),$P$20))-SUM($P311:AG311)</f>
        <v>#VALUE!</v>
      </c>
      <c r="AI311" s="446" t="e">
        <f>IF(OR($B311="",MIN(AI$38,$D$19)&lt;MAX($P$34*($B311+IF($R$17="Distrato",$I$38-1,0)),IF(AND($L$37=0,$P$34=0),"",$L$37-1),IF($R$17="Distrato",$E311,0))),0,YEARFRAC(MAX($P$34*($B311+IF($R$17="Distrato",$I$38-1,0)),IF(AND($L$37=0,$P$34=0),"",$L$37-1),IF($R$17="Distrato",$E311,0)),MIN(AI$38,$D$19),$P$20))-SUM($P311:AH311)</f>
        <v>#VALUE!</v>
      </c>
      <c r="AJ311" s="446" t="e">
        <f>IF(OR($B311="",MIN(AJ$38,$D$19)&lt;MAX($P$34*($B311+IF($R$17="Distrato",$I$38-1,0)),IF(AND($L$37=0,$P$34=0),"",$L$37-1),IF($R$17="Distrato",$E311,0))),0,YEARFRAC(MAX($P$34*($B311+IF($R$17="Distrato",$I$38-1,0)),IF(AND($L$37=0,$P$34=0),"",$L$37-1),IF($R$17="Distrato",$E311,0)),MIN(AJ$38,$D$19),$P$20))-SUM($P311:AI311)</f>
        <v>#VALUE!</v>
      </c>
      <c r="AK311" s="446" t="e">
        <f>IF(OR($B311="",MIN(AK$38,$D$19)&lt;MAX($P$34*($B311+IF($R$17="Distrato",$I$38-1,0)),IF(AND($L$37=0,$P$34=0),"",$L$37-1),IF($R$17="Distrato",$E311,0))),0,YEARFRAC(MAX($P$34*($B311+IF($R$17="Distrato",$I$38-1,0)),IF(AND($L$37=0,$P$34=0),"",$L$37-1),IF($R$17="Distrato",$E311,0)),MIN(AK$38,$D$19),$P$20))-SUM($P311:AJ311)</f>
        <v>#VALUE!</v>
      </c>
      <c r="AL311" s="446" t="e">
        <f>IF(OR($B311="",MIN(AL$38,$D$19)&lt;MAX($P$34*($B311+IF($R$17="Distrato",$I$38-1,0)),IF(AND($L$37=0,$P$34=0),"",$L$37-1),IF($R$17="Distrato",$E311,0))),0,YEARFRAC(MAX($P$34*($B311+IF($R$17="Distrato",$I$38-1,0)),IF(AND($L$37=0,$P$34=0),"",$L$37-1),IF($R$17="Distrato",$E311,0)),MIN(AL$38,$D$19),$P$20))-SUM($P311:AK311)</f>
        <v>#VALUE!</v>
      </c>
      <c r="AM311" s="446" t="e">
        <f>IF(OR($B311="",MIN(AM$38,$D$19)&lt;MAX($P$34*($B311+IF($R$17="Distrato",$I$38-1,0)),IF(AND($L$37=0,$P$34=0),"",$L$37-1),IF($R$17="Distrato",$E311,0))),0,YEARFRAC(MAX($P$34*($B311+IF($R$17="Distrato",$I$38-1,0)),IF(AND($L$37=0,$P$34=0),"",$L$37-1),IF($R$17="Distrato",$E311,0)),MIN(AM$38,$D$19),$P$20))-SUM($P311:AL311)</f>
        <v>#VALUE!</v>
      </c>
      <c r="AN311" s="446" t="e">
        <f>IF(OR($B311="",MIN(AN$38,$D$19)&lt;MAX($P$34*($B311+IF($R$17="Distrato",$I$38-1,0)),IF(AND($L$37=0,$P$34=0),"",$L$37-1),IF($R$17="Distrato",$E311,0))),0,YEARFRAC(MAX($P$34*($B311+IF($R$17="Distrato",$I$38-1,0)),IF(AND($L$37=0,$P$34=0),"",$L$37-1),IF($R$17="Distrato",$E311,0)),MIN(AN$38,$D$19),$P$20))-SUM($P311:AM311)</f>
        <v>#VALUE!</v>
      </c>
      <c r="AO311" s="446" t="e">
        <f>IF(OR($B311="",MIN(AO$38,$D$19)&lt;MAX($P$34*($B311+IF($R$17="Distrato",$I$38-1,0)),IF(AND($L$37=0,$P$34=0),"",$L$37-1),IF($R$17="Distrato",$E311,0))),0,YEARFRAC(MAX($P$34*($B311+IF($R$17="Distrato",$I$38-1,0)),IF(AND($L$37=0,$P$34=0),"",$L$37-1),IF($R$17="Distrato",$E311,0)),MIN(AO$38,$D$19),$P$20))-SUM($P311:AN311)</f>
        <v>#VALUE!</v>
      </c>
      <c r="AP311" s="446" t="e">
        <f>IF(OR($B311="",MIN(AP$38,$D$19)&lt;MAX($P$34*($B311+IF($R$17="Distrato",$I$38-1,0)),IF(AND($L$37=0,$P$34=0),"",$L$37-1),IF($R$17="Distrato",$E311,0))),0,YEARFRAC(MAX($P$34*($B311+IF($R$17="Distrato",$I$38-1,0)),IF(AND($L$37=0,$P$34=0),"",$L$37-1),IF($R$17="Distrato",$E311,0)),MIN(AP$38,$D$19),$P$20))-SUM($P311:AO311)</f>
        <v>#VALUE!</v>
      </c>
      <c r="AQ311" s="446" t="e">
        <f>IF(OR($B311="",MIN(AQ$38,$D$19)&lt;MAX($P$34*($B311+IF($R$17="Distrato",$I$38-1,0)),IF(AND($L$37=0,$P$34=0),"",$L$37-1),IF($R$17="Distrato",$E311,0))),0,YEARFRAC(MAX($P$34*($B311+IF($R$17="Distrato",$I$38-1,0)),IF(AND($L$37=0,$P$34=0),"",$L$37-1),IF($R$17="Distrato",$E311,0)),MIN(AQ$38,$D$19),$P$20))-SUM($P311:AP311)</f>
        <v>#VALUE!</v>
      </c>
      <c r="AR311" s="446" t="e">
        <f>IF(OR($B311="",MIN(AR$38,$D$19)&lt;MAX($P$34*($B311+IF($R$17="Distrato",$I$38-1,0)),IF(AND($L$37=0,$P$34=0),"",$L$37-1),IF($R$17="Distrato",$E311,0))),0,YEARFRAC(MAX($P$34*($B311+IF($R$17="Distrato",$I$38-1,0)),IF(AND($L$37=0,$P$34=0),"",$L$37-1),IF($R$17="Distrato",$E311,0)),MIN(AR$38,$D$19),$P$20))-SUM($P311:AQ311)</f>
        <v>#VALUE!</v>
      </c>
      <c r="AS311" s="446" t="e">
        <f>IF(OR($B311="",MIN(AS$38,$D$19)&lt;MAX($P$34*($B311+IF($R$17="Distrato",$I$38-1,0)),IF(AND($L$37=0,$P$34=0),"",$L$37-1),IF($R$17="Distrato",$E311,0))),0,YEARFRAC(MAX($P$34*($B311+IF($R$17="Distrato",$I$38-1,0)),IF(AND($L$37=0,$P$34=0),"",$L$37-1),IF($R$17="Distrato",$E311,0)),MIN(AS$38,$D$19),$P$20))-SUM($P311:AR311)</f>
        <v>#VALUE!</v>
      </c>
      <c r="AT311" s="446" t="e">
        <f>IF(OR($B311="",MIN(AT$38,$D$19)&lt;MAX($P$34*($B311+IF($R$17="Distrato",$I$38-1,0)),IF(AND($L$37=0,$P$34=0),"",$L$37-1),IF($R$17="Distrato",$E311,0))),0,YEARFRAC(MAX($P$34*($B311+IF($R$17="Distrato",$I$38-1,0)),IF(AND($L$37=0,$P$34=0),"",$L$37-1),IF($R$17="Distrato",$E311,0)),MIN(AT$38,$D$19),$P$20))-SUM($P311:AS311)</f>
        <v>#VALUE!</v>
      </c>
      <c r="AU311" s="446" t="e">
        <f>IF(OR($B311="",MIN(AU$38,$D$19)&lt;MAX($P$34*($B311+IF($R$17="Distrato",$I$38-1,0)),IF(AND($L$37=0,$P$34=0),"",$L$37-1),IF($R$17="Distrato",$E311,0))),0,YEARFRAC(MAX($P$34*($B311+IF($R$17="Distrato",$I$38-1,0)),IF(AND($L$37=0,$P$34=0),"",$L$37-1),IF($R$17="Distrato",$E311,0)),MIN(AU$38,$D$19),$P$20))-SUM($P311:AT311)</f>
        <v>#VALUE!</v>
      </c>
      <c r="AV311" s="446" t="e">
        <f>IF(OR($B311="",MIN(AV$38,$D$19)&lt;MAX($P$34*($B311+IF($R$17="Distrato",$I$38-1,0)),IF(AND($L$37=0,$P$34=0),"",$L$37-1),IF($R$17="Distrato",$E311,0))),0,YEARFRAC(MAX($P$34*($B311+IF($R$17="Distrato",$I$38-1,0)),IF(AND($L$37=0,$P$34=0),"",$L$37-1),IF($R$17="Distrato",$E311,0)),MIN(AV$38,$D$19),$P$20))-SUM($P311:AU311)</f>
        <v>#VALUE!</v>
      </c>
      <c r="AW311" s="446" t="e">
        <f>IF(OR($B311="",MIN(AW$38,$D$19)&lt;MAX($P$34*($B311+IF($R$17="Distrato",$I$38-1,0)),IF(AND($L$37=0,$P$34=0),"",$L$37-1),IF($R$17="Distrato",$E311,0))),0,YEARFRAC(MAX($P$34*($B311+IF($R$17="Distrato",$I$38-1,0)),IF(AND($L$37=0,$P$34=0),"",$L$37-1),IF($R$17="Distrato",$E311,0)),MIN(AW$38,$D$19),$P$20))-SUM($P311:AV311)</f>
        <v>#VALUE!</v>
      </c>
      <c r="AX311" s="446" t="e">
        <f>IF(OR($B311="",MIN(AX$38,$D$19)&lt;MAX($P$34*($B311+IF($R$17="Distrato",$I$38-1,0)),IF(AND($L$37=0,$P$34=0),"",$L$37-1),IF($R$17="Distrato",$E311,0))),0,YEARFRAC(MAX($P$34*($B311+IF($R$17="Distrato",$I$38-1,0)),IF(AND($L$37=0,$P$34=0),"",$L$37-1),IF($R$17="Distrato",$E311,0)),MIN(AX$38,$D$19),$P$20))-SUM($P311:AW311)</f>
        <v>#VALUE!</v>
      </c>
      <c r="AY311" s="446" t="e">
        <f>IF(OR($B311="",MIN(AY$38,$D$19)&lt;MAX($P$34*($B311+IF($R$17="Distrato",$I$38-1,0)),IF(AND($L$37=0,$P$34=0),"",$L$37-1),IF($R$17="Distrato",$E311,0))),0,YEARFRAC(MAX($P$34*($B311+IF($R$17="Distrato",$I$38-1,0)),IF(AND($L$37=0,$P$34=0),"",$L$37-1),IF($R$17="Distrato",$E311,0)),MIN(AY$38,$D$19),$P$20))-SUM($P311:AX311)</f>
        <v>#VALUE!</v>
      </c>
      <c r="AZ311" s="446" t="e">
        <f>IF(OR($B311="",MIN(AZ$38,$D$19)&lt;MAX($P$34*($B311+IF($R$17="Distrato",$I$38-1,0)),IF(AND($L$37=0,$P$34=0),"",$L$37-1),IF($R$17="Distrato",$E311,0))),0,YEARFRAC(MAX($P$34*($B311+IF($R$17="Distrato",$I$38-1,0)),IF(AND($L$37=0,$P$34=0),"",$L$37-1),IF($R$17="Distrato",$E311,0)),MIN(AZ$38,$D$19),$P$20))-SUM($P311:AY311)</f>
        <v>#VALUE!</v>
      </c>
      <c r="BA311" s="446" t="e">
        <f>IF(OR($B311="",MIN(BA$38,$D$19)&lt;MAX($P$34*($B311+IF($R$17="Distrato",$I$38-1,0)),IF(AND($L$37=0,$P$34=0),"",$L$37-1),IF($R$17="Distrato",$E311,0))),0,YEARFRAC(MAX($P$34*($B311+IF($R$17="Distrato",$I$38-1,0)),IF(AND($L$37=0,$P$34=0),"",$L$37-1),IF($R$17="Distrato",$E311,0)),MIN(BA$38,$D$19),$P$20))-SUM($P311:AZ311)</f>
        <v>#VALUE!</v>
      </c>
      <c r="BB311" s="447"/>
      <c r="BF311" s="446">
        <f t="shared" si="54"/>
        <v>0</v>
      </c>
      <c r="BG311" s="446">
        <f>IF($E311=0,0,IF(MIN(BG$38,$E311)&lt;MAX($P$34*($B311+$I$38-1),IF(AND($L$37=0,$P$34=0),"",$L$37-1)),0,YEARFRAC(MAX($P$34*($B311+$I$38-1),IF(AND($L$37=0,$P$34=0),"",$L$37-1)),MIN(BG$38,$E311),$P$20))-SUM($BF311:BF311))</f>
        <v>0</v>
      </c>
      <c r="BH311" s="446">
        <f>IF($E311=0,0,IF(MIN(BH$38,$E311)&lt;MAX($P$34*($B311+$I$38-1),IF(AND($L$37=0,$P$34=0),"",$L$37-1)),0,YEARFRAC(MAX($P$34*($B311+$I$38-1),IF(AND($L$37=0,$P$34=0),"",$L$37-1)),MIN(BH$38,$E311),$P$20))-SUM($BF311:BG311))</f>
        <v>0</v>
      </c>
      <c r="BI311" s="446">
        <f>IF($E311=0,0,IF(MIN(BI$38,$E311)&lt;MAX($P$34*($B311+$I$38-1),IF(AND($L$37=0,$P$34=0),"",$L$37-1)),0,YEARFRAC(MAX($P$34*($B311+$I$38-1),IF(AND($L$37=0,$P$34=0),"",$L$37-1)),MIN(BI$38,$E311),$P$20))-SUM($BF311:BH311))</f>
        <v>0</v>
      </c>
      <c r="BJ311" s="446">
        <f>IF($E311=0,0,IF(MIN(BJ$38,$E311)&lt;MAX($P$34*($B311+$I$38-1),IF(AND($L$37=0,$P$34=0),"",$L$37-1)),0,YEARFRAC(MAX($P$34*($B311+$I$38-1),IF(AND($L$37=0,$P$34=0),"",$L$37-1)),MIN(BJ$38,$E311),$P$20))-SUM($BF311:BI311))</f>
        <v>0</v>
      </c>
      <c r="BK311" s="446">
        <f>IF($E311=0,0,IF(MIN(BK$38,$E311)&lt;MAX($P$34*($B311+$I$38-1),IF(AND($L$37=0,$P$34=0),"",$L$37-1)),0,YEARFRAC(MAX($P$34*($B311+$I$38-1),IF(AND($L$37=0,$P$34=0),"",$L$37-1)),MIN(BK$38,$E311),$P$20))-SUM($BF311:BJ311))</f>
        <v>0</v>
      </c>
      <c r="BL311" s="446">
        <f>IF($E311=0,0,IF(MIN(BL$38,$E311)&lt;MAX($P$34*($B311+$I$38-1),IF(AND($L$37=0,$P$34=0),"",$L$37-1)),0,YEARFRAC(MAX($P$34*($B311+$I$38-1),IF(AND($L$37=0,$P$34=0),"",$L$37-1)),MIN(BL$38,$E311),$P$20))-SUM($BF311:BK311))</f>
        <v>0</v>
      </c>
      <c r="BM311" s="446">
        <f>IF($E311=0,0,IF(MIN(BM$38,$E311)&lt;MAX($P$34*($B311+$I$38-1),IF(AND($L$37=0,$P$34=0),"",$L$37-1)),0,YEARFRAC(MAX($P$34*($B311+$I$38-1),IF(AND($L$37=0,$P$34=0),"",$L$37-1)),MIN(BM$38,$E311),$P$20))-SUM($BF311:BL311))</f>
        <v>0</v>
      </c>
      <c r="BN311" s="446">
        <f>IF($E311=0,0,IF(MIN(BN$38,$E311)&lt;MAX($P$34*($B311+$I$38-1),IF(AND($L$37=0,$P$34=0),"",$L$37-1)),0,YEARFRAC(MAX($P$34*($B311+$I$38-1),IF(AND($L$37=0,$P$34=0),"",$L$37-1)),MIN(BN$38,$E311),$P$20))-SUM($BF311:BM311))</f>
        <v>0</v>
      </c>
      <c r="BO311" s="446">
        <f>IF($E311=0,0,IF(MIN(BO$38,$E311)&lt;MAX($P$34*($B311+$I$38-1),IF(AND($L$37=0,$P$34=0),"",$L$37-1)),0,YEARFRAC(MAX($P$34*($B311+$I$38-1),IF(AND($L$37=0,$P$34=0),"",$L$37-1)),MIN(BO$38,$E311),$P$20))-SUM($BF311:BN311))</f>
        <v>0</v>
      </c>
      <c r="BP311" s="446">
        <f>IF($E311=0,0,IF(MIN(BP$38,$E311)&lt;MAX($P$34*($B311+$I$38-1),IF(AND($L$37=0,$P$34=0),"",$L$37-1)),0,YEARFRAC(MAX($P$34*($B311+$I$38-1),IF(AND($L$37=0,$P$34=0),"",$L$37-1)),MIN(BP$38,$E311),$P$20))-SUM($BF311:BO311))</f>
        <v>0</v>
      </c>
      <c r="BQ311" s="446">
        <f>IF($E311=0,0,IF(MIN(BQ$38,$E311)&lt;MAX($P$34*($B311+$I$38-1),IF(AND($L$37=0,$P$34=0),"",$L$37-1)),0,YEARFRAC(MAX($P$34*($B311+$I$38-1),IF(AND($L$37=0,$P$34=0),"",$L$37-1)),MIN(BQ$38,$E311),$P$20))-SUM($BF311:BP311))</f>
        <v>0</v>
      </c>
      <c r="BR311" s="446">
        <f>IF($E311=0,0,IF(MIN(BR$38,$E311)&lt;MAX($P$34*($B311+$I$38-1),IF(AND($L$37=0,$P$34=0),"",$L$37-1)),0,YEARFRAC(MAX($P$34*($B311+$I$38-1),IF(AND($L$37=0,$P$34=0),"",$L$37-1)),MIN(BR$38,$E311),$P$20))-SUM($BF311:BQ311))</f>
        <v>0</v>
      </c>
      <c r="BS311" s="446">
        <f>IF($E311=0,0,IF(MIN(BS$38,$E311)&lt;MAX($P$34*($B311+$I$38-1),IF(AND($L$37=0,$P$34=0),"",$L$37-1)),0,YEARFRAC(MAX($P$34*($B311+$I$38-1),IF(AND($L$37=0,$P$34=0),"",$L$37-1)),MIN(BS$38,$E311),$P$20))-SUM($BF311:BR311))</f>
        <v>0</v>
      </c>
      <c r="BT311" s="446">
        <f>IF($E311=0,0,IF(MIN(BT$38,$E311)&lt;MAX($P$34*($B311+$I$38-1),IF(AND($L$37=0,$P$34=0),"",$L$37-1)),0,YEARFRAC(MAX($P$34*($B311+$I$38-1),IF(AND($L$37=0,$P$34=0),"",$L$37-1)),MIN(BT$38,$E311),$P$20))-SUM($BF311:BS311))</f>
        <v>0</v>
      </c>
      <c r="BU311" s="446">
        <f>IF($E311=0,0,IF(MIN(BU$38,$E311)&lt;MAX($P$34*($B311+$I$38-1),IF(AND($L$37=0,$P$34=0),"",$L$37-1)),0,YEARFRAC(MAX($P$34*($B311+$I$38-1),IF(AND($L$37=0,$P$34=0),"",$L$37-1)),MIN(BU$38,$E311),$P$20))-SUM($BF311:BT311))</f>
        <v>0</v>
      </c>
      <c r="BV311" s="446">
        <f>IF($E311=0,0,IF(MIN(BV$38,$E311)&lt;MAX($P$34*($B311+$I$38-1),IF(AND($L$37=0,$P$34=0),"",$L$37-1)),0,YEARFRAC(MAX($P$34*($B311+$I$38-1),IF(AND($L$37=0,$P$34=0),"",$L$37-1)),MIN(BV$38,$E311),$P$20))-SUM($BF311:BU311))</f>
        <v>0</v>
      </c>
      <c r="BW311" s="446">
        <f>IF($E311=0,0,IF(MIN(BW$38,$E311)&lt;MAX($P$34*($B311+$I$38-1),IF(AND($L$37=0,$P$34=0),"",$L$37-1)),0,YEARFRAC(MAX($P$34*($B311+$I$38-1),IF(AND($L$37=0,$P$34=0),"",$L$37-1)),MIN(BW$38,$E311),$P$20))-SUM($BF311:BV311))</f>
        <v>0</v>
      </c>
      <c r="BX311" s="446">
        <f>IF($E311=0,0,IF(MIN(BX$38,$E311)&lt;MAX($P$34*($B311+$I$38-1),IF(AND($L$37=0,$P$34=0),"",$L$37-1)),0,YEARFRAC(MAX($P$34*($B311+$I$38-1),IF(AND($L$37=0,$P$34=0),"",$L$37-1)),MIN(BX$38,$E311),$P$20))-SUM($BF311:BW311))</f>
        <v>0</v>
      </c>
      <c r="BY311" s="446">
        <f>IF($E311=0,0,IF(MIN(BY$38,$E311)&lt;MAX($P$34*($B311+$I$38-1),IF(AND($L$37=0,$P$34=0),"",$L$37-1)),0,YEARFRAC(MAX($P$34*($B311+$I$38-1),IF(AND($L$37=0,$P$34=0),"",$L$37-1)),MIN(BY$38,$E311),$P$20))-SUM($BF311:BX311))</f>
        <v>0</v>
      </c>
      <c r="BZ311" s="446">
        <f>IF($E311=0,0,IF(MIN(BZ$38,$E311)&lt;MAX($P$34*($B311+$I$38-1),IF(AND($L$37=0,$P$34=0),"",$L$37-1)),0,YEARFRAC(MAX($P$34*($B311+$I$38-1),IF(AND($L$37=0,$P$34=0),"",$L$37-1)),MIN(BZ$38,$E311),$P$20))-SUM($BF311:BY311))</f>
        <v>0</v>
      </c>
      <c r="CA311" s="446">
        <f>IF($E311=0,0,IF(MIN(CA$38,$E311)&lt;MAX($P$34*($B311+$I$38-1),IF(AND($L$37=0,$P$34=0),"",$L$37-1)),0,YEARFRAC(MAX($P$34*($B311+$I$38-1),IF(AND($L$37=0,$P$34=0),"",$L$37-1)),MIN(CA$38,$E311),$P$20))-SUM($BF311:BZ311))</f>
        <v>0</v>
      </c>
      <c r="CB311" s="446">
        <f>IF($E311=0,0,IF(MIN(CB$38,$E311)&lt;MAX($P$34*($B311+$I$38-1),IF(AND($L$37=0,$P$34=0),"",$L$37-1)),0,YEARFRAC(MAX($P$34*($B311+$I$38-1),IF(AND($L$37=0,$P$34=0),"",$L$37-1)),MIN(CB$38,$E311),$P$20))-SUM($BF311:CA311))</f>
        <v>0</v>
      </c>
      <c r="CC311" s="446">
        <f>IF($E311=0,0,IF(MIN(CC$38,$E311)&lt;MAX($P$34*($B311+$I$38-1),IF(AND($L$37=0,$P$34=0),"",$L$37-1)),0,YEARFRAC(MAX($P$34*($B311+$I$38-1),IF(AND($L$37=0,$P$34=0),"",$L$37-1)),MIN(CC$38,$E311),$P$20))-SUM($BF311:CB311))</f>
        <v>0</v>
      </c>
      <c r="CD311" s="446">
        <f>IF($E311=0,0,IF(MIN(CD$38,$E311)&lt;MAX($P$34*($B311+$I$38-1),IF(AND($L$37=0,$P$34=0),"",$L$37-1)),0,YEARFRAC(MAX($P$34*($B311+$I$38-1),IF(AND($L$37=0,$P$34=0),"",$L$37-1)),MIN(CD$38,$E311),$P$20))-SUM($BF311:CC311))</f>
        <v>0</v>
      </c>
      <c r="CE311" s="446">
        <f>IF($E311=0,0,IF(MIN(CE$38,$E311)&lt;MAX($P$34*($B311+$I$38-1),IF(AND($L$37=0,$P$34=0),"",$L$37-1)),0,YEARFRAC(MAX($P$34*($B311+$I$38-1),IF(AND($L$37=0,$P$34=0),"",$L$37-1)),MIN(CE$38,$E311),$P$20))-SUM($BF311:CD311))</f>
        <v>0</v>
      </c>
      <c r="CF311" s="446">
        <f>IF($E311=0,0,IF(MIN(CF$38,$E311)&lt;MAX($P$34*($B311+$I$38-1),IF(AND($L$37=0,$P$34=0),"",$L$37-1)),0,YEARFRAC(MAX($P$34*($B311+$I$38-1),IF(AND($L$37=0,$P$34=0),"",$L$37-1)),MIN(CF$38,$E311),$P$20))-SUM($BF311:CE311))</f>
        <v>0</v>
      </c>
      <c r="CG311" s="446">
        <f>IF($E311=0,0,IF(MIN(CG$38,$E311)&lt;MAX($P$34*($B311+$I$38-1),IF(AND($L$37=0,$P$34=0),"",$L$37-1)),0,YEARFRAC(MAX($P$34*($B311+$I$38-1),IF(AND($L$37=0,$P$34=0),"",$L$37-1)),MIN(CG$38,$E311),$P$20))-SUM($BF311:CF311))</f>
        <v>0</v>
      </c>
      <c r="CH311" s="446">
        <f>IF($E311=0,0,IF(MIN(CH$38,$E311)&lt;MAX($P$34*($B311+$I$38-1),IF(AND($L$37=0,$P$34=0),"",$L$37-1)),0,YEARFRAC(MAX($P$34*($B311+$I$38-1),IF(AND($L$37=0,$P$34=0),"",$L$37-1)),MIN(CH$38,$E311),$P$20))-SUM($BF311:CG311))</f>
        <v>0</v>
      </c>
      <c r="CI311" s="446">
        <f>IF($E311=0,0,IF(MIN(CI$38,$E311)&lt;MAX($P$34*($B311+$I$38-1),IF(AND($L$37=0,$P$34=0),"",$L$37-1)),0,YEARFRAC(MAX($P$34*($B311+$I$38-1),IF(AND($L$37=0,$P$34=0),"",$L$37-1)),MIN(CI$38,$E311),$P$20))-SUM($BF311:CH311))</f>
        <v>0</v>
      </c>
      <c r="CJ311" s="446">
        <f>IF($E311=0,0,IF(MIN(CJ$38,$E311)&lt;MAX($P$34*($B311+$I$38-1),IF(AND($L$37=0,$P$34=0),"",$L$37-1)),0,YEARFRAC(MAX($P$34*($B311+$I$38-1),IF(AND($L$37=0,$P$34=0),"",$L$37-1)),MIN(CJ$38,$E311),$P$20))-SUM($BF311:CI311))</f>
        <v>0</v>
      </c>
      <c r="CK311" s="446">
        <f>IF($E311=0,0,IF(MIN(CK$38,$E311)&lt;MAX($P$34*($B311+$I$38-1),IF(AND($L$37=0,$P$34=0),"",$L$37-1)),0,YEARFRAC(MAX($P$34*($B311+$I$38-1),IF(AND($L$37=0,$P$34=0),"",$L$37-1)),MIN(CK$38,$E311),$P$20))-SUM($BF311:CJ311))</f>
        <v>0</v>
      </c>
      <c r="CL311" s="446">
        <f>IF($E311=0,0,IF(MIN(CL$38,$E311)&lt;MAX($P$34*($B311+$I$38-1),IF(AND($L$37=0,$P$34=0),"",$L$37-1)),0,YEARFRAC(MAX($P$34*($B311+$I$38-1),IF(AND($L$37=0,$P$34=0),"",$L$37-1)),MIN(CL$38,$E311),$P$20))-SUM($BF311:CK311))</f>
        <v>0</v>
      </c>
      <c r="CM311" s="446">
        <f>IF($E311=0,0,IF(MIN(CM$38,$E311)&lt;MAX($P$34*($B311+$I$38-1),IF(AND($L$37=0,$P$34=0),"",$L$37-1)),0,YEARFRAC(MAX($P$34*($B311+$I$38-1),IF(AND($L$37=0,$P$34=0),"",$L$37-1)),MIN(CM$38,$E311),$P$20))-SUM($BF311:CL311))</f>
        <v>0</v>
      </c>
      <c r="CN311" s="446">
        <f>IF($E311=0,0,IF(MIN(CN$38,$E311)&lt;MAX($P$34*($B311+$I$38-1),IF(AND($L$37=0,$P$34=0),"",$L$37-1)),0,YEARFRAC(MAX($P$34*($B311+$I$38-1),IF(AND($L$37=0,$P$34=0),"",$L$37-1)),MIN(CN$38,$E311),$P$20))-SUM($BF311:CM311))</f>
        <v>0</v>
      </c>
      <c r="CO311" s="446">
        <f>IF($E311=0,0,IF(MIN(CO$38,$E311)&lt;MAX($P$34*($B311+$I$38-1),IF(AND($L$37=0,$P$34=0),"",$L$37-1)),0,YEARFRAC(MAX($P$34*($B311+$I$38-1),IF(AND($L$37=0,$P$34=0),"",$L$37-1)),MIN(CO$38,$E311),$P$20))-SUM($BF311:CN311))</f>
        <v>0</v>
      </c>
      <c r="CP311" s="446">
        <f>IF($E311=0,0,IF(MIN(CP$38,$E311)&lt;MAX($P$34*($B311+$I$38-1),IF(AND($L$37=0,$P$34=0),"",$L$37-1)),0,YEARFRAC(MAX($P$34*($B311+$I$38-1),IF(AND($L$37=0,$P$34=0),"",$L$37-1)),MIN(CP$38,$E311),$P$20))-SUM($BF311:CO311))</f>
        <v>0</v>
      </c>
      <c r="CQ311" s="446">
        <f>IF($E311=0,0,IF(MIN(CQ$38,$E311)&lt;MAX($P$34*($B311+$I$38-1),IF(AND($L$37=0,$P$34=0),"",$L$37-1)),0,YEARFRAC(MAX($P$34*($B311+$I$38-1),IF(AND($L$37=0,$P$34=0),"",$L$37-1)),MIN(CQ$38,$E311),$P$20))-SUM($BF311:CP311))</f>
        <v>0</v>
      </c>
    </row>
    <row r="312" spans="1:95" s="446" customFormat="1" ht="11.25" hidden="1" customHeight="1" x14ac:dyDescent="0.2">
      <c r="A312" s="152"/>
      <c r="B312" s="153" t="str">
        <f t="shared" si="59"/>
        <v/>
      </c>
      <c r="C312" s="29" t="str">
        <f>IF(B312="","",IF($L$35="SELIC - TRIBUTOS",VLOOKUP(DATE(YEAR($D$19),MONTH($D$19)-1,1),ÍNDICES!$A:$DE,HLOOKUP($BL$25,ÍNDICES!$B$3:$T$4,2)+11)-VLOOKUP(B312,ÍNDICES!$A:$DE,HLOOKUP($BL$25,ÍNDICES!$B$3:$T$4,2)+11)+1%,IF(C$38=$W$26,$J$35,IF(ISERROR(IF(B312&gt;$D$19,1,VLOOKUP(DATE(YEAR(B312),MONTH(B312)+IF($C$35=$S$23,1,0),1),ÍNDICES!$A:$DE,$Z$35+1))),"",IF(B312&gt;$D$19,1,VLOOKUP(DATE(YEAR(B312),MONTH(B312)+IF($C$35=$S$23,1,0),1),ÍNDICES!$A:$DE,$Z$35+1))))))</f>
        <v/>
      </c>
      <c r="D312" s="154" t="str">
        <f>IF(ISERROR(IF(OR($D$38=$Y$27,$B312=""),"",VLOOKUP(B312,ÍNDICES!A:DE,AF$35+1))),"",IF(OR($D$38=$Y$27,$B312=""),"",VLOOKUP(B312,ÍNDICES!A:DE,AF$35+1)))</f>
        <v/>
      </c>
      <c r="E312" s="153"/>
      <c r="F312" s="29" t="str">
        <f>IF(E312="","",IF($L$35="SELIC - TRIBUTOS",VLOOKUP(DATE(YEAR($D$19),MONTH($D$19)-1,1),ÍNDICES!$A:$DE,HLOOKUP($BL$25,ÍNDICES!$B$3:$T$4,2)+11)-VLOOKUP(E312,ÍNDICES!$A:$DE,HLOOKUP($BL$25,ÍNDICES!$B$3:$T$4,2)+11)+1%,IF(F$38=$W$26,$J$35,IF(ISERROR(IF(E312&gt;$D$19,1,VLOOKUP(DATE(YEAR(E312),MONTH(E312)+IF($C$35=$S$23,1,0),1),ÍNDICES!$A:$DE,$Z$35+1))),"",IF(E312&gt;$D$19,1,VLOOKUP(DATE(YEAR(E312),MONTH(E312)+IF($C$35=$S$23,1,0),1),ÍNDICES!$A:$DE,$Z$35+1))))))</f>
        <v/>
      </c>
      <c r="G312" s="155"/>
      <c r="H312" s="156" t="str">
        <f t="shared" si="55"/>
        <v/>
      </c>
      <c r="I312" s="29" t="str">
        <f t="shared" si="49"/>
        <v/>
      </c>
      <c r="J312" s="5">
        <f t="shared" si="50"/>
        <v>0</v>
      </c>
      <c r="K312" s="20">
        <f t="shared" ca="1" si="51"/>
        <v>0</v>
      </c>
      <c r="L312" s="5">
        <f t="shared" ca="1" si="52"/>
        <v>0</v>
      </c>
      <c r="M312" s="64">
        <f t="shared" si="56"/>
        <v>0</v>
      </c>
      <c r="N312" s="61">
        <f t="shared" ca="1" si="57"/>
        <v>0</v>
      </c>
      <c r="O312" s="5">
        <f t="shared" ca="1" si="58"/>
        <v>0</v>
      </c>
      <c r="P312" s="446" t="e">
        <f t="shared" si="53"/>
        <v>#VALUE!</v>
      </c>
      <c r="Q312" s="446" t="e">
        <f>IF(OR($B312="",MIN(Q$38,$D$19)&lt;MAX($P$34*($B312+IF($R$17="Distrato",$I$38-1,0)),IF(AND($L$37=0,$P$34=0),"",$L$37-1),IF($R$17="Distrato",$E312,0))),0,YEARFRAC(MAX($P$34*($B312+IF($R$17="Distrato",$I$38-1,0)),IF(AND($L$37=0,$P$34=0),"",$L$37-1),IF($R$17="Distrato",$E312,0)),MIN(Q$38,$D$19),$P$20))-SUM($P312:P312)</f>
        <v>#VALUE!</v>
      </c>
      <c r="R312" s="446" t="e">
        <f>IF(OR($B312="",MIN(R$38,$D$19)&lt;MAX($P$34*($B312+IF($R$17="Distrato",$I$38-1,0)),IF(AND($L$37=0,$P$34=0),"",$L$37-1),IF($R$17="Distrato",$E312,0))),0,YEARFRAC(MAX($P$34*($B312+IF($R$17="Distrato",$I$38-1,0)),IF(AND($L$37=0,$P$34=0),"",$L$37-1),IF($R$17="Distrato",$E312,0)),MIN(R$38,$D$19),$P$20))-SUM($P312:Q312)</f>
        <v>#VALUE!</v>
      </c>
      <c r="S312" s="446" t="e">
        <f>IF(OR($B312="",MIN(S$38,$D$19)&lt;MAX($P$34*($B312+IF($R$17="Distrato",$I$38-1,0)),IF(AND($L$37=0,$P$34=0),"",$L$37-1),IF($R$17="Distrato",$E312,0))),0,YEARFRAC(MAX($P$34*($B312+IF($R$17="Distrato",$I$38-1,0)),IF(AND($L$37=0,$P$34=0),"",$L$37-1),IF($R$17="Distrato",$E312,0)),MIN(S$38,$D$19),$P$20))-SUM($P312:R312)</f>
        <v>#VALUE!</v>
      </c>
      <c r="T312" s="446" t="e">
        <f>IF(OR($B312="",MIN(T$38,$D$19)&lt;MAX($P$34*($B312+IF($R$17="Distrato",$I$38-1,0)),IF(AND($L$37=0,$P$34=0),"",$L$37-1),IF($R$17="Distrato",$E312,0))),0,YEARFRAC(MAX($P$34*($B312+IF($R$17="Distrato",$I$38-1,0)),IF(AND($L$37=0,$P$34=0),"",$L$37-1),IF($R$17="Distrato",$E312,0)),MIN(T$38,$D$19),$P$20))-SUM($P312:S312)</f>
        <v>#VALUE!</v>
      </c>
      <c r="U312" s="446" t="e">
        <f>IF(OR($B312="",MIN(U$38,$D$19)&lt;MAX($P$34*($B312+IF($R$17="Distrato",$I$38-1,0)),IF(AND($L$37=0,$P$34=0),"",$L$37-1),IF($R$17="Distrato",$E312,0))),0,YEARFRAC(MAX($P$34*($B312+IF($R$17="Distrato",$I$38-1,0)),IF(AND($L$37=0,$P$34=0),"",$L$37-1),IF($R$17="Distrato",$E312,0)),MIN(U$38,$D$19),$P$20))-SUM($P312:T312)</f>
        <v>#VALUE!</v>
      </c>
      <c r="V312" s="446" t="e">
        <f>IF(OR($B312="",MIN(V$38,$D$19)&lt;MAX($P$34*($B312+IF($R$17="Distrato",$I$38-1,0)),IF(AND($L$37=0,$P$34=0),"",$L$37-1),IF($R$17="Distrato",$E312,0))),0,YEARFRAC(MAX($P$34*($B312+IF($R$17="Distrato",$I$38-1,0)),IF(AND($L$37=0,$P$34=0),"",$L$37-1),IF($R$17="Distrato",$E312,0)),MIN(V$38,$D$19),$P$20))-SUM($P312:U312)</f>
        <v>#VALUE!</v>
      </c>
      <c r="W312" s="446" t="e">
        <f>IF(OR($B312="",MIN(W$38,$D$19)&lt;MAX($P$34*($B312+IF($R$17="Distrato",$I$38-1,0)),IF(AND($L$37=0,$P$34=0),"",$L$37-1),IF($R$17="Distrato",$E312,0))),0,YEARFRAC(MAX($P$34*($B312+IF($R$17="Distrato",$I$38-1,0)),IF(AND($L$37=0,$P$34=0),"",$L$37-1),IF($R$17="Distrato",$E312,0)),MIN(W$38,$D$19),$P$20))-SUM($P312:V312)</f>
        <v>#VALUE!</v>
      </c>
      <c r="X312" s="446" t="e">
        <f>IF(OR($B312="",MIN(X$38,$D$19)&lt;MAX($P$34*($B312+IF($R$17="Distrato",$I$38-1,0)),IF(AND($L$37=0,$P$34=0),"",$L$37-1),IF($R$17="Distrato",$E312,0))),0,YEARFRAC(MAX($P$34*($B312+IF($R$17="Distrato",$I$38-1,0)),IF(AND($L$37=0,$P$34=0),"",$L$37-1),IF($R$17="Distrato",$E312,0)),MIN(X$38,$D$19),$P$20))-SUM($P312:W312)</f>
        <v>#VALUE!</v>
      </c>
      <c r="Y312" s="446" t="e">
        <f>IF(OR($B312="",MIN(Y$38,$D$19)&lt;MAX($P$34*($B312+IF($R$17="Distrato",$I$38-1,0)),IF(AND($L$37=0,$P$34=0),"",$L$37-1),IF($R$17="Distrato",$E312,0))),0,YEARFRAC(MAX($P$34*($B312+IF($R$17="Distrato",$I$38-1,0)),IF(AND($L$37=0,$P$34=0),"",$L$37-1),IF($R$17="Distrato",$E312,0)),MIN(Y$38,$D$19),$P$20))-SUM($P312:X312)</f>
        <v>#VALUE!</v>
      </c>
      <c r="Z312" s="446" t="e">
        <f>IF(OR($B312="",MIN(Z$38,$D$19)&lt;MAX($P$34*($B312+IF($R$17="Distrato",$I$38-1,0)),IF(AND($L$37=0,$P$34=0),"",$L$37-1),IF($R$17="Distrato",$E312,0))),0,YEARFRAC(MAX($P$34*($B312+IF($R$17="Distrato",$I$38-1,0)),IF(AND($L$37=0,$P$34=0),"",$L$37-1),IF($R$17="Distrato",$E312,0)),MIN(Z$38,$D$19),$P$20))-SUM($P312:Y312)</f>
        <v>#VALUE!</v>
      </c>
      <c r="AA312" s="446" t="e">
        <f>IF(OR($B312="",MIN(AA$38,$D$19)&lt;MAX($P$34*($B312+IF($R$17="Distrato",$I$38-1,0)),IF(AND($L$37=0,$P$34=0),"",$L$37-1),IF($R$17="Distrato",$E312,0))),0,YEARFRAC(MAX($P$34*($B312+IF($R$17="Distrato",$I$38-1,0)),IF(AND($L$37=0,$P$34=0),"",$L$37-1),IF($R$17="Distrato",$E312,0)),MIN(AA$38,$D$19),$P$20))-SUM($P312:Z312)</f>
        <v>#VALUE!</v>
      </c>
      <c r="AB312" s="446" t="e">
        <f>IF(OR($B312="",MIN(AB$38,$D$19)&lt;MAX($P$34*($B312+IF($R$17="Distrato",$I$38-1,0)),IF(AND($L$37=0,$P$34=0),"",$L$37-1),IF($R$17="Distrato",$E312,0))),0,YEARFRAC(MAX($P$34*($B312+IF($R$17="Distrato",$I$38-1,0)),IF(AND($L$37=0,$P$34=0),"",$L$37-1),IF($R$17="Distrato",$E312,0)),MIN(AB$38,$D$19),$P$20))-SUM($P312:AA312)</f>
        <v>#VALUE!</v>
      </c>
      <c r="AC312" s="446" t="e">
        <f>IF(OR($B312="",MIN(AC$38,$D$19)&lt;MAX($P$34*($B312+IF($R$17="Distrato",$I$38-1,0)),IF(AND($L$37=0,$P$34=0),"",$L$37-1),IF($R$17="Distrato",$E312,0))),0,YEARFRAC(MAX($P$34*($B312+IF($R$17="Distrato",$I$38-1,0)),IF(AND($L$37=0,$P$34=0),"",$L$37-1),IF($R$17="Distrato",$E312,0)),MIN(AC$38,$D$19),$P$20))-SUM($P312:AB312)</f>
        <v>#VALUE!</v>
      </c>
      <c r="AD312" s="446" t="e">
        <f>IF(OR($B312="",MIN(AD$38,$D$19)&lt;MAX($P$34*($B312+IF($R$17="Distrato",$I$38-1,0)),IF(AND($L$37=0,$P$34=0),"",$L$37-1),IF($R$17="Distrato",$E312,0))),0,YEARFRAC(MAX($P$34*($B312+IF($R$17="Distrato",$I$38-1,0)),IF(AND($L$37=0,$P$34=0),"",$L$37-1),IF($R$17="Distrato",$E312,0)),MIN(AD$38,$D$19),$P$20))-SUM($P312:AC312)</f>
        <v>#VALUE!</v>
      </c>
      <c r="AE312" s="446" t="e">
        <f>IF(OR($B312="",MIN(AE$38,$D$19)&lt;MAX($P$34*($B312+IF($R$17="Distrato",$I$38-1,0)),IF(AND($L$37=0,$P$34=0),"",$L$37-1),IF($R$17="Distrato",$E312,0))),0,YEARFRAC(MAX($P$34*($B312+IF($R$17="Distrato",$I$38-1,0)),IF(AND($L$37=0,$P$34=0),"",$L$37-1),IF($R$17="Distrato",$E312,0)),MIN(AE$38,$D$19),$P$20))-SUM($P312:AD312)</f>
        <v>#VALUE!</v>
      </c>
      <c r="AF312" s="446" t="e">
        <f>IF(OR($B312="",MIN(AF$38,$D$19)&lt;MAX($P$34*($B312+IF($R$17="Distrato",$I$38-1,0)),IF(AND($L$37=0,$P$34=0),"",$L$37-1),IF($R$17="Distrato",$E312,0))),0,YEARFRAC(MAX($P$34*($B312+IF($R$17="Distrato",$I$38-1,0)),IF(AND($L$37=0,$P$34=0),"",$L$37-1),IF($R$17="Distrato",$E312,0)),MIN(AF$38,$D$19),$P$20))-SUM($P312:AE312)</f>
        <v>#VALUE!</v>
      </c>
      <c r="AG312" s="446" t="e">
        <f>IF(OR($B312="",MIN(AG$38,$D$19)&lt;MAX($P$34*($B312+IF($R$17="Distrato",$I$38-1,0)),IF(AND($L$37=0,$P$34=0),"",$L$37-1),IF($R$17="Distrato",$E312,0))),0,YEARFRAC(MAX($P$34*($B312+IF($R$17="Distrato",$I$38-1,0)),IF(AND($L$37=0,$P$34=0),"",$L$37-1),IF($R$17="Distrato",$E312,0)),MIN(AG$38,$D$19),$P$20))-SUM($P312:AF312)</f>
        <v>#VALUE!</v>
      </c>
      <c r="AH312" s="446" t="e">
        <f>IF(OR($B312="",MIN(AH$38,$D$19)&lt;MAX($P$34*($B312+IF($R$17="Distrato",$I$38-1,0)),IF(AND($L$37=0,$P$34=0),"",$L$37-1),IF($R$17="Distrato",$E312,0))),0,YEARFRAC(MAX($P$34*($B312+IF($R$17="Distrato",$I$38-1,0)),IF(AND($L$37=0,$P$34=0),"",$L$37-1),IF($R$17="Distrato",$E312,0)),MIN(AH$38,$D$19),$P$20))-SUM($P312:AG312)</f>
        <v>#VALUE!</v>
      </c>
      <c r="AI312" s="446" t="e">
        <f>IF(OR($B312="",MIN(AI$38,$D$19)&lt;MAX($P$34*($B312+IF($R$17="Distrato",$I$38-1,0)),IF(AND($L$37=0,$P$34=0),"",$L$37-1),IF($R$17="Distrato",$E312,0))),0,YEARFRAC(MAX($P$34*($B312+IF($R$17="Distrato",$I$38-1,0)),IF(AND($L$37=0,$P$34=0),"",$L$37-1),IF($R$17="Distrato",$E312,0)),MIN(AI$38,$D$19),$P$20))-SUM($P312:AH312)</f>
        <v>#VALUE!</v>
      </c>
      <c r="AJ312" s="446" t="e">
        <f>IF(OR($B312="",MIN(AJ$38,$D$19)&lt;MAX($P$34*($B312+IF($R$17="Distrato",$I$38-1,0)),IF(AND($L$37=0,$P$34=0),"",$L$37-1),IF($R$17="Distrato",$E312,0))),0,YEARFRAC(MAX($P$34*($B312+IF($R$17="Distrato",$I$38-1,0)),IF(AND($L$37=0,$P$34=0),"",$L$37-1),IF($R$17="Distrato",$E312,0)),MIN(AJ$38,$D$19),$P$20))-SUM($P312:AI312)</f>
        <v>#VALUE!</v>
      </c>
      <c r="AK312" s="446" t="e">
        <f>IF(OR($B312="",MIN(AK$38,$D$19)&lt;MAX($P$34*($B312+IF($R$17="Distrato",$I$38-1,0)),IF(AND($L$37=0,$P$34=0),"",$L$37-1),IF($R$17="Distrato",$E312,0))),0,YEARFRAC(MAX($P$34*($B312+IF($R$17="Distrato",$I$38-1,0)),IF(AND($L$37=0,$P$34=0),"",$L$37-1),IF($R$17="Distrato",$E312,0)),MIN(AK$38,$D$19),$P$20))-SUM($P312:AJ312)</f>
        <v>#VALUE!</v>
      </c>
      <c r="AL312" s="446" t="e">
        <f>IF(OR($B312="",MIN(AL$38,$D$19)&lt;MAX($P$34*($B312+IF($R$17="Distrato",$I$38-1,0)),IF(AND($L$37=0,$P$34=0),"",$L$37-1),IF($R$17="Distrato",$E312,0))),0,YEARFRAC(MAX($P$34*($B312+IF($R$17="Distrato",$I$38-1,0)),IF(AND($L$37=0,$P$34=0),"",$L$37-1),IF($R$17="Distrato",$E312,0)),MIN(AL$38,$D$19),$P$20))-SUM($P312:AK312)</f>
        <v>#VALUE!</v>
      </c>
      <c r="AM312" s="446" t="e">
        <f>IF(OR($B312="",MIN(AM$38,$D$19)&lt;MAX($P$34*($B312+IF($R$17="Distrato",$I$38-1,0)),IF(AND($L$37=0,$P$34=0),"",$L$37-1),IF($R$17="Distrato",$E312,0))),0,YEARFRAC(MAX($P$34*($B312+IF($R$17="Distrato",$I$38-1,0)),IF(AND($L$37=0,$P$34=0),"",$L$37-1),IF($R$17="Distrato",$E312,0)),MIN(AM$38,$D$19),$P$20))-SUM($P312:AL312)</f>
        <v>#VALUE!</v>
      </c>
      <c r="AN312" s="446" t="e">
        <f>IF(OR($B312="",MIN(AN$38,$D$19)&lt;MAX($P$34*($B312+IF($R$17="Distrato",$I$38-1,0)),IF(AND($L$37=0,$P$34=0),"",$L$37-1),IF($R$17="Distrato",$E312,0))),0,YEARFRAC(MAX($P$34*($B312+IF($R$17="Distrato",$I$38-1,0)),IF(AND($L$37=0,$P$34=0),"",$L$37-1),IF($R$17="Distrato",$E312,0)),MIN(AN$38,$D$19),$P$20))-SUM($P312:AM312)</f>
        <v>#VALUE!</v>
      </c>
      <c r="AO312" s="446" t="e">
        <f>IF(OR($B312="",MIN(AO$38,$D$19)&lt;MAX($P$34*($B312+IF($R$17="Distrato",$I$38-1,0)),IF(AND($L$37=0,$P$34=0),"",$L$37-1),IF($R$17="Distrato",$E312,0))),0,YEARFRAC(MAX($P$34*($B312+IF($R$17="Distrato",$I$38-1,0)),IF(AND($L$37=0,$P$34=0),"",$L$37-1),IF($R$17="Distrato",$E312,0)),MIN(AO$38,$D$19),$P$20))-SUM($P312:AN312)</f>
        <v>#VALUE!</v>
      </c>
      <c r="AP312" s="446" t="e">
        <f>IF(OR($B312="",MIN(AP$38,$D$19)&lt;MAX($P$34*($B312+IF($R$17="Distrato",$I$38-1,0)),IF(AND($L$37=0,$P$34=0),"",$L$37-1),IF($R$17="Distrato",$E312,0))),0,YEARFRAC(MAX($P$34*($B312+IF($R$17="Distrato",$I$38-1,0)),IF(AND($L$37=0,$P$34=0),"",$L$37-1),IF($R$17="Distrato",$E312,0)),MIN(AP$38,$D$19),$P$20))-SUM($P312:AO312)</f>
        <v>#VALUE!</v>
      </c>
      <c r="AQ312" s="446" t="e">
        <f>IF(OR($B312="",MIN(AQ$38,$D$19)&lt;MAX($P$34*($B312+IF($R$17="Distrato",$I$38-1,0)),IF(AND($L$37=0,$P$34=0),"",$L$37-1),IF($R$17="Distrato",$E312,0))),0,YEARFRAC(MAX($P$34*($B312+IF($R$17="Distrato",$I$38-1,0)),IF(AND($L$37=0,$P$34=0),"",$L$37-1),IF($R$17="Distrato",$E312,0)),MIN(AQ$38,$D$19),$P$20))-SUM($P312:AP312)</f>
        <v>#VALUE!</v>
      </c>
      <c r="AR312" s="446" t="e">
        <f>IF(OR($B312="",MIN(AR$38,$D$19)&lt;MAX($P$34*($B312+IF($R$17="Distrato",$I$38-1,0)),IF(AND($L$37=0,$P$34=0),"",$L$37-1),IF($R$17="Distrato",$E312,0))),0,YEARFRAC(MAX($P$34*($B312+IF($R$17="Distrato",$I$38-1,0)),IF(AND($L$37=0,$P$34=0),"",$L$37-1),IF($R$17="Distrato",$E312,0)),MIN(AR$38,$D$19),$P$20))-SUM($P312:AQ312)</f>
        <v>#VALUE!</v>
      </c>
      <c r="AS312" s="446" t="e">
        <f>IF(OR($B312="",MIN(AS$38,$D$19)&lt;MAX($P$34*($B312+IF($R$17="Distrato",$I$38-1,0)),IF(AND($L$37=0,$P$34=0),"",$L$37-1),IF($R$17="Distrato",$E312,0))),0,YEARFRAC(MAX($P$34*($B312+IF($R$17="Distrato",$I$38-1,0)),IF(AND($L$37=0,$P$34=0),"",$L$37-1),IF($R$17="Distrato",$E312,0)),MIN(AS$38,$D$19),$P$20))-SUM($P312:AR312)</f>
        <v>#VALUE!</v>
      </c>
      <c r="AT312" s="446" t="e">
        <f>IF(OR($B312="",MIN(AT$38,$D$19)&lt;MAX($P$34*($B312+IF($R$17="Distrato",$I$38-1,0)),IF(AND($L$37=0,$P$34=0),"",$L$37-1),IF($R$17="Distrato",$E312,0))),0,YEARFRAC(MAX($P$34*($B312+IF($R$17="Distrato",$I$38-1,0)),IF(AND($L$37=0,$P$34=0),"",$L$37-1),IF($R$17="Distrato",$E312,0)),MIN(AT$38,$D$19),$P$20))-SUM($P312:AS312)</f>
        <v>#VALUE!</v>
      </c>
      <c r="AU312" s="446" t="e">
        <f>IF(OR($B312="",MIN(AU$38,$D$19)&lt;MAX($P$34*($B312+IF($R$17="Distrato",$I$38-1,0)),IF(AND($L$37=0,$P$34=0),"",$L$37-1),IF($R$17="Distrato",$E312,0))),0,YEARFRAC(MAX($P$34*($B312+IF($R$17="Distrato",$I$38-1,0)),IF(AND($L$37=0,$P$34=0),"",$L$37-1),IF($R$17="Distrato",$E312,0)),MIN(AU$38,$D$19),$P$20))-SUM($P312:AT312)</f>
        <v>#VALUE!</v>
      </c>
      <c r="AV312" s="446" t="e">
        <f>IF(OR($B312="",MIN(AV$38,$D$19)&lt;MAX($P$34*($B312+IF($R$17="Distrato",$I$38-1,0)),IF(AND($L$37=0,$P$34=0),"",$L$37-1),IF($R$17="Distrato",$E312,0))),0,YEARFRAC(MAX($P$34*($B312+IF($R$17="Distrato",$I$38-1,0)),IF(AND($L$37=0,$P$34=0),"",$L$37-1),IF($R$17="Distrato",$E312,0)),MIN(AV$38,$D$19),$P$20))-SUM($P312:AU312)</f>
        <v>#VALUE!</v>
      </c>
      <c r="AW312" s="446" t="e">
        <f>IF(OR($B312="",MIN(AW$38,$D$19)&lt;MAX($P$34*($B312+IF($R$17="Distrato",$I$38-1,0)),IF(AND($L$37=0,$P$34=0),"",$L$37-1),IF($R$17="Distrato",$E312,0))),0,YEARFRAC(MAX($P$34*($B312+IF($R$17="Distrato",$I$38-1,0)),IF(AND($L$37=0,$P$34=0),"",$L$37-1),IF($R$17="Distrato",$E312,0)),MIN(AW$38,$D$19),$P$20))-SUM($P312:AV312)</f>
        <v>#VALUE!</v>
      </c>
      <c r="AX312" s="446" t="e">
        <f>IF(OR($B312="",MIN(AX$38,$D$19)&lt;MAX($P$34*($B312+IF($R$17="Distrato",$I$38-1,0)),IF(AND($L$37=0,$P$34=0),"",$L$37-1),IF($R$17="Distrato",$E312,0))),0,YEARFRAC(MAX($P$34*($B312+IF($R$17="Distrato",$I$38-1,0)),IF(AND($L$37=0,$P$34=0),"",$L$37-1),IF($R$17="Distrato",$E312,0)),MIN(AX$38,$D$19),$P$20))-SUM($P312:AW312)</f>
        <v>#VALUE!</v>
      </c>
      <c r="AY312" s="446" t="e">
        <f>IF(OR($B312="",MIN(AY$38,$D$19)&lt;MAX($P$34*($B312+IF($R$17="Distrato",$I$38-1,0)),IF(AND($L$37=0,$P$34=0),"",$L$37-1),IF($R$17="Distrato",$E312,0))),0,YEARFRAC(MAX($P$34*($B312+IF($R$17="Distrato",$I$38-1,0)),IF(AND($L$37=0,$P$34=0),"",$L$37-1),IF($R$17="Distrato",$E312,0)),MIN(AY$38,$D$19),$P$20))-SUM($P312:AX312)</f>
        <v>#VALUE!</v>
      </c>
      <c r="AZ312" s="446" t="e">
        <f>IF(OR($B312="",MIN(AZ$38,$D$19)&lt;MAX($P$34*($B312+IF($R$17="Distrato",$I$38-1,0)),IF(AND($L$37=0,$P$34=0),"",$L$37-1),IF($R$17="Distrato",$E312,0))),0,YEARFRAC(MAX($P$34*($B312+IF($R$17="Distrato",$I$38-1,0)),IF(AND($L$37=0,$P$34=0),"",$L$37-1),IF($R$17="Distrato",$E312,0)),MIN(AZ$38,$D$19),$P$20))-SUM($P312:AY312)</f>
        <v>#VALUE!</v>
      </c>
      <c r="BA312" s="446" t="e">
        <f>IF(OR($B312="",MIN(BA$38,$D$19)&lt;MAX($P$34*($B312+IF($R$17="Distrato",$I$38-1,0)),IF(AND($L$37=0,$P$34=0),"",$L$37-1),IF($R$17="Distrato",$E312,0))),0,YEARFRAC(MAX($P$34*($B312+IF($R$17="Distrato",$I$38-1,0)),IF(AND($L$37=0,$P$34=0),"",$L$37-1),IF($R$17="Distrato",$E312,0)),MIN(BA$38,$D$19),$P$20))-SUM($P312:AZ312)</f>
        <v>#VALUE!</v>
      </c>
      <c r="BB312" s="447"/>
      <c r="BF312" s="446">
        <f t="shared" si="54"/>
        <v>0</v>
      </c>
      <c r="BG312" s="446">
        <f>IF($E312=0,0,IF(MIN(BG$38,$E312)&lt;MAX($P$34*($B312+$I$38-1),IF(AND($L$37=0,$P$34=0),"",$L$37-1)),0,YEARFRAC(MAX($P$34*($B312+$I$38-1),IF(AND($L$37=0,$P$34=0),"",$L$37-1)),MIN(BG$38,$E312),$P$20))-SUM($BF312:BF312))</f>
        <v>0</v>
      </c>
      <c r="BH312" s="446">
        <f>IF($E312=0,0,IF(MIN(BH$38,$E312)&lt;MAX($P$34*($B312+$I$38-1),IF(AND($L$37=0,$P$34=0),"",$L$37-1)),0,YEARFRAC(MAX($P$34*($B312+$I$38-1),IF(AND($L$37=0,$P$34=0),"",$L$37-1)),MIN(BH$38,$E312),$P$20))-SUM($BF312:BG312))</f>
        <v>0</v>
      </c>
      <c r="BI312" s="446">
        <f>IF($E312=0,0,IF(MIN(BI$38,$E312)&lt;MAX($P$34*($B312+$I$38-1),IF(AND($L$37=0,$P$34=0),"",$L$37-1)),0,YEARFRAC(MAX($P$34*($B312+$I$38-1),IF(AND($L$37=0,$P$34=0),"",$L$37-1)),MIN(BI$38,$E312),$P$20))-SUM($BF312:BH312))</f>
        <v>0</v>
      </c>
      <c r="BJ312" s="446">
        <f>IF($E312=0,0,IF(MIN(BJ$38,$E312)&lt;MAX($P$34*($B312+$I$38-1),IF(AND($L$37=0,$P$34=0),"",$L$37-1)),0,YEARFRAC(MAX($P$34*($B312+$I$38-1),IF(AND($L$37=0,$P$34=0),"",$L$37-1)),MIN(BJ$38,$E312),$P$20))-SUM($BF312:BI312))</f>
        <v>0</v>
      </c>
      <c r="BK312" s="446">
        <f>IF($E312=0,0,IF(MIN(BK$38,$E312)&lt;MAX($P$34*($B312+$I$38-1),IF(AND($L$37=0,$P$34=0),"",$L$37-1)),0,YEARFRAC(MAX($P$34*($B312+$I$38-1),IF(AND($L$37=0,$P$34=0),"",$L$37-1)),MIN(BK$38,$E312),$P$20))-SUM($BF312:BJ312))</f>
        <v>0</v>
      </c>
      <c r="BL312" s="446">
        <f>IF($E312=0,0,IF(MIN(BL$38,$E312)&lt;MAX($P$34*($B312+$I$38-1),IF(AND($L$37=0,$P$34=0),"",$L$37-1)),0,YEARFRAC(MAX($P$34*($B312+$I$38-1),IF(AND($L$37=0,$P$34=0),"",$L$37-1)),MIN(BL$38,$E312),$P$20))-SUM($BF312:BK312))</f>
        <v>0</v>
      </c>
      <c r="BM312" s="446">
        <f>IF($E312=0,0,IF(MIN(BM$38,$E312)&lt;MAX($P$34*($B312+$I$38-1),IF(AND($L$37=0,$P$34=0),"",$L$37-1)),0,YEARFRAC(MAX($P$34*($B312+$I$38-1),IF(AND($L$37=0,$P$34=0),"",$L$37-1)),MIN(BM$38,$E312),$P$20))-SUM($BF312:BL312))</f>
        <v>0</v>
      </c>
      <c r="BN312" s="446">
        <f>IF($E312=0,0,IF(MIN(BN$38,$E312)&lt;MAX($P$34*($B312+$I$38-1),IF(AND($L$37=0,$P$34=0),"",$L$37-1)),0,YEARFRAC(MAX($P$34*($B312+$I$38-1),IF(AND($L$37=0,$P$34=0),"",$L$37-1)),MIN(BN$38,$E312),$P$20))-SUM($BF312:BM312))</f>
        <v>0</v>
      </c>
      <c r="BO312" s="446">
        <f>IF($E312=0,0,IF(MIN(BO$38,$E312)&lt;MAX($P$34*($B312+$I$38-1),IF(AND($L$37=0,$P$34=0),"",$L$37-1)),0,YEARFRAC(MAX($P$34*($B312+$I$38-1),IF(AND($L$37=0,$P$34=0),"",$L$37-1)),MIN(BO$38,$E312),$P$20))-SUM($BF312:BN312))</f>
        <v>0</v>
      </c>
      <c r="BP312" s="446">
        <f>IF($E312=0,0,IF(MIN(BP$38,$E312)&lt;MAX($P$34*($B312+$I$38-1),IF(AND($L$37=0,$P$34=0),"",$L$37-1)),0,YEARFRAC(MAX($P$34*($B312+$I$38-1),IF(AND($L$37=0,$P$34=0),"",$L$37-1)),MIN(BP$38,$E312),$P$20))-SUM($BF312:BO312))</f>
        <v>0</v>
      </c>
      <c r="BQ312" s="446">
        <f>IF($E312=0,0,IF(MIN(BQ$38,$E312)&lt;MAX($P$34*($B312+$I$38-1),IF(AND($L$37=0,$P$34=0),"",$L$37-1)),0,YEARFRAC(MAX($P$34*($B312+$I$38-1),IF(AND($L$37=0,$P$34=0),"",$L$37-1)),MIN(BQ$38,$E312),$P$20))-SUM($BF312:BP312))</f>
        <v>0</v>
      </c>
      <c r="BR312" s="446">
        <f>IF($E312=0,0,IF(MIN(BR$38,$E312)&lt;MAX($P$34*($B312+$I$38-1),IF(AND($L$37=0,$P$34=0),"",$L$37-1)),0,YEARFRAC(MAX($P$34*($B312+$I$38-1),IF(AND($L$37=0,$P$34=0),"",$L$37-1)),MIN(BR$38,$E312),$P$20))-SUM($BF312:BQ312))</f>
        <v>0</v>
      </c>
      <c r="BS312" s="446">
        <f>IF($E312=0,0,IF(MIN(BS$38,$E312)&lt;MAX($P$34*($B312+$I$38-1),IF(AND($L$37=0,$P$34=0),"",$L$37-1)),0,YEARFRAC(MAX($P$34*($B312+$I$38-1),IF(AND($L$37=0,$P$34=0),"",$L$37-1)),MIN(BS$38,$E312),$P$20))-SUM($BF312:BR312))</f>
        <v>0</v>
      </c>
      <c r="BT312" s="446">
        <f>IF($E312=0,0,IF(MIN(BT$38,$E312)&lt;MAX($P$34*($B312+$I$38-1),IF(AND($L$37=0,$P$34=0),"",$L$37-1)),0,YEARFRAC(MAX($P$34*($B312+$I$38-1),IF(AND($L$37=0,$P$34=0),"",$L$37-1)),MIN(BT$38,$E312),$P$20))-SUM($BF312:BS312))</f>
        <v>0</v>
      </c>
      <c r="BU312" s="446">
        <f>IF($E312=0,0,IF(MIN(BU$38,$E312)&lt;MAX($P$34*($B312+$I$38-1),IF(AND($L$37=0,$P$34=0),"",$L$37-1)),0,YEARFRAC(MAX($P$34*($B312+$I$38-1),IF(AND($L$37=0,$P$34=0),"",$L$37-1)),MIN(BU$38,$E312),$P$20))-SUM($BF312:BT312))</f>
        <v>0</v>
      </c>
      <c r="BV312" s="446">
        <f>IF($E312=0,0,IF(MIN(BV$38,$E312)&lt;MAX($P$34*($B312+$I$38-1),IF(AND($L$37=0,$P$34=0),"",$L$37-1)),0,YEARFRAC(MAX($P$34*($B312+$I$38-1),IF(AND($L$37=0,$P$34=0),"",$L$37-1)),MIN(BV$38,$E312),$P$20))-SUM($BF312:BU312))</f>
        <v>0</v>
      </c>
      <c r="BW312" s="446">
        <f>IF($E312=0,0,IF(MIN(BW$38,$E312)&lt;MAX($P$34*($B312+$I$38-1),IF(AND($L$37=0,$P$34=0),"",$L$37-1)),0,YEARFRAC(MAX($P$34*($B312+$I$38-1),IF(AND($L$37=0,$P$34=0),"",$L$37-1)),MIN(BW$38,$E312),$P$20))-SUM($BF312:BV312))</f>
        <v>0</v>
      </c>
      <c r="BX312" s="446">
        <f>IF($E312=0,0,IF(MIN(BX$38,$E312)&lt;MAX($P$34*($B312+$I$38-1),IF(AND($L$37=0,$P$34=0),"",$L$37-1)),0,YEARFRAC(MAX($P$34*($B312+$I$38-1),IF(AND($L$37=0,$P$34=0),"",$L$37-1)),MIN(BX$38,$E312),$P$20))-SUM($BF312:BW312))</f>
        <v>0</v>
      </c>
      <c r="BY312" s="446">
        <f>IF($E312=0,0,IF(MIN(BY$38,$E312)&lt;MAX($P$34*($B312+$I$38-1),IF(AND($L$37=0,$P$34=0),"",$L$37-1)),0,YEARFRAC(MAX($P$34*($B312+$I$38-1),IF(AND($L$37=0,$P$34=0),"",$L$37-1)),MIN(BY$38,$E312),$P$20))-SUM($BF312:BX312))</f>
        <v>0</v>
      </c>
      <c r="BZ312" s="446">
        <f>IF($E312=0,0,IF(MIN(BZ$38,$E312)&lt;MAX($P$34*($B312+$I$38-1),IF(AND($L$37=0,$P$34=0),"",$L$37-1)),0,YEARFRAC(MAX($P$34*($B312+$I$38-1),IF(AND($L$37=0,$P$34=0),"",$L$37-1)),MIN(BZ$38,$E312),$P$20))-SUM($BF312:BY312))</f>
        <v>0</v>
      </c>
      <c r="CA312" s="446">
        <f>IF($E312=0,0,IF(MIN(CA$38,$E312)&lt;MAX($P$34*($B312+$I$38-1),IF(AND($L$37=0,$P$34=0),"",$L$37-1)),0,YEARFRAC(MAX($P$34*($B312+$I$38-1),IF(AND($L$37=0,$P$34=0),"",$L$37-1)),MIN(CA$38,$E312),$P$20))-SUM($BF312:BZ312))</f>
        <v>0</v>
      </c>
      <c r="CB312" s="446">
        <f>IF($E312=0,0,IF(MIN(CB$38,$E312)&lt;MAX($P$34*($B312+$I$38-1),IF(AND($L$37=0,$P$34=0),"",$L$37-1)),0,YEARFRAC(MAX($P$34*($B312+$I$38-1),IF(AND($L$37=0,$P$34=0),"",$L$37-1)),MIN(CB$38,$E312),$P$20))-SUM($BF312:CA312))</f>
        <v>0</v>
      </c>
      <c r="CC312" s="446">
        <f>IF($E312=0,0,IF(MIN(CC$38,$E312)&lt;MAX($P$34*($B312+$I$38-1),IF(AND($L$37=0,$P$34=0),"",$L$37-1)),0,YEARFRAC(MAX($P$34*($B312+$I$38-1),IF(AND($L$37=0,$P$34=0),"",$L$37-1)),MIN(CC$38,$E312),$P$20))-SUM($BF312:CB312))</f>
        <v>0</v>
      </c>
      <c r="CD312" s="446">
        <f>IF($E312=0,0,IF(MIN(CD$38,$E312)&lt;MAX($P$34*($B312+$I$38-1),IF(AND($L$37=0,$P$34=0),"",$L$37-1)),0,YEARFRAC(MAX($P$34*($B312+$I$38-1),IF(AND($L$37=0,$P$34=0),"",$L$37-1)),MIN(CD$38,$E312),$P$20))-SUM($BF312:CC312))</f>
        <v>0</v>
      </c>
      <c r="CE312" s="446">
        <f>IF($E312=0,0,IF(MIN(CE$38,$E312)&lt;MAX($P$34*($B312+$I$38-1),IF(AND($L$37=0,$P$34=0),"",$L$37-1)),0,YEARFRAC(MAX($P$34*($B312+$I$38-1),IF(AND($L$37=0,$P$34=0),"",$L$37-1)),MIN(CE$38,$E312),$P$20))-SUM($BF312:CD312))</f>
        <v>0</v>
      </c>
      <c r="CF312" s="446">
        <f>IF($E312=0,0,IF(MIN(CF$38,$E312)&lt;MAX($P$34*($B312+$I$38-1),IF(AND($L$37=0,$P$34=0),"",$L$37-1)),0,YEARFRAC(MAX($P$34*($B312+$I$38-1),IF(AND($L$37=0,$P$34=0),"",$L$37-1)),MIN(CF$38,$E312),$P$20))-SUM($BF312:CE312))</f>
        <v>0</v>
      </c>
      <c r="CG312" s="446">
        <f>IF($E312=0,0,IF(MIN(CG$38,$E312)&lt;MAX($P$34*($B312+$I$38-1),IF(AND($L$37=0,$P$34=0),"",$L$37-1)),0,YEARFRAC(MAX($P$34*($B312+$I$38-1),IF(AND($L$37=0,$P$34=0),"",$L$37-1)),MIN(CG$38,$E312),$P$20))-SUM($BF312:CF312))</f>
        <v>0</v>
      </c>
      <c r="CH312" s="446">
        <f>IF($E312=0,0,IF(MIN(CH$38,$E312)&lt;MAX($P$34*($B312+$I$38-1),IF(AND($L$37=0,$P$34=0),"",$L$37-1)),0,YEARFRAC(MAX($P$34*($B312+$I$38-1),IF(AND($L$37=0,$P$34=0),"",$L$37-1)),MIN(CH$38,$E312),$P$20))-SUM($BF312:CG312))</f>
        <v>0</v>
      </c>
      <c r="CI312" s="446">
        <f>IF($E312=0,0,IF(MIN(CI$38,$E312)&lt;MAX($P$34*($B312+$I$38-1),IF(AND($L$37=0,$P$34=0),"",$L$37-1)),0,YEARFRAC(MAX($P$34*($B312+$I$38-1),IF(AND($L$37=0,$P$34=0),"",$L$37-1)),MIN(CI$38,$E312),$P$20))-SUM($BF312:CH312))</f>
        <v>0</v>
      </c>
      <c r="CJ312" s="446">
        <f>IF($E312=0,0,IF(MIN(CJ$38,$E312)&lt;MAX($P$34*($B312+$I$38-1),IF(AND($L$37=0,$P$34=0),"",$L$37-1)),0,YEARFRAC(MAX($P$34*($B312+$I$38-1),IF(AND($L$37=0,$P$34=0),"",$L$37-1)),MIN(CJ$38,$E312),$P$20))-SUM($BF312:CI312))</f>
        <v>0</v>
      </c>
      <c r="CK312" s="446">
        <f>IF($E312=0,0,IF(MIN(CK$38,$E312)&lt;MAX($P$34*($B312+$I$38-1),IF(AND($L$37=0,$P$34=0),"",$L$37-1)),0,YEARFRAC(MAX($P$34*($B312+$I$38-1),IF(AND($L$37=0,$P$34=0),"",$L$37-1)),MIN(CK$38,$E312),$P$20))-SUM($BF312:CJ312))</f>
        <v>0</v>
      </c>
      <c r="CL312" s="446">
        <f>IF($E312=0,0,IF(MIN(CL$38,$E312)&lt;MAX($P$34*($B312+$I$38-1),IF(AND($L$37=0,$P$34=0),"",$L$37-1)),0,YEARFRAC(MAX($P$34*($B312+$I$38-1),IF(AND($L$37=0,$P$34=0),"",$L$37-1)),MIN(CL$38,$E312),$P$20))-SUM($BF312:CK312))</f>
        <v>0</v>
      </c>
      <c r="CM312" s="446">
        <f>IF($E312=0,0,IF(MIN(CM$38,$E312)&lt;MAX($P$34*($B312+$I$38-1),IF(AND($L$37=0,$P$34=0),"",$L$37-1)),0,YEARFRAC(MAX($P$34*($B312+$I$38-1),IF(AND($L$37=0,$P$34=0),"",$L$37-1)),MIN(CM$38,$E312),$P$20))-SUM($BF312:CL312))</f>
        <v>0</v>
      </c>
      <c r="CN312" s="446">
        <f>IF($E312=0,0,IF(MIN(CN$38,$E312)&lt;MAX($P$34*($B312+$I$38-1),IF(AND($L$37=0,$P$34=0),"",$L$37-1)),0,YEARFRAC(MAX($P$34*($B312+$I$38-1),IF(AND($L$37=0,$P$34=0),"",$L$37-1)),MIN(CN$38,$E312),$P$20))-SUM($BF312:CM312))</f>
        <v>0</v>
      </c>
      <c r="CO312" s="446">
        <f>IF($E312=0,0,IF(MIN(CO$38,$E312)&lt;MAX($P$34*($B312+$I$38-1),IF(AND($L$37=0,$P$34=0),"",$L$37-1)),0,YEARFRAC(MAX($P$34*($B312+$I$38-1),IF(AND($L$37=0,$P$34=0),"",$L$37-1)),MIN(CO$38,$E312),$P$20))-SUM($BF312:CN312))</f>
        <v>0</v>
      </c>
      <c r="CP312" s="446">
        <f>IF($E312=0,0,IF(MIN(CP$38,$E312)&lt;MAX($P$34*($B312+$I$38-1),IF(AND($L$37=0,$P$34=0),"",$L$37-1)),0,YEARFRAC(MAX($P$34*($B312+$I$38-1),IF(AND($L$37=0,$P$34=0),"",$L$37-1)),MIN(CP$38,$E312),$P$20))-SUM($BF312:CO312))</f>
        <v>0</v>
      </c>
      <c r="CQ312" s="446">
        <f>IF($E312=0,0,IF(MIN(CQ$38,$E312)&lt;MAX($P$34*($B312+$I$38-1),IF(AND($L$37=0,$P$34=0),"",$L$37-1)),0,YEARFRAC(MAX($P$34*($B312+$I$38-1),IF(AND($L$37=0,$P$34=0),"",$L$37-1)),MIN(CQ$38,$E312),$P$20))-SUM($BF312:CP312))</f>
        <v>0</v>
      </c>
    </row>
    <row r="313" spans="1:95" s="446" customFormat="1" ht="11.25" hidden="1" customHeight="1" x14ac:dyDescent="0.2">
      <c r="A313" s="152"/>
      <c r="B313" s="153" t="str">
        <f t="shared" si="59"/>
        <v/>
      </c>
      <c r="C313" s="29" t="str">
        <f>IF(B313="","",IF($L$35="SELIC - TRIBUTOS",VLOOKUP(DATE(YEAR($D$19),MONTH($D$19)-1,1),ÍNDICES!$A:$DE,HLOOKUP($BL$25,ÍNDICES!$B$3:$T$4,2)+11)-VLOOKUP(B313,ÍNDICES!$A:$DE,HLOOKUP($BL$25,ÍNDICES!$B$3:$T$4,2)+11)+1%,IF(C$38=$W$26,$J$35,IF(ISERROR(IF(B313&gt;$D$19,1,VLOOKUP(DATE(YEAR(B313),MONTH(B313)+IF($C$35=$S$23,1,0),1),ÍNDICES!$A:$DE,$Z$35+1))),"",IF(B313&gt;$D$19,1,VLOOKUP(DATE(YEAR(B313),MONTH(B313)+IF($C$35=$S$23,1,0),1),ÍNDICES!$A:$DE,$Z$35+1))))))</f>
        <v/>
      </c>
      <c r="D313" s="154" t="str">
        <f>IF(ISERROR(IF(OR($D$38=$Y$27,$B313=""),"",VLOOKUP(B313,ÍNDICES!A:DE,AF$35+1))),"",IF(OR($D$38=$Y$27,$B313=""),"",VLOOKUP(B313,ÍNDICES!A:DE,AF$35+1)))</f>
        <v/>
      </c>
      <c r="E313" s="153"/>
      <c r="F313" s="29" t="str">
        <f>IF(E313="","",IF($L$35="SELIC - TRIBUTOS",VLOOKUP(DATE(YEAR($D$19),MONTH($D$19)-1,1),ÍNDICES!$A:$DE,HLOOKUP($BL$25,ÍNDICES!$B$3:$T$4,2)+11)-VLOOKUP(E313,ÍNDICES!$A:$DE,HLOOKUP($BL$25,ÍNDICES!$B$3:$T$4,2)+11)+1%,IF(F$38=$W$26,$J$35,IF(ISERROR(IF(E313&gt;$D$19,1,VLOOKUP(DATE(YEAR(E313),MONTH(E313)+IF($C$35=$S$23,1,0),1),ÍNDICES!$A:$DE,$Z$35+1))),"",IF(E313&gt;$D$19,1,VLOOKUP(DATE(YEAR(E313),MONTH(E313)+IF($C$35=$S$23,1,0),1),ÍNDICES!$A:$DE,$Z$35+1))))))</f>
        <v/>
      </c>
      <c r="G313" s="155"/>
      <c r="H313" s="156" t="str">
        <f t="shared" si="55"/>
        <v/>
      </c>
      <c r="I313" s="29" t="str">
        <f t="shared" si="49"/>
        <v/>
      </c>
      <c r="J313" s="5">
        <f t="shared" si="50"/>
        <v>0</v>
      </c>
      <c r="K313" s="20">
        <f t="shared" ca="1" si="51"/>
        <v>0</v>
      </c>
      <c r="L313" s="5">
        <f t="shared" ca="1" si="52"/>
        <v>0</v>
      </c>
      <c r="M313" s="64">
        <f t="shared" si="56"/>
        <v>0</v>
      </c>
      <c r="N313" s="61">
        <f t="shared" ca="1" si="57"/>
        <v>0</v>
      </c>
      <c r="O313" s="5">
        <f t="shared" ca="1" si="58"/>
        <v>0</v>
      </c>
      <c r="P313" s="446" t="e">
        <f t="shared" si="53"/>
        <v>#VALUE!</v>
      </c>
      <c r="Q313" s="446" t="e">
        <f>IF(OR($B313="",MIN(Q$38,$D$19)&lt;MAX($P$34*($B313+IF($R$17="Distrato",$I$38-1,0)),IF(AND($L$37=0,$P$34=0),"",$L$37-1),IF($R$17="Distrato",$E313,0))),0,YEARFRAC(MAX($P$34*($B313+IF($R$17="Distrato",$I$38-1,0)),IF(AND($L$37=0,$P$34=0),"",$L$37-1),IF($R$17="Distrato",$E313,0)),MIN(Q$38,$D$19),$P$20))-SUM($P313:P313)</f>
        <v>#VALUE!</v>
      </c>
      <c r="R313" s="446" t="e">
        <f>IF(OR($B313="",MIN(R$38,$D$19)&lt;MAX($P$34*($B313+IF($R$17="Distrato",$I$38-1,0)),IF(AND($L$37=0,$P$34=0),"",$L$37-1),IF($R$17="Distrato",$E313,0))),0,YEARFRAC(MAX($P$34*($B313+IF($R$17="Distrato",$I$38-1,0)),IF(AND($L$37=0,$P$34=0),"",$L$37-1),IF($R$17="Distrato",$E313,0)),MIN(R$38,$D$19),$P$20))-SUM($P313:Q313)</f>
        <v>#VALUE!</v>
      </c>
      <c r="S313" s="446" t="e">
        <f>IF(OR($B313="",MIN(S$38,$D$19)&lt;MAX($P$34*($B313+IF($R$17="Distrato",$I$38-1,0)),IF(AND($L$37=0,$P$34=0),"",$L$37-1),IF($R$17="Distrato",$E313,0))),0,YEARFRAC(MAX($P$34*($B313+IF($R$17="Distrato",$I$38-1,0)),IF(AND($L$37=0,$P$34=0),"",$L$37-1),IF($R$17="Distrato",$E313,0)),MIN(S$38,$D$19),$P$20))-SUM($P313:R313)</f>
        <v>#VALUE!</v>
      </c>
      <c r="T313" s="446" t="e">
        <f>IF(OR($B313="",MIN(T$38,$D$19)&lt;MAX($P$34*($B313+IF($R$17="Distrato",$I$38-1,0)),IF(AND($L$37=0,$P$34=0),"",$L$37-1),IF($R$17="Distrato",$E313,0))),0,YEARFRAC(MAX($P$34*($B313+IF($R$17="Distrato",$I$38-1,0)),IF(AND($L$37=0,$P$34=0),"",$L$37-1),IF($R$17="Distrato",$E313,0)),MIN(T$38,$D$19),$P$20))-SUM($P313:S313)</f>
        <v>#VALUE!</v>
      </c>
      <c r="U313" s="446" t="e">
        <f>IF(OR($B313="",MIN(U$38,$D$19)&lt;MAX($P$34*($B313+IF($R$17="Distrato",$I$38-1,0)),IF(AND($L$37=0,$P$34=0),"",$L$37-1),IF($R$17="Distrato",$E313,0))),0,YEARFRAC(MAX($P$34*($B313+IF($R$17="Distrato",$I$38-1,0)),IF(AND($L$37=0,$P$34=0),"",$L$37-1),IF($R$17="Distrato",$E313,0)),MIN(U$38,$D$19),$P$20))-SUM($P313:T313)</f>
        <v>#VALUE!</v>
      </c>
      <c r="V313" s="446" t="e">
        <f>IF(OR($B313="",MIN(V$38,$D$19)&lt;MAX($P$34*($B313+IF($R$17="Distrato",$I$38-1,0)),IF(AND($L$37=0,$P$34=0),"",$L$37-1),IF($R$17="Distrato",$E313,0))),0,YEARFRAC(MAX($P$34*($B313+IF($R$17="Distrato",$I$38-1,0)),IF(AND($L$37=0,$P$34=0),"",$L$37-1),IF($R$17="Distrato",$E313,0)),MIN(V$38,$D$19),$P$20))-SUM($P313:U313)</f>
        <v>#VALUE!</v>
      </c>
      <c r="W313" s="446" t="e">
        <f>IF(OR($B313="",MIN(W$38,$D$19)&lt;MAX($P$34*($B313+IF($R$17="Distrato",$I$38-1,0)),IF(AND($L$37=0,$P$34=0),"",$L$37-1),IF($R$17="Distrato",$E313,0))),0,YEARFRAC(MAX($P$34*($B313+IF($R$17="Distrato",$I$38-1,0)),IF(AND($L$37=0,$P$34=0),"",$L$37-1),IF($R$17="Distrato",$E313,0)),MIN(W$38,$D$19),$P$20))-SUM($P313:V313)</f>
        <v>#VALUE!</v>
      </c>
      <c r="X313" s="446" t="e">
        <f>IF(OR($B313="",MIN(X$38,$D$19)&lt;MAX($P$34*($B313+IF($R$17="Distrato",$I$38-1,0)),IF(AND($L$37=0,$P$34=0),"",$L$37-1),IF($R$17="Distrato",$E313,0))),0,YEARFRAC(MAX($P$34*($B313+IF($R$17="Distrato",$I$38-1,0)),IF(AND($L$37=0,$P$34=0),"",$L$37-1),IF($R$17="Distrato",$E313,0)),MIN(X$38,$D$19),$P$20))-SUM($P313:W313)</f>
        <v>#VALUE!</v>
      </c>
      <c r="Y313" s="446" t="e">
        <f>IF(OR($B313="",MIN(Y$38,$D$19)&lt;MAX($P$34*($B313+IF($R$17="Distrato",$I$38-1,0)),IF(AND($L$37=0,$P$34=0),"",$L$37-1),IF($R$17="Distrato",$E313,0))),0,YEARFRAC(MAX($P$34*($B313+IF($R$17="Distrato",$I$38-1,0)),IF(AND($L$37=0,$P$34=0),"",$L$37-1),IF($R$17="Distrato",$E313,0)),MIN(Y$38,$D$19),$P$20))-SUM($P313:X313)</f>
        <v>#VALUE!</v>
      </c>
      <c r="Z313" s="446" t="e">
        <f>IF(OR($B313="",MIN(Z$38,$D$19)&lt;MAX($P$34*($B313+IF($R$17="Distrato",$I$38-1,0)),IF(AND($L$37=0,$P$34=0),"",$L$37-1),IF($R$17="Distrato",$E313,0))),0,YEARFRAC(MAX($P$34*($B313+IF($R$17="Distrato",$I$38-1,0)),IF(AND($L$37=0,$P$34=0),"",$L$37-1),IF($R$17="Distrato",$E313,0)),MIN(Z$38,$D$19),$P$20))-SUM($P313:Y313)</f>
        <v>#VALUE!</v>
      </c>
      <c r="AA313" s="446" t="e">
        <f>IF(OR($B313="",MIN(AA$38,$D$19)&lt;MAX($P$34*($B313+IF($R$17="Distrato",$I$38-1,0)),IF(AND($L$37=0,$P$34=0),"",$L$37-1),IF($R$17="Distrato",$E313,0))),0,YEARFRAC(MAX($P$34*($B313+IF($R$17="Distrato",$I$38-1,0)),IF(AND($L$37=0,$P$34=0),"",$L$37-1),IF($R$17="Distrato",$E313,0)),MIN(AA$38,$D$19),$P$20))-SUM($P313:Z313)</f>
        <v>#VALUE!</v>
      </c>
      <c r="AB313" s="446" t="e">
        <f>IF(OR($B313="",MIN(AB$38,$D$19)&lt;MAX($P$34*($B313+IF($R$17="Distrato",$I$38-1,0)),IF(AND($L$37=0,$P$34=0),"",$L$37-1),IF($R$17="Distrato",$E313,0))),0,YEARFRAC(MAX($P$34*($B313+IF($R$17="Distrato",$I$38-1,0)),IF(AND($L$37=0,$P$34=0),"",$L$37-1),IF($R$17="Distrato",$E313,0)),MIN(AB$38,$D$19),$P$20))-SUM($P313:AA313)</f>
        <v>#VALUE!</v>
      </c>
      <c r="AC313" s="446" t="e">
        <f>IF(OR($B313="",MIN(AC$38,$D$19)&lt;MAX($P$34*($B313+IF($R$17="Distrato",$I$38-1,0)),IF(AND($L$37=0,$P$34=0),"",$L$37-1),IF($R$17="Distrato",$E313,0))),0,YEARFRAC(MAX($P$34*($B313+IF($R$17="Distrato",$I$38-1,0)),IF(AND($L$37=0,$P$34=0),"",$L$37-1),IF($R$17="Distrato",$E313,0)),MIN(AC$38,$D$19),$P$20))-SUM($P313:AB313)</f>
        <v>#VALUE!</v>
      </c>
      <c r="AD313" s="446" t="e">
        <f>IF(OR($B313="",MIN(AD$38,$D$19)&lt;MAX($P$34*($B313+IF($R$17="Distrato",$I$38-1,0)),IF(AND($L$37=0,$P$34=0),"",$L$37-1),IF($R$17="Distrato",$E313,0))),0,YEARFRAC(MAX($P$34*($B313+IF($R$17="Distrato",$I$38-1,0)),IF(AND($L$37=0,$P$34=0),"",$L$37-1),IF($R$17="Distrato",$E313,0)),MIN(AD$38,$D$19),$P$20))-SUM($P313:AC313)</f>
        <v>#VALUE!</v>
      </c>
      <c r="AE313" s="446" t="e">
        <f>IF(OR($B313="",MIN(AE$38,$D$19)&lt;MAX($P$34*($B313+IF($R$17="Distrato",$I$38-1,0)),IF(AND($L$37=0,$P$34=0),"",$L$37-1),IF($R$17="Distrato",$E313,0))),0,YEARFRAC(MAX($P$34*($B313+IF($R$17="Distrato",$I$38-1,0)),IF(AND($L$37=0,$P$34=0),"",$L$37-1),IF($R$17="Distrato",$E313,0)),MIN(AE$38,$D$19),$P$20))-SUM($P313:AD313)</f>
        <v>#VALUE!</v>
      </c>
      <c r="AF313" s="446" t="e">
        <f>IF(OR($B313="",MIN(AF$38,$D$19)&lt;MAX($P$34*($B313+IF($R$17="Distrato",$I$38-1,0)),IF(AND($L$37=0,$P$34=0),"",$L$37-1),IF($R$17="Distrato",$E313,0))),0,YEARFRAC(MAX($P$34*($B313+IF($R$17="Distrato",$I$38-1,0)),IF(AND($L$37=0,$P$34=0),"",$L$37-1),IF($R$17="Distrato",$E313,0)),MIN(AF$38,$D$19),$P$20))-SUM($P313:AE313)</f>
        <v>#VALUE!</v>
      </c>
      <c r="AG313" s="446" t="e">
        <f>IF(OR($B313="",MIN(AG$38,$D$19)&lt;MAX($P$34*($B313+IF($R$17="Distrato",$I$38-1,0)),IF(AND($L$37=0,$P$34=0),"",$L$37-1),IF($R$17="Distrato",$E313,0))),0,YEARFRAC(MAX($P$34*($B313+IF($R$17="Distrato",$I$38-1,0)),IF(AND($L$37=0,$P$34=0),"",$L$37-1),IF($R$17="Distrato",$E313,0)),MIN(AG$38,$D$19),$P$20))-SUM($P313:AF313)</f>
        <v>#VALUE!</v>
      </c>
      <c r="AH313" s="446" t="e">
        <f>IF(OR($B313="",MIN(AH$38,$D$19)&lt;MAX($P$34*($B313+IF($R$17="Distrato",$I$38-1,0)),IF(AND($L$37=0,$P$34=0),"",$L$37-1),IF($R$17="Distrato",$E313,0))),0,YEARFRAC(MAX($P$34*($B313+IF($R$17="Distrato",$I$38-1,0)),IF(AND($L$37=0,$P$34=0),"",$L$37-1),IF($R$17="Distrato",$E313,0)),MIN(AH$38,$D$19),$P$20))-SUM($P313:AG313)</f>
        <v>#VALUE!</v>
      </c>
      <c r="AI313" s="446" t="e">
        <f>IF(OR($B313="",MIN(AI$38,$D$19)&lt;MAX($P$34*($B313+IF($R$17="Distrato",$I$38-1,0)),IF(AND($L$37=0,$P$34=0),"",$L$37-1),IF($R$17="Distrato",$E313,0))),0,YEARFRAC(MAX($P$34*($B313+IF($R$17="Distrato",$I$38-1,0)),IF(AND($L$37=0,$P$34=0),"",$L$37-1),IF($R$17="Distrato",$E313,0)),MIN(AI$38,$D$19),$P$20))-SUM($P313:AH313)</f>
        <v>#VALUE!</v>
      </c>
      <c r="AJ313" s="446" t="e">
        <f>IF(OR($B313="",MIN(AJ$38,$D$19)&lt;MAX($P$34*($B313+IF($R$17="Distrato",$I$38-1,0)),IF(AND($L$37=0,$P$34=0),"",$L$37-1),IF($R$17="Distrato",$E313,0))),0,YEARFRAC(MAX($P$34*($B313+IF($R$17="Distrato",$I$38-1,0)),IF(AND($L$37=0,$P$34=0),"",$L$37-1),IF($R$17="Distrato",$E313,0)),MIN(AJ$38,$D$19),$P$20))-SUM($P313:AI313)</f>
        <v>#VALUE!</v>
      </c>
      <c r="AK313" s="446" t="e">
        <f>IF(OR($B313="",MIN(AK$38,$D$19)&lt;MAX($P$34*($B313+IF($R$17="Distrato",$I$38-1,0)),IF(AND($L$37=0,$P$34=0),"",$L$37-1),IF($R$17="Distrato",$E313,0))),0,YEARFRAC(MAX($P$34*($B313+IF($R$17="Distrato",$I$38-1,0)),IF(AND($L$37=0,$P$34=0),"",$L$37-1),IF($R$17="Distrato",$E313,0)),MIN(AK$38,$D$19),$P$20))-SUM($P313:AJ313)</f>
        <v>#VALUE!</v>
      </c>
      <c r="AL313" s="446" t="e">
        <f>IF(OR($B313="",MIN(AL$38,$D$19)&lt;MAX($P$34*($B313+IF($R$17="Distrato",$I$38-1,0)),IF(AND($L$37=0,$P$34=0),"",$L$37-1),IF($R$17="Distrato",$E313,0))),0,YEARFRAC(MAX($P$34*($B313+IF($R$17="Distrato",$I$38-1,0)),IF(AND($L$37=0,$P$34=0),"",$L$37-1),IF($R$17="Distrato",$E313,0)),MIN(AL$38,$D$19),$P$20))-SUM($P313:AK313)</f>
        <v>#VALUE!</v>
      </c>
      <c r="AM313" s="446" t="e">
        <f>IF(OR($B313="",MIN(AM$38,$D$19)&lt;MAX($P$34*($B313+IF($R$17="Distrato",$I$38-1,0)),IF(AND($L$37=0,$P$34=0),"",$L$37-1),IF($R$17="Distrato",$E313,0))),0,YEARFRAC(MAX($P$34*($B313+IF($R$17="Distrato",$I$38-1,0)),IF(AND($L$37=0,$P$34=0),"",$L$37-1),IF($R$17="Distrato",$E313,0)),MIN(AM$38,$D$19),$P$20))-SUM($P313:AL313)</f>
        <v>#VALUE!</v>
      </c>
      <c r="AN313" s="446" t="e">
        <f>IF(OR($B313="",MIN(AN$38,$D$19)&lt;MAX($P$34*($B313+IF($R$17="Distrato",$I$38-1,0)),IF(AND($L$37=0,$P$34=0),"",$L$37-1),IF($R$17="Distrato",$E313,0))),0,YEARFRAC(MAX($P$34*($B313+IF($R$17="Distrato",$I$38-1,0)),IF(AND($L$37=0,$P$34=0),"",$L$37-1),IF($R$17="Distrato",$E313,0)),MIN(AN$38,$D$19),$P$20))-SUM($P313:AM313)</f>
        <v>#VALUE!</v>
      </c>
      <c r="AO313" s="446" t="e">
        <f>IF(OR($B313="",MIN(AO$38,$D$19)&lt;MAX($P$34*($B313+IF($R$17="Distrato",$I$38-1,0)),IF(AND($L$37=0,$P$34=0),"",$L$37-1),IF($R$17="Distrato",$E313,0))),0,YEARFRAC(MAX($P$34*($B313+IF($R$17="Distrato",$I$38-1,0)),IF(AND($L$37=0,$P$34=0),"",$L$37-1),IF($R$17="Distrato",$E313,0)),MIN(AO$38,$D$19),$P$20))-SUM($P313:AN313)</f>
        <v>#VALUE!</v>
      </c>
      <c r="AP313" s="446" t="e">
        <f>IF(OR($B313="",MIN(AP$38,$D$19)&lt;MAX($P$34*($B313+IF($R$17="Distrato",$I$38-1,0)),IF(AND($L$37=0,$P$34=0),"",$L$37-1),IF($R$17="Distrato",$E313,0))),0,YEARFRAC(MAX($P$34*($B313+IF($R$17="Distrato",$I$38-1,0)),IF(AND($L$37=0,$P$34=0),"",$L$37-1),IF($R$17="Distrato",$E313,0)),MIN(AP$38,$D$19),$P$20))-SUM($P313:AO313)</f>
        <v>#VALUE!</v>
      </c>
      <c r="AQ313" s="446" t="e">
        <f>IF(OR($B313="",MIN(AQ$38,$D$19)&lt;MAX($P$34*($B313+IF($R$17="Distrato",$I$38-1,0)),IF(AND($L$37=0,$P$34=0),"",$L$37-1),IF($R$17="Distrato",$E313,0))),0,YEARFRAC(MAX($P$34*($B313+IF($R$17="Distrato",$I$38-1,0)),IF(AND($L$37=0,$P$34=0),"",$L$37-1),IF($R$17="Distrato",$E313,0)),MIN(AQ$38,$D$19),$P$20))-SUM($P313:AP313)</f>
        <v>#VALUE!</v>
      </c>
      <c r="AR313" s="446" t="e">
        <f>IF(OR($B313="",MIN(AR$38,$D$19)&lt;MAX($P$34*($B313+IF($R$17="Distrato",$I$38-1,0)),IF(AND($L$37=0,$P$34=0),"",$L$37-1),IF($R$17="Distrato",$E313,0))),0,YEARFRAC(MAX($P$34*($B313+IF($R$17="Distrato",$I$38-1,0)),IF(AND($L$37=0,$P$34=0),"",$L$37-1),IF($R$17="Distrato",$E313,0)),MIN(AR$38,$D$19),$P$20))-SUM($P313:AQ313)</f>
        <v>#VALUE!</v>
      </c>
      <c r="AS313" s="446" t="e">
        <f>IF(OR($B313="",MIN(AS$38,$D$19)&lt;MAX($P$34*($B313+IF($R$17="Distrato",$I$38-1,0)),IF(AND($L$37=0,$P$34=0),"",$L$37-1),IF($R$17="Distrato",$E313,0))),0,YEARFRAC(MAX($P$34*($B313+IF($R$17="Distrato",$I$38-1,0)),IF(AND($L$37=0,$P$34=0),"",$L$37-1),IF($R$17="Distrato",$E313,0)),MIN(AS$38,$D$19),$P$20))-SUM($P313:AR313)</f>
        <v>#VALUE!</v>
      </c>
      <c r="AT313" s="446" t="e">
        <f>IF(OR($B313="",MIN(AT$38,$D$19)&lt;MAX($P$34*($B313+IF($R$17="Distrato",$I$38-1,0)),IF(AND($L$37=0,$P$34=0),"",$L$37-1),IF($R$17="Distrato",$E313,0))),0,YEARFRAC(MAX($P$34*($B313+IF($R$17="Distrato",$I$38-1,0)),IF(AND($L$37=0,$P$34=0),"",$L$37-1),IF($R$17="Distrato",$E313,0)),MIN(AT$38,$D$19),$P$20))-SUM($P313:AS313)</f>
        <v>#VALUE!</v>
      </c>
      <c r="AU313" s="446" t="e">
        <f>IF(OR($B313="",MIN(AU$38,$D$19)&lt;MAX($P$34*($B313+IF($R$17="Distrato",$I$38-1,0)),IF(AND($L$37=0,$P$34=0),"",$L$37-1),IF($R$17="Distrato",$E313,0))),0,YEARFRAC(MAX($P$34*($B313+IF($R$17="Distrato",$I$38-1,0)),IF(AND($L$37=0,$P$34=0),"",$L$37-1),IF($R$17="Distrato",$E313,0)),MIN(AU$38,$D$19),$P$20))-SUM($P313:AT313)</f>
        <v>#VALUE!</v>
      </c>
      <c r="AV313" s="446" t="e">
        <f>IF(OR($B313="",MIN(AV$38,$D$19)&lt;MAX($P$34*($B313+IF($R$17="Distrato",$I$38-1,0)),IF(AND($L$37=0,$P$34=0),"",$L$37-1),IF($R$17="Distrato",$E313,0))),0,YEARFRAC(MAX($P$34*($B313+IF($R$17="Distrato",$I$38-1,0)),IF(AND($L$37=0,$P$34=0),"",$L$37-1),IF($R$17="Distrato",$E313,0)),MIN(AV$38,$D$19),$P$20))-SUM($P313:AU313)</f>
        <v>#VALUE!</v>
      </c>
      <c r="AW313" s="446" t="e">
        <f>IF(OR($B313="",MIN(AW$38,$D$19)&lt;MAX($P$34*($B313+IF($R$17="Distrato",$I$38-1,0)),IF(AND($L$37=0,$P$34=0),"",$L$37-1),IF($R$17="Distrato",$E313,0))),0,YEARFRAC(MAX($P$34*($B313+IF($R$17="Distrato",$I$38-1,0)),IF(AND($L$37=0,$P$34=0),"",$L$37-1),IF($R$17="Distrato",$E313,0)),MIN(AW$38,$D$19),$P$20))-SUM($P313:AV313)</f>
        <v>#VALUE!</v>
      </c>
      <c r="AX313" s="446" t="e">
        <f>IF(OR($B313="",MIN(AX$38,$D$19)&lt;MAX($P$34*($B313+IF($R$17="Distrato",$I$38-1,0)),IF(AND($L$37=0,$P$34=0),"",$L$37-1),IF($R$17="Distrato",$E313,0))),0,YEARFRAC(MAX($P$34*($B313+IF($R$17="Distrato",$I$38-1,0)),IF(AND($L$37=0,$P$34=0),"",$L$37-1),IF($R$17="Distrato",$E313,0)),MIN(AX$38,$D$19),$P$20))-SUM($P313:AW313)</f>
        <v>#VALUE!</v>
      </c>
      <c r="AY313" s="446" t="e">
        <f>IF(OR($B313="",MIN(AY$38,$D$19)&lt;MAX($P$34*($B313+IF($R$17="Distrato",$I$38-1,0)),IF(AND($L$37=0,$P$34=0),"",$L$37-1),IF($R$17="Distrato",$E313,0))),0,YEARFRAC(MAX($P$34*($B313+IF($R$17="Distrato",$I$38-1,0)),IF(AND($L$37=0,$P$34=0),"",$L$37-1),IF($R$17="Distrato",$E313,0)),MIN(AY$38,$D$19),$P$20))-SUM($P313:AX313)</f>
        <v>#VALUE!</v>
      </c>
      <c r="AZ313" s="446" t="e">
        <f>IF(OR($B313="",MIN(AZ$38,$D$19)&lt;MAX($P$34*($B313+IF($R$17="Distrato",$I$38-1,0)),IF(AND($L$37=0,$P$34=0),"",$L$37-1),IF($R$17="Distrato",$E313,0))),0,YEARFRAC(MAX($P$34*($B313+IF($R$17="Distrato",$I$38-1,0)),IF(AND($L$37=0,$P$34=0),"",$L$37-1),IF($R$17="Distrato",$E313,0)),MIN(AZ$38,$D$19),$P$20))-SUM($P313:AY313)</f>
        <v>#VALUE!</v>
      </c>
      <c r="BA313" s="446" t="e">
        <f>IF(OR($B313="",MIN(BA$38,$D$19)&lt;MAX($P$34*($B313+IF($R$17="Distrato",$I$38-1,0)),IF(AND($L$37=0,$P$34=0),"",$L$37-1),IF($R$17="Distrato",$E313,0))),0,YEARFRAC(MAX($P$34*($B313+IF($R$17="Distrato",$I$38-1,0)),IF(AND($L$37=0,$P$34=0),"",$L$37-1),IF($R$17="Distrato",$E313,0)),MIN(BA$38,$D$19),$P$20))-SUM($P313:AZ313)</f>
        <v>#VALUE!</v>
      </c>
      <c r="BB313" s="447"/>
      <c r="BF313" s="446">
        <f t="shared" si="54"/>
        <v>0</v>
      </c>
      <c r="BG313" s="446">
        <f>IF($E313=0,0,IF(MIN(BG$38,$E313)&lt;MAX($P$34*($B313+$I$38-1),IF(AND($L$37=0,$P$34=0),"",$L$37-1)),0,YEARFRAC(MAX($P$34*($B313+$I$38-1),IF(AND($L$37=0,$P$34=0),"",$L$37-1)),MIN(BG$38,$E313),$P$20))-SUM($BF313:BF313))</f>
        <v>0</v>
      </c>
      <c r="BH313" s="446">
        <f>IF($E313=0,0,IF(MIN(BH$38,$E313)&lt;MAX($P$34*($B313+$I$38-1),IF(AND($L$37=0,$P$34=0),"",$L$37-1)),0,YEARFRAC(MAX($P$34*($B313+$I$38-1),IF(AND($L$37=0,$P$34=0),"",$L$37-1)),MIN(BH$38,$E313),$P$20))-SUM($BF313:BG313))</f>
        <v>0</v>
      </c>
      <c r="BI313" s="446">
        <f>IF($E313=0,0,IF(MIN(BI$38,$E313)&lt;MAX($P$34*($B313+$I$38-1),IF(AND($L$37=0,$P$34=0),"",$L$37-1)),0,YEARFRAC(MAX($P$34*($B313+$I$38-1),IF(AND($L$37=0,$P$34=0),"",$L$37-1)),MIN(BI$38,$E313),$P$20))-SUM($BF313:BH313))</f>
        <v>0</v>
      </c>
      <c r="BJ313" s="446">
        <f>IF($E313=0,0,IF(MIN(BJ$38,$E313)&lt;MAX($P$34*($B313+$I$38-1),IF(AND($L$37=0,$P$34=0),"",$L$37-1)),0,YEARFRAC(MAX($P$34*($B313+$I$38-1),IF(AND($L$37=0,$P$34=0),"",$L$37-1)),MIN(BJ$38,$E313),$P$20))-SUM($BF313:BI313))</f>
        <v>0</v>
      </c>
      <c r="BK313" s="446">
        <f>IF($E313=0,0,IF(MIN(BK$38,$E313)&lt;MAX($P$34*($B313+$I$38-1),IF(AND($L$37=0,$P$34=0),"",$L$37-1)),0,YEARFRAC(MAX($P$34*($B313+$I$38-1),IF(AND($L$37=0,$P$34=0),"",$L$37-1)),MIN(BK$38,$E313),$P$20))-SUM($BF313:BJ313))</f>
        <v>0</v>
      </c>
      <c r="BL313" s="446">
        <f>IF($E313=0,0,IF(MIN(BL$38,$E313)&lt;MAX($P$34*($B313+$I$38-1),IF(AND($L$37=0,$P$34=0),"",$L$37-1)),0,YEARFRAC(MAX($P$34*($B313+$I$38-1),IF(AND($L$37=0,$P$34=0),"",$L$37-1)),MIN(BL$38,$E313),$P$20))-SUM($BF313:BK313))</f>
        <v>0</v>
      </c>
      <c r="BM313" s="446">
        <f>IF($E313=0,0,IF(MIN(BM$38,$E313)&lt;MAX($P$34*($B313+$I$38-1),IF(AND($L$37=0,$P$34=0),"",$L$37-1)),0,YEARFRAC(MAX($P$34*($B313+$I$38-1),IF(AND($L$37=0,$P$34=0),"",$L$37-1)),MIN(BM$38,$E313),$P$20))-SUM($BF313:BL313))</f>
        <v>0</v>
      </c>
      <c r="BN313" s="446">
        <f>IF($E313=0,0,IF(MIN(BN$38,$E313)&lt;MAX($P$34*($B313+$I$38-1),IF(AND($L$37=0,$P$34=0),"",$L$37-1)),0,YEARFRAC(MAX($P$34*($B313+$I$38-1),IF(AND($L$37=0,$P$34=0),"",$L$37-1)),MIN(BN$38,$E313),$P$20))-SUM($BF313:BM313))</f>
        <v>0</v>
      </c>
      <c r="BO313" s="446">
        <f>IF($E313=0,0,IF(MIN(BO$38,$E313)&lt;MAX($P$34*($B313+$I$38-1),IF(AND($L$37=0,$P$34=0),"",$L$37-1)),0,YEARFRAC(MAX($P$34*($B313+$I$38-1),IF(AND($L$37=0,$P$34=0),"",$L$37-1)),MIN(BO$38,$E313),$P$20))-SUM($BF313:BN313))</f>
        <v>0</v>
      </c>
      <c r="BP313" s="446">
        <f>IF($E313=0,0,IF(MIN(BP$38,$E313)&lt;MAX($P$34*($B313+$I$38-1),IF(AND($L$37=0,$P$34=0),"",$L$37-1)),0,YEARFRAC(MAX($P$34*($B313+$I$38-1),IF(AND($L$37=0,$P$34=0),"",$L$37-1)),MIN(BP$38,$E313),$P$20))-SUM($BF313:BO313))</f>
        <v>0</v>
      </c>
      <c r="BQ313" s="446">
        <f>IF($E313=0,0,IF(MIN(BQ$38,$E313)&lt;MAX($P$34*($B313+$I$38-1),IF(AND($L$37=0,$P$34=0),"",$L$37-1)),0,YEARFRAC(MAX($P$34*($B313+$I$38-1),IF(AND($L$37=0,$P$34=0),"",$L$37-1)),MIN(BQ$38,$E313),$P$20))-SUM($BF313:BP313))</f>
        <v>0</v>
      </c>
      <c r="BR313" s="446">
        <f>IF($E313=0,0,IF(MIN(BR$38,$E313)&lt;MAX($P$34*($B313+$I$38-1),IF(AND($L$37=0,$P$34=0),"",$L$37-1)),0,YEARFRAC(MAX($P$34*($B313+$I$38-1),IF(AND($L$37=0,$P$34=0),"",$L$37-1)),MIN(BR$38,$E313),$P$20))-SUM($BF313:BQ313))</f>
        <v>0</v>
      </c>
      <c r="BS313" s="446">
        <f>IF($E313=0,0,IF(MIN(BS$38,$E313)&lt;MAX($P$34*($B313+$I$38-1),IF(AND($L$37=0,$P$34=0),"",$L$37-1)),0,YEARFRAC(MAX($P$34*($B313+$I$38-1),IF(AND($L$37=0,$P$34=0),"",$L$37-1)),MIN(BS$38,$E313),$P$20))-SUM($BF313:BR313))</f>
        <v>0</v>
      </c>
      <c r="BT313" s="446">
        <f>IF($E313=0,0,IF(MIN(BT$38,$E313)&lt;MAX($P$34*($B313+$I$38-1),IF(AND($L$37=0,$P$34=0),"",$L$37-1)),0,YEARFRAC(MAX($P$34*($B313+$I$38-1),IF(AND($L$37=0,$P$34=0),"",$L$37-1)),MIN(BT$38,$E313),$P$20))-SUM($BF313:BS313))</f>
        <v>0</v>
      </c>
      <c r="BU313" s="446">
        <f>IF($E313=0,0,IF(MIN(BU$38,$E313)&lt;MAX($P$34*($B313+$I$38-1),IF(AND($L$37=0,$P$34=0),"",$L$37-1)),0,YEARFRAC(MAX($P$34*($B313+$I$38-1),IF(AND($L$37=0,$P$34=0),"",$L$37-1)),MIN(BU$38,$E313),$P$20))-SUM($BF313:BT313))</f>
        <v>0</v>
      </c>
      <c r="BV313" s="446">
        <f>IF($E313=0,0,IF(MIN(BV$38,$E313)&lt;MAX($P$34*($B313+$I$38-1),IF(AND($L$37=0,$P$34=0),"",$L$37-1)),0,YEARFRAC(MAX($P$34*($B313+$I$38-1),IF(AND($L$37=0,$P$34=0),"",$L$37-1)),MIN(BV$38,$E313),$P$20))-SUM($BF313:BU313))</f>
        <v>0</v>
      </c>
      <c r="BW313" s="446">
        <f>IF($E313=0,0,IF(MIN(BW$38,$E313)&lt;MAX($P$34*($B313+$I$38-1),IF(AND($L$37=0,$P$34=0),"",$L$37-1)),0,YEARFRAC(MAX($P$34*($B313+$I$38-1),IF(AND($L$37=0,$P$34=0),"",$L$37-1)),MIN(BW$38,$E313),$P$20))-SUM($BF313:BV313))</f>
        <v>0</v>
      </c>
      <c r="BX313" s="446">
        <f>IF($E313=0,0,IF(MIN(BX$38,$E313)&lt;MAX($P$34*($B313+$I$38-1),IF(AND($L$37=0,$P$34=0),"",$L$37-1)),0,YEARFRAC(MAX($P$34*($B313+$I$38-1),IF(AND($L$37=0,$P$34=0),"",$L$37-1)),MIN(BX$38,$E313),$P$20))-SUM($BF313:BW313))</f>
        <v>0</v>
      </c>
      <c r="BY313" s="446">
        <f>IF($E313=0,0,IF(MIN(BY$38,$E313)&lt;MAX($P$34*($B313+$I$38-1),IF(AND($L$37=0,$P$34=0),"",$L$37-1)),0,YEARFRAC(MAX($P$34*($B313+$I$38-1),IF(AND($L$37=0,$P$34=0),"",$L$37-1)),MIN(BY$38,$E313),$P$20))-SUM($BF313:BX313))</f>
        <v>0</v>
      </c>
      <c r="BZ313" s="446">
        <f>IF($E313=0,0,IF(MIN(BZ$38,$E313)&lt;MAX($P$34*($B313+$I$38-1),IF(AND($L$37=0,$P$34=0),"",$L$37-1)),0,YEARFRAC(MAX($P$34*($B313+$I$38-1),IF(AND($L$37=0,$P$34=0),"",$L$37-1)),MIN(BZ$38,$E313),$P$20))-SUM($BF313:BY313))</f>
        <v>0</v>
      </c>
      <c r="CA313" s="446">
        <f>IF($E313=0,0,IF(MIN(CA$38,$E313)&lt;MAX($P$34*($B313+$I$38-1),IF(AND($L$37=0,$P$34=0),"",$L$37-1)),0,YEARFRAC(MAX($P$34*($B313+$I$38-1),IF(AND($L$37=0,$P$34=0),"",$L$37-1)),MIN(CA$38,$E313),$P$20))-SUM($BF313:BZ313))</f>
        <v>0</v>
      </c>
      <c r="CB313" s="446">
        <f>IF($E313=0,0,IF(MIN(CB$38,$E313)&lt;MAX($P$34*($B313+$I$38-1),IF(AND($L$37=0,$P$34=0),"",$L$37-1)),0,YEARFRAC(MAX($P$34*($B313+$I$38-1),IF(AND($L$37=0,$P$34=0),"",$L$37-1)),MIN(CB$38,$E313),$P$20))-SUM($BF313:CA313))</f>
        <v>0</v>
      </c>
      <c r="CC313" s="446">
        <f>IF($E313=0,0,IF(MIN(CC$38,$E313)&lt;MAX($P$34*($B313+$I$38-1),IF(AND($L$37=0,$P$34=0),"",$L$37-1)),0,YEARFRAC(MAX($P$34*($B313+$I$38-1),IF(AND($L$37=0,$P$34=0),"",$L$37-1)),MIN(CC$38,$E313),$P$20))-SUM($BF313:CB313))</f>
        <v>0</v>
      </c>
      <c r="CD313" s="446">
        <f>IF($E313=0,0,IF(MIN(CD$38,$E313)&lt;MAX($P$34*($B313+$I$38-1),IF(AND($L$37=0,$P$34=0),"",$L$37-1)),0,YEARFRAC(MAX($P$34*($B313+$I$38-1),IF(AND($L$37=0,$P$34=0),"",$L$37-1)),MIN(CD$38,$E313),$P$20))-SUM($BF313:CC313))</f>
        <v>0</v>
      </c>
      <c r="CE313" s="446">
        <f>IF($E313=0,0,IF(MIN(CE$38,$E313)&lt;MAX($P$34*($B313+$I$38-1),IF(AND($L$37=0,$P$34=0),"",$L$37-1)),0,YEARFRAC(MAX($P$34*($B313+$I$38-1),IF(AND($L$37=0,$P$34=0),"",$L$37-1)),MIN(CE$38,$E313),$P$20))-SUM($BF313:CD313))</f>
        <v>0</v>
      </c>
      <c r="CF313" s="446">
        <f>IF($E313=0,0,IF(MIN(CF$38,$E313)&lt;MAX($P$34*($B313+$I$38-1),IF(AND($L$37=0,$P$34=0),"",$L$37-1)),0,YEARFRAC(MAX($P$34*($B313+$I$38-1),IF(AND($L$37=0,$P$34=0),"",$L$37-1)),MIN(CF$38,$E313),$P$20))-SUM($BF313:CE313))</f>
        <v>0</v>
      </c>
      <c r="CG313" s="446">
        <f>IF($E313=0,0,IF(MIN(CG$38,$E313)&lt;MAX($P$34*($B313+$I$38-1),IF(AND($L$37=0,$P$34=0),"",$L$37-1)),0,YEARFRAC(MAX($P$34*($B313+$I$38-1),IF(AND($L$37=0,$P$34=0),"",$L$37-1)),MIN(CG$38,$E313),$P$20))-SUM($BF313:CF313))</f>
        <v>0</v>
      </c>
      <c r="CH313" s="446">
        <f>IF($E313=0,0,IF(MIN(CH$38,$E313)&lt;MAX($P$34*($B313+$I$38-1),IF(AND($L$37=0,$P$34=0),"",$L$37-1)),0,YEARFRAC(MAX($P$34*($B313+$I$38-1),IF(AND($L$37=0,$P$34=0),"",$L$37-1)),MIN(CH$38,$E313),$P$20))-SUM($BF313:CG313))</f>
        <v>0</v>
      </c>
      <c r="CI313" s="446">
        <f>IF($E313=0,0,IF(MIN(CI$38,$E313)&lt;MAX($P$34*($B313+$I$38-1),IF(AND($L$37=0,$P$34=0),"",$L$37-1)),0,YEARFRAC(MAX($P$34*($B313+$I$38-1),IF(AND($L$37=0,$P$34=0),"",$L$37-1)),MIN(CI$38,$E313),$P$20))-SUM($BF313:CH313))</f>
        <v>0</v>
      </c>
      <c r="CJ313" s="446">
        <f>IF($E313=0,0,IF(MIN(CJ$38,$E313)&lt;MAX($P$34*($B313+$I$38-1),IF(AND($L$37=0,$P$34=0),"",$L$37-1)),0,YEARFRAC(MAX($P$34*($B313+$I$38-1),IF(AND($L$37=0,$P$34=0),"",$L$37-1)),MIN(CJ$38,$E313),$P$20))-SUM($BF313:CI313))</f>
        <v>0</v>
      </c>
      <c r="CK313" s="446">
        <f>IF($E313=0,0,IF(MIN(CK$38,$E313)&lt;MAX($P$34*($B313+$I$38-1),IF(AND($L$37=0,$P$34=0),"",$L$37-1)),0,YEARFRAC(MAX($P$34*($B313+$I$38-1),IF(AND($L$37=0,$P$34=0),"",$L$37-1)),MIN(CK$38,$E313),$P$20))-SUM($BF313:CJ313))</f>
        <v>0</v>
      </c>
      <c r="CL313" s="446">
        <f>IF($E313=0,0,IF(MIN(CL$38,$E313)&lt;MAX($P$34*($B313+$I$38-1),IF(AND($L$37=0,$P$34=0),"",$L$37-1)),0,YEARFRAC(MAX($P$34*($B313+$I$38-1),IF(AND($L$37=0,$P$34=0),"",$L$37-1)),MIN(CL$38,$E313),$P$20))-SUM($BF313:CK313))</f>
        <v>0</v>
      </c>
      <c r="CM313" s="446">
        <f>IF($E313=0,0,IF(MIN(CM$38,$E313)&lt;MAX($P$34*($B313+$I$38-1),IF(AND($L$37=0,$P$34=0),"",$L$37-1)),0,YEARFRAC(MAX($P$34*($B313+$I$38-1),IF(AND($L$37=0,$P$34=0),"",$L$37-1)),MIN(CM$38,$E313),$P$20))-SUM($BF313:CL313))</f>
        <v>0</v>
      </c>
      <c r="CN313" s="446">
        <f>IF($E313=0,0,IF(MIN(CN$38,$E313)&lt;MAX($P$34*($B313+$I$38-1),IF(AND($L$37=0,$P$34=0),"",$L$37-1)),0,YEARFRAC(MAX($P$34*($B313+$I$38-1),IF(AND($L$37=0,$P$34=0),"",$L$37-1)),MIN(CN$38,$E313),$P$20))-SUM($BF313:CM313))</f>
        <v>0</v>
      </c>
      <c r="CO313" s="446">
        <f>IF($E313=0,0,IF(MIN(CO$38,$E313)&lt;MAX($P$34*($B313+$I$38-1),IF(AND($L$37=0,$P$34=0),"",$L$37-1)),0,YEARFRAC(MAX($P$34*($B313+$I$38-1),IF(AND($L$37=0,$P$34=0),"",$L$37-1)),MIN(CO$38,$E313),$P$20))-SUM($BF313:CN313))</f>
        <v>0</v>
      </c>
      <c r="CP313" s="446">
        <f>IF($E313=0,0,IF(MIN(CP$38,$E313)&lt;MAX($P$34*($B313+$I$38-1),IF(AND($L$37=0,$P$34=0),"",$L$37-1)),0,YEARFRAC(MAX($P$34*($B313+$I$38-1),IF(AND($L$37=0,$P$34=0),"",$L$37-1)),MIN(CP$38,$E313),$P$20))-SUM($BF313:CO313))</f>
        <v>0</v>
      </c>
      <c r="CQ313" s="446">
        <f>IF($E313=0,0,IF(MIN(CQ$38,$E313)&lt;MAX($P$34*($B313+$I$38-1),IF(AND($L$37=0,$P$34=0),"",$L$37-1)),0,YEARFRAC(MAX($P$34*($B313+$I$38-1),IF(AND($L$37=0,$P$34=0),"",$L$37-1)),MIN(CQ$38,$E313),$P$20))-SUM($BF313:CP313))</f>
        <v>0</v>
      </c>
    </row>
    <row r="314" spans="1:95" s="446" customFormat="1" ht="11.25" hidden="1" customHeight="1" x14ac:dyDescent="0.2">
      <c r="A314" s="152"/>
      <c r="B314" s="153" t="str">
        <f t="shared" si="59"/>
        <v/>
      </c>
      <c r="C314" s="29" t="str">
        <f>IF(B314="","",IF($L$35="SELIC - TRIBUTOS",VLOOKUP(DATE(YEAR($D$19),MONTH($D$19)-1,1),ÍNDICES!$A:$DE,HLOOKUP($BL$25,ÍNDICES!$B$3:$T$4,2)+11)-VLOOKUP(B314,ÍNDICES!$A:$DE,HLOOKUP($BL$25,ÍNDICES!$B$3:$T$4,2)+11)+1%,IF(C$38=$W$26,$J$35,IF(ISERROR(IF(B314&gt;$D$19,1,VLOOKUP(DATE(YEAR(B314),MONTH(B314)+IF($C$35=$S$23,1,0),1),ÍNDICES!$A:$DE,$Z$35+1))),"",IF(B314&gt;$D$19,1,VLOOKUP(DATE(YEAR(B314),MONTH(B314)+IF($C$35=$S$23,1,0),1),ÍNDICES!$A:$DE,$Z$35+1))))))</f>
        <v/>
      </c>
      <c r="D314" s="154" t="str">
        <f>IF(ISERROR(IF(OR($D$38=$Y$27,$B314=""),"",VLOOKUP(B314,ÍNDICES!A:DE,AF$35+1))),"",IF(OR($D$38=$Y$27,$B314=""),"",VLOOKUP(B314,ÍNDICES!A:DE,AF$35+1)))</f>
        <v/>
      </c>
      <c r="E314" s="153"/>
      <c r="F314" s="29" t="str">
        <f>IF(E314="","",IF($L$35="SELIC - TRIBUTOS",VLOOKUP(DATE(YEAR($D$19),MONTH($D$19)-1,1),ÍNDICES!$A:$DE,HLOOKUP($BL$25,ÍNDICES!$B$3:$T$4,2)+11)-VLOOKUP(E314,ÍNDICES!$A:$DE,HLOOKUP($BL$25,ÍNDICES!$B$3:$T$4,2)+11)+1%,IF(F$38=$W$26,$J$35,IF(ISERROR(IF(E314&gt;$D$19,1,VLOOKUP(DATE(YEAR(E314),MONTH(E314)+IF($C$35=$S$23,1,0),1),ÍNDICES!$A:$DE,$Z$35+1))),"",IF(E314&gt;$D$19,1,VLOOKUP(DATE(YEAR(E314),MONTH(E314)+IF($C$35=$S$23,1,0),1),ÍNDICES!$A:$DE,$Z$35+1))))))</f>
        <v/>
      </c>
      <c r="G314" s="155"/>
      <c r="H314" s="156" t="str">
        <f t="shared" si="55"/>
        <v/>
      </c>
      <c r="I314" s="29" t="str">
        <f t="shared" si="49"/>
        <v/>
      </c>
      <c r="J314" s="5">
        <f t="shared" si="50"/>
        <v>0</v>
      </c>
      <c r="K314" s="20">
        <f t="shared" ca="1" si="51"/>
        <v>0</v>
      </c>
      <c r="L314" s="5">
        <f t="shared" ca="1" si="52"/>
        <v>0</v>
      </c>
      <c r="M314" s="64">
        <f t="shared" si="56"/>
        <v>0</v>
      </c>
      <c r="N314" s="61">
        <f t="shared" ca="1" si="57"/>
        <v>0</v>
      </c>
      <c r="O314" s="5">
        <f t="shared" ca="1" si="58"/>
        <v>0</v>
      </c>
      <c r="P314" s="446" t="e">
        <f t="shared" si="53"/>
        <v>#VALUE!</v>
      </c>
      <c r="Q314" s="446" t="e">
        <f>IF(OR($B314="",MIN(Q$38,$D$19)&lt;MAX($P$34*($B314+IF($R$17="Distrato",$I$38-1,0)),IF(AND($L$37=0,$P$34=0),"",$L$37-1),IF($R$17="Distrato",$E314,0))),0,YEARFRAC(MAX($P$34*($B314+IF($R$17="Distrato",$I$38-1,0)),IF(AND($L$37=0,$P$34=0),"",$L$37-1),IF($R$17="Distrato",$E314,0)),MIN(Q$38,$D$19),$P$20))-SUM($P314:P314)</f>
        <v>#VALUE!</v>
      </c>
      <c r="R314" s="446" t="e">
        <f>IF(OR($B314="",MIN(R$38,$D$19)&lt;MAX($P$34*($B314+IF($R$17="Distrato",$I$38-1,0)),IF(AND($L$37=0,$P$34=0),"",$L$37-1),IF($R$17="Distrato",$E314,0))),0,YEARFRAC(MAX($P$34*($B314+IF($R$17="Distrato",$I$38-1,0)),IF(AND($L$37=0,$P$34=0),"",$L$37-1),IF($R$17="Distrato",$E314,0)),MIN(R$38,$D$19),$P$20))-SUM($P314:Q314)</f>
        <v>#VALUE!</v>
      </c>
      <c r="S314" s="446" t="e">
        <f>IF(OR($B314="",MIN(S$38,$D$19)&lt;MAX($P$34*($B314+IF($R$17="Distrato",$I$38-1,0)),IF(AND($L$37=0,$P$34=0),"",$L$37-1),IF($R$17="Distrato",$E314,0))),0,YEARFRAC(MAX($P$34*($B314+IF($R$17="Distrato",$I$38-1,0)),IF(AND($L$37=0,$P$34=0),"",$L$37-1),IF($R$17="Distrato",$E314,0)),MIN(S$38,$D$19),$P$20))-SUM($P314:R314)</f>
        <v>#VALUE!</v>
      </c>
      <c r="T314" s="446" t="e">
        <f>IF(OR($B314="",MIN(T$38,$D$19)&lt;MAX($P$34*($B314+IF($R$17="Distrato",$I$38-1,0)),IF(AND($L$37=0,$P$34=0),"",$L$37-1),IF($R$17="Distrato",$E314,0))),0,YEARFRAC(MAX($P$34*($B314+IF($R$17="Distrato",$I$38-1,0)),IF(AND($L$37=0,$P$34=0),"",$L$37-1),IF($R$17="Distrato",$E314,0)),MIN(T$38,$D$19),$P$20))-SUM($P314:S314)</f>
        <v>#VALUE!</v>
      </c>
      <c r="U314" s="446" t="e">
        <f>IF(OR($B314="",MIN(U$38,$D$19)&lt;MAX($P$34*($B314+IF($R$17="Distrato",$I$38-1,0)),IF(AND($L$37=0,$P$34=0),"",$L$37-1),IF($R$17="Distrato",$E314,0))),0,YEARFRAC(MAX($P$34*($B314+IF($R$17="Distrato",$I$38-1,0)),IF(AND($L$37=0,$P$34=0),"",$L$37-1),IF($R$17="Distrato",$E314,0)),MIN(U$38,$D$19),$P$20))-SUM($P314:T314)</f>
        <v>#VALUE!</v>
      </c>
      <c r="V314" s="446" t="e">
        <f>IF(OR($B314="",MIN(V$38,$D$19)&lt;MAX($P$34*($B314+IF($R$17="Distrato",$I$38-1,0)),IF(AND($L$37=0,$P$34=0),"",$L$37-1),IF($R$17="Distrato",$E314,0))),0,YEARFRAC(MAX($P$34*($B314+IF($R$17="Distrato",$I$38-1,0)),IF(AND($L$37=0,$P$34=0),"",$L$37-1),IF($R$17="Distrato",$E314,0)),MIN(V$38,$D$19),$P$20))-SUM($P314:U314)</f>
        <v>#VALUE!</v>
      </c>
      <c r="W314" s="446" t="e">
        <f>IF(OR($B314="",MIN(W$38,$D$19)&lt;MAX($P$34*($B314+IF($R$17="Distrato",$I$38-1,0)),IF(AND($L$37=0,$P$34=0),"",$L$37-1),IF($R$17="Distrato",$E314,0))),0,YEARFRAC(MAX($P$34*($B314+IF($R$17="Distrato",$I$38-1,0)),IF(AND($L$37=0,$P$34=0),"",$L$37-1),IF($R$17="Distrato",$E314,0)),MIN(W$38,$D$19),$P$20))-SUM($P314:V314)</f>
        <v>#VALUE!</v>
      </c>
      <c r="X314" s="446" t="e">
        <f>IF(OR($B314="",MIN(X$38,$D$19)&lt;MAX($P$34*($B314+IF($R$17="Distrato",$I$38-1,0)),IF(AND($L$37=0,$P$34=0),"",$L$37-1),IF($R$17="Distrato",$E314,0))),0,YEARFRAC(MAX($P$34*($B314+IF($R$17="Distrato",$I$38-1,0)),IF(AND($L$37=0,$P$34=0),"",$L$37-1),IF($R$17="Distrato",$E314,0)),MIN(X$38,$D$19),$P$20))-SUM($P314:W314)</f>
        <v>#VALUE!</v>
      </c>
      <c r="Y314" s="446" t="e">
        <f>IF(OR($B314="",MIN(Y$38,$D$19)&lt;MAX($P$34*($B314+IF($R$17="Distrato",$I$38-1,0)),IF(AND($L$37=0,$P$34=0),"",$L$37-1),IF($R$17="Distrato",$E314,0))),0,YEARFRAC(MAX($P$34*($B314+IF($R$17="Distrato",$I$38-1,0)),IF(AND($L$37=0,$P$34=0),"",$L$37-1),IF($R$17="Distrato",$E314,0)),MIN(Y$38,$D$19),$P$20))-SUM($P314:X314)</f>
        <v>#VALUE!</v>
      </c>
      <c r="Z314" s="446" t="e">
        <f>IF(OR($B314="",MIN(Z$38,$D$19)&lt;MAX($P$34*($B314+IF($R$17="Distrato",$I$38-1,0)),IF(AND($L$37=0,$P$34=0),"",$L$37-1),IF($R$17="Distrato",$E314,0))),0,YEARFRAC(MAX($P$34*($B314+IF($R$17="Distrato",$I$38-1,0)),IF(AND($L$37=0,$P$34=0),"",$L$37-1),IF($R$17="Distrato",$E314,0)),MIN(Z$38,$D$19),$P$20))-SUM($P314:Y314)</f>
        <v>#VALUE!</v>
      </c>
      <c r="AA314" s="446" t="e">
        <f>IF(OR($B314="",MIN(AA$38,$D$19)&lt;MAX($P$34*($B314+IF($R$17="Distrato",$I$38-1,0)),IF(AND($L$37=0,$P$34=0),"",$L$37-1),IF($R$17="Distrato",$E314,0))),0,YEARFRAC(MAX($P$34*($B314+IF($R$17="Distrato",$I$38-1,0)),IF(AND($L$37=0,$P$34=0),"",$L$37-1),IF($R$17="Distrato",$E314,0)),MIN(AA$38,$D$19),$P$20))-SUM($P314:Z314)</f>
        <v>#VALUE!</v>
      </c>
      <c r="AB314" s="446" t="e">
        <f>IF(OR($B314="",MIN(AB$38,$D$19)&lt;MAX($P$34*($B314+IF($R$17="Distrato",$I$38-1,0)),IF(AND($L$37=0,$P$34=0),"",$L$37-1),IF($R$17="Distrato",$E314,0))),0,YEARFRAC(MAX($P$34*($B314+IF($R$17="Distrato",$I$38-1,0)),IF(AND($L$37=0,$P$34=0),"",$L$37-1),IF($R$17="Distrato",$E314,0)),MIN(AB$38,$D$19),$P$20))-SUM($P314:AA314)</f>
        <v>#VALUE!</v>
      </c>
      <c r="AC314" s="446" t="e">
        <f>IF(OR($B314="",MIN(AC$38,$D$19)&lt;MAX($P$34*($B314+IF($R$17="Distrato",$I$38-1,0)),IF(AND($L$37=0,$P$34=0),"",$L$37-1),IF($R$17="Distrato",$E314,0))),0,YEARFRAC(MAX($P$34*($B314+IF($R$17="Distrato",$I$38-1,0)),IF(AND($L$37=0,$P$34=0),"",$L$37-1),IF($R$17="Distrato",$E314,0)),MIN(AC$38,$D$19),$P$20))-SUM($P314:AB314)</f>
        <v>#VALUE!</v>
      </c>
      <c r="AD314" s="446" t="e">
        <f>IF(OR($B314="",MIN(AD$38,$D$19)&lt;MAX($P$34*($B314+IF($R$17="Distrato",$I$38-1,0)),IF(AND($L$37=0,$P$34=0),"",$L$37-1),IF($R$17="Distrato",$E314,0))),0,YEARFRAC(MAX($P$34*($B314+IF($R$17="Distrato",$I$38-1,0)),IF(AND($L$37=0,$P$34=0),"",$L$37-1),IF($R$17="Distrato",$E314,0)),MIN(AD$38,$D$19),$P$20))-SUM($P314:AC314)</f>
        <v>#VALUE!</v>
      </c>
      <c r="AE314" s="446" t="e">
        <f>IF(OR($B314="",MIN(AE$38,$D$19)&lt;MAX($P$34*($B314+IF($R$17="Distrato",$I$38-1,0)),IF(AND($L$37=0,$P$34=0),"",$L$37-1),IF($R$17="Distrato",$E314,0))),0,YEARFRAC(MAX($P$34*($B314+IF($R$17="Distrato",$I$38-1,0)),IF(AND($L$37=0,$P$34=0),"",$L$37-1),IF($R$17="Distrato",$E314,0)),MIN(AE$38,$D$19),$P$20))-SUM($P314:AD314)</f>
        <v>#VALUE!</v>
      </c>
      <c r="AF314" s="446" t="e">
        <f>IF(OR($B314="",MIN(AF$38,$D$19)&lt;MAX($P$34*($B314+IF($R$17="Distrato",$I$38-1,0)),IF(AND($L$37=0,$P$34=0),"",$L$37-1),IF($R$17="Distrato",$E314,0))),0,YEARFRAC(MAX($P$34*($B314+IF($R$17="Distrato",$I$38-1,0)),IF(AND($L$37=0,$P$34=0),"",$L$37-1),IF($R$17="Distrato",$E314,0)),MIN(AF$38,$D$19),$P$20))-SUM($P314:AE314)</f>
        <v>#VALUE!</v>
      </c>
      <c r="AG314" s="446" t="e">
        <f>IF(OR($B314="",MIN(AG$38,$D$19)&lt;MAX($P$34*($B314+IF($R$17="Distrato",$I$38-1,0)),IF(AND($L$37=0,$P$34=0),"",$L$37-1),IF($R$17="Distrato",$E314,0))),0,YEARFRAC(MAX($P$34*($B314+IF($R$17="Distrato",$I$38-1,0)),IF(AND($L$37=0,$P$34=0),"",$L$37-1),IF($R$17="Distrato",$E314,0)),MIN(AG$38,$D$19),$P$20))-SUM($P314:AF314)</f>
        <v>#VALUE!</v>
      </c>
      <c r="AH314" s="446" t="e">
        <f>IF(OR($B314="",MIN(AH$38,$D$19)&lt;MAX($P$34*($B314+IF($R$17="Distrato",$I$38-1,0)),IF(AND($L$37=0,$P$34=0),"",$L$37-1),IF($R$17="Distrato",$E314,0))),0,YEARFRAC(MAX($P$34*($B314+IF($R$17="Distrato",$I$38-1,0)),IF(AND($L$37=0,$P$34=0),"",$L$37-1),IF($R$17="Distrato",$E314,0)),MIN(AH$38,$D$19),$P$20))-SUM($P314:AG314)</f>
        <v>#VALUE!</v>
      </c>
      <c r="AI314" s="446" t="e">
        <f>IF(OR($B314="",MIN(AI$38,$D$19)&lt;MAX($P$34*($B314+IF($R$17="Distrato",$I$38-1,0)),IF(AND($L$37=0,$P$34=0),"",$L$37-1),IF($R$17="Distrato",$E314,0))),0,YEARFRAC(MAX($P$34*($B314+IF($R$17="Distrato",$I$38-1,0)),IF(AND($L$37=0,$P$34=0),"",$L$37-1),IF($R$17="Distrato",$E314,0)),MIN(AI$38,$D$19),$P$20))-SUM($P314:AH314)</f>
        <v>#VALUE!</v>
      </c>
      <c r="AJ314" s="446" t="e">
        <f>IF(OR($B314="",MIN(AJ$38,$D$19)&lt;MAX($P$34*($B314+IF($R$17="Distrato",$I$38-1,0)),IF(AND($L$37=0,$P$34=0),"",$L$37-1),IF($R$17="Distrato",$E314,0))),0,YEARFRAC(MAX($P$34*($B314+IF($R$17="Distrato",$I$38-1,0)),IF(AND($L$37=0,$P$34=0),"",$L$37-1),IF($R$17="Distrato",$E314,0)),MIN(AJ$38,$D$19),$P$20))-SUM($P314:AI314)</f>
        <v>#VALUE!</v>
      </c>
      <c r="AK314" s="446" t="e">
        <f>IF(OR($B314="",MIN(AK$38,$D$19)&lt;MAX($P$34*($B314+IF($R$17="Distrato",$I$38-1,0)),IF(AND($L$37=0,$P$34=0),"",$L$37-1),IF($R$17="Distrato",$E314,0))),0,YEARFRAC(MAX($P$34*($B314+IF($R$17="Distrato",$I$38-1,0)),IF(AND($L$37=0,$P$34=0),"",$L$37-1),IF($R$17="Distrato",$E314,0)),MIN(AK$38,$D$19),$P$20))-SUM($P314:AJ314)</f>
        <v>#VALUE!</v>
      </c>
      <c r="AL314" s="446" t="e">
        <f>IF(OR($B314="",MIN(AL$38,$D$19)&lt;MAX($P$34*($B314+IF($R$17="Distrato",$I$38-1,0)),IF(AND($L$37=0,$P$34=0),"",$L$37-1),IF($R$17="Distrato",$E314,0))),0,YEARFRAC(MAX($P$34*($B314+IF($R$17="Distrato",$I$38-1,0)),IF(AND($L$37=0,$P$34=0),"",$L$37-1),IF($R$17="Distrato",$E314,0)),MIN(AL$38,$D$19),$P$20))-SUM($P314:AK314)</f>
        <v>#VALUE!</v>
      </c>
      <c r="AM314" s="446" t="e">
        <f>IF(OR($B314="",MIN(AM$38,$D$19)&lt;MAX($P$34*($B314+IF($R$17="Distrato",$I$38-1,0)),IF(AND($L$37=0,$P$34=0),"",$L$37-1),IF($R$17="Distrato",$E314,0))),0,YEARFRAC(MAX($P$34*($B314+IF($R$17="Distrato",$I$38-1,0)),IF(AND($L$37=0,$P$34=0),"",$L$37-1),IF($R$17="Distrato",$E314,0)),MIN(AM$38,$D$19),$P$20))-SUM($P314:AL314)</f>
        <v>#VALUE!</v>
      </c>
      <c r="AN314" s="446" t="e">
        <f>IF(OR($B314="",MIN(AN$38,$D$19)&lt;MAX($P$34*($B314+IF($R$17="Distrato",$I$38-1,0)),IF(AND($L$37=0,$P$34=0),"",$L$37-1),IF($R$17="Distrato",$E314,0))),0,YEARFRAC(MAX($P$34*($B314+IF($R$17="Distrato",$I$38-1,0)),IF(AND($L$37=0,$P$34=0),"",$L$37-1),IF($R$17="Distrato",$E314,0)),MIN(AN$38,$D$19),$P$20))-SUM($P314:AM314)</f>
        <v>#VALUE!</v>
      </c>
      <c r="AO314" s="446" t="e">
        <f>IF(OR($B314="",MIN(AO$38,$D$19)&lt;MAX($P$34*($B314+IF($R$17="Distrato",$I$38-1,0)),IF(AND($L$37=0,$P$34=0),"",$L$37-1),IF($R$17="Distrato",$E314,0))),0,YEARFRAC(MAX($P$34*($B314+IF($R$17="Distrato",$I$38-1,0)),IF(AND($L$37=0,$P$34=0),"",$L$37-1),IF($R$17="Distrato",$E314,0)),MIN(AO$38,$D$19),$P$20))-SUM($P314:AN314)</f>
        <v>#VALUE!</v>
      </c>
      <c r="AP314" s="446" t="e">
        <f>IF(OR($B314="",MIN(AP$38,$D$19)&lt;MAX($P$34*($B314+IF($R$17="Distrato",$I$38-1,0)),IF(AND($L$37=0,$P$34=0),"",$L$37-1),IF($R$17="Distrato",$E314,0))),0,YEARFRAC(MAX($P$34*($B314+IF($R$17="Distrato",$I$38-1,0)),IF(AND($L$37=0,$P$34=0),"",$L$37-1),IF($R$17="Distrato",$E314,0)),MIN(AP$38,$D$19),$P$20))-SUM($P314:AO314)</f>
        <v>#VALUE!</v>
      </c>
      <c r="AQ314" s="446" t="e">
        <f>IF(OR($B314="",MIN(AQ$38,$D$19)&lt;MAX($P$34*($B314+IF($R$17="Distrato",$I$38-1,0)),IF(AND($L$37=0,$P$34=0),"",$L$37-1),IF($R$17="Distrato",$E314,0))),0,YEARFRAC(MAX($P$34*($B314+IF($R$17="Distrato",$I$38-1,0)),IF(AND($L$37=0,$P$34=0),"",$L$37-1),IF($R$17="Distrato",$E314,0)),MIN(AQ$38,$D$19),$P$20))-SUM($P314:AP314)</f>
        <v>#VALUE!</v>
      </c>
      <c r="AR314" s="446" t="e">
        <f>IF(OR($B314="",MIN(AR$38,$D$19)&lt;MAX($P$34*($B314+IF($R$17="Distrato",$I$38-1,0)),IF(AND($L$37=0,$P$34=0),"",$L$37-1),IF($R$17="Distrato",$E314,0))),0,YEARFRAC(MAX($P$34*($B314+IF($R$17="Distrato",$I$38-1,0)),IF(AND($L$37=0,$P$34=0),"",$L$37-1),IF($R$17="Distrato",$E314,0)),MIN(AR$38,$D$19),$P$20))-SUM($P314:AQ314)</f>
        <v>#VALUE!</v>
      </c>
      <c r="AS314" s="446" t="e">
        <f>IF(OR($B314="",MIN(AS$38,$D$19)&lt;MAX($P$34*($B314+IF($R$17="Distrato",$I$38-1,0)),IF(AND($L$37=0,$P$34=0),"",$L$37-1),IF($R$17="Distrato",$E314,0))),0,YEARFRAC(MAX($P$34*($B314+IF($R$17="Distrato",$I$38-1,0)),IF(AND($L$37=0,$P$34=0),"",$L$37-1),IF($R$17="Distrato",$E314,0)),MIN(AS$38,$D$19),$P$20))-SUM($P314:AR314)</f>
        <v>#VALUE!</v>
      </c>
      <c r="AT314" s="446" t="e">
        <f>IF(OR($B314="",MIN(AT$38,$D$19)&lt;MAX($P$34*($B314+IF($R$17="Distrato",$I$38-1,0)),IF(AND($L$37=0,$P$34=0),"",$L$37-1),IF($R$17="Distrato",$E314,0))),0,YEARFRAC(MAX($P$34*($B314+IF($R$17="Distrato",$I$38-1,0)),IF(AND($L$37=0,$P$34=0),"",$L$37-1),IF($R$17="Distrato",$E314,0)),MIN(AT$38,$D$19),$P$20))-SUM($P314:AS314)</f>
        <v>#VALUE!</v>
      </c>
      <c r="AU314" s="446" t="e">
        <f>IF(OR($B314="",MIN(AU$38,$D$19)&lt;MAX($P$34*($B314+IF($R$17="Distrato",$I$38-1,0)),IF(AND($L$37=0,$P$34=0),"",$L$37-1),IF($R$17="Distrato",$E314,0))),0,YEARFRAC(MAX($P$34*($B314+IF($R$17="Distrato",$I$38-1,0)),IF(AND($L$37=0,$P$34=0),"",$L$37-1),IF($R$17="Distrato",$E314,0)),MIN(AU$38,$D$19),$P$20))-SUM($P314:AT314)</f>
        <v>#VALUE!</v>
      </c>
      <c r="AV314" s="446" t="e">
        <f>IF(OR($B314="",MIN(AV$38,$D$19)&lt;MAX($P$34*($B314+IF($R$17="Distrato",$I$38-1,0)),IF(AND($L$37=0,$P$34=0),"",$L$37-1),IF($R$17="Distrato",$E314,0))),0,YEARFRAC(MAX($P$34*($B314+IF($R$17="Distrato",$I$38-1,0)),IF(AND($L$37=0,$P$34=0),"",$L$37-1),IF($R$17="Distrato",$E314,0)),MIN(AV$38,$D$19),$P$20))-SUM($P314:AU314)</f>
        <v>#VALUE!</v>
      </c>
      <c r="AW314" s="446" t="e">
        <f>IF(OR($B314="",MIN(AW$38,$D$19)&lt;MAX($P$34*($B314+IF($R$17="Distrato",$I$38-1,0)),IF(AND($L$37=0,$P$34=0),"",$L$37-1),IF($R$17="Distrato",$E314,0))),0,YEARFRAC(MAX($P$34*($B314+IF($R$17="Distrato",$I$38-1,0)),IF(AND($L$37=0,$P$34=0),"",$L$37-1),IF($R$17="Distrato",$E314,0)),MIN(AW$38,$D$19),$P$20))-SUM($P314:AV314)</f>
        <v>#VALUE!</v>
      </c>
      <c r="AX314" s="446" t="e">
        <f>IF(OR($B314="",MIN(AX$38,$D$19)&lt;MAX($P$34*($B314+IF($R$17="Distrato",$I$38-1,0)),IF(AND($L$37=0,$P$34=0),"",$L$37-1),IF($R$17="Distrato",$E314,0))),0,YEARFRAC(MAX($P$34*($B314+IF($R$17="Distrato",$I$38-1,0)),IF(AND($L$37=0,$P$34=0),"",$L$37-1),IF($R$17="Distrato",$E314,0)),MIN(AX$38,$D$19),$P$20))-SUM($P314:AW314)</f>
        <v>#VALUE!</v>
      </c>
      <c r="AY314" s="446" t="e">
        <f>IF(OR($B314="",MIN(AY$38,$D$19)&lt;MAX($P$34*($B314+IF($R$17="Distrato",$I$38-1,0)),IF(AND($L$37=0,$P$34=0),"",$L$37-1),IF($R$17="Distrato",$E314,0))),0,YEARFRAC(MAX($P$34*($B314+IF($R$17="Distrato",$I$38-1,0)),IF(AND($L$37=0,$P$34=0),"",$L$37-1),IF($R$17="Distrato",$E314,0)),MIN(AY$38,$D$19),$P$20))-SUM($P314:AX314)</f>
        <v>#VALUE!</v>
      </c>
      <c r="AZ314" s="446" t="e">
        <f>IF(OR($B314="",MIN(AZ$38,$D$19)&lt;MAX($P$34*($B314+IF($R$17="Distrato",$I$38-1,0)),IF(AND($L$37=0,$P$34=0),"",$L$37-1),IF($R$17="Distrato",$E314,0))),0,YEARFRAC(MAX($P$34*($B314+IF($R$17="Distrato",$I$38-1,0)),IF(AND($L$37=0,$P$34=0),"",$L$37-1),IF($R$17="Distrato",$E314,0)),MIN(AZ$38,$D$19),$P$20))-SUM($P314:AY314)</f>
        <v>#VALUE!</v>
      </c>
      <c r="BA314" s="446" t="e">
        <f>IF(OR($B314="",MIN(BA$38,$D$19)&lt;MAX($P$34*($B314+IF($R$17="Distrato",$I$38-1,0)),IF(AND($L$37=0,$P$34=0),"",$L$37-1),IF($R$17="Distrato",$E314,0))),0,YEARFRAC(MAX($P$34*($B314+IF($R$17="Distrato",$I$38-1,0)),IF(AND($L$37=0,$P$34=0),"",$L$37-1),IF($R$17="Distrato",$E314,0)),MIN(BA$38,$D$19),$P$20))-SUM($P314:AZ314)</f>
        <v>#VALUE!</v>
      </c>
      <c r="BB314" s="447"/>
      <c r="BF314" s="446">
        <f t="shared" si="54"/>
        <v>0</v>
      </c>
      <c r="BG314" s="446">
        <f>IF($E314=0,0,IF(MIN(BG$38,$E314)&lt;MAX($P$34*($B314+$I$38-1),IF(AND($L$37=0,$P$34=0),"",$L$37-1)),0,YEARFRAC(MAX($P$34*($B314+$I$38-1),IF(AND($L$37=0,$P$34=0),"",$L$37-1)),MIN(BG$38,$E314),$P$20))-SUM($BF314:BF314))</f>
        <v>0</v>
      </c>
      <c r="BH314" s="446">
        <f>IF($E314=0,0,IF(MIN(BH$38,$E314)&lt;MAX($P$34*($B314+$I$38-1),IF(AND($L$37=0,$P$34=0),"",$L$37-1)),0,YEARFRAC(MAX($P$34*($B314+$I$38-1),IF(AND($L$37=0,$P$34=0),"",$L$37-1)),MIN(BH$38,$E314),$P$20))-SUM($BF314:BG314))</f>
        <v>0</v>
      </c>
      <c r="BI314" s="446">
        <f>IF($E314=0,0,IF(MIN(BI$38,$E314)&lt;MAX($P$34*($B314+$I$38-1),IF(AND($L$37=0,$P$34=0),"",$L$37-1)),0,YEARFRAC(MAX($P$34*($B314+$I$38-1),IF(AND($L$37=0,$P$34=0),"",$L$37-1)),MIN(BI$38,$E314),$P$20))-SUM($BF314:BH314))</f>
        <v>0</v>
      </c>
      <c r="BJ314" s="446">
        <f>IF($E314=0,0,IF(MIN(BJ$38,$E314)&lt;MAX($P$34*($B314+$I$38-1),IF(AND($L$37=0,$P$34=0),"",$L$37-1)),0,YEARFRAC(MAX($P$34*($B314+$I$38-1),IF(AND($L$37=0,$P$34=0),"",$L$37-1)),MIN(BJ$38,$E314),$P$20))-SUM($BF314:BI314))</f>
        <v>0</v>
      </c>
      <c r="BK314" s="446">
        <f>IF($E314=0,0,IF(MIN(BK$38,$E314)&lt;MAX($P$34*($B314+$I$38-1),IF(AND($L$37=0,$P$34=0),"",$L$37-1)),0,YEARFRAC(MAX($P$34*($B314+$I$38-1),IF(AND($L$37=0,$P$34=0),"",$L$37-1)),MIN(BK$38,$E314),$P$20))-SUM($BF314:BJ314))</f>
        <v>0</v>
      </c>
      <c r="BL314" s="446">
        <f>IF($E314=0,0,IF(MIN(BL$38,$E314)&lt;MAX($P$34*($B314+$I$38-1),IF(AND($L$37=0,$P$34=0),"",$L$37-1)),0,YEARFRAC(MAX($P$34*($B314+$I$38-1),IF(AND($L$37=0,$P$34=0),"",$L$37-1)),MIN(BL$38,$E314),$P$20))-SUM($BF314:BK314))</f>
        <v>0</v>
      </c>
      <c r="BM314" s="446">
        <f>IF($E314=0,0,IF(MIN(BM$38,$E314)&lt;MAX($P$34*($B314+$I$38-1),IF(AND($L$37=0,$P$34=0),"",$L$37-1)),0,YEARFRAC(MAX($P$34*($B314+$I$38-1),IF(AND($L$37=0,$P$34=0),"",$L$37-1)),MIN(BM$38,$E314),$P$20))-SUM($BF314:BL314))</f>
        <v>0</v>
      </c>
      <c r="BN314" s="446">
        <f>IF($E314=0,0,IF(MIN(BN$38,$E314)&lt;MAX($P$34*($B314+$I$38-1),IF(AND($L$37=0,$P$34=0),"",$L$37-1)),0,YEARFRAC(MAX($P$34*($B314+$I$38-1),IF(AND($L$37=0,$P$34=0),"",$L$37-1)),MIN(BN$38,$E314),$P$20))-SUM($BF314:BM314))</f>
        <v>0</v>
      </c>
      <c r="BO314" s="446">
        <f>IF($E314=0,0,IF(MIN(BO$38,$E314)&lt;MAX($P$34*($B314+$I$38-1),IF(AND($L$37=0,$P$34=0),"",$L$37-1)),0,YEARFRAC(MAX($P$34*($B314+$I$38-1),IF(AND($L$37=0,$P$34=0),"",$L$37-1)),MIN(BO$38,$E314),$P$20))-SUM($BF314:BN314))</f>
        <v>0</v>
      </c>
      <c r="BP314" s="446">
        <f>IF($E314=0,0,IF(MIN(BP$38,$E314)&lt;MAX($P$34*($B314+$I$38-1),IF(AND($L$37=0,$P$34=0),"",$L$37-1)),0,YEARFRAC(MAX($P$34*($B314+$I$38-1),IF(AND($L$37=0,$P$34=0),"",$L$37-1)),MIN(BP$38,$E314),$P$20))-SUM($BF314:BO314))</f>
        <v>0</v>
      </c>
      <c r="BQ314" s="446">
        <f>IF($E314=0,0,IF(MIN(BQ$38,$E314)&lt;MAX($P$34*($B314+$I$38-1),IF(AND($L$37=0,$P$34=0),"",$L$37-1)),0,YEARFRAC(MAX($P$34*($B314+$I$38-1),IF(AND($L$37=0,$P$34=0),"",$L$37-1)),MIN(BQ$38,$E314),$P$20))-SUM($BF314:BP314))</f>
        <v>0</v>
      </c>
      <c r="BR314" s="446">
        <f>IF($E314=0,0,IF(MIN(BR$38,$E314)&lt;MAX($P$34*($B314+$I$38-1),IF(AND($L$37=0,$P$34=0),"",$L$37-1)),0,YEARFRAC(MAX($P$34*($B314+$I$38-1),IF(AND($L$37=0,$P$34=0),"",$L$37-1)),MIN(BR$38,$E314),$P$20))-SUM($BF314:BQ314))</f>
        <v>0</v>
      </c>
      <c r="BS314" s="446">
        <f>IF($E314=0,0,IF(MIN(BS$38,$E314)&lt;MAX($P$34*($B314+$I$38-1),IF(AND($L$37=0,$P$34=0),"",$L$37-1)),0,YEARFRAC(MAX($P$34*($B314+$I$38-1),IF(AND($L$37=0,$P$34=0),"",$L$37-1)),MIN(BS$38,$E314),$P$20))-SUM($BF314:BR314))</f>
        <v>0</v>
      </c>
      <c r="BT314" s="446">
        <f>IF($E314=0,0,IF(MIN(BT$38,$E314)&lt;MAX($P$34*($B314+$I$38-1),IF(AND($L$37=0,$P$34=0),"",$L$37-1)),0,YEARFRAC(MAX($P$34*($B314+$I$38-1),IF(AND($L$37=0,$P$34=0),"",$L$37-1)),MIN(BT$38,$E314),$P$20))-SUM($BF314:BS314))</f>
        <v>0</v>
      </c>
      <c r="BU314" s="446">
        <f>IF($E314=0,0,IF(MIN(BU$38,$E314)&lt;MAX($P$34*($B314+$I$38-1),IF(AND($L$37=0,$P$34=0),"",$L$37-1)),0,YEARFRAC(MAX($P$34*($B314+$I$38-1),IF(AND($L$37=0,$P$34=0),"",$L$37-1)),MIN(BU$38,$E314),$P$20))-SUM($BF314:BT314))</f>
        <v>0</v>
      </c>
      <c r="BV314" s="446">
        <f>IF($E314=0,0,IF(MIN(BV$38,$E314)&lt;MAX($P$34*($B314+$I$38-1),IF(AND($L$37=0,$P$34=0),"",$L$37-1)),0,YEARFRAC(MAX($P$34*($B314+$I$38-1),IF(AND($L$37=0,$P$34=0),"",$L$37-1)),MIN(BV$38,$E314),$P$20))-SUM($BF314:BU314))</f>
        <v>0</v>
      </c>
      <c r="BW314" s="446">
        <f>IF($E314=0,0,IF(MIN(BW$38,$E314)&lt;MAX($P$34*($B314+$I$38-1),IF(AND($L$37=0,$P$34=0),"",$L$37-1)),0,YEARFRAC(MAX($P$34*($B314+$I$38-1),IF(AND($L$37=0,$P$34=0),"",$L$37-1)),MIN(BW$38,$E314),$P$20))-SUM($BF314:BV314))</f>
        <v>0</v>
      </c>
      <c r="BX314" s="446">
        <f>IF($E314=0,0,IF(MIN(BX$38,$E314)&lt;MAX($P$34*($B314+$I$38-1),IF(AND($L$37=0,$P$34=0),"",$L$37-1)),0,YEARFRAC(MAX($P$34*($B314+$I$38-1),IF(AND($L$37=0,$P$34=0),"",$L$37-1)),MIN(BX$38,$E314),$P$20))-SUM($BF314:BW314))</f>
        <v>0</v>
      </c>
      <c r="BY314" s="446">
        <f>IF($E314=0,0,IF(MIN(BY$38,$E314)&lt;MAX($P$34*($B314+$I$38-1),IF(AND($L$37=0,$P$34=0),"",$L$37-1)),0,YEARFRAC(MAX($P$34*($B314+$I$38-1),IF(AND($L$37=0,$P$34=0),"",$L$37-1)),MIN(BY$38,$E314),$P$20))-SUM($BF314:BX314))</f>
        <v>0</v>
      </c>
      <c r="BZ314" s="446">
        <f>IF($E314=0,0,IF(MIN(BZ$38,$E314)&lt;MAX($P$34*($B314+$I$38-1),IF(AND($L$37=0,$P$34=0),"",$L$37-1)),0,YEARFRAC(MAX($P$34*($B314+$I$38-1),IF(AND($L$37=0,$P$34=0),"",$L$37-1)),MIN(BZ$38,$E314),$P$20))-SUM($BF314:BY314))</f>
        <v>0</v>
      </c>
      <c r="CA314" s="446">
        <f>IF($E314=0,0,IF(MIN(CA$38,$E314)&lt;MAX($P$34*($B314+$I$38-1),IF(AND($L$37=0,$P$34=0),"",$L$37-1)),0,YEARFRAC(MAX($P$34*($B314+$I$38-1),IF(AND($L$37=0,$P$34=0),"",$L$37-1)),MIN(CA$38,$E314),$P$20))-SUM($BF314:BZ314))</f>
        <v>0</v>
      </c>
      <c r="CB314" s="446">
        <f>IF($E314=0,0,IF(MIN(CB$38,$E314)&lt;MAX($P$34*($B314+$I$38-1),IF(AND($L$37=0,$P$34=0),"",$L$37-1)),0,YEARFRAC(MAX($P$34*($B314+$I$38-1),IF(AND($L$37=0,$P$34=0),"",$L$37-1)),MIN(CB$38,$E314),$P$20))-SUM($BF314:CA314))</f>
        <v>0</v>
      </c>
      <c r="CC314" s="446">
        <f>IF($E314=0,0,IF(MIN(CC$38,$E314)&lt;MAX($P$34*($B314+$I$38-1),IF(AND($L$37=0,$P$34=0),"",$L$37-1)),0,YEARFRAC(MAX($P$34*($B314+$I$38-1),IF(AND($L$37=0,$P$34=0),"",$L$37-1)),MIN(CC$38,$E314),$P$20))-SUM($BF314:CB314))</f>
        <v>0</v>
      </c>
      <c r="CD314" s="446">
        <f>IF($E314=0,0,IF(MIN(CD$38,$E314)&lt;MAX($P$34*($B314+$I$38-1),IF(AND($L$37=0,$P$34=0),"",$L$37-1)),0,YEARFRAC(MAX($P$34*($B314+$I$38-1),IF(AND($L$37=0,$P$34=0),"",$L$37-1)),MIN(CD$38,$E314),$P$20))-SUM($BF314:CC314))</f>
        <v>0</v>
      </c>
      <c r="CE314" s="446">
        <f>IF($E314=0,0,IF(MIN(CE$38,$E314)&lt;MAX($P$34*($B314+$I$38-1),IF(AND($L$37=0,$P$34=0),"",$L$37-1)),0,YEARFRAC(MAX($P$34*($B314+$I$38-1),IF(AND($L$37=0,$P$34=0),"",$L$37-1)),MIN(CE$38,$E314),$P$20))-SUM($BF314:CD314))</f>
        <v>0</v>
      </c>
      <c r="CF314" s="446">
        <f>IF($E314=0,0,IF(MIN(CF$38,$E314)&lt;MAX($P$34*($B314+$I$38-1),IF(AND($L$37=0,$P$34=0),"",$L$37-1)),0,YEARFRAC(MAX($P$34*($B314+$I$38-1),IF(AND($L$37=0,$P$34=0),"",$L$37-1)),MIN(CF$38,$E314),$P$20))-SUM($BF314:CE314))</f>
        <v>0</v>
      </c>
      <c r="CG314" s="446">
        <f>IF($E314=0,0,IF(MIN(CG$38,$E314)&lt;MAX($P$34*($B314+$I$38-1),IF(AND($L$37=0,$P$34=0),"",$L$37-1)),0,YEARFRAC(MAX($P$34*($B314+$I$38-1),IF(AND($L$37=0,$P$34=0),"",$L$37-1)),MIN(CG$38,$E314),$P$20))-SUM($BF314:CF314))</f>
        <v>0</v>
      </c>
      <c r="CH314" s="446">
        <f>IF($E314=0,0,IF(MIN(CH$38,$E314)&lt;MAX($P$34*($B314+$I$38-1),IF(AND($L$37=0,$P$34=0),"",$L$37-1)),0,YEARFRAC(MAX($P$34*($B314+$I$38-1),IF(AND($L$37=0,$P$34=0),"",$L$37-1)),MIN(CH$38,$E314),$P$20))-SUM($BF314:CG314))</f>
        <v>0</v>
      </c>
      <c r="CI314" s="446">
        <f>IF($E314=0,0,IF(MIN(CI$38,$E314)&lt;MAX($P$34*($B314+$I$38-1),IF(AND($L$37=0,$P$34=0),"",$L$37-1)),0,YEARFRAC(MAX($P$34*($B314+$I$38-1),IF(AND($L$37=0,$P$34=0),"",$L$37-1)),MIN(CI$38,$E314),$P$20))-SUM($BF314:CH314))</f>
        <v>0</v>
      </c>
      <c r="CJ314" s="446">
        <f>IF($E314=0,0,IF(MIN(CJ$38,$E314)&lt;MAX($P$34*($B314+$I$38-1),IF(AND($L$37=0,$P$34=0),"",$L$37-1)),0,YEARFRAC(MAX($P$34*($B314+$I$38-1),IF(AND($L$37=0,$P$34=0),"",$L$37-1)),MIN(CJ$38,$E314),$P$20))-SUM($BF314:CI314))</f>
        <v>0</v>
      </c>
      <c r="CK314" s="446">
        <f>IF($E314=0,0,IF(MIN(CK$38,$E314)&lt;MAX($P$34*($B314+$I$38-1),IF(AND($L$37=0,$P$34=0),"",$L$37-1)),0,YEARFRAC(MAX($P$34*($B314+$I$38-1),IF(AND($L$37=0,$P$34=0),"",$L$37-1)),MIN(CK$38,$E314),$P$20))-SUM($BF314:CJ314))</f>
        <v>0</v>
      </c>
      <c r="CL314" s="446">
        <f>IF($E314=0,0,IF(MIN(CL$38,$E314)&lt;MAX($P$34*($B314+$I$38-1),IF(AND($L$37=0,$P$34=0),"",$L$37-1)),0,YEARFRAC(MAX($P$34*($B314+$I$38-1),IF(AND($L$37=0,$P$34=0),"",$L$37-1)),MIN(CL$38,$E314),$P$20))-SUM($BF314:CK314))</f>
        <v>0</v>
      </c>
      <c r="CM314" s="446">
        <f>IF($E314=0,0,IF(MIN(CM$38,$E314)&lt;MAX($P$34*($B314+$I$38-1),IF(AND($L$37=0,$P$34=0),"",$L$37-1)),0,YEARFRAC(MAX($P$34*($B314+$I$38-1),IF(AND($L$37=0,$P$34=0),"",$L$37-1)),MIN(CM$38,$E314),$P$20))-SUM($BF314:CL314))</f>
        <v>0</v>
      </c>
      <c r="CN314" s="446">
        <f>IF($E314=0,0,IF(MIN(CN$38,$E314)&lt;MAX($P$34*($B314+$I$38-1),IF(AND($L$37=0,$P$34=0),"",$L$37-1)),0,YEARFRAC(MAX($P$34*($B314+$I$38-1),IF(AND($L$37=0,$P$34=0),"",$L$37-1)),MIN(CN$38,$E314),$P$20))-SUM($BF314:CM314))</f>
        <v>0</v>
      </c>
      <c r="CO314" s="446">
        <f>IF($E314=0,0,IF(MIN(CO$38,$E314)&lt;MAX($P$34*($B314+$I$38-1),IF(AND($L$37=0,$P$34=0),"",$L$37-1)),0,YEARFRAC(MAX($P$34*($B314+$I$38-1),IF(AND($L$37=0,$P$34=0),"",$L$37-1)),MIN(CO$38,$E314),$P$20))-SUM($BF314:CN314))</f>
        <v>0</v>
      </c>
      <c r="CP314" s="446">
        <f>IF($E314=0,0,IF(MIN(CP$38,$E314)&lt;MAX($P$34*($B314+$I$38-1),IF(AND($L$37=0,$P$34=0),"",$L$37-1)),0,YEARFRAC(MAX($P$34*($B314+$I$38-1),IF(AND($L$37=0,$P$34=0),"",$L$37-1)),MIN(CP$38,$E314),$P$20))-SUM($BF314:CO314))</f>
        <v>0</v>
      </c>
      <c r="CQ314" s="446">
        <f>IF($E314=0,0,IF(MIN(CQ$38,$E314)&lt;MAX($P$34*($B314+$I$38-1),IF(AND($L$37=0,$P$34=0),"",$L$37-1)),0,YEARFRAC(MAX($P$34*($B314+$I$38-1),IF(AND($L$37=0,$P$34=0),"",$L$37-1)),MIN(CQ$38,$E314),$P$20))-SUM($BF314:CP314))</f>
        <v>0</v>
      </c>
    </row>
    <row r="315" spans="1:95" s="446" customFormat="1" ht="11.25" hidden="1" customHeight="1" x14ac:dyDescent="0.2">
      <c r="A315" s="152"/>
      <c r="B315" s="153" t="str">
        <f t="shared" si="59"/>
        <v/>
      </c>
      <c r="C315" s="29" t="str">
        <f>IF(B315="","",IF($L$35="SELIC - TRIBUTOS",VLOOKUP(DATE(YEAR($D$19),MONTH($D$19)-1,1),ÍNDICES!$A:$DE,HLOOKUP($BL$25,ÍNDICES!$B$3:$T$4,2)+11)-VLOOKUP(B315,ÍNDICES!$A:$DE,HLOOKUP($BL$25,ÍNDICES!$B$3:$T$4,2)+11)+1%,IF(C$38=$W$26,$J$35,IF(ISERROR(IF(B315&gt;$D$19,1,VLOOKUP(DATE(YEAR(B315),MONTH(B315)+IF($C$35=$S$23,1,0),1),ÍNDICES!$A:$DE,$Z$35+1))),"",IF(B315&gt;$D$19,1,VLOOKUP(DATE(YEAR(B315),MONTH(B315)+IF($C$35=$S$23,1,0),1),ÍNDICES!$A:$DE,$Z$35+1))))))</f>
        <v/>
      </c>
      <c r="D315" s="154" t="str">
        <f>IF(ISERROR(IF(OR($D$38=$Y$27,$B315=""),"",VLOOKUP(B315,ÍNDICES!A:DE,AF$35+1))),"",IF(OR($D$38=$Y$27,$B315=""),"",VLOOKUP(B315,ÍNDICES!A:DE,AF$35+1)))</f>
        <v/>
      </c>
      <c r="E315" s="153"/>
      <c r="F315" s="29" t="str">
        <f>IF(E315="","",IF($L$35="SELIC - TRIBUTOS",VLOOKUP(DATE(YEAR($D$19),MONTH($D$19)-1,1),ÍNDICES!$A:$DE,HLOOKUP($BL$25,ÍNDICES!$B$3:$T$4,2)+11)-VLOOKUP(E315,ÍNDICES!$A:$DE,HLOOKUP($BL$25,ÍNDICES!$B$3:$T$4,2)+11)+1%,IF(F$38=$W$26,$J$35,IF(ISERROR(IF(E315&gt;$D$19,1,VLOOKUP(DATE(YEAR(E315),MONTH(E315)+IF($C$35=$S$23,1,0),1),ÍNDICES!$A:$DE,$Z$35+1))),"",IF(E315&gt;$D$19,1,VLOOKUP(DATE(YEAR(E315),MONTH(E315)+IF($C$35=$S$23,1,0),1),ÍNDICES!$A:$DE,$Z$35+1))))))</f>
        <v/>
      </c>
      <c r="G315" s="155"/>
      <c r="H315" s="156" t="str">
        <f t="shared" si="55"/>
        <v/>
      </c>
      <c r="I315" s="29" t="str">
        <f t="shared" si="49"/>
        <v/>
      </c>
      <c r="J315" s="5">
        <f t="shared" si="50"/>
        <v>0</v>
      </c>
      <c r="K315" s="20">
        <f t="shared" ca="1" si="51"/>
        <v>0</v>
      </c>
      <c r="L315" s="5">
        <f t="shared" ca="1" si="52"/>
        <v>0</v>
      </c>
      <c r="M315" s="64">
        <f t="shared" si="56"/>
        <v>0</v>
      </c>
      <c r="N315" s="61">
        <f t="shared" ca="1" si="57"/>
        <v>0</v>
      </c>
      <c r="O315" s="5">
        <f t="shared" ca="1" si="58"/>
        <v>0</v>
      </c>
      <c r="P315" s="446" t="e">
        <f t="shared" si="53"/>
        <v>#VALUE!</v>
      </c>
      <c r="Q315" s="446" t="e">
        <f>IF(OR($B315="",MIN(Q$38,$D$19)&lt;MAX($P$34*($B315+IF($R$17="Distrato",$I$38-1,0)),IF(AND($L$37=0,$P$34=0),"",$L$37-1),IF($R$17="Distrato",$E315,0))),0,YEARFRAC(MAX($P$34*($B315+IF($R$17="Distrato",$I$38-1,0)),IF(AND($L$37=0,$P$34=0),"",$L$37-1),IF($R$17="Distrato",$E315,0)),MIN(Q$38,$D$19),$P$20))-SUM($P315:P315)</f>
        <v>#VALUE!</v>
      </c>
      <c r="R315" s="446" t="e">
        <f>IF(OR($B315="",MIN(R$38,$D$19)&lt;MAX($P$34*($B315+IF($R$17="Distrato",$I$38-1,0)),IF(AND($L$37=0,$P$34=0),"",$L$37-1),IF($R$17="Distrato",$E315,0))),0,YEARFRAC(MAX($P$34*($B315+IF($R$17="Distrato",$I$38-1,0)),IF(AND($L$37=0,$P$34=0),"",$L$37-1),IF($R$17="Distrato",$E315,0)),MIN(R$38,$D$19),$P$20))-SUM($P315:Q315)</f>
        <v>#VALUE!</v>
      </c>
      <c r="S315" s="446" t="e">
        <f>IF(OR($B315="",MIN(S$38,$D$19)&lt;MAX($P$34*($B315+IF($R$17="Distrato",$I$38-1,0)),IF(AND($L$37=0,$P$34=0),"",$L$37-1),IF($R$17="Distrato",$E315,0))),0,YEARFRAC(MAX($P$34*($B315+IF($R$17="Distrato",$I$38-1,0)),IF(AND($L$37=0,$P$34=0),"",$L$37-1),IF($R$17="Distrato",$E315,0)),MIN(S$38,$D$19),$P$20))-SUM($P315:R315)</f>
        <v>#VALUE!</v>
      </c>
      <c r="T315" s="446" t="e">
        <f>IF(OR($B315="",MIN(T$38,$D$19)&lt;MAX($P$34*($B315+IF($R$17="Distrato",$I$38-1,0)),IF(AND($L$37=0,$P$34=0),"",$L$37-1),IF($R$17="Distrato",$E315,0))),0,YEARFRAC(MAX($P$34*($B315+IF($R$17="Distrato",$I$38-1,0)),IF(AND($L$37=0,$P$34=0),"",$L$37-1),IF($R$17="Distrato",$E315,0)),MIN(T$38,$D$19),$P$20))-SUM($P315:S315)</f>
        <v>#VALUE!</v>
      </c>
      <c r="U315" s="446" t="e">
        <f>IF(OR($B315="",MIN(U$38,$D$19)&lt;MAX($P$34*($B315+IF($R$17="Distrato",$I$38-1,0)),IF(AND($L$37=0,$P$34=0),"",$L$37-1),IF($R$17="Distrato",$E315,0))),0,YEARFRAC(MAX($P$34*($B315+IF($R$17="Distrato",$I$38-1,0)),IF(AND($L$37=0,$P$34=0),"",$L$37-1),IF($R$17="Distrato",$E315,0)),MIN(U$38,$D$19),$P$20))-SUM($P315:T315)</f>
        <v>#VALUE!</v>
      </c>
      <c r="V315" s="446" t="e">
        <f>IF(OR($B315="",MIN(V$38,$D$19)&lt;MAX($P$34*($B315+IF($R$17="Distrato",$I$38-1,0)),IF(AND($L$37=0,$P$34=0),"",$L$37-1),IF($R$17="Distrato",$E315,0))),0,YEARFRAC(MAX($P$34*($B315+IF($R$17="Distrato",$I$38-1,0)),IF(AND($L$37=0,$P$34=0),"",$L$37-1),IF($R$17="Distrato",$E315,0)),MIN(V$38,$D$19),$P$20))-SUM($P315:U315)</f>
        <v>#VALUE!</v>
      </c>
      <c r="W315" s="446" t="e">
        <f>IF(OR($B315="",MIN(W$38,$D$19)&lt;MAX($P$34*($B315+IF($R$17="Distrato",$I$38-1,0)),IF(AND($L$37=0,$P$34=0),"",$L$37-1),IF($R$17="Distrato",$E315,0))),0,YEARFRAC(MAX($P$34*($B315+IF($R$17="Distrato",$I$38-1,0)),IF(AND($L$37=0,$P$34=0),"",$L$37-1),IF($R$17="Distrato",$E315,0)),MIN(W$38,$D$19),$P$20))-SUM($P315:V315)</f>
        <v>#VALUE!</v>
      </c>
      <c r="X315" s="446" t="e">
        <f>IF(OR($B315="",MIN(X$38,$D$19)&lt;MAX($P$34*($B315+IF($R$17="Distrato",$I$38-1,0)),IF(AND($L$37=0,$P$34=0),"",$L$37-1),IF($R$17="Distrato",$E315,0))),0,YEARFRAC(MAX($P$34*($B315+IF($R$17="Distrato",$I$38-1,0)),IF(AND($L$37=0,$P$34=0),"",$L$37-1),IF($R$17="Distrato",$E315,0)),MIN(X$38,$D$19),$P$20))-SUM($P315:W315)</f>
        <v>#VALUE!</v>
      </c>
      <c r="Y315" s="446" t="e">
        <f>IF(OR($B315="",MIN(Y$38,$D$19)&lt;MAX($P$34*($B315+IF($R$17="Distrato",$I$38-1,0)),IF(AND($L$37=0,$P$34=0),"",$L$37-1),IF($R$17="Distrato",$E315,0))),0,YEARFRAC(MAX($P$34*($B315+IF($R$17="Distrato",$I$38-1,0)),IF(AND($L$37=0,$P$34=0),"",$L$37-1),IF($R$17="Distrato",$E315,0)),MIN(Y$38,$D$19),$P$20))-SUM($P315:X315)</f>
        <v>#VALUE!</v>
      </c>
      <c r="Z315" s="446" t="e">
        <f>IF(OR($B315="",MIN(Z$38,$D$19)&lt;MAX($P$34*($B315+IF($R$17="Distrato",$I$38-1,0)),IF(AND($L$37=0,$P$34=0),"",$L$37-1),IF($R$17="Distrato",$E315,0))),0,YEARFRAC(MAX($P$34*($B315+IF($R$17="Distrato",$I$38-1,0)),IF(AND($L$37=0,$P$34=0),"",$L$37-1),IF($R$17="Distrato",$E315,0)),MIN(Z$38,$D$19),$P$20))-SUM($P315:Y315)</f>
        <v>#VALUE!</v>
      </c>
      <c r="AA315" s="446" t="e">
        <f>IF(OR($B315="",MIN(AA$38,$D$19)&lt;MAX($P$34*($B315+IF($R$17="Distrato",$I$38-1,0)),IF(AND($L$37=0,$P$34=0),"",$L$37-1),IF($R$17="Distrato",$E315,0))),0,YEARFRAC(MAX($P$34*($B315+IF($R$17="Distrato",$I$38-1,0)),IF(AND($L$37=0,$P$34=0),"",$L$37-1),IF($R$17="Distrato",$E315,0)),MIN(AA$38,$D$19),$P$20))-SUM($P315:Z315)</f>
        <v>#VALUE!</v>
      </c>
      <c r="AB315" s="446" t="e">
        <f>IF(OR($B315="",MIN(AB$38,$D$19)&lt;MAX($P$34*($B315+IF($R$17="Distrato",$I$38-1,0)),IF(AND($L$37=0,$P$34=0),"",$L$37-1),IF($R$17="Distrato",$E315,0))),0,YEARFRAC(MAX($P$34*($B315+IF($R$17="Distrato",$I$38-1,0)),IF(AND($L$37=0,$P$34=0),"",$L$37-1),IF($R$17="Distrato",$E315,0)),MIN(AB$38,$D$19),$P$20))-SUM($P315:AA315)</f>
        <v>#VALUE!</v>
      </c>
      <c r="AC315" s="446" t="e">
        <f>IF(OR($B315="",MIN(AC$38,$D$19)&lt;MAX($P$34*($B315+IF($R$17="Distrato",$I$38-1,0)),IF(AND($L$37=0,$P$34=0),"",$L$37-1),IF($R$17="Distrato",$E315,0))),0,YEARFRAC(MAX($P$34*($B315+IF($R$17="Distrato",$I$38-1,0)),IF(AND($L$37=0,$P$34=0),"",$L$37-1),IF($R$17="Distrato",$E315,0)),MIN(AC$38,$D$19),$P$20))-SUM($P315:AB315)</f>
        <v>#VALUE!</v>
      </c>
      <c r="AD315" s="446" t="e">
        <f>IF(OR($B315="",MIN(AD$38,$D$19)&lt;MAX($P$34*($B315+IF($R$17="Distrato",$I$38-1,0)),IF(AND($L$37=0,$P$34=0),"",$L$37-1),IF($R$17="Distrato",$E315,0))),0,YEARFRAC(MAX($P$34*($B315+IF($R$17="Distrato",$I$38-1,0)),IF(AND($L$37=0,$P$34=0),"",$L$37-1),IF($R$17="Distrato",$E315,0)),MIN(AD$38,$D$19),$P$20))-SUM($P315:AC315)</f>
        <v>#VALUE!</v>
      </c>
      <c r="AE315" s="446" t="e">
        <f>IF(OR($B315="",MIN(AE$38,$D$19)&lt;MAX($P$34*($B315+IF($R$17="Distrato",$I$38-1,0)),IF(AND($L$37=0,$P$34=0),"",$L$37-1),IF($R$17="Distrato",$E315,0))),0,YEARFRAC(MAX($P$34*($B315+IF($R$17="Distrato",$I$38-1,0)),IF(AND($L$37=0,$P$34=0),"",$L$37-1),IF($R$17="Distrato",$E315,0)),MIN(AE$38,$D$19),$P$20))-SUM($P315:AD315)</f>
        <v>#VALUE!</v>
      </c>
      <c r="AF315" s="446" t="e">
        <f>IF(OR($B315="",MIN(AF$38,$D$19)&lt;MAX($P$34*($B315+IF($R$17="Distrato",$I$38-1,0)),IF(AND($L$37=0,$P$34=0),"",$L$37-1),IF($R$17="Distrato",$E315,0))),0,YEARFRAC(MAX($P$34*($B315+IF($R$17="Distrato",$I$38-1,0)),IF(AND($L$37=0,$P$34=0),"",$L$37-1),IF($R$17="Distrato",$E315,0)),MIN(AF$38,$D$19),$P$20))-SUM($P315:AE315)</f>
        <v>#VALUE!</v>
      </c>
      <c r="AG315" s="446" t="e">
        <f>IF(OR($B315="",MIN(AG$38,$D$19)&lt;MAX($P$34*($B315+IF($R$17="Distrato",$I$38-1,0)),IF(AND($L$37=0,$P$34=0),"",$L$37-1),IF($R$17="Distrato",$E315,0))),0,YEARFRAC(MAX($P$34*($B315+IF($R$17="Distrato",$I$38-1,0)),IF(AND($L$37=0,$P$34=0),"",$L$37-1),IF($R$17="Distrato",$E315,0)),MIN(AG$38,$D$19),$P$20))-SUM($P315:AF315)</f>
        <v>#VALUE!</v>
      </c>
      <c r="AH315" s="446" t="e">
        <f>IF(OR($B315="",MIN(AH$38,$D$19)&lt;MAX($P$34*($B315+IF($R$17="Distrato",$I$38-1,0)),IF(AND($L$37=0,$P$34=0),"",$L$37-1),IF($R$17="Distrato",$E315,0))),0,YEARFRAC(MAX($P$34*($B315+IF($R$17="Distrato",$I$38-1,0)),IF(AND($L$37=0,$P$34=0),"",$L$37-1),IF($R$17="Distrato",$E315,0)),MIN(AH$38,$D$19),$P$20))-SUM($P315:AG315)</f>
        <v>#VALUE!</v>
      </c>
      <c r="AI315" s="446" t="e">
        <f>IF(OR($B315="",MIN(AI$38,$D$19)&lt;MAX($P$34*($B315+IF($R$17="Distrato",$I$38-1,0)),IF(AND($L$37=0,$P$34=0),"",$L$37-1),IF($R$17="Distrato",$E315,0))),0,YEARFRAC(MAX($P$34*($B315+IF($R$17="Distrato",$I$38-1,0)),IF(AND($L$37=0,$P$34=0),"",$L$37-1),IF($R$17="Distrato",$E315,0)),MIN(AI$38,$D$19),$P$20))-SUM($P315:AH315)</f>
        <v>#VALUE!</v>
      </c>
      <c r="AJ315" s="446" t="e">
        <f>IF(OR($B315="",MIN(AJ$38,$D$19)&lt;MAX($P$34*($B315+IF($R$17="Distrato",$I$38-1,0)),IF(AND($L$37=0,$P$34=0),"",$L$37-1),IF($R$17="Distrato",$E315,0))),0,YEARFRAC(MAX($P$34*($B315+IF($R$17="Distrato",$I$38-1,0)),IF(AND($L$37=0,$P$34=0),"",$L$37-1),IF($R$17="Distrato",$E315,0)),MIN(AJ$38,$D$19),$P$20))-SUM($P315:AI315)</f>
        <v>#VALUE!</v>
      </c>
      <c r="AK315" s="446" t="e">
        <f>IF(OR($B315="",MIN(AK$38,$D$19)&lt;MAX($P$34*($B315+IF($R$17="Distrato",$I$38-1,0)),IF(AND($L$37=0,$P$34=0),"",$L$37-1),IF($R$17="Distrato",$E315,0))),0,YEARFRAC(MAX($P$34*($B315+IF($R$17="Distrato",$I$38-1,0)),IF(AND($L$37=0,$P$34=0),"",$L$37-1),IF($R$17="Distrato",$E315,0)),MIN(AK$38,$D$19),$P$20))-SUM($P315:AJ315)</f>
        <v>#VALUE!</v>
      </c>
      <c r="AL315" s="446" t="e">
        <f>IF(OR($B315="",MIN(AL$38,$D$19)&lt;MAX($P$34*($B315+IF($R$17="Distrato",$I$38-1,0)),IF(AND($L$37=0,$P$34=0),"",$L$37-1),IF($R$17="Distrato",$E315,0))),0,YEARFRAC(MAX($P$34*($B315+IF($R$17="Distrato",$I$38-1,0)),IF(AND($L$37=0,$P$34=0),"",$L$37-1),IF($R$17="Distrato",$E315,0)),MIN(AL$38,$D$19),$P$20))-SUM($P315:AK315)</f>
        <v>#VALUE!</v>
      </c>
      <c r="AM315" s="446" t="e">
        <f>IF(OR($B315="",MIN(AM$38,$D$19)&lt;MAX($P$34*($B315+IF($R$17="Distrato",$I$38-1,0)),IF(AND($L$37=0,$P$34=0),"",$L$37-1),IF($R$17="Distrato",$E315,0))),0,YEARFRAC(MAX($P$34*($B315+IF($R$17="Distrato",$I$38-1,0)),IF(AND($L$37=0,$P$34=0),"",$L$37-1),IF($R$17="Distrato",$E315,0)),MIN(AM$38,$D$19),$P$20))-SUM($P315:AL315)</f>
        <v>#VALUE!</v>
      </c>
      <c r="AN315" s="446" t="e">
        <f>IF(OR($B315="",MIN(AN$38,$D$19)&lt;MAX($P$34*($B315+IF($R$17="Distrato",$I$38-1,0)),IF(AND($L$37=0,$P$34=0),"",$L$37-1),IF($R$17="Distrato",$E315,0))),0,YEARFRAC(MAX($P$34*($B315+IF($R$17="Distrato",$I$38-1,0)),IF(AND($L$37=0,$P$34=0),"",$L$37-1),IF($R$17="Distrato",$E315,0)),MIN(AN$38,$D$19),$P$20))-SUM($P315:AM315)</f>
        <v>#VALUE!</v>
      </c>
      <c r="AO315" s="446" t="e">
        <f>IF(OR($B315="",MIN(AO$38,$D$19)&lt;MAX($P$34*($B315+IF($R$17="Distrato",$I$38-1,0)),IF(AND($L$37=0,$P$34=0),"",$L$37-1),IF($R$17="Distrato",$E315,0))),0,YEARFRAC(MAX($P$34*($B315+IF($R$17="Distrato",$I$38-1,0)),IF(AND($L$37=0,$P$34=0),"",$L$37-1),IF($R$17="Distrato",$E315,0)),MIN(AO$38,$D$19),$P$20))-SUM($P315:AN315)</f>
        <v>#VALUE!</v>
      </c>
      <c r="AP315" s="446" t="e">
        <f>IF(OR($B315="",MIN(AP$38,$D$19)&lt;MAX($P$34*($B315+IF($R$17="Distrato",$I$38-1,0)),IF(AND($L$37=0,$P$34=0),"",$L$37-1),IF($R$17="Distrato",$E315,0))),0,YEARFRAC(MAX($P$34*($B315+IF($R$17="Distrato",$I$38-1,0)),IF(AND($L$37=0,$P$34=0),"",$L$37-1),IF($R$17="Distrato",$E315,0)),MIN(AP$38,$D$19),$P$20))-SUM($P315:AO315)</f>
        <v>#VALUE!</v>
      </c>
      <c r="AQ315" s="446" t="e">
        <f>IF(OR($B315="",MIN(AQ$38,$D$19)&lt;MAX($P$34*($B315+IF($R$17="Distrato",$I$38-1,0)),IF(AND($L$37=0,$P$34=0),"",$L$37-1),IF($R$17="Distrato",$E315,0))),0,YEARFRAC(MAX($P$34*($B315+IF($R$17="Distrato",$I$38-1,0)),IF(AND($L$37=0,$P$34=0),"",$L$37-1),IF($R$17="Distrato",$E315,0)),MIN(AQ$38,$D$19),$P$20))-SUM($P315:AP315)</f>
        <v>#VALUE!</v>
      </c>
      <c r="AR315" s="446" t="e">
        <f>IF(OR($B315="",MIN(AR$38,$D$19)&lt;MAX($P$34*($B315+IF($R$17="Distrato",$I$38-1,0)),IF(AND($L$37=0,$P$34=0),"",$L$37-1),IF($R$17="Distrato",$E315,0))),0,YEARFRAC(MAX($P$34*($B315+IF($R$17="Distrato",$I$38-1,0)),IF(AND($L$37=0,$P$34=0),"",$L$37-1),IF($R$17="Distrato",$E315,0)),MIN(AR$38,$D$19),$P$20))-SUM($P315:AQ315)</f>
        <v>#VALUE!</v>
      </c>
      <c r="AS315" s="446" t="e">
        <f>IF(OR($B315="",MIN(AS$38,$D$19)&lt;MAX($P$34*($B315+IF($R$17="Distrato",$I$38-1,0)),IF(AND($L$37=0,$P$34=0),"",$L$37-1),IF($R$17="Distrato",$E315,0))),0,YEARFRAC(MAX($P$34*($B315+IF($R$17="Distrato",$I$38-1,0)),IF(AND($L$37=0,$P$34=0),"",$L$37-1),IF($R$17="Distrato",$E315,0)),MIN(AS$38,$D$19),$P$20))-SUM($P315:AR315)</f>
        <v>#VALUE!</v>
      </c>
      <c r="AT315" s="446" t="e">
        <f>IF(OR($B315="",MIN(AT$38,$D$19)&lt;MAX($P$34*($B315+IF($R$17="Distrato",$I$38-1,0)),IF(AND($L$37=0,$P$34=0),"",$L$37-1),IF($R$17="Distrato",$E315,0))),0,YEARFRAC(MAX($P$34*($B315+IF($R$17="Distrato",$I$38-1,0)),IF(AND($L$37=0,$P$34=0),"",$L$37-1),IF($R$17="Distrato",$E315,0)),MIN(AT$38,$D$19),$P$20))-SUM($P315:AS315)</f>
        <v>#VALUE!</v>
      </c>
      <c r="AU315" s="446" t="e">
        <f>IF(OR($B315="",MIN(AU$38,$D$19)&lt;MAX($P$34*($B315+IF($R$17="Distrato",$I$38-1,0)),IF(AND($L$37=0,$P$34=0),"",$L$37-1),IF($R$17="Distrato",$E315,0))),0,YEARFRAC(MAX($P$34*($B315+IF($R$17="Distrato",$I$38-1,0)),IF(AND($L$37=0,$P$34=0),"",$L$37-1),IF($R$17="Distrato",$E315,0)),MIN(AU$38,$D$19),$P$20))-SUM($P315:AT315)</f>
        <v>#VALUE!</v>
      </c>
      <c r="AV315" s="446" t="e">
        <f>IF(OR($B315="",MIN(AV$38,$D$19)&lt;MAX($P$34*($B315+IF($R$17="Distrato",$I$38-1,0)),IF(AND($L$37=0,$P$34=0),"",$L$37-1),IF($R$17="Distrato",$E315,0))),0,YEARFRAC(MAX($P$34*($B315+IF($R$17="Distrato",$I$38-1,0)),IF(AND($L$37=0,$P$34=0),"",$L$37-1),IF($R$17="Distrato",$E315,0)),MIN(AV$38,$D$19),$P$20))-SUM($P315:AU315)</f>
        <v>#VALUE!</v>
      </c>
      <c r="AW315" s="446" t="e">
        <f>IF(OR($B315="",MIN(AW$38,$D$19)&lt;MAX($P$34*($B315+IF($R$17="Distrato",$I$38-1,0)),IF(AND($L$37=0,$P$34=0),"",$L$37-1),IF($R$17="Distrato",$E315,0))),0,YEARFRAC(MAX($P$34*($B315+IF($R$17="Distrato",$I$38-1,0)),IF(AND($L$37=0,$P$34=0),"",$L$37-1),IF($R$17="Distrato",$E315,0)),MIN(AW$38,$D$19),$P$20))-SUM($P315:AV315)</f>
        <v>#VALUE!</v>
      </c>
      <c r="AX315" s="446" t="e">
        <f>IF(OR($B315="",MIN(AX$38,$D$19)&lt;MAX($P$34*($B315+IF($R$17="Distrato",$I$38-1,0)),IF(AND($L$37=0,$P$34=0),"",$L$37-1),IF($R$17="Distrato",$E315,0))),0,YEARFRAC(MAX($P$34*($B315+IF($R$17="Distrato",$I$38-1,0)),IF(AND($L$37=0,$P$34=0),"",$L$37-1),IF($R$17="Distrato",$E315,0)),MIN(AX$38,$D$19),$P$20))-SUM($P315:AW315)</f>
        <v>#VALUE!</v>
      </c>
      <c r="AY315" s="446" t="e">
        <f>IF(OR($B315="",MIN(AY$38,$D$19)&lt;MAX($P$34*($B315+IF($R$17="Distrato",$I$38-1,0)),IF(AND($L$37=0,$P$34=0),"",$L$37-1),IF($R$17="Distrato",$E315,0))),0,YEARFRAC(MAX($P$34*($B315+IF($R$17="Distrato",$I$38-1,0)),IF(AND($L$37=0,$P$34=0),"",$L$37-1),IF($R$17="Distrato",$E315,0)),MIN(AY$38,$D$19),$P$20))-SUM($P315:AX315)</f>
        <v>#VALUE!</v>
      </c>
      <c r="AZ315" s="446" t="e">
        <f>IF(OR($B315="",MIN(AZ$38,$D$19)&lt;MAX($P$34*($B315+IF($R$17="Distrato",$I$38-1,0)),IF(AND($L$37=0,$P$34=0),"",$L$37-1),IF($R$17="Distrato",$E315,0))),0,YEARFRAC(MAX($P$34*($B315+IF($R$17="Distrato",$I$38-1,0)),IF(AND($L$37=0,$P$34=0),"",$L$37-1),IF($R$17="Distrato",$E315,0)),MIN(AZ$38,$D$19),$P$20))-SUM($P315:AY315)</f>
        <v>#VALUE!</v>
      </c>
      <c r="BA315" s="446" t="e">
        <f>IF(OR($B315="",MIN(BA$38,$D$19)&lt;MAX($P$34*($B315+IF($R$17="Distrato",$I$38-1,0)),IF(AND($L$37=0,$P$34=0),"",$L$37-1),IF($R$17="Distrato",$E315,0))),0,YEARFRAC(MAX($P$34*($B315+IF($R$17="Distrato",$I$38-1,0)),IF(AND($L$37=0,$P$34=0),"",$L$37-1),IF($R$17="Distrato",$E315,0)),MIN(BA$38,$D$19),$P$20))-SUM($P315:AZ315)</f>
        <v>#VALUE!</v>
      </c>
      <c r="BB315" s="447"/>
      <c r="BF315" s="446">
        <f t="shared" si="54"/>
        <v>0</v>
      </c>
      <c r="BG315" s="446">
        <f>IF($E315=0,0,IF(MIN(BG$38,$E315)&lt;MAX($P$34*($B315+$I$38-1),IF(AND($L$37=0,$P$34=0),"",$L$37-1)),0,YEARFRAC(MAX($P$34*($B315+$I$38-1),IF(AND($L$37=0,$P$34=0),"",$L$37-1)),MIN(BG$38,$E315),$P$20))-SUM($BF315:BF315))</f>
        <v>0</v>
      </c>
      <c r="BH315" s="446">
        <f>IF($E315=0,0,IF(MIN(BH$38,$E315)&lt;MAX($P$34*($B315+$I$38-1),IF(AND($L$37=0,$P$34=0),"",$L$37-1)),0,YEARFRAC(MAX($P$34*($B315+$I$38-1),IF(AND($L$37=0,$P$34=0),"",$L$37-1)),MIN(BH$38,$E315),$P$20))-SUM($BF315:BG315))</f>
        <v>0</v>
      </c>
      <c r="BI315" s="446">
        <f>IF($E315=0,0,IF(MIN(BI$38,$E315)&lt;MAX($P$34*($B315+$I$38-1),IF(AND($L$37=0,$P$34=0),"",$L$37-1)),0,YEARFRAC(MAX($P$34*($B315+$I$38-1),IF(AND($L$37=0,$P$34=0),"",$L$37-1)),MIN(BI$38,$E315),$P$20))-SUM($BF315:BH315))</f>
        <v>0</v>
      </c>
      <c r="BJ315" s="446">
        <f>IF($E315=0,0,IF(MIN(BJ$38,$E315)&lt;MAX($P$34*($B315+$I$38-1),IF(AND($L$37=0,$P$34=0),"",$L$37-1)),0,YEARFRAC(MAX($P$34*($B315+$I$38-1),IF(AND($L$37=0,$P$34=0),"",$L$37-1)),MIN(BJ$38,$E315),$P$20))-SUM($BF315:BI315))</f>
        <v>0</v>
      </c>
      <c r="BK315" s="446">
        <f>IF($E315=0,0,IF(MIN(BK$38,$E315)&lt;MAX($P$34*($B315+$I$38-1),IF(AND($L$37=0,$P$34=0),"",$L$37-1)),0,YEARFRAC(MAX($P$34*($B315+$I$38-1),IF(AND($L$37=0,$P$34=0),"",$L$37-1)),MIN(BK$38,$E315),$P$20))-SUM($BF315:BJ315))</f>
        <v>0</v>
      </c>
      <c r="BL315" s="446">
        <f>IF($E315=0,0,IF(MIN(BL$38,$E315)&lt;MAX($P$34*($B315+$I$38-1),IF(AND($L$37=0,$P$34=0),"",$L$37-1)),0,YEARFRAC(MAX($P$34*($B315+$I$38-1),IF(AND($L$37=0,$P$34=0),"",$L$37-1)),MIN(BL$38,$E315),$P$20))-SUM($BF315:BK315))</f>
        <v>0</v>
      </c>
      <c r="BM315" s="446">
        <f>IF($E315=0,0,IF(MIN(BM$38,$E315)&lt;MAX($P$34*($B315+$I$38-1),IF(AND($L$37=0,$P$34=0),"",$L$37-1)),0,YEARFRAC(MAX($P$34*($B315+$I$38-1),IF(AND($L$37=0,$P$34=0),"",$L$37-1)),MIN(BM$38,$E315),$P$20))-SUM($BF315:BL315))</f>
        <v>0</v>
      </c>
      <c r="BN315" s="446">
        <f>IF($E315=0,0,IF(MIN(BN$38,$E315)&lt;MAX($P$34*($B315+$I$38-1),IF(AND($L$37=0,$P$34=0),"",$L$37-1)),0,YEARFRAC(MAX($P$34*($B315+$I$38-1),IF(AND($L$37=0,$P$34=0),"",$L$37-1)),MIN(BN$38,$E315),$P$20))-SUM($BF315:BM315))</f>
        <v>0</v>
      </c>
      <c r="BO315" s="446">
        <f>IF($E315=0,0,IF(MIN(BO$38,$E315)&lt;MAX($P$34*($B315+$I$38-1),IF(AND($L$37=0,$P$34=0),"",$L$37-1)),0,YEARFRAC(MAX($P$34*($B315+$I$38-1),IF(AND($L$37=0,$P$34=0),"",$L$37-1)),MIN(BO$38,$E315),$P$20))-SUM($BF315:BN315))</f>
        <v>0</v>
      </c>
      <c r="BP315" s="446">
        <f>IF($E315=0,0,IF(MIN(BP$38,$E315)&lt;MAX($P$34*($B315+$I$38-1),IF(AND($L$37=0,$P$34=0),"",$L$37-1)),0,YEARFRAC(MAX($P$34*($B315+$I$38-1),IF(AND($L$37=0,$P$34=0),"",$L$37-1)),MIN(BP$38,$E315),$P$20))-SUM($BF315:BO315))</f>
        <v>0</v>
      </c>
      <c r="BQ315" s="446">
        <f>IF($E315=0,0,IF(MIN(BQ$38,$E315)&lt;MAX($P$34*($B315+$I$38-1),IF(AND($L$37=0,$P$34=0),"",$L$37-1)),0,YEARFRAC(MAX($P$34*($B315+$I$38-1),IF(AND($L$37=0,$P$34=0),"",$L$37-1)),MIN(BQ$38,$E315),$P$20))-SUM($BF315:BP315))</f>
        <v>0</v>
      </c>
      <c r="BR315" s="446">
        <f>IF($E315=0,0,IF(MIN(BR$38,$E315)&lt;MAX($P$34*($B315+$I$38-1),IF(AND($L$37=0,$P$34=0),"",$L$37-1)),0,YEARFRAC(MAX($P$34*($B315+$I$38-1),IF(AND($L$37=0,$P$34=0),"",$L$37-1)),MIN(BR$38,$E315),$P$20))-SUM($BF315:BQ315))</f>
        <v>0</v>
      </c>
      <c r="BS315" s="446">
        <f>IF($E315=0,0,IF(MIN(BS$38,$E315)&lt;MAX($P$34*($B315+$I$38-1),IF(AND($L$37=0,$P$34=0),"",$L$37-1)),0,YEARFRAC(MAX($P$34*($B315+$I$38-1),IF(AND($L$37=0,$P$34=0),"",$L$37-1)),MIN(BS$38,$E315),$P$20))-SUM($BF315:BR315))</f>
        <v>0</v>
      </c>
      <c r="BT315" s="446">
        <f>IF($E315=0,0,IF(MIN(BT$38,$E315)&lt;MAX($P$34*($B315+$I$38-1),IF(AND($L$37=0,$P$34=0),"",$L$37-1)),0,YEARFRAC(MAX($P$34*($B315+$I$38-1),IF(AND($L$37=0,$P$34=0),"",$L$37-1)),MIN(BT$38,$E315),$P$20))-SUM($BF315:BS315))</f>
        <v>0</v>
      </c>
      <c r="BU315" s="446">
        <f>IF($E315=0,0,IF(MIN(BU$38,$E315)&lt;MAX($P$34*($B315+$I$38-1),IF(AND($L$37=0,$P$34=0),"",$L$37-1)),0,YEARFRAC(MAX($P$34*($B315+$I$38-1),IF(AND($L$37=0,$P$34=0),"",$L$37-1)),MIN(BU$38,$E315),$P$20))-SUM($BF315:BT315))</f>
        <v>0</v>
      </c>
      <c r="BV315" s="446">
        <f>IF($E315=0,0,IF(MIN(BV$38,$E315)&lt;MAX($P$34*($B315+$I$38-1),IF(AND($L$37=0,$P$34=0),"",$L$37-1)),0,YEARFRAC(MAX($P$34*($B315+$I$38-1),IF(AND($L$37=0,$P$34=0),"",$L$37-1)),MIN(BV$38,$E315),$P$20))-SUM($BF315:BU315))</f>
        <v>0</v>
      </c>
      <c r="BW315" s="446">
        <f>IF($E315=0,0,IF(MIN(BW$38,$E315)&lt;MAX($P$34*($B315+$I$38-1),IF(AND($L$37=0,$P$34=0),"",$L$37-1)),0,YEARFRAC(MAX($P$34*($B315+$I$38-1),IF(AND($L$37=0,$P$34=0),"",$L$37-1)),MIN(BW$38,$E315),$P$20))-SUM($BF315:BV315))</f>
        <v>0</v>
      </c>
      <c r="BX315" s="446">
        <f>IF($E315=0,0,IF(MIN(BX$38,$E315)&lt;MAX($P$34*($B315+$I$38-1),IF(AND($L$37=0,$P$34=0),"",$L$37-1)),0,YEARFRAC(MAX($P$34*($B315+$I$38-1),IF(AND($L$37=0,$P$34=0),"",$L$37-1)),MIN(BX$38,$E315),$P$20))-SUM($BF315:BW315))</f>
        <v>0</v>
      </c>
      <c r="BY315" s="446">
        <f>IF($E315=0,0,IF(MIN(BY$38,$E315)&lt;MAX($P$34*($B315+$I$38-1),IF(AND($L$37=0,$P$34=0),"",$L$37-1)),0,YEARFRAC(MAX($P$34*($B315+$I$38-1),IF(AND($L$37=0,$P$34=0),"",$L$37-1)),MIN(BY$38,$E315),$P$20))-SUM($BF315:BX315))</f>
        <v>0</v>
      </c>
      <c r="BZ315" s="446">
        <f>IF($E315=0,0,IF(MIN(BZ$38,$E315)&lt;MAX($P$34*($B315+$I$38-1),IF(AND($L$37=0,$P$34=0),"",$L$37-1)),0,YEARFRAC(MAX($P$34*($B315+$I$38-1),IF(AND($L$37=0,$P$34=0),"",$L$37-1)),MIN(BZ$38,$E315),$P$20))-SUM($BF315:BY315))</f>
        <v>0</v>
      </c>
      <c r="CA315" s="446">
        <f>IF($E315=0,0,IF(MIN(CA$38,$E315)&lt;MAX($P$34*($B315+$I$38-1),IF(AND($L$37=0,$P$34=0),"",$L$37-1)),0,YEARFRAC(MAX($P$34*($B315+$I$38-1),IF(AND($L$37=0,$P$34=0),"",$L$37-1)),MIN(CA$38,$E315),$P$20))-SUM($BF315:BZ315))</f>
        <v>0</v>
      </c>
      <c r="CB315" s="446">
        <f>IF($E315=0,0,IF(MIN(CB$38,$E315)&lt;MAX($P$34*($B315+$I$38-1),IF(AND($L$37=0,$P$34=0),"",$L$37-1)),0,YEARFRAC(MAX($P$34*($B315+$I$38-1),IF(AND($L$37=0,$P$34=0),"",$L$37-1)),MIN(CB$38,$E315),$P$20))-SUM($BF315:CA315))</f>
        <v>0</v>
      </c>
      <c r="CC315" s="446">
        <f>IF($E315=0,0,IF(MIN(CC$38,$E315)&lt;MAX($P$34*($B315+$I$38-1),IF(AND($L$37=0,$P$34=0),"",$L$37-1)),0,YEARFRAC(MAX($P$34*($B315+$I$38-1),IF(AND($L$37=0,$P$34=0),"",$L$37-1)),MIN(CC$38,$E315),$P$20))-SUM($BF315:CB315))</f>
        <v>0</v>
      </c>
      <c r="CD315" s="446">
        <f>IF($E315=0,0,IF(MIN(CD$38,$E315)&lt;MAX($P$34*($B315+$I$38-1),IF(AND($L$37=0,$P$34=0),"",$L$37-1)),0,YEARFRAC(MAX($P$34*($B315+$I$38-1),IF(AND($L$37=0,$P$34=0),"",$L$37-1)),MIN(CD$38,$E315),$P$20))-SUM($BF315:CC315))</f>
        <v>0</v>
      </c>
      <c r="CE315" s="446">
        <f>IF($E315=0,0,IF(MIN(CE$38,$E315)&lt;MAX($P$34*($B315+$I$38-1),IF(AND($L$37=0,$P$34=0),"",$L$37-1)),0,YEARFRAC(MAX($P$34*($B315+$I$38-1),IF(AND($L$37=0,$P$34=0),"",$L$37-1)),MIN(CE$38,$E315),$P$20))-SUM($BF315:CD315))</f>
        <v>0</v>
      </c>
      <c r="CF315" s="446">
        <f>IF($E315=0,0,IF(MIN(CF$38,$E315)&lt;MAX($P$34*($B315+$I$38-1),IF(AND($L$37=0,$P$34=0),"",$L$37-1)),0,YEARFRAC(MAX($P$34*($B315+$I$38-1),IF(AND($L$37=0,$P$34=0),"",$L$37-1)),MIN(CF$38,$E315),$P$20))-SUM($BF315:CE315))</f>
        <v>0</v>
      </c>
      <c r="CG315" s="446">
        <f>IF($E315=0,0,IF(MIN(CG$38,$E315)&lt;MAX($P$34*($B315+$I$38-1),IF(AND($L$37=0,$P$34=0),"",$L$37-1)),0,YEARFRAC(MAX($P$34*($B315+$I$38-1),IF(AND($L$37=0,$P$34=0),"",$L$37-1)),MIN(CG$38,$E315),$P$20))-SUM($BF315:CF315))</f>
        <v>0</v>
      </c>
      <c r="CH315" s="446">
        <f>IF($E315=0,0,IF(MIN(CH$38,$E315)&lt;MAX($P$34*($B315+$I$38-1),IF(AND($L$37=0,$P$34=0),"",$L$37-1)),0,YEARFRAC(MAX($P$34*($B315+$I$38-1),IF(AND($L$37=0,$P$34=0),"",$L$37-1)),MIN(CH$38,$E315),$P$20))-SUM($BF315:CG315))</f>
        <v>0</v>
      </c>
      <c r="CI315" s="446">
        <f>IF($E315=0,0,IF(MIN(CI$38,$E315)&lt;MAX($P$34*($B315+$I$38-1),IF(AND($L$37=0,$P$34=0),"",$L$37-1)),0,YEARFRAC(MAX($P$34*($B315+$I$38-1),IF(AND($L$37=0,$P$34=0),"",$L$37-1)),MIN(CI$38,$E315),$P$20))-SUM($BF315:CH315))</f>
        <v>0</v>
      </c>
      <c r="CJ315" s="446">
        <f>IF($E315=0,0,IF(MIN(CJ$38,$E315)&lt;MAX($P$34*($B315+$I$38-1),IF(AND($L$37=0,$P$34=0),"",$L$37-1)),0,YEARFRAC(MAX($P$34*($B315+$I$38-1),IF(AND($L$37=0,$P$34=0),"",$L$37-1)),MIN(CJ$38,$E315),$P$20))-SUM($BF315:CI315))</f>
        <v>0</v>
      </c>
      <c r="CK315" s="446">
        <f>IF($E315=0,0,IF(MIN(CK$38,$E315)&lt;MAX($P$34*($B315+$I$38-1),IF(AND($L$37=0,$P$34=0),"",$L$37-1)),0,YEARFRAC(MAX($P$34*($B315+$I$38-1),IF(AND($L$37=0,$P$34=0),"",$L$37-1)),MIN(CK$38,$E315),$P$20))-SUM($BF315:CJ315))</f>
        <v>0</v>
      </c>
      <c r="CL315" s="446">
        <f>IF($E315=0,0,IF(MIN(CL$38,$E315)&lt;MAX($P$34*($B315+$I$38-1),IF(AND($L$37=0,$P$34=0),"",$L$37-1)),0,YEARFRAC(MAX($P$34*($B315+$I$38-1),IF(AND($L$37=0,$P$34=0),"",$L$37-1)),MIN(CL$38,$E315),$P$20))-SUM($BF315:CK315))</f>
        <v>0</v>
      </c>
      <c r="CM315" s="446">
        <f>IF($E315=0,0,IF(MIN(CM$38,$E315)&lt;MAX($P$34*($B315+$I$38-1),IF(AND($L$37=0,$P$34=0),"",$L$37-1)),0,YEARFRAC(MAX($P$34*($B315+$I$38-1),IF(AND($L$37=0,$P$34=0),"",$L$37-1)),MIN(CM$38,$E315),$P$20))-SUM($BF315:CL315))</f>
        <v>0</v>
      </c>
      <c r="CN315" s="446">
        <f>IF($E315=0,0,IF(MIN(CN$38,$E315)&lt;MAX($P$34*($B315+$I$38-1),IF(AND($L$37=0,$P$34=0),"",$L$37-1)),0,YEARFRAC(MAX($P$34*($B315+$I$38-1),IF(AND($L$37=0,$P$34=0),"",$L$37-1)),MIN(CN$38,$E315),$P$20))-SUM($BF315:CM315))</f>
        <v>0</v>
      </c>
      <c r="CO315" s="446">
        <f>IF($E315=0,0,IF(MIN(CO$38,$E315)&lt;MAX($P$34*($B315+$I$38-1),IF(AND($L$37=0,$P$34=0),"",$L$37-1)),0,YEARFRAC(MAX($P$34*($B315+$I$38-1),IF(AND($L$37=0,$P$34=0),"",$L$37-1)),MIN(CO$38,$E315),$P$20))-SUM($BF315:CN315))</f>
        <v>0</v>
      </c>
      <c r="CP315" s="446">
        <f>IF($E315=0,0,IF(MIN(CP$38,$E315)&lt;MAX($P$34*($B315+$I$38-1),IF(AND($L$37=0,$P$34=0),"",$L$37-1)),0,YEARFRAC(MAX($P$34*($B315+$I$38-1),IF(AND($L$37=0,$P$34=0),"",$L$37-1)),MIN(CP$38,$E315),$P$20))-SUM($BF315:CO315))</f>
        <v>0</v>
      </c>
      <c r="CQ315" s="446">
        <f>IF($E315=0,0,IF(MIN(CQ$38,$E315)&lt;MAX($P$34*($B315+$I$38-1),IF(AND($L$37=0,$P$34=0),"",$L$37-1)),0,YEARFRAC(MAX($P$34*($B315+$I$38-1),IF(AND($L$37=0,$P$34=0),"",$L$37-1)),MIN(CQ$38,$E315),$P$20))-SUM($BF315:CP315))</f>
        <v>0</v>
      </c>
    </row>
    <row r="316" spans="1:95" s="446" customFormat="1" ht="11.25" hidden="1" customHeight="1" x14ac:dyDescent="0.2">
      <c r="A316" s="152"/>
      <c r="B316" s="153" t="str">
        <f t="shared" si="59"/>
        <v/>
      </c>
      <c r="C316" s="29" t="str">
        <f>IF(B316="","",IF($L$35="SELIC - TRIBUTOS",VLOOKUP(DATE(YEAR($D$19),MONTH($D$19)-1,1),ÍNDICES!$A:$DE,HLOOKUP($BL$25,ÍNDICES!$B$3:$T$4,2)+11)-VLOOKUP(B316,ÍNDICES!$A:$DE,HLOOKUP($BL$25,ÍNDICES!$B$3:$T$4,2)+11)+1%,IF(C$38=$W$26,$J$35,IF(ISERROR(IF(B316&gt;$D$19,1,VLOOKUP(DATE(YEAR(B316),MONTH(B316)+IF($C$35=$S$23,1,0),1),ÍNDICES!$A:$DE,$Z$35+1))),"",IF(B316&gt;$D$19,1,VLOOKUP(DATE(YEAR(B316),MONTH(B316)+IF($C$35=$S$23,1,0),1),ÍNDICES!$A:$DE,$Z$35+1))))))</f>
        <v/>
      </c>
      <c r="D316" s="154" t="str">
        <f>IF(ISERROR(IF(OR($D$38=$Y$27,$B316=""),"",VLOOKUP(B316,ÍNDICES!A:DE,AF$35+1))),"",IF(OR($D$38=$Y$27,$B316=""),"",VLOOKUP(B316,ÍNDICES!A:DE,AF$35+1)))</f>
        <v/>
      </c>
      <c r="E316" s="153"/>
      <c r="F316" s="29" t="str">
        <f>IF(E316="","",IF($L$35="SELIC - TRIBUTOS",VLOOKUP(DATE(YEAR($D$19),MONTH($D$19)-1,1),ÍNDICES!$A:$DE,HLOOKUP($BL$25,ÍNDICES!$B$3:$T$4,2)+11)-VLOOKUP(E316,ÍNDICES!$A:$DE,HLOOKUP($BL$25,ÍNDICES!$B$3:$T$4,2)+11)+1%,IF(F$38=$W$26,$J$35,IF(ISERROR(IF(E316&gt;$D$19,1,VLOOKUP(DATE(YEAR(E316),MONTH(E316)+IF($C$35=$S$23,1,0),1),ÍNDICES!$A:$DE,$Z$35+1))),"",IF(E316&gt;$D$19,1,VLOOKUP(DATE(YEAR(E316),MONTH(E316)+IF($C$35=$S$23,1,0),1),ÍNDICES!$A:$DE,$Z$35+1))))))</f>
        <v/>
      </c>
      <c r="G316" s="155"/>
      <c r="H316" s="156" t="str">
        <f t="shared" si="55"/>
        <v/>
      </c>
      <c r="I316" s="29" t="str">
        <f t="shared" si="49"/>
        <v/>
      </c>
      <c r="J316" s="5">
        <f t="shared" si="50"/>
        <v>0</v>
      </c>
      <c r="K316" s="20">
        <f t="shared" ca="1" si="51"/>
        <v>0</v>
      </c>
      <c r="L316" s="5">
        <f t="shared" ca="1" si="52"/>
        <v>0</v>
      </c>
      <c r="M316" s="64">
        <f t="shared" si="56"/>
        <v>0</v>
      </c>
      <c r="N316" s="61">
        <f t="shared" ca="1" si="57"/>
        <v>0</v>
      </c>
      <c r="O316" s="5">
        <f t="shared" ca="1" si="58"/>
        <v>0</v>
      </c>
      <c r="P316" s="446" t="e">
        <f t="shared" si="53"/>
        <v>#VALUE!</v>
      </c>
      <c r="Q316" s="446" t="e">
        <f>IF(OR($B316="",MIN(Q$38,$D$19)&lt;MAX($P$34*($B316+IF($R$17="Distrato",$I$38-1,0)),IF(AND($L$37=0,$P$34=0),"",$L$37-1),IF($R$17="Distrato",$E316,0))),0,YEARFRAC(MAX($P$34*($B316+IF($R$17="Distrato",$I$38-1,0)),IF(AND($L$37=0,$P$34=0),"",$L$37-1),IF($R$17="Distrato",$E316,0)),MIN(Q$38,$D$19),$P$20))-SUM($P316:P316)</f>
        <v>#VALUE!</v>
      </c>
      <c r="R316" s="446" t="e">
        <f>IF(OR($B316="",MIN(R$38,$D$19)&lt;MAX($P$34*($B316+IF($R$17="Distrato",$I$38-1,0)),IF(AND($L$37=0,$P$34=0),"",$L$37-1),IF($R$17="Distrato",$E316,0))),0,YEARFRAC(MAX($P$34*($B316+IF($R$17="Distrato",$I$38-1,0)),IF(AND($L$37=0,$P$34=0),"",$L$37-1),IF($R$17="Distrato",$E316,0)),MIN(R$38,$D$19),$P$20))-SUM($P316:Q316)</f>
        <v>#VALUE!</v>
      </c>
      <c r="S316" s="446" t="e">
        <f>IF(OR($B316="",MIN(S$38,$D$19)&lt;MAX($P$34*($B316+IF($R$17="Distrato",$I$38-1,0)),IF(AND($L$37=0,$P$34=0),"",$L$37-1),IF($R$17="Distrato",$E316,0))),0,YEARFRAC(MAX($P$34*($B316+IF($R$17="Distrato",$I$38-1,0)),IF(AND($L$37=0,$P$34=0),"",$L$37-1),IF($R$17="Distrato",$E316,0)),MIN(S$38,$D$19),$P$20))-SUM($P316:R316)</f>
        <v>#VALUE!</v>
      </c>
      <c r="T316" s="446" t="e">
        <f>IF(OR($B316="",MIN(T$38,$D$19)&lt;MAX($P$34*($B316+IF($R$17="Distrato",$I$38-1,0)),IF(AND($L$37=0,$P$34=0),"",$L$37-1),IF($R$17="Distrato",$E316,0))),0,YEARFRAC(MAX($P$34*($B316+IF($R$17="Distrato",$I$38-1,0)),IF(AND($L$37=0,$P$34=0),"",$L$37-1),IF($R$17="Distrato",$E316,0)),MIN(T$38,$D$19),$P$20))-SUM($P316:S316)</f>
        <v>#VALUE!</v>
      </c>
      <c r="U316" s="446" t="e">
        <f>IF(OR($B316="",MIN(U$38,$D$19)&lt;MAX($P$34*($B316+IF($R$17="Distrato",$I$38-1,0)),IF(AND($L$37=0,$P$34=0),"",$L$37-1),IF($R$17="Distrato",$E316,0))),0,YEARFRAC(MAX($P$34*($B316+IF($R$17="Distrato",$I$38-1,0)),IF(AND($L$37=0,$P$34=0),"",$L$37-1),IF($R$17="Distrato",$E316,0)),MIN(U$38,$D$19),$P$20))-SUM($P316:T316)</f>
        <v>#VALUE!</v>
      </c>
      <c r="V316" s="446" t="e">
        <f>IF(OR($B316="",MIN(V$38,$D$19)&lt;MAX($P$34*($B316+IF($R$17="Distrato",$I$38-1,0)),IF(AND($L$37=0,$P$34=0),"",$L$37-1),IF($R$17="Distrato",$E316,0))),0,YEARFRAC(MAX($P$34*($B316+IF($R$17="Distrato",$I$38-1,0)),IF(AND($L$37=0,$P$34=0),"",$L$37-1),IF($R$17="Distrato",$E316,0)),MIN(V$38,$D$19),$P$20))-SUM($P316:U316)</f>
        <v>#VALUE!</v>
      </c>
      <c r="W316" s="446" t="e">
        <f>IF(OR($B316="",MIN(W$38,$D$19)&lt;MAX($P$34*($B316+IF($R$17="Distrato",$I$38-1,0)),IF(AND($L$37=0,$P$34=0),"",$L$37-1),IF($R$17="Distrato",$E316,0))),0,YEARFRAC(MAX($P$34*($B316+IF($R$17="Distrato",$I$38-1,0)),IF(AND($L$37=0,$P$34=0),"",$L$37-1),IF($R$17="Distrato",$E316,0)),MIN(W$38,$D$19),$P$20))-SUM($P316:V316)</f>
        <v>#VALUE!</v>
      </c>
      <c r="X316" s="446" t="e">
        <f>IF(OR($B316="",MIN(X$38,$D$19)&lt;MAX($P$34*($B316+IF($R$17="Distrato",$I$38-1,0)),IF(AND($L$37=0,$P$34=0),"",$L$37-1),IF($R$17="Distrato",$E316,0))),0,YEARFRAC(MAX($P$34*($B316+IF($R$17="Distrato",$I$38-1,0)),IF(AND($L$37=0,$P$34=0),"",$L$37-1),IF($R$17="Distrato",$E316,0)),MIN(X$38,$D$19),$P$20))-SUM($P316:W316)</f>
        <v>#VALUE!</v>
      </c>
      <c r="Y316" s="446" t="e">
        <f>IF(OR($B316="",MIN(Y$38,$D$19)&lt;MAX($P$34*($B316+IF($R$17="Distrato",$I$38-1,0)),IF(AND($L$37=0,$P$34=0),"",$L$37-1),IF($R$17="Distrato",$E316,0))),0,YEARFRAC(MAX($P$34*($B316+IF($R$17="Distrato",$I$38-1,0)),IF(AND($L$37=0,$P$34=0),"",$L$37-1),IF($R$17="Distrato",$E316,0)),MIN(Y$38,$D$19),$P$20))-SUM($P316:X316)</f>
        <v>#VALUE!</v>
      </c>
      <c r="Z316" s="446" t="e">
        <f>IF(OR($B316="",MIN(Z$38,$D$19)&lt;MAX($P$34*($B316+IF($R$17="Distrato",$I$38-1,0)),IF(AND($L$37=0,$P$34=0),"",$L$37-1),IF($R$17="Distrato",$E316,0))),0,YEARFRAC(MAX($P$34*($B316+IF($R$17="Distrato",$I$38-1,0)),IF(AND($L$37=0,$P$34=0),"",$L$37-1),IF($R$17="Distrato",$E316,0)),MIN(Z$38,$D$19),$P$20))-SUM($P316:Y316)</f>
        <v>#VALUE!</v>
      </c>
      <c r="AA316" s="446" t="e">
        <f>IF(OR($B316="",MIN(AA$38,$D$19)&lt;MAX($P$34*($B316+IF($R$17="Distrato",$I$38-1,0)),IF(AND($L$37=0,$P$34=0),"",$L$37-1),IF($R$17="Distrato",$E316,0))),0,YEARFRAC(MAX($P$34*($B316+IF($R$17="Distrato",$I$38-1,0)),IF(AND($L$37=0,$P$34=0),"",$L$37-1),IF($R$17="Distrato",$E316,0)),MIN(AA$38,$D$19),$P$20))-SUM($P316:Z316)</f>
        <v>#VALUE!</v>
      </c>
      <c r="AB316" s="446" t="e">
        <f>IF(OR($B316="",MIN(AB$38,$D$19)&lt;MAX($P$34*($B316+IF($R$17="Distrato",$I$38-1,0)),IF(AND($L$37=0,$P$34=0),"",$L$37-1),IF($R$17="Distrato",$E316,0))),0,YEARFRAC(MAX($P$34*($B316+IF($R$17="Distrato",$I$38-1,0)),IF(AND($L$37=0,$P$34=0),"",$L$37-1),IF($R$17="Distrato",$E316,0)),MIN(AB$38,$D$19),$P$20))-SUM($P316:AA316)</f>
        <v>#VALUE!</v>
      </c>
      <c r="AC316" s="446" t="e">
        <f>IF(OR($B316="",MIN(AC$38,$D$19)&lt;MAX($P$34*($B316+IF($R$17="Distrato",$I$38-1,0)),IF(AND($L$37=0,$P$34=0),"",$L$37-1),IF($R$17="Distrato",$E316,0))),0,YEARFRAC(MAX($P$34*($B316+IF($R$17="Distrato",$I$38-1,0)),IF(AND($L$37=0,$P$34=0),"",$L$37-1),IF($R$17="Distrato",$E316,0)),MIN(AC$38,$D$19),$P$20))-SUM($P316:AB316)</f>
        <v>#VALUE!</v>
      </c>
      <c r="AD316" s="446" t="e">
        <f>IF(OR($B316="",MIN(AD$38,$D$19)&lt;MAX($P$34*($B316+IF($R$17="Distrato",$I$38-1,0)),IF(AND($L$37=0,$P$34=0),"",$L$37-1),IF($R$17="Distrato",$E316,0))),0,YEARFRAC(MAX($P$34*($B316+IF($R$17="Distrato",$I$38-1,0)),IF(AND($L$37=0,$P$34=0),"",$L$37-1),IF($R$17="Distrato",$E316,0)),MIN(AD$38,$D$19),$P$20))-SUM($P316:AC316)</f>
        <v>#VALUE!</v>
      </c>
      <c r="AE316" s="446" t="e">
        <f>IF(OR($B316="",MIN(AE$38,$D$19)&lt;MAX($P$34*($B316+IF($R$17="Distrato",$I$38-1,0)),IF(AND($L$37=0,$P$34=0),"",$L$37-1),IF($R$17="Distrato",$E316,0))),0,YEARFRAC(MAX($P$34*($B316+IF($R$17="Distrato",$I$38-1,0)),IF(AND($L$37=0,$P$34=0),"",$L$37-1),IF($R$17="Distrato",$E316,0)),MIN(AE$38,$D$19),$P$20))-SUM($P316:AD316)</f>
        <v>#VALUE!</v>
      </c>
      <c r="AF316" s="446" t="e">
        <f>IF(OR($B316="",MIN(AF$38,$D$19)&lt;MAX($P$34*($B316+IF($R$17="Distrato",$I$38-1,0)),IF(AND($L$37=0,$P$34=0),"",$L$37-1),IF($R$17="Distrato",$E316,0))),0,YEARFRAC(MAX($P$34*($B316+IF($R$17="Distrato",$I$38-1,0)),IF(AND($L$37=0,$P$34=0),"",$L$37-1),IF($R$17="Distrato",$E316,0)),MIN(AF$38,$D$19),$P$20))-SUM($P316:AE316)</f>
        <v>#VALUE!</v>
      </c>
      <c r="AG316" s="446" t="e">
        <f>IF(OR($B316="",MIN(AG$38,$D$19)&lt;MAX($P$34*($B316+IF($R$17="Distrato",$I$38-1,0)),IF(AND($L$37=0,$P$34=0),"",$L$37-1),IF($R$17="Distrato",$E316,0))),0,YEARFRAC(MAX($P$34*($B316+IF($R$17="Distrato",$I$38-1,0)),IF(AND($L$37=0,$P$34=0),"",$L$37-1),IF($R$17="Distrato",$E316,0)),MIN(AG$38,$D$19),$P$20))-SUM($P316:AF316)</f>
        <v>#VALUE!</v>
      </c>
      <c r="AH316" s="446" t="e">
        <f>IF(OR($B316="",MIN(AH$38,$D$19)&lt;MAX($P$34*($B316+IF($R$17="Distrato",$I$38-1,0)),IF(AND($L$37=0,$P$34=0),"",$L$37-1),IF($R$17="Distrato",$E316,0))),0,YEARFRAC(MAX($P$34*($B316+IF($R$17="Distrato",$I$38-1,0)),IF(AND($L$37=0,$P$34=0),"",$L$37-1),IF($R$17="Distrato",$E316,0)),MIN(AH$38,$D$19),$P$20))-SUM($P316:AG316)</f>
        <v>#VALUE!</v>
      </c>
      <c r="AI316" s="446" t="e">
        <f>IF(OR($B316="",MIN(AI$38,$D$19)&lt;MAX($P$34*($B316+IF($R$17="Distrato",$I$38-1,0)),IF(AND($L$37=0,$P$34=0),"",$L$37-1),IF($R$17="Distrato",$E316,0))),0,YEARFRAC(MAX($P$34*($B316+IF($R$17="Distrato",$I$38-1,0)),IF(AND($L$37=0,$P$34=0),"",$L$37-1),IF($R$17="Distrato",$E316,0)),MIN(AI$38,$D$19),$P$20))-SUM($P316:AH316)</f>
        <v>#VALUE!</v>
      </c>
      <c r="AJ316" s="446" t="e">
        <f>IF(OR($B316="",MIN(AJ$38,$D$19)&lt;MAX($P$34*($B316+IF($R$17="Distrato",$I$38-1,0)),IF(AND($L$37=0,$P$34=0),"",$L$37-1),IF($R$17="Distrato",$E316,0))),0,YEARFRAC(MAX($P$34*($B316+IF($R$17="Distrato",$I$38-1,0)),IF(AND($L$37=0,$P$34=0),"",$L$37-1),IF($R$17="Distrato",$E316,0)),MIN(AJ$38,$D$19),$P$20))-SUM($P316:AI316)</f>
        <v>#VALUE!</v>
      </c>
      <c r="AK316" s="446" t="e">
        <f>IF(OR($B316="",MIN(AK$38,$D$19)&lt;MAX($P$34*($B316+IF($R$17="Distrato",$I$38-1,0)),IF(AND($L$37=0,$P$34=0),"",$L$37-1),IF($R$17="Distrato",$E316,0))),0,YEARFRAC(MAX($P$34*($B316+IF($R$17="Distrato",$I$38-1,0)),IF(AND($L$37=0,$P$34=0),"",$L$37-1),IF($R$17="Distrato",$E316,0)),MIN(AK$38,$D$19),$P$20))-SUM($P316:AJ316)</f>
        <v>#VALUE!</v>
      </c>
      <c r="AL316" s="446" t="e">
        <f>IF(OR($B316="",MIN(AL$38,$D$19)&lt;MAX($P$34*($B316+IF($R$17="Distrato",$I$38-1,0)),IF(AND($L$37=0,$P$34=0),"",$L$37-1),IF($R$17="Distrato",$E316,0))),0,YEARFRAC(MAX($P$34*($B316+IF($R$17="Distrato",$I$38-1,0)),IF(AND($L$37=0,$P$34=0),"",$L$37-1),IF($R$17="Distrato",$E316,0)),MIN(AL$38,$D$19),$P$20))-SUM($P316:AK316)</f>
        <v>#VALUE!</v>
      </c>
      <c r="AM316" s="446" t="e">
        <f>IF(OR($B316="",MIN(AM$38,$D$19)&lt;MAX($P$34*($B316+IF($R$17="Distrato",$I$38-1,0)),IF(AND($L$37=0,$P$34=0),"",$L$37-1),IF($R$17="Distrato",$E316,0))),0,YEARFRAC(MAX($P$34*($B316+IF($R$17="Distrato",$I$38-1,0)),IF(AND($L$37=0,$P$34=0),"",$L$37-1),IF($R$17="Distrato",$E316,0)),MIN(AM$38,$D$19),$P$20))-SUM($P316:AL316)</f>
        <v>#VALUE!</v>
      </c>
      <c r="AN316" s="446" t="e">
        <f>IF(OR($B316="",MIN(AN$38,$D$19)&lt;MAX($P$34*($B316+IF($R$17="Distrato",$I$38-1,0)),IF(AND($L$37=0,$P$34=0),"",$L$37-1),IF($R$17="Distrato",$E316,0))),0,YEARFRAC(MAX($P$34*($B316+IF($R$17="Distrato",$I$38-1,0)),IF(AND($L$37=0,$P$34=0),"",$L$37-1),IF($R$17="Distrato",$E316,0)),MIN(AN$38,$D$19),$P$20))-SUM($P316:AM316)</f>
        <v>#VALUE!</v>
      </c>
      <c r="AO316" s="446" t="e">
        <f>IF(OR($B316="",MIN(AO$38,$D$19)&lt;MAX($P$34*($B316+IF($R$17="Distrato",$I$38-1,0)),IF(AND($L$37=0,$P$34=0),"",$L$37-1),IF($R$17="Distrato",$E316,0))),0,YEARFRAC(MAX($P$34*($B316+IF($R$17="Distrato",$I$38-1,0)),IF(AND($L$37=0,$P$34=0),"",$L$37-1),IF($R$17="Distrato",$E316,0)),MIN(AO$38,$D$19),$P$20))-SUM($P316:AN316)</f>
        <v>#VALUE!</v>
      </c>
      <c r="AP316" s="446" t="e">
        <f>IF(OR($B316="",MIN(AP$38,$D$19)&lt;MAX($P$34*($B316+IF($R$17="Distrato",$I$38-1,0)),IF(AND($L$37=0,$P$34=0),"",$L$37-1),IF($R$17="Distrato",$E316,0))),0,YEARFRAC(MAX($P$34*($B316+IF($R$17="Distrato",$I$38-1,0)),IF(AND($L$37=0,$P$34=0),"",$L$37-1),IF($R$17="Distrato",$E316,0)),MIN(AP$38,$D$19),$P$20))-SUM($P316:AO316)</f>
        <v>#VALUE!</v>
      </c>
      <c r="AQ316" s="446" t="e">
        <f>IF(OR($B316="",MIN(AQ$38,$D$19)&lt;MAX($P$34*($B316+IF($R$17="Distrato",$I$38-1,0)),IF(AND($L$37=0,$P$34=0),"",$L$37-1),IF($R$17="Distrato",$E316,0))),0,YEARFRAC(MAX($P$34*($B316+IF($R$17="Distrato",$I$38-1,0)),IF(AND($L$37=0,$P$34=0),"",$L$37-1),IF($R$17="Distrato",$E316,0)),MIN(AQ$38,$D$19),$P$20))-SUM($P316:AP316)</f>
        <v>#VALUE!</v>
      </c>
      <c r="AR316" s="446" t="e">
        <f>IF(OR($B316="",MIN(AR$38,$D$19)&lt;MAX($P$34*($B316+IF($R$17="Distrato",$I$38-1,0)),IF(AND($L$37=0,$P$34=0),"",$L$37-1),IF($R$17="Distrato",$E316,0))),0,YEARFRAC(MAX($P$34*($B316+IF($R$17="Distrato",$I$38-1,0)),IF(AND($L$37=0,$P$34=0),"",$L$37-1),IF($R$17="Distrato",$E316,0)),MIN(AR$38,$D$19),$P$20))-SUM($P316:AQ316)</f>
        <v>#VALUE!</v>
      </c>
      <c r="AS316" s="446" t="e">
        <f>IF(OR($B316="",MIN(AS$38,$D$19)&lt;MAX($P$34*($B316+IF($R$17="Distrato",$I$38-1,0)),IF(AND($L$37=0,$P$34=0),"",$L$37-1),IF($R$17="Distrato",$E316,0))),0,YEARFRAC(MAX($P$34*($B316+IF($R$17="Distrato",$I$38-1,0)),IF(AND($L$37=0,$P$34=0),"",$L$37-1),IF($R$17="Distrato",$E316,0)),MIN(AS$38,$D$19),$P$20))-SUM($P316:AR316)</f>
        <v>#VALUE!</v>
      </c>
      <c r="AT316" s="446" t="e">
        <f>IF(OR($B316="",MIN(AT$38,$D$19)&lt;MAX($P$34*($B316+IF($R$17="Distrato",$I$38-1,0)),IF(AND($L$37=0,$P$34=0),"",$L$37-1),IF($R$17="Distrato",$E316,0))),0,YEARFRAC(MAX($P$34*($B316+IF($R$17="Distrato",$I$38-1,0)),IF(AND($L$37=0,$P$34=0),"",$L$37-1),IF($R$17="Distrato",$E316,0)),MIN(AT$38,$D$19),$P$20))-SUM($P316:AS316)</f>
        <v>#VALUE!</v>
      </c>
      <c r="AU316" s="446" t="e">
        <f>IF(OR($B316="",MIN(AU$38,$D$19)&lt;MAX($P$34*($B316+IF($R$17="Distrato",$I$38-1,0)),IF(AND($L$37=0,$P$34=0),"",$L$37-1),IF($R$17="Distrato",$E316,0))),0,YEARFRAC(MAX($P$34*($B316+IF($R$17="Distrato",$I$38-1,0)),IF(AND($L$37=0,$P$34=0),"",$L$37-1),IF($R$17="Distrato",$E316,0)),MIN(AU$38,$D$19),$P$20))-SUM($P316:AT316)</f>
        <v>#VALUE!</v>
      </c>
      <c r="AV316" s="446" t="e">
        <f>IF(OR($B316="",MIN(AV$38,$D$19)&lt;MAX($P$34*($B316+IF($R$17="Distrato",$I$38-1,0)),IF(AND($L$37=0,$P$34=0),"",$L$37-1),IF($R$17="Distrato",$E316,0))),0,YEARFRAC(MAX($P$34*($B316+IF($R$17="Distrato",$I$38-1,0)),IF(AND($L$37=0,$P$34=0),"",$L$37-1),IF($R$17="Distrato",$E316,0)),MIN(AV$38,$D$19),$P$20))-SUM($P316:AU316)</f>
        <v>#VALUE!</v>
      </c>
      <c r="AW316" s="446" t="e">
        <f>IF(OR($B316="",MIN(AW$38,$D$19)&lt;MAX($P$34*($B316+IF($R$17="Distrato",$I$38-1,0)),IF(AND($L$37=0,$P$34=0),"",$L$37-1),IF($R$17="Distrato",$E316,0))),0,YEARFRAC(MAX($P$34*($B316+IF($R$17="Distrato",$I$38-1,0)),IF(AND($L$37=0,$P$34=0),"",$L$37-1),IF($R$17="Distrato",$E316,0)),MIN(AW$38,$D$19),$P$20))-SUM($P316:AV316)</f>
        <v>#VALUE!</v>
      </c>
      <c r="AX316" s="446" t="e">
        <f>IF(OR($B316="",MIN(AX$38,$D$19)&lt;MAX($P$34*($B316+IF($R$17="Distrato",$I$38-1,0)),IF(AND($L$37=0,$P$34=0),"",$L$37-1),IF($R$17="Distrato",$E316,0))),0,YEARFRAC(MAX($P$34*($B316+IF($R$17="Distrato",$I$38-1,0)),IF(AND($L$37=0,$P$34=0),"",$L$37-1),IF($R$17="Distrato",$E316,0)),MIN(AX$38,$D$19),$P$20))-SUM($P316:AW316)</f>
        <v>#VALUE!</v>
      </c>
      <c r="AY316" s="446" t="e">
        <f>IF(OR($B316="",MIN(AY$38,$D$19)&lt;MAX($P$34*($B316+IF($R$17="Distrato",$I$38-1,0)),IF(AND($L$37=0,$P$34=0),"",$L$37-1),IF($R$17="Distrato",$E316,0))),0,YEARFRAC(MAX($P$34*($B316+IF($R$17="Distrato",$I$38-1,0)),IF(AND($L$37=0,$P$34=0),"",$L$37-1),IF($R$17="Distrato",$E316,0)),MIN(AY$38,$D$19),$P$20))-SUM($P316:AX316)</f>
        <v>#VALUE!</v>
      </c>
      <c r="AZ316" s="446" t="e">
        <f>IF(OR($B316="",MIN(AZ$38,$D$19)&lt;MAX($P$34*($B316+IF($R$17="Distrato",$I$38-1,0)),IF(AND($L$37=0,$P$34=0),"",$L$37-1),IF($R$17="Distrato",$E316,0))),0,YEARFRAC(MAX($P$34*($B316+IF($R$17="Distrato",$I$38-1,0)),IF(AND($L$37=0,$P$34=0),"",$L$37-1),IF($R$17="Distrato",$E316,0)),MIN(AZ$38,$D$19),$P$20))-SUM($P316:AY316)</f>
        <v>#VALUE!</v>
      </c>
      <c r="BA316" s="446" t="e">
        <f>IF(OR($B316="",MIN(BA$38,$D$19)&lt;MAX($P$34*($B316+IF($R$17="Distrato",$I$38-1,0)),IF(AND($L$37=0,$P$34=0),"",$L$37-1),IF($R$17="Distrato",$E316,0))),0,YEARFRAC(MAX($P$34*($B316+IF($R$17="Distrato",$I$38-1,0)),IF(AND($L$37=0,$P$34=0),"",$L$37-1),IF($R$17="Distrato",$E316,0)),MIN(BA$38,$D$19),$P$20))-SUM($P316:AZ316)</f>
        <v>#VALUE!</v>
      </c>
      <c r="BB316" s="447"/>
      <c r="BF316" s="446">
        <f t="shared" si="54"/>
        <v>0</v>
      </c>
      <c r="BG316" s="446">
        <f>IF($E316=0,0,IF(MIN(BG$38,$E316)&lt;MAX($P$34*($B316+$I$38-1),IF(AND($L$37=0,$P$34=0),"",$L$37-1)),0,YEARFRAC(MAX($P$34*($B316+$I$38-1),IF(AND($L$37=0,$P$34=0),"",$L$37-1)),MIN(BG$38,$E316),$P$20))-SUM($BF316:BF316))</f>
        <v>0</v>
      </c>
      <c r="BH316" s="446">
        <f>IF($E316=0,0,IF(MIN(BH$38,$E316)&lt;MAX($P$34*($B316+$I$38-1),IF(AND($L$37=0,$P$34=0),"",$L$37-1)),0,YEARFRAC(MAX($P$34*($B316+$I$38-1),IF(AND($L$37=0,$P$34=0),"",$L$37-1)),MIN(BH$38,$E316),$P$20))-SUM($BF316:BG316))</f>
        <v>0</v>
      </c>
      <c r="BI316" s="446">
        <f>IF($E316=0,0,IF(MIN(BI$38,$E316)&lt;MAX($P$34*($B316+$I$38-1),IF(AND($L$37=0,$P$34=0),"",$L$37-1)),0,YEARFRAC(MAX($P$34*($B316+$I$38-1),IF(AND($L$37=0,$P$34=0),"",$L$37-1)),MIN(BI$38,$E316),$P$20))-SUM($BF316:BH316))</f>
        <v>0</v>
      </c>
      <c r="BJ316" s="446">
        <f>IF($E316=0,0,IF(MIN(BJ$38,$E316)&lt;MAX($P$34*($B316+$I$38-1),IF(AND($L$37=0,$P$34=0),"",$L$37-1)),0,YEARFRAC(MAX($P$34*($B316+$I$38-1),IF(AND($L$37=0,$P$34=0),"",$L$37-1)),MIN(BJ$38,$E316),$P$20))-SUM($BF316:BI316))</f>
        <v>0</v>
      </c>
      <c r="BK316" s="446">
        <f>IF($E316=0,0,IF(MIN(BK$38,$E316)&lt;MAX($P$34*($B316+$I$38-1),IF(AND($L$37=0,$P$34=0),"",$L$37-1)),0,YEARFRAC(MAX($P$34*($B316+$I$38-1),IF(AND($L$37=0,$P$34=0),"",$L$37-1)),MIN(BK$38,$E316),$P$20))-SUM($BF316:BJ316))</f>
        <v>0</v>
      </c>
      <c r="BL316" s="446">
        <f>IF($E316=0,0,IF(MIN(BL$38,$E316)&lt;MAX($P$34*($B316+$I$38-1),IF(AND($L$37=0,$P$34=0),"",$L$37-1)),0,YEARFRAC(MAX($P$34*($B316+$I$38-1),IF(AND($L$37=0,$P$34=0),"",$L$37-1)),MIN(BL$38,$E316),$P$20))-SUM($BF316:BK316))</f>
        <v>0</v>
      </c>
      <c r="BM316" s="446">
        <f>IF($E316=0,0,IF(MIN(BM$38,$E316)&lt;MAX($P$34*($B316+$I$38-1),IF(AND($L$37=0,$P$34=0),"",$L$37-1)),0,YEARFRAC(MAX($P$34*($B316+$I$38-1),IF(AND($L$37=0,$P$34=0),"",$L$37-1)),MIN(BM$38,$E316),$P$20))-SUM($BF316:BL316))</f>
        <v>0</v>
      </c>
      <c r="BN316" s="446">
        <f>IF($E316=0,0,IF(MIN(BN$38,$E316)&lt;MAX($P$34*($B316+$I$38-1),IF(AND($L$37=0,$P$34=0),"",$L$37-1)),0,YEARFRAC(MAX($P$34*($B316+$I$38-1),IF(AND($L$37=0,$P$34=0),"",$L$37-1)),MIN(BN$38,$E316),$P$20))-SUM($BF316:BM316))</f>
        <v>0</v>
      </c>
      <c r="BO316" s="446">
        <f>IF($E316=0,0,IF(MIN(BO$38,$E316)&lt;MAX($P$34*($B316+$I$38-1),IF(AND($L$37=0,$P$34=0),"",$L$37-1)),0,YEARFRAC(MAX($P$34*($B316+$I$38-1),IF(AND($L$37=0,$P$34=0),"",$L$37-1)),MIN(BO$38,$E316),$P$20))-SUM($BF316:BN316))</f>
        <v>0</v>
      </c>
      <c r="BP316" s="446">
        <f>IF($E316=0,0,IF(MIN(BP$38,$E316)&lt;MAX($P$34*($B316+$I$38-1),IF(AND($L$37=0,$P$34=0),"",$L$37-1)),0,YEARFRAC(MAX($P$34*($B316+$I$38-1),IF(AND($L$37=0,$P$34=0),"",$L$37-1)),MIN(BP$38,$E316),$P$20))-SUM($BF316:BO316))</f>
        <v>0</v>
      </c>
      <c r="BQ316" s="446">
        <f>IF($E316=0,0,IF(MIN(BQ$38,$E316)&lt;MAX($P$34*($B316+$I$38-1),IF(AND($L$37=0,$P$34=0),"",$L$37-1)),0,YEARFRAC(MAX($P$34*($B316+$I$38-1),IF(AND($L$37=0,$P$34=0),"",$L$37-1)),MIN(BQ$38,$E316),$P$20))-SUM($BF316:BP316))</f>
        <v>0</v>
      </c>
      <c r="BR316" s="446">
        <f>IF($E316=0,0,IF(MIN(BR$38,$E316)&lt;MAX($P$34*($B316+$I$38-1),IF(AND($L$37=0,$P$34=0),"",$L$37-1)),0,YEARFRAC(MAX($P$34*($B316+$I$38-1),IF(AND($L$37=0,$P$34=0),"",$L$37-1)),MIN(BR$38,$E316),$P$20))-SUM($BF316:BQ316))</f>
        <v>0</v>
      </c>
      <c r="BS316" s="446">
        <f>IF($E316=0,0,IF(MIN(BS$38,$E316)&lt;MAX($P$34*($B316+$I$38-1),IF(AND($L$37=0,$P$34=0),"",$L$37-1)),0,YEARFRAC(MAX($P$34*($B316+$I$38-1),IF(AND($L$37=0,$P$34=0),"",$L$37-1)),MIN(BS$38,$E316),$P$20))-SUM($BF316:BR316))</f>
        <v>0</v>
      </c>
      <c r="BT316" s="446">
        <f>IF($E316=0,0,IF(MIN(BT$38,$E316)&lt;MAX($P$34*($B316+$I$38-1),IF(AND($L$37=0,$P$34=0),"",$L$37-1)),0,YEARFRAC(MAX($P$34*($B316+$I$38-1),IF(AND($L$37=0,$P$34=0),"",$L$37-1)),MIN(BT$38,$E316),$P$20))-SUM($BF316:BS316))</f>
        <v>0</v>
      </c>
      <c r="BU316" s="446">
        <f>IF($E316=0,0,IF(MIN(BU$38,$E316)&lt;MAX($P$34*($B316+$I$38-1),IF(AND($L$37=0,$P$34=0),"",$L$37-1)),0,YEARFRAC(MAX($P$34*($B316+$I$38-1),IF(AND($L$37=0,$P$34=0),"",$L$37-1)),MIN(BU$38,$E316),$P$20))-SUM($BF316:BT316))</f>
        <v>0</v>
      </c>
      <c r="BV316" s="446">
        <f>IF($E316=0,0,IF(MIN(BV$38,$E316)&lt;MAX($P$34*($B316+$I$38-1),IF(AND($L$37=0,$P$34=0),"",$L$37-1)),0,YEARFRAC(MAX($P$34*($B316+$I$38-1),IF(AND($L$37=0,$P$34=0),"",$L$37-1)),MIN(BV$38,$E316),$P$20))-SUM($BF316:BU316))</f>
        <v>0</v>
      </c>
      <c r="BW316" s="446">
        <f>IF($E316=0,0,IF(MIN(BW$38,$E316)&lt;MAX($P$34*($B316+$I$38-1),IF(AND($L$37=0,$P$34=0),"",$L$37-1)),0,YEARFRAC(MAX($P$34*($B316+$I$38-1),IF(AND($L$37=0,$P$34=0),"",$L$37-1)),MIN(BW$38,$E316),$P$20))-SUM($BF316:BV316))</f>
        <v>0</v>
      </c>
      <c r="BX316" s="446">
        <f>IF($E316=0,0,IF(MIN(BX$38,$E316)&lt;MAX($P$34*($B316+$I$38-1),IF(AND($L$37=0,$P$34=0),"",$L$37-1)),0,YEARFRAC(MAX($P$34*($B316+$I$38-1),IF(AND($L$37=0,$P$34=0),"",$L$37-1)),MIN(BX$38,$E316),$P$20))-SUM($BF316:BW316))</f>
        <v>0</v>
      </c>
      <c r="BY316" s="446">
        <f>IF($E316=0,0,IF(MIN(BY$38,$E316)&lt;MAX($P$34*($B316+$I$38-1),IF(AND($L$37=0,$P$34=0),"",$L$37-1)),0,YEARFRAC(MAX($P$34*($B316+$I$38-1),IF(AND($L$37=0,$P$34=0),"",$L$37-1)),MIN(BY$38,$E316),$P$20))-SUM($BF316:BX316))</f>
        <v>0</v>
      </c>
      <c r="BZ316" s="446">
        <f>IF($E316=0,0,IF(MIN(BZ$38,$E316)&lt;MAX($P$34*($B316+$I$38-1),IF(AND($L$37=0,$P$34=0),"",$L$37-1)),0,YEARFRAC(MAX($P$34*($B316+$I$38-1),IF(AND($L$37=0,$P$34=0),"",$L$37-1)),MIN(BZ$38,$E316),$P$20))-SUM($BF316:BY316))</f>
        <v>0</v>
      </c>
      <c r="CA316" s="446">
        <f>IF($E316=0,0,IF(MIN(CA$38,$E316)&lt;MAX($P$34*($B316+$I$38-1),IF(AND($L$37=0,$P$34=0),"",$L$37-1)),0,YEARFRAC(MAX($P$34*($B316+$I$38-1),IF(AND($L$37=0,$P$34=0),"",$L$37-1)),MIN(CA$38,$E316),$P$20))-SUM($BF316:BZ316))</f>
        <v>0</v>
      </c>
      <c r="CB316" s="446">
        <f>IF($E316=0,0,IF(MIN(CB$38,$E316)&lt;MAX($P$34*($B316+$I$38-1),IF(AND($L$37=0,$P$34=0),"",$L$37-1)),0,YEARFRAC(MAX($P$34*($B316+$I$38-1),IF(AND($L$37=0,$P$34=0),"",$L$37-1)),MIN(CB$38,$E316),$P$20))-SUM($BF316:CA316))</f>
        <v>0</v>
      </c>
      <c r="CC316" s="446">
        <f>IF($E316=0,0,IF(MIN(CC$38,$E316)&lt;MAX($P$34*($B316+$I$38-1),IF(AND($L$37=0,$P$34=0),"",$L$37-1)),0,YEARFRAC(MAX($P$34*($B316+$I$38-1),IF(AND($L$37=0,$P$34=0),"",$L$37-1)),MIN(CC$38,$E316),$P$20))-SUM($BF316:CB316))</f>
        <v>0</v>
      </c>
      <c r="CD316" s="446">
        <f>IF($E316=0,0,IF(MIN(CD$38,$E316)&lt;MAX($P$34*($B316+$I$38-1),IF(AND($L$37=0,$P$34=0),"",$L$37-1)),0,YEARFRAC(MAX($P$34*($B316+$I$38-1),IF(AND($L$37=0,$P$34=0),"",$L$37-1)),MIN(CD$38,$E316),$P$20))-SUM($BF316:CC316))</f>
        <v>0</v>
      </c>
      <c r="CE316" s="446">
        <f>IF($E316=0,0,IF(MIN(CE$38,$E316)&lt;MAX($P$34*($B316+$I$38-1),IF(AND($L$37=0,$P$34=0),"",$L$37-1)),0,YEARFRAC(MAX($P$34*($B316+$I$38-1),IF(AND($L$37=0,$P$34=0),"",$L$37-1)),MIN(CE$38,$E316),$P$20))-SUM($BF316:CD316))</f>
        <v>0</v>
      </c>
      <c r="CF316" s="446">
        <f>IF($E316=0,0,IF(MIN(CF$38,$E316)&lt;MAX($P$34*($B316+$I$38-1),IF(AND($L$37=0,$P$34=0),"",$L$37-1)),0,YEARFRAC(MAX($P$34*($B316+$I$38-1),IF(AND($L$37=0,$P$34=0),"",$L$37-1)),MIN(CF$38,$E316),$P$20))-SUM($BF316:CE316))</f>
        <v>0</v>
      </c>
      <c r="CG316" s="446">
        <f>IF($E316=0,0,IF(MIN(CG$38,$E316)&lt;MAX($P$34*($B316+$I$38-1),IF(AND($L$37=0,$P$34=0),"",$L$37-1)),0,YEARFRAC(MAX($P$34*($B316+$I$38-1),IF(AND($L$37=0,$P$34=0),"",$L$37-1)),MIN(CG$38,$E316),$P$20))-SUM($BF316:CF316))</f>
        <v>0</v>
      </c>
      <c r="CH316" s="446">
        <f>IF($E316=0,0,IF(MIN(CH$38,$E316)&lt;MAX($P$34*($B316+$I$38-1),IF(AND($L$37=0,$P$34=0),"",$L$37-1)),0,YEARFRAC(MAX($P$34*($B316+$I$38-1),IF(AND($L$37=0,$P$34=0),"",$L$37-1)),MIN(CH$38,$E316),$P$20))-SUM($BF316:CG316))</f>
        <v>0</v>
      </c>
      <c r="CI316" s="446">
        <f>IF($E316=0,0,IF(MIN(CI$38,$E316)&lt;MAX($P$34*($B316+$I$38-1),IF(AND($L$37=0,$P$34=0),"",$L$37-1)),0,YEARFRAC(MAX($P$34*($B316+$I$38-1),IF(AND($L$37=0,$P$34=0),"",$L$37-1)),MIN(CI$38,$E316),$P$20))-SUM($BF316:CH316))</f>
        <v>0</v>
      </c>
      <c r="CJ316" s="446">
        <f>IF($E316=0,0,IF(MIN(CJ$38,$E316)&lt;MAX($P$34*($B316+$I$38-1),IF(AND($L$37=0,$P$34=0),"",$L$37-1)),0,YEARFRAC(MAX($P$34*($B316+$I$38-1),IF(AND($L$37=0,$P$34=0),"",$L$37-1)),MIN(CJ$38,$E316),$P$20))-SUM($BF316:CI316))</f>
        <v>0</v>
      </c>
      <c r="CK316" s="446">
        <f>IF($E316=0,0,IF(MIN(CK$38,$E316)&lt;MAX($P$34*($B316+$I$38-1),IF(AND($L$37=0,$P$34=0),"",$L$37-1)),0,YEARFRAC(MAX($P$34*($B316+$I$38-1),IF(AND($L$37=0,$P$34=0),"",$L$37-1)),MIN(CK$38,$E316),$P$20))-SUM($BF316:CJ316))</f>
        <v>0</v>
      </c>
      <c r="CL316" s="446">
        <f>IF($E316=0,0,IF(MIN(CL$38,$E316)&lt;MAX($P$34*($B316+$I$38-1),IF(AND($L$37=0,$P$34=0),"",$L$37-1)),0,YEARFRAC(MAX($P$34*($B316+$I$38-1),IF(AND($L$37=0,$P$34=0),"",$L$37-1)),MIN(CL$38,$E316),$P$20))-SUM($BF316:CK316))</f>
        <v>0</v>
      </c>
      <c r="CM316" s="446">
        <f>IF($E316=0,0,IF(MIN(CM$38,$E316)&lt;MAX($P$34*($B316+$I$38-1),IF(AND($L$37=0,$P$34=0),"",$L$37-1)),0,YEARFRAC(MAX($P$34*($B316+$I$38-1),IF(AND($L$37=0,$P$34=0),"",$L$37-1)),MIN(CM$38,$E316),$P$20))-SUM($BF316:CL316))</f>
        <v>0</v>
      </c>
      <c r="CN316" s="446">
        <f>IF($E316=0,0,IF(MIN(CN$38,$E316)&lt;MAX($P$34*($B316+$I$38-1),IF(AND($L$37=0,$P$34=0),"",$L$37-1)),0,YEARFRAC(MAX($P$34*($B316+$I$38-1),IF(AND($L$37=0,$P$34=0),"",$L$37-1)),MIN(CN$38,$E316),$P$20))-SUM($BF316:CM316))</f>
        <v>0</v>
      </c>
      <c r="CO316" s="446">
        <f>IF($E316=0,0,IF(MIN(CO$38,$E316)&lt;MAX($P$34*($B316+$I$38-1),IF(AND($L$37=0,$P$34=0),"",$L$37-1)),0,YEARFRAC(MAX($P$34*($B316+$I$38-1),IF(AND($L$37=0,$P$34=0),"",$L$37-1)),MIN(CO$38,$E316),$P$20))-SUM($BF316:CN316))</f>
        <v>0</v>
      </c>
      <c r="CP316" s="446">
        <f>IF($E316=0,0,IF(MIN(CP$38,$E316)&lt;MAX($P$34*($B316+$I$38-1),IF(AND($L$37=0,$P$34=0),"",$L$37-1)),0,YEARFRAC(MAX($P$34*($B316+$I$38-1),IF(AND($L$37=0,$P$34=0),"",$L$37-1)),MIN(CP$38,$E316),$P$20))-SUM($BF316:CO316))</f>
        <v>0</v>
      </c>
      <c r="CQ316" s="446">
        <f>IF($E316=0,0,IF(MIN(CQ$38,$E316)&lt;MAX($P$34*($B316+$I$38-1),IF(AND($L$37=0,$P$34=0),"",$L$37-1)),0,YEARFRAC(MAX($P$34*($B316+$I$38-1),IF(AND($L$37=0,$P$34=0),"",$L$37-1)),MIN(CQ$38,$E316),$P$20))-SUM($BF316:CP316))</f>
        <v>0</v>
      </c>
    </row>
    <row r="317" spans="1:95" s="446" customFormat="1" ht="11.25" hidden="1" customHeight="1" x14ac:dyDescent="0.2">
      <c r="A317" s="152"/>
      <c r="B317" s="153" t="str">
        <f t="shared" si="59"/>
        <v/>
      </c>
      <c r="C317" s="29" t="str">
        <f>IF(B317="","",IF($L$35="SELIC - TRIBUTOS",VLOOKUP(DATE(YEAR($D$19),MONTH($D$19)-1,1),ÍNDICES!$A:$DE,HLOOKUP($BL$25,ÍNDICES!$B$3:$T$4,2)+11)-VLOOKUP(B317,ÍNDICES!$A:$DE,HLOOKUP($BL$25,ÍNDICES!$B$3:$T$4,2)+11)+1%,IF(C$38=$W$26,$J$35,IF(ISERROR(IF(B317&gt;$D$19,1,VLOOKUP(DATE(YEAR(B317),MONTH(B317)+IF($C$35=$S$23,1,0),1),ÍNDICES!$A:$DE,$Z$35+1))),"",IF(B317&gt;$D$19,1,VLOOKUP(DATE(YEAR(B317),MONTH(B317)+IF($C$35=$S$23,1,0),1),ÍNDICES!$A:$DE,$Z$35+1))))))</f>
        <v/>
      </c>
      <c r="D317" s="154" t="str">
        <f>IF(ISERROR(IF(OR($D$38=$Y$27,$B317=""),"",VLOOKUP(B317,ÍNDICES!A:DE,AF$35+1))),"",IF(OR($D$38=$Y$27,$B317=""),"",VLOOKUP(B317,ÍNDICES!A:DE,AF$35+1)))</f>
        <v/>
      </c>
      <c r="E317" s="153"/>
      <c r="F317" s="29" t="str">
        <f>IF(E317="","",IF($L$35="SELIC - TRIBUTOS",VLOOKUP(DATE(YEAR($D$19),MONTH($D$19)-1,1),ÍNDICES!$A:$DE,HLOOKUP($BL$25,ÍNDICES!$B$3:$T$4,2)+11)-VLOOKUP(E317,ÍNDICES!$A:$DE,HLOOKUP($BL$25,ÍNDICES!$B$3:$T$4,2)+11)+1%,IF(F$38=$W$26,$J$35,IF(ISERROR(IF(E317&gt;$D$19,1,VLOOKUP(DATE(YEAR(E317),MONTH(E317)+IF($C$35=$S$23,1,0),1),ÍNDICES!$A:$DE,$Z$35+1))),"",IF(E317&gt;$D$19,1,VLOOKUP(DATE(YEAR(E317),MONTH(E317)+IF($C$35=$S$23,1,0),1),ÍNDICES!$A:$DE,$Z$35+1))))))</f>
        <v/>
      </c>
      <c r="G317" s="155"/>
      <c r="H317" s="156" t="str">
        <f t="shared" si="55"/>
        <v/>
      </c>
      <c r="I317" s="29" t="str">
        <f t="shared" si="49"/>
        <v/>
      </c>
      <c r="J317" s="5">
        <f t="shared" si="50"/>
        <v>0</v>
      </c>
      <c r="K317" s="20">
        <f t="shared" ca="1" si="51"/>
        <v>0</v>
      </c>
      <c r="L317" s="5">
        <f t="shared" ca="1" si="52"/>
        <v>0</v>
      </c>
      <c r="M317" s="64">
        <f t="shared" si="56"/>
        <v>0</v>
      </c>
      <c r="N317" s="61">
        <f t="shared" ca="1" si="57"/>
        <v>0</v>
      </c>
      <c r="O317" s="5">
        <f t="shared" ca="1" si="58"/>
        <v>0</v>
      </c>
      <c r="P317" s="446" t="e">
        <f t="shared" si="53"/>
        <v>#VALUE!</v>
      </c>
      <c r="Q317" s="446" t="e">
        <f>IF(OR($B317="",MIN(Q$38,$D$19)&lt;MAX($P$34*($B317+IF($R$17="Distrato",$I$38-1,0)),IF(AND($L$37=0,$P$34=0),"",$L$37-1),IF($R$17="Distrato",$E317,0))),0,YEARFRAC(MAX($P$34*($B317+IF($R$17="Distrato",$I$38-1,0)),IF(AND($L$37=0,$P$34=0),"",$L$37-1),IF($R$17="Distrato",$E317,0)),MIN(Q$38,$D$19),$P$20))-SUM($P317:P317)</f>
        <v>#VALUE!</v>
      </c>
      <c r="R317" s="446" t="e">
        <f>IF(OR($B317="",MIN(R$38,$D$19)&lt;MAX($P$34*($B317+IF($R$17="Distrato",$I$38-1,0)),IF(AND($L$37=0,$P$34=0),"",$L$37-1),IF($R$17="Distrato",$E317,0))),0,YEARFRAC(MAX($P$34*($B317+IF($R$17="Distrato",$I$38-1,0)),IF(AND($L$37=0,$P$34=0),"",$L$37-1),IF($R$17="Distrato",$E317,0)),MIN(R$38,$D$19),$P$20))-SUM($P317:Q317)</f>
        <v>#VALUE!</v>
      </c>
      <c r="S317" s="446" t="e">
        <f>IF(OR($B317="",MIN(S$38,$D$19)&lt;MAX($P$34*($B317+IF($R$17="Distrato",$I$38-1,0)),IF(AND($L$37=0,$P$34=0),"",$L$37-1),IF($R$17="Distrato",$E317,0))),0,YEARFRAC(MAX($P$34*($B317+IF($R$17="Distrato",$I$38-1,0)),IF(AND($L$37=0,$P$34=0),"",$L$37-1),IF($R$17="Distrato",$E317,0)),MIN(S$38,$D$19),$P$20))-SUM($P317:R317)</f>
        <v>#VALUE!</v>
      </c>
      <c r="T317" s="446" t="e">
        <f>IF(OR($B317="",MIN(T$38,$D$19)&lt;MAX($P$34*($B317+IF($R$17="Distrato",$I$38-1,0)),IF(AND($L$37=0,$P$34=0),"",$L$37-1),IF($R$17="Distrato",$E317,0))),0,YEARFRAC(MAX($P$34*($B317+IF($R$17="Distrato",$I$38-1,0)),IF(AND($L$37=0,$P$34=0),"",$L$37-1),IF($R$17="Distrato",$E317,0)),MIN(T$38,$D$19),$P$20))-SUM($P317:S317)</f>
        <v>#VALUE!</v>
      </c>
      <c r="U317" s="446" t="e">
        <f>IF(OR($B317="",MIN(U$38,$D$19)&lt;MAX($P$34*($B317+IF($R$17="Distrato",$I$38-1,0)),IF(AND($L$37=0,$P$34=0),"",$L$37-1),IF($R$17="Distrato",$E317,0))),0,YEARFRAC(MAX($P$34*($B317+IF($R$17="Distrato",$I$38-1,0)),IF(AND($L$37=0,$P$34=0),"",$L$37-1),IF($R$17="Distrato",$E317,0)),MIN(U$38,$D$19),$P$20))-SUM($P317:T317)</f>
        <v>#VALUE!</v>
      </c>
      <c r="V317" s="446" t="e">
        <f>IF(OR($B317="",MIN(V$38,$D$19)&lt;MAX($P$34*($B317+IF($R$17="Distrato",$I$38-1,0)),IF(AND($L$37=0,$P$34=0),"",$L$37-1),IF($R$17="Distrato",$E317,0))),0,YEARFRAC(MAX($P$34*($B317+IF($R$17="Distrato",$I$38-1,0)),IF(AND($L$37=0,$P$34=0),"",$L$37-1),IF($R$17="Distrato",$E317,0)),MIN(V$38,$D$19),$P$20))-SUM($P317:U317)</f>
        <v>#VALUE!</v>
      </c>
      <c r="W317" s="446" t="e">
        <f>IF(OR($B317="",MIN(W$38,$D$19)&lt;MAX($P$34*($B317+IF($R$17="Distrato",$I$38-1,0)),IF(AND($L$37=0,$P$34=0),"",$L$37-1),IF($R$17="Distrato",$E317,0))),0,YEARFRAC(MAX($P$34*($B317+IF($R$17="Distrato",$I$38-1,0)),IF(AND($L$37=0,$P$34=0),"",$L$37-1),IF($R$17="Distrato",$E317,0)),MIN(W$38,$D$19),$P$20))-SUM($P317:V317)</f>
        <v>#VALUE!</v>
      </c>
      <c r="X317" s="446" t="e">
        <f>IF(OR($B317="",MIN(X$38,$D$19)&lt;MAX($P$34*($B317+IF($R$17="Distrato",$I$38-1,0)),IF(AND($L$37=0,$P$34=0),"",$L$37-1),IF($R$17="Distrato",$E317,0))),0,YEARFRAC(MAX($P$34*($B317+IF($R$17="Distrato",$I$38-1,0)),IF(AND($L$37=0,$P$34=0),"",$L$37-1),IF($R$17="Distrato",$E317,0)),MIN(X$38,$D$19),$P$20))-SUM($P317:W317)</f>
        <v>#VALUE!</v>
      </c>
      <c r="Y317" s="446" t="e">
        <f>IF(OR($B317="",MIN(Y$38,$D$19)&lt;MAX($P$34*($B317+IF($R$17="Distrato",$I$38-1,0)),IF(AND($L$37=0,$P$34=0),"",$L$37-1),IF($R$17="Distrato",$E317,0))),0,YEARFRAC(MAX($P$34*($B317+IF($R$17="Distrato",$I$38-1,0)),IF(AND($L$37=0,$P$34=0),"",$L$37-1),IF($R$17="Distrato",$E317,0)),MIN(Y$38,$D$19),$P$20))-SUM($P317:X317)</f>
        <v>#VALUE!</v>
      </c>
      <c r="Z317" s="446" t="e">
        <f>IF(OR($B317="",MIN(Z$38,$D$19)&lt;MAX($P$34*($B317+IF($R$17="Distrato",$I$38-1,0)),IF(AND($L$37=0,$P$34=0),"",$L$37-1),IF($R$17="Distrato",$E317,0))),0,YEARFRAC(MAX($P$34*($B317+IF($R$17="Distrato",$I$38-1,0)),IF(AND($L$37=0,$P$34=0),"",$L$37-1),IF($R$17="Distrato",$E317,0)),MIN(Z$38,$D$19),$P$20))-SUM($P317:Y317)</f>
        <v>#VALUE!</v>
      </c>
      <c r="AA317" s="446" t="e">
        <f>IF(OR($B317="",MIN(AA$38,$D$19)&lt;MAX($P$34*($B317+IF($R$17="Distrato",$I$38-1,0)),IF(AND($L$37=0,$P$34=0),"",$L$37-1),IF($R$17="Distrato",$E317,0))),0,YEARFRAC(MAX($P$34*($B317+IF($R$17="Distrato",$I$38-1,0)),IF(AND($L$37=0,$P$34=0),"",$L$37-1),IF($R$17="Distrato",$E317,0)),MIN(AA$38,$D$19),$P$20))-SUM($P317:Z317)</f>
        <v>#VALUE!</v>
      </c>
      <c r="AB317" s="446" t="e">
        <f>IF(OR($B317="",MIN(AB$38,$D$19)&lt;MAX($P$34*($B317+IF($R$17="Distrato",$I$38-1,0)),IF(AND($L$37=0,$P$34=0),"",$L$37-1),IF($R$17="Distrato",$E317,0))),0,YEARFRAC(MAX($P$34*($B317+IF($R$17="Distrato",$I$38-1,0)),IF(AND($L$37=0,$P$34=0),"",$L$37-1),IF($R$17="Distrato",$E317,0)),MIN(AB$38,$D$19),$P$20))-SUM($P317:AA317)</f>
        <v>#VALUE!</v>
      </c>
      <c r="AC317" s="446" t="e">
        <f>IF(OR($B317="",MIN(AC$38,$D$19)&lt;MAX($P$34*($B317+IF($R$17="Distrato",$I$38-1,0)),IF(AND($L$37=0,$P$34=0),"",$L$37-1),IF($R$17="Distrato",$E317,0))),0,YEARFRAC(MAX($P$34*($B317+IF($R$17="Distrato",$I$38-1,0)),IF(AND($L$37=0,$P$34=0),"",$L$37-1),IF($R$17="Distrato",$E317,0)),MIN(AC$38,$D$19),$P$20))-SUM($P317:AB317)</f>
        <v>#VALUE!</v>
      </c>
      <c r="AD317" s="446" t="e">
        <f>IF(OR($B317="",MIN(AD$38,$D$19)&lt;MAX($P$34*($B317+IF($R$17="Distrato",$I$38-1,0)),IF(AND($L$37=0,$P$34=0),"",$L$37-1),IF($R$17="Distrato",$E317,0))),0,YEARFRAC(MAX($P$34*($B317+IF($R$17="Distrato",$I$38-1,0)),IF(AND($L$37=0,$P$34=0),"",$L$37-1),IF($R$17="Distrato",$E317,0)),MIN(AD$38,$D$19),$P$20))-SUM($P317:AC317)</f>
        <v>#VALUE!</v>
      </c>
      <c r="AE317" s="446" t="e">
        <f>IF(OR($B317="",MIN(AE$38,$D$19)&lt;MAX($P$34*($B317+IF($R$17="Distrato",$I$38-1,0)),IF(AND($L$37=0,$P$34=0),"",$L$37-1),IF($R$17="Distrato",$E317,0))),0,YEARFRAC(MAX($P$34*($B317+IF($R$17="Distrato",$I$38-1,0)),IF(AND($L$37=0,$P$34=0),"",$L$37-1),IF($R$17="Distrato",$E317,0)),MIN(AE$38,$D$19),$P$20))-SUM($P317:AD317)</f>
        <v>#VALUE!</v>
      </c>
      <c r="AF317" s="446" t="e">
        <f>IF(OR($B317="",MIN(AF$38,$D$19)&lt;MAX($P$34*($B317+IF($R$17="Distrato",$I$38-1,0)),IF(AND($L$37=0,$P$34=0),"",$L$37-1),IF($R$17="Distrato",$E317,0))),0,YEARFRAC(MAX($P$34*($B317+IF($R$17="Distrato",$I$38-1,0)),IF(AND($L$37=0,$P$34=0),"",$L$37-1),IF($R$17="Distrato",$E317,0)),MIN(AF$38,$D$19),$P$20))-SUM($P317:AE317)</f>
        <v>#VALUE!</v>
      </c>
      <c r="AG317" s="446" t="e">
        <f>IF(OR($B317="",MIN(AG$38,$D$19)&lt;MAX($P$34*($B317+IF($R$17="Distrato",$I$38-1,0)),IF(AND($L$37=0,$P$34=0),"",$L$37-1),IF($R$17="Distrato",$E317,0))),0,YEARFRAC(MAX($P$34*($B317+IF($R$17="Distrato",$I$38-1,0)),IF(AND($L$37=0,$P$34=0),"",$L$37-1),IF($R$17="Distrato",$E317,0)),MIN(AG$38,$D$19),$P$20))-SUM($P317:AF317)</f>
        <v>#VALUE!</v>
      </c>
      <c r="AH317" s="446" t="e">
        <f>IF(OR($B317="",MIN(AH$38,$D$19)&lt;MAX($P$34*($B317+IF($R$17="Distrato",$I$38-1,0)),IF(AND($L$37=0,$P$34=0),"",$L$37-1),IF($R$17="Distrato",$E317,0))),0,YEARFRAC(MAX($P$34*($B317+IF($R$17="Distrato",$I$38-1,0)),IF(AND($L$37=0,$P$34=0),"",$L$37-1),IF($R$17="Distrato",$E317,0)),MIN(AH$38,$D$19),$P$20))-SUM($P317:AG317)</f>
        <v>#VALUE!</v>
      </c>
      <c r="AI317" s="446" t="e">
        <f>IF(OR($B317="",MIN(AI$38,$D$19)&lt;MAX($P$34*($B317+IF($R$17="Distrato",$I$38-1,0)),IF(AND($L$37=0,$P$34=0),"",$L$37-1),IF($R$17="Distrato",$E317,0))),0,YEARFRAC(MAX($P$34*($B317+IF($R$17="Distrato",$I$38-1,0)),IF(AND($L$37=0,$P$34=0),"",$L$37-1),IF($R$17="Distrato",$E317,0)),MIN(AI$38,$D$19),$P$20))-SUM($P317:AH317)</f>
        <v>#VALUE!</v>
      </c>
      <c r="AJ317" s="446" t="e">
        <f>IF(OR($B317="",MIN(AJ$38,$D$19)&lt;MAX($P$34*($B317+IF($R$17="Distrato",$I$38-1,0)),IF(AND($L$37=0,$P$34=0),"",$L$37-1),IF($R$17="Distrato",$E317,0))),0,YEARFRAC(MAX($P$34*($B317+IF($R$17="Distrato",$I$38-1,0)),IF(AND($L$37=0,$P$34=0),"",$L$37-1),IF($R$17="Distrato",$E317,0)),MIN(AJ$38,$D$19),$P$20))-SUM($P317:AI317)</f>
        <v>#VALUE!</v>
      </c>
      <c r="AK317" s="446" t="e">
        <f>IF(OR($B317="",MIN(AK$38,$D$19)&lt;MAX($P$34*($B317+IF($R$17="Distrato",$I$38-1,0)),IF(AND($L$37=0,$P$34=0),"",$L$37-1),IF($R$17="Distrato",$E317,0))),0,YEARFRAC(MAX($P$34*($B317+IF($R$17="Distrato",$I$38-1,0)),IF(AND($L$37=0,$P$34=0),"",$L$37-1),IF($R$17="Distrato",$E317,0)),MIN(AK$38,$D$19),$P$20))-SUM($P317:AJ317)</f>
        <v>#VALUE!</v>
      </c>
      <c r="AL317" s="446" t="e">
        <f>IF(OR($B317="",MIN(AL$38,$D$19)&lt;MAX($P$34*($B317+IF($R$17="Distrato",$I$38-1,0)),IF(AND($L$37=0,$P$34=0),"",$L$37-1),IF($R$17="Distrato",$E317,0))),0,YEARFRAC(MAX($P$34*($B317+IF($R$17="Distrato",$I$38-1,0)),IF(AND($L$37=0,$P$34=0),"",$L$37-1),IF($R$17="Distrato",$E317,0)),MIN(AL$38,$D$19),$P$20))-SUM($P317:AK317)</f>
        <v>#VALUE!</v>
      </c>
      <c r="AM317" s="446" t="e">
        <f>IF(OR($B317="",MIN(AM$38,$D$19)&lt;MAX($P$34*($B317+IF($R$17="Distrato",$I$38-1,0)),IF(AND($L$37=0,$P$34=0),"",$L$37-1),IF($R$17="Distrato",$E317,0))),0,YEARFRAC(MAX($P$34*($B317+IF($R$17="Distrato",$I$38-1,0)),IF(AND($L$37=0,$P$34=0),"",$L$37-1),IF($R$17="Distrato",$E317,0)),MIN(AM$38,$D$19),$P$20))-SUM($P317:AL317)</f>
        <v>#VALUE!</v>
      </c>
      <c r="AN317" s="446" t="e">
        <f>IF(OR($B317="",MIN(AN$38,$D$19)&lt;MAX($P$34*($B317+IF($R$17="Distrato",$I$38-1,0)),IF(AND($L$37=0,$P$34=0),"",$L$37-1),IF($R$17="Distrato",$E317,0))),0,YEARFRAC(MAX($P$34*($B317+IF($R$17="Distrato",$I$38-1,0)),IF(AND($L$37=0,$P$34=0),"",$L$37-1),IF($R$17="Distrato",$E317,0)),MIN(AN$38,$D$19),$P$20))-SUM($P317:AM317)</f>
        <v>#VALUE!</v>
      </c>
      <c r="AO317" s="446" t="e">
        <f>IF(OR($B317="",MIN(AO$38,$D$19)&lt;MAX($P$34*($B317+IF($R$17="Distrato",$I$38-1,0)),IF(AND($L$37=0,$P$34=0),"",$L$37-1),IF($R$17="Distrato",$E317,0))),0,YEARFRAC(MAX($P$34*($B317+IF($R$17="Distrato",$I$38-1,0)),IF(AND($L$37=0,$P$34=0),"",$L$37-1),IF($R$17="Distrato",$E317,0)),MIN(AO$38,$D$19),$P$20))-SUM($P317:AN317)</f>
        <v>#VALUE!</v>
      </c>
      <c r="AP317" s="446" t="e">
        <f>IF(OR($B317="",MIN(AP$38,$D$19)&lt;MAX($P$34*($B317+IF($R$17="Distrato",$I$38-1,0)),IF(AND($L$37=0,$P$34=0),"",$L$37-1),IF($R$17="Distrato",$E317,0))),0,YEARFRAC(MAX($P$34*($B317+IF($R$17="Distrato",$I$38-1,0)),IF(AND($L$37=0,$P$34=0),"",$L$37-1),IF($R$17="Distrato",$E317,0)),MIN(AP$38,$D$19),$P$20))-SUM($P317:AO317)</f>
        <v>#VALUE!</v>
      </c>
      <c r="AQ317" s="446" t="e">
        <f>IF(OR($B317="",MIN(AQ$38,$D$19)&lt;MAX($P$34*($B317+IF($R$17="Distrato",$I$38-1,0)),IF(AND($L$37=0,$P$34=0),"",$L$37-1),IF($R$17="Distrato",$E317,0))),0,YEARFRAC(MAX($P$34*($B317+IF($R$17="Distrato",$I$38-1,0)),IF(AND($L$37=0,$P$34=0),"",$L$37-1),IF($R$17="Distrato",$E317,0)),MIN(AQ$38,$D$19),$P$20))-SUM($P317:AP317)</f>
        <v>#VALUE!</v>
      </c>
      <c r="AR317" s="446" t="e">
        <f>IF(OR($B317="",MIN(AR$38,$D$19)&lt;MAX($P$34*($B317+IF($R$17="Distrato",$I$38-1,0)),IF(AND($L$37=0,$P$34=0),"",$L$37-1),IF($R$17="Distrato",$E317,0))),0,YEARFRAC(MAX($P$34*($B317+IF($R$17="Distrato",$I$38-1,0)),IF(AND($L$37=0,$P$34=0),"",$L$37-1),IF($R$17="Distrato",$E317,0)),MIN(AR$38,$D$19),$P$20))-SUM($P317:AQ317)</f>
        <v>#VALUE!</v>
      </c>
      <c r="AS317" s="446" t="e">
        <f>IF(OR($B317="",MIN(AS$38,$D$19)&lt;MAX($P$34*($B317+IF($R$17="Distrato",$I$38-1,0)),IF(AND($L$37=0,$P$34=0),"",$L$37-1),IF($R$17="Distrato",$E317,0))),0,YEARFRAC(MAX($P$34*($B317+IF($R$17="Distrato",$I$38-1,0)),IF(AND($L$37=0,$P$34=0),"",$L$37-1),IF($R$17="Distrato",$E317,0)),MIN(AS$38,$D$19),$P$20))-SUM($P317:AR317)</f>
        <v>#VALUE!</v>
      </c>
      <c r="AT317" s="446" t="e">
        <f>IF(OR($B317="",MIN(AT$38,$D$19)&lt;MAX($P$34*($B317+IF($R$17="Distrato",$I$38-1,0)),IF(AND($L$37=0,$P$34=0),"",$L$37-1),IF($R$17="Distrato",$E317,0))),0,YEARFRAC(MAX($P$34*($B317+IF($R$17="Distrato",$I$38-1,0)),IF(AND($L$37=0,$P$34=0),"",$L$37-1),IF($R$17="Distrato",$E317,0)),MIN(AT$38,$D$19),$P$20))-SUM($P317:AS317)</f>
        <v>#VALUE!</v>
      </c>
      <c r="AU317" s="446" t="e">
        <f>IF(OR($B317="",MIN(AU$38,$D$19)&lt;MAX($P$34*($B317+IF($R$17="Distrato",$I$38-1,0)),IF(AND($L$37=0,$P$34=0),"",$L$37-1),IF($R$17="Distrato",$E317,0))),0,YEARFRAC(MAX($P$34*($B317+IF($R$17="Distrato",$I$38-1,0)),IF(AND($L$37=0,$P$34=0),"",$L$37-1),IF($R$17="Distrato",$E317,0)),MIN(AU$38,$D$19),$P$20))-SUM($P317:AT317)</f>
        <v>#VALUE!</v>
      </c>
      <c r="AV317" s="446" t="e">
        <f>IF(OR($B317="",MIN(AV$38,$D$19)&lt;MAX($P$34*($B317+IF($R$17="Distrato",$I$38-1,0)),IF(AND($L$37=0,$P$34=0),"",$L$37-1),IF($R$17="Distrato",$E317,0))),0,YEARFRAC(MAX($P$34*($B317+IF($R$17="Distrato",$I$38-1,0)),IF(AND($L$37=0,$P$34=0),"",$L$37-1),IF($R$17="Distrato",$E317,0)),MIN(AV$38,$D$19),$P$20))-SUM($P317:AU317)</f>
        <v>#VALUE!</v>
      </c>
      <c r="AW317" s="446" t="e">
        <f>IF(OR($B317="",MIN(AW$38,$D$19)&lt;MAX($P$34*($B317+IF($R$17="Distrato",$I$38-1,0)),IF(AND($L$37=0,$P$34=0),"",$L$37-1),IF($R$17="Distrato",$E317,0))),0,YEARFRAC(MAX($P$34*($B317+IF($R$17="Distrato",$I$38-1,0)),IF(AND($L$37=0,$P$34=0),"",$L$37-1),IF($R$17="Distrato",$E317,0)),MIN(AW$38,$D$19),$P$20))-SUM($P317:AV317)</f>
        <v>#VALUE!</v>
      </c>
      <c r="AX317" s="446" t="e">
        <f>IF(OR($B317="",MIN(AX$38,$D$19)&lt;MAX($P$34*($B317+IF($R$17="Distrato",$I$38-1,0)),IF(AND($L$37=0,$P$34=0),"",$L$37-1),IF($R$17="Distrato",$E317,0))),0,YEARFRAC(MAX($P$34*($B317+IF($R$17="Distrato",$I$38-1,0)),IF(AND($L$37=0,$P$34=0),"",$L$37-1),IF($R$17="Distrato",$E317,0)),MIN(AX$38,$D$19),$P$20))-SUM($P317:AW317)</f>
        <v>#VALUE!</v>
      </c>
      <c r="AY317" s="446" t="e">
        <f>IF(OR($B317="",MIN(AY$38,$D$19)&lt;MAX($P$34*($B317+IF($R$17="Distrato",$I$38-1,0)),IF(AND($L$37=0,$P$34=0),"",$L$37-1),IF($R$17="Distrato",$E317,0))),0,YEARFRAC(MAX($P$34*($B317+IF($R$17="Distrato",$I$38-1,0)),IF(AND($L$37=0,$P$34=0),"",$L$37-1),IF($R$17="Distrato",$E317,0)),MIN(AY$38,$D$19),$P$20))-SUM($P317:AX317)</f>
        <v>#VALUE!</v>
      </c>
      <c r="AZ317" s="446" t="e">
        <f>IF(OR($B317="",MIN(AZ$38,$D$19)&lt;MAX($P$34*($B317+IF($R$17="Distrato",$I$38-1,0)),IF(AND($L$37=0,$P$34=0),"",$L$37-1),IF($R$17="Distrato",$E317,0))),0,YEARFRAC(MAX($P$34*($B317+IF($R$17="Distrato",$I$38-1,0)),IF(AND($L$37=0,$P$34=0),"",$L$37-1),IF($R$17="Distrato",$E317,0)),MIN(AZ$38,$D$19),$P$20))-SUM($P317:AY317)</f>
        <v>#VALUE!</v>
      </c>
      <c r="BA317" s="446" t="e">
        <f>IF(OR($B317="",MIN(BA$38,$D$19)&lt;MAX($P$34*($B317+IF($R$17="Distrato",$I$38-1,0)),IF(AND($L$37=0,$P$34=0),"",$L$37-1),IF($R$17="Distrato",$E317,0))),0,YEARFRAC(MAX($P$34*($B317+IF($R$17="Distrato",$I$38-1,0)),IF(AND($L$37=0,$P$34=0),"",$L$37-1),IF($R$17="Distrato",$E317,0)),MIN(BA$38,$D$19),$P$20))-SUM($P317:AZ317)</f>
        <v>#VALUE!</v>
      </c>
      <c r="BB317" s="447"/>
      <c r="BF317" s="446">
        <f t="shared" si="54"/>
        <v>0</v>
      </c>
      <c r="BG317" s="446">
        <f>IF($E317=0,0,IF(MIN(BG$38,$E317)&lt;MAX($P$34*($B317+$I$38-1),IF(AND($L$37=0,$P$34=0),"",$L$37-1)),0,YEARFRAC(MAX($P$34*($B317+$I$38-1),IF(AND($L$37=0,$P$34=0),"",$L$37-1)),MIN(BG$38,$E317),$P$20))-SUM($BF317:BF317))</f>
        <v>0</v>
      </c>
      <c r="BH317" s="446">
        <f>IF($E317=0,0,IF(MIN(BH$38,$E317)&lt;MAX($P$34*($B317+$I$38-1),IF(AND($L$37=0,$P$34=0),"",$L$37-1)),0,YEARFRAC(MAX($P$34*($B317+$I$38-1),IF(AND($L$37=0,$P$34=0),"",$L$37-1)),MIN(BH$38,$E317),$P$20))-SUM($BF317:BG317))</f>
        <v>0</v>
      </c>
      <c r="BI317" s="446">
        <f>IF($E317=0,0,IF(MIN(BI$38,$E317)&lt;MAX($P$34*($B317+$I$38-1),IF(AND($L$37=0,$P$34=0),"",$L$37-1)),0,YEARFRAC(MAX($P$34*($B317+$I$38-1),IF(AND($L$37=0,$P$34=0),"",$L$37-1)),MIN(BI$38,$E317),$P$20))-SUM($BF317:BH317))</f>
        <v>0</v>
      </c>
      <c r="BJ317" s="446">
        <f>IF($E317=0,0,IF(MIN(BJ$38,$E317)&lt;MAX($P$34*($B317+$I$38-1),IF(AND($L$37=0,$P$34=0),"",$L$37-1)),0,YEARFRAC(MAX($P$34*($B317+$I$38-1),IF(AND($L$37=0,$P$34=0),"",$L$37-1)),MIN(BJ$38,$E317),$P$20))-SUM($BF317:BI317))</f>
        <v>0</v>
      </c>
      <c r="BK317" s="446">
        <f>IF($E317=0,0,IF(MIN(BK$38,$E317)&lt;MAX($P$34*($B317+$I$38-1),IF(AND($L$37=0,$P$34=0),"",$L$37-1)),0,YEARFRAC(MAX($P$34*($B317+$I$38-1),IF(AND($L$37=0,$P$34=0),"",$L$37-1)),MIN(BK$38,$E317),$P$20))-SUM($BF317:BJ317))</f>
        <v>0</v>
      </c>
      <c r="BL317" s="446">
        <f>IF($E317=0,0,IF(MIN(BL$38,$E317)&lt;MAX($P$34*($B317+$I$38-1),IF(AND($L$37=0,$P$34=0),"",$L$37-1)),0,YEARFRAC(MAX($P$34*($B317+$I$38-1),IF(AND($L$37=0,$P$34=0),"",$L$37-1)),MIN(BL$38,$E317),$P$20))-SUM($BF317:BK317))</f>
        <v>0</v>
      </c>
      <c r="BM317" s="446">
        <f>IF($E317=0,0,IF(MIN(BM$38,$E317)&lt;MAX($P$34*($B317+$I$38-1),IF(AND($L$37=0,$P$34=0),"",$L$37-1)),0,YEARFRAC(MAX($P$34*($B317+$I$38-1),IF(AND($L$37=0,$P$34=0),"",$L$37-1)),MIN(BM$38,$E317),$P$20))-SUM($BF317:BL317))</f>
        <v>0</v>
      </c>
      <c r="BN317" s="446">
        <f>IF($E317=0,0,IF(MIN(BN$38,$E317)&lt;MAX($P$34*($B317+$I$38-1),IF(AND($L$37=0,$P$34=0),"",$L$37-1)),0,YEARFRAC(MAX($P$34*($B317+$I$38-1),IF(AND($L$37=0,$P$34=0),"",$L$37-1)),MIN(BN$38,$E317),$P$20))-SUM($BF317:BM317))</f>
        <v>0</v>
      </c>
      <c r="BO317" s="446">
        <f>IF($E317=0,0,IF(MIN(BO$38,$E317)&lt;MAX($P$34*($B317+$I$38-1),IF(AND($L$37=0,$P$34=0),"",$L$37-1)),0,YEARFRAC(MAX($P$34*($B317+$I$38-1),IF(AND($L$37=0,$P$34=0),"",$L$37-1)),MIN(BO$38,$E317),$P$20))-SUM($BF317:BN317))</f>
        <v>0</v>
      </c>
      <c r="BP317" s="446">
        <f>IF($E317=0,0,IF(MIN(BP$38,$E317)&lt;MAX($P$34*($B317+$I$38-1),IF(AND($L$37=0,$P$34=0),"",$L$37-1)),0,YEARFRAC(MAX($P$34*($B317+$I$38-1),IF(AND($L$37=0,$P$34=0),"",$L$37-1)),MIN(BP$38,$E317),$P$20))-SUM($BF317:BO317))</f>
        <v>0</v>
      </c>
      <c r="BQ317" s="446">
        <f>IF($E317=0,0,IF(MIN(BQ$38,$E317)&lt;MAX($P$34*($B317+$I$38-1),IF(AND($L$37=0,$P$34=0),"",$L$37-1)),0,YEARFRAC(MAX($P$34*($B317+$I$38-1),IF(AND($L$37=0,$P$34=0),"",$L$37-1)),MIN(BQ$38,$E317),$P$20))-SUM($BF317:BP317))</f>
        <v>0</v>
      </c>
      <c r="BR317" s="446">
        <f>IF($E317=0,0,IF(MIN(BR$38,$E317)&lt;MAX($P$34*($B317+$I$38-1),IF(AND($L$37=0,$P$34=0),"",$L$37-1)),0,YEARFRAC(MAX($P$34*($B317+$I$38-1),IF(AND($L$37=0,$P$34=0),"",$L$37-1)),MIN(BR$38,$E317),$P$20))-SUM($BF317:BQ317))</f>
        <v>0</v>
      </c>
      <c r="BS317" s="446">
        <f>IF($E317=0,0,IF(MIN(BS$38,$E317)&lt;MAX($P$34*($B317+$I$38-1),IF(AND($L$37=0,$P$34=0),"",$L$37-1)),0,YEARFRAC(MAX($P$34*($B317+$I$38-1),IF(AND($L$37=0,$P$34=0),"",$L$37-1)),MIN(BS$38,$E317),$P$20))-SUM($BF317:BR317))</f>
        <v>0</v>
      </c>
      <c r="BT317" s="446">
        <f>IF($E317=0,0,IF(MIN(BT$38,$E317)&lt;MAX($P$34*($B317+$I$38-1),IF(AND($L$37=0,$P$34=0),"",$L$37-1)),0,YEARFRAC(MAX($P$34*($B317+$I$38-1),IF(AND($L$37=0,$P$34=0),"",$L$37-1)),MIN(BT$38,$E317),$P$20))-SUM($BF317:BS317))</f>
        <v>0</v>
      </c>
      <c r="BU317" s="446">
        <f>IF($E317=0,0,IF(MIN(BU$38,$E317)&lt;MAX($P$34*($B317+$I$38-1),IF(AND($L$37=0,$P$34=0),"",$L$37-1)),0,YEARFRAC(MAX($P$34*($B317+$I$38-1),IF(AND($L$37=0,$P$34=0),"",$L$37-1)),MIN(BU$38,$E317),$P$20))-SUM($BF317:BT317))</f>
        <v>0</v>
      </c>
      <c r="BV317" s="446">
        <f>IF($E317=0,0,IF(MIN(BV$38,$E317)&lt;MAX($P$34*($B317+$I$38-1),IF(AND($L$37=0,$P$34=0),"",$L$37-1)),0,YEARFRAC(MAX($P$34*($B317+$I$38-1),IF(AND($L$37=0,$P$34=0),"",$L$37-1)),MIN(BV$38,$E317),$P$20))-SUM($BF317:BU317))</f>
        <v>0</v>
      </c>
      <c r="BW317" s="446">
        <f>IF($E317=0,0,IF(MIN(BW$38,$E317)&lt;MAX($P$34*($B317+$I$38-1),IF(AND($L$37=0,$P$34=0),"",$L$37-1)),0,YEARFRAC(MAX($P$34*($B317+$I$38-1),IF(AND($L$37=0,$P$34=0),"",$L$37-1)),MIN(BW$38,$E317),$P$20))-SUM($BF317:BV317))</f>
        <v>0</v>
      </c>
      <c r="BX317" s="446">
        <f>IF($E317=0,0,IF(MIN(BX$38,$E317)&lt;MAX($P$34*($B317+$I$38-1),IF(AND($L$37=0,$P$34=0),"",$L$37-1)),0,YEARFRAC(MAX($P$34*($B317+$I$38-1),IF(AND($L$37=0,$P$34=0),"",$L$37-1)),MIN(BX$38,$E317),$P$20))-SUM($BF317:BW317))</f>
        <v>0</v>
      </c>
      <c r="BY317" s="446">
        <f>IF($E317=0,0,IF(MIN(BY$38,$E317)&lt;MAX($P$34*($B317+$I$38-1),IF(AND($L$37=0,$P$34=0),"",$L$37-1)),0,YEARFRAC(MAX($P$34*($B317+$I$38-1),IF(AND($L$37=0,$P$34=0),"",$L$37-1)),MIN(BY$38,$E317),$P$20))-SUM($BF317:BX317))</f>
        <v>0</v>
      </c>
      <c r="BZ317" s="446">
        <f>IF($E317=0,0,IF(MIN(BZ$38,$E317)&lt;MAX($P$34*($B317+$I$38-1),IF(AND($L$37=0,$P$34=0),"",$L$37-1)),0,YEARFRAC(MAX($P$34*($B317+$I$38-1),IF(AND($L$37=0,$P$34=0),"",$L$37-1)),MIN(BZ$38,$E317),$P$20))-SUM($BF317:BY317))</f>
        <v>0</v>
      </c>
      <c r="CA317" s="446">
        <f>IF($E317=0,0,IF(MIN(CA$38,$E317)&lt;MAX($P$34*($B317+$I$38-1),IF(AND($L$37=0,$P$34=0),"",$L$37-1)),0,YEARFRAC(MAX($P$34*($B317+$I$38-1),IF(AND($L$37=0,$P$34=0),"",$L$37-1)),MIN(CA$38,$E317),$P$20))-SUM($BF317:BZ317))</f>
        <v>0</v>
      </c>
      <c r="CB317" s="446">
        <f>IF($E317=0,0,IF(MIN(CB$38,$E317)&lt;MAX($P$34*($B317+$I$38-1),IF(AND($L$37=0,$P$34=0),"",$L$37-1)),0,YEARFRAC(MAX($P$34*($B317+$I$38-1),IF(AND($L$37=0,$P$34=0),"",$L$37-1)),MIN(CB$38,$E317),$P$20))-SUM($BF317:CA317))</f>
        <v>0</v>
      </c>
      <c r="CC317" s="446">
        <f>IF($E317=0,0,IF(MIN(CC$38,$E317)&lt;MAX($P$34*($B317+$I$38-1),IF(AND($L$37=0,$P$34=0),"",$L$37-1)),0,YEARFRAC(MAX($P$34*($B317+$I$38-1),IF(AND($L$37=0,$P$34=0),"",$L$37-1)),MIN(CC$38,$E317),$P$20))-SUM($BF317:CB317))</f>
        <v>0</v>
      </c>
      <c r="CD317" s="446">
        <f>IF($E317=0,0,IF(MIN(CD$38,$E317)&lt;MAX($P$34*($B317+$I$38-1),IF(AND($L$37=0,$P$34=0),"",$L$37-1)),0,YEARFRAC(MAX($P$34*($B317+$I$38-1),IF(AND($L$37=0,$P$34=0),"",$L$37-1)),MIN(CD$38,$E317),$P$20))-SUM($BF317:CC317))</f>
        <v>0</v>
      </c>
      <c r="CE317" s="446">
        <f>IF($E317=0,0,IF(MIN(CE$38,$E317)&lt;MAX($P$34*($B317+$I$38-1),IF(AND($L$37=0,$P$34=0),"",$L$37-1)),0,YEARFRAC(MAX($P$34*($B317+$I$38-1),IF(AND($L$37=0,$P$34=0),"",$L$37-1)),MIN(CE$38,$E317),$P$20))-SUM($BF317:CD317))</f>
        <v>0</v>
      </c>
      <c r="CF317" s="446">
        <f>IF($E317=0,0,IF(MIN(CF$38,$E317)&lt;MAX($P$34*($B317+$I$38-1),IF(AND($L$37=0,$P$34=0),"",$L$37-1)),0,YEARFRAC(MAX($P$34*($B317+$I$38-1),IF(AND($L$37=0,$P$34=0),"",$L$37-1)),MIN(CF$38,$E317),$P$20))-SUM($BF317:CE317))</f>
        <v>0</v>
      </c>
      <c r="CG317" s="446">
        <f>IF($E317=0,0,IF(MIN(CG$38,$E317)&lt;MAX($P$34*($B317+$I$38-1),IF(AND($L$37=0,$P$34=0),"",$L$37-1)),0,YEARFRAC(MAX($P$34*($B317+$I$38-1),IF(AND($L$37=0,$P$34=0),"",$L$37-1)),MIN(CG$38,$E317),$P$20))-SUM($BF317:CF317))</f>
        <v>0</v>
      </c>
      <c r="CH317" s="446">
        <f>IF($E317=0,0,IF(MIN(CH$38,$E317)&lt;MAX($P$34*($B317+$I$38-1),IF(AND($L$37=0,$P$34=0),"",$L$37-1)),0,YEARFRAC(MAX($P$34*($B317+$I$38-1),IF(AND($L$37=0,$P$34=0),"",$L$37-1)),MIN(CH$38,$E317),$P$20))-SUM($BF317:CG317))</f>
        <v>0</v>
      </c>
      <c r="CI317" s="446">
        <f>IF($E317=0,0,IF(MIN(CI$38,$E317)&lt;MAX($P$34*($B317+$I$38-1),IF(AND($L$37=0,$P$34=0),"",$L$37-1)),0,YEARFRAC(MAX($P$34*($B317+$I$38-1),IF(AND($L$37=0,$P$34=0),"",$L$37-1)),MIN(CI$38,$E317),$P$20))-SUM($BF317:CH317))</f>
        <v>0</v>
      </c>
      <c r="CJ317" s="446">
        <f>IF($E317=0,0,IF(MIN(CJ$38,$E317)&lt;MAX($P$34*($B317+$I$38-1),IF(AND($L$37=0,$P$34=0),"",$L$37-1)),0,YEARFRAC(MAX($P$34*($B317+$I$38-1),IF(AND($L$37=0,$P$34=0),"",$L$37-1)),MIN(CJ$38,$E317),$P$20))-SUM($BF317:CI317))</f>
        <v>0</v>
      </c>
      <c r="CK317" s="446">
        <f>IF($E317=0,0,IF(MIN(CK$38,$E317)&lt;MAX($P$34*($B317+$I$38-1),IF(AND($L$37=0,$P$34=0),"",$L$37-1)),0,YEARFRAC(MAX($P$34*($B317+$I$38-1),IF(AND($L$37=0,$P$34=0),"",$L$37-1)),MIN(CK$38,$E317),$P$20))-SUM($BF317:CJ317))</f>
        <v>0</v>
      </c>
      <c r="CL317" s="446">
        <f>IF($E317=0,0,IF(MIN(CL$38,$E317)&lt;MAX($P$34*($B317+$I$38-1),IF(AND($L$37=0,$P$34=0),"",$L$37-1)),0,YEARFRAC(MAX($P$34*($B317+$I$38-1),IF(AND($L$37=0,$P$34=0),"",$L$37-1)),MIN(CL$38,$E317),$P$20))-SUM($BF317:CK317))</f>
        <v>0</v>
      </c>
      <c r="CM317" s="446">
        <f>IF($E317=0,0,IF(MIN(CM$38,$E317)&lt;MAX($P$34*($B317+$I$38-1),IF(AND($L$37=0,$P$34=0),"",$L$37-1)),0,YEARFRAC(MAX($P$34*($B317+$I$38-1),IF(AND($L$37=0,$P$34=0),"",$L$37-1)),MIN(CM$38,$E317),$P$20))-SUM($BF317:CL317))</f>
        <v>0</v>
      </c>
      <c r="CN317" s="446">
        <f>IF($E317=0,0,IF(MIN(CN$38,$E317)&lt;MAX($P$34*($B317+$I$38-1),IF(AND($L$37=0,$P$34=0),"",$L$37-1)),0,YEARFRAC(MAX($P$34*($B317+$I$38-1),IF(AND($L$37=0,$P$34=0),"",$L$37-1)),MIN(CN$38,$E317),$P$20))-SUM($BF317:CM317))</f>
        <v>0</v>
      </c>
      <c r="CO317" s="446">
        <f>IF($E317=0,0,IF(MIN(CO$38,$E317)&lt;MAX($P$34*($B317+$I$38-1),IF(AND($L$37=0,$P$34=0),"",$L$37-1)),0,YEARFRAC(MAX($P$34*($B317+$I$38-1),IF(AND($L$37=0,$P$34=0),"",$L$37-1)),MIN(CO$38,$E317),$P$20))-SUM($BF317:CN317))</f>
        <v>0</v>
      </c>
      <c r="CP317" s="446">
        <f>IF($E317=0,0,IF(MIN(CP$38,$E317)&lt;MAX($P$34*($B317+$I$38-1),IF(AND($L$37=0,$P$34=0),"",$L$37-1)),0,YEARFRAC(MAX($P$34*($B317+$I$38-1),IF(AND($L$37=0,$P$34=0),"",$L$37-1)),MIN(CP$38,$E317),$P$20))-SUM($BF317:CO317))</f>
        <v>0</v>
      </c>
      <c r="CQ317" s="446">
        <f>IF($E317=0,0,IF(MIN(CQ$38,$E317)&lt;MAX($P$34*($B317+$I$38-1),IF(AND($L$37=0,$P$34=0),"",$L$37-1)),0,YEARFRAC(MAX($P$34*($B317+$I$38-1),IF(AND($L$37=0,$P$34=0),"",$L$37-1)),MIN(CQ$38,$E317),$P$20))-SUM($BF317:CP317))</f>
        <v>0</v>
      </c>
    </row>
    <row r="318" spans="1:95" s="446" customFormat="1" ht="11.25" hidden="1" customHeight="1" x14ac:dyDescent="0.2">
      <c r="A318" s="152"/>
      <c r="B318" s="153" t="str">
        <f t="shared" si="59"/>
        <v/>
      </c>
      <c r="C318" s="29" t="str">
        <f>IF(B318="","",IF($L$35="SELIC - TRIBUTOS",VLOOKUP(DATE(YEAR($D$19),MONTH($D$19)-1,1),ÍNDICES!$A:$DE,HLOOKUP($BL$25,ÍNDICES!$B$3:$T$4,2)+11)-VLOOKUP(B318,ÍNDICES!$A:$DE,HLOOKUP($BL$25,ÍNDICES!$B$3:$T$4,2)+11)+1%,IF(C$38=$W$26,$J$35,IF(ISERROR(IF(B318&gt;$D$19,1,VLOOKUP(DATE(YEAR(B318),MONTH(B318)+IF($C$35=$S$23,1,0),1),ÍNDICES!$A:$DE,$Z$35+1))),"",IF(B318&gt;$D$19,1,VLOOKUP(DATE(YEAR(B318),MONTH(B318)+IF($C$35=$S$23,1,0),1),ÍNDICES!$A:$DE,$Z$35+1))))))</f>
        <v/>
      </c>
      <c r="D318" s="154" t="str">
        <f>IF(ISERROR(IF(OR($D$38=$Y$27,$B318=""),"",VLOOKUP(B318,ÍNDICES!A:DE,AF$35+1))),"",IF(OR($D$38=$Y$27,$B318=""),"",VLOOKUP(B318,ÍNDICES!A:DE,AF$35+1)))</f>
        <v/>
      </c>
      <c r="E318" s="153"/>
      <c r="F318" s="29" t="str">
        <f>IF(E318="","",IF($L$35="SELIC - TRIBUTOS",VLOOKUP(DATE(YEAR($D$19),MONTH($D$19)-1,1),ÍNDICES!$A:$DE,HLOOKUP($BL$25,ÍNDICES!$B$3:$T$4,2)+11)-VLOOKUP(E318,ÍNDICES!$A:$DE,HLOOKUP($BL$25,ÍNDICES!$B$3:$T$4,2)+11)+1%,IF(F$38=$W$26,$J$35,IF(ISERROR(IF(E318&gt;$D$19,1,VLOOKUP(DATE(YEAR(E318),MONTH(E318)+IF($C$35=$S$23,1,0),1),ÍNDICES!$A:$DE,$Z$35+1))),"",IF(E318&gt;$D$19,1,VLOOKUP(DATE(YEAR(E318),MONTH(E318)+IF($C$35=$S$23,1,0),1),ÍNDICES!$A:$DE,$Z$35+1))))))</f>
        <v/>
      </c>
      <c r="G318" s="155"/>
      <c r="H318" s="156" t="str">
        <f t="shared" si="55"/>
        <v/>
      </c>
      <c r="I318" s="29" t="str">
        <f t="shared" si="49"/>
        <v/>
      </c>
      <c r="J318" s="5">
        <f t="shared" si="50"/>
        <v>0</v>
      </c>
      <c r="K318" s="20">
        <f t="shared" ca="1" si="51"/>
        <v>0</v>
      </c>
      <c r="L318" s="5">
        <f t="shared" ca="1" si="52"/>
        <v>0</v>
      </c>
      <c r="M318" s="64">
        <f t="shared" si="56"/>
        <v>0</v>
      </c>
      <c r="N318" s="61">
        <f t="shared" ca="1" si="57"/>
        <v>0</v>
      </c>
      <c r="O318" s="5">
        <f t="shared" ca="1" si="58"/>
        <v>0</v>
      </c>
      <c r="P318" s="446" t="e">
        <f t="shared" si="53"/>
        <v>#VALUE!</v>
      </c>
      <c r="Q318" s="446" t="e">
        <f>IF(OR($B318="",MIN(Q$38,$D$19)&lt;MAX($P$34*($B318+IF($R$17="Distrato",$I$38-1,0)),IF(AND($L$37=0,$P$34=0),"",$L$37-1),IF($R$17="Distrato",$E318,0))),0,YEARFRAC(MAX($P$34*($B318+IF($R$17="Distrato",$I$38-1,0)),IF(AND($L$37=0,$P$34=0),"",$L$37-1),IF($R$17="Distrato",$E318,0)),MIN(Q$38,$D$19),$P$20))-SUM($P318:P318)</f>
        <v>#VALUE!</v>
      </c>
      <c r="R318" s="446" t="e">
        <f>IF(OR($B318="",MIN(R$38,$D$19)&lt;MAX($P$34*($B318+IF($R$17="Distrato",$I$38-1,0)),IF(AND($L$37=0,$P$34=0),"",$L$37-1),IF($R$17="Distrato",$E318,0))),0,YEARFRAC(MAX($P$34*($B318+IF($R$17="Distrato",$I$38-1,0)),IF(AND($L$37=0,$P$34=0),"",$L$37-1),IF($R$17="Distrato",$E318,0)),MIN(R$38,$D$19),$P$20))-SUM($P318:Q318)</f>
        <v>#VALUE!</v>
      </c>
      <c r="S318" s="446" t="e">
        <f>IF(OR($B318="",MIN(S$38,$D$19)&lt;MAX($P$34*($B318+IF($R$17="Distrato",$I$38-1,0)),IF(AND($L$37=0,$P$34=0),"",$L$37-1),IF($R$17="Distrato",$E318,0))),0,YEARFRAC(MAX($P$34*($B318+IF($R$17="Distrato",$I$38-1,0)),IF(AND($L$37=0,$P$34=0),"",$L$37-1),IF($R$17="Distrato",$E318,0)),MIN(S$38,$D$19),$P$20))-SUM($P318:R318)</f>
        <v>#VALUE!</v>
      </c>
      <c r="T318" s="446" t="e">
        <f>IF(OR($B318="",MIN(T$38,$D$19)&lt;MAX($P$34*($B318+IF($R$17="Distrato",$I$38-1,0)),IF(AND($L$37=0,$P$34=0),"",$L$37-1),IF($R$17="Distrato",$E318,0))),0,YEARFRAC(MAX($P$34*($B318+IF($R$17="Distrato",$I$38-1,0)),IF(AND($L$37=0,$P$34=0),"",$L$37-1),IF($R$17="Distrato",$E318,0)),MIN(T$38,$D$19),$P$20))-SUM($P318:S318)</f>
        <v>#VALUE!</v>
      </c>
      <c r="U318" s="446" t="e">
        <f>IF(OR($B318="",MIN(U$38,$D$19)&lt;MAX($P$34*($B318+IF($R$17="Distrato",$I$38-1,0)),IF(AND($L$37=0,$P$34=0),"",$L$37-1),IF($R$17="Distrato",$E318,0))),0,YEARFRAC(MAX($P$34*($B318+IF($R$17="Distrato",$I$38-1,0)),IF(AND($L$37=0,$P$34=0),"",$L$37-1),IF($R$17="Distrato",$E318,0)),MIN(U$38,$D$19),$P$20))-SUM($P318:T318)</f>
        <v>#VALUE!</v>
      </c>
      <c r="V318" s="446" t="e">
        <f>IF(OR($B318="",MIN(V$38,$D$19)&lt;MAX($P$34*($B318+IF($R$17="Distrato",$I$38-1,0)),IF(AND($L$37=0,$P$34=0),"",$L$37-1),IF($R$17="Distrato",$E318,0))),0,YEARFRAC(MAX($P$34*($B318+IF($R$17="Distrato",$I$38-1,0)),IF(AND($L$37=0,$P$34=0),"",$L$37-1),IF($R$17="Distrato",$E318,0)),MIN(V$38,$D$19),$P$20))-SUM($P318:U318)</f>
        <v>#VALUE!</v>
      </c>
      <c r="W318" s="446" t="e">
        <f>IF(OR($B318="",MIN(W$38,$D$19)&lt;MAX($P$34*($B318+IF($R$17="Distrato",$I$38-1,0)),IF(AND($L$37=0,$P$34=0),"",$L$37-1),IF($R$17="Distrato",$E318,0))),0,YEARFRAC(MAX($P$34*($B318+IF($R$17="Distrato",$I$38-1,0)),IF(AND($L$37=0,$P$34=0),"",$L$37-1),IF($R$17="Distrato",$E318,0)),MIN(W$38,$D$19),$P$20))-SUM($P318:V318)</f>
        <v>#VALUE!</v>
      </c>
      <c r="X318" s="446" t="e">
        <f>IF(OR($B318="",MIN(X$38,$D$19)&lt;MAX($P$34*($B318+IF($R$17="Distrato",$I$38-1,0)),IF(AND($L$37=0,$P$34=0),"",$L$37-1),IF($R$17="Distrato",$E318,0))),0,YEARFRAC(MAX($P$34*($B318+IF($R$17="Distrato",$I$38-1,0)),IF(AND($L$37=0,$P$34=0),"",$L$37-1),IF($R$17="Distrato",$E318,0)),MIN(X$38,$D$19),$P$20))-SUM($P318:W318)</f>
        <v>#VALUE!</v>
      </c>
      <c r="Y318" s="446" t="e">
        <f>IF(OR($B318="",MIN(Y$38,$D$19)&lt;MAX($P$34*($B318+IF($R$17="Distrato",$I$38-1,0)),IF(AND($L$37=0,$P$34=0),"",$L$37-1),IF($R$17="Distrato",$E318,0))),0,YEARFRAC(MAX($P$34*($B318+IF($R$17="Distrato",$I$38-1,0)),IF(AND($L$37=0,$P$34=0),"",$L$37-1),IF($R$17="Distrato",$E318,0)),MIN(Y$38,$D$19),$P$20))-SUM($P318:X318)</f>
        <v>#VALUE!</v>
      </c>
      <c r="Z318" s="446" t="e">
        <f>IF(OR($B318="",MIN(Z$38,$D$19)&lt;MAX($P$34*($B318+IF($R$17="Distrato",$I$38-1,0)),IF(AND($L$37=0,$P$34=0),"",$L$37-1),IF($R$17="Distrato",$E318,0))),0,YEARFRAC(MAX($P$34*($B318+IF($R$17="Distrato",$I$38-1,0)),IF(AND($L$37=0,$P$34=0),"",$L$37-1),IF($R$17="Distrato",$E318,0)),MIN(Z$38,$D$19),$P$20))-SUM($P318:Y318)</f>
        <v>#VALUE!</v>
      </c>
      <c r="AA318" s="446" t="e">
        <f>IF(OR($B318="",MIN(AA$38,$D$19)&lt;MAX($P$34*($B318+IF($R$17="Distrato",$I$38-1,0)),IF(AND($L$37=0,$P$34=0),"",$L$37-1),IF($R$17="Distrato",$E318,0))),0,YEARFRAC(MAX($P$34*($B318+IF($R$17="Distrato",$I$38-1,0)),IF(AND($L$37=0,$P$34=0),"",$L$37-1),IF($R$17="Distrato",$E318,0)),MIN(AA$38,$D$19),$P$20))-SUM($P318:Z318)</f>
        <v>#VALUE!</v>
      </c>
      <c r="AB318" s="446" t="e">
        <f>IF(OR($B318="",MIN(AB$38,$D$19)&lt;MAX($P$34*($B318+IF($R$17="Distrato",$I$38-1,0)),IF(AND($L$37=0,$P$34=0),"",$L$37-1),IF($R$17="Distrato",$E318,0))),0,YEARFRAC(MAX($P$34*($B318+IF($R$17="Distrato",$I$38-1,0)),IF(AND($L$37=0,$P$34=0),"",$L$37-1),IF($R$17="Distrato",$E318,0)),MIN(AB$38,$D$19),$P$20))-SUM($P318:AA318)</f>
        <v>#VALUE!</v>
      </c>
      <c r="AC318" s="446" t="e">
        <f>IF(OR($B318="",MIN(AC$38,$D$19)&lt;MAX($P$34*($B318+IF($R$17="Distrato",$I$38-1,0)),IF(AND($L$37=0,$P$34=0),"",$L$37-1),IF($R$17="Distrato",$E318,0))),0,YEARFRAC(MAX($P$34*($B318+IF($R$17="Distrato",$I$38-1,0)),IF(AND($L$37=0,$P$34=0),"",$L$37-1),IF($R$17="Distrato",$E318,0)),MIN(AC$38,$D$19),$P$20))-SUM($P318:AB318)</f>
        <v>#VALUE!</v>
      </c>
      <c r="AD318" s="446" t="e">
        <f>IF(OR($B318="",MIN(AD$38,$D$19)&lt;MAX($P$34*($B318+IF($R$17="Distrato",$I$38-1,0)),IF(AND($L$37=0,$P$34=0),"",$L$37-1),IF($R$17="Distrato",$E318,0))),0,YEARFRAC(MAX($P$34*($B318+IF($R$17="Distrato",$I$38-1,0)),IF(AND($L$37=0,$P$34=0),"",$L$37-1),IF($R$17="Distrato",$E318,0)),MIN(AD$38,$D$19),$P$20))-SUM($P318:AC318)</f>
        <v>#VALUE!</v>
      </c>
      <c r="AE318" s="446" t="e">
        <f>IF(OR($B318="",MIN(AE$38,$D$19)&lt;MAX($P$34*($B318+IF($R$17="Distrato",$I$38-1,0)),IF(AND($L$37=0,$P$34=0),"",$L$37-1),IF($R$17="Distrato",$E318,0))),0,YEARFRAC(MAX($P$34*($B318+IF($R$17="Distrato",$I$38-1,0)),IF(AND($L$37=0,$P$34=0),"",$L$37-1),IF($R$17="Distrato",$E318,0)),MIN(AE$38,$D$19),$P$20))-SUM($P318:AD318)</f>
        <v>#VALUE!</v>
      </c>
      <c r="AF318" s="446" t="e">
        <f>IF(OR($B318="",MIN(AF$38,$D$19)&lt;MAX($P$34*($B318+IF($R$17="Distrato",$I$38-1,0)),IF(AND($L$37=0,$P$34=0),"",$L$37-1),IF($R$17="Distrato",$E318,0))),0,YEARFRAC(MAX($P$34*($B318+IF($R$17="Distrato",$I$38-1,0)),IF(AND($L$37=0,$P$34=0),"",$L$37-1),IF($R$17="Distrato",$E318,0)),MIN(AF$38,$D$19),$P$20))-SUM($P318:AE318)</f>
        <v>#VALUE!</v>
      </c>
      <c r="AG318" s="446" t="e">
        <f>IF(OR($B318="",MIN(AG$38,$D$19)&lt;MAX($P$34*($B318+IF($R$17="Distrato",$I$38-1,0)),IF(AND($L$37=0,$P$34=0),"",$L$37-1),IF($R$17="Distrato",$E318,0))),0,YEARFRAC(MAX($P$34*($B318+IF($R$17="Distrato",$I$38-1,0)),IF(AND($L$37=0,$P$34=0),"",$L$37-1),IF($R$17="Distrato",$E318,0)),MIN(AG$38,$D$19),$P$20))-SUM($P318:AF318)</f>
        <v>#VALUE!</v>
      </c>
      <c r="AH318" s="446" t="e">
        <f>IF(OR($B318="",MIN(AH$38,$D$19)&lt;MAX($P$34*($B318+IF($R$17="Distrato",$I$38-1,0)),IF(AND($L$37=0,$P$34=0),"",$L$37-1),IF($R$17="Distrato",$E318,0))),0,YEARFRAC(MAX($P$34*($B318+IF($R$17="Distrato",$I$38-1,0)),IF(AND($L$37=0,$P$34=0),"",$L$37-1),IF($R$17="Distrato",$E318,0)),MIN(AH$38,$D$19),$P$20))-SUM($P318:AG318)</f>
        <v>#VALUE!</v>
      </c>
      <c r="AI318" s="446" t="e">
        <f>IF(OR($B318="",MIN(AI$38,$D$19)&lt;MAX($P$34*($B318+IF($R$17="Distrato",$I$38-1,0)),IF(AND($L$37=0,$P$34=0),"",$L$37-1),IF($R$17="Distrato",$E318,0))),0,YEARFRAC(MAX($P$34*($B318+IF($R$17="Distrato",$I$38-1,0)),IF(AND($L$37=0,$P$34=0),"",$L$37-1),IF($R$17="Distrato",$E318,0)),MIN(AI$38,$D$19),$P$20))-SUM($P318:AH318)</f>
        <v>#VALUE!</v>
      </c>
      <c r="AJ318" s="446" t="e">
        <f>IF(OR($B318="",MIN(AJ$38,$D$19)&lt;MAX($P$34*($B318+IF($R$17="Distrato",$I$38-1,0)),IF(AND($L$37=0,$P$34=0),"",$L$37-1),IF($R$17="Distrato",$E318,0))),0,YEARFRAC(MAX($P$34*($B318+IF($R$17="Distrato",$I$38-1,0)),IF(AND($L$37=0,$P$34=0),"",$L$37-1),IF($R$17="Distrato",$E318,0)),MIN(AJ$38,$D$19),$P$20))-SUM($P318:AI318)</f>
        <v>#VALUE!</v>
      </c>
      <c r="AK318" s="446" t="e">
        <f>IF(OR($B318="",MIN(AK$38,$D$19)&lt;MAX($P$34*($B318+IF($R$17="Distrato",$I$38-1,0)),IF(AND($L$37=0,$P$34=0),"",$L$37-1),IF($R$17="Distrato",$E318,0))),0,YEARFRAC(MAX($P$34*($B318+IF($R$17="Distrato",$I$38-1,0)),IF(AND($L$37=0,$P$34=0),"",$L$37-1),IF($R$17="Distrato",$E318,0)),MIN(AK$38,$D$19),$P$20))-SUM($P318:AJ318)</f>
        <v>#VALUE!</v>
      </c>
      <c r="AL318" s="446" t="e">
        <f>IF(OR($B318="",MIN(AL$38,$D$19)&lt;MAX($P$34*($B318+IF($R$17="Distrato",$I$38-1,0)),IF(AND($L$37=0,$P$34=0),"",$L$37-1),IF($R$17="Distrato",$E318,0))),0,YEARFRAC(MAX($P$34*($B318+IF($R$17="Distrato",$I$38-1,0)),IF(AND($L$37=0,$P$34=0),"",$L$37-1),IF($R$17="Distrato",$E318,0)),MIN(AL$38,$D$19),$P$20))-SUM($P318:AK318)</f>
        <v>#VALUE!</v>
      </c>
      <c r="AM318" s="446" t="e">
        <f>IF(OR($B318="",MIN(AM$38,$D$19)&lt;MAX($P$34*($B318+IF($R$17="Distrato",$I$38-1,0)),IF(AND($L$37=0,$P$34=0),"",$L$37-1),IF($R$17="Distrato",$E318,0))),0,YEARFRAC(MAX($P$34*($B318+IF($R$17="Distrato",$I$38-1,0)),IF(AND($L$37=0,$P$34=0),"",$L$37-1),IF($R$17="Distrato",$E318,0)),MIN(AM$38,$D$19),$P$20))-SUM($P318:AL318)</f>
        <v>#VALUE!</v>
      </c>
      <c r="AN318" s="446" t="e">
        <f>IF(OR($B318="",MIN(AN$38,$D$19)&lt;MAX($P$34*($B318+IF($R$17="Distrato",$I$38-1,0)),IF(AND($L$37=0,$P$34=0),"",$L$37-1),IF($R$17="Distrato",$E318,0))),0,YEARFRAC(MAX($P$34*($B318+IF($R$17="Distrato",$I$38-1,0)),IF(AND($L$37=0,$P$34=0),"",$L$37-1),IF($R$17="Distrato",$E318,0)),MIN(AN$38,$D$19),$P$20))-SUM($P318:AM318)</f>
        <v>#VALUE!</v>
      </c>
      <c r="AO318" s="446" t="e">
        <f>IF(OR($B318="",MIN(AO$38,$D$19)&lt;MAX($P$34*($B318+IF($R$17="Distrato",$I$38-1,0)),IF(AND($L$37=0,$P$34=0),"",$L$37-1),IF($R$17="Distrato",$E318,0))),0,YEARFRAC(MAX($P$34*($B318+IF($R$17="Distrato",$I$38-1,0)),IF(AND($L$37=0,$P$34=0),"",$L$37-1),IF($R$17="Distrato",$E318,0)),MIN(AO$38,$D$19),$P$20))-SUM($P318:AN318)</f>
        <v>#VALUE!</v>
      </c>
      <c r="AP318" s="446" t="e">
        <f>IF(OR($B318="",MIN(AP$38,$D$19)&lt;MAX($P$34*($B318+IF($R$17="Distrato",$I$38-1,0)),IF(AND($L$37=0,$P$34=0),"",$L$37-1),IF($R$17="Distrato",$E318,0))),0,YEARFRAC(MAX($P$34*($B318+IF($R$17="Distrato",$I$38-1,0)),IF(AND($L$37=0,$P$34=0),"",$L$37-1),IF($R$17="Distrato",$E318,0)),MIN(AP$38,$D$19),$P$20))-SUM($P318:AO318)</f>
        <v>#VALUE!</v>
      </c>
      <c r="AQ318" s="446" t="e">
        <f>IF(OR($B318="",MIN(AQ$38,$D$19)&lt;MAX($P$34*($B318+IF($R$17="Distrato",$I$38-1,0)),IF(AND($L$37=0,$P$34=0),"",$L$37-1),IF($R$17="Distrato",$E318,0))),0,YEARFRAC(MAX($P$34*($B318+IF($R$17="Distrato",$I$38-1,0)),IF(AND($L$37=0,$P$34=0),"",$L$37-1),IF($R$17="Distrato",$E318,0)),MIN(AQ$38,$D$19),$P$20))-SUM($P318:AP318)</f>
        <v>#VALUE!</v>
      </c>
      <c r="AR318" s="446" t="e">
        <f>IF(OR($B318="",MIN(AR$38,$D$19)&lt;MAX($P$34*($B318+IF($R$17="Distrato",$I$38-1,0)),IF(AND($L$37=0,$P$34=0),"",$L$37-1),IF($R$17="Distrato",$E318,0))),0,YEARFRAC(MAX($P$34*($B318+IF($R$17="Distrato",$I$38-1,0)),IF(AND($L$37=0,$P$34=0),"",$L$37-1),IF($R$17="Distrato",$E318,0)),MIN(AR$38,$D$19),$P$20))-SUM($P318:AQ318)</f>
        <v>#VALUE!</v>
      </c>
      <c r="AS318" s="446" t="e">
        <f>IF(OR($B318="",MIN(AS$38,$D$19)&lt;MAX($P$34*($B318+IF($R$17="Distrato",$I$38-1,0)),IF(AND($L$37=0,$P$34=0),"",$L$37-1),IF($R$17="Distrato",$E318,0))),0,YEARFRAC(MAX($P$34*($B318+IF($R$17="Distrato",$I$38-1,0)),IF(AND($L$37=0,$P$34=0),"",$L$37-1),IF($R$17="Distrato",$E318,0)),MIN(AS$38,$D$19),$P$20))-SUM($P318:AR318)</f>
        <v>#VALUE!</v>
      </c>
      <c r="AT318" s="446" t="e">
        <f>IF(OR($B318="",MIN(AT$38,$D$19)&lt;MAX($P$34*($B318+IF($R$17="Distrato",$I$38-1,0)),IF(AND($L$37=0,$P$34=0),"",$L$37-1),IF($R$17="Distrato",$E318,0))),0,YEARFRAC(MAX($P$34*($B318+IF($R$17="Distrato",$I$38-1,0)),IF(AND($L$37=0,$P$34=0),"",$L$37-1),IF($R$17="Distrato",$E318,0)),MIN(AT$38,$D$19),$P$20))-SUM($P318:AS318)</f>
        <v>#VALUE!</v>
      </c>
      <c r="AU318" s="446" t="e">
        <f>IF(OR($B318="",MIN(AU$38,$D$19)&lt;MAX($P$34*($B318+IF($R$17="Distrato",$I$38-1,0)),IF(AND($L$37=0,$P$34=0),"",$L$37-1),IF($R$17="Distrato",$E318,0))),0,YEARFRAC(MAX($P$34*($B318+IF($R$17="Distrato",$I$38-1,0)),IF(AND($L$37=0,$P$34=0),"",$L$37-1),IF($R$17="Distrato",$E318,0)),MIN(AU$38,$D$19),$P$20))-SUM($P318:AT318)</f>
        <v>#VALUE!</v>
      </c>
      <c r="AV318" s="446" t="e">
        <f>IF(OR($B318="",MIN(AV$38,$D$19)&lt;MAX($P$34*($B318+IF($R$17="Distrato",$I$38-1,0)),IF(AND($L$37=0,$P$34=0),"",$L$37-1),IF($R$17="Distrato",$E318,0))),0,YEARFRAC(MAX($P$34*($B318+IF($R$17="Distrato",$I$38-1,0)),IF(AND($L$37=0,$P$34=0),"",$L$37-1),IF($R$17="Distrato",$E318,0)),MIN(AV$38,$D$19),$P$20))-SUM($P318:AU318)</f>
        <v>#VALUE!</v>
      </c>
      <c r="AW318" s="446" t="e">
        <f>IF(OR($B318="",MIN(AW$38,$D$19)&lt;MAX($P$34*($B318+IF($R$17="Distrato",$I$38-1,0)),IF(AND($L$37=0,$P$34=0),"",$L$37-1),IF($R$17="Distrato",$E318,0))),0,YEARFRAC(MAX($P$34*($B318+IF($R$17="Distrato",$I$38-1,0)),IF(AND($L$37=0,$P$34=0),"",$L$37-1),IF($R$17="Distrato",$E318,0)),MIN(AW$38,$D$19),$P$20))-SUM($P318:AV318)</f>
        <v>#VALUE!</v>
      </c>
      <c r="AX318" s="446" t="e">
        <f>IF(OR($B318="",MIN(AX$38,$D$19)&lt;MAX($P$34*($B318+IF($R$17="Distrato",$I$38-1,0)),IF(AND($L$37=0,$P$34=0),"",$L$37-1),IF($R$17="Distrato",$E318,0))),0,YEARFRAC(MAX($P$34*($B318+IF($R$17="Distrato",$I$38-1,0)),IF(AND($L$37=0,$P$34=0),"",$L$37-1),IF($R$17="Distrato",$E318,0)),MIN(AX$38,$D$19),$P$20))-SUM($P318:AW318)</f>
        <v>#VALUE!</v>
      </c>
      <c r="AY318" s="446" t="e">
        <f>IF(OR($B318="",MIN(AY$38,$D$19)&lt;MAX($P$34*($B318+IF($R$17="Distrato",$I$38-1,0)),IF(AND($L$37=0,$P$34=0),"",$L$37-1),IF($R$17="Distrato",$E318,0))),0,YEARFRAC(MAX($P$34*($B318+IF($R$17="Distrato",$I$38-1,0)),IF(AND($L$37=0,$P$34=0),"",$L$37-1),IF($R$17="Distrato",$E318,0)),MIN(AY$38,$D$19),$P$20))-SUM($P318:AX318)</f>
        <v>#VALUE!</v>
      </c>
      <c r="AZ318" s="446" t="e">
        <f>IF(OR($B318="",MIN(AZ$38,$D$19)&lt;MAX($P$34*($B318+IF($R$17="Distrato",$I$38-1,0)),IF(AND($L$37=0,$P$34=0),"",$L$37-1),IF($R$17="Distrato",$E318,0))),0,YEARFRAC(MAX($P$34*($B318+IF($R$17="Distrato",$I$38-1,0)),IF(AND($L$37=0,$P$34=0),"",$L$37-1),IF($R$17="Distrato",$E318,0)),MIN(AZ$38,$D$19),$P$20))-SUM($P318:AY318)</f>
        <v>#VALUE!</v>
      </c>
      <c r="BA318" s="446" t="e">
        <f>IF(OR($B318="",MIN(BA$38,$D$19)&lt;MAX($P$34*($B318+IF($R$17="Distrato",$I$38-1,0)),IF(AND($L$37=0,$P$34=0),"",$L$37-1),IF($R$17="Distrato",$E318,0))),0,YEARFRAC(MAX($P$34*($B318+IF($R$17="Distrato",$I$38-1,0)),IF(AND($L$37=0,$P$34=0),"",$L$37-1),IF($R$17="Distrato",$E318,0)),MIN(BA$38,$D$19),$P$20))-SUM($P318:AZ318)</f>
        <v>#VALUE!</v>
      </c>
      <c r="BB318" s="447"/>
      <c r="BF318" s="446">
        <f t="shared" si="54"/>
        <v>0</v>
      </c>
      <c r="BG318" s="446">
        <f>IF($E318=0,0,IF(MIN(BG$38,$E318)&lt;MAX($P$34*($B318+$I$38-1),IF(AND($L$37=0,$P$34=0),"",$L$37-1)),0,YEARFRAC(MAX($P$34*($B318+$I$38-1),IF(AND($L$37=0,$P$34=0),"",$L$37-1)),MIN(BG$38,$E318),$P$20))-SUM($BF318:BF318))</f>
        <v>0</v>
      </c>
      <c r="BH318" s="446">
        <f>IF($E318=0,0,IF(MIN(BH$38,$E318)&lt;MAX($P$34*($B318+$I$38-1),IF(AND($L$37=0,$P$34=0),"",$L$37-1)),0,YEARFRAC(MAX($P$34*($B318+$I$38-1),IF(AND($L$37=0,$P$34=0),"",$L$37-1)),MIN(BH$38,$E318),$P$20))-SUM($BF318:BG318))</f>
        <v>0</v>
      </c>
      <c r="BI318" s="446">
        <f>IF($E318=0,0,IF(MIN(BI$38,$E318)&lt;MAX($P$34*($B318+$I$38-1),IF(AND($L$37=0,$P$34=0),"",$L$37-1)),0,YEARFRAC(MAX($P$34*($B318+$I$38-1),IF(AND($L$37=0,$P$34=0),"",$L$37-1)),MIN(BI$38,$E318),$P$20))-SUM($BF318:BH318))</f>
        <v>0</v>
      </c>
      <c r="BJ318" s="446">
        <f>IF($E318=0,0,IF(MIN(BJ$38,$E318)&lt;MAX($P$34*($B318+$I$38-1),IF(AND($L$37=0,$P$34=0),"",$L$37-1)),0,YEARFRAC(MAX($P$34*($B318+$I$38-1),IF(AND($L$37=0,$P$34=0),"",$L$37-1)),MIN(BJ$38,$E318),$P$20))-SUM($BF318:BI318))</f>
        <v>0</v>
      </c>
      <c r="BK318" s="446">
        <f>IF($E318=0,0,IF(MIN(BK$38,$E318)&lt;MAX($P$34*($B318+$I$38-1),IF(AND($L$37=0,$P$34=0),"",$L$37-1)),0,YEARFRAC(MAX($P$34*($B318+$I$38-1),IF(AND($L$37=0,$P$34=0),"",$L$37-1)),MIN(BK$38,$E318),$P$20))-SUM($BF318:BJ318))</f>
        <v>0</v>
      </c>
      <c r="BL318" s="446">
        <f>IF($E318=0,0,IF(MIN(BL$38,$E318)&lt;MAX($P$34*($B318+$I$38-1),IF(AND($L$37=0,$P$34=0),"",$L$37-1)),0,YEARFRAC(MAX($P$34*($B318+$I$38-1),IF(AND($L$37=0,$P$34=0),"",$L$37-1)),MIN(BL$38,$E318),$P$20))-SUM($BF318:BK318))</f>
        <v>0</v>
      </c>
      <c r="BM318" s="446">
        <f>IF($E318=0,0,IF(MIN(BM$38,$E318)&lt;MAX($P$34*($B318+$I$38-1),IF(AND($L$37=0,$P$34=0),"",$L$37-1)),0,YEARFRAC(MAX($P$34*($B318+$I$38-1),IF(AND($L$37=0,$P$34=0),"",$L$37-1)),MIN(BM$38,$E318),$P$20))-SUM($BF318:BL318))</f>
        <v>0</v>
      </c>
      <c r="BN318" s="446">
        <f>IF($E318=0,0,IF(MIN(BN$38,$E318)&lt;MAX($P$34*($B318+$I$38-1),IF(AND($L$37=0,$P$34=0),"",$L$37-1)),0,YEARFRAC(MAX($P$34*($B318+$I$38-1),IF(AND($L$37=0,$P$34=0),"",$L$37-1)),MIN(BN$38,$E318),$P$20))-SUM($BF318:BM318))</f>
        <v>0</v>
      </c>
      <c r="BO318" s="446">
        <f>IF($E318=0,0,IF(MIN(BO$38,$E318)&lt;MAX($P$34*($B318+$I$38-1),IF(AND($L$37=0,$P$34=0),"",$L$37-1)),0,YEARFRAC(MAX($P$34*($B318+$I$38-1),IF(AND($L$37=0,$P$34=0),"",$L$37-1)),MIN(BO$38,$E318),$P$20))-SUM($BF318:BN318))</f>
        <v>0</v>
      </c>
      <c r="BP318" s="446">
        <f>IF($E318=0,0,IF(MIN(BP$38,$E318)&lt;MAX($P$34*($B318+$I$38-1),IF(AND($L$37=0,$P$34=0),"",$L$37-1)),0,YEARFRAC(MAX($P$34*($B318+$I$38-1),IF(AND($L$37=0,$P$34=0),"",$L$37-1)),MIN(BP$38,$E318),$P$20))-SUM($BF318:BO318))</f>
        <v>0</v>
      </c>
      <c r="BQ318" s="446">
        <f>IF($E318=0,0,IF(MIN(BQ$38,$E318)&lt;MAX($P$34*($B318+$I$38-1),IF(AND($L$37=0,$P$34=0),"",$L$37-1)),0,YEARFRAC(MAX($P$34*($B318+$I$38-1),IF(AND($L$37=0,$P$34=0),"",$L$37-1)),MIN(BQ$38,$E318),$P$20))-SUM($BF318:BP318))</f>
        <v>0</v>
      </c>
      <c r="BR318" s="446">
        <f>IF($E318=0,0,IF(MIN(BR$38,$E318)&lt;MAX($P$34*($B318+$I$38-1),IF(AND($L$37=0,$P$34=0),"",$L$37-1)),0,YEARFRAC(MAX($P$34*($B318+$I$38-1),IF(AND($L$37=0,$P$34=0),"",$L$37-1)),MIN(BR$38,$E318),$P$20))-SUM($BF318:BQ318))</f>
        <v>0</v>
      </c>
      <c r="BS318" s="446">
        <f>IF($E318=0,0,IF(MIN(BS$38,$E318)&lt;MAX($P$34*($B318+$I$38-1),IF(AND($L$37=0,$P$34=0),"",$L$37-1)),0,YEARFRAC(MAX($P$34*($B318+$I$38-1),IF(AND($L$37=0,$P$34=0),"",$L$37-1)),MIN(BS$38,$E318),$P$20))-SUM($BF318:BR318))</f>
        <v>0</v>
      </c>
      <c r="BT318" s="446">
        <f>IF($E318=0,0,IF(MIN(BT$38,$E318)&lt;MAX($P$34*($B318+$I$38-1),IF(AND($L$37=0,$P$34=0),"",$L$37-1)),0,YEARFRAC(MAX($P$34*($B318+$I$38-1),IF(AND($L$37=0,$P$34=0),"",$L$37-1)),MIN(BT$38,$E318),$P$20))-SUM($BF318:BS318))</f>
        <v>0</v>
      </c>
      <c r="BU318" s="446">
        <f>IF($E318=0,0,IF(MIN(BU$38,$E318)&lt;MAX($P$34*($B318+$I$38-1),IF(AND($L$37=0,$P$34=0),"",$L$37-1)),0,YEARFRAC(MAX($P$34*($B318+$I$38-1),IF(AND($L$37=0,$P$34=0),"",$L$37-1)),MIN(BU$38,$E318),$P$20))-SUM($BF318:BT318))</f>
        <v>0</v>
      </c>
      <c r="BV318" s="446">
        <f>IF($E318=0,0,IF(MIN(BV$38,$E318)&lt;MAX($P$34*($B318+$I$38-1),IF(AND($L$37=0,$P$34=0),"",$L$37-1)),0,YEARFRAC(MAX($P$34*($B318+$I$38-1),IF(AND($L$37=0,$P$34=0),"",$L$37-1)),MIN(BV$38,$E318),$P$20))-SUM($BF318:BU318))</f>
        <v>0</v>
      </c>
      <c r="BW318" s="446">
        <f>IF($E318=0,0,IF(MIN(BW$38,$E318)&lt;MAX($P$34*($B318+$I$38-1),IF(AND($L$37=0,$P$34=0),"",$L$37-1)),0,YEARFRAC(MAX($P$34*($B318+$I$38-1),IF(AND($L$37=0,$P$34=0),"",$L$37-1)),MIN(BW$38,$E318),$P$20))-SUM($BF318:BV318))</f>
        <v>0</v>
      </c>
      <c r="BX318" s="446">
        <f>IF($E318=0,0,IF(MIN(BX$38,$E318)&lt;MAX($P$34*($B318+$I$38-1),IF(AND($L$37=0,$P$34=0),"",$L$37-1)),0,YEARFRAC(MAX($P$34*($B318+$I$38-1),IF(AND($L$37=0,$P$34=0),"",$L$37-1)),MIN(BX$38,$E318),$P$20))-SUM($BF318:BW318))</f>
        <v>0</v>
      </c>
      <c r="BY318" s="446">
        <f>IF($E318=0,0,IF(MIN(BY$38,$E318)&lt;MAX($P$34*($B318+$I$38-1),IF(AND($L$37=0,$P$34=0),"",$L$37-1)),0,YEARFRAC(MAX($P$34*($B318+$I$38-1),IF(AND($L$37=0,$P$34=0),"",$L$37-1)),MIN(BY$38,$E318),$P$20))-SUM($BF318:BX318))</f>
        <v>0</v>
      </c>
      <c r="BZ318" s="446">
        <f>IF($E318=0,0,IF(MIN(BZ$38,$E318)&lt;MAX($P$34*($B318+$I$38-1),IF(AND($L$37=0,$P$34=0),"",$L$37-1)),0,YEARFRAC(MAX($P$34*($B318+$I$38-1),IF(AND($L$37=0,$P$34=0),"",$L$37-1)),MIN(BZ$38,$E318),$P$20))-SUM($BF318:BY318))</f>
        <v>0</v>
      </c>
      <c r="CA318" s="446">
        <f>IF($E318=0,0,IF(MIN(CA$38,$E318)&lt;MAX($P$34*($B318+$I$38-1),IF(AND($L$37=0,$P$34=0),"",$L$37-1)),0,YEARFRAC(MAX($P$34*($B318+$I$38-1),IF(AND($L$37=0,$P$34=0),"",$L$37-1)),MIN(CA$38,$E318),$P$20))-SUM($BF318:BZ318))</f>
        <v>0</v>
      </c>
      <c r="CB318" s="446">
        <f>IF($E318=0,0,IF(MIN(CB$38,$E318)&lt;MAX($P$34*($B318+$I$38-1),IF(AND($L$37=0,$P$34=0),"",$L$37-1)),0,YEARFRAC(MAX($P$34*($B318+$I$38-1),IF(AND($L$37=0,$P$34=0),"",$L$37-1)),MIN(CB$38,$E318),$P$20))-SUM($BF318:CA318))</f>
        <v>0</v>
      </c>
      <c r="CC318" s="446">
        <f>IF($E318=0,0,IF(MIN(CC$38,$E318)&lt;MAX($P$34*($B318+$I$38-1),IF(AND($L$37=0,$P$34=0),"",$L$37-1)),0,YEARFRAC(MAX($P$34*($B318+$I$38-1),IF(AND($L$37=0,$P$34=0),"",$L$37-1)),MIN(CC$38,$E318),$P$20))-SUM($BF318:CB318))</f>
        <v>0</v>
      </c>
      <c r="CD318" s="446">
        <f>IF($E318=0,0,IF(MIN(CD$38,$E318)&lt;MAX($P$34*($B318+$I$38-1),IF(AND($L$37=0,$P$34=0),"",$L$37-1)),0,YEARFRAC(MAX($P$34*($B318+$I$38-1),IF(AND($L$37=0,$P$34=0),"",$L$37-1)),MIN(CD$38,$E318),$P$20))-SUM($BF318:CC318))</f>
        <v>0</v>
      </c>
      <c r="CE318" s="446">
        <f>IF($E318=0,0,IF(MIN(CE$38,$E318)&lt;MAX($P$34*($B318+$I$38-1),IF(AND($L$37=0,$P$34=0),"",$L$37-1)),0,YEARFRAC(MAX($P$34*($B318+$I$38-1),IF(AND($L$37=0,$P$34=0),"",$L$37-1)),MIN(CE$38,$E318),$P$20))-SUM($BF318:CD318))</f>
        <v>0</v>
      </c>
      <c r="CF318" s="446">
        <f>IF($E318=0,0,IF(MIN(CF$38,$E318)&lt;MAX($P$34*($B318+$I$38-1),IF(AND($L$37=0,$P$34=0),"",$L$37-1)),0,YEARFRAC(MAX($P$34*($B318+$I$38-1),IF(AND($L$37=0,$P$34=0),"",$L$37-1)),MIN(CF$38,$E318),$P$20))-SUM($BF318:CE318))</f>
        <v>0</v>
      </c>
      <c r="CG318" s="446">
        <f>IF($E318=0,0,IF(MIN(CG$38,$E318)&lt;MAX($P$34*($B318+$I$38-1),IF(AND($L$37=0,$P$34=0),"",$L$37-1)),0,YEARFRAC(MAX($P$34*($B318+$I$38-1),IF(AND($L$37=0,$P$34=0),"",$L$37-1)),MIN(CG$38,$E318),$P$20))-SUM($BF318:CF318))</f>
        <v>0</v>
      </c>
      <c r="CH318" s="446">
        <f>IF($E318=0,0,IF(MIN(CH$38,$E318)&lt;MAX($P$34*($B318+$I$38-1),IF(AND($L$37=0,$P$34=0),"",$L$37-1)),0,YEARFRAC(MAX($P$34*($B318+$I$38-1),IF(AND($L$37=0,$P$34=0),"",$L$37-1)),MIN(CH$38,$E318),$P$20))-SUM($BF318:CG318))</f>
        <v>0</v>
      </c>
      <c r="CI318" s="446">
        <f>IF($E318=0,0,IF(MIN(CI$38,$E318)&lt;MAX($P$34*($B318+$I$38-1),IF(AND($L$37=0,$P$34=0),"",$L$37-1)),0,YEARFRAC(MAX($P$34*($B318+$I$38-1),IF(AND($L$37=0,$P$34=0),"",$L$37-1)),MIN(CI$38,$E318),$P$20))-SUM($BF318:CH318))</f>
        <v>0</v>
      </c>
      <c r="CJ318" s="446">
        <f>IF($E318=0,0,IF(MIN(CJ$38,$E318)&lt;MAX($P$34*($B318+$I$38-1),IF(AND($L$37=0,$P$34=0),"",$L$37-1)),0,YEARFRAC(MAX($P$34*($B318+$I$38-1),IF(AND($L$37=0,$P$34=0),"",$L$37-1)),MIN(CJ$38,$E318),$P$20))-SUM($BF318:CI318))</f>
        <v>0</v>
      </c>
      <c r="CK318" s="446">
        <f>IF($E318=0,0,IF(MIN(CK$38,$E318)&lt;MAX($P$34*($B318+$I$38-1),IF(AND($L$37=0,$P$34=0),"",$L$37-1)),0,YEARFRAC(MAX($P$34*($B318+$I$38-1),IF(AND($L$37=0,$P$34=0),"",$L$37-1)),MIN(CK$38,$E318),$P$20))-SUM($BF318:CJ318))</f>
        <v>0</v>
      </c>
      <c r="CL318" s="446">
        <f>IF($E318=0,0,IF(MIN(CL$38,$E318)&lt;MAX($P$34*($B318+$I$38-1),IF(AND($L$37=0,$P$34=0),"",$L$37-1)),0,YEARFRAC(MAX($P$34*($B318+$I$38-1),IF(AND($L$37=0,$P$34=0),"",$L$37-1)),MIN(CL$38,$E318),$P$20))-SUM($BF318:CK318))</f>
        <v>0</v>
      </c>
      <c r="CM318" s="446">
        <f>IF($E318=0,0,IF(MIN(CM$38,$E318)&lt;MAX($P$34*($B318+$I$38-1),IF(AND($L$37=0,$P$34=0),"",$L$37-1)),0,YEARFRAC(MAX($P$34*($B318+$I$38-1),IF(AND($L$37=0,$P$34=0),"",$L$37-1)),MIN(CM$38,$E318),$P$20))-SUM($BF318:CL318))</f>
        <v>0</v>
      </c>
      <c r="CN318" s="446">
        <f>IF($E318=0,0,IF(MIN(CN$38,$E318)&lt;MAX($P$34*($B318+$I$38-1),IF(AND($L$37=0,$P$34=0),"",$L$37-1)),0,YEARFRAC(MAX($P$34*($B318+$I$38-1),IF(AND($L$37=0,$P$34=0),"",$L$37-1)),MIN(CN$38,$E318),$P$20))-SUM($BF318:CM318))</f>
        <v>0</v>
      </c>
      <c r="CO318" s="446">
        <f>IF($E318=0,0,IF(MIN(CO$38,$E318)&lt;MAX($P$34*($B318+$I$38-1),IF(AND($L$37=0,$P$34=0),"",$L$37-1)),0,YEARFRAC(MAX($P$34*($B318+$I$38-1),IF(AND($L$37=0,$P$34=0),"",$L$37-1)),MIN(CO$38,$E318),$P$20))-SUM($BF318:CN318))</f>
        <v>0</v>
      </c>
      <c r="CP318" s="446">
        <f>IF($E318=0,0,IF(MIN(CP$38,$E318)&lt;MAX($P$34*($B318+$I$38-1),IF(AND($L$37=0,$P$34=0),"",$L$37-1)),0,YEARFRAC(MAX($P$34*($B318+$I$38-1),IF(AND($L$37=0,$P$34=0),"",$L$37-1)),MIN(CP$38,$E318),$P$20))-SUM($BF318:CO318))</f>
        <v>0</v>
      </c>
      <c r="CQ318" s="446">
        <f>IF($E318=0,0,IF(MIN(CQ$38,$E318)&lt;MAX($P$34*($B318+$I$38-1),IF(AND($L$37=0,$P$34=0),"",$L$37-1)),0,YEARFRAC(MAX($P$34*($B318+$I$38-1),IF(AND($L$37=0,$P$34=0),"",$L$37-1)),MIN(CQ$38,$E318),$P$20))-SUM($BF318:CP318))</f>
        <v>0</v>
      </c>
    </row>
    <row r="319" spans="1:95" s="446" customFormat="1" ht="11.25" hidden="1" customHeight="1" x14ac:dyDescent="0.2">
      <c r="A319" s="152"/>
      <c r="B319" s="153" t="str">
        <f t="shared" si="59"/>
        <v/>
      </c>
      <c r="C319" s="29" t="str">
        <f>IF(B319="","",IF($L$35="SELIC - TRIBUTOS",VLOOKUP(DATE(YEAR($D$19),MONTH($D$19)-1,1),ÍNDICES!$A:$DE,HLOOKUP($BL$25,ÍNDICES!$B$3:$T$4,2)+11)-VLOOKUP(B319,ÍNDICES!$A:$DE,HLOOKUP($BL$25,ÍNDICES!$B$3:$T$4,2)+11)+1%,IF(C$38=$W$26,$J$35,IF(ISERROR(IF(B319&gt;$D$19,1,VLOOKUP(DATE(YEAR(B319),MONTH(B319)+IF($C$35=$S$23,1,0),1),ÍNDICES!$A:$DE,$Z$35+1))),"",IF(B319&gt;$D$19,1,VLOOKUP(DATE(YEAR(B319),MONTH(B319)+IF($C$35=$S$23,1,0),1),ÍNDICES!$A:$DE,$Z$35+1))))))</f>
        <v/>
      </c>
      <c r="D319" s="154" t="str">
        <f>IF(ISERROR(IF(OR($D$38=$Y$27,$B319=""),"",VLOOKUP(B319,ÍNDICES!A:DE,AF$35+1))),"",IF(OR($D$38=$Y$27,$B319=""),"",VLOOKUP(B319,ÍNDICES!A:DE,AF$35+1)))</f>
        <v/>
      </c>
      <c r="E319" s="153"/>
      <c r="F319" s="29" t="str">
        <f>IF(E319="","",IF($L$35="SELIC - TRIBUTOS",VLOOKUP(DATE(YEAR($D$19),MONTH($D$19)-1,1),ÍNDICES!$A:$DE,HLOOKUP($BL$25,ÍNDICES!$B$3:$T$4,2)+11)-VLOOKUP(E319,ÍNDICES!$A:$DE,HLOOKUP($BL$25,ÍNDICES!$B$3:$T$4,2)+11)+1%,IF(F$38=$W$26,$J$35,IF(ISERROR(IF(E319&gt;$D$19,1,VLOOKUP(DATE(YEAR(E319),MONTH(E319)+IF($C$35=$S$23,1,0),1),ÍNDICES!$A:$DE,$Z$35+1))),"",IF(E319&gt;$D$19,1,VLOOKUP(DATE(YEAR(E319),MONTH(E319)+IF($C$35=$S$23,1,0),1),ÍNDICES!$A:$DE,$Z$35+1))))))</f>
        <v/>
      </c>
      <c r="G319" s="155"/>
      <c r="H319" s="156" t="str">
        <f t="shared" si="55"/>
        <v/>
      </c>
      <c r="I319" s="29" t="str">
        <f t="shared" si="49"/>
        <v/>
      </c>
      <c r="J319" s="5">
        <f t="shared" si="50"/>
        <v>0</v>
      </c>
      <c r="K319" s="20">
        <f t="shared" ca="1" si="51"/>
        <v>0</v>
      </c>
      <c r="L319" s="5">
        <f t="shared" ca="1" si="52"/>
        <v>0</v>
      </c>
      <c r="M319" s="64">
        <f t="shared" si="56"/>
        <v>0</v>
      </c>
      <c r="N319" s="61">
        <f t="shared" ca="1" si="57"/>
        <v>0</v>
      </c>
      <c r="O319" s="5">
        <f t="shared" ca="1" si="58"/>
        <v>0</v>
      </c>
      <c r="P319" s="446" t="e">
        <f t="shared" si="53"/>
        <v>#VALUE!</v>
      </c>
      <c r="Q319" s="446" t="e">
        <f>IF(OR($B319="",MIN(Q$38,$D$19)&lt;MAX($P$34*($B319+IF($R$17="Distrato",$I$38-1,0)),IF(AND($L$37=0,$P$34=0),"",$L$37-1),IF($R$17="Distrato",$E319,0))),0,YEARFRAC(MAX($P$34*($B319+IF($R$17="Distrato",$I$38-1,0)),IF(AND($L$37=0,$P$34=0),"",$L$37-1),IF($R$17="Distrato",$E319,0)),MIN(Q$38,$D$19),$P$20))-SUM($P319:P319)</f>
        <v>#VALUE!</v>
      </c>
      <c r="R319" s="446" t="e">
        <f>IF(OR($B319="",MIN(R$38,$D$19)&lt;MAX($P$34*($B319+IF($R$17="Distrato",$I$38-1,0)),IF(AND($L$37=0,$P$34=0),"",$L$37-1),IF($R$17="Distrato",$E319,0))),0,YEARFRAC(MAX($P$34*($B319+IF($R$17="Distrato",$I$38-1,0)),IF(AND($L$37=0,$P$34=0),"",$L$37-1),IF($R$17="Distrato",$E319,0)),MIN(R$38,$D$19),$P$20))-SUM($P319:Q319)</f>
        <v>#VALUE!</v>
      </c>
      <c r="S319" s="446" t="e">
        <f>IF(OR($B319="",MIN(S$38,$D$19)&lt;MAX($P$34*($B319+IF($R$17="Distrato",$I$38-1,0)),IF(AND($L$37=0,$P$34=0),"",$L$37-1),IF($R$17="Distrato",$E319,0))),0,YEARFRAC(MAX($P$34*($B319+IF($R$17="Distrato",$I$38-1,0)),IF(AND($L$37=0,$P$34=0),"",$L$37-1),IF($R$17="Distrato",$E319,0)),MIN(S$38,$D$19),$P$20))-SUM($P319:R319)</f>
        <v>#VALUE!</v>
      </c>
      <c r="T319" s="446" t="e">
        <f>IF(OR($B319="",MIN(T$38,$D$19)&lt;MAX($P$34*($B319+IF($R$17="Distrato",$I$38-1,0)),IF(AND($L$37=0,$P$34=0),"",$L$37-1),IF($R$17="Distrato",$E319,0))),0,YEARFRAC(MAX($P$34*($B319+IF($R$17="Distrato",$I$38-1,0)),IF(AND($L$37=0,$P$34=0),"",$L$37-1),IF($R$17="Distrato",$E319,0)),MIN(T$38,$D$19),$P$20))-SUM($P319:S319)</f>
        <v>#VALUE!</v>
      </c>
      <c r="U319" s="446" t="e">
        <f>IF(OR($B319="",MIN(U$38,$D$19)&lt;MAX($P$34*($B319+IF($R$17="Distrato",$I$38-1,0)),IF(AND($L$37=0,$P$34=0),"",$L$37-1),IF($R$17="Distrato",$E319,0))),0,YEARFRAC(MAX($P$34*($B319+IF($R$17="Distrato",$I$38-1,0)),IF(AND($L$37=0,$P$34=0),"",$L$37-1),IF($R$17="Distrato",$E319,0)),MIN(U$38,$D$19),$P$20))-SUM($P319:T319)</f>
        <v>#VALUE!</v>
      </c>
      <c r="V319" s="446" t="e">
        <f>IF(OR($B319="",MIN(V$38,$D$19)&lt;MAX($P$34*($B319+IF($R$17="Distrato",$I$38-1,0)),IF(AND($L$37=0,$P$34=0),"",$L$37-1),IF($R$17="Distrato",$E319,0))),0,YEARFRAC(MAX($P$34*($B319+IF($R$17="Distrato",$I$38-1,0)),IF(AND($L$37=0,$P$34=0),"",$L$37-1),IF($R$17="Distrato",$E319,0)),MIN(V$38,$D$19),$P$20))-SUM($P319:U319)</f>
        <v>#VALUE!</v>
      </c>
      <c r="W319" s="446" t="e">
        <f>IF(OR($B319="",MIN(W$38,$D$19)&lt;MAX($P$34*($B319+IF($R$17="Distrato",$I$38-1,0)),IF(AND($L$37=0,$P$34=0),"",$L$37-1),IF($R$17="Distrato",$E319,0))),0,YEARFRAC(MAX($P$34*($B319+IF($R$17="Distrato",$I$38-1,0)),IF(AND($L$37=0,$P$34=0),"",$L$37-1),IF($R$17="Distrato",$E319,0)),MIN(W$38,$D$19),$P$20))-SUM($P319:V319)</f>
        <v>#VALUE!</v>
      </c>
      <c r="X319" s="446" t="e">
        <f>IF(OR($B319="",MIN(X$38,$D$19)&lt;MAX($P$34*($B319+IF($R$17="Distrato",$I$38-1,0)),IF(AND($L$37=0,$P$34=0),"",$L$37-1),IF($R$17="Distrato",$E319,0))),0,YEARFRAC(MAX($P$34*($B319+IF($R$17="Distrato",$I$38-1,0)),IF(AND($L$37=0,$P$34=0),"",$L$37-1),IF($R$17="Distrato",$E319,0)),MIN(X$38,$D$19),$P$20))-SUM($P319:W319)</f>
        <v>#VALUE!</v>
      </c>
      <c r="Y319" s="446" t="e">
        <f>IF(OR($B319="",MIN(Y$38,$D$19)&lt;MAX($P$34*($B319+IF($R$17="Distrato",$I$38-1,0)),IF(AND($L$37=0,$P$34=0),"",$L$37-1),IF($R$17="Distrato",$E319,0))),0,YEARFRAC(MAX($P$34*($B319+IF($R$17="Distrato",$I$38-1,0)),IF(AND($L$37=0,$P$34=0),"",$L$37-1),IF($R$17="Distrato",$E319,0)),MIN(Y$38,$D$19),$P$20))-SUM($P319:X319)</f>
        <v>#VALUE!</v>
      </c>
      <c r="Z319" s="446" t="e">
        <f>IF(OR($B319="",MIN(Z$38,$D$19)&lt;MAX($P$34*($B319+IF($R$17="Distrato",$I$38-1,0)),IF(AND($L$37=0,$P$34=0),"",$L$37-1),IF($R$17="Distrato",$E319,0))),0,YEARFRAC(MAX($P$34*($B319+IF($R$17="Distrato",$I$38-1,0)),IF(AND($L$37=0,$P$34=0),"",$L$37-1),IF($R$17="Distrato",$E319,0)),MIN(Z$38,$D$19),$P$20))-SUM($P319:Y319)</f>
        <v>#VALUE!</v>
      </c>
      <c r="AA319" s="446" t="e">
        <f>IF(OR($B319="",MIN(AA$38,$D$19)&lt;MAX($P$34*($B319+IF($R$17="Distrato",$I$38-1,0)),IF(AND($L$37=0,$P$34=0),"",$L$37-1),IF($R$17="Distrato",$E319,0))),0,YEARFRAC(MAX($P$34*($B319+IF($R$17="Distrato",$I$38-1,0)),IF(AND($L$37=0,$P$34=0),"",$L$37-1),IF($R$17="Distrato",$E319,0)),MIN(AA$38,$D$19),$P$20))-SUM($P319:Z319)</f>
        <v>#VALUE!</v>
      </c>
      <c r="AB319" s="446" t="e">
        <f>IF(OR($B319="",MIN(AB$38,$D$19)&lt;MAX($P$34*($B319+IF($R$17="Distrato",$I$38-1,0)),IF(AND($L$37=0,$P$34=0),"",$L$37-1),IF($R$17="Distrato",$E319,0))),0,YEARFRAC(MAX($P$34*($B319+IF($R$17="Distrato",$I$38-1,0)),IF(AND($L$37=0,$P$34=0),"",$L$37-1),IF($R$17="Distrato",$E319,0)),MIN(AB$38,$D$19),$P$20))-SUM($P319:AA319)</f>
        <v>#VALUE!</v>
      </c>
      <c r="AC319" s="446" t="e">
        <f>IF(OR($B319="",MIN(AC$38,$D$19)&lt;MAX($P$34*($B319+IF($R$17="Distrato",$I$38-1,0)),IF(AND($L$37=0,$P$34=0),"",$L$37-1),IF($R$17="Distrato",$E319,0))),0,YEARFRAC(MAX($P$34*($B319+IF($R$17="Distrato",$I$38-1,0)),IF(AND($L$37=0,$P$34=0),"",$L$37-1),IF($R$17="Distrato",$E319,0)),MIN(AC$38,$D$19),$P$20))-SUM($P319:AB319)</f>
        <v>#VALUE!</v>
      </c>
      <c r="AD319" s="446" t="e">
        <f>IF(OR($B319="",MIN(AD$38,$D$19)&lt;MAX($P$34*($B319+IF($R$17="Distrato",$I$38-1,0)),IF(AND($L$37=0,$P$34=0),"",$L$37-1),IF($R$17="Distrato",$E319,0))),0,YEARFRAC(MAX($P$34*($B319+IF($R$17="Distrato",$I$38-1,0)),IF(AND($L$37=0,$P$34=0),"",$L$37-1),IF($R$17="Distrato",$E319,0)),MIN(AD$38,$D$19),$P$20))-SUM($P319:AC319)</f>
        <v>#VALUE!</v>
      </c>
      <c r="AE319" s="446" t="e">
        <f>IF(OR($B319="",MIN(AE$38,$D$19)&lt;MAX($P$34*($B319+IF($R$17="Distrato",$I$38-1,0)),IF(AND($L$37=0,$P$34=0),"",$L$37-1),IF($R$17="Distrato",$E319,0))),0,YEARFRAC(MAX($P$34*($B319+IF($R$17="Distrato",$I$38-1,0)),IF(AND($L$37=0,$P$34=0),"",$L$37-1),IF($R$17="Distrato",$E319,0)),MIN(AE$38,$D$19),$P$20))-SUM($P319:AD319)</f>
        <v>#VALUE!</v>
      </c>
      <c r="AF319" s="446" t="e">
        <f>IF(OR($B319="",MIN(AF$38,$D$19)&lt;MAX($P$34*($B319+IF($R$17="Distrato",$I$38-1,0)),IF(AND($L$37=0,$P$34=0),"",$L$37-1),IF($R$17="Distrato",$E319,0))),0,YEARFRAC(MAX($P$34*($B319+IF($R$17="Distrato",$I$38-1,0)),IF(AND($L$37=0,$P$34=0),"",$L$37-1),IF($R$17="Distrato",$E319,0)),MIN(AF$38,$D$19),$P$20))-SUM($P319:AE319)</f>
        <v>#VALUE!</v>
      </c>
      <c r="AG319" s="446" t="e">
        <f>IF(OR($B319="",MIN(AG$38,$D$19)&lt;MAX($P$34*($B319+IF($R$17="Distrato",$I$38-1,0)),IF(AND($L$37=0,$P$34=0),"",$L$37-1),IF($R$17="Distrato",$E319,0))),0,YEARFRAC(MAX($P$34*($B319+IF($R$17="Distrato",$I$38-1,0)),IF(AND($L$37=0,$P$34=0),"",$L$37-1),IF($R$17="Distrato",$E319,0)),MIN(AG$38,$D$19),$P$20))-SUM($P319:AF319)</f>
        <v>#VALUE!</v>
      </c>
      <c r="AH319" s="446" t="e">
        <f>IF(OR($B319="",MIN(AH$38,$D$19)&lt;MAX($P$34*($B319+IF($R$17="Distrato",$I$38-1,0)),IF(AND($L$37=0,$P$34=0),"",$L$37-1),IF($R$17="Distrato",$E319,0))),0,YEARFRAC(MAX($P$34*($B319+IF($R$17="Distrato",$I$38-1,0)),IF(AND($L$37=0,$P$34=0),"",$L$37-1),IF($R$17="Distrato",$E319,0)),MIN(AH$38,$D$19),$P$20))-SUM($P319:AG319)</f>
        <v>#VALUE!</v>
      </c>
      <c r="AI319" s="446" t="e">
        <f>IF(OR($B319="",MIN(AI$38,$D$19)&lt;MAX($P$34*($B319+IF($R$17="Distrato",$I$38-1,0)),IF(AND($L$37=0,$P$34=0),"",$L$37-1),IF($R$17="Distrato",$E319,0))),0,YEARFRAC(MAX($P$34*($B319+IF($R$17="Distrato",$I$38-1,0)),IF(AND($L$37=0,$P$34=0),"",$L$37-1),IF($R$17="Distrato",$E319,0)),MIN(AI$38,$D$19),$P$20))-SUM($P319:AH319)</f>
        <v>#VALUE!</v>
      </c>
      <c r="AJ319" s="446" t="e">
        <f>IF(OR($B319="",MIN(AJ$38,$D$19)&lt;MAX($P$34*($B319+IF($R$17="Distrato",$I$38-1,0)),IF(AND($L$37=0,$P$34=0),"",$L$37-1),IF($R$17="Distrato",$E319,0))),0,YEARFRAC(MAX($P$34*($B319+IF($R$17="Distrato",$I$38-1,0)),IF(AND($L$37=0,$P$34=0),"",$L$37-1),IF($R$17="Distrato",$E319,0)),MIN(AJ$38,$D$19),$P$20))-SUM($P319:AI319)</f>
        <v>#VALUE!</v>
      </c>
      <c r="AK319" s="446" t="e">
        <f>IF(OR($B319="",MIN(AK$38,$D$19)&lt;MAX($P$34*($B319+IF($R$17="Distrato",$I$38-1,0)),IF(AND($L$37=0,$P$34=0),"",$L$37-1),IF($R$17="Distrato",$E319,0))),0,YEARFRAC(MAX($P$34*($B319+IF($R$17="Distrato",$I$38-1,0)),IF(AND($L$37=0,$P$34=0),"",$L$37-1),IF($R$17="Distrato",$E319,0)),MIN(AK$38,$D$19),$P$20))-SUM($P319:AJ319)</f>
        <v>#VALUE!</v>
      </c>
      <c r="AL319" s="446" t="e">
        <f>IF(OR($B319="",MIN(AL$38,$D$19)&lt;MAX($P$34*($B319+IF($R$17="Distrato",$I$38-1,0)),IF(AND($L$37=0,$P$34=0),"",$L$37-1),IF($R$17="Distrato",$E319,0))),0,YEARFRAC(MAX($P$34*($B319+IF($R$17="Distrato",$I$38-1,0)),IF(AND($L$37=0,$P$34=0),"",$L$37-1),IF($R$17="Distrato",$E319,0)),MIN(AL$38,$D$19),$P$20))-SUM($P319:AK319)</f>
        <v>#VALUE!</v>
      </c>
      <c r="AM319" s="446" t="e">
        <f>IF(OR($B319="",MIN(AM$38,$D$19)&lt;MAX($P$34*($B319+IF($R$17="Distrato",$I$38-1,0)),IF(AND($L$37=0,$P$34=0),"",$L$37-1),IF($R$17="Distrato",$E319,0))),0,YEARFRAC(MAX($P$34*($B319+IF($R$17="Distrato",$I$38-1,0)),IF(AND($L$37=0,$P$34=0),"",$L$37-1),IF($R$17="Distrato",$E319,0)),MIN(AM$38,$D$19),$P$20))-SUM($P319:AL319)</f>
        <v>#VALUE!</v>
      </c>
      <c r="AN319" s="446" t="e">
        <f>IF(OR($B319="",MIN(AN$38,$D$19)&lt;MAX($P$34*($B319+IF($R$17="Distrato",$I$38-1,0)),IF(AND($L$37=0,$P$34=0),"",$L$37-1),IF($R$17="Distrato",$E319,0))),0,YEARFRAC(MAX($P$34*($B319+IF($R$17="Distrato",$I$38-1,0)),IF(AND($L$37=0,$P$34=0),"",$L$37-1),IF($R$17="Distrato",$E319,0)),MIN(AN$38,$D$19),$P$20))-SUM($P319:AM319)</f>
        <v>#VALUE!</v>
      </c>
      <c r="AO319" s="446" t="e">
        <f>IF(OR($B319="",MIN(AO$38,$D$19)&lt;MAX($P$34*($B319+IF($R$17="Distrato",$I$38-1,0)),IF(AND($L$37=0,$P$34=0),"",$L$37-1),IF($R$17="Distrato",$E319,0))),0,YEARFRAC(MAX($P$34*($B319+IF($R$17="Distrato",$I$38-1,0)),IF(AND($L$37=0,$P$34=0),"",$L$37-1),IF($R$17="Distrato",$E319,0)),MIN(AO$38,$D$19),$P$20))-SUM($P319:AN319)</f>
        <v>#VALUE!</v>
      </c>
      <c r="AP319" s="446" t="e">
        <f>IF(OR($B319="",MIN(AP$38,$D$19)&lt;MAX($P$34*($B319+IF($R$17="Distrato",$I$38-1,0)),IF(AND($L$37=0,$P$34=0),"",$L$37-1),IF($R$17="Distrato",$E319,0))),0,YEARFRAC(MAX($P$34*($B319+IF($R$17="Distrato",$I$38-1,0)),IF(AND($L$37=0,$P$34=0),"",$L$37-1),IF($R$17="Distrato",$E319,0)),MIN(AP$38,$D$19),$P$20))-SUM($P319:AO319)</f>
        <v>#VALUE!</v>
      </c>
      <c r="AQ319" s="446" t="e">
        <f>IF(OR($B319="",MIN(AQ$38,$D$19)&lt;MAX($P$34*($B319+IF($R$17="Distrato",$I$38-1,0)),IF(AND($L$37=0,$P$34=0),"",$L$37-1),IF($R$17="Distrato",$E319,0))),0,YEARFRAC(MAX($P$34*($B319+IF($R$17="Distrato",$I$38-1,0)),IF(AND($L$37=0,$P$34=0),"",$L$37-1),IF($R$17="Distrato",$E319,0)),MIN(AQ$38,$D$19),$P$20))-SUM($P319:AP319)</f>
        <v>#VALUE!</v>
      </c>
      <c r="AR319" s="446" t="e">
        <f>IF(OR($B319="",MIN(AR$38,$D$19)&lt;MAX($P$34*($B319+IF($R$17="Distrato",$I$38-1,0)),IF(AND($L$37=0,$P$34=0),"",$L$37-1),IF($R$17="Distrato",$E319,0))),0,YEARFRAC(MAX($P$34*($B319+IF($R$17="Distrato",$I$38-1,0)),IF(AND($L$37=0,$P$34=0),"",$L$37-1),IF($R$17="Distrato",$E319,0)),MIN(AR$38,$D$19),$P$20))-SUM($P319:AQ319)</f>
        <v>#VALUE!</v>
      </c>
      <c r="AS319" s="446" t="e">
        <f>IF(OR($B319="",MIN(AS$38,$D$19)&lt;MAX($P$34*($B319+IF($R$17="Distrato",$I$38-1,0)),IF(AND($L$37=0,$P$34=0),"",$L$37-1),IF($R$17="Distrato",$E319,0))),0,YEARFRAC(MAX($P$34*($B319+IF($R$17="Distrato",$I$38-1,0)),IF(AND($L$37=0,$P$34=0),"",$L$37-1),IF($R$17="Distrato",$E319,0)),MIN(AS$38,$D$19),$P$20))-SUM($P319:AR319)</f>
        <v>#VALUE!</v>
      </c>
      <c r="AT319" s="446" t="e">
        <f>IF(OR($B319="",MIN(AT$38,$D$19)&lt;MAX($P$34*($B319+IF($R$17="Distrato",$I$38-1,0)),IF(AND($L$37=0,$P$34=0),"",$L$37-1),IF($R$17="Distrato",$E319,0))),0,YEARFRAC(MAX($P$34*($B319+IF($R$17="Distrato",$I$38-1,0)),IF(AND($L$37=0,$P$34=0),"",$L$37-1),IF($R$17="Distrato",$E319,0)),MIN(AT$38,$D$19),$P$20))-SUM($P319:AS319)</f>
        <v>#VALUE!</v>
      </c>
      <c r="AU319" s="446" t="e">
        <f>IF(OR($B319="",MIN(AU$38,$D$19)&lt;MAX($P$34*($B319+IF($R$17="Distrato",$I$38-1,0)),IF(AND($L$37=0,$P$34=0),"",$L$37-1),IF($R$17="Distrato",$E319,0))),0,YEARFRAC(MAX($P$34*($B319+IF($R$17="Distrato",$I$38-1,0)),IF(AND($L$37=0,$P$34=0),"",$L$37-1),IF($R$17="Distrato",$E319,0)),MIN(AU$38,$D$19),$P$20))-SUM($P319:AT319)</f>
        <v>#VALUE!</v>
      </c>
      <c r="AV319" s="446" t="e">
        <f>IF(OR($B319="",MIN(AV$38,$D$19)&lt;MAX($P$34*($B319+IF($R$17="Distrato",$I$38-1,0)),IF(AND($L$37=0,$P$34=0),"",$L$37-1),IF($R$17="Distrato",$E319,0))),0,YEARFRAC(MAX($P$34*($B319+IF($R$17="Distrato",$I$38-1,0)),IF(AND($L$37=0,$P$34=0),"",$L$37-1),IF($R$17="Distrato",$E319,0)),MIN(AV$38,$D$19),$P$20))-SUM($P319:AU319)</f>
        <v>#VALUE!</v>
      </c>
      <c r="AW319" s="446" t="e">
        <f>IF(OR($B319="",MIN(AW$38,$D$19)&lt;MAX($P$34*($B319+IF($R$17="Distrato",$I$38-1,0)),IF(AND($L$37=0,$P$34=0),"",$L$37-1),IF($R$17="Distrato",$E319,0))),0,YEARFRAC(MAX($P$34*($B319+IF($R$17="Distrato",$I$38-1,0)),IF(AND($L$37=0,$P$34=0),"",$L$37-1),IF($R$17="Distrato",$E319,0)),MIN(AW$38,$D$19),$P$20))-SUM($P319:AV319)</f>
        <v>#VALUE!</v>
      </c>
      <c r="AX319" s="446" t="e">
        <f>IF(OR($B319="",MIN(AX$38,$D$19)&lt;MAX($P$34*($B319+IF($R$17="Distrato",$I$38-1,0)),IF(AND($L$37=0,$P$34=0),"",$L$37-1),IF($R$17="Distrato",$E319,0))),0,YEARFRAC(MAX($P$34*($B319+IF($R$17="Distrato",$I$38-1,0)),IF(AND($L$37=0,$P$34=0),"",$L$37-1),IF($R$17="Distrato",$E319,0)),MIN(AX$38,$D$19),$P$20))-SUM($P319:AW319)</f>
        <v>#VALUE!</v>
      </c>
      <c r="AY319" s="446" t="e">
        <f>IF(OR($B319="",MIN(AY$38,$D$19)&lt;MAX($P$34*($B319+IF($R$17="Distrato",$I$38-1,0)),IF(AND($L$37=0,$P$34=0),"",$L$37-1),IF($R$17="Distrato",$E319,0))),0,YEARFRAC(MAX($P$34*($B319+IF($R$17="Distrato",$I$38-1,0)),IF(AND($L$37=0,$P$34=0),"",$L$37-1),IF($R$17="Distrato",$E319,0)),MIN(AY$38,$D$19),$P$20))-SUM($P319:AX319)</f>
        <v>#VALUE!</v>
      </c>
      <c r="AZ319" s="446" t="e">
        <f>IF(OR($B319="",MIN(AZ$38,$D$19)&lt;MAX($P$34*($B319+IF($R$17="Distrato",$I$38-1,0)),IF(AND($L$37=0,$P$34=0),"",$L$37-1),IF($R$17="Distrato",$E319,0))),0,YEARFRAC(MAX($P$34*($B319+IF($R$17="Distrato",$I$38-1,0)),IF(AND($L$37=0,$P$34=0),"",$L$37-1),IF($R$17="Distrato",$E319,0)),MIN(AZ$38,$D$19),$P$20))-SUM($P319:AY319)</f>
        <v>#VALUE!</v>
      </c>
      <c r="BA319" s="446" t="e">
        <f>IF(OR($B319="",MIN(BA$38,$D$19)&lt;MAX($P$34*($B319+IF($R$17="Distrato",$I$38-1,0)),IF(AND($L$37=0,$P$34=0),"",$L$37-1),IF($R$17="Distrato",$E319,0))),0,YEARFRAC(MAX($P$34*($B319+IF($R$17="Distrato",$I$38-1,0)),IF(AND($L$37=0,$P$34=0),"",$L$37-1),IF($R$17="Distrato",$E319,0)),MIN(BA$38,$D$19),$P$20))-SUM($P319:AZ319)</f>
        <v>#VALUE!</v>
      </c>
      <c r="BB319" s="447"/>
      <c r="BF319" s="446">
        <f t="shared" si="54"/>
        <v>0</v>
      </c>
      <c r="BG319" s="446">
        <f>IF($E319=0,0,IF(MIN(BG$38,$E319)&lt;MAX($P$34*($B319+$I$38-1),IF(AND($L$37=0,$P$34=0),"",$L$37-1)),0,YEARFRAC(MAX($P$34*($B319+$I$38-1),IF(AND($L$37=0,$P$34=0),"",$L$37-1)),MIN(BG$38,$E319),$P$20))-SUM($BF319:BF319))</f>
        <v>0</v>
      </c>
      <c r="BH319" s="446">
        <f>IF($E319=0,0,IF(MIN(BH$38,$E319)&lt;MAX($P$34*($B319+$I$38-1),IF(AND($L$37=0,$P$34=0),"",$L$37-1)),0,YEARFRAC(MAX($P$34*($B319+$I$38-1),IF(AND($L$37=0,$P$34=0),"",$L$37-1)),MIN(BH$38,$E319),$P$20))-SUM($BF319:BG319))</f>
        <v>0</v>
      </c>
      <c r="BI319" s="446">
        <f>IF($E319=0,0,IF(MIN(BI$38,$E319)&lt;MAX($P$34*($B319+$I$38-1),IF(AND($L$37=0,$P$34=0),"",$L$37-1)),0,YEARFRAC(MAX($P$34*($B319+$I$38-1),IF(AND($L$37=0,$P$34=0),"",$L$37-1)),MIN(BI$38,$E319),$P$20))-SUM($BF319:BH319))</f>
        <v>0</v>
      </c>
      <c r="BJ319" s="446">
        <f>IF($E319=0,0,IF(MIN(BJ$38,$E319)&lt;MAX($P$34*($B319+$I$38-1),IF(AND($L$37=0,$P$34=0),"",$L$37-1)),0,YEARFRAC(MAX($P$34*($B319+$I$38-1),IF(AND($L$37=0,$P$34=0),"",$L$37-1)),MIN(BJ$38,$E319),$P$20))-SUM($BF319:BI319))</f>
        <v>0</v>
      </c>
      <c r="BK319" s="446">
        <f>IF($E319=0,0,IF(MIN(BK$38,$E319)&lt;MAX($P$34*($B319+$I$38-1),IF(AND($L$37=0,$P$34=0),"",$L$37-1)),0,YEARFRAC(MAX($P$34*($B319+$I$38-1),IF(AND($L$37=0,$P$34=0),"",$L$37-1)),MIN(BK$38,$E319),$P$20))-SUM($BF319:BJ319))</f>
        <v>0</v>
      </c>
      <c r="BL319" s="446">
        <f>IF($E319=0,0,IF(MIN(BL$38,$E319)&lt;MAX($P$34*($B319+$I$38-1),IF(AND($L$37=0,$P$34=0),"",$L$37-1)),0,YEARFRAC(MAX($P$34*($B319+$I$38-1),IF(AND($L$37=0,$P$34=0),"",$L$37-1)),MIN(BL$38,$E319),$P$20))-SUM($BF319:BK319))</f>
        <v>0</v>
      </c>
      <c r="BM319" s="446">
        <f>IF($E319=0,0,IF(MIN(BM$38,$E319)&lt;MAX($P$34*($B319+$I$38-1),IF(AND($L$37=0,$P$34=0),"",$L$37-1)),0,YEARFRAC(MAX($P$34*($B319+$I$38-1),IF(AND($L$37=0,$P$34=0),"",$L$37-1)),MIN(BM$38,$E319),$P$20))-SUM($BF319:BL319))</f>
        <v>0</v>
      </c>
      <c r="BN319" s="446">
        <f>IF($E319=0,0,IF(MIN(BN$38,$E319)&lt;MAX($P$34*($B319+$I$38-1),IF(AND($L$37=0,$P$34=0),"",$L$37-1)),0,YEARFRAC(MAX($P$34*($B319+$I$38-1),IF(AND($L$37=0,$P$34=0),"",$L$37-1)),MIN(BN$38,$E319),$P$20))-SUM($BF319:BM319))</f>
        <v>0</v>
      </c>
      <c r="BO319" s="446">
        <f>IF($E319=0,0,IF(MIN(BO$38,$E319)&lt;MAX($P$34*($B319+$I$38-1),IF(AND($L$37=0,$P$34=0),"",$L$37-1)),0,YEARFRAC(MAX($P$34*($B319+$I$38-1),IF(AND($L$37=0,$P$34=0),"",$L$37-1)),MIN(BO$38,$E319),$P$20))-SUM($BF319:BN319))</f>
        <v>0</v>
      </c>
      <c r="BP319" s="446">
        <f>IF($E319=0,0,IF(MIN(BP$38,$E319)&lt;MAX($P$34*($B319+$I$38-1),IF(AND($L$37=0,$P$34=0),"",$L$37-1)),0,YEARFRAC(MAX($P$34*($B319+$I$38-1),IF(AND($L$37=0,$P$34=0),"",$L$37-1)),MIN(BP$38,$E319),$P$20))-SUM($BF319:BO319))</f>
        <v>0</v>
      </c>
      <c r="BQ319" s="446">
        <f>IF($E319=0,0,IF(MIN(BQ$38,$E319)&lt;MAX($P$34*($B319+$I$38-1),IF(AND($L$37=0,$P$34=0),"",$L$37-1)),0,YEARFRAC(MAX($P$34*($B319+$I$38-1),IF(AND($L$37=0,$P$34=0),"",$L$37-1)),MIN(BQ$38,$E319),$P$20))-SUM($BF319:BP319))</f>
        <v>0</v>
      </c>
      <c r="BR319" s="446">
        <f>IF($E319=0,0,IF(MIN(BR$38,$E319)&lt;MAX($P$34*($B319+$I$38-1),IF(AND($L$37=0,$P$34=0),"",$L$37-1)),0,YEARFRAC(MAX($P$34*($B319+$I$38-1),IF(AND($L$37=0,$P$34=0),"",$L$37-1)),MIN(BR$38,$E319),$P$20))-SUM($BF319:BQ319))</f>
        <v>0</v>
      </c>
      <c r="BS319" s="446">
        <f>IF($E319=0,0,IF(MIN(BS$38,$E319)&lt;MAX($P$34*($B319+$I$38-1),IF(AND($L$37=0,$P$34=0),"",$L$37-1)),0,YEARFRAC(MAX($P$34*($B319+$I$38-1),IF(AND($L$37=0,$P$34=0),"",$L$37-1)),MIN(BS$38,$E319),$P$20))-SUM($BF319:BR319))</f>
        <v>0</v>
      </c>
      <c r="BT319" s="446">
        <f>IF($E319=0,0,IF(MIN(BT$38,$E319)&lt;MAX($P$34*($B319+$I$38-1),IF(AND($L$37=0,$P$34=0),"",$L$37-1)),0,YEARFRAC(MAX($P$34*($B319+$I$38-1),IF(AND($L$37=0,$P$34=0),"",$L$37-1)),MIN(BT$38,$E319),$P$20))-SUM($BF319:BS319))</f>
        <v>0</v>
      </c>
      <c r="BU319" s="446">
        <f>IF($E319=0,0,IF(MIN(BU$38,$E319)&lt;MAX($P$34*($B319+$I$38-1),IF(AND($L$37=0,$P$34=0),"",$L$37-1)),0,YEARFRAC(MAX($P$34*($B319+$I$38-1),IF(AND($L$37=0,$P$34=0),"",$L$37-1)),MIN(BU$38,$E319),$P$20))-SUM($BF319:BT319))</f>
        <v>0</v>
      </c>
      <c r="BV319" s="446">
        <f>IF($E319=0,0,IF(MIN(BV$38,$E319)&lt;MAX($P$34*($B319+$I$38-1),IF(AND($L$37=0,$P$34=0),"",$L$37-1)),0,YEARFRAC(MAX($P$34*($B319+$I$38-1),IF(AND($L$37=0,$P$34=0),"",$L$37-1)),MIN(BV$38,$E319),$P$20))-SUM($BF319:BU319))</f>
        <v>0</v>
      </c>
      <c r="BW319" s="446">
        <f>IF($E319=0,0,IF(MIN(BW$38,$E319)&lt;MAX($P$34*($B319+$I$38-1),IF(AND($L$37=0,$P$34=0),"",$L$37-1)),0,YEARFRAC(MAX($P$34*($B319+$I$38-1),IF(AND($L$37=0,$P$34=0),"",$L$37-1)),MIN(BW$38,$E319),$P$20))-SUM($BF319:BV319))</f>
        <v>0</v>
      </c>
      <c r="BX319" s="446">
        <f>IF($E319=0,0,IF(MIN(BX$38,$E319)&lt;MAX($P$34*($B319+$I$38-1),IF(AND($L$37=0,$P$34=0),"",$L$37-1)),0,YEARFRAC(MAX($P$34*($B319+$I$38-1),IF(AND($L$37=0,$P$34=0),"",$L$37-1)),MIN(BX$38,$E319),$P$20))-SUM($BF319:BW319))</f>
        <v>0</v>
      </c>
      <c r="BY319" s="446">
        <f>IF($E319=0,0,IF(MIN(BY$38,$E319)&lt;MAX($P$34*($B319+$I$38-1),IF(AND($L$37=0,$P$34=0),"",$L$37-1)),0,YEARFRAC(MAX($P$34*($B319+$I$38-1),IF(AND($L$37=0,$P$34=0),"",$L$37-1)),MIN(BY$38,$E319),$P$20))-SUM($BF319:BX319))</f>
        <v>0</v>
      </c>
      <c r="BZ319" s="446">
        <f>IF($E319=0,0,IF(MIN(BZ$38,$E319)&lt;MAX($P$34*($B319+$I$38-1),IF(AND($L$37=0,$P$34=0),"",$L$37-1)),0,YEARFRAC(MAX($P$34*($B319+$I$38-1),IF(AND($L$37=0,$P$34=0),"",$L$37-1)),MIN(BZ$38,$E319),$P$20))-SUM($BF319:BY319))</f>
        <v>0</v>
      </c>
      <c r="CA319" s="446">
        <f>IF($E319=0,0,IF(MIN(CA$38,$E319)&lt;MAX($P$34*($B319+$I$38-1),IF(AND($L$37=0,$P$34=0),"",$L$37-1)),0,YEARFRAC(MAX($P$34*($B319+$I$38-1),IF(AND($L$37=0,$P$34=0),"",$L$37-1)),MIN(CA$38,$E319),$P$20))-SUM($BF319:BZ319))</f>
        <v>0</v>
      </c>
      <c r="CB319" s="446">
        <f>IF($E319=0,0,IF(MIN(CB$38,$E319)&lt;MAX($P$34*($B319+$I$38-1),IF(AND($L$37=0,$P$34=0),"",$L$37-1)),0,YEARFRAC(MAX($P$34*($B319+$I$38-1),IF(AND($L$37=0,$P$34=0),"",$L$37-1)),MIN(CB$38,$E319),$P$20))-SUM($BF319:CA319))</f>
        <v>0</v>
      </c>
      <c r="CC319" s="446">
        <f>IF($E319=0,0,IF(MIN(CC$38,$E319)&lt;MAX($P$34*($B319+$I$38-1),IF(AND($L$37=0,$P$34=0),"",$L$37-1)),0,YEARFRAC(MAX($P$34*($B319+$I$38-1),IF(AND($L$37=0,$P$34=0),"",$L$37-1)),MIN(CC$38,$E319),$P$20))-SUM($BF319:CB319))</f>
        <v>0</v>
      </c>
      <c r="CD319" s="446">
        <f>IF($E319=0,0,IF(MIN(CD$38,$E319)&lt;MAX($P$34*($B319+$I$38-1),IF(AND($L$37=0,$P$34=0),"",$L$37-1)),0,YEARFRAC(MAX($P$34*($B319+$I$38-1),IF(AND($L$37=0,$P$34=0),"",$L$37-1)),MIN(CD$38,$E319),$P$20))-SUM($BF319:CC319))</f>
        <v>0</v>
      </c>
      <c r="CE319" s="446">
        <f>IF($E319=0,0,IF(MIN(CE$38,$E319)&lt;MAX($P$34*($B319+$I$38-1),IF(AND($L$37=0,$P$34=0),"",$L$37-1)),0,YEARFRAC(MAX($P$34*($B319+$I$38-1),IF(AND($L$37=0,$P$34=0),"",$L$37-1)),MIN(CE$38,$E319),$P$20))-SUM($BF319:CD319))</f>
        <v>0</v>
      </c>
      <c r="CF319" s="446">
        <f>IF($E319=0,0,IF(MIN(CF$38,$E319)&lt;MAX($P$34*($B319+$I$38-1),IF(AND($L$37=0,$P$34=0),"",$L$37-1)),0,YEARFRAC(MAX($P$34*($B319+$I$38-1),IF(AND($L$37=0,$P$34=0),"",$L$37-1)),MIN(CF$38,$E319),$P$20))-SUM($BF319:CE319))</f>
        <v>0</v>
      </c>
      <c r="CG319" s="446">
        <f>IF($E319=0,0,IF(MIN(CG$38,$E319)&lt;MAX($P$34*($B319+$I$38-1),IF(AND($L$37=0,$P$34=0),"",$L$37-1)),0,YEARFRAC(MAX($P$34*($B319+$I$38-1),IF(AND($L$37=0,$P$34=0),"",$L$37-1)),MIN(CG$38,$E319),$P$20))-SUM($BF319:CF319))</f>
        <v>0</v>
      </c>
      <c r="CH319" s="446">
        <f>IF($E319=0,0,IF(MIN(CH$38,$E319)&lt;MAX($P$34*($B319+$I$38-1),IF(AND($L$37=0,$P$34=0),"",$L$37-1)),0,YEARFRAC(MAX($P$34*($B319+$I$38-1),IF(AND($L$37=0,$P$34=0),"",$L$37-1)),MIN(CH$38,$E319),$P$20))-SUM($BF319:CG319))</f>
        <v>0</v>
      </c>
      <c r="CI319" s="446">
        <f>IF($E319=0,0,IF(MIN(CI$38,$E319)&lt;MAX($P$34*($B319+$I$38-1),IF(AND($L$37=0,$P$34=0),"",$L$37-1)),0,YEARFRAC(MAX($P$34*($B319+$I$38-1),IF(AND($L$37=0,$P$34=0),"",$L$37-1)),MIN(CI$38,$E319),$P$20))-SUM($BF319:CH319))</f>
        <v>0</v>
      </c>
      <c r="CJ319" s="446">
        <f>IF($E319=0,0,IF(MIN(CJ$38,$E319)&lt;MAX($P$34*($B319+$I$38-1),IF(AND($L$37=0,$P$34=0),"",$L$37-1)),0,YEARFRAC(MAX($P$34*($B319+$I$38-1),IF(AND($L$37=0,$P$34=0),"",$L$37-1)),MIN(CJ$38,$E319),$P$20))-SUM($BF319:CI319))</f>
        <v>0</v>
      </c>
      <c r="CK319" s="446">
        <f>IF($E319=0,0,IF(MIN(CK$38,$E319)&lt;MAX($P$34*($B319+$I$38-1),IF(AND($L$37=0,$P$34=0),"",$L$37-1)),0,YEARFRAC(MAX($P$34*($B319+$I$38-1),IF(AND($L$37=0,$P$34=0),"",$L$37-1)),MIN(CK$38,$E319),$P$20))-SUM($BF319:CJ319))</f>
        <v>0</v>
      </c>
      <c r="CL319" s="446">
        <f>IF($E319=0,0,IF(MIN(CL$38,$E319)&lt;MAX($P$34*($B319+$I$38-1),IF(AND($L$37=0,$P$34=0),"",$L$37-1)),0,YEARFRAC(MAX($P$34*($B319+$I$38-1),IF(AND($L$37=0,$P$34=0),"",$L$37-1)),MIN(CL$38,$E319),$P$20))-SUM($BF319:CK319))</f>
        <v>0</v>
      </c>
      <c r="CM319" s="446">
        <f>IF($E319=0,0,IF(MIN(CM$38,$E319)&lt;MAX($P$34*($B319+$I$38-1),IF(AND($L$37=0,$P$34=0),"",$L$37-1)),0,YEARFRAC(MAX($P$34*($B319+$I$38-1),IF(AND($L$37=0,$P$34=0),"",$L$37-1)),MIN(CM$38,$E319),$P$20))-SUM($BF319:CL319))</f>
        <v>0</v>
      </c>
      <c r="CN319" s="446">
        <f>IF($E319=0,0,IF(MIN(CN$38,$E319)&lt;MAX($P$34*($B319+$I$38-1),IF(AND($L$37=0,$P$34=0),"",$L$37-1)),0,YEARFRAC(MAX($P$34*($B319+$I$38-1),IF(AND($L$37=0,$P$34=0),"",$L$37-1)),MIN(CN$38,$E319),$P$20))-SUM($BF319:CM319))</f>
        <v>0</v>
      </c>
      <c r="CO319" s="446">
        <f>IF($E319=0,0,IF(MIN(CO$38,$E319)&lt;MAX($P$34*($B319+$I$38-1),IF(AND($L$37=0,$P$34=0),"",$L$37-1)),0,YEARFRAC(MAX($P$34*($B319+$I$38-1),IF(AND($L$37=0,$P$34=0),"",$L$37-1)),MIN(CO$38,$E319),$P$20))-SUM($BF319:CN319))</f>
        <v>0</v>
      </c>
      <c r="CP319" s="446">
        <f>IF($E319=0,0,IF(MIN(CP$38,$E319)&lt;MAX($P$34*($B319+$I$38-1),IF(AND($L$37=0,$P$34=0),"",$L$37-1)),0,YEARFRAC(MAX($P$34*($B319+$I$38-1),IF(AND($L$37=0,$P$34=0),"",$L$37-1)),MIN(CP$38,$E319),$P$20))-SUM($BF319:CO319))</f>
        <v>0</v>
      </c>
      <c r="CQ319" s="446">
        <f>IF($E319=0,0,IF(MIN(CQ$38,$E319)&lt;MAX($P$34*($B319+$I$38-1),IF(AND($L$37=0,$P$34=0),"",$L$37-1)),0,YEARFRAC(MAX($P$34*($B319+$I$38-1),IF(AND($L$37=0,$P$34=0),"",$L$37-1)),MIN(CQ$38,$E319),$P$20))-SUM($BF319:CP319))</f>
        <v>0</v>
      </c>
    </row>
    <row r="320" spans="1:95" s="446" customFormat="1" ht="11.25" hidden="1" customHeight="1" x14ac:dyDescent="0.2">
      <c r="A320" s="152"/>
      <c r="B320" s="153" t="str">
        <f t="shared" si="59"/>
        <v/>
      </c>
      <c r="C320" s="29" t="str">
        <f>IF(B320="","",IF($L$35="SELIC - TRIBUTOS",VLOOKUP(DATE(YEAR($D$19),MONTH($D$19)-1,1),ÍNDICES!$A:$DE,HLOOKUP($BL$25,ÍNDICES!$B$3:$T$4,2)+11)-VLOOKUP(B320,ÍNDICES!$A:$DE,HLOOKUP($BL$25,ÍNDICES!$B$3:$T$4,2)+11)+1%,IF(C$38=$W$26,$J$35,IF(ISERROR(IF(B320&gt;$D$19,1,VLOOKUP(DATE(YEAR(B320),MONTH(B320)+IF($C$35=$S$23,1,0),1),ÍNDICES!$A:$DE,$Z$35+1))),"",IF(B320&gt;$D$19,1,VLOOKUP(DATE(YEAR(B320),MONTH(B320)+IF($C$35=$S$23,1,0),1),ÍNDICES!$A:$DE,$Z$35+1))))))</f>
        <v/>
      </c>
      <c r="D320" s="154" t="str">
        <f>IF(ISERROR(IF(OR($D$38=$Y$27,$B320=""),"",VLOOKUP(B320,ÍNDICES!A:DE,AF$35+1))),"",IF(OR($D$38=$Y$27,$B320=""),"",VLOOKUP(B320,ÍNDICES!A:DE,AF$35+1)))</f>
        <v/>
      </c>
      <c r="E320" s="153"/>
      <c r="F320" s="29" t="str">
        <f>IF(E320="","",IF($L$35="SELIC - TRIBUTOS",VLOOKUP(DATE(YEAR($D$19),MONTH($D$19)-1,1),ÍNDICES!$A:$DE,HLOOKUP($BL$25,ÍNDICES!$B$3:$T$4,2)+11)-VLOOKUP(E320,ÍNDICES!$A:$DE,HLOOKUP($BL$25,ÍNDICES!$B$3:$T$4,2)+11)+1%,IF(F$38=$W$26,$J$35,IF(ISERROR(IF(E320&gt;$D$19,1,VLOOKUP(DATE(YEAR(E320),MONTH(E320)+IF($C$35=$S$23,1,0),1),ÍNDICES!$A:$DE,$Z$35+1))),"",IF(E320&gt;$D$19,1,VLOOKUP(DATE(YEAR(E320),MONTH(E320)+IF($C$35=$S$23,1,0),1),ÍNDICES!$A:$DE,$Z$35+1))))))</f>
        <v/>
      </c>
      <c r="G320" s="155"/>
      <c r="H320" s="156" t="str">
        <f t="shared" si="55"/>
        <v/>
      </c>
      <c r="I320" s="29" t="str">
        <f t="shared" si="49"/>
        <v/>
      </c>
      <c r="J320" s="5">
        <f t="shared" si="50"/>
        <v>0</v>
      </c>
      <c r="K320" s="20">
        <f t="shared" ca="1" si="51"/>
        <v>0</v>
      </c>
      <c r="L320" s="5">
        <f t="shared" ca="1" si="52"/>
        <v>0</v>
      </c>
      <c r="M320" s="64">
        <f t="shared" si="56"/>
        <v>0</v>
      </c>
      <c r="N320" s="61">
        <f t="shared" ca="1" si="57"/>
        <v>0</v>
      </c>
      <c r="O320" s="5">
        <f t="shared" ca="1" si="58"/>
        <v>0</v>
      </c>
      <c r="P320" s="446" t="e">
        <f t="shared" si="53"/>
        <v>#VALUE!</v>
      </c>
      <c r="Q320" s="446" t="e">
        <f>IF(OR($B320="",MIN(Q$38,$D$19)&lt;MAX($P$34*($B320+IF($R$17="Distrato",$I$38-1,0)),IF(AND($L$37=0,$P$34=0),"",$L$37-1),IF($R$17="Distrato",$E320,0))),0,YEARFRAC(MAX($P$34*($B320+IF($R$17="Distrato",$I$38-1,0)),IF(AND($L$37=0,$P$34=0),"",$L$37-1),IF($R$17="Distrato",$E320,0)),MIN(Q$38,$D$19),$P$20))-SUM($P320:P320)</f>
        <v>#VALUE!</v>
      </c>
      <c r="R320" s="446" t="e">
        <f>IF(OR($B320="",MIN(R$38,$D$19)&lt;MAX($P$34*($B320+IF($R$17="Distrato",$I$38-1,0)),IF(AND($L$37=0,$P$34=0),"",$L$37-1),IF($R$17="Distrato",$E320,0))),0,YEARFRAC(MAX($P$34*($B320+IF($R$17="Distrato",$I$38-1,0)),IF(AND($L$37=0,$P$34=0),"",$L$37-1),IF($R$17="Distrato",$E320,0)),MIN(R$38,$D$19),$P$20))-SUM($P320:Q320)</f>
        <v>#VALUE!</v>
      </c>
      <c r="S320" s="446" t="e">
        <f>IF(OR($B320="",MIN(S$38,$D$19)&lt;MAX($P$34*($B320+IF($R$17="Distrato",$I$38-1,0)),IF(AND($L$37=0,$P$34=0),"",$L$37-1),IF($R$17="Distrato",$E320,0))),0,YEARFRAC(MAX($P$34*($B320+IF($R$17="Distrato",$I$38-1,0)),IF(AND($L$37=0,$P$34=0),"",$L$37-1),IF($R$17="Distrato",$E320,0)),MIN(S$38,$D$19),$P$20))-SUM($P320:R320)</f>
        <v>#VALUE!</v>
      </c>
      <c r="T320" s="446" t="e">
        <f>IF(OR($B320="",MIN(T$38,$D$19)&lt;MAX($P$34*($B320+IF($R$17="Distrato",$I$38-1,0)),IF(AND($L$37=0,$P$34=0),"",$L$37-1),IF($R$17="Distrato",$E320,0))),0,YEARFRAC(MAX($P$34*($B320+IF($R$17="Distrato",$I$38-1,0)),IF(AND($L$37=0,$P$34=0),"",$L$37-1),IF($R$17="Distrato",$E320,0)),MIN(T$38,$D$19),$P$20))-SUM($P320:S320)</f>
        <v>#VALUE!</v>
      </c>
      <c r="U320" s="446" t="e">
        <f>IF(OR($B320="",MIN(U$38,$D$19)&lt;MAX($P$34*($B320+IF($R$17="Distrato",$I$38-1,0)),IF(AND($L$37=0,$P$34=0),"",$L$37-1),IF($R$17="Distrato",$E320,0))),0,YEARFRAC(MAX($P$34*($B320+IF($R$17="Distrato",$I$38-1,0)),IF(AND($L$37=0,$P$34=0),"",$L$37-1),IF($R$17="Distrato",$E320,0)),MIN(U$38,$D$19),$P$20))-SUM($P320:T320)</f>
        <v>#VALUE!</v>
      </c>
      <c r="V320" s="446" t="e">
        <f>IF(OR($B320="",MIN(V$38,$D$19)&lt;MAX($P$34*($B320+IF($R$17="Distrato",$I$38-1,0)),IF(AND($L$37=0,$P$34=0),"",$L$37-1),IF($R$17="Distrato",$E320,0))),0,YEARFRAC(MAX($P$34*($B320+IF($R$17="Distrato",$I$38-1,0)),IF(AND($L$37=0,$P$34=0),"",$L$37-1),IF($R$17="Distrato",$E320,0)),MIN(V$38,$D$19),$P$20))-SUM($P320:U320)</f>
        <v>#VALUE!</v>
      </c>
      <c r="W320" s="446" t="e">
        <f>IF(OR($B320="",MIN(W$38,$D$19)&lt;MAX($P$34*($B320+IF($R$17="Distrato",$I$38-1,0)),IF(AND($L$37=0,$P$34=0),"",$L$37-1),IF($R$17="Distrato",$E320,0))),0,YEARFRAC(MAX($P$34*($B320+IF($R$17="Distrato",$I$38-1,0)),IF(AND($L$37=0,$P$34=0),"",$L$37-1),IF($R$17="Distrato",$E320,0)),MIN(W$38,$D$19),$P$20))-SUM($P320:V320)</f>
        <v>#VALUE!</v>
      </c>
      <c r="X320" s="446" t="e">
        <f>IF(OR($B320="",MIN(X$38,$D$19)&lt;MAX($P$34*($B320+IF($R$17="Distrato",$I$38-1,0)),IF(AND($L$37=0,$P$34=0),"",$L$37-1),IF($R$17="Distrato",$E320,0))),0,YEARFRAC(MAX($P$34*($B320+IF($R$17="Distrato",$I$38-1,0)),IF(AND($L$37=0,$P$34=0),"",$L$37-1),IF($R$17="Distrato",$E320,0)),MIN(X$38,$D$19),$P$20))-SUM($P320:W320)</f>
        <v>#VALUE!</v>
      </c>
      <c r="Y320" s="446" t="e">
        <f>IF(OR($B320="",MIN(Y$38,$D$19)&lt;MAX($P$34*($B320+IF($R$17="Distrato",$I$38-1,0)),IF(AND($L$37=0,$P$34=0),"",$L$37-1),IF($R$17="Distrato",$E320,0))),0,YEARFRAC(MAX($P$34*($B320+IF($R$17="Distrato",$I$38-1,0)),IF(AND($L$37=0,$P$34=0),"",$L$37-1),IF($R$17="Distrato",$E320,0)),MIN(Y$38,$D$19),$P$20))-SUM($P320:X320)</f>
        <v>#VALUE!</v>
      </c>
      <c r="Z320" s="446" t="e">
        <f>IF(OR($B320="",MIN(Z$38,$D$19)&lt;MAX($P$34*($B320+IF($R$17="Distrato",$I$38-1,0)),IF(AND($L$37=0,$P$34=0),"",$L$37-1),IF($R$17="Distrato",$E320,0))),0,YEARFRAC(MAX($P$34*($B320+IF($R$17="Distrato",$I$38-1,0)),IF(AND($L$37=0,$P$34=0),"",$L$37-1),IF($R$17="Distrato",$E320,0)),MIN(Z$38,$D$19),$P$20))-SUM($P320:Y320)</f>
        <v>#VALUE!</v>
      </c>
      <c r="AA320" s="446" t="e">
        <f>IF(OR($B320="",MIN(AA$38,$D$19)&lt;MAX($P$34*($B320+IF($R$17="Distrato",$I$38-1,0)),IF(AND($L$37=0,$P$34=0),"",$L$37-1),IF($R$17="Distrato",$E320,0))),0,YEARFRAC(MAX($P$34*($B320+IF($R$17="Distrato",$I$38-1,0)),IF(AND($L$37=0,$P$34=0),"",$L$37-1),IF($R$17="Distrato",$E320,0)),MIN(AA$38,$D$19),$P$20))-SUM($P320:Z320)</f>
        <v>#VALUE!</v>
      </c>
      <c r="AB320" s="446" t="e">
        <f>IF(OR($B320="",MIN(AB$38,$D$19)&lt;MAX($P$34*($B320+IF($R$17="Distrato",$I$38-1,0)),IF(AND($L$37=0,$P$34=0),"",$L$37-1),IF($R$17="Distrato",$E320,0))),0,YEARFRAC(MAX($P$34*($B320+IF($R$17="Distrato",$I$38-1,0)),IF(AND($L$37=0,$P$34=0),"",$L$37-1),IF($R$17="Distrato",$E320,0)),MIN(AB$38,$D$19),$P$20))-SUM($P320:AA320)</f>
        <v>#VALUE!</v>
      </c>
      <c r="AC320" s="446" t="e">
        <f>IF(OR($B320="",MIN(AC$38,$D$19)&lt;MAX($P$34*($B320+IF($R$17="Distrato",$I$38-1,0)),IF(AND($L$37=0,$P$34=0),"",$L$37-1),IF($R$17="Distrato",$E320,0))),0,YEARFRAC(MAX($P$34*($B320+IF($R$17="Distrato",$I$38-1,0)),IF(AND($L$37=0,$P$34=0),"",$L$37-1),IF($R$17="Distrato",$E320,0)),MIN(AC$38,$D$19),$P$20))-SUM($P320:AB320)</f>
        <v>#VALUE!</v>
      </c>
      <c r="AD320" s="446" t="e">
        <f>IF(OR($B320="",MIN(AD$38,$D$19)&lt;MAX($P$34*($B320+IF($R$17="Distrato",$I$38-1,0)),IF(AND($L$37=0,$P$34=0),"",$L$37-1),IF($R$17="Distrato",$E320,0))),0,YEARFRAC(MAX($P$34*($B320+IF($R$17="Distrato",$I$38-1,0)),IF(AND($L$37=0,$P$34=0),"",$L$37-1),IF($R$17="Distrato",$E320,0)),MIN(AD$38,$D$19),$P$20))-SUM($P320:AC320)</f>
        <v>#VALUE!</v>
      </c>
      <c r="AE320" s="446" t="e">
        <f>IF(OR($B320="",MIN(AE$38,$D$19)&lt;MAX($P$34*($B320+IF($R$17="Distrato",$I$38-1,0)),IF(AND($L$37=0,$P$34=0),"",$L$37-1),IF($R$17="Distrato",$E320,0))),0,YEARFRAC(MAX($P$34*($B320+IF($R$17="Distrato",$I$38-1,0)),IF(AND($L$37=0,$P$34=0),"",$L$37-1),IF($R$17="Distrato",$E320,0)),MIN(AE$38,$D$19),$P$20))-SUM($P320:AD320)</f>
        <v>#VALUE!</v>
      </c>
      <c r="AF320" s="446" t="e">
        <f>IF(OR($B320="",MIN(AF$38,$D$19)&lt;MAX($P$34*($B320+IF($R$17="Distrato",$I$38-1,0)),IF(AND($L$37=0,$P$34=0),"",$L$37-1),IF($R$17="Distrato",$E320,0))),0,YEARFRAC(MAX($P$34*($B320+IF($R$17="Distrato",$I$38-1,0)),IF(AND($L$37=0,$P$34=0),"",$L$37-1),IF($R$17="Distrato",$E320,0)),MIN(AF$38,$D$19),$P$20))-SUM($P320:AE320)</f>
        <v>#VALUE!</v>
      </c>
      <c r="AG320" s="446" t="e">
        <f>IF(OR($B320="",MIN(AG$38,$D$19)&lt;MAX($P$34*($B320+IF($R$17="Distrato",$I$38-1,0)),IF(AND($L$37=0,$P$34=0),"",$L$37-1),IF($R$17="Distrato",$E320,0))),0,YEARFRAC(MAX($P$34*($B320+IF($R$17="Distrato",$I$38-1,0)),IF(AND($L$37=0,$P$34=0),"",$L$37-1),IF($R$17="Distrato",$E320,0)),MIN(AG$38,$D$19),$P$20))-SUM($P320:AF320)</f>
        <v>#VALUE!</v>
      </c>
      <c r="AH320" s="446" t="e">
        <f>IF(OR($B320="",MIN(AH$38,$D$19)&lt;MAX($P$34*($B320+IF($R$17="Distrato",$I$38-1,0)),IF(AND($L$37=0,$P$34=0),"",$L$37-1),IF($R$17="Distrato",$E320,0))),0,YEARFRAC(MAX($P$34*($B320+IF($R$17="Distrato",$I$38-1,0)),IF(AND($L$37=0,$P$34=0),"",$L$37-1),IF($R$17="Distrato",$E320,0)),MIN(AH$38,$D$19),$P$20))-SUM($P320:AG320)</f>
        <v>#VALUE!</v>
      </c>
      <c r="AI320" s="446" t="e">
        <f>IF(OR($B320="",MIN(AI$38,$D$19)&lt;MAX($P$34*($B320+IF($R$17="Distrato",$I$38-1,0)),IF(AND($L$37=0,$P$34=0),"",$L$37-1),IF($R$17="Distrato",$E320,0))),0,YEARFRAC(MAX($P$34*($B320+IF($R$17="Distrato",$I$38-1,0)),IF(AND($L$37=0,$P$34=0),"",$L$37-1),IF($R$17="Distrato",$E320,0)),MIN(AI$38,$D$19),$P$20))-SUM($P320:AH320)</f>
        <v>#VALUE!</v>
      </c>
      <c r="AJ320" s="446" t="e">
        <f>IF(OR($B320="",MIN(AJ$38,$D$19)&lt;MAX($P$34*($B320+IF($R$17="Distrato",$I$38-1,0)),IF(AND($L$37=0,$P$34=0),"",$L$37-1),IF($R$17="Distrato",$E320,0))),0,YEARFRAC(MAX($P$34*($B320+IF($R$17="Distrato",$I$38-1,0)),IF(AND($L$37=0,$P$34=0),"",$L$37-1),IF($R$17="Distrato",$E320,0)),MIN(AJ$38,$D$19),$P$20))-SUM($P320:AI320)</f>
        <v>#VALUE!</v>
      </c>
      <c r="AK320" s="446" t="e">
        <f>IF(OR($B320="",MIN(AK$38,$D$19)&lt;MAX($P$34*($B320+IF($R$17="Distrato",$I$38-1,0)),IF(AND($L$37=0,$P$34=0),"",$L$37-1),IF($R$17="Distrato",$E320,0))),0,YEARFRAC(MAX($P$34*($B320+IF($R$17="Distrato",$I$38-1,0)),IF(AND($L$37=0,$P$34=0),"",$L$37-1),IF($R$17="Distrato",$E320,0)),MIN(AK$38,$D$19),$P$20))-SUM($P320:AJ320)</f>
        <v>#VALUE!</v>
      </c>
      <c r="AL320" s="446" t="e">
        <f>IF(OR($B320="",MIN(AL$38,$D$19)&lt;MAX($P$34*($B320+IF($R$17="Distrato",$I$38-1,0)),IF(AND($L$37=0,$P$34=0),"",$L$37-1),IF($R$17="Distrato",$E320,0))),0,YEARFRAC(MAX($P$34*($B320+IF($R$17="Distrato",$I$38-1,0)),IF(AND($L$37=0,$P$34=0),"",$L$37-1),IF($R$17="Distrato",$E320,0)),MIN(AL$38,$D$19),$P$20))-SUM($P320:AK320)</f>
        <v>#VALUE!</v>
      </c>
      <c r="AM320" s="446" t="e">
        <f>IF(OR($B320="",MIN(AM$38,$D$19)&lt;MAX($P$34*($B320+IF($R$17="Distrato",$I$38-1,0)),IF(AND($L$37=0,$P$34=0),"",$L$37-1),IF($R$17="Distrato",$E320,0))),0,YEARFRAC(MAX($P$34*($B320+IF($R$17="Distrato",$I$38-1,0)),IF(AND($L$37=0,$P$34=0),"",$L$37-1),IF($R$17="Distrato",$E320,0)),MIN(AM$38,$D$19),$P$20))-SUM($P320:AL320)</f>
        <v>#VALUE!</v>
      </c>
      <c r="AN320" s="446" t="e">
        <f>IF(OR($B320="",MIN(AN$38,$D$19)&lt;MAX($P$34*($B320+IF($R$17="Distrato",$I$38-1,0)),IF(AND($L$37=0,$P$34=0),"",$L$37-1),IF($R$17="Distrato",$E320,0))),0,YEARFRAC(MAX($P$34*($B320+IF($R$17="Distrato",$I$38-1,0)),IF(AND($L$37=0,$P$34=0),"",$L$37-1),IF($R$17="Distrato",$E320,0)),MIN(AN$38,$D$19),$P$20))-SUM($P320:AM320)</f>
        <v>#VALUE!</v>
      </c>
      <c r="AO320" s="446" t="e">
        <f>IF(OR($B320="",MIN(AO$38,$D$19)&lt;MAX($P$34*($B320+IF($R$17="Distrato",$I$38-1,0)),IF(AND($L$37=0,$P$34=0),"",$L$37-1),IF($R$17="Distrato",$E320,0))),0,YEARFRAC(MAX($P$34*($B320+IF($R$17="Distrato",$I$38-1,0)),IF(AND($L$37=0,$P$34=0),"",$L$37-1),IF($R$17="Distrato",$E320,0)),MIN(AO$38,$D$19),$P$20))-SUM($P320:AN320)</f>
        <v>#VALUE!</v>
      </c>
      <c r="AP320" s="446" t="e">
        <f>IF(OR($B320="",MIN(AP$38,$D$19)&lt;MAX($P$34*($B320+IF($R$17="Distrato",$I$38-1,0)),IF(AND($L$37=0,$P$34=0),"",$L$37-1),IF($R$17="Distrato",$E320,0))),0,YEARFRAC(MAX($P$34*($B320+IF($R$17="Distrato",$I$38-1,0)),IF(AND($L$37=0,$P$34=0),"",$L$37-1),IF($R$17="Distrato",$E320,0)),MIN(AP$38,$D$19),$P$20))-SUM($P320:AO320)</f>
        <v>#VALUE!</v>
      </c>
      <c r="AQ320" s="446" t="e">
        <f>IF(OR($B320="",MIN(AQ$38,$D$19)&lt;MAX($P$34*($B320+IF($R$17="Distrato",$I$38-1,0)),IF(AND($L$37=0,$P$34=0),"",$L$37-1),IF($R$17="Distrato",$E320,0))),0,YEARFRAC(MAX($P$34*($B320+IF($R$17="Distrato",$I$38-1,0)),IF(AND($L$37=0,$P$34=0),"",$L$37-1),IF($R$17="Distrato",$E320,0)),MIN(AQ$38,$D$19),$P$20))-SUM($P320:AP320)</f>
        <v>#VALUE!</v>
      </c>
      <c r="AR320" s="446" t="e">
        <f>IF(OR($B320="",MIN(AR$38,$D$19)&lt;MAX($P$34*($B320+IF($R$17="Distrato",$I$38-1,0)),IF(AND($L$37=0,$P$34=0),"",$L$37-1),IF($R$17="Distrato",$E320,0))),0,YEARFRAC(MAX($P$34*($B320+IF($R$17="Distrato",$I$38-1,0)),IF(AND($L$37=0,$P$34=0),"",$L$37-1),IF($R$17="Distrato",$E320,0)),MIN(AR$38,$D$19),$P$20))-SUM($P320:AQ320)</f>
        <v>#VALUE!</v>
      </c>
      <c r="AS320" s="446" t="e">
        <f>IF(OR($B320="",MIN(AS$38,$D$19)&lt;MAX($P$34*($B320+IF($R$17="Distrato",$I$38-1,0)),IF(AND($L$37=0,$P$34=0),"",$L$37-1),IF($R$17="Distrato",$E320,0))),0,YEARFRAC(MAX($P$34*($B320+IF($R$17="Distrato",$I$38-1,0)),IF(AND($L$37=0,$P$34=0),"",$L$37-1),IF($R$17="Distrato",$E320,0)),MIN(AS$38,$D$19),$P$20))-SUM($P320:AR320)</f>
        <v>#VALUE!</v>
      </c>
      <c r="AT320" s="446" t="e">
        <f>IF(OR($B320="",MIN(AT$38,$D$19)&lt;MAX($P$34*($B320+IF($R$17="Distrato",$I$38-1,0)),IF(AND($L$37=0,$P$34=0),"",$L$37-1),IF($R$17="Distrato",$E320,0))),0,YEARFRAC(MAX($P$34*($B320+IF($R$17="Distrato",$I$38-1,0)),IF(AND($L$37=0,$P$34=0),"",$L$37-1),IF($R$17="Distrato",$E320,0)),MIN(AT$38,$D$19),$P$20))-SUM($P320:AS320)</f>
        <v>#VALUE!</v>
      </c>
      <c r="AU320" s="446" t="e">
        <f>IF(OR($B320="",MIN(AU$38,$D$19)&lt;MAX($P$34*($B320+IF($R$17="Distrato",$I$38-1,0)),IF(AND($L$37=0,$P$34=0),"",$L$37-1),IF($R$17="Distrato",$E320,0))),0,YEARFRAC(MAX($P$34*($B320+IF($R$17="Distrato",$I$38-1,0)),IF(AND($L$37=0,$P$34=0),"",$L$37-1),IF($R$17="Distrato",$E320,0)),MIN(AU$38,$D$19),$P$20))-SUM($P320:AT320)</f>
        <v>#VALUE!</v>
      </c>
      <c r="AV320" s="446" t="e">
        <f>IF(OR($B320="",MIN(AV$38,$D$19)&lt;MAX($P$34*($B320+IF($R$17="Distrato",$I$38-1,0)),IF(AND($L$37=0,$P$34=0),"",$L$37-1),IF($R$17="Distrato",$E320,0))),0,YEARFRAC(MAX($P$34*($B320+IF($R$17="Distrato",$I$38-1,0)),IF(AND($L$37=0,$P$34=0),"",$L$37-1),IF($R$17="Distrato",$E320,0)),MIN(AV$38,$D$19),$P$20))-SUM($P320:AU320)</f>
        <v>#VALUE!</v>
      </c>
      <c r="AW320" s="446" t="e">
        <f>IF(OR($B320="",MIN(AW$38,$D$19)&lt;MAX($P$34*($B320+IF($R$17="Distrato",$I$38-1,0)),IF(AND($L$37=0,$P$34=0),"",$L$37-1),IF($R$17="Distrato",$E320,0))),0,YEARFRAC(MAX($P$34*($B320+IF($R$17="Distrato",$I$38-1,0)),IF(AND($L$37=0,$P$34=0),"",$L$37-1),IF($R$17="Distrato",$E320,0)),MIN(AW$38,$D$19),$P$20))-SUM($P320:AV320)</f>
        <v>#VALUE!</v>
      </c>
      <c r="AX320" s="446" t="e">
        <f>IF(OR($B320="",MIN(AX$38,$D$19)&lt;MAX($P$34*($B320+IF($R$17="Distrato",$I$38-1,0)),IF(AND($L$37=0,$P$34=0),"",$L$37-1),IF($R$17="Distrato",$E320,0))),0,YEARFRAC(MAX($P$34*($B320+IF($R$17="Distrato",$I$38-1,0)),IF(AND($L$37=0,$P$34=0),"",$L$37-1),IF($R$17="Distrato",$E320,0)),MIN(AX$38,$D$19),$P$20))-SUM($P320:AW320)</f>
        <v>#VALUE!</v>
      </c>
      <c r="AY320" s="446" t="e">
        <f>IF(OR($B320="",MIN(AY$38,$D$19)&lt;MAX($P$34*($B320+IF($R$17="Distrato",$I$38-1,0)),IF(AND($L$37=0,$P$34=0),"",$L$37-1),IF($R$17="Distrato",$E320,0))),0,YEARFRAC(MAX($P$34*($B320+IF($R$17="Distrato",$I$38-1,0)),IF(AND($L$37=0,$P$34=0),"",$L$37-1),IF($R$17="Distrato",$E320,0)),MIN(AY$38,$D$19),$P$20))-SUM($P320:AX320)</f>
        <v>#VALUE!</v>
      </c>
      <c r="AZ320" s="446" t="e">
        <f>IF(OR($B320="",MIN(AZ$38,$D$19)&lt;MAX($P$34*($B320+IF($R$17="Distrato",$I$38-1,0)),IF(AND($L$37=0,$P$34=0),"",$L$37-1),IF($R$17="Distrato",$E320,0))),0,YEARFRAC(MAX($P$34*($B320+IF($R$17="Distrato",$I$38-1,0)),IF(AND($L$37=0,$P$34=0),"",$L$37-1),IF($R$17="Distrato",$E320,0)),MIN(AZ$38,$D$19),$P$20))-SUM($P320:AY320)</f>
        <v>#VALUE!</v>
      </c>
      <c r="BA320" s="446" t="e">
        <f>IF(OR($B320="",MIN(BA$38,$D$19)&lt;MAX($P$34*($B320+IF($R$17="Distrato",$I$38-1,0)),IF(AND($L$37=0,$P$34=0),"",$L$37-1),IF($R$17="Distrato",$E320,0))),0,YEARFRAC(MAX($P$34*($B320+IF($R$17="Distrato",$I$38-1,0)),IF(AND($L$37=0,$P$34=0),"",$L$37-1),IF($R$17="Distrato",$E320,0)),MIN(BA$38,$D$19),$P$20))-SUM($P320:AZ320)</f>
        <v>#VALUE!</v>
      </c>
      <c r="BB320" s="447"/>
      <c r="BF320" s="446">
        <f t="shared" si="54"/>
        <v>0</v>
      </c>
      <c r="BG320" s="446">
        <f>IF($E320=0,0,IF(MIN(BG$38,$E320)&lt;MAX($P$34*($B320+$I$38-1),IF(AND($L$37=0,$P$34=0),"",$L$37-1)),0,YEARFRAC(MAX($P$34*($B320+$I$38-1),IF(AND($L$37=0,$P$34=0),"",$L$37-1)),MIN(BG$38,$E320),$P$20))-SUM($BF320:BF320))</f>
        <v>0</v>
      </c>
      <c r="BH320" s="446">
        <f>IF($E320=0,0,IF(MIN(BH$38,$E320)&lt;MAX($P$34*($B320+$I$38-1),IF(AND($L$37=0,$P$34=0),"",$L$37-1)),0,YEARFRAC(MAX($P$34*($B320+$I$38-1),IF(AND($L$37=0,$P$34=0),"",$L$37-1)),MIN(BH$38,$E320),$P$20))-SUM($BF320:BG320))</f>
        <v>0</v>
      </c>
      <c r="BI320" s="446">
        <f>IF($E320=0,0,IF(MIN(BI$38,$E320)&lt;MAX($P$34*($B320+$I$38-1),IF(AND($L$37=0,$P$34=0),"",$L$37-1)),0,YEARFRAC(MAX($P$34*($B320+$I$38-1),IF(AND($L$37=0,$P$34=0),"",$L$37-1)),MIN(BI$38,$E320),$P$20))-SUM($BF320:BH320))</f>
        <v>0</v>
      </c>
      <c r="BJ320" s="446">
        <f>IF($E320=0,0,IF(MIN(BJ$38,$E320)&lt;MAX($P$34*($B320+$I$38-1),IF(AND($L$37=0,$P$34=0),"",$L$37-1)),0,YEARFRAC(MAX($P$34*($B320+$I$38-1),IF(AND($L$37=0,$P$34=0),"",$L$37-1)),MIN(BJ$38,$E320),$P$20))-SUM($BF320:BI320))</f>
        <v>0</v>
      </c>
      <c r="BK320" s="446">
        <f>IF($E320=0,0,IF(MIN(BK$38,$E320)&lt;MAX($P$34*($B320+$I$38-1),IF(AND($L$37=0,$P$34=0),"",$L$37-1)),0,YEARFRAC(MAX($P$34*($B320+$I$38-1),IF(AND($L$37=0,$P$34=0),"",$L$37-1)),MIN(BK$38,$E320),$P$20))-SUM($BF320:BJ320))</f>
        <v>0</v>
      </c>
      <c r="BL320" s="446">
        <f>IF($E320=0,0,IF(MIN(BL$38,$E320)&lt;MAX($P$34*($B320+$I$38-1),IF(AND($L$37=0,$P$34=0),"",$L$37-1)),0,YEARFRAC(MAX($P$34*($B320+$I$38-1),IF(AND($L$37=0,$P$34=0),"",$L$37-1)),MIN(BL$38,$E320),$P$20))-SUM($BF320:BK320))</f>
        <v>0</v>
      </c>
      <c r="BM320" s="446">
        <f>IF($E320=0,0,IF(MIN(BM$38,$E320)&lt;MAX($P$34*($B320+$I$38-1),IF(AND($L$37=0,$P$34=0),"",$L$37-1)),0,YEARFRAC(MAX($P$34*($B320+$I$38-1),IF(AND($L$37=0,$P$34=0),"",$L$37-1)),MIN(BM$38,$E320),$P$20))-SUM($BF320:BL320))</f>
        <v>0</v>
      </c>
      <c r="BN320" s="446">
        <f>IF($E320=0,0,IF(MIN(BN$38,$E320)&lt;MAX($P$34*($B320+$I$38-1),IF(AND($L$37=0,$P$34=0),"",$L$37-1)),0,YEARFRAC(MAX($P$34*($B320+$I$38-1),IF(AND($L$37=0,$P$34=0),"",$L$37-1)),MIN(BN$38,$E320),$P$20))-SUM($BF320:BM320))</f>
        <v>0</v>
      </c>
      <c r="BO320" s="446">
        <f>IF($E320=0,0,IF(MIN(BO$38,$E320)&lt;MAX($P$34*($B320+$I$38-1),IF(AND($L$37=0,$P$34=0),"",$L$37-1)),0,YEARFRAC(MAX($P$34*($B320+$I$38-1),IF(AND($L$37=0,$P$34=0),"",$L$37-1)),MIN(BO$38,$E320),$P$20))-SUM($BF320:BN320))</f>
        <v>0</v>
      </c>
      <c r="BP320" s="446">
        <f>IF($E320=0,0,IF(MIN(BP$38,$E320)&lt;MAX($P$34*($B320+$I$38-1),IF(AND($L$37=0,$P$34=0),"",$L$37-1)),0,YEARFRAC(MAX($P$34*($B320+$I$38-1),IF(AND($L$37=0,$P$34=0),"",$L$37-1)),MIN(BP$38,$E320),$P$20))-SUM($BF320:BO320))</f>
        <v>0</v>
      </c>
      <c r="BQ320" s="446">
        <f>IF($E320=0,0,IF(MIN(BQ$38,$E320)&lt;MAX($P$34*($B320+$I$38-1),IF(AND($L$37=0,$P$34=0),"",$L$37-1)),0,YEARFRAC(MAX($P$34*($B320+$I$38-1),IF(AND($L$37=0,$P$34=0),"",$L$37-1)),MIN(BQ$38,$E320),$P$20))-SUM($BF320:BP320))</f>
        <v>0</v>
      </c>
      <c r="BR320" s="446">
        <f>IF($E320=0,0,IF(MIN(BR$38,$E320)&lt;MAX($P$34*($B320+$I$38-1),IF(AND($L$37=0,$P$34=0),"",$L$37-1)),0,YEARFRAC(MAX($P$34*($B320+$I$38-1),IF(AND($L$37=0,$P$34=0),"",$L$37-1)),MIN(BR$38,$E320),$P$20))-SUM($BF320:BQ320))</f>
        <v>0</v>
      </c>
      <c r="BS320" s="446">
        <f>IF($E320=0,0,IF(MIN(BS$38,$E320)&lt;MAX($P$34*($B320+$I$38-1),IF(AND($L$37=0,$P$34=0),"",$L$37-1)),0,YEARFRAC(MAX($P$34*($B320+$I$38-1),IF(AND($L$37=0,$P$34=0),"",$L$37-1)),MIN(BS$38,$E320),$P$20))-SUM($BF320:BR320))</f>
        <v>0</v>
      </c>
      <c r="BT320" s="446">
        <f>IF($E320=0,0,IF(MIN(BT$38,$E320)&lt;MAX($P$34*($B320+$I$38-1),IF(AND($L$37=0,$P$34=0),"",$L$37-1)),0,YEARFRAC(MAX($P$34*($B320+$I$38-1),IF(AND($L$37=0,$P$34=0),"",$L$37-1)),MIN(BT$38,$E320),$P$20))-SUM($BF320:BS320))</f>
        <v>0</v>
      </c>
      <c r="BU320" s="446">
        <f>IF($E320=0,0,IF(MIN(BU$38,$E320)&lt;MAX($P$34*($B320+$I$38-1),IF(AND($L$37=0,$P$34=0),"",$L$37-1)),0,YEARFRAC(MAX($P$34*($B320+$I$38-1),IF(AND($L$37=0,$P$34=0),"",$L$37-1)),MIN(BU$38,$E320),$P$20))-SUM($BF320:BT320))</f>
        <v>0</v>
      </c>
      <c r="BV320" s="446">
        <f>IF($E320=0,0,IF(MIN(BV$38,$E320)&lt;MAX($P$34*($B320+$I$38-1),IF(AND($L$37=0,$P$34=0),"",$L$37-1)),0,YEARFRAC(MAX($P$34*($B320+$I$38-1),IF(AND($L$37=0,$P$34=0),"",$L$37-1)),MIN(BV$38,$E320),$P$20))-SUM($BF320:BU320))</f>
        <v>0</v>
      </c>
      <c r="BW320" s="446">
        <f>IF($E320=0,0,IF(MIN(BW$38,$E320)&lt;MAX($P$34*($B320+$I$38-1),IF(AND($L$37=0,$P$34=0),"",$L$37-1)),0,YEARFRAC(MAX($P$34*($B320+$I$38-1),IF(AND($L$37=0,$P$34=0),"",$L$37-1)),MIN(BW$38,$E320),$P$20))-SUM($BF320:BV320))</f>
        <v>0</v>
      </c>
      <c r="BX320" s="446">
        <f>IF($E320=0,0,IF(MIN(BX$38,$E320)&lt;MAX($P$34*($B320+$I$38-1),IF(AND($L$37=0,$P$34=0),"",$L$37-1)),0,YEARFRAC(MAX($P$34*($B320+$I$38-1),IF(AND($L$37=0,$P$34=0),"",$L$37-1)),MIN(BX$38,$E320),$P$20))-SUM($BF320:BW320))</f>
        <v>0</v>
      </c>
      <c r="BY320" s="446">
        <f>IF($E320=0,0,IF(MIN(BY$38,$E320)&lt;MAX($P$34*($B320+$I$38-1),IF(AND($L$37=0,$P$34=0),"",$L$37-1)),0,YEARFRAC(MAX($P$34*($B320+$I$38-1),IF(AND($L$37=0,$P$34=0),"",$L$37-1)),MIN(BY$38,$E320),$P$20))-SUM($BF320:BX320))</f>
        <v>0</v>
      </c>
      <c r="BZ320" s="446">
        <f>IF($E320=0,0,IF(MIN(BZ$38,$E320)&lt;MAX($P$34*($B320+$I$38-1),IF(AND($L$37=0,$P$34=0),"",$L$37-1)),0,YEARFRAC(MAX($P$34*($B320+$I$38-1),IF(AND($L$37=0,$P$34=0),"",$L$37-1)),MIN(BZ$38,$E320),$P$20))-SUM($BF320:BY320))</f>
        <v>0</v>
      </c>
      <c r="CA320" s="446">
        <f>IF($E320=0,0,IF(MIN(CA$38,$E320)&lt;MAX($P$34*($B320+$I$38-1),IF(AND($L$37=0,$P$34=0),"",$L$37-1)),0,YEARFRAC(MAX($P$34*($B320+$I$38-1),IF(AND($L$37=0,$P$34=0),"",$L$37-1)),MIN(CA$38,$E320),$P$20))-SUM($BF320:BZ320))</f>
        <v>0</v>
      </c>
      <c r="CB320" s="446">
        <f>IF($E320=0,0,IF(MIN(CB$38,$E320)&lt;MAX($P$34*($B320+$I$38-1),IF(AND($L$37=0,$P$34=0),"",$L$37-1)),0,YEARFRAC(MAX($P$34*($B320+$I$38-1),IF(AND($L$37=0,$P$34=0),"",$L$37-1)),MIN(CB$38,$E320),$P$20))-SUM($BF320:CA320))</f>
        <v>0</v>
      </c>
      <c r="CC320" s="446">
        <f>IF($E320=0,0,IF(MIN(CC$38,$E320)&lt;MAX($P$34*($B320+$I$38-1),IF(AND($L$37=0,$P$34=0),"",$L$37-1)),0,YEARFRAC(MAX($P$34*($B320+$I$38-1),IF(AND($L$37=0,$P$34=0),"",$L$37-1)),MIN(CC$38,$E320),$P$20))-SUM($BF320:CB320))</f>
        <v>0</v>
      </c>
      <c r="CD320" s="446">
        <f>IF($E320=0,0,IF(MIN(CD$38,$E320)&lt;MAX($P$34*($B320+$I$38-1),IF(AND($L$37=0,$P$34=0),"",$L$37-1)),0,YEARFRAC(MAX($P$34*($B320+$I$38-1),IF(AND($L$37=0,$P$34=0),"",$L$37-1)),MIN(CD$38,$E320),$P$20))-SUM($BF320:CC320))</f>
        <v>0</v>
      </c>
      <c r="CE320" s="446">
        <f>IF($E320=0,0,IF(MIN(CE$38,$E320)&lt;MAX($P$34*($B320+$I$38-1),IF(AND($L$37=0,$P$34=0),"",$L$37-1)),0,YEARFRAC(MAX($P$34*($B320+$I$38-1),IF(AND($L$37=0,$P$34=0),"",$L$37-1)),MIN(CE$38,$E320),$P$20))-SUM($BF320:CD320))</f>
        <v>0</v>
      </c>
      <c r="CF320" s="446">
        <f>IF($E320=0,0,IF(MIN(CF$38,$E320)&lt;MAX($P$34*($B320+$I$38-1),IF(AND($L$37=0,$P$34=0),"",$L$37-1)),0,YEARFRAC(MAX($P$34*($B320+$I$38-1),IF(AND($L$37=0,$P$34=0),"",$L$37-1)),MIN(CF$38,$E320),$P$20))-SUM($BF320:CE320))</f>
        <v>0</v>
      </c>
      <c r="CG320" s="446">
        <f>IF($E320=0,0,IF(MIN(CG$38,$E320)&lt;MAX($P$34*($B320+$I$38-1),IF(AND($L$37=0,$P$34=0),"",$L$37-1)),0,YEARFRAC(MAX($P$34*($B320+$I$38-1),IF(AND($L$37=0,$P$34=0),"",$L$37-1)),MIN(CG$38,$E320),$P$20))-SUM($BF320:CF320))</f>
        <v>0</v>
      </c>
      <c r="CH320" s="446">
        <f>IF($E320=0,0,IF(MIN(CH$38,$E320)&lt;MAX($P$34*($B320+$I$38-1),IF(AND($L$37=0,$P$34=0),"",$L$37-1)),0,YEARFRAC(MAX($P$34*($B320+$I$38-1),IF(AND($L$37=0,$P$34=0),"",$L$37-1)),MIN(CH$38,$E320),$P$20))-SUM($BF320:CG320))</f>
        <v>0</v>
      </c>
      <c r="CI320" s="446">
        <f>IF($E320=0,0,IF(MIN(CI$38,$E320)&lt;MAX($P$34*($B320+$I$38-1),IF(AND($L$37=0,$P$34=0),"",$L$37-1)),0,YEARFRAC(MAX($P$34*($B320+$I$38-1),IF(AND($L$37=0,$P$34=0),"",$L$37-1)),MIN(CI$38,$E320),$P$20))-SUM($BF320:CH320))</f>
        <v>0</v>
      </c>
      <c r="CJ320" s="446">
        <f>IF($E320=0,0,IF(MIN(CJ$38,$E320)&lt;MAX($P$34*($B320+$I$38-1),IF(AND($L$37=0,$P$34=0),"",$L$37-1)),0,YEARFRAC(MAX($P$34*($B320+$I$38-1),IF(AND($L$37=0,$P$34=0),"",$L$37-1)),MIN(CJ$38,$E320),$P$20))-SUM($BF320:CI320))</f>
        <v>0</v>
      </c>
      <c r="CK320" s="446">
        <f>IF($E320=0,0,IF(MIN(CK$38,$E320)&lt;MAX($P$34*($B320+$I$38-1),IF(AND($L$37=0,$P$34=0),"",$L$37-1)),0,YEARFRAC(MAX($P$34*($B320+$I$38-1),IF(AND($L$37=0,$P$34=0),"",$L$37-1)),MIN(CK$38,$E320),$P$20))-SUM($BF320:CJ320))</f>
        <v>0</v>
      </c>
      <c r="CL320" s="446">
        <f>IF($E320=0,0,IF(MIN(CL$38,$E320)&lt;MAX($P$34*($B320+$I$38-1),IF(AND($L$37=0,$P$34=0),"",$L$37-1)),0,YEARFRAC(MAX($P$34*($B320+$I$38-1),IF(AND($L$37=0,$P$34=0),"",$L$37-1)),MIN(CL$38,$E320),$P$20))-SUM($BF320:CK320))</f>
        <v>0</v>
      </c>
      <c r="CM320" s="446">
        <f>IF($E320=0,0,IF(MIN(CM$38,$E320)&lt;MAX($P$34*($B320+$I$38-1),IF(AND($L$37=0,$P$34=0),"",$L$37-1)),0,YEARFRAC(MAX($P$34*($B320+$I$38-1),IF(AND($L$37=0,$P$34=0),"",$L$37-1)),MIN(CM$38,$E320),$P$20))-SUM($BF320:CL320))</f>
        <v>0</v>
      </c>
      <c r="CN320" s="446">
        <f>IF($E320=0,0,IF(MIN(CN$38,$E320)&lt;MAX($P$34*($B320+$I$38-1),IF(AND($L$37=0,$P$34=0),"",$L$37-1)),0,YEARFRAC(MAX($P$34*($B320+$I$38-1),IF(AND($L$37=0,$P$34=0),"",$L$37-1)),MIN(CN$38,$E320),$P$20))-SUM($BF320:CM320))</f>
        <v>0</v>
      </c>
      <c r="CO320" s="446">
        <f>IF($E320=0,0,IF(MIN(CO$38,$E320)&lt;MAX($P$34*($B320+$I$38-1),IF(AND($L$37=0,$P$34=0),"",$L$37-1)),0,YEARFRAC(MAX($P$34*($B320+$I$38-1),IF(AND($L$37=0,$P$34=0),"",$L$37-1)),MIN(CO$38,$E320),$P$20))-SUM($BF320:CN320))</f>
        <v>0</v>
      </c>
      <c r="CP320" s="446">
        <f>IF($E320=0,0,IF(MIN(CP$38,$E320)&lt;MAX($P$34*($B320+$I$38-1),IF(AND($L$37=0,$P$34=0),"",$L$37-1)),0,YEARFRAC(MAX($P$34*($B320+$I$38-1),IF(AND($L$37=0,$P$34=0),"",$L$37-1)),MIN(CP$38,$E320),$P$20))-SUM($BF320:CO320))</f>
        <v>0</v>
      </c>
      <c r="CQ320" s="446">
        <f>IF($E320=0,0,IF(MIN(CQ$38,$E320)&lt;MAX($P$34*($B320+$I$38-1),IF(AND($L$37=0,$P$34=0),"",$L$37-1)),0,YEARFRAC(MAX($P$34*($B320+$I$38-1),IF(AND($L$37=0,$P$34=0),"",$L$37-1)),MIN(CQ$38,$E320),$P$20))-SUM($BF320:CP320))</f>
        <v>0</v>
      </c>
    </row>
    <row r="321" spans="1:95" s="446" customFormat="1" ht="11.25" hidden="1" customHeight="1" x14ac:dyDescent="0.2">
      <c r="A321" s="152"/>
      <c r="B321" s="153" t="str">
        <f t="shared" si="59"/>
        <v/>
      </c>
      <c r="C321" s="29" t="str">
        <f>IF(B321="","",IF($L$35="SELIC - TRIBUTOS",VLOOKUP(DATE(YEAR($D$19),MONTH($D$19)-1,1),ÍNDICES!$A:$DE,HLOOKUP($BL$25,ÍNDICES!$B$3:$T$4,2)+11)-VLOOKUP(B321,ÍNDICES!$A:$DE,HLOOKUP($BL$25,ÍNDICES!$B$3:$T$4,2)+11)+1%,IF(C$38=$W$26,$J$35,IF(ISERROR(IF(B321&gt;$D$19,1,VLOOKUP(DATE(YEAR(B321),MONTH(B321)+IF($C$35=$S$23,1,0),1),ÍNDICES!$A:$DE,$Z$35+1))),"",IF(B321&gt;$D$19,1,VLOOKUP(DATE(YEAR(B321),MONTH(B321)+IF($C$35=$S$23,1,0),1),ÍNDICES!$A:$DE,$Z$35+1))))))</f>
        <v/>
      </c>
      <c r="D321" s="154" t="str">
        <f>IF(ISERROR(IF(OR($D$38=$Y$27,$B321=""),"",VLOOKUP(B321,ÍNDICES!A:DE,AF$35+1))),"",IF(OR($D$38=$Y$27,$B321=""),"",VLOOKUP(B321,ÍNDICES!A:DE,AF$35+1)))</f>
        <v/>
      </c>
      <c r="E321" s="153"/>
      <c r="F321" s="29" t="str">
        <f>IF(E321="","",IF($L$35="SELIC - TRIBUTOS",VLOOKUP(DATE(YEAR($D$19),MONTH($D$19)-1,1),ÍNDICES!$A:$DE,HLOOKUP($BL$25,ÍNDICES!$B$3:$T$4,2)+11)-VLOOKUP(E321,ÍNDICES!$A:$DE,HLOOKUP($BL$25,ÍNDICES!$B$3:$T$4,2)+11)+1%,IF(F$38=$W$26,$J$35,IF(ISERROR(IF(E321&gt;$D$19,1,VLOOKUP(DATE(YEAR(E321),MONTH(E321)+IF($C$35=$S$23,1,0),1),ÍNDICES!$A:$DE,$Z$35+1))),"",IF(E321&gt;$D$19,1,VLOOKUP(DATE(YEAR(E321),MONTH(E321)+IF($C$35=$S$23,1,0),1),ÍNDICES!$A:$DE,$Z$35+1))))))</f>
        <v/>
      </c>
      <c r="G321" s="155"/>
      <c r="H321" s="156" t="str">
        <f t="shared" si="55"/>
        <v/>
      </c>
      <c r="I321" s="29" t="str">
        <f t="shared" si="49"/>
        <v/>
      </c>
      <c r="J321" s="5">
        <f t="shared" si="50"/>
        <v>0</v>
      </c>
      <c r="K321" s="20">
        <f t="shared" ca="1" si="51"/>
        <v>0</v>
      </c>
      <c r="L321" s="5">
        <f t="shared" ca="1" si="52"/>
        <v>0</v>
      </c>
      <c r="M321" s="64">
        <f t="shared" si="56"/>
        <v>0</v>
      </c>
      <c r="N321" s="61">
        <f t="shared" ca="1" si="57"/>
        <v>0</v>
      </c>
      <c r="O321" s="5">
        <f t="shared" ca="1" si="58"/>
        <v>0</v>
      </c>
      <c r="P321" s="446" t="e">
        <f t="shared" si="53"/>
        <v>#VALUE!</v>
      </c>
      <c r="Q321" s="446" t="e">
        <f>IF(OR($B321="",MIN(Q$38,$D$19)&lt;MAX($P$34*($B321+IF($R$17="Distrato",$I$38-1,0)),IF(AND($L$37=0,$P$34=0),"",$L$37-1),IF($R$17="Distrato",$E321,0))),0,YEARFRAC(MAX($P$34*($B321+IF($R$17="Distrato",$I$38-1,0)),IF(AND($L$37=0,$P$34=0),"",$L$37-1),IF($R$17="Distrato",$E321,0)),MIN(Q$38,$D$19),$P$20))-SUM($P321:P321)</f>
        <v>#VALUE!</v>
      </c>
      <c r="R321" s="446" t="e">
        <f>IF(OR($B321="",MIN(R$38,$D$19)&lt;MAX($P$34*($B321+IF($R$17="Distrato",$I$38-1,0)),IF(AND($L$37=0,$P$34=0),"",$L$37-1),IF($R$17="Distrato",$E321,0))),0,YEARFRAC(MAX($P$34*($B321+IF($R$17="Distrato",$I$38-1,0)),IF(AND($L$37=0,$P$34=0),"",$L$37-1),IF($R$17="Distrato",$E321,0)),MIN(R$38,$D$19),$P$20))-SUM($P321:Q321)</f>
        <v>#VALUE!</v>
      </c>
      <c r="S321" s="446" t="e">
        <f>IF(OR($B321="",MIN(S$38,$D$19)&lt;MAX($P$34*($B321+IF($R$17="Distrato",$I$38-1,0)),IF(AND($L$37=0,$P$34=0),"",$L$37-1),IF($R$17="Distrato",$E321,0))),0,YEARFRAC(MAX($P$34*($B321+IF($R$17="Distrato",$I$38-1,0)),IF(AND($L$37=0,$P$34=0),"",$L$37-1),IF($R$17="Distrato",$E321,0)),MIN(S$38,$D$19),$P$20))-SUM($P321:R321)</f>
        <v>#VALUE!</v>
      </c>
      <c r="T321" s="446" t="e">
        <f>IF(OR($B321="",MIN(T$38,$D$19)&lt;MAX($P$34*($B321+IF($R$17="Distrato",$I$38-1,0)),IF(AND($L$37=0,$P$34=0),"",$L$37-1),IF($R$17="Distrato",$E321,0))),0,YEARFRAC(MAX($P$34*($B321+IF($R$17="Distrato",$I$38-1,0)),IF(AND($L$37=0,$P$34=0),"",$L$37-1),IF($R$17="Distrato",$E321,0)),MIN(T$38,$D$19),$P$20))-SUM($P321:S321)</f>
        <v>#VALUE!</v>
      </c>
      <c r="U321" s="446" t="e">
        <f>IF(OR($B321="",MIN(U$38,$D$19)&lt;MAX($P$34*($B321+IF($R$17="Distrato",$I$38-1,0)),IF(AND($L$37=0,$P$34=0),"",$L$37-1),IF($R$17="Distrato",$E321,0))),0,YEARFRAC(MAX($P$34*($B321+IF($R$17="Distrato",$I$38-1,0)),IF(AND($L$37=0,$P$34=0),"",$L$37-1),IF($R$17="Distrato",$E321,0)),MIN(U$38,$D$19),$P$20))-SUM($P321:T321)</f>
        <v>#VALUE!</v>
      </c>
      <c r="V321" s="446" t="e">
        <f>IF(OR($B321="",MIN(V$38,$D$19)&lt;MAX($P$34*($B321+IF($R$17="Distrato",$I$38-1,0)),IF(AND($L$37=0,$P$34=0),"",$L$37-1),IF($R$17="Distrato",$E321,0))),0,YEARFRAC(MAX($P$34*($B321+IF($R$17="Distrato",$I$38-1,0)),IF(AND($L$37=0,$P$34=0),"",$L$37-1),IF($R$17="Distrato",$E321,0)),MIN(V$38,$D$19),$P$20))-SUM($P321:U321)</f>
        <v>#VALUE!</v>
      </c>
      <c r="W321" s="446" t="e">
        <f>IF(OR($B321="",MIN(W$38,$D$19)&lt;MAX($P$34*($B321+IF($R$17="Distrato",$I$38-1,0)),IF(AND($L$37=0,$P$34=0),"",$L$37-1),IF($R$17="Distrato",$E321,0))),0,YEARFRAC(MAX($P$34*($B321+IF($R$17="Distrato",$I$38-1,0)),IF(AND($L$37=0,$P$34=0),"",$L$37-1),IF($R$17="Distrato",$E321,0)),MIN(W$38,$D$19),$P$20))-SUM($P321:V321)</f>
        <v>#VALUE!</v>
      </c>
      <c r="X321" s="446" t="e">
        <f>IF(OR($B321="",MIN(X$38,$D$19)&lt;MAX($P$34*($B321+IF($R$17="Distrato",$I$38-1,0)),IF(AND($L$37=0,$P$34=0),"",$L$37-1),IF($R$17="Distrato",$E321,0))),0,YEARFRAC(MAX($P$34*($B321+IF($R$17="Distrato",$I$38-1,0)),IF(AND($L$37=0,$P$34=0),"",$L$37-1),IF($R$17="Distrato",$E321,0)),MIN(X$38,$D$19),$P$20))-SUM($P321:W321)</f>
        <v>#VALUE!</v>
      </c>
      <c r="Y321" s="446" t="e">
        <f>IF(OR($B321="",MIN(Y$38,$D$19)&lt;MAX($P$34*($B321+IF($R$17="Distrato",$I$38-1,0)),IF(AND($L$37=0,$P$34=0),"",$L$37-1),IF($R$17="Distrato",$E321,0))),0,YEARFRAC(MAX($P$34*($B321+IF($R$17="Distrato",$I$38-1,0)),IF(AND($L$37=0,$P$34=0),"",$L$37-1),IF($R$17="Distrato",$E321,0)),MIN(Y$38,$D$19),$P$20))-SUM($P321:X321)</f>
        <v>#VALUE!</v>
      </c>
      <c r="Z321" s="446" t="e">
        <f>IF(OR($B321="",MIN(Z$38,$D$19)&lt;MAX($P$34*($B321+IF($R$17="Distrato",$I$38-1,0)),IF(AND($L$37=0,$P$34=0),"",$L$37-1),IF($R$17="Distrato",$E321,0))),0,YEARFRAC(MAX($P$34*($B321+IF($R$17="Distrato",$I$38-1,0)),IF(AND($L$37=0,$P$34=0),"",$L$37-1),IF($R$17="Distrato",$E321,0)),MIN(Z$38,$D$19),$P$20))-SUM($P321:Y321)</f>
        <v>#VALUE!</v>
      </c>
      <c r="AA321" s="446" t="e">
        <f>IF(OR($B321="",MIN(AA$38,$D$19)&lt;MAX($P$34*($B321+IF($R$17="Distrato",$I$38-1,0)),IF(AND($L$37=0,$P$34=0),"",$L$37-1),IF($R$17="Distrato",$E321,0))),0,YEARFRAC(MAX($P$34*($B321+IF($R$17="Distrato",$I$38-1,0)),IF(AND($L$37=0,$P$34=0),"",$L$37-1),IF($R$17="Distrato",$E321,0)),MIN(AA$38,$D$19),$P$20))-SUM($P321:Z321)</f>
        <v>#VALUE!</v>
      </c>
      <c r="AB321" s="446" t="e">
        <f>IF(OR($B321="",MIN(AB$38,$D$19)&lt;MAX($P$34*($B321+IF($R$17="Distrato",$I$38-1,0)),IF(AND($L$37=0,$P$34=0),"",$L$37-1),IF($R$17="Distrato",$E321,0))),0,YEARFRAC(MAX($P$34*($B321+IF($R$17="Distrato",$I$38-1,0)),IF(AND($L$37=0,$P$34=0),"",$L$37-1),IF($R$17="Distrato",$E321,0)),MIN(AB$38,$D$19),$P$20))-SUM($P321:AA321)</f>
        <v>#VALUE!</v>
      </c>
      <c r="AC321" s="446" t="e">
        <f>IF(OR($B321="",MIN(AC$38,$D$19)&lt;MAX($P$34*($B321+IF($R$17="Distrato",$I$38-1,0)),IF(AND($L$37=0,$P$34=0),"",$L$37-1),IF($R$17="Distrato",$E321,0))),0,YEARFRAC(MAX($P$34*($B321+IF($R$17="Distrato",$I$38-1,0)),IF(AND($L$37=0,$P$34=0),"",$L$37-1),IF($R$17="Distrato",$E321,0)),MIN(AC$38,$D$19),$P$20))-SUM($P321:AB321)</f>
        <v>#VALUE!</v>
      </c>
      <c r="AD321" s="446" t="e">
        <f>IF(OR($B321="",MIN(AD$38,$D$19)&lt;MAX($P$34*($B321+IF($R$17="Distrato",$I$38-1,0)),IF(AND($L$37=0,$P$34=0),"",$L$37-1),IF($R$17="Distrato",$E321,0))),0,YEARFRAC(MAX($P$34*($B321+IF($R$17="Distrato",$I$38-1,0)),IF(AND($L$37=0,$P$34=0),"",$L$37-1),IF($R$17="Distrato",$E321,0)),MIN(AD$38,$D$19),$P$20))-SUM($P321:AC321)</f>
        <v>#VALUE!</v>
      </c>
      <c r="AE321" s="446" t="e">
        <f>IF(OR($B321="",MIN(AE$38,$D$19)&lt;MAX($P$34*($B321+IF($R$17="Distrato",$I$38-1,0)),IF(AND($L$37=0,$P$34=0),"",$L$37-1),IF($R$17="Distrato",$E321,0))),0,YEARFRAC(MAX($P$34*($B321+IF($R$17="Distrato",$I$38-1,0)),IF(AND($L$37=0,$P$34=0),"",$L$37-1),IF($R$17="Distrato",$E321,0)),MIN(AE$38,$D$19),$P$20))-SUM($P321:AD321)</f>
        <v>#VALUE!</v>
      </c>
      <c r="AF321" s="446" t="e">
        <f>IF(OR($B321="",MIN(AF$38,$D$19)&lt;MAX($P$34*($B321+IF($R$17="Distrato",$I$38-1,0)),IF(AND($L$37=0,$P$34=0),"",$L$37-1),IF($R$17="Distrato",$E321,0))),0,YEARFRAC(MAX($P$34*($B321+IF($R$17="Distrato",$I$38-1,0)),IF(AND($L$37=0,$P$34=0),"",$L$37-1),IF($R$17="Distrato",$E321,0)),MIN(AF$38,$D$19),$P$20))-SUM($P321:AE321)</f>
        <v>#VALUE!</v>
      </c>
      <c r="AG321" s="446" t="e">
        <f>IF(OR($B321="",MIN(AG$38,$D$19)&lt;MAX($P$34*($B321+IF($R$17="Distrato",$I$38-1,0)),IF(AND($L$37=0,$P$34=0),"",$L$37-1),IF($R$17="Distrato",$E321,0))),0,YEARFRAC(MAX($P$34*($B321+IF($R$17="Distrato",$I$38-1,0)),IF(AND($L$37=0,$P$34=0),"",$L$37-1),IF($R$17="Distrato",$E321,0)),MIN(AG$38,$D$19),$P$20))-SUM($P321:AF321)</f>
        <v>#VALUE!</v>
      </c>
      <c r="AH321" s="446" t="e">
        <f>IF(OR($B321="",MIN(AH$38,$D$19)&lt;MAX($P$34*($B321+IF($R$17="Distrato",$I$38-1,0)),IF(AND($L$37=0,$P$34=0),"",$L$37-1),IF($R$17="Distrato",$E321,0))),0,YEARFRAC(MAX($P$34*($B321+IF($R$17="Distrato",$I$38-1,0)),IF(AND($L$37=0,$P$34=0),"",$L$37-1),IF($R$17="Distrato",$E321,0)),MIN(AH$38,$D$19),$P$20))-SUM($P321:AG321)</f>
        <v>#VALUE!</v>
      </c>
      <c r="AI321" s="446" t="e">
        <f>IF(OR($B321="",MIN(AI$38,$D$19)&lt;MAX($P$34*($B321+IF($R$17="Distrato",$I$38-1,0)),IF(AND($L$37=0,$P$34=0),"",$L$37-1),IF($R$17="Distrato",$E321,0))),0,YEARFRAC(MAX($P$34*($B321+IF($R$17="Distrato",$I$38-1,0)),IF(AND($L$37=0,$P$34=0),"",$L$37-1),IF($R$17="Distrato",$E321,0)),MIN(AI$38,$D$19),$P$20))-SUM($P321:AH321)</f>
        <v>#VALUE!</v>
      </c>
      <c r="AJ321" s="446" t="e">
        <f>IF(OR($B321="",MIN(AJ$38,$D$19)&lt;MAX($P$34*($B321+IF($R$17="Distrato",$I$38-1,0)),IF(AND($L$37=0,$P$34=0),"",$L$37-1),IF($R$17="Distrato",$E321,0))),0,YEARFRAC(MAX($P$34*($B321+IF($R$17="Distrato",$I$38-1,0)),IF(AND($L$37=0,$P$34=0),"",$L$37-1),IF($R$17="Distrato",$E321,0)),MIN(AJ$38,$D$19),$P$20))-SUM($P321:AI321)</f>
        <v>#VALUE!</v>
      </c>
      <c r="AK321" s="446" t="e">
        <f>IF(OR($B321="",MIN(AK$38,$D$19)&lt;MAX($P$34*($B321+IF($R$17="Distrato",$I$38-1,0)),IF(AND($L$37=0,$P$34=0),"",$L$37-1),IF($R$17="Distrato",$E321,0))),0,YEARFRAC(MAX($P$34*($B321+IF($R$17="Distrato",$I$38-1,0)),IF(AND($L$37=0,$P$34=0),"",$L$37-1),IF($R$17="Distrato",$E321,0)),MIN(AK$38,$D$19),$P$20))-SUM($P321:AJ321)</f>
        <v>#VALUE!</v>
      </c>
      <c r="AL321" s="446" t="e">
        <f>IF(OR($B321="",MIN(AL$38,$D$19)&lt;MAX($P$34*($B321+IF($R$17="Distrato",$I$38-1,0)),IF(AND($L$37=0,$P$34=0),"",$L$37-1),IF($R$17="Distrato",$E321,0))),0,YEARFRAC(MAX($P$34*($B321+IF($R$17="Distrato",$I$38-1,0)),IF(AND($L$37=0,$P$34=0),"",$L$37-1),IF($R$17="Distrato",$E321,0)),MIN(AL$38,$D$19),$P$20))-SUM($P321:AK321)</f>
        <v>#VALUE!</v>
      </c>
      <c r="AM321" s="446" t="e">
        <f>IF(OR($B321="",MIN(AM$38,$D$19)&lt;MAX($P$34*($B321+IF($R$17="Distrato",$I$38-1,0)),IF(AND($L$37=0,$P$34=0),"",$L$37-1),IF($R$17="Distrato",$E321,0))),0,YEARFRAC(MAX($P$34*($B321+IF($R$17="Distrato",$I$38-1,0)),IF(AND($L$37=0,$P$34=0),"",$L$37-1),IF($R$17="Distrato",$E321,0)),MIN(AM$38,$D$19),$P$20))-SUM($P321:AL321)</f>
        <v>#VALUE!</v>
      </c>
      <c r="AN321" s="446" t="e">
        <f>IF(OR($B321="",MIN(AN$38,$D$19)&lt;MAX($P$34*($B321+IF($R$17="Distrato",$I$38-1,0)),IF(AND($L$37=0,$P$34=0),"",$L$37-1),IF($R$17="Distrato",$E321,0))),0,YEARFRAC(MAX($P$34*($B321+IF($R$17="Distrato",$I$38-1,0)),IF(AND($L$37=0,$P$34=0),"",$L$37-1),IF($R$17="Distrato",$E321,0)),MIN(AN$38,$D$19),$P$20))-SUM($P321:AM321)</f>
        <v>#VALUE!</v>
      </c>
      <c r="AO321" s="446" t="e">
        <f>IF(OR($B321="",MIN(AO$38,$D$19)&lt;MAX($P$34*($B321+IF($R$17="Distrato",$I$38-1,0)),IF(AND($L$37=0,$P$34=0),"",$L$37-1),IF($R$17="Distrato",$E321,0))),0,YEARFRAC(MAX($P$34*($B321+IF($R$17="Distrato",$I$38-1,0)),IF(AND($L$37=0,$P$34=0),"",$L$37-1),IF($R$17="Distrato",$E321,0)),MIN(AO$38,$D$19),$P$20))-SUM($P321:AN321)</f>
        <v>#VALUE!</v>
      </c>
      <c r="AP321" s="446" t="e">
        <f>IF(OR($B321="",MIN(AP$38,$D$19)&lt;MAX($P$34*($B321+IF($R$17="Distrato",$I$38-1,0)),IF(AND($L$37=0,$P$34=0),"",$L$37-1),IF($R$17="Distrato",$E321,0))),0,YEARFRAC(MAX($P$34*($B321+IF($R$17="Distrato",$I$38-1,0)),IF(AND($L$37=0,$P$34=0),"",$L$37-1),IF($R$17="Distrato",$E321,0)),MIN(AP$38,$D$19),$P$20))-SUM($P321:AO321)</f>
        <v>#VALUE!</v>
      </c>
      <c r="AQ321" s="446" t="e">
        <f>IF(OR($B321="",MIN(AQ$38,$D$19)&lt;MAX($P$34*($B321+IF($R$17="Distrato",$I$38-1,0)),IF(AND($L$37=0,$P$34=0),"",$L$37-1),IF($R$17="Distrato",$E321,0))),0,YEARFRAC(MAX($P$34*($B321+IF($R$17="Distrato",$I$38-1,0)),IF(AND($L$37=0,$P$34=0),"",$L$37-1),IF($R$17="Distrato",$E321,0)),MIN(AQ$38,$D$19),$P$20))-SUM($P321:AP321)</f>
        <v>#VALUE!</v>
      </c>
      <c r="AR321" s="446" t="e">
        <f>IF(OR($B321="",MIN(AR$38,$D$19)&lt;MAX($P$34*($B321+IF($R$17="Distrato",$I$38-1,0)),IF(AND($L$37=0,$P$34=0),"",$L$37-1),IF($R$17="Distrato",$E321,0))),0,YEARFRAC(MAX($P$34*($B321+IF($R$17="Distrato",$I$38-1,0)),IF(AND($L$37=0,$P$34=0),"",$L$37-1),IF($R$17="Distrato",$E321,0)),MIN(AR$38,$D$19),$P$20))-SUM($P321:AQ321)</f>
        <v>#VALUE!</v>
      </c>
      <c r="AS321" s="446" t="e">
        <f>IF(OR($B321="",MIN(AS$38,$D$19)&lt;MAX($P$34*($B321+IF($R$17="Distrato",$I$38-1,0)),IF(AND($L$37=0,$P$34=0),"",$L$37-1),IF($R$17="Distrato",$E321,0))),0,YEARFRAC(MAX($P$34*($B321+IF($R$17="Distrato",$I$38-1,0)),IF(AND($L$37=0,$P$34=0),"",$L$37-1),IF($R$17="Distrato",$E321,0)),MIN(AS$38,$D$19),$P$20))-SUM($P321:AR321)</f>
        <v>#VALUE!</v>
      </c>
      <c r="AT321" s="446" t="e">
        <f>IF(OR($B321="",MIN(AT$38,$D$19)&lt;MAX($P$34*($B321+IF($R$17="Distrato",$I$38-1,0)),IF(AND($L$37=0,$P$34=0),"",$L$37-1),IF($R$17="Distrato",$E321,0))),0,YEARFRAC(MAX($P$34*($B321+IF($R$17="Distrato",$I$38-1,0)),IF(AND($L$37=0,$P$34=0),"",$L$37-1),IF($R$17="Distrato",$E321,0)),MIN(AT$38,$D$19),$P$20))-SUM($P321:AS321)</f>
        <v>#VALUE!</v>
      </c>
      <c r="AU321" s="446" t="e">
        <f>IF(OR($B321="",MIN(AU$38,$D$19)&lt;MAX($P$34*($B321+IF($R$17="Distrato",$I$38-1,0)),IF(AND($L$37=0,$P$34=0),"",$L$37-1),IF($R$17="Distrato",$E321,0))),0,YEARFRAC(MAX($P$34*($B321+IF($R$17="Distrato",$I$38-1,0)),IF(AND($L$37=0,$P$34=0),"",$L$37-1),IF($R$17="Distrato",$E321,0)),MIN(AU$38,$D$19),$P$20))-SUM($P321:AT321)</f>
        <v>#VALUE!</v>
      </c>
      <c r="AV321" s="446" t="e">
        <f>IF(OR($B321="",MIN(AV$38,$D$19)&lt;MAX($P$34*($B321+IF($R$17="Distrato",$I$38-1,0)),IF(AND($L$37=0,$P$34=0),"",$L$37-1),IF($R$17="Distrato",$E321,0))),0,YEARFRAC(MAX($P$34*($B321+IF($R$17="Distrato",$I$38-1,0)),IF(AND($L$37=0,$P$34=0),"",$L$37-1),IF($R$17="Distrato",$E321,0)),MIN(AV$38,$D$19),$P$20))-SUM($P321:AU321)</f>
        <v>#VALUE!</v>
      </c>
      <c r="AW321" s="446" t="e">
        <f>IF(OR($B321="",MIN(AW$38,$D$19)&lt;MAX($P$34*($B321+IF($R$17="Distrato",$I$38-1,0)),IF(AND($L$37=0,$P$34=0),"",$L$37-1),IF($R$17="Distrato",$E321,0))),0,YEARFRAC(MAX($P$34*($B321+IF($R$17="Distrato",$I$38-1,0)),IF(AND($L$37=0,$P$34=0),"",$L$37-1),IF($R$17="Distrato",$E321,0)),MIN(AW$38,$D$19),$P$20))-SUM($P321:AV321)</f>
        <v>#VALUE!</v>
      </c>
      <c r="AX321" s="446" t="e">
        <f>IF(OR($B321="",MIN(AX$38,$D$19)&lt;MAX($P$34*($B321+IF($R$17="Distrato",$I$38-1,0)),IF(AND($L$37=0,$P$34=0),"",$L$37-1),IF($R$17="Distrato",$E321,0))),0,YEARFRAC(MAX($P$34*($B321+IF($R$17="Distrato",$I$38-1,0)),IF(AND($L$37=0,$P$34=0),"",$L$37-1),IF($R$17="Distrato",$E321,0)),MIN(AX$38,$D$19),$P$20))-SUM($P321:AW321)</f>
        <v>#VALUE!</v>
      </c>
      <c r="AY321" s="446" t="e">
        <f>IF(OR($B321="",MIN(AY$38,$D$19)&lt;MAX($P$34*($B321+IF($R$17="Distrato",$I$38-1,0)),IF(AND($L$37=0,$P$34=0),"",$L$37-1),IF($R$17="Distrato",$E321,0))),0,YEARFRAC(MAX($P$34*($B321+IF($R$17="Distrato",$I$38-1,0)),IF(AND($L$37=0,$P$34=0),"",$L$37-1),IF($R$17="Distrato",$E321,0)),MIN(AY$38,$D$19),$P$20))-SUM($P321:AX321)</f>
        <v>#VALUE!</v>
      </c>
      <c r="AZ321" s="446" t="e">
        <f>IF(OR($B321="",MIN(AZ$38,$D$19)&lt;MAX($P$34*($B321+IF($R$17="Distrato",$I$38-1,0)),IF(AND($L$37=0,$P$34=0),"",$L$37-1),IF($R$17="Distrato",$E321,0))),0,YEARFRAC(MAX($P$34*($B321+IF($R$17="Distrato",$I$38-1,0)),IF(AND($L$37=0,$P$34=0),"",$L$37-1),IF($R$17="Distrato",$E321,0)),MIN(AZ$38,$D$19),$P$20))-SUM($P321:AY321)</f>
        <v>#VALUE!</v>
      </c>
      <c r="BA321" s="446" t="e">
        <f>IF(OR($B321="",MIN(BA$38,$D$19)&lt;MAX($P$34*($B321+IF($R$17="Distrato",$I$38-1,0)),IF(AND($L$37=0,$P$34=0),"",$L$37-1),IF($R$17="Distrato",$E321,0))),0,YEARFRAC(MAX($P$34*($B321+IF($R$17="Distrato",$I$38-1,0)),IF(AND($L$37=0,$P$34=0),"",$L$37-1),IF($R$17="Distrato",$E321,0)),MIN(BA$38,$D$19),$P$20))-SUM($P321:AZ321)</f>
        <v>#VALUE!</v>
      </c>
      <c r="BB321" s="447"/>
      <c r="BF321" s="446">
        <f t="shared" si="54"/>
        <v>0</v>
      </c>
      <c r="BG321" s="446">
        <f>IF($E321=0,0,IF(MIN(BG$38,$E321)&lt;MAX($P$34*($B321+$I$38-1),IF(AND($L$37=0,$P$34=0),"",$L$37-1)),0,YEARFRAC(MAX($P$34*($B321+$I$38-1),IF(AND($L$37=0,$P$34=0),"",$L$37-1)),MIN(BG$38,$E321),$P$20))-SUM($BF321:BF321))</f>
        <v>0</v>
      </c>
      <c r="BH321" s="446">
        <f>IF($E321=0,0,IF(MIN(BH$38,$E321)&lt;MAX($P$34*($B321+$I$38-1),IF(AND($L$37=0,$P$34=0),"",$L$37-1)),0,YEARFRAC(MAX($P$34*($B321+$I$38-1),IF(AND($L$37=0,$P$34=0),"",$L$37-1)),MIN(BH$38,$E321),$P$20))-SUM($BF321:BG321))</f>
        <v>0</v>
      </c>
      <c r="BI321" s="446">
        <f>IF($E321=0,0,IF(MIN(BI$38,$E321)&lt;MAX($P$34*($B321+$I$38-1),IF(AND($L$37=0,$P$34=0),"",$L$37-1)),0,YEARFRAC(MAX($P$34*($B321+$I$38-1),IF(AND($L$37=0,$P$34=0),"",$L$37-1)),MIN(BI$38,$E321),$P$20))-SUM($BF321:BH321))</f>
        <v>0</v>
      </c>
      <c r="BJ321" s="446">
        <f>IF($E321=0,0,IF(MIN(BJ$38,$E321)&lt;MAX($P$34*($B321+$I$38-1),IF(AND($L$37=0,$P$34=0),"",$L$37-1)),0,YEARFRAC(MAX($P$34*($B321+$I$38-1),IF(AND($L$37=0,$P$34=0),"",$L$37-1)),MIN(BJ$38,$E321),$P$20))-SUM($BF321:BI321))</f>
        <v>0</v>
      </c>
      <c r="BK321" s="446">
        <f>IF($E321=0,0,IF(MIN(BK$38,$E321)&lt;MAX($P$34*($B321+$I$38-1),IF(AND($L$37=0,$P$34=0),"",$L$37-1)),0,YEARFRAC(MAX($P$34*($B321+$I$38-1),IF(AND($L$37=0,$P$34=0),"",$L$37-1)),MIN(BK$38,$E321),$P$20))-SUM($BF321:BJ321))</f>
        <v>0</v>
      </c>
      <c r="BL321" s="446">
        <f>IF($E321=0,0,IF(MIN(BL$38,$E321)&lt;MAX($P$34*($B321+$I$38-1),IF(AND($L$37=0,$P$34=0),"",$L$37-1)),0,YEARFRAC(MAX($P$34*($B321+$I$38-1),IF(AND($L$37=0,$P$34=0),"",$L$37-1)),MIN(BL$38,$E321),$P$20))-SUM($BF321:BK321))</f>
        <v>0</v>
      </c>
      <c r="BM321" s="446">
        <f>IF($E321=0,0,IF(MIN(BM$38,$E321)&lt;MAX($P$34*($B321+$I$38-1),IF(AND($L$37=0,$P$34=0),"",$L$37-1)),0,YEARFRAC(MAX($P$34*($B321+$I$38-1),IF(AND($L$37=0,$P$34=0),"",$L$37-1)),MIN(BM$38,$E321),$P$20))-SUM($BF321:BL321))</f>
        <v>0</v>
      </c>
      <c r="BN321" s="446">
        <f>IF($E321=0,0,IF(MIN(BN$38,$E321)&lt;MAX($P$34*($B321+$I$38-1),IF(AND($L$37=0,$P$34=0),"",$L$37-1)),0,YEARFRAC(MAX($P$34*($B321+$I$38-1),IF(AND($L$37=0,$P$34=0),"",$L$37-1)),MIN(BN$38,$E321),$P$20))-SUM($BF321:BM321))</f>
        <v>0</v>
      </c>
      <c r="BO321" s="446">
        <f>IF($E321=0,0,IF(MIN(BO$38,$E321)&lt;MAX($P$34*($B321+$I$38-1),IF(AND($L$37=0,$P$34=0),"",$L$37-1)),0,YEARFRAC(MAX($P$34*($B321+$I$38-1),IF(AND($L$37=0,$P$34=0),"",$L$37-1)),MIN(BO$38,$E321),$P$20))-SUM($BF321:BN321))</f>
        <v>0</v>
      </c>
      <c r="BP321" s="446">
        <f>IF($E321=0,0,IF(MIN(BP$38,$E321)&lt;MAX($P$34*($B321+$I$38-1),IF(AND($L$37=0,$P$34=0),"",$L$37-1)),0,YEARFRAC(MAX($P$34*($B321+$I$38-1),IF(AND($L$37=0,$P$34=0),"",$L$37-1)),MIN(BP$38,$E321),$P$20))-SUM($BF321:BO321))</f>
        <v>0</v>
      </c>
      <c r="BQ321" s="446">
        <f>IF($E321=0,0,IF(MIN(BQ$38,$E321)&lt;MAX($P$34*($B321+$I$38-1),IF(AND($L$37=0,$P$34=0),"",$L$37-1)),0,YEARFRAC(MAX($P$34*($B321+$I$38-1),IF(AND($L$37=0,$P$34=0),"",$L$37-1)),MIN(BQ$38,$E321),$P$20))-SUM($BF321:BP321))</f>
        <v>0</v>
      </c>
      <c r="BR321" s="446">
        <f>IF($E321=0,0,IF(MIN(BR$38,$E321)&lt;MAX($P$34*($B321+$I$38-1),IF(AND($L$37=0,$P$34=0),"",$L$37-1)),0,YEARFRAC(MAX($P$34*($B321+$I$38-1),IF(AND($L$37=0,$P$34=0),"",$L$37-1)),MIN(BR$38,$E321),$P$20))-SUM($BF321:BQ321))</f>
        <v>0</v>
      </c>
      <c r="BS321" s="446">
        <f>IF($E321=0,0,IF(MIN(BS$38,$E321)&lt;MAX($P$34*($B321+$I$38-1),IF(AND($L$37=0,$P$34=0),"",$L$37-1)),0,YEARFRAC(MAX($P$34*($B321+$I$38-1),IF(AND($L$37=0,$P$34=0),"",$L$37-1)),MIN(BS$38,$E321),$P$20))-SUM($BF321:BR321))</f>
        <v>0</v>
      </c>
      <c r="BT321" s="446">
        <f>IF($E321=0,0,IF(MIN(BT$38,$E321)&lt;MAX($P$34*($B321+$I$38-1),IF(AND($L$37=0,$P$34=0),"",$L$37-1)),0,YEARFRAC(MAX($P$34*($B321+$I$38-1),IF(AND($L$37=0,$P$34=0),"",$L$37-1)),MIN(BT$38,$E321),$P$20))-SUM($BF321:BS321))</f>
        <v>0</v>
      </c>
      <c r="BU321" s="446">
        <f>IF($E321=0,0,IF(MIN(BU$38,$E321)&lt;MAX($P$34*($B321+$I$38-1),IF(AND($L$37=0,$P$34=0),"",$L$37-1)),0,YEARFRAC(MAX($P$34*($B321+$I$38-1),IF(AND($L$37=0,$P$34=0),"",$L$37-1)),MIN(BU$38,$E321),$P$20))-SUM($BF321:BT321))</f>
        <v>0</v>
      </c>
      <c r="BV321" s="446">
        <f>IF($E321=0,0,IF(MIN(BV$38,$E321)&lt;MAX($P$34*($B321+$I$38-1),IF(AND($L$37=0,$P$34=0),"",$L$37-1)),0,YEARFRAC(MAX($P$34*($B321+$I$38-1),IF(AND($L$37=0,$P$34=0),"",$L$37-1)),MIN(BV$38,$E321),$P$20))-SUM($BF321:BU321))</f>
        <v>0</v>
      </c>
      <c r="BW321" s="446">
        <f>IF($E321=0,0,IF(MIN(BW$38,$E321)&lt;MAX($P$34*($B321+$I$38-1),IF(AND($L$37=0,$P$34=0),"",$L$37-1)),0,YEARFRAC(MAX($P$34*($B321+$I$38-1),IF(AND($L$37=0,$P$34=0),"",$L$37-1)),MIN(BW$38,$E321),$P$20))-SUM($BF321:BV321))</f>
        <v>0</v>
      </c>
      <c r="BX321" s="446">
        <f>IF($E321=0,0,IF(MIN(BX$38,$E321)&lt;MAX($P$34*($B321+$I$38-1),IF(AND($L$37=0,$P$34=0),"",$L$37-1)),0,YEARFRAC(MAX($P$34*($B321+$I$38-1),IF(AND($L$37=0,$P$34=0),"",$L$37-1)),MIN(BX$38,$E321),$P$20))-SUM($BF321:BW321))</f>
        <v>0</v>
      </c>
      <c r="BY321" s="446">
        <f>IF($E321=0,0,IF(MIN(BY$38,$E321)&lt;MAX($P$34*($B321+$I$38-1),IF(AND($L$37=0,$P$34=0),"",$L$37-1)),0,YEARFRAC(MAX($P$34*($B321+$I$38-1),IF(AND($L$37=0,$P$34=0),"",$L$37-1)),MIN(BY$38,$E321),$P$20))-SUM($BF321:BX321))</f>
        <v>0</v>
      </c>
      <c r="BZ321" s="446">
        <f>IF($E321=0,0,IF(MIN(BZ$38,$E321)&lt;MAX($P$34*($B321+$I$38-1),IF(AND($L$37=0,$P$34=0),"",$L$37-1)),0,YEARFRAC(MAX($P$34*($B321+$I$38-1),IF(AND($L$37=0,$P$34=0),"",$L$37-1)),MIN(BZ$38,$E321),$P$20))-SUM($BF321:BY321))</f>
        <v>0</v>
      </c>
      <c r="CA321" s="446">
        <f>IF($E321=0,0,IF(MIN(CA$38,$E321)&lt;MAX($P$34*($B321+$I$38-1),IF(AND($L$37=0,$P$34=0),"",$L$37-1)),0,YEARFRAC(MAX($P$34*($B321+$I$38-1),IF(AND($L$37=0,$P$34=0),"",$L$37-1)),MIN(CA$38,$E321),$P$20))-SUM($BF321:BZ321))</f>
        <v>0</v>
      </c>
      <c r="CB321" s="446">
        <f>IF($E321=0,0,IF(MIN(CB$38,$E321)&lt;MAX($P$34*($B321+$I$38-1),IF(AND($L$37=0,$P$34=0),"",$L$37-1)),0,YEARFRAC(MAX($P$34*($B321+$I$38-1),IF(AND($L$37=0,$P$34=0),"",$L$37-1)),MIN(CB$38,$E321),$P$20))-SUM($BF321:CA321))</f>
        <v>0</v>
      </c>
      <c r="CC321" s="446">
        <f>IF($E321=0,0,IF(MIN(CC$38,$E321)&lt;MAX($P$34*($B321+$I$38-1),IF(AND($L$37=0,$P$34=0),"",$L$37-1)),0,YEARFRAC(MAX($P$34*($B321+$I$38-1),IF(AND($L$37=0,$P$34=0),"",$L$37-1)),MIN(CC$38,$E321),$P$20))-SUM($BF321:CB321))</f>
        <v>0</v>
      </c>
      <c r="CD321" s="446">
        <f>IF($E321=0,0,IF(MIN(CD$38,$E321)&lt;MAX($P$34*($B321+$I$38-1),IF(AND($L$37=0,$P$34=0),"",$L$37-1)),0,YEARFRAC(MAX($P$34*($B321+$I$38-1),IF(AND($L$37=0,$P$34=0),"",$L$37-1)),MIN(CD$38,$E321),$P$20))-SUM($BF321:CC321))</f>
        <v>0</v>
      </c>
      <c r="CE321" s="446">
        <f>IF($E321=0,0,IF(MIN(CE$38,$E321)&lt;MAX($P$34*($B321+$I$38-1),IF(AND($L$37=0,$P$34=0),"",$L$37-1)),0,YEARFRAC(MAX($P$34*($B321+$I$38-1),IF(AND($L$37=0,$P$34=0),"",$L$37-1)),MIN(CE$38,$E321),$P$20))-SUM($BF321:CD321))</f>
        <v>0</v>
      </c>
      <c r="CF321" s="446">
        <f>IF($E321=0,0,IF(MIN(CF$38,$E321)&lt;MAX($P$34*($B321+$I$38-1),IF(AND($L$37=0,$P$34=0),"",$L$37-1)),0,YEARFRAC(MAX($P$34*($B321+$I$38-1),IF(AND($L$37=0,$P$34=0),"",$L$37-1)),MIN(CF$38,$E321),$P$20))-SUM($BF321:CE321))</f>
        <v>0</v>
      </c>
      <c r="CG321" s="446">
        <f>IF($E321=0,0,IF(MIN(CG$38,$E321)&lt;MAX($P$34*($B321+$I$38-1),IF(AND($L$37=0,$P$34=0),"",$L$37-1)),0,YEARFRAC(MAX($P$34*($B321+$I$38-1),IF(AND($L$37=0,$P$34=0),"",$L$37-1)),MIN(CG$38,$E321),$P$20))-SUM($BF321:CF321))</f>
        <v>0</v>
      </c>
      <c r="CH321" s="446">
        <f>IF($E321=0,0,IF(MIN(CH$38,$E321)&lt;MAX($P$34*($B321+$I$38-1),IF(AND($L$37=0,$P$34=0),"",$L$37-1)),0,YEARFRAC(MAX($P$34*($B321+$I$38-1),IF(AND($L$37=0,$P$34=0),"",$L$37-1)),MIN(CH$38,$E321),$P$20))-SUM($BF321:CG321))</f>
        <v>0</v>
      </c>
      <c r="CI321" s="446">
        <f>IF($E321=0,0,IF(MIN(CI$38,$E321)&lt;MAX($P$34*($B321+$I$38-1),IF(AND($L$37=0,$P$34=0),"",$L$37-1)),0,YEARFRAC(MAX($P$34*($B321+$I$38-1),IF(AND($L$37=0,$P$34=0),"",$L$37-1)),MIN(CI$38,$E321),$P$20))-SUM($BF321:CH321))</f>
        <v>0</v>
      </c>
      <c r="CJ321" s="446">
        <f>IF($E321=0,0,IF(MIN(CJ$38,$E321)&lt;MAX($P$34*($B321+$I$38-1),IF(AND($L$37=0,$P$34=0),"",$L$37-1)),0,YEARFRAC(MAX($P$34*($B321+$I$38-1),IF(AND($L$37=0,$P$34=0),"",$L$37-1)),MIN(CJ$38,$E321),$P$20))-SUM($BF321:CI321))</f>
        <v>0</v>
      </c>
      <c r="CK321" s="446">
        <f>IF($E321=0,0,IF(MIN(CK$38,$E321)&lt;MAX($P$34*($B321+$I$38-1),IF(AND($L$37=0,$P$34=0),"",$L$37-1)),0,YEARFRAC(MAX($P$34*($B321+$I$38-1),IF(AND($L$37=0,$P$34=0),"",$L$37-1)),MIN(CK$38,$E321),$P$20))-SUM($BF321:CJ321))</f>
        <v>0</v>
      </c>
      <c r="CL321" s="446">
        <f>IF($E321=0,0,IF(MIN(CL$38,$E321)&lt;MAX($P$34*($B321+$I$38-1),IF(AND($L$37=0,$P$34=0),"",$L$37-1)),0,YEARFRAC(MAX($P$34*($B321+$I$38-1),IF(AND($L$37=0,$P$34=0),"",$L$37-1)),MIN(CL$38,$E321),$P$20))-SUM($BF321:CK321))</f>
        <v>0</v>
      </c>
      <c r="CM321" s="446">
        <f>IF($E321=0,0,IF(MIN(CM$38,$E321)&lt;MAX($P$34*($B321+$I$38-1),IF(AND($L$37=0,$P$34=0),"",$L$37-1)),0,YEARFRAC(MAX($P$34*($B321+$I$38-1),IF(AND($L$37=0,$P$34=0),"",$L$37-1)),MIN(CM$38,$E321),$P$20))-SUM($BF321:CL321))</f>
        <v>0</v>
      </c>
      <c r="CN321" s="446">
        <f>IF($E321=0,0,IF(MIN(CN$38,$E321)&lt;MAX($P$34*($B321+$I$38-1),IF(AND($L$37=0,$P$34=0),"",$L$37-1)),0,YEARFRAC(MAX($P$34*($B321+$I$38-1),IF(AND($L$37=0,$P$34=0),"",$L$37-1)),MIN(CN$38,$E321),$P$20))-SUM($BF321:CM321))</f>
        <v>0</v>
      </c>
      <c r="CO321" s="446">
        <f>IF($E321=0,0,IF(MIN(CO$38,$E321)&lt;MAX($P$34*($B321+$I$38-1),IF(AND($L$37=0,$P$34=0),"",$L$37-1)),0,YEARFRAC(MAX($P$34*($B321+$I$38-1),IF(AND($L$37=0,$P$34=0),"",$L$37-1)),MIN(CO$38,$E321),$P$20))-SUM($BF321:CN321))</f>
        <v>0</v>
      </c>
      <c r="CP321" s="446">
        <f>IF($E321=0,0,IF(MIN(CP$38,$E321)&lt;MAX($P$34*($B321+$I$38-1),IF(AND($L$37=0,$P$34=0),"",$L$37-1)),0,YEARFRAC(MAX($P$34*($B321+$I$38-1),IF(AND($L$37=0,$P$34=0),"",$L$37-1)),MIN(CP$38,$E321),$P$20))-SUM($BF321:CO321))</f>
        <v>0</v>
      </c>
      <c r="CQ321" s="446">
        <f>IF($E321=0,0,IF(MIN(CQ$38,$E321)&lt;MAX($P$34*($B321+$I$38-1),IF(AND($L$37=0,$P$34=0),"",$L$37-1)),0,YEARFRAC(MAX($P$34*($B321+$I$38-1),IF(AND($L$37=0,$P$34=0),"",$L$37-1)),MIN(CQ$38,$E321),$P$20))-SUM($BF321:CP321))</f>
        <v>0</v>
      </c>
    </row>
    <row r="322" spans="1:95" s="446" customFormat="1" ht="11.25" hidden="1" customHeight="1" x14ac:dyDescent="0.2">
      <c r="A322" s="152"/>
      <c r="B322" s="153" t="str">
        <f t="shared" si="59"/>
        <v/>
      </c>
      <c r="C322" s="29" t="str">
        <f>IF(B322="","",IF($L$35="SELIC - TRIBUTOS",VLOOKUP(DATE(YEAR($D$19),MONTH($D$19)-1,1),ÍNDICES!$A:$DE,HLOOKUP($BL$25,ÍNDICES!$B$3:$T$4,2)+11)-VLOOKUP(B322,ÍNDICES!$A:$DE,HLOOKUP($BL$25,ÍNDICES!$B$3:$T$4,2)+11)+1%,IF(C$38=$W$26,$J$35,IF(ISERROR(IF(B322&gt;$D$19,1,VLOOKUP(DATE(YEAR(B322),MONTH(B322)+IF($C$35=$S$23,1,0),1),ÍNDICES!$A:$DE,$Z$35+1))),"",IF(B322&gt;$D$19,1,VLOOKUP(DATE(YEAR(B322),MONTH(B322)+IF($C$35=$S$23,1,0),1),ÍNDICES!$A:$DE,$Z$35+1))))))</f>
        <v/>
      </c>
      <c r="D322" s="154" t="str">
        <f>IF(ISERROR(IF(OR($D$38=$Y$27,$B322=""),"",VLOOKUP(B322,ÍNDICES!A:DE,AF$35+1))),"",IF(OR($D$38=$Y$27,$B322=""),"",VLOOKUP(B322,ÍNDICES!A:DE,AF$35+1)))</f>
        <v/>
      </c>
      <c r="E322" s="153"/>
      <c r="F322" s="29" t="str">
        <f>IF(E322="","",IF($L$35="SELIC - TRIBUTOS",VLOOKUP(DATE(YEAR($D$19),MONTH($D$19)-1,1),ÍNDICES!$A:$DE,HLOOKUP($BL$25,ÍNDICES!$B$3:$T$4,2)+11)-VLOOKUP(E322,ÍNDICES!$A:$DE,HLOOKUP($BL$25,ÍNDICES!$B$3:$T$4,2)+11)+1%,IF(F$38=$W$26,$J$35,IF(ISERROR(IF(E322&gt;$D$19,1,VLOOKUP(DATE(YEAR(E322),MONTH(E322)+IF($C$35=$S$23,1,0),1),ÍNDICES!$A:$DE,$Z$35+1))),"",IF(E322&gt;$D$19,1,VLOOKUP(DATE(YEAR(E322),MONTH(E322)+IF($C$35=$S$23,1,0),1),ÍNDICES!$A:$DE,$Z$35+1))))))</f>
        <v/>
      </c>
      <c r="G322" s="155"/>
      <c r="H322" s="156" t="str">
        <f t="shared" si="55"/>
        <v/>
      </c>
      <c r="I322" s="29" t="str">
        <f t="shared" si="49"/>
        <v/>
      </c>
      <c r="J322" s="5">
        <f t="shared" si="50"/>
        <v>0</v>
      </c>
      <c r="K322" s="20">
        <f t="shared" ca="1" si="51"/>
        <v>0</v>
      </c>
      <c r="L322" s="5">
        <f t="shared" ca="1" si="52"/>
        <v>0</v>
      </c>
      <c r="M322" s="64">
        <f t="shared" si="56"/>
        <v>0</v>
      </c>
      <c r="N322" s="61">
        <f t="shared" ca="1" si="57"/>
        <v>0</v>
      </c>
      <c r="O322" s="5">
        <f t="shared" ca="1" si="58"/>
        <v>0</v>
      </c>
      <c r="P322" s="446" t="e">
        <f t="shared" si="53"/>
        <v>#VALUE!</v>
      </c>
      <c r="Q322" s="446" t="e">
        <f>IF(OR($B322="",MIN(Q$38,$D$19)&lt;MAX($P$34*($B322+IF($R$17="Distrato",$I$38-1,0)),IF(AND($L$37=0,$P$34=0),"",$L$37-1),IF($R$17="Distrato",$E322,0))),0,YEARFRAC(MAX($P$34*($B322+IF($R$17="Distrato",$I$38-1,0)),IF(AND($L$37=0,$P$34=0),"",$L$37-1),IF($R$17="Distrato",$E322,0)),MIN(Q$38,$D$19),$P$20))-SUM($P322:P322)</f>
        <v>#VALUE!</v>
      </c>
      <c r="R322" s="446" t="e">
        <f>IF(OR($B322="",MIN(R$38,$D$19)&lt;MAX($P$34*($B322+IF($R$17="Distrato",$I$38-1,0)),IF(AND($L$37=0,$P$34=0),"",$L$37-1),IF($R$17="Distrato",$E322,0))),0,YEARFRAC(MAX($P$34*($B322+IF($R$17="Distrato",$I$38-1,0)),IF(AND($L$37=0,$P$34=0),"",$L$37-1),IF($R$17="Distrato",$E322,0)),MIN(R$38,$D$19),$P$20))-SUM($P322:Q322)</f>
        <v>#VALUE!</v>
      </c>
      <c r="S322" s="446" t="e">
        <f>IF(OR($B322="",MIN(S$38,$D$19)&lt;MAX($P$34*($B322+IF($R$17="Distrato",$I$38-1,0)),IF(AND($L$37=0,$P$34=0),"",$L$37-1),IF($R$17="Distrato",$E322,0))),0,YEARFRAC(MAX($P$34*($B322+IF($R$17="Distrato",$I$38-1,0)),IF(AND($L$37=0,$P$34=0),"",$L$37-1),IF($R$17="Distrato",$E322,0)),MIN(S$38,$D$19),$P$20))-SUM($P322:R322)</f>
        <v>#VALUE!</v>
      </c>
      <c r="T322" s="446" t="e">
        <f>IF(OR($B322="",MIN(T$38,$D$19)&lt;MAX($P$34*($B322+IF($R$17="Distrato",$I$38-1,0)),IF(AND($L$37=0,$P$34=0),"",$L$37-1),IF($R$17="Distrato",$E322,0))),0,YEARFRAC(MAX($P$34*($B322+IF($R$17="Distrato",$I$38-1,0)),IF(AND($L$37=0,$P$34=0),"",$L$37-1),IF($R$17="Distrato",$E322,0)),MIN(T$38,$D$19),$P$20))-SUM($P322:S322)</f>
        <v>#VALUE!</v>
      </c>
      <c r="U322" s="446" t="e">
        <f>IF(OR($B322="",MIN(U$38,$D$19)&lt;MAX($P$34*($B322+IF($R$17="Distrato",$I$38-1,0)),IF(AND($L$37=0,$P$34=0),"",$L$37-1),IF($R$17="Distrato",$E322,0))),0,YEARFRAC(MAX($P$34*($B322+IF($R$17="Distrato",$I$38-1,0)),IF(AND($L$37=0,$P$34=0),"",$L$37-1),IF($R$17="Distrato",$E322,0)),MIN(U$38,$D$19),$P$20))-SUM($P322:T322)</f>
        <v>#VALUE!</v>
      </c>
      <c r="V322" s="446" t="e">
        <f>IF(OR($B322="",MIN(V$38,$D$19)&lt;MAX($P$34*($B322+IF($R$17="Distrato",$I$38-1,0)),IF(AND($L$37=0,$P$34=0),"",$L$37-1),IF($R$17="Distrato",$E322,0))),0,YEARFRAC(MAX($P$34*($B322+IF($R$17="Distrato",$I$38-1,0)),IF(AND($L$37=0,$P$34=0),"",$L$37-1),IF($R$17="Distrato",$E322,0)),MIN(V$38,$D$19),$P$20))-SUM($P322:U322)</f>
        <v>#VALUE!</v>
      </c>
      <c r="W322" s="446" t="e">
        <f>IF(OR($B322="",MIN(W$38,$D$19)&lt;MAX($P$34*($B322+IF($R$17="Distrato",$I$38-1,0)),IF(AND($L$37=0,$P$34=0),"",$L$37-1),IF($R$17="Distrato",$E322,0))),0,YEARFRAC(MAX($P$34*($B322+IF($R$17="Distrato",$I$38-1,0)),IF(AND($L$37=0,$P$34=0),"",$L$37-1),IF($R$17="Distrato",$E322,0)),MIN(W$38,$D$19),$P$20))-SUM($P322:V322)</f>
        <v>#VALUE!</v>
      </c>
      <c r="X322" s="446" t="e">
        <f>IF(OR($B322="",MIN(X$38,$D$19)&lt;MAX($P$34*($B322+IF($R$17="Distrato",$I$38-1,0)),IF(AND($L$37=0,$P$34=0),"",$L$37-1),IF($R$17="Distrato",$E322,0))),0,YEARFRAC(MAX($P$34*($B322+IF($R$17="Distrato",$I$38-1,0)),IF(AND($L$37=0,$P$34=0),"",$L$37-1),IF($R$17="Distrato",$E322,0)),MIN(X$38,$D$19),$P$20))-SUM($P322:W322)</f>
        <v>#VALUE!</v>
      </c>
      <c r="Y322" s="446" t="e">
        <f>IF(OR($B322="",MIN(Y$38,$D$19)&lt;MAX($P$34*($B322+IF($R$17="Distrato",$I$38-1,0)),IF(AND($L$37=0,$P$34=0),"",$L$37-1),IF($R$17="Distrato",$E322,0))),0,YEARFRAC(MAX($P$34*($B322+IF($R$17="Distrato",$I$38-1,0)),IF(AND($L$37=0,$P$34=0),"",$L$37-1),IF($R$17="Distrato",$E322,0)),MIN(Y$38,$D$19),$P$20))-SUM($P322:X322)</f>
        <v>#VALUE!</v>
      </c>
      <c r="Z322" s="446" t="e">
        <f>IF(OR($B322="",MIN(Z$38,$D$19)&lt;MAX($P$34*($B322+IF($R$17="Distrato",$I$38-1,0)),IF(AND($L$37=0,$P$34=0),"",$L$37-1),IF($R$17="Distrato",$E322,0))),0,YEARFRAC(MAX($P$34*($B322+IF($R$17="Distrato",$I$38-1,0)),IF(AND($L$37=0,$P$34=0),"",$L$37-1),IF($R$17="Distrato",$E322,0)),MIN(Z$38,$D$19),$P$20))-SUM($P322:Y322)</f>
        <v>#VALUE!</v>
      </c>
      <c r="AA322" s="446" t="e">
        <f>IF(OR($B322="",MIN(AA$38,$D$19)&lt;MAX($P$34*($B322+IF($R$17="Distrato",$I$38-1,0)),IF(AND($L$37=0,$P$34=0),"",$L$37-1),IF($R$17="Distrato",$E322,0))),0,YEARFRAC(MAX($P$34*($B322+IF($R$17="Distrato",$I$38-1,0)),IF(AND($L$37=0,$P$34=0),"",$L$37-1),IF($R$17="Distrato",$E322,0)),MIN(AA$38,$D$19),$P$20))-SUM($P322:Z322)</f>
        <v>#VALUE!</v>
      </c>
      <c r="AB322" s="446" t="e">
        <f>IF(OR($B322="",MIN(AB$38,$D$19)&lt;MAX($P$34*($B322+IF($R$17="Distrato",$I$38-1,0)),IF(AND($L$37=0,$P$34=0),"",$L$37-1),IF($R$17="Distrato",$E322,0))),0,YEARFRAC(MAX($P$34*($B322+IF($R$17="Distrato",$I$38-1,0)),IF(AND($L$37=0,$P$34=0),"",$L$37-1),IF($R$17="Distrato",$E322,0)),MIN(AB$38,$D$19),$P$20))-SUM($P322:AA322)</f>
        <v>#VALUE!</v>
      </c>
      <c r="AC322" s="446" t="e">
        <f>IF(OR($B322="",MIN(AC$38,$D$19)&lt;MAX($P$34*($B322+IF($R$17="Distrato",$I$38-1,0)),IF(AND($L$37=0,$P$34=0),"",$L$37-1),IF($R$17="Distrato",$E322,0))),0,YEARFRAC(MAX($P$34*($B322+IF($R$17="Distrato",$I$38-1,0)),IF(AND($L$37=0,$P$34=0),"",$L$37-1),IF($R$17="Distrato",$E322,0)),MIN(AC$38,$D$19),$P$20))-SUM($P322:AB322)</f>
        <v>#VALUE!</v>
      </c>
      <c r="AD322" s="446" t="e">
        <f>IF(OR($B322="",MIN(AD$38,$D$19)&lt;MAX($P$34*($B322+IF($R$17="Distrato",$I$38-1,0)),IF(AND($L$37=0,$P$34=0),"",$L$37-1),IF($R$17="Distrato",$E322,0))),0,YEARFRAC(MAX($P$34*($B322+IF($R$17="Distrato",$I$38-1,0)),IF(AND($L$37=0,$P$34=0),"",$L$37-1),IF($R$17="Distrato",$E322,0)),MIN(AD$38,$D$19),$P$20))-SUM($P322:AC322)</f>
        <v>#VALUE!</v>
      </c>
      <c r="AE322" s="446" t="e">
        <f>IF(OR($B322="",MIN(AE$38,$D$19)&lt;MAX($P$34*($B322+IF($R$17="Distrato",$I$38-1,0)),IF(AND($L$37=0,$P$34=0),"",$L$37-1),IF($R$17="Distrato",$E322,0))),0,YEARFRAC(MAX($P$34*($B322+IF($R$17="Distrato",$I$38-1,0)),IF(AND($L$37=0,$P$34=0),"",$L$37-1),IF($R$17="Distrato",$E322,0)),MIN(AE$38,$D$19),$P$20))-SUM($P322:AD322)</f>
        <v>#VALUE!</v>
      </c>
      <c r="AF322" s="446" t="e">
        <f>IF(OR($B322="",MIN(AF$38,$D$19)&lt;MAX($P$34*($B322+IF($R$17="Distrato",$I$38-1,0)),IF(AND($L$37=0,$P$34=0),"",$L$37-1),IF($R$17="Distrato",$E322,0))),0,YEARFRAC(MAX($P$34*($B322+IF($R$17="Distrato",$I$38-1,0)),IF(AND($L$37=0,$P$34=0),"",$L$37-1),IF($R$17="Distrato",$E322,0)),MIN(AF$38,$D$19),$P$20))-SUM($P322:AE322)</f>
        <v>#VALUE!</v>
      </c>
      <c r="AG322" s="446" t="e">
        <f>IF(OR($B322="",MIN(AG$38,$D$19)&lt;MAX($P$34*($B322+IF($R$17="Distrato",$I$38-1,0)),IF(AND($L$37=0,$P$34=0),"",$L$37-1),IF($R$17="Distrato",$E322,0))),0,YEARFRAC(MAX($P$34*($B322+IF($R$17="Distrato",$I$38-1,0)),IF(AND($L$37=0,$P$34=0),"",$L$37-1),IF($R$17="Distrato",$E322,0)),MIN(AG$38,$D$19),$P$20))-SUM($P322:AF322)</f>
        <v>#VALUE!</v>
      </c>
      <c r="AH322" s="446" t="e">
        <f>IF(OR($B322="",MIN(AH$38,$D$19)&lt;MAX($P$34*($B322+IF($R$17="Distrato",$I$38-1,0)),IF(AND($L$37=0,$P$34=0),"",$L$37-1),IF($R$17="Distrato",$E322,0))),0,YEARFRAC(MAX($P$34*($B322+IF($R$17="Distrato",$I$38-1,0)),IF(AND($L$37=0,$P$34=0),"",$L$37-1),IF($R$17="Distrato",$E322,0)),MIN(AH$38,$D$19),$P$20))-SUM($P322:AG322)</f>
        <v>#VALUE!</v>
      </c>
      <c r="AI322" s="446" t="e">
        <f>IF(OR($B322="",MIN(AI$38,$D$19)&lt;MAX($P$34*($B322+IF($R$17="Distrato",$I$38-1,0)),IF(AND($L$37=0,$P$34=0),"",$L$37-1),IF($R$17="Distrato",$E322,0))),0,YEARFRAC(MAX($P$34*($B322+IF($R$17="Distrato",$I$38-1,0)),IF(AND($L$37=0,$P$34=0),"",$L$37-1),IF($R$17="Distrato",$E322,0)),MIN(AI$38,$D$19),$P$20))-SUM($P322:AH322)</f>
        <v>#VALUE!</v>
      </c>
      <c r="AJ322" s="446" t="e">
        <f>IF(OR($B322="",MIN(AJ$38,$D$19)&lt;MAX($P$34*($B322+IF($R$17="Distrato",$I$38-1,0)),IF(AND($L$37=0,$P$34=0),"",$L$37-1),IF($R$17="Distrato",$E322,0))),0,YEARFRAC(MAX($P$34*($B322+IF($R$17="Distrato",$I$38-1,0)),IF(AND($L$37=0,$P$34=0),"",$L$37-1),IF($R$17="Distrato",$E322,0)),MIN(AJ$38,$D$19),$P$20))-SUM($P322:AI322)</f>
        <v>#VALUE!</v>
      </c>
      <c r="AK322" s="446" t="e">
        <f>IF(OR($B322="",MIN(AK$38,$D$19)&lt;MAX($P$34*($B322+IF($R$17="Distrato",$I$38-1,0)),IF(AND($L$37=0,$P$34=0),"",$L$37-1),IF($R$17="Distrato",$E322,0))),0,YEARFRAC(MAX($P$34*($B322+IF($R$17="Distrato",$I$38-1,0)),IF(AND($L$37=0,$P$34=0),"",$L$37-1),IF($R$17="Distrato",$E322,0)),MIN(AK$38,$D$19),$P$20))-SUM($P322:AJ322)</f>
        <v>#VALUE!</v>
      </c>
      <c r="AL322" s="446" t="e">
        <f>IF(OR($B322="",MIN(AL$38,$D$19)&lt;MAX($P$34*($B322+IF($R$17="Distrato",$I$38-1,0)),IF(AND($L$37=0,$P$34=0),"",$L$37-1),IF($R$17="Distrato",$E322,0))),0,YEARFRAC(MAX($P$34*($B322+IF($R$17="Distrato",$I$38-1,0)),IF(AND($L$37=0,$P$34=0),"",$L$37-1),IF($R$17="Distrato",$E322,0)),MIN(AL$38,$D$19),$P$20))-SUM($P322:AK322)</f>
        <v>#VALUE!</v>
      </c>
      <c r="AM322" s="446" t="e">
        <f>IF(OR($B322="",MIN(AM$38,$D$19)&lt;MAX($P$34*($B322+IF($R$17="Distrato",$I$38-1,0)),IF(AND($L$37=0,$P$34=0),"",$L$37-1),IF($R$17="Distrato",$E322,0))),0,YEARFRAC(MAX($P$34*($B322+IF($R$17="Distrato",$I$38-1,0)),IF(AND($L$37=0,$P$34=0),"",$L$37-1),IF($R$17="Distrato",$E322,0)),MIN(AM$38,$D$19),$P$20))-SUM($P322:AL322)</f>
        <v>#VALUE!</v>
      </c>
      <c r="AN322" s="446" t="e">
        <f>IF(OR($B322="",MIN(AN$38,$D$19)&lt;MAX($P$34*($B322+IF($R$17="Distrato",$I$38-1,0)),IF(AND($L$37=0,$P$34=0),"",$L$37-1),IF($R$17="Distrato",$E322,0))),0,YEARFRAC(MAX($P$34*($B322+IF($R$17="Distrato",$I$38-1,0)),IF(AND($L$37=0,$P$34=0),"",$L$37-1),IF($R$17="Distrato",$E322,0)),MIN(AN$38,$D$19),$P$20))-SUM($P322:AM322)</f>
        <v>#VALUE!</v>
      </c>
      <c r="AO322" s="446" t="e">
        <f>IF(OR($B322="",MIN(AO$38,$D$19)&lt;MAX($P$34*($B322+IF($R$17="Distrato",$I$38-1,0)),IF(AND($L$37=0,$P$34=0),"",$L$37-1),IF($R$17="Distrato",$E322,0))),0,YEARFRAC(MAX($P$34*($B322+IF($R$17="Distrato",$I$38-1,0)),IF(AND($L$37=0,$P$34=0),"",$L$37-1),IF($R$17="Distrato",$E322,0)),MIN(AO$38,$D$19),$P$20))-SUM($P322:AN322)</f>
        <v>#VALUE!</v>
      </c>
      <c r="AP322" s="446" t="e">
        <f>IF(OR($B322="",MIN(AP$38,$D$19)&lt;MAX($P$34*($B322+IF($R$17="Distrato",$I$38-1,0)),IF(AND($L$37=0,$P$34=0),"",$L$37-1),IF($R$17="Distrato",$E322,0))),0,YEARFRAC(MAX($P$34*($B322+IF($R$17="Distrato",$I$38-1,0)),IF(AND($L$37=0,$P$34=0),"",$L$37-1),IF($R$17="Distrato",$E322,0)),MIN(AP$38,$D$19),$P$20))-SUM($P322:AO322)</f>
        <v>#VALUE!</v>
      </c>
      <c r="AQ322" s="446" t="e">
        <f>IF(OR($B322="",MIN(AQ$38,$D$19)&lt;MAX($P$34*($B322+IF($R$17="Distrato",$I$38-1,0)),IF(AND($L$37=0,$P$34=0),"",$L$37-1),IF($R$17="Distrato",$E322,0))),0,YEARFRAC(MAX($P$34*($B322+IF($R$17="Distrato",$I$38-1,0)),IF(AND($L$37=0,$P$34=0),"",$L$37-1),IF($R$17="Distrato",$E322,0)),MIN(AQ$38,$D$19),$P$20))-SUM($P322:AP322)</f>
        <v>#VALUE!</v>
      </c>
      <c r="AR322" s="446" t="e">
        <f>IF(OR($B322="",MIN(AR$38,$D$19)&lt;MAX($P$34*($B322+IF($R$17="Distrato",$I$38-1,0)),IF(AND($L$37=0,$P$34=0),"",$L$37-1),IF($R$17="Distrato",$E322,0))),0,YEARFRAC(MAX($P$34*($B322+IF($R$17="Distrato",$I$38-1,0)),IF(AND($L$37=0,$P$34=0),"",$L$37-1),IF($R$17="Distrato",$E322,0)),MIN(AR$38,$D$19),$P$20))-SUM($P322:AQ322)</f>
        <v>#VALUE!</v>
      </c>
      <c r="AS322" s="446" t="e">
        <f>IF(OR($B322="",MIN(AS$38,$D$19)&lt;MAX($P$34*($B322+IF($R$17="Distrato",$I$38-1,0)),IF(AND($L$37=0,$P$34=0),"",$L$37-1),IF($R$17="Distrato",$E322,0))),0,YEARFRAC(MAX($P$34*($B322+IF($R$17="Distrato",$I$38-1,0)),IF(AND($L$37=0,$P$34=0),"",$L$37-1),IF($R$17="Distrato",$E322,0)),MIN(AS$38,$D$19),$P$20))-SUM($P322:AR322)</f>
        <v>#VALUE!</v>
      </c>
      <c r="AT322" s="446" t="e">
        <f>IF(OR($B322="",MIN(AT$38,$D$19)&lt;MAX($P$34*($B322+IF($R$17="Distrato",$I$38-1,0)),IF(AND($L$37=0,$P$34=0),"",$L$37-1),IF($R$17="Distrato",$E322,0))),0,YEARFRAC(MAX($P$34*($B322+IF($R$17="Distrato",$I$38-1,0)),IF(AND($L$37=0,$P$34=0),"",$L$37-1),IF($R$17="Distrato",$E322,0)),MIN(AT$38,$D$19),$P$20))-SUM($P322:AS322)</f>
        <v>#VALUE!</v>
      </c>
      <c r="AU322" s="446" t="e">
        <f>IF(OR($B322="",MIN(AU$38,$D$19)&lt;MAX($P$34*($B322+IF($R$17="Distrato",$I$38-1,0)),IF(AND($L$37=0,$P$34=0),"",$L$37-1),IF($R$17="Distrato",$E322,0))),0,YEARFRAC(MAX($P$34*($B322+IF($R$17="Distrato",$I$38-1,0)),IF(AND($L$37=0,$P$34=0),"",$L$37-1),IF($R$17="Distrato",$E322,0)),MIN(AU$38,$D$19),$P$20))-SUM($P322:AT322)</f>
        <v>#VALUE!</v>
      </c>
      <c r="AV322" s="446" t="e">
        <f>IF(OR($B322="",MIN(AV$38,$D$19)&lt;MAX($P$34*($B322+IF($R$17="Distrato",$I$38-1,0)),IF(AND($L$37=0,$P$34=0),"",$L$37-1),IF($R$17="Distrato",$E322,0))),0,YEARFRAC(MAX($P$34*($B322+IF($R$17="Distrato",$I$38-1,0)),IF(AND($L$37=0,$P$34=0),"",$L$37-1),IF($R$17="Distrato",$E322,0)),MIN(AV$38,$D$19),$P$20))-SUM($P322:AU322)</f>
        <v>#VALUE!</v>
      </c>
      <c r="AW322" s="446" t="e">
        <f>IF(OR($B322="",MIN(AW$38,$D$19)&lt;MAX($P$34*($B322+IF($R$17="Distrato",$I$38-1,0)),IF(AND($L$37=0,$P$34=0),"",$L$37-1),IF($R$17="Distrato",$E322,0))),0,YEARFRAC(MAX($P$34*($B322+IF($R$17="Distrato",$I$38-1,0)),IF(AND($L$37=0,$P$34=0),"",$L$37-1),IF($R$17="Distrato",$E322,0)),MIN(AW$38,$D$19),$P$20))-SUM($P322:AV322)</f>
        <v>#VALUE!</v>
      </c>
      <c r="AX322" s="446" t="e">
        <f>IF(OR($B322="",MIN(AX$38,$D$19)&lt;MAX($P$34*($B322+IF($R$17="Distrato",$I$38-1,0)),IF(AND($L$37=0,$P$34=0),"",$L$37-1),IF($R$17="Distrato",$E322,0))),0,YEARFRAC(MAX($P$34*($B322+IF($R$17="Distrato",$I$38-1,0)),IF(AND($L$37=0,$P$34=0),"",$L$37-1),IF($R$17="Distrato",$E322,0)),MIN(AX$38,$D$19),$P$20))-SUM($P322:AW322)</f>
        <v>#VALUE!</v>
      </c>
      <c r="AY322" s="446" t="e">
        <f>IF(OR($B322="",MIN(AY$38,$D$19)&lt;MAX($P$34*($B322+IF($R$17="Distrato",$I$38-1,0)),IF(AND($L$37=0,$P$34=0),"",$L$37-1),IF($R$17="Distrato",$E322,0))),0,YEARFRAC(MAX($P$34*($B322+IF($R$17="Distrato",$I$38-1,0)),IF(AND($L$37=0,$P$34=0),"",$L$37-1),IF($R$17="Distrato",$E322,0)),MIN(AY$38,$D$19),$P$20))-SUM($P322:AX322)</f>
        <v>#VALUE!</v>
      </c>
      <c r="AZ322" s="446" t="e">
        <f>IF(OR($B322="",MIN(AZ$38,$D$19)&lt;MAX($P$34*($B322+IF($R$17="Distrato",$I$38-1,0)),IF(AND($L$37=0,$P$34=0),"",$L$37-1),IF($R$17="Distrato",$E322,0))),0,YEARFRAC(MAX($P$34*($B322+IF($R$17="Distrato",$I$38-1,0)),IF(AND($L$37=0,$P$34=0),"",$L$37-1),IF($R$17="Distrato",$E322,0)),MIN(AZ$38,$D$19),$P$20))-SUM($P322:AY322)</f>
        <v>#VALUE!</v>
      </c>
      <c r="BA322" s="446" t="e">
        <f>IF(OR($B322="",MIN(BA$38,$D$19)&lt;MAX($P$34*($B322+IF($R$17="Distrato",$I$38-1,0)),IF(AND($L$37=0,$P$34=0),"",$L$37-1),IF($R$17="Distrato",$E322,0))),0,YEARFRAC(MAX($P$34*($B322+IF($R$17="Distrato",$I$38-1,0)),IF(AND($L$37=0,$P$34=0),"",$L$37-1),IF($R$17="Distrato",$E322,0)),MIN(BA$38,$D$19),$P$20))-SUM($P322:AZ322)</f>
        <v>#VALUE!</v>
      </c>
      <c r="BB322" s="447"/>
      <c r="BF322" s="446">
        <f t="shared" si="54"/>
        <v>0</v>
      </c>
      <c r="BG322" s="446">
        <f>IF($E322=0,0,IF(MIN(BG$38,$E322)&lt;MAX($P$34*($B322+$I$38-1),IF(AND($L$37=0,$P$34=0),"",$L$37-1)),0,YEARFRAC(MAX($P$34*($B322+$I$38-1),IF(AND($L$37=0,$P$34=0),"",$L$37-1)),MIN(BG$38,$E322),$P$20))-SUM($BF322:BF322))</f>
        <v>0</v>
      </c>
      <c r="BH322" s="446">
        <f>IF($E322=0,0,IF(MIN(BH$38,$E322)&lt;MAX($P$34*($B322+$I$38-1),IF(AND($L$37=0,$P$34=0),"",$L$37-1)),0,YEARFRAC(MAX($P$34*($B322+$I$38-1),IF(AND($L$37=0,$P$34=0),"",$L$37-1)),MIN(BH$38,$E322),$P$20))-SUM($BF322:BG322))</f>
        <v>0</v>
      </c>
      <c r="BI322" s="446">
        <f>IF($E322=0,0,IF(MIN(BI$38,$E322)&lt;MAX($P$34*($B322+$I$38-1),IF(AND($L$37=0,$P$34=0),"",$L$37-1)),0,YEARFRAC(MAX($P$34*($B322+$I$38-1),IF(AND($L$37=0,$P$34=0),"",$L$37-1)),MIN(BI$38,$E322),$P$20))-SUM($BF322:BH322))</f>
        <v>0</v>
      </c>
      <c r="BJ322" s="446">
        <f>IF($E322=0,0,IF(MIN(BJ$38,$E322)&lt;MAX($P$34*($B322+$I$38-1),IF(AND($L$37=0,$P$34=0),"",$L$37-1)),0,YEARFRAC(MAX($P$34*($B322+$I$38-1),IF(AND($L$37=0,$P$34=0),"",$L$37-1)),MIN(BJ$38,$E322),$P$20))-SUM($BF322:BI322))</f>
        <v>0</v>
      </c>
      <c r="BK322" s="446">
        <f>IF($E322=0,0,IF(MIN(BK$38,$E322)&lt;MAX($P$34*($B322+$I$38-1),IF(AND($L$37=0,$P$34=0),"",$L$37-1)),0,YEARFRAC(MAX($P$34*($B322+$I$38-1),IF(AND($L$37=0,$P$34=0),"",$L$37-1)),MIN(BK$38,$E322),$P$20))-SUM($BF322:BJ322))</f>
        <v>0</v>
      </c>
      <c r="BL322" s="446">
        <f>IF($E322=0,0,IF(MIN(BL$38,$E322)&lt;MAX($P$34*($B322+$I$38-1),IF(AND($L$37=0,$P$34=0),"",$L$37-1)),0,YEARFRAC(MAX($P$34*($B322+$I$38-1),IF(AND($L$37=0,$P$34=0),"",$L$37-1)),MIN(BL$38,$E322),$P$20))-SUM($BF322:BK322))</f>
        <v>0</v>
      </c>
      <c r="BM322" s="446">
        <f>IF($E322=0,0,IF(MIN(BM$38,$E322)&lt;MAX($P$34*($B322+$I$38-1),IF(AND($L$37=0,$P$34=0),"",$L$37-1)),0,YEARFRAC(MAX($P$34*($B322+$I$38-1),IF(AND($L$37=0,$P$34=0),"",$L$37-1)),MIN(BM$38,$E322),$P$20))-SUM($BF322:BL322))</f>
        <v>0</v>
      </c>
      <c r="BN322" s="446">
        <f>IF($E322=0,0,IF(MIN(BN$38,$E322)&lt;MAX($P$34*($B322+$I$38-1),IF(AND($L$37=0,$P$34=0),"",$L$37-1)),0,YEARFRAC(MAX($P$34*($B322+$I$38-1),IF(AND($L$37=0,$P$34=0),"",$L$37-1)),MIN(BN$38,$E322),$P$20))-SUM($BF322:BM322))</f>
        <v>0</v>
      </c>
      <c r="BO322" s="446">
        <f>IF($E322=0,0,IF(MIN(BO$38,$E322)&lt;MAX($P$34*($B322+$I$38-1),IF(AND($L$37=0,$P$34=0),"",$L$37-1)),0,YEARFRAC(MAX($P$34*($B322+$I$38-1),IF(AND($L$37=0,$P$34=0),"",$L$37-1)),MIN(BO$38,$E322),$P$20))-SUM($BF322:BN322))</f>
        <v>0</v>
      </c>
      <c r="BP322" s="446">
        <f>IF($E322=0,0,IF(MIN(BP$38,$E322)&lt;MAX($P$34*($B322+$I$38-1),IF(AND($L$37=0,$P$34=0),"",$L$37-1)),0,YEARFRAC(MAX($P$34*($B322+$I$38-1),IF(AND($L$37=0,$P$34=0),"",$L$37-1)),MIN(BP$38,$E322),$P$20))-SUM($BF322:BO322))</f>
        <v>0</v>
      </c>
      <c r="BQ322" s="446">
        <f>IF($E322=0,0,IF(MIN(BQ$38,$E322)&lt;MAX($P$34*($B322+$I$38-1),IF(AND($L$37=0,$P$34=0),"",$L$37-1)),0,YEARFRAC(MAX($P$34*($B322+$I$38-1),IF(AND($L$37=0,$P$34=0),"",$L$37-1)),MIN(BQ$38,$E322),$P$20))-SUM($BF322:BP322))</f>
        <v>0</v>
      </c>
      <c r="BR322" s="446">
        <f>IF($E322=0,0,IF(MIN(BR$38,$E322)&lt;MAX($P$34*($B322+$I$38-1),IF(AND($L$37=0,$P$34=0),"",$L$37-1)),0,YEARFRAC(MAX($P$34*($B322+$I$38-1),IF(AND($L$37=0,$P$34=0),"",$L$37-1)),MIN(BR$38,$E322),$P$20))-SUM($BF322:BQ322))</f>
        <v>0</v>
      </c>
      <c r="BS322" s="446">
        <f>IF($E322=0,0,IF(MIN(BS$38,$E322)&lt;MAX($P$34*($B322+$I$38-1),IF(AND($L$37=0,$P$34=0),"",$L$37-1)),0,YEARFRAC(MAX($P$34*($B322+$I$38-1),IF(AND($L$37=0,$P$34=0),"",$L$37-1)),MIN(BS$38,$E322),$P$20))-SUM($BF322:BR322))</f>
        <v>0</v>
      </c>
      <c r="BT322" s="446">
        <f>IF($E322=0,0,IF(MIN(BT$38,$E322)&lt;MAX($P$34*($B322+$I$38-1),IF(AND($L$37=0,$P$34=0),"",$L$37-1)),0,YEARFRAC(MAX($P$34*($B322+$I$38-1),IF(AND($L$37=0,$P$34=0),"",$L$37-1)),MIN(BT$38,$E322),$P$20))-SUM($BF322:BS322))</f>
        <v>0</v>
      </c>
      <c r="BU322" s="446">
        <f>IF($E322=0,0,IF(MIN(BU$38,$E322)&lt;MAX($P$34*($B322+$I$38-1),IF(AND($L$37=0,$P$34=0),"",$L$37-1)),0,YEARFRAC(MAX($P$34*($B322+$I$38-1),IF(AND($L$37=0,$P$34=0),"",$L$37-1)),MIN(BU$38,$E322),$P$20))-SUM($BF322:BT322))</f>
        <v>0</v>
      </c>
      <c r="BV322" s="446">
        <f>IF($E322=0,0,IF(MIN(BV$38,$E322)&lt;MAX($P$34*($B322+$I$38-1),IF(AND($L$37=0,$P$34=0),"",$L$37-1)),0,YEARFRAC(MAX($P$34*($B322+$I$38-1),IF(AND($L$37=0,$P$34=0),"",$L$37-1)),MIN(BV$38,$E322),$P$20))-SUM($BF322:BU322))</f>
        <v>0</v>
      </c>
      <c r="BW322" s="446">
        <f>IF($E322=0,0,IF(MIN(BW$38,$E322)&lt;MAX($P$34*($B322+$I$38-1),IF(AND($L$37=0,$P$34=0),"",$L$37-1)),0,YEARFRAC(MAX($P$34*($B322+$I$38-1),IF(AND($L$37=0,$P$34=0),"",$L$37-1)),MIN(BW$38,$E322),$P$20))-SUM($BF322:BV322))</f>
        <v>0</v>
      </c>
      <c r="BX322" s="446">
        <f>IF($E322=0,0,IF(MIN(BX$38,$E322)&lt;MAX($P$34*($B322+$I$38-1),IF(AND($L$37=0,$P$34=0),"",$L$37-1)),0,YEARFRAC(MAX($P$34*($B322+$I$38-1),IF(AND($L$37=0,$P$34=0),"",$L$37-1)),MIN(BX$38,$E322),$P$20))-SUM($BF322:BW322))</f>
        <v>0</v>
      </c>
      <c r="BY322" s="446">
        <f>IF($E322=0,0,IF(MIN(BY$38,$E322)&lt;MAX($P$34*($B322+$I$38-1),IF(AND($L$37=0,$P$34=0),"",$L$37-1)),0,YEARFRAC(MAX($P$34*($B322+$I$38-1),IF(AND($L$37=0,$P$34=0),"",$L$37-1)),MIN(BY$38,$E322),$P$20))-SUM($BF322:BX322))</f>
        <v>0</v>
      </c>
      <c r="BZ322" s="446">
        <f>IF($E322=0,0,IF(MIN(BZ$38,$E322)&lt;MAX($P$34*($B322+$I$38-1),IF(AND($L$37=0,$P$34=0),"",$L$37-1)),0,YEARFRAC(MAX($P$34*($B322+$I$38-1),IF(AND($L$37=0,$P$34=0),"",$L$37-1)),MIN(BZ$38,$E322),$P$20))-SUM($BF322:BY322))</f>
        <v>0</v>
      </c>
      <c r="CA322" s="446">
        <f>IF($E322=0,0,IF(MIN(CA$38,$E322)&lt;MAX($P$34*($B322+$I$38-1),IF(AND($L$37=0,$P$34=0),"",$L$37-1)),0,YEARFRAC(MAX($P$34*($B322+$I$38-1),IF(AND($L$37=0,$P$34=0),"",$L$37-1)),MIN(CA$38,$E322),$P$20))-SUM($BF322:BZ322))</f>
        <v>0</v>
      </c>
      <c r="CB322" s="446">
        <f>IF($E322=0,0,IF(MIN(CB$38,$E322)&lt;MAX($P$34*($B322+$I$38-1),IF(AND($L$37=0,$P$34=0),"",$L$37-1)),0,YEARFRAC(MAX($P$34*($B322+$I$38-1),IF(AND($L$37=0,$P$34=0),"",$L$37-1)),MIN(CB$38,$E322),$P$20))-SUM($BF322:CA322))</f>
        <v>0</v>
      </c>
      <c r="CC322" s="446">
        <f>IF($E322=0,0,IF(MIN(CC$38,$E322)&lt;MAX($P$34*($B322+$I$38-1),IF(AND($L$37=0,$P$34=0),"",$L$37-1)),0,YEARFRAC(MAX($P$34*($B322+$I$38-1),IF(AND($L$37=0,$P$34=0),"",$L$37-1)),MIN(CC$38,$E322),$P$20))-SUM($BF322:CB322))</f>
        <v>0</v>
      </c>
      <c r="CD322" s="446">
        <f>IF($E322=0,0,IF(MIN(CD$38,$E322)&lt;MAX($P$34*($B322+$I$38-1),IF(AND($L$37=0,$P$34=0),"",$L$37-1)),0,YEARFRAC(MAX($P$34*($B322+$I$38-1),IF(AND($L$37=0,$P$34=0),"",$L$37-1)),MIN(CD$38,$E322),$P$20))-SUM($BF322:CC322))</f>
        <v>0</v>
      </c>
      <c r="CE322" s="446">
        <f>IF($E322=0,0,IF(MIN(CE$38,$E322)&lt;MAX($P$34*($B322+$I$38-1),IF(AND($L$37=0,$P$34=0),"",$L$37-1)),0,YEARFRAC(MAX($P$34*($B322+$I$38-1),IF(AND($L$37=0,$P$34=0),"",$L$37-1)),MIN(CE$38,$E322),$P$20))-SUM($BF322:CD322))</f>
        <v>0</v>
      </c>
      <c r="CF322" s="446">
        <f>IF($E322=0,0,IF(MIN(CF$38,$E322)&lt;MAX($P$34*($B322+$I$38-1),IF(AND($L$37=0,$P$34=0),"",$L$37-1)),0,YEARFRAC(MAX($P$34*($B322+$I$38-1),IF(AND($L$37=0,$P$34=0),"",$L$37-1)),MIN(CF$38,$E322),$P$20))-SUM($BF322:CE322))</f>
        <v>0</v>
      </c>
      <c r="CG322" s="446">
        <f>IF($E322=0,0,IF(MIN(CG$38,$E322)&lt;MAX($P$34*($B322+$I$38-1),IF(AND($L$37=0,$P$34=0),"",$L$37-1)),0,YEARFRAC(MAX($P$34*($B322+$I$38-1),IF(AND($L$37=0,$P$34=0),"",$L$37-1)),MIN(CG$38,$E322),$P$20))-SUM($BF322:CF322))</f>
        <v>0</v>
      </c>
      <c r="CH322" s="446">
        <f>IF($E322=0,0,IF(MIN(CH$38,$E322)&lt;MAX($P$34*($B322+$I$38-1),IF(AND($L$37=0,$P$34=0),"",$L$37-1)),0,YEARFRAC(MAX($P$34*($B322+$I$38-1),IF(AND($L$37=0,$P$34=0),"",$L$37-1)),MIN(CH$38,$E322),$P$20))-SUM($BF322:CG322))</f>
        <v>0</v>
      </c>
      <c r="CI322" s="446">
        <f>IF($E322=0,0,IF(MIN(CI$38,$E322)&lt;MAX($P$34*($B322+$I$38-1),IF(AND($L$37=0,$P$34=0),"",$L$37-1)),0,YEARFRAC(MAX($P$34*($B322+$I$38-1),IF(AND($L$37=0,$P$34=0),"",$L$37-1)),MIN(CI$38,$E322),$P$20))-SUM($BF322:CH322))</f>
        <v>0</v>
      </c>
      <c r="CJ322" s="446">
        <f>IF($E322=0,0,IF(MIN(CJ$38,$E322)&lt;MAX($P$34*($B322+$I$38-1),IF(AND($L$37=0,$P$34=0),"",$L$37-1)),0,YEARFRAC(MAX($P$34*($B322+$I$38-1),IF(AND($L$37=0,$P$34=0),"",$L$37-1)),MIN(CJ$38,$E322),$P$20))-SUM($BF322:CI322))</f>
        <v>0</v>
      </c>
      <c r="CK322" s="446">
        <f>IF($E322=0,0,IF(MIN(CK$38,$E322)&lt;MAX($P$34*($B322+$I$38-1),IF(AND($L$37=0,$P$34=0),"",$L$37-1)),0,YEARFRAC(MAX($P$34*($B322+$I$38-1),IF(AND($L$37=0,$P$34=0),"",$L$37-1)),MIN(CK$38,$E322),$P$20))-SUM($BF322:CJ322))</f>
        <v>0</v>
      </c>
      <c r="CL322" s="446">
        <f>IF($E322=0,0,IF(MIN(CL$38,$E322)&lt;MAX($P$34*($B322+$I$38-1),IF(AND($L$37=0,$P$34=0),"",$L$37-1)),0,YEARFRAC(MAX($P$34*($B322+$I$38-1),IF(AND($L$37=0,$P$34=0),"",$L$37-1)),MIN(CL$38,$E322),$P$20))-SUM($BF322:CK322))</f>
        <v>0</v>
      </c>
      <c r="CM322" s="446">
        <f>IF($E322=0,0,IF(MIN(CM$38,$E322)&lt;MAX($P$34*($B322+$I$38-1),IF(AND($L$37=0,$P$34=0),"",$L$37-1)),0,YEARFRAC(MAX($P$34*($B322+$I$38-1),IF(AND($L$37=0,$P$34=0),"",$L$37-1)),MIN(CM$38,$E322),$P$20))-SUM($BF322:CL322))</f>
        <v>0</v>
      </c>
      <c r="CN322" s="446">
        <f>IF($E322=0,0,IF(MIN(CN$38,$E322)&lt;MAX($P$34*($B322+$I$38-1),IF(AND($L$37=0,$P$34=0),"",$L$37-1)),0,YEARFRAC(MAX($P$34*($B322+$I$38-1),IF(AND($L$37=0,$P$34=0),"",$L$37-1)),MIN(CN$38,$E322),$P$20))-SUM($BF322:CM322))</f>
        <v>0</v>
      </c>
      <c r="CO322" s="446">
        <f>IF($E322=0,0,IF(MIN(CO$38,$E322)&lt;MAX($P$34*($B322+$I$38-1),IF(AND($L$37=0,$P$34=0),"",$L$37-1)),0,YEARFRAC(MAX($P$34*($B322+$I$38-1),IF(AND($L$37=0,$P$34=0),"",$L$37-1)),MIN(CO$38,$E322),$P$20))-SUM($BF322:CN322))</f>
        <v>0</v>
      </c>
      <c r="CP322" s="446">
        <f>IF($E322=0,0,IF(MIN(CP$38,$E322)&lt;MAX($P$34*($B322+$I$38-1),IF(AND($L$37=0,$P$34=0),"",$L$37-1)),0,YEARFRAC(MAX($P$34*($B322+$I$38-1),IF(AND($L$37=0,$P$34=0),"",$L$37-1)),MIN(CP$38,$E322),$P$20))-SUM($BF322:CO322))</f>
        <v>0</v>
      </c>
      <c r="CQ322" s="446">
        <f>IF($E322=0,0,IF(MIN(CQ$38,$E322)&lt;MAX($P$34*($B322+$I$38-1),IF(AND($L$37=0,$P$34=0),"",$L$37-1)),0,YEARFRAC(MAX($P$34*($B322+$I$38-1),IF(AND($L$37=0,$P$34=0),"",$L$37-1)),MIN(CQ$38,$E322),$P$20))-SUM($BF322:CP322))</f>
        <v>0</v>
      </c>
    </row>
    <row r="323" spans="1:95" s="446" customFormat="1" ht="11.25" hidden="1" customHeight="1" x14ac:dyDescent="0.2">
      <c r="A323" s="152"/>
      <c r="B323" s="153" t="str">
        <f t="shared" si="59"/>
        <v/>
      </c>
      <c r="C323" s="29" t="str">
        <f>IF(B323="","",IF($L$35="SELIC - TRIBUTOS",VLOOKUP(DATE(YEAR($D$19),MONTH($D$19)-1,1),ÍNDICES!$A:$DE,HLOOKUP($BL$25,ÍNDICES!$B$3:$T$4,2)+11)-VLOOKUP(B323,ÍNDICES!$A:$DE,HLOOKUP($BL$25,ÍNDICES!$B$3:$T$4,2)+11)+1%,IF(C$38=$W$26,$J$35,IF(ISERROR(IF(B323&gt;$D$19,1,VLOOKUP(DATE(YEAR(B323),MONTH(B323)+IF($C$35=$S$23,1,0),1),ÍNDICES!$A:$DE,$Z$35+1))),"",IF(B323&gt;$D$19,1,VLOOKUP(DATE(YEAR(B323),MONTH(B323)+IF($C$35=$S$23,1,0),1),ÍNDICES!$A:$DE,$Z$35+1))))))</f>
        <v/>
      </c>
      <c r="D323" s="154" t="str">
        <f>IF(ISERROR(IF(OR($D$38=$Y$27,$B323=""),"",VLOOKUP(B323,ÍNDICES!A:DE,AF$35+1))),"",IF(OR($D$38=$Y$27,$B323=""),"",VLOOKUP(B323,ÍNDICES!A:DE,AF$35+1)))</f>
        <v/>
      </c>
      <c r="E323" s="153"/>
      <c r="F323" s="29" t="str">
        <f>IF(E323="","",IF($L$35="SELIC - TRIBUTOS",VLOOKUP(DATE(YEAR($D$19),MONTH($D$19)-1,1),ÍNDICES!$A:$DE,HLOOKUP($BL$25,ÍNDICES!$B$3:$T$4,2)+11)-VLOOKUP(E323,ÍNDICES!$A:$DE,HLOOKUP($BL$25,ÍNDICES!$B$3:$T$4,2)+11)+1%,IF(F$38=$W$26,$J$35,IF(ISERROR(IF(E323&gt;$D$19,1,VLOOKUP(DATE(YEAR(E323),MONTH(E323)+IF($C$35=$S$23,1,0),1),ÍNDICES!$A:$DE,$Z$35+1))),"",IF(E323&gt;$D$19,1,VLOOKUP(DATE(YEAR(E323),MONTH(E323)+IF($C$35=$S$23,1,0),1),ÍNDICES!$A:$DE,$Z$35+1))))))</f>
        <v/>
      </c>
      <c r="G323" s="155"/>
      <c r="H323" s="156" t="str">
        <f t="shared" si="55"/>
        <v/>
      </c>
      <c r="I323" s="29" t="str">
        <f t="shared" si="49"/>
        <v/>
      </c>
      <c r="J323" s="5">
        <f t="shared" si="50"/>
        <v>0</v>
      </c>
      <c r="K323" s="20">
        <f t="shared" ca="1" si="51"/>
        <v>0</v>
      </c>
      <c r="L323" s="5">
        <f t="shared" ca="1" si="52"/>
        <v>0</v>
      </c>
      <c r="M323" s="64">
        <f t="shared" si="56"/>
        <v>0</v>
      </c>
      <c r="N323" s="61">
        <f t="shared" ca="1" si="57"/>
        <v>0</v>
      </c>
      <c r="O323" s="5">
        <f t="shared" ca="1" si="58"/>
        <v>0</v>
      </c>
      <c r="P323" s="446" t="e">
        <f t="shared" si="53"/>
        <v>#VALUE!</v>
      </c>
      <c r="Q323" s="446" t="e">
        <f>IF(OR($B323="",MIN(Q$38,$D$19)&lt;MAX($P$34*($B323+IF($R$17="Distrato",$I$38-1,0)),IF(AND($L$37=0,$P$34=0),"",$L$37-1),IF($R$17="Distrato",$E323,0))),0,YEARFRAC(MAX($P$34*($B323+IF($R$17="Distrato",$I$38-1,0)),IF(AND($L$37=0,$P$34=0),"",$L$37-1),IF($R$17="Distrato",$E323,0)),MIN(Q$38,$D$19),$P$20))-SUM($P323:P323)</f>
        <v>#VALUE!</v>
      </c>
      <c r="R323" s="446" t="e">
        <f>IF(OR($B323="",MIN(R$38,$D$19)&lt;MAX($P$34*($B323+IF($R$17="Distrato",$I$38-1,0)),IF(AND($L$37=0,$P$34=0),"",$L$37-1),IF($R$17="Distrato",$E323,0))),0,YEARFRAC(MAX($P$34*($B323+IF($R$17="Distrato",$I$38-1,0)),IF(AND($L$37=0,$P$34=0),"",$L$37-1),IF($R$17="Distrato",$E323,0)),MIN(R$38,$D$19),$P$20))-SUM($P323:Q323)</f>
        <v>#VALUE!</v>
      </c>
      <c r="S323" s="446" t="e">
        <f>IF(OR($B323="",MIN(S$38,$D$19)&lt;MAX($P$34*($B323+IF($R$17="Distrato",$I$38-1,0)),IF(AND($L$37=0,$P$34=0),"",$L$37-1),IF($R$17="Distrato",$E323,0))),0,YEARFRAC(MAX($P$34*($B323+IF($R$17="Distrato",$I$38-1,0)),IF(AND($L$37=0,$P$34=0),"",$L$37-1),IF($R$17="Distrato",$E323,0)),MIN(S$38,$D$19),$P$20))-SUM($P323:R323)</f>
        <v>#VALUE!</v>
      </c>
      <c r="T323" s="446" t="e">
        <f>IF(OR($B323="",MIN(T$38,$D$19)&lt;MAX($P$34*($B323+IF($R$17="Distrato",$I$38-1,0)),IF(AND($L$37=0,$P$34=0),"",$L$37-1),IF($R$17="Distrato",$E323,0))),0,YEARFRAC(MAX($P$34*($B323+IF($R$17="Distrato",$I$38-1,0)),IF(AND($L$37=0,$P$34=0),"",$L$37-1),IF($R$17="Distrato",$E323,0)),MIN(T$38,$D$19),$P$20))-SUM($P323:S323)</f>
        <v>#VALUE!</v>
      </c>
      <c r="U323" s="446" t="e">
        <f>IF(OR($B323="",MIN(U$38,$D$19)&lt;MAX($P$34*($B323+IF($R$17="Distrato",$I$38-1,0)),IF(AND($L$37=0,$P$34=0),"",$L$37-1),IF($R$17="Distrato",$E323,0))),0,YEARFRAC(MAX($P$34*($B323+IF($R$17="Distrato",$I$38-1,0)),IF(AND($L$37=0,$P$34=0),"",$L$37-1),IF($R$17="Distrato",$E323,0)),MIN(U$38,$D$19),$P$20))-SUM($P323:T323)</f>
        <v>#VALUE!</v>
      </c>
      <c r="V323" s="446" t="e">
        <f>IF(OR($B323="",MIN(V$38,$D$19)&lt;MAX($P$34*($B323+IF($R$17="Distrato",$I$38-1,0)),IF(AND($L$37=0,$P$34=0),"",$L$37-1),IF($R$17="Distrato",$E323,0))),0,YEARFRAC(MAX($P$34*($B323+IF($R$17="Distrato",$I$38-1,0)),IF(AND($L$37=0,$P$34=0),"",$L$37-1),IF($R$17="Distrato",$E323,0)),MIN(V$38,$D$19),$P$20))-SUM($P323:U323)</f>
        <v>#VALUE!</v>
      </c>
      <c r="W323" s="446" t="e">
        <f>IF(OR($B323="",MIN(W$38,$D$19)&lt;MAX($P$34*($B323+IF($R$17="Distrato",$I$38-1,0)),IF(AND($L$37=0,$P$34=0),"",$L$37-1),IF($R$17="Distrato",$E323,0))),0,YEARFRAC(MAX($P$34*($B323+IF($R$17="Distrato",$I$38-1,0)),IF(AND($L$37=0,$P$34=0),"",$L$37-1),IF($R$17="Distrato",$E323,0)),MIN(W$38,$D$19),$P$20))-SUM($P323:V323)</f>
        <v>#VALUE!</v>
      </c>
      <c r="X323" s="446" t="e">
        <f>IF(OR($B323="",MIN(X$38,$D$19)&lt;MAX($P$34*($B323+IF($R$17="Distrato",$I$38-1,0)),IF(AND($L$37=0,$P$34=0),"",$L$37-1),IF($R$17="Distrato",$E323,0))),0,YEARFRAC(MAX($P$34*($B323+IF($R$17="Distrato",$I$38-1,0)),IF(AND($L$37=0,$P$34=0),"",$L$37-1),IF($R$17="Distrato",$E323,0)),MIN(X$38,$D$19),$P$20))-SUM($P323:W323)</f>
        <v>#VALUE!</v>
      </c>
      <c r="Y323" s="446" t="e">
        <f>IF(OR($B323="",MIN(Y$38,$D$19)&lt;MAX($P$34*($B323+IF($R$17="Distrato",$I$38-1,0)),IF(AND($L$37=0,$P$34=0),"",$L$37-1),IF($R$17="Distrato",$E323,0))),0,YEARFRAC(MAX($P$34*($B323+IF($R$17="Distrato",$I$38-1,0)),IF(AND($L$37=0,$P$34=0),"",$L$37-1),IF($R$17="Distrato",$E323,0)),MIN(Y$38,$D$19),$P$20))-SUM($P323:X323)</f>
        <v>#VALUE!</v>
      </c>
      <c r="Z323" s="446" t="e">
        <f>IF(OR($B323="",MIN(Z$38,$D$19)&lt;MAX($P$34*($B323+IF($R$17="Distrato",$I$38-1,0)),IF(AND($L$37=0,$P$34=0),"",$L$37-1),IF($R$17="Distrato",$E323,0))),0,YEARFRAC(MAX($P$34*($B323+IF($R$17="Distrato",$I$38-1,0)),IF(AND($L$37=0,$P$34=0),"",$L$37-1),IF($R$17="Distrato",$E323,0)),MIN(Z$38,$D$19),$P$20))-SUM($P323:Y323)</f>
        <v>#VALUE!</v>
      </c>
      <c r="AA323" s="446" t="e">
        <f>IF(OR($B323="",MIN(AA$38,$D$19)&lt;MAX($P$34*($B323+IF($R$17="Distrato",$I$38-1,0)),IF(AND($L$37=0,$P$34=0),"",$L$37-1),IF($R$17="Distrato",$E323,0))),0,YEARFRAC(MAX($P$34*($B323+IF($R$17="Distrato",$I$38-1,0)),IF(AND($L$37=0,$P$34=0),"",$L$37-1),IF($R$17="Distrato",$E323,0)),MIN(AA$38,$D$19),$P$20))-SUM($P323:Z323)</f>
        <v>#VALUE!</v>
      </c>
      <c r="AB323" s="446" t="e">
        <f>IF(OR($B323="",MIN(AB$38,$D$19)&lt;MAX($P$34*($B323+IF($R$17="Distrato",$I$38-1,0)),IF(AND($L$37=0,$P$34=0),"",$L$37-1),IF($R$17="Distrato",$E323,0))),0,YEARFRAC(MAX($P$34*($B323+IF($R$17="Distrato",$I$38-1,0)),IF(AND($L$37=0,$P$34=0),"",$L$37-1),IF($R$17="Distrato",$E323,0)),MIN(AB$38,$D$19),$P$20))-SUM($P323:AA323)</f>
        <v>#VALUE!</v>
      </c>
      <c r="AC323" s="446" t="e">
        <f>IF(OR($B323="",MIN(AC$38,$D$19)&lt;MAX($P$34*($B323+IF($R$17="Distrato",$I$38-1,0)),IF(AND($L$37=0,$P$34=0),"",$L$37-1),IF($R$17="Distrato",$E323,0))),0,YEARFRAC(MAX($P$34*($B323+IF($R$17="Distrato",$I$38-1,0)),IF(AND($L$37=0,$P$34=0),"",$L$37-1),IF($R$17="Distrato",$E323,0)),MIN(AC$38,$D$19),$P$20))-SUM($P323:AB323)</f>
        <v>#VALUE!</v>
      </c>
      <c r="AD323" s="446" t="e">
        <f>IF(OR($B323="",MIN(AD$38,$D$19)&lt;MAX($P$34*($B323+IF($R$17="Distrato",$I$38-1,0)),IF(AND($L$37=0,$P$34=0),"",$L$37-1),IF($R$17="Distrato",$E323,0))),0,YEARFRAC(MAX($P$34*($B323+IF($R$17="Distrato",$I$38-1,0)),IF(AND($L$37=0,$P$34=0),"",$L$37-1),IF($R$17="Distrato",$E323,0)),MIN(AD$38,$D$19),$P$20))-SUM($P323:AC323)</f>
        <v>#VALUE!</v>
      </c>
      <c r="AE323" s="446" t="e">
        <f>IF(OR($B323="",MIN(AE$38,$D$19)&lt;MAX($P$34*($B323+IF($R$17="Distrato",$I$38-1,0)),IF(AND($L$37=0,$P$34=0),"",$L$37-1),IF($R$17="Distrato",$E323,0))),0,YEARFRAC(MAX($P$34*($B323+IF($R$17="Distrato",$I$38-1,0)),IF(AND($L$37=0,$P$34=0),"",$L$37-1),IF($R$17="Distrato",$E323,0)),MIN(AE$38,$D$19),$P$20))-SUM($P323:AD323)</f>
        <v>#VALUE!</v>
      </c>
      <c r="AF323" s="446" t="e">
        <f>IF(OR($B323="",MIN(AF$38,$D$19)&lt;MAX($P$34*($B323+IF($R$17="Distrato",$I$38-1,0)),IF(AND($L$37=0,$P$34=0),"",$L$37-1),IF($R$17="Distrato",$E323,0))),0,YEARFRAC(MAX($P$34*($B323+IF($R$17="Distrato",$I$38-1,0)),IF(AND($L$37=0,$P$34=0),"",$L$37-1),IF($R$17="Distrato",$E323,0)),MIN(AF$38,$D$19),$P$20))-SUM($P323:AE323)</f>
        <v>#VALUE!</v>
      </c>
      <c r="AG323" s="446" t="e">
        <f>IF(OR($B323="",MIN(AG$38,$D$19)&lt;MAX($P$34*($B323+IF($R$17="Distrato",$I$38-1,0)),IF(AND($L$37=0,$P$34=0),"",$L$37-1),IF($R$17="Distrato",$E323,0))),0,YEARFRAC(MAX($P$34*($B323+IF($R$17="Distrato",$I$38-1,0)),IF(AND($L$37=0,$P$34=0),"",$L$37-1),IF($R$17="Distrato",$E323,0)),MIN(AG$38,$D$19),$P$20))-SUM($P323:AF323)</f>
        <v>#VALUE!</v>
      </c>
      <c r="AH323" s="446" t="e">
        <f>IF(OR($B323="",MIN(AH$38,$D$19)&lt;MAX($P$34*($B323+IF($R$17="Distrato",$I$38-1,0)),IF(AND($L$37=0,$P$34=0),"",$L$37-1),IF($R$17="Distrato",$E323,0))),0,YEARFRAC(MAX($P$34*($B323+IF($R$17="Distrato",$I$38-1,0)),IF(AND($L$37=0,$P$34=0),"",$L$37-1),IF($R$17="Distrato",$E323,0)),MIN(AH$38,$D$19),$P$20))-SUM($P323:AG323)</f>
        <v>#VALUE!</v>
      </c>
      <c r="AI323" s="446" t="e">
        <f>IF(OR($B323="",MIN(AI$38,$D$19)&lt;MAX($P$34*($B323+IF($R$17="Distrato",$I$38-1,0)),IF(AND($L$37=0,$P$34=0),"",$L$37-1),IF($R$17="Distrato",$E323,0))),0,YEARFRAC(MAX($P$34*($B323+IF($R$17="Distrato",$I$38-1,0)),IF(AND($L$37=0,$P$34=0),"",$L$37-1),IF($R$17="Distrato",$E323,0)),MIN(AI$38,$D$19),$P$20))-SUM($P323:AH323)</f>
        <v>#VALUE!</v>
      </c>
      <c r="AJ323" s="446" t="e">
        <f>IF(OR($B323="",MIN(AJ$38,$D$19)&lt;MAX($P$34*($B323+IF($R$17="Distrato",$I$38-1,0)),IF(AND($L$37=0,$P$34=0),"",$L$37-1),IF($R$17="Distrato",$E323,0))),0,YEARFRAC(MAX($P$34*($B323+IF($R$17="Distrato",$I$38-1,0)),IF(AND($L$37=0,$P$34=0),"",$L$37-1),IF($R$17="Distrato",$E323,0)),MIN(AJ$38,$D$19),$P$20))-SUM($P323:AI323)</f>
        <v>#VALUE!</v>
      </c>
      <c r="AK323" s="446" t="e">
        <f>IF(OR($B323="",MIN(AK$38,$D$19)&lt;MAX($P$34*($B323+IF($R$17="Distrato",$I$38-1,0)),IF(AND($L$37=0,$P$34=0),"",$L$37-1),IF($R$17="Distrato",$E323,0))),0,YEARFRAC(MAX($P$34*($B323+IF($R$17="Distrato",$I$38-1,0)),IF(AND($L$37=0,$P$34=0),"",$L$37-1),IF($R$17="Distrato",$E323,0)),MIN(AK$38,$D$19),$P$20))-SUM($P323:AJ323)</f>
        <v>#VALUE!</v>
      </c>
      <c r="AL323" s="446" t="e">
        <f>IF(OR($B323="",MIN(AL$38,$D$19)&lt;MAX($P$34*($B323+IF($R$17="Distrato",$I$38-1,0)),IF(AND($L$37=0,$P$34=0),"",$L$37-1),IF($R$17="Distrato",$E323,0))),0,YEARFRAC(MAX($P$34*($B323+IF($R$17="Distrato",$I$38-1,0)),IF(AND($L$37=0,$P$34=0),"",$L$37-1),IF($R$17="Distrato",$E323,0)),MIN(AL$38,$D$19),$P$20))-SUM($P323:AK323)</f>
        <v>#VALUE!</v>
      </c>
      <c r="AM323" s="446" t="e">
        <f>IF(OR($B323="",MIN(AM$38,$D$19)&lt;MAX($P$34*($B323+IF($R$17="Distrato",$I$38-1,0)),IF(AND($L$37=0,$P$34=0),"",$L$37-1),IF($R$17="Distrato",$E323,0))),0,YEARFRAC(MAX($P$34*($B323+IF($R$17="Distrato",$I$38-1,0)),IF(AND($L$37=0,$P$34=0),"",$L$37-1),IF($R$17="Distrato",$E323,0)),MIN(AM$38,$D$19),$P$20))-SUM($P323:AL323)</f>
        <v>#VALUE!</v>
      </c>
      <c r="AN323" s="446" t="e">
        <f>IF(OR($B323="",MIN(AN$38,$D$19)&lt;MAX($P$34*($B323+IF($R$17="Distrato",$I$38-1,0)),IF(AND($L$37=0,$P$34=0),"",$L$37-1),IF($R$17="Distrato",$E323,0))),0,YEARFRAC(MAX($P$34*($B323+IF($R$17="Distrato",$I$38-1,0)),IF(AND($L$37=0,$P$34=0),"",$L$37-1),IF($R$17="Distrato",$E323,0)),MIN(AN$38,$D$19),$P$20))-SUM($P323:AM323)</f>
        <v>#VALUE!</v>
      </c>
      <c r="AO323" s="446" t="e">
        <f>IF(OR($B323="",MIN(AO$38,$D$19)&lt;MAX($P$34*($B323+IF($R$17="Distrato",$I$38-1,0)),IF(AND($L$37=0,$P$34=0),"",$L$37-1),IF($R$17="Distrato",$E323,0))),0,YEARFRAC(MAX($P$34*($B323+IF($R$17="Distrato",$I$38-1,0)),IF(AND($L$37=0,$P$34=0),"",$L$37-1),IF($R$17="Distrato",$E323,0)),MIN(AO$38,$D$19),$P$20))-SUM($P323:AN323)</f>
        <v>#VALUE!</v>
      </c>
      <c r="AP323" s="446" t="e">
        <f>IF(OR($B323="",MIN(AP$38,$D$19)&lt;MAX($P$34*($B323+IF($R$17="Distrato",$I$38-1,0)),IF(AND($L$37=0,$P$34=0),"",$L$37-1),IF($R$17="Distrato",$E323,0))),0,YEARFRAC(MAX($P$34*($B323+IF($R$17="Distrato",$I$38-1,0)),IF(AND($L$37=0,$P$34=0),"",$L$37-1),IF($R$17="Distrato",$E323,0)),MIN(AP$38,$D$19),$P$20))-SUM($P323:AO323)</f>
        <v>#VALUE!</v>
      </c>
      <c r="AQ323" s="446" t="e">
        <f>IF(OR($B323="",MIN(AQ$38,$D$19)&lt;MAX($P$34*($B323+IF($R$17="Distrato",$I$38-1,0)),IF(AND($L$37=0,$P$34=0),"",$L$37-1),IF($R$17="Distrato",$E323,0))),0,YEARFRAC(MAX($P$34*($B323+IF($R$17="Distrato",$I$38-1,0)),IF(AND($L$37=0,$P$34=0),"",$L$37-1),IF($R$17="Distrato",$E323,0)),MIN(AQ$38,$D$19),$P$20))-SUM($P323:AP323)</f>
        <v>#VALUE!</v>
      </c>
      <c r="AR323" s="446" t="e">
        <f>IF(OR($B323="",MIN(AR$38,$D$19)&lt;MAX($P$34*($B323+IF($R$17="Distrato",$I$38-1,0)),IF(AND($L$37=0,$P$34=0),"",$L$37-1),IF($R$17="Distrato",$E323,0))),0,YEARFRAC(MAX($P$34*($B323+IF($R$17="Distrato",$I$38-1,0)),IF(AND($L$37=0,$P$34=0),"",$L$37-1),IF($R$17="Distrato",$E323,0)),MIN(AR$38,$D$19),$P$20))-SUM($P323:AQ323)</f>
        <v>#VALUE!</v>
      </c>
      <c r="AS323" s="446" t="e">
        <f>IF(OR($B323="",MIN(AS$38,$D$19)&lt;MAX($P$34*($B323+IF($R$17="Distrato",$I$38-1,0)),IF(AND($L$37=0,$P$34=0),"",$L$37-1),IF($R$17="Distrato",$E323,0))),0,YEARFRAC(MAX($P$34*($B323+IF($R$17="Distrato",$I$38-1,0)),IF(AND($L$37=0,$P$34=0),"",$L$37-1),IF($R$17="Distrato",$E323,0)),MIN(AS$38,$D$19),$P$20))-SUM($P323:AR323)</f>
        <v>#VALUE!</v>
      </c>
      <c r="AT323" s="446" t="e">
        <f>IF(OR($B323="",MIN(AT$38,$D$19)&lt;MAX($P$34*($B323+IF($R$17="Distrato",$I$38-1,0)),IF(AND($L$37=0,$P$34=0),"",$L$37-1),IF($R$17="Distrato",$E323,0))),0,YEARFRAC(MAX($P$34*($B323+IF($R$17="Distrato",$I$38-1,0)),IF(AND($L$37=0,$P$34=0),"",$L$37-1),IF($R$17="Distrato",$E323,0)),MIN(AT$38,$D$19),$P$20))-SUM($P323:AS323)</f>
        <v>#VALUE!</v>
      </c>
      <c r="AU323" s="446" t="e">
        <f>IF(OR($B323="",MIN(AU$38,$D$19)&lt;MAX($P$34*($B323+IF($R$17="Distrato",$I$38-1,0)),IF(AND($L$37=0,$P$34=0),"",$L$37-1),IF($R$17="Distrato",$E323,0))),0,YEARFRAC(MAX($P$34*($B323+IF($R$17="Distrato",$I$38-1,0)),IF(AND($L$37=0,$P$34=0),"",$L$37-1),IF($R$17="Distrato",$E323,0)),MIN(AU$38,$D$19),$P$20))-SUM($P323:AT323)</f>
        <v>#VALUE!</v>
      </c>
      <c r="AV323" s="446" t="e">
        <f>IF(OR($B323="",MIN(AV$38,$D$19)&lt;MAX($P$34*($B323+IF($R$17="Distrato",$I$38-1,0)),IF(AND($L$37=0,$P$34=0),"",$L$37-1),IF($R$17="Distrato",$E323,0))),0,YEARFRAC(MAX($P$34*($B323+IF($R$17="Distrato",$I$38-1,0)),IF(AND($L$37=0,$P$34=0),"",$L$37-1),IF($R$17="Distrato",$E323,0)),MIN(AV$38,$D$19),$P$20))-SUM($P323:AU323)</f>
        <v>#VALUE!</v>
      </c>
      <c r="AW323" s="446" t="e">
        <f>IF(OR($B323="",MIN(AW$38,$D$19)&lt;MAX($P$34*($B323+IF($R$17="Distrato",$I$38-1,0)),IF(AND($L$37=0,$P$34=0),"",$L$37-1),IF($R$17="Distrato",$E323,0))),0,YEARFRAC(MAX($P$34*($B323+IF($R$17="Distrato",$I$38-1,0)),IF(AND($L$37=0,$P$34=0),"",$L$37-1),IF($R$17="Distrato",$E323,0)),MIN(AW$38,$D$19),$P$20))-SUM($P323:AV323)</f>
        <v>#VALUE!</v>
      </c>
      <c r="AX323" s="446" t="e">
        <f>IF(OR($B323="",MIN(AX$38,$D$19)&lt;MAX($P$34*($B323+IF($R$17="Distrato",$I$38-1,0)),IF(AND($L$37=0,$P$34=0),"",$L$37-1),IF($R$17="Distrato",$E323,0))),0,YEARFRAC(MAX($P$34*($B323+IF($R$17="Distrato",$I$38-1,0)),IF(AND($L$37=0,$P$34=0),"",$L$37-1),IF($R$17="Distrato",$E323,0)),MIN(AX$38,$D$19),$P$20))-SUM($P323:AW323)</f>
        <v>#VALUE!</v>
      </c>
      <c r="AY323" s="446" t="e">
        <f>IF(OR($B323="",MIN(AY$38,$D$19)&lt;MAX($P$34*($B323+IF($R$17="Distrato",$I$38-1,0)),IF(AND($L$37=0,$P$34=0),"",$L$37-1),IF($R$17="Distrato",$E323,0))),0,YEARFRAC(MAX($P$34*($B323+IF($R$17="Distrato",$I$38-1,0)),IF(AND($L$37=0,$P$34=0),"",$L$37-1),IF($R$17="Distrato",$E323,0)),MIN(AY$38,$D$19),$P$20))-SUM($P323:AX323)</f>
        <v>#VALUE!</v>
      </c>
      <c r="AZ323" s="446" t="e">
        <f>IF(OR($B323="",MIN(AZ$38,$D$19)&lt;MAX($P$34*($B323+IF($R$17="Distrato",$I$38-1,0)),IF(AND($L$37=0,$P$34=0),"",$L$37-1),IF($R$17="Distrato",$E323,0))),0,YEARFRAC(MAX($P$34*($B323+IF($R$17="Distrato",$I$38-1,0)),IF(AND($L$37=0,$P$34=0),"",$L$37-1),IF($R$17="Distrato",$E323,0)),MIN(AZ$38,$D$19),$P$20))-SUM($P323:AY323)</f>
        <v>#VALUE!</v>
      </c>
      <c r="BA323" s="446" t="e">
        <f>IF(OR($B323="",MIN(BA$38,$D$19)&lt;MAX($P$34*($B323+IF($R$17="Distrato",$I$38-1,0)),IF(AND($L$37=0,$P$34=0),"",$L$37-1),IF($R$17="Distrato",$E323,0))),0,YEARFRAC(MAX($P$34*($B323+IF($R$17="Distrato",$I$38-1,0)),IF(AND($L$37=0,$P$34=0),"",$L$37-1),IF($R$17="Distrato",$E323,0)),MIN(BA$38,$D$19),$P$20))-SUM($P323:AZ323)</f>
        <v>#VALUE!</v>
      </c>
      <c r="BB323" s="447"/>
      <c r="BF323" s="446">
        <f t="shared" si="54"/>
        <v>0</v>
      </c>
      <c r="BG323" s="446">
        <f>IF($E323=0,0,IF(MIN(BG$38,$E323)&lt;MAX($P$34*($B323+$I$38-1),IF(AND($L$37=0,$P$34=0),"",$L$37-1)),0,YEARFRAC(MAX($P$34*($B323+$I$38-1),IF(AND($L$37=0,$P$34=0),"",$L$37-1)),MIN(BG$38,$E323),$P$20))-SUM($BF323:BF323))</f>
        <v>0</v>
      </c>
      <c r="BH323" s="446">
        <f>IF($E323=0,0,IF(MIN(BH$38,$E323)&lt;MAX($P$34*($B323+$I$38-1),IF(AND($L$37=0,$P$34=0),"",$L$37-1)),0,YEARFRAC(MAX($P$34*($B323+$I$38-1),IF(AND($L$37=0,$P$34=0),"",$L$37-1)),MIN(BH$38,$E323),$P$20))-SUM($BF323:BG323))</f>
        <v>0</v>
      </c>
      <c r="BI323" s="446">
        <f>IF($E323=0,0,IF(MIN(BI$38,$E323)&lt;MAX($P$34*($B323+$I$38-1),IF(AND($L$37=0,$P$34=0),"",$L$37-1)),0,YEARFRAC(MAX($P$34*($B323+$I$38-1),IF(AND($L$37=0,$P$34=0),"",$L$37-1)),MIN(BI$38,$E323),$P$20))-SUM($BF323:BH323))</f>
        <v>0</v>
      </c>
      <c r="BJ323" s="446">
        <f>IF($E323=0,0,IF(MIN(BJ$38,$E323)&lt;MAX($P$34*($B323+$I$38-1),IF(AND($L$37=0,$P$34=0),"",$L$37-1)),0,YEARFRAC(MAX($P$34*($B323+$I$38-1),IF(AND($L$37=0,$P$34=0),"",$L$37-1)),MIN(BJ$38,$E323),$P$20))-SUM($BF323:BI323))</f>
        <v>0</v>
      </c>
      <c r="BK323" s="446">
        <f>IF($E323=0,0,IF(MIN(BK$38,$E323)&lt;MAX($P$34*($B323+$I$38-1),IF(AND($L$37=0,$P$34=0),"",$L$37-1)),0,YEARFRAC(MAX($P$34*($B323+$I$38-1),IF(AND($L$37=0,$P$34=0),"",$L$37-1)),MIN(BK$38,$E323),$P$20))-SUM($BF323:BJ323))</f>
        <v>0</v>
      </c>
      <c r="BL323" s="446">
        <f>IF($E323=0,0,IF(MIN(BL$38,$E323)&lt;MAX($P$34*($B323+$I$38-1),IF(AND($L$37=0,$P$34=0),"",$L$37-1)),0,YEARFRAC(MAX($P$34*($B323+$I$38-1),IF(AND($L$37=0,$P$34=0),"",$L$37-1)),MIN(BL$38,$E323),$P$20))-SUM($BF323:BK323))</f>
        <v>0</v>
      </c>
      <c r="BM323" s="446">
        <f>IF($E323=0,0,IF(MIN(BM$38,$E323)&lt;MAX($P$34*($B323+$I$38-1),IF(AND($L$37=0,$P$34=0),"",$L$37-1)),0,YEARFRAC(MAX($P$34*($B323+$I$38-1),IF(AND($L$37=0,$P$34=0),"",$L$37-1)),MIN(BM$38,$E323),$P$20))-SUM($BF323:BL323))</f>
        <v>0</v>
      </c>
      <c r="BN323" s="446">
        <f>IF($E323=0,0,IF(MIN(BN$38,$E323)&lt;MAX($P$34*($B323+$I$38-1),IF(AND($L$37=0,$P$34=0),"",$L$37-1)),0,YEARFRAC(MAX($P$34*($B323+$I$38-1),IF(AND($L$37=0,$P$34=0),"",$L$37-1)),MIN(BN$38,$E323),$P$20))-SUM($BF323:BM323))</f>
        <v>0</v>
      </c>
      <c r="BO323" s="446">
        <f>IF($E323=0,0,IF(MIN(BO$38,$E323)&lt;MAX($P$34*($B323+$I$38-1),IF(AND($L$37=0,$P$34=0),"",$L$37-1)),0,YEARFRAC(MAX($P$34*($B323+$I$38-1),IF(AND($L$37=0,$P$34=0),"",$L$37-1)),MIN(BO$38,$E323),$P$20))-SUM($BF323:BN323))</f>
        <v>0</v>
      </c>
      <c r="BP323" s="446">
        <f>IF($E323=0,0,IF(MIN(BP$38,$E323)&lt;MAX($P$34*($B323+$I$38-1),IF(AND($L$37=0,$P$34=0),"",$L$37-1)),0,YEARFRAC(MAX($P$34*($B323+$I$38-1),IF(AND($L$37=0,$P$34=0),"",$L$37-1)),MIN(BP$38,$E323),$P$20))-SUM($BF323:BO323))</f>
        <v>0</v>
      </c>
      <c r="BQ323" s="446">
        <f>IF($E323=0,0,IF(MIN(BQ$38,$E323)&lt;MAX($P$34*($B323+$I$38-1),IF(AND($L$37=0,$P$34=0),"",$L$37-1)),0,YEARFRAC(MAX($P$34*($B323+$I$38-1),IF(AND($L$37=0,$P$34=0),"",$L$37-1)),MIN(BQ$38,$E323),$P$20))-SUM($BF323:BP323))</f>
        <v>0</v>
      </c>
      <c r="BR323" s="446">
        <f>IF($E323=0,0,IF(MIN(BR$38,$E323)&lt;MAX($P$34*($B323+$I$38-1),IF(AND($L$37=0,$P$34=0),"",$L$37-1)),0,YEARFRAC(MAX($P$34*($B323+$I$38-1),IF(AND($L$37=0,$P$34=0),"",$L$37-1)),MIN(BR$38,$E323),$P$20))-SUM($BF323:BQ323))</f>
        <v>0</v>
      </c>
      <c r="BS323" s="446">
        <f>IF($E323=0,0,IF(MIN(BS$38,$E323)&lt;MAX($P$34*($B323+$I$38-1),IF(AND($L$37=0,$P$34=0),"",$L$37-1)),0,YEARFRAC(MAX($P$34*($B323+$I$38-1),IF(AND($L$37=0,$P$34=0),"",$L$37-1)),MIN(BS$38,$E323),$P$20))-SUM($BF323:BR323))</f>
        <v>0</v>
      </c>
      <c r="BT323" s="446">
        <f>IF($E323=0,0,IF(MIN(BT$38,$E323)&lt;MAX($P$34*($B323+$I$38-1),IF(AND($L$37=0,$P$34=0),"",$L$37-1)),0,YEARFRAC(MAX($P$34*($B323+$I$38-1),IF(AND($L$37=0,$P$34=0),"",$L$37-1)),MIN(BT$38,$E323),$P$20))-SUM($BF323:BS323))</f>
        <v>0</v>
      </c>
      <c r="BU323" s="446">
        <f>IF($E323=0,0,IF(MIN(BU$38,$E323)&lt;MAX($P$34*($B323+$I$38-1),IF(AND($L$37=0,$P$34=0),"",$L$37-1)),0,YEARFRAC(MAX($P$34*($B323+$I$38-1),IF(AND($L$37=0,$P$34=0),"",$L$37-1)),MIN(BU$38,$E323),$P$20))-SUM($BF323:BT323))</f>
        <v>0</v>
      </c>
      <c r="BV323" s="446">
        <f>IF($E323=0,0,IF(MIN(BV$38,$E323)&lt;MAX($P$34*($B323+$I$38-1),IF(AND($L$37=0,$P$34=0),"",$L$37-1)),0,YEARFRAC(MAX($P$34*($B323+$I$38-1),IF(AND($L$37=0,$P$34=0),"",$L$37-1)),MIN(BV$38,$E323),$P$20))-SUM($BF323:BU323))</f>
        <v>0</v>
      </c>
      <c r="BW323" s="446">
        <f>IF($E323=0,0,IF(MIN(BW$38,$E323)&lt;MAX($P$34*($B323+$I$38-1),IF(AND($L$37=0,$P$34=0),"",$L$37-1)),0,YEARFRAC(MAX($P$34*($B323+$I$38-1),IF(AND($L$37=0,$P$34=0),"",$L$37-1)),MIN(BW$38,$E323),$P$20))-SUM($BF323:BV323))</f>
        <v>0</v>
      </c>
      <c r="BX323" s="446">
        <f>IF($E323=0,0,IF(MIN(BX$38,$E323)&lt;MAX($P$34*($B323+$I$38-1),IF(AND($L$37=0,$P$34=0),"",$L$37-1)),0,YEARFRAC(MAX($P$34*($B323+$I$38-1),IF(AND($L$37=0,$P$34=0),"",$L$37-1)),MIN(BX$38,$E323),$P$20))-SUM($BF323:BW323))</f>
        <v>0</v>
      </c>
      <c r="BY323" s="446">
        <f>IF($E323=0,0,IF(MIN(BY$38,$E323)&lt;MAX($P$34*($B323+$I$38-1),IF(AND($L$37=0,$P$34=0),"",$L$37-1)),0,YEARFRAC(MAX($P$34*($B323+$I$38-1),IF(AND($L$37=0,$P$34=0),"",$L$37-1)),MIN(BY$38,$E323),$P$20))-SUM($BF323:BX323))</f>
        <v>0</v>
      </c>
      <c r="BZ323" s="446">
        <f>IF($E323=0,0,IF(MIN(BZ$38,$E323)&lt;MAX($P$34*($B323+$I$38-1),IF(AND($L$37=0,$P$34=0),"",$L$37-1)),0,YEARFRAC(MAX($P$34*($B323+$I$38-1),IF(AND($L$37=0,$P$34=0),"",$L$37-1)),MIN(BZ$38,$E323),$P$20))-SUM($BF323:BY323))</f>
        <v>0</v>
      </c>
      <c r="CA323" s="446">
        <f>IF($E323=0,0,IF(MIN(CA$38,$E323)&lt;MAX($P$34*($B323+$I$38-1),IF(AND($L$37=0,$P$34=0),"",$L$37-1)),0,YEARFRAC(MAX($P$34*($B323+$I$38-1),IF(AND($L$37=0,$P$34=0),"",$L$37-1)),MIN(CA$38,$E323),$P$20))-SUM($BF323:BZ323))</f>
        <v>0</v>
      </c>
      <c r="CB323" s="446">
        <f>IF($E323=0,0,IF(MIN(CB$38,$E323)&lt;MAX($P$34*($B323+$I$38-1),IF(AND($L$37=0,$P$34=0),"",$L$37-1)),0,YEARFRAC(MAX($P$34*($B323+$I$38-1),IF(AND($L$37=0,$P$34=0),"",$L$37-1)),MIN(CB$38,$E323),$P$20))-SUM($BF323:CA323))</f>
        <v>0</v>
      </c>
      <c r="CC323" s="446">
        <f>IF($E323=0,0,IF(MIN(CC$38,$E323)&lt;MAX($P$34*($B323+$I$38-1),IF(AND($L$37=0,$P$34=0),"",$L$37-1)),0,YEARFRAC(MAX($P$34*($B323+$I$38-1),IF(AND($L$37=0,$P$34=0),"",$L$37-1)),MIN(CC$38,$E323),$P$20))-SUM($BF323:CB323))</f>
        <v>0</v>
      </c>
      <c r="CD323" s="446">
        <f>IF($E323=0,0,IF(MIN(CD$38,$E323)&lt;MAX($P$34*($B323+$I$38-1),IF(AND($L$37=0,$P$34=0),"",$L$37-1)),0,YEARFRAC(MAX($P$34*($B323+$I$38-1),IF(AND($L$37=0,$P$34=0),"",$L$37-1)),MIN(CD$38,$E323),$P$20))-SUM($BF323:CC323))</f>
        <v>0</v>
      </c>
      <c r="CE323" s="446">
        <f>IF($E323=0,0,IF(MIN(CE$38,$E323)&lt;MAX($P$34*($B323+$I$38-1),IF(AND($L$37=0,$P$34=0),"",$L$37-1)),0,YEARFRAC(MAX($P$34*($B323+$I$38-1),IF(AND($L$37=0,$P$34=0),"",$L$37-1)),MIN(CE$38,$E323),$P$20))-SUM($BF323:CD323))</f>
        <v>0</v>
      </c>
      <c r="CF323" s="446">
        <f>IF($E323=0,0,IF(MIN(CF$38,$E323)&lt;MAX($P$34*($B323+$I$38-1),IF(AND($L$37=0,$P$34=0),"",$L$37-1)),0,YEARFRAC(MAX($P$34*($B323+$I$38-1),IF(AND($L$37=0,$P$34=0),"",$L$37-1)),MIN(CF$38,$E323),$P$20))-SUM($BF323:CE323))</f>
        <v>0</v>
      </c>
      <c r="CG323" s="446">
        <f>IF($E323=0,0,IF(MIN(CG$38,$E323)&lt;MAX($P$34*($B323+$I$38-1),IF(AND($L$37=0,$P$34=0),"",$L$37-1)),0,YEARFRAC(MAX($P$34*($B323+$I$38-1),IF(AND($L$37=0,$P$34=0),"",$L$37-1)),MIN(CG$38,$E323),$P$20))-SUM($BF323:CF323))</f>
        <v>0</v>
      </c>
      <c r="CH323" s="446">
        <f>IF($E323=0,0,IF(MIN(CH$38,$E323)&lt;MAX($P$34*($B323+$I$38-1),IF(AND($L$37=0,$P$34=0),"",$L$37-1)),0,YEARFRAC(MAX($P$34*($B323+$I$38-1),IF(AND($L$37=0,$P$34=0),"",$L$37-1)),MIN(CH$38,$E323),$P$20))-SUM($BF323:CG323))</f>
        <v>0</v>
      </c>
      <c r="CI323" s="446">
        <f>IF($E323=0,0,IF(MIN(CI$38,$E323)&lt;MAX($P$34*($B323+$I$38-1),IF(AND($L$37=0,$P$34=0),"",$L$37-1)),0,YEARFRAC(MAX($P$34*($B323+$I$38-1),IF(AND($L$37=0,$P$34=0),"",$L$37-1)),MIN(CI$38,$E323),$P$20))-SUM($BF323:CH323))</f>
        <v>0</v>
      </c>
      <c r="CJ323" s="446">
        <f>IF($E323=0,0,IF(MIN(CJ$38,$E323)&lt;MAX($P$34*($B323+$I$38-1),IF(AND($L$37=0,$P$34=0),"",$L$37-1)),0,YEARFRAC(MAX($P$34*($B323+$I$38-1),IF(AND($L$37=0,$P$34=0),"",$L$37-1)),MIN(CJ$38,$E323),$P$20))-SUM($BF323:CI323))</f>
        <v>0</v>
      </c>
      <c r="CK323" s="446">
        <f>IF($E323=0,0,IF(MIN(CK$38,$E323)&lt;MAX($P$34*($B323+$I$38-1),IF(AND($L$37=0,$P$34=0),"",$L$37-1)),0,YEARFRAC(MAX($P$34*($B323+$I$38-1),IF(AND($L$37=0,$P$34=0),"",$L$37-1)),MIN(CK$38,$E323),$P$20))-SUM($BF323:CJ323))</f>
        <v>0</v>
      </c>
      <c r="CL323" s="446">
        <f>IF($E323=0,0,IF(MIN(CL$38,$E323)&lt;MAX($P$34*($B323+$I$38-1),IF(AND($L$37=0,$P$34=0),"",$L$37-1)),0,YEARFRAC(MAX($P$34*($B323+$I$38-1),IF(AND($L$37=0,$P$34=0),"",$L$37-1)),MIN(CL$38,$E323),$P$20))-SUM($BF323:CK323))</f>
        <v>0</v>
      </c>
      <c r="CM323" s="446">
        <f>IF($E323=0,0,IF(MIN(CM$38,$E323)&lt;MAX($P$34*($B323+$I$38-1),IF(AND($L$37=0,$P$34=0),"",$L$37-1)),0,YEARFRAC(MAX($P$34*($B323+$I$38-1),IF(AND($L$37=0,$P$34=0),"",$L$37-1)),MIN(CM$38,$E323),$P$20))-SUM($BF323:CL323))</f>
        <v>0</v>
      </c>
      <c r="CN323" s="446">
        <f>IF($E323=0,0,IF(MIN(CN$38,$E323)&lt;MAX($P$34*($B323+$I$38-1),IF(AND($L$37=0,$P$34=0),"",$L$37-1)),0,YEARFRAC(MAX($P$34*($B323+$I$38-1),IF(AND($L$37=0,$P$34=0),"",$L$37-1)),MIN(CN$38,$E323),$P$20))-SUM($BF323:CM323))</f>
        <v>0</v>
      </c>
      <c r="CO323" s="446">
        <f>IF($E323=0,0,IF(MIN(CO$38,$E323)&lt;MAX($P$34*($B323+$I$38-1),IF(AND($L$37=0,$P$34=0),"",$L$37-1)),0,YEARFRAC(MAX($P$34*($B323+$I$38-1),IF(AND($L$37=0,$P$34=0),"",$L$37-1)),MIN(CO$38,$E323),$P$20))-SUM($BF323:CN323))</f>
        <v>0</v>
      </c>
      <c r="CP323" s="446">
        <f>IF($E323=0,0,IF(MIN(CP$38,$E323)&lt;MAX($P$34*($B323+$I$38-1),IF(AND($L$37=0,$P$34=0),"",$L$37-1)),0,YEARFRAC(MAX($P$34*($B323+$I$38-1),IF(AND($L$37=0,$P$34=0),"",$L$37-1)),MIN(CP$38,$E323),$P$20))-SUM($BF323:CO323))</f>
        <v>0</v>
      </c>
      <c r="CQ323" s="446">
        <f>IF($E323=0,0,IF(MIN(CQ$38,$E323)&lt;MAX($P$34*($B323+$I$38-1),IF(AND($L$37=0,$P$34=0),"",$L$37-1)),0,YEARFRAC(MAX($P$34*($B323+$I$38-1),IF(AND($L$37=0,$P$34=0),"",$L$37-1)),MIN(CQ$38,$E323),$P$20))-SUM($BF323:CP323))</f>
        <v>0</v>
      </c>
    </row>
    <row r="324" spans="1:95" s="446" customFormat="1" ht="11.25" hidden="1" customHeight="1" x14ac:dyDescent="0.2">
      <c r="A324" s="152"/>
      <c r="B324" s="153" t="str">
        <f t="shared" si="59"/>
        <v/>
      </c>
      <c r="C324" s="29" t="str">
        <f>IF(B324="","",IF($L$35="SELIC - TRIBUTOS",VLOOKUP(DATE(YEAR($D$19),MONTH($D$19)-1,1),ÍNDICES!$A:$DE,HLOOKUP($BL$25,ÍNDICES!$B$3:$T$4,2)+11)-VLOOKUP(B324,ÍNDICES!$A:$DE,HLOOKUP($BL$25,ÍNDICES!$B$3:$T$4,2)+11)+1%,IF(C$38=$W$26,$J$35,IF(ISERROR(IF(B324&gt;$D$19,1,VLOOKUP(DATE(YEAR(B324),MONTH(B324)+IF($C$35=$S$23,1,0),1),ÍNDICES!$A:$DE,$Z$35+1))),"",IF(B324&gt;$D$19,1,VLOOKUP(DATE(YEAR(B324),MONTH(B324)+IF($C$35=$S$23,1,0),1),ÍNDICES!$A:$DE,$Z$35+1))))))</f>
        <v/>
      </c>
      <c r="D324" s="154" t="str">
        <f>IF(ISERROR(IF(OR($D$38=$Y$27,$B324=""),"",VLOOKUP(B324,ÍNDICES!A:DE,AF$35+1))),"",IF(OR($D$38=$Y$27,$B324=""),"",VLOOKUP(B324,ÍNDICES!A:DE,AF$35+1)))</f>
        <v/>
      </c>
      <c r="E324" s="153"/>
      <c r="F324" s="29" t="str">
        <f>IF(E324="","",IF($L$35="SELIC - TRIBUTOS",VLOOKUP(DATE(YEAR($D$19),MONTH($D$19)-1,1),ÍNDICES!$A:$DE,HLOOKUP($BL$25,ÍNDICES!$B$3:$T$4,2)+11)-VLOOKUP(E324,ÍNDICES!$A:$DE,HLOOKUP($BL$25,ÍNDICES!$B$3:$T$4,2)+11)+1%,IF(F$38=$W$26,$J$35,IF(ISERROR(IF(E324&gt;$D$19,1,VLOOKUP(DATE(YEAR(E324),MONTH(E324)+IF($C$35=$S$23,1,0),1),ÍNDICES!$A:$DE,$Z$35+1))),"",IF(E324&gt;$D$19,1,VLOOKUP(DATE(YEAR(E324),MONTH(E324)+IF($C$35=$S$23,1,0),1),ÍNDICES!$A:$DE,$Z$35+1))))))</f>
        <v/>
      </c>
      <c r="G324" s="155"/>
      <c r="H324" s="156" t="str">
        <f t="shared" si="55"/>
        <v/>
      </c>
      <c r="I324" s="29" t="str">
        <f t="shared" si="49"/>
        <v/>
      </c>
      <c r="J324" s="5">
        <f t="shared" si="50"/>
        <v>0</v>
      </c>
      <c r="K324" s="20">
        <f t="shared" ca="1" si="51"/>
        <v>0</v>
      </c>
      <c r="L324" s="5">
        <f t="shared" ca="1" si="52"/>
        <v>0</v>
      </c>
      <c r="M324" s="64">
        <f t="shared" si="56"/>
        <v>0</v>
      </c>
      <c r="N324" s="61">
        <f t="shared" ca="1" si="57"/>
        <v>0</v>
      </c>
      <c r="O324" s="5">
        <f t="shared" ca="1" si="58"/>
        <v>0</v>
      </c>
      <c r="P324" s="446" t="e">
        <f t="shared" si="53"/>
        <v>#VALUE!</v>
      </c>
      <c r="Q324" s="446" t="e">
        <f>IF(OR($B324="",MIN(Q$38,$D$19)&lt;MAX($P$34*($B324+IF($R$17="Distrato",$I$38-1,0)),IF(AND($L$37=0,$P$34=0),"",$L$37-1),IF($R$17="Distrato",$E324,0))),0,YEARFRAC(MAX($P$34*($B324+IF($R$17="Distrato",$I$38-1,0)),IF(AND($L$37=0,$P$34=0),"",$L$37-1),IF($R$17="Distrato",$E324,0)),MIN(Q$38,$D$19),$P$20))-SUM($P324:P324)</f>
        <v>#VALUE!</v>
      </c>
      <c r="R324" s="446" t="e">
        <f>IF(OR($B324="",MIN(R$38,$D$19)&lt;MAX($P$34*($B324+IF($R$17="Distrato",$I$38-1,0)),IF(AND($L$37=0,$P$34=0),"",$L$37-1),IF($R$17="Distrato",$E324,0))),0,YEARFRAC(MAX($P$34*($B324+IF($R$17="Distrato",$I$38-1,0)),IF(AND($L$37=0,$P$34=0),"",$L$37-1),IF($R$17="Distrato",$E324,0)),MIN(R$38,$D$19),$P$20))-SUM($P324:Q324)</f>
        <v>#VALUE!</v>
      </c>
      <c r="S324" s="446" t="e">
        <f>IF(OR($B324="",MIN(S$38,$D$19)&lt;MAX($P$34*($B324+IF($R$17="Distrato",$I$38-1,0)),IF(AND($L$37=0,$P$34=0),"",$L$37-1),IF($R$17="Distrato",$E324,0))),0,YEARFRAC(MAX($P$34*($B324+IF($R$17="Distrato",$I$38-1,0)),IF(AND($L$37=0,$P$34=0),"",$L$37-1),IF($R$17="Distrato",$E324,0)),MIN(S$38,$D$19),$P$20))-SUM($P324:R324)</f>
        <v>#VALUE!</v>
      </c>
      <c r="T324" s="446" t="e">
        <f>IF(OR($B324="",MIN(T$38,$D$19)&lt;MAX($P$34*($B324+IF($R$17="Distrato",$I$38-1,0)),IF(AND($L$37=0,$P$34=0),"",$L$37-1),IF($R$17="Distrato",$E324,0))),0,YEARFRAC(MAX($P$34*($B324+IF($R$17="Distrato",$I$38-1,0)),IF(AND($L$37=0,$P$34=0),"",$L$37-1),IF($R$17="Distrato",$E324,0)),MIN(T$38,$D$19),$P$20))-SUM($P324:S324)</f>
        <v>#VALUE!</v>
      </c>
      <c r="U324" s="446" t="e">
        <f>IF(OR($B324="",MIN(U$38,$D$19)&lt;MAX($P$34*($B324+IF($R$17="Distrato",$I$38-1,0)),IF(AND($L$37=0,$P$34=0),"",$L$37-1),IF($R$17="Distrato",$E324,0))),0,YEARFRAC(MAX($P$34*($B324+IF($R$17="Distrato",$I$38-1,0)),IF(AND($L$37=0,$P$34=0),"",$L$37-1),IF($R$17="Distrato",$E324,0)),MIN(U$38,$D$19),$P$20))-SUM($P324:T324)</f>
        <v>#VALUE!</v>
      </c>
      <c r="V324" s="446" t="e">
        <f>IF(OR($B324="",MIN(V$38,$D$19)&lt;MAX($P$34*($B324+IF($R$17="Distrato",$I$38-1,0)),IF(AND($L$37=0,$P$34=0),"",$L$37-1),IF($R$17="Distrato",$E324,0))),0,YEARFRAC(MAX($P$34*($B324+IF($R$17="Distrato",$I$38-1,0)),IF(AND($L$37=0,$P$34=0),"",$L$37-1),IF($R$17="Distrato",$E324,0)),MIN(V$38,$D$19),$P$20))-SUM($P324:U324)</f>
        <v>#VALUE!</v>
      </c>
      <c r="W324" s="446" t="e">
        <f>IF(OR($B324="",MIN(W$38,$D$19)&lt;MAX($P$34*($B324+IF($R$17="Distrato",$I$38-1,0)),IF(AND($L$37=0,$P$34=0),"",$L$37-1),IF($R$17="Distrato",$E324,0))),0,YEARFRAC(MAX($P$34*($B324+IF($R$17="Distrato",$I$38-1,0)),IF(AND($L$37=0,$P$34=0),"",$L$37-1),IF($R$17="Distrato",$E324,0)),MIN(W$38,$D$19),$P$20))-SUM($P324:V324)</f>
        <v>#VALUE!</v>
      </c>
      <c r="X324" s="446" t="e">
        <f>IF(OR($B324="",MIN(X$38,$D$19)&lt;MAX($P$34*($B324+IF($R$17="Distrato",$I$38-1,0)),IF(AND($L$37=0,$P$34=0),"",$L$37-1),IF($R$17="Distrato",$E324,0))),0,YEARFRAC(MAX($P$34*($B324+IF($R$17="Distrato",$I$38-1,0)),IF(AND($L$37=0,$P$34=0),"",$L$37-1),IF($R$17="Distrato",$E324,0)),MIN(X$38,$D$19),$P$20))-SUM($P324:W324)</f>
        <v>#VALUE!</v>
      </c>
      <c r="Y324" s="446" t="e">
        <f>IF(OR($B324="",MIN(Y$38,$D$19)&lt;MAX($P$34*($B324+IF($R$17="Distrato",$I$38-1,0)),IF(AND($L$37=0,$P$34=0),"",$L$37-1),IF($R$17="Distrato",$E324,0))),0,YEARFRAC(MAX($P$34*($B324+IF($R$17="Distrato",$I$38-1,0)),IF(AND($L$37=0,$P$34=0),"",$L$37-1),IF($R$17="Distrato",$E324,0)),MIN(Y$38,$D$19),$P$20))-SUM($P324:X324)</f>
        <v>#VALUE!</v>
      </c>
      <c r="Z324" s="446" t="e">
        <f>IF(OR($B324="",MIN(Z$38,$D$19)&lt;MAX($P$34*($B324+IF($R$17="Distrato",$I$38-1,0)),IF(AND($L$37=0,$P$34=0),"",$L$37-1),IF($R$17="Distrato",$E324,0))),0,YEARFRAC(MAX($P$34*($B324+IF($R$17="Distrato",$I$38-1,0)),IF(AND($L$37=0,$P$34=0),"",$L$37-1),IF($R$17="Distrato",$E324,0)),MIN(Z$38,$D$19),$P$20))-SUM($P324:Y324)</f>
        <v>#VALUE!</v>
      </c>
      <c r="AA324" s="446" t="e">
        <f>IF(OR($B324="",MIN(AA$38,$D$19)&lt;MAX($P$34*($B324+IF($R$17="Distrato",$I$38-1,0)),IF(AND($L$37=0,$P$34=0),"",$L$37-1),IF($R$17="Distrato",$E324,0))),0,YEARFRAC(MAX($P$34*($B324+IF($R$17="Distrato",$I$38-1,0)),IF(AND($L$37=0,$P$34=0),"",$L$37-1),IF($R$17="Distrato",$E324,0)),MIN(AA$38,$D$19),$P$20))-SUM($P324:Z324)</f>
        <v>#VALUE!</v>
      </c>
      <c r="AB324" s="446" t="e">
        <f>IF(OR($B324="",MIN(AB$38,$D$19)&lt;MAX($P$34*($B324+IF($R$17="Distrato",$I$38-1,0)),IF(AND($L$37=0,$P$34=0),"",$L$37-1),IF($R$17="Distrato",$E324,0))),0,YEARFRAC(MAX($P$34*($B324+IF($R$17="Distrato",$I$38-1,0)),IF(AND($L$37=0,$P$34=0),"",$L$37-1),IF($R$17="Distrato",$E324,0)),MIN(AB$38,$D$19),$P$20))-SUM($P324:AA324)</f>
        <v>#VALUE!</v>
      </c>
      <c r="AC324" s="446" t="e">
        <f>IF(OR($B324="",MIN(AC$38,$D$19)&lt;MAX($P$34*($B324+IF($R$17="Distrato",$I$38-1,0)),IF(AND($L$37=0,$P$34=0),"",$L$37-1),IF($R$17="Distrato",$E324,0))),0,YEARFRAC(MAX($P$34*($B324+IF($R$17="Distrato",$I$38-1,0)),IF(AND($L$37=0,$P$34=0),"",$L$37-1),IF($R$17="Distrato",$E324,0)),MIN(AC$38,$D$19),$P$20))-SUM($P324:AB324)</f>
        <v>#VALUE!</v>
      </c>
      <c r="AD324" s="446" t="e">
        <f>IF(OR($B324="",MIN(AD$38,$D$19)&lt;MAX($P$34*($B324+IF($R$17="Distrato",$I$38-1,0)),IF(AND($L$37=0,$P$34=0),"",$L$37-1),IF($R$17="Distrato",$E324,0))),0,YEARFRAC(MAX($P$34*($B324+IF($R$17="Distrato",$I$38-1,0)),IF(AND($L$37=0,$P$34=0),"",$L$37-1),IF($R$17="Distrato",$E324,0)),MIN(AD$38,$D$19),$P$20))-SUM($P324:AC324)</f>
        <v>#VALUE!</v>
      </c>
      <c r="AE324" s="446" t="e">
        <f>IF(OR($B324="",MIN(AE$38,$D$19)&lt;MAX($P$34*($B324+IF($R$17="Distrato",$I$38-1,0)),IF(AND($L$37=0,$P$34=0),"",$L$37-1),IF($R$17="Distrato",$E324,0))),0,YEARFRAC(MAX($P$34*($B324+IF($R$17="Distrato",$I$38-1,0)),IF(AND($L$37=0,$P$34=0),"",$L$37-1),IF($R$17="Distrato",$E324,0)),MIN(AE$38,$D$19),$P$20))-SUM($P324:AD324)</f>
        <v>#VALUE!</v>
      </c>
      <c r="AF324" s="446" t="e">
        <f>IF(OR($B324="",MIN(AF$38,$D$19)&lt;MAX($P$34*($B324+IF($R$17="Distrato",$I$38-1,0)),IF(AND($L$37=0,$P$34=0),"",$L$37-1),IF($R$17="Distrato",$E324,0))),0,YEARFRAC(MAX($P$34*($B324+IF($R$17="Distrato",$I$38-1,0)),IF(AND($L$37=0,$P$34=0),"",$L$37-1),IF($R$17="Distrato",$E324,0)),MIN(AF$38,$D$19),$P$20))-SUM($P324:AE324)</f>
        <v>#VALUE!</v>
      </c>
      <c r="AG324" s="446" t="e">
        <f>IF(OR($B324="",MIN(AG$38,$D$19)&lt;MAX($P$34*($B324+IF($R$17="Distrato",$I$38-1,0)),IF(AND($L$37=0,$P$34=0),"",$L$37-1),IF($R$17="Distrato",$E324,0))),0,YEARFRAC(MAX($P$34*($B324+IF($R$17="Distrato",$I$38-1,0)),IF(AND($L$37=0,$P$34=0),"",$L$37-1),IF($R$17="Distrato",$E324,0)),MIN(AG$38,$D$19),$P$20))-SUM($P324:AF324)</f>
        <v>#VALUE!</v>
      </c>
      <c r="AH324" s="446" t="e">
        <f>IF(OR($B324="",MIN(AH$38,$D$19)&lt;MAX($P$34*($B324+IF($R$17="Distrato",$I$38-1,0)),IF(AND($L$37=0,$P$34=0),"",$L$37-1),IF($R$17="Distrato",$E324,0))),0,YEARFRAC(MAX($P$34*($B324+IF($R$17="Distrato",$I$38-1,0)),IF(AND($L$37=0,$P$34=0),"",$L$37-1),IF($R$17="Distrato",$E324,0)),MIN(AH$38,$D$19),$P$20))-SUM($P324:AG324)</f>
        <v>#VALUE!</v>
      </c>
      <c r="AI324" s="446" t="e">
        <f>IF(OR($B324="",MIN(AI$38,$D$19)&lt;MAX($P$34*($B324+IF($R$17="Distrato",$I$38-1,0)),IF(AND($L$37=0,$P$34=0),"",$L$37-1),IF($R$17="Distrato",$E324,0))),0,YEARFRAC(MAX($P$34*($B324+IF($R$17="Distrato",$I$38-1,0)),IF(AND($L$37=0,$P$34=0),"",$L$37-1),IF($R$17="Distrato",$E324,0)),MIN(AI$38,$D$19),$P$20))-SUM($P324:AH324)</f>
        <v>#VALUE!</v>
      </c>
      <c r="AJ324" s="446" t="e">
        <f>IF(OR($B324="",MIN(AJ$38,$D$19)&lt;MAX($P$34*($B324+IF($R$17="Distrato",$I$38-1,0)),IF(AND($L$37=0,$P$34=0),"",$L$37-1),IF($R$17="Distrato",$E324,0))),0,YEARFRAC(MAX($P$34*($B324+IF($R$17="Distrato",$I$38-1,0)),IF(AND($L$37=0,$P$34=0),"",$L$37-1),IF($R$17="Distrato",$E324,0)),MIN(AJ$38,$D$19),$P$20))-SUM($P324:AI324)</f>
        <v>#VALUE!</v>
      </c>
      <c r="AK324" s="446" t="e">
        <f>IF(OR($B324="",MIN(AK$38,$D$19)&lt;MAX($P$34*($B324+IF($R$17="Distrato",$I$38-1,0)),IF(AND($L$37=0,$P$34=0),"",$L$37-1),IF($R$17="Distrato",$E324,0))),0,YEARFRAC(MAX($P$34*($B324+IF($R$17="Distrato",$I$38-1,0)),IF(AND($L$37=0,$P$34=0),"",$L$37-1),IF($R$17="Distrato",$E324,0)),MIN(AK$38,$D$19),$P$20))-SUM($P324:AJ324)</f>
        <v>#VALUE!</v>
      </c>
      <c r="AL324" s="446" t="e">
        <f>IF(OR($B324="",MIN(AL$38,$D$19)&lt;MAX($P$34*($B324+IF($R$17="Distrato",$I$38-1,0)),IF(AND($L$37=0,$P$34=0),"",$L$37-1),IF($R$17="Distrato",$E324,0))),0,YEARFRAC(MAX($P$34*($B324+IF($R$17="Distrato",$I$38-1,0)),IF(AND($L$37=0,$P$34=0),"",$L$37-1),IF($R$17="Distrato",$E324,0)),MIN(AL$38,$D$19),$P$20))-SUM($P324:AK324)</f>
        <v>#VALUE!</v>
      </c>
      <c r="AM324" s="446" t="e">
        <f>IF(OR($B324="",MIN(AM$38,$D$19)&lt;MAX($P$34*($B324+IF($R$17="Distrato",$I$38-1,0)),IF(AND($L$37=0,$P$34=0),"",$L$37-1),IF($R$17="Distrato",$E324,0))),0,YEARFRAC(MAX($P$34*($B324+IF($R$17="Distrato",$I$38-1,0)),IF(AND($L$37=0,$P$34=0),"",$L$37-1),IF($R$17="Distrato",$E324,0)),MIN(AM$38,$D$19),$P$20))-SUM($P324:AL324)</f>
        <v>#VALUE!</v>
      </c>
      <c r="AN324" s="446" t="e">
        <f>IF(OR($B324="",MIN(AN$38,$D$19)&lt;MAX($P$34*($B324+IF($R$17="Distrato",$I$38-1,0)),IF(AND($L$37=0,$P$34=0),"",$L$37-1),IF($R$17="Distrato",$E324,0))),0,YEARFRAC(MAX($P$34*($B324+IF($R$17="Distrato",$I$38-1,0)),IF(AND($L$37=0,$P$34=0),"",$L$37-1),IF($R$17="Distrato",$E324,0)),MIN(AN$38,$D$19),$P$20))-SUM($P324:AM324)</f>
        <v>#VALUE!</v>
      </c>
      <c r="AO324" s="446" t="e">
        <f>IF(OR($B324="",MIN(AO$38,$D$19)&lt;MAX($P$34*($B324+IF($R$17="Distrato",$I$38-1,0)),IF(AND($L$37=0,$P$34=0),"",$L$37-1),IF($R$17="Distrato",$E324,0))),0,YEARFRAC(MAX($P$34*($B324+IF($R$17="Distrato",$I$38-1,0)),IF(AND($L$37=0,$P$34=0),"",$L$37-1),IF($R$17="Distrato",$E324,0)),MIN(AO$38,$D$19),$P$20))-SUM($P324:AN324)</f>
        <v>#VALUE!</v>
      </c>
      <c r="AP324" s="446" t="e">
        <f>IF(OR($B324="",MIN(AP$38,$D$19)&lt;MAX($P$34*($B324+IF($R$17="Distrato",$I$38-1,0)),IF(AND($L$37=0,$P$34=0),"",$L$37-1),IF($R$17="Distrato",$E324,0))),0,YEARFRAC(MAX($P$34*($B324+IF($R$17="Distrato",$I$38-1,0)),IF(AND($L$37=0,$P$34=0),"",$L$37-1),IF($R$17="Distrato",$E324,0)),MIN(AP$38,$D$19),$P$20))-SUM($P324:AO324)</f>
        <v>#VALUE!</v>
      </c>
      <c r="AQ324" s="446" t="e">
        <f>IF(OR($B324="",MIN(AQ$38,$D$19)&lt;MAX($P$34*($B324+IF($R$17="Distrato",$I$38-1,0)),IF(AND($L$37=0,$P$34=0),"",$L$37-1),IF($R$17="Distrato",$E324,0))),0,YEARFRAC(MAX($P$34*($B324+IF($R$17="Distrato",$I$38-1,0)),IF(AND($L$37=0,$P$34=0),"",$L$37-1),IF($R$17="Distrato",$E324,0)),MIN(AQ$38,$D$19),$P$20))-SUM($P324:AP324)</f>
        <v>#VALUE!</v>
      </c>
      <c r="AR324" s="446" t="e">
        <f>IF(OR($B324="",MIN(AR$38,$D$19)&lt;MAX($P$34*($B324+IF($R$17="Distrato",$I$38-1,0)),IF(AND($L$37=0,$P$34=0),"",$L$37-1),IF($R$17="Distrato",$E324,0))),0,YEARFRAC(MAX($P$34*($B324+IF($R$17="Distrato",$I$38-1,0)),IF(AND($L$37=0,$P$34=0),"",$L$37-1),IF($R$17="Distrato",$E324,0)),MIN(AR$38,$D$19),$P$20))-SUM($P324:AQ324)</f>
        <v>#VALUE!</v>
      </c>
      <c r="AS324" s="446" t="e">
        <f>IF(OR($B324="",MIN(AS$38,$D$19)&lt;MAX($P$34*($B324+IF($R$17="Distrato",$I$38-1,0)),IF(AND($L$37=0,$P$34=0),"",$L$37-1),IF($R$17="Distrato",$E324,0))),0,YEARFRAC(MAX($P$34*($B324+IF($R$17="Distrato",$I$38-1,0)),IF(AND($L$37=0,$P$34=0),"",$L$37-1),IF($R$17="Distrato",$E324,0)),MIN(AS$38,$D$19),$P$20))-SUM($P324:AR324)</f>
        <v>#VALUE!</v>
      </c>
      <c r="AT324" s="446" t="e">
        <f>IF(OR($B324="",MIN(AT$38,$D$19)&lt;MAX($P$34*($B324+IF($R$17="Distrato",$I$38-1,0)),IF(AND($L$37=0,$P$34=0),"",$L$37-1),IF($R$17="Distrato",$E324,0))),0,YEARFRAC(MAX($P$34*($B324+IF($R$17="Distrato",$I$38-1,0)),IF(AND($L$37=0,$P$34=0),"",$L$37-1),IF($R$17="Distrato",$E324,0)),MIN(AT$38,$D$19),$P$20))-SUM($P324:AS324)</f>
        <v>#VALUE!</v>
      </c>
      <c r="AU324" s="446" t="e">
        <f>IF(OR($B324="",MIN(AU$38,$D$19)&lt;MAX($P$34*($B324+IF($R$17="Distrato",$I$38-1,0)),IF(AND($L$37=0,$P$34=0),"",$L$37-1),IF($R$17="Distrato",$E324,0))),0,YEARFRAC(MAX($P$34*($B324+IF($R$17="Distrato",$I$38-1,0)),IF(AND($L$37=0,$P$34=0),"",$L$37-1),IF($R$17="Distrato",$E324,0)),MIN(AU$38,$D$19),$P$20))-SUM($P324:AT324)</f>
        <v>#VALUE!</v>
      </c>
      <c r="AV324" s="446" t="e">
        <f>IF(OR($B324="",MIN(AV$38,$D$19)&lt;MAX($P$34*($B324+IF($R$17="Distrato",$I$38-1,0)),IF(AND($L$37=0,$P$34=0),"",$L$37-1),IF($R$17="Distrato",$E324,0))),0,YEARFRAC(MAX($P$34*($B324+IF($R$17="Distrato",$I$38-1,0)),IF(AND($L$37=0,$P$34=0),"",$L$37-1),IF($R$17="Distrato",$E324,0)),MIN(AV$38,$D$19),$P$20))-SUM($P324:AU324)</f>
        <v>#VALUE!</v>
      </c>
      <c r="AW324" s="446" t="e">
        <f>IF(OR($B324="",MIN(AW$38,$D$19)&lt;MAX($P$34*($B324+IF($R$17="Distrato",$I$38-1,0)),IF(AND($L$37=0,$P$34=0),"",$L$37-1),IF($R$17="Distrato",$E324,0))),0,YEARFRAC(MAX($P$34*($B324+IF($R$17="Distrato",$I$38-1,0)),IF(AND($L$37=0,$P$34=0),"",$L$37-1),IF($R$17="Distrato",$E324,0)),MIN(AW$38,$D$19),$P$20))-SUM($P324:AV324)</f>
        <v>#VALUE!</v>
      </c>
      <c r="AX324" s="446" t="e">
        <f>IF(OR($B324="",MIN(AX$38,$D$19)&lt;MAX($P$34*($B324+IF($R$17="Distrato",$I$38-1,0)),IF(AND($L$37=0,$P$34=0),"",$L$37-1),IF($R$17="Distrato",$E324,0))),0,YEARFRAC(MAX($P$34*($B324+IF($R$17="Distrato",$I$38-1,0)),IF(AND($L$37=0,$P$34=0),"",$L$37-1),IF($R$17="Distrato",$E324,0)),MIN(AX$38,$D$19),$P$20))-SUM($P324:AW324)</f>
        <v>#VALUE!</v>
      </c>
      <c r="AY324" s="446" t="e">
        <f>IF(OR($B324="",MIN(AY$38,$D$19)&lt;MAX($P$34*($B324+IF($R$17="Distrato",$I$38-1,0)),IF(AND($L$37=0,$P$34=0),"",$L$37-1),IF($R$17="Distrato",$E324,0))),0,YEARFRAC(MAX($P$34*($B324+IF($R$17="Distrato",$I$38-1,0)),IF(AND($L$37=0,$P$34=0),"",$L$37-1),IF($R$17="Distrato",$E324,0)),MIN(AY$38,$D$19),$P$20))-SUM($P324:AX324)</f>
        <v>#VALUE!</v>
      </c>
      <c r="AZ324" s="446" t="e">
        <f>IF(OR($B324="",MIN(AZ$38,$D$19)&lt;MAX($P$34*($B324+IF($R$17="Distrato",$I$38-1,0)),IF(AND($L$37=0,$P$34=0),"",$L$37-1),IF($R$17="Distrato",$E324,0))),0,YEARFRAC(MAX($P$34*($B324+IF($R$17="Distrato",$I$38-1,0)),IF(AND($L$37=0,$P$34=0),"",$L$37-1),IF($R$17="Distrato",$E324,0)),MIN(AZ$38,$D$19),$P$20))-SUM($P324:AY324)</f>
        <v>#VALUE!</v>
      </c>
      <c r="BA324" s="446" t="e">
        <f>IF(OR($B324="",MIN(BA$38,$D$19)&lt;MAX($P$34*($B324+IF($R$17="Distrato",$I$38-1,0)),IF(AND($L$37=0,$P$34=0),"",$L$37-1),IF($R$17="Distrato",$E324,0))),0,YEARFRAC(MAX($P$34*($B324+IF($R$17="Distrato",$I$38-1,0)),IF(AND($L$37=0,$P$34=0),"",$L$37-1),IF($R$17="Distrato",$E324,0)),MIN(BA$38,$D$19),$P$20))-SUM($P324:AZ324)</f>
        <v>#VALUE!</v>
      </c>
      <c r="BB324" s="447"/>
      <c r="BF324" s="446">
        <f t="shared" si="54"/>
        <v>0</v>
      </c>
      <c r="BG324" s="446">
        <f>IF($E324=0,0,IF(MIN(BG$38,$E324)&lt;MAX($P$34*($B324+$I$38-1),IF(AND($L$37=0,$P$34=0),"",$L$37-1)),0,YEARFRAC(MAX($P$34*($B324+$I$38-1),IF(AND($L$37=0,$P$34=0),"",$L$37-1)),MIN(BG$38,$E324),$P$20))-SUM($BF324:BF324))</f>
        <v>0</v>
      </c>
      <c r="BH324" s="446">
        <f>IF($E324=0,0,IF(MIN(BH$38,$E324)&lt;MAX($P$34*($B324+$I$38-1),IF(AND($L$37=0,$P$34=0),"",$L$37-1)),0,YEARFRAC(MAX($P$34*($B324+$I$38-1),IF(AND($L$37=0,$P$34=0),"",$L$37-1)),MIN(BH$38,$E324),$P$20))-SUM($BF324:BG324))</f>
        <v>0</v>
      </c>
      <c r="BI324" s="446">
        <f>IF($E324=0,0,IF(MIN(BI$38,$E324)&lt;MAX($P$34*($B324+$I$38-1),IF(AND($L$37=0,$P$34=0),"",$L$37-1)),0,YEARFRAC(MAX($P$34*($B324+$I$38-1),IF(AND($L$37=0,$P$34=0),"",$L$37-1)),MIN(BI$38,$E324),$P$20))-SUM($BF324:BH324))</f>
        <v>0</v>
      </c>
      <c r="BJ324" s="446">
        <f>IF($E324=0,0,IF(MIN(BJ$38,$E324)&lt;MAX($P$34*($B324+$I$38-1),IF(AND($L$37=0,$P$34=0),"",$L$37-1)),0,YEARFRAC(MAX($P$34*($B324+$I$38-1),IF(AND($L$37=0,$P$34=0),"",$L$37-1)),MIN(BJ$38,$E324),$P$20))-SUM($BF324:BI324))</f>
        <v>0</v>
      </c>
      <c r="BK324" s="446">
        <f>IF($E324=0,0,IF(MIN(BK$38,$E324)&lt;MAX($P$34*($B324+$I$38-1),IF(AND($L$37=0,$P$34=0),"",$L$37-1)),0,YEARFRAC(MAX($P$34*($B324+$I$38-1),IF(AND($L$37=0,$P$34=0),"",$L$37-1)),MIN(BK$38,$E324),$P$20))-SUM($BF324:BJ324))</f>
        <v>0</v>
      </c>
      <c r="BL324" s="446">
        <f>IF($E324=0,0,IF(MIN(BL$38,$E324)&lt;MAX($P$34*($B324+$I$38-1),IF(AND($L$37=0,$P$34=0),"",$L$37-1)),0,YEARFRAC(MAX($P$34*($B324+$I$38-1),IF(AND($L$37=0,$P$34=0),"",$L$37-1)),MIN(BL$38,$E324),$P$20))-SUM($BF324:BK324))</f>
        <v>0</v>
      </c>
      <c r="BM324" s="446">
        <f>IF($E324=0,0,IF(MIN(BM$38,$E324)&lt;MAX($P$34*($B324+$I$38-1),IF(AND($L$37=0,$P$34=0),"",$L$37-1)),0,YEARFRAC(MAX($P$34*($B324+$I$38-1),IF(AND($L$37=0,$P$34=0),"",$L$37-1)),MIN(BM$38,$E324),$P$20))-SUM($BF324:BL324))</f>
        <v>0</v>
      </c>
      <c r="BN324" s="446">
        <f>IF($E324=0,0,IF(MIN(BN$38,$E324)&lt;MAX($P$34*($B324+$I$38-1),IF(AND($L$37=0,$P$34=0),"",$L$37-1)),0,YEARFRAC(MAX($P$34*($B324+$I$38-1),IF(AND($L$37=0,$P$34=0),"",$L$37-1)),MIN(BN$38,$E324),$P$20))-SUM($BF324:BM324))</f>
        <v>0</v>
      </c>
      <c r="BO324" s="446">
        <f>IF($E324=0,0,IF(MIN(BO$38,$E324)&lt;MAX($P$34*($B324+$I$38-1),IF(AND($L$37=0,$P$34=0),"",$L$37-1)),0,YEARFRAC(MAX($P$34*($B324+$I$38-1),IF(AND($L$37=0,$P$34=0),"",$L$37-1)),MIN(BO$38,$E324),$P$20))-SUM($BF324:BN324))</f>
        <v>0</v>
      </c>
      <c r="BP324" s="446">
        <f>IF($E324=0,0,IF(MIN(BP$38,$E324)&lt;MAX($P$34*($B324+$I$38-1),IF(AND($L$37=0,$P$34=0),"",$L$37-1)),0,YEARFRAC(MAX($P$34*($B324+$I$38-1),IF(AND($L$37=0,$P$34=0),"",$L$37-1)),MIN(BP$38,$E324),$P$20))-SUM($BF324:BO324))</f>
        <v>0</v>
      </c>
      <c r="BQ324" s="446">
        <f>IF($E324=0,0,IF(MIN(BQ$38,$E324)&lt;MAX($P$34*($B324+$I$38-1),IF(AND($L$37=0,$P$34=0),"",$L$37-1)),0,YEARFRAC(MAX($P$34*($B324+$I$38-1),IF(AND($L$37=0,$P$34=0),"",$L$37-1)),MIN(BQ$38,$E324),$P$20))-SUM($BF324:BP324))</f>
        <v>0</v>
      </c>
      <c r="BR324" s="446">
        <f>IF($E324=0,0,IF(MIN(BR$38,$E324)&lt;MAX($P$34*($B324+$I$38-1),IF(AND($L$37=0,$P$34=0),"",$L$37-1)),0,YEARFRAC(MAX($P$34*($B324+$I$38-1),IF(AND($L$37=0,$P$34=0),"",$L$37-1)),MIN(BR$38,$E324),$P$20))-SUM($BF324:BQ324))</f>
        <v>0</v>
      </c>
      <c r="BS324" s="446">
        <f>IF($E324=0,0,IF(MIN(BS$38,$E324)&lt;MAX($P$34*($B324+$I$38-1),IF(AND($L$37=0,$P$34=0),"",$L$37-1)),0,YEARFRAC(MAX($P$34*($B324+$I$38-1),IF(AND($L$37=0,$P$34=0),"",$L$37-1)),MIN(BS$38,$E324),$P$20))-SUM($BF324:BR324))</f>
        <v>0</v>
      </c>
      <c r="BT324" s="446">
        <f>IF($E324=0,0,IF(MIN(BT$38,$E324)&lt;MAX($P$34*($B324+$I$38-1),IF(AND($L$37=0,$P$34=0),"",$L$37-1)),0,YEARFRAC(MAX($P$34*($B324+$I$38-1),IF(AND($L$37=0,$P$34=0),"",$L$37-1)),MIN(BT$38,$E324),$P$20))-SUM($BF324:BS324))</f>
        <v>0</v>
      </c>
      <c r="BU324" s="446">
        <f>IF($E324=0,0,IF(MIN(BU$38,$E324)&lt;MAX($P$34*($B324+$I$38-1),IF(AND($L$37=0,$P$34=0),"",$L$37-1)),0,YEARFRAC(MAX($P$34*($B324+$I$38-1),IF(AND($L$37=0,$P$34=0),"",$L$37-1)),MIN(BU$38,$E324),$P$20))-SUM($BF324:BT324))</f>
        <v>0</v>
      </c>
      <c r="BV324" s="446">
        <f>IF($E324=0,0,IF(MIN(BV$38,$E324)&lt;MAX($P$34*($B324+$I$38-1),IF(AND($L$37=0,$P$34=0),"",$L$37-1)),0,YEARFRAC(MAX($P$34*($B324+$I$38-1),IF(AND($L$37=0,$P$34=0),"",$L$37-1)),MIN(BV$38,$E324),$P$20))-SUM($BF324:BU324))</f>
        <v>0</v>
      </c>
      <c r="BW324" s="446">
        <f>IF($E324=0,0,IF(MIN(BW$38,$E324)&lt;MAX($P$34*($B324+$I$38-1),IF(AND($L$37=0,$P$34=0),"",$L$37-1)),0,YEARFRAC(MAX($P$34*($B324+$I$38-1),IF(AND($L$37=0,$P$34=0),"",$L$37-1)),MIN(BW$38,$E324),$P$20))-SUM($BF324:BV324))</f>
        <v>0</v>
      </c>
      <c r="BX324" s="446">
        <f>IF($E324=0,0,IF(MIN(BX$38,$E324)&lt;MAX($P$34*($B324+$I$38-1),IF(AND($L$37=0,$P$34=0),"",$L$37-1)),0,YEARFRAC(MAX($P$34*($B324+$I$38-1),IF(AND($L$37=0,$P$34=0),"",$L$37-1)),MIN(BX$38,$E324),$P$20))-SUM($BF324:BW324))</f>
        <v>0</v>
      </c>
      <c r="BY324" s="446">
        <f>IF($E324=0,0,IF(MIN(BY$38,$E324)&lt;MAX($P$34*($B324+$I$38-1),IF(AND($L$37=0,$P$34=0),"",$L$37-1)),0,YEARFRAC(MAX($P$34*($B324+$I$38-1),IF(AND($L$37=0,$P$34=0),"",$L$37-1)),MIN(BY$38,$E324),$P$20))-SUM($BF324:BX324))</f>
        <v>0</v>
      </c>
      <c r="BZ324" s="446">
        <f>IF($E324=0,0,IF(MIN(BZ$38,$E324)&lt;MAX($P$34*($B324+$I$38-1),IF(AND($L$37=0,$P$34=0),"",$L$37-1)),0,YEARFRAC(MAX($P$34*($B324+$I$38-1),IF(AND($L$37=0,$P$34=0),"",$L$37-1)),MIN(BZ$38,$E324),$P$20))-SUM($BF324:BY324))</f>
        <v>0</v>
      </c>
      <c r="CA324" s="446">
        <f>IF($E324=0,0,IF(MIN(CA$38,$E324)&lt;MAX($P$34*($B324+$I$38-1),IF(AND($L$37=0,$P$34=0),"",$L$37-1)),0,YEARFRAC(MAX($P$34*($B324+$I$38-1),IF(AND($L$37=0,$P$34=0),"",$L$37-1)),MIN(CA$38,$E324),$P$20))-SUM($BF324:BZ324))</f>
        <v>0</v>
      </c>
      <c r="CB324" s="446">
        <f>IF($E324=0,0,IF(MIN(CB$38,$E324)&lt;MAX($P$34*($B324+$I$38-1),IF(AND($L$37=0,$P$34=0),"",$L$37-1)),0,YEARFRAC(MAX($P$34*($B324+$I$38-1),IF(AND($L$37=0,$P$34=0),"",$L$37-1)),MIN(CB$38,$E324),$P$20))-SUM($BF324:CA324))</f>
        <v>0</v>
      </c>
      <c r="CC324" s="446">
        <f>IF($E324=0,0,IF(MIN(CC$38,$E324)&lt;MAX($P$34*($B324+$I$38-1),IF(AND($L$37=0,$P$34=0),"",$L$37-1)),0,YEARFRAC(MAX($P$34*($B324+$I$38-1),IF(AND($L$37=0,$P$34=0),"",$L$37-1)),MIN(CC$38,$E324),$P$20))-SUM($BF324:CB324))</f>
        <v>0</v>
      </c>
      <c r="CD324" s="446">
        <f>IF($E324=0,0,IF(MIN(CD$38,$E324)&lt;MAX($P$34*($B324+$I$38-1),IF(AND($L$37=0,$P$34=0),"",$L$37-1)),0,YEARFRAC(MAX($P$34*($B324+$I$38-1),IF(AND($L$37=0,$P$34=0),"",$L$37-1)),MIN(CD$38,$E324),$P$20))-SUM($BF324:CC324))</f>
        <v>0</v>
      </c>
      <c r="CE324" s="446">
        <f>IF($E324=0,0,IF(MIN(CE$38,$E324)&lt;MAX($P$34*($B324+$I$38-1),IF(AND($L$37=0,$P$34=0),"",$L$37-1)),0,YEARFRAC(MAX($P$34*($B324+$I$38-1),IF(AND($L$37=0,$P$34=0),"",$L$37-1)),MIN(CE$38,$E324),$P$20))-SUM($BF324:CD324))</f>
        <v>0</v>
      </c>
      <c r="CF324" s="446">
        <f>IF($E324=0,0,IF(MIN(CF$38,$E324)&lt;MAX($P$34*($B324+$I$38-1),IF(AND($L$37=0,$P$34=0),"",$L$37-1)),0,YEARFRAC(MAX($P$34*($B324+$I$38-1),IF(AND($L$37=0,$P$34=0),"",$L$37-1)),MIN(CF$38,$E324),$P$20))-SUM($BF324:CE324))</f>
        <v>0</v>
      </c>
      <c r="CG324" s="446">
        <f>IF($E324=0,0,IF(MIN(CG$38,$E324)&lt;MAX($P$34*($B324+$I$38-1),IF(AND($L$37=0,$P$34=0),"",$L$37-1)),0,YEARFRAC(MAX($P$34*($B324+$I$38-1),IF(AND($L$37=0,$P$34=0),"",$L$37-1)),MIN(CG$38,$E324),$P$20))-SUM($BF324:CF324))</f>
        <v>0</v>
      </c>
      <c r="CH324" s="446">
        <f>IF($E324=0,0,IF(MIN(CH$38,$E324)&lt;MAX($P$34*($B324+$I$38-1),IF(AND($L$37=0,$P$34=0),"",$L$37-1)),0,YEARFRAC(MAX($P$34*($B324+$I$38-1),IF(AND($L$37=0,$P$34=0),"",$L$37-1)),MIN(CH$38,$E324),$P$20))-SUM($BF324:CG324))</f>
        <v>0</v>
      </c>
      <c r="CI324" s="446">
        <f>IF($E324=0,0,IF(MIN(CI$38,$E324)&lt;MAX($P$34*($B324+$I$38-1),IF(AND($L$37=0,$P$34=0),"",$L$37-1)),0,YEARFRAC(MAX($P$34*($B324+$I$38-1),IF(AND($L$37=0,$P$34=0),"",$L$37-1)),MIN(CI$38,$E324),$P$20))-SUM($BF324:CH324))</f>
        <v>0</v>
      </c>
      <c r="CJ324" s="446">
        <f>IF($E324=0,0,IF(MIN(CJ$38,$E324)&lt;MAX($P$34*($B324+$I$38-1),IF(AND($L$37=0,$P$34=0),"",$L$37-1)),0,YEARFRAC(MAX($P$34*($B324+$I$38-1),IF(AND($L$37=0,$P$34=0),"",$L$37-1)),MIN(CJ$38,$E324),$P$20))-SUM($BF324:CI324))</f>
        <v>0</v>
      </c>
      <c r="CK324" s="446">
        <f>IF($E324=0,0,IF(MIN(CK$38,$E324)&lt;MAX($P$34*($B324+$I$38-1),IF(AND($L$37=0,$P$34=0),"",$L$37-1)),0,YEARFRAC(MAX($P$34*($B324+$I$38-1),IF(AND($L$37=0,$P$34=0),"",$L$37-1)),MIN(CK$38,$E324),$P$20))-SUM($BF324:CJ324))</f>
        <v>0</v>
      </c>
      <c r="CL324" s="446">
        <f>IF($E324=0,0,IF(MIN(CL$38,$E324)&lt;MAX($P$34*($B324+$I$38-1),IF(AND($L$37=0,$P$34=0),"",$L$37-1)),0,YEARFRAC(MAX($P$34*($B324+$I$38-1),IF(AND($L$37=0,$P$34=0),"",$L$37-1)),MIN(CL$38,$E324),$P$20))-SUM($BF324:CK324))</f>
        <v>0</v>
      </c>
      <c r="CM324" s="446">
        <f>IF($E324=0,0,IF(MIN(CM$38,$E324)&lt;MAX($P$34*($B324+$I$38-1),IF(AND($L$37=0,$P$34=0),"",$L$37-1)),0,YEARFRAC(MAX($P$34*($B324+$I$38-1),IF(AND($L$37=0,$P$34=0),"",$L$37-1)),MIN(CM$38,$E324),$P$20))-SUM($BF324:CL324))</f>
        <v>0</v>
      </c>
      <c r="CN324" s="446">
        <f>IF($E324=0,0,IF(MIN(CN$38,$E324)&lt;MAX($P$34*($B324+$I$38-1),IF(AND($L$37=0,$P$34=0),"",$L$37-1)),0,YEARFRAC(MAX($P$34*($B324+$I$38-1),IF(AND($L$37=0,$P$34=0),"",$L$37-1)),MIN(CN$38,$E324),$P$20))-SUM($BF324:CM324))</f>
        <v>0</v>
      </c>
      <c r="CO324" s="446">
        <f>IF($E324=0,0,IF(MIN(CO$38,$E324)&lt;MAX($P$34*($B324+$I$38-1),IF(AND($L$37=0,$P$34=0),"",$L$37-1)),0,YEARFRAC(MAX($P$34*($B324+$I$38-1),IF(AND($L$37=0,$P$34=0),"",$L$37-1)),MIN(CO$38,$E324),$P$20))-SUM($BF324:CN324))</f>
        <v>0</v>
      </c>
      <c r="CP324" s="446">
        <f>IF($E324=0,0,IF(MIN(CP$38,$E324)&lt;MAX($P$34*($B324+$I$38-1),IF(AND($L$37=0,$P$34=0),"",$L$37-1)),0,YEARFRAC(MAX($P$34*($B324+$I$38-1),IF(AND($L$37=0,$P$34=0),"",$L$37-1)),MIN(CP$38,$E324),$P$20))-SUM($BF324:CO324))</f>
        <v>0</v>
      </c>
      <c r="CQ324" s="446">
        <f>IF($E324=0,0,IF(MIN(CQ$38,$E324)&lt;MAX($P$34*($B324+$I$38-1),IF(AND($L$37=0,$P$34=0),"",$L$37-1)),0,YEARFRAC(MAX($P$34*($B324+$I$38-1),IF(AND($L$37=0,$P$34=0),"",$L$37-1)),MIN(CQ$38,$E324),$P$20))-SUM($BF324:CP324))</f>
        <v>0</v>
      </c>
    </row>
    <row r="325" spans="1:95" s="446" customFormat="1" ht="11.25" hidden="1" customHeight="1" x14ac:dyDescent="0.2">
      <c r="A325" s="152"/>
      <c r="B325" s="153" t="str">
        <f t="shared" si="59"/>
        <v/>
      </c>
      <c r="C325" s="29" t="str">
        <f>IF(B325="","",IF($L$35="SELIC - TRIBUTOS",VLOOKUP(DATE(YEAR($D$19),MONTH($D$19)-1,1),ÍNDICES!$A:$DE,HLOOKUP($BL$25,ÍNDICES!$B$3:$T$4,2)+11)-VLOOKUP(B325,ÍNDICES!$A:$DE,HLOOKUP($BL$25,ÍNDICES!$B$3:$T$4,2)+11)+1%,IF(C$38=$W$26,$J$35,IF(ISERROR(IF(B325&gt;$D$19,1,VLOOKUP(DATE(YEAR(B325),MONTH(B325)+IF($C$35=$S$23,1,0),1),ÍNDICES!$A:$DE,$Z$35+1))),"",IF(B325&gt;$D$19,1,VLOOKUP(DATE(YEAR(B325),MONTH(B325)+IF($C$35=$S$23,1,0),1),ÍNDICES!$A:$DE,$Z$35+1))))))</f>
        <v/>
      </c>
      <c r="D325" s="154" t="str">
        <f>IF(ISERROR(IF(OR($D$38=$Y$27,$B325=""),"",VLOOKUP(B325,ÍNDICES!A:DE,AF$35+1))),"",IF(OR($D$38=$Y$27,$B325=""),"",VLOOKUP(B325,ÍNDICES!A:DE,AF$35+1)))</f>
        <v/>
      </c>
      <c r="E325" s="153"/>
      <c r="F325" s="29" t="str">
        <f>IF(E325="","",IF($L$35="SELIC - TRIBUTOS",VLOOKUP(DATE(YEAR($D$19),MONTH($D$19)-1,1),ÍNDICES!$A:$DE,HLOOKUP($BL$25,ÍNDICES!$B$3:$T$4,2)+11)-VLOOKUP(E325,ÍNDICES!$A:$DE,HLOOKUP($BL$25,ÍNDICES!$B$3:$T$4,2)+11)+1%,IF(F$38=$W$26,$J$35,IF(ISERROR(IF(E325&gt;$D$19,1,VLOOKUP(DATE(YEAR(E325),MONTH(E325)+IF($C$35=$S$23,1,0),1),ÍNDICES!$A:$DE,$Z$35+1))),"",IF(E325&gt;$D$19,1,VLOOKUP(DATE(YEAR(E325),MONTH(E325)+IF($C$35=$S$23,1,0),1),ÍNDICES!$A:$DE,$Z$35+1))))))</f>
        <v/>
      </c>
      <c r="G325" s="155"/>
      <c r="H325" s="156" t="str">
        <f t="shared" si="55"/>
        <v/>
      </c>
      <c r="I325" s="29" t="str">
        <f t="shared" si="49"/>
        <v/>
      </c>
      <c r="J325" s="5">
        <f t="shared" si="50"/>
        <v>0</v>
      </c>
      <c r="K325" s="20">
        <f t="shared" ca="1" si="51"/>
        <v>0</v>
      </c>
      <c r="L325" s="5">
        <f t="shared" ca="1" si="52"/>
        <v>0</v>
      </c>
      <c r="M325" s="64">
        <f t="shared" si="56"/>
        <v>0</v>
      </c>
      <c r="N325" s="61">
        <f t="shared" ca="1" si="57"/>
        <v>0</v>
      </c>
      <c r="O325" s="5">
        <f t="shared" ca="1" si="58"/>
        <v>0</v>
      </c>
      <c r="P325" s="446" t="e">
        <f t="shared" si="53"/>
        <v>#VALUE!</v>
      </c>
      <c r="Q325" s="446" t="e">
        <f>IF(OR($B325="",MIN(Q$38,$D$19)&lt;MAX($P$34*($B325+IF($R$17="Distrato",$I$38-1,0)),IF(AND($L$37=0,$P$34=0),"",$L$37-1),IF($R$17="Distrato",$E325,0))),0,YEARFRAC(MAX($P$34*($B325+IF($R$17="Distrato",$I$38-1,0)),IF(AND($L$37=0,$P$34=0),"",$L$37-1),IF($R$17="Distrato",$E325,0)),MIN(Q$38,$D$19),$P$20))-SUM($P325:P325)</f>
        <v>#VALUE!</v>
      </c>
      <c r="R325" s="446" t="e">
        <f>IF(OR($B325="",MIN(R$38,$D$19)&lt;MAX($P$34*($B325+IF($R$17="Distrato",$I$38-1,0)),IF(AND($L$37=0,$P$34=0),"",$L$37-1),IF($R$17="Distrato",$E325,0))),0,YEARFRAC(MAX($P$34*($B325+IF($R$17="Distrato",$I$38-1,0)),IF(AND($L$37=0,$P$34=0),"",$L$37-1),IF($R$17="Distrato",$E325,0)),MIN(R$38,$D$19),$P$20))-SUM($P325:Q325)</f>
        <v>#VALUE!</v>
      </c>
      <c r="S325" s="446" t="e">
        <f>IF(OR($B325="",MIN(S$38,$D$19)&lt;MAX($P$34*($B325+IF($R$17="Distrato",$I$38-1,0)),IF(AND($L$37=0,$P$34=0),"",$L$37-1),IF($R$17="Distrato",$E325,0))),0,YEARFRAC(MAX($P$34*($B325+IF($R$17="Distrato",$I$38-1,0)),IF(AND($L$37=0,$P$34=0),"",$L$37-1),IF($R$17="Distrato",$E325,0)),MIN(S$38,$D$19),$P$20))-SUM($P325:R325)</f>
        <v>#VALUE!</v>
      </c>
      <c r="T325" s="446" t="e">
        <f>IF(OR($B325="",MIN(T$38,$D$19)&lt;MAX($P$34*($B325+IF($R$17="Distrato",$I$38-1,0)),IF(AND($L$37=0,$P$34=0),"",$L$37-1),IF($R$17="Distrato",$E325,0))),0,YEARFRAC(MAX($P$34*($B325+IF($R$17="Distrato",$I$38-1,0)),IF(AND($L$37=0,$P$34=0),"",$L$37-1),IF($R$17="Distrato",$E325,0)),MIN(T$38,$D$19),$P$20))-SUM($P325:S325)</f>
        <v>#VALUE!</v>
      </c>
      <c r="U325" s="446" t="e">
        <f>IF(OR($B325="",MIN(U$38,$D$19)&lt;MAX($P$34*($B325+IF($R$17="Distrato",$I$38-1,0)),IF(AND($L$37=0,$P$34=0),"",$L$37-1),IF($R$17="Distrato",$E325,0))),0,YEARFRAC(MAX($P$34*($B325+IF($R$17="Distrato",$I$38-1,0)),IF(AND($L$37=0,$P$34=0),"",$L$37-1),IF($R$17="Distrato",$E325,0)),MIN(U$38,$D$19),$P$20))-SUM($P325:T325)</f>
        <v>#VALUE!</v>
      </c>
      <c r="V325" s="446" t="e">
        <f>IF(OR($B325="",MIN(V$38,$D$19)&lt;MAX($P$34*($B325+IF($R$17="Distrato",$I$38-1,0)),IF(AND($L$37=0,$P$34=0),"",$L$37-1),IF($R$17="Distrato",$E325,0))),0,YEARFRAC(MAX($P$34*($B325+IF($R$17="Distrato",$I$38-1,0)),IF(AND($L$37=0,$P$34=0),"",$L$37-1),IF($R$17="Distrato",$E325,0)),MIN(V$38,$D$19),$P$20))-SUM($P325:U325)</f>
        <v>#VALUE!</v>
      </c>
      <c r="W325" s="446" t="e">
        <f>IF(OR($B325="",MIN(W$38,$D$19)&lt;MAX($P$34*($B325+IF($R$17="Distrato",$I$38-1,0)),IF(AND($L$37=0,$P$34=0),"",$L$37-1),IF($R$17="Distrato",$E325,0))),0,YEARFRAC(MAX($P$34*($B325+IF($R$17="Distrato",$I$38-1,0)),IF(AND($L$37=0,$P$34=0),"",$L$37-1),IF($R$17="Distrato",$E325,0)),MIN(W$38,$D$19),$P$20))-SUM($P325:V325)</f>
        <v>#VALUE!</v>
      </c>
      <c r="X325" s="446" t="e">
        <f>IF(OR($B325="",MIN(X$38,$D$19)&lt;MAX($P$34*($B325+IF($R$17="Distrato",$I$38-1,0)),IF(AND($L$37=0,$P$34=0),"",$L$37-1),IF($R$17="Distrato",$E325,0))),0,YEARFRAC(MAX($P$34*($B325+IF($R$17="Distrato",$I$38-1,0)),IF(AND($L$37=0,$P$34=0),"",$L$37-1),IF($R$17="Distrato",$E325,0)),MIN(X$38,$D$19),$P$20))-SUM($P325:W325)</f>
        <v>#VALUE!</v>
      </c>
      <c r="Y325" s="446" t="e">
        <f>IF(OR($B325="",MIN(Y$38,$D$19)&lt;MAX($P$34*($B325+IF($R$17="Distrato",$I$38-1,0)),IF(AND($L$37=0,$P$34=0),"",$L$37-1),IF($R$17="Distrato",$E325,0))),0,YEARFRAC(MAX($P$34*($B325+IF($R$17="Distrato",$I$38-1,0)),IF(AND($L$37=0,$P$34=0),"",$L$37-1),IF($R$17="Distrato",$E325,0)),MIN(Y$38,$D$19),$P$20))-SUM($P325:X325)</f>
        <v>#VALUE!</v>
      </c>
      <c r="Z325" s="446" t="e">
        <f>IF(OR($B325="",MIN(Z$38,$D$19)&lt;MAX($P$34*($B325+IF($R$17="Distrato",$I$38-1,0)),IF(AND($L$37=0,$P$34=0),"",$L$37-1),IF($R$17="Distrato",$E325,0))),0,YEARFRAC(MAX($P$34*($B325+IF($R$17="Distrato",$I$38-1,0)),IF(AND($L$37=0,$P$34=0),"",$L$37-1),IF($R$17="Distrato",$E325,0)),MIN(Z$38,$D$19),$P$20))-SUM($P325:Y325)</f>
        <v>#VALUE!</v>
      </c>
      <c r="AA325" s="446" t="e">
        <f>IF(OR($B325="",MIN(AA$38,$D$19)&lt;MAX($P$34*($B325+IF($R$17="Distrato",$I$38-1,0)),IF(AND($L$37=0,$P$34=0),"",$L$37-1),IF($R$17="Distrato",$E325,0))),0,YEARFRAC(MAX($P$34*($B325+IF($R$17="Distrato",$I$38-1,0)),IF(AND($L$37=0,$P$34=0),"",$L$37-1),IF($R$17="Distrato",$E325,0)),MIN(AA$38,$D$19),$P$20))-SUM($P325:Z325)</f>
        <v>#VALUE!</v>
      </c>
      <c r="AB325" s="446" t="e">
        <f>IF(OR($B325="",MIN(AB$38,$D$19)&lt;MAX($P$34*($B325+IF($R$17="Distrato",$I$38-1,0)),IF(AND($L$37=0,$P$34=0),"",$L$37-1),IF($R$17="Distrato",$E325,0))),0,YEARFRAC(MAX($P$34*($B325+IF($R$17="Distrato",$I$38-1,0)),IF(AND($L$37=0,$P$34=0),"",$L$37-1),IF($R$17="Distrato",$E325,0)),MIN(AB$38,$D$19),$P$20))-SUM($P325:AA325)</f>
        <v>#VALUE!</v>
      </c>
      <c r="AC325" s="446" t="e">
        <f>IF(OR($B325="",MIN(AC$38,$D$19)&lt;MAX($P$34*($B325+IF($R$17="Distrato",$I$38-1,0)),IF(AND($L$37=0,$P$34=0),"",$L$37-1),IF($R$17="Distrato",$E325,0))),0,YEARFRAC(MAX($P$34*($B325+IF($R$17="Distrato",$I$38-1,0)),IF(AND($L$37=0,$P$34=0),"",$L$37-1),IF($R$17="Distrato",$E325,0)),MIN(AC$38,$D$19),$P$20))-SUM($P325:AB325)</f>
        <v>#VALUE!</v>
      </c>
      <c r="AD325" s="446" t="e">
        <f>IF(OR($B325="",MIN(AD$38,$D$19)&lt;MAX($P$34*($B325+IF($R$17="Distrato",$I$38-1,0)),IF(AND($L$37=0,$P$34=0),"",$L$37-1),IF($R$17="Distrato",$E325,0))),0,YEARFRAC(MAX($P$34*($B325+IF($R$17="Distrato",$I$38-1,0)),IF(AND($L$37=0,$P$34=0),"",$L$37-1),IF($R$17="Distrato",$E325,0)),MIN(AD$38,$D$19),$P$20))-SUM($P325:AC325)</f>
        <v>#VALUE!</v>
      </c>
      <c r="AE325" s="446" t="e">
        <f>IF(OR($B325="",MIN(AE$38,$D$19)&lt;MAX($P$34*($B325+IF($R$17="Distrato",$I$38-1,0)),IF(AND($L$37=0,$P$34=0),"",$L$37-1),IF($R$17="Distrato",$E325,0))),0,YEARFRAC(MAX($P$34*($B325+IF($R$17="Distrato",$I$38-1,0)),IF(AND($L$37=0,$P$34=0),"",$L$37-1),IF($R$17="Distrato",$E325,0)),MIN(AE$38,$D$19),$P$20))-SUM($P325:AD325)</f>
        <v>#VALUE!</v>
      </c>
      <c r="AF325" s="446" t="e">
        <f>IF(OR($B325="",MIN(AF$38,$D$19)&lt;MAX($P$34*($B325+IF($R$17="Distrato",$I$38-1,0)),IF(AND($L$37=0,$P$34=0),"",$L$37-1),IF($R$17="Distrato",$E325,0))),0,YEARFRAC(MAX($P$34*($B325+IF($R$17="Distrato",$I$38-1,0)),IF(AND($L$37=0,$P$34=0),"",$L$37-1),IF($R$17="Distrato",$E325,0)),MIN(AF$38,$D$19),$P$20))-SUM($P325:AE325)</f>
        <v>#VALUE!</v>
      </c>
      <c r="AG325" s="446" t="e">
        <f>IF(OR($B325="",MIN(AG$38,$D$19)&lt;MAX($P$34*($B325+IF($R$17="Distrato",$I$38-1,0)),IF(AND($L$37=0,$P$34=0),"",$L$37-1),IF($R$17="Distrato",$E325,0))),0,YEARFRAC(MAX($P$34*($B325+IF($R$17="Distrato",$I$38-1,0)),IF(AND($L$37=0,$P$34=0),"",$L$37-1),IF($R$17="Distrato",$E325,0)),MIN(AG$38,$D$19),$P$20))-SUM($P325:AF325)</f>
        <v>#VALUE!</v>
      </c>
      <c r="AH325" s="446" t="e">
        <f>IF(OR($B325="",MIN(AH$38,$D$19)&lt;MAX($P$34*($B325+IF($R$17="Distrato",$I$38-1,0)),IF(AND($L$37=0,$P$34=0),"",$L$37-1),IF($R$17="Distrato",$E325,0))),0,YEARFRAC(MAX($P$34*($B325+IF($R$17="Distrato",$I$38-1,0)),IF(AND($L$37=0,$P$34=0),"",$L$37-1),IF($R$17="Distrato",$E325,0)),MIN(AH$38,$D$19),$P$20))-SUM($P325:AG325)</f>
        <v>#VALUE!</v>
      </c>
      <c r="AI325" s="446" t="e">
        <f>IF(OR($B325="",MIN(AI$38,$D$19)&lt;MAX($P$34*($B325+IF($R$17="Distrato",$I$38-1,0)),IF(AND($L$37=0,$P$34=0),"",$L$37-1),IF($R$17="Distrato",$E325,0))),0,YEARFRAC(MAX($P$34*($B325+IF($R$17="Distrato",$I$38-1,0)),IF(AND($L$37=0,$P$34=0),"",$L$37-1),IF($R$17="Distrato",$E325,0)),MIN(AI$38,$D$19),$P$20))-SUM($P325:AH325)</f>
        <v>#VALUE!</v>
      </c>
      <c r="AJ325" s="446" t="e">
        <f>IF(OR($B325="",MIN(AJ$38,$D$19)&lt;MAX($P$34*($B325+IF($R$17="Distrato",$I$38-1,0)),IF(AND($L$37=0,$P$34=0),"",$L$37-1),IF($R$17="Distrato",$E325,0))),0,YEARFRAC(MAX($P$34*($B325+IF($R$17="Distrato",$I$38-1,0)),IF(AND($L$37=0,$P$34=0),"",$L$37-1),IF($R$17="Distrato",$E325,0)),MIN(AJ$38,$D$19),$P$20))-SUM($P325:AI325)</f>
        <v>#VALUE!</v>
      </c>
      <c r="AK325" s="446" t="e">
        <f>IF(OR($B325="",MIN(AK$38,$D$19)&lt;MAX($P$34*($B325+IF($R$17="Distrato",$I$38-1,0)),IF(AND($L$37=0,$P$34=0),"",$L$37-1),IF($R$17="Distrato",$E325,0))),0,YEARFRAC(MAX($P$34*($B325+IF($R$17="Distrato",$I$38-1,0)),IF(AND($L$37=0,$P$34=0),"",$L$37-1),IF($R$17="Distrato",$E325,0)),MIN(AK$38,$D$19),$P$20))-SUM($P325:AJ325)</f>
        <v>#VALUE!</v>
      </c>
      <c r="AL325" s="446" t="e">
        <f>IF(OR($B325="",MIN(AL$38,$D$19)&lt;MAX($P$34*($B325+IF($R$17="Distrato",$I$38-1,0)),IF(AND($L$37=0,$P$34=0),"",$L$37-1),IF($R$17="Distrato",$E325,0))),0,YEARFRAC(MAX($P$34*($B325+IF($R$17="Distrato",$I$38-1,0)),IF(AND($L$37=0,$P$34=0),"",$L$37-1),IF($R$17="Distrato",$E325,0)),MIN(AL$38,$D$19),$P$20))-SUM($P325:AK325)</f>
        <v>#VALUE!</v>
      </c>
      <c r="AM325" s="446" t="e">
        <f>IF(OR($B325="",MIN(AM$38,$D$19)&lt;MAX($P$34*($B325+IF($R$17="Distrato",$I$38-1,0)),IF(AND($L$37=0,$P$34=0),"",$L$37-1),IF($R$17="Distrato",$E325,0))),0,YEARFRAC(MAX($P$34*($B325+IF($R$17="Distrato",$I$38-1,0)),IF(AND($L$37=0,$P$34=0),"",$L$37-1),IF($R$17="Distrato",$E325,0)),MIN(AM$38,$D$19),$P$20))-SUM($P325:AL325)</f>
        <v>#VALUE!</v>
      </c>
      <c r="AN325" s="446" t="e">
        <f>IF(OR($B325="",MIN(AN$38,$D$19)&lt;MAX($P$34*($B325+IF($R$17="Distrato",$I$38-1,0)),IF(AND($L$37=0,$P$34=0),"",$L$37-1),IF($R$17="Distrato",$E325,0))),0,YEARFRAC(MAX($P$34*($B325+IF($R$17="Distrato",$I$38-1,0)),IF(AND($L$37=0,$P$34=0),"",$L$37-1),IF($R$17="Distrato",$E325,0)),MIN(AN$38,$D$19),$P$20))-SUM($P325:AM325)</f>
        <v>#VALUE!</v>
      </c>
      <c r="AO325" s="446" t="e">
        <f>IF(OR($B325="",MIN(AO$38,$D$19)&lt;MAX($P$34*($B325+IF($R$17="Distrato",$I$38-1,0)),IF(AND($L$37=0,$P$34=0),"",$L$37-1),IF($R$17="Distrato",$E325,0))),0,YEARFRAC(MAX($P$34*($B325+IF($R$17="Distrato",$I$38-1,0)),IF(AND($L$37=0,$P$34=0),"",$L$37-1),IF($R$17="Distrato",$E325,0)),MIN(AO$38,$D$19),$P$20))-SUM($P325:AN325)</f>
        <v>#VALUE!</v>
      </c>
      <c r="AP325" s="446" t="e">
        <f>IF(OR($B325="",MIN(AP$38,$D$19)&lt;MAX($P$34*($B325+IF($R$17="Distrato",$I$38-1,0)),IF(AND($L$37=0,$P$34=0),"",$L$37-1),IF($R$17="Distrato",$E325,0))),0,YEARFRAC(MAX($P$34*($B325+IF($R$17="Distrato",$I$38-1,0)),IF(AND($L$37=0,$P$34=0),"",$L$37-1),IF($R$17="Distrato",$E325,0)),MIN(AP$38,$D$19),$P$20))-SUM($P325:AO325)</f>
        <v>#VALUE!</v>
      </c>
      <c r="AQ325" s="446" t="e">
        <f>IF(OR($B325="",MIN(AQ$38,$D$19)&lt;MAX($P$34*($B325+IF($R$17="Distrato",$I$38-1,0)),IF(AND($L$37=0,$P$34=0),"",$L$37-1),IF($R$17="Distrato",$E325,0))),0,YEARFRAC(MAX($P$34*($B325+IF($R$17="Distrato",$I$38-1,0)),IF(AND($L$37=0,$P$34=0),"",$L$37-1),IF($R$17="Distrato",$E325,0)),MIN(AQ$38,$D$19),$P$20))-SUM($P325:AP325)</f>
        <v>#VALUE!</v>
      </c>
      <c r="AR325" s="446" t="e">
        <f>IF(OR($B325="",MIN(AR$38,$D$19)&lt;MAX($P$34*($B325+IF($R$17="Distrato",$I$38-1,0)),IF(AND($L$37=0,$P$34=0),"",$L$37-1),IF($R$17="Distrato",$E325,0))),0,YEARFRAC(MAX($P$34*($B325+IF($R$17="Distrato",$I$38-1,0)),IF(AND($L$37=0,$P$34=0),"",$L$37-1),IF($R$17="Distrato",$E325,0)),MIN(AR$38,$D$19),$P$20))-SUM($P325:AQ325)</f>
        <v>#VALUE!</v>
      </c>
      <c r="AS325" s="446" t="e">
        <f>IF(OR($B325="",MIN(AS$38,$D$19)&lt;MAX($P$34*($B325+IF($R$17="Distrato",$I$38-1,0)),IF(AND($L$37=0,$P$34=0),"",$L$37-1),IF($R$17="Distrato",$E325,0))),0,YEARFRAC(MAX($P$34*($B325+IF($R$17="Distrato",$I$38-1,0)),IF(AND($L$37=0,$P$34=0),"",$L$37-1),IF($R$17="Distrato",$E325,0)),MIN(AS$38,$D$19),$P$20))-SUM($P325:AR325)</f>
        <v>#VALUE!</v>
      </c>
      <c r="AT325" s="446" t="e">
        <f>IF(OR($B325="",MIN(AT$38,$D$19)&lt;MAX($P$34*($B325+IF($R$17="Distrato",$I$38-1,0)),IF(AND($L$37=0,$P$34=0),"",$L$37-1),IF($R$17="Distrato",$E325,0))),0,YEARFRAC(MAX($P$34*($B325+IF($R$17="Distrato",$I$38-1,0)),IF(AND($L$37=0,$P$34=0),"",$L$37-1),IF($R$17="Distrato",$E325,0)),MIN(AT$38,$D$19),$P$20))-SUM($P325:AS325)</f>
        <v>#VALUE!</v>
      </c>
      <c r="AU325" s="446" t="e">
        <f>IF(OR($B325="",MIN(AU$38,$D$19)&lt;MAX($P$34*($B325+IF($R$17="Distrato",$I$38-1,0)),IF(AND($L$37=0,$P$34=0),"",$L$37-1),IF($R$17="Distrato",$E325,0))),0,YEARFRAC(MAX($P$34*($B325+IF($R$17="Distrato",$I$38-1,0)),IF(AND($L$37=0,$P$34=0),"",$L$37-1),IF($R$17="Distrato",$E325,0)),MIN(AU$38,$D$19),$P$20))-SUM($P325:AT325)</f>
        <v>#VALUE!</v>
      </c>
      <c r="AV325" s="446" t="e">
        <f>IF(OR($B325="",MIN(AV$38,$D$19)&lt;MAX($P$34*($B325+IF($R$17="Distrato",$I$38-1,0)),IF(AND($L$37=0,$P$34=0),"",$L$37-1),IF($R$17="Distrato",$E325,0))),0,YEARFRAC(MAX($P$34*($B325+IF($R$17="Distrato",$I$38-1,0)),IF(AND($L$37=0,$P$34=0),"",$L$37-1),IF($R$17="Distrato",$E325,0)),MIN(AV$38,$D$19),$P$20))-SUM($P325:AU325)</f>
        <v>#VALUE!</v>
      </c>
      <c r="AW325" s="446" t="e">
        <f>IF(OR($B325="",MIN(AW$38,$D$19)&lt;MAX($P$34*($B325+IF($R$17="Distrato",$I$38-1,0)),IF(AND($L$37=0,$P$34=0),"",$L$37-1),IF($R$17="Distrato",$E325,0))),0,YEARFRAC(MAX($P$34*($B325+IF($R$17="Distrato",$I$38-1,0)),IF(AND($L$37=0,$P$34=0),"",$L$37-1),IF($R$17="Distrato",$E325,0)),MIN(AW$38,$D$19),$P$20))-SUM($P325:AV325)</f>
        <v>#VALUE!</v>
      </c>
      <c r="AX325" s="446" t="e">
        <f>IF(OR($B325="",MIN(AX$38,$D$19)&lt;MAX($P$34*($B325+IF($R$17="Distrato",$I$38-1,0)),IF(AND($L$37=0,$P$34=0),"",$L$37-1),IF($R$17="Distrato",$E325,0))),0,YEARFRAC(MAX($P$34*($B325+IF($R$17="Distrato",$I$38-1,0)),IF(AND($L$37=0,$P$34=0),"",$L$37-1),IF($R$17="Distrato",$E325,0)),MIN(AX$38,$D$19),$P$20))-SUM($P325:AW325)</f>
        <v>#VALUE!</v>
      </c>
      <c r="AY325" s="446" t="e">
        <f>IF(OR($B325="",MIN(AY$38,$D$19)&lt;MAX($P$34*($B325+IF($R$17="Distrato",$I$38-1,0)),IF(AND($L$37=0,$P$34=0),"",$L$37-1),IF($R$17="Distrato",$E325,0))),0,YEARFRAC(MAX($P$34*($B325+IF($R$17="Distrato",$I$38-1,0)),IF(AND($L$37=0,$P$34=0),"",$L$37-1),IF($R$17="Distrato",$E325,0)),MIN(AY$38,$D$19),$P$20))-SUM($P325:AX325)</f>
        <v>#VALUE!</v>
      </c>
      <c r="AZ325" s="446" t="e">
        <f>IF(OR($B325="",MIN(AZ$38,$D$19)&lt;MAX($P$34*($B325+IF($R$17="Distrato",$I$38-1,0)),IF(AND($L$37=0,$P$34=0),"",$L$37-1),IF($R$17="Distrato",$E325,0))),0,YEARFRAC(MAX($P$34*($B325+IF($R$17="Distrato",$I$38-1,0)),IF(AND($L$37=0,$P$34=0),"",$L$37-1),IF($R$17="Distrato",$E325,0)),MIN(AZ$38,$D$19),$P$20))-SUM($P325:AY325)</f>
        <v>#VALUE!</v>
      </c>
      <c r="BA325" s="446" t="e">
        <f>IF(OR($B325="",MIN(BA$38,$D$19)&lt;MAX($P$34*($B325+IF($R$17="Distrato",$I$38-1,0)),IF(AND($L$37=0,$P$34=0),"",$L$37-1),IF($R$17="Distrato",$E325,0))),0,YEARFRAC(MAX($P$34*($B325+IF($R$17="Distrato",$I$38-1,0)),IF(AND($L$37=0,$P$34=0),"",$L$37-1),IF($R$17="Distrato",$E325,0)),MIN(BA$38,$D$19),$P$20))-SUM($P325:AZ325)</f>
        <v>#VALUE!</v>
      </c>
      <c r="BB325" s="447"/>
      <c r="BF325" s="446">
        <f t="shared" si="54"/>
        <v>0</v>
      </c>
      <c r="BG325" s="446">
        <f>IF($E325=0,0,IF(MIN(BG$38,$E325)&lt;MAX($P$34*($B325+$I$38-1),IF(AND($L$37=0,$P$34=0),"",$L$37-1)),0,YEARFRAC(MAX($P$34*($B325+$I$38-1),IF(AND($L$37=0,$P$34=0),"",$L$37-1)),MIN(BG$38,$E325),$P$20))-SUM($BF325:BF325))</f>
        <v>0</v>
      </c>
      <c r="BH325" s="446">
        <f>IF($E325=0,0,IF(MIN(BH$38,$E325)&lt;MAX($P$34*($B325+$I$38-1),IF(AND($L$37=0,$P$34=0),"",$L$37-1)),0,YEARFRAC(MAX($P$34*($B325+$I$38-1),IF(AND($L$37=0,$P$34=0),"",$L$37-1)),MIN(BH$38,$E325),$P$20))-SUM($BF325:BG325))</f>
        <v>0</v>
      </c>
      <c r="BI325" s="446">
        <f>IF($E325=0,0,IF(MIN(BI$38,$E325)&lt;MAX($P$34*($B325+$I$38-1),IF(AND($L$37=0,$P$34=0),"",$L$37-1)),0,YEARFRAC(MAX($P$34*($B325+$I$38-1),IF(AND($L$37=0,$P$34=0),"",$L$37-1)),MIN(BI$38,$E325),$P$20))-SUM($BF325:BH325))</f>
        <v>0</v>
      </c>
      <c r="BJ325" s="446">
        <f>IF($E325=0,0,IF(MIN(BJ$38,$E325)&lt;MAX($P$34*($B325+$I$38-1),IF(AND($L$37=0,$P$34=0),"",$L$37-1)),0,YEARFRAC(MAX($P$34*($B325+$I$38-1),IF(AND($L$37=0,$P$34=0),"",$L$37-1)),MIN(BJ$38,$E325),$P$20))-SUM($BF325:BI325))</f>
        <v>0</v>
      </c>
      <c r="BK325" s="446">
        <f>IF($E325=0,0,IF(MIN(BK$38,$E325)&lt;MAX($P$34*($B325+$I$38-1),IF(AND($L$37=0,$P$34=0),"",$L$37-1)),0,YEARFRAC(MAX($P$34*($B325+$I$38-1),IF(AND($L$37=0,$P$34=0),"",$L$37-1)),MIN(BK$38,$E325),$P$20))-SUM($BF325:BJ325))</f>
        <v>0</v>
      </c>
      <c r="BL325" s="446">
        <f>IF($E325=0,0,IF(MIN(BL$38,$E325)&lt;MAX($P$34*($B325+$I$38-1),IF(AND($L$37=0,$P$34=0),"",$L$37-1)),0,YEARFRAC(MAX($P$34*($B325+$I$38-1),IF(AND($L$37=0,$P$34=0),"",$L$37-1)),MIN(BL$38,$E325),$P$20))-SUM($BF325:BK325))</f>
        <v>0</v>
      </c>
      <c r="BM325" s="446">
        <f>IF($E325=0,0,IF(MIN(BM$38,$E325)&lt;MAX($P$34*($B325+$I$38-1),IF(AND($L$37=0,$P$34=0),"",$L$37-1)),0,YEARFRAC(MAX($P$34*($B325+$I$38-1),IF(AND($L$37=0,$P$34=0),"",$L$37-1)),MIN(BM$38,$E325),$P$20))-SUM($BF325:BL325))</f>
        <v>0</v>
      </c>
      <c r="BN325" s="446">
        <f>IF($E325=0,0,IF(MIN(BN$38,$E325)&lt;MAX($P$34*($B325+$I$38-1),IF(AND($L$37=0,$P$34=0),"",$L$37-1)),0,YEARFRAC(MAX($P$34*($B325+$I$38-1),IF(AND($L$37=0,$P$34=0),"",$L$37-1)),MIN(BN$38,$E325),$P$20))-SUM($BF325:BM325))</f>
        <v>0</v>
      </c>
      <c r="BO325" s="446">
        <f>IF($E325=0,0,IF(MIN(BO$38,$E325)&lt;MAX($P$34*($B325+$I$38-1),IF(AND($L$37=0,$P$34=0),"",$L$37-1)),0,YEARFRAC(MAX($P$34*($B325+$I$38-1),IF(AND($L$37=0,$P$34=0),"",$L$37-1)),MIN(BO$38,$E325),$P$20))-SUM($BF325:BN325))</f>
        <v>0</v>
      </c>
      <c r="BP325" s="446">
        <f>IF($E325=0,0,IF(MIN(BP$38,$E325)&lt;MAX($P$34*($B325+$I$38-1),IF(AND($L$37=0,$P$34=0),"",$L$37-1)),0,YEARFRAC(MAX($P$34*($B325+$I$38-1),IF(AND($L$37=0,$P$34=0),"",$L$37-1)),MIN(BP$38,$E325),$P$20))-SUM($BF325:BO325))</f>
        <v>0</v>
      </c>
      <c r="BQ325" s="446">
        <f>IF($E325=0,0,IF(MIN(BQ$38,$E325)&lt;MAX($P$34*($B325+$I$38-1),IF(AND($L$37=0,$P$34=0),"",$L$37-1)),0,YEARFRAC(MAX($P$34*($B325+$I$38-1),IF(AND($L$37=0,$P$34=0),"",$L$37-1)),MIN(BQ$38,$E325),$P$20))-SUM($BF325:BP325))</f>
        <v>0</v>
      </c>
      <c r="BR325" s="446">
        <f>IF($E325=0,0,IF(MIN(BR$38,$E325)&lt;MAX($P$34*($B325+$I$38-1),IF(AND($L$37=0,$P$34=0),"",$L$37-1)),0,YEARFRAC(MAX($P$34*($B325+$I$38-1),IF(AND($L$37=0,$P$34=0),"",$L$37-1)),MIN(BR$38,$E325),$P$20))-SUM($BF325:BQ325))</f>
        <v>0</v>
      </c>
      <c r="BS325" s="446">
        <f>IF($E325=0,0,IF(MIN(BS$38,$E325)&lt;MAX($P$34*($B325+$I$38-1),IF(AND($L$37=0,$P$34=0),"",$L$37-1)),0,YEARFRAC(MAX($P$34*($B325+$I$38-1),IF(AND($L$37=0,$P$34=0),"",$L$37-1)),MIN(BS$38,$E325),$P$20))-SUM($BF325:BR325))</f>
        <v>0</v>
      </c>
      <c r="BT325" s="446">
        <f>IF($E325=0,0,IF(MIN(BT$38,$E325)&lt;MAX($P$34*($B325+$I$38-1),IF(AND($L$37=0,$P$34=0),"",$L$37-1)),0,YEARFRAC(MAX($P$34*($B325+$I$38-1),IF(AND($L$37=0,$P$34=0),"",$L$37-1)),MIN(BT$38,$E325),$P$20))-SUM($BF325:BS325))</f>
        <v>0</v>
      </c>
      <c r="BU325" s="446">
        <f>IF($E325=0,0,IF(MIN(BU$38,$E325)&lt;MAX($P$34*($B325+$I$38-1),IF(AND($L$37=0,$P$34=0),"",$L$37-1)),0,YEARFRAC(MAX($P$34*($B325+$I$38-1),IF(AND($L$37=0,$P$34=0),"",$L$37-1)),MIN(BU$38,$E325),$P$20))-SUM($BF325:BT325))</f>
        <v>0</v>
      </c>
      <c r="BV325" s="446">
        <f>IF($E325=0,0,IF(MIN(BV$38,$E325)&lt;MAX($P$34*($B325+$I$38-1),IF(AND($L$37=0,$P$34=0),"",$L$37-1)),0,YEARFRAC(MAX($P$34*($B325+$I$38-1),IF(AND($L$37=0,$P$34=0),"",$L$37-1)),MIN(BV$38,$E325),$P$20))-SUM($BF325:BU325))</f>
        <v>0</v>
      </c>
      <c r="BW325" s="446">
        <f>IF($E325=0,0,IF(MIN(BW$38,$E325)&lt;MAX($P$34*($B325+$I$38-1),IF(AND($L$37=0,$P$34=0),"",$L$37-1)),0,YEARFRAC(MAX($P$34*($B325+$I$38-1),IF(AND($L$37=0,$P$34=0),"",$L$37-1)),MIN(BW$38,$E325),$P$20))-SUM($BF325:BV325))</f>
        <v>0</v>
      </c>
      <c r="BX325" s="446">
        <f>IF($E325=0,0,IF(MIN(BX$38,$E325)&lt;MAX($P$34*($B325+$I$38-1),IF(AND($L$37=0,$P$34=0),"",$L$37-1)),0,YEARFRAC(MAX($P$34*($B325+$I$38-1),IF(AND($L$37=0,$P$34=0),"",$L$37-1)),MIN(BX$38,$E325),$P$20))-SUM($BF325:BW325))</f>
        <v>0</v>
      </c>
      <c r="BY325" s="446">
        <f>IF($E325=0,0,IF(MIN(BY$38,$E325)&lt;MAX($P$34*($B325+$I$38-1),IF(AND($L$37=0,$P$34=0),"",$L$37-1)),0,YEARFRAC(MAX($P$34*($B325+$I$38-1),IF(AND($L$37=0,$P$34=0),"",$L$37-1)),MIN(BY$38,$E325),$P$20))-SUM($BF325:BX325))</f>
        <v>0</v>
      </c>
      <c r="BZ325" s="446">
        <f>IF($E325=0,0,IF(MIN(BZ$38,$E325)&lt;MAX($P$34*($B325+$I$38-1),IF(AND($L$37=0,$P$34=0),"",$L$37-1)),0,YEARFRAC(MAX($P$34*($B325+$I$38-1),IF(AND($L$37=0,$P$34=0),"",$L$37-1)),MIN(BZ$38,$E325),$P$20))-SUM($BF325:BY325))</f>
        <v>0</v>
      </c>
      <c r="CA325" s="446">
        <f>IF($E325=0,0,IF(MIN(CA$38,$E325)&lt;MAX($P$34*($B325+$I$38-1),IF(AND($L$37=0,$P$34=0),"",$L$37-1)),0,YEARFRAC(MAX($P$34*($B325+$I$38-1),IF(AND($L$37=0,$P$34=0),"",$L$37-1)),MIN(CA$38,$E325),$P$20))-SUM($BF325:BZ325))</f>
        <v>0</v>
      </c>
      <c r="CB325" s="446">
        <f>IF($E325=0,0,IF(MIN(CB$38,$E325)&lt;MAX($P$34*($B325+$I$38-1),IF(AND($L$37=0,$P$34=0),"",$L$37-1)),0,YEARFRAC(MAX($P$34*($B325+$I$38-1),IF(AND($L$37=0,$P$34=0),"",$L$37-1)),MIN(CB$38,$E325),$P$20))-SUM($BF325:CA325))</f>
        <v>0</v>
      </c>
      <c r="CC325" s="446">
        <f>IF($E325=0,0,IF(MIN(CC$38,$E325)&lt;MAX($P$34*($B325+$I$38-1),IF(AND($L$37=0,$P$34=0),"",$L$37-1)),0,YEARFRAC(MAX($P$34*($B325+$I$38-1),IF(AND($L$37=0,$P$34=0),"",$L$37-1)),MIN(CC$38,$E325),$P$20))-SUM($BF325:CB325))</f>
        <v>0</v>
      </c>
      <c r="CD325" s="446">
        <f>IF($E325=0,0,IF(MIN(CD$38,$E325)&lt;MAX($P$34*($B325+$I$38-1),IF(AND($L$37=0,$P$34=0),"",$L$37-1)),0,YEARFRAC(MAX($P$34*($B325+$I$38-1),IF(AND($L$37=0,$P$34=0),"",$L$37-1)),MIN(CD$38,$E325),$P$20))-SUM($BF325:CC325))</f>
        <v>0</v>
      </c>
      <c r="CE325" s="446">
        <f>IF($E325=0,0,IF(MIN(CE$38,$E325)&lt;MAX($P$34*($B325+$I$38-1),IF(AND($L$37=0,$P$34=0),"",$L$37-1)),0,YEARFRAC(MAX($P$34*($B325+$I$38-1),IF(AND($L$37=0,$P$34=0),"",$L$37-1)),MIN(CE$38,$E325),$P$20))-SUM($BF325:CD325))</f>
        <v>0</v>
      </c>
      <c r="CF325" s="446">
        <f>IF($E325=0,0,IF(MIN(CF$38,$E325)&lt;MAX($P$34*($B325+$I$38-1),IF(AND($L$37=0,$P$34=0),"",$L$37-1)),0,YEARFRAC(MAX($P$34*($B325+$I$38-1),IF(AND($L$37=0,$P$34=0),"",$L$37-1)),MIN(CF$38,$E325),$P$20))-SUM($BF325:CE325))</f>
        <v>0</v>
      </c>
      <c r="CG325" s="446">
        <f>IF($E325=0,0,IF(MIN(CG$38,$E325)&lt;MAX($P$34*($B325+$I$38-1),IF(AND($L$37=0,$P$34=0),"",$L$37-1)),0,YEARFRAC(MAX($P$34*($B325+$I$38-1),IF(AND($L$37=0,$P$34=0),"",$L$37-1)),MIN(CG$38,$E325),$P$20))-SUM($BF325:CF325))</f>
        <v>0</v>
      </c>
      <c r="CH325" s="446">
        <f>IF($E325=0,0,IF(MIN(CH$38,$E325)&lt;MAX($P$34*($B325+$I$38-1),IF(AND($L$37=0,$P$34=0),"",$L$37-1)),0,YEARFRAC(MAX($P$34*($B325+$I$38-1),IF(AND($L$37=0,$P$34=0),"",$L$37-1)),MIN(CH$38,$E325),$P$20))-SUM($BF325:CG325))</f>
        <v>0</v>
      </c>
      <c r="CI325" s="446">
        <f>IF($E325=0,0,IF(MIN(CI$38,$E325)&lt;MAX($P$34*($B325+$I$38-1),IF(AND($L$37=0,$P$34=0),"",$L$37-1)),0,YEARFRAC(MAX($P$34*($B325+$I$38-1),IF(AND($L$37=0,$P$34=0),"",$L$37-1)),MIN(CI$38,$E325),$P$20))-SUM($BF325:CH325))</f>
        <v>0</v>
      </c>
      <c r="CJ325" s="446">
        <f>IF($E325=0,0,IF(MIN(CJ$38,$E325)&lt;MAX($P$34*($B325+$I$38-1),IF(AND($L$37=0,$P$34=0),"",$L$37-1)),0,YEARFRAC(MAX($P$34*($B325+$I$38-1),IF(AND($L$37=0,$P$34=0),"",$L$37-1)),MIN(CJ$38,$E325),$P$20))-SUM($BF325:CI325))</f>
        <v>0</v>
      </c>
      <c r="CK325" s="446">
        <f>IF($E325=0,0,IF(MIN(CK$38,$E325)&lt;MAX($P$34*($B325+$I$38-1),IF(AND($L$37=0,$P$34=0),"",$L$37-1)),0,YEARFRAC(MAX($P$34*($B325+$I$38-1),IF(AND($L$37=0,$P$34=0),"",$L$37-1)),MIN(CK$38,$E325),$P$20))-SUM($BF325:CJ325))</f>
        <v>0</v>
      </c>
      <c r="CL325" s="446">
        <f>IF($E325=0,0,IF(MIN(CL$38,$E325)&lt;MAX($P$34*($B325+$I$38-1),IF(AND($L$37=0,$P$34=0),"",$L$37-1)),0,YEARFRAC(MAX($P$34*($B325+$I$38-1),IF(AND($L$37=0,$P$34=0),"",$L$37-1)),MIN(CL$38,$E325),$P$20))-SUM($BF325:CK325))</f>
        <v>0</v>
      </c>
      <c r="CM325" s="446">
        <f>IF($E325=0,0,IF(MIN(CM$38,$E325)&lt;MAX($P$34*($B325+$I$38-1),IF(AND($L$37=0,$P$34=0),"",$L$37-1)),0,YEARFRAC(MAX($P$34*($B325+$I$38-1),IF(AND($L$37=0,$P$34=0),"",$L$37-1)),MIN(CM$38,$E325),$P$20))-SUM($BF325:CL325))</f>
        <v>0</v>
      </c>
      <c r="CN325" s="446">
        <f>IF($E325=0,0,IF(MIN(CN$38,$E325)&lt;MAX($P$34*($B325+$I$38-1),IF(AND($L$37=0,$P$34=0),"",$L$37-1)),0,YEARFRAC(MAX($P$34*($B325+$I$38-1),IF(AND($L$37=0,$P$34=0),"",$L$37-1)),MIN(CN$38,$E325),$P$20))-SUM($BF325:CM325))</f>
        <v>0</v>
      </c>
      <c r="CO325" s="446">
        <f>IF($E325=0,0,IF(MIN(CO$38,$E325)&lt;MAX($P$34*($B325+$I$38-1),IF(AND($L$37=0,$P$34=0),"",$L$37-1)),0,YEARFRAC(MAX($P$34*($B325+$I$38-1),IF(AND($L$37=0,$P$34=0),"",$L$37-1)),MIN(CO$38,$E325),$P$20))-SUM($BF325:CN325))</f>
        <v>0</v>
      </c>
      <c r="CP325" s="446">
        <f>IF($E325=0,0,IF(MIN(CP$38,$E325)&lt;MAX($P$34*($B325+$I$38-1),IF(AND($L$37=0,$P$34=0),"",$L$37-1)),0,YEARFRAC(MAX($P$34*($B325+$I$38-1),IF(AND($L$37=0,$P$34=0),"",$L$37-1)),MIN(CP$38,$E325),$P$20))-SUM($BF325:CO325))</f>
        <v>0</v>
      </c>
      <c r="CQ325" s="446">
        <f>IF($E325=0,0,IF(MIN(CQ$38,$E325)&lt;MAX($P$34*($B325+$I$38-1),IF(AND($L$37=0,$P$34=0),"",$L$37-1)),0,YEARFRAC(MAX($P$34*($B325+$I$38-1),IF(AND($L$37=0,$P$34=0),"",$L$37-1)),MIN(CQ$38,$E325),$P$20))-SUM($BF325:CP325))</f>
        <v>0</v>
      </c>
    </row>
    <row r="326" spans="1:95" s="446" customFormat="1" ht="11.25" hidden="1" customHeight="1" x14ac:dyDescent="0.2">
      <c r="A326" s="152"/>
      <c r="B326" s="153" t="str">
        <f t="shared" si="59"/>
        <v/>
      </c>
      <c r="C326" s="29" t="str">
        <f>IF(B326="","",IF($L$35="SELIC - TRIBUTOS",VLOOKUP(DATE(YEAR($D$19),MONTH($D$19)-1,1),ÍNDICES!$A:$DE,HLOOKUP($BL$25,ÍNDICES!$B$3:$T$4,2)+11)-VLOOKUP(B326,ÍNDICES!$A:$DE,HLOOKUP($BL$25,ÍNDICES!$B$3:$T$4,2)+11)+1%,IF(C$38=$W$26,$J$35,IF(ISERROR(IF(B326&gt;$D$19,1,VLOOKUP(DATE(YEAR(B326),MONTH(B326)+IF($C$35=$S$23,1,0),1),ÍNDICES!$A:$DE,$Z$35+1))),"",IF(B326&gt;$D$19,1,VLOOKUP(DATE(YEAR(B326),MONTH(B326)+IF($C$35=$S$23,1,0),1),ÍNDICES!$A:$DE,$Z$35+1))))))</f>
        <v/>
      </c>
      <c r="D326" s="154" t="str">
        <f>IF(ISERROR(IF(OR($D$38=$Y$27,$B326=""),"",VLOOKUP(B326,ÍNDICES!A:DE,AF$35+1))),"",IF(OR($D$38=$Y$27,$B326=""),"",VLOOKUP(B326,ÍNDICES!A:DE,AF$35+1)))</f>
        <v/>
      </c>
      <c r="E326" s="153"/>
      <c r="F326" s="29" t="str">
        <f>IF(E326="","",IF($L$35="SELIC - TRIBUTOS",VLOOKUP(DATE(YEAR($D$19),MONTH($D$19)-1,1),ÍNDICES!$A:$DE,HLOOKUP($BL$25,ÍNDICES!$B$3:$T$4,2)+11)-VLOOKUP(E326,ÍNDICES!$A:$DE,HLOOKUP($BL$25,ÍNDICES!$B$3:$T$4,2)+11)+1%,IF(F$38=$W$26,$J$35,IF(ISERROR(IF(E326&gt;$D$19,1,VLOOKUP(DATE(YEAR(E326),MONTH(E326)+IF($C$35=$S$23,1,0),1),ÍNDICES!$A:$DE,$Z$35+1))),"",IF(E326&gt;$D$19,1,VLOOKUP(DATE(YEAR(E326),MONTH(E326)+IF($C$35=$S$23,1,0),1),ÍNDICES!$A:$DE,$Z$35+1))))))</f>
        <v/>
      </c>
      <c r="G326" s="155"/>
      <c r="H326" s="156" t="str">
        <f t="shared" si="55"/>
        <v/>
      </c>
      <c r="I326" s="29" t="str">
        <f t="shared" si="49"/>
        <v/>
      </c>
      <c r="J326" s="5">
        <f t="shared" si="50"/>
        <v>0</v>
      </c>
      <c r="K326" s="20">
        <f t="shared" ca="1" si="51"/>
        <v>0</v>
      </c>
      <c r="L326" s="5">
        <f t="shared" ca="1" si="52"/>
        <v>0</v>
      </c>
      <c r="M326" s="64">
        <f t="shared" si="56"/>
        <v>0</v>
      </c>
      <c r="N326" s="61">
        <f t="shared" ca="1" si="57"/>
        <v>0</v>
      </c>
      <c r="O326" s="5">
        <f t="shared" ca="1" si="58"/>
        <v>0</v>
      </c>
      <c r="P326" s="446" t="e">
        <f t="shared" si="53"/>
        <v>#VALUE!</v>
      </c>
      <c r="Q326" s="446" t="e">
        <f>IF(OR($B326="",MIN(Q$38,$D$19)&lt;MAX($P$34*($B326+IF($R$17="Distrato",$I$38-1,0)),IF(AND($L$37=0,$P$34=0),"",$L$37-1),IF($R$17="Distrato",$E326,0))),0,YEARFRAC(MAX($P$34*($B326+IF($R$17="Distrato",$I$38-1,0)),IF(AND($L$37=0,$P$34=0),"",$L$37-1),IF($R$17="Distrato",$E326,0)),MIN(Q$38,$D$19),$P$20))-SUM($P326:P326)</f>
        <v>#VALUE!</v>
      </c>
      <c r="R326" s="446" t="e">
        <f>IF(OR($B326="",MIN(R$38,$D$19)&lt;MAX($P$34*($B326+IF($R$17="Distrato",$I$38-1,0)),IF(AND($L$37=0,$P$34=0),"",$L$37-1),IF($R$17="Distrato",$E326,0))),0,YEARFRAC(MAX($P$34*($B326+IF($R$17="Distrato",$I$38-1,0)),IF(AND($L$37=0,$P$34=0),"",$L$37-1),IF($R$17="Distrato",$E326,0)),MIN(R$38,$D$19),$P$20))-SUM($P326:Q326)</f>
        <v>#VALUE!</v>
      </c>
      <c r="S326" s="446" t="e">
        <f>IF(OR($B326="",MIN(S$38,$D$19)&lt;MAX($P$34*($B326+IF($R$17="Distrato",$I$38-1,0)),IF(AND($L$37=0,$P$34=0),"",$L$37-1),IF($R$17="Distrato",$E326,0))),0,YEARFRAC(MAX($P$34*($B326+IF($R$17="Distrato",$I$38-1,0)),IF(AND($L$37=0,$P$34=0),"",$L$37-1),IF($R$17="Distrato",$E326,0)),MIN(S$38,$D$19),$P$20))-SUM($P326:R326)</f>
        <v>#VALUE!</v>
      </c>
      <c r="T326" s="446" t="e">
        <f>IF(OR($B326="",MIN(T$38,$D$19)&lt;MAX($P$34*($B326+IF($R$17="Distrato",$I$38-1,0)),IF(AND($L$37=0,$P$34=0),"",$L$37-1),IF($R$17="Distrato",$E326,0))),0,YEARFRAC(MAX($P$34*($B326+IF($R$17="Distrato",$I$38-1,0)),IF(AND($L$37=0,$P$34=0),"",$L$37-1),IF($R$17="Distrato",$E326,0)),MIN(T$38,$D$19),$P$20))-SUM($P326:S326)</f>
        <v>#VALUE!</v>
      </c>
      <c r="U326" s="446" t="e">
        <f>IF(OR($B326="",MIN(U$38,$D$19)&lt;MAX($P$34*($B326+IF($R$17="Distrato",$I$38-1,0)),IF(AND($L$37=0,$P$34=0),"",$L$37-1),IF($R$17="Distrato",$E326,0))),0,YEARFRAC(MAX($P$34*($B326+IF($R$17="Distrato",$I$38-1,0)),IF(AND($L$37=0,$P$34=0),"",$L$37-1),IF($R$17="Distrato",$E326,0)),MIN(U$38,$D$19),$P$20))-SUM($P326:T326)</f>
        <v>#VALUE!</v>
      </c>
      <c r="V326" s="446" t="e">
        <f>IF(OR($B326="",MIN(V$38,$D$19)&lt;MAX($P$34*($B326+IF($R$17="Distrato",$I$38-1,0)),IF(AND($L$37=0,$P$34=0),"",$L$37-1),IF($R$17="Distrato",$E326,0))),0,YEARFRAC(MAX($P$34*($B326+IF($R$17="Distrato",$I$38-1,0)),IF(AND($L$37=0,$P$34=0),"",$L$37-1),IF($R$17="Distrato",$E326,0)),MIN(V$38,$D$19),$P$20))-SUM($P326:U326)</f>
        <v>#VALUE!</v>
      </c>
      <c r="W326" s="446" t="e">
        <f>IF(OR($B326="",MIN(W$38,$D$19)&lt;MAX($P$34*($B326+IF($R$17="Distrato",$I$38-1,0)),IF(AND($L$37=0,$P$34=0),"",$L$37-1),IF($R$17="Distrato",$E326,0))),0,YEARFRAC(MAX($P$34*($B326+IF($R$17="Distrato",$I$38-1,0)),IF(AND($L$37=0,$P$34=0),"",$L$37-1),IF($R$17="Distrato",$E326,0)),MIN(W$38,$D$19),$P$20))-SUM($P326:V326)</f>
        <v>#VALUE!</v>
      </c>
      <c r="X326" s="446" t="e">
        <f>IF(OR($B326="",MIN(X$38,$D$19)&lt;MAX($P$34*($B326+IF($R$17="Distrato",$I$38-1,0)),IF(AND($L$37=0,$P$34=0),"",$L$37-1),IF($R$17="Distrato",$E326,0))),0,YEARFRAC(MAX($P$34*($B326+IF($R$17="Distrato",$I$38-1,0)),IF(AND($L$37=0,$P$34=0),"",$L$37-1),IF($R$17="Distrato",$E326,0)),MIN(X$38,$D$19),$P$20))-SUM($P326:W326)</f>
        <v>#VALUE!</v>
      </c>
      <c r="Y326" s="446" t="e">
        <f>IF(OR($B326="",MIN(Y$38,$D$19)&lt;MAX($P$34*($B326+IF($R$17="Distrato",$I$38-1,0)),IF(AND($L$37=0,$P$34=0),"",$L$37-1),IF($R$17="Distrato",$E326,0))),0,YEARFRAC(MAX($P$34*($B326+IF($R$17="Distrato",$I$38-1,0)),IF(AND($L$37=0,$P$34=0),"",$L$37-1),IF($R$17="Distrato",$E326,0)),MIN(Y$38,$D$19),$P$20))-SUM($P326:X326)</f>
        <v>#VALUE!</v>
      </c>
      <c r="Z326" s="446" t="e">
        <f>IF(OR($B326="",MIN(Z$38,$D$19)&lt;MAX($P$34*($B326+IF($R$17="Distrato",$I$38-1,0)),IF(AND($L$37=0,$P$34=0),"",$L$37-1),IF($R$17="Distrato",$E326,0))),0,YEARFRAC(MAX($P$34*($B326+IF($R$17="Distrato",$I$38-1,0)),IF(AND($L$37=0,$P$34=0),"",$L$37-1),IF($R$17="Distrato",$E326,0)),MIN(Z$38,$D$19),$P$20))-SUM($P326:Y326)</f>
        <v>#VALUE!</v>
      </c>
      <c r="AA326" s="446" t="e">
        <f>IF(OR($B326="",MIN(AA$38,$D$19)&lt;MAX($P$34*($B326+IF($R$17="Distrato",$I$38-1,0)),IF(AND($L$37=0,$P$34=0),"",$L$37-1),IF($R$17="Distrato",$E326,0))),0,YEARFRAC(MAX($P$34*($B326+IF($R$17="Distrato",$I$38-1,0)),IF(AND($L$37=0,$P$34=0),"",$L$37-1),IF($R$17="Distrato",$E326,0)),MIN(AA$38,$D$19),$P$20))-SUM($P326:Z326)</f>
        <v>#VALUE!</v>
      </c>
      <c r="AB326" s="446" t="e">
        <f>IF(OR($B326="",MIN(AB$38,$D$19)&lt;MAX($P$34*($B326+IF($R$17="Distrato",$I$38-1,0)),IF(AND($L$37=0,$P$34=0),"",$L$37-1),IF($R$17="Distrato",$E326,0))),0,YEARFRAC(MAX($P$34*($B326+IF($R$17="Distrato",$I$38-1,0)),IF(AND($L$37=0,$P$34=0),"",$L$37-1),IF($R$17="Distrato",$E326,0)),MIN(AB$38,$D$19),$P$20))-SUM($P326:AA326)</f>
        <v>#VALUE!</v>
      </c>
      <c r="AC326" s="446" t="e">
        <f>IF(OR($B326="",MIN(AC$38,$D$19)&lt;MAX($P$34*($B326+IF($R$17="Distrato",$I$38-1,0)),IF(AND($L$37=0,$P$34=0),"",$L$37-1),IF($R$17="Distrato",$E326,0))),0,YEARFRAC(MAX($P$34*($B326+IF($R$17="Distrato",$I$38-1,0)),IF(AND($L$37=0,$P$34=0),"",$L$37-1),IF($R$17="Distrato",$E326,0)),MIN(AC$38,$D$19),$P$20))-SUM($P326:AB326)</f>
        <v>#VALUE!</v>
      </c>
      <c r="AD326" s="446" t="e">
        <f>IF(OR($B326="",MIN(AD$38,$D$19)&lt;MAX($P$34*($B326+IF($R$17="Distrato",$I$38-1,0)),IF(AND($L$37=0,$P$34=0),"",$L$37-1),IF($R$17="Distrato",$E326,0))),0,YEARFRAC(MAX($P$34*($B326+IF($R$17="Distrato",$I$38-1,0)),IF(AND($L$37=0,$P$34=0),"",$L$37-1),IF($R$17="Distrato",$E326,0)),MIN(AD$38,$D$19),$P$20))-SUM($P326:AC326)</f>
        <v>#VALUE!</v>
      </c>
      <c r="AE326" s="446" t="e">
        <f>IF(OR($B326="",MIN(AE$38,$D$19)&lt;MAX($P$34*($B326+IF($R$17="Distrato",$I$38-1,0)),IF(AND($L$37=0,$P$34=0),"",$L$37-1),IF($R$17="Distrato",$E326,0))),0,YEARFRAC(MAX($P$34*($B326+IF($R$17="Distrato",$I$38-1,0)),IF(AND($L$37=0,$P$34=0),"",$L$37-1),IF($R$17="Distrato",$E326,0)),MIN(AE$38,$D$19),$P$20))-SUM($P326:AD326)</f>
        <v>#VALUE!</v>
      </c>
      <c r="AF326" s="446" t="e">
        <f>IF(OR($B326="",MIN(AF$38,$D$19)&lt;MAX($P$34*($B326+IF($R$17="Distrato",$I$38-1,0)),IF(AND($L$37=0,$P$34=0),"",$L$37-1),IF($R$17="Distrato",$E326,0))),0,YEARFRAC(MAX($P$34*($B326+IF($R$17="Distrato",$I$38-1,0)),IF(AND($L$37=0,$P$34=0),"",$L$37-1),IF($R$17="Distrato",$E326,0)),MIN(AF$38,$D$19),$P$20))-SUM($P326:AE326)</f>
        <v>#VALUE!</v>
      </c>
      <c r="AG326" s="446" t="e">
        <f>IF(OR($B326="",MIN(AG$38,$D$19)&lt;MAX($P$34*($B326+IF($R$17="Distrato",$I$38-1,0)),IF(AND($L$37=0,$P$34=0),"",$L$37-1),IF($R$17="Distrato",$E326,0))),0,YEARFRAC(MAX($P$34*($B326+IF($R$17="Distrato",$I$38-1,0)),IF(AND($L$37=0,$P$34=0),"",$L$37-1),IF($R$17="Distrato",$E326,0)),MIN(AG$38,$D$19),$P$20))-SUM($P326:AF326)</f>
        <v>#VALUE!</v>
      </c>
      <c r="AH326" s="446" t="e">
        <f>IF(OR($B326="",MIN(AH$38,$D$19)&lt;MAX($P$34*($B326+IF($R$17="Distrato",$I$38-1,0)),IF(AND($L$37=0,$P$34=0),"",$L$37-1),IF($R$17="Distrato",$E326,0))),0,YEARFRAC(MAX($P$34*($B326+IF($R$17="Distrato",$I$38-1,0)),IF(AND($L$37=0,$P$34=0),"",$L$37-1),IF($R$17="Distrato",$E326,0)),MIN(AH$38,$D$19),$P$20))-SUM($P326:AG326)</f>
        <v>#VALUE!</v>
      </c>
      <c r="AI326" s="446" t="e">
        <f>IF(OR($B326="",MIN(AI$38,$D$19)&lt;MAX($P$34*($B326+IF($R$17="Distrato",$I$38-1,0)),IF(AND($L$37=0,$P$34=0),"",$L$37-1),IF($R$17="Distrato",$E326,0))),0,YEARFRAC(MAX($P$34*($B326+IF($R$17="Distrato",$I$38-1,0)),IF(AND($L$37=0,$P$34=0),"",$L$37-1),IF($R$17="Distrato",$E326,0)),MIN(AI$38,$D$19),$P$20))-SUM($P326:AH326)</f>
        <v>#VALUE!</v>
      </c>
      <c r="AJ326" s="446" t="e">
        <f>IF(OR($B326="",MIN(AJ$38,$D$19)&lt;MAX($P$34*($B326+IF($R$17="Distrato",$I$38-1,0)),IF(AND($L$37=0,$P$34=0),"",$L$37-1),IF($R$17="Distrato",$E326,0))),0,YEARFRAC(MAX($P$34*($B326+IF($R$17="Distrato",$I$38-1,0)),IF(AND($L$37=0,$P$34=0),"",$L$37-1),IF($R$17="Distrato",$E326,0)),MIN(AJ$38,$D$19),$P$20))-SUM($P326:AI326)</f>
        <v>#VALUE!</v>
      </c>
      <c r="AK326" s="446" t="e">
        <f>IF(OR($B326="",MIN(AK$38,$D$19)&lt;MAX($P$34*($B326+IF($R$17="Distrato",$I$38-1,0)),IF(AND($L$37=0,$P$34=0),"",$L$37-1),IF($R$17="Distrato",$E326,0))),0,YEARFRAC(MAX($P$34*($B326+IF($R$17="Distrato",$I$38-1,0)),IF(AND($L$37=0,$P$34=0),"",$L$37-1),IF($R$17="Distrato",$E326,0)),MIN(AK$38,$D$19),$P$20))-SUM($P326:AJ326)</f>
        <v>#VALUE!</v>
      </c>
      <c r="AL326" s="446" t="e">
        <f>IF(OR($B326="",MIN(AL$38,$D$19)&lt;MAX($P$34*($B326+IF($R$17="Distrato",$I$38-1,0)),IF(AND($L$37=0,$P$34=0),"",$L$37-1),IF($R$17="Distrato",$E326,0))),0,YEARFRAC(MAX($P$34*($B326+IF($R$17="Distrato",$I$38-1,0)),IF(AND($L$37=0,$P$34=0),"",$L$37-1),IF($R$17="Distrato",$E326,0)),MIN(AL$38,$D$19),$P$20))-SUM($P326:AK326)</f>
        <v>#VALUE!</v>
      </c>
      <c r="AM326" s="446" t="e">
        <f>IF(OR($B326="",MIN(AM$38,$D$19)&lt;MAX($P$34*($B326+IF($R$17="Distrato",$I$38-1,0)),IF(AND($L$37=0,$P$34=0),"",$L$37-1),IF($R$17="Distrato",$E326,0))),0,YEARFRAC(MAX($P$34*($B326+IF($R$17="Distrato",$I$38-1,0)),IF(AND($L$37=0,$P$34=0),"",$L$37-1),IF($R$17="Distrato",$E326,0)),MIN(AM$38,$D$19),$P$20))-SUM($P326:AL326)</f>
        <v>#VALUE!</v>
      </c>
      <c r="AN326" s="446" t="e">
        <f>IF(OR($B326="",MIN(AN$38,$D$19)&lt;MAX($P$34*($B326+IF($R$17="Distrato",$I$38-1,0)),IF(AND($L$37=0,$P$34=0),"",$L$37-1),IF($R$17="Distrato",$E326,0))),0,YEARFRAC(MAX($P$34*($B326+IF($R$17="Distrato",$I$38-1,0)),IF(AND($L$37=0,$P$34=0),"",$L$37-1),IF($R$17="Distrato",$E326,0)),MIN(AN$38,$D$19),$P$20))-SUM($P326:AM326)</f>
        <v>#VALUE!</v>
      </c>
      <c r="AO326" s="446" t="e">
        <f>IF(OR($B326="",MIN(AO$38,$D$19)&lt;MAX($P$34*($B326+IF($R$17="Distrato",$I$38-1,0)),IF(AND($L$37=0,$P$34=0),"",$L$37-1),IF($R$17="Distrato",$E326,0))),0,YEARFRAC(MAX($P$34*($B326+IF($R$17="Distrato",$I$38-1,0)),IF(AND($L$37=0,$P$34=0),"",$L$37-1),IF($R$17="Distrato",$E326,0)),MIN(AO$38,$D$19),$P$20))-SUM($P326:AN326)</f>
        <v>#VALUE!</v>
      </c>
      <c r="AP326" s="446" t="e">
        <f>IF(OR($B326="",MIN(AP$38,$D$19)&lt;MAX($P$34*($B326+IF($R$17="Distrato",$I$38-1,0)),IF(AND($L$37=0,$P$34=0),"",$L$37-1),IF($R$17="Distrato",$E326,0))),0,YEARFRAC(MAX($P$34*($B326+IF($R$17="Distrato",$I$38-1,0)),IF(AND($L$37=0,$P$34=0),"",$L$37-1),IF($R$17="Distrato",$E326,0)),MIN(AP$38,$D$19),$P$20))-SUM($P326:AO326)</f>
        <v>#VALUE!</v>
      </c>
      <c r="AQ326" s="446" t="e">
        <f>IF(OR($B326="",MIN(AQ$38,$D$19)&lt;MAX($P$34*($B326+IF($R$17="Distrato",$I$38-1,0)),IF(AND($L$37=0,$P$34=0),"",$L$37-1),IF($R$17="Distrato",$E326,0))),0,YEARFRAC(MAX($P$34*($B326+IF($R$17="Distrato",$I$38-1,0)),IF(AND($L$37=0,$P$34=0),"",$L$37-1),IF($R$17="Distrato",$E326,0)),MIN(AQ$38,$D$19),$P$20))-SUM($P326:AP326)</f>
        <v>#VALUE!</v>
      </c>
      <c r="AR326" s="446" t="e">
        <f>IF(OR($B326="",MIN(AR$38,$D$19)&lt;MAX($P$34*($B326+IF($R$17="Distrato",$I$38-1,0)),IF(AND($L$37=0,$P$34=0),"",$L$37-1),IF($R$17="Distrato",$E326,0))),0,YEARFRAC(MAX($P$34*($B326+IF($R$17="Distrato",$I$38-1,0)),IF(AND($L$37=0,$P$34=0),"",$L$37-1),IF($R$17="Distrato",$E326,0)),MIN(AR$38,$D$19),$P$20))-SUM($P326:AQ326)</f>
        <v>#VALUE!</v>
      </c>
      <c r="AS326" s="446" t="e">
        <f>IF(OR($B326="",MIN(AS$38,$D$19)&lt;MAX($P$34*($B326+IF($R$17="Distrato",$I$38-1,0)),IF(AND($L$37=0,$P$34=0),"",$L$37-1),IF($R$17="Distrato",$E326,0))),0,YEARFRAC(MAX($P$34*($B326+IF($R$17="Distrato",$I$38-1,0)),IF(AND($L$37=0,$P$34=0),"",$L$37-1),IF($R$17="Distrato",$E326,0)),MIN(AS$38,$D$19),$P$20))-SUM($P326:AR326)</f>
        <v>#VALUE!</v>
      </c>
      <c r="AT326" s="446" t="e">
        <f>IF(OR($B326="",MIN(AT$38,$D$19)&lt;MAX($P$34*($B326+IF($R$17="Distrato",$I$38-1,0)),IF(AND($L$37=0,$P$34=0),"",$L$37-1),IF($R$17="Distrato",$E326,0))),0,YEARFRAC(MAX($P$34*($B326+IF($R$17="Distrato",$I$38-1,0)),IF(AND($L$37=0,$P$34=0),"",$L$37-1),IF($R$17="Distrato",$E326,0)),MIN(AT$38,$D$19),$P$20))-SUM($P326:AS326)</f>
        <v>#VALUE!</v>
      </c>
      <c r="AU326" s="446" t="e">
        <f>IF(OR($B326="",MIN(AU$38,$D$19)&lt;MAX($P$34*($B326+IF($R$17="Distrato",$I$38-1,0)),IF(AND($L$37=0,$P$34=0),"",$L$37-1),IF($R$17="Distrato",$E326,0))),0,YEARFRAC(MAX($P$34*($B326+IF($R$17="Distrato",$I$38-1,0)),IF(AND($L$37=0,$P$34=0),"",$L$37-1),IF($R$17="Distrato",$E326,0)),MIN(AU$38,$D$19),$P$20))-SUM($P326:AT326)</f>
        <v>#VALUE!</v>
      </c>
      <c r="AV326" s="446" t="e">
        <f>IF(OR($B326="",MIN(AV$38,$D$19)&lt;MAX($P$34*($B326+IF($R$17="Distrato",$I$38-1,0)),IF(AND($L$37=0,$P$34=0),"",$L$37-1),IF($R$17="Distrato",$E326,0))),0,YEARFRAC(MAX($P$34*($B326+IF($R$17="Distrato",$I$38-1,0)),IF(AND($L$37=0,$P$34=0),"",$L$37-1),IF($R$17="Distrato",$E326,0)),MIN(AV$38,$D$19),$P$20))-SUM($P326:AU326)</f>
        <v>#VALUE!</v>
      </c>
      <c r="AW326" s="446" t="e">
        <f>IF(OR($B326="",MIN(AW$38,$D$19)&lt;MAX($P$34*($B326+IF($R$17="Distrato",$I$38-1,0)),IF(AND($L$37=0,$P$34=0),"",$L$37-1),IF($R$17="Distrato",$E326,0))),0,YEARFRAC(MAX($P$34*($B326+IF($R$17="Distrato",$I$38-1,0)),IF(AND($L$37=0,$P$34=0),"",$L$37-1),IF($R$17="Distrato",$E326,0)),MIN(AW$38,$D$19),$P$20))-SUM($P326:AV326)</f>
        <v>#VALUE!</v>
      </c>
      <c r="AX326" s="446" t="e">
        <f>IF(OR($B326="",MIN(AX$38,$D$19)&lt;MAX($P$34*($B326+IF($R$17="Distrato",$I$38-1,0)),IF(AND($L$37=0,$P$34=0),"",$L$37-1),IF($R$17="Distrato",$E326,0))),0,YEARFRAC(MAX($P$34*($B326+IF($R$17="Distrato",$I$38-1,0)),IF(AND($L$37=0,$P$34=0),"",$L$37-1),IF($R$17="Distrato",$E326,0)),MIN(AX$38,$D$19),$P$20))-SUM($P326:AW326)</f>
        <v>#VALUE!</v>
      </c>
      <c r="AY326" s="446" t="e">
        <f>IF(OR($B326="",MIN(AY$38,$D$19)&lt;MAX($P$34*($B326+IF($R$17="Distrato",$I$38-1,0)),IF(AND($L$37=0,$P$34=0),"",$L$37-1),IF($R$17="Distrato",$E326,0))),0,YEARFRAC(MAX($P$34*($B326+IF($R$17="Distrato",$I$38-1,0)),IF(AND($L$37=0,$P$34=0),"",$L$37-1),IF($R$17="Distrato",$E326,0)),MIN(AY$38,$D$19),$P$20))-SUM($P326:AX326)</f>
        <v>#VALUE!</v>
      </c>
      <c r="AZ326" s="446" t="e">
        <f>IF(OR($B326="",MIN(AZ$38,$D$19)&lt;MAX($P$34*($B326+IF($R$17="Distrato",$I$38-1,0)),IF(AND($L$37=0,$P$34=0),"",$L$37-1),IF($R$17="Distrato",$E326,0))),0,YEARFRAC(MAX($P$34*($B326+IF($R$17="Distrato",$I$38-1,0)),IF(AND($L$37=0,$P$34=0),"",$L$37-1),IF($R$17="Distrato",$E326,0)),MIN(AZ$38,$D$19),$P$20))-SUM($P326:AY326)</f>
        <v>#VALUE!</v>
      </c>
      <c r="BA326" s="446" t="e">
        <f>IF(OR($B326="",MIN(BA$38,$D$19)&lt;MAX($P$34*($B326+IF($R$17="Distrato",$I$38-1,0)),IF(AND($L$37=0,$P$34=0),"",$L$37-1),IF($R$17="Distrato",$E326,0))),0,YEARFRAC(MAX($P$34*($B326+IF($R$17="Distrato",$I$38-1,0)),IF(AND($L$37=0,$P$34=0),"",$L$37-1),IF($R$17="Distrato",$E326,0)),MIN(BA$38,$D$19),$P$20))-SUM($P326:AZ326)</f>
        <v>#VALUE!</v>
      </c>
      <c r="BB326" s="447"/>
      <c r="BF326" s="446">
        <f t="shared" si="54"/>
        <v>0</v>
      </c>
      <c r="BG326" s="446">
        <f>IF($E326=0,0,IF(MIN(BG$38,$E326)&lt;MAX($P$34*($B326+$I$38-1),IF(AND($L$37=0,$P$34=0),"",$L$37-1)),0,YEARFRAC(MAX($P$34*($B326+$I$38-1),IF(AND($L$37=0,$P$34=0),"",$L$37-1)),MIN(BG$38,$E326),$P$20))-SUM($BF326:BF326))</f>
        <v>0</v>
      </c>
      <c r="BH326" s="446">
        <f>IF($E326=0,0,IF(MIN(BH$38,$E326)&lt;MAX($P$34*($B326+$I$38-1),IF(AND($L$37=0,$P$34=0),"",$L$37-1)),0,YEARFRAC(MAX($P$34*($B326+$I$38-1),IF(AND($L$37=0,$P$34=0),"",$L$37-1)),MIN(BH$38,$E326),$P$20))-SUM($BF326:BG326))</f>
        <v>0</v>
      </c>
      <c r="BI326" s="446">
        <f>IF($E326=0,0,IF(MIN(BI$38,$E326)&lt;MAX($P$34*($B326+$I$38-1),IF(AND($L$37=0,$P$34=0),"",$L$37-1)),0,YEARFRAC(MAX($P$34*($B326+$I$38-1),IF(AND($L$37=0,$P$34=0),"",$L$37-1)),MIN(BI$38,$E326),$P$20))-SUM($BF326:BH326))</f>
        <v>0</v>
      </c>
      <c r="BJ326" s="446">
        <f>IF($E326=0,0,IF(MIN(BJ$38,$E326)&lt;MAX($P$34*($B326+$I$38-1),IF(AND($L$37=0,$P$34=0),"",$L$37-1)),0,YEARFRAC(MAX($P$34*($B326+$I$38-1),IF(AND($L$37=0,$P$34=0),"",$L$37-1)),MIN(BJ$38,$E326),$P$20))-SUM($BF326:BI326))</f>
        <v>0</v>
      </c>
      <c r="BK326" s="446">
        <f>IF($E326=0,0,IF(MIN(BK$38,$E326)&lt;MAX($P$34*($B326+$I$38-1),IF(AND($L$37=0,$P$34=0),"",$L$37-1)),0,YEARFRAC(MAX($P$34*($B326+$I$38-1),IF(AND($L$37=0,$P$34=0),"",$L$37-1)),MIN(BK$38,$E326),$P$20))-SUM($BF326:BJ326))</f>
        <v>0</v>
      </c>
      <c r="BL326" s="446">
        <f>IF($E326=0,0,IF(MIN(BL$38,$E326)&lt;MAX($P$34*($B326+$I$38-1),IF(AND($L$37=0,$P$34=0),"",$L$37-1)),0,YEARFRAC(MAX($P$34*($B326+$I$38-1),IF(AND($L$37=0,$P$34=0),"",$L$37-1)),MIN(BL$38,$E326),$P$20))-SUM($BF326:BK326))</f>
        <v>0</v>
      </c>
      <c r="BM326" s="446">
        <f>IF($E326=0,0,IF(MIN(BM$38,$E326)&lt;MAX($P$34*($B326+$I$38-1),IF(AND($L$37=0,$P$34=0),"",$L$37-1)),0,YEARFRAC(MAX($P$34*($B326+$I$38-1),IF(AND($L$37=0,$P$34=0),"",$L$37-1)),MIN(BM$38,$E326),$P$20))-SUM($BF326:BL326))</f>
        <v>0</v>
      </c>
      <c r="BN326" s="446">
        <f>IF($E326=0,0,IF(MIN(BN$38,$E326)&lt;MAX($P$34*($B326+$I$38-1),IF(AND($L$37=0,$P$34=0),"",$L$37-1)),0,YEARFRAC(MAX($P$34*($B326+$I$38-1),IF(AND($L$37=0,$P$34=0),"",$L$37-1)),MIN(BN$38,$E326),$P$20))-SUM($BF326:BM326))</f>
        <v>0</v>
      </c>
      <c r="BO326" s="446">
        <f>IF($E326=0,0,IF(MIN(BO$38,$E326)&lt;MAX($P$34*($B326+$I$38-1),IF(AND($L$37=0,$P$34=0),"",$L$37-1)),0,YEARFRAC(MAX($P$34*($B326+$I$38-1),IF(AND($L$37=0,$P$34=0),"",$L$37-1)),MIN(BO$38,$E326),$P$20))-SUM($BF326:BN326))</f>
        <v>0</v>
      </c>
      <c r="BP326" s="446">
        <f>IF($E326=0,0,IF(MIN(BP$38,$E326)&lt;MAX($P$34*($B326+$I$38-1),IF(AND($L$37=0,$P$34=0),"",$L$37-1)),0,YEARFRAC(MAX($P$34*($B326+$I$38-1),IF(AND($L$37=0,$P$34=0),"",$L$37-1)),MIN(BP$38,$E326),$P$20))-SUM($BF326:BO326))</f>
        <v>0</v>
      </c>
      <c r="BQ326" s="446">
        <f>IF($E326=0,0,IF(MIN(BQ$38,$E326)&lt;MAX($P$34*($B326+$I$38-1),IF(AND($L$37=0,$P$34=0),"",$L$37-1)),0,YEARFRAC(MAX($P$34*($B326+$I$38-1),IF(AND($L$37=0,$P$34=0),"",$L$37-1)),MIN(BQ$38,$E326),$P$20))-SUM($BF326:BP326))</f>
        <v>0</v>
      </c>
      <c r="BR326" s="446">
        <f>IF($E326=0,0,IF(MIN(BR$38,$E326)&lt;MAX($P$34*($B326+$I$38-1),IF(AND($L$37=0,$P$34=0),"",$L$37-1)),0,YEARFRAC(MAX($P$34*($B326+$I$38-1),IF(AND($L$37=0,$P$34=0),"",$L$37-1)),MIN(BR$38,$E326),$P$20))-SUM($BF326:BQ326))</f>
        <v>0</v>
      </c>
      <c r="BS326" s="446">
        <f>IF($E326=0,0,IF(MIN(BS$38,$E326)&lt;MAX($P$34*($B326+$I$38-1),IF(AND($L$37=0,$P$34=0),"",$L$37-1)),0,YEARFRAC(MAX($P$34*($B326+$I$38-1),IF(AND($L$37=0,$P$34=0),"",$L$37-1)),MIN(BS$38,$E326),$P$20))-SUM($BF326:BR326))</f>
        <v>0</v>
      </c>
      <c r="BT326" s="446">
        <f>IF($E326=0,0,IF(MIN(BT$38,$E326)&lt;MAX($P$34*($B326+$I$38-1),IF(AND($L$37=0,$P$34=0),"",$L$37-1)),0,YEARFRAC(MAX($P$34*($B326+$I$38-1),IF(AND($L$37=0,$P$34=0),"",$L$37-1)),MIN(BT$38,$E326),$P$20))-SUM($BF326:BS326))</f>
        <v>0</v>
      </c>
      <c r="BU326" s="446">
        <f>IF($E326=0,0,IF(MIN(BU$38,$E326)&lt;MAX($P$34*($B326+$I$38-1),IF(AND($L$37=0,$P$34=0),"",$L$37-1)),0,YEARFRAC(MAX($P$34*($B326+$I$38-1),IF(AND($L$37=0,$P$34=0),"",$L$37-1)),MIN(BU$38,$E326),$P$20))-SUM($BF326:BT326))</f>
        <v>0</v>
      </c>
      <c r="BV326" s="446">
        <f>IF($E326=0,0,IF(MIN(BV$38,$E326)&lt;MAX($P$34*($B326+$I$38-1),IF(AND($L$37=0,$P$34=0),"",$L$37-1)),0,YEARFRAC(MAX($P$34*($B326+$I$38-1),IF(AND($L$37=0,$P$34=0),"",$L$37-1)),MIN(BV$38,$E326),$P$20))-SUM($BF326:BU326))</f>
        <v>0</v>
      </c>
      <c r="BW326" s="446">
        <f>IF($E326=0,0,IF(MIN(BW$38,$E326)&lt;MAX($P$34*($B326+$I$38-1),IF(AND($L$37=0,$P$34=0),"",$L$37-1)),0,YEARFRAC(MAX($P$34*($B326+$I$38-1),IF(AND($L$37=0,$P$34=0),"",$L$37-1)),MIN(BW$38,$E326),$P$20))-SUM($BF326:BV326))</f>
        <v>0</v>
      </c>
      <c r="BX326" s="446">
        <f>IF($E326=0,0,IF(MIN(BX$38,$E326)&lt;MAX($P$34*($B326+$I$38-1),IF(AND($L$37=0,$P$34=0),"",$L$37-1)),0,YEARFRAC(MAX($P$34*($B326+$I$38-1),IF(AND($L$37=0,$P$34=0),"",$L$37-1)),MIN(BX$38,$E326),$P$20))-SUM($BF326:BW326))</f>
        <v>0</v>
      </c>
      <c r="BY326" s="446">
        <f>IF($E326=0,0,IF(MIN(BY$38,$E326)&lt;MAX($P$34*($B326+$I$38-1),IF(AND($L$37=0,$P$34=0),"",$L$37-1)),0,YEARFRAC(MAX($P$34*($B326+$I$38-1),IF(AND($L$37=0,$P$34=0),"",$L$37-1)),MIN(BY$38,$E326),$P$20))-SUM($BF326:BX326))</f>
        <v>0</v>
      </c>
      <c r="BZ326" s="446">
        <f>IF($E326=0,0,IF(MIN(BZ$38,$E326)&lt;MAX($P$34*($B326+$I$38-1),IF(AND($L$37=0,$P$34=0),"",$L$37-1)),0,YEARFRAC(MAX($P$34*($B326+$I$38-1),IF(AND($L$37=0,$P$34=0),"",$L$37-1)),MIN(BZ$38,$E326),$P$20))-SUM($BF326:BY326))</f>
        <v>0</v>
      </c>
      <c r="CA326" s="446">
        <f>IF($E326=0,0,IF(MIN(CA$38,$E326)&lt;MAX($P$34*($B326+$I$38-1),IF(AND($L$37=0,$P$34=0),"",$L$37-1)),0,YEARFRAC(MAX($P$34*($B326+$I$38-1),IF(AND($L$37=0,$P$34=0),"",$L$37-1)),MIN(CA$38,$E326),$P$20))-SUM($BF326:BZ326))</f>
        <v>0</v>
      </c>
      <c r="CB326" s="446">
        <f>IF($E326=0,0,IF(MIN(CB$38,$E326)&lt;MAX($P$34*($B326+$I$38-1),IF(AND($L$37=0,$P$34=0),"",$L$37-1)),0,YEARFRAC(MAX($P$34*($B326+$I$38-1),IF(AND($L$37=0,$P$34=0),"",$L$37-1)),MIN(CB$38,$E326),$P$20))-SUM($BF326:CA326))</f>
        <v>0</v>
      </c>
      <c r="CC326" s="446">
        <f>IF($E326=0,0,IF(MIN(CC$38,$E326)&lt;MAX($P$34*($B326+$I$38-1),IF(AND($L$37=0,$P$34=0),"",$L$37-1)),0,YEARFRAC(MAX($P$34*($B326+$I$38-1),IF(AND($L$37=0,$P$34=0),"",$L$37-1)),MIN(CC$38,$E326),$P$20))-SUM($BF326:CB326))</f>
        <v>0</v>
      </c>
      <c r="CD326" s="446">
        <f>IF($E326=0,0,IF(MIN(CD$38,$E326)&lt;MAX($P$34*($B326+$I$38-1),IF(AND($L$37=0,$P$34=0),"",$L$37-1)),0,YEARFRAC(MAX($P$34*($B326+$I$38-1),IF(AND($L$37=0,$P$34=0),"",$L$37-1)),MIN(CD$38,$E326),$P$20))-SUM($BF326:CC326))</f>
        <v>0</v>
      </c>
      <c r="CE326" s="446">
        <f>IF($E326=0,0,IF(MIN(CE$38,$E326)&lt;MAX($P$34*($B326+$I$38-1),IF(AND($L$37=0,$P$34=0),"",$L$37-1)),0,YEARFRAC(MAX($P$34*($B326+$I$38-1),IF(AND($L$37=0,$P$34=0),"",$L$37-1)),MIN(CE$38,$E326),$P$20))-SUM($BF326:CD326))</f>
        <v>0</v>
      </c>
      <c r="CF326" s="446">
        <f>IF($E326=0,0,IF(MIN(CF$38,$E326)&lt;MAX($P$34*($B326+$I$38-1),IF(AND($L$37=0,$P$34=0),"",$L$37-1)),0,YEARFRAC(MAX($P$34*($B326+$I$38-1),IF(AND($L$37=0,$P$34=0),"",$L$37-1)),MIN(CF$38,$E326),$P$20))-SUM($BF326:CE326))</f>
        <v>0</v>
      </c>
      <c r="CG326" s="446">
        <f>IF($E326=0,0,IF(MIN(CG$38,$E326)&lt;MAX($P$34*($B326+$I$38-1),IF(AND($L$37=0,$P$34=0),"",$L$37-1)),0,YEARFRAC(MAX($P$34*($B326+$I$38-1),IF(AND($L$37=0,$P$34=0),"",$L$37-1)),MIN(CG$38,$E326),$P$20))-SUM($BF326:CF326))</f>
        <v>0</v>
      </c>
      <c r="CH326" s="446">
        <f>IF($E326=0,0,IF(MIN(CH$38,$E326)&lt;MAX($P$34*($B326+$I$38-1),IF(AND($L$37=0,$P$34=0),"",$L$37-1)),0,YEARFRAC(MAX($P$34*($B326+$I$38-1),IF(AND($L$37=0,$P$34=0),"",$L$37-1)),MIN(CH$38,$E326),$P$20))-SUM($BF326:CG326))</f>
        <v>0</v>
      </c>
      <c r="CI326" s="446">
        <f>IF($E326=0,0,IF(MIN(CI$38,$E326)&lt;MAX($P$34*($B326+$I$38-1),IF(AND($L$37=0,$P$34=0),"",$L$37-1)),0,YEARFRAC(MAX($P$34*($B326+$I$38-1),IF(AND($L$37=0,$P$34=0),"",$L$37-1)),MIN(CI$38,$E326),$P$20))-SUM($BF326:CH326))</f>
        <v>0</v>
      </c>
      <c r="CJ326" s="446">
        <f>IF($E326=0,0,IF(MIN(CJ$38,$E326)&lt;MAX($P$34*($B326+$I$38-1),IF(AND($L$37=0,$P$34=0),"",$L$37-1)),0,YEARFRAC(MAX($P$34*($B326+$I$38-1),IF(AND($L$37=0,$P$34=0),"",$L$37-1)),MIN(CJ$38,$E326),$P$20))-SUM($BF326:CI326))</f>
        <v>0</v>
      </c>
      <c r="CK326" s="446">
        <f>IF($E326=0,0,IF(MIN(CK$38,$E326)&lt;MAX($P$34*($B326+$I$38-1),IF(AND($L$37=0,$P$34=0),"",$L$37-1)),0,YEARFRAC(MAX($P$34*($B326+$I$38-1),IF(AND($L$37=0,$P$34=0),"",$L$37-1)),MIN(CK$38,$E326),$P$20))-SUM($BF326:CJ326))</f>
        <v>0</v>
      </c>
      <c r="CL326" s="446">
        <f>IF($E326=0,0,IF(MIN(CL$38,$E326)&lt;MAX($P$34*($B326+$I$38-1),IF(AND($L$37=0,$P$34=0),"",$L$37-1)),0,YEARFRAC(MAX($P$34*($B326+$I$38-1),IF(AND($L$37=0,$P$34=0),"",$L$37-1)),MIN(CL$38,$E326),$P$20))-SUM($BF326:CK326))</f>
        <v>0</v>
      </c>
      <c r="CM326" s="446">
        <f>IF($E326=0,0,IF(MIN(CM$38,$E326)&lt;MAX($P$34*($B326+$I$38-1),IF(AND($L$37=0,$P$34=0),"",$L$37-1)),0,YEARFRAC(MAX($P$34*($B326+$I$38-1),IF(AND($L$37=0,$P$34=0),"",$L$37-1)),MIN(CM$38,$E326),$P$20))-SUM($BF326:CL326))</f>
        <v>0</v>
      </c>
      <c r="CN326" s="446">
        <f>IF($E326=0,0,IF(MIN(CN$38,$E326)&lt;MAX($P$34*($B326+$I$38-1),IF(AND($L$37=0,$P$34=0),"",$L$37-1)),0,YEARFRAC(MAX($P$34*($B326+$I$38-1),IF(AND($L$37=0,$P$34=0),"",$L$37-1)),MIN(CN$38,$E326),$P$20))-SUM($BF326:CM326))</f>
        <v>0</v>
      </c>
      <c r="CO326" s="446">
        <f>IF($E326=0,0,IF(MIN(CO$38,$E326)&lt;MAX($P$34*($B326+$I$38-1),IF(AND($L$37=0,$P$34=0),"",$L$37-1)),0,YEARFRAC(MAX($P$34*($B326+$I$38-1),IF(AND($L$37=0,$P$34=0),"",$L$37-1)),MIN(CO$38,$E326),$P$20))-SUM($BF326:CN326))</f>
        <v>0</v>
      </c>
      <c r="CP326" s="446">
        <f>IF($E326=0,0,IF(MIN(CP$38,$E326)&lt;MAX($P$34*($B326+$I$38-1),IF(AND($L$37=0,$P$34=0),"",$L$37-1)),0,YEARFRAC(MAX($P$34*($B326+$I$38-1),IF(AND($L$37=0,$P$34=0),"",$L$37-1)),MIN(CP$38,$E326),$P$20))-SUM($BF326:CO326))</f>
        <v>0</v>
      </c>
      <c r="CQ326" s="446">
        <f>IF($E326=0,0,IF(MIN(CQ$38,$E326)&lt;MAX($P$34*($B326+$I$38-1),IF(AND($L$37=0,$P$34=0),"",$L$37-1)),0,YEARFRAC(MAX($P$34*($B326+$I$38-1),IF(AND($L$37=0,$P$34=0),"",$L$37-1)),MIN(CQ$38,$E326),$P$20))-SUM($BF326:CP326))</f>
        <v>0</v>
      </c>
    </row>
    <row r="327" spans="1:95" s="446" customFormat="1" ht="11.25" hidden="1" customHeight="1" x14ac:dyDescent="0.2">
      <c r="A327" s="152"/>
      <c r="B327" s="153" t="str">
        <f t="shared" si="59"/>
        <v/>
      </c>
      <c r="C327" s="29" t="str">
        <f>IF(B327="","",IF($L$35="SELIC - TRIBUTOS",VLOOKUP(DATE(YEAR($D$19),MONTH($D$19)-1,1),ÍNDICES!$A:$DE,HLOOKUP($BL$25,ÍNDICES!$B$3:$T$4,2)+11)-VLOOKUP(B327,ÍNDICES!$A:$DE,HLOOKUP($BL$25,ÍNDICES!$B$3:$T$4,2)+11)+1%,IF(C$38=$W$26,$J$35,IF(ISERROR(IF(B327&gt;$D$19,1,VLOOKUP(DATE(YEAR(B327),MONTH(B327)+IF($C$35=$S$23,1,0),1),ÍNDICES!$A:$DE,$Z$35+1))),"",IF(B327&gt;$D$19,1,VLOOKUP(DATE(YEAR(B327),MONTH(B327)+IF($C$35=$S$23,1,0),1),ÍNDICES!$A:$DE,$Z$35+1))))))</f>
        <v/>
      </c>
      <c r="D327" s="154" t="str">
        <f>IF(ISERROR(IF(OR($D$38=$Y$27,$B327=""),"",VLOOKUP(B327,ÍNDICES!A:DE,AF$35+1))),"",IF(OR($D$38=$Y$27,$B327=""),"",VLOOKUP(B327,ÍNDICES!A:DE,AF$35+1)))</f>
        <v/>
      </c>
      <c r="E327" s="153"/>
      <c r="F327" s="29" t="str">
        <f>IF(E327="","",IF($L$35="SELIC - TRIBUTOS",VLOOKUP(DATE(YEAR($D$19),MONTH($D$19)-1,1),ÍNDICES!$A:$DE,HLOOKUP($BL$25,ÍNDICES!$B$3:$T$4,2)+11)-VLOOKUP(E327,ÍNDICES!$A:$DE,HLOOKUP($BL$25,ÍNDICES!$B$3:$T$4,2)+11)+1%,IF(F$38=$W$26,$J$35,IF(ISERROR(IF(E327&gt;$D$19,1,VLOOKUP(DATE(YEAR(E327),MONTH(E327)+IF($C$35=$S$23,1,0),1),ÍNDICES!$A:$DE,$Z$35+1))),"",IF(E327&gt;$D$19,1,VLOOKUP(DATE(YEAR(E327),MONTH(E327)+IF($C$35=$S$23,1,0),1),ÍNDICES!$A:$DE,$Z$35+1))))))</f>
        <v/>
      </c>
      <c r="G327" s="155"/>
      <c r="H327" s="156" t="str">
        <f t="shared" si="55"/>
        <v/>
      </c>
      <c r="I327" s="29" t="str">
        <f t="shared" si="49"/>
        <v/>
      </c>
      <c r="J327" s="5">
        <f t="shared" si="50"/>
        <v>0</v>
      </c>
      <c r="K327" s="20">
        <f t="shared" ca="1" si="51"/>
        <v>0</v>
      </c>
      <c r="L327" s="5">
        <f t="shared" ca="1" si="52"/>
        <v>0</v>
      </c>
      <c r="M327" s="64">
        <f t="shared" si="56"/>
        <v>0</v>
      </c>
      <c r="N327" s="61">
        <f t="shared" ca="1" si="57"/>
        <v>0</v>
      </c>
      <c r="O327" s="5">
        <f t="shared" ca="1" si="58"/>
        <v>0</v>
      </c>
      <c r="P327" s="446" t="e">
        <f t="shared" si="53"/>
        <v>#VALUE!</v>
      </c>
      <c r="Q327" s="446" t="e">
        <f>IF(OR($B327="",MIN(Q$38,$D$19)&lt;MAX($P$34*($B327+IF($R$17="Distrato",$I$38-1,0)),IF(AND($L$37=0,$P$34=0),"",$L$37-1),IF($R$17="Distrato",$E327,0))),0,YEARFRAC(MAX($P$34*($B327+IF($R$17="Distrato",$I$38-1,0)),IF(AND($L$37=0,$P$34=0),"",$L$37-1),IF($R$17="Distrato",$E327,0)),MIN(Q$38,$D$19),$P$20))-SUM($P327:P327)</f>
        <v>#VALUE!</v>
      </c>
      <c r="R327" s="446" t="e">
        <f>IF(OR($B327="",MIN(R$38,$D$19)&lt;MAX($P$34*($B327+IF($R$17="Distrato",$I$38-1,0)),IF(AND($L$37=0,$P$34=0),"",$L$37-1),IF($R$17="Distrato",$E327,0))),0,YEARFRAC(MAX($P$34*($B327+IF($R$17="Distrato",$I$38-1,0)),IF(AND($L$37=0,$P$34=0),"",$L$37-1),IF($R$17="Distrato",$E327,0)),MIN(R$38,$D$19),$P$20))-SUM($P327:Q327)</f>
        <v>#VALUE!</v>
      </c>
      <c r="S327" s="446" t="e">
        <f>IF(OR($B327="",MIN(S$38,$D$19)&lt;MAX($P$34*($B327+IF($R$17="Distrato",$I$38-1,0)),IF(AND($L$37=0,$P$34=0),"",$L$37-1),IF($R$17="Distrato",$E327,0))),0,YEARFRAC(MAX($P$34*($B327+IF($R$17="Distrato",$I$38-1,0)),IF(AND($L$37=0,$P$34=0),"",$L$37-1),IF($R$17="Distrato",$E327,0)),MIN(S$38,$D$19),$P$20))-SUM($P327:R327)</f>
        <v>#VALUE!</v>
      </c>
      <c r="T327" s="446" t="e">
        <f>IF(OR($B327="",MIN(T$38,$D$19)&lt;MAX($P$34*($B327+IF($R$17="Distrato",$I$38-1,0)),IF(AND($L$37=0,$P$34=0),"",$L$37-1),IF($R$17="Distrato",$E327,0))),0,YEARFRAC(MAX($P$34*($B327+IF($R$17="Distrato",$I$38-1,0)),IF(AND($L$37=0,$P$34=0),"",$L$37-1),IF($R$17="Distrato",$E327,0)),MIN(T$38,$D$19),$P$20))-SUM($P327:S327)</f>
        <v>#VALUE!</v>
      </c>
      <c r="U327" s="446" t="e">
        <f>IF(OR($B327="",MIN(U$38,$D$19)&lt;MAX($P$34*($B327+IF($R$17="Distrato",$I$38-1,0)),IF(AND($L$37=0,$P$34=0),"",$L$37-1),IF($R$17="Distrato",$E327,0))),0,YEARFRAC(MAX($P$34*($B327+IF($R$17="Distrato",$I$38-1,0)),IF(AND($L$37=0,$P$34=0),"",$L$37-1),IF($R$17="Distrato",$E327,0)),MIN(U$38,$D$19),$P$20))-SUM($P327:T327)</f>
        <v>#VALUE!</v>
      </c>
      <c r="V327" s="446" t="e">
        <f>IF(OR($B327="",MIN(V$38,$D$19)&lt;MAX($P$34*($B327+IF($R$17="Distrato",$I$38-1,0)),IF(AND($L$37=0,$P$34=0),"",$L$37-1),IF($R$17="Distrato",$E327,0))),0,YEARFRAC(MAX($P$34*($B327+IF($R$17="Distrato",$I$38-1,0)),IF(AND($L$37=0,$P$34=0),"",$L$37-1),IF($R$17="Distrato",$E327,0)),MIN(V$38,$D$19),$P$20))-SUM($P327:U327)</f>
        <v>#VALUE!</v>
      </c>
      <c r="W327" s="446" t="e">
        <f>IF(OR($B327="",MIN(W$38,$D$19)&lt;MAX($P$34*($B327+IF($R$17="Distrato",$I$38-1,0)),IF(AND($L$37=0,$P$34=0),"",$L$37-1),IF($R$17="Distrato",$E327,0))),0,YEARFRAC(MAX($P$34*($B327+IF($R$17="Distrato",$I$38-1,0)),IF(AND($L$37=0,$P$34=0),"",$L$37-1),IF($R$17="Distrato",$E327,0)),MIN(W$38,$D$19),$P$20))-SUM($P327:V327)</f>
        <v>#VALUE!</v>
      </c>
      <c r="X327" s="446" t="e">
        <f>IF(OR($B327="",MIN(X$38,$D$19)&lt;MAX($P$34*($B327+IF($R$17="Distrato",$I$38-1,0)),IF(AND($L$37=0,$P$34=0),"",$L$37-1),IF($R$17="Distrato",$E327,0))),0,YEARFRAC(MAX($P$34*($B327+IF($R$17="Distrato",$I$38-1,0)),IF(AND($L$37=0,$P$34=0),"",$L$37-1),IF($R$17="Distrato",$E327,0)),MIN(X$38,$D$19),$P$20))-SUM($P327:W327)</f>
        <v>#VALUE!</v>
      </c>
      <c r="Y327" s="446" t="e">
        <f>IF(OR($B327="",MIN(Y$38,$D$19)&lt;MAX($P$34*($B327+IF($R$17="Distrato",$I$38-1,0)),IF(AND($L$37=0,$P$34=0),"",$L$37-1),IF($R$17="Distrato",$E327,0))),0,YEARFRAC(MAX($P$34*($B327+IF($R$17="Distrato",$I$38-1,0)),IF(AND($L$37=0,$P$34=0),"",$L$37-1),IF($R$17="Distrato",$E327,0)),MIN(Y$38,$D$19),$P$20))-SUM($P327:X327)</f>
        <v>#VALUE!</v>
      </c>
      <c r="Z327" s="446" t="e">
        <f>IF(OR($B327="",MIN(Z$38,$D$19)&lt;MAX($P$34*($B327+IF($R$17="Distrato",$I$38-1,0)),IF(AND($L$37=0,$P$34=0),"",$L$37-1),IF($R$17="Distrato",$E327,0))),0,YEARFRAC(MAX($P$34*($B327+IF($R$17="Distrato",$I$38-1,0)),IF(AND($L$37=0,$P$34=0),"",$L$37-1),IF($R$17="Distrato",$E327,0)),MIN(Z$38,$D$19),$P$20))-SUM($P327:Y327)</f>
        <v>#VALUE!</v>
      </c>
      <c r="AA327" s="446" t="e">
        <f>IF(OR($B327="",MIN(AA$38,$D$19)&lt;MAX($P$34*($B327+IF($R$17="Distrato",$I$38-1,0)),IF(AND($L$37=0,$P$34=0),"",$L$37-1),IF($R$17="Distrato",$E327,0))),0,YEARFRAC(MAX($P$34*($B327+IF($R$17="Distrato",$I$38-1,0)),IF(AND($L$37=0,$P$34=0),"",$L$37-1),IF($R$17="Distrato",$E327,0)),MIN(AA$38,$D$19),$P$20))-SUM($P327:Z327)</f>
        <v>#VALUE!</v>
      </c>
      <c r="AB327" s="446" t="e">
        <f>IF(OR($B327="",MIN(AB$38,$D$19)&lt;MAX($P$34*($B327+IF($R$17="Distrato",$I$38-1,0)),IF(AND($L$37=0,$P$34=0),"",$L$37-1),IF($R$17="Distrato",$E327,0))),0,YEARFRAC(MAX($P$34*($B327+IF($R$17="Distrato",$I$38-1,0)),IF(AND($L$37=0,$P$34=0),"",$L$37-1),IF($R$17="Distrato",$E327,0)),MIN(AB$38,$D$19),$P$20))-SUM($P327:AA327)</f>
        <v>#VALUE!</v>
      </c>
      <c r="AC327" s="446" t="e">
        <f>IF(OR($B327="",MIN(AC$38,$D$19)&lt;MAX($P$34*($B327+IF($R$17="Distrato",$I$38-1,0)),IF(AND($L$37=0,$P$34=0),"",$L$37-1),IF($R$17="Distrato",$E327,0))),0,YEARFRAC(MAX($P$34*($B327+IF($R$17="Distrato",$I$38-1,0)),IF(AND($L$37=0,$P$34=0),"",$L$37-1),IF($R$17="Distrato",$E327,0)),MIN(AC$38,$D$19),$P$20))-SUM($P327:AB327)</f>
        <v>#VALUE!</v>
      </c>
      <c r="AD327" s="446" t="e">
        <f>IF(OR($B327="",MIN(AD$38,$D$19)&lt;MAX($P$34*($B327+IF($R$17="Distrato",$I$38-1,0)),IF(AND($L$37=0,$P$34=0),"",$L$37-1),IF($R$17="Distrato",$E327,0))),0,YEARFRAC(MAX($P$34*($B327+IF($R$17="Distrato",$I$38-1,0)),IF(AND($L$37=0,$P$34=0),"",$L$37-1),IF($R$17="Distrato",$E327,0)),MIN(AD$38,$D$19),$P$20))-SUM($P327:AC327)</f>
        <v>#VALUE!</v>
      </c>
      <c r="AE327" s="446" t="e">
        <f>IF(OR($B327="",MIN(AE$38,$D$19)&lt;MAX($P$34*($B327+IF($R$17="Distrato",$I$38-1,0)),IF(AND($L$37=0,$P$34=0),"",$L$37-1),IF($R$17="Distrato",$E327,0))),0,YEARFRAC(MAX($P$34*($B327+IF($R$17="Distrato",$I$38-1,0)),IF(AND($L$37=0,$P$34=0),"",$L$37-1),IF($R$17="Distrato",$E327,0)),MIN(AE$38,$D$19),$P$20))-SUM($P327:AD327)</f>
        <v>#VALUE!</v>
      </c>
      <c r="AF327" s="446" t="e">
        <f>IF(OR($B327="",MIN(AF$38,$D$19)&lt;MAX($P$34*($B327+IF($R$17="Distrato",$I$38-1,0)),IF(AND($L$37=0,$P$34=0),"",$L$37-1),IF($R$17="Distrato",$E327,0))),0,YEARFRAC(MAX($P$34*($B327+IF($R$17="Distrato",$I$38-1,0)),IF(AND($L$37=0,$P$34=0),"",$L$37-1),IF($R$17="Distrato",$E327,0)),MIN(AF$38,$D$19),$P$20))-SUM($P327:AE327)</f>
        <v>#VALUE!</v>
      </c>
      <c r="AG327" s="446" t="e">
        <f>IF(OR($B327="",MIN(AG$38,$D$19)&lt;MAX($P$34*($B327+IF($R$17="Distrato",$I$38-1,0)),IF(AND($L$37=0,$P$34=0),"",$L$37-1),IF($R$17="Distrato",$E327,0))),0,YEARFRAC(MAX($P$34*($B327+IF($R$17="Distrato",$I$38-1,0)),IF(AND($L$37=0,$P$34=0),"",$L$37-1),IF($R$17="Distrato",$E327,0)),MIN(AG$38,$D$19),$P$20))-SUM($P327:AF327)</f>
        <v>#VALUE!</v>
      </c>
      <c r="AH327" s="446" t="e">
        <f>IF(OR($B327="",MIN(AH$38,$D$19)&lt;MAX($P$34*($B327+IF($R$17="Distrato",$I$38-1,0)),IF(AND($L$37=0,$P$34=0),"",$L$37-1),IF($R$17="Distrato",$E327,0))),0,YEARFRAC(MAX($P$34*($B327+IF($R$17="Distrato",$I$38-1,0)),IF(AND($L$37=0,$P$34=0),"",$L$37-1),IF($R$17="Distrato",$E327,0)),MIN(AH$38,$D$19),$P$20))-SUM($P327:AG327)</f>
        <v>#VALUE!</v>
      </c>
      <c r="AI327" s="446" t="e">
        <f>IF(OR($B327="",MIN(AI$38,$D$19)&lt;MAX($P$34*($B327+IF($R$17="Distrato",$I$38-1,0)),IF(AND($L$37=0,$P$34=0),"",$L$37-1),IF($R$17="Distrato",$E327,0))),0,YEARFRAC(MAX($P$34*($B327+IF($R$17="Distrato",$I$38-1,0)),IF(AND($L$37=0,$P$34=0),"",$L$37-1),IF($R$17="Distrato",$E327,0)),MIN(AI$38,$D$19),$P$20))-SUM($P327:AH327)</f>
        <v>#VALUE!</v>
      </c>
      <c r="AJ327" s="446" t="e">
        <f>IF(OR($B327="",MIN(AJ$38,$D$19)&lt;MAX($P$34*($B327+IF($R$17="Distrato",$I$38-1,0)),IF(AND($L$37=0,$P$34=0),"",$L$37-1),IF($R$17="Distrato",$E327,0))),0,YEARFRAC(MAX($P$34*($B327+IF($R$17="Distrato",$I$38-1,0)),IF(AND($L$37=0,$P$34=0),"",$L$37-1),IF($R$17="Distrato",$E327,0)),MIN(AJ$38,$D$19),$P$20))-SUM($P327:AI327)</f>
        <v>#VALUE!</v>
      </c>
      <c r="AK327" s="446" t="e">
        <f>IF(OR($B327="",MIN(AK$38,$D$19)&lt;MAX($P$34*($B327+IF($R$17="Distrato",$I$38-1,0)),IF(AND($L$37=0,$P$34=0),"",$L$37-1),IF($R$17="Distrato",$E327,0))),0,YEARFRAC(MAX($P$34*($B327+IF($R$17="Distrato",$I$38-1,0)),IF(AND($L$37=0,$P$34=0),"",$L$37-1),IF($R$17="Distrato",$E327,0)),MIN(AK$38,$D$19),$P$20))-SUM($P327:AJ327)</f>
        <v>#VALUE!</v>
      </c>
      <c r="AL327" s="446" t="e">
        <f>IF(OR($B327="",MIN(AL$38,$D$19)&lt;MAX($P$34*($B327+IF($R$17="Distrato",$I$38-1,0)),IF(AND($L$37=0,$P$34=0),"",$L$37-1),IF($R$17="Distrato",$E327,0))),0,YEARFRAC(MAX($P$34*($B327+IF($R$17="Distrato",$I$38-1,0)),IF(AND($L$37=0,$P$34=0),"",$L$37-1),IF($R$17="Distrato",$E327,0)),MIN(AL$38,$D$19),$P$20))-SUM($P327:AK327)</f>
        <v>#VALUE!</v>
      </c>
      <c r="AM327" s="446" t="e">
        <f>IF(OR($B327="",MIN(AM$38,$D$19)&lt;MAX($P$34*($B327+IF($R$17="Distrato",$I$38-1,0)),IF(AND($L$37=0,$P$34=0),"",$L$37-1),IF($R$17="Distrato",$E327,0))),0,YEARFRAC(MAX($P$34*($B327+IF($R$17="Distrato",$I$38-1,0)),IF(AND($L$37=0,$P$34=0),"",$L$37-1),IF($R$17="Distrato",$E327,0)),MIN(AM$38,$D$19),$P$20))-SUM($P327:AL327)</f>
        <v>#VALUE!</v>
      </c>
      <c r="AN327" s="446" t="e">
        <f>IF(OR($B327="",MIN(AN$38,$D$19)&lt;MAX($P$34*($B327+IF($R$17="Distrato",$I$38-1,0)),IF(AND($L$37=0,$P$34=0),"",$L$37-1),IF($R$17="Distrato",$E327,0))),0,YEARFRAC(MAX($P$34*($B327+IF($R$17="Distrato",$I$38-1,0)),IF(AND($L$37=0,$P$34=0),"",$L$37-1),IF($R$17="Distrato",$E327,0)),MIN(AN$38,$D$19),$P$20))-SUM($P327:AM327)</f>
        <v>#VALUE!</v>
      </c>
      <c r="AO327" s="446" t="e">
        <f>IF(OR($B327="",MIN(AO$38,$D$19)&lt;MAX($P$34*($B327+IF($R$17="Distrato",$I$38-1,0)),IF(AND($L$37=0,$P$34=0),"",$L$37-1),IF($R$17="Distrato",$E327,0))),0,YEARFRAC(MAX($P$34*($B327+IF($R$17="Distrato",$I$38-1,0)),IF(AND($L$37=0,$P$34=0),"",$L$37-1),IF($R$17="Distrato",$E327,0)),MIN(AO$38,$D$19),$P$20))-SUM($P327:AN327)</f>
        <v>#VALUE!</v>
      </c>
      <c r="AP327" s="446" t="e">
        <f>IF(OR($B327="",MIN(AP$38,$D$19)&lt;MAX($P$34*($B327+IF($R$17="Distrato",$I$38-1,0)),IF(AND($L$37=0,$P$34=0),"",$L$37-1),IF($R$17="Distrato",$E327,0))),0,YEARFRAC(MAX($P$34*($B327+IF($R$17="Distrato",$I$38-1,0)),IF(AND($L$37=0,$P$34=0),"",$L$37-1),IF($R$17="Distrato",$E327,0)),MIN(AP$38,$D$19),$P$20))-SUM($P327:AO327)</f>
        <v>#VALUE!</v>
      </c>
      <c r="AQ327" s="446" t="e">
        <f>IF(OR($B327="",MIN(AQ$38,$D$19)&lt;MAX($P$34*($B327+IF($R$17="Distrato",$I$38-1,0)),IF(AND($L$37=0,$P$34=0),"",$L$37-1),IF($R$17="Distrato",$E327,0))),0,YEARFRAC(MAX($P$34*($B327+IF($R$17="Distrato",$I$38-1,0)),IF(AND($L$37=0,$P$34=0),"",$L$37-1),IF($R$17="Distrato",$E327,0)),MIN(AQ$38,$D$19),$P$20))-SUM($P327:AP327)</f>
        <v>#VALUE!</v>
      </c>
      <c r="AR327" s="446" t="e">
        <f>IF(OR($B327="",MIN(AR$38,$D$19)&lt;MAX($P$34*($B327+IF($R$17="Distrato",$I$38-1,0)),IF(AND($L$37=0,$P$34=0),"",$L$37-1),IF($R$17="Distrato",$E327,0))),0,YEARFRAC(MAX($P$34*($B327+IF($R$17="Distrato",$I$38-1,0)),IF(AND($L$37=0,$P$34=0),"",$L$37-1),IF($R$17="Distrato",$E327,0)),MIN(AR$38,$D$19),$P$20))-SUM($P327:AQ327)</f>
        <v>#VALUE!</v>
      </c>
      <c r="AS327" s="446" t="e">
        <f>IF(OR($B327="",MIN(AS$38,$D$19)&lt;MAX($P$34*($B327+IF($R$17="Distrato",$I$38-1,0)),IF(AND($L$37=0,$P$34=0),"",$L$37-1),IF($R$17="Distrato",$E327,0))),0,YEARFRAC(MAX($P$34*($B327+IF($R$17="Distrato",$I$38-1,0)),IF(AND($L$37=0,$P$34=0),"",$L$37-1),IF($R$17="Distrato",$E327,0)),MIN(AS$38,$D$19),$P$20))-SUM($P327:AR327)</f>
        <v>#VALUE!</v>
      </c>
      <c r="AT327" s="446" t="e">
        <f>IF(OR($B327="",MIN(AT$38,$D$19)&lt;MAX($P$34*($B327+IF($R$17="Distrato",$I$38-1,0)),IF(AND($L$37=0,$P$34=0),"",$L$37-1),IF($R$17="Distrato",$E327,0))),0,YEARFRAC(MAX($P$34*($B327+IF($R$17="Distrato",$I$38-1,0)),IF(AND($L$37=0,$P$34=0),"",$L$37-1),IF($R$17="Distrato",$E327,0)),MIN(AT$38,$D$19),$P$20))-SUM($P327:AS327)</f>
        <v>#VALUE!</v>
      </c>
      <c r="AU327" s="446" t="e">
        <f>IF(OR($B327="",MIN(AU$38,$D$19)&lt;MAX($P$34*($B327+IF($R$17="Distrato",$I$38-1,0)),IF(AND($L$37=0,$P$34=0),"",$L$37-1),IF($R$17="Distrato",$E327,0))),0,YEARFRAC(MAX($P$34*($B327+IF($R$17="Distrato",$I$38-1,0)),IF(AND($L$37=0,$P$34=0),"",$L$37-1),IF($R$17="Distrato",$E327,0)),MIN(AU$38,$D$19),$P$20))-SUM($P327:AT327)</f>
        <v>#VALUE!</v>
      </c>
      <c r="AV327" s="446" t="e">
        <f>IF(OR($B327="",MIN(AV$38,$D$19)&lt;MAX($P$34*($B327+IF($R$17="Distrato",$I$38-1,0)),IF(AND($L$37=0,$P$34=0),"",$L$37-1),IF($R$17="Distrato",$E327,0))),0,YEARFRAC(MAX($P$34*($B327+IF($R$17="Distrato",$I$38-1,0)),IF(AND($L$37=0,$P$34=0),"",$L$37-1),IF($R$17="Distrato",$E327,0)),MIN(AV$38,$D$19),$P$20))-SUM($P327:AU327)</f>
        <v>#VALUE!</v>
      </c>
      <c r="AW327" s="446" t="e">
        <f>IF(OR($B327="",MIN(AW$38,$D$19)&lt;MAX($P$34*($B327+IF($R$17="Distrato",$I$38-1,0)),IF(AND($L$37=0,$P$34=0),"",$L$37-1),IF($R$17="Distrato",$E327,0))),0,YEARFRAC(MAX($P$34*($B327+IF($R$17="Distrato",$I$38-1,0)),IF(AND($L$37=0,$P$34=0),"",$L$37-1),IF($R$17="Distrato",$E327,0)),MIN(AW$38,$D$19),$P$20))-SUM($P327:AV327)</f>
        <v>#VALUE!</v>
      </c>
      <c r="AX327" s="446" t="e">
        <f>IF(OR($B327="",MIN(AX$38,$D$19)&lt;MAX($P$34*($B327+IF($R$17="Distrato",$I$38-1,0)),IF(AND($L$37=0,$P$34=0),"",$L$37-1),IF($R$17="Distrato",$E327,0))),0,YEARFRAC(MAX($P$34*($B327+IF($R$17="Distrato",$I$38-1,0)),IF(AND($L$37=0,$P$34=0),"",$L$37-1),IF($R$17="Distrato",$E327,0)),MIN(AX$38,$D$19),$P$20))-SUM($P327:AW327)</f>
        <v>#VALUE!</v>
      </c>
      <c r="AY327" s="446" t="e">
        <f>IF(OR($B327="",MIN(AY$38,$D$19)&lt;MAX($P$34*($B327+IF($R$17="Distrato",$I$38-1,0)),IF(AND($L$37=0,$P$34=0),"",$L$37-1),IF($R$17="Distrato",$E327,0))),0,YEARFRAC(MAX($P$34*($B327+IF($R$17="Distrato",$I$38-1,0)),IF(AND($L$37=0,$P$34=0),"",$L$37-1),IF($R$17="Distrato",$E327,0)),MIN(AY$38,$D$19),$P$20))-SUM($P327:AX327)</f>
        <v>#VALUE!</v>
      </c>
      <c r="AZ327" s="446" t="e">
        <f>IF(OR($B327="",MIN(AZ$38,$D$19)&lt;MAX($P$34*($B327+IF($R$17="Distrato",$I$38-1,0)),IF(AND($L$37=0,$P$34=0),"",$L$37-1),IF($R$17="Distrato",$E327,0))),0,YEARFRAC(MAX($P$34*($B327+IF($R$17="Distrato",$I$38-1,0)),IF(AND($L$37=0,$P$34=0),"",$L$37-1),IF($R$17="Distrato",$E327,0)),MIN(AZ$38,$D$19),$P$20))-SUM($P327:AY327)</f>
        <v>#VALUE!</v>
      </c>
      <c r="BA327" s="446" t="e">
        <f>IF(OR($B327="",MIN(BA$38,$D$19)&lt;MAX($P$34*($B327+IF($R$17="Distrato",$I$38-1,0)),IF(AND($L$37=0,$P$34=0),"",$L$37-1),IF($R$17="Distrato",$E327,0))),0,YEARFRAC(MAX($P$34*($B327+IF($R$17="Distrato",$I$38-1,0)),IF(AND($L$37=0,$P$34=0),"",$L$37-1),IF($R$17="Distrato",$E327,0)),MIN(BA$38,$D$19),$P$20))-SUM($P327:AZ327)</f>
        <v>#VALUE!</v>
      </c>
      <c r="BB327" s="447"/>
      <c r="BF327" s="446">
        <f t="shared" si="54"/>
        <v>0</v>
      </c>
      <c r="BG327" s="446">
        <f>IF($E327=0,0,IF(MIN(BG$38,$E327)&lt;MAX($P$34*($B327+$I$38-1),IF(AND($L$37=0,$P$34=0),"",$L$37-1)),0,YEARFRAC(MAX($P$34*($B327+$I$38-1),IF(AND($L$37=0,$P$34=0),"",$L$37-1)),MIN(BG$38,$E327),$P$20))-SUM($BF327:BF327))</f>
        <v>0</v>
      </c>
      <c r="BH327" s="446">
        <f>IF($E327=0,0,IF(MIN(BH$38,$E327)&lt;MAX($P$34*($B327+$I$38-1),IF(AND($L$37=0,$P$34=0),"",$L$37-1)),0,YEARFRAC(MAX($P$34*($B327+$I$38-1),IF(AND($L$37=0,$P$34=0),"",$L$37-1)),MIN(BH$38,$E327),$P$20))-SUM($BF327:BG327))</f>
        <v>0</v>
      </c>
      <c r="BI327" s="446">
        <f>IF($E327=0,0,IF(MIN(BI$38,$E327)&lt;MAX($P$34*($B327+$I$38-1),IF(AND($L$37=0,$P$34=0),"",$L$37-1)),0,YEARFRAC(MAX($P$34*($B327+$I$38-1),IF(AND($L$37=0,$P$34=0),"",$L$37-1)),MIN(BI$38,$E327),$P$20))-SUM($BF327:BH327))</f>
        <v>0</v>
      </c>
      <c r="BJ327" s="446">
        <f>IF($E327=0,0,IF(MIN(BJ$38,$E327)&lt;MAX($P$34*($B327+$I$38-1),IF(AND($L$37=0,$P$34=0),"",$L$37-1)),0,YEARFRAC(MAX($P$34*($B327+$I$38-1),IF(AND($L$37=0,$P$34=0),"",$L$37-1)),MIN(BJ$38,$E327),$P$20))-SUM($BF327:BI327))</f>
        <v>0</v>
      </c>
      <c r="BK327" s="446">
        <f>IF($E327=0,0,IF(MIN(BK$38,$E327)&lt;MAX($P$34*($B327+$I$38-1),IF(AND($L$37=0,$P$34=0),"",$L$37-1)),0,YEARFRAC(MAX($P$34*($B327+$I$38-1),IF(AND($L$37=0,$P$34=0),"",$L$37-1)),MIN(BK$38,$E327),$P$20))-SUM($BF327:BJ327))</f>
        <v>0</v>
      </c>
      <c r="BL327" s="446">
        <f>IF($E327=0,0,IF(MIN(BL$38,$E327)&lt;MAX($P$34*($B327+$I$38-1),IF(AND($L$37=0,$P$34=0),"",$L$37-1)),0,YEARFRAC(MAX($P$34*($B327+$I$38-1),IF(AND($L$37=0,$P$34=0),"",$L$37-1)),MIN(BL$38,$E327),$P$20))-SUM($BF327:BK327))</f>
        <v>0</v>
      </c>
      <c r="BM327" s="446">
        <f>IF($E327=0,0,IF(MIN(BM$38,$E327)&lt;MAX($P$34*($B327+$I$38-1),IF(AND($L$37=0,$P$34=0),"",$L$37-1)),0,YEARFRAC(MAX($P$34*($B327+$I$38-1),IF(AND($L$37=0,$P$34=0),"",$L$37-1)),MIN(BM$38,$E327),$P$20))-SUM($BF327:BL327))</f>
        <v>0</v>
      </c>
      <c r="BN327" s="446">
        <f>IF($E327=0,0,IF(MIN(BN$38,$E327)&lt;MAX($P$34*($B327+$I$38-1),IF(AND($L$37=0,$P$34=0),"",$L$37-1)),0,YEARFRAC(MAX($P$34*($B327+$I$38-1),IF(AND($L$37=0,$P$34=0),"",$L$37-1)),MIN(BN$38,$E327),$P$20))-SUM($BF327:BM327))</f>
        <v>0</v>
      </c>
      <c r="BO327" s="446">
        <f>IF($E327=0,0,IF(MIN(BO$38,$E327)&lt;MAX($P$34*($B327+$I$38-1),IF(AND($L$37=0,$P$34=0),"",$L$37-1)),0,YEARFRAC(MAX($P$34*($B327+$I$38-1),IF(AND($L$37=0,$P$34=0),"",$L$37-1)),MIN(BO$38,$E327),$P$20))-SUM($BF327:BN327))</f>
        <v>0</v>
      </c>
      <c r="BP327" s="446">
        <f>IF($E327=0,0,IF(MIN(BP$38,$E327)&lt;MAX($P$34*($B327+$I$38-1),IF(AND($L$37=0,$P$34=0),"",$L$37-1)),0,YEARFRAC(MAX($P$34*($B327+$I$38-1),IF(AND($L$37=0,$P$34=0),"",$L$37-1)),MIN(BP$38,$E327),$P$20))-SUM($BF327:BO327))</f>
        <v>0</v>
      </c>
      <c r="BQ327" s="446">
        <f>IF($E327=0,0,IF(MIN(BQ$38,$E327)&lt;MAX($P$34*($B327+$I$38-1),IF(AND($L$37=0,$P$34=0),"",$L$37-1)),0,YEARFRAC(MAX($P$34*($B327+$I$38-1),IF(AND($L$37=0,$P$34=0),"",$L$37-1)),MIN(BQ$38,$E327),$P$20))-SUM($BF327:BP327))</f>
        <v>0</v>
      </c>
      <c r="BR327" s="446">
        <f>IF($E327=0,0,IF(MIN(BR$38,$E327)&lt;MAX($P$34*($B327+$I$38-1),IF(AND($L$37=0,$P$34=0),"",$L$37-1)),0,YEARFRAC(MAX($P$34*($B327+$I$38-1),IF(AND($L$37=0,$P$34=0),"",$L$37-1)),MIN(BR$38,$E327),$P$20))-SUM($BF327:BQ327))</f>
        <v>0</v>
      </c>
      <c r="BS327" s="446">
        <f>IF($E327=0,0,IF(MIN(BS$38,$E327)&lt;MAX($P$34*($B327+$I$38-1),IF(AND($L$37=0,$P$34=0),"",$L$37-1)),0,YEARFRAC(MAX($P$34*($B327+$I$38-1),IF(AND($L$37=0,$P$34=0),"",$L$37-1)),MIN(BS$38,$E327),$P$20))-SUM($BF327:BR327))</f>
        <v>0</v>
      </c>
      <c r="BT327" s="446">
        <f>IF($E327=0,0,IF(MIN(BT$38,$E327)&lt;MAX($P$34*($B327+$I$38-1),IF(AND($L$37=0,$P$34=0),"",$L$37-1)),0,YEARFRAC(MAX($P$34*($B327+$I$38-1),IF(AND($L$37=0,$P$34=0),"",$L$37-1)),MIN(BT$38,$E327),$P$20))-SUM($BF327:BS327))</f>
        <v>0</v>
      </c>
      <c r="BU327" s="446">
        <f>IF($E327=0,0,IF(MIN(BU$38,$E327)&lt;MAX($P$34*($B327+$I$38-1),IF(AND($L$37=0,$P$34=0),"",$L$37-1)),0,YEARFRAC(MAX($P$34*($B327+$I$38-1),IF(AND($L$37=0,$P$34=0),"",$L$37-1)),MIN(BU$38,$E327),$P$20))-SUM($BF327:BT327))</f>
        <v>0</v>
      </c>
      <c r="BV327" s="446">
        <f>IF($E327=0,0,IF(MIN(BV$38,$E327)&lt;MAX($P$34*($B327+$I$38-1),IF(AND($L$37=0,$P$34=0),"",$L$37-1)),0,YEARFRAC(MAX($P$34*($B327+$I$38-1),IF(AND($L$37=0,$P$34=0),"",$L$37-1)),MIN(BV$38,$E327),$P$20))-SUM($BF327:BU327))</f>
        <v>0</v>
      </c>
      <c r="BW327" s="446">
        <f>IF($E327=0,0,IF(MIN(BW$38,$E327)&lt;MAX($P$34*($B327+$I$38-1),IF(AND($L$37=0,$P$34=0),"",$L$37-1)),0,YEARFRAC(MAX($P$34*($B327+$I$38-1),IF(AND($L$37=0,$P$34=0),"",$L$37-1)),MIN(BW$38,$E327),$P$20))-SUM($BF327:BV327))</f>
        <v>0</v>
      </c>
      <c r="BX327" s="446">
        <f>IF($E327=0,0,IF(MIN(BX$38,$E327)&lt;MAX($P$34*($B327+$I$38-1),IF(AND($L$37=0,$P$34=0),"",$L$37-1)),0,YEARFRAC(MAX($P$34*($B327+$I$38-1),IF(AND($L$37=0,$P$34=0),"",$L$37-1)),MIN(BX$38,$E327),$P$20))-SUM($BF327:BW327))</f>
        <v>0</v>
      </c>
      <c r="BY327" s="446">
        <f>IF($E327=0,0,IF(MIN(BY$38,$E327)&lt;MAX($P$34*($B327+$I$38-1),IF(AND($L$37=0,$P$34=0),"",$L$37-1)),0,YEARFRAC(MAX($P$34*($B327+$I$38-1),IF(AND($L$37=0,$P$34=0),"",$L$37-1)),MIN(BY$38,$E327),$P$20))-SUM($BF327:BX327))</f>
        <v>0</v>
      </c>
      <c r="BZ327" s="446">
        <f>IF($E327=0,0,IF(MIN(BZ$38,$E327)&lt;MAX($P$34*($B327+$I$38-1),IF(AND($L$37=0,$P$34=0),"",$L$37-1)),0,YEARFRAC(MAX($P$34*($B327+$I$38-1),IF(AND($L$37=0,$P$34=0),"",$L$37-1)),MIN(BZ$38,$E327),$P$20))-SUM($BF327:BY327))</f>
        <v>0</v>
      </c>
      <c r="CA327" s="446">
        <f>IF($E327=0,0,IF(MIN(CA$38,$E327)&lt;MAX($P$34*($B327+$I$38-1),IF(AND($L$37=0,$P$34=0),"",$L$37-1)),0,YEARFRAC(MAX($P$34*($B327+$I$38-1),IF(AND($L$37=0,$P$34=0),"",$L$37-1)),MIN(CA$38,$E327),$P$20))-SUM($BF327:BZ327))</f>
        <v>0</v>
      </c>
      <c r="CB327" s="446">
        <f>IF($E327=0,0,IF(MIN(CB$38,$E327)&lt;MAX($P$34*($B327+$I$38-1),IF(AND($L$37=0,$P$34=0),"",$L$37-1)),0,YEARFRAC(MAX($P$34*($B327+$I$38-1),IF(AND($L$37=0,$P$34=0),"",$L$37-1)),MIN(CB$38,$E327),$P$20))-SUM($BF327:CA327))</f>
        <v>0</v>
      </c>
      <c r="CC327" s="446">
        <f>IF($E327=0,0,IF(MIN(CC$38,$E327)&lt;MAX($P$34*($B327+$I$38-1),IF(AND($L$37=0,$P$34=0),"",$L$37-1)),0,YEARFRAC(MAX($P$34*($B327+$I$38-1),IF(AND($L$37=0,$P$34=0),"",$L$37-1)),MIN(CC$38,$E327),$P$20))-SUM($BF327:CB327))</f>
        <v>0</v>
      </c>
      <c r="CD327" s="446">
        <f>IF($E327=0,0,IF(MIN(CD$38,$E327)&lt;MAX($P$34*($B327+$I$38-1),IF(AND($L$37=0,$P$34=0),"",$L$37-1)),0,YEARFRAC(MAX($P$34*($B327+$I$38-1),IF(AND($L$37=0,$P$34=0),"",$L$37-1)),MIN(CD$38,$E327),$P$20))-SUM($BF327:CC327))</f>
        <v>0</v>
      </c>
      <c r="CE327" s="446">
        <f>IF($E327=0,0,IF(MIN(CE$38,$E327)&lt;MAX($P$34*($B327+$I$38-1),IF(AND($L$37=0,$P$34=0),"",$L$37-1)),0,YEARFRAC(MAX($P$34*($B327+$I$38-1),IF(AND($L$37=0,$P$34=0),"",$L$37-1)),MIN(CE$38,$E327),$P$20))-SUM($BF327:CD327))</f>
        <v>0</v>
      </c>
      <c r="CF327" s="446">
        <f>IF($E327=0,0,IF(MIN(CF$38,$E327)&lt;MAX($P$34*($B327+$I$38-1),IF(AND($L$37=0,$P$34=0),"",$L$37-1)),0,YEARFRAC(MAX($P$34*($B327+$I$38-1),IF(AND($L$37=0,$P$34=0),"",$L$37-1)),MIN(CF$38,$E327),$P$20))-SUM($BF327:CE327))</f>
        <v>0</v>
      </c>
      <c r="CG327" s="446">
        <f>IF($E327=0,0,IF(MIN(CG$38,$E327)&lt;MAX($P$34*($B327+$I$38-1),IF(AND($L$37=0,$P$34=0),"",$L$37-1)),0,YEARFRAC(MAX($P$34*($B327+$I$38-1),IF(AND($L$37=0,$P$34=0),"",$L$37-1)),MIN(CG$38,$E327),$P$20))-SUM($BF327:CF327))</f>
        <v>0</v>
      </c>
      <c r="CH327" s="446">
        <f>IF($E327=0,0,IF(MIN(CH$38,$E327)&lt;MAX($P$34*($B327+$I$38-1),IF(AND($L$37=0,$P$34=0),"",$L$37-1)),0,YEARFRAC(MAX($P$34*($B327+$I$38-1),IF(AND($L$37=0,$P$34=0),"",$L$37-1)),MIN(CH$38,$E327),$P$20))-SUM($BF327:CG327))</f>
        <v>0</v>
      </c>
      <c r="CI327" s="446">
        <f>IF($E327=0,0,IF(MIN(CI$38,$E327)&lt;MAX($P$34*($B327+$I$38-1),IF(AND($L$37=0,$P$34=0),"",$L$37-1)),0,YEARFRAC(MAX($P$34*($B327+$I$38-1),IF(AND($L$37=0,$P$34=0),"",$L$37-1)),MIN(CI$38,$E327),$P$20))-SUM($BF327:CH327))</f>
        <v>0</v>
      </c>
      <c r="CJ327" s="446">
        <f>IF($E327=0,0,IF(MIN(CJ$38,$E327)&lt;MAX($P$34*($B327+$I$38-1),IF(AND($L$37=0,$P$34=0),"",$L$37-1)),0,YEARFRAC(MAX($P$34*($B327+$I$38-1),IF(AND($L$37=0,$P$34=0),"",$L$37-1)),MIN(CJ$38,$E327),$P$20))-SUM($BF327:CI327))</f>
        <v>0</v>
      </c>
      <c r="CK327" s="446">
        <f>IF($E327=0,0,IF(MIN(CK$38,$E327)&lt;MAX($P$34*($B327+$I$38-1),IF(AND($L$37=0,$P$34=0),"",$L$37-1)),0,YEARFRAC(MAX($P$34*($B327+$I$38-1),IF(AND($L$37=0,$P$34=0),"",$L$37-1)),MIN(CK$38,$E327),$P$20))-SUM($BF327:CJ327))</f>
        <v>0</v>
      </c>
      <c r="CL327" s="446">
        <f>IF($E327=0,0,IF(MIN(CL$38,$E327)&lt;MAX($P$34*($B327+$I$38-1),IF(AND($L$37=0,$P$34=0),"",$L$37-1)),0,YEARFRAC(MAX($P$34*($B327+$I$38-1),IF(AND($L$37=0,$P$34=0),"",$L$37-1)),MIN(CL$38,$E327),$P$20))-SUM($BF327:CK327))</f>
        <v>0</v>
      </c>
      <c r="CM327" s="446">
        <f>IF($E327=0,0,IF(MIN(CM$38,$E327)&lt;MAX($P$34*($B327+$I$38-1),IF(AND($L$37=0,$P$34=0),"",$L$37-1)),0,YEARFRAC(MAX($P$34*($B327+$I$38-1),IF(AND($L$37=0,$P$34=0),"",$L$37-1)),MIN(CM$38,$E327),$P$20))-SUM($BF327:CL327))</f>
        <v>0</v>
      </c>
      <c r="CN327" s="446">
        <f>IF($E327=0,0,IF(MIN(CN$38,$E327)&lt;MAX($P$34*($B327+$I$38-1),IF(AND($L$37=0,$P$34=0),"",$L$37-1)),0,YEARFRAC(MAX($P$34*($B327+$I$38-1),IF(AND($L$37=0,$P$34=0),"",$L$37-1)),MIN(CN$38,$E327),$P$20))-SUM($BF327:CM327))</f>
        <v>0</v>
      </c>
      <c r="CO327" s="446">
        <f>IF($E327=0,0,IF(MIN(CO$38,$E327)&lt;MAX($P$34*($B327+$I$38-1),IF(AND($L$37=0,$P$34=0),"",$L$37-1)),0,YEARFRAC(MAX($P$34*($B327+$I$38-1),IF(AND($L$37=0,$P$34=0),"",$L$37-1)),MIN(CO$38,$E327),$P$20))-SUM($BF327:CN327))</f>
        <v>0</v>
      </c>
      <c r="CP327" s="446">
        <f>IF($E327=0,0,IF(MIN(CP$38,$E327)&lt;MAX($P$34*($B327+$I$38-1),IF(AND($L$37=0,$P$34=0),"",$L$37-1)),0,YEARFRAC(MAX($P$34*($B327+$I$38-1),IF(AND($L$37=0,$P$34=0),"",$L$37-1)),MIN(CP$38,$E327),$P$20))-SUM($BF327:CO327))</f>
        <v>0</v>
      </c>
      <c r="CQ327" s="446">
        <f>IF($E327=0,0,IF(MIN(CQ$38,$E327)&lt;MAX($P$34*($B327+$I$38-1),IF(AND($L$37=0,$P$34=0),"",$L$37-1)),0,YEARFRAC(MAX($P$34*($B327+$I$38-1),IF(AND($L$37=0,$P$34=0),"",$L$37-1)),MIN(CQ$38,$E327),$P$20))-SUM($BF327:CP327))</f>
        <v>0</v>
      </c>
    </row>
    <row r="328" spans="1:95" s="446" customFormat="1" ht="11.25" hidden="1" customHeight="1" x14ac:dyDescent="0.2">
      <c r="A328" s="152"/>
      <c r="B328" s="153" t="str">
        <f t="shared" si="59"/>
        <v/>
      </c>
      <c r="C328" s="29" t="str">
        <f>IF(B328="","",IF($L$35="SELIC - TRIBUTOS",VLOOKUP(DATE(YEAR($D$19),MONTH($D$19)-1,1),ÍNDICES!$A:$DE,HLOOKUP($BL$25,ÍNDICES!$B$3:$T$4,2)+11)-VLOOKUP(B328,ÍNDICES!$A:$DE,HLOOKUP($BL$25,ÍNDICES!$B$3:$T$4,2)+11)+1%,IF(C$38=$W$26,$J$35,IF(ISERROR(IF(B328&gt;$D$19,1,VLOOKUP(DATE(YEAR(B328),MONTH(B328)+IF($C$35=$S$23,1,0),1),ÍNDICES!$A:$DE,$Z$35+1))),"",IF(B328&gt;$D$19,1,VLOOKUP(DATE(YEAR(B328),MONTH(B328)+IF($C$35=$S$23,1,0),1),ÍNDICES!$A:$DE,$Z$35+1))))))</f>
        <v/>
      </c>
      <c r="D328" s="154" t="str">
        <f>IF(ISERROR(IF(OR($D$38=$Y$27,$B328=""),"",VLOOKUP(B328,ÍNDICES!A:DE,AF$35+1))),"",IF(OR($D$38=$Y$27,$B328=""),"",VLOOKUP(B328,ÍNDICES!A:DE,AF$35+1)))</f>
        <v/>
      </c>
      <c r="E328" s="153"/>
      <c r="F328" s="29" t="str">
        <f>IF(E328="","",IF($L$35="SELIC - TRIBUTOS",VLOOKUP(DATE(YEAR($D$19),MONTH($D$19)-1,1),ÍNDICES!$A:$DE,HLOOKUP($BL$25,ÍNDICES!$B$3:$T$4,2)+11)-VLOOKUP(E328,ÍNDICES!$A:$DE,HLOOKUP($BL$25,ÍNDICES!$B$3:$T$4,2)+11)+1%,IF(F$38=$W$26,$J$35,IF(ISERROR(IF(E328&gt;$D$19,1,VLOOKUP(DATE(YEAR(E328),MONTH(E328)+IF($C$35=$S$23,1,0),1),ÍNDICES!$A:$DE,$Z$35+1))),"",IF(E328&gt;$D$19,1,VLOOKUP(DATE(YEAR(E328),MONTH(E328)+IF($C$35=$S$23,1,0),1),ÍNDICES!$A:$DE,$Z$35+1))))))</f>
        <v/>
      </c>
      <c r="G328" s="155"/>
      <c r="H328" s="156" t="str">
        <f t="shared" si="55"/>
        <v/>
      </c>
      <c r="I328" s="29" t="str">
        <f t="shared" si="49"/>
        <v/>
      </c>
      <c r="J328" s="5">
        <f t="shared" si="50"/>
        <v>0</v>
      </c>
      <c r="K328" s="20">
        <f t="shared" ca="1" si="51"/>
        <v>0</v>
      </c>
      <c r="L328" s="5">
        <f t="shared" ca="1" si="52"/>
        <v>0</v>
      </c>
      <c r="M328" s="64">
        <f t="shared" si="56"/>
        <v>0</v>
      </c>
      <c r="N328" s="61">
        <f t="shared" ca="1" si="57"/>
        <v>0</v>
      </c>
      <c r="O328" s="5">
        <f t="shared" ca="1" si="58"/>
        <v>0</v>
      </c>
      <c r="P328" s="446" t="e">
        <f t="shared" si="53"/>
        <v>#VALUE!</v>
      </c>
      <c r="Q328" s="446" t="e">
        <f>IF(OR($B328="",MIN(Q$38,$D$19)&lt;MAX($P$34*($B328+IF($R$17="Distrato",$I$38-1,0)),IF(AND($L$37=0,$P$34=0),"",$L$37-1),IF($R$17="Distrato",$E328,0))),0,YEARFRAC(MAX($P$34*($B328+IF($R$17="Distrato",$I$38-1,0)),IF(AND($L$37=0,$P$34=0),"",$L$37-1),IF($R$17="Distrato",$E328,0)),MIN(Q$38,$D$19),$P$20))-SUM($P328:P328)</f>
        <v>#VALUE!</v>
      </c>
      <c r="R328" s="446" t="e">
        <f>IF(OR($B328="",MIN(R$38,$D$19)&lt;MAX($P$34*($B328+IF($R$17="Distrato",$I$38-1,0)),IF(AND($L$37=0,$P$34=0),"",$L$37-1),IF($R$17="Distrato",$E328,0))),0,YEARFRAC(MAX($P$34*($B328+IF($R$17="Distrato",$I$38-1,0)),IF(AND($L$37=0,$P$34=0),"",$L$37-1),IF($R$17="Distrato",$E328,0)),MIN(R$38,$D$19),$P$20))-SUM($P328:Q328)</f>
        <v>#VALUE!</v>
      </c>
      <c r="S328" s="446" t="e">
        <f>IF(OR($B328="",MIN(S$38,$D$19)&lt;MAX($P$34*($B328+IF($R$17="Distrato",$I$38-1,0)),IF(AND($L$37=0,$P$34=0),"",$L$37-1),IF($R$17="Distrato",$E328,0))),0,YEARFRAC(MAX($P$34*($B328+IF($R$17="Distrato",$I$38-1,0)),IF(AND($L$37=0,$P$34=0),"",$L$37-1),IF($R$17="Distrato",$E328,0)),MIN(S$38,$D$19),$P$20))-SUM($P328:R328)</f>
        <v>#VALUE!</v>
      </c>
      <c r="T328" s="446" t="e">
        <f>IF(OR($B328="",MIN(T$38,$D$19)&lt;MAX($P$34*($B328+IF($R$17="Distrato",$I$38-1,0)),IF(AND($L$37=0,$P$34=0),"",$L$37-1),IF($R$17="Distrato",$E328,0))),0,YEARFRAC(MAX($P$34*($B328+IF($R$17="Distrato",$I$38-1,0)),IF(AND($L$37=0,$P$34=0),"",$L$37-1),IF($R$17="Distrato",$E328,0)),MIN(T$38,$D$19),$P$20))-SUM($P328:S328)</f>
        <v>#VALUE!</v>
      </c>
      <c r="U328" s="446" t="e">
        <f>IF(OR($B328="",MIN(U$38,$D$19)&lt;MAX($P$34*($B328+IF($R$17="Distrato",$I$38-1,0)),IF(AND($L$37=0,$P$34=0),"",$L$37-1),IF($R$17="Distrato",$E328,0))),0,YEARFRAC(MAX($P$34*($B328+IF($R$17="Distrato",$I$38-1,0)),IF(AND($L$37=0,$P$34=0),"",$L$37-1),IF($R$17="Distrato",$E328,0)),MIN(U$38,$D$19),$P$20))-SUM($P328:T328)</f>
        <v>#VALUE!</v>
      </c>
      <c r="V328" s="446" t="e">
        <f>IF(OR($B328="",MIN(V$38,$D$19)&lt;MAX($P$34*($B328+IF($R$17="Distrato",$I$38-1,0)),IF(AND($L$37=0,$P$34=0),"",$L$37-1),IF($R$17="Distrato",$E328,0))),0,YEARFRAC(MAX($P$34*($B328+IF($R$17="Distrato",$I$38-1,0)),IF(AND($L$37=0,$P$34=0),"",$L$37-1),IF($R$17="Distrato",$E328,0)),MIN(V$38,$D$19),$P$20))-SUM($P328:U328)</f>
        <v>#VALUE!</v>
      </c>
      <c r="W328" s="446" t="e">
        <f>IF(OR($B328="",MIN(W$38,$D$19)&lt;MAX($P$34*($B328+IF($R$17="Distrato",$I$38-1,0)),IF(AND($L$37=0,$P$34=0),"",$L$37-1),IF($R$17="Distrato",$E328,0))),0,YEARFRAC(MAX($P$34*($B328+IF($R$17="Distrato",$I$38-1,0)),IF(AND($L$37=0,$P$34=0),"",$L$37-1),IF($R$17="Distrato",$E328,0)),MIN(W$38,$D$19),$P$20))-SUM($P328:V328)</f>
        <v>#VALUE!</v>
      </c>
      <c r="X328" s="446" t="e">
        <f>IF(OR($B328="",MIN(X$38,$D$19)&lt;MAX($P$34*($B328+IF($R$17="Distrato",$I$38-1,0)),IF(AND($L$37=0,$P$34=0),"",$L$37-1),IF($R$17="Distrato",$E328,0))),0,YEARFRAC(MAX($P$34*($B328+IF($R$17="Distrato",$I$38-1,0)),IF(AND($L$37=0,$P$34=0),"",$L$37-1),IF($R$17="Distrato",$E328,0)),MIN(X$38,$D$19),$P$20))-SUM($P328:W328)</f>
        <v>#VALUE!</v>
      </c>
      <c r="Y328" s="446" t="e">
        <f>IF(OR($B328="",MIN(Y$38,$D$19)&lt;MAX($P$34*($B328+IF($R$17="Distrato",$I$38-1,0)),IF(AND($L$37=0,$P$34=0),"",$L$37-1),IF($R$17="Distrato",$E328,0))),0,YEARFRAC(MAX($P$34*($B328+IF($R$17="Distrato",$I$38-1,0)),IF(AND($L$37=0,$P$34=0),"",$L$37-1),IF($R$17="Distrato",$E328,0)),MIN(Y$38,$D$19),$P$20))-SUM($P328:X328)</f>
        <v>#VALUE!</v>
      </c>
      <c r="Z328" s="446" t="e">
        <f>IF(OR($B328="",MIN(Z$38,$D$19)&lt;MAX($P$34*($B328+IF($R$17="Distrato",$I$38-1,0)),IF(AND($L$37=0,$P$34=0),"",$L$37-1),IF($R$17="Distrato",$E328,0))),0,YEARFRAC(MAX($P$34*($B328+IF($R$17="Distrato",$I$38-1,0)),IF(AND($L$37=0,$P$34=0),"",$L$37-1),IF($R$17="Distrato",$E328,0)),MIN(Z$38,$D$19),$P$20))-SUM($P328:Y328)</f>
        <v>#VALUE!</v>
      </c>
      <c r="AA328" s="446" t="e">
        <f>IF(OR($B328="",MIN(AA$38,$D$19)&lt;MAX($P$34*($B328+IF($R$17="Distrato",$I$38-1,0)),IF(AND($L$37=0,$P$34=0),"",$L$37-1),IF($R$17="Distrato",$E328,0))),0,YEARFRAC(MAX($P$34*($B328+IF($R$17="Distrato",$I$38-1,0)),IF(AND($L$37=0,$P$34=0),"",$L$37-1),IF($R$17="Distrato",$E328,0)),MIN(AA$38,$D$19),$P$20))-SUM($P328:Z328)</f>
        <v>#VALUE!</v>
      </c>
      <c r="AB328" s="446" t="e">
        <f>IF(OR($B328="",MIN(AB$38,$D$19)&lt;MAX($P$34*($B328+IF($R$17="Distrato",$I$38-1,0)),IF(AND($L$37=0,$P$34=0),"",$L$37-1),IF($R$17="Distrato",$E328,0))),0,YEARFRAC(MAX($P$34*($B328+IF($R$17="Distrato",$I$38-1,0)),IF(AND($L$37=0,$P$34=0),"",$L$37-1),IF($R$17="Distrato",$E328,0)),MIN(AB$38,$D$19),$P$20))-SUM($P328:AA328)</f>
        <v>#VALUE!</v>
      </c>
      <c r="AC328" s="446" t="e">
        <f>IF(OR($B328="",MIN(AC$38,$D$19)&lt;MAX($P$34*($B328+IF($R$17="Distrato",$I$38-1,0)),IF(AND($L$37=0,$P$34=0),"",$L$37-1),IF($R$17="Distrato",$E328,0))),0,YEARFRAC(MAX($P$34*($B328+IF($R$17="Distrato",$I$38-1,0)),IF(AND($L$37=0,$P$34=0),"",$L$37-1),IF($R$17="Distrato",$E328,0)),MIN(AC$38,$D$19),$P$20))-SUM($P328:AB328)</f>
        <v>#VALUE!</v>
      </c>
      <c r="AD328" s="446" t="e">
        <f>IF(OR($B328="",MIN(AD$38,$D$19)&lt;MAX($P$34*($B328+IF($R$17="Distrato",$I$38-1,0)),IF(AND($L$37=0,$P$34=0),"",$L$37-1),IF($R$17="Distrato",$E328,0))),0,YEARFRAC(MAX($P$34*($B328+IF($R$17="Distrato",$I$38-1,0)),IF(AND($L$37=0,$P$34=0),"",$L$37-1),IF($R$17="Distrato",$E328,0)),MIN(AD$38,$D$19),$P$20))-SUM($P328:AC328)</f>
        <v>#VALUE!</v>
      </c>
      <c r="AE328" s="446" t="e">
        <f>IF(OR($B328="",MIN(AE$38,$D$19)&lt;MAX($P$34*($B328+IF($R$17="Distrato",$I$38-1,0)),IF(AND($L$37=0,$P$34=0),"",$L$37-1),IF($R$17="Distrato",$E328,0))),0,YEARFRAC(MAX($P$34*($B328+IF($R$17="Distrato",$I$38-1,0)),IF(AND($L$37=0,$P$34=0),"",$L$37-1),IF($R$17="Distrato",$E328,0)),MIN(AE$38,$D$19),$P$20))-SUM($P328:AD328)</f>
        <v>#VALUE!</v>
      </c>
      <c r="AF328" s="446" t="e">
        <f>IF(OR($B328="",MIN(AF$38,$D$19)&lt;MAX($P$34*($B328+IF($R$17="Distrato",$I$38-1,0)),IF(AND($L$37=0,$P$34=0),"",$L$37-1),IF($R$17="Distrato",$E328,0))),0,YEARFRAC(MAX($P$34*($B328+IF($R$17="Distrato",$I$38-1,0)),IF(AND($L$37=0,$P$34=0),"",$L$37-1),IF($R$17="Distrato",$E328,0)),MIN(AF$38,$D$19),$P$20))-SUM($P328:AE328)</f>
        <v>#VALUE!</v>
      </c>
      <c r="AG328" s="446" t="e">
        <f>IF(OR($B328="",MIN(AG$38,$D$19)&lt;MAX($P$34*($B328+IF($R$17="Distrato",$I$38-1,0)),IF(AND($L$37=0,$P$34=0),"",$L$37-1),IF($R$17="Distrato",$E328,0))),0,YEARFRAC(MAX($P$34*($B328+IF($R$17="Distrato",$I$38-1,0)),IF(AND($L$37=0,$P$34=0),"",$L$37-1),IF($R$17="Distrato",$E328,0)),MIN(AG$38,$D$19),$P$20))-SUM($P328:AF328)</f>
        <v>#VALUE!</v>
      </c>
      <c r="AH328" s="446" t="e">
        <f>IF(OR($B328="",MIN(AH$38,$D$19)&lt;MAX($P$34*($B328+IF($R$17="Distrato",$I$38-1,0)),IF(AND($L$37=0,$P$34=0),"",$L$37-1),IF($R$17="Distrato",$E328,0))),0,YEARFRAC(MAX($P$34*($B328+IF($R$17="Distrato",$I$38-1,0)),IF(AND($L$37=0,$P$34=0),"",$L$37-1),IF($R$17="Distrato",$E328,0)),MIN(AH$38,$D$19),$P$20))-SUM($P328:AG328)</f>
        <v>#VALUE!</v>
      </c>
      <c r="AI328" s="446" t="e">
        <f>IF(OR($B328="",MIN(AI$38,$D$19)&lt;MAX($P$34*($B328+IF($R$17="Distrato",$I$38-1,0)),IF(AND($L$37=0,$P$34=0),"",$L$37-1),IF($R$17="Distrato",$E328,0))),0,YEARFRAC(MAX($P$34*($B328+IF($R$17="Distrato",$I$38-1,0)),IF(AND($L$37=0,$P$34=0),"",$L$37-1),IF($R$17="Distrato",$E328,0)),MIN(AI$38,$D$19),$P$20))-SUM($P328:AH328)</f>
        <v>#VALUE!</v>
      </c>
      <c r="AJ328" s="446" t="e">
        <f>IF(OR($B328="",MIN(AJ$38,$D$19)&lt;MAX($P$34*($B328+IF($R$17="Distrato",$I$38-1,0)),IF(AND($L$37=0,$P$34=0),"",$L$37-1),IF($R$17="Distrato",$E328,0))),0,YEARFRAC(MAX($P$34*($B328+IF($R$17="Distrato",$I$38-1,0)),IF(AND($L$37=0,$P$34=0),"",$L$37-1),IF($R$17="Distrato",$E328,0)),MIN(AJ$38,$D$19),$P$20))-SUM($P328:AI328)</f>
        <v>#VALUE!</v>
      </c>
      <c r="AK328" s="446" t="e">
        <f>IF(OR($B328="",MIN(AK$38,$D$19)&lt;MAX($P$34*($B328+IF($R$17="Distrato",$I$38-1,0)),IF(AND($L$37=0,$P$34=0),"",$L$37-1),IF($R$17="Distrato",$E328,0))),0,YEARFRAC(MAX($P$34*($B328+IF($R$17="Distrato",$I$38-1,0)),IF(AND($L$37=0,$P$34=0),"",$L$37-1),IF($R$17="Distrato",$E328,0)),MIN(AK$38,$D$19),$P$20))-SUM($P328:AJ328)</f>
        <v>#VALUE!</v>
      </c>
      <c r="AL328" s="446" t="e">
        <f>IF(OR($B328="",MIN(AL$38,$D$19)&lt;MAX($P$34*($B328+IF($R$17="Distrato",$I$38-1,0)),IF(AND($L$37=0,$P$34=0),"",$L$37-1),IF($R$17="Distrato",$E328,0))),0,YEARFRAC(MAX($P$34*($B328+IF($R$17="Distrato",$I$38-1,0)),IF(AND($L$37=0,$P$34=0),"",$L$37-1),IF($R$17="Distrato",$E328,0)),MIN(AL$38,$D$19),$P$20))-SUM($P328:AK328)</f>
        <v>#VALUE!</v>
      </c>
      <c r="AM328" s="446" t="e">
        <f>IF(OR($B328="",MIN(AM$38,$D$19)&lt;MAX($P$34*($B328+IF($R$17="Distrato",$I$38-1,0)),IF(AND($L$37=0,$P$34=0),"",$L$37-1),IF($R$17="Distrato",$E328,0))),0,YEARFRAC(MAX($P$34*($B328+IF($R$17="Distrato",$I$38-1,0)),IF(AND($L$37=0,$P$34=0),"",$L$37-1),IF($R$17="Distrato",$E328,0)),MIN(AM$38,$D$19),$P$20))-SUM($P328:AL328)</f>
        <v>#VALUE!</v>
      </c>
      <c r="AN328" s="446" t="e">
        <f>IF(OR($B328="",MIN(AN$38,$D$19)&lt;MAX($P$34*($B328+IF($R$17="Distrato",$I$38-1,0)),IF(AND($L$37=0,$P$34=0),"",$L$37-1),IF($R$17="Distrato",$E328,0))),0,YEARFRAC(MAX($P$34*($B328+IF($R$17="Distrato",$I$38-1,0)),IF(AND($L$37=0,$P$34=0),"",$L$37-1),IF($R$17="Distrato",$E328,0)),MIN(AN$38,$D$19),$P$20))-SUM($P328:AM328)</f>
        <v>#VALUE!</v>
      </c>
      <c r="AO328" s="446" t="e">
        <f>IF(OR($B328="",MIN(AO$38,$D$19)&lt;MAX($P$34*($B328+IF($R$17="Distrato",$I$38-1,0)),IF(AND($L$37=0,$P$34=0),"",$L$37-1),IF($R$17="Distrato",$E328,0))),0,YEARFRAC(MAX($P$34*($B328+IF($R$17="Distrato",$I$38-1,0)),IF(AND($L$37=0,$P$34=0),"",$L$37-1),IF($R$17="Distrato",$E328,0)),MIN(AO$38,$D$19),$P$20))-SUM($P328:AN328)</f>
        <v>#VALUE!</v>
      </c>
      <c r="AP328" s="446" t="e">
        <f>IF(OR($B328="",MIN(AP$38,$D$19)&lt;MAX($P$34*($B328+IF($R$17="Distrato",$I$38-1,0)),IF(AND($L$37=0,$P$34=0),"",$L$37-1),IF($R$17="Distrato",$E328,0))),0,YEARFRAC(MAX($P$34*($B328+IF($R$17="Distrato",$I$38-1,0)),IF(AND($L$37=0,$P$34=0),"",$L$37-1),IF($R$17="Distrato",$E328,0)),MIN(AP$38,$D$19),$P$20))-SUM($P328:AO328)</f>
        <v>#VALUE!</v>
      </c>
      <c r="AQ328" s="446" t="e">
        <f>IF(OR($B328="",MIN(AQ$38,$D$19)&lt;MAX($P$34*($B328+IF($R$17="Distrato",$I$38-1,0)),IF(AND($L$37=0,$P$34=0),"",$L$37-1),IF($R$17="Distrato",$E328,0))),0,YEARFRAC(MAX($P$34*($B328+IF($R$17="Distrato",$I$38-1,0)),IF(AND($L$37=0,$P$34=0),"",$L$37-1),IF($R$17="Distrato",$E328,0)),MIN(AQ$38,$D$19),$P$20))-SUM($P328:AP328)</f>
        <v>#VALUE!</v>
      </c>
      <c r="AR328" s="446" t="e">
        <f>IF(OR($B328="",MIN(AR$38,$D$19)&lt;MAX($P$34*($B328+IF($R$17="Distrato",$I$38-1,0)),IF(AND($L$37=0,$P$34=0),"",$L$37-1),IF($R$17="Distrato",$E328,0))),0,YEARFRAC(MAX($P$34*($B328+IF($R$17="Distrato",$I$38-1,0)),IF(AND($L$37=0,$P$34=0),"",$L$37-1),IF($R$17="Distrato",$E328,0)),MIN(AR$38,$D$19),$P$20))-SUM($P328:AQ328)</f>
        <v>#VALUE!</v>
      </c>
      <c r="AS328" s="446" t="e">
        <f>IF(OR($B328="",MIN(AS$38,$D$19)&lt;MAX($P$34*($B328+IF($R$17="Distrato",$I$38-1,0)),IF(AND($L$37=0,$P$34=0),"",$L$37-1),IF($R$17="Distrato",$E328,0))),0,YEARFRAC(MAX($P$34*($B328+IF($R$17="Distrato",$I$38-1,0)),IF(AND($L$37=0,$P$34=0),"",$L$37-1),IF($R$17="Distrato",$E328,0)),MIN(AS$38,$D$19),$P$20))-SUM($P328:AR328)</f>
        <v>#VALUE!</v>
      </c>
      <c r="AT328" s="446" t="e">
        <f>IF(OR($B328="",MIN(AT$38,$D$19)&lt;MAX($P$34*($B328+IF($R$17="Distrato",$I$38-1,0)),IF(AND($L$37=0,$P$34=0),"",$L$37-1),IF($R$17="Distrato",$E328,0))),0,YEARFRAC(MAX($P$34*($B328+IF($R$17="Distrato",$I$38-1,0)),IF(AND($L$37=0,$P$34=0),"",$L$37-1),IF($R$17="Distrato",$E328,0)),MIN(AT$38,$D$19),$P$20))-SUM($P328:AS328)</f>
        <v>#VALUE!</v>
      </c>
      <c r="AU328" s="446" t="e">
        <f>IF(OR($B328="",MIN(AU$38,$D$19)&lt;MAX($P$34*($B328+IF($R$17="Distrato",$I$38-1,0)),IF(AND($L$37=0,$P$34=0),"",$L$37-1),IF($R$17="Distrato",$E328,0))),0,YEARFRAC(MAX($P$34*($B328+IF($R$17="Distrato",$I$38-1,0)),IF(AND($L$37=0,$P$34=0),"",$L$37-1),IF($R$17="Distrato",$E328,0)),MIN(AU$38,$D$19),$P$20))-SUM($P328:AT328)</f>
        <v>#VALUE!</v>
      </c>
      <c r="AV328" s="446" t="e">
        <f>IF(OR($B328="",MIN(AV$38,$D$19)&lt;MAX($P$34*($B328+IF($R$17="Distrato",$I$38-1,0)),IF(AND($L$37=0,$P$34=0),"",$L$37-1),IF($R$17="Distrato",$E328,0))),0,YEARFRAC(MAX($P$34*($B328+IF($R$17="Distrato",$I$38-1,0)),IF(AND($L$37=0,$P$34=0),"",$L$37-1),IF($R$17="Distrato",$E328,0)),MIN(AV$38,$D$19),$P$20))-SUM($P328:AU328)</f>
        <v>#VALUE!</v>
      </c>
      <c r="AW328" s="446" t="e">
        <f>IF(OR($B328="",MIN(AW$38,$D$19)&lt;MAX($P$34*($B328+IF($R$17="Distrato",$I$38-1,0)),IF(AND($L$37=0,$P$34=0),"",$L$37-1),IF($R$17="Distrato",$E328,0))),0,YEARFRAC(MAX($P$34*($B328+IF($R$17="Distrato",$I$38-1,0)),IF(AND($L$37=0,$P$34=0),"",$L$37-1),IF($R$17="Distrato",$E328,0)),MIN(AW$38,$D$19),$P$20))-SUM($P328:AV328)</f>
        <v>#VALUE!</v>
      </c>
      <c r="AX328" s="446" t="e">
        <f>IF(OR($B328="",MIN(AX$38,$D$19)&lt;MAX($P$34*($B328+IF($R$17="Distrato",$I$38-1,0)),IF(AND($L$37=0,$P$34=0),"",$L$37-1),IF($R$17="Distrato",$E328,0))),0,YEARFRAC(MAX($P$34*($B328+IF($R$17="Distrato",$I$38-1,0)),IF(AND($L$37=0,$P$34=0),"",$L$37-1),IF($R$17="Distrato",$E328,0)),MIN(AX$38,$D$19),$P$20))-SUM($P328:AW328)</f>
        <v>#VALUE!</v>
      </c>
      <c r="AY328" s="446" t="e">
        <f>IF(OR($B328="",MIN(AY$38,$D$19)&lt;MAX($P$34*($B328+IF($R$17="Distrato",$I$38-1,0)),IF(AND($L$37=0,$P$34=0),"",$L$37-1),IF($R$17="Distrato",$E328,0))),0,YEARFRAC(MAX($P$34*($B328+IF($R$17="Distrato",$I$38-1,0)),IF(AND($L$37=0,$P$34=0),"",$L$37-1),IF($R$17="Distrato",$E328,0)),MIN(AY$38,$D$19),$P$20))-SUM($P328:AX328)</f>
        <v>#VALUE!</v>
      </c>
      <c r="AZ328" s="446" t="e">
        <f>IF(OR($B328="",MIN(AZ$38,$D$19)&lt;MAX($P$34*($B328+IF($R$17="Distrato",$I$38-1,0)),IF(AND($L$37=0,$P$34=0),"",$L$37-1),IF($R$17="Distrato",$E328,0))),0,YEARFRAC(MAX($P$34*($B328+IF($R$17="Distrato",$I$38-1,0)),IF(AND($L$37=0,$P$34=0),"",$L$37-1),IF($R$17="Distrato",$E328,0)),MIN(AZ$38,$D$19),$P$20))-SUM($P328:AY328)</f>
        <v>#VALUE!</v>
      </c>
      <c r="BA328" s="446" t="e">
        <f>IF(OR($B328="",MIN(BA$38,$D$19)&lt;MAX($P$34*($B328+IF($R$17="Distrato",$I$38-1,0)),IF(AND($L$37=0,$P$34=0),"",$L$37-1),IF($R$17="Distrato",$E328,0))),0,YEARFRAC(MAX($P$34*($B328+IF($R$17="Distrato",$I$38-1,0)),IF(AND($L$37=0,$P$34=0),"",$L$37-1),IF($R$17="Distrato",$E328,0)),MIN(BA$38,$D$19),$P$20))-SUM($P328:AZ328)</f>
        <v>#VALUE!</v>
      </c>
      <c r="BB328" s="447"/>
      <c r="BF328" s="446">
        <f t="shared" si="54"/>
        <v>0</v>
      </c>
      <c r="BG328" s="446">
        <f>IF($E328=0,0,IF(MIN(BG$38,$E328)&lt;MAX($P$34*($B328+$I$38-1),IF(AND($L$37=0,$P$34=0),"",$L$37-1)),0,YEARFRAC(MAX($P$34*($B328+$I$38-1),IF(AND($L$37=0,$P$34=0),"",$L$37-1)),MIN(BG$38,$E328),$P$20))-SUM($BF328:BF328))</f>
        <v>0</v>
      </c>
      <c r="BH328" s="446">
        <f>IF($E328=0,0,IF(MIN(BH$38,$E328)&lt;MAX($P$34*($B328+$I$38-1),IF(AND($L$37=0,$P$34=0),"",$L$37-1)),0,YEARFRAC(MAX($P$34*($B328+$I$38-1),IF(AND($L$37=0,$P$34=0),"",$L$37-1)),MIN(BH$38,$E328),$P$20))-SUM($BF328:BG328))</f>
        <v>0</v>
      </c>
      <c r="BI328" s="446">
        <f>IF($E328=0,0,IF(MIN(BI$38,$E328)&lt;MAX($P$34*($B328+$I$38-1),IF(AND($L$37=0,$P$34=0),"",$L$37-1)),0,YEARFRAC(MAX($P$34*($B328+$I$38-1),IF(AND($L$37=0,$P$34=0),"",$L$37-1)),MIN(BI$38,$E328),$P$20))-SUM($BF328:BH328))</f>
        <v>0</v>
      </c>
      <c r="BJ328" s="446">
        <f>IF($E328=0,0,IF(MIN(BJ$38,$E328)&lt;MAX($P$34*($B328+$I$38-1),IF(AND($L$37=0,$P$34=0),"",$L$37-1)),0,YEARFRAC(MAX($P$34*($B328+$I$38-1),IF(AND($L$37=0,$P$34=0),"",$L$37-1)),MIN(BJ$38,$E328),$P$20))-SUM($BF328:BI328))</f>
        <v>0</v>
      </c>
      <c r="BK328" s="446">
        <f>IF($E328=0,0,IF(MIN(BK$38,$E328)&lt;MAX($P$34*($B328+$I$38-1),IF(AND($L$37=0,$P$34=0),"",$L$37-1)),0,YEARFRAC(MAX($P$34*($B328+$I$38-1),IF(AND($L$37=0,$P$34=0),"",$L$37-1)),MIN(BK$38,$E328),$P$20))-SUM($BF328:BJ328))</f>
        <v>0</v>
      </c>
      <c r="BL328" s="446">
        <f>IF($E328=0,0,IF(MIN(BL$38,$E328)&lt;MAX($P$34*($B328+$I$38-1),IF(AND($L$37=0,$P$34=0),"",$L$37-1)),0,YEARFRAC(MAX($P$34*($B328+$I$38-1),IF(AND($L$37=0,$P$34=0),"",$L$37-1)),MIN(BL$38,$E328),$P$20))-SUM($BF328:BK328))</f>
        <v>0</v>
      </c>
      <c r="BM328" s="446">
        <f>IF($E328=0,0,IF(MIN(BM$38,$E328)&lt;MAX($P$34*($B328+$I$38-1),IF(AND($L$37=0,$P$34=0),"",$L$37-1)),0,YEARFRAC(MAX($P$34*($B328+$I$38-1),IF(AND($L$37=0,$P$34=0),"",$L$37-1)),MIN(BM$38,$E328),$P$20))-SUM($BF328:BL328))</f>
        <v>0</v>
      </c>
      <c r="BN328" s="446">
        <f>IF($E328=0,0,IF(MIN(BN$38,$E328)&lt;MAX($P$34*($B328+$I$38-1),IF(AND($L$37=0,$P$34=0),"",$L$37-1)),0,YEARFRAC(MAX($P$34*($B328+$I$38-1),IF(AND($L$37=0,$P$34=0),"",$L$37-1)),MIN(BN$38,$E328),$P$20))-SUM($BF328:BM328))</f>
        <v>0</v>
      </c>
      <c r="BO328" s="446">
        <f>IF($E328=0,0,IF(MIN(BO$38,$E328)&lt;MAX($P$34*($B328+$I$38-1),IF(AND($L$37=0,$P$34=0),"",$L$37-1)),0,YEARFRAC(MAX($P$34*($B328+$I$38-1),IF(AND($L$37=0,$P$34=0),"",$L$37-1)),MIN(BO$38,$E328),$P$20))-SUM($BF328:BN328))</f>
        <v>0</v>
      </c>
      <c r="BP328" s="446">
        <f>IF($E328=0,0,IF(MIN(BP$38,$E328)&lt;MAX($P$34*($B328+$I$38-1),IF(AND($L$37=0,$P$34=0),"",$L$37-1)),0,YEARFRAC(MAX($P$34*($B328+$I$38-1),IF(AND($L$37=0,$P$34=0),"",$L$37-1)),MIN(BP$38,$E328),$P$20))-SUM($BF328:BO328))</f>
        <v>0</v>
      </c>
      <c r="BQ328" s="446">
        <f>IF($E328=0,0,IF(MIN(BQ$38,$E328)&lt;MAX($P$34*($B328+$I$38-1),IF(AND($L$37=0,$P$34=0),"",$L$37-1)),0,YEARFRAC(MAX($P$34*($B328+$I$38-1),IF(AND($L$37=0,$P$34=0),"",$L$37-1)),MIN(BQ$38,$E328),$P$20))-SUM($BF328:BP328))</f>
        <v>0</v>
      </c>
      <c r="BR328" s="446">
        <f>IF($E328=0,0,IF(MIN(BR$38,$E328)&lt;MAX($P$34*($B328+$I$38-1),IF(AND($L$37=0,$P$34=0),"",$L$37-1)),0,YEARFRAC(MAX($P$34*($B328+$I$38-1),IF(AND($L$37=0,$P$34=0),"",$L$37-1)),MIN(BR$38,$E328),$P$20))-SUM($BF328:BQ328))</f>
        <v>0</v>
      </c>
      <c r="BS328" s="446">
        <f>IF($E328=0,0,IF(MIN(BS$38,$E328)&lt;MAX($P$34*($B328+$I$38-1),IF(AND($L$37=0,$P$34=0),"",$L$37-1)),0,YEARFRAC(MAX($P$34*($B328+$I$38-1),IF(AND($L$37=0,$P$34=0),"",$L$37-1)),MIN(BS$38,$E328),$P$20))-SUM($BF328:BR328))</f>
        <v>0</v>
      </c>
      <c r="BT328" s="446">
        <f>IF($E328=0,0,IF(MIN(BT$38,$E328)&lt;MAX($P$34*($B328+$I$38-1),IF(AND($L$37=0,$P$34=0),"",$L$37-1)),0,YEARFRAC(MAX($P$34*($B328+$I$38-1),IF(AND($L$37=0,$P$34=0),"",$L$37-1)),MIN(BT$38,$E328),$P$20))-SUM($BF328:BS328))</f>
        <v>0</v>
      </c>
      <c r="BU328" s="446">
        <f>IF($E328=0,0,IF(MIN(BU$38,$E328)&lt;MAX($P$34*($B328+$I$38-1),IF(AND($L$37=0,$P$34=0),"",$L$37-1)),0,YEARFRAC(MAX($P$34*($B328+$I$38-1),IF(AND($L$37=0,$P$34=0),"",$L$37-1)),MIN(BU$38,$E328),$P$20))-SUM($BF328:BT328))</f>
        <v>0</v>
      </c>
      <c r="BV328" s="446">
        <f>IF($E328=0,0,IF(MIN(BV$38,$E328)&lt;MAX($P$34*($B328+$I$38-1),IF(AND($L$37=0,$P$34=0),"",$L$37-1)),0,YEARFRAC(MAX($P$34*($B328+$I$38-1),IF(AND($L$37=0,$P$34=0),"",$L$37-1)),MIN(BV$38,$E328),$P$20))-SUM($BF328:BU328))</f>
        <v>0</v>
      </c>
      <c r="BW328" s="446">
        <f>IF($E328=0,0,IF(MIN(BW$38,$E328)&lt;MAX($P$34*($B328+$I$38-1),IF(AND($L$37=0,$P$34=0),"",$L$37-1)),0,YEARFRAC(MAX($P$34*($B328+$I$38-1),IF(AND($L$37=0,$P$34=0),"",$L$37-1)),MIN(BW$38,$E328),$P$20))-SUM($BF328:BV328))</f>
        <v>0</v>
      </c>
      <c r="BX328" s="446">
        <f>IF($E328=0,0,IF(MIN(BX$38,$E328)&lt;MAX($P$34*($B328+$I$38-1),IF(AND($L$37=0,$P$34=0),"",$L$37-1)),0,YEARFRAC(MAX($P$34*($B328+$I$38-1),IF(AND($L$37=0,$P$34=0),"",$L$37-1)),MIN(BX$38,$E328),$P$20))-SUM($BF328:BW328))</f>
        <v>0</v>
      </c>
      <c r="BY328" s="446">
        <f>IF($E328=0,0,IF(MIN(BY$38,$E328)&lt;MAX($P$34*($B328+$I$38-1),IF(AND($L$37=0,$P$34=0),"",$L$37-1)),0,YEARFRAC(MAX($P$34*($B328+$I$38-1),IF(AND($L$37=0,$P$34=0),"",$L$37-1)),MIN(BY$38,$E328),$P$20))-SUM($BF328:BX328))</f>
        <v>0</v>
      </c>
      <c r="BZ328" s="446">
        <f>IF($E328=0,0,IF(MIN(BZ$38,$E328)&lt;MAX($P$34*($B328+$I$38-1),IF(AND($L$37=0,$P$34=0),"",$L$37-1)),0,YEARFRAC(MAX($P$34*($B328+$I$38-1),IF(AND($L$37=0,$P$34=0),"",$L$37-1)),MIN(BZ$38,$E328),$P$20))-SUM($BF328:BY328))</f>
        <v>0</v>
      </c>
      <c r="CA328" s="446">
        <f>IF($E328=0,0,IF(MIN(CA$38,$E328)&lt;MAX($P$34*($B328+$I$38-1),IF(AND($L$37=0,$P$34=0),"",$L$37-1)),0,YEARFRAC(MAX($P$34*($B328+$I$38-1),IF(AND($L$37=0,$P$34=0),"",$L$37-1)),MIN(CA$38,$E328),$P$20))-SUM($BF328:BZ328))</f>
        <v>0</v>
      </c>
      <c r="CB328" s="446">
        <f>IF($E328=0,0,IF(MIN(CB$38,$E328)&lt;MAX($P$34*($B328+$I$38-1),IF(AND($L$37=0,$P$34=0),"",$L$37-1)),0,YEARFRAC(MAX($P$34*($B328+$I$38-1),IF(AND($L$37=0,$P$34=0),"",$L$37-1)),MIN(CB$38,$E328),$P$20))-SUM($BF328:CA328))</f>
        <v>0</v>
      </c>
      <c r="CC328" s="446">
        <f>IF($E328=0,0,IF(MIN(CC$38,$E328)&lt;MAX($P$34*($B328+$I$38-1),IF(AND($L$37=0,$P$34=0),"",$L$37-1)),0,YEARFRAC(MAX($P$34*($B328+$I$38-1),IF(AND($L$37=0,$P$34=0),"",$L$37-1)),MIN(CC$38,$E328),$P$20))-SUM($BF328:CB328))</f>
        <v>0</v>
      </c>
      <c r="CD328" s="446">
        <f>IF($E328=0,0,IF(MIN(CD$38,$E328)&lt;MAX($P$34*($B328+$I$38-1),IF(AND($L$37=0,$P$34=0),"",$L$37-1)),0,YEARFRAC(MAX($P$34*($B328+$I$38-1),IF(AND($L$37=0,$P$34=0),"",$L$37-1)),MIN(CD$38,$E328),$P$20))-SUM($BF328:CC328))</f>
        <v>0</v>
      </c>
      <c r="CE328" s="446">
        <f>IF($E328=0,0,IF(MIN(CE$38,$E328)&lt;MAX($P$34*($B328+$I$38-1),IF(AND($L$37=0,$P$34=0),"",$L$37-1)),0,YEARFRAC(MAX($P$34*($B328+$I$38-1),IF(AND($L$37=0,$P$34=0),"",$L$37-1)),MIN(CE$38,$E328),$P$20))-SUM($BF328:CD328))</f>
        <v>0</v>
      </c>
      <c r="CF328" s="446">
        <f>IF($E328=0,0,IF(MIN(CF$38,$E328)&lt;MAX($P$34*($B328+$I$38-1),IF(AND($L$37=0,$P$34=0),"",$L$37-1)),0,YEARFRAC(MAX($P$34*($B328+$I$38-1),IF(AND($L$37=0,$P$34=0),"",$L$37-1)),MIN(CF$38,$E328),$P$20))-SUM($BF328:CE328))</f>
        <v>0</v>
      </c>
      <c r="CG328" s="446">
        <f>IF($E328=0,0,IF(MIN(CG$38,$E328)&lt;MAX($P$34*($B328+$I$38-1),IF(AND($L$37=0,$P$34=0),"",$L$37-1)),0,YEARFRAC(MAX($P$34*($B328+$I$38-1),IF(AND($L$37=0,$P$34=0),"",$L$37-1)),MIN(CG$38,$E328),$P$20))-SUM($BF328:CF328))</f>
        <v>0</v>
      </c>
      <c r="CH328" s="446">
        <f>IF($E328=0,0,IF(MIN(CH$38,$E328)&lt;MAX($P$34*($B328+$I$38-1),IF(AND($L$37=0,$P$34=0),"",$L$37-1)),0,YEARFRAC(MAX($P$34*($B328+$I$38-1),IF(AND($L$37=0,$P$34=0),"",$L$37-1)),MIN(CH$38,$E328),$P$20))-SUM($BF328:CG328))</f>
        <v>0</v>
      </c>
      <c r="CI328" s="446">
        <f>IF($E328=0,0,IF(MIN(CI$38,$E328)&lt;MAX($P$34*($B328+$I$38-1),IF(AND($L$37=0,$P$34=0),"",$L$37-1)),0,YEARFRAC(MAX($P$34*($B328+$I$38-1),IF(AND($L$37=0,$P$34=0),"",$L$37-1)),MIN(CI$38,$E328),$P$20))-SUM($BF328:CH328))</f>
        <v>0</v>
      </c>
      <c r="CJ328" s="446">
        <f>IF($E328=0,0,IF(MIN(CJ$38,$E328)&lt;MAX($P$34*($B328+$I$38-1),IF(AND($L$37=0,$P$34=0),"",$L$37-1)),0,YEARFRAC(MAX($P$34*($B328+$I$38-1),IF(AND($L$37=0,$P$34=0),"",$L$37-1)),MIN(CJ$38,$E328),$P$20))-SUM($BF328:CI328))</f>
        <v>0</v>
      </c>
      <c r="CK328" s="446">
        <f>IF($E328=0,0,IF(MIN(CK$38,$E328)&lt;MAX($P$34*($B328+$I$38-1),IF(AND($L$37=0,$P$34=0),"",$L$37-1)),0,YEARFRAC(MAX($P$34*($B328+$I$38-1),IF(AND($L$37=0,$P$34=0),"",$L$37-1)),MIN(CK$38,$E328),$P$20))-SUM($BF328:CJ328))</f>
        <v>0</v>
      </c>
      <c r="CL328" s="446">
        <f>IF($E328=0,0,IF(MIN(CL$38,$E328)&lt;MAX($P$34*($B328+$I$38-1),IF(AND($L$37=0,$P$34=0),"",$L$37-1)),0,YEARFRAC(MAX($P$34*($B328+$I$38-1),IF(AND($L$37=0,$P$34=0),"",$L$37-1)),MIN(CL$38,$E328),$P$20))-SUM($BF328:CK328))</f>
        <v>0</v>
      </c>
      <c r="CM328" s="446">
        <f>IF($E328=0,0,IF(MIN(CM$38,$E328)&lt;MAX($P$34*($B328+$I$38-1),IF(AND($L$37=0,$P$34=0),"",$L$37-1)),0,YEARFRAC(MAX($P$34*($B328+$I$38-1),IF(AND($L$37=0,$P$34=0),"",$L$37-1)),MIN(CM$38,$E328),$P$20))-SUM($BF328:CL328))</f>
        <v>0</v>
      </c>
      <c r="CN328" s="446">
        <f>IF($E328=0,0,IF(MIN(CN$38,$E328)&lt;MAX($P$34*($B328+$I$38-1),IF(AND($L$37=0,$P$34=0),"",$L$37-1)),0,YEARFRAC(MAX($P$34*($B328+$I$38-1),IF(AND($L$37=0,$P$34=0),"",$L$37-1)),MIN(CN$38,$E328),$P$20))-SUM($BF328:CM328))</f>
        <v>0</v>
      </c>
      <c r="CO328" s="446">
        <f>IF($E328=0,0,IF(MIN(CO$38,$E328)&lt;MAX($P$34*($B328+$I$38-1),IF(AND($L$37=0,$P$34=0),"",$L$37-1)),0,YEARFRAC(MAX($P$34*($B328+$I$38-1),IF(AND($L$37=0,$P$34=0),"",$L$37-1)),MIN(CO$38,$E328),$P$20))-SUM($BF328:CN328))</f>
        <v>0</v>
      </c>
      <c r="CP328" s="446">
        <f>IF($E328=0,0,IF(MIN(CP$38,$E328)&lt;MAX($P$34*($B328+$I$38-1),IF(AND($L$37=0,$P$34=0),"",$L$37-1)),0,YEARFRAC(MAX($P$34*($B328+$I$38-1),IF(AND($L$37=0,$P$34=0),"",$L$37-1)),MIN(CP$38,$E328),$P$20))-SUM($BF328:CO328))</f>
        <v>0</v>
      </c>
      <c r="CQ328" s="446">
        <f>IF($E328=0,0,IF(MIN(CQ$38,$E328)&lt;MAX($P$34*($B328+$I$38-1),IF(AND($L$37=0,$P$34=0),"",$L$37-1)),0,YEARFRAC(MAX($P$34*($B328+$I$38-1),IF(AND($L$37=0,$P$34=0),"",$L$37-1)),MIN(CQ$38,$E328),$P$20))-SUM($BF328:CP328))</f>
        <v>0</v>
      </c>
    </row>
    <row r="329" spans="1:95" s="446" customFormat="1" ht="11.25" hidden="1" customHeight="1" x14ac:dyDescent="0.2">
      <c r="A329" s="152"/>
      <c r="B329" s="153" t="str">
        <f t="shared" si="59"/>
        <v/>
      </c>
      <c r="C329" s="29" t="str">
        <f>IF(B329="","",IF($L$35="SELIC - TRIBUTOS",VLOOKUP(DATE(YEAR($D$19),MONTH($D$19)-1,1),ÍNDICES!$A:$DE,HLOOKUP($BL$25,ÍNDICES!$B$3:$T$4,2)+11)-VLOOKUP(B329,ÍNDICES!$A:$DE,HLOOKUP($BL$25,ÍNDICES!$B$3:$T$4,2)+11)+1%,IF(C$38=$W$26,$J$35,IF(ISERROR(IF(B329&gt;$D$19,1,VLOOKUP(DATE(YEAR(B329),MONTH(B329)+IF($C$35=$S$23,1,0),1),ÍNDICES!$A:$DE,$Z$35+1))),"",IF(B329&gt;$D$19,1,VLOOKUP(DATE(YEAR(B329),MONTH(B329)+IF($C$35=$S$23,1,0),1),ÍNDICES!$A:$DE,$Z$35+1))))))</f>
        <v/>
      </c>
      <c r="D329" s="154" t="str">
        <f>IF(ISERROR(IF(OR($D$38=$Y$27,$B329=""),"",VLOOKUP(B329,ÍNDICES!A:DE,AF$35+1))),"",IF(OR($D$38=$Y$27,$B329=""),"",VLOOKUP(B329,ÍNDICES!A:DE,AF$35+1)))</f>
        <v/>
      </c>
      <c r="E329" s="153"/>
      <c r="F329" s="29" t="str">
        <f>IF(E329="","",IF($L$35="SELIC - TRIBUTOS",VLOOKUP(DATE(YEAR($D$19),MONTH($D$19)-1,1),ÍNDICES!$A:$DE,HLOOKUP($BL$25,ÍNDICES!$B$3:$T$4,2)+11)-VLOOKUP(E329,ÍNDICES!$A:$DE,HLOOKUP($BL$25,ÍNDICES!$B$3:$T$4,2)+11)+1%,IF(F$38=$W$26,$J$35,IF(ISERROR(IF(E329&gt;$D$19,1,VLOOKUP(DATE(YEAR(E329),MONTH(E329)+IF($C$35=$S$23,1,0),1),ÍNDICES!$A:$DE,$Z$35+1))),"",IF(E329&gt;$D$19,1,VLOOKUP(DATE(YEAR(E329),MONTH(E329)+IF($C$35=$S$23,1,0),1),ÍNDICES!$A:$DE,$Z$35+1))))))</f>
        <v/>
      </c>
      <c r="G329" s="155"/>
      <c r="H329" s="156" t="str">
        <f t="shared" si="55"/>
        <v/>
      </c>
      <c r="I329" s="29" t="str">
        <f t="shared" si="49"/>
        <v/>
      </c>
      <c r="J329" s="5">
        <f t="shared" si="50"/>
        <v>0</v>
      </c>
      <c r="K329" s="20">
        <f t="shared" ca="1" si="51"/>
        <v>0</v>
      </c>
      <c r="L329" s="5">
        <f t="shared" ca="1" si="52"/>
        <v>0</v>
      </c>
      <c r="M329" s="64">
        <f t="shared" si="56"/>
        <v>0</v>
      </c>
      <c r="N329" s="61">
        <f t="shared" ca="1" si="57"/>
        <v>0</v>
      </c>
      <c r="O329" s="5">
        <f t="shared" ca="1" si="58"/>
        <v>0</v>
      </c>
      <c r="P329" s="446" t="e">
        <f t="shared" si="53"/>
        <v>#VALUE!</v>
      </c>
      <c r="Q329" s="446" t="e">
        <f>IF(OR($B329="",MIN(Q$38,$D$19)&lt;MAX($P$34*($B329+IF($R$17="Distrato",$I$38-1,0)),IF(AND($L$37=0,$P$34=0),"",$L$37-1),IF($R$17="Distrato",$E329,0))),0,YEARFRAC(MAX($P$34*($B329+IF($R$17="Distrato",$I$38-1,0)),IF(AND($L$37=0,$P$34=0),"",$L$37-1),IF($R$17="Distrato",$E329,0)),MIN(Q$38,$D$19),$P$20))-SUM($P329:P329)</f>
        <v>#VALUE!</v>
      </c>
      <c r="R329" s="446" t="e">
        <f>IF(OR($B329="",MIN(R$38,$D$19)&lt;MAX($P$34*($B329+IF($R$17="Distrato",$I$38-1,0)),IF(AND($L$37=0,$P$34=0),"",$L$37-1),IF($R$17="Distrato",$E329,0))),0,YEARFRAC(MAX($P$34*($B329+IF($R$17="Distrato",$I$38-1,0)),IF(AND($L$37=0,$P$34=0),"",$L$37-1),IF($R$17="Distrato",$E329,0)),MIN(R$38,$D$19),$P$20))-SUM($P329:Q329)</f>
        <v>#VALUE!</v>
      </c>
      <c r="S329" s="446" t="e">
        <f>IF(OR($B329="",MIN(S$38,$D$19)&lt;MAX($P$34*($B329+IF($R$17="Distrato",$I$38-1,0)),IF(AND($L$37=0,$P$34=0),"",$L$37-1),IF($R$17="Distrato",$E329,0))),0,YEARFRAC(MAX($P$34*($B329+IF($R$17="Distrato",$I$38-1,0)),IF(AND($L$37=0,$P$34=0),"",$L$37-1),IF($R$17="Distrato",$E329,0)),MIN(S$38,$D$19),$P$20))-SUM($P329:R329)</f>
        <v>#VALUE!</v>
      </c>
      <c r="T329" s="446" t="e">
        <f>IF(OR($B329="",MIN(T$38,$D$19)&lt;MAX($P$34*($B329+IF($R$17="Distrato",$I$38-1,0)),IF(AND($L$37=0,$P$34=0),"",$L$37-1),IF($R$17="Distrato",$E329,0))),0,YEARFRAC(MAX($P$34*($B329+IF($R$17="Distrato",$I$38-1,0)),IF(AND($L$37=0,$P$34=0),"",$L$37-1),IF($R$17="Distrato",$E329,0)),MIN(T$38,$D$19),$P$20))-SUM($P329:S329)</f>
        <v>#VALUE!</v>
      </c>
      <c r="U329" s="446" t="e">
        <f>IF(OR($B329="",MIN(U$38,$D$19)&lt;MAX($P$34*($B329+IF($R$17="Distrato",$I$38-1,0)),IF(AND($L$37=0,$P$34=0),"",$L$37-1),IF($R$17="Distrato",$E329,0))),0,YEARFRAC(MAX($P$34*($B329+IF($R$17="Distrato",$I$38-1,0)),IF(AND($L$37=0,$P$34=0),"",$L$37-1),IF($R$17="Distrato",$E329,0)),MIN(U$38,$D$19),$P$20))-SUM($P329:T329)</f>
        <v>#VALUE!</v>
      </c>
      <c r="V329" s="446" t="e">
        <f>IF(OR($B329="",MIN(V$38,$D$19)&lt;MAX($P$34*($B329+IF($R$17="Distrato",$I$38-1,0)),IF(AND($L$37=0,$P$34=0),"",$L$37-1),IF($R$17="Distrato",$E329,0))),0,YEARFRAC(MAX($P$34*($B329+IF($R$17="Distrato",$I$38-1,0)),IF(AND($L$37=0,$P$34=0),"",$L$37-1),IF($R$17="Distrato",$E329,0)),MIN(V$38,$D$19),$P$20))-SUM($P329:U329)</f>
        <v>#VALUE!</v>
      </c>
      <c r="W329" s="446" t="e">
        <f>IF(OR($B329="",MIN(W$38,$D$19)&lt;MAX($P$34*($B329+IF($R$17="Distrato",$I$38-1,0)),IF(AND($L$37=0,$P$34=0),"",$L$37-1),IF($R$17="Distrato",$E329,0))),0,YEARFRAC(MAX($P$34*($B329+IF($R$17="Distrato",$I$38-1,0)),IF(AND($L$37=0,$P$34=0),"",$L$37-1),IF($R$17="Distrato",$E329,0)),MIN(W$38,$D$19),$P$20))-SUM($P329:V329)</f>
        <v>#VALUE!</v>
      </c>
      <c r="X329" s="446" t="e">
        <f>IF(OR($B329="",MIN(X$38,$D$19)&lt;MAX($P$34*($B329+IF($R$17="Distrato",$I$38-1,0)),IF(AND($L$37=0,$P$34=0),"",$L$37-1),IF($R$17="Distrato",$E329,0))),0,YEARFRAC(MAX($P$34*($B329+IF($R$17="Distrato",$I$38-1,0)),IF(AND($L$37=0,$P$34=0),"",$L$37-1),IF($R$17="Distrato",$E329,0)),MIN(X$38,$D$19),$P$20))-SUM($P329:W329)</f>
        <v>#VALUE!</v>
      </c>
      <c r="Y329" s="446" t="e">
        <f>IF(OR($B329="",MIN(Y$38,$D$19)&lt;MAX($P$34*($B329+IF($R$17="Distrato",$I$38-1,0)),IF(AND($L$37=0,$P$34=0),"",$L$37-1),IF($R$17="Distrato",$E329,0))),0,YEARFRAC(MAX($P$34*($B329+IF($R$17="Distrato",$I$38-1,0)),IF(AND($L$37=0,$P$34=0),"",$L$37-1),IF($R$17="Distrato",$E329,0)),MIN(Y$38,$D$19),$P$20))-SUM($P329:X329)</f>
        <v>#VALUE!</v>
      </c>
      <c r="Z329" s="446" t="e">
        <f>IF(OR($B329="",MIN(Z$38,$D$19)&lt;MAX($P$34*($B329+IF($R$17="Distrato",$I$38-1,0)),IF(AND($L$37=0,$P$34=0),"",$L$37-1),IF($R$17="Distrato",$E329,0))),0,YEARFRAC(MAX($P$34*($B329+IF($R$17="Distrato",$I$38-1,0)),IF(AND($L$37=0,$P$34=0),"",$L$37-1),IF($R$17="Distrato",$E329,0)),MIN(Z$38,$D$19),$P$20))-SUM($P329:Y329)</f>
        <v>#VALUE!</v>
      </c>
      <c r="AA329" s="446" t="e">
        <f>IF(OR($B329="",MIN(AA$38,$D$19)&lt;MAX($P$34*($B329+IF($R$17="Distrato",$I$38-1,0)),IF(AND($L$37=0,$P$34=0),"",$L$37-1),IF($R$17="Distrato",$E329,0))),0,YEARFRAC(MAX($P$34*($B329+IF($R$17="Distrato",$I$38-1,0)),IF(AND($L$37=0,$P$34=0),"",$L$37-1),IF($R$17="Distrato",$E329,0)),MIN(AA$38,$D$19),$P$20))-SUM($P329:Z329)</f>
        <v>#VALUE!</v>
      </c>
      <c r="AB329" s="446" t="e">
        <f>IF(OR($B329="",MIN(AB$38,$D$19)&lt;MAX($P$34*($B329+IF($R$17="Distrato",$I$38-1,0)),IF(AND($L$37=0,$P$34=0),"",$L$37-1),IF($R$17="Distrato",$E329,0))),0,YEARFRAC(MAX($P$34*($B329+IF($R$17="Distrato",$I$38-1,0)),IF(AND($L$37=0,$P$34=0),"",$L$37-1),IF($R$17="Distrato",$E329,0)),MIN(AB$38,$D$19),$P$20))-SUM($P329:AA329)</f>
        <v>#VALUE!</v>
      </c>
      <c r="AC329" s="446" t="e">
        <f>IF(OR($B329="",MIN(AC$38,$D$19)&lt;MAX($P$34*($B329+IF($R$17="Distrato",$I$38-1,0)),IF(AND($L$37=0,$P$34=0),"",$L$37-1),IF($R$17="Distrato",$E329,0))),0,YEARFRAC(MAX($P$34*($B329+IF($R$17="Distrato",$I$38-1,0)),IF(AND($L$37=0,$P$34=0),"",$L$37-1),IF($R$17="Distrato",$E329,0)),MIN(AC$38,$D$19),$P$20))-SUM($P329:AB329)</f>
        <v>#VALUE!</v>
      </c>
      <c r="AD329" s="446" t="e">
        <f>IF(OR($B329="",MIN(AD$38,$D$19)&lt;MAX($P$34*($B329+IF($R$17="Distrato",$I$38-1,0)),IF(AND($L$37=0,$P$34=0),"",$L$37-1),IF($R$17="Distrato",$E329,0))),0,YEARFRAC(MAX($P$34*($B329+IF($R$17="Distrato",$I$38-1,0)),IF(AND($L$37=0,$P$34=0),"",$L$37-1),IF($R$17="Distrato",$E329,0)),MIN(AD$38,$D$19),$P$20))-SUM($P329:AC329)</f>
        <v>#VALUE!</v>
      </c>
      <c r="AE329" s="446" t="e">
        <f>IF(OR($B329="",MIN(AE$38,$D$19)&lt;MAX($P$34*($B329+IF($R$17="Distrato",$I$38-1,0)),IF(AND($L$37=0,$P$34=0),"",$L$37-1),IF($R$17="Distrato",$E329,0))),0,YEARFRAC(MAX($P$34*($B329+IF($R$17="Distrato",$I$38-1,0)),IF(AND($L$37=0,$P$34=0),"",$L$37-1),IF($R$17="Distrato",$E329,0)),MIN(AE$38,$D$19),$P$20))-SUM($P329:AD329)</f>
        <v>#VALUE!</v>
      </c>
      <c r="AF329" s="446" t="e">
        <f>IF(OR($B329="",MIN(AF$38,$D$19)&lt;MAX($P$34*($B329+IF($R$17="Distrato",$I$38-1,0)),IF(AND($L$37=0,$P$34=0),"",$L$37-1),IF($R$17="Distrato",$E329,0))),0,YEARFRAC(MAX($P$34*($B329+IF($R$17="Distrato",$I$38-1,0)),IF(AND($L$37=0,$P$34=0),"",$L$37-1),IF($R$17="Distrato",$E329,0)),MIN(AF$38,$D$19),$P$20))-SUM($P329:AE329)</f>
        <v>#VALUE!</v>
      </c>
      <c r="AG329" s="446" t="e">
        <f>IF(OR($B329="",MIN(AG$38,$D$19)&lt;MAX($P$34*($B329+IF($R$17="Distrato",$I$38-1,0)),IF(AND($L$37=0,$P$34=0),"",$L$37-1),IF($R$17="Distrato",$E329,0))),0,YEARFRAC(MAX($P$34*($B329+IF($R$17="Distrato",$I$38-1,0)),IF(AND($L$37=0,$P$34=0),"",$L$37-1),IF($R$17="Distrato",$E329,0)),MIN(AG$38,$D$19),$P$20))-SUM($P329:AF329)</f>
        <v>#VALUE!</v>
      </c>
      <c r="AH329" s="446" t="e">
        <f>IF(OR($B329="",MIN(AH$38,$D$19)&lt;MAX($P$34*($B329+IF($R$17="Distrato",$I$38-1,0)),IF(AND($L$37=0,$P$34=0),"",$L$37-1),IF($R$17="Distrato",$E329,0))),0,YEARFRAC(MAX($P$34*($B329+IF($R$17="Distrato",$I$38-1,0)),IF(AND($L$37=0,$P$34=0),"",$L$37-1),IF($R$17="Distrato",$E329,0)),MIN(AH$38,$D$19),$P$20))-SUM($P329:AG329)</f>
        <v>#VALUE!</v>
      </c>
      <c r="AI329" s="446" t="e">
        <f>IF(OR($B329="",MIN(AI$38,$D$19)&lt;MAX($P$34*($B329+IF($R$17="Distrato",$I$38-1,0)),IF(AND($L$37=0,$P$34=0),"",$L$37-1),IF($R$17="Distrato",$E329,0))),0,YEARFRAC(MAX($P$34*($B329+IF($R$17="Distrato",$I$38-1,0)),IF(AND($L$37=0,$P$34=0),"",$L$37-1),IF($R$17="Distrato",$E329,0)),MIN(AI$38,$D$19),$P$20))-SUM($P329:AH329)</f>
        <v>#VALUE!</v>
      </c>
      <c r="AJ329" s="446" t="e">
        <f>IF(OR($B329="",MIN(AJ$38,$D$19)&lt;MAX($P$34*($B329+IF($R$17="Distrato",$I$38-1,0)),IF(AND($L$37=0,$P$34=0),"",$L$37-1),IF($R$17="Distrato",$E329,0))),0,YEARFRAC(MAX($P$34*($B329+IF($R$17="Distrato",$I$38-1,0)),IF(AND($L$37=0,$P$34=0),"",$L$37-1),IF($R$17="Distrato",$E329,0)),MIN(AJ$38,$D$19),$P$20))-SUM($P329:AI329)</f>
        <v>#VALUE!</v>
      </c>
      <c r="AK329" s="446" t="e">
        <f>IF(OR($B329="",MIN(AK$38,$D$19)&lt;MAX($P$34*($B329+IF($R$17="Distrato",$I$38-1,0)),IF(AND($L$37=0,$P$34=0),"",$L$37-1),IF($R$17="Distrato",$E329,0))),0,YEARFRAC(MAX($P$34*($B329+IF($R$17="Distrato",$I$38-1,0)),IF(AND($L$37=0,$P$34=0),"",$L$37-1),IF($R$17="Distrato",$E329,0)),MIN(AK$38,$D$19),$P$20))-SUM($P329:AJ329)</f>
        <v>#VALUE!</v>
      </c>
      <c r="AL329" s="446" t="e">
        <f>IF(OR($B329="",MIN(AL$38,$D$19)&lt;MAX($P$34*($B329+IF($R$17="Distrato",$I$38-1,0)),IF(AND($L$37=0,$P$34=0),"",$L$37-1),IF($R$17="Distrato",$E329,0))),0,YEARFRAC(MAX($P$34*($B329+IF($R$17="Distrato",$I$38-1,0)),IF(AND($L$37=0,$P$34=0),"",$L$37-1),IF($R$17="Distrato",$E329,0)),MIN(AL$38,$D$19),$P$20))-SUM($P329:AK329)</f>
        <v>#VALUE!</v>
      </c>
      <c r="AM329" s="446" t="e">
        <f>IF(OR($B329="",MIN(AM$38,$D$19)&lt;MAX($P$34*($B329+IF($R$17="Distrato",$I$38-1,0)),IF(AND($L$37=0,$P$34=0),"",$L$37-1),IF($R$17="Distrato",$E329,0))),0,YEARFRAC(MAX($P$34*($B329+IF($R$17="Distrato",$I$38-1,0)),IF(AND($L$37=0,$P$34=0),"",$L$37-1),IF($R$17="Distrato",$E329,0)),MIN(AM$38,$D$19),$P$20))-SUM($P329:AL329)</f>
        <v>#VALUE!</v>
      </c>
      <c r="AN329" s="446" t="e">
        <f>IF(OR($B329="",MIN(AN$38,$D$19)&lt;MAX($P$34*($B329+IF($R$17="Distrato",$I$38-1,0)),IF(AND($L$37=0,$P$34=0),"",$L$37-1),IF($R$17="Distrato",$E329,0))),0,YEARFRAC(MAX($P$34*($B329+IF($R$17="Distrato",$I$38-1,0)),IF(AND($L$37=0,$P$34=0),"",$L$37-1),IF($R$17="Distrato",$E329,0)),MIN(AN$38,$D$19),$P$20))-SUM($P329:AM329)</f>
        <v>#VALUE!</v>
      </c>
      <c r="AO329" s="446" t="e">
        <f>IF(OR($B329="",MIN(AO$38,$D$19)&lt;MAX($P$34*($B329+IF($R$17="Distrato",$I$38-1,0)),IF(AND($L$37=0,$P$34=0),"",$L$37-1),IF($R$17="Distrato",$E329,0))),0,YEARFRAC(MAX($P$34*($B329+IF($R$17="Distrato",$I$38-1,0)),IF(AND($L$37=0,$P$34=0),"",$L$37-1),IF($R$17="Distrato",$E329,0)),MIN(AO$38,$D$19),$P$20))-SUM($P329:AN329)</f>
        <v>#VALUE!</v>
      </c>
      <c r="AP329" s="446" t="e">
        <f>IF(OR($B329="",MIN(AP$38,$D$19)&lt;MAX($P$34*($B329+IF($R$17="Distrato",$I$38-1,0)),IF(AND($L$37=0,$P$34=0),"",$L$37-1),IF($R$17="Distrato",$E329,0))),0,YEARFRAC(MAX($P$34*($B329+IF($R$17="Distrato",$I$38-1,0)),IF(AND($L$37=0,$P$34=0),"",$L$37-1),IF($R$17="Distrato",$E329,0)),MIN(AP$38,$D$19),$P$20))-SUM($P329:AO329)</f>
        <v>#VALUE!</v>
      </c>
      <c r="AQ329" s="446" t="e">
        <f>IF(OR($B329="",MIN(AQ$38,$D$19)&lt;MAX($P$34*($B329+IF($R$17="Distrato",$I$38-1,0)),IF(AND($L$37=0,$P$34=0),"",$L$37-1),IF($R$17="Distrato",$E329,0))),0,YEARFRAC(MAX($P$34*($B329+IF($R$17="Distrato",$I$38-1,0)),IF(AND($L$37=0,$P$34=0),"",$L$37-1),IF($R$17="Distrato",$E329,0)),MIN(AQ$38,$D$19),$P$20))-SUM($P329:AP329)</f>
        <v>#VALUE!</v>
      </c>
      <c r="AR329" s="446" t="e">
        <f>IF(OR($B329="",MIN(AR$38,$D$19)&lt;MAX($P$34*($B329+IF($R$17="Distrato",$I$38-1,0)),IF(AND($L$37=0,$P$34=0),"",$L$37-1),IF($R$17="Distrato",$E329,0))),0,YEARFRAC(MAX($P$34*($B329+IF($R$17="Distrato",$I$38-1,0)),IF(AND($L$37=0,$P$34=0),"",$L$37-1),IF($R$17="Distrato",$E329,0)),MIN(AR$38,$D$19),$P$20))-SUM($P329:AQ329)</f>
        <v>#VALUE!</v>
      </c>
      <c r="AS329" s="446" t="e">
        <f>IF(OR($B329="",MIN(AS$38,$D$19)&lt;MAX($P$34*($B329+IF($R$17="Distrato",$I$38-1,0)),IF(AND($L$37=0,$P$34=0),"",$L$37-1),IF($R$17="Distrato",$E329,0))),0,YEARFRAC(MAX($P$34*($B329+IF($R$17="Distrato",$I$38-1,0)),IF(AND($L$37=0,$P$34=0),"",$L$37-1),IF($R$17="Distrato",$E329,0)),MIN(AS$38,$D$19),$P$20))-SUM($P329:AR329)</f>
        <v>#VALUE!</v>
      </c>
      <c r="AT329" s="446" t="e">
        <f>IF(OR($B329="",MIN(AT$38,$D$19)&lt;MAX($P$34*($B329+IF($R$17="Distrato",$I$38-1,0)),IF(AND($L$37=0,$P$34=0),"",$L$37-1),IF($R$17="Distrato",$E329,0))),0,YEARFRAC(MAX($P$34*($B329+IF($R$17="Distrato",$I$38-1,0)),IF(AND($L$37=0,$P$34=0),"",$L$37-1),IF($R$17="Distrato",$E329,0)),MIN(AT$38,$D$19),$P$20))-SUM($P329:AS329)</f>
        <v>#VALUE!</v>
      </c>
      <c r="AU329" s="446" t="e">
        <f>IF(OR($B329="",MIN(AU$38,$D$19)&lt;MAX($P$34*($B329+IF($R$17="Distrato",$I$38-1,0)),IF(AND($L$37=0,$P$34=0),"",$L$37-1),IF($R$17="Distrato",$E329,0))),0,YEARFRAC(MAX($P$34*($B329+IF($R$17="Distrato",$I$38-1,0)),IF(AND($L$37=0,$P$34=0),"",$L$37-1),IF($R$17="Distrato",$E329,0)),MIN(AU$38,$D$19),$P$20))-SUM($P329:AT329)</f>
        <v>#VALUE!</v>
      </c>
      <c r="AV329" s="446" t="e">
        <f>IF(OR($B329="",MIN(AV$38,$D$19)&lt;MAX($P$34*($B329+IF($R$17="Distrato",$I$38-1,0)),IF(AND($L$37=0,$P$34=0),"",$L$37-1),IF($R$17="Distrato",$E329,0))),0,YEARFRAC(MAX($P$34*($B329+IF($R$17="Distrato",$I$38-1,0)),IF(AND($L$37=0,$P$34=0),"",$L$37-1),IF($R$17="Distrato",$E329,0)),MIN(AV$38,$D$19),$P$20))-SUM($P329:AU329)</f>
        <v>#VALUE!</v>
      </c>
      <c r="AW329" s="446" t="e">
        <f>IF(OR($B329="",MIN(AW$38,$D$19)&lt;MAX($P$34*($B329+IF($R$17="Distrato",$I$38-1,0)),IF(AND($L$37=0,$P$34=0),"",$L$37-1),IF($R$17="Distrato",$E329,0))),0,YEARFRAC(MAX($P$34*($B329+IF($R$17="Distrato",$I$38-1,0)),IF(AND($L$37=0,$P$34=0),"",$L$37-1),IF($R$17="Distrato",$E329,0)),MIN(AW$38,$D$19),$P$20))-SUM($P329:AV329)</f>
        <v>#VALUE!</v>
      </c>
      <c r="AX329" s="446" t="e">
        <f>IF(OR($B329="",MIN(AX$38,$D$19)&lt;MAX($P$34*($B329+IF($R$17="Distrato",$I$38-1,0)),IF(AND($L$37=0,$P$34=0),"",$L$37-1),IF($R$17="Distrato",$E329,0))),0,YEARFRAC(MAX($P$34*($B329+IF($R$17="Distrato",$I$38-1,0)),IF(AND($L$37=0,$P$34=0),"",$L$37-1),IF($R$17="Distrato",$E329,0)),MIN(AX$38,$D$19),$P$20))-SUM($P329:AW329)</f>
        <v>#VALUE!</v>
      </c>
      <c r="AY329" s="446" t="e">
        <f>IF(OR($B329="",MIN(AY$38,$D$19)&lt;MAX($P$34*($B329+IF($R$17="Distrato",$I$38-1,0)),IF(AND($L$37=0,$P$34=0),"",$L$37-1),IF($R$17="Distrato",$E329,0))),0,YEARFRAC(MAX($P$34*($B329+IF($R$17="Distrato",$I$38-1,0)),IF(AND($L$37=0,$P$34=0),"",$L$37-1),IF($R$17="Distrato",$E329,0)),MIN(AY$38,$D$19),$P$20))-SUM($P329:AX329)</f>
        <v>#VALUE!</v>
      </c>
      <c r="AZ329" s="446" t="e">
        <f>IF(OR($B329="",MIN(AZ$38,$D$19)&lt;MAX($P$34*($B329+IF($R$17="Distrato",$I$38-1,0)),IF(AND($L$37=0,$P$34=0),"",$L$37-1),IF($R$17="Distrato",$E329,0))),0,YEARFRAC(MAX($P$34*($B329+IF($R$17="Distrato",$I$38-1,0)),IF(AND($L$37=0,$P$34=0),"",$L$37-1),IF($R$17="Distrato",$E329,0)),MIN(AZ$38,$D$19),$P$20))-SUM($P329:AY329)</f>
        <v>#VALUE!</v>
      </c>
      <c r="BA329" s="446" t="e">
        <f>IF(OR($B329="",MIN(BA$38,$D$19)&lt;MAX($P$34*($B329+IF($R$17="Distrato",$I$38-1,0)),IF(AND($L$37=0,$P$34=0),"",$L$37-1),IF($R$17="Distrato",$E329,0))),0,YEARFRAC(MAX($P$34*($B329+IF($R$17="Distrato",$I$38-1,0)),IF(AND($L$37=0,$P$34=0),"",$L$37-1),IF($R$17="Distrato",$E329,0)),MIN(BA$38,$D$19),$P$20))-SUM($P329:AZ329)</f>
        <v>#VALUE!</v>
      </c>
      <c r="BB329" s="447"/>
      <c r="BF329" s="446">
        <f t="shared" si="54"/>
        <v>0</v>
      </c>
      <c r="BG329" s="446">
        <f>IF($E329=0,0,IF(MIN(BG$38,$E329)&lt;MAX($P$34*($B329+$I$38-1),IF(AND($L$37=0,$P$34=0),"",$L$37-1)),0,YEARFRAC(MAX($P$34*($B329+$I$38-1),IF(AND($L$37=0,$P$34=0),"",$L$37-1)),MIN(BG$38,$E329),$P$20))-SUM($BF329:BF329))</f>
        <v>0</v>
      </c>
      <c r="BH329" s="446">
        <f>IF($E329=0,0,IF(MIN(BH$38,$E329)&lt;MAX($P$34*($B329+$I$38-1),IF(AND($L$37=0,$P$34=0),"",$L$37-1)),0,YEARFRAC(MAX($P$34*($B329+$I$38-1),IF(AND($L$37=0,$P$34=0),"",$L$37-1)),MIN(BH$38,$E329),$P$20))-SUM($BF329:BG329))</f>
        <v>0</v>
      </c>
      <c r="BI329" s="446">
        <f>IF($E329=0,0,IF(MIN(BI$38,$E329)&lt;MAX($P$34*($B329+$I$38-1),IF(AND($L$37=0,$P$34=0),"",$L$37-1)),0,YEARFRAC(MAX($P$34*($B329+$I$38-1),IF(AND($L$37=0,$P$34=0),"",$L$37-1)),MIN(BI$38,$E329),$P$20))-SUM($BF329:BH329))</f>
        <v>0</v>
      </c>
      <c r="BJ329" s="446">
        <f>IF($E329=0,0,IF(MIN(BJ$38,$E329)&lt;MAX($P$34*($B329+$I$38-1),IF(AND($L$37=0,$P$34=0),"",$L$37-1)),0,YEARFRAC(MAX($P$34*($B329+$I$38-1),IF(AND($L$37=0,$P$34=0),"",$L$37-1)),MIN(BJ$38,$E329),$P$20))-SUM($BF329:BI329))</f>
        <v>0</v>
      </c>
      <c r="BK329" s="446">
        <f>IF($E329=0,0,IF(MIN(BK$38,$E329)&lt;MAX($P$34*($B329+$I$38-1),IF(AND($L$37=0,$P$34=0),"",$L$37-1)),0,YEARFRAC(MAX($P$34*($B329+$I$38-1),IF(AND($L$37=0,$P$34=0),"",$L$37-1)),MIN(BK$38,$E329),$P$20))-SUM($BF329:BJ329))</f>
        <v>0</v>
      </c>
      <c r="BL329" s="446">
        <f>IF($E329=0,0,IF(MIN(BL$38,$E329)&lt;MAX($P$34*($B329+$I$38-1),IF(AND($L$37=0,$P$34=0),"",$L$37-1)),0,YEARFRAC(MAX($P$34*($B329+$I$38-1),IF(AND($L$37=0,$P$34=0),"",$L$37-1)),MIN(BL$38,$E329),$P$20))-SUM($BF329:BK329))</f>
        <v>0</v>
      </c>
      <c r="BM329" s="446">
        <f>IF($E329=0,0,IF(MIN(BM$38,$E329)&lt;MAX($P$34*($B329+$I$38-1),IF(AND($L$37=0,$P$34=0),"",$L$37-1)),0,YEARFRAC(MAX($P$34*($B329+$I$38-1),IF(AND($L$37=0,$P$34=0),"",$L$37-1)),MIN(BM$38,$E329),$P$20))-SUM($BF329:BL329))</f>
        <v>0</v>
      </c>
      <c r="BN329" s="446">
        <f>IF($E329=0,0,IF(MIN(BN$38,$E329)&lt;MAX($P$34*($B329+$I$38-1),IF(AND($L$37=0,$P$34=0),"",$L$37-1)),0,YEARFRAC(MAX($P$34*($B329+$I$38-1),IF(AND($L$37=0,$P$34=0),"",$L$37-1)),MIN(BN$38,$E329),$P$20))-SUM($BF329:BM329))</f>
        <v>0</v>
      </c>
      <c r="BO329" s="446">
        <f>IF($E329=0,0,IF(MIN(BO$38,$E329)&lt;MAX($P$34*($B329+$I$38-1),IF(AND($L$37=0,$P$34=0),"",$L$37-1)),0,YEARFRAC(MAX($P$34*($B329+$I$38-1),IF(AND($L$37=0,$P$34=0),"",$L$37-1)),MIN(BO$38,$E329),$P$20))-SUM($BF329:BN329))</f>
        <v>0</v>
      </c>
      <c r="BP329" s="446">
        <f>IF($E329=0,0,IF(MIN(BP$38,$E329)&lt;MAX($P$34*($B329+$I$38-1),IF(AND($L$37=0,$P$34=0),"",$L$37-1)),0,YEARFRAC(MAX($P$34*($B329+$I$38-1),IF(AND($L$37=0,$P$34=0),"",$L$37-1)),MIN(BP$38,$E329),$P$20))-SUM($BF329:BO329))</f>
        <v>0</v>
      </c>
      <c r="BQ329" s="446">
        <f>IF($E329=0,0,IF(MIN(BQ$38,$E329)&lt;MAX($P$34*($B329+$I$38-1),IF(AND($L$37=0,$P$34=0),"",$L$37-1)),0,YEARFRAC(MAX($P$34*($B329+$I$38-1),IF(AND($L$37=0,$P$34=0),"",$L$37-1)),MIN(BQ$38,$E329),$P$20))-SUM($BF329:BP329))</f>
        <v>0</v>
      </c>
      <c r="BR329" s="446">
        <f>IF($E329=0,0,IF(MIN(BR$38,$E329)&lt;MAX($P$34*($B329+$I$38-1),IF(AND($L$37=0,$P$34=0),"",$L$37-1)),0,YEARFRAC(MAX($P$34*($B329+$I$38-1),IF(AND($L$37=0,$P$34=0),"",$L$37-1)),MIN(BR$38,$E329),$P$20))-SUM($BF329:BQ329))</f>
        <v>0</v>
      </c>
      <c r="BS329" s="446">
        <f>IF($E329=0,0,IF(MIN(BS$38,$E329)&lt;MAX($P$34*($B329+$I$38-1),IF(AND($L$37=0,$P$34=0),"",$L$37-1)),0,YEARFRAC(MAX($P$34*($B329+$I$38-1),IF(AND($L$37=0,$P$34=0),"",$L$37-1)),MIN(BS$38,$E329),$P$20))-SUM($BF329:BR329))</f>
        <v>0</v>
      </c>
      <c r="BT329" s="446">
        <f>IF($E329=0,0,IF(MIN(BT$38,$E329)&lt;MAX($P$34*($B329+$I$38-1),IF(AND($L$37=0,$P$34=0),"",$L$37-1)),0,YEARFRAC(MAX($P$34*($B329+$I$38-1),IF(AND($L$37=0,$P$34=0),"",$L$37-1)),MIN(BT$38,$E329),$P$20))-SUM($BF329:BS329))</f>
        <v>0</v>
      </c>
      <c r="BU329" s="446">
        <f>IF($E329=0,0,IF(MIN(BU$38,$E329)&lt;MAX($P$34*($B329+$I$38-1),IF(AND($L$37=0,$P$34=0),"",$L$37-1)),0,YEARFRAC(MAX($P$34*($B329+$I$38-1),IF(AND($L$37=0,$P$34=0),"",$L$37-1)),MIN(BU$38,$E329),$P$20))-SUM($BF329:BT329))</f>
        <v>0</v>
      </c>
      <c r="BV329" s="446">
        <f>IF($E329=0,0,IF(MIN(BV$38,$E329)&lt;MAX($P$34*($B329+$I$38-1),IF(AND($L$37=0,$P$34=0),"",$L$37-1)),0,YEARFRAC(MAX($P$34*($B329+$I$38-1),IF(AND($L$37=0,$P$34=0),"",$L$37-1)),MIN(BV$38,$E329),$P$20))-SUM($BF329:BU329))</f>
        <v>0</v>
      </c>
      <c r="BW329" s="446">
        <f>IF($E329=0,0,IF(MIN(BW$38,$E329)&lt;MAX($P$34*($B329+$I$38-1),IF(AND($L$37=0,$P$34=0),"",$L$37-1)),0,YEARFRAC(MAX($P$34*($B329+$I$38-1),IF(AND($L$37=0,$P$34=0),"",$L$37-1)),MIN(BW$38,$E329),$P$20))-SUM($BF329:BV329))</f>
        <v>0</v>
      </c>
      <c r="BX329" s="446">
        <f>IF($E329=0,0,IF(MIN(BX$38,$E329)&lt;MAX($P$34*($B329+$I$38-1),IF(AND($L$37=0,$P$34=0),"",$L$37-1)),0,YEARFRAC(MAX($P$34*($B329+$I$38-1),IF(AND($L$37=0,$P$34=0),"",$L$37-1)),MIN(BX$38,$E329),$P$20))-SUM($BF329:BW329))</f>
        <v>0</v>
      </c>
      <c r="BY329" s="446">
        <f>IF($E329=0,0,IF(MIN(BY$38,$E329)&lt;MAX($P$34*($B329+$I$38-1),IF(AND($L$37=0,$P$34=0),"",$L$37-1)),0,YEARFRAC(MAX($P$34*($B329+$I$38-1),IF(AND($L$37=0,$P$34=0),"",$L$37-1)),MIN(BY$38,$E329),$P$20))-SUM($BF329:BX329))</f>
        <v>0</v>
      </c>
      <c r="BZ329" s="446">
        <f>IF($E329=0,0,IF(MIN(BZ$38,$E329)&lt;MAX($P$34*($B329+$I$38-1),IF(AND($L$37=0,$P$34=0),"",$L$37-1)),0,YEARFRAC(MAX($P$34*($B329+$I$38-1),IF(AND($L$37=0,$P$34=0),"",$L$37-1)),MIN(BZ$38,$E329),$P$20))-SUM($BF329:BY329))</f>
        <v>0</v>
      </c>
      <c r="CA329" s="446">
        <f>IF($E329=0,0,IF(MIN(CA$38,$E329)&lt;MAX($P$34*($B329+$I$38-1),IF(AND($L$37=0,$P$34=0),"",$L$37-1)),0,YEARFRAC(MAX($P$34*($B329+$I$38-1),IF(AND($L$37=0,$P$34=0),"",$L$37-1)),MIN(CA$38,$E329),$P$20))-SUM($BF329:BZ329))</f>
        <v>0</v>
      </c>
      <c r="CB329" s="446">
        <f>IF($E329=0,0,IF(MIN(CB$38,$E329)&lt;MAX($P$34*($B329+$I$38-1),IF(AND($L$37=0,$P$34=0),"",$L$37-1)),0,YEARFRAC(MAX($P$34*($B329+$I$38-1),IF(AND($L$37=0,$P$34=0),"",$L$37-1)),MIN(CB$38,$E329),$P$20))-SUM($BF329:CA329))</f>
        <v>0</v>
      </c>
      <c r="CC329" s="446">
        <f>IF($E329=0,0,IF(MIN(CC$38,$E329)&lt;MAX($P$34*($B329+$I$38-1),IF(AND($L$37=0,$P$34=0),"",$L$37-1)),0,YEARFRAC(MAX($P$34*($B329+$I$38-1),IF(AND($L$37=0,$P$34=0),"",$L$37-1)),MIN(CC$38,$E329),$P$20))-SUM($BF329:CB329))</f>
        <v>0</v>
      </c>
      <c r="CD329" s="446">
        <f>IF($E329=0,0,IF(MIN(CD$38,$E329)&lt;MAX($P$34*($B329+$I$38-1),IF(AND($L$37=0,$P$34=0),"",$L$37-1)),0,YEARFRAC(MAX($P$34*($B329+$I$38-1),IF(AND($L$37=0,$P$34=0),"",$L$37-1)),MIN(CD$38,$E329),$P$20))-SUM($BF329:CC329))</f>
        <v>0</v>
      </c>
      <c r="CE329" s="446">
        <f>IF($E329=0,0,IF(MIN(CE$38,$E329)&lt;MAX($P$34*($B329+$I$38-1),IF(AND($L$37=0,$P$34=0),"",$L$37-1)),0,YEARFRAC(MAX($P$34*($B329+$I$38-1),IF(AND($L$37=0,$P$34=0),"",$L$37-1)),MIN(CE$38,$E329),$P$20))-SUM($BF329:CD329))</f>
        <v>0</v>
      </c>
      <c r="CF329" s="446">
        <f>IF($E329=0,0,IF(MIN(CF$38,$E329)&lt;MAX($P$34*($B329+$I$38-1),IF(AND($L$37=0,$P$34=0),"",$L$37-1)),0,YEARFRAC(MAX($P$34*($B329+$I$38-1),IF(AND($L$37=0,$P$34=0),"",$L$37-1)),MIN(CF$38,$E329),$P$20))-SUM($BF329:CE329))</f>
        <v>0</v>
      </c>
      <c r="CG329" s="446">
        <f>IF($E329=0,0,IF(MIN(CG$38,$E329)&lt;MAX($P$34*($B329+$I$38-1),IF(AND($L$37=0,$P$34=0),"",$L$37-1)),0,YEARFRAC(MAX($P$34*($B329+$I$38-1),IF(AND($L$37=0,$P$34=0),"",$L$37-1)),MIN(CG$38,$E329),$P$20))-SUM($BF329:CF329))</f>
        <v>0</v>
      </c>
      <c r="CH329" s="446">
        <f>IF($E329=0,0,IF(MIN(CH$38,$E329)&lt;MAX($P$34*($B329+$I$38-1),IF(AND($L$37=0,$P$34=0),"",$L$37-1)),0,YEARFRAC(MAX($P$34*($B329+$I$38-1),IF(AND($L$37=0,$P$34=0),"",$L$37-1)),MIN(CH$38,$E329),$P$20))-SUM($BF329:CG329))</f>
        <v>0</v>
      </c>
      <c r="CI329" s="446">
        <f>IF($E329=0,0,IF(MIN(CI$38,$E329)&lt;MAX($P$34*($B329+$I$38-1),IF(AND($L$37=0,$P$34=0),"",$L$37-1)),0,YEARFRAC(MAX($P$34*($B329+$I$38-1),IF(AND($L$37=0,$P$34=0),"",$L$37-1)),MIN(CI$38,$E329),$P$20))-SUM($BF329:CH329))</f>
        <v>0</v>
      </c>
      <c r="CJ329" s="446">
        <f>IF($E329=0,0,IF(MIN(CJ$38,$E329)&lt;MAX($P$34*($B329+$I$38-1),IF(AND($L$37=0,$P$34=0),"",$L$37-1)),0,YEARFRAC(MAX($P$34*($B329+$I$38-1),IF(AND($L$37=0,$P$34=0),"",$L$37-1)),MIN(CJ$38,$E329),$P$20))-SUM($BF329:CI329))</f>
        <v>0</v>
      </c>
      <c r="CK329" s="446">
        <f>IF($E329=0,0,IF(MIN(CK$38,$E329)&lt;MAX($P$34*($B329+$I$38-1),IF(AND($L$37=0,$P$34=0),"",$L$37-1)),0,YEARFRAC(MAX($P$34*($B329+$I$38-1),IF(AND($L$37=0,$P$34=0),"",$L$37-1)),MIN(CK$38,$E329),$P$20))-SUM($BF329:CJ329))</f>
        <v>0</v>
      </c>
      <c r="CL329" s="446">
        <f>IF($E329=0,0,IF(MIN(CL$38,$E329)&lt;MAX($P$34*($B329+$I$38-1),IF(AND($L$37=0,$P$34=0),"",$L$37-1)),0,YEARFRAC(MAX($P$34*($B329+$I$38-1),IF(AND($L$37=0,$P$34=0),"",$L$37-1)),MIN(CL$38,$E329),$P$20))-SUM($BF329:CK329))</f>
        <v>0</v>
      </c>
      <c r="CM329" s="446">
        <f>IF($E329=0,0,IF(MIN(CM$38,$E329)&lt;MAX($P$34*($B329+$I$38-1),IF(AND($L$37=0,$P$34=0),"",$L$37-1)),0,YEARFRAC(MAX($P$34*($B329+$I$38-1),IF(AND($L$37=0,$P$34=0),"",$L$37-1)),MIN(CM$38,$E329),$P$20))-SUM($BF329:CL329))</f>
        <v>0</v>
      </c>
      <c r="CN329" s="446">
        <f>IF($E329=0,0,IF(MIN(CN$38,$E329)&lt;MAX($P$34*($B329+$I$38-1),IF(AND($L$37=0,$P$34=0),"",$L$37-1)),0,YEARFRAC(MAX($P$34*($B329+$I$38-1),IF(AND($L$37=0,$P$34=0),"",$L$37-1)),MIN(CN$38,$E329),$P$20))-SUM($BF329:CM329))</f>
        <v>0</v>
      </c>
      <c r="CO329" s="446">
        <f>IF($E329=0,0,IF(MIN(CO$38,$E329)&lt;MAX($P$34*($B329+$I$38-1),IF(AND($L$37=0,$P$34=0),"",$L$37-1)),0,YEARFRAC(MAX($P$34*($B329+$I$38-1),IF(AND($L$37=0,$P$34=0),"",$L$37-1)),MIN(CO$38,$E329),$P$20))-SUM($BF329:CN329))</f>
        <v>0</v>
      </c>
      <c r="CP329" s="446">
        <f>IF($E329=0,0,IF(MIN(CP$38,$E329)&lt;MAX($P$34*($B329+$I$38-1),IF(AND($L$37=0,$P$34=0),"",$L$37-1)),0,YEARFRAC(MAX($P$34*($B329+$I$38-1),IF(AND($L$37=0,$P$34=0),"",$L$37-1)),MIN(CP$38,$E329),$P$20))-SUM($BF329:CO329))</f>
        <v>0</v>
      </c>
      <c r="CQ329" s="446">
        <f>IF($E329=0,0,IF(MIN(CQ$38,$E329)&lt;MAX($P$34*($B329+$I$38-1),IF(AND($L$37=0,$P$34=0),"",$L$37-1)),0,YEARFRAC(MAX($P$34*($B329+$I$38-1),IF(AND($L$37=0,$P$34=0),"",$L$37-1)),MIN(CQ$38,$E329),$P$20))-SUM($BF329:CP329))</f>
        <v>0</v>
      </c>
    </row>
    <row r="330" spans="1:95" s="446" customFormat="1" ht="11.25" hidden="1" customHeight="1" x14ac:dyDescent="0.2">
      <c r="A330" s="152"/>
      <c r="B330" s="153" t="str">
        <f t="shared" si="59"/>
        <v/>
      </c>
      <c r="C330" s="29" t="str">
        <f>IF(B330="","",IF($L$35="SELIC - TRIBUTOS",VLOOKUP(DATE(YEAR($D$19),MONTH($D$19)-1,1),ÍNDICES!$A:$DE,HLOOKUP($BL$25,ÍNDICES!$B$3:$T$4,2)+11)-VLOOKUP(B330,ÍNDICES!$A:$DE,HLOOKUP($BL$25,ÍNDICES!$B$3:$T$4,2)+11)+1%,IF(C$38=$W$26,$J$35,IF(ISERROR(IF(B330&gt;$D$19,1,VLOOKUP(DATE(YEAR(B330),MONTH(B330)+IF($C$35=$S$23,1,0),1),ÍNDICES!$A:$DE,$Z$35+1))),"",IF(B330&gt;$D$19,1,VLOOKUP(DATE(YEAR(B330),MONTH(B330)+IF($C$35=$S$23,1,0),1),ÍNDICES!$A:$DE,$Z$35+1))))))</f>
        <v/>
      </c>
      <c r="D330" s="154" t="str">
        <f>IF(ISERROR(IF(OR($D$38=$Y$27,$B330=""),"",VLOOKUP(B330,ÍNDICES!A:DE,AF$35+1))),"",IF(OR($D$38=$Y$27,$B330=""),"",VLOOKUP(B330,ÍNDICES!A:DE,AF$35+1)))</f>
        <v/>
      </c>
      <c r="E330" s="153"/>
      <c r="F330" s="29" t="str">
        <f>IF(E330="","",IF($L$35="SELIC - TRIBUTOS",VLOOKUP(DATE(YEAR($D$19),MONTH($D$19)-1,1),ÍNDICES!$A:$DE,HLOOKUP($BL$25,ÍNDICES!$B$3:$T$4,2)+11)-VLOOKUP(E330,ÍNDICES!$A:$DE,HLOOKUP($BL$25,ÍNDICES!$B$3:$T$4,2)+11)+1%,IF(F$38=$W$26,$J$35,IF(ISERROR(IF(E330&gt;$D$19,1,VLOOKUP(DATE(YEAR(E330),MONTH(E330)+IF($C$35=$S$23,1,0),1),ÍNDICES!$A:$DE,$Z$35+1))),"",IF(E330&gt;$D$19,1,VLOOKUP(DATE(YEAR(E330),MONTH(E330)+IF($C$35=$S$23,1,0),1),ÍNDICES!$A:$DE,$Z$35+1))))))</f>
        <v/>
      </c>
      <c r="G330" s="155"/>
      <c r="H330" s="156" t="str">
        <f t="shared" si="55"/>
        <v/>
      </c>
      <c r="I330" s="29" t="str">
        <f t="shared" si="49"/>
        <v/>
      </c>
      <c r="J330" s="5">
        <f t="shared" si="50"/>
        <v>0</v>
      </c>
      <c r="K330" s="20">
        <f t="shared" ca="1" si="51"/>
        <v>0</v>
      </c>
      <c r="L330" s="5">
        <f t="shared" ca="1" si="52"/>
        <v>0</v>
      </c>
      <c r="M330" s="64">
        <f t="shared" si="56"/>
        <v>0</v>
      </c>
      <c r="N330" s="61">
        <f t="shared" ca="1" si="57"/>
        <v>0</v>
      </c>
      <c r="O330" s="5">
        <f t="shared" ca="1" si="58"/>
        <v>0</v>
      </c>
      <c r="P330" s="446" t="e">
        <f t="shared" si="53"/>
        <v>#VALUE!</v>
      </c>
      <c r="Q330" s="446" t="e">
        <f>IF(OR($B330="",MIN(Q$38,$D$19)&lt;MAX($P$34*($B330+IF($R$17="Distrato",$I$38-1,0)),IF(AND($L$37=0,$P$34=0),"",$L$37-1),IF($R$17="Distrato",$E330,0))),0,YEARFRAC(MAX($P$34*($B330+IF($R$17="Distrato",$I$38-1,0)),IF(AND($L$37=0,$P$34=0),"",$L$37-1),IF($R$17="Distrato",$E330,0)),MIN(Q$38,$D$19),$P$20))-SUM($P330:P330)</f>
        <v>#VALUE!</v>
      </c>
      <c r="R330" s="446" t="e">
        <f>IF(OR($B330="",MIN(R$38,$D$19)&lt;MAX($P$34*($B330+IF($R$17="Distrato",$I$38-1,0)),IF(AND($L$37=0,$P$34=0),"",$L$37-1),IF($R$17="Distrato",$E330,0))),0,YEARFRAC(MAX($P$34*($B330+IF($R$17="Distrato",$I$38-1,0)),IF(AND($L$37=0,$P$34=0),"",$L$37-1),IF($R$17="Distrato",$E330,0)),MIN(R$38,$D$19),$P$20))-SUM($P330:Q330)</f>
        <v>#VALUE!</v>
      </c>
      <c r="S330" s="446" t="e">
        <f>IF(OR($B330="",MIN(S$38,$D$19)&lt;MAX($P$34*($B330+IF($R$17="Distrato",$I$38-1,0)),IF(AND($L$37=0,$P$34=0),"",$L$37-1),IF($R$17="Distrato",$E330,0))),0,YEARFRAC(MAX($P$34*($B330+IF($R$17="Distrato",$I$38-1,0)),IF(AND($L$37=0,$P$34=0),"",$L$37-1),IF($R$17="Distrato",$E330,0)),MIN(S$38,$D$19),$P$20))-SUM($P330:R330)</f>
        <v>#VALUE!</v>
      </c>
      <c r="T330" s="446" t="e">
        <f>IF(OR($B330="",MIN(T$38,$D$19)&lt;MAX($P$34*($B330+IF($R$17="Distrato",$I$38-1,0)),IF(AND($L$37=0,$P$34=0),"",$L$37-1),IF($R$17="Distrato",$E330,0))),0,YEARFRAC(MAX($P$34*($B330+IF($R$17="Distrato",$I$38-1,0)),IF(AND($L$37=0,$P$34=0),"",$L$37-1),IF($R$17="Distrato",$E330,0)),MIN(T$38,$D$19),$P$20))-SUM($P330:S330)</f>
        <v>#VALUE!</v>
      </c>
      <c r="U330" s="446" t="e">
        <f>IF(OR($B330="",MIN(U$38,$D$19)&lt;MAX($P$34*($B330+IF($R$17="Distrato",$I$38-1,0)),IF(AND($L$37=0,$P$34=0),"",$L$37-1),IF($R$17="Distrato",$E330,0))),0,YEARFRAC(MAX($P$34*($B330+IF($R$17="Distrato",$I$38-1,0)),IF(AND($L$37=0,$P$34=0),"",$L$37-1),IF($R$17="Distrato",$E330,0)),MIN(U$38,$D$19),$P$20))-SUM($P330:T330)</f>
        <v>#VALUE!</v>
      </c>
      <c r="V330" s="446" t="e">
        <f>IF(OR($B330="",MIN(V$38,$D$19)&lt;MAX($P$34*($B330+IF($R$17="Distrato",$I$38-1,0)),IF(AND($L$37=0,$P$34=0),"",$L$37-1),IF($R$17="Distrato",$E330,0))),0,YEARFRAC(MAX($P$34*($B330+IF($R$17="Distrato",$I$38-1,0)),IF(AND($L$37=0,$P$34=0),"",$L$37-1),IF($R$17="Distrato",$E330,0)),MIN(V$38,$D$19),$P$20))-SUM($P330:U330)</f>
        <v>#VALUE!</v>
      </c>
      <c r="W330" s="446" t="e">
        <f>IF(OR($B330="",MIN(W$38,$D$19)&lt;MAX($P$34*($B330+IF($R$17="Distrato",$I$38-1,0)),IF(AND($L$37=0,$P$34=0),"",$L$37-1),IF($R$17="Distrato",$E330,0))),0,YEARFRAC(MAX($P$34*($B330+IF($R$17="Distrato",$I$38-1,0)),IF(AND($L$37=0,$P$34=0),"",$L$37-1),IF($R$17="Distrato",$E330,0)),MIN(W$38,$D$19),$P$20))-SUM($P330:V330)</f>
        <v>#VALUE!</v>
      </c>
      <c r="X330" s="446" t="e">
        <f>IF(OR($B330="",MIN(X$38,$D$19)&lt;MAX($P$34*($B330+IF($R$17="Distrato",$I$38-1,0)),IF(AND($L$37=0,$P$34=0),"",$L$37-1),IF($R$17="Distrato",$E330,0))),0,YEARFRAC(MAX($P$34*($B330+IF($R$17="Distrato",$I$38-1,0)),IF(AND($L$37=0,$P$34=0),"",$L$37-1),IF($R$17="Distrato",$E330,0)),MIN(X$38,$D$19),$P$20))-SUM($P330:W330)</f>
        <v>#VALUE!</v>
      </c>
      <c r="Y330" s="446" t="e">
        <f>IF(OR($B330="",MIN(Y$38,$D$19)&lt;MAX($P$34*($B330+IF($R$17="Distrato",$I$38-1,0)),IF(AND($L$37=0,$P$34=0),"",$L$37-1),IF($R$17="Distrato",$E330,0))),0,YEARFRAC(MAX($P$34*($B330+IF($R$17="Distrato",$I$38-1,0)),IF(AND($L$37=0,$P$34=0),"",$L$37-1),IF($R$17="Distrato",$E330,0)),MIN(Y$38,$D$19),$P$20))-SUM($P330:X330)</f>
        <v>#VALUE!</v>
      </c>
      <c r="Z330" s="446" t="e">
        <f>IF(OR($B330="",MIN(Z$38,$D$19)&lt;MAX($P$34*($B330+IF($R$17="Distrato",$I$38-1,0)),IF(AND($L$37=0,$P$34=0),"",$L$37-1),IF($R$17="Distrato",$E330,0))),0,YEARFRAC(MAX($P$34*($B330+IF($R$17="Distrato",$I$38-1,0)),IF(AND($L$37=0,$P$34=0),"",$L$37-1),IF($R$17="Distrato",$E330,0)),MIN(Z$38,$D$19),$P$20))-SUM($P330:Y330)</f>
        <v>#VALUE!</v>
      </c>
      <c r="AA330" s="446" t="e">
        <f>IF(OR($B330="",MIN(AA$38,$D$19)&lt;MAX($P$34*($B330+IF($R$17="Distrato",$I$38-1,0)),IF(AND($L$37=0,$P$34=0),"",$L$37-1),IF($R$17="Distrato",$E330,0))),0,YEARFRAC(MAX($P$34*($B330+IF($R$17="Distrato",$I$38-1,0)),IF(AND($L$37=0,$P$34=0),"",$L$37-1),IF($R$17="Distrato",$E330,0)),MIN(AA$38,$D$19),$P$20))-SUM($P330:Z330)</f>
        <v>#VALUE!</v>
      </c>
      <c r="AB330" s="446" t="e">
        <f>IF(OR($B330="",MIN(AB$38,$D$19)&lt;MAX($P$34*($B330+IF($R$17="Distrato",$I$38-1,0)),IF(AND($L$37=0,$P$34=0),"",$L$37-1),IF($R$17="Distrato",$E330,0))),0,YEARFRAC(MAX($P$34*($B330+IF($R$17="Distrato",$I$38-1,0)),IF(AND($L$37=0,$P$34=0),"",$L$37-1),IF($R$17="Distrato",$E330,0)),MIN(AB$38,$D$19),$P$20))-SUM($P330:AA330)</f>
        <v>#VALUE!</v>
      </c>
      <c r="AC330" s="446" t="e">
        <f>IF(OR($B330="",MIN(AC$38,$D$19)&lt;MAX($P$34*($B330+IF($R$17="Distrato",$I$38-1,0)),IF(AND($L$37=0,$P$34=0),"",$L$37-1),IF($R$17="Distrato",$E330,0))),0,YEARFRAC(MAX($P$34*($B330+IF($R$17="Distrato",$I$38-1,0)),IF(AND($L$37=0,$P$34=0),"",$L$37-1),IF($R$17="Distrato",$E330,0)),MIN(AC$38,$D$19),$P$20))-SUM($P330:AB330)</f>
        <v>#VALUE!</v>
      </c>
      <c r="AD330" s="446" t="e">
        <f>IF(OR($B330="",MIN(AD$38,$D$19)&lt;MAX($P$34*($B330+IF($R$17="Distrato",$I$38-1,0)),IF(AND($L$37=0,$P$34=0),"",$L$37-1),IF($R$17="Distrato",$E330,0))),0,YEARFRAC(MAX($P$34*($B330+IF($R$17="Distrato",$I$38-1,0)),IF(AND($L$37=0,$P$34=0),"",$L$37-1),IF($R$17="Distrato",$E330,0)),MIN(AD$38,$D$19),$P$20))-SUM($P330:AC330)</f>
        <v>#VALUE!</v>
      </c>
      <c r="AE330" s="446" t="e">
        <f>IF(OR($B330="",MIN(AE$38,$D$19)&lt;MAX($P$34*($B330+IF($R$17="Distrato",$I$38-1,0)),IF(AND($L$37=0,$P$34=0),"",$L$37-1),IF($R$17="Distrato",$E330,0))),0,YEARFRAC(MAX($P$34*($B330+IF($R$17="Distrato",$I$38-1,0)),IF(AND($L$37=0,$P$34=0),"",$L$37-1),IF($R$17="Distrato",$E330,0)),MIN(AE$38,$D$19),$P$20))-SUM($P330:AD330)</f>
        <v>#VALUE!</v>
      </c>
      <c r="AF330" s="446" t="e">
        <f>IF(OR($B330="",MIN(AF$38,$D$19)&lt;MAX($P$34*($B330+IF($R$17="Distrato",$I$38-1,0)),IF(AND($L$37=0,$P$34=0),"",$L$37-1),IF($R$17="Distrato",$E330,0))),0,YEARFRAC(MAX($P$34*($B330+IF($R$17="Distrato",$I$38-1,0)),IF(AND($L$37=0,$P$34=0),"",$L$37-1),IF($R$17="Distrato",$E330,0)),MIN(AF$38,$D$19),$P$20))-SUM($P330:AE330)</f>
        <v>#VALUE!</v>
      </c>
      <c r="AG330" s="446" t="e">
        <f>IF(OR($B330="",MIN(AG$38,$D$19)&lt;MAX($P$34*($B330+IF($R$17="Distrato",$I$38-1,0)),IF(AND($L$37=0,$P$34=0),"",$L$37-1),IF($R$17="Distrato",$E330,0))),0,YEARFRAC(MAX($P$34*($B330+IF($R$17="Distrato",$I$38-1,0)),IF(AND($L$37=0,$P$34=0),"",$L$37-1),IF($R$17="Distrato",$E330,0)),MIN(AG$38,$D$19),$P$20))-SUM($P330:AF330)</f>
        <v>#VALUE!</v>
      </c>
      <c r="AH330" s="446" t="e">
        <f>IF(OR($B330="",MIN(AH$38,$D$19)&lt;MAX($P$34*($B330+IF($R$17="Distrato",$I$38-1,0)),IF(AND($L$37=0,$P$34=0),"",$L$37-1),IF($R$17="Distrato",$E330,0))),0,YEARFRAC(MAX($P$34*($B330+IF($R$17="Distrato",$I$38-1,0)),IF(AND($L$37=0,$P$34=0),"",$L$37-1),IF($R$17="Distrato",$E330,0)),MIN(AH$38,$D$19),$P$20))-SUM($P330:AG330)</f>
        <v>#VALUE!</v>
      </c>
      <c r="AI330" s="446" t="e">
        <f>IF(OR($B330="",MIN(AI$38,$D$19)&lt;MAX($P$34*($B330+IF($R$17="Distrato",$I$38-1,0)),IF(AND($L$37=0,$P$34=0),"",$L$37-1),IF($R$17="Distrato",$E330,0))),0,YEARFRAC(MAX($P$34*($B330+IF($R$17="Distrato",$I$38-1,0)),IF(AND($L$37=0,$P$34=0),"",$L$37-1),IF($R$17="Distrato",$E330,0)),MIN(AI$38,$D$19),$P$20))-SUM($P330:AH330)</f>
        <v>#VALUE!</v>
      </c>
      <c r="AJ330" s="446" t="e">
        <f>IF(OR($B330="",MIN(AJ$38,$D$19)&lt;MAX($P$34*($B330+IF($R$17="Distrato",$I$38-1,0)),IF(AND($L$37=0,$P$34=0),"",$L$37-1),IF($R$17="Distrato",$E330,0))),0,YEARFRAC(MAX($P$34*($B330+IF($R$17="Distrato",$I$38-1,0)),IF(AND($L$37=0,$P$34=0),"",$L$37-1),IF($R$17="Distrato",$E330,0)),MIN(AJ$38,$D$19),$P$20))-SUM($P330:AI330)</f>
        <v>#VALUE!</v>
      </c>
      <c r="AK330" s="446" t="e">
        <f>IF(OR($B330="",MIN(AK$38,$D$19)&lt;MAX($P$34*($B330+IF($R$17="Distrato",$I$38-1,0)),IF(AND($L$37=0,$P$34=0),"",$L$37-1),IF($R$17="Distrato",$E330,0))),0,YEARFRAC(MAX($P$34*($B330+IF($R$17="Distrato",$I$38-1,0)),IF(AND($L$37=0,$P$34=0),"",$L$37-1),IF($R$17="Distrato",$E330,0)),MIN(AK$38,$D$19),$P$20))-SUM($P330:AJ330)</f>
        <v>#VALUE!</v>
      </c>
      <c r="AL330" s="446" t="e">
        <f>IF(OR($B330="",MIN(AL$38,$D$19)&lt;MAX($P$34*($B330+IF($R$17="Distrato",$I$38-1,0)),IF(AND($L$37=0,$P$34=0),"",$L$37-1),IF($R$17="Distrato",$E330,0))),0,YEARFRAC(MAX($P$34*($B330+IF($R$17="Distrato",$I$38-1,0)),IF(AND($L$37=0,$P$34=0),"",$L$37-1),IF($R$17="Distrato",$E330,0)),MIN(AL$38,$D$19),$P$20))-SUM($P330:AK330)</f>
        <v>#VALUE!</v>
      </c>
      <c r="AM330" s="446" t="e">
        <f>IF(OR($B330="",MIN(AM$38,$D$19)&lt;MAX($P$34*($B330+IF($R$17="Distrato",$I$38-1,0)),IF(AND($L$37=0,$P$34=0),"",$L$37-1),IF($R$17="Distrato",$E330,0))),0,YEARFRAC(MAX($P$34*($B330+IF($R$17="Distrato",$I$38-1,0)),IF(AND($L$37=0,$P$34=0),"",$L$37-1),IF($R$17="Distrato",$E330,0)),MIN(AM$38,$D$19),$P$20))-SUM($P330:AL330)</f>
        <v>#VALUE!</v>
      </c>
      <c r="AN330" s="446" t="e">
        <f>IF(OR($B330="",MIN(AN$38,$D$19)&lt;MAX($P$34*($B330+IF($R$17="Distrato",$I$38-1,0)),IF(AND($L$37=0,$P$34=0),"",$L$37-1),IF($R$17="Distrato",$E330,0))),0,YEARFRAC(MAX($P$34*($B330+IF($R$17="Distrato",$I$38-1,0)),IF(AND($L$37=0,$P$34=0),"",$L$37-1),IF($R$17="Distrato",$E330,0)),MIN(AN$38,$D$19),$P$20))-SUM($P330:AM330)</f>
        <v>#VALUE!</v>
      </c>
      <c r="AO330" s="446" t="e">
        <f>IF(OR($B330="",MIN(AO$38,$D$19)&lt;MAX($P$34*($B330+IF($R$17="Distrato",$I$38-1,0)),IF(AND($L$37=0,$P$34=0),"",$L$37-1),IF($R$17="Distrato",$E330,0))),0,YEARFRAC(MAX($P$34*($B330+IF($R$17="Distrato",$I$38-1,0)),IF(AND($L$37=0,$P$34=0),"",$L$37-1),IF($R$17="Distrato",$E330,0)),MIN(AO$38,$D$19),$P$20))-SUM($P330:AN330)</f>
        <v>#VALUE!</v>
      </c>
      <c r="AP330" s="446" t="e">
        <f>IF(OR($B330="",MIN(AP$38,$D$19)&lt;MAX($P$34*($B330+IF($R$17="Distrato",$I$38-1,0)),IF(AND($L$37=0,$P$34=0),"",$L$37-1),IF($R$17="Distrato",$E330,0))),0,YEARFRAC(MAX($P$34*($B330+IF($R$17="Distrato",$I$38-1,0)),IF(AND($L$37=0,$P$34=0),"",$L$37-1),IF($R$17="Distrato",$E330,0)),MIN(AP$38,$D$19),$P$20))-SUM($P330:AO330)</f>
        <v>#VALUE!</v>
      </c>
      <c r="AQ330" s="446" t="e">
        <f>IF(OR($B330="",MIN(AQ$38,$D$19)&lt;MAX($P$34*($B330+IF($R$17="Distrato",$I$38-1,0)),IF(AND($L$37=0,$P$34=0),"",$L$37-1),IF($R$17="Distrato",$E330,0))),0,YEARFRAC(MAX($P$34*($B330+IF($R$17="Distrato",$I$38-1,0)),IF(AND($L$37=0,$P$34=0),"",$L$37-1),IF($R$17="Distrato",$E330,0)),MIN(AQ$38,$D$19),$P$20))-SUM($P330:AP330)</f>
        <v>#VALUE!</v>
      </c>
      <c r="AR330" s="446" t="e">
        <f>IF(OR($B330="",MIN(AR$38,$D$19)&lt;MAX($P$34*($B330+IF($R$17="Distrato",$I$38-1,0)),IF(AND($L$37=0,$P$34=0),"",$L$37-1),IF($R$17="Distrato",$E330,0))),0,YEARFRAC(MAX($P$34*($B330+IF($R$17="Distrato",$I$38-1,0)),IF(AND($L$37=0,$P$34=0),"",$L$37-1),IF($R$17="Distrato",$E330,0)),MIN(AR$38,$D$19),$P$20))-SUM($P330:AQ330)</f>
        <v>#VALUE!</v>
      </c>
      <c r="AS330" s="446" t="e">
        <f>IF(OR($B330="",MIN(AS$38,$D$19)&lt;MAX($P$34*($B330+IF($R$17="Distrato",$I$38-1,0)),IF(AND($L$37=0,$P$34=0),"",$L$37-1),IF($R$17="Distrato",$E330,0))),0,YEARFRAC(MAX($P$34*($B330+IF($R$17="Distrato",$I$38-1,0)),IF(AND($L$37=0,$P$34=0),"",$L$37-1),IF($R$17="Distrato",$E330,0)),MIN(AS$38,$D$19),$P$20))-SUM($P330:AR330)</f>
        <v>#VALUE!</v>
      </c>
      <c r="AT330" s="446" t="e">
        <f>IF(OR($B330="",MIN(AT$38,$D$19)&lt;MAX($P$34*($B330+IF($R$17="Distrato",$I$38-1,0)),IF(AND($L$37=0,$P$34=0),"",$L$37-1),IF($R$17="Distrato",$E330,0))),0,YEARFRAC(MAX($P$34*($B330+IF($R$17="Distrato",$I$38-1,0)),IF(AND($L$37=0,$P$34=0),"",$L$37-1),IF($R$17="Distrato",$E330,0)),MIN(AT$38,$D$19),$P$20))-SUM($P330:AS330)</f>
        <v>#VALUE!</v>
      </c>
      <c r="AU330" s="446" t="e">
        <f>IF(OR($B330="",MIN(AU$38,$D$19)&lt;MAX($P$34*($B330+IF($R$17="Distrato",$I$38-1,0)),IF(AND($L$37=0,$P$34=0),"",$L$37-1),IF($R$17="Distrato",$E330,0))),0,YEARFRAC(MAX($P$34*($B330+IF($R$17="Distrato",$I$38-1,0)),IF(AND($L$37=0,$P$34=0),"",$L$37-1),IF($R$17="Distrato",$E330,0)),MIN(AU$38,$D$19),$P$20))-SUM($P330:AT330)</f>
        <v>#VALUE!</v>
      </c>
      <c r="AV330" s="446" t="e">
        <f>IF(OR($B330="",MIN(AV$38,$D$19)&lt;MAX($P$34*($B330+IF($R$17="Distrato",$I$38-1,0)),IF(AND($L$37=0,$P$34=0),"",$L$37-1),IF($R$17="Distrato",$E330,0))),0,YEARFRAC(MAX($P$34*($B330+IF($R$17="Distrato",$I$38-1,0)),IF(AND($L$37=0,$P$34=0),"",$L$37-1),IF($R$17="Distrato",$E330,0)),MIN(AV$38,$D$19),$P$20))-SUM($P330:AU330)</f>
        <v>#VALUE!</v>
      </c>
      <c r="AW330" s="446" t="e">
        <f>IF(OR($B330="",MIN(AW$38,$D$19)&lt;MAX($P$34*($B330+IF($R$17="Distrato",$I$38-1,0)),IF(AND($L$37=0,$P$34=0),"",$L$37-1),IF($R$17="Distrato",$E330,0))),0,YEARFRAC(MAX($P$34*($B330+IF($R$17="Distrato",$I$38-1,0)),IF(AND($L$37=0,$P$34=0),"",$L$37-1),IF($R$17="Distrato",$E330,0)),MIN(AW$38,$D$19),$P$20))-SUM($P330:AV330)</f>
        <v>#VALUE!</v>
      </c>
      <c r="AX330" s="446" t="e">
        <f>IF(OR($B330="",MIN(AX$38,$D$19)&lt;MAX($P$34*($B330+IF($R$17="Distrato",$I$38-1,0)),IF(AND($L$37=0,$P$34=0),"",$L$37-1),IF($R$17="Distrato",$E330,0))),0,YEARFRAC(MAX($P$34*($B330+IF($R$17="Distrato",$I$38-1,0)),IF(AND($L$37=0,$P$34=0),"",$L$37-1),IF($R$17="Distrato",$E330,0)),MIN(AX$38,$D$19),$P$20))-SUM($P330:AW330)</f>
        <v>#VALUE!</v>
      </c>
      <c r="AY330" s="446" t="e">
        <f>IF(OR($B330="",MIN(AY$38,$D$19)&lt;MAX($P$34*($B330+IF($R$17="Distrato",$I$38-1,0)),IF(AND($L$37=0,$P$34=0),"",$L$37-1),IF($R$17="Distrato",$E330,0))),0,YEARFRAC(MAX($P$34*($B330+IF($R$17="Distrato",$I$38-1,0)),IF(AND($L$37=0,$P$34=0),"",$L$37-1),IF($R$17="Distrato",$E330,0)),MIN(AY$38,$D$19),$P$20))-SUM($P330:AX330)</f>
        <v>#VALUE!</v>
      </c>
      <c r="AZ330" s="446" t="e">
        <f>IF(OR($B330="",MIN(AZ$38,$D$19)&lt;MAX($P$34*($B330+IF($R$17="Distrato",$I$38-1,0)),IF(AND($L$37=0,$P$34=0),"",$L$37-1),IF($R$17="Distrato",$E330,0))),0,YEARFRAC(MAX($P$34*($B330+IF($R$17="Distrato",$I$38-1,0)),IF(AND($L$37=0,$P$34=0),"",$L$37-1),IF($R$17="Distrato",$E330,0)),MIN(AZ$38,$D$19),$P$20))-SUM($P330:AY330)</f>
        <v>#VALUE!</v>
      </c>
      <c r="BA330" s="446" t="e">
        <f>IF(OR($B330="",MIN(BA$38,$D$19)&lt;MAX($P$34*($B330+IF($R$17="Distrato",$I$38-1,0)),IF(AND($L$37=0,$P$34=0),"",$L$37-1),IF($R$17="Distrato",$E330,0))),0,YEARFRAC(MAX($P$34*($B330+IF($R$17="Distrato",$I$38-1,0)),IF(AND($L$37=0,$P$34=0),"",$L$37-1),IF($R$17="Distrato",$E330,0)),MIN(BA$38,$D$19),$P$20))-SUM($P330:AZ330)</f>
        <v>#VALUE!</v>
      </c>
      <c r="BB330" s="447"/>
      <c r="BF330" s="446">
        <f t="shared" si="54"/>
        <v>0</v>
      </c>
      <c r="BG330" s="446">
        <f>IF($E330=0,0,IF(MIN(BG$38,$E330)&lt;MAX($P$34*($B330+$I$38-1),IF(AND($L$37=0,$P$34=0),"",$L$37-1)),0,YEARFRAC(MAX($P$34*($B330+$I$38-1),IF(AND($L$37=0,$P$34=0),"",$L$37-1)),MIN(BG$38,$E330),$P$20))-SUM($BF330:BF330))</f>
        <v>0</v>
      </c>
      <c r="BH330" s="446">
        <f>IF($E330=0,0,IF(MIN(BH$38,$E330)&lt;MAX($P$34*($B330+$I$38-1),IF(AND($L$37=0,$P$34=0),"",$L$37-1)),0,YEARFRAC(MAX($P$34*($B330+$I$38-1),IF(AND($L$37=0,$P$34=0),"",$L$37-1)),MIN(BH$38,$E330),$P$20))-SUM($BF330:BG330))</f>
        <v>0</v>
      </c>
      <c r="BI330" s="446">
        <f>IF($E330=0,0,IF(MIN(BI$38,$E330)&lt;MAX($P$34*($B330+$I$38-1),IF(AND($L$37=0,$P$34=0),"",$L$37-1)),0,YEARFRAC(MAX($P$34*($B330+$I$38-1),IF(AND($L$37=0,$P$34=0),"",$L$37-1)),MIN(BI$38,$E330),$P$20))-SUM($BF330:BH330))</f>
        <v>0</v>
      </c>
      <c r="BJ330" s="446">
        <f>IF($E330=0,0,IF(MIN(BJ$38,$E330)&lt;MAX($P$34*($B330+$I$38-1),IF(AND($L$37=0,$P$34=0),"",$L$37-1)),0,YEARFRAC(MAX($P$34*($B330+$I$38-1),IF(AND($L$37=0,$P$34=0),"",$L$37-1)),MIN(BJ$38,$E330),$P$20))-SUM($BF330:BI330))</f>
        <v>0</v>
      </c>
      <c r="BK330" s="446">
        <f>IF($E330=0,0,IF(MIN(BK$38,$E330)&lt;MAX($P$34*($B330+$I$38-1),IF(AND($L$37=0,$P$34=0),"",$L$37-1)),0,YEARFRAC(MAX($P$34*($B330+$I$38-1),IF(AND($L$37=0,$P$34=0),"",$L$37-1)),MIN(BK$38,$E330),$P$20))-SUM($BF330:BJ330))</f>
        <v>0</v>
      </c>
      <c r="BL330" s="446">
        <f>IF($E330=0,0,IF(MIN(BL$38,$E330)&lt;MAX($P$34*($B330+$I$38-1),IF(AND($L$37=0,$P$34=0),"",$L$37-1)),0,YEARFRAC(MAX($P$34*($B330+$I$38-1),IF(AND($L$37=0,$P$34=0),"",$L$37-1)),MIN(BL$38,$E330),$P$20))-SUM($BF330:BK330))</f>
        <v>0</v>
      </c>
      <c r="BM330" s="446">
        <f>IF($E330=0,0,IF(MIN(BM$38,$E330)&lt;MAX($P$34*($B330+$I$38-1),IF(AND($L$37=0,$P$34=0),"",$L$37-1)),0,YEARFRAC(MAX($P$34*($B330+$I$38-1),IF(AND($L$37=0,$P$34=0),"",$L$37-1)),MIN(BM$38,$E330),$P$20))-SUM($BF330:BL330))</f>
        <v>0</v>
      </c>
      <c r="BN330" s="446">
        <f>IF($E330=0,0,IF(MIN(BN$38,$E330)&lt;MAX($P$34*($B330+$I$38-1),IF(AND($L$37=0,$P$34=0),"",$L$37-1)),0,YEARFRAC(MAX($P$34*($B330+$I$38-1),IF(AND($L$37=0,$P$34=0),"",$L$37-1)),MIN(BN$38,$E330),$P$20))-SUM($BF330:BM330))</f>
        <v>0</v>
      </c>
      <c r="BO330" s="446">
        <f>IF($E330=0,0,IF(MIN(BO$38,$E330)&lt;MAX($P$34*($B330+$I$38-1),IF(AND($L$37=0,$P$34=0),"",$L$37-1)),0,YEARFRAC(MAX($P$34*($B330+$I$38-1),IF(AND($L$37=0,$P$34=0),"",$L$37-1)),MIN(BO$38,$E330),$P$20))-SUM($BF330:BN330))</f>
        <v>0</v>
      </c>
      <c r="BP330" s="446">
        <f>IF($E330=0,0,IF(MIN(BP$38,$E330)&lt;MAX($P$34*($B330+$I$38-1),IF(AND($L$37=0,$P$34=0),"",$L$37-1)),0,YEARFRAC(MAX($P$34*($B330+$I$38-1),IF(AND($L$37=0,$P$34=0),"",$L$37-1)),MIN(BP$38,$E330),$P$20))-SUM($BF330:BO330))</f>
        <v>0</v>
      </c>
      <c r="BQ330" s="446">
        <f>IF($E330=0,0,IF(MIN(BQ$38,$E330)&lt;MAX($P$34*($B330+$I$38-1),IF(AND($L$37=0,$P$34=0),"",$L$37-1)),0,YEARFRAC(MAX($P$34*($B330+$I$38-1),IF(AND($L$37=0,$P$34=0),"",$L$37-1)),MIN(BQ$38,$E330),$P$20))-SUM($BF330:BP330))</f>
        <v>0</v>
      </c>
      <c r="BR330" s="446">
        <f>IF($E330=0,0,IF(MIN(BR$38,$E330)&lt;MAX($P$34*($B330+$I$38-1),IF(AND($L$37=0,$P$34=0),"",$L$37-1)),0,YEARFRAC(MAX($P$34*($B330+$I$38-1),IF(AND($L$37=0,$P$34=0),"",$L$37-1)),MIN(BR$38,$E330),$P$20))-SUM($BF330:BQ330))</f>
        <v>0</v>
      </c>
      <c r="BS330" s="446">
        <f>IF($E330=0,0,IF(MIN(BS$38,$E330)&lt;MAX($P$34*($B330+$I$38-1),IF(AND($L$37=0,$P$34=0),"",$L$37-1)),0,YEARFRAC(MAX($P$34*($B330+$I$38-1),IF(AND($L$37=0,$P$34=0),"",$L$37-1)),MIN(BS$38,$E330),$P$20))-SUM($BF330:BR330))</f>
        <v>0</v>
      </c>
      <c r="BT330" s="446">
        <f>IF($E330=0,0,IF(MIN(BT$38,$E330)&lt;MAX($P$34*($B330+$I$38-1),IF(AND($L$37=0,$P$34=0),"",$L$37-1)),0,YEARFRAC(MAX($P$34*($B330+$I$38-1),IF(AND($L$37=0,$P$34=0),"",$L$37-1)),MIN(BT$38,$E330),$P$20))-SUM($BF330:BS330))</f>
        <v>0</v>
      </c>
      <c r="BU330" s="446">
        <f>IF($E330=0,0,IF(MIN(BU$38,$E330)&lt;MAX($P$34*($B330+$I$38-1),IF(AND($L$37=0,$P$34=0),"",$L$37-1)),0,YEARFRAC(MAX($P$34*($B330+$I$38-1),IF(AND($L$37=0,$P$34=0),"",$L$37-1)),MIN(BU$38,$E330),$P$20))-SUM($BF330:BT330))</f>
        <v>0</v>
      </c>
      <c r="BV330" s="446">
        <f>IF($E330=0,0,IF(MIN(BV$38,$E330)&lt;MAX($P$34*($B330+$I$38-1),IF(AND($L$37=0,$P$34=0),"",$L$37-1)),0,YEARFRAC(MAX($P$34*($B330+$I$38-1),IF(AND($L$37=0,$P$34=0),"",$L$37-1)),MIN(BV$38,$E330),$P$20))-SUM($BF330:BU330))</f>
        <v>0</v>
      </c>
      <c r="BW330" s="446">
        <f>IF($E330=0,0,IF(MIN(BW$38,$E330)&lt;MAX($P$34*($B330+$I$38-1),IF(AND($L$37=0,$P$34=0),"",$L$37-1)),0,YEARFRAC(MAX($P$34*($B330+$I$38-1),IF(AND($L$37=0,$P$34=0),"",$L$37-1)),MIN(BW$38,$E330),$P$20))-SUM($BF330:BV330))</f>
        <v>0</v>
      </c>
      <c r="BX330" s="446">
        <f>IF($E330=0,0,IF(MIN(BX$38,$E330)&lt;MAX($P$34*($B330+$I$38-1),IF(AND($L$37=0,$P$34=0),"",$L$37-1)),0,YEARFRAC(MAX($P$34*($B330+$I$38-1),IF(AND($L$37=0,$P$34=0),"",$L$37-1)),MIN(BX$38,$E330),$P$20))-SUM($BF330:BW330))</f>
        <v>0</v>
      </c>
      <c r="BY330" s="446">
        <f>IF($E330=0,0,IF(MIN(BY$38,$E330)&lt;MAX($P$34*($B330+$I$38-1),IF(AND($L$37=0,$P$34=0),"",$L$37-1)),0,YEARFRAC(MAX($P$34*($B330+$I$38-1),IF(AND($L$37=0,$P$34=0),"",$L$37-1)),MIN(BY$38,$E330),$P$20))-SUM($BF330:BX330))</f>
        <v>0</v>
      </c>
      <c r="BZ330" s="446">
        <f>IF($E330=0,0,IF(MIN(BZ$38,$E330)&lt;MAX($P$34*($B330+$I$38-1),IF(AND($L$37=0,$P$34=0),"",$L$37-1)),0,YEARFRAC(MAX($P$34*($B330+$I$38-1),IF(AND($L$37=0,$P$34=0),"",$L$37-1)),MIN(BZ$38,$E330),$P$20))-SUM($BF330:BY330))</f>
        <v>0</v>
      </c>
      <c r="CA330" s="446">
        <f>IF($E330=0,0,IF(MIN(CA$38,$E330)&lt;MAX($P$34*($B330+$I$38-1),IF(AND($L$37=0,$P$34=0),"",$L$37-1)),0,YEARFRAC(MAX($P$34*($B330+$I$38-1),IF(AND($L$37=0,$P$34=0),"",$L$37-1)),MIN(CA$38,$E330),$P$20))-SUM($BF330:BZ330))</f>
        <v>0</v>
      </c>
      <c r="CB330" s="446">
        <f>IF($E330=0,0,IF(MIN(CB$38,$E330)&lt;MAX($P$34*($B330+$I$38-1),IF(AND($L$37=0,$P$34=0),"",$L$37-1)),0,YEARFRAC(MAX($P$34*($B330+$I$38-1),IF(AND($L$37=0,$P$34=0),"",$L$37-1)),MIN(CB$38,$E330),$P$20))-SUM($BF330:CA330))</f>
        <v>0</v>
      </c>
      <c r="CC330" s="446">
        <f>IF($E330=0,0,IF(MIN(CC$38,$E330)&lt;MAX($P$34*($B330+$I$38-1),IF(AND($L$37=0,$P$34=0),"",$L$37-1)),0,YEARFRAC(MAX($P$34*($B330+$I$38-1),IF(AND($L$37=0,$P$34=0),"",$L$37-1)),MIN(CC$38,$E330),$P$20))-SUM($BF330:CB330))</f>
        <v>0</v>
      </c>
      <c r="CD330" s="446">
        <f>IF($E330=0,0,IF(MIN(CD$38,$E330)&lt;MAX($P$34*($B330+$I$38-1),IF(AND($L$37=0,$P$34=0),"",$L$37-1)),0,YEARFRAC(MAX($P$34*($B330+$I$38-1),IF(AND($L$37=0,$P$34=0),"",$L$37-1)),MIN(CD$38,$E330),$P$20))-SUM($BF330:CC330))</f>
        <v>0</v>
      </c>
      <c r="CE330" s="446">
        <f>IF($E330=0,0,IF(MIN(CE$38,$E330)&lt;MAX($P$34*($B330+$I$38-1),IF(AND($L$37=0,$P$34=0),"",$L$37-1)),0,YEARFRAC(MAX($P$34*($B330+$I$38-1),IF(AND($L$37=0,$P$34=0),"",$L$37-1)),MIN(CE$38,$E330),$P$20))-SUM($BF330:CD330))</f>
        <v>0</v>
      </c>
      <c r="CF330" s="446">
        <f>IF($E330=0,0,IF(MIN(CF$38,$E330)&lt;MAX($P$34*($B330+$I$38-1),IF(AND($L$37=0,$P$34=0),"",$L$37-1)),0,YEARFRAC(MAX($P$34*($B330+$I$38-1),IF(AND($L$37=0,$P$34=0),"",$L$37-1)),MIN(CF$38,$E330),$P$20))-SUM($BF330:CE330))</f>
        <v>0</v>
      </c>
      <c r="CG330" s="446">
        <f>IF($E330=0,0,IF(MIN(CG$38,$E330)&lt;MAX($P$34*($B330+$I$38-1),IF(AND($L$37=0,$P$34=0),"",$L$37-1)),0,YEARFRAC(MAX($P$34*($B330+$I$38-1),IF(AND($L$37=0,$P$34=0),"",$L$37-1)),MIN(CG$38,$E330),$P$20))-SUM($BF330:CF330))</f>
        <v>0</v>
      </c>
      <c r="CH330" s="446">
        <f>IF($E330=0,0,IF(MIN(CH$38,$E330)&lt;MAX($P$34*($B330+$I$38-1),IF(AND($L$37=0,$P$34=0),"",$L$37-1)),0,YEARFRAC(MAX($P$34*($B330+$I$38-1),IF(AND($L$37=0,$P$34=0),"",$L$37-1)),MIN(CH$38,$E330),$P$20))-SUM($BF330:CG330))</f>
        <v>0</v>
      </c>
      <c r="CI330" s="446">
        <f>IF($E330=0,0,IF(MIN(CI$38,$E330)&lt;MAX($P$34*($B330+$I$38-1),IF(AND($L$37=0,$P$34=0),"",$L$37-1)),0,YEARFRAC(MAX($P$34*($B330+$I$38-1),IF(AND($L$37=0,$P$34=0),"",$L$37-1)),MIN(CI$38,$E330),$P$20))-SUM($BF330:CH330))</f>
        <v>0</v>
      </c>
      <c r="CJ330" s="446">
        <f>IF($E330=0,0,IF(MIN(CJ$38,$E330)&lt;MAX($P$34*($B330+$I$38-1),IF(AND($L$37=0,$P$34=0),"",$L$37-1)),0,YEARFRAC(MAX($P$34*($B330+$I$38-1),IF(AND($L$37=0,$P$34=0),"",$L$37-1)),MIN(CJ$38,$E330),$P$20))-SUM($BF330:CI330))</f>
        <v>0</v>
      </c>
      <c r="CK330" s="446">
        <f>IF($E330=0,0,IF(MIN(CK$38,$E330)&lt;MAX($P$34*($B330+$I$38-1),IF(AND($L$37=0,$P$34=0),"",$L$37-1)),0,YEARFRAC(MAX($P$34*($B330+$I$38-1),IF(AND($L$37=0,$P$34=0),"",$L$37-1)),MIN(CK$38,$E330),$P$20))-SUM($BF330:CJ330))</f>
        <v>0</v>
      </c>
      <c r="CL330" s="446">
        <f>IF($E330=0,0,IF(MIN(CL$38,$E330)&lt;MAX($P$34*($B330+$I$38-1),IF(AND($L$37=0,$P$34=0),"",$L$37-1)),0,YEARFRAC(MAX($P$34*($B330+$I$38-1),IF(AND($L$37=0,$P$34=0),"",$L$37-1)),MIN(CL$38,$E330),$P$20))-SUM($BF330:CK330))</f>
        <v>0</v>
      </c>
      <c r="CM330" s="446">
        <f>IF($E330=0,0,IF(MIN(CM$38,$E330)&lt;MAX($P$34*($B330+$I$38-1),IF(AND($L$37=0,$P$34=0),"",$L$37-1)),0,YEARFRAC(MAX($P$34*($B330+$I$38-1),IF(AND($L$37=0,$P$34=0),"",$L$37-1)),MIN(CM$38,$E330),$P$20))-SUM($BF330:CL330))</f>
        <v>0</v>
      </c>
      <c r="CN330" s="446">
        <f>IF($E330=0,0,IF(MIN(CN$38,$E330)&lt;MAX($P$34*($B330+$I$38-1),IF(AND($L$37=0,$P$34=0),"",$L$37-1)),0,YEARFRAC(MAX($P$34*($B330+$I$38-1),IF(AND($L$37=0,$P$34=0),"",$L$37-1)),MIN(CN$38,$E330),$P$20))-SUM($BF330:CM330))</f>
        <v>0</v>
      </c>
      <c r="CO330" s="446">
        <f>IF($E330=0,0,IF(MIN(CO$38,$E330)&lt;MAX($P$34*($B330+$I$38-1),IF(AND($L$37=0,$P$34=0),"",$L$37-1)),0,YEARFRAC(MAX($P$34*($B330+$I$38-1),IF(AND($L$37=0,$P$34=0),"",$L$37-1)),MIN(CO$38,$E330),$P$20))-SUM($BF330:CN330))</f>
        <v>0</v>
      </c>
      <c r="CP330" s="446">
        <f>IF($E330=0,0,IF(MIN(CP$38,$E330)&lt;MAX($P$34*($B330+$I$38-1),IF(AND($L$37=0,$P$34=0),"",$L$37-1)),0,YEARFRAC(MAX($P$34*($B330+$I$38-1),IF(AND($L$37=0,$P$34=0),"",$L$37-1)),MIN(CP$38,$E330),$P$20))-SUM($BF330:CO330))</f>
        <v>0</v>
      </c>
      <c r="CQ330" s="446">
        <f>IF($E330=0,0,IF(MIN(CQ$38,$E330)&lt;MAX($P$34*($B330+$I$38-1),IF(AND($L$37=0,$P$34=0),"",$L$37-1)),0,YEARFRAC(MAX($P$34*($B330+$I$38-1),IF(AND($L$37=0,$P$34=0),"",$L$37-1)),MIN(CQ$38,$E330),$P$20))-SUM($BF330:CP330))</f>
        <v>0</v>
      </c>
    </row>
    <row r="331" spans="1:95" s="446" customFormat="1" ht="11.25" hidden="1" customHeight="1" x14ac:dyDescent="0.2">
      <c r="A331" s="152"/>
      <c r="B331" s="153" t="str">
        <f t="shared" si="59"/>
        <v/>
      </c>
      <c r="C331" s="29" t="str">
        <f>IF(B331="","",IF($L$35="SELIC - TRIBUTOS",VLOOKUP(DATE(YEAR($D$19),MONTH($D$19)-1,1),ÍNDICES!$A:$DE,HLOOKUP($BL$25,ÍNDICES!$B$3:$T$4,2)+11)-VLOOKUP(B331,ÍNDICES!$A:$DE,HLOOKUP($BL$25,ÍNDICES!$B$3:$T$4,2)+11)+1%,IF(C$38=$W$26,$J$35,IF(ISERROR(IF(B331&gt;$D$19,1,VLOOKUP(DATE(YEAR(B331),MONTH(B331)+IF($C$35=$S$23,1,0),1),ÍNDICES!$A:$DE,$Z$35+1))),"",IF(B331&gt;$D$19,1,VLOOKUP(DATE(YEAR(B331),MONTH(B331)+IF($C$35=$S$23,1,0),1),ÍNDICES!$A:$DE,$Z$35+1))))))</f>
        <v/>
      </c>
      <c r="D331" s="154" t="str">
        <f>IF(ISERROR(IF(OR($D$38=$Y$27,$B331=""),"",VLOOKUP(B331,ÍNDICES!A:DE,AF$35+1))),"",IF(OR($D$38=$Y$27,$B331=""),"",VLOOKUP(B331,ÍNDICES!A:DE,AF$35+1)))</f>
        <v/>
      </c>
      <c r="E331" s="153"/>
      <c r="F331" s="29" t="str">
        <f>IF(E331="","",IF($L$35="SELIC - TRIBUTOS",VLOOKUP(DATE(YEAR($D$19),MONTH($D$19)-1,1),ÍNDICES!$A:$DE,HLOOKUP($BL$25,ÍNDICES!$B$3:$T$4,2)+11)-VLOOKUP(E331,ÍNDICES!$A:$DE,HLOOKUP($BL$25,ÍNDICES!$B$3:$T$4,2)+11)+1%,IF(F$38=$W$26,$J$35,IF(ISERROR(IF(E331&gt;$D$19,1,VLOOKUP(DATE(YEAR(E331),MONTH(E331)+IF($C$35=$S$23,1,0),1),ÍNDICES!$A:$DE,$Z$35+1))),"",IF(E331&gt;$D$19,1,VLOOKUP(DATE(YEAR(E331),MONTH(E331)+IF($C$35=$S$23,1,0),1),ÍNDICES!$A:$DE,$Z$35+1))))))</f>
        <v/>
      </c>
      <c r="G331" s="155"/>
      <c r="H331" s="156" t="str">
        <f t="shared" si="55"/>
        <v/>
      </c>
      <c r="I331" s="29" t="str">
        <f t="shared" si="49"/>
        <v/>
      </c>
      <c r="J331" s="5">
        <f t="shared" si="50"/>
        <v>0</v>
      </c>
      <c r="K331" s="20">
        <f t="shared" ca="1" si="51"/>
        <v>0</v>
      </c>
      <c r="L331" s="5">
        <f t="shared" ca="1" si="52"/>
        <v>0</v>
      </c>
      <c r="M331" s="64">
        <f t="shared" si="56"/>
        <v>0</v>
      </c>
      <c r="N331" s="61">
        <f t="shared" ca="1" si="57"/>
        <v>0</v>
      </c>
      <c r="O331" s="5">
        <f t="shared" ca="1" si="58"/>
        <v>0</v>
      </c>
      <c r="P331" s="446" t="e">
        <f t="shared" si="53"/>
        <v>#VALUE!</v>
      </c>
      <c r="Q331" s="446" t="e">
        <f>IF(OR($B331="",MIN(Q$38,$D$19)&lt;MAX($P$34*($B331+IF($R$17="Distrato",$I$38-1,0)),IF(AND($L$37=0,$P$34=0),"",$L$37-1),IF($R$17="Distrato",$E331,0))),0,YEARFRAC(MAX($P$34*($B331+IF($R$17="Distrato",$I$38-1,0)),IF(AND($L$37=0,$P$34=0),"",$L$37-1),IF($R$17="Distrato",$E331,0)),MIN(Q$38,$D$19),$P$20))-SUM($P331:P331)</f>
        <v>#VALUE!</v>
      </c>
      <c r="R331" s="446" t="e">
        <f>IF(OR($B331="",MIN(R$38,$D$19)&lt;MAX($P$34*($B331+IF($R$17="Distrato",$I$38-1,0)),IF(AND($L$37=0,$P$34=0),"",$L$37-1),IF($R$17="Distrato",$E331,0))),0,YEARFRAC(MAX($P$34*($B331+IF($R$17="Distrato",$I$38-1,0)),IF(AND($L$37=0,$P$34=0),"",$L$37-1),IF($R$17="Distrato",$E331,0)),MIN(R$38,$D$19),$P$20))-SUM($P331:Q331)</f>
        <v>#VALUE!</v>
      </c>
      <c r="S331" s="446" t="e">
        <f>IF(OR($B331="",MIN(S$38,$D$19)&lt;MAX($P$34*($B331+IF($R$17="Distrato",$I$38-1,0)),IF(AND($L$37=0,$P$34=0),"",$L$37-1),IF($R$17="Distrato",$E331,0))),0,YEARFRAC(MAX($P$34*($B331+IF($R$17="Distrato",$I$38-1,0)),IF(AND($L$37=0,$P$34=0),"",$L$37-1),IF($R$17="Distrato",$E331,0)),MIN(S$38,$D$19),$P$20))-SUM($P331:R331)</f>
        <v>#VALUE!</v>
      </c>
      <c r="T331" s="446" t="e">
        <f>IF(OR($B331="",MIN(T$38,$D$19)&lt;MAX($P$34*($B331+IF($R$17="Distrato",$I$38-1,0)),IF(AND($L$37=0,$P$34=0),"",$L$37-1),IF($R$17="Distrato",$E331,0))),0,YEARFRAC(MAX($P$34*($B331+IF($R$17="Distrato",$I$38-1,0)),IF(AND($L$37=0,$P$34=0),"",$L$37-1),IF($R$17="Distrato",$E331,0)),MIN(T$38,$D$19),$P$20))-SUM($P331:S331)</f>
        <v>#VALUE!</v>
      </c>
      <c r="U331" s="446" t="e">
        <f>IF(OR($B331="",MIN(U$38,$D$19)&lt;MAX($P$34*($B331+IF($R$17="Distrato",$I$38-1,0)),IF(AND($L$37=0,$P$34=0),"",$L$37-1),IF($R$17="Distrato",$E331,0))),0,YEARFRAC(MAX($P$34*($B331+IF($R$17="Distrato",$I$38-1,0)),IF(AND($L$37=0,$P$34=0),"",$L$37-1),IF($R$17="Distrato",$E331,0)),MIN(U$38,$D$19),$P$20))-SUM($P331:T331)</f>
        <v>#VALUE!</v>
      </c>
      <c r="V331" s="446" t="e">
        <f>IF(OR($B331="",MIN(V$38,$D$19)&lt;MAX($P$34*($B331+IF($R$17="Distrato",$I$38-1,0)),IF(AND($L$37=0,$P$34=0),"",$L$37-1),IF($R$17="Distrato",$E331,0))),0,YEARFRAC(MAX($P$34*($B331+IF($R$17="Distrato",$I$38-1,0)),IF(AND($L$37=0,$P$34=0),"",$L$37-1),IF($R$17="Distrato",$E331,0)),MIN(V$38,$D$19),$P$20))-SUM($P331:U331)</f>
        <v>#VALUE!</v>
      </c>
      <c r="W331" s="446" t="e">
        <f>IF(OR($B331="",MIN(W$38,$D$19)&lt;MAX($P$34*($B331+IF($R$17="Distrato",$I$38-1,0)),IF(AND($L$37=0,$P$34=0),"",$L$37-1),IF($R$17="Distrato",$E331,0))),0,YEARFRAC(MAX($P$34*($B331+IF($R$17="Distrato",$I$38-1,0)),IF(AND($L$37=0,$P$34=0),"",$L$37-1),IF($R$17="Distrato",$E331,0)),MIN(W$38,$D$19),$P$20))-SUM($P331:V331)</f>
        <v>#VALUE!</v>
      </c>
      <c r="X331" s="446" t="e">
        <f>IF(OR($B331="",MIN(X$38,$D$19)&lt;MAX($P$34*($B331+IF($R$17="Distrato",$I$38-1,0)),IF(AND($L$37=0,$P$34=0),"",$L$37-1),IF($R$17="Distrato",$E331,0))),0,YEARFRAC(MAX($P$34*($B331+IF($R$17="Distrato",$I$38-1,0)),IF(AND($L$37=0,$P$34=0),"",$L$37-1),IF($R$17="Distrato",$E331,0)),MIN(X$38,$D$19),$P$20))-SUM($P331:W331)</f>
        <v>#VALUE!</v>
      </c>
      <c r="Y331" s="446" t="e">
        <f>IF(OR($B331="",MIN(Y$38,$D$19)&lt;MAX($P$34*($B331+IF($R$17="Distrato",$I$38-1,0)),IF(AND($L$37=0,$P$34=0),"",$L$37-1),IF($R$17="Distrato",$E331,0))),0,YEARFRAC(MAX($P$34*($B331+IF($R$17="Distrato",$I$38-1,0)),IF(AND($L$37=0,$P$34=0),"",$L$37-1),IF($R$17="Distrato",$E331,0)),MIN(Y$38,$D$19),$P$20))-SUM($P331:X331)</f>
        <v>#VALUE!</v>
      </c>
      <c r="Z331" s="446" t="e">
        <f>IF(OR($B331="",MIN(Z$38,$D$19)&lt;MAX($P$34*($B331+IF($R$17="Distrato",$I$38-1,0)),IF(AND($L$37=0,$P$34=0),"",$L$37-1),IF($R$17="Distrato",$E331,0))),0,YEARFRAC(MAX($P$34*($B331+IF($R$17="Distrato",$I$38-1,0)),IF(AND($L$37=0,$P$34=0),"",$L$37-1),IF($R$17="Distrato",$E331,0)),MIN(Z$38,$D$19),$P$20))-SUM($P331:Y331)</f>
        <v>#VALUE!</v>
      </c>
      <c r="AA331" s="446" t="e">
        <f>IF(OR($B331="",MIN(AA$38,$D$19)&lt;MAX($P$34*($B331+IF($R$17="Distrato",$I$38-1,0)),IF(AND($L$37=0,$P$34=0),"",$L$37-1),IF($R$17="Distrato",$E331,0))),0,YEARFRAC(MAX($P$34*($B331+IF($R$17="Distrato",$I$38-1,0)),IF(AND($L$37=0,$P$34=0),"",$L$37-1),IF($R$17="Distrato",$E331,0)),MIN(AA$38,$D$19),$P$20))-SUM($P331:Z331)</f>
        <v>#VALUE!</v>
      </c>
      <c r="AB331" s="446" t="e">
        <f>IF(OR($B331="",MIN(AB$38,$D$19)&lt;MAX($P$34*($B331+IF($R$17="Distrato",$I$38-1,0)),IF(AND($L$37=0,$P$34=0),"",$L$37-1),IF($R$17="Distrato",$E331,0))),0,YEARFRAC(MAX($P$34*($B331+IF($R$17="Distrato",$I$38-1,0)),IF(AND($L$37=0,$P$34=0),"",$L$37-1),IF($R$17="Distrato",$E331,0)),MIN(AB$38,$D$19),$P$20))-SUM($P331:AA331)</f>
        <v>#VALUE!</v>
      </c>
      <c r="AC331" s="446" t="e">
        <f>IF(OR($B331="",MIN(AC$38,$D$19)&lt;MAX($P$34*($B331+IF($R$17="Distrato",$I$38-1,0)),IF(AND($L$37=0,$P$34=0),"",$L$37-1),IF($R$17="Distrato",$E331,0))),0,YEARFRAC(MAX($P$34*($B331+IF($R$17="Distrato",$I$38-1,0)),IF(AND($L$37=0,$P$34=0),"",$L$37-1),IF($R$17="Distrato",$E331,0)),MIN(AC$38,$D$19),$P$20))-SUM($P331:AB331)</f>
        <v>#VALUE!</v>
      </c>
      <c r="AD331" s="446" t="e">
        <f>IF(OR($B331="",MIN(AD$38,$D$19)&lt;MAX($P$34*($B331+IF($R$17="Distrato",$I$38-1,0)),IF(AND($L$37=0,$P$34=0),"",$L$37-1),IF($R$17="Distrato",$E331,0))),0,YEARFRAC(MAX($P$34*($B331+IF($R$17="Distrato",$I$38-1,0)),IF(AND($L$37=0,$P$34=0),"",$L$37-1),IF($R$17="Distrato",$E331,0)),MIN(AD$38,$D$19),$P$20))-SUM($P331:AC331)</f>
        <v>#VALUE!</v>
      </c>
      <c r="AE331" s="446" t="e">
        <f>IF(OR($B331="",MIN(AE$38,$D$19)&lt;MAX($P$34*($B331+IF($R$17="Distrato",$I$38-1,0)),IF(AND($L$37=0,$P$34=0),"",$L$37-1),IF($R$17="Distrato",$E331,0))),0,YEARFRAC(MAX($P$34*($B331+IF($R$17="Distrato",$I$38-1,0)),IF(AND($L$37=0,$P$34=0),"",$L$37-1),IF($R$17="Distrato",$E331,0)),MIN(AE$38,$D$19),$P$20))-SUM($P331:AD331)</f>
        <v>#VALUE!</v>
      </c>
      <c r="AF331" s="446" t="e">
        <f>IF(OR($B331="",MIN(AF$38,$D$19)&lt;MAX($P$34*($B331+IF($R$17="Distrato",$I$38-1,0)),IF(AND($L$37=0,$P$34=0),"",$L$37-1),IF($R$17="Distrato",$E331,0))),0,YEARFRAC(MAX($P$34*($B331+IF($R$17="Distrato",$I$38-1,0)),IF(AND($L$37=0,$P$34=0),"",$L$37-1),IF($R$17="Distrato",$E331,0)),MIN(AF$38,$D$19),$P$20))-SUM($P331:AE331)</f>
        <v>#VALUE!</v>
      </c>
      <c r="AG331" s="446" t="e">
        <f>IF(OR($B331="",MIN(AG$38,$D$19)&lt;MAX($P$34*($B331+IF($R$17="Distrato",$I$38-1,0)),IF(AND($L$37=0,$P$34=0),"",$L$37-1),IF($R$17="Distrato",$E331,0))),0,YEARFRAC(MAX($P$34*($B331+IF($R$17="Distrato",$I$38-1,0)),IF(AND($L$37=0,$P$34=0),"",$L$37-1),IF($R$17="Distrato",$E331,0)),MIN(AG$38,$D$19),$P$20))-SUM($P331:AF331)</f>
        <v>#VALUE!</v>
      </c>
      <c r="AH331" s="446" t="e">
        <f>IF(OR($B331="",MIN(AH$38,$D$19)&lt;MAX($P$34*($B331+IF($R$17="Distrato",$I$38-1,0)),IF(AND($L$37=0,$P$34=0),"",$L$37-1),IF($R$17="Distrato",$E331,0))),0,YEARFRAC(MAX($P$34*($B331+IF($R$17="Distrato",$I$38-1,0)),IF(AND($L$37=0,$P$34=0),"",$L$37-1),IF($R$17="Distrato",$E331,0)),MIN(AH$38,$D$19),$P$20))-SUM($P331:AG331)</f>
        <v>#VALUE!</v>
      </c>
      <c r="AI331" s="446" t="e">
        <f>IF(OR($B331="",MIN(AI$38,$D$19)&lt;MAX($P$34*($B331+IF($R$17="Distrato",$I$38-1,0)),IF(AND($L$37=0,$P$34=0),"",$L$37-1),IF($R$17="Distrato",$E331,0))),0,YEARFRAC(MAX($P$34*($B331+IF($R$17="Distrato",$I$38-1,0)),IF(AND($L$37=0,$P$34=0),"",$L$37-1),IF($R$17="Distrato",$E331,0)),MIN(AI$38,$D$19),$P$20))-SUM($P331:AH331)</f>
        <v>#VALUE!</v>
      </c>
      <c r="AJ331" s="446" t="e">
        <f>IF(OR($B331="",MIN(AJ$38,$D$19)&lt;MAX($P$34*($B331+IF($R$17="Distrato",$I$38-1,0)),IF(AND($L$37=0,$P$34=0),"",$L$37-1),IF($R$17="Distrato",$E331,0))),0,YEARFRAC(MAX($P$34*($B331+IF($R$17="Distrato",$I$38-1,0)),IF(AND($L$37=0,$P$34=0),"",$L$37-1),IF($R$17="Distrato",$E331,0)),MIN(AJ$38,$D$19),$P$20))-SUM($P331:AI331)</f>
        <v>#VALUE!</v>
      </c>
      <c r="AK331" s="446" t="e">
        <f>IF(OR($B331="",MIN(AK$38,$D$19)&lt;MAX($P$34*($B331+IF($R$17="Distrato",$I$38-1,0)),IF(AND($L$37=0,$P$34=0),"",$L$37-1),IF($R$17="Distrato",$E331,0))),0,YEARFRAC(MAX($P$34*($B331+IF($R$17="Distrato",$I$38-1,0)),IF(AND($L$37=0,$P$34=0),"",$L$37-1),IF($R$17="Distrato",$E331,0)),MIN(AK$38,$D$19),$P$20))-SUM($P331:AJ331)</f>
        <v>#VALUE!</v>
      </c>
      <c r="AL331" s="446" t="e">
        <f>IF(OR($B331="",MIN(AL$38,$D$19)&lt;MAX($P$34*($B331+IF($R$17="Distrato",$I$38-1,0)),IF(AND($L$37=0,$P$34=0),"",$L$37-1),IF($R$17="Distrato",$E331,0))),0,YEARFRAC(MAX($P$34*($B331+IF($R$17="Distrato",$I$38-1,0)),IF(AND($L$37=0,$P$34=0),"",$L$37-1),IF($R$17="Distrato",$E331,0)),MIN(AL$38,$D$19),$P$20))-SUM($P331:AK331)</f>
        <v>#VALUE!</v>
      </c>
      <c r="AM331" s="446" t="e">
        <f>IF(OR($B331="",MIN(AM$38,$D$19)&lt;MAX($P$34*($B331+IF($R$17="Distrato",$I$38-1,0)),IF(AND($L$37=0,$P$34=0),"",$L$37-1),IF($R$17="Distrato",$E331,0))),0,YEARFRAC(MAX($P$34*($B331+IF($R$17="Distrato",$I$38-1,0)),IF(AND($L$37=0,$P$34=0),"",$L$37-1),IF($R$17="Distrato",$E331,0)),MIN(AM$38,$D$19),$P$20))-SUM($P331:AL331)</f>
        <v>#VALUE!</v>
      </c>
      <c r="AN331" s="446" t="e">
        <f>IF(OR($B331="",MIN(AN$38,$D$19)&lt;MAX($P$34*($B331+IF($R$17="Distrato",$I$38-1,0)),IF(AND($L$37=0,$P$34=0),"",$L$37-1),IF($R$17="Distrato",$E331,0))),0,YEARFRAC(MAX($P$34*($B331+IF($R$17="Distrato",$I$38-1,0)),IF(AND($L$37=0,$P$34=0),"",$L$37-1),IF($R$17="Distrato",$E331,0)),MIN(AN$38,$D$19),$P$20))-SUM($P331:AM331)</f>
        <v>#VALUE!</v>
      </c>
      <c r="AO331" s="446" t="e">
        <f>IF(OR($B331="",MIN(AO$38,$D$19)&lt;MAX($P$34*($B331+IF($R$17="Distrato",$I$38-1,0)),IF(AND($L$37=0,$P$34=0),"",$L$37-1),IF($R$17="Distrato",$E331,0))),0,YEARFRAC(MAX($P$34*($B331+IF($R$17="Distrato",$I$38-1,0)),IF(AND($L$37=0,$P$34=0),"",$L$37-1),IF($R$17="Distrato",$E331,0)),MIN(AO$38,$D$19),$P$20))-SUM($P331:AN331)</f>
        <v>#VALUE!</v>
      </c>
      <c r="AP331" s="446" t="e">
        <f>IF(OR($B331="",MIN(AP$38,$D$19)&lt;MAX($P$34*($B331+IF($R$17="Distrato",$I$38-1,0)),IF(AND($L$37=0,$P$34=0),"",$L$37-1),IF($R$17="Distrato",$E331,0))),0,YEARFRAC(MAX($P$34*($B331+IF($R$17="Distrato",$I$38-1,0)),IF(AND($L$37=0,$P$34=0),"",$L$37-1),IF($R$17="Distrato",$E331,0)),MIN(AP$38,$D$19),$P$20))-SUM($P331:AO331)</f>
        <v>#VALUE!</v>
      </c>
      <c r="AQ331" s="446" t="e">
        <f>IF(OR($B331="",MIN(AQ$38,$D$19)&lt;MAX($P$34*($B331+IF($R$17="Distrato",$I$38-1,0)),IF(AND($L$37=0,$P$34=0),"",$L$37-1),IF($R$17="Distrato",$E331,0))),0,YEARFRAC(MAX($P$34*($B331+IF($R$17="Distrato",$I$38-1,0)),IF(AND($L$37=0,$P$34=0),"",$L$37-1),IF($R$17="Distrato",$E331,0)),MIN(AQ$38,$D$19),$P$20))-SUM($P331:AP331)</f>
        <v>#VALUE!</v>
      </c>
      <c r="AR331" s="446" t="e">
        <f>IF(OR($B331="",MIN(AR$38,$D$19)&lt;MAX($P$34*($B331+IF($R$17="Distrato",$I$38-1,0)),IF(AND($L$37=0,$P$34=0),"",$L$37-1),IF($R$17="Distrato",$E331,0))),0,YEARFRAC(MAX($P$34*($B331+IF($R$17="Distrato",$I$38-1,0)),IF(AND($L$37=0,$P$34=0),"",$L$37-1),IF($R$17="Distrato",$E331,0)),MIN(AR$38,$D$19),$P$20))-SUM($P331:AQ331)</f>
        <v>#VALUE!</v>
      </c>
      <c r="AS331" s="446" t="e">
        <f>IF(OR($B331="",MIN(AS$38,$D$19)&lt;MAX($P$34*($B331+IF($R$17="Distrato",$I$38-1,0)),IF(AND($L$37=0,$P$34=0),"",$L$37-1),IF($R$17="Distrato",$E331,0))),0,YEARFRAC(MAX($P$34*($B331+IF($R$17="Distrato",$I$38-1,0)),IF(AND($L$37=0,$P$34=0),"",$L$37-1),IF($R$17="Distrato",$E331,0)),MIN(AS$38,$D$19),$P$20))-SUM($P331:AR331)</f>
        <v>#VALUE!</v>
      </c>
      <c r="AT331" s="446" t="e">
        <f>IF(OR($B331="",MIN(AT$38,$D$19)&lt;MAX($P$34*($B331+IF($R$17="Distrato",$I$38-1,0)),IF(AND($L$37=0,$P$34=0),"",$L$37-1),IF($R$17="Distrato",$E331,0))),0,YEARFRAC(MAX($P$34*($B331+IF($R$17="Distrato",$I$38-1,0)),IF(AND($L$37=0,$P$34=0),"",$L$37-1),IF($R$17="Distrato",$E331,0)),MIN(AT$38,$D$19),$P$20))-SUM($P331:AS331)</f>
        <v>#VALUE!</v>
      </c>
      <c r="AU331" s="446" t="e">
        <f>IF(OR($B331="",MIN(AU$38,$D$19)&lt;MAX($P$34*($B331+IF($R$17="Distrato",$I$38-1,0)),IF(AND($L$37=0,$P$34=0),"",$L$37-1),IF($R$17="Distrato",$E331,0))),0,YEARFRAC(MAX($P$34*($B331+IF($R$17="Distrato",$I$38-1,0)),IF(AND($L$37=0,$P$34=0),"",$L$37-1),IF($R$17="Distrato",$E331,0)),MIN(AU$38,$D$19),$P$20))-SUM($P331:AT331)</f>
        <v>#VALUE!</v>
      </c>
      <c r="AV331" s="446" t="e">
        <f>IF(OR($B331="",MIN(AV$38,$D$19)&lt;MAX($P$34*($B331+IF($R$17="Distrato",$I$38-1,0)),IF(AND($L$37=0,$P$34=0),"",$L$37-1),IF($R$17="Distrato",$E331,0))),0,YEARFRAC(MAX($P$34*($B331+IF($R$17="Distrato",$I$38-1,0)),IF(AND($L$37=0,$P$34=0),"",$L$37-1),IF($R$17="Distrato",$E331,0)),MIN(AV$38,$D$19),$P$20))-SUM($P331:AU331)</f>
        <v>#VALUE!</v>
      </c>
      <c r="AW331" s="446" t="e">
        <f>IF(OR($B331="",MIN(AW$38,$D$19)&lt;MAX($P$34*($B331+IF($R$17="Distrato",$I$38-1,0)),IF(AND($L$37=0,$P$34=0),"",$L$37-1),IF($R$17="Distrato",$E331,0))),0,YEARFRAC(MAX($P$34*($B331+IF($R$17="Distrato",$I$38-1,0)),IF(AND($L$37=0,$P$34=0),"",$L$37-1),IF($R$17="Distrato",$E331,0)),MIN(AW$38,$D$19),$P$20))-SUM($P331:AV331)</f>
        <v>#VALUE!</v>
      </c>
      <c r="AX331" s="446" t="e">
        <f>IF(OR($B331="",MIN(AX$38,$D$19)&lt;MAX($P$34*($B331+IF($R$17="Distrato",$I$38-1,0)),IF(AND($L$37=0,$P$34=0),"",$L$37-1),IF($R$17="Distrato",$E331,0))),0,YEARFRAC(MAX($P$34*($B331+IF($R$17="Distrato",$I$38-1,0)),IF(AND($L$37=0,$P$34=0),"",$L$37-1),IF($R$17="Distrato",$E331,0)),MIN(AX$38,$D$19),$P$20))-SUM($P331:AW331)</f>
        <v>#VALUE!</v>
      </c>
      <c r="AY331" s="446" t="e">
        <f>IF(OR($B331="",MIN(AY$38,$D$19)&lt;MAX($P$34*($B331+IF($R$17="Distrato",$I$38-1,0)),IF(AND($L$37=0,$P$34=0),"",$L$37-1),IF($R$17="Distrato",$E331,0))),0,YEARFRAC(MAX($P$34*($B331+IF($R$17="Distrato",$I$38-1,0)),IF(AND($L$37=0,$P$34=0),"",$L$37-1),IF($R$17="Distrato",$E331,0)),MIN(AY$38,$D$19),$P$20))-SUM($P331:AX331)</f>
        <v>#VALUE!</v>
      </c>
      <c r="AZ331" s="446" t="e">
        <f>IF(OR($B331="",MIN(AZ$38,$D$19)&lt;MAX($P$34*($B331+IF($R$17="Distrato",$I$38-1,0)),IF(AND($L$37=0,$P$34=0),"",$L$37-1),IF($R$17="Distrato",$E331,0))),0,YEARFRAC(MAX($P$34*($B331+IF($R$17="Distrato",$I$38-1,0)),IF(AND($L$37=0,$P$34=0),"",$L$37-1),IF($R$17="Distrato",$E331,0)),MIN(AZ$38,$D$19),$P$20))-SUM($P331:AY331)</f>
        <v>#VALUE!</v>
      </c>
      <c r="BA331" s="446" t="e">
        <f>IF(OR($B331="",MIN(BA$38,$D$19)&lt;MAX($P$34*($B331+IF($R$17="Distrato",$I$38-1,0)),IF(AND($L$37=0,$P$34=0),"",$L$37-1),IF($R$17="Distrato",$E331,0))),0,YEARFRAC(MAX($P$34*($B331+IF($R$17="Distrato",$I$38-1,0)),IF(AND($L$37=0,$P$34=0),"",$L$37-1),IF($R$17="Distrato",$E331,0)),MIN(BA$38,$D$19),$P$20))-SUM($P331:AZ331)</f>
        <v>#VALUE!</v>
      </c>
      <c r="BB331" s="447"/>
      <c r="BF331" s="446">
        <f t="shared" si="54"/>
        <v>0</v>
      </c>
      <c r="BG331" s="446">
        <f>IF($E331=0,0,IF(MIN(BG$38,$E331)&lt;MAX($P$34*($B331+$I$38-1),IF(AND($L$37=0,$P$34=0),"",$L$37-1)),0,YEARFRAC(MAX($P$34*($B331+$I$38-1),IF(AND($L$37=0,$P$34=0),"",$L$37-1)),MIN(BG$38,$E331),$P$20))-SUM($BF331:BF331))</f>
        <v>0</v>
      </c>
      <c r="BH331" s="446">
        <f>IF($E331=0,0,IF(MIN(BH$38,$E331)&lt;MAX($P$34*($B331+$I$38-1),IF(AND($L$37=0,$P$34=0),"",$L$37-1)),0,YEARFRAC(MAX($P$34*($B331+$I$38-1),IF(AND($L$37=0,$P$34=0),"",$L$37-1)),MIN(BH$38,$E331),$P$20))-SUM($BF331:BG331))</f>
        <v>0</v>
      </c>
      <c r="BI331" s="446">
        <f>IF($E331=0,0,IF(MIN(BI$38,$E331)&lt;MAX($P$34*($B331+$I$38-1),IF(AND($L$37=0,$P$34=0),"",$L$37-1)),0,YEARFRAC(MAX($P$34*($B331+$I$38-1),IF(AND($L$37=0,$P$34=0),"",$L$37-1)),MIN(BI$38,$E331),$P$20))-SUM($BF331:BH331))</f>
        <v>0</v>
      </c>
      <c r="BJ331" s="446">
        <f>IF($E331=0,0,IF(MIN(BJ$38,$E331)&lt;MAX($P$34*($B331+$I$38-1),IF(AND($L$37=0,$P$34=0),"",$L$37-1)),0,YEARFRAC(MAX($P$34*($B331+$I$38-1),IF(AND($L$37=0,$P$34=0),"",$L$37-1)),MIN(BJ$38,$E331),$P$20))-SUM($BF331:BI331))</f>
        <v>0</v>
      </c>
      <c r="BK331" s="446">
        <f>IF($E331=0,0,IF(MIN(BK$38,$E331)&lt;MAX($P$34*($B331+$I$38-1),IF(AND($L$37=0,$P$34=0),"",$L$37-1)),0,YEARFRAC(MAX($P$34*($B331+$I$38-1),IF(AND($L$37=0,$P$34=0),"",$L$37-1)),MIN(BK$38,$E331),$P$20))-SUM($BF331:BJ331))</f>
        <v>0</v>
      </c>
      <c r="BL331" s="446">
        <f>IF($E331=0,0,IF(MIN(BL$38,$E331)&lt;MAX($P$34*($B331+$I$38-1),IF(AND($L$37=0,$P$34=0),"",$L$37-1)),0,YEARFRAC(MAX($P$34*($B331+$I$38-1),IF(AND($L$37=0,$P$34=0),"",$L$37-1)),MIN(BL$38,$E331),$P$20))-SUM($BF331:BK331))</f>
        <v>0</v>
      </c>
      <c r="BM331" s="446">
        <f>IF($E331=0,0,IF(MIN(BM$38,$E331)&lt;MAX($P$34*($B331+$I$38-1),IF(AND($L$37=0,$P$34=0),"",$L$37-1)),0,YEARFRAC(MAX($P$34*($B331+$I$38-1),IF(AND($L$37=0,$P$34=0),"",$L$37-1)),MIN(BM$38,$E331),$P$20))-SUM($BF331:BL331))</f>
        <v>0</v>
      </c>
      <c r="BN331" s="446">
        <f>IF($E331=0,0,IF(MIN(BN$38,$E331)&lt;MAX($P$34*($B331+$I$38-1),IF(AND($L$37=0,$P$34=0),"",$L$37-1)),0,YEARFRAC(MAX($P$34*($B331+$I$38-1),IF(AND($L$37=0,$P$34=0),"",$L$37-1)),MIN(BN$38,$E331),$P$20))-SUM($BF331:BM331))</f>
        <v>0</v>
      </c>
      <c r="BO331" s="446">
        <f>IF($E331=0,0,IF(MIN(BO$38,$E331)&lt;MAX($P$34*($B331+$I$38-1),IF(AND($L$37=0,$P$34=0),"",$L$37-1)),0,YEARFRAC(MAX($P$34*($B331+$I$38-1),IF(AND($L$37=0,$P$34=0),"",$L$37-1)),MIN(BO$38,$E331),$P$20))-SUM($BF331:BN331))</f>
        <v>0</v>
      </c>
      <c r="BP331" s="446">
        <f>IF($E331=0,0,IF(MIN(BP$38,$E331)&lt;MAX($P$34*($B331+$I$38-1),IF(AND($L$37=0,$P$34=0),"",$L$37-1)),0,YEARFRAC(MAX($P$34*($B331+$I$38-1),IF(AND($L$37=0,$P$34=0),"",$L$37-1)),MIN(BP$38,$E331),$P$20))-SUM($BF331:BO331))</f>
        <v>0</v>
      </c>
      <c r="BQ331" s="446">
        <f>IF($E331=0,0,IF(MIN(BQ$38,$E331)&lt;MAX($P$34*($B331+$I$38-1),IF(AND($L$37=0,$P$34=0),"",$L$37-1)),0,YEARFRAC(MAX($P$34*($B331+$I$38-1),IF(AND($L$37=0,$P$34=0),"",$L$37-1)),MIN(BQ$38,$E331),$P$20))-SUM($BF331:BP331))</f>
        <v>0</v>
      </c>
      <c r="BR331" s="446">
        <f>IF($E331=0,0,IF(MIN(BR$38,$E331)&lt;MAX($P$34*($B331+$I$38-1),IF(AND($L$37=0,$P$34=0),"",$L$37-1)),0,YEARFRAC(MAX($P$34*($B331+$I$38-1),IF(AND($L$37=0,$P$34=0),"",$L$37-1)),MIN(BR$38,$E331),$P$20))-SUM($BF331:BQ331))</f>
        <v>0</v>
      </c>
      <c r="BS331" s="446">
        <f>IF($E331=0,0,IF(MIN(BS$38,$E331)&lt;MAX($P$34*($B331+$I$38-1),IF(AND($L$37=0,$P$34=0),"",$L$37-1)),0,YEARFRAC(MAX($P$34*($B331+$I$38-1),IF(AND($L$37=0,$P$34=0),"",$L$37-1)),MIN(BS$38,$E331),$P$20))-SUM($BF331:BR331))</f>
        <v>0</v>
      </c>
      <c r="BT331" s="446">
        <f>IF($E331=0,0,IF(MIN(BT$38,$E331)&lt;MAX($P$34*($B331+$I$38-1),IF(AND($L$37=0,$P$34=0),"",$L$37-1)),0,YEARFRAC(MAX($P$34*($B331+$I$38-1),IF(AND($L$37=0,$P$34=0),"",$L$37-1)),MIN(BT$38,$E331),$P$20))-SUM($BF331:BS331))</f>
        <v>0</v>
      </c>
      <c r="BU331" s="446">
        <f>IF($E331=0,0,IF(MIN(BU$38,$E331)&lt;MAX($P$34*($B331+$I$38-1),IF(AND($L$37=0,$P$34=0),"",$L$37-1)),0,YEARFRAC(MAX($P$34*($B331+$I$38-1),IF(AND($L$37=0,$P$34=0),"",$L$37-1)),MIN(BU$38,$E331),$P$20))-SUM($BF331:BT331))</f>
        <v>0</v>
      </c>
      <c r="BV331" s="446">
        <f>IF($E331=0,0,IF(MIN(BV$38,$E331)&lt;MAX($P$34*($B331+$I$38-1),IF(AND($L$37=0,$P$34=0),"",$L$37-1)),0,YEARFRAC(MAX($P$34*($B331+$I$38-1),IF(AND($L$37=0,$P$34=0),"",$L$37-1)),MIN(BV$38,$E331),$P$20))-SUM($BF331:BU331))</f>
        <v>0</v>
      </c>
      <c r="BW331" s="446">
        <f>IF($E331=0,0,IF(MIN(BW$38,$E331)&lt;MAX($P$34*($B331+$I$38-1),IF(AND($L$37=0,$P$34=0),"",$L$37-1)),0,YEARFRAC(MAX($P$34*($B331+$I$38-1),IF(AND($L$37=0,$P$34=0),"",$L$37-1)),MIN(BW$38,$E331),$P$20))-SUM($BF331:BV331))</f>
        <v>0</v>
      </c>
      <c r="BX331" s="446">
        <f>IF($E331=0,0,IF(MIN(BX$38,$E331)&lt;MAX($P$34*($B331+$I$38-1),IF(AND($L$37=0,$P$34=0),"",$L$37-1)),0,YEARFRAC(MAX($P$34*($B331+$I$38-1),IF(AND($L$37=0,$P$34=0),"",$L$37-1)),MIN(BX$38,$E331),$P$20))-SUM($BF331:BW331))</f>
        <v>0</v>
      </c>
      <c r="BY331" s="446">
        <f>IF($E331=0,0,IF(MIN(BY$38,$E331)&lt;MAX($P$34*($B331+$I$38-1),IF(AND($L$37=0,$P$34=0),"",$L$37-1)),0,YEARFRAC(MAX($P$34*($B331+$I$38-1),IF(AND($L$37=0,$P$34=0),"",$L$37-1)),MIN(BY$38,$E331),$P$20))-SUM($BF331:BX331))</f>
        <v>0</v>
      </c>
      <c r="BZ331" s="446">
        <f>IF($E331=0,0,IF(MIN(BZ$38,$E331)&lt;MAX($P$34*($B331+$I$38-1),IF(AND($L$37=0,$P$34=0),"",$L$37-1)),0,YEARFRAC(MAX($P$34*($B331+$I$38-1),IF(AND($L$37=0,$P$34=0),"",$L$37-1)),MIN(BZ$38,$E331),$P$20))-SUM($BF331:BY331))</f>
        <v>0</v>
      </c>
      <c r="CA331" s="446">
        <f>IF($E331=0,0,IF(MIN(CA$38,$E331)&lt;MAX($P$34*($B331+$I$38-1),IF(AND($L$37=0,$P$34=0),"",$L$37-1)),0,YEARFRAC(MAX($P$34*($B331+$I$38-1),IF(AND($L$37=0,$P$34=0),"",$L$37-1)),MIN(CA$38,$E331),$P$20))-SUM($BF331:BZ331))</f>
        <v>0</v>
      </c>
      <c r="CB331" s="446">
        <f>IF($E331=0,0,IF(MIN(CB$38,$E331)&lt;MAX($P$34*($B331+$I$38-1),IF(AND($L$37=0,$P$34=0),"",$L$37-1)),0,YEARFRAC(MAX($P$34*($B331+$I$38-1),IF(AND($L$37=0,$P$34=0),"",$L$37-1)),MIN(CB$38,$E331),$P$20))-SUM($BF331:CA331))</f>
        <v>0</v>
      </c>
      <c r="CC331" s="446">
        <f>IF($E331=0,0,IF(MIN(CC$38,$E331)&lt;MAX($P$34*($B331+$I$38-1),IF(AND($L$37=0,$P$34=0),"",$L$37-1)),0,YEARFRAC(MAX($P$34*($B331+$I$38-1),IF(AND($L$37=0,$P$34=0),"",$L$37-1)),MIN(CC$38,$E331),$P$20))-SUM($BF331:CB331))</f>
        <v>0</v>
      </c>
      <c r="CD331" s="446">
        <f>IF($E331=0,0,IF(MIN(CD$38,$E331)&lt;MAX($P$34*($B331+$I$38-1),IF(AND($L$37=0,$P$34=0),"",$L$37-1)),0,YEARFRAC(MAX($P$34*($B331+$I$38-1),IF(AND($L$37=0,$P$34=0),"",$L$37-1)),MIN(CD$38,$E331),$P$20))-SUM($BF331:CC331))</f>
        <v>0</v>
      </c>
      <c r="CE331" s="446">
        <f>IF($E331=0,0,IF(MIN(CE$38,$E331)&lt;MAX($P$34*($B331+$I$38-1),IF(AND($L$37=0,$P$34=0),"",$L$37-1)),0,YEARFRAC(MAX($P$34*($B331+$I$38-1),IF(AND($L$37=0,$P$34=0),"",$L$37-1)),MIN(CE$38,$E331),$P$20))-SUM($BF331:CD331))</f>
        <v>0</v>
      </c>
      <c r="CF331" s="446">
        <f>IF($E331=0,0,IF(MIN(CF$38,$E331)&lt;MAX($P$34*($B331+$I$38-1),IF(AND($L$37=0,$P$34=0),"",$L$37-1)),0,YEARFRAC(MAX($P$34*($B331+$I$38-1),IF(AND($L$37=0,$P$34=0),"",$L$37-1)),MIN(CF$38,$E331),$P$20))-SUM($BF331:CE331))</f>
        <v>0</v>
      </c>
      <c r="CG331" s="446">
        <f>IF($E331=0,0,IF(MIN(CG$38,$E331)&lt;MAX($P$34*($B331+$I$38-1),IF(AND($L$37=0,$P$34=0),"",$L$37-1)),0,YEARFRAC(MAX($P$34*($B331+$I$38-1),IF(AND($L$37=0,$P$34=0),"",$L$37-1)),MIN(CG$38,$E331),$P$20))-SUM($BF331:CF331))</f>
        <v>0</v>
      </c>
      <c r="CH331" s="446">
        <f>IF($E331=0,0,IF(MIN(CH$38,$E331)&lt;MAX($P$34*($B331+$I$38-1),IF(AND($L$37=0,$P$34=0),"",$L$37-1)),0,YEARFRAC(MAX($P$34*($B331+$I$38-1),IF(AND($L$37=0,$P$34=0),"",$L$37-1)),MIN(CH$38,$E331),$P$20))-SUM($BF331:CG331))</f>
        <v>0</v>
      </c>
      <c r="CI331" s="446">
        <f>IF($E331=0,0,IF(MIN(CI$38,$E331)&lt;MAX($P$34*($B331+$I$38-1),IF(AND($L$37=0,$P$34=0),"",$L$37-1)),0,YEARFRAC(MAX($P$34*($B331+$I$38-1),IF(AND($L$37=0,$P$34=0),"",$L$37-1)),MIN(CI$38,$E331),$P$20))-SUM($BF331:CH331))</f>
        <v>0</v>
      </c>
      <c r="CJ331" s="446">
        <f>IF($E331=0,0,IF(MIN(CJ$38,$E331)&lt;MAX($P$34*($B331+$I$38-1),IF(AND($L$37=0,$P$34=0),"",$L$37-1)),0,YEARFRAC(MAX($P$34*($B331+$I$38-1),IF(AND($L$37=0,$P$34=0),"",$L$37-1)),MIN(CJ$38,$E331),$P$20))-SUM($BF331:CI331))</f>
        <v>0</v>
      </c>
      <c r="CK331" s="446">
        <f>IF($E331=0,0,IF(MIN(CK$38,$E331)&lt;MAX($P$34*($B331+$I$38-1),IF(AND($L$37=0,$P$34=0),"",$L$37-1)),0,YEARFRAC(MAX($P$34*($B331+$I$38-1),IF(AND($L$37=0,$P$34=0),"",$L$37-1)),MIN(CK$38,$E331),$P$20))-SUM($BF331:CJ331))</f>
        <v>0</v>
      </c>
      <c r="CL331" s="446">
        <f>IF($E331=0,0,IF(MIN(CL$38,$E331)&lt;MAX($P$34*($B331+$I$38-1),IF(AND($L$37=0,$P$34=0),"",$L$37-1)),0,YEARFRAC(MAX($P$34*($B331+$I$38-1),IF(AND($L$37=0,$P$34=0),"",$L$37-1)),MIN(CL$38,$E331),$P$20))-SUM($BF331:CK331))</f>
        <v>0</v>
      </c>
      <c r="CM331" s="446">
        <f>IF($E331=0,0,IF(MIN(CM$38,$E331)&lt;MAX($P$34*($B331+$I$38-1),IF(AND($L$37=0,$P$34=0),"",$L$37-1)),0,YEARFRAC(MAX($P$34*($B331+$I$38-1),IF(AND($L$37=0,$P$34=0),"",$L$37-1)),MIN(CM$38,$E331),$P$20))-SUM($BF331:CL331))</f>
        <v>0</v>
      </c>
      <c r="CN331" s="446">
        <f>IF($E331=0,0,IF(MIN(CN$38,$E331)&lt;MAX($P$34*($B331+$I$38-1),IF(AND($L$37=0,$P$34=0),"",$L$37-1)),0,YEARFRAC(MAX($P$34*($B331+$I$38-1),IF(AND($L$37=0,$P$34=0),"",$L$37-1)),MIN(CN$38,$E331),$P$20))-SUM($BF331:CM331))</f>
        <v>0</v>
      </c>
      <c r="CO331" s="446">
        <f>IF($E331=0,0,IF(MIN(CO$38,$E331)&lt;MAX($P$34*($B331+$I$38-1),IF(AND($L$37=0,$P$34=0),"",$L$37-1)),0,YEARFRAC(MAX($P$34*($B331+$I$38-1),IF(AND($L$37=0,$P$34=0),"",$L$37-1)),MIN(CO$38,$E331),$P$20))-SUM($BF331:CN331))</f>
        <v>0</v>
      </c>
      <c r="CP331" s="446">
        <f>IF($E331=0,0,IF(MIN(CP$38,$E331)&lt;MAX($P$34*($B331+$I$38-1),IF(AND($L$37=0,$P$34=0),"",$L$37-1)),0,YEARFRAC(MAX($P$34*($B331+$I$38-1),IF(AND($L$37=0,$P$34=0),"",$L$37-1)),MIN(CP$38,$E331),$P$20))-SUM($BF331:CO331))</f>
        <v>0</v>
      </c>
      <c r="CQ331" s="446">
        <f>IF($E331=0,0,IF(MIN(CQ$38,$E331)&lt;MAX($P$34*($B331+$I$38-1),IF(AND($L$37=0,$P$34=0),"",$L$37-1)),0,YEARFRAC(MAX($P$34*($B331+$I$38-1),IF(AND($L$37=0,$P$34=0),"",$L$37-1)),MIN(CQ$38,$E331),$P$20))-SUM($BF331:CP331))</f>
        <v>0</v>
      </c>
    </row>
    <row r="332" spans="1:95" s="446" customFormat="1" ht="11.25" hidden="1" customHeight="1" x14ac:dyDescent="0.2">
      <c r="A332" s="152"/>
      <c r="B332" s="153" t="str">
        <f t="shared" si="59"/>
        <v/>
      </c>
      <c r="C332" s="29" t="str">
        <f>IF(B332="","",IF($L$35="SELIC - TRIBUTOS",VLOOKUP(DATE(YEAR($D$19),MONTH($D$19)-1,1),ÍNDICES!$A:$DE,HLOOKUP($BL$25,ÍNDICES!$B$3:$T$4,2)+11)-VLOOKUP(B332,ÍNDICES!$A:$DE,HLOOKUP($BL$25,ÍNDICES!$B$3:$T$4,2)+11)+1%,IF(C$38=$W$26,$J$35,IF(ISERROR(IF(B332&gt;$D$19,1,VLOOKUP(DATE(YEAR(B332),MONTH(B332)+IF($C$35=$S$23,1,0),1),ÍNDICES!$A:$DE,$Z$35+1))),"",IF(B332&gt;$D$19,1,VLOOKUP(DATE(YEAR(B332),MONTH(B332)+IF($C$35=$S$23,1,0),1),ÍNDICES!$A:$DE,$Z$35+1))))))</f>
        <v/>
      </c>
      <c r="D332" s="154" t="str">
        <f>IF(ISERROR(IF(OR($D$38=$Y$27,$B332=""),"",VLOOKUP(B332,ÍNDICES!A:DE,AF$35+1))),"",IF(OR($D$38=$Y$27,$B332=""),"",VLOOKUP(B332,ÍNDICES!A:DE,AF$35+1)))</f>
        <v/>
      </c>
      <c r="E332" s="153"/>
      <c r="F332" s="29" t="str">
        <f>IF(E332="","",IF($L$35="SELIC - TRIBUTOS",VLOOKUP(DATE(YEAR($D$19),MONTH($D$19)-1,1),ÍNDICES!$A:$DE,HLOOKUP($BL$25,ÍNDICES!$B$3:$T$4,2)+11)-VLOOKUP(E332,ÍNDICES!$A:$DE,HLOOKUP($BL$25,ÍNDICES!$B$3:$T$4,2)+11)+1%,IF(F$38=$W$26,$J$35,IF(ISERROR(IF(E332&gt;$D$19,1,VLOOKUP(DATE(YEAR(E332),MONTH(E332)+IF($C$35=$S$23,1,0),1),ÍNDICES!$A:$DE,$Z$35+1))),"",IF(E332&gt;$D$19,1,VLOOKUP(DATE(YEAR(E332),MONTH(E332)+IF($C$35=$S$23,1,0),1),ÍNDICES!$A:$DE,$Z$35+1))))))</f>
        <v/>
      </c>
      <c r="G332" s="155"/>
      <c r="H332" s="156" t="str">
        <f t="shared" si="55"/>
        <v/>
      </c>
      <c r="I332" s="29" t="str">
        <f t="shared" si="49"/>
        <v/>
      </c>
      <c r="J332" s="5">
        <f t="shared" si="50"/>
        <v>0</v>
      </c>
      <c r="K332" s="20">
        <f t="shared" ca="1" si="51"/>
        <v>0</v>
      </c>
      <c r="L332" s="5">
        <f t="shared" ca="1" si="52"/>
        <v>0</v>
      </c>
      <c r="M332" s="64">
        <f t="shared" si="56"/>
        <v>0</v>
      </c>
      <c r="N332" s="61">
        <f t="shared" ca="1" si="57"/>
        <v>0</v>
      </c>
      <c r="O332" s="5">
        <f t="shared" ca="1" si="58"/>
        <v>0</v>
      </c>
      <c r="P332" s="446" t="e">
        <f t="shared" si="53"/>
        <v>#VALUE!</v>
      </c>
      <c r="Q332" s="446" t="e">
        <f>IF(OR($B332="",MIN(Q$38,$D$19)&lt;MAX($P$34*($B332+IF($R$17="Distrato",$I$38-1,0)),IF(AND($L$37=0,$P$34=0),"",$L$37-1),IF($R$17="Distrato",$E332,0))),0,YEARFRAC(MAX($P$34*($B332+IF($R$17="Distrato",$I$38-1,0)),IF(AND($L$37=0,$P$34=0),"",$L$37-1),IF($R$17="Distrato",$E332,0)),MIN(Q$38,$D$19),$P$20))-SUM($P332:P332)</f>
        <v>#VALUE!</v>
      </c>
      <c r="R332" s="446" t="e">
        <f>IF(OR($B332="",MIN(R$38,$D$19)&lt;MAX($P$34*($B332+IF($R$17="Distrato",$I$38-1,0)),IF(AND($L$37=0,$P$34=0),"",$L$37-1),IF($R$17="Distrato",$E332,0))),0,YEARFRAC(MAX($P$34*($B332+IF($R$17="Distrato",$I$38-1,0)),IF(AND($L$37=0,$P$34=0),"",$L$37-1),IF($R$17="Distrato",$E332,0)),MIN(R$38,$D$19),$P$20))-SUM($P332:Q332)</f>
        <v>#VALUE!</v>
      </c>
      <c r="S332" s="446" t="e">
        <f>IF(OR($B332="",MIN(S$38,$D$19)&lt;MAX($P$34*($B332+IF($R$17="Distrato",$I$38-1,0)),IF(AND($L$37=0,$P$34=0),"",$L$37-1),IF($R$17="Distrato",$E332,0))),0,YEARFRAC(MAX($P$34*($B332+IF($R$17="Distrato",$I$38-1,0)),IF(AND($L$37=0,$P$34=0),"",$L$37-1),IF($R$17="Distrato",$E332,0)),MIN(S$38,$D$19),$P$20))-SUM($P332:R332)</f>
        <v>#VALUE!</v>
      </c>
      <c r="T332" s="446" t="e">
        <f>IF(OR($B332="",MIN(T$38,$D$19)&lt;MAX($P$34*($B332+IF($R$17="Distrato",$I$38-1,0)),IF(AND($L$37=0,$P$34=0),"",$L$37-1),IF($R$17="Distrato",$E332,0))),0,YEARFRAC(MAX($P$34*($B332+IF($R$17="Distrato",$I$38-1,0)),IF(AND($L$37=0,$P$34=0),"",$L$37-1),IF($R$17="Distrato",$E332,0)),MIN(T$38,$D$19),$P$20))-SUM($P332:S332)</f>
        <v>#VALUE!</v>
      </c>
      <c r="U332" s="446" t="e">
        <f>IF(OR($B332="",MIN(U$38,$D$19)&lt;MAX($P$34*($B332+IF($R$17="Distrato",$I$38-1,0)),IF(AND($L$37=0,$P$34=0),"",$L$37-1),IF($R$17="Distrato",$E332,0))),0,YEARFRAC(MAX($P$34*($B332+IF($R$17="Distrato",$I$38-1,0)),IF(AND($L$37=0,$P$34=0),"",$L$37-1),IF($R$17="Distrato",$E332,0)),MIN(U$38,$D$19),$P$20))-SUM($P332:T332)</f>
        <v>#VALUE!</v>
      </c>
      <c r="V332" s="446" t="e">
        <f>IF(OR($B332="",MIN(V$38,$D$19)&lt;MAX($P$34*($B332+IF($R$17="Distrato",$I$38-1,0)),IF(AND($L$37=0,$P$34=0),"",$L$37-1),IF($R$17="Distrato",$E332,0))),0,YEARFRAC(MAX($P$34*($B332+IF($R$17="Distrato",$I$38-1,0)),IF(AND($L$37=0,$P$34=0),"",$L$37-1),IF($R$17="Distrato",$E332,0)),MIN(V$38,$D$19),$P$20))-SUM($P332:U332)</f>
        <v>#VALUE!</v>
      </c>
      <c r="W332" s="446" t="e">
        <f>IF(OR($B332="",MIN(W$38,$D$19)&lt;MAX($P$34*($B332+IF($R$17="Distrato",$I$38-1,0)),IF(AND($L$37=0,$P$34=0),"",$L$37-1),IF($R$17="Distrato",$E332,0))),0,YEARFRAC(MAX($P$34*($B332+IF($R$17="Distrato",$I$38-1,0)),IF(AND($L$37=0,$P$34=0),"",$L$37-1),IF($R$17="Distrato",$E332,0)),MIN(W$38,$D$19),$P$20))-SUM($P332:V332)</f>
        <v>#VALUE!</v>
      </c>
      <c r="X332" s="446" t="e">
        <f>IF(OR($B332="",MIN(X$38,$D$19)&lt;MAX($P$34*($B332+IF($R$17="Distrato",$I$38-1,0)),IF(AND($L$37=0,$P$34=0),"",$L$37-1),IF($R$17="Distrato",$E332,0))),0,YEARFRAC(MAX($P$34*($B332+IF($R$17="Distrato",$I$38-1,0)),IF(AND($L$37=0,$P$34=0),"",$L$37-1),IF($R$17="Distrato",$E332,0)),MIN(X$38,$D$19),$P$20))-SUM($P332:W332)</f>
        <v>#VALUE!</v>
      </c>
      <c r="Y332" s="446" t="e">
        <f>IF(OR($B332="",MIN(Y$38,$D$19)&lt;MAX($P$34*($B332+IF($R$17="Distrato",$I$38-1,0)),IF(AND($L$37=0,$P$34=0),"",$L$37-1),IF($R$17="Distrato",$E332,0))),0,YEARFRAC(MAX($P$34*($B332+IF($R$17="Distrato",$I$38-1,0)),IF(AND($L$37=0,$P$34=0),"",$L$37-1),IF($R$17="Distrato",$E332,0)),MIN(Y$38,$D$19),$P$20))-SUM($P332:X332)</f>
        <v>#VALUE!</v>
      </c>
      <c r="Z332" s="446" t="e">
        <f>IF(OR($B332="",MIN(Z$38,$D$19)&lt;MAX($P$34*($B332+IF($R$17="Distrato",$I$38-1,0)),IF(AND($L$37=0,$P$34=0),"",$L$37-1),IF($R$17="Distrato",$E332,0))),0,YEARFRAC(MAX($P$34*($B332+IF($R$17="Distrato",$I$38-1,0)),IF(AND($L$37=0,$P$34=0),"",$L$37-1),IF($R$17="Distrato",$E332,0)),MIN(Z$38,$D$19),$P$20))-SUM($P332:Y332)</f>
        <v>#VALUE!</v>
      </c>
      <c r="AA332" s="446" t="e">
        <f>IF(OR($B332="",MIN(AA$38,$D$19)&lt;MAX($P$34*($B332+IF($R$17="Distrato",$I$38-1,0)),IF(AND($L$37=0,$P$34=0),"",$L$37-1),IF($R$17="Distrato",$E332,0))),0,YEARFRAC(MAX($P$34*($B332+IF($R$17="Distrato",$I$38-1,0)),IF(AND($L$37=0,$P$34=0),"",$L$37-1),IF($R$17="Distrato",$E332,0)),MIN(AA$38,$D$19),$P$20))-SUM($P332:Z332)</f>
        <v>#VALUE!</v>
      </c>
      <c r="AB332" s="446" t="e">
        <f>IF(OR($B332="",MIN(AB$38,$D$19)&lt;MAX($P$34*($B332+IF($R$17="Distrato",$I$38-1,0)),IF(AND($L$37=0,$P$34=0),"",$L$37-1),IF($R$17="Distrato",$E332,0))),0,YEARFRAC(MAX($P$34*($B332+IF($R$17="Distrato",$I$38-1,0)),IF(AND($L$37=0,$P$34=0),"",$L$37-1),IF($R$17="Distrato",$E332,0)),MIN(AB$38,$D$19),$P$20))-SUM($P332:AA332)</f>
        <v>#VALUE!</v>
      </c>
      <c r="AC332" s="446" t="e">
        <f>IF(OR($B332="",MIN(AC$38,$D$19)&lt;MAX($P$34*($B332+IF($R$17="Distrato",$I$38-1,0)),IF(AND($L$37=0,$P$34=0),"",$L$37-1),IF($R$17="Distrato",$E332,0))),0,YEARFRAC(MAX($P$34*($B332+IF($R$17="Distrato",$I$38-1,0)),IF(AND($L$37=0,$P$34=0),"",$L$37-1),IF($R$17="Distrato",$E332,0)),MIN(AC$38,$D$19),$P$20))-SUM($P332:AB332)</f>
        <v>#VALUE!</v>
      </c>
      <c r="AD332" s="446" t="e">
        <f>IF(OR($B332="",MIN(AD$38,$D$19)&lt;MAX($P$34*($B332+IF($R$17="Distrato",$I$38-1,0)),IF(AND($L$37=0,$P$34=0),"",$L$37-1),IF($R$17="Distrato",$E332,0))),0,YEARFRAC(MAX($P$34*($B332+IF($R$17="Distrato",$I$38-1,0)),IF(AND($L$37=0,$P$34=0),"",$L$37-1),IF($R$17="Distrato",$E332,0)),MIN(AD$38,$D$19),$P$20))-SUM($P332:AC332)</f>
        <v>#VALUE!</v>
      </c>
      <c r="AE332" s="446" t="e">
        <f>IF(OR($B332="",MIN(AE$38,$D$19)&lt;MAX($P$34*($B332+IF($R$17="Distrato",$I$38-1,0)),IF(AND($L$37=0,$P$34=0),"",$L$37-1),IF($R$17="Distrato",$E332,0))),0,YEARFRAC(MAX($P$34*($B332+IF($R$17="Distrato",$I$38-1,0)),IF(AND($L$37=0,$P$34=0),"",$L$37-1),IF($R$17="Distrato",$E332,0)),MIN(AE$38,$D$19),$P$20))-SUM($P332:AD332)</f>
        <v>#VALUE!</v>
      </c>
      <c r="AF332" s="446" t="e">
        <f>IF(OR($B332="",MIN(AF$38,$D$19)&lt;MAX($P$34*($B332+IF($R$17="Distrato",$I$38-1,0)),IF(AND($L$37=0,$P$34=0),"",$L$37-1),IF($R$17="Distrato",$E332,0))),0,YEARFRAC(MAX($P$34*($B332+IF($R$17="Distrato",$I$38-1,0)),IF(AND($L$37=0,$P$34=0),"",$L$37-1),IF($R$17="Distrato",$E332,0)),MIN(AF$38,$D$19),$P$20))-SUM($P332:AE332)</f>
        <v>#VALUE!</v>
      </c>
      <c r="AG332" s="446" t="e">
        <f>IF(OR($B332="",MIN(AG$38,$D$19)&lt;MAX($P$34*($B332+IF($R$17="Distrato",$I$38-1,0)),IF(AND($L$37=0,$P$34=0),"",$L$37-1),IF($R$17="Distrato",$E332,0))),0,YEARFRAC(MAX($P$34*($B332+IF($R$17="Distrato",$I$38-1,0)),IF(AND($L$37=0,$P$34=0),"",$L$37-1),IF($R$17="Distrato",$E332,0)),MIN(AG$38,$D$19),$P$20))-SUM($P332:AF332)</f>
        <v>#VALUE!</v>
      </c>
      <c r="AH332" s="446" t="e">
        <f>IF(OR($B332="",MIN(AH$38,$D$19)&lt;MAX($P$34*($B332+IF($R$17="Distrato",$I$38-1,0)),IF(AND($L$37=0,$P$34=0),"",$L$37-1),IF($R$17="Distrato",$E332,0))),0,YEARFRAC(MAX($P$34*($B332+IF($R$17="Distrato",$I$38-1,0)),IF(AND($L$37=0,$P$34=0),"",$L$37-1),IF($R$17="Distrato",$E332,0)),MIN(AH$38,$D$19),$P$20))-SUM($P332:AG332)</f>
        <v>#VALUE!</v>
      </c>
      <c r="AI332" s="446" t="e">
        <f>IF(OR($B332="",MIN(AI$38,$D$19)&lt;MAX($P$34*($B332+IF($R$17="Distrato",$I$38-1,0)),IF(AND($L$37=0,$P$34=0),"",$L$37-1),IF($R$17="Distrato",$E332,0))),0,YEARFRAC(MAX($P$34*($B332+IF($R$17="Distrato",$I$38-1,0)),IF(AND($L$37=0,$P$34=0),"",$L$37-1),IF($R$17="Distrato",$E332,0)),MIN(AI$38,$D$19),$P$20))-SUM($P332:AH332)</f>
        <v>#VALUE!</v>
      </c>
      <c r="AJ332" s="446" t="e">
        <f>IF(OR($B332="",MIN(AJ$38,$D$19)&lt;MAX($P$34*($B332+IF($R$17="Distrato",$I$38-1,0)),IF(AND($L$37=0,$P$34=0),"",$L$37-1),IF($R$17="Distrato",$E332,0))),0,YEARFRAC(MAX($P$34*($B332+IF($R$17="Distrato",$I$38-1,0)),IF(AND($L$37=0,$P$34=0),"",$L$37-1),IF($R$17="Distrato",$E332,0)),MIN(AJ$38,$D$19),$P$20))-SUM($P332:AI332)</f>
        <v>#VALUE!</v>
      </c>
      <c r="AK332" s="446" t="e">
        <f>IF(OR($B332="",MIN(AK$38,$D$19)&lt;MAX($P$34*($B332+IF($R$17="Distrato",$I$38-1,0)),IF(AND($L$37=0,$P$34=0),"",$L$37-1),IF($R$17="Distrato",$E332,0))),0,YEARFRAC(MAX($P$34*($B332+IF($R$17="Distrato",$I$38-1,0)),IF(AND($L$37=0,$P$34=0),"",$L$37-1),IF($R$17="Distrato",$E332,0)),MIN(AK$38,$D$19),$P$20))-SUM($P332:AJ332)</f>
        <v>#VALUE!</v>
      </c>
      <c r="AL332" s="446" t="e">
        <f>IF(OR($B332="",MIN(AL$38,$D$19)&lt;MAX($P$34*($B332+IF($R$17="Distrato",$I$38-1,0)),IF(AND($L$37=0,$P$34=0),"",$L$37-1),IF($R$17="Distrato",$E332,0))),0,YEARFRAC(MAX($P$34*($B332+IF($R$17="Distrato",$I$38-1,0)),IF(AND($L$37=0,$P$34=0),"",$L$37-1),IF($R$17="Distrato",$E332,0)),MIN(AL$38,$D$19),$P$20))-SUM($P332:AK332)</f>
        <v>#VALUE!</v>
      </c>
      <c r="AM332" s="446" t="e">
        <f>IF(OR($B332="",MIN(AM$38,$D$19)&lt;MAX($P$34*($B332+IF($R$17="Distrato",$I$38-1,0)),IF(AND($L$37=0,$P$34=0),"",$L$37-1),IF($R$17="Distrato",$E332,0))),0,YEARFRAC(MAX($P$34*($B332+IF($R$17="Distrato",$I$38-1,0)),IF(AND($L$37=0,$P$34=0),"",$L$37-1),IF($R$17="Distrato",$E332,0)),MIN(AM$38,$D$19),$P$20))-SUM($P332:AL332)</f>
        <v>#VALUE!</v>
      </c>
      <c r="AN332" s="446" t="e">
        <f>IF(OR($B332="",MIN(AN$38,$D$19)&lt;MAX($P$34*($B332+IF($R$17="Distrato",$I$38-1,0)),IF(AND($L$37=0,$P$34=0),"",$L$37-1),IF($R$17="Distrato",$E332,0))),0,YEARFRAC(MAX($P$34*($B332+IF($R$17="Distrato",$I$38-1,0)),IF(AND($L$37=0,$P$34=0),"",$L$37-1),IF($R$17="Distrato",$E332,0)),MIN(AN$38,$D$19),$P$20))-SUM($P332:AM332)</f>
        <v>#VALUE!</v>
      </c>
      <c r="AO332" s="446" t="e">
        <f>IF(OR($B332="",MIN(AO$38,$D$19)&lt;MAX($P$34*($B332+IF($R$17="Distrato",$I$38-1,0)),IF(AND($L$37=0,$P$34=0),"",$L$37-1),IF($R$17="Distrato",$E332,0))),0,YEARFRAC(MAX($P$34*($B332+IF($R$17="Distrato",$I$38-1,0)),IF(AND($L$37=0,$P$34=0),"",$L$37-1),IF($R$17="Distrato",$E332,0)),MIN(AO$38,$D$19),$P$20))-SUM($P332:AN332)</f>
        <v>#VALUE!</v>
      </c>
      <c r="AP332" s="446" t="e">
        <f>IF(OR($B332="",MIN(AP$38,$D$19)&lt;MAX($P$34*($B332+IF($R$17="Distrato",$I$38-1,0)),IF(AND($L$37=0,$P$34=0),"",$L$37-1),IF($R$17="Distrato",$E332,0))),0,YEARFRAC(MAX($P$34*($B332+IF($R$17="Distrato",$I$38-1,0)),IF(AND($L$37=0,$P$34=0),"",$L$37-1),IF($R$17="Distrato",$E332,0)),MIN(AP$38,$D$19),$P$20))-SUM($P332:AO332)</f>
        <v>#VALUE!</v>
      </c>
      <c r="AQ332" s="446" t="e">
        <f>IF(OR($B332="",MIN(AQ$38,$D$19)&lt;MAX($P$34*($B332+IF($R$17="Distrato",$I$38-1,0)),IF(AND($L$37=0,$P$34=0),"",$L$37-1),IF($R$17="Distrato",$E332,0))),0,YEARFRAC(MAX($P$34*($B332+IF($R$17="Distrato",$I$38-1,0)),IF(AND($L$37=0,$P$34=0),"",$L$37-1),IF($R$17="Distrato",$E332,0)),MIN(AQ$38,$D$19),$P$20))-SUM($P332:AP332)</f>
        <v>#VALUE!</v>
      </c>
      <c r="AR332" s="446" t="e">
        <f>IF(OR($B332="",MIN(AR$38,$D$19)&lt;MAX($P$34*($B332+IF($R$17="Distrato",$I$38-1,0)),IF(AND($L$37=0,$P$34=0),"",$L$37-1),IF($R$17="Distrato",$E332,0))),0,YEARFRAC(MAX($P$34*($B332+IF($R$17="Distrato",$I$38-1,0)),IF(AND($L$37=0,$P$34=0),"",$L$37-1),IF($R$17="Distrato",$E332,0)),MIN(AR$38,$D$19),$P$20))-SUM($P332:AQ332)</f>
        <v>#VALUE!</v>
      </c>
      <c r="AS332" s="446" t="e">
        <f>IF(OR($B332="",MIN(AS$38,$D$19)&lt;MAX($P$34*($B332+IF($R$17="Distrato",$I$38-1,0)),IF(AND($L$37=0,$P$34=0),"",$L$37-1),IF($R$17="Distrato",$E332,0))),0,YEARFRAC(MAX($P$34*($B332+IF($R$17="Distrato",$I$38-1,0)),IF(AND($L$37=0,$P$34=0),"",$L$37-1),IF($R$17="Distrato",$E332,0)),MIN(AS$38,$D$19),$P$20))-SUM($P332:AR332)</f>
        <v>#VALUE!</v>
      </c>
      <c r="AT332" s="446" t="e">
        <f>IF(OR($B332="",MIN(AT$38,$D$19)&lt;MAX($P$34*($B332+IF($R$17="Distrato",$I$38-1,0)),IF(AND($L$37=0,$P$34=0),"",$L$37-1),IF($R$17="Distrato",$E332,0))),0,YEARFRAC(MAX($P$34*($B332+IF($R$17="Distrato",$I$38-1,0)),IF(AND($L$37=0,$P$34=0),"",$L$37-1),IF($R$17="Distrato",$E332,0)),MIN(AT$38,$D$19),$P$20))-SUM($P332:AS332)</f>
        <v>#VALUE!</v>
      </c>
      <c r="AU332" s="446" t="e">
        <f>IF(OR($B332="",MIN(AU$38,$D$19)&lt;MAX($P$34*($B332+IF($R$17="Distrato",$I$38-1,0)),IF(AND($L$37=0,$P$34=0),"",$L$37-1),IF($R$17="Distrato",$E332,0))),0,YEARFRAC(MAX($P$34*($B332+IF($R$17="Distrato",$I$38-1,0)),IF(AND($L$37=0,$P$34=0),"",$L$37-1),IF($R$17="Distrato",$E332,0)),MIN(AU$38,$D$19),$P$20))-SUM($P332:AT332)</f>
        <v>#VALUE!</v>
      </c>
      <c r="AV332" s="446" t="e">
        <f>IF(OR($B332="",MIN(AV$38,$D$19)&lt;MAX($P$34*($B332+IF($R$17="Distrato",$I$38-1,0)),IF(AND($L$37=0,$P$34=0),"",$L$37-1),IF($R$17="Distrato",$E332,0))),0,YEARFRAC(MAX($P$34*($B332+IF($R$17="Distrato",$I$38-1,0)),IF(AND($L$37=0,$P$34=0),"",$L$37-1),IF($R$17="Distrato",$E332,0)),MIN(AV$38,$D$19),$P$20))-SUM($P332:AU332)</f>
        <v>#VALUE!</v>
      </c>
      <c r="AW332" s="446" t="e">
        <f>IF(OR($B332="",MIN(AW$38,$D$19)&lt;MAX($P$34*($B332+IF($R$17="Distrato",$I$38-1,0)),IF(AND($L$37=0,$P$34=0),"",$L$37-1),IF($R$17="Distrato",$E332,0))),0,YEARFRAC(MAX($P$34*($B332+IF($R$17="Distrato",$I$38-1,0)),IF(AND($L$37=0,$P$34=0),"",$L$37-1),IF($R$17="Distrato",$E332,0)),MIN(AW$38,$D$19),$P$20))-SUM($P332:AV332)</f>
        <v>#VALUE!</v>
      </c>
      <c r="AX332" s="446" t="e">
        <f>IF(OR($B332="",MIN(AX$38,$D$19)&lt;MAX($P$34*($B332+IF($R$17="Distrato",$I$38-1,0)),IF(AND($L$37=0,$P$34=0),"",$L$37-1),IF($R$17="Distrato",$E332,0))),0,YEARFRAC(MAX($P$34*($B332+IF($R$17="Distrato",$I$38-1,0)),IF(AND($L$37=0,$P$34=0),"",$L$37-1),IF($R$17="Distrato",$E332,0)),MIN(AX$38,$D$19),$P$20))-SUM($P332:AW332)</f>
        <v>#VALUE!</v>
      </c>
      <c r="AY332" s="446" t="e">
        <f>IF(OR($B332="",MIN(AY$38,$D$19)&lt;MAX($P$34*($B332+IF($R$17="Distrato",$I$38-1,0)),IF(AND($L$37=0,$P$34=0),"",$L$37-1),IF($R$17="Distrato",$E332,0))),0,YEARFRAC(MAX($P$34*($B332+IF($R$17="Distrato",$I$38-1,0)),IF(AND($L$37=0,$P$34=0),"",$L$37-1),IF($R$17="Distrato",$E332,0)),MIN(AY$38,$D$19),$P$20))-SUM($P332:AX332)</f>
        <v>#VALUE!</v>
      </c>
      <c r="AZ332" s="446" t="e">
        <f>IF(OR($B332="",MIN(AZ$38,$D$19)&lt;MAX($P$34*($B332+IF($R$17="Distrato",$I$38-1,0)),IF(AND($L$37=0,$P$34=0),"",$L$37-1),IF($R$17="Distrato",$E332,0))),0,YEARFRAC(MAX($P$34*($B332+IF($R$17="Distrato",$I$38-1,0)),IF(AND($L$37=0,$P$34=0),"",$L$37-1),IF($R$17="Distrato",$E332,0)),MIN(AZ$38,$D$19),$P$20))-SUM($P332:AY332)</f>
        <v>#VALUE!</v>
      </c>
      <c r="BA332" s="446" t="e">
        <f>IF(OR($B332="",MIN(BA$38,$D$19)&lt;MAX($P$34*($B332+IF($R$17="Distrato",$I$38-1,0)),IF(AND($L$37=0,$P$34=0),"",$L$37-1),IF($R$17="Distrato",$E332,0))),0,YEARFRAC(MAX($P$34*($B332+IF($R$17="Distrato",$I$38-1,0)),IF(AND($L$37=0,$P$34=0),"",$L$37-1),IF($R$17="Distrato",$E332,0)),MIN(BA$38,$D$19),$P$20))-SUM($P332:AZ332)</f>
        <v>#VALUE!</v>
      </c>
      <c r="BB332" s="447"/>
      <c r="BF332" s="446">
        <f t="shared" si="54"/>
        <v>0</v>
      </c>
      <c r="BG332" s="446">
        <f>IF($E332=0,0,IF(MIN(BG$38,$E332)&lt;MAX($P$34*($B332+$I$38-1),IF(AND($L$37=0,$P$34=0),"",$L$37-1)),0,YEARFRAC(MAX($P$34*($B332+$I$38-1),IF(AND($L$37=0,$P$34=0),"",$L$37-1)),MIN(BG$38,$E332),$P$20))-SUM($BF332:BF332))</f>
        <v>0</v>
      </c>
      <c r="BH332" s="446">
        <f>IF($E332=0,0,IF(MIN(BH$38,$E332)&lt;MAX($P$34*($B332+$I$38-1),IF(AND($L$37=0,$P$34=0),"",$L$37-1)),0,YEARFRAC(MAX($P$34*($B332+$I$38-1),IF(AND($L$37=0,$P$34=0),"",$L$37-1)),MIN(BH$38,$E332),$P$20))-SUM($BF332:BG332))</f>
        <v>0</v>
      </c>
      <c r="BI332" s="446">
        <f>IF($E332=0,0,IF(MIN(BI$38,$E332)&lt;MAX($P$34*($B332+$I$38-1),IF(AND($L$37=0,$P$34=0),"",$L$37-1)),0,YEARFRAC(MAX($P$34*($B332+$I$38-1),IF(AND($L$37=0,$P$34=0),"",$L$37-1)),MIN(BI$38,$E332),$P$20))-SUM($BF332:BH332))</f>
        <v>0</v>
      </c>
      <c r="BJ332" s="446">
        <f>IF($E332=0,0,IF(MIN(BJ$38,$E332)&lt;MAX($P$34*($B332+$I$38-1),IF(AND($L$37=0,$P$34=0),"",$L$37-1)),0,YEARFRAC(MAX($P$34*($B332+$I$38-1),IF(AND($L$37=0,$P$34=0),"",$L$37-1)),MIN(BJ$38,$E332),$P$20))-SUM($BF332:BI332))</f>
        <v>0</v>
      </c>
      <c r="BK332" s="446">
        <f>IF($E332=0,0,IF(MIN(BK$38,$E332)&lt;MAX($P$34*($B332+$I$38-1),IF(AND($L$37=0,$P$34=0),"",$L$37-1)),0,YEARFRAC(MAX($P$34*($B332+$I$38-1),IF(AND($L$37=0,$P$34=0),"",$L$37-1)),MIN(BK$38,$E332),$P$20))-SUM($BF332:BJ332))</f>
        <v>0</v>
      </c>
      <c r="BL332" s="446">
        <f>IF($E332=0,0,IF(MIN(BL$38,$E332)&lt;MAX($P$34*($B332+$I$38-1),IF(AND($L$37=0,$P$34=0),"",$L$37-1)),0,YEARFRAC(MAX($P$34*($B332+$I$38-1),IF(AND($L$37=0,$P$34=0),"",$L$37-1)),MIN(BL$38,$E332),$P$20))-SUM($BF332:BK332))</f>
        <v>0</v>
      </c>
      <c r="BM332" s="446">
        <f>IF($E332=0,0,IF(MIN(BM$38,$E332)&lt;MAX($P$34*($B332+$I$38-1),IF(AND($L$37=0,$P$34=0),"",$L$37-1)),0,YEARFRAC(MAX($P$34*($B332+$I$38-1),IF(AND($L$37=0,$P$34=0),"",$L$37-1)),MIN(BM$38,$E332),$P$20))-SUM($BF332:BL332))</f>
        <v>0</v>
      </c>
      <c r="BN332" s="446">
        <f>IF($E332=0,0,IF(MIN(BN$38,$E332)&lt;MAX($P$34*($B332+$I$38-1),IF(AND($L$37=0,$P$34=0),"",$L$37-1)),0,YEARFRAC(MAX($P$34*($B332+$I$38-1),IF(AND($L$37=0,$P$34=0),"",$L$37-1)),MIN(BN$38,$E332),$P$20))-SUM($BF332:BM332))</f>
        <v>0</v>
      </c>
      <c r="BO332" s="446">
        <f>IF($E332=0,0,IF(MIN(BO$38,$E332)&lt;MAX($P$34*($B332+$I$38-1),IF(AND($L$37=0,$P$34=0),"",$L$37-1)),0,YEARFRAC(MAX($P$34*($B332+$I$38-1),IF(AND($L$37=0,$P$34=0),"",$L$37-1)),MIN(BO$38,$E332),$P$20))-SUM($BF332:BN332))</f>
        <v>0</v>
      </c>
      <c r="BP332" s="446">
        <f>IF($E332=0,0,IF(MIN(BP$38,$E332)&lt;MAX($P$34*($B332+$I$38-1),IF(AND($L$37=0,$P$34=0),"",$L$37-1)),0,YEARFRAC(MAX($P$34*($B332+$I$38-1),IF(AND($L$37=0,$P$34=0),"",$L$37-1)),MIN(BP$38,$E332),$P$20))-SUM($BF332:BO332))</f>
        <v>0</v>
      </c>
      <c r="BQ332" s="446">
        <f>IF($E332=0,0,IF(MIN(BQ$38,$E332)&lt;MAX($P$34*($B332+$I$38-1),IF(AND($L$37=0,$P$34=0),"",$L$37-1)),0,YEARFRAC(MAX($P$34*($B332+$I$38-1),IF(AND($L$37=0,$P$34=0),"",$L$37-1)),MIN(BQ$38,$E332),$P$20))-SUM($BF332:BP332))</f>
        <v>0</v>
      </c>
      <c r="BR332" s="446">
        <f>IF($E332=0,0,IF(MIN(BR$38,$E332)&lt;MAX($P$34*($B332+$I$38-1),IF(AND($L$37=0,$P$34=0),"",$L$37-1)),0,YEARFRAC(MAX($P$34*($B332+$I$38-1),IF(AND($L$37=0,$P$34=0),"",$L$37-1)),MIN(BR$38,$E332),$P$20))-SUM($BF332:BQ332))</f>
        <v>0</v>
      </c>
      <c r="BS332" s="446">
        <f>IF($E332=0,0,IF(MIN(BS$38,$E332)&lt;MAX($P$34*($B332+$I$38-1),IF(AND($L$37=0,$P$34=0),"",$L$37-1)),0,YEARFRAC(MAX($P$34*($B332+$I$38-1),IF(AND($L$37=0,$P$34=0),"",$L$37-1)),MIN(BS$38,$E332),$P$20))-SUM($BF332:BR332))</f>
        <v>0</v>
      </c>
      <c r="BT332" s="446">
        <f>IF($E332=0,0,IF(MIN(BT$38,$E332)&lt;MAX($P$34*($B332+$I$38-1),IF(AND($L$37=0,$P$34=0),"",$L$37-1)),0,YEARFRAC(MAX($P$34*($B332+$I$38-1),IF(AND($L$37=0,$P$34=0),"",$L$37-1)),MIN(BT$38,$E332),$P$20))-SUM($BF332:BS332))</f>
        <v>0</v>
      </c>
      <c r="BU332" s="446">
        <f>IF($E332=0,0,IF(MIN(BU$38,$E332)&lt;MAX($P$34*($B332+$I$38-1),IF(AND($L$37=0,$P$34=0),"",$L$37-1)),0,YEARFRAC(MAX($P$34*($B332+$I$38-1),IF(AND($L$37=0,$P$34=0),"",$L$37-1)),MIN(BU$38,$E332),$P$20))-SUM($BF332:BT332))</f>
        <v>0</v>
      </c>
      <c r="BV332" s="446">
        <f>IF($E332=0,0,IF(MIN(BV$38,$E332)&lt;MAX($P$34*($B332+$I$38-1),IF(AND($L$37=0,$P$34=0),"",$L$37-1)),0,YEARFRAC(MAX($P$34*($B332+$I$38-1),IF(AND($L$37=0,$P$34=0),"",$L$37-1)),MIN(BV$38,$E332),$P$20))-SUM($BF332:BU332))</f>
        <v>0</v>
      </c>
      <c r="BW332" s="446">
        <f>IF($E332=0,0,IF(MIN(BW$38,$E332)&lt;MAX($P$34*($B332+$I$38-1),IF(AND($L$37=0,$P$34=0),"",$L$37-1)),0,YEARFRAC(MAX($P$34*($B332+$I$38-1),IF(AND($L$37=0,$P$34=0),"",$L$37-1)),MIN(BW$38,$E332),$P$20))-SUM($BF332:BV332))</f>
        <v>0</v>
      </c>
      <c r="BX332" s="446">
        <f>IF($E332=0,0,IF(MIN(BX$38,$E332)&lt;MAX($P$34*($B332+$I$38-1),IF(AND($L$37=0,$P$34=0),"",$L$37-1)),0,YEARFRAC(MAX($P$34*($B332+$I$38-1),IF(AND($L$37=0,$P$34=0),"",$L$37-1)),MIN(BX$38,$E332),$P$20))-SUM($BF332:BW332))</f>
        <v>0</v>
      </c>
      <c r="BY332" s="446">
        <f>IF($E332=0,0,IF(MIN(BY$38,$E332)&lt;MAX($P$34*($B332+$I$38-1),IF(AND($L$37=0,$P$34=0),"",$L$37-1)),0,YEARFRAC(MAX($P$34*($B332+$I$38-1),IF(AND($L$37=0,$P$34=0),"",$L$37-1)),MIN(BY$38,$E332),$P$20))-SUM($BF332:BX332))</f>
        <v>0</v>
      </c>
      <c r="BZ332" s="446">
        <f>IF($E332=0,0,IF(MIN(BZ$38,$E332)&lt;MAX($P$34*($B332+$I$38-1),IF(AND($L$37=0,$P$34=0),"",$L$37-1)),0,YEARFRAC(MAX($P$34*($B332+$I$38-1),IF(AND($L$37=0,$P$34=0),"",$L$37-1)),MIN(BZ$38,$E332),$P$20))-SUM($BF332:BY332))</f>
        <v>0</v>
      </c>
      <c r="CA332" s="446">
        <f>IF($E332=0,0,IF(MIN(CA$38,$E332)&lt;MAX($P$34*($B332+$I$38-1),IF(AND($L$37=0,$P$34=0),"",$L$37-1)),0,YEARFRAC(MAX($P$34*($B332+$I$38-1),IF(AND($L$37=0,$P$34=0),"",$L$37-1)),MIN(CA$38,$E332),$P$20))-SUM($BF332:BZ332))</f>
        <v>0</v>
      </c>
      <c r="CB332" s="446">
        <f>IF($E332=0,0,IF(MIN(CB$38,$E332)&lt;MAX($P$34*($B332+$I$38-1),IF(AND($L$37=0,$P$34=0),"",$L$37-1)),0,YEARFRAC(MAX($P$34*($B332+$I$38-1),IF(AND($L$37=0,$P$34=0),"",$L$37-1)),MIN(CB$38,$E332),$P$20))-SUM($BF332:CA332))</f>
        <v>0</v>
      </c>
      <c r="CC332" s="446">
        <f>IF($E332=0,0,IF(MIN(CC$38,$E332)&lt;MAX($P$34*($B332+$I$38-1),IF(AND($L$37=0,$P$34=0),"",$L$37-1)),0,YEARFRAC(MAX($P$34*($B332+$I$38-1),IF(AND($L$37=0,$P$34=0),"",$L$37-1)),MIN(CC$38,$E332),$P$20))-SUM($BF332:CB332))</f>
        <v>0</v>
      </c>
      <c r="CD332" s="446">
        <f>IF($E332=0,0,IF(MIN(CD$38,$E332)&lt;MAX($P$34*($B332+$I$38-1),IF(AND($L$37=0,$P$34=0),"",$L$37-1)),0,YEARFRAC(MAX($P$34*($B332+$I$38-1),IF(AND($L$37=0,$P$34=0),"",$L$37-1)),MIN(CD$38,$E332),$P$20))-SUM($BF332:CC332))</f>
        <v>0</v>
      </c>
      <c r="CE332" s="446">
        <f>IF($E332=0,0,IF(MIN(CE$38,$E332)&lt;MAX($P$34*($B332+$I$38-1),IF(AND($L$37=0,$P$34=0),"",$L$37-1)),0,YEARFRAC(MAX($P$34*($B332+$I$38-1),IF(AND($L$37=0,$P$34=0),"",$L$37-1)),MIN(CE$38,$E332),$P$20))-SUM($BF332:CD332))</f>
        <v>0</v>
      </c>
      <c r="CF332" s="446">
        <f>IF($E332=0,0,IF(MIN(CF$38,$E332)&lt;MAX($P$34*($B332+$I$38-1),IF(AND($L$37=0,$P$34=0),"",$L$37-1)),0,YEARFRAC(MAX($P$34*($B332+$I$38-1),IF(AND($L$37=0,$P$34=0),"",$L$37-1)),MIN(CF$38,$E332),$P$20))-SUM($BF332:CE332))</f>
        <v>0</v>
      </c>
      <c r="CG332" s="446">
        <f>IF($E332=0,0,IF(MIN(CG$38,$E332)&lt;MAX($P$34*($B332+$I$38-1),IF(AND($L$37=0,$P$34=0),"",$L$37-1)),0,YEARFRAC(MAX($P$34*($B332+$I$38-1),IF(AND($L$37=0,$P$34=0),"",$L$37-1)),MIN(CG$38,$E332),$P$20))-SUM($BF332:CF332))</f>
        <v>0</v>
      </c>
      <c r="CH332" s="446">
        <f>IF($E332=0,0,IF(MIN(CH$38,$E332)&lt;MAX($P$34*($B332+$I$38-1),IF(AND($L$37=0,$P$34=0),"",$L$37-1)),0,YEARFRAC(MAX($P$34*($B332+$I$38-1),IF(AND($L$37=0,$P$34=0),"",$L$37-1)),MIN(CH$38,$E332),$P$20))-SUM($BF332:CG332))</f>
        <v>0</v>
      </c>
      <c r="CI332" s="446">
        <f>IF($E332=0,0,IF(MIN(CI$38,$E332)&lt;MAX($P$34*($B332+$I$38-1),IF(AND($L$37=0,$P$34=0),"",$L$37-1)),0,YEARFRAC(MAX($P$34*($B332+$I$38-1),IF(AND($L$37=0,$P$34=0),"",$L$37-1)),MIN(CI$38,$E332),$P$20))-SUM($BF332:CH332))</f>
        <v>0</v>
      </c>
      <c r="CJ332" s="446">
        <f>IF($E332=0,0,IF(MIN(CJ$38,$E332)&lt;MAX($P$34*($B332+$I$38-1),IF(AND($L$37=0,$P$34=0),"",$L$37-1)),0,YEARFRAC(MAX($P$34*($B332+$I$38-1),IF(AND($L$37=0,$P$34=0),"",$L$37-1)),MIN(CJ$38,$E332),$P$20))-SUM($BF332:CI332))</f>
        <v>0</v>
      </c>
      <c r="CK332" s="446">
        <f>IF($E332=0,0,IF(MIN(CK$38,$E332)&lt;MAX($P$34*($B332+$I$38-1),IF(AND($L$37=0,$P$34=0),"",$L$37-1)),0,YEARFRAC(MAX($P$34*($B332+$I$38-1),IF(AND($L$37=0,$P$34=0),"",$L$37-1)),MIN(CK$38,$E332),$P$20))-SUM($BF332:CJ332))</f>
        <v>0</v>
      </c>
      <c r="CL332" s="446">
        <f>IF($E332=0,0,IF(MIN(CL$38,$E332)&lt;MAX($P$34*($B332+$I$38-1),IF(AND($L$37=0,$P$34=0),"",$L$37-1)),0,YEARFRAC(MAX($P$34*($B332+$I$38-1),IF(AND($L$37=0,$P$34=0),"",$L$37-1)),MIN(CL$38,$E332),$P$20))-SUM($BF332:CK332))</f>
        <v>0</v>
      </c>
      <c r="CM332" s="446">
        <f>IF($E332=0,0,IF(MIN(CM$38,$E332)&lt;MAX($P$34*($B332+$I$38-1),IF(AND($L$37=0,$P$34=0),"",$L$37-1)),0,YEARFRAC(MAX($P$34*($B332+$I$38-1),IF(AND($L$37=0,$P$34=0),"",$L$37-1)),MIN(CM$38,$E332),$P$20))-SUM($BF332:CL332))</f>
        <v>0</v>
      </c>
      <c r="CN332" s="446">
        <f>IF($E332=0,0,IF(MIN(CN$38,$E332)&lt;MAX($P$34*($B332+$I$38-1),IF(AND($L$37=0,$P$34=0),"",$L$37-1)),0,YEARFRAC(MAX($P$34*($B332+$I$38-1),IF(AND($L$37=0,$P$34=0),"",$L$37-1)),MIN(CN$38,$E332),$P$20))-SUM($BF332:CM332))</f>
        <v>0</v>
      </c>
      <c r="CO332" s="446">
        <f>IF($E332=0,0,IF(MIN(CO$38,$E332)&lt;MAX($P$34*($B332+$I$38-1),IF(AND($L$37=0,$P$34=0),"",$L$37-1)),0,YEARFRAC(MAX($P$34*($B332+$I$38-1),IF(AND($L$37=0,$P$34=0),"",$L$37-1)),MIN(CO$38,$E332),$P$20))-SUM($BF332:CN332))</f>
        <v>0</v>
      </c>
      <c r="CP332" s="446">
        <f>IF($E332=0,0,IF(MIN(CP$38,$E332)&lt;MAX($P$34*($B332+$I$38-1),IF(AND($L$37=0,$P$34=0),"",$L$37-1)),0,YEARFRAC(MAX($P$34*($B332+$I$38-1),IF(AND($L$37=0,$P$34=0),"",$L$37-1)),MIN(CP$38,$E332),$P$20))-SUM($BF332:CO332))</f>
        <v>0</v>
      </c>
      <c r="CQ332" s="446">
        <f>IF($E332=0,0,IF(MIN(CQ$38,$E332)&lt;MAX($P$34*($B332+$I$38-1),IF(AND($L$37=0,$P$34=0),"",$L$37-1)),0,YEARFRAC(MAX($P$34*($B332+$I$38-1),IF(AND($L$37=0,$P$34=0),"",$L$37-1)),MIN(CQ$38,$E332),$P$20))-SUM($BF332:CP332))</f>
        <v>0</v>
      </c>
    </row>
    <row r="333" spans="1:95" s="446" customFormat="1" ht="11.25" hidden="1" customHeight="1" x14ac:dyDescent="0.2">
      <c r="A333" s="152"/>
      <c r="B333" s="153" t="str">
        <f t="shared" si="59"/>
        <v/>
      </c>
      <c r="C333" s="29" t="str">
        <f>IF(B333="","",IF($L$35="SELIC - TRIBUTOS",VLOOKUP(DATE(YEAR($D$19),MONTH($D$19)-1,1),ÍNDICES!$A:$DE,HLOOKUP($BL$25,ÍNDICES!$B$3:$T$4,2)+11)-VLOOKUP(B333,ÍNDICES!$A:$DE,HLOOKUP($BL$25,ÍNDICES!$B$3:$T$4,2)+11)+1%,IF(C$38=$W$26,$J$35,IF(ISERROR(IF(B333&gt;$D$19,1,VLOOKUP(DATE(YEAR(B333),MONTH(B333)+IF($C$35=$S$23,1,0),1),ÍNDICES!$A:$DE,$Z$35+1))),"",IF(B333&gt;$D$19,1,VLOOKUP(DATE(YEAR(B333),MONTH(B333)+IF($C$35=$S$23,1,0),1),ÍNDICES!$A:$DE,$Z$35+1))))))</f>
        <v/>
      </c>
      <c r="D333" s="154" t="str">
        <f>IF(ISERROR(IF(OR($D$38=$Y$27,$B333=""),"",VLOOKUP(B333,ÍNDICES!A:DE,AF$35+1))),"",IF(OR($D$38=$Y$27,$B333=""),"",VLOOKUP(B333,ÍNDICES!A:DE,AF$35+1)))</f>
        <v/>
      </c>
      <c r="E333" s="153"/>
      <c r="F333" s="29" t="str">
        <f>IF(E333="","",IF($L$35="SELIC - TRIBUTOS",VLOOKUP(DATE(YEAR($D$19),MONTH($D$19)-1,1),ÍNDICES!$A:$DE,HLOOKUP($BL$25,ÍNDICES!$B$3:$T$4,2)+11)-VLOOKUP(E333,ÍNDICES!$A:$DE,HLOOKUP($BL$25,ÍNDICES!$B$3:$T$4,2)+11)+1%,IF(F$38=$W$26,$J$35,IF(ISERROR(IF(E333&gt;$D$19,1,VLOOKUP(DATE(YEAR(E333),MONTH(E333)+IF($C$35=$S$23,1,0),1),ÍNDICES!$A:$DE,$Z$35+1))),"",IF(E333&gt;$D$19,1,VLOOKUP(DATE(YEAR(E333),MONTH(E333)+IF($C$35=$S$23,1,0),1),ÍNDICES!$A:$DE,$Z$35+1))))))</f>
        <v/>
      </c>
      <c r="G333" s="155"/>
      <c r="H333" s="156" t="str">
        <f t="shared" si="55"/>
        <v/>
      </c>
      <c r="I333" s="29" t="str">
        <f t="shared" si="49"/>
        <v/>
      </c>
      <c r="J333" s="5">
        <f t="shared" si="50"/>
        <v>0</v>
      </c>
      <c r="K333" s="20">
        <f t="shared" ca="1" si="51"/>
        <v>0</v>
      </c>
      <c r="L333" s="5">
        <f t="shared" ca="1" si="52"/>
        <v>0</v>
      </c>
      <c r="M333" s="64">
        <f t="shared" si="56"/>
        <v>0</v>
      </c>
      <c r="N333" s="61">
        <f t="shared" ca="1" si="57"/>
        <v>0</v>
      </c>
      <c r="O333" s="5">
        <f t="shared" ca="1" si="58"/>
        <v>0</v>
      </c>
      <c r="P333" s="446" t="e">
        <f t="shared" si="53"/>
        <v>#VALUE!</v>
      </c>
      <c r="Q333" s="446" t="e">
        <f>IF(OR($B333="",MIN(Q$38,$D$19)&lt;MAX($P$34*($B333+IF($R$17="Distrato",$I$38-1,0)),IF(AND($L$37=0,$P$34=0),"",$L$37-1),IF($R$17="Distrato",$E333,0))),0,YEARFRAC(MAX($P$34*($B333+IF($R$17="Distrato",$I$38-1,0)),IF(AND($L$37=0,$P$34=0),"",$L$37-1),IF($R$17="Distrato",$E333,0)),MIN(Q$38,$D$19),$P$20))-SUM($P333:P333)</f>
        <v>#VALUE!</v>
      </c>
      <c r="R333" s="446" t="e">
        <f>IF(OR($B333="",MIN(R$38,$D$19)&lt;MAX($P$34*($B333+IF($R$17="Distrato",$I$38-1,0)),IF(AND($L$37=0,$P$34=0),"",$L$37-1),IF($R$17="Distrato",$E333,0))),0,YEARFRAC(MAX($P$34*($B333+IF($R$17="Distrato",$I$38-1,0)),IF(AND($L$37=0,$P$34=0),"",$L$37-1),IF($R$17="Distrato",$E333,0)),MIN(R$38,$D$19),$P$20))-SUM($P333:Q333)</f>
        <v>#VALUE!</v>
      </c>
      <c r="S333" s="446" t="e">
        <f>IF(OR($B333="",MIN(S$38,$D$19)&lt;MAX($P$34*($B333+IF($R$17="Distrato",$I$38-1,0)),IF(AND($L$37=0,$P$34=0),"",$L$37-1),IF($R$17="Distrato",$E333,0))),0,YEARFRAC(MAX($P$34*($B333+IF($R$17="Distrato",$I$38-1,0)),IF(AND($L$37=0,$P$34=0),"",$L$37-1),IF($R$17="Distrato",$E333,0)),MIN(S$38,$D$19),$P$20))-SUM($P333:R333)</f>
        <v>#VALUE!</v>
      </c>
      <c r="T333" s="446" t="e">
        <f>IF(OR($B333="",MIN(T$38,$D$19)&lt;MAX($P$34*($B333+IF($R$17="Distrato",$I$38-1,0)),IF(AND($L$37=0,$P$34=0),"",$L$37-1),IF($R$17="Distrato",$E333,0))),0,YEARFRAC(MAX($P$34*($B333+IF($R$17="Distrato",$I$38-1,0)),IF(AND($L$37=0,$P$34=0),"",$L$37-1),IF($R$17="Distrato",$E333,0)),MIN(T$38,$D$19),$P$20))-SUM($P333:S333)</f>
        <v>#VALUE!</v>
      </c>
      <c r="U333" s="446" t="e">
        <f>IF(OR($B333="",MIN(U$38,$D$19)&lt;MAX($P$34*($B333+IF($R$17="Distrato",$I$38-1,0)),IF(AND($L$37=0,$P$34=0),"",$L$37-1),IF($R$17="Distrato",$E333,0))),0,YEARFRAC(MAX($P$34*($B333+IF($R$17="Distrato",$I$38-1,0)),IF(AND($L$37=0,$P$34=0),"",$L$37-1),IF($R$17="Distrato",$E333,0)),MIN(U$38,$D$19),$P$20))-SUM($P333:T333)</f>
        <v>#VALUE!</v>
      </c>
      <c r="V333" s="446" t="e">
        <f>IF(OR($B333="",MIN(V$38,$D$19)&lt;MAX($P$34*($B333+IF($R$17="Distrato",$I$38-1,0)),IF(AND($L$37=0,$P$34=0),"",$L$37-1),IF($R$17="Distrato",$E333,0))),0,YEARFRAC(MAX($P$34*($B333+IF($R$17="Distrato",$I$38-1,0)),IF(AND($L$37=0,$P$34=0),"",$L$37-1),IF($R$17="Distrato",$E333,0)),MIN(V$38,$D$19),$P$20))-SUM($P333:U333)</f>
        <v>#VALUE!</v>
      </c>
      <c r="W333" s="446" t="e">
        <f>IF(OR($B333="",MIN(W$38,$D$19)&lt;MAX($P$34*($B333+IF($R$17="Distrato",$I$38-1,0)),IF(AND($L$37=0,$P$34=0),"",$L$37-1),IF($R$17="Distrato",$E333,0))),0,YEARFRAC(MAX($P$34*($B333+IF($R$17="Distrato",$I$38-1,0)),IF(AND($L$37=0,$P$34=0),"",$L$37-1),IF($R$17="Distrato",$E333,0)),MIN(W$38,$D$19),$P$20))-SUM($P333:V333)</f>
        <v>#VALUE!</v>
      </c>
      <c r="X333" s="446" t="e">
        <f>IF(OR($B333="",MIN(X$38,$D$19)&lt;MAX($P$34*($B333+IF($R$17="Distrato",$I$38-1,0)),IF(AND($L$37=0,$P$34=0),"",$L$37-1),IF($R$17="Distrato",$E333,0))),0,YEARFRAC(MAX($P$34*($B333+IF($R$17="Distrato",$I$38-1,0)),IF(AND($L$37=0,$P$34=0),"",$L$37-1),IF($R$17="Distrato",$E333,0)),MIN(X$38,$D$19),$P$20))-SUM($P333:W333)</f>
        <v>#VALUE!</v>
      </c>
      <c r="Y333" s="446" t="e">
        <f>IF(OR($B333="",MIN(Y$38,$D$19)&lt;MAX($P$34*($B333+IF($R$17="Distrato",$I$38-1,0)),IF(AND($L$37=0,$P$34=0),"",$L$37-1),IF($R$17="Distrato",$E333,0))),0,YEARFRAC(MAX($P$34*($B333+IF($R$17="Distrato",$I$38-1,0)),IF(AND($L$37=0,$P$34=0),"",$L$37-1),IF($R$17="Distrato",$E333,0)),MIN(Y$38,$D$19),$P$20))-SUM($P333:X333)</f>
        <v>#VALUE!</v>
      </c>
      <c r="Z333" s="446" t="e">
        <f>IF(OR($B333="",MIN(Z$38,$D$19)&lt;MAX($P$34*($B333+IF($R$17="Distrato",$I$38-1,0)),IF(AND($L$37=0,$P$34=0),"",$L$37-1),IF($R$17="Distrato",$E333,0))),0,YEARFRAC(MAX($P$34*($B333+IF($R$17="Distrato",$I$38-1,0)),IF(AND($L$37=0,$P$34=0),"",$L$37-1),IF($R$17="Distrato",$E333,0)),MIN(Z$38,$D$19),$P$20))-SUM($P333:Y333)</f>
        <v>#VALUE!</v>
      </c>
      <c r="AA333" s="446" t="e">
        <f>IF(OR($B333="",MIN(AA$38,$D$19)&lt;MAX($P$34*($B333+IF($R$17="Distrato",$I$38-1,0)),IF(AND($L$37=0,$P$34=0),"",$L$37-1),IF($R$17="Distrato",$E333,0))),0,YEARFRAC(MAX($P$34*($B333+IF($R$17="Distrato",$I$38-1,0)),IF(AND($L$37=0,$P$34=0),"",$L$37-1),IF($R$17="Distrato",$E333,0)),MIN(AA$38,$D$19),$P$20))-SUM($P333:Z333)</f>
        <v>#VALUE!</v>
      </c>
      <c r="AB333" s="446" t="e">
        <f>IF(OR($B333="",MIN(AB$38,$D$19)&lt;MAX($P$34*($B333+IF($R$17="Distrato",$I$38-1,0)),IF(AND($L$37=0,$P$34=0),"",$L$37-1),IF($R$17="Distrato",$E333,0))),0,YEARFRAC(MAX($P$34*($B333+IF($R$17="Distrato",$I$38-1,0)),IF(AND($L$37=0,$P$34=0),"",$L$37-1),IF($R$17="Distrato",$E333,0)),MIN(AB$38,$D$19),$P$20))-SUM($P333:AA333)</f>
        <v>#VALUE!</v>
      </c>
      <c r="AC333" s="446" t="e">
        <f>IF(OR($B333="",MIN(AC$38,$D$19)&lt;MAX($P$34*($B333+IF($R$17="Distrato",$I$38-1,0)),IF(AND($L$37=0,$P$34=0),"",$L$37-1),IF($R$17="Distrato",$E333,0))),0,YEARFRAC(MAX($P$34*($B333+IF($R$17="Distrato",$I$38-1,0)),IF(AND($L$37=0,$P$34=0),"",$L$37-1),IF($R$17="Distrato",$E333,0)),MIN(AC$38,$D$19),$P$20))-SUM($P333:AB333)</f>
        <v>#VALUE!</v>
      </c>
      <c r="AD333" s="446" t="e">
        <f>IF(OR($B333="",MIN(AD$38,$D$19)&lt;MAX($P$34*($B333+IF($R$17="Distrato",$I$38-1,0)),IF(AND($L$37=0,$P$34=0),"",$L$37-1),IF($R$17="Distrato",$E333,0))),0,YEARFRAC(MAX($P$34*($B333+IF($R$17="Distrato",$I$38-1,0)),IF(AND($L$37=0,$P$34=0),"",$L$37-1),IF($R$17="Distrato",$E333,0)),MIN(AD$38,$D$19),$P$20))-SUM($P333:AC333)</f>
        <v>#VALUE!</v>
      </c>
      <c r="AE333" s="446" t="e">
        <f>IF(OR($B333="",MIN(AE$38,$D$19)&lt;MAX($P$34*($B333+IF($R$17="Distrato",$I$38-1,0)),IF(AND($L$37=0,$P$34=0),"",$L$37-1),IF($R$17="Distrato",$E333,0))),0,YEARFRAC(MAX($P$34*($B333+IF($R$17="Distrato",$I$38-1,0)),IF(AND($L$37=0,$P$34=0),"",$L$37-1),IF($R$17="Distrato",$E333,0)),MIN(AE$38,$D$19),$P$20))-SUM($P333:AD333)</f>
        <v>#VALUE!</v>
      </c>
      <c r="AF333" s="446" t="e">
        <f>IF(OR($B333="",MIN(AF$38,$D$19)&lt;MAX($P$34*($B333+IF($R$17="Distrato",$I$38-1,0)),IF(AND($L$37=0,$P$34=0),"",$L$37-1),IF($R$17="Distrato",$E333,0))),0,YEARFRAC(MAX($P$34*($B333+IF($R$17="Distrato",$I$38-1,0)),IF(AND($L$37=0,$P$34=0),"",$L$37-1),IF($R$17="Distrato",$E333,0)),MIN(AF$38,$D$19),$P$20))-SUM($P333:AE333)</f>
        <v>#VALUE!</v>
      </c>
      <c r="AG333" s="446" t="e">
        <f>IF(OR($B333="",MIN(AG$38,$D$19)&lt;MAX($P$34*($B333+IF($R$17="Distrato",$I$38-1,0)),IF(AND($L$37=0,$P$34=0),"",$L$37-1),IF($R$17="Distrato",$E333,0))),0,YEARFRAC(MAX($P$34*($B333+IF($R$17="Distrato",$I$38-1,0)),IF(AND($L$37=0,$P$34=0),"",$L$37-1),IF($R$17="Distrato",$E333,0)),MIN(AG$38,$D$19),$P$20))-SUM($P333:AF333)</f>
        <v>#VALUE!</v>
      </c>
      <c r="AH333" s="446" t="e">
        <f>IF(OR($B333="",MIN(AH$38,$D$19)&lt;MAX($P$34*($B333+IF($R$17="Distrato",$I$38-1,0)),IF(AND($L$37=0,$P$34=0),"",$L$37-1),IF($R$17="Distrato",$E333,0))),0,YEARFRAC(MAX($P$34*($B333+IF($R$17="Distrato",$I$38-1,0)),IF(AND($L$37=0,$P$34=0),"",$L$37-1),IF($R$17="Distrato",$E333,0)),MIN(AH$38,$D$19),$P$20))-SUM($P333:AG333)</f>
        <v>#VALUE!</v>
      </c>
      <c r="AI333" s="446" t="e">
        <f>IF(OR($B333="",MIN(AI$38,$D$19)&lt;MAX($P$34*($B333+IF($R$17="Distrato",$I$38-1,0)),IF(AND($L$37=0,$P$34=0),"",$L$37-1),IF($R$17="Distrato",$E333,0))),0,YEARFRAC(MAX($P$34*($B333+IF($R$17="Distrato",$I$38-1,0)),IF(AND($L$37=0,$P$34=0),"",$L$37-1),IF($R$17="Distrato",$E333,0)),MIN(AI$38,$D$19),$P$20))-SUM($P333:AH333)</f>
        <v>#VALUE!</v>
      </c>
      <c r="AJ333" s="446" t="e">
        <f>IF(OR($B333="",MIN(AJ$38,$D$19)&lt;MAX($P$34*($B333+IF($R$17="Distrato",$I$38-1,0)),IF(AND($L$37=0,$P$34=0),"",$L$37-1),IF($R$17="Distrato",$E333,0))),0,YEARFRAC(MAX($P$34*($B333+IF($R$17="Distrato",$I$38-1,0)),IF(AND($L$37=0,$P$34=0),"",$L$37-1),IF($R$17="Distrato",$E333,0)),MIN(AJ$38,$D$19),$P$20))-SUM($P333:AI333)</f>
        <v>#VALUE!</v>
      </c>
      <c r="AK333" s="446" t="e">
        <f>IF(OR($B333="",MIN(AK$38,$D$19)&lt;MAX($P$34*($B333+IF($R$17="Distrato",$I$38-1,0)),IF(AND($L$37=0,$P$34=0),"",$L$37-1),IF($R$17="Distrato",$E333,0))),0,YEARFRAC(MAX($P$34*($B333+IF($R$17="Distrato",$I$38-1,0)),IF(AND($L$37=0,$P$34=0),"",$L$37-1),IF($R$17="Distrato",$E333,0)),MIN(AK$38,$D$19),$P$20))-SUM($P333:AJ333)</f>
        <v>#VALUE!</v>
      </c>
      <c r="AL333" s="446" t="e">
        <f>IF(OR($B333="",MIN(AL$38,$D$19)&lt;MAX($P$34*($B333+IF($R$17="Distrato",$I$38-1,0)),IF(AND($L$37=0,$P$34=0),"",$L$37-1),IF($R$17="Distrato",$E333,0))),0,YEARFRAC(MAX($P$34*($B333+IF($R$17="Distrato",$I$38-1,0)),IF(AND($L$37=0,$P$34=0),"",$L$37-1),IF($R$17="Distrato",$E333,0)),MIN(AL$38,$D$19),$P$20))-SUM($P333:AK333)</f>
        <v>#VALUE!</v>
      </c>
      <c r="AM333" s="446" t="e">
        <f>IF(OR($B333="",MIN(AM$38,$D$19)&lt;MAX($P$34*($B333+IF($R$17="Distrato",$I$38-1,0)),IF(AND($L$37=0,$P$34=0),"",$L$37-1),IF($R$17="Distrato",$E333,0))),0,YEARFRAC(MAX($P$34*($B333+IF($R$17="Distrato",$I$38-1,0)),IF(AND($L$37=0,$P$34=0),"",$L$37-1),IF($R$17="Distrato",$E333,0)),MIN(AM$38,$D$19),$P$20))-SUM($P333:AL333)</f>
        <v>#VALUE!</v>
      </c>
      <c r="AN333" s="446" t="e">
        <f>IF(OR($B333="",MIN(AN$38,$D$19)&lt;MAX($P$34*($B333+IF($R$17="Distrato",$I$38-1,0)),IF(AND($L$37=0,$P$34=0),"",$L$37-1),IF($R$17="Distrato",$E333,0))),0,YEARFRAC(MAX($P$34*($B333+IF($R$17="Distrato",$I$38-1,0)),IF(AND($L$37=0,$P$34=0),"",$L$37-1),IF($R$17="Distrato",$E333,0)),MIN(AN$38,$D$19),$P$20))-SUM($P333:AM333)</f>
        <v>#VALUE!</v>
      </c>
      <c r="AO333" s="446" t="e">
        <f>IF(OR($B333="",MIN(AO$38,$D$19)&lt;MAX($P$34*($B333+IF($R$17="Distrato",$I$38-1,0)),IF(AND($L$37=0,$P$34=0),"",$L$37-1),IF($R$17="Distrato",$E333,0))),0,YEARFRAC(MAX($P$34*($B333+IF($R$17="Distrato",$I$38-1,0)),IF(AND($L$37=0,$P$34=0),"",$L$37-1),IF($R$17="Distrato",$E333,0)),MIN(AO$38,$D$19),$P$20))-SUM($P333:AN333)</f>
        <v>#VALUE!</v>
      </c>
      <c r="AP333" s="446" t="e">
        <f>IF(OR($B333="",MIN(AP$38,$D$19)&lt;MAX($P$34*($B333+IF($R$17="Distrato",$I$38-1,0)),IF(AND($L$37=0,$P$34=0),"",$L$37-1),IF($R$17="Distrato",$E333,0))),0,YEARFRAC(MAX($P$34*($B333+IF($R$17="Distrato",$I$38-1,0)),IF(AND($L$37=0,$P$34=0),"",$L$37-1),IF($R$17="Distrato",$E333,0)),MIN(AP$38,$D$19),$P$20))-SUM($P333:AO333)</f>
        <v>#VALUE!</v>
      </c>
      <c r="AQ333" s="446" t="e">
        <f>IF(OR($B333="",MIN(AQ$38,$D$19)&lt;MAX($P$34*($B333+IF($R$17="Distrato",$I$38-1,0)),IF(AND($L$37=0,$P$34=0),"",$L$37-1),IF($R$17="Distrato",$E333,0))),0,YEARFRAC(MAX($P$34*($B333+IF($R$17="Distrato",$I$38-1,0)),IF(AND($L$37=0,$P$34=0),"",$L$37-1),IF($R$17="Distrato",$E333,0)),MIN(AQ$38,$D$19),$P$20))-SUM($P333:AP333)</f>
        <v>#VALUE!</v>
      </c>
      <c r="AR333" s="446" t="e">
        <f>IF(OR($B333="",MIN(AR$38,$D$19)&lt;MAX($P$34*($B333+IF($R$17="Distrato",$I$38-1,0)),IF(AND($L$37=0,$P$34=0),"",$L$37-1),IF($R$17="Distrato",$E333,0))),0,YEARFRAC(MAX($P$34*($B333+IF($R$17="Distrato",$I$38-1,0)),IF(AND($L$37=0,$P$34=0),"",$L$37-1),IF($R$17="Distrato",$E333,0)),MIN(AR$38,$D$19),$P$20))-SUM($P333:AQ333)</f>
        <v>#VALUE!</v>
      </c>
      <c r="AS333" s="446" t="e">
        <f>IF(OR($B333="",MIN(AS$38,$D$19)&lt;MAX($P$34*($B333+IF($R$17="Distrato",$I$38-1,0)),IF(AND($L$37=0,$P$34=0),"",$L$37-1),IF($R$17="Distrato",$E333,0))),0,YEARFRAC(MAX($P$34*($B333+IF($R$17="Distrato",$I$38-1,0)),IF(AND($L$37=0,$P$34=0),"",$L$37-1),IF($R$17="Distrato",$E333,0)),MIN(AS$38,$D$19),$P$20))-SUM($P333:AR333)</f>
        <v>#VALUE!</v>
      </c>
      <c r="AT333" s="446" t="e">
        <f>IF(OR($B333="",MIN(AT$38,$D$19)&lt;MAX($P$34*($B333+IF($R$17="Distrato",$I$38-1,0)),IF(AND($L$37=0,$P$34=0),"",$L$37-1),IF($R$17="Distrato",$E333,0))),0,YEARFRAC(MAX($P$34*($B333+IF($R$17="Distrato",$I$38-1,0)),IF(AND($L$37=0,$P$34=0),"",$L$37-1),IF($R$17="Distrato",$E333,0)),MIN(AT$38,$D$19),$P$20))-SUM($P333:AS333)</f>
        <v>#VALUE!</v>
      </c>
      <c r="AU333" s="446" t="e">
        <f>IF(OR($B333="",MIN(AU$38,$D$19)&lt;MAX($P$34*($B333+IF($R$17="Distrato",$I$38-1,0)),IF(AND($L$37=0,$P$34=0),"",$L$37-1),IF($R$17="Distrato",$E333,0))),0,YEARFRAC(MAX($P$34*($B333+IF($R$17="Distrato",$I$38-1,0)),IF(AND($L$37=0,$P$34=0),"",$L$37-1),IF($R$17="Distrato",$E333,0)),MIN(AU$38,$D$19),$P$20))-SUM($P333:AT333)</f>
        <v>#VALUE!</v>
      </c>
      <c r="AV333" s="446" t="e">
        <f>IF(OR($B333="",MIN(AV$38,$D$19)&lt;MAX($P$34*($B333+IF($R$17="Distrato",$I$38-1,0)),IF(AND($L$37=0,$P$34=0),"",$L$37-1),IF($R$17="Distrato",$E333,0))),0,YEARFRAC(MAX($P$34*($B333+IF($R$17="Distrato",$I$38-1,0)),IF(AND($L$37=0,$P$34=0),"",$L$37-1),IF($R$17="Distrato",$E333,0)),MIN(AV$38,$D$19),$P$20))-SUM($P333:AU333)</f>
        <v>#VALUE!</v>
      </c>
      <c r="AW333" s="446" t="e">
        <f>IF(OR($B333="",MIN(AW$38,$D$19)&lt;MAX($P$34*($B333+IF($R$17="Distrato",$I$38-1,0)),IF(AND($L$37=0,$P$34=0),"",$L$37-1),IF($R$17="Distrato",$E333,0))),0,YEARFRAC(MAX($P$34*($B333+IF($R$17="Distrato",$I$38-1,0)),IF(AND($L$37=0,$P$34=0),"",$L$37-1),IF($R$17="Distrato",$E333,0)),MIN(AW$38,$D$19),$P$20))-SUM($P333:AV333)</f>
        <v>#VALUE!</v>
      </c>
      <c r="AX333" s="446" t="e">
        <f>IF(OR($B333="",MIN(AX$38,$D$19)&lt;MAX($P$34*($B333+IF($R$17="Distrato",$I$38-1,0)),IF(AND($L$37=0,$P$34=0),"",$L$37-1),IF($R$17="Distrato",$E333,0))),0,YEARFRAC(MAX($P$34*($B333+IF($R$17="Distrato",$I$38-1,0)),IF(AND($L$37=0,$P$34=0),"",$L$37-1),IF($R$17="Distrato",$E333,0)),MIN(AX$38,$D$19),$P$20))-SUM($P333:AW333)</f>
        <v>#VALUE!</v>
      </c>
      <c r="AY333" s="446" t="e">
        <f>IF(OR($B333="",MIN(AY$38,$D$19)&lt;MAX($P$34*($B333+IF($R$17="Distrato",$I$38-1,0)),IF(AND($L$37=0,$P$34=0),"",$L$37-1),IF($R$17="Distrato",$E333,0))),0,YEARFRAC(MAX($P$34*($B333+IF($R$17="Distrato",$I$38-1,0)),IF(AND($L$37=0,$P$34=0),"",$L$37-1),IF($R$17="Distrato",$E333,0)),MIN(AY$38,$D$19),$P$20))-SUM($P333:AX333)</f>
        <v>#VALUE!</v>
      </c>
      <c r="AZ333" s="446" t="e">
        <f>IF(OR($B333="",MIN(AZ$38,$D$19)&lt;MAX($P$34*($B333+IF($R$17="Distrato",$I$38-1,0)),IF(AND($L$37=0,$P$34=0),"",$L$37-1),IF($R$17="Distrato",$E333,0))),0,YEARFRAC(MAX($P$34*($B333+IF($R$17="Distrato",$I$38-1,0)),IF(AND($L$37=0,$P$34=0),"",$L$37-1),IF($R$17="Distrato",$E333,0)),MIN(AZ$38,$D$19),$P$20))-SUM($P333:AY333)</f>
        <v>#VALUE!</v>
      </c>
      <c r="BA333" s="446" t="e">
        <f>IF(OR($B333="",MIN(BA$38,$D$19)&lt;MAX($P$34*($B333+IF($R$17="Distrato",$I$38-1,0)),IF(AND($L$37=0,$P$34=0),"",$L$37-1),IF($R$17="Distrato",$E333,0))),0,YEARFRAC(MAX($P$34*($B333+IF($R$17="Distrato",$I$38-1,0)),IF(AND($L$37=0,$P$34=0),"",$L$37-1),IF($R$17="Distrato",$E333,0)),MIN(BA$38,$D$19),$P$20))-SUM($P333:AZ333)</f>
        <v>#VALUE!</v>
      </c>
      <c r="BB333" s="447"/>
      <c r="BF333" s="446">
        <f t="shared" si="54"/>
        <v>0</v>
      </c>
      <c r="BG333" s="446">
        <f>IF($E333=0,0,IF(MIN(BG$38,$E333)&lt;MAX($P$34*($B333+$I$38-1),IF(AND($L$37=0,$P$34=0),"",$L$37-1)),0,YEARFRAC(MAX($P$34*($B333+$I$38-1),IF(AND($L$37=0,$P$34=0),"",$L$37-1)),MIN(BG$38,$E333),$P$20))-SUM($BF333:BF333))</f>
        <v>0</v>
      </c>
      <c r="BH333" s="446">
        <f>IF($E333=0,0,IF(MIN(BH$38,$E333)&lt;MAX($P$34*($B333+$I$38-1),IF(AND($L$37=0,$P$34=0),"",$L$37-1)),0,YEARFRAC(MAX($P$34*($B333+$I$38-1),IF(AND($L$37=0,$P$34=0),"",$L$37-1)),MIN(BH$38,$E333),$P$20))-SUM($BF333:BG333))</f>
        <v>0</v>
      </c>
      <c r="BI333" s="446">
        <f>IF($E333=0,0,IF(MIN(BI$38,$E333)&lt;MAX($P$34*($B333+$I$38-1),IF(AND($L$37=0,$P$34=0),"",$L$37-1)),0,YEARFRAC(MAX($P$34*($B333+$I$38-1),IF(AND($L$37=0,$P$34=0),"",$L$37-1)),MIN(BI$38,$E333),$P$20))-SUM($BF333:BH333))</f>
        <v>0</v>
      </c>
      <c r="BJ333" s="446">
        <f>IF($E333=0,0,IF(MIN(BJ$38,$E333)&lt;MAX($P$34*($B333+$I$38-1),IF(AND($L$37=0,$P$34=0),"",$L$37-1)),0,YEARFRAC(MAX($P$34*($B333+$I$38-1),IF(AND($L$37=0,$P$34=0),"",$L$37-1)),MIN(BJ$38,$E333),$P$20))-SUM($BF333:BI333))</f>
        <v>0</v>
      </c>
      <c r="BK333" s="446">
        <f>IF($E333=0,0,IF(MIN(BK$38,$E333)&lt;MAX($P$34*($B333+$I$38-1),IF(AND($L$37=0,$P$34=0),"",$L$37-1)),0,YEARFRAC(MAX($P$34*($B333+$I$38-1),IF(AND($L$37=0,$P$34=0),"",$L$37-1)),MIN(BK$38,$E333),$P$20))-SUM($BF333:BJ333))</f>
        <v>0</v>
      </c>
      <c r="BL333" s="446">
        <f>IF($E333=0,0,IF(MIN(BL$38,$E333)&lt;MAX($P$34*($B333+$I$38-1),IF(AND($L$37=0,$P$34=0),"",$L$37-1)),0,YEARFRAC(MAX($P$34*($B333+$I$38-1),IF(AND($L$37=0,$P$34=0),"",$L$37-1)),MIN(BL$38,$E333),$P$20))-SUM($BF333:BK333))</f>
        <v>0</v>
      </c>
      <c r="BM333" s="446">
        <f>IF($E333=0,0,IF(MIN(BM$38,$E333)&lt;MAX($P$34*($B333+$I$38-1),IF(AND($L$37=0,$P$34=0),"",$L$37-1)),0,YEARFRAC(MAX($P$34*($B333+$I$38-1),IF(AND($L$37=0,$P$34=0),"",$L$37-1)),MIN(BM$38,$E333),$P$20))-SUM($BF333:BL333))</f>
        <v>0</v>
      </c>
      <c r="BN333" s="446">
        <f>IF($E333=0,0,IF(MIN(BN$38,$E333)&lt;MAX($P$34*($B333+$I$38-1),IF(AND($L$37=0,$P$34=0),"",$L$37-1)),0,YEARFRAC(MAX($P$34*($B333+$I$38-1),IF(AND($L$37=0,$P$34=0),"",$L$37-1)),MIN(BN$38,$E333),$P$20))-SUM($BF333:BM333))</f>
        <v>0</v>
      </c>
      <c r="BO333" s="446">
        <f>IF($E333=0,0,IF(MIN(BO$38,$E333)&lt;MAX($P$34*($B333+$I$38-1),IF(AND($L$37=0,$P$34=0),"",$L$37-1)),0,YEARFRAC(MAX($P$34*($B333+$I$38-1),IF(AND($L$37=0,$P$34=0),"",$L$37-1)),MIN(BO$38,$E333),$P$20))-SUM($BF333:BN333))</f>
        <v>0</v>
      </c>
      <c r="BP333" s="446">
        <f>IF($E333=0,0,IF(MIN(BP$38,$E333)&lt;MAX($P$34*($B333+$I$38-1),IF(AND($L$37=0,$P$34=0),"",$L$37-1)),0,YEARFRAC(MAX($P$34*($B333+$I$38-1),IF(AND($L$37=0,$P$34=0),"",$L$37-1)),MIN(BP$38,$E333),$P$20))-SUM($BF333:BO333))</f>
        <v>0</v>
      </c>
      <c r="BQ333" s="446">
        <f>IF($E333=0,0,IF(MIN(BQ$38,$E333)&lt;MAX($P$34*($B333+$I$38-1),IF(AND($L$37=0,$P$34=0),"",$L$37-1)),0,YEARFRAC(MAX($P$34*($B333+$I$38-1),IF(AND($L$37=0,$P$34=0),"",$L$37-1)),MIN(BQ$38,$E333),$P$20))-SUM($BF333:BP333))</f>
        <v>0</v>
      </c>
      <c r="BR333" s="446">
        <f>IF($E333=0,0,IF(MIN(BR$38,$E333)&lt;MAX($P$34*($B333+$I$38-1),IF(AND($L$37=0,$P$34=0),"",$L$37-1)),0,YEARFRAC(MAX($P$34*($B333+$I$38-1),IF(AND($L$37=0,$P$34=0),"",$L$37-1)),MIN(BR$38,$E333),$P$20))-SUM($BF333:BQ333))</f>
        <v>0</v>
      </c>
      <c r="BS333" s="446">
        <f>IF($E333=0,0,IF(MIN(BS$38,$E333)&lt;MAX($P$34*($B333+$I$38-1),IF(AND($L$37=0,$P$34=0),"",$L$37-1)),0,YEARFRAC(MAX($P$34*($B333+$I$38-1),IF(AND($L$37=0,$P$34=0),"",$L$37-1)),MIN(BS$38,$E333),$P$20))-SUM($BF333:BR333))</f>
        <v>0</v>
      </c>
      <c r="BT333" s="446">
        <f>IF($E333=0,0,IF(MIN(BT$38,$E333)&lt;MAX($P$34*($B333+$I$38-1),IF(AND($L$37=0,$P$34=0),"",$L$37-1)),0,YEARFRAC(MAX($P$34*($B333+$I$38-1),IF(AND($L$37=0,$P$34=0),"",$L$37-1)),MIN(BT$38,$E333),$P$20))-SUM($BF333:BS333))</f>
        <v>0</v>
      </c>
      <c r="BU333" s="446">
        <f>IF($E333=0,0,IF(MIN(BU$38,$E333)&lt;MAX($P$34*($B333+$I$38-1),IF(AND($L$37=0,$P$34=0),"",$L$37-1)),0,YEARFRAC(MAX($P$34*($B333+$I$38-1),IF(AND($L$37=0,$P$34=0),"",$L$37-1)),MIN(BU$38,$E333),$P$20))-SUM($BF333:BT333))</f>
        <v>0</v>
      </c>
      <c r="BV333" s="446">
        <f>IF($E333=0,0,IF(MIN(BV$38,$E333)&lt;MAX($P$34*($B333+$I$38-1),IF(AND($L$37=0,$P$34=0),"",$L$37-1)),0,YEARFRAC(MAX($P$34*($B333+$I$38-1),IF(AND($L$37=0,$P$34=0),"",$L$37-1)),MIN(BV$38,$E333),$P$20))-SUM($BF333:BU333))</f>
        <v>0</v>
      </c>
      <c r="BW333" s="446">
        <f>IF($E333=0,0,IF(MIN(BW$38,$E333)&lt;MAX($P$34*($B333+$I$38-1),IF(AND($L$37=0,$P$34=0),"",$L$37-1)),0,YEARFRAC(MAX($P$34*($B333+$I$38-1),IF(AND($L$37=0,$P$34=0),"",$L$37-1)),MIN(BW$38,$E333),$P$20))-SUM($BF333:BV333))</f>
        <v>0</v>
      </c>
      <c r="BX333" s="446">
        <f>IF($E333=0,0,IF(MIN(BX$38,$E333)&lt;MAX($P$34*($B333+$I$38-1),IF(AND($L$37=0,$P$34=0),"",$L$37-1)),0,YEARFRAC(MAX($P$34*($B333+$I$38-1),IF(AND($L$37=0,$P$34=0),"",$L$37-1)),MIN(BX$38,$E333),$P$20))-SUM($BF333:BW333))</f>
        <v>0</v>
      </c>
      <c r="BY333" s="446">
        <f>IF($E333=0,0,IF(MIN(BY$38,$E333)&lt;MAX($P$34*($B333+$I$38-1),IF(AND($L$37=0,$P$34=0),"",$L$37-1)),0,YEARFRAC(MAX($P$34*($B333+$I$38-1),IF(AND($L$37=0,$P$34=0),"",$L$37-1)),MIN(BY$38,$E333),$P$20))-SUM($BF333:BX333))</f>
        <v>0</v>
      </c>
      <c r="BZ333" s="446">
        <f>IF($E333=0,0,IF(MIN(BZ$38,$E333)&lt;MAX($P$34*($B333+$I$38-1),IF(AND($L$37=0,$P$34=0),"",$L$37-1)),0,YEARFRAC(MAX($P$34*($B333+$I$38-1),IF(AND($L$37=0,$P$34=0),"",$L$37-1)),MIN(BZ$38,$E333),$P$20))-SUM($BF333:BY333))</f>
        <v>0</v>
      </c>
      <c r="CA333" s="446">
        <f>IF($E333=0,0,IF(MIN(CA$38,$E333)&lt;MAX($P$34*($B333+$I$38-1),IF(AND($L$37=0,$P$34=0),"",$L$37-1)),0,YEARFRAC(MAX($P$34*($B333+$I$38-1),IF(AND($L$37=0,$P$34=0),"",$L$37-1)),MIN(CA$38,$E333),$P$20))-SUM($BF333:BZ333))</f>
        <v>0</v>
      </c>
      <c r="CB333" s="446">
        <f>IF($E333=0,0,IF(MIN(CB$38,$E333)&lt;MAX($P$34*($B333+$I$38-1),IF(AND($L$37=0,$P$34=0),"",$L$37-1)),0,YEARFRAC(MAX($P$34*($B333+$I$38-1),IF(AND($L$37=0,$P$34=0),"",$L$37-1)),MIN(CB$38,$E333),$P$20))-SUM($BF333:CA333))</f>
        <v>0</v>
      </c>
      <c r="CC333" s="446">
        <f>IF($E333=0,0,IF(MIN(CC$38,$E333)&lt;MAX($P$34*($B333+$I$38-1),IF(AND($L$37=0,$P$34=0),"",$L$37-1)),0,YEARFRAC(MAX($P$34*($B333+$I$38-1),IF(AND($L$37=0,$P$34=0),"",$L$37-1)),MIN(CC$38,$E333),$P$20))-SUM($BF333:CB333))</f>
        <v>0</v>
      </c>
      <c r="CD333" s="446">
        <f>IF($E333=0,0,IF(MIN(CD$38,$E333)&lt;MAX($P$34*($B333+$I$38-1),IF(AND($L$37=0,$P$34=0),"",$L$37-1)),0,YEARFRAC(MAX($P$34*($B333+$I$38-1),IF(AND($L$37=0,$P$34=0),"",$L$37-1)),MIN(CD$38,$E333),$P$20))-SUM($BF333:CC333))</f>
        <v>0</v>
      </c>
      <c r="CE333" s="446">
        <f>IF($E333=0,0,IF(MIN(CE$38,$E333)&lt;MAX($P$34*($B333+$I$38-1),IF(AND($L$37=0,$P$34=0),"",$L$37-1)),0,YEARFRAC(MAX($P$34*($B333+$I$38-1),IF(AND($L$37=0,$P$34=0),"",$L$37-1)),MIN(CE$38,$E333),$P$20))-SUM($BF333:CD333))</f>
        <v>0</v>
      </c>
      <c r="CF333" s="446">
        <f>IF($E333=0,0,IF(MIN(CF$38,$E333)&lt;MAX($P$34*($B333+$I$38-1),IF(AND($L$37=0,$P$34=0),"",$L$37-1)),0,YEARFRAC(MAX($P$34*($B333+$I$38-1),IF(AND($L$37=0,$P$34=0),"",$L$37-1)),MIN(CF$38,$E333),$P$20))-SUM($BF333:CE333))</f>
        <v>0</v>
      </c>
      <c r="CG333" s="446">
        <f>IF($E333=0,0,IF(MIN(CG$38,$E333)&lt;MAX($P$34*($B333+$I$38-1),IF(AND($L$37=0,$P$34=0),"",$L$37-1)),0,YEARFRAC(MAX($P$34*($B333+$I$38-1),IF(AND($L$37=0,$P$34=0),"",$L$37-1)),MIN(CG$38,$E333),$P$20))-SUM($BF333:CF333))</f>
        <v>0</v>
      </c>
      <c r="CH333" s="446">
        <f>IF($E333=0,0,IF(MIN(CH$38,$E333)&lt;MAX($P$34*($B333+$I$38-1),IF(AND($L$37=0,$P$34=0),"",$L$37-1)),0,YEARFRAC(MAX($P$34*($B333+$I$38-1),IF(AND($L$37=0,$P$34=0),"",$L$37-1)),MIN(CH$38,$E333),$P$20))-SUM($BF333:CG333))</f>
        <v>0</v>
      </c>
      <c r="CI333" s="446">
        <f>IF($E333=0,0,IF(MIN(CI$38,$E333)&lt;MAX($P$34*($B333+$I$38-1),IF(AND($L$37=0,$P$34=0),"",$L$37-1)),0,YEARFRAC(MAX($P$34*($B333+$I$38-1),IF(AND($L$37=0,$P$34=0),"",$L$37-1)),MIN(CI$38,$E333),$P$20))-SUM($BF333:CH333))</f>
        <v>0</v>
      </c>
      <c r="CJ333" s="446">
        <f>IF($E333=0,0,IF(MIN(CJ$38,$E333)&lt;MAX($P$34*($B333+$I$38-1),IF(AND($L$37=0,$P$34=0),"",$L$37-1)),0,YEARFRAC(MAX($P$34*($B333+$I$38-1),IF(AND($L$37=0,$P$34=0),"",$L$37-1)),MIN(CJ$38,$E333),$P$20))-SUM($BF333:CI333))</f>
        <v>0</v>
      </c>
      <c r="CK333" s="446">
        <f>IF($E333=0,0,IF(MIN(CK$38,$E333)&lt;MAX($P$34*($B333+$I$38-1),IF(AND($L$37=0,$P$34=0),"",$L$37-1)),0,YEARFRAC(MAX($P$34*($B333+$I$38-1),IF(AND($L$37=0,$P$34=0),"",$L$37-1)),MIN(CK$38,$E333),$P$20))-SUM($BF333:CJ333))</f>
        <v>0</v>
      </c>
      <c r="CL333" s="446">
        <f>IF($E333=0,0,IF(MIN(CL$38,$E333)&lt;MAX($P$34*($B333+$I$38-1),IF(AND($L$37=0,$P$34=0),"",$L$37-1)),0,YEARFRAC(MAX($P$34*($B333+$I$38-1),IF(AND($L$37=0,$P$34=0),"",$L$37-1)),MIN(CL$38,$E333),$P$20))-SUM($BF333:CK333))</f>
        <v>0</v>
      </c>
      <c r="CM333" s="446">
        <f>IF($E333=0,0,IF(MIN(CM$38,$E333)&lt;MAX($P$34*($B333+$I$38-1),IF(AND($L$37=0,$P$34=0),"",$L$37-1)),0,YEARFRAC(MAX($P$34*($B333+$I$38-1),IF(AND($L$37=0,$P$34=0),"",$L$37-1)),MIN(CM$38,$E333),$P$20))-SUM($BF333:CL333))</f>
        <v>0</v>
      </c>
      <c r="CN333" s="446">
        <f>IF($E333=0,0,IF(MIN(CN$38,$E333)&lt;MAX($P$34*($B333+$I$38-1),IF(AND($L$37=0,$P$34=0),"",$L$37-1)),0,YEARFRAC(MAX($P$34*($B333+$I$38-1),IF(AND($L$37=0,$P$34=0),"",$L$37-1)),MIN(CN$38,$E333),$P$20))-SUM($BF333:CM333))</f>
        <v>0</v>
      </c>
      <c r="CO333" s="446">
        <f>IF($E333=0,0,IF(MIN(CO$38,$E333)&lt;MAX($P$34*($B333+$I$38-1),IF(AND($L$37=0,$P$34=0),"",$L$37-1)),0,YEARFRAC(MAX($P$34*($B333+$I$38-1),IF(AND($L$37=0,$P$34=0),"",$L$37-1)),MIN(CO$38,$E333),$P$20))-SUM($BF333:CN333))</f>
        <v>0</v>
      </c>
      <c r="CP333" s="446">
        <f>IF($E333=0,0,IF(MIN(CP$38,$E333)&lt;MAX($P$34*($B333+$I$38-1),IF(AND($L$37=0,$P$34=0),"",$L$37-1)),0,YEARFRAC(MAX($P$34*($B333+$I$38-1),IF(AND($L$37=0,$P$34=0),"",$L$37-1)),MIN(CP$38,$E333),$P$20))-SUM($BF333:CO333))</f>
        <v>0</v>
      </c>
      <c r="CQ333" s="446">
        <f>IF($E333=0,0,IF(MIN(CQ$38,$E333)&lt;MAX($P$34*($B333+$I$38-1),IF(AND($L$37=0,$P$34=0),"",$L$37-1)),0,YEARFRAC(MAX($P$34*($B333+$I$38-1),IF(AND($L$37=0,$P$34=0),"",$L$37-1)),MIN(CQ$38,$E333),$P$20))-SUM($BF333:CP333))</f>
        <v>0</v>
      </c>
    </row>
    <row r="334" spans="1:95" s="446" customFormat="1" ht="11.25" hidden="1" customHeight="1" x14ac:dyDescent="0.2">
      <c r="A334" s="152"/>
      <c r="B334" s="153" t="str">
        <f t="shared" si="59"/>
        <v/>
      </c>
      <c r="C334" s="29" t="str">
        <f>IF(B334="","",IF($L$35="SELIC - TRIBUTOS",VLOOKUP(DATE(YEAR($D$19),MONTH($D$19)-1,1),ÍNDICES!$A:$DE,HLOOKUP($BL$25,ÍNDICES!$B$3:$T$4,2)+11)-VLOOKUP(B334,ÍNDICES!$A:$DE,HLOOKUP($BL$25,ÍNDICES!$B$3:$T$4,2)+11)+1%,IF(C$38=$W$26,$J$35,IF(ISERROR(IF(B334&gt;$D$19,1,VLOOKUP(DATE(YEAR(B334),MONTH(B334)+IF($C$35=$S$23,1,0),1),ÍNDICES!$A:$DE,$Z$35+1))),"",IF(B334&gt;$D$19,1,VLOOKUP(DATE(YEAR(B334),MONTH(B334)+IF($C$35=$S$23,1,0),1),ÍNDICES!$A:$DE,$Z$35+1))))))</f>
        <v/>
      </c>
      <c r="D334" s="154" t="str">
        <f>IF(ISERROR(IF(OR($D$38=$Y$27,$B334=""),"",VLOOKUP(B334,ÍNDICES!A:DE,AF$35+1))),"",IF(OR($D$38=$Y$27,$B334=""),"",VLOOKUP(B334,ÍNDICES!A:DE,AF$35+1)))</f>
        <v/>
      </c>
      <c r="E334" s="153"/>
      <c r="F334" s="29" t="str">
        <f>IF(E334="","",IF($L$35="SELIC - TRIBUTOS",VLOOKUP(DATE(YEAR($D$19),MONTH($D$19)-1,1),ÍNDICES!$A:$DE,HLOOKUP($BL$25,ÍNDICES!$B$3:$T$4,2)+11)-VLOOKUP(E334,ÍNDICES!$A:$DE,HLOOKUP($BL$25,ÍNDICES!$B$3:$T$4,2)+11)+1%,IF(F$38=$W$26,$J$35,IF(ISERROR(IF(E334&gt;$D$19,1,VLOOKUP(DATE(YEAR(E334),MONTH(E334)+IF($C$35=$S$23,1,0),1),ÍNDICES!$A:$DE,$Z$35+1))),"",IF(E334&gt;$D$19,1,VLOOKUP(DATE(YEAR(E334),MONTH(E334)+IF($C$35=$S$23,1,0),1),ÍNDICES!$A:$DE,$Z$35+1))))))</f>
        <v/>
      </c>
      <c r="G334" s="155"/>
      <c r="H334" s="156" t="str">
        <f t="shared" si="55"/>
        <v/>
      </c>
      <c r="I334" s="29" t="str">
        <f t="shared" si="49"/>
        <v/>
      </c>
      <c r="J334" s="5">
        <f t="shared" si="50"/>
        <v>0</v>
      </c>
      <c r="K334" s="20">
        <f t="shared" ca="1" si="51"/>
        <v>0</v>
      </c>
      <c r="L334" s="5">
        <f t="shared" ca="1" si="52"/>
        <v>0</v>
      </c>
      <c r="M334" s="64">
        <f t="shared" si="56"/>
        <v>0</v>
      </c>
      <c r="N334" s="61">
        <f t="shared" ca="1" si="57"/>
        <v>0</v>
      </c>
      <c r="O334" s="5">
        <f t="shared" ca="1" si="58"/>
        <v>0</v>
      </c>
      <c r="P334" s="446" t="e">
        <f t="shared" si="53"/>
        <v>#VALUE!</v>
      </c>
      <c r="Q334" s="446" t="e">
        <f>IF(OR($B334="",MIN(Q$38,$D$19)&lt;MAX($P$34*($B334+IF($R$17="Distrato",$I$38-1,0)),IF(AND($L$37=0,$P$34=0),"",$L$37-1),IF($R$17="Distrato",$E334,0))),0,YEARFRAC(MAX($P$34*($B334+IF($R$17="Distrato",$I$38-1,0)),IF(AND($L$37=0,$P$34=0),"",$L$37-1),IF($R$17="Distrato",$E334,0)),MIN(Q$38,$D$19),$P$20))-SUM($P334:P334)</f>
        <v>#VALUE!</v>
      </c>
      <c r="R334" s="446" t="e">
        <f>IF(OR($B334="",MIN(R$38,$D$19)&lt;MAX($P$34*($B334+IF($R$17="Distrato",$I$38-1,0)),IF(AND($L$37=0,$P$34=0),"",$L$37-1),IF($R$17="Distrato",$E334,0))),0,YEARFRAC(MAX($P$34*($B334+IF($R$17="Distrato",$I$38-1,0)),IF(AND($L$37=0,$P$34=0),"",$L$37-1),IF($R$17="Distrato",$E334,0)),MIN(R$38,$D$19),$P$20))-SUM($P334:Q334)</f>
        <v>#VALUE!</v>
      </c>
      <c r="S334" s="446" t="e">
        <f>IF(OR($B334="",MIN(S$38,$D$19)&lt;MAX($P$34*($B334+IF($R$17="Distrato",$I$38-1,0)),IF(AND($L$37=0,$P$34=0),"",$L$37-1),IF($R$17="Distrato",$E334,0))),0,YEARFRAC(MAX($P$34*($B334+IF($R$17="Distrato",$I$38-1,0)),IF(AND($L$37=0,$P$34=0),"",$L$37-1),IF($R$17="Distrato",$E334,0)),MIN(S$38,$D$19),$P$20))-SUM($P334:R334)</f>
        <v>#VALUE!</v>
      </c>
      <c r="T334" s="446" t="e">
        <f>IF(OR($B334="",MIN(T$38,$D$19)&lt;MAX($P$34*($B334+IF($R$17="Distrato",$I$38-1,0)),IF(AND($L$37=0,$P$34=0),"",$L$37-1),IF($R$17="Distrato",$E334,0))),0,YEARFRAC(MAX($P$34*($B334+IF($R$17="Distrato",$I$38-1,0)),IF(AND($L$37=0,$P$34=0),"",$L$37-1),IF($R$17="Distrato",$E334,0)),MIN(T$38,$D$19),$P$20))-SUM($P334:S334)</f>
        <v>#VALUE!</v>
      </c>
      <c r="U334" s="446" t="e">
        <f>IF(OR($B334="",MIN(U$38,$D$19)&lt;MAX($P$34*($B334+IF($R$17="Distrato",$I$38-1,0)),IF(AND($L$37=0,$P$34=0),"",$L$37-1),IF($R$17="Distrato",$E334,0))),0,YEARFRAC(MAX($P$34*($B334+IF($R$17="Distrato",$I$38-1,0)),IF(AND($L$37=0,$P$34=0),"",$L$37-1),IF($R$17="Distrato",$E334,0)),MIN(U$38,$D$19),$P$20))-SUM($P334:T334)</f>
        <v>#VALUE!</v>
      </c>
      <c r="V334" s="446" t="e">
        <f>IF(OR($B334="",MIN(V$38,$D$19)&lt;MAX($P$34*($B334+IF($R$17="Distrato",$I$38-1,0)),IF(AND($L$37=0,$P$34=0),"",$L$37-1),IF($R$17="Distrato",$E334,0))),0,YEARFRAC(MAX($P$34*($B334+IF($R$17="Distrato",$I$38-1,0)),IF(AND($L$37=0,$P$34=0),"",$L$37-1),IF($R$17="Distrato",$E334,0)),MIN(V$38,$D$19),$P$20))-SUM($P334:U334)</f>
        <v>#VALUE!</v>
      </c>
      <c r="W334" s="446" t="e">
        <f>IF(OR($B334="",MIN(W$38,$D$19)&lt;MAX($P$34*($B334+IF($R$17="Distrato",$I$38-1,0)),IF(AND($L$37=0,$P$34=0),"",$L$37-1),IF($R$17="Distrato",$E334,0))),0,YEARFRAC(MAX($P$34*($B334+IF($R$17="Distrato",$I$38-1,0)),IF(AND($L$37=0,$P$34=0),"",$L$37-1),IF($R$17="Distrato",$E334,0)),MIN(W$38,$D$19),$P$20))-SUM($P334:V334)</f>
        <v>#VALUE!</v>
      </c>
      <c r="X334" s="446" t="e">
        <f>IF(OR($B334="",MIN(X$38,$D$19)&lt;MAX($P$34*($B334+IF($R$17="Distrato",$I$38-1,0)),IF(AND($L$37=0,$P$34=0),"",$L$37-1),IF($R$17="Distrato",$E334,0))),0,YEARFRAC(MAX($P$34*($B334+IF($R$17="Distrato",$I$38-1,0)),IF(AND($L$37=0,$P$34=0),"",$L$37-1),IF($R$17="Distrato",$E334,0)),MIN(X$38,$D$19),$P$20))-SUM($P334:W334)</f>
        <v>#VALUE!</v>
      </c>
      <c r="Y334" s="446" t="e">
        <f>IF(OR($B334="",MIN(Y$38,$D$19)&lt;MAX($P$34*($B334+IF($R$17="Distrato",$I$38-1,0)),IF(AND($L$37=0,$P$34=0),"",$L$37-1),IF($R$17="Distrato",$E334,0))),0,YEARFRAC(MAX($P$34*($B334+IF($R$17="Distrato",$I$38-1,0)),IF(AND($L$37=0,$P$34=0),"",$L$37-1),IF($R$17="Distrato",$E334,0)),MIN(Y$38,$D$19),$P$20))-SUM($P334:X334)</f>
        <v>#VALUE!</v>
      </c>
      <c r="Z334" s="446" t="e">
        <f>IF(OR($B334="",MIN(Z$38,$D$19)&lt;MAX($P$34*($B334+IF($R$17="Distrato",$I$38-1,0)),IF(AND($L$37=0,$P$34=0),"",$L$37-1),IF($R$17="Distrato",$E334,0))),0,YEARFRAC(MAX($P$34*($B334+IF($R$17="Distrato",$I$38-1,0)),IF(AND($L$37=0,$P$34=0),"",$L$37-1),IF($R$17="Distrato",$E334,0)),MIN(Z$38,$D$19),$P$20))-SUM($P334:Y334)</f>
        <v>#VALUE!</v>
      </c>
      <c r="AA334" s="446" t="e">
        <f>IF(OR($B334="",MIN(AA$38,$D$19)&lt;MAX($P$34*($B334+IF($R$17="Distrato",$I$38-1,0)),IF(AND($L$37=0,$P$34=0),"",$L$37-1),IF($R$17="Distrato",$E334,0))),0,YEARFRAC(MAX($P$34*($B334+IF($R$17="Distrato",$I$38-1,0)),IF(AND($L$37=0,$P$34=0),"",$L$37-1),IF($R$17="Distrato",$E334,0)),MIN(AA$38,$D$19),$P$20))-SUM($P334:Z334)</f>
        <v>#VALUE!</v>
      </c>
      <c r="AB334" s="446" t="e">
        <f>IF(OR($B334="",MIN(AB$38,$D$19)&lt;MAX($P$34*($B334+IF($R$17="Distrato",$I$38-1,0)),IF(AND($L$37=0,$P$34=0),"",$L$37-1),IF($R$17="Distrato",$E334,0))),0,YEARFRAC(MAX($P$34*($B334+IF($R$17="Distrato",$I$38-1,0)),IF(AND($L$37=0,$P$34=0),"",$L$37-1),IF($R$17="Distrato",$E334,0)),MIN(AB$38,$D$19),$P$20))-SUM($P334:AA334)</f>
        <v>#VALUE!</v>
      </c>
      <c r="AC334" s="446" t="e">
        <f>IF(OR($B334="",MIN(AC$38,$D$19)&lt;MAX($P$34*($B334+IF($R$17="Distrato",$I$38-1,0)),IF(AND($L$37=0,$P$34=0),"",$L$37-1),IF($R$17="Distrato",$E334,0))),0,YEARFRAC(MAX($P$34*($B334+IF($R$17="Distrato",$I$38-1,0)),IF(AND($L$37=0,$P$34=0),"",$L$37-1),IF($R$17="Distrato",$E334,0)),MIN(AC$38,$D$19),$P$20))-SUM($P334:AB334)</f>
        <v>#VALUE!</v>
      </c>
      <c r="AD334" s="446" t="e">
        <f>IF(OR($B334="",MIN(AD$38,$D$19)&lt;MAX($P$34*($B334+IF($R$17="Distrato",$I$38-1,0)),IF(AND($L$37=0,$P$34=0),"",$L$37-1),IF($R$17="Distrato",$E334,0))),0,YEARFRAC(MAX($P$34*($B334+IF($R$17="Distrato",$I$38-1,0)),IF(AND($L$37=0,$P$34=0),"",$L$37-1),IF($R$17="Distrato",$E334,0)),MIN(AD$38,$D$19),$P$20))-SUM($P334:AC334)</f>
        <v>#VALUE!</v>
      </c>
      <c r="AE334" s="446" t="e">
        <f>IF(OR($B334="",MIN(AE$38,$D$19)&lt;MAX($P$34*($B334+IF($R$17="Distrato",$I$38-1,0)),IF(AND($L$37=0,$P$34=0),"",$L$37-1),IF($R$17="Distrato",$E334,0))),0,YEARFRAC(MAX($P$34*($B334+IF($R$17="Distrato",$I$38-1,0)),IF(AND($L$37=0,$P$34=0),"",$L$37-1),IF($R$17="Distrato",$E334,0)),MIN(AE$38,$D$19),$P$20))-SUM($P334:AD334)</f>
        <v>#VALUE!</v>
      </c>
      <c r="AF334" s="446" t="e">
        <f>IF(OR($B334="",MIN(AF$38,$D$19)&lt;MAX($P$34*($B334+IF($R$17="Distrato",$I$38-1,0)),IF(AND($L$37=0,$P$34=0),"",$L$37-1),IF($R$17="Distrato",$E334,0))),0,YEARFRAC(MAX($P$34*($B334+IF($R$17="Distrato",$I$38-1,0)),IF(AND($L$37=0,$P$34=0),"",$L$37-1),IF($R$17="Distrato",$E334,0)),MIN(AF$38,$D$19),$P$20))-SUM($P334:AE334)</f>
        <v>#VALUE!</v>
      </c>
      <c r="AG334" s="446" t="e">
        <f>IF(OR($B334="",MIN(AG$38,$D$19)&lt;MAX($P$34*($B334+IF($R$17="Distrato",$I$38-1,0)),IF(AND($L$37=0,$P$34=0),"",$L$37-1),IF($R$17="Distrato",$E334,0))),0,YEARFRAC(MAX($P$34*($B334+IF($R$17="Distrato",$I$38-1,0)),IF(AND($L$37=0,$P$34=0),"",$L$37-1),IF($R$17="Distrato",$E334,0)),MIN(AG$38,$D$19),$P$20))-SUM($P334:AF334)</f>
        <v>#VALUE!</v>
      </c>
      <c r="AH334" s="446" t="e">
        <f>IF(OR($B334="",MIN(AH$38,$D$19)&lt;MAX($P$34*($B334+IF($R$17="Distrato",$I$38-1,0)),IF(AND($L$37=0,$P$34=0),"",$L$37-1),IF($R$17="Distrato",$E334,0))),0,YEARFRAC(MAX($P$34*($B334+IF($R$17="Distrato",$I$38-1,0)),IF(AND($L$37=0,$P$34=0),"",$L$37-1),IF($R$17="Distrato",$E334,0)),MIN(AH$38,$D$19),$P$20))-SUM($P334:AG334)</f>
        <v>#VALUE!</v>
      </c>
      <c r="AI334" s="446" t="e">
        <f>IF(OR($B334="",MIN(AI$38,$D$19)&lt;MAX($P$34*($B334+IF($R$17="Distrato",$I$38-1,0)),IF(AND($L$37=0,$P$34=0),"",$L$37-1),IF($R$17="Distrato",$E334,0))),0,YEARFRAC(MAX($P$34*($B334+IF($R$17="Distrato",$I$38-1,0)),IF(AND($L$37=0,$P$34=0),"",$L$37-1),IF($R$17="Distrato",$E334,0)),MIN(AI$38,$D$19),$P$20))-SUM($P334:AH334)</f>
        <v>#VALUE!</v>
      </c>
      <c r="AJ334" s="446" t="e">
        <f>IF(OR($B334="",MIN(AJ$38,$D$19)&lt;MAX($P$34*($B334+IF($R$17="Distrato",$I$38-1,0)),IF(AND($L$37=0,$P$34=0),"",$L$37-1),IF($R$17="Distrato",$E334,0))),0,YEARFRAC(MAX($P$34*($B334+IF($R$17="Distrato",$I$38-1,0)),IF(AND($L$37=0,$P$34=0),"",$L$37-1),IF($R$17="Distrato",$E334,0)),MIN(AJ$38,$D$19),$P$20))-SUM($P334:AI334)</f>
        <v>#VALUE!</v>
      </c>
      <c r="AK334" s="446" t="e">
        <f>IF(OR($B334="",MIN(AK$38,$D$19)&lt;MAX($P$34*($B334+IF($R$17="Distrato",$I$38-1,0)),IF(AND($L$37=0,$P$34=0),"",$L$37-1),IF($R$17="Distrato",$E334,0))),0,YEARFRAC(MAX($P$34*($B334+IF($R$17="Distrato",$I$38-1,0)),IF(AND($L$37=0,$P$34=0),"",$L$37-1),IF($R$17="Distrato",$E334,0)),MIN(AK$38,$D$19),$P$20))-SUM($P334:AJ334)</f>
        <v>#VALUE!</v>
      </c>
      <c r="AL334" s="446" t="e">
        <f>IF(OR($B334="",MIN(AL$38,$D$19)&lt;MAX($P$34*($B334+IF($R$17="Distrato",$I$38-1,0)),IF(AND($L$37=0,$P$34=0),"",$L$37-1),IF($R$17="Distrato",$E334,0))),0,YEARFRAC(MAX($P$34*($B334+IF($R$17="Distrato",$I$38-1,0)),IF(AND($L$37=0,$P$34=0),"",$L$37-1),IF($R$17="Distrato",$E334,0)),MIN(AL$38,$D$19),$P$20))-SUM($P334:AK334)</f>
        <v>#VALUE!</v>
      </c>
      <c r="AM334" s="446" t="e">
        <f>IF(OR($B334="",MIN(AM$38,$D$19)&lt;MAX($P$34*($B334+IF($R$17="Distrato",$I$38-1,0)),IF(AND($L$37=0,$P$34=0),"",$L$37-1),IF($R$17="Distrato",$E334,0))),0,YEARFRAC(MAX($P$34*($B334+IF($R$17="Distrato",$I$38-1,0)),IF(AND($L$37=0,$P$34=0),"",$L$37-1),IF($R$17="Distrato",$E334,0)),MIN(AM$38,$D$19),$P$20))-SUM($P334:AL334)</f>
        <v>#VALUE!</v>
      </c>
      <c r="AN334" s="446" t="e">
        <f>IF(OR($B334="",MIN(AN$38,$D$19)&lt;MAX($P$34*($B334+IF($R$17="Distrato",$I$38-1,0)),IF(AND($L$37=0,$P$34=0),"",$L$37-1),IF($R$17="Distrato",$E334,0))),0,YEARFRAC(MAX($P$34*($B334+IF($R$17="Distrato",$I$38-1,0)),IF(AND($L$37=0,$P$34=0),"",$L$37-1),IF($R$17="Distrato",$E334,0)),MIN(AN$38,$D$19),$P$20))-SUM($P334:AM334)</f>
        <v>#VALUE!</v>
      </c>
      <c r="AO334" s="446" t="e">
        <f>IF(OR($B334="",MIN(AO$38,$D$19)&lt;MAX($P$34*($B334+IF($R$17="Distrato",$I$38-1,0)),IF(AND($L$37=0,$P$34=0),"",$L$37-1),IF($R$17="Distrato",$E334,0))),0,YEARFRAC(MAX($P$34*($B334+IF($R$17="Distrato",$I$38-1,0)),IF(AND($L$37=0,$P$34=0),"",$L$37-1),IF($R$17="Distrato",$E334,0)),MIN(AO$38,$D$19),$P$20))-SUM($P334:AN334)</f>
        <v>#VALUE!</v>
      </c>
      <c r="AP334" s="446" t="e">
        <f>IF(OR($B334="",MIN(AP$38,$D$19)&lt;MAX($P$34*($B334+IF($R$17="Distrato",$I$38-1,0)),IF(AND($L$37=0,$P$34=0),"",$L$37-1),IF($R$17="Distrato",$E334,0))),0,YEARFRAC(MAX($P$34*($B334+IF($R$17="Distrato",$I$38-1,0)),IF(AND($L$37=0,$P$34=0),"",$L$37-1),IF($R$17="Distrato",$E334,0)),MIN(AP$38,$D$19),$P$20))-SUM($P334:AO334)</f>
        <v>#VALUE!</v>
      </c>
      <c r="AQ334" s="446" t="e">
        <f>IF(OR($B334="",MIN(AQ$38,$D$19)&lt;MAX($P$34*($B334+IF($R$17="Distrato",$I$38-1,0)),IF(AND($L$37=0,$P$34=0),"",$L$37-1),IF($R$17="Distrato",$E334,0))),0,YEARFRAC(MAX($P$34*($B334+IF($R$17="Distrato",$I$38-1,0)),IF(AND($L$37=0,$P$34=0),"",$L$37-1),IF($R$17="Distrato",$E334,0)),MIN(AQ$38,$D$19),$P$20))-SUM($P334:AP334)</f>
        <v>#VALUE!</v>
      </c>
      <c r="AR334" s="446" t="e">
        <f>IF(OR($B334="",MIN(AR$38,$D$19)&lt;MAX($P$34*($B334+IF($R$17="Distrato",$I$38-1,0)),IF(AND($L$37=0,$P$34=0),"",$L$37-1),IF($R$17="Distrato",$E334,0))),0,YEARFRAC(MAX($P$34*($B334+IF($R$17="Distrato",$I$38-1,0)),IF(AND($L$37=0,$P$34=0),"",$L$37-1),IF($R$17="Distrato",$E334,0)),MIN(AR$38,$D$19),$P$20))-SUM($P334:AQ334)</f>
        <v>#VALUE!</v>
      </c>
      <c r="AS334" s="446" t="e">
        <f>IF(OR($B334="",MIN(AS$38,$D$19)&lt;MAX($P$34*($B334+IF($R$17="Distrato",$I$38-1,0)),IF(AND($L$37=0,$P$34=0),"",$L$37-1),IF($R$17="Distrato",$E334,0))),0,YEARFRAC(MAX($P$34*($B334+IF($R$17="Distrato",$I$38-1,0)),IF(AND($L$37=0,$P$34=0),"",$L$37-1),IF($R$17="Distrato",$E334,0)),MIN(AS$38,$D$19),$P$20))-SUM($P334:AR334)</f>
        <v>#VALUE!</v>
      </c>
      <c r="AT334" s="446" t="e">
        <f>IF(OR($B334="",MIN(AT$38,$D$19)&lt;MAX($P$34*($B334+IF($R$17="Distrato",$I$38-1,0)),IF(AND($L$37=0,$P$34=0),"",$L$37-1),IF($R$17="Distrato",$E334,0))),0,YEARFRAC(MAX($P$34*($B334+IF($R$17="Distrato",$I$38-1,0)),IF(AND($L$37=0,$P$34=0),"",$L$37-1),IF($R$17="Distrato",$E334,0)),MIN(AT$38,$D$19),$P$20))-SUM($P334:AS334)</f>
        <v>#VALUE!</v>
      </c>
      <c r="AU334" s="446" t="e">
        <f>IF(OR($B334="",MIN(AU$38,$D$19)&lt;MAX($P$34*($B334+IF($R$17="Distrato",$I$38-1,0)),IF(AND($L$37=0,$P$34=0),"",$L$37-1),IF($R$17="Distrato",$E334,0))),0,YEARFRAC(MAX($P$34*($B334+IF($R$17="Distrato",$I$38-1,0)),IF(AND($L$37=0,$P$34=0),"",$L$37-1),IF($R$17="Distrato",$E334,0)),MIN(AU$38,$D$19),$P$20))-SUM($P334:AT334)</f>
        <v>#VALUE!</v>
      </c>
      <c r="AV334" s="446" t="e">
        <f>IF(OR($B334="",MIN(AV$38,$D$19)&lt;MAX($P$34*($B334+IF($R$17="Distrato",$I$38-1,0)),IF(AND($L$37=0,$P$34=0),"",$L$37-1),IF($R$17="Distrato",$E334,0))),0,YEARFRAC(MAX($P$34*($B334+IF($R$17="Distrato",$I$38-1,0)),IF(AND($L$37=0,$P$34=0),"",$L$37-1),IF($R$17="Distrato",$E334,0)),MIN(AV$38,$D$19),$P$20))-SUM($P334:AU334)</f>
        <v>#VALUE!</v>
      </c>
      <c r="AW334" s="446" t="e">
        <f>IF(OR($B334="",MIN(AW$38,$D$19)&lt;MAX($P$34*($B334+IF($R$17="Distrato",$I$38-1,0)),IF(AND($L$37=0,$P$34=0),"",$L$37-1),IF($R$17="Distrato",$E334,0))),0,YEARFRAC(MAX($P$34*($B334+IF($R$17="Distrato",$I$38-1,0)),IF(AND($L$37=0,$P$34=0),"",$L$37-1),IF($R$17="Distrato",$E334,0)),MIN(AW$38,$D$19),$P$20))-SUM($P334:AV334)</f>
        <v>#VALUE!</v>
      </c>
      <c r="AX334" s="446" t="e">
        <f>IF(OR($B334="",MIN(AX$38,$D$19)&lt;MAX($P$34*($B334+IF($R$17="Distrato",$I$38-1,0)),IF(AND($L$37=0,$P$34=0),"",$L$37-1),IF($R$17="Distrato",$E334,0))),0,YEARFRAC(MAX($P$34*($B334+IF($R$17="Distrato",$I$38-1,0)),IF(AND($L$37=0,$P$34=0),"",$L$37-1),IF($R$17="Distrato",$E334,0)),MIN(AX$38,$D$19),$P$20))-SUM($P334:AW334)</f>
        <v>#VALUE!</v>
      </c>
      <c r="AY334" s="446" t="e">
        <f>IF(OR($B334="",MIN(AY$38,$D$19)&lt;MAX($P$34*($B334+IF($R$17="Distrato",$I$38-1,0)),IF(AND($L$37=0,$P$34=0),"",$L$37-1),IF($R$17="Distrato",$E334,0))),0,YEARFRAC(MAX($P$34*($B334+IF($R$17="Distrato",$I$38-1,0)),IF(AND($L$37=0,$P$34=0),"",$L$37-1),IF($R$17="Distrato",$E334,0)),MIN(AY$38,$D$19),$P$20))-SUM($P334:AX334)</f>
        <v>#VALUE!</v>
      </c>
      <c r="AZ334" s="446" t="e">
        <f>IF(OR($B334="",MIN(AZ$38,$D$19)&lt;MAX($P$34*($B334+IF($R$17="Distrato",$I$38-1,0)),IF(AND($L$37=0,$P$34=0),"",$L$37-1),IF($R$17="Distrato",$E334,0))),0,YEARFRAC(MAX($P$34*($B334+IF($R$17="Distrato",$I$38-1,0)),IF(AND($L$37=0,$P$34=0),"",$L$37-1),IF($R$17="Distrato",$E334,0)),MIN(AZ$38,$D$19),$P$20))-SUM($P334:AY334)</f>
        <v>#VALUE!</v>
      </c>
      <c r="BA334" s="446" t="e">
        <f>IF(OR($B334="",MIN(BA$38,$D$19)&lt;MAX($P$34*($B334+IF($R$17="Distrato",$I$38-1,0)),IF(AND($L$37=0,$P$34=0),"",$L$37-1),IF($R$17="Distrato",$E334,0))),0,YEARFRAC(MAX($P$34*($B334+IF($R$17="Distrato",$I$38-1,0)),IF(AND($L$37=0,$P$34=0),"",$L$37-1),IF($R$17="Distrato",$E334,0)),MIN(BA$38,$D$19),$P$20))-SUM($P334:AZ334)</f>
        <v>#VALUE!</v>
      </c>
      <c r="BB334" s="447"/>
      <c r="BF334" s="446">
        <f t="shared" si="54"/>
        <v>0</v>
      </c>
      <c r="BG334" s="446">
        <f>IF($E334=0,0,IF(MIN(BG$38,$E334)&lt;MAX($P$34*($B334+$I$38-1),IF(AND($L$37=0,$P$34=0),"",$L$37-1)),0,YEARFRAC(MAX($P$34*($B334+$I$38-1),IF(AND($L$37=0,$P$34=0),"",$L$37-1)),MIN(BG$38,$E334),$P$20))-SUM($BF334:BF334))</f>
        <v>0</v>
      </c>
      <c r="BH334" s="446">
        <f>IF($E334=0,0,IF(MIN(BH$38,$E334)&lt;MAX($P$34*($B334+$I$38-1),IF(AND($L$37=0,$P$34=0),"",$L$37-1)),0,YEARFRAC(MAX($P$34*($B334+$I$38-1),IF(AND($L$37=0,$P$34=0),"",$L$37-1)),MIN(BH$38,$E334),$P$20))-SUM($BF334:BG334))</f>
        <v>0</v>
      </c>
      <c r="BI334" s="446">
        <f>IF($E334=0,0,IF(MIN(BI$38,$E334)&lt;MAX($P$34*($B334+$I$38-1),IF(AND($L$37=0,$P$34=0),"",$L$37-1)),0,YEARFRAC(MAX($P$34*($B334+$I$38-1),IF(AND($L$37=0,$P$34=0),"",$L$37-1)),MIN(BI$38,$E334),$P$20))-SUM($BF334:BH334))</f>
        <v>0</v>
      </c>
      <c r="BJ334" s="446">
        <f>IF($E334=0,0,IF(MIN(BJ$38,$E334)&lt;MAX($P$34*($B334+$I$38-1),IF(AND($L$37=0,$P$34=0),"",$L$37-1)),0,YEARFRAC(MAX($P$34*($B334+$I$38-1),IF(AND($L$37=0,$P$34=0),"",$L$37-1)),MIN(BJ$38,$E334),$P$20))-SUM($BF334:BI334))</f>
        <v>0</v>
      </c>
      <c r="BK334" s="446">
        <f>IF($E334=0,0,IF(MIN(BK$38,$E334)&lt;MAX($P$34*($B334+$I$38-1),IF(AND($L$37=0,$P$34=0),"",$L$37-1)),0,YEARFRAC(MAX($P$34*($B334+$I$38-1),IF(AND($L$37=0,$P$34=0),"",$L$37-1)),MIN(BK$38,$E334),$P$20))-SUM($BF334:BJ334))</f>
        <v>0</v>
      </c>
      <c r="BL334" s="446">
        <f>IF($E334=0,0,IF(MIN(BL$38,$E334)&lt;MAX($P$34*($B334+$I$38-1),IF(AND($L$37=0,$P$34=0),"",$L$37-1)),0,YEARFRAC(MAX($P$34*($B334+$I$38-1),IF(AND($L$37=0,$P$34=0),"",$L$37-1)),MIN(BL$38,$E334),$P$20))-SUM($BF334:BK334))</f>
        <v>0</v>
      </c>
      <c r="BM334" s="446">
        <f>IF($E334=0,0,IF(MIN(BM$38,$E334)&lt;MAX($P$34*($B334+$I$38-1),IF(AND($L$37=0,$P$34=0),"",$L$37-1)),0,YEARFRAC(MAX($P$34*($B334+$I$38-1),IF(AND($L$37=0,$P$34=0),"",$L$37-1)),MIN(BM$38,$E334),$P$20))-SUM($BF334:BL334))</f>
        <v>0</v>
      </c>
      <c r="BN334" s="446">
        <f>IF($E334=0,0,IF(MIN(BN$38,$E334)&lt;MAX($P$34*($B334+$I$38-1),IF(AND($L$37=0,$P$34=0),"",$L$37-1)),0,YEARFRAC(MAX($P$34*($B334+$I$38-1),IF(AND($L$37=0,$P$34=0),"",$L$37-1)),MIN(BN$38,$E334),$P$20))-SUM($BF334:BM334))</f>
        <v>0</v>
      </c>
      <c r="BO334" s="446">
        <f>IF($E334=0,0,IF(MIN(BO$38,$E334)&lt;MAX($P$34*($B334+$I$38-1),IF(AND($L$37=0,$P$34=0),"",$L$37-1)),0,YEARFRAC(MAX($P$34*($B334+$I$38-1),IF(AND($L$37=0,$P$34=0),"",$L$37-1)),MIN(BO$38,$E334),$P$20))-SUM($BF334:BN334))</f>
        <v>0</v>
      </c>
      <c r="BP334" s="446">
        <f>IF($E334=0,0,IF(MIN(BP$38,$E334)&lt;MAX($P$34*($B334+$I$38-1),IF(AND($L$37=0,$P$34=0),"",$L$37-1)),0,YEARFRAC(MAX($P$34*($B334+$I$38-1),IF(AND($L$37=0,$P$34=0),"",$L$37-1)),MIN(BP$38,$E334),$P$20))-SUM($BF334:BO334))</f>
        <v>0</v>
      </c>
      <c r="BQ334" s="446">
        <f>IF($E334=0,0,IF(MIN(BQ$38,$E334)&lt;MAX($P$34*($B334+$I$38-1),IF(AND($L$37=0,$P$34=0),"",$L$37-1)),0,YEARFRAC(MAX($P$34*($B334+$I$38-1),IF(AND($L$37=0,$P$34=0),"",$L$37-1)),MIN(BQ$38,$E334),$P$20))-SUM($BF334:BP334))</f>
        <v>0</v>
      </c>
      <c r="BR334" s="446">
        <f>IF($E334=0,0,IF(MIN(BR$38,$E334)&lt;MAX($P$34*($B334+$I$38-1),IF(AND($L$37=0,$P$34=0),"",$L$37-1)),0,YEARFRAC(MAX($P$34*($B334+$I$38-1),IF(AND($L$37=0,$P$34=0),"",$L$37-1)),MIN(BR$38,$E334),$P$20))-SUM($BF334:BQ334))</f>
        <v>0</v>
      </c>
      <c r="BS334" s="446">
        <f>IF($E334=0,0,IF(MIN(BS$38,$E334)&lt;MAX($P$34*($B334+$I$38-1),IF(AND($L$37=0,$P$34=0),"",$L$37-1)),0,YEARFRAC(MAX($P$34*($B334+$I$38-1),IF(AND($L$37=0,$P$34=0),"",$L$37-1)),MIN(BS$38,$E334),$P$20))-SUM($BF334:BR334))</f>
        <v>0</v>
      </c>
      <c r="BT334" s="446">
        <f>IF($E334=0,0,IF(MIN(BT$38,$E334)&lt;MAX($P$34*($B334+$I$38-1),IF(AND($L$37=0,$P$34=0),"",$L$37-1)),0,YEARFRAC(MAX($P$34*($B334+$I$38-1),IF(AND($L$37=0,$P$34=0),"",$L$37-1)),MIN(BT$38,$E334),$P$20))-SUM($BF334:BS334))</f>
        <v>0</v>
      </c>
      <c r="BU334" s="446">
        <f>IF($E334=0,0,IF(MIN(BU$38,$E334)&lt;MAX($P$34*($B334+$I$38-1),IF(AND($L$37=0,$P$34=0),"",$L$37-1)),0,YEARFRAC(MAX($P$34*($B334+$I$38-1),IF(AND($L$37=0,$P$34=0),"",$L$37-1)),MIN(BU$38,$E334),$P$20))-SUM($BF334:BT334))</f>
        <v>0</v>
      </c>
      <c r="BV334" s="446">
        <f>IF($E334=0,0,IF(MIN(BV$38,$E334)&lt;MAX($P$34*($B334+$I$38-1),IF(AND($L$37=0,$P$34=0),"",$L$37-1)),0,YEARFRAC(MAX($P$34*($B334+$I$38-1),IF(AND($L$37=0,$P$34=0),"",$L$37-1)),MIN(BV$38,$E334),$P$20))-SUM($BF334:BU334))</f>
        <v>0</v>
      </c>
      <c r="BW334" s="446">
        <f>IF($E334=0,0,IF(MIN(BW$38,$E334)&lt;MAX($P$34*($B334+$I$38-1),IF(AND($L$37=0,$P$34=0),"",$L$37-1)),0,YEARFRAC(MAX($P$34*($B334+$I$38-1),IF(AND($L$37=0,$P$34=0),"",$L$37-1)),MIN(BW$38,$E334),$P$20))-SUM($BF334:BV334))</f>
        <v>0</v>
      </c>
      <c r="BX334" s="446">
        <f>IF($E334=0,0,IF(MIN(BX$38,$E334)&lt;MAX($P$34*($B334+$I$38-1),IF(AND($L$37=0,$P$34=0),"",$L$37-1)),0,YEARFRAC(MAX($P$34*($B334+$I$38-1),IF(AND($L$37=0,$P$34=0),"",$L$37-1)),MIN(BX$38,$E334),$P$20))-SUM($BF334:BW334))</f>
        <v>0</v>
      </c>
      <c r="BY334" s="446">
        <f>IF($E334=0,0,IF(MIN(BY$38,$E334)&lt;MAX($P$34*($B334+$I$38-1),IF(AND($L$37=0,$P$34=0),"",$L$37-1)),0,YEARFRAC(MAX($P$34*($B334+$I$38-1),IF(AND($L$37=0,$P$34=0),"",$L$37-1)),MIN(BY$38,$E334),$P$20))-SUM($BF334:BX334))</f>
        <v>0</v>
      </c>
      <c r="BZ334" s="446">
        <f>IF($E334=0,0,IF(MIN(BZ$38,$E334)&lt;MAX($P$34*($B334+$I$38-1),IF(AND($L$37=0,$P$34=0),"",$L$37-1)),0,YEARFRAC(MAX($P$34*($B334+$I$38-1),IF(AND($L$37=0,$P$34=0),"",$L$37-1)),MIN(BZ$38,$E334),$P$20))-SUM($BF334:BY334))</f>
        <v>0</v>
      </c>
      <c r="CA334" s="446">
        <f>IF($E334=0,0,IF(MIN(CA$38,$E334)&lt;MAX($P$34*($B334+$I$38-1),IF(AND($L$37=0,$P$34=0),"",$L$37-1)),0,YEARFRAC(MAX($P$34*($B334+$I$38-1),IF(AND($L$37=0,$P$34=0),"",$L$37-1)),MIN(CA$38,$E334),$P$20))-SUM($BF334:BZ334))</f>
        <v>0</v>
      </c>
      <c r="CB334" s="446">
        <f>IF($E334=0,0,IF(MIN(CB$38,$E334)&lt;MAX($P$34*($B334+$I$38-1),IF(AND($L$37=0,$P$34=0),"",$L$37-1)),0,YEARFRAC(MAX($P$34*($B334+$I$38-1),IF(AND($L$37=0,$P$34=0),"",$L$37-1)),MIN(CB$38,$E334),$P$20))-SUM($BF334:CA334))</f>
        <v>0</v>
      </c>
      <c r="CC334" s="446">
        <f>IF($E334=0,0,IF(MIN(CC$38,$E334)&lt;MAX($P$34*($B334+$I$38-1),IF(AND($L$37=0,$P$34=0),"",$L$37-1)),0,YEARFRAC(MAX($P$34*($B334+$I$38-1),IF(AND($L$37=0,$P$34=0),"",$L$37-1)),MIN(CC$38,$E334),$P$20))-SUM($BF334:CB334))</f>
        <v>0</v>
      </c>
      <c r="CD334" s="446">
        <f>IF($E334=0,0,IF(MIN(CD$38,$E334)&lt;MAX($P$34*($B334+$I$38-1),IF(AND($L$37=0,$P$34=0),"",$L$37-1)),0,YEARFRAC(MAX($P$34*($B334+$I$38-1),IF(AND($L$37=0,$P$34=0),"",$L$37-1)),MIN(CD$38,$E334),$P$20))-SUM($BF334:CC334))</f>
        <v>0</v>
      </c>
      <c r="CE334" s="446">
        <f>IF($E334=0,0,IF(MIN(CE$38,$E334)&lt;MAX($P$34*($B334+$I$38-1),IF(AND($L$37=0,$P$34=0),"",$L$37-1)),0,YEARFRAC(MAX($P$34*($B334+$I$38-1),IF(AND($L$37=0,$P$34=0),"",$L$37-1)),MIN(CE$38,$E334),$P$20))-SUM($BF334:CD334))</f>
        <v>0</v>
      </c>
      <c r="CF334" s="446">
        <f>IF($E334=0,0,IF(MIN(CF$38,$E334)&lt;MAX($P$34*($B334+$I$38-1),IF(AND($L$37=0,$P$34=0),"",$L$37-1)),0,YEARFRAC(MAX($P$34*($B334+$I$38-1),IF(AND($L$37=0,$P$34=0),"",$L$37-1)),MIN(CF$38,$E334),$P$20))-SUM($BF334:CE334))</f>
        <v>0</v>
      </c>
      <c r="CG334" s="446">
        <f>IF($E334=0,0,IF(MIN(CG$38,$E334)&lt;MAX($P$34*($B334+$I$38-1),IF(AND($L$37=0,$P$34=0),"",$L$37-1)),0,YEARFRAC(MAX($P$34*($B334+$I$38-1),IF(AND($L$37=0,$P$34=0),"",$L$37-1)),MIN(CG$38,$E334),$P$20))-SUM($BF334:CF334))</f>
        <v>0</v>
      </c>
      <c r="CH334" s="446">
        <f>IF($E334=0,0,IF(MIN(CH$38,$E334)&lt;MAX($P$34*($B334+$I$38-1),IF(AND($L$37=0,$P$34=0),"",$L$37-1)),0,YEARFRAC(MAX($P$34*($B334+$I$38-1),IF(AND($L$37=0,$P$34=0),"",$L$37-1)),MIN(CH$38,$E334),$P$20))-SUM($BF334:CG334))</f>
        <v>0</v>
      </c>
      <c r="CI334" s="446">
        <f>IF($E334=0,0,IF(MIN(CI$38,$E334)&lt;MAX($P$34*($B334+$I$38-1),IF(AND($L$37=0,$P$34=0),"",$L$37-1)),0,YEARFRAC(MAX($P$34*($B334+$I$38-1),IF(AND($L$37=0,$P$34=0),"",$L$37-1)),MIN(CI$38,$E334),$P$20))-SUM($BF334:CH334))</f>
        <v>0</v>
      </c>
      <c r="CJ334" s="446">
        <f>IF($E334=0,0,IF(MIN(CJ$38,$E334)&lt;MAX($P$34*($B334+$I$38-1),IF(AND($L$37=0,$P$34=0),"",$L$37-1)),0,YEARFRAC(MAX($P$34*($B334+$I$38-1),IF(AND($L$37=0,$P$34=0),"",$L$37-1)),MIN(CJ$38,$E334),$P$20))-SUM($BF334:CI334))</f>
        <v>0</v>
      </c>
      <c r="CK334" s="446">
        <f>IF($E334=0,0,IF(MIN(CK$38,$E334)&lt;MAX($P$34*($B334+$I$38-1),IF(AND($L$37=0,$P$34=0),"",$L$37-1)),0,YEARFRAC(MAX($P$34*($B334+$I$38-1),IF(AND($L$37=0,$P$34=0),"",$L$37-1)),MIN(CK$38,$E334),$P$20))-SUM($BF334:CJ334))</f>
        <v>0</v>
      </c>
      <c r="CL334" s="446">
        <f>IF($E334=0,0,IF(MIN(CL$38,$E334)&lt;MAX($P$34*($B334+$I$38-1),IF(AND($L$37=0,$P$34=0),"",$L$37-1)),0,YEARFRAC(MAX($P$34*($B334+$I$38-1),IF(AND($L$37=0,$P$34=0),"",$L$37-1)),MIN(CL$38,$E334),$P$20))-SUM($BF334:CK334))</f>
        <v>0</v>
      </c>
      <c r="CM334" s="446">
        <f>IF($E334=0,0,IF(MIN(CM$38,$E334)&lt;MAX($P$34*($B334+$I$38-1),IF(AND($L$37=0,$P$34=0),"",$L$37-1)),0,YEARFRAC(MAX($P$34*($B334+$I$38-1),IF(AND($L$37=0,$P$34=0),"",$L$37-1)),MIN(CM$38,$E334),$P$20))-SUM($BF334:CL334))</f>
        <v>0</v>
      </c>
      <c r="CN334" s="446">
        <f>IF($E334=0,0,IF(MIN(CN$38,$E334)&lt;MAX($P$34*($B334+$I$38-1),IF(AND($L$37=0,$P$34=0),"",$L$37-1)),0,YEARFRAC(MAX($P$34*($B334+$I$38-1),IF(AND($L$37=0,$P$34=0),"",$L$37-1)),MIN(CN$38,$E334),$P$20))-SUM($BF334:CM334))</f>
        <v>0</v>
      </c>
      <c r="CO334" s="446">
        <f>IF($E334=0,0,IF(MIN(CO$38,$E334)&lt;MAX($P$34*($B334+$I$38-1),IF(AND($L$37=0,$P$34=0),"",$L$37-1)),0,YEARFRAC(MAX($P$34*($B334+$I$38-1),IF(AND($L$37=0,$P$34=0),"",$L$37-1)),MIN(CO$38,$E334),$P$20))-SUM($BF334:CN334))</f>
        <v>0</v>
      </c>
      <c r="CP334" s="446">
        <f>IF($E334=0,0,IF(MIN(CP$38,$E334)&lt;MAX($P$34*($B334+$I$38-1),IF(AND($L$37=0,$P$34=0),"",$L$37-1)),0,YEARFRAC(MAX($P$34*($B334+$I$38-1),IF(AND($L$37=0,$P$34=0),"",$L$37-1)),MIN(CP$38,$E334),$P$20))-SUM($BF334:CO334))</f>
        <v>0</v>
      </c>
      <c r="CQ334" s="446">
        <f>IF($E334=0,0,IF(MIN(CQ$38,$E334)&lt;MAX($P$34*($B334+$I$38-1),IF(AND($L$37=0,$P$34=0),"",$L$37-1)),0,YEARFRAC(MAX($P$34*($B334+$I$38-1),IF(AND($L$37=0,$P$34=0),"",$L$37-1)),MIN(CQ$38,$E334),$P$20))-SUM($BF334:CP334))</f>
        <v>0</v>
      </c>
    </row>
    <row r="335" spans="1:95" s="446" customFormat="1" ht="11.25" hidden="1" customHeight="1" x14ac:dyDescent="0.2">
      <c r="A335" s="152"/>
      <c r="B335" s="153" t="str">
        <f t="shared" si="59"/>
        <v/>
      </c>
      <c r="C335" s="29" t="str">
        <f>IF(B335="","",IF($L$35="SELIC - TRIBUTOS",VLOOKUP(DATE(YEAR($D$19),MONTH($D$19)-1,1),ÍNDICES!$A:$DE,HLOOKUP($BL$25,ÍNDICES!$B$3:$T$4,2)+11)-VLOOKUP(B335,ÍNDICES!$A:$DE,HLOOKUP($BL$25,ÍNDICES!$B$3:$T$4,2)+11)+1%,IF(C$38=$W$26,$J$35,IF(ISERROR(IF(B335&gt;$D$19,1,VLOOKUP(DATE(YEAR(B335),MONTH(B335)+IF($C$35=$S$23,1,0),1),ÍNDICES!$A:$DE,$Z$35+1))),"",IF(B335&gt;$D$19,1,VLOOKUP(DATE(YEAR(B335),MONTH(B335)+IF($C$35=$S$23,1,0),1),ÍNDICES!$A:$DE,$Z$35+1))))))</f>
        <v/>
      </c>
      <c r="D335" s="154" t="str">
        <f>IF(ISERROR(IF(OR($D$38=$Y$27,$B335=""),"",VLOOKUP(B335,ÍNDICES!A:DE,AF$35+1))),"",IF(OR($D$38=$Y$27,$B335=""),"",VLOOKUP(B335,ÍNDICES!A:DE,AF$35+1)))</f>
        <v/>
      </c>
      <c r="E335" s="153"/>
      <c r="F335" s="29" t="str">
        <f>IF(E335="","",IF($L$35="SELIC - TRIBUTOS",VLOOKUP(DATE(YEAR($D$19),MONTH($D$19)-1,1),ÍNDICES!$A:$DE,HLOOKUP($BL$25,ÍNDICES!$B$3:$T$4,2)+11)-VLOOKUP(E335,ÍNDICES!$A:$DE,HLOOKUP($BL$25,ÍNDICES!$B$3:$T$4,2)+11)+1%,IF(F$38=$W$26,$J$35,IF(ISERROR(IF(E335&gt;$D$19,1,VLOOKUP(DATE(YEAR(E335),MONTH(E335)+IF($C$35=$S$23,1,0),1),ÍNDICES!$A:$DE,$Z$35+1))),"",IF(E335&gt;$D$19,1,VLOOKUP(DATE(YEAR(E335),MONTH(E335)+IF($C$35=$S$23,1,0),1),ÍNDICES!$A:$DE,$Z$35+1))))))</f>
        <v/>
      </c>
      <c r="G335" s="155"/>
      <c r="H335" s="156" t="str">
        <f t="shared" si="55"/>
        <v/>
      </c>
      <c r="I335" s="29" t="str">
        <f t="shared" si="49"/>
        <v/>
      </c>
      <c r="J335" s="5">
        <f t="shared" si="50"/>
        <v>0</v>
      </c>
      <c r="K335" s="20">
        <f t="shared" ca="1" si="51"/>
        <v>0</v>
      </c>
      <c r="L335" s="5">
        <f t="shared" ca="1" si="52"/>
        <v>0</v>
      </c>
      <c r="M335" s="64">
        <f t="shared" si="56"/>
        <v>0</v>
      </c>
      <c r="N335" s="61">
        <f t="shared" ca="1" si="57"/>
        <v>0</v>
      </c>
      <c r="O335" s="5">
        <f t="shared" ca="1" si="58"/>
        <v>0</v>
      </c>
      <c r="P335" s="446" t="e">
        <f t="shared" si="53"/>
        <v>#VALUE!</v>
      </c>
      <c r="Q335" s="446" t="e">
        <f>IF(OR($B335="",MIN(Q$38,$D$19)&lt;MAX($P$34*($B335+IF($R$17="Distrato",$I$38-1,0)),IF(AND($L$37=0,$P$34=0),"",$L$37-1),IF($R$17="Distrato",$E335,0))),0,YEARFRAC(MAX($P$34*($B335+IF($R$17="Distrato",$I$38-1,0)),IF(AND($L$37=0,$P$34=0),"",$L$37-1),IF($R$17="Distrato",$E335,0)),MIN(Q$38,$D$19),$P$20))-SUM($P335:P335)</f>
        <v>#VALUE!</v>
      </c>
      <c r="R335" s="446" t="e">
        <f>IF(OR($B335="",MIN(R$38,$D$19)&lt;MAX($P$34*($B335+IF($R$17="Distrato",$I$38-1,0)),IF(AND($L$37=0,$P$34=0),"",$L$37-1),IF($R$17="Distrato",$E335,0))),0,YEARFRAC(MAX($P$34*($B335+IF($R$17="Distrato",$I$38-1,0)),IF(AND($L$37=0,$P$34=0),"",$L$37-1),IF($R$17="Distrato",$E335,0)),MIN(R$38,$D$19),$P$20))-SUM($P335:Q335)</f>
        <v>#VALUE!</v>
      </c>
      <c r="S335" s="446" t="e">
        <f>IF(OR($B335="",MIN(S$38,$D$19)&lt;MAX($P$34*($B335+IF($R$17="Distrato",$I$38-1,0)),IF(AND($L$37=0,$P$34=0),"",$L$37-1),IF($R$17="Distrato",$E335,0))),0,YEARFRAC(MAX($P$34*($B335+IF($R$17="Distrato",$I$38-1,0)),IF(AND($L$37=0,$P$34=0),"",$L$37-1),IF($R$17="Distrato",$E335,0)),MIN(S$38,$D$19),$P$20))-SUM($P335:R335)</f>
        <v>#VALUE!</v>
      </c>
      <c r="T335" s="446" t="e">
        <f>IF(OR($B335="",MIN(T$38,$D$19)&lt;MAX($P$34*($B335+IF($R$17="Distrato",$I$38-1,0)),IF(AND($L$37=0,$P$34=0),"",$L$37-1),IF($R$17="Distrato",$E335,0))),0,YEARFRAC(MAX($P$34*($B335+IF($R$17="Distrato",$I$38-1,0)),IF(AND($L$37=0,$P$34=0),"",$L$37-1),IF($R$17="Distrato",$E335,0)),MIN(T$38,$D$19),$P$20))-SUM($P335:S335)</f>
        <v>#VALUE!</v>
      </c>
      <c r="U335" s="446" t="e">
        <f>IF(OR($B335="",MIN(U$38,$D$19)&lt;MAX($P$34*($B335+IF($R$17="Distrato",$I$38-1,0)),IF(AND($L$37=0,$P$34=0),"",$L$37-1),IF($R$17="Distrato",$E335,0))),0,YEARFRAC(MAX($P$34*($B335+IF($R$17="Distrato",$I$38-1,0)),IF(AND($L$37=0,$P$34=0),"",$L$37-1),IF($R$17="Distrato",$E335,0)),MIN(U$38,$D$19),$P$20))-SUM($P335:T335)</f>
        <v>#VALUE!</v>
      </c>
      <c r="V335" s="446" t="e">
        <f>IF(OR($B335="",MIN(V$38,$D$19)&lt;MAX($P$34*($B335+IF($R$17="Distrato",$I$38-1,0)),IF(AND($L$37=0,$P$34=0),"",$L$37-1),IF($R$17="Distrato",$E335,0))),0,YEARFRAC(MAX($P$34*($B335+IF($R$17="Distrato",$I$38-1,0)),IF(AND($L$37=0,$P$34=0),"",$L$37-1),IF($R$17="Distrato",$E335,0)),MIN(V$38,$D$19),$P$20))-SUM($P335:U335)</f>
        <v>#VALUE!</v>
      </c>
      <c r="W335" s="446" t="e">
        <f>IF(OR($B335="",MIN(W$38,$D$19)&lt;MAX($P$34*($B335+IF($R$17="Distrato",$I$38-1,0)),IF(AND($L$37=0,$P$34=0),"",$L$37-1),IF($R$17="Distrato",$E335,0))),0,YEARFRAC(MAX($P$34*($B335+IF($R$17="Distrato",$I$38-1,0)),IF(AND($L$37=0,$P$34=0),"",$L$37-1),IF($R$17="Distrato",$E335,0)),MIN(W$38,$D$19),$P$20))-SUM($P335:V335)</f>
        <v>#VALUE!</v>
      </c>
      <c r="X335" s="446" t="e">
        <f>IF(OR($B335="",MIN(X$38,$D$19)&lt;MAX($P$34*($B335+IF($R$17="Distrato",$I$38-1,0)),IF(AND($L$37=0,$P$34=0),"",$L$37-1),IF($R$17="Distrato",$E335,0))),0,YEARFRAC(MAX($P$34*($B335+IF($R$17="Distrato",$I$38-1,0)),IF(AND($L$37=0,$P$34=0),"",$L$37-1),IF($R$17="Distrato",$E335,0)),MIN(X$38,$D$19),$P$20))-SUM($P335:W335)</f>
        <v>#VALUE!</v>
      </c>
      <c r="Y335" s="446" t="e">
        <f>IF(OR($B335="",MIN(Y$38,$D$19)&lt;MAX($P$34*($B335+IF($R$17="Distrato",$I$38-1,0)),IF(AND($L$37=0,$P$34=0),"",$L$37-1),IF($R$17="Distrato",$E335,0))),0,YEARFRAC(MAX($P$34*($B335+IF($R$17="Distrato",$I$38-1,0)),IF(AND($L$37=0,$P$34=0),"",$L$37-1),IF($R$17="Distrato",$E335,0)),MIN(Y$38,$D$19),$P$20))-SUM($P335:X335)</f>
        <v>#VALUE!</v>
      </c>
      <c r="Z335" s="446" t="e">
        <f>IF(OR($B335="",MIN(Z$38,$D$19)&lt;MAX($P$34*($B335+IF($R$17="Distrato",$I$38-1,0)),IF(AND($L$37=0,$P$34=0),"",$L$37-1),IF($R$17="Distrato",$E335,0))),0,YEARFRAC(MAX($P$34*($B335+IF($R$17="Distrato",$I$38-1,0)),IF(AND($L$37=0,$P$34=0),"",$L$37-1),IF($R$17="Distrato",$E335,0)),MIN(Z$38,$D$19),$P$20))-SUM($P335:Y335)</f>
        <v>#VALUE!</v>
      </c>
      <c r="AA335" s="446" t="e">
        <f>IF(OR($B335="",MIN(AA$38,$D$19)&lt;MAX($P$34*($B335+IF($R$17="Distrato",$I$38-1,0)),IF(AND($L$37=0,$P$34=0),"",$L$37-1),IF($R$17="Distrato",$E335,0))),0,YEARFRAC(MAX($P$34*($B335+IF($R$17="Distrato",$I$38-1,0)),IF(AND($L$37=0,$P$34=0),"",$L$37-1),IF($R$17="Distrato",$E335,0)),MIN(AA$38,$D$19),$P$20))-SUM($P335:Z335)</f>
        <v>#VALUE!</v>
      </c>
      <c r="AB335" s="446" t="e">
        <f>IF(OR($B335="",MIN(AB$38,$D$19)&lt;MAX($P$34*($B335+IF($R$17="Distrato",$I$38-1,0)),IF(AND($L$37=0,$P$34=0),"",$L$37-1),IF($R$17="Distrato",$E335,0))),0,YEARFRAC(MAX($P$34*($B335+IF($R$17="Distrato",$I$38-1,0)),IF(AND($L$37=0,$P$34=0),"",$L$37-1),IF($R$17="Distrato",$E335,0)),MIN(AB$38,$D$19),$P$20))-SUM($P335:AA335)</f>
        <v>#VALUE!</v>
      </c>
      <c r="AC335" s="446" t="e">
        <f>IF(OR($B335="",MIN(AC$38,$D$19)&lt;MAX($P$34*($B335+IF($R$17="Distrato",$I$38-1,0)),IF(AND($L$37=0,$P$34=0),"",$L$37-1),IF($R$17="Distrato",$E335,0))),0,YEARFRAC(MAX($P$34*($B335+IF($R$17="Distrato",$I$38-1,0)),IF(AND($L$37=0,$P$34=0),"",$L$37-1),IF($R$17="Distrato",$E335,0)),MIN(AC$38,$D$19),$P$20))-SUM($P335:AB335)</f>
        <v>#VALUE!</v>
      </c>
      <c r="AD335" s="446" t="e">
        <f>IF(OR($B335="",MIN(AD$38,$D$19)&lt;MAX($P$34*($B335+IF($R$17="Distrato",$I$38-1,0)),IF(AND($L$37=0,$P$34=0),"",$L$37-1),IF($R$17="Distrato",$E335,0))),0,YEARFRAC(MAX($P$34*($B335+IF($R$17="Distrato",$I$38-1,0)),IF(AND($L$37=0,$P$34=0),"",$L$37-1),IF($R$17="Distrato",$E335,0)),MIN(AD$38,$D$19),$P$20))-SUM($P335:AC335)</f>
        <v>#VALUE!</v>
      </c>
      <c r="AE335" s="446" t="e">
        <f>IF(OR($B335="",MIN(AE$38,$D$19)&lt;MAX($P$34*($B335+IF($R$17="Distrato",$I$38-1,0)),IF(AND($L$37=0,$P$34=0),"",$L$37-1),IF($R$17="Distrato",$E335,0))),0,YEARFRAC(MAX($P$34*($B335+IF($R$17="Distrato",$I$38-1,0)),IF(AND($L$37=0,$P$34=0),"",$L$37-1),IF($R$17="Distrato",$E335,0)),MIN(AE$38,$D$19),$P$20))-SUM($P335:AD335)</f>
        <v>#VALUE!</v>
      </c>
      <c r="AF335" s="446" t="e">
        <f>IF(OR($B335="",MIN(AF$38,$D$19)&lt;MAX($P$34*($B335+IF($R$17="Distrato",$I$38-1,0)),IF(AND($L$37=0,$P$34=0),"",$L$37-1),IF($R$17="Distrato",$E335,0))),0,YEARFRAC(MAX($P$34*($B335+IF($R$17="Distrato",$I$38-1,0)),IF(AND($L$37=0,$P$34=0),"",$L$37-1),IF($R$17="Distrato",$E335,0)),MIN(AF$38,$D$19),$P$20))-SUM($P335:AE335)</f>
        <v>#VALUE!</v>
      </c>
      <c r="AG335" s="446" t="e">
        <f>IF(OR($B335="",MIN(AG$38,$D$19)&lt;MAX($P$34*($B335+IF($R$17="Distrato",$I$38-1,0)),IF(AND($L$37=0,$P$34=0),"",$L$37-1),IF($R$17="Distrato",$E335,0))),0,YEARFRAC(MAX($P$34*($B335+IF($R$17="Distrato",$I$38-1,0)),IF(AND($L$37=0,$P$34=0),"",$L$37-1),IF($R$17="Distrato",$E335,0)),MIN(AG$38,$D$19),$P$20))-SUM($P335:AF335)</f>
        <v>#VALUE!</v>
      </c>
      <c r="AH335" s="446" t="e">
        <f>IF(OR($B335="",MIN(AH$38,$D$19)&lt;MAX($P$34*($B335+IF($R$17="Distrato",$I$38-1,0)),IF(AND($L$37=0,$P$34=0),"",$L$37-1),IF($R$17="Distrato",$E335,0))),0,YEARFRAC(MAX($P$34*($B335+IF($R$17="Distrato",$I$38-1,0)),IF(AND($L$37=0,$P$34=0),"",$L$37-1),IF($R$17="Distrato",$E335,0)),MIN(AH$38,$D$19),$P$20))-SUM($P335:AG335)</f>
        <v>#VALUE!</v>
      </c>
      <c r="AI335" s="446" t="e">
        <f>IF(OR($B335="",MIN(AI$38,$D$19)&lt;MAX($P$34*($B335+IF($R$17="Distrato",$I$38-1,0)),IF(AND($L$37=0,$P$34=0),"",$L$37-1),IF($R$17="Distrato",$E335,0))),0,YEARFRAC(MAX($P$34*($B335+IF($R$17="Distrato",$I$38-1,0)),IF(AND($L$37=0,$P$34=0),"",$L$37-1),IF($R$17="Distrato",$E335,0)),MIN(AI$38,$D$19),$P$20))-SUM($P335:AH335)</f>
        <v>#VALUE!</v>
      </c>
      <c r="AJ335" s="446" t="e">
        <f>IF(OR($B335="",MIN(AJ$38,$D$19)&lt;MAX($P$34*($B335+IF($R$17="Distrato",$I$38-1,0)),IF(AND($L$37=0,$P$34=0),"",$L$37-1),IF($R$17="Distrato",$E335,0))),0,YEARFRAC(MAX($P$34*($B335+IF($R$17="Distrato",$I$38-1,0)),IF(AND($L$37=0,$P$34=0),"",$L$37-1),IF($R$17="Distrato",$E335,0)),MIN(AJ$38,$D$19),$P$20))-SUM($P335:AI335)</f>
        <v>#VALUE!</v>
      </c>
      <c r="AK335" s="446" t="e">
        <f>IF(OR($B335="",MIN(AK$38,$D$19)&lt;MAX($P$34*($B335+IF($R$17="Distrato",$I$38-1,0)),IF(AND($L$37=0,$P$34=0),"",$L$37-1),IF($R$17="Distrato",$E335,0))),0,YEARFRAC(MAX($P$34*($B335+IF($R$17="Distrato",$I$38-1,0)),IF(AND($L$37=0,$P$34=0),"",$L$37-1),IF($R$17="Distrato",$E335,0)),MIN(AK$38,$D$19),$P$20))-SUM($P335:AJ335)</f>
        <v>#VALUE!</v>
      </c>
      <c r="AL335" s="446" t="e">
        <f>IF(OR($B335="",MIN(AL$38,$D$19)&lt;MAX($P$34*($B335+IF($R$17="Distrato",$I$38-1,0)),IF(AND($L$37=0,$P$34=0),"",$L$37-1),IF($R$17="Distrato",$E335,0))),0,YEARFRAC(MAX($P$34*($B335+IF($R$17="Distrato",$I$38-1,0)),IF(AND($L$37=0,$P$34=0),"",$L$37-1),IF($R$17="Distrato",$E335,0)),MIN(AL$38,$D$19),$P$20))-SUM($P335:AK335)</f>
        <v>#VALUE!</v>
      </c>
      <c r="AM335" s="446" t="e">
        <f>IF(OR($B335="",MIN(AM$38,$D$19)&lt;MAX($P$34*($B335+IF($R$17="Distrato",$I$38-1,0)),IF(AND($L$37=0,$P$34=0),"",$L$37-1),IF($R$17="Distrato",$E335,0))),0,YEARFRAC(MAX($P$34*($B335+IF($R$17="Distrato",$I$38-1,0)),IF(AND($L$37=0,$P$34=0),"",$L$37-1),IF($R$17="Distrato",$E335,0)),MIN(AM$38,$D$19),$P$20))-SUM($P335:AL335)</f>
        <v>#VALUE!</v>
      </c>
      <c r="AN335" s="446" t="e">
        <f>IF(OR($B335="",MIN(AN$38,$D$19)&lt;MAX($P$34*($B335+IF($R$17="Distrato",$I$38-1,0)),IF(AND($L$37=0,$P$34=0),"",$L$37-1),IF($R$17="Distrato",$E335,0))),0,YEARFRAC(MAX($P$34*($B335+IF($R$17="Distrato",$I$38-1,0)),IF(AND($L$37=0,$P$34=0),"",$L$37-1),IF($R$17="Distrato",$E335,0)),MIN(AN$38,$D$19),$P$20))-SUM($P335:AM335)</f>
        <v>#VALUE!</v>
      </c>
      <c r="AO335" s="446" t="e">
        <f>IF(OR($B335="",MIN(AO$38,$D$19)&lt;MAX($P$34*($B335+IF($R$17="Distrato",$I$38-1,0)),IF(AND($L$37=0,$P$34=0),"",$L$37-1),IF($R$17="Distrato",$E335,0))),0,YEARFRAC(MAX($P$34*($B335+IF($R$17="Distrato",$I$38-1,0)),IF(AND($L$37=0,$P$34=0),"",$L$37-1),IF($R$17="Distrato",$E335,0)),MIN(AO$38,$D$19),$P$20))-SUM($P335:AN335)</f>
        <v>#VALUE!</v>
      </c>
      <c r="AP335" s="446" t="e">
        <f>IF(OR($B335="",MIN(AP$38,$D$19)&lt;MAX($P$34*($B335+IF($R$17="Distrato",$I$38-1,0)),IF(AND($L$37=0,$P$34=0),"",$L$37-1),IF($R$17="Distrato",$E335,0))),0,YEARFRAC(MAX($P$34*($B335+IF($R$17="Distrato",$I$38-1,0)),IF(AND($L$37=0,$P$34=0),"",$L$37-1),IF($R$17="Distrato",$E335,0)),MIN(AP$38,$D$19),$P$20))-SUM($P335:AO335)</f>
        <v>#VALUE!</v>
      </c>
      <c r="AQ335" s="446" t="e">
        <f>IF(OR($B335="",MIN(AQ$38,$D$19)&lt;MAX($P$34*($B335+IF($R$17="Distrato",$I$38-1,0)),IF(AND($L$37=0,$P$34=0),"",$L$37-1),IF($R$17="Distrato",$E335,0))),0,YEARFRAC(MAX($P$34*($B335+IF($R$17="Distrato",$I$38-1,0)),IF(AND($L$37=0,$P$34=0),"",$L$37-1),IF($R$17="Distrato",$E335,0)),MIN(AQ$38,$D$19),$P$20))-SUM($P335:AP335)</f>
        <v>#VALUE!</v>
      </c>
      <c r="AR335" s="446" t="e">
        <f>IF(OR($B335="",MIN(AR$38,$D$19)&lt;MAX($P$34*($B335+IF($R$17="Distrato",$I$38-1,0)),IF(AND($L$37=0,$P$34=0),"",$L$37-1),IF($R$17="Distrato",$E335,0))),0,YEARFRAC(MAX($P$34*($B335+IF($R$17="Distrato",$I$38-1,0)),IF(AND($L$37=0,$P$34=0),"",$L$37-1),IF($R$17="Distrato",$E335,0)),MIN(AR$38,$D$19),$P$20))-SUM($P335:AQ335)</f>
        <v>#VALUE!</v>
      </c>
      <c r="AS335" s="446" t="e">
        <f>IF(OR($B335="",MIN(AS$38,$D$19)&lt;MAX($P$34*($B335+IF($R$17="Distrato",$I$38-1,0)),IF(AND($L$37=0,$P$34=0),"",$L$37-1),IF($R$17="Distrato",$E335,0))),0,YEARFRAC(MAX($P$34*($B335+IF($R$17="Distrato",$I$38-1,0)),IF(AND($L$37=0,$P$34=0),"",$L$37-1),IF($R$17="Distrato",$E335,0)),MIN(AS$38,$D$19),$P$20))-SUM($P335:AR335)</f>
        <v>#VALUE!</v>
      </c>
      <c r="AT335" s="446" t="e">
        <f>IF(OR($B335="",MIN(AT$38,$D$19)&lt;MAX($P$34*($B335+IF($R$17="Distrato",$I$38-1,0)),IF(AND($L$37=0,$P$34=0),"",$L$37-1),IF($R$17="Distrato",$E335,0))),0,YEARFRAC(MAX($P$34*($B335+IF($R$17="Distrato",$I$38-1,0)),IF(AND($L$37=0,$P$34=0),"",$L$37-1),IF($R$17="Distrato",$E335,0)),MIN(AT$38,$D$19),$P$20))-SUM($P335:AS335)</f>
        <v>#VALUE!</v>
      </c>
      <c r="AU335" s="446" t="e">
        <f>IF(OR($B335="",MIN(AU$38,$D$19)&lt;MAX($P$34*($B335+IF($R$17="Distrato",$I$38-1,0)),IF(AND($L$37=0,$P$34=0),"",$L$37-1),IF($R$17="Distrato",$E335,0))),0,YEARFRAC(MAX($P$34*($B335+IF($R$17="Distrato",$I$38-1,0)),IF(AND($L$37=0,$P$34=0),"",$L$37-1),IF($R$17="Distrato",$E335,0)),MIN(AU$38,$D$19),$P$20))-SUM($P335:AT335)</f>
        <v>#VALUE!</v>
      </c>
      <c r="AV335" s="446" t="e">
        <f>IF(OR($B335="",MIN(AV$38,$D$19)&lt;MAX($P$34*($B335+IF($R$17="Distrato",$I$38-1,0)),IF(AND($L$37=0,$P$34=0),"",$L$37-1),IF($R$17="Distrato",$E335,0))),0,YEARFRAC(MAX($P$34*($B335+IF($R$17="Distrato",$I$38-1,0)),IF(AND($L$37=0,$P$34=0),"",$L$37-1),IF($R$17="Distrato",$E335,0)),MIN(AV$38,$D$19),$P$20))-SUM($P335:AU335)</f>
        <v>#VALUE!</v>
      </c>
      <c r="AW335" s="446" t="e">
        <f>IF(OR($B335="",MIN(AW$38,$D$19)&lt;MAX($P$34*($B335+IF($R$17="Distrato",$I$38-1,0)),IF(AND($L$37=0,$P$34=0),"",$L$37-1),IF($R$17="Distrato",$E335,0))),0,YEARFRAC(MAX($P$34*($B335+IF($R$17="Distrato",$I$38-1,0)),IF(AND($L$37=0,$P$34=0),"",$L$37-1),IF($R$17="Distrato",$E335,0)),MIN(AW$38,$D$19),$P$20))-SUM($P335:AV335)</f>
        <v>#VALUE!</v>
      </c>
      <c r="AX335" s="446" t="e">
        <f>IF(OR($B335="",MIN(AX$38,$D$19)&lt;MAX($P$34*($B335+IF($R$17="Distrato",$I$38-1,0)),IF(AND($L$37=0,$P$34=0),"",$L$37-1),IF($R$17="Distrato",$E335,0))),0,YEARFRAC(MAX($P$34*($B335+IF($R$17="Distrato",$I$38-1,0)),IF(AND($L$37=0,$P$34=0),"",$L$37-1),IF($R$17="Distrato",$E335,0)),MIN(AX$38,$D$19),$P$20))-SUM($P335:AW335)</f>
        <v>#VALUE!</v>
      </c>
      <c r="AY335" s="446" t="e">
        <f>IF(OR($B335="",MIN(AY$38,$D$19)&lt;MAX($P$34*($B335+IF($R$17="Distrato",$I$38-1,0)),IF(AND($L$37=0,$P$34=0),"",$L$37-1),IF($R$17="Distrato",$E335,0))),0,YEARFRAC(MAX($P$34*($B335+IF($R$17="Distrato",$I$38-1,0)),IF(AND($L$37=0,$P$34=0),"",$L$37-1),IF($R$17="Distrato",$E335,0)),MIN(AY$38,$D$19),$P$20))-SUM($P335:AX335)</f>
        <v>#VALUE!</v>
      </c>
      <c r="AZ335" s="446" t="e">
        <f>IF(OR($B335="",MIN(AZ$38,$D$19)&lt;MAX($P$34*($B335+IF($R$17="Distrato",$I$38-1,0)),IF(AND($L$37=0,$P$34=0),"",$L$37-1),IF($R$17="Distrato",$E335,0))),0,YEARFRAC(MAX($P$34*($B335+IF($R$17="Distrato",$I$38-1,0)),IF(AND($L$37=0,$P$34=0),"",$L$37-1),IF($R$17="Distrato",$E335,0)),MIN(AZ$38,$D$19),$P$20))-SUM($P335:AY335)</f>
        <v>#VALUE!</v>
      </c>
      <c r="BA335" s="446" t="e">
        <f>IF(OR($B335="",MIN(BA$38,$D$19)&lt;MAX($P$34*($B335+IF($R$17="Distrato",$I$38-1,0)),IF(AND($L$37=0,$P$34=0),"",$L$37-1),IF($R$17="Distrato",$E335,0))),0,YEARFRAC(MAX($P$34*($B335+IF($R$17="Distrato",$I$38-1,0)),IF(AND($L$37=0,$P$34=0),"",$L$37-1),IF($R$17="Distrato",$E335,0)),MIN(BA$38,$D$19),$P$20))-SUM($P335:AZ335)</f>
        <v>#VALUE!</v>
      </c>
      <c r="BB335" s="447"/>
      <c r="BF335" s="446">
        <f t="shared" si="54"/>
        <v>0</v>
      </c>
      <c r="BG335" s="446">
        <f>IF($E335=0,0,IF(MIN(BG$38,$E335)&lt;MAX($P$34*($B335+$I$38-1),IF(AND($L$37=0,$P$34=0),"",$L$37-1)),0,YEARFRAC(MAX($P$34*($B335+$I$38-1),IF(AND($L$37=0,$P$34=0),"",$L$37-1)),MIN(BG$38,$E335),$P$20))-SUM($BF335:BF335))</f>
        <v>0</v>
      </c>
      <c r="BH335" s="446">
        <f>IF($E335=0,0,IF(MIN(BH$38,$E335)&lt;MAX($P$34*($B335+$I$38-1),IF(AND($L$37=0,$P$34=0),"",$L$37-1)),0,YEARFRAC(MAX($P$34*($B335+$I$38-1),IF(AND($L$37=0,$P$34=0),"",$L$37-1)),MIN(BH$38,$E335),$P$20))-SUM($BF335:BG335))</f>
        <v>0</v>
      </c>
      <c r="BI335" s="446">
        <f>IF($E335=0,0,IF(MIN(BI$38,$E335)&lt;MAX($P$34*($B335+$I$38-1),IF(AND($L$37=0,$P$34=0),"",$L$37-1)),0,YEARFRAC(MAX($P$34*($B335+$I$38-1),IF(AND($L$37=0,$P$34=0),"",$L$37-1)),MIN(BI$38,$E335),$P$20))-SUM($BF335:BH335))</f>
        <v>0</v>
      </c>
      <c r="BJ335" s="446">
        <f>IF($E335=0,0,IF(MIN(BJ$38,$E335)&lt;MAX($P$34*($B335+$I$38-1),IF(AND($L$37=0,$P$34=0),"",$L$37-1)),0,YEARFRAC(MAX($P$34*($B335+$I$38-1),IF(AND($L$37=0,$P$34=0),"",$L$37-1)),MIN(BJ$38,$E335),$P$20))-SUM($BF335:BI335))</f>
        <v>0</v>
      </c>
      <c r="BK335" s="446">
        <f>IF($E335=0,0,IF(MIN(BK$38,$E335)&lt;MAX($P$34*($B335+$I$38-1),IF(AND($L$37=0,$P$34=0),"",$L$37-1)),0,YEARFRAC(MAX($P$34*($B335+$I$38-1),IF(AND($L$37=0,$P$34=0),"",$L$37-1)),MIN(BK$38,$E335),$P$20))-SUM($BF335:BJ335))</f>
        <v>0</v>
      </c>
      <c r="BL335" s="446">
        <f>IF($E335=0,0,IF(MIN(BL$38,$E335)&lt;MAX($P$34*($B335+$I$38-1),IF(AND($L$37=0,$P$34=0),"",$L$37-1)),0,YEARFRAC(MAX($P$34*($B335+$I$38-1),IF(AND($L$37=0,$P$34=0),"",$L$37-1)),MIN(BL$38,$E335),$P$20))-SUM($BF335:BK335))</f>
        <v>0</v>
      </c>
      <c r="BM335" s="446">
        <f>IF($E335=0,0,IF(MIN(BM$38,$E335)&lt;MAX($P$34*($B335+$I$38-1),IF(AND($L$37=0,$P$34=0),"",$L$37-1)),0,YEARFRAC(MAX($P$34*($B335+$I$38-1),IF(AND($L$37=0,$P$34=0),"",$L$37-1)),MIN(BM$38,$E335),$P$20))-SUM($BF335:BL335))</f>
        <v>0</v>
      </c>
      <c r="BN335" s="446">
        <f>IF($E335=0,0,IF(MIN(BN$38,$E335)&lt;MAX($P$34*($B335+$I$38-1),IF(AND($L$37=0,$P$34=0),"",$L$37-1)),0,YEARFRAC(MAX($P$34*($B335+$I$38-1),IF(AND($L$37=0,$P$34=0),"",$L$37-1)),MIN(BN$38,$E335),$P$20))-SUM($BF335:BM335))</f>
        <v>0</v>
      </c>
      <c r="BO335" s="446">
        <f>IF($E335=0,0,IF(MIN(BO$38,$E335)&lt;MAX($P$34*($B335+$I$38-1),IF(AND($L$37=0,$P$34=0),"",$L$37-1)),0,YEARFRAC(MAX($P$34*($B335+$I$38-1),IF(AND($L$37=0,$P$34=0),"",$L$37-1)),MIN(BO$38,$E335),$P$20))-SUM($BF335:BN335))</f>
        <v>0</v>
      </c>
      <c r="BP335" s="446">
        <f>IF($E335=0,0,IF(MIN(BP$38,$E335)&lt;MAX($P$34*($B335+$I$38-1),IF(AND($L$37=0,$P$34=0),"",$L$37-1)),0,YEARFRAC(MAX($P$34*($B335+$I$38-1),IF(AND($L$37=0,$P$34=0),"",$L$37-1)),MIN(BP$38,$E335),$P$20))-SUM($BF335:BO335))</f>
        <v>0</v>
      </c>
      <c r="BQ335" s="446">
        <f>IF($E335=0,0,IF(MIN(BQ$38,$E335)&lt;MAX($P$34*($B335+$I$38-1),IF(AND($L$37=0,$P$34=0),"",$L$37-1)),0,YEARFRAC(MAX($P$34*($B335+$I$38-1),IF(AND($L$37=0,$P$34=0),"",$L$37-1)),MIN(BQ$38,$E335),$P$20))-SUM($BF335:BP335))</f>
        <v>0</v>
      </c>
      <c r="BR335" s="446">
        <f>IF($E335=0,0,IF(MIN(BR$38,$E335)&lt;MAX($P$34*($B335+$I$38-1),IF(AND($L$37=0,$P$34=0),"",$L$37-1)),0,YEARFRAC(MAX($P$34*($B335+$I$38-1),IF(AND($L$37=0,$P$34=0),"",$L$37-1)),MIN(BR$38,$E335),$P$20))-SUM($BF335:BQ335))</f>
        <v>0</v>
      </c>
      <c r="BS335" s="446">
        <f>IF($E335=0,0,IF(MIN(BS$38,$E335)&lt;MAX($P$34*($B335+$I$38-1),IF(AND($L$37=0,$P$34=0),"",$L$37-1)),0,YEARFRAC(MAX($P$34*($B335+$I$38-1),IF(AND($L$37=0,$P$34=0),"",$L$37-1)),MIN(BS$38,$E335),$P$20))-SUM($BF335:BR335))</f>
        <v>0</v>
      </c>
      <c r="BT335" s="446">
        <f>IF($E335=0,0,IF(MIN(BT$38,$E335)&lt;MAX($P$34*($B335+$I$38-1),IF(AND($L$37=0,$P$34=0),"",$L$37-1)),0,YEARFRAC(MAX($P$34*($B335+$I$38-1),IF(AND($L$37=0,$P$34=0),"",$L$37-1)),MIN(BT$38,$E335),$P$20))-SUM($BF335:BS335))</f>
        <v>0</v>
      </c>
      <c r="BU335" s="446">
        <f>IF($E335=0,0,IF(MIN(BU$38,$E335)&lt;MAX($P$34*($B335+$I$38-1),IF(AND($L$37=0,$P$34=0),"",$L$37-1)),0,YEARFRAC(MAX($P$34*($B335+$I$38-1),IF(AND($L$37=0,$P$34=0),"",$L$37-1)),MIN(BU$38,$E335),$P$20))-SUM($BF335:BT335))</f>
        <v>0</v>
      </c>
      <c r="BV335" s="446">
        <f>IF($E335=0,0,IF(MIN(BV$38,$E335)&lt;MAX($P$34*($B335+$I$38-1),IF(AND($L$37=0,$P$34=0),"",$L$37-1)),0,YEARFRAC(MAX($P$34*($B335+$I$38-1),IF(AND($L$37=0,$P$34=0),"",$L$37-1)),MIN(BV$38,$E335),$P$20))-SUM($BF335:BU335))</f>
        <v>0</v>
      </c>
      <c r="BW335" s="446">
        <f>IF($E335=0,0,IF(MIN(BW$38,$E335)&lt;MAX($P$34*($B335+$I$38-1),IF(AND($L$37=0,$P$34=0),"",$L$37-1)),0,YEARFRAC(MAX($P$34*($B335+$I$38-1),IF(AND($L$37=0,$P$34=0),"",$L$37-1)),MIN(BW$38,$E335),$P$20))-SUM($BF335:BV335))</f>
        <v>0</v>
      </c>
      <c r="BX335" s="446">
        <f>IF($E335=0,0,IF(MIN(BX$38,$E335)&lt;MAX($P$34*($B335+$I$38-1),IF(AND($L$37=0,$P$34=0),"",$L$37-1)),0,YEARFRAC(MAX($P$34*($B335+$I$38-1),IF(AND($L$37=0,$P$34=0),"",$L$37-1)),MIN(BX$38,$E335),$P$20))-SUM($BF335:BW335))</f>
        <v>0</v>
      </c>
      <c r="BY335" s="446">
        <f>IF($E335=0,0,IF(MIN(BY$38,$E335)&lt;MAX($P$34*($B335+$I$38-1),IF(AND($L$37=0,$P$34=0),"",$L$37-1)),0,YEARFRAC(MAX($P$34*($B335+$I$38-1),IF(AND($L$37=0,$P$34=0),"",$L$37-1)),MIN(BY$38,$E335),$P$20))-SUM($BF335:BX335))</f>
        <v>0</v>
      </c>
      <c r="BZ335" s="446">
        <f>IF($E335=0,0,IF(MIN(BZ$38,$E335)&lt;MAX($P$34*($B335+$I$38-1),IF(AND($L$37=0,$P$34=0),"",$L$37-1)),0,YEARFRAC(MAX($P$34*($B335+$I$38-1),IF(AND($L$37=0,$P$34=0),"",$L$37-1)),MIN(BZ$38,$E335),$P$20))-SUM($BF335:BY335))</f>
        <v>0</v>
      </c>
      <c r="CA335" s="446">
        <f>IF($E335=0,0,IF(MIN(CA$38,$E335)&lt;MAX($P$34*($B335+$I$38-1),IF(AND($L$37=0,$P$34=0),"",$L$37-1)),0,YEARFRAC(MAX($P$34*($B335+$I$38-1),IF(AND($L$37=0,$P$34=0),"",$L$37-1)),MIN(CA$38,$E335),$P$20))-SUM($BF335:BZ335))</f>
        <v>0</v>
      </c>
      <c r="CB335" s="446">
        <f>IF($E335=0,0,IF(MIN(CB$38,$E335)&lt;MAX($P$34*($B335+$I$38-1),IF(AND($L$37=0,$P$34=0),"",$L$37-1)),0,YEARFRAC(MAX($P$34*($B335+$I$38-1),IF(AND($L$37=0,$P$34=0),"",$L$37-1)),MIN(CB$38,$E335),$P$20))-SUM($BF335:CA335))</f>
        <v>0</v>
      </c>
      <c r="CC335" s="446">
        <f>IF($E335=0,0,IF(MIN(CC$38,$E335)&lt;MAX($P$34*($B335+$I$38-1),IF(AND($L$37=0,$P$34=0),"",$L$37-1)),0,YEARFRAC(MAX($P$34*($B335+$I$38-1),IF(AND($L$37=0,$P$34=0),"",$L$37-1)),MIN(CC$38,$E335),$P$20))-SUM($BF335:CB335))</f>
        <v>0</v>
      </c>
      <c r="CD335" s="446">
        <f>IF($E335=0,0,IF(MIN(CD$38,$E335)&lt;MAX($P$34*($B335+$I$38-1),IF(AND($L$37=0,$P$34=0),"",$L$37-1)),0,YEARFRAC(MAX($P$34*($B335+$I$38-1),IF(AND($L$37=0,$P$34=0),"",$L$37-1)),MIN(CD$38,$E335),$P$20))-SUM($BF335:CC335))</f>
        <v>0</v>
      </c>
      <c r="CE335" s="446">
        <f>IF($E335=0,0,IF(MIN(CE$38,$E335)&lt;MAX($P$34*($B335+$I$38-1),IF(AND($L$37=0,$P$34=0),"",$L$37-1)),0,YEARFRAC(MAX($P$34*($B335+$I$38-1),IF(AND($L$37=0,$P$34=0),"",$L$37-1)),MIN(CE$38,$E335),$P$20))-SUM($BF335:CD335))</f>
        <v>0</v>
      </c>
      <c r="CF335" s="446">
        <f>IF($E335=0,0,IF(MIN(CF$38,$E335)&lt;MAX($P$34*($B335+$I$38-1),IF(AND($L$37=0,$P$34=0),"",$L$37-1)),0,YEARFRAC(MAX($P$34*($B335+$I$38-1),IF(AND($L$37=0,$P$34=0),"",$L$37-1)),MIN(CF$38,$E335),$P$20))-SUM($BF335:CE335))</f>
        <v>0</v>
      </c>
      <c r="CG335" s="446">
        <f>IF($E335=0,0,IF(MIN(CG$38,$E335)&lt;MAX($P$34*($B335+$I$38-1),IF(AND($L$37=0,$P$34=0),"",$L$37-1)),0,YEARFRAC(MAX($P$34*($B335+$I$38-1),IF(AND($L$37=0,$P$34=0),"",$L$37-1)),MIN(CG$38,$E335),$P$20))-SUM($BF335:CF335))</f>
        <v>0</v>
      </c>
      <c r="CH335" s="446">
        <f>IF($E335=0,0,IF(MIN(CH$38,$E335)&lt;MAX($P$34*($B335+$I$38-1),IF(AND($L$37=0,$P$34=0),"",$L$37-1)),0,YEARFRAC(MAX($P$34*($B335+$I$38-1),IF(AND($L$37=0,$P$34=0),"",$L$37-1)),MIN(CH$38,$E335),$P$20))-SUM($BF335:CG335))</f>
        <v>0</v>
      </c>
      <c r="CI335" s="446">
        <f>IF($E335=0,0,IF(MIN(CI$38,$E335)&lt;MAX($P$34*($B335+$I$38-1),IF(AND($L$37=0,$P$34=0),"",$L$37-1)),0,YEARFRAC(MAX($P$34*($B335+$I$38-1),IF(AND($L$37=0,$P$34=0),"",$L$37-1)),MIN(CI$38,$E335),$P$20))-SUM($BF335:CH335))</f>
        <v>0</v>
      </c>
      <c r="CJ335" s="446">
        <f>IF($E335=0,0,IF(MIN(CJ$38,$E335)&lt;MAX($P$34*($B335+$I$38-1),IF(AND($L$37=0,$P$34=0),"",$L$37-1)),0,YEARFRAC(MAX($P$34*($B335+$I$38-1),IF(AND($L$37=0,$P$34=0),"",$L$37-1)),MIN(CJ$38,$E335),$P$20))-SUM($BF335:CI335))</f>
        <v>0</v>
      </c>
      <c r="CK335" s="446">
        <f>IF($E335=0,0,IF(MIN(CK$38,$E335)&lt;MAX($P$34*($B335+$I$38-1),IF(AND($L$37=0,$P$34=0),"",$L$37-1)),0,YEARFRAC(MAX($P$34*($B335+$I$38-1),IF(AND($L$37=0,$P$34=0),"",$L$37-1)),MIN(CK$38,$E335),$P$20))-SUM($BF335:CJ335))</f>
        <v>0</v>
      </c>
      <c r="CL335" s="446">
        <f>IF($E335=0,0,IF(MIN(CL$38,$E335)&lt;MAX($P$34*($B335+$I$38-1),IF(AND($L$37=0,$P$34=0),"",$L$37-1)),0,YEARFRAC(MAX($P$34*($B335+$I$38-1),IF(AND($L$37=0,$P$34=0),"",$L$37-1)),MIN(CL$38,$E335),$P$20))-SUM($BF335:CK335))</f>
        <v>0</v>
      </c>
      <c r="CM335" s="446">
        <f>IF($E335=0,0,IF(MIN(CM$38,$E335)&lt;MAX($P$34*($B335+$I$38-1),IF(AND($L$37=0,$P$34=0),"",$L$37-1)),0,YEARFRAC(MAX($P$34*($B335+$I$38-1),IF(AND($L$37=0,$P$34=0),"",$L$37-1)),MIN(CM$38,$E335),$P$20))-SUM($BF335:CL335))</f>
        <v>0</v>
      </c>
      <c r="CN335" s="446">
        <f>IF($E335=0,0,IF(MIN(CN$38,$E335)&lt;MAX($P$34*($B335+$I$38-1),IF(AND($L$37=0,$P$34=0),"",$L$37-1)),0,YEARFRAC(MAX($P$34*($B335+$I$38-1),IF(AND($L$37=0,$P$34=0),"",$L$37-1)),MIN(CN$38,$E335),$P$20))-SUM($BF335:CM335))</f>
        <v>0</v>
      </c>
      <c r="CO335" s="446">
        <f>IF($E335=0,0,IF(MIN(CO$38,$E335)&lt;MAX($P$34*($B335+$I$38-1),IF(AND($L$37=0,$P$34=0),"",$L$37-1)),0,YEARFRAC(MAX($P$34*($B335+$I$38-1),IF(AND($L$37=0,$P$34=0),"",$L$37-1)),MIN(CO$38,$E335),$P$20))-SUM($BF335:CN335))</f>
        <v>0</v>
      </c>
      <c r="CP335" s="446">
        <f>IF($E335=0,0,IF(MIN(CP$38,$E335)&lt;MAX($P$34*($B335+$I$38-1),IF(AND($L$37=0,$P$34=0),"",$L$37-1)),0,YEARFRAC(MAX($P$34*($B335+$I$38-1),IF(AND($L$37=0,$P$34=0),"",$L$37-1)),MIN(CP$38,$E335),$P$20))-SUM($BF335:CO335))</f>
        <v>0</v>
      </c>
      <c r="CQ335" s="446">
        <f>IF($E335=0,0,IF(MIN(CQ$38,$E335)&lt;MAX($P$34*($B335+$I$38-1),IF(AND($L$37=0,$P$34=0),"",$L$37-1)),0,YEARFRAC(MAX($P$34*($B335+$I$38-1),IF(AND($L$37=0,$P$34=0),"",$L$37-1)),MIN(CQ$38,$E335),$P$20))-SUM($BF335:CP335))</f>
        <v>0</v>
      </c>
    </row>
    <row r="336" spans="1:95" s="446" customFormat="1" ht="11.25" hidden="1" customHeight="1" x14ac:dyDescent="0.2">
      <c r="A336" s="152"/>
      <c r="B336" s="153" t="str">
        <f t="shared" si="59"/>
        <v/>
      </c>
      <c r="C336" s="29" t="str">
        <f>IF(B336="","",IF($L$35="SELIC - TRIBUTOS",VLOOKUP(DATE(YEAR($D$19),MONTH($D$19)-1,1),ÍNDICES!$A:$DE,HLOOKUP($BL$25,ÍNDICES!$B$3:$T$4,2)+11)-VLOOKUP(B336,ÍNDICES!$A:$DE,HLOOKUP($BL$25,ÍNDICES!$B$3:$T$4,2)+11)+1%,IF(C$38=$W$26,$J$35,IF(ISERROR(IF(B336&gt;$D$19,1,VLOOKUP(DATE(YEAR(B336),MONTH(B336)+IF($C$35=$S$23,1,0),1),ÍNDICES!$A:$DE,$Z$35+1))),"",IF(B336&gt;$D$19,1,VLOOKUP(DATE(YEAR(B336),MONTH(B336)+IF($C$35=$S$23,1,0),1),ÍNDICES!$A:$DE,$Z$35+1))))))</f>
        <v/>
      </c>
      <c r="D336" s="154" t="str">
        <f>IF(ISERROR(IF(OR($D$38=$Y$27,$B336=""),"",VLOOKUP(B336,ÍNDICES!A:DE,AF$35+1))),"",IF(OR($D$38=$Y$27,$B336=""),"",VLOOKUP(B336,ÍNDICES!A:DE,AF$35+1)))</f>
        <v/>
      </c>
      <c r="E336" s="153"/>
      <c r="F336" s="29" t="str">
        <f>IF(E336="","",IF($L$35="SELIC - TRIBUTOS",VLOOKUP(DATE(YEAR($D$19),MONTH($D$19)-1,1),ÍNDICES!$A:$DE,HLOOKUP($BL$25,ÍNDICES!$B$3:$T$4,2)+11)-VLOOKUP(E336,ÍNDICES!$A:$DE,HLOOKUP($BL$25,ÍNDICES!$B$3:$T$4,2)+11)+1%,IF(F$38=$W$26,$J$35,IF(ISERROR(IF(E336&gt;$D$19,1,VLOOKUP(DATE(YEAR(E336),MONTH(E336)+IF($C$35=$S$23,1,0),1),ÍNDICES!$A:$DE,$Z$35+1))),"",IF(E336&gt;$D$19,1,VLOOKUP(DATE(YEAR(E336),MONTH(E336)+IF($C$35=$S$23,1,0),1),ÍNDICES!$A:$DE,$Z$35+1))))))</f>
        <v/>
      </c>
      <c r="G336" s="155"/>
      <c r="H336" s="156" t="str">
        <f t="shared" si="55"/>
        <v/>
      </c>
      <c r="I336" s="29" t="str">
        <f t="shared" si="49"/>
        <v/>
      </c>
      <c r="J336" s="5">
        <f t="shared" si="50"/>
        <v>0</v>
      </c>
      <c r="K336" s="20">
        <f t="shared" ca="1" si="51"/>
        <v>0</v>
      </c>
      <c r="L336" s="5">
        <f t="shared" ca="1" si="52"/>
        <v>0</v>
      </c>
      <c r="M336" s="64">
        <f t="shared" si="56"/>
        <v>0</v>
      </c>
      <c r="N336" s="61">
        <f t="shared" ca="1" si="57"/>
        <v>0</v>
      </c>
      <c r="O336" s="5">
        <f t="shared" ca="1" si="58"/>
        <v>0</v>
      </c>
      <c r="P336" s="446" t="e">
        <f t="shared" si="53"/>
        <v>#VALUE!</v>
      </c>
      <c r="Q336" s="446" t="e">
        <f>IF(OR($B336="",MIN(Q$38,$D$19)&lt;MAX($P$34*($B336+IF($R$17="Distrato",$I$38-1,0)),IF(AND($L$37=0,$P$34=0),"",$L$37-1),IF($R$17="Distrato",$E336,0))),0,YEARFRAC(MAX($P$34*($B336+IF($R$17="Distrato",$I$38-1,0)),IF(AND($L$37=0,$P$34=0),"",$L$37-1),IF($R$17="Distrato",$E336,0)),MIN(Q$38,$D$19),$P$20))-SUM($P336:P336)</f>
        <v>#VALUE!</v>
      </c>
      <c r="R336" s="446" t="e">
        <f>IF(OR($B336="",MIN(R$38,$D$19)&lt;MAX($P$34*($B336+IF($R$17="Distrato",$I$38-1,0)),IF(AND($L$37=0,$P$34=0),"",$L$37-1),IF($R$17="Distrato",$E336,0))),0,YEARFRAC(MAX($P$34*($B336+IF($R$17="Distrato",$I$38-1,0)),IF(AND($L$37=0,$P$34=0),"",$L$37-1),IF($R$17="Distrato",$E336,0)),MIN(R$38,$D$19),$P$20))-SUM($P336:Q336)</f>
        <v>#VALUE!</v>
      </c>
      <c r="S336" s="446" t="e">
        <f>IF(OR($B336="",MIN(S$38,$D$19)&lt;MAX($P$34*($B336+IF($R$17="Distrato",$I$38-1,0)),IF(AND($L$37=0,$P$34=0),"",$L$37-1),IF($R$17="Distrato",$E336,0))),0,YEARFRAC(MAX($P$34*($B336+IF($R$17="Distrato",$I$38-1,0)),IF(AND($L$37=0,$P$34=0),"",$L$37-1),IF($R$17="Distrato",$E336,0)),MIN(S$38,$D$19),$P$20))-SUM($P336:R336)</f>
        <v>#VALUE!</v>
      </c>
      <c r="T336" s="446" t="e">
        <f>IF(OR($B336="",MIN(T$38,$D$19)&lt;MAX($P$34*($B336+IF($R$17="Distrato",$I$38-1,0)),IF(AND($L$37=0,$P$34=0),"",$L$37-1),IF($R$17="Distrato",$E336,0))),0,YEARFRAC(MAX($P$34*($B336+IF($R$17="Distrato",$I$38-1,0)),IF(AND($L$37=0,$P$34=0),"",$L$37-1),IF($R$17="Distrato",$E336,0)),MIN(T$38,$D$19),$P$20))-SUM($P336:S336)</f>
        <v>#VALUE!</v>
      </c>
      <c r="U336" s="446" t="e">
        <f>IF(OR($B336="",MIN(U$38,$D$19)&lt;MAX($P$34*($B336+IF($R$17="Distrato",$I$38-1,0)),IF(AND($L$37=0,$P$34=0),"",$L$37-1),IF($R$17="Distrato",$E336,0))),0,YEARFRAC(MAX($P$34*($B336+IF($R$17="Distrato",$I$38-1,0)),IF(AND($L$37=0,$P$34=0),"",$L$37-1),IF($R$17="Distrato",$E336,0)),MIN(U$38,$D$19),$P$20))-SUM($P336:T336)</f>
        <v>#VALUE!</v>
      </c>
      <c r="V336" s="446" t="e">
        <f>IF(OR($B336="",MIN(V$38,$D$19)&lt;MAX($P$34*($B336+IF($R$17="Distrato",$I$38-1,0)),IF(AND($L$37=0,$P$34=0),"",$L$37-1),IF($R$17="Distrato",$E336,0))),0,YEARFRAC(MAX($P$34*($B336+IF($R$17="Distrato",$I$38-1,0)),IF(AND($L$37=0,$P$34=0),"",$L$37-1),IF($R$17="Distrato",$E336,0)),MIN(V$38,$D$19),$P$20))-SUM($P336:U336)</f>
        <v>#VALUE!</v>
      </c>
      <c r="W336" s="446" t="e">
        <f>IF(OR($B336="",MIN(W$38,$D$19)&lt;MAX($P$34*($B336+IF($R$17="Distrato",$I$38-1,0)),IF(AND($L$37=0,$P$34=0),"",$L$37-1),IF($R$17="Distrato",$E336,0))),0,YEARFRAC(MAX($P$34*($B336+IF($R$17="Distrato",$I$38-1,0)),IF(AND($L$37=0,$P$34=0),"",$L$37-1),IF($R$17="Distrato",$E336,0)),MIN(W$38,$D$19),$P$20))-SUM($P336:V336)</f>
        <v>#VALUE!</v>
      </c>
      <c r="X336" s="446" t="e">
        <f>IF(OR($B336="",MIN(X$38,$D$19)&lt;MAX($P$34*($B336+IF($R$17="Distrato",$I$38-1,0)),IF(AND($L$37=0,$P$34=0),"",$L$37-1),IF($R$17="Distrato",$E336,0))),0,YEARFRAC(MAX($P$34*($B336+IF($R$17="Distrato",$I$38-1,0)),IF(AND($L$37=0,$P$34=0),"",$L$37-1),IF($R$17="Distrato",$E336,0)),MIN(X$38,$D$19),$P$20))-SUM($P336:W336)</f>
        <v>#VALUE!</v>
      </c>
      <c r="Y336" s="446" t="e">
        <f>IF(OR($B336="",MIN(Y$38,$D$19)&lt;MAX($P$34*($B336+IF($R$17="Distrato",$I$38-1,0)),IF(AND($L$37=0,$P$34=0),"",$L$37-1),IF($R$17="Distrato",$E336,0))),0,YEARFRAC(MAX($P$34*($B336+IF($R$17="Distrato",$I$38-1,0)),IF(AND($L$37=0,$P$34=0),"",$L$37-1),IF($R$17="Distrato",$E336,0)),MIN(Y$38,$D$19),$P$20))-SUM($P336:X336)</f>
        <v>#VALUE!</v>
      </c>
      <c r="Z336" s="446" t="e">
        <f>IF(OR($B336="",MIN(Z$38,$D$19)&lt;MAX($P$34*($B336+IF($R$17="Distrato",$I$38-1,0)),IF(AND($L$37=0,$P$34=0),"",$L$37-1),IF($R$17="Distrato",$E336,0))),0,YEARFRAC(MAX($P$34*($B336+IF($R$17="Distrato",$I$38-1,0)),IF(AND($L$37=0,$P$34=0),"",$L$37-1),IF($R$17="Distrato",$E336,0)),MIN(Z$38,$D$19),$P$20))-SUM($P336:Y336)</f>
        <v>#VALUE!</v>
      </c>
      <c r="AA336" s="446" t="e">
        <f>IF(OR($B336="",MIN(AA$38,$D$19)&lt;MAX($P$34*($B336+IF($R$17="Distrato",$I$38-1,0)),IF(AND($L$37=0,$P$34=0),"",$L$37-1),IF($R$17="Distrato",$E336,0))),0,YEARFRAC(MAX($P$34*($B336+IF($R$17="Distrato",$I$38-1,0)),IF(AND($L$37=0,$P$34=0),"",$L$37-1),IF($R$17="Distrato",$E336,0)),MIN(AA$38,$D$19),$P$20))-SUM($P336:Z336)</f>
        <v>#VALUE!</v>
      </c>
      <c r="AB336" s="446" t="e">
        <f>IF(OR($B336="",MIN(AB$38,$D$19)&lt;MAX($P$34*($B336+IF($R$17="Distrato",$I$38-1,0)),IF(AND($L$37=0,$P$34=0),"",$L$37-1),IF($R$17="Distrato",$E336,0))),0,YEARFRAC(MAX($P$34*($B336+IF($R$17="Distrato",$I$38-1,0)),IF(AND($L$37=0,$P$34=0),"",$L$37-1),IF($R$17="Distrato",$E336,0)),MIN(AB$38,$D$19),$P$20))-SUM($P336:AA336)</f>
        <v>#VALUE!</v>
      </c>
      <c r="AC336" s="446" t="e">
        <f>IF(OR($B336="",MIN(AC$38,$D$19)&lt;MAX($P$34*($B336+IF($R$17="Distrato",$I$38-1,0)),IF(AND($L$37=0,$P$34=0),"",$L$37-1),IF($R$17="Distrato",$E336,0))),0,YEARFRAC(MAX($P$34*($B336+IF($R$17="Distrato",$I$38-1,0)),IF(AND($L$37=0,$P$34=0),"",$L$37-1),IF($R$17="Distrato",$E336,0)),MIN(AC$38,$D$19),$P$20))-SUM($P336:AB336)</f>
        <v>#VALUE!</v>
      </c>
      <c r="AD336" s="446" t="e">
        <f>IF(OR($B336="",MIN(AD$38,$D$19)&lt;MAX($P$34*($B336+IF($R$17="Distrato",$I$38-1,0)),IF(AND($L$37=0,$P$34=0),"",$L$37-1),IF($R$17="Distrato",$E336,0))),0,YEARFRAC(MAX($P$34*($B336+IF($R$17="Distrato",$I$38-1,0)),IF(AND($L$37=0,$P$34=0),"",$L$37-1),IF($R$17="Distrato",$E336,0)),MIN(AD$38,$D$19),$P$20))-SUM($P336:AC336)</f>
        <v>#VALUE!</v>
      </c>
      <c r="AE336" s="446" t="e">
        <f>IF(OR($B336="",MIN(AE$38,$D$19)&lt;MAX($P$34*($B336+IF($R$17="Distrato",$I$38-1,0)),IF(AND($L$37=0,$P$34=0),"",$L$37-1),IF($R$17="Distrato",$E336,0))),0,YEARFRAC(MAX($P$34*($B336+IF($R$17="Distrato",$I$38-1,0)),IF(AND($L$37=0,$P$34=0),"",$L$37-1),IF($R$17="Distrato",$E336,0)),MIN(AE$38,$D$19),$P$20))-SUM($P336:AD336)</f>
        <v>#VALUE!</v>
      </c>
      <c r="AF336" s="446" t="e">
        <f>IF(OR($B336="",MIN(AF$38,$D$19)&lt;MAX($P$34*($B336+IF($R$17="Distrato",$I$38-1,0)),IF(AND($L$37=0,$P$34=0),"",$L$37-1),IF($R$17="Distrato",$E336,0))),0,YEARFRAC(MAX($P$34*($B336+IF($R$17="Distrato",$I$38-1,0)),IF(AND($L$37=0,$P$34=0),"",$L$37-1),IF($R$17="Distrato",$E336,0)),MIN(AF$38,$D$19),$P$20))-SUM($P336:AE336)</f>
        <v>#VALUE!</v>
      </c>
      <c r="AG336" s="446" t="e">
        <f>IF(OR($B336="",MIN(AG$38,$D$19)&lt;MAX($P$34*($B336+IF($R$17="Distrato",$I$38-1,0)),IF(AND($L$37=0,$P$34=0),"",$L$37-1),IF($R$17="Distrato",$E336,0))),0,YEARFRAC(MAX($P$34*($B336+IF($R$17="Distrato",$I$38-1,0)),IF(AND($L$37=0,$P$34=0),"",$L$37-1),IF($R$17="Distrato",$E336,0)),MIN(AG$38,$D$19),$P$20))-SUM($P336:AF336)</f>
        <v>#VALUE!</v>
      </c>
      <c r="AH336" s="446" t="e">
        <f>IF(OR($B336="",MIN(AH$38,$D$19)&lt;MAX($P$34*($B336+IF($R$17="Distrato",$I$38-1,0)),IF(AND($L$37=0,$P$34=0),"",$L$37-1),IF($R$17="Distrato",$E336,0))),0,YEARFRAC(MAX($P$34*($B336+IF($R$17="Distrato",$I$38-1,0)),IF(AND($L$37=0,$P$34=0),"",$L$37-1),IF($R$17="Distrato",$E336,0)),MIN(AH$38,$D$19),$P$20))-SUM($P336:AG336)</f>
        <v>#VALUE!</v>
      </c>
      <c r="AI336" s="446" t="e">
        <f>IF(OR($B336="",MIN(AI$38,$D$19)&lt;MAX($P$34*($B336+IF($R$17="Distrato",$I$38-1,0)),IF(AND($L$37=0,$P$34=0),"",$L$37-1),IF($R$17="Distrato",$E336,0))),0,YEARFRAC(MAX($P$34*($B336+IF($R$17="Distrato",$I$38-1,0)),IF(AND($L$37=0,$P$34=0),"",$L$37-1),IF($R$17="Distrato",$E336,0)),MIN(AI$38,$D$19),$P$20))-SUM($P336:AH336)</f>
        <v>#VALUE!</v>
      </c>
      <c r="AJ336" s="446" t="e">
        <f>IF(OR($B336="",MIN(AJ$38,$D$19)&lt;MAX($P$34*($B336+IF($R$17="Distrato",$I$38-1,0)),IF(AND($L$37=0,$P$34=0),"",$L$37-1),IF($R$17="Distrato",$E336,0))),0,YEARFRAC(MAX($P$34*($B336+IF($R$17="Distrato",$I$38-1,0)),IF(AND($L$37=0,$P$34=0),"",$L$37-1),IF($R$17="Distrato",$E336,0)),MIN(AJ$38,$D$19),$P$20))-SUM($P336:AI336)</f>
        <v>#VALUE!</v>
      </c>
      <c r="AK336" s="446" t="e">
        <f>IF(OR($B336="",MIN(AK$38,$D$19)&lt;MAX($P$34*($B336+IF($R$17="Distrato",$I$38-1,0)),IF(AND($L$37=0,$P$34=0),"",$L$37-1),IF($R$17="Distrato",$E336,0))),0,YEARFRAC(MAX($P$34*($B336+IF($R$17="Distrato",$I$38-1,0)),IF(AND($L$37=0,$P$34=0),"",$L$37-1),IF($R$17="Distrato",$E336,0)),MIN(AK$38,$D$19),$P$20))-SUM($P336:AJ336)</f>
        <v>#VALUE!</v>
      </c>
      <c r="AL336" s="446" t="e">
        <f>IF(OR($B336="",MIN(AL$38,$D$19)&lt;MAX($P$34*($B336+IF($R$17="Distrato",$I$38-1,0)),IF(AND($L$37=0,$P$34=0),"",$L$37-1),IF($R$17="Distrato",$E336,0))),0,YEARFRAC(MAX($P$34*($B336+IF($R$17="Distrato",$I$38-1,0)),IF(AND($L$37=0,$P$34=0),"",$L$37-1),IF($R$17="Distrato",$E336,0)),MIN(AL$38,$D$19),$P$20))-SUM($P336:AK336)</f>
        <v>#VALUE!</v>
      </c>
      <c r="AM336" s="446" t="e">
        <f>IF(OR($B336="",MIN(AM$38,$D$19)&lt;MAX($P$34*($B336+IF($R$17="Distrato",$I$38-1,0)),IF(AND($L$37=0,$P$34=0),"",$L$37-1),IF($R$17="Distrato",$E336,0))),0,YEARFRAC(MAX($P$34*($B336+IF($R$17="Distrato",$I$38-1,0)),IF(AND($L$37=0,$P$34=0),"",$L$37-1),IF($R$17="Distrato",$E336,0)),MIN(AM$38,$D$19),$P$20))-SUM($P336:AL336)</f>
        <v>#VALUE!</v>
      </c>
      <c r="AN336" s="446" t="e">
        <f>IF(OR($B336="",MIN(AN$38,$D$19)&lt;MAX($P$34*($B336+IF($R$17="Distrato",$I$38-1,0)),IF(AND($L$37=0,$P$34=0),"",$L$37-1),IF($R$17="Distrato",$E336,0))),0,YEARFRAC(MAX($P$34*($B336+IF($R$17="Distrato",$I$38-1,0)),IF(AND($L$37=0,$P$34=0),"",$L$37-1),IF($R$17="Distrato",$E336,0)),MIN(AN$38,$D$19),$P$20))-SUM($P336:AM336)</f>
        <v>#VALUE!</v>
      </c>
      <c r="AO336" s="446" t="e">
        <f>IF(OR($B336="",MIN(AO$38,$D$19)&lt;MAX($P$34*($B336+IF($R$17="Distrato",$I$38-1,0)),IF(AND($L$37=0,$P$34=0),"",$L$37-1),IF($R$17="Distrato",$E336,0))),0,YEARFRAC(MAX($P$34*($B336+IF($R$17="Distrato",$I$38-1,0)),IF(AND($L$37=0,$P$34=0),"",$L$37-1),IF($R$17="Distrato",$E336,0)),MIN(AO$38,$D$19),$P$20))-SUM($P336:AN336)</f>
        <v>#VALUE!</v>
      </c>
      <c r="AP336" s="446" t="e">
        <f>IF(OR($B336="",MIN(AP$38,$D$19)&lt;MAX($P$34*($B336+IF($R$17="Distrato",$I$38-1,0)),IF(AND($L$37=0,$P$34=0),"",$L$37-1),IF($R$17="Distrato",$E336,0))),0,YEARFRAC(MAX($P$34*($B336+IF($R$17="Distrato",$I$38-1,0)),IF(AND($L$37=0,$P$34=0),"",$L$37-1),IF($R$17="Distrato",$E336,0)),MIN(AP$38,$D$19),$P$20))-SUM($P336:AO336)</f>
        <v>#VALUE!</v>
      </c>
      <c r="AQ336" s="446" t="e">
        <f>IF(OR($B336="",MIN(AQ$38,$D$19)&lt;MAX($P$34*($B336+IF($R$17="Distrato",$I$38-1,0)),IF(AND($L$37=0,$P$34=0),"",$L$37-1),IF($R$17="Distrato",$E336,0))),0,YEARFRAC(MAX($P$34*($B336+IF($R$17="Distrato",$I$38-1,0)),IF(AND($L$37=0,$P$34=0),"",$L$37-1),IF($R$17="Distrato",$E336,0)),MIN(AQ$38,$D$19),$P$20))-SUM($P336:AP336)</f>
        <v>#VALUE!</v>
      </c>
      <c r="AR336" s="446" t="e">
        <f>IF(OR($B336="",MIN(AR$38,$D$19)&lt;MAX($P$34*($B336+IF($R$17="Distrato",$I$38-1,0)),IF(AND($L$37=0,$P$34=0),"",$L$37-1),IF($R$17="Distrato",$E336,0))),0,YEARFRAC(MAX($P$34*($B336+IF($R$17="Distrato",$I$38-1,0)),IF(AND($L$37=0,$P$34=0),"",$L$37-1),IF($R$17="Distrato",$E336,0)),MIN(AR$38,$D$19),$P$20))-SUM($P336:AQ336)</f>
        <v>#VALUE!</v>
      </c>
      <c r="AS336" s="446" t="e">
        <f>IF(OR($B336="",MIN(AS$38,$D$19)&lt;MAX($P$34*($B336+IF($R$17="Distrato",$I$38-1,0)),IF(AND($L$37=0,$P$34=0),"",$L$37-1),IF($R$17="Distrato",$E336,0))),0,YEARFRAC(MAX($P$34*($B336+IF($R$17="Distrato",$I$38-1,0)),IF(AND($L$37=0,$P$34=0),"",$L$37-1),IF($R$17="Distrato",$E336,0)),MIN(AS$38,$D$19),$P$20))-SUM($P336:AR336)</f>
        <v>#VALUE!</v>
      </c>
      <c r="AT336" s="446" t="e">
        <f>IF(OR($B336="",MIN(AT$38,$D$19)&lt;MAX($P$34*($B336+IF($R$17="Distrato",$I$38-1,0)),IF(AND($L$37=0,$P$34=0),"",$L$37-1),IF($R$17="Distrato",$E336,0))),0,YEARFRAC(MAX($P$34*($B336+IF($R$17="Distrato",$I$38-1,0)),IF(AND($L$37=0,$P$34=0),"",$L$37-1),IF($R$17="Distrato",$E336,0)),MIN(AT$38,$D$19),$P$20))-SUM($P336:AS336)</f>
        <v>#VALUE!</v>
      </c>
      <c r="AU336" s="446" t="e">
        <f>IF(OR($B336="",MIN(AU$38,$D$19)&lt;MAX($P$34*($B336+IF($R$17="Distrato",$I$38-1,0)),IF(AND($L$37=0,$P$34=0),"",$L$37-1),IF($R$17="Distrato",$E336,0))),0,YEARFRAC(MAX($P$34*($B336+IF($R$17="Distrato",$I$38-1,0)),IF(AND($L$37=0,$P$34=0),"",$L$37-1),IF($R$17="Distrato",$E336,0)),MIN(AU$38,$D$19),$P$20))-SUM($P336:AT336)</f>
        <v>#VALUE!</v>
      </c>
      <c r="AV336" s="446" t="e">
        <f>IF(OR($B336="",MIN(AV$38,$D$19)&lt;MAX($P$34*($B336+IF($R$17="Distrato",$I$38-1,0)),IF(AND($L$37=0,$P$34=0),"",$L$37-1),IF($R$17="Distrato",$E336,0))),0,YEARFRAC(MAX($P$34*($B336+IF($R$17="Distrato",$I$38-1,0)),IF(AND($L$37=0,$P$34=0),"",$L$37-1),IF($R$17="Distrato",$E336,0)),MIN(AV$38,$D$19),$P$20))-SUM($P336:AU336)</f>
        <v>#VALUE!</v>
      </c>
      <c r="AW336" s="446" t="e">
        <f>IF(OR($B336="",MIN(AW$38,$D$19)&lt;MAX($P$34*($B336+IF($R$17="Distrato",$I$38-1,0)),IF(AND($L$37=0,$P$34=0),"",$L$37-1),IF($R$17="Distrato",$E336,0))),0,YEARFRAC(MAX($P$34*($B336+IF($R$17="Distrato",$I$38-1,0)),IF(AND($L$37=0,$P$34=0),"",$L$37-1),IF($R$17="Distrato",$E336,0)),MIN(AW$38,$D$19),$P$20))-SUM($P336:AV336)</f>
        <v>#VALUE!</v>
      </c>
      <c r="AX336" s="446" t="e">
        <f>IF(OR($B336="",MIN(AX$38,$D$19)&lt;MAX($P$34*($B336+IF($R$17="Distrato",$I$38-1,0)),IF(AND($L$37=0,$P$34=0),"",$L$37-1),IF($R$17="Distrato",$E336,0))),0,YEARFRAC(MAX($P$34*($B336+IF($R$17="Distrato",$I$38-1,0)),IF(AND($L$37=0,$P$34=0),"",$L$37-1),IF($R$17="Distrato",$E336,0)),MIN(AX$38,$D$19),$P$20))-SUM($P336:AW336)</f>
        <v>#VALUE!</v>
      </c>
      <c r="AY336" s="446" t="e">
        <f>IF(OR($B336="",MIN(AY$38,$D$19)&lt;MAX($P$34*($B336+IF($R$17="Distrato",$I$38-1,0)),IF(AND($L$37=0,$P$34=0),"",$L$37-1),IF($R$17="Distrato",$E336,0))),0,YEARFRAC(MAX($P$34*($B336+IF($R$17="Distrato",$I$38-1,0)),IF(AND($L$37=0,$P$34=0),"",$L$37-1),IF($R$17="Distrato",$E336,0)),MIN(AY$38,$D$19),$P$20))-SUM($P336:AX336)</f>
        <v>#VALUE!</v>
      </c>
      <c r="AZ336" s="446" t="e">
        <f>IF(OR($B336="",MIN(AZ$38,$D$19)&lt;MAX($P$34*($B336+IF($R$17="Distrato",$I$38-1,0)),IF(AND($L$37=0,$P$34=0),"",$L$37-1),IF($R$17="Distrato",$E336,0))),0,YEARFRAC(MAX($P$34*($B336+IF($R$17="Distrato",$I$38-1,0)),IF(AND($L$37=0,$P$34=0),"",$L$37-1),IF($R$17="Distrato",$E336,0)),MIN(AZ$38,$D$19),$P$20))-SUM($P336:AY336)</f>
        <v>#VALUE!</v>
      </c>
      <c r="BA336" s="446" t="e">
        <f>IF(OR($B336="",MIN(BA$38,$D$19)&lt;MAX($P$34*($B336+IF($R$17="Distrato",$I$38-1,0)),IF(AND($L$37=0,$P$34=0),"",$L$37-1),IF($R$17="Distrato",$E336,0))),0,YEARFRAC(MAX($P$34*($B336+IF($R$17="Distrato",$I$38-1,0)),IF(AND($L$37=0,$P$34=0),"",$L$37-1),IF($R$17="Distrato",$E336,0)),MIN(BA$38,$D$19),$P$20))-SUM($P336:AZ336)</f>
        <v>#VALUE!</v>
      </c>
      <c r="BB336" s="447"/>
      <c r="BF336" s="446">
        <f t="shared" si="54"/>
        <v>0</v>
      </c>
      <c r="BG336" s="446">
        <f>IF($E336=0,0,IF(MIN(BG$38,$E336)&lt;MAX($P$34*($B336+$I$38-1),IF(AND($L$37=0,$P$34=0),"",$L$37-1)),0,YEARFRAC(MAX($P$34*($B336+$I$38-1),IF(AND($L$37=0,$P$34=0),"",$L$37-1)),MIN(BG$38,$E336),$P$20))-SUM($BF336:BF336))</f>
        <v>0</v>
      </c>
      <c r="BH336" s="446">
        <f>IF($E336=0,0,IF(MIN(BH$38,$E336)&lt;MAX($P$34*($B336+$I$38-1),IF(AND($L$37=0,$P$34=0),"",$L$37-1)),0,YEARFRAC(MAX($P$34*($B336+$I$38-1),IF(AND($L$37=0,$P$34=0),"",$L$37-1)),MIN(BH$38,$E336),$P$20))-SUM($BF336:BG336))</f>
        <v>0</v>
      </c>
      <c r="BI336" s="446">
        <f>IF($E336=0,0,IF(MIN(BI$38,$E336)&lt;MAX($P$34*($B336+$I$38-1),IF(AND($L$37=0,$P$34=0),"",$L$37-1)),0,YEARFRAC(MAX($P$34*($B336+$I$38-1),IF(AND($L$37=0,$P$34=0),"",$L$37-1)),MIN(BI$38,$E336),$P$20))-SUM($BF336:BH336))</f>
        <v>0</v>
      </c>
      <c r="BJ336" s="446">
        <f>IF($E336=0,0,IF(MIN(BJ$38,$E336)&lt;MAX($P$34*($B336+$I$38-1),IF(AND($L$37=0,$P$34=0),"",$L$37-1)),0,YEARFRAC(MAX($P$34*($B336+$I$38-1),IF(AND($L$37=0,$P$34=0),"",$L$37-1)),MIN(BJ$38,$E336),$P$20))-SUM($BF336:BI336))</f>
        <v>0</v>
      </c>
      <c r="BK336" s="446">
        <f>IF($E336=0,0,IF(MIN(BK$38,$E336)&lt;MAX($P$34*($B336+$I$38-1),IF(AND($L$37=0,$P$34=0),"",$L$37-1)),0,YEARFRAC(MAX($P$34*($B336+$I$38-1),IF(AND($L$37=0,$P$34=0),"",$L$37-1)),MIN(BK$38,$E336),$P$20))-SUM($BF336:BJ336))</f>
        <v>0</v>
      </c>
      <c r="BL336" s="446">
        <f>IF($E336=0,0,IF(MIN(BL$38,$E336)&lt;MAX($P$34*($B336+$I$38-1),IF(AND($L$37=0,$P$34=0),"",$L$37-1)),0,YEARFRAC(MAX($P$34*($B336+$I$38-1),IF(AND($L$37=0,$P$34=0),"",$L$37-1)),MIN(BL$38,$E336),$P$20))-SUM($BF336:BK336))</f>
        <v>0</v>
      </c>
      <c r="BM336" s="446">
        <f>IF($E336=0,0,IF(MIN(BM$38,$E336)&lt;MAX($P$34*($B336+$I$38-1),IF(AND($L$37=0,$P$34=0),"",$L$37-1)),0,YEARFRAC(MAX($P$34*($B336+$I$38-1),IF(AND($L$37=0,$P$34=0),"",$L$37-1)),MIN(BM$38,$E336),$P$20))-SUM($BF336:BL336))</f>
        <v>0</v>
      </c>
      <c r="BN336" s="446">
        <f>IF($E336=0,0,IF(MIN(BN$38,$E336)&lt;MAX($P$34*($B336+$I$38-1),IF(AND($L$37=0,$P$34=0),"",$L$37-1)),0,YEARFRAC(MAX($P$34*($B336+$I$38-1),IF(AND($L$37=0,$P$34=0),"",$L$37-1)),MIN(BN$38,$E336),$P$20))-SUM($BF336:BM336))</f>
        <v>0</v>
      </c>
      <c r="BO336" s="446">
        <f>IF($E336=0,0,IF(MIN(BO$38,$E336)&lt;MAX($P$34*($B336+$I$38-1),IF(AND($L$37=0,$P$34=0),"",$L$37-1)),0,YEARFRAC(MAX($P$34*($B336+$I$38-1),IF(AND($L$37=0,$P$34=0),"",$L$37-1)),MIN(BO$38,$E336),$P$20))-SUM($BF336:BN336))</f>
        <v>0</v>
      </c>
      <c r="BP336" s="446">
        <f>IF($E336=0,0,IF(MIN(BP$38,$E336)&lt;MAX($P$34*($B336+$I$38-1),IF(AND($L$37=0,$P$34=0),"",$L$37-1)),0,YEARFRAC(MAX($P$34*($B336+$I$38-1),IF(AND($L$37=0,$P$34=0),"",$L$37-1)),MIN(BP$38,$E336),$P$20))-SUM($BF336:BO336))</f>
        <v>0</v>
      </c>
      <c r="BQ336" s="446">
        <f>IF($E336=0,0,IF(MIN(BQ$38,$E336)&lt;MAX($P$34*($B336+$I$38-1),IF(AND($L$37=0,$P$34=0),"",$L$37-1)),0,YEARFRAC(MAX($P$34*($B336+$I$38-1),IF(AND($L$37=0,$P$34=0),"",$L$37-1)),MIN(BQ$38,$E336),$P$20))-SUM($BF336:BP336))</f>
        <v>0</v>
      </c>
      <c r="BR336" s="446">
        <f>IF($E336=0,0,IF(MIN(BR$38,$E336)&lt;MAX($P$34*($B336+$I$38-1),IF(AND($L$37=0,$P$34=0),"",$L$37-1)),0,YEARFRAC(MAX($P$34*($B336+$I$38-1),IF(AND($L$37=0,$P$34=0),"",$L$37-1)),MIN(BR$38,$E336),$P$20))-SUM($BF336:BQ336))</f>
        <v>0</v>
      </c>
      <c r="BS336" s="446">
        <f>IF($E336=0,0,IF(MIN(BS$38,$E336)&lt;MAX($P$34*($B336+$I$38-1),IF(AND($L$37=0,$P$34=0),"",$L$37-1)),0,YEARFRAC(MAX($P$34*($B336+$I$38-1),IF(AND($L$37=0,$P$34=0),"",$L$37-1)),MIN(BS$38,$E336),$P$20))-SUM($BF336:BR336))</f>
        <v>0</v>
      </c>
      <c r="BT336" s="446">
        <f>IF($E336=0,0,IF(MIN(BT$38,$E336)&lt;MAX($P$34*($B336+$I$38-1),IF(AND($L$37=0,$P$34=0),"",$L$37-1)),0,YEARFRAC(MAX($P$34*($B336+$I$38-1),IF(AND($L$37=0,$P$34=0),"",$L$37-1)),MIN(BT$38,$E336),$P$20))-SUM($BF336:BS336))</f>
        <v>0</v>
      </c>
      <c r="BU336" s="446">
        <f>IF($E336=0,0,IF(MIN(BU$38,$E336)&lt;MAX($P$34*($B336+$I$38-1),IF(AND($L$37=0,$P$34=0),"",$L$37-1)),0,YEARFRAC(MAX($P$34*($B336+$I$38-1),IF(AND($L$37=0,$P$34=0),"",$L$37-1)),MIN(BU$38,$E336),$P$20))-SUM($BF336:BT336))</f>
        <v>0</v>
      </c>
      <c r="BV336" s="446">
        <f>IF($E336=0,0,IF(MIN(BV$38,$E336)&lt;MAX($P$34*($B336+$I$38-1),IF(AND($L$37=0,$P$34=0),"",$L$37-1)),0,YEARFRAC(MAX($P$34*($B336+$I$38-1),IF(AND($L$37=0,$P$34=0),"",$L$37-1)),MIN(BV$38,$E336),$P$20))-SUM($BF336:BU336))</f>
        <v>0</v>
      </c>
      <c r="BW336" s="446">
        <f>IF($E336=0,0,IF(MIN(BW$38,$E336)&lt;MAX($P$34*($B336+$I$38-1),IF(AND($L$37=0,$P$34=0),"",$L$37-1)),0,YEARFRAC(MAX($P$34*($B336+$I$38-1),IF(AND($L$37=0,$P$34=0),"",$L$37-1)),MIN(BW$38,$E336),$P$20))-SUM($BF336:BV336))</f>
        <v>0</v>
      </c>
      <c r="BX336" s="446">
        <f>IF($E336=0,0,IF(MIN(BX$38,$E336)&lt;MAX($P$34*($B336+$I$38-1),IF(AND($L$37=0,$P$34=0),"",$L$37-1)),0,YEARFRAC(MAX($P$34*($B336+$I$38-1),IF(AND($L$37=0,$P$34=0),"",$L$37-1)),MIN(BX$38,$E336),$P$20))-SUM($BF336:BW336))</f>
        <v>0</v>
      </c>
      <c r="BY336" s="446">
        <f>IF($E336=0,0,IF(MIN(BY$38,$E336)&lt;MAX($P$34*($B336+$I$38-1),IF(AND($L$37=0,$P$34=0),"",$L$37-1)),0,YEARFRAC(MAX($P$34*($B336+$I$38-1),IF(AND($L$37=0,$P$34=0),"",$L$37-1)),MIN(BY$38,$E336),$P$20))-SUM($BF336:BX336))</f>
        <v>0</v>
      </c>
      <c r="BZ336" s="446">
        <f>IF($E336=0,0,IF(MIN(BZ$38,$E336)&lt;MAX($P$34*($B336+$I$38-1),IF(AND($L$37=0,$P$34=0),"",$L$37-1)),0,YEARFRAC(MAX($P$34*($B336+$I$38-1),IF(AND($L$37=0,$P$34=0),"",$L$37-1)),MIN(BZ$38,$E336),$P$20))-SUM($BF336:BY336))</f>
        <v>0</v>
      </c>
      <c r="CA336" s="446">
        <f>IF($E336=0,0,IF(MIN(CA$38,$E336)&lt;MAX($P$34*($B336+$I$38-1),IF(AND($L$37=0,$P$34=0),"",$L$37-1)),0,YEARFRAC(MAX($P$34*($B336+$I$38-1),IF(AND($L$37=0,$P$34=0),"",$L$37-1)),MIN(CA$38,$E336),$P$20))-SUM($BF336:BZ336))</f>
        <v>0</v>
      </c>
      <c r="CB336" s="446">
        <f>IF($E336=0,0,IF(MIN(CB$38,$E336)&lt;MAX($P$34*($B336+$I$38-1),IF(AND($L$37=0,$P$34=0),"",$L$37-1)),0,YEARFRAC(MAX($P$34*($B336+$I$38-1),IF(AND($L$37=0,$P$34=0),"",$L$37-1)),MIN(CB$38,$E336),$P$20))-SUM($BF336:CA336))</f>
        <v>0</v>
      </c>
      <c r="CC336" s="446">
        <f>IF($E336=0,0,IF(MIN(CC$38,$E336)&lt;MAX($P$34*($B336+$I$38-1),IF(AND($L$37=0,$P$34=0),"",$L$37-1)),0,YEARFRAC(MAX($P$34*($B336+$I$38-1),IF(AND($L$37=0,$P$34=0),"",$L$37-1)),MIN(CC$38,$E336),$P$20))-SUM($BF336:CB336))</f>
        <v>0</v>
      </c>
      <c r="CD336" s="446">
        <f>IF($E336=0,0,IF(MIN(CD$38,$E336)&lt;MAX($P$34*($B336+$I$38-1),IF(AND($L$37=0,$P$34=0),"",$L$37-1)),0,YEARFRAC(MAX($P$34*($B336+$I$38-1),IF(AND($L$37=0,$P$34=0),"",$L$37-1)),MIN(CD$38,$E336),$P$20))-SUM($BF336:CC336))</f>
        <v>0</v>
      </c>
      <c r="CE336" s="446">
        <f>IF($E336=0,0,IF(MIN(CE$38,$E336)&lt;MAX($P$34*($B336+$I$38-1),IF(AND($L$37=0,$P$34=0),"",$L$37-1)),0,YEARFRAC(MAX($P$34*($B336+$I$38-1),IF(AND($L$37=0,$P$34=0),"",$L$37-1)),MIN(CE$38,$E336),$P$20))-SUM($BF336:CD336))</f>
        <v>0</v>
      </c>
      <c r="CF336" s="446">
        <f>IF($E336=0,0,IF(MIN(CF$38,$E336)&lt;MAX($P$34*($B336+$I$38-1),IF(AND($L$37=0,$P$34=0),"",$L$37-1)),0,YEARFRAC(MAX($P$34*($B336+$I$38-1),IF(AND($L$37=0,$P$34=0),"",$L$37-1)),MIN(CF$38,$E336),$P$20))-SUM($BF336:CE336))</f>
        <v>0</v>
      </c>
      <c r="CG336" s="446">
        <f>IF($E336=0,0,IF(MIN(CG$38,$E336)&lt;MAX($P$34*($B336+$I$38-1),IF(AND($L$37=0,$P$34=0),"",$L$37-1)),0,YEARFRAC(MAX($P$34*($B336+$I$38-1),IF(AND($L$37=0,$P$34=0),"",$L$37-1)),MIN(CG$38,$E336),$P$20))-SUM($BF336:CF336))</f>
        <v>0</v>
      </c>
      <c r="CH336" s="446">
        <f>IF($E336=0,0,IF(MIN(CH$38,$E336)&lt;MAX($P$34*($B336+$I$38-1),IF(AND($L$37=0,$P$34=0),"",$L$37-1)),0,YEARFRAC(MAX($P$34*($B336+$I$38-1),IF(AND($L$37=0,$P$34=0),"",$L$37-1)),MIN(CH$38,$E336),$P$20))-SUM($BF336:CG336))</f>
        <v>0</v>
      </c>
      <c r="CI336" s="446">
        <f>IF($E336=0,0,IF(MIN(CI$38,$E336)&lt;MAX($P$34*($B336+$I$38-1),IF(AND($L$37=0,$P$34=0),"",$L$37-1)),0,YEARFRAC(MAX($P$34*($B336+$I$38-1),IF(AND($L$37=0,$P$34=0),"",$L$37-1)),MIN(CI$38,$E336),$P$20))-SUM($BF336:CH336))</f>
        <v>0</v>
      </c>
      <c r="CJ336" s="446">
        <f>IF($E336=0,0,IF(MIN(CJ$38,$E336)&lt;MAX($P$34*($B336+$I$38-1),IF(AND($L$37=0,$P$34=0),"",$L$37-1)),0,YEARFRAC(MAX($P$34*($B336+$I$38-1),IF(AND($L$37=0,$P$34=0),"",$L$37-1)),MIN(CJ$38,$E336),$P$20))-SUM($BF336:CI336))</f>
        <v>0</v>
      </c>
      <c r="CK336" s="446">
        <f>IF($E336=0,0,IF(MIN(CK$38,$E336)&lt;MAX($P$34*($B336+$I$38-1),IF(AND($L$37=0,$P$34=0),"",$L$37-1)),0,YEARFRAC(MAX($P$34*($B336+$I$38-1),IF(AND($L$37=0,$P$34=0),"",$L$37-1)),MIN(CK$38,$E336),$P$20))-SUM($BF336:CJ336))</f>
        <v>0</v>
      </c>
      <c r="CL336" s="446">
        <f>IF($E336=0,0,IF(MIN(CL$38,$E336)&lt;MAX($P$34*($B336+$I$38-1),IF(AND($L$37=0,$P$34=0),"",$L$37-1)),0,YEARFRAC(MAX($P$34*($B336+$I$38-1),IF(AND($L$37=0,$P$34=0),"",$L$37-1)),MIN(CL$38,$E336),$P$20))-SUM($BF336:CK336))</f>
        <v>0</v>
      </c>
      <c r="CM336" s="446">
        <f>IF($E336=0,0,IF(MIN(CM$38,$E336)&lt;MAX($P$34*($B336+$I$38-1),IF(AND($L$37=0,$P$34=0),"",$L$37-1)),0,YEARFRAC(MAX($P$34*($B336+$I$38-1),IF(AND($L$37=0,$P$34=0),"",$L$37-1)),MIN(CM$38,$E336),$P$20))-SUM($BF336:CL336))</f>
        <v>0</v>
      </c>
      <c r="CN336" s="446">
        <f>IF($E336=0,0,IF(MIN(CN$38,$E336)&lt;MAX($P$34*($B336+$I$38-1),IF(AND($L$37=0,$P$34=0),"",$L$37-1)),0,YEARFRAC(MAX($P$34*($B336+$I$38-1),IF(AND($L$37=0,$P$34=0),"",$L$37-1)),MIN(CN$38,$E336),$P$20))-SUM($BF336:CM336))</f>
        <v>0</v>
      </c>
      <c r="CO336" s="446">
        <f>IF($E336=0,0,IF(MIN(CO$38,$E336)&lt;MAX($P$34*($B336+$I$38-1),IF(AND($L$37=0,$P$34=0),"",$L$37-1)),0,YEARFRAC(MAX($P$34*($B336+$I$38-1),IF(AND($L$37=0,$P$34=0),"",$L$37-1)),MIN(CO$38,$E336),$P$20))-SUM($BF336:CN336))</f>
        <v>0</v>
      </c>
      <c r="CP336" s="446">
        <f>IF($E336=0,0,IF(MIN(CP$38,$E336)&lt;MAX($P$34*($B336+$I$38-1),IF(AND($L$37=0,$P$34=0),"",$L$37-1)),0,YEARFRAC(MAX($P$34*($B336+$I$38-1),IF(AND($L$37=0,$P$34=0),"",$L$37-1)),MIN(CP$38,$E336),$P$20))-SUM($BF336:CO336))</f>
        <v>0</v>
      </c>
      <c r="CQ336" s="446">
        <f>IF($E336=0,0,IF(MIN(CQ$38,$E336)&lt;MAX($P$34*($B336+$I$38-1),IF(AND($L$37=0,$P$34=0),"",$L$37-1)),0,YEARFRAC(MAX($P$34*($B336+$I$38-1),IF(AND($L$37=0,$P$34=0),"",$L$37-1)),MIN(CQ$38,$E336),$P$20))-SUM($BF336:CP336))</f>
        <v>0</v>
      </c>
    </row>
    <row r="337" spans="1:95" s="446" customFormat="1" ht="11.25" hidden="1" customHeight="1" x14ac:dyDescent="0.2">
      <c r="A337" s="152"/>
      <c r="B337" s="153" t="str">
        <f t="shared" si="59"/>
        <v/>
      </c>
      <c r="C337" s="29" t="str">
        <f>IF(B337="","",IF($L$35="SELIC - TRIBUTOS",VLOOKUP(DATE(YEAR($D$19),MONTH($D$19)-1,1),ÍNDICES!$A:$DE,HLOOKUP($BL$25,ÍNDICES!$B$3:$T$4,2)+11)-VLOOKUP(B337,ÍNDICES!$A:$DE,HLOOKUP($BL$25,ÍNDICES!$B$3:$T$4,2)+11)+1%,IF(C$38=$W$26,$J$35,IF(ISERROR(IF(B337&gt;$D$19,1,VLOOKUP(DATE(YEAR(B337),MONTH(B337)+IF($C$35=$S$23,1,0),1),ÍNDICES!$A:$DE,$Z$35+1))),"",IF(B337&gt;$D$19,1,VLOOKUP(DATE(YEAR(B337),MONTH(B337)+IF($C$35=$S$23,1,0),1),ÍNDICES!$A:$DE,$Z$35+1))))))</f>
        <v/>
      </c>
      <c r="D337" s="154" t="str">
        <f>IF(ISERROR(IF(OR($D$38=$Y$27,$B337=""),"",VLOOKUP(B337,ÍNDICES!A:DE,AF$35+1))),"",IF(OR($D$38=$Y$27,$B337=""),"",VLOOKUP(B337,ÍNDICES!A:DE,AF$35+1)))</f>
        <v/>
      </c>
      <c r="E337" s="153"/>
      <c r="F337" s="29" t="str">
        <f>IF(E337="","",IF($L$35="SELIC - TRIBUTOS",VLOOKUP(DATE(YEAR($D$19),MONTH($D$19)-1,1),ÍNDICES!$A:$DE,HLOOKUP($BL$25,ÍNDICES!$B$3:$T$4,2)+11)-VLOOKUP(E337,ÍNDICES!$A:$DE,HLOOKUP($BL$25,ÍNDICES!$B$3:$T$4,2)+11)+1%,IF(F$38=$W$26,$J$35,IF(ISERROR(IF(E337&gt;$D$19,1,VLOOKUP(DATE(YEAR(E337),MONTH(E337)+IF($C$35=$S$23,1,0),1),ÍNDICES!$A:$DE,$Z$35+1))),"",IF(E337&gt;$D$19,1,VLOOKUP(DATE(YEAR(E337),MONTH(E337)+IF($C$35=$S$23,1,0),1),ÍNDICES!$A:$DE,$Z$35+1))))))</f>
        <v/>
      </c>
      <c r="G337" s="155"/>
      <c r="H337" s="156" t="str">
        <f t="shared" si="55"/>
        <v/>
      </c>
      <c r="I337" s="29" t="str">
        <f t="shared" si="49"/>
        <v/>
      </c>
      <c r="J337" s="5">
        <f t="shared" si="50"/>
        <v>0</v>
      </c>
      <c r="K337" s="20">
        <f t="shared" ca="1" si="51"/>
        <v>0</v>
      </c>
      <c r="L337" s="5">
        <f t="shared" ca="1" si="52"/>
        <v>0</v>
      </c>
      <c r="M337" s="64">
        <f t="shared" si="56"/>
        <v>0</v>
      </c>
      <c r="N337" s="61">
        <f t="shared" ca="1" si="57"/>
        <v>0</v>
      </c>
      <c r="O337" s="5">
        <f t="shared" ca="1" si="58"/>
        <v>0</v>
      </c>
      <c r="P337" s="446" t="e">
        <f t="shared" si="53"/>
        <v>#VALUE!</v>
      </c>
      <c r="Q337" s="446" t="e">
        <f>IF(OR($B337="",MIN(Q$38,$D$19)&lt;MAX($P$34*($B337+IF($R$17="Distrato",$I$38-1,0)),IF(AND($L$37=0,$P$34=0),"",$L$37-1),IF($R$17="Distrato",$E337,0))),0,YEARFRAC(MAX($P$34*($B337+IF($R$17="Distrato",$I$38-1,0)),IF(AND($L$37=0,$P$34=0),"",$L$37-1),IF($R$17="Distrato",$E337,0)),MIN(Q$38,$D$19),$P$20))-SUM($P337:P337)</f>
        <v>#VALUE!</v>
      </c>
      <c r="R337" s="446" t="e">
        <f>IF(OR($B337="",MIN(R$38,$D$19)&lt;MAX($P$34*($B337+IF($R$17="Distrato",$I$38-1,0)),IF(AND($L$37=0,$P$34=0),"",$L$37-1),IF($R$17="Distrato",$E337,0))),0,YEARFRAC(MAX($P$34*($B337+IF($R$17="Distrato",$I$38-1,0)),IF(AND($L$37=0,$P$34=0),"",$L$37-1),IF($R$17="Distrato",$E337,0)),MIN(R$38,$D$19),$P$20))-SUM($P337:Q337)</f>
        <v>#VALUE!</v>
      </c>
      <c r="S337" s="446" t="e">
        <f>IF(OR($B337="",MIN(S$38,$D$19)&lt;MAX($P$34*($B337+IF($R$17="Distrato",$I$38-1,0)),IF(AND($L$37=0,$P$34=0),"",$L$37-1),IF($R$17="Distrato",$E337,0))),0,YEARFRAC(MAX($P$34*($B337+IF($R$17="Distrato",$I$38-1,0)),IF(AND($L$37=0,$P$34=0),"",$L$37-1),IF($R$17="Distrato",$E337,0)),MIN(S$38,$D$19),$P$20))-SUM($P337:R337)</f>
        <v>#VALUE!</v>
      </c>
      <c r="T337" s="446" t="e">
        <f>IF(OR($B337="",MIN(T$38,$D$19)&lt;MAX($P$34*($B337+IF($R$17="Distrato",$I$38-1,0)),IF(AND($L$37=0,$P$34=0),"",$L$37-1),IF($R$17="Distrato",$E337,0))),0,YEARFRAC(MAX($P$34*($B337+IF($R$17="Distrato",$I$38-1,0)),IF(AND($L$37=0,$P$34=0),"",$L$37-1),IF($R$17="Distrato",$E337,0)),MIN(T$38,$D$19),$P$20))-SUM($P337:S337)</f>
        <v>#VALUE!</v>
      </c>
      <c r="U337" s="446" t="e">
        <f>IF(OR($B337="",MIN(U$38,$D$19)&lt;MAX($P$34*($B337+IF($R$17="Distrato",$I$38-1,0)),IF(AND($L$37=0,$P$34=0),"",$L$37-1),IF($R$17="Distrato",$E337,0))),0,YEARFRAC(MAX($P$34*($B337+IF($R$17="Distrato",$I$38-1,0)),IF(AND($L$37=0,$P$34=0),"",$L$37-1),IF($R$17="Distrato",$E337,0)),MIN(U$38,$D$19),$P$20))-SUM($P337:T337)</f>
        <v>#VALUE!</v>
      </c>
      <c r="V337" s="446" t="e">
        <f>IF(OR($B337="",MIN(V$38,$D$19)&lt;MAX($P$34*($B337+IF($R$17="Distrato",$I$38-1,0)),IF(AND($L$37=0,$P$34=0),"",$L$37-1),IF($R$17="Distrato",$E337,0))),0,YEARFRAC(MAX($P$34*($B337+IF($R$17="Distrato",$I$38-1,0)),IF(AND($L$37=0,$P$34=0),"",$L$37-1),IF($R$17="Distrato",$E337,0)),MIN(V$38,$D$19),$P$20))-SUM($P337:U337)</f>
        <v>#VALUE!</v>
      </c>
      <c r="W337" s="446" t="e">
        <f>IF(OR($B337="",MIN(W$38,$D$19)&lt;MAX($P$34*($B337+IF($R$17="Distrato",$I$38-1,0)),IF(AND($L$37=0,$P$34=0),"",$L$37-1),IF($R$17="Distrato",$E337,0))),0,YEARFRAC(MAX($P$34*($B337+IF($R$17="Distrato",$I$38-1,0)),IF(AND($L$37=0,$P$34=0),"",$L$37-1),IF($R$17="Distrato",$E337,0)),MIN(W$38,$D$19),$P$20))-SUM($P337:V337)</f>
        <v>#VALUE!</v>
      </c>
      <c r="X337" s="446" t="e">
        <f>IF(OR($B337="",MIN(X$38,$D$19)&lt;MAX($P$34*($B337+IF($R$17="Distrato",$I$38-1,0)),IF(AND($L$37=0,$P$34=0),"",$L$37-1),IF($R$17="Distrato",$E337,0))),0,YEARFRAC(MAX($P$34*($B337+IF($R$17="Distrato",$I$38-1,0)),IF(AND($L$37=0,$P$34=0),"",$L$37-1),IF($R$17="Distrato",$E337,0)),MIN(X$38,$D$19),$P$20))-SUM($P337:W337)</f>
        <v>#VALUE!</v>
      </c>
      <c r="Y337" s="446" t="e">
        <f>IF(OR($B337="",MIN(Y$38,$D$19)&lt;MAX($P$34*($B337+IF($R$17="Distrato",$I$38-1,0)),IF(AND($L$37=0,$P$34=0),"",$L$37-1),IF($R$17="Distrato",$E337,0))),0,YEARFRAC(MAX($P$34*($B337+IF($R$17="Distrato",$I$38-1,0)),IF(AND($L$37=0,$P$34=0),"",$L$37-1),IF($R$17="Distrato",$E337,0)),MIN(Y$38,$D$19),$P$20))-SUM($P337:X337)</f>
        <v>#VALUE!</v>
      </c>
      <c r="Z337" s="446" t="e">
        <f>IF(OR($B337="",MIN(Z$38,$D$19)&lt;MAX($P$34*($B337+IF($R$17="Distrato",$I$38-1,0)),IF(AND($L$37=0,$P$34=0),"",$L$37-1),IF($R$17="Distrato",$E337,0))),0,YEARFRAC(MAX($P$34*($B337+IF($R$17="Distrato",$I$38-1,0)),IF(AND($L$37=0,$P$34=0),"",$L$37-1),IF($R$17="Distrato",$E337,0)),MIN(Z$38,$D$19),$P$20))-SUM($P337:Y337)</f>
        <v>#VALUE!</v>
      </c>
      <c r="AA337" s="446" t="e">
        <f>IF(OR($B337="",MIN(AA$38,$D$19)&lt;MAX($P$34*($B337+IF($R$17="Distrato",$I$38-1,0)),IF(AND($L$37=0,$P$34=0),"",$L$37-1),IF($R$17="Distrato",$E337,0))),0,YEARFRAC(MAX($P$34*($B337+IF($R$17="Distrato",$I$38-1,0)),IF(AND($L$37=0,$P$34=0),"",$L$37-1),IF($R$17="Distrato",$E337,0)),MIN(AA$38,$D$19),$P$20))-SUM($P337:Z337)</f>
        <v>#VALUE!</v>
      </c>
      <c r="AB337" s="446" t="e">
        <f>IF(OR($B337="",MIN(AB$38,$D$19)&lt;MAX($P$34*($B337+IF($R$17="Distrato",$I$38-1,0)),IF(AND($L$37=0,$P$34=0),"",$L$37-1),IF($R$17="Distrato",$E337,0))),0,YEARFRAC(MAX($P$34*($B337+IF($R$17="Distrato",$I$38-1,0)),IF(AND($L$37=0,$P$34=0),"",$L$37-1),IF($R$17="Distrato",$E337,0)),MIN(AB$38,$D$19),$P$20))-SUM($P337:AA337)</f>
        <v>#VALUE!</v>
      </c>
      <c r="AC337" s="446" t="e">
        <f>IF(OR($B337="",MIN(AC$38,$D$19)&lt;MAX($P$34*($B337+IF($R$17="Distrato",$I$38-1,0)),IF(AND($L$37=0,$P$34=0),"",$L$37-1),IF($R$17="Distrato",$E337,0))),0,YEARFRAC(MAX($P$34*($B337+IF($R$17="Distrato",$I$38-1,0)),IF(AND($L$37=0,$P$34=0),"",$L$37-1),IF($R$17="Distrato",$E337,0)),MIN(AC$38,$D$19),$P$20))-SUM($P337:AB337)</f>
        <v>#VALUE!</v>
      </c>
      <c r="AD337" s="446" t="e">
        <f>IF(OR($B337="",MIN(AD$38,$D$19)&lt;MAX($P$34*($B337+IF($R$17="Distrato",$I$38-1,0)),IF(AND($L$37=0,$P$34=0),"",$L$37-1),IF($R$17="Distrato",$E337,0))),0,YEARFRAC(MAX($P$34*($B337+IF($R$17="Distrato",$I$38-1,0)),IF(AND($L$37=0,$P$34=0),"",$L$37-1),IF($R$17="Distrato",$E337,0)),MIN(AD$38,$D$19),$P$20))-SUM($P337:AC337)</f>
        <v>#VALUE!</v>
      </c>
      <c r="AE337" s="446" t="e">
        <f>IF(OR($B337="",MIN(AE$38,$D$19)&lt;MAX($P$34*($B337+IF($R$17="Distrato",$I$38-1,0)),IF(AND($L$37=0,$P$34=0),"",$L$37-1),IF($R$17="Distrato",$E337,0))),0,YEARFRAC(MAX($P$34*($B337+IF($R$17="Distrato",$I$38-1,0)),IF(AND($L$37=0,$P$34=0),"",$L$37-1),IF($R$17="Distrato",$E337,0)),MIN(AE$38,$D$19),$P$20))-SUM($P337:AD337)</f>
        <v>#VALUE!</v>
      </c>
      <c r="AF337" s="446" t="e">
        <f>IF(OR($B337="",MIN(AF$38,$D$19)&lt;MAX($P$34*($B337+IF($R$17="Distrato",$I$38-1,0)),IF(AND($L$37=0,$P$34=0),"",$L$37-1),IF($R$17="Distrato",$E337,0))),0,YEARFRAC(MAX($P$34*($B337+IF($R$17="Distrato",$I$38-1,0)),IF(AND($L$37=0,$P$34=0),"",$L$37-1),IF($R$17="Distrato",$E337,0)),MIN(AF$38,$D$19),$P$20))-SUM($P337:AE337)</f>
        <v>#VALUE!</v>
      </c>
      <c r="AG337" s="446" t="e">
        <f>IF(OR($B337="",MIN(AG$38,$D$19)&lt;MAX($P$34*($B337+IF($R$17="Distrato",$I$38-1,0)),IF(AND($L$37=0,$P$34=0),"",$L$37-1),IF($R$17="Distrato",$E337,0))),0,YEARFRAC(MAX($P$34*($B337+IF($R$17="Distrato",$I$38-1,0)),IF(AND($L$37=0,$P$34=0),"",$L$37-1),IF($R$17="Distrato",$E337,0)),MIN(AG$38,$D$19),$P$20))-SUM($P337:AF337)</f>
        <v>#VALUE!</v>
      </c>
      <c r="AH337" s="446" t="e">
        <f>IF(OR($B337="",MIN(AH$38,$D$19)&lt;MAX($P$34*($B337+IF($R$17="Distrato",$I$38-1,0)),IF(AND($L$37=0,$P$34=0),"",$L$37-1),IF($R$17="Distrato",$E337,0))),0,YEARFRAC(MAX($P$34*($B337+IF($R$17="Distrato",$I$38-1,0)),IF(AND($L$37=0,$P$34=0),"",$L$37-1),IF($R$17="Distrato",$E337,0)),MIN(AH$38,$D$19),$P$20))-SUM($P337:AG337)</f>
        <v>#VALUE!</v>
      </c>
      <c r="AI337" s="446" t="e">
        <f>IF(OR($B337="",MIN(AI$38,$D$19)&lt;MAX($P$34*($B337+IF($R$17="Distrato",$I$38-1,0)),IF(AND($L$37=0,$P$34=0),"",$L$37-1),IF($R$17="Distrato",$E337,0))),0,YEARFRAC(MAX($P$34*($B337+IF($R$17="Distrato",$I$38-1,0)),IF(AND($L$37=0,$P$34=0),"",$L$37-1),IF($R$17="Distrato",$E337,0)),MIN(AI$38,$D$19),$P$20))-SUM($P337:AH337)</f>
        <v>#VALUE!</v>
      </c>
      <c r="AJ337" s="446" t="e">
        <f>IF(OR($B337="",MIN(AJ$38,$D$19)&lt;MAX($P$34*($B337+IF($R$17="Distrato",$I$38-1,0)),IF(AND($L$37=0,$P$34=0),"",$L$37-1),IF($R$17="Distrato",$E337,0))),0,YEARFRAC(MAX($P$34*($B337+IF($R$17="Distrato",$I$38-1,0)),IF(AND($L$37=0,$P$34=0),"",$L$37-1),IF($R$17="Distrato",$E337,0)),MIN(AJ$38,$D$19),$P$20))-SUM($P337:AI337)</f>
        <v>#VALUE!</v>
      </c>
      <c r="AK337" s="446" t="e">
        <f>IF(OR($B337="",MIN(AK$38,$D$19)&lt;MAX($P$34*($B337+IF($R$17="Distrato",$I$38-1,0)),IF(AND($L$37=0,$P$34=0),"",$L$37-1),IF($R$17="Distrato",$E337,0))),0,YEARFRAC(MAX($P$34*($B337+IF($R$17="Distrato",$I$38-1,0)),IF(AND($L$37=0,$P$34=0),"",$L$37-1),IF($R$17="Distrato",$E337,0)),MIN(AK$38,$D$19),$P$20))-SUM($P337:AJ337)</f>
        <v>#VALUE!</v>
      </c>
      <c r="AL337" s="446" t="e">
        <f>IF(OR($B337="",MIN(AL$38,$D$19)&lt;MAX($P$34*($B337+IF($R$17="Distrato",$I$38-1,0)),IF(AND($L$37=0,$P$34=0),"",$L$37-1),IF($R$17="Distrato",$E337,0))),0,YEARFRAC(MAX($P$34*($B337+IF($R$17="Distrato",$I$38-1,0)),IF(AND($L$37=0,$P$34=0),"",$L$37-1),IF($R$17="Distrato",$E337,0)),MIN(AL$38,$D$19),$P$20))-SUM($P337:AK337)</f>
        <v>#VALUE!</v>
      </c>
      <c r="AM337" s="446" t="e">
        <f>IF(OR($B337="",MIN(AM$38,$D$19)&lt;MAX($P$34*($B337+IF($R$17="Distrato",$I$38-1,0)),IF(AND($L$37=0,$P$34=0),"",$L$37-1),IF($R$17="Distrato",$E337,0))),0,YEARFRAC(MAX($P$34*($B337+IF($R$17="Distrato",$I$38-1,0)),IF(AND($L$37=0,$P$34=0),"",$L$37-1),IF($R$17="Distrato",$E337,0)),MIN(AM$38,$D$19),$P$20))-SUM($P337:AL337)</f>
        <v>#VALUE!</v>
      </c>
      <c r="AN337" s="446" t="e">
        <f>IF(OR($B337="",MIN(AN$38,$D$19)&lt;MAX($P$34*($B337+IF($R$17="Distrato",$I$38-1,0)),IF(AND($L$37=0,$P$34=0),"",$L$37-1),IF($R$17="Distrato",$E337,0))),0,YEARFRAC(MAX($P$34*($B337+IF($R$17="Distrato",$I$38-1,0)),IF(AND($L$37=0,$P$34=0),"",$L$37-1),IF($R$17="Distrato",$E337,0)),MIN(AN$38,$D$19),$P$20))-SUM($P337:AM337)</f>
        <v>#VALUE!</v>
      </c>
      <c r="AO337" s="446" t="e">
        <f>IF(OR($B337="",MIN(AO$38,$D$19)&lt;MAX($P$34*($B337+IF($R$17="Distrato",$I$38-1,0)),IF(AND($L$37=0,$P$34=0),"",$L$37-1),IF($R$17="Distrato",$E337,0))),0,YEARFRAC(MAX($P$34*($B337+IF($R$17="Distrato",$I$38-1,0)),IF(AND($L$37=0,$P$34=0),"",$L$37-1),IF($R$17="Distrato",$E337,0)),MIN(AO$38,$D$19),$P$20))-SUM($P337:AN337)</f>
        <v>#VALUE!</v>
      </c>
      <c r="AP337" s="446" t="e">
        <f>IF(OR($B337="",MIN(AP$38,$D$19)&lt;MAX($P$34*($B337+IF($R$17="Distrato",$I$38-1,0)),IF(AND($L$37=0,$P$34=0),"",$L$37-1),IF($R$17="Distrato",$E337,0))),0,YEARFRAC(MAX($P$34*($B337+IF($R$17="Distrato",$I$38-1,0)),IF(AND($L$37=0,$P$34=0),"",$L$37-1),IF($R$17="Distrato",$E337,0)),MIN(AP$38,$D$19),$P$20))-SUM($P337:AO337)</f>
        <v>#VALUE!</v>
      </c>
      <c r="AQ337" s="446" t="e">
        <f>IF(OR($B337="",MIN(AQ$38,$D$19)&lt;MAX($P$34*($B337+IF($R$17="Distrato",$I$38-1,0)),IF(AND($L$37=0,$P$34=0),"",$L$37-1),IF($R$17="Distrato",$E337,0))),0,YEARFRAC(MAX($P$34*($B337+IF($R$17="Distrato",$I$38-1,0)),IF(AND($L$37=0,$P$34=0),"",$L$37-1),IF($R$17="Distrato",$E337,0)),MIN(AQ$38,$D$19),$P$20))-SUM($P337:AP337)</f>
        <v>#VALUE!</v>
      </c>
      <c r="AR337" s="446" t="e">
        <f>IF(OR($B337="",MIN(AR$38,$D$19)&lt;MAX($P$34*($B337+IF($R$17="Distrato",$I$38-1,0)),IF(AND($L$37=0,$P$34=0),"",$L$37-1),IF($R$17="Distrato",$E337,0))),0,YEARFRAC(MAX($P$34*($B337+IF($R$17="Distrato",$I$38-1,0)),IF(AND($L$37=0,$P$34=0),"",$L$37-1),IF($R$17="Distrato",$E337,0)),MIN(AR$38,$D$19),$P$20))-SUM($P337:AQ337)</f>
        <v>#VALUE!</v>
      </c>
      <c r="AS337" s="446" t="e">
        <f>IF(OR($B337="",MIN(AS$38,$D$19)&lt;MAX($P$34*($B337+IF($R$17="Distrato",$I$38-1,0)),IF(AND($L$37=0,$P$34=0),"",$L$37-1),IF($R$17="Distrato",$E337,0))),0,YEARFRAC(MAX($P$34*($B337+IF($R$17="Distrato",$I$38-1,0)),IF(AND($L$37=0,$P$34=0),"",$L$37-1),IF($R$17="Distrato",$E337,0)),MIN(AS$38,$D$19),$P$20))-SUM($P337:AR337)</f>
        <v>#VALUE!</v>
      </c>
      <c r="AT337" s="446" t="e">
        <f>IF(OR($B337="",MIN(AT$38,$D$19)&lt;MAX($P$34*($B337+IF($R$17="Distrato",$I$38-1,0)),IF(AND($L$37=0,$P$34=0),"",$L$37-1),IF($R$17="Distrato",$E337,0))),0,YEARFRAC(MAX($P$34*($B337+IF($R$17="Distrato",$I$38-1,0)),IF(AND($L$37=0,$P$34=0),"",$L$37-1),IF($R$17="Distrato",$E337,0)),MIN(AT$38,$D$19),$P$20))-SUM($P337:AS337)</f>
        <v>#VALUE!</v>
      </c>
      <c r="AU337" s="446" t="e">
        <f>IF(OR($B337="",MIN(AU$38,$D$19)&lt;MAX($P$34*($B337+IF($R$17="Distrato",$I$38-1,0)),IF(AND($L$37=0,$P$34=0),"",$L$37-1),IF($R$17="Distrato",$E337,0))),0,YEARFRAC(MAX($P$34*($B337+IF($R$17="Distrato",$I$38-1,0)),IF(AND($L$37=0,$P$34=0),"",$L$37-1),IF($R$17="Distrato",$E337,0)),MIN(AU$38,$D$19),$P$20))-SUM($P337:AT337)</f>
        <v>#VALUE!</v>
      </c>
      <c r="AV337" s="446" t="e">
        <f>IF(OR($B337="",MIN(AV$38,$D$19)&lt;MAX($P$34*($B337+IF($R$17="Distrato",$I$38-1,0)),IF(AND($L$37=0,$P$34=0),"",$L$37-1),IF($R$17="Distrato",$E337,0))),0,YEARFRAC(MAX($P$34*($B337+IF($R$17="Distrato",$I$38-1,0)),IF(AND($L$37=0,$P$34=0),"",$L$37-1),IF($R$17="Distrato",$E337,0)),MIN(AV$38,$D$19),$P$20))-SUM($P337:AU337)</f>
        <v>#VALUE!</v>
      </c>
      <c r="AW337" s="446" t="e">
        <f>IF(OR($B337="",MIN(AW$38,$D$19)&lt;MAX($P$34*($B337+IF($R$17="Distrato",$I$38-1,0)),IF(AND($L$37=0,$P$34=0),"",$L$37-1),IF($R$17="Distrato",$E337,0))),0,YEARFRAC(MAX($P$34*($B337+IF($R$17="Distrato",$I$38-1,0)),IF(AND($L$37=0,$P$34=0),"",$L$37-1),IF($R$17="Distrato",$E337,0)),MIN(AW$38,$D$19),$P$20))-SUM($P337:AV337)</f>
        <v>#VALUE!</v>
      </c>
      <c r="AX337" s="446" t="e">
        <f>IF(OR($B337="",MIN(AX$38,$D$19)&lt;MAX($P$34*($B337+IF($R$17="Distrato",$I$38-1,0)),IF(AND($L$37=0,$P$34=0),"",$L$37-1),IF($R$17="Distrato",$E337,0))),0,YEARFRAC(MAX($P$34*($B337+IF($R$17="Distrato",$I$38-1,0)),IF(AND($L$37=0,$P$34=0),"",$L$37-1),IF($R$17="Distrato",$E337,0)),MIN(AX$38,$D$19),$P$20))-SUM($P337:AW337)</f>
        <v>#VALUE!</v>
      </c>
      <c r="AY337" s="446" t="e">
        <f>IF(OR($B337="",MIN(AY$38,$D$19)&lt;MAX($P$34*($B337+IF($R$17="Distrato",$I$38-1,0)),IF(AND($L$37=0,$P$34=0),"",$L$37-1),IF($R$17="Distrato",$E337,0))),0,YEARFRAC(MAX($P$34*($B337+IF($R$17="Distrato",$I$38-1,0)),IF(AND($L$37=0,$P$34=0),"",$L$37-1),IF($R$17="Distrato",$E337,0)),MIN(AY$38,$D$19),$P$20))-SUM($P337:AX337)</f>
        <v>#VALUE!</v>
      </c>
      <c r="AZ337" s="446" t="e">
        <f>IF(OR($B337="",MIN(AZ$38,$D$19)&lt;MAX($P$34*($B337+IF($R$17="Distrato",$I$38-1,0)),IF(AND($L$37=0,$P$34=0),"",$L$37-1),IF($R$17="Distrato",$E337,0))),0,YEARFRAC(MAX($P$34*($B337+IF($R$17="Distrato",$I$38-1,0)),IF(AND($L$37=0,$P$34=0),"",$L$37-1),IF($R$17="Distrato",$E337,0)),MIN(AZ$38,$D$19),$P$20))-SUM($P337:AY337)</f>
        <v>#VALUE!</v>
      </c>
      <c r="BA337" s="446" t="e">
        <f>IF(OR($B337="",MIN(BA$38,$D$19)&lt;MAX($P$34*($B337+IF($R$17="Distrato",$I$38-1,0)),IF(AND($L$37=0,$P$34=0),"",$L$37-1),IF($R$17="Distrato",$E337,0))),0,YEARFRAC(MAX($P$34*($B337+IF($R$17="Distrato",$I$38-1,0)),IF(AND($L$37=0,$P$34=0),"",$L$37-1),IF($R$17="Distrato",$E337,0)),MIN(BA$38,$D$19),$P$20))-SUM($P337:AZ337)</f>
        <v>#VALUE!</v>
      </c>
      <c r="BB337" s="447"/>
      <c r="BF337" s="446">
        <f t="shared" si="54"/>
        <v>0</v>
      </c>
      <c r="BG337" s="446">
        <f>IF($E337=0,0,IF(MIN(BG$38,$E337)&lt;MAX($P$34*($B337+$I$38-1),IF(AND($L$37=0,$P$34=0),"",$L$37-1)),0,YEARFRAC(MAX($P$34*($B337+$I$38-1),IF(AND($L$37=0,$P$34=0),"",$L$37-1)),MIN(BG$38,$E337),$P$20))-SUM($BF337:BF337))</f>
        <v>0</v>
      </c>
      <c r="BH337" s="446">
        <f>IF($E337=0,0,IF(MIN(BH$38,$E337)&lt;MAX($P$34*($B337+$I$38-1),IF(AND($L$37=0,$P$34=0),"",$L$37-1)),0,YEARFRAC(MAX($P$34*($B337+$I$38-1),IF(AND($L$37=0,$P$34=0),"",$L$37-1)),MIN(BH$38,$E337),$P$20))-SUM($BF337:BG337))</f>
        <v>0</v>
      </c>
      <c r="BI337" s="446">
        <f>IF($E337=0,0,IF(MIN(BI$38,$E337)&lt;MAX($P$34*($B337+$I$38-1),IF(AND($L$37=0,$P$34=0),"",$L$37-1)),0,YEARFRAC(MAX($P$34*($B337+$I$38-1),IF(AND($L$37=0,$P$34=0),"",$L$37-1)),MIN(BI$38,$E337),$P$20))-SUM($BF337:BH337))</f>
        <v>0</v>
      </c>
      <c r="BJ337" s="446">
        <f>IF($E337=0,0,IF(MIN(BJ$38,$E337)&lt;MAX($P$34*($B337+$I$38-1),IF(AND($L$37=0,$P$34=0),"",$L$37-1)),0,YEARFRAC(MAX($P$34*($B337+$I$38-1),IF(AND($L$37=0,$P$34=0),"",$L$37-1)),MIN(BJ$38,$E337),$P$20))-SUM($BF337:BI337))</f>
        <v>0</v>
      </c>
      <c r="BK337" s="446">
        <f>IF($E337=0,0,IF(MIN(BK$38,$E337)&lt;MAX($P$34*($B337+$I$38-1),IF(AND($L$37=0,$P$34=0),"",$L$37-1)),0,YEARFRAC(MAX($P$34*($B337+$I$38-1),IF(AND($L$37=0,$P$34=0),"",$L$37-1)),MIN(BK$38,$E337),$P$20))-SUM($BF337:BJ337))</f>
        <v>0</v>
      </c>
      <c r="BL337" s="446">
        <f>IF($E337=0,0,IF(MIN(BL$38,$E337)&lt;MAX($P$34*($B337+$I$38-1),IF(AND($L$37=0,$P$34=0),"",$L$37-1)),0,YEARFRAC(MAX($P$34*($B337+$I$38-1),IF(AND($L$37=0,$P$34=0),"",$L$37-1)),MIN(BL$38,$E337),$P$20))-SUM($BF337:BK337))</f>
        <v>0</v>
      </c>
      <c r="BM337" s="446">
        <f>IF($E337=0,0,IF(MIN(BM$38,$E337)&lt;MAX($P$34*($B337+$I$38-1),IF(AND($L$37=0,$P$34=0),"",$L$37-1)),0,YEARFRAC(MAX($P$34*($B337+$I$38-1),IF(AND($L$37=0,$P$34=0),"",$L$37-1)),MIN(BM$38,$E337),$P$20))-SUM($BF337:BL337))</f>
        <v>0</v>
      </c>
      <c r="BN337" s="446">
        <f>IF($E337=0,0,IF(MIN(BN$38,$E337)&lt;MAX($P$34*($B337+$I$38-1),IF(AND($L$37=0,$P$34=0),"",$L$37-1)),0,YEARFRAC(MAX($P$34*($B337+$I$38-1),IF(AND($L$37=0,$P$34=0),"",$L$37-1)),MIN(BN$38,$E337),$P$20))-SUM($BF337:BM337))</f>
        <v>0</v>
      </c>
      <c r="BO337" s="446">
        <f>IF($E337=0,0,IF(MIN(BO$38,$E337)&lt;MAX($P$34*($B337+$I$38-1),IF(AND($L$37=0,$P$34=0),"",$L$37-1)),0,YEARFRAC(MAX($P$34*($B337+$I$38-1),IF(AND($L$37=0,$P$34=0),"",$L$37-1)),MIN(BO$38,$E337),$P$20))-SUM($BF337:BN337))</f>
        <v>0</v>
      </c>
      <c r="BP337" s="446">
        <f>IF($E337=0,0,IF(MIN(BP$38,$E337)&lt;MAX($P$34*($B337+$I$38-1),IF(AND($L$37=0,$P$34=0),"",$L$37-1)),0,YEARFRAC(MAX($P$34*($B337+$I$38-1),IF(AND($L$37=0,$P$34=0),"",$L$37-1)),MIN(BP$38,$E337),$P$20))-SUM($BF337:BO337))</f>
        <v>0</v>
      </c>
      <c r="BQ337" s="446">
        <f>IF($E337=0,0,IF(MIN(BQ$38,$E337)&lt;MAX($P$34*($B337+$I$38-1),IF(AND($L$37=0,$P$34=0),"",$L$37-1)),0,YEARFRAC(MAX($P$34*($B337+$I$38-1),IF(AND($L$37=0,$P$34=0),"",$L$37-1)),MIN(BQ$38,$E337),$P$20))-SUM($BF337:BP337))</f>
        <v>0</v>
      </c>
      <c r="BR337" s="446">
        <f>IF($E337=0,0,IF(MIN(BR$38,$E337)&lt;MAX($P$34*($B337+$I$38-1),IF(AND($L$37=0,$P$34=0),"",$L$37-1)),0,YEARFRAC(MAX($P$34*($B337+$I$38-1),IF(AND($L$37=0,$P$34=0),"",$L$37-1)),MIN(BR$38,$E337),$P$20))-SUM($BF337:BQ337))</f>
        <v>0</v>
      </c>
      <c r="BS337" s="446">
        <f>IF($E337=0,0,IF(MIN(BS$38,$E337)&lt;MAX($P$34*($B337+$I$38-1),IF(AND($L$37=0,$P$34=0),"",$L$37-1)),0,YEARFRAC(MAX($P$34*($B337+$I$38-1),IF(AND($L$37=0,$P$34=0),"",$L$37-1)),MIN(BS$38,$E337),$P$20))-SUM($BF337:BR337))</f>
        <v>0</v>
      </c>
      <c r="BT337" s="446">
        <f>IF($E337=0,0,IF(MIN(BT$38,$E337)&lt;MAX($P$34*($B337+$I$38-1),IF(AND($L$37=0,$P$34=0),"",$L$37-1)),0,YEARFRAC(MAX($P$34*($B337+$I$38-1),IF(AND($L$37=0,$P$34=0),"",$L$37-1)),MIN(BT$38,$E337),$P$20))-SUM($BF337:BS337))</f>
        <v>0</v>
      </c>
      <c r="BU337" s="446">
        <f>IF($E337=0,0,IF(MIN(BU$38,$E337)&lt;MAX($P$34*($B337+$I$38-1),IF(AND($L$37=0,$P$34=0),"",$L$37-1)),0,YEARFRAC(MAX($P$34*($B337+$I$38-1),IF(AND($L$37=0,$P$34=0),"",$L$37-1)),MIN(BU$38,$E337),$P$20))-SUM($BF337:BT337))</f>
        <v>0</v>
      </c>
      <c r="BV337" s="446">
        <f>IF($E337=0,0,IF(MIN(BV$38,$E337)&lt;MAX($P$34*($B337+$I$38-1),IF(AND($L$37=0,$P$34=0),"",$L$37-1)),0,YEARFRAC(MAX($P$34*($B337+$I$38-1),IF(AND($L$37=0,$P$34=0),"",$L$37-1)),MIN(BV$38,$E337),$P$20))-SUM($BF337:BU337))</f>
        <v>0</v>
      </c>
      <c r="BW337" s="446">
        <f>IF($E337=0,0,IF(MIN(BW$38,$E337)&lt;MAX($P$34*($B337+$I$38-1),IF(AND($L$37=0,$P$34=0),"",$L$37-1)),0,YEARFRAC(MAX($P$34*($B337+$I$38-1),IF(AND($L$37=0,$P$34=0),"",$L$37-1)),MIN(BW$38,$E337),$P$20))-SUM($BF337:BV337))</f>
        <v>0</v>
      </c>
      <c r="BX337" s="446">
        <f>IF($E337=0,0,IF(MIN(BX$38,$E337)&lt;MAX($P$34*($B337+$I$38-1),IF(AND($L$37=0,$P$34=0),"",$L$37-1)),0,YEARFRAC(MAX($P$34*($B337+$I$38-1),IF(AND($L$37=0,$P$34=0),"",$L$37-1)),MIN(BX$38,$E337),$P$20))-SUM($BF337:BW337))</f>
        <v>0</v>
      </c>
      <c r="BY337" s="446">
        <f>IF($E337=0,0,IF(MIN(BY$38,$E337)&lt;MAX($P$34*($B337+$I$38-1),IF(AND($L$37=0,$P$34=0),"",$L$37-1)),0,YEARFRAC(MAX($P$34*($B337+$I$38-1),IF(AND($L$37=0,$P$34=0),"",$L$37-1)),MIN(BY$38,$E337),$P$20))-SUM($BF337:BX337))</f>
        <v>0</v>
      </c>
      <c r="BZ337" s="446">
        <f>IF($E337=0,0,IF(MIN(BZ$38,$E337)&lt;MAX($P$34*($B337+$I$38-1),IF(AND($L$37=0,$P$34=0),"",$L$37-1)),0,YEARFRAC(MAX($P$34*($B337+$I$38-1),IF(AND($L$37=0,$P$34=0),"",$L$37-1)),MIN(BZ$38,$E337),$P$20))-SUM($BF337:BY337))</f>
        <v>0</v>
      </c>
      <c r="CA337" s="446">
        <f>IF($E337=0,0,IF(MIN(CA$38,$E337)&lt;MAX($P$34*($B337+$I$38-1),IF(AND($L$37=0,$P$34=0),"",$L$37-1)),0,YEARFRAC(MAX($P$34*($B337+$I$38-1),IF(AND($L$37=0,$P$34=0),"",$L$37-1)),MIN(CA$38,$E337),$P$20))-SUM($BF337:BZ337))</f>
        <v>0</v>
      </c>
      <c r="CB337" s="446">
        <f>IF($E337=0,0,IF(MIN(CB$38,$E337)&lt;MAX($P$34*($B337+$I$38-1),IF(AND($L$37=0,$P$34=0),"",$L$37-1)),0,YEARFRAC(MAX($P$34*($B337+$I$38-1),IF(AND($L$37=0,$P$34=0),"",$L$37-1)),MIN(CB$38,$E337),$P$20))-SUM($BF337:CA337))</f>
        <v>0</v>
      </c>
      <c r="CC337" s="446">
        <f>IF($E337=0,0,IF(MIN(CC$38,$E337)&lt;MAX($P$34*($B337+$I$38-1),IF(AND($L$37=0,$P$34=0),"",$L$37-1)),0,YEARFRAC(MAX($P$34*($B337+$I$38-1),IF(AND($L$37=0,$P$34=0),"",$L$37-1)),MIN(CC$38,$E337),$P$20))-SUM($BF337:CB337))</f>
        <v>0</v>
      </c>
      <c r="CD337" s="446">
        <f>IF($E337=0,0,IF(MIN(CD$38,$E337)&lt;MAX($P$34*($B337+$I$38-1),IF(AND($L$37=0,$P$34=0),"",$L$37-1)),0,YEARFRAC(MAX($P$34*($B337+$I$38-1),IF(AND($L$37=0,$P$34=0),"",$L$37-1)),MIN(CD$38,$E337),$P$20))-SUM($BF337:CC337))</f>
        <v>0</v>
      </c>
      <c r="CE337" s="446">
        <f>IF($E337=0,0,IF(MIN(CE$38,$E337)&lt;MAX($P$34*($B337+$I$38-1),IF(AND($L$37=0,$P$34=0),"",$L$37-1)),0,YEARFRAC(MAX($P$34*($B337+$I$38-1),IF(AND($L$37=0,$P$34=0),"",$L$37-1)),MIN(CE$38,$E337),$P$20))-SUM($BF337:CD337))</f>
        <v>0</v>
      </c>
      <c r="CF337" s="446">
        <f>IF($E337=0,0,IF(MIN(CF$38,$E337)&lt;MAX($P$34*($B337+$I$38-1),IF(AND($L$37=0,$P$34=0),"",$L$37-1)),0,YEARFRAC(MAX($P$34*($B337+$I$38-1),IF(AND($L$37=0,$P$34=0),"",$L$37-1)),MIN(CF$38,$E337),$P$20))-SUM($BF337:CE337))</f>
        <v>0</v>
      </c>
      <c r="CG337" s="446">
        <f>IF($E337=0,0,IF(MIN(CG$38,$E337)&lt;MAX($P$34*($B337+$I$38-1),IF(AND($L$37=0,$P$34=0),"",$L$37-1)),0,YEARFRAC(MAX($P$34*($B337+$I$38-1),IF(AND($L$37=0,$P$34=0),"",$L$37-1)),MIN(CG$38,$E337),$P$20))-SUM($BF337:CF337))</f>
        <v>0</v>
      </c>
      <c r="CH337" s="446">
        <f>IF($E337=0,0,IF(MIN(CH$38,$E337)&lt;MAX($P$34*($B337+$I$38-1),IF(AND($L$37=0,$P$34=0),"",$L$37-1)),0,YEARFRAC(MAX($P$34*($B337+$I$38-1),IF(AND($L$37=0,$P$34=0),"",$L$37-1)),MIN(CH$38,$E337),$P$20))-SUM($BF337:CG337))</f>
        <v>0</v>
      </c>
      <c r="CI337" s="446">
        <f>IF($E337=0,0,IF(MIN(CI$38,$E337)&lt;MAX($P$34*($B337+$I$38-1),IF(AND($L$37=0,$P$34=0),"",$L$37-1)),0,YEARFRAC(MAX($P$34*($B337+$I$38-1),IF(AND($L$37=0,$P$34=0),"",$L$37-1)),MIN(CI$38,$E337),$P$20))-SUM($BF337:CH337))</f>
        <v>0</v>
      </c>
      <c r="CJ337" s="446">
        <f>IF($E337=0,0,IF(MIN(CJ$38,$E337)&lt;MAX($P$34*($B337+$I$38-1),IF(AND($L$37=0,$P$34=0),"",$L$37-1)),0,YEARFRAC(MAX($P$34*($B337+$I$38-1),IF(AND($L$37=0,$P$34=0),"",$L$37-1)),MIN(CJ$38,$E337),$P$20))-SUM($BF337:CI337))</f>
        <v>0</v>
      </c>
      <c r="CK337" s="446">
        <f>IF($E337=0,0,IF(MIN(CK$38,$E337)&lt;MAX($P$34*($B337+$I$38-1),IF(AND($L$37=0,$P$34=0),"",$L$37-1)),0,YEARFRAC(MAX($P$34*($B337+$I$38-1),IF(AND($L$37=0,$P$34=0),"",$L$37-1)),MIN(CK$38,$E337),$P$20))-SUM($BF337:CJ337))</f>
        <v>0</v>
      </c>
      <c r="CL337" s="446">
        <f>IF($E337=0,0,IF(MIN(CL$38,$E337)&lt;MAX($P$34*($B337+$I$38-1),IF(AND($L$37=0,$P$34=0),"",$L$37-1)),0,YEARFRAC(MAX($P$34*($B337+$I$38-1),IF(AND($L$37=0,$P$34=0),"",$L$37-1)),MIN(CL$38,$E337),$P$20))-SUM($BF337:CK337))</f>
        <v>0</v>
      </c>
      <c r="CM337" s="446">
        <f>IF($E337=0,0,IF(MIN(CM$38,$E337)&lt;MAX($P$34*($B337+$I$38-1),IF(AND($L$37=0,$P$34=0),"",$L$37-1)),0,YEARFRAC(MAX($P$34*($B337+$I$38-1),IF(AND($L$37=0,$P$34=0),"",$L$37-1)),MIN(CM$38,$E337),$P$20))-SUM($BF337:CL337))</f>
        <v>0</v>
      </c>
      <c r="CN337" s="446">
        <f>IF($E337=0,0,IF(MIN(CN$38,$E337)&lt;MAX($P$34*($B337+$I$38-1),IF(AND($L$37=0,$P$34=0),"",$L$37-1)),0,YEARFRAC(MAX($P$34*($B337+$I$38-1),IF(AND($L$37=0,$P$34=0),"",$L$37-1)),MIN(CN$38,$E337),$P$20))-SUM($BF337:CM337))</f>
        <v>0</v>
      </c>
      <c r="CO337" s="446">
        <f>IF($E337=0,0,IF(MIN(CO$38,$E337)&lt;MAX($P$34*($B337+$I$38-1),IF(AND($L$37=0,$P$34=0),"",$L$37-1)),0,YEARFRAC(MAX($P$34*($B337+$I$38-1),IF(AND($L$37=0,$P$34=0),"",$L$37-1)),MIN(CO$38,$E337),$P$20))-SUM($BF337:CN337))</f>
        <v>0</v>
      </c>
      <c r="CP337" s="446">
        <f>IF($E337=0,0,IF(MIN(CP$38,$E337)&lt;MAX($P$34*($B337+$I$38-1),IF(AND($L$37=0,$P$34=0),"",$L$37-1)),0,YEARFRAC(MAX($P$34*($B337+$I$38-1),IF(AND($L$37=0,$P$34=0),"",$L$37-1)),MIN(CP$38,$E337),$P$20))-SUM($BF337:CO337))</f>
        <v>0</v>
      </c>
      <c r="CQ337" s="446">
        <f>IF($E337=0,0,IF(MIN(CQ$38,$E337)&lt;MAX($P$34*($B337+$I$38-1),IF(AND($L$37=0,$P$34=0),"",$L$37-1)),0,YEARFRAC(MAX($P$34*($B337+$I$38-1),IF(AND($L$37=0,$P$34=0),"",$L$37-1)),MIN(CQ$38,$E337),$P$20))-SUM($BF337:CP337))</f>
        <v>0</v>
      </c>
    </row>
    <row r="338" spans="1:95" s="446" customFormat="1" ht="11.25" hidden="1" customHeight="1" x14ac:dyDescent="0.2">
      <c r="A338" s="152"/>
      <c r="B338" s="153" t="str">
        <f t="shared" si="59"/>
        <v/>
      </c>
      <c r="C338" s="29" t="str">
        <f>IF(B338="","",IF($L$35="SELIC - TRIBUTOS",VLOOKUP(DATE(YEAR($D$19),MONTH($D$19)-1,1),ÍNDICES!$A:$DE,HLOOKUP($BL$25,ÍNDICES!$B$3:$T$4,2)+11)-VLOOKUP(B338,ÍNDICES!$A:$DE,HLOOKUP($BL$25,ÍNDICES!$B$3:$T$4,2)+11)+1%,IF(C$38=$W$26,$J$35,IF(ISERROR(IF(B338&gt;$D$19,1,VLOOKUP(DATE(YEAR(B338),MONTH(B338)+IF($C$35=$S$23,1,0),1),ÍNDICES!$A:$DE,$Z$35+1))),"",IF(B338&gt;$D$19,1,VLOOKUP(DATE(YEAR(B338),MONTH(B338)+IF($C$35=$S$23,1,0),1),ÍNDICES!$A:$DE,$Z$35+1))))))</f>
        <v/>
      </c>
      <c r="D338" s="154" t="str">
        <f>IF(ISERROR(IF(OR($D$38=$Y$27,$B338=""),"",VLOOKUP(B338,ÍNDICES!A:DE,AF$35+1))),"",IF(OR($D$38=$Y$27,$B338=""),"",VLOOKUP(B338,ÍNDICES!A:DE,AF$35+1)))</f>
        <v/>
      </c>
      <c r="E338" s="153"/>
      <c r="F338" s="29" t="str">
        <f>IF(E338="","",IF($L$35="SELIC - TRIBUTOS",VLOOKUP(DATE(YEAR($D$19),MONTH($D$19)-1,1),ÍNDICES!$A:$DE,HLOOKUP($BL$25,ÍNDICES!$B$3:$T$4,2)+11)-VLOOKUP(E338,ÍNDICES!$A:$DE,HLOOKUP($BL$25,ÍNDICES!$B$3:$T$4,2)+11)+1%,IF(F$38=$W$26,$J$35,IF(ISERROR(IF(E338&gt;$D$19,1,VLOOKUP(DATE(YEAR(E338),MONTH(E338)+IF($C$35=$S$23,1,0),1),ÍNDICES!$A:$DE,$Z$35+1))),"",IF(E338&gt;$D$19,1,VLOOKUP(DATE(YEAR(E338),MONTH(E338)+IF($C$35=$S$23,1,0),1),ÍNDICES!$A:$DE,$Z$35+1))))))</f>
        <v/>
      </c>
      <c r="G338" s="155"/>
      <c r="H338" s="156" t="str">
        <f t="shared" si="55"/>
        <v/>
      </c>
      <c r="I338" s="29" t="str">
        <f t="shared" si="49"/>
        <v/>
      </c>
      <c r="J338" s="5">
        <f t="shared" si="50"/>
        <v>0</v>
      </c>
      <c r="K338" s="20">
        <f t="shared" ca="1" si="51"/>
        <v>0</v>
      </c>
      <c r="L338" s="5">
        <f t="shared" ca="1" si="52"/>
        <v>0</v>
      </c>
      <c r="M338" s="64">
        <f t="shared" si="56"/>
        <v>0</v>
      </c>
      <c r="N338" s="61">
        <f t="shared" ca="1" si="57"/>
        <v>0</v>
      </c>
      <c r="O338" s="5">
        <f t="shared" ca="1" si="58"/>
        <v>0</v>
      </c>
      <c r="P338" s="446" t="e">
        <f t="shared" si="53"/>
        <v>#VALUE!</v>
      </c>
      <c r="Q338" s="446" t="e">
        <f>IF(OR($B338="",MIN(Q$38,$D$19)&lt;MAX($P$34*($B338+IF($R$17="Distrato",$I$38-1,0)),IF(AND($L$37=0,$P$34=0),"",$L$37-1),IF($R$17="Distrato",$E338,0))),0,YEARFRAC(MAX($P$34*($B338+IF($R$17="Distrato",$I$38-1,0)),IF(AND($L$37=0,$P$34=0),"",$L$37-1),IF($R$17="Distrato",$E338,0)),MIN(Q$38,$D$19),$P$20))-SUM($P338:P338)</f>
        <v>#VALUE!</v>
      </c>
      <c r="R338" s="446" t="e">
        <f>IF(OR($B338="",MIN(R$38,$D$19)&lt;MAX($P$34*($B338+IF($R$17="Distrato",$I$38-1,0)),IF(AND($L$37=0,$P$34=0),"",$L$37-1),IF($R$17="Distrato",$E338,0))),0,YEARFRAC(MAX($P$34*($B338+IF($R$17="Distrato",$I$38-1,0)),IF(AND($L$37=0,$P$34=0),"",$L$37-1),IF($R$17="Distrato",$E338,0)),MIN(R$38,$D$19),$P$20))-SUM($P338:Q338)</f>
        <v>#VALUE!</v>
      </c>
      <c r="S338" s="446" t="e">
        <f>IF(OR($B338="",MIN(S$38,$D$19)&lt;MAX($P$34*($B338+IF($R$17="Distrato",$I$38-1,0)),IF(AND($L$37=0,$P$34=0),"",$L$37-1),IF($R$17="Distrato",$E338,0))),0,YEARFRAC(MAX($P$34*($B338+IF($R$17="Distrato",$I$38-1,0)),IF(AND($L$37=0,$P$34=0),"",$L$37-1),IF($R$17="Distrato",$E338,0)),MIN(S$38,$D$19),$P$20))-SUM($P338:R338)</f>
        <v>#VALUE!</v>
      </c>
      <c r="T338" s="446" t="e">
        <f>IF(OR($B338="",MIN(T$38,$D$19)&lt;MAX($P$34*($B338+IF($R$17="Distrato",$I$38-1,0)),IF(AND($L$37=0,$P$34=0),"",$L$37-1),IF($R$17="Distrato",$E338,0))),0,YEARFRAC(MAX($P$34*($B338+IF($R$17="Distrato",$I$38-1,0)),IF(AND($L$37=0,$P$34=0),"",$L$37-1),IF($R$17="Distrato",$E338,0)),MIN(T$38,$D$19),$P$20))-SUM($P338:S338)</f>
        <v>#VALUE!</v>
      </c>
      <c r="U338" s="446" t="e">
        <f>IF(OR($B338="",MIN(U$38,$D$19)&lt;MAX($P$34*($B338+IF($R$17="Distrato",$I$38-1,0)),IF(AND($L$37=0,$P$34=0),"",$L$37-1),IF($R$17="Distrato",$E338,0))),0,YEARFRAC(MAX($P$34*($B338+IF($R$17="Distrato",$I$38-1,0)),IF(AND($L$37=0,$P$34=0),"",$L$37-1),IF($R$17="Distrato",$E338,0)),MIN(U$38,$D$19),$P$20))-SUM($P338:T338)</f>
        <v>#VALUE!</v>
      </c>
      <c r="V338" s="446" t="e">
        <f>IF(OR($B338="",MIN(V$38,$D$19)&lt;MAX($P$34*($B338+IF($R$17="Distrato",$I$38-1,0)),IF(AND($L$37=0,$P$34=0),"",$L$37-1),IF($R$17="Distrato",$E338,0))),0,YEARFRAC(MAX($P$34*($B338+IF($R$17="Distrato",$I$38-1,0)),IF(AND($L$37=0,$P$34=0),"",$L$37-1),IF($R$17="Distrato",$E338,0)),MIN(V$38,$D$19),$P$20))-SUM($P338:U338)</f>
        <v>#VALUE!</v>
      </c>
      <c r="W338" s="446" t="e">
        <f>IF(OR($B338="",MIN(W$38,$D$19)&lt;MAX($P$34*($B338+IF($R$17="Distrato",$I$38-1,0)),IF(AND($L$37=0,$P$34=0),"",$L$37-1),IF($R$17="Distrato",$E338,0))),0,YEARFRAC(MAX($P$34*($B338+IF($R$17="Distrato",$I$38-1,0)),IF(AND($L$37=0,$P$34=0),"",$L$37-1),IF($R$17="Distrato",$E338,0)),MIN(W$38,$D$19),$P$20))-SUM($P338:V338)</f>
        <v>#VALUE!</v>
      </c>
      <c r="X338" s="446" t="e">
        <f>IF(OR($B338="",MIN(X$38,$D$19)&lt;MAX($P$34*($B338+IF($R$17="Distrato",$I$38-1,0)),IF(AND($L$37=0,$P$34=0),"",$L$37-1),IF($R$17="Distrato",$E338,0))),0,YEARFRAC(MAX($P$34*($B338+IF($R$17="Distrato",$I$38-1,0)),IF(AND($L$37=0,$P$34=0),"",$L$37-1),IF($R$17="Distrato",$E338,0)),MIN(X$38,$D$19),$P$20))-SUM($P338:W338)</f>
        <v>#VALUE!</v>
      </c>
      <c r="Y338" s="446" t="e">
        <f>IF(OR($B338="",MIN(Y$38,$D$19)&lt;MAX($P$34*($B338+IF($R$17="Distrato",$I$38-1,0)),IF(AND($L$37=0,$P$34=0),"",$L$37-1),IF($R$17="Distrato",$E338,0))),0,YEARFRAC(MAX($P$34*($B338+IF($R$17="Distrato",$I$38-1,0)),IF(AND($L$37=0,$P$34=0),"",$L$37-1),IF($R$17="Distrato",$E338,0)),MIN(Y$38,$D$19),$P$20))-SUM($P338:X338)</f>
        <v>#VALUE!</v>
      </c>
      <c r="Z338" s="446" t="e">
        <f>IF(OR($B338="",MIN(Z$38,$D$19)&lt;MAX($P$34*($B338+IF($R$17="Distrato",$I$38-1,0)),IF(AND($L$37=0,$P$34=0),"",$L$37-1),IF($R$17="Distrato",$E338,0))),0,YEARFRAC(MAX($P$34*($B338+IF($R$17="Distrato",$I$38-1,0)),IF(AND($L$37=0,$P$34=0),"",$L$37-1),IF($R$17="Distrato",$E338,0)),MIN(Z$38,$D$19),$P$20))-SUM($P338:Y338)</f>
        <v>#VALUE!</v>
      </c>
      <c r="AA338" s="446" t="e">
        <f>IF(OR($B338="",MIN(AA$38,$D$19)&lt;MAX($P$34*($B338+IF($R$17="Distrato",$I$38-1,0)),IF(AND($L$37=0,$P$34=0),"",$L$37-1),IF($R$17="Distrato",$E338,0))),0,YEARFRAC(MAX($P$34*($B338+IF($R$17="Distrato",$I$38-1,0)),IF(AND($L$37=0,$P$34=0),"",$L$37-1),IF($R$17="Distrato",$E338,0)),MIN(AA$38,$D$19),$P$20))-SUM($P338:Z338)</f>
        <v>#VALUE!</v>
      </c>
      <c r="AB338" s="446" t="e">
        <f>IF(OR($B338="",MIN(AB$38,$D$19)&lt;MAX($P$34*($B338+IF($R$17="Distrato",$I$38-1,0)),IF(AND($L$37=0,$P$34=0),"",$L$37-1),IF($R$17="Distrato",$E338,0))),0,YEARFRAC(MAX($P$34*($B338+IF($R$17="Distrato",$I$38-1,0)),IF(AND($L$37=0,$P$34=0),"",$L$37-1),IF($R$17="Distrato",$E338,0)),MIN(AB$38,$D$19),$P$20))-SUM($P338:AA338)</f>
        <v>#VALUE!</v>
      </c>
      <c r="AC338" s="446" t="e">
        <f>IF(OR($B338="",MIN(AC$38,$D$19)&lt;MAX($P$34*($B338+IF($R$17="Distrato",$I$38-1,0)),IF(AND($L$37=0,$P$34=0),"",$L$37-1),IF($R$17="Distrato",$E338,0))),0,YEARFRAC(MAX($P$34*($B338+IF($R$17="Distrato",$I$38-1,0)),IF(AND($L$37=0,$P$34=0),"",$L$37-1),IF($R$17="Distrato",$E338,0)),MIN(AC$38,$D$19),$P$20))-SUM($P338:AB338)</f>
        <v>#VALUE!</v>
      </c>
      <c r="AD338" s="446" t="e">
        <f>IF(OR($B338="",MIN(AD$38,$D$19)&lt;MAX($P$34*($B338+IF($R$17="Distrato",$I$38-1,0)),IF(AND($L$37=0,$P$34=0),"",$L$37-1),IF($R$17="Distrato",$E338,0))),0,YEARFRAC(MAX($P$34*($B338+IF($R$17="Distrato",$I$38-1,0)),IF(AND($L$37=0,$P$34=0),"",$L$37-1),IF($R$17="Distrato",$E338,0)),MIN(AD$38,$D$19),$P$20))-SUM($P338:AC338)</f>
        <v>#VALUE!</v>
      </c>
      <c r="AE338" s="446" t="e">
        <f>IF(OR($B338="",MIN(AE$38,$D$19)&lt;MAX($P$34*($B338+IF($R$17="Distrato",$I$38-1,0)),IF(AND($L$37=0,$P$34=0),"",$L$37-1),IF($R$17="Distrato",$E338,0))),0,YEARFRAC(MAX($P$34*($B338+IF($R$17="Distrato",$I$38-1,0)),IF(AND($L$37=0,$P$34=0),"",$L$37-1),IF($R$17="Distrato",$E338,0)),MIN(AE$38,$D$19),$P$20))-SUM($P338:AD338)</f>
        <v>#VALUE!</v>
      </c>
      <c r="AF338" s="446" t="e">
        <f>IF(OR($B338="",MIN(AF$38,$D$19)&lt;MAX($P$34*($B338+IF($R$17="Distrato",$I$38-1,0)),IF(AND($L$37=0,$P$34=0),"",$L$37-1),IF($R$17="Distrato",$E338,0))),0,YEARFRAC(MAX($P$34*($B338+IF($R$17="Distrato",$I$38-1,0)),IF(AND($L$37=0,$P$34=0),"",$L$37-1),IF($R$17="Distrato",$E338,0)),MIN(AF$38,$D$19),$P$20))-SUM($P338:AE338)</f>
        <v>#VALUE!</v>
      </c>
      <c r="AG338" s="446" t="e">
        <f>IF(OR($B338="",MIN(AG$38,$D$19)&lt;MAX($P$34*($B338+IF($R$17="Distrato",$I$38-1,0)),IF(AND($L$37=0,$P$34=0),"",$L$37-1),IF($R$17="Distrato",$E338,0))),0,YEARFRAC(MAX($P$34*($B338+IF($R$17="Distrato",$I$38-1,0)),IF(AND($L$37=0,$P$34=0),"",$L$37-1),IF($R$17="Distrato",$E338,0)),MIN(AG$38,$D$19),$P$20))-SUM($P338:AF338)</f>
        <v>#VALUE!</v>
      </c>
      <c r="AH338" s="446" t="e">
        <f>IF(OR($B338="",MIN(AH$38,$D$19)&lt;MAX($P$34*($B338+IF($R$17="Distrato",$I$38-1,0)),IF(AND($L$37=0,$P$34=0),"",$L$37-1),IF($R$17="Distrato",$E338,0))),0,YEARFRAC(MAX($P$34*($B338+IF($R$17="Distrato",$I$38-1,0)),IF(AND($L$37=0,$P$34=0),"",$L$37-1),IF($R$17="Distrato",$E338,0)),MIN(AH$38,$D$19),$P$20))-SUM($P338:AG338)</f>
        <v>#VALUE!</v>
      </c>
      <c r="AI338" s="446" t="e">
        <f>IF(OR($B338="",MIN(AI$38,$D$19)&lt;MAX($P$34*($B338+IF($R$17="Distrato",$I$38-1,0)),IF(AND($L$37=0,$P$34=0),"",$L$37-1),IF($R$17="Distrato",$E338,0))),0,YEARFRAC(MAX($P$34*($B338+IF($R$17="Distrato",$I$38-1,0)),IF(AND($L$37=0,$P$34=0),"",$L$37-1),IF($R$17="Distrato",$E338,0)),MIN(AI$38,$D$19),$P$20))-SUM($P338:AH338)</f>
        <v>#VALUE!</v>
      </c>
      <c r="AJ338" s="446" t="e">
        <f>IF(OR($B338="",MIN(AJ$38,$D$19)&lt;MAX($P$34*($B338+IF($R$17="Distrato",$I$38-1,0)),IF(AND($L$37=0,$P$34=0),"",$L$37-1),IF($R$17="Distrato",$E338,0))),0,YEARFRAC(MAX($P$34*($B338+IF($R$17="Distrato",$I$38-1,0)),IF(AND($L$37=0,$P$34=0),"",$L$37-1),IF($R$17="Distrato",$E338,0)),MIN(AJ$38,$D$19),$P$20))-SUM($P338:AI338)</f>
        <v>#VALUE!</v>
      </c>
      <c r="AK338" s="446" t="e">
        <f>IF(OR($B338="",MIN(AK$38,$D$19)&lt;MAX($P$34*($B338+IF($R$17="Distrato",$I$38-1,0)),IF(AND($L$37=0,$P$34=0),"",$L$37-1),IF($R$17="Distrato",$E338,0))),0,YEARFRAC(MAX($P$34*($B338+IF($R$17="Distrato",$I$38-1,0)),IF(AND($L$37=0,$P$34=0),"",$L$37-1),IF($R$17="Distrato",$E338,0)),MIN(AK$38,$D$19),$P$20))-SUM($P338:AJ338)</f>
        <v>#VALUE!</v>
      </c>
      <c r="AL338" s="446" t="e">
        <f>IF(OR($B338="",MIN(AL$38,$D$19)&lt;MAX($P$34*($B338+IF($R$17="Distrato",$I$38-1,0)),IF(AND($L$37=0,$P$34=0),"",$L$37-1),IF($R$17="Distrato",$E338,0))),0,YEARFRAC(MAX($P$34*($B338+IF($R$17="Distrato",$I$38-1,0)),IF(AND($L$37=0,$P$34=0),"",$L$37-1),IF($R$17="Distrato",$E338,0)),MIN(AL$38,$D$19),$P$20))-SUM($P338:AK338)</f>
        <v>#VALUE!</v>
      </c>
      <c r="AM338" s="446" t="e">
        <f>IF(OR($B338="",MIN(AM$38,$D$19)&lt;MAX($P$34*($B338+IF($R$17="Distrato",$I$38-1,0)),IF(AND($L$37=0,$P$34=0),"",$L$37-1),IF($R$17="Distrato",$E338,0))),0,YEARFRAC(MAX($P$34*($B338+IF($R$17="Distrato",$I$38-1,0)),IF(AND($L$37=0,$P$34=0),"",$L$37-1),IF($R$17="Distrato",$E338,0)),MIN(AM$38,$D$19),$P$20))-SUM($P338:AL338)</f>
        <v>#VALUE!</v>
      </c>
      <c r="AN338" s="446" t="e">
        <f>IF(OR($B338="",MIN(AN$38,$D$19)&lt;MAX($P$34*($B338+IF($R$17="Distrato",$I$38-1,0)),IF(AND($L$37=0,$P$34=0),"",$L$37-1),IF($R$17="Distrato",$E338,0))),0,YEARFRAC(MAX($P$34*($B338+IF($R$17="Distrato",$I$38-1,0)),IF(AND($L$37=0,$P$34=0),"",$L$37-1),IF($R$17="Distrato",$E338,0)),MIN(AN$38,$D$19),$P$20))-SUM($P338:AM338)</f>
        <v>#VALUE!</v>
      </c>
      <c r="AO338" s="446" t="e">
        <f>IF(OR($B338="",MIN(AO$38,$D$19)&lt;MAX($P$34*($B338+IF($R$17="Distrato",$I$38-1,0)),IF(AND($L$37=0,$P$34=0),"",$L$37-1),IF($R$17="Distrato",$E338,0))),0,YEARFRAC(MAX($P$34*($B338+IF($R$17="Distrato",$I$38-1,0)),IF(AND($L$37=0,$P$34=0),"",$L$37-1),IF($R$17="Distrato",$E338,0)),MIN(AO$38,$D$19),$P$20))-SUM($P338:AN338)</f>
        <v>#VALUE!</v>
      </c>
      <c r="AP338" s="446" t="e">
        <f>IF(OR($B338="",MIN(AP$38,$D$19)&lt;MAX($P$34*($B338+IF($R$17="Distrato",$I$38-1,0)),IF(AND($L$37=0,$P$34=0),"",$L$37-1),IF($R$17="Distrato",$E338,0))),0,YEARFRAC(MAX($P$34*($B338+IF($R$17="Distrato",$I$38-1,0)),IF(AND($L$37=0,$P$34=0),"",$L$37-1),IF($R$17="Distrato",$E338,0)),MIN(AP$38,$D$19),$P$20))-SUM($P338:AO338)</f>
        <v>#VALUE!</v>
      </c>
      <c r="AQ338" s="446" t="e">
        <f>IF(OR($B338="",MIN(AQ$38,$D$19)&lt;MAX($P$34*($B338+IF($R$17="Distrato",$I$38-1,0)),IF(AND($L$37=0,$P$34=0),"",$L$37-1),IF($R$17="Distrato",$E338,0))),0,YEARFRAC(MAX($P$34*($B338+IF($R$17="Distrato",$I$38-1,0)),IF(AND($L$37=0,$P$34=0),"",$L$37-1),IF($R$17="Distrato",$E338,0)),MIN(AQ$38,$D$19),$P$20))-SUM($P338:AP338)</f>
        <v>#VALUE!</v>
      </c>
      <c r="AR338" s="446" t="e">
        <f>IF(OR($B338="",MIN(AR$38,$D$19)&lt;MAX($P$34*($B338+IF($R$17="Distrato",$I$38-1,0)),IF(AND($L$37=0,$P$34=0),"",$L$37-1),IF($R$17="Distrato",$E338,0))),0,YEARFRAC(MAX($P$34*($B338+IF($R$17="Distrato",$I$38-1,0)),IF(AND($L$37=0,$P$34=0),"",$L$37-1),IF($R$17="Distrato",$E338,0)),MIN(AR$38,$D$19),$P$20))-SUM($P338:AQ338)</f>
        <v>#VALUE!</v>
      </c>
      <c r="AS338" s="446" t="e">
        <f>IF(OR($B338="",MIN(AS$38,$D$19)&lt;MAX($P$34*($B338+IF($R$17="Distrato",$I$38-1,0)),IF(AND($L$37=0,$P$34=0),"",$L$37-1),IF($R$17="Distrato",$E338,0))),0,YEARFRAC(MAX($P$34*($B338+IF($R$17="Distrato",$I$38-1,0)),IF(AND($L$37=0,$P$34=0),"",$L$37-1),IF($R$17="Distrato",$E338,0)),MIN(AS$38,$D$19),$P$20))-SUM($P338:AR338)</f>
        <v>#VALUE!</v>
      </c>
      <c r="AT338" s="446" t="e">
        <f>IF(OR($B338="",MIN(AT$38,$D$19)&lt;MAX($P$34*($B338+IF($R$17="Distrato",$I$38-1,0)),IF(AND($L$37=0,$P$34=0),"",$L$37-1),IF($R$17="Distrato",$E338,0))),0,YEARFRAC(MAX($P$34*($B338+IF($R$17="Distrato",$I$38-1,0)),IF(AND($L$37=0,$P$34=0),"",$L$37-1),IF($R$17="Distrato",$E338,0)),MIN(AT$38,$D$19),$P$20))-SUM($P338:AS338)</f>
        <v>#VALUE!</v>
      </c>
      <c r="AU338" s="446" t="e">
        <f>IF(OR($B338="",MIN(AU$38,$D$19)&lt;MAX($P$34*($B338+IF($R$17="Distrato",$I$38-1,0)),IF(AND($L$37=0,$P$34=0),"",$L$37-1),IF($R$17="Distrato",$E338,0))),0,YEARFRAC(MAX($P$34*($B338+IF($R$17="Distrato",$I$38-1,0)),IF(AND($L$37=0,$P$34=0),"",$L$37-1),IF($R$17="Distrato",$E338,0)),MIN(AU$38,$D$19),$P$20))-SUM($P338:AT338)</f>
        <v>#VALUE!</v>
      </c>
      <c r="AV338" s="446" t="e">
        <f>IF(OR($B338="",MIN(AV$38,$D$19)&lt;MAX($P$34*($B338+IF($R$17="Distrato",$I$38-1,0)),IF(AND($L$37=0,$P$34=0),"",$L$37-1),IF($R$17="Distrato",$E338,0))),0,YEARFRAC(MAX($P$34*($B338+IF($R$17="Distrato",$I$38-1,0)),IF(AND($L$37=0,$P$34=0),"",$L$37-1),IF($R$17="Distrato",$E338,0)),MIN(AV$38,$D$19),$P$20))-SUM($P338:AU338)</f>
        <v>#VALUE!</v>
      </c>
      <c r="AW338" s="446" t="e">
        <f>IF(OR($B338="",MIN(AW$38,$D$19)&lt;MAX($P$34*($B338+IF($R$17="Distrato",$I$38-1,0)),IF(AND($L$37=0,$P$34=0),"",$L$37-1),IF($R$17="Distrato",$E338,0))),0,YEARFRAC(MAX($P$34*($B338+IF($R$17="Distrato",$I$38-1,0)),IF(AND($L$37=0,$P$34=0),"",$L$37-1),IF($R$17="Distrato",$E338,0)),MIN(AW$38,$D$19),$P$20))-SUM($P338:AV338)</f>
        <v>#VALUE!</v>
      </c>
      <c r="AX338" s="446" t="e">
        <f>IF(OR($B338="",MIN(AX$38,$D$19)&lt;MAX($P$34*($B338+IF($R$17="Distrato",$I$38-1,0)),IF(AND($L$37=0,$P$34=0),"",$L$37-1),IF($R$17="Distrato",$E338,0))),0,YEARFRAC(MAX($P$34*($B338+IF($R$17="Distrato",$I$38-1,0)),IF(AND($L$37=0,$P$34=0),"",$L$37-1),IF($R$17="Distrato",$E338,0)),MIN(AX$38,$D$19),$P$20))-SUM($P338:AW338)</f>
        <v>#VALUE!</v>
      </c>
      <c r="AY338" s="446" t="e">
        <f>IF(OR($B338="",MIN(AY$38,$D$19)&lt;MAX($P$34*($B338+IF($R$17="Distrato",$I$38-1,0)),IF(AND($L$37=0,$P$34=0),"",$L$37-1),IF($R$17="Distrato",$E338,0))),0,YEARFRAC(MAX($P$34*($B338+IF($R$17="Distrato",$I$38-1,0)),IF(AND($L$37=0,$P$34=0),"",$L$37-1),IF($R$17="Distrato",$E338,0)),MIN(AY$38,$D$19),$P$20))-SUM($P338:AX338)</f>
        <v>#VALUE!</v>
      </c>
      <c r="AZ338" s="446" t="e">
        <f>IF(OR($B338="",MIN(AZ$38,$D$19)&lt;MAX($P$34*($B338+IF($R$17="Distrato",$I$38-1,0)),IF(AND($L$37=0,$P$34=0),"",$L$37-1),IF($R$17="Distrato",$E338,0))),0,YEARFRAC(MAX($P$34*($B338+IF($R$17="Distrato",$I$38-1,0)),IF(AND($L$37=0,$P$34=0),"",$L$37-1),IF($R$17="Distrato",$E338,0)),MIN(AZ$38,$D$19),$P$20))-SUM($P338:AY338)</f>
        <v>#VALUE!</v>
      </c>
      <c r="BA338" s="446" t="e">
        <f>IF(OR($B338="",MIN(BA$38,$D$19)&lt;MAX($P$34*($B338+IF($R$17="Distrato",$I$38-1,0)),IF(AND($L$37=0,$P$34=0),"",$L$37-1),IF($R$17="Distrato",$E338,0))),0,YEARFRAC(MAX($P$34*($B338+IF($R$17="Distrato",$I$38-1,0)),IF(AND($L$37=0,$P$34=0),"",$L$37-1),IF($R$17="Distrato",$E338,0)),MIN(BA$38,$D$19),$P$20))-SUM($P338:AZ338)</f>
        <v>#VALUE!</v>
      </c>
      <c r="BB338" s="447"/>
      <c r="BF338" s="446">
        <f t="shared" si="54"/>
        <v>0</v>
      </c>
      <c r="BG338" s="446">
        <f>IF($E338=0,0,IF(MIN(BG$38,$E338)&lt;MAX($P$34*($B338+$I$38-1),IF(AND($L$37=0,$P$34=0),"",$L$37-1)),0,YEARFRAC(MAX($P$34*($B338+$I$38-1),IF(AND($L$37=0,$P$34=0),"",$L$37-1)),MIN(BG$38,$E338),$P$20))-SUM($BF338:BF338))</f>
        <v>0</v>
      </c>
      <c r="BH338" s="446">
        <f>IF($E338=0,0,IF(MIN(BH$38,$E338)&lt;MAX($P$34*($B338+$I$38-1),IF(AND($L$37=0,$P$34=0),"",$L$37-1)),0,YEARFRAC(MAX($P$34*($B338+$I$38-1),IF(AND($L$37=0,$P$34=0),"",$L$37-1)),MIN(BH$38,$E338),$P$20))-SUM($BF338:BG338))</f>
        <v>0</v>
      </c>
      <c r="BI338" s="446">
        <f>IF($E338=0,0,IF(MIN(BI$38,$E338)&lt;MAX($P$34*($B338+$I$38-1),IF(AND($L$37=0,$P$34=0),"",$L$37-1)),0,YEARFRAC(MAX($P$34*($B338+$I$38-1),IF(AND($L$37=0,$P$34=0),"",$L$37-1)),MIN(BI$38,$E338),$P$20))-SUM($BF338:BH338))</f>
        <v>0</v>
      </c>
      <c r="BJ338" s="446">
        <f>IF($E338=0,0,IF(MIN(BJ$38,$E338)&lt;MAX($P$34*($B338+$I$38-1),IF(AND($L$37=0,$P$34=0),"",$L$37-1)),0,YEARFRAC(MAX($P$34*($B338+$I$38-1),IF(AND($L$37=0,$P$34=0),"",$L$37-1)),MIN(BJ$38,$E338),$P$20))-SUM($BF338:BI338))</f>
        <v>0</v>
      </c>
      <c r="BK338" s="446">
        <f>IF($E338=0,0,IF(MIN(BK$38,$E338)&lt;MAX($P$34*($B338+$I$38-1),IF(AND($L$37=0,$P$34=0),"",$L$37-1)),0,YEARFRAC(MAX($P$34*($B338+$I$38-1),IF(AND($L$37=0,$P$34=0),"",$L$37-1)),MIN(BK$38,$E338),$P$20))-SUM($BF338:BJ338))</f>
        <v>0</v>
      </c>
      <c r="BL338" s="446">
        <f>IF($E338=0,0,IF(MIN(BL$38,$E338)&lt;MAX($P$34*($B338+$I$38-1),IF(AND($L$37=0,$P$34=0),"",$L$37-1)),0,YEARFRAC(MAX($P$34*($B338+$I$38-1),IF(AND($L$37=0,$P$34=0),"",$L$37-1)),MIN(BL$38,$E338),$P$20))-SUM($BF338:BK338))</f>
        <v>0</v>
      </c>
      <c r="BM338" s="446">
        <f>IF($E338=0,0,IF(MIN(BM$38,$E338)&lt;MAX($P$34*($B338+$I$38-1),IF(AND($L$37=0,$P$34=0),"",$L$37-1)),0,YEARFRAC(MAX($P$34*($B338+$I$38-1),IF(AND($L$37=0,$P$34=0),"",$L$37-1)),MIN(BM$38,$E338),$P$20))-SUM($BF338:BL338))</f>
        <v>0</v>
      </c>
      <c r="BN338" s="446">
        <f>IF($E338=0,0,IF(MIN(BN$38,$E338)&lt;MAX($P$34*($B338+$I$38-1),IF(AND($L$37=0,$P$34=0),"",$L$37-1)),0,YEARFRAC(MAX($P$34*($B338+$I$38-1),IF(AND($L$37=0,$P$34=0),"",$L$37-1)),MIN(BN$38,$E338),$P$20))-SUM($BF338:BM338))</f>
        <v>0</v>
      </c>
      <c r="BO338" s="446">
        <f>IF($E338=0,0,IF(MIN(BO$38,$E338)&lt;MAX($P$34*($B338+$I$38-1),IF(AND($L$37=0,$P$34=0),"",$L$37-1)),0,YEARFRAC(MAX($P$34*($B338+$I$38-1),IF(AND($L$37=0,$P$34=0),"",$L$37-1)),MIN(BO$38,$E338),$P$20))-SUM($BF338:BN338))</f>
        <v>0</v>
      </c>
      <c r="BP338" s="446">
        <f>IF($E338=0,0,IF(MIN(BP$38,$E338)&lt;MAX($P$34*($B338+$I$38-1),IF(AND($L$37=0,$P$34=0),"",$L$37-1)),0,YEARFRAC(MAX($P$34*($B338+$I$38-1),IF(AND($L$37=0,$P$34=0),"",$L$37-1)),MIN(BP$38,$E338),$P$20))-SUM($BF338:BO338))</f>
        <v>0</v>
      </c>
      <c r="BQ338" s="446">
        <f>IF($E338=0,0,IF(MIN(BQ$38,$E338)&lt;MAX($P$34*($B338+$I$38-1),IF(AND($L$37=0,$P$34=0),"",$L$37-1)),0,YEARFRAC(MAX($P$34*($B338+$I$38-1),IF(AND($L$37=0,$P$34=0),"",$L$37-1)),MIN(BQ$38,$E338),$P$20))-SUM($BF338:BP338))</f>
        <v>0</v>
      </c>
      <c r="BR338" s="446">
        <f>IF($E338=0,0,IF(MIN(BR$38,$E338)&lt;MAX($P$34*($B338+$I$38-1),IF(AND($L$37=0,$P$34=0),"",$L$37-1)),0,YEARFRAC(MAX($P$34*($B338+$I$38-1),IF(AND($L$37=0,$P$34=0),"",$L$37-1)),MIN(BR$38,$E338),$P$20))-SUM($BF338:BQ338))</f>
        <v>0</v>
      </c>
      <c r="BS338" s="446">
        <f>IF($E338=0,0,IF(MIN(BS$38,$E338)&lt;MAX($P$34*($B338+$I$38-1),IF(AND($L$37=0,$P$34=0),"",$L$37-1)),0,YEARFRAC(MAX($P$34*($B338+$I$38-1),IF(AND($L$37=0,$P$34=0),"",$L$37-1)),MIN(BS$38,$E338),$P$20))-SUM($BF338:BR338))</f>
        <v>0</v>
      </c>
      <c r="BT338" s="446">
        <f>IF($E338=0,0,IF(MIN(BT$38,$E338)&lt;MAX($P$34*($B338+$I$38-1),IF(AND($L$37=0,$P$34=0),"",$L$37-1)),0,YEARFRAC(MAX($P$34*($B338+$I$38-1),IF(AND($L$37=0,$P$34=0),"",$L$37-1)),MIN(BT$38,$E338),$P$20))-SUM($BF338:BS338))</f>
        <v>0</v>
      </c>
      <c r="BU338" s="446">
        <f>IF($E338=0,0,IF(MIN(BU$38,$E338)&lt;MAX($P$34*($B338+$I$38-1),IF(AND($L$37=0,$P$34=0),"",$L$37-1)),0,YEARFRAC(MAX($P$34*($B338+$I$38-1),IF(AND($L$37=0,$P$34=0),"",$L$37-1)),MIN(BU$38,$E338),$P$20))-SUM($BF338:BT338))</f>
        <v>0</v>
      </c>
      <c r="BV338" s="446">
        <f>IF($E338=0,0,IF(MIN(BV$38,$E338)&lt;MAX($P$34*($B338+$I$38-1),IF(AND($L$37=0,$P$34=0),"",$L$37-1)),0,YEARFRAC(MAX($P$34*($B338+$I$38-1),IF(AND($L$37=0,$P$34=0),"",$L$37-1)),MIN(BV$38,$E338),$P$20))-SUM($BF338:BU338))</f>
        <v>0</v>
      </c>
      <c r="BW338" s="446">
        <f>IF($E338=0,0,IF(MIN(BW$38,$E338)&lt;MAX($P$34*($B338+$I$38-1),IF(AND($L$37=0,$P$34=0),"",$L$37-1)),0,YEARFRAC(MAX($P$34*($B338+$I$38-1),IF(AND($L$37=0,$P$34=0),"",$L$37-1)),MIN(BW$38,$E338),$P$20))-SUM($BF338:BV338))</f>
        <v>0</v>
      </c>
      <c r="BX338" s="446">
        <f>IF($E338=0,0,IF(MIN(BX$38,$E338)&lt;MAX($P$34*($B338+$I$38-1),IF(AND($L$37=0,$P$34=0),"",$L$37-1)),0,YEARFRAC(MAX($P$34*($B338+$I$38-1),IF(AND($L$37=0,$P$34=0),"",$L$37-1)),MIN(BX$38,$E338),$P$20))-SUM($BF338:BW338))</f>
        <v>0</v>
      </c>
      <c r="BY338" s="446">
        <f>IF($E338=0,0,IF(MIN(BY$38,$E338)&lt;MAX($P$34*($B338+$I$38-1),IF(AND($L$37=0,$P$34=0),"",$L$37-1)),0,YEARFRAC(MAX($P$34*($B338+$I$38-1),IF(AND($L$37=0,$P$34=0),"",$L$37-1)),MIN(BY$38,$E338),$P$20))-SUM($BF338:BX338))</f>
        <v>0</v>
      </c>
      <c r="BZ338" s="446">
        <f>IF($E338=0,0,IF(MIN(BZ$38,$E338)&lt;MAX($P$34*($B338+$I$38-1),IF(AND($L$37=0,$P$34=0),"",$L$37-1)),0,YEARFRAC(MAX($P$34*($B338+$I$38-1),IF(AND($L$37=0,$P$34=0),"",$L$37-1)),MIN(BZ$38,$E338),$P$20))-SUM($BF338:BY338))</f>
        <v>0</v>
      </c>
      <c r="CA338" s="446">
        <f>IF($E338=0,0,IF(MIN(CA$38,$E338)&lt;MAX($P$34*($B338+$I$38-1),IF(AND($L$37=0,$P$34=0),"",$L$37-1)),0,YEARFRAC(MAX($P$34*($B338+$I$38-1),IF(AND($L$37=0,$P$34=0),"",$L$37-1)),MIN(CA$38,$E338),$P$20))-SUM($BF338:BZ338))</f>
        <v>0</v>
      </c>
      <c r="CB338" s="446">
        <f>IF($E338=0,0,IF(MIN(CB$38,$E338)&lt;MAX($P$34*($B338+$I$38-1),IF(AND($L$37=0,$P$34=0),"",$L$37-1)),0,YEARFRAC(MAX($P$34*($B338+$I$38-1),IF(AND($L$37=0,$P$34=0),"",$L$37-1)),MIN(CB$38,$E338),$P$20))-SUM($BF338:CA338))</f>
        <v>0</v>
      </c>
      <c r="CC338" s="446">
        <f>IF($E338=0,0,IF(MIN(CC$38,$E338)&lt;MAX($P$34*($B338+$I$38-1),IF(AND($L$37=0,$P$34=0),"",$L$37-1)),0,YEARFRAC(MAX($P$34*($B338+$I$38-1),IF(AND($L$37=0,$P$34=0),"",$L$37-1)),MIN(CC$38,$E338),$P$20))-SUM($BF338:CB338))</f>
        <v>0</v>
      </c>
      <c r="CD338" s="446">
        <f>IF($E338=0,0,IF(MIN(CD$38,$E338)&lt;MAX($P$34*($B338+$I$38-1),IF(AND($L$37=0,$P$34=0),"",$L$37-1)),0,YEARFRAC(MAX($P$34*($B338+$I$38-1),IF(AND($L$37=0,$P$34=0),"",$L$37-1)),MIN(CD$38,$E338),$P$20))-SUM($BF338:CC338))</f>
        <v>0</v>
      </c>
      <c r="CE338" s="446">
        <f>IF($E338=0,0,IF(MIN(CE$38,$E338)&lt;MAX($P$34*($B338+$I$38-1),IF(AND($L$37=0,$P$34=0),"",$L$37-1)),0,YEARFRAC(MAX($P$34*($B338+$I$38-1),IF(AND($L$37=0,$P$34=0),"",$L$37-1)),MIN(CE$38,$E338),$P$20))-SUM($BF338:CD338))</f>
        <v>0</v>
      </c>
      <c r="CF338" s="446">
        <f>IF($E338=0,0,IF(MIN(CF$38,$E338)&lt;MAX($P$34*($B338+$I$38-1),IF(AND($L$37=0,$P$34=0),"",$L$37-1)),0,YEARFRAC(MAX($P$34*($B338+$I$38-1),IF(AND($L$37=0,$P$34=0),"",$L$37-1)),MIN(CF$38,$E338),$P$20))-SUM($BF338:CE338))</f>
        <v>0</v>
      </c>
      <c r="CG338" s="446">
        <f>IF($E338=0,0,IF(MIN(CG$38,$E338)&lt;MAX($P$34*($B338+$I$38-1),IF(AND($L$37=0,$P$34=0),"",$L$37-1)),0,YEARFRAC(MAX($P$34*($B338+$I$38-1),IF(AND($L$37=0,$P$34=0),"",$L$37-1)),MIN(CG$38,$E338),$P$20))-SUM($BF338:CF338))</f>
        <v>0</v>
      </c>
      <c r="CH338" s="446">
        <f>IF($E338=0,0,IF(MIN(CH$38,$E338)&lt;MAX($P$34*($B338+$I$38-1),IF(AND($L$37=0,$P$34=0),"",$L$37-1)),0,YEARFRAC(MAX($P$34*($B338+$I$38-1),IF(AND($L$37=0,$P$34=0),"",$L$37-1)),MIN(CH$38,$E338),$P$20))-SUM($BF338:CG338))</f>
        <v>0</v>
      </c>
      <c r="CI338" s="446">
        <f>IF($E338=0,0,IF(MIN(CI$38,$E338)&lt;MAX($P$34*($B338+$I$38-1),IF(AND($L$37=0,$P$34=0),"",$L$37-1)),0,YEARFRAC(MAX($P$34*($B338+$I$38-1),IF(AND($L$37=0,$P$34=0),"",$L$37-1)),MIN(CI$38,$E338),$P$20))-SUM($BF338:CH338))</f>
        <v>0</v>
      </c>
      <c r="CJ338" s="446">
        <f>IF($E338=0,0,IF(MIN(CJ$38,$E338)&lt;MAX($P$34*($B338+$I$38-1),IF(AND($L$37=0,$P$34=0),"",$L$37-1)),0,YEARFRAC(MAX($P$34*($B338+$I$38-1),IF(AND($L$37=0,$P$34=0),"",$L$37-1)),MIN(CJ$38,$E338),$P$20))-SUM($BF338:CI338))</f>
        <v>0</v>
      </c>
      <c r="CK338" s="446">
        <f>IF($E338=0,0,IF(MIN(CK$38,$E338)&lt;MAX($P$34*($B338+$I$38-1),IF(AND($L$37=0,$P$34=0),"",$L$37-1)),0,YEARFRAC(MAX($P$34*($B338+$I$38-1),IF(AND($L$37=0,$P$34=0),"",$L$37-1)),MIN(CK$38,$E338),$P$20))-SUM($BF338:CJ338))</f>
        <v>0</v>
      </c>
      <c r="CL338" s="446">
        <f>IF($E338=0,0,IF(MIN(CL$38,$E338)&lt;MAX($P$34*($B338+$I$38-1),IF(AND($L$37=0,$P$34=0),"",$L$37-1)),0,YEARFRAC(MAX($P$34*($B338+$I$38-1),IF(AND($L$37=0,$P$34=0),"",$L$37-1)),MIN(CL$38,$E338),$P$20))-SUM($BF338:CK338))</f>
        <v>0</v>
      </c>
      <c r="CM338" s="446">
        <f>IF($E338=0,0,IF(MIN(CM$38,$E338)&lt;MAX($P$34*($B338+$I$38-1),IF(AND($L$37=0,$P$34=0),"",$L$37-1)),0,YEARFRAC(MAX($P$34*($B338+$I$38-1),IF(AND($L$37=0,$P$34=0),"",$L$37-1)),MIN(CM$38,$E338),$P$20))-SUM($BF338:CL338))</f>
        <v>0</v>
      </c>
      <c r="CN338" s="446">
        <f>IF($E338=0,0,IF(MIN(CN$38,$E338)&lt;MAX($P$34*($B338+$I$38-1),IF(AND($L$37=0,$P$34=0),"",$L$37-1)),0,YEARFRAC(MAX($P$34*($B338+$I$38-1),IF(AND($L$37=0,$P$34=0),"",$L$37-1)),MIN(CN$38,$E338),$P$20))-SUM($BF338:CM338))</f>
        <v>0</v>
      </c>
      <c r="CO338" s="446">
        <f>IF($E338=0,0,IF(MIN(CO$38,$E338)&lt;MAX($P$34*($B338+$I$38-1),IF(AND($L$37=0,$P$34=0),"",$L$37-1)),0,YEARFRAC(MAX($P$34*($B338+$I$38-1),IF(AND($L$37=0,$P$34=0),"",$L$37-1)),MIN(CO$38,$E338),$P$20))-SUM($BF338:CN338))</f>
        <v>0</v>
      </c>
      <c r="CP338" s="446">
        <f>IF($E338=0,0,IF(MIN(CP$38,$E338)&lt;MAX($P$34*($B338+$I$38-1),IF(AND($L$37=0,$P$34=0),"",$L$37-1)),0,YEARFRAC(MAX($P$34*($B338+$I$38-1),IF(AND($L$37=0,$P$34=0),"",$L$37-1)),MIN(CP$38,$E338),$P$20))-SUM($BF338:CO338))</f>
        <v>0</v>
      </c>
      <c r="CQ338" s="446">
        <f>IF($E338=0,0,IF(MIN(CQ$38,$E338)&lt;MAX($P$34*($B338+$I$38-1),IF(AND($L$37=0,$P$34=0),"",$L$37-1)),0,YEARFRAC(MAX($P$34*($B338+$I$38-1),IF(AND($L$37=0,$P$34=0),"",$L$37-1)),MIN(CQ$38,$E338),$P$20))-SUM($BF338:CP338))</f>
        <v>0</v>
      </c>
    </row>
    <row r="339" spans="1:95" s="446" customFormat="1" ht="11.25" hidden="1" customHeight="1" x14ac:dyDescent="0.2">
      <c r="A339" s="152"/>
      <c r="B339" s="153" t="str">
        <f t="shared" si="59"/>
        <v/>
      </c>
      <c r="C339" s="29" t="str">
        <f>IF(B339="","",IF($L$35="SELIC - TRIBUTOS",VLOOKUP(DATE(YEAR($D$19),MONTH($D$19)-1,1),ÍNDICES!$A:$DE,HLOOKUP($BL$25,ÍNDICES!$B$3:$T$4,2)+11)-VLOOKUP(B339,ÍNDICES!$A:$DE,HLOOKUP($BL$25,ÍNDICES!$B$3:$T$4,2)+11)+1%,IF(C$38=$W$26,$J$35,IF(ISERROR(IF(B339&gt;$D$19,1,VLOOKUP(DATE(YEAR(B339),MONTH(B339)+IF($C$35=$S$23,1,0),1),ÍNDICES!$A:$DE,$Z$35+1))),"",IF(B339&gt;$D$19,1,VLOOKUP(DATE(YEAR(B339),MONTH(B339)+IF($C$35=$S$23,1,0),1),ÍNDICES!$A:$DE,$Z$35+1))))))</f>
        <v/>
      </c>
      <c r="D339" s="154" t="str">
        <f>IF(ISERROR(IF(OR($D$38=$Y$27,$B339=""),"",VLOOKUP(B339,ÍNDICES!A:DE,AF$35+1))),"",IF(OR($D$38=$Y$27,$B339=""),"",VLOOKUP(B339,ÍNDICES!A:DE,AF$35+1)))</f>
        <v/>
      </c>
      <c r="E339" s="153"/>
      <c r="F339" s="29" t="str">
        <f>IF(E339="","",IF($L$35="SELIC - TRIBUTOS",VLOOKUP(DATE(YEAR($D$19),MONTH($D$19)-1,1),ÍNDICES!$A:$DE,HLOOKUP($BL$25,ÍNDICES!$B$3:$T$4,2)+11)-VLOOKUP(E339,ÍNDICES!$A:$DE,HLOOKUP($BL$25,ÍNDICES!$B$3:$T$4,2)+11)+1%,IF(F$38=$W$26,$J$35,IF(ISERROR(IF(E339&gt;$D$19,1,VLOOKUP(DATE(YEAR(E339),MONTH(E339)+IF($C$35=$S$23,1,0),1),ÍNDICES!$A:$DE,$Z$35+1))),"",IF(E339&gt;$D$19,1,VLOOKUP(DATE(YEAR(E339),MONTH(E339)+IF($C$35=$S$23,1,0),1),ÍNDICES!$A:$DE,$Z$35+1))))))</f>
        <v/>
      </c>
      <c r="G339" s="155"/>
      <c r="H339" s="156" t="str">
        <f t="shared" si="55"/>
        <v/>
      </c>
      <c r="I339" s="29" t="str">
        <f t="shared" si="49"/>
        <v/>
      </c>
      <c r="J339" s="5">
        <f t="shared" si="50"/>
        <v>0</v>
      </c>
      <c r="K339" s="20">
        <f t="shared" ca="1" si="51"/>
        <v>0</v>
      </c>
      <c r="L339" s="5">
        <f t="shared" ca="1" si="52"/>
        <v>0</v>
      </c>
      <c r="M339" s="64">
        <f t="shared" si="56"/>
        <v>0</v>
      </c>
      <c r="N339" s="61">
        <f t="shared" ca="1" si="57"/>
        <v>0</v>
      </c>
      <c r="O339" s="5">
        <f t="shared" ca="1" si="58"/>
        <v>0</v>
      </c>
      <c r="P339" s="446" t="e">
        <f t="shared" si="53"/>
        <v>#VALUE!</v>
      </c>
      <c r="Q339" s="446" t="e">
        <f>IF(OR($B339="",MIN(Q$38,$D$19)&lt;MAX($P$34*($B339+IF($R$17="Distrato",$I$38-1,0)),IF(AND($L$37=0,$P$34=0),"",$L$37-1),IF($R$17="Distrato",$E339,0))),0,YEARFRAC(MAX($P$34*($B339+IF($R$17="Distrato",$I$38-1,0)),IF(AND($L$37=0,$P$34=0),"",$L$37-1),IF($R$17="Distrato",$E339,0)),MIN(Q$38,$D$19),$P$20))-SUM($P339:P339)</f>
        <v>#VALUE!</v>
      </c>
      <c r="R339" s="446" t="e">
        <f>IF(OR($B339="",MIN(R$38,$D$19)&lt;MAX($P$34*($B339+IF($R$17="Distrato",$I$38-1,0)),IF(AND($L$37=0,$P$34=0),"",$L$37-1),IF($R$17="Distrato",$E339,0))),0,YEARFRAC(MAX($P$34*($B339+IF($R$17="Distrato",$I$38-1,0)),IF(AND($L$37=0,$P$34=0),"",$L$37-1),IF($R$17="Distrato",$E339,0)),MIN(R$38,$D$19),$P$20))-SUM($P339:Q339)</f>
        <v>#VALUE!</v>
      </c>
      <c r="S339" s="446" t="e">
        <f>IF(OR($B339="",MIN(S$38,$D$19)&lt;MAX($P$34*($B339+IF($R$17="Distrato",$I$38-1,0)),IF(AND($L$37=0,$P$34=0),"",$L$37-1),IF($R$17="Distrato",$E339,0))),0,YEARFRAC(MAX($P$34*($B339+IF($R$17="Distrato",$I$38-1,0)),IF(AND($L$37=0,$P$34=0),"",$L$37-1),IF($R$17="Distrato",$E339,0)),MIN(S$38,$D$19),$P$20))-SUM($P339:R339)</f>
        <v>#VALUE!</v>
      </c>
      <c r="T339" s="446" t="e">
        <f>IF(OR($B339="",MIN(T$38,$D$19)&lt;MAX($P$34*($B339+IF($R$17="Distrato",$I$38-1,0)),IF(AND($L$37=0,$P$34=0),"",$L$37-1),IF($R$17="Distrato",$E339,0))),0,YEARFRAC(MAX($P$34*($B339+IF($R$17="Distrato",$I$38-1,0)),IF(AND($L$37=0,$P$34=0),"",$L$37-1),IF($R$17="Distrato",$E339,0)),MIN(T$38,$D$19),$P$20))-SUM($P339:S339)</f>
        <v>#VALUE!</v>
      </c>
      <c r="U339" s="446" t="e">
        <f>IF(OR($B339="",MIN(U$38,$D$19)&lt;MAX($P$34*($B339+IF($R$17="Distrato",$I$38-1,0)),IF(AND($L$37=0,$P$34=0),"",$L$37-1),IF($R$17="Distrato",$E339,0))),0,YEARFRAC(MAX($P$34*($B339+IF($R$17="Distrato",$I$38-1,0)),IF(AND($L$37=0,$P$34=0),"",$L$37-1),IF($R$17="Distrato",$E339,0)),MIN(U$38,$D$19),$P$20))-SUM($P339:T339)</f>
        <v>#VALUE!</v>
      </c>
      <c r="V339" s="446" t="e">
        <f>IF(OR($B339="",MIN(V$38,$D$19)&lt;MAX($P$34*($B339+IF($R$17="Distrato",$I$38-1,0)),IF(AND($L$37=0,$P$34=0),"",$L$37-1),IF($R$17="Distrato",$E339,0))),0,YEARFRAC(MAX($P$34*($B339+IF($R$17="Distrato",$I$38-1,0)),IF(AND($L$37=0,$P$34=0),"",$L$37-1),IF($R$17="Distrato",$E339,0)),MIN(V$38,$D$19),$P$20))-SUM($P339:U339)</f>
        <v>#VALUE!</v>
      </c>
      <c r="W339" s="446" t="e">
        <f>IF(OR($B339="",MIN(W$38,$D$19)&lt;MAX($P$34*($B339+IF($R$17="Distrato",$I$38-1,0)),IF(AND($L$37=0,$P$34=0),"",$L$37-1),IF($R$17="Distrato",$E339,0))),0,YEARFRAC(MAX($P$34*($B339+IF($R$17="Distrato",$I$38-1,0)),IF(AND($L$37=0,$P$34=0),"",$L$37-1),IF($R$17="Distrato",$E339,0)),MIN(W$38,$D$19),$P$20))-SUM($P339:V339)</f>
        <v>#VALUE!</v>
      </c>
      <c r="X339" s="446" t="e">
        <f>IF(OR($B339="",MIN(X$38,$D$19)&lt;MAX($P$34*($B339+IF($R$17="Distrato",$I$38-1,0)),IF(AND($L$37=0,$P$34=0),"",$L$37-1),IF($R$17="Distrato",$E339,0))),0,YEARFRAC(MAX($P$34*($B339+IF($R$17="Distrato",$I$38-1,0)),IF(AND($L$37=0,$P$34=0),"",$L$37-1),IF($R$17="Distrato",$E339,0)),MIN(X$38,$D$19),$P$20))-SUM($P339:W339)</f>
        <v>#VALUE!</v>
      </c>
      <c r="Y339" s="446" t="e">
        <f>IF(OR($B339="",MIN(Y$38,$D$19)&lt;MAX($P$34*($B339+IF($R$17="Distrato",$I$38-1,0)),IF(AND($L$37=0,$P$34=0),"",$L$37-1),IF($R$17="Distrato",$E339,0))),0,YEARFRAC(MAX($P$34*($B339+IF($R$17="Distrato",$I$38-1,0)),IF(AND($L$37=0,$P$34=0),"",$L$37-1),IF($R$17="Distrato",$E339,0)),MIN(Y$38,$D$19),$P$20))-SUM($P339:X339)</f>
        <v>#VALUE!</v>
      </c>
      <c r="Z339" s="446" t="e">
        <f>IF(OR($B339="",MIN(Z$38,$D$19)&lt;MAX($P$34*($B339+IF($R$17="Distrato",$I$38-1,0)),IF(AND($L$37=0,$P$34=0),"",$L$37-1),IF($R$17="Distrato",$E339,0))),0,YEARFRAC(MAX($P$34*($B339+IF($R$17="Distrato",$I$38-1,0)),IF(AND($L$37=0,$P$34=0),"",$L$37-1),IF($R$17="Distrato",$E339,0)),MIN(Z$38,$D$19),$P$20))-SUM($P339:Y339)</f>
        <v>#VALUE!</v>
      </c>
      <c r="AA339" s="446" t="e">
        <f>IF(OR($B339="",MIN(AA$38,$D$19)&lt;MAX($P$34*($B339+IF($R$17="Distrato",$I$38-1,0)),IF(AND($L$37=0,$P$34=0),"",$L$37-1),IF($R$17="Distrato",$E339,0))),0,YEARFRAC(MAX($P$34*($B339+IF($R$17="Distrato",$I$38-1,0)),IF(AND($L$37=0,$P$34=0),"",$L$37-1),IF($R$17="Distrato",$E339,0)),MIN(AA$38,$D$19),$P$20))-SUM($P339:Z339)</f>
        <v>#VALUE!</v>
      </c>
      <c r="AB339" s="446" t="e">
        <f>IF(OR($B339="",MIN(AB$38,$D$19)&lt;MAX($P$34*($B339+IF($R$17="Distrato",$I$38-1,0)),IF(AND($L$37=0,$P$34=0),"",$L$37-1),IF($R$17="Distrato",$E339,0))),0,YEARFRAC(MAX($P$34*($B339+IF($R$17="Distrato",$I$38-1,0)),IF(AND($L$37=0,$P$34=0),"",$L$37-1),IF($R$17="Distrato",$E339,0)),MIN(AB$38,$D$19),$P$20))-SUM($P339:AA339)</f>
        <v>#VALUE!</v>
      </c>
      <c r="AC339" s="446" t="e">
        <f>IF(OR($B339="",MIN(AC$38,$D$19)&lt;MAX($P$34*($B339+IF($R$17="Distrato",$I$38-1,0)),IF(AND($L$37=0,$P$34=0),"",$L$37-1),IF($R$17="Distrato",$E339,0))),0,YEARFRAC(MAX($P$34*($B339+IF($R$17="Distrato",$I$38-1,0)),IF(AND($L$37=0,$P$34=0),"",$L$37-1),IF($R$17="Distrato",$E339,0)),MIN(AC$38,$D$19),$P$20))-SUM($P339:AB339)</f>
        <v>#VALUE!</v>
      </c>
      <c r="AD339" s="446" t="e">
        <f>IF(OR($B339="",MIN(AD$38,$D$19)&lt;MAX($P$34*($B339+IF($R$17="Distrato",$I$38-1,0)),IF(AND($L$37=0,$P$34=0),"",$L$37-1),IF($R$17="Distrato",$E339,0))),0,YEARFRAC(MAX($P$34*($B339+IF($R$17="Distrato",$I$38-1,0)),IF(AND($L$37=0,$P$34=0),"",$L$37-1),IF($R$17="Distrato",$E339,0)),MIN(AD$38,$D$19),$P$20))-SUM($P339:AC339)</f>
        <v>#VALUE!</v>
      </c>
      <c r="AE339" s="446" t="e">
        <f>IF(OR($B339="",MIN(AE$38,$D$19)&lt;MAX($P$34*($B339+IF($R$17="Distrato",$I$38-1,0)),IF(AND($L$37=0,$P$34=0),"",$L$37-1),IF($R$17="Distrato",$E339,0))),0,YEARFRAC(MAX($P$34*($B339+IF($R$17="Distrato",$I$38-1,0)),IF(AND($L$37=0,$P$34=0),"",$L$37-1),IF($R$17="Distrato",$E339,0)),MIN(AE$38,$D$19),$P$20))-SUM($P339:AD339)</f>
        <v>#VALUE!</v>
      </c>
      <c r="AF339" s="446" t="e">
        <f>IF(OR($B339="",MIN(AF$38,$D$19)&lt;MAX($P$34*($B339+IF($R$17="Distrato",$I$38-1,0)),IF(AND($L$37=0,$P$34=0),"",$L$37-1),IF($R$17="Distrato",$E339,0))),0,YEARFRAC(MAX($P$34*($B339+IF($R$17="Distrato",$I$38-1,0)),IF(AND($L$37=0,$P$34=0),"",$L$37-1),IF($R$17="Distrato",$E339,0)),MIN(AF$38,$D$19),$P$20))-SUM($P339:AE339)</f>
        <v>#VALUE!</v>
      </c>
      <c r="AG339" s="446" t="e">
        <f>IF(OR($B339="",MIN(AG$38,$D$19)&lt;MAX($P$34*($B339+IF($R$17="Distrato",$I$38-1,0)),IF(AND($L$37=0,$P$34=0),"",$L$37-1),IF($R$17="Distrato",$E339,0))),0,YEARFRAC(MAX($P$34*($B339+IF($R$17="Distrato",$I$38-1,0)),IF(AND($L$37=0,$P$34=0),"",$L$37-1),IF($R$17="Distrato",$E339,0)),MIN(AG$38,$D$19),$P$20))-SUM($P339:AF339)</f>
        <v>#VALUE!</v>
      </c>
      <c r="AH339" s="446" t="e">
        <f>IF(OR($B339="",MIN(AH$38,$D$19)&lt;MAX($P$34*($B339+IF($R$17="Distrato",$I$38-1,0)),IF(AND($L$37=0,$P$34=0),"",$L$37-1),IF($R$17="Distrato",$E339,0))),0,YEARFRAC(MAX($P$34*($B339+IF($R$17="Distrato",$I$38-1,0)),IF(AND($L$37=0,$P$34=0),"",$L$37-1),IF($R$17="Distrato",$E339,0)),MIN(AH$38,$D$19),$P$20))-SUM($P339:AG339)</f>
        <v>#VALUE!</v>
      </c>
      <c r="AI339" s="446" t="e">
        <f>IF(OR($B339="",MIN(AI$38,$D$19)&lt;MAX($P$34*($B339+IF($R$17="Distrato",$I$38-1,0)),IF(AND($L$37=0,$P$34=0),"",$L$37-1),IF($R$17="Distrato",$E339,0))),0,YEARFRAC(MAX($P$34*($B339+IF($R$17="Distrato",$I$38-1,0)),IF(AND($L$37=0,$P$34=0),"",$L$37-1),IF($R$17="Distrato",$E339,0)),MIN(AI$38,$D$19),$P$20))-SUM($P339:AH339)</f>
        <v>#VALUE!</v>
      </c>
      <c r="AJ339" s="446" t="e">
        <f>IF(OR($B339="",MIN(AJ$38,$D$19)&lt;MAX($P$34*($B339+IF($R$17="Distrato",$I$38-1,0)),IF(AND($L$37=0,$P$34=0),"",$L$37-1),IF($R$17="Distrato",$E339,0))),0,YEARFRAC(MAX($P$34*($B339+IF($R$17="Distrato",$I$38-1,0)),IF(AND($L$37=0,$P$34=0),"",$L$37-1),IF($R$17="Distrato",$E339,0)),MIN(AJ$38,$D$19),$P$20))-SUM($P339:AI339)</f>
        <v>#VALUE!</v>
      </c>
      <c r="AK339" s="446" t="e">
        <f>IF(OR($B339="",MIN(AK$38,$D$19)&lt;MAX($P$34*($B339+IF($R$17="Distrato",$I$38-1,0)),IF(AND($L$37=0,$P$34=0),"",$L$37-1),IF($R$17="Distrato",$E339,0))),0,YEARFRAC(MAX($P$34*($B339+IF($R$17="Distrato",$I$38-1,0)),IF(AND($L$37=0,$P$34=0),"",$L$37-1),IF($R$17="Distrato",$E339,0)),MIN(AK$38,$D$19),$P$20))-SUM($P339:AJ339)</f>
        <v>#VALUE!</v>
      </c>
      <c r="AL339" s="446" t="e">
        <f>IF(OR($B339="",MIN(AL$38,$D$19)&lt;MAX($P$34*($B339+IF($R$17="Distrato",$I$38-1,0)),IF(AND($L$37=0,$P$34=0),"",$L$37-1),IF($R$17="Distrato",$E339,0))),0,YEARFRAC(MAX($P$34*($B339+IF($R$17="Distrato",$I$38-1,0)),IF(AND($L$37=0,$P$34=0),"",$L$37-1),IF($R$17="Distrato",$E339,0)),MIN(AL$38,$D$19),$P$20))-SUM($P339:AK339)</f>
        <v>#VALUE!</v>
      </c>
      <c r="AM339" s="446" t="e">
        <f>IF(OR($B339="",MIN(AM$38,$D$19)&lt;MAX($P$34*($B339+IF($R$17="Distrato",$I$38-1,0)),IF(AND($L$37=0,$P$34=0),"",$L$37-1),IF($R$17="Distrato",$E339,0))),0,YEARFRAC(MAX($P$34*($B339+IF($R$17="Distrato",$I$38-1,0)),IF(AND($L$37=0,$P$34=0),"",$L$37-1),IF($R$17="Distrato",$E339,0)),MIN(AM$38,$D$19),$P$20))-SUM($P339:AL339)</f>
        <v>#VALUE!</v>
      </c>
      <c r="AN339" s="446" t="e">
        <f>IF(OR($B339="",MIN(AN$38,$D$19)&lt;MAX($P$34*($B339+IF($R$17="Distrato",$I$38-1,0)),IF(AND($L$37=0,$P$34=0),"",$L$37-1),IF($R$17="Distrato",$E339,0))),0,YEARFRAC(MAX($P$34*($B339+IF($R$17="Distrato",$I$38-1,0)),IF(AND($L$37=0,$P$34=0),"",$L$37-1),IF($R$17="Distrato",$E339,0)),MIN(AN$38,$D$19),$P$20))-SUM($P339:AM339)</f>
        <v>#VALUE!</v>
      </c>
      <c r="AO339" s="446" t="e">
        <f>IF(OR($B339="",MIN(AO$38,$D$19)&lt;MAX($P$34*($B339+IF($R$17="Distrato",$I$38-1,0)),IF(AND($L$37=0,$P$34=0),"",$L$37-1),IF($R$17="Distrato",$E339,0))),0,YEARFRAC(MAX($P$34*($B339+IF($R$17="Distrato",$I$38-1,0)),IF(AND($L$37=0,$P$34=0),"",$L$37-1),IF($R$17="Distrato",$E339,0)),MIN(AO$38,$D$19),$P$20))-SUM($P339:AN339)</f>
        <v>#VALUE!</v>
      </c>
      <c r="AP339" s="446" t="e">
        <f>IF(OR($B339="",MIN(AP$38,$D$19)&lt;MAX($P$34*($B339+IF($R$17="Distrato",$I$38-1,0)),IF(AND($L$37=0,$P$34=0),"",$L$37-1),IF($R$17="Distrato",$E339,0))),0,YEARFRAC(MAX($P$34*($B339+IF($R$17="Distrato",$I$38-1,0)),IF(AND($L$37=0,$P$34=0),"",$L$37-1),IF($R$17="Distrato",$E339,0)),MIN(AP$38,$D$19),$P$20))-SUM($P339:AO339)</f>
        <v>#VALUE!</v>
      </c>
      <c r="AQ339" s="446" t="e">
        <f>IF(OR($B339="",MIN(AQ$38,$D$19)&lt;MAX($P$34*($B339+IF($R$17="Distrato",$I$38-1,0)),IF(AND($L$37=0,$P$34=0),"",$L$37-1),IF($R$17="Distrato",$E339,0))),0,YEARFRAC(MAX($P$34*($B339+IF($R$17="Distrato",$I$38-1,0)),IF(AND($L$37=0,$P$34=0),"",$L$37-1),IF($R$17="Distrato",$E339,0)),MIN(AQ$38,$D$19),$P$20))-SUM($P339:AP339)</f>
        <v>#VALUE!</v>
      </c>
      <c r="AR339" s="446" t="e">
        <f>IF(OR($B339="",MIN(AR$38,$D$19)&lt;MAX($P$34*($B339+IF($R$17="Distrato",$I$38-1,0)),IF(AND($L$37=0,$P$34=0),"",$L$37-1),IF($R$17="Distrato",$E339,0))),0,YEARFRAC(MAX($P$34*($B339+IF($R$17="Distrato",$I$38-1,0)),IF(AND($L$37=0,$P$34=0),"",$L$37-1),IF($R$17="Distrato",$E339,0)),MIN(AR$38,$D$19),$P$20))-SUM($P339:AQ339)</f>
        <v>#VALUE!</v>
      </c>
      <c r="AS339" s="446" t="e">
        <f>IF(OR($B339="",MIN(AS$38,$D$19)&lt;MAX($P$34*($B339+IF($R$17="Distrato",$I$38-1,0)),IF(AND($L$37=0,$P$34=0),"",$L$37-1),IF($R$17="Distrato",$E339,0))),0,YEARFRAC(MAX($P$34*($B339+IF($R$17="Distrato",$I$38-1,0)),IF(AND($L$37=0,$P$34=0),"",$L$37-1),IF($R$17="Distrato",$E339,0)),MIN(AS$38,$D$19),$P$20))-SUM($P339:AR339)</f>
        <v>#VALUE!</v>
      </c>
      <c r="AT339" s="446" t="e">
        <f>IF(OR($B339="",MIN(AT$38,$D$19)&lt;MAX($P$34*($B339+IF($R$17="Distrato",$I$38-1,0)),IF(AND($L$37=0,$P$34=0),"",$L$37-1),IF($R$17="Distrato",$E339,0))),0,YEARFRAC(MAX($P$34*($B339+IF($R$17="Distrato",$I$38-1,0)),IF(AND($L$37=0,$P$34=0),"",$L$37-1),IF($R$17="Distrato",$E339,0)),MIN(AT$38,$D$19),$P$20))-SUM($P339:AS339)</f>
        <v>#VALUE!</v>
      </c>
      <c r="AU339" s="446" t="e">
        <f>IF(OR($B339="",MIN(AU$38,$D$19)&lt;MAX($P$34*($B339+IF($R$17="Distrato",$I$38-1,0)),IF(AND($L$37=0,$P$34=0),"",$L$37-1),IF($R$17="Distrato",$E339,0))),0,YEARFRAC(MAX($P$34*($B339+IF($R$17="Distrato",$I$38-1,0)),IF(AND($L$37=0,$P$34=0),"",$L$37-1),IF($R$17="Distrato",$E339,0)),MIN(AU$38,$D$19),$P$20))-SUM($P339:AT339)</f>
        <v>#VALUE!</v>
      </c>
      <c r="AV339" s="446" t="e">
        <f>IF(OR($B339="",MIN(AV$38,$D$19)&lt;MAX($P$34*($B339+IF($R$17="Distrato",$I$38-1,0)),IF(AND($L$37=0,$P$34=0),"",$L$37-1),IF($R$17="Distrato",$E339,0))),0,YEARFRAC(MAX($P$34*($B339+IF($R$17="Distrato",$I$38-1,0)),IF(AND($L$37=0,$P$34=0),"",$L$37-1),IF($R$17="Distrato",$E339,0)),MIN(AV$38,$D$19),$P$20))-SUM($P339:AU339)</f>
        <v>#VALUE!</v>
      </c>
      <c r="AW339" s="446" t="e">
        <f>IF(OR($B339="",MIN(AW$38,$D$19)&lt;MAX($P$34*($B339+IF($R$17="Distrato",$I$38-1,0)),IF(AND($L$37=0,$P$34=0),"",$L$37-1),IF($R$17="Distrato",$E339,0))),0,YEARFRAC(MAX($P$34*($B339+IF($R$17="Distrato",$I$38-1,0)),IF(AND($L$37=0,$P$34=0),"",$L$37-1),IF($R$17="Distrato",$E339,0)),MIN(AW$38,$D$19),$P$20))-SUM($P339:AV339)</f>
        <v>#VALUE!</v>
      </c>
      <c r="AX339" s="446" t="e">
        <f>IF(OR($B339="",MIN(AX$38,$D$19)&lt;MAX($P$34*($B339+IF($R$17="Distrato",$I$38-1,0)),IF(AND($L$37=0,$P$34=0),"",$L$37-1),IF($R$17="Distrato",$E339,0))),0,YEARFRAC(MAX($P$34*($B339+IF($R$17="Distrato",$I$38-1,0)),IF(AND($L$37=0,$P$34=0),"",$L$37-1),IF($R$17="Distrato",$E339,0)),MIN(AX$38,$D$19),$P$20))-SUM($P339:AW339)</f>
        <v>#VALUE!</v>
      </c>
      <c r="AY339" s="446" t="e">
        <f>IF(OR($B339="",MIN(AY$38,$D$19)&lt;MAX($P$34*($B339+IF($R$17="Distrato",$I$38-1,0)),IF(AND($L$37=0,$P$34=0),"",$L$37-1),IF($R$17="Distrato",$E339,0))),0,YEARFRAC(MAX($P$34*($B339+IF($R$17="Distrato",$I$38-1,0)),IF(AND($L$37=0,$P$34=0),"",$L$37-1),IF($R$17="Distrato",$E339,0)),MIN(AY$38,$D$19),$P$20))-SUM($P339:AX339)</f>
        <v>#VALUE!</v>
      </c>
      <c r="AZ339" s="446" t="e">
        <f>IF(OR($B339="",MIN(AZ$38,$D$19)&lt;MAX($P$34*($B339+IF($R$17="Distrato",$I$38-1,0)),IF(AND($L$37=0,$P$34=0),"",$L$37-1),IF($R$17="Distrato",$E339,0))),0,YEARFRAC(MAX($P$34*($B339+IF($R$17="Distrato",$I$38-1,0)),IF(AND($L$37=0,$P$34=0),"",$L$37-1),IF($R$17="Distrato",$E339,0)),MIN(AZ$38,$D$19),$P$20))-SUM($P339:AY339)</f>
        <v>#VALUE!</v>
      </c>
      <c r="BA339" s="446" t="e">
        <f>IF(OR($B339="",MIN(BA$38,$D$19)&lt;MAX($P$34*($B339+IF($R$17="Distrato",$I$38-1,0)),IF(AND($L$37=0,$P$34=0),"",$L$37-1),IF($R$17="Distrato",$E339,0))),0,YEARFRAC(MAX($P$34*($B339+IF($R$17="Distrato",$I$38-1,0)),IF(AND($L$37=0,$P$34=0),"",$L$37-1),IF($R$17="Distrato",$E339,0)),MIN(BA$38,$D$19),$P$20))-SUM($P339:AZ339)</f>
        <v>#VALUE!</v>
      </c>
      <c r="BB339" s="447"/>
      <c r="BF339" s="446">
        <f t="shared" si="54"/>
        <v>0</v>
      </c>
      <c r="BG339" s="446">
        <f>IF($E339=0,0,IF(MIN(BG$38,$E339)&lt;MAX($P$34*($B339+$I$38-1),IF(AND($L$37=0,$P$34=0),"",$L$37-1)),0,YEARFRAC(MAX($P$34*($B339+$I$38-1),IF(AND($L$37=0,$P$34=0),"",$L$37-1)),MIN(BG$38,$E339),$P$20))-SUM($BF339:BF339))</f>
        <v>0</v>
      </c>
      <c r="BH339" s="446">
        <f>IF($E339=0,0,IF(MIN(BH$38,$E339)&lt;MAX($P$34*($B339+$I$38-1),IF(AND($L$37=0,$P$34=0),"",$L$37-1)),0,YEARFRAC(MAX($P$34*($B339+$I$38-1),IF(AND($L$37=0,$P$34=0),"",$L$37-1)),MIN(BH$38,$E339),$P$20))-SUM($BF339:BG339))</f>
        <v>0</v>
      </c>
      <c r="BI339" s="446">
        <f>IF($E339=0,0,IF(MIN(BI$38,$E339)&lt;MAX($P$34*($B339+$I$38-1),IF(AND($L$37=0,$P$34=0),"",$L$37-1)),0,YEARFRAC(MAX($P$34*($B339+$I$38-1),IF(AND($L$37=0,$P$34=0),"",$L$37-1)),MIN(BI$38,$E339),$P$20))-SUM($BF339:BH339))</f>
        <v>0</v>
      </c>
      <c r="BJ339" s="446">
        <f>IF($E339=0,0,IF(MIN(BJ$38,$E339)&lt;MAX($P$34*($B339+$I$38-1),IF(AND($L$37=0,$P$34=0),"",$L$37-1)),0,YEARFRAC(MAX($P$34*($B339+$I$38-1),IF(AND($L$37=0,$P$34=0),"",$L$37-1)),MIN(BJ$38,$E339),$P$20))-SUM($BF339:BI339))</f>
        <v>0</v>
      </c>
      <c r="BK339" s="446">
        <f>IF($E339=0,0,IF(MIN(BK$38,$E339)&lt;MAX($P$34*($B339+$I$38-1),IF(AND($L$37=0,$P$34=0),"",$L$37-1)),0,YEARFRAC(MAX($P$34*($B339+$I$38-1),IF(AND($L$37=0,$P$34=0),"",$L$37-1)),MIN(BK$38,$E339),$P$20))-SUM($BF339:BJ339))</f>
        <v>0</v>
      </c>
      <c r="BL339" s="446">
        <f>IF($E339=0,0,IF(MIN(BL$38,$E339)&lt;MAX($P$34*($B339+$I$38-1),IF(AND($L$37=0,$P$34=0),"",$L$37-1)),0,YEARFRAC(MAX($P$34*($B339+$I$38-1),IF(AND($L$37=0,$P$34=0),"",$L$37-1)),MIN(BL$38,$E339),$P$20))-SUM($BF339:BK339))</f>
        <v>0</v>
      </c>
      <c r="BM339" s="446">
        <f>IF($E339=0,0,IF(MIN(BM$38,$E339)&lt;MAX($P$34*($B339+$I$38-1),IF(AND($L$37=0,$P$34=0),"",$L$37-1)),0,YEARFRAC(MAX($P$34*($B339+$I$38-1),IF(AND($L$37=0,$P$34=0),"",$L$37-1)),MIN(BM$38,$E339),$P$20))-SUM($BF339:BL339))</f>
        <v>0</v>
      </c>
      <c r="BN339" s="446">
        <f>IF($E339=0,0,IF(MIN(BN$38,$E339)&lt;MAX($P$34*($B339+$I$38-1),IF(AND($L$37=0,$P$34=0),"",$L$37-1)),0,YEARFRAC(MAX($P$34*($B339+$I$38-1),IF(AND($L$37=0,$P$34=0),"",$L$37-1)),MIN(BN$38,$E339),$P$20))-SUM($BF339:BM339))</f>
        <v>0</v>
      </c>
      <c r="BO339" s="446">
        <f>IF($E339=0,0,IF(MIN(BO$38,$E339)&lt;MAX($P$34*($B339+$I$38-1),IF(AND($L$37=0,$P$34=0),"",$L$37-1)),0,YEARFRAC(MAX($P$34*($B339+$I$38-1),IF(AND($L$37=0,$P$34=0),"",$L$37-1)),MIN(BO$38,$E339),$P$20))-SUM($BF339:BN339))</f>
        <v>0</v>
      </c>
      <c r="BP339" s="446">
        <f>IF($E339=0,0,IF(MIN(BP$38,$E339)&lt;MAX($P$34*($B339+$I$38-1),IF(AND($L$37=0,$P$34=0),"",$L$37-1)),0,YEARFRAC(MAX($P$34*($B339+$I$38-1),IF(AND($L$37=0,$P$34=0),"",$L$37-1)),MIN(BP$38,$E339),$P$20))-SUM($BF339:BO339))</f>
        <v>0</v>
      </c>
      <c r="BQ339" s="446">
        <f>IF($E339=0,0,IF(MIN(BQ$38,$E339)&lt;MAX($P$34*($B339+$I$38-1),IF(AND($L$37=0,$P$34=0),"",$L$37-1)),0,YEARFRAC(MAX($P$34*($B339+$I$38-1),IF(AND($L$37=0,$P$34=0),"",$L$37-1)),MIN(BQ$38,$E339),$P$20))-SUM($BF339:BP339))</f>
        <v>0</v>
      </c>
      <c r="BR339" s="446">
        <f>IF($E339=0,0,IF(MIN(BR$38,$E339)&lt;MAX($P$34*($B339+$I$38-1),IF(AND($L$37=0,$P$34=0),"",$L$37-1)),0,YEARFRAC(MAX($P$34*($B339+$I$38-1),IF(AND($L$37=0,$P$34=0),"",$L$37-1)),MIN(BR$38,$E339),$P$20))-SUM($BF339:BQ339))</f>
        <v>0</v>
      </c>
      <c r="BS339" s="446">
        <f>IF($E339=0,0,IF(MIN(BS$38,$E339)&lt;MAX($P$34*($B339+$I$38-1),IF(AND($L$37=0,$P$34=0),"",$L$37-1)),0,YEARFRAC(MAX($P$34*($B339+$I$38-1),IF(AND($L$37=0,$P$34=0),"",$L$37-1)),MIN(BS$38,$E339),$P$20))-SUM($BF339:BR339))</f>
        <v>0</v>
      </c>
      <c r="BT339" s="446">
        <f>IF($E339=0,0,IF(MIN(BT$38,$E339)&lt;MAX($P$34*($B339+$I$38-1),IF(AND($L$37=0,$P$34=0),"",$L$37-1)),0,YEARFRAC(MAX($P$34*($B339+$I$38-1),IF(AND($L$37=0,$P$34=0),"",$L$37-1)),MIN(BT$38,$E339),$P$20))-SUM($BF339:BS339))</f>
        <v>0</v>
      </c>
      <c r="BU339" s="446">
        <f>IF($E339=0,0,IF(MIN(BU$38,$E339)&lt;MAX($P$34*($B339+$I$38-1),IF(AND($L$37=0,$P$34=0),"",$L$37-1)),0,YEARFRAC(MAX($P$34*($B339+$I$38-1),IF(AND($L$37=0,$P$34=0),"",$L$37-1)),MIN(BU$38,$E339),$P$20))-SUM($BF339:BT339))</f>
        <v>0</v>
      </c>
      <c r="BV339" s="446">
        <f>IF($E339=0,0,IF(MIN(BV$38,$E339)&lt;MAX($P$34*($B339+$I$38-1),IF(AND($L$37=0,$P$34=0),"",$L$37-1)),0,YEARFRAC(MAX($P$34*($B339+$I$38-1),IF(AND($L$37=0,$P$34=0),"",$L$37-1)),MIN(BV$38,$E339),$P$20))-SUM($BF339:BU339))</f>
        <v>0</v>
      </c>
      <c r="BW339" s="446">
        <f>IF($E339=0,0,IF(MIN(BW$38,$E339)&lt;MAX($P$34*($B339+$I$38-1),IF(AND($L$37=0,$P$34=0),"",$L$37-1)),0,YEARFRAC(MAX($P$34*($B339+$I$38-1),IF(AND($L$37=0,$P$34=0),"",$L$37-1)),MIN(BW$38,$E339),$P$20))-SUM($BF339:BV339))</f>
        <v>0</v>
      </c>
      <c r="BX339" s="446">
        <f>IF($E339=0,0,IF(MIN(BX$38,$E339)&lt;MAX($P$34*($B339+$I$38-1),IF(AND($L$37=0,$P$34=0),"",$L$37-1)),0,YEARFRAC(MAX($P$34*($B339+$I$38-1),IF(AND($L$37=0,$P$34=0),"",$L$37-1)),MIN(BX$38,$E339),$P$20))-SUM($BF339:BW339))</f>
        <v>0</v>
      </c>
      <c r="BY339" s="446">
        <f>IF($E339=0,0,IF(MIN(BY$38,$E339)&lt;MAX($P$34*($B339+$I$38-1),IF(AND($L$37=0,$P$34=0),"",$L$37-1)),0,YEARFRAC(MAX($P$34*($B339+$I$38-1),IF(AND($L$37=0,$P$34=0),"",$L$37-1)),MIN(BY$38,$E339),$P$20))-SUM($BF339:BX339))</f>
        <v>0</v>
      </c>
      <c r="BZ339" s="446">
        <f>IF($E339=0,0,IF(MIN(BZ$38,$E339)&lt;MAX($P$34*($B339+$I$38-1),IF(AND($L$37=0,$P$34=0),"",$L$37-1)),0,YEARFRAC(MAX($P$34*($B339+$I$38-1),IF(AND($L$37=0,$P$34=0),"",$L$37-1)),MIN(BZ$38,$E339),$P$20))-SUM($BF339:BY339))</f>
        <v>0</v>
      </c>
      <c r="CA339" s="446">
        <f>IF($E339=0,0,IF(MIN(CA$38,$E339)&lt;MAX($P$34*($B339+$I$38-1),IF(AND($L$37=0,$P$34=0),"",$L$37-1)),0,YEARFRAC(MAX($P$34*($B339+$I$38-1),IF(AND($L$37=0,$P$34=0),"",$L$37-1)),MIN(CA$38,$E339),$P$20))-SUM($BF339:BZ339))</f>
        <v>0</v>
      </c>
      <c r="CB339" s="446">
        <f>IF($E339=0,0,IF(MIN(CB$38,$E339)&lt;MAX($P$34*($B339+$I$38-1),IF(AND($L$37=0,$P$34=0),"",$L$37-1)),0,YEARFRAC(MAX($P$34*($B339+$I$38-1),IF(AND($L$37=0,$P$34=0),"",$L$37-1)),MIN(CB$38,$E339),$P$20))-SUM($BF339:CA339))</f>
        <v>0</v>
      </c>
      <c r="CC339" s="446">
        <f>IF($E339=0,0,IF(MIN(CC$38,$E339)&lt;MAX($P$34*($B339+$I$38-1),IF(AND($L$37=0,$P$34=0),"",$L$37-1)),0,YEARFRAC(MAX($P$34*($B339+$I$38-1),IF(AND($L$37=0,$P$34=0),"",$L$37-1)),MIN(CC$38,$E339),$P$20))-SUM($BF339:CB339))</f>
        <v>0</v>
      </c>
      <c r="CD339" s="446">
        <f>IF($E339=0,0,IF(MIN(CD$38,$E339)&lt;MAX($P$34*($B339+$I$38-1),IF(AND($L$37=0,$P$34=0),"",$L$37-1)),0,YEARFRAC(MAX($P$34*($B339+$I$38-1),IF(AND($L$37=0,$P$34=0),"",$L$37-1)),MIN(CD$38,$E339),$P$20))-SUM($BF339:CC339))</f>
        <v>0</v>
      </c>
      <c r="CE339" s="446">
        <f>IF($E339=0,0,IF(MIN(CE$38,$E339)&lt;MAX($P$34*($B339+$I$38-1),IF(AND($L$37=0,$P$34=0),"",$L$37-1)),0,YEARFRAC(MAX($P$34*($B339+$I$38-1),IF(AND($L$37=0,$P$34=0),"",$L$37-1)),MIN(CE$38,$E339),$P$20))-SUM($BF339:CD339))</f>
        <v>0</v>
      </c>
      <c r="CF339" s="446">
        <f>IF($E339=0,0,IF(MIN(CF$38,$E339)&lt;MAX($P$34*($B339+$I$38-1),IF(AND($L$37=0,$P$34=0),"",$L$37-1)),0,YEARFRAC(MAX($P$34*($B339+$I$38-1),IF(AND($L$37=0,$P$34=0),"",$L$37-1)),MIN(CF$38,$E339),$P$20))-SUM($BF339:CE339))</f>
        <v>0</v>
      </c>
      <c r="CG339" s="446">
        <f>IF($E339=0,0,IF(MIN(CG$38,$E339)&lt;MAX($P$34*($B339+$I$38-1),IF(AND($L$37=0,$P$34=0),"",$L$37-1)),0,YEARFRAC(MAX($P$34*($B339+$I$38-1),IF(AND($L$37=0,$P$34=0),"",$L$37-1)),MIN(CG$38,$E339),$P$20))-SUM($BF339:CF339))</f>
        <v>0</v>
      </c>
      <c r="CH339" s="446">
        <f>IF($E339=0,0,IF(MIN(CH$38,$E339)&lt;MAX($P$34*($B339+$I$38-1),IF(AND($L$37=0,$P$34=0),"",$L$37-1)),0,YEARFRAC(MAX($P$34*($B339+$I$38-1),IF(AND($L$37=0,$P$34=0),"",$L$37-1)),MIN(CH$38,$E339),$P$20))-SUM($BF339:CG339))</f>
        <v>0</v>
      </c>
      <c r="CI339" s="446">
        <f>IF($E339=0,0,IF(MIN(CI$38,$E339)&lt;MAX($P$34*($B339+$I$38-1),IF(AND($L$37=0,$P$34=0),"",$L$37-1)),0,YEARFRAC(MAX($P$34*($B339+$I$38-1),IF(AND($L$37=0,$P$34=0),"",$L$37-1)),MIN(CI$38,$E339),$P$20))-SUM($BF339:CH339))</f>
        <v>0</v>
      </c>
      <c r="CJ339" s="446">
        <f>IF($E339=0,0,IF(MIN(CJ$38,$E339)&lt;MAX($P$34*($B339+$I$38-1),IF(AND($L$37=0,$P$34=0),"",$L$37-1)),0,YEARFRAC(MAX($P$34*($B339+$I$38-1),IF(AND($L$37=0,$P$34=0),"",$L$37-1)),MIN(CJ$38,$E339),$P$20))-SUM($BF339:CI339))</f>
        <v>0</v>
      </c>
      <c r="CK339" s="446">
        <f>IF($E339=0,0,IF(MIN(CK$38,$E339)&lt;MAX($P$34*($B339+$I$38-1),IF(AND($L$37=0,$P$34=0),"",$L$37-1)),0,YEARFRAC(MAX($P$34*($B339+$I$38-1),IF(AND($L$37=0,$P$34=0),"",$L$37-1)),MIN(CK$38,$E339),$P$20))-SUM($BF339:CJ339))</f>
        <v>0</v>
      </c>
      <c r="CL339" s="446">
        <f>IF($E339=0,0,IF(MIN(CL$38,$E339)&lt;MAX($P$34*($B339+$I$38-1),IF(AND($L$37=0,$P$34=0),"",$L$37-1)),0,YEARFRAC(MAX($P$34*($B339+$I$38-1),IF(AND($L$37=0,$P$34=0),"",$L$37-1)),MIN(CL$38,$E339),$P$20))-SUM($BF339:CK339))</f>
        <v>0</v>
      </c>
      <c r="CM339" s="446">
        <f>IF($E339=0,0,IF(MIN(CM$38,$E339)&lt;MAX($P$34*($B339+$I$38-1),IF(AND($L$37=0,$P$34=0),"",$L$37-1)),0,YEARFRAC(MAX($P$34*($B339+$I$38-1),IF(AND($L$37=0,$P$34=0),"",$L$37-1)),MIN(CM$38,$E339),$P$20))-SUM($BF339:CL339))</f>
        <v>0</v>
      </c>
      <c r="CN339" s="446">
        <f>IF($E339=0,0,IF(MIN(CN$38,$E339)&lt;MAX($P$34*($B339+$I$38-1),IF(AND($L$37=0,$P$34=0),"",$L$37-1)),0,YEARFRAC(MAX($P$34*($B339+$I$38-1),IF(AND($L$37=0,$P$34=0),"",$L$37-1)),MIN(CN$38,$E339),$P$20))-SUM($BF339:CM339))</f>
        <v>0</v>
      </c>
      <c r="CO339" s="446">
        <f>IF($E339=0,0,IF(MIN(CO$38,$E339)&lt;MAX($P$34*($B339+$I$38-1),IF(AND($L$37=0,$P$34=0),"",$L$37-1)),0,YEARFRAC(MAX($P$34*($B339+$I$38-1),IF(AND($L$37=0,$P$34=0),"",$L$37-1)),MIN(CO$38,$E339),$P$20))-SUM($BF339:CN339))</f>
        <v>0</v>
      </c>
      <c r="CP339" s="446">
        <f>IF($E339=0,0,IF(MIN(CP$38,$E339)&lt;MAX($P$34*($B339+$I$38-1),IF(AND($L$37=0,$P$34=0),"",$L$37-1)),0,YEARFRAC(MAX($P$34*($B339+$I$38-1),IF(AND($L$37=0,$P$34=0),"",$L$37-1)),MIN(CP$38,$E339),$P$20))-SUM($BF339:CO339))</f>
        <v>0</v>
      </c>
      <c r="CQ339" s="446">
        <f>IF($E339=0,0,IF(MIN(CQ$38,$E339)&lt;MAX($P$34*($B339+$I$38-1),IF(AND($L$37=0,$P$34=0),"",$L$37-1)),0,YEARFRAC(MAX($P$34*($B339+$I$38-1),IF(AND($L$37=0,$P$34=0),"",$L$37-1)),MIN(CQ$38,$E339),$P$20))-SUM($BF339:CP339))</f>
        <v>0</v>
      </c>
    </row>
    <row r="340" spans="1:95" s="446" customFormat="1" ht="11.25" hidden="1" customHeight="1" x14ac:dyDescent="0.2">
      <c r="A340" s="152"/>
      <c r="B340" s="153" t="str">
        <f t="shared" si="59"/>
        <v/>
      </c>
      <c r="C340" s="29" t="str">
        <f>IF(B340="","",IF($L$35="SELIC - TRIBUTOS",VLOOKUP(DATE(YEAR($D$19),MONTH($D$19)-1,1),ÍNDICES!$A:$DE,HLOOKUP($BL$25,ÍNDICES!$B$3:$T$4,2)+11)-VLOOKUP(B340,ÍNDICES!$A:$DE,HLOOKUP($BL$25,ÍNDICES!$B$3:$T$4,2)+11)+1%,IF(C$38=$W$26,$J$35,IF(ISERROR(IF(B340&gt;$D$19,1,VLOOKUP(DATE(YEAR(B340),MONTH(B340)+IF($C$35=$S$23,1,0),1),ÍNDICES!$A:$DE,$Z$35+1))),"",IF(B340&gt;$D$19,1,VLOOKUP(DATE(YEAR(B340),MONTH(B340)+IF($C$35=$S$23,1,0),1),ÍNDICES!$A:$DE,$Z$35+1))))))</f>
        <v/>
      </c>
      <c r="D340" s="154" t="str">
        <f>IF(ISERROR(IF(OR($D$38=$Y$27,$B340=""),"",VLOOKUP(B340,ÍNDICES!A:DE,AF$35+1))),"",IF(OR($D$38=$Y$27,$B340=""),"",VLOOKUP(B340,ÍNDICES!A:DE,AF$35+1)))</f>
        <v/>
      </c>
      <c r="E340" s="153"/>
      <c r="F340" s="29" t="str">
        <f>IF(E340="","",IF($L$35="SELIC - TRIBUTOS",VLOOKUP(DATE(YEAR($D$19),MONTH($D$19)-1,1),ÍNDICES!$A:$DE,HLOOKUP($BL$25,ÍNDICES!$B$3:$T$4,2)+11)-VLOOKUP(E340,ÍNDICES!$A:$DE,HLOOKUP($BL$25,ÍNDICES!$B$3:$T$4,2)+11)+1%,IF(F$38=$W$26,$J$35,IF(ISERROR(IF(E340&gt;$D$19,1,VLOOKUP(DATE(YEAR(E340),MONTH(E340)+IF($C$35=$S$23,1,0),1),ÍNDICES!$A:$DE,$Z$35+1))),"",IF(E340&gt;$D$19,1,VLOOKUP(DATE(YEAR(E340),MONTH(E340)+IF($C$35=$S$23,1,0),1),ÍNDICES!$A:$DE,$Z$35+1))))))</f>
        <v/>
      </c>
      <c r="G340" s="155"/>
      <c r="H340" s="156" t="str">
        <f t="shared" si="55"/>
        <v/>
      </c>
      <c r="I340" s="29" t="str">
        <f t="shared" si="49"/>
        <v/>
      </c>
      <c r="J340" s="5">
        <f t="shared" si="50"/>
        <v>0</v>
      </c>
      <c r="K340" s="20">
        <f t="shared" ca="1" si="51"/>
        <v>0</v>
      </c>
      <c r="L340" s="5">
        <f t="shared" ca="1" si="52"/>
        <v>0</v>
      </c>
      <c r="M340" s="64">
        <f t="shared" si="56"/>
        <v>0</v>
      </c>
      <c r="N340" s="61">
        <f t="shared" ca="1" si="57"/>
        <v>0</v>
      </c>
      <c r="O340" s="5">
        <f t="shared" ca="1" si="58"/>
        <v>0</v>
      </c>
      <c r="P340" s="446" t="e">
        <f t="shared" si="53"/>
        <v>#VALUE!</v>
      </c>
      <c r="Q340" s="446" t="e">
        <f>IF(OR($B340="",MIN(Q$38,$D$19)&lt;MAX($P$34*($B340+IF($R$17="Distrato",$I$38-1,0)),IF(AND($L$37=0,$P$34=0),"",$L$37-1),IF($R$17="Distrato",$E340,0))),0,YEARFRAC(MAX($P$34*($B340+IF($R$17="Distrato",$I$38-1,0)),IF(AND($L$37=0,$P$34=0),"",$L$37-1),IF($R$17="Distrato",$E340,0)),MIN(Q$38,$D$19),$P$20))-SUM($P340:P340)</f>
        <v>#VALUE!</v>
      </c>
      <c r="R340" s="446" t="e">
        <f>IF(OR($B340="",MIN(R$38,$D$19)&lt;MAX($P$34*($B340+IF($R$17="Distrato",$I$38-1,0)),IF(AND($L$37=0,$P$34=0),"",$L$37-1),IF($R$17="Distrato",$E340,0))),0,YEARFRAC(MAX($P$34*($B340+IF($R$17="Distrato",$I$38-1,0)),IF(AND($L$37=0,$P$34=0),"",$L$37-1),IF($R$17="Distrato",$E340,0)),MIN(R$38,$D$19),$P$20))-SUM($P340:Q340)</f>
        <v>#VALUE!</v>
      </c>
      <c r="S340" s="446" t="e">
        <f>IF(OR($B340="",MIN(S$38,$D$19)&lt;MAX($P$34*($B340+IF($R$17="Distrato",$I$38-1,0)),IF(AND($L$37=0,$P$34=0),"",$L$37-1),IF($R$17="Distrato",$E340,0))),0,YEARFRAC(MAX($P$34*($B340+IF($R$17="Distrato",$I$38-1,0)),IF(AND($L$37=0,$P$34=0),"",$L$37-1),IF($R$17="Distrato",$E340,0)),MIN(S$38,$D$19),$P$20))-SUM($P340:R340)</f>
        <v>#VALUE!</v>
      </c>
      <c r="T340" s="446" t="e">
        <f>IF(OR($B340="",MIN(T$38,$D$19)&lt;MAX($P$34*($B340+IF($R$17="Distrato",$I$38-1,0)),IF(AND($L$37=0,$P$34=0),"",$L$37-1),IF($R$17="Distrato",$E340,0))),0,YEARFRAC(MAX($P$34*($B340+IF($R$17="Distrato",$I$38-1,0)),IF(AND($L$37=0,$P$34=0),"",$L$37-1),IF($R$17="Distrato",$E340,0)),MIN(T$38,$D$19),$P$20))-SUM($P340:S340)</f>
        <v>#VALUE!</v>
      </c>
      <c r="U340" s="446" t="e">
        <f>IF(OR($B340="",MIN(U$38,$D$19)&lt;MAX($P$34*($B340+IF($R$17="Distrato",$I$38-1,0)),IF(AND($L$37=0,$P$34=0),"",$L$37-1),IF($R$17="Distrato",$E340,0))),0,YEARFRAC(MAX($P$34*($B340+IF($R$17="Distrato",$I$38-1,0)),IF(AND($L$37=0,$P$34=0),"",$L$37-1),IF($R$17="Distrato",$E340,0)),MIN(U$38,$D$19),$P$20))-SUM($P340:T340)</f>
        <v>#VALUE!</v>
      </c>
      <c r="V340" s="446" t="e">
        <f>IF(OR($B340="",MIN(V$38,$D$19)&lt;MAX($P$34*($B340+IF($R$17="Distrato",$I$38-1,0)),IF(AND($L$37=0,$P$34=0),"",$L$37-1),IF($R$17="Distrato",$E340,0))),0,YEARFRAC(MAX($P$34*($B340+IF($R$17="Distrato",$I$38-1,0)),IF(AND($L$37=0,$P$34=0),"",$L$37-1),IF($R$17="Distrato",$E340,0)),MIN(V$38,$D$19),$P$20))-SUM($P340:U340)</f>
        <v>#VALUE!</v>
      </c>
      <c r="W340" s="446" t="e">
        <f>IF(OR($B340="",MIN(W$38,$D$19)&lt;MAX($P$34*($B340+IF($R$17="Distrato",$I$38-1,0)),IF(AND($L$37=0,$P$34=0),"",$L$37-1),IF($R$17="Distrato",$E340,0))),0,YEARFRAC(MAX($P$34*($B340+IF($R$17="Distrato",$I$38-1,0)),IF(AND($L$37=0,$P$34=0),"",$L$37-1),IF($R$17="Distrato",$E340,0)),MIN(W$38,$D$19),$P$20))-SUM($P340:V340)</f>
        <v>#VALUE!</v>
      </c>
      <c r="X340" s="446" t="e">
        <f>IF(OR($B340="",MIN(X$38,$D$19)&lt;MAX($P$34*($B340+IF($R$17="Distrato",$I$38-1,0)),IF(AND($L$37=0,$P$34=0),"",$L$37-1),IF($R$17="Distrato",$E340,0))),0,YEARFRAC(MAX($P$34*($B340+IF($R$17="Distrato",$I$38-1,0)),IF(AND($L$37=0,$P$34=0),"",$L$37-1),IF($R$17="Distrato",$E340,0)),MIN(X$38,$D$19),$P$20))-SUM($P340:W340)</f>
        <v>#VALUE!</v>
      </c>
      <c r="Y340" s="446" t="e">
        <f>IF(OR($B340="",MIN(Y$38,$D$19)&lt;MAX($P$34*($B340+IF($R$17="Distrato",$I$38-1,0)),IF(AND($L$37=0,$P$34=0),"",$L$37-1),IF($R$17="Distrato",$E340,0))),0,YEARFRAC(MAX($P$34*($B340+IF($R$17="Distrato",$I$38-1,0)),IF(AND($L$37=0,$P$34=0),"",$L$37-1),IF($R$17="Distrato",$E340,0)),MIN(Y$38,$D$19),$P$20))-SUM($P340:X340)</f>
        <v>#VALUE!</v>
      </c>
      <c r="Z340" s="446" t="e">
        <f>IF(OR($B340="",MIN(Z$38,$D$19)&lt;MAX($P$34*($B340+IF($R$17="Distrato",$I$38-1,0)),IF(AND($L$37=0,$P$34=0),"",$L$37-1),IF($R$17="Distrato",$E340,0))),0,YEARFRAC(MAX($P$34*($B340+IF($R$17="Distrato",$I$38-1,0)),IF(AND($L$37=0,$P$34=0),"",$L$37-1),IF($R$17="Distrato",$E340,0)),MIN(Z$38,$D$19),$P$20))-SUM($P340:Y340)</f>
        <v>#VALUE!</v>
      </c>
      <c r="AA340" s="446" t="e">
        <f>IF(OR($B340="",MIN(AA$38,$D$19)&lt;MAX($P$34*($B340+IF($R$17="Distrato",$I$38-1,0)),IF(AND($L$37=0,$P$34=0),"",$L$37-1),IF($R$17="Distrato",$E340,0))),0,YEARFRAC(MAX($P$34*($B340+IF($R$17="Distrato",$I$38-1,0)),IF(AND($L$37=0,$P$34=0),"",$L$37-1),IF($R$17="Distrato",$E340,0)),MIN(AA$38,$D$19),$P$20))-SUM($P340:Z340)</f>
        <v>#VALUE!</v>
      </c>
      <c r="AB340" s="446" t="e">
        <f>IF(OR($B340="",MIN(AB$38,$D$19)&lt;MAX($P$34*($B340+IF($R$17="Distrato",$I$38-1,0)),IF(AND($L$37=0,$P$34=0),"",$L$37-1),IF($R$17="Distrato",$E340,0))),0,YEARFRAC(MAX($P$34*($B340+IF($R$17="Distrato",$I$38-1,0)),IF(AND($L$37=0,$P$34=0),"",$L$37-1),IF($R$17="Distrato",$E340,0)),MIN(AB$38,$D$19),$P$20))-SUM($P340:AA340)</f>
        <v>#VALUE!</v>
      </c>
      <c r="AC340" s="446" t="e">
        <f>IF(OR($B340="",MIN(AC$38,$D$19)&lt;MAX($P$34*($B340+IF($R$17="Distrato",$I$38-1,0)),IF(AND($L$37=0,$P$34=0),"",$L$37-1),IF($R$17="Distrato",$E340,0))),0,YEARFRAC(MAX($P$34*($B340+IF($R$17="Distrato",$I$38-1,0)),IF(AND($L$37=0,$P$34=0),"",$L$37-1),IF($R$17="Distrato",$E340,0)),MIN(AC$38,$D$19),$P$20))-SUM($P340:AB340)</f>
        <v>#VALUE!</v>
      </c>
      <c r="AD340" s="446" t="e">
        <f>IF(OR($B340="",MIN(AD$38,$D$19)&lt;MAX($P$34*($B340+IF($R$17="Distrato",$I$38-1,0)),IF(AND($L$37=0,$P$34=0),"",$L$37-1),IF($R$17="Distrato",$E340,0))),0,YEARFRAC(MAX($P$34*($B340+IF($R$17="Distrato",$I$38-1,0)),IF(AND($L$37=0,$P$34=0),"",$L$37-1),IF($R$17="Distrato",$E340,0)),MIN(AD$38,$D$19),$P$20))-SUM($P340:AC340)</f>
        <v>#VALUE!</v>
      </c>
      <c r="AE340" s="446" t="e">
        <f>IF(OR($B340="",MIN(AE$38,$D$19)&lt;MAX($P$34*($B340+IF($R$17="Distrato",$I$38-1,0)),IF(AND($L$37=0,$P$34=0),"",$L$37-1),IF($R$17="Distrato",$E340,0))),0,YEARFRAC(MAX($P$34*($B340+IF($R$17="Distrato",$I$38-1,0)),IF(AND($L$37=0,$P$34=0),"",$L$37-1),IF($R$17="Distrato",$E340,0)),MIN(AE$38,$D$19),$P$20))-SUM($P340:AD340)</f>
        <v>#VALUE!</v>
      </c>
      <c r="AF340" s="446" t="e">
        <f>IF(OR($B340="",MIN(AF$38,$D$19)&lt;MAX($P$34*($B340+IF($R$17="Distrato",$I$38-1,0)),IF(AND($L$37=0,$P$34=0),"",$L$37-1),IF($R$17="Distrato",$E340,0))),0,YEARFRAC(MAX($P$34*($B340+IF($R$17="Distrato",$I$38-1,0)),IF(AND($L$37=0,$P$34=0),"",$L$37-1),IF($R$17="Distrato",$E340,0)),MIN(AF$38,$D$19),$P$20))-SUM($P340:AE340)</f>
        <v>#VALUE!</v>
      </c>
      <c r="AG340" s="446" t="e">
        <f>IF(OR($B340="",MIN(AG$38,$D$19)&lt;MAX($P$34*($B340+IF($R$17="Distrato",$I$38-1,0)),IF(AND($L$37=0,$P$34=0),"",$L$37-1),IF($R$17="Distrato",$E340,0))),0,YEARFRAC(MAX($P$34*($B340+IF($R$17="Distrato",$I$38-1,0)),IF(AND($L$37=0,$P$34=0),"",$L$37-1),IF($R$17="Distrato",$E340,0)),MIN(AG$38,$D$19),$P$20))-SUM($P340:AF340)</f>
        <v>#VALUE!</v>
      </c>
      <c r="AH340" s="446" t="e">
        <f>IF(OR($B340="",MIN(AH$38,$D$19)&lt;MAX($P$34*($B340+IF($R$17="Distrato",$I$38-1,0)),IF(AND($L$37=0,$P$34=0),"",$L$37-1),IF($R$17="Distrato",$E340,0))),0,YEARFRAC(MAX($P$34*($B340+IF($R$17="Distrato",$I$38-1,0)),IF(AND($L$37=0,$P$34=0),"",$L$37-1),IF($R$17="Distrato",$E340,0)),MIN(AH$38,$D$19),$P$20))-SUM($P340:AG340)</f>
        <v>#VALUE!</v>
      </c>
      <c r="AI340" s="446" t="e">
        <f>IF(OR($B340="",MIN(AI$38,$D$19)&lt;MAX($P$34*($B340+IF($R$17="Distrato",$I$38-1,0)),IF(AND($L$37=0,$P$34=0),"",$L$37-1),IF($R$17="Distrato",$E340,0))),0,YEARFRAC(MAX($P$34*($B340+IF($R$17="Distrato",$I$38-1,0)),IF(AND($L$37=0,$P$34=0),"",$L$37-1),IF($R$17="Distrato",$E340,0)),MIN(AI$38,$D$19),$P$20))-SUM($P340:AH340)</f>
        <v>#VALUE!</v>
      </c>
      <c r="AJ340" s="446" t="e">
        <f>IF(OR($B340="",MIN(AJ$38,$D$19)&lt;MAX($P$34*($B340+IF($R$17="Distrato",$I$38-1,0)),IF(AND($L$37=0,$P$34=0),"",$L$37-1),IF($R$17="Distrato",$E340,0))),0,YEARFRAC(MAX($P$34*($B340+IF($R$17="Distrato",$I$38-1,0)),IF(AND($L$37=0,$P$34=0),"",$L$37-1),IF($R$17="Distrato",$E340,0)),MIN(AJ$38,$D$19),$P$20))-SUM($P340:AI340)</f>
        <v>#VALUE!</v>
      </c>
      <c r="AK340" s="446" t="e">
        <f>IF(OR($B340="",MIN(AK$38,$D$19)&lt;MAX($P$34*($B340+IF($R$17="Distrato",$I$38-1,0)),IF(AND($L$37=0,$P$34=0),"",$L$37-1),IF($R$17="Distrato",$E340,0))),0,YEARFRAC(MAX($P$34*($B340+IF($R$17="Distrato",$I$38-1,0)),IF(AND($L$37=0,$P$34=0),"",$L$37-1),IF($R$17="Distrato",$E340,0)),MIN(AK$38,$D$19),$P$20))-SUM($P340:AJ340)</f>
        <v>#VALUE!</v>
      </c>
      <c r="AL340" s="446" t="e">
        <f>IF(OR($B340="",MIN(AL$38,$D$19)&lt;MAX($P$34*($B340+IF($R$17="Distrato",$I$38-1,0)),IF(AND($L$37=0,$P$34=0),"",$L$37-1),IF($R$17="Distrato",$E340,0))),0,YEARFRAC(MAX($P$34*($B340+IF($R$17="Distrato",$I$38-1,0)),IF(AND($L$37=0,$P$34=0),"",$L$37-1),IF($R$17="Distrato",$E340,0)),MIN(AL$38,$D$19),$P$20))-SUM($P340:AK340)</f>
        <v>#VALUE!</v>
      </c>
      <c r="AM340" s="446" t="e">
        <f>IF(OR($B340="",MIN(AM$38,$D$19)&lt;MAX($P$34*($B340+IF($R$17="Distrato",$I$38-1,0)),IF(AND($L$37=0,$P$34=0),"",$L$37-1),IF($R$17="Distrato",$E340,0))),0,YEARFRAC(MAX($P$34*($B340+IF($R$17="Distrato",$I$38-1,0)),IF(AND($L$37=0,$P$34=0),"",$L$37-1),IF($R$17="Distrato",$E340,0)),MIN(AM$38,$D$19),$P$20))-SUM($P340:AL340)</f>
        <v>#VALUE!</v>
      </c>
      <c r="AN340" s="446" t="e">
        <f>IF(OR($B340="",MIN(AN$38,$D$19)&lt;MAX($P$34*($B340+IF($R$17="Distrato",$I$38-1,0)),IF(AND($L$37=0,$P$34=0),"",$L$37-1),IF($R$17="Distrato",$E340,0))),0,YEARFRAC(MAX($P$34*($B340+IF($R$17="Distrato",$I$38-1,0)),IF(AND($L$37=0,$P$34=0),"",$L$37-1),IF($R$17="Distrato",$E340,0)),MIN(AN$38,$D$19),$P$20))-SUM($P340:AM340)</f>
        <v>#VALUE!</v>
      </c>
      <c r="AO340" s="446" t="e">
        <f>IF(OR($B340="",MIN(AO$38,$D$19)&lt;MAX($P$34*($B340+IF($R$17="Distrato",$I$38-1,0)),IF(AND($L$37=0,$P$34=0),"",$L$37-1),IF($R$17="Distrato",$E340,0))),0,YEARFRAC(MAX($P$34*($B340+IF($R$17="Distrato",$I$38-1,0)),IF(AND($L$37=0,$P$34=0),"",$L$37-1),IF($R$17="Distrato",$E340,0)),MIN(AO$38,$D$19),$P$20))-SUM($P340:AN340)</f>
        <v>#VALUE!</v>
      </c>
      <c r="AP340" s="446" t="e">
        <f>IF(OR($B340="",MIN(AP$38,$D$19)&lt;MAX($P$34*($B340+IF($R$17="Distrato",$I$38-1,0)),IF(AND($L$37=0,$P$34=0),"",$L$37-1),IF($R$17="Distrato",$E340,0))),0,YEARFRAC(MAX($P$34*($B340+IF($R$17="Distrato",$I$38-1,0)),IF(AND($L$37=0,$P$34=0),"",$L$37-1),IF($R$17="Distrato",$E340,0)),MIN(AP$38,$D$19),$P$20))-SUM($P340:AO340)</f>
        <v>#VALUE!</v>
      </c>
      <c r="AQ340" s="446" t="e">
        <f>IF(OR($B340="",MIN(AQ$38,$D$19)&lt;MAX($P$34*($B340+IF($R$17="Distrato",$I$38-1,0)),IF(AND($L$37=0,$P$34=0),"",$L$37-1),IF($R$17="Distrato",$E340,0))),0,YEARFRAC(MAX($P$34*($B340+IF($R$17="Distrato",$I$38-1,0)),IF(AND($L$37=0,$P$34=0),"",$L$37-1),IF($R$17="Distrato",$E340,0)),MIN(AQ$38,$D$19),$P$20))-SUM($P340:AP340)</f>
        <v>#VALUE!</v>
      </c>
      <c r="AR340" s="446" t="e">
        <f>IF(OR($B340="",MIN(AR$38,$D$19)&lt;MAX($P$34*($B340+IF($R$17="Distrato",$I$38-1,0)),IF(AND($L$37=0,$P$34=0),"",$L$37-1),IF($R$17="Distrato",$E340,0))),0,YEARFRAC(MAX($P$34*($B340+IF($R$17="Distrato",$I$38-1,0)),IF(AND($L$37=0,$P$34=0),"",$L$37-1),IF($R$17="Distrato",$E340,0)),MIN(AR$38,$D$19),$P$20))-SUM($P340:AQ340)</f>
        <v>#VALUE!</v>
      </c>
      <c r="AS340" s="446" t="e">
        <f>IF(OR($B340="",MIN(AS$38,$D$19)&lt;MAX($P$34*($B340+IF($R$17="Distrato",$I$38-1,0)),IF(AND($L$37=0,$P$34=0),"",$L$37-1),IF($R$17="Distrato",$E340,0))),0,YEARFRAC(MAX($P$34*($B340+IF($R$17="Distrato",$I$38-1,0)),IF(AND($L$37=0,$P$34=0),"",$L$37-1),IF($R$17="Distrato",$E340,0)),MIN(AS$38,$D$19),$P$20))-SUM($P340:AR340)</f>
        <v>#VALUE!</v>
      </c>
      <c r="AT340" s="446" t="e">
        <f>IF(OR($B340="",MIN(AT$38,$D$19)&lt;MAX($P$34*($B340+IF($R$17="Distrato",$I$38-1,0)),IF(AND($L$37=0,$P$34=0),"",$L$37-1),IF($R$17="Distrato",$E340,0))),0,YEARFRAC(MAX($P$34*($B340+IF($R$17="Distrato",$I$38-1,0)),IF(AND($L$37=0,$P$34=0),"",$L$37-1),IF($R$17="Distrato",$E340,0)),MIN(AT$38,$D$19),$P$20))-SUM($P340:AS340)</f>
        <v>#VALUE!</v>
      </c>
      <c r="AU340" s="446" t="e">
        <f>IF(OR($B340="",MIN(AU$38,$D$19)&lt;MAX($P$34*($B340+IF($R$17="Distrato",$I$38-1,0)),IF(AND($L$37=0,$P$34=0),"",$L$37-1),IF($R$17="Distrato",$E340,0))),0,YEARFRAC(MAX($P$34*($B340+IF($R$17="Distrato",$I$38-1,0)),IF(AND($L$37=0,$P$34=0),"",$L$37-1),IF($R$17="Distrato",$E340,0)),MIN(AU$38,$D$19),$P$20))-SUM($P340:AT340)</f>
        <v>#VALUE!</v>
      </c>
      <c r="AV340" s="446" t="e">
        <f>IF(OR($B340="",MIN(AV$38,$D$19)&lt;MAX($P$34*($B340+IF($R$17="Distrato",$I$38-1,0)),IF(AND($L$37=0,$P$34=0),"",$L$37-1),IF($R$17="Distrato",$E340,0))),0,YEARFRAC(MAX($P$34*($B340+IF($R$17="Distrato",$I$38-1,0)),IF(AND($L$37=0,$P$34=0),"",$L$37-1),IF($R$17="Distrato",$E340,0)),MIN(AV$38,$D$19),$P$20))-SUM($P340:AU340)</f>
        <v>#VALUE!</v>
      </c>
      <c r="AW340" s="446" t="e">
        <f>IF(OR($B340="",MIN(AW$38,$D$19)&lt;MAX($P$34*($B340+IF($R$17="Distrato",$I$38-1,0)),IF(AND($L$37=0,$P$34=0),"",$L$37-1),IF($R$17="Distrato",$E340,0))),0,YEARFRAC(MAX($P$34*($B340+IF($R$17="Distrato",$I$38-1,0)),IF(AND($L$37=0,$P$34=0),"",$L$37-1),IF($R$17="Distrato",$E340,0)),MIN(AW$38,$D$19),$P$20))-SUM($P340:AV340)</f>
        <v>#VALUE!</v>
      </c>
      <c r="AX340" s="446" t="e">
        <f>IF(OR($B340="",MIN(AX$38,$D$19)&lt;MAX($P$34*($B340+IF($R$17="Distrato",$I$38-1,0)),IF(AND($L$37=0,$P$34=0),"",$L$37-1),IF($R$17="Distrato",$E340,0))),0,YEARFRAC(MAX($P$34*($B340+IF($R$17="Distrato",$I$38-1,0)),IF(AND($L$37=0,$P$34=0),"",$L$37-1),IF($R$17="Distrato",$E340,0)),MIN(AX$38,$D$19),$P$20))-SUM($P340:AW340)</f>
        <v>#VALUE!</v>
      </c>
      <c r="AY340" s="446" t="e">
        <f>IF(OR($B340="",MIN(AY$38,$D$19)&lt;MAX($P$34*($B340+IF($R$17="Distrato",$I$38-1,0)),IF(AND($L$37=0,$P$34=0),"",$L$37-1),IF($R$17="Distrato",$E340,0))),0,YEARFRAC(MAX($P$34*($B340+IF($R$17="Distrato",$I$38-1,0)),IF(AND($L$37=0,$P$34=0),"",$L$37-1),IF($R$17="Distrato",$E340,0)),MIN(AY$38,$D$19),$P$20))-SUM($P340:AX340)</f>
        <v>#VALUE!</v>
      </c>
      <c r="AZ340" s="446" t="e">
        <f>IF(OR($B340="",MIN(AZ$38,$D$19)&lt;MAX($P$34*($B340+IF($R$17="Distrato",$I$38-1,0)),IF(AND($L$37=0,$P$34=0),"",$L$37-1),IF($R$17="Distrato",$E340,0))),0,YEARFRAC(MAX($P$34*($B340+IF($R$17="Distrato",$I$38-1,0)),IF(AND($L$37=0,$P$34=0),"",$L$37-1),IF($R$17="Distrato",$E340,0)),MIN(AZ$38,$D$19),$P$20))-SUM($P340:AY340)</f>
        <v>#VALUE!</v>
      </c>
      <c r="BA340" s="446" t="e">
        <f>IF(OR($B340="",MIN(BA$38,$D$19)&lt;MAX($P$34*($B340+IF($R$17="Distrato",$I$38-1,0)),IF(AND($L$37=0,$P$34=0),"",$L$37-1),IF($R$17="Distrato",$E340,0))),0,YEARFRAC(MAX($P$34*($B340+IF($R$17="Distrato",$I$38-1,0)),IF(AND($L$37=0,$P$34=0),"",$L$37-1),IF($R$17="Distrato",$E340,0)),MIN(BA$38,$D$19),$P$20))-SUM($P340:AZ340)</f>
        <v>#VALUE!</v>
      </c>
      <c r="BB340" s="447"/>
      <c r="BF340" s="446">
        <f t="shared" si="54"/>
        <v>0</v>
      </c>
      <c r="BG340" s="446">
        <f>IF($E340=0,0,IF(MIN(BG$38,$E340)&lt;MAX($P$34*($B340+$I$38-1),IF(AND($L$37=0,$P$34=0),"",$L$37-1)),0,YEARFRAC(MAX($P$34*($B340+$I$38-1),IF(AND($L$37=0,$P$34=0),"",$L$37-1)),MIN(BG$38,$E340),$P$20))-SUM($BF340:BF340))</f>
        <v>0</v>
      </c>
      <c r="BH340" s="446">
        <f>IF($E340=0,0,IF(MIN(BH$38,$E340)&lt;MAX($P$34*($B340+$I$38-1),IF(AND($L$37=0,$P$34=0),"",$L$37-1)),0,YEARFRAC(MAX($P$34*($B340+$I$38-1),IF(AND($L$37=0,$P$34=0),"",$L$37-1)),MIN(BH$38,$E340),$P$20))-SUM($BF340:BG340))</f>
        <v>0</v>
      </c>
      <c r="BI340" s="446">
        <f>IF($E340=0,0,IF(MIN(BI$38,$E340)&lt;MAX($P$34*($B340+$I$38-1),IF(AND($L$37=0,$P$34=0),"",$L$37-1)),0,YEARFRAC(MAX($P$34*($B340+$I$38-1),IF(AND($L$37=0,$P$34=0),"",$L$37-1)),MIN(BI$38,$E340),$P$20))-SUM($BF340:BH340))</f>
        <v>0</v>
      </c>
      <c r="BJ340" s="446">
        <f>IF($E340=0,0,IF(MIN(BJ$38,$E340)&lt;MAX($P$34*($B340+$I$38-1),IF(AND($L$37=0,$P$34=0),"",$L$37-1)),0,YEARFRAC(MAX($P$34*($B340+$I$38-1),IF(AND($L$37=0,$P$34=0),"",$L$37-1)),MIN(BJ$38,$E340),$P$20))-SUM($BF340:BI340))</f>
        <v>0</v>
      </c>
      <c r="BK340" s="446">
        <f>IF($E340=0,0,IF(MIN(BK$38,$E340)&lt;MAX($P$34*($B340+$I$38-1),IF(AND($L$37=0,$P$34=0),"",$L$37-1)),0,YEARFRAC(MAX($P$34*($B340+$I$38-1),IF(AND($L$37=0,$P$34=0),"",$L$37-1)),MIN(BK$38,$E340),$P$20))-SUM($BF340:BJ340))</f>
        <v>0</v>
      </c>
      <c r="BL340" s="446">
        <f>IF($E340=0,0,IF(MIN(BL$38,$E340)&lt;MAX($P$34*($B340+$I$38-1),IF(AND($L$37=0,$P$34=0),"",$L$37-1)),0,YEARFRAC(MAX($P$34*($B340+$I$38-1),IF(AND($L$37=0,$P$34=0),"",$L$37-1)),MIN(BL$38,$E340),$P$20))-SUM($BF340:BK340))</f>
        <v>0</v>
      </c>
      <c r="BM340" s="446">
        <f>IF($E340=0,0,IF(MIN(BM$38,$E340)&lt;MAX($P$34*($B340+$I$38-1),IF(AND($L$37=0,$P$34=0),"",$L$37-1)),0,YEARFRAC(MAX($P$34*($B340+$I$38-1),IF(AND($L$37=0,$P$34=0),"",$L$37-1)),MIN(BM$38,$E340),$P$20))-SUM($BF340:BL340))</f>
        <v>0</v>
      </c>
      <c r="BN340" s="446">
        <f>IF($E340=0,0,IF(MIN(BN$38,$E340)&lt;MAX($P$34*($B340+$I$38-1),IF(AND($L$37=0,$P$34=0),"",$L$37-1)),0,YEARFRAC(MAX($P$34*($B340+$I$38-1),IF(AND($L$37=0,$P$34=0),"",$L$37-1)),MIN(BN$38,$E340),$P$20))-SUM($BF340:BM340))</f>
        <v>0</v>
      </c>
      <c r="BO340" s="446">
        <f>IF($E340=0,0,IF(MIN(BO$38,$E340)&lt;MAX($P$34*($B340+$I$38-1),IF(AND($L$37=0,$P$34=0),"",$L$37-1)),0,YEARFRAC(MAX($P$34*($B340+$I$38-1),IF(AND($L$37=0,$P$34=0),"",$L$37-1)),MIN(BO$38,$E340),$P$20))-SUM($BF340:BN340))</f>
        <v>0</v>
      </c>
      <c r="BP340" s="446">
        <f>IF($E340=0,0,IF(MIN(BP$38,$E340)&lt;MAX($P$34*($B340+$I$38-1),IF(AND($L$37=0,$P$34=0),"",$L$37-1)),0,YEARFRAC(MAX($P$34*($B340+$I$38-1),IF(AND($L$37=0,$P$34=0),"",$L$37-1)),MIN(BP$38,$E340),$P$20))-SUM($BF340:BO340))</f>
        <v>0</v>
      </c>
      <c r="BQ340" s="446">
        <f>IF($E340=0,0,IF(MIN(BQ$38,$E340)&lt;MAX($P$34*($B340+$I$38-1),IF(AND($L$37=0,$P$34=0),"",$L$37-1)),0,YEARFRAC(MAX($P$34*($B340+$I$38-1),IF(AND($L$37=0,$P$34=0),"",$L$37-1)),MIN(BQ$38,$E340),$P$20))-SUM($BF340:BP340))</f>
        <v>0</v>
      </c>
      <c r="BR340" s="446">
        <f>IF($E340=0,0,IF(MIN(BR$38,$E340)&lt;MAX($P$34*($B340+$I$38-1),IF(AND($L$37=0,$P$34=0),"",$L$37-1)),0,YEARFRAC(MAX($P$34*($B340+$I$38-1),IF(AND($L$37=0,$P$34=0),"",$L$37-1)),MIN(BR$38,$E340),$P$20))-SUM($BF340:BQ340))</f>
        <v>0</v>
      </c>
      <c r="BS340" s="446">
        <f>IF($E340=0,0,IF(MIN(BS$38,$E340)&lt;MAX($P$34*($B340+$I$38-1),IF(AND($L$37=0,$P$34=0),"",$L$37-1)),0,YEARFRAC(MAX($P$34*($B340+$I$38-1),IF(AND($L$37=0,$P$34=0),"",$L$37-1)),MIN(BS$38,$E340),$P$20))-SUM($BF340:BR340))</f>
        <v>0</v>
      </c>
      <c r="BT340" s="446">
        <f>IF($E340=0,0,IF(MIN(BT$38,$E340)&lt;MAX($P$34*($B340+$I$38-1),IF(AND($L$37=0,$P$34=0),"",$L$37-1)),0,YEARFRAC(MAX($P$34*($B340+$I$38-1),IF(AND($L$37=0,$P$34=0),"",$L$37-1)),MIN(BT$38,$E340),$P$20))-SUM($BF340:BS340))</f>
        <v>0</v>
      </c>
      <c r="BU340" s="446">
        <f>IF($E340=0,0,IF(MIN(BU$38,$E340)&lt;MAX($P$34*($B340+$I$38-1),IF(AND($L$37=0,$P$34=0),"",$L$37-1)),0,YEARFRAC(MAX($P$34*($B340+$I$38-1),IF(AND($L$37=0,$P$34=0),"",$L$37-1)),MIN(BU$38,$E340),$P$20))-SUM($BF340:BT340))</f>
        <v>0</v>
      </c>
      <c r="BV340" s="446">
        <f>IF($E340=0,0,IF(MIN(BV$38,$E340)&lt;MAX($P$34*($B340+$I$38-1),IF(AND($L$37=0,$P$34=0),"",$L$37-1)),0,YEARFRAC(MAX($P$34*($B340+$I$38-1),IF(AND($L$37=0,$P$34=0),"",$L$37-1)),MIN(BV$38,$E340),$P$20))-SUM($BF340:BU340))</f>
        <v>0</v>
      </c>
      <c r="BW340" s="446">
        <f>IF($E340=0,0,IF(MIN(BW$38,$E340)&lt;MAX($P$34*($B340+$I$38-1),IF(AND($L$37=0,$P$34=0),"",$L$37-1)),0,YEARFRAC(MAX($P$34*($B340+$I$38-1),IF(AND($L$37=0,$P$34=0),"",$L$37-1)),MIN(BW$38,$E340),$P$20))-SUM($BF340:BV340))</f>
        <v>0</v>
      </c>
      <c r="BX340" s="446">
        <f>IF($E340=0,0,IF(MIN(BX$38,$E340)&lt;MAX($P$34*($B340+$I$38-1),IF(AND($L$37=0,$P$34=0),"",$L$37-1)),0,YEARFRAC(MAX($P$34*($B340+$I$38-1),IF(AND($L$37=0,$P$34=0),"",$L$37-1)),MIN(BX$38,$E340),$P$20))-SUM($BF340:BW340))</f>
        <v>0</v>
      </c>
      <c r="BY340" s="446">
        <f>IF($E340=0,0,IF(MIN(BY$38,$E340)&lt;MAX($P$34*($B340+$I$38-1),IF(AND($L$37=0,$P$34=0),"",$L$37-1)),0,YEARFRAC(MAX($P$34*($B340+$I$38-1),IF(AND($L$37=0,$P$34=0),"",$L$37-1)),MIN(BY$38,$E340),$P$20))-SUM($BF340:BX340))</f>
        <v>0</v>
      </c>
      <c r="BZ340" s="446">
        <f>IF($E340=0,0,IF(MIN(BZ$38,$E340)&lt;MAX($P$34*($B340+$I$38-1),IF(AND($L$37=0,$P$34=0),"",$L$37-1)),0,YEARFRAC(MAX($P$34*($B340+$I$38-1),IF(AND($L$37=0,$P$34=0),"",$L$37-1)),MIN(BZ$38,$E340),$P$20))-SUM($BF340:BY340))</f>
        <v>0</v>
      </c>
      <c r="CA340" s="446">
        <f>IF($E340=0,0,IF(MIN(CA$38,$E340)&lt;MAX($P$34*($B340+$I$38-1),IF(AND($L$37=0,$P$34=0),"",$L$37-1)),0,YEARFRAC(MAX($P$34*($B340+$I$38-1),IF(AND($L$37=0,$P$34=0),"",$L$37-1)),MIN(CA$38,$E340),$P$20))-SUM($BF340:BZ340))</f>
        <v>0</v>
      </c>
      <c r="CB340" s="446">
        <f>IF($E340=0,0,IF(MIN(CB$38,$E340)&lt;MAX($P$34*($B340+$I$38-1),IF(AND($L$37=0,$P$34=0),"",$L$37-1)),0,YEARFRAC(MAX($P$34*($B340+$I$38-1),IF(AND($L$37=0,$P$34=0),"",$L$37-1)),MIN(CB$38,$E340),$P$20))-SUM($BF340:CA340))</f>
        <v>0</v>
      </c>
      <c r="CC340" s="446">
        <f>IF($E340=0,0,IF(MIN(CC$38,$E340)&lt;MAX($P$34*($B340+$I$38-1),IF(AND($L$37=0,$P$34=0),"",$L$37-1)),0,YEARFRAC(MAX($P$34*($B340+$I$38-1),IF(AND($L$37=0,$P$34=0),"",$L$37-1)),MIN(CC$38,$E340),$P$20))-SUM($BF340:CB340))</f>
        <v>0</v>
      </c>
      <c r="CD340" s="446">
        <f>IF($E340=0,0,IF(MIN(CD$38,$E340)&lt;MAX($P$34*($B340+$I$38-1),IF(AND($L$37=0,$P$34=0),"",$L$37-1)),0,YEARFRAC(MAX($P$34*($B340+$I$38-1),IF(AND($L$37=0,$P$34=0),"",$L$37-1)),MIN(CD$38,$E340),$P$20))-SUM($BF340:CC340))</f>
        <v>0</v>
      </c>
      <c r="CE340" s="446">
        <f>IF($E340=0,0,IF(MIN(CE$38,$E340)&lt;MAX($P$34*($B340+$I$38-1),IF(AND($L$37=0,$P$34=0),"",$L$37-1)),0,YEARFRAC(MAX($P$34*($B340+$I$38-1),IF(AND($L$37=0,$P$34=0),"",$L$37-1)),MIN(CE$38,$E340),$P$20))-SUM($BF340:CD340))</f>
        <v>0</v>
      </c>
      <c r="CF340" s="446">
        <f>IF($E340=0,0,IF(MIN(CF$38,$E340)&lt;MAX($P$34*($B340+$I$38-1),IF(AND($L$37=0,$P$34=0),"",$L$37-1)),0,YEARFRAC(MAX($P$34*($B340+$I$38-1),IF(AND($L$37=0,$P$34=0),"",$L$37-1)),MIN(CF$38,$E340),$P$20))-SUM($BF340:CE340))</f>
        <v>0</v>
      </c>
      <c r="CG340" s="446">
        <f>IF($E340=0,0,IF(MIN(CG$38,$E340)&lt;MAX($P$34*($B340+$I$38-1),IF(AND($L$37=0,$P$34=0),"",$L$37-1)),0,YEARFRAC(MAX($P$34*($B340+$I$38-1),IF(AND($L$37=0,$P$34=0),"",$L$37-1)),MIN(CG$38,$E340),$P$20))-SUM($BF340:CF340))</f>
        <v>0</v>
      </c>
      <c r="CH340" s="446">
        <f>IF($E340=0,0,IF(MIN(CH$38,$E340)&lt;MAX($P$34*($B340+$I$38-1),IF(AND($L$37=0,$P$34=0),"",$L$37-1)),0,YEARFRAC(MAX($P$34*($B340+$I$38-1),IF(AND($L$37=0,$P$34=0),"",$L$37-1)),MIN(CH$38,$E340),$P$20))-SUM($BF340:CG340))</f>
        <v>0</v>
      </c>
      <c r="CI340" s="446">
        <f>IF($E340=0,0,IF(MIN(CI$38,$E340)&lt;MAX($P$34*($B340+$I$38-1),IF(AND($L$37=0,$P$34=0),"",$L$37-1)),0,YEARFRAC(MAX($P$34*($B340+$I$38-1),IF(AND($L$37=0,$P$34=0),"",$L$37-1)),MIN(CI$38,$E340),$P$20))-SUM($BF340:CH340))</f>
        <v>0</v>
      </c>
      <c r="CJ340" s="446">
        <f>IF($E340=0,0,IF(MIN(CJ$38,$E340)&lt;MAX($P$34*($B340+$I$38-1),IF(AND($L$37=0,$P$34=0),"",$L$37-1)),0,YEARFRAC(MAX($P$34*($B340+$I$38-1),IF(AND($L$37=0,$P$34=0),"",$L$37-1)),MIN(CJ$38,$E340),$P$20))-SUM($BF340:CI340))</f>
        <v>0</v>
      </c>
      <c r="CK340" s="446">
        <f>IF($E340=0,0,IF(MIN(CK$38,$E340)&lt;MAX($P$34*($B340+$I$38-1),IF(AND($L$37=0,$P$34=0),"",$L$37-1)),0,YEARFRAC(MAX($P$34*($B340+$I$38-1),IF(AND($L$37=0,$P$34=0),"",$L$37-1)),MIN(CK$38,$E340),$P$20))-SUM($BF340:CJ340))</f>
        <v>0</v>
      </c>
      <c r="CL340" s="446">
        <f>IF($E340=0,0,IF(MIN(CL$38,$E340)&lt;MAX($P$34*($B340+$I$38-1),IF(AND($L$37=0,$P$34=0),"",$L$37-1)),0,YEARFRAC(MAX($P$34*($B340+$I$38-1),IF(AND($L$37=0,$P$34=0),"",$L$37-1)),MIN(CL$38,$E340),$P$20))-SUM($BF340:CK340))</f>
        <v>0</v>
      </c>
      <c r="CM340" s="446">
        <f>IF($E340=0,0,IF(MIN(CM$38,$E340)&lt;MAX($P$34*($B340+$I$38-1),IF(AND($L$37=0,$P$34=0),"",$L$37-1)),0,YEARFRAC(MAX($P$34*($B340+$I$38-1),IF(AND($L$37=0,$P$34=0),"",$L$37-1)),MIN(CM$38,$E340),$P$20))-SUM($BF340:CL340))</f>
        <v>0</v>
      </c>
      <c r="CN340" s="446">
        <f>IF($E340=0,0,IF(MIN(CN$38,$E340)&lt;MAX($P$34*($B340+$I$38-1),IF(AND($L$37=0,$P$34=0),"",$L$37-1)),0,YEARFRAC(MAX($P$34*($B340+$I$38-1),IF(AND($L$37=0,$P$34=0),"",$L$37-1)),MIN(CN$38,$E340),$P$20))-SUM($BF340:CM340))</f>
        <v>0</v>
      </c>
      <c r="CO340" s="446">
        <f>IF($E340=0,0,IF(MIN(CO$38,$E340)&lt;MAX($P$34*($B340+$I$38-1),IF(AND($L$37=0,$P$34=0),"",$L$37-1)),0,YEARFRAC(MAX($P$34*($B340+$I$38-1),IF(AND($L$37=0,$P$34=0),"",$L$37-1)),MIN(CO$38,$E340),$P$20))-SUM($BF340:CN340))</f>
        <v>0</v>
      </c>
      <c r="CP340" s="446">
        <f>IF($E340=0,0,IF(MIN(CP$38,$E340)&lt;MAX($P$34*($B340+$I$38-1),IF(AND($L$37=0,$P$34=0),"",$L$37-1)),0,YEARFRAC(MAX($P$34*($B340+$I$38-1),IF(AND($L$37=0,$P$34=0),"",$L$37-1)),MIN(CP$38,$E340),$P$20))-SUM($BF340:CO340))</f>
        <v>0</v>
      </c>
      <c r="CQ340" s="446">
        <f>IF($E340=0,0,IF(MIN(CQ$38,$E340)&lt;MAX($P$34*($B340+$I$38-1),IF(AND($L$37=0,$P$34=0),"",$L$37-1)),0,YEARFRAC(MAX($P$34*($B340+$I$38-1),IF(AND($L$37=0,$P$34=0),"",$L$37-1)),MIN(CQ$38,$E340),$P$20))-SUM($BF340:CP340))</f>
        <v>0</v>
      </c>
    </row>
    <row r="341" spans="1:95" s="446" customFormat="1" ht="11.25" hidden="1" customHeight="1" x14ac:dyDescent="0.2">
      <c r="A341" s="152"/>
      <c r="B341" s="153" t="str">
        <f t="shared" si="59"/>
        <v/>
      </c>
      <c r="C341" s="29" t="str">
        <f>IF(B341="","",IF($L$35="SELIC - TRIBUTOS",VLOOKUP(DATE(YEAR($D$19),MONTH($D$19)-1,1),ÍNDICES!$A:$DE,HLOOKUP($BL$25,ÍNDICES!$B$3:$T$4,2)+11)-VLOOKUP(B341,ÍNDICES!$A:$DE,HLOOKUP($BL$25,ÍNDICES!$B$3:$T$4,2)+11)+1%,IF(C$38=$W$26,$J$35,IF(ISERROR(IF(B341&gt;$D$19,1,VLOOKUP(DATE(YEAR(B341),MONTH(B341)+IF($C$35=$S$23,1,0),1),ÍNDICES!$A:$DE,$Z$35+1))),"",IF(B341&gt;$D$19,1,VLOOKUP(DATE(YEAR(B341),MONTH(B341)+IF($C$35=$S$23,1,0),1),ÍNDICES!$A:$DE,$Z$35+1))))))</f>
        <v/>
      </c>
      <c r="D341" s="154" t="str">
        <f>IF(ISERROR(IF(OR($D$38=$Y$27,$B341=""),"",VLOOKUP(B341,ÍNDICES!A:DE,AF$35+1))),"",IF(OR($D$38=$Y$27,$B341=""),"",VLOOKUP(B341,ÍNDICES!A:DE,AF$35+1)))</f>
        <v/>
      </c>
      <c r="E341" s="153"/>
      <c r="F341" s="29" t="str">
        <f>IF(E341="","",IF($L$35="SELIC - TRIBUTOS",VLOOKUP(DATE(YEAR($D$19),MONTH($D$19)-1,1),ÍNDICES!$A:$DE,HLOOKUP($BL$25,ÍNDICES!$B$3:$T$4,2)+11)-VLOOKUP(E341,ÍNDICES!$A:$DE,HLOOKUP($BL$25,ÍNDICES!$B$3:$T$4,2)+11)+1%,IF(F$38=$W$26,$J$35,IF(ISERROR(IF(E341&gt;$D$19,1,VLOOKUP(DATE(YEAR(E341),MONTH(E341)+IF($C$35=$S$23,1,0),1),ÍNDICES!$A:$DE,$Z$35+1))),"",IF(E341&gt;$D$19,1,VLOOKUP(DATE(YEAR(E341),MONTH(E341)+IF($C$35=$S$23,1,0),1),ÍNDICES!$A:$DE,$Z$35+1))))))</f>
        <v/>
      </c>
      <c r="G341" s="155"/>
      <c r="H341" s="156" t="str">
        <f t="shared" si="55"/>
        <v/>
      </c>
      <c r="I341" s="29" t="str">
        <f t="shared" si="49"/>
        <v/>
      </c>
      <c r="J341" s="5">
        <f t="shared" si="50"/>
        <v>0</v>
      </c>
      <c r="K341" s="20">
        <f t="shared" ca="1" si="51"/>
        <v>0</v>
      </c>
      <c r="L341" s="5">
        <f t="shared" ca="1" si="52"/>
        <v>0</v>
      </c>
      <c r="M341" s="64">
        <f t="shared" si="56"/>
        <v>0</v>
      </c>
      <c r="N341" s="61">
        <f t="shared" ca="1" si="57"/>
        <v>0</v>
      </c>
      <c r="O341" s="5">
        <f t="shared" ca="1" si="58"/>
        <v>0</v>
      </c>
      <c r="P341" s="446" t="e">
        <f t="shared" si="53"/>
        <v>#VALUE!</v>
      </c>
      <c r="Q341" s="446" t="e">
        <f>IF(OR($B341="",MIN(Q$38,$D$19)&lt;MAX($P$34*($B341+IF($R$17="Distrato",$I$38-1,0)),IF(AND($L$37=0,$P$34=0),"",$L$37-1),IF($R$17="Distrato",$E341,0))),0,YEARFRAC(MAX($P$34*($B341+IF($R$17="Distrato",$I$38-1,0)),IF(AND($L$37=0,$P$34=0),"",$L$37-1),IF($R$17="Distrato",$E341,0)),MIN(Q$38,$D$19),$P$20))-SUM($P341:P341)</f>
        <v>#VALUE!</v>
      </c>
      <c r="R341" s="446" t="e">
        <f>IF(OR($B341="",MIN(R$38,$D$19)&lt;MAX($P$34*($B341+IF($R$17="Distrato",$I$38-1,0)),IF(AND($L$37=0,$P$34=0),"",$L$37-1),IF($R$17="Distrato",$E341,0))),0,YEARFRAC(MAX($P$34*($B341+IF($R$17="Distrato",$I$38-1,0)),IF(AND($L$37=0,$P$34=0),"",$L$37-1),IF($R$17="Distrato",$E341,0)),MIN(R$38,$D$19),$P$20))-SUM($P341:Q341)</f>
        <v>#VALUE!</v>
      </c>
      <c r="S341" s="446" t="e">
        <f>IF(OR($B341="",MIN(S$38,$D$19)&lt;MAX($P$34*($B341+IF($R$17="Distrato",$I$38-1,0)),IF(AND($L$37=0,$P$34=0),"",$L$37-1),IF($R$17="Distrato",$E341,0))),0,YEARFRAC(MAX($P$34*($B341+IF($R$17="Distrato",$I$38-1,0)),IF(AND($L$37=0,$P$34=0),"",$L$37-1),IF($R$17="Distrato",$E341,0)),MIN(S$38,$D$19),$P$20))-SUM($P341:R341)</f>
        <v>#VALUE!</v>
      </c>
      <c r="T341" s="446" t="e">
        <f>IF(OR($B341="",MIN(T$38,$D$19)&lt;MAX($P$34*($B341+IF($R$17="Distrato",$I$38-1,0)),IF(AND($L$37=0,$P$34=0),"",$L$37-1),IF($R$17="Distrato",$E341,0))),0,YEARFRAC(MAX($P$34*($B341+IF($R$17="Distrato",$I$38-1,0)),IF(AND($L$37=0,$P$34=0),"",$L$37-1),IF($R$17="Distrato",$E341,0)),MIN(T$38,$D$19),$P$20))-SUM($P341:S341)</f>
        <v>#VALUE!</v>
      </c>
      <c r="U341" s="446" t="e">
        <f>IF(OR($B341="",MIN(U$38,$D$19)&lt;MAX($P$34*($B341+IF($R$17="Distrato",$I$38-1,0)),IF(AND($L$37=0,$P$34=0),"",$L$37-1),IF($R$17="Distrato",$E341,0))),0,YEARFRAC(MAX($P$34*($B341+IF($R$17="Distrato",$I$38-1,0)),IF(AND($L$37=0,$P$34=0),"",$L$37-1),IF($R$17="Distrato",$E341,0)),MIN(U$38,$D$19),$P$20))-SUM($P341:T341)</f>
        <v>#VALUE!</v>
      </c>
      <c r="V341" s="446" t="e">
        <f>IF(OR($B341="",MIN(V$38,$D$19)&lt;MAX($P$34*($B341+IF($R$17="Distrato",$I$38-1,0)),IF(AND($L$37=0,$P$34=0),"",$L$37-1),IF($R$17="Distrato",$E341,0))),0,YEARFRAC(MAX($P$34*($B341+IF($R$17="Distrato",$I$38-1,0)),IF(AND($L$37=0,$P$34=0),"",$L$37-1),IF($R$17="Distrato",$E341,0)),MIN(V$38,$D$19),$P$20))-SUM($P341:U341)</f>
        <v>#VALUE!</v>
      </c>
      <c r="W341" s="446" t="e">
        <f>IF(OR($B341="",MIN(W$38,$D$19)&lt;MAX($P$34*($B341+IF($R$17="Distrato",$I$38-1,0)),IF(AND($L$37=0,$P$34=0),"",$L$37-1),IF($R$17="Distrato",$E341,0))),0,YEARFRAC(MAX($P$34*($B341+IF($R$17="Distrato",$I$38-1,0)),IF(AND($L$37=0,$P$34=0),"",$L$37-1),IF($R$17="Distrato",$E341,0)),MIN(W$38,$D$19),$P$20))-SUM($P341:V341)</f>
        <v>#VALUE!</v>
      </c>
      <c r="X341" s="446" t="e">
        <f>IF(OR($B341="",MIN(X$38,$D$19)&lt;MAX($P$34*($B341+IF($R$17="Distrato",$I$38-1,0)),IF(AND($L$37=0,$P$34=0),"",$L$37-1),IF($R$17="Distrato",$E341,0))),0,YEARFRAC(MAX($P$34*($B341+IF($R$17="Distrato",$I$38-1,0)),IF(AND($L$37=0,$P$34=0),"",$L$37-1),IF($R$17="Distrato",$E341,0)),MIN(X$38,$D$19),$P$20))-SUM($P341:W341)</f>
        <v>#VALUE!</v>
      </c>
      <c r="Y341" s="446" t="e">
        <f>IF(OR($B341="",MIN(Y$38,$D$19)&lt;MAX($P$34*($B341+IF($R$17="Distrato",$I$38-1,0)),IF(AND($L$37=0,$P$34=0),"",$L$37-1),IF($R$17="Distrato",$E341,0))),0,YEARFRAC(MAX($P$34*($B341+IF($R$17="Distrato",$I$38-1,0)),IF(AND($L$37=0,$P$34=0),"",$L$37-1),IF($R$17="Distrato",$E341,0)),MIN(Y$38,$D$19),$P$20))-SUM($P341:X341)</f>
        <v>#VALUE!</v>
      </c>
      <c r="Z341" s="446" t="e">
        <f>IF(OR($B341="",MIN(Z$38,$D$19)&lt;MAX($P$34*($B341+IF($R$17="Distrato",$I$38-1,0)),IF(AND($L$37=0,$P$34=0),"",$L$37-1),IF($R$17="Distrato",$E341,0))),0,YEARFRAC(MAX($P$34*($B341+IF($R$17="Distrato",$I$38-1,0)),IF(AND($L$37=0,$P$34=0),"",$L$37-1),IF($R$17="Distrato",$E341,0)),MIN(Z$38,$D$19),$P$20))-SUM($P341:Y341)</f>
        <v>#VALUE!</v>
      </c>
      <c r="AA341" s="446" t="e">
        <f>IF(OR($B341="",MIN(AA$38,$D$19)&lt;MAX($P$34*($B341+IF($R$17="Distrato",$I$38-1,0)),IF(AND($L$37=0,$P$34=0),"",$L$37-1),IF($R$17="Distrato",$E341,0))),0,YEARFRAC(MAX($P$34*($B341+IF($R$17="Distrato",$I$38-1,0)),IF(AND($L$37=0,$P$34=0),"",$L$37-1),IF($R$17="Distrato",$E341,0)),MIN(AA$38,$D$19),$P$20))-SUM($P341:Z341)</f>
        <v>#VALUE!</v>
      </c>
      <c r="AB341" s="446" t="e">
        <f>IF(OR($B341="",MIN(AB$38,$D$19)&lt;MAX($P$34*($B341+IF($R$17="Distrato",$I$38-1,0)),IF(AND($L$37=0,$P$34=0),"",$L$37-1),IF($R$17="Distrato",$E341,0))),0,YEARFRAC(MAX($P$34*($B341+IF($R$17="Distrato",$I$38-1,0)),IF(AND($L$37=0,$P$34=0),"",$L$37-1),IF($R$17="Distrato",$E341,0)),MIN(AB$38,$D$19),$P$20))-SUM($P341:AA341)</f>
        <v>#VALUE!</v>
      </c>
      <c r="AC341" s="446" t="e">
        <f>IF(OR($B341="",MIN(AC$38,$D$19)&lt;MAX($P$34*($B341+IF($R$17="Distrato",$I$38-1,0)),IF(AND($L$37=0,$P$34=0),"",$L$37-1),IF($R$17="Distrato",$E341,0))),0,YEARFRAC(MAX($P$34*($B341+IF($R$17="Distrato",$I$38-1,0)),IF(AND($L$37=0,$P$34=0),"",$L$37-1),IF($R$17="Distrato",$E341,0)),MIN(AC$38,$D$19),$P$20))-SUM($P341:AB341)</f>
        <v>#VALUE!</v>
      </c>
      <c r="AD341" s="446" t="e">
        <f>IF(OR($B341="",MIN(AD$38,$D$19)&lt;MAX($P$34*($B341+IF($R$17="Distrato",$I$38-1,0)),IF(AND($L$37=0,$P$34=0),"",$L$37-1),IF($R$17="Distrato",$E341,0))),0,YEARFRAC(MAX($P$34*($B341+IF($R$17="Distrato",$I$38-1,0)),IF(AND($L$37=0,$P$34=0),"",$L$37-1),IF($R$17="Distrato",$E341,0)),MIN(AD$38,$D$19),$P$20))-SUM($P341:AC341)</f>
        <v>#VALUE!</v>
      </c>
      <c r="AE341" s="446" t="e">
        <f>IF(OR($B341="",MIN(AE$38,$D$19)&lt;MAX($P$34*($B341+IF($R$17="Distrato",$I$38-1,0)),IF(AND($L$37=0,$P$34=0),"",$L$37-1),IF($R$17="Distrato",$E341,0))),0,YEARFRAC(MAX($P$34*($B341+IF($R$17="Distrato",$I$38-1,0)),IF(AND($L$37=0,$P$34=0),"",$L$37-1),IF($R$17="Distrato",$E341,0)),MIN(AE$38,$D$19),$P$20))-SUM($P341:AD341)</f>
        <v>#VALUE!</v>
      </c>
      <c r="AF341" s="446" t="e">
        <f>IF(OR($B341="",MIN(AF$38,$D$19)&lt;MAX($P$34*($B341+IF($R$17="Distrato",$I$38-1,0)),IF(AND($L$37=0,$P$34=0),"",$L$37-1),IF($R$17="Distrato",$E341,0))),0,YEARFRAC(MAX($P$34*($B341+IF($R$17="Distrato",$I$38-1,0)),IF(AND($L$37=0,$P$34=0),"",$L$37-1),IF($R$17="Distrato",$E341,0)),MIN(AF$38,$D$19),$P$20))-SUM($P341:AE341)</f>
        <v>#VALUE!</v>
      </c>
      <c r="AG341" s="446" t="e">
        <f>IF(OR($B341="",MIN(AG$38,$D$19)&lt;MAX($P$34*($B341+IF($R$17="Distrato",$I$38-1,0)),IF(AND($L$37=0,$P$34=0),"",$L$37-1),IF($R$17="Distrato",$E341,0))),0,YEARFRAC(MAX($P$34*($B341+IF($R$17="Distrato",$I$38-1,0)),IF(AND($L$37=0,$P$34=0),"",$L$37-1),IF($R$17="Distrato",$E341,0)),MIN(AG$38,$D$19),$P$20))-SUM($P341:AF341)</f>
        <v>#VALUE!</v>
      </c>
      <c r="AH341" s="446" t="e">
        <f>IF(OR($B341="",MIN(AH$38,$D$19)&lt;MAX($P$34*($B341+IF($R$17="Distrato",$I$38-1,0)),IF(AND($L$37=0,$P$34=0),"",$L$37-1),IF($R$17="Distrato",$E341,0))),0,YEARFRAC(MAX($P$34*($B341+IF($R$17="Distrato",$I$38-1,0)),IF(AND($L$37=0,$P$34=0),"",$L$37-1),IF($R$17="Distrato",$E341,0)),MIN(AH$38,$D$19),$P$20))-SUM($P341:AG341)</f>
        <v>#VALUE!</v>
      </c>
      <c r="AI341" s="446" t="e">
        <f>IF(OR($B341="",MIN(AI$38,$D$19)&lt;MAX($P$34*($B341+IF($R$17="Distrato",$I$38-1,0)),IF(AND($L$37=0,$P$34=0),"",$L$37-1),IF($R$17="Distrato",$E341,0))),0,YEARFRAC(MAX($P$34*($B341+IF($R$17="Distrato",$I$38-1,0)),IF(AND($L$37=0,$P$34=0),"",$L$37-1),IF($R$17="Distrato",$E341,0)),MIN(AI$38,$D$19),$P$20))-SUM($P341:AH341)</f>
        <v>#VALUE!</v>
      </c>
      <c r="AJ341" s="446" t="e">
        <f>IF(OR($B341="",MIN(AJ$38,$D$19)&lt;MAX($P$34*($B341+IF($R$17="Distrato",$I$38-1,0)),IF(AND($L$37=0,$P$34=0),"",$L$37-1),IF($R$17="Distrato",$E341,0))),0,YEARFRAC(MAX($P$34*($B341+IF($R$17="Distrato",$I$38-1,0)),IF(AND($L$37=0,$P$34=0),"",$L$37-1),IF($R$17="Distrato",$E341,0)),MIN(AJ$38,$D$19),$P$20))-SUM($P341:AI341)</f>
        <v>#VALUE!</v>
      </c>
      <c r="AK341" s="446" t="e">
        <f>IF(OR($B341="",MIN(AK$38,$D$19)&lt;MAX($P$34*($B341+IF($R$17="Distrato",$I$38-1,0)),IF(AND($L$37=0,$P$34=0),"",$L$37-1),IF($R$17="Distrato",$E341,0))),0,YEARFRAC(MAX($P$34*($B341+IF($R$17="Distrato",$I$38-1,0)),IF(AND($L$37=0,$P$34=0),"",$L$37-1),IF($R$17="Distrato",$E341,0)),MIN(AK$38,$D$19),$P$20))-SUM($P341:AJ341)</f>
        <v>#VALUE!</v>
      </c>
      <c r="AL341" s="446" t="e">
        <f>IF(OR($B341="",MIN(AL$38,$D$19)&lt;MAX($P$34*($B341+IF($R$17="Distrato",$I$38-1,0)),IF(AND($L$37=0,$P$34=0),"",$L$37-1),IF($R$17="Distrato",$E341,0))),0,YEARFRAC(MAX($P$34*($B341+IF($R$17="Distrato",$I$38-1,0)),IF(AND($L$37=0,$P$34=0),"",$L$37-1),IF($R$17="Distrato",$E341,0)),MIN(AL$38,$D$19),$P$20))-SUM($P341:AK341)</f>
        <v>#VALUE!</v>
      </c>
      <c r="AM341" s="446" t="e">
        <f>IF(OR($B341="",MIN(AM$38,$D$19)&lt;MAX($P$34*($B341+IF($R$17="Distrato",$I$38-1,0)),IF(AND($L$37=0,$P$34=0),"",$L$37-1),IF($R$17="Distrato",$E341,0))),0,YEARFRAC(MAX($P$34*($B341+IF($R$17="Distrato",$I$38-1,0)),IF(AND($L$37=0,$P$34=0),"",$L$37-1),IF($R$17="Distrato",$E341,0)),MIN(AM$38,$D$19),$P$20))-SUM($P341:AL341)</f>
        <v>#VALUE!</v>
      </c>
      <c r="AN341" s="446" t="e">
        <f>IF(OR($B341="",MIN(AN$38,$D$19)&lt;MAX($P$34*($B341+IF($R$17="Distrato",$I$38-1,0)),IF(AND($L$37=0,$P$34=0),"",$L$37-1),IF($R$17="Distrato",$E341,0))),0,YEARFRAC(MAX($P$34*($B341+IF($R$17="Distrato",$I$38-1,0)),IF(AND($L$37=0,$P$34=0),"",$L$37-1),IF($R$17="Distrato",$E341,0)),MIN(AN$38,$D$19),$P$20))-SUM($P341:AM341)</f>
        <v>#VALUE!</v>
      </c>
      <c r="AO341" s="446" t="e">
        <f>IF(OR($B341="",MIN(AO$38,$D$19)&lt;MAX($P$34*($B341+IF($R$17="Distrato",$I$38-1,0)),IF(AND($L$37=0,$P$34=0),"",$L$37-1),IF($R$17="Distrato",$E341,0))),0,YEARFRAC(MAX($P$34*($B341+IF($R$17="Distrato",$I$38-1,0)),IF(AND($L$37=0,$P$34=0),"",$L$37-1),IF($R$17="Distrato",$E341,0)),MIN(AO$38,$D$19),$P$20))-SUM($P341:AN341)</f>
        <v>#VALUE!</v>
      </c>
      <c r="AP341" s="446" t="e">
        <f>IF(OR($B341="",MIN(AP$38,$D$19)&lt;MAX($P$34*($B341+IF($R$17="Distrato",$I$38-1,0)),IF(AND($L$37=0,$P$34=0),"",$L$37-1),IF($R$17="Distrato",$E341,0))),0,YEARFRAC(MAX($P$34*($B341+IF($R$17="Distrato",$I$38-1,0)),IF(AND($L$37=0,$P$34=0),"",$L$37-1),IF($R$17="Distrato",$E341,0)),MIN(AP$38,$D$19),$P$20))-SUM($P341:AO341)</f>
        <v>#VALUE!</v>
      </c>
      <c r="AQ341" s="446" t="e">
        <f>IF(OR($B341="",MIN(AQ$38,$D$19)&lt;MAX($P$34*($B341+IF($R$17="Distrato",$I$38-1,0)),IF(AND($L$37=0,$P$34=0),"",$L$37-1),IF($R$17="Distrato",$E341,0))),0,YEARFRAC(MAX($P$34*($B341+IF($R$17="Distrato",$I$38-1,0)),IF(AND($L$37=0,$P$34=0),"",$L$37-1),IF($R$17="Distrato",$E341,0)),MIN(AQ$38,$D$19),$P$20))-SUM($P341:AP341)</f>
        <v>#VALUE!</v>
      </c>
      <c r="AR341" s="446" t="e">
        <f>IF(OR($B341="",MIN(AR$38,$D$19)&lt;MAX($P$34*($B341+IF($R$17="Distrato",$I$38-1,0)),IF(AND($L$37=0,$P$34=0),"",$L$37-1),IF($R$17="Distrato",$E341,0))),0,YEARFRAC(MAX($P$34*($B341+IF($R$17="Distrato",$I$38-1,0)),IF(AND($L$37=0,$P$34=0),"",$L$37-1),IF($R$17="Distrato",$E341,0)),MIN(AR$38,$D$19),$P$20))-SUM($P341:AQ341)</f>
        <v>#VALUE!</v>
      </c>
      <c r="AS341" s="446" t="e">
        <f>IF(OR($B341="",MIN(AS$38,$D$19)&lt;MAX($P$34*($B341+IF($R$17="Distrato",$I$38-1,0)),IF(AND($L$37=0,$P$34=0),"",$L$37-1),IF($R$17="Distrato",$E341,0))),0,YEARFRAC(MAX($P$34*($B341+IF($R$17="Distrato",$I$38-1,0)),IF(AND($L$37=0,$P$34=0),"",$L$37-1),IF($R$17="Distrato",$E341,0)),MIN(AS$38,$D$19),$P$20))-SUM($P341:AR341)</f>
        <v>#VALUE!</v>
      </c>
      <c r="AT341" s="446" t="e">
        <f>IF(OR($B341="",MIN(AT$38,$D$19)&lt;MAX($P$34*($B341+IF($R$17="Distrato",$I$38-1,0)),IF(AND($L$37=0,$P$34=0),"",$L$37-1),IF($R$17="Distrato",$E341,0))),0,YEARFRAC(MAX($P$34*($B341+IF($R$17="Distrato",$I$38-1,0)),IF(AND($L$37=0,$P$34=0),"",$L$37-1),IF($R$17="Distrato",$E341,0)),MIN(AT$38,$D$19),$P$20))-SUM($P341:AS341)</f>
        <v>#VALUE!</v>
      </c>
      <c r="AU341" s="446" t="e">
        <f>IF(OR($B341="",MIN(AU$38,$D$19)&lt;MAX($P$34*($B341+IF($R$17="Distrato",$I$38-1,0)),IF(AND($L$37=0,$P$34=0),"",$L$37-1),IF($R$17="Distrato",$E341,0))),0,YEARFRAC(MAX($P$34*($B341+IF($R$17="Distrato",$I$38-1,0)),IF(AND($L$37=0,$P$34=0),"",$L$37-1),IF($R$17="Distrato",$E341,0)),MIN(AU$38,$D$19),$P$20))-SUM($P341:AT341)</f>
        <v>#VALUE!</v>
      </c>
      <c r="AV341" s="446" t="e">
        <f>IF(OR($B341="",MIN(AV$38,$D$19)&lt;MAX($P$34*($B341+IF($R$17="Distrato",$I$38-1,0)),IF(AND($L$37=0,$P$34=0),"",$L$37-1),IF($R$17="Distrato",$E341,0))),0,YEARFRAC(MAX($P$34*($B341+IF($R$17="Distrato",$I$38-1,0)),IF(AND($L$37=0,$P$34=0),"",$L$37-1),IF($R$17="Distrato",$E341,0)),MIN(AV$38,$D$19),$P$20))-SUM($P341:AU341)</f>
        <v>#VALUE!</v>
      </c>
      <c r="AW341" s="446" t="e">
        <f>IF(OR($B341="",MIN(AW$38,$D$19)&lt;MAX($P$34*($B341+IF($R$17="Distrato",$I$38-1,0)),IF(AND($L$37=0,$P$34=0),"",$L$37-1),IF($R$17="Distrato",$E341,0))),0,YEARFRAC(MAX($P$34*($B341+IF($R$17="Distrato",$I$38-1,0)),IF(AND($L$37=0,$P$34=0),"",$L$37-1),IF($R$17="Distrato",$E341,0)),MIN(AW$38,$D$19),$P$20))-SUM($P341:AV341)</f>
        <v>#VALUE!</v>
      </c>
      <c r="AX341" s="446" t="e">
        <f>IF(OR($B341="",MIN(AX$38,$D$19)&lt;MAX($P$34*($B341+IF($R$17="Distrato",$I$38-1,0)),IF(AND($L$37=0,$P$34=0),"",$L$37-1),IF($R$17="Distrato",$E341,0))),0,YEARFRAC(MAX($P$34*($B341+IF($R$17="Distrato",$I$38-1,0)),IF(AND($L$37=0,$P$34=0),"",$L$37-1),IF($R$17="Distrato",$E341,0)),MIN(AX$38,$D$19),$P$20))-SUM($P341:AW341)</f>
        <v>#VALUE!</v>
      </c>
      <c r="AY341" s="446" t="e">
        <f>IF(OR($B341="",MIN(AY$38,$D$19)&lt;MAX($P$34*($B341+IF($R$17="Distrato",$I$38-1,0)),IF(AND($L$37=0,$P$34=0),"",$L$37-1),IF($R$17="Distrato",$E341,0))),0,YEARFRAC(MAX($P$34*($B341+IF($R$17="Distrato",$I$38-1,0)),IF(AND($L$37=0,$P$34=0),"",$L$37-1),IF($R$17="Distrato",$E341,0)),MIN(AY$38,$D$19),$P$20))-SUM($P341:AX341)</f>
        <v>#VALUE!</v>
      </c>
      <c r="AZ341" s="446" t="e">
        <f>IF(OR($B341="",MIN(AZ$38,$D$19)&lt;MAX($P$34*($B341+IF($R$17="Distrato",$I$38-1,0)),IF(AND($L$37=0,$P$34=0),"",$L$37-1),IF($R$17="Distrato",$E341,0))),0,YEARFRAC(MAX($P$34*($B341+IF($R$17="Distrato",$I$38-1,0)),IF(AND($L$37=0,$P$34=0),"",$L$37-1),IF($R$17="Distrato",$E341,0)),MIN(AZ$38,$D$19),$P$20))-SUM($P341:AY341)</f>
        <v>#VALUE!</v>
      </c>
      <c r="BA341" s="446" t="e">
        <f>IF(OR($B341="",MIN(BA$38,$D$19)&lt;MAX($P$34*($B341+IF($R$17="Distrato",$I$38-1,0)),IF(AND($L$37=0,$P$34=0),"",$L$37-1),IF($R$17="Distrato",$E341,0))),0,YEARFRAC(MAX($P$34*($B341+IF($R$17="Distrato",$I$38-1,0)),IF(AND($L$37=0,$P$34=0),"",$L$37-1),IF($R$17="Distrato",$E341,0)),MIN(BA$38,$D$19),$P$20))-SUM($P341:AZ341)</f>
        <v>#VALUE!</v>
      </c>
      <c r="BB341" s="447"/>
      <c r="BF341" s="446">
        <f t="shared" si="54"/>
        <v>0</v>
      </c>
      <c r="BG341" s="446">
        <f>IF($E341=0,0,IF(MIN(BG$38,$E341)&lt;MAX($P$34*($B341+$I$38-1),IF(AND($L$37=0,$P$34=0),"",$L$37-1)),0,YEARFRAC(MAX($P$34*($B341+$I$38-1),IF(AND($L$37=0,$P$34=0),"",$L$37-1)),MIN(BG$38,$E341),$P$20))-SUM($BF341:BF341))</f>
        <v>0</v>
      </c>
      <c r="BH341" s="446">
        <f>IF($E341=0,0,IF(MIN(BH$38,$E341)&lt;MAX($P$34*($B341+$I$38-1),IF(AND($L$37=0,$P$34=0),"",$L$37-1)),0,YEARFRAC(MAX($P$34*($B341+$I$38-1),IF(AND($L$37=0,$P$34=0),"",$L$37-1)),MIN(BH$38,$E341),$P$20))-SUM($BF341:BG341))</f>
        <v>0</v>
      </c>
      <c r="BI341" s="446">
        <f>IF($E341=0,0,IF(MIN(BI$38,$E341)&lt;MAX($P$34*($B341+$I$38-1),IF(AND($L$37=0,$P$34=0),"",$L$37-1)),0,YEARFRAC(MAX($P$34*($B341+$I$38-1),IF(AND($L$37=0,$P$34=0),"",$L$37-1)),MIN(BI$38,$E341),$P$20))-SUM($BF341:BH341))</f>
        <v>0</v>
      </c>
      <c r="BJ341" s="446">
        <f>IF($E341=0,0,IF(MIN(BJ$38,$E341)&lt;MAX($P$34*($B341+$I$38-1),IF(AND($L$37=0,$P$34=0),"",$L$37-1)),0,YEARFRAC(MAX($P$34*($B341+$I$38-1),IF(AND($L$37=0,$P$34=0),"",$L$37-1)),MIN(BJ$38,$E341),$P$20))-SUM($BF341:BI341))</f>
        <v>0</v>
      </c>
      <c r="BK341" s="446">
        <f>IF($E341=0,0,IF(MIN(BK$38,$E341)&lt;MAX($P$34*($B341+$I$38-1),IF(AND($L$37=0,$P$34=0),"",$L$37-1)),0,YEARFRAC(MAX($P$34*($B341+$I$38-1),IF(AND($L$37=0,$P$34=0),"",$L$37-1)),MIN(BK$38,$E341),$P$20))-SUM($BF341:BJ341))</f>
        <v>0</v>
      </c>
      <c r="BL341" s="446">
        <f>IF($E341=0,0,IF(MIN(BL$38,$E341)&lt;MAX($P$34*($B341+$I$38-1),IF(AND($L$37=0,$P$34=0),"",$L$37-1)),0,YEARFRAC(MAX($P$34*($B341+$I$38-1),IF(AND($L$37=0,$P$34=0),"",$L$37-1)),MIN(BL$38,$E341),$P$20))-SUM($BF341:BK341))</f>
        <v>0</v>
      </c>
      <c r="BM341" s="446">
        <f>IF($E341=0,0,IF(MIN(BM$38,$E341)&lt;MAX($P$34*($B341+$I$38-1),IF(AND($L$37=0,$P$34=0),"",$L$37-1)),0,YEARFRAC(MAX($P$34*($B341+$I$38-1),IF(AND($L$37=0,$P$34=0),"",$L$37-1)),MIN(BM$38,$E341),$P$20))-SUM($BF341:BL341))</f>
        <v>0</v>
      </c>
      <c r="BN341" s="446">
        <f>IF($E341=0,0,IF(MIN(BN$38,$E341)&lt;MAX($P$34*($B341+$I$38-1),IF(AND($L$37=0,$P$34=0),"",$L$37-1)),0,YEARFRAC(MAX($P$34*($B341+$I$38-1),IF(AND($L$37=0,$P$34=0),"",$L$37-1)),MIN(BN$38,$E341),$P$20))-SUM($BF341:BM341))</f>
        <v>0</v>
      </c>
      <c r="BO341" s="446">
        <f>IF($E341=0,0,IF(MIN(BO$38,$E341)&lt;MAX($P$34*($B341+$I$38-1),IF(AND($L$37=0,$P$34=0),"",$L$37-1)),0,YEARFRAC(MAX($P$34*($B341+$I$38-1),IF(AND($L$37=0,$P$34=0),"",$L$37-1)),MIN(BO$38,$E341),$P$20))-SUM($BF341:BN341))</f>
        <v>0</v>
      </c>
      <c r="BP341" s="446">
        <f>IF($E341=0,0,IF(MIN(BP$38,$E341)&lt;MAX($P$34*($B341+$I$38-1),IF(AND($L$37=0,$P$34=0),"",$L$37-1)),0,YEARFRAC(MAX($P$34*($B341+$I$38-1),IF(AND($L$37=0,$P$34=0),"",$L$37-1)),MIN(BP$38,$E341),$P$20))-SUM($BF341:BO341))</f>
        <v>0</v>
      </c>
      <c r="BQ341" s="446">
        <f>IF($E341=0,0,IF(MIN(BQ$38,$E341)&lt;MAX($P$34*($B341+$I$38-1),IF(AND($L$37=0,$P$34=0),"",$L$37-1)),0,YEARFRAC(MAX($P$34*($B341+$I$38-1),IF(AND($L$37=0,$P$34=0),"",$L$37-1)),MIN(BQ$38,$E341),$P$20))-SUM($BF341:BP341))</f>
        <v>0</v>
      </c>
      <c r="BR341" s="446">
        <f>IF($E341=0,0,IF(MIN(BR$38,$E341)&lt;MAX($P$34*($B341+$I$38-1),IF(AND($L$37=0,$P$34=0),"",$L$37-1)),0,YEARFRAC(MAX($P$34*($B341+$I$38-1),IF(AND($L$37=0,$P$34=0),"",$L$37-1)),MIN(BR$38,$E341),$P$20))-SUM($BF341:BQ341))</f>
        <v>0</v>
      </c>
      <c r="BS341" s="446">
        <f>IF($E341=0,0,IF(MIN(BS$38,$E341)&lt;MAX($P$34*($B341+$I$38-1),IF(AND($L$37=0,$P$34=0),"",$L$37-1)),0,YEARFRAC(MAX($P$34*($B341+$I$38-1),IF(AND($L$37=0,$P$34=0),"",$L$37-1)),MIN(BS$38,$E341),$P$20))-SUM($BF341:BR341))</f>
        <v>0</v>
      </c>
      <c r="BT341" s="446">
        <f>IF($E341=0,0,IF(MIN(BT$38,$E341)&lt;MAX($P$34*($B341+$I$38-1),IF(AND($L$37=0,$P$34=0),"",$L$37-1)),0,YEARFRAC(MAX($P$34*($B341+$I$38-1),IF(AND($L$37=0,$P$34=0),"",$L$37-1)),MIN(BT$38,$E341),$P$20))-SUM($BF341:BS341))</f>
        <v>0</v>
      </c>
      <c r="BU341" s="446">
        <f>IF($E341=0,0,IF(MIN(BU$38,$E341)&lt;MAX($P$34*($B341+$I$38-1),IF(AND($L$37=0,$P$34=0),"",$L$37-1)),0,YEARFRAC(MAX($P$34*($B341+$I$38-1),IF(AND($L$37=0,$P$34=0),"",$L$37-1)),MIN(BU$38,$E341),$P$20))-SUM($BF341:BT341))</f>
        <v>0</v>
      </c>
      <c r="BV341" s="446">
        <f>IF($E341=0,0,IF(MIN(BV$38,$E341)&lt;MAX($P$34*($B341+$I$38-1),IF(AND($L$37=0,$P$34=0),"",$L$37-1)),0,YEARFRAC(MAX($P$34*($B341+$I$38-1),IF(AND($L$37=0,$P$34=0),"",$L$37-1)),MIN(BV$38,$E341),$P$20))-SUM($BF341:BU341))</f>
        <v>0</v>
      </c>
      <c r="BW341" s="446">
        <f>IF($E341=0,0,IF(MIN(BW$38,$E341)&lt;MAX($P$34*($B341+$I$38-1),IF(AND($L$37=0,$P$34=0),"",$L$37-1)),0,YEARFRAC(MAX($P$34*($B341+$I$38-1),IF(AND($L$37=0,$P$34=0),"",$L$37-1)),MIN(BW$38,$E341),$P$20))-SUM($BF341:BV341))</f>
        <v>0</v>
      </c>
      <c r="BX341" s="446">
        <f>IF($E341=0,0,IF(MIN(BX$38,$E341)&lt;MAX($P$34*($B341+$I$38-1),IF(AND($L$37=0,$P$34=0),"",$L$37-1)),0,YEARFRAC(MAX($P$34*($B341+$I$38-1),IF(AND($L$37=0,$P$34=0),"",$L$37-1)),MIN(BX$38,$E341),$P$20))-SUM($BF341:BW341))</f>
        <v>0</v>
      </c>
      <c r="BY341" s="446">
        <f>IF($E341=0,0,IF(MIN(BY$38,$E341)&lt;MAX($P$34*($B341+$I$38-1),IF(AND($L$37=0,$P$34=0),"",$L$37-1)),0,YEARFRAC(MAX($P$34*($B341+$I$38-1),IF(AND($L$37=0,$P$34=0),"",$L$37-1)),MIN(BY$38,$E341),$P$20))-SUM($BF341:BX341))</f>
        <v>0</v>
      </c>
      <c r="BZ341" s="446">
        <f>IF($E341=0,0,IF(MIN(BZ$38,$E341)&lt;MAX($P$34*($B341+$I$38-1),IF(AND($L$37=0,$P$34=0),"",$L$37-1)),0,YEARFRAC(MAX($P$34*($B341+$I$38-1),IF(AND($L$37=0,$P$34=0),"",$L$37-1)),MIN(BZ$38,$E341),$P$20))-SUM($BF341:BY341))</f>
        <v>0</v>
      </c>
      <c r="CA341" s="446">
        <f>IF($E341=0,0,IF(MIN(CA$38,$E341)&lt;MAX($P$34*($B341+$I$38-1),IF(AND($L$37=0,$P$34=0),"",$L$37-1)),0,YEARFRAC(MAX($P$34*($B341+$I$38-1),IF(AND($L$37=0,$P$34=0),"",$L$37-1)),MIN(CA$38,$E341),$P$20))-SUM($BF341:BZ341))</f>
        <v>0</v>
      </c>
      <c r="CB341" s="446">
        <f>IF($E341=0,0,IF(MIN(CB$38,$E341)&lt;MAX($P$34*($B341+$I$38-1),IF(AND($L$37=0,$P$34=0),"",$L$37-1)),0,YEARFRAC(MAX($P$34*($B341+$I$38-1),IF(AND($L$37=0,$P$34=0),"",$L$37-1)),MIN(CB$38,$E341),$P$20))-SUM($BF341:CA341))</f>
        <v>0</v>
      </c>
      <c r="CC341" s="446">
        <f>IF($E341=0,0,IF(MIN(CC$38,$E341)&lt;MAX($P$34*($B341+$I$38-1),IF(AND($L$37=0,$P$34=0),"",$L$37-1)),0,YEARFRAC(MAX($P$34*($B341+$I$38-1),IF(AND($L$37=0,$P$34=0),"",$L$37-1)),MIN(CC$38,$E341),$P$20))-SUM($BF341:CB341))</f>
        <v>0</v>
      </c>
      <c r="CD341" s="446">
        <f>IF($E341=0,0,IF(MIN(CD$38,$E341)&lt;MAX($P$34*($B341+$I$38-1),IF(AND($L$37=0,$P$34=0),"",$L$37-1)),0,YEARFRAC(MAX($P$34*($B341+$I$38-1),IF(AND($L$37=0,$P$34=0),"",$L$37-1)),MIN(CD$38,$E341),$P$20))-SUM($BF341:CC341))</f>
        <v>0</v>
      </c>
      <c r="CE341" s="446">
        <f>IF($E341=0,0,IF(MIN(CE$38,$E341)&lt;MAX($P$34*($B341+$I$38-1),IF(AND($L$37=0,$P$34=0),"",$L$37-1)),0,YEARFRAC(MAX($P$34*($B341+$I$38-1),IF(AND($L$37=0,$P$34=0),"",$L$37-1)),MIN(CE$38,$E341),$P$20))-SUM($BF341:CD341))</f>
        <v>0</v>
      </c>
      <c r="CF341" s="446">
        <f>IF($E341=0,0,IF(MIN(CF$38,$E341)&lt;MAX($P$34*($B341+$I$38-1),IF(AND($L$37=0,$P$34=0),"",$L$37-1)),0,YEARFRAC(MAX($P$34*($B341+$I$38-1),IF(AND($L$37=0,$P$34=0),"",$L$37-1)),MIN(CF$38,$E341),$P$20))-SUM($BF341:CE341))</f>
        <v>0</v>
      </c>
      <c r="CG341" s="446">
        <f>IF($E341=0,0,IF(MIN(CG$38,$E341)&lt;MAX($P$34*($B341+$I$38-1),IF(AND($L$37=0,$P$34=0),"",$L$37-1)),0,YEARFRAC(MAX($P$34*($B341+$I$38-1),IF(AND($L$37=0,$P$34=0),"",$L$37-1)),MIN(CG$38,$E341),$P$20))-SUM($BF341:CF341))</f>
        <v>0</v>
      </c>
      <c r="CH341" s="446">
        <f>IF($E341=0,0,IF(MIN(CH$38,$E341)&lt;MAX($P$34*($B341+$I$38-1),IF(AND($L$37=0,$P$34=0),"",$L$37-1)),0,YEARFRAC(MAX($P$34*($B341+$I$38-1),IF(AND($L$37=0,$P$34=0),"",$L$37-1)),MIN(CH$38,$E341),$P$20))-SUM($BF341:CG341))</f>
        <v>0</v>
      </c>
      <c r="CI341" s="446">
        <f>IF($E341=0,0,IF(MIN(CI$38,$E341)&lt;MAX($P$34*($B341+$I$38-1),IF(AND($L$37=0,$P$34=0),"",$L$37-1)),0,YEARFRAC(MAX($P$34*($B341+$I$38-1),IF(AND($L$37=0,$P$34=0),"",$L$37-1)),MIN(CI$38,$E341),$P$20))-SUM($BF341:CH341))</f>
        <v>0</v>
      </c>
      <c r="CJ341" s="446">
        <f>IF($E341=0,0,IF(MIN(CJ$38,$E341)&lt;MAX($P$34*($B341+$I$38-1),IF(AND($L$37=0,$P$34=0),"",$L$37-1)),0,YEARFRAC(MAX($P$34*($B341+$I$38-1),IF(AND($L$37=0,$P$34=0),"",$L$37-1)),MIN(CJ$38,$E341),$P$20))-SUM($BF341:CI341))</f>
        <v>0</v>
      </c>
      <c r="CK341" s="446">
        <f>IF($E341=0,0,IF(MIN(CK$38,$E341)&lt;MAX($P$34*($B341+$I$38-1),IF(AND($L$37=0,$P$34=0),"",$L$37-1)),0,YEARFRAC(MAX($P$34*($B341+$I$38-1),IF(AND($L$37=0,$P$34=0),"",$L$37-1)),MIN(CK$38,$E341),$P$20))-SUM($BF341:CJ341))</f>
        <v>0</v>
      </c>
      <c r="CL341" s="446">
        <f>IF($E341=0,0,IF(MIN(CL$38,$E341)&lt;MAX($P$34*($B341+$I$38-1),IF(AND($L$37=0,$P$34=0),"",$L$37-1)),0,YEARFRAC(MAX($P$34*($B341+$I$38-1),IF(AND($L$37=0,$P$34=0),"",$L$37-1)),MIN(CL$38,$E341),$P$20))-SUM($BF341:CK341))</f>
        <v>0</v>
      </c>
      <c r="CM341" s="446">
        <f>IF($E341=0,0,IF(MIN(CM$38,$E341)&lt;MAX($P$34*($B341+$I$38-1),IF(AND($L$37=0,$P$34=0),"",$L$37-1)),0,YEARFRAC(MAX($P$34*($B341+$I$38-1),IF(AND($L$37=0,$P$34=0),"",$L$37-1)),MIN(CM$38,$E341),$P$20))-SUM($BF341:CL341))</f>
        <v>0</v>
      </c>
      <c r="CN341" s="446">
        <f>IF($E341=0,0,IF(MIN(CN$38,$E341)&lt;MAX($P$34*($B341+$I$38-1),IF(AND($L$37=0,$P$34=0),"",$L$37-1)),0,YEARFRAC(MAX($P$34*($B341+$I$38-1),IF(AND($L$37=0,$P$34=0),"",$L$37-1)),MIN(CN$38,$E341),$P$20))-SUM($BF341:CM341))</f>
        <v>0</v>
      </c>
      <c r="CO341" s="446">
        <f>IF($E341=0,0,IF(MIN(CO$38,$E341)&lt;MAX($P$34*($B341+$I$38-1),IF(AND($L$37=0,$P$34=0),"",$L$37-1)),0,YEARFRAC(MAX($P$34*($B341+$I$38-1),IF(AND($L$37=0,$P$34=0),"",$L$37-1)),MIN(CO$38,$E341),$P$20))-SUM($BF341:CN341))</f>
        <v>0</v>
      </c>
      <c r="CP341" s="446">
        <f>IF($E341=0,0,IF(MIN(CP$38,$E341)&lt;MAX($P$34*($B341+$I$38-1),IF(AND($L$37=0,$P$34=0),"",$L$37-1)),0,YEARFRAC(MAX($P$34*($B341+$I$38-1),IF(AND($L$37=0,$P$34=0),"",$L$37-1)),MIN(CP$38,$E341),$P$20))-SUM($BF341:CO341))</f>
        <v>0</v>
      </c>
      <c r="CQ341" s="446">
        <f>IF($E341=0,0,IF(MIN(CQ$38,$E341)&lt;MAX($P$34*($B341+$I$38-1),IF(AND($L$37=0,$P$34=0),"",$L$37-1)),0,YEARFRAC(MAX($P$34*($B341+$I$38-1),IF(AND($L$37=0,$P$34=0),"",$L$37-1)),MIN(CQ$38,$E341),$P$20))-SUM($BF341:CP341))</f>
        <v>0</v>
      </c>
    </row>
    <row r="342" spans="1:95" s="446" customFormat="1" ht="11.25" hidden="1" customHeight="1" x14ac:dyDescent="0.2">
      <c r="A342" s="152"/>
      <c r="B342" s="153" t="str">
        <f t="shared" si="59"/>
        <v/>
      </c>
      <c r="C342" s="29" t="str">
        <f>IF(B342="","",IF($L$35="SELIC - TRIBUTOS",VLOOKUP(DATE(YEAR($D$19),MONTH($D$19)-1,1),ÍNDICES!$A:$DE,HLOOKUP($BL$25,ÍNDICES!$B$3:$T$4,2)+11)-VLOOKUP(B342,ÍNDICES!$A:$DE,HLOOKUP($BL$25,ÍNDICES!$B$3:$T$4,2)+11)+1%,IF(C$38=$W$26,$J$35,IF(ISERROR(IF(B342&gt;$D$19,1,VLOOKUP(DATE(YEAR(B342),MONTH(B342)+IF($C$35=$S$23,1,0),1),ÍNDICES!$A:$DE,$Z$35+1))),"",IF(B342&gt;$D$19,1,VLOOKUP(DATE(YEAR(B342),MONTH(B342)+IF($C$35=$S$23,1,0),1),ÍNDICES!$A:$DE,$Z$35+1))))))</f>
        <v/>
      </c>
      <c r="D342" s="154" t="str">
        <f>IF(ISERROR(IF(OR($D$38=$Y$27,$B342=""),"",VLOOKUP(B342,ÍNDICES!A:DE,AF$35+1))),"",IF(OR($D$38=$Y$27,$B342=""),"",VLOOKUP(B342,ÍNDICES!A:DE,AF$35+1)))</f>
        <v/>
      </c>
      <c r="E342" s="153"/>
      <c r="F342" s="29" t="str">
        <f>IF(E342="","",IF($L$35="SELIC - TRIBUTOS",VLOOKUP(DATE(YEAR($D$19),MONTH($D$19)-1,1),ÍNDICES!$A:$DE,HLOOKUP($BL$25,ÍNDICES!$B$3:$T$4,2)+11)-VLOOKUP(E342,ÍNDICES!$A:$DE,HLOOKUP($BL$25,ÍNDICES!$B$3:$T$4,2)+11)+1%,IF(F$38=$W$26,$J$35,IF(ISERROR(IF(E342&gt;$D$19,1,VLOOKUP(DATE(YEAR(E342),MONTH(E342)+IF($C$35=$S$23,1,0),1),ÍNDICES!$A:$DE,$Z$35+1))),"",IF(E342&gt;$D$19,1,VLOOKUP(DATE(YEAR(E342),MONTH(E342)+IF($C$35=$S$23,1,0),1),ÍNDICES!$A:$DE,$Z$35+1))))))</f>
        <v/>
      </c>
      <c r="G342" s="155"/>
      <c r="H342" s="156" t="str">
        <f t="shared" si="55"/>
        <v/>
      </c>
      <c r="I342" s="29" t="str">
        <f t="shared" si="49"/>
        <v/>
      </c>
      <c r="J342" s="5">
        <f t="shared" si="50"/>
        <v>0</v>
      </c>
      <c r="K342" s="20">
        <f t="shared" ca="1" si="51"/>
        <v>0</v>
      </c>
      <c r="L342" s="5">
        <f t="shared" ca="1" si="52"/>
        <v>0</v>
      </c>
      <c r="M342" s="64">
        <f t="shared" si="56"/>
        <v>0</v>
      </c>
      <c r="N342" s="61">
        <f t="shared" ca="1" si="57"/>
        <v>0</v>
      </c>
      <c r="O342" s="5">
        <f t="shared" ca="1" si="58"/>
        <v>0</v>
      </c>
      <c r="P342" s="446" t="e">
        <f t="shared" si="53"/>
        <v>#VALUE!</v>
      </c>
      <c r="Q342" s="446" t="e">
        <f>IF(OR($B342="",MIN(Q$38,$D$19)&lt;MAX($P$34*($B342+IF($R$17="Distrato",$I$38-1,0)),IF(AND($L$37=0,$P$34=0),"",$L$37-1),IF($R$17="Distrato",$E342,0))),0,YEARFRAC(MAX($P$34*($B342+IF($R$17="Distrato",$I$38-1,0)),IF(AND($L$37=0,$P$34=0),"",$L$37-1),IF($R$17="Distrato",$E342,0)),MIN(Q$38,$D$19),$P$20))-SUM($P342:P342)</f>
        <v>#VALUE!</v>
      </c>
      <c r="R342" s="446" t="e">
        <f>IF(OR($B342="",MIN(R$38,$D$19)&lt;MAX($P$34*($B342+IF($R$17="Distrato",$I$38-1,0)),IF(AND($L$37=0,$P$34=0),"",$L$37-1),IF($R$17="Distrato",$E342,0))),0,YEARFRAC(MAX($P$34*($B342+IF($R$17="Distrato",$I$38-1,0)),IF(AND($L$37=0,$P$34=0),"",$L$37-1),IF($R$17="Distrato",$E342,0)),MIN(R$38,$D$19),$P$20))-SUM($P342:Q342)</f>
        <v>#VALUE!</v>
      </c>
      <c r="S342" s="446" t="e">
        <f>IF(OR($B342="",MIN(S$38,$D$19)&lt;MAX($P$34*($B342+IF($R$17="Distrato",$I$38-1,0)),IF(AND($L$37=0,$P$34=0),"",$L$37-1),IF($R$17="Distrato",$E342,0))),0,YEARFRAC(MAX($P$34*($B342+IF($R$17="Distrato",$I$38-1,0)),IF(AND($L$37=0,$P$34=0),"",$L$37-1),IF($R$17="Distrato",$E342,0)),MIN(S$38,$D$19),$P$20))-SUM($P342:R342)</f>
        <v>#VALUE!</v>
      </c>
      <c r="T342" s="446" t="e">
        <f>IF(OR($B342="",MIN(T$38,$D$19)&lt;MAX($P$34*($B342+IF($R$17="Distrato",$I$38-1,0)),IF(AND($L$37=0,$P$34=0),"",$L$37-1),IF($R$17="Distrato",$E342,0))),0,YEARFRAC(MAX($P$34*($B342+IF($R$17="Distrato",$I$38-1,0)),IF(AND($L$37=0,$P$34=0),"",$L$37-1),IF($R$17="Distrato",$E342,0)),MIN(T$38,$D$19),$P$20))-SUM($P342:S342)</f>
        <v>#VALUE!</v>
      </c>
      <c r="U342" s="446" t="e">
        <f>IF(OR($B342="",MIN(U$38,$D$19)&lt;MAX($P$34*($B342+IF($R$17="Distrato",$I$38-1,0)),IF(AND($L$37=0,$P$34=0),"",$L$37-1),IF($R$17="Distrato",$E342,0))),0,YEARFRAC(MAX($P$34*($B342+IF($R$17="Distrato",$I$38-1,0)),IF(AND($L$37=0,$P$34=0),"",$L$37-1),IF($R$17="Distrato",$E342,0)),MIN(U$38,$D$19),$P$20))-SUM($P342:T342)</f>
        <v>#VALUE!</v>
      </c>
      <c r="V342" s="446" t="e">
        <f>IF(OR($B342="",MIN(V$38,$D$19)&lt;MAX($P$34*($B342+IF($R$17="Distrato",$I$38-1,0)),IF(AND($L$37=0,$P$34=0),"",$L$37-1),IF($R$17="Distrato",$E342,0))),0,YEARFRAC(MAX($P$34*($B342+IF($R$17="Distrato",$I$38-1,0)),IF(AND($L$37=0,$P$34=0),"",$L$37-1),IF($R$17="Distrato",$E342,0)),MIN(V$38,$D$19),$P$20))-SUM($P342:U342)</f>
        <v>#VALUE!</v>
      </c>
      <c r="W342" s="446" t="e">
        <f>IF(OR($B342="",MIN(W$38,$D$19)&lt;MAX($P$34*($B342+IF($R$17="Distrato",$I$38-1,0)),IF(AND($L$37=0,$P$34=0),"",$L$37-1),IF($R$17="Distrato",$E342,0))),0,YEARFRAC(MAX($P$34*($B342+IF($R$17="Distrato",$I$38-1,0)),IF(AND($L$37=0,$P$34=0),"",$L$37-1),IF($R$17="Distrato",$E342,0)),MIN(W$38,$D$19),$P$20))-SUM($P342:V342)</f>
        <v>#VALUE!</v>
      </c>
      <c r="X342" s="446" t="e">
        <f>IF(OR($B342="",MIN(X$38,$D$19)&lt;MAX($P$34*($B342+IF($R$17="Distrato",$I$38-1,0)),IF(AND($L$37=0,$P$34=0),"",$L$37-1),IF($R$17="Distrato",$E342,0))),0,YEARFRAC(MAX($P$34*($B342+IF($R$17="Distrato",$I$38-1,0)),IF(AND($L$37=0,$P$34=0),"",$L$37-1),IF($R$17="Distrato",$E342,0)),MIN(X$38,$D$19),$P$20))-SUM($P342:W342)</f>
        <v>#VALUE!</v>
      </c>
      <c r="Y342" s="446" t="e">
        <f>IF(OR($B342="",MIN(Y$38,$D$19)&lt;MAX($P$34*($B342+IF($R$17="Distrato",$I$38-1,0)),IF(AND($L$37=0,$P$34=0),"",$L$37-1),IF($R$17="Distrato",$E342,0))),0,YEARFRAC(MAX($P$34*($B342+IF($R$17="Distrato",$I$38-1,0)),IF(AND($L$37=0,$P$34=0),"",$L$37-1),IF($R$17="Distrato",$E342,0)),MIN(Y$38,$D$19),$P$20))-SUM($P342:X342)</f>
        <v>#VALUE!</v>
      </c>
      <c r="Z342" s="446" t="e">
        <f>IF(OR($B342="",MIN(Z$38,$D$19)&lt;MAX($P$34*($B342+IF($R$17="Distrato",$I$38-1,0)),IF(AND($L$37=0,$P$34=0),"",$L$37-1),IF($R$17="Distrato",$E342,0))),0,YEARFRAC(MAX($P$34*($B342+IF($R$17="Distrato",$I$38-1,0)),IF(AND($L$37=0,$P$34=0),"",$L$37-1),IF($R$17="Distrato",$E342,0)),MIN(Z$38,$D$19),$P$20))-SUM($P342:Y342)</f>
        <v>#VALUE!</v>
      </c>
      <c r="AA342" s="446" t="e">
        <f>IF(OR($B342="",MIN(AA$38,$D$19)&lt;MAX($P$34*($B342+IF($R$17="Distrato",$I$38-1,0)),IF(AND($L$37=0,$P$34=0),"",$L$37-1),IF($R$17="Distrato",$E342,0))),0,YEARFRAC(MAX($P$34*($B342+IF($R$17="Distrato",$I$38-1,0)),IF(AND($L$37=0,$P$34=0),"",$L$37-1),IF($R$17="Distrato",$E342,0)),MIN(AA$38,$D$19),$P$20))-SUM($P342:Z342)</f>
        <v>#VALUE!</v>
      </c>
      <c r="AB342" s="446" t="e">
        <f>IF(OR($B342="",MIN(AB$38,$D$19)&lt;MAX($P$34*($B342+IF($R$17="Distrato",$I$38-1,0)),IF(AND($L$37=0,$P$34=0),"",$L$37-1),IF($R$17="Distrato",$E342,0))),0,YEARFRAC(MAX($P$34*($B342+IF($R$17="Distrato",$I$38-1,0)),IF(AND($L$37=0,$P$34=0),"",$L$37-1),IF($R$17="Distrato",$E342,0)),MIN(AB$38,$D$19),$P$20))-SUM($P342:AA342)</f>
        <v>#VALUE!</v>
      </c>
      <c r="AC342" s="446" t="e">
        <f>IF(OR($B342="",MIN(AC$38,$D$19)&lt;MAX($P$34*($B342+IF($R$17="Distrato",$I$38-1,0)),IF(AND($L$37=0,$P$34=0),"",$L$37-1),IF($R$17="Distrato",$E342,0))),0,YEARFRAC(MAX($P$34*($B342+IF($R$17="Distrato",$I$38-1,0)),IF(AND($L$37=0,$P$34=0),"",$L$37-1),IF($R$17="Distrato",$E342,0)),MIN(AC$38,$D$19),$P$20))-SUM($P342:AB342)</f>
        <v>#VALUE!</v>
      </c>
      <c r="AD342" s="446" t="e">
        <f>IF(OR($B342="",MIN(AD$38,$D$19)&lt;MAX($P$34*($B342+IF($R$17="Distrato",$I$38-1,0)),IF(AND($L$37=0,$P$34=0),"",$L$37-1),IF($R$17="Distrato",$E342,0))),0,YEARFRAC(MAX($P$34*($B342+IF($R$17="Distrato",$I$38-1,0)),IF(AND($L$37=0,$P$34=0),"",$L$37-1),IF($R$17="Distrato",$E342,0)),MIN(AD$38,$D$19),$P$20))-SUM($P342:AC342)</f>
        <v>#VALUE!</v>
      </c>
      <c r="AE342" s="446" t="e">
        <f>IF(OR($B342="",MIN(AE$38,$D$19)&lt;MAX($P$34*($B342+IF($R$17="Distrato",$I$38-1,0)),IF(AND($L$37=0,$P$34=0),"",$L$37-1),IF($R$17="Distrato",$E342,0))),0,YEARFRAC(MAX($P$34*($B342+IF($R$17="Distrato",$I$38-1,0)),IF(AND($L$37=0,$P$34=0),"",$L$37-1),IF($R$17="Distrato",$E342,0)),MIN(AE$38,$D$19),$P$20))-SUM($P342:AD342)</f>
        <v>#VALUE!</v>
      </c>
      <c r="AF342" s="446" t="e">
        <f>IF(OR($B342="",MIN(AF$38,$D$19)&lt;MAX($P$34*($B342+IF($R$17="Distrato",$I$38-1,0)),IF(AND($L$37=0,$P$34=0),"",$L$37-1),IF($R$17="Distrato",$E342,0))),0,YEARFRAC(MAX($P$34*($B342+IF($R$17="Distrato",$I$38-1,0)),IF(AND($L$37=0,$P$34=0),"",$L$37-1),IF($R$17="Distrato",$E342,0)),MIN(AF$38,$D$19),$P$20))-SUM($P342:AE342)</f>
        <v>#VALUE!</v>
      </c>
      <c r="AG342" s="446" t="e">
        <f>IF(OR($B342="",MIN(AG$38,$D$19)&lt;MAX($P$34*($B342+IF($R$17="Distrato",$I$38-1,0)),IF(AND($L$37=0,$P$34=0),"",$L$37-1),IF($R$17="Distrato",$E342,0))),0,YEARFRAC(MAX($P$34*($B342+IF($R$17="Distrato",$I$38-1,0)),IF(AND($L$37=0,$P$34=0),"",$L$37-1),IF($R$17="Distrato",$E342,0)),MIN(AG$38,$D$19),$P$20))-SUM($P342:AF342)</f>
        <v>#VALUE!</v>
      </c>
      <c r="AH342" s="446" t="e">
        <f>IF(OR($B342="",MIN(AH$38,$D$19)&lt;MAX($P$34*($B342+IF($R$17="Distrato",$I$38-1,0)),IF(AND($L$37=0,$P$34=0),"",$L$37-1),IF($R$17="Distrato",$E342,0))),0,YEARFRAC(MAX($P$34*($B342+IF($R$17="Distrato",$I$38-1,0)),IF(AND($L$37=0,$P$34=0),"",$L$37-1),IF($R$17="Distrato",$E342,0)),MIN(AH$38,$D$19),$P$20))-SUM($P342:AG342)</f>
        <v>#VALUE!</v>
      </c>
      <c r="AI342" s="446" t="e">
        <f>IF(OR($B342="",MIN(AI$38,$D$19)&lt;MAX($P$34*($B342+IF($R$17="Distrato",$I$38-1,0)),IF(AND($L$37=0,$P$34=0),"",$L$37-1),IF($R$17="Distrato",$E342,0))),0,YEARFRAC(MAX($P$34*($B342+IF($R$17="Distrato",$I$38-1,0)),IF(AND($L$37=0,$P$34=0),"",$L$37-1),IF($R$17="Distrato",$E342,0)),MIN(AI$38,$D$19),$P$20))-SUM($P342:AH342)</f>
        <v>#VALUE!</v>
      </c>
      <c r="AJ342" s="446" t="e">
        <f>IF(OR($B342="",MIN(AJ$38,$D$19)&lt;MAX($P$34*($B342+IF($R$17="Distrato",$I$38-1,0)),IF(AND($L$37=0,$P$34=0),"",$L$37-1),IF($R$17="Distrato",$E342,0))),0,YEARFRAC(MAX($P$34*($B342+IF($R$17="Distrato",$I$38-1,0)),IF(AND($L$37=0,$P$34=0),"",$L$37-1),IF($R$17="Distrato",$E342,0)),MIN(AJ$38,$D$19),$P$20))-SUM($P342:AI342)</f>
        <v>#VALUE!</v>
      </c>
      <c r="AK342" s="446" t="e">
        <f>IF(OR($B342="",MIN(AK$38,$D$19)&lt;MAX($P$34*($B342+IF($R$17="Distrato",$I$38-1,0)),IF(AND($L$37=0,$P$34=0),"",$L$37-1),IF($R$17="Distrato",$E342,0))),0,YEARFRAC(MAX($P$34*($B342+IF($R$17="Distrato",$I$38-1,0)),IF(AND($L$37=0,$P$34=0),"",$L$37-1),IF($R$17="Distrato",$E342,0)),MIN(AK$38,$D$19),$P$20))-SUM($P342:AJ342)</f>
        <v>#VALUE!</v>
      </c>
      <c r="AL342" s="446" t="e">
        <f>IF(OR($B342="",MIN(AL$38,$D$19)&lt;MAX($P$34*($B342+IF($R$17="Distrato",$I$38-1,0)),IF(AND($L$37=0,$P$34=0),"",$L$37-1),IF($R$17="Distrato",$E342,0))),0,YEARFRAC(MAX($P$34*($B342+IF($R$17="Distrato",$I$38-1,0)),IF(AND($L$37=0,$P$34=0),"",$L$37-1),IF($R$17="Distrato",$E342,0)),MIN(AL$38,$D$19),$P$20))-SUM($P342:AK342)</f>
        <v>#VALUE!</v>
      </c>
      <c r="AM342" s="446" t="e">
        <f>IF(OR($B342="",MIN(AM$38,$D$19)&lt;MAX($P$34*($B342+IF($R$17="Distrato",$I$38-1,0)),IF(AND($L$37=0,$P$34=0),"",$L$37-1),IF($R$17="Distrato",$E342,0))),0,YEARFRAC(MAX($P$34*($B342+IF($R$17="Distrato",$I$38-1,0)),IF(AND($L$37=0,$P$34=0),"",$L$37-1),IF($R$17="Distrato",$E342,0)),MIN(AM$38,$D$19),$P$20))-SUM($P342:AL342)</f>
        <v>#VALUE!</v>
      </c>
      <c r="AN342" s="446" t="e">
        <f>IF(OR($B342="",MIN(AN$38,$D$19)&lt;MAX($P$34*($B342+IF($R$17="Distrato",$I$38-1,0)),IF(AND($L$37=0,$P$34=0),"",$L$37-1),IF($R$17="Distrato",$E342,0))),0,YEARFRAC(MAX($P$34*($B342+IF($R$17="Distrato",$I$38-1,0)),IF(AND($L$37=0,$P$34=0),"",$L$37-1),IF($R$17="Distrato",$E342,0)),MIN(AN$38,$D$19),$P$20))-SUM($P342:AM342)</f>
        <v>#VALUE!</v>
      </c>
      <c r="AO342" s="446" t="e">
        <f>IF(OR($B342="",MIN(AO$38,$D$19)&lt;MAX($P$34*($B342+IF($R$17="Distrato",$I$38-1,0)),IF(AND($L$37=0,$P$34=0),"",$L$37-1),IF($R$17="Distrato",$E342,0))),0,YEARFRAC(MAX($P$34*($B342+IF($R$17="Distrato",$I$38-1,0)),IF(AND($L$37=0,$P$34=0),"",$L$37-1),IF($R$17="Distrato",$E342,0)),MIN(AO$38,$D$19),$P$20))-SUM($P342:AN342)</f>
        <v>#VALUE!</v>
      </c>
      <c r="AP342" s="446" t="e">
        <f>IF(OR($B342="",MIN(AP$38,$D$19)&lt;MAX($P$34*($B342+IF($R$17="Distrato",$I$38-1,0)),IF(AND($L$37=0,$P$34=0),"",$L$37-1),IF($R$17="Distrato",$E342,0))),0,YEARFRAC(MAX($P$34*($B342+IF($R$17="Distrato",$I$38-1,0)),IF(AND($L$37=0,$P$34=0),"",$L$37-1),IF($R$17="Distrato",$E342,0)),MIN(AP$38,$D$19),$P$20))-SUM($P342:AO342)</f>
        <v>#VALUE!</v>
      </c>
      <c r="AQ342" s="446" t="e">
        <f>IF(OR($B342="",MIN(AQ$38,$D$19)&lt;MAX($P$34*($B342+IF($R$17="Distrato",$I$38-1,0)),IF(AND($L$37=0,$P$34=0),"",$L$37-1),IF($R$17="Distrato",$E342,0))),0,YEARFRAC(MAX($P$34*($B342+IF($R$17="Distrato",$I$38-1,0)),IF(AND($L$37=0,$P$34=0),"",$L$37-1),IF($R$17="Distrato",$E342,0)),MIN(AQ$38,$D$19),$P$20))-SUM($P342:AP342)</f>
        <v>#VALUE!</v>
      </c>
      <c r="AR342" s="446" t="e">
        <f>IF(OR($B342="",MIN(AR$38,$D$19)&lt;MAX($P$34*($B342+IF($R$17="Distrato",$I$38-1,0)),IF(AND($L$37=0,$P$34=0),"",$L$37-1),IF($R$17="Distrato",$E342,0))),0,YEARFRAC(MAX($P$34*($B342+IF($R$17="Distrato",$I$38-1,0)),IF(AND($L$37=0,$P$34=0),"",$L$37-1),IF($R$17="Distrato",$E342,0)),MIN(AR$38,$D$19),$P$20))-SUM($P342:AQ342)</f>
        <v>#VALUE!</v>
      </c>
      <c r="AS342" s="446" t="e">
        <f>IF(OR($B342="",MIN(AS$38,$D$19)&lt;MAX($P$34*($B342+IF($R$17="Distrato",$I$38-1,0)),IF(AND($L$37=0,$P$34=0),"",$L$37-1),IF($R$17="Distrato",$E342,0))),0,YEARFRAC(MAX($P$34*($B342+IF($R$17="Distrato",$I$38-1,0)),IF(AND($L$37=0,$P$34=0),"",$L$37-1),IF($R$17="Distrato",$E342,0)),MIN(AS$38,$D$19),$P$20))-SUM($P342:AR342)</f>
        <v>#VALUE!</v>
      </c>
      <c r="AT342" s="446" t="e">
        <f>IF(OR($B342="",MIN(AT$38,$D$19)&lt;MAX($P$34*($B342+IF($R$17="Distrato",$I$38-1,0)),IF(AND($L$37=0,$P$34=0),"",$L$37-1),IF($R$17="Distrato",$E342,0))),0,YEARFRAC(MAX($P$34*($B342+IF($R$17="Distrato",$I$38-1,0)),IF(AND($L$37=0,$P$34=0),"",$L$37-1),IF($R$17="Distrato",$E342,0)),MIN(AT$38,$D$19),$P$20))-SUM($P342:AS342)</f>
        <v>#VALUE!</v>
      </c>
      <c r="AU342" s="446" t="e">
        <f>IF(OR($B342="",MIN(AU$38,$D$19)&lt;MAX($P$34*($B342+IF($R$17="Distrato",$I$38-1,0)),IF(AND($L$37=0,$P$34=0),"",$L$37-1),IF($R$17="Distrato",$E342,0))),0,YEARFRAC(MAX($P$34*($B342+IF($R$17="Distrato",$I$38-1,0)),IF(AND($L$37=0,$P$34=0),"",$L$37-1),IF($R$17="Distrato",$E342,0)),MIN(AU$38,$D$19),$P$20))-SUM($P342:AT342)</f>
        <v>#VALUE!</v>
      </c>
      <c r="AV342" s="446" t="e">
        <f>IF(OR($B342="",MIN(AV$38,$D$19)&lt;MAX($P$34*($B342+IF($R$17="Distrato",$I$38-1,0)),IF(AND($L$37=0,$P$34=0),"",$L$37-1),IF($R$17="Distrato",$E342,0))),0,YEARFRAC(MAX($P$34*($B342+IF($R$17="Distrato",$I$38-1,0)),IF(AND($L$37=0,$P$34=0),"",$L$37-1),IF($R$17="Distrato",$E342,0)),MIN(AV$38,$D$19),$P$20))-SUM($P342:AU342)</f>
        <v>#VALUE!</v>
      </c>
      <c r="AW342" s="446" t="e">
        <f>IF(OR($B342="",MIN(AW$38,$D$19)&lt;MAX($P$34*($B342+IF($R$17="Distrato",$I$38-1,0)),IF(AND($L$37=0,$P$34=0),"",$L$37-1),IF($R$17="Distrato",$E342,0))),0,YEARFRAC(MAX($P$34*($B342+IF($R$17="Distrato",$I$38-1,0)),IF(AND($L$37=0,$P$34=0),"",$L$37-1),IF($R$17="Distrato",$E342,0)),MIN(AW$38,$D$19),$P$20))-SUM($P342:AV342)</f>
        <v>#VALUE!</v>
      </c>
      <c r="AX342" s="446" t="e">
        <f>IF(OR($B342="",MIN(AX$38,$D$19)&lt;MAX($P$34*($B342+IF($R$17="Distrato",$I$38-1,0)),IF(AND($L$37=0,$P$34=0),"",$L$37-1),IF($R$17="Distrato",$E342,0))),0,YEARFRAC(MAX($P$34*($B342+IF($R$17="Distrato",$I$38-1,0)),IF(AND($L$37=0,$P$34=0),"",$L$37-1),IF($R$17="Distrato",$E342,0)),MIN(AX$38,$D$19),$P$20))-SUM($P342:AW342)</f>
        <v>#VALUE!</v>
      </c>
      <c r="AY342" s="446" t="e">
        <f>IF(OR($B342="",MIN(AY$38,$D$19)&lt;MAX($P$34*($B342+IF($R$17="Distrato",$I$38-1,0)),IF(AND($L$37=0,$P$34=0),"",$L$37-1),IF($R$17="Distrato",$E342,0))),0,YEARFRAC(MAX($P$34*($B342+IF($R$17="Distrato",$I$38-1,0)),IF(AND($L$37=0,$P$34=0),"",$L$37-1),IF($R$17="Distrato",$E342,0)),MIN(AY$38,$D$19),$P$20))-SUM($P342:AX342)</f>
        <v>#VALUE!</v>
      </c>
      <c r="AZ342" s="446" t="e">
        <f>IF(OR($B342="",MIN(AZ$38,$D$19)&lt;MAX($P$34*($B342+IF($R$17="Distrato",$I$38-1,0)),IF(AND($L$37=0,$P$34=0),"",$L$37-1),IF($R$17="Distrato",$E342,0))),0,YEARFRAC(MAX($P$34*($B342+IF($R$17="Distrato",$I$38-1,0)),IF(AND($L$37=0,$P$34=0),"",$L$37-1),IF($R$17="Distrato",$E342,0)),MIN(AZ$38,$D$19),$P$20))-SUM($P342:AY342)</f>
        <v>#VALUE!</v>
      </c>
      <c r="BA342" s="446" t="e">
        <f>IF(OR($B342="",MIN(BA$38,$D$19)&lt;MAX($P$34*($B342+IF($R$17="Distrato",$I$38-1,0)),IF(AND($L$37=0,$P$34=0),"",$L$37-1),IF($R$17="Distrato",$E342,0))),0,YEARFRAC(MAX($P$34*($B342+IF($R$17="Distrato",$I$38-1,0)),IF(AND($L$37=0,$P$34=0),"",$L$37-1),IF($R$17="Distrato",$E342,0)),MIN(BA$38,$D$19),$P$20))-SUM($P342:AZ342)</f>
        <v>#VALUE!</v>
      </c>
      <c r="BB342" s="447"/>
      <c r="BF342" s="446">
        <f t="shared" si="54"/>
        <v>0</v>
      </c>
      <c r="BG342" s="446">
        <f>IF($E342=0,0,IF(MIN(BG$38,$E342)&lt;MAX($P$34*($B342+$I$38-1),IF(AND($L$37=0,$P$34=0),"",$L$37-1)),0,YEARFRAC(MAX($P$34*($B342+$I$38-1),IF(AND($L$37=0,$P$34=0),"",$L$37-1)),MIN(BG$38,$E342),$P$20))-SUM($BF342:BF342))</f>
        <v>0</v>
      </c>
      <c r="BH342" s="446">
        <f>IF($E342=0,0,IF(MIN(BH$38,$E342)&lt;MAX($P$34*($B342+$I$38-1),IF(AND($L$37=0,$P$34=0),"",$L$37-1)),0,YEARFRAC(MAX($P$34*($B342+$I$38-1),IF(AND($L$37=0,$P$34=0),"",$L$37-1)),MIN(BH$38,$E342),$P$20))-SUM($BF342:BG342))</f>
        <v>0</v>
      </c>
      <c r="BI342" s="446">
        <f>IF($E342=0,0,IF(MIN(BI$38,$E342)&lt;MAX($P$34*($B342+$I$38-1),IF(AND($L$37=0,$P$34=0),"",$L$37-1)),0,YEARFRAC(MAX($P$34*($B342+$I$38-1),IF(AND($L$37=0,$P$34=0),"",$L$37-1)),MIN(BI$38,$E342),$P$20))-SUM($BF342:BH342))</f>
        <v>0</v>
      </c>
      <c r="BJ342" s="446">
        <f>IF($E342=0,0,IF(MIN(BJ$38,$E342)&lt;MAX($P$34*($B342+$I$38-1),IF(AND($L$37=0,$P$34=0),"",$L$37-1)),0,YEARFRAC(MAX($P$34*($B342+$I$38-1),IF(AND($L$37=0,$P$34=0),"",$L$37-1)),MIN(BJ$38,$E342),$P$20))-SUM($BF342:BI342))</f>
        <v>0</v>
      </c>
      <c r="BK342" s="446">
        <f>IF($E342=0,0,IF(MIN(BK$38,$E342)&lt;MAX($P$34*($B342+$I$38-1),IF(AND($L$37=0,$P$34=0),"",$L$37-1)),0,YEARFRAC(MAX($P$34*($B342+$I$38-1),IF(AND($L$37=0,$P$34=0),"",$L$37-1)),MIN(BK$38,$E342),$P$20))-SUM($BF342:BJ342))</f>
        <v>0</v>
      </c>
      <c r="BL342" s="446">
        <f>IF($E342=0,0,IF(MIN(BL$38,$E342)&lt;MAX($P$34*($B342+$I$38-1),IF(AND($L$37=0,$P$34=0),"",$L$37-1)),0,YEARFRAC(MAX($P$34*($B342+$I$38-1),IF(AND($L$37=0,$P$34=0),"",$L$37-1)),MIN(BL$38,$E342),$P$20))-SUM($BF342:BK342))</f>
        <v>0</v>
      </c>
      <c r="BM342" s="446">
        <f>IF($E342=0,0,IF(MIN(BM$38,$E342)&lt;MAX($P$34*($B342+$I$38-1),IF(AND($L$37=0,$P$34=0),"",$L$37-1)),0,YEARFRAC(MAX($P$34*($B342+$I$38-1),IF(AND($L$37=0,$P$34=0),"",$L$37-1)),MIN(BM$38,$E342),$P$20))-SUM($BF342:BL342))</f>
        <v>0</v>
      </c>
      <c r="BN342" s="446">
        <f>IF($E342=0,0,IF(MIN(BN$38,$E342)&lt;MAX($P$34*($B342+$I$38-1),IF(AND($L$37=0,$P$34=0),"",$L$37-1)),0,YEARFRAC(MAX($P$34*($B342+$I$38-1),IF(AND($L$37=0,$P$34=0),"",$L$37-1)),MIN(BN$38,$E342),$P$20))-SUM($BF342:BM342))</f>
        <v>0</v>
      </c>
      <c r="BO342" s="446">
        <f>IF($E342=0,0,IF(MIN(BO$38,$E342)&lt;MAX($P$34*($B342+$I$38-1),IF(AND($L$37=0,$P$34=0),"",$L$37-1)),0,YEARFRAC(MAX($P$34*($B342+$I$38-1),IF(AND($L$37=0,$P$34=0),"",$L$37-1)),MIN(BO$38,$E342),$P$20))-SUM($BF342:BN342))</f>
        <v>0</v>
      </c>
      <c r="BP342" s="446">
        <f>IF($E342=0,0,IF(MIN(BP$38,$E342)&lt;MAX($P$34*($B342+$I$38-1),IF(AND($L$37=0,$P$34=0),"",$L$37-1)),0,YEARFRAC(MAX($P$34*($B342+$I$38-1),IF(AND($L$37=0,$P$34=0),"",$L$37-1)),MIN(BP$38,$E342),$P$20))-SUM($BF342:BO342))</f>
        <v>0</v>
      </c>
      <c r="BQ342" s="446">
        <f>IF($E342=0,0,IF(MIN(BQ$38,$E342)&lt;MAX($P$34*($B342+$I$38-1),IF(AND($L$37=0,$P$34=0),"",$L$37-1)),0,YEARFRAC(MAX($P$34*($B342+$I$38-1),IF(AND($L$37=0,$P$34=0),"",$L$37-1)),MIN(BQ$38,$E342),$P$20))-SUM($BF342:BP342))</f>
        <v>0</v>
      </c>
      <c r="BR342" s="446">
        <f>IF($E342=0,0,IF(MIN(BR$38,$E342)&lt;MAX($P$34*($B342+$I$38-1),IF(AND($L$37=0,$P$34=0),"",$L$37-1)),0,YEARFRAC(MAX($P$34*($B342+$I$38-1),IF(AND($L$37=0,$P$34=0),"",$L$37-1)),MIN(BR$38,$E342),$P$20))-SUM($BF342:BQ342))</f>
        <v>0</v>
      </c>
      <c r="BS342" s="446">
        <f>IF($E342=0,0,IF(MIN(BS$38,$E342)&lt;MAX($P$34*($B342+$I$38-1),IF(AND($L$37=0,$P$34=0),"",$L$37-1)),0,YEARFRAC(MAX($P$34*($B342+$I$38-1),IF(AND($L$37=0,$P$34=0),"",$L$37-1)),MIN(BS$38,$E342),$P$20))-SUM($BF342:BR342))</f>
        <v>0</v>
      </c>
      <c r="BT342" s="446">
        <f>IF($E342=0,0,IF(MIN(BT$38,$E342)&lt;MAX($P$34*($B342+$I$38-1),IF(AND($L$37=0,$P$34=0),"",$L$37-1)),0,YEARFRAC(MAX($P$34*($B342+$I$38-1),IF(AND($L$37=0,$P$34=0),"",$L$37-1)),MIN(BT$38,$E342),$P$20))-SUM($BF342:BS342))</f>
        <v>0</v>
      </c>
      <c r="BU342" s="446">
        <f>IF($E342=0,0,IF(MIN(BU$38,$E342)&lt;MAX($P$34*($B342+$I$38-1),IF(AND($L$37=0,$P$34=0),"",$L$37-1)),0,YEARFRAC(MAX($P$34*($B342+$I$38-1),IF(AND($L$37=0,$P$34=0),"",$L$37-1)),MIN(BU$38,$E342),$P$20))-SUM($BF342:BT342))</f>
        <v>0</v>
      </c>
      <c r="BV342" s="446">
        <f>IF($E342=0,0,IF(MIN(BV$38,$E342)&lt;MAX($P$34*($B342+$I$38-1),IF(AND($L$37=0,$P$34=0),"",$L$37-1)),0,YEARFRAC(MAX($P$34*($B342+$I$38-1),IF(AND($L$37=0,$P$34=0),"",$L$37-1)),MIN(BV$38,$E342),$P$20))-SUM($BF342:BU342))</f>
        <v>0</v>
      </c>
      <c r="BW342" s="446">
        <f>IF($E342=0,0,IF(MIN(BW$38,$E342)&lt;MAX($P$34*($B342+$I$38-1),IF(AND($L$37=0,$P$34=0),"",$L$37-1)),0,YEARFRAC(MAX($P$34*($B342+$I$38-1),IF(AND($L$37=0,$P$34=0),"",$L$37-1)),MIN(BW$38,$E342),$P$20))-SUM($BF342:BV342))</f>
        <v>0</v>
      </c>
      <c r="BX342" s="446">
        <f>IF($E342=0,0,IF(MIN(BX$38,$E342)&lt;MAX($P$34*($B342+$I$38-1),IF(AND($L$37=0,$P$34=0),"",$L$37-1)),0,YEARFRAC(MAX($P$34*($B342+$I$38-1),IF(AND($L$37=0,$P$34=0),"",$L$37-1)),MIN(BX$38,$E342),$P$20))-SUM($BF342:BW342))</f>
        <v>0</v>
      </c>
      <c r="BY342" s="446">
        <f>IF($E342=0,0,IF(MIN(BY$38,$E342)&lt;MAX($P$34*($B342+$I$38-1),IF(AND($L$37=0,$P$34=0),"",$L$37-1)),0,YEARFRAC(MAX($P$34*($B342+$I$38-1),IF(AND($L$37=0,$P$34=0),"",$L$37-1)),MIN(BY$38,$E342),$P$20))-SUM($BF342:BX342))</f>
        <v>0</v>
      </c>
      <c r="BZ342" s="446">
        <f>IF($E342=0,0,IF(MIN(BZ$38,$E342)&lt;MAX($P$34*($B342+$I$38-1),IF(AND($L$37=0,$P$34=0),"",$L$37-1)),0,YEARFRAC(MAX($P$34*($B342+$I$38-1),IF(AND($L$37=0,$P$34=0),"",$L$37-1)),MIN(BZ$38,$E342),$P$20))-SUM($BF342:BY342))</f>
        <v>0</v>
      </c>
      <c r="CA342" s="446">
        <f>IF($E342=0,0,IF(MIN(CA$38,$E342)&lt;MAX($P$34*($B342+$I$38-1),IF(AND($L$37=0,$P$34=0),"",$L$37-1)),0,YEARFRAC(MAX($P$34*($B342+$I$38-1),IF(AND($L$37=0,$P$34=0),"",$L$37-1)),MIN(CA$38,$E342),$P$20))-SUM($BF342:BZ342))</f>
        <v>0</v>
      </c>
      <c r="CB342" s="446">
        <f>IF($E342=0,0,IF(MIN(CB$38,$E342)&lt;MAX($P$34*($B342+$I$38-1),IF(AND($L$37=0,$P$34=0),"",$L$37-1)),0,YEARFRAC(MAX($P$34*($B342+$I$38-1),IF(AND($L$37=0,$P$34=0),"",$L$37-1)),MIN(CB$38,$E342),$P$20))-SUM($BF342:CA342))</f>
        <v>0</v>
      </c>
      <c r="CC342" s="446">
        <f>IF($E342=0,0,IF(MIN(CC$38,$E342)&lt;MAX($P$34*($B342+$I$38-1),IF(AND($L$37=0,$P$34=0),"",$L$37-1)),0,YEARFRAC(MAX($P$34*($B342+$I$38-1),IF(AND($L$37=0,$P$34=0),"",$L$37-1)),MIN(CC$38,$E342),$P$20))-SUM($BF342:CB342))</f>
        <v>0</v>
      </c>
      <c r="CD342" s="446">
        <f>IF($E342=0,0,IF(MIN(CD$38,$E342)&lt;MAX($P$34*($B342+$I$38-1),IF(AND($L$37=0,$P$34=0),"",$L$37-1)),0,YEARFRAC(MAX($P$34*($B342+$I$38-1),IF(AND($L$37=0,$P$34=0),"",$L$37-1)),MIN(CD$38,$E342),$P$20))-SUM($BF342:CC342))</f>
        <v>0</v>
      </c>
      <c r="CE342" s="446">
        <f>IF($E342=0,0,IF(MIN(CE$38,$E342)&lt;MAX($P$34*($B342+$I$38-1),IF(AND($L$37=0,$P$34=0),"",$L$37-1)),0,YEARFRAC(MAX($P$34*($B342+$I$38-1),IF(AND($L$37=0,$P$34=0),"",$L$37-1)),MIN(CE$38,$E342),$P$20))-SUM($BF342:CD342))</f>
        <v>0</v>
      </c>
      <c r="CF342" s="446">
        <f>IF($E342=0,0,IF(MIN(CF$38,$E342)&lt;MAX($P$34*($B342+$I$38-1),IF(AND($L$37=0,$P$34=0),"",$L$37-1)),0,YEARFRAC(MAX($P$34*($B342+$I$38-1),IF(AND($L$37=0,$P$34=0),"",$L$37-1)),MIN(CF$38,$E342),$P$20))-SUM($BF342:CE342))</f>
        <v>0</v>
      </c>
      <c r="CG342" s="446">
        <f>IF($E342=0,0,IF(MIN(CG$38,$E342)&lt;MAX($P$34*($B342+$I$38-1),IF(AND($L$37=0,$P$34=0),"",$L$37-1)),0,YEARFRAC(MAX($P$34*($B342+$I$38-1),IF(AND($L$37=0,$P$34=0),"",$L$37-1)),MIN(CG$38,$E342),$P$20))-SUM($BF342:CF342))</f>
        <v>0</v>
      </c>
      <c r="CH342" s="446">
        <f>IF($E342=0,0,IF(MIN(CH$38,$E342)&lt;MAX($P$34*($B342+$I$38-1),IF(AND($L$37=0,$P$34=0),"",$L$37-1)),0,YEARFRAC(MAX($P$34*($B342+$I$38-1),IF(AND($L$37=0,$P$34=0),"",$L$37-1)),MIN(CH$38,$E342),$P$20))-SUM($BF342:CG342))</f>
        <v>0</v>
      </c>
      <c r="CI342" s="446">
        <f>IF($E342=0,0,IF(MIN(CI$38,$E342)&lt;MAX($P$34*($B342+$I$38-1),IF(AND($L$37=0,$P$34=0),"",$L$37-1)),0,YEARFRAC(MAX($P$34*($B342+$I$38-1),IF(AND($L$37=0,$P$34=0),"",$L$37-1)),MIN(CI$38,$E342),$P$20))-SUM($BF342:CH342))</f>
        <v>0</v>
      </c>
      <c r="CJ342" s="446">
        <f>IF($E342=0,0,IF(MIN(CJ$38,$E342)&lt;MAX($P$34*($B342+$I$38-1),IF(AND($L$37=0,$P$34=0),"",$L$37-1)),0,YEARFRAC(MAX($P$34*($B342+$I$38-1),IF(AND($L$37=0,$P$34=0),"",$L$37-1)),MIN(CJ$38,$E342),$P$20))-SUM($BF342:CI342))</f>
        <v>0</v>
      </c>
      <c r="CK342" s="446">
        <f>IF($E342=0,0,IF(MIN(CK$38,$E342)&lt;MAX($P$34*($B342+$I$38-1),IF(AND($L$37=0,$P$34=0),"",$L$37-1)),0,YEARFRAC(MAX($P$34*($B342+$I$38-1),IF(AND($L$37=0,$P$34=0),"",$L$37-1)),MIN(CK$38,$E342),$P$20))-SUM($BF342:CJ342))</f>
        <v>0</v>
      </c>
      <c r="CL342" s="446">
        <f>IF($E342=0,0,IF(MIN(CL$38,$E342)&lt;MAX($P$34*($B342+$I$38-1),IF(AND($L$37=0,$P$34=0),"",$L$37-1)),0,YEARFRAC(MAX($P$34*($B342+$I$38-1),IF(AND($L$37=0,$P$34=0),"",$L$37-1)),MIN(CL$38,$E342),$P$20))-SUM($BF342:CK342))</f>
        <v>0</v>
      </c>
      <c r="CM342" s="446">
        <f>IF($E342=0,0,IF(MIN(CM$38,$E342)&lt;MAX($P$34*($B342+$I$38-1),IF(AND($L$37=0,$P$34=0),"",$L$37-1)),0,YEARFRAC(MAX($P$34*($B342+$I$38-1),IF(AND($L$37=0,$P$34=0),"",$L$37-1)),MIN(CM$38,$E342),$P$20))-SUM($BF342:CL342))</f>
        <v>0</v>
      </c>
      <c r="CN342" s="446">
        <f>IF($E342=0,0,IF(MIN(CN$38,$E342)&lt;MAX($P$34*($B342+$I$38-1),IF(AND($L$37=0,$P$34=0),"",$L$37-1)),0,YEARFRAC(MAX($P$34*($B342+$I$38-1),IF(AND($L$37=0,$P$34=0),"",$L$37-1)),MIN(CN$38,$E342),$P$20))-SUM($BF342:CM342))</f>
        <v>0</v>
      </c>
      <c r="CO342" s="446">
        <f>IF($E342=0,0,IF(MIN(CO$38,$E342)&lt;MAX($P$34*($B342+$I$38-1),IF(AND($L$37=0,$P$34=0),"",$L$37-1)),0,YEARFRAC(MAX($P$34*($B342+$I$38-1),IF(AND($L$37=0,$P$34=0),"",$L$37-1)),MIN(CO$38,$E342),$P$20))-SUM($BF342:CN342))</f>
        <v>0</v>
      </c>
      <c r="CP342" s="446">
        <f>IF($E342=0,0,IF(MIN(CP$38,$E342)&lt;MAX($P$34*($B342+$I$38-1),IF(AND($L$37=0,$P$34=0),"",$L$37-1)),0,YEARFRAC(MAX($P$34*($B342+$I$38-1),IF(AND($L$37=0,$P$34=0),"",$L$37-1)),MIN(CP$38,$E342),$P$20))-SUM($BF342:CO342))</f>
        <v>0</v>
      </c>
      <c r="CQ342" s="446">
        <f>IF($E342=0,0,IF(MIN(CQ$38,$E342)&lt;MAX($P$34*($B342+$I$38-1),IF(AND($L$37=0,$P$34=0),"",$L$37-1)),0,YEARFRAC(MAX($P$34*($B342+$I$38-1),IF(AND($L$37=0,$P$34=0),"",$L$37-1)),MIN(CQ$38,$E342),$P$20))-SUM($BF342:CP342))</f>
        <v>0</v>
      </c>
    </row>
    <row r="343" spans="1:95" s="446" customFormat="1" ht="11.25" hidden="1" customHeight="1" x14ac:dyDescent="0.2">
      <c r="A343" s="152"/>
      <c r="B343" s="153" t="str">
        <f t="shared" si="59"/>
        <v/>
      </c>
      <c r="C343" s="29" t="str">
        <f>IF(B343="","",IF($L$35="SELIC - TRIBUTOS",VLOOKUP(DATE(YEAR($D$19),MONTH($D$19)-1,1),ÍNDICES!$A:$DE,HLOOKUP($BL$25,ÍNDICES!$B$3:$T$4,2)+11)-VLOOKUP(B343,ÍNDICES!$A:$DE,HLOOKUP($BL$25,ÍNDICES!$B$3:$T$4,2)+11)+1%,IF(C$38=$W$26,$J$35,IF(ISERROR(IF(B343&gt;$D$19,1,VLOOKUP(DATE(YEAR(B343),MONTH(B343)+IF($C$35=$S$23,1,0),1),ÍNDICES!$A:$DE,$Z$35+1))),"",IF(B343&gt;$D$19,1,VLOOKUP(DATE(YEAR(B343),MONTH(B343)+IF($C$35=$S$23,1,0),1),ÍNDICES!$A:$DE,$Z$35+1))))))</f>
        <v/>
      </c>
      <c r="D343" s="154" t="str">
        <f>IF(ISERROR(IF(OR($D$38=$Y$27,$B343=""),"",VLOOKUP(B343,ÍNDICES!A:DE,AF$35+1))),"",IF(OR($D$38=$Y$27,$B343=""),"",VLOOKUP(B343,ÍNDICES!A:DE,AF$35+1)))</f>
        <v/>
      </c>
      <c r="E343" s="153"/>
      <c r="F343" s="29" t="str">
        <f>IF(E343="","",IF($L$35="SELIC - TRIBUTOS",VLOOKUP(DATE(YEAR($D$19),MONTH($D$19)-1,1),ÍNDICES!$A:$DE,HLOOKUP($BL$25,ÍNDICES!$B$3:$T$4,2)+11)-VLOOKUP(E343,ÍNDICES!$A:$DE,HLOOKUP($BL$25,ÍNDICES!$B$3:$T$4,2)+11)+1%,IF(F$38=$W$26,$J$35,IF(ISERROR(IF(E343&gt;$D$19,1,VLOOKUP(DATE(YEAR(E343),MONTH(E343)+IF($C$35=$S$23,1,0),1),ÍNDICES!$A:$DE,$Z$35+1))),"",IF(E343&gt;$D$19,1,VLOOKUP(DATE(YEAR(E343),MONTH(E343)+IF($C$35=$S$23,1,0),1),ÍNDICES!$A:$DE,$Z$35+1))))))</f>
        <v/>
      </c>
      <c r="G343" s="155"/>
      <c r="H343" s="156" t="str">
        <f t="shared" si="55"/>
        <v/>
      </c>
      <c r="I343" s="29" t="str">
        <f t="shared" si="49"/>
        <v/>
      </c>
      <c r="J343" s="5">
        <f t="shared" si="50"/>
        <v>0</v>
      </c>
      <c r="K343" s="20">
        <f t="shared" ca="1" si="51"/>
        <v>0</v>
      </c>
      <c r="L343" s="5">
        <f t="shared" ca="1" si="52"/>
        <v>0</v>
      </c>
      <c r="M343" s="64">
        <f t="shared" si="56"/>
        <v>0</v>
      </c>
      <c r="N343" s="61">
        <f t="shared" ca="1" si="57"/>
        <v>0</v>
      </c>
      <c r="O343" s="5">
        <f t="shared" ca="1" si="58"/>
        <v>0</v>
      </c>
      <c r="P343" s="446" t="e">
        <f t="shared" si="53"/>
        <v>#VALUE!</v>
      </c>
      <c r="Q343" s="446" t="e">
        <f>IF(OR($B343="",MIN(Q$38,$D$19)&lt;MAX($P$34*($B343+IF($R$17="Distrato",$I$38-1,0)),IF(AND($L$37=0,$P$34=0),"",$L$37-1),IF($R$17="Distrato",$E343,0))),0,YEARFRAC(MAX($P$34*($B343+IF($R$17="Distrato",$I$38-1,0)),IF(AND($L$37=0,$P$34=0),"",$L$37-1),IF($R$17="Distrato",$E343,0)),MIN(Q$38,$D$19),$P$20))-SUM($P343:P343)</f>
        <v>#VALUE!</v>
      </c>
      <c r="R343" s="446" t="e">
        <f>IF(OR($B343="",MIN(R$38,$D$19)&lt;MAX($P$34*($B343+IF($R$17="Distrato",$I$38-1,0)),IF(AND($L$37=0,$P$34=0),"",$L$37-1),IF($R$17="Distrato",$E343,0))),0,YEARFRAC(MAX($P$34*($B343+IF($R$17="Distrato",$I$38-1,0)),IF(AND($L$37=0,$P$34=0),"",$L$37-1),IF($R$17="Distrato",$E343,0)),MIN(R$38,$D$19),$P$20))-SUM($P343:Q343)</f>
        <v>#VALUE!</v>
      </c>
      <c r="S343" s="446" t="e">
        <f>IF(OR($B343="",MIN(S$38,$D$19)&lt;MAX($P$34*($B343+IF($R$17="Distrato",$I$38-1,0)),IF(AND($L$37=0,$P$34=0),"",$L$37-1),IF($R$17="Distrato",$E343,0))),0,YEARFRAC(MAX($P$34*($B343+IF($R$17="Distrato",$I$38-1,0)),IF(AND($L$37=0,$P$34=0),"",$L$37-1),IF($R$17="Distrato",$E343,0)),MIN(S$38,$D$19),$P$20))-SUM($P343:R343)</f>
        <v>#VALUE!</v>
      </c>
      <c r="T343" s="446" t="e">
        <f>IF(OR($B343="",MIN(T$38,$D$19)&lt;MAX($P$34*($B343+IF($R$17="Distrato",$I$38-1,0)),IF(AND($L$37=0,$P$34=0),"",$L$37-1),IF($R$17="Distrato",$E343,0))),0,YEARFRAC(MAX($P$34*($B343+IF($R$17="Distrato",$I$38-1,0)),IF(AND($L$37=0,$P$34=0),"",$L$37-1),IF($R$17="Distrato",$E343,0)),MIN(T$38,$D$19),$P$20))-SUM($P343:S343)</f>
        <v>#VALUE!</v>
      </c>
      <c r="U343" s="446" t="e">
        <f>IF(OR($B343="",MIN(U$38,$D$19)&lt;MAX($P$34*($B343+IF($R$17="Distrato",$I$38-1,0)),IF(AND($L$37=0,$P$34=0),"",$L$37-1),IF($R$17="Distrato",$E343,0))),0,YEARFRAC(MAX($P$34*($B343+IF($R$17="Distrato",$I$38-1,0)),IF(AND($L$37=0,$P$34=0),"",$L$37-1),IF($R$17="Distrato",$E343,0)),MIN(U$38,$D$19),$P$20))-SUM($P343:T343)</f>
        <v>#VALUE!</v>
      </c>
      <c r="V343" s="446" t="e">
        <f>IF(OR($B343="",MIN(V$38,$D$19)&lt;MAX($P$34*($B343+IF($R$17="Distrato",$I$38-1,0)),IF(AND($L$37=0,$P$34=0),"",$L$37-1),IF($R$17="Distrato",$E343,0))),0,YEARFRAC(MAX($P$34*($B343+IF($R$17="Distrato",$I$38-1,0)),IF(AND($L$37=0,$P$34=0),"",$L$37-1),IF($R$17="Distrato",$E343,0)),MIN(V$38,$D$19),$P$20))-SUM($P343:U343)</f>
        <v>#VALUE!</v>
      </c>
      <c r="W343" s="446" t="e">
        <f>IF(OR($B343="",MIN(W$38,$D$19)&lt;MAX($P$34*($B343+IF($R$17="Distrato",$I$38-1,0)),IF(AND($L$37=0,$P$34=0),"",$L$37-1),IF($R$17="Distrato",$E343,0))),0,YEARFRAC(MAX($P$34*($B343+IF($R$17="Distrato",$I$38-1,0)),IF(AND($L$37=0,$P$34=0),"",$L$37-1),IF($R$17="Distrato",$E343,0)),MIN(W$38,$D$19),$P$20))-SUM($P343:V343)</f>
        <v>#VALUE!</v>
      </c>
      <c r="X343" s="446" t="e">
        <f>IF(OR($B343="",MIN(X$38,$D$19)&lt;MAX($P$34*($B343+IF($R$17="Distrato",$I$38-1,0)),IF(AND($L$37=0,$P$34=0),"",$L$37-1),IF($R$17="Distrato",$E343,0))),0,YEARFRAC(MAX($P$34*($B343+IF($R$17="Distrato",$I$38-1,0)),IF(AND($L$37=0,$P$34=0),"",$L$37-1),IF($R$17="Distrato",$E343,0)),MIN(X$38,$D$19),$P$20))-SUM($P343:W343)</f>
        <v>#VALUE!</v>
      </c>
      <c r="Y343" s="446" t="e">
        <f>IF(OR($B343="",MIN(Y$38,$D$19)&lt;MAX($P$34*($B343+IF($R$17="Distrato",$I$38-1,0)),IF(AND($L$37=0,$P$34=0),"",$L$37-1),IF($R$17="Distrato",$E343,0))),0,YEARFRAC(MAX($P$34*($B343+IF($R$17="Distrato",$I$38-1,0)),IF(AND($L$37=0,$P$34=0),"",$L$37-1),IF($R$17="Distrato",$E343,0)),MIN(Y$38,$D$19),$P$20))-SUM($P343:X343)</f>
        <v>#VALUE!</v>
      </c>
      <c r="Z343" s="446" t="e">
        <f>IF(OR($B343="",MIN(Z$38,$D$19)&lt;MAX($P$34*($B343+IF($R$17="Distrato",$I$38-1,0)),IF(AND($L$37=0,$P$34=0),"",$L$37-1),IF($R$17="Distrato",$E343,0))),0,YEARFRAC(MAX($P$34*($B343+IF($R$17="Distrato",$I$38-1,0)),IF(AND($L$37=0,$P$34=0),"",$L$37-1),IF($R$17="Distrato",$E343,0)),MIN(Z$38,$D$19),$P$20))-SUM($P343:Y343)</f>
        <v>#VALUE!</v>
      </c>
      <c r="AA343" s="446" t="e">
        <f>IF(OR($B343="",MIN(AA$38,$D$19)&lt;MAX($P$34*($B343+IF($R$17="Distrato",$I$38-1,0)),IF(AND($L$37=0,$P$34=0),"",$L$37-1),IF($R$17="Distrato",$E343,0))),0,YEARFRAC(MAX($P$34*($B343+IF($R$17="Distrato",$I$38-1,0)),IF(AND($L$37=0,$P$34=0),"",$L$37-1),IF($R$17="Distrato",$E343,0)),MIN(AA$38,$D$19),$P$20))-SUM($P343:Z343)</f>
        <v>#VALUE!</v>
      </c>
      <c r="AB343" s="446" t="e">
        <f>IF(OR($B343="",MIN(AB$38,$D$19)&lt;MAX($P$34*($B343+IF($R$17="Distrato",$I$38-1,0)),IF(AND($L$37=0,$P$34=0),"",$L$37-1),IF($R$17="Distrato",$E343,0))),0,YEARFRAC(MAX($P$34*($B343+IF($R$17="Distrato",$I$38-1,0)),IF(AND($L$37=0,$P$34=0),"",$L$37-1),IF($R$17="Distrato",$E343,0)),MIN(AB$38,$D$19),$P$20))-SUM($P343:AA343)</f>
        <v>#VALUE!</v>
      </c>
      <c r="AC343" s="446" t="e">
        <f>IF(OR($B343="",MIN(AC$38,$D$19)&lt;MAX($P$34*($B343+IF($R$17="Distrato",$I$38-1,0)),IF(AND($L$37=0,$P$34=0),"",$L$37-1),IF($R$17="Distrato",$E343,0))),0,YEARFRAC(MAX($P$34*($B343+IF($R$17="Distrato",$I$38-1,0)),IF(AND($L$37=0,$P$34=0),"",$L$37-1),IF($R$17="Distrato",$E343,0)),MIN(AC$38,$D$19),$P$20))-SUM($P343:AB343)</f>
        <v>#VALUE!</v>
      </c>
      <c r="AD343" s="446" t="e">
        <f>IF(OR($B343="",MIN(AD$38,$D$19)&lt;MAX($P$34*($B343+IF($R$17="Distrato",$I$38-1,0)),IF(AND($L$37=0,$P$34=0),"",$L$37-1),IF($R$17="Distrato",$E343,0))),0,YEARFRAC(MAX($P$34*($B343+IF($R$17="Distrato",$I$38-1,0)),IF(AND($L$37=0,$P$34=0),"",$L$37-1),IF($R$17="Distrato",$E343,0)),MIN(AD$38,$D$19),$P$20))-SUM($P343:AC343)</f>
        <v>#VALUE!</v>
      </c>
      <c r="AE343" s="446" t="e">
        <f>IF(OR($B343="",MIN(AE$38,$D$19)&lt;MAX($P$34*($B343+IF($R$17="Distrato",$I$38-1,0)),IF(AND($L$37=0,$P$34=0),"",$L$37-1),IF($R$17="Distrato",$E343,0))),0,YEARFRAC(MAX($P$34*($B343+IF($R$17="Distrato",$I$38-1,0)),IF(AND($L$37=0,$P$34=0),"",$L$37-1),IF($R$17="Distrato",$E343,0)),MIN(AE$38,$D$19),$P$20))-SUM($P343:AD343)</f>
        <v>#VALUE!</v>
      </c>
      <c r="AF343" s="446" t="e">
        <f>IF(OR($B343="",MIN(AF$38,$D$19)&lt;MAX($P$34*($B343+IF($R$17="Distrato",$I$38-1,0)),IF(AND($L$37=0,$P$34=0),"",$L$37-1),IF($R$17="Distrato",$E343,0))),0,YEARFRAC(MAX($P$34*($B343+IF($R$17="Distrato",$I$38-1,0)),IF(AND($L$37=0,$P$34=0),"",$L$37-1),IF($R$17="Distrato",$E343,0)),MIN(AF$38,$D$19),$P$20))-SUM($P343:AE343)</f>
        <v>#VALUE!</v>
      </c>
      <c r="AG343" s="446" t="e">
        <f>IF(OR($B343="",MIN(AG$38,$D$19)&lt;MAX($P$34*($B343+IF($R$17="Distrato",$I$38-1,0)),IF(AND($L$37=0,$P$34=0),"",$L$37-1),IF($R$17="Distrato",$E343,0))),0,YEARFRAC(MAX($P$34*($B343+IF($R$17="Distrato",$I$38-1,0)),IF(AND($L$37=0,$P$34=0),"",$L$37-1),IF($R$17="Distrato",$E343,0)),MIN(AG$38,$D$19),$P$20))-SUM($P343:AF343)</f>
        <v>#VALUE!</v>
      </c>
      <c r="AH343" s="446" t="e">
        <f>IF(OR($B343="",MIN(AH$38,$D$19)&lt;MAX($P$34*($B343+IF($R$17="Distrato",$I$38-1,0)),IF(AND($L$37=0,$P$34=0),"",$L$37-1),IF($R$17="Distrato",$E343,0))),0,YEARFRAC(MAX($P$34*($B343+IF($R$17="Distrato",$I$38-1,0)),IF(AND($L$37=0,$P$34=0),"",$L$37-1),IF($R$17="Distrato",$E343,0)),MIN(AH$38,$D$19),$P$20))-SUM($P343:AG343)</f>
        <v>#VALUE!</v>
      </c>
      <c r="AI343" s="446" t="e">
        <f>IF(OR($B343="",MIN(AI$38,$D$19)&lt;MAX($P$34*($B343+IF($R$17="Distrato",$I$38-1,0)),IF(AND($L$37=0,$P$34=0),"",$L$37-1),IF($R$17="Distrato",$E343,0))),0,YEARFRAC(MAX($P$34*($B343+IF($R$17="Distrato",$I$38-1,0)),IF(AND($L$37=0,$P$34=0),"",$L$37-1),IF($R$17="Distrato",$E343,0)),MIN(AI$38,$D$19),$P$20))-SUM($P343:AH343)</f>
        <v>#VALUE!</v>
      </c>
      <c r="AJ343" s="446" t="e">
        <f>IF(OR($B343="",MIN(AJ$38,$D$19)&lt;MAX($P$34*($B343+IF($R$17="Distrato",$I$38-1,0)),IF(AND($L$37=0,$P$34=0),"",$L$37-1),IF($R$17="Distrato",$E343,0))),0,YEARFRAC(MAX($P$34*($B343+IF($R$17="Distrato",$I$38-1,0)),IF(AND($L$37=0,$P$34=0),"",$L$37-1),IF($R$17="Distrato",$E343,0)),MIN(AJ$38,$D$19),$P$20))-SUM($P343:AI343)</f>
        <v>#VALUE!</v>
      </c>
      <c r="AK343" s="446" t="e">
        <f>IF(OR($B343="",MIN(AK$38,$D$19)&lt;MAX($P$34*($B343+IF($R$17="Distrato",$I$38-1,0)),IF(AND($L$37=0,$P$34=0),"",$L$37-1),IF($R$17="Distrato",$E343,0))),0,YEARFRAC(MAX($P$34*($B343+IF($R$17="Distrato",$I$38-1,0)),IF(AND($L$37=0,$P$34=0),"",$L$37-1),IF($R$17="Distrato",$E343,0)),MIN(AK$38,$D$19),$P$20))-SUM($P343:AJ343)</f>
        <v>#VALUE!</v>
      </c>
      <c r="AL343" s="446" t="e">
        <f>IF(OR($B343="",MIN(AL$38,$D$19)&lt;MAX($P$34*($B343+IF($R$17="Distrato",$I$38-1,0)),IF(AND($L$37=0,$P$34=0),"",$L$37-1),IF($R$17="Distrato",$E343,0))),0,YEARFRAC(MAX($P$34*($B343+IF($R$17="Distrato",$I$38-1,0)),IF(AND($L$37=0,$P$34=0),"",$L$37-1),IF($R$17="Distrato",$E343,0)),MIN(AL$38,$D$19),$P$20))-SUM($P343:AK343)</f>
        <v>#VALUE!</v>
      </c>
      <c r="AM343" s="446" t="e">
        <f>IF(OR($B343="",MIN(AM$38,$D$19)&lt;MAX($P$34*($B343+IF($R$17="Distrato",$I$38-1,0)),IF(AND($L$37=0,$P$34=0),"",$L$37-1),IF($R$17="Distrato",$E343,0))),0,YEARFRAC(MAX($P$34*($B343+IF($R$17="Distrato",$I$38-1,0)),IF(AND($L$37=0,$P$34=0),"",$L$37-1),IF($R$17="Distrato",$E343,0)),MIN(AM$38,$D$19),$P$20))-SUM($P343:AL343)</f>
        <v>#VALUE!</v>
      </c>
      <c r="AN343" s="446" t="e">
        <f>IF(OR($B343="",MIN(AN$38,$D$19)&lt;MAX($P$34*($B343+IF($R$17="Distrato",$I$38-1,0)),IF(AND($L$37=0,$P$34=0),"",$L$37-1),IF($R$17="Distrato",$E343,0))),0,YEARFRAC(MAX($P$34*($B343+IF($R$17="Distrato",$I$38-1,0)),IF(AND($L$37=0,$P$34=0),"",$L$37-1),IF($R$17="Distrato",$E343,0)),MIN(AN$38,$D$19),$P$20))-SUM($P343:AM343)</f>
        <v>#VALUE!</v>
      </c>
      <c r="AO343" s="446" t="e">
        <f>IF(OR($B343="",MIN(AO$38,$D$19)&lt;MAX($P$34*($B343+IF($R$17="Distrato",$I$38-1,0)),IF(AND($L$37=0,$P$34=0),"",$L$37-1),IF($R$17="Distrato",$E343,0))),0,YEARFRAC(MAX($P$34*($B343+IF($R$17="Distrato",$I$38-1,0)),IF(AND($L$37=0,$P$34=0),"",$L$37-1),IF($R$17="Distrato",$E343,0)),MIN(AO$38,$D$19),$P$20))-SUM($P343:AN343)</f>
        <v>#VALUE!</v>
      </c>
      <c r="AP343" s="446" t="e">
        <f>IF(OR($B343="",MIN(AP$38,$D$19)&lt;MAX($P$34*($B343+IF($R$17="Distrato",$I$38-1,0)),IF(AND($L$37=0,$P$34=0),"",$L$37-1),IF($R$17="Distrato",$E343,0))),0,YEARFRAC(MAX($P$34*($B343+IF($R$17="Distrato",$I$38-1,0)),IF(AND($L$37=0,$P$34=0),"",$L$37-1),IF($R$17="Distrato",$E343,0)),MIN(AP$38,$D$19),$P$20))-SUM($P343:AO343)</f>
        <v>#VALUE!</v>
      </c>
      <c r="AQ343" s="446" t="e">
        <f>IF(OR($B343="",MIN(AQ$38,$D$19)&lt;MAX($P$34*($B343+IF($R$17="Distrato",$I$38-1,0)),IF(AND($L$37=0,$P$34=0),"",$L$37-1),IF($R$17="Distrato",$E343,0))),0,YEARFRAC(MAX($P$34*($B343+IF($R$17="Distrato",$I$38-1,0)),IF(AND($L$37=0,$P$34=0),"",$L$37-1),IF($R$17="Distrato",$E343,0)),MIN(AQ$38,$D$19),$P$20))-SUM($P343:AP343)</f>
        <v>#VALUE!</v>
      </c>
      <c r="AR343" s="446" t="e">
        <f>IF(OR($B343="",MIN(AR$38,$D$19)&lt;MAX($P$34*($B343+IF($R$17="Distrato",$I$38-1,0)),IF(AND($L$37=0,$P$34=0),"",$L$37-1),IF($R$17="Distrato",$E343,0))),0,YEARFRAC(MAX($P$34*($B343+IF($R$17="Distrato",$I$38-1,0)),IF(AND($L$37=0,$P$34=0),"",$L$37-1),IF($R$17="Distrato",$E343,0)),MIN(AR$38,$D$19),$P$20))-SUM($P343:AQ343)</f>
        <v>#VALUE!</v>
      </c>
      <c r="AS343" s="446" t="e">
        <f>IF(OR($B343="",MIN(AS$38,$D$19)&lt;MAX($P$34*($B343+IF($R$17="Distrato",$I$38-1,0)),IF(AND($L$37=0,$P$34=0),"",$L$37-1),IF($R$17="Distrato",$E343,0))),0,YEARFRAC(MAX($P$34*($B343+IF($R$17="Distrato",$I$38-1,0)),IF(AND($L$37=0,$P$34=0),"",$L$37-1),IF($R$17="Distrato",$E343,0)),MIN(AS$38,$D$19),$P$20))-SUM($P343:AR343)</f>
        <v>#VALUE!</v>
      </c>
      <c r="AT343" s="446" t="e">
        <f>IF(OR($B343="",MIN(AT$38,$D$19)&lt;MAX($P$34*($B343+IF($R$17="Distrato",$I$38-1,0)),IF(AND($L$37=0,$P$34=0),"",$L$37-1),IF($R$17="Distrato",$E343,0))),0,YEARFRAC(MAX($P$34*($B343+IF($R$17="Distrato",$I$38-1,0)),IF(AND($L$37=0,$P$34=0),"",$L$37-1),IF($R$17="Distrato",$E343,0)),MIN(AT$38,$D$19),$P$20))-SUM($P343:AS343)</f>
        <v>#VALUE!</v>
      </c>
      <c r="AU343" s="446" t="e">
        <f>IF(OR($B343="",MIN(AU$38,$D$19)&lt;MAX($P$34*($B343+IF($R$17="Distrato",$I$38-1,0)),IF(AND($L$37=0,$P$34=0),"",$L$37-1),IF($R$17="Distrato",$E343,0))),0,YEARFRAC(MAX($P$34*($B343+IF($R$17="Distrato",$I$38-1,0)),IF(AND($L$37=0,$P$34=0),"",$L$37-1),IF($R$17="Distrato",$E343,0)),MIN(AU$38,$D$19),$P$20))-SUM($P343:AT343)</f>
        <v>#VALUE!</v>
      </c>
      <c r="AV343" s="446" t="e">
        <f>IF(OR($B343="",MIN(AV$38,$D$19)&lt;MAX($P$34*($B343+IF($R$17="Distrato",$I$38-1,0)),IF(AND($L$37=0,$P$34=0),"",$L$37-1),IF($R$17="Distrato",$E343,0))),0,YEARFRAC(MAX($P$34*($B343+IF($R$17="Distrato",$I$38-1,0)),IF(AND($L$37=0,$P$34=0),"",$L$37-1),IF($R$17="Distrato",$E343,0)),MIN(AV$38,$D$19),$P$20))-SUM($P343:AU343)</f>
        <v>#VALUE!</v>
      </c>
      <c r="AW343" s="446" t="e">
        <f>IF(OR($B343="",MIN(AW$38,$D$19)&lt;MAX($P$34*($B343+IF($R$17="Distrato",$I$38-1,0)),IF(AND($L$37=0,$P$34=0),"",$L$37-1),IF($R$17="Distrato",$E343,0))),0,YEARFRAC(MAX($P$34*($B343+IF($R$17="Distrato",$I$38-1,0)),IF(AND($L$37=0,$P$34=0),"",$L$37-1),IF($R$17="Distrato",$E343,0)),MIN(AW$38,$D$19),$P$20))-SUM($P343:AV343)</f>
        <v>#VALUE!</v>
      </c>
      <c r="AX343" s="446" t="e">
        <f>IF(OR($B343="",MIN(AX$38,$D$19)&lt;MAX($P$34*($B343+IF($R$17="Distrato",$I$38-1,0)),IF(AND($L$37=0,$P$34=0),"",$L$37-1),IF($R$17="Distrato",$E343,0))),0,YEARFRAC(MAX($P$34*($B343+IF($R$17="Distrato",$I$38-1,0)),IF(AND($L$37=0,$P$34=0),"",$L$37-1),IF($R$17="Distrato",$E343,0)),MIN(AX$38,$D$19),$P$20))-SUM($P343:AW343)</f>
        <v>#VALUE!</v>
      </c>
      <c r="AY343" s="446" t="e">
        <f>IF(OR($B343="",MIN(AY$38,$D$19)&lt;MAX($P$34*($B343+IF($R$17="Distrato",$I$38-1,0)),IF(AND($L$37=0,$P$34=0),"",$L$37-1),IF($R$17="Distrato",$E343,0))),0,YEARFRAC(MAX($P$34*($B343+IF($R$17="Distrato",$I$38-1,0)),IF(AND($L$37=0,$P$34=0),"",$L$37-1),IF($R$17="Distrato",$E343,0)),MIN(AY$38,$D$19),$P$20))-SUM($P343:AX343)</f>
        <v>#VALUE!</v>
      </c>
      <c r="AZ343" s="446" t="e">
        <f>IF(OR($B343="",MIN(AZ$38,$D$19)&lt;MAX($P$34*($B343+IF($R$17="Distrato",$I$38-1,0)),IF(AND($L$37=0,$P$34=0),"",$L$37-1),IF($R$17="Distrato",$E343,0))),0,YEARFRAC(MAX($P$34*($B343+IF($R$17="Distrato",$I$38-1,0)),IF(AND($L$37=0,$P$34=0),"",$L$37-1),IF($R$17="Distrato",$E343,0)),MIN(AZ$38,$D$19),$P$20))-SUM($P343:AY343)</f>
        <v>#VALUE!</v>
      </c>
      <c r="BA343" s="446" t="e">
        <f>IF(OR($B343="",MIN(BA$38,$D$19)&lt;MAX($P$34*($B343+IF($R$17="Distrato",$I$38-1,0)),IF(AND($L$37=0,$P$34=0),"",$L$37-1),IF($R$17="Distrato",$E343,0))),0,YEARFRAC(MAX($P$34*($B343+IF($R$17="Distrato",$I$38-1,0)),IF(AND($L$37=0,$P$34=0),"",$L$37-1),IF($R$17="Distrato",$E343,0)),MIN(BA$38,$D$19),$P$20))-SUM($P343:AZ343)</f>
        <v>#VALUE!</v>
      </c>
      <c r="BB343" s="447"/>
      <c r="BF343" s="446">
        <f t="shared" si="54"/>
        <v>0</v>
      </c>
      <c r="BG343" s="446">
        <f>IF($E343=0,0,IF(MIN(BG$38,$E343)&lt;MAX($P$34*($B343+$I$38-1),IF(AND($L$37=0,$P$34=0),"",$L$37-1)),0,YEARFRAC(MAX($P$34*($B343+$I$38-1),IF(AND($L$37=0,$P$34=0),"",$L$37-1)),MIN(BG$38,$E343),$P$20))-SUM($BF343:BF343))</f>
        <v>0</v>
      </c>
      <c r="BH343" s="446">
        <f>IF($E343=0,0,IF(MIN(BH$38,$E343)&lt;MAX($P$34*($B343+$I$38-1),IF(AND($L$37=0,$P$34=0),"",$L$37-1)),0,YEARFRAC(MAX($P$34*($B343+$I$38-1),IF(AND($L$37=0,$P$34=0),"",$L$37-1)),MIN(BH$38,$E343),$P$20))-SUM($BF343:BG343))</f>
        <v>0</v>
      </c>
      <c r="BI343" s="446">
        <f>IF($E343=0,0,IF(MIN(BI$38,$E343)&lt;MAX($P$34*($B343+$I$38-1),IF(AND($L$37=0,$P$34=0),"",$L$37-1)),0,YEARFRAC(MAX($P$34*($B343+$I$38-1),IF(AND($L$37=0,$P$34=0),"",$L$37-1)),MIN(BI$38,$E343),$P$20))-SUM($BF343:BH343))</f>
        <v>0</v>
      </c>
      <c r="BJ343" s="446">
        <f>IF($E343=0,0,IF(MIN(BJ$38,$E343)&lt;MAX($P$34*($B343+$I$38-1),IF(AND($L$37=0,$P$34=0),"",$L$37-1)),0,YEARFRAC(MAX($P$34*($B343+$I$38-1),IF(AND($L$37=0,$P$34=0),"",$L$37-1)),MIN(BJ$38,$E343),$P$20))-SUM($BF343:BI343))</f>
        <v>0</v>
      </c>
      <c r="BK343" s="446">
        <f>IF($E343=0,0,IF(MIN(BK$38,$E343)&lt;MAX($P$34*($B343+$I$38-1),IF(AND($L$37=0,$P$34=0),"",$L$37-1)),0,YEARFRAC(MAX($P$34*($B343+$I$38-1),IF(AND($L$37=0,$P$34=0),"",$L$37-1)),MIN(BK$38,$E343),$P$20))-SUM($BF343:BJ343))</f>
        <v>0</v>
      </c>
      <c r="BL343" s="446">
        <f>IF($E343=0,0,IF(MIN(BL$38,$E343)&lt;MAX($P$34*($B343+$I$38-1),IF(AND($L$37=0,$P$34=0),"",$L$37-1)),0,YEARFRAC(MAX($P$34*($B343+$I$38-1),IF(AND($L$37=0,$P$34=0),"",$L$37-1)),MIN(BL$38,$E343),$P$20))-SUM($BF343:BK343))</f>
        <v>0</v>
      </c>
      <c r="BM343" s="446">
        <f>IF($E343=0,0,IF(MIN(BM$38,$E343)&lt;MAX($P$34*($B343+$I$38-1),IF(AND($L$37=0,$P$34=0),"",$L$37-1)),0,YEARFRAC(MAX($P$34*($B343+$I$38-1),IF(AND($L$37=0,$P$34=0),"",$L$37-1)),MIN(BM$38,$E343),$P$20))-SUM($BF343:BL343))</f>
        <v>0</v>
      </c>
      <c r="BN343" s="446">
        <f>IF($E343=0,0,IF(MIN(BN$38,$E343)&lt;MAX($P$34*($B343+$I$38-1),IF(AND($L$37=0,$P$34=0),"",$L$37-1)),0,YEARFRAC(MAX($P$34*($B343+$I$38-1),IF(AND($L$37=0,$P$34=0),"",$L$37-1)),MIN(BN$38,$E343),$P$20))-SUM($BF343:BM343))</f>
        <v>0</v>
      </c>
      <c r="BO343" s="446">
        <f>IF($E343=0,0,IF(MIN(BO$38,$E343)&lt;MAX($P$34*($B343+$I$38-1),IF(AND($L$37=0,$P$34=0),"",$L$37-1)),0,YEARFRAC(MAX($P$34*($B343+$I$38-1),IF(AND($L$37=0,$P$34=0),"",$L$37-1)),MIN(BO$38,$E343),$P$20))-SUM($BF343:BN343))</f>
        <v>0</v>
      </c>
      <c r="BP343" s="446">
        <f>IF($E343=0,0,IF(MIN(BP$38,$E343)&lt;MAX($P$34*($B343+$I$38-1),IF(AND($L$37=0,$P$34=0),"",$L$37-1)),0,YEARFRAC(MAX($P$34*($B343+$I$38-1),IF(AND($L$37=0,$P$34=0),"",$L$37-1)),MIN(BP$38,$E343),$P$20))-SUM($BF343:BO343))</f>
        <v>0</v>
      </c>
      <c r="BQ343" s="446">
        <f>IF($E343=0,0,IF(MIN(BQ$38,$E343)&lt;MAX($P$34*($B343+$I$38-1),IF(AND($L$37=0,$P$34=0),"",$L$37-1)),0,YEARFRAC(MAX($P$34*($B343+$I$38-1),IF(AND($L$37=0,$P$34=0),"",$L$37-1)),MIN(BQ$38,$E343),$P$20))-SUM($BF343:BP343))</f>
        <v>0</v>
      </c>
      <c r="BR343" s="446">
        <f>IF($E343=0,0,IF(MIN(BR$38,$E343)&lt;MAX($P$34*($B343+$I$38-1),IF(AND($L$37=0,$P$34=0),"",$L$37-1)),0,YEARFRAC(MAX($P$34*($B343+$I$38-1),IF(AND($L$37=0,$P$34=0),"",$L$37-1)),MIN(BR$38,$E343),$P$20))-SUM($BF343:BQ343))</f>
        <v>0</v>
      </c>
      <c r="BS343" s="446">
        <f>IF($E343=0,0,IF(MIN(BS$38,$E343)&lt;MAX($P$34*($B343+$I$38-1),IF(AND($L$37=0,$P$34=0),"",$L$37-1)),0,YEARFRAC(MAX($P$34*($B343+$I$38-1),IF(AND($L$37=0,$P$34=0),"",$L$37-1)),MIN(BS$38,$E343),$P$20))-SUM($BF343:BR343))</f>
        <v>0</v>
      </c>
      <c r="BT343" s="446">
        <f>IF($E343=0,0,IF(MIN(BT$38,$E343)&lt;MAX($P$34*($B343+$I$38-1),IF(AND($L$37=0,$P$34=0),"",$L$37-1)),0,YEARFRAC(MAX($P$34*($B343+$I$38-1),IF(AND($L$37=0,$P$34=0),"",$L$37-1)),MIN(BT$38,$E343),$P$20))-SUM($BF343:BS343))</f>
        <v>0</v>
      </c>
      <c r="BU343" s="446">
        <f>IF($E343=0,0,IF(MIN(BU$38,$E343)&lt;MAX($P$34*($B343+$I$38-1),IF(AND($L$37=0,$P$34=0),"",$L$37-1)),0,YEARFRAC(MAX($P$34*($B343+$I$38-1),IF(AND($L$37=0,$P$34=0),"",$L$37-1)),MIN(BU$38,$E343),$P$20))-SUM($BF343:BT343))</f>
        <v>0</v>
      </c>
      <c r="BV343" s="446">
        <f>IF($E343=0,0,IF(MIN(BV$38,$E343)&lt;MAX($P$34*($B343+$I$38-1),IF(AND($L$37=0,$P$34=0),"",$L$37-1)),0,YEARFRAC(MAX($P$34*($B343+$I$38-1),IF(AND($L$37=0,$P$34=0),"",$L$37-1)),MIN(BV$38,$E343),$P$20))-SUM($BF343:BU343))</f>
        <v>0</v>
      </c>
      <c r="BW343" s="446">
        <f>IF($E343=0,0,IF(MIN(BW$38,$E343)&lt;MAX($P$34*($B343+$I$38-1),IF(AND($L$37=0,$P$34=0),"",$L$37-1)),0,YEARFRAC(MAX($P$34*($B343+$I$38-1),IF(AND($L$37=0,$P$34=0),"",$L$37-1)),MIN(BW$38,$E343),$P$20))-SUM($BF343:BV343))</f>
        <v>0</v>
      </c>
      <c r="BX343" s="446">
        <f>IF($E343=0,0,IF(MIN(BX$38,$E343)&lt;MAX($P$34*($B343+$I$38-1),IF(AND($L$37=0,$P$34=0),"",$L$37-1)),0,YEARFRAC(MAX($P$34*($B343+$I$38-1),IF(AND($L$37=0,$P$34=0),"",$L$37-1)),MIN(BX$38,$E343),$P$20))-SUM($BF343:BW343))</f>
        <v>0</v>
      </c>
      <c r="BY343" s="446">
        <f>IF($E343=0,0,IF(MIN(BY$38,$E343)&lt;MAX($P$34*($B343+$I$38-1),IF(AND($L$37=0,$P$34=0),"",$L$37-1)),0,YEARFRAC(MAX($P$34*($B343+$I$38-1),IF(AND($L$37=0,$P$34=0),"",$L$37-1)),MIN(BY$38,$E343),$P$20))-SUM($BF343:BX343))</f>
        <v>0</v>
      </c>
      <c r="BZ343" s="446">
        <f>IF($E343=0,0,IF(MIN(BZ$38,$E343)&lt;MAX($P$34*($B343+$I$38-1),IF(AND($L$37=0,$P$34=0),"",$L$37-1)),0,YEARFRAC(MAX($P$34*($B343+$I$38-1),IF(AND($L$37=0,$P$34=0),"",$L$37-1)),MIN(BZ$38,$E343),$P$20))-SUM($BF343:BY343))</f>
        <v>0</v>
      </c>
      <c r="CA343" s="446">
        <f>IF($E343=0,0,IF(MIN(CA$38,$E343)&lt;MAX($P$34*($B343+$I$38-1),IF(AND($L$37=0,$P$34=0),"",$L$37-1)),0,YEARFRAC(MAX($P$34*($B343+$I$38-1),IF(AND($L$37=0,$P$34=0),"",$L$37-1)),MIN(CA$38,$E343),$P$20))-SUM($BF343:BZ343))</f>
        <v>0</v>
      </c>
      <c r="CB343" s="446">
        <f>IF($E343=0,0,IF(MIN(CB$38,$E343)&lt;MAX($P$34*($B343+$I$38-1),IF(AND($L$37=0,$P$34=0),"",$L$37-1)),0,YEARFRAC(MAX($P$34*($B343+$I$38-1),IF(AND($L$37=0,$P$34=0),"",$L$37-1)),MIN(CB$38,$E343),$P$20))-SUM($BF343:CA343))</f>
        <v>0</v>
      </c>
      <c r="CC343" s="446">
        <f>IF($E343=0,0,IF(MIN(CC$38,$E343)&lt;MAX($P$34*($B343+$I$38-1),IF(AND($L$37=0,$P$34=0),"",$L$37-1)),0,YEARFRAC(MAX($P$34*($B343+$I$38-1),IF(AND($L$37=0,$P$34=0),"",$L$37-1)),MIN(CC$38,$E343),$P$20))-SUM($BF343:CB343))</f>
        <v>0</v>
      </c>
      <c r="CD343" s="446">
        <f>IF($E343=0,0,IF(MIN(CD$38,$E343)&lt;MAX($P$34*($B343+$I$38-1),IF(AND($L$37=0,$P$34=0),"",$L$37-1)),0,YEARFRAC(MAX($P$34*($B343+$I$38-1),IF(AND($L$37=0,$P$34=0),"",$L$37-1)),MIN(CD$38,$E343),$P$20))-SUM($BF343:CC343))</f>
        <v>0</v>
      </c>
      <c r="CE343" s="446">
        <f>IF($E343=0,0,IF(MIN(CE$38,$E343)&lt;MAX($P$34*($B343+$I$38-1),IF(AND($L$37=0,$P$34=0),"",$L$37-1)),0,YEARFRAC(MAX($P$34*($B343+$I$38-1),IF(AND($L$37=0,$P$34=0),"",$L$37-1)),MIN(CE$38,$E343),$P$20))-SUM($BF343:CD343))</f>
        <v>0</v>
      </c>
      <c r="CF343" s="446">
        <f>IF($E343=0,0,IF(MIN(CF$38,$E343)&lt;MAX($P$34*($B343+$I$38-1),IF(AND($L$37=0,$P$34=0),"",$L$37-1)),0,YEARFRAC(MAX($P$34*($B343+$I$38-1),IF(AND($L$37=0,$P$34=0),"",$L$37-1)),MIN(CF$38,$E343),$P$20))-SUM($BF343:CE343))</f>
        <v>0</v>
      </c>
      <c r="CG343" s="446">
        <f>IF($E343=0,0,IF(MIN(CG$38,$E343)&lt;MAX($P$34*($B343+$I$38-1),IF(AND($L$37=0,$P$34=0),"",$L$37-1)),0,YEARFRAC(MAX($P$34*($B343+$I$38-1),IF(AND($L$37=0,$P$34=0),"",$L$37-1)),MIN(CG$38,$E343),$P$20))-SUM($BF343:CF343))</f>
        <v>0</v>
      </c>
      <c r="CH343" s="446">
        <f>IF($E343=0,0,IF(MIN(CH$38,$E343)&lt;MAX($P$34*($B343+$I$38-1),IF(AND($L$37=0,$P$34=0),"",$L$37-1)),0,YEARFRAC(MAX($P$34*($B343+$I$38-1),IF(AND($L$37=0,$P$34=0),"",$L$37-1)),MIN(CH$38,$E343),$P$20))-SUM($BF343:CG343))</f>
        <v>0</v>
      </c>
      <c r="CI343" s="446">
        <f>IF($E343=0,0,IF(MIN(CI$38,$E343)&lt;MAX($P$34*($B343+$I$38-1),IF(AND($L$37=0,$P$34=0),"",$L$37-1)),0,YEARFRAC(MAX($P$34*($B343+$I$38-1),IF(AND($L$37=0,$P$34=0),"",$L$37-1)),MIN(CI$38,$E343),$P$20))-SUM($BF343:CH343))</f>
        <v>0</v>
      </c>
      <c r="CJ343" s="446">
        <f>IF($E343=0,0,IF(MIN(CJ$38,$E343)&lt;MAX($P$34*($B343+$I$38-1),IF(AND($L$37=0,$P$34=0),"",$L$37-1)),0,YEARFRAC(MAX($P$34*($B343+$I$38-1),IF(AND($L$37=0,$P$34=0),"",$L$37-1)),MIN(CJ$38,$E343),$P$20))-SUM($BF343:CI343))</f>
        <v>0</v>
      </c>
      <c r="CK343" s="446">
        <f>IF($E343=0,0,IF(MIN(CK$38,$E343)&lt;MAX($P$34*($B343+$I$38-1),IF(AND($L$37=0,$P$34=0),"",$L$37-1)),0,YEARFRAC(MAX($P$34*($B343+$I$38-1),IF(AND($L$37=0,$P$34=0),"",$L$37-1)),MIN(CK$38,$E343),$P$20))-SUM($BF343:CJ343))</f>
        <v>0</v>
      </c>
      <c r="CL343" s="446">
        <f>IF($E343=0,0,IF(MIN(CL$38,$E343)&lt;MAX($P$34*($B343+$I$38-1),IF(AND($L$37=0,$P$34=0),"",$L$37-1)),0,YEARFRAC(MAX($P$34*($B343+$I$38-1),IF(AND($L$37=0,$P$34=0),"",$L$37-1)),MIN(CL$38,$E343),$P$20))-SUM($BF343:CK343))</f>
        <v>0</v>
      </c>
      <c r="CM343" s="446">
        <f>IF($E343=0,0,IF(MIN(CM$38,$E343)&lt;MAX($P$34*($B343+$I$38-1),IF(AND($L$37=0,$P$34=0),"",$L$37-1)),0,YEARFRAC(MAX($P$34*($B343+$I$38-1),IF(AND($L$37=0,$P$34=0),"",$L$37-1)),MIN(CM$38,$E343),$P$20))-SUM($BF343:CL343))</f>
        <v>0</v>
      </c>
      <c r="CN343" s="446">
        <f>IF($E343=0,0,IF(MIN(CN$38,$E343)&lt;MAX($P$34*($B343+$I$38-1),IF(AND($L$37=0,$P$34=0),"",$L$37-1)),0,YEARFRAC(MAX($P$34*($B343+$I$38-1),IF(AND($L$37=0,$P$34=0),"",$L$37-1)),MIN(CN$38,$E343),$P$20))-SUM($BF343:CM343))</f>
        <v>0</v>
      </c>
      <c r="CO343" s="446">
        <f>IF($E343=0,0,IF(MIN(CO$38,$E343)&lt;MAX($P$34*($B343+$I$38-1),IF(AND($L$37=0,$P$34=0),"",$L$37-1)),0,YEARFRAC(MAX($P$34*($B343+$I$38-1),IF(AND($L$37=0,$P$34=0),"",$L$37-1)),MIN(CO$38,$E343),$P$20))-SUM($BF343:CN343))</f>
        <v>0</v>
      </c>
      <c r="CP343" s="446">
        <f>IF($E343=0,0,IF(MIN(CP$38,$E343)&lt;MAX($P$34*($B343+$I$38-1),IF(AND($L$37=0,$P$34=0),"",$L$37-1)),0,YEARFRAC(MAX($P$34*($B343+$I$38-1),IF(AND($L$37=0,$P$34=0),"",$L$37-1)),MIN(CP$38,$E343),$P$20))-SUM($BF343:CO343))</f>
        <v>0</v>
      </c>
      <c r="CQ343" s="446">
        <f>IF($E343=0,0,IF(MIN(CQ$38,$E343)&lt;MAX($P$34*($B343+$I$38-1),IF(AND($L$37=0,$P$34=0),"",$L$37-1)),0,YEARFRAC(MAX($P$34*($B343+$I$38-1),IF(AND($L$37=0,$P$34=0),"",$L$37-1)),MIN(CQ$38,$E343),$P$20))-SUM($BF343:CP343))</f>
        <v>0</v>
      </c>
    </row>
    <row r="344" spans="1:95" s="446" customFormat="1" ht="11.25" hidden="1" customHeight="1" x14ac:dyDescent="0.2">
      <c r="A344" s="152"/>
      <c r="B344" s="153" t="str">
        <f t="shared" si="59"/>
        <v/>
      </c>
      <c r="C344" s="29" t="str">
        <f>IF(B344="","",IF($L$35="SELIC - TRIBUTOS",VLOOKUP(DATE(YEAR($D$19),MONTH($D$19)-1,1),ÍNDICES!$A:$DE,HLOOKUP($BL$25,ÍNDICES!$B$3:$T$4,2)+11)-VLOOKUP(B344,ÍNDICES!$A:$DE,HLOOKUP($BL$25,ÍNDICES!$B$3:$T$4,2)+11)+1%,IF(C$38=$W$26,$J$35,IF(ISERROR(IF(B344&gt;$D$19,1,VLOOKUP(DATE(YEAR(B344),MONTH(B344)+IF($C$35=$S$23,1,0),1),ÍNDICES!$A:$DE,$Z$35+1))),"",IF(B344&gt;$D$19,1,VLOOKUP(DATE(YEAR(B344),MONTH(B344)+IF($C$35=$S$23,1,0),1),ÍNDICES!$A:$DE,$Z$35+1))))))</f>
        <v/>
      </c>
      <c r="D344" s="154" t="str">
        <f>IF(ISERROR(IF(OR($D$38=$Y$27,$B344=""),"",VLOOKUP(B344,ÍNDICES!A:DE,AF$35+1))),"",IF(OR($D$38=$Y$27,$B344=""),"",VLOOKUP(B344,ÍNDICES!A:DE,AF$35+1)))</f>
        <v/>
      </c>
      <c r="E344" s="153"/>
      <c r="F344" s="29" t="str">
        <f>IF(E344="","",IF($L$35="SELIC - TRIBUTOS",VLOOKUP(DATE(YEAR($D$19),MONTH($D$19)-1,1),ÍNDICES!$A:$DE,HLOOKUP($BL$25,ÍNDICES!$B$3:$T$4,2)+11)-VLOOKUP(E344,ÍNDICES!$A:$DE,HLOOKUP($BL$25,ÍNDICES!$B$3:$T$4,2)+11)+1%,IF(F$38=$W$26,$J$35,IF(ISERROR(IF(E344&gt;$D$19,1,VLOOKUP(DATE(YEAR(E344),MONTH(E344)+IF($C$35=$S$23,1,0),1),ÍNDICES!$A:$DE,$Z$35+1))),"",IF(E344&gt;$D$19,1,VLOOKUP(DATE(YEAR(E344),MONTH(E344)+IF($C$35=$S$23,1,0),1),ÍNDICES!$A:$DE,$Z$35+1))))))</f>
        <v/>
      </c>
      <c r="G344" s="155"/>
      <c r="H344" s="156" t="str">
        <f t="shared" si="55"/>
        <v/>
      </c>
      <c r="I344" s="29" t="str">
        <f t="shared" si="49"/>
        <v/>
      </c>
      <c r="J344" s="5">
        <f t="shared" si="50"/>
        <v>0</v>
      </c>
      <c r="K344" s="20">
        <f t="shared" ca="1" si="51"/>
        <v>0</v>
      </c>
      <c r="L344" s="5">
        <f t="shared" ca="1" si="52"/>
        <v>0</v>
      </c>
      <c r="M344" s="64">
        <f t="shared" si="56"/>
        <v>0</v>
      </c>
      <c r="N344" s="61">
        <f t="shared" ca="1" si="57"/>
        <v>0</v>
      </c>
      <c r="O344" s="5">
        <f t="shared" ca="1" si="58"/>
        <v>0</v>
      </c>
      <c r="P344" s="446" t="e">
        <f t="shared" si="53"/>
        <v>#VALUE!</v>
      </c>
      <c r="Q344" s="446" t="e">
        <f>IF(OR($B344="",MIN(Q$38,$D$19)&lt;MAX($P$34*($B344+IF($R$17="Distrato",$I$38-1,0)),IF(AND($L$37=0,$P$34=0),"",$L$37-1),IF($R$17="Distrato",$E344,0))),0,YEARFRAC(MAX($P$34*($B344+IF($R$17="Distrato",$I$38-1,0)),IF(AND($L$37=0,$P$34=0),"",$L$37-1),IF($R$17="Distrato",$E344,0)),MIN(Q$38,$D$19),$P$20))-SUM($P344:P344)</f>
        <v>#VALUE!</v>
      </c>
      <c r="R344" s="446" t="e">
        <f>IF(OR($B344="",MIN(R$38,$D$19)&lt;MAX($P$34*($B344+IF($R$17="Distrato",$I$38-1,0)),IF(AND($L$37=0,$P$34=0),"",$L$37-1),IF($R$17="Distrato",$E344,0))),0,YEARFRAC(MAX($P$34*($B344+IF($R$17="Distrato",$I$38-1,0)),IF(AND($L$37=0,$P$34=0),"",$L$37-1),IF($R$17="Distrato",$E344,0)),MIN(R$38,$D$19),$P$20))-SUM($P344:Q344)</f>
        <v>#VALUE!</v>
      </c>
      <c r="S344" s="446" t="e">
        <f>IF(OR($B344="",MIN(S$38,$D$19)&lt;MAX($P$34*($B344+IF($R$17="Distrato",$I$38-1,0)),IF(AND($L$37=0,$P$34=0),"",$L$37-1),IF($R$17="Distrato",$E344,0))),0,YEARFRAC(MAX($P$34*($B344+IF($R$17="Distrato",$I$38-1,0)),IF(AND($L$37=0,$P$34=0),"",$L$37-1),IF($R$17="Distrato",$E344,0)),MIN(S$38,$D$19),$P$20))-SUM($P344:R344)</f>
        <v>#VALUE!</v>
      </c>
      <c r="T344" s="446" t="e">
        <f>IF(OR($B344="",MIN(T$38,$D$19)&lt;MAX($P$34*($B344+IF($R$17="Distrato",$I$38-1,0)),IF(AND($L$37=0,$P$34=0),"",$L$37-1),IF($R$17="Distrato",$E344,0))),0,YEARFRAC(MAX($P$34*($B344+IF($R$17="Distrato",$I$38-1,0)),IF(AND($L$37=0,$P$34=0),"",$L$37-1),IF($R$17="Distrato",$E344,0)),MIN(T$38,$D$19),$P$20))-SUM($P344:S344)</f>
        <v>#VALUE!</v>
      </c>
      <c r="U344" s="446" t="e">
        <f>IF(OR($B344="",MIN(U$38,$D$19)&lt;MAX($P$34*($B344+IF($R$17="Distrato",$I$38-1,0)),IF(AND($L$37=0,$P$34=0),"",$L$37-1),IF($R$17="Distrato",$E344,0))),0,YEARFRAC(MAX($P$34*($B344+IF($R$17="Distrato",$I$38-1,0)),IF(AND($L$37=0,$P$34=0),"",$L$37-1),IF($R$17="Distrato",$E344,0)),MIN(U$38,$D$19),$P$20))-SUM($P344:T344)</f>
        <v>#VALUE!</v>
      </c>
      <c r="V344" s="446" t="e">
        <f>IF(OR($B344="",MIN(V$38,$D$19)&lt;MAX($P$34*($B344+IF($R$17="Distrato",$I$38-1,0)),IF(AND($L$37=0,$P$34=0),"",$L$37-1),IF($R$17="Distrato",$E344,0))),0,YEARFRAC(MAX($P$34*($B344+IF($R$17="Distrato",$I$38-1,0)),IF(AND($L$37=0,$P$34=0),"",$L$37-1),IF($R$17="Distrato",$E344,0)),MIN(V$38,$D$19),$P$20))-SUM($P344:U344)</f>
        <v>#VALUE!</v>
      </c>
      <c r="W344" s="446" t="e">
        <f>IF(OR($B344="",MIN(W$38,$D$19)&lt;MAX($P$34*($B344+IF($R$17="Distrato",$I$38-1,0)),IF(AND($L$37=0,$P$34=0),"",$L$37-1),IF($R$17="Distrato",$E344,0))),0,YEARFRAC(MAX($P$34*($B344+IF($R$17="Distrato",$I$38-1,0)),IF(AND($L$37=0,$P$34=0),"",$L$37-1),IF($R$17="Distrato",$E344,0)),MIN(W$38,$D$19),$P$20))-SUM($P344:V344)</f>
        <v>#VALUE!</v>
      </c>
      <c r="X344" s="446" t="e">
        <f>IF(OR($B344="",MIN(X$38,$D$19)&lt;MAX($P$34*($B344+IF($R$17="Distrato",$I$38-1,0)),IF(AND($L$37=0,$P$34=0),"",$L$37-1),IF($R$17="Distrato",$E344,0))),0,YEARFRAC(MAX($P$34*($B344+IF($R$17="Distrato",$I$38-1,0)),IF(AND($L$37=0,$P$34=0),"",$L$37-1),IF($R$17="Distrato",$E344,0)),MIN(X$38,$D$19),$P$20))-SUM($P344:W344)</f>
        <v>#VALUE!</v>
      </c>
      <c r="Y344" s="446" t="e">
        <f>IF(OR($B344="",MIN(Y$38,$D$19)&lt;MAX($P$34*($B344+IF($R$17="Distrato",$I$38-1,0)),IF(AND($L$37=0,$P$34=0),"",$L$37-1),IF($R$17="Distrato",$E344,0))),0,YEARFRAC(MAX($P$34*($B344+IF($R$17="Distrato",$I$38-1,0)),IF(AND($L$37=0,$P$34=0),"",$L$37-1),IF($R$17="Distrato",$E344,0)),MIN(Y$38,$D$19),$P$20))-SUM($P344:X344)</f>
        <v>#VALUE!</v>
      </c>
      <c r="Z344" s="446" t="e">
        <f>IF(OR($B344="",MIN(Z$38,$D$19)&lt;MAX($P$34*($B344+IF($R$17="Distrato",$I$38-1,0)),IF(AND($L$37=0,$P$34=0),"",$L$37-1),IF($R$17="Distrato",$E344,0))),0,YEARFRAC(MAX($P$34*($B344+IF($R$17="Distrato",$I$38-1,0)),IF(AND($L$37=0,$P$34=0),"",$L$37-1),IF($R$17="Distrato",$E344,0)),MIN(Z$38,$D$19),$P$20))-SUM($P344:Y344)</f>
        <v>#VALUE!</v>
      </c>
      <c r="AA344" s="446" t="e">
        <f>IF(OR($B344="",MIN(AA$38,$D$19)&lt;MAX($P$34*($B344+IF($R$17="Distrato",$I$38-1,0)),IF(AND($L$37=0,$P$34=0),"",$L$37-1),IF($R$17="Distrato",$E344,0))),0,YEARFRAC(MAX($P$34*($B344+IF($R$17="Distrato",$I$38-1,0)),IF(AND($L$37=0,$P$34=0),"",$L$37-1),IF($R$17="Distrato",$E344,0)),MIN(AA$38,$D$19),$P$20))-SUM($P344:Z344)</f>
        <v>#VALUE!</v>
      </c>
      <c r="AB344" s="446" t="e">
        <f>IF(OR($B344="",MIN(AB$38,$D$19)&lt;MAX($P$34*($B344+IF($R$17="Distrato",$I$38-1,0)),IF(AND($L$37=0,$P$34=0),"",$L$37-1),IF($R$17="Distrato",$E344,0))),0,YEARFRAC(MAX($P$34*($B344+IF($R$17="Distrato",$I$38-1,0)),IF(AND($L$37=0,$P$34=0),"",$L$37-1),IF($R$17="Distrato",$E344,0)),MIN(AB$38,$D$19),$P$20))-SUM($P344:AA344)</f>
        <v>#VALUE!</v>
      </c>
      <c r="AC344" s="446" t="e">
        <f>IF(OR($B344="",MIN(AC$38,$D$19)&lt;MAX($P$34*($B344+IF($R$17="Distrato",$I$38-1,0)),IF(AND($L$37=0,$P$34=0),"",$L$37-1),IF($R$17="Distrato",$E344,0))),0,YEARFRAC(MAX($P$34*($B344+IF($R$17="Distrato",$I$38-1,0)),IF(AND($L$37=0,$P$34=0),"",$L$37-1),IF($R$17="Distrato",$E344,0)),MIN(AC$38,$D$19),$P$20))-SUM($P344:AB344)</f>
        <v>#VALUE!</v>
      </c>
      <c r="AD344" s="446" t="e">
        <f>IF(OR($B344="",MIN(AD$38,$D$19)&lt;MAX($P$34*($B344+IF($R$17="Distrato",$I$38-1,0)),IF(AND($L$37=0,$P$34=0),"",$L$37-1),IF($R$17="Distrato",$E344,0))),0,YEARFRAC(MAX($P$34*($B344+IF($R$17="Distrato",$I$38-1,0)),IF(AND($L$37=0,$P$34=0),"",$L$37-1),IF($R$17="Distrato",$E344,0)),MIN(AD$38,$D$19),$P$20))-SUM($P344:AC344)</f>
        <v>#VALUE!</v>
      </c>
      <c r="AE344" s="446" t="e">
        <f>IF(OR($B344="",MIN(AE$38,$D$19)&lt;MAX($P$34*($B344+IF($R$17="Distrato",$I$38-1,0)),IF(AND($L$37=0,$P$34=0),"",$L$37-1),IF($R$17="Distrato",$E344,0))),0,YEARFRAC(MAX($P$34*($B344+IF($R$17="Distrato",$I$38-1,0)),IF(AND($L$37=0,$P$34=0),"",$L$37-1),IF($R$17="Distrato",$E344,0)),MIN(AE$38,$D$19),$P$20))-SUM($P344:AD344)</f>
        <v>#VALUE!</v>
      </c>
      <c r="AF344" s="446" t="e">
        <f>IF(OR($B344="",MIN(AF$38,$D$19)&lt;MAX($P$34*($B344+IF($R$17="Distrato",$I$38-1,0)),IF(AND($L$37=0,$P$34=0),"",$L$37-1),IF($R$17="Distrato",$E344,0))),0,YEARFRAC(MAX($P$34*($B344+IF($R$17="Distrato",$I$38-1,0)),IF(AND($L$37=0,$P$34=0),"",$L$37-1),IF($R$17="Distrato",$E344,0)),MIN(AF$38,$D$19),$P$20))-SUM($P344:AE344)</f>
        <v>#VALUE!</v>
      </c>
      <c r="AG344" s="446" t="e">
        <f>IF(OR($B344="",MIN(AG$38,$D$19)&lt;MAX($P$34*($B344+IF($R$17="Distrato",$I$38-1,0)),IF(AND($L$37=0,$P$34=0),"",$L$37-1),IF($R$17="Distrato",$E344,0))),0,YEARFRAC(MAX($P$34*($B344+IF($R$17="Distrato",$I$38-1,0)),IF(AND($L$37=0,$P$34=0),"",$L$37-1),IF($R$17="Distrato",$E344,0)),MIN(AG$38,$D$19),$P$20))-SUM($P344:AF344)</f>
        <v>#VALUE!</v>
      </c>
      <c r="AH344" s="446" t="e">
        <f>IF(OR($B344="",MIN(AH$38,$D$19)&lt;MAX($P$34*($B344+IF($R$17="Distrato",$I$38-1,0)),IF(AND($L$37=0,$P$34=0),"",$L$37-1),IF($R$17="Distrato",$E344,0))),0,YEARFRAC(MAX($P$34*($B344+IF($R$17="Distrato",$I$38-1,0)),IF(AND($L$37=0,$P$34=0),"",$L$37-1),IF($R$17="Distrato",$E344,0)),MIN(AH$38,$D$19),$P$20))-SUM($P344:AG344)</f>
        <v>#VALUE!</v>
      </c>
      <c r="AI344" s="446" t="e">
        <f>IF(OR($B344="",MIN(AI$38,$D$19)&lt;MAX($P$34*($B344+IF($R$17="Distrato",$I$38-1,0)),IF(AND($L$37=0,$P$34=0),"",$L$37-1),IF($R$17="Distrato",$E344,0))),0,YEARFRAC(MAX($P$34*($B344+IF($R$17="Distrato",$I$38-1,0)),IF(AND($L$37=0,$P$34=0),"",$L$37-1),IF($R$17="Distrato",$E344,0)),MIN(AI$38,$D$19),$P$20))-SUM($P344:AH344)</f>
        <v>#VALUE!</v>
      </c>
      <c r="AJ344" s="446" t="e">
        <f>IF(OR($B344="",MIN(AJ$38,$D$19)&lt;MAX($P$34*($B344+IF($R$17="Distrato",$I$38-1,0)),IF(AND($L$37=0,$P$34=0),"",$L$37-1),IF($R$17="Distrato",$E344,0))),0,YEARFRAC(MAX($P$34*($B344+IF($R$17="Distrato",$I$38-1,0)),IF(AND($L$37=0,$P$34=0),"",$L$37-1),IF($R$17="Distrato",$E344,0)),MIN(AJ$38,$D$19),$P$20))-SUM($P344:AI344)</f>
        <v>#VALUE!</v>
      </c>
      <c r="AK344" s="446" t="e">
        <f>IF(OR($B344="",MIN(AK$38,$D$19)&lt;MAX($P$34*($B344+IF($R$17="Distrato",$I$38-1,0)),IF(AND($L$37=0,$P$34=0),"",$L$37-1),IF($R$17="Distrato",$E344,0))),0,YEARFRAC(MAX($P$34*($B344+IF($R$17="Distrato",$I$38-1,0)),IF(AND($L$37=0,$P$34=0),"",$L$37-1),IF($R$17="Distrato",$E344,0)),MIN(AK$38,$D$19),$P$20))-SUM($P344:AJ344)</f>
        <v>#VALUE!</v>
      </c>
      <c r="AL344" s="446" t="e">
        <f>IF(OR($B344="",MIN(AL$38,$D$19)&lt;MAX($P$34*($B344+IF($R$17="Distrato",$I$38-1,0)),IF(AND($L$37=0,$P$34=0),"",$L$37-1),IF($R$17="Distrato",$E344,0))),0,YEARFRAC(MAX($P$34*($B344+IF($R$17="Distrato",$I$38-1,0)),IF(AND($L$37=0,$P$34=0),"",$L$37-1),IF($R$17="Distrato",$E344,0)),MIN(AL$38,$D$19),$P$20))-SUM($P344:AK344)</f>
        <v>#VALUE!</v>
      </c>
      <c r="AM344" s="446" t="e">
        <f>IF(OR($B344="",MIN(AM$38,$D$19)&lt;MAX($P$34*($B344+IF($R$17="Distrato",$I$38-1,0)),IF(AND($L$37=0,$P$34=0),"",$L$37-1),IF($R$17="Distrato",$E344,0))),0,YEARFRAC(MAX($P$34*($B344+IF($R$17="Distrato",$I$38-1,0)),IF(AND($L$37=0,$P$34=0),"",$L$37-1),IF($R$17="Distrato",$E344,0)),MIN(AM$38,$D$19),$P$20))-SUM($P344:AL344)</f>
        <v>#VALUE!</v>
      </c>
      <c r="AN344" s="446" t="e">
        <f>IF(OR($B344="",MIN(AN$38,$D$19)&lt;MAX($P$34*($B344+IF($R$17="Distrato",$I$38-1,0)),IF(AND($L$37=0,$P$34=0),"",$L$37-1),IF($R$17="Distrato",$E344,0))),0,YEARFRAC(MAX($P$34*($B344+IF($R$17="Distrato",$I$38-1,0)),IF(AND($L$37=0,$P$34=0),"",$L$37-1),IF($R$17="Distrato",$E344,0)),MIN(AN$38,$D$19),$P$20))-SUM($P344:AM344)</f>
        <v>#VALUE!</v>
      </c>
      <c r="AO344" s="446" t="e">
        <f>IF(OR($B344="",MIN(AO$38,$D$19)&lt;MAX($P$34*($B344+IF($R$17="Distrato",$I$38-1,0)),IF(AND($L$37=0,$P$34=0),"",$L$37-1),IF($R$17="Distrato",$E344,0))),0,YEARFRAC(MAX($P$34*($B344+IF($R$17="Distrato",$I$38-1,0)),IF(AND($L$37=0,$P$34=0),"",$L$37-1),IF($R$17="Distrato",$E344,0)),MIN(AO$38,$D$19),$P$20))-SUM($P344:AN344)</f>
        <v>#VALUE!</v>
      </c>
      <c r="AP344" s="446" t="e">
        <f>IF(OR($B344="",MIN(AP$38,$D$19)&lt;MAX($P$34*($B344+IF($R$17="Distrato",$I$38-1,0)),IF(AND($L$37=0,$P$34=0),"",$L$37-1),IF($R$17="Distrato",$E344,0))),0,YEARFRAC(MAX($P$34*($B344+IF($R$17="Distrato",$I$38-1,0)),IF(AND($L$37=0,$P$34=0),"",$L$37-1),IF($R$17="Distrato",$E344,0)),MIN(AP$38,$D$19),$P$20))-SUM($P344:AO344)</f>
        <v>#VALUE!</v>
      </c>
      <c r="AQ344" s="446" t="e">
        <f>IF(OR($B344="",MIN(AQ$38,$D$19)&lt;MAX($P$34*($B344+IF($R$17="Distrato",$I$38-1,0)),IF(AND($L$37=0,$P$34=0),"",$L$37-1),IF($R$17="Distrato",$E344,0))),0,YEARFRAC(MAX($P$34*($B344+IF($R$17="Distrato",$I$38-1,0)),IF(AND($L$37=0,$P$34=0),"",$L$37-1),IF($R$17="Distrato",$E344,0)),MIN(AQ$38,$D$19),$P$20))-SUM($P344:AP344)</f>
        <v>#VALUE!</v>
      </c>
      <c r="AR344" s="446" t="e">
        <f>IF(OR($B344="",MIN(AR$38,$D$19)&lt;MAX($P$34*($B344+IF($R$17="Distrato",$I$38-1,0)),IF(AND($L$37=0,$P$34=0),"",$L$37-1),IF($R$17="Distrato",$E344,0))),0,YEARFRAC(MAX($P$34*($B344+IF($R$17="Distrato",$I$38-1,0)),IF(AND($L$37=0,$P$34=0),"",$L$37-1),IF($R$17="Distrato",$E344,0)),MIN(AR$38,$D$19),$P$20))-SUM($P344:AQ344)</f>
        <v>#VALUE!</v>
      </c>
      <c r="AS344" s="446" t="e">
        <f>IF(OR($B344="",MIN(AS$38,$D$19)&lt;MAX($P$34*($B344+IF($R$17="Distrato",$I$38-1,0)),IF(AND($L$37=0,$P$34=0),"",$L$37-1),IF($R$17="Distrato",$E344,0))),0,YEARFRAC(MAX($P$34*($B344+IF($R$17="Distrato",$I$38-1,0)),IF(AND($L$37=0,$P$34=0),"",$L$37-1),IF($R$17="Distrato",$E344,0)),MIN(AS$38,$D$19),$P$20))-SUM($P344:AR344)</f>
        <v>#VALUE!</v>
      </c>
      <c r="AT344" s="446" t="e">
        <f>IF(OR($B344="",MIN(AT$38,$D$19)&lt;MAX($P$34*($B344+IF($R$17="Distrato",$I$38-1,0)),IF(AND($L$37=0,$P$34=0),"",$L$37-1),IF($R$17="Distrato",$E344,0))),0,YEARFRAC(MAX($P$34*($B344+IF($R$17="Distrato",$I$38-1,0)),IF(AND($L$37=0,$P$34=0),"",$L$37-1),IF($R$17="Distrato",$E344,0)),MIN(AT$38,$D$19),$P$20))-SUM($P344:AS344)</f>
        <v>#VALUE!</v>
      </c>
      <c r="AU344" s="446" t="e">
        <f>IF(OR($B344="",MIN(AU$38,$D$19)&lt;MAX($P$34*($B344+IF($R$17="Distrato",$I$38-1,0)),IF(AND($L$37=0,$P$34=0),"",$L$37-1),IF($R$17="Distrato",$E344,0))),0,YEARFRAC(MAX($P$34*($B344+IF($R$17="Distrato",$I$38-1,0)),IF(AND($L$37=0,$P$34=0),"",$L$37-1),IF($R$17="Distrato",$E344,0)),MIN(AU$38,$D$19),$P$20))-SUM($P344:AT344)</f>
        <v>#VALUE!</v>
      </c>
      <c r="AV344" s="446" t="e">
        <f>IF(OR($B344="",MIN(AV$38,$D$19)&lt;MAX($P$34*($B344+IF($R$17="Distrato",$I$38-1,0)),IF(AND($L$37=0,$P$34=0),"",$L$37-1),IF($R$17="Distrato",$E344,0))),0,YEARFRAC(MAX($P$34*($B344+IF($R$17="Distrato",$I$38-1,0)),IF(AND($L$37=0,$P$34=0),"",$L$37-1),IF($R$17="Distrato",$E344,0)),MIN(AV$38,$D$19),$P$20))-SUM($P344:AU344)</f>
        <v>#VALUE!</v>
      </c>
      <c r="AW344" s="446" t="e">
        <f>IF(OR($B344="",MIN(AW$38,$D$19)&lt;MAX($P$34*($B344+IF($R$17="Distrato",$I$38-1,0)),IF(AND($L$37=0,$P$34=0),"",$L$37-1),IF($R$17="Distrato",$E344,0))),0,YEARFRAC(MAX($P$34*($B344+IF($R$17="Distrato",$I$38-1,0)),IF(AND($L$37=0,$P$34=0),"",$L$37-1),IF($R$17="Distrato",$E344,0)),MIN(AW$38,$D$19),$P$20))-SUM($P344:AV344)</f>
        <v>#VALUE!</v>
      </c>
      <c r="AX344" s="446" t="e">
        <f>IF(OR($B344="",MIN(AX$38,$D$19)&lt;MAX($P$34*($B344+IF($R$17="Distrato",$I$38-1,0)),IF(AND($L$37=0,$P$34=0),"",$L$37-1),IF($R$17="Distrato",$E344,0))),0,YEARFRAC(MAX($P$34*($B344+IF($R$17="Distrato",$I$38-1,0)),IF(AND($L$37=0,$P$34=0),"",$L$37-1),IF($R$17="Distrato",$E344,0)),MIN(AX$38,$D$19),$P$20))-SUM($P344:AW344)</f>
        <v>#VALUE!</v>
      </c>
      <c r="AY344" s="446" t="e">
        <f>IF(OR($B344="",MIN(AY$38,$D$19)&lt;MAX($P$34*($B344+IF($R$17="Distrato",$I$38-1,0)),IF(AND($L$37=0,$P$34=0),"",$L$37-1),IF($R$17="Distrato",$E344,0))),0,YEARFRAC(MAX($P$34*($B344+IF($R$17="Distrato",$I$38-1,0)),IF(AND($L$37=0,$P$34=0),"",$L$37-1),IF($R$17="Distrato",$E344,0)),MIN(AY$38,$D$19),$P$20))-SUM($P344:AX344)</f>
        <v>#VALUE!</v>
      </c>
      <c r="AZ344" s="446" t="e">
        <f>IF(OR($B344="",MIN(AZ$38,$D$19)&lt;MAX($P$34*($B344+IF($R$17="Distrato",$I$38-1,0)),IF(AND($L$37=0,$P$34=0),"",$L$37-1),IF($R$17="Distrato",$E344,0))),0,YEARFRAC(MAX($P$34*($B344+IF($R$17="Distrato",$I$38-1,0)),IF(AND($L$37=0,$P$34=0),"",$L$37-1),IF($R$17="Distrato",$E344,0)),MIN(AZ$38,$D$19),$P$20))-SUM($P344:AY344)</f>
        <v>#VALUE!</v>
      </c>
      <c r="BA344" s="446" t="e">
        <f>IF(OR($B344="",MIN(BA$38,$D$19)&lt;MAX($P$34*($B344+IF($R$17="Distrato",$I$38-1,0)),IF(AND($L$37=0,$P$34=0),"",$L$37-1),IF($R$17="Distrato",$E344,0))),0,YEARFRAC(MAX($P$34*($B344+IF($R$17="Distrato",$I$38-1,0)),IF(AND($L$37=0,$P$34=0),"",$L$37-1),IF($R$17="Distrato",$E344,0)),MIN(BA$38,$D$19),$P$20))-SUM($P344:AZ344)</f>
        <v>#VALUE!</v>
      </c>
      <c r="BB344" s="447"/>
      <c r="BF344" s="446">
        <f t="shared" si="54"/>
        <v>0</v>
      </c>
      <c r="BG344" s="446">
        <f>IF($E344=0,0,IF(MIN(BG$38,$E344)&lt;MAX($P$34*($B344+$I$38-1),IF(AND($L$37=0,$P$34=0),"",$L$37-1)),0,YEARFRAC(MAX($P$34*($B344+$I$38-1),IF(AND($L$37=0,$P$34=0),"",$L$37-1)),MIN(BG$38,$E344),$P$20))-SUM($BF344:BF344))</f>
        <v>0</v>
      </c>
      <c r="BH344" s="446">
        <f>IF($E344=0,0,IF(MIN(BH$38,$E344)&lt;MAX($P$34*($B344+$I$38-1),IF(AND($L$37=0,$P$34=0),"",$L$37-1)),0,YEARFRAC(MAX($P$34*($B344+$I$38-1),IF(AND($L$37=0,$P$34=0),"",$L$37-1)),MIN(BH$38,$E344),$P$20))-SUM($BF344:BG344))</f>
        <v>0</v>
      </c>
      <c r="BI344" s="446">
        <f>IF($E344=0,0,IF(MIN(BI$38,$E344)&lt;MAX($P$34*($B344+$I$38-1),IF(AND($L$37=0,$P$34=0),"",$L$37-1)),0,YEARFRAC(MAX($P$34*($B344+$I$38-1),IF(AND($L$37=0,$P$34=0),"",$L$37-1)),MIN(BI$38,$E344),$P$20))-SUM($BF344:BH344))</f>
        <v>0</v>
      </c>
      <c r="BJ344" s="446">
        <f>IF($E344=0,0,IF(MIN(BJ$38,$E344)&lt;MAX($P$34*($B344+$I$38-1),IF(AND($L$37=0,$P$34=0),"",$L$37-1)),0,YEARFRAC(MAX($P$34*($B344+$I$38-1),IF(AND($L$37=0,$P$34=0),"",$L$37-1)),MIN(BJ$38,$E344),$P$20))-SUM($BF344:BI344))</f>
        <v>0</v>
      </c>
      <c r="BK344" s="446">
        <f>IF($E344=0,0,IF(MIN(BK$38,$E344)&lt;MAX($P$34*($B344+$I$38-1),IF(AND($L$37=0,$P$34=0),"",$L$37-1)),0,YEARFRAC(MAX($P$34*($B344+$I$38-1),IF(AND($L$37=0,$P$34=0),"",$L$37-1)),MIN(BK$38,$E344),$P$20))-SUM($BF344:BJ344))</f>
        <v>0</v>
      </c>
      <c r="BL344" s="446">
        <f>IF($E344=0,0,IF(MIN(BL$38,$E344)&lt;MAX($P$34*($B344+$I$38-1),IF(AND($L$37=0,$P$34=0),"",$L$37-1)),0,YEARFRAC(MAX($P$34*($B344+$I$38-1),IF(AND($L$37=0,$P$34=0),"",$L$37-1)),MIN(BL$38,$E344),$P$20))-SUM($BF344:BK344))</f>
        <v>0</v>
      </c>
      <c r="BM344" s="446">
        <f>IF($E344=0,0,IF(MIN(BM$38,$E344)&lt;MAX($P$34*($B344+$I$38-1),IF(AND($L$37=0,$P$34=0),"",$L$37-1)),0,YEARFRAC(MAX($P$34*($B344+$I$38-1),IF(AND($L$37=0,$P$34=0),"",$L$37-1)),MIN(BM$38,$E344),$P$20))-SUM($BF344:BL344))</f>
        <v>0</v>
      </c>
      <c r="BN344" s="446">
        <f>IF($E344=0,0,IF(MIN(BN$38,$E344)&lt;MAX($P$34*($B344+$I$38-1),IF(AND($L$37=0,$P$34=0),"",$L$37-1)),0,YEARFRAC(MAX($P$34*($B344+$I$38-1),IF(AND($L$37=0,$P$34=0),"",$L$37-1)),MIN(BN$38,$E344),$P$20))-SUM($BF344:BM344))</f>
        <v>0</v>
      </c>
      <c r="BO344" s="446">
        <f>IF($E344=0,0,IF(MIN(BO$38,$E344)&lt;MAX($P$34*($B344+$I$38-1),IF(AND($L$37=0,$P$34=0),"",$L$37-1)),0,YEARFRAC(MAX($P$34*($B344+$I$38-1),IF(AND($L$37=0,$P$34=0),"",$L$37-1)),MIN(BO$38,$E344),$P$20))-SUM($BF344:BN344))</f>
        <v>0</v>
      </c>
      <c r="BP344" s="446">
        <f>IF($E344=0,0,IF(MIN(BP$38,$E344)&lt;MAX($P$34*($B344+$I$38-1),IF(AND($L$37=0,$P$34=0),"",$L$37-1)),0,YEARFRAC(MAX($P$34*($B344+$I$38-1),IF(AND($L$37=0,$P$34=0),"",$L$37-1)),MIN(BP$38,$E344),$P$20))-SUM($BF344:BO344))</f>
        <v>0</v>
      </c>
      <c r="BQ344" s="446">
        <f>IF($E344=0,0,IF(MIN(BQ$38,$E344)&lt;MAX($P$34*($B344+$I$38-1),IF(AND($L$37=0,$P$34=0),"",$L$37-1)),0,YEARFRAC(MAX($P$34*($B344+$I$38-1),IF(AND($L$37=0,$P$34=0),"",$L$37-1)),MIN(BQ$38,$E344),$P$20))-SUM($BF344:BP344))</f>
        <v>0</v>
      </c>
      <c r="BR344" s="446">
        <f>IF($E344=0,0,IF(MIN(BR$38,$E344)&lt;MAX($P$34*($B344+$I$38-1),IF(AND($L$37=0,$P$34=0),"",$L$37-1)),0,YEARFRAC(MAX($P$34*($B344+$I$38-1),IF(AND($L$37=0,$P$34=0),"",$L$37-1)),MIN(BR$38,$E344),$P$20))-SUM($BF344:BQ344))</f>
        <v>0</v>
      </c>
      <c r="BS344" s="446">
        <f>IF($E344=0,0,IF(MIN(BS$38,$E344)&lt;MAX($P$34*($B344+$I$38-1),IF(AND($L$37=0,$P$34=0),"",$L$37-1)),0,YEARFRAC(MAX($P$34*($B344+$I$38-1),IF(AND($L$37=0,$P$34=0),"",$L$37-1)),MIN(BS$38,$E344),$P$20))-SUM($BF344:BR344))</f>
        <v>0</v>
      </c>
      <c r="BT344" s="446">
        <f>IF($E344=0,0,IF(MIN(BT$38,$E344)&lt;MAX($P$34*($B344+$I$38-1),IF(AND($L$37=0,$P$34=0),"",$L$37-1)),0,YEARFRAC(MAX($P$34*($B344+$I$38-1),IF(AND($L$37=0,$P$34=0),"",$L$37-1)),MIN(BT$38,$E344),$P$20))-SUM($BF344:BS344))</f>
        <v>0</v>
      </c>
      <c r="BU344" s="446">
        <f>IF($E344=0,0,IF(MIN(BU$38,$E344)&lt;MAX($P$34*($B344+$I$38-1),IF(AND($L$37=0,$P$34=0),"",$L$37-1)),0,YEARFRAC(MAX($P$34*($B344+$I$38-1),IF(AND($L$37=0,$P$34=0),"",$L$37-1)),MIN(BU$38,$E344),$P$20))-SUM($BF344:BT344))</f>
        <v>0</v>
      </c>
      <c r="BV344" s="446">
        <f>IF($E344=0,0,IF(MIN(BV$38,$E344)&lt;MAX($P$34*($B344+$I$38-1),IF(AND($L$37=0,$P$34=0),"",$L$37-1)),0,YEARFRAC(MAX($P$34*($B344+$I$38-1),IF(AND($L$37=0,$P$34=0),"",$L$37-1)),MIN(BV$38,$E344),$P$20))-SUM($BF344:BU344))</f>
        <v>0</v>
      </c>
      <c r="BW344" s="446">
        <f>IF($E344=0,0,IF(MIN(BW$38,$E344)&lt;MAX($P$34*($B344+$I$38-1),IF(AND($L$37=0,$P$34=0),"",$L$37-1)),0,YEARFRAC(MAX($P$34*($B344+$I$38-1),IF(AND($L$37=0,$P$34=0),"",$L$37-1)),MIN(BW$38,$E344),$P$20))-SUM($BF344:BV344))</f>
        <v>0</v>
      </c>
      <c r="BX344" s="446">
        <f>IF($E344=0,0,IF(MIN(BX$38,$E344)&lt;MAX($P$34*($B344+$I$38-1),IF(AND($L$37=0,$P$34=0),"",$L$37-1)),0,YEARFRAC(MAX($P$34*($B344+$I$38-1),IF(AND($L$37=0,$P$34=0),"",$L$37-1)),MIN(BX$38,$E344),$P$20))-SUM($BF344:BW344))</f>
        <v>0</v>
      </c>
      <c r="BY344" s="446">
        <f>IF($E344=0,0,IF(MIN(BY$38,$E344)&lt;MAX($P$34*($B344+$I$38-1),IF(AND($L$37=0,$P$34=0),"",$L$37-1)),0,YEARFRAC(MAX($P$34*($B344+$I$38-1),IF(AND($L$37=0,$P$34=0),"",$L$37-1)),MIN(BY$38,$E344),$P$20))-SUM($BF344:BX344))</f>
        <v>0</v>
      </c>
      <c r="BZ344" s="446">
        <f>IF($E344=0,0,IF(MIN(BZ$38,$E344)&lt;MAX($P$34*($B344+$I$38-1),IF(AND($L$37=0,$P$34=0),"",$L$37-1)),0,YEARFRAC(MAX($P$34*($B344+$I$38-1),IF(AND($L$37=0,$P$34=0),"",$L$37-1)),MIN(BZ$38,$E344),$P$20))-SUM($BF344:BY344))</f>
        <v>0</v>
      </c>
      <c r="CA344" s="446">
        <f>IF($E344=0,0,IF(MIN(CA$38,$E344)&lt;MAX($P$34*($B344+$I$38-1),IF(AND($L$37=0,$P$34=0),"",$L$37-1)),0,YEARFRAC(MAX($P$34*($B344+$I$38-1),IF(AND($L$37=0,$P$34=0),"",$L$37-1)),MIN(CA$38,$E344),$P$20))-SUM($BF344:BZ344))</f>
        <v>0</v>
      </c>
      <c r="CB344" s="446">
        <f>IF($E344=0,0,IF(MIN(CB$38,$E344)&lt;MAX($P$34*($B344+$I$38-1),IF(AND($L$37=0,$P$34=0),"",$L$37-1)),0,YEARFRAC(MAX($P$34*($B344+$I$38-1),IF(AND($L$37=0,$P$34=0),"",$L$37-1)),MIN(CB$38,$E344),$P$20))-SUM($BF344:CA344))</f>
        <v>0</v>
      </c>
      <c r="CC344" s="446">
        <f>IF($E344=0,0,IF(MIN(CC$38,$E344)&lt;MAX($P$34*($B344+$I$38-1),IF(AND($L$37=0,$P$34=0),"",$L$37-1)),0,YEARFRAC(MAX($P$34*($B344+$I$38-1),IF(AND($L$37=0,$P$34=0),"",$L$37-1)),MIN(CC$38,$E344),$P$20))-SUM($BF344:CB344))</f>
        <v>0</v>
      </c>
      <c r="CD344" s="446">
        <f>IF($E344=0,0,IF(MIN(CD$38,$E344)&lt;MAX($P$34*($B344+$I$38-1),IF(AND($L$37=0,$P$34=0),"",$L$37-1)),0,YEARFRAC(MAX($P$34*($B344+$I$38-1),IF(AND($L$37=0,$P$34=0),"",$L$37-1)),MIN(CD$38,$E344),$P$20))-SUM($BF344:CC344))</f>
        <v>0</v>
      </c>
      <c r="CE344" s="446">
        <f>IF($E344=0,0,IF(MIN(CE$38,$E344)&lt;MAX($P$34*($B344+$I$38-1),IF(AND($L$37=0,$P$34=0),"",$L$37-1)),0,YEARFRAC(MAX($P$34*($B344+$I$38-1),IF(AND($L$37=0,$P$34=0),"",$L$37-1)),MIN(CE$38,$E344),$P$20))-SUM($BF344:CD344))</f>
        <v>0</v>
      </c>
      <c r="CF344" s="446">
        <f>IF($E344=0,0,IF(MIN(CF$38,$E344)&lt;MAX($P$34*($B344+$I$38-1),IF(AND($L$37=0,$P$34=0),"",$L$37-1)),0,YEARFRAC(MAX($P$34*($B344+$I$38-1),IF(AND($L$37=0,$P$34=0),"",$L$37-1)),MIN(CF$38,$E344),$P$20))-SUM($BF344:CE344))</f>
        <v>0</v>
      </c>
      <c r="CG344" s="446">
        <f>IF($E344=0,0,IF(MIN(CG$38,$E344)&lt;MAX($P$34*($B344+$I$38-1),IF(AND($L$37=0,$P$34=0),"",$L$37-1)),0,YEARFRAC(MAX($P$34*($B344+$I$38-1),IF(AND($L$37=0,$P$34=0),"",$L$37-1)),MIN(CG$38,$E344),$P$20))-SUM($BF344:CF344))</f>
        <v>0</v>
      </c>
      <c r="CH344" s="446">
        <f>IF($E344=0,0,IF(MIN(CH$38,$E344)&lt;MAX($P$34*($B344+$I$38-1),IF(AND($L$37=0,$P$34=0),"",$L$37-1)),0,YEARFRAC(MAX($P$34*($B344+$I$38-1),IF(AND($L$37=0,$P$34=0),"",$L$37-1)),MIN(CH$38,$E344),$P$20))-SUM($BF344:CG344))</f>
        <v>0</v>
      </c>
      <c r="CI344" s="446">
        <f>IF($E344=0,0,IF(MIN(CI$38,$E344)&lt;MAX($P$34*($B344+$I$38-1),IF(AND($L$37=0,$P$34=0),"",$L$37-1)),0,YEARFRAC(MAX($P$34*($B344+$I$38-1),IF(AND($L$37=0,$P$34=0),"",$L$37-1)),MIN(CI$38,$E344),$P$20))-SUM($BF344:CH344))</f>
        <v>0</v>
      </c>
      <c r="CJ344" s="446">
        <f>IF($E344=0,0,IF(MIN(CJ$38,$E344)&lt;MAX($P$34*($B344+$I$38-1),IF(AND($L$37=0,$P$34=0),"",$L$37-1)),0,YEARFRAC(MAX($P$34*($B344+$I$38-1),IF(AND($L$37=0,$P$34=0),"",$L$37-1)),MIN(CJ$38,$E344),$P$20))-SUM($BF344:CI344))</f>
        <v>0</v>
      </c>
      <c r="CK344" s="446">
        <f>IF($E344=0,0,IF(MIN(CK$38,$E344)&lt;MAX($P$34*($B344+$I$38-1),IF(AND($L$37=0,$P$34=0),"",$L$37-1)),0,YEARFRAC(MAX($P$34*($B344+$I$38-1),IF(AND($L$37=0,$P$34=0),"",$L$37-1)),MIN(CK$38,$E344),$P$20))-SUM($BF344:CJ344))</f>
        <v>0</v>
      </c>
      <c r="CL344" s="446">
        <f>IF($E344=0,0,IF(MIN(CL$38,$E344)&lt;MAX($P$34*($B344+$I$38-1),IF(AND($L$37=0,$P$34=0),"",$L$37-1)),0,YEARFRAC(MAX($P$34*($B344+$I$38-1),IF(AND($L$37=0,$P$34=0),"",$L$37-1)),MIN(CL$38,$E344),$P$20))-SUM($BF344:CK344))</f>
        <v>0</v>
      </c>
      <c r="CM344" s="446">
        <f>IF($E344=0,0,IF(MIN(CM$38,$E344)&lt;MAX($P$34*($B344+$I$38-1),IF(AND($L$37=0,$P$34=0),"",$L$37-1)),0,YEARFRAC(MAX($P$34*($B344+$I$38-1),IF(AND($L$37=0,$P$34=0),"",$L$37-1)),MIN(CM$38,$E344),$P$20))-SUM($BF344:CL344))</f>
        <v>0</v>
      </c>
      <c r="CN344" s="446">
        <f>IF($E344=0,0,IF(MIN(CN$38,$E344)&lt;MAX($P$34*($B344+$I$38-1),IF(AND($L$37=0,$P$34=0),"",$L$37-1)),0,YEARFRAC(MAX($P$34*($B344+$I$38-1),IF(AND($L$37=0,$P$34=0),"",$L$37-1)),MIN(CN$38,$E344),$P$20))-SUM($BF344:CM344))</f>
        <v>0</v>
      </c>
      <c r="CO344" s="446">
        <f>IF($E344=0,0,IF(MIN(CO$38,$E344)&lt;MAX($P$34*($B344+$I$38-1),IF(AND($L$37=0,$P$34=0),"",$L$37-1)),0,YEARFRAC(MAX($P$34*($B344+$I$38-1),IF(AND($L$37=0,$P$34=0),"",$L$37-1)),MIN(CO$38,$E344),$P$20))-SUM($BF344:CN344))</f>
        <v>0</v>
      </c>
      <c r="CP344" s="446">
        <f>IF($E344=0,0,IF(MIN(CP$38,$E344)&lt;MAX($P$34*($B344+$I$38-1),IF(AND($L$37=0,$P$34=0),"",$L$37-1)),0,YEARFRAC(MAX($P$34*($B344+$I$38-1),IF(AND($L$37=0,$P$34=0),"",$L$37-1)),MIN(CP$38,$E344),$P$20))-SUM($BF344:CO344))</f>
        <v>0</v>
      </c>
      <c r="CQ344" s="446">
        <f>IF($E344=0,0,IF(MIN(CQ$38,$E344)&lt;MAX($P$34*($B344+$I$38-1),IF(AND($L$37=0,$P$34=0),"",$L$37-1)),0,YEARFRAC(MAX($P$34*($B344+$I$38-1),IF(AND($L$37=0,$P$34=0),"",$L$37-1)),MIN(CQ$38,$E344),$P$20))-SUM($BF344:CP344))</f>
        <v>0</v>
      </c>
    </row>
    <row r="345" spans="1:95" s="446" customFormat="1" ht="11.25" hidden="1" customHeight="1" x14ac:dyDescent="0.2">
      <c r="A345" s="152"/>
      <c r="B345" s="153" t="str">
        <f t="shared" si="59"/>
        <v/>
      </c>
      <c r="C345" s="29" t="str">
        <f>IF(B345="","",IF($L$35="SELIC - TRIBUTOS",VLOOKUP(DATE(YEAR($D$19),MONTH($D$19)-1,1),ÍNDICES!$A:$DE,HLOOKUP($BL$25,ÍNDICES!$B$3:$T$4,2)+11)-VLOOKUP(B345,ÍNDICES!$A:$DE,HLOOKUP($BL$25,ÍNDICES!$B$3:$T$4,2)+11)+1%,IF(C$38=$W$26,$J$35,IF(ISERROR(IF(B345&gt;$D$19,1,VLOOKUP(DATE(YEAR(B345),MONTH(B345)+IF($C$35=$S$23,1,0),1),ÍNDICES!$A:$DE,$Z$35+1))),"",IF(B345&gt;$D$19,1,VLOOKUP(DATE(YEAR(B345),MONTH(B345)+IF($C$35=$S$23,1,0),1),ÍNDICES!$A:$DE,$Z$35+1))))))</f>
        <v/>
      </c>
      <c r="D345" s="154" t="str">
        <f>IF(ISERROR(IF(OR($D$38=$Y$27,$B345=""),"",VLOOKUP(B345,ÍNDICES!A:DE,AF$35+1))),"",IF(OR($D$38=$Y$27,$B345=""),"",VLOOKUP(B345,ÍNDICES!A:DE,AF$35+1)))</f>
        <v/>
      </c>
      <c r="E345" s="153"/>
      <c r="F345" s="29" t="str">
        <f>IF(E345="","",IF($L$35="SELIC - TRIBUTOS",VLOOKUP(DATE(YEAR($D$19),MONTH($D$19)-1,1),ÍNDICES!$A:$DE,HLOOKUP($BL$25,ÍNDICES!$B$3:$T$4,2)+11)-VLOOKUP(E345,ÍNDICES!$A:$DE,HLOOKUP($BL$25,ÍNDICES!$B$3:$T$4,2)+11)+1%,IF(F$38=$W$26,$J$35,IF(ISERROR(IF(E345&gt;$D$19,1,VLOOKUP(DATE(YEAR(E345),MONTH(E345)+IF($C$35=$S$23,1,0),1),ÍNDICES!$A:$DE,$Z$35+1))),"",IF(E345&gt;$D$19,1,VLOOKUP(DATE(YEAR(E345),MONTH(E345)+IF($C$35=$S$23,1,0),1),ÍNDICES!$A:$DE,$Z$35+1))))))</f>
        <v/>
      </c>
      <c r="G345" s="155"/>
      <c r="H345" s="156" t="str">
        <f t="shared" si="55"/>
        <v/>
      </c>
      <c r="I345" s="29" t="str">
        <f t="shared" si="49"/>
        <v/>
      </c>
      <c r="J345" s="5">
        <f t="shared" si="50"/>
        <v>0</v>
      </c>
      <c r="K345" s="20">
        <f t="shared" ca="1" si="51"/>
        <v>0</v>
      </c>
      <c r="L345" s="5">
        <f t="shared" ca="1" si="52"/>
        <v>0</v>
      </c>
      <c r="M345" s="64">
        <f t="shared" si="56"/>
        <v>0</v>
      </c>
      <c r="N345" s="61">
        <f t="shared" ca="1" si="57"/>
        <v>0</v>
      </c>
      <c r="O345" s="5">
        <f t="shared" ca="1" si="58"/>
        <v>0</v>
      </c>
      <c r="P345" s="446" t="e">
        <f t="shared" si="53"/>
        <v>#VALUE!</v>
      </c>
      <c r="Q345" s="446" t="e">
        <f>IF(OR($B345="",MIN(Q$38,$D$19)&lt;MAX($P$34*($B345+IF($R$17="Distrato",$I$38-1,0)),IF(AND($L$37=0,$P$34=0),"",$L$37-1),IF($R$17="Distrato",$E345,0))),0,YEARFRAC(MAX($P$34*($B345+IF($R$17="Distrato",$I$38-1,0)),IF(AND($L$37=0,$P$34=0),"",$L$37-1),IF($R$17="Distrato",$E345,0)),MIN(Q$38,$D$19),$P$20))-SUM($P345:P345)</f>
        <v>#VALUE!</v>
      </c>
      <c r="R345" s="446" t="e">
        <f>IF(OR($B345="",MIN(R$38,$D$19)&lt;MAX($P$34*($B345+IF($R$17="Distrato",$I$38-1,0)),IF(AND($L$37=0,$P$34=0),"",$L$37-1),IF($R$17="Distrato",$E345,0))),0,YEARFRAC(MAX($P$34*($B345+IF($R$17="Distrato",$I$38-1,0)),IF(AND($L$37=0,$P$34=0),"",$L$37-1),IF($R$17="Distrato",$E345,0)),MIN(R$38,$D$19),$P$20))-SUM($P345:Q345)</f>
        <v>#VALUE!</v>
      </c>
      <c r="S345" s="446" t="e">
        <f>IF(OR($B345="",MIN(S$38,$D$19)&lt;MAX($P$34*($B345+IF($R$17="Distrato",$I$38-1,0)),IF(AND($L$37=0,$P$34=0),"",$L$37-1),IF($R$17="Distrato",$E345,0))),0,YEARFRAC(MAX($P$34*($B345+IF($R$17="Distrato",$I$38-1,0)),IF(AND($L$37=0,$P$34=0),"",$L$37-1),IF($R$17="Distrato",$E345,0)),MIN(S$38,$D$19),$P$20))-SUM($P345:R345)</f>
        <v>#VALUE!</v>
      </c>
      <c r="T345" s="446" t="e">
        <f>IF(OR($B345="",MIN(T$38,$D$19)&lt;MAX($P$34*($B345+IF($R$17="Distrato",$I$38-1,0)),IF(AND($L$37=0,$P$34=0),"",$L$37-1),IF($R$17="Distrato",$E345,0))),0,YEARFRAC(MAX($P$34*($B345+IF($R$17="Distrato",$I$38-1,0)),IF(AND($L$37=0,$P$34=0),"",$L$37-1),IF($R$17="Distrato",$E345,0)),MIN(T$38,$D$19),$P$20))-SUM($P345:S345)</f>
        <v>#VALUE!</v>
      </c>
      <c r="U345" s="446" t="e">
        <f>IF(OR($B345="",MIN(U$38,$D$19)&lt;MAX($P$34*($B345+IF($R$17="Distrato",$I$38-1,0)),IF(AND($L$37=0,$P$34=0),"",$L$37-1),IF($R$17="Distrato",$E345,0))),0,YEARFRAC(MAX($P$34*($B345+IF($R$17="Distrato",$I$38-1,0)),IF(AND($L$37=0,$P$34=0),"",$L$37-1),IF($R$17="Distrato",$E345,0)),MIN(U$38,$D$19),$P$20))-SUM($P345:T345)</f>
        <v>#VALUE!</v>
      </c>
      <c r="V345" s="446" t="e">
        <f>IF(OR($B345="",MIN(V$38,$D$19)&lt;MAX($P$34*($B345+IF($R$17="Distrato",$I$38-1,0)),IF(AND($L$37=0,$P$34=0),"",$L$37-1),IF($R$17="Distrato",$E345,0))),0,YEARFRAC(MAX($P$34*($B345+IF($R$17="Distrato",$I$38-1,0)),IF(AND($L$37=0,$P$34=0),"",$L$37-1),IF($R$17="Distrato",$E345,0)),MIN(V$38,$D$19),$P$20))-SUM($P345:U345)</f>
        <v>#VALUE!</v>
      </c>
      <c r="W345" s="446" t="e">
        <f>IF(OR($B345="",MIN(W$38,$D$19)&lt;MAX($P$34*($B345+IF($R$17="Distrato",$I$38-1,0)),IF(AND($L$37=0,$P$34=0),"",$L$37-1),IF($R$17="Distrato",$E345,0))),0,YEARFRAC(MAX($P$34*($B345+IF($R$17="Distrato",$I$38-1,0)),IF(AND($L$37=0,$P$34=0),"",$L$37-1),IF($R$17="Distrato",$E345,0)),MIN(W$38,$D$19),$P$20))-SUM($P345:V345)</f>
        <v>#VALUE!</v>
      </c>
      <c r="X345" s="446" t="e">
        <f>IF(OR($B345="",MIN(X$38,$D$19)&lt;MAX($P$34*($B345+IF($R$17="Distrato",$I$38-1,0)),IF(AND($L$37=0,$P$34=0),"",$L$37-1),IF($R$17="Distrato",$E345,0))),0,YEARFRAC(MAX($P$34*($B345+IF($R$17="Distrato",$I$38-1,0)),IF(AND($L$37=0,$P$34=0),"",$L$37-1),IF($R$17="Distrato",$E345,0)),MIN(X$38,$D$19),$P$20))-SUM($P345:W345)</f>
        <v>#VALUE!</v>
      </c>
      <c r="Y345" s="446" t="e">
        <f>IF(OR($B345="",MIN(Y$38,$D$19)&lt;MAX($P$34*($B345+IF($R$17="Distrato",$I$38-1,0)),IF(AND($L$37=0,$P$34=0),"",$L$37-1),IF($R$17="Distrato",$E345,0))),0,YEARFRAC(MAX($P$34*($B345+IF($R$17="Distrato",$I$38-1,0)),IF(AND($L$37=0,$P$34=0),"",$L$37-1),IF($R$17="Distrato",$E345,0)),MIN(Y$38,$D$19),$P$20))-SUM($P345:X345)</f>
        <v>#VALUE!</v>
      </c>
      <c r="Z345" s="446" t="e">
        <f>IF(OR($B345="",MIN(Z$38,$D$19)&lt;MAX($P$34*($B345+IF($R$17="Distrato",$I$38-1,0)),IF(AND($L$37=0,$P$34=0),"",$L$37-1),IF($R$17="Distrato",$E345,0))),0,YEARFRAC(MAX($P$34*($B345+IF($R$17="Distrato",$I$38-1,0)),IF(AND($L$37=0,$P$34=0),"",$L$37-1),IF($R$17="Distrato",$E345,0)),MIN(Z$38,$D$19),$P$20))-SUM($P345:Y345)</f>
        <v>#VALUE!</v>
      </c>
      <c r="AA345" s="446" t="e">
        <f>IF(OR($B345="",MIN(AA$38,$D$19)&lt;MAX($P$34*($B345+IF($R$17="Distrato",$I$38-1,0)),IF(AND($L$37=0,$P$34=0),"",$L$37-1),IF($R$17="Distrato",$E345,0))),0,YEARFRAC(MAX($P$34*($B345+IF($R$17="Distrato",$I$38-1,0)),IF(AND($L$37=0,$P$34=0),"",$L$37-1),IF($R$17="Distrato",$E345,0)),MIN(AA$38,$D$19),$P$20))-SUM($P345:Z345)</f>
        <v>#VALUE!</v>
      </c>
      <c r="AB345" s="446" t="e">
        <f>IF(OR($B345="",MIN(AB$38,$D$19)&lt;MAX($P$34*($B345+IF($R$17="Distrato",$I$38-1,0)),IF(AND($L$37=0,$P$34=0),"",$L$37-1),IF($R$17="Distrato",$E345,0))),0,YEARFRAC(MAX($P$34*($B345+IF($R$17="Distrato",$I$38-1,0)),IF(AND($L$37=0,$P$34=0),"",$L$37-1),IF($R$17="Distrato",$E345,0)),MIN(AB$38,$D$19),$P$20))-SUM($P345:AA345)</f>
        <v>#VALUE!</v>
      </c>
      <c r="AC345" s="446" t="e">
        <f>IF(OR($B345="",MIN(AC$38,$D$19)&lt;MAX($P$34*($B345+IF($R$17="Distrato",$I$38-1,0)),IF(AND($L$37=0,$P$34=0),"",$L$37-1),IF($R$17="Distrato",$E345,0))),0,YEARFRAC(MAX($P$34*($B345+IF($R$17="Distrato",$I$38-1,0)),IF(AND($L$37=0,$P$34=0),"",$L$37-1),IF($R$17="Distrato",$E345,0)),MIN(AC$38,$D$19),$P$20))-SUM($P345:AB345)</f>
        <v>#VALUE!</v>
      </c>
      <c r="AD345" s="446" t="e">
        <f>IF(OR($B345="",MIN(AD$38,$D$19)&lt;MAX($P$34*($B345+IF($R$17="Distrato",$I$38-1,0)),IF(AND($L$37=0,$P$34=0),"",$L$37-1),IF($R$17="Distrato",$E345,0))),0,YEARFRAC(MAX($P$34*($B345+IF($R$17="Distrato",$I$38-1,0)),IF(AND($L$37=0,$P$34=0),"",$L$37-1),IF($R$17="Distrato",$E345,0)),MIN(AD$38,$D$19),$P$20))-SUM($P345:AC345)</f>
        <v>#VALUE!</v>
      </c>
      <c r="AE345" s="446" t="e">
        <f>IF(OR($B345="",MIN(AE$38,$D$19)&lt;MAX($P$34*($B345+IF($R$17="Distrato",$I$38-1,0)),IF(AND($L$37=0,$P$34=0),"",$L$37-1),IF($R$17="Distrato",$E345,0))),0,YEARFRAC(MAX($P$34*($B345+IF($R$17="Distrato",$I$38-1,0)),IF(AND($L$37=0,$P$34=0),"",$L$37-1),IF($R$17="Distrato",$E345,0)),MIN(AE$38,$D$19),$P$20))-SUM($P345:AD345)</f>
        <v>#VALUE!</v>
      </c>
      <c r="AF345" s="446" t="e">
        <f>IF(OR($B345="",MIN(AF$38,$D$19)&lt;MAX($P$34*($B345+IF($R$17="Distrato",$I$38-1,0)),IF(AND($L$37=0,$P$34=0),"",$L$37-1),IF($R$17="Distrato",$E345,0))),0,YEARFRAC(MAX($P$34*($B345+IF($R$17="Distrato",$I$38-1,0)),IF(AND($L$37=0,$P$34=0),"",$L$37-1),IF($R$17="Distrato",$E345,0)),MIN(AF$38,$D$19),$P$20))-SUM($P345:AE345)</f>
        <v>#VALUE!</v>
      </c>
      <c r="AG345" s="446" t="e">
        <f>IF(OR($B345="",MIN(AG$38,$D$19)&lt;MAX($P$34*($B345+IF($R$17="Distrato",$I$38-1,0)),IF(AND($L$37=0,$P$34=0),"",$L$37-1),IF($R$17="Distrato",$E345,0))),0,YEARFRAC(MAX($P$34*($B345+IF($R$17="Distrato",$I$38-1,0)),IF(AND($L$37=0,$P$34=0),"",$L$37-1),IF($R$17="Distrato",$E345,0)),MIN(AG$38,$D$19),$P$20))-SUM($P345:AF345)</f>
        <v>#VALUE!</v>
      </c>
      <c r="AH345" s="446" t="e">
        <f>IF(OR($B345="",MIN(AH$38,$D$19)&lt;MAX($P$34*($B345+IF($R$17="Distrato",$I$38-1,0)),IF(AND($L$37=0,$P$34=0),"",$L$37-1),IF($R$17="Distrato",$E345,0))),0,YEARFRAC(MAX($P$34*($B345+IF($R$17="Distrato",$I$38-1,0)),IF(AND($L$37=0,$P$34=0),"",$L$37-1),IF($R$17="Distrato",$E345,0)),MIN(AH$38,$D$19),$P$20))-SUM($P345:AG345)</f>
        <v>#VALUE!</v>
      </c>
      <c r="AI345" s="446" t="e">
        <f>IF(OR($B345="",MIN(AI$38,$D$19)&lt;MAX($P$34*($B345+IF($R$17="Distrato",$I$38-1,0)),IF(AND($L$37=0,$P$34=0),"",$L$37-1),IF($R$17="Distrato",$E345,0))),0,YEARFRAC(MAX($P$34*($B345+IF($R$17="Distrato",$I$38-1,0)),IF(AND($L$37=0,$P$34=0),"",$L$37-1),IF($R$17="Distrato",$E345,0)),MIN(AI$38,$D$19),$P$20))-SUM($P345:AH345)</f>
        <v>#VALUE!</v>
      </c>
      <c r="AJ345" s="446" t="e">
        <f>IF(OR($B345="",MIN(AJ$38,$D$19)&lt;MAX($P$34*($B345+IF($R$17="Distrato",$I$38-1,0)),IF(AND($L$37=0,$P$34=0),"",$L$37-1),IF($R$17="Distrato",$E345,0))),0,YEARFRAC(MAX($P$34*($B345+IF($R$17="Distrato",$I$38-1,0)),IF(AND($L$37=0,$P$34=0),"",$L$37-1),IF($R$17="Distrato",$E345,0)),MIN(AJ$38,$D$19),$P$20))-SUM($P345:AI345)</f>
        <v>#VALUE!</v>
      </c>
      <c r="AK345" s="446" t="e">
        <f>IF(OR($B345="",MIN(AK$38,$D$19)&lt;MAX($P$34*($B345+IF($R$17="Distrato",$I$38-1,0)),IF(AND($L$37=0,$P$34=0),"",$L$37-1),IF($R$17="Distrato",$E345,0))),0,YEARFRAC(MAX($P$34*($B345+IF($R$17="Distrato",$I$38-1,0)),IF(AND($L$37=0,$P$34=0),"",$L$37-1),IF($R$17="Distrato",$E345,0)),MIN(AK$38,$D$19),$P$20))-SUM($P345:AJ345)</f>
        <v>#VALUE!</v>
      </c>
      <c r="AL345" s="446" t="e">
        <f>IF(OR($B345="",MIN(AL$38,$D$19)&lt;MAX($P$34*($B345+IF($R$17="Distrato",$I$38-1,0)),IF(AND($L$37=0,$P$34=0),"",$L$37-1),IF($R$17="Distrato",$E345,0))),0,YEARFRAC(MAX($P$34*($B345+IF($R$17="Distrato",$I$38-1,0)),IF(AND($L$37=0,$P$34=0),"",$L$37-1),IF($R$17="Distrato",$E345,0)),MIN(AL$38,$D$19),$P$20))-SUM($P345:AK345)</f>
        <v>#VALUE!</v>
      </c>
      <c r="AM345" s="446" t="e">
        <f>IF(OR($B345="",MIN(AM$38,$D$19)&lt;MAX($P$34*($B345+IF($R$17="Distrato",$I$38-1,0)),IF(AND($L$37=0,$P$34=0),"",$L$37-1),IF($R$17="Distrato",$E345,0))),0,YEARFRAC(MAX($P$34*($B345+IF($R$17="Distrato",$I$38-1,0)),IF(AND($L$37=0,$P$34=0),"",$L$37-1),IF($R$17="Distrato",$E345,0)),MIN(AM$38,$D$19),$P$20))-SUM($P345:AL345)</f>
        <v>#VALUE!</v>
      </c>
      <c r="AN345" s="446" t="e">
        <f>IF(OR($B345="",MIN(AN$38,$D$19)&lt;MAX($P$34*($B345+IF($R$17="Distrato",$I$38-1,0)),IF(AND($L$37=0,$P$34=0),"",$L$37-1),IF($R$17="Distrato",$E345,0))),0,YEARFRAC(MAX($P$34*($B345+IF($R$17="Distrato",$I$38-1,0)),IF(AND($L$37=0,$P$34=0),"",$L$37-1),IF($R$17="Distrato",$E345,0)),MIN(AN$38,$D$19),$P$20))-SUM($P345:AM345)</f>
        <v>#VALUE!</v>
      </c>
      <c r="AO345" s="446" t="e">
        <f>IF(OR($B345="",MIN(AO$38,$D$19)&lt;MAX($P$34*($B345+IF($R$17="Distrato",$I$38-1,0)),IF(AND($L$37=0,$P$34=0),"",$L$37-1),IF($R$17="Distrato",$E345,0))),0,YEARFRAC(MAX($P$34*($B345+IF($R$17="Distrato",$I$38-1,0)),IF(AND($L$37=0,$P$34=0),"",$L$37-1),IF($R$17="Distrato",$E345,0)),MIN(AO$38,$D$19),$P$20))-SUM($P345:AN345)</f>
        <v>#VALUE!</v>
      </c>
      <c r="AP345" s="446" t="e">
        <f>IF(OR($B345="",MIN(AP$38,$D$19)&lt;MAX($P$34*($B345+IF($R$17="Distrato",$I$38-1,0)),IF(AND($L$37=0,$P$34=0),"",$L$37-1),IF($R$17="Distrato",$E345,0))),0,YEARFRAC(MAX($P$34*($B345+IF($R$17="Distrato",$I$38-1,0)),IF(AND($L$37=0,$P$34=0),"",$L$37-1),IF($R$17="Distrato",$E345,0)),MIN(AP$38,$D$19),$P$20))-SUM($P345:AO345)</f>
        <v>#VALUE!</v>
      </c>
      <c r="AQ345" s="446" t="e">
        <f>IF(OR($B345="",MIN(AQ$38,$D$19)&lt;MAX($P$34*($B345+IF($R$17="Distrato",$I$38-1,0)),IF(AND($L$37=0,$P$34=0),"",$L$37-1),IF($R$17="Distrato",$E345,0))),0,YEARFRAC(MAX($P$34*($B345+IF($R$17="Distrato",$I$38-1,0)),IF(AND($L$37=0,$P$34=0),"",$L$37-1),IF($R$17="Distrato",$E345,0)),MIN(AQ$38,$D$19),$P$20))-SUM($P345:AP345)</f>
        <v>#VALUE!</v>
      </c>
      <c r="AR345" s="446" t="e">
        <f>IF(OR($B345="",MIN(AR$38,$D$19)&lt;MAX($P$34*($B345+IF($R$17="Distrato",$I$38-1,0)),IF(AND($L$37=0,$P$34=0),"",$L$37-1),IF($R$17="Distrato",$E345,0))),0,YEARFRAC(MAX($P$34*($B345+IF($R$17="Distrato",$I$38-1,0)),IF(AND($L$37=0,$P$34=0),"",$L$37-1),IF($R$17="Distrato",$E345,0)),MIN(AR$38,$D$19),$P$20))-SUM($P345:AQ345)</f>
        <v>#VALUE!</v>
      </c>
      <c r="AS345" s="446" t="e">
        <f>IF(OR($B345="",MIN(AS$38,$D$19)&lt;MAX($P$34*($B345+IF($R$17="Distrato",$I$38-1,0)),IF(AND($L$37=0,$P$34=0),"",$L$37-1),IF($R$17="Distrato",$E345,0))),0,YEARFRAC(MAX($P$34*($B345+IF($R$17="Distrato",$I$38-1,0)),IF(AND($L$37=0,$P$34=0),"",$L$37-1),IF($R$17="Distrato",$E345,0)),MIN(AS$38,$D$19),$P$20))-SUM($P345:AR345)</f>
        <v>#VALUE!</v>
      </c>
      <c r="AT345" s="446" t="e">
        <f>IF(OR($B345="",MIN(AT$38,$D$19)&lt;MAX($P$34*($B345+IF($R$17="Distrato",$I$38-1,0)),IF(AND($L$37=0,$P$34=0),"",$L$37-1),IF($R$17="Distrato",$E345,0))),0,YEARFRAC(MAX($P$34*($B345+IF($R$17="Distrato",$I$38-1,0)),IF(AND($L$37=0,$P$34=0),"",$L$37-1),IF($R$17="Distrato",$E345,0)),MIN(AT$38,$D$19),$P$20))-SUM($P345:AS345)</f>
        <v>#VALUE!</v>
      </c>
      <c r="AU345" s="446" t="e">
        <f>IF(OR($B345="",MIN(AU$38,$D$19)&lt;MAX($P$34*($B345+IF($R$17="Distrato",$I$38-1,0)),IF(AND($L$37=0,$P$34=0),"",$L$37-1),IF($R$17="Distrato",$E345,0))),0,YEARFRAC(MAX($P$34*($B345+IF($R$17="Distrato",$I$38-1,0)),IF(AND($L$37=0,$P$34=0),"",$L$37-1),IF($R$17="Distrato",$E345,0)),MIN(AU$38,$D$19),$P$20))-SUM($P345:AT345)</f>
        <v>#VALUE!</v>
      </c>
      <c r="AV345" s="446" t="e">
        <f>IF(OR($B345="",MIN(AV$38,$D$19)&lt;MAX($P$34*($B345+IF($R$17="Distrato",$I$38-1,0)),IF(AND($L$37=0,$P$34=0),"",$L$37-1),IF($R$17="Distrato",$E345,0))),0,YEARFRAC(MAX($P$34*($B345+IF($R$17="Distrato",$I$38-1,0)),IF(AND($L$37=0,$P$34=0),"",$L$37-1),IF($R$17="Distrato",$E345,0)),MIN(AV$38,$D$19),$P$20))-SUM($P345:AU345)</f>
        <v>#VALUE!</v>
      </c>
      <c r="AW345" s="446" t="e">
        <f>IF(OR($B345="",MIN(AW$38,$D$19)&lt;MAX($P$34*($B345+IF($R$17="Distrato",$I$38-1,0)),IF(AND($L$37=0,$P$34=0),"",$L$37-1),IF($R$17="Distrato",$E345,0))),0,YEARFRAC(MAX($P$34*($B345+IF($R$17="Distrato",$I$38-1,0)),IF(AND($L$37=0,$P$34=0),"",$L$37-1),IF($R$17="Distrato",$E345,0)),MIN(AW$38,$D$19),$P$20))-SUM($P345:AV345)</f>
        <v>#VALUE!</v>
      </c>
      <c r="AX345" s="446" t="e">
        <f>IF(OR($B345="",MIN(AX$38,$D$19)&lt;MAX($P$34*($B345+IF($R$17="Distrato",$I$38-1,0)),IF(AND($L$37=0,$P$34=0),"",$L$37-1),IF($R$17="Distrato",$E345,0))),0,YEARFRAC(MAX($P$34*($B345+IF($R$17="Distrato",$I$38-1,0)),IF(AND($L$37=0,$P$34=0),"",$L$37-1),IF($R$17="Distrato",$E345,0)),MIN(AX$38,$D$19),$P$20))-SUM($P345:AW345)</f>
        <v>#VALUE!</v>
      </c>
      <c r="AY345" s="446" t="e">
        <f>IF(OR($B345="",MIN(AY$38,$D$19)&lt;MAX($P$34*($B345+IF($R$17="Distrato",$I$38-1,0)),IF(AND($L$37=0,$P$34=0),"",$L$37-1),IF($R$17="Distrato",$E345,0))),0,YEARFRAC(MAX($P$34*($B345+IF($R$17="Distrato",$I$38-1,0)),IF(AND($L$37=0,$P$34=0),"",$L$37-1),IF($R$17="Distrato",$E345,0)),MIN(AY$38,$D$19),$P$20))-SUM($P345:AX345)</f>
        <v>#VALUE!</v>
      </c>
      <c r="AZ345" s="446" t="e">
        <f>IF(OR($B345="",MIN(AZ$38,$D$19)&lt;MAX($P$34*($B345+IF($R$17="Distrato",$I$38-1,0)),IF(AND($L$37=0,$P$34=0),"",$L$37-1),IF($R$17="Distrato",$E345,0))),0,YEARFRAC(MAX($P$34*($B345+IF($R$17="Distrato",$I$38-1,0)),IF(AND($L$37=0,$P$34=0),"",$L$37-1),IF($R$17="Distrato",$E345,0)),MIN(AZ$38,$D$19),$P$20))-SUM($P345:AY345)</f>
        <v>#VALUE!</v>
      </c>
      <c r="BA345" s="446" t="e">
        <f>IF(OR($B345="",MIN(BA$38,$D$19)&lt;MAX($P$34*($B345+IF($R$17="Distrato",$I$38-1,0)),IF(AND($L$37=0,$P$34=0),"",$L$37-1),IF($R$17="Distrato",$E345,0))),0,YEARFRAC(MAX($P$34*($B345+IF($R$17="Distrato",$I$38-1,0)),IF(AND($L$37=0,$P$34=0),"",$L$37-1),IF($R$17="Distrato",$E345,0)),MIN(BA$38,$D$19),$P$20))-SUM($P345:AZ345)</f>
        <v>#VALUE!</v>
      </c>
      <c r="BB345" s="447"/>
      <c r="BF345" s="446">
        <f t="shared" si="54"/>
        <v>0</v>
      </c>
      <c r="BG345" s="446">
        <f>IF($E345=0,0,IF(MIN(BG$38,$E345)&lt;MAX($P$34*($B345+$I$38-1),IF(AND($L$37=0,$P$34=0),"",$L$37-1)),0,YEARFRAC(MAX($P$34*($B345+$I$38-1),IF(AND($L$37=0,$P$34=0),"",$L$37-1)),MIN(BG$38,$E345),$P$20))-SUM($BF345:BF345))</f>
        <v>0</v>
      </c>
      <c r="BH345" s="446">
        <f>IF($E345=0,0,IF(MIN(BH$38,$E345)&lt;MAX($P$34*($B345+$I$38-1),IF(AND($L$37=0,$P$34=0),"",$L$37-1)),0,YEARFRAC(MAX($P$34*($B345+$I$38-1),IF(AND($L$37=0,$P$34=0),"",$L$37-1)),MIN(BH$38,$E345),$P$20))-SUM($BF345:BG345))</f>
        <v>0</v>
      </c>
      <c r="BI345" s="446">
        <f>IF($E345=0,0,IF(MIN(BI$38,$E345)&lt;MAX($P$34*($B345+$I$38-1),IF(AND($L$37=0,$P$34=0),"",$L$37-1)),0,YEARFRAC(MAX($P$34*($B345+$I$38-1),IF(AND($L$37=0,$P$34=0),"",$L$37-1)),MIN(BI$38,$E345),$P$20))-SUM($BF345:BH345))</f>
        <v>0</v>
      </c>
      <c r="BJ345" s="446">
        <f>IF($E345=0,0,IF(MIN(BJ$38,$E345)&lt;MAX($P$34*($B345+$I$38-1),IF(AND($L$37=0,$P$34=0),"",$L$37-1)),0,YEARFRAC(MAX($P$34*($B345+$I$38-1),IF(AND($L$37=0,$P$34=0),"",$L$37-1)),MIN(BJ$38,$E345),$P$20))-SUM($BF345:BI345))</f>
        <v>0</v>
      </c>
      <c r="BK345" s="446">
        <f>IF($E345=0,0,IF(MIN(BK$38,$E345)&lt;MAX($P$34*($B345+$I$38-1),IF(AND($L$37=0,$P$34=0),"",$L$37-1)),0,YEARFRAC(MAX($P$34*($B345+$I$38-1),IF(AND($L$37=0,$P$34=0),"",$L$37-1)),MIN(BK$38,$E345),$P$20))-SUM($BF345:BJ345))</f>
        <v>0</v>
      </c>
      <c r="BL345" s="446">
        <f>IF($E345=0,0,IF(MIN(BL$38,$E345)&lt;MAX($P$34*($B345+$I$38-1),IF(AND($L$37=0,$P$34=0),"",$L$37-1)),0,YEARFRAC(MAX($P$34*($B345+$I$38-1),IF(AND($L$37=0,$P$34=0),"",$L$37-1)),MIN(BL$38,$E345),$P$20))-SUM($BF345:BK345))</f>
        <v>0</v>
      </c>
      <c r="BM345" s="446">
        <f>IF($E345=0,0,IF(MIN(BM$38,$E345)&lt;MAX($P$34*($B345+$I$38-1),IF(AND($L$37=0,$P$34=0),"",$L$37-1)),0,YEARFRAC(MAX($P$34*($B345+$I$38-1),IF(AND($L$37=0,$P$34=0),"",$L$37-1)),MIN(BM$38,$E345),$P$20))-SUM($BF345:BL345))</f>
        <v>0</v>
      </c>
      <c r="BN345" s="446">
        <f>IF($E345=0,0,IF(MIN(BN$38,$E345)&lt;MAX($P$34*($B345+$I$38-1),IF(AND($L$37=0,$P$34=0),"",$L$37-1)),0,YEARFRAC(MAX($P$34*($B345+$I$38-1),IF(AND($L$37=0,$P$34=0),"",$L$37-1)),MIN(BN$38,$E345),$P$20))-SUM($BF345:BM345))</f>
        <v>0</v>
      </c>
      <c r="BO345" s="446">
        <f>IF($E345=0,0,IF(MIN(BO$38,$E345)&lt;MAX($P$34*($B345+$I$38-1),IF(AND($L$37=0,$P$34=0),"",$L$37-1)),0,YEARFRAC(MAX($P$34*($B345+$I$38-1),IF(AND($L$37=0,$P$34=0),"",$L$37-1)),MIN(BO$38,$E345),$P$20))-SUM($BF345:BN345))</f>
        <v>0</v>
      </c>
      <c r="BP345" s="446">
        <f>IF($E345=0,0,IF(MIN(BP$38,$E345)&lt;MAX($P$34*($B345+$I$38-1),IF(AND($L$37=0,$P$34=0),"",$L$37-1)),0,YEARFRAC(MAX($P$34*($B345+$I$38-1),IF(AND($L$37=0,$P$34=0),"",$L$37-1)),MIN(BP$38,$E345),$P$20))-SUM($BF345:BO345))</f>
        <v>0</v>
      </c>
      <c r="BQ345" s="446">
        <f>IF($E345=0,0,IF(MIN(BQ$38,$E345)&lt;MAX($P$34*($B345+$I$38-1),IF(AND($L$37=0,$P$34=0),"",$L$37-1)),0,YEARFRAC(MAX($P$34*($B345+$I$38-1),IF(AND($L$37=0,$P$34=0),"",$L$37-1)),MIN(BQ$38,$E345),$P$20))-SUM($BF345:BP345))</f>
        <v>0</v>
      </c>
      <c r="BR345" s="446">
        <f>IF($E345=0,0,IF(MIN(BR$38,$E345)&lt;MAX($P$34*($B345+$I$38-1),IF(AND($L$37=0,$P$34=0),"",$L$37-1)),0,YEARFRAC(MAX($P$34*($B345+$I$38-1),IF(AND($L$37=0,$P$34=0),"",$L$37-1)),MIN(BR$38,$E345),$P$20))-SUM($BF345:BQ345))</f>
        <v>0</v>
      </c>
      <c r="BS345" s="446">
        <f>IF($E345=0,0,IF(MIN(BS$38,$E345)&lt;MAX($P$34*($B345+$I$38-1),IF(AND($L$37=0,$P$34=0),"",$L$37-1)),0,YEARFRAC(MAX($P$34*($B345+$I$38-1),IF(AND($L$37=0,$P$34=0),"",$L$37-1)),MIN(BS$38,$E345),$P$20))-SUM($BF345:BR345))</f>
        <v>0</v>
      </c>
      <c r="BT345" s="446">
        <f>IF($E345=0,0,IF(MIN(BT$38,$E345)&lt;MAX($P$34*($B345+$I$38-1),IF(AND($L$37=0,$P$34=0),"",$L$37-1)),0,YEARFRAC(MAX($P$34*($B345+$I$38-1),IF(AND($L$37=0,$P$34=0),"",$L$37-1)),MIN(BT$38,$E345),$P$20))-SUM($BF345:BS345))</f>
        <v>0</v>
      </c>
      <c r="BU345" s="446">
        <f>IF($E345=0,0,IF(MIN(BU$38,$E345)&lt;MAX($P$34*($B345+$I$38-1),IF(AND($L$37=0,$P$34=0),"",$L$37-1)),0,YEARFRAC(MAX($P$34*($B345+$I$38-1),IF(AND($L$37=0,$P$34=0),"",$L$37-1)),MIN(BU$38,$E345),$P$20))-SUM($BF345:BT345))</f>
        <v>0</v>
      </c>
      <c r="BV345" s="446">
        <f>IF($E345=0,0,IF(MIN(BV$38,$E345)&lt;MAX($P$34*($B345+$I$38-1),IF(AND($L$37=0,$P$34=0),"",$L$37-1)),0,YEARFRAC(MAX($P$34*($B345+$I$38-1),IF(AND($L$37=0,$P$34=0),"",$L$37-1)),MIN(BV$38,$E345),$P$20))-SUM($BF345:BU345))</f>
        <v>0</v>
      </c>
      <c r="BW345" s="446">
        <f>IF($E345=0,0,IF(MIN(BW$38,$E345)&lt;MAX($P$34*($B345+$I$38-1),IF(AND($L$37=0,$P$34=0),"",$L$37-1)),0,YEARFRAC(MAX($P$34*($B345+$I$38-1),IF(AND($L$37=0,$P$34=0),"",$L$37-1)),MIN(BW$38,$E345),$P$20))-SUM($BF345:BV345))</f>
        <v>0</v>
      </c>
      <c r="BX345" s="446">
        <f>IF($E345=0,0,IF(MIN(BX$38,$E345)&lt;MAX($P$34*($B345+$I$38-1),IF(AND($L$37=0,$P$34=0),"",$L$37-1)),0,YEARFRAC(MAX($P$34*($B345+$I$38-1),IF(AND($L$37=0,$P$34=0),"",$L$37-1)),MIN(BX$38,$E345),$P$20))-SUM($BF345:BW345))</f>
        <v>0</v>
      </c>
      <c r="BY345" s="446">
        <f>IF($E345=0,0,IF(MIN(BY$38,$E345)&lt;MAX($P$34*($B345+$I$38-1),IF(AND($L$37=0,$P$34=0),"",$L$37-1)),0,YEARFRAC(MAX($P$34*($B345+$I$38-1),IF(AND($L$37=0,$P$34=0),"",$L$37-1)),MIN(BY$38,$E345),$P$20))-SUM($BF345:BX345))</f>
        <v>0</v>
      </c>
      <c r="BZ345" s="446">
        <f>IF($E345=0,0,IF(MIN(BZ$38,$E345)&lt;MAX($P$34*($B345+$I$38-1),IF(AND($L$37=0,$P$34=0),"",$L$37-1)),0,YEARFRAC(MAX($P$34*($B345+$I$38-1),IF(AND($L$37=0,$P$34=0),"",$L$37-1)),MIN(BZ$38,$E345),$P$20))-SUM($BF345:BY345))</f>
        <v>0</v>
      </c>
      <c r="CA345" s="446">
        <f>IF($E345=0,0,IF(MIN(CA$38,$E345)&lt;MAX($P$34*($B345+$I$38-1),IF(AND($L$37=0,$P$34=0),"",$L$37-1)),0,YEARFRAC(MAX($P$34*($B345+$I$38-1),IF(AND($L$37=0,$P$34=0),"",$L$37-1)),MIN(CA$38,$E345),$P$20))-SUM($BF345:BZ345))</f>
        <v>0</v>
      </c>
      <c r="CB345" s="446">
        <f>IF($E345=0,0,IF(MIN(CB$38,$E345)&lt;MAX($P$34*($B345+$I$38-1),IF(AND($L$37=0,$P$34=0),"",$L$37-1)),0,YEARFRAC(MAX($P$34*($B345+$I$38-1),IF(AND($L$37=0,$P$34=0),"",$L$37-1)),MIN(CB$38,$E345),$P$20))-SUM($BF345:CA345))</f>
        <v>0</v>
      </c>
      <c r="CC345" s="446">
        <f>IF($E345=0,0,IF(MIN(CC$38,$E345)&lt;MAX($P$34*($B345+$I$38-1),IF(AND($L$37=0,$P$34=0),"",$L$37-1)),0,YEARFRAC(MAX($P$34*($B345+$I$38-1),IF(AND($L$37=0,$P$34=0),"",$L$37-1)),MIN(CC$38,$E345),$P$20))-SUM($BF345:CB345))</f>
        <v>0</v>
      </c>
      <c r="CD345" s="446">
        <f>IF($E345=0,0,IF(MIN(CD$38,$E345)&lt;MAX($P$34*($B345+$I$38-1),IF(AND($L$37=0,$P$34=0),"",$L$37-1)),0,YEARFRAC(MAX($P$34*($B345+$I$38-1),IF(AND($L$37=0,$P$34=0),"",$L$37-1)),MIN(CD$38,$E345),$P$20))-SUM($BF345:CC345))</f>
        <v>0</v>
      </c>
      <c r="CE345" s="446">
        <f>IF($E345=0,0,IF(MIN(CE$38,$E345)&lt;MAX($P$34*($B345+$I$38-1),IF(AND($L$37=0,$P$34=0),"",$L$37-1)),0,YEARFRAC(MAX($P$34*($B345+$I$38-1),IF(AND($L$37=0,$P$34=0),"",$L$37-1)),MIN(CE$38,$E345),$P$20))-SUM($BF345:CD345))</f>
        <v>0</v>
      </c>
      <c r="CF345" s="446">
        <f>IF($E345=0,0,IF(MIN(CF$38,$E345)&lt;MAX($P$34*($B345+$I$38-1),IF(AND($L$37=0,$P$34=0),"",$L$37-1)),0,YEARFRAC(MAX($P$34*($B345+$I$38-1),IF(AND($L$37=0,$P$34=0),"",$L$37-1)),MIN(CF$38,$E345),$P$20))-SUM($BF345:CE345))</f>
        <v>0</v>
      </c>
      <c r="CG345" s="446">
        <f>IF($E345=0,0,IF(MIN(CG$38,$E345)&lt;MAX($P$34*($B345+$I$38-1),IF(AND($L$37=0,$P$34=0),"",$L$37-1)),0,YEARFRAC(MAX($P$34*($B345+$I$38-1),IF(AND($L$37=0,$P$34=0),"",$L$37-1)),MIN(CG$38,$E345),$P$20))-SUM($BF345:CF345))</f>
        <v>0</v>
      </c>
      <c r="CH345" s="446">
        <f>IF($E345=0,0,IF(MIN(CH$38,$E345)&lt;MAX($P$34*($B345+$I$38-1),IF(AND($L$37=0,$P$34=0),"",$L$37-1)),0,YEARFRAC(MAX($P$34*($B345+$I$38-1),IF(AND($L$37=0,$P$34=0),"",$L$37-1)),MIN(CH$38,$E345),$P$20))-SUM($BF345:CG345))</f>
        <v>0</v>
      </c>
      <c r="CI345" s="446">
        <f>IF($E345=0,0,IF(MIN(CI$38,$E345)&lt;MAX($P$34*($B345+$I$38-1),IF(AND($L$37=0,$P$34=0),"",$L$37-1)),0,YEARFRAC(MAX($P$34*($B345+$I$38-1),IF(AND($L$37=0,$P$34=0),"",$L$37-1)),MIN(CI$38,$E345),$P$20))-SUM($BF345:CH345))</f>
        <v>0</v>
      </c>
      <c r="CJ345" s="446">
        <f>IF($E345=0,0,IF(MIN(CJ$38,$E345)&lt;MAX($P$34*($B345+$I$38-1),IF(AND($L$37=0,$P$34=0),"",$L$37-1)),0,YEARFRAC(MAX($P$34*($B345+$I$38-1),IF(AND($L$37=0,$P$34=0),"",$L$37-1)),MIN(CJ$38,$E345),$P$20))-SUM($BF345:CI345))</f>
        <v>0</v>
      </c>
      <c r="CK345" s="446">
        <f>IF($E345=0,0,IF(MIN(CK$38,$E345)&lt;MAX($P$34*($B345+$I$38-1),IF(AND($L$37=0,$P$34=0),"",$L$37-1)),0,YEARFRAC(MAX($P$34*($B345+$I$38-1),IF(AND($L$37=0,$P$34=0),"",$L$37-1)),MIN(CK$38,$E345),$P$20))-SUM($BF345:CJ345))</f>
        <v>0</v>
      </c>
      <c r="CL345" s="446">
        <f>IF($E345=0,0,IF(MIN(CL$38,$E345)&lt;MAX($P$34*($B345+$I$38-1),IF(AND($L$37=0,$P$34=0),"",$L$37-1)),0,YEARFRAC(MAX($P$34*($B345+$I$38-1),IF(AND($L$37=0,$P$34=0),"",$L$37-1)),MIN(CL$38,$E345),$P$20))-SUM($BF345:CK345))</f>
        <v>0</v>
      </c>
      <c r="CM345" s="446">
        <f>IF($E345=0,0,IF(MIN(CM$38,$E345)&lt;MAX($P$34*($B345+$I$38-1),IF(AND($L$37=0,$P$34=0),"",$L$37-1)),0,YEARFRAC(MAX($P$34*($B345+$I$38-1),IF(AND($L$37=0,$P$34=0),"",$L$37-1)),MIN(CM$38,$E345),$P$20))-SUM($BF345:CL345))</f>
        <v>0</v>
      </c>
      <c r="CN345" s="446">
        <f>IF($E345=0,0,IF(MIN(CN$38,$E345)&lt;MAX($P$34*($B345+$I$38-1),IF(AND($L$37=0,$P$34=0),"",$L$37-1)),0,YEARFRAC(MAX($P$34*($B345+$I$38-1),IF(AND($L$37=0,$P$34=0),"",$L$37-1)),MIN(CN$38,$E345),$P$20))-SUM($BF345:CM345))</f>
        <v>0</v>
      </c>
      <c r="CO345" s="446">
        <f>IF($E345=0,0,IF(MIN(CO$38,$E345)&lt;MAX($P$34*($B345+$I$38-1),IF(AND($L$37=0,$P$34=0),"",$L$37-1)),0,YEARFRAC(MAX($P$34*($B345+$I$38-1),IF(AND($L$37=0,$P$34=0),"",$L$37-1)),MIN(CO$38,$E345),$P$20))-SUM($BF345:CN345))</f>
        <v>0</v>
      </c>
      <c r="CP345" s="446">
        <f>IF($E345=0,0,IF(MIN(CP$38,$E345)&lt;MAX($P$34*($B345+$I$38-1),IF(AND($L$37=0,$P$34=0),"",$L$37-1)),0,YEARFRAC(MAX($P$34*($B345+$I$38-1),IF(AND($L$37=0,$P$34=0),"",$L$37-1)),MIN(CP$38,$E345),$P$20))-SUM($BF345:CO345))</f>
        <v>0</v>
      </c>
      <c r="CQ345" s="446">
        <f>IF($E345=0,0,IF(MIN(CQ$38,$E345)&lt;MAX($P$34*($B345+$I$38-1),IF(AND($L$37=0,$P$34=0),"",$L$37-1)),0,YEARFRAC(MAX($P$34*($B345+$I$38-1),IF(AND($L$37=0,$P$34=0),"",$L$37-1)),MIN(CQ$38,$E345),$P$20))-SUM($BF345:CP345))</f>
        <v>0</v>
      </c>
    </row>
    <row r="346" spans="1:95" s="446" customFormat="1" ht="11.25" hidden="1" customHeight="1" x14ac:dyDescent="0.2">
      <c r="A346" s="152"/>
      <c r="B346" s="153" t="str">
        <f t="shared" si="59"/>
        <v/>
      </c>
      <c r="C346" s="29" t="str">
        <f>IF(B346="","",IF($L$35="SELIC - TRIBUTOS",VLOOKUP(DATE(YEAR($D$19),MONTH($D$19)-1,1),ÍNDICES!$A:$DE,HLOOKUP($BL$25,ÍNDICES!$B$3:$T$4,2)+11)-VLOOKUP(B346,ÍNDICES!$A:$DE,HLOOKUP($BL$25,ÍNDICES!$B$3:$T$4,2)+11)+1%,IF(C$38=$W$26,$J$35,IF(ISERROR(IF(B346&gt;$D$19,1,VLOOKUP(DATE(YEAR(B346),MONTH(B346)+IF($C$35=$S$23,1,0),1),ÍNDICES!$A:$DE,$Z$35+1))),"",IF(B346&gt;$D$19,1,VLOOKUP(DATE(YEAR(B346),MONTH(B346)+IF($C$35=$S$23,1,0),1),ÍNDICES!$A:$DE,$Z$35+1))))))</f>
        <v/>
      </c>
      <c r="D346" s="154" t="str">
        <f>IF(ISERROR(IF(OR($D$38=$Y$27,$B346=""),"",VLOOKUP(B346,ÍNDICES!A:DE,AF$35+1))),"",IF(OR($D$38=$Y$27,$B346=""),"",VLOOKUP(B346,ÍNDICES!A:DE,AF$35+1)))</f>
        <v/>
      </c>
      <c r="E346" s="153"/>
      <c r="F346" s="29" t="str">
        <f>IF(E346="","",IF($L$35="SELIC - TRIBUTOS",VLOOKUP(DATE(YEAR($D$19),MONTH($D$19)-1,1),ÍNDICES!$A:$DE,HLOOKUP($BL$25,ÍNDICES!$B$3:$T$4,2)+11)-VLOOKUP(E346,ÍNDICES!$A:$DE,HLOOKUP($BL$25,ÍNDICES!$B$3:$T$4,2)+11)+1%,IF(F$38=$W$26,$J$35,IF(ISERROR(IF(E346&gt;$D$19,1,VLOOKUP(DATE(YEAR(E346),MONTH(E346)+IF($C$35=$S$23,1,0),1),ÍNDICES!$A:$DE,$Z$35+1))),"",IF(E346&gt;$D$19,1,VLOOKUP(DATE(YEAR(E346),MONTH(E346)+IF($C$35=$S$23,1,0),1),ÍNDICES!$A:$DE,$Z$35+1))))))</f>
        <v/>
      </c>
      <c r="G346" s="155"/>
      <c r="H346" s="156" t="str">
        <f t="shared" si="55"/>
        <v/>
      </c>
      <c r="I346" s="29" t="str">
        <f t="shared" si="49"/>
        <v/>
      </c>
      <c r="J346" s="5">
        <f t="shared" si="50"/>
        <v>0</v>
      </c>
      <c r="K346" s="20">
        <f t="shared" ca="1" si="51"/>
        <v>0</v>
      </c>
      <c r="L346" s="5">
        <f t="shared" ca="1" si="52"/>
        <v>0</v>
      </c>
      <c r="M346" s="64">
        <f t="shared" si="56"/>
        <v>0</v>
      </c>
      <c r="N346" s="61">
        <f t="shared" ca="1" si="57"/>
        <v>0</v>
      </c>
      <c r="O346" s="5">
        <f t="shared" ca="1" si="58"/>
        <v>0</v>
      </c>
      <c r="P346" s="446" t="e">
        <f t="shared" si="53"/>
        <v>#VALUE!</v>
      </c>
      <c r="Q346" s="446" t="e">
        <f>IF(OR($B346="",MIN(Q$38,$D$19)&lt;MAX($P$34*($B346+IF($R$17="Distrato",$I$38-1,0)),IF(AND($L$37=0,$P$34=0),"",$L$37-1),IF($R$17="Distrato",$E346,0))),0,YEARFRAC(MAX($P$34*($B346+IF($R$17="Distrato",$I$38-1,0)),IF(AND($L$37=0,$P$34=0),"",$L$37-1),IF($R$17="Distrato",$E346,0)),MIN(Q$38,$D$19),$P$20))-SUM($P346:P346)</f>
        <v>#VALUE!</v>
      </c>
      <c r="R346" s="446" t="e">
        <f>IF(OR($B346="",MIN(R$38,$D$19)&lt;MAX($P$34*($B346+IF($R$17="Distrato",$I$38-1,0)),IF(AND($L$37=0,$P$34=0),"",$L$37-1),IF($R$17="Distrato",$E346,0))),0,YEARFRAC(MAX($P$34*($B346+IF($R$17="Distrato",$I$38-1,0)),IF(AND($L$37=0,$P$34=0),"",$L$37-1),IF($R$17="Distrato",$E346,0)),MIN(R$38,$D$19),$P$20))-SUM($P346:Q346)</f>
        <v>#VALUE!</v>
      </c>
      <c r="S346" s="446" t="e">
        <f>IF(OR($B346="",MIN(S$38,$D$19)&lt;MAX($P$34*($B346+IF($R$17="Distrato",$I$38-1,0)),IF(AND($L$37=0,$P$34=0),"",$L$37-1),IF($R$17="Distrato",$E346,0))),0,YEARFRAC(MAX($P$34*($B346+IF($R$17="Distrato",$I$38-1,0)),IF(AND($L$37=0,$P$34=0),"",$L$37-1),IF($R$17="Distrato",$E346,0)),MIN(S$38,$D$19),$P$20))-SUM($P346:R346)</f>
        <v>#VALUE!</v>
      </c>
      <c r="T346" s="446" t="e">
        <f>IF(OR($B346="",MIN(T$38,$D$19)&lt;MAX($P$34*($B346+IF($R$17="Distrato",$I$38-1,0)),IF(AND($L$37=0,$P$34=0),"",$L$37-1),IF($R$17="Distrato",$E346,0))),0,YEARFRAC(MAX($P$34*($B346+IF($R$17="Distrato",$I$38-1,0)),IF(AND($L$37=0,$P$34=0),"",$L$37-1),IF($R$17="Distrato",$E346,0)),MIN(T$38,$D$19),$P$20))-SUM($P346:S346)</f>
        <v>#VALUE!</v>
      </c>
      <c r="U346" s="446" t="e">
        <f>IF(OR($B346="",MIN(U$38,$D$19)&lt;MAX($P$34*($B346+IF($R$17="Distrato",$I$38-1,0)),IF(AND($L$37=0,$P$34=0),"",$L$37-1),IF($R$17="Distrato",$E346,0))),0,YEARFRAC(MAX($P$34*($B346+IF($R$17="Distrato",$I$38-1,0)),IF(AND($L$37=0,$P$34=0),"",$L$37-1),IF($R$17="Distrato",$E346,0)),MIN(U$38,$D$19),$P$20))-SUM($P346:T346)</f>
        <v>#VALUE!</v>
      </c>
      <c r="V346" s="446" t="e">
        <f>IF(OR($B346="",MIN(V$38,$D$19)&lt;MAX($P$34*($B346+IF($R$17="Distrato",$I$38-1,0)),IF(AND($L$37=0,$P$34=0),"",$L$37-1),IF($R$17="Distrato",$E346,0))),0,YEARFRAC(MAX($P$34*($B346+IF($R$17="Distrato",$I$38-1,0)),IF(AND($L$37=0,$P$34=0),"",$L$37-1),IF($R$17="Distrato",$E346,0)),MIN(V$38,$D$19),$P$20))-SUM($P346:U346)</f>
        <v>#VALUE!</v>
      </c>
      <c r="W346" s="446" t="e">
        <f>IF(OR($B346="",MIN(W$38,$D$19)&lt;MAX($P$34*($B346+IF($R$17="Distrato",$I$38-1,0)),IF(AND($L$37=0,$P$34=0),"",$L$37-1),IF($R$17="Distrato",$E346,0))),0,YEARFRAC(MAX($P$34*($B346+IF($R$17="Distrato",$I$38-1,0)),IF(AND($L$37=0,$P$34=0),"",$L$37-1),IF($R$17="Distrato",$E346,0)),MIN(W$38,$D$19),$P$20))-SUM($P346:V346)</f>
        <v>#VALUE!</v>
      </c>
      <c r="X346" s="446" t="e">
        <f>IF(OR($B346="",MIN(X$38,$D$19)&lt;MAX($P$34*($B346+IF($R$17="Distrato",$I$38-1,0)),IF(AND($L$37=0,$P$34=0),"",$L$37-1),IF($R$17="Distrato",$E346,0))),0,YEARFRAC(MAX($P$34*($B346+IF($R$17="Distrato",$I$38-1,0)),IF(AND($L$37=0,$P$34=0),"",$L$37-1),IF($R$17="Distrato",$E346,0)),MIN(X$38,$D$19),$P$20))-SUM($P346:W346)</f>
        <v>#VALUE!</v>
      </c>
      <c r="Y346" s="446" t="e">
        <f>IF(OR($B346="",MIN(Y$38,$D$19)&lt;MAX($P$34*($B346+IF($R$17="Distrato",$I$38-1,0)),IF(AND($L$37=0,$P$34=0),"",$L$37-1),IF($R$17="Distrato",$E346,0))),0,YEARFRAC(MAX($P$34*($B346+IF($R$17="Distrato",$I$38-1,0)),IF(AND($L$37=0,$P$34=0),"",$L$37-1),IF($R$17="Distrato",$E346,0)),MIN(Y$38,$D$19),$P$20))-SUM($P346:X346)</f>
        <v>#VALUE!</v>
      </c>
      <c r="Z346" s="446" t="e">
        <f>IF(OR($B346="",MIN(Z$38,$D$19)&lt;MAX($P$34*($B346+IF($R$17="Distrato",$I$38-1,0)),IF(AND($L$37=0,$P$34=0),"",$L$37-1),IF($R$17="Distrato",$E346,0))),0,YEARFRAC(MAX($P$34*($B346+IF($R$17="Distrato",$I$38-1,0)),IF(AND($L$37=0,$P$34=0),"",$L$37-1),IF($R$17="Distrato",$E346,0)),MIN(Z$38,$D$19),$P$20))-SUM($P346:Y346)</f>
        <v>#VALUE!</v>
      </c>
      <c r="AA346" s="446" t="e">
        <f>IF(OR($B346="",MIN(AA$38,$D$19)&lt;MAX($P$34*($B346+IF($R$17="Distrato",$I$38-1,0)),IF(AND($L$37=0,$P$34=0),"",$L$37-1),IF($R$17="Distrato",$E346,0))),0,YEARFRAC(MAX($P$34*($B346+IF($R$17="Distrato",$I$38-1,0)),IF(AND($L$37=0,$P$34=0),"",$L$37-1),IF($R$17="Distrato",$E346,0)),MIN(AA$38,$D$19),$P$20))-SUM($P346:Z346)</f>
        <v>#VALUE!</v>
      </c>
      <c r="AB346" s="446" t="e">
        <f>IF(OR($B346="",MIN(AB$38,$D$19)&lt;MAX($P$34*($B346+IF($R$17="Distrato",$I$38-1,0)),IF(AND($L$37=0,$P$34=0),"",$L$37-1),IF($R$17="Distrato",$E346,0))),0,YEARFRAC(MAX($P$34*($B346+IF($R$17="Distrato",$I$38-1,0)),IF(AND($L$37=0,$P$34=0),"",$L$37-1),IF($R$17="Distrato",$E346,0)),MIN(AB$38,$D$19),$P$20))-SUM($P346:AA346)</f>
        <v>#VALUE!</v>
      </c>
      <c r="AC346" s="446" t="e">
        <f>IF(OR($B346="",MIN(AC$38,$D$19)&lt;MAX($P$34*($B346+IF($R$17="Distrato",$I$38-1,0)),IF(AND($L$37=0,$P$34=0),"",$L$37-1),IF($R$17="Distrato",$E346,0))),0,YEARFRAC(MAX($P$34*($B346+IF($R$17="Distrato",$I$38-1,0)),IF(AND($L$37=0,$P$34=0),"",$L$37-1),IF($R$17="Distrato",$E346,0)),MIN(AC$38,$D$19),$P$20))-SUM($P346:AB346)</f>
        <v>#VALUE!</v>
      </c>
      <c r="AD346" s="446" t="e">
        <f>IF(OR($B346="",MIN(AD$38,$D$19)&lt;MAX($P$34*($B346+IF($R$17="Distrato",$I$38-1,0)),IF(AND($L$37=0,$P$34=0),"",$L$37-1),IF($R$17="Distrato",$E346,0))),0,YEARFRAC(MAX($P$34*($B346+IF($R$17="Distrato",$I$38-1,0)),IF(AND($L$37=0,$P$34=0),"",$L$37-1),IF($R$17="Distrato",$E346,0)),MIN(AD$38,$D$19),$P$20))-SUM($P346:AC346)</f>
        <v>#VALUE!</v>
      </c>
      <c r="AE346" s="446" t="e">
        <f>IF(OR($B346="",MIN(AE$38,$D$19)&lt;MAX($P$34*($B346+IF($R$17="Distrato",$I$38-1,0)),IF(AND($L$37=0,$P$34=0),"",$L$37-1),IF($R$17="Distrato",$E346,0))),0,YEARFRAC(MAX($P$34*($B346+IF($R$17="Distrato",$I$38-1,0)),IF(AND($L$37=0,$P$34=0),"",$L$37-1),IF($R$17="Distrato",$E346,0)),MIN(AE$38,$D$19),$P$20))-SUM($P346:AD346)</f>
        <v>#VALUE!</v>
      </c>
      <c r="AF346" s="446" t="e">
        <f>IF(OR($B346="",MIN(AF$38,$D$19)&lt;MAX($P$34*($B346+IF($R$17="Distrato",$I$38-1,0)),IF(AND($L$37=0,$P$34=0),"",$L$37-1),IF($R$17="Distrato",$E346,0))),0,YEARFRAC(MAX($P$34*($B346+IF($R$17="Distrato",$I$38-1,0)),IF(AND($L$37=0,$P$34=0),"",$L$37-1),IF($R$17="Distrato",$E346,0)),MIN(AF$38,$D$19),$P$20))-SUM($P346:AE346)</f>
        <v>#VALUE!</v>
      </c>
      <c r="AG346" s="446" t="e">
        <f>IF(OR($B346="",MIN(AG$38,$D$19)&lt;MAX($P$34*($B346+IF($R$17="Distrato",$I$38-1,0)),IF(AND($L$37=0,$P$34=0),"",$L$37-1),IF($R$17="Distrato",$E346,0))),0,YEARFRAC(MAX($P$34*($B346+IF($R$17="Distrato",$I$38-1,0)),IF(AND($L$37=0,$P$34=0),"",$L$37-1),IF($R$17="Distrato",$E346,0)),MIN(AG$38,$D$19),$P$20))-SUM($P346:AF346)</f>
        <v>#VALUE!</v>
      </c>
      <c r="AH346" s="446" t="e">
        <f>IF(OR($B346="",MIN(AH$38,$D$19)&lt;MAX($P$34*($B346+IF($R$17="Distrato",$I$38-1,0)),IF(AND($L$37=0,$P$34=0),"",$L$37-1),IF($R$17="Distrato",$E346,0))),0,YEARFRAC(MAX($P$34*($B346+IF($R$17="Distrato",$I$38-1,0)),IF(AND($L$37=0,$P$34=0),"",$L$37-1),IF($R$17="Distrato",$E346,0)),MIN(AH$38,$D$19),$P$20))-SUM($P346:AG346)</f>
        <v>#VALUE!</v>
      </c>
      <c r="AI346" s="446" t="e">
        <f>IF(OR($B346="",MIN(AI$38,$D$19)&lt;MAX($P$34*($B346+IF($R$17="Distrato",$I$38-1,0)),IF(AND($L$37=0,$P$34=0),"",$L$37-1),IF($R$17="Distrato",$E346,0))),0,YEARFRAC(MAX($P$34*($B346+IF($R$17="Distrato",$I$38-1,0)),IF(AND($L$37=0,$P$34=0),"",$L$37-1),IF($R$17="Distrato",$E346,0)),MIN(AI$38,$D$19),$P$20))-SUM($P346:AH346)</f>
        <v>#VALUE!</v>
      </c>
      <c r="AJ346" s="446" t="e">
        <f>IF(OR($B346="",MIN(AJ$38,$D$19)&lt;MAX($P$34*($B346+IF($R$17="Distrato",$I$38-1,0)),IF(AND($L$37=0,$P$34=0),"",$L$37-1),IF($R$17="Distrato",$E346,0))),0,YEARFRAC(MAX($P$34*($B346+IF($R$17="Distrato",$I$38-1,0)),IF(AND($L$37=0,$P$34=0),"",$L$37-1),IF($R$17="Distrato",$E346,0)),MIN(AJ$38,$D$19),$P$20))-SUM($P346:AI346)</f>
        <v>#VALUE!</v>
      </c>
      <c r="AK346" s="446" t="e">
        <f>IF(OR($B346="",MIN(AK$38,$D$19)&lt;MAX($P$34*($B346+IF($R$17="Distrato",$I$38-1,0)),IF(AND($L$37=0,$P$34=0),"",$L$37-1),IF($R$17="Distrato",$E346,0))),0,YEARFRAC(MAX($P$34*($B346+IF($R$17="Distrato",$I$38-1,0)),IF(AND($L$37=0,$P$34=0),"",$L$37-1),IF($R$17="Distrato",$E346,0)),MIN(AK$38,$D$19),$P$20))-SUM($P346:AJ346)</f>
        <v>#VALUE!</v>
      </c>
      <c r="AL346" s="446" t="e">
        <f>IF(OR($B346="",MIN(AL$38,$D$19)&lt;MAX($P$34*($B346+IF($R$17="Distrato",$I$38-1,0)),IF(AND($L$37=0,$P$34=0),"",$L$37-1),IF($R$17="Distrato",$E346,0))),0,YEARFRAC(MAX($P$34*($B346+IF($R$17="Distrato",$I$38-1,0)),IF(AND($L$37=0,$P$34=0),"",$L$37-1),IF($R$17="Distrato",$E346,0)),MIN(AL$38,$D$19),$P$20))-SUM($P346:AK346)</f>
        <v>#VALUE!</v>
      </c>
      <c r="AM346" s="446" t="e">
        <f>IF(OR($B346="",MIN(AM$38,$D$19)&lt;MAX($P$34*($B346+IF($R$17="Distrato",$I$38-1,0)),IF(AND($L$37=0,$P$34=0),"",$L$37-1),IF($R$17="Distrato",$E346,0))),0,YEARFRAC(MAX($P$34*($B346+IF($R$17="Distrato",$I$38-1,0)),IF(AND($L$37=0,$P$34=0),"",$L$37-1),IF($R$17="Distrato",$E346,0)),MIN(AM$38,$D$19),$P$20))-SUM($P346:AL346)</f>
        <v>#VALUE!</v>
      </c>
      <c r="AN346" s="446" t="e">
        <f>IF(OR($B346="",MIN(AN$38,$D$19)&lt;MAX($P$34*($B346+IF($R$17="Distrato",$I$38-1,0)),IF(AND($L$37=0,$P$34=0),"",$L$37-1),IF($R$17="Distrato",$E346,0))),0,YEARFRAC(MAX($P$34*($B346+IF($R$17="Distrato",$I$38-1,0)),IF(AND($L$37=0,$P$34=0),"",$L$37-1),IF($R$17="Distrato",$E346,0)),MIN(AN$38,$D$19),$P$20))-SUM($P346:AM346)</f>
        <v>#VALUE!</v>
      </c>
      <c r="AO346" s="446" t="e">
        <f>IF(OR($B346="",MIN(AO$38,$D$19)&lt;MAX($P$34*($B346+IF($R$17="Distrato",$I$38-1,0)),IF(AND($L$37=0,$P$34=0),"",$L$37-1),IF($R$17="Distrato",$E346,0))),0,YEARFRAC(MAX($P$34*($B346+IF($R$17="Distrato",$I$38-1,0)),IF(AND($L$37=0,$P$34=0),"",$L$37-1),IF($R$17="Distrato",$E346,0)),MIN(AO$38,$D$19),$P$20))-SUM($P346:AN346)</f>
        <v>#VALUE!</v>
      </c>
      <c r="AP346" s="446" t="e">
        <f>IF(OR($B346="",MIN(AP$38,$D$19)&lt;MAX($P$34*($B346+IF($R$17="Distrato",$I$38-1,0)),IF(AND($L$37=0,$P$34=0),"",$L$37-1),IF($R$17="Distrato",$E346,0))),0,YEARFRAC(MAX($P$34*($B346+IF($R$17="Distrato",$I$38-1,0)),IF(AND($L$37=0,$P$34=0),"",$L$37-1),IF($R$17="Distrato",$E346,0)),MIN(AP$38,$D$19),$P$20))-SUM($P346:AO346)</f>
        <v>#VALUE!</v>
      </c>
      <c r="AQ346" s="446" t="e">
        <f>IF(OR($B346="",MIN(AQ$38,$D$19)&lt;MAX($P$34*($B346+IF($R$17="Distrato",$I$38-1,0)),IF(AND($L$37=0,$P$34=0),"",$L$37-1),IF($R$17="Distrato",$E346,0))),0,YEARFRAC(MAX($P$34*($B346+IF($R$17="Distrato",$I$38-1,0)),IF(AND($L$37=0,$P$34=0),"",$L$37-1),IF($R$17="Distrato",$E346,0)),MIN(AQ$38,$D$19),$P$20))-SUM($P346:AP346)</f>
        <v>#VALUE!</v>
      </c>
      <c r="AR346" s="446" t="e">
        <f>IF(OR($B346="",MIN(AR$38,$D$19)&lt;MAX($P$34*($B346+IF($R$17="Distrato",$I$38-1,0)),IF(AND($L$37=0,$P$34=0),"",$L$37-1),IF($R$17="Distrato",$E346,0))),0,YEARFRAC(MAX($P$34*($B346+IF($R$17="Distrato",$I$38-1,0)),IF(AND($L$37=0,$P$34=0),"",$L$37-1),IF($R$17="Distrato",$E346,0)),MIN(AR$38,$D$19),$P$20))-SUM($P346:AQ346)</f>
        <v>#VALUE!</v>
      </c>
      <c r="AS346" s="446" t="e">
        <f>IF(OR($B346="",MIN(AS$38,$D$19)&lt;MAX($P$34*($B346+IF($R$17="Distrato",$I$38-1,0)),IF(AND($L$37=0,$P$34=0),"",$L$37-1),IF($R$17="Distrato",$E346,0))),0,YEARFRAC(MAX($P$34*($B346+IF($R$17="Distrato",$I$38-1,0)),IF(AND($L$37=0,$P$34=0),"",$L$37-1),IF($R$17="Distrato",$E346,0)),MIN(AS$38,$D$19),$P$20))-SUM($P346:AR346)</f>
        <v>#VALUE!</v>
      </c>
      <c r="AT346" s="446" t="e">
        <f>IF(OR($B346="",MIN(AT$38,$D$19)&lt;MAX($P$34*($B346+IF($R$17="Distrato",$I$38-1,0)),IF(AND($L$37=0,$P$34=0),"",$L$37-1),IF($R$17="Distrato",$E346,0))),0,YEARFRAC(MAX($P$34*($B346+IF($R$17="Distrato",$I$38-1,0)),IF(AND($L$37=0,$P$34=0),"",$L$37-1),IF($R$17="Distrato",$E346,0)),MIN(AT$38,$D$19),$P$20))-SUM($P346:AS346)</f>
        <v>#VALUE!</v>
      </c>
      <c r="AU346" s="446" t="e">
        <f>IF(OR($B346="",MIN(AU$38,$D$19)&lt;MAX($P$34*($B346+IF($R$17="Distrato",$I$38-1,0)),IF(AND($L$37=0,$P$34=0),"",$L$37-1),IF($R$17="Distrato",$E346,0))),0,YEARFRAC(MAX($P$34*($B346+IF($R$17="Distrato",$I$38-1,0)),IF(AND($L$37=0,$P$34=0),"",$L$37-1),IF($R$17="Distrato",$E346,0)),MIN(AU$38,$D$19),$P$20))-SUM($P346:AT346)</f>
        <v>#VALUE!</v>
      </c>
      <c r="AV346" s="446" t="e">
        <f>IF(OR($B346="",MIN(AV$38,$D$19)&lt;MAX($P$34*($B346+IF($R$17="Distrato",$I$38-1,0)),IF(AND($L$37=0,$P$34=0),"",$L$37-1),IF($R$17="Distrato",$E346,0))),0,YEARFRAC(MAX($P$34*($B346+IF($R$17="Distrato",$I$38-1,0)),IF(AND($L$37=0,$P$34=0),"",$L$37-1),IF($R$17="Distrato",$E346,0)),MIN(AV$38,$D$19),$P$20))-SUM($P346:AU346)</f>
        <v>#VALUE!</v>
      </c>
      <c r="AW346" s="446" t="e">
        <f>IF(OR($B346="",MIN(AW$38,$D$19)&lt;MAX($P$34*($B346+IF($R$17="Distrato",$I$38-1,0)),IF(AND($L$37=0,$P$34=0),"",$L$37-1),IF($R$17="Distrato",$E346,0))),0,YEARFRAC(MAX($P$34*($B346+IF($R$17="Distrato",$I$38-1,0)),IF(AND($L$37=0,$P$34=0),"",$L$37-1),IF($R$17="Distrato",$E346,0)),MIN(AW$38,$D$19),$P$20))-SUM($P346:AV346)</f>
        <v>#VALUE!</v>
      </c>
      <c r="AX346" s="446" t="e">
        <f>IF(OR($B346="",MIN(AX$38,$D$19)&lt;MAX($P$34*($B346+IF($R$17="Distrato",$I$38-1,0)),IF(AND($L$37=0,$P$34=0),"",$L$37-1),IF($R$17="Distrato",$E346,0))),0,YEARFRAC(MAX($P$34*($B346+IF($R$17="Distrato",$I$38-1,0)),IF(AND($L$37=0,$P$34=0),"",$L$37-1),IF($R$17="Distrato",$E346,0)),MIN(AX$38,$D$19),$P$20))-SUM($P346:AW346)</f>
        <v>#VALUE!</v>
      </c>
      <c r="AY346" s="446" t="e">
        <f>IF(OR($B346="",MIN(AY$38,$D$19)&lt;MAX($P$34*($B346+IF($R$17="Distrato",$I$38-1,0)),IF(AND($L$37=0,$P$34=0),"",$L$37-1),IF($R$17="Distrato",$E346,0))),0,YEARFRAC(MAX($P$34*($B346+IF($R$17="Distrato",$I$38-1,0)),IF(AND($L$37=0,$P$34=0),"",$L$37-1),IF($R$17="Distrato",$E346,0)),MIN(AY$38,$D$19),$P$20))-SUM($P346:AX346)</f>
        <v>#VALUE!</v>
      </c>
      <c r="AZ346" s="446" t="e">
        <f>IF(OR($B346="",MIN(AZ$38,$D$19)&lt;MAX($P$34*($B346+IF($R$17="Distrato",$I$38-1,0)),IF(AND($L$37=0,$P$34=0),"",$L$37-1),IF($R$17="Distrato",$E346,0))),0,YEARFRAC(MAX($P$34*($B346+IF($R$17="Distrato",$I$38-1,0)),IF(AND($L$37=0,$P$34=0),"",$L$37-1),IF($R$17="Distrato",$E346,0)),MIN(AZ$38,$D$19),$P$20))-SUM($P346:AY346)</f>
        <v>#VALUE!</v>
      </c>
      <c r="BA346" s="446" t="e">
        <f>IF(OR($B346="",MIN(BA$38,$D$19)&lt;MAX($P$34*($B346+IF($R$17="Distrato",$I$38-1,0)),IF(AND($L$37=0,$P$34=0),"",$L$37-1),IF($R$17="Distrato",$E346,0))),0,YEARFRAC(MAX($P$34*($B346+IF($R$17="Distrato",$I$38-1,0)),IF(AND($L$37=0,$P$34=0),"",$L$37-1),IF($R$17="Distrato",$E346,0)),MIN(BA$38,$D$19),$P$20))-SUM($P346:AZ346)</f>
        <v>#VALUE!</v>
      </c>
      <c r="BB346" s="447"/>
      <c r="BF346" s="446">
        <f t="shared" si="54"/>
        <v>0</v>
      </c>
      <c r="BG346" s="446">
        <f>IF($E346=0,0,IF(MIN(BG$38,$E346)&lt;MAX($P$34*($B346+$I$38-1),IF(AND($L$37=0,$P$34=0),"",$L$37-1)),0,YEARFRAC(MAX($P$34*($B346+$I$38-1),IF(AND($L$37=0,$P$34=0),"",$L$37-1)),MIN(BG$38,$E346),$P$20))-SUM($BF346:BF346))</f>
        <v>0</v>
      </c>
      <c r="BH346" s="446">
        <f>IF($E346=0,0,IF(MIN(BH$38,$E346)&lt;MAX($P$34*($B346+$I$38-1),IF(AND($L$37=0,$P$34=0),"",$L$37-1)),0,YEARFRAC(MAX($P$34*($B346+$I$38-1),IF(AND($L$37=0,$P$34=0),"",$L$37-1)),MIN(BH$38,$E346),$P$20))-SUM($BF346:BG346))</f>
        <v>0</v>
      </c>
      <c r="BI346" s="446">
        <f>IF($E346=0,0,IF(MIN(BI$38,$E346)&lt;MAX($P$34*($B346+$I$38-1),IF(AND($L$37=0,$P$34=0),"",$L$37-1)),0,YEARFRAC(MAX($P$34*($B346+$I$38-1),IF(AND($L$37=0,$P$34=0),"",$L$37-1)),MIN(BI$38,$E346),$P$20))-SUM($BF346:BH346))</f>
        <v>0</v>
      </c>
      <c r="BJ346" s="446">
        <f>IF($E346=0,0,IF(MIN(BJ$38,$E346)&lt;MAX($P$34*($B346+$I$38-1),IF(AND($L$37=0,$P$34=0),"",$L$37-1)),0,YEARFRAC(MAX($P$34*($B346+$I$38-1),IF(AND($L$37=0,$P$34=0),"",$L$37-1)),MIN(BJ$38,$E346),$P$20))-SUM($BF346:BI346))</f>
        <v>0</v>
      </c>
      <c r="BK346" s="446">
        <f>IF($E346=0,0,IF(MIN(BK$38,$E346)&lt;MAX($P$34*($B346+$I$38-1),IF(AND($L$37=0,$P$34=0),"",$L$37-1)),0,YEARFRAC(MAX($P$34*($B346+$I$38-1),IF(AND($L$37=0,$P$34=0),"",$L$37-1)),MIN(BK$38,$E346),$P$20))-SUM($BF346:BJ346))</f>
        <v>0</v>
      </c>
      <c r="BL346" s="446">
        <f>IF($E346=0,0,IF(MIN(BL$38,$E346)&lt;MAX($P$34*($B346+$I$38-1),IF(AND($L$37=0,$P$34=0),"",$L$37-1)),0,YEARFRAC(MAX($P$34*($B346+$I$38-1),IF(AND($L$37=0,$P$34=0),"",$L$37-1)),MIN(BL$38,$E346),$P$20))-SUM($BF346:BK346))</f>
        <v>0</v>
      </c>
      <c r="BM346" s="446">
        <f>IF($E346=0,0,IF(MIN(BM$38,$E346)&lt;MAX($P$34*($B346+$I$38-1),IF(AND($L$37=0,$P$34=0),"",$L$37-1)),0,YEARFRAC(MAX($P$34*($B346+$I$38-1),IF(AND($L$37=0,$P$34=0),"",$L$37-1)),MIN(BM$38,$E346),$P$20))-SUM($BF346:BL346))</f>
        <v>0</v>
      </c>
      <c r="BN346" s="446">
        <f>IF($E346=0,0,IF(MIN(BN$38,$E346)&lt;MAX($P$34*($B346+$I$38-1),IF(AND($L$37=0,$P$34=0),"",$L$37-1)),0,YEARFRAC(MAX($P$34*($B346+$I$38-1),IF(AND($L$37=0,$P$34=0),"",$L$37-1)),MIN(BN$38,$E346),$P$20))-SUM($BF346:BM346))</f>
        <v>0</v>
      </c>
      <c r="BO346" s="446">
        <f>IF($E346=0,0,IF(MIN(BO$38,$E346)&lt;MAX($P$34*($B346+$I$38-1),IF(AND($L$37=0,$P$34=0),"",$L$37-1)),0,YEARFRAC(MAX($P$34*($B346+$I$38-1),IF(AND($L$37=0,$P$34=0),"",$L$37-1)),MIN(BO$38,$E346),$P$20))-SUM($BF346:BN346))</f>
        <v>0</v>
      </c>
      <c r="BP346" s="446">
        <f>IF($E346=0,0,IF(MIN(BP$38,$E346)&lt;MAX($P$34*($B346+$I$38-1),IF(AND($L$37=0,$P$34=0),"",$L$37-1)),0,YEARFRAC(MAX($P$34*($B346+$I$38-1),IF(AND($L$37=0,$P$34=0),"",$L$37-1)),MIN(BP$38,$E346),$P$20))-SUM($BF346:BO346))</f>
        <v>0</v>
      </c>
      <c r="BQ346" s="446">
        <f>IF($E346=0,0,IF(MIN(BQ$38,$E346)&lt;MAX($P$34*($B346+$I$38-1),IF(AND($L$37=0,$P$34=0),"",$L$37-1)),0,YEARFRAC(MAX($P$34*($B346+$I$38-1),IF(AND($L$37=0,$P$34=0),"",$L$37-1)),MIN(BQ$38,$E346),$P$20))-SUM($BF346:BP346))</f>
        <v>0</v>
      </c>
      <c r="BR346" s="446">
        <f>IF($E346=0,0,IF(MIN(BR$38,$E346)&lt;MAX($P$34*($B346+$I$38-1),IF(AND($L$37=0,$P$34=0),"",$L$37-1)),0,YEARFRAC(MAX($P$34*($B346+$I$38-1),IF(AND($L$37=0,$P$34=0),"",$L$37-1)),MIN(BR$38,$E346),$P$20))-SUM($BF346:BQ346))</f>
        <v>0</v>
      </c>
      <c r="BS346" s="446">
        <f>IF($E346=0,0,IF(MIN(BS$38,$E346)&lt;MAX($P$34*($B346+$I$38-1),IF(AND($L$37=0,$P$34=0),"",$L$37-1)),0,YEARFRAC(MAX($P$34*($B346+$I$38-1),IF(AND($L$37=0,$P$34=0),"",$L$37-1)),MIN(BS$38,$E346),$P$20))-SUM($BF346:BR346))</f>
        <v>0</v>
      </c>
      <c r="BT346" s="446">
        <f>IF($E346=0,0,IF(MIN(BT$38,$E346)&lt;MAX($P$34*($B346+$I$38-1),IF(AND($L$37=0,$P$34=0),"",$L$37-1)),0,YEARFRAC(MAX($P$34*($B346+$I$38-1),IF(AND($L$37=0,$P$34=0),"",$L$37-1)),MIN(BT$38,$E346),$P$20))-SUM($BF346:BS346))</f>
        <v>0</v>
      </c>
      <c r="BU346" s="446">
        <f>IF($E346=0,0,IF(MIN(BU$38,$E346)&lt;MAX($P$34*($B346+$I$38-1),IF(AND($L$37=0,$P$34=0),"",$L$37-1)),0,YEARFRAC(MAX($P$34*($B346+$I$38-1),IF(AND($L$37=0,$P$34=0),"",$L$37-1)),MIN(BU$38,$E346),$P$20))-SUM($BF346:BT346))</f>
        <v>0</v>
      </c>
      <c r="BV346" s="446">
        <f>IF($E346=0,0,IF(MIN(BV$38,$E346)&lt;MAX($P$34*($B346+$I$38-1),IF(AND($L$37=0,$P$34=0),"",$L$37-1)),0,YEARFRAC(MAX($P$34*($B346+$I$38-1),IF(AND($L$37=0,$P$34=0),"",$L$37-1)),MIN(BV$38,$E346),$P$20))-SUM($BF346:BU346))</f>
        <v>0</v>
      </c>
      <c r="BW346" s="446">
        <f>IF($E346=0,0,IF(MIN(BW$38,$E346)&lt;MAX($P$34*($B346+$I$38-1),IF(AND($L$37=0,$P$34=0),"",$L$37-1)),0,YEARFRAC(MAX($P$34*($B346+$I$38-1),IF(AND($L$37=0,$P$34=0),"",$L$37-1)),MIN(BW$38,$E346),$P$20))-SUM($BF346:BV346))</f>
        <v>0</v>
      </c>
      <c r="BX346" s="446">
        <f>IF($E346=0,0,IF(MIN(BX$38,$E346)&lt;MAX($P$34*($B346+$I$38-1),IF(AND($L$37=0,$P$34=0),"",$L$37-1)),0,YEARFRAC(MAX($P$34*($B346+$I$38-1),IF(AND($L$37=0,$P$34=0),"",$L$37-1)),MIN(BX$38,$E346),$P$20))-SUM($BF346:BW346))</f>
        <v>0</v>
      </c>
      <c r="BY346" s="446">
        <f>IF($E346=0,0,IF(MIN(BY$38,$E346)&lt;MAX($P$34*($B346+$I$38-1),IF(AND($L$37=0,$P$34=0),"",$L$37-1)),0,YEARFRAC(MAX($P$34*($B346+$I$38-1),IF(AND($L$37=0,$P$34=0),"",$L$37-1)),MIN(BY$38,$E346),$P$20))-SUM($BF346:BX346))</f>
        <v>0</v>
      </c>
      <c r="BZ346" s="446">
        <f>IF($E346=0,0,IF(MIN(BZ$38,$E346)&lt;MAX($P$34*($B346+$I$38-1),IF(AND($L$37=0,$P$34=0),"",$L$37-1)),0,YEARFRAC(MAX($P$34*($B346+$I$38-1),IF(AND($L$37=0,$P$34=0),"",$L$37-1)),MIN(BZ$38,$E346),$P$20))-SUM($BF346:BY346))</f>
        <v>0</v>
      </c>
      <c r="CA346" s="446">
        <f>IF($E346=0,0,IF(MIN(CA$38,$E346)&lt;MAX($P$34*($B346+$I$38-1),IF(AND($L$37=0,$P$34=0),"",$L$37-1)),0,YEARFRAC(MAX($P$34*($B346+$I$38-1),IF(AND($L$37=0,$P$34=0),"",$L$37-1)),MIN(CA$38,$E346),$P$20))-SUM($BF346:BZ346))</f>
        <v>0</v>
      </c>
      <c r="CB346" s="446">
        <f>IF($E346=0,0,IF(MIN(CB$38,$E346)&lt;MAX($P$34*($B346+$I$38-1),IF(AND($L$37=0,$P$34=0),"",$L$37-1)),0,YEARFRAC(MAX($P$34*($B346+$I$38-1),IF(AND($L$37=0,$P$34=0),"",$L$37-1)),MIN(CB$38,$E346),$P$20))-SUM($BF346:CA346))</f>
        <v>0</v>
      </c>
      <c r="CC346" s="446">
        <f>IF($E346=0,0,IF(MIN(CC$38,$E346)&lt;MAX($P$34*($B346+$I$38-1),IF(AND($L$37=0,$P$34=0),"",$L$37-1)),0,YEARFRAC(MAX($P$34*($B346+$I$38-1),IF(AND($L$37=0,$P$34=0),"",$L$37-1)),MIN(CC$38,$E346),$P$20))-SUM($BF346:CB346))</f>
        <v>0</v>
      </c>
      <c r="CD346" s="446">
        <f>IF($E346=0,0,IF(MIN(CD$38,$E346)&lt;MAX($P$34*($B346+$I$38-1),IF(AND($L$37=0,$P$34=0),"",$L$37-1)),0,YEARFRAC(MAX($P$34*($B346+$I$38-1),IF(AND($L$37=0,$P$34=0),"",$L$37-1)),MIN(CD$38,$E346),$P$20))-SUM($BF346:CC346))</f>
        <v>0</v>
      </c>
      <c r="CE346" s="446">
        <f>IF($E346=0,0,IF(MIN(CE$38,$E346)&lt;MAX($P$34*($B346+$I$38-1),IF(AND($L$37=0,$P$34=0),"",$L$37-1)),0,YEARFRAC(MAX($P$34*($B346+$I$38-1),IF(AND($L$37=0,$P$34=0),"",$L$37-1)),MIN(CE$38,$E346),$P$20))-SUM($BF346:CD346))</f>
        <v>0</v>
      </c>
      <c r="CF346" s="446">
        <f>IF($E346=0,0,IF(MIN(CF$38,$E346)&lt;MAX($P$34*($B346+$I$38-1),IF(AND($L$37=0,$P$34=0),"",$L$37-1)),0,YEARFRAC(MAX($P$34*($B346+$I$38-1),IF(AND($L$37=0,$P$34=0),"",$L$37-1)),MIN(CF$38,$E346),$P$20))-SUM($BF346:CE346))</f>
        <v>0</v>
      </c>
      <c r="CG346" s="446">
        <f>IF($E346=0,0,IF(MIN(CG$38,$E346)&lt;MAX($P$34*($B346+$I$38-1),IF(AND($L$37=0,$P$34=0),"",$L$37-1)),0,YEARFRAC(MAX($P$34*($B346+$I$38-1),IF(AND($L$37=0,$P$34=0),"",$L$37-1)),MIN(CG$38,$E346),$P$20))-SUM($BF346:CF346))</f>
        <v>0</v>
      </c>
      <c r="CH346" s="446">
        <f>IF($E346=0,0,IF(MIN(CH$38,$E346)&lt;MAX($P$34*($B346+$I$38-1),IF(AND($L$37=0,$P$34=0),"",$L$37-1)),0,YEARFRAC(MAX($P$34*($B346+$I$38-1),IF(AND($L$37=0,$P$34=0),"",$L$37-1)),MIN(CH$38,$E346),$P$20))-SUM($BF346:CG346))</f>
        <v>0</v>
      </c>
      <c r="CI346" s="446">
        <f>IF($E346=0,0,IF(MIN(CI$38,$E346)&lt;MAX($P$34*($B346+$I$38-1),IF(AND($L$37=0,$P$34=0),"",$L$37-1)),0,YEARFRAC(MAX($P$34*($B346+$I$38-1),IF(AND($L$37=0,$P$34=0),"",$L$37-1)),MIN(CI$38,$E346),$P$20))-SUM($BF346:CH346))</f>
        <v>0</v>
      </c>
      <c r="CJ346" s="446">
        <f>IF($E346=0,0,IF(MIN(CJ$38,$E346)&lt;MAX($P$34*($B346+$I$38-1),IF(AND($L$37=0,$P$34=0),"",$L$37-1)),0,YEARFRAC(MAX($P$34*($B346+$I$38-1),IF(AND($L$37=0,$P$34=0),"",$L$37-1)),MIN(CJ$38,$E346),$P$20))-SUM($BF346:CI346))</f>
        <v>0</v>
      </c>
      <c r="CK346" s="446">
        <f>IF($E346=0,0,IF(MIN(CK$38,$E346)&lt;MAX($P$34*($B346+$I$38-1),IF(AND($L$37=0,$P$34=0),"",$L$37-1)),0,YEARFRAC(MAX($P$34*($B346+$I$38-1),IF(AND($L$37=0,$P$34=0),"",$L$37-1)),MIN(CK$38,$E346),$P$20))-SUM($BF346:CJ346))</f>
        <v>0</v>
      </c>
      <c r="CL346" s="446">
        <f>IF($E346=0,0,IF(MIN(CL$38,$E346)&lt;MAX($P$34*($B346+$I$38-1),IF(AND($L$37=0,$P$34=0),"",$L$37-1)),0,YEARFRAC(MAX($P$34*($B346+$I$38-1),IF(AND($L$37=0,$P$34=0),"",$L$37-1)),MIN(CL$38,$E346),$P$20))-SUM($BF346:CK346))</f>
        <v>0</v>
      </c>
      <c r="CM346" s="446">
        <f>IF($E346=0,0,IF(MIN(CM$38,$E346)&lt;MAX($P$34*($B346+$I$38-1),IF(AND($L$37=0,$P$34=0),"",$L$37-1)),0,YEARFRAC(MAX($P$34*($B346+$I$38-1),IF(AND($L$37=0,$P$34=0),"",$L$37-1)),MIN(CM$38,$E346),$P$20))-SUM($BF346:CL346))</f>
        <v>0</v>
      </c>
      <c r="CN346" s="446">
        <f>IF($E346=0,0,IF(MIN(CN$38,$E346)&lt;MAX($P$34*($B346+$I$38-1),IF(AND($L$37=0,$P$34=0),"",$L$37-1)),0,YEARFRAC(MAX($P$34*($B346+$I$38-1),IF(AND($L$37=0,$P$34=0),"",$L$37-1)),MIN(CN$38,$E346),$P$20))-SUM($BF346:CM346))</f>
        <v>0</v>
      </c>
      <c r="CO346" s="446">
        <f>IF($E346=0,0,IF(MIN(CO$38,$E346)&lt;MAX($P$34*($B346+$I$38-1),IF(AND($L$37=0,$P$34=0),"",$L$37-1)),0,YEARFRAC(MAX($P$34*($B346+$I$38-1),IF(AND($L$37=0,$P$34=0),"",$L$37-1)),MIN(CO$38,$E346),$P$20))-SUM($BF346:CN346))</f>
        <v>0</v>
      </c>
      <c r="CP346" s="446">
        <f>IF($E346=0,0,IF(MIN(CP$38,$E346)&lt;MAX($P$34*($B346+$I$38-1),IF(AND($L$37=0,$P$34=0),"",$L$37-1)),0,YEARFRAC(MAX($P$34*($B346+$I$38-1),IF(AND($L$37=0,$P$34=0),"",$L$37-1)),MIN(CP$38,$E346),$P$20))-SUM($BF346:CO346))</f>
        <v>0</v>
      </c>
      <c r="CQ346" s="446">
        <f>IF($E346=0,0,IF(MIN(CQ$38,$E346)&lt;MAX($P$34*($B346+$I$38-1),IF(AND($L$37=0,$P$34=0),"",$L$37-1)),0,YEARFRAC(MAX($P$34*($B346+$I$38-1),IF(AND($L$37=0,$P$34=0),"",$L$37-1)),MIN(CQ$38,$E346),$P$20))-SUM($BF346:CP346))</f>
        <v>0</v>
      </c>
    </row>
    <row r="347" spans="1:95" s="446" customFormat="1" ht="11.25" hidden="1" customHeight="1" x14ac:dyDescent="0.2">
      <c r="A347" s="152"/>
      <c r="B347" s="153" t="str">
        <f t="shared" si="59"/>
        <v/>
      </c>
      <c r="C347" s="29" t="str">
        <f>IF(B347="","",IF($L$35="SELIC - TRIBUTOS",VLOOKUP(DATE(YEAR($D$19),MONTH($D$19)-1,1),ÍNDICES!$A:$DE,HLOOKUP($BL$25,ÍNDICES!$B$3:$T$4,2)+11)-VLOOKUP(B347,ÍNDICES!$A:$DE,HLOOKUP($BL$25,ÍNDICES!$B$3:$T$4,2)+11)+1%,IF(C$38=$W$26,$J$35,IF(ISERROR(IF(B347&gt;$D$19,1,VLOOKUP(DATE(YEAR(B347),MONTH(B347)+IF($C$35=$S$23,1,0),1),ÍNDICES!$A:$DE,$Z$35+1))),"",IF(B347&gt;$D$19,1,VLOOKUP(DATE(YEAR(B347),MONTH(B347)+IF($C$35=$S$23,1,0),1),ÍNDICES!$A:$DE,$Z$35+1))))))</f>
        <v/>
      </c>
      <c r="D347" s="154" t="str">
        <f>IF(ISERROR(IF(OR($D$38=$Y$27,$B347=""),"",VLOOKUP(B347,ÍNDICES!A:DE,AF$35+1))),"",IF(OR($D$38=$Y$27,$B347=""),"",VLOOKUP(B347,ÍNDICES!A:DE,AF$35+1)))</f>
        <v/>
      </c>
      <c r="E347" s="153"/>
      <c r="F347" s="29" t="str">
        <f>IF(E347="","",IF($L$35="SELIC - TRIBUTOS",VLOOKUP(DATE(YEAR($D$19),MONTH($D$19)-1,1),ÍNDICES!$A:$DE,HLOOKUP($BL$25,ÍNDICES!$B$3:$T$4,2)+11)-VLOOKUP(E347,ÍNDICES!$A:$DE,HLOOKUP($BL$25,ÍNDICES!$B$3:$T$4,2)+11)+1%,IF(F$38=$W$26,$J$35,IF(ISERROR(IF(E347&gt;$D$19,1,VLOOKUP(DATE(YEAR(E347),MONTH(E347)+IF($C$35=$S$23,1,0),1),ÍNDICES!$A:$DE,$Z$35+1))),"",IF(E347&gt;$D$19,1,VLOOKUP(DATE(YEAR(E347),MONTH(E347)+IF($C$35=$S$23,1,0),1),ÍNDICES!$A:$DE,$Z$35+1))))))</f>
        <v/>
      </c>
      <c r="G347" s="155"/>
      <c r="H347" s="156" t="str">
        <f t="shared" si="55"/>
        <v/>
      </c>
      <c r="I347" s="29" t="str">
        <f t="shared" si="49"/>
        <v/>
      </c>
      <c r="J347" s="5">
        <f t="shared" si="50"/>
        <v>0</v>
      </c>
      <c r="K347" s="20">
        <f t="shared" ca="1" si="51"/>
        <v>0</v>
      </c>
      <c r="L347" s="5">
        <f t="shared" ca="1" si="52"/>
        <v>0</v>
      </c>
      <c r="M347" s="64">
        <f t="shared" si="56"/>
        <v>0</v>
      </c>
      <c r="N347" s="61">
        <f t="shared" ca="1" si="57"/>
        <v>0</v>
      </c>
      <c r="O347" s="5">
        <f t="shared" ca="1" si="58"/>
        <v>0</v>
      </c>
      <c r="P347" s="446" t="e">
        <f t="shared" si="53"/>
        <v>#VALUE!</v>
      </c>
      <c r="Q347" s="446" t="e">
        <f>IF(OR($B347="",MIN(Q$38,$D$19)&lt;MAX($P$34*($B347+IF($R$17="Distrato",$I$38-1,0)),IF(AND($L$37=0,$P$34=0),"",$L$37-1),IF($R$17="Distrato",$E347,0))),0,YEARFRAC(MAX($P$34*($B347+IF($R$17="Distrato",$I$38-1,0)),IF(AND($L$37=0,$P$34=0),"",$L$37-1),IF($R$17="Distrato",$E347,0)),MIN(Q$38,$D$19),$P$20))-SUM($P347:P347)</f>
        <v>#VALUE!</v>
      </c>
      <c r="R347" s="446" t="e">
        <f>IF(OR($B347="",MIN(R$38,$D$19)&lt;MAX($P$34*($B347+IF($R$17="Distrato",$I$38-1,0)),IF(AND($L$37=0,$P$34=0),"",$L$37-1),IF($R$17="Distrato",$E347,0))),0,YEARFRAC(MAX($P$34*($B347+IF($R$17="Distrato",$I$38-1,0)),IF(AND($L$37=0,$P$34=0),"",$L$37-1),IF($R$17="Distrato",$E347,0)),MIN(R$38,$D$19),$P$20))-SUM($P347:Q347)</f>
        <v>#VALUE!</v>
      </c>
      <c r="S347" s="446" t="e">
        <f>IF(OR($B347="",MIN(S$38,$D$19)&lt;MAX($P$34*($B347+IF($R$17="Distrato",$I$38-1,0)),IF(AND($L$37=0,$P$34=0),"",$L$37-1),IF($R$17="Distrato",$E347,0))),0,YEARFRAC(MAX($P$34*($B347+IF($R$17="Distrato",$I$38-1,0)),IF(AND($L$37=0,$P$34=0),"",$L$37-1),IF($R$17="Distrato",$E347,0)),MIN(S$38,$D$19),$P$20))-SUM($P347:R347)</f>
        <v>#VALUE!</v>
      </c>
      <c r="T347" s="446" t="e">
        <f>IF(OR($B347="",MIN(T$38,$D$19)&lt;MAX($P$34*($B347+IF($R$17="Distrato",$I$38-1,0)),IF(AND($L$37=0,$P$34=0),"",$L$37-1),IF($R$17="Distrato",$E347,0))),0,YEARFRAC(MAX($P$34*($B347+IF($R$17="Distrato",$I$38-1,0)),IF(AND($L$37=0,$P$34=0),"",$L$37-1),IF($R$17="Distrato",$E347,0)),MIN(T$38,$D$19),$P$20))-SUM($P347:S347)</f>
        <v>#VALUE!</v>
      </c>
      <c r="U347" s="446" t="e">
        <f>IF(OR($B347="",MIN(U$38,$D$19)&lt;MAX($P$34*($B347+IF($R$17="Distrato",$I$38-1,0)),IF(AND($L$37=0,$P$34=0),"",$L$37-1),IF($R$17="Distrato",$E347,0))),0,YEARFRAC(MAX($P$34*($B347+IF($R$17="Distrato",$I$38-1,0)),IF(AND($L$37=0,$P$34=0),"",$L$37-1),IF($R$17="Distrato",$E347,0)),MIN(U$38,$D$19),$P$20))-SUM($P347:T347)</f>
        <v>#VALUE!</v>
      </c>
      <c r="V347" s="446" t="e">
        <f>IF(OR($B347="",MIN(V$38,$D$19)&lt;MAX($P$34*($B347+IF($R$17="Distrato",$I$38-1,0)),IF(AND($L$37=0,$P$34=0),"",$L$37-1),IF($R$17="Distrato",$E347,0))),0,YEARFRAC(MAX($P$34*($B347+IF($R$17="Distrato",$I$38-1,0)),IF(AND($L$37=0,$P$34=0),"",$L$37-1),IF($R$17="Distrato",$E347,0)),MIN(V$38,$D$19),$P$20))-SUM($P347:U347)</f>
        <v>#VALUE!</v>
      </c>
      <c r="W347" s="446" t="e">
        <f>IF(OR($B347="",MIN(W$38,$D$19)&lt;MAX($P$34*($B347+IF($R$17="Distrato",$I$38-1,0)),IF(AND($L$37=0,$P$34=0),"",$L$37-1),IF($R$17="Distrato",$E347,0))),0,YEARFRAC(MAX($P$34*($B347+IF($R$17="Distrato",$I$38-1,0)),IF(AND($L$37=0,$P$34=0),"",$L$37-1),IF($R$17="Distrato",$E347,0)),MIN(W$38,$D$19),$P$20))-SUM($P347:V347)</f>
        <v>#VALUE!</v>
      </c>
      <c r="X347" s="446" t="e">
        <f>IF(OR($B347="",MIN(X$38,$D$19)&lt;MAX($P$34*($B347+IF($R$17="Distrato",$I$38-1,0)),IF(AND($L$37=0,$P$34=0),"",$L$37-1),IF($R$17="Distrato",$E347,0))),0,YEARFRAC(MAX($P$34*($B347+IF($R$17="Distrato",$I$38-1,0)),IF(AND($L$37=0,$P$34=0),"",$L$37-1),IF($R$17="Distrato",$E347,0)),MIN(X$38,$D$19),$P$20))-SUM($P347:W347)</f>
        <v>#VALUE!</v>
      </c>
      <c r="Y347" s="446" t="e">
        <f>IF(OR($B347="",MIN(Y$38,$D$19)&lt;MAX($P$34*($B347+IF($R$17="Distrato",$I$38-1,0)),IF(AND($L$37=0,$P$34=0),"",$L$37-1),IF($R$17="Distrato",$E347,0))),0,YEARFRAC(MAX($P$34*($B347+IF($R$17="Distrato",$I$38-1,0)),IF(AND($L$37=0,$P$34=0),"",$L$37-1),IF($R$17="Distrato",$E347,0)),MIN(Y$38,$D$19),$P$20))-SUM($P347:X347)</f>
        <v>#VALUE!</v>
      </c>
      <c r="Z347" s="446" t="e">
        <f>IF(OR($B347="",MIN(Z$38,$D$19)&lt;MAX($P$34*($B347+IF($R$17="Distrato",$I$38-1,0)),IF(AND($L$37=0,$P$34=0),"",$L$37-1),IF($R$17="Distrato",$E347,0))),0,YEARFRAC(MAX($P$34*($B347+IF($R$17="Distrato",$I$38-1,0)),IF(AND($L$37=0,$P$34=0),"",$L$37-1),IF($R$17="Distrato",$E347,0)),MIN(Z$38,$D$19),$P$20))-SUM($P347:Y347)</f>
        <v>#VALUE!</v>
      </c>
      <c r="AA347" s="446" t="e">
        <f>IF(OR($B347="",MIN(AA$38,$D$19)&lt;MAX($P$34*($B347+IF($R$17="Distrato",$I$38-1,0)),IF(AND($L$37=0,$P$34=0),"",$L$37-1),IF($R$17="Distrato",$E347,0))),0,YEARFRAC(MAX($P$34*($B347+IF($R$17="Distrato",$I$38-1,0)),IF(AND($L$37=0,$P$34=0),"",$L$37-1),IF($R$17="Distrato",$E347,0)),MIN(AA$38,$D$19),$P$20))-SUM($P347:Z347)</f>
        <v>#VALUE!</v>
      </c>
      <c r="AB347" s="446" t="e">
        <f>IF(OR($B347="",MIN(AB$38,$D$19)&lt;MAX($P$34*($B347+IF($R$17="Distrato",$I$38-1,0)),IF(AND($L$37=0,$P$34=0),"",$L$37-1),IF($R$17="Distrato",$E347,0))),0,YEARFRAC(MAX($P$34*($B347+IF($R$17="Distrato",$I$38-1,0)),IF(AND($L$37=0,$P$34=0),"",$L$37-1),IF($R$17="Distrato",$E347,0)),MIN(AB$38,$D$19),$P$20))-SUM($P347:AA347)</f>
        <v>#VALUE!</v>
      </c>
      <c r="AC347" s="446" t="e">
        <f>IF(OR($B347="",MIN(AC$38,$D$19)&lt;MAX($P$34*($B347+IF($R$17="Distrato",$I$38-1,0)),IF(AND($L$37=0,$P$34=0),"",$L$37-1),IF($R$17="Distrato",$E347,0))),0,YEARFRAC(MAX($P$34*($B347+IF($R$17="Distrato",$I$38-1,0)),IF(AND($L$37=0,$P$34=0),"",$L$37-1),IF($R$17="Distrato",$E347,0)),MIN(AC$38,$D$19),$P$20))-SUM($P347:AB347)</f>
        <v>#VALUE!</v>
      </c>
      <c r="AD347" s="446" t="e">
        <f>IF(OR($B347="",MIN(AD$38,$D$19)&lt;MAX($P$34*($B347+IF($R$17="Distrato",$I$38-1,0)),IF(AND($L$37=0,$P$34=0),"",$L$37-1),IF($R$17="Distrato",$E347,0))),0,YEARFRAC(MAX($P$34*($B347+IF($R$17="Distrato",$I$38-1,0)),IF(AND($L$37=0,$P$34=0),"",$L$37-1),IF($R$17="Distrato",$E347,0)),MIN(AD$38,$D$19),$P$20))-SUM($P347:AC347)</f>
        <v>#VALUE!</v>
      </c>
      <c r="AE347" s="446" t="e">
        <f>IF(OR($B347="",MIN(AE$38,$D$19)&lt;MAX($P$34*($B347+IF($R$17="Distrato",$I$38-1,0)),IF(AND($L$37=0,$P$34=0),"",$L$37-1),IF($R$17="Distrato",$E347,0))),0,YEARFRAC(MAX($P$34*($B347+IF($R$17="Distrato",$I$38-1,0)),IF(AND($L$37=0,$P$34=0),"",$L$37-1),IF($R$17="Distrato",$E347,0)),MIN(AE$38,$D$19),$P$20))-SUM($P347:AD347)</f>
        <v>#VALUE!</v>
      </c>
      <c r="AF347" s="446" t="e">
        <f>IF(OR($B347="",MIN(AF$38,$D$19)&lt;MAX($P$34*($B347+IF($R$17="Distrato",$I$38-1,0)),IF(AND($L$37=0,$P$34=0),"",$L$37-1),IF($R$17="Distrato",$E347,0))),0,YEARFRAC(MAX($P$34*($B347+IF($R$17="Distrato",$I$38-1,0)),IF(AND($L$37=0,$P$34=0),"",$L$37-1),IF($R$17="Distrato",$E347,0)),MIN(AF$38,$D$19),$P$20))-SUM($P347:AE347)</f>
        <v>#VALUE!</v>
      </c>
      <c r="AG347" s="446" t="e">
        <f>IF(OR($B347="",MIN(AG$38,$D$19)&lt;MAX($P$34*($B347+IF($R$17="Distrato",$I$38-1,0)),IF(AND($L$37=0,$P$34=0),"",$L$37-1),IF($R$17="Distrato",$E347,0))),0,YEARFRAC(MAX($P$34*($B347+IF($R$17="Distrato",$I$38-1,0)),IF(AND($L$37=0,$P$34=0),"",$L$37-1),IF($R$17="Distrato",$E347,0)),MIN(AG$38,$D$19),$P$20))-SUM($P347:AF347)</f>
        <v>#VALUE!</v>
      </c>
      <c r="AH347" s="446" t="e">
        <f>IF(OR($B347="",MIN(AH$38,$D$19)&lt;MAX($P$34*($B347+IF($R$17="Distrato",$I$38-1,0)),IF(AND($L$37=0,$P$34=0),"",$L$37-1),IF($R$17="Distrato",$E347,0))),0,YEARFRAC(MAX($P$34*($B347+IF($R$17="Distrato",$I$38-1,0)),IF(AND($L$37=0,$P$34=0),"",$L$37-1),IF($R$17="Distrato",$E347,0)),MIN(AH$38,$D$19),$P$20))-SUM($P347:AG347)</f>
        <v>#VALUE!</v>
      </c>
      <c r="AI347" s="446" t="e">
        <f>IF(OR($B347="",MIN(AI$38,$D$19)&lt;MAX($P$34*($B347+IF($R$17="Distrato",$I$38-1,0)),IF(AND($L$37=0,$P$34=0),"",$L$37-1),IF($R$17="Distrato",$E347,0))),0,YEARFRAC(MAX($P$34*($B347+IF($R$17="Distrato",$I$38-1,0)),IF(AND($L$37=0,$P$34=0),"",$L$37-1),IF($R$17="Distrato",$E347,0)),MIN(AI$38,$D$19),$P$20))-SUM($P347:AH347)</f>
        <v>#VALUE!</v>
      </c>
      <c r="AJ347" s="446" t="e">
        <f>IF(OR($B347="",MIN(AJ$38,$D$19)&lt;MAX($P$34*($B347+IF($R$17="Distrato",$I$38-1,0)),IF(AND($L$37=0,$P$34=0),"",$L$37-1),IF($R$17="Distrato",$E347,0))),0,YEARFRAC(MAX($P$34*($B347+IF($R$17="Distrato",$I$38-1,0)),IF(AND($L$37=0,$P$34=0),"",$L$37-1),IF($R$17="Distrato",$E347,0)),MIN(AJ$38,$D$19),$P$20))-SUM($P347:AI347)</f>
        <v>#VALUE!</v>
      </c>
      <c r="AK347" s="446" t="e">
        <f>IF(OR($B347="",MIN(AK$38,$D$19)&lt;MAX($P$34*($B347+IF($R$17="Distrato",$I$38-1,0)),IF(AND($L$37=0,$P$34=0),"",$L$37-1),IF($R$17="Distrato",$E347,0))),0,YEARFRAC(MAX($P$34*($B347+IF($R$17="Distrato",$I$38-1,0)),IF(AND($L$37=0,$P$34=0),"",$L$37-1),IF($R$17="Distrato",$E347,0)),MIN(AK$38,$D$19),$P$20))-SUM($P347:AJ347)</f>
        <v>#VALUE!</v>
      </c>
      <c r="AL347" s="446" t="e">
        <f>IF(OR($B347="",MIN(AL$38,$D$19)&lt;MAX($P$34*($B347+IF($R$17="Distrato",$I$38-1,0)),IF(AND($L$37=0,$P$34=0),"",$L$37-1),IF($R$17="Distrato",$E347,0))),0,YEARFRAC(MAX($P$34*($B347+IF($R$17="Distrato",$I$38-1,0)),IF(AND($L$37=0,$P$34=0),"",$L$37-1),IF($R$17="Distrato",$E347,0)),MIN(AL$38,$D$19),$P$20))-SUM($P347:AK347)</f>
        <v>#VALUE!</v>
      </c>
      <c r="AM347" s="446" t="e">
        <f>IF(OR($B347="",MIN(AM$38,$D$19)&lt;MAX($P$34*($B347+IF($R$17="Distrato",$I$38-1,0)),IF(AND($L$37=0,$P$34=0),"",$L$37-1),IF($R$17="Distrato",$E347,0))),0,YEARFRAC(MAX($P$34*($B347+IF($R$17="Distrato",$I$38-1,0)),IF(AND($L$37=0,$P$34=0),"",$L$37-1),IF($R$17="Distrato",$E347,0)),MIN(AM$38,$D$19),$P$20))-SUM($P347:AL347)</f>
        <v>#VALUE!</v>
      </c>
      <c r="AN347" s="446" t="e">
        <f>IF(OR($B347="",MIN(AN$38,$D$19)&lt;MAX($P$34*($B347+IF($R$17="Distrato",$I$38-1,0)),IF(AND($L$37=0,$P$34=0),"",$L$37-1),IF($R$17="Distrato",$E347,0))),0,YEARFRAC(MAX($P$34*($B347+IF($R$17="Distrato",$I$38-1,0)),IF(AND($L$37=0,$P$34=0),"",$L$37-1),IF($R$17="Distrato",$E347,0)),MIN(AN$38,$D$19),$P$20))-SUM($P347:AM347)</f>
        <v>#VALUE!</v>
      </c>
      <c r="AO347" s="446" t="e">
        <f>IF(OR($B347="",MIN(AO$38,$D$19)&lt;MAX($P$34*($B347+IF($R$17="Distrato",$I$38-1,0)),IF(AND($L$37=0,$P$34=0),"",$L$37-1),IF($R$17="Distrato",$E347,0))),0,YEARFRAC(MAX($P$34*($B347+IF($R$17="Distrato",$I$38-1,0)),IF(AND($L$37=0,$P$34=0),"",$L$37-1),IF($R$17="Distrato",$E347,0)),MIN(AO$38,$D$19),$P$20))-SUM($P347:AN347)</f>
        <v>#VALUE!</v>
      </c>
      <c r="AP347" s="446" t="e">
        <f>IF(OR($B347="",MIN(AP$38,$D$19)&lt;MAX($P$34*($B347+IF($R$17="Distrato",$I$38-1,0)),IF(AND($L$37=0,$P$34=0),"",$L$37-1),IF($R$17="Distrato",$E347,0))),0,YEARFRAC(MAX($P$34*($B347+IF($R$17="Distrato",$I$38-1,0)),IF(AND($L$37=0,$P$34=0),"",$L$37-1),IF($R$17="Distrato",$E347,0)),MIN(AP$38,$D$19),$P$20))-SUM($P347:AO347)</f>
        <v>#VALUE!</v>
      </c>
      <c r="AQ347" s="446" t="e">
        <f>IF(OR($B347="",MIN(AQ$38,$D$19)&lt;MAX($P$34*($B347+IF($R$17="Distrato",$I$38-1,0)),IF(AND($L$37=0,$P$34=0),"",$L$37-1),IF($R$17="Distrato",$E347,0))),0,YEARFRAC(MAX($P$34*($B347+IF($R$17="Distrato",$I$38-1,0)),IF(AND($L$37=0,$P$34=0),"",$L$37-1),IF($R$17="Distrato",$E347,0)),MIN(AQ$38,$D$19),$P$20))-SUM($P347:AP347)</f>
        <v>#VALUE!</v>
      </c>
      <c r="AR347" s="446" t="e">
        <f>IF(OR($B347="",MIN(AR$38,$D$19)&lt;MAX($P$34*($B347+IF($R$17="Distrato",$I$38-1,0)),IF(AND($L$37=0,$P$34=0),"",$L$37-1),IF($R$17="Distrato",$E347,0))),0,YEARFRAC(MAX($P$34*($B347+IF($R$17="Distrato",$I$38-1,0)),IF(AND($L$37=0,$P$34=0),"",$L$37-1),IF($R$17="Distrato",$E347,0)),MIN(AR$38,$D$19),$P$20))-SUM($P347:AQ347)</f>
        <v>#VALUE!</v>
      </c>
      <c r="AS347" s="446" t="e">
        <f>IF(OR($B347="",MIN(AS$38,$D$19)&lt;MAX($P$34*($B347+IF($R$17="Distrato",$I$38-1,0)),IF(AND($L$37=0,$P$34=0),"",$L$37-1),IF($R$17="Distrato",$E347,0))),0,YEARFRAC(MAX($P$34*($B347+IF($R$17="Distrato",$I$38-1,0)),IF(AND($L$37=0,$P$34=0),"",$L$37-1),IF($R$17="Distrato",$E347,0)),MIN(AS$38,$D$19),$P$20))-SUM($P347:AR347)</f>
        <v>#VALUE!</v>
      </c>
      <c r="AT347" s="446" t="e">
        <f>IF(OR($B347="",MIN(AT$38,$D$19)&lt;MAX($P$34*($B347+IF($R$17="Distrato",$I$38-1,0)),IF(AND($L$37=0,$P$34=0),"",$L$37-1),IF($R$17="Distrato",$E347,0))),0,YEARFRAC(MAX($P$34*($B347+IF($R$17="Distrato",$I$38-1,0)),IF(AND($L$37=0,$P$34=0),"",$L$37-1),IF($R$17="Distrato",$E347,0)),MIN(AT$38,$D$19),$P$20))-SUM($P347:AS347)</f>
        <v>#VALUE!</v>
      </c>
      <c r="AU347" s="446" t="e">
        <f>IF(OR($B347="",MIN(AU$38,$D$19)&lt;MAX($P$34*($B347+IF($R$17="Distrato",$I$38-1,0)),IF(AND($L$37=0,$P$34=0),"",$L$37-1),IF($R$17="Distrato",$E347,0))),0,YEARFRAC(MAX($P$34*($B347+IF($R$17="Distrato",$I$38-1,0)),IF(AND($L$37=0,$P$34=0),"",$L$37-1),IF($R$17="Distrato",$E347,0)),MIN(AU$38,$D$19),$P$20))-SUM($P347:AT347)</f>
        <v>#VALUE!</v>
      </c>
      <c r="AV347" s="446" t="e">
        <f>IF(OR($B347="",MIN(AV$38,$D$19)&lt;MAX($P$34*($B347+IF($R$17="Distrato",$I$38-1,0)),IF(AND($L$37=0,$P$34=0),"",$L$37-1),IF($R$17="Distrato",$E347,0))),0,YEARFRAC(MAX($P$34*($B347+IF($R$17="Distrato",$I$38-1,0)),IF(AND($L$37=0,$P$34=0),"",$L$37-1),IF($R$17="Distrato",$E347,0)),MIN(AV$38,$D$19),$P$20))-SUM($P347:AU347)</f>
        <v>#VALUE!</v>
      </c>
      <c r="AW347" s="446" t="e">
        <f>IF(OR($B347="",MIN(AW$38,$D$19)&lt;MAX($P$34*($B347+IF($R$17="Distrato",$I$38-1,0)),IF(AND($L$37=0,$P$34=0),"",$L$37-1),IF($R$17="Distrato",$E347,0))),0,YEARFRAC(MAX($P$34*($B347+IF($R$17="Distrato",$I$38-1,0)),IF(AND($L$37=0,$P$34=0),"",$L$37-1),IF($R$17="Distrato",$E347,0)),MIN(AW$38,$D$19),$P$20))-SUM($P347:AV347)</f>
        <v>#VALUE!</v>
      </c>
      <c r="AX347" s="446" t="e">
        <f>IF(OR($B347="",MIN(AX$38,$D$19)&lt;MAX($P$34*($B347+IF($R$17="Distrato",$I$38-1,0)),IF(AND($L$37=0,$P$34=0),"",$L$37-1),IF($R$17="Distrato",$E347,0))),0,YEARFRAC(MAX($P$34*($B347+IF($R$17="Distrato",$I$38-1,0)),IF(AND($L$37=0,$P$34=0),"",$L$37-1),IF($R$17="Distrato",$E347,0)),MIN(AX$38,$D$19),$P$20))-SUM($P347:AW347)</f>
        <v>#VALUE!</v>
      </c>
      <c r="AY347" s="446" t="e">
        <f>IF(OR($B347="",MIN(AY$38,$D$19)&lt;MAX($P$34*($B347+IF($R$17="Distrato",$I$38-1,0)),IF(AND($L$37=0,$P$34=0),"",$L$37-1),IF($R$17="Distrato",$E347,0))),0,YEARFRAC(MAX($P$34*($B347+IF($R$17="Distrato",$I$38-1,0)),IF(AND($L$37=0,$P$34=0),"",$L$37-1),IF($R$17="Distrato",$E347,0)),MIN(AY$38,$D$19),$P$20))-SUM($P347:AX347)</f>
        <v>#VALUE!</v>
      </c>
      <c r="AZ347" s="446" t="e">
        <f>IF(OR($B347="",MIN(AZ$38,$D$19)&lt;MAX($P$34*($B347+IF($R$17="Distrato",$I$38-1,0)),IF(AND($L$37=0,$P$34=0),"",$L$37-1),IF($R$17="Distrato",$E347,0))),0,YEARFRAC(MAX($P$34*($B347+IF($R$17="Distrato",$I$38-1,0)),IF(AND($L$37=0,$P$34=0),"",$L$37-1),IF($R$17="Distrato",$E347,0)),MIN(AZ$38,$D$19),$P$20))-SUM($P347:AY347)</f>
        <v>#VALUE!</v>
      </c>
      <c r="BA347" s="446" t="e">
        <f>IF(OR($B347="",MIN(BA$38,$D$19)&lt;MAX($P$34*($B347+IF($R$17="Distrato",$I$38-1,0)),IF(AND($L$37=0,$P$34=0),"",$L$37-1),IF($R$17="Distrato",$E347,0))),0,YEARFRAC(MAX($P$34*($B347+IF($R$17="Distrato",$I$38-1,0)),IF(AND($L$37=0,$P$34=0),"",$L$37-1),IF($R$17="Distrato",$E347,0)),MIN(BA$38,$D$19),$P$20))-SUM($P347:AZ347)</f>
        <v>#VALUE!</v>
      </c>
      <c r="BB347" s="447"/>
      <c r="BF347" s="446">
        <f t="shared" si="54"/>
        <v>0</v>
      </c>
      <c r="BG347" s="446">
        <f>IF($E347=0,0,IF(MIN(BG$38,$E347)&lt;MAX($P$34*($B347+$I$38-1),IF(AND($L$37=0,$P$34=0),"",$L$37-1)),0,YEARFRAC(MAX($P$34*($B347+$I$38-1),IF(AND($L$37=0,$P$34=0),"",$L$37-1)),MIN(BG$38,$E347),$P$20))-SUM($BF347:BF347))</f>
        <v>0</v>
      </c>
      <c r="BH347" s="446">
        <f>IF($E347=0,0,IF(MIN(BH$38,$E347)&lt;MAX($P$34*($B347+$I$38-1),IF(AND($L$37=0,$P$34=0),"",$L$37-1)),0,YEARFRAC(MAX($P$34*($B347+$I$38-1),IF(AND($L$37=0,$P$34=0),"",$L$37-1)),MIN(BH$38,$E347),$P$20))-SUM($BF347:BG347))</f>
        <v>0</v>
      </c>
      <c r="BI347" s="446">
        <f>IF($E347=0,0,IF(MIN(BI$38,$E347)&lt;MAX($P$34*($B347+$I$38-1),IF(AND($L$37=0,$P$34=0),"",$L$37-1)),0,YEARFRAC(MAX($P$34*($B347+$I$38-1),IF(AND($L$37=0,$P$34=0),"",$L$37-1)),MIN(BI$38,$E347),$P$20))-SUM($BF347:BH347))</f>
        <v>0</v>
      </c>
      <c r="BJ347" s="446">
        <f>IF($E347=0,0,IF(MIN(BJ$38,$E347)&lt;MAX($P$34*($B347+$I$38-1),IF(AND($L$37=0,$P$34=0),"",$L$37-1)),0,YEARFRAC(MAX($P$34*($B347+$I$38-1),IF(AND($L$37=0,$P$34=0),"",$L$37-1)),MIN(BJ$38,$E347),$P$20))-SUM($BF347:BI347))</f>
        <v>0</v>
      </c>
      <c r="BK347" s="446">
        <f>IF($E347=0,0,IF(MIN(BK$38,$E347)&lt;MAX($P$34*($B347+$I$38-1),IF(AND($L$37=0,$P$34=0),"",$L$37-1)),0,YEARFRAC(MAX($P$34*($B347+$I$38-1),IF(AND($L$37=0,$P$34=0),"",$L$37-1)),MIN(BK$38,$E347),$P$20))-SUM($BF347:BJ347))</f>
        <v>0</v>
      </c>
      <c r="BL347" s="446">
        <f>IF($E347=0,0,IF(MIN(BL$38,$E347)&lt;MAX($P$34*($B347+$I$38-1),IF(AND($L$37=0,$P$34=0),"",$L$37-1)),0,YEARFRAC(MAX($P$34*($B347+$I$38-1),IF(AND($L$37=0,$P$34=0),"",$L$37-1)),MIN(BL$38,$E347),$P$20))-SUM($BF347:BK347))</f>
        <v>0</v>
      </c>
      <c r="BM347" s="446">
        <f>IF($E347=0,0,IF(MIN(BM$38,$E347)&lt;MAX($P$34*($B347+$I$38-1),IF(AND($L$37=0,$P$34=0),"",$L$37-1)),0,YEARFRAC(MAX($P$34*($B347+$I$38-1),IF(AND($L$37=0,$P$34=0),"",$L$37-1)),MIN(BM$38,$E347),$P$20))-SUM($BF347:BL347))</f>
        <v>0</v>
      </c>
      <c r="BN347" s="446">
        <f>IF($E347=0,0,IF(MIN(BN$38,$E347)&lt;MAX($P$34*($B347+$I$38-1),IF(AND($L$37=0,$P$34=0),"",$L$37-1)),0,YEARFRAC(MAX($P$34*($B347+$I$38-1),IF(AND($L$37=0,$P$34=0),"",$L$37-1)),MIN(BN$38,$E347),$P$20))-SUM($BF347:BM347))</f>
        <v>0</v>
      </c>
      <c r="BO347" s="446">
        <f>IF($E347=0,0,IF(MIN(BO$38,$E347)&lt;MAX($P$34*($B347+$I$38-1),IF(AND($L$37=0,$P$34=0),"",$L$37-1)),0,YEARFRAC(MAX($P$34*($B347+$I$38-1),IF(AND($L$37=0,$P$34=0),"",$L$37-1)),MIN(BO$38,$E347),$P$20))-SUM($BF347:BN347))</f>
        <v>0</v>
      </c>
      <c r="BP347" s="446">
        <f>IF($E347=0,0,IF(MIN(BP$38,$E347)&lt;MAX($P$34*($B347+$I$38-1),IF(AND($L$37=0,$P$34=0),"",$L$37-1)),0,YEARFRAC(MAX($P$34*($B347+$I$38-1),IF(AND($L$37=0,$P$34=0),"",$L$37-1)),MIN(BP$38,$E347),$P$20))-SUM($BF347:BO347))</f>
        <v>0</v>
      </c>
      <c r="BQ347" s="446">
        <f>IF($E347=0,0,IF(MIN(BQ$38,$E347)&lt;MAX($P$34*($B347+$I$38-1),IF(AND($L$37=0,$P$34=0),"",$L$37-1)),0,YEARFRAC(MAX($P$34*($B347+$I$38-1),IF(AND($L$37=0,$P$34=0),"",$L$37-1)),MIN(BQ$38,$E347),$P$20))-SUM($BF347:BP347))</f>
        <v>0</v>
      </c>
      <c r="BR347" s="446">
        <f>IF($E347=0,0,IF(MIN(BR$38,$E347)&lt;MAX($P$34*($B347+$I$38-1),IF(AND($L$37=0,$P$34=0),"",$L$37-1)),0,YEARFRAC(MAX($P$34*($B347+$I$38-1),IF(AND($L$37=0,$P$34=0),"",$L$37-1)),MIN(BR$38,$E347),$P$20))-SUM($BF347:BQ347))</f>
        <v>0</v>
      </c>
      <c r="BS347" s="446">
        <f>IF($E347=0,0,IF(MIN(BS$38,$E347)&lt;MAX($P$34*($B347+$I$38-1),IF(AND($L$37=0,$P$34=0),"",$L$37-1)),0,YEARFRAC(MAX($P$34*($B347+$I$38-1),IF(AND($L$37=0,$P$34=0),"",$L$37-1)),MIN(BS$38,$E347),$P$20))-SUM($BF347:BR347))</f>
        <v>0</v>
      </c>
      <c r="BT347" s="446">
        <f>IF($E347=0,0,IF(MIN(BT$38,$E347)&lt;MAX($P$34*($B347+$I$38-1),IF(AND($L$37=0,$P$34=0),"",$L$37-1)),0,YEARFRAC(MAX($P$34*($B347+$I$38-1),IF(AND($L$37=0,$P$34=0),"",$L$37-1)),MIN(BT$38,$E347),$P$20))-SUM($BF347:BS347))</f>
        <v>0</v>
      </c>
      <c r="BU347" s="446">
        <f>IF($E347=0,0,IF(MIN(BU$38,$E347)&lt;MAX($P$34*($B347+$I$38-1),IF(AND($L$37=0,$P$34=0),"",$L$37-1)),0,YEARFRAC(MAX($P$34*($B347+$I$38-1),IF(AND($L$37=0,$P$34=0),"",$L$37-1)),MIN(BU$38,$E347),$P$20))-SUM($BF347:BT347))</f>
        <v>0</v>
      </c>
      <c r="BV347" s="446">
        <f>IF($E347=0,0,IF(MIN(BV$38,$E347)&lt;MAX($P$34*($B347+$I$38-1),IF(AND($L$37=0,$P$34=0),"",$L$37-1)),0,YEARFRAC(MAX($P$34*($B347+$I$38-1),IF(AND($L$37=0,$P$34=0),"",$L$37-1)),MIN(BV$38,$E347),$P$20))-SUM($BF347:BU347))</f>
        <v>0</v>
      </c>
      <c r="BW347" s="446">
        <f>IF($E347=0,0,IF(MIN(BW$38,$E347)&lt;MAX($P$34*($B347+$I$38-1),IF(AND($L$37=0,$P$34=0),"",$L$37-1)),0,YEARFRAC(MAX($P$34*($B347+$I$38-1),IF(AND($L$37=0,$P$34=0),"",$L$37-1)),MIN(BW$38,$E347),$P$20))-SUM($BF347:BV347))</f>
        <v>0</v>
      </c>
      <c r="BX347" s="446">
        <f>IF($E347=0,0,IF(MIN(BX$38,$E347)&lt;MAX($P$34*($B347+$I$38-1),IF(AND($L$37=0,$P$34=0),"",$L$37-1)),0,YEARFRAC(MAX($P$34*($B347+$I$38-1),IF(AND($L$37=0,$P$34=0),"",$L$37-1)),MIN(BX$38,$E347),$P$20))-SUM($BF347:BW347))</f>
        <v>0</v>
      </c>
      <c r="BY347" s="446">
        <f>IF($E347=0,0,IF(MIN(BY$38,$E347)&lt;MAX($P$34*($B347+$I$38-1),IF(AND($L$37=0,$P$34=0),"",$L$37-1)),0,YEARFRAC(MAX($P$34*($B347+$I$38-1),IF(AND($L$37=0,$P$34=0),"",$L$37-1)),MIN(BY$38,$E347),$P$20))-SUM($BF347:BX347))</f>
        <v>0</v>
      </c>
      <c r="BZ347" s="446">
        <f>IF($E347=0,0,IF(MIN(BZ$38,$E347)&lt;MAX($P$34*($B347+$I$38-1),IF(AND($L$37=0,$P$34=0),"",$L$37-1)),0,YEARFRAC(MAX($P$34*($B347+$I$38-1),IF(AND($L$37=0,$P$34=0),"",$L$37-1)),MIN(BZ$38,$E347),$P$20))-SUM($BF347:BY347))</f>
        <v>0</v>
      </c>
      <c r="CA347" s="446">
        <f>IF($E347=0,0,IF(MIN(CA$38,$E347)&lt;MAX($P$34*($B347+$I$38-1),IF(AND($L$37=0,$P$34=0),"",$L$37-1)),0,YEARFRAC(MAX($P$34*($B347+$I$38-1),IF(AND($L$37=0,$P$34=0),"",$L$37-1)),MIN(CA$38,$E347),$P$20))-SUM($BF347:BZ347))</f>
        <v>0</v>
      </c>
      <c r="CB347" s="446">
        <f>IF($E347=0,0,IF(MIN(CB$38,$E347)&lt;MAX($P$34*($B347+$I$38-1),IF(AND($L$37=0,$P$34=0),"",$L$37-1)),0,YEARFRAC(MAX($P$34*($B347+$I$38-1),IF(AND($L$37=0,$P$34=0),"",$L$37-1)),MIN(CB$38,$E347),$P$20))-SUM($BF347:CA347))</f>
        <v>0</v>
      </c>
      <c r="CC347" s="446">
        <f>IF($E347=0,0,IF(MIN(CC$38,$E347)&lt;MAX($P$34*($B347+$I$38-1),IF(AND($L$37=0,$P$34=0),"",$L$37-1)),0,YEARFRAC(MAX($P$34*($B347+$I$38-1),IF(AND($L$37=0,$P$34=0),"",$L$37-1)),MIN(CC$38,$E347),$P$20))-SUM($BF347:CB347))</f>
        <v>0</v>
      </c>
      <c r="CD347" s="446">
        <f>IF($E347=0,0,IF(MIN(CD$38,$E347)&lt;MAX($P$34*($B347+$I$38-1),IF(AND($L$37=0,$P$34=0),"",$L$37-1)),0,YEARFRAC(MAX($P$34*($B347+$I$38-1),IF(AND($L$37=0,$P$34=0),"",$L$37-1)),MIN(CD$38,$E347),$P$20))-SUM($BF347:CC347))</f>
        <v>0</v>
      </c>
      <c r="CE347" s="446">
        <f>IF($E347=0,0,IF(MIN(CE$38,$E347)&lt;MAX($P$34*($B347+$I$38-1),IF(AND($L$37=0,$P$34=0),"",$L$37-1)),0,YEARFRAC(MAX($P$34*($B347+$I$38-1),IF(AND($L$37=0,$P$34=0),"",$L$37-1)),MIN(CE$38,$E347),$P$20))-SUM($BF347:CD347))</f>
        <v>0</v>
      </c>
      <c r="CF347" s="446">
        <f>IF($E347=0,0,IF(MIN(CF$38,$E347)&lt;MAX($P$34*($B347+$I$38-1),IF(AND($L$37=0,$P$34=0),"",$L$37-1)),0,YEARFRAC(MAX($P$34*($B347+$I$38-1),IF(AND($L$37=0,$P$34=0),"",$L$37-1)),MIN(CF$38,$E347),$P$20))-SUM($BF347:CE347))</f>
        <v>0</v>
      </c>
      <c r="CG347" s="446">
        <f>IF($E347=0,0,IF(MIN(CG$38,$E347)&lt;MAX($P$34*($B347+$I$38-1),IF(AND($L$37=0,$P$34=0),"",$L$37-1)),0,YEARFRAC(MAX($P$34*($B347+$I$38-1),IF(AND($L$37=0,$P$34=0),"",$L$37-1)),MIN(CG$38,$E347),$P$20))-SUM($BF347:CF347))</f>
        <v>0</v>
      </c>
      <c r="CH347" s="446">
        <f>IF($E347=0,0,IF(MIN(CH$38,$E347)&lt;MAX($P$34*($B347+$I$38-1),IF(AND($L$37=0,$P$34=0),"",$L$37-1)),0,YEARFRAC(MAX($P$34*($B347+$I$38-1),IF(AND($L$37=0,$P$34=0),"",$L$37-1)),MIN(CH$38,$E347),$P$20))-SUM($BF347:CG347))</f>
        <v>0</v>
      </c>
      <c r="CI347" s="446">
        <f>IF($E347=0,0,IF(MIN(CI$38,$E347)&lt;MAX($P$34*($B347+$I$38-1),IF(AND($L$37=0,$P$34=0),"",$L$37-1)),0,YEARFRAC(MAX($P$34*($B347+$I$38-1),IF(AND($L$37=0,$P$34=0),"",$L$37-1)),MIN(CI$38,$E347),$P$20))-SUM($BF347:CH347))</f>
        <v>0</v>
      </c>
      <c r="CJ347" s="446">
        <f>IF($E347=0,0,IF(MIN(CJ$38,$E347)&lt;MAX($P$34*($B347+$I$38-1),IF(AND($L$37=0,$P$34=0),"",$L$37-1)),0,YEARFRAC(MAX($P$34*($B347+$I$38-1),IF(AND($L$37=0,$P$34=0),"",$L$37-1)),MIN(CJ$38,$E347),$P$20))-SUM($BF347:CI347))</f>
        <v>0</v>
      </c>
      <c r="CK347" s="446">
        <f>IF($E347=0,0,IF(MIN(CK$38,$E347)&lt;MAX($P$34*($B347+$I$38-1),IF(AND($L$37=0,$P$34=0),"",$L$37-1)),0,YEARFRAC(MAX($P$34*($B347+$I$38-1),IF(AND($L$37=0,$P$34=0),"",$L$37-1)),MIN(CK$38,$E347),$P$20))-SUM($BF347:CJ347))</f>
        <v>0</v>
      </c>
      <c r="CL347" s="446">
        <f>IF($E347=0,0,IF(MIN(CL$38,$E347)&lt;MAX($P$34*($B347+$I$38-1),IF(AND($L$37=0,$P$34=0),"",$L$37-1)),0,YEARFRAC(MAX($P$34*($B347+$I$38-1),IF(AND($L$37=0,$P$34=0),"",$L$37-1)),MIN(CL$38,$E347),$P$20))-SUM($BF347:CK347))</f>
        <v>0</v>
      </c>
      <c r="CM347" s="446">
        <f>IF($E347=0,0,IF(MIN(CM$38,$E347)&lt;MAX($P$34*($B347+$I$38-1),IF(AND($L$37=0,$P$34=0),"",$L$37-1)),0,YEARFRAC(MAX($P$34*($B347+$I$38-1),IF(AND($L$37=0,$P$34=0),"",$L$37-1)),MIN(CM$38,$E347),$P$20))-SUM($BF347:CL347))</f>
        <v>0</v>
      </c>
      <c r="CN347" s="446">
        <f>IF($E347=0,0,IF(MIN(CN$38,$E347)&lt;MAX($P$34*($B347+$I$38-1),IF(AND($L$37=0,$P$34=0),"",$L$37-1)),0,YEARFRAC(MAX($P$34*($B347+$I$38-1),IF(AND($L$37=0,$P$34=0),"",$L$37-1)),MIN(CN$38,$E347),$P$20))-SUM($BF347:CM347))</f>
        <v>0</v>
      </c>
      <c r="CO347" s="446">
        <f>IF($E347=0,0,IF(MIN(CO$38,$E347)&lt;MAX($P$34*($B347+$I$38-1),IF(AND($L$37=0,$P$34=0),"",$L$37-1)),0,YEARFRAC(MAX($P$34*($B347+$I$38-1),IF(AND($L$37=0,$P$34=0),"",$L$37-1)),MIN(CO$38,$E347),$P$20))-SUM($BF347:CN347))</f>
        <v>0</v>
      </c>
      <c r="CP347" s="446">
        <f>IF($E347=0,0,IF(MIN(CP$38,$E347)&lt;MAX($P$34*($B347+$I$38-1),IF(AND($L$37=0,$P$34=0),"",$L$37-1)),0,YEARFRAC(MAX($P$34*($B347+$I$38-1),IF(AND($L$37=0,$P$34=0),"",$L$37-1)),MIN(CP$38,$E347),$P$20))-SUM($BF347:CO347))</f>
        <v>0</v>
      </c>
      <c r="CQ347" s="446">
        <f>IF($E347=0,0,IF(MIN(CQ$38,$E347)&lt;MAX($P$34*($B347+$I$38-1),IF(AND($L$37=0,$P$34=0),"",$L$37-1)),0,YEARFRAC(MAX($P$34*($B347+$I$38-1),IF(AND($L$37=0,$P$34=0),"",$L$37-1)),MIN(CQ$38,$E347),$P$20))-SUM($BF347:CP347))</f>
        <v>0</v>
      </c>
    </row>
    <row r="348" spans="1:95" s="446" customFormat="1" ht="11.25" hidden="1" customHeight="1" x14ac:dyDescent="0.2">
      <c r="A348" s="152"/>
      <c r="B348" s="153" t="str">
        <f t="shared" si="59"/>
        <v/>
      </c>
      <c r="C348" s="29" t="str">
        <f>IF(B348="","",IF($L$35="SELIC - TRIBUTOS",VLOOKUP(DATE(YEAR($D$19),MONTH($D$19)-1,1),ÍNDICES!$A:$DE,HLOOKUP($BL$25,ÍNDICES!$B$3:$T$4,2)+11)-VLOOKUP(B348,ÍNDICES!$A:$DE,HLOOKUP($BL$25,ÍNDICES!$B$3:$T$4,2)+11)+1%,IF(C$38=$W$26,$J$35,IF(ISERROR(IF(B348&gt;$D$19,1,VLOOKUP(DATE(YEAR(B348),MONTH(B348)+IF($C$35=$S$23,1,0),1),ÍNDICES!$A:$DE,$Z$35+1))),"",IF(B348&gt;$D$19,1,VLOOKUP(DATE(YEAR(B348),MONTH(B348)+IF($C$35=$S$23,1,0),1),ÍNDICES!$A:$DE,$Z$35+1))))))</f>
        <v/>
      </c>
      <c r="D348" s="154" t="str">
        <f>IF(ISERROR(IF(OR($D$38=$Y$27,$B348=""),"",VLOOKUP(B348,ÍNDICES!A:DE,AF$35+1))),"",IF(OR($D$38=$Y$27,$B348=""),"",VLOOKUP(B348,ÍNDICES!A:DE,AF$35+1)))</f>
        <v/>
      </c>
      <c r="E348" s="153"/>
      <c r="F348" s="29" t="str">
        <f>IF(E348="","",IF($L$35="SELIC - TRIBUTOS",VLOOKUP(DATE(YEAR($D$19),MONTH($D$19)-1,1),ÍNDICES!$A:$DE,HLOOKUP($BL$25,ÍNDICES!$B$3:$T$4,2)+11)-VLOOKUP(E348,ÍNDICES!$A:$DE,HLOOKUP($BL$25,ÍNDICES!$B$3:$T$4,2)+11)+1%,IF(F$38=$W$26,$J$35,IF(ISERROR(IF(E348&gt;$D$19,1,VLOOKUP(DATE(YEAR(E348),MONTH(E348)+IF($C$35=$S$23,1,0),1),ÍNDICES!$A:$DE,$Z$35+1))),"",IF(E348&gt;$D$19,1,VLOOKUP(DATE(YEAR(E348),MONTH(E348)+IF($C$35=$S$23,1,0),1),ÍNDICES!$A:$DE,$Z$35+1))))))</f>
        <v/>
      </c>
      <c r="G348" s="155"/>
      <c r="H348" s="156" t="str">
        <f t="shared" si="55"/>
        <v/>
      </c>
      <c r="I348" s="29" t="str">
        <f t="shared" si="49"/>
        <v/>
      </c>
      <c r="J348" s="5">
        <f t="shared" si="50"/>
        <v>0</v>
      </c>
      <c r="K348" s="20">
        <f t="shared" ca="1" si="51"/>
        <v>0</v>
      </c>
      <c r="L348" s="5">
        <f t="shared" ca="1" si="52"/>
        <v>0</v>
      </c>
      <c r="M348" s="64">
        <f t="shared" si="56"/>
        <v>0</v>
      </c>
      <c r="N348" s="61">
        <f t="shared" ca="1" si="57"/>
        <v>0</v>
      </c>
      <c r="O348" s="5">
        <f t="shared" ca="1" si="58"/>
        <v>0</v>
      </c>
      <c r="P348" s="446" t="e">
        <f t="shared" si="53"/>
        <v>#VALUE!</v>
      </c>
      <c r="Q348" s="446" t="e">
        <f>IF(OR($B348="",MIN(Q$38,$D$19)&lt;MAX($P$34*($B348+IF($R$17="Distrato",$I$38-1,0)),IF(AND($L$37=0,$P$34=0),"",$L$37-1),IF($R$17="Distrato",$E348,0))),0,YEARFRAC(MAX($P$34*($B348+IF($R$17="Distrato",$I$38-1,0)),IF(AND($L$37=0,$P$34=0),"",$L$37-1),IF($R$17="Distrato",$E348,0)),MIN(Q$38,$D$19),$P$20))-SUM($P348:P348)</f>
        <v>#VALUE!</v>
      </c>
      <c r="R348" s="446" t="e">
        <f>IF(OR($B348="",MIN(R$38,$D$19)&lt;MAX($P$34*($B348+IF($R$17="Distrato",$I$38-1,0)),IF(AND($L$37=0,$P$34=0),"",$L$37-1),IF($R$17="Distrato",$E348,0))),0,YEARFRAC(MAX($P$34*($B348+IF($R$17="Distrato",$I$38-1,0)),IF(AND($L$37=0,$P$34=0),"",$L$37-1),IF($R$17="Distrato",$E348,0)),MIN(R$38,$D$19),$P$20))-SUM($P348:Q348)</f>
        <v>#VALUE!</v>
      </c>
      <c r="S348" s="446" t="e">
        <f>IF(OR($B348="",MIN(S$38,$D$19)&lt;MAX($P$34*($B348+IF($R$17="Distrato",$I$38-1,0)),IF(AND($L$37=0,$P$34=0),"",$L$37-1),IF($R$17="Distrato",$E348,0))),0,YEARFRAC(MAX($P$34*($B348+IF($R$17="Distrato",$I$38-1,0)),IF(AND($L$37=0,$P$34=0),"",$L$37-1),IF($R$17="Distrato",$E348,0)),MIN(S$38,$D$19),$P$20))-SUM($P348:R348)</f>
        <v>#VALUE!</v>
      </c>
      <c r="T348" s="446" t="e">
        <f>IF(OR($B348="",MIN(T$38,$D$19)&lt;MAX($P$34*($B348+IF($R$17="Distrato",$I$38-1,0)),IF(AND($L$37=0,$P$34=0),"",$L$37-1),IF($R$17="Distrato",$E348,0))),0,YEARFRAC(MAX($P$34*($B348+IF($R$17="Distrato",$I$38-1,0)),IF(AND($L$37=0,$P$34=0),"",$L$37-1),IF($R$17="Distrato",$E348,0)),MIN(T$38,$D$19),$P$20))-SUM($P348:S348)</f>
        <v>#VALUE!</v>
      </c>
      <c r="U348" s="446" t="e">
        <f>IF(OR($B348="",MIN(U$38,$D$19)&lt;MAX($P$34*($B348+IF($R$17="Distrato",$I$38-1,0)),IF(AND($L$37=0,$P$34=0),"",$L$37-1),IF($R$17="Distrato",$E348,0))),0,YEARFRAC(MAX($P$34*($B348+IF($R$17="Distrato",$I$38-1,0)),IF(AND($L$37=0,$P$34=0),"",$L$37-1),IF($R$17="Distrato",$E348,0)),MIN(U$38,$D$19),$P$20))-SUM($P348:T348)</f>
        <v>#VALUE!</v>
      </c>
      <c r="V348" s="446" t="e">
        <f>IF(OR($B348="",MIN(V$38,$D$19)&lt;MAX($P$34*($B348+IF($R$17="Distrato",$I$38-1,0)),IF(AND($L$37=0,$P$34=0),"",$L$37-1),IF($R$17="Distrato",$E348,0))),0,YEARFRAC(MAX($P$34*($B348+IF($R$17="Distrato",$I$38-1,0)),IF(AND($L$37=0,$P$34=0),"",$L$37-1),IF($R$17="Distrato",$E348,0)),MIN(V$38,$D$19),$P$20))-SUM($P348:U348)</f>
        <v>#VALUE!</v>
      </c>
      <c r="W348" s="446" t="e">
        <f>IF(OR($B348="",MIN(W$38,$D$19)&lt;MAX($P$34*($B348+IF($R$17="Distrato",$I$38-1,0)),IF(AND($L$37=0,$P$34=0),"",$L$37-1),IF($R$17="Distrato",$E348,0))),0,YEARFRAC(MAX($P$34*($B348+IF($R$17="Distrato",$I$38-1,0)),IF(AND($L$37=0,$P$34=0),"",$L$37-1),IF($R$17="Distrato",$E348,0)),MIN(W$38,$D$19),$P$20))-SUM($P348:V348)</f>
        <v>#VALUE!</v>
      </c>
      <c r="X348" s="446" t="e">
        <f>IF(OR($B348="",MIN(X$38,$D$19)&lt;MAX($P$34*($B348+IF($R$17="Distrato",$I$38-1,0)),IF(AND($L$37=0,$P$34=0),"",$L$37-1),IF($R$17="Distrato",$E348,0))),0,YEARFRAC(MAX($P$34*($B348+IF($R$17="Distrato",$I$38-1,0)),IF(AND($L$37=0,$P$34=0),"",$L$37-1),IF($R$17="Distrato",$E348,0)),MIN(X$38,$D$19),$P$20))-SUM($P348:W348)</f>
        <v>#VALUE!</v>
      </c>
      <c r="Y348" s="446" t="e">
        <f>IF(OR($B348="",MIN(Y$38,$D$19)&lt;MAX($P$34*($B348+IF($R$17="Distrato",$I$38-1,0)),IF(AND($L$37=0,$P$34=0),"",$L$37-1),IF($R$17="Distrato",$E348,0))),0,YEARFRAC(MAX($P$34*($B348+IF($R$17="Distrato",$I$38-1,0)),IF(AND($L$37=0,$P$34=0),"",$L$37-1),IF($R$17="Distrato",$E348,0)),MIN(Y$38,$D$19),$P$20))-SUM($P348:X348)</f>
        <v>#VALUE!</v>
      </c>
      <c r="Z348" s="446" t="e">
        <f>IF(OR($B348="",MIN(Z$38,$D$19)&lt;MAX($P$34*($B348+IF($R$17="Distrato",$I$38-1,0)),IF(AND($L$37=0,$P$34=0),"",$L$37-1),IF($R$17="Distrato",$E348,0))),0,YEARFRAC(MAX($P$34*($B348+IF($R$17="Distrato",$I$38-1,0)),IF(AND($L$37=0,$P$34=0),"",$L$37-1),IF($R$17="Distrato",$E348,0)),MIN(Z$38,$D$19),$P$20))-SUM($P348:Y348)</f>
        <v>#VALUE!</v>
      </c>
      <c r="AA348" s="446" t="e">
        <f>IF(OR($B348="",MIN(AA$38,$D$19)&lt;MAX($P$34*($B348+IF($R$17="Distrato",$I$38-1,0)),IF(AND($L$37=0,$P$34=0),"",$L$37-1),IF($R$17="Distrato",$E348,0))),0,YEARFRAC(MAX($P$34*($B348+IF($R$17="Distrato",$I$38-1,0)),IF(AND($L$37=0,$P$34=0),"",$L$37-1),IF($R$17="Distrato",$E348,0)),MIN(AA$38,$D$19),$P$20))-SUM($P348:Z348)</f>
        <v>#VALUE!</v>
      </c>
      <c r="AB348" s="446" t="e">
        <f>IF(OR($B348="",MIN(AB$38,$D$19)&lt;MAX($P$34*($B348+IF($R$17="Distrato",$I$38-1,0)),IF(AND($L$37=0,$P$34=0),"",$L$37-1),IF($R$17="Distrato",$E348,0))),0,YEARFRAC(MAX($P$34*($B348+IF($R$17="Distrato",$I$38-1,0)),IF(AND($L$37=0,$P$34=0),"",$L$37-1),IF($R$17="Distrato",$E348,0)),MIN(AB$38,$D$19),$P$20))-SUM($P348:AA348)</f>
        <v>#VALUE!</v>
      </c>
      <c r="AC348" s="446" t="e">
        <f>IF(OR($B348="",MIN(AC$38,$D$19)&lt;MAX($P$34*($B348+IF($R$17="Distrato",$I$38-1,0)),IF(AND($L$37=0,$P$34=0),"",$L$37-1),IF($R$17="Distrato",$E348,0))),0,YEARFRAC(MAX($P$34*($B348+IF($R$17="Distrato",$I$38-1,0)),IF(AND($L$37=0,$P$34=0),"",$L$37-1),IF($R$17="Distrato",$E348,0)),MIN(AC$38,$D$19),$P$20))-SUM($P348:AB348)</f>
        <v>#VALUE!</v>
      </c>
      <c r="AD348" s="446" t="e">
        <f>IF(OR($B348="",MIN(AD$38,$D$19)&lt;MAX($P$34*($B348+IF($R$17="Distrato",$I$38-1,0)),IF(AND($L$37=0,$P$34=0),"",$L$37-1),IF($R$17="Distrato",$E348,0))),0,YEARFRAC(MAX($P$34*($B348+IF($R$17="Distrato",$I$38-1,0)),IF(AND($L$37=0,$P$34=0),"",$L$37-1),IF($R$17="Distrato",$E348,0)),MIN(AD$38,$D$19),$P$20))-SUM($P348:AC348)</f>
        <v>#VALUE!</v>
      </c>
      <c r="AE348" s="446" t="e">
        <f>IF(OR($B348="",MIN(AE$38,$D$19)&lt;MAX($P$34*($B348+IF($R$17="Distrato",$I$38-1,0)),IF(AND($L$37=0,$P$34=0),"",$L$37-1),IF($R$17="Distrato",$E348,0))),0,YEARFRAC(MAX($P$34*($B348+IF($R$17="Distrato",$I$38-1,0)),IF(AND($L$37=0,$P$34=0),"",$L$37-1),IF($R$17="Distrato",$E348,0)),MIN(AE$38,$D$19),$P$20))-SUM($P348:AD348)</f>
        <v>#VALUE!</v>
      </c>
      <c r="AF348" s="446" t="e">
        <f>IF(OR($B348="",MIN(AF$38,$D$19)&lt;MAX($P$34*($B348+IF($R$17="Distrato",$I$38-1,0)),IF(AND($L$37=0,$P$34=0),"",$L$37-1),IF($R$17="Distrato",$E348,0))),0,YEARFRAC(MAX($P$34*($B348+IF($R$17="Distrato",$I$38-1,0)),IF(AND($L$37=0,$P$34=0),"",$L$37-1),IF($R$17="Distrato",$E348,0)),MIN(AF$38,$D$19),$P$20))-SUM($P348:AE348)</f>
        <v>#VALUE!</v>
      </c>
      <c r="AG348" s="446" t="e">
        <f>IF(OR($B348="",MIN(AG$38,$D$19)&lt;MAX($P$34*($B348+IF($R$17="Distrato",$I$38-1,0)),IF(AND($L$37=0,$P$34=0),"",$L$37-1),IF($R$17="Distrato",$E348,0))),0,YEARFRAC(MAX($P$34*($B348+IF($R$17="Distrato",$I$38-1,0)),IF(AND($L$37=0,$P$34=0),"",$L$37-1),IF($R$17="Distrato",$E348,0)),MIN(AG$38,$D$19),$P$20))-SUM($P348:AF348)</f>
        <v>#VALUE!</v>
      </c>
      <c r="AH348" s="446" t="e">
        <f>IF(OR($B348="",MIN(AH$38,$D$19)&lt;MAX($P$34*($B348+IF($R$17="Distrato",$I$38-1,0)),IF(AND($L$37=0,$P$34=0),"",$L$37-1),IF($R$17="Distrato",$E348,0))),0,YEARFRAC(MAX($P$34*($B348+IF($R$17="Distrato",$I$38-1,0)),IF(AND($L$37=0,$P$34=0),"",$L$37-1),IF($R$17="Distrato",$E348,0)),MIN(AH$38,$D$19),$P$20))-SUM($P348:AG348)</f>
        <v>#VALUE!</v>
      </c>
      <c r="AI348" s="446" t="e">
        <f>IF(OR($B348="",MIN(AI$38,$D$19)&lt;MAX($P$34*($B348+IF($R$17="Distrato",$I$38-1,0)),IF(AND($L$37=0,$P$34=0),"",$L$37-1),IF($R$17="Distrato",$E348,0))),0,YEARFRAC(MAX($P$34*($B348+IF($R$17="Distrato",$I$38-1,0)),IF(AND($L$37=0,$P$34=0),"",$L$37-1),IF($R$17="Distrato",$E348,0)),MIN(AI$38,$D$19),$P$20))-SUM($P348:AH348)</f>
        <v>#VALUE!</v>
      </c>
      <c r="AJ348" s="446" t="e">
        <f>IF(OR($B348="",MIN(AJ$38,$D$19)&lt;MAX($P$34*($B348+IF($R$17="Distrato",$I$38-1,0)),IF(AND($L$37=0,$P$34=0),"",$L$37-1),IF($R$17="Distrato",$E348,0))),0,YEARFRAC(MAX($P$34*($B348+IF($R$17="Distrato",$I$38-1,0)),IF(AND($L$37=0,$P$34=0),"",$L$37-1),IF($R$17="Distrato",$E348,0)),MIN(AJ$38,$D$19),$P$20))-SUM($P348:AI348)</f>
        <v>#VALUE!</v>
      </c>
      <c r="AK348" s="446" t="e">
        <f>IF(OR($B348="",MIN(AK$38,$D$19)&lt;MAX($P$34*($B348+IF($R$17="Distrato",$I$38-1,0)),IF(AND($L$37=0,$P$34=0),"",$L$37-1),IF($R$17="Distrato",$E348,0))),0,YEARFRAC(MAX($P$34*($B348+IF($R$17="Distrato",$I$38-1,0)),IF(AND($L$37=0,$P$34=0),"",$L$37-1),IF($R$17="Distrato",$E348,0)),MIN(AK$38,$D$19),$P$20))-SUM($P348:AJ348)</f>
        <v>#VALUE!</v>
      </c>
      <c r="AL348" s="446" t="e">
        <f>IF(OR($B348="",MIN(AL$38,$D$19)&lt;MAX($P$34*($B348+IF($R$17="Distrato",$I$38-1,0)),IF(AND($L$37=0,$P$34=0),"",$L$37-1),IF($R$17="Distrato",$E348,0))),0,YEARFRAC(MAX($P$34*($B348+IF($R$17="Distrato",$I$38-1,0)),IF(AND($L$37=0,$P$34=0),"",$L$37-1),IF($R$17="Distrato",$E348,0)),MIN(AL$38,$D$19),$P$20))-SUM($P348:AK348)</f>
        <v>#VALUE!</v>
      </c>
      <c r="AM348" s="446" t="e">
        <f>IF(OR($B348="",MIN(AM$38,$D$19)&lt;MAX($P$34*($B348+IF($R$17="Distrato",$I$38-1,0)),IF(AND($L$37=0,$P$34=0),"",$L$37-1),IF($R$17="Distrato",$E348,0))),0,YEARFRAC(MAX($P$34*($B348+IF($R$17="Distrato",$I$38-1,0)),IF(AND($L$37=0,$P$34=0),"",$L$37-1),IF($R$17="Distrato",$E348,0)),MIN(AM$38,$D$19),$P$20))-SUM($P348:AL348)</f>
        <v>#VALUE!</v>
      </c>
      <c r="AN348" s="446" t="e">
        <f>IF(OR($B348="",MIN(AN$38,$D$19)&lt;MAX($P$34*($B348+IF($R$17="Distrato",$I$38-1,0)),IF(AND($L$37=0,$P$34=0),"",$L$37-1),IF($R$17="Distrato",$E348,0))),0,YEARFRAC(MAX($P$34*($B348+IF($R$17="Distrato",$I$38-1,0)),IF(AND($L$37=0,$P$34=0),"",$L$37-1),IF($R$17="Distrato",$E348,0)),MIN(AN$38,$D$19),$P$20))-SUM($P348:AM348)</f>
        <v>#VALUE!</v>
      </c>
      <c r="AO348" s="446" t="e">
        <f>IF(OR($B348="",MIN(AO$38,$D$19)&lt;MAX($P$34*($B348+IF($R$17="Distrato",$I$38-1,0)),IF(AND($L$37=0,$P$34=0),"",$L$37-1),IF($R$17="Distrato",$E348,0))),0,YEARFRAC(MAX($P$34*($B348+IF($R$17="Distrato",$I$38-1,0)),IF(AND($L$37=0,$P$34=0),"",$L$37-1),IF($R$17="Distrato",$E348,0)),MIN(AO$38,$D$19),$P$20))-SUM($P348:AN348)</f>
        <v>#VALUE!</v>
      </c>
      <c r="AP348" s="446" t="e">
        <f>IF(OR($B348="",MIN(AP$38,$D$19)&lt;MAX($P$34*($B348+IF($R$17="Distrato",$I$38-1,0)),IF(AND($L$37=0,$P$34=0),"",$L$37-1),IF($R$17="Distrato",$E348,0))),0,YEARFRAC(MAX($P$34*($B348+IF($R$17="Distrato",$I$38-1,0)),IF(AND($L$37=0,$P$34=0),"",$L$37-1),IF($R$17="Distrato",$E348,0)),MIN(AP$38,$D$19),$P$20))-SUM($P348:AO348)</f>
        <v>#VALUE!</v>
      </c>
      <c r="AQ348" s="446" t="e">
        <f>IF(OR($B348="",MIN(AQ$38,$D$19)&lt;MAX($P$34*($B348+IF($R$17="Distrato",$I$38-1,0)),IF(AND($L$37=0,$P$34=0),"",$L$37-1),IF($R$17="Distrato",$E348,0))),0,YEARFRAC(MAX($P$34*($B348+IF($R$17="Distrato",$I$38-1,0)),IF(AND($L$37=0,$P$34=0),"",$L$37-1),IF($R$17="Distrato",$E348,0)),MIN(AQ$38,$D$19),$P$20))-SUM($P348:AP348)</f>
        <v>#VALUE!</v>
      </c>
      <c r="AR348" s="446" t="e">
        <f>IF(OR($B348="",MIN(AR$38,$D$19)&lt;MAX($P$34*($B348+IF($R$17="Distrato",$I$38-1,0)),IF(AND($L$37=0,$P$34=0),"",$L$37-1),IF($R$17="Distrato",$E348,0))),0,YEARFRAC(MAX($P$34*($B348+IF($R$17="Distrato",$I$38-1,0)),IF(AND($L$37=0,$P$34=0),"",$L$37-1),IF($R$17="Distrato",$E348,0)),MIN(AR$38,$D$19),$P$20))-SUM($P348:AQ348)</f>
        <v>#VALUE!</v>
      </c>
      <c r="AS348" s="446" t="e">
        <f>IF(OR($B348="",MIN(AS$38,$D$19)&lt;MAX($P$34*($B348+IF($R$17="Distrato",$I$38-1,0)),IF(AND($L$37=0,$P$34=0),"",$L$37-1),IF($R$17="Distrato",$E348,0))),0,YEARFRAC(MAX($P$34*($B348+IF($R$17="Distrato",$I$38-1,0)),IF(AND($L$37=0,$P$34=0),"",$L$37-1),IF($R$17="Distrato",$E348,0)),MIN(AS$38,$D$19),$P$20))-SUM($P348:AR348)</f>
        <v>#VALUE!</v>
      </c>
      <c r="AT348" s="446" t="e">
        <f>IF(OR($B348="",MIN(AT$38,$D$19)&lt;MAX($P$34*($B348+IF($R$17="Distrato",$I$38-1,0)),IF(AND($L$37=0,$P$34=0),"",$L$37-1),IF($R$17="Distrato",$E348,0))),0,YEARFRAC(MAX($P$34*($B348+IF($R$17="Distrato",$I$38-1,0)),IF(AND($L$37=0,$P$34=0),"",$L$37-1),IF($R$17="Distrato",$E348,0)),MIN(AT$38,$D$19),$P$20))-SUM($P348:AS348)</f>
        <v>#VALUE!</v>
      </c>
      <c r="AU348" s="446" t="e">
        <f>IF(OR($B348="",MIN(AU$38,$D$19)&lt;MAX($P$34*($B348+IF($R$17="Distrato",$I$38-1,0)),IF(AND($L$37=0,$P$34=0),"",$L$37-1),IF($R$17="Distrato",$E348,0))),0,YEARFRAC(MAX($P$34*($B348+IF($R$17="Distrato",$I$38-1,0)),IF(AND($L$37=0,$P$34=0),"",$L$37-1),IF($R$17="Distrato",$E348,0)),MIN(AU$38,$D$19),$P$20))-SUM($P348:AT348)</f>
        <v>#VALUE!</v>
      </c>
      <c r="AV348" s="446" t="e">
        <f>IF(OR($B348="",MIN(AV$38,$D$19)&lt;MAX($P$34*($B348+IF($R$17="Distrato",$I$38-1,0)),IF(AND($L$37=0,$P$34=0),"",$L$37-1),IF($R$17="Distrato",$E348,0))),0,YEARFRAC(MAX($P$34*($B348+IF($R$17="Distrato",$I$38-1,0)),IF(AND($L$37=0,$P$34=0),"",$L$37-1),IF($R$17="Distrato",$E348,0)),MIN(AV$38,$D$19),$P$20))-SUM($P348:AU348)</f>
        <v>#VALUE!</v>
      </c>
      <c r="AW348" s="446" t="e">
        <f>IF(OR($B348="",MIN(AW$38,$D$19)&lt;MAX($P$34*($B348+IF($R$17="Distrato",$I$38-1,0)),IF(AND($L$37=0,$P$34=0),"",$L$37-1),IF($R$17="Distrato",$E348,0))),0,YEARFRAC(MAX($P$34*($B348+IF($R$17="Distrato",$I$38-1,0)),IF(AND($L$37=0,$P$34=0),"",$L$37-1),IF($R$17="Distrato",$E348,0)),MIN(AW$38,$D$19),$P$20))-SUM($P348:AV348)</f>
        <v>#VALUE!</v>
      </c>
      <c r="AX348" s="446" t="e">
        <f>IF(OR($B348="",MIN(AX$38,$D$19)&lt;MAX($P$34*($B348+IF($R$17="Distrato",$I$38-1,0)),IF(AND($L$37=0,$P$34=0),"",$L$37-1),IF($R$17="Distrato",$E348,0))),0,YEARFRAC(MAX($P$34*($B348+IF($R$17="Distrato",$I$38-1,0)),IF(AND($L$37=0,$P$34=0),"",$L$37-1),IF($R$17="Distrato",$E348,0)),MIN(AX$38,$D$19),$P$20))-SUM($P348:AW348)</f>
        <v>#VALUE!</v>
      </c>
      <c r="AY348" s="446" t="e">
        <f>IF(OR($B348="",MIN(AY$38,$D$19)&lt;MAX($P$34*($B348+IF($R$17="Distrato",$I$38-1,0)),IF(AND($L$37=0,$P$34=0),"",$L$37-1),IF($R$17="Distrato",$E348,0))),0,YEARFRAC(MAX($P$34*($B348+IF($R$17="Distrato",$I$38-1,0)),IF(AND($L$37=0,$P$34=0),"",$L$37-1),IF($R$17="Distrato",$E348,0)),MIN(AY$38,$D$19),$P$20))-SUM($P348:AX348)</f>
        <v>#VALUE!</v>
      </c>
      <c r="AZ348" s="446" t="e">
        <f>IF(OR($B348="",MIN(AZ$38,$D$19)&lt;MAX($P$34*($B348+IF($R$17="Distrato",$I$38-1,0)),IF(AND($L$37=0,$P$34=0),"",$L$37-1),IF($R$17="Distrato",$E348,0))),0,YEARFRAC(MAX($P$34*($B348+IF($R$17="Distrato",$I$38-1,0)),IF(AND($L$37=0,$P$34=0),"",$L$37-1),IF($R$17="Distrato",$E348,0)),MIN(AZ$38,$D$19),$P$20))-SUM($P348:AY348)</f>
        <v>#VALUE!</v>
      </c>
      <c r="BA348" s="446" t="e">
        <f>IF(OR($B348="",MIN(BA$38,$D$19)&lt;MAX($P$34*($B348+IF($R$17="Distrato",$I$38-1,0)),IF(AND($L$37=0,$P$34=0),"",$L$37-1),IF($R$17="Distrato",$E348,0))),0,YEARFRAC(MAX($P$34*($B348+IF($R$17="Distrato",$I$38-1,0)),IF(AND($L$37=0,$P$34=0),"",$L$37-1),IF($R$17="Distrato",$E348,0)),MIN(BA$38,$D$19),$P$20))-SUM($P348:AZ348)</f>
        <v>#VALUE!</v>
      </c>
      <c r="BB348" s="447"/>
      <c r="BF348" s="446">
        <f t="shared" si="54"/>
        <v>0</v>
      </c>
      <c r="BG348" s="446">
        <f>IF($E348=0,0,IF(MIN(BG$38,$E348)&lt;MAX($P$34*($B348+$I$38-1),IF(AND($L$37=0,$P$34=0),"",$L$37-1)),0,YEARFRAC(MAX($P$34*($B348+$I$38-1),IF(AND($L$37=0,$P$34=0),"",$L$37-1)),MIN(BG$38,$E348),$P$20))-SUM($BF348:BF348))</f>
        <v>0</v>
      </c>
      <c r="BH348" s="446">
        <f>IF($E348=0,0,IF(MIN(BH$38,$E348)&lt;MAX($P$34*($B348+$I$38-1),IF(AND($L$37=0,$P$34=0),"",$L$37-1)),0,YEARFRAC(MAX($P$34*($B348+$I$38-1),IF(AND($L$37=0,$P$34=0),"",$L$37-1)),MIN(BH$38,$E348),$P$20))-SUM($BF348:BG348))</f>
        <v>0</v>
      </c>
      <c r="BI348" s="446">
        <f>IF($E348=0,0,IF(MIN(BI$38,$E348)&lt;MAX($P$34*($B348+$I$38-1),IF(AND($L$37=0,$P$34=0),"",$L$37-1)),0,YEARFRAC(MAX($P$34*($B348+$I$38-1),IF(AND($L$37=0,$P$34=0),"",$L$37-1)),MIN(BI$38,$E348),$P$20))-SUM($BF348:BH348))</f>
        <v>0</v>
      </c>
      <c r="BJ348" s="446">
        <f>IF($E348=0,0,IF(MIN(BJ$38,$E348)&lt;MAX($P$34*($B348+$I$38-1),IF(AND($L$37=0,$P$34=0),"",$L$37-1)),0,YEARFRAC(MAX($P$34*($B348+$I$38-1),IF(AND($L$37=0,$P$34=0),"",$L$37-1)),MIN(BJ$38,$E348),$P$20))-SUM($BF348:BI348))</f>
        <v>0</v>
      </c>
      <c r="BK348" s="446">
        <f>IF($E348=0,0,IF(MIN(BK$38,$E348)&lt;MAX($P$34*($B348+$I$38-1),IF(AND($L$37=0,$P$34=0),"",$L$37-1)),0,YEARFRAC(MAX($P$34*($B348+$I$38-1),IF(AND($L$37=0,$P$34=0),"",$L$37-1)),MIN(BK$38,$E348),$P$20))-SUM($BF348:BJ348))</f>
        <v>0</v>
      </c>
      <c r="BL348" s="446">
        <f>IF($E348=0,0,IF(MIN(BL$38,$E348)&lt;MAX($P$34*($B348+$I$38-1),IF(AND($L$37=0,$P$34=0),"",$L$37-1)),0,YEARFRAC(MAX($P$34*($B348+$I$38-1),IF(AND($L$37=0,$P$34=0),"",$L$37-1)),MIN(BL$38,$E348),$P$20))-SUM($BF348:BK348))</f>
        <v>0</v>
      </c>
      <c r="BM348" s="446">
        <f>IF($E348=0,0,IF(MIN(BM$38,$E348)&lt;MAX($P$34*($B348+$I$38-1),IF(AND($L$37=0,$P$34=0),"",$L$37-1)),0,YEARFRAC(MAX($P$34*($B348+$I$38-1),IF(AND($L$37=0,$P$34=0),"",$L$37-1)),MIN(BM$38,$E348),$P$20))-SUM($BF348:BL348))</f>
        <v>0</v>
      </c>
      <c r="BN348" s="446">
        <f>IF($E348=0,0,IF(MIN(BN$38,$E348)&lt;MAX($P$34*($B348+$I$38-1),IF(AND($L$37=0,$P$34=0),"",$L$37-1)),0,YEARFRAC(MAX($P$34*($B348+$I$38-1),IF(AND($L$37=0,$P$34=0),"",$L$37-1)),MIN(BN$38,$E348),$P$20))-SUM($BF348:BM348))</f>
        <v>0</v>
      </c>
      <c r="BO348" s="446">
        <f>IF($E348=0,0,IF(MIN(BO$38,$E348)&lt;MAX($P$34*($B348+$I$38-1),IF(AND($L$37=0,$P$34=0),"",$L$37-1)),0,YEARFRAC(MAX($P$34*($B348+$I$38-1),IF(AND($L$37=0,$P$34=0),"",$L$37-1)),MIN(BO$38,$E348),$P$20))-SUM($BF348:BN348))</f>
        <v>0</v>
      </c>
      <c r="BP348" s="446">
        <f>IF($E348=0,0,IF(MIN(BP$38,$E348)&lt;MAX($P$34*($B348+$I$38-1),IF(AND($L$37=0,$P$34=0),"",$L$37-1)),0,YEARFRAC(MAX($P$34*($B348+$I$38-1),IF(AND($L$37=0,$P$34=0),"",$L$37-1)),MIN(BP$38,$E348),$P$20))-SUM($BF348:BO348))</f>
        <v>0</v>
      </c>
      <c r="BQ348" s="446">
        <f>IF($E348=0,0,IF(MIN(BQ$38,$E348)&lt;MAX($P$34*($B348+$I$38-1),IF(AND($L$37=0,$P$34=0),"",$L$37-1)),0,YEARFRAC(MAX($P$34*($B348+$I$38-1),IF(AND($L$37=0,$P$34=0),"",$L$37-1)),MIN(BQ$38,$E348),$P$20))-SUM($BF348:BP348))</f>
        <v>0</v>
      </c>
      <c r="BR348" s="446">
        <f>IF($E348=0,0,IF(MIN(BR$38,$E348)&lt;MAX($P$34*($B348+$I$38-1),IF(AND($L$37=0,$P$34=0),"",$L$37-1)),0,YEARFRAC(MAX($P$34*($B348+$I$38-1),IF(AND($L$37=0,$P$34=0),"",$L$37-1)),MIN(BR$38,$E348),$P$20))-SUM($BF348:BQ348))</f>
        <v>0</v>
      </c>
      <c r="BS348" s="446">
        <f>IF($E348=0,0,IF(MIN(BS$38,$E348)&lt;MAX($P$34*($B348+$I$38-1),IF(AND($L$37=0,$P$34=0),"",$L$37-1)),0,YEARFRAC(MAX($P$34*($B348+$I$38-1),IF(AND($L$37=0,$P$34=0),"",$L$37-1)),MIN(BS$38,$E348),$P$20))-SUM($BF348:BR348))</f>
        <v>0</v>
      </c>
      <c r="BT348" s="446">
        <f>IF($E348=0,0,IF(MIN(BT$38,$E348)&lt;MAX($P$34*($B348+$I$38-1),IF(AND($L$37=0,$P$34=0),"",$L$37-1)),0,YEARFRAC(MAX($P$34*($B348+$I$38-1),IF(AND($L$37=0,$P$34=0),"",$L$37-1)),MIN(BT$38,$E348),$P$20))-SUM($BF348:BS348))</f>
        <v>0</v>
      </c>
      <c r="BU348" s="446">
        <f>IF($E348=0,0,IF(MIN(BU$38,$E348)&lt;MAX($P$34*($B348+$I$38-1),IF(AND($L$37=0,$P$34=0),"",$L$37-1)),0,YEARFRAC(MAX($P$34*($B348+$I$38-1),IF(AND($L$37=0,$P$34=0),"",$L$37-1)),MIN(BU$38,$E348),$P$20))-SUM($BF348:BT348))</f>
        <v>0</v>
      </c>
      <c r="BV348" s="446">
        <f>IF($E348=0,0,IF(MIN(BV$38,$E348)&lt;MAX($P$34*($B348+$I$38-1),IF(AND($L$37=0,$P$34=0),"",$L$37-1)),0,YEARFRAC(MAX($P$34*($B348+$I$38-1),IF(AND($L$37=0,$P$34=0),"",$L$37-1)),MIN(BV$38,$E348),$P$20))-SUM($BF348:BU348))</f>
        <v>0</v>
      </c>
      <c r="BW348" s="446">
        <f>IF($E348=0,0,IF(MIN(BW$38,$E348)&lt;MAX($P$34*($B348+$I$38-1),IF(AND($L$37=0,$P$34=0),"",$L$37-1)),0,YEARFRAC(MAX($P$34*($B348+$I$38-1),IF(AND($L$37=0,$P$34=0),"",$L$37-1)),MIN(BW$38,$E348),$P$20))-SUM($BF348:BV348))</f>
        <v>0</v>
      </c>
      <c r="BX348" s="446">
        <f>IF($E348=0,0,IF(MIN(BX$38,$E348)&lt;MAX($P$34*($B348+$I$38-1),IF(AND($L$37=0,$P$34=0),"",$L$37-1)),0,YEARFRAC(MAX($P$34*($B348+$I$38-1),IF(AND($L$37=0,$P$34=0),"",$L$37-1)),MIN(BX$38,$E348),$P$20))-SUM($BF348:BW348))</f>
        <v>0</v>
      </c>
      <c r="BY348" s="446">
        <f>IF($E348=0,0,IF(MIN(BY$38,$E348)&lt;MAX($P$34*($B348+$I$38-1),IF(AND($L$37=0,$P$34=0),"",$L$37-1)),0,YEARFRAC(MAX($P$34*($B348+$I$38-1),IF(AND($L$37=0,$P$34=0),"",$L$37-1)),MIN(BY$38,$E348),$P$20))-SUM($BF348:BX348))</f>
        <v>0</v>
      </c>
      <c r="BZ348" s="446">
        <f>IF($E348=0,0,IF(MIN(BZ$38,$E348)&lt;MAX($P$34*($B348+$I$38-1),IF(AND($L$37=0,$P$34=0),"",$L$37-1)),0,YEARFRAC(MAX($P$34*($B348+$I$38-1),IF(AND($L$37=0,$P$34=0),"",$L$37-1)),MIN(BZ$38,$E348),$P$20))-SUM($BF348:BY348))</f>
        <v>0</v>
      </c>
      <c r="CA348" s="446">
        <f>IF($E348=0,0,IF(MIN(CA$38,$E348)&lt;MAX($P$34*($B348+$I$38-1),IF(AND($L$37=0,$P$34=0),"",$L$37-1)),0,YEARFRAC(MAX($P$34*($B348+$I$38-1),IF(AND($L$37=0,$P$34=0),"",$L$37-1)),MIN(CA$38,$E348),$P$20))-SUM($BF348:BZ348))</f>
        <v>0</v>
      </c>
      <c r="CB348" s="446">
        <f>IF($E348=0,0,IF(MIN(CB$38,$E348)&lt;MAX($P$34*($B348+$I$38-1),IF(AND($L$37=0,$P$34=0),"",$L$37-1)),0,YEARFRAC(MAX($P$34*($B348+$I$38-1),IF(AND($L$37=0,$P$34=0),"",$L$37-1)),MIN(CB$38,$E348),$P$20))-SUM($BF348:CA348))</f>
        <v>0</v>
      </c>
      <c r="CC348" s="446">
        <f>IF($E348=0,0,IF(MIN(CC$38,$E348)&lt;MAX($P$34*($B348+$I$38-1),IF(AND($L$37=0,$P$34=0),"",$L$37-1)),0,YEARFRAC(MAX($P$34*($B348+$I$38-1),IF(AND($L$37=0,$P$34=0),"",$L$37-1)),MIN(CC$38,$E348),$P$20))-SUM($BF348:CB348))</f>
        <v>0</v>
      </c>
      <c r="CD348" s="446">
        <f>IF($E348=0,0,IF(MIN(CD$38,$E348)&lt;MAX($P$34*($B348+$I$38-1),IF(AND($L$37=0,$P$34=0),"",$L$37-1)),0,YEARFRAC(MAX($P$34*($B348+$I$38-1),IF(AND($L$37=0,$P$34=0),"",$L$37-1)),MIN(CD$38,$E348),$P$20))-SUM($BF348:CC348))</f>
        <v>0</v>
      </c>
      <c r="CE348" s="446">
        <f>IF($E348=0,0,IF(MIN(CE$38,$E348)&lt;MAX($P$34*($B348+$I$38-1),IF(AND($L$37=0,$P$34=0),"",$L$37-1)),0,YEARFRAC(MAX($P$34*($B348+$I$38-1),IF(AND($L$37=0,$P$34=0),"",$L$37-1)),MIN(CE$38,$E348),$P$20))-SUM($BF348:CD348))</f>
        <v>0</v>
      </c>
      <c r="CF348" s="446">
        <f>IF($E348=0,0,IF(MIN(CF$38,$E348)&lt;MAX($P$34*($B348+$I$38-1),IF(AND($L$37=0,$P$34=0),"",$L$37-1)),0,YEARFRAC(MAX($P$34*($B348+$I$38-1),IF(AND($L$37=0,$P$34=0),"",$L$37-1)),MIN(CF$38,$E348),$P$20))-SUM($BF348:CE348))</f>
        <v>0</v>
      </c>
      <c r="CG348" s="446">
        <f>IF($E348=0,0,IF(MIN(CG$38,$E348)&lt;MAX($P$34*($B348+$I$38-1),IF(AND($L$37=0,$P$34=0),"",$L$37-1)),0,YEARFRAC(MAX($P$34*($B348+$I$38-1),IF(AND($L$37=0,$P$34=0),"",$L$37-1)),MIN(CG$38,$E348),$P$20))-SUM($BF348:CF348))</f>
        <v>0</v>
      </c>
      <c r="CH348" s="446">
        <f>IF($E348=0,0,IF(MIN(CH$38,$E348)&lt;MAX($P$34*($B348+$I$38-1),IF(AND($L$37=0,$P$34=0),"",$L$37-1)),0,YEARFRAC(MAX($P$34*($B348+$I$38-1),IF(AND($L$37=0,$P$34=0),"",$L$37-1)),MIN(CH$38,$E348),$P$20))-SUM($BF348:CG348))</f>
        <v>0</v>
      </c>
      <c r="CI348" s="446">
        <f>IF($E348=0,0,IF(MIN(CI$38,$E348)&lt;MAX($P$34*($B348+$I$38-1),IF(AND($L$37=0,$P$34=0),"",$L$37-1)),0,YEARFRAC(MAX($P$34*($B348+$I$38-1),IF(AND($L$37=0,$P$34=0),"",$L$37-1)),MIN(CI$38,$E348),$P$20))-SUM($BF348:CH348))</f>
        <v>0</v>
      </c>
      <c r="CJ348" s="446">
        <f>IF($E348=0,0,IF(MIN(CJ$38,$E348)&lt;MAX($P$34*($B348+$I$38-1),IF(AND($L$37=0,$P$34=0),"",$L$37-1)),0,YEARFRAC(MAX($P$34*($B348+$I$38-1),IF(AND($L$37=0,$P$34=0),"",$L$37-1)),MIN(CJ$38,$E348),$P$20))-SUM($BF348:CI348))</f>
        <v>0</v>
      </c>
      <c r="CK348" s="446">
        <f>IF($E348=0,0,IF(MIN(CK$38,$E348)&lt;MAX($P$34*($B348+$I$38-1),IF(AND($L$37=0,$P$34=0),"",$L$37-1)),0,YEARFRAC(MAX($P$34*($B348+$I$38-1),IF(AND($L$37=0,$P$34=0),"",$L$37-1)),MIN(CK$38,$E348),$P$20))-SUM($BF348:CJ348))</f>
        <v>0</v>
      </c>
      <c r="CL348" s="446">
        <f>IF($E348=0,0,IF(MIN(CL$38,$E348)&lt;MAX($P$34*($B348+$I$38-1),IF(AND($L$37=0,$P$34=0),"",$L$37-1)),0,YEARFRAC(MAX($P$34*($B348+$I$38-1),IF(AND($L$37=0,$P$34=0),"",$L$37-1)),MIN(CL$38,$E348),$P$20))-SUM($BF348:CK348))</f>
        <v>0</v>
      </c>
      <c r="CM348" s="446">
        <f>IF($E348=0,0,IF(MIN(CM$38,$E348)&lt;MAX($P$34*($B348+$I$38-1),IF(AND($L$37=0,$P$34=0),"",$L$37-1)),0,YEARFRAC(MAX($P$34*($B348+$I$38-1),IF(AND($L$37=0,$P$34=0),"",$L$37-1)),MIN(CM$38,$E348),$P$20))-SUM($BF348:CL348))</f>
        <v>0</v>
      </c>
      <c r="CN348" s="446">
        <f>IF($E348=0,0,IF(MIN(CN$38,$E348)&lt;MAX($P$34*($B348+$I$38-1),IF(AND($L$37=0,$P$34=0),"",$L$37-1)),0,YEARFRAC(MAX($P$34*($B348+$I$38-1),IF(AND($L$37=0,$P$34=0),"",$L$37-1)),MIN(CN$38,$E348),$P$20))-SUM($BF348:CM348))</f>
        <v>0</v>
      </c>
      <c r="CO348" s="446">
        <f>IF($E348=0,0,IF(MIN(CO$38,$E348)&lt;MAX($P$34*($B348+$I$38-1),IF(AND($L$37=0,$P$34=0),"",$L$37-1)),0,YEARFRAC(MAX($P$34*($B348+$I$38-1),IF(AND($L$37=0,$P$34=0),"",$L$37-1)),MIN(CO$38,$E348),$P$20))-SUM($BF348:CN348))</f>
        <v>0</v>
      </c>
      <c r="CP348" s="446">
        <f>IF($E348=0,0,IF(MIN(CP$38,$E348)&lt;MAX($P$34*($B348+$I$38-1),IF(AND($L$37=0,$P$34=0),"",$L$37-1)),0,YEARFRAC(MAX($P$34*($B348+$I$38-1),IF(AND($L$37=0,$P$34=0),"",$L$37-1)),MIN(CP$38,$E348),$P$20))-SUM($BF348:CO348))</f>
        <v>0</v>
      </c>
      <c r="CQ348" s="446">
        <f>IF($E348=0,0,IF(MIN(CQ$38,$E348)&lt;MAX($P$34*($B348+$I$38-1),IF(AND($L$37=0,$P$34=0),"",$L$37-1)),0,YEARFRAC(MAX($P$34*($B348+$I$38-1),IF(AND($L$37=0,$P$34=0),"",$L$37-1)),MIN(CQ$38,$E348),$P$20))-SUM($BF348:CP348))</f>
        <v>0</v>
      </c>
    </row>
    <row r="349" spans="1:95" s="446" customFormat="1" ht="11.25" hidden="1" customHeight="1" x14ac:dyDescent="0.2">
      <c r="A349" s="152"/>
      <c r="B349" s="153" t="str">
        <f t="shared" si="59"/>
        <v/>
      </c>
      <c r="C349" s="29" t="str">
        <f>IF(B349="","",IF($L$35="SELIC - TRIBUTOS",VLOOKUP(DATE(YEAR($D$19),MONTH($D$19)-1,1),ÍNDICES!$A:$DE,HLOOKUP($BL$25,ÍNDICES!$B$3:$T$4,2)+11)-VLOOKUP(B349,ÍNDICES!$A:$DE,HLOOKUP($BL$25,ÍNDICES!$B$3:$T$4,2)+11)+1%,IF(C$38=$W$26,$J$35,IF(ISERROR(IF(B349&gt;$D$19,1,VLOOKUP(DATE(YEAR(B349),MONTH(B349)+IF($C$35=$S$23,1,0),1),ÍNDICES!$A:$DE,$Z$35+1))),"",IF(B349&gt;$D$19,1,VLOOKUP(DATE(YEAR(B349),MONTH(B349)+IF($C$35=$S$23,1,0),1),ÍNDICES!$A:$DE,$Z$35+1))))))</f>
        <v/>
      </c>
      <c r="D349" s="154" t="str">
        <f>IF(ISERROR(IF(OR($D$38=$Y$27,$B349=""),"",VLOOKUP(B349,ÍNDICES!A:DE,AF$35+1))),"",IF(OR($D$38=$Y$27,$B349=""),"",VLOOKUP(B349,ÍNDICES!A:DE,AF$35+1)))</f>
        <v/>
      </c>
      <c r="E349" s="153"/>
      <c r="F349" s="29" t="str">
        <f>IF(E349="","",IF($L$35="SELIC - TRIBUTOS",VLOOKUP(DATE(YEAR($D$19),MONTH($D$19)-1,1),ÍNDICES!$A:$DE,HLOOKUP($BL$25,ÍNDICES!$B$3:$T$4,2)+11)-VLOOKUP(E349,ÍNDICES!$A:$DE,HLOOKUP($BL$25,ÍNDICES!$B$3:$T$4,2)+11)+1%,IF(F$38=$W$26,$J$35,IF(ISERROR(IF(E349&gt;$D$19,1,VLOOKUP(DATE(YEAR(E349),MONTH(E349)+IF($C$35=$S$23,1,0),1),ÍNDICES!$A:$DE,$Z$35+1))),"",IF(E349&gt;$D$19,1,VLOOKUP(DATE(YEAR(E349),MONTH(E349)+IF($C$35=$S$23,1,0),1),ÍNDICES!$A:$DE,$Z$35+1))))))</f>
        <v/>
      </c>
      <c r="G349" s="155"/>
      <c r="H349" s="156" t="str">
        <f t="shared" si="55"/>
        <v/>
      </c>
      <c r="I349" s="29" t="str">
        <f t="shared" si="49"/>
        <v/>
      </c>
      <c r="J349" s="5">
        <f t="shared" si="50"/>
        <v>0</v>
      </c>
      <c r="K349" s="20">
        <f t="shared" ca="1" si="51"/>
        <v>0</v>
      </c>
      <c r="L349" s="5">
        <f t="shared" ca="1" si="52"/>
        <v>0</v>
      </c>
      <c r="M349" s="64">
        <f t="shared" si="56"/>
        <v>0</v>
      </c>
      <c r="N349" s="61">
        <f t="shared" ca="1" si="57"/>
        <v>0</v>
      </c>
      <c r="O349" s="5">
        <f t="shared" ca="1" si="58"/>
        <v>0</v>
      </c>
      <c r="P349" s="446" t="e">
        <f t="shared" si="53"/>
        <v>#VALUE!</v>
      </c>
      <c r="Q349" s="446" t="e">
        <f>IF(OR($B349="",MIN(Q$38,$D$19)&lt;MAX($P$34*($B349+IF($R$17="Distrato",$I$38-1,0)),IF(AND($L$37=0,$P$34=0),"",$L$37-1),IF($R$17="Distrato",$E349,0))),0,YEARFRAC(MAX($P$34*($B349+IF($R$17="Distrato",$I$38-1,0)),IF(AND($L$37=0,$P$34=0),"",$L$37-1),IF($R$17="Distrato",$E349,0)),MIN(Q$38,$D$19),$P$20))-SUM($P349:P349)</f>
        <v>#VALUE!</v>
      </c>
      <c r="R349" s="446" t="e">
        <f>IF(OR($B349="",MIN(R$38,$D$19)&lt;MAX($P$34*($B349+IF($R$17="Distrato",$I$38-1,0)),IF(AND($L$37=0,$P$34=0),"",$L$37-1),IF($R$17="Distrato",$E349,0))),0,YEARFRAC(MAX($P$34*($B349+IF($R$17="Distrato",$I$38-1,0)),IF(AND($L$37=0,$P$34=0),"",$L$37-1),IF($R$17="Distrato",$E349,0)),MIN(R$38,$D$19),$P$20))-SUM($P349:Q349)</f>
        <v>#VALUE!</v>
      </c>
      <c r="S349" s="446" t="e">
        <f>IF(OR($B349="",MIN(S$38,$D$19)&lt;MAX($P$34*($B349+IF($R$17="Distrato",$I$38-1,0)),IF(AND($L$37=0,$P$34=0),"",$L$37-1),IF($R$17="Distrato",$E349,0))),0,YEARFRAC(MAX($P$34*($B349+IF($R$17="Distrato",$I$38-1,0)),IF(AND($L$37=0,$P$34=0),"",$L$37-1),IF($R$17="Distrato",$E349,0)),MIN(S$38,$D$19),$P$20))-SUM($P349:R349)</f>
        <v>#VALUE!</v>
      </c>
      <c r="T349" s="446" t="e">
        <f>IF(OR($B349="",MIN(T$38,$D$19)&lt;MAX($P$34*($B349+IF($R$17="Distrato",$I$38-1,0)),IF(AND($L$37=0,$P$34=0),"",$L$37-1),IF($R$17="Distrato",$E349,0))),0,YEARFRAC(MAX($P$34*($B349+IF($R$17="Distrato",$I$38-1,0)),IF(AND($L$37=0,$P$34=0),"",$L$37-1),IF($R$17="Distrato",$E349,0)),MIN(T$38,$D$19),$P$20))-SUM($P349:S349)</f>
        <v>#VALUE!</v>
      </c>
      <c r="U349" s="446" t="e">
        <f>IF(OR($B349="",MIN(U$38,$D$19)&lt;MAX($P$34*($B349+IF($R$17="Distrato",$I$38-1,0)),IF(AND($L$37=0,$P$34=0),"",$L$37-1),IF($R$17="Distrato",$E349,0))),0,YEARFRAC(MAX($P$34*($B349+IF($R$17="Distrato",$I$38-1,0)),IF(AND($L$37=0,$P$34=0),"",$L$37-1),IF($R$17="Distrato",$E349,0)),MIN(U$38,$D$19),$P$20))-SUM($P349:T349)</f>
        <v>#VALUE!</v>
      </c>
      <c r="V349" s="446" t="e">
        <f>IF(OR($B349="",MIN(V$38,$D$19)&lt;MAX($P$34*($B349+IF($R$17="Distrato",$I$38-1,0)),IF(AND($L$37=0,$P$34=0),"",$L$37-1),IF($R$17="Distrato",$E349,0))),0,YEARFRAC(MAX($P$34*($B349+IF($R$17="Distrato",$I$38-1,0)),IF(AND($L$37=0,$P$34=0),"",$L$37-1),IF($R$17="Distrato",$E349,0)),MIN(V$38,$D$19),$P$20))-SUM($P349:U349)</f>
        <v>#VALUE!</v>
      </c>
      <c r="W349" s="446" t="e">
        <f>IF(OR($B349="",MIN(W$38,$D$19)&lt;MAX($P$34*($B349+IF($R$17="Distrato",$I$38-1,0)),IF(AND($L$37=0,$P$34=0),"",$L$37-1),IF($R$17="Distrato",$E349,0))),0,YEARFRAC(MAX($P$34*($B349+IF($R$17="Distrato",$I$38-1,0)),IF(AND($L$37=0,$P$34=0),"",$L$37-1),IF($R$17="Distrato",$E349,0)),MIN(W$38,$D$19),$P$20))-SUM($P349:V349)</f>
        <v>#VALUE!</v>
      </c>
      <c r="X349" s="446" t="e">
        <f>IF(OR($B349="",MIN(X$38,$D$19)&lt;MAX($P$34*($B349+IF($R$17="Distrato",$I$38-1,0)),IF(AND($L$37=0,$P$34=0),"",$L$37-1),IF($R$17="Distrato",$E349,0))),0,YEARFRAC(MAX($P$34*($B349+IF($R$17="Distrato",$I$38-1,0)),IF(AND($L$37=0,$P$34=0),"",$L$37-1),IF($R$17="Distrato",$E349,0)),MIN(X$38,$D$19),$P$20))-SUM($P349:W349)</f>
        <v>#VALUE!</v>
      </c>
      <c r="Y349" s="446" t="e">
        <f>IF(OR($B349="",MIN(Y$38,$D$19)&lt;MAX($P$34*($B349+IF($R$17="Distrato",$I$38-1,0)),IF(AND($L$37=0,$P$34=0),"",$L$37-1),IF($R$17="Distrato",$E349,0))),0,YEARFRAC(MAX($P$34*($B349+IF($R$17="Distrato",$I$38-1,0)),IF(AND($L$37=0,$P$34=0),"",$L$37-1),IF($R$17="Distrato",$E349,0)),MIN(Y$38,$D$19),$P$20))-SUM($P349:X349)</f>
        <v>#VALUE!</v>
      </c>
      <c r="Z349" s="446" t="e">
        <f>IF(OR($B349="",MIN(Z$38,$D$19)&lt;MAX($P$34*($B349+IF($R$17="Distrato",$I$38-1,0)),IF(AND($L$37=0,$P$34=0),"",$L$37-1),IF($R$17="Distrato",$E349,0))),0,YEARFRAC(MAX($P$34*($B349+IF($R$17="Distrato",$I$38-1,0)),IF(AND($L$37=0,$P$34=0),"",$L$37-1),IF($R$17="Distrato",$E349,0)),MIN(Z$38,$D$19),$P$20))-SUM($P349:Y349)</f>
        <v>#VALUE!</v>
      </c>
      <c r="AA349" s="446" t="e">
        <f>IF(OR($B349="",MIN(AA$38,$D$19)&lt;MAX($P$34*($B349+IF($R$17="Distrato",$I$38-1,0)),IF(AND($L$37=0,$P$34=0),"",$L$37-1),IF($R$17="Distrato",$E349,0))),0,YEARFRAC(MAX($P$34*($B349+IF($R$17="Distrato",$I$38-1,0)),IF(AND($L$37=0,$P$34=0),"",$L$37-1),IF($R$17="Distrato",$E349,0)),MIN(AA$38,$D$19),$P$20))-SUM($P349:Z349)</f>
        <v>#VALUE!</v>
      </c>
      <c r="AB349" s="446" t="e">
        <f>IF(OR($B349="",MIN(AB$38,$D$19)&lt;MAX($P$34*($B349+IF($R$17="Distrato",$I$38-1,0)),IF(AND($L$37=0,$P$34=0),"",$L$37-1),IF($R$17="Distrato",$E349,0))),0,YEARFRAC(MAX($P$34*($B349+IF($R$17="Distrato",$I$38-1,0)),IF(AND($L$37=0,$P$34=0),"",$L$37-1),IF($R$17="Distrato",$E349,0)),MIN(AB$38,$D$19),$P$20))-SUM($P349:AA349)</f>
        <v>#VALUE!</v>
      </c>
      <c r="AC349" s="446" t="e">
        <f>IF(OR($B349="",MIN(AC$38,$D$19)&lt;MAX($P$34*($B349+IF($R$17="Distrato",$I$38-1,0)),IF(AND($L$37=0,$P$34=0),"",$L$37-1),IF($R$17="Distrato",$E349,0))),0,YEARFRAC(MAX($P$34*($B349+IF($R$17="Distrato",$I$38-1,0)),IF(AND($L$37=0,$P$34=0),"",$L$37-1),IF($R$17="Distrato",$E349,0)),MIN(AC$38,$D$19),$P$20))-SUM($P349:AB349)</f>
        <v>#VALUE!</v>
      </c>
      <c r="AD349" s="446" t="e">
        <f>IF(OR($B349="",MIN(AD$38,$D$19)&lt;MAX($P$34*($B349+IF($R$17="Distrato",$I$38-1,0)),IF(AND($L$37=0,$P$34=0),"",$L$37-1),IF($R$17="Distrato",$E349,0))),0,YEARFRAC(MAX($P$34*($B349+IF($R$17="Distrato",$I$38-1,0)),IF(AND($L$37=0,$P$34=0),"",$L$37-1),IF($R$17="Distrato",$E349,0)),MIN(AD$38,$D$19),$P$20))-SUM($P349:AC349)</f>
        <v>#VALUE!</v>
      </c>
      <c r="AE349" s="446" t="e">
        <f>IF(OR($B349="",MIN(AE$38,$D$19)&lt;MAX($P$34*($B349+IF($R$17="Distrato",$I$38-1,0)),IF(AND($L$37=0,$P$34=0),"",$L$37-1),IF($R$17="Distrato",$E349,0))),0,YEARFRAC(MAX($P$34*($B349+IF($R$17="Distrato",$I$38-1,0)),IF(AND($L$37=0,$P$34=0),"",$L$37-1),IF($R$17="Distrato",$E349,0)),MIN(AE$38,$D$19),$P$20))-SUM($P349:AD349)</f>
        <v>#VALUE!</v>
      </c>
      <c r="AF349" s="446" t="e">
        <f>IF(OR($B349="",MIN(AF$38,$D$19)&lt;MAX($P$34*($B349+IF($R$17="Distrato",$I$38-1,0)),IF(AND($L$37=0,$P$34=0),"",$L$37-1),IF($R$17="Distrato",$E349,0))),0,YEARFRAC(MAX($P$34*($B349+IF($R$17="Distrato",$I$38-1,0)),IF(AND($L$37=0,$P$34=0),"",$L$37-1),IF($R$17="Distrato",$E349,0)),MIN(AF$38,$D$19),$P$20))-SUM($P349:AE349)</f>
        <v>#VALUE!</v>
      </c>
      <c r="AG349" s="446" t="e">
        <f>IF(OR($B349="",MIN(AG$38,$D$19)&lt;MAX($P$34*($B349+IF($R$17="Distrato",$I$38-1,0)),IF(AND($L$37=0,$P$34=0),"",$L$37-1),IF($R$17="Distrato",$E349,0))),0,YEARFRAC(MAX($P$34*($B349+IF($R$17="Distrato",$I$38-1,0)),IF(AND($L$37=0,$P$34=0),"",$L$37-1),IF($R$17="Distrato",$E349,0)),MIN(AG$38,$D$19),$P$20))-SUM($P349:AF349)</f>
        <v>#VALUE!</v>
      </c>
      <c r="AH349" s="446" t="e">
        <f>IF(OR($B349="",MIN(AH$38,$D$19)&lt;MAX($P$34*($B349+IF($R$17="Distrato",$I$38-1,0)),IF(AND($L$37=0,$P$34=0),"",$L$37-1),IF($R$17="Distrato",$E349,0))),0,YEARFRAC(MAX($P$34*($B349+IF($R$17="Distrato",$I$38-1,0)),IF(AND($L$37=0,$P$34=0),"",$L$37-1),IF($R$17="Distrato",$E349,0)),MIN(AH$38,$D$19),$P$20))-SUM($P349:AG349)</f>
        <v>#VALUE!</v>
      </c>
      <c r="AI349" s="446" t="e">
        <f>IF(OR($B349="",MIN(AI$38,$D$19)&lt;MAX($P$34*($B349+IF($R$17="Distrato",$I$38-1,0)),IF(AND($L$37=0,$P$34=0),"",$L$37-1),IF($R$17="Distrato",$E349,0))),0,YEARFRAC(MAX($P$34*($B349+IF($R$17="Distrato",$I$38-1,0)),IF(AND($L$37=0,$P$34=0),"",$L$37-1),IF($R$17="Distrato",$E349,0)),MIN(AI$38,$D$19),$P$20))-SUM($P349:AH349)</f>
        <v>#VALUE!</v>
      </c>
      <c r="AJ349" s="446" t="e">
        <f>IF(OR($B349="",MIN(AJ$38,$D$19)&lt;MAX($P$34*($B349+IF($R$17="Distrato",$I$38-1,0)),IF(AND($L$37=0,$P$34=0),"",$L$37-1),IF($R$17="Distrato",$E349,0))),0,YEARFRAC(MAX($P$34*($B349+IF($R$17="Distrato",$I$38-1,0)),IF(AND($L$37=0,$P$34=0),"",$L$37-1),IF($R$17="Distrato",$E349,0)),MIN(AJ$38,$D$19),$P$20))-SUM($P349:AI349)</f>
        <v>#VALUE!</v>
      </c>
      <c r="AK349" s="446" t="e">
        <f>IF(OR($B349="",MIN(AK$38,$D$19)&lt;MAX($P$34*($B349+IF($R$17="Distrato",$I$38-1,0)),IF(AND($L$37=0,$P$34=0),"",$L$37-1),IF($R$17="Distrato",$E349,0))),0,YEARFRAC(MAX($P$34*($B349+IF($R$17="Distrato",$I$38-1,0)),IF(AND($L$37=0,$P$34=0),"",$L$37-1),IF($R$17="Distrato",$E349,0)),MIN(AK$38,$D$19),$P$20))-SUM($P349:AJ349)</f>
        <v>#VALUE!</v>
      </c>
      <c r="AL349" s="446" t="e">
        <f>IF(OR($B349="",MIN(AL$38,$D$19)&lt;MAX($P$34*($B349+IF($R$17="Distrato",$I$38-1,0)),IF(AND($L$37=0,$P$34=0),"",$L$37-1),IF($R$17="Distrato",$E349,0))),0,YEARFRAC(MAX($P$34*($B349+IF($R$17="Distrato",$I$38-1,0)),IF(AND($L$37=0,$P$34=0),"",$L$37-1),IF($R$17="Distrato",$E349,0)),MIN(AL$38,$D$19),$P$20))-SUM($P349:AK349)</f>
        <v>#VALUE!</v>
      </c>
      <c r="AM349" s="446" t="e">
        <f>IF(OR($B349="",MIN(AM$38,$D$19)&lt;MAX($P$34*($B349+IF($R$17="Distrato",$I$38-1,0)),IF(AND($L$37=0,$P$34=0),"",$L$37-1),IF($R$17="Distrato",$E349,0))),0,YEARFRAC(MAX($P$34*($B349+IF($R$17="Distrato",$I$38-1,0)),IF(AND($L$37=0,$P$34=0),"",$L$37-1),IF($R$17="Distrato",$E349,0)),MIN(AM$38,$D$19),$P$20))-SUM($P349:AL349)</f>
        <v>#VALUE!</v>
      </c>
      <c r="AN349" s="446" t="e">
        <f>IF(OR($B349="",MIN(AN$38,$D$19)&lt;MAX($P$34*($B349+IF($R$17="Distrato",$I$38-1,0)),IF(AND($L$37=0,$P$34=0),"",$L$37-1),IF($R$17="Distrato",$E349,0))),0,YEARFRAC(MAX($P$34*($B349+IF($R$17="Distrato",$I$38-1,0)),IF(AND($L$37=0,$P$34=0),"",$L$37-1),IF($R$17="Distrato",$E349,0)),MIN(AN$38,$D$19),$P$20))-SUM($P349:AM349)</f>
        <v>#VALUE!</v>
      </c>
      <c r="AO349" s="446" t="e">
        <f>IF(OR($B349="",MIN(AO$38,$D$19)&lt;MAX($P$34*($B349+IF($R$17="Distrato",$I$38-1,0)),IF(AND($L$37=0,$P$34=0),"",$L$37-1),IF($R$17="Distrato",$E349,0))),0,YEARFRAC(MAX($P$34*($B349+IF($R$17="Distrato",$I$38-1,0)),IF(AND($L$37=0,$P$34=0),"",$L$37-1),IF($R$17="Distrato",$E349,0)),MIN(AO$38,$D$19),$P$20))-SUM($P349:AN349)</f>
        <v>#VALUE!</v>
      </c>
      <c r="AP349" s="446" t="e">
        <f>IF(OR($B349="",MIN(AP$38,$D$19)&lt;MAX($P$34*($B349+IF($R$17="Distrato",$I$38-1,0)),IF(AND($L$37=0,$P$34=0),"",$L$37-1),IF($R$17="Distrato",$E349,0))),0,YEARFRAC(MAX($P$34*($B349+IF($R$17="Distrato",$I$38-1,0)),IF(AND($L$37=0,$P$34=0),"",$L$37-1),IF($R$17="Distrato",$E349,0)),MIN(AP$38,$D$19),$P$20))-SUM($P349:AO349)</f>
        <v>#VALUE!</v>
      </c>
      <c r="AQ349" s="446" t="e">
        <f>IF(OR($B349="",MIN(AQ$38,$D$19)&lt;MAX($P$34*($B349+IF($R$17="Distrato",$I$38-1,0)),IF(AND($L$37=0,$P$34=0),"",$L$37-1),IF($R$17="Distrato",$E349,0))),0,YEARFRAC(MAX($P$34*($B349+IF($R$17="Distrato",$I$38-1,0)),IF(AND($L$37=0,$P$34=0),"",$L$37-1),IF($R$17="Distrato",$E349,0)),MIN(AQ$38,$D$19),$P$20))-SUM($P349:AP349)</f>
        <v>#VALUE!</v>
      </c>
      <c r="AR349" s="446" t="e">
        <f>IF(OR($B349="",MIN(AR$38,$D$19)&lt;MAX($P$34*($B349+IF($R$17="Distrato",$I$38-1,0)),IF(AND($L$37=0,$P$34=0),"",$L$37-1),IF($R$17="Distrato",$E349,0))),0,YEARFRAC(MAX($P$34*($B349+IF($R$17="Distrato",$I$38-1,0)),IF(AND($L$37=0,$P$34=0),"",$L$37-1),IF($R$17="Distrato",$E349,0)),MIN(AR$38,$D$19),$P$20))-SUM($P349:AQ349)</f>
        <v>#VALUE!</v>
      </c>
      <c r="AS349" s="446" t="e">
        <f>IF(OR($B349="",MIN(AS$38,$D$19)&lt;MAX($P$34*($B349+IF($R$17="Distrato",$I$38-1,0)),IF(AND($L$37=0,$P$34=0),"",$L$37-1),IF($R$17="Distrato",$E349,0))),0,YEARFRAC(MAX($P$34*($B349+IF($R$17="Distrato",$I$38-1,0)),IF(AND($L$37=0,$P$34=0),"",$L$37-1),IF($R$17="Distrato",$E349,0)),MIN(AS$38,$D$19),$P$20))-SUM($P349:AR349)</f>
        <v>#VALUE!</v>
      </c>
      <c r="AT349" s="446" t="e">
        <f>IF(OR($B349="",MIN(AT$38,$D$19)&lt;MAX($P$34*($B349+IF($R$17="Distrato",$I$38-1,0)),IF(AND($L$37=0,$P$34=0),"",$L$37-1),IF($R$17="Distrato",$E349,0))),0,YEARFRAC(MAX($P$34*($B349+IF($R$17="Distrato",$I$38-1,0)),IF(AND($L$37=0,$P$34=0),"",$L$37-1),IF($R$17="Distrato",$E349,0)),MIN(AT$38,$D$19),$P$20))-SUM($P349:AS349)</f>
        <v>#VALUE!</v>
      </c>
      <c r="AU349" s="446" t="e">
        <f>IF(OR($B349="",MIN(AU$38,$D$19)&lt;MAX($P$34*($B349+IF($R$17="Distrato",$I$38-1,0)),IF(AND($L$37=0,$P$34=0),"",$L$37-1),IF($R$17="Distrato",$E349,0))),0,YEARFRAC(MAX($P$34*($B349+IF($R$17="Distrato",$I$38-1,0)),IF(AND($L$37=0,$P$34=0),"",$L$37-1),IF($R$17="Distrato",$E349,0)),MIN(AU$38,$D$19),$P$20))-SUM($P349:AT349)</f>
        <v>#VALUE!</v>
      </c>
      <c r="AV349" s="446" t="e">
        <f>IF(OR($B349="",MIN(AV$38,$D$19)&lt;MAX($P$34*($B349+IF($R$17="Distrato",$I$38-1,0)),IF(AND($L$37=0,$P$34=0),"",$L$37-1),IF($R$17="Distrato",$E349,0))),0,YEARFRAC(MAX($P$34*($B349+IF($R$17="Distrato",$I$38-1,0)),IF(AND($L$37=0,$P$34=0),"",$L$37-1),IF($R$17="Distrato",$E349,0)),MIN(AV$38,$D$19),$P$20))-SUM($P349:AU349)</f>
        <v>#VALUE!</v>
      </c>
      <c r="AW349" s="446" t="e">
        <f>IF(OR($B349="",MIN(AW$38,$D$19)&lt;MAX($P$34*($B349+IF($R$17="Distrato",$I$38-1,0)),IF(AND($L$37=0,$P$34=0),"",$L$37-1),IF($R$17="Distrato",$E349,0))),0,YEARFRAC(MAX($P$34*($B349+IF($R$17="Distrato",$I$38-1,0)),IF(AND($L$37=0,$P$34=0),"",$L$37-1),IF($R$17="Distrato",$E349,0)),MIN(AW$38,$D$19),$P$20))-SUM($P349:AV349)</f>
        <v>#VALUE!</v>
      </c>
      <c r="AX349" s="446" t="e">
        <f>IF(OR($B349="",MIN(AX$38,$D$19)&lt;MAX($P$34*($B349+IF($R$17="Distrato",$I$38-1,0)),IF(AND($L$37=0,$P$34=0),"",$L$37-1),IF($R$17="Distrato",$E349,0))),0,YEARFRAC(MAX($P$34*($B349+IF($R$17="Distrato",$I$38-1,0)),IF(AND($L$37=0,$P$34=0),"",$L$37-1),IF($R$17="Distrato",$E349,0)),MIN(AX$38,$D$19),$P$20))-SUM($P349:AW349)</f>
        <v>#VALUE!</v>
      </c>
      <c r="AY349" s="446" t="e">
        <f>IF(OR($B349="",MIN(AY$38,$D$19)&lt;MAX($P$34*($B349+IF($R$17="Distrato",$I$38-1,0)),IF(AND($L$37=0,$P$34=0),"",$L$37-1),IF($R$17="Distrato",$E349,0))),0,YEARFRAC(MAX($P$34*($B349+IF($R$17="Distrato",$I$38-1,0)),IF(AND($L$37=0,$P$34=0),"",$L$37-1),IF($R$17="Distrato",$E349,0)),MIN(AY$38,$D$19),$P$20))-SUM($P349:AX349)</f>
        <v>#VALUE!</v>
      </c>
      <c r="AZ349" s="446" t="e">
        <f>IF(OR($B349="",MIN(AZ$38,$D$19)&lt;MAX($P$34*($B349+IF($R$17="Distrato",$I$38-1,0)),IF(AND($L$37=0,$P$34=0),"",$L$37-1),IF($R$17="Distrato",$E349,0))),0,YEARFRAC(MAX($P$34*($B349+IF($R$17="Distrato",$I$38-1,0)),IF(AND($L$37=0,$P$34=0),"",$L$37-1),IF($R$17="Distrato",$E349,0)),MIN(AZ$38,$D$19),$P$20))-SUM($P349:AY349)</f>
        <v>#VALUE!</v>
      </c>
      <c r="BA349" s="446" t="e">
        <f>IF(OR($B349="",MIN(BA$38,$D$19)&lt;MAX($P$34*($B349+IF($R$17="Distrato",$I$38-1,0)),IF(AND($L$37=0,$P$34=0),"",$L$37-1),IF($R$17="Distrato",$E349,0))),0,YEARFRAC(MAX($P$34*($B349+IF($R$17="Distrato",$I$38-1,0)),IF(AND($L$37=0,$P$34=0),"",$L$37-1),IF($R$17="Distrato",$E349,0)),MIN(BA$38,$D$19),$P$20))-SUM($P349:AZ349)</f>
        <v>#VALUE!</v>
      </c>
      <c r="BB349" s="447"/>
      <c r="BF349" s="446">
        <f t="shared" si="54"/>
        <v>0</v>
      </c>
      <c r="BG349" s="446">
        <f>IF($E349=0,0,IF(MIN(BG$38,$E349)&lt;MAX($P$34*($B349+$I$38-1),IF(AND($L$37=0,$P$34=0),"",$L$37-1)),0,YEARFRAC(MAX($P$34*($B349+$I$38-1),IF(AND($L$37=0,$P$34=0),"",$L$37-1)),MIN(BG$38,$E349),$P$20))-SUM($BF349:BF349))</f>
        <v>0</v>
      </c>
      <c r="BH349" s="446">
        <f>IF($E349=0,0,IF(MIN(BH$38,$E349)&lt;MAX($P$34*($B349+$I$38-1),IF(AND($L$37=0,$P$34=0),"",$L$37-1)),0,YEARFRAC(MAX($P$34*($B349+$I$38-1),IF(AND($L$37=0,$P$34=0),"",$L$37-1)),MIN(BH$38,$E349),$P$20))-SUM($BF349:BG349))</f>
        <v>0</v>
      </c>
      <c r="BI349" s="446">
        <f>IF($E349=0,0,IF(MIN(BI$38,$E349)&lt;MAX($P$34*($B349+$I$38-1),IF(AND($L$37=0,$P$34=0),"",$L$37-1)),0,YEARFRAC(MAX($P$34*($B349+$I$38-1),IF(AND($L$37=0,$P$34=0),"",$L$37-1)),MIN(BI$38,$E349),$P$20))-SUM($BF349:BH349))</f>
        <v>0</v>
      </c>
      <c r="BJ349" s="446">
        <f>IF($E349=0,0,IF(MIN(BJ$38,$E349)&lt;MAX($P$34*($B349+$I$38-1),IF(AND($L$37=0,$P$34=0),"",$L$37-1)),0,YEARFRAC(MAX($P$34*($B349+$I$38-1),IF(AND($L$37=0,$P$34=0),"",$L$37-1)),MIN(BJ$38,$E349),$P$20))-SUM($BF349:BI349))</f>
        <v>0</v>
      </c>
      <c r="BK349" s="446">
        <f>IF($E349=0,0,IF(MIN(BK$38,$E349)&lt;MAX($P$34*($B349+$I$38-1),IF(AND($L$37=0,$P$34=0),"",$L$37-1)),0,YEARFRAC(MAX($P$34*($B349+$I$38-1),IF(AND($L$37=0,$P$34=0),"",$L$37-1)),MIN(BK$38,$E349),$P$20))-SUM($BF349:BJ349))</f>
        <v>0</v>
      </c>
      <c r="BL349" s="446">
        <f>IF($E349=0,0,IF(MIN(BL$38,$E349)&lt;MAX($P$34*($B349+$I$38-1),IF(AND($L$37=0,$P$34=0),"",$L$37-1)),0,YEARFRAC(MAX($P$34*($B349+$I$38-1),IF(AND($L$37=0,$P$34=0),"",$L$37-1)),MIN(BL$38,$E349),$P$20))-SUM($BF349:BK349))</f>
        <v>0</v>
      </c>
      <c r="BM349" s="446">
        <f>IF($E349=0,0,IF(MIN(BM$38,$E349)&lt;MAX($P$34*($B349+$I$38-1),IF(AND($L$37=0,$P$34=0),"",$L$37-1)),0,YEARFRAC(MAX($P$34*($B349+$I$38-1),IF(AND($L$37=0,$P$34=0),"",$L$37-1)),MIN(BM$38,$E349),$P$20))-SUM($BF349:BL349))</f>
        <v>0</v>
      </c>
      <c r="BN349" s="446">
        <f>IF($E349=0,0,IF(MIN(BN$38,$E349)&lt;MAX($P$34*($B349+$I$38-1),IF(AND($L$37=0,$P$34=0),"",$L$37-1)),0,YEARFRAC(MAX($P$34*($B349+$I$38-1),IF(AND($L$37=0,$P$34=0),"",$L$37-1)),MIN(BN$38,$E349),$P$20))-SUM($BF349:BM349))</f>
        <v>0</v>
      </c>
      <c r="BO349" s="446">
        <f>IF($E349=0,0,IF(MIN(BO$38,$E349)&lt;MAX($P$34*($B349+$I$38-1),IF(AND($L$37=0,$P$34=0),"",$L$37-1)),0,YEARFRAC(MAX($P$34*($B349+$I$38-1),IF(AND($L$37=0,$P$34=0),"",$L$37-1)),MIN(BO$38,$E349),$P$20))-SUM($BF349:BN349))</f>
        <v>0</v>
      </c>
      <c r="BP349" s="446">
        <f>IF($E349=0,0,IF(MIN(BP$38,$E349)&lt;MAX($P$34*($B349+$I$38-1),IF(AND($L$37=0,$P$34=0),"",$L$37-1)),0,YEARFRAC(MAX($P$34*($B349+$I$38-1),IF(AND($L$37=0,$P$34=0),"",$L$37-1)),MIN(BP$38,$E349),$P$20))-SUM($BF349:BO349))</f>
        <v>0</v>
      </c>
      <c r="BQ349" s="446">
        <f>IF($E349=0,0,IF(MIN(BQ$38,$E349)&lt;MAX($P$34*($B349+$I$38-1),IF(AND($L$37=0,$P$34=0),"",$L$37-1)),0,YEARFRAC(MAX($P$34*($B349+$I$38-1),IF(AND($L$37=0,$P$34=0),"",$L$37-1)),MIN(BQ$38,$E349),$P$20))-SUM($BF349:BP349))</f>
        <v>0</v>
      </c>
      <c r="BR349" s="446">
        <f>IF($E349=0,0,IF(MIN(BR$38,$E349)&lt;MAX($P$34*($B349+$I$38-1),IF(AND($L$37=0,$P$34=0),"",$L$37-1)),0,YEARFRAC(MAX($P$34*($B349+$I$38-1),IF(AND($L$37=0,$P$34=0),"",$L$37-1)),MIN(BR$38,$E349),$P$20))-SUM($BF349:BQ349))</f>
        <v>0</v>
      </c>
      <c r="BS349" s="446">
        <f>IF($E349=0,0,IF(MIN(BS$38,$E349)&lt;MAX($P$34*($B349+$I$38-1),IF(AND($L$37=0,$P$34=0),"",$L$37-1)),0,YEARFRAC(MAX($P$34*($B349+$I$38-1),IF(AND($L$37=0,$P$34=0),"",$L$37-1)),MIN(BS$38,$E349),$P$20))-SUM($BF349:BR349))</f>
        <v>0</v>
      </c>
      <c r="BT349" s="446">
        <f>IF($E349=0,0,IF(MIN(BT$38,$E349)&lt;MAX($P$34*($B349+$I$38-1),IF(AND($L$37=0,$P$34=0),"",$L$37-1)),0,YEARFRAC(MAX($P$34*($B349+$I$38-1),IF(AND($L$37=0,$P$34=0),"",$L$37-1)),MIN(BT$38,$E349),$P$20))-SUM($BF349:BS349))</f>
        <v>0</v>
      </c>
      <c r="BU349" s="446">
        <f>IF($E349=0,0,IF(MIN(BU$38,$E349)&lt;MAX($P$34*($B349+$I$38-1),IF(AND($L$37=0,$P$34=0),"",$L$37-1)),0,YEARFRAC(MAX($P$34*($B349+$I$38-1),IF(AND($L$37=0,$P$34=0),"",$L$37-1)),MIN(BU$38,$E349),$P$20))-SUM($BF349:BT349))</f>
        <v>0</v>
      </c>
      <c r="BV349" s="446">
        <f>IF($E349=0,0,IF(MIN(BV$38,$E349)&lt;MAX($P$34*($B349+$I$38-1),IF(AND($L$37=0,$P$34=0),"",$L$37-1)),0,YEARFRAC(MAX($P$34*($B349+$I$38-1),IF(AND($L$37=0,$P$34=0),"",$L$37-1)),MIN(BV$38,$E349),$P$20))-SUM($BF349:BU349))</f>
        <v>0</v>
      </c>
      <c r="BW349" s="446">
        <f>IF($E349=0,0,IF(MIN(BW$38,$E349)&lt;MAX($P$34*($B349+$I$38-1),IF(AND($L$37=0,$P$34=0),"",$L$37-1)),0,YEARFRAC(MAX($P$34*($B349+$I$38-1),IF(AND($L$37=0,$P$34=0),"",$L$37-1)),MIN(BW$38,$E349),$P$20))-SUM($BF349:BV349))</f>
        <v>0</v>
      </c>
      <c r="BX349" s="446">
        <f>IF($E349=0,0,IF(MIN(BX$38,$E349)&lt;MAX($P$34*($B349+$I$38-1),IF(AND($L$37=0,$P$34=0),"",$L$37-1)),0,YEARFRAC(MAX($P$34*($B349+$I$38-1),IF(AND($L$37=0,$P$34=0),"",$L$37-1)),MIN(BX$38,$E349),$P$20))-SUM($BF349:BW349))</f>
        <v>0</v>
      </c>
      <c r="BY349" s="446">
        <f>IF($E349=0,0,IF(MIN(BY$38,$E349)&lt;MAX($P$34*($B349+$I$38-1),IF(AND($L$37=0,$P$34=0),"",$L$37-1)),0,YEARFRAC(MAX($P$34*($B349+$I$38-1),IF(AND($L$37=0,$P$34=0),"",$L$37-1)),MIN(BY$38,$E349),$P$20))-SUM($BF349:BX349))</f>
        <v>0</v>
      </c>
      <c r="BZ349" s="446">
        <f>IF($E349=0,0,IF(MIN(BZ$38,$E349)&lt;MAX($P$34*($B349+$I$38-1),IF(AND($L$37=0,$P$34=0),"",$L$37-1)),0,YEARFRAC(MAX($P$34*($B349+$I$38-1),IF(AND($L$37=0,$P$34=0),"",$L$37-1)),MIN(BZ$38,$E349),$P$20))-SUM($BF349:BY349))</f>
        <v>0</v>
      </c>
      <c r="CA349" s="446">
        <f>IF($E349=0,0,IF(MIN(CA$38,$E349)&lt;MAX($P$34*($B349+$I$38-1),IF(AND($L$37=0,$P$34=0),"",$L$37-1)),0,YEARFRAC(MAX($P$34*($B349+$I$38-1),IF(AND($L$37=0,$P$34=0),"",$L$37-1)),MIN(CA$38,$E349),$P$20))-SUM($BF349:BZ349))</f>
        <v>0</v>
      </c>
      <c r="CB349" s="446">
        <f>IF($E349=0,0,IF(MIN(CB$38,$E349)&lt;MAX($P$34*($B349+$I$38-1),IF(AND($L$37=0,$P$34=0),"",$L$37-1)),0,YEARFRAC(MAX($P$34*($B349+$I$38-1),IF(AND($L$37=0,$P$34=0),"",$L$37-1)),MIN(CB$38,$E349),$P$20))-SUM($BF349:CA349))</f>
        <v>0</v>
      </c>
      <c r="CC349" s="446">
        <f>IF($E349=0,0,IF(MIN(CC$38,$E349)&lt;MAX($P$34*($B349+$I$38-1),IF(AND($L$37=0,$P$34=0),"",$L$37-1)),0,YEARFRAC(MAX($P$34*($B349+$I$38-1),IF(AND($L$37=0,$P$34=0),"",$L$37-1)),MIN(CC$38,$E349),$P$20))-SUM($BF349:CB349))</f>
        <v>0</v>
      </c>
      <c r="CD349" s="446">
        <f>IF($E349=0,0,IF(MIN(CD$38,$E349)&lt;MAX($P$34*($B349+$I$38-1),IF(AND($L$37=0,$P$34=0),"",$L$37-1)),0,YEARFRAC(MAX($P$34*($B349+$I$38-1),IF(AND($L$37=0,$P$34=0),"",$L$37-1)),MIN(CD$38,$E349),$P$20))-SUM($BF349:CC349))</f>
        <v>0</v>
      </c>
      <c r="CE349" s="446">
        <f>IF($E349=0,0,IF(MIN(CE$38,$E349)&lt;MAX($P$34*($B349+$I$38-1),IF(AND($L$37=0,$P$34=0),"",$L$37-1)),0,YEARFRAC(MAX($P$34*($B349+$I$38-1),IF(AND($L$37=0,$P$34=0),"",$L$37-1)),MIN(CE$38,$E349),$P$20))-SUM($BF349:CD349))</f>
        <v>0</v>
      </c>
      <c r="CF349" s="446">
        <f>IF($E349=0,0,IF(MIN(CF$38,$E349)&lt;MAX($P$34*($B349+$I$38-1),IF(AND($L$37=0,$P$34=0),"",$L$37-1)),0,YEARFRAC(MAX($P$34*($B349+$I$38-1),IF(AND($L$37=0,$P$34=0),"",$L$37-1)),MIN(CF$38,$E349),$P$20))-SUM($BF349:CE349))</f>
        <v>0</v>
      </c>
      <c r="CG349" s="446">
        <f>IF($E349=0,0,IF(MIN(CG$38,$E349)&lt;MAX($P$34*($B349+$I$38-1),IF(AND($L$37=0,$P$34=0),"",$L$37-1)),0,YEARFRAC(MAX($P$34*($B349+$I$38-1),IF(AND($L$37=0,$P$34=0),"",$L$37-1)),MIN(CG$38,$E349),$P$20))-SUM($BF349:CF349))</f>
        <v>0</v>
      </c>
      <c r="CH349" s="446">
        <f>IF($E349=0,0,IF(MIN(CH$38,$E349)&lt;MAX($P$34*($B349+$I$38-1),IF(AND($L$37=0,$P$34=0),"",$L$37-1)),0,YEARFRAC(MAX($P$34*($B349+$I$38-1),IF(AND($L$37=0,$P$34=0),"",$L$37-1)),MIN(CH$38,$E349),$P$20))-SUM($BF349:CG349))</f>
        <v>0</v>
      </c>
      <c r="CI349" s="446">
        <f>IF($E349=0,0,IF(MIN(CI$38,$E349)&lt;MAX($P$34*($B349+$I$38-1),IF(AND($L$37=0,$P$34=0),"",$L$37-1)),0,YEARFRAC(MAX($P$34*($B349+$I$38-1),IF(AND($L$37=0,$P$34=0),"",$L$37-1)),MIN(CI$38,$E349),$P$20))-SUM($BF349:CH349))</f>
        <v>0</v>
      </c>
      <c r="CJ349" s="446">
        <f>IF($E349=0,0,IF(MIN(CJ$38,$E349)&lt;MAX($P$34*($B349+$I$38-1),IF(AND($L$37=0,$P$34=0),"",$L$37-1)),0,YEARFRAC(MAX($P$34*($B349+$I$38-1),IF(AND($L$37=0,$P$34=0),"",$L$37-1)),MIN(CJ$38,$E349),$P$20))-SUM($BF349:CI349))</f>
        <v>0</v>
      </c>
      <c r="CK349" s="446">
        <f>IF($E349=0,0,IF(MIN(CK$38,$E349)&lt;MAX($P$34*($B349+$I$38-1),IF(AND($L$37=0,$P$34=0),"",$L$37-1)),0,YEARFRAC(MAX($P$34*($B349+$I$38-1),IF(AND($L$37=0,$P$34=0),"",$L$37-1)),MIN(CK$38,$E349),$P$20))-SUM($BF349:CJ349))</f>
        <v>0</v>
      </c>
      <c r="CL349" s="446">
        <f>IF($E349=0,0,IF(MIN(CL$38,$E349)&lt;MAX($P$34*($B349+$I$38-1),IF(AND($L$37=0,$P$34=0),"",$L$37-1)),0,YEARFRAC(MAX($P$34*($B349+$I$38-1),IF(AND($L$37=0,$P$34=0),"",$L$37-1)),MIN(CL$38,$E349),$P$20))-SUM($BF349:CK349))</f>
        <v>0</v>
      </c>
      <c r="CM349" s="446">
        <f>IF($E349=0,0,IF(MIN(CM$38,$E349)&lt;MAX($P$34*($B349+$I$38-1),IF(AND($L$37=0,$P$34=0),"",$L$37-1)),0,YEARFRAC(MAX($P$34*($B349+$I$38-1),IF(AND($L$37=0,$P$34=0),"",$L$37-1)),MIN(CM$38,$E349),$P$20))-SUM($BF349:CL349))</f>
        <v>0</v>
      </c>
      <c r="CN349" s="446">
        <f>IF($E349=0,0,IF(MIN(CN$38,$E349)&lt;MAX($P$34*($B349+$I$38-1),IF(AND($L$37=0,$P$34=0),"",$L$37-1)),0,YEARFRAC(MAX($P$34*($B349+$I$38-1),IF(AND($L$37=0,$P$34=0),"",$L$37-1)),MIN(CN$38,$E349),$P$20))-SUM($BF349:CM349))</f>
        <v>0</v>
      </c>
      <c r="CO349" s="446">
        <f>IF($E349=0,0,IF(MIN(CO$38,$E349)&lt;MAX($P$34*($B349+$I$38-1),IF(AND($L$37=0,$P$34=0),"",$L$37-1)),0,YEARFRAC(MAX($P$34*($B349+$I$38-1),IF(AND($L$37=0,$P$34=0),"",$L$37-1)),MIN(CO$38,$E349),$P$20))-SUM($BF349:CN349))</f>
        <v>0</v>
      </c>
      <c r="CP349" s="446">
        <f>IF($E349=0,0,IF(MIN(CP$38,$E349)&lt;MAX($P$34*($B349+$I$38-1),IF(AND($L$37=0,$P$34=0),"",$L$37-1)),0,YEARFRAC(MAX($P$34*($B349+$I$38-1),IF(AND($L$37=0,$P$34=0),"",$L$37-1)),MIN(CP$38,$E349),$P$20))-SUM($BF349:CO349))</f>
        <v>0</v>
      </c>
      <c r="CQ349" s="446">
        <f>IF($E349=0,0,IF(MIN(CQ$38,$E349)&lt;MAX($P$34*($B349+$I$38-1),IF(AND($L$37=0,$P$34=0),"",$L$37-1)),0,YEARFRAC(MAX($P$34*($B349+$I$38-1),IF(AND($L$37=0,$P$34=0),"",$L$37-1)),MIN(CQ$38,$E349),$P$20))-SUM($BF349:CP349))</f>
        <v>0</v>
      </c>
    </row>
    <row r="350" spans="1:95" s="446" customFormat="1" ht="11.25" hidden="1" customHeight="1" x14ac:dyDescent="0.2">
      <c r="A350" s="152"/>
      <c r="B350" s="153" t="str">
        <f t="shared" si="59"/>
        <v/>
      </c>
      <c r="C350" s="29" t="str">
        <f>IF(B350="","",IF($L$35="SELIC - TRIBUTOS",VLOOKUP(DATE(YEAR($D$19),MONTH($D$19)-1,1),ÍNDICES!$A:$DE,HLOOKUP($BL$25,ÍNDICES!$B$3:$T$4,2)+11)-VLOOKUP(B350,ÍNDICES!$A:$DE,HLOOKUP($BL$25,ÍNDICES!$B$3:$T$4,2)+11)+1%,IF(C$38=$W$26,$J$35,IF(ISERROR(IF(B350&gt;$D$19,1,VLOOKUP(DATE(YEAR(B350),MONTH(B350)+IF($C$35=$S$23,1,0),1),ÍNDICES!$A:$DE,$Z$35+1))),"",IF(B350&gt;$D$19,1,VLOOKUP(DATE(YEAR(B350),MONTH(B350)+IF($C$35=$S$23,1,0),1),ÍNDICES!$A:$DE,$Z$35+1))))))</f>
        <v/>
      </c>
      <c r="D350" s="154" t="str">
        <f>IF(ISERROR(IF(OR($D$38=$Y$27,$B350=""),"",VLOOKUP(B350,ÍNDICES!A:DE,AF$35+1))),"",IF(OR($D$38=$Y$27,$B350=""),"",VLOOKUP(B350,ÍNDICES!A:DE,AF$35+1)))</f>
        <v/>
      </c>
      <c r="E350" s="153"/>
      <c r="F350" s="29" t="str">
        <f>IF(E350="","",IF($L$35="SELIC - TRIBUTOS",VLOOKUP(DATE(YEAR($D$19),MONTH($D$19)-1,1),ÍNDICES!$A:$DE,HLOOKUP($BL$25,ÍNDICES!$B$3:$T$4,2)+11)-VLOOKUP(E350,ÍNDICES!$A:$DE,HLOOKUP($BL$25,ÍNDICES!$B$3:$T$4,2)+11)+1%,IF(F$38=$W$26,$J$35,IF(ISERROR(IF(E350&gt;$D$19,1,VLOOKUP(DATE(YEAR(E350),MONTH(E350)+IF($C$35=$S$23,1,0),1),ÍNDICES!$A:$DE,$Z$35+1))),"",IF(E350&gt;$D$19,1,VLOOKUP(DATE(YEAR(E350),MONTH(E350)+IF($C$35=$S$23,1,0),1),ÍNDICES!$A:$DE,$Z$35+1))))))</f>
        <v/>
      </c>
      <c r="G350" s="155"/>
      <c r="H350" s="156" t="str">
        <f t="shared" si="55"/>
        <v/>
      </c>
      <c r="I350" s="29" t="str">
        <f t="shared" si="49"/>
        <v/>
      </c>
      <c r="J350" s="5">
        <f t="shared" si="50"/>
        <v>0</v>
      </c>
      <c r="K350" s="20">
        <f t="shared" ca="1" si="51"/>
        <v>0</v>
      </c>
      <c r="L350" s="5">
        <f t="shared" ca="1" si="52"/>
        <v>0</v>
      </c>
      <c r="M350" s="64">
        <f t="shared" si="56"/>
        <v>0</v>
      </c>
      <c r="N350" s="61">
        <f t="shared" ca="1" si="57"/>
        <v>0</v>
      </c>
      <c r="O350" s="5">
        <f t="shared" ca="1" si="58"/>
        <v>0</v>
      </c>
      <c r="P350" s="446" t="e">
        <f t="shared" si="53"/>
        <v>#VALUE!</v>
      </c>
      <c r="Q350" s="446" t="e">
        <f>IF(OR($B350="",MIN(Q$38,$D$19)&lt;MAX($P$34*($B350+IF($R$17="Distrato",$I$38-1,0)),IF(AND($L$37=0,$P$34=0),"",$L$37-1),IF($R$17="Distrato",$E350,0))),0,YEARFRAC(MAX($P$34*($B350+IF($R$17="Distrato",$I$38-1,0)),IF(AND($L$37=0,$P$34=0),"",$L$37-1),IF($R$17="Distrato",$E350,0)),MIN(Q$38,$D$19),$P$20))-SUM($P350:P350)</f>
        <v>#VALUE!</v>
      </c>
      <c r="R350" s="446" t="e">
        <f>IF(OR($B350="",MIN(R$38,$D$19)&lt;MAX($P$34*($B350+IF($R$17="Distrato",$I$38-1,0)),IF(AND($L$37=0,$P$34=0),"",$L$37-1),IF($R$17="Distrato",$E350,0))),0,YEARFRAC(MAX($P$34*($B350+IF($R$17="Distrato",$I$38-1,0)),IF(AND($L$37=0,$P$34=0),"",$L$37-1),IF($R$17="Distrato",$E350,0)),MIN(R$38,$D$19),$P$20))-SUM($P350:Q350)</f>
        <v>#VALUE!</v>
      </c>
      <c r="S350" s="446" t="e">
        <f>IF(OR($B350="",MIN(S$38,$D$19)&lt;MAX($P$34*($B350+IF($R$17="Distrato",$I$38-1,0)),IF(AND($L$37=0,$P$34=0),"",$L$37-1),IF($R$17="Distrato",$E350,0))),0,YEARFRAC(MAX($P$34*($B350+IF($R$17="Distrato",$I$38-1,0)),IF(AND($L$37=0,$P$34=0),"",$L$37-1),IF($R$17="Distrato",$E350,0)),MIN(S$38,$D$19),$P$20))-SUM($P350:R350)</f>
        <v>#VALUE!</v>
      </c>
      <c r="T350" s="446" t="e">
        <f>IF(OR($B350="",MIN(T$38,$D$19)&lt;MAX($P$34*($B350+IF($R$17="Distrato",$I$38-1,0)),IF(AND($L$37=0,$P$34=0),"",$L$37-1),IF($R$17="Distrato",$E350,0))),0,YEARFRAC(MAX($P$34*($B350+IF($R$17="Distrato",$I$38-1,0)),IF(AND($L$37=0,$P$34=0),"",$L$37-1),IF($R$17="Distrato",$E350,0)),MIN(T$38,$D$19),$P$20))-SUM($P350:S350)</f>
        <v>#VALUE!</v>
      </c>
      <c r="U350" s="446" t="e">
        <f>IF(OR($B350="",MIN(U$38,$D$19)&lt;MAX($P$34*($B350+IF($R$17="Distrato",$I$38-1,0)),IF(AND($L$37=0,$P$34=0),"",$L$37-1),IF($R$17="Distrato",$E350,0))),0,YEARFRAC(MAX($P$34*($B350+IF($R$17="Distrato",$I$38-1,0)),IF(AND($L$37=0,$P$34=0),"",$L$37-1),IF($R$17="Distrato",$E350,0)),MIN(U$38,$D$19),$P$20))-SUM($P350:T350)</f>
        <v>#VALUE!</v>
      </c>
      <c r="V350" s="446" t="e">
        <f>IF(OR($B350="",MIN(V$38,$D$19)&lt;MAX($P$34*($B350+IF($R$17="Distrato",$I$38-1,0)),IF(AND($L$37=0,$P$34=0),"",$L$37-1),IF($R$17="Distrato",$E350,0))),0,YEARFRAC(MAX($P$34*($B350+IF($R$17="Distrato",$I$38-1,0)),IF(AND($L$37=0,$P$34=0),"",$L$37-1),IF($R$17="Distrato",$E350,0)),MIN(V$38,$D$19),$P$20))-SUM($P350:U350)</f>
        <v>#VALUE!</v>
      </c>
      <c r="W350" s="446" t="e">
        <f>IF(OR($B350="",MIN(W$38,$D$19)&lt;MAX($P$34*($B350+IF($R$17="Distrato",$I$38-1,0)),IF(AND($L$37=0,$P$34=0),"",$L$37-1),IF($R$17="Distrato",$E350,0))),0,YEARFRAC(MAX($P$34*($B350+IF($R$17="Distrato",$I$38-1,0)),IF(AND($L$37=0,$P$34=0),"",$L$37-1),IF($R$17="Distrato",$E350,0)),MIN(W$38,$D$19),$P$20))-SUM($P350:V350)</f>
        <v>#VALUE!</v>
      </c>
      <c r="X350" s="446" t="e">
        <f>IF(OR($B350="",MIN(X$38,$D$19)&lt;MAX($P$34*($B350+IF($R$17="Distrato",$I$38-1,0)),IF(AND($L$37=0,$P$34=0),"",$L$37-1),IF($R$17="Distrato",$E350,0))),0,YEARFRAC(MAX($P$34*($B350+IF($R$17="Distrato",$I$38-1,0)),IF(AND($L$37=0,$P$34=0),"",$L$37-1),IF($R$17="Distrato",$E350,0)),MIN(X$38,$D$19),$P$20))-SUM($P350:W350)</f>
        <v>#VALUE!</v>
      </c>
      <c r="Y350" s="446" t="e">
        <f>IF(OR($B350="",MIN(Y$38,$D$19)&lt;MAX($P$34*($B350+IF($R$17="Distrato",$I$38-1,0)),IF(AND($L$37=0,$P$34=0),"",$L$37-1),IF($R$17="Distrato",$E350,0))),0,YEARFRAC(MAX($P$34*($B350+IF($R$17="Distrato",$I$38-1,0)),IF(AND($L$37=0,$P$34=0),"",$L$37-1),IF($R$17="Distrato",$E350,0)),MIN(Y$38,$D$19),$P$20))-SUM($P350:X350)</f>
        <v>#VALUE!</v>
      </c>
      <c r="Z350" s="446" t="e">
        <f>IF(OR($B350="",MIN(Z$38,$D$19)&lt;MAX($P$34*($B350+IF($R$17="Distrato",$I$38-1,0)),IF(AND($L$37=0,$P$34=0),"",$L$37-1),IF($R$17="Distrato",$E350,0))),0,YEARFRAC(MAX($P$34*($B350+IF($R$17="Distrato",$I$38-1,0)),IF(AND($L$37=0,$P$34=0),"",$L$37-1),IF($R$17="Distrato",$E350,0)),MIN(Z$38,$D$19),$P$20))-SUM($P350:Y350)</f>
        <v>#VALUE!</v>
      </c>
      <c r="AA350" s="446" t="e">
        <f>IF(OR($B350="",MIN(AA$38,$D$19)&lt;MAX($P$34*($B350+IF($R$17="Distrato",$I$38-1,0)),IF(AND($L$37=0,$P$34=0),"",$L$37-1),IF($R$17="Distrato",$E350,0))),0,YEARFRAC(MAX($P$34*($B350+IF($R$17="Distrato",$I$38-1,0)),IF(AND($L$37=0,$P$34=0),"",$L$37-1),IF($R$17="Distrato",$E350,0)),MIN(AA$38,$D$19),$P$20))-SUM($P350:Z350)</f>
        <v>#VALUE!</v>
      </c>
      <c r="AB350" s="446" t="e">
        <f>IF(OR($B350="",MIN(AB$38,$D$19)&lt;MAX($P$34*($B350+IF($R$17="Distrato",$I$38-1,0)),IF(AND($L$37=0,$P$34=0),"",$L$37-1),IF($R$17="Distrato",$E350,0))),0,YEARFRAC(MAX($P$34*($B350+IF($R$17="Distrato",$I$38-1,0)),IF(AND($L$37=0,$P$34=0),"",$L$37-1),IF($R$17="Distrato",$E350,0)),MIN(AB$38,$D$19),$P$20))-SUM($P350:AA350)</f>
        <v>#VALUE!</v>
      </c>
      <c r="AC350" s="446" t="e">
        <f>IF(OR($B350="",MIN(AC$38,$D$19)&lt;MAX($P$34*($B350+IF($R$17="Distrato",$I$38-1,0)),IF(AND($L$37=0,$P$34=0),"",$L$37-1),IF($R$17="Distrato",$E350,0))),0,YEARFRAC(MAX($P$34*($B350+IF($R$17="Distrato",$I$38-1,0)),IF(AND($L$37=0,$P$34=0),"",$L$37-1),IF($R$17="Distrato",$E350,0)),MIN(AC$38,$D$19),$P$20))-SUM($P350:AB350)</f>
        <v>#VALUE!</v>
      </c>
      <c r="AD350" s="446" t="e">
        <f>IF(OR($B350="",MIN(AD$38,$D$19)&lt;MAX($P$34*($B350+IF($R$17="Distrato",$I$38-1,0)),IF(AND($L$37=0,$P$34=0),"",$L$37-1),IF($R$17="Distrato",$E350,0))),0,YEARFRAC(MAX($P$34*($B350+IF($R$17="Distrato",$I$38-1,0)),IF(AND($L$37=0,$P$34=0),"",$L$37-1),IF($R$17="Distrato",$E350,0)),MIN(AD$38,$D$19),$P$20))-SUM($P350:AC350)</f>
        <v>#VALUE!</v>
      </c>
      <c r="AE350" s="446" t="e">
        <f>IF(OR($B350="",MIN(AE$38,$D$19)&lt;MAX($P$34*($B350+IF($R$17="Distrato",$I$38-1,0)),IF(AND($L$37=0,$P$34=0),"",$L$37-1),IF($R$17="Distrato",$E350,0))),0,YEARFRAC(MAX($P$34*($B350+IF($R$17="Distrato",$I$38-1,0)),IF(AND($L$37=0,$P$34=0),"",$L$37-1),IF($R$17="Distrato",$E350,0)),MIN(AE$38,$D$19),$P$20))-SUM($P350:AD350)</f>
        <v>#VALUE!</v>
      </c>
      <c r="AF350" s="446" t="e">
        <f>IF(OR($B350="",MIN(AF$38,$D$19)&lt;MAX($P$34*($B350+IF($R$17="Distrato",$I$38-1,0)),IF(AND($L$37=0,$P$34=0),"",$L$37-1),IF($R$17="Distrato",$E350,0))),0,YEARFRAC(MAX($P$34*($B350+IF($R$17="Distrato",$I$38-1,0)),IF(AND($L$37=0,$P$34=0),"",$L$37-1),IF($R$17="Distrato",$E350,0)),MIN(AF$38,$D$19),$P$20))-SUM($P350:AE350)</f>
        <v>#VALUE!</v>
      </c>
      <c r="AG350" s="446" t="e">
        <f>IF(OR($B350="",MIN(AG$38,$D$19)&lt;MAX($P$34*($B350+IF($R$17="Distrato",$I$38-1,0)),IF(AND($L$37=0,$P$34=0),"",$L$37-1),IF($R$17="Distrato",$E350,0))),0,YEARFRAC(MAX($P$34*($B350+IF($R$17="Distrato",$I$38-1,0)),IF(AND($L$37=0,$P$34=0),"",$L$37-1),IF($R$17="Distrato",$E350,0)),MIN(AG$38,$D$19),$P$20))-SUM($P350:AF350)</f>
        <v>#VALUE!</v>
      </c>
      <c r="AH350" s="446" t="e">
        <f>IF(OR($B350="",MIN(AH$38,$D$19)&lt;MAX($P$34*($B350+IF($R$17="Distrato",$I$38-1,0)),IF(AND($L$37=0,$P$34=0),"",$L$37-1),IF($R$17="Distrato",$E350,0))),0,YEARFRAC(MAX($P$34*($B350+IF($R$17="Distrato",$I$38-1,0)),IF(AND($L$37=0,$P$34=0),"",$L$37-1),IF($R$17="Distrato",$E350,0)),MIN(AH$38,$D$19),$P$20))-SUM($P350:AG350)</f>
        <v>#VALUE!</v>
      </c>
      <c r="AI350" s="446" t="e">
        <f>IF(OR($B350="",MIN(AI$38,$D$19)&lt;MAX($P$34*($B350+IF($R$17="Distrato",$I$38-1,0)),IF(AND($L$37=0,$P$34=0),"",$L$37-1),IF($R$17="Distrato",$E350,0))),0,YEARFRAC(MAX($P$34*($B350+IF($R$17="Distrato",$I$38-1,0)),IF(AND($L$37=0,$P$34=0),"",$L$37-1),IF($R$17="Distrato",$E350,0)),MIN(AI$38,$D$19),$P$20))-SUM($P350:AH350)</f>
        <v>#VALUE!</v>
      </c>
      <c r="AJ350" s="446" t="e">
        <f>IF(OR($B350="",MIN(AJ$38,$D$19)&lt;MAX($P$34*($B350+IF($R$17="Distrato",$I$38-1,0)),IF(AND($L$37=0,$P$34=0),"",$L$37-1),IF($R$17="Distrato",$E350,0))),0,YEARFRAC(MAX($P$34*($B350+IF($R$17="Distrato",$I$38-1,0)),IF(AND($L$37=0,$P$34=0),"",$L$37-1),IF($R$17="Distrato",$E350,0)),MIN(AJ$38,$D$19),$P$20))-SUM($P350:AI350)</f>
        <v>#VALUE!</v>
      </c>
      <c r="AK350" s="446" t="e">
        <f>IF(OR($B350="",MIN(AK$38,$D$19)&lt;MAX($P$34*($B350+IF($R$17="Distrato",$I$38-1,0)),IF(AND($L$37=0,$P$34=0),"",$L$37-1),IF($R$17="Distrato",$E350,0))),0,YEARFRAC(MAX($P$34*($B350+IF($R$17="Distrato",$I$38-1,0)),IF(AND($L$37=0,$P$34=0),"",$L$37-1),IF($R$17="Distrato",$E350,0)),MIN(AK$38,$D$19),$P$20))-SUM($P350:AJ350)</f>
        <v>#VALUE!</v>
      </c>
      <c r="AL350" s="446" t="e">
        <f>IF(OR($B350="",MIN(AL$38,$D$19)&lt;MAX($P$34*($B350+IF($R$17="Distrato",$I$38-1,0)),IF(AND($L$37=0,$P$34=0),"",$L$37-1),IF($R$17="Distrato",$E350,0))),0,YEARFRAC(MAX($P$34*($B350+IF($R$17="Distrato",$I$38-1,0)),IF(AND($L$37=0,$P$34=0),"",$L$37-1),IF($R$17="Distrato",$E350,0)),MIN(AL$38,$D$19),$P$20))-SUM($P350:AK350)</f>
        <v>#VALUE!</v>
      </c>
      <c r="AM350" s="446" t="e">
        <f>IF(OR($B350="",MIN(AM$38,$D$19)&lt;MAX($P$34*($B350+IF($R$17="Distrato",$I$38-1,0)),IF(AND($L$37=0,$P$34=0),"",$L$37-1),IF($R$17="Distrato",$E350,0))),0,YEARFRAC(MAX($P$34*($B350+IF($R$17="Distrato",$I$38-1,0)),IF(AND($L$37=0,$P$34=0),"",$L$37-1),IF($R$17="Distrato",$E350,0)),MIN(AM$38,$D$19),$P$20))-SUM($P350:AL350)</f>
        <v>#VALUE!</v>
      </c>
      <c r="AN350" s="446" t="e">
        <f>IF(OR($B350="",MIN(AN$38,$D$19)&lt;MAX($P$34*($B350+IF($R$17="Distrato",$I$38-1,0)),IF(AND($L$37=0,$P$34=0),"",$L$37-1),IF($R$17="Distrato",$E350,0))),0,YEARFRAC(MAX($P$34*($B350+IF($R$17="Distrato",$I$38-1,0)),IF(AND($L$37=0,$P$34=0),"",$L$37-1),IF($R$17="Distrato",$E350,0)),MIN(AN$38,$D$19),$P$20))-SUM($P350:AM350)</f>
        <v>#VALUE!</v>
      </c>
      <c r="AO350" s="446" t="e">
        <f>IF(OR($B350="",MIN(AO$38,$D$19)&lt;MAX($P$34*($B350+IF($R$17="Distrato",$I$38-1,0)),IF(AND($L$37=0,$P$34=0),"",$L$37-1),IF($R$17="Distrato",$E350,0))),0,YEARFRAC(MAX($P$34*($B350+IF($R$17="Distrato",$I$38-1,0)),IF(AND($L$37=0,$P$34=0),"",$L$37-1),IF($R$17="Distrato",$E350,0)),MIN(AO$38,$D$19),$P$20))-SUM($P350:AN350)</f>
        <v>#VALUE!</v>
      </c>
      <c r="AP350" s="446" t="e">
        <f>IF(OR($B350="",MIN(AP$38,$D$19)&lt;MAX($P$34*($B350+IF($R$17="Distrato",$I$38-1,0)),IF(AND($L$37=0,$P$34=0),"",$L$37-1),IF($R$17="Distrato",$E350,0))),0,YEARFRAC(MAX($P$34*($B350+IF($R$17="Distrato",$I$38-1,0)),IF(AND($L$37=0,$P$34=0),"",$L$37-1),IF($R$17="Distrato",$E350,0)),MIN(AP$38,$D$19),$P$20))-SUM($P350:AO350)</f>
        <v>#VALUE!</v>
      </c>
      <c r="AQ350" s="446" t="e">
        <f>IF(OR($B350="",MIN(AQ$38,$D$19)&lt;MAX($P$34*($B350+IF($R$17="Distrato",$I$38-1,0)),IF(AND($L$37=0,$P$34=0),"",$L$37-1),IF($R$17="Distrato",$E350,0))),0,YEARFRAC(MAX($P$34*($B350+IF($R$17="Distrato",$I$38-1,0)),IF(AND($L$37=0,$P$34=0),"",$L$37-1),IF($R$17="Distrato",$E350,0)),MIN(AQ$38,$D$19),$P$20))-SUM($P350:AP350)</f>
        <v>#VALUE!</v>
      </c>
      <c r="AR350" s="446" t="e">
        <f>IF(OR($B350="",MIN(AR$38,$D$19)&lt;MAX($P$34*($B350+IF($R$17="Distrato",$I$38-1,0)),IF(AND($L$37=0,$P$34=0),"",$L$37-1),IF($R$17="Distrato",$E350,0))),0,YEARFRAC(MAX($P$34*($B350+IF($R$17="Distrato",$I$38-1,0)),IF(AND($L$37=0,$P$34=0),"",$L$37-1),IF($R$17="Distrato",$E350,0)),MIN(AR$38,$D$19),$P$20))-SUM($P350:AQ350)</f>
        <v>#VALUE!</v>
      </c>
      <c r="AS350" s="446" t="e">
        <f>IF(OR($B350="",MIN(AS$38,$D$19)&lt;MAX($P$34*($B350+IF($R$17="Distrato",$I$38-1,0)),IF(AND($L$37=0,$P$34=0),"",$L$37-1),IF($R$17="Distrato",$E350,0))),0,YEARFRAC(MAX($P$34*($B350+IF($R$17="Distrato",$I$38-1,0)),IF(AND($L$37=0,$P$34=0),"",$L$37-1),IF($R$17="Distrato",$E350,0)),MIN(AS$38,$D$19),$P$20))-SUM($P350:AR350)</f>
        <v>#VALUE!</v>
      </c>
      <c r="AT350" s="446" t="e">
        <f>IF(OR($B350="",MIN(AT$38,$D$19)&lt;MAX($P$34*($B350+IF($R$17="Distrato",$I$38-1,0)),IF(AND($L$37=0,$P$34=0),"",$L$37-1),IF($R$17="Distrato",$E350,0))),0,YEARFRAC(MAX($P$34*($B350+IF($R$17="Distrato",$I$38-1,0)),IF(AND($L$37=0,$P$34=0),"",$L$37-1),IF($R$17="Distrato",$E350,0)),MIN(AT$38,$D$19),$P$20))-SUM($P350:AS350)</f>
        <v>#VALUE!</v>
      </c>
      <c r="AU350" s="446" t="e">
        <f>IF(OR($B350="",MIN(AU$38,$D$19)&lt;MAX($P$34*($B350+IF($R$17="Distrato",$I$38-1,0)),IF(AND($L$37=0,$P$34=0),"",$L$37-1),IF($R$17="Distrato",$E350,0))),0,YEARFRAC(MAX($P$34*($B350+IF($R$17="Distrato",$I$38-1,0)),IF(AND($L$37=0,$P$34=0),"",$L$37-1),IF($R$17="Distrato",$E350,0)),MIN(AU$38,$D$19),$P$20))-SUM($P350:AT350)</f>
        <v>#VALUE!</v>
      </c>
      <c r="AV350" s="446" t="e">
        <f>IF(OR($B350="",MIN(AV$38,$D$19)&lt;MAX($P$34*($B350+IF($R$17="Distrato",$I$38-1,0)),IF(AND($L$37=0,$P$34=0),"",$L$37-1),IF($R$17="Distrato",$E350,0))),0,YEARFRAC(MAX($P$34*($B350+IF($R$17="Distrato",$I$38-1,0)),IF(AND($L$37=0,$P$34=0),"",$L$37-1),IF($R$17="Distrato",$E350,0)),MIN(AV$38,$D$19),$P$20))-SUM($P350:AU350)</f>
        <v>#VALUE!</v>
      </c>
      <c r="AW350" s="446" t="e">
        <f>IF(OR($B350="",MIN(AW$38,$D$19)&lt;MAX($P$34*($B350+IF($R$17="Distrato",$I$38-1,0)),IF(AND($L$37=0,$P$34=0),"",$L$37-1),IF($R$17="Distrato",$E350,0))),0,YEARFRAC(MAX($P$34*($B350+IF($R$17="Distrato",$I$38-1,0)),IF(AND($L$37=0,$P$34=0),"",$L$37-1),IF($R$17="Distrato",$E350,0)),MIN(AW$38,$D$19),$P$20))-SUM($P350:AV350)</f>
        <v>#VALUE!</v>
      </c>
      <c r="AX350" s="446" t="e">
        <f>IF(OR($B350="",MIN(AX$38,$D$19)&lt;MAX($P$34*($B350+IF($R$17="Distrato",$I$38-1,0)),IF(AND($L$37=0,$P$34=0),"",$L$37-1),IF($R$17="Distrato",$E350,0))),0,YEARFRAC(MAX($P$34*($B350+IF($R$17="Distrato",$I$38-1,0)),IF(AND($L$37=0,$P$34=0),"",$L$37-1),IF($R$17="Distrato",$E350,0)),MIN(AX$38,$D$19),$P$20))-SUM($P350:AW350)</f>
        <v>#VALUE!</v>
      </c>
      <c r="AY350" s="446" t="e">
        <f>IF(OR($B350="",MIN(AY$38,$D$19)&lt;MAX($P$34*($B350+IF($R$17="Distrato",$I$38-1,0)),IF(AND($L$37=0,$P$34=0),"",$L$37-1),IF($R$17="Distrato",$E350,0))),0,YEARFRAC(MAX($P$34*($B350+IF($R$17="Distrato",$I$38-1,0)),IF(AND($L$37=0,$P$34=0),"",$L$37-1),IF($R$17="Distrato",$E350,0)),MIN(AY$38,$D$19),$P$20))-SUM($P350:AX350)</f>
        <v>#VALUE!</v>
      </c>
      <c r="AZ350" s="446" t="e">
        <f>IF(OR($B350="",MIN(AZ$38,$D$19)&lt;MAX($P$34*($B350+IF($R$17="Distrato",$I$38-1,0)),IF(AND($L$37=0,$P$34=0),"",$L$37-1),IF($R$17="Distrato",$E350,0))),0,YEARFRAC(MAX($P$34*($B350+IF($R$17="Distrato",$I$38-1,0)),IF(AND($L$37=0,$P$34=0),"",$L$37-1),IF($R$17="Distrato",$E350,0)),MIN(AZ$38,$D$19),$P$20))-SUM($P350:AY350)</f>
        <v>#VALUE!</v>
      </c>
      <c r="BA350" s="446" t="e">
        <f>IF(OR($B350="",MIN(BA$38,$D$19)&lt;MAX($P$34*($B350+IF($R$17="Distrato",$I$38-1,0)),IF(AND($L$37=0,$P$34=0),"",$L$37-1),IF($R$17="Distrato",$E350,0))),0,YEARFRAC(MAX($P$34*($B350+IF($R$17="Distrato",$I$38-1,0)),IF(AND($L$37=0,$P$34=0),"",$L$37-1),IF($R$17="Distrato",$E350,0)),MIN(BA$38,$D$19),$P$20))-SUM($P350:AZ350)</f>
        <v>#VALUE!</v>
      </c>
      <c r="BB350" s="447"/>
      <c r="BF350" s="446">
        <f t="shared" si="54"/>
        <v>0</v>
      </c>
      <c r="BG350" s="446">
        <f>IF($E350=0,0,IF(MIN(BG$38,$E350)&lt;MAX($P$34*($B350+$I$38-1),IF(AND($L$37=0,$P$34=0),"",$L$37-1)),0,YEARFRAC(MAX($P$34*($B350+$I$38-1),IF(AND($L$37=0,$P$34=0),"",$L$37-1)),MIN(BG$38,$E350),$P$20))-SUM($BF350:BF350))</f>
        <v>0</v>
      </c>
      <c r="BH350" s="446">
        <f>IF($E350=0,0,IF(MIN(BH$38,$E350)&lt;MAX($P$34*($B350+$I$38-1),IF(AND($L$37=0,$P$34=0),"",$L$37-1)),0,YEARFRAC(MAX($P$34*($B350+$I$38-1),IF(AND($L$37=0,$P$34=0),"",$L$37-1)),MIN(BH$38,$E350),$P$20))-SUM($BF350:BG350))</f>
        <v>0</v>
      </c>
      <c r="BI350" s="446">
        <f>IF($E350=0,0,IF(MIN(BI$38,$E350)&lt;MAX($P$34*($B350+$I$38-1),IF(AND($L$37=0,$P$34=0),"",$L$37-1)),0,YEARFRAC(MAX($P$34*($B350+$I$38-1),IF(AND($L$37=0,$P$34=0),"",$L$37-1)),MIN(BI$38,$E350),$P$20))-SUM($BF350:BH350))</f>
        <v>0</v>
      </c>
      <c r="BJ350" s="446">
        <f>IF($E350=0,0,IF(MIN(BJ$38,$E350)&lt;MAX($P$34*($B350+$I$38-1),IF(AND($L$37=0,$P$34=0),"",$L$37-1)),0,YEARFRAC(MAX($P$34*($B350+$I$38-1),IF(AND($L$37=0,$P$34=0),"",$L$37-1)),MIN(BJ$38,$E350),$P$20))-SUM($BF350:BI350))</f>
        <v>0</v>
      </c>
      <c r="BK350" s="446">
        <f>IF($E350=0,0,IF(MIN(BK$38,$E350)&lt;MAX($P$34*($B350+$I$38-1),IF(AND($L$37=0,$P$34=0),"",$L$37-1)),0,YEARFRAC(MAX($P$34*($B350+$I$38-1),IF(AND($L$37=0,$P$34=0),"",$L$37-1)),MIN(BK$38,$E350),$P$20))-SUM($BF350:BJ350))</f>
        <v>0</v>
      </c>
      <c r="BL350" s="446">
        <f>IF($E350=0,0,IF(MIN(BL$38,$E350)&lt;MAX($P$34*($B350+$I$38-1),IF(AND($L$37=0,$P$34=0),"",$L$37-1)),0,YEARFRAC(MAX($P$34*($B350+$I$38-1),IF(AND($L$37=0,$P$34=0),"",$L$37-1)),MIN(BL$38,$E350),$P$20))-SUM($BF350:BK350))</f>
        <v>0</v>
      </c>
      <c r="BM350" s="446">
        <f>IF($E350=0,0,IF(MIN(BM$38,$E350)&lt;MAX($P$34*($B350+$I$38-1),IF(AND($L$37=0,$P$34=0),"",$L$37-1)),0,YEARFRAC(MAX($P$34*($B350+$I$38-1),IF(AND($L$37=0,$P$34=0),"",$L$37-1)),MIN(BM$38,$E350),$P$20))-SUM($BF350:BL350))</f>
        <v>0</v>
      </c>
      <c r="BN350" s="446">
        <f>IF($E350=0,0,IF(MIN(BN$38,$E350)&lt;MAX($P$34*($B350+$I$38-1),IF(AND($L$37=0,$P$34=0),"",$L$37-1)),0,YEARFRAC(MAX($P$34*($B350+$I$38-1),IF(AND($L$37=0,$P$34=0),"",$L$37-1)),MIN(BN$38,$E350),$P$20))-SUM($BF350:BM350))</f>
        <v>0</v>
      </c>
      <c r="BO350" s="446">
        <f>IF($E350=0,0,IF(MIN(BO$38,$E350)&lt;MAX($P$34*($B350+$I$38-1),IF(AND($L$37=0,$P$34=0),"",$L$37-1)),0,YEARFRAC(MAX($P$34*($B350+$I$38-1),IF(AND($L$37=0,$P$34=0),"",$L$37-1)),MIN(BO$38,$E350),$P$20))-SUM($BF350:BN350))</f>
        <v>0</v>
      </c>
      <c r="BP350" s="446">
        <f>IF($E350=0,0,IF(MIN(BP$38,$E350)&lt;MAX($P$34*($B350+$I$38-1),IF(AND($L$37=0,$P$34=0),"",$L$37-1)),0,YEARFRAC(MAX($P$34*($B350+$I$38-1),IF(AND($L$37=0,$P$34=0),"",$L$37-1)),MIN(BP$38,$E350),$P$20))-SUM($BF350:BO350))</f>
        <v>0</v>
      </c>
      <c r="BQ350" s="446">
        <f>IF($E350=0,0,IF(MIN(BQ$38,$E350)&lt;MAX($P$34*($B350+$I$38-1),IF(AND($L$37=0,$P$34=0),"",$L$37-1)),0,YEARFRAC(MAX($P$34*($B350+$I$38-1),IF(AND($L$37=0,$P$34=0),"",$L$37-1)),MIN(BQ$38,$E350),$P$20))-SUM($BF350:BP350))</f>
        <v>0</v>
      </c>
      <c r="BR350" s="446">
        <f>IF($E350=0,0,IF(MIN(BR$38,$E350)&lt;MAX($P$34*($B350+$I$38-1),IF(AND($L$37=0,$P$34=0),"",$L$37-1)),0,YEARFRAC(MAX($P$34*($B350+$I$38-1),IF(AND($L$37=0,$P$34=0),"",$L$37-1)),MIN(BR$38,$E350),$P$20))-SUM($BF350:BQ350))</f>
        <v>0</v>
      </c>
      <c r="BS350" s="446">
        <f>IF($E350=0,0,IF(MIN(BS$38,$E350)&lt;MAX($P$34*($B350+$I$38-1),IF(AND($L$37=0,$P$34=0),"",$L$37-1)),0,YEARFRAC(MAX($P$34*($B350+$I$38-1),IF(AND($L$37=0,$P$34=0),"",$L$37-1)),MIN(BS$38,$E350),$P$20))-SUM($BF350:BR350))</f>
        <v>0</v>
      </c>
      <c r="BT350" s="446">
        <f>IF($E350=0,0,IF(MIN(BT$38,$E350)&lt;MAX($P$34*($B350+$I$38-1),IF(AND($L$37=0,$P$34=0),"",$L$37-1)),0,YEARFRAC(MAX($P$34*($B350+$I$38-1),IF(AND($L$37=0,$P$34=0),"",$L$37-1)),MIN(BT$38,$E350),$P$20))-SUM($BF350:BS350))</f>
        <v>0</v>
      </c>
      <c r="BU350" s="446">
        <f>IF($E350=0,0,IF(MIN(BU$38,$E350)&lt;MAX($P$34*($B350+$I$38-1),IF(AND($L$37=0,$P$34=0),"",$L$37-1)),0,YEARFRAC(MAX($P$34*($B350+$I$38-1),IF(AND($L$37=0,$P$34=0),"",$L$37-1)),MIN(BU$38,$E350),$P$20))-SUM($BF350:BT350))</f>
        <v>0</v>
      </c>
      <c r="BV350" s="446">
        <f>IF($E350=0,0,IF(MIN(BV$38,$E350)&lt;MAX($P$34*($B350+$I$38-1),IF(AND($L$37=0,$P$34=0),"",$L$37-1)),0,YEARFRAC(MAX($P$34*($B350+$I$38-1),IF(AND($L$37=0,$P$34=0),"",$L$37-1)),MIN(BV$38,$E350),$P$20))-SUM($BF350:BU350))</f>
        <v>0</v>
      </c>
      <c r="BW350" s="446">
        <f>IF($E350=0,0,IF(MIN(BW$38,$E350)&lt;MAX($P$34*($B350+$I$38-1),IF(AND($L$37=0,$P$34=0),"",$L$37-1)),0,YEARFRAC(MAX($P$34*($B350+$I$38-1),IF(AND($L$37=0,$P$34=0),"",$L$37-1)),MIN(BW$38,$E350),$P$20))-SUM($BF350:BV350))</f>
        <v>0</v>
      </c>
      <c r="BX350" s="446">
        <f>IF($E350=0,0,IF(MIN(BX$38,$E350)&lt;MAX($P$34*($B350+$I$38-1),IF(AND($L$37=0,$P$34=0),"",$L$37-1)),0,YEARFRAC(MAX($P$34*($B350+$I$38-1),IF(AND($L$37=0,$P$34=0),"",$L$37-1)),MIN(BX$38,$E350),$P$20))-SUM($BF350:BW350))</f>
        <v>0</v>
      </c>
      <c r="BY350" s="446">
        <f>IF($E350=0,0,IF(MIN(BY$38,$E350)&lt;MAX($P$34*($B350+$I$38-1),IF(AND($L$37=0,$P$34=0),"",$L$37-1)),0,YEARFRAC(MAX($P$34*($B350+$I$38-1),IF(AND($L$37=0,$P$34=0),"",$L$37-1)),MIN(BY$38,$E350),$P$20))-SUM($BF350:BX350))</f>
        <v>0</v>
      </c>
      <c r="BZ350" s="446">
        <f>IF($E350=0,0,IF(MIN(BZ$38,$E350)&lt;MAX($P$34*($B350+$I$38-1),IF(AND($L$37=0,$P$34=0),"",$L$37-1)),0,YEARFRAC(MAX($P$34*($B350+$I$38-1),IF(AND($L$37=0,$P$34=0),"",$L$37-1)),MIN(BZ$38,$E350),$P$20))-SUM($BF350:BY350))</f>
        <v>0</v>
      </c>
      <c r="CA350" s="446">
        <f>IF($E350=0,0,IF(MIN(CA$38,$E350)&lt;MAX($P$34*($B350+$I$38-1),IF(AND($L$37=0,$P$34=0),"",$L$37-1)),0,YEARFRAC(MAX($P$34*($B350+$I$38-1),IF(AND($L$37=0,$P$34=0),"",$L$37-1)),MIN(CA$38,$E350),$P$20))-SUM($BF350:BZ350))</f>
        <v>0</v>
      </c>
      <c r="CB350" s="446">
        <f>IF($E350=0,0,IF(MIN(CB$38,$E350)&lt;MAX($P$34*($B350+$I$38-1),IF(AND($L$37=0,$P$34=0),"",$L$37-1)),0,YEARFRAC(MAX($P$34*($B350+$I$38-1),IF(AND($L$37=0,$P$34=0),"",$L$37-1)),MIN(CB$38,$E350),$P$20))-SUM($BF350:CA350))</f>
        <v>0</v>
      </c>
      <c r="CC350" s="446">
        <f>IF($E350=0,0,IF(MIN(CC$38,$E350)&lt;MAX($P$34*($B350+$I$38-1),IF(AND($L$37=0,$P$34=0),"",$L$37-1)),0,YEARFRAC(MAX($P$34*($B350+$I$38-1),IF(AND($L$37=0,$P$34=0),"",$L$37-1)),MIN(CC$38,$E350),$P$20))-SUM($BF350:CB350))</f>
        <v>0</v>
      </c>
      <c r="CD350" s="446">
        <f>IF($E350=0,0,IF(MIN(CD$38,$E350)&lt;MAX($P$34*($B350+$I$38-1),IF(AND($L$37=0,$P$34=0),"",$L$37-1)),0,YEARFRAC(MAX($P$34*($B350+$I$38-1),IF(AND($L$37=0,$P$34=0),"",$L$37-1)),MIN(CD$38,$E350),$P$20))-SUM($BF350:CC350))</f>
        <v>0</v>
      </c>
      <c r="CE350" s="446">
        <f>IF($E350=0,0,IF(MIN(CE$38,$E350)&lt;MAX($P$34*($B350+$I$38-1),IF(AND($L$37=0,$P$34=0),"",$L$37-1)),0,YEARFRAC(MAX($P$34*($B350+$I$38-1),IF(AND($L$37=0,$P$34=0),"",$L$37-1)),MIN(CE$38,$E350),$P$20))-SUM($BF350:CD350))</f>
        <v>0</v>
      </c>
      <c r="CF350" s="446">
        <f>IF($E350=0,0,IF(MIN(CF$38,$E350)&lt;MAX($P$34*($B350+$I$38-1),IF(AND($L$37=0,$P$34=0),"",$L$37-1)),0,YEARFRAC(MAX($P$34*($B350+$I$38-1),IF(AND($L$37=0,$P$34=0),"",$L$37-1)),MIN(CF$38,$E350),$P$20))-SUM($BF350:CE350))</f>
        <v>0</v>
      </c>
      <c r="CG350" s="446">
        <f>IF($E350=0,0,IF(MIN(CG$38,$E350)&lt;MAX($P$34*($B350+$I$38-1),IF(AND($L$37=0,$P$34=0),"",$L$37-1)),0,YEARFRAC(MAX($P$34*($B350+$I$38-1),IF(AND($L$37=0,$P$34=0),"",$L$37-1)),MIN(CG$38,$E350),$P$20))-SUM($BF350:CF350))</f>
        <v>0</v>
      </c>
      <c r="CH350" s="446">
        <f>IF($E350=0,0,IF(MIN(CH$38,$E350)&lt;MAX($P$34*($B350+$I$38-1),IF(AND($L$37=0,$P$34=0),"",$L$37-1)),0,YEARFRAC(MAX($P$34*($B350+$I$38-1),IF(AND($L$37=0,$P$34=0),"",$L$37-1)),MIN(CH$38,$E350),$P$20))-SUM($BF350:CG350))</f>
        <v>0</v>
      </c>
      <c r="CI350" s="446">
        <f>IF($E350=0,0,IF(MIN(CI$38,$E350)&lt;MAX($P$34*($B350+$I$38-1),IF(AND($L$37=0,$P$34=0),"",$L$37-1)),0,YEARFRAC(MAX($P$34*($B350+$I$38-1),IF(AND($L$37=0,$P$34=0),"",$L$37-1)),MIN(CI$38,$E350),$P$20))-SUM($BF350:CH350))</f>
        <v>0</v>
      </c>
      <c r="CJ350" s="446">
        <f>IF($E350=0,0,IF(MIN(CJ$38,$E350)&lt;MAX($P$34*($B350+$I$38-1),IF(AND($L$37=0,$P$34=0),"",$L$37-1)),0,YEARFRAC(MAX($P$34*($B350+$I$38-1),IF(AND($L$37=0,$P$34=0),"",$L$37-1)),MIN(CJ$38,$E350),$P$20))-SUM($BF350:CI350))</f>
        <v>0</v>
      </c>
      <c r="CK350" s="446">
        <f>IF($E350=0,0,IF(MIN(CK$38,$E350)&lt;MAX($P$34*($B350+$I$38-1),IF(AND($L$37=0,$P$34=0),"",$L$37-1)),0,YEARFRAC(MAX($P$34*($B350+$I$38-1),IF(AND($L$37=0,$P$34=0),"",$L$37-1)),MIN(CK$38,$E350),$P$20))-SUM($BF350:CJ350))</f>
        <v>0</v>
      </c>
      <c r="CL350" s="446">
        <f>IF($E350=0,0,IF(MIN(CL$38,$E350)&lt;MAX($P$34*($B350+$I$38-1),IF(AND($L$37=0,$P$34=0),"",$L$37-1)),0,YEARFRAC(MAX($P$34*($B350+$I$38-1),IF(AND($L$37=0,$P$34=0),"",$L$37-1)),MIN(CL$38,$E350),$P$20))-SUM($BF350:CK350))</f>
        <v>0</v>
      </c>
      <c r="CM350" s="446">
        <f>IF($E350=0,0,IF(MIN(CM$38,$E350)&lt;MAX($P$34*($B350+$I$38-1),IF(AND($L$37=0,$P$34=0),"",$L$37-1)),0,YEARFRAC(MAX($P$34*($B350+$I$38-1),IF(AND($L$37=0,$P$34=0),"",$L$37-1)),MIN(CM$38,$E350),$P$20))-SUM($BF350:CL350))</f>
        <v>0</v>
      </c>
      <c r="CN350" s="446">
        <f>IF($E350=0,0,IF(MIN(CN$38,$E350)&lt;MAX($P$34*($B350+$I$38-1),IF(AND($L$37=0,$P$34=0),"",$L$37-1)),0,YEARFRAC(MAX($P$34*($B350+$I$38-1),IF(AND($L$37=0,$P$34=0),"",$L$37-1)),MIN(CN$38,$E350),$P$20))-SUM($BF350:CM350))</f>
        <v>0</v>
      </c>
      <c r="CO350" s="446">
        <f>IF($E350=0,0,IF(MIN(CO$38,$E350)&lt;MAX($P$34*($B350+$I$38-1),IF(AND($L$37=0,$P$34=0),"",$L$37-1)),0,YEARFRAC(MAX($P$34*($B350+$I$38-1),IF(AND($L$37=0,$P$34=0),"",$L$37-1)),MIN(CO$38,$E350),$P$20))-SUM($BF350:CN350))</f>
        <v>0</v>
      </c>
      <c r="CP350" s="446">
        <f>IF($E350=0,0,IF(MIN(CP$38,$E350)&lt;MAX($P$34*($B350+$I$38-1),IF(AND($L$37=0,$P$34=0),"",$L$37-1)),0,YEARFRAC(MAX($P$34*($B350+$I$38-1),IF(AND($L$37=0,$P$34=0),"",$L$37-1)),MIN(CP$38,$E350),$P$20))-SUM($BF350:CO350))</f>
        <v>0</v>
      </c>
      <c r="CQ350" s="446">
        <f>IF($E350=0,0,IF(MIN(CQ$38,$E350)&lt;MAX($P$34*($B350+$I$38-1),IF(AND($L$37=0,$P$34=0),"",$L$37-1)),0,YEARFRAC(MAX($P$34*($B350+$I$38-1),IF(AND($L$37=0,$P$34=0),"",$L$37-1)),MIN(CQ$38,$E350),$P$20))-SUM($BF350:CP350))</f>
        <v>0</v>
      </c>
    </row>
    <row r="351" spans="1:95" s="446" customFormat="1" ht="11.25" hidden="1" customHeight="1" x14ac:dyDescent="0.2">
      <c r="A351" s="152"/>
      <c r="B351" s="153" t="str">
        <f t="shared" si="59"/>
        <v/>
      </c>
      <c r="C351" s="29" t="str">
        <f>IF(B351="","",IF($L$35="SELIC - TRIBUTOS",VLOOKUP(DATE(YEAR($D$19),MONTH($D$19)-1,1),ÍNDICES!$A:$DE,HLOOKUP($BL$25,ÍNDICES!$B$3:$T$4,2)+11)-VLOOKUP(B351,ÍNDICES!$A:$DE,HLOOKUP($BL$25,ÍNDICES!$B$3:$T$4,2)+11)+1%,IF(C$38=$W$26,$J$35,IF(ISERROR(IF(B351&gt;$D$19,1,VLOOKUP(DATE(YEAR(B351),MONTH(B351)+IF($C$35=$S$23,1,0),1),ÍNDICES!$A:$DE,$Z$35+1))),"",IF(B351&gt;$D$19,1,VLOOKUP(DATE(YEAR(B351),MONTH(B351)+IF($C$35=$S$23,1,0),1),ÍNDICES!$A:$DE,$Z$35+1))))))</f>
        <v/>
      </c>
      <c r="D351" s="154" t="str">
        <f>IF(ISERROR(IF(OR($D$38=$Y$27,$B351=""),"",VLOOKUP(B351,ÍNDICES!A:DE,AF$35+1))),"",IF(OR($D$38=$Y$27,$B351=""),"",VLOOKUP(B351,ÍNDICES!A:DE,AF$35+1)))</f>
        <v/>
      </c>
      <c r="E351" s="153"/>
      <c r="F351" s="29" t="str">
        <f>IF(E351="","",IF($L$35="SELIC - TRIBUTOS",VLOOKUP(DATE(YEAR($D$19),MONTH($D$19)-1,1),ÍNDICES!$A:$DE,HLOOKUP($BL$25,ÍNDICES!$B$3:$T$4,2)+11)-VLOOKUP(E351,ÍNDICES!$A:$DE,HLOOKUP($BL$25,ÍNDICES!$B$3:$T$4,2)+11)+1%,IF(F$38=$W$26,$J$35,IF(ISERROR(IF(E351&gt;$D$19,1,VLOOKUP(DATE(YEAR(E351),MONTH(E351)+IF($C$35=$S$23,1,0),1),ÍNDICES!$A:$DE,$Z$35+1))),"",IF(E351&gt;$D$19,1,VLOOKUP(DATE(YEAR(E351),MONTH(E351)+IF($C$35=$S$23,1,0),1),ÍNDICES!$A:$DE,$Z$35+1))))))</f>
        <v/>
      </c>
      <c r="G351" s="155"/>
      <c r="H351" s="156" t="str">
        <f t="shared" si="55"/>
        <v/>
      </c>
      <c r="I351" s="29" t="str">
        <f t="shared" si="49"/>
        <v/>
      </c>
      <c r="J351" s="5">
        <f t="shared" si="50"/>
        <v>0</v>
      </c>
      <c r="K351" s="20">
        <f t="shared" ca="1" si="51"/>
        <v>0</v>
      </c>
      <c r="L351" s="5">
        <f t="shared" ca="1" si="52"/>
        <v>0</v>
      </c>
      <c r="M351" s="64">
        <f t="shared" si="56"/>
        <v>0</v>
      </c>
      <c r="N351" s="61">
        <f t="shared" ca="1" si="57"/>
        <v>0</v>
      </c>
      <c r="O351" s="5">
        <f t="shared" ca="1" si="58"/>
        <v>0</v>
      </c>
      <c r="P351" s="446" t="e">
        <f t="shared" si="53"/>
        <v>#VALUE!</v>
      </c>
      <c r="Q351" s="446" t="e">
        <f>IF(OR($B351="",MIN(Q$38,$D$19)&lt;MAX($P$34*($B351+IF($R$17="Distrato",$I$38-1,0)),IF(AND($L$37=0,$P$34=0),"",$L$37-1),IF($R$17="Distrato",$E351,0))),0,YEARFRAC(MAX($P$34*($B351+IF($R$17="Distrato",$I$38-1,0)),IF(AND($L$37=0,$P$34=0),"",$L$37-1),IF($R$17="Distrato",$E351,0)),MIN(Q$38,$D$19),$P$20))-SUM($P351:P351)</f>
        <v>#VALUE!</v>
      </c>
      <c r="R351" s="446" t="e">
        <f>IF(OR($B351="",MIN(R$38,$D$19)&lt;MAX($P$34*($B351+IF($R$17="Distrato",$I$38-1,0)),IF(AND($L$37=0,$P$34=0),"",$L$37-1),IF($R$17="Distrato",$E351,0))),0,YEARFRAC(MAX($P$34*($B351+IF($R$17="Distrato",$I$38-1,0)),IF(AND($L$37=0,$P$34=0),"",$L$37-1),IF($R$17="Distrato",$E351,0)),MIN(R$38,$D$19),$P$20))-SUM($P351:Q351)</f>
        <v>#VALUE!</v>
      </c>
      <c r="S351" s="446" t="e">
        <f>IF(OR($B351="",MIN(S$38,$D$19)&lt;MAX($P$34*($B351+IF($R$17="Distrato",$I$38-1,0)),IF(AND($L$37=0,$P$34=0),"",$L$37-1),IF($R$17="Distrato",$E351,0))),0,YEARFRAC(MAX($P$34*($B351+IF($R$17="Distrato",$I$38-1,0)),IF(AND($L$37=0,$P$34=0),"",$L$37-1),IF($R$17="Distrato",$E351,0)),MIN(S$38,$D$19),$P$20))-SUM($P351:R351)</f>
        <v>#VALUE!</v>
      </c>
      <c r="T351" s="446" t="e">
        <f>IF(OR($B351="",MIN(T$38,$D$19)&lt;MAX($P$34*($B351+IF($R$17="Distrato",$I$38-1,0)),IF(AND($L$37=0,$P$34=0),"",$L$37-1),IF($R$17="Distrato",$E351,0))),0,YEARFRAC(MAX($P$34*($B351+IF($R$17="Distrato",$I$38-1,0)),IF(AND($L$37=0,$P$34=0),"",$L$37-1),IF($R$17="Distrato",$E351,0)),MIN(T$38,$D$19),$P$20))-SUM($P351:S351)</f>
        <v>#VALUE!</v>
      </c>
      <c r="U351" s="446" t="e">
        <f>IF(OR($B351="",MIN(U$38,$D$19)&lt;MAX($P$34*($B351+IF($R$17="Distrato",$I$38-1,0)),IF(AND($L$37=0,$P$34=0),"",$L$37-1),IF($R$17="Distrato",$E351,0))),0,YEARFRAC(MAX($P$34*($B351+IF($R$17="Distrato",$I$38-1,0)),IF(AND($L$37=0,$P$34=0),"",$L$37-1),IF($R$17="Distrato",$E351,0)),MIN(U$38,$D$19),$P$20))-SUM($P351:T351)</f>
        <v>#VALUE!</v>
      </c>
      <c r="V351" s="446" t="e">
        <f>IF(OR($B351="",MIN(V$38,$D$19)&lt;MAX($P$34*($B351+IF($R$17="Distrato",$I$38-1,0)),IF(AND($L$37=0,$P$34=0),"",$L$37-1),IF($R$17="Distrato",$E351,0))),0,YEARFRAC(MAX($P$34*($B351+IF($R$17="Distrato",$I$38-1,0)),IF(AND($L$37=0,$P$34=0),"",$L$37-1),IF($R$17="Distrato",$E351,0)),MIN(V$38,$D$19),$P$20))-SUM($P351:U351)</f>
        <v>#VALUE!</v>
      </c>
      <c r="W351" s="446" t="e">
        <f>IF(OR($B351="",MIN(W$38,$D$19)&lt;MAX($P$34*($B351+IF($R$17="Distrato",$I$38-1,0)),IF(AND($L$37=0,$P$34=0),"",$L$37-1),IF($R$17="Distrato",$E351,0))),0,YEARFRAC(MAX($P$34*($B351+IF($R$17="Distrato",$I$38-1,0)),IF(AND($L$37=0,$P$34=0),"",$L$37-1),IF($R$17="Distrato",$E351,0)),MIN(W$38,$D$19),$P$20))-SUM($P351:V351)</f>
        <v>#VALUE!</v>
      </c>
      <c r="X351" s="446" t="e">
        <f>IF(OR($B351="",MIN(X$38,$D$19)&lt;MAX($P$34*($B351+IF($R$17="Distrato",$I$38-1,0)),IF(AND($L$37=0,$P$34=0),"",$L$37-1),IF($R$17="Distrato",$E351,0))),0,YEARFRAC(MAX($P$34*($B351+IF($R$17="Distrato",$I$38-1,0)),IF(AND($L$37=0,$P$34=0),"",$L$37-1),IF($R$17="Distrato",$E351,0)),MIN(X$38,$D$19),$P$20))-SUM($P351:W351)</f>
        <v>#VALUE!</v>
      </c>
      <c r="Y351" s="446" t="e">
        <f>IF(OR($B351="",MIN(Y$38,$D$19)&lt;MAX($P$34*($B351+IF($R$17="Distrato",$I$38-1,0)),IF(AND($L$37=0,$P$34=0),"",$L$37-1),IF($R$17="Distrato",$E351,0))),0,YEARFRAC(MAX($P$34*($B351+IF($R$17="Distrato",$I$38-1,0)),IF(AND($L$37=0,$P$34=0),"",$L$37-1),IF($R$17="Distrato",$E351,0)),MIN(Y$38,$D$19),$P$20))-SUM($P351:X351)</f>
        <v>#VALUE!</v>
      </c>
      <c r="Z351" s="446" t="e">
        <f>IF(OR($B351="",MIN(Z$38,$D$19)&lt;MAX($P$34*($B351+IF($R$17="Distrato",$I$38-1,0)),IF(AND($L$37=0,$P$34=0),"",$L$37-1),IF($R$17="Distrato",$E351,0))),0,YEARFRAC(MAX($P$34*($B351+IF($R$17="Distrato",$I$38-1,0)),IF(AND($L$37=0,$P$34=0),"",$L$37-1),IF($R$17="Distrato",$E351,0)),MIN(Z$38,$D$19),$P$20))-SUM($P351:Y351)</f>
        <v>#VALUE!</v>
      </c>
      <c r="AA351" s="446" t="e">
        <f>IF(OR($B351="",MIN(AA$38,$D$19)&lt;MAX($P$34*($B351+IF($R$17="Distrato",$I$38-1,0)),IF(AND($L$37=0,$P$34=0),"",$L$37-1),IF($R$17="Distrato",$E351,0))),0,YEARFRAC(MAX($P$34*($B351+IF($R$17="Distrato",$I$38-1,0)),IF(AND($L$37=0,$P$34=0),"",$L$37-1),IF($R$17="Distrato",$E351,0)),MIN(AA$38,$D$19),$P$20))-SUM($P351:Z351)</f>
        <v>#VALUE!</v>
      </c>
      <c r="AB351" s="446" t="e">
        <f>IF(OR($B351="",MIN(AB$38,$D$19)&lt;MAX($P$34*($B351+IF($R$17="Distrato",$I$38-1,0)),IF(AND($L$37=0,$P$34=0),"",$L$37-1),IF($R$17="Distrato",$E351,0))),0,YEARFRAC(MAX($P$34*($B351+IF($R$17="Distrato",$I$38-1,0)),IF(AND($L$37=0,$P$34=0),"",$L$37-1),IF($R$17="Distrato",$E351,0)),MIN(AB$38,$D$19),$P$20))-SUM($P351:AA351)</f>
        <v>#VALUE!</v>
      </c>
      <c r="AC351" s="446" t="e">
        <f>IF(OR($B351="",MIN(AC$38,$D$19)&lt;MAX($P$34*($B351+IF($R$17="Distrato",$I$38-1,0)),IF(AND($L$37=0,$P$34=0),"",$L$37-1),IF($R$17="Distrato",$E351,0))),0,YEARFRAC(MAX($P$34*($B351+IF($R$17="Distrato",$I$38-1,0)),IF(AND($L$37=0,$P$34=0),"",$L$37-1),IF($R$17="Distrato",$E351,0)),MIN(AC$38,$D$19),$P$20))-SUM($P351:AB351)</f>
        <v>#VALUE!</v>
      </c>
      <c r="AD351" s="446" t="e">
        <f>IF(OR($B351="",MIN(AD$38,$D$19)&lt;MAX($P$34*($B351+IF($R$17="Distrato",$I$38-1,0)),IF(AND($L$37=0,$P$34=0),"",$L$37-1),IF($R$17="Distrato",$E351,0))),0,YEARFRAC(MAX($P$34*($B351+IF($R$17="Distrato",$I$38-1,0)),IF(AND($L$37=0,$P$34=0),"",$L$37-1),IF($R$17="Distrato",$E351,0)),MIN(AD$38,$D$19),$P$20))-SUM($P351:AC351)</f>
        <v>#VALUE!</v>
      </c>
      <c r="AE351" s="446" t="e">
        <f>IF(OR($B351="",MIN(AE$38,$D$19)&lt;MAX($P$34*($B351+IF($R$17="Distrato",$I$38-1,0)),IF(AND($L$37=0,$P$34=0),"",$L$37-1),IF($R$17="Distrato",$E351,0))),0,YEARFRAC(MAX($P$34*($B351+IF($R$17="Distrato",$I$38-1,0)),IF(AND($L$37=0,$P$34=0),"",$L$37-1),IF($R$17="Distrato",$E351,0)),MIN(AE$38,$D$19),$P$20))-SUM($P351:AD351)</f>
        <v>#VALUE!</v>
      </c>
      <c r="AF351" s="446" t="e">
        <f>IF(OR($B351="",MIN(AF$38,$D$19)&lt;MAX($P$34*($B351+IF($R$17="Distrato",$I$38-1,0)),IF(AND($L$37=0,$P$34=0),"",$L$37-1),IF($R$17="Distrato",$E351,0))),0,YEARFRAC(MAX($P$34*($B351+IF($R$17="Distrato",$I$38-1,0)),IF(AND($L$37=0,$P$34=0),"",$L$37-1),IF($R$17="Distrato",$E351,0)),MIN(AF$38,$D$19),$P$20))-SUM($P351:AE351)</f>
        <v>#VALUE!</v>
      </c>
      <c r="AG351" s="446" t="e">
        <f>IF(OR($B351="",MIN(AG$38,$D$19)&lt;MAX($P$34*($B351+IF($R$17="Distrato",$I$38-1,0)),IF(AND($L$37=0,$P$34=0),"",$L$37-1),IF($R$17="Distrato",$E351,0))),0,YEARFRAC(MAX($P$34*($B351+IF($R$17="Distrato",$I$38-1,0)),IF(AND($L$37=0,$P$34=0),"",$L$37-1),IF($R$17="Distrato",$E351,0)),MIN(AG$38,$D$19),$P$20))-SUM($P351:AF351)</f>
        <v>#VALUE!</v>
      </c>
      <c r="AH351" s="446" t="e">
        <f>IF(OR($B351="",MIN(AH$38,$D$19)&lt;MAX($P$34*($B351+IF($R$17="Distrato",$I$38-1,0)),IF(AND($L$37=0,$P$34=0),"",$L$37-1),IF($R$17="Distrato",$E351,0))),0,YEARFRAC(MAX($P$34*($B351+IF($R$17="Distrato",$I$38-1,0)),IF(AND($L$37=0,$P$34=0),"",$L$37-1),IF($R$17="Distrato",$E351,0)),MIN(AH$38,$D$19),$P$20))-SUM($P351:AG351)</f>
        <v>#VALUE!</v>
      </c>
      <c r="AI351" s="446" t="e">
        <f>IF(OR($B351="",MIN(AI$38,$D$19)&lt;MAX($P$34*($B351+IF($R$17="Distrato",$I$38-1,0)),IF(AND($L$37=0,$P$34=0),"",$L$37-1),IF($R$17="Distrato",$E351,0))),0,YEARFRAC(MAX($P$34*($B351+IF($R$17="Distrato",$I$38-1,0)),IF(AND($L$37=0,$P$34=0),"",$L$37-1),IF($R$17="Distrato",$E351,0)),MIN(AI$38,$D$19),$P$20))-SUM($P351:AH351)</f>
        <v>#VALUE!</v>
      </c>
      <c r="AJ351" s="446" t="e">
        <f>IF(OR($B351="",MIN(AJ$38,$D$19)&lt;MAX($P$34*($B351+IF($R$17="Distrato",$I$38-1,0)),IF(AND($L$37=0,$P$34=0),"",$L$37-1),IF($R$17="Distrato",$E351,0))),0,YEARFRAC(MAX($P$34*($B351+IF($R$17="Distrato",$I$38-1,0)),IF(AND($L$37=0,$P$34=0),"",$L$37-1),IF($R$17="Distrato",$E351,0)),MIN(AJ$38,$D$19),$P$20))-SUM($P351:AI351)</f>
        <v>#VALUE!</v>
      </c>
      <c r="AK351" s="446" t="e">
        <f>IF(OR($B351="",MIN(AK$38,$D$19)&lt;MAX($P$34*($B351+IF($R$17="Distrato",$I$38-1,0)),IF(AND($L$37=0,$P$34=0),"",$L$37-1),IF($R$17="Distrato",$E351,0))),0,YEARFRAC(MAX($P$34*($B351+IF($R$17="Distrato",$I$38-1,0)),IF(AND($L$37=0,$P$34=0),"",$L$37-1),IF($R$17="Distrato",$E351,0)),MIN(AK$38,$D$19),$P$20))-SUM($P351:AJ351)</f>
        <v>#VALUE!</v>
      </c>
      <c r="AL351" s="446" t="e">
        <f>IF(OR($B351="",MIN(AL$38,$D$19)&lt;MAX($P$34*($B351+IF($R$17="Distrato",$I$38-1,0)),IF(AND($L$37=0,$P$34=0),"",$L$37-1),IF($R$17="Distrato",$E351,0))),0,YEARFRAC(MAX($P$34*($B351+IF($R$17="Distrato",$I$38-1,0)),IF(AND($L$37=0,$P$34=0),"",$L$37-1),IF($R$17="Distrato",$E351,0)),MIN(AL$38,$D$19),$P$20))-SUM($P351:AK351)</f>
        <v>#VALUE!</v>
      </c>
      <c r="AM351" s="446" t="e">
        <f>IF(OR($B351="",MIN(AM$38,$D$19)&lt;MAX($P$34*($B351+IF($R$17="Distrato",$I$38-1,0)),IF(AND($L$37=0,$P$34=0),"",$L$37-1),IF($R$17="Distrato",$E351,0))),0,YEARFRAC(MAX($P$34*($B351+IF($R$17="Distrato",$I$38-1,0)),IF(AND($L$37=0,$P$34=0),"",$L$37-1),IF($R$17="Distrato",$E351,0)),MIN(AM$38,$D$19),$P$20))-SUM($P351:AL351)</f>
        <v>#VALUE!</v>
      </c>
      <c r="AN351" s="446" t="e">
        <f>IF(OR($B351="",MIN(AN$38,$D$19)&lt;MAX($P$34*($B351+IF($R$17="Distrato",$I$38-1,0)),IF(AND($L$37=0,$P$34=0),"",$L$37-1),IF($R$17="Distrato",$E351,0))),0,YEARFRAC(MAX($P$34*($B351+IF($R$17="Distrato",$I$38-1,0)),IF(AND($L$37=0,$P$34=0),"",$L$37-1),IF($R$17="Distrato",$E351,0)),MIN(AN$38,$D$19),$P$20))-SUM($P351:AM351)</f>
        <v>#VALUE!</v>
      </c>
      <c r="AO351" s="446" t="e">
        <f>IF(OR($B351="",MIN(AO$38,$D$19)&lt;MAX($P$34*($B351+IF($R$17="Distrato",$I$38-1,0)),IF(AND($L$37=0,$P$34=0),"",$L$37-1),IF($R$17="Distrato",$E351,0))),0,YEARFRAC(MAX($P$34*($B351+IF($R$17="Distrato",$I$38-1,0)),IF(AND($L$37=0,$P$34=0),"",$L$37-1),IF($R$17="Distrato",$E351,0)),MIN(AO$38,$D$19),$P$20))-SUM($P351:AN351)</f>
        <v>#VALUE!</v>
      </c>
      <c r="AP351" s="446" t="e">
        <f>IF(OR($B351="",MIN(AP$38,$D$19)&lt;MAX($P$34*($B351+IF($R$17="Distrato",$I$38-1,0)),IF(AND($L$37=0,$P$34=0),"",$L$37-1),IF($R$17="Distrato",$E351,0))),0,YEARFRAC(MAX($P$34*($B351+IF($R$17="Distrato",$I$38-1,0)),IF(AND($L$37=0,$P$34=0),"",$L$37-1),IF($R$17="Distrato",$E351,0)),MIN(AP$38,$D$19),$P$20))-SUM($P351:AO351)</f>
        <v>#VALUE!</v>
      </c>
      <c r="AQ351" s="446" t="e">
        <f>IF(OR($B351="",MIN(AQ$38,$D$19)&lt;MAX($P$34*($B351+IF($R$17="Distrato",$I$38-1,0)),IF(AND($L$37=0,$P$34=0),"",$L$37-1),IF($R$17="Distrato",$E351,0))),0,YEARFRAC(MAX($P$34*($B351+IF($R$17="Distrato",$I$38-1,0)),IF(AND($L$37=0,$P$34=0),"",$L$37-1),IF($R$17="Distrato",$E351,0)),MIN(AQ$38,$D$19),$P$20))-SUM($P351:AP351)</f>
        <v>#VALUE!</v>
      </c>
      <c r="AR351" s="446" t="e">
        <f>IF(OR($B351="",MIN(AR$38,$D$19)&lt;MAX($P$34*($B351+IF($R$17="Distrato",$I$38-1,0)),IF(AND($L$37=0,$P$34=0),"",$L$37-1),IF($R$17="Distrato",$E351,0))),0,YEARFRAC(MAX($P$34*($B351+IF($R$17="Distrato",$I$38-1,0)),IF(AND($L$37=0,$P$34=0),"",$L$37-1),IF($R$17="Distrato",$E351,0)),MIN(AR$38,$D$19),$P$20))-SUM($P351:AQ351)</f>
        <v>#VALUE!</v>
      </c>
      <c r="AS351" s="446" t="e">
        <f>IF(OR($B351="",MIN(AS$38,$D$19)&lt;MAX($P$34*($B351+IF($R$17="Distrato",$I$38-1,0)),IF(AND($L$37=0,$P$34=0),"",$L$37-1),IF($R$17="Distrato",$E351,0))),0,YEARFRAC(MAX($P$34*($B351+IF($R$17="Distrato",$I$38-1,0)),IF(AND($L$37=0,$P$34=0),"",$L$37-1),IF($R$17="Distrato",$E351,0)),MIN(AS$38,$D$19),$P$20))-SUM($P351:AR351)</f>
        <v>#VALUE!</v>
      </c>
      <c r="AT351" s="446" t="e">
        <f>IF(OR($B351="",MIN(AT$38,$D$19)&lt;MAX($P$34*($B351+IF($R$17="Distrato",$I$38-1,0)),IF(AND($L$37=0,$P$34=0),"",$L$37-1),IF($R$17="Distrato",$E351,0))),0,YEARFRAC(MAX($P$34*($B351+IF($R$17="Distrato",$I$38-1,0)),IF(AND($L$37=0,$P$34=0),"",$L$37-1),IF($R$17="Distrato",$E351,0)),MIN(AT$38,$D$19),$P$20))-SUM($P351:AS351)</f>
        <v>#VALUE!</v>
      </c>
      <c r="AU351" s="446" t="e">
        <f>IF(OR($B351="",MIN(AU$38,$D$19)&lt;MAX($P$34*($B351+IF($R$17="Distrato",$I$38-1,0)),IF(AND($L$37=0,$P$34=0),"",$L$37-1),IF($R$17="Distrato",$E351,0))),0,YEARFRAC(MAX($P$34*($B351+IF($R$17="Distrato",$I$38-1,0)),IF(AND($L$37=0,$P$34=0),"",$L$37-1),IF($R$17="Distrato",$E351,0)),MIN(AU$38,$D$19),$P$20))-SUM($P351:AT351)</f>
        <v>#VALUE!</v>
      </c>
      <c r="AV351" s="446" t="e">
        <f>IF(OR($B351="",MIN(AV$38,$D$19)&lt;MAX($P$34*($B351+IF($R$17="Distrato",$I$38-1,0)),IF(AND($L$37=0,$P$34=0),"",$L$37-1),IF($R$17="Distrato",$E351,0))),0,YEARFRAC(MAX($P$34*($B351+IF($R$17="Distrato",$I$38-1,0)),IF(AND($L$37=0,$P$34=0),"",$L$37-1),IF($R$17="Distrato",$E351,0)),MIN(AV$38,$D$19),$P$20))-SUM($P351:AU351)</f>
        <v>#VALUE!</v>
      </c>
      <c r="AW351" s="446" t="e">
        <f>IF(OR($B351="",MIN(AW$38,$D$19)&lt;MAX($P$34*($B351+IF($R$17="Distrato",$I$38-1,0)),IF(AND($L$37=0,$P$34=0),"",$L$37-1),IF($R$17="Distrato",$E351,0))),0,YEARFRAC(MAX($P$34*($B351+IF($R$17="Distrato",$I$38-1,0)),IF(AND($L$37=0,$P$34=0),"",$L$37-1),IF($R$17="Distrato",$E351,0)),MIN(AW$38,$D$19),$P$20))-SUM($P351:AV351)</f>
        <v>#VALUE!</v>
      </c>
      <c r="AX351" s="446" t="e">
        <f>IF(OR($B351="",MIN(AX$38,$D$19)&lt;MAX($P$34*($B351+IF($R$17="Distrato",$I$38-1,0)),IF(AND($L$37=0,$P$34=0),"",$L$37-1),IF($R$17="Distrato",$E351,0))),0,YEARFRAC(MAX($P$34*($B351+IF($R$17="Distrato",$I$38-1,0)),IF(AND($L$37=0,$P$34=0),"",$L$37-1),IF($R$17="Distrato",$E351,0)),MIN(AX$38,$D$19),$P$20))-SUM($P351:AW351)</f>
        <v>#VALUE!</v>
      </c>
      <c r="AY351" s="446" t="e">
        <f>IF(OR($B351="",MIN(AY$38,$D$19)&lt;MAX($P$34*($B351+IF($R$17="Distrato",$I$38-1,0)),IF(AND($L$37=0,$P$34=0),"",$L$37-1),IF($R$17="Distrato",$E351,0))),0,YEARFRAC(MAX($P$34*($B351+IF($R$17="Distrato",$I$38-1,0)),IF(AND($L$37=0,$P$34=0),"",$L$37-1),IF($R$17="Distrato",$E351,0)),MIN(AY$38,$D$19),$P$20))-SUM($P351:AX351)</f>
        <v>#VALUE!</v>
      </c>
      <c r="AZ351" s="446" t="e">
        <f>IF(OR($B351="",MIN(AZ$38,$D$19)&lt;MAX($P$34*($B351+IF($R$17="Distrato",$I$38-1,0)),IF(AND($L$37=0,$P$34=0),"",$L$37-1),IF($R$17="Distrato",$E351,0))),0,YEARFRAC(MAX($P$34*($B351+IF($R$17="Distrato",$I$38-1,0)),IF(AND($L$37=0,$P$34=0),"",$L$37-1),IF($R$17="Distrato",$E351,0)),MIN(AZ$38,$D$19),$P$20))-SUM($P351:AY351)</f>
        <v>#VALUE!</v>
      </c>
      <c r="BA351" s="446" t="e">
        <f>IF(OR($B351="",MIN(BA$38,$D$19)&lt;MAX($P$34*($B351+IF($R$17="Distrato",$I$38-1,0)),IF(AND($L$37=0,$P$34=0),"",$L$37-1),IF($R$17="Distrato",$E351,0))),0,YEARFRAC(MAX($P$34*($B351+IF($R$17="Distrato",$I$38-1,0)),IF(AND($L$37=0,$P$34=0),"",$L$37-1),IF($R$17="Distrato",$E351,0)),MIN(BA$38,$D$19),$P$20))-SUM($P351:AZ351)</f>
        <v>#VALUE!</v>
      </c>
      <c r="BB351" s="447"/>
      <c r="BF351" s="446">
        <f t="shared" si="54"/>
        <v>0</v>
      </c>
      <c r="BG351" s="446">
        <f>IF($E351=0,0,IF(MIN(BG$38,$E351)&lt;MAX($P$34*($B351+$I$38-1),IF(AND($L$37=0,$P$34=0),"",$L$37-1)),0,YEARFRAC(MAX($P$34*($B351+$I$38-1),IF(AND($L$37=0,$P$34=0),"",$L$37-1)),MIN(BG$38,$E351),$P$20))-SUM($BF351:BF351))</f>
        <v>0</v>
      </c>
      <c r="BH351" s="446">
        <f>IF($E351=0,0,IF(MIN(BH$38,$E351)&lt;MAX($P$34*($B351+$I$38-1),IF(AND($L$37=0,$P$34=0),"",$L$37-1)),0,YEARFRAC(MAX($P$34*($B351+$I$38-1),IF(AND($L$37=0,$P$34=0),"",$L$37-1)),MIN(BH$38,$E351),$P$20))-SUM($BF351:BG351))</f>
        <v>0</v>
      </c>
      <c r="BI351" s="446">
        <f>IF($E351=0,0,IF(MIN(BI$38,$E351)&lt;MAX($P$34*($B351+$I$38-1),IF(AND($L$37=0,$P$34=0),"",$L$37-1)),0,YEARFRAC(MAX($P$34*($B351+$I$38-1),IF(AND($L$37=0,$P$34=0),"",$L$37-1)),MIN(BI$38,$E351),$P$20))-SUM($BF351:BH351))</f>
        <v>0</v>
      </c>
      <c r="BJ351" s="446">
        <f>IF($E351=0,0,IF(MIN(BJ$38,$E351)&lt;MAX($P$34*($B351+$I$38-1),IF(AND($L$37=0,$P$34=0),"",$L$37-1)),0,YEARFRAC(MAX($P$34*($B351+$I$38-1),IF(AND($L$37=0,$P$34=0),"",$L$37-1)),MIN(BJ$38,$E351),$P$20))-SUM($BF351:BI351))</f>
        <v>0</v>
      </c>
      <c r="BK351" s="446">
        <f>IF($E351=0,0,IF(MIN(BK$38,$E351)&lt;MAX($P$34*($B351+$I$38-1),IF(AND($L$37=0,$P$34=0),"",$L$37-1)),0,YEARFRAC(MAX($P$34*($B351+$I$38-1),IF(AND($L$37=0,$P$34=0),"",$L$37-1)),MIN(BK$38,$E351),$P$20))-SUM($BF351:BJ351))</f>
        <v>0</v>
      </c>
      <c r="BL351" s="446">
        <f>IF($E351=0,0,IF(MIN(BL$38,$E351)&lt;MAX($P$34*($B351+$I$38-1),IF(AND($L$37=0,$P$34=0),"",$L$37-1)),0,YEARFRAC(MAX($P$34*($B351+$I$38-1),IF(AND($L$37=0,$P$34=0),"",$L$37-1)),MIN(BL$38,$E351),$P$20))-SUM($BF351:BK351))</f>
        <v>0</v>
      </c>
      <c r="BM351" s="446">
        <f>IF($E351=0,0,IF(MIN(BM$38,$E351)&lt;MAX($P$34*($B351+$I$38-1),IF(AND($L$37=0,$P$34=0),"",$L$37-1)),0,YEARFRAC(MAX($P$34*($B351+$I$38-1),IF(AND($L$37=0,$P$34=0),"",$L$37-1)),MIN(BM$38,$E351),$P$20))-SUM($BF351:BL351))</f>
        <v>0</v>
      </c>
      <c r="BN351" s="446">
        <f>IF($E351=0,0,IF(MIN(BN$38,$E351)&lt;MAX($P$34*($B351+$I$38-1),IF(AND($L$37=0,$P$34=0),"",$L$37-1)),0,YEARFRAC(MAX($P$34*($B351+$I$38-1),IF(AND($L$37=0,$P$34=0),"",$L$37-1)),MIN(BN$38,$E351),$P$20))-SUM($BF351:BM351))</f>
        <v>0</v>
      </c>
      <c r="BO351" s="446">
        <f>IF($E351=0,0,IF(MIN(BO$38,$E351)&lt;MAX($P$34*($B351+$I$38-1),IF(AND($L$37=0,$P$34=0),"",$L$37-1)),0,YEARFRAC(MAX($P$34*($B351+$I$38-1),IF(AND($L$37=0,$P$34=0),"",$L$37-1)),MIN(BO$38,$E351),$P$20))-SUM($BF351:BN351))</f>
        <v>0</v>
      </c>
      <c r="BP351" s="446">
        <f>IF($E351=0,0,IF(MIN(BP$38,$E351)&lt;MAX($P$34*($B351+$I$38-1),IF(AND($L$37=0,$P$34=0),"",$L$37-1)),0,YEARFRAC(MAX($P$34*($B351+$I$38-1),IF(AND($L$37=0,$P$34=0),"",$L$37-1)),MIN(BP$38,$E351),$P$20))-SUM($BF351:BO351))</f>
        <v>0</v>
      </c>
      <c r="BQ351" s="446">
        <f>IF($E351=0,0,IF(MIN(BQ$38,$E351)&lt;MAX($P$34*($B351+$I$38-1),IF(AND($L$37=0,$P$34=0),"",$L$37-1)),0,YEARFRAC(MAX($P$34*($B351+$I$38-1),IF(AND($L$37=0,$P$34=0),"",$L$37-1)),MIN(BQ$38,$E351),$P$20))-SUM($BF351:BP351))</f>
        <v>0</v>
      </c>
      <c r="BR351" s="446">
        <f>IF($E351=0,0,IF(MIN(BR$38,$E351)&lt;MAX($P$34*($B351+$I$38-1),IF(AND($L$37=0,$P$34=0),"",$L$37-1)),0,YEARFRAC(MAX($P$34*($B351+$I$38-1),IF(AND($L$37=0,$P$34=0),"",$L$37-1)),MIN(BR$38,$E351),$P$20))-SUM($BF351:BQ351))</f>
        <v>0</v>
      </c>
      <c r="BS351" s="446">
        <f>IF($E351=0,0,IF(MIN(BS$38,$E351)&lt;MAX($P$34*($B351+$I$38-1),IF(AND($L$37=0,$P$34=0),"",$L$37-1)),0,YEARFRAC(MAX($P$34*($B351+$I$38-1),IF(AND($L$37=0,$P$34=0),"",$L$37-1)),MIN(BS$38,$E351),$P$20))-SUM($BF351:BR351))</f>
        <v>0</v>
      </c>
      <c r="BT351" s="446">
        <f>IF($E351=0,0,IF(MIN(BT$38,$E351)&lt;MAX($P$34*($B351+$I$38-1),IF(AND($L$37=0,$P$34=0),"",$L$37-1)),0,YEARFRAC(MAX($P$34*($B351+$I$38-1),IF(AND($L$37=0,$P$34=0),"",$L$37-1)),MIN(BT$38,$E351),$P$20))-SUM($BF351:BS351))</f>
        <v>0</v>
      </c>
      <c r="BU351" s="446">
        <f>IF($E351=0,0,IF(MIN(BU$38,$E351)&lt;MAX($P$34*($B351+$I$38-1),IF(AND($L$37=0,$P$34=0),"",$L$37-1)),0,YEARFRAC(MAX($P$34*($B351+$I$38-1),IF(AND($L$37=0,$P$34=0),"",$L$37-1)),MIN(BU$38,$E351),$P$20))-SUM($BF351:BT351))</f>
        <v>0</v>
      </c>
      <c r="BV351" s="446">
        <f>IF($E351=0,0,IF(MIN(BV$38,$E351)&lt;MAX($P$34*($B351+$I$38-1),IF(AND($L$37=0,$P$34=0),"",$L$37-1)),0,YEARFRAC(MAX($P$34*($B351+$I$38-1),IF(AND($L$37=0,$P$34=0),"",$L$37-1)),MIN(BV$38,$E351),$P$20))-SUM($BF351:BU351))</f>
        <v>0</v>
      </c>
      <c r="BW351" s="446">
        <f>IF($E351=0,0,IF(MIN(BW$38,$E351)&lt;MAX($P$34*($B351+$I$38-1),IF(AND($L$37=0,$P$34=0),"",$L$37-1)),0,YEARFRAC(MAX($P$34*($B351+$I$38-1),IF(AND($L$37=0,$P$34=0),"",$L$37-1)),MIN(BW$38,$E351),$P$20))-SUM($BF351:BV351))</f>
        <v>0</v>
      </c>
      <c r="BX351" s="446">
        <f>IF($E351=0,0,IF(MIN(BX$38,$E351)&lt;MAX($P$34*($B351+$I$38-1),IF(AND($L$37=0,$P$34=0),"",$L$37-1)),0,YEARFRAC(MAX($P$34*($B351+$I$38-1),IF(AND($L$37=0,$P$34=0),"",$L$37-1)),MIN(BX$38,$E351),$P$20))-SUM($BF351:BW351))</f>
        <v>0</v>
      </c>
      <c r="BY351" s="446">
        <f>IF($E351=0,0,IF(MIN(BY$38,$E351)&lt;MAX($P$34*($B351+$I$38-1),IF(AND($L$37=0,$P$34=0),"",$L$37-1)),0,YEARFRAC(MAX($P$34*($B351+$I$38-1),IF(AND($L$37=0,$P$34=0),"",$L$37-1)),MIN(BY$38,$E351),$P$20))-SUM($BF351:BX351))</f>
        <v>0</v>
      </c>
      <c r="BZ351" s="446">
        <f>IF($E351=0,0,IF(MIN(BZ$38,$E351)&lt;MAX($P$34*($B351+$I$38-1),IF(AND($L$37=0,$P$34=0),"",$L$37-1)),0,YEARFRAC(MAX($P$34*($B351+$I$38-1),IF(AND($L$37=0,$P$34=0),"",$L$37-1)),MIN(BZ$38,$E351),$P$20))-SUM($BF351:BY351))</f>
        <v>0</v>
      </c>
      <c r="CA351" s="446">
        <f>IF($E351=0,0,IF(MIN(CA$38,$E351)&lt;MAX($P$34*($B351+$I$38-1),IF(AND($L$37=0,$P$34=0),"",$L$37-1)),0,YEARFRAC(MAX($P$34*($B351+$I$38-1),IF(AND($L$37=0,$P$34=0),"",$L$37-1)),MIN(CA$38,$E351),$P$20))-SUM($BF351:BZ351))</f>
        <v>0</v>
      </c>
      <c r="CB351" s="446">
        <f>IF($E351=0,0,IF(MIN(CB$38,$E351)&lt;MAX($P$34*($B351+$I$38-1),IF(AND($L$37=0,$P$34=0),"",$L$37-1)),0,YEARFRAC(MAX($P$34*($B351+$I$38-1),IF(AND($L$37=0,$P$34=0),"",$L$37-1)),MIN(CB$38,$E351),$P$20))-SUM($BF351:CA351))</f>
        <v>0</v>
      </c>
      <c r="CC351" s="446">
        <f>IF($E351=0,0,IF(MIN(CC$38,$E351)&lt;MAX($P$34*($B351+$I$38-1),IF(AND($L$37=0,$P$34=0),"",$L$37-1)),0,YEARFRAC(MAX($P$34*($B351+$I$38-1),IF(AND($L$37=0,$P$34=0),"",$L$37-1)),MIN(CC$38,$E351),$P$20))-SUM($BF351:CB351))</f>
        <v>0</v>
      </c>
      <c r="CD351" s="446">
        <f>IF($E351=0,0,IF(MIN(CD$38,$E351)&lt;MAX($P$34*($B351+$I$38-1),IF(AND($L$37=0,$P$34=0),"",$L$37-1)),0,YEARFRAC(MAX($P$34*($B351+$I$38-1),IF(AND($L$37=0,$P$34=0),"",$L$37-1)),MIN(CD$38,$E351),$P$20))-SUM($BF351:CC351))</f>
        <v>0</v>
      </c>
      <c r="CE351" s="446">
        <f>IF($E351=0,0,IF(MIN(CE$38,$E351)&lt;MAX($P$34*($B351+$I$38-1),IF(AND($L$37=0,$P$34=0),"",$L$37-1)),0,YEARFRAC(MAX($P$34*($B351+$I$38-1),IF(AND($L$37=0,$P$34=0),"",$L$37-1)),MIN(CE$38,$E351),$P$20))-SUM($BF351:CD351))</f>
        <v>0</v>
      </c>
      <c r="CF351" s="446">
        <f>IF($E351=0,0,IF(MIN(CF$38,$E351)&lt;MAX($P$34*($B351+$I$38-1),IF(AND($L$37=0,$P$34=0),"",$L$37-1)),0,YEARFRAC(MAX($P$34*($B351+$I$38-1),IF(AND($L$37=0,$P$34=0),"",$L$37-1)),MIN(CF$38,$E351),$P$20))-SUM($BF351:CE351))</f>
        <v>0</v>
      </c>
      <c r="CG351" s="446">
        <f>IF($E351=0,0,IF(MIN(CG$38,$E351)&lt;MAX($P$34*($B351+$I$38-1),IF(AND($L$37=0,$P$34=0),"",$L$37-1)),0,YEARFRAC(MAX($P$34*($B351+$I$38-1),IF(AND($L$37=0,$P$34=0),"",$L$37-1)),MIN(CG$38,$E351),$P$20))-SUM($BF351:CF351))</f>
        <v>0</v>
      </c>
      <c r="CH351" s="446">
        <f>IF($E351=0,0,IF(MIN(CH$38,$E351)&lt;MAX($P$34*($B351+$I$38-1),IF(AND($L$37=0,$P$34=0),"",$L$37-1)),0,YEARFRAC(MAX($P$34*($B351+$I$38-1),IF(AND($L$37=0,$P$34=0),"",$L$37-1)),MIN(CH$38,$E351),$P$20))-SUM($BF351:CG351))</f>
        <v>0</v>
      </c>
      <c r="CI351" s="446">
        <f>IF($E351=0,0,IF(MIN(CI$38,$E351)&lt;MAX($P$34*($B351+$I$38-1),IF(AND($L$37=0,$P$34=0),"",$L$37-1)),0,YEARFRAC(MAX($P$34*($B351+$I$38-1),IF(AND($L$37=0,$P$34=0),"",$L$37-1)),MIN(CI$38,$E351),$P$20))-SUM($BF351:CH351))</f>
        <v>0</v>
      </c>
      <c r="CJ351" s="446">
        <f>IF($E351=0,0,IF(MIN(CJ$38,$E351)&lt;MAX($P$34*($B351+$I$38-1),IF(AND($L$37=0,$P$34=0),"",$L$37-1)),0,YEARFRAC(MAX($P$34*($B351+$I$38-1),IF(AND($L$37=0,$P$34=0),"",$L$37-1)),MIN(CJ$38,$E351),$P$20))-SUM($BF351:CI351))</f>
        <v>0</v>
      </c>
      <c r="CK351" s="446">
        <f>IF($E351=0,0,IF(MIN(CK$38,$E351)&lt;MAX($P$34*($B351+$I$38-1),IF(AND($L$37=0,$P$34=0),"",$L$37-1)),0,YEARFRAC(MAX($P$34*($B351+$I$38-1),IF(AND($L$37=0,$P$34=0),"",$L$37-1)),MIN(CK$38,$E351),$P$20))-SUM($BF351:CJ351))</f>
        <v>0</v>
      </c>
      <c r="CL351" s="446">
        <f>IF($E351=0,0,IF(MIN(CL$38,$E351)&lt;MAX($P$34*($B351+$I$38-1),IF(AND($L$37=0,$P$34=0),"",$L$37-1)),0,YEARFRAC(MAX($P$34*($B351+$I$38-1),IF(AND($L$37=0,$P$34=0),"",$L$37-1)),MIN(CL$38,$E351),$P$20))-SUM($BF351:CK351))</f>
        <v>0</v>
      </c>
      <c r="CM351" s="446">
        <f>IF($E351=0,0,IF(MIN(CM$38,$E351)&lt;MAX($P$34*($B351+$I$38-1),IF(AND($L$37=0,$P$34=0),"",$L$37-1)),0,YEARFRAC(MAX($P$34*($B351+$I$38-1),IF(AND($L$37=0,$P$34=0),"",$L$37-1)),MIN(CM$38,$E351),$P$20))-SUM($BF351:CL351))</f>
        <v>0</v>
      </c>
      <c r="CN351" s="446">
        <f>IF($E351=0,0,IF(MIN(CN$38,$E351)&lt;MAX($P$34*($B351+$I$38-1),IF(AND($L$37=0,$P$34=0),"",$L$37-1)),0,YEARFRAC(MAX($P$34*($B351+$I$38-1),IF(AND($L$37=0,$P$34=0),"",$L$37-1)),MIN(CN$38,$E351),$P$20))-SUM($BF351:CM351))</f>
        <v>0</v>
      </c>
      <c r="CO351" s="446">
        <f>IF($E351=0,0,IF(MIN(CO$38,$E351)&lt;MAX($P$34*($B351+$I$38-1),IF(AND($L$37=0,$P$34=0),"",$L$37-1)),0,YEARFRAC(MAX($P$34*($B351+$I$38-1),IF(AND($L$37=0,$P$34=0),"",$L$37-1)),MIN(CO$38,$E351),$P$20))-SUM($BF351:CN351))</f>
        <v>0</v>
      </c>
      <c r="CP351" s="446">
        <f>IF($E351=0,0,IF(MIN(CP$38,$E351)&lt;MAX($P$34*($B351+$I$38-1),IF(AND($L$37=0,$P$34=0),"",$L$37-1)),0,YEARFRAC(MAX($P$34*($B351+$I$38-1),IF(AND($L$37=0,$P$34=0),"",$L$37-1)),MIN(CP$38,$E351),$P$20))-SUM($BF351:CO351))</f>
        <v>0</v>
      </c>
      <c r="CQ351" s="446">
        <f>IF($E351=0,0,IF(MIN(CQ$38,$E351)&lt;MAX($P$34*($B351+$I$38-1),IF(AND($L$37=0,$P$34=0),"",$L$37-1)),0,YEARFRAC(MAX($P$34*($B351+$I$38-1),IF(AND($L$37=0,$P$34=0),"",$L$37-1)),MIN(CQ$38,$E351),$P$20))-SUM($BF351:CP351))</f>
        <v>0</v>
      </c>
    </row>
    <row r="352" spans="1:95" s="446" customFormat="1" ht="11.25" hidden="1" customHeight="1" x14ac:dyDescent="0.2">
      <c r="A352" s="152"/>
      <c r="B352" s="153" t="str">
        <f t="shared" si="59"/>
        <v/>
      </c>
      <c r="C352" s="29" t="str">
        <f>IF(B352="","",IF($L$35="SELIC - TRIBUTOS",VLOOKUP(DATE(YEAR($D$19),MONTH($D$19)-1,1),ÍNDICES!$A:$DE,HLOOKUP($BL$25,ÍNDICES!$B$3:$T$4,2)+11)-VLOOKUP(B352,ÍNDICES!$A:$DE,HLOOKUP($BL$25,ÍNDICES!$B$3:$T$4,2)+11)+1%,IF(C$38=$W$26,$J$35,IF(ISERROR(IF(B352&gt;$D$19,1,VLOOKUP(DATE(YEAR(B352),MONTH(B352)+IF($C$35=$S$23,1,0),1),ÍNDICES!$A:$DE,$Z$35+1))),"",IF(B352&gt;$D$19,1,VLOOKUP(DATE(YEAR(B352),MONTH(B352)+IF($C$35=$S$23,1,0),1),ÍNDICES!$A:$DE,$Z$35+1))))))</f>
        <v/>
      </c>
      <c r="D352" s="154" t="str">
        <f>IF(ISERROR(IF(OR($D$38=$Y$27,$B352=""),"",VLOOKUP(B352,ÍNDICES!A:DE,AF$35+1))),"",IF(OR($D$38=$Y$27,$B352=""),"",VLOOKUP(B352,ÍNDICES!A:DE,AF$35+1)))</f>
        <v/>
      </c>
      <c r="E352" s="153"/>
      <c r="F352" s="29" t="str">
        <f>IF(E352="","",IF($L$35="SELIC - TRIBUTOS",VLOOKUP(DATE(YEAR($D$19),MONTH($D$19)-1,1),ÍNDICES!$A:$DE,HLOOKUP($BL$25,ÍNDICES!$B$3:$T$4,2)+11)-VLOOKUP(E352,ÍNDICES!$A:$DE,HLOOKUP($BL$25,ÍNDICES!$B$3:$T$4,2)+11)+1%,IF(F$38=$W$26,$J$35,IF(ISERROR(IF(E352&gt;$D$19,1,VLOOKUP(DATE(YEAR(E352),MONTH(E352)+IF($C$35=$S$23,1,0),1),ÍNDICES!$A:$DE,$Z$35+1))),"",IF(E352&gt;$D$19,1,VLOOKUP(DATE(YEAR(E352),MONTH(E352)+IF($C$35=$S$23,1,0),1),ÍNDICES!$A:$DE,$Z$35+1))))))</f>
        <v/>
      </c>
      <c r="G352" s="155"/>
      <c r="H352" s="156" t="str">
        <f t="shared" si="55"/>
        <v/>
      </c>
      <c r="I352" s="29" t="str">
        <f t="shared" si="49"/>
        <v/>
      </c>
      <c r="J352" s="5">
        <f t="shared" si="50"/>
        <v>0</v>
      </c>
      <c r="K352" s="20">
        <f t="shared" ca="1" si="51"/>
        <v>0</v>
      </c>
      <c r="L352" s="5">
        <f t="shared" ca="1" si="52"/>
        <v>0</v>
      </c>
      <c r="M352" s="64">
        <f t="shared" si="56"/>
        <v>0</v>
      </c>
      <c r="N352" s="61">
        <f t="shared" ca="1" si="57"/>
        <v>0</v>
      </c>
      <c r="O352" s="5">
        <f t="shared" ca="1" si="58"/>
        <v>0</v>
      </c>
      <c r="P352" s="446" t="e">
        <f t="shared" si="53"/>
        <v>#VALUE!</v>
      </c>
      <c r="Q352" s="446" t="e">
        <f>IF(OR($B352="",MIN(Q$38,$D$19)&lt;MAX($P$34*($B352+IF($R$17="Distrato",$I$38-1,0)),IF(AND($L$37=0,$P$34=0),"",$L$37-1),IF($R$17="Distrato",$E352,0))),0,YEARFRAC(MAX($P$34*($B352+IF($R$17="Distrato",$I$38-1,0)),IF(AND($L$37=0,$P$34=0),"",$L$37-1),IF($R$17="Distrato",$E352,0)),MIN(Q$38,$D$19),$P$20))-SUM($P352:P352)</f>
        <v>#VALUE!</v>
      </c>
      <c r="R352" s="446" t="e">
        <f>IF(OR($B352="",MIN(R$38,$D$19)&lt;MAX($P$34*($B352+IF($R$17="Distrato",$I$38-1,0)),IF(AND($L$37=0,$P$34=0),"",$L$37-1),IF($R$17="Distrato",$E352,0))),0,YEARFRAC(MAX($P$34*($B352+IF($R$17="Distrato",$I$38-1,0)),IF(AND($L$37=0,$P$34=0),"",$L$37-1),IF($R$17="Distrato",$E352,0)),MIN(R$38,$D$19),$P$20))-SUM($P352:Q352)</f>
        <v>#VALUE!</v>
      </c>
      <c r="S352" s="446" t="e">
        <f>IF(OR($B352="",MIN(S$38,$D$19)&lt;MAX($P$34*($B352+IF($R$17="Distrato",$I$38-1,0)),IF(AND($L$37=0,$P$34=0),"",$L$37-1),IF($R$17="Distrato",$E352,0))),0,YEARFRAC(MAX($P$34*($B352+IF($R$17="Distrato",$I$38-1,0)),IF(AND($L$37=0,$P$34=0),"",$L$37-1),IF($R$17="Distrato",$E352,0)),MIN(S$38,$D$19),$P$20))-SUM($P352:R352)</f>
        <v>#VALUE!</v>
      </c>
      <c r="T352" s="446" t="e">
        <f>IF(OR($B352="",MIN(T$38,$D$19)&lt;MAX($P$34*($B352+IF($R$17="Distrato",$I$38-1,0)),IF(AND($L$37=0,$P$34=0),"",$L$37-1),IF($R$17="Distrato",$E352,0))),0,YEARFRAC(MAX($P$34*($B352+IF($R$17="Distrato",$I$38-1,0)),IF(AND($L$37=0,$P$34=0),"",$L$37-1),IF($R$17="Distrato",$E352,0)),MIN(T$38,$D$19),$P$20))-SUM($P352:S352)</f>
        <v>#VALUE!</v>
      </c>
      <c r="U352" s="446" t="e">
        <f>IF(OR($B352="",MIN(U$38,$D$19)&lt;MAX($P$34*($B352+IF($R$17="Distrato",$I$38-1,0)),IF(AND($L$37=0,$P$34=0),"",$L$37-1),IF($R$17="Distrato",$E352,0))),0,YEARFRAC(MAX($P$34*($B352+IF($R$17="Distrato",$I$38-1,0)),IF(AND($L$37=0,$P$34=0),"",$L$37-1),IF($R$17="Distrato",$E352,0)),MIN(U$38,$D$19),$P$20))-SUM($P352:T352)</f>
        <v>#VALUE!</v>
      </c>
      <c r="V352" s="446" t="e">
        <f>IF(OR($B352="",MIN(V$38,$D$19)&lt;MAX($P$34*($B352+IF($R$17="Distrato",$I$38-1,0)),IF(AND($L$37=0,$P$34=0),"",$L$37-1),IF($R$17="Distrato",$E352,0))),0,YEARFRAC(MAX($P$34*($B352+IF($R$17="Distrato",$I$38-1,0)),IF(AND($L$37=0,$P$34=0),"",$L$37-1),IF($R$17="Distrato",$E352,0)),MIN(V$38,$D$19),$P$20))-SUM($P352:U352)</f>
        <v>#VALUE!</v>
      </c>
      <c r="W352" s="446" t="e">
        <f>IF(OR($B352="",MIN(W$38,$D$19)&lt;MAX($P$34*($B352+IF($R$17="Distrato",$I$38-1,0)),IF(AND($L$37=0,$P$34=0),"",$L$37-1),IF($R$17="Distrato",$E352,0))),0,YEARFRAC(MAX($P$34*($B352+IF($R$17="Distrato",$I$38-1,0)),IF(AND($L$37=0,$P$34=0),"",$L$37-1),IF($R$17="Distrato",$E352,0)),MIN(W$38,$D$19),$P$20))-SUM($P352:V352)</f>
        <v>#VALUE!</v>
      </c>
      <c r="X352" s="446" t="e">
        <f>IF(OR($B352="",MIN(X$38,$D$19)&lt;MAX($P$34*($B352+IF($R$17="Distrato",$I$38-1,0)),IF(AND($L$37=0,$P$34=0),"",$L$37-1),IF($R$17="Distrato",$E352,0))),0,YEARFRAC(MAX($P$34*($B352+IF($R$17="Distrato",$I$38-1,0)),IF(AND($L$37=0,$P$34=0),"",$L$37-1),IF($R$17="Distrato",$E352,0)),MIN(X$38,$D$19),$P$20))-SUM($P352:W352)</f>
        <v>#VALUE!</v>
      </c>
      <c r="Y352" s="446" t="e">
        <f>IF(OR($B352="",MIN(Y$38,$D$19)&lt;MAX($P$34*($B352+IF($R$17="Distrato",$I$38-1,0)),IF(AND($L$37=0,$P$34=0),"",$L$37-1),IF($R$17="Distrato",$E352,0))),0,YEARFRAC(MAX($P$34*($B352+IF($R$17="Distrato",$I$38-1,0)),IF(AND($L$37=0,$P$34=0),"",$L$37-1),IF($R$17="Distrato",$E352,0)),MIN(Y$38,$D$19),$P$20))-SUM($P352:X352)</f>
        <v>#VALUE!</v>
      </c>
      <c r="Z352" s="446" t="e">
        <f>IF(OR($B352="",MIN(Z$38,$D$19)&lt;MAX($P$34*($B352+IF($R$17="Distrato",$I$38-1,0)),IF(AND($L$37=0,$P$34=0),"",$L$37-1),IF($R$17="Distrato",$E352,0))),0,YEARFRAC(MAX($P$34*($B352+IF($R$17="Distrato",$I$38-1,0)),IF(AND($L$37=0,$P$34=0),"",$L$37-1),IF($R$17="Distrato",$E352,0)),MIN(Z$38,$D$19),$P$20))-SUM($P352:Y352)</f>
        <v>#VALUE!</v>
      </c>
      <c r="AA352" s="446" t="e">
        <f>IF(OR($B352="",MIN(AA$38,$D$19)&lt;MAX($P$34*($B352+IF($R$17="Distrato",$I$38-1,0)),IF(AND($L$37=0,$P$34=0),"",$L$37-1),IF($R$17="Distrato",$E352,0))),0,YEARFRAC(MAX($P$34*($B352+IF($R$17="Distrato",$I$38-1,0)),IF(AND($L$37=0,$P$34=0),"",$L$37-1),IF($R$17="Distrato",$E352,0)),MIN(AA$38,$D$19),$P$20))-SUM($P352:Z352)</f>
        <v>#VALUE!</v>
      </c>
      <c r="AB352" s="446" t="e">
        <f>IF(OR($B352="",MIN(AB$38,$D$19)&lt;MAX($P$34*($B352+IF($R$17="Distrato",$I$38-1,0)),IF(AND($L$37=0,$P$34=0),"",$L$37-1),IF($R$17="Distrato",$E352,0))),0,YEARFRAC(MAX($P$34*($B352+IF($R$17="Distrato",$I$38-1,0)),IF(AND($L$37=0,$P$34=0),"",$L$37-1),IF($R$17="Distrato",$E352,0)),MIN(AB$38,$D$19),$P$20))-SUM($P352:AA352)</f>
        <v>#VALUE!</v>
      </c>
      <c r="AC352" s="446" t="e">
        <f>IF(OR($B352="",MIN(AC$38,$D$19)&lt;MAX($P$34*($B352+IF($R$17="Distrato",$I$38-1,0)),IF(AND($L$37=0,$P$34=0),"",$L$37-1),IF($R$17="Distrato",$E352,0))),0,YEARFRAC(MAX($P$34*($B352+IF($R$17="Distrato",$I$38-1,0)),IF(AND($L$37=0,$P$34=0),"",$L$37-1),IF($R$17="Distrato",$E352,0)),MIN(AC$38,$D$19),$P$20))-SUM($P352:AB352)</f>
        <v>#VALUE!</v>
      </c>
      <c r="AD352" s="446" t="e">
        <f>IF(OR($B352="",MIN(AD$38,$D$19)&lt;MAX($P$34*($B352+IF($R$17="Distrato",$I$38-1,0)),IF(AND($L$37=0,$P$34=0),"",$L$37-1),IF($R$17="Distrato",$E352,0))),0,YEARFRAC(MAX($P$34*($B352+IF($R$17="Distrato",$I$38-1,0)),IF(AND($L$37=0,$P$34=0),"",$L$37-1),IF($R$17="Distrato",$E352,0)),MIN(AD$38,$D$19),$P$20))-SUM($P352:AC352)</f>
        <v>#VALUE!</v>
      </c>
      <c r="AE352" s="446" t="e">
        <f>IF(OR($B352="",MIN(AE$38,$D$19)&lt;MAX($P$34*($B352+IF($R$17="Distrato",$I$38-1,0)),IF(AND($L$37=0,$P$34=0),"",$L$37-1),IF($R$17="Distrato",$E352,0))),0,YEARFRAC(MAX($P$34*($B352+IF($R$17="Distrato",$I$38-1,0)),IF(AND($L$37=0,$P$34=0),"",$L$37-1),IF($R$17="Distrato",$E352,0)),MIN(AE$38,$D$19),$P$20))-SUM($P352:AD352)</f>
        <v>#VALUE!</v>
      </c>
      <c r="AF352" s="446" t="e">
        <f>IF(OR($B352="",MIN(AF$38,$D$19)&lt;MAX($P$34*($B352+IF($R$17="Distrato",$I$38-1,0)),IF(AND($L$37=0,$P$34=0),"",$L$37-1),IF($R$17="Distrato",$E352,0))),0,YEARFRAC(MAX($P$34*($B352+IF($R$17="Distrato",$I$38-1,0)),IF(AND($L$37=0,$P$34=0),"",$L$37-1),IF($R$17="Distrato",$E352,0)),MIN(AF$38,$D$19),$P$20))-SUM($P352:AE352)</f>
        <v>#VALUE!</v>
      </c>
      <c r="AG352" s="446" t="e">
        <f>IF(OR($B352="",MIN(AG$38,$D$19)&lt;MAX($P$34*($B352+IF($R$17="Distrato",$I$38-1,0)),IF(AND($L$37=0,$P$34=0),"",$L$37-1),IF($R$17="Distrato",$E352,0))),0,YEARFRAC(MAX($P$34*($B352+IF($R$17="Distrato",$I$38-1,0)),IF(AND($L$37=0,$P$34=0),"",$L$37-1),IF($R$17="Distrato",$E352,0)),MIN(AG$38,$D$19),$P$20))-SUM($P352:AF352)</f>
        <v>#VALUE!</v>
      </c>
      <c r="AH352" s="446" t="e">
        <f>IF(OR($B352="",MIN(AH$38,$D$19)&lt;MAX($P$34*($B352+IF($R$17="Distrato",$I$38-1,0)),IF(AND($L$37=0,$P$34=0),"",$L$37-1),IF($R$17="Distrato",$E352,0))),0,YEARFRAC(MAX($P$34*($B352+IF($R$17="Distrato",$I$38-1,0)),IF(AND($L$37=0,$P$34=0),"",$L$37-1),IF($R$17="Distrato",$E352,0)),MIN(AH$38,$D$19),$P$20))-SUM($P352:AG352)</f>
        <v>#VALUE!</v>
      </c>
      <c r="AI352" s="446" t="e">
        <f>IF(OR($B352="",MIN(AI$38,$D$19)&lt;MAX($P$34*($B352+IF($R$17="Distrato",$I$38-1,0)),IF(AND($L$37=0,$P$34=0),"",$L$37-1),IF($R$17="Distrato",$E352,0))),0,YEARFRAC(MAX($P$34*($B352+IF($R$17="Distrato",$I$38-1,0)),IF(AND($L$37=0,$P$34=0),"",$L$37-1),IF($R$17="Distrato",$E352,0)),MIN(AI$38,$D$19),$P$20))-SUM($P352:AH352)</f>
        <v>#VALUE!</v>
      </c>
      <c r="AJ352" s="446" t="e">
        <f>IF(OR($B352="",MIN(AJ$38,$D$19)&lt;MAX($P$34*($B352+IF($R$17="Distrato",$I$38-1,0)),IF(AND($L$37=0,$P$34=0),"",$L$37-1),IF($R$17="Distrato",$E352,0))),0,YEARFRAC(MAX($P$34*($B352+IF($R$17="Distrato",$I$38-1,0)),IF(AND($L$37=0,$P$34=0),"",$L$37-1),IF($R$17="Distrato",$E352,0)),MIN(AJ$38,$D$19),$P$20))-SUM($P352:AI352)</f>
        <v>#VALUE!</v>
      </c>
      <c r="AK352" s="446" t="e">
        <f>IF(OR($B352="",MIN(AK$38,$D$19)&lt;MAX($P$34*($B352+IF($R$17="Distrato",$I$38-1,0)),IF(AND($L$37=0,$P$34=0),"",$L$37-1),IF($R$17="Distrato",$E352,0))),0,YEARFRAC(MAX($P$34*($B352+IF($R$17="Distrato",$I$38-1,0)),IF(AND($L$37=0,$P$34=0),"",$L$37-1),IF($R$17="Distrato",$E352,0)),MIN(AK$38,$D$19),$P$20))-SUM($P352:AJ352)</f>
        <v>#VALUE!</v>
      </c>
      <c r="AL352" s="446" t="e">
        <f>IF(OR($B352="",MIN(AL$38,$D$19)&lt;MAX($P$34*($B352+IF($R$17="Distrato",$I$38-1,0)),IF(AND($L$37=0,$P$34=0),"",$L$37-1),IF($R$17="Distrato",$E352,0))),0,YEARFRAC(MAX($P$34*($B352+IF($R$17="Distrato",$I$38-1,0)),IF(AND($L$37=0,$P$34=0),"",$L$37-1),IF($R$17="Distrato",$E352,0)),MIN(AL$38,$D$19),$P$20))-SUM($P352:AK352)</f>
        <v>#VALUE!</v>
      </c>
      <c r="AM352" s="446" t="e">
        <f>IF(OR($B352="",MIN(AM$38,$D$19)&lt;MAX($P$34*($B352+IF($R$17="Distrato",$I$38-1,0)),IF(AND($L$37=0,$P$34=0),"",$L$37-1),IF($R$17="Distrato",$E352,0))),0,YEARFRAC(MAX($P$34*($B352+IF($R$17="Distrato",$I$38-1,0)),IF(AND($L$37=0,$P$34=0),"",$L$37-1),IF($R$17="Distrato",$E352,0)),MIN(AM$38,$D$19),$P$20))-SUM($P352:AL352)</f>
        <v>#VALUE!</v>
      </c>
      <c r="AN352" s="446" t="e">
        <f>IF(OR($B352="",MIN(AN$38,$D$19)&lt;MAX($P$34*($B352+IF($R$17="Distrato",$I$38-1,0)),IF(AND($L$37=0,$P$34=0),"",$L$37-1),IF($R$17="Distrato",$E352,0))),0,YEARFRAC(MAX($P$34*($B352+IF($R$17="Distrato",$I$38-1,0)),IF(AND($L$37=0,$P$34=0),"",$L$37-1),IF($R$17="Distrato",$E352,0)),MIN(AN$38,$D$19),$P$20))-SUM($P352:AM352)</f>
        <v>#VALUE!</v>
      </c>
      <c r="AO352" s="446" t="e">
        <f>IF(OR($B352="",MIN(AO$38,$D$19)&lt;MAX($P$34*($B352+IF($R$17="Distrato",$I$38-1,0)),IF(AND($L$37=0,$P$34=0),"",$L$37-1),IF($R$17="Distrato",$E352,0))),0,YEARFRAC(MAX($P$34*($B352+IF($R$17="Distrato",$I$38-1,0)),IF(AND($L$37=0,$P$34=0),"",$L$37-1),IF($R$17="Distrato",$E352,0)),MIN(AO$38,$D$19),$P$20))-SUM($P352:AN352)</f>
        <v>#VALUE!</v>
      </c>
      <c r="AP352" s="446" t="e">
        <f>IF(OR($B352="",MIN(AP$38,$D$19)&lt;MAX($P$34*($B352+IF($R$17="Distrato",$I$38-1,0)),IF(AND($L$37=0,$P$34=0),"",$L$37-1),IF($R$17="Distrato",$E352,0))),0,YEARFRAC(MAX($P$34*($B352+IF($R$17="Distrato",$I$38-1,0)),IF(AND($L$37=0,$P$34=0),"",$L$37-1),IF($R$17="Distrato",$E352,0)),MIN(AP$38,$D$19),$P$20))-SUM($P352:AO352)</f>
        <v>#VALUE!</v>
      </c>
      <c r="AQ352" s="446" t="e">
        <f>IF(OR($B352="",MIN(AQ$38,$D$19)&lt;MAX($P$34*($B352+IF($R$17="Distrato",$I$38-1,0)),IF(AND($L$37=0,$P$34=0),"",$L$37-1),IF($R$17="Distrato",$E352,0))),0,YEARFRAC(MAX($P$34*($B352+IF($R$17="Distrato",$I$38-1,0)),IF(AND($L$37=0,$P$34=0),"",$L$37-1),IF($R$17="Distrato",$E352,0)),MIN(AQ$38,$D$19),$P$20))-SUM($P352:AP352)</f>
        <v>#VALUE!</v>
      </c>
      <c r="AR352" s="446" t="e">
        <f>IF(OR($B352="",MIN(AR$38,$D$19)&lt;MAX($P$34*($B352+IF($R$17="Distrato",$I$38-1,0)),IF(AND($L$37=0,$P$34=0),"",$L$37-1),IF($R$17="Distrato",$E352,0))),0,YEARFRAC(MAX($P$34*($B352+IF($R$17="Distrato",$I$38-1,0)),IF(AND($L$37=0,$P$34=0),"",$L$37-1),IF($R$17="Distrato",$E352,0)),MIN(AR$38,$D$19),$P$20))-SUM($P352:AQ352)</f>
        <v>#VALUE!</v>
      </c>
      <c r="AS352" s="446" t="e">
        <f>IF(OR($B352="",MIN(AS$38,$D$19)&lt;MAX($P$34*($B352+IF($R$17="Distrato",$I$38-1,0)),IF(AND($L$37=0,$P$34=0),"",$L$37-1),IF($R$17="Distrato",$E352,0))),0,YEARFRAC(MAX($P$34*($B352+IF($R$17="Distrato",$I$38-1,0)),IF(AND($L$37=0,$P$34=0),"",$L$37-1),IF($R$17="Distrato",$E352,0)),MIN(AS$38,$D$19),$P$20))-SUM($P352:AR352)</f>
        <v>#VALUE!</v>
      </c>
      <c r="AT352" s="446" t="e">
        <f>IF(OR($B352="",MIN(AT$38,$D$19)&lt;MAX($P$34*($B352+IF($R$17="Distrato",$I$38-1,0)),IF(AND($L$37=0,$P$34=0),"",$L$37-1),IF($R$17="Distrato",$E352,0))),0,YEARFRAC(MAX($P$34*($B352+IF($R$17="Distrato",$I$38-1,0)),IF(AND($L$37=0,$P$34=0),"",$L$37-1),IF($R$17="Distrato",$E352,0)),MIN(AT$38,$D$19),$P$20))-SUM($P352:AS352)</f>
        <v>#VALUE!</v>
      </c>
      <c r="AU352" s="446" t="e">
        <f>IF(OR($B352="",MIN(AU$38,$D$19)&lt;MAX($P$34*($B352+IF($R$17="Distrato",$I$38-1,0)),IF(AND($L$37=0,$P$34=0),"",$L$37-1),IF($R$17="Distrato",$E352,0))),0,YEARFRAC(MAX($P$34*($B352+IF($R$17="Distrato",$I$38-1,0)),IF(AND($L$37=0,$P$34=0),"",$L$37-1),IF($R$17="Distrato",$E352,0)),MIN(AU$38,$D$19),$P$20))-SUM($P352:AT352)</f>
        <v>#VALUE!</v>
      </c>
      <c r="AV352" s="446" t="e">
        <f>IF(OR($B352="",MIN(AV$38,$D$19)&lt;MAX($P$34*($B352+IF($R$17="Distrato",$I$38-1,0)),IF(AND($L$37=0,$P$34=0),"",$L$37-1),IF($R$17="Distrato",$E352,0))),0,YEARFRAC(MAX($P$34*($B352+IF($R$17="Distrato",$I$38-1,0)),IF(AND($L$37=0,$P$34=0),"",$L$37-1),IF($R$17="Distrato",$E352,0)),MIN(AV$38,$D$19),$P$20))-SUM($P352:AU352)</f>
        <v>#VALUE!</v>
      </c>
      <c r="AW352" s="446" t="e">
        <f>IF(OR($B352="",MIN(AW$38,$D$19)&lt;MAX($P$34*($B352+IF($R$17="Distrato",$I$38-1,0)),IF(AND($L$37=0,$P$34=0),"",$L$37-1),IF($R$17="Distrato",$E352,0))),0,YEARFRAC(MAX($P$34*($B352+IF($R$17="Distrato",$I$38-1,0)),IF(AND($L$37=0,$P$34=0),"",$L$37-1),IF($R$17="Distrato",$E352,0)),MIN(AW$38,$D$19),$P$20))-SUM($P352:AV352)</f>
        <v>#VALUE!</v>
      </c>
      <c r="AX352" s="446" t="e">
        <f>IF(OR($B352="",MIN(AX$38,$D$19)&lt;MAX($P$34*($B352+IF($R$17="Distrato",$I$38-1,0)),IF(AND($L$37=0,$P$34=0),"",$L$37-1),IF($R$17="Distrato",$E352,0))),0,YEARFRAC(MAX($P$34*($B352+IF($R$17="Distrato",$I$38-1,0)),IF(AND($L$37=0,$P$34=0),"",$L$37-1),IF($R$17="Distrato",$E352,0)),MIN(AX$38,$D$19),$P$20))-SUM($P352:AW352)</f>
        <v>#VALUE!</v>
      </c>
      <c r="AY352" s="446" t="e">
        <f>IF(OR($B352="",MIN(AY$38,$D$19)&lt;MAX($P$34*($B352+IF($R$17="Distrato",$I$38-1,0)),IF(AND($L$37=0,$P$34=0),"",$L$37-1),IF($R$17="Distrato",$E352,0))),0,YEARFRAC(MAX($P$34*($B352+IF($R$17="Distrato",$I$38-1,0)),IF(AND($L$37=0,$P$34=0),"",$L$37-1),IF($R$17="Distrato",$E352,0)),MIN(AY$38,$D$19),$P$20))-SUM($P352:AX352)</f>
        <v>#VALUE!</v>
      </c>
      <c r="AZ352" s="446" t="e">
        <f>IF(OR($B352="",MIN(AZ$38,$D$19)&lt;MAX($P$34*($B352+IF($R$17="Distrato",$I$38-1,0)),IF(AND($L$37=0,$P$34=0),"",$L$37-1),IF($R$17="Distrato",$E352,0))),0,YEARFRAC(MAX($P$34*($B352+IF($R$17="Distrato",$I$38-1,0)),IF(AND($L$37=0,$P$34=0),"",$L$37-1),IF($R$17="Distrato",$E352,0)),MIN(AZ$38,$D$19),$P$20))-SUM($P352:AY352)</f>
        <v>#VALUE!</v>
      </c>
      <c r="BA352" s="446" t="e">
        <f>IF(OR($B352="",MIN(BA$38,$D$19)&lt;MAX($P$34*($B352+IF($R$17="Distrato",$I$38-1,0)),IF(AND($L$37=0,$P$34=0),"",$L$37-1),IF($R$17="Distrato",$E352,0))),0,YEARFRAC(MAX($P$34*($B352+IF($R$17="Distrato",$I$38-1,0)),IF(AND($L$37=0,$P$34=0),"",$L$37-1),IF($R$17="Distrato",$E352,0)),MIN(BA$38,$D$19),$P$20))-SUM($P352:AZ352)</f>
        <v>#VALUE!</v>
      </c>
      <c r="BB352" s="447"/>
      <c r="BF352" s="446">
        <f t="shared" si="54"/>
        <v>0</v>
      </c>
      <c r="BG352" s="446">
        <f>IF($E352=0,0,IF(MIN(BG$38,$E352)&lt;MAX($P$34*($B352+$I$38-1),IF(AND($L$37=0,$P$34=0),"",$L$37-1)),0,YEARFRAC(MAX($P$34*($B352+$I$38-1),IF(AND($L$37=0,$P$34=0),"",$L$37-1)),MIN(BG$38,$E352),$P$20))-SUM($BF352:BF352))</f>
        <v>0</v>
      </c>
      <c r="BH352" s="446">
        <f>IF($E352=0,0,IF(MIN(BH$38,$E352)&lt;MAX($P$34*($B352+$I$38-1),IF(AND($L$37=0,$P$34=0),"",$L$37-1)),0,YEARFRAC(MAX($P$34*($B352+$I$38-1),IF(AND($L$37=0,$P$34=0),"",$L$37-1)),MIN(BH$38,$E352),$P$20))-SUM($BF352:BG352))</f>
        <v>0</v>
      </c>
      <c r="BI352" s="446">
        <f>IF($E352=0,0,IF(MIN(BI$38,$E352)&lt;MAX($P$34*($B352+$I$38-1),IF(AND($L$37=0,$P$34=0),"",$L$37-1)),0,YEARFRAC(MAX($P$34*($B352+$I$38-1),IF(AND($L$37=0,$P$34=0),"",$L$37-1)),MIN(BI$38,$E352),$P$20))-SUM($BF352:BH352))</f>
        <v>0</v>
      </c>
      <c r="BJ352" s="446">
        <f>IF($E352=0,0,IF(MIN(BJ$38,$E352)&lt;MAX($P$34*($B352+$I$38-1),IF(AND($L$37=0,$P$34=0),"",$L$37-1)),0,YEARFRAC(MAX($P$34*($B352+$I$38-1),IF(AND($L$37=0,$P$34=0),"",$L$37-1)),MIN(BJ$38,$E352),$P$20))-SUM($BF352:BI352))</f>
        <v>0</v>
      </c>
      <c r="BK352" s="446">
        <f>IF($E352=0,0,IF(MIN(BK$38,$E352)&lt;MAX($P$34*($B352+$I$38-1),IF(AND($L$37=0,$P$34=0),"",$L$37-1)),0,YEARFRAC(MAX($P$34*($B352+$I$38-1),IF(AND($L$37=0,$P$34=0),"",$L$37-1)),MIN(BK$38,$E352),$P$20))-SUM($BF352:BJ352))</f>
        <v>0</v>
      </c>
      <c r="BL352" s="446">
        <f>IF($E352=0,0,IF(MIN(BL$38,$E352)&lt;MAX($P$34*($B352+$I$38-1),IF(AND($L$37=0,$P$34=0),"",$L$37-1)),0,YEARFRAC(MAX($P$34*($B352+$I$38-1),IF(AND($L$37=0,$P$34=0),"",$L$37-1)),MIN(BL$38,$E352),$P$20))-SUM($BF352:BK352))</f>
        <v>0</v>
      </c>
      <c r="BM352" s="446">
        <f>IF($E352=0,0,IF(MIN(BM$38,$E352)&lt;MAX($P$34*($B352+$I$38-1),IF(AND($L$37=0,$P$34=0),"",$L$37-1)),0,YEARFRAC(MAX($P$34*($B352+$I$38-1),IF(AND($L$37=0,$P$34=0),"",$L$37-1)),MIN(BM$38,$E352),$P$20))-SUM($BF352:BL352))</f>
        <v>0</v>
      </c>
      <c r="BN352" s="446">
        <f>IF($E352=0,0,IF(MIN(BN$38,$E352)&lt;MAX($P$34*($B352+$I$38-1),IF(AND($L$37=0,$P$34=0),"",$L$37-1)),0,YEARFRAC(MAX($P$34*($B352+$I$38-1),IF(AND($L$37=0,$P$34=0),"",$L$37-1)),MIN(BN$38,$E352),$P$20))-SUM($BF352:BM352))</f>
        <v>0</v>
      </c>
      <c r="BO352" s="446">
        <f>IF($E352=0,0,IF(MIN(BO$38,$E352)&lt;MAX($P$34*($B352+$I$38-1),IF(AND($L$37=0,$P$34=0),"",$L$37-1)),0,YEARFRAC(MAX($P$34*($B352+$I$38-1),IF(AND($L$37=0,$P$34=0),"",$L$37-1)),MIN(BO$38,$E352),$P$20))-SUM($BF352:BN352))</f>
        <v>0</v>
      </c>
      <c r="BP352" s="446">
        <f>IF($E352=0,0,IF(MIN(BP$38,$E352)&lt;MAX($P$34*($B352+$I$38-1),IF(AND($L$37=0,$P$34=0),"",$L$37-1)),0,YEARFRAC(MAX($P$34*($B352+$I$38-1),IF(AND($L$37=0,$P$34=0),"",$L$37-1)),MIN(BP$38,$E352),$P$20))-SUM($BF352:BO352))</f>
        <v>0</v>
      </c>
      <c r="BQ352" s="446">
        <f>IF($E352=0,0,IF(MIN(BQ$38,$E352)&lt;MAX($P$34*($B352+$I$38-1),IF(AND($L$37=0,$P$34=0),"",$L$37-1)),0,YEARFRAC(MAX($P$34*($B352+$I$38-1),IF(AND($L$37=0,$P$34=0),"",$L$37-1)),MIN(BQ$38,$E352),$P$20))-SUM($BF352:BP352))</f>
        <v>0</v>
      </c>
      <c r="BR352" s="446">
        <f>IF($E352=0,0,IF(MIN(BR$38,$E352)&lt;MAX($P$34*($B352+$I$38-1),IF(AND($L$37=0,$P$34=0),"",$L$37-1)),0,YEARFRAC(MAX($P$34*($B352+$I$38-1),IF(AND($L$37=0,$P$34=0),"",$L$37-1)),MIN(BR$38,$E352),$P$20))-SUM($BF352:BQ352))</f>
        <v>0</v>
      </c>
      <c r="BS352" s="446">
        <f>IF($E352=0,0,IF(MIN(BS$38,$E352)&lt;MAX($P$34*($B352+$I$38-1),IF(AND($L$37=0,$P$34=0),"",$L$37-1)),0,YEARFRAC(MAX($P$34*($B352+$I$38-1),IF(AND($L$37=0,$P$34=0),"",$L$37-1)),MIN(BS$38,$E352),$P$20))-SUM($BF352:BR352))</f>
        <v>0</v>
      </c>
      <c r="BT352" s="446">
        <f>IF($E352=0,0,IF(MIN(BT$38,$E352)&lt;MAX($P$34*($B352+$I$38-1),IF(AND($L$37=0,$P$34=0),"",$L$37-1)),0,YEARFRAC(MAX($P$34*($B352+$I$38-1),IF(AND($L$37=0,$P$34=0),"",$L$37-1)),MIN(BT$38,$E352),$P$20))-SUM($BF352:BS352))</f>
        <v>0</v>
      </c>
      <c r="BU352" s="446">
        <f>IF($E352=0,0,IF(MIN(BU$38,$E352)&lt;MAX($P$34*($B352+$I$38-1),IF(AND($L$37=0,$P$34=0),"",$L$37-1)),0,YEARFRAC(MAX($P$34*($B352+$I$38-1),IF(AND($L$37=0,$P$34=0),"",$L$37-1)),MIN(BU$38,$E352),$P$20))-SUM($BF352:BT352))</f>
        <v>0</v>
      </c>
      <c r="BV352" s="446">
        <f>IF($E352=0,0,IF(MIN(BV$38,$E352)&lt;MAX($P$34*($B352+$I$38-1),IF(AND($L$37=0,$P$34=0),"",$L$37-1)),0,YEARFRAC(MAX($P$34*($B352+$I$38-1),IF(AND($L$37=0,$P$34=0),"",$L$37-1)),MIN(BV$38,$E352),$P$20))-SUM($BF352:BU352))</f>
        <v>0</v>
      </c>
      <c r="BW352" s="446">
        <f>IF($E352=0,0,IF(MIN(BW$38,$E352)&lt;MAX($P$34*($B352+$I$38-1),IF(AND($L$37=0,$P$34=0),"",$L$37-1)),0,YEARFRAC(MAX($P$34*($B352+$I$38-1),IF(AND($L$37=0,$P$34=0),"",$L$37-1)),MIN(BW$38,$E352),$P$20))-SUM($BF352:BV352))</f>
        <v>0</v>
      </c>
      <c r="BX352" s="446">
        <f>IF($E352=0,0,IF(MIN(BX$38,$E352)&lt;MAX($P$34*($B352+$I$38-1),IF(AND($L$37=0,$P$34=0),"",$L$37-1)),0,YEARFRAC(MAX($P$34*($B352+$I$38-1),IF(AND($L$37=0,$P$34=0),"",$L$37-1)),MIN(BX$38,$E352),$P$20))-SUM($BF352:BW352))</f>
        <v>0</v>
      </c>
      <c r="BY352" s="446">
        <f>IF($E352=0,0,IF(MIN(BY$38,$E352)&lt;MAX($P$34*($B352+$I$38-1),IF(AND($L$37=0,$P$34=0),"",$L$37-1)),0,YEARFRAC(MAX($P$34*($B352+$I$38-1),IF(AND($L$37=0,$P$34=0),"",$L$37-1)),MIN(BY$38,$E352),$P$20))-SUM($BF352:BX352))</f>
        <v>0</v>
      </c>
      <c r="BZ352" s="446">
        <f>IF($E352=0,0,IF(MIN(BZ$38,$E352)&lt;MAX($P$34*($B352+$I$38-1),IF(AND($L$37=0,$P$34=0),"",$L$37-1)),0,YEARFRAC(MAX($P$34*($B352+$I$38-1),IF(AND($L$37=0,$P$34=0),"",$L$37-1)),MIN(BZ$38,$E352),$P$20))-SUM($BF352:BY352))</f>
        <v>0</v>
      </c>
      <c r="CA352" s="446">
        <f>IF($E352=0,0,IF(MIN(CA$38,$E352)&lt;MAX($P$34*($B352+$I$38-1),IF(AND($L$37=0,$P$34=0),"",$L$37-1)),0,YEARFRAC(MAX($P$34*($B352+$I$38-1),IF(AND($L$37=0,$P$34=0),"",$L$37-1)),MIN(CA$38,$E352),$P$20))-SUM($BF352:BZ352))</f>
        <v>0</v>
      </c>
      <c r="CB352" s="446">
        <f>IF($E352=0,0,IF(MIN(CB$38,$E352)&lt;MAX($P$34*($B352+$I$38-1),IF(AND($L$37=0,$P$34=0),"",$L$37-1)),0,YEARFRAC(MAX($P$34*($B352+$I$38-1),IF(AND($L$37=0,$P$34=0),"",$L$37-1)),MIN(CB$38,$E352),$P$20))-SUM($BF352:CA352))</f>
        <v>0</v>
      </c>
      <c r="CC352" s="446">
        <f>IF($E352=0,0,IF(MIN(CC$38,$E352)&lt;MAX($P$34*($B352+$I$38-1),IF(AND($L$37=0,$P$34=0),"",$L$37-1)),0,YEARFRAC(MAX($P$34*($B352+$I$38-1),IF(AND($L$37=0,$P$34=0),"",$L$37-1)),MIN(CC$38,$E352),$P$20))-SUM($BF352:CB352))</f>
        <v>0</v>
      </c>
      <c r="CD352" s="446">
        <f>IF($E352=0,0,IF(MIN(CD$38,$E352)&lt;MAX($P$34*($B352+$I$38-1),IF(AND($L$37=0,$P$34=0),"",$L$37-1)),0,YEARFRAC(MAX($P$34*($B352+$I$38-1),IF(AND($L$37=0,$P$34=0),"",$L$37-1)),MIN(CD$38,$E352),$P$20))-SUM($BF352:CC352))</f>
        <v>0</v>
      </c>
      <c r="CE352" s="446">
        <f>IF($E352=0,0,IF(MIN(CE$38,$E352)&lt;MAX($P$34*($B352+$I$38-1),IF(AND($L$37=0,$P$34=0),"",$L$37-1)),0,YEARFRAC(MAX($P$34*($B352+$I$38-1),IF(AND($L$37=0,$P$34=0),"",$L$37-1)),MIN(CE$38,$E352),$P$20))-SUM($BF352:CD352))</f>
        <v>0</v>
      </c>
      <c r="CF352" s="446">
        <f>IF($E352=0,0,IF(MIN(CF$38,$E352)&lt;MAX($P$34*($B352+$I$38-1),IF(AND($L$37=0,$P$34=0),"",$L$37-1)),0,YEARFRAC(MAX($P$34*($B352+$I$38-1),IF(AND($L$37=0,$P$34=0),"",$L$37-1)),MIN(CF$38,$E352),$P$20))-SUM($BF352:CE352))</f>
        <v>0</v>
      </c>
      <c r="CG352" s="446">
        <f>IF($E352=0,0,IF(MIN(CG$38,$E352)&lt;MAX($P$34*($B352+$I$38-1),IF(AND($L$37=0,$P$34=0),"",$L$37-1)),0,YEARFRAC(MAX($P$34*($B352+$I$38-1),IF(AND($L$37=0,$P$34=0),"",$L$37-1)),MIN(CG$38,$E352),$P$20))-SUM($BF352:CF352))</f>
        <v>0</v>
      </c>
      <c r="CH352" s="446">
        <f>IF($E352=0,0,IF(MIN(CH$38,$E352)&lt;MAX($P$34*($B352+$I$38-1),IF(AND($L$37=0,$P$34=0),"",$L$37-1)),0,YEARFRAC(MAX($P$34*($B352+$I$38-1),IF(AND($L$37=0,$P$34=0),"",$L$37-1)),MIN(CH$38,$E352),$P$20))-SUM($BF352:CG352))</f>
        <v>0</v>
      </c>
      <c r="CI352" s="446">
        <f>IF($E352=0,0,IF(MIN(CI$38,$E352)&lt;MAX($P$34*($B352+$I$38-1),IF(AND($L$37=0,$P$34=0),"",$L$37-1)),0,YEARFRAC(MAX($P$34*($B352+$I$38-1),IF(AND($L$37=0,$P$34=0),"",$L$37-1)),MIN(CI$38,$E352),$P$20))-SUM($BF352:CH352))</f>
        <v>0</v>
      </c>
      <c r="CJ352" s="446">
        <f>IF($E352=0,0,IF(MIN(CJ$38,$E352)&lt;MAX($P$34*($B352+$I$38-1),IF(AND($L$37=0,$P$34=0),"",$L$37-1)),0,YEARFRAC(MAX($P$34*($B352+$I$38-1),IF(AND($L$37=0,$P$34=0),"",$L$37-1)),MIN(CJ$38,$E352),$P$20))-SUM($BF352:CI352))</f>
        <v>0</v>
      </c>
      <c r="CK352" s="446">
        <f>IF($E352=0,0,IF(MIN(CK$38,$E352)&lt;MAX($P$34*($B352+$I$38-1),IF(AND($L$37=0,$P$34=0),"",$L$37-1)),0,YEARFRAC(MAX($P$34*($B352+$I$38-1),IF(AND($L$37=0,$P$34=0),"",$L$37-1)),MIN(CK$38,$E352),$P$20))-SUM($BF352:CJ352))</f>
        <v>0</v>
      </c>
      <c r="CL352" s="446">
        <f>IF($E352=0,0,IF(MIN(CL$38,$E352)&lt;MAX($P$34*($B352+$I$38-1),IF(AND($L$37=0,$P$34=0),"",$L$37-1)),0,YEARFRAC(MAX($P$34*($B352+$I$38-1),IF(AND($L$37=0,$P$34=0),"",$L$37-1)),MIN(CL$38,$E352),$P$20))-SUM($BF352:CK352))</f>
        <v>0</v>
      </c>
      <c r="CM352" s="446">
        <f>IF($E352=0,0,IF(MIN(CM$38,$E352)&lt;MAX($P$34*($B352+$I$38-1),IF(AND($L$37=0,$P$34=0),"",$L$37-1)),0,YEARFRAC(MAX($P$34*($B352+$I$38-1),IF(AND($L$37=0,$P$34=0),"",$L$37-1)),MIN(CM$38,$E352),$P$20))-SUM($BF352:CL352))</f>
        <v>0</v>
      </c>
      <c r="CN352" s="446">
        <f>IF($E352=0,0,IF(MIN(CN$38,$E352)&lt;MAX($P$34*($B352+$I$38-1),IF(AND($L$37=0,$P$34=0),"",$L$37-1)),0,YEARFRAC(MAX($P$34*($B352+$I$38-1),IF(AND($L$37=0,$P$34=0),"",$L$37-1)),MIN(CN$38,$E352),$P$20))-SUM($BF352:CM352))</f>
        <v>0</v>
      </c>
      <c r="CO352" s="446">
        <f>IF($E352=0,0,IF(MIN(CO$38,$E352)&lt;MAX($P$34*($B352+$I$38-1),IF(AND($L$37=0,$P$34=0),"",$L$37-1)),0,YEARFRAC(MAX($P$34*($B352+$I$38-1),IF(AND($L$37=0,$P$34=0),"",$L$37-1)),MIN(CO$38,$E352),$P$20))-SUM($BF352:CN352))</f>
        <v>0</v>
      </c>
      <c r="CP352" s="446">
        <f>IF($E352=0,0,IF(MIN(CP$38,$E352)&lt;MAX($P$34*($B352+$I$38-1),IF(AND($L$37=0,$P$34=0),"",$L$37-1)),0,YEARFRAC(MAX($P$34*($B352+$I$38-1),IF(AND($L$37=0,$P$34=0),"",$L$37-1)),MIN(CP$38,$E352),$P$20))-SUM($BF352:CO352))</f>
        <v>0</v>
      </c>
      <c r="CQ352" s="446">
        <f>IF($E352=0,0,IF(MIN(CQ$38,$E352)&lt;MAX($P$34*($B352+$I$38-1),IF(AND($L$37=0,$P$34=0),"",$L$37-1)),0,YEARFRAC(MAX($P$34*($B352+$I$38-1),IF(AND($L$37=0,$P$34=0),"",$L$37-1)),MIN(CQ$38,$E352),$P$20))-SUM($BF352:CP352))</f>
        <v>0</v>
      </c>
    </row>
    <row r="353" spans="1:95" s="446" customFormat="1" ht="11.25" hidden="1" customHeight="1" x14ac:dyDescent="0.2">
      <c r="A353" s="152"/>
      <c r="B353" s="153" t="str">
        <f t="shared" si="59"/>
        <v/>
      </c>
      <c r="C353" s="29" t="str">
        <f>IF(B353="","",IF($L$35="SELIC - TRIBUTOS",VLOOKUP(DATE(YEAR($D$19),MONTH($D$19)-1,1),ÍNDICES!$A:$DE,HLOOKUP($BL$25,ÍNDICES!$B$3:$T$4,2)+11)-VLOOKUP(B353,ÍNDICES!$A:$DE,HLOOKUP($BL$25,ÍNDICES!$B$3:$T$4,2)+11)+1%,IF(C$38=$W$26,$J$35,IF(ISERROR(IF(B353&gt;$D$19,1,VLOOKUP(DATE(YEAR(B353),MONTH(B353)+IF($C$35=$S$23,1,0),1),ÍNDICES!$A:$DE,$Z$35+1))),"",IF(B353&gt;$D$19,1,VLOOKUP(DATE(YEAR(B353),MONTH(B353)+IF($C$35=$S$23,1,0),1),ÍNDICES!$A:$DE,$Z$35+1))))))</f>
        <v/>
      </c>
      <c r="D353" s="154" t="str">
        <f>IF(ISERROR(IF(OR($D$38=$Y$27,$B353=""),"",VLOOKUP(B353,ÍNDICES!A:DE,AF$35+1))),"",IF(OR($D$38=$Y$27,$B353=""),"",VLOOKUP(B353,ÍNDICES!A:DE,AF$35+1)))</f>
        <v/>
      </c>
      <c r="E353" s="153"/>
      <c r="F353" s="29" t="str">
        <f>IF(E353="","",IF($L$35="SELIC - TRIBUTOS",VLOOKUP(DATE(YEAR($D$19),MONTH($D$19)-1,1),ÍNDICES!$A:$DE,HLOOKUP($BL$25,ÍNDICES!$B$3:$T$4,2)+11)-VLOOKUP(E353,ÍNDICES!$A:$DE,HLOOKUP($BL$25,ÍNDICES!$B$3:$T$4,2)+11)+1%,IF(F$38=$W$26,$J$35,IF(ISERROR(IF(E353&gt;$D$19,1,VLOOKUP(DATE(YEAR(E353),MONTH(E353)+IF($C$35=$S$23,1,0),1),ÍNDICES!$A:$DE,$Z$35+1))),"",IF(E353&gt;$D$19,1,VLOOKUP(DATE(YEAR(E353),MONTH(E353)+IF($C$35=$S$23,1,0),1),ÍNDICES!$A:$DE,$Z$35+1))))))</f>
        <v/>
      </c>
      <c r="G353" s="155"/>
      <c r="H353" s="156" t="str">
        <f t="shared" si="55"/>
        <v/>
      </c>
      <c r="I353" s="29" t="str">
        <f t="shared" si="49"/>
        <v/>
      </c>
      <c r="J353" s="5">
        <f t="shared" si="50"/>
        <v>0</v>
      </c>
      <c r="K353" s="20">
        <f t="shared" ca="1" si="51"/>
        <v>0</v>
      </c>
      <c r="L353" s="5">
        <f t="shared" ca="1" si="52"/>
        <v>0</v>
      </c>
      <c r="M353" s="64">
        <f t="shared" si="56"/>
        <v>0</v>
      </c>
      <c r="N353" s="61">
        <f t="shared" ca="1" si="57"/>
        <v>0</v>
      </c>
      <c r="O353" s="5">
        <f t="shared" ca="1" si="58"/>
        <v>0</v>
      </c>
      <c r="P353" s="446" t="e">
        <f t="shared" si="53"/>
        <v>#VALUE!</v>
      </c>
      <c r="Q353" s="446" t="e">
        <f>IF(OR($B353="",MIN(Q$38,$D$19)&lt;MAX($P$34*($B353+IF($R$17="Distrato",$I$38-1,0)),IF(AND($L$37=0,$P$34=0),"",$L$37-1),IF($R$17="Distrato",$E353,0))),0,YEARFRAC(MAX($P$34*($B353+IF($R$17="Distrato",$I$38-1,0)),IF(AND($L$37=0,$P$34=0),"",$L$37-1),IF($R$17="Distrato",$E353,0)),MIN(Q$38,$D$19),$P$20))-SUM($P353:P353)</f>
        <v>#VALUE!</v>
      </c>
      <c r="R353" s="446" t="e">
        <f>IF(OR($B353="",MIN(R$38,$D$19)&lt;MAX($P$34*($B353+IF($R$17="Distrato",$I$38-1,0)),IF(AND($L$37=0,$P$34=0),"",$L$37-1),IF($R$17="Distrato",$E353,0))),0,YEARFRAC(MAX($P$34*($B353+IF($R$17="Distrato",$I$38-1,0)),IF(AND($L$37=0,$P$34=0),"",$L$37-1),IF($R$17="Distrato",$E353,0)),MIN(R$38,$D$19),$P$20))-SUM($P353:Q353)</f>
        <v>#VALUE!</v>
      </c>
      <c r="S353" s="446" t="e">
        <f>IF(OR($B353="",MIN(S$38,$D$19)&lt;MAX($P$34*($B353+IF($R$17="Distrato",$I$38-1,0)),IF(AND($L$37=0,$P$34=0),"",$L$37-1),IF($R$17="Distrato",$E353,0))),0,YEARFRAC(MAX($P$34*($B353+IF($R$17="Distrato",$I$38-1,0)),IF(AND($L$37=0,$P$34=0),"",$L$37-1),IF($R$17="Distrato",$E353,0)),MIN(S$38,$D$19),$P$20))-SUM($P353:R353)</f>
        <v>#VALUE!</v>
      </c>
      <c r="T353" s="446" t="e">
        <f>IF(OR($B353="",MIN(T$38,$D$19)&lt;MAX($P$34*($B353+IF($R$17="Distrato",$I$38-1,0)),IF(AND($L$37=0,$P$34=0),"",$L$37-1),IF($R$17="Distrato",$E353,0))),0,YEARFRAC(MAX($P$34*($B353+IF($R$17="Distrato",$I$38-1,0)),IF(AND($L$37=0,$P$34=0),"",$L$37-1),IF($R$17="Distrato",$E353,0)),MIN(T$38,$D$19),$P$20))-SUM($P353:S353)</f>
        <v>#VALUE!</v>
      </c>
      <c r="U353" s="446" t="e">
        <f>IF(OR($B353="",MIN(U$38,$D$19)&lt;MAX($P$34*($B353+IF($R$17="Distrato",$I$38-1,0)),IF(AND($L$37=0,$P$34=0),"",$L$37-1),IF($R$17="Distrato",$E353,0))),0,YEARFRAC(MAX($P$34*($B353+IF($R$17="Distrato",$I$38-1,0)),IF(AND($L$37=0,$P$34=0),"",$L$37-1),IF($R$17="Distrato",$E353,0)),MIN(U$38,$D$19),$P$20))-SUM($P353:T353)</f>
        <v>#VALUE!</v>
      </c>
      <c r="V353" s="446" t="e">
        <f>IF(OR($B353="",MIN(V$38,$D$19)&lt;MAX($P$34*($B353+IF($R$17="Distrato",$I$38-1,0)),IF(AND($L$37=0,$P$34=0),"",$L$37-1),IF($R$17="Distrato",$E353,0))),0,YEARFRAC(MAX($P$34*($B353+IF($R$17="Distrato",$I$38-1,0)),IF(AND($L$37=0,$P$34=0),"",$L$37-1),IF($R$17="Distrato",$E353,0)),MIN(V$38,$D$19),$P$20))-SUM($P353:U353)</f>
        <v>#VALUE!</v>
      </c>
      <c r="W353" s="446" t="e">
        <f>IF(OR($B353="",MIN(W$38,$D$19)&lt;MAX($P$34*($B353+IF($R$17="Distrato",$I$38-1,0)),IF(AND($L$37=0,$P$34=0),"",$L$37-1),IF($R$17="Distrato",$E353,0))),0,YEARFRAC(MAX($P$34*($B353+IF($R$17="Distrato",$I$38-1,0)),IF(AND($L$37=0,$P$34=0),"",$L$37-1),IF($R$17="Distrato",$E353,0)),MIN(W$38,$D$19),$P$20))-SUM($P353:V353)</f>
        <v>#VALUE!</v>
      </c>
      <c r="X353" s="446" t="e">
        <f>IF(OR($B353="",MIN(X$38,$D$19)&lt;MAX($P$34*($B353+IF($R$17="Distrato",$I$38-1,0)),IF(AND($L$37=0,$P$34=0),"",$L$37-1),IF($R$17="Distrato",$E353,0))),0,YEARFRAC(MAX($P$34*($B353+IF($R$17="Distrato",$I$38-1,0)),IF(AND($L$37=0,$P$34=0),"",$L$37-1),IF($R$17="Distrato",$E353,0)),MIN(X$38,$D$19),$P$20))-SUM($P353:W353)</f>
        <v>#VALUE!</v>
      </c>
      <c r="Y353" s="446" t="e">
        <f>IF(OR($B353="",MIN(Y$38,$D$19)&lt;MAX($P$34*($B353+IF($R$17="Distrato",$I$38-1,0)),IF(AND($L$37=0,$P$34=0),"",$L$37-1),IF($R$17="Distrato",$E353,0))),0,YEARFRAC(MAX($P$34*($B353+IF($R$17="Distrato",$I$38-1,0)),IF(AND($L$37=0,$P$34=0),"",$L$37-1),IF($R$17="Distrato",$E353,0)),MIN(Y$38,$D$19),$P$20))-SUM($P353:X353)</f>
        <v>#VALUE!</v>
      </c>
      <c r="Z353" s="446" t="e">
        <f>IF(OR($B353="",MIN(Z$38,$D$19)&lt;MAX($P$34*($B353+IF($R$17="Distrato",$I$38-1,0)),IF(AND($L$37=0,$P$34=0),"",$L$37-1),IF($R$17="Distrato",$E353,0))),0,YEARFRAC(MAX($P$34*($B353+IF($R$17="Distrato",$I$38-1,0)),IF(AND($L$37=0,$P$34=0),"",$L$37-1),IF($R$17="Distrato",$E353,0)),MIN(Z$38,$D$19),$P$20))-SUM($P353:Y353)</f>
        <v>#VALUE!</v>
      </c>
      <c r="AA353" s="446" t="e">
        <f>IF(OR($B353="",MIN(AA$38,$D$19)&lt;MAX($P$34*($B353+IF($R$17="Distrato",$I$38-1,0)),IF(AND($L$37=0,$P$34=0),"",$L$37-1),IF($R$17="Distrato",$E353,0))),0,YEARFRAC(MAX($P$34*($B353+IF($R$17="Distrato",$I$38-1,0)),IF(AND($L$37=0,$P$34=0),"",$L$37-1),IF($R$17="Distrato",$E353,0)),MIN(AA$38,$D$19),$P$20))-SUM($P353:Z353)</f>
        <v>#VALUE!</v>
      </c>
      <c r="AB353" s="446" t="e">
        <f>IF(OR($B353="",MIN(AB$38,$D$19)&lt;MAX($P$34*($B353+IF($R$17="Distrato",$I$38-1,0)),IF(AND($L$37=0,$P$34=0),"",$L$37-1),IF($R$17="Distrato",$E353,0))),0,YEARFRAC(MAX($P$34*($B353+IF($R$17="Distrato",$I$38-1,0)),IF(AND($L$37=0,$P$34=0),"",$L$37-1),IF($R$17="Distrato",$E353,0)),MIN(AB$38,$D$19),$P$20))-SUM($P353:AA353)</f>
        <v>#VALUE!</v>
      </c>
      <c r="AC353" s="446" t="e">
        <f>IF(OR($B353="",MIN(AC$38,$D$19)&lt;MAX($P$34*($B353+IF($R$17="Distrato",$I$38-1,0)),IF(AND($L$37=0,$P$34=0),"",$L$37-1),IF($R$17="Distrato",$E353,0))),0,YEARFRAC(MAX($P$34*($B353+IF($R$17="Distrato",$I$38-1,0)),IF(AND($L$37=0,$P$34=0),"",$L$37-1),IF($R$17="Distrato",$E353,0)),MIN(AC$38,$D$19),$P$20))-SUM($P353:AB353)</f>
        <v>#VALUE!</v>
      </c>
      <c r="AD353" s="446" t="e">
        <f>IF(OR($B353="",MIN(AD$38,$D$19)&lt;MAX($P$34*($B353+IF($R$17="Distrato",$I$38-1,0)),IF(AND($L$37=0,$P$34=0),"",$L$37-1),IF($R$17="Distrato",$E353,0))),0,YEARFRAC(MAX($P$34*($B353+IF($R$17="Distrato",$I$38-1,0)),IF(AND($L$37=0,$P$34=0),"",$L$37-1),IF($R$17="Distrato",$E353,0)),MIN(AD$38,$D$19),$P$20))-SUM($P353:AC353)</f>
        <v>#VALUE!</v>
      </c>
      <c r="AE353" s="446" t="e">
        <f>IF(OR($B353="",MIN(AE$38,$D$19)&lt;MAX($P$34*($B353+IF($R$17="Distrato",$I$38-1,0)),IF(AND($L$37=0,$P$34=0),"",$L$37-1),IF($R$17="Distrato",$E353,0))),0,YEARFRAC(MAX($P$34*($B353+IF($R$17="Distrato",$I$38-1,0)),IF(AND($L$37=0,$P$34=0),"",$L$37-1),IF($R$17="Distrato",$E353,0)),MIN(AE$38,$D$19),$P$20))-SUM($P353:AD353)</f>
        <v>#VALUE!</v>
      </c>
      <c r="AF353" s="446" t="e">
        <f>IF(OR($B353="",MIN(AF$38,$D$19)&lt;MAX($P$34*($B353+IF($R$17="Distrato",$I$38-1,0)),IF(AND($L$37=0,$P$34=0),"",$L$37-1),IF($R$17="Distrato",$E353,0))),0,YEARFRAC(MAX($P$34*($B353+IF($R$17="Distrato",$I$38-1,0)),IF(AND($L$37=0,$P$34=0),"",$L$37-1),IF($R$17="Distrato",$E353,0)),MIN(AF$38,$D$19),$P$20))-SUM($P353:AE353)</f>
        <v>#VALUE!</v>
      </c>
      <c r="AG353" s="446" t="e">
        <f>IF(OR($B353="",MIN(AG$38,$D$19)&lt;MAX($P$34*($B353+IF($R$17="Distrato",$I$38-1,0)),IF(AND($L$37=0,$P$34=0),"",$L$37-1),IF($R$17="Distrato",$E353,0))),0,YEARFRAC(MAX($P$34*($B353+IF($R$17="Distrato",$I$38-1,0)),IF(AND($L$37=0,$P$34=0),"",$L$37-1),IF($R$17="Distrato",$E353,0)),MIN(AG$38,$D$19),$P$20))-SUM($P353:AF353)</f>
        <v>#VALUE!</v>
      </c>
      <c r="AH353" s="446" t="e">
        <f>IF(OR($B353="",MIN(AH$38,$D$19)&lt;MAX($P$34*($B353+IF($R$17="Distrato",$I$38-1,0)),IF(AND($L$37=0,$P$34=0),"",$L$37-1),IF($R$17="Distrato",$E353,0))),0,YEARFRAC(MAX($P$34*($B353+IF($R$17="Distrato",$I$38-1,0)),IF(AND($L$37=0,$P$34=0),"",$L$37-1),IF($R$17="Distrato",$E353,0)),MIN(AH$38,$D$19),$P$20))-SUM($P353:AG353)</f>
        <v>#VALUE!</v>
      </c>
      <c r="AI353" s="446" t="e">
        <f>IF(OR($B353="",MIN(AI$38,$D$19)&lt;MAX($P$34*($B353+IF($R$17="Distrato",$I$38-1,0)),IF(AND($L$37=0,$P$34=0),"",$L$37-1),IF($R$17="Distrato",$E353,0))),0,YEARFRAC(MAX($P$34*($B353+IF($R$17="Distrato",$I$38-1,0)),IF(AND($L$37=0,$P$34=0),"",$L$37-1),IF($R$17="Distrato",$E353,0)),MIN(AI$38,$D$19),$P$20))-SUM($P353:AH353)</f>
        <v>#VALUE!</v>
      </c>
      <c r="AJ353" s="446" t="e">
        <f>IF(OR($B353="",MIN(AJ$38,$D$19)&lt;MAX($P$34*($B353+IF($R$17="Distrato",$I$38-1,0)),IF(AND($L$37=0,$P$34=0),"",$L$37-1),IF($R$17="Distrato",$E353,0))),0,YEARFRAC(MAX($P$34*($B353+IF($R$17="Distrato",$I$38-1,0)),IF(AND($L$37=0,$P$34=0),"",$L$37-1),IF($R$17="Distrato",$E353,0)),MIN(AJ$38,$D$19),$P$20))-SUM($P353:AI353)</f>
        <v>#VALUE!</v>
      </c>
      <c r="AK353" s="446" t="e">
        <f>IF(OR($B353="",MIN(AK$38,$D$19)&lt;MAX($P$34*($B353+IF($R$17="Distrato",$I$38-1,0)),IF(AND($L$37=0,$P$34=0),"",$L$37-1),IF($R$17="Distrato",$E353,0))),0,YEARFRAC(MAX($P$34*($B353+IF($R$17="Distrato",$I$38-1,0)),IF(AND($L$37=0,$P$34=0),"",$L$37-1),IF($R$17="Distrato",$E353,0)),MIN(AK$38,$D$19),$P$20))-SUM($P353:AJ353)</f>
        <v>#VALUE!</v>
      </c>
      <c r="AL353" s="446" t="e">
        <f>IF(OR($B353="",MIN(AL$38,$D$19)&lt;MAX($P$34*($B353+IF($R$17="Distrato",$I$38-1,0)),IF(AND($L$37=0,$P$34=0),"",$L$37-1),IF($R$17="Distrato",$E353,0))),0,YEARFRAC(MAX($P$34*($B353+IF($R$17="Distrato",$I$38-1,0)),IF(AND($L$37=0,$P$34=0),"",$L$37-1),IF($R$17="Distrato",$E353,0)),MIN(AL$38,$D$19),$P$20))-SUM($P353:AK353)</f>
        <v>#VALUE!</v>
      </c>
      <c r="AM353" s="446" t="e">
        <f>IF(OR($B353="",MIN(AM$38,$D$19)&lt;MAX($P$34*($B353+IF($R$17="Distrato",$I$38-1,0)),IF(AND($L$37=0,$P$34=0),"",$L$37-1),IF($R$17="Distrato",$E353,0))),0,YEARFRAC(MAX($P$34*($B353+IF($R$17="Distrato",$I$38-1,0)),IF(AND($L$37=0,$P$34=0),"",$L$37-1),IF($R$17="Distrato",$E353,0)),MIN(AM$38,$D$19),$P$20))-SUM($P353:AL353)</f>
        <v>#VALUE!</v>
      </c>
      <c r="AN353" s="446" t="e">
        <f>IF(OR($B353="",MIN(AN$38,$D$19)&lt;MAX($P$34*($B353+IF($R$17="Distrato",$I$38-1,0)),IF(AND($L$37=0,$P$34=0),"",$L$37-1),IF($R$17="Distrato",$E353,0))),0,YEARFRAC(MAX($P$34*($B353+IF($R$17="Distrato",$I$38-1,0)),IF(AND($L$37=0,$P$34=0),"",$L$37-1),IF($R$17="Distrato",$E353,0)),MIN(AN$38,$D$19),$P$20))-SUM($P353:AM353)</f>
        <v>#VALUE!</v>
      </c>
      <c r="AO353" s="446" t="e">
        <f>IF(OR($B353="",MIN(AO$38,$D$19)&lt;MAX($P$34*($B353+IF($R$17="Distrato",$I$38-1,0)),IF(AND($L$37=0,$P$34=0),"",$L$37-1),IF($R$17="Distrato",$E353,0))),0,YEARFRAC(MAX($P$34*($B353+IF($R$17="Distrato",$I$38-1,0)),IF(AND($L$37=0,$P$34=0),"",$L$37-1),IF($R$17="Distrato",$E353,0)),MIN(AO$38,$D$19),$P$20))-SUM($P353:AN353)</f>
        <v>#VALUE!</v>
      </c>
      <c r="AP353" s="446" t="e">
        <f>IF(OR($B353="",MIN(AP$38,$D$19)&lt;MAX($P$34*($B353+IF($R$17="Distrato",$I$38-1,0)),IF(AND($L$37=0,$P$34=0),"",$L$37-1),IF($R$17="Distrato",$E353,0))),0,YEARFRAC(MAX($P$34*($B353+IF($R$17="Distrato",$I$38-1,0)),IF(AND($L$37=0,$P$34=0),"",$L$37-1),IF($R$17="Distrato",$E353,0)),MIN(AP$38,$D$19),$P$20))-SUM($P353:AO353)</f>
        <v>#VALUE!</v>
      </c>
      <c r="AQ353" s="446" t="e">
        <f>IF(OR($B353="",MIN(AQ$38,$D$19)&lt;MAX($P$34*($B353+IF($R$17="Distrato",$I$38-1,0)),IF(AND($L$37=0,$P$34=0),"",$L$37-1),IF($R$17="Distrato",$E353,0))),0,YEARFRAC(MAX($P$34*($B353+IF($R$17="Distrato",$I$38-1,0)),IF(AND($L$37=0,$P$34=0),"",$L$37-1),IF($R$17="Distrato",$E353,0)),MIN(AQ$38,$D$19),$P$20))-SUM($P353:AP353)</f>
        <v>#VALUE!</v>
      </c>
      <c r="AR353" s="446" t="e">
        <f>IF(OR($B353="",MIN(AR$38,$D$19)&lt;MAX($P$34*($B353+IF($R$17="Distrato",$I$38-1,0)),IF(AND($L$37=0,$P$34=0),"",$L$37-1),IF($R$17="Distrato",$E353,0))),0,YEARFRAC(MAX($P$34*($B353+IF($R$17="Distrato",$I$38-1,0)),IF(AND($L$37=0,$P$34=0),"",$L$37-1),IF($R$17="Distrato",$E353,0)),MIN(AR$38,$D$19),$P$20))-SUM($P353:AQ353)</f>
        <v>#VALUE!</v>
      </c>
      <c r="AS353" s="446" t="e">
        <f>IF(OR($B353="",MIN(AS$38,$D$19)&lt;MAX($P$34*($B353+IF($R$17="Distrato",$I$38-1,0)),IF(AND($L$37=0,$P$34=0),"",$L$37-1),IF($R$17="Distrato",$E353,0))),0,YEARFRAC(MAX($P$34*($B353+IF($R$17="Distrato",$I$38-1,0)),IF(AND($L$37=0,$P$34=0),"",$L$37-1),IF($R$17="Distrato",$E353,0)),MIN(AS$38,$D$19),$P$20))-SUM($P353:AR353)</f>
        <v>#VALUE!</v>
      </c>
      <c r="AT353" s="446" t="e">
        <f>IF(OR($B353="",MIN(AT$38,$D$19)&lt;MAX($P$34*($B353+IF($R$17="Distrato",$I$38-1,0)),IF(AND($L$37=0,$P$34=0),"",$L$37-1),IF($R$17="Distrato",$E353,0))),0,YEARFRAC(MAX($P$34*($B353+IF($R$17="Distrato",$I$38-1,0)),IF(AND($L$37=0,$P$34=0),"",$L$37-1),IF($R$17="Distrato",$E353,0)),MIN(AT$38,$D$19),$P$20))-SUM($P353:AS353)</f>
        <v>#VALUE!</v>
      </c>
      <c r="AU353" s="446" t="e">
        <f>IF(OR($B353="",MIN(AU$38,$D$19)&lt;MAX($P$34*($B353+IF($R$17="Distrato",$I$38-1,0)),IF(AND($L$37=0,$P$34=0),"",$L$37-1),IF($R$17="Distrato",$E353,0))),0,YEARFRAC(MAX($P$34*($B353+IF($R$17="Distrato",$I$38-1,0)),IF(AND($L$37=0,$P$34=0),"",$L$37-1),IF($R$17="Distrato",$E353,0)),MIN(AU$38,$D$19),$P$20))-SUM($P353:AT353)</f>
        <v>#VALUE!</v>
      </c>
      <c r="AV353" s="446" t="e">
        <f>IF(OR($B353="",MIN(AV$38,$D$19)&lt;MAX($P$34*($B353+IF($R$17="Distrato",$I$38-1,0)),IF(AND($L$37=0,$P$34=0),"",$L$37-1),IF($R$17="Distrato",$E353,0))),0,YEARFRAC(MAX($P$34*($B353+IF($R$17="Distrato",$I$38-1,0)),IF(AND($L$37=0,$P$34=0),"",$L$37-1),IF($R$17="Distrato",$E353,0)),MIN(AV$38,$D$19),$P$20))-SUM($P353:AU353)</f>
        <v>#VALUE!</v>
      </c>
      <c r="AW353" s="446" t="e">
        <f>IF(OR($B353="",MIN(AW$38,$D$19)&lt;MAX($P$34*($B353+IF($R$17="Distrato",$I$38-1,0)),IF(AND($L$37=0,$P$34=0),"",$L$37-1),IF($R$17="Distrato",$E353,0))),0,YEARFRAC(MAX($P$34*($B353+IF($R$17="Distrato",$I$38-1,0)),IF(AND($L$37=0,$P$34=0),"",$L$37-1),IF($R$17="Distrato",$E353,0)),MIN(AW$38,$D$19),$P$20))-SUM($P353:AV353)</f>
        <v>#VALUE!</v>
      </c>
      <c r="AX353" s="446" t="e">
        <f>IF(OR($B353="",MIN(AX$38,$D$19)&lt;MAX($P$34*($B353+IF($R$17="Distrato",$I$38-1,0)),IF(AND($L$37=0,$P$34=0),"",$L$37-1),IF($R$17="Distrato",$E353,0))),0,YEARFRAC(MAX($P$34*($B353+IF($R$17="Distrato",$I$38-1,0)),IF(AND($L$37=0,$P$34=0),"",$L$37-1),IF($R$17="Distrato",$E353,0)),MIN(AX$38,$D$19),$P$20))-SUM($P353:AW353)</f>
        <v>#VALUE!</v>
      </c>
      <c r="AY353" s="446" t="e">
        <f>IF(OR($B353="",MIN(AY$38,$D$19)&lt;MAX($P$34*($B353+IF($R$17="Distrato",$I$38-1,0)),IF(AND($L$37=0,$P$34=0),"",$L$37-1),IF($R$17="Distrato",$E353,0))),0,YEARFRAC(MAX($P$34*($B353+IF($R$17="Distrato",$I$38-1,0)),IF(AND($L$37=0,$P$34=0),"",$L$37-1),IF($R$17="Distrato",$E353,0)),MIN(AY$38,$D$19),$P$20))-SUM($P353:AX353)</f>
        <v>#VALUE!</v>
      </c>
      <c r="AZ353" s="446" t="e">
        <f>IF(OR($B353="",MIN(AZ$38,$D$19)&lt;MAX($P$34*($B353+IF($R$17="Distrato",$I$38-1,0)),IF(AND($L$37=0,$P$34=0),"",$L$37-1),IF($R$17="Distrato",$E353,0))),0,YEARFRAC(MAX($P$34*($B353+IF($R$17="Distrato",$I$38-1,0)),IF(AND($L$37=0,$P$34=0),"",$L$37-1),IF($R$17="Distrato",$E353,0)),MIN(AZ$38,$D$19),$P$20))-SUM($P353:AY353)</f>
        <v>#VALUE!</v>
      </c>
      <c r="BA353" s="446" t="e">
        <f>IF(OR($B353="",MIN(BA$38,$D$19)&lt;MAX($P$34*($B353+IF($R$17="Distrato",$I$38-1,0)),IF(AND($L$37=0,$P$34=0),"",$L$37-1),IF($R$17="Distrato",$E353,0))),0,YEARFRAC(MAX($P$34*($B353+IF($R$17="Distrato",$I$38-1,0)),IF(AND($L$37=0,$P$34=0),"",$L$37-1),IF($R$17="Distrato",$E353,0)),MIN(BA$38,$D$19),$P$20))-SUM($P353:AZ353)</f>
        <v>#VALUE!</v>
      </c>
      <c r="BB353" s="447"/>
      <c r="BF353" s="446">
        <f t="shared" si="54"/>
        <v>0</v>
      </c>
      <c r="BG353" s="446">
        <f>IF($E353=0,0,IF(MIN(BG$38,$E353)&lt;MAX($P$34*($B353+$I$38-1),IF(AND($L$37=0,$P$34=0),"",$L$37-1)),0,YEARFRAC(MAX($P$34*($B353+$I$38-1),IF(AND($L$37=0,$P$34=0),"",$L$37-1)),MIN(BG$38,$E353),$P$20))-SUM($BF353:BF353))</f>
        <v>0</v>
      </c>
      <c r="BH353" s="446">
        <f>IF($E353=0,0,IF(MIN(BH$38,$E353)&lt;MAX($P$34*($B353+$I$38-1),IF(AND($L$37=0,$P$34=0),"",$L$37-1)),0,YEARFRAC(MAX($P$34*($B353+$I$38-1),IF(AND($L$37=0,$P$34=0),"",$L$37-1)),MIN(BH$38,$E353),$P$20))-SUM($BF353:BG353))</f>
        <v>0</v>
      </c>
      <c r="BI353" s="446">
        <f>IF($E353=0,0,IF(MIN(BI$38,$E353)&lt;MAX($P$34*($B353+$I$38-1),IF(AND($L$37=0,$P$34=0),"",$L$37-1)),0,YEARFRAC(MAX($P$34*($B353+$I$38-1),IF(AND($L$37=0,$P$34=0),"",$L$37-1)),MIN(BI$38,$E353),$P$20))-SUM($BF353:BH353))</f>
        <v>0</v>
      </c>
      <c r="BJ353" s="446">
        <f>IF($E353=0,0,IF(MIN(BJ$38,$E353)&lt;MAX($P$34*($B353+$I$38-1),IF(AND($L$37=0,$P$34=0),"",$L$37-1)),0,YEARFRAC(MAX($P$34*($B353+$I$38-1),IF(AND($L$37=0,$P$34=0),"",$L$37-1)),MIN(BJ$38,$E353),$P$20))-SUM($BF353:BI353))</f>
        <v>0</v>
      </c>
      <c r="BK353" s="446">
        <f>IF($E353=0,0,IF(MIN(BK$38,$E353)&lt;MAX($P$34*($B353+$I$38-1),IF(AND($L$37=0,$P$34=0),"",$L$37-1)),0,YEARFRAC(MAX($P$34*($B353+$I$38-1),IF(AND($L$37=0,$P$34=0),"",$L$37-1)),MIN(BK$38,$E353),$P$20))-SUM($BF353:BJ353))</f>
        <v>0</v>
      </c>
      <c r="BL353" s="446">
        <f>IF($E353=0,0,IF(MIN(BL$38,$E353)&lt;MAX($P$34*($B353+$I$38-1),IF(AND($L$37=0,$P$34=0),"",$L$37-1)),0,YEARFRAC(MAX($P$34*($B353+$I$38-1),IF(AND($L$37=0,$P$34=0),"",$L$37-1)),MIN(BL$38,$E353),$P$20))-SUM($BF353:BK353))</f>
        <v>0</v>
      </c>
      <c r="BM353" s="446">
        <f>IF($E353=0,0,IF(MIN(BM$38,$E353)&lt;MAX($P$34*($B353+$I$38-1),IF(AND($L$37=0,$P$34=0),"",$L$37-1)),0,YEARFRAC(MAX($P$34*($B353+$I$38-1),IF(AND($L$37=0,$P$34=0),"",$L$37-1)),MIN(BM$38,$E353),$P$20))-SUM($BF353:BL353))</f>
        <v>0</v>
      </c>
      <c r="BN353" s="446">
        <f>IF($E353=0,0,IF(MIN(BN$38,$E353)&lt;MAX($P$34*($B353+$I$38-1),IF(AND($L$37=0,$P$34=0),"",$L$37-1)),0,YEARFRAC(MAX($P$34*($B353+$I$38-1),IF(AND($L$37=0,$P$34=0),"",$L$37-1)),MIN(BN$38,$E353),$P$20))-SUM($BF353:BM353))</f>
        <v>0</v>
      </c>
      <c r="BO353" s="446">
        <f>IF($E353=0,0,IF(MIN(BO$38,$E353)&lt;MAX($P$34*($B353+$I$38-1),IF(AND($L$37=0,$P$34=0),"",$L$37-1)),0,YEARFRAC(MAX($P$34*($B353+$I$38-1),IF(AND($L$37=0,$P$34=0),"",$L$37-1)),MIN(BO$38,$E353),$P$20))-SUM($BF353:BN353))</f>
        <v>0</v>
      </c>
      <c r="BP353" s="446">
        <f>IF($E353=0,0,IF(MIN(BP$38,$E353)&lt;MAX($P$34*($B353+$I$38-1),IF(AND($L$37=0,$P$34=0),"",$L$37-1)),0,YEARFRAC(MAX($P$34*($B353+$I$38-1),IF(AND($L$37=0,$P$34=0),"",$L$37-1)),MIN(BP$38,$E353),$P$20))-SUM($BF353:BO353))</f>
        <v>0</v>
      </c>
      <c r="BQ353" s="446">
        <f>IF($E353=0,0,IF(MIN(BQ$38,$E353)&lt;MAX($P$34*($B353+$I$38-1),IF(AND($L$37=0,$P$34=0),"",$L$37-1)),0,YEARFRAC(MAX($P$34*($B353+$I$38-1),IF(AND($L$37=0,$P$34=0),"",$L$37-1)),MIN(BQ$38,$E353),$P$20))-SUM($BF353:BP353))</f>
        <v>0</v>
      </c>
      <c r="BR353" s="446">
        <f>IF($E353=0,0,IF(MIN(BR$38,$E353)&lt;MAX($P$34*($B353+$I$38-1),IF(AND($L$37=0,$P$34=0),"",$L$37-1)),0,YEARFRAC(MAX($P$34*($B353+$I$38-1),IF(AND($L$37=0,$P$34=0),"",$L$37-1)),MIN(BR$38,$E353),$P$20))-SUM($BF353:BQ353))</f>
        <v>0</v>
      </c>
      <c r="BS353" s="446">
        <f>IF($E353=0,0,IF(MIN(BS$38,$E353)&lt;MAX($P$34*($B353+$I$38-1),IF(AND($L$37=0,$P$34=0),"",$L$37-1)),0,YEARFRAC(MAX($P$34*($B353+$I$38-1),IF(AND($L$37=0,$P$34=0),"",$L$37-1)),MIN(BS$38,$E353),$P$20))-SUM($BF353:BR353))</f>
        <v>0</v>
      </c>
      <c r="BT353" s="446">
        <f>IF($E353=0,0,IF(MIN(BT$38,$E353)&lt;MAX($P$34*($B353+$I$38-1),IF(AND($L$37=0,$P$34=0),"",$L$37-1)),0,YEARFRAC(MAX($P$34*($B353+$I$38-1),IF(AND($L$37=0,$P$34=0),"",$L$37-1)),MIN(BT$38,$E353),$P$20))-SUM($BF353:BS353))</f>
        <v>0</v>
      </c>
      <c r="BU353" s="446">
        <f>IF($E353=0,0,IF(MIN(BU$38,$E353)&lt;MAX($P$34*($B353+$I$38-1),IF(AND($L$37=0,$P$34=0),"",$L$37-1)),0,YEARFRAC(MAX($P$34*($B353+$I$38-1),IF(AND($L$37=0,$P$34=0),"",$L$37-1)),MIN(BU$38,$E353),$P$20))-SUM($BF353:BT353))</f>
        <v>0</v>
      </c>
      <c r="BV353" s="446">
        <f>IF($E353=0,0,IF(MIN(BV$38,$E353)&lt;MAX($P$34*($B353+$I$38-1),IF(AND($L$37=0,$P$34=0),"",$L$37-1)),0,YEARFRAC(MAX($P$34*($B353+$I$38-1),IF(AND($L$37=0,$P$34=0),"",$L$37-1)),MIN(BV$38,$E353),$P$20))-SUM($BF353:BU353))</f>
        <v>0</v>
      </c>
      <c r="BW353" s="446">
        <f>IF($E353=0,0,IF(MIN(BW$38,$E353)&lt;MAX($P$34*($B353+$I$38-1),IF(AND($L$37=0,$P$34=0),"",$L$37-1)),0,YEARFRAC(MAX($P$34*($B353+$I$38-1),IF(AND($L$37=0,$P$34=0),"",$L$37-1)),MIN(BW$38,$E353),$P$20))-SUM($BF353:BV353))</f>
        <v>0</v>
      </c>
      <c r="BX353" s="446">
        <f>IF($E353=0,0,IF(MIN(BX$38,$E353)&lt;MAX($P$34*($B353+$I$38-1),IF(AND($L$37=0,$P$34=0),"",$L$37-1)),0,YEARFRAC(MAX($P$34*($B353+$I$38-1),IF(AND($L$37=0,$P$34=0),"",$L$37-1)),MIN(BX$38,$E353),$P$20))-SUM($BF353:BW353))</f>
        <v>0</v>
      </c>
      <c r="BY353" s="446">
        <f>IF($E353=0,0,IF(MIN(BY$38,$E353)&lt;MAX($P$34*($B353+$I$38-1),IF(AND($L$37=0,$P$34=0),"",$L$37-1)),0,YEARFRAC(MAX($P$34*($B353+$I$38-1),IF(AND($L$37=0,$P$34=0),"",$L$37-1)),MIN(BY$38,$E353),$P$20))-SUM($BF353:BX353))</f>
        <v>0</v>
      </c>
      <c r="BZ353" s="446">
        <f>IF($E353=0,0,IF(MIN(BZ$38,$E353)&lt;MAX($P$34*($B353+$I$38-1),IF(AND($L$37=0,$P$34=0),"",$L$37-1)),0,YEARFRAC(MAX($P$34*($B353+$I$38-1),IF(AND($L$37=0,$P$34=0),"",$L$37-1)),MIN(BZ$38,$E353),$P$20))-SUM($BF353:BY353))</f>
        <v>0</v>
      </c>
      <c r="CA353" s="446">
        <f>IF($E353=0,0,IF(MIN(CA$38,$E353)&lt;MAX($P$34*($B353+$I$38-1),IF(AND($L$37=0,$P$34=0),"",$L$37-1)),0,YEARFRAC(MAX($P$34*($B353+$I$38-1),IF(AND($L$37=0,$P$34=0),"",$L$37-1)),MIN(CA$38,$E353),$P$20))-SUM($BF353:BZ353))</f>
        <v>0</v>
      </c>
      <c r="CB353" s="446">
        <f>IF($E353=0,0,IF(MIN(CB$38,$E353)&lt;MAX($P$34*($B353+$I$38-1),IF(AND($L$37=0,$P$34=0),"",$L$37-1)),0,YEARFRAC(MAX($P$34*($B353+$I$38-1),IF(AND($L$37=0,$P$34=0),"",$L$37-1)),MIN(CB$38,$E353),$P$20))-SUM($BF353:CA353))</f>
        <v>0</v>
      </c>
      <c r="CC353" s="446">
        <f>IF($E353=0,0,IF(MIN(CC$38,$E353)&lt;MAX($P$34*($B353+$I$38-1),IF(AND($L$37=0,$P$34=0),"",$L$37-1)),0,YEARFRAC(MAX($P$34*($B353+$I$38-1),IF(AND($L$37=0,$P$34=0),"",$L$37-1)),MIN(CC$38,$E353),$P$20))-SUM($BF353:CB353))</f>
        <v>0</v>
      </c>
      <c r="CD353" s="446">
        <f>IF($E353=0,0,IF(MIN(CD$38,$E353)&lt;MAX($P$34*($B353+$I$38-1),IF(AND($L$37=0,$P$34=0),"",$L$37-1)),0,YEARFRAC(MAX($P$34*($B353+$I$38-1),IF(AND($L$37=0,$P$34=0),"",$L$37-1)),MIN(CD$38,$E353),$P$20))-SUM($BF353:CC353))</f>
        <v>0</v>
      </c>
      <c r="CE353" s="446">
        <f>IF($E353=0,0,IF(MIN(CE$38,$E353)&lt;MAX($P$34*($B353+$I$38-1),IF(AND($L$37=0,$P$34=0),"",$L$37-1)),0,YEARFRAC(MAX($P$34*($B353+$I$38-1),IF(AND($L$37=0,$P$34=0),"",$L$37-1)),MIN(CE$38,$E353),$P$20))-SUM($BF353:CD353))</f>
        <v>0</v>
      </c>
      <c r="CF353" s="446">
        <f>IF($E353=0,0,IF(MIN(CF$38,$E353)&lt;MAX($P$34*($B353+$I$38-1),IF(AND($L$37=0,$P$34=0),"",$L$37-1)),0,YEARFRAC(MAX($P$34*($B353+$I$38-1),IF(AND($L$37=0,$P$34=0),"",$L$37-1)),MIN(CF$38,$E353),$P$20))-SUM($BF353:CE353))</f>
        <v>0</v>
      </c>
      <c r="CG353" s="446">
        <f>IF($E353=0,0,IF(MIN(CG$38,$E353)&lt;MAX($P$34*($B353+$I$38-1),IF(AND($L$37=0,$P$34=0),"",$L$37-1)),0,YEARFRAC(MAX($P$34*($B353+$I$38-1),IF(AND($L$37=0,$P$34=0),"",$L$37-1)),MIN(CG$38,$E353),$P$20))-SUM($BF353:CF353))</f>
        <v>0</v>
      </c>
      <c r="CH353" s="446">
        <f>IF($E353=0,0,IF(MIN(CH$38,$E353)&lt;MAX($P$34*($B353+$I$38-1),IF(AND($L$37=0,$P$34=0),"",$L$37-1)),0,YEARFRAC(MAX($P$34*($B353+$I$38-1),IF(AND($L$37=0,$P$34=0),"",$L$37-1)),MIN(CH$38,$E353),$P$20))-SUM($BF353:CG353))</f>
        <v>0</v>
      </c>
      <c r="CI353" s="446">
        <f>IF($E353=0,0,IF(MIN(CI$38,$E353)&lt;MAX($P$34*($B353+$I$38-1),IF(AND($L$37=0,$P$34=0),"",$L$37-1)),0,YEARFRAC(MAX($P$34*($B353+$I$38-1),IF(AND($L$37=0,$P$34=0),"",$L$37-1)),MIN(CI$38,$E353),$P$20))-SUM($BF353:CH353))</f>
        <v>0</v>
      </c>
      <c r="CJ353" s="446">
        <f>IF($E353=0,0,IF(MIN(CJ$38,$E353)&lt;MAX($P$34*($B353+$I$38-1),IF(AND($L$37=0,$P$34=0),"",$L$37-1)),0,YEARFRAC(MAX($P$34*($B353+$I$38-1),IF(AND($L$37=0,$P$34=0),"",$L$37-1)),MIN(CJ$38,$E353),$P$20))-SUM($BF353:CI353))</f>
        <v>0</v>
      </c>
      <c r="CK353" s="446">
        <f>IF($E353=0,0,IF(MIN(CK$38,$E353)&lt;MAX($P$34*($B353+$I$38-1),IF(AND($L$37=0,$P$34=0),"",$L$37-1)),0,YEARFRAC(MAX($P$34*($B353+$I$38-1),IF(AND($L$37=0,$P$34=0),"",$L$37-1)),MIN(CK$38,$E353),$P$20))-SUM($BF353:CJ353))</f>
        <v>0</v>
      </c>
      <c r="CL353" s="446">
        <f>IF($E353=0,0,IF(MIN(CL$38,$E353)&lt;MAX($P$34*($B353+$I$38-1),IF(AND($L$37=0,$P$34=0),"",$L$37-1)),0,YEARFRAC(MAX($P$34*($B353+$I$38-1),IF(AND($L$37=0,$P$34=0),"",$L$37-1)),MIN(CL$38,$E353),$P$20))-SUM($BF353:CK353))</f>
        <v>0</v>
      </c>
      <c r="CM353" s="446">
        <f>IF($E353=0,0,IF(MIN(CM$38,$E353)&lt;MAX($P$34*($B353+$I$38-1),IF(AND($L$37=0,$P$34=0),"",$L$37-1)),0,YEARFRAC(MAX($P$34*($B353+$I$38-1),IF(AND($L$37=0,$P$34=0),"",$L$37-1)),MIN(CM$38,$E353),$P$20))-SUM($BF353:CL353))</f>
        <v>0</v>
      </c>
      <c r="CN353" s="446">
        <f>IF($E353=0,0,IF(MIN(CN$38,$E353)&lt;MAX($P$34*($B353+$I$38-1),IF(AND($L$37=0,$P$34=0),"",$L$37-1)),0,YEARFRAC(MAX($P$34*($B353+$I$38-1),IF(AND($L$37=0,$P$34=0),"",$L$37-1)),MIN(CN$38,$E353),$P$20))-SUM($BF353:CM353))</f>
        <v>0</v>
      </c>
      <c r="CO353" s="446">
        <f>IF($E353=0,0,IF(MIN(CO$38,$E353)&lt;MAX($P$34*($B353+$I$38-1),IF(AND($L$37=0,$P$34=0),"",$L$37-1)),0,YEARFRAC(MAX($P$34*($B353+$I$38-1),IF(AND($L$37=0,$P$34=0),"",$L$37-1)),MIN(CO$38,$E353),$P$20))-SUM($BF353:CN353))</f>
        <v>0</v>
      </c>
      <c r="CP353" s="446">
        <f>IF($E353=0,0,IF(MIN(CP$38,$E353)&lt;MAX($P$34*($B353+$I$38-1),IF(AND($L$37=0,$P$34=0),"",$L$37-1)),0,YEARFRAC(MAX($P$34*($B353+$I$38-1),IF(AND($L$37=0,$P$34=0),"",$L$37-1)),MIN(CP$38,$E353),$P$20))-SUM($BF353:CO353))</f>
        <v>0</v>
      </c>
      <c r="CQ353" s="446">
        <f>IF($E353=0,0,IF(MIN(CQ$38,$E353)&lt;MAX($P$34*($B353+$I$38-1),IF(AND($L$37=0,$P$34=0),"",$L$37-1)),0,YEARFRAC(MAX($P$34*($B353+$I$38-1),IF(AND($L$37=0,$P$34=0),"",$L$37-1)),MIN(CQ$38,$E353),$P$20))-SUM($BF353:CP353))</f>
        <v>0</v>
      </c>
    </row>
    <row r="354" spans="1:95" s="446" customFormat="1" ht="11.25" hidden="1" customHeight="1" x14ac:dyDescent="0.2">
      <c r="A354" s="152"/>
      <c r="B354" s="153" t="str">
        <f t="shared" si="59"/>
        <v/>
      </c>
      <c r="C354" s="29" t="str">
        <f>IF(B354="","",IF($L$35="SELIC - TRIBUTOS",VLOOKUP(DATE(YEAR($D$19),MONTH($D$19)-1,1),ÍNDICES!$A:$DE,HLOOKUP($BL$25,ÍNDICES!$B$3:$T$4,2)+11)-VLOOKUP(B354,ÍNDICES!$A:$DE,HLOOKUP($BL$25,ÍNDICES!$B$3:$T$4,2)+11)+1%,IF(C$38=$W$26,$J$35,IF(ISERROR(IF(B354&gt;$D$19,1,VLOOKUP(DATE(YEAR(B354),MONTH(B354)+IF($C$35=$S$23,1,0),1),ÍNDICES!$A:$DE,$Z$35+1))),"",IF(B354&gt;$D$19,1,VLOOKUP(DATE(YEAR(B354),MONTH(B354)+IF($C$35=$S$23,1,0),1),ÍNDICES!$A:$DE,$Z$35+1))))))</f>
        <v/>
      </c>
      <c r="D354" s="154" t="str">
        <f>IF(ISERROR(IF(OR($D$38=$Y$27,$B354=""),"",VLOOKUP(B354,ÍNDICES!A:DE,AF$35+1))),"",IF(OR($D$38=$Y$27,$B354=""),"",VLOOKUP(B354,ÍNDICES!A:DE,AF$35+1)))</f>
        <v/>
      </c>
      <c r="E354" s="153"/>
      <c r="F354" s="29" t="str">
        <f>IF(E354="","",IF($L$35="SELIC - TRIBUTOS",VLOOKUP(DATE(YEAR($D$19),MONTH($D$19)-1,1),ÍNDICES!$A:$DE,HLOOKUP($BL$25,ÍNDICES!$B$3:$T$4,2)+11)-VLOOKUP(E354,ÍNDICES!$A:$DE,HLOOKUP($BL$25,ÍNDICES!$B$3:$T$4,2)+11)+1%,IF(F$38=$W$26,$J$35,IF(ISERROR(IF(E354&gt;$D$19,1,VLOOKUP(DATE(YEAR(E354),MONTH(E354)+IF($C$35=$S$23,1,0),1),ÍNDICES!$A:$DE,$Z$35+1))),"",IF(E354&gt;$D$19,1,VLOOKUP(DATE(YEAR(E354),MONTH(E354)+IF($C$35=$S$23,1,0),1),ÍNDICES!$A:$DE,$Z$35+1))))))</f>
        <v/>
      </c>
      <c r="G354" s="155"/>
      <c r="H354" s="156" t="str">
        <f t="shared" si="55"/>
        <v/>
      </c>
      <c r="I354" s="29" t="str">
        <f t="shared" si="49"/>
        <v/>
      </c>
      <c r="J354" s="5">
        <f t="shared" si="50"/>
        <v>0</v>
      </c>
      <c r="K354" s="20">
        <f t="shared" ca="1" si="51"/>
        <v>0</v>
      </c>
      <c r="L354" s="5">
        <f t="shared" ca="1" si="52"/>
        <v>0</v>
      </c>
      <c r="M354" s="64">
        <f t="shared" si="56"/>
        <v>0</v>
      </c>
      <c r="N354" s="61">
        <f t="shared" ca="1" si="57"/>
        <v>0</v>
      </c>
      <c r="O354" s="5">
        <f t="shared" ca="1" si="58"/>
        <v>0</v>
      </c>
      <c r="P354" s="446" t="e">
        <f t="shared" si="53"/>
        <v>#VALUE!</v>
      </c>
      <c r="Q354" s="446" t="e">
        <f>IF(OR($B354="",MIN(Q$38,$D$19)&lt;MAX($P$34*($B354+IF($R$17="Distrato",$I$38-1,0)),IF(AND($L$37=0,$P$34=0),"",$L$37-1),IF($R$17="Distrato",$E354,0))),0,YEARFRAC(MAX($P$34*($B354+IF($R$17="Distrato",$I$38-1,0)),IF(AND($L$37=0,$P$34=0),"",$L$37-1),IF($R$17="Distrato",$E354,0)),MIN(Q$38,$D$19),$P$20))-SUM($P354:P354)</f>
        <v>#VALUE!</v>
      </c>
      <c r="R354" s="446" t="e">
        <f>IF(OR($B354="",MIN(R$38,$D$19)&lt;MAX($P$34*($B354+IF($R$17="Distrato",$I$38-1,0)),IF(AND($L$37=0,$P$34=0),"",$L$37-1),IF($R$17="Distrato",$E354,0))),0,YEARFRAC(MAX($P$34*($B354+IF($R$17="Distrato",$I$38-1,0)),IF(AND($L$37=0,$P$34=0),"",$L$37-1),IF($R$17="Distrato",$E354,0)),MIN(R$38,$D$19),$P$20))-SUM($P354:Q354)</f>
        <v>#VALUE!</v>
      </c>
      <c r="S354" s="446" t="e">
        <f>IF(OR($B354="",MIN(S$38,$D$19)&lt;MAX($P$34*($B354+IF($R$17="Distrato",$I$38-1,0)),IF(AND($L$37=0,$P$34=0),"",$L$37-1),IF($R$17="Distrato",$E354,0))),0,YEARFRAC(MAX($P$34*($B354+IF($R$17="Distrato",$I$38-1,0)),IF(AND($L$37=0,$P$34=0),"",$L$37-1),IF($R$17="Distrato",$E354,0)),MIN(S$38,$D$19),$P$20))-SUM($P354:R354)</f>
        <v>#VALUE!</v>
      </c>
      <c r="T354" s="446" t="e">
        <f>IF(OR($B354="",MIN(T$38,$D$19)&lt;MAX($P$34*($B354+IF($R$17="Distrato",$I$38-1,0)),IF(AND($L$37=0,$P$34=0),"",$L$37-1),IF($R$17="Distrato",$E354,0))),0,YEARFRAC(MAX($P$34*($B354+IF($R$17="Distrato",$I$38-1,0)),IF(AND($L$37=0,$P$34=0),"",$L$37-1),IF($R$17="Distrato",$E354,0)),MIN(T$38,$D$19),$P$20))-SUM($P354:S354)</f>
        <v>#VALUE!</v>
      </c>
      <c r="U354" s="446" t="e">
        <f>IF(OR($B354="",MIN(U$38,$D$19)&lt;MAX($P$34*($B354+IF($R$17="Distrato",$I$38-1,0)),IF(AND($L$37=0,$P$34=0),"",$L$37-1),IF($R$17="Distrato",$E354,0))),0,YEARFRAC(MAX($P$34*($B354+IF($R$17="Distrato",$I$38-1,0)),IF(AND($L$37=0,$P$34=0),"",$L$37-1),IF($R$17="Distrato",$E354,0)),MIN(U$38,$D$19),$P$20))-SUM($P354:T354)</f>
        <v>#VALUE!</v>
      </c>
      <c r="V354" s="446" t="e">
        <f>IF(OR($B354="",MIN(V$38,$D$19)&lt;MAX($P$34*($B354+IF($R$17="Distrato",$I$38-1,0)),IF(AND($L$37=0,$P$34=0),"",$L$37-1),IF($R$17="Distrato",$E354,0))),0,YEARFRAC(MAX($P$34*($B354+IF($R$17="Distrato",$I$38-1,0)),IF(AND($L$37=0,$P$34=0),"",$L$37-1),IF($R$17="Distrato",$E354,0)),MIN(V$38,$D$19),$P$20))-SUM($P354:U354)</f>
        <v>#VALUE!</v>
      </c>
      <c r="W354" s="446" t="e">
        <f>IF(OR($B354="",MIN(W$38,$D$19)&lt;MAX($P$34*($B354+IF($R$17="Distrato",$I$38-1,0)),IF(AND($L$37=0,$P$34=0),"",$L$37-1),IF($R$17="Distrato",$E354,0))),0,YEARFRAC(MAX($P$34*($B354+IF($R$17="Distrato",$I$38-1,0)),IF(AND($L$37=0,$P$34=0),"",$L$37-1),IF($R$17="Distrato",$E354,0)),MIN(W$38,$D$19),$P$20))-SUM($P354:V354)</f>
        <v>#VALUE!</v>
      </c>
      <c r="X354" s="446" t="e">
        <f>IF(OR($B354="",MIN(X$38,$D$19)&lt;MAX($P$34*($B354+IF($R$17="Distrato",$I$38-1,0)),IF(AND($L$37=0,$P$34=0),"",$L$37-1),IF($R$17="Distrato",$E354,0))),0,YEARFRAC(MAX($P$34*($B354+IF($R$17="Distrato",$I$38-1,0)),IF(AND($L$37=0,$P$34=0),"",$L$37-1),IF($R$17="Distrato",$E354,0)),MIN(X$38,$D$19),$P$20))-SUM($P354:W354)</f>
        <v>#VALUE!</v>
      </c>
      <c r="Y354" s="446" t="e">
        <f>IF(OR($B354="",MIN(Y$38,$D$19)&lt;MAX($P$34*($B354+IF($R$17="Distrato",$I$38-1,0)),IF(AND($L$37=0,$P$34=0),"",$L$37-1),IF($R$17="Distrato",$E354,0))),0,YEARFRAC(MAX($P$34*($B354+IF($R$17="Distrato",$I$38-1,0)),IF(AND($L$37=0,$P$34=0),"",$L$37-1),IF($R$17="Distrato",$E354,0)),MIN(Y$38,$D$19),$P$20))-SUM($P354:X354)</f>
        <v>#VALUE!</v>
      </c>
      <c r="Z354" s="446" t="e">
        <f>IF(OR($B354="",MIN(Z$38,$D$19)&lt;MAX($P$34*($B354+IF($R$17="Distrato",$I$38-1,0)),IF(AND($L$37=0,$P$34=0),"",$L$37-1),IF($R$17="Distrato",$E354,0))),0,YEARFRAC(MAX($P$34*($B354+IF($R$17="Distrato",$I$38-1,0)),IF(AND($L$37=0,$P$34=0),"",$L$37-1),IF($R$17="Distrato",$E354,0)),MIN(Z$38,$D$19),$P$20))-SUM($P354:Y354)</f>
        <v>#VALUE!</v>
      </c>
      <c r="AA354" s="446" t="e">
        <f>IF(OR($B354="",MIN(AA$38,$D$19)&lt;MAX($P$34*($B354+IF($R$17="Distrato",$I$38-1,0)),IF(AND($L$37=0,$P$34=0),"",$L$37-1),IF($R$17="Distrato",$E354,0))),0,YEARFRAC(MAX($P$34*($B354+IF($R$17="Distrato",$I$38-1,0)),IF(AND($L$37=0,$P$34=0),"",$L$37-1),IF($R$17="Distrato",$E354,0)),MIN(AA$38,$D$19),$P$20))-SUM($P354:Z354)</f>
        <v>#VALUE!</v>
      </c>
      <c r="AB354" s="446" t="e">
        <f>IF(OR($B354="",MIN(AB$38,$D$19)&lt;MAX($P$34*($B354+IF($R$17="Distrato",$I$38-1,0)),IF(AND($L$37=0,$P$34=0),"",$L$37-1),IF($R$17="Distrato",$E354,0))),0,YEARFRAC(MAX($P$34*($B354+IF($R$17="Distrato",$I$38-1,0)),IF(AND($L$37=0,$P$34=0),"",$L$37-1),IF($R$17="Distrato",$E354,0)),MIN(AB$38,$D$19),$P$20))-SUM($P354:AA354)</f>
        <v>#VALUE!</v>
      </c>
      <c r="AC354" s="446" t="e">
        <f>IF(OR($B354="",MIN(AC$38,$D$19)&lt;MAX($P$34*($B354+IF($R$17="Distrato",$I$38-1,0)),IF(AND($L$37=0,$P$34=0),"",$L$37-1),IF($R$17="Distrato",$E354,0))),0,YEARFRAC(MAX($P$34*($B354+IF($R$17="Distrato",$I$38-1,0)),IF(AND($L$37=0,$P$34=0),"",$L$37-1),IF($R$17="Distrato",$E354,0)),MIN(AC$38,$D$19),$P$20))-SUM($P354:AB354)</f>
        <v>#VALUE!</v>
      </c>
      <c r="AD354" s="446" t="e">
        <f>IF(OR($B354="",MIN(AD$38,$D$19)&lt;MAX($P$34*($B354+IF($R$17="Distrato",$I$38-1,0)),IF(AND($L$37=0,$P$34=0),"",$L$37-1),IF($R$17="Distrato",$E354,0))),0,YEARFRAC(MAX($P$34*($B354+IF($R$17="Distrato",$I$38-1,0)),IF(AND($L$37=0,$P$34=0),"",$L$37-1),IF($R$17="Distrato",$E354,0)),MIN(AD$38,$D$19),$P$20))-SUM($P354:AC354)</f>
        <v>#VALUE!</v>
      </c>
      <c r="AE354" s="446" t="e">
        <f>IF(OR($B354="",MIN(AE$38,$D$19)&lt;MAX($P$34*($B354+IF($R$17="Distrato",$I$38-1,0)),IF(AND($L$37=0,$P$34=0),"",$L$37-1),IF($R$17="Distrato",$E354,0))),0,YEARFRAC(MAX($P$34*($B354+IF($R$17="Distrato",$I$38-1,0)),IF(AND($L$37=0,$P$34=0),"",$L$37-1),IF($R$17="Distrato",$E354,0)),MIN(AE$38,$D$19),$P$20))-SUM($P354:AD354)</f>
        <v>#VALUE!</v>
      </c>
      <c r="AF354" s="446" t="e">
        <f>IF(OR($B354="",MIN(AF$38,$D$19)&lt;MAX($P$34*($B354+IF($R$17="Distrato",$I$38-1,0)),IF(AND($L$37=0,$P$34=0),"",$L$37-1),IF($R$17="Distrato",$E354,0))),0,YEARFRAC(MAX($P$34*($B354+IF($R$17="Distrato",$I$38-1,0)),IF(AND($L$37=0,$P$34=0),"",$L$37-1),IF($R$17="Distrato",$E354,0)),MIN(AF$38,$D$19),$P$20))-SUM($P354:AE354)</f>
        <v>#VALUE!</v>
      </c>
      <c r="AG354" s="446" t="e">
        <f>IF(OR($B354="",MIN(AG$38,$D$19)&lt;MAX($P$34*($B354+IF($R$17="Distrato",$I$38-1,0)),IF(AND($L$37=0,$P$34=0),"",$L$37-1),IF($R$17="Distrato",$E354,0))),0,YEARFRAC(MAX($P$34*($B354+IF($R$17="Distrato",$I$38-1,0)),IF(AND($L$37=0,$P$34=0),"",$L$37-1),IF($R$17="Distrato",$E354,0)),MIN(AG$38,$D$19),$P$20))-SUM($P354:AF354)</f>
        <v>#VALUE!</v>
      </c>
      <c r="AH354" s="446" t="e">
        <f>IF(OR($B354="",MIN(AH$38,$D$19)&lt;MAX($P$34*($B354+IF($R$17="Distrato",$I$38-1,0)),IF(AND($L$37=0,$P$34=0),"",$L$37-1),IF($R$17="Distrato",$E354,0))),0,YEARFRAC(MAX($P$34*($B354+IF($R$17="Distrato",$I$38-1,0)),IF(AND($L$37=0,$P$34=0),"",$L$37-1),IF($R$17="Distrato",$E354,0)),MIN(AH$38,$D$19),$P$20))-SUM($P354:AG354)</f>
        <v>#VALUE!</v>
      </c>
      <c r="AI354" s="446" t="e">
        <f>IF(OR($B354="",MIN(AI$38,$D$19)&lt;MAX($P$34*($B354+IF($R$17="Distrato",$I$38-1,0)),IF(AND($L$37=0,$P$34=0),"",$L$37-1),IF($R$17="Distrato",$E354,0))),0,YEARFRAC(MAX($P$34*($B354+IF($R$17="Distrato",$I$38-1,0)),IF(AND($L$37=0,$P$34=0),"",$L$37-1),IF($R$17="Distrato",$E354,0)),MIN(AI$38,$D$19),$P$20))-SUM($P354:AH354)</f>
        <v>#VALUE!</v>
      </c>
      <c r="AJ354" s="446" t="e">
        <f>IF(OR($B354="",MIN(AJ$38,$D$19)&lt;MAX($P$34*($B354+IF($R$17="Distrato",$I$38-1,0)),IF(AND($L$37=0,$P$34=0),"",$L$37-1),IF($R$17="Distrato",$E354,0))),0,YEARFRAC(MAX($P$34*($B354+IF($R$17="Distrato",$I$38-1,0)),IF(AND($L$37=0,$P$34=0),"",$L$37-1),IF($R$17="Distrato",$E354,0)),MIN(AJ$38,$D$19),$P$20))-SUM($P354:AI354)</f>
        <v>#VALUE!</v>
      </c>
      <c r="AK354" s="446" t="e">
        <f>IF(OR($B354="",MIN(AK$38,$D$19)&lt;MAX($P$34*($B354+IF($R$17="Distrato",$I$38-1,0)),IF(AND($L$37=0,$P$34=0),"",$L$37-1),IF($R$17="Distrato",$E354,0))),0,YEARFRAC(MAX($P$34*($B354+IF($R$17="Distrato",$I$38-1,0)),IF(AND($L$37=0,$P$34=0),"",$L$37-1),IF($R$17="Distrato",$E354,0)),MIN(AK$38,$D$19),$P$20))-SUM($P354:AJ354)</f>
        <v>#VALUE!</v>
      </c>
      <c r="AL354" s="446" t="e">
        <f>IF(OR($B354="",MIN(AL$38,$D$19)&lt;MAX($P$34*($B354+IF($R$17="Distrato",$I$38-1,0)),IF(AND($L$37=0,$P$34=0),"",$L$37-1),IF($R$17="Distrato",$E354,0))),0,YEARFRAC(MAX($P$34*($B354+IF($R$17="Distrato",$I$38-1,0)),IF(AND($L$37=0,$P$34=0),"",$L$37-1),IF($R$17="Distrato",$E354,0)),MIN(AL$38,$D$19),$P$20))-SUM($P354:AK354)</f>
        <v>#VALUE!</v>
      </c>
      <c r="AM354" s="446" t="e">
        <f>IF(OR($B354="",MIN(AM$38,$D$19)&lt;MAX($P$34*($B354+IF($R$17="Distrato",$I$38-1,0)),IF(AND($L$37=0,$P$34=0),"",$L$37-1),IF($R$17="Distrato",$E354,0))),0,YEARFRAC(MAX($P$34*($B354+IF($R$17="Distrato",$I$38-1,0)),IF(AND($L$37=0,$P$34=0),"",$L$37-1),IF($R$17="Distrato",$E354,0)),MIN(AM$38,$D$19),$P$20))-SUM($P354:AL354)</f>
        <v>#VALUE!</v>
      </c>
      <c r="AN354" s="446" t="e">
        <f>IF(OR($B354="",MIN(AN$38,$D$19)&lt;MAX($P$34*($B354+IF($R$17="Distrato",$I$38-1,0)),IF(AND($L$37=0,$P$34=0),"",$L$37-1),IF($R$17="Distrato",$E354,0))),0,YEARFRAC(MAX($P$34*($B354+IF($R$17="Distrato",$I$38-1,0)),IF(AND($L$37=0,$P$34=0),"",$L$37-1),IF($R$17="Distrato",$E354,0)),MIN(AN$38,$D$19),$P$20))-SUM($P354:AM354)</f>
        <v>#VALUE!</v>
      </c>
      <c r="AO354" s="446" t="e">
        <f>IF(OR($B354="",MIN(AO$38,$D$19)&lt;MAX($P$34*($B354+IF($R$17="Distrato",$I$38-1,0)),IF(AND($L$37=0,$P$34=0),"",$L$37-1),IF($R$17="Distrato",$E354,0))),0,YEARFRAC(MAX($P$34*($B354+IF($R$17="Distrato",$I$38-1,0)),IF(AND($L$37=0,$P$34=0),"",$L$37-1),IF($R$17="Distrato",$E354,0)),MIN(AO$38,$D$19),$P$20))-SUM($P354:AN354)</f>
        <v>#VALUE!</v>
      </c>
      <c r="AP354" s="446" t="e">
        <f>IF(OR($B354="",MIN(AP$38,$D$19)&lt;MAX($P$34*($B354+IF($R$17="Distrato",$I$38-1,0)),IF(AND($L$37=0,$P$34=0),"",$L$37-1),IF($R$17="Distrato",$E354,0))),0,YEARFRAC(MAX($P$34*($B354+IF($R$17="Distrato",$I$38-1,0)),IF(AND($L$37=0,$P$34=0),"",$L$37-1),IF($R$17="Distrato",$E354,0)),MIN(AP$38,$D$19),$P$20))-SUM($P354:AO354)</f>
        <v>#VALUE!</v>
      </c>
      <c r="AQ354" s="446" t="e">
        <f>IF(OR($B354="",MIN(AQ$38,$D$19)&lt;MAX($P$34*($B354+IF($R$17="Distrato",$I$38-1,0)),IF(AND($L$37=0,$P$34=0),"",$L$37-1),IF($R$17="Distrato",$E354,0))),0,YEARFRAC(MAX($P$34*($B354+IF($R$17="Distrato",$I$38-1,0)),IF(AND($L$37=0,$P$34=0),"",$L$37-1),IF($R$17="Distrato",$E354,0)),MIN(AQ$38,$D$19),$P$20))-SUM($P354:AP354)</f>
        <v>#VALUE!</v>
      </c>
      <c r="AR354" s="446" t="e">
        <f>IF(OR($B354="",MIN(AR$38,$D$19)&lt;MAX($P$34*($B354+IF($R$17="Distrato",$I$38-1,0)),IF(AND($L$37=0,$P$34=0),"",$L$37-1),IF($R$17="Distrato",$E354,0))),0,YEARFRAC(MAX($P$34*($B354+IF($R$17="Distrato",$I$38-1,0)),IF(AND($L$37=0,$P$34=0),"",$L$37-1),IF($R$17="Distrato",$E354,0)),MIN(AR$38,$D$19),$P$20))-SUM($P354:AQ354)</f>
        <v>#VALUE!</v>
      </c>
      <c r="AS354" s="446" t="e">
        <f>IF(OR($B354="",MIN(AS$38,$D$19)&lt;MAX($P$34*($B354+IF($R$17="Distrato",$I$38-1,0)),IF(AND($L$37=0,$P$34=0),"",$L$37-1),IF($R$17="Distrato",$E354,0))),0,YEARFRAC(MAX($P$34*($B354+IF($R$17="Distrato",$I$38-1,0)),IF(AND($L$37=0,$P$34=0),"",$L$37-1),IF($R$17="Distrato",$E354,0)),MIN(AS$38,$D$19),$P$20))-SUM($P354:AR354)</f>
        <v>#VALUE!</v>
      </c>
      <c r="AT354" s="446" t="e">
        <f>IF(OR($B354="",MIN(AT$38,$D$19)&lt;MAX($P$34*($B354+IF($R$17="Distrato",$I$38-1,0)),IF(AND($L$37=0,$P$34=0),"",$L$37-1),IF($R$17="Distrato",$E354,0))),0,YEARFRAC(MAX($P$34*($B354+IF($R$17="Distrato",$I$38-1,0)),IF(AND($L$37=0,$P$34=0),"",$L$37-1),IF($R$17="Distrato",$E354,0)),MIN(AT$38,$D$19),$P$20))-SUM($P354:AS354)</f>
        <v>#VALUE!</v>
      </c>
      <c r="AU354" s="446" t="e">
        <f>IF(OR($B354="",MIN(AU$38,$D$19)&lt;MAX($P$34*($B354+IF($R$17="Distrato",$I$38-1,0)),IF(AND($L$37=0,$P$34=0),"",$L$37-1),IF($R$17="Distrato",$E354,0))),0,YEARFRAC(MAX($P$34*($B354+IF($R$17="Distrato",$I$38-1,0)),IF(AND($L$37=0,$P$34=0),"",$L$37-1),IF($R$17="Distrato",$E354,0)),MIN(AU$38,$D$19),$P$20))-SUM($P354:AT354)</f>
        <v>#VALUE!</v>
      </c>
      <c r="AV354" s="446" t="e">
        <f>IF(OR($B354="",MIN(AV$38,$D$19)&lt;MAX($P$34*($B354+IF($R$17="Distrato",$I$38-1,0)),IF(AND($L$37=0,$P$34=0),"",$L$37-1),IF($R$17="Distrato",$E354,0))),0,YEARFRAC(MAX($P$34*($B354+IF($R$17="Distrato",$I$38-1,0)),IF(AND($L$37=0,$P$34=0),"",$L$37-1),IF($R$17="Distrato",$E354,0)),MIN(AV$38,$D$19),$P$20))-SUM($P354:AU354)</f>
        <v>#VALUE!</v>
      </c>
      <c r="AW354" s="446" t="e">
        <f>IF(OR($B354="",MIN(AW$38,$D$19)&lt;MAX($P$34*($B354+IF($R$17="Distrato",$I$38-1,0)),IF(AND($L$37=0,$P$34=0),"",$L$37-1),IF($R$17="Distrato",$E354,0))),0,YEARFRAC(MAX($P$34*($B354+IF($R$17="Distrato",$I$38-1,0)),IF(AND($L$37=0,$P$34=0),"",$L$37-1),IF($R$17="Distrato",$E354,0)),MIN(AW$38,$D$19),$P$20))-SUM($P354:AV354)</f>
        <v>#VALUE!</v>
      </c>
      <c r="AX354" s="446" t="e">
        <f>IF(OR($B354="",MIN(AX$38,$D$19)&lt;MAX($P$34*($B354+IF($R$17="Distrato",$I$38-1,0)),IF(AND($L$37=0,$P$34=0),"",$L$37-1),IF($R$17="Distrato",$E354,0))),0,YEARFRAC(MAX($P$34*($B354+IF($R$17="Distrato",$I$38-1,0)),IF(AND($L$37=0,$P$34=0),"",$L$37-1),IF($R$17="Distrato",$E354,0)),MIN(AX$38,$D$19),$P$20))-SUM($P354:AW354)</f>
        <v>#VALUE!</v>
      </c>
      <c r="AY354" s="446" t="e">
        <f>IF(OR($B354="",MIN(AY$38,$D$19)&lt;MAX($P$34*($B354+IF($R$17="Distrato",$I$38-1,0)),IF(AND($L$37=0,$P$34=0),"",$L$37-1),IF($R$17="Distrato",$E354,0))),0,YEARFRAC(MAX($P$34*($B354+IF($R$17="Distrato",$I$38-1,0)),IF(AND($L$37=0,$P$34=0),"",$L$37-1),IF($R$17="Distrato",$E354,0)),MIN(AY$38,$D$19),$P$20))-SUM($P354:AX354)</f>
        <v>#VALUE!</v>
      </c>
      <c r="AZ354" s="446" t="e">
        <f>IF(OR($B354="",MIN(AZ$38,$D$19)&lt;MAX($P$34*($B354+IF($R$17="Distrato",$I$38-1,0)),IF(AND($L$37=0,$P$34=0),"",$L$37-1),IF($R$17="Distrato",$E354,0))),0,YEARFRAC(MAX($P$34*($B354+IF($R$17="Distrato",$I$38-1,0)),IF(AND($L$37=0,$P$34=0),"",$L$37-1),IF($R$17="Distrato",$E354,0)),MIN(AZ$38,$D$19),$P$20))-SUM($P354:AY354)</f>
        <v>#VALUE!</v>
      </c>
      <c r="BA354" s="446" t="e">
        <f>IF(OR($B354="",MIN(BA$38,$D$19)&lt;MAX($P$34*($B354+IF($R$17="Distrato",$I$38-1,0)),IF(AND($L$37=0,$P$34=0),"",$L$37-1),IF($R$17="Distrato",$E354,0))),0,YEARFRAC(MAX($P$34*($B354+IF($R$17="Distrato",$I$38-1,0)),IF(AND($L$37=0,$P$34=0),"",$L$37-1),IF($R$17="Distrato",$E354,0)),MIN(BA$38,$D$19),$P$20))-SUM($P354:AZ354)</f>
        <v>#VALUE!</v>
      </c>
      <c r="BB354" s="447"/>
      <c r="BF354" s="446">
        <f t="shared" si="54"/>
        <v>0</v>
      </c>
      <c r="BG354" s="446">
        <f>IF($E354=0,0,IF(MIN(BG$38,$E354)&lt;MAX($P$34*($B354+$I$38-1),IF(AND($L$37=0,$P$34=0),"",$L$37-1)),0,YEARFRAC(MAX($P$34*($B354+$I$38-1),IF(AND($L$37=0,$P$34=0),"",$L$37-1)),MIN(BG$38,$E354),$P$20))-SUM($BF354:BF354))</f>
        <v>0</v>
      </c>
      <c r="BH354" s="446">
        <f>IF($E354=0,0,IF(MIN(BH$38,$E354)&lt;MAX($P$34*($B354+$I$38-1),IF(AND($L$37=0,$P$34=0),"",$L$37-1)),0,YEARFRAC(MAX($P$34*($B354+$I$38-1),IF(AND($L$37=0,$P$34=0),"",$L$37-1)),MIN(BH$38,$E354),$P$20))-SUM($BF354:BG354))</f>
        <v>0</v>
      </c>
      <c r="BI354" s="446">
        <f>IF($E354=0,0,IF(MIN(BI$38,$E354)&lt;MAX($P$34*($B354+$I$38-1),IF(AND($L$37=0,$P$34=0),"",$L$37-1)),0,YEARFRAC(MAX($P$34*($B354+$I$38-1),IF(AND($L$37=0,$P$34=0),"",$L$37-1)),MIN(BI$38,$E354),$P$20))-SUM($BF354:BH354))</f>
        <v>0</v>
      </c>
      <c r="BJ354" s="446">
        <f>IF($E354=0,0,IF(MIN(BJ$38,$E354)&lt;MAX($P$34*($B354+$I$38-1),IF(AND($L$37=0,$P$34=0),"",$L$37-1)),0,YEARFRAC(MAX($P$34*($B354+$I$38-1),IF(AND($L$37=0,$P$34=0),"",$L$37-1)),MIN(BJ$38,$E354),$P$20))-SUM($BF354:BI354))</f>
        <v>0</v>
      </c>
      <c r="BK354" s="446">
        <f>IF($E354=0,0,IF(MIN(BK$38,$E354)&lt;MAX($P$34*($B354+$I$38-1),IF(AND($L$37=0,$P$34=0),"",$L$37-1)),0,YEARFRAC(MAX($P$34*($B354+$I$38-1),IF(AND($L$37=0,$P$34=0),"",$L$37-1)),MIN(BK$38,$E354),$P$20))-SUM($BF354:BJ354))</f>
        <v>0</v>
      </c>
      <c r="BL354" s="446">
        <f>IF($E354=0,0,IF(MIN(BL$38,$E354)&lt;MAX($P$34*($B354+$I$38-1),IF(AND($L$37=0,$P$34=0),"",$L$37-1)),0,YEARFRAC(MAX($P$34*($B354+$I$38-1),IF(AND($L$37=0,$P$34=0),"",$L$37-1)),MIN(BL$38,$E354),$P$20))-SUM($BF354:BK354))</f>
        <v>0</v>
      </c>
      <c r="BM354" s="446">
        <f>IF($E354=0,0,IF(MIN(BM$38,$E354)&lt;MAX($P$34*($B354+$I$38-1),IF(AND($L$37=0,$P$34=0),"",$L$37-1)),0,YEARFRAC(MAX($P$34*($B354+$I$38-1),IF(AND($L$37=0,$P$34=0),"",$L$37-1)),MIN(BM$38,$E354),$P$20))-SUM($BF354:BL354))</f>
        <v>0</v>
      </c>
      <c r="BN354" s="446">
        <f>IF($E354=0,0,IF(MIN(BN$38,$E354)&lt;MAX($P$34*($B354+$I$38-1),IF(AND($L$37=0,$P$34=0),"",$L$37-1)),0,YEARFRAC(MAX($P$34*($B354+$I$38-1),IF(AND($L$37=0,$P$34=0),"",$L$37-1)),MIN(BN$38,$E354),$P$20))-SUM($BF354:BM354))</f>
        <v>0</v>
      </c>
      <c r="BO354" s="446">
        <f>IF($E354=0,0,IF(MIN(BO$38,$E354)&lt;MAX($P$34*($B354+$I$38-1),IF(AND($L$37=0,$P$34=0),"",$L$37-1)),0,YEARFRAC(MAX($P$34*($B354+$I$38-1),IF(AND($L$37=0,$P$34=0),"",$L$37-1)),MIN(BO$38,$E354),$P$20))-SUM($BF354:BN354))</f>
        <v>0</v>
      </c>
      <c r="BP354" s="446">
        <f>IF($E354=0,0,IF(MIN(BP$38,$E354)&lt;MAX($P$34*($B354+$I$38-1),IF(AND($L$37=0,$P$34=0),"",$L$37-1)),0,YEARFRAC(MAX($P$34*($B354+$I$38-1),IF(AND($L$37=0,$P$34=0),"",$L$37-1)),MIN(BP$38,$E354),$P$20))-SUM($BF354:BO354))</f>
        <v>0</v>
      </c>
      <c r="BQ354" s="446">
        <f>IF($E354=0,0,IF(MIN(BQ$38,$E354)&lt;MAX($P$34*($B354+$I$38-1),IF(AND($L$37=0,$P$34=0),"",$L$37-1)),0,YEARFRAC(MAX($P$34*($B354+$I$38-1),IF(AND($L$37=0,$P$34=0),"",$L$37-1)),MIN(BQ$38,$E354),$P$20))-SUM($BF354:BP354))</f>
        <v>0</v>
      </c>
      <c r="BR354" s="446">
        <f>IF($E354=0,0,IF(MIN(BR$38,$E354)&lt;MAX($P$34*($B354+$I$38-1),IF(AND($L$37=0,$P$34=0),"",$L$37-1)),0,YEARFRAC(MAX($P$34*($B354+$I$38-1),IF(AND($L$37=0,$P$34=0),"",$L$37-1)),MIN(BR$38,$E354),$P$20))-SUM($BF354:BQ354))</f>
        <v>0</v>
      </c>
      <c r="BS354" s="446">
        <f>IF($E354=0,0,IF(MIN(BS$38,$E354)&lt;MAX($P$34*($B354+$I$38-1),IF(AND($L$37=0,$P$34=0),"",$L$37-1)),0,YEARFRAC(MAX($P$34*($B354+$I$38-1),IF(AND($L$37=0,$P$34=0),"",$L$37-1)),MIN(BS$38,$E354),$P$20))-SUM($BF354:BR354))</f>
        <v>0</v>
      </c>
      <c r="BT354" s="446">
        <f>IF($E354=0,0,IF(MIN(BT$38,$E354)&lt;MAX($P$34*($B354+$I$38-1),IF(AND($L$37=0,$P$34=0),"",$L$37-1)),0,YEARFRAC(MAX($P$34*($B354+$I$38-1),IF(AND($L$37=0,$P$34=0),"",$L$37-1)),MIN(BT$38,$E354),$P$20))-SUM($BF354:BS354))</f>
        <v>0</v>
      </c>
      <c r="BU354" s="446">
        <f>IF($E354=0,0,IF(MIN(BU$38,$E354)&lt;MAX($P$34*($B354+$I$38-1),IF(AND($L$37=0,$P$34=0),"",$L$37-1)),0,YEARFRAC(MAX($P$34*($B354+$I$38-1),IF(AND($L$37=0,$P$34=0),"",$L$37-1)),MIN(BU$38,$E354),$P$20))-SUM($BF354:BT354))</f>
        <v>0</v>
      </c>
      <c r="BV354" s="446">
        <f>IF($E354=0,0,IF(MIN(BV$38,$E354)&lt;MAX($P$34*($B354+$I$38-1),IF(AND($L$37=0,$P$34=0),"",$L$37-1)),0,YEARFRAC(MAX($P$34*($B354+$I$38-1),IF(AND($L$37=0,$P$34=0),"",$L$37-1)),MIN(BV$38,$E354),$P$20))-SUM($BF354:BU354))</f>
        <v>0</v>
      </c>
      <c r="BW354" s="446">
        <f>IF($E354=0,0,IF(MIN(BW$38,$E354)&lt;MAX($P$34*($B354+$I$38-1),IF(AND($L$37=0,$P$34=0),"",$L$37-1)),0,YEARFRAC(MAX($P$34*($B354+$I$38-1),IF(AND($L$37=0,$P$34=0),"",$L$37-1)),MIN(BW$38,$E354),$P$20))-SUM($BF354:BV354))</f>
        <v>0</v>
      </c>
      <c r="BX354" s="446">
        <f>IF($E354=0,0,IF(MIN(BX$38,$E354)&lt;MAX($P$34*($B354+$I$38-1),IF(AND($L$37=0,$P$34=0),"",$L$37-1)),0,YEARFRAC(MAX($P$34*($B354+$I$38-1),IF(AND($L$37=0,$P$34=0),"",$L$37-1)),MIN(BX$38,$E354),$P$20))-SUM($BF354:BW354))</f>
        <v>0</v>
      </c>
      <c r="BY354" s="446">
        <f>IF($E354=0,0,IF(MIN(BY$38,$E354)&lt;MAX($P$34*($B354+$I$38-1),IF(AND($L$37=0,$P$34=0),"",$L$37-1)),0,YEARFRAC(MAX($P$34*($B354+$I$38-1),IF(AND($L$37=0,$P$34=0),"",$L$37-1)),MIN(BY$38,$E354),$P$20))-SUM($BF354:BX354))</f>
        <v>0</v>
      </c>
      <c r="BZ354" s="446">
        <f>IF($E354=0,0,IF(MIN(BZ$38,$E354)&lt;MAX($P$34*($B354+$I$38-1),IF(AND($L$37=0,$P$34=0),"",$L$37-1)),0,YEARFRAC(MAX($P$34*($B354+$I$38-1),IF(AND($L$37=0,$P$34=0),"",$L$37-1)),MIN(BZ$38,$E354),$P$20))-SUM($BF354:BY354))</f>
        <v>0</v>
      </c>
      <c r="CA354" s="446">
        <f>IF($E354=0,0,IF(MIN(CA$38,$E354)&lt;MAX($P$34*($B354+$I$38-1),IF(AND($L$37=0,$P$34=0),"",$L$37-1)),0,YEARFRAC(MAX($P$34*($B354+$I$38-1),IF(AND($L$37=0,$P$34=0),"",$L$37-1)),MIN(CA$38,$E354),$P$20))-SUM($BF354:BZ354))</f>
        <v>0</v>
      </c>
      <c r="CB354" s="446">
        <f>IF($E354=0,0,IF(MIN(CB$38,$E354)&lt;MAX($P$34*($B354+$I$38-1),IF(AND($L$37=0,$P$34=0),"",$L$37-1)),0,YEARFRAC(MAX($P$34*($B354+$I$38-1),IF(AND($L$37=0,$P$34=0),"",$L$37-1)),MIN(CB$38,$E354),$P$20))-SUM($BF354:CA354))</f>
        <v>0</v>
      </c>
      <c r="CC354" s="446">
        <f>IF($E354=0,0,IF(MIN(CC$38,$E354)&lt;MAX($P$34*($B354+$I$38-1),IF(AND($L$37=0,$P$34=0),"",$L$37-1)),0,YEARFRAC(MAX($P$34*($B354+$I$38-1),IF(AND($L$37=0,$P$34=0),"",$L$37-1)),MIN(CC$38,$E354),$P$20))-SUM($BF354:CB354))</f>
        <v>0</v>
      </c>
      <c r="CD354" s="446">
        <f>IF($E354=0,0,IF(MIN(CD$38,$E354)&lt;MAX($P$34*($B354+$I$38-1),IF(AND($L$37=0,$P$34=0),"",$L$37-1)),0,YEARFRAC(MAX($P$34*($B354+$I$38-1),IF(AND($L$37=0,$P$34=0),"",$L$37-1)),MIN(CD$38,$E354),$P$20))-SUM($BF354:CC354))</f>
        <v>0</v>
      </c>
      <c r="CE354" s="446">
        <f>IF($E354=0,0,IF(MIN(CE$38,$E354)&lt;MAX($P$34*($B354+$I$38-1),IF(AND($L$37=0,$P$34=0),"",$L$37-1)),0,YEARFRAC(MAX($P$34*($B354+$I$38-1),IF(AND($L$37=0,$P$34=0),"",$L$37-1)),MIN(CE$38,$E354),$P$20))-SUM($BF354:CD354))</f>
        <v>0</v>
      </c>
      <c r="CF354" s="446">
        <f>IF($E354=0,0,IF(MIN(CF$38,$E354)&lt;MAX($P$34*($B354+$I$38-1),IF(AND($L$37=0,$P$34=0),"",$L$37-1)),0,YEARFRAC(MAX($P$34*($B354+$I$38-1),IF(AND($L$37=0,$P$34=0),"",$L$37-1)),MIN(CF$38,$E354),$P$20))-SUM($BF354:CE354))</f>
        <v>0</v>
      </c>
      <c r="CG354" s="446">
        <f>IF($E354=0,0,IF(MIN(CG$38,$E354)&lt;MAX($P$34*($B354+$I$38-1),IF(AND($L$37=0,$P$34=0),"",$L$37-1)),0,YEARFRAC(MAX($P$34*($B354+$I$38-1),IF(AND($L$37=0,$P$34=0),"",$L$37-1)),MIN(CG$38,$E354),$P$20))-SUM($BF354:CF354))</f>
        <v>0</v>
      </c>
      <c r="CH354" s="446">
        <f>IF($E354=0,0,IF(MIN(CH$38,$E354)&lt;MAX($P$34*($B354+$I$38-1),IF(AND($L$37=0,$P$34=0),"",$L$37-1)),0,YEARFRAC(MAX($P$34*($B354+$I$38-1),IF(AND($L$37=0,$P$34=0),"",$L$37-1)),MIN(CH$38,$E354),$P$20))-SUM($BF354:CG354))</f>
        <v>0</v>
      </c>
      <c r="CI354" s="446">
        <f>IF($E354=0,0,IF(MIN(CI$38,$E354)&lt;MAX($P$34*($B354+$I$38-1),IF(AND($L$37=0,$P$34=0),"",$L$37-1)),0,YEARFRAC(MAX($P$34*($B354+$I$38-1),IF(AND($L$37=0,$P$34=0),"",$L$37-1)),MIN(CI$38,$E354),$P$20))-SUM($BF354:CH354))</f>
        <v>0</v>
      </c>
      <c r="CJ354" s="446">
        <f>IF($E354=0,0,IF(MIN(CJ$38,$E354)&lt;MAX($P$34*($B354+$I$38-1),IF(AND($L$37=0,$P$34=0),"",$L$37-1)),0,YEARFRAC(MAX($P$34*($B354+$I$38-1),IF(AND($L$37=0,$P$34=0),"",$L$37-1)),MIN(CJ$38,$E354),$P$20))-SUM($BF354:CI354))</f>
        <v>0</v>
      </c>
      <c r="CK354" s="446">
        <f>IF($E354=0,0,IF(MIN(CK$38,$E354)&lt;MAX($P$34*($B354+$I$38-1),IF(AND($L$37=0,$P$34=0),"",$L$37-1)),0,YEARFRAC(MAX($P$34*($B354+$I$38-1),IF(AND($L$37=0,$P$34=0),"",$L$37-1)),MIN(CK$38,$E354),$P$20))-SUM($BF354:CJ354))</f>
        <v>0</v>
      </c>
      <c r="CL354" s="446">
        <f>IF($E354=0,0,IF(MIN(CL$38,$E354)&lt;MAX($P$34*($B354+$I$38-1),IF(AND($L$37=0,$P$34=0),"",$L$37-1)),0,YEARFRAC(MAX($P$34*($B354+$I$38-1),IF(AND($L$37=0,$P$34=0),"",$L$37-1)),MIN(CL$38,$E354),$P$20))-SUM($BF354:CK354))</f>
        <v>0</v>
      </c>
      <c r="CM354" s="446">
        <f>IF($E354=0,0,IF(MIN(CM$38,$E354)&lt;MAX($P$34*($B354+$I$38-1),IF(AND($L$37=0,$P$34=0),"",$L$37-1)),0,YEARFRAC(MAX($P$34*($B354+$I$38-1),IF(AND($L$37=0,$P$34=0),"",$L$37-1)),MIN(CM$38,$E354),$P$20))-SUM($BF354:CL354))</f>
        <v>0</v>
      </c>
      <c r="CN354" s="446">
        <f>IF($E354=0,0,IF(MIN(CN$38,$E354)&lt;MAX($P$34*($B354+$I$38-1),IF(AND($L$37=0,$P$34=0),"",$L$37-1)),0,YEARFRAC(MAX($P$34*($B354+$I$38-1),IF(AND($L$37=0,$P$34=0),"",$L$37-1)),MIN(CN$38,$E354),$P$20))-SUM($BF354:CM354))</f>
        <v>0</v>
      </c>
      <c r="CO354" s="446">
        <f>IF($E354=0,0,IF(MIN(CO$38,$E354)&lt;MAX($P$34*($B354+$I$38-1),IF(AND($L$37=0,$P$34=0),"",$L$37-1)),0,YEARFRAC(MAX($P$34*($B354+$I$38-1),IF(AND($L$37=0,$P$34=0),"",$L$37-1)),MIN(CO$38,$E354),$P$20))-SUM($BF354:CN354))</f>
        <v>0</v>
      </c>
      <c r="CP354" s="446">
        <f>IF($E354=0,0,IF(MIN(CP$38,$E354)&lt;MAX($P$34*($B354+$I$38-1),IF(AND($L$37=0,$P$34=0),"",$L$37-1)),0,YEARFRAC(MAX($P$34*($B354+$I$38-1),IF(AND($L$37=0,$P$34=0),"",$L$37-1)),MIN(CP$38,$E354),$P$20))-SUM($BF354:CO354))</f>
        <v>0</v>
      </c>
      <c r="CQ354" s="446">
        <f>IF($E354=0,0,IF(MIN(CQ$38,$E354)&lt;MAX($P$34*($B354+$I$38-1),IF(AND($L$37=0,$P$34=0),"",$L$37-1)),0,YEARFRAC(MAX($P$34*($B354+$I$38-1),IF(AND($L$37=0,$P$34=0),"",$L$37-1)),MIN(CQ$38,$E354),$P$20))-SUM($BF354:CP354))</f>
        <v>0</v>
      </c>
    </row>
    <row r="355" spans="1:95" s="446" customFormat="1" ht="11.25" hidden="1" customHeight="1" x14ac:dyDescent="0.2">
      <c r="A355" s="152"/>
      <c r="B355" s="153" t="str">
        <f t="shared" si="59"/>
        <v/>
      </c>
      <c r="C355" s="29" t="str">
        <f>IF(B355="","",IF($L$35="SELIC - TRIBUTOS",VLOOKUP(DATE(YEAR($D$19),MONTH($D$19)-1,1),ÍNDICES!$A:$DE,HLOOKUP($BL$25,ÍNDICES!$B$3:$T$4,2)+11)-VLOOKUP(B355,ÍNDICES!$A:$DE,HLOOKUP($BL$25,ÍNDICES!$B$3:$T$4,2)+11)+1%,IF(C$38=$W$26,$J$35,IF(ISERROR(IF(B355&gt;$D$19,1,VLOOKUP(DATE(YEAR(B355),MONTH(B355)+IF($C$35=$S$23,1,0),1),ÍNDICES!$A:$DE,$Z$35+1))),"",IF(B355&gt;$D$19,1,VLOOKUP(DATE(YEAR(B355),MONTH(B355)+IF($C$35=$S$23,1,0),1),ÍNDICES!$A:$DE,$Z$35+1))))))</f>
        <v/>
      </c>
      <c r="D355" s="154" t="str">
        <f>IF(ISERROR(IF(OR($D$38=$Y$27,$B355=""),"",VLOOKUP(B355,ÍNDICES!A:DE,AF$35+1))),"",IF(OR($D$38=$Y$27,$B355=""),"",VLOOKUP(B355,ÍNDICES!A:DE,AF$35+1)))</f>
        <v/>
      </c>
      <c r="E355" s="153"/>
      <c r="F355" s="29" t="str">
        <f>IF(E355="","",IF($L$35="SELIC - TRIBUTOS",VLOOKUP(DATE(YEAR($D$19),MONTH($D$19)-1,1),ÍNDICES!$A:$DE,HLOOKUP($BL$25,ÍNDICES!$B$3:$T$4,2)+11)-VLOOKUP(E355,ÍNDICES!$A:$DE,HLOOKUP($BL$25,ÍNDICES!$B$3:$T$4,2)+11)+1%,IF(F$38=$W$26,$J$35,IF(ISERROR(IF(E355&gt;$D$19,1,VLOOKUP(DATE(YEAR(E355),MONTH(E355)+IF($C$35=$S$23,1,0),1),ÍNDICES!$A:$DE,$Z$35+1))),"",IF(E355&gt;$D$19,1,VLOOKUP(DATE(YEAR(E355),MONTH(E355)+IF($C$35=$S$23,1,0),1),ÍNDICES!$A:$DE,$Z$35+1))))))</f>
        <v/>
      </c>
      <c r="G355" s="155"/>
      <c r="H355" s="156" t="str">
        <f t="shared" si="55"/>
        <v/>
      </c>
      <c r="I355" s="29" t="str">
        <f t="shared" si="49"/>
        <v/>
      </c>
      <c r="J355" s="5">
        <f t="shared" si="50"/>
        <v>0</v>
      </c>
      <c r="K355" s="20">
        <f t="shared" ca="1" si="51"/>
        <v>0</v>
      </c>
      <c r="L355" s="5">
        <f t="shared" ca="1" si="52"/>
        <v>0</v>
      </c>
      <c r="M355" s="64">
        <f t="shared" si="56"/>
        <v>0</v>
      </c>
      <c r="N355" s="61">
        <f t="shared" ca="1" si="57"/>
        <v>0</v>
      </c>
      <c r="O355" s="5">
        <f t="shared" ca="1" si="58"/>
        <v>0</v>
      </c>
      <c r="P355" s="446" t="e">
        <f t="shared" si="53"/>
        <v>#VALUE!</v>
      </c>
      <c r="Q355" s="446" t="e">
        <f>IF(OR($B355="",MIN(Q$38,$D$19)&lt;MAX($P$34*($B355+IF($R$17="Distrato",$I$38-1,0)),IF(AND($L$37=0,$P$34=0),"",$L$37-1),IF($R$17="Distrato",$E355,0))),0,YEARFRAC(MAX($P$34*($B355+IF($R$17="Distrato",$I$38-1,0)),IF(AND($L$37=0,$P$34=0),"",$L$37-1),IF($R$17="Distrato",$E355,0)),MIN(Q$38,$D$19),$P$20))-SUM($P355:P355)</f>
        <v>#VALUE!</v>
      </c>
      <c r="R355" s="446" t="e">
        <f>IF(OR($B355="",MIN(R$38,$D$19)&lt;MAX($P$34*($B355+IF($R$17="Distrato",$I$38-1,0)),IF(AND($L$37=0,$P$34=0),"",$L$37-1),IF($R$17="Distrato",$E355,0))),0,YEARFRAC(MAX($P$34*($B355+IF($R$17="Distrato",$I$38-1,0)),IF(AND($L$37=0,$P$34=0),"",$L$37-1),IF($R$17="Distrato",$E355,0)),MIN(R$38,$D$19),$P$20))-SUM($P355:Q355)</f>
        <v>#VALUE!</v>
      </c>
      <c r="S355" s="446" t="e">
        <f>IF(OR($B355="",MIN(S$38,$D$19)&lt;MAX($P$34*($B355+IF($R$17="Distrato",$I$38-1,0)),IF(AND($L$37=0,$P$34=0),"",$L$37-1),IF($R$17="Distrato",$E355,0))),0,YEARFRAC(MAX($P$34*($B355+IF($R$17="Distrato",$I$38-1,0)),IF(AND($L$37=0,$P$34=0),"",$L$37-1),IF($R$17="Distrato",$E355,0)),MIN(S$38,$D$19),$P$20))-SUM($P355:R355)</f>
        <v>#VALUE!</v>
      </c>
      <c r="T355" s="446" t="e">
        <f>IF(OR($B355="",MIN(T$38,$D$19)&lt;MAX($P$34*($B355+IF($R$17="Distrato",$I$38-1,0)),IF(AND($L$37=0,$P$34=0),"",$L$37-1),IF($R$17="Distrato",$E355,0))),0,YEARFRAC(MAX($P$34*($B355+IF($R$17="Distrato",$I$38-1,0)),IF(AND($L$37=0,$P$34=0),"",$L$37-1),IF($R$17="Distrato",$E355,0)),MIN(T$38,$D$19),$P$20))-SUM($P355:S355)</f>
        <v>#VALUE!</v>
      </c>
      <c r="U355" s="446" t="e">
        <f>IF(OR($B355="",MIN(U$38,$D$19)&lt;MAX($P$34*($B355+IF($R$17="Distrato",$I$38-1,0)),IF(AND($L$37=0,$P$34=0),"",$L$37-1),IF($R$17="Distrato",$E355,0))),0,YEARFRAC(MAX($P$34*($B355+IF($R$17="Distrato",$I$38-1,0)),IF(AND($L$37=0,$P$34=0),"",$L$37-1),IF($R$17="Distrato",$E355,0)),MIN(U$38,$D$19),$P$20))-SUM($P355:T355)</f>
        <v>#VALUE!</v>
      </c>
      <c r="V355" s="446" t="e">
        <f>IF(OR($B355="",MIN(V$38,$D$19)&lt;MAX($P$34*($B355+IF($R$17="Distrato",$I$38-1,0)),IF(AND($L$37=0,$P$34=0),"",$L$37-1),IF($R$17="Distrato",$E355,0))),0,YEARFRAC(MAX($P$34*($B355+IF($R$17="Distrato",$I$38-1,0)),IF(AND($L$37=0,$P$34=0),"",$L$37-1),IF($R$17="Distrato",$E355,0)),MIN(V$38,$D$19),$P$20))-SUM($P355:U355)</f>
        <v>#VALUE!</v>
      </c>
      <c r="W355" s="446" t="e">
        <f>IF(OR($B355="",MIN(W$38,$D$19)&lt;MAX($P$34*($B355+IF($R$17="Distrato",$I$38-1,0)),IF(AND($L$37=0,$P$34=0),"",$L$37-1),IF($R$17="Distrato",$E355,0))),0,YEARFRAC(MAX($P$34*($B355+IF($R$17="Distrato",$I$38-1,0)),IF(AND($L$37=0,$P$34=0),"",$L$37-1),IF($R$17="Distrato",$E355,0)),MIN(W$38,$D$19),$P$20))-SUM($P355:V355)</f>
        <v>#VALUE!</v>
      </c>
      <c r="X355" s="446" t="e">
        <f>IF(OR($B355="",MIN(X$38,$D$19)&lt;MAX($P$34*($B355+IF($R$17="Distrato",$I$38-1,0)),IF(AND($L$37=0,$P$34=0),"",$L$37-1),IF($R$17="Distrato",$E355,0))),0,YEARFRAC(MAX($P$34*($B355+IF($R$17="Distrato",$I$38-1,0)),IF(AND($L$37=0,$P$34=0),"",$L$37-1),IF($R$17="Distrato",$E355,0)),MIN(X$38,$D$19),$P$20))-SUM($P355:W355)</f>
        <v>#VALUE!</v>
      </c>
      <c r="Y355" s="446" t="e">
        <f>IF(OR($B355="",MIN(Y$38,$D$19)&lt;MAX($P$34*($B355+IF($R$17="Distrato",$I$38-1,0)),IF(AND($L$37=0,$P$34=0),"",$L$37-1),IF($R$17="Distrato",$E355,0))),0,YEARFRAC(MAX($P$34*($B355+IF($R$17="Distrato",$I$38-1,0)),IF(AND($L$37=0,$P$34=0),"",$L$37-1),IF($R$17="Distrato",$E355,0)),MIN(Y$38,$D$19),$P$20))-SUM($P355:X355)</f>
        <v>#VALUE!</v>
      </c>
      <c r="Z355" s="446" t="e">
        <f>IF(OR($B355="",MIN(Z$38,$D$19)&lt;MAX($P$34*($B355+IF($R$17="Distrato",$I$38-1,0)),IF(AND($L$37=0,$P$34=0),"",$L$37-1),IF($R$17="Distrato",$E355,0))),0,YEARFRAC(MAX($P$34*($B355+IF($R$17="Distrato",$I$38-1,0)),IF(AND($L$37=0,$P$34=0),"",$L$37-1),IF($R$17="Distrato",$E355,0)),MIN(Z$38,$D$19),$P$20))-SUM($P355:Y355)</f>
        <v>#VALUE!</v>
      </c>
      <c r="AA355" s="446" t="e">
        <f>IF(OR($B355="",MIN(AA$38,$D$19)&lt;MAX($P$34*($B355+IF($R$17="Distrato",$I$38-1,0)),IF(AND($L$37=0,$P$34=0),"",$L$37-1),IF($R$17="Distrato",$E355,0))),0,YEARFRAC(MAX($P$34*($B355+IF($R$17="Distrato",$I$38-1,0)),IF(AND($L$37=0,$P$34=0),"",$L$37-1),IF($R$17="Distrato",$E355,0)),MIN(AA$38,$D$19),$P$20))-SUM($P355:Z355)</f>
        <v>#VALUE!</v>
      </c>
      <c r="AB355" s="446" t="e">
        <f>IF(OR($B355="",MIN(AB$38,$D$19)&lt;MAX($P$34*($B355+IF($R$17="Distrato",$I$38-1,0)),IF(AND($L$37=0,$P$34=0),"",$L$37-1),IF($R$17="Distrato",$E355,0))),0,YEARFRAC(MAX($P$34*($B355+IF($R$17="Distrato",$I$38-1,0)),IF(AND($L$37=0,$P$34=0),"",$L$37-1),IF($R$17="Distrato",$E355,0)),MIN(AB$38,$D$19),$P$20))-SUM($P355:AA355)</f>
        <v>#VALUE!</v>
      </c>
      <c r="AC355" s="446" t="e">
        <f>IF(OR($B355="",MIN(AC$38,$D$19)&lt;MAX($P$34*($B355+IF($R$17="Distrato",$I$38-1,0)),IF(AND($L$37=0,$P$34=0),"",$L$37-1),IF($R$17="Distrato",$E355,0))),0,YEARFRAC(MAX($P$34*($B355+IF($R$17="Distrato",$I$38-1,0)),IF(AND($L$37=0,$P$34=0),"",$L$37-1),IF($R$17="Distrato",$E355,0)),MIN(AC$38,$D$19),$P$20))-SUM($P355:AB355)</f>
        <v>#VALUE!</v>
      </c>
      <c r="AD355" s="446" t="e">
        <f>IF(OR($B355="",MIN(AD$38,$D$19)&lt;MAX($P$34*($B355+IF($R$17="Distrato",$I$38-1,0)),IF(AND($L$37=0,$P$34=0),"",$L$37-1),IF($R$17="Distrato",$E355,0))),0,YEARFRAC(MAX($P$34*($B355+IF($R$17="Distrato",$I$38-1,0)),IF(AND($L$37=0,$P$34=0),"",$L$37-1),IF($R$17="Distrato",$E355,0)),MIN(AD$38,$D$19),$P$20))-SUM($P355:AC355)</f>
        <v>#VALUE!</v>
      </c>
      <c r="AE355" s="446" t="e">
        <f>IF(OR($B355="",MIN(AE$38,$D$19)&lt;MAX($P$34*($B355+IF($R$17="Distrato",$I$38-1,0)),IF(AND($L$37=0,$P$34=0),"",$L$37-1),IF($R$17="Distrato",$E355,0))),0,YEARFRAC(MAX($P$34*($B355+IF($R$17="Distrato",$I$38-1,0)),IF(AND($L$37=0,$P$34=0),"",$L$37-1),IF($R$17="Distrato",$E355,0)),MIN(AE$38,$D$19),$P$20))-SUM($P355:AD355)</f>
        <v>#VALUE!</v>
      </c>
      <c r="AF355" s="446" t="e">
        <f>IF(OR($B355="",MIN(AF$38,$D$19)&lt;MAX($P$34*($B355+IF($R$17="Distrato",$I$38-1,0)),IF(AND($L$37=0,$P$34=0),"",$L$37-1),IF($R$17="Distrato",$E355,0))),0,YEARFRAC(MAX($P$34*($B355+IF($R$17="Distrato",$I$38-1,0)),IF(AND($L$37=0,$P$34=0),"",$L$37-1),IF($R$17="Distrato",$E355,0)),MIN(AF$38,$D$19),$P$20))-SUM($P355:AE355)</f>
        <v>#VALUE!</v>
      </c>
      <c r="AG355" s="446" t="e">
        <f>IF(OR($B355="",MIN(AG$38,$D$19)&lt;MAX($P$34*($B355+IF($R$17="Distrato",$I$38-1,0)),IF(AND($L$37=0,$P$34=0),"",$L$37-1),IF($R$17="Distrato",$E355,0))),0,YEARFRAC(MAX($P$34*($B355+IF($R$17="Distrato",$I$38-1,0)),IF(AND($L$37=0,$P$34=0),"",$L$37-1),IF($R$17="Distrato",$E355,0)),MIN(AG$38,$D$19),$P$20))-SUM($P355:AF355)</f>
        <v>#VALUE!</v>
      </c>
      <c r="AH355" s="446" t="e">
        <f>IF(OR($B355="",MIN(AH$38,$D$19)&lt;MAX($P$34*($B355+IF($R$17="Distrato",$I$38-1,0)),IF(AND($L$37=0,$P$34=0),"",$L$37-1),IF($R$17="Distrato",$E355,0))),0,YEARFRAC(MAX($P$34*($B355+IF($R$17="Distrato",$I$38-1,0)),IF(AND($L$37=0,$P$34=0),"",$L$37-1),IF($R$17="Distrato",$E355,0)),MIN(AH$38,$D$19),$P$20))-SUM($P355:AG355)</f>
        <v>#VALUE!</v>
      </c>
      <c r="AI355" s="446" t="e">
        <f>IF(OR($B355="",MIN(AI$38,$D$19)&lt;MAX($P$34*($B355+IF($R$17="Distrato",$I$38-1,0)),IF(AND($L$37=0,$P$34=0),"",$L$37-1),IF($R$17="Distrato",$E355,0))),0,YEARFRAC(MAX($P$34*($B355+IF($R$17="Distrato",$I$38-1,0)),IF(AND($L$37=0,$P$34=0),"",$L$37-1),IF($R$17="Distrato",$E355,0)),MIN(AI$38,$D$19),$P$20))-SUM($P355:AH355)</f>
        <v>#VALUE!</v>
      </c>
      <c r="AJ355" s="446" t="e">
        <f>IF(OR($B355="",MIN(AJ$38,$D$19)&lt;MAX($P$34*($B355+IF($R$17="Distrato",$I$38-1,0)),IF(AND($L$37=0,$P$34=0),"",$L$37-1),IF($R$17="Distrato",$E355,0))),0,YEARFRAC(MAX($P$34*($B355+IF($R$17="Distrato",$I$38-1,0)),IF(AND($L$37=0,$P$34=0),"",$L$37-1),IF($R$17="Distrato",$E355,0)),MIN(AJ$38,$D$19),$P$20))-SUM($P355:AI355)</f>
        <v>#VALUE!</v>
      </c>
      <c r="AK355" s="446" t="e">
        <f>IF(OR($B355="",MIN(AK$38,$D$19)&lt;MAX($P$34*($B355+IF($R$17="Distrato",$I$38-1,0)),IF(AND($L$37=0,$P$34=0),"",$L$37-1),IF($R$17="Distrato",$E355,0))),0,YEARFRAC(MAX($P$34*($B355+IF($R$17="Distrato",$I$38-1,0)),IF(AND($L$37=0,$P$34=0),"",$L$37-1),IF($R$17="Distrato",$E355,0)),MIN(AK$38,$D$19),$P$20))-SUM($P355:AJ355)</f>
        <v>#VALUE!</v>
      </c>
      <c r="AL355" s="446" t="e">
        <f>IF(OR($B355="",MIN(AL$38,$D$19)&lt;MAX($P$34*($B355+IF($R$17="Distrato",$I$38-1,0)),IF(AND($L$37=0,$P$34=0),"",$L$37-1),IF($R$17="Distrato",$E355,0))),0,YEARFRAC(MAX($P$34*($B355+IF($R$17="Distrato",$I$38-1,0)),IF(AND($L$37=0,$P$34=0),"",$L$37-1),IF($R$17="Distrato",$E355,0)),MIN(AL$38,$D$19),$P$20))-SUM($P355:AK355)</f>
        <v>#VALUE!</v>
      </c>
      <c r="AM355" s="446" t="e">
        <f>IF(OR($B355="",MIN(AM$38,$D$19)&lt;MAX($P$34*($B355+IF($R$17="Distrato",$I$38-1,0)),IF(AND($L$37=0,$P$34=0),"",$L$37-1),IF($R$17="Distrato",$E355,0))),0,YEARFRAC(MAX($P$34*($B355+IF($R$17="Distrato",$I$38-1,0)),IF(AND($L$37=0,$P$34=0),"",$L$37-1),IF($R$17="Distrato",$E355,0)),MIN(AM$38,$D$19),$P$20))-SUM($P355:AL355)</f>
        <v>#VALUE!</v>
      </c>
      <c r="AN355" s="446" t="e">
        <f>IF(OR($B355="",MIN(AN$38,$D$19)&lt;MAX($P$34*($B355+IF($R$17="Distrato",$I$38-1,0)),IF(AND($L$37=0,$P$34=0),"",$L$37-1),IF($R$17="Distrato",$E355,0))),0,YEARFRAC(MAX($P$34*($B355+IF($R$17="Distrato",$I$38-1,0)),IF(AND($L$37=0,$P$34=0),"",$L$37-1),IF($R$17="Distrato",$E355,0)),MIN(AN$38,$D$19),$P$20))-SUM($P355:AM355)</f>
        <v>#VALUE!</v>
      </c>
      <c r="AO355" s="446" t="e">
        <f>IF(OR($B355="",MIN(AO$38,$D$19)&lt;MAX($P$34*($B355+IF($R$17="Distrato",$I$38-1,0)),IF(AND($L$37=0,$P$34=0),"",$L$37-1),IF($R$17="Distrato",$E355,0))),0,YEARFRAC(MAX($P$34*($B355+IF($R$17="Distrato",$I$38-1,0)),IF(AND($L$37=0,$P$34=0),"",$L$37-1),IF($R$17="Distrato",$E355,0)),MIN(AO$38,$D$19),$P$20))-SUM($P355:AN355)</f>
        <v>#VALUE!</v>
      </c>
      <c r="AP355" s="446" t="e">
        <f>IF(OR($B355="",MIN(AP$38,$D$19)&lt;MAX($P$34*($B355+IF($R$17="Distrato",$I$38-1,0)),IF(AND($L$37=0,$P$34=0),"",$L$37-1),IF($R$17="Distrato",$E355,0))),0,YEARFRAC(MAX($P$34*($B355+IF($R$17="Distrato",$I$38-1,0)),IF(AND($L$37=0,$P$34=0),"",$L$37-1),IF($R$17="Distrato",$E355,0)),MIN(AP$38,$D$19),$P$20))-SUM($P355:AO355)</f>
        <v>#VALUE!</v>
      </c>
      <c r="AQ355" s="446" t="e">
        <f>IF(OR($B355="",MIN(AQ$38,$D$19)&lt;MAX($P$34*($B355+IF($R$17="Distrato",$I$38-1,0)),IF(AND($L$37=0,$P$34=0),"",$L$37-1),IF($R$17="Distrato",$E355,0))),0,YEARFRAC(MAX($P$34*($B355+IF($R$17="Distrato",$I$38-1,0)),IF(AND($L$37=0,$P$34=0),"",$L$37-1),IF($R$17="Distrato",$E355,0)),MIN(AQ$38,$D$19),$P$20))-SUM($P355:AP355)</f>
        <v>#VALUE!</v>
      </c>
      <c r="AR355" s="446" t="e">
        <f>IF(OR($B355="",MIN(AR$38,$D$19)&lt;MAX($P$34*($B355+IF($R$17="Distrato",$I$38-1,0)),IF(AND($L$37=0,$P$34=0),"",$L$37-1),IF($R$17="Distrato",$E355,0))),0,YEARFRAC(MAX($P$34*($B355+IF($R$17="Distrato",$I$38-1,0)),IF(AND($L$37=0,$P$34=0),"",$L$37-1),IF($R$17="Distrato",$E355,0)),MIN(AR$38,$D$19),$P$20))-SUM($P355:AQ355)</f>
        <v>#VALUE!</v>
      </c>
      <c r="AS355" s="446" t="e">
        <f>IF(OR($B355="",MIN(AS$38,$D$19)&lt;MAX($P$34*($B355+IF($R$17="Distrato",$I$38-1,0)),IF(AND($L$37=0,$P$34=0),"",$L$37-1),IF($R$17="Distrato",$E355,0))),0,YEARFRAC(MAX($P$34*($B355+IF($R$17="Distrato",$I$38-1,0)),IF(AND($L$37=0,$P$34=0),"",$L$37-1),IF($R$17="Distrato",$E355,0)),MIN(AS$38,$D$19),$P$20))-SUM($P355:AR355)</f>
        <v>#VALUE!</v>
      </c>
      <c r="AT355" s="446" t="e">
        <f>IF(OR($B355="",MIN(AT$38,$D$19)&lt;MAX($P$34*($B355+IF($R$17="Distrato",$I$38-1,0)),IF(AND($L$37=0,$P$34=0),"",$L$37-1),IF($R$17="Distrato",$E355,0))),0,YEARFRAC(MAX($P$34*($B355+IF($R$17="Distrato",$I$38-1,0)),IF(AND($L$37=0,$P$34=0),"",$L$37-1),IF($R$17="Distrato",$E355,0)),MIN(AT$38,$D$19),$P$20))-SUM($P355:AS355)</f>
        <v>#VALUE!</v>
      </c>
      <c r="AU355" s="446" t="e">
        <f>IF(OR($B355="",MIN(AU$38,$D$19)&lt;MAX($P$34*($B355+IF($R$17="Distrato",$I$38-1,0)),IF(AND($L$37=0,$P$34=0),"",$L$37-1),IF($R$17="Distrato",$E355,0))),0,YEARFRAC(MAX($P$34*($B355+IF($R$17="Distrato",$I$38-1,0)),IF(AND($L$37=0,$P$34=0),"",$L$37-1),IF($R$17="Distrato",$E355,0)),MIN(AU$38,$D$19),$P$20))-SUM($P355:AT355)</f>
        <v>#VALUE!</v>
      </c>
      <c r="AV355" s="446" t="e">
        <f>IF(OR($B355="",MIN(AV$38,$D$19)&lt;MAX($P$34*($B355+IF($R$17="Distrato",$I$38-1,0)),IF(AND($L$37=0,$P$34=0),"",$L$37-1),IF($R$17="Distrato",$E355,0))),0,YEARFRAC(MAX($P$34*($B355+IF($R$17="Distrato",$I$38-1,0)),IF(AND($L$37=0,$P$34=0),"",$L$37-1),IF($R$17="Distrato",$E355,0)),MIN(AV$38,$D$19),$P$20))-SUM($P355:AU355)</f>
        <v>#VALUE!</v>
      </c>
      <c r="AW355" s="446" t="e">
        <f>IF(OR($B355="",MIN(AW$38,$D$19)&lt;MAX($P$34*($B355+IF($R$17="Distrato",$I$38-1,0)),IF(AND($L$37=0,$P$34=0),"",$L$37-1),IF($R$17="Distrato",$E355,0))),0,YEARFRAC(MAX($P$34*($B355+IF($R$17="Distrato",$I$38-1,0)),IF(AND($L$37=0,$P$34=0),"",$L$37-1),IF($R$17="Distrato",$E355,0)),MIN(AW$38,$D$19),$P$20))-SUM($P355:AV355)</f>
        <v>#VALUE!</v>
      </c>
      <c r="AX355" s="446" t="e">
        <f>IF(OR($B355="",MIN(AX$38,$D$19)&lt;MAX($P$34*($B355+IF($R$17="Distrato",$I$38-1,0)),IF(AND($L$37=0,$P$34=0),"",$L$37-1),IF($R$17="Distrato",$E355,0))),0,YEARFRAC(MAX($P$34*($B355+IF($R$17="Distrato",$I$38-1,0)),IF(AND($L$37=0,$P$34=0),"",$L$37-1),IF($R$17="Distrato",$E355,0)),MIN(AX$38,$D$19),$P$20))-SUM($P355:AW355)</f>
        <v>#VALUE!</v>
      </c>
      <c r="AY355" s="446" t="e">
        <f>IF(OR($B355="",MIN(AY$38,$D$19)&lt;MAX($P$34*($B355+IF($R$17="Distrato",$I$38-1,0)),IF(AND($L$37=0,$P$34=0),"",$L$37-1),IF($R$17="Distrato",$E355,0))),0,YEARFRAC(MAX($P$34*($B355+IF($R$17="Distrato",$I$38-1,0)),IF(AND($L$37=0,$P$34=0),"",$L$37-1),IF($R$17="Distrato",$E355,0)),MIN(AY$38,$D$19),$P$20))-SUM($P355:AX355)</f>
        <v>#VALUE!</v>
      </c>
      <c r="AZ355" s="446" t="e">
        <f>IF(OR($B355="",MIN(AZ$38,$D$19)&lt;MAX($P$34*($B355+IF($R$17="Distrato",$I$38-1,0)),IF(AND($L$37=0,$P$34=0),"",$L$37-1),IF($R$17="Distrato",$E355,0))),0,YEARFRAC(MAX($P$34*($B355+IF($R$17="Distrato",$I$38-1,0)),IF(AND($L$37=0,$P$34=0),"",$L$37-1),IF($R$17="Distrato",$E355,0)),MIN(AZ$38,$D$19),$P$20))-SUM($P355:AY355)</f>
        <v>#VALUE!</v>
      </c>
      <c r="BA355" s="446" t="e">
        <f>IF(OR($B355="",MIN(BA$38,$D$19)&lt;MAX($P$34*($B355+IF($R$17="Distrato",$I$38-1,0)),IF(AND($L$37=0,$P$34=0),"",$L$37-1),IF($R$17="Distrato",$E355,0))),0,YEARFRAC(MAX($P$34*($B355+IF($R$17="Distrato",$I$38-1,0)),IF(AND($L$37=0,$P$34=0),"",$L$37-1),IF($R$17="Distrato",$E355,0)),MIN(BA$38,$D$19),$P$20))-SUM($P355:AZ355)</f>
        <v>#VALUE!</v>
      </c>
      <c r="BB355" s="447"/>
      <c r="BF355" s="446">
        <f t="shared" si="54"/>
        <v>0</v>
      </c>
      <c r="BG355" s="446">
        <f>IF($E355=0,0,IF(MIN(BG$38,$E355)&lt;MAX($P$34*($B355+$I$38-1),IF(AND($L$37=0,$P$34=0),"",$L$37-1)),0,YEARFRAC(MAX($P$34*($B355+$I$38-1),IF(AND($L$37=0,$P$34=0),"",$L$37-1)),MIN(BG$38,$E355),$P$20))-SUM($BF355:BF355))</f>
        <v>0</v>
      </c>
      <c r="BH355" s="446">
        <f>IF($E355=0,0,IF(MIN(BH$38,$E355)&lt;MAX($P$34*($B355+$I$38-1),IF(AND($L$37=0,$P$34=0),"",$L$37-1)),0,YEARFRAC(MAX($P$34*($B355+$I$38-1),IF(AND($L$37=0,$P$34=0),"",$L$37-1)),MIN(BH$38,$E355),$P$20))-SUM($BF355:BG355))</f>
        <v>0</v>
      </c>
      <c r="BI355" s="446">
        <f>IF($E355=0,0,IF(MIN(BI$38,$E355)&lt;MAX($P$34*($B355+$I$38-1),IF(AND($L$37=0,$P$34=0),"",$L$37-1)),0,YEARFRAC(MAX($P$34*($B355+$I$38-1),IF(AND($L$37=0,$P$34=0),"",$L$37-1)),MIN(BI$38,$E355),$P$20))-SUM($BF355:BH355))</f>
        <v>0</v>
      </c>
      <c r="BJ355" s="446">
        <f>IF($E355=0,0,IF(MIN(BJ$38,$E355)&lt;MAX($P$34*($B355+$I$38-1),IF(AND($L$37=0,$P$34=0),"",$L$37-1)),0,YEARFRAC(MAX($P$34*($B355+$I$38-1),IF(AND($L$37=0,$P$34=0),"",$L$37-1)),MIN(BJ$38,$E355),$P$20))-SUM($BF355:BI355))</f>
        <v>0</v>
      </c>
      <c r="BK355" s="446">
        <f>IF($E355=0,0,IF(MIN(BK$38,$E355)&lt;MAX($P$34*($B355+$I$38-1),IF(AND($L$37=0,$P$34=0),"",$L$37-1)),0,YEARFRAC(MAX($P$34*($B355+$I$38-1),IF(AND($L$37=0,$P$34=0),"",$L$37-1)),MIN(BK$38,$E355),$P$20))-SUM($BF355:BJ355))</f>
        <v>0</v>
      </c>
      <c r="BL355" s="446">
        <f>IF($E355=0,0,IF(MIN(BL$38,$E355)&lt;MAX($P$34*($B355+$I$38-1),IF(AND($L$37=0,$P$34=0),"",$L$37-1)),0,YEARFRAC(MAX($P$34*($B355+$I$38-1),IF(AND($L$37=0,$P$34=0),"",$L$37-1)),MIN(BL$38,$E355),$P$20))-SUM($BF355:BK355))</f>
        <v>0</v>
      </c>
      <c r="BM355" s="446">
        <f>IF($E355=0,0,IF(MIN(BM$38,$E355)&lt;MAX($P$34*($B355+$I$38-1),IF(AND($L$37=0,$P$34=0),"",$L$37-1)),0,YEARFRAC(MAX($P$34*($B355+$I$38-1),IF(AND($L$37=0,$P$34=0),"",$L$37-1)),MIN(BM$38,$E355),$P$20))-SUM($BF355:BL355))</f>
        <v>0</v>
      </c>
      <c r="BN355" s="446">
        <f>IF($E355=0,0,IF(MIN(BN$38,$E355)&lt;MAX($P$34*($B355+$I$38-1),IF(AND($L$37=0,$P$34=0),"",$L$37-1)),0,YEARFRAC(MAX($P$34*($B355+$I$38-1),IF(AND($L$37=0,$P$34=0),"",$L$37-1)),MIN(BN$38,$E355),$P$20))-SUM($BF355:BM355))</f>
        <v>0</v>
      </c>
      <c r="BO355" s="446">
        <f>IF($E355=0,0,IF(MIN(BO$38,$E355)&lt;MAX($P$34*($B355+$I$38-1),IF(AND($L$37=0,$P$34=0),"",$L$37-1)),0,YEARFRAC(MAX($P$34*($B355+$I$38-1),IF(AND($L$37=0,$P$34=0),"",$L$37-1)),MIN(BO$38,$E355),$P$20))-SUM($BF355:BN355))</f>
        <v>0</v>
      </c>
      <c r="BP355" s="446">
        <f>IF($E355=0,0,IF(MIN(BP$38,$E355)&lt;MAX($P$34*($B355+$I$38-1),IF(AND($L$37=0,$P$34=0),"",$L$37-1)),0,YEARFRAC(MAX($P$34*($B355+$I$38-1),IF(AND($L$37=0,$P$34=0),"",$L$37-1)),MIN(BP$38,$E355),$P$20))-SUM($BF355:BO355))</f>
        <v>0</v>
      </c>
      <c r="BQ355" s="446">
        <f>IF($E355=0,0,IF(MIN(BQ$38,$E355)&lt;MAX($P$34*($B355+$I$38-1),IF(AND($L$37=0,$P$34=0),"",$L$37-1)),0,YEARFRAC(MAX($P$34*($B355+$I$38-1),IF(AND($L$37=0,$P$34=0),"",$L$37-1)),MIN(BQ$38,$E355),$P$20))-SUM($BF355:BP355))</f>
        <v>0</v>
      </c>
      <c r="BR355" s="446">
        <f>IF($E355=0,0,IF(MIN(BR$38,$E355)&lt;MAX($P$34*($B355+$I$38-1),IF(AND($L$37=0,$P$34=0),"",$L$37-1)),0,YEARFRAC(MAX($P$34*($B355+$I$38-1),IF(AND($L$37=0,$P$34=0),"",$L$37-1)),MIN(BR$38,$E355),$P$20))-SUM($BF355:BQ355))</f>
        <v>0</v>
      </c>
      <c r="BS355" s="446">
        <f>IF($E355=0,0,IF(MIN(BS$38,$E355)&lt;MAX($P$34*($B355+$I$38-1),IF(AND($L$37=0,$P$34=0),"",$L$37-1)),0,YEARFRAC(MAX($P$34*($B355+$I$38-1),IF(AND($L$37=0,$P$34=0),"",$L$37-1)),MIN(BS$38,$E355),$P$20))-SUM($BF355:BR355))</f>
        <v>0</v>
      </c>
      <c r="BT355" s="446">
        <f>IF($E355=0,0,IF(MIN(BT$38,$E355)&lt;MAX($P$34*($B355+$I$38-1),IF(AND($L$37=0,$P$34=0),"",$L$37-1)),0,YEARFRAC(MAX($P$34*($B355+$I$38-1),IF(AND($L$37=0,$P$34=0),"",$L$37-1)),MIN(BT$38,$E355),$P$20))-SUM($BF355:BS355))</f>
        <v>0</v>
      </c>
      <c r="BU355" s="446">
        <f>IF($E355=0,0,IF(MIN(BU$38,$E355)&lt;MAX($P$34*($B355+$I$38-1),IF(AND($L$37=0,$P$34=0),"",$L$37-1)),0,YEARFRAC(MAX($P$34*($B355+$I$38-1),IF(AND($L$37=0,$P$34=0),"",$L$37-1)),MIN(BU$38,$E355),$P$20))-SUM($BF355:BT355))</f>
        <v>0</v>
      </c>
      <c r="BV355" s="446">
        <f>IF($E355=0,0,IF(MIN(BV$38,$E355)&lt;MAX($P$34*($B355+$I$38-1),IF(AND($L$37=0,$P$34=0),"",$L$37-1)),0,YEARFRAC(MAX($P$34*($B355+$I$38-1),IF(AND($L$37=0,$P$34=0),"",$L$37-1)),MIN(BV$38,$E355),$P$20))-SUM($BF355:BU355))</f>
        <v>0</v>
      </c>
      <c r="BW355" s="446">
        <f>IF($E355=0,0,IF(MIN(BW$38,$E355)&lt;MAX($P$34*($B355+$I$38-1),IF(AND($L$37=0,$P$34=0),"",$L$37-1)),0,YEARFRAC(MAX($P$34*($B355+$I$38-1),IF(AND($L$37=0,$P$34=0),"",$L$37-1)),MIN(BW$38,$E355),$P$20))-SUM($BF355:BV355))</f>
        <v>0</v>
      </c>
      <c r="BX355" s="446">
        <f>IF($E355=0,0,IF(MIN(BX$38,$E355)&lt;MAX($P$34*($B355+$I$38-1),IF(AND($L$37=0,$P$34=0),"",$L$37-1)),0,YEARFRAC(MAX($P$34*($B355+$I$38-1),IF(AND($L$37=0,$P$34=0),"",$L$37-1)),MIN(BX$38,$E355),$P$20))-SUM($BF355:BW355))</f>
        <v>0</v>
      </c>
      <c r="BY355" s="446">
        <f>IF($E355=0,0,IF(MIN(BY$38,$E355)&lt;MAX($P$34*($B355+$I$38-1),IF(AND($L$37=0,$P$34=0),"",$L$37-1)),0,YEARFRAC(MAX($P$34*($B355+$I$38-1),IF(AND($L$37=0,$P$34=0),"",$L$37-1)),MIN(BY$38,$E355),$P$20))-SUM($BF355:BX355))</f>
        <v>0</v>
      </c>
      <c r="BZ355" s="446">
        <f>IF($E355=0,0,IF(MIN(BZ$38,$E355)&lt;MAX($P$34*($B355+$I$38-1),IF(AND($L$37=0,$P$34=0),"",$L$37-1)),0,YEARFRAC(MAX($P$34*($B355+$I$38-1),IF(AND($L$37=0,$P$34=0),"",$L$37-1)),MIN(BZ$38,$E355),$P$20))-SUM($BF355:BY355))</f>
        <v>0</v>
      </c>
      <c r="CA355" s="446">
        <f>IF($E355=0,0,IF(MIN(CA$38,$E355)&lt;MAX($P$34*($B355+$I$38-1),IF(AND($L$37=0,$P$34=0),"",$L$37-1)),0,YEARFRAC(MAX($P$34*($B355+$I$38-1),IF(AND($L$37=0,$P$34=0),"",$L$37-1)),MIN(CA$38,$E355),$P$20))-SUM($BF355:BZ355))</f>
        <v>0</v>
      </c>
      <c r="CB355" s="446">
        <f>IF($E355=0,0,IF(MIN(CB$38,$E355)&lt;MAX($P$34*($B355+$I$38-1),IF(AND($L$37=0,$P$34=0),"",$L$37-1)),0,YEARFRAC(MAX($P$34*($B355+$I$38-1),IF(AND($L$37=0,$P$34=0),"",$L$37-1)),MIN(CB$38,$E355),$P$20))-SUM($BF355:CA355))</f>
        <v>0</v>
      </c>
      <c r="CC355" s="446">
        <f>IF($E355=0,0,IF(MIN(CC$38,$E355)&lt;MAX($P$34*($B355+$I$38-1),IF(AND($L$37=0,$P$34=0),"",$L$37-1)),0,YEARFRAC(MAX($P$34*($B355+$I$38-1),IF(AND($L$37=0,$P$34=0),"",$L$37-1)),MIN(CC$38,$E355),$P$20))-SUM($BF355:CB355))</f>
        <v>0</v>
      </c>
      <c r="CD355" s="446">
        <f>IF($E355=0,0,IF(MIN(CD$38,$E355)&lt;MAX($P$34*($B355+$I$38-1),IF(AND($L$37=0,$P$34=0),"",$L$37-1)),0,YEARFRAC(MAX($P$34*($B355+$I$38-1),IF(AND($L$37=0,$P$34=0),"",$L$37-1)),MIN(CD$38,$E355),$P$20))-SUM($BF355:CC355))</f>
        <v>0</v>
      </c>
      <c r="CE355" s="446">
        <f>IF($E355=0,0,IF(MIN(CE$38,$E355)&lt;MAX($P$34*($B355+$I$38-1),IF(AND($L$37=0,$P$34=0),"",$L$37-1)),0,YEARFRAC(MAX($P$34*($B355+$I$38-1),IF(AND($L$37=0,$P$34=0),"",$L$37-1)),MIN(CE$38,$E355),$P$20))-SUM($BF355:CD355))</f>
        <v>0</v>
      </c>
      <c r="CF355" s="446">
        <f>IF($E355=0,0,IF(MIN(CF$38,$E355)&lt;MAX($P$34*($B355+$I$38-1),IF(AND($L$37=0,$P$34=0),"",$L$37-1)),0,YEARFRAC(MAX($P$34*($B355+$I$38-1),IF(AND($L$37=0,$P$34=0),"",$L$37-1)),MIN(CF$38,$E355),$P$20))-SUM($BF355:CE355))</f>
        <v>0</v>
      </c>
      <c r="CG355" s="446">
        <f>IF($E355=0,0,IF(MIN(CG$38,$E355)&lt;MAX($P$34*($B355+$I$38-1),IF(AND($L$37=0,$P$34=0),"",$L$37-1)),0,YEARFRAC(MAX($P$34*($B355+$I$38-1),IF(AND($L$37=0,$P$34=0),"",$L$37-1)),MIN(CG$38,$E355),$P$20))-SUM($BF355:CF355))</f>
        <v>0</v>
      </c>
      <c r="CH355" s="446">
        <f>IF($E355=0,0,IF(MIN(CH$38,$E355)&lt;MAX($P$34*($B355+$I$38-1),IF(AND($L$37=0,$P$34=0),"",$L$37-1)),0,YEARFRAC(MAX($P$34*($B355+$I$38-1),IF(AND($L$37=0,$P$34=0),"",$L$37-1)),MIN(CH$38,$E355),$P$20))-SUM($BF355:CG355))</f>
        <v>0</v>
      </c>
      <c r="CI355" s="446">
        <f>IF($E355=0,0,IF(MIN(CI$38,$E355)&lt;MAX($P$34*($B355+$I$38-1),IF(AND($L$37=0,$P$34=0),"",$L$37-1)),0,YEARFRAC(MAX($P$34*($B355+$I$38-1),IF(AND($L$37=0,$P$34=0),"",$L$37-1)),MIN(CI$38,$E355),$P$20))-SUM($BF355:CH355))</f>
        <v>0</v>
      </c>
      <c r="CJ355" s="446">
        <f>IF($E355=0,0,IF(MIN(CJ$38,$E355)&lt;MAX($P$34*($B355+$I$38-1),IF(AND($L$37=0,$P$34=0),"",$L$37-1)),0,YEARFRAC(MAX($P$34*($B355+$I$38-1),IF(AND($L$37=0,$P$34=0),"",$L$37-1)),MIN(CJ$38,$E355),$P$20))-SUM($BF355:CI355))</f>
        <v>0</v>
      </c>
      <c r="CK355" s="446">
        <f>IF($E355=0,0,IF(MIN(CK$38,$E355)&lt;MAX($P$34*($B355+$I$38-1),IF(AND($L$37=0,$P$34=0),"",$L$37-1)),0,YEARFRAC(MAX($P$34*($B355+$I$38-1),IF(AND($L$37=0,$P$34=0),"",$L$37-1)),MIN(CK$38,$E355),$P$20))-SUM($BF355:CJ355))</f>
        <v>0</v>
      </c>
      <c r="CL355" s="446">
        <f>IF($E355=0,0,IF(MIN(CL$38,$E355)&lt;MAX($P$34*($B355+$I$38-1),IF(AND($L$37=0,$P$34=0),"",$L$37-1)),0,YEARFRAC(MAX($P$34*($B355+$I$38-1),IF(AND($L$37=0,$P$34=0),"",$L$37-1)),MIN(CL$38,$E355),$P$20))-SUM($BF355:CK355))</f>
        <v>0</v>
      </c>
      <c r="CM355" s="446">
        <f>IF($E355=0,0,IF(MIN(CM$38,$E355)&lt;MAX($P$34*($B355+$I$38-1),IF(AND($L$37=0,$P$34=0),"",$L$37-1)),0,YEARFRAC(MAX($P$34*($B355+$I$38-1),IF(AND($L$37=0,$P$34=0),"",$L$37-1)),MIN(CM$38,$E355),$P$20))-SUM($BF355:CL355))</f>
        <v>0</v>
      </c>
      <c r="CN355" s="446">
        <f>IF($E355=0,0,IF(MIN(CN$38,$E355)&lt;MAX($P$34*($B355+$I$38-1),IF(AND($L$37=0,$P$34=0),"",$L$37-1)),0,YEARFRAC(MAX($P$34*($B355+$I$38-1),IF(AND($L$37=0,$P$34=0),"",$L$37-1)),MIN(CN$38,$E355),$P$20))-SUM($BF355:CM355))</f>
        <v>0</v>
      </c>
      <c r="CO355" s="446">
        <f>IF($E355=0,0,IF(MIN(CO$38,$E355)&lt;MAX($P$34*($B355+$I$38-1),IF(AND($L$37=0,$P$34=0),"",$L$37-1)),0,YEARFRAC(MAX($P$34*($B355+$I$38-1),IF(AND($L$37=0,$P$34=0),"",$L$37-1)),MIN(CO$38,$E355),$P$20))-SUM($BF355:CN355))</f>
        <v>0</v>
      </c>
      <c r="CP355" s="446">
        <f>IF($E355=0,0,IF(MIN(CP$38,$E355)&lt;MAX($P$34*($B355+$I$38-1),IF(AND($L$37=0,$P$34=0),"",$L$37-1)),0,YEARFRAC(MAX($P$34*($B355+$I$38-1),IF(AND($L$37=0,$P$34=0),"",$L$37-1)),MIN(CP$38,$E355),$P$20))-SUM($BF355:CO355))</f>
        <v>0</v>
      </c>
      <c r="CQ355" s="446">
        <f>IF($E355=0,0,IF(MIN(CQ$38,$E355)&lt;MAX($P$34*($B355+$I$38-1),IF(AND($L$37=0,$P$34=0),"",$L$37-1)),0,YEARFRAC(MAX($P$34*($B355+$I$38-1),IF(AND($L$37=0,$P$34=0),"",$L$37-1)),MIN(CQ$38,$E355),$P$20))-SUM($BF355:CP355))</f>
        <v>0</v>
      </c>
    </row>
    <row r="356" spans="1:95" s="446" customFormat="1" ht="11.25" hidden="1" customHeight="1" x14ac:dyDescent="0.2">
      <c r="A356" s="152"/>
      <c r="B356" s="153" t="str">
        <f t="shared" si="59"/>
        <v/>
      </c>
      <c r="C356" s="29" t="str">
        <f>IF(B356="","",IF($L$35="SELIC - TRIBUTOS",VLOOKUP(DATE(YEAR($D$19),MONTH($D$19)-1,1),ÍNDICES!$A:$DE,HLOOKUP($BL$25,ÍNDICES!$B$3:$T$4,2)+11)-VLOOKUP(B356,ÍNDICES!$A:$DE,HLOOKUP($BL$25,ÍNDICES!$B$3:$T$4,2)+11)+1%,IF(C$38=$W$26,$J$35,IF(ISERROR(IF(B356&gt;$D$19,1,VLOOKUP(DATE(YEAR(B356),MONTH(B356)+IF($C$35=$S$23,1,0),1),ÍNDICES!$A:$DE,$Z$35+1))),"",IF(B356&gt;$D$19,1,VLOOKUP(DATE(YEAR(B356),MONTH(B356)+IF($C$35=$S$23,1,0),1),ÍNDICES!$A:$DE,$Z$35+1))))))</f>
        <v/>
      </c>
      <c r="D356" s="154" t="str">
        <f>IF(ISERROR(IF(OR($D$38=$Y$27,$B356=""),"",VLOOKUP(B356,ÍNDICES!A:DE,AF$35+1))),"",IF(OR($D$38=$Y$27,$B356=""),"",VLOOKUP(B356,ÍNDICES!A:DE,AF$35+1)))</f>
        <v/>
      </c>
      <c r="E356" s="153"/>
      <c r="F356" s="29" t="str">
        <f>IF(E356="","",IF($L$35="SELIC - TRIBUTOS",VLOOKUP(DATE(YEAR($D$19),MONTH($D$19)-1,1),ÍNDICES!$A:$DE,HLOOKUP($BL$25,ÍNDICES!$B$3:$T$4,2)+11)-VLOOKUP(E356,ÍNDICES!$A:$DE,HLOOKUP($BL$25,ÍNDICES!$B$3:$T$4,2)+11)+1%,IF(F$38=$W$26,$J$35,IF(ISERROR(IF(E356&gt;$D$19,1,VLOOKUP(DATE(YEAR(E356),MONTH(E356)+IF($C$35=$S$23,1,0),1),ÍNDICES!$A:$DE,$Z$35+1))),"",IF(E356&gt;$D$19,1,VLOOKUP(DATE(YEAR(E356),MONTH(E356)+IF($C$35=$S$23,1,0),1),ÍNDICES!$A:$DE,$Z$35+1))))))</f>
        <v/>
      </c>
      <c r="G356" s="155"/>
      <c r="H356" s="156" t="str">
        <f t="shared" si="55"/>
        <v/>
      </c>
      <c r="I356" s="29" t="str">
        <f t="shared" si="49"/>
        <v/>
      </c>
      <c r="J356" s="5">
        <f t="shared" si="50"/>
        <v>0</v>
      </c>
      <c r="K356" s="20">
        <f t="shared" ca="1" si="51"/>
        <v>0</v>
      </c>
      <c r="L356" s="5">
        <f t="shared" ca="1" si="52"/>
        <v>0</v>
      </c>
      <c r="M356" s="64">
        <f t="shared" si="56"/>
        <v>0</v>
      </c>
      <c r="N356" s="61">
        <f t="shared" ca="1" si="57"/>
        <v>0</v>
      </c>
      <c r="O356" s="5">
        <f t="shared" ca="1" si="58"/>
        <v>0</v>
      </c>
      <c r="P356" s="446" t="e">
        <f t="shared" si="53"/>
        <v>#VALUE!</v>
      </c>
      <c r="Q356" s="446" t="e">
        <f>IF(OR($B356="",MIN(Q$38,$D$19)&lt;MAX($P$34*($B356+IF($R$17="Distrato",$I$38-1,0)),IF(AND($L$37=0,$P$34=0),"",$L$37-1),IF($R$17="Distrato",$E356,0))),0,YEARFRAC(MAX($P$34*($B356+IF($R$17="Distrato",$I$38-1,0)),IF(AND($L$37=0,$P$34=0),"",$L$37-1),IF($R$17="Distrato",$E356,0)),MIN(Q$38,$D$19),$P$20))-SUM($P356:P356)</f>
        <v>#VALUE!</v>
      </c>
      <c r="R356" s="446" t="e">
        <f>IF(OR($B356="",MIN(R$38,$D$19)&lt;MAX($P$34*($B356+IF($R$17="Distrato",$I$38-1,0)),IF(AND($L$37=0,$P$34=0),"",$L$37-1),IF($R$17="Distrato",$E356,0))),0,YEARFRAC(MAX($P$34*($B356+IF($R$17="Distrato",$I$38-1,0)),IF(AND($L$37=0,$P$34=0),"",$L$37-1),IF($R$17="Distrato",$E356,0)),MIN(R$38,$D$19),$P$20))-SUM($P356:Q356)</f>
        <v>#VALUE!</v>
      </c>
      <c r="S356" s="446" t="e">
        <f>IF(OR($B356="",MIN(S$38,$D$19)&lt;MAX($P$34*($B356+IF($R$17="Distrato",$I$38-1,0)),IF(AND($L$37=0,$P$34=0),"",$L$37-1),IF($R$17="Distrato",$E356,0))),0,YEARFRAC(MAX($P$34*($B356+IF($R$17="Distrato",$I$38-1,0)),IF(AND($L$37=0,$P$34=0),"",$L$37-1),IF($R$17="Distrato",$E356,0)),MIN(S$38,$D$19),$P$20))-SUM($P356:R356)</f>
        <v>#VALUE!</v>
      </c>
      <c r="T356" s="446" t="e">
        <f>IF(OR($B356="",MIN(T$38,$D$19)&lt;MAX($P$34*($B356+IF($R$17="Distrato",$I$38-1,0)),IF(AND($L$37=0,$P$34=0),"",$L$37-1),IF($R$17="Distrato",$E356,0))),0,YEARFRAC(MAX($P$34*($B356+IF($R$17="Distrato",$I$38-1,0)),IF(AND($L$37=0,$P$34=0),"",$L$37-1),IF($R$17="Distrato",$E356,0)),MIN(T$38,$D$19),$P$20))-SUM($P356:S356)</f>
        <v>#VALUE!</v>
      </c>
      <c r="U356" s="446" t="e">
        <f>IF(OR($B356="",MIN(U$38,$D$19)&lt;MAX($P$34*($B356+IF($R$17="Distrato",$I$38-1,0)),IF(AND($L$37=0,$P$34=0),"",$L$37-1),IF($R$17="Distrato",$E356,0))),0,YEARFRAC(MAX($P$34*($B356+IF($R$17="Distrato",$I$38-1,0)),IF(AND($L$37=0,$P$34=0),"",$L$37-1),IF($R$17="Distrato",$E356,0)),MIN(U$38,$D$19),$P$20))-SUM($P356:T356)</f>
        <v>#VALUE!</v>
      </c>
      <c r="V356" s="446" t="e">
        <f>IF(OR($B356="",MIN(V$38,$D$19)&lt;MAX($P$34*($B356+IF($R$17="Distrato",$I$38-1,0)),IF(AND($L$37=0,$P$34=0),"",$L$37-1),IF($R$17="Distrato",$E356,0))),0,YEARFRAC(MAX($P$34*($B356+IF($R$17="Distrato",$I$38-1,0)),IF(AND($L$37=0,$P$34=0),"",$L$37-1),IF($R$17="Distrato",$E356,0)),MIN(V$38,$D$19),$P$20))-SUM($P356:U356)</f>
        <v>#VALUE!</v>
      </c>
      <c r="W356" s="446" t="e">
        <f>IF(OR($B356="",MIN(W$38,$D$19)&lt;MAX($P$34*($B356+IF($R$17="Distrato",$I$38-1,0)),IF(AND($L$37=0,$P$34=0),"",$L$37-1),IF($R$17="Distrato",$E356,0))),0,YEARFRAC(MAX($P$34*($B356+IF($R$17="Distrato",$I$38-1,0)),IF(AND($L$37=0,$P$34=0),"",$L$37-1),IF($R$17="Distrato",$E356,0)),MIN(W$38,$D$19),$P$20))-SUM($P356:V356)</f>
        <v>#VALUE!</v>
      </c>
      <c r="X356" s="446" t="e">
        <f>IF(OR($B356="",MIN(X$38,$D$19)&lt;MAX($P$34*($B356+IF($R$17="Distrato",$I$38-1,0)),IF(AND($L$37=0,$P$34=0),"",$L$37-1),IF($R$17="Distrato",$E356,0))),0,YEARFRAC(MAX($P$34*($B356+IF($R$17="Distrato",$I$38-1,0)),IF(AND($L$37=0,$P$34=0),"",$L$37-1),IF($R$17="Distrato",$E356,0)),MIN(X$38,$D$19),$P$20))-SUM($P356:W356)</f>
        <v>#VALUE!</v>
      </c>
      <c r="Y356" s="446" t="e">
        <f>IF(OR($B356="",MIN(Y$38,$D$19)&lt;MAX($P$34*($B356+IF($R$17="Distrato",$I$38-1,0)),IF(AND($L$37=0,$P$34=0),"",$L$37-1),IF($R$17="Distrato",$E356,0))),0,YEARFRAC(MAX($P$34*($B356+IF($R$17="Distrato",$I$38-1,0)),IF(AND($L$37=0,$P$34=0),"",$L$37-1),IF($R$17="Distrato",$E356,0)),MIN(Y$38,$D$19),$P$20))-SUM($P356:X356)</f>
        <v>#VALUE!</v>
      </c>
      <c r="Z356" s="446" t="e">
        <f>IF(OR($B356="",MIN(Z$38,$D$19)&lt;MAX($P$34*($B356+IF($R$17="Distrato",$I$38-1,0)),IF(AND($L$37=0,$P$34=0),"",$L$37-1),IF($R$17="Distrato",$E356,0))),0,YEARFRAC(MAX($P$34*($B356+IF($R$17="Distrato",$I$38-1,0)),IF(AND($L$37=0,$P$34=0),"",$L$37-1),IF($R$17="Distrato",$E356,0)),MIN(Z$38,$D$19),$P$20))-SUM($P356:Y356)</f>
        <v>#VALUE!</v>
      </c>
      <c r="AA356" s="446" t="e">
        <f>IF(OR($B356="",MIN(AA$38,$D$19)&lt;MAX($P$34*($B356+IF($R$17="Distrato",$I$38-1,0)),IF(AND($L$37=0,$P$34=0),"",$L$37-1),IF($R$17="Distrato",$E356,0))),0,YEARFRAC(MAX($P$34*($B356+IF($R$17="Distrato",$I$38-1,0)),IF(AND($L$37=0,$P$34=0),"",$L$37-1),IF($R$17="Distrato",$E356,0)),MIN(AA$38,$D$19),$P$20))-SUM($P356:Z356)</f>
        <v>#VALUE!</v>
      </c>
      <c r="AB356" s="446" t="e">
        <f>IF(OR($B356="",MIN(AB$38,$D$19)&lt;MAX($P$34*($B356+IF($R$17="Distrato",$I$38-1,0)),IF(AND($L$37=0,$P$34=0),"",$L$37-1),IF($R$17="Distrato",$E356,0))),0,YEARFRAC(MAX($P$34*($B356+IF($R$17="Distrato",$I$38-1,0)),IF(AND($L$37=0,$P$34=0),"",$L$37-1),IF($R$17="Distrato",$E356,0)),MIN(AB$38,$D$19),$P$20))-SUM($P356:AA356)</f>
        <v>#VALUE!</v>
      </c>
      <c r="AC356" s="446" t="e">
        <f>IF(OR($B356="",MIN(AC$38,$D$19)&lt;MAX($P$34*($B356+IF($R$17="Distrato",$I$38-1,0)),IF(AND($L$37=0,$P$34=0),"",$L$37-1),IF($R$17="Distrato",$E356,0))),0,YEARFRAC(MAX($P$34*($B356+IF($R$17="Distrato",$I$38-1,0)),IF(AND($L$37=0,$P$34=0),"",$L$37-1),IF($R$17="Distrato",$E356,0)),MIN(AC$38,$D$19),$P$20))-SUM($P356:AB356)</f>
        <v>#VALUE!</v>
      </c>
      <c r="AD356" s="446" t="e">
        <f>IF(OR($B356="",MIN(AD$38,$D$19)&lt;MAX($P$34*($B356+IF($R$17="Distrato",$I$38-1,0)),IF(AND($L$37=0,$P$34=0),"",$L$37-1),IF($R$17="Distrato",$E356,0))),0,YEARFRAC(MAX($P$34*($B356+IF($R$17="Distrato",$I$38-1,0)),IF(AND($L$37=0,$P$34=0),"",$L$37-1),IF($R$17="Distrato",$E356,0)),MIN(AD$38,$D$19),$P$20))-SUM($P356:AC356)</f>
        <v>#VALUE!</v>
      </c>
      <c r="AE356" s="446" t="e">
        <f>IF(OR($B356="",MIN(AE$38,$D$19)&lt;MAX($P$34*($B356+IF($R$17="Distrato",$I$38-1,0)),IF(AND($L$37=0,$P$34=0),"",$L$37-1),IF($R$17="Distrato",$E356,0))),0,YEARFRAC(MAX($P$34*($B356+IF($R$17="Distrato",$I$38-1,0)),IF(AND($L$37=0,$P$34=0),"",$L$37-1),IF($R$17="Distrato",$E356,0)),MIN(AE$38,$D$19),$P$20))-SUM($P356:AD356)</f>
        <v>#VALUE!</v>
      </c>
      <c r="AF356" s="446" t="e">
        <f>IF(OR($B356="",MIN(AF$38,$D$19)&lt;MAX($P$34*($B356+IF($R$17="Distrato",$I$38-1,0)),IF(AND($L$37=0,$P$34=0),"",$L$37-1),IF($R$17="Distrato",$E356,0))),0,YEARFRAC(MAX($P$34*($B356+IF($R$17="Distrato",$I$38-1,0)),IF(AND($L$37=0,$P$34=0),"",$L$37-1),IF($R$17="Distrato",$E356,0)),MIN(AF$38,$D$19),$P$20))-SUM($P356:AE356)</f>
        <v>#VALUE!</v>
      </c>
      <c r="AG356" s="446" t="e">
        <f>IF(OR($B356="",MIN(AG$38,$D$19)&lt;MAX($P$34*($B356+IF($R$17="Distrato",$I$38-1,0)),IF(AND($L$37=0,$P$34=0),"",$L$37-1),IF($R$17="Distrato",$E356,0))),0,YEARFRAC(MAX($P$34*($B356+IF($R$17="Distrato",$I$38-1,0)),IF(AND($L$37=0,$P$34=0),"",$L$37-1),IF($R$17="Distrato",$E356,0)),MIN(AG$38,$D$19),$P$20))-SUM($P356:AF356)</f>
        <v>#VALUE!</v>
      </c>
      <c r="AH356" s="446" t="e">
        <f>IF(OR($B356="",MIN(AH$38,$D$19)&lt;MAX($P$34*($B356+IF($R$17="Distrato",$I$38-1,0)),IF(AND($L$37=0,$P$34=0),"",$L$37-1),IF($R$17="Distrato",$E356,0))),0,YEARFRAC(MAX($P$34*($B356+IF($R$17="Distrato",$I$38-1,0)),IF(AND($L$37=0,$P$34=0),"",$L$37-1),IF($R$17="Distrato",$E356,0)),MIN(AH$38,$D$19),$P$20))-SUM($P356:AG356)</f>
        <v>#VALUE!</v>
      </c>
      <c r="AI356" s="446" t="e">
        <f>IF(OR($B356="",MIN(AI$38,$D$19)&lt;MAX($P$34*($B356+IF($R$17="Distrato",$I$38-1,0)),IF(AND($L$37=0,$P$34=0),"",$L$37-1),IF($R$17="Distrato",$E356,0))),0,YEARFRAC(MAX($P$34*($B356+IF($R$17="Distrato",$I$38-1,0)),IF(AND($L$37=0,$P$34=0),"",$L$37-1),IF($R$17="Distrato",$E356,0)),MIN(AI$38,$D$19),$P$20))-SUM($P356:AH356)</f>
        <v>#VALUE!</v>
      </c>
      <c r="AJ356" s="446" t="e">
        <f>IF(OR($B356="",MIN(AJ$38,$D$19)&lt;MAX($P$34*($B356+IF($R$17="Distrato",$I$38-1,0)),IF(AND($L$37=0,$P$34=0),"",$L$37-1),IF($R$17="Distrato",$E356,0))),0,YEARFRAC(MAX($P$34*($B356+IF($R$17="Distrato",$I$38-1,0)),IF(AND($L$37=0,$P$34=0),"",$L$37-1),IF($R$17="Distrato",$E356,0)),MIN(AJ$38,$D$19),$P$20))-SUM($P356:AI356)</f>
        <v>#VALUE!</v>
      </c>
      <c r="AK356" s="446" t="e">
        <f>IF(OR($B356="",MIN(AK$38,$D$19)&lt;MAX($P$34*($B356+IF($R$17="Distrato",$I$38-1,0)),IF(AND($L$37=0,$P$34=0),"",$L$37-1),IF($R$17="Distrato",$E356,0))),0,YEARFRAC(MAX($P$34*($B356+IF($R$17="Distrato",$I$38-1,0)),IF(AND($L$37=0,$P$34=0),"",$L$37-1),IF($R$17="Distrato",$E356,0)),MIN(AK$38,$D$19),$P$20))-SUM($P356:AJ356)</f>
        <v>#VALUE!</v>
      </c>
      <c r="AL356" s="446" t="e">
        <f>IF(OR($B356="",MIN(AL$38,$D$19)&lt;MAX($P$34*($B356+IF($R$17="Distrato",$I$38-1,0)),IF(AND($L$37=0,$P$34=0),"",$L$37-1),IF($R$17="Distrato",$E356,0))),0,YEARFRAC(MAX($P$34*($B356+IF($R$17="Distrato",$I$38-1,0)),IF(AND($L$37=0,$P$34=0),"",$L$37-1),IF($R$17="Distrato",$E356,0)),MIN(AL$38,$D$19),$P$20))-SUM($P356:AK356)</f>
        <v>#VALUE!</v>
      </c>
      <c r="AM356" s="446" t="e">
        <f>IF(OR($B356="",MIN(AM$38,$D$19)&lt;MAX($P$34*($B356+IF($R$17="Distrato",$I$38-1,0)),IF(AND($L$37=0,$P$34=0),"",$L$37-1),IF($R$17="Distrato",$E356,0))),0,YEARFRAC(MAX($P$34*($B356+IF($R$17="Distrato",$I$38-1,0)),IF(AND($L$37=0,$P$34=0),"",$L$37-1),IF($R$17="Distrato",$E356,0)),MIN(AM$38,$D$19),$P$20))-SUM($P356:AL356)</f>
        <v>#VALUE!</v>
      </c>
      <c r="AN356" s="446" t="e">
        <f>IF(OR($B356="",MIN(AN$38,$D$19)&lt;MAX($P$34*($B356+IF($R$17="Distrato",$I$38-1,0)),IF(AND($L$37=0,$P$34=0),"",$L$37-1),IF($R$17="Distrato",$E356,0))),0,YEARFRAC(MAX($P$34*($B356+IF($R$17="Distrato",$I$38-1,0)),IF(AND($L$37=0,$P$34=0),"",$L$37-1),IF($R$17="Distrato",$E356,0)),MIN(AN$38,$D$19),$P$20))-SUM($P356:AM356)</f>
        <v>#VALUE!</v>
      </c>
      <c r="AO356" s="446" t="e">
        <f>IF(OR($B356="",MIN(AO$38,$D$19)&lt;MAX($P$34*($B356+IF($R$17="Distrato",$I$38-1,0)),IF(AND($L$37=0,$P$34=0),"",$L$37-1),IF($R$17="Distrato",$E356,0))),0,YEARFRAC(MAX($P$34*($B356+IF($R$17="Distrato",$I$38-1,0)),IF(AND($L$37=0,$P$34=0),"",$L$37-1),IF($R$17="Distrato",$E356,0)),MIN(AO$38,$D$19),$P$20))-SUM($P356:AN356)</f>
        <v>#VALUE!</v>
      </c>
      <c r="AP356" s="446" t="e">
        <f>IF(OR($B356="",MIN(AP$38,$D$19)&lt;MAX($P$34*($B356+IF($R$17="Distrato",$I$38-1,0)),IF(AND($L$37=0,$P$34=0),"",$L$37-1),IF($R$17="Distrato",$E356,0))),0,YEARFRAC(MAX($P$34*($B356+IF($R$17="Distrato",$I$38-1,0)),IF(AND($L$37=0,$P$34=0),"",$L$37-1),IF($R$17="Distrato",$E356,0)),MIN(AP$38,$D$19),$P$20))-SUM($P356:AO356)</f>
        <v>#VALUE!</v>
      </c>
      <c r="AQ356" s="446" t="e">
        <f>IF(OR($B356="",MIN(AQ$38,$D$19)&lt;MAX($P$34*($B356+IF($R$17="Distrato",$I$38-1,0)),IF(AND($L$37=0,$P$34=0),"",$L$37-1),IF($R$17="Distrato",$E356,0))),0,YEARFRAC(MAX($P$34*($B356+IF($R$17="Distrato",$I$38-1,0)),IF(AND($L$37=0,$P$34=0),"",$L$37-1),IF($R$17="Distrato",$E356,0)),MIN(AQ$38,$D$19),$P$20))-SUM($P356:AP356)</f>
        <v>#VALUE!</v>
      </c>
      <c r="AR356" s="446" t="e">
        <f>IF(OR($B356="",MIN(AR$38,$D$19)&lt;MAX($P$34*($B356+IF($R$17="Distrato",$I$38-1,0)),IF(AND($L$37=0,$P$34=0),"",$L$37-1),IF($R$17="Distrato",$E356,0))),0,YEARFRAC(MAX($P$34*($B356+IF($R$17="Distrato",$I$38-1,0)),IF(AND($L$37=0,$P$34=0),"",$L$37-1),IF($R$17="Distrato",$E356,0)),MIN(AR$38,$D$19),$P$20))-SUM($P356:AQ356)</f>
        <v>#VALUE!</v>
      </c>
      <c r="AS356" s="446" t="e">
        <f>IF(OR($B356="",MIN(AS$38,$D$19)&lt;MAX($P$34*($B356+IF($R$17="Distrato",$I$38-1,0)),IF(AND($L$37=0,$P$34=0),"",$L$37-1),IF($R$17="Distrato",$E356,0))),0,YEARFRAC(MAX($P$34*($B356+IF($R$17="Distrato",$I$38-1,0)),IF(AND($L$37=0,$P$34=0),"",$L$37-1),IF($R$17="Distrato",$E356,0)),MIN(AS$38,$D$19),$P$20))-SUM($P356:AR356)</f>
        <v>#VALUE!</v>
      </c>
      <c r="AT356" s="446" t="e">
        <f>IF(OR($B356="",MIN(AT$38,$D$19)&lt;MAX($P$34*($B356+IF($R$17="Distrato",$I$38-1,0)),IF(AND($L$37=0,$P$34=0),"",$L$37-1),IF($R$17="Distrato",$E356,0))),0,YEARFRAC(MAX($P$34*($B356+IF($R$17="Distrato",$I$38-1,0)),IF(AND($L$37=0,$P$34=0),"",$L$37-1),IF($R$17="Distrato",$E356,0)),MIN(AT$38,$D$19),$P$20))-SUM($P356:AS356)</f>
        <v>#VALUE!</v>
      </c>
      <c r="AU356" s="446" t="e">
        <f>IF(OR($B356="",MIN(AU$38,$D$19)&lt;MAX($P$34*($B356+IF($R$17="Distrato",$I$38-1,0)),IF(AND($L$37=0,$P$34=0),"",$L$37-1),IF($R$17="Distrato",$E356,0))),0,YEARFRAC(MAX($P$34*($B356+IF($R$17="Distrato",$I$38-1,0)),IF(AND($L$37=0,$P$34=0),"",$L$37-1),IF($R$17="Distrato",$E356,0)),MIN(AU$38,$D$19),$P$20))-SUM($P356:AT356)</f>
        <v>#VALUE!</v>
      </c>
      <c r="AV356" s="446" t="e">
        <f>IF(OR($B356="",MIN(AV$38,$D$19)&lt;MAX($P$34*($B356+IF($R$17="Distrato",$I$38-1,0)),IF(AND($L$37=0,$P$34=0),"",$L$37-1),IF($R$17="Distrato",$E356,0))),0,YEARFRAC(MAX($P$34*($B356+IF($R$17="Distrato",$I$38-1,0)),IF(AND($L$37=0,$P$34=0),"",$L$37-1),IF($R$17="Distrato",$E356,0)),MIN(AV$38,$D$19),$P$20))-SUM($P356:AU356)</f>
        <v>#VALUE!</v>
      </c>
      <c r="AW356" s="446" t="e">
        <f>IF(OR($B356="",MIN(AW$38,$D$19)&lt;MAX($P$34*($B356+IF($R$17="Distrato",$I$38-1,0)),IF(AND($L$37=0,$P$34=0),"",$L$37-1),IF($R$17="Distrato",$E356,0))),0,YEARFRAC(MAX($P$34*($B356+IF($R$17="Distrato",$I$38-1,0)),IF(AND($L$37=0,$P$34=0),"",$L$37-1),IF($R$17="Distrato",$E356,0)),MIN(AW$38,$D$19),$P$20))-SUM($P356:AV356)</f>
        <v>#VALUE!</v>
      </c>
      <c r="AX356" s="446" t="e">
        <f>IF(OR($B356="",MIN(AX$38,$D$19)&lt;MAX($P$34*($B356+IF($R$17="Distrato",$I$38-1,0)),IF(AND($L$37=0,$P$34=0),"",$L$37-1),IF($R$17="Distrato",$E356,0))),0,YEARFRAC(MAX($P$34*($B356+IF($R$17="Distrato",$I$38-1,0)),IF(AND($L$37=0,$P$34=0),"",$L$37-1),IF($R$17="Distrato",$E356,0)),MIN(AX$38,$D$19),$P$20))-SUM($P356:AW356)</f>
        <v>#VALUE!</v>
      </c>
      <c r="AY356" s="446" t="e">
        <f>IF(OR($B356="",MIN(AY$38,$D$19)&lt;MAX($P$34*($B356+IF($R$17="Distrato",$I$38-1,0)),IF(AND($L$37=0,$P$34=0),"",$L$37-1),IF($R$17="Distrato",$E356,0))),0,YEARFRAC(MAX($P$34*($B356+IF($R$17="Distrato",$I$38-1,0)),IF(AND($L$37=0,$P$34=0),"",$L$37-1),IF($R$17="Distrato",$E356,0)),MIN(AY$38,$D$19),$P$20))-SUM($P356:AX356)</f>
        <v>#VALUE!</v>
      </c>
      <c r="AZ356" s="446" t="e">
        <f>IF(OR($B356="",MIN(AZ$38,$D$19)&lt;MAX($P$34*($B356+IF($R$17="Distrato",$I$38-1,0)),IF(AND($L$37=0,$P$34=0),"",$L$37-1),IF($R$17="Distrato",$E356,0))),0,YEARFRAC(MAX($P$34*($B356+IF($R$17="Distrato",$I$38-1,0)),IF(AND($L$37=0,$P$34=0),"",$L$37-1),IF($R$17="Distrato",$E356,0)),MIN(AZ$38,$D$19),$P$20))-SUM($P356:AY356)</f>
        <v>#VALUE!</v>
      </c>
      <c r="BA356" s="446" t="e">
        <f>IF(OR($B356="",MIN(BA$38,$D$19)&lt;MAX($P$34*($B356+IF($R$17="Distrato",$I$38-1,0)),IF(AND($L$37=0,$P$34=0),"",$L$37-1),IF($R$17="Distrato",$E356,0))),0,YEARFRAC(MAX($P$34*($B356+IF($R$17="Distrato",$I$38-1,0)),IF(AND($L$37=0,$P$34=0),"",$L$37-1),IF($R$17="Distrato",$E356,0)),MIN(BA$38,$D$19),$P$20))-SUM($P356:AZ356)</f>
        <v>#VALUE!</v>
      </c>
      <c r="BB356" s="447"/>
      <c r="BF356" s="446">
        <f t="shared" si="54"/>
        <v>0</v>
      </c>
      <c r="BG356" s="446">
        <f>IF($E356=0,0,IF(MIN(BG$38,$E356)&lt;MAX($P$34*($B356+$I$38-1),IF(AND($L$37=0,$P$34=0),"",$L$37-1)),0,YEARFRAC(MAX($P$34*($B356+$I$38-1),IF(AND($L$37=0,$P$34=0),"",$L$37-1)),MIN(BG$38,$E356),$P$20))-SUM($BF356:BF356))</f>
        <v>0</v>
      </c>
      <c r="BH356" s="446">
        <f>IF($E356=0,0,IF(MIN(BH$38,$E356)&lt;MAX($P$34*($B356+$I$38-1),IF(AND($L$37=0,$P$34=0),"",$L$37-1)),0,YEARFRAC(MAX($P$34*($B356+$I$38-1),IF(AND($L$37=0,$P$34=0),"",$L$37-1)),MIN(BH$38,$E356),$P$20))-SUM($BF356:BG356))</f>
        <v>0</v>
      </c>
      <c r="BI356" s="446">
        <f>IF($E356=0,0,IF(MIN(BI$38,$E356)&lt;MAX($P$34*($B356+$I$38-1),IF(AND($L$37=0,$P$34=0),"",$L$37-1)),0,YEARFRAC(MAX($P$34*($B356+$I$38-1),IF(AND($L$37=0,$P$34=0),"",$L$37-1)),MIN(BI$38,$E356),$P$20))-SUM($BF356:BH356))</f>
        <v>0</v>
      </c>
      <c r="BJ356" s="446">
        <f>IF($E356=0,0,IF(MIN(BJ$38,$E356)&lt;MAX($P$34*($B356+$I$38-1),IF(AND($L$37=0,$P$34=0),"",$L$37-1)),0,YEARFRAC(MAX($P$34*($B356+$I$38-1),IF(AND($L$37=0,$P$34=0),"",$L$37-1)),MIN(BJ$38,$E356),$P$20))-SUM($BF356:BI356))</f>
        <v>0</v>
      </c>
      <c r="BK356" s="446">
        <f>IF($E356=0,0,IF(MIN(BK$38,$E356)&lt;MAX($P$34*($B356+$I$38-1),IF(AND($L$37=0,$P$34=0),"",$L$37-1)),0,YEARFRAC(MAX($P$34*($B356+$I$38-1),IF(AND($L$37=0,$P$34=0),"",$L$37-1)),MIN(BK$38,$E356),$P$20))-SUM($BF356:BJ356))</f>
        <v>0</v>
      </c>
      <c r="BL356" s="446">
        <f>IF($E356=0,0,IF(MIN(BL$38,$E356)&lt;MAX($P$34*($B356+$I$38-1),IF(AND($L$37=0,$P$34=0),"",$L$37-1)),0,YEARFRAC(MAX($P$34*($B356+$I$38-1),IF(AND($L$37=0,$P$34=0),"",$L$37-1)),MIN(BL$38,$E356),$P$20))-SUM($BF356:BK356))</f>
        <v>0</v>
      </c>
      <c r="BM356" s="446">
        <f>IF($E356=0,0,IF(MIN(BM$38,$E356)&lt;MAX($P$34*($B356+$I$38-1),IF(AND($L$37=0,$P$34=0),"",$L$37-1)),0,YEARFRAC(MAX($P$34*($B356+$I$38-1),IF(AND($L$37=0,$P$34=0),"",$L$37-1)),MIN(BM$38,$E356),$P$20))-SUM($BF356:BL356))</f>
        <v>0</v>
      </c>
      <c r="BN356" s="446">
        <f>IF($E356=0,0,IF(MIN(BN$38,$E356)&lt;MAX($P$34*($B356+$I$38-1),IF(AND($L$37=0,$P$34=0),"",$L$37-1)),0,YEARFRAC(MAX($P$34*($B356+$I$38-1),IF(AND($L$37=0,$P$34=0),"",$L$37-1)),MIN(BN$38,$E356),$P$20))-SUM($BF356:BM356))</f>
        <v>0</v>
      </c>
      <c r="BO356" s="446">
        <f>IF($E356=0,0,IF(MIN(BO$38,$E356)&lt;MAX($P$34*($B356+$I$38-1),IF(AND($L$37=0,$P$34=0),"",$L$37-1)),0,YEARFRAC(MAX($P$34*($B356+$I$38-1),IF(AND($L$37=0,$P$34=0),"",$L$37-1)),MIN(BO$38,$E356),$P$20))-SUM($BF356:BN356))</f>
        <v>0</v>
      </c>
      <c r="BP356" s="446">
        <f>IF($E356=0,0,IF(MIN(BP$38,$E356)&lt;MAX($P$34*($B356+$I$38-1),IF(AND($L$37=0,$P$34=0),"",$L$37-1)),0,YEARFRAC(MAX($P$34*($B356+$I$38-1),IF(AND($L$37=0,$P$34=0),"",$L$37-1)),MIN(BP$38,$E356),$P$20))-SUM($BF356:BO356))</f>
        <v>0</v>
      </c>
      <c r="BQ356" s="446">
        <f>IF($E356=0,0,IF(MIN(BQ$38,$E356)&lt;MAX($P$34*($B356+$I$38-1),IF(AND($L$37=0,$P$34=0),"",$L$37-1)),0,YEARFRAC(MAX($P$34*($B356+$I$38-1),IF(AND($L$37=0,$P$34=0),"",$L$37-1)),MIN(BQ$38,$E356),$P$20))-SUM($BF356:BP356))</f>
        <v>0</v>
      </c>
      <c r="BR356" s="446">
        <f>IF($E356=0,0,IF(MIN(BR$38,$E356)&lt;MAX($P$34*($B356+$I$38-1),IF(AND($L$37=0,$P$34=0),"",$L$37-1)),0,YEARFRAC(MAX($P$34*($B356+$I$38-1),IF(AND($L$37=0,$P$34=0),"",$L$37-1)),MIN(BR$38,$E356),$P$20))-SUM($BF356:BQ356))</f>
        <v>0</v>
      </c>
      <c r="BS356" s="446">
        <f>IF($E356=0,0,IF(MIN(BS$38,$E356)&lt;MAX($P$34*($B356+$I$38-1),IF(AND($L$37=0,$P$34=0),"",$L$37-1)),0,YEARFRAC(MAX($P$34*($B356+$I$38-1),IF(AND($L$37=0,$P$34=0),"",$L$37-1)),MIN(BS$38,$E356),$P$20))-SUM($BF356:BR356))</f>
        <v>0</v>
      </c>
      <c r="BT356" s="446">
        <f>IF($E356=0,0,IF(MIN(BT$38,$E356)&lt;MAX($P$34*($B356+$I$38-1),IF(AND($L$37=0,$P$34=0),"",$L$37-1)),0,YEARFRAC(MAX($P$34*($B356+$I$38-1),IF(AND($L$37=0,$P$34=0),"",$L$37-1)),MIN(BT$38,$E356),$P$20))-SUM($BF356:BS356))</f>
        <v>0</v>
      </c>
      <c r="BU356" s="446">
        <f>IF($E356=0,0,IF(MIN(BU$38,$E356)&lt;MAX($P$34*($B356+$I$38-1),IF(AND($L$37=0,$P$34=0),"",$L$37-1)),0,YEARFRAC(MAX($P$34*($B356+$I$38-1),IF(AND($L$37=0,$P$34=0),"",$L$37-1)),MIN(BU$38,$E356),$P$20))-SUM($BF356:BT356))</f>
        <v>0</v>
      </c>
      <c r="BV356" s="446">
        <f>IF($E356=0,0,IF(MIN(BV$38,$E356)&lt;MAX($P$34*($B356+$I$38-1),IF(AND($L$37=0,$P$34=0),"",$L$37-1)),0,YEARFRAC(MAX($P$34*($B356+$I$38-1),IF(AND($L$37=0,$P$34=0),"",$L$37-1)),MIN(BV$38,$E356),$P$20))-SUM($BF356:BU356))</f>
        <v>0</v>
      </c>
      <c r="BW356" s="446">
        <f>IF($E356=0,0,IF(MIN(BW$38,$E356)&lt;MAX($P$34*($B356+$I$38-1),IF(AND($L$37=0,$P$34=0),"",$L$37-1)),0,YEARFRAC(MAX($P$34*($B356+$I$38-1),IF(AND($L$37=0,$P$34=0),"",$L$37-1)),MIN(BW$38,$E356),$P$20))-SUM($BF356:BV356))</f>
        <v>0</v>
      </c>
      <c r="BX356" s="446">
        <f>IF($E356=0,0,IF(MIN(BX$38,$E356)&lt;MAX($P$34*($B356+$I$38-1),IF(AND($L$37=0,$P$34=0),"",$L$37-1)),0,YEARFRAC(MAX($P$34*($B356+$I$38-1),IF(AND($L$37=0,$P$34=0),"",$L$37-1)),MIN(BX$38,$E356),$P$20))-SUM($BF356:BW356))</f>
        <v>0</v>
      </c>
      <c r="BY356" s="446">
        <f>IF($E356=0,0,IF(MIN(BY$38,$E356)&lt;MAX($P$34*($B356+$I$38-1),IF(AND($L$37=0,$P$34=0),"",$L$37-1)),0,YEARFRAC(MAX($P$34*($B356+$I$38-1),IF(AND($L$37=0,$P$34=0),"",$L$37-1)),MIN(BY$38,$E356),$P$20))-SUM($BF356:BX356))</f>
        <v>0</v>
      </c>
      <c r="BZ356" s="446">
        <f>IF($E356=0,0,IF(MIN(BZ$38,$E356)&lt;MAX($P$34*($B356+$I$38-1),IF(AND($L$37=0,$P$34=0),"",$L$37-1)),0,YEARFRAC(MAX($P$34*($B356+$I$38-1),IF(AND($L$37=0,$P$34=0),"",$L$37-1)),MIN(BZ$38,$E356),$P$20))-SUM($BF356:BY356))</f>
        <v>0</v>
      </c>
      <c r="CA356" s="446">
        <f>IF($E356=0,0,IF(MIN(CA$38,$E356)&lt;MAX($P$34*($B356+$I$38-1),IF(AND($L$37=0,$P$34=0),"",$L$37-1)),0,YEARFRAC(MAX($P$34*($B356+$I$38-1),IF(AND($L$37=0,$P$34=0),"",$L$37-1)),MIN(CA$38,$E356),$P$20))-SUM($BF356:BZ356))</f>
        <v>0</v>
      </c>
      <c r="CB356" s="446">
        <f>IF($E356=0,0,IF(MIN(CB$38,$E356)&lt;MAX($P$34*($B356+$I$38-1),IF(AND($L$37=0,$P$34=0),"",$L$37-1)),0,YEARFRAC(MAX($P$34*($B356+$I$38-1),IF(AND($L$37=0,$P$34=0),"",$L$37-1)),MIN(CB$38,$E356),$P$20))-SUM($BF356:CA356))</f>
        <v>0</v>
      </c>
      <c r="CC356" s="446">
        <f>IF($E356=0,0,IF(MIN(CC$38,$E356)&lt;MAX($P$34*($B356+$I$38-1),IF(AND($L$37=0,$P$34=0),"",$L$37-1)),0,YEARFRAC(MAX($P$34*($B356+$I$38-1),IF(AND($L$37=0,$P$34=0),"",$L$37-1)),MIN(CC$38,$E356),$P$20))-SUM($BF356:CB356))</f>
        <v>0</v>
      </c>
      <c r="CD356" s="446">
        <f>IF($E356=0,0,IF(MIN(CD$38,$E356)&lt;MAX($P$34*($B356+$I$38-1),IF(AND($L$37=0,$P$34=0),"",$L$37-1)),0,YEARFRAC(MAX($P$34*($B356+$I$38-1),IF(AND($L$37=0,$P$34=0),"",$L$37-1)),MIN(CD$38,$E356),$P$20))-SUM($BF356:CC356))</f>
        <v>0</v>
      </c>
      <c r="CE356" s="446">
        <f>IF($E356=0,0,IF(MIN(CE$38,$E356)&lt;MAX($P$34*($B356+$I$38-1),IF(AND($L$37=0,$P$34=0),"",$L$37-1)),0,YEARFRAC(MAX($P$34*($B356+$I$38-1),IF(AND($L$37=0,$P$34=0),"",$L$37-1)),MIN(CE$38,$E356),$P$20))-SUM($BF356:CD356))</f>
        <v>0</v>
      </c>
      <c r="CF356" s="446">
        <f>IF($E356=0,0,IF(MIN(CF$38,$E356)&lt;MAX($P$34*($B356+$I$38-1),IF(AND($L$37=0,$P$34=0),"",$L$37-1)),0,YEARFRAC(MAX($P$34*($B356+$I$38-1),IF(AND($L$37=0,$P$34=0),"",$L$37-1)),MIN(CF$38,$E356),$P$20))-SUM($BF356:CE356))</f>
        <v>0</v>
      </c>
      <c r="CG356" s="446">
        <f>IF($E356=0,0,IF(MIN(CG$38,$E356)&lt;MAX($P$34*($B356+$I$38-1),IF(AND($L$37=0,$P$34=0),"",$L$37-1)),0,YEARFRAC(MAX($P$34*($B356+$I$38-1),IF(AND($L$37=0,$P$34=0),"",$L$37-1)),MIN(CG$38,$E356),$P$20))-SUM($BF356:CF356))</f>
        <v>0</v>
      </c>
      <c r="CH356" s="446">
        <f>IF($E356=0,0,IF(MIN(CH$38,$E356)&lt;MAX($P$34*($B356+$I$38-1),IF(AND($L$37=0,$P$34=0),"",$L$37-1)),0,YEARFRAC(MAX($P$34*($B356+$I$38-1),IF(AND($L$37=0,$P$34=0),"",$L$37-1)),MIN(CH$38,$E356),$P$20))-SUM($BF356:CG356))</f>
        <v>0</v>
      </c>
      <c r="CI356" s="446">
        <f>IF($E356=0,0,IF(MIN(CI$38,$E356)&lt;MAX($P$34*($B356+$I$38-1),IF(AND($L$37=0,$P$34=0),"",$L$37-1)),0,YEARFRAC(MAX($P$34*($B356+$I$38-1),IF(AND($L$37=0,$P$34=0),"",$L$37-1)),MIN(CI$38,$E356),$P$20))-SUM($BF356:CH356))</f>
        <v>0</v>
      </c>
      <c r="CJ356" s="446">
        <f>IF($E356=0,0,IF(MIN(CJ$38,$E356)&lt;MAX($P$34*($B356+$I$38-1),IF(AND($L$37=0,$P$34=0),"",$L$37-1)),0,YEARFRAC(MAX($P$34*($B356+$I$38-1),IF(AND($L$37=0,$P$34=0),"",$L$37-1)),MIN(CJ$38,$E356),$P$20))-SUM($BF356:CI356))</f>
        <v>0</v>
      </c>
      <c r="CK356" s="446">
        <f>IF($E356=0,0,IF(MIN(CK$38,$E356)&lt;MAX($P$34*($B356+$I$38-1),IF(AND($L$37=0,$P$34=0),"",$L$37-1)),0,YEARFRAC(MAX($P$34*($B356+$I$38-1),IF(AND($L$37=0,$P$34=0),"",$L$37-1)),MIN(CK$38,$E356),$P$20))-SUM($BF356:CJ356))</f>
        <v>0</v>
      </c>
      <c r="CL356" s="446">
        <f>IF($E356=0,0,IF(MIN(CL$38,$E356)&lt;MAX($P$34*($B356+$I$38-1),IF(AND($L$37=0,$P$34=0),"",$L$37-1)),0,YEARFRAC(MAX($P$34*($B356+$I$38-1),IF(AND($L$37=0,$P$34=0),"",$L$37-1)),MIN(CL$38,$E356),$P$20))-SUM($BF356:CK356))</f>
        <v>0</v>
      </c>
      <c r="CM356" s="446">
        <f>IF($E356=0,0,IF(MIN(CM$38,$E356)&lt;MAX($P$34*($B356+$I$38-1),IF(AND($L$37=0,$P$34=0),"",$L$37-1)),0,YEARFRAC(MAX($P$34*($B356+$I$38-1),IF(AND($L$37=0,$P$34=0),"",$L$37-1)),MIN(CM$38,$E356),$P$20))-SUM($BF356:CL356))</f>
        <v>0</v>
      </c>
      <c r="CN356" s="446">
        <f>IF($E356=0,0,IF(MIN(CN$38,$E356)&lt;MAX($P$34*($B356+$I$38-1),IF(AND($L$37=0,$P$34=0),"",$L$37-1)),0,YEARFRAC(MAX($P$34*($B356+$I$38-1),IF(AND($L$37=0,$P$34=0),"",$L$37-1)),MIN(CN$38,$E356),$P$20))-SUM($BF356:CM356))</f>
        <v>0</v>
      </c>
      <c r="CO356" s="446">
        <f>IF($E356=0,0,IF(MIN(CO$38,$E356)&lt;MAX($P$34*($B356+$I$38-1),IF(AND($L$37=0,$P$34=0),"",$L$37-1)),0,YEARFRAC(MAX($P$34*($B356+$I$38-1),IF(AND($L$37=0,$P$34=0),"",$L$37-1)),MIN(CO$38,$E356),$P$20))-SUM($BF356:CN356))</f>
        <v>0</v>
      </c>
      <c r="CP356" s="446">
        <f>IF($E356=0,0,IF(MIN(CP$38,$E356)&lt;MAX($P$34*($B356+$I$38-1),IF(AND($L$37=0,$P$34=0),"",$L$37-1)),0,YEARFRAC(MAX($P$34*($B356+$I$38-1),IF(AND($L$37=0,$P$34=0),"",$L$37-1)),MIN(CP$38,$E356),$P$20))-SUM($BF356:CO356))</f>
        <v>0</v>
      </c>
      <c r="CQ356" s="446">
        <f>IF($E356=0,0,IF(MIN(CQ$38,$E356)&lt;MAX($P$34*($B356+$I$38-1),IF(AND($L$37=0,$P$34=0),"",$L$37-1)),0,YEARFRAC(MAX($P$34*($B356+$I$38-1),IF(AND($L$37=0,$P$34=0),"",$L$37-1)),MIN(CQ$38,$E356),$P$20))-SUM($BF356:CP356))</f>
        <v>0</v>
      </c>
    </row>
    <row r="357" spans="1:95" s="446" customFormat="1" ht="11.25" hidden="1" customHeight="1" x14ac:dyDescent="0.2">
      <c r="A357" s="152"/>
      <c r="B357" s="153" t="str">
        <f t="shared" si="59"/>
        <v/>
      </c>
      <c r="C357" s="29" t="str">
        <f>IF(B357="","",IF($L$35="SELIC - TRIBUTOS",VLOOKUP(DATE(YEAR($D$19),MONTH($D$19)-1,1),ÍNDICES!$A:$DE,HLOOKUP($BL$25,ÍNDICES!$B$3:$T$4,2)+11)-VLOOKUP(B357,ÍNDICES!$A:$DE,HLOOKUP($BL$25,ÍNDICES!$B$3:$T$4,2)+11)+1%,IF(C$38=$W$26,$J$35,IF(ISERROR(IF(B357&gt;$D$19,1,VLOOKUP(DATE(YEAR(B357),MONTH(B357)+IF($C$35=$S$23,1,0),1),ÍNDICES!$A:$DE,$Z$35+1))),"",IF(B357&gt;$D$19,1,VLOOKUP(DATE(YEAR(B357),MONTH(B357)+IF($C$35=$S$23,1,0),1),ÍNDICES!$A:$DE,$Z$35+1))))))</f>
        <v/>
      </c>
      <c r="D357" s="154" t="str">
        <f>IF(ISERROR(IF(OR($D$38=$Y$27,$B357=""),"",VLOOKUP(B357,ÍNDICES!A:DE,AF$35+1))),"",IF(OR($D$38=$Y$27,$B357=""),"",VLOOKUP(B357,ÍNDICES!A:DE,AF$35+1)))</f>
        <v/>
      </c>
      <c r="E357" s="153"/>
      <c r="F357" s="29" t="str">
        <f>IF(E357="","",IF($L$35="SELIC - TRIBUTOS",VLOOKUP(DATE(YEAR($D$19),MONTH($D$19)-1,1),ÍNDICES!$A:$DE,HLOOKUP($BL$25,ÍNDICES!$B$3:$T$4,2)+11)-VLOOKUP(E357,ÍNDICES!$A:$DE,HLOOKUP($BL$25,ÍNDICES!$B$3:$T$4,2)+11)+1%,IF(F$38=$W$26,$J$35,IF(ISERROR(IF(E357&gt;$D$19,1,VLOOKUP(DATE(YEAR(E357),MONTH(E357)+IF($C$35=$S$23,1,0),1),ÍNDICES!$A:$DE,$Z$35+1))),"",IF(E357&gt;$D$19,1,VLOOKUP(DATE(YEAR(E357),MONTH(E357)+IF($C$35=$S$23,1,0),1),ÍNDICES!$A:$DE,$Z$35+1))))))</f>
        <v/>
      </c>
      <c r="G357" s="155"/>
      <c r="H357" s="156" t="str">
        <f t="shared" si="55"/>
        <v/>
      </c>
      <c r="I357" s="29" t="str">
        <f t="shared" si="49"/>
        <v/>
      </c>
      <c r="J357" s="5">
        <f t="shared" si="50"/>
        <v>0</v>
      </c>
      <c r="K357" s="20">
        <f t="shared" ca="1" si="51"/>
        <v>0</v>
      </c>
      <c r="L357" s="5">
        <f t="shared" ca="1" si="52"/>
        <v>0</v>
      </c>
      <c r="M357" s="64">
        <f t="shared" si="56"/>
        <v>0</v>
      </c>
      <c r="N357" s="61">
        <f t="shared" ca="1" si="57"/>
        <v>0</v>
      </c>
      <c r="O357" s="5">
        <f t="shared" ca="1" si="58"/>
        <v>0</v>
      </c>
      <c r="P357" s="446" t="e">
        <f t="shared" si="53"/>
        <v>#VALUE!</v>
      </c>
      <c r="Q357" s="446" t="e">
        <f>IF(OR($B357="",MIN(Q$38,$D$19)&lt;MAX($P$34*($B357+IF($R$17="Distrato",$I$38-1,0)),IF(AND($L$37=0,$P$34=0),"",$L$37-1),IF($R$17="Distrato",$E357,0))),0,YEARFRAC(MAX($P$34*($B357+IF($R$17="Distrato",$I$38-1,0)),IF(AND($L$37=0,$P$34=0),"",$L$37-1),IF($R$17="Distrato",$E357,0)),MIN(Q$38,$D$19),$P$20))-SUM($P357:P357)</f>
        <v>#VALUE!</v>
      </c>
      <c r="R357" s="446" t="e">
        <f>IF(OR($B357="",MIN(R$38,$D$19)&lt;MAX($P$34*($B357+IF($R$17="Distrato",$I$38-1,0)),IF(AND($L$37=0,$P$34=0),"",$L$37-1),IF($R$17="Distrato",$E357,0))),0,YEARFRAC(MAX($P$34*($B357+IF($R$17="Distrato",$I$38-1,0)),IF(AND($L$37=0,$P$34=0),"",$L$37-1),IF($R$17="Distrato",$E357,0)),MIN(R$38,$D$19),$P$20))-SUM($P357:Q357)</f>
        <v>#VALUE!</v>
      </c>
      <c r="S357" s="446" t="e">
        <f>IF(OR($B357="",MIN(S$38,$D$19)&lt;MAX($P$34*($B357+IF($R$17="Distrato",$I$38-1,0)),IF(AND($L$37=0,$P$34=0),"",$L$37-1),IF($R$17="Distrato",$E357,0))),0,YEARFRAC(MAX($P$34*($B357+IF($R$17="Distrato",$I$38-1,0)),IF(AND($L$37=0,$P$34=0),"",$L$37-1),IF($R$17="Distrato",$E357,0)),MIN(S$38,$D$19),$P$20))-SUM($P357:R357)</f>
        <v>#VALUE!</v>
      </c>
      <c r="T357" s="446" t="e">
        <f>IF(OR($B357="",MIN(T$38,$D$19)&lt;MAX($P$34*($B357+IF($R$17="Distrato",$I$38-1,0)),IF(AND($L$37=0,$P$34=0),"",$L$37-1),IF($R$17="Distrato",$E357,0))),0,YEARFRAC(MAX($P$34*($B357+IF($R$17="Distrato",$I$38-1,0)),IF(AND($L$37=0,$P$34=0),"",$L$37-1),IF($R$17="Distrato",$E357,0)),MIN(T$38,$D$19),$P$20))-SUM($P357:S357)</f>
        <v>#VALUE!</v>
      </c>
      <c r="U357" s="446" t="e">
        <f>IF(OR($B357="",MIN(U$38,$D$19)&lt;MAX($P$34*($B357+IF($R$17="Distrato",$I$38-1,0)),IF(AND($L$37=0,$P$34=0),"",$L$37-1),IF($R$17="Distrato",$E357,0))),0,YEARFRAC(MAX($P$34*($B357+IF($R$17="Distrato",$I$38-1,0)),IF(AND($L$37=0,$P$34=0),"",$L$37-1),IF($R$17="Distrato",$E357,0)),MIN(U$38,$D$19),$P$20))-SUM($P357:T357)</f>
        <v>#VALUE!</v>
      </c>
      <c r="V357" s="446" t="e">
        <f>IF(OR($B357="",MIN(V$38,$D$19)&lt;MAX($P$34*($B357+IF($R$17="Distrato",$I$38-1,0)),IF(AND($L$37=0,$P$34=0),"",$L$37-1),IF($R$17="Distrato",$E357,0))),0,YEARFRAC(MAX($P$34*($B357+IF($R$17="Distrato",$I$38-1,0)),IF(AND($L$37=0,$P$34=0),"",$L$37-1),IF($R$17="Distrato",$E357,0)),MIN(V$38,$D$19),$P$20))-SUM($P357:U357)</f>
        <v>#VALUE!</v>
      </c>
      <c r="W357" s="446" t="e">
        <f>IF(OR($B357="",MIN(W$38,$D$19)&lt;MAX($P$34*($B357+IF($R$17="Distrato",$I$38-1,0)),IF(AND($L$37=0,$P$34=0),"",$L$37-1),IF($R$17="Distrato",$E357,0))),0,YEARFRAC(MAX($P$34*($B357+IF($R$17="Distrato",$I$38-1,0)),IF(AND($L$37=0,$P$34=0),"",$L$37-1),IF($R$17="Distrato",$E357,0)),MIN(W$38,$D$19),$P$20))-SUM($P357:V357)</f>
        <v>#VALUE!</v>
      </c>
      <c r="X357" s="446" t="e">
        <f>IF(OR($B357="",MIN(X$38,$D$19)&lt;MAX($P$34*($B357+IF($R$17="Distrato",$I$38-1,0)),IF(AND($L$37=0,$P$34=0),"",$L$37-1),IF($R$17="Distrato",$E357,0))),0,YEARFRAC(MAX($P$34*($B357+IF($R$17="Distrato",$I$38-1,0)),IF(AND($L$37=0,$P$34=0),"",$L$37-1),IF($R$17="Distrato",$E357,0)),MIN(X$38,$D$19),$P$20))-SUM($P357:W357)</f>
        <v>#VALUE!</v>
      </c>
      <c r="Y357" s="446" t="e">
        <f>IF(OR($B357="",MIN(Y$38,$D$19)&lt;MAX($P$34*($B357+IF($R$17="Distrato",$I$38-1,0)),IF(AND($L$37=0,$P$34=0),"",$L$37-1),IF($R$17="Distrato",$E357,0))),0,YEARFRAC(MAX($P$34*($B357+IF($R$17="Distrato",$I$38-1,0)),IF(AND($L$37=0,$P$34=0),"",$L$37-1),IF($R$17="Distrato",$E357,0)),MIN(Y$38,$D$19),$P$20))-SUM($P357:X357)</f>
        <v>#VALUE!</v>
      </c>
      <c r="Z357" s="446" t="e">
        <f>IF(OR($B357="",MIN(Z$38,$D$19)&lt;MAX($P$34*($B357+IF($R$17="Distrato",$I$38-1,0)),IF(AND($L$37=0,$P$34=0),"",$L$37-1),IF($R$17="Distrato",$E357,0))),0,YEARFRAC(MAX($P$34*($B357+IF($R$17="Distrato",$I$38-1,0)),IF(AND($L$37=0,$P$34=0),"",$L$37-1),IF($R$17="Distrato",$E357,0)),MIN(Z$38,$D$19),$P$20))-SUM($P357:Y357)</f>
        <v>#VALUE!</v>
      </c>
      <c r="AA357" s="446" t="e">
        <f>IF(OR($B357="",MIN(AA$38,$D$19)&lt;MAX($P$34*($B357+IF($R$17="Distrato",$I$38-1,0)),IF(AND($L$37=0,$P$34=0),"",$L$37-1),IF($R$17="Distrato",$E357,0))),0,YEARFRAC(MAX($P$34*($B357+IF($R$17="Distrato",$I$38-1,0)),IF(AND($L$37=0,$P$34=0),"",$L$37-1),IF($R$17="Distrato",$E357,0)),MIN(AA$38,$D$19),$P$20))-SUM($P357:Z357)</f>
        <v>#VALUE!</v>
      </c>
      <c r="AB357" s="446" t="e">
        <f>IF(OR($B357="",MIN(AB$38,$D$19)&lt;MAX($P$34*($B357+IF($R$17="Distrato",$I$38-1,0)),IF(AND($L$37=0,$P$34=0),"",$L$37-1),IF($R$17="Distrato",$E357,0))),0,YEARFRAC(MAX($P$34*($B357+IF($R$17="Distrato",$I$38-1,0)),IF(AND($L$37=0,$P$34=0),"",$L$37-1),IF($R$17="Distrato",$E357,0)),MIN(AB$38,$D$19),$P$20))-SUM($P357:AA357)</f>
        <v>#VALUE!</v>
      </c>
      <c r="AC357" s="446" t="e">
        <f>IF(OR($B357="",MIN(AC$38,$D$19)&lt;MAX($P$34*($B357+IF($R$17="Distrato",$I$38-1,0)),IF(AND($L$37=0,$P$34=0),"",$L$37-1),IF($R$17="Distrato",$E357,0))),0,YEARFRAC(MAX($P$34*($B357+IF($R$17="Distrato",$I$38-1,0)),IF(AND($L$37=0,$P$34=0),"",$L$37-1),IF($R$17="Distrato",$E357,0)),MIN(AC$38,$D$19),$P$20))-SUM($P357:AB357)</f>
        <v>#VALUE!</v>
      </c>
      <c r="AD357" s="446" t="e">
        <f>IF(OR($B357="",MIN(AD$38,$D$19)&lt;MAX($P$34*($B357+IF($R$17="Distrato",$I$38-1,0)),IF(AND($L$37=0,$P$34=0),"",$L$37-1),IF($R$17="Distrato",$E357,0))),0,YEARFRAC(MAX($P$34*($B357+IF($R$17="Distrato",$I$38-1,0)),IF(AND($L$37=0,$P$34=0),"",$L$37-1),IF($R$17="Distrato",$E357,0)),MIN(AD$38,$D$19),$P$20))-SUM($P357:AC357)</f>
        <v>#VALUE!</v>
      </c>
      <c r="AE357" s="446" t="e">
        <f>IF(OR($B357="",MIN(AE$38,$D$19)&lt;MAX($P$34*($B357+IF($R$17="Distrato",$I$38-1,0)),IF(AND($L$37=0,$P$34=0),"",$L$37-1),IF($R$17="Distrato",$E357,0))),0,YEARFRAC(MAX($P$34*($B357+IF($R$17="Distrato",$I$38-1,0)),IF(AND($L$37=0,$P$34=0),"",$L$37-1),IF($R$17="Distrato",$E357,0)),MIN(AE$38,$D$19),$P$20))-SUM($P357:AD357)</f>
        <v>#VALUE!</v>
      </c>
      <c r="AF357" s="446" t="e">
        <f>IF(OR($B357="",MIN(AF$38,$D$19)&lt;MAX($P$34*($B357+IF($R$17="Distrato",$I$38-1,0)),IF(AND($L$37=0,$P$34=0),"",$L$37-1),IF($R$17="Distrato",$E357,0))),0,YEARFRAC(MAX($P$34*($B357+IF($R$17="Distrato",$I$38-1,0)),IF(AND($L$37=0,$P$34=0),"",$L$37-1),IF($R$17="Distrato",$E357,0)),MIN(AF$38,$D$19),$P$20))-SUM($P357:AE357)</f>
        <v>#VALUE!</v>
      </c>
      <c r="AG357" s="446" t="e">
        <f>IF(OR($B357="",MIN(AG$38,$D$19)&lt;MAX($P$34*($B357+IF($R$17="Distrato",$I$38-1,0)),IF(AND($L$37=0,$P$34=0),"",$L$37-1),IF($R$17="Distrato",$E357,0))),0,YEARFRAC(MAX($P$34*($B357+IF($R$17="Distrato",$I$38-1,0)),IF(AND($L$37=0,$P$34=0),"",$L$37-1),IF($R$17="Distrato",$E357,0)),MIN(AG$38,$D$19),$P$20))-SUM($P357:AF357)</f>
        <v>#VALUE!</v>
      </c>
      <c r="AH357" s="446" t="e">
        <f>IF(OR($B357="",MIN(AH$38,$D$19)&lt;MAX($P$34*($B357+IF($R$17="Distrato",$I$38-1,0)),IF(AND($L$37=0,$P$34=0),"",$L$37-1),IF($R$17="Distrato",$E357,0))),0,YEARFRAC(MAX($P$34*($B357+IF($R$17="Distrato",$I$38-1,0)),IF(AND($L$37=0,$P$34=0),"",$L$37-1),IF($R$17="Distrato",$E357,0)),MIN(AH$38,$D$19),$P$20))-SUM($P357:AG357)</f>
        <v>#VALUE!</v>
      </c>
      <c r="AI357" s="446" t="e">
        <f>IF(OR($B357="",MIN(AI$38,$D$19)&lt;MAX($P$34*($B357+IF($R$17="Distrato",$I$38-1,0)),IF(AND($L$37=0,$P$34=0),"",$L$37-1),IF($R$17="Distrato",$E357,0))),0,YEARFRAC(MAX($P$34*($B357+IF($R$17="Distrato",$I$38-1,0)),IF(AND($L$37=0,$P$34=0),"",$L$37-1),IF($R$17="Distrato",$E357,0)),MIN(AI$38,$D$19),$P$20))-SUM($P357:AH357)</f>
        <v>#VALUE!</v>
      </c>
      <c r="AJ357" s="446" t="e">
        <f>IF(OR($B357="",MIN(AJ$38,$D$19)&lt;MAX($P$34*($B357+IF($R$17="Distrato",$I$38-1,0)),IF(AND($L$37=0,$P$34=0),"",$L$37-1),IF($R$17="Distrato",$E357,0))),0,YEARFRAC(MAX($P$34*($B357+IF($R$17="Distrato",$I$38-1,0)),IF(AND($L$37=0,$P$34=0),"",$L$37-1),IF($R$17="Distrato",$E357,0)),MIN(AJ$38,$D$19),$P$20))-SUM($P357:AI357)</f>
        <v>#VALUE!</v>
      </c>
      <c r="AK357" s="446" t="e">
        <f>IF(OR($B357="",MIN(AK$38,$D$19)&lt;MAX($P$34*($B357+IF($R$17="Distrato",$I$38-1,0)),IF(AND($L$37=0,$P$34=0),"",$L$37-1),IF($R$17="Distrato",$E357,0))),0,YEARFRAC(MAX($P$34*($B357+IF($R$17="Distrato",$I$38-1,0)),IF(AND($L$37=0,$P$34=0),"",$L$37-1),IF($R$17="Distrato",$E357,0)),MIN(AK$38,$D$19),$P$20))-SUM($P357:AJ357)</f>
        <v>#VALUE!</v>
      </c>
      <c r="AL357" s="446" t="e">
        <f>IF(OR($B357="",MIN(AL$38,$D$19)&lt;MAX($P$34*($B357+IF($R$17="Distrato",$I$38-1,0)),IF(AND($L$37=0,$P$34=0),"",$L$37-1),IF($R$17="Distrato",$E357,0))),0,YEARFRAC(MAX($P$34*($B357+IF($R$17="Distrato",$I$38-1,0)),IF(AND($L$37=0,$P$34=0),"",$L$37-1),IF($R$17="Distrato",$E357,0)),MIN(AL$38,$D$19),$P$20))-SUM($P357:AK357)</f>
        <v>#VALUE!</v>
      </c>
      <c r="AM357" s="446" t="e">
        <f>IF(OR($B357="",MIN(AM$38,$D$19)&lt;MAX($P$34*($B357+IF($R$17="Distrato",$I$38-1,0)),IF(AND($L$37=0,$P$34=0),"",$L$37-1),IF($R$17="Distrato",$E357,0))),0,YEARFRAC(MAX($P$34*($B357+IF($R$17="Distrato",$I$38-1,0)),IF(AND($L$37=0,$P$34=0),"",$L$37-1),IF($R$17="Distrato",$E357,0)),MIN(AM$38,$D$19),$P$20))-SUM($P357:AL357)</f>
        <v>#VALUE!</v>
      </c>
      <c r="AN357" s="446" t="e">
        <f>IF(OR($B357="",MIN(AN$38,$D$19)&lt;MAX($P$34*($B357+IF($R$17="Distrato",$I$38-1,0)),IF(AND($L$37=0,$P$34=0),"",$L$37-1),IF($R$17="Distrato",$E357,0))),0,YEARFRAC(MAX($P$34*($B357+IF($R$17="Distrato",$I$38-1,0)),IF(AND($L$37=0,$P$34=0),"",$L$37-1),IF($R$17="Distrato",$E357,0)),MIN(AN$38,$D$19),$P$20))-SUM($P357:AM357)</f>
        <v>#VALUE!</v>
      </c>
      <c r="AO357" s="446" t="e">
        <f>IF(OR($B357="",MIN(AO$38,$D$19)&lt;MAX($P$34*($B357+IF($R$17="Distrato",$I$38-1,0)),IF(AND($L$37=0,$P$34=0),"",$L$37-1),IF($R$17="Distrato",$E357,0))),0,YEARFRAC(MAX($P$34*($B357+IF($R$17="Distrato",$I$38-1,0)),IF(AND($L$37=0,$P$34=0),"",$L$37-1),IF($R$17="Distrato",$E357,0)),MIN(AO$38,$D$19),$P$20))-SUM($P357:AN357)</f>
        <v>#VALUE!</v>
      </c>
      <c r="AP357" s="446" t="e">
        <f>IF(OR($B357="",MIN(AP$38,$D$19)&lt;MAX($P$34*($B357+IF($R$17="Distrato",$I$38-1,0)),IF(AND($L$37=0,$P$34=0),"",$L$37-1),IF($R$17="Distrato",$E357,0))),0,YEARFRAC(MAX($P$34*($B357+IF($R$17="Distrato",$I$38-1,0)),IF(AND($L$37=0,$P$34=0),"",$L$37-1),IF($R$17="Distrato",$E357,0)),MIN(AP$38,$D$19),$P$20))-SUM($P357:AO357)</f>
        <v>#VALUE!</v>
      </c>
      <c r="AQ357" s="446" t="e">
        <f>IF(OR($B357="",MIN(AQ$38,$D$19)&lt;MAX($P$34*($B357+IF($R$17="Distrato",$I$38-1,0)),IF(AND($L$37=0,$P$34=0),"",$L$37-1),IF($R$17="Distrato",$E357,0))),0,YEARFRAC(MAX($P$34*($B357+IF($R$17="Distrato",$I$38-1,0)),IF(AND($L$37=0,$P$34=0),"",$L$37-1),IF($R$17="Distrato",$E357,0)),MIN(AQ$38,$D$19),$P$20))-SUM($P357:AP357)</f>
        <v>#VALUE!</v>
      </c>
      <c r="AR357" s="446" t="e">
        <f>IF(OR($B357="",MIN(AR$38,$D$19)&lt;MAX($P$34*($B357+IF($R$17="Distrato",$I$38-1,0)),IF(AND($L$37=0,$P$34=0),"",$L$37-1),IF($R$17="Distrato",$E357,0))),0,YEARFRAC(MAX($P$34*($B357+IF($R$17="Distrato",$I$38-1,0)),IF(AND($L$37=0,$P$34=0),"",$L$37-1),IF($R$17="Distrato",$E357,0)),MIN(AR$38,$D$19),$P$20))-SUM($P357:AQ357)</f>
        <v>#VALUE!</v>
      </c>
      <c r="AS357" s="446" t="e">
        <f>IF(OR($B357="",MIN(AS$38,$D$19)&lt;MAX($P$34*($B357+IF($R$17="Distrato",$I$38-1,0)),IF(AND($L$37=0,$P$34=0),"",$L$37-1),IF($R$17="Distrato",$E357,0))),0,YEARFRAC(MAX($P$34*($B357+IF($R$17="Distrato",$I$38-1,0)),IF(AND($L$37=0,$P$34=0),"",$L$37-1),IF($R$17="Distrato",$E357,0)),MIN(AS$38,$D$19),$P$20))-SUM($P357:AR357)</f>
        <v>#VALUE!</v>
      </c>
      <c r="AT357" s="446" t="e">
        <f>IF(OR($B357="",MIN(AT$38,$D$19)&lt;MAX($P$34*($B357+IF($R$17="Distrato",$I$38-1,0)),IF(AND($L$37=0,$P$34=0),"",$L$37-1),IF($R$17="Distrato",$E357,0))),0,YEARFRAC(MAX($P$34*($B357+IF($R$17="Distrato",$I$38-1,0)),IF(AND($L$37=0,$P$34=0),"",$L$37-1),IF($R$17="Distrato",$E357,0)),MIN(AT$38,$D$19),$P$20))-SUM($P357:AS357)</f>
        <v>#VALUE!</v>
      </c>
      <c r="AU357" s="446" t="e">
        <f>IF(OR($B357="",MIN(AU$38,$D$19)&lt;MAX($P$34*($B357+IF($R$17="Distrato",$I$38-1,0)),IF(AND($L$37=0,$P$34=0),"",$L$37-1),IF($R$17="Distrato",$E357,0))),0,YEARFRAC(MAX($P$34*($B357+IF($R$17="Distrato",$I$38-1,0)),IF(AND($L$37=0,$P$34=0),"",$L$37-1),IF($R$17="Distrato",$E357,0)),MIN(AU$38,$D$19),$P$20))-SUM($P357:AT357)</f>
        <v>#VALUE!</v>
      </c>
      <c r="AV357" s="446" t="e">
        <f>IF(OR($B357="",MIN(AV$38,$D$19)&lt;MAX($P$34*($B357+IF($R$17="Distrato",$I$38-1,0)),IF(AND($L$37=0,$P$34=0),"",$L$37-1),IF($R$17="Distrato",$E357,0))),0,YEARFRAC(MAX($P$34*($B357+IF($R$17="Distrato",$I$38-1,0)),IF(AND($L$37=0,$P$34=0),"",$L$37-1),IF($R$17="Distrato",$E357,0)),MIN(AV$38,$D$19),$P$20))-SUM($P357:AU357)</f>
        <v>#VALUE!</v>
      </c>
      <c r="AW357" s="446" t="e">
        <f>IF(OR($B357="",MIN(AW$38,$D$19)&lt;MAX($P$34*($B357+IF($R$17="Distrato",$I$38-1,0)),IF(AND($L$37=0,$P$34=0),"",$L$37-1),IF($R$17="Distrato",$E357,0))),0,YEARFRAC(MAX($P$34*($B357+IF($R$17="Distrato",$I$38-1,0)),IF(AND($L$37=0,$P$34=0),"",$L$37-1),IF($R$17="Distrato",$E357,0)),MIN(AW$38,$D$19),$P$20))-SUM($P357:AV357)</f>
        <v>#VALUE!</v>
      </c>
      <c r="AX357" s="446" t="e">
        <f>IF(OR($B357="",MIN(AX$38,$D$19)&lt;MAX($P$34*($B357+IF($R$17="Distrato",$I$38-1,0)),IF(AND($L$37=0,$P$34=0),"",$L$37-1),IF($R$17="Distrato",$E357,0))),0,YEARFRAC(MAX($P$34*($B357+IF($R$17="Distrato",$I$38-1,0)),IF(AND($L$37=0,$P$34=0),"",$L$37-1),IF($R$17="Distrato",$E357,0)),MIN(AX$38,$D$19),$P$20))-SUM($P357:AW357)</f>
        <v>#VALUE!</v>
      </c>
      <c r="AY357" s="446" t="e">
        <f>IF(OR($B357="",MIN(AY$38,$D$19)&lt;MAX($P$34*($B357+IF($R$17="Distrato",$I$38-1,0)),IF(AND($L$37=0,$P$34=0),"",$L$37-1),IF($R$17="Distrato",$E357,0))),0,YEARFRAC(MAX($P$34*($B357+IF($R$17="Distrato",$I$38-1,0)),IF(AND($L$37=0,$P$34=0),"",$L$37-1),IF($R$17="Distrato",$E357,0)),MIN(AY$38,$D$19),$P$20))-SUM($P357:AX357)</f>
        <v>#VALUE!</v>
      </c>
      <c r="AZ357" s="446" t="e">
        <f>IF(OR($B357="",MIN(AZ$38,$D$19)&lt;MAX($P$34*($B357+IF($R$17="Distrato",$I$38-1,0)),IF(AND($L$37=0,$P$34=0),"",$L$37-1),IF($R$17="Distrato",$E357,0))),0,YEARFRAC(MAX($P$34*($B357+IF($R$17="Distrato",$I$38-1,0)),IF(AND($L$37=0,$P$34=0),"",$L$37-1),IF($R$17="Distrato",$E357,0)),MIN(AZ$38,$D$19),$P$20))-SUM($P357:AY357)</f>
        <v>#VALUE!</v>
      </c>
      <c r="BA357" s="446" t="e">
        <f>IF(OR($B357="",MIN(BA$38,$D$19)&lt;MAX($P$34*($B357+IF($R$17="Distrato",$I$38-1,0)),IF(AND($L$37=0,$P$34=0),"",$L$37-1),IF($R$17="Distrato",$E357,0))),0,YEARFRAC(MAX($P$34*($B357+IF($R$17="Distrato",$I$38-1,0)),IF(AND($L$37=0,$P$34=0),"",$L$37-1),IF($R$17="Distrato",$E357,0)),MIN(BA$38,$D$19),$P$20))-SUM($P357:AZ357)</f>
        <v>#VALUE!</v>
      </c>
      <c r="BB357" s="447"/>
      <c r="BF357" s="446">
        <f t="shared" si="54"/>
        <v>0</v>
      </c>
      <c r="BG357" s="446">
        <f>IF($E357=0,0,IF(MIN(BG$38,$E357)&lt;MAX($P$34*($B357+$I$38-1),IF(AND($L$37=0,$P$34=0),"",$L$37-1)),0,YEARFRAC(MAX($P$34*($B357+$I$38-1),IF(AND($L$37=0,$P$34=0),"",$L$37-1)),MIN(BG$38,$E357),$P$20))-SUM($BF357:BF357))</f>
        <v>0</v>
      </c>
      <c r="BH357" s="446">
        <f>IF($E357=0,0,IF(MIN(BH$38,$E357)&lt;MAX($P$34*($B357+$I$38-1),IF(AND($L$37=0,$P$34=0),"",$L$37-1)),0,YEARFRAC(MAX($P$34*($B357+$I$38-1),IF(AND($L$37=0,$P$34=0),"",$L$37-1)),MIN(BH$38,$E357),$P$20))-SUM($BF357:BG357))</f>
        <v>0</v>
      </c>
      <c r="BI357" s="446">
        <f>IF($E357=0,0,IF(MIN(BI$38,$E357)&lt;MAX($P$34*($B357+$I$38-1),IF(AND($L$37=0,$P$34=0),"",$L$37-1)),0,YEARFRAC(MAX($P$34*($B357+$I$38-1),IF(AND($L$37=0,$P$34=0),"",$L$37-1)),MIN(BI$38,$E357),$P$20))-SUM($BF357:BH357))</f>
        <v>0</v>
      </c>
      <c r="BJ357" s="446">
        <f>IF($E357=0,0,IF(MIN(BJ$38,$E357)&lt;MAX($P$34*($B357+$I$38-1),IF(AND($L$37=0,$P$34=0),"",$L$37-1)),0,YEARFRAC(MAX($P$34*($B357+$I$38-1),IF(AND($L$37=0,$P$34=0),"",$L$37-1)),MIN(BJ$38,$E357),$P$20))-SUM($BF357:BI357))</f>
        <v>0</v>
      </c>
      <c r="BK357" s="446">
        <f>IF($E357=0,0,IF(MIN(BK$38,$E357)&lt;MAX($P$34*($B357+$I$38-1),IF(AND($L$37=0,$P$34=0),"",$L$37-1)),0,YEARFRAC(MAX($P$34*($B357+$I$38-1),IF(AND($L$37=0,$P$34=0),"",$L$37-1)),MIN(BK$38,$E357),$P$20))-SUM($BF357:BJ357))</f>
        <v>0</v>
      </c>
      <c r="BL357" s="446">
        <f>IF($E357=0,0,IF(MIN(BL$38,$E357)&lt;MAX($P$34*($B357+$I$38-1),IF(AND($L$37=0,$P$34=0),"",$L$37-1)),0,YEARFRAC(MAX($P$34*($B357+$I$38-1),IF(AND($L$37=0,$P$34=0),"",$L$37-1)),MIN(BL$38,$E357),$P$20))-SUM($BF357:BK357))</f>
        <v>0</v>
      </c>
      <c r="BM357" s="446">
        <f>IF($E357=0,0,IF(MIN(BM$38,$E357)&lt;MAX($P$34*($B357+$I$38-1),IF(AND($L$37=0,$P$34=0),"",$L$37-1)),0,YEARFRAC(MAX($P$34*($B357+$I$38-1),IF(AND($L$37=0,$P$34=0),"",$L$37-1)),MIN(BM$38,$E357),$P$20))-SUM($BF357:BL357))</f>
        <v>0</v>
      </c>
      <c r="BN357" s="446">
        <f>IF($E357=0,0,IF(MIN(BN$38,$E357)&lt;MAX($P$34*($B357+$I$38-1),IF(AND($L$37=0,$P$34=0),"",$L$37-1)),0,YEARFRAC(MAX($P$34*($B357+$I$38-1),IF(AND($L$37=0,$P$34=0),"",$L$37-1)),MIN(BN$38,$E357),$P$20))-SUM($BF357:BM357))</f>
        <v>0</v>
      </c>
      <c r="BO357" s="446">
        <f>IF($E357=0,0,IF(MIN(BO$38,$E357)&lt;MAX($P$34*($B357+$I$38-1),IF(AND($L$37=0,$P$34=0),"",$L$37-1)),0,YEARFRAC(MAX($P$34*($B357+$I$38-1),IF(AND($L$37=0,$P$34=0),"",$L$37-1)),MIN(BO$38,$E357),$P$20))-SUM($BF357:BN357))</f>
        <v>0</v>
      </c>
      <c r="BP357" s="446">
        <f>IF($E357=0,0,IF(MIN(BP$38,$E357)&lt;MAX($P$34*($B357+$I$38-1),IF(AND($L$37=0,$P$34=0),"",$L$37-1)),0,YEARFRAC(MAX($P$34*($B357+$I$38-1),IF(AND($L$37=0,$P$34=0),"",$L$37-1)),MIN(BP$38,$E357),$P$20))-SUM($BF357:BO357))</f>
        <v>0</v>
      </c>
      <c r="BQ357" s="446">
        <f>IF($E357=0,0,IF(MIN(BQ$38,$E357)&lt;MAX($P$34*($B357+$I$38-1),IF(AND($L$37=0,$P$34=0),"",$L$37-1)),0,YEARFRAC(MAX($P$34*($B357+$I$38-1),IF(AND($L$37=0,$P$34=0),"",$L$37-1)),MIN(BQ$38,$E357),$P$20))-SUM($BF357:BP357))</f>
        <v>0</v>
      </c>
      <c r="BR357" s="446">
        <f>IF($E357=0,0,IF(MIN(BR$38,$E357)&lt;MAX($P$34*($B357+$I$38-1),IF(AND($L$37=0,$P$34=0),"",$L$37-1)),0,YEARFRAC(MAX($P$34*($B357+$I$38-1),IF(AND($L$37=0,$P$34=0),"",$L$37-1)),MIN(BR$38,$E357),$P$20))-SUM($BF357:BQ357))</f>
        <v>0</v>
      </c>
      <c r="BS357" s="446">
        <f>IF($E357=0,0,IF(MIN(BS$38,$E357)&lt;MAX($P$34*($B357+$I$38-1),IF(AND($L$37=0,$P$34=0),"",$L$37-1)),0,YEARFRAC(MAX($P$34*($B357+$I$38-1),IF(AND($L$37=0,$P$34=0),"",$L$37-1)),MIN(BS$38,$E357),$P$20))-SUM($BF357:BR357))</f>
        <v>0</v>
      </c>
      <c r="BT357" s="446">
        <f>IF($E357=0,0,IF(MIN(BT$38,$E357)&lt;MAX($P$34*($B357+$I$38-1),IF(AND($L$37=0,$P$34=0),"",$L$37-1)),0,YEARFRAC(MAX($P$34*($B357+$I$38-1),IF(AND($L$37=0,$P$34=0),"",$L$37-1)),MIN(BT$38,$E357),$P$20))-SUM($BF357:BS357))</f>
        <v>0</v>
      </c>
      <c r="BU357" s="446">
        <f>IF($E357=0,0,IF(MIN(BU$38,$E357)&lt;MAX($P$34*($B357+$I$38-1),IF(AND($L$37=0,$P$34=0),"",$L$37-1)),0,YEARFRAC(MAX($P$34*($B357+$I$38-1),IF(AND($L$37=0,$P$34=0),"",$L$37-1)),MIN(BU$38,$E357),$P$20))-SUM($BF357:BT357))</f>
        <v>0</v>
      </c>
      <c r="BV357" s="446">
        <f>IF($E357=0,0,IF(MIN(BV$38,$E357)&lt;MAX($P$34*($B357+$I$38-1),IF(AND($L$37=0,$P$34=0),"",$L$37-1)),0,YEARFRAC(MAX($P$34*($B357+$I$38-1),IF(AND($L$37=0,$P$34=0),"",$L$37-1)),MIN(BV$38,$E357),$P$20))-SUM($BF357:BU357))</f>
        <v>0</v>
      </c>
      <c r="BW357" s="446">
        <f>IF($E357=0,0,IF(MIN(BW$38,$E357)&lt;MAX($P$34*($B357+$I$38-1),IF(AND($L$37=0,$P$34=0),"",$L$37-1)),0,YEARFRAC(MAX($P$34*($B357+$I$38-1),IF(AND($L$37=0,$P$34=0),"",$L$37-1)),MIN(BW$38,$E357),$P$20))-SUM($BF357:BV357))</f>
        <v>0</v>
      </c>
      <c r="BX357" s="446">
        <f>IF($E357=0,0,IF(MIN(BX$38,$E357)&lt;MAX($P$34*($B357+$I$38-1),IF(AND($L$37=0,$P$34=0),"",$L$37-1)),0,YEARFRAC(MAX($P$34*($B357+$I$38-1),IF(AND($L$37=0,$P$34=0),"",$L$37-1)),MIN(BX$38,$E357),$P$20))-SUM($BF357:BW357))</f>
        <v>0</v>
      </c>
      <c r="BY357" s="446">
        <f>IF($E357=0,0,IF(MIN(BY$38,$E357)&lt;MAX($P$34*($B357+$I$38-1),IF(AND($L$37=0,$P$34=0),"",$L$37-1)),0,YEARFRAC(MAX($P$34*($B357+$I$38-1),IF(AND($L$37=0,$P$34=0),"",$L$37-1)),MIN(BY$38,$E357),$P$20))-SUM($BF357:BX357))</f>
        <v>0</v>
      </c>
      <c r="BZ357" s="446">
        <f>IF($E357=0,0,IF(MIN(BZ$38,$E357)&lt;MAX($P$34*($B357+$I$38-1),IF(AND($L$37=0,$P$34=0),"",$L$37-1)),0,YEARFRAC(MAX($P$34*($B357+$I$38-1),IF(AND($L$37=0,$P$34=0),"",$L$37-1)),MIN(BZ$38,$E357),$P$20))-SUM($BF357:BY357))</f>
        <v>0</v>
      </c>
      <c r="CA357" s="446">
        <f>IF($E357=0,0,IF(MIN(CA$38,$E357)&lt;MAX($P$34*($B357+$I$38-1),IF(AND($L$37=0,$P$34=0),"",$L$37-1)),0,YEARFRAC(MAX($P$34*($B357+$I$38-1),IF(AND($L$37=0,$P$34=0),"",$L$37-1)),MIN(CA$38,$E357),$P$20))-SUM($BF357:BZ357))</f>
        <v>0</v>
      </c>
      <c r="CB357" s="446">
        <f>IF($E357=0,0,IF(MIN(CB$38,$E357)&lt;MAX($P$34*($B357+$I$38-1),IF(AND($L$37=0,$P$34=0),"",$L$37-1)),0,YEARFRAC(MAX($P$34*($B357+$I$38-1),IF(AND($L$37=0,$P$34=0),"",$L$37-1)),MIN(CB$38,$E357),$P$20))-SUM($BF357:CA357))</f>
        <v>0</v>
      </c>
      <c r="CC357" s="446">
        <f>IF($E357=0,0,IF(MIN(CC$38,$E357)&lt;MAX($P$34*($B357+$I$38-1),IF(AND($L$37=0,$P$34=0),"",$L$37-1)),0,YEARFRAC(MAX($P$34*($B357+$I$38-1),IF(AND($L$37=0,$P$34=0),"",$L$37-1)),MIN(CC$38,$E357),$P$20))-SUM($BF357:CB357))</f>
        <v>0</v>
      </c>
      <c r="CD357" s="446">
        <f>IF($E357=0,0,IF(MIN(CD$38,$E357)&lt;MAX($P$34*($B357+$I$38-1),IF(AND($L$37=0,$P$34=0),"",$L$37-1)),0,YEARFRAC(MAX($P$34*($B357+$I$38-1),IF(AND($L$37=0,$P$34=0),"",$L$37-1)),MIN(CD$38,$E357),$P$20))-SUM($BF357:CC357))</f>
        <v>0</v>
      </c>
      <c r="CE357" s="446">
        <f>IF($E357=0,0,IF(MIN(CE$38,$E357)&lt;MAX($P$34*($B357+$I$38-1),IF(AND($L$37=0,$P$34=0),"",$L$37-1)),0,YEARFRAC(MAX($P$34*($B357+$I$38-1),IF(AND($L$37=0,$P$34=0),"",$L$37-1)),MIN(CE$38,$E357),$P$20))-SUM($BF357:CD357))</f>
        <v>0</v>
      </c>
      <c r="CF357" s="446">
        <f>IF($E357=0,0,IF(MIN(CF$38,$E357)&lt;MAX($P$34*($B357+$I$38-1),IF(AND($L$37=0,$P$34=0),"",$L$37-1)),0,YEARFRAC(MAX($P$34*($B357+$I$38-1),IF(AND($L$37=0,$P$34=0),"",$L$37-1)),MIN(CF$38,$E357),$P$20))-SUM($BF357:CE357))</f>
        <v>0</v>
      </c>
      <c r="CG357" s="446">
        <f>IF($E357=0,0,IF(MIN(CG$38,$E357)&lt;MAX($P$34*($B357+$I$38-1),IF(AND($L$37=0,$P$34=0),"",$L$37-1)),0,YEARFRAC(MAX($P$34*($B357+$I$38-1),IF(AND($L$37=0,$P$34=0),"",$L$37-1)),MIN(CG$38,$E357),$P$20))-SUM($BF357:CF357))</f>
        <v>0</v>
      </c>
      <c r="CH357" s="446">
        <f>IF($E357=0,0,IF(MIN(CH$38,$E357)&lt;MAX($P$34*($B357+$I$38-1),IF(AND($L$37=0,$P$34=0),"",$L$37-1)),0,YEARFRAC(MAX($P$34*($B357+$I$38-1),IF(AND($L$37=0,$P$34=0),"",$L$37-1)),MIN(CH$38,$E357),$P$20))-SUM($BF357:CG357))</f>
        <v>0</v>
      </c>
      <c r="CI357" s="446">
        <f>IF($E357=0,0,IF(MIN(CI$38,$E357)&lt;MAX($P$34*($B357+$I$38-1),IF(AND($L$37=0,$P$34=0),"",$L$37-1)),0,YEARFRAC(MAX($P$34*($B357+$I$38-1),IF(AND($L$37=0,$P$34=0),"",$L$37-1)),MIN(CI$38,$E357),$P$20))-SUM($BF357:CH357))</f>
        <v>0</v>
      </c>
      <c r="CJ357" s="446">
        <f>IF($E357=0,0,IF(MIN(CJ$38,$E357)&lt;MAX($P$34*($B357+$I$38-1),IF(AND($L$37=0,$P$34=0),"",$L$37-1)),0,YEARFRAC(MAX($P$34*($B357+$I$38-1),IF(AND($L$37=0,$P$34=0),"",$L$37-1)),MIN(CJ$38,$E357),$P$20))-SUM($BF357:CI357))</f>
        <v>0</v>
      </c>
      <c r="CK357" s="446">
        <f>IF($E357=0,0,IF(MIN(CK$38,$E357)&lt;MAX($P$34*($B357+$I$38-1),IF(AND($L$37=0,$P$34=0),"",$L$37-1)),0,YEARFRAC(MAX($P$34*($B357+$I$38-1),IF(AND($L$37=0,$P$34=0),"",$L$37-1)),MIN(CK$38,$E357),$P$20))-SUM($BF357:CJ357))</f>
        <v>0</v>
      </c>
      <c r="CL357" s="446">
        <f>IF($E357=0,0,IF(MIN(CL$38,$E357)&lt;MAX($P$34*($B357+$I$38-1),IF(AND($L$37=0,$P$34=0),"",$L$37-1)),0,YEARFRAC(MAX($P$34*($B357+$I$38-1),IF(AND($L$37=0,$P$34=0),"",$L$37-1)),MIN(CL$38,$E357),$P$20))-SUM($BF357:CK357))</f>
        <v>0</v>
      </c>
      <c r="CM357" s="446">
        <f>IF($E357=0,0,IF(MIN(CM$38,$E357)&lt;MAX($P$34*($B357+$I$38-1),IF(AND($L$37=0,$P$34=0),"",$L$37-1)),0,YEARFRAC(MAX($P$34*($B357+$I$38-1),IF(AND($L$37=0,$P$34=0),"",$L$37-1)),MIN(CM$38,$E357),$P$20))-SUM($BF357:CL357))</f>
        <v>0</v>
      </c>
      <c r="CN357" s="446">
        <f>IF($E357=0,0,IF(MIN(CN$38,$E357)&lt;MAX($P$34*($B357+$I$38-1),IF(AND($L$37=0,$P$34=0),"",$L$37-1)),0,YEARFRAC(MAX($P$34*($B357+$I$38-1),IF(AND($L$37=0,$P$34=0),"",$L$37-1)),MIN(CN$38,$E357),$P$20))-SUM($BF357:CM357))</f>
        <v>0</v>
      </c>
      <c r="CO357" s="446">
        <f>IF($E357=0,0,IF(MIN(CO$38,$E357)&lt;MAX($P$34*($B357+$I$38-1),IF(AND($L$37=0,$P$34=0),"",$L$37-1)),0,YEARFRAC(MAX($P$34*($B357+$I$38-1),IF(AND($L$37=0,$P$34=0),"",$L$37-1)),MIN(CO$38,$E357),$P$20))-SUM($BF357:CN357))</f>
        <v>0</v>
      </c>
      <c r="CP357" s="446">
        <f>IF($E357=0,0,IF(MIN(CP$38,$E357)&lt;MAX($P$34*($B357+$I$38-1),IF(AND($L$37=0,$P$34=0),"",$L$37-1)),0,YEARFRAC(MAX($P$34*($B357+$I$38-1),IF(AND($L$37=0,$P$34=0),"",$L$37-1)),MIN(CP$38,$E357),$P$20))-SUM($BF357:CO357))</f>
        <v>0</v>
      </c>
      <c r="CQ357" s="446">
        <f>IF($E357=0,0,IF(MIN(CQ$38,$E357)&lt;MAX($P$34*($B357+$I$38-1),IF(AND($L$37=0,$P$34=0),"",$L$37-1)),0,YEARFRAC(MAX($P$34*($B357+$I$38-1),IF(AND($L$37=0,$P$34=0),"",$L$37-1)),MIN(CQ$38,$E357),$P$20))-SUM($BF357:CP357))</f>
        <v>0</v>
      </c>
    </row>
    <row r="358" spans="1:95" s="446" customFormat="1" ht="11.25" hidden="1" customHeight="1" x14ac:dyDescent="0.2">
      <c r="A358" s="152"/>
      <c r="B358" s="153" t="str">
        <f t="shared" si="59"/>
        <v/>
      </c>
      <c r="C358" s="29" t="str">
        <f>IF(B358="","",IF($L$35="SELIC - TRIBUTOS",VLOOKUP(DATE(YEAR($D$19),MONTH($D$19)-1,1),ÍNDICES!$A:$DE,HLOOKUP($BL$25,ÍNDICES!$B$3:$T$4,2)+11)-VLOOKUP(B358,ÍNDICES!$A:$DE,HLOOKUP($BL$25,ÍNDICES!$B$3:$T$4,2)+11)+1%,IF(C$38=$W$26,$J$35,IF(ISERROR(IF(B358&gt;$D$19,1,VLOOKUP(DATE(YEAR(B358),MONTH(B358)+IF($C$35=$S$23,1,0),1),ÍNDICES!$A:$DE,$Z$35+1))),"",IF(B358&gt;$D$19,1,VLOOKUP(DATE(YEAR(B358),MONTH(B358)+IF($C$35=$S$23,1,0),1),ÍNDICES!$A:$DE,$Z$35+1))))))</f>
        <v/>
      </c>
      <c r="D358" s="154" t="str">
        <f>IF(ISERROR(IF(OR($D$38=$Y$27,$B358=""),"",VLOOKUP(B358,ÍNDICES!A:DE,AF$35+1))),"",IF(OR($D$38=$Y$27,$B358=""),"",VLOOKUP(B358,ÍNDICES!A:DE,AF$35+1)))</f>
        <v/>
      </c>
      <c r="E358" s="153"/>
      <c r="F358" s="29" t="str">
        <f>IF(E358="","",IF($L$35="SELIC - TRIBUTOS",VLOOKUP(DATE(YEAR($D$19),MONTH($D$19)-1,1),ÍNDICES!$A:$DE,HLOOKUP($BL$25,ÍNDICES!$B$3:$T$4,2)+11)-VLOOKUP(E358,ÍNDICES!$A:$DE,HLOOKUP($BL$25,ÍNDICES!$B$3:$T$4,2)+11)+1%,IF(F$38=$W$26,$J$35,IF(ISERROR(IF(E358&gt;$D$19,1,VLOOKUP(DATE(YEAR(E358),MONTH(E358)+IF($C$35=$S$23,1,0),1),ÍNDICES!$A:$DE,$Z$35+1))),"",IF(E358&gt;$D$19,1,VLOOKUP(DATE(YEAR(E358),MONTH(E358)+IF($C$35=$S$23,1,0),1),ÍNDICES!$A:$DE,$Z$35+1))))))</f>
        <v/>
      </c>
      <c r="G358" s="155"/>
      <c r="H358" s="156" t="str">
        <f t="shared" si="55"/>
        <v/>
      </c>
      <c r="I358" s="29" t="str">
        <f t="shared" si="49"/>
        <v/>
      </c>
      <c r="J358" s="5">
        <f t="shared" si="50"/>
        <v>0</v>
      </c>
      <c r="K358" s="20">
        <f t="shared" ca="1" si="51"/>
        <v>0</v>
      </c>
      <c r="L358" s="5">
        <f t="shared" ca="1" si="52"/>
        <v>0</v>
      </c>
      <c r="M358" s="64">
        <f t="shared" si="56"/>
        <v>0</v>
      </c>
      <c r="N358" s="61">
        <f t="shared" ca="1" si="57"/>
        <v>0</v>
      </c>
      <c r="O358" s="5">
        <f t="shared" ca="1" si="58"/>
        <v>0</v>
      </c>
      <c r="P358" s="446" t="e">
        <f t="shared" si="53"/>
        <v>#VALUE!</v>
      </c>
      <c r="Q358" s="446" t="e">
        <f>IF(OR($B358="",MIN(Q$38,$D$19)&lt;MAX($P$34*($B358+IF($R$17="Distrato",$I$38-1,0)),IF(AND($L$37=0,$P$34=0),"",$L$37-1),IF($R$17="Distrato",$E358,0))),0,YEARFRAC(MAX($P$34*($B358+IF($R$17="Distrato",$I$38-1,0)),IF(AND($L$37=0,$P$34=0),"",$L$37-1),IF($R$17="Distrato",$E358,0)),MIN(Q$38,$D$19),$P$20))-SUM($P358:P358)</f>
        <v>#VALUE!</v>
      </c>
      <c r="R358" s="446" t="e">
        <f>IF(OR($B358="",MIN(R$38,$D$19)&lt;MAX($P$34*($B358+IF($R$17="Distrato",$I$38-1,0)),IF(AND($L$37=0,$P$34=0),"",$L$37-1),IF($R$17="Distrato",$E358,0))),0,YEARFRAC(MAX($P$34*($B358+IF($R$17="Distrato",$I$38-1,0)),IF(AND($L$37=0,$P$34=0),"",$L$37-1),IF($R$17="Distrato",$E358,0)),MIN(R$38,$D$19),$P$20))-SUM($P358:Q358)</f>
        <v>#VALUE!</v>
      </c>
      <c r="S358" s="446" t="e">
        <f>IF(OR($B358="",MIN(S$38,$D$19)&lt;MAX($P$34*($B358+IF($R$17="Distrato",$I$38-1,0)),IF(AND($L$37=0,$P$34=0),"",$L$37-1),IF($R$17="Distrato",$E358,0))),0,YEARFRAC(MAX($P$34*($B358+IF($R$17="Distrato",$I$38-1,0)),IF(AND($L$37=0,$P$34=0),"",$L$37-1),IF($R$17="Distrato",$E358,0)),MIN(S$38,$D$19),$P$20))-SUM($P358:R358)</f>
        <v>#VALUE!</v>
      </c>
      <c r="T358" s="446" t="e">
        <f>IF(OR($B358="",MIN(T$38,$D$19)&lt;MAX($P$34*($B358+IF($R$17="Distrato",$I$38-1,0)),IF(AND($L$37=0,$P$34=0),"",$L$37-1),IF($R$17="Distrato",$E358,0))),0,YEARFRAC(MAX($P$34*($B358+IF($R$17="Distrato",$I$38-1,0)),IF(AND($L$37=0,$P$34=0),"",$L$37-1),IF($R$17="Distrato",$E358,0)),MIN(T$38,$D$19),$P$20))-SUM($P358:S358)</f>
        <v>#VALUE!</v>
      </c>
      <c r="U358" s="446" t="e">
        <f>IF(OR($B358="",MIN(U$38,$D$19)&lt;MAX($P$34*($B358+IF($R$17="Distrato",$I$38-1,0)),IF(AND($L$37=0,$P$34=0),"",$L$37-1),IF($R$17="Distrato",$E358,0))),0,YEARFRAC(MAX($P$34*($B358+IF($R$17="Distrato",$I$38-1,0)),IF(AND($L$37=0,$P$34=0),"",$L$37-1),IF($R$17="Distrato",$E358,0)),MIN(U$38,$D$19),$P$20))-SUM($P358:T358)</f>
        <v>#VALUE!</v>
      </c>
      <c r="V358" s="446" t="e">
        <f>IF(OR($B358="",MIN(V$38,$D$19)&lt;MAX($P$34*($B358+IF($R$17="Distrato",$I$38-1,0)),IF(AND($L$37=0,$P$34=0),"",$L$37-1),IF($R$17="Distrato",$E358,0))),0,YEARFRAC(MAX($P$34*($B358+IF($R$17="Distrato",$I$38-1,0)),IF(AND($L$37=0,$P$34=0),"",$L$37-1),IF($R$17="Distrato",$E358,0)),MIN(V$38,$D$19),$P$20))-SUM($P358:U358)</f>
        <v>#VALUE!</v>
      </c>
      <c r="W358" s="446" t="e">
        <f>IF(OR($B358="",MIN(W$38,$D$19)&lt;MAX($P$34*($B358+IF($R$17="Distrato",$I$38-1,0)),IF(AND($L$37=0,$P$34=0),"",$L$37-1),IF($R$17="Distrato",$E358,0))),0,YEARFRAC(MAX($P$34*($B358+IF($R$17="Distrato",$I$38-1,0)),IF(AND($L$37=0,$P$34=0),"",$L$37-1),IF($R$17="Distrato",$E358,0)),MIN(W$38,$D$19),$P$20))-SUM($P358:V358)</f>
        <v>#VALUE!</v>
      </c>
      <c r="X358" s="446" t="e">
        <f>IF(OR($B358="",MIN(X$38,$D$19)&lt;MAX($P$34*($B358+IF($R$17="Distrato",$I$38-1,0)),IF(AND($L$37=0,$P$34=0),"",$L$37-1),IF($R$17="Distrato",$E358,0))),0,YEARFRAC(MAX($P$34*($B358+IF($R$17="Distrato",$I$38-1,0)),IF(AND($L$37=0,$P$34=0),"",$L$37-1),IF($R$17="Distrato",$E358,0)),MIN(X$38,$D$19),$P$20))-SUM($P358:W358)</f>
        <v>#VALUE!</v>
      </c>
      <c r="Y358" s="446" t="e">
        <f>IF(OR($B358="",MIN(Y$38,$D$19)&lt;MAX($P$34*($B358+IF($R$17="Distrato",$I$38-1,0)),IF(AND($L$37=0,$P$34=0),"",$L$37-1),IF($R$17="Distrato",$E358,0))),0,YEARFRAC(MAX($P$34*($B358+IF($R$17="Distrato",$I$38-1,0)),IF(AND($L$37=0,$P$34=0),"",$L$37-1),IF($R$17="Distrato",$E358,0)),MIN(Y$38,$D$19),$P$20))-SUM($P358:X358)</f>
        <v>#VALUE!</v>
      </c>
      <c r="Z358" s="446" t="e">
        <f>IF(OR($B358="",MIN(Z$38,$D$19)&lt;MAX($P$34*($B358+IF($R$17="Distrato",$I$38-1,0)),IF(AND($L$37=0,$P$34=0),"",$L$37-1),IF($R$17="Distrato",$E358,0))),0,YEARFRAC(MAX($P$34*($B358+IF($R$17="Distrato",$I$38-1,0)),IF(AND($L$37=0,$P$34=0),"",$L$37-1),IF($R$17="Distrato",$E358,0)),MIN(Z$38,$D$19),$P$20))-SUM($P358:Y358)</f>
        <v>#VALUE!</v>
      </c>
      <c r="AA358" s="446" t="e">
        <f>IF(OR($B358="",MIN(AA$38,$D$19)&lt;MAX($P$34*($B358+IF($R$17="Distrato",$I$38-1,0)),IF(AND($L$37=0,$P$34=0),"",$L$37-1),IF($R$17="Distrato",$E358,0))),0,YEARFRAC(MAX($P$34*($B358+IF($R$17="Distrato",$I$38-1,0)),IF(AND($L$37=0,$P$34=0),"",$L$37-1),IF($R$17="Distrato",$E358,0)),MIN(AA$38,$D$19),$P$20))-SUM($P358:Z358)</f>
        <v>#VALUE!</v>
      </c>
      <c r="AB358" s="446" t="e">
        <f>IF(OR($B358="",MIN(AB$38,$D$19)&lt;MAX($P$34*($B358+IF($R$17="Distrato",$I$38-1,0)),IF(AND($L$37=0,$P$34=0),"",$L$37-1),IF($R$17="Distrato",$E358,0))),0,YEARFRAC(MAX($P$34*($B358+IF($R$17="Distrato",$I$38-1,0)),IF(AND($L$37=0,$P$34=0),"",$L$37-1),IF($R$17="Distrato",$E358,0)),MIN(AB$38,$D$19),$P$20))-SUM($P358:AA358)</f>
        <v>#VALUE!</v>
      </c>
      <c r="AC358" s="446" t="e">
        <f>IF(OR($B358="",MIN(AC$38,$D$19)&lt;MAX($P$34*($B358+IF($R$17="Distrato",$I$38-1,0)),IF(AND($L$37=0,$P$34=0),"",$L$37-1),IF($R$17="Distrato",$E358,0))),0,YEARFRAC(MAX($P$34*($B358+IF($R$17="Distrato",$I$38-1,0)),IF(AND($L$37=0,$P$34=0),"",$L$37-1),IF($R$17="Distrato",$E358,0)),MIN(AC$38,$D$19),$P$20))-SUM($P358:AB358)</f>
        <v>#VALUE!</v>
      </c>
      <c r="AD358" s="446" t="e">
        <f>IF(OR($B358="",MIN(AD$38,$D$19)&lt;MAX($P$34*($B358+IF($R$17="Distrato",$I$38-1,0)),IF(AND($L$37=0,$P$34=0),"",$L$37-1),IF($R$17="Distrato",$E358,0))),0,YEARFRAC(MAX($P$34*($B358+IF($R$17="Distrato",$I$38-1,0)),IF(AND($L$37=0,$P$34=0),"",$L$37-1),IF($R$17="Distrato",$E358,0)),MIN(AD$38,$D$19),$P$20))-SUM($P358:AC358)</f>
        <v>#VALUE!</v>
      </c>
      <c r="AE358" s="446" t="e">
        <f>IF(OR($B358="",MIN(AE$38,$D$19)&lt;MAX($P$34*($B358+IF($R$17="Distrato",$I$38-1,0)),IF(AND($L$37=0,$P$34=0),"",$L$37-1),IF($R$17="Distrato",$E358,0))),0,YEARFRAC(MAX($P$34*($B358+IF($R$17="Distrato",$I$38-1,0)),IF(AND($L$37=0,$P$34=0),"",$L$37-1),IF($R$17="Distrato",$E358,0)),MIN(AE$38,$D$19),$P$20))-SUM($P358:AD358)</f>
        <v>#VALUE!</v>
      </c>
      <c r="AF358" s="446" t="e">
        <f>IF(OR($B358="",MIN(AF$38,$D$19)&lt;MAX($P$34*($B358+IF($R$17="Distrato",$I$38-1,0)),IF(AND($L$37=0,$P$34=0),"",$L$37-1),IF($R$17="Distrato",$E358,0))),0,YEARFRAC(MAX($P$34*($B358+IF($R$17="Distrato",$I$38-1,0)),IF(AND($L$37=0,$P$34=0),"",$L$37-1),IF($R$17="Distrato",$E358,0)),MIN(AF$38,$D$19),$P$20))-SUM($P358:AE358)</f>
        <v>#VALUE!</v>
      </c>
      <c r="AG358" s="446" t="e">
        <f>IF(OR($B358="",MIN(AG$38,$D$19)&lt;MAX($P$34*($B358+IF($R$17="Distrato",$I$38-1,0)),IF(AND($L$37=0,$P$34=0),"",$L$37-1),IF($R$17="Distrato",$E358,0))),0,YEARFRAC(MAX($P$34*($B358+IF($R$17="Distrato",$I$38-1,0)),IF(AND($L$37=0,$P$34=0),"",$L$37-1),IF($R$17="Distrato",$E358,0)),MIN(AG$38,$D$19),$P$20))-SUM($P358:AF358)</f>
        <v>#VALUE!</v>
      </c>
      <c r="AH358" s="446" t="e">
        <f>IF(OR($B358="",MIN(AH$38,$D$19)&lt;MAX($P$34*($B358+IF($R$17="Distrato",$I$38-1,0)),IF(AND($L$37=0,$P$34=0),"",$L$37-1),IF($R$17="Distrato",$E358,0))),0,YEARFRAC(MAX($P$34*($B358+IF($R$17="Distrato",$I$38-1,0)),IF(AND($L$37=0,$P$34=0),"",$L$37-1),IF($R$17="Distrato",$E358,0)),MIN(AH$38,$D$19),$P$20))-SUM($P358:AG358)</f>
        <v>#VALUE!</v>
      </c>
      <c r="AI358" s="446" t="e">
        <f>IF(OR($B358="",MIN(AI$38,$D$19)&lt;MAX($P$34*($B358+IF($R$17="Distrato",$I$38-1,0)),IF(AND($L$37=0,$P$34=0),"",$L$37-1),IF($R$17="Distrato",$E358,0))),0,YEARFRAC(MAX($P$34*($B358+IF($R$17="Distrato",$I$38-1,0)),IF(AND($L$37=0,$P$34=0),"",$L$37-1),IF($R$17="Distrato",$E358,0)),MIN(AI$38,$D$19),$P$20))-SUM($P358:AH358)</f>
        <v>#VALUE!</v>
      </c>
      <c r="AJ358" s="446" t="e">
        <f>IF(OR($B358="",MIN(AJ$38,$D$19)&lt;MAX($P$34*($B358+IF($R$17="Distrato",$I$38-1,0)),IF(AND($L$37=0,$P$34=0),"",$L$37-1),IF($R$17="Distrato",$E358,0))),0,YEARFRAC(MAX($P$34*($B358+IF($R$17="Distrato",$I$38-1,0)),IF(AND($L$37=0,$P$34=0),"",$L$37-1),IF($R$17="Distrato",$E358,0)),MIN(AJ$38,$D$19),$P$20))-SUM($P358:AI358)</f>
        <v>#VALUE!</v>
      </c>
      <c r="AK358" s="446" t="e">
        <f>IF(OR($B358="",MIN(AK$38,$D$19)&lt;MAX($P$34*($B358+IF($R$17="Distrato",$I$38-1,0)),IF(AND($L$37=0,$P$34=0),"",$L$37-1),IF($R$17="Distrato",$E358,0))),0,YEARFRAC(MAX($P$34*($B358+IF($R$17="Distrato",$I$38-1,0)),IF(AND($L$37=0,$P$34=0),"",$L$37-1),IF($R$17="Distrato",$E358,0)),MIN(AK$38,$D$19),$P$20))-SUM($P358:AJ358)</f>
        <v>#VALUE!</v>
      </c>
      <c r="AL358" s="446" t="e">
        <f>IF(OR($B358="",MIN(AL$38,$D$19)&lt;MAX($P$34*($B358+IF($R$17="Distrato",$I$38-1,0)),IF(AND($L$37=0,$P$34=0),"",$L$37-1),IF($R$17="Distrato",$E358,0))),0,YEARFRAC(MAX($P$34*($B358+IF($R$17="Distrato",$I$38-1,0)),IF(AND($L$37=0,$P$34=0),"",$L$37-1),IF($R$17="Distrato",$E358,0)),MIN(AL$38,$D$19),$P$20))-SUM($P358:AK358)</f>
        <v>#VALUE!</v>
      </c>
      <c r="AM358" s="446" t="e">
        <f>IF(OR($B358="",MIN(AM$38,$D$19)&lt;MAX($P$34*($B358+IF($R$17="Distrato",$I$38-1,0)),IF(AND($L$37=0,$P$34=0),"",$L$37-1),IF($R$17="Distrato",$E358,0))),0,YEARFRAC(MAX($P$34*($B358+IF($R$17="Distrato",$I$38-1,0)),IF(AND($L$37=0,$P$34=0),"",$L$37-1),IF($R$17="Distrato",$E358,0)),MIN(AM$38,$D$19),$P$20))-SUM($P358:AL358)</f>
        <v>#VALUE!</v>
      </c>
      <c r="AN358" s="446" t="e">
        <f>IF(OR($B358="",MIN(AN$38,$D$19)&lt;MAX($P$34*($B358+IF($R$17="Distrato",$I$38-1,0)),IF(AND($L$37=0,$P$34=0),"",$L$37-1),IF($R$17="Distrato",$E358,0))),0,YEARFRAC(MAX($P$34*($B358+IF($R$17="Distrato",$I$38-1,0)),IF(AND($L$37=0,$P$34=0),"",$L$37-1),IF($R$17="Distrato",$E358,0)),MIN(AN$38,$D$19),$P$20))-SUM($P358:AM358)</f>
        <v>#VALUE!</v>
      </c>
      <c r="AO358" s="446" t="e">
        <f>IF(OR($B358="",MIN(AO$38,$D$19)&lt;MAX($P$34*($B358+IF($R$17="Distrato",$I$38-1,0)),IF(AND($L$37=0,$P$34=0),"",$L$37-1),IF($R$17="Distrato",$E358,0))),0,YEARFRAC(MAX($P$34*($B358+IF($R$17="Distrato",$I$38-1,0)),IF(AND($L$37=0,$P$34=0),"",$L$37-1),IF($R$17="Distrato",$E358,0)),MIN(AO$38,$D$19),$P$20))-SUM($P358:AN358)</f>
        <v>#VALUE!</v>
      </c>
      <c r="AP358" s="446" t="e">
        <f>IF(OR($B358="",MIN(AP$38,$D$19)&lt;MAX($P$34*($B358+IF($R$17="Distrato",$I$38-1,0)),IF(AND($L$37=0,$P$34=0),"",$L$37-1),IF($R$17="Distrato",$E358,0))),0,YEARFRAC(MAX($P$34*($B358+IF($R$17="Distrato",$I$38-1,0)),IF(AND($L$37=0,$P$34=0),"",$L$37-1),IF($R$17="Distrato",$E358,0)),MIN(AP$38,$D$19),$P$20))-SUM($P358:AO358)</f>
        <v>#VALUE!</v>
      </c>
      <c r="AQ358" s="446" t="e">
        <f>IF(OR($B358="",MIN(AQ$38,$D$19)&lt;MAX($P$34*($B358+IF($R$17="Distrato",$I$38-1,0)),IF(AND($L$37=0,$P$34=0),"",$L$37-1),IF($R$17="Distrato",$E358,0))),0,YEARFRAC(MAX($P$34*($B358+IF($R$17="Distrato",$I$38-1,0)),IF(AND($L$37=0,$P$34=0),"",$L$37-1),IF($R$17="Distrato",$E358,0)),MIN(AQ$38,$D$19),$P$20))-SUM($P358:AP358)</f>
        <v>#VALUE!</v>
      </c>
      <c r="AR358" s="446" t="e">
        <f>IF(OR($B358="",MIN(AR$38,$D$19)&lt;MAX($P$34*($B358+IF($R$17="Distrato",$I$38-1,0)),IF(AND($L$37=0,$P$34=0),"",$L$37-1),IF($R$17="Distrato",$E358,0))),0,YEARFRAC(MAX($P$34*($B358+IF($R$17="Distrato",$I$38-1,0)),IF(AND($L$37=0,$P$34=0),"",$L$37-1),IF($R$17="Distrato",$E358,0)),MIN(AR$38,$D$19),$P$20))-SUM($P358:AQ358)</f>
        <v>#VALUE!</v>
      </c>
      <c r="AS358" s="446" t="e">
        <f>IF(OR($B358="",MIN(AS$38,$D$19)&lt;MAX($P$34*($B358+IF($R$17="Distrato",$I$38-1,0)),IF(AND($L$37=0,$P$34=0),"",$L$37-1),IF($R$17="Distrato",$E358,0))),0,YEARFRAC(MAX($P$34*($B358+IF($R$17="Distrato",$I$38-1,0)),IF(AND($L$37=0,$P$34=0),"",$L$37-1),IF($R$17="Distrato",$E358,0)),MIN(AS$38,$D$19),$P$20))-SUM($P358:AR358)</f>
        <v>#VALUE!</v>
      </c>
      <c r="AT358" s="446" t="e">
        <f>IF(OR($B358="",MIN(AT$38,$D$19)&lt;MAX($P$34*($B358+IF($R$17="Distrato",$I$38-1,0)),IF(AND($L$37=0,$P$34=0),"",$L$37-1),IF($R$17="Distrato",$E358,0))),0,YEARFRAC(MAX($P$34*($B358+IF($R$17="Distrato",$I$38-1,0)),IF(AND($L$37=0,$P$34=0),"",$L$37-1),IF($R$17="Distrato",$E358,0)),MIN(AT$38,$D$19),$P$20))-SUM($P358:AS358)</f>
        <v>#VALUE!</v>
      </c>
      <c r="AU358" s="446" t="e">
        <f>IF(OR($B358="",MIN(AU$38,$D$19)&lt;MAX($P$34*($B358+IF($R$17="Distrato",$I$38-1,0)),IF(AND($L$37=0,$P$34=0),"",$L$37-1),IF($R$17="Distrato",$E358,0))),0,YEARFRAC(MAX($P$34*($B358+IF($R$17="Distrato",$I$38-1,0)),IF(AND($L$37=0,$P$34=0),"",$L$37-1),IF($R$17="Distrato",$E358,0)),MIN(AU$38,$D$19),$P$20))-SUM($P358:AT358)</f>
        <v>#VALUE!</v>
      </c>
      <c r="AV358" s="446" t="e">
        <f>IF(OR($B358="",MIN(AV$38,$D$19)&lt;MAX($P$34*($B358+IF($R$17="Distrato",$I$38-1,0)),IF(AND($L$37=0,$P$34=0),"",$L$37-1),IF($R$17="Distrato",$E358,0))),0,YEARFRAC(MAX($P$34*($B358+IF($R$17="Distrato",$I$38-1,0)),IF(AND($L$37=0,$P$34=0),"",$L$37-1),IF($R$17="Distrato",$E358,0)),MIN(AV$38,$D$19),$P$20))-SUM($P358:AU358)</f>
        <v>#VALUE!</v>
      </c>
      <c r="AW358" s="446" t="e">
        <f>IF(OR($B358="",MIN(AW$38,$D$19)&lt;MAX($P$34*($B358+IF($R$17="Distrato",$I$38-1,0)),IF(AND($L$37=0,$P$34=0),"",$L$37-1),IF($R$17="Distrato",$E358,0))),0,YEARFRAC(MAX($P$34*($B358+IF($R$17="Distrato",$I$38-1,0)),IF(AND($L$37=0,$P$34=0),"",$L$37-1),IF($R$17="Distrato",$E358,0)),MIN(AW$38,$D$19),$P$20))-SUM($P358:AV358)</f>
        <v>#VALUE!</v>
      </c>
      <c r="AX358" s="446" t="e">
        <f>IF(OR($B358="",MIN(AX$38,$D$19)&lt;MAX($P$34*($B358+IF($R$17="Distrato",$I$38-1,0)),IF(AND($L$37=0,$P$34=0),"",$L$37-1),IF($R$17="Distrato",$E358,0))),0,YEARFRAC(MAX($P$34*($B358+IF($R$17="Distrato",$I$38-1,0)),IF(AND($L$37=0,$P$34=0),"",$L$37-1),IF($R$17="Distrato",$E358,0)),MIN(AX$38,$D$19),$P$20))-SUM($P358:AW358)</f>
        <v>#VALUE!</v>
      </c>
      <c r="AY358" s="446" t="e">
        <f>IF(OR($B358="",MIN(AY$38,$D$19)&lt;MAX($P$34*($B358+IF($R$17="Distrato",$I$38-1,0)),IF(AND($L$37=0,$P$34=0),"",$L$37-1),IF($R$17="Distrato",$E358,0))),0,YEARFRAC(MAX($P$34*($B358+IF($R$17="Distrato",$I$38-1,0)),IF(AND($L$37=0,$P$34=0),"",$L$37-1),IF($R$17="Distrato",$E358,0)),MIN(AY$38,$D$19),$P$20))-SUM($P358:AX358)</f>
        <v>#VALUE!</v>
      </c>
      <c r="AZ358" s="446" t="e">
        <f>IF(OR($B358="",MIN(AZ$38,$D$19)&lt;MAX($P$34*($B358+IF($R$17="Distrato",$I$38-1,0)),IF(AND($L$37=0,$P$34=0),"",$L$37-1),IF($R$17="Distrato",$E358,0))),0,YEARFRAC(MAX($P$34*($B358+IF($R$17="Distrato",$I$38-1,0)),IF(AND($L$37=0,$P$34=0),"",$L$37-1),IF($R$17="Distrato",$E358,0)),MIN(AZ$38,$D$19),$P$20))-SUM($P358:AY358)</f>
        <v>#VALUE!</v>
      </c>
      <c r="BA358" s="446" t="e">
        <f>IF(OR($B358="",MIN(BA$38,$D$19)&lt;MAX($P$34*($B358+IF($R$17="Distrato",$I$38-1,0)),IF(AND($L$37=0,$P$34=0),"",$L$37-1),IF($R$17="Distrato",$E358,0))),0,YEARFRAC(MAX($P$34*($B358+IF($R$17="Distrato",$I$38-1,0)),IF(AND($L$37=0,$P$34=0),"",$L$37-1),IF($R$17="Distrato",$E358,0)),MIN(BA$38,$D$19),$P$20))-SUM($P358:AZ358)</f>
        <v>#VALUE!</v>
      </c>
      <c r="BB358" s="447"/>
      <c r="BF358" s="446">
        <f t="shared" si="54"/>
        <v>0</v>
      </c>
      <c r="BG358" s="446">
        <f>IF($E358=0,0,IF(MIN(BG$38,$E358)&lt;MAX($P$34*($B358+$I$38-1),IF(AND($L$37=0,$P$34=0),"",$L$37-1)),0,YEARFRAC(MAX($P$34*($B358+$I$38-1),IF(AND($L$37=0,$P$34=0),"",$L$37-1)),MIN(BG$38,$E358),$P$20))-SUM($BF358:BF358))</f>
        <v>0</v>
      </c>
      <c r="BH358" s="446">
        <f>IF($E358=0,0,IF(MIN(BH$38,$E358)&lt;MAX($P$34*($B358+$I$38-1),IF(AND($L$37=0,$P$34=0),"",$L$37-1)),0,YEARFRAC(MAX($P$34*($B358+$I$38-1),IF(AND($L$37=0,$P$34=0),"",$L$37-1)),MIN(BH$38,$E358),$P$20))-SUM($BF358:BG358))</f>
        <v>0</v>
      </c>
      <c r="BI358" s="446">
        <f>IF($E358=0,0,IF(MIN(BI$38,$E358)&lt;MAX($P$34*($B358+$I$38-1),IF(AND($L$37=0,$P$34=0),"",$L$37-1)),0,YEARFRAC(MAX($P$34*($B358+$I$38-1),IF(AND($L$37=0,$P$34=0),"",$L$37-1)),MIN(BI$38,$E358),$P$20))-SUM($BF358:BH358))</f>
        <v>0</v>
      </c>
      <c r="BJ358" s="446">
        <f>IF($E358=0,0,IF(MIN(BJ$38,$E358)&lt;MAX($P$34*($B358+$I$38-1),IF(AND($L$37=0,$P$34=0),"",$L$37-1)),0,YEARFRAC(MAX($P$34*($B358+$I$38-1),IF(AND($L$37=0,$P$34=0),"",$L$37-1)),MIN(BJ$38,$E358),$P$20))-SUM($BF358:BI358))</f>
        <v>0</v>
      </c>
      <c r="BK358" s="446">
        <f>IF($E358=0,0,IF(MIN(BK$38,$E358)&lt;MAX($P$34*($B358+$I$38-1),IF(AND($L$37=0,$P$34=0),"",$L$37-1)),0,YEARFRAC(MAX($P$34*($B358+$I$38-1),IF(AND($L$37=0,$P$34=0),"",$L$37-1)),MIN(BK$38,$E358),$P$20))-SUM($BF358:BJ358))</f>
        <v>0</v>
      </c>
      <c r="BL358" s="446">
        <f>IF($E358=0,0,IF(MIN(BL$38,$E358)&lt;MAX($P$34*($B358+$I$38-1),IF(AND($L$37=0,$P$34=0),"",$L$37-1)),0,YEARFRAC(MAX($P$34*($B358+$I$38-1),IF(AND($L$37=0,$P$34=0),"",$L$37-1)),MIN(BL$38,$E358),$P$20))-SUM($BF358:BK358))</f>
        <v>0</v>
      </c>
      <c r="BM358" s="446">
        <f>IF($E358=0,0,IF(MIN(BM$38,$E358)&lt;MAX($P$34*($B358+$I$38-1),IF(AND($L$37=0,$P$34=0),"",$L$37-1)),0,YEARFRAC(MAX($P$34*($B358+$I$38-1),IF(AND($L$37=0,$P$34=0),"",$L$37-1)),MIN(BM$38,$E358),$P$20))-SUM($BF358:BL358))</f>
        <v>0</v>
      </c>
      <c r="BN358" s="446">
        <f>IF($E358=0,0,IF(MIN(BN$38,$E358)&lt;MAX($P$34*($B358+$I$38-1),IF(AND($L$37=0,$P$34=0),"",$L$37-1)),0,YEARFRAC(MAX($P$34*($B358+$I$38-1),IF(AND($L$37=0,$P$34=0),"",$L$37-1)),MIN(BN$38,$E358),$P$20))-SUM($BF358:BM358))</f>
        <v>0</v>
      </c>
      <c r="BO358" s="446">
        <f>IF($E358=0,0,IF(MIN(BO$38,$E358)&lt;MAX($P$34*($B358+$I$38-1),IF(AND($L$37=0,$P$34=0),"",$L$37-1)),0,YEARFRAC(MAX($P$34*($B358+$I$38-1),IF(AND($L$37=0,$P$34=0),"",$L$37-1)),MIN(BO$38,$E358),$P$20))-SUM($BF358:BN358))</f>
        <v>0</v>
      </c>
      <c r="BP358" s="446">
        <f>IF($E358=0,0,IF(MIN(BP$38,$E358)&lt;MAX($P$34*($B358+$I$38-1),IF(AND($L$37=0,$P$34=0),"",$L$37-1)),0,YEARFRAC(MAX($P$34*($B358+$I$38-1),IF(AND($L$37=0,$P$34=0),"",$L$37-1)),MIN(BP$38,$E358),$P$20))-SUM($BF358:BO358))</f>
        <v>0</v>
      </c>
      <c r="BQ358" s="446">
        <f>IF($E358=0,0,IF(MIN(BQ$38,$E358)&lt;MAX($P$34*($B358+$I$38-1),IF(AND($L$37=0,$P$34=0),"",$L$37-1)),0,YEARFRAC(MAX($P$34*($B358+$I$38-1),IF(AND($L$37=0,$P$34=0),"",$L$37-1)),MIN(BQ$38,$E358),$P$20))-SUM($BF358:BP358))</f>
        <v>0</v>
      </c>
      <c r="BR358" s="446">
        <f>IF($E358=0,0,IF(MIN(BR$38,$E358)&lt;MAX($P$34*($B358+$I$38-1),IF(AND($L$37=0,$P$34=0),"",$L$37-1)),0,YEARFRAC(MAX($P$34*($B358+$I$38-1),IF(AND($L$37=0,$P$34=0),"",$L$37-1)),MIN(BR$38,$E358),$P$20))-SUM($BF358:BQ358))</f>
        <v>0</v>
      </c>
      <c r="BS358" s="446">
        <f>IF($E358=0,0,IF(MIN(BS$38,$E358)&lt;MAX($P$34*($B358+$I$38-1),IF(AND($L$37=0,$P$34=0),"",$L$37-1)),0,YEARFRAC(MAX($P$34*($B358+$I$38-1),IF(AND($L$37=0,$P$34=0),"",$L$37-1)),MIN(BS$38,$E358),$P$20))-SUM($BF358:BR358))</f>
        <v>0</v>
      </c>
      <c r="BT358" s="446">
        <f>IF($E358=0,0,IF(MIN(BT$38,$E358)&lt;MAX($P$34*($B358+$I$38-1),IF(AND($L$37=0,$P$34=0),"",$L$37-1)),0,YEARFRAC(MAX($P$34*($B358+$I$38-1),IF(AND($L$37=0,$P$34=0),"",$L$37-1)),MIN(BT$38,$E358),$P$20))-SUM($BF358:BS358))</f>
        <v>0</v>
      </c>
      <c r="BU358" s="446">
        <f>IF($E358=0,0,IF(MIN(BU$38,$E358)&lt;MAX($P$34*($B358+$I$38-1),IF(AND($L$37=0,$P$34=0),"",$L$37-1)),0,YEARFRAC(MAX($P$34*($B358+$I$38-1),IF(AND($L$37=0,$P$34=0),"",$L$37-1)),MIN(BU$38,$E358),$P$20))-SUM($BF358:BT358))</f>
        <v>0</v>
      </c>
      <c r="BV358" s="446">
        <f>IF($E358=0,0,IF(MIN(BV$38,$E358)&lt;MAX($P$34*($B358+$I$38-1),IF(AND($L$37=0,$P$34=0),"",$L$37-1)),0,YEARFRAC(MAX($P$34*($B358+$I$38-1),IF(AND($L$37=0,$P$34=0),"",$L$37-1)),MIN(BV$38,$E358),$P$20))-SUM($BF358:BU358))</f>
        <v>0</v>
      </c>
      <c r="BW358" s="446">
        <f>IF($E358=0,0,IF(MIN(BW$38,$E358)&lt;MAX($P$34*($B358+$I$38-1),IF(AND($L$37=0,$P$34=0),"",$L$37-1)),0,YEARFRAC(MAX($P$34*($B358+$I$38-1),IF(AND($L$37=0,$P$34=0),"",$L$37-1)),MIN(BW$38,$E358),$P$20))-SUM($BF358:BV358))</f>
        <v>0</v>
      </c>
      <c r="BX358" s="446">
        <f>IF($E358=0,0,IF(MIN(BX$38,$E358)&lt;MAX($P$34*($B358+$I$38-1),IF(AND($L$37=0,$P$34=0),"",$L$37-1)),0,YEARFRAC(MAX($P$34*($B358+$I$38-1),IF(AND($L$37=0,$P$34=0),"",$L$37-1)),MIN(BX$38,$E358),$P$20))-SUM($BF358:BW358))</f>
        <v>0</v>
      </c>
      <c r="BY358" s="446">
        <f>IF($E358=0,0,IF(MIN(BY$38,$E358)&lt;MAX($P$34*($B358+$I$38-1),IF(AND($L$37=0,$P$34=0),"",$L$37-1)),0,YEARFRAC(MAX($P$34*($B358+$I$38-1),IF(AND($L$37=0,$P$34=0),"",$L$37-1)),MIN(BY$38,$E358),$P$20))-SUM($BF358:BX358))</f>
        <v>0</v>
      </c>
      <c r="BZ358" s="446">
        <f>IF($E358=0,0,IF(MIN(BZ$38,$E358)&lt;MAX($P$34*($B358+$I$38-1),IF(AND($L$37=0,$P$34=0),"",$L$37-1)),0,YEARFRAC(MAX($P$34*($B358+$I$38-1),IF(AND($L$37=0,$P$34=0),"",$L$37-1)),MIN(BZ$38,$E358),$P$20))-SUM($BF358:BY358))</f>
        <v>0</v>
      </c>
      <c r="CA358" s="446">
        <f>IF($E358=0,0,IF(MIN(CA$38,$E358)&lt;MAX($P$34*($B358+$I$38-1),IF(AND($L$37=0,$P$34=0),"",$L$37-1)),0,YEARFRAC(MAX($P$34*($B358+$I$38-1),IF(AND($L$37=0,$P$34=0),"",$L$37-1)),MIN(CA$38,$E358),$P$20))-SUM($BF358:BZ358))</f>
        <v>0</v>
      </c>
      <c r="CB358" s="446">
        <f>IF($E358=0,0,IF(MIN(CB$38,$E358)&lt;MAX($P$34*($B358+$I$38-1),IF(AND($L$37=0,$P$34=0),"",$L$37-1)),0,YEARFRAC(MAX($P$34*($B358+$I$38-1),IF(AND($L$37=0,$P$34=0),"",$L$37-1)),MIN(CB$38,$E358),$P$20))-SUM($BF358:CA358))</f>
        <v>0</v>
      </c>
      <c r="CC358" s="446">
        <f>IF($E358=0,0,IF(MIN(CC$38,$E358)&lt;MAX($P$34*($B358+$I$38-1),IF(AND($L$37=0,$P$34=0),"",$L$37-1)),0,YEARFRAC(MAX($P$34*($B358+$I$38-1),IF(AND($L$37=0,$P$34=0),"",$L$37-1)),MIN(CC$38,$E358),$P$20))-SUM($BF358:CB358))</f>
        <v>0</v>
      </c>
      <c r="CD358" s="446">
        <f>IF($E358=0,0,IF(MIN(CD$38,$E358)&lt;MAX($P$34*($B358+$I$38-1),IF(AND($L$37=0,$P$34=0),"",$L$37-1)),0,YEARFRAC(MAX($P$34*($B358+$I$38-1),IF(AND($L$37=0,$P$34=0),"",$L$37-1)),MIN(CD$38,$E358),$P$20))-SUM($BF358:CC358))</f>
        <v>0</v>
      </c>
      <c r="CE358" s="446">
        <f>IF($E358=0,0,IF(MIN(CE$38,$E358)&lt;MAX($P$34*($B358+$I$38-1),IF(AND($L$37=0,$P$34=0),"",$L$37-1)),0,YEARFRAC(MAX($P$34*($B358+$I$38-1),IF(AND($L$37=0,$P$34=0),"",$L$37-1)),MIN(CE$38,$E358),$P$20))-SUM($BF358:CD358))</f>
        <v>0</v>
      </c>
      <c r="CF358" s="446">
        <f>IF($E358=0,0,IF(MIN(CF$38,$E358)&lt;MAX($P$34*($B358+$I$38-1),IF(AND($L$37=0,$P$34=0),"",$L$37-1)),0,YEARFRAC(MAX($P$34*($B358+$I$38-1),IF(AND($L$37=0,$P$34=0),"",$L$37-1)),MIN(CF$38,$E358),$P$20))-SUM($BF358:CE358))</f>
        <v>0</v>
      </c>
      <c r="CG358" s="446">
        <f>IF($E358=0,0,IF(MIN(CG$38,$E358)&lt;MAX($P$34*($B358+$I$38-1),IF(AND($L$37=0,$P$34=0),"",$L$37-1)),0,YEARFRAC(MAX($P$34*($B358+$I$38-1),IF(AND($L$37=0,$P$34=0),"",$L$37-1)),MIN(CG$38,$E358),$P$20))-SUM($BF358:CF358))</f>
        <v>0</v>
      </c>
      <c r="CH358" s="446">
        <f>IF($E358=0,0,IF(MIN(CH$38,$E358)&lt;MAX($P$34*($B358+$I$38-1),IF(AND($L$37=0,$P$34=0),"",$L$37-1)),0,YEARFRAC(MAX($P$34*($B358+$I$38-1),IF(AND($L$37=0,$P$34=0),"",$L$37-1)),MIN(CH$38,$E358),$P$20))-SUM($BF358:CG358))</f>
        <v>0</v>
      </c>
      <c r="CI358" s="446">
        <f>IF($E358=0,0,IF(MIN(CI$38,$E358)&lt;MAX($P$34*($B358+$I$38-1),IF(AND($L$37=0,$P$34=0),"",$L$37-1)),0,YEARFRAC(MAX($P$34*($B358+$I$38-1),IF(AND($L$37=0,$P$34=0),"",$L$37-1)),MIN(CI$38,$E358),$P$20))-SUM($BF358:CH358))</f>
        <v>0</v>
      </c>
      <c r="CJ358" s="446">
        <f>IF($E358=0,0,IF(MIN(CJ$38,$E358)&lt;MAX($P$34*($B358+$I$38-1),IF(AND($L$37=0,$P$34=0),"",$L$37-1)),0,YEARFRAC(MAX($P$34*($B358+$I$38-1),IF(AND($L$37=0,$P$34=0),"",$L$37-1)),MIN(CJ$38,$E358),$P$20))-SUM($BF358:CI358))</f>
        <v>0</v>
      </c>
      <c r="CK358" s="446">
        <f>IF($E358=0,0,IF(MIN(CK$38,$E358)&lt;MAX($P$34*($B358+$I$38-1),IF(AND($L$37=0,$P$34=0),"",$L$37-1)),0,YEARFRAC(MAX($P$34*($B358+$I$38-1),IF(AND($L$37=0,$P$34=0),"",$L$37-1)),MIN(CK$38,$E358),$P$20))-SUM($BF358:CJ358))</f>
        <v>0</v>
      </c>
      <c r="CL358" s="446">
        <f>IF($E358=0,0,IF(MIN(CL$38,$E358)&lt;MAX($P$34*($B358+$I$38-1),IF(AND($L$37=0,$P$34=0),"",$L$37-1)),0,YEARFRAC(MAX($P$34*($B358+$I$38-1),IF(AND($L$37=0,$P$34=0),"",$L$37-1)),MIN(CL$38,$E358),$P$20))-SUM($BF358:CK358))</f>
        <v>0</v>
      </c>
      <c r="CM358" s="446">
        <f>IF($E358=0,0,IF(MIN(CM$38,$E358)&lt;MAX($P$34*($B358+$I$38-1),IF(AND($L$37=0,$P$34=0),"",$L$37-1)),0,YEARFRAC(MAX($P$34*($B358+$I$38-1),IF(AND($L$37=0,$P$34=0),"",$L$37-1)),MIN(CM$38,$E358),$P$20))-SUM($BF358:CL358))</f>
        <v>0</v>
      </c>
      <c r="CN358" s="446">
        <f>IF($E358=0,0,IF(MIN(CN$38,$E358)&lt;MAX($P$34*($B358+$I$38-1),IF(AND($L$37=0,$P$34=0),"",$L$37-1)),0,YEARFRAC(MAX($P$34*($B358+$I$38-1),IF(AND($L$37=0,$P$34=0),"",$L$37-1)),MIN(CN$38,$E358),$P$20))-SUM($BF358:CM358))</f>
        <v>0</v>
      </c>
      <c r="CO358" s="446">
        <f>IF($E358=0,0,IF(MIN(CO$38,$E358)&lt;MAX($P$34*($B358+$I$38-1),IF(AND($L$37=0,$P$34=0),"",$L$37-1)),0,YEARFRAC(MAX($P$34*($B358+$I$38-1),IF(AND($L$37=0,$P$34=0),"",$L$37-1)),MIN(CO$38,$E358),$P$20))-SUM($BF358:CN358))</f>
        <v>0</v>
      </c>
      <c r="CP358" s="446">
        <f>IF($E358=0,0,IF(MIN(CP$38,$E358)&lt;MAX($P$34*($B358+$I$38-1),IF(AND($L$37=0,$P$34=0),"",$L$37-1)),0,YEARFRAC(MAX($P$34*($B358+$I$38-1),IF(AND($L$37=0,$P$34=0),"",$L$37-1)),MIN(CP$38,$E358),$P$20))-SUM($BF358:CO358))</f>
        <v>0</v>
      </c>
      <c r="CQ358" s="446">
        <f>IF($E358=0,0,IF(MIN(CQ$38,$E358)&lt;MAX($P$34*($B358+$I$38-1),IF(AND($L$37=0,$P$34=0),"",$L$37-1)),0,YEARFRAC(MAX($P$34*($B358+$I$38-1),IF(AND($L$37=0,$P$34=0),"",$L$37-1)),MIN(CQ$38,$E358),$P$20))-SUM($BF358:CP358))</f>
        <v>0</v>
      </c>
    </row>
    <row r="359" spans="1:95" s="446" customFormat="1" ht="11.25" hidden="1" customHeight="1" x14ac:dyDescent="0.2">
      <c r="A359" s="152"/>
      <c r="B359" s="153" t="str">
        <f t="shared" si="59"/>
        <v/>
      </c>
      <c r="C359" s="29" t="str">
        <f>IF(B359="","",IF($L$35="SELIC - TRIBUTOS",VLOOKUP(DATE(YEAR($D$19),MONTH($D$19)-1,1),ÍNDICES!$A:$DE,HLOOKUP($BL$25,ÍNDICES!$B$3:$T$4,2)+11)-VLOOKUP(B359,ÍNDICES!$A:$DE,HLOOKUP($BL$25,ÍNDICES!$B$3:$T$4,2)+11)+1%,IF(C$38=$W$26,$J$35,IF(ISERROR(IF(B359&gt;$D$19,1,VLOOKUP(DATE(YEAR(B359),MONTH(B359)+IF($C$35=$S$23,1,0),1),ÍNDICES!$A:$DE,$Z$35+1))),"",IF(B359&gt;$D$19,1,VLOOKUP(DATE(YEAR(B359),MONTH(B359)+IF($C$35=$S$23,1,0),1),ÍNDICES!$A:$DE,$Z$35+1))))))</f>
        <v/>
      </c>
      <c r="D359" s="154" t="str">
        <f>IF(ISERROR(IF(OR($D$38=$Y$27,$B359=""),"",VLOOKUP(B359,ÍNDICES!A:DE,AF$35+1))),"",IF(OR($D$38=$Y$27,$B359=""),"",VLOOKUP(B359,ÍNDICES!A:DE,AF$35+1)))</f>
        <v/>
      </c>
      <c r="E359" s="153"/>
      <c r="F359" s="29" t="str">
        <f>IF(E359="","",IF($L$35="SELIC - TRIBUTOS",VLOOKUP(DATE(YEAR($D$19),MONTH($D$19)-1,1),ÍNDICES!$A:$DE,HLOOKUP($BL$25,ÍNDICES!$B$3:$T$4,2)+11)-VLOOKUP(E359,ÍNDICES!$A:$DE,HLOOKUP($BL$25,ÍNDICES!$B$3:$T$4,2)+11)+1%,IF(F$38=$W$26,$J$35,IF(ISERROR(IF(E359&gt;$D$19,1,VLOOKUP(DATE(YEAR(E359),MONTH(E359)+IF($C$35=$S$23,1,0),1),ÍNDICES!$A:$DE,$Z$35+1))),"",IF(E359&gt;$D$19,1,VLOOKUP(DATE(YEAR(E359),MONTH(E359)+IF($C$35=$S$23,1,0),1),ÍNDICES!$A:$DE,$Z$35+1))))))</f>
        <v/>
      </c>
      <c r="G359" s="155"/>
      <c r="H359" s="156" t="str">
        <f t="shared" si="55"/>
        <v/>
      </c>
      <c r="I359" s="29" t="str">
        <f t="shared" si="49"/>
        <v/>
      </c>
      <c r="J359" s="5">
        <f t="shared" si="50"/>
        <v>0</v>
      </c>
      <c r="K359" s="20">
        <f t="shared" ca="1" si="51"/>
        <v>0</v>
      </c>
      <c r="L359" s="5">
        <f t="shared" ca="1" si="52"/>
        <v>0</v>
      </c>
      <c r="M359" s="64">
        <f t="shared" si="56"/>
        <v>0</v>
      </c>
      <c r="N359" s="61">
        <f t="shared" ca="1" si="57"/>
        <v>0</v>
      </c>
      <c r="O359" s="5">
        <f t="shared" ca="1" si="58"/>
        <v>0</v>
      </c>
      <c r="P359" s="446" t="e">
        <f t="shared" si="53"/>
        <v>#VALUE!</v>
      </c>
      <c r="Q359" s="446" t="e">
        <f>IF(OR($B359="",MIN(Q$38,$D$19)&lt;MAX($P$34*($B359+IF($R$17="Distrato",$I$38-1,0)),IF(AND($L$37=0,$P$34=0),"",$L$37-1),IF($R$17="Distrato",$E359,0))),0,YEARFRAC(MAX($P$34*($B359+IF($R$17="Distrato",$I$38-1,0)),IF(AND($L$37=0,$P$34=0),"",$L$37-1),IF($R$17="Distrato",$E359,0)),MIN(Q$38,$D$19),$P$20))-SUM($P359:P359)</f>
        <v>#VALUE!</v>
      </c>
      <c r="R359" s="446" t="e">
        <f>IF(OR($B359="",MIN(R$38,$D$19)&lt;MAX($P$34*($B359+IF($R$17="Distrato",$I$38-1,0)),IF(AND($L$37=0,$P$34=0),"",$L$37-1),IF($R$17="Distrato",$E359,0))),0,YEARFRAC(MAX($P$34*($B359+IF($R$17="Distrato",$I$38-1,0)),IF(AND($L$37=0,$P$34=0),"",$L$37-1),IF($R$17="Distrato",$E359,0)),MIN(R$38,$D$19),$P$20))-SUM($P359:Q359)</f>
        <v>#VALUE!</v>
      </c>
      <c r="S359" s="446" t="e">
        <f>IF(OR($B359="",MIN(S$38,$D$19)&lt;MAX($P$34*($B359+IF($R$17="Distrato",$I$38-1,0)),IF(AND($L$37=0,$P$34=0),"",$L$37-1),IF($R$17="Distrato",$E359,0))),0,YEARFRAC(MAX($P$34*($B359+IF($R$17="Distrato",$I$38-1,0)),IF(AND($L$37=0,$P$34=0),"",$L$37-1),IF($R$17="Distrato",$E359,0)),MIN(S$38,$D$19),$P$20))-SUM($P359:R359)</f>
        <v>#VALUE!</v>
      </c>
      <c r="T359" s="446" t="e">
        <f>IF(OR($B359="",MIN(T$38,$D$19)&lt;MAX($P$34*($B359+IF($R$17="Distrato",$I$38-1,0)),IF(AND($L$37=0,$P$34=0),"",$L$37-1),IF($R$17="Distrato",$E359,0))),0,YEARFRAC(MAX($P$34*($B359+IF($R$17="Distrato",$I$38-1,0)),IF(AND($L$37=0,$P$34=0),"",$L$37-1),IF($R$17="Distrato",$E359,0)),MIN(T$38,$D$19),$P$20))-SUM($P359:S359)</f>
        <v>#VALUE!</v>
      </c>
      <c r="U359" s="446" t="e">
        <f>IF(OR($B359="",MIN(U$38,$D$19)&lt;MAX($P$34*($B359+IF($R$17="Distrato",$I$38-1,0)),IF(AND($L$37=0,$P$34=0),"",$L$37-1),IF($R$17="Distrato",$E359,0))),0,YEARFRAC(MAX($P$34*($B359+IF($R$17="Distrato",$I$38-1,0)),IF(AND($L$37=0,$P$34=0),"",$L$37-1),IF($R$17="Distrato",$E359,0)),MIN(U$38,$D$19),$P$20))-SUM($P359:T359)</f>
        <v>#VALUE!</v>
      </c>
      <c r="V359" s="446" t="e">
        <f>IF(OR($B359="",MIN(V$38,$D$19)&lt;MAX($P$34*($B359+IF($R$17="Distrato",$I$38-1,0)),IF(AND($L$37=0,$P$34=0),"",$L$37-1),IF($R$17="Distrato",$E359,0))),0,YEARFRAC(MAX($P$34*($B359+IF($R$17="Distrato",$I$38-1,0)),IF(AND($L$37=0,$P$34=0),"",$L$37-1),IF($R$17="Distrato",$E359,0)),MIN(V$38,$D$19),$P$20))-SUM($P359:U359)</f>
        <v>#VALUE!</v>
      </c>
      <c r="W359" s="446" t="e">
        <f>IF(OR($B359="",MIN(W$38,$D$19)&lt;MAX($P$34*($B359+IF($R$17="Distrato",$I$38-1,0)),IF(AND($L$37=0,$P$34=0),"",$L$37-1),IF($R$17="Distrato",$E359,0))),0,YEARFRAC(MAX($P$34*($B359+IF($R$17="Distrato",$I$38-1,0)),IF(AND($L$37=0,$P$34=0),"",$L$37-1),IF($R$17="Distrato",$E359,0)),MIN(W$38,$D$19),$P$20))-SUM($P359:V359)</f>
        <v>#VALUE!</v>
      </c>
      <c r="X359" s="446" t="e">
        <f>IF(OR($B359="",MIN(X$38,$D$19)&lt;MAX($P$34*($B359+IF($R$17="Distrato",$I$38-1,0)),IF(AND($L$37=0,$P$34=0),"",$L$37-1),IF($R$17="Distrato",$E359,0))),0,YEARFRAC(MAX($P$34*($B359+IF($R$17="Distrato",$I$38-1,0)),IF(AND($L$37=0,$P$34=0),"",$L$37-1),IF($R$17="Distrato",$E359,0)),MIN(X$38,$D$19),$P$20))-SUM($P359:W359)</f>
        <v>#VALUE!</v>
      </c>
      <c r="Y359" s="446" t="e">
        <f>IF(OR($B359="",MIN(Y$38,$D$19)&lt;MAX($P$34*($B359+IF($R$17="Distrato",$I$38-1,0)),IF(AND($L$37=0,$P$34=0),"",$L$37-1),IF($R$17="Distrato",$E359,0))),0,YEARFRAC(MAX($P$34*($B359+IF($R$17="Distrato",$I$38-1,0)),IF(AND($L$37=0,$P$34=0),"",$L$37-1),IF($R$17="Distrato",$E359,0)),MIN(Y$38,$D$19),$P$20))-SUM($P359:X359)</f>
        <v>#VALUE!</v>
      </c>
      <c r="Z359" s="446" t="e">
        <f>IF(OR($B359="",MIN(Z$38,$D$19)&lt;MAX($P$34*($B359+IF($R$17="Distrato",$I$38-1,0)),IF(AND($L$37=0,$P$34=0),"",$L$37-1),IF($R$17="Distrato",$E359,0))),0,YEARFRAC(MAX($P$34*($B359+IF($R$17="Distrato",$I$38-1,0)),IF(AND($L$37=0,$P$34=0),"",$L$37-1),IF($R$17="Distrato",$E359,0)),MIN(Z$38,$D$19),$P$20))-SUM($P359:Y359)</f>
        <v>#VALUE!</v>
      </c>
      <c r="AA359" s="446" t="e">
        <f>IF(OR($B359="",MIN(AA$38,$D$19)&lt;MAX($P$34*($B359+IF($R$17="Distrato",$I$38-1,0)),IF(AND($L$37=0,$P$34=0),"",$L$37-1),IF($R$17="Distrato",$E359,0))),0,YEARFRAC(MAX($P$34*($B359+IF($R$17="Distrato",$I$38-1,0)),IF(AND($L$37=0,$P$34=0),"",$L$37-1),IF($R$17="Distrato",$E359,0)),MIN(AA$38,$D$19),$P$20))-SUM($P359:Z359)</f>
        <v>#VALUE!</v>
      </c>
      <c r="AB359" s="446" t="e">
        <f>IF(OR($B359="",MIN(AB$38,$D$19)&lt;MAX($P$34*($B359+IF($R$17="Distrato",$I$38-1,0)),IF(AND($L$37=0,$P$34=0),"",$L$37-1),IF($R$17="Distrato",$E359,0))),0,YEARFRAC(MAX($P$34*($B359+IF($R$17="Distrato",$I$38-1,0)),IF(AND($L$37=0,$P$34=0),"",$L$37-1),IF($R$17="Distrato",$E359,0)),MIN(AB$38,$D$19),$P$20))-SUM($P359:AA359)</f>
        <v>#VALUE!</v>
      </c>
      <c r="AC359" s="446" t="e">
        <f>IF(OR($B359="",MIN(AC$38,$D$19)&lt;MAX($P$34*($B359+IF($R$17="Distrato",$I$38-1,0)),IF(AND($L$37=0,$P$34=0),"",$L$37-1),IF($R$17="Distrato",$E359,0))),0,YEARFRAC(MAX($P$34*($B359+IF($R$17="Distrato",$I$38-1,0)),IF(AND($L$37=0,$P$34=0),"",$L$37-1),IF($R$17="Distrato",$E359,0)),MIN(AC$38,$D$19),$P$20))-SUM($P359:AB359)</f>
        <v>#VALUE!</v>
      </c>
      <c r="AD359" s="446" t="e">
        <f>IF(OR($B359="",MIN(AD$38,$D$19)&lt;MAX($P$34*($B359+IF($R$17="Distrato",$I$38-1,0)),IF(AND($L$37=0,$P$34=0),"",$L$37-1),IF($R$17="Distrato",$E359,0))),0,YEARFRAC(MAX($P$34*($B359+IF($R$17="Distrato",$I$38-1,0)),IF(AND($L$37=0,$P$34=0),"",$L$37-1),IF($R$17="Distrato",$E359,0)),MIN(AD$38,$D$19),$P$20))-SUM($P359:AC359)</f>
        <v>#VALUE!</v>
      </c>
      <c r="AE359" s="446" t="e">
        <f>IF(OR($B359="",MIN(AE$38,$D$19)&lt;MAX($P$34*($B359+IF($R$17="Distrato",$I$38-1,0)),IF(AND($L$37=0,$P$34=0),"",$L$37-1),IF($R$17="Distrato",$E359,0))),0,YEARFRAC(MAX($P$34*($B359+IF($R$17="Distrato",$I$38-1,0)),IF(AND($L$37=0,$P$34=0),"",$L$37-1),IF($R$17="Distrato",$E359,0)),MIN(AE$38,$D$19),$P$20))-SUM($P359:AD359)</f>
        <v>#VALUE!</v>
      </c>
      <c r="AF359" s="446" t="e">
        <f>IF(OR($B359="",MIN(AF$38,$D$19)&lt;MAX($P$34*($B359+IF($R$17="Distrato",$I$38-1,0)),IF(AND($L$37=0,$P$34=0),"",$L$37-1),IF($R$17="Distrato",$E359,0))),0,YEARFRAC(MAX($P$34*($B359+IF($R$17="Distrato",$I$38-1,0)),IF(AND($L$37=0,$P$34=0),"",$L$37-1),IF($R$17="Distrato",$E359,0)),MIN(AF$38,$D$19),$P$20))-SUM($P359:AE359)</f>
        <v>#VALUE!</v>
      </c>
      <c r="AG359" s="446" t="e">
        <f>IF(OR($B359="",MIN(AG$38,$D$19)&lt;MAX($P$34*($B359+IF($R$17="Distrato",$I$38-1,0)),IF(AND($L$37=0,$P$34=0),"",$L$37-1),IF($R$17="Distrato",$E359,0))),0,YEARFRAC(MAX($P$34*($B359+IF($R$17="Distrato",$I$38-1,0)),IF(AND($L$37=0,$P$34=0),"",$L$37-1),IF($R$17="Distrato",$E359,0)),MIN(AG$38,$D$19),$P$20))-SUM($P359:AF359)</f>
        <v>#VALUE!</v>
      </c>
      <c r="AH359" s="446" t="e">
        <f>IF(OR($B359="",MIN(AH$38,$D$19)&lt;MAX($P$34*($B359+IF($R$17="Distrato",$I$38-1,0)),IF(AND($L$37=0,$P$34=0),"",$L$37-1),IF($R$17="Distrato",$E359,0))),0,YEARFRAC(MAX($P$34*($B359+IF($R$17="Distrato",$I$38-1,0)),IF(AND($L$37=0,$P$34=0),"",$L$37-1),IF($R$17="Distrato",$E359,0)),MIN(AH$38,$D$19),$P$20))-SUM($P359:AG359)</f>
        <v>#VALUE!</v>
      </c>
      <c r="AI359" s="446" t="e">
        <f>IF(OR($B359="",MIN(AI$38,$D$19)&lt;MAX($P$34*($B359+IF($R$17="Distrato",$I$38-1,0)),IF(AND($L$37=0,$P$34=0),"",$L$37-1),IF($R$17="Distrato",$E359,0))),0,YEARFRAC(MAX($P$34*($B359+IF($R$17="Distrato",$I$38-1,0)),IF(AND($L$37=0,$P$34=0),"",$L$37-1),IF($R$17="Distrato",$E359,0)),MIN(AI$38,$D$19),$P$20))-SUM($P359:AH359)</f>
        <v>#VALUE!</v>
      </c>
      <c r="AJ359" s="446" t="e">
        <f>IF(OR($B359="",MIN(AJ$38,$D$19)&lt;MAX($P$34*($B359+IF($R$17="Distrato",$I$38-1,0)),IF(AND($L$37=0,$P$34=0),"",$L$37-1),IF($R$17="Distrato",$E359,0))),0,YEARFRAC(MAX($P$34*($B359+IF($R$17="Distrato",$I$38-1,0)),IF(AND($L$37=0,$P$34=0),"",$L$37-1),IF($R$17="Distrato",$E359,0)),MIN(AJ$38,$D$19),$P$20))-SUM($P359:AI359)</f>
        <v>#VALUE!</v>
      </c>
      <c r="AK359" s="446" t="e">
        <f>IF(OR($B359="",MIN(AK$38,$D$19)&lt;MAX($P$34*($B359+IF($R$17="Distrato",$I$38-1,0)),IF(AND($L$37=0,$P$34=0),"",$L$37-1),IF($R$17="Distrato",$E359,0))),0,YEARFRAC(MAX($P$34*($B359+IF($R$17="Distrato",$I$38-1,0)),IF(AND($L$37=0,$P$34=0),"",$L$37-1),IF($R$17="Distrato",$E359,0)),MIN(AK$38,$D$19),$P$20))-SUM($P359:AJ359)</f>
        <v>#VALUE!</v>
      </c>
      <c r="AL359" s="446" t="e">
        <f>IF(OR($B359="",MIN(AL$38,$D$19)&lt;MAX($P$34*($B359+IF($R$17="Distrato",$I$38-1,0)),IF(AND($L$37=0,$P$34=0),"",$L$37-1),IF($R$17="Distrato",$E359,0))),0,YEARFRAC(MAX($P$34*($B359+IF($R$17="Distrato",$I$38-1,0)),IF(AND($L$37=0,$P$34=0),"",$L$37-1),IF($R$17="Distrato",$E359,0)),MIN(AL$38,$D$19),$P$20))-SUM($P359:AK359)</f>
        <v>#VALUE!</v>
      </c>
      <c r="AM359" s="446" t="e">
        <f>IF(OR($B359="",MIN(AM$38,$D$19)&lt;MAX($P$34*($B359+IF($R$17="Distrato",$I$38-1,0)),IF(AND($L$37=0,$P$34=0),"",$L$37-1),IF($R$17="Distrato",$E359,0))),0,YEARFRAC(MAX($P$34*($B359+IF($R$17="Distrato",$I$38-1,0)),IF(AND($L$37=0,$P$34=0),"",$L$37-1),IF($R$17="Distrato",$E359,0)),MIN(AM$38,$D$19),$P$20))-SUM($P359:AL359)</f>
        <v>#VALUE!</v>
      </c>
      <c r="AN359" s="446" t="e">
        <f>IF(OR($B359="",MIN(AN$38,$D$19)&lt;MAX($P$34*($B359+IF($R$17="Distrato",$I$38-1,0)),IF(AND($L$37=0,$P$34=0),"",$L$37-1),IF($R$17="Distrato",$E359,0))),0,YEARFRAC(MAX($P$34*($B359+IF($R$17="Distrato",$I$38-1,0)),IF(AND($L$37=0,$P$34=0),"",$L$37-1),IF($R$17="Distrato",$E359,0)),MIN(AN$38,$D$19),$P$20))-SUM($P359:AM359)</f>
        <v>#VALUE!</v>
      </c>
      <c r="AO359" s="446" t="e">
        <f>IF(OR($B359="",MIN(AO$38,$D$19)&lt;MAX($P$34*($B359+IF($R$17="Distrato",$I$38-1,0)),IF(AND($L$37=0,$P$34=0),"",$L$37-1),IF($R$17="Distrato",$E359,0))),0,YEARFRAC(MAX($P$34*($B359+IF($R$17="Distrato",$I$38-1,0)),IF(AND($L$37=0,$P$34=0),"",$L$37-1),IF($R$17="Distrato",$E359,0)),MIN(AO$38,$D$19),$P$20))-SUM($P359:AN359)</f>
        <v>#VALUE!</v>
      </c>
      <c r="AP359" s="446" t="e">
        <f>IF(OR($B359="",MIN(AP$38,$D$19)&lt;MAX($P$34*($B359+IF($R$17="Distrato",$I$38-1,0)),IF(AND($L$37=0,$P$34=0),"",$L$37-1),IF($R$17="Distrato",$E359,0))),0,YEARFRAC(MAX($P$34*($B359+IF($R$17="Distrato",$I$38-1,0)),IF(AND($L$37=0,$P$34=0),"",$L$37-1),IF($R$17="Distrato",$E359,0)),MIN(AP$38,$D$19),$P$20))-SUM($P359:AO359)</f>
        <v>#VALUE!</v>
      </c>
      <c r="AQ359" s="446" t="e">
        <f>IF(OR($B359="",MIN(AQ$38,$D$19)&lt;MAX($P$34*($B359+IF($R$17="Distrato",$I$38-1,0)),IF(AND($L$37=0,$P$34=0),"",$L$37-1),IF($R$17="Distrato",$E359,0))),0,YEARFRAC(MAX($P$34*($B359+IF($R$17="Distrato",$I$38-1,0)),IF(AND($L$37=0,$P$34=0),"",$L$37-1),IF($R$17="Distrato",$E359,0)),MIN(AQ$38,$D$19),$P$20))-SUM($P359:AP359)</f>
        <v>#VALUE!</v>
      </c>
      <c r="AR359" s="446" t="e">
        <f>IF(OR($B359="",MIN(AR$38,$D$19)&lt;MAX($P$34*($B359+IF($R$17="Distrato",$I$38-1,0)),IF(AND($L$37=0,$P$34=0),"",$L$37-1),IF($R$17="Distrato",$E359,0))),0,YEARFRAC(MAX($P$34*($B359+IF($R$17="Distrato",$I$38-1,0)),IF(AND($L$37=0,$P$34=0),"",$L$37-1),IF($R$17="Distrato",$E359,0)),MIN(AR$38,$D$19),$P$20))-SUM($P359:AQ359)</f>
        <v>#VALUE!</v>
      </c>
      <c r="AS359" s="446" t="e">
        <f>IF(OR($B359="",MIN(AS$38,$D$19)&lt;MAX($P$34*($B359+IF($R$17="Distrato",$I$38-1,0)),IF(AND($L$37=0,$P$34=0),"",$L$37-1),IF($R$17="Distrato",$E359,0))),0,YEARFRAC(MAX($P$34*($B359+IF($R$17="Distrato",$I$38-1,0)),IF(AND($L$37=0,$P$34=0),"",$L$37-1),IF($R$17="Distrato",$E359,0)),MIN(AS$38,$D$19),$P$20))-SUM($P359:AR359)</f>
        <v>#VALUE!</v>
      </c>
      <c r="AT359" s="446" t="e">
        <f>IF(OR($B359="",MIN(AT$38,$D$19)&lt;MAX($P$34*($B359+IF($R$17="Distrato",$I$38-1,0)),IF(AND($L$37=0,$P$34=0),"",$L$37-1),IF($R$17="Distrato",$E359,0))),0,YEARFRAC(MAX($P$34*($B359+IF($R$17="Distrato",$I$38-1,0)),IF(AND($L$37=0,$P$34=0),"",$L$37-1),IF($R$17="Distrato",$E359,0)),MIN(AT$38,$D$19),$P$20))-SUM($P359:AS359)</f>
        <v>#VALUE!</v>
      </c>
      <c r="AU359" s="446" t="e">
        <f>IF(OR($B359="",MIN(AU$38,$D$19)&lt;MAX($P$34*($B359+IF($R$17="Distrato",$I$38-1,0)),IF(AND($L$37=0,$P$34=0),"",$L$37-1),IF($R$17="Distrato",$E359,0))),0,YEARFRAC(MAX($P$34*($B359+IF($R$17="Distrato",$I$38-1,0)),IF(AND($L$37=0,$P$34=0),"",$L$37-1),IF($R$17="Distrato",$E359,0)),MIN(AU$38,$D$19),$P$20))-SUM($P359:AT359)</f>
        <v>#VALUE!</v>
      </c>
      <c r="AV359" s="446" t="e">
        <f>IF(OR($B359="",MIN(AV$38,$D$19)&lt;MAX($P$34*($B359+IF($R$17="Distrato",$I$38-1,0)),IF(AND($L$37=0,$P$34=0),"",$L$37-1),IF($R$17="Distrato",$E359,0))),0,YEARFRAC(MAX($P$34*($B359+IF($R$17="Distrato",$I$38-1,0)),IF(AND($L$37=0,$P$34=0),"",$L$37-1),IF($R$17="Distrato",$E359,0)),MIN(AV$38,$D$19),$P$20))-SUM($P359:AU359)</f>
        <v>#VALUE!</v>
      </c>
      <c r="AW359" s="446" t="e">
        <f>IF(OR($B359="",MIN(AW$38,$D$19)&lt;MAX($P$34*($B359+IF($R$17="Distrato",$I$38-1,0)),IF(AND($L$37=0,$P$34=0),"",$L$37-1),IF($R$17="Distrato",$E359,0))),0,YEARFRAC(MAX($P$34*($B359+IF($R$17="Distrato",$I$38-1,0)),IF(AND($L$37=0,$P$34=0),"",$L$37-1),IF($R$17="Distrato",$E359,0)),MIN(AW$38,$D$19),$P$20))-SUM($P359:AV359)</f>
        <v>#VALUE!</v>
      </c>
      <c r="AX359" s="446" t="e">
        <f>IF(OR($B359="",MIN(AX$38,$D$19)&lt;MAX($P$34*($B359+IF($R$17="Distrato",$I$38-1,0)),IF(AND($L$37=0,$P$34=0),"",$L$37-1),IF($R$17="Distrato",$E359,0))),0,YEARFRAC(MAX($P$34*($B359+IF($R$17="Distrato",$I$38-1,0)),IF(AND($L$37=0,$P$34=0),"",$L$37-1),IF($R$17="Distrato",$E359,0)),MIN(AX$38,$D$19),$P$20))-SUM($P359:AW359)</f>
        <v>#VALUE!</v>
      </c>
      <c r="AY359" s="446" t="e">
        <f>IF(OR($B359="",MIN(AY$38,$D$19)&lt;MAX($P$34*($B359+IF($R$17="Distrato",$I$38-1,0)),IF(AND($L$37=0,$P$34=0),"",$L$37-1),IF($R$17="Distrato",$E359,0))),0,YEARFRAC(MAX($P$34*($B359+IF($R$17="Distrato",$I$38-1,0)),IF(AND($L$37=0,$P$34=0),"",$L$37-1),IF($R$17="Distrato",$E359,0)),MIN(AY$38,$D$19),$P$20))-SUM($P359:AX359)</f>
        <v>#VALUE!</v>
      </c>
      <c r="AZ359" s="446" t="e">
        <f>IF(OR($B359="",MIN(AZ$38,$D$19)&lt;MAX($P$34*($B359+IF($R$17="Distrato",$I$38-1,0)),IF(AND($L$37=0,$P$34=0),"",$L$37-1),IF($R$17="Distrato",$E359,0))),0,YEARFRAC(MAX($P$34*($B359+IF($R$17="Distrato",$I$38-1,0)),IF(AND($L$37=0,$P$34=0),"",$L$37-1),IF($R$17="Distrato",$E359,0)),MIN(AZ$38,$D$19),$P$20))-SUM($P359:AY359)</f>
        <v>#VALUE!</v>
      </c>
      <c r="BA359" s="446" t="e">
        <f>IF(OR($B359="",MIN(BA$38,$D$19)&lt;MAX($P$34*($B359+IF($R$17="Distrato",$I$38-1,0)),IF(AND($L$37=0,$P$34=0),"",$L$37-1),IF($R$17="Distrato",$E359,0))),0,YEARFRAC(MAX($P$34*($B359+IF($R$17="Distrato",$I$38-1,0)),IF(AND($L$37=0,$P$34=0),"",$L$37-1),IF($R$17="Distrato",$E359,0)),MIN(BA$38,$D$19),$P$20))-SUM($P359:AZ359)</f>
        <v>#VALUE!</v>
      </c>
      <c r="BB359" s="447"/>
      <c r="BF359" s="446">
        <f t="shared" si="54"/>
        <v>0</v>
      </c>
      <c r="BG359" s="446">
        <f>IF($E359=0,0,IF(MIN(BG$38,$E359)&lt;MAX($P$34*($B359+$I$38-1),IF(AND($L$37=0,$P$34=0),"",$L$37-1)),0,YEARFRAC(MAX($P$34*($B359+$I$38-1),IF(AND($L$37=0,$P$34=0),"",$L$37-1)),MIN(BG$38,$E359),$P$20))-SUM($BF359:BF359))</f>
        <v>0</v>
      </c>
      <c r="BH359" s="446">
        <f>IF($E359=0,0,IF(MIN(BH$38,$E359)&lt;MAX($P$34*($B359+$I$38-1),IF(AND($L$37=0,$P$34=0),"",$L$37-1)),0,YEARFRAC(MAX($P$34*($B359+$I$38-1),IF(AND($L$37=0,$P$34=0),"",$L$37-1)),MIN(BH$38,$E359),$P$20))-SUM($BF359:BG359))</f>
        <v>0</v>
      </c>
      <c r="BI359" s="446">
        <f>IF($E359=0,0,IF(MIN(BI$38,$E359)&lt;MAX($P$34*($B359+$I$38-1),IF(AND($L$37=0,$P$34=0),"",$L$37-1)),0,YEARFRAC(MAX($P$34*($B359+$I$38-1),IF(AND($L$37=0,$P$34=0),"",$L$37-1)),MIN(BI$38,$E359),$P$20))-SUM($BF359:BH359))</f>
        <v>0</v>
      </c>
      <c r="BJ359" s="446">
        <f>IF($E359=0,0,IF(MIN(BJ$38,$E359)&lt;MAX($P$34*($B359+$I$38-1),IF(AND($L$37=0,$P$34=0),"",$L$37-1)),0,YEARFRAC(MAX($P$34*($B359+$I$38-1),IF(AND($L$37=0,$P$34=0),"",$L$37-1)),MIN(BJ$38,$E359),$P$20))-SUM($BF359:BI359))</f>
        <v>0</v>
      </c>
      <c r="BK359" s="446">
        <f>IF($E359=0,0,IF(MIN(BK$38,$E359)&lt;MAX($P$34*($B359+$I$38-1),IF(AND($L$37=0,$P$34=0),"",$L$37-1)),0,YEARFRAC(MAX($P$34*($B359+$I$38-1),IF(AND($L$37=0,$P$34=0),"",$L$37-1)),MIN(BK$38,$E359),$P$20))-SUM($BF359:BJ359))</f>
        <v>0</v>
      </c>
      <c r="BL359" s="446">
        <f>IF($E359=0,0,IF(MIN(BL$38,$E359)&lt;MAX($P$34*($B359+$I$38-1),IF(AND($L$37=0,$P$34=0),"",$L$37-1)),0,YEARFRAC(MAX($P$34*($B359+$I$38-1),IF(AND($L$37=0,$P$34=0),"",$L$37-1)),MIN(BL$38,$E359),$P$20))-SUM($BF359:BK359))</f>
        <v>0</v>
      </c>
      <c r="BM359" s="446">
        <f>IF($E359=0,0,IF(MIN(BM$38,$E359)&lt;MAX($P$34*($B359+$I$38-1),IF(AND($L$37=0,$P$34=0),"",$L$37-1)),0,YEARFRAC(MAX($P$34*($B359+$I$38-1),IF(AND($L$37=0,$P$34=0),"",$L$37-1)),MIN(BM$38,$E359),$P$20))-SUM($BF359:BL359))</f>
        <v>0</v>
      </c>
      <c r="BN359" s="446">
        <f>IF($E359=0,0,IF(MIN(BN$38,$E359)&lt;MAX($P$34*($B359+$I$38-1),IF(AND($L$37=0,$P$34=0),"",$L$37-1)),0,YEARFRAC(MAX($P$34*($B359+$I$38-1),IF(AND($L$37=0,$P$34=0),"",$L$37-1)),MIN(BN$38,$E359),$P$20))-SUM($BF359:BM359))</f>
        <v>0</v>
      </c>
      <c r="BO359" s="446">
        <f>IF($E359=0,0,IF(MIN(BO$38,$E359)&lt;MAX($P$34*($B359+$I$38-1),IF(AND($L$37=0,$P$34=0),"",$L$37-1)),0,YEARFRAC(MAX($P$34*($B359+$I$38-1),IF(AND($L$37=0,$P$34=0),"",$L$37-1)),MIN(BO$38,$E359),$P$20))-SUM($BF359:BN359))</f>
        <v>0</v>
      </c>
      <c r="BP359" s="446">
        <f>IF($E359=0,0,IF(MIN(BP$38,$E359)&lt;MAX($P$34*($B359+$I$38-1),IF(AND($L$37=0,$P$34=0),"",$L$37-1)),0,YEARFRAC(MAX($P$34*($B359+$I$38-1),IF(AND($L$37=0,$P$34=0),"",$L$37-1)),MIN(BP$38,$E359),$P$20))-SUM($BF359:BO359))</f>
        <v>0</v>
      </c>
      <c r="BQ359" s="446">
        <f>IF($E359=0,0,IF(MIN(BQ$38,$E359)&lt;MAX($P$34*($B359+$I$38-1),IF(AND($L$37=0,$P$34=0),"",$L$37-1)),0,YEARFRAC(MAX($P$34*($B359+$I$38-1),IF(AND($L$37=0,$P$34=0),"",$L$37-1)),MIN(BQ$38,$E359),$P$20))-SUM($BF359:BP359))</f>
        <v>0</v>
      </c>
      <c r="BR359" s="446">
        <f>IF($E359=0,0,IF(MIN(BR$38,$E359)&lt;MAX($P$34*($B359+$I$38-1),IF(AND($L$37=0,$P$34=0),"",$L$37-1)),0,YEARFRAC(MAX($P$34*($B359+$I$38-1),IF(AND($L$37=0,$P$34=0),"",$L$37-1)),MIN(BR$38,$E359),$P$20))-SUM($BF359:BQ359))</f>
        <v>0</v>
      </c>
      <c r="BS359" s="446">
        <f>IF($E359=0,0,IF(MIN(BS$38,$E359)&lt;MAX($P$34*($B359+$I$38-1),IF(AND($L$37=0,$P$34=0),"",$L$37-1)),0,YEARFRAC(MAX($P$34*($B359+$I$38-1),IF(AND($L$37=0,$P$34=0),"",$L$37-1)),MIN(BS$38,$E359),$P$20))-SUM($BF359:BR359))</f>
        <v>0</v>
      </c>
      <c r="BT359" s="446">
        <f>IF($E359=0,0,IF(MIN(BT$38,$E359)&lt;MAX($P$34*($B359+$I$38-1),IF(AND($L$37=0,$P$34=0),"",$L$37-1)),0,YEARFRAC(MAX($P$34*($B359+$I$38-1),IF(AND($L$37=0,$P$34=0),"",$L$37-1)),MIN(BT$38,$E359),$P$20))-SUM($BF359:BS359))</f>
        <v>0</v>
      </c>
      <c r="BU359" s="446">
        <f>IF($E359=0,0,IF(MIN(BU$38,$E359)&lt;MAX($P$34*($B359+$I$38-1),IF(AND($L$37=0,$P$34=0),"",$L$37-1)),0,YEARFRAC(MAX($P$34*($B359+$I$38-1),IF(AND($L$37=0,$P$34=0),"",$L$37-1)),MIN(BU$38,$E359),$P$20))-SUM($BF359:BT359))</f>
        <v>0</v>
      </c>
      <c r="BV359" s="446">
        <f>IF($E359=0,0,IF(MIN(BV$38,$E359)&lt;MAX($P$34*($B359+$I$38-1),IF(AND($L$37=0,$P$34=0),"",$L$37-1)),0,YEARFRAC(MAX($P$34*($B359+$I$38-1),IF(AND($L$37=0,$P$34=0),"",$L$37-1)),MIN(BV$38,$E359),$P$20))-SUM($BF359:BU359))</f>
        <v>0</v>
      </c>
      <c r="BW359" s="446">
        <f>IF($E359=0,0,IF(MIN(BW$38,$E359)&lt;MAX($P$34*($B359+$I$38-1),IF(AND($L$37=0,$P$34=0),"",$L$37-1)),0,YEARFRAC(MAX($P$34*($B359+$I$38-1),IF(AND($L$37=0,$P$34=0),"",$L$37-1)),MIN(BW$38,$E359),$P$20))-SUM($BF359:BV359))</f>
        <v>0</v>
      </c>
      <c r="BX359" s="446">
        <f>IF($E359=0,0,IF(MIN(BX$38,$E359)&lt;MAX($P$34*($B359+$I$38-1),IF(AND($L$37=0,$P$34=0),"",$L$37-1)),0,YEARFRAC(MAX($P$34*($B359+$I$38-1),IF(AND($L$37=0,$P$34=0),"",$L$37-1)),MIN(BX$38,$E359),$P$20))-SUM($BF359:BW359))</f>
        <v>0</v>
      </c>
      <c r="BY359" s="446">
        <f>IF($E359=0,0,IF(MIN(BY$38,$E359)&lt;MAX($P$34*($B359+$I$38-1),IF(AND($L$37=0,$P$34=0),"",$L$37-1)),0,YEARFRAC(MAX($P$34*($B359+$I$38-1),IF(AND($L$37=0,$P$34=0),"",$L$37-1)),MIN(BY$38,$E359),$P$20))-SUM($BF359:BX359))</f>
        <v>0</v>
      </c>
      <c r="BZ359" s="446">
        <f>IF($E359=0,0,IF(MIN(BZ$38,$E359)&lt;MAX($P$34*($B359+$I$38-1),IF(AND($L$37=0,$P$34=0),"",$L$37-1)),0,YEARFRAC(MAX($P$34*($B359+$I$38-1),IF(AND($L$37=0,$P$34=0),"",$L$37-1)),MIN(BZ$38,$E359),$P$20))-SUM($BF359:BY359))</f>
        <v>0</v>
      </c>
      <c r="CA359" s="446">
        <f>IF($E359=0,0,IF(MIN(CA$38,$E359)&lt;MAX($P$34*($B359+$I$38-1),IF(AND($L$37=0,$P$34=0),"",$L$37-1)),0,YEARFRAC(MAX($P$34*($B359+$I$38-1),IF(AND($L$37=0,$P$34=0),"",$L$37-1)),MIN(CA$38,$E359),$P$20))-SUM($BF359:BZ359))</f>
        <v>0</v>
      </c>
      <c r="CB359" s="446">
        <f>IF($E359=0,0,IF(MIN(CB$38,$E359)&lt;MAX($P$34*($B359+$I$38-1),IF(AND($L$37=0,$P$34=0),"",$L$37-1)),0,YEARFRAC(MAX($P$34*($B359+$I$38-1),IF(AND($L$37=0,$P$34=0),"",$L$37-1)),MIN(CB$38,$E359),$P$20))-SUM($BF359:CA359))</f>
        <v>0</v>
      </c>
      <c r="CC359" s="446">
        <f>IF($E359=0,0,IF(MIN(CC$38,$E359)&lt;MAX($P$34*($B359+$I$38-1),IF(AND($L$37=0,$P$34=0),"",$L$37-1)),0,YEARFRAC(MAX($P$34*($B359+$I$38-1),IF(AND($L$37=0,$P$34=0),"",$L$37-1)),MIN(CC$38,$E359),$P$20))-SUM($BF359:CB359))</f>
        <v>0</v>
      </c>
      <c r="CD359" s="446">
        <f>IF($E359=0,0,IF(MIN(CD$38,$E359)&lt;MAX($P$34*($B359+$I$38-1),IF(AND($L$37=0,$P$34=0),"",$L$37-1)),0,YEARFRAC(MAX($P$34*($B359+$I$38-1),IF(AND($L$37=0,$P$34=0),"",$L$37-1)),MIN(CD$38,$E359),$P$20))-SUM($BF359:CC359))</f>
        <v>0</v>
      </c>
      <c r="CE359" s="446">
        <f>IF($E359=0,0,IF(MIN(CE$38,$E359)&lt;MAX($P$34*($B359+$I$38-1),IF(AND($L$37=0,$P$34=0),"",$L$37-1)),0,YEARFRAC(MAX($P$34*($B359+$I$38-1),IF(AND($L$37=0,$P$34=0),"",$L$37-1)),MIN(CE$38,$E359),$P$20))-SUM($BF359:CD359))</f>
        <v>0</v>
      </c>
      <c r="CF359" s="446">
        <f>IF($E359=0,0,IF(MIN(CF$38,$E359)&lt;MAX($P$34*($B359+$I$38-1),IF(AND($L$37=0,$P$34=0),"",$L$37-1)),0,YEARFRAC(MAX($P$34*($B359+$I$38-1),IF(AND($L$37=0,$P$34=0),"",$L$37-1)),MIN(CF$38,$E359),$P$20))-SUM($BF359:CE359))</f>
        <v>0</v>
      </c>
      <c r="CG359" s="446">
        <f>IF($E359=0,0,IF(MIN(CG$38,$E359)&lt;MAX($P$34*($B359+$I$38-1),IF(AND($L$37=0,$P$34=0),"",$L$37-1)),0,YEARFRAC(MAX($P$34*($B359+$I$38-1),IF(AND($L$37=0,$P$34=0),"",$L$37-1)),MIN(CG$38,$E359),$P$20))-SUM($BF359:CF359))</f>
        <v>0</v>
      </c>
      <c r="CH359" s="446">
        <f>IF($E359=0,0,IF(MIN(CH$38,$E359)&lt;MAX($P$34*($B359+$I$38-1),IF(AND($L$37=0,$P$34=0),"",$L$37-1)),0,YEARFRAC(MAX($P$34*($B359+$I$38-1),IF(AND($L$37=0,$P$34=0),"",$L$37-1)),MIN(CH$38,$E359),$P$20))-SUM($BF359:CG359))</f>
        <v>0</v>
      </c>
      <c r="CI359" s="446">
        <f>IF($E359=0,0,IF(MIN(CI$38,$E359)&lt;MAX($P$34*($B359+$I$38-1),IF(AND($L$37=0,$P$34=0),"",$L$37-1)),0,YEARFRAC(MAX($P$34*($B359+$I$38-1),IF(AND($L$37=0,$P$34=0),"",$L$37-1)),MIN(CI$38,$E359),$P$20))-SUM($BF359:CH359))</f>
        <v>0</v>
      </c>
      <c r="CJ359" s="446">
        <f>IF($E359=0,0,IF(MIN(CJ$38,$E359)&lt;MAX($P$34*($B359+$I$38-1),IF(AND($L$37=0,$P$34=0),"",$L$37-1)),0,YEARFRAC(MAX($P$34*($B359+$I$38-1),IF(AND($L$37=0,$P$34=0),"",$L$37-1)),MIN(CJ$38,$E359),$P$20))-SUM($BF359:CI359))</f>
        <v>0</v>
      </c>
      <c r="CK359" s="446">
        <f>IF($E359=0,0,IF(MIN(CK$38,$E359)&lt;MAX($P$34*($B359+$I$38-1),IF(AND($L$37=0,$P$34=0),"",$L$37-1)),0,YEARFRAC(MAX($P$34*($B359+$I$38-1),IF(AND($L$37=0,$P$34=0),"",$L$37-1)),MIN(CK$38,$E359),$P$20))-SUM($BF359:CJ359))</f>
        <v>0</v>
      </c>
      <c r="CL359" s="446">
        <f>IF($E359=0,0,IF(MIN(CL$38,$E359)&lt;MAX($P$34*($B359+$I$38-1),IF(AND($L$37=0,$P$34=0),"",$L$37-1)),0,YEARFRAC(MAX($P$34*($B359+$I$38-1),IF(AND($L$37=0,$P$34=0),"",$L$37-1)),MIN(CL$38,$E359),$P$20))-SUM($BF359:CK359))</f>
        <v>0</v>
      </c>
      <c r="CM359" s="446">
        <f>IF($E359=0,0,IF(MIN(CM$38,$E359)&lt;MAX($P$34*($B359+$I$38-1),IF(AND($L$37=0,$P$34=0),"",$L$37-1)),0,YEARFRAC(MAX($P$34*($B359+$I$38-1),IF(AND($L$37=0,$P$34=0),"",$L$37-1)),MIN(CM$38,$E359),$P$20))-SUM($BF359:CL359))</f>
        <v>0</v>
      </c>
      <c r="CN359" s="446">
        <f>IF($E359=0,0,IF(MIN(CN$38,$E359)&lt;MAX($P$34*($B359+$I$38-1),IF(AND($L$37=0,$P$34=0),"",$L$37-1)),0,YEARFRAC(MAX($P$34*($B359+$I$38-1),IF(AND($L$37=0,$P$34=0),"",$L$37-1)),MIN(CN$38,$E359),$P$20))-SUM($BF359:CM359))</f>
        <v>0</v>
      </c>
      <c r="CO359" s="446">
        <f>IF($E359=0,0,IF(MIN(CO$38,$E359)&lt;MAX($P$34*($B359+$I$38-1),IF(AND($L$37=0,$P$34=0),"",$L$37-1)),0,YEARFRAC(MAX($P$34*($B359+$I$38-1),IF(AND($L$37=0,$P$34=0),"",$L$37-1)),MIN(CO$38,$E359),$P$20))-SUM($BF359:CN359))</f>
        <v>0</v>
      </c>
      <c r="CP359" s="446">
        <f>IF($E359=0,0,IF(MIN(CP$38,$E359)&lt;MAX($P$34*($B359+$I$38-1),IF(AND($L$37=0,$P$34=0),"",$L$37-1)),0,YEARFRAC(MAX($P$34*($B359+$I$38-1),IF(AND($L$37=0,$P$34=0),"",$L$37-1)),MIN(CP$38,$E359),$P$20))-SUM($BF359:CO359))</f>
        <v>0</v>
      </c>
      <c r="CQ359" s="446">
        <f>IF($E359=0,0,IF(MIN(CQ$38,$E359)&lt;MAX($P$34*($B359+$I$38-1),IF(AND($L$37=0,$P$34=0),"",$L$37-1)),0,YEARFRAC(MAX($P$34*($B359+$I$38-1),IF(AND($L$37=0,$P$34=0),"",$L$37-1)),MIN(CQ$38,$E359),$P$20))-SUM($BF359:CP359))</f>
        <v>0</v>
      </c>
    </row>
    <row r="360" spans="1:95" s="446" customFormat="1" ht="11.25" hidden="1" customHeight="1" x14ac:dyDescent="0.2">
      <c r="A360" s="152"/>
      <c r="B360" s="153" t="str">
        <f t="shared" si="59"/>
        <v/>
      </c>
      <c r="C360" s="29" t="str">
        <f>IF(B360="","",IF($L$35="SELIC - TRIBUTOS",VLOOKUP(DATE(YEAR($D$19),MONTH($D$19)-1,1),ÍNDICES!$A:$DE,HLOOKUP($BL$25,ÍNDICES!$B$3:$T$4,2)+11)-VLOOKUP(B360,ÍNDICES!$A:$DE,HLOOKUP($BL$25,ÍNDICES!$B$3:$T$4,2)+11)+1%,IF(C$38=$W$26,$J$35,IF(ISERROR(IF(B360&gt;$D$19,1,VLOOKUP(DATE(YEAR(B360),MONTH(B360)+IF($C$35=$S$23,1,0),1),ÍNDICES!$A:$DE,$Z$35+1))),"",IF(B360&gt;$D$19,1,VLOOKUP(DATE(YEAR(B360),MONTH(B360)+IF($C$35=$S$23,1,0),1),ÍNDICES!$A:$DE,$Z$35+1))))))</f>
        <v/>
      </c>
      <c r="D360" s="154" t="str">
        <f>IF(ISERROR(IF(OR($D$38=$Y$27,$B360=""),"",VLOOKUP(B360,ÍNDICES!A:DE,AF$35+1))),"",IF(OR($D$38=$Y$27,$B360=""),"",VLOOKUP(B360,ÍNDICES!A:DE,AF$35+1)))</f>
        <v/>
      </c>
      <c r="E360" s="153"/>
      <c r="F360" s="29" t="str">
        <f>IF(E360="","",IF($L$35="SELIC - TRIBUTOS",VLOOKUP(DATE(YEAR($D$19),MONTH($D$19)-1,1),ÍNDICES!$A:$DE,HLOOKUP($BL$25,ÍNDICES!$B$3:$T$4,2)+11)-VLOOKUP(E360,ÍNDICES!$A:$DE,HLOOKUP($BL$25,ÍNDICES!$B$3:$T$4,2)+11)+1%,IF(F$38=$W$26,$J$35,IF(ISERROR(IF(E360&gt;$D$19,1,VLOOKUP(DATE(YEAR(E360),MONTH(E360)+IF($C$35=$S$23,1,0),1),ÍNDICES!$A:$DE,$Z$35+1))),"",IF(E360&gt;$D$19,1,VLOOKUP(DATE(YEAR(E360),MONTH(E360)+IF($C$35=$S$23,1,0),1),ÍNDICES!$A:$DE,$Z$35+1))))))</f>
        <v/>
      </c>
      <c r="G360" s="155"/>
      <c r="H360" s="156" t="str">
        <f t="shared" si="55"/>
        <v/>
      </c>
      <c r="I360" s="29" t="str">
        <f t="shared" ref="I360:I423" si="60">IF(OR($L$35=$BL$25,B360=""),"",SUM(BF360:CF360))</f>
        <v/>
      </c>
      <c r="J360" s="5">
        <f t="shared" ref="J360:J423" si="61">IF(OR($L$35="SELIC - TRIBUTOS",B360=""),0,IF(D360="",0,D360)/C360*J$35*SUMPRODUCT($BF$37:$DD$37,$BF360:$DD360))</f>
        <v>0</v>
      </c>
      <c r="K360" s="20">
        <f t="shared" ref="K360:K423" ca="1" si="62">IF($L$35="SELIC - TRIBUTOS",$K$38*(-IFERROR(D360*(1+C360),0)-IF($R$17="Distrato",IFERROR(G360*(1+F360),0),0)),$K$38*(IFERROR(D360/C360*$J$35,0)-IF($R$17="Distrato",IFERROR(G360/F360*$J$35,0),0)))</f>
        <v>0</v>
      </c>
      <c r="L360" s="5">
        <f t="shared" ref="L360:L423" ca="1" si="63">IF(L$35="SELIC - TRIBUTOS",0,IFERROR(K360*SUMPRODUCT($P$37:$BA$37,$P360:$BA360),0))</f>
        <v>0</v>
      </c>
      <c r="M360" s="64">
        <f t="shared" si="56"/>
        <v>0</v>
      </c>
      <c r="N360" s="61">
        <f t="shared" ca="1" si="57"/>
        <v>0</v>
      </c>
      <c r="O360" s="5">
        <f t="shared" ca="1" si="58"/>
        <v>0</v>
      </c>
      <c r="P360" s="446" t="e">
        <f t="shared" ref="P360:P423" si="64">IF(OR($B360="",MIN(P$38,$D$19)&lt;MAX($P$34*($B360+IF($R$17="Distrato",$I$38-1,0)),IF(AND($L$37=0,$P$34=0),"",$L$37-1),IF($R$17="Distrato",$E360,0))),0,YEARFRAC(MAX($P$34*($B360+IF($R$17="Distrato",$I$38-1,0)),IF(AND($L$37=0,$P$34=0),"",$L$37-1),IF($R$17="Distrato",$E360,0)),MIN(P$38,$D$19),$P$20))</f>
        <v>#VALUE!</v>
      </c>
      <c r="Q360" s="446" t="e">
        <f>IF(OR($B360="",MIN(Q$38,$D$19)&lt;MAX($P$34*($B360+IF($R$17="Distrato",$I$38-1,0)),IF(AND($L$37=0,$P$34=0),"",$L$37-1),IF($R$17="Distrato",$E360,0))),0,YEARFRAC(MAX($P$34*($B360+IF($R$17="Distrato",$I$38-1,0)),IF(AND($L$37=0,$P$34=0),"",$L$37-1),IF($R$17="Distrato",$E360,0)),MIN(Q$38,$D$19),$P$20))-SUM($P360:P360)</f>
        <v>#VALUE!</v>
      </c>
      <c r="R360" s="446" t="e">
        <f>IF(OR($B360="",MIN(R$38,$D$19)&lt;MAX($P$34*($B360+IF($R$17="Distrato",$I$38-1,0)),IF(AND($L$37=0,$P$34=0),"",$L$37-1),IF($R$17="Distrato",$E360,0))),0,YEARFRAC(MAX($P$34*($B360+IF($R$17="Distrato",$I$38-1,0)),IF(AND($L$37=0,$P$34=0),"",$L$37-1),IF($R$17="Distrato",$E360,0)),MIN(R$38,$D$19),$P$20))-SUM($P360:Q360)</f>
        <v>#VALUE!</v>
      </c>
      <c r="S360" s="446" t="e">
        <f>IF(OR($B360="",MIN(S$38,$D$19)&lt;MAX($P$34*($B360+IF($R$17="Distrato",$I$38-1,0)),IF(AND($L$37=0,$P$34=0),"",$L$37-1),IF($R$17="Distrato",$E360,0))),0,YEARFRAC(MAX($P$34*($B360+IF($R$17="Distrato",$I$38-1,0)),IF(AND($L$37=0,$P$34=0),"",$L$37-1),IF($R$17="Distrato",$E360,0)),MIN(S$38,$D$19),$P$20))-SUM($P360:R360)</f>
        <v>#VALUE!</v>
      </c>
      <c r="T360" s="446" t="e">
        <f>IF(OR($B360="",MIN(T$38,$D$19)&lt;MAX($P$34*($B360+IF($R$17="Distrato",$I$38-1,0)),IF(AND($L$37=0,$P$34=0),"",$L$37-1),IF($R$17="Distrato",$E360,0))),0,YEARFRAC(MAX($P$34*($B360+IF($R$17="Distrato",$I$38-1,0)),IF(AND($L$37=0,$P$34=0),"",$L$37-1),IF($R$17="Distrato",$E360,0)),MIN(T$38,$D$19),$P$20))-SUM($P360:S360)</f>
        <v>#VALUE!</v>
      </c>
      <c r="U360" s="446" t="e">
        <f>IF(OR($B360="",MIN(U$38,$D$19)&lt;MAX($P$34*($B360+IF($R$17="Distrato",$I$38-1,0)),IF(AND($L$37=0,$P$34=0),"",$L$37-1),IF($R$17="Distrato",$E360,0))),0,YEARFRAC(MAX($P$34*($B360+IF($R$17="Distrato",$I$38-1,0)),IF(AND($L$37=0,$P$34=0),"",$L$37-1),IF($R$17="Distrato",$E360,0)),MIN(U$38,$D$19),$P$20))-SUM($P360:T360)</f>
        <v>#VALUE!</v>
      </c>
      <c r="V360" s="446" t="e">
        <f>IF(OR($B360="",MIN(V$38,$D$19)&lt;MAX($P$34*($B360+IF($R$17="Distrato",$I$38-1,0)),IF(AND($L$37=0,$P$34=0),"",$L$37-1),IF($R$17="Distrato",$E360,0))),0,YEARFRAC(MAX($P$34*($B360+IF($R$17="Distrato",$I$38-1,0)),IF(AND($L$37=0,$P$34=0),"",$L$37-1),IF($R$17="Distrato",$E360,0)),MIN(V$38,$D$19),$P$20))-SUM($P360:U360)</f>
        <v>#VALUE!</v>
      </c>
      <c r="W360" s="446" t="e">
        <f>IF(OR($B360="",MIN(W$38,$D$19)&lt;MAX($P$34*($B360+IF($R$17="Distrato",$I$38-1,0)),IF(AND($L$37=0,$P$34=0),"",$L$37-1),IF($R$17="Distrato",$E360,0))),0,YEARFRAC(MAX($P$34*($B360+IF($R$17="Distrato",$I$38-1,0)),IF(AND($L$37=0,$P$34=0),"",$L$37-1),IF($R$17="Distrato",$E360,0)),MIN(W$38,$D$19),$P$20))-SUM($P360:V360)</f>
        <v>#VALUE!</v>
      </c>
      <c r="X360" s="446" t="e">
        <f>IF(OR($B360="",MIN(X$38,$D$19)&lt;MAX($P$34*($B360+IF($R$17="Distrato",$I$38-1,0)),IF(AND($L$37=0,$P$34=0),"",$L$37-1),IF($R$17="Distrato",$E360,0))),0,YEARFRAC(MAX($P$34*($B360+IF($R$17="Distrato",$I$38-1,0)),IF(AND($L$37=0,$P$34=0),"",$L$37-1),IF($R$17="Distrato",$E360,0)),MIN(X$38,$D$19),$P$20))-SUM($P360:W360)</f>
        <v>#VALUE!</v>
      </c>
      <c r="Y360" s="446" t="e">
        <f>IF(OR($B360="",MIN(Y$38,$D$19)&lt;MAX($P$34*($B360+IF($R$17="Distrato",$I$38-1,0)),IF(AND($L$37=0,$P$34=0),"",$L$37-1),IF($R$17="Distrato",$E360,0))),0,YEARFRAC(MAX($P$34*($B360+IF($R$17="Distrato",$I$38-1,0)),IF(AND($L$37=0,$P$34=0),"",$L$37-1),IF($R$17="Distrato",$E360,0)),MIN(Y$38,$D$19),$P$20))-SUM($P360:X360)</f>
        <v>#VALUE!</v>
      </c>
      <c r="Z360" s="446" t="e">
        <f>IF(OR($B360="",MIN(Z$38,$D$19)&lt;MAX($P$34*($B360+IF($R$17="Distrato",$I$38-1,0)),IF(AND($L$37=0,$P$34=0),"",$L$37-1),IF($R$17="Distrato",$E360,0))),0,YEARFRAC(MAX($P$34*($B360+IF($R$17="Distrato",$I$38-1,0)),IF(AND($L$37=0,$P$34=0),"",$L$37-1),IF($R$17="Distrato",$E360,0)),MIN(Z$38,$D$19),$P$20))-SUM($P360:Y360)</f>
        <v>#VALUE!</v>
      </c>
      <c r="AA360" s="446" t="e">
        <f>IF(OR($B360="",MIN(AA$38,$D$19)&lt;MAX($P$34*($B360+IF($R$17="Distrato",$I$38-1,0)),IF(AND($L$37=0,$P$34=0),"",$L$37-1),IF($R$17="Distrato",$E360,0))),0,YEARFRAC(MAX($P$34*($B360+IF($R$17="Distrato",$I$38-1,0)),IF(AND($L$37=0,$P$34=0),"",$L$37-1),IF($R$17="Distrato",$E360,0)),MIN(AA$38,$D$19),$P$20))-SUM($P360:Z360)</f>
        <v>#VALUE!</v>
      </c>
      <c r="AB360" s="446" t="e">
        <f>IF(OR($B360="",MIN(AB$38,$D$19)&lt;MAX($P$34*($B360+IF($R$17="Distrato",$I$38-1,0)),IF(AND($L$37=0,$P$34=0),"",$L$37-1),IF($R$17="Distrato",$E360,0))),0,YEARFRAC(MAX($P$34*($B360+IF($R$17="Distrato",$I$38-1,0)),IF(AND($L$37=0,$P$34=0),"",$L$37-1),IF($R$17="Distrato",$E360,0)),MIN(AB$38,$D$19),$P$20))-SUM($P360:AA360)</f>
        <v>#VALUE!</v>
      </c>
      <c r="AC360" s="446" t="e">
        <f>IF(OR($B360="",MIN(AC$38,$D$19)&lt;MAX($P$34*($B360+IF($R$17="Distrato",$I$38-1,0)),IF(AND($L$37=0,$P$34=0),"",$L$37-1),IF($R$17="Distrato",$E360,0))),0,YEARFRAC(MAX($P$34*($B360+IF($R$17="Distrato",$I$38-1,0)),IF(AND($L$37=0,$P$34=0),"",$L$37-1),IF($R$17="Distrato",$E360,0)),MIN(AC$38,$D$19),$P$20))-SUM($P360:AB360)</f>
        <v>#VALUE!</v>
      </c>
      <c r="AD360" s="446" t="e">
        <f>IF(OR($B360="",MIN(AD$38,$D$19)&lt;MAX($P$34*($B360+IF($R$17="Distrato",$I$38-1,0)),IF(AND($L$37=0,$P$34=0),"",$L$37-1),IF($R$17="Distrato",$E360,0))),0,YEARFRAC(MAX($P$34*($B360+IF($R$17="Distrato",$I$38-1,0)),IF(AND($L$37=0,$P$34=0),"",$L$37-1),IF($R$17="Distrato",$E360,0)),MIN(AD$38,$D$19),$P$20))-SUM($P360:AC360)</f>
        <v>#VALUE!</v>
      </c>
      <c r="AE360" s="446" t="e">
        <f>IF(OR($B360="",MIN(AE$38,$D$19)&lt;MAX($P$34*($B360+IF($R$17="Distrato",$I$38-1,0)),IF(AND($L$37=0,$P$34=0),"",$L$37-1),IF($R$17="Distrato",$E360,0))),0,YEARFRAC(MAX($P$34*($B360+IF($R$17="Distrato",$I$38-1,0)),IF(AND($L$37=0,$P$34=0),"",$L$37-1),IF($R$17="Distrato",$E360,0)),MIN(AE$38,$D$19),$P$20))-SUM($P360:AD360)</f>
        <v>#VALUE!</v>
      </c>
      <c r="AF360" s="446" t="e">
        <f>IF(OR($B360="",MIN(AF$38,$D$19)&lt;MAX($P$34*($B360+IF($R$17="Distrato",$I$38-1,0)),IF(AND($L$37=0,$P$34=0),"",$L$37-1),IF($R$17="Distrato",$E360,0))),0,YEARFRAC(MAX($P$34*($B360+IF($R$17="Distrato",$I$38-1,0)),IF(AND($L$37=0,$P$34=0),"",$L$37-1),IF($R$17="Distrato",$E360,0)),MIN(AF$38,$D$19),$P$20))-SUM($P360:AE360)</f>
        <v>#VALUE!</v>
      </c>
      <c r="AG360" s="446" t="e">
        <f>IF(OR($B360="",MIN(AG$38,$D$19)&lt;MAX($P$34*($B360+IF($R$17="Distrato",$I$38-1,0)),IF(AND($L$37=0,$P$34=0),"",$L$37-1),IF($R$17="Distrato",$E360,0))),0,YEARFRAC(MAX($P$34*($B360+IF($R$17="Distrato",$I$38-1,0)),IF(AND($L$37=0,$P$34=0),"",$L$37-1),IF($R$17="Distrato",$E360,0)),MIN(AG$38,$D$19),$P$20))-SUM($P360:AF360)</f>
        <v>#VALUE!</v>
      </c>
      <c r="AH360" s="446" t="e">
        <f>IF(OR($B360="",MIN(AH$38,$D$19)&lt;MAX($P$34*($B360+IF($R$17="Distrato",$I$38-1,0)),IF(AND($L$37=0,$P$34=0),"",$L$37-1),IF($R$17="Distrato",$E360,0))),0,YEARFRAC(MAX($P$34*($B360+IF($R$17="Distrato",$I$38-1,0)),IF(AND($L$37=0,$P$34=0),"",$L$37-1),IF($R$17="Distrato",$E360,0)),MIN(AH$38,$D$19),$P$20))-SUM($P360:AG360)</f>
        <v>#VALUE!</v>
      </c>
      <c r="AI360" s="446" t="e">
        <f>IF(OR($B360="",MIN(AI$38,$D$19)&lt;MAX($P$34*($B360+IF($R$17="Distrato",$I$38-1,0)),IF(AND($L$37=0,$P$34=0),"",$L$37-1),IF($R$17="Distrato",$E360,0))),0,YEARFRAC(MAX($P$34*($B360+IF($R$17="Distrato",$I$38-1,0)),IF(AND($L$37=0,$P$34=0),"",$L$37-1),IF($R$17="Distrato",$E360,0)),MIN(AI$38,$D$19),$P$20))-SUM($P360:AH360)</f>
        <v>#VALUE!</v>
      </c>
      <c r="AJ360" s="446" t="e">
        <f>IF(OR($B360="",MIN(AJ$38,$D$19)&lt;MAX($P$34*($B360+IF($R$17="Distrato",$I$38-1,0)),IF(AND($L$37=0,$P$34=0),"",$L$37-1),IF($R$17="Distrato",$E360,0))),0,YEARFRAC(MAX($P$34*($B360+IF($R$17="Distrato",$I$38-1,0)),IF(AND($L$37=0,$P$34=0),"",$L$37-1),IF($R$17="Distrato",$E360,0)),MIN(AJ$38,$D$19),$P$20))-SUM($P360:AI360)</f>
        <v>#VALUE!</v>
      </c>
      <c r="AK360" s="446" t="e">
        <f>IF(OR($B360="",MIN(AK$38,$D$19)&lt;MAX($P$34*($B360+IF($R$17="Distrato",$I$38-1,0)),IF(AND($L$37=0,$P$34=0),"",$L$37-1),IF($R$17="Distrato",$E360,0))),0,YEARFRAC(MAX($P$34*($B360+IF($R$17="Distrato",$I$38-1,0)),IF(AND($L$37=0,$P$34=0),"",$L$37-1),IF($R$17="Distrato",$E360,0)),MIN(AK$38,$D$19),$P$20))-SUM($P360:AJ360)</f>
        <v>#VALUE!</v>
      </c>
      <c r="AL360" s="446" t="e">
        <f>IF(OR($B360="",MIN(AL$38,$D$19)&lt;MAX($P$34*($B360+IF($R$17="Distrato",$I$38-1,0)),IF(AND($L$37=0,$P$34=0),"",$L$37-1),IF($R$17="Distrato",$E360,0))),0,YEARFRAC(MAX($P$34*($B360+IF($R$17="Distrato",$I$38-1,0)),IF(AND($L$37=0,$P$34=0),"",$L$37-1),IF($R$17="Distrato",$E360,0)),MIN(AL$38,$D$19),$P$20))-SUM($P360:AK360)</f>
        <v>#VALUE!</v>
      </c>
      <c r="AM360" s="446" t="e">
        <f>IF(OR($B360="",MIN(AM$38,$D$19)&lt;MAX($P$34*($B360+IF($R$17="Distrato",$I$38-1,0)),IF(AND($L$37=0,$P$34=0),"",$L$37-1),IF($R$17="Distrato",$E360,0))),0,YEARFRAC(MAX($P$34*($B360+IF($R$17="Distrato",$I$38-1,0)),IF(AND($L$37=0,$P$34=0),"",$L$37-1),IF($R$17="Distrato",$E360,0)),MIN(AM$38,$D$19),$P$20))-SUM($P360:AL360)</f>
        <v>#VALUE!</v>
      </c>
      <c r="AN360" s="446" t="e">
        <f>IF(OR($B360="",MIN(AN$38,$D$19)&lt;MAX($P$34*($B360+IF($R$17="Distrato",$I$38-1,0)),IF(AND($L$37=0,$P$34=0),"",$L$37-1),IF($R$17="Distrato",$E360,0))),0,YEARFRAC(MAX($P$34*($B360+IF($R$17="Distrato",$I$38-1,0)),IF(AND($L$37=0,$P$34=0),"",$L$37-1),IF($R$17="Distrato",$E360,0)),MIN(AN$38,$D$19),$P$20))-SUM($P360:AM360)</f>
        <v>#VALUE!</v>
      </c>
      <c r="AO360" s="446" t="e">
        <f>IF(OR($B360="",MIN(AO$38,$D$19)&lt;MAX($P$34*($B360+IF($R$17="Distrato",$I$38-1,0)),IF(AND($L$37=0,$P$34=0),"",$L$37-1),IF($R$17="Distrato",$E360,0))),0,YEARFRAC(MAX($P$34*($B360+IF($R$17="Distrato",$I$38-1,0)),IF(AND($L$37=0,$P$34=0),"",$L$37-1),IF($R$17="Distrato",$E360,0)),MIN(AO$38,$D$19),$P$20))-SUM($P360:AN360)</f>
        <v>#VALUE!</v>
      </c>
      <c r="AP360" s="446" t="e">
        <f>IF(OR($B360="",MIN(AP$38,$D$19)&lt;MAX($P$34*($B360+IF($R$17="Distrato",$I$38-1,0)),IF(AND($L$37=0,$P$34=0),"",$L$37-1),IF($R$17="Distrato",$E360,0))),0,YEARFRAC(MAX($P$34*($B360+IF($R$17="Distrato",$I$38-1,0)),IF(AND($L$37=0,$P$34=0),"",$L$37-1),IF($R$17="Distrato",$E360,0)),MIN(AP$38,$D$19),$P$20))-SUM($P360:AO360)</f>
        <v>#VALUE!</v>
      </c>
      <c r="AQ360" s="446" t="e">
        <f>IF(OR($B360="",MIN(AQ$38,$D$19)&lt;MAX($P$34*($B360+IF($R$17="Distrato",$I$38-1,0)),IF(AND($L$37=0,$P$34=0),"",$L$37-1),IF($R$17="Distrato",$E360,0))),0,YEARFRAC(MAX($P$34*($B360+IF($R$17="Distrato",$I$38-1,0)),IF(AND($L$37=0,$P$34=0),"",$L$37-1),IF($R$17="Distrato",$E360,0)),MIN(AQ$38,$D$19),$P$20))-SUM($P360:AP360)</f>
        <v>#VALUE!</v>
      </c>
      <c r="AR360" s="446" t="e">
        <f>IF(OR($B360="",MIN(AR$38,$D$19)&lt;MAX($P$34*($B360+IF($R$17="Distrato",$I$38-1,0)),IF(AND($L$37=0,$P$34=0),"",$L$37-1),IF($R$17="Distrato",$E360,0))),0,YEARFRAC(MAX($P$34*($B360+IF($R$17="Distrato",$I$38-1,0)),IF(AND($L$37=0,$P$34=0),"",$L$37-1),IF($R$17="Distrato",$E360,0)),MIN(AR$38,$D$19),$P$20))-SUM($P360:AQ360)</f>
        <v>#VALUE!</v>
      </c>
      <c r="AS360" s="446" t="e">
        <f>IF(OR($B360="",MIN(AS$38,$D$19)&lt;MAX($P$34*($B360+IF($R$17="Distrato",$I$38-1,0)),IF(AND($L$37=0,$P$34=0),"",$L$37-1),IF($R$17="Distrato",$E360,0))),0,YEARFRAC(MAX($P$34*($B360+IF($R$17="Distrato",$I$38-1,0)),IF(AND($L$37=0,$P$34=0),"",$L$37-1),IF($R$17="Distrato",$E360,0)),MIN(AS$38,$D$19),$P$20))-SUM($P360:AR360)</f>
        <v>#VALUE!</v>
      </c>
      <c r="AT360" s="446" t="e">
        <f>IF(OR($B360="",MIN(AT$38,$D$19)&lt;MAX($P$34*($B360+IF($R$17="Distrato",$I$38-1,0)),IF(AND($L$37=0,$P$34=0),"",$L$37-1),IF($R$17="Distrato",$E360,0))),0,YEARFRAC(MAX($P$34*($B360+IF($R$17="Distrato",$I$38-1,0)),IF(AND($L$37=0,$P$34=0),"",$L$37-1),IF($R$17="Distrato",$E360,0)),MIN(AT$38,$D$19),$P$20))-SUM($P360:AS360)</f>
        <v>#VALUE!</v>
      </c>
      <c r="AU360" s="446" t="e">
        <f>IF(OR($B360="",MIN(AU$38,$D$19)&lt;MAX($P$34*($B360+IF($R$17="Distrato",$I$38-1,0)),IF(AND($L$37=0,$P$34=0),"",$L$37-1),IF($R$17="Distrato",$E360,0))),0,YEARFRAC(MAX($P$34*($B360+IF($R$17="Distrato",$I$38-1,0)),IF(AND($L$37=0,$P$34=0),"",$L$37-1),IF($R$17="Distrato",$E360,0)),MIN(AU$38,$D$19),$P$20))-SUM($P360:AT360)</f>
        <v>#VALUE!</v>
      </c>
      <c r="AV360" s="446" t="e">
        <f>IF(OR($B360="",MIN(AV$38,$D$19)&lt;MAX($P$34*($B360+IF($R$17="Distrato",$I$38-1,0)),IF(AND($L$37=0,$P$34=0),"",$L$37-1),IF($R$17="Distrato",$E360,0))),0,YEARFRAC(MAX($P$34*($B360+IF($R$17="Distrato",$I$38-1,0)),IF(AND($L$37=0,$P$34=0),"",$L$37-1),IF($R$17="Distrato",$E360,0)),MIN(AV$38,$D$19),$P$20))-SUM($P360:AU360)</f>
        <v>#VALUE!</v>
      </c>
      <c r="AW360" s="446" t="e">
        <f>IF(OR($B360="",MIN(AW$38,$D$19)&lt;MAX($P$34*($B360+IF($R$17="Distrato",$I$38-1,0)),IF(AND($L$37=0,$P$34=0),"",$L$37-1),IF($R$17="Distrato",$E360,0))),0,YEARFRAC(MAX($P$34*($B360+IF($R$17="Distrato",$I$38-1,0)),IF(AND($L$37=0,$P$34=0),"",$L$37-1),IF($R$17="Distrato",$E360,0)),MIN(AW$38,$D$19),$P$20))-SUM($P360:AV360)</f>
        <v>#VALUE!</v>
      </c>
      <c r="AX360" s="446" t="e">
        <f>IF(OR($B360="",MIN(AX$38,$D$19)&lt;MAX($P$34*($B360+IF($R$17="Distrato",$I$38-1,0)),IF(AND($L$37=0,$P$34=0),"",$L$37-1),IF($R$17="Distrato",$E360,0))),0,YEARFRAC(MAX($P$34*($B360+IF($R$17="Distrato",$I$38-1,0)),IF(AND($L$37=0,$P$34=0),"",$L$37-1),IF($R$17="Distrato",$E360,0)),MIN(AX$38,$D$19),$P$20))-SUM($P360:AW360)</f>
        <v>#VALUE!</v>
      </c>
      <c r="AY360" s="446" t="e">
        <f>IF(OR($B360="",MIN(AY$38,$D$19)&lt;MAX($P$34*($B360+IF($R$17="Distrato",$I$38-1,0)),IF(AND($L$37=0,$P$34=0),"",$L$37-1),IF($R$17="Distrato",$E360,0))),0,YEARFRAC(MAX($P$34*($B360+IF($R$17="Distrato",$I$38-1,0)),IF(AND($L$37=0,$P$34=0),"",$L$37-1),IF($R$17="Distrato",$E360,0)),MIN(AY$38,$D$19),$P$20))-SUM($P360:AX360)</f>
        <v>#VALUE!</v>
      </c>
      <c r="AZ360" s="446" t="e">
        <f>IF(OR($B360="",MIN(AZ$38,$D$19)&lt;MAX($P$34*($B360+IF($R$17="Distrato",$I$38-1,0)),IF(AND($L$37=0,$P$34=0),"",$L$37-1),IF($R$17="Distrato",$E360,0))),0,YEARFRAC(MAX($P$34*($B360+IF($R$17="Distrato",$I$38-1,0)),IF(AND($L$37=0,$P$34=0),"",$L$37-1),IF($R$17="Distrato",$E360,0)),MIN(AZ$38,$D$19),$P$20))-SUM($P360:AY360)</f>
        <v>#VALUE!</v>
      </c>
      <c r="BA360" s="446" t="e">
        <f>IF(OR($B360="",MIN(BA$38,$D$19)&lt;MAX($P$34*($B360+IF($R$17="Distrato",$I$38-1,0)),IF(AND($L$37=0,$P$34=0),"",$L$37-1),IF($R$17="Distrato",$E360,0))),0,YEARFRAC(MAX($P$34*($B360+IF($R$17="Distrato",$I$38-1,0)),IF(AND($L$37=0,$P$34=0),"",$L$37-1),IF($R$17="Distrato",$E360,0)),MIN(BA$38,$D$19),$P$20))-SUM($P360:AZ360)</f>
        <v>#VALUE!</v>
      </c>
      <c r="BB360" s="447"/>
      <c r="BF360" s="446">
        <f t="shared" ref="BF360:BF423" si="65">IF($E360=0,0,IF(MIN(BF$38,$E360)&lt;MAX($P$34*($B360+$I$38-1),IF(AND($L$37=0,$P$34=0),"",$L$37-1)),0,YEARFRAC(MAX($P$34*($B360+$I$38-1),IF(AND($L$37=0,$P$34=0),"",$L$37-1)),MIN(BF$38,$E360),$P$20)))</f>
        <v>0</v>
      </c>
      <c r="BG360" s="446">
        <f>IF($E360=0,0,IF(MIN(BG$38,$E360)&lt;MAX($P$34*($B360+$I$38-1),IF(AND($L$37=0,$P$34=0),"",$L$37-1)),0,YEARFRAC(MAX($P$34*($B360+$I$38-1),IF(AND($L$37=0,$P$34=0),"",$L$37-1)),MIN(BG$38,$E360),$P$20))-SUM($BF360:BF360))</f>
        <v>0</v>
      </c>
      <c r="BH360" s="446">
        <f>IF($E360=0,0,IF(MIN(BH$38,$E360)&lt;MAX($P$34*($B360+$I$38-1),IF(AND($L$37=0,$P$34=0),"",$L$37-1)),0,YEARFRAC(MAX($P$34*($B360+$I$38-1),IF(AND($L$37=0,$P$34=0),"",$L$37-1)),MIN(BH$38,$E360),$P$20))-SUM($BF360:BG360))</f>
        <v>0</v>
      </c>
      <c r="BI360" s="446">
        <f>IF($E360=0,0,IF(MIN(BI$38,$E360)&lt;MAX($P$34*($B360+$I$38-1),IF(AND($L$37=0,$P$34=0),"",$L$37-1)),0,YEARFRAC(MAX($P$34*($B360+$I$38-1),IF(AND($L$37=0,$P$34=0),"",$L$37-1)),MIN(BI$38,$E360),$P$20))-SUM($BF360:BH360))</f>
        <v>0</v>
      </c>
      <c r="BJ360" s="446">
        <f>IF($E360=0,0,IF(MIN(BJ$38,$E360)&lt;MAX($P$34*($B360+$I$38-1),IF(AND($L$37=0,$P$34=0),"",$L$37-1)),0,YEARFRAC(MAX($P$34*($B360+$I$38-1),IF(AND($L$37=0,$P$34=0),"",$L$37-1)),MIN(BJ$38,$E360),$P$20))-SUM($BF360:BI360))</f>
        <v>0</v>
      </c>
      <c r="BK360" s="446">
        <f>IF($E360=0,0,IF(MIN(BK$38,$E360)&lt;MAX($P$34*($B360+$I$38-1),IF(AND($L$37=0,$P$34=0),"",$L$37-1)),0,YEARFRAC(MAX($P$34*($B360+$I$38-1),IF(AND($L$37=0,$P$34=0),"",$L$37-1)),MIN(BK$38,$E360),$P$20))-SUM($BF360:BJ360))</f>
        <v>0</v>
      </c>
      <c r="BL360" s="446">
        <f>IF($E360=0,0,IF(MIN(BL$38,$E360)&lt;MAX($P$34*($B360+$I$38-1),IF(AND($L$37=0,$P$34=0),"",$L$37-1)),0,YEARFRAC(MAX($P$34*($B360+$I$38-1),IF(AND($L$37=0,$P$34=0),"",$L$37-1)),MIN(BL$38,$E360),$P$20))-SUM($BF360:BK360))</f>
        <v>0</v>
      </c>
      <c r="BM360" s="446">
        <f>IF($E360=0,0,IF(MIN(BM$38,$E360)&lt;MAX($P$34*($B360+$I$38-1),IF(AND($L$37=0,$P$34=0),"",$L$37-1)),0,YEARFRAC(MAX($P$34*($B360+$I$38-1),IF(AND($L$37=0,$P$34=0),"",$L$37-1)),MIN(BM$38,$E360),$P$20))-SUM($BF360:BL360))</f>
        <v>0</v>
      </c>
      <c r="BN360" s="446">
        <f>IF($E360=0,0,IF(MIN(BN$38,$E360)&lt;MAX($P$34*($B360+$I$38-1),IF(AND($L$37=0,$P$34=0),"",$L$37-1)),0,YEARFRAC(MAX($P$34*($B360+$I$38-1),IF(AND($L$37=0,$P$34=0),"",$L$37-1)),MIN(BN$38,$E360),$P$20))-SUM($BF360:BM360))</f>
        <v>0</v>
      </c>
      <c r="BO360" s="446">
        <f>IF($E360=0,0,IF(MIN(BO$38,$E360)&lt;MAX($P$34*($B360+$I$38-1),IF(AND($L$37=0,$P$34=0),"",$L$37-1)),0,YEARFRAC(MAX($P$34*($B360+$I$38-1),IF(AND($L$37=0,$P$34=0),"",$L$37-1)),MIN(BO$38,$E360),$P$20))-SUM($BF360:BN360))</f>
        <v>0</v>
      </c>
      <c r="BP360" s="446">
        <f>IF($E360=0,0,IF(MIN(BP$38,$E360)&lt;MAX($P$34*($B360+$I$38-1),IF(AND($L$37=0,$P$34=0),"",$L$37-1)),0,YEARFRAC(MAX($P$34*($B360+$I$38-1),IF(AND($L$37=0,$P$34=0),"",$L$37-1)),MIN(BP$38,$E360),$P$20))-SUM($BF360:BO360))</f>
        <v>0</v>
      </c>
      <c r="BQ360" s="446">
        <f>IF($E360=0,0,IF(MIN(BQ$38,$E360)&lt;MAX($P$34*($B360+$I$38-1),IF(AND($L$37=0,$P$34=0),"",$L$37-1)),0,YEARFRAC(MAX($P$34*($B360+$I$38-1),IF(AND($L$37=0,$P$34=0),"",$L$37-1)),MIN(BQ$38,$E360),$P$20))-SUM($BF360:BP360))</f>
        <v>0</v>
      </c>
      <c r="BR360" s="446">
        <f>IF($E360=0,0,IF(MIN(BR$38,$E360)&lt;MAX($P$34*($B360+$I$38-1),IF(AND($L$37=0,$P$34=0),"",$L$37-1)),0,YEARFRAC(MAX($P$34*($B360+$I$38-1),IF(AND($L$37=0,$P$34=0),"",$L$37-1)),MIN(BR$38,$E360),$P$20))-SUM($BF360:BQ360))</f>
        <v>0</v>
      </c>
      <c r="BS360" s="446">
        <f>IF($E360=0,0,IF(MIN(BS$38,$E360)&lt;MAX($P$34*($B360+$I$38-1),IF(AND($L$37=0,$P$34=0),"",$L$37-1)),0,YEARFRAC(MAX($P$34*($B360+$I$38-1),IF(AND($L$37=0,$P$34=0),"",$L$37-1)),MIN(BS$38,$E360),$P$20))-SUM($BF360:BR360))</f>
        <v>0</v>
      </c>
      <c r="BT360" s="446">
        <f>IF($E360=0,0,IF(MIN(BT$38,$E360)&lt;MAX($P$34*($B360+$I$38-1),IF(AND($L$37=0,$P$34=0),"",$L$37-1)),0,YEARFRAC(MAX($P$34*($B360+$I$38-1),IF(AND($L$37=0,$P$34=0),"",$L$37-1)),MIN(BT$38,$E360),$P$20))-SUM($BF360:BS360))</f>
        <v>0</v>
      </c>
      <c r="BU360" s="446">
        <f>IF($E360=0,0,IF(MIN(BU$38,$E360)&lt;MAX($P$34*($B360+$I$38-1),IF(AND($L$37=0,$P$34=0),"",$L$37-1)),0,YEARFRAC(MAX($P$34*($B360+$I$38-1),IF(AND($L$37=0,$P$34=0),"",$L$37-1)),MIN(BU$38,$E360),$P$20))-SUM($BF360:BT360))</f>
        <v>0</v>
      </c>
      <c r="BV360" s="446">
        <f>IF($E360=0,0,IF(MIN(BV$38,$E360)&lt;MAX($P$34*($B360+$I$38-1),IF(AND($L$37=0,$P$34=0),"",$L$37-1)),0,YEARFRAC(MAX($P$34*($B360+$I$38-1),IF(AND($L$37=0,$P$34=0),"",$L$37-1)),MIN(BV$38,$E360),$P$20))-SUM($BF360:BU360))</f>
        <v>0</v>
      </c>
      <c r="BW360" s="446">
        <f>IF($E360=0,0,IF(MIN(BW$38,$E360)&lt;MAX($P$34*($B360+$I$38-1),IF(AND($L$37=0,$P$34=0),"",$L$37-1)),0,YEARFRAC(MAX($P$34*($B360+$I$38-1),IF(AND($L$37=0,$P$34=0),"",$L$37-1)),MIN(BW$38,$E360),$P$20))-SUM($BF360:BV360))</f>
        <v>0</v>
      </c>
      <c r="BX360" s="446">
        <f>IF($E360=0,0,IF(MIN(BX$38,$E360)&lt;MAX($P$34*($B360+$I$38-1),IF(AND($L$37=0,$P$34=0),"",$L$37-1)),0,YEARFRAC(MAX($P$34*($B360+$I$38-1),IF(AND($L$37=0,$P$34=0),"",$L$37-1)),MIN(BX$38,$E360),$P$20))-SUM($BF360:BW360))</f>
        <v>0</v>
      </c>
      <c r="BY360" s="446">
        <f>IF($E360=0,0,IF(MIN(BY$38,$E360)&lt;MAX($P$34*($B360+$I$38-1),IF(AND($L$37=0,$P$34=0),"",$L$37-1)),0,YEARFRAC(MAX($P$34*($B360+$I$38-1),IF(AND($L$37=0,$P$34=0),"",$L$37-1)),MIN(BY$38,$E360),$P$20))-SUM($BF360:BX360))</f>
        <v>0</v>
      </c>
      <c r="BZ360" s="446">
        <f>IF($E360=0,0,IF(MIN(BZ$38,$E360)&lt;MAX($P$34*($B360+$I$38-1),IF(AND($L$37=0,$P$34=0),"",$L$37-1)),0,YEARFRAC(MAX($P$34*($B360+$I$38-1),IF(AND($L$37=0,$P$34=0),"",$L$37-1)),MIN(BZ$38,$E360),$P$20))-SUM($BF360:BY360))</f>
        <v>0</v>
      </c>
      <c r="CA360" s="446">
        <f>IF($E360=0,0,IF(MIN(CA$38,$E360)&lt;MAX($P$34*($B360+$I$38-1),IF(AND($L$37=0,$P$34=0),"",$L$37-1)),0,YEARFRAC(MAX($P$34*($B360+$I$38-1),IF(AND($L$37=0,$P$34=0),"",$L$37-1)),MIN(CA$38,$E360),$P$20))-SUM($BF360:BZ360))</f>
        <v>0</v>
      </c>
      <c r="CB360" s="446">
        <f>IF($E360=0,0,IF(MIN(CB$38,$E360)&lt;MAX($P$34*($B360+$I$38-1),IF(AND($L$37=0,$P$34=0),"",$L$37-1)),0,YEARFRAC(MAX($P$34*($B360+$I$38-1),IF(AND($L$37=0,$P$34=0),"",$L$37-1)),MIN(CB$38,$E360),$P$20))-SUM($BF360:CA360))</f>
        <v>0</v>
      </c>
      <c r="CC360" s="446">
        <f>IF($E360=0,0,IF(MIN(CC$38,$E360)&lt;MAX($P$34*($B360+$I$38-1),IF(AND($L$37=0,$P$34=0),"",$L$37-1)),0,YEARFRAC(MAX($P$34*($B360+$I$38-1),IF(AND($L$37=0,$P$34=0),"",$L$37-1)),MIN(CC$38,$E360),$P$20))-SUM($BF360:CB360))</f>
        <v>0</v>
      </c>
      <c r="CD360" s="446">
        <f>IF($E360=0,0,IF(MIN(CD$38,$E360)&lt;MAX($P$34*($B360+$I$38-1),IF(AND($L$37=0,$P$34=0),"",$L$37-1)),0,YEARFRAC(MAX($P$34*($B360+$I$38-1),IF(AND($L$37=0,$P$34=0),"",$L$37-1)),MIN(CD$38,$E360),$P$20))-SUM($BF360:CC360))</f>
        <v>0</v>
      </c>
      <c r="CE360" s="446">
        <f>IF($E360=0,0,IF(MIN(CE$38,$E360)&lt;MAX($P$34*($B360+$I$38-1),IF(AND($L$37=0,$P$34=0),"",$L$37-1)),0,YEARFRAC(MAX($P$34*($B360+$I$38-1),IF(AND($L$37=0,$P$34=0),"",$L$37-1)),MIN(CE$38,$E360),$P$20))-SUM($BF360:CD360))</f>
        <v>0</v>
      </c>
      <c r="CF360" s="446">
        <f>IF($E360=0,0,IF(MIN(CF$38,$E360)&lt;MAX($P$34*($B360+$I$38-1),IF(AND($L$37=0,$P$34=0),"",$L$37-1)),0,YEARFRAC(MAX($P$34*($B360+$I$38-1),IF(AND($L$37=0,$P$34=0),"",$L$37-1)),MIN(CF$38,$E360),$P$20))-SUM($BF360:CE360))</f>
        <v>0</v>
      </c>
      <c r="CG360" s="446">
        <f>IF($E360=0,0,IF(MIN(CG$38,$E360)&lt;MAX($P$34*($B360+$I$38-1),IF(AND($L$37=0,$P$34=0),"",$L$37-1)),0,YEARFRAC(MAX($P$34*($B360+$I$38-1),IF(AND($L$37=0,$P$34=0),"",$L$37-1)),MIN(CG$38,$E360),$P$20))-SUM($BF360:CF360))</f>
        <v>0</v>
      </c>
      <c r="CH360" s="446">
        <f>IF($E360=0,0,IF(MIN(CH$38,$E360)&lt;MAX($P$34*($B360+$I$38-1),IF(AND($L$37=0,$P$34=0),"",$L$37-1)),0,YEARFRAC(MAX($P$34*($B360+$I$38-1),IF(AND($L$37=0,$P$34=0),"",$L$37-1)),MIN(CH$38,$E360),$P$20))-SUM($BF360:CG360))</f>
        <v>0</v>
      </c>
      <c r="CI360" s="446">
        <f>IF($E360=0,0,IF(MIN(CI$38,$E360)&lt;MAX($P$34*($B360+$I$38-1),IF(AND($L$37=0,$P$34=0),"",$L$37-1)),0,YEARFRAC(MAX($P$34*($B360+$I$38-1),IF(AND($L$37=0,$P$34=0),"",$L$37-1)),MIN(CI$38,$E360),$P$20))-SUM($BF360:CH360))</f>
        <v>0</v>
      </c>
      <c r="CJ360" s="446">
        <f>IF($E360=0,0,IF(MIN(CJ$38,$E360)&lt;MAX($P$34*($B360+$I$38-1),IF(AND($L$37=0,$P$34=0),"",$L$37-1)),0,YEARFRAC(MAX($P$34*($B360+$I$38-1),IF(AND($L$37=0,$P$34=0),"",$L$37-1)),MIN(CJ$38,$E360),$P$20))-SUM($BF360:CI360))</f>
        <v>0</v>
      </c>
      <c r="CK360" s="446">
        <f>IF($E360=0,0,IF(MIN(CK$38,$E360)&lt;MAX($P$34*($B360+$I$38-1),IF(AND($L$37=0,$P$34=0),"",$L$37-1)),0,YEARFRAC(MAX($P$34*($B360+$I$38-1),IF(AND($L$37=0,$P$34=0),"",$L$37-1)),MIN(CK$38,$E360),$P$20))-SUM($BF360:CJ360))</f>
        <v>0</v>
      </c>
      <c r="CL360" s="446">
        <f>IF($E360=0,0,IF(MIN(CL$38,$E360)&lt;MAX($P$34*($B360+$I$38-1),IF(AND($L$37=0,$P$34=0),"",$L$37-1)),0,YEARFRAC(MAX($P$34*($B360+$I$38-1),IF(AND($L$37=0,$P$34=0),"",$L$37-1)),MIN(CL$38,$E360),$P$20))-SUM($BF360:CK360))</f>
        <v>0</v>
      </c>
      <c r="CM360" s="446">
        <f>IF($E360=0,0,IF(MIN(CM$38,$E360)&lt;MAX($P$34*($B360+$I$38-1),IF(AND($L$37=0,$P$34=0),"",$L$37-1)),0,YEARFRAC(MAX($P$34*($B360+$I$38-1),IF(AND($L$37=0,$P$34=0),"",$L$37-1)),MIN(CM$38,$E360),$P$20))-SUM($BF360:CL360))</f>
        <v>0</v>
      </c>
      <c r="CN360" s="446">
        <f>IF($E360=0,0,IF(MIN(CN$38,$E360)&lt;MAX($P$34*($B360+$I$38-1),IF(AND($L$37=0,$P$34=0),"",$L$37-1)),0,YEARFRAC(MAX($P$34*($B360+$I$38-1),IF(AND($L$37=0,$P$34=0),"",$L$37-1)),MIN(CN$38,$E360),$P$20))-SUM($BF360:CM360))</f>
        <v>0</v>
      </c>
      <c r="CO360" s="446">
        <f>IF($E360=0,0,IF(MIN(CO$38,$E360)&lt;MAX($P$34*($B360+$I$38-1),IF(AND($L$37=0,$P$34=0),"",$L$37-1)),0,YEARFRAC(MAX($P$34*($B360+$I$38-1),IF(AND($L$37=0,$P$34=0),"",$L$37-1)),MIN(CO$38,$E360),$P$20))-SUM($BF360:CN360))</f>
        <v>0</v>
      </c>
      <c r="CP360" s="446">
        <f>IF($E360=0,0,IF(MIN(CP$38,$E360)&lt;MAX($P$34*($B360+$I$38-1),IF(AND($L$37=0,$P$34=0),"",$L$37-1)),0,YEARFRAC(MAX($P$34*($B360+$I$38-1),IF(AND($L$37=0,$P$34=0),"",$L$37-1)),MIN(CP$38,$E360),$P$20))-SUM($BF360:CO360))</f>
        <v>0</v>
      </c>
      <c r="CQ360" s="446">
        <f>IF($E360=0,0,IF(MIN(CQ$38,$E360)&lt;MAX($P$34*($B360+$I$38-1),IF(AND($L$37=0,$P$34=0),"",$L$37-1)),0,YEARFRAC(MAX($P$34*($B360+$I$38-1),IF(AND($L$37=0,$P$34=0),"",$L$37-1)),MIN(CQ$38,$E360),$P$20))-SUM($BF360:CP360))</f>
        <v>0</v>
      </c>
    </row>
    <row r="361" spans="1:95" s="446" customFormat="1" ht="11.25" hidden="1" customHeight="1" x14ac:dyDescent="0.2">
      <c r="A361" s="152"/>
      <c r="B361" s="153" t="str">
        <f t="shared" si="59"/>
        <v/>
      </c>
      <c r="C361" s="29" t="str">
        <f>IF(B361="","",IF($L$35="SELIC - TRIBUTOS",VLOOKUP(DATE(YEAR($D$19),MONTH($D$19)-1,1),ÍNDICES!$A:$DE,HLOOKUP($BL$25,ÍNDICES!$B$3:$T$4,2)+11)-VLOOKUP(B361,ÍNDICES!$A:$DE,HLOOKUP($BL$25,ÍNDICES!$B$3:$T$4,2)+11)+1%,IF(C$38=$W$26,$J$35,IF(ISERROR(IF(B361&gt;$D$19,1,VLOOKUP(DATE(YEAR(B361),MONTH(B361)+IF($C$35=$S$23,1,0),1),ÍNDICES!$A:$DE,$Z$35+1))),"",IF(B361&gt;$D$19,1,VLOOKUP(DATE(YEAR(B361),MONTH(B361)+IF($C$35=$S$23,1,0),1),ÍNDICES!$A:$DE,$Z$35+1))))))</f>
        <v/>
      </c>
      <c r="D361" s="154" t="str">
        <f>IF(ISERROR(IF(OR($D$38=$Y$27,$B361=""),"",VLOOKUP(B361,ÍNDICES!A:DE,AF$35+1))),"",IF(OR($D$38=$Y$27,$B361=""),"",VLOOKUP(B361,ÍNDICES!A:DE,AF$35+1)))</f>
        <v/>
      </c>
      <c r="E361" s="153"/>
      <c r="F361" s="29" t="str">
        <f>IF(E361="","",IF($L$35="SELIC - TRIBUTOS",VLOOKUP(DATE(YEAR($D$19),MONTH($D$19)-1,1),ÍNDICES!$A:$DE,HLOOKUP($BL$25,ÍNDICES!$B$3:$T$4,2)+11)-VLOOKUP(E361,ÍNDICES!$A:$DE,HLOOKUP($BL$25,ÍNDICES!$B$3:$T$4,2)+11)+1%,IF(F$38=$W$26,$J$35,IF(ISERROR(IF(E361&gt;$D$19,1,VLOOKUP(DATE(YEAR(E361),MONTH(E361)+IF($C$35=$S$23,1,0),1),ÍNDICES!$A:$DE,$Z$35+1))),"",IF(E361&gt;$D$19,1,VLOOKUP(DATE(YEAR(E361),MONTH(E361)+IF($C$35=$S$23,1,0),1),ÍNDICES!$A:$DE,$Z$35+1))))))</f>
        <v/>
      </c>
      <c r="G361" s="155"/>
      <c r="H361" s="156" t="str">
        <f t="shared" ref="H361:H424" si="66">IF(E361="",IF(D361="","",D361),IF(ISERROR(D361/(IF(E361&lt;B361,1,C361/F361))-G361),-G361,D361/(IF(E361&lt;B361,1,C361/F361))-G361))</f>
        <v/>
      </c>
      <c r="I361" s="29" t="str">
        <f t="shared" si="60"/>
        <v/>
      </c>
      <c r="J361" s="5">
        <f t="shared" si="61"/>
        <v>0</v>
      </c>
      <c r="K361" s="20">
        <f t="shared" ca="1" si="62"/>
        <v>0</v>
      </c>
      <c r="L361" s="5">
        <f t="shared" ca="1" si="63"/>
        <v>0</v>
      </c>
      <c r="M361" s="64">
        <f t="shared" ref="M361:M424" si="67">IFERROR(SUM(P361:BA361),0)</f>
        <v>0</v>
      </c>
      <c r="N361" s="61">
        <f t="shared" ref="N361:N424" ca="1" si="68">IFERROR($N$38*(K361+IF(OR(L$35="SELIC - TRIBUTOS",$N$37="sobre principal"),0,J361+L361)),0)</f>
        <v>0</v>
      </c>
      <c r="O361" s="5">
        <f t="shared" ref="O361:O424" ca="1" si="69">IF(ISERROR((K361+J361+L361+N361)*O$38),"",(K361+J361+L361+N361)*O$38)</f>
        <v>0</v>
      </c>
      <c r="P361" s="446" t="e">
        <f t="shared" si="64"/>
        <v>#VALUE!</v>
      </c>
      <c r="Q361" s="446" t="e">
        <f>IF(OR($B361="",MIN(Q$38,$D$19)&lt;MAX($P$34*($B361+IF($R$17="Distrato",$I$38-1,0)),IF(AND($L$37=0,$P$34=0),"",$L$37-1),IF($R$17="Distrato",$E361,0))),0,YEARFRAC(MAX($P$34*($B361+IF($R$17="Distrato",$I$38-1,0)),IF(AND($L$37=0,$P$34=0),"",$L$37-1),IF($R$17="Distrato",$E361,0)),MIN(Q$38,$D$19),$P$20))-SUM($P361:P361)</f>
        <v>#VALUE!</v>
      </c>
      <c r="R361" s="446" t="e">
        <f>IF(OR($B361="",MIN(R$38,$D$19)&lt;MAX($P$34*($B361+IF($R$17="Distrato",$I$38-1,0)),IF(AND($L$37=0,$P$34=0),"",$L$37-1),IF($R$17="Distrato",$E361,0))),0,YEARFRAC(MAX($P$34*($B361+IF($R$17="Distrato",$I$38-1,0)),IF(AND($L$37=0,$P$34=0),"",$L$37-1),IF($R$17="Distrato",$E361,0)),MIN(R$38,$D$19),$P$20))-SUM($P361:Q361)</f>
        <v>#VALUE!</v>
      </c>
      <c r="S361" s="446" t="e">
        <f>IF(OR($B361="",MIN(S$38,$D$19)&lt;MAX($P$34*($B361+IF($R$17="Distrato",$I$38-1,0)),IF(AND($L$37=0,$P$34=0),"",$L$37-1),IF($R$17="Distrato",$E361,0))),0,YEARFRAC(MAX($P$34*($B361+IF($R$17="Distrato",$I$38-1,0)),IF(AND($L$37=0,$P$34=0),"",$L$37-1),IF($R$17="Distrato",$E361,0)),MIN(S$38,$D$19),$P$20))-SUM($P361:R361)</f>
        <v>#VALUE!</v>
      </c>
      <c r="T361" s="446" t="e">
        <f>IF(OR($B361="",MIN(T$38,$D$19)&lt;MAX($P$34*($B361+IF($R$17="Distrato",$I$38-1,0)),IF(AND($L$37=0,$P$34=0),"",$L$37-1),IF($R$17="Distrato",$E361,0))),0,YEARFRAC(MAX($P$34*($B361+IF($R$17="Distrato",$I$38-1,0)),IF(AND($L$37=0,$P$34=0),"",$L$37-1),IF($R$17="Distrato",$E361,0)),MIN(T$38,$D$19),$P$20))-SUM($P361:S361)</f>
        <v>#VALUE!</v>
      </c>
      <c r="U361" s="446" t="e">
        <f>IF(OR($B361="",MIN(U$38,$D$19)&lt;MAX($P$34*($B361+IF($R$17="Distrato",$I$38-1,0)),IF(AND($L$37=0,$P$34=0),"",$L$37-1),IF($R$17="Distrato",$E361,0))),0,YEARFRAC(MAX($P$34*($B361+IF($R$17="Distrato",$I$38-1,0)),IF(AND($L$37=0,$P$34=0),"",$L$37-1),IF($R$17="Distrato",$E361,0)),MIN(U$38,$D$19),$P$20))-SUM($P361:T361)</f>
        <v>#VALUE!</v>
      </c>
      <c r="V361" s="446" t="e">
        <f>IF(OR($B361="",MIN(V$38,$D$19)&lt;MAX($P$34*($B361+IF($R$17="Distrato",$I$38-1,0)),IF(AND($L$37=0,$P$34=0),"",$L$37-1),IF($R$17="Distrato",$E361,0))),0,YEARFRAC(MAX($P$34*($B361+IF($R$17="Distrato",$I$38-1,0)),IF(AND($L$37=0,$P$34=0),"",$L$37-1),IF($R$17="Distrato",$E361,0)),MIN(V$38,$D$19),$P$20))-SUM($P361:U361)</f>
        <v>#VALUE!</v>
      </c>
      <c r="W361" s="446" t="e">
        <f>IF(OR($B361="",MIN(W$38,$D$19)&lt;MAX($P$34*($B361+IF($R$17="Distrato",$I$38-1,0)),IF(AND($L$37=0,$P$34=0),"",$L$37-1),IF($R$17="Distrato",$E361,0))),0,YEARFRAC(MAX($P$34*($B361+IF($R$17="Distrato",$I$38-1,0)),IF(AND($L$37=0,$P$34=0),"",$L$37-1),IF($R$17="Distrato",$E361,0)),MIN(W$38,$D$19),$P$20))-SUM($P361:V361)</f>
        <v>#VALUE!</v>
      </c>
      <c r="X361" s="446" t="e">
        <f>IF(OR($B361="",MIN(X$38,$D$19)&lt;MAX($P$34*($B361+IF($R$17="Distrato",$I$38-1,0)),IF(AND($L$37=0,$P$34=0),"",$L$37-1),IF($R$17="Distrato",$E361,0))),0,YEARFRAC(MAX($P$34*($B361+IF($R$17="Distrato",$I$38-1,0)),IF(AND($L$37=0,$P$34=0),"",$L$37-1),IF($R$17="Distrato",$E361,0)),MIN(X$38,$D$19),$P$20))-SUM($P361:W361)</f>
        <v>#VALUE!</v>
      </c>
      <c r="Y361" s="446" t="e">
        <f>IF(OR($B361="",MIN(Y$38,$D$19)&lt;MAX($P$34*($B361+IF($R$17="Distrato",$I$38-1,0)),IF(AND($L$37=0,$P$34=0),"",$L$37-1),IF($R$17="Distrato",$E361,0))),0,YEARFRAC(MAX($P$34*($B361+IF($R$17="Distrato",$I$38-1,0)),IF(AND($L$37=0,$P$34=0),"",$L$37-1),IF($R$17="Distrato",$E361,0)),MIN(Y$38,$D$19),$P$20))-SUM($P361:X361)</f>
        <v>#VALUE!</v>
      </c>
      <c r="Z361" s="446" t="e">
        <f>IF(OR($B361="",MIN(Z$38,$D$19)&lt;MAX($P$34*($B361+IF($R$17="Distrato",$I$38-1,0)),IF(AND($L$37=0,$P$34=0),"",$L$37-1),IF($R$17="Distrato",$E361,0))),0,YEARFRAC(MAX($P$34*($B361+IF($R$17="Distrato",$I$38-1,0)),IF(AND($L$37=0,$P$34=0),"",$L$37-1),IF($R$17="Distrato",$E361,0)),MIN(Z$38,$D$19),$P$20))-SUM($P361:Y361)</f>
        <v>#VALUE!</v>
      </c>
      <c r="AA361" s="446" t="e">
        <f>IF(OR($B361="",MIN(AA$38,$D$19)&lt;MAX($P$34*($B361+IF($R$17="Distrato",$I$38-1,0)),IF(AND($L$37=0,$P$34=0),"",$L$37-1),IF($R$17="Distrato",$E361,0))),0,YEARFRAC(MAX($P$34*($B361+IF($R$17="Distrato",$I$38-1,0)),IF(AND($L$37=0,$P$34=0),"",$L$37-1),IF($R$17="Distrato",$E361,0)),MIN(AA$38,$D$19),$P$20))-SUM($P361:Z361)</f>
        <v>#VALUE!</v>
      </c>
      <c r="AB361" s="446" t="e">
        <f>IF(OR($B361="",MIN(AB$38,$D$19)&lt;MAX($P$34*($B361+IF($R$17="Distrato",$I$38-1,0)),IF(AND($L$37=0,$P$34=0),"",$L$37-1),IF($R$17="Distrato",$E361,0))),0,YEARFRAC(MAX($P$34*($B361+IF($R$17="Distrato",$I$38-1,0)),IF(AND($L$37=0,$P$34=0),"",$L$37-1),IF($R$17="Distrato",$E361,0)),MIN(AB$38,$D$19),$P$20))-SUM($P361:AA361)</f>
        <v>#VALUE!</v>
      </c>
      <c r="AC361" s="446" t="e">
        <f>IF(OR($B361="",MIN(AC$38,$D$19)&lt;MAX($P$34*($B361+IF($R$17="Distrato",$I$38-1,0)),IF(AND($L$37=0,$P$34=0),"",$L$37-1),IF($R$17="Distrato",$E361,0))),0,YEARFRAC(MAX($P$34*($B361+IF($R$17="Distrato",$I$38-1,0)),IF(AND($L$37=0,$P$34=0),"",$L$37-1),IF($R$17="Distrato",$E361,0)),MIN(AC$38,$D$19),$P$20))-SUM($P361:AB361)</f>
        <v>#VALUE!</v>
      </c>
      <c r="AD361" s="446" t="e">
        <f>IF(OR($B361="",MIN(AD$38,$D$19)&lt;MAX($P$34*($B361+IF($R$17="Distrato",$I$38-1,0)),IF(AND($L$37=0,$P$34=0),"",$L$37-1),IF($R$17="Distrato",$E361,0))),0,YEARFRAC(MAX($P$34*($B361+IF($R$17="Distrato",$I$38-1,0)),IF(AND($L$37=0,$P$34=0),"",$L$37-1),IF($R$17="Distrato",$E361,0)),MIN(AD$38,$D$19),$P$20))-SUM($P361:AC361)</f>
        <v>#VALUE!</v>
      </c>
      <c r="AE361" s="446" t="e">
        <f>IF(OR($B361="",MIN(AE$38,$D$19)&lt;MAX($P$34*($B361+IF($R$17="Distrato",$I$38-1,0)),IF(AND($L$37=0,$P$34=0),"",$L$37-1),IF($R$17="Distrato",$E361,0))),0,YEARFRAC(MAX($P$34*($B361+IF($R$17="Distrato",$I$38-1,0)),IF(AND($L$37=0,$P$34=0),"",$L$37-1),IF($R$17="Distrato",$E361,0)),MIN(AE$38,$D$19),$P$20))-SUM($P361:AD361)</f>
        <v>#VALUE!</v>
      </c>
      <c r="AF361" s="446" t="e">
        <f>IF(OR($B361="",MIN(AF$38,$D$19)&lt;MAX($P$34*($B361+IF($R$17="Distrato",$I$38-1,0)),IF(AND($L$37=0,$P$34=0),"",$L$37-1),IF($R$17="Distrato",$E361,0))),0,YEARFRAC(MAX($P$34*($B361+IF($R$17="Distrato",$I$38-1,0)),IF(AND($L$37=0,$P$34=0),"",$L$37-1),IF($R$17="Distrato",$E361,0)),MIN(AF$38,$D$19),$P$20))-SUM($P361:AE361)</f>
        <v>#VALUE!</v>
      </c>
      <c r="AG361" s="446" t="e">
        <f>IF(OR($B361="",MIN(AG$38,$D$19)&lt;MAX($P$34*($B361+IF($R$17="Distrato",$I$38-1,0)),IF(AND($L$37=0,$P$34=0),"",$L$37-1),IF($R$17="Distrato",$E361,0))),0,YEARFRAC(MAX($P$34*($B361+IF($R$17="Distrato",$I$38-1,0)),IF(AND($L$37=0,$P$34=0),"",$L$37-1),IF($R$17="Distrato",$E361,0)),MIN(AG$38,$D$19),$P$20))-SUM($P361:AF361)</f>
        <v>#VALUE!</v>
      </c>
      <c r="AH361" s="446" t="e">
        <f>IF(OR($B361="",MIN(AH$38,$D$19)&lt;MAX($P$34*($B361+IF($R$17="Distrato",$I$38-1,0)),IF(AND($L$37=0,$P$34=0),"",$L$37-1),IF($R$17="Distrato",$E361,0))),0,YEARFRAC(MAX($P$34*($B361+IF($R$17="Distrato",$I$38-1,0)),IF(AND($L$37=0,$P$34=0),"",$L$37-1),IF($R$17="Distrato",$E361,0)),MIN(AH$38,$D$19),$P$20))-SUM($P361:AG361)</f>
        <v>#VALUE!</v>
      </c>
      <c r="AI361" s="446" t="e">
        <f>IF(OR($B361="",MIN(AI$38,$D$19)&lt;MAX($P$34*($B361+IF($R$17="Distrato",$I$38-1,0)),IF(AND($L$37=0,$P$34=0),"",$L$37-1),IF($R$17="Distrato",$E361,0))),0,YEARFRAC(MAX($P$34*($B361+IF($R$17="Distrato",$I$38-1,0)),IF(AND($L$37=0,$P$34=0),"",$L$37-1),IF($R$17="Distrato",$E361,0)),MIN(AI$38,$D$19),$P$20))-SUM($P361:AH361)</f>
        <v>#VALUE!</v>
      </c>
      <c r="AJ361" s="446" t="e">
        <f>IF(OR($B361="",MIN(AJ$38,$D$19)&lt;MAX($P$34*($B361+IF($R$17="Distrato",$I$38-1,0)),IF(AND($L$37=0,$P$34=0),"",$L$37-1),IF($R$17="Distrato",$E361,0))),0,YEARFRAC(MAX($P$34*($B361+IF($R$17="Distrato",$I$38-1,0)),IF(AND($L$37=0,$P$34=0),"",$L$37-1),IF($R$17="Distrato",$E361,0)),MIN(AJ$38,$D$19),$P$20))-SUM($P361:AI361)</f>
        <v>#VALUE!</v>
      </c>
      <c r="AK361" s="446" t="e">
        <f>IF(OR($B361="",MIN(AK$38,$D$19)&lt;MAX($P$34*($B361+IF($R$17="Distrato",$I$38-1,0)),IF(AND($L$37=0,$P$34=0),"",$L$37-1),IF($R$17="Distrato",$E361,0))),0,YEARFRAC(MAX($P$34*($B361+IF($R$17="Distrato",$I$38-1,0)),IF(AND($L$37=0,$P$34=0),"",$L$37-1),IF($R$17="Distrato",$E361,0)),MIN(AK$38,$D$19),$P$20))-SUM($P361:AJ361)</f>
        <v>#VALUE!</v>
      </c>
      <c r="AL361" s="446" t="e">
        <f>IF(OR($B361="",MIN(AL$38,$D$19)&lt;MAX($P$34*($B361+IF($R$17="Distrato",$I$38-1,0)),IF(AND($L$37=0,$P$34=0),"",$L$37-1),IF($R$17="Distrato",$E361,0))),0,YEARFRAC(MAX($P$34*($B361+IF($R$17="Distrato",$I$38-1,0)),IF(AND($L$37=0,$P$34=0),"",$L$37-1),IF($R$17="Distrato",$E361,0)),MIN(AL$38,$D$19),$P$20))-SUM($P361:AK361)</f>
        <v>#VALUE!</v>
      </c>
      <c r="AM361" s="446" t="e">
        <f>IF(OR($B361="",MIN(AM$38,$D$19)&lt;MAX($P$34*($B361+IF($R$17="Distrato",$I$38-1,0)),IF(AND($L$37=0,$P$34=0),"",$L$37-1),IF($R$17="Distrato",$E361,0))),0,YEARFRAC(MAX($P$34*($B361+IF($R$17="Distrato",$I$38-1,0)),IF(AND($L$37=0,$P$34=0),"",$L$37-1),IF($R$17="Distrato",$E361,0)),MIN(AM$38,$D$19),$P$20))-SUM($P361:AL361)</f>
        <v>#VALUE!</v>
      </c>
      <c r="AN361" s="446" t="e">
        <f>IF(OR($B361="",MIN(AN$38,$D$19)&lt;MAX($P$34*($B361+IF($R$17="Distrato",$I$38-1,0)),IF(AND($L$37=0,$P$34=0),"",$L$37-1),IF($R$17="Distrato",$E361,0))),0,YEARFRAC(MAX($P$34*($B361+IF($R$17="Distrato",$I$38-1,0)),IF(AND($L$37=0,$P$34=0),"",$L$37-1),IF($R$17="Distrato",$E361,0)),MIN(AN$38,$D$19),$P$20))-SUM($P361:AM361)</f>
        <v>#VALUE!</v>
      </c>
      <c r="AO361" s="446" t="e">
        <f>IF(OR($B361="",MIN(AO$38,$D$19)&lt;MAX($P$34*($B361+IF($R$17="Distrato",$I$38-1,0)),IF(AND($L$37=0,$P$34=0),"",$L$37-1),IF($R$17="Distrato",$E361,0))),0,YEARFRAC(MAX($P$34*($B361+IF($R$17="Distrato",$I$38-1,0)),IF(AND($L$37=0,$P$34=0),"",$L$37-1),IF($R$17="Distrato",$E361,0)),MIN(AO$38,$D$19),$P$20))-SUM($P361:AN361)</f>
        <v>#VALUE!</v>
      </c>
      <c r="AP361" s="446" t="e">
        <f>IF(OR($B361="",MIN(AP$38,$D$19)&lt;MAX($P$34*($B361+IF($R$17="Distrato",$I$38-1,0)),IF(AND($L$37=0,$P$34=0),"",$L$37-1),IF($R$17="Distrato",$E361,0))),0,YEARFRAC(MAX($P$34*($B361+IF($R$17="Distrato",$I$38-1,0)),IF(AND($L$37=0,$P$34=0),"",$L$37-1),IF($R$17="Distrato",$E361,0)),MIN(AP$38,$D$19),$P$20))-SUM($P361:AO361)</f>
        <v>#VALUE!</v>
      </c>
      <c r="AQ361" s="446" t="e">
        <f>IF(OR($B361="",MIN(AQ$38,$D$19)&lt;MAX($P$34*($B361+IF($R$17="Distrato",$I$38-1,0)),IF(AND($L$37=0,$P$34=0),"",$L$37-1),IF($R$17="Distrato",$E361,0))),0,YEARFRAC(MAX($P$34*($B361+IF($R$17="Distrato",$I$38-1,0)),IF(AND($L$37=0,$P$34=0),"",$L$37-1),IF($R$17="Distrato",$E361,0)),MIN(AQ$38,$D$19),$P$20))-SUM($P361:AP361)</f>
        <v>#VALUE!</v>
      </c>
      <c r="AR361" s="446" t="e">
        <f>IF(OR($B361="",MIN(AR$38,$D$19)&lt;MAX($P$34*($B361+IF($R$17="Distrato",$I$38-1,0)),IF(AND($L$37=0,$P$34=0),"",$L$37-1),IF($R$17="Distrato",$E361,0))),0,YEARFRAC(MAX($P$34*($B361+IF($R$17="Distrato",$I$38-1,0)),IF(AND($L$37=0,$P$34=0),"",$L$37-1),IF($R$17="Distrato",$E361,0)),MIN(AR$38,$D$19),$P$20))-SUM($P361:AQ361)</f>
        <v>#VALUE!</v>
      </c>
      <c r="AS361" s="446" t="e">
        <f>IF(OR($B361="",MIN(AS$38,$D$19)&lt;MAX($P$34*($B361+IF($R$17="Distrato",$I$38-1,0)),IF(AND($L$37=0,$P$34=0),"",$L$37-1),IF($R$17="Distrato",$E361,0))),0,YEARFRAC(MAX($P$34*($B361+IF($R$17="Distrato",$I$38-1,0)),IF(AND($L$37=0,$P$34=0),"",$L$37-1),IF($R$17="Distrato",$E361,0)),MIN(AS$38,$D$19),$P$20))-SUM($P361:AR361)</f>
        <v>#VALUE!</v>
      </c>
      <c r="AT361" s="446" t="e">
        <f>IF(OR($B361="",MIN(AT$38,$D$19)&lt;MAX($P$34*($B361+IF($R$17="Distrato",$I$38-1,0)),IF(AND($L$37=0,$P$34=0),"",$L$37-1),IF($R$17="Distrato",$E361,0))),0,YEARFRAC(MAX($P$34*($B361+IF($R$17="Distrato",$I$38-1,0)),IF(AND($L$37=0,$P$34=0),"",$L$37-1),IF($R$17="Distrato",$E361,0)),MIN(AT$38,$D$19),$P$20))-SUM($P361:AS361)</f>
        <v>#VALUE!</v>
      </c>
      <c r="AU361" s="446" t="e">
        <f>IF(OR($B361="",MIN(AU$38,$D$19)&lt;MAX($P$34*($B361+IF($R$17="Distrato",$I$38-1,0)),IF(AND($L$37=0,$P$34=0),"",$L$37-1),IF($R$17="Distrato",$E361,0))),0,YEARFRAC(MAX($P$34*($B361+IF($R$17="Distrato",$I$38-1,0)),IF(AND($L$37=0,$P$34=0),"",$L$37-1),IF($R$17="Distrato",$E361,0)),MIN(AU$38,$D$19),$P$20))-SUM($P361:AT361)</f>
        <v>#VALUE!</v>
      </c>
      <c r="AV361" s="446" t="e">
        <f>IF(OR($B361="",MIN(AV$38,$D$19)&lt;MAX($P$34*($B361+IF($R$17="Distrato",$I$38-1,0)),IF(AND($L$37=0,$P$34=0),"",$L$37-1),IF($R$17="Distrato",$E361,0))),0,YEARFRAC(MAX($P$34*($B361+IF($R$17="Distrato",$I$38-1,0)),IF(AND($L$37=0,$P$34=0),"",$L$37-1),IF($R$17="Distrato",$E361,0)),MIN(AV$38,$D$19),$P$20))-SUM($P361:AU361)</f>
        <v>#VALUE!</v>
      </c>
      <c r="AW361" s="446" t="e">
        <f>IF(OR($B361="",MIN(AW$38,$D$19)&lt;MAX($P$34*($B361+IF($R$17="Distrato",$I$38-1,0)),IF(AND($L$37=0,$P$34=0),"",$L$37-1),IF($R$17="Distrato",$E361,0))),0,YEARFRAC(MAX($P$34*($B361+IF($R$17="Distrato",$I$38-1,0)),IF(AND($L$37=0,$P$34=0),"",$L$37-1),IF($R$17="Distrato",$E361,0)),MIN(AW$38,$D$19),$P$20))-SUM($P361:AV361)</f>
        <v>#VALUE!</v>
      </c>
      <c r="AX361" s="446" t="e">
        <f>IF(OR($B361="",MIN(AX$38,$D$19)&lt;MAX($P$34*($B361+IF($R$17="Distrato",$I$38-1,0)),IF(AND($L$37=0,$P$34=0),"",$L$37-1),IF($R$17="Distrato",$E361,0))),0,YEARFRAC(MAX($P$34*($B361+IF($R$17="Distrato",$I$38-1,0)),IF(AND($L$37=0,$P$34=0),"",$L$37-1),IF($R$17="Distrato",$E361,0)),MIN(AX$38,$D$19),$P$20))-SUM($P361:AW361)</f>
        <v>#VALUE!</v>
      </c>
      <c r="AY361" s="446" t="e">
        <f>IF(OR($B361="",MIN(AY$38,$D$19)&lt;MAX($P$34*($B361+IF($R$17="Distrato",$I$38-1,0)),IF(AND($L$37=0,$P$34=0),"",$L$37-1),IF($R$17="Distrato",$E361,0))),0,YEARFRAC(MAX($P$34*($B361+IF($R$17="Distrato",$I$38-1,0)),IF(AND($L$37=0,$P$34=0),"",$L$37-1),IF($R$17="Distrato",$E361,0)),MIN(AY$38,$D$19),$P$20))-SUM($P361:AX361)</f>
        <v>#VALUE!</v>
      </c>
      <c r="AZ361" s="446" t="e">
        <f>IF(OR($B361="",MIN(AZ$38,$D$19)&lt;MAX($P$34*($B361+IF($R$17="Distrato",$I$38-1,0)),IF(AND($L$37=0,$P$34=0),"",$L$37-1),IF($R$17="Distrato",$E361,0))),0,YEARFRAC(MAX($P$34*($B361+IF($R$17="Distrato",$I$38-1,0)),IF(AND($L$37=0,$P$34=0),"",$L$37-1),IF($R$17="Distrato",$E361,0)),MIN(AZ$38,$D$19),$P$20))-SUM($P361:AY361)</f>
        <v>#VALUE!</v>
      </c>
      <c r="BA361" s="446" t="e">
        <f>IF(OR($B361="",MIN(BA$38,$D$19)&lt;MAX($P$34*($B361+IF($R$17="Distrato",$I$38-1,0)),IF(AND($L$37=0,$P$34=0),"",$L$37-1),IF($R$17="Distrato",$E361,0))),0,YEARFRAC(MAX($P$34*($B361+IF($R$17="Distrato",$I$38-1,0)),IF(AND($L$37=0,$P$34=0),"",$L$37-1),IF($R$17="Distrato",$E361,0)),MIN(BA$38,$D$19),$P$20))-SUM($P361:AZ361)</f>
        <v>#VALUE!</v>
      </c>
      <c r="BB361" s="447"/>
      <c r="BF361" s="446">
        <f t="shared" si="65"/>
        <v>0</v>
      </c>
      <c r="BG361" s="446">
        <f>IF($E361=0,0,IF(MIN(BG$38,$E361)&lt;MAX($P$34*($B361+$I$38-1),IF(AND($L$37=0,$P$34=0),"",$L$37-1)),0,YEARFRAC(MAX($P$34*($B361+$I$38-1),IF(AND($L$37=0,$P$34=0),"",$L$37-1)),MIN(BG$38,$E361),$P$20))-SUM($BF361:BF361))</f>
        <v>0</v>
      </c>
      <c r="BH361" s="446">
        <f>IF($E361=0,0,IF(MIN(BH$38,$E361)&lt;MAX($P$34*($B361+$I$38-1),IF(AND($L$37=0,$P$34=0),"",$L$37-1)),0,YEARFRAC(MAX($P$34*($B361+$I$38-1),IF(AND($L$37=0,$P$34=0),"",$L$37-1)),MIN(BH$38,$E361),$P$20))-SUM($BF361:BG361))</f>
        <v>0</v>
      </c>
      <c r="BI361" s="446">
        <f>IF($E361=0,0,IF(MIN(BI$38,$E361)&lt;MAX($P$34*($B361+$I$38-1),IF(AND($L$37=0,$P$34=0),"",$L$37-1)),0,YEARFRAC(MAX($P$34*($B361+$I$38-1),IF(AND($L$37=0,$P$34=0),"",$L$37-1)),MIN(BI$38,$E361),$P$20))-SUM($BF361:BH361))</f>
        <v>0</v>
      </c>
      <c r="BJ361" s="446">
        <f>IF($E361=0,0,IF(MIN(BJ$38,$E361)&lt;MAX($P$34*($B361+$I$38-1),IF(AND($L$37=0,$P$34=0),"",$L$37-1)),0,YEARFRAC(MAX($P$34*($B361+$I$38-1),IF(AND($L$37=0,$P$34=0),"",$L$37-1)),MIN(BJ$38,$E361),$P$20))-SUM($BF361:BI361))</f>
        <v>0</v>
      </c>
      <c r="BK361" s="446">
        <f>IF($E361=0,0,IF(MIN(BK$38,$E361)&lt;MAX($P$34*($B361+$I$38-1),IF(AND($L$37=0,$P$34=0),"",$L$37-1)),0,YEARFRAC(MAX($P$34*($B361+$I$38-1),IF(AND($L$37=0,$P$34=0),"",$L$37-1)),MIN(BK$38,$E361),$P$20))-SUM($BF361:BJ361))</f>
        <v>0</v>
      </c>
      <c r="BL361" s="446">
        <f>IF($E361=0,0,IF(MIN(BL$38,$E361)&lt;MAX($P$34*($B361+$I$38-1),IF(AND($L$37=0,$P$34=0),"",$L$37-1)),0,YEARFRAC(MAX($P$34*($B361+$I$38-1),IF(AND($L$37=0,$P$34=0),"",$L$37-1)),MIN(BL$38,$E361),$P$20))-SUM($BF361:BK361))</f>
        <v>0</v>
      </c>
      <c r="BM361" s="446">
        <f>IF($E361=0,0,IF(MIN(BM$38,$E361)&lt;MAX($P$34*($B361+$I$38-1),IF(AND($L$37=0,$P$34=0),"",$L$37-1)),0,YEARFRAC(MAX($P$34*($B361+$I$38-1),IF(AND($L$37=0,$P$34=0),"",$L$37-1)),MIN(BM$38,$E361),$P$20))-SUM($BF361:BL361))</f>
        <v>0</v>
      </c>
      <c r="BN361" s="446">
        <f>IF($E361=0,0,IF(MIN(BN$38,$E361)&lt;MAX($P$34*($B361+$I$38-1),IF(AND($L$37=0,$P$34=0),"",$L$37-1)),0,YEARFRAC(MAX($P$34*($B361+$I$38-1),IF(AND($L$37=0,$P$34=0),"",$L$37-1)),MIN(BN$38,$E361),$P$20))-SUM($BF361:BM361))</f>
        <v>0</v>
      </c>
      <c r="BO361" s="446">
        <f>IF($E361=0,0,IF(MIN(BO$38,$E361)&lt;MAX($P$34*($B361+$I$38-1),IF(AND($L$37=0,$P$34=0),"",$L$37-1)),0,YEARFRAC(MAX($P$34*($B361+$I$38-1),IF(AND($L$37=0,$P$34=0),"",$L$37-1)),MIN(BO$38,$E361),$P$20))-SUM($BF361:BN361))</f>
        <v>0</v>
      </c>
      <c r="BP361" s="446">
        <f>IF($E361=0,0,IF(MIN(BP$38,$E361)&lt;MAX($P$34*($B361+$I$38-1),IF(AND($L$37=0,$P$34=0),"",$L$37-1)),0,YEARFRAC(MAX($P$34*($B361+$I$38-1),IF(AND($L$37=0,$P$34=0),"",$L$37-1)),MIN(BP$38,$E361),$P$20))-SUM($BF361:BO361))</f>
        <v>0</v>
      </c>
      <c r="BQ361" s="446">
        <f>IF($E361=0,0,IF(MIN(BQ$38,$E361)&lt;MAX($P$34*($B361+$I$38-1),IF(AND($L$37=0,$P$34=0),"",$L$37-1)),0,YEARFRAC(MAX($P$34*($B361+$I$38-1),IF(AND($L$37=0,$P$34=0),"",$L$37-1)),MIN(BQ$38,$E361),$P$20))-SUM($BF361:BP361))</f>
        <v>0</v>
      </c>
      <c r="BR361" s="446">
        <f>IF($E361=0,0,IF(MIN(BR$38,$E361)&lt;MAX($P$34*($B361+$I$38-1),IF(AND($L$37=0,$P$34=0),"",$L$37-1)),0,YEARFRAC(MAX($P$34*($B361+$I$38-1),IF(AND($L$37=0,$P$34=0),"",$L$37-1)),MIN(BR$38,$E361),$P$20))-SUM($BF361:BQ361))</f>
        <v>0</v>
      </c>
      <c r="BS361" s="446">
        <f>IF($E361=0,0,IF(MIN(BS$38,$E361)&lt;MAX($P$34*($B361+$I$38-1),IF(AND($L$37=0,$P$34=0),"",$L$37-1)),0,YEARFRAC(MAX($P$34*($B361+$I$38-1),IF(AND($L$37=0,$P$34=0),"",$L$37-1)),MIN(BS$38,$E361),$P$20))-SUM($BF361:BR361))</f>
        <v>0</v>
      </c>
      <c r="BT361" s="446">
        <f>IF($E361=0,0,IF(MIN(BT$38,$E361)&lt;MAX($P$34*($B361+$I$38-1),IF(AND($L$37=0,$P$34=0),"",$L$37-1)),0,YEARFRAC(MAX($P$34*($B361+$I$38-1),IF(AND($L$37=0,$P$34=0),"",$L$37-1)),MIN(BT$38,$E361),$P$20))-SUM($BF361:BS361))</f>
        <v>0</v>
      </c>
      <c r="BU361" s="446">
        <f>IF($E361=0,0,IF(MIN(BU$38,$E361)&lt;MAX($P$34*($B361+$I$38-1),IF(AND($L$37=0,$P$34=0),"",$L$37-1)),0,YEARFRAC(MAX($P$34*($B361+$I$38-1),IF(AND($L$37=0,$P$34=0),"",$L$37-1)),MIN(BU$38,$E361),$P$20))-SUM($BF361:BT361))</f>
        <v>0</v>
      </c>
      <c r="BV361" s="446">
        <f>IF($E361=0,0,IF(MIN(BV$38,$E361)&lt;MAX($P$34*($B361+$I$38-1),IF(AND($L$37=0,$P$34=0),"",$L$37-1)),0,YEARFRAC(MAX($P$34*($B361+$I$38-1),IF(AND($L$37=0,$P$34=0),"",$L$37-1)),MIN(BV$38,$E361),$P$20))-SUM($BF361:BU361))</f>
        <v>0</v>
      </c>
      <c r="BW361" s="446">
        <f>IF($E361=0,0,IF(MIN(BW$38,$E361)&lt;MAX($P$34*($B361+$I$38-1),IF(AND($L$37=0,$P$34=0),"",$L$37-1)),0,YEARFRAC(MAX($P$34*($B361+$I$38-1),IF(AND($L$37=0,$P$34=0),"",$L$37-1)),MIN(BW$38,$E361),$P$20))-SUM($BF361:BV361))</f>
        <v>0</v>
      </c>
      <c r="BX361" s="446">
        <f>IF($E361=0,0,IF(MIN(BX$38,$E361)&lt;MAX($P$34*($B361+$I$38-1),IF(AND($L$37=0,$P$34=0),"",$L$37-1)),0,YEARFRAC(MAX($P$34*($B361+$I$38-1),IF(AND($L$37=0,$P$34=0),"",$L$37-1)),MIN(BX$38,$E361),$P$20))-SUM($BF361:BW361))</f>
        <v>0</v>
      </c>
      <c r="BY361" s="446">
        <f>IF($E361=0,0,IF(MIN(BY$38,$E361)&lt;MAX($P$34*($B361+$I$38-1),IF(AND($L$37=0,$P$34=0),"",$L$37-1)),0,YEARFRAC(MAX($P$34*($B361+$I$38-1),IF(AND($L$37=0,$P$34=0),"",$L$37-1)),MIN(BY$38,$E361),$P$20))-SUM($BF361:BX361))</f>
        <v>0</v>
      </c>
      <c r="BZ361" s="446">
        <f>IF($E361=0,0,IF(MIN(BZ$38,$E361)&lt;MAX($P$34*($B361+$I$38-1),IF(AND($L$37=0,$P$34=0),"",$L$37-1)),0,YEARFRAC(MAX($P$34*($B361+$I$38-1),IF(AND($L$37=0,$P$34=0),"",$L$37-1)),MIN(BZ$38,$E361),$P$20))-SUM($BF361:BY361))</f>
        <v>0</v>
      </c>
      <c r="CA361" s="446">
        <f>IF($E361=0,0,IF(MIN(CA$38,$E361)&lt;MAX($P$34*($B361+$I$38-1),IF(AND($L$37=0,$P$34=0),"",$L$37-1)),0,YEARFRAC(MAX($P$34*($B361+$I$38-1),IF(AND($L$37=0,$P$34=0),"",$L$37-1)),MIN(CA$38,$E361),$P$20))-SUM($BF361:BZ361))</f>
        <v>0</v>
      </c>
      <c r="CB361" s="446">
        <f>IF($E361=0,0,IF(MIN(CB$38,$E361)&lt;MAX($P$34*($B361+$I$38-1),IF(AND($L$37=0,$P$34=0),"",$L$37-1)),0,YEARFRAC(MAX($P$34*($B361+$I$38-1),IF(AND($L$37=0,$P$34=0),"",$L$37-1)),MIN(CB$38,$E361),$P$20))-SUM($BF361:CA361))</f>
        <v>0</v>
      </c>
      <c r="CC361" s="446">
        <f>IF($E361=0,0,IF(MIN(CC$38,$E361)&lt;MAX($P$34*($B361+$I$38-1),IF(AND($L$37=0,$P$34=0),"",$L$37-1)),0,YEARFRAC(MAX($P$34*($B361+$I$38-1),IF(AND($L$37=0,$P$34=0),"",$L$37-1)),MIN(CC$38,$E361),$P$20))-SUM($BF361:CB361))</f>
        <v>0</v>
      </c>
      <c r="CD361" s="446">
        <f>IF($E361=0,0,IF(MIN(CD$38,$E361)&lt;MAX($P$34*($B361+$I$38-1),IF(AND($L$37=0,$P$34=0),"",$L$37-1)),0,YEARFRAC(MAX($P$34*($B361+$I$38-1),IF(AND($L$37=0,$P$34=0),"",$L$37-1)),MIN(CD$38,$E361),$P$20))-SUM($BF361:CC361))</f>
        <v>0</v>
      </c>
      <c r="CE361" s="446">
        <f>IF($E361=0,0,IF(MIN(CE$38,$E361)&lt;MAX($P$34*($B361+$I$38-1),IF(AND($L$37=0,$P$34=0),"",$L$37-1)),0,YEARFRAC(MAX($P$34*($B361+$I$38-1),IF(AND($L$37=0,$P$34=0),"",$L$37-1)),MIN(CE$38,$E361),$P$20))-SUM($BF361:CD361))</f>
        <v>0</v>
      </c>
      <c r="CF361" s="446">
        <f>IF($E361=0,0,IF(MIN(CF$38,$E361)&lt;MAX($P$34*($B361+$I$38-1),IF(AND($L$37=0,$P$34=0),"",$L$37-1)),0,YEARFRAC(MAX($P$34*($B361+$I$38-1),IF(AND($L$37=0,$P$34=0),"",$L$37-1)),MIN(CF$38,$E361),$P$20))-SUM($BF361:CE361))</f>
        <v>0</v>
      </c>
      <c r="CG361" s="446">
        <f>IF($E361=0,0,IF(MIN(CG$38,$E361)&lt;MAX($P$34*($B361+$I$38-1),IF(AND($L$37=0,$P$34=0),"",$L$37-1)),0,YEARFRAC(MAX($P$34*($B361+$I$38-1),IF(AND($L$37=0,$P$34=0),"",$L$37-1)),MIN(CG$38,$E361),$P$20))-SUM($BF361:CF361))</f>
        <v>0</v>
      </c>
      <c r="CH361" s="446">
        <f>IF($E361=0,0,IF(MIN(CH$38,$E361)&lt;MAX($P$34*($B361+$I$38-1),IF(AND($L$37=0,$P$34=0),"",$L$37-1)),0,YEARFRAC(MAX($P$34*($B361+$I$38-1),IF(AND($L$37=0,$P$34=0),"",$L$37-1)),MIN(CH$38,$E361),$P$20))-SUM($BF361:CG361))</f>
        <v>0</v>
      </c>
      <c r="CI361" s="446">
        <f>IF($E361=0,0,IF(MIN(CI$38,$E361)&lt;MAX($P$34*($B361+$I$38-1),IF(AND($L$37=0,$P$34=0),"",$L$37-1)),0,YEARFRAC(MAX($P$34*($B361+$I$38-1),IF(AND($L$37=0,$P$34=0),"",$L$37-1)),MIN(CI$38,$E361),$P$20))-SUM($BF361:CH361))</f>
        <v>0</v>
      </c>
      <c r="CJ361" s="446">
        <f>IF($E361=0,0,IF(MIN(CJ$38,$E361)&lt;MAX($P$34*($B361+$I$38-1),IF(AND($L$37=0,$P$34=0),"",$L$37-1)),0,YEARFRAC(MAX($P$34*($B361+$I$38-1),IF(AND($L$37=0,$P$34=0),"",$L$37-1)),MIN(CJ$38,$E361),$P$20))-SUM($BF361:CI361))</f>
        <v>0</v>
      </c>
      <c r="CK361" s="446">
        <f>IF($E361=0,0,IF(MIN(CK$38,$E361)&lt;MAX($P$34*($B361+$I$38-1),IF(AND($L$37=0,$P$34=0),"",$L$37-1)),0,YEARFRAC(MAX($P$34*($B361+$I$38-1),IF(AND($L$37=0,$P$34=0),"",$L$37-1)),MIN(CK$38,$E361),$P$20))-SUM($BF361:CJ361))</f>
        <v>0</v>
      </c>
      <c r="CL361" s="446">
        <f>IF($E361=0,0,IF(MIN(CL$38,$E361)&lt;MAX($P$34*($B361+$I$38-1),IF(AND($L$37=0,$P$34=0),"",$L$37-1)),0,YEARFRAC(MAX($P$34*($B361+$I$38-1),IF(AND($L$37=0,$P$34=0),"",$L$37-1)),MIN(CL$38,$E361),$P$20))-SUM($BF361:CK361))</f>
        <v>0</v>
      </c>
      <c r="CM361" s="446">
        <f>IF($E361=0,0,IF(MIN(CM$38,$E361)&lt;MAX($P$34*($B361+$I$38-1),IF(AND($L$37=0,$P$34=0),"",$L$37-1)),0,YEARFRAC(MAX($P$34*($B361+$I$38-1),IF(AND($L$37=0,$P$34=0),"",$L$37-1)),MIN(CM$38,$E361),$P$20))-SUM($BF361:CL361))</f>
        <v>0</v>
      </c>
      <c r="CN361" s="446">
        <f>IF($E361=0,0,IF(MIN(CN$38,$E361)&lt;MAX($P$34*($B361+$I$38-1),IF(AND($L$37=0,$P$34=0),"",$L$37-1)),0,YEARFRAC(MAX($P$34*($B361+$I$38-1),IF(AND($L$37=0,$P$34=0),"",$L$37-1)),MIN(CN$38,$E361),$P$20))-SUM($BF361:CM361))</f>
        <v>0</v>
      </c>
      <c r="CO361" s="446">
        <f>IF($E361=0,0,IF(MIN(CO$38,$E361)&lt;MAX($P$34*($B361+$I$38-1),IF(AND($L$37=0,$P$34=0),"",$L$37-1)),0,YEARFRAC(MAX($P$34*($B361+$I$38-1),IF(AND($L$37=0,$P$34=0),"",$L$37-1)),MIN(CO$38,$E361),$P$20))-SUM($BF361:CN361))</f>
        <v>0</v>
      </c>
      <c r="CP361" s="446">
        <f>IF($E361=0,0,IF(MIN(CP$38,$E361)&lt;MAX($P$34*($B361+$I$38-1),IF(AND($L$37=0,$P$34=0),"",$L$37-1)),0,YEARFRAC(MAX($P$34*($B361+$I$38-1),IF(AND($L$37=0,$P$34=0),"",$L$37-1)),MIN(CP$38,$E361),$P$20))-SUM($BF361:CO361))</f>
        <v>0</v>
      </c>
      <c r="CQ361" s="446">
        <f>IF($E361=0,0,IF(MIN(CQ$38,$E361)&lt;MAX($P$34*($B361+$I$38-1),IF(AND($L$37=0,$P$34=0),"",$L$37-1)),0,YEARFRAC(MAX($P$34*($B361+$I$38-1),IF(AND($L$37=0,$P$34=0),"",$L$37-1)),MIN(CQ$38,$E361),$P$20))-SUM($BF361:CP361))</f>
        <v>0</v>
      </c>
    </row>
    <row r="362" spans="1:95" s="446" customFormat="1" ht="11.25" hidden="1" customHeight="1" x14ac:dyDescent="0.2">
      <c r="A362" s="152"/>
      <c r="B362" s="153" t="str">
        <f t="shared" ref="B362:B425" si="70">IF(B361="","",IF(AND(MONTH(B361)=12,MONTH(B360)=11,$B$38="com 13º"),IF(B361&gt;$D$19,"",B361),IF(DATE(YEAR(B361),MONTH(B361)+1,DAY(B361))&gt;$D$19,"",DATE(YEAR(B361),MONTH(B361)+1,DAY(B361)))))</f>
        <v/>
      </c>
      <c r="C362" s="29" t="str">
        <f>IF(B362="","",IF($L$35="SELIC - TRIBUTOS",VLOOKUP(DATE(YEAR($D$19),MONTH($D$19)-1,1),ÍNDICES!$A:$DE,HLOOKUP($BL$25,ÍNDICES!$B$3:$T$4,2)+11)-VLOOKUP(B362,ÍNDICES!$A:$DE,HLOOKUP($BL$25,ÍNDICES!$B$3:$T$4,2)+11)+1%,IF(C$38=$W$26,$J$35,IF(ISERROR(IF(B362&gt;$D$19,1,VLOOKUP(DATE(YEAR(B362),MONTH(B362)+IF($C$35=$S$23,1,0),1),ÍNDICES!$A:$DE,$Z$35+1))),"",IF(B362&gt;$D$19,1,VLOOKUP(DATE(YEAR(B362),MONTH(B362)+IF($C$35=$S$23,1,0),1),ÍNDICES!$A:$DE,$Z$35+1))))))</f>
        <v/>
      </c>
      <c r="D362" s="154" t="str">
        <f>IF(ISERROR(IF(OR($D$38=$Y$27,$B362=""),"",VLOOKUP(B362,ÍNDICES!A:DE,AF$35+1))),"",IF(OR($D$38=$Y$27,$B362=""),"",VLOOKUP(B362,ÍNDICES!A:DE,AF$35+1)))</f>
        <v/>
      </c>
      <c r="E362" s="153"/>
      <c r="F362" s="29" t="str">
        <f>IF(E362="","",IF($L$35="SELIC - TRIBUTOS",VLOOKUP(DATE(YEAR($D$19),MONTH($D$19)-1,1),ÍNDICES!$A:$DE,HLOOKUP($BL$25,ÍNDICES!$B$3:$T$4,2)+11)-VLOOKUP(E362,ÍNDICES!$A:$DE,HLOOKUP($BL$25,ÍNDICES!$B$3:$T$4,2)+11)+1%,IF(F$38=$W$26,$J$35,IF(ISERROR(IF(E362&gt;$D$19,1,VLOOKUP(DATE(YEAR(E362),MONTH(E362)+IF($C$35=$S$23,1,0),1),ÍNDICES!$A:$DE,$Z$35+1))),"",IF(E362&gt;$D$19,1,VLOOKUP(DATE(YEAR(E362),MONTH(E362)+IF($C$35=$S$23,1,0),1),ÍNDICES!$A:$DE,$Z$35+1))))))</f>
        <v/>
      </c>
      <c r="G362" s="155"/>
      <c r="H362" s="156" t="str">
        <f t="shared" si="66"/>
        <v/>
      </c>
      <c r="I362" s="29" t="str">
        <f t="shared" si="60"/>
        <v/>
      </c>
      <c r="J362" s="5">
        <f t="shared" si="61"/>
        <v>0</v>
      </c>
      <c r="K362" s="20">
        <f t="shared" ca="1" si="62"/>
        <v>0</v>
      </c>
      <c r="L362" s="5">
        <f t="shared" ca="1" si="63"/>
        <v>0</v>
      </c>
      <c r="M362" s="64">
        <f t="shared" si="67"/>
        <v>0</v>
      </c>
      <c r="N362" s="61">
        <f t="shared" ca="1" si="68"/>
        <v>0</v>
      </c>
      <c r="O362" s="5">
        <f t="shared" ca="1" si="69"/>
        <v>0</v>
      </c>
      <c r="P362" s="446" t="e">
        <f t="shared" si="64"/>
        <v>#VALUE!</v>
      </c>
      <c r="Q362" s="446" t="e">
        <f>IF(OR($B362="",MIN(Q$38,$D$19)&lt;MAX($P$34*($B362+IF($R$17="Distrato",$I$38-1,0)),IF(AND($L$37=0,$P$34=0),"",$L$37-1),IF($R$17="Distrato",$E362,0))),0,YEARFRAC(MAX($P$34*($B362+IF($R$17="Distrato",$I$38-1,0)),IF(AND($L$37=0,$P$34=0),"",$L$37-1),IF($R$17="Distrato",$E362,0)),MIN(Q$38,$D$19),$P$20))-SUM($P362:P362)</f>
        <v>#VALUE!</v>
      </c>
      <c r="R362" s="446" t="e">
        <f>IF(OR($B362="",MIN(R$38,$D$19)&lt;MAX($P$34*($B362+IF($R$17="Distrato",$I$38-1,0)),IF(AND($L$37=0,$P$34=0),"",$L$37-1),IF($R$17="Distrato",$E362,0))),0,YEARFRAC(MAX($P$34*($B362+IF($R$17="Distrato",$I$38-1,0)),IF(AND($L$37=0,$P$34=0),"",$L$37-1),IF($R$17="Distrato",$E362,0)),MIN(R$38,$D$19),$P$20))-SUM($P362:Q362)</f>
        <v>#VALUE!</v>
      </c>
      <c r="S362" s="446" t="e">
        <f>IF(OR($B362="",MIN(S$38,$D$19)&lt;MAX($P$34*($B362+IF($R$17="Distrato",$I$38-1,0)),IF(AND($L$37=0,$P$34=0),"",$L$37-1),IF($R$17="Distrato",$E362,0))),0,YEARFRAC(MAX($P$34*($B362+IF($R$17="Distrato",$I$38-1,0)),IF(AND($L$37=0,$P$34=0),"",$L$37-1),IF($R$17="Distrato",$E362,0)),MIN(S$38,$D$19),$P$20))-SUM($P362:R362)</f>
        <v>#VALUE!</v>
      </c>
      <c r="T362" s="446" t="e">
        <f>IF(OR($B362="",MIN(T$38,$D$19)&lt;MAX($P$34*($B362+IF($R$17="Distrato",$I$38-1,0)),IF(AND($L$37=0,$P$34=0),"",$L$37-1),IF($R$17="Distrato",$E362,0))),0,YEARFRAC(MAX($P$34*($B362+IF($R$17="Distrato",$I$38-1,0)),IF(AND($L$37=0,$P$34=0),"",$L$37-1),IF($R$17="Distrato",$E362,0)),MIN(T$38,$D$19),$P$20))-SUM($P362:S362)</f>
        <v>#VALUE!</v>
      </c>
      <c r="U362" s="446" t="e">
        <f>IF(OR($B362="",MIN(U$38,$D$19)&lt;MAX($P$34*($B362+IF($R$17="Distrato",$I$38-1,0)),IF(AND($L$37=0,$P$34=0),"",$L$37-1),IF($R$17="Distrato",$E362,0))),0,YEARFRAC(MAX($P$34*($B362+IF($R$17="Distrato",$I$38-1,0)),IF(AND($L$37=0,$P$34=0),"",$L$37-1),IF($R$17="Distrato",$E362,0)),MIN(U$38,$D$19),$P$20))-SUM($P362:T362)</f>
        <v>#VALUE!</v>
      </c>
      <c r="V362" s="446" t="e">
        <f>IF(OR($B362="",MIN(V$38,$D$19)&lt;MAX($P$34*($B362+IF($R$17="Distrato",$I$38-1,0)),IF(AND($L$37=0,$P$34=0),"",$L$37-1),IF($R$17="Distrato",$E362,0))),0,YEARFRAC(MAX($P$34*($B362+IF($R$17="Distrato",$I$38-1,0)),IF(AND($L$37=0,$P$34=0),"",$L$37-1),IF($R$17="Distrato",$E362,0)),MIN(V$38,$D$19),$P$20))-SUM($P362:U362)</f>
        <v>#VALUE!</v>
      </c>
      <c r="W362" s="446" t="e">
        <f>IF(OR($B362="",MIN(W$38,$D$19)&lt;MAX($P$34*($B362+IF($R$17="Distrato",$I$38-1,0)),IF(AND($L$37=0,$P$34=0),"",$L$37-1),IF($R$17="Distrato",$E362,0))),0,YEARFRAC(MAX($P$34*($B362+IF($R$17="Distrato",$I$38-1,0)),IF(AND($L$37=0,$P$34=0),"",$L$37-1),IF($R$17="Distrato",$E362,0)),MIN(W$38,$D$19),$P$20))-SUM($P362:V362)</f>
        <v>#VALUE!</v>
      </c>
      <c r="X362" s="446" t="e">
        <f>IF(OR($B362="",MIN(X$38,$D$19)&lt;MAX($P$34*($B362+IF($R$17="Distrato",$I$38-1,0)),IF(AND($L$37=0,$P$34=0),"",$L$37-1),IF($R$17="Distrato",$E362,0))),0,YEARFRAC(MAX($P$34*($B362+IF($R$17="Distrato",$I$38-1,0)),IF(AND($L$37=0,$P$34=0),"",$L$37-1),IF($R$17="Distrato",$E362,0)),MIN(X$38,$D$19),$P$20))-SUM($P362:W362)</f>
        <v>#VALUE!</v>
      </c>
      <c r="Y362" s="446" t="e">
        <f>IF(OR($B362="",MIN(Y$38,$D$19)&lt;MAX($P$34*($B362+IF($R$17="Distrato",$I$38-1,0)),IF(AND($L$37=0,$P$34=0),"",$L$37-1),IF($R$17="Distrato",$E362,0))),0,YEARFRAC(MAX($P$34*($B362+IF($R$17="Distrato",$I$38-1,0)),IF(AND($L$37=0,$P$34=0),"",$L$37-1),IF($R$17="Distrato",$E362,0)),MIN(Y$38,$D$19),$P$20))-SUM($P362:X362)</f>
        <v>#VALUE!</v>
      </c>
      <c r="Z362" s="446" t="e">
        <f>IF(OR($B362="",MIN(Z$38,$D$19)&lt;MAX($P$34*($B362+IF($R$17="Distrato",$I$38-1,0)),IF(AND($L$37=0,$P$34=0),"",$L$37-1),IF($R$17="Distrato",$E362,0))),0,YEARFRAC(MAX($P$34*($B362+IF($R$17="Distrato",$I$38-1,0)),IF(AND($L$37=0,$P$34=0),"",$L$37-1),IF($R$17="Distrato",$E362,0)),MIN(Z$38,$D$19),$P$20))-SUM($P362:Y362)</f>
        <v>#VALUE!</v>
      </c>
      <c r="AA362" s="446" t="e">
        <f>IF(OR($B362="",MIN(AA$38,$D$19)&lt;MAX($P$34*($B362+IF($R$17="Distrato",$I$38-1,0)),IF(AND($L$37=0,$P$34=0),"",$L$37-1),IF($R$17="Distrato",$E362,0))),0,YEARFRAC(MAX($P$34*($B362+IF($R$17="Distrato",$I$38-1,0)),IF(AND($L$37=0,$P$34=0),"",$L$37-1),IF($R$17="Distrato",$E362,0)),MIN(AA$38,$D$19),$P$20))-SUM($P362:Z362)</f>
        <v>#VALUE!</v>
      </c>
      <c r="AB362" s="446" t="e">
        <f>IF(OR($B362="",MIN(AB$38,$D$19)&lt;MAX($P$34*($B362+IF($R$17="Distrato",$I$38-1,0)),IF(AND($L$37=0,$P$34=0),"",$L$37-1),IF($R$17="Distrato",$E362,0))),0,YEARFRAC(MAX($P$34*($B362+IF($R$17="Distrato",$I$38-1,0)),IF(AND($L$37=0,$P$34=0),"",$L$37-1),IF($R$17="Distrato",$E362,0)),MIN(AB$38,$D$19),$P$20))-SUM($P362:AA362)</f>
        <v>#VALUE!</v>
      </c>
      <c r="AC362" s="446" t="e">
        <f>IF(OR($B362="",MIN(AC$38,$D$19)&lt;MAX($P$34*($B362+IF($R$17="Distrato",$I$38-1,0)),IF(AND($L$37=0,$P$34=0),"",$L$37-1),IF($R$17="Distrato",$E362,0))),0,YEARFRAC(MAX($P$34*($B362+IF($R$17="Distrato",$I$38-1,0)),IF(AND($L$37=0,$P$34=0),"",$L$37-1),IF($R$17="Distrato",$E362,0)),MIN(AC$38,$D$19),$P$20))-SUM($P362:AB362)</f>
        <v>#VALUE!</v>
      </c>
      <c r="AD362" s="446" t="e">
        <f>IF(OR($B362="",MIN(AD$38,$D$19)&lt;MAX($P$34*($B362+IF($R$17="Distrato",$I$38-1,0)),IF(AND($L$37=0,$P$34=0),"",$L$37-1),IF($R$17="Distrato",$E362,0))),0,YEARFRAC(MAX($P$34*($B362+IF($R$17="Distrato",$I$38-1,0)),IF(AND($L$37=0,$P$34=0),"",$L$37-1),IF($R$17="Distrato",$E362,0)),MIN(AD$38,$D$19),$P$20))-SUM($P362:AC362)</f>
        <v>#VALUE!</v>
      </c>
      <c r="AE362" s="446" t="e">
        <f>IF(OR($B362="",MIN(AE$38,$D$19)&lt;MAX($P$34*($B362+IF($R$17="Distrato",$I$38-1,0)),IF(AND($L$37=0,$P$34=0),"",$L$37-1),IF($R$17="Distrato",$E362,0))),0,YEARFRAC(MAX($P$34*($B362+IF($R$17="Distrato",$I$38-1,0)),IF(AND($L$37=0,$P$34=0),"",$L$37-1),IF($R$17="Distrato",$E362,0)),MIN(AE$38,$D$19),$P$20))-SUM($P362:AD362)</f>
        <v>#VALUE!</v>
      </c>
      <c r="AF362" s="446" t="e">
        <f>IF(OR($B362="",MIN(AF$38,$D$19)&lt;MAX($P$34*($B362+IF($R$17="Distrato",$I$38-1,0)),IF(AND($L$37=0,$P$34=0),"",$L$37-1),IF($R$17="Distrato",$E362,0))),0,YEARFRAC(MAX($P$34*($B362+IF($R$17="Distrato",$I$38-1,0)),IF(AND($L$37=0,$P$34=0),"",$L$37-1),IF($R$17="Distrato",$E362,0)),MIN(AF$38,$D$19),$P$20))-SUM($P362:AE362)</f>
        <v>#VALUE!</v>
      </c>
      <c r="AG362" s="446" t="e">
        <f>IF(OR($B362="",MIN(AG$38,$D$19)&lt;MAX($P$34*($B362+IF($R$17="Distrato",$I$38-1,0)),IF(AND($L$37=0,$P$34=0),"",$L$37-1),IF($R$17="Distrato",$E362,0))),0,YEARFRAC(MAX($P$34*($B362+IF($R$17="Distrato",$I$38-1,0)),IF(AND($L$37=0,$P$34=0),"",$L$37-1),IF($R$17="Distrato",$E362,0)),MIN(AG$38,$D$19),$P$20))-SUM($P362:AF362)</f>
        <v>#VALUE!</v>
      </c>
      <c r="AH362" s="446" t="e">
        <f>IF(OR($B362="",MIN(AH$38,$D$19)&lt;MAX($P$34*($B362+IF($R$17="Distrato",$I$38-1,0)),IF(AND($L$37=0,$P$34=0),"",$L$37-1),IF($R$17="Distrato",$E362,0))),0,YEARFRAC(MAX($P$34*($B362+IF($R$17="Distrato",$I$38-1,0)),IF(AND($L$37=0,$P$34=0),"",$L$37-1),IF($R$17="Distrato",$E362,0)),MIN(AH$38,$D$19),$P$20))-SUM($P362:AG362)</f>
        <v>#VALUE!</v>
      </c>
      <c r="AI362" s="446" t="e">
        <f>IF(OR($B362="",MIN(AI$38,$D$19)&lt;MAX($P$34*($B362+IF($R$17="Distrato",$I$38-1,0)),IF(AND($L$37=0,$P$34=0),"",$L$37-1),IF($R$17="Distrato",$E362,0))),0,YEARFRAC(MAX($P$34*($B362+IF($R$17="Distrato",$I$38-1,0)),IF(AND($L$37=0,$P$34=0),"",$L$37-1),IF($R$17="Distrato",$E362,0)),MIN(AI$38,$D$19),$P$20))-SUM($P362:AH362)</f>
        <v>#VALUE!</v>
      </c>
      <c r="AJ362" s="446" t="e">
        <f>IF(OR($B362="",MIN(AJ$38,$D$19)&lt;MAX($P$34*($B362+IF($R$17="Distrato",$I$38-1,0)),IF(AND($L$37=0,$P$34=0),"",$L$37-1),IF($R$17="Distrato",$E362,0))),0,YEARFRAC(MAX($P$34*($B362+IF($R$17="Distrato",$I$38-1,0)),IF(AND($L$37=0,$P$34=0),"",$L$37-1),IF($R$17="Distrato",$E362,0)),MIN(AJ$38,$D$19),$P$20))-SUM($P362:AI362)</f>
        <v>#VALUE!</v>
      </c>
      <c r="AK362" s="446" t="e">
        <f>IF(OR($B362="",MIN(AK$38,$D$19)&lt;MAX($P$34*($B362+IF($R$17="Distrato",$I$38-1,0)),IF(AND($L$37=0,$P$34=0),"",$L$37-1),IF($R$17="Distrato",$E362,0))),0,YEARFRAC(MAX($P$34*($B362+IF($R$17="Distrato",$I$38-1,0)),IF(AND($L$37=0,$P$34=0),"",$L$37-1),IF($R$17="Distrato",$E362,0)),MIN(AK$38,$D$19),$P$20))-SUM($P362:AJ362)</f>
        <v>#VALUE!</v>
      </c>
      <c r="AL362" s="446" t="e">
        <f>IF(OR($B362="",MIN(AL$38,$D$19)&lt;MAX($P$34*($B362+IF($R$17="Distrato",$I$38-1,0)),IF(AND($L$37=0,$P$34=0),"",$L$37-1),IF($R$17="Distrato",$E362,0))),0,YEARFRAC(MAX($P$34*($B362+IF($R$17="Distrato",$I$38-1,0)),IF(AND($L$37=0,$P$34=0),"",$L$37-1),IF($R$17="Distrato",$E362,0)),MIN(AL$38,$D$19),$P$20))-SUM($P362:AK362)</f>
        <v>#VALUE!</v>
      </c>
      <c r="AM362" s="446" t="e">
        <f>IF(OR($B362="",MIN(AM$38,$D$19)&lt;MAX($P$34*($B362+IF($R$17="Distrato",$I$38-1,0)),IF(AND($L$37=0,$P$34=0),"",$L$37-1),IF($R$17="Distrato",$E362,0))),0,YEARFRAC(MAX($P$34*($B362+IF($R$17="Distrato",$I$38-1,0)),IF(AND($L$37=0,$P$34=0),"",$L$37-1),IF($R$17="Distrato",$E362,0)),MIN(AM$38,$D$19),$P$20))-SUM($P362:AL362)</f>
        <v>#VALUE!</v>
      </c>
      <c r="AN362" s="446" t="e">
        <f>IF(OR($B362="",MIN(AN$38,$D$19)&lt;MAX($P$34*($B362+IF($R$17="Distrato",$I$38-1,0)),IF(AND($L$37=0,$P$34=0),"",$L$37-1),IF($R$17="Distrato",$E362,0))),0,YEARFRAC(MAX($P$34*($B362+IF($R$17="Distrato",$I$38-1,0)),IF(AND($L$37=0,$P$34=0),"",$L$37-1),IF($R$17="Distrato",$E362,0)),MIN(AN$38,$D$19),$P$20))-SUM($P362:AM362)</f>
        <v>#VALUE!</v>
      </c>
      <c r="AO362" s="446" t="e">
        <f>IF(OR($B362="",MIN(AO$38,$D$19)&lt;MAX($P$34*($B362+IF($R$17="Distrato",$I$38-1,0)),IF(AND($L$37=0,$P$34=0),"",$L$37-1),IF($R$17="Distrato",$E362,0))),0,YEARFRAC(MAX($P$34*($B362+IF($R$17="Distrato",$I$38-1,0)),IF(AND($L$37=0,$P$34=0),"",$L$37-1),IF($R$17="Distrato",$E362,0)),MIN(AO$38,$D$19),$P$20))-SUM($P362:AN362)</f>
        <v>#VALUE!</v>
      </c>
      <c r="AP362" s="446" t="e">
        <f>IF(OR($B362="",MIN(AP$38,$D$19)&lt;MAX($P$34*($B362+IF($R$17="Distrato",$I$38-1,0)),IF(AND($L$37=0,$P$34=0),"",$L$37-1),IF($R$17="Distrato",$E362,0))),0,YEARFRAC(MAX($P$34*($B362+IF($R$17="Distrato",$I$38-1,0)),IF(AND($L$37=0,$P$34=0),"",$L$37-1),IF($R$17="Distrato",$E362,0)),MIN(AP$38,$D$19),$P$20))-SUM($P362:AO362)</f>
        <v>#VALUE!</v>
      </c>
      <c r="AQ362" s="446" t="e">
        <f>IF(OR($B362="",MIN(AQ$38,$D$19)&lt;MAX($P$34*($B362+IF($R$17="Distrato",$I$38-1,0)),IF(AND($L$37=0,$P$34=0),"",$L$37-1),IF($R$17="Distrato",$E362,0))),0,YEARFRAC(MAX($P$34*($B362+IF($R$17="Distrato",$I$38-1,0)),IF(AND($L$37=0,$P$34=0),"",$L$37-1),IF($R$17="Distrato",$E362,0)),MIN(AQ$38,$D$19),$P$20))-SUM($P362:AP362)</f>
        <v>#VALUE!</v>
      </c>
      <c r="AR362" s="446" t="e">
        <f>IF(OR($B362="",MIN(AR$38,$D$19)&lt;MAX($P$34*($B362+IF($R$17="Distrato",$I$38-1,0)),IF(AND($L$37=0,$P$34=0),"",$L$37-1),IF($R$17="Distrato",$E362,0))),0,YEARFRAC(MAX($P$34*($B362+IF($R$17="Distrato",$I$38-1,0)),IF(AND($L$37=0,$P$34=0),"",$L$37-1),IF($R$17="Distrato",$E362,0)),MIN(AR$38,$D$19),$P$20))-SUM($P362:AQ362)</f>
        <v>#VALUE!</v>
      </c>
      <c r="AS362" s="446" t="e">
        <f>IF(OR($B362="",MIN(AS$38,$D$19)&lt;MAX($P$34*($B362+IF($R$17="Distrato",$I$38-1,0)),IF(AND($L$37=0,$P$34=0),"",$L$37-1),IF($R$17="Distrato",$E362,0))),0,YEARFRAC(MAX($P$34*($B362+IF($R$17="Distrato",$I$38-1,0)),IF(AND($L$37=0,$P$34=0),"",$L$37-1),IF($R$17="Distrato",$E362,0)),MIN(AS$38,$D$19),$P$20))-SUM($P362:AR362)</f>
        <v>#VALUE!</v>
      </c>
      <c r="AT362" s="446" t="e">
        <f>IF(OR($B362="",MIN(AT$38,$D$19)&lt;MAX($P$34*($B362+IF($R$17="Distrato",$I$38-1,0)),IF(AND($L$37=0,$P$34=0),"",$L$37-1),IF($R$17="Distrato",$E362,0))),0,YEARFRAC(MAX($P$34*($B362+IF($R$17="Distrato",$I$38-1,0)),IF(AND($L$37=0,$P$34=0),"",$L$37-1),IF($R$17="Distrato",$E362,0)),MIN(AT$38,$D$19),$P$20))-SUM($P362:AS362)</f>
        <v>#VALUE!</v>
      </c>
      <c r="AU362" s="446" t="e">
        <f>IF(OR($B362="",MIN(AU$38,$D$19)&lt;MAX($P$34*($B362+IF($R$17="Distrato",$I$38-1,0)),IF(AND($L$37=0,$P$34=0),"",$L$37-1),IF($R$17="Distrato",$E362,0))),0,YEARFRAC(MAX($P$34*($B362+IF($R$17="Distrato",$I$38-1,0)),IF(AND($L$37=0,$P$34=0),"",$L$37-1),IF($R$17="Distrato",$E362,0)),MIN(AU$38,$D$19),$P$20))-SUM($P362:AT362)</f>
        <v>#VALUE!</v>
      </c>
      <c r="AV362" s="446" t="e">
        <f>IF(OR($B362="",MIN(AV$38,$D$19)&lt;MAX($P$34*($B362+IF($R$17="Distrato",$I$38-1,0)),IF(AND($L$37=0,$P$34=0),"",$L$37-1),IF($R$17="Distrato",$E362,0))),0,YEARFRAC(MAX($P$34*($B362+IF($R$17="Distrato",$I$38-1,0)),IF(AND($L$37=0,$P$34=0),"",$L$37-1),IF($R$17="Distrato",$E362,0)),MIN(AV$38,$D$19),$P$20))-SUM($P362:AU362)</f>
        <v>#VALUE!</v>
      </c>
      <c r="AW362" s="446" t="e">
        <f>IF(OR($B362="",MIN(AW$38,$D$19)&lt;MAX($P$34*($B362+IF($R$17="Distrato",$I$38-1,0)),IF(AND($L$37=0,$P$34=0),"",$L$37-1),IF($R$17="Distrato",$E362,0))),0,YEARFRAC(MAX($P$34*($B362+IF($R$17="Distrato",$I$38-1,0)),IF(AND($L$37=0,$P$34=0),"",$L$37-1),IF($R$17="Distrato",$E362,0)),MIN(AW$38,$D$19),$P$20))-SUM($P362:AV362)</f>
        <v>#VALUE!</v>
      </c>
      <c r="AX362" s="446" t="e">
        <f>IF(OR($B362="",MIN(AX$38,$D$19)&lt;MAX($P$34*($B362+IF($R$17="Distrato",$I$38-1,0)),IF(AND($L$37=0,$P$34=0),"",$L$37-1),IF($R$17="Distrato",$E362,0))),0,YEARFRAC(MAX($P$34*($B362+IF($R$17="Distrato",$I$38-1,0)),IF(AND($L$37=0,$P$34=0),"",$L$37-1),IF($R$17="Distrato",$E362,0)),MIN(AX$38,$D$19),$P$20))-SUM($P362:AW362)</f>
        <v>#VALUE!</v>
      </c>
      <c r="AY362" s="446" t="e">
        <f>IF(OR($B362="",MIN(AY$38,$D$19)&lt;MAX($P$34*($B362+IF($R$17="Distrato",$I$38-1,0)),IF(AND($L$37=0,$P$34=0),"",$L$37-1),IF($R$17="Distrato",$E362,0))),0,YEARFRAC(MAX($P$34*($B362+IF($R$17="Distrato",$I$38-1,0)),IF(AND($L$37=0,$P$34=0),"",$L$37-1),IF($R$17="Distrato",$E362,0)),MIN(AY$38,$D$19),$P$20))-SUM($P362:AX362)</f>
        <v>#VALUE!</v>
      </c>
      <c r="AZ362" s="446" t="e">
        <f>IF(OR($B362="",MIN(AZ$38,$D$19)&lt;MAX($P$34*($B362+IF($R$17="Distrato",$I$38-1,0)),IF(AND($L$37=0,$P$34=0),"",$L$37-1),IF($R$17="Distrato",$E362,0))),0,YEARFRAC(MAX($P$34*($B362+IF($R$17="Distrato",$I$38-1,0)),IF(AND($L$37=0,$P$34=0),"",$L$37-1),IF($R$17="Distrato",$E362,0)),MIN(AZ$38,$D$19),$P$20))-SUM($P362:AY362)</f>
        <v>#VALUE!</v>
      </c>
      <c r="BA362" s="446" t="e">
        <f>IF(OR($B362="",MIN(BA$38,$D$19)&lt;MAX($P$34*($B362+IF($R$17="Distrato",$I$38-1,0)),IF(AND($L$37=0,$P$34=0),"",$L$37-1),IF($R$17="Distrato",$E362,0))),0,YEARFRAC(MAX($P$34*($B362+IF($R$17="Distrato",$I$38-1,0)),IF(AND($L$37=0,$P$34=0),"",$L$37-1),IF($R$17="Distrato",$E362,0)),MIN(BA$38,$D$19),$P$20))-SUM($P362:AZ362)</f>
        <v>#VALUE!</v>
      </c>
      <c r="BB362" s="447"/>
      <c r="BF362" s="446">
        <f t="shared" si="65"/>
        <v>0</v>
      </c>
      <c r="BG362" s="446">
        <f>IF($E362=0,0,IF(MIN(BG$38,$E362)&lt;MAX($P$34*($B362+$I$38-1),IF(AND($L$37=0,$P$34=0),"",$L$37-1)),0,YEARFRAC(MAX($P$34*($B362+$I$38-1),IF(AND($L$37=0,$P$34=0),"",$L$37-1)),MIN(BG$38,$E362),$P$20))-SUM($BF362:BF362))</f>
        <v>0</v>
      </c>
      <c r="BH362" s="446">
        <f>IF($E362=0,0,IF(MIN(BH$38,$E362)&lt;MAX($P$34*($B362+$I$38-1),IF(AND($L$37=0,$P$34=0),"",$L$37-1)),0,YEARFRAC(MAX($P$34*($B362+$I$38-1),IF(AND($L$37=0,$P$34=0),"",$L$37-1)),MIN(BH$38,$E362),$P$20))-SUM($BF362:BG362))</f>
        <v>0</v>
      </c>
      <c r="BI362" s="446">
        <f>IF($E362=0,0,IF(MIN(BI$38,$E362)&lt;MAX($P$34*($B362+$I$38-1),IF(AND($L$37=0,$P$34=0),"",$L$37-1)),0,YEARFRAC(MAX($P$34*($B362+$I$38-1),IF(AND($L$37=0,$P$34=0),"",$L$37-1)),MIN(BI$38,$E362),$P$20))-SUM($BF362:BH362))</f>
        <v>0</v>
      </c>
      <c r="BJ362" s="446">
        <f>IF($E362=0,0,IF(MIN(BJ$38,$E362)&lt;MAX($P$34*($B362+$I$38-1),IF(AND($L$37=0,$P$34=0),"",$L$37-1)),0,YEARFRAC(MAX($P$34*($B362+$I$38-1),IF(AND($L$37=0,$P$34=0),"",$L$37-1)),MIN(BJ$38,$E362),$P$20))-SUM($BF362:BI362))</f>
        <v>0</v>
      </c>
      <c r="BK362" s="446">
        <f>IF($E362=0,0,IF(MIN(BK$38,$E362)&lt;MAX($P$34*($B362+$I$38-1),IF(AND($L$37=0,$P$34=0),"",$L$37-1)),0,YEARFRAC(MAX($P$34*($B362+$I$38-1),IF(AND($L$37=0,$P$34=0),"",$L$37-1)),MIN(BK$38,$E362),$P$20))-SUM($BF362:BJ362))</f>
        <v>0</v>
      </c>
      <c r="BL362" s="446">
        <f>IF($E362=0,0,IF(MIN(BL$38,$E362)&lt;MAX($P$34*($B362+$I$38-1),IF(AND($L$37=0,$P$34=0),"",$L$37-1)),0,YEARFRAC(MAX($P$34*($B362+$I$38-1),IF(AND($L$37=0,$P$34=0),"",$L$37-1)),MIN(BL$38,$E362),$P$20))-SUM($BF362:BK362))</f>
        <v>0</v>
      </c>
      <c r="BM362" s="446">
        <f>IF($E362=0,0,IF(MIN(BM$38,$E362)&lt;MAX($P$34*($B362+$I$38-1),IF(AND($L$37=0,$P$34=0),"",$L$37-1)),0,YEARFRAC(MAX($P$34*($B362+$I$38-1),IF(AND($L$37=0,$P$34=0),"",$L$37-1)),MIN(BM$38,$E362),$P$20))-SUM($BF362:BL362))</f>
        <v>0</v>
      </c>
      <c r="BN362" s="446">
        <f>IF($E362=0,0,IF(MIN(BN$38,$E362)&lt;MAX($P$34*($B362+$I$38-1),IF(AND($L$37=0,$P$34=0),"",$L$37-1)),0,YEARFRAC(MAX($P$34*($B362+$I$38-1),IF(AND($L$37=0,$P$34=0),"",$L$37-1)),MIN(BN$38,$E362),$P$20))-SUM($BF362:BM362))</f>
        <v>0</v>
      </c>
      <c r="BO362" s="446">
        <f>IF($E362=0,0,IF(MIN(BO$38,$E362)&lt;MAX($P$34*($B362+$I$38-1),IF(AND($L$37=0,$P$34=0),"",$L$37-1)),0,YEARFRAC(MAX($P$34*($B362+$I$38-1),IF(AND($L$37=0,$P$34=0),"",$L$37-1)),MIN(BO$38,$E362),$P$20))-SUM($BF362:BN362))</f>
        <v>0</v>
      </c>
      <c r="BP362" s="446">
        <f>IF($E362=0,0,IF(MIN(BP$38,$E362)&lt;MAX($P$34*($B362+$I$38-1),IF(AND($L$37=0,$P$34=0),"",$L$37-1)),0,YEARFRAC(MAX($P$34*($B362+$I$38-1),IF(AND($L$37=0,$P$34=0),"",$L$37-1)),MIN(BP$38,$E362),$P$20))-SUM($BF362:BO362))</f>
        <v>0</v>
      </c>
      <c r="BQ362" s="446">
        <f>IF($E362=0,0,IF(MIN(BQ$38,$E362)&lt;MAX($P$34*($B362+$I$38-1),IF(AND($L$37=0,$P$34=0),"",$L$37-1)),0,YEARFRAC(MAX($P$34*($B362+$I$38-1),IF(AND($L$37=0,$P$34=0),"",$L$37-1)),MIN(BQ$38,$E362),$P$20))-SUM($BF362:BP362))</f>
        <v>0</v>
      </c>
      <c r="BR362" s="446">
        <f>IF($E362=0,0,IF(MIN(BR$38,$E362)&lt;MAX($P$34*($B362+$I$38-1),IF(AND($L$37=0,$P$34=0),"",$L$37-1)),0,YEARFRAC(MAX($P$34*($B362+$I$38-1),IF(AND($L$37=0,$P$34=0),"",$L$37-1)),MIN(BR$38,$E362),$P$20))-SUM($BF362:BQ362))</f>
        <v>0</v>
      </c>
      <c r="BS362" s="446">
        <f>IF($E362=0,0,IF(MIN(BS$38,$E362)&lt;MAX($P$34*($B362+$I$38-1),IF(AND($L$37=0,$P$34=0),"",$L$37-1)),0,YEARFRAC(MAX($P$34*($B362+$I$38-1),IF(AND($L$37=0,$P$34=0),"",$L$37-1)),MIN(BS$38,$E362),$P$20))-SUM($BF362:BR362))</f>
        <v>0</v>
      </c>
      <c r="BT362" s="446">
        <f>IF($E362=0,0,IF(MIN(BT$38,$E362)&lt;MAX($P$34*($B362+$I$38-1),IF(AND($L$37=0,$P$34=0),"",$L$37-1)),0,YEARFRAC(MAX($P$34*($B362+$I$38-1),IF(AND($L$37=0,$P$34=0),"",$L$37-1)),MIN(BT$38,$E362),$P$20))-SUM($BF362:BS362))</f>
        <v>0</v>
      </c>
      <c r="BU362" s="446">
        <f>IF($E362=0,0,IF(MIN(BU$38,$E362)&lt;MAX($P$34*($B362+$I$38-1),IF(AND($L$37=0,$P$34=0),"",$L$37-1)),0,YEARFRAC(MAX($P$34*($B362+$I$38-1),IF(AND($L$37=0,$P$34=0),"",$L$37-1)),MIN(BU$38,$E362),$P$20))-SUM($BF362:BT362))</f>
        <v>0</v>
      </c>
      <c r="BV362" s="446">
        <f>IF($E362=0,0,IF(MIN(BV$38,$E362)&lt;MAX($P$34*($B362+$I$38-1),IF(AND($L$37=0,$P$34=0),"",$L$37-1)),0,YEARFRAC(MAX($P$34*($B362+$I$38-1),IF(AND($L$37=0,$P$34=0),"",$L$37-1)),MIN(BV$38,$E362),$P$20))-SUM($BF362:BU362))</f>
        <v>0</v>
      </c>
      <c r="BW362" s="446">
        <f>IF($E362=0,0,IF(MIN(BW$38,$E362)&lt;MAX($P$34*($B362+$I$38-1),IF(AND($L$37=0,$P$34=0),"",$L$37-1)),0,YEARFRAC(MAX($P$34*($B362+$I$38-1),IF(AND($L$37=0,$P$34=0),"",$L$37-1)),MIN(BW$38,$E362),$P$20))-SUM($BF362:BV362))</f>
        <v>0</v>
      </c>
      <c r="BX362" s="446">
        <f>IF($E362=0,0,IF(MIN(BX$38,$E362)&lt;MAX($P$34*($B362+$I$38-1),IF(AND($L$37=0,$P$34=0),"",$L$37-1)),0,YEARFRAC(MAX($P$34*($B362+$I$38-1),IF(AND($L$37=0,$P$34=0),"",$L$37-1)),MIN(BX$38,$E362),$P$20))-SUM($BF362:BW362))</f>
        <v>0</v>
      </c>
      <c r="BY362" s="446">
        <f>IF($E362=0,0,IF(MIN(BY$38,$E362)&lt;MAX($P$34*($B362+$I$38-1),IF(AND($L$37=0,$P$34=0),"",$L$37-1)),0,YEARFRAC(MAX($P$34*($B362+$I$38-1),IF(AND($L$37=0,$P$34=0),"",$L$37-1)),MIN(BY$38,$E362),$P$20))-SUM($BF362:BX362))</f>
        <v>0</v>
      </c>
      <c r="BZ362" s="446">
        <f>IF($E362=0,0,IF(MIN(BZ$38,$E362)&lt;MAX($P$34*($B362+$I$38-1),IF(AND($L$37=0,$P$34=0),"",$L$37-1)),0,YEARFRAC(MAX($P$34*($B362+$I$38-1),IF(AND($L$37=0,$P$34=0),"",$L$37-1)),MIN(BZ$38,$E362),$P$20))-SUM($BF362:BY362))</f>
        <v>0</v>
      </c>
      <c r="CA362" s="446">
        <f>IF($E362=0,0,IF(MIN(CA$38,$E362)&lt;MAX($P$34*($B362+$I$38-1),IF(AND($L$37=0,$P$34=0),"",$L$37-1)),0,YEARFRAC(MAX($P$34*($B362+$I$38-1),IF(AND($L$37=0,$P$34=0),"",$L$37-1)),MIN(CA$38,$E362),$P$20))-SUM($BF362:BZ362))</f>
        <v>0</v>
      </c>
      <c r="CB362" s="446">
        <f>IF($E362=0,0,IF(MIN(CB$38,$E362)&lt;MAX($P$34*($B362+$I$38-1),IF(AND($L$37=0,$P$34=0),"",$L$37-1)),0,YEARFRAC(MAX($P$34*($B362+$I$38-1),IF(AND($L$37=0,$P$34=0),"",$L$37-1)),MIN(CB$38,$E362),$P$20))-SUM($BF362:CA362))</f>
        <v>0</v>
      </c>
      <c r="CC362" s="446">
        <f>IF($E362=0,0,IF(MIN(CC$38,$E362)&lt;MAX($P$34*($B362+$I$38-1),IF(AND($L$37=0,$P$34=0),"",$L$37-1)),0,YEARFRAC(MAX($P$34*($B362+$I$38-1),IF(AND($L$37=0,$P$34=0),"",$L$37-1)),MIN(CC$38,$E362),$P$20))-SUM($BF362:CB362))</f>
        <v>0</v>
      </c>
      <c r="CD362" s="446">
        <f>IF($E362=0,0,IF(MIN(CD$38,$E362)&lt;MAX($P$34*($B362+$I$38-1),IF(AND($L$37=0,$P$34=0),"",$L$37-1)),0,YEARFRAC(MAX($P$34*($B362+$I$38-1),IF(AND($L$37=0,$P$34=0),"",$L$37-1)),MIN(CD$38,$E362),$P$20))-SUM($BF362:CC362))</f>
        <v>0</v>
      </c>
      <c r="CE362" s="446">
        <f>IF($E362=0,0,IF(MIN(CE$38,$E362)&lt;MAX($P$34*($B362+$I$38-1),IF(AND($L$37=0,$P$34=0),"",$L$37-1)),0,YEARFRAC(MAX($P$34*($B362+$I$38-1),IF(AND($L$37=0,$P$34=0),"",$L$37-1)),MIN(CE$38,$E362),$P$20))-SUM($BF362:CD362))</f>
        <v>0</v>
      </c>
      <c r="CF362" s="446">
        <f>IF($E362=0,0,IF(MIN(CF$38,$E362)&lt;MAX($P$34*($B362+$I$38-1),IF(AND($L$37=0,$P$34=0),"",$L$37-1)),0,YEARFRAC(MAX($P$34*($B362+$I$38-1),IF(AND($L$37=0,$P$34=0),"",$L$37-1)),MIN(CF$38,$E362),$P$20))-SUM($BF362:CE362))</f>
        <v>0</v>
      </c>
      <c r="CG362" s="446">
        <f>IF($E362=0,0,IF(MIN(CG$38,$E362)&lt;MAX($P$34*($B362+$I$38-1),IF(AND($L$37=0,$P$34=0),"",$L$37-1)),0,YEARFRAC(MAX($P$34*($B362+$I$38-1),IF(AND($L$37=0,$P$34=0),"",$L$37-1)),MIN(CG$38,$E362),$P$20))-SUM($BF362:CF362))</f>
        <v>0</v>
      </c>
      <c r="CH362" s="446">
        <f>IF($E362=0,0,IF(MIN(CH$38,$E362)&lt;MAX($P$34*($B362+$I$38-1),IF(AND($L$37=0,$P$34=0),"",$L$37-1)),0,YEARFRAC(MAX($P$34*($B362+$I$38-1),IF(AND($L$37=0,$P$34=0),"",$L$37-1)),MIN(CH$38,$E362),$P$20))-SUM($BF362:CG362))</f>
        <v>0</v>
      </c>
      <c r="CI362" s="446">
        <f>IF($E362=0,0,IF(MIN(CI$38,$E362)&lt;MAX($P$34*($B362+$I$38-1),IF(AND($L$37=0,$P$34=0),"",$L$37-1)),0,YEARFRAC(MAX($P$34*($B362+$I$38-1),IF(AND($L$37=0,$P$34=0),"",$L$37-1)),MIN(CI$38,$E362),$P$20))-SUM($BF362:CH362))</f>
        <v>0</v>
      </c>
      <c r="CJ362" s="446">
        <f>IF($E362=0,0,IF(MIN(CJ$38,$E362)&lt;MAX($P$34*($B362+$I$38-1),IF(AND($L$37=0,$P$34=0),"",$L$37-1)),0,YEARFRAC(MAX($P$34*($B362+$I$38-1),IF(AND($L$37=0,$P$34=0),"",$L$37-1)),MIN(CJ$38,$E362),$P$20))-SUM($BF362:CI362))</f>
        <v>0</v>
      </c>
      <c r="CK362" s="446">
        <f>IF($E362=0,0,IF(MIN(CK$38,$E362)&lt;MAX($P$34*($B362+$I$38-1),IF(AND($L$37=0,$P$34=0),"",$L$37-1)),0,YEARFRAC(MAX($P$34*($B362+$I$38-1),IF(AND($L$37=0,$P$34=0),"",$L$37-1)),MIN(CK$38,$E362),$P$20))-SUM($BF362:CJ362))</f>
        <v>0</v>
      </c>
      <c r="CL362" s="446">
        <f>IF($E362=0,0,IF(MIN(CL$38,$E362)&lt;MAX($P$34*($B362+$I$38-1),IF(AND($L$37=0,$P$34=0),"",$L$37-1)),0,YEARFRAC(MAX($P$34*($B362+$I$38-1),IF(AND($L$37=0,$P$34=0),"",$L$37-1)),MIN(CL$38,$E362),$P$20))-SUM($BF362:CK362))</f>
        <v>0</v>
      </c>
      <c r="CM362" s="446">
        <f>IF($E362=0,0,IF(MIN(CM$38,$E362)&lt;MAX($P$34*($B362+$I$38-1),IF(AND($L$37=0,$P$34=0),"",$L$37-1)),0,YEARFRAC(MAX($P$34*($B362+$I$38-1),IF(AND($L$37=0,$P$34=0),"",$L$37-1)),MIN(CM$38,$E362),$P$20))-SUM($BF362:CL362))</f>
        <v>0</v>
      </c>
      <c r="CN362" s="446">
        <f>IF($E362=0,0,IF(MIN(CN$38,$E362)&lt;MAX($P$34*($B362+$I$38-1),IF(AND($L$37=0,$P$34=0),"",$L$37-1)),0,YEARFRAC(MAX($P$34*($B362+$I$38-1),IF(AND($L$37=0,$P$34=0),"",$L$37-1)),MIN(CN$38,$E362),$P$20))-SUM($BF362:CM362))</f>
        <v>0</v>
      </c>
      <c r="CO362" s="446">
        <f>IF($E362=0,0,IF(MIN(CO$38,$E362)&lt;MAX($P$34*($B362+$I$38-1),IF(AND($L$37=0,$P$34=0),"",$L$37-1)),0,YEARFRAC(MAX($P$34*($B362+$I$38-1),IF(AND($L$37=0,$P$34=0),"",$L$37-1)),MIN(CO$38,$E362),$P$20))-SUM($BF362:CN362))</f>
        <v>0</v>
      </c>
      <c r="CP362" s="446">
        <f>IF($E362=0,0,IF(MIN(CP$38,$E362)&lt;MAX($P$34*($B362+$I$38-1),IF(AND($L$37=0,$P$34=0),"",$L$37-1)),0,YEARFRAC(MAX($P$34*($B362+$I$38-1),IF(AND($L$37=0,$P$34=0),"",$L$37-1)),MIN(CP$38,$E362),$P$20))-SUM($BF362:CO362))</f>
        <v>0</v>
      </c>
      <c r="CQ362" s="446">
        <f>IF($E362=0,0,IF(MIN(CQ$38,$E362)&lt;MAX($P$34*($B362+$I$38-1),IF(AND($L$37=0,$P$34=0),"",$L$37-1)),0,YEARFRAC(MAX($P$34*($B362+$I$38-1),IF(AND($L$37=0,$P$34=0),"",$L$37-1)),MIN(CQ$38,$E362),$P$20))-SUM($BF362:CP362))</f>
        <v>0</v>
      </c>
    </row>
    <row r="363" spans="1:95" s="446" customFormat="1" ht="11.25" hidden="1" customHeight="1" x14ac:dyDescent="0.2">
      <c r="A363" s="152"/>
      <c r="B363" s="153" t="str">
        <f t="shared" si="70"/>
        <v/>
      </c>
      <c r="C363" s="29" t="str">
        <f>IF(B363="","",IF($L$35="SELIC - TRIBUTOS",VLOOKUP(DATE(YEAR($D$19),MONTH($D$19)-1,1),ÍNDICES!$A:$DE,HLOOKUP($BL$25,ÍNDICES!$B$3:$T$4,2)+11)-VLOOKUP(B363,ÍNDICES!$A:$DE,HLOOKUP($BL$25,ÍNDICES!$B$3:$T$4,2)+11)+1%,IF(C$38=$W$26,$J$35,IF(ISERROR(IF(B363&gt;$D$19,1,VLOOKUP(DATE(YEAR(B363),MONTH(B363)+IF($C$35=$S$23,1,0),1),ÍNDICES!$A:$DE,$Z$35+1))),"",IF(B363&gt;$D$19,1,VLOOKUP(DATE(YEAR(B363),MONTH(B363)+IF($C$35=$S$23,1,0),1),ÍNDICES!$A:$DE,$Z$35+1))))))</f>
        <v/>
      </c>
      <c r="D363" s="154" t="str">
        <f>IF(ISERROR(IF(OR($D$38=$Y$27,$B363=""),"",VLOOKUP(B363,ÍNDICES!A:DE,AF$35+1))),"",IF(OR($D$38=$Y$27,$B363=""),"",VLOOKUP(B363,ÍNDICES!A:DE,AF$35+1)))</f>
        <v/>
      </c>
      <c r="E363" s="153"/>
      <c r="F363" s="29" t="str">
        <f>IF(E363="","",IF($L$35="SELIC - TRIBUTOS",VLOOKUP(DATE(YEAR($D$19),MONTH($D$19)-1,1),ÍNDICES!$A:$DE,HLOOKUP($BL$25,ÍNDICES!$B$3:$T$4,2)+11)-VLOOKUP(E363,ÍNDICES!$A:$DE,HLOOKUP($BL$25,ÍNDICES!$B$3:$T$4,2)+11)+1%,IF(F$38=$W$26,$J$35,IF(ISERROR(IF(E363&gt;$D$19,1,VLOOKUP(DATE(YEAR(E363),MONTH(E363)+IF($C$35=$S$23,1,0),1),ÍNDICES!$A:$DE,$Z$35+1))),"",IF(E363&gt;$D$19,1,VLOOKUP(DATE(YEAR(E363),MONTH(E363)+IF($C$35=$S$23,1,0),1),ÍNDICES!$A:$DE,$Z$35+1))))))</f>
        <v/>
      </c>
      <c r="G363" s="155"/>
      <c r="H363" s="156" t="str">
        <f t="shared" si="66"/>
        <v/>
      </c>
      <c r="I363" s="29" t="str">
        <f t="shared" si="60"/>
        <v/>
      </c>
      <c r="J363" s="5">
        <f t="shared" si="61"/>
        <v>0</v>
      </c>
      <c r="K363" s="20">
        <f t="shared" ca="1" si="62"/>
        <v>0</v>
      </c>
      <c r="L363" s="5">
        <f t="shared" ca="1" si="63"/>
        <v>0</v>
      </c>
      <c r="M363" s="64">
        <f t="shared" si="67"/>
        <v>0</v>
      </c>
      <c r="N363" s="61">
        <f t="shared" ca="1" si="68"/>
        <v>0</v>
      </c>
      <c r="O363" s="5">
        <f t="shared" ca="1" si="69"/>
        <v>0</v>
      </c>
      <c r="P363" s="446" t="e">
        <f t="shared" si="64"/>
        <v>#VALUE!</v>
      </c>
      <c r="Q363" s="446" t="e">
        <f>IF(OR($B363="",MIN(Q$38,$D$19)&lt;MAX($P$34*($B363+IF($R$17="Distrato",$I$38-1,0)),IF(AND($L$37=0,$P$34=0),"",$L$37-1),IF($R$17="Distrato",$E363,0))),0,YEARFRAC(MAX($P$34*($B363+IF($R$17="Distrato",$I$38-1,0)),IF(AND($L$37=0,$P$34=0),"",$L$37-1),IF($R$17="Distrato",$E363,0)),MIN(Q$38,$D$19),$P$20))-SUM($P363:P363)</f>
        <v>#VALUE!</v>
      </c>
      <c r="R363" s="446" t="e">
        <f>IF(OR($B363="",MIN(R$38,$D$19)&lt;MAX($P$34*($B363+IF($R$17="Distrato",$I$38-1,0)),IF(AND($L$37=0,$P$34=0),"",$L$37-1),IF($R$17="Distrato",$E363,0))),0,YEARFRAC(MAX($P$34*($B363+IF($R$17="Distrato",$I$38-1,0)),IF(AND($L$37=0,$P$34=0),"",$L$37-1),IF($R$17="Distrato",$E363,0)),MIN(R$38,$D$19),$P$20))-SUM($P363:Q363)</f>
        <v>#VALUE!</v>
      </c>
      <c r="S363" s="446" t="e">
        <f>IF(OR($B363="",MIN(S$38,$D$19)&lt;MAX($P$34*($B363+IF($R$17="Distrato",$I$38-1,0)),IF(AND($L$37=0,$P$34=0),"",$L$37-1),IF($R$17="Distrato",$E363,0))),0,YEARFRAC(MAX($P$34*($B363+IF($R$17="Distrato",$I$38-1,0)),IF(AND($L$37=0,$P$34=0),"",$L$37-1),IF($R$17="Distrato",$E363,0)),MIN(S$38,$D$19),$P$20))-SUM($P363:R363)</f>
        <v>#VALUE!</v>
      </c>
      <c r="T363" s="446" t="e">
        <f>IF(OR($B363="",MIN(T$38,$D$19)&lt;MAX($P$34*($B363+IF($R$17="Distrato",$I$38-1,0)),IF(AND($L$37=0,$P$34=0),"",$L$37-1),IF($R$17="Distrato",$E363,0))),0,YEARFRAC(MAX($P$34*($B363+IF($R$17="Distrato",$I$38-1,0)),IF(AND($L$37=0,$P$34=0),"",$L$37-1),IF($R$17="Distrato",$E363,0)),MIN(T$38,$D$19),$P$20))-SUM($P363:S363)</f>
        <v>#VALUE!</v>
      </c>
      <c r="U363" s="446" t="e">
        <f>IF(OR($B363="",MIN(U$38,$D$19)&lt;MAX($P$34*($B363+IF($R$17="Distrato",$I$38-1,0)),IF(AND($L$37=0,$P$34=0),"",$L$37-1),IF($R$17="Distrato",$E363,0))),0,YEARFRAC(MAX($P$34*($B363+IF($R$17="Distrato",$I$38-1,0)),IF(AND($L$37=0,$P$34=0),"",$L$37-1),IF($R$17="Distrato",$E363,0)),MIN(U$38,$D$19),$P$20))-SUM($P363:T363)</f>
        <v>#VALUE!</v>
      </c>
      <c r="V363" s="446" t="e">
        <f>IF(OR($B363="",MIN(V$38,$D$19)&lt;MAX($P$34*($B363+IF($R$17="Distrato",$I$38-1,0)),IF(AND($L$37=0,$P$34=0),"",$L$37-1),IF($R$17="Distrato",$E363,0))),0,YEARFRAC(MAX($P$34*($B363+IF($R$17="Distrato",$I$38-1,0)),IF(AND($L$37=0,$P$34=0),"",$L$37-1),IF($R$17="Distrato",$E363,0)),MIN(V$38,$D$19),$P$20))-SUM($P363:U363)</f>
        <v>#VALUE!</v>
      </c>
      <c r="W363" s="446" t="e">
        <f>IF(OR($B363="",MIN(W$38,$D$19)&lt;MAX($P$34*($B363+IF($R$17="Distrato",$I$38-1,0)),IF(AND($L$37=0,$P$34=0),"",$L$37-1),IF($R$17="Distrato",$E363,0))),0,YEARFRAC(MAX($P$34*($B363+IF($R$17="Distrato",$I$38-1,0)),IF(AND($L$37=0,$P$34=0),"",$L$37-1),IF($R$17="Distrato",$E363,0)),MIN(W$38,$D$19),$P$20))-SUM($P363:V363)</f>
        <v>#VALUE!</v>
      </c>
      <c r="X363" s="446" t="e">
        <f>IF(OR($B363="",MIN(X$38,$D$19)&lt;MAX($P$34*($B363+IF($R$17="Distrato",$I$38-1,0)),IF(AND($L$37=0,$P$34=0),"",$L$37-1),IF($R$17="Distrato",$E363,0))),0,YEARFRAC(MAX($P$34*($B363+IF($R$17="Distrato",$I$38-1,0)),IF(AND($L$37=0,$P$34=0),"",$L$37-1),IF($R$17="Distrato",$E363,0)),MIN(X$38,$D$19),$P$20))-SUM($P363:W363)</f>
        <v>#VALUE!</v>
      </c>
      <c r="Y363" s="446" t="e">
        <f>IF(OR($B363="",MIN(Y$38,$D$19)&lt;MAX($P$34*($B363+IF($R$17="Distrato",$I$38-1,0)),IF(AND($L$37=0,$P$34=0),"",$L$37-1),IF($R$17="Distrato",$E363,0))),0,YEARFRAC(MAX($P$34*($B363+IF($R$17="Distrato",$I$38-1,0)),IF(AND($L$37=0,$P$34=0),"",$L$37-1),IF($R$17="Distrato",$E363,0)),MIN(Y$38,$D$19),$P$20))-SUM($P363:X363)</f>
        <v>#VALUE!</v>
      </c>
      <c r="Z363" s="446" t="e">
        <f>IF(OR($B363="",MIN(Z$38,$D$19)&lt;MAX($P$34*($B363+IF($R$17="Distrato",$I$38-1,0)),IF(AND($L$37=0,$P$34=0),"",$L$37-1),IF($R$17="Distrato",$E363,0))),0,YEARFRAC(MAX($P$34*($B363+IF($R$17="Distrato",$I$38-1,0)),IF(AND($L$37=0,$P$34=0),"",$L$37-1),IF($R$17="Distrato",$E363,0)),MIN(Z$38,$D$19),$P$20))-SUM($P363:Y363)</f>
        <v>#VALUE!</v>
      </c>
      <c r="AA363" s="446" t="e">
        <f>IF(OR($B363="",MIN(AA$38,$D$19)&lt;MAX($P$34*($B363+IF($R$17="Distrato",$I$38-1,0)),IF(AND($L$37=0,$P$34=0),"",$L$37-1),IF($R$17="Distrato",$E363,0))),0,YEARFRAC(MAX($P$34*($B363+IF($R$17="Distrato",$I$38-1,0)),IF(AND($L$37=0,$P$34=0),"",$L$37-1),IF($R$17="Distrato",$E363,0)),MIN(AA$38,$D$19),$P$20))-SUM($P363:Z363)</f>
        <v>#VALUE!</v>
      </c>
      <c r="AB363" s="446" t="e">
        <f>IF(OR($B363="",MIN(AB$38,$D$19)&lt;MAX($P$34*($B363+IF($R$17="Distrato",$I$38-1,0)),IF(AND($L$37=0,$P$34=0),"",$L$37-1),IF($R$17="Distrato",$E363,0))),0,YEARFRAC(MAX($P$34*($B363+IF($R$17="Distrato",$I$38-1,0)),IF(AND($L$37=0,$P$34=0),"",$L$37-1),IF($R$17="Distrato",$E363,0)),MIN(AB$38,$D$19),$P$20))-SUM($P363:AA363)</f>
        <v>#VALUE!</v>
      </c>
      <c r="AC363" s="446" t="e">
        <f>IF(OR($B363="",MIN(AC$38,$D$19)&lt;MAX($P$34*($B363+IF($R$17="Distrato",$I$38-1,0)),IF(AND($L$37=0,$P$34=0),"",$L$37-1),IF($R$17="Distrato",$E363,0))),0,YEARFRAC(MAX($P$34*($B363+IF($R$17="Distrato",$I$38-1,0)),IF(AND($L$37=0,$P$34=0),"",$L$37-1),IF($R$17="Distrato",$E363,0)),MIN(AC$38,$D$19),$P$20))-SUM($P363:AB363)</f>
        <v>#VALUE!</v>
      </c>
      <c r="AD363" s="446" t="e">
        <f>IF(OR($B363="",MIN(AD$38,$D$19)&lt;MAX($P$34*($B363+IF($R$17="Distrato",$I$38-1,0)),IF(AND($L$37=0,$P$34=0),"",$L$37-1),IF($R$17="Distrato",$E363,0))),0,YEARFRAC(MAX($P$34*($B363+IF($R$17="Distrato",$I$38-1,0)),IF(AND($L$37=0,$P$34=0),"",$L$37-1),IF($R$17="Distrato",$E363,0)),MIN(AD$38,$D$19),$P$20))-SUM($P363:AC363)</f>
        <v>#VALUE!</v>
      </c>
      <c r="AE363" s="446" t="e">
        <f>IF(OR($B363="",MIN(AE$38,$D$19)&lt;MAX($P$34*($B363+IF($R$17="Distrato",$I$38-1,0)),IF(AND($L$37=0,$P$34=0),"",$L$37-1),IF($R$17="Distrato",$E363,0))),0,YEARFRAC(MAX($P$34*($B363+IF($R$17="Distrato",$I$38-1,0)),IF(AND($L$37=0,$P$34=0),"",$L$37-1),IF($R$17="Distrato",$E363,0)),MIN(AE$38,$D$19),$P$20))-SUM($P363:AD363)</f>
        <v>#VALUE!</v>
      </c>
      <c r="AF363" s="446" t="e">
        <f>IF(OR($B363="",MIN(AF$38,$D$19)&lt;MAX($P$34*($B363+IF($R$17="Distrato",$I$38-1,0)),IF(AND($L$37=0,$P$34=0),"",$L$37-1),IF($R$17="Distrato",$E363,0))),0,YEARFRAC(MAX($P$34*($B363+IF($R$17="Distrato",$I$38-1,0)),IF(AND($L$37=0,$P$34=0),"",$L$37-1),IF($R$17="Distrato",$E363,0)),MIN(AF$38,$D$19),$P$20))-SUM($P363:AE363)</f>
        <v>#VALUE!</v>
      </c>
      <c r="AG363" s="446" t="e">
        <f>IF(OR($B363="",MIN(AG$38,$D$19)&lt;MAX($P$34*($B363+IF($R$17="Distrato",$I$38-1,0)),IF(AND($L$37=0,$P$34=0),"",$L$37-1),IF($R$17="Distrato",$E363,0))),0,YEARFRAC(MAX($P$34*($B363+IF($R$17="Distrato",$I$38-1,0)),IF(AND($L$37=0,$P$34=0),"",$L$37-1),IF($R$17="Distrato",$E363,0)),MIN(AG$38,$D$19),$P$20))-SUM($P363:AF363)</f>
        <v>#VALUE!</v>
      </c>
      <c r="AH363" s="446" t="e">
        <f>IF(OR($B363="",MIN(AH$38,$D$19)&lt;MAX($P$34*($B363+IF($R$17="Distrato",$I$38-1,0)),IF(AND($L$37=0,$P$34=0),"",$L$37-1),IF($R$17="Distrato",$E363,0))),0,YEARFRAC(MAX($P$34*($B363+IF($R$17="Distrato",$I$38-1,0)),IF(AND($L$37=0,$P$34=0),"",$L$37-1),IF($R$17="Distrato",$E363,0)),MIN(AH$38,$D$19),$P$20))-SUM($P363:AG363)</f>
        <v>#VALUE!</v>
      </c>
      <c r="AI363" s="446" t="e">
        <f>IF(OR($B363="",MIN(AI$38,$D$19)&lt;MAX($P$34*($B363+IF($R$17="Distrato",$I$38-1,0)),IF(AND($L$37=0,$P$34=0),"",$L$37-1),IF($R$17="Distrato",$E363,0))),0,YEARFRAC(MAX($P$34*($B363+IF($R$17="Distrato",$I$38-1,0)),IF(AND($L$37=0,$P$34=0),"",$L$37-1),IF($R$17="Distrato",$E363,0)),MIN(AI$38,$D$19),$P$20))-SUM($P363:AH363)</f>
        <v>#VALUE!</v>
      </c>
      <c r="AJ363" s="446" t="e">
        <f>IF(OR($B363="",MIN(AJ$38,$D$19)&lt;MAX($P$34*($B363+IF($R$17="Distrato",$I$38-1,0)),IF(AND($L$37=0,$P$34=0),"",$L$37-1),IF($R$17="Distrato",$E363,0))),0,YEARFRAC(MAX($P$34*($B363+IF($R$17="Distrato",$I$38-1,0)),IF(AND($L$37=0,$P$34=0),"",$L$37-1),IF($R$17="Distrato",$E363,0)),MIN(AJ$38,$D$19),$P$20))-SUM($P363:AI363)</f>
        <v>#VALUE!</v>
      </c>
      <c r="AK363" s="446" t="e">
        <f>IF(OR($B363="",MIN(AK$38,$D$19)&lt;MAX($P$34*($B363+IF($R$17="Distrato",$I$38-1,0)),IF(AND($L$37=0,$P$34=0),"",$L$37-1),IF($R$17="Distrato",$E363,0))),0,YEARFRAC(MAX($P$34*($B363+IF($R$17="Distrato",$I$38-1,0)),IF(AND($L$37=0,$P$34=0),"",$L$37-1),IF($R$17="Distrato",$E363,0)),MIN(AK$38,$D$19),$P$20))-SUM($P363:AJ363)</f>
        <v>#VALUE!</v>
      </c>
      <c r="AL363" s="446" t="e">
        <f>IF(OR($B363="",MIN(AL$38,$D$19)&lt;MAX($P$34*($B363+IF($R$17="Distrato",$I$38-1,0)),IF(AND($L$37=0,$P$34=0),"",$L$37-1),IF($R$17="Distrato",$E363,0))),0,YEARFRAC(MAX($P$34*($B363+IF($R$17="Distrato",$I$38-1,0)),IF(AND($L$37=0,$P$34=0),"",$L$37-1),IF($R$17="Distrato",$E363,0)),MIN(AL$38,$D$19),$P$20))-SUM($P363:AK363)</f>
        <v>#VALUE!</v>
      </c>
      <c r="AM363" s="446" t="e">
        <f>IF(OR($B363="",MIN(AM$38,$D$19)&lt;MAX($P$34*($B363+IF($R$17="Distrato",$I$38-1,0)),IF(AND($L$37=0,$P$34=0),"",$L$37-1),IF($R$17="Distrato",$E363,0))),0,YEARFRAC(MAX($P$34*($B363+IF($R$17="Distrato",$I$38-1,0)),IF(AND($L$37=0,$P$34=0),"",$L$37-1),IF($R$17="Distrato",$E363,0)),MIN(AM$38,$D$19),$P$20))-SUM($P363:AL363)</f>
        <v>#VALUE!</v>
      </c>
      <c r="AN363" s="446" t="e">
        <f>IF(OR($B363="",MIN(AN$38,$D$19)&lt;MAX($P$34*($B363+IF($R$17="Distrato",$I$38-1,0)),IF(AND($L$37=0,$P$34=0),"",$L$37-1),IF($R$17="Distrato",$E363,0))),0,YEARFRAC(MAX($P$34*($B363+IF($R$17="Distrato",$I$38-1,0)),IF(AND($L$37=0,$P$34=0),"",$L$37-1),IF($R$17="Distrato",$E363,0)),MIN(AN$38,$D$19),$P$20))-SUM($P363:AM363)</f>
        <v>#VALUE!</v>
      </c>
      <c r="AO363" s="446" t="e">
        <f>IF(OR($B363="",MIN(AO$38,$D$19)&lt;MAX($P$34*($B363+IF($R$17="Distrato",$I$38-1,0)),IF(AND($L$37=0,$P$34=0),"",$L$37-1),IF($R$17="Distrato",$E363,0))),0,YEARFRAC(MAX($P$34*($B363+IF($R$17="Distrato",$I$38-1,0)),IF(AND($L$37=0,$P$34=0),"",$L$37-1),IF($R$17="Distrato",$E363,0)),MIN(AO$38,$D$19),$P$20))-SUM($P363:AN363)</f>
        <v>#VALUE!</v>
      </c>
      <c r="AP363" s="446" t="e">
        <f>IF(OR($B363="",MIN(AP$38,$D$19)&lt;MAX($P$34*($B363+IF($R$17="Distrato",$I$38-1,0)),IF(AND($L$37=0,$P$34=0),"",$L$37-1),IF($R$17="Distrato",$E363,0))),0,YEARFRAC(MAX($P$34*($B363+IF($R$17="Distrato",$I$38-1,0)),IF(AND($L$37=0,$P$34=0),"",$L$37-1),IF($R$17="Distrato",$E363,0)),MIN(AP$38,$D$19),$P$20))-SUM($P363:AO363)</f>
        <v>#VALUE!</v>
      </c>
      <c r="AQ363" s="446" t="e">
        <f>IF(OR($B363="",MIN(AQ$38,$D$19)&lt;MAX($P$34*($B363+IF($R$17="Distrato",$I$38-1,0)),IF(AND($L$37=0,$P$34=0),"",$L$37-1),IF($R$17="Distrato",$E363,0))),0,YEARFRAC(MAX($P$34*($B363+IF($R$17="Distrato",$I$38-1,0)),IF(AND($L$37=0,$P$34=0),"",$L$37-1),IF($R$17="Distrato",$E363,0)),MIN(AQ$38,$D$19),$P$20))-SUM($P363:AP363)</f>
        <v>#VALUE!</v>
      </c>
      <c r="AR363" s="446" t="e">
        <f>IF(OR($B363="",MIN(AR$38,$D$19)&lt;MAX($P$34*($B363+IF($R$17="Distrato",$I$38-1,0)),IF(AND($L$37=0,$P$34=0),"",$L$37-1),IF($R$17="Distrato",$E363,0))),0,YEARFRAC(MAX($P$34*($B363+IF($R$17="Distrato",$I$38-1,0)),IF(AND($L$37=0,$P$34=0),"",$L$37-1),IF($R$17="Distrato",$E363,0)),MIN(AR$38,$D$19),$P$20))-SUM($P363:AQ363)</f>
        <v>#VALUE!</v>
      </c>
      <c r="AS363" s="446" t="e">
        <f>IF(OR($B363="",MIN(AS$38,$D$19)&lt;MAX($P$34*($B363+IF($R$17="Distrato",$I$38-1,0)),IF(AND($L$37=0,$P$34=0),"",$L$37-1),IF($R$17="Distrato",$E363,0))),0,YEARFRAC(MAX($P$34*($B363+IF($R$17="Distrato",$I$38-1,0)),IF(AND($L$37=0,$P$34=0),"",$L$37-1),IF($R$17="Distrato",$E363,0)),MIN(AS$38,$D$19),$P$20))-SUM($P363:AR363)</f>
        <v>#VALUE!</v>
      </c>
      <c r="AT363" s="446" t="e">
        <f>IF(OR($B363="",MIN(AT$38,$D$19)&lt;MAX($P$34*($B363+IF($R$17="Distrato",$I$38-1,0)),IF(AND($L$37=0,$P$34=0),"",$L$37-1),IF($R$17="Distrato",$E363,0))),0,YEARFRAC(MAX($P$34*($B363+IF($R$17="Distrato",$I$38-1,0)),IF(AND($L$37=0,$P$34=0),"",$L$37-1),IF($R$17="Distrato",$E363,0)),MIN(AT$38,$D$19),$P$20))-SUM($P363:AS363)</f>
        <v>#VALUE!</v>
      </c>
      <c r="AU363" s="446" t="e">
        <f>IF(OR($B363="",MIN(AU$38,$D$19)&lt;MAX($P$34*($B363+IF($R$17="Distrato",$I$38-1,0)),IF(AND($L$37=0,$P$34=0),"",$L$37-1),IF($R$17="Distrato",$E363,0))),0,YEARFRAC(MAX($P$34*($B363+IF($R$17="Distrato",$I$38-1,0)),IF(AND($L$37=0,$P$34=0),"",$L$37-1),IF($R$17="Distrato",$E363,0)),MIN(AU$38,$D$19),$P$20))-SUM($P363:AT363)</f>
        <v>#VALUE!</v>
      </c>
      <c r="AV363" s="446" t="e">
        <f>IF(OR($B363="",MIN(AV$38,$D$19)&lt;MAX($P$34*($B363+IF($R$17="Distrato",$I$38-1,0)),IF(AND($L$37=0,$P$34=0),"",$L$37-1),IF($R$17="Distrato",$E363,0))),0,YEARFRAC(MAX($P$34*($B363+IF($R$17="Distrato",$I$38-1,0)),IF(AND($L$37=0,$P$34=0),"",$L$37-1),IF($R$17="Distrato",$E363,0)),MIN(AV$38,$D$19),$P$20))-SUM($P363:AU363)</f>
        <v>#VALUE!</v>
      </c>
      <c r="AW363" s="446" t="e">
        <f>IF(OR($B363="",MIN(AW$38,$D$19)&lt;MAX($P$34*($B363+IF($R$17="Distrato",$I$38-1,0)),IF(AND($L$37=0,$P$34=0),"",$L$37-1),IF($R$17="Distrato",$E363,0))),0,YEARFRAC(MAX($P$34*($B363+IF($R$17="Distrato",$I$38-1,0)),IF(AND($L$37=0,$P$34=0),"",$L$37-1),IF($R$17="Distrato",$E363,0)),MIN(AW$38,$D$19),$P$20))-SUM($P363:AV363)</f>
        <v>#VALUE!</v>
      </c>
      <c r="AX363" s="446" t="e">
        <f>IF(OR($B363="",MIN(AX$38,$D$19)&lt;MAX($P$34*($B363+IF($R$17="Distrato",$I$38-1,0)),IF(AND($L$37=0,$P$34=0),"",$L$37-1),IF($R$17="Distrato",$E363,0))),0,YEARFRAC(MAX($P$34*($B363+IF($R$17="Distrato",$I$38-1,0)),IF(AND($L$37=0,$P$34=0),"",$L$37-1),IF($R$17="Distrato",$E363,0)),MIN(AX$38,$D$19),$P$20))-SUM($P363:AW363)</f>
        <v>#VALUE!</v>
      </c>
      <c r="AY363" s="446" t="e">
        <f>IF(OR($B363="",MIN(AY$38,$D$19)&lt;MAX($P$34*($B363+IF($R$17="Distrato",$I$38-1,0)),IF(AND($L$37=0,$P$34=0),"",$L$37-1),IF($R$17="Distrato",$E363,0))),0,YEARFRAC(MAX($P$34*($B363+IF($R$17="Distrato",$I$38-1,0)),IF(AND($L$37=0,$P$34=0),"",$L$37-1),IF($R$17="Distrato",$E363,0)),MIN(AY$38,$D$19),$P$20))-SUM($P363:AX363)</f>
        <v>#VALUE!</v>
      </c>
      <c r="AZ363" s="446" t="e">
        <f>IF(OR($B363="",MIN(AZ$38,$D$19)&lt;MAX($P$34*($B363+IF($R$17="Distrato",$I$38-1,0)),IF(AND($L$37=0,$P$34=0),"",$L$37-1),IF($R$17="Distrato",$E363,0))),0,YEARFRAC(MAX($P$34*($B363+IF($R$17="Distrato",$I$38-1,0)),IF(AND($L$37=0,$P$34=0),"",$L$37-1),IF($R$17="Distrato",$E363,0)),MIN(AZ$38,$D$19),$P$20))-SUM($P363:AY363)</f>
        <v>#VALUE!</v>
      </c>
      <c r="BA363" s="446" t="e">
        <f>IF(OR($B363="",MIN(BA$38,$D$19)&lt;MAX($P$34*($B363+IF($R$17="Distrato",$I$38-1,0)),IF(AND($L$37=0,$P$34=0),"",$L$37-1),IF($R$17="Distrato",$E363,0))),0,YEARFRAC(MAX($P$34*($B363+IF($R$17="Distrato",$I$38-1,0)),IF(AND($L$37=0,$P$34=0),"",$L$37-1),IF($R$17="Distrato",$E363,0)),MIN(BA$38,$D$19),$P$20))-SUM($P363:AZ363)</f>
        <v>#VALUE!</v>
      </c>
      <c r="BB363" s="447"/>
      <c r="BF363" s="446">
        <f t="shared" si="65"/>
        <v>0</v>
      </c>
      <c r="BG363" s="446">
        <f>IF($E363=0,0,IF(MIN(BG$38,$E363)&lt;MAX($P$34*($B363+$I$38-1),IF(AND($L$37=0,$P$34=0),"",$L$37-1)),0,YEARFRAC(MAX($P$34*($B363+$I$38-1),IF(AND($L$37=0,$P$34=0),"",$L$37-1)),MIN(BG$38,$E363),$P$20))-SUM($BF363:BF363))</f>
        <v>0</v>
      </c>
      <c r="BH363" s="446">
        <f>IF($E363=0,0,IF(MIN(BH$38,$E363)&lt;MAX($P$34*($B363+$I$38-1),IF(AND($L$37=0,$P$34=0),"",$L$37-1)),0,YEARFRAC(MAX($P$34*($B363+$I$38-1),IF(AND($L$37=0,$P$34=0),"",$L$37-1)),MIN(BH$38,$E363),$P$20))-SUM($BF363:BG363))</f>
        <v>0</v>
      </c>
      <c r="BI363" s="446">
        <f>IF($E363=0,0,IF(MIN(BI$38,$E363)&lt;MAX($P$34*($B363+$I$38-1),IF(AND($L$37=0,$P$34=0),"",$L$37-1)),0,YEARFRAC(MAX($P$34*($B363+$I$38-1),IF(AND($L$37=0,$P$34=0),"",$L$37-1)),MIN(BI$38,$E363),$P$20))-SUM($BF363:BH363))</f>
        <v>0</v>
      </c>
      <c r="BJ363" s="446">
        <f>IF($E363=0,0,IF(MIN(BJ$38,$E363)&lt;MAX($P$34*($B363+$I$38-1),IF(AND($L$37=0,$P$34=0),"",$L$37-1)),0,YEARFRAC(MAX($P$34*($B363+$I$38-1),IF(AND($L$37=0,$P$34=0),"",$L$37-1)),MIN(BJ$38,$E363),$P$20))-SUM($BF363:BI363))</f>
        <v>0</v>
      </c>
      <c r="BK363" s="446">
        <f>IF($E363=0,0,IF(MIN(BK$38,$E363)&lt;MAX($P$34*($B363+$I$38-1),IF(AND($L$37=0,$P$34=0),"",$L$37-1)),0,YEARFRAC(MAX($P$34*($B363+$I$38-1),IF(AND($L$37=0,$P$34=0),"",$L$37-1)),MIN(BK$38,$E363),$P$20))-SUM($BF363:BJ363))</f>
        <v>0</v>
      </c>
      <c r="BL363" s="446">
        <f>IF($E363=0,0,IF(MIN(BL$38,$E363)&lt;MAX($P$34*($B363+$I$38-1),IF(AND($L$37=0,$P$34=0),"",$L$37-1)),0,YEARFRAC(MAX($P$34*($B363+$I$38-1),IF(AND($L$37=0,$P$34=0),"",$L$37-1)),MIN(BL$38,$E363),$P$20))-SUM($BF363:BK363))</f>
        <v>0</v>
      </c>
      <c r="BM363" s="446">
        <f>IF($E363=0,0,IF(MIN(BM$38,$E363)&lt;MAX($P$34*($B363+$I$38-1),IF(AND($L$37=0,$P$34=0),"",$L$37-1)),0,YEARFRAC(MAX($P$34*($B363+$I$38-1),IF(AND($L$37=0,$P$34=0),"",$L$37-1)),MIN(BM$38,$E363),$P$20))-SUM($BF363:BL363))</f>
        <v>0</v>
      </c>
      <c r="BN363" s="446">
        <f>IF($E363=0,0,IF(MIN(BN$38,$E363)&lt;MAX($P$34*($B363+$I$38-1),IF(AND($L$37=0,$P$34=0),"",$L$37-1)),0,YEARFRAC(MAX($P$34*($B363+$I$38-1),IF(AND($L$37=0,$P$34=0),"",$L$37-1)),MIN(BN$38,$E363),$P$20))-SUM($BF363:BM363))</f>
        <v>0</v>
      </c>
      <c r="BO363" s="446">
        <f>IF($E363=0,0,IF(MIN(BO$38,$E363)&lt;MAX($P$34*($B363+$I$38-1),IF(AND($L$37=0,$P$34=0),"",$L$37-1)),0,YEARFRAC(MAX($P$34*($B363+$I$38-1),IF(AND($L$37=0,$P$34=0),"",$L$37-1)),MIN(BO$38,$E363),$P$20))-SUM($BF363:BN363))</f>
        <v>0</v>
      </c>
      <c r="BP363" s="446">
        <f>IF($E363=0,0,IF(MIN(BP$38,$E363)&lt;MAX($P$34*($B363+$I$38-1),IF(AND($L$37=0,$P$34=0),"",$L$37-1)),0,YEARFRAC(MAX($P$34*($B363+$I$38-1),IF(AND($L$37=0,$P$34=0),"",$L$37-1)),MIN(BP$38,$E363),$P$20))-SUM($BF363:BO363))</f>
        <v>0</v>
      </c>
      <c r="BQ363" s="446">
        <f>IF($E363=0,0,IF(MIN(BQ$38,$E363)&lt;MAX($P$34*($B363+$I$38-1),IF(AND($L$37=0,$P$34=0),"",$L$37-1)),0,YEARFRAC(MAX($P$34*($B363+$I$38-1),IF(AND($L$37=0,$P$34=0),"",$L$37-1)),MIN(BQ$38,$E363),$P$20))-SUM($BF363:BP363))</f>
        <v>0</v>
      </c>
      <c r="BR363" s="446">
        <f>IF($E363=0,0,IF(MIN(BR$38,$E363)&lt;MAX($P$34*($B363+$I$38-1),IF(AND($L$37=0,$P$34=0),"",$L$37-1)),0,YEARFRAC(MAX($P$34*($B363+$I$38-1),IF(AND($L$37=0,$P$34=0),"",$L$37-1)),MIN(BR$38,$E363),$P$20))-SUM($BF363:BQ363))</f>
        <v>0</v>
      </c>
      <c r="BS363" s="446">
        <f>IF($E363=0,0,IF(MIN(BS$38,$E363)&lt;MAX($P$34*($B363+$I$38-1),IF(AND($L$37=0,$P$34=0),"",$L$37-1)),0,YEARFRAC(MAX($P$34*($B363+$I$38-1),IF(AND($L$37=0,$P$34=0),"",$L$37-1)),MIN(BS$38,$E363),$P$20))-SUM($BF363:BR363))</f>
        <v>0</v>
      </c>
      <c r="BT363" s="446">
        <f>IF($E363=0,0,IF(MIN(BT$38,$E363)&lt;MAX($P$34*($B363+$I$38-1),IF(AND($L$37=0,$P$34=0),"",$L$37-1)),0,YEARFRAC(MAX($P$34*($B363+$I$38-1),IF(AND($L$37=0,$P$34=0),"",$L$37-1)),MIN(BT$38,$E363),$P$20))-SUM($BF363:BS363))</f>
        <v>0</v>
      </c>
      <c r="BU363" s="446">
        <f>IF($E363=0,0,IF(MIN(BU$38,$E363)&lt;MAX($P$34*($B363+$I$38-1),IF(AND($L$37=0,$P$34=0),"",$L$37-1)),0,YEARFRAC(MAX($P$34*($B363+$I$38-1),IF(AND($L$37=0,$P$34=0),"",$L$37-1)),MIN(BU$38,$E363),$P$20))-SUM($BF363:BT363))</f>
        <v>0</v>
      </c>
      <c r="BV363" s="446">
        <f>IF($E363=0,0,IF(MIN(BV$38,$E363)&lt;MAX($P$34*($B363+$I$38-1),IF(AND($L$37=0,$P$34=0),"",$L$37-1)),0,YEARFRAC(MAX($P$34*($B363+$I$38-1),IF(AND($L$37=0,$P$34=0),"",$L$37-1)),MIN(BV$38,$E363),$P$20))-SUM($BF363:BU363))</f>
        <v>0</v>
      </c>
      <c r="BW363" s="446">
        <f>IF($E363=0,0,IF(MIN(BW$38,$E363)&lt;MAX($P$34*($B363+$I$38-1),IF(AND($L$37=0,$P$34=0),"",$L$37-1)),0,YEARFRAC(MAX($P$34*($B363+$I$38-1),IF(AND($L$37=0,$P$34=0),"",$L$37-1)),MIN(BW$38,$E363),$P$20))-SUM($BF363:BV363))</f>
        <v>0</v>
      </c>
      <c r="BX363" s="446">
        <f>IF($E363=0,0,IF(MIN(BX$38,$E363)&lt;MAX($P$34*($B363+$I$38-1),IF(AND($L$37=0,$P$34=0),"",$L$37-1)),0,YEARFRAC(MAX($P$34*($B363+$I$38-1),IF(AND($L$37=0,$P$34=0),"",$L$37-1)),MIN(BX$38,$E363),$P$20))-SUM($BF363:BW363))</f>
        <v>0</v>
      </c>
      <c r="BY363" s="446">
        <f>IF($E363=0,0,IF(MIN(BY$38,$E363)&lt;MAX($P$34*($B363+$I$38-1),IF(AND($L$37=0,$P$34=0),"",$L$37-1)),0,YEARFRAC(MAX($P$34*($B363+$I$38-1),IF(AND($L$37=0,$P$34=0),"",$L$37-1)),MIN(BY$38,$E363),$P$20))-SUM($BF363:BX363))</f>
        <v>0</v>
      </c>
      <c r="BZ363" s="446">
        <f>IF($E363=0,0,IF(MIN(BZ$38,$E363)&lt;MAX($P$34*($B363+$I$38-1),IF(AND($L$37=0,$P$34=0),"",$L$37-1)),0,YEARFRAC(MAX($P$34*($B363+$I$38-1),IF(AND($L$37=0,$P$34=0),"",$L$37-1)),MIN(BZ$38,$E363),$P$20))-SUM($BF363:BY363))</f>
        <v>0</v>
      </c>
      <c r="CA363" s="446">
        <f>IF($E363=0,0,IF(MIN(CA$38,$E363)&lt;MAX($P$34*($B363+$I$38-1),IF(AND($L$37=0,$P$34=0),"",$L$37-1)),0,YEARFRAC(MAX($P$34*($B363+$I$38-1),IF(AND($L$37=0,$P$34=0),"",$L$37-1)),MIN(CA$38,$E363),$P$20))-SUM($BF363:BZ363))</f>
        <v>0</v>
      </c>
      <c r="CB363" s="446">
        <f>IF($E363=0,0,IF(MIN(CB$38,$E363)&lt;MAX($P$34*($B363+$I$38-1),IF(AND($L$37=0,$P$34=0),"",$L$37-1)),0,YEARFRAC(MAX($P$34*($B363+$I$38-1),IF(AND($L$37=0,$P$34=0),"",$L$37-1)),MIN(CB$38,$E363),$P$20))-SUM($BF363:CA363))</f>
        <v>0</v>
      </c>
      <c r="CC363" s="446">
        <f>IF($E363=0,0,IF(MIN(CC$38,$E363)&lt;MAX($P$34*($B363+$I$38-1),IF(AND($L$37=0,$P$34=0),"",$L$37-1)),0,YEARFRAC(MAX($P$34*($B363+$I$38-1),IF(AND($L$37=0,$P$34=0),"",$L$37-1)),MIN(CC$38,$E363),$P$20))-SUM($BF363:CB363))</f>
        <v>0</v>
      </c>
      <c r="CD363" s="446">
        <f>IF($E363=0,0,IF(MIN(CD$38,$E363)&lt;MAX($P$34*($B363+$I$38-1),IF(AND($L$37=0,$P$34=0),"",$L$37-1)),0,YEARFRAC(MAX($P$34*($B363+$I$38-1),IF(AND($L$37=0,$P$34=0),"",$L$37-1)),MIN(CD$38,$E363),$P$20))-SUM($BF363:CC363))</f>
        <v>0</v>
      </c>
      <c r="CE363" s="446">
        <f>IF($E363=0,0,IF(MIN(CE$38,$E363)&lt;MAX($P$34*($B363+$I$38-1),IF(AND($L$37=0,$P$34=0),"",$L$37-1)),0,YEARFRAC(MAX($P$34*($B363+$I$38-1),IF(AND($L$37=0,$P$34=0),"",$L$37-1)),MIN(CE$38,$E363),$P$20))-SUM($BF363:CD363))</f>
        <v>0</v>
      </c>
      <c r="CF363" s="446">
        <f>IF($E363=0,0,IF(MIN(CF$38,$E363)&lt;MAX($P$34*($B363+$I$38-1),IF(AND($L$37=0,$P$34=0),"",$L$37-1)),0,YEARFRAC(MAX($P$34*($B363+$I$38-1),IF(AND($L$37=0,$P$34=0),"",$L$37-1)),MIN(CF$38,$E363),$P$20))-SUM($BF363:CE363))</f>
        <v>0</v>
      </c>
      <c r="CG363" s="446">
        <f>IF($E363=0,0,IF(MIN(CG$38,$E363)&lt;MAX($P$34*($B363+$I$38-1),IF(AND($L$37=0,$P$34=0),"",$L$37-1)),0,YEARFRAC(MAX($P$34*($B363+$I$38-1),IF(AND($L$37=0,$P$34=0),"",$L$37-1)),MIN(CG$38,$E363),$P$20))-SUM($BF363:CF363))</f>
        <v>0</v>
      </c>
      <c r="CH363" s="446">
        <f>IF($E363=0,0,IF(MIN(CH$38,$E363)&lt;MAX($P$34*($B363+$I$38-1),IF(AND($L$37=0,$P$34=0),"",$L$37-1)),0,YEARFRAC(MAX($P$34*($B363+$I$38-1),IF(AND($L$37=0,$P$34=0),"",$L$37-1)),MIN(CH$38,$E363),$P$20))-SUM($BF363:CG363))</f>
        <v>0</v>
      </c>
      <c r="CI363" s="446">
        <f>IF($E363=0,0,IF(MIN(CI$38,$E363)&lt;MAX($P$34*($B363+$I$38-1),IF(AND($L$37=0,$P$34=0),"",$L$37-1)),0,YEARFRAC(MAX($P$34*($B363+$I$38-1),IF(AND($L$37=0,$P$34=0),"",$L$37-1)),MIN(CI$38,$E363),$P$20))-SUM($BF363:CH363))</f>
        <v>0</v>
      </c>
      <c r="CJ363" s="446">
        <f>IF($E363=0,0,IF(MIN(CJ$38,$E363)&lt;MAX($P$34*($B363+$I$38-1),IF(AND($L$37=0,$P$34=0),"",$L$37-1)),0,YEARFRAC(MAX($P$34*($B363+$I$38-1),IF(AND($L$37=0,$P$34=0),"",$L$37-1)),MIN(CJ$38,$E363),$P$20))-SUM($BF363:CI363))</f>
        <v>0</v>
      </c>
      <c r="CK363" s="446">
        <f>IF($E363=0,0,IF(MIN(CK$38,$E363)&lt;MAX($P$34*($B363+$I$38-1),IF(AND($L$37=0,$P$34=0),"",$L$37-1)),0,YEARFRAC(MAX($P$34*($B363+$I$38-1),IF(AND($L$37=0,$P$34=0),"",$L$37-1)),MIN(CK$38,$E363),$P$20))-SUM($BF363:CJ363))</f>
        <v>0</v>
      </c>
      <c r="CL363" s="446">
        <f>IF($E363=0,0,IF(MIN(CL$38,$E363)&lt;MAX($P$34*($B363+$I$38-1),IF(AND($L$37=0,$P$34=0),"",$L$37-1)),0,YEARFRAC(MAX($P$34*($B363+$I$38-1),IF(AND($L$37=0,$P$34=0),"",$L$37-1)),MIN(CL$38,$E363),$P$20))-SUM($BF363:CK363))</f>
        <v>0</v>
      </c>
      <c r="CM363" s="446">
        <f>IF($E363=0,0,IF(MIN(CM$38,$E363)&lt;MAX($P$34*($B363+$I$38-1),IF(AND($L$37=0,$P$34=0),"",$L$37-1)),0,YEARFRAC(MAX($P$34*($B363+$I$38-1),IF(AND($L$37=0,$P$34=0),"",$L$37-1)),MIN(CM$38,$E363),$P$20))-SUM($BF363:CL363))</f>
        <v>0</v>
      </c>
      <c r="CN363" s="446">
        <f>IF($E363=0,0,IF(MIN(CN$38,$E363)&lt;MAX($P$34*($B363+$I$38-1),IF(AND($L$37=0,$P$34=0),"",$L$37-1)),0,YEARFRAC(MAX($P$34*($B363+$I$38-1),IF(AND($L$37=0,$P$34=0),"",$L$37-1)),MIN(CN$38,$E363),$P$20))-SUM($BF363:CM363))</f>
        <v>0</v>
      </c>
      <c r="CO363" s="446">
        <f>IF($E363=0,0,IF(MIN(CO$38,$E363)&lt;MAX($P$34*($B363+$I$38-1),IF(AND($L$37=0,$P$34=0),"",$L$37-1)),0,YEARFRAC(MAX($P$34*($B363+$I$38-1),IF(AND($L$37=0,$P$34=0),"",$L$37-1)),MIN(CO$38,$E363),$P$20))-SUM($BF363:CN363))</f>
        <v>0</v>
      </c>
      <c r="CP363" s="446">
        <f>IF($E363=0,0,IF(MIN(CP$38,$E363)&lt;MAX($P$34*($B363+$I$38-1),IF(AND($L$37=0,$P$34=0),"",$L$37-1)),0,YEARFRAC(MAX($P$34*($B363+$I$38-1),IF(AND($L$37=0,$P$34=0),"",$L$37-1)),MIN(CP$38,$E363),$P$20))-SUM($BF363:CO363))</f>
        <v>0</v>
      </c>
      <c r="CQ363" s="446">
        <f>IF($E363=0,0,IF(MIN(CQ$38,$E363)&lt;MAX($P$34*($B363+$I$38-1),IF(AND($L$37=0,$P$34=0),"",$L$37-1)),0,YEARFRAC(MAX($P$34*($B363+$I$38-1),IF(AND($L$37=0,$P$34=0),"",$L$37-1)),MIN(CQ$38,$E363),$P$20))-SUM($BF363:CP363))</f>
        <v>0</v>
      </c>
    </row>
    <row r="364" spans="1:95" s="446" customFormat="1" ht="11.25" hidden="1" customHeight="1" x14ac:dyDescent="0.2">
      <c r="A364" s="152"/>
      <c r="B364" s="153" t="str">
        <f t="shared" si="70"/>
        <v/>
      </c>
      <c r="C364" s="29" t="str">
        <f>IF(B364="","",IF($L$35="SELIC - TRIBUTOS",VLOOKUP(DATE(YEAR($D$19),MONTH($D$19)-1,1),ÍNDICES!$A:$DE,HLOOKUP($BL$25,ÍNDICES!$B$3:$T$4,2)+11)-VLOOKUP(B364,ÍNDICES!$A:$DE,HLOOKUP($BL$25,ÍNDICES!$B$3:$T$4,2)+11)+1%,IF(C$38=$W$26,$J$35,IF(ISERROR(IF(B364&gt;$D$19,1,VLOOKUP(DATE(YEAR(B364),MONTH(B364)+IF($C$35=$S$23,1,0),1),ÍNDICES!$A:$DE,$Z$35+1))),"",IF(B364&gt;$D$19,1,VLOOKUP(DATE(YEAR(B364),MONTH(B364)+IF($C$35=$S$23,1,0),1),ÍNDICES!$A:$DE,$Z$35+1))))))</f>
        <v/>
      </c>
      <c r="D364" s="154" t="str">
        <f>IF(ISERROR(IF(OR($D$38=$Y$27,$B364=""),"",VLOOKUP(B364,ÍNDICES!A:DE,AF$35+1))),"",IF(OR($D$38=$Y$27,$B364=""),"",VLOOKUP(B364,ÍNDICES!A:DE,AF$35+1)))</f>
        <v/>
      </c>
      <c r="E364" s="153"/>
      <c r="F364" s="29" t="str">
        <f>IF(E364="","",IF($L$35="SELIC - TRIBUTOS",VLOOKUP(DATE(YEAR($D$19),MONTH($D$19)-1,1),ÍNDICES!$A:$DE,HLOOKUP($BL$25,ÍNDICES!$B$3:$T$4,2)+11)-VLOOKUP(E364,ÍNDICES!$A:$DE,HLOOKUP($BL$25,ÍNDICES!$B$3:$T$4,2)+11)+1%,IF(F$38=$W$26,$J$35,IF(ISERROR(IF(E364&gt;$D$19,1,VLOOKUP(DATE(YEAR(E364),MONTH(E364)+IF($C$35=$S$23,1,0),1),ÍNDICES!$A:$DE,$Z$35+1))),"",IF(E364&gt;$D$19,1,VLOOKUP(DATE(YEAR(E364),MONTH(E364)+IF($C$35=$S$23,1,0),1),ÍNDICES!$A:$DE,$Z$35+1))))))</f>
        <v/>
      </c>
      <c r="G364" s="155"/>
      <c r="H364" s="156" t="str">
        <f t="shared" si="66"/>
        <v/>
      </c>
      <c r="I364" s="29" t="str">
        <f t="shared" si="60"/>
        <v/>
      </c>
      <c r="J364" s="5">
        <f t="shared" si="61"/>
        <v>0</v>
      </c>
      <c r="K364" s="20">
        <f t="shared" ca="1" si="62"/>
        <v>0</v>
      </c>
      <c r="L364" s="5">
        <f t="shared" ca="1" si="63"/>
        <v>0</v>
      </c>
      <c r="M364" s="64">
        <f t="shared" si="67"/>
        <v>0</v>
      </c>
      <c r="N364" s="61">
        <f t="shared" ca="1" si="68"/>
        <v>0</v>
      </c>
      <c r="O364" s="5">
        <f t="shared" ca="1" si="69"/>
        <v>0</v>
      </c>
      <c r="P364" s="446" t="e">
        <f t="shared" si="64"/>
        <v>#VALUE!</v>
      </c>
      <c r="Q364" s="446" t="e">
        <f>IF(OR($B364="",MIN(Q$38,$D$19)&lt;MAX($P$34*($B364+IF($R$17="Distrato",$I$38-1,0)),IF(AND($L$37=0,$P$34=0),"",$L$37-1),IF($R$17="Distrato",$E364,0))),0,YEARFRAC(MAX($P$34*($B364+IF($R$17="Distrato",$I$38-1,0)),IF(AND($L$37=0,$P$34=0),"",$L$37-1),IF($R$17="Distrato",$E364,0)),MIN(Q$38,$D$19),$P$20))-SUM($P364:P364)</f>
        <v>#VALUE!</v>
      </c>
      <c r="R364" s="446" t="e">
        <f>IF(OR($B364="",MIN(R$38,$D$19)&lt;MAX($P$34*($B364+IF($R$17="Distrato",$I$38-1,0)),IF(AND($L$37=0,$P$34=0),"",$L$37-1),IF($R$17="Distrato",$E364,0))),0,YEARFRAC(MAX($P$34*($B364+IF($R$17="Distrato",$I$38-1,0)),IF(AND($L$37=0,$P$34=0),"",$L$37-1),IF($R$17="Distrato",$E364,0)),MIN(R$38,$D$19),$P$20))-SUM($P364:Q364)</f>
        <v>#VALUE!</v>
      </c>
      <c r="S364" s="446" t="e">
        <f>IF(OR($B364="",MIN(S$38,$D$19)&lt;MAX($P$34*($B364+IF($R$17="Distrato",$I$38-1,0)),IF(AND($L$37=0,$P$34=0),"",$L$37-1),IF($R$17="Distrato",$E364,0))),0,YEARFRAC(MAX($P$34*($B364+IF($R$17="Distrato",$I$38-1,0)),IF(AND($L$37=0,$P$34=0),"",$L$37-1),IF($R$17="Distrato",$E364,0)),MIN(S$38,$D$19),$P$20))-SUM($P364:R364)</f>
        <v>#VALUE!</v>
      </c>
      <c r="T364" s="446" t="e">
        <f>IF(OR($B364="",MIN(T$38,$D$19)&lt;MAX($P$34*($B364+IF($R$17="Distrato",$I$38-1,0)),IF(AND($L$37=0,$P$34=0),"",$L$37-1),IF($R$17="Distrato",$E364,0))),0,YEARFRAC(MAX($P$34*($B364+IF($R$17="Distrato",$I$38-1,0)),IF(AND($L$37=0,$P$34=0),"",$L$37-1),IF($R$17="Distrato",$E364,0)),MIN(T$38,$D$19),$P$20))-SUM($P364:S364)</f>
        <v>#VALUE!</v>
      </c>
      <c r="U364" s="446" t="e">
        <f>IF(OR($B364="",MIN(U$38,$D$19)&lt;MAX($P$34*($B364+IF($R$17="Distrato",$I$38-1,0)),IF(AND($L$37=0,$P$34=0),"",$L$37-1),IF($R$17="Distrato",$E364,0))),0,YEARFRAC(MAX($P$34*($B364+IF($R$17="Distrato",$I$38-1,0)),IF(AND($L$37=0,$P$34=0),"",$L$37-1),IF($R$17="Distrato",$E364,0)),MIN(U$38,$D$19),$P$20))-SUM($P364:T364)</f>
        <v>#VALUE!</v>
      </c>
      <c r="V364" s="446" t="e">
        <f>IF(OR($B364="",MIN(V$38,$D$19)&lt;MAX($P$34*($B364+IF($R$17="Distrato",$I$38-1,0)),IF(AND($L$37=0,$P$34=0),"",$L$37-1),IF($R$17="Distrato",$E364,0))),0,YEARFRAC(MAX($P$34*($B364+IF($R$17="Distrato",$I$38-1,0)),IF(AND($L$37=0,$P$34=0),"",$L$37-1),IF($R$17="Distrato",$E364,0)),MIN(V$38,$D$19),$P$20))-SUM($P364:U364)</f>
        <v>#VALUE!</v>
      </c>
      <c r="W364" s="446" t="e">
        <f>IF(OR($B364="",MIN(W$38,$D$19)&lt;MAX($P$34*($B364+IF($R$17="Distrato",$I$38-1,0)),IF(AND($L$37=0,$P$34=0),"",$L$37-1),IF($R$17="Distrato",$E364,0))),0,YEARFRAC(MAX($P$34*($B364+IF($R$17="Distrato",$I$38-1,0)),IF(AND($L$37=0,$P$34=0),"",$L$37-1),IF($R$17="Distrato",$E364,0)),MIN(W$38,$D$19),$P$20))-SUM($P364:V364)</f>
        <v>#VALUE!</v>
      </c>
      <c r="X364" s="446" t="e">
        <f>IF(OR($B364="",MIN(X$38,$D$19)&lt;MAX($P$34*($B364+IF($R$17="Distrato",$I$38-1,0)),IF(AND($L$37=0,$P$34=0),"",$L$37-1),IF($R$17="Distrato",$E364,0))),0,YEARFRAC(MAX($P$34*($B364+IF($R$17="Distrato",$I$38-1,0)),IF(AND($L$37=0,$P$34=0),"",$L$37-1),IF($R$17="Distrato",$E364,0)),MIN(X$38,$D$19),$P$20))-SUM($P364:W364)</f>
        <v>#VALUE!</v>
      </c>
      <c r="Y364" s="446" t="e">
        <f>IF(OR($B364="",MIN(Y$38,$D$19)&lt;MAX($P$34*($B364+IF($R$17="Distrato",$I$38-1,0)),IF(AND($L$37=0,$P$34=0),"",$L$37-1),IF($R$17="Distrato",$E364,0))),0,YEARFRAC(MAX($P$34*($B364+IF($R$17="Distrato",$I$38-1,0)),IF(AND($L$37=0,$P$34=0),"",$L$37-1),IF($R$17="Distrato",$E364,0)),MIN(Y$38,$D$19),$P$20))-SUM($P364:X364)</f>
        <v>#VALUE!</v>
      </c>
      <c r="Z364" s="446" t="e">
        <f>IF(OR($B364="",MIN(Z$38,$D$19)&lt;MAX($P$34*($B364+IF($R$17="Distrato",$I$38-1,0)),IF(AND($L$37=0,$P$34=0),"",$L$37-1),IF($R$17="Distrato",$E364,0))),0,YEARFRAC(MAX($P$34*($B364+IF($R$17="Distrato",$I$38-1,0)),IF(AND($L$37=0,$P$34=0),"",$L$37-1),IF($R$17="Distrato",$E364,0)),MIN(Z$38,$D$19),$P$20))-SUM($P364:Y364)</f>
        <v>#VALUE!</v>
      </c>
      <c r="AA364" s="446" t="e">
        <f>IF(OR($B364="",MIN(AA$38,$D$19)&lt;MAX($P$34*($B364+IF($R$17="Distrato",$I$38-1,0)),IF(AND($L$37=0,$P$34=0),"",$L$37-1),IF($R$17="Distrato",$E364,0))),0,YEARFRAC(MAX($P$34*($B364+IF($R$17="Distrato",$I$38-1,0)),IF(AND($L$37=0,$P$34=0),"",$L$37-1),IF($R$17="Distrato",$E364,0)),MIN(AA$38,$D$19),$P$20))-SUM($P364:Z364)</f>
        <v>#VALUE!</v>
      </c>
      <c r="AB364" s="446" t="e">
        <f>IF(OR($B364="",MIN(AB$38,$D$19)&lt;MAX($P$34*($B364+IF($R$17="Distrato",$I$38-1,0)),IF(AND($L$37=0,$P$34=0),"",$L$37-1),IF($R$17="Distrato",$E364,0))),0,YEARFRAC(MAX($P$34*($B364+IF($R$17="Distrato",$I$38-1,0)),IF(AND($L$37=0,$P$34=0),"",$L$37-1),IF($R$17="Distrato",$E364,0)),MIN(AB$38,$D$19),$P$20))-SUM($P364:AA364)</f>
        <v>#VALUE!</v>
      </c>
      <c r="AC364" s="446" t="e">
        <f>IF(OR($B364="",MIN(AC$38,$D$19)&lt;MAX($P$34*($B364+IF($R$17="Distrato",$I$38-1,0)),IF(AND($L$37=0,$P$34=0),"",$L$37-1),IF($R$17="Distrato",$E364,0))),0,YEARFRAC(MAX($P$34*($B364+IF($R$17="Distrato",$I$38-1,0)),IF(AND($L$37=0,$P$34=0),"",$L$37-1),IF($R$17="Distrato",$E364,0)),MIN(AC$38,$D$19),$P$20))-SUM($P364:AB364)</f>
        <v>#VALUE!</v>
      </c>
      <c r="AD364" s="446" t="e">
        <f>IF(OR($B364="",MIN(AD$38,$D$19)&lt;MAX($P$34*($B364+IF($R$17="Distrato",$I$38-1,0)),IF(AND($L$37=0,$P$34=0),"",$L$37-1),IF($R$17="Distrato",$E364,0))),0,YEARFRAC(MAX($P$34*($B364+IF($R$17="Distrato",$I$38-1,0)),IF(AND($L$37=0,$P$34=0),"",$L$37-1),IF($R$17="Distrato",$E364,0)),MIN(AD$38,$D$19),$P$20))-SUM($P364:AC364)</f>
        <v>#VALUE!</v>
      </c>
      <c r="AE364" s="446" t="e">
        <f>IF(OR($B364="",MIN(AE$38,$D$19)&lt;MAX($P$34*($B364+IF($R$17="Distrato",$I$38-1,0)),IF(AND($L$37=0,$P$34=0),"",$L$37-1),IF($R$17="Distrato",$E364,0))),0,YEARFRAC(MAX($P$34*($B364+IF($R$17="Distrato",$I$38-1,0)),IF(AND($L$37=0,$P$34=0),"",$L$37-1),IF($R$17="Distrato",$E364,0)),MIN(AE$38,$D$19),$P$20))-SUM($P364:AD364)</f>
        <v>#VALUE!</v>
      </c>
      <c r="AF364" s="446" t="e">
        <f>IF(OR($B364="",MIN(AF$38,$D$19)&lt;MAX($P$34*($B364+IF($R$17="Distrato",$I$38-1,0)),IF(AND($L$37=0,$P$34=0),"",$L$37-1),IF($R$17="Distrato",$E364,0))),0,YEARFRAC(MAX($P$34*($B364+IF($R$17="Distrato",$I$38-1,0)),IF(AND($L$37=0,$P$34=0),"",$L$37-1),IF($R$17="Distrato",$E364,0)),MIN(AF$38,$D$19),$P$20))-SUM($P364:AE364)</f>
        <v>#VALUE!</v>
      </c>
      <c r="AG364" s="446" t="e">
        <f>IF(OR($B364="",MIN(AG$38,$D$19)&lt;MAX($P$34*($B364+IF($R$17="Distrato",$I$38-1,0)),IF(AND($L$37=0,$P$34=0),"",$L$37-1),IF($R$17="Distrato",$E364,0))),0,YEARFRAC(MAX($P$34*($B364+IF($R$17="Distrato",$I$38-1,0)),IF(AND($L$37=0,$P$34=0),"",$L$37-1),IF($R$17="Distrato",$E364,0)),MIN(AG$38,$D$19),$P$20))-SUM($P364:AF364)</f>
        <v>#VALUE!</v>
      </c>
      <c r="AH364" s="446" t="e">
        <f>IF(OR($B364="",MIN(AH$38,$D$19)&lt;MAX($P$34*($B364+IF($R$17="Distrato",$I$38-1,0)),IF(AND($L$37=0,$P$34=0),"",$L$37-1),IF($R$17="Distrato",$E364,0))),0,YEARFRAC(MAX($P$34*($B364+IF($R$17="Distrato",$I$38-1,0)),IF(AND($L$37=0,$P$34=0),"",$L$37-1),IF($R$17="Distrato",$E364,0)),MIN(AH$38,$D$19),$P$20))-SUM($P364:AG364)</f>
        <v>#VALUE!</v>
      </c>
      <c r="AI364" s="446" t="e">
        <f>IF(OR($B364="",MIN(AI$38,$D$19)&lt;MAX($P$34*($B364+IF($R$17="Distrato",$I$38-1,0)),IF(AND($L$37=0,$P$34=0),"",$L$37-1),IF($R$17="Distrato",$E364,0))),0,YEARFRAC(MAX($P$34*($B364+IF($R$17="Distrato",$I$38-1,0)),IF(AND($L$37=0,$P$34=0),"",$L$37-1),IF($R$17="Distrato",$E364,0)),MIN(AI$38,$D$19),$P$20))-SUM($P364:AH364)</f>
        <v>#VALUE!</v>
      </c>
      <c r="AJ364" s="446" t="e">
        <f>IF(OR($B364="",MIN(AJ$38,$D$19)&lt;MAX($P$34*($B364+IF($R$17="Distrato",$I$38-1,0)),IF(AND($L$37=0,$P$34=0),"",$L$37-1),IF($R$17="Distrato",$E364,0))),0,YEARFRAC(MAX($P$34*($B364+IF($R$17="Distrato",$I$38-1,0)),IF(AND($L$37=0,$P$34=0),"",$L$37-1),IF($R$17="Distrato",$E364,0)),MIN(AJ$38,$D$19),$P$20))-SUM($P364:AI364)</f>
        <v>#VALUE!</v>
      </c>
      <c r="AK364" s="446" t="e">
        <f>IF(OR($B364="",MIN(AK$38,$D$19)&lt;MAX($P$34*($B364+IF($R$17="Distrato",$I$38-1,0)),IF(AND($L$37=0,$P$34=0),"",$L$37-1),IF($R$17="Distrato",$E364,0))),0,YEARFRAC(MAX($P$34*($B364+IF($R$17="Distrato",$I$38-1,0)),IF(AND($L$37=0,$P$34=0),"",$L$37-1),IF($R$17="Distrato",$E364,0)),MIN(AK$38,$D$19),$P$20))-SUM($P364:AJ364)</f>
        <v>#VALUE!</v>
      </c>
      <c r="AL364" s="446" t="e">
        <f>IF(OR($B364="",MIN(AL$38,$D$19)&lt;MAX($P$34*($B364+IF($R$17="Distrato",$I$38-1,0)),IF(AND($L$37=0,$P$34=0),"",$L$37-1),IF($R$17="Distrato",$E364,0))),0,YEARFRAC(MAX($P$34*($B364+IF($R$17="Distrato",$I$38-1,0)),IF(AND($L$37=0,$P$34=0),"",$L$37-1),IF($R$17="Distrato",$E364,0)),MIN(AL$38,$D$19),$P$20))-SUM($P364:AK364)</f>
        <v>#VALUE!</v>
      </c>
      <c r="AM364" s="446" t="e">
        <f>IF(OR($B364="",MIN(AM$38,$D$19)&lt;MAX($P$34*($B364+IF($R$17="Distrato",$I$38-1,0)),IF(AND($L$37=0,$P$34=0),"",$L$37-1),IF($R$17="Distrato",$E364,0))),0,YEARFRAC(MAX($P$34*($B364+IF($R$17="Distrato",$I$38-1,0)),IF(AND($L$37=0,$P$34=0),"",$L$37-1),IF($R$17="Distrato",$E364,0)),MIN(AM$38,$D$19),$P$20))-SUM($P364:AL364)</f>
        <v>#VALUE!</v>
      </c>
      <c r="AN364" s="446" t="e">
        <f>IF(OR($B364="",MIN(AN$38,$D$19)&lt;MAX($P$34*($B364+IF($R$17="Distrato",$I$38-1,0)),IF(AND($L$37=0,$P$34=0),"",$L$37-1),IF($R$17="Distrato",$E364,0))),0,YEARFRAC(MAX($P$34*($B364+IF($R$17="Distrato",$I$38-1,0)),IF(AND($L$37=0,$P$34=0),"",$L$37-1),IF($R$17="Distrato",$E364,0)),MIN(AN$38,$D$19),$P$20))-SUM($P364:AM364)</f>
        <v>#VALUE!</v>
      </c>
      <c r="AO364" s="446" t="e">
        <f>IF(OR($B364="",MIN(AO$38,$D$19)&lt;MAX($P$34*($B364+IF($R$17="Distrato",$I$38-1,0)),IF(AND($L$37=0,$P$34=0),"",$L$37-1),IF($R$17="Distrato",$E364,0))),0,YEARFRAC(MAX($P$34*($B364+IF($R$17="Distrato",$I$38-1,0)),IF(AND($L$37=0,$P$34=0),"",$L$37-1),IF($R$17="Distrato",$E364,0)),MIN(AO$38,$D$19),$P$20))-SUM($P364:AN364)</f>
        <v>#VALUE!</v>
      </c>
      <c r="AP364" s="446" t="e">
        <f>IF(OR($B364="",MIN(AP$38,$D$19)&lt;MAX($P$34*($B364+IF($R$17="Distrato",$I$38-1,0)),IF(AND($L$37=0,$P$34=0),"",$L$37-1),IF($R$17="Distrato",$E364,0))),0,YEARFRAC(MAX($P$34*($B364+IF($R$17="Distrato",$I$38-1,0)),IF(AND($L$37=0,$P$34=0),"",$L$37-1),IF($R$17="Distrato",$E364,0)),MIN(AP$38,$D$19),$P$20))-SUM($P364:AO364)</f>
        <v>#VALUE!</v>
      </c>
      <c r="AQ364" s="446" t="e">
        <f>IF(OR($B364="",MIN(AQ$38,$D$19)&lt;MAX($P$34*($B364+IF($R$17="Distrato",$I$38-1,0)),IF(AND($L$37=0,$P$34=0),"",$L$37-1),IF($R$17="Distrato",$E364,0))),0,YEARFRAC(MAX($P$34*($B364+IF($R$17="Distrato",$I$38-1,0)),IF(AND($L$37=0,$P$34=0),"",$L$37-1),IF($R$17="Distrato",$E364,0)),MIN(AQ$38,$D$19),$P$20))-SUM($P364:AP364)</f>
        <v>#VALUE!</v>
      </c>
      <c r="AR364" s="446" t="e">
        <f>IF(OR($B364="",MIN(AR$38,$D$19)&lt;MAX($P$34*($B364+IF($R$17="Distrato",$I$38-1,0)),IF(AND($L$37=0,$P$34=0),"",$L$37-1),IF($R$17="Distrato",$E364,0))),0,YEARFRAC(MAX($P$34*($B364+IF($R$17="Distrato",$I$38-1,0)),IF(AND($L$37=0,$P$34=0),"",$L$37-1),IF($R$17="Distrato",$E364,0)),MIN(AR$38,$D$19),$P$20))-SUM($P364:AQ364)</f>
        <v>#VALUE!</v>
      </c>
      <c r="AS364" s="446" t="e">
        <f>IF(OR($B364="",MIN(AS$38,$D$19)&lt;MAX($P$34*($B364+IF($R$17="Distrato",$I$38-1,0)),IF(AND($L$37=0,$P$34=0),"",$L$37-1),IF($R$17="Distrato",$E364,0))),0,YEARFRAC(MAX($P$34*($B364+IF($R$17="Distrato",$I$38-1,0)),IF(AND($L$37=0,$P$34=0),"",$L$37-1),IF($R$17="Distrato",$E364,0)),MIN(AS$38,$D$19),$P$20))-SUM($P364:AR364)</f>
        <v>#VALUE!</v>
      </c>
      <c r="AT364" s="446" t="e">
        <f>IF(OR($B364="",MIN(AT$38,$D$19)&lt;MAX($P$34*($B364+IF($R$17="Distrato",$I$38-1,0)),IF(AND($L$37=0,$P$34=0),"",$L$37-1),IF($R$17="Distrato",$E364,0))),0,YEARFRAC(MAX($P$34*($B364+IF($R$17="Distrato",$I$38-1,0)),IF(AND($L$37=0,$P$34=0),"",$L$37-1),IF($R$17="Distrato",$E364,0)),MIN(AT$38,$D$19),$P$20))-SUM($P364:AS364)</f>
        <v>#VALUE!</v>
      </c>
      <c r="AU364" s="446" t="e">
        <f>IF(OR($B364="",MIN(AU$38,$D$19)&lt;MAX($P$34*($B364+IF($R$17="Distrato",$I$38-1,0)),IF(AND($L$37=0,$P$34=0),"",$L$37-1),IF($R$17="Distrato",$E364,0))),0,YEARFRAC(MAX($P$34*($B364+IF($R$17="Distrato",$I$38-1,0)),IF(AND($L$37=0,$P$34=0),"",$L$37-1),IF($R$17="Distrato",$E364,0)),MIN(AU$38,$D$19),$P$20))-SUM($P364:AT364)</f>
        <v>#VALUE!</v>
      </c>
      <c r="AV364" s="446" t="e">
        <f>IF(OR($B364="",MIN(AV$38,$D$19)&lt;MAX($P$34*($B364+IF($R$17="Distrato",$I$38-1,0)),IF(AND($L$37=0,$P$34=0),"",$L$37-1),IF($R$17="Distrato",$E364,0))),0,YEARFRAC(MAX($P$34*($B364+IF($R$17="Distrato",$I$38-1,0)),IF(AND($L$37=0,$P$34=0),"",$L$37-1),IF($R$17="Distrato",$E364,0)),MIN(AV$38,$D$19),$P$20))-SUM($P364:AU364)</f>
        <v>#VALUE!</v>
      </c>
      <c r="AW364" s="446" t="e">
        <f>IF(OR($B364="",MIN(AW$38,$D$19)&lt;MAX($P$34*($B364+IF($R$17="Distrato",$I$38-1,0)),IF(AND($L$37=0,$P$34=0),"",$L$37-1),IF($R$17="Distrato",$E364,0))),0,YEARFRAC(MAX($P$34*($B364+IF($R$17="Distrato",$I$38-1,0)),IF(AND($L$37=0,$P$34=0),"",$L$37-1),IF($R$17="Distrato",$E364,0)),MIN(AW$38,$D$19),$P$20))-SUM($P364:AV364)</f>
        <v>#VALUE!</v>
      </c>
      <c r="AX364" s="446" t="e">
        <f>IF(OR($B364="",MIN(AX$38,$D$19)&lt;MAX($P$34*($B364+IF($R$17="Distrato",$I$38-1,0)),IF(AND($L$37=0,$P$34=0),"",$L$37-1),IF($R$17="Distrato",$E364,0))),0,YEARFRAC(MAX($P$34*($B364+IF($R$17="Distrato",$I$38-1,0)),IF(AND($L$37=0,$P$34=0),"",$L$37-1),IF($R$17="Distrato",$E364,0)),MIN(AX$38,$D$19),$P$20))-SUM($P364:AW364)</f>
        <v>#VALUE!</v>
      </c>
      <c r="AY364" s="446" t="e">
        <f>IF(OR($B364="",MIN(AY$38,$D$19)&lt;MAX($P$34*($B364+IF($R$17="Distrato",$I$38-1,0)),IF(AND($L$37=0,$P$34=0),"",$L$37-1),IF($R$17="Distrato",$E364,0))),0,YEARFRAC(MAX($P$34*($B364+IF($R$17="Distrato",$I$38-1,0)),IF(AND($L$37=0,$P$34=0),"",$L$37-1),IF($R$17="Distrato",$E364,0)),MIN(AY$38,$D$19),$P$20))-SUM($P364:AX364)</f>
        <v>#VALUE!</v>
      </c>
      <c r="AZ364" s="446" t="e">
        <f>IF(OR($B364="",MIN(AZ$38,$D$19)&lt;MAX($P$34*($B364+IF($R$17="Distrato",$I$38-1,0)),IF(AND($L$37=0,$P$34=0),"",$L$37-1),IF($R$17="Distrato",$E364,0))),0,YEARFRAC(MAX($P$34*($B364+IF($R$17="Distrato",$I$38-1,0)),IF(AND($L$37=0,$P$34=0),"",$L$37-1),IF($R$17="Distrato",$E364,0)),MIN(AZ$38,$D$19),$P$20))-SUM($P364:AY364)</f>
        <v>#VALUE!</v>
      </c>
      <c r="BA364" s="446" t="e">
        <f>IF(OR($B364="",MIN(BA$38,$D$19)&lt;MAX($P$34*($B364+IF($R$17="Distrato",$I$38-1,0)),IF(AND($L$37=0,$P$34=0),"",$L$37-1),IF($R$17="Distrato",$E364,0))),0,YEARFRAC(MAX($P$34*($B364+IF($R$17="Distrato",$I$38-1,0)),IF(AND($L$37=0,$P$34=0),"",$L$37-1),IF($R$17="Distrato",$E364,0)),MIN(BA$38,$D$19),$P$20))-SUM($P364:AZ364)</f>
        <v>#VALUE!</v>
      </c>
      <c r="BB364" s="447"/>
      <c r="BF364" s="446">
        <f t="shared" si="65"/>
        <v>0</v>
      </c>
      <c r="BG364" s="446">
        <f>IF($E364=0,0,IF(MIN(BG$38,$E364)&lt;MAX($P$34*($B364+$I$38-1),IF(AND($L$37=0,$P$34=0),"",$L$37-1)),0,YEARFRAC(MAX($P$34*($B364+$I$38-1),IF(AND($L$37=0,$P$34=0),"",$L$37-1)),MIN(BG$38,$E364),$P$20))-SUM($BF364:BF364))</f>
        <v>0</v>
      </c>
      <c r="BH364" s="446">
        <f>IF($E364=0,0,IF(MIN(BH$38,$E364)&lt;MAX($P$34*($B364+$I$38-1),IF(AND($L$37=0,$P$34=0),"",$L$37-1)),0,YEARFRAC(MAX($P$34*($B364+$I$38-1),IF(AND($L$37=0,$P$34=0),"",$L$37-1)),MIN(BH$38,$E364),$P$20))-SUM($BF364:BG364))</f>
        <v>0</v>
      </c>
      <c r="BI364" s="446">
        <f>IF($E364=0,0,IF(MIN(BI$38,$E364)&lt;MAX($P$34*($B364+$I$38-1),IF(AND($L$37=0,$P$34=0),"",$L$37-1)),0,YEARFRAC(MAX($P$34*($B364+$I$38-1),IF(AND($L$37=0,$P$34=0),"",$L$37-1)),MIN(BI$38,$E364),$P$20))-SUM($BF364:BH364))</f>
        <v>0</v>
      </c>
      <c r="BJ364" s="446">
        <f>IF($E364=0,0,IF(MIN(BJ$38,$E364)&lt;MAX($P$34*($B364+$I$38-1),IF(AND($L$37=0,$P$34=0),"",$L$37-1)),0,YEARFRAC(MAX($P$34*($B364+$I$38-1),IF(AND($L$37=0,$P$34=0),"",$L$37-1)),MIN(BJ$38,$E364),$P$20))-SUM($BF364:BI364))</f>
        <v>0</v>
      </c>
      <c r="BK364" s="446">
        <f>IF($E364=0,0,IF(MIN(BK$38,$E364)&lt;MAX($P$34*($B364+$I$38-1),IF(AND($L$37=0,$P$34=0),"",$L$37-1)),0,YEARFRAC(MAX($P$34*($B364+$I$38-1),IF(AND($L$37=0,$P$34=0),"",$L$37-1)),MIN(BK$38,$E364),$P$20))-SUM($BF364:BJ364))</f>
        <v>0</v>
      </c>
      <c r="BL364" s="446">
        <f>IF($E364=0,0,IF(MIN(BL$38,$E364)&lt;MAX($P$34*($B364+$I$38-1),IF(AND($L$37=0,$P$34=0),"",$L$37-1)),0,YEARFRAC(MAX($P$34*($B364+$I$38-1),IF(AND($L$37=0,$P$34=0),"",$L$37-1)),MIN(BL$38,$E364),$P$20))-SUM($BF364:BK364))</f>
        <v>0</v>
      </c>
      <c r="BM364" s="446">
        <f>IF($E364=0,0,IF(MIN(BM$38,$E364)&lt;MAX($P$34*($B364+$I$38-1),IF(AND($L$37=0,$P$34=0),"",$L$37-1)),0,YEARFRAC(MAX($P$34*($B364+$I$38-1),IF(AND($L$37=0,$P$34=0),"",$L$37-1)),MIN(BM$38,$E364),$P$20))-SUM($BF364:BL364))</f>
        <v>0</v>
      </c>
      <c r="BN364" s="446">
        <f>IF($E364=0,0,IF(MIN(BN$38,$E364)&lt;MAX($P$34*($B364+$I$38-1),IF(AND($L$37=0,$P$34=0),"",$L$37-1)),0,YEARFRAC(MAX($P$34*($B364+$I$38-1),IF(AND($L$37=0,$P$34=0),"",$L$37-1)),MIN(BN$38,$E364),$P$20))-SUM($BF364:BM364))</f>
        <v>0</v>
      </c>
      <c r="BO364" s="446">
        <f>IF($E364=0,0,IF(MIN(BO$38,$E364)&lt;MAX($P$34*($B364+$I$38-1),IF(AND($L$37=0,$P$34=0),"",$L$37-1)),0,YEARFRAC(MAX($P$34*($B364+$I$38-1),IF(AND($L$37=0,$P$34=0),"",$L$37-1)),MIN(BO$38,$E364),$P$20))-SUM($BF364:BN364))</f>
        <v>0</v>
      </c>
      <c r="BP364" s="446">
        <f>IF($E364=0,0,IF(MIN(BP$38,$E364)&lt;MAX($P$34*($B364+$I$38-1),IF(AND($L$37=0,$P$34=0),"",$L$37-1)),0,YEARFRAC(MAX($P$34*($B364+$I$38-1),IF(AND($L$37=0,$P$34=0),"",$L$37-1)),MIN(BP$38,$E364),$P$20))-SUM($BF364:BO364))</f>
        <v>0</v>
      </c>
      <c r="BQ364" s="446">
        <f>IF($E364=0,0,IF(MIN(BQ$38,$E364)&lt;MAX($P$34*($B364+$I$38-1),IF(AND($L$37=0,$P$34=0),"",$L$37-1)),0,YEARFRAC(MAX($P$34*($B364+$I$38-1),IF(AND($L$37=0,$P$34=0),"",$L$37-1)),MIN(BQ$38,$E364),$P$20))-SUM($BF364:BP364))</f>
        <v>0</v>
      </c>
      <c r="BR364" s="446">
        <f>IF($E364=0,0,IF(MIN(BR$38,$E364)&lt;MAX($P$34*($B364+$I$38-1),IF(AND($L$37=0,$P$34=0),"",$L$37-1)),0,YEARFRAC(MAX($P$34*($B364+$I$38-1),IF(AND($L$37=0,$P$34=0),"",$L$37-1)),MIN(BR$38,$E364),$P$20))-SUM($BF364:BQ364))</f>
        <v>0</v>
      </c>
      <c r="BS364" s="446">
        <f>IF($E364=0,0,IF(MIN(BS$38,$E364)&lt;MAX($P$34*($B364+$I$38-1),IF(AND($L$37=0,$P$34=0),"",$L$37-1)),0,YEARFRAC(MAX($P$34*($B364+$I$38-1),IF(AND($L$37=0,$P$34=0),"",$L$37-1)),MIN(BS$38,$E364),$P$20))-SUM($BF364:BR364))</f>
        <v>0</v>
      </c>
      <c r="BT364" s="446">
        <f>IF($E364=0,0,IF(MIN(BT$38,$E364)&lt;MAX($P$34*($B364+$I$38-1),IF(AND($L$37=0,$P$34=0),"",$L$37-1)),0,YEARFRAC(MAX($P$34*($B364+$I$38-1),IF(AND($L$37=0,$P$34=0),"",$L$37-1)),MIN(BT$38,$E364),$P$20))-SUM($BF364:BS364))</f>
        <v>0</v>
      </c>
      <c r="BU364" s="446">
        <f>IF($E364=0,0,IF(MIN(BU$38,$E364)&lt;MAX($P$34*($B364+$I$38-1),IF(AND($L$37=0,$P$34=0),"",$L$37-1)),0,YEARFRAC(MAX($P$34*($B364+$I$38-1),IF(AND($L$37=0,$P$34=0),"",$L$37-1)),MIN(BU$38,$E364),$P$20))-SUM($BF364:BT364))</f>
        <v>0</v>
      </c>
      <c r="BV364" s="446">
        <f>IF($E364=0,0,IF(MIN(BV$38,$E364)&lt;MAX($P$34*($B364+$I$38-1),IF(AND($L$37=0,$P$34=0),"",$L$37-1)),0,YEARFRAC(MAX($P$34*($B364+$I$38-1),IF(AND($L$37=0,$P$34=0),"",$L$37-1)),MIN(BV$38,$E364),$P$20))-SUM($BF364:BU364))</f>
        <v>0</v>
      </c>
      <c r="BW364" s="446">
        <f>IF($E364=0,0,IF(MIN(BW$38,$E364)&lt;MAX($P$34*($B364+$I$38-1),IF(AND($L$37=0,$P$34=0),"",$L$37-1)),0,YEARFRAC(MAX($P$34*($B364+$I$38-1),IF(AND($L$37=0,$P$34=0),"",$L$37-1)),MIN(BW$38,$E364),$P$20))-SUM($BF364:BV364))</f>
        <v>0</v>
      </c>
      <c r="BX364" s="446">
        <f>IF($E364=0,0,IF(MIN(BX$38,$E364)&lt;MAX($P$34*($B364+$I$38-1),IF(AND($L$37=0,$P$34=0),"",$L$37-1)),0,YEARFRAC(MAX($P$34*($B364+$I$38-1),IF(AND($L$37=0,$P$34=0),"",$L$37-1)),MIN(BX$38,$E364),$P$20))-SUM($BF364:BW364))</f>
        <v>0</v>
      </c>
      <c r="BY364" s="446">
        <f>IF($E364=0,0,IF(MIN(BY$38,$E364)&lt;MAX($P$34*($B364+$I$38-1),IF(AND($L$37=0,$P$34=0),"",$L$37-1)),0,YEARFRAC(MAX($P$34*($B364+$I$38-1),IF(AND($L$37=0,$P$34=0),"",$L$37-1)),MIN(BY$38,$E364),$P$20))-SUM($BF364:BX364))</f>
        <v>0</v>
      </c>
      <c r="BZ364" s="446">
        <f>IF($E364=0,0,IF(MIN(BZ$38,$E364)&lt;MAX($P$34*($B364+$I$38-1),IF(AND($L$37=0,$P$34=0),"",$L$37-1)),0,YEARFRAC(MAX($P$34*($B364+$I$38-1),IF(AND($L$37=0,$P$34=0),"",$L$37-1)),MIN(BZ$38,$E364),$P$20))-SUM($BF364:BY364))</f>
        <v>0</v>
      </c>
      <c r="CA364" s="446">
        <f>IF($E364=0,0,IF(MIN(CA$38,$E364)&lt;MAX($P$34*($B364+$I$38-1),IF(AND($L$37=0,$P$34=0),"",$L$37-1)),0,YEARFRAC(MAX($P$34*($B364+$I$38-1),IF(AND($L$37=0,$P$34=0),"",$L$37-1)),MIN(CA$38,$E364),$P$20))-SUM($BF364:BZ364))</f>
        <v>0</v>
      </c>
      <c r="CB364" s="446">
        <f>IF($E364=0,0,IF(MIN(CB$38,$E364)&lt;MAX($P$34*($B364+$I$38-1),IF(AND($L$37=0,$P$34=0),"",$L$37-1)),0,YEARFRAC(MAX($P$34*($B364+$I$38-1),IF(AND($L$37=0,$P$34=0),"",$L$37-1)),MIN(CB$38,$E364),$P$20))-SUM($BF364:CA364))</f>
        <v>0</v>
      </c>
      <c r="CC364" s="446">
        <f>IF($E364=0,0,IF(MIN(CC$38,$E364)&lt;MAX($P$34*($B364+$I$38-1),IF(AND($L$37=0,$P$34=0),"",$L$37-1)),0,YEARFRAC(MAX($P$34*($B364+$I$38-1),IF(AND($L$37=0,$P$34=0),"",$L$37-1)),MIN(CC$38,$E364),$P$20))-SUM($BF364:CB364))</f>
        <v>0</v>
      </c>
      <c r="CD364" s="446">
        <f>IF($E364=0,0,IF(MIN(CD$38,$E364)&lt;MAX($P$34*($B364+$I$38-1),IF(AND($L$37=0,$P$34=0),"",$L$37-1)),0,YEARFRAC(MAX($P$34*($B364+$I$38-1),IF(AND($L$37=0,$P$34=0),"",$L$37-1)),MIN(CD$38,$E364),$P$20))-SUM($BF364:CC364))</f>
        <v>0</v>
      </c>
      <c r="CE364" s="446">
        <f>IF($E364=0,0,IF(MIN(CE$38,$E364)&lt;MAX($P$34*($B364+$I$38-1),IF(AND($L$37=0,$P$34=0),"",$L$37-1)),0,YEARFRAC(MAX($P$34*($B364+$I$38-1),IF(AND($L$37=0,$P$34=0),"",$L$37-1)),MIN(CE$38,$E364),$P$20))-SUM($BF364:CD364))</f>
        <v>0</v>
      </c>
      <c r="CF364" s="446">
        <f>IF($E364=0,0,IF(MIN(CF$38,$E364)&lt;MAX($P$34*($B364+$I$38-1),IF(AND($L$37=0,$P$34=0),"",$L$37-1)),0,YEARFRAC(MAX($P$34*($B364+$I$38-1),IF(AND($L$37=0,$P$34=0),"",$L$37-1)),MIN(CF$38,$E364),$P$20))-SUM($BF364:CE364))</f>
        <v>0</v>
      </c>
      <c r="CG364" s="446">
        <f>IF($E364=0,0,IF(MIN(CG$38,$E364)&lt;MAX($P$34*($B364+$I$38-1),IF(AND($L$37=0,$P$34=0),"",$L$37-1)),0,YEARFRAC(MAX($P$34*($B364+$I$38-1),IF(AND($L$37=0,$P$34=0),"",$L$37-1)),MIN(CG$38,$E364),$P$20))-SUM($BF364:CF364))</f>
        <v>0</v>
      </c>
      <c r="CH364" s="446">
        <f>IF($E364=0,0,IF(MIN(CH$38,$E364)&lt;MAX($P$34*($B364+$I$38-1),IF(AND($L$37=0,$P$34=0),"",$L$37-1)),0,YEARFRAC(MAX($P$34*($B364+$I$38-1),IF(AND($L$37=0,$P$34=0),"",$L$37-1)),MIN(CH$38,$E364),$P$20))-SUM($BF364:CG364))</f>
        <v>0</v>
      </c>
      <c r="CI364" s="446">
        <f>IF($E364=0,0,IF(MIN(CI$38,$E364)&lt;MAX($P$34*($B364+$I$38-1),IF(AND($L$37=0,$P$34=0),"",$L$37-1)),0,YEARFRAC(MAX($P$34*($B364+$I$38-1),IF(AND($L$37=0,$P$34=0),"",$L$37-1)),MIN(CI$38,$E364),$P$20))-SUM($BF364:CH364))</f>
        <v>0</v>
      </c>
      <c r="CJ364" s="446">
        <f>IF($E364=0,0,IF(MIN(CJ$38,$E364)&lt;MAX($P$34*($B364+$I$38-1),IF(AND($L$37=0,$P$34=0),"",$L$37-1)),0,YEARFRAC(MAX($P$34*($B364+$I$38-1),IF(AND($L$37=0,$P$34=0),"",$L$37-1)),MIN(CJ$38,$E364),$P$20))-SUM($BF364:CI364))</f>
        <v>0</v>
      </c>
      <c r="CK364" s="446">
        <f>IF($E364=0,0,IF(MIN(CK$38,$E364)&lt;MAX($P$34*($B364+$I$38-1),IF(AND($L$37=0,$P$34=0),"",$L$37-1)),0,YEARFRAC(MAX($P$34*($B364+$I$38-1),IF(AND($L$37=0,$P$34=0),"",$L$37-1)),MIN(CK$38,$E364),$P$20))-SUM($BF364:CJ364))</f>
        <v>0</v>
      </c>
      <c r="CL364" s="446">
        <f>IF($E364=0,0,IF(MIN(CL$38,$E364)&lt;MAX($P$34*($B364+$I$38-1),IF(AND($L$37=0,$P$34=0),"",$L$37-1)),0,YEARFRAC(MAX($P$34*($B364+$I$38-1),IF(AND($L$37=0,$P$34=0),"",$L$37-1)),MIN(CL$38,$E364),$P$20))-SUM($BF364:CK364))</f>
        <v>0</v>
      </c>
      <c r="CM364" s="446">
        <f>IF($E364=0,0,IF(MIN(CM$38,$E364)&lt;MAX($P$34*($B364+$I$38-1),IF(AND($L$37=0,$P$34=0),"",$L$37-1)),0,YEARFRAC(MAX($P$34*($B364+$I$38-1),IF(AND($L$37=0,$P$34=0),"",$L$37-1)),MIN(CM$38,$E364),$P$20))-SUM($BF364:CL364))</f>
        <v>0</v>
      </c>
      <c r="CN364" s="446">
        <f>IF($E364=0,0,IF(MIN(CN$38,$E364)&lt;MAX($P$34*($B364+$I$38-1),IF(AND($L$37=0,$P$34=0),"",$L$37-1)),0,YEARFRAC(MAX($P$34*($B364+$I$38-1),IF(AND($L$37=0,$P$34=0),"",$L$37-1)),MIN(CN$38,$E364),$P$20))-SUM($BF364:CM364))</f>
        <v>0</v>
      </c>
      <c r="CO364" s="446">
        <f>IF($E364=0,0,IF(MIN(CO$38,$E364)&lt;MAX($P$34*($B364+$I$38-1),IF(AND($L$37=0,$P$34=0),"",$L$37-1)),0,YEARFRAC(MAX($P$34*($B364+$I$38-1),IF(AND($L$37=0,$P$34=0),"",$L$37-1)),MIN(CO$38,$E364),$P$20))-SUM($BF364:CN364))</f>
        <v>0</v>
      </c>
      <c r="CP364" s="446">
        <f>IF($E364=0,0,IF(MIN(CP$38,$E364)&lt;MAX($P$34*($B364+$I$38-1),IF(AND($L$37=0,$P$34=0),"",$L$37-1)),0,YEARFRAC(MAX($P$34*($B364+$I$38-1),IF(AND($L$37=0,$P$34=0),"",$L$37-1)),MIN(CP$38,$E364),$P$20))-SUM($BF364:CO364))</f>
        <v>0</v>
      </c>
      <c r="CQ364" s="446">
        <f>IF($E364=0,0,IF(MIN(CQ$38,$E364)&lt;MAX($P$34*($B364+$I$38-1),IF(AND($L$37=0,$P$34=0),"",$L$37-1)),0,YEARFRAC(MAX($P$34*($B364+$I$38-1),IF(AND($L$37=0,$P$34=0),"",$L$37-1)),MIN(CQ$38,$E364),$P$20))-SUM($BF364:CP364))</f>
        <v>0</v>
      </c>
    </row>
    <row r="365" spans="1:95" s="446" customFormat="1" ht="11.25" hidden="1" customHeight="1" x14ac:dyDescent="0.2">
      <c r="A365" s="152"/>
      <c r="B365" s="153" t="str">
        <f t="shared" si="70"/>
        <v/>
      </c>
      <c r="C365" s="29" t="str">
        <f>IF(B365="","",IF($L$35="SELIC - TRIBUTOS",VLOOKUP(DATE(YEAR($D$19),MONTH($D$19)-1,1),ÍNDICES!$A:$DE,HLOOKUP($BL$25,ÍNDICES!$B$3:$T$4,2)+11)-VLOOKUP(B365,ÍNDICES!$A:$DE,HLOOKUP($BL$25,ÍNDICES!$B$3:$T$4,2)+11)+1%,IF(C$38=$W$26,$J$35,IF(ISERROR(IF(B365&gt;$D$19,1,VLOOKUP(DATE(YEAR(B365),MONTH(B365)+IF($C$35=$S$23,1,0),1),ÍNDICES!$A:$DE,$Z$35+1))),"",IF(B365&gt;$D$19,1,VLOOKUP(DATE(YEAR(B365),MONTH(B365)+IF($C$35=$S$23,1,0),1),ÍNDICES!$A:$DE,$Z$35+1))))))</f>
        <v/>
      </c>
      <c r="D365" s="154" t="str">
        <f>IF(ISERROR(IF(OR($D$38=$Y$27,$B365=""),"",VLOOKUP(B365,ÍNDICES!A:DE,AF$35+1))),"",IF(OR($D$38=$Y$27,$B365=""),"",VLOOKUP(B365,ÍNDICES!A:DE,AF$35+1)))</f>
        <v/>
      </c>
      <c r="E365" s="153"/>
      <c r="F365" s="29" t="str">
        <f>IF(E365="","",IF($L$35="SELIC - TRIBUTOS",VLOOKUP(DATE(YEAR($D$19),MONTH($D$19)-1,1),ÍNDICES!$A:$DE,HLOOKUP($BL$25,ÍNDICES!$B$3:$T$4,2)+11)-VLOOKUP(E365,ÍNDICES!$A:$DE,HLOOKUP($BL$25,ÍNDICES!$B$3:$T$4,2)+11)+1%,IF(F$38=$W$26,$J$35,IF(ISERROR(IF(E365&gt;$D$19,1,VLOOKUP(DATE(YEAR(E365),MONTH(E365)+IF($C$35=$S$23,1,0),1),ÍNDICES!$A:$DE,$Z$35+1))),"",IF(E365&gt;$D$19,1,VLOOKUP(DATE(YEAR(E365),MONTH(E365)+IF($C$35=$S$23,1,0),1),ÍNDICES!$A:$DE,$Z$35+1))))))</f>
        <v/>
      </c>
      <c r="G365" s="155"/>
      <c r="H365" s="156" t="str">
        <f t="shared" si="66"/>
        <v/>
      </c>
      <c r="I365" s="29" t="str">
        <f t="shared" si="60"/>
        <v/>
      </c>
      <c r="J365" s="5">
        <f t="shared" si="61"/>
        <v>0</v>
      </c>
      <c r="K365" s="20">
        <f t="shared" ca="1" si="62"/>
        <v>0</v>
      </c>
      <c r="L365" s="5">
        <f t="shared" ca="1" si="63"/>
        <v>0</v>
      </c>
      <c r="M365" s="64">
        <f t="shared" si="67"/>
        <v>0</v>
      </c>
      <c r="N365" s="61">
        <f t="shared" ca="1" si="68"/>
        <v>0</v>
      </c>
      <c r="O365" s="5">
        <f t="shared" ca="1" si="69"/>
        <v>0</v>
      </c>
      <c r="P365" s="446" t="e">
        <f t="shared" si="64"/>
        <v>#VALUE!</v>
      </c>
      <c r="Q365" s="446" t="e">
        <f>IF(OR($B365="",MIN(Q$38,$D$19)&lt;MAX($P$34*($B365+IF($R$17="Distrato",$I$38-1,0)),IF(AND($L$37=0,$P$34=0),"",$L$37-1),IF($R$17="Distrato",$E365,0))),0,YEARFRAC(MAX($P$34*($B365+IF($R$17="Distrato",$I$38-1,0)),IF(AND($L$37=0,$P$34=0),"",$L$37-1),IF($R$17="Distrato",$E365,0)),MIN(Q$38,$D$19),$P$20))-SUM($P365:P365)</f>
        <v>#VALUE!</v>
      </c>
      <c r="R365" s="446" t="e">
        <f>IF(OR($B365="",MIN(R$38,$D$19)&lt;MAX($P$34*($B365+IF($R$17="Distrato",$I$38-1,0)),IF(AND($L$37=0,$P$34=0),"",$L$37-1),IF($R$17="Distrato",$E365,0))),0,YEARFRAC(MAX($P$34*($B365+IF($R$17="Distrato",$I$38-1,0)),IF(AND($L$37=0,$P$34=0),"",$L$37-1),IF($R$17="Distrato",$E365,0)),MIN(R$38,$D$19),$P$20))-SUM($P365:Q365)</f>
        <v>#VALUE!</v>
      </c>
      <c r="S365" s="446" t="e">
        <f>IF(OR($B365="",MIN(S$38,$D$19)&lt;MAX($P$34*($B365+IF($R$17="Distrato",$I$38-1,0)),IF(AND($L$37=0,$P$34=0),"",$L$37-1),IF($R$17="Distrato",$E365,0))),0,YEARFRAC(MAX($P$34*($B365+IF($R$17="Distrato",$I$38-1,0)),IF(AND($L$37=0,$P$34=0),"",$L$37-1),IF($R$17="Distrato",$E365,0)),MIN(S$38,$D$19),$P$20))-SUM($P365:R365)</f>
        <v>#VALUE!</v>
      </c>
      <c r="T365" s="446" t="e">
        <f>IF(OR($B365="",MIN(T$38,$D$19)&lt;MAX($P$34*($B365+IF($R$17="Distrato",$I$38-1,0)),IF(AND($L$37=0,$P$34=0),"",$L$37-1),IF($R$17="Distrato",$E365,0))),0,YEARFRAC(MAX($P$34*($B365+IF($R$17="Distrato",$I$38-1,0)),IF(AND($L$37=0,$P$34=0),"",$L$37-1),IF($R$17="Distrato",$E365,0)),MIN(T$38,$D$19),$P$20))-SUM($P365:S365)</f>
        <v>#VALUE!</v>
      </c>
      <c r="U365" s="446" t="e">
        <f>IF(OR($B365="",MIN(U$38,$D$19)&lt;MAX($P$34*($B365+IF($R$17="Distrato",$I$38-1,0)),IF(AND($L$37=0,$P$34=0),"",$L$37-1),IF($R$17="Distrato",$E365,0))),0,YEARFRAC(MAX($P$34*($B365+IF($R$17="Distrato",$I$38-1,0)),IF(AND($L$37=0,$P$34=0),"",$L$37-1),IF($R$17="Distrato",$E365,0)),MIN(U$38,$D$19),$P$20))-SUM($P365:T365)</f>
        <v>#VALUE!</v>
      </c>
      <c r="V365" s="446" t="e">
        <f>IF(OR($B365="",MIN(V$38,$D$19)&lt;MAX($P$34*($B365+IF($R$17="Distrato",$I$38-1,0)),IF(AND($L$37=0,$P$34=0),"",$L$37-1),IF($R$17="Distrato",$E365,0))),0,YEARFRAC(MAX($P$34*($B365+IF($R$17="Distrato",$I$38-1,0)),IF(AND($L$37=0,$P$34=0),"",$L$37-1),IF($R$17="Distrato",$E365,0)),MIN(V$38,$D$19),$P$20))-SUM($P365:U365)</f>
        <v>#VALUE!</v>
      </c>
      <c r="W365" s="446" t="e">
        <f>IF(OR($B365="",MIN(W$38,$D$19)&lt;MAX($P$34*($B365+IF($R$17="Distrato",$I$38-1,0)),IF(AND($L$37=0,$P$34=0),"",$L$37-1),IF($R$17="Distrato",$E365,0))),0,YEARFRAC(MAX($P$34*($B365+IF($R$17="Distrato",$I$38-1,0)),IF(AND($L$37=0,$P$34=0),"",$L$37-1),IF($R$17="Distrato",$E365,0)),MIN(W$38,$D$19),$P$20))-SUM($P365:V365)</f>
        <v>#VALUE!</v>
      </c>
      <c r="X365" s="446" t="e">
        <f>IF(OR($B365="",MIN(X$38,$D$19)&lt;MAX($P$34*($B365+IF($R$17="Distrato",$I$38-1,0)),IF(AND($L$37=0,$P$34=0),"",$L$37-1),IF($R$17="Distrato",$E365,0))),0,YEARFRAC(MAX($P$34*($B365+IF($R$17="Distrato",$I$38-1,0)),IF(AND($L$37=0,$P$34=0),"",$L$37-1),IF($R$17="Distrato",$E365,0)),MIN(X$38,$D$19),$P$20))-SUM($P365:W365)</f>
        <v>#VALUE!</v>
      </c>
      <c r="Y365" s="446" t="e">
        <f>IF(OR($B365="",MIN(Y$38,$D$19)&lt;MAX($P$34*($B365+IF($R$17="Distrato",$I$38-1,0)),IF(AND($L$37=0,$P$34=0),"",$L$37-1),IF($R$17="Distrato",$E365,0))),0,YEARFRAC(MAX($P$34*($B365+IF($R$17="Distrato",$I$38-1,0)),IF(AND($L$37=0,$P$34=0),"",$L$37-1),IF($R$17="Distrato",$E365,0)),MIN(Y$38,$D$19),$P$20))-SUM($P365:X365)</f>
        <v>#VALUE!</v>
      </c>
      <c r="Z365" s="446" t="e">
        <f>IF(OR($B365="",MIN(Z$38,$D$19)&lt;MAX($P$34*($B365+IF($R$17="Distrato",$I$38-1,0)),IF(AND($L$37=0,$P$34=0),"",$L$37-1),IF($R$17="Distrato",$E365,0))),0,YEARFRAC(MAX($P$34*($B365+IF($R$17="Distrato",$I$38-1,0)),IF(AND($L$37=0,$P$34=0),"",$L$37-1),IF($R$17="Distrato",$E365,0)),MIN(Z$38,$D$19),$P$20))-SUM($P365:Y365)</f>
        <v>#VALUE!</v>
      </c>
      <c r="AA365" s="446" t="e">
        <f>IF(OR($B365="",MIN(AA$38,$D$19)&lt;MAX($P$34*($B365+IF($R$17="Distrato",$I$38-1,0)),IF(AND($L$37=0,$P$34=0),"",$L$37-1),IF($R$17="Distrato",$E365,0))),0,YEARFRAC(MAX($P$34*($B365+IF($R$17="Distrato",$I$38-1,0)),IF(AND($L$37=0,$P$34=0),"",$L$37-1),IF($R$17="Distrato",$E365,0)),MIN(AA$38,$D$19),$P$20))-SUM($P365:Z365)</f>
        <v>#VALUE!</v>
      </c>
      <c r="AB365" s="446" t="e">
        <f>IF(OR($B365="",MIN(AB$38,$D$19)&lt;MAX($P$34*($B365+IF($R$17="Distrato",$I$38-1,0)),IF(AND($L$37=0,$P$34=0),"",$L$37-1),IF($R$17="Distrato",$E365,0))),0,YEARFRAC(MAX($P$34*($B365+IF($R$17="Distrato",$I$38-1,0)),IF(AND($L$37=0,$P$34=0),"",$L$37-1),IF($R$17="Distrato",$E365,0)),MIN(AB$38,$D$19),$P$20))-SUM($P365:AA365)</f>
        <v>#VALUE!</v>
      </c>
      <c r="AC365" s="446" t="e">
        <f>IF(OR($B365="",MIN(AC$38,$D$19)&lt;MAX($P$34*($B365+IF($R$17="Distrato",$I$38-1,0)),IF(AND($L$37=0,$P$34=0),"",$L$37-1),IF($R$17="Distrato",$E365,0))),0,YEARFRAC(MAX($P$34*($B365+IF($R$17="Distrato",$I$38-1,0)),IF(AND($L$37=0,$P$34=0),"",$L$37-1),IF($R$17="Distrato",$E365,0)),MIN(AC$38,$D$19),$P$20))-SUM($P365:AB365)</f>
        <v>#VALUE!</v>
      </c>
      <c r="AD365" s="446" t="e">
        <f>IF(OR($B365="",MIN(AD$38,$D$19)&lt;MAX($P$34*($B365+IF($R$17="Distrato",$I$38-1,0)),IF(AND($L$37=0,$P$34=0),"",$L$37-1),IF($R$17="Distrato",$E365,0))),0,YEARFRAC(MAX($P$34*($B365+IF($R$17="Distrato",$I$38-1,0)),IF(AND($L$37=0,$P$34=0),"",$L$37-1),IF($R$17="Distrato",$E365,0)),MIN(AD$38,$D$19),$P$20))-SUM($P365:AC365)</f>
        <v>#VALUE!</v>
      </c>
      <c r="AE365" s="446" t="e">
        <f>IF(OR($B365="",MIN(AE$38,$D$19)&lt;MAX($P$34*($B365+IF($R$17="Distrato",$I$38-1,0)),IF(AND($L$37=0,$P$34=0),"",$L$37-1),IF($R$17="Distrato",$E365,0))),0,YEARFRAC(MAX($P$34*($B365+IF($R$17="Distrato",$I$38-1,0)),IF(AND($L$37=0,$P$34=0),"",$L$37-1),IF($R$17="Distrato",$E365,0)),MIN(AE$38,$D$19),$P$20))-SUM($P365:AD365)</f>
        <v>#VALUE!</v>
      </c>
      <c r="AF365" s="446" t="e">
        <f>IF(OR($B365="",MIN(AF$38,$D$19)&lt;MAX($P$34*($B365+IF($R$17="Distrato",$I$38-1,0)),IF(AND($L$37=0,$P$34=0),"",$L$37-1),IF($R$17="Distrato",$E365,0))),0,YEARFRAC(MAX($P$34*($B365+IF($R$17="Distrato",$I$38-1,0)),IF(AND($L$37=0,$P$34=0),"",$L$37-1),IF($R$17="Distrato",$E365,0)),MIN(AF$38,$D$19),$P$20))-SUM($P365:AE365)</f>
        <v>#VALUE!</v>
      </c>
      <c r="AG365" s="446" t="e">
        <f>IF(OR($B365="",MIN(AG$38,$D$19)&lt;MAX($P$34*($B365+IF($R$17="Distrato",$I$38-1,0)),IF(AND($L$37=0,$P$34=0),"",$L$37-1),IF($R$17="Distrato",$E365,0))),0,YEARFRAC(MAX($P$34*($B365+IF($R$17="Distrato",$I$38-1,0)),IF(AND($L$37=0,$P$34=0),"",$L$37-1),IF($R$17="Distrato",$E365,0)),MIN(AG$38,$D$19),$P$20))-SUM($P365:AF365)</f>
        <v>#VALUE!</v>
      </c>
      <c r="AH365" s="446" t="e">
        <f>IF(OR($B365="",MIN(AH$38,$D$19)&lt;MAX($P$34*($B365+IF($R$17="Distrato",$I$38-1,0)),IF(AND($L$37=0,$P$34=0),"",$L$37-1),IF($R$17="Distrato",$E365,0))),0,YEARFRAC(MAX($P$34*($B365+IF($R$17="Distrato",$I$38-1,0)),IF(AND($L$37=0,$P$34=0),"",$L$37-1),IF($R$17="Distrato",$E365,0)),MIN(AH$38,$D$19),$P$20))-SUM($P365:AG365)</f>
        <v>#VALUE!</v>
      </c>
      <c r="AI365" s="446" t="e">
        <f>IF(OR($B365="",MIN(AI$38,$D$19)&lt;MAX($P$34*($B365+IF($R$17="Distrato",$I$38-1,0)),IF(AND($L$37=0,$P$34=0),"",$L$37-1),IF($R$17="Distrato",$E365,0))),0,YEARFRAC(MAX($P$34*($B365+IF($R$17="Distrato",$I$38-1,0)),IF(AND($L$37=0,$P$34=0),"",$L$37-1),IF($R$17="Distrato",$E365,0)),MIN(AI$38,$D$19),$P$20))-SUM($P365:AH365)</f>
        <v>#VALUE!</v>
      </c>
      <c r="AJ365" s="446" t="e">
        <f>IF(OR($B365="",MIN(AJ$38,$D$19)&lt;MAX($P$34*($B365+IF($R$17="Distrato",$I$38-1,0)),IF(AND($L$37=0,$P$34=0),"",$L$37-1),IF($R$17="Distrato",$E365,0))),0,YEARFRAC(MAX($P$34*($B365+IF($R$17="Distrato",$I$38-1,0)),IF(AND($L$37=0,$P$34=0),"",$L$37-1),IF($R$17="Distrato",$E365,0)),MIN(AJ$38,$D$19),$P$20))-SUM($P365:AI365)</f>
        <v>#VALUE!</v>
      </c>
      <c r="AK365" s="446" t="e">
        <f>IF(OR($B365="",MIN(AK$38,$D$19)&lt;MAX($P$34*($B365+IF($R$17="Distrato",$I$38-1,0)),IF(AND($L$37=0,$P$34=0),"",$L$37-1),IF($R$17="Distrato",$E365,0))),0,YEARFRAC(MAX($P$34*($B365+IF($R$17="Distrato",$I$38-1,0)),IF(AND($L$37=0,$P$34=0),"",$L$37-1),IF($R$17="Distrato",$E365,0)),MIN(AK$38,$D$19),$P$20))-SUM($P365:AJ365)</f>
        <v>#VALUE!</v>
      </c>
      <c r="AL365" s="446" t="e">
        <f>IF(OR($B365="",MIN(AL$38,$D$19)&lt;MAX($P$34*($B365+IF($R$17="Distrato",$I$38-1,0)),IF(AND($L$37=0,$P$34=0),"",$L$37-1),IF($R$17="Distrato",$E365,0))),0,YEARFRAC(MAX($P$34*($B365+IF($R$17="Distrato",$I$38-1,0)),IF(AND($L$37=0,$P$34=0),"",$L$37-1),IF($R$17="Distrato",$E365,0)),MIN(AL$38,$D$19),$P$20))-SUM($P365:AK365)</f>
        <v>#VALUE!</v>
      </c>
      <c r="AM365" s="446" t="e">
        <f>IF(OR($B365="",MIN(AM$38,$D$19)&lt;MAX($P$34*($B365+IF($R$17="Distrato",$I$38-1,0)),IF(AND($L$37=0,$P$34=0),"",$L$37-1),IF($R$17="Distrato",$E365,0))),0,YEARFRAC(MAX($P$34*($B365+IF($R$17="Distrato",$I$38-1,0)),IF(AND($L$37=0,$P$34=0),"",$L$37-1),IF($R$17="Distrato",$E365,0)),MIN(AM$38,$D$19),$P$20))-SUM($P365:AL365)</f>
        <v>#VALUE!</v>
      </c>
      <c r="AN365" s="446" t="e">
        <f>IF(OR($B365="",MIN(AN$38,$D$19)&lt;MAX($P$34*($B365+IF($R$17="Distrato",$I$38-1,0)),IF(AND($L$37=0,$P$34=0),"",$L$37-1),IF($R$17="Distrato",$E365,0))),0,YEARFRAC(MAX($P$34*($B365+IF($R$17="Distrato",$I$38-1,0)),IF(AND($L$37=0,$P$34=0),"",$L$37-1),IF($R$17="Distrato",$E365,0)),MIN(AN$38,$D$19),$P$20))-SUM($P365:AM365)</f>
        <v>#VALUE!</v>
      </c>
      <c r="AO365" s="446" t="e">
        <f>IF(OR($B365="",MIN(AO$38,$D$19)&lt;MAX($P$34*($B365+IF($R$17="Distrato",$I$38-1,0)),IF(AND($L$37=0,$P$34=0),"",$L$37-1),IF($R$17="Distrato",$E365,0))),0,YEARFRAC(MAX($P$34*($B365+IF($R$17="Distrato",$I$38-1,0)),IF(AND($L$37=0,$P$34=0),"",$L$37-1),IF($R$17="Distrato",$E365,0)),MIN(AO$38,$D$19),$P$20))-SUM($P365:AN365)</f>
        <v>#VALUE!</v>
      </c>
      <c r="AP365" s="446" t="e">
        <f>IF(OR($B365="",MIN(AP$38,$D$19)&lt;MAX($P$34*($B365+IF($R$17="Distrato",$I$38-1,0)),IF(AND($L$37=0,$P$34=0),"",$L$37-1),IF($R$17="Distrato",$E365,0))),0,YEARFRAC(MAX($P$34*($B365+IF($R$17="Distrato",$I$38-1,0)),IF(AND($L$37=0,$P$34=0),"",$L$37-1),IF($R$17="Distrato",$E365,0)),MIN(AP$38,$D$19),$P$20))-SUM($P365:AO365)</f>
        <v>#VALUE!</v>
      </c>
      <c r="AQ365" s="446" t="e">
        <f>IF(OR($B365="",MIN(AQ$38,$D$19)&lt;MAX($P$34*($B365+IF($R$17="Distrato",$I$38-1,0)),IF(AND($L$37=0,$P$34=0),"",$L$37-1),IF($R$17="Distrato",$E365,0))),0,YEARFRAC(MAX($P$34*($B365+IF($R$17="Distrato",$I$38-1,0)),IF(AND($L$37=0,$P$34=0),"",$L$37-1),IF($R$17="Distrato",$E365,0)),MIN(AQ$38,$D$19),$P$20))-SUM($P365:AP365)</f>
        <v>#VALUE!</v>
      </c>
      <c r="AR365" s="446" t="e">
        <f>IF(OR($B365="",MIN(AR$38,$D$19)&lt;MAX($P$34*($B365+IF($R$17="Distrato",$I$38-1,0)),IF(AND($L$37=0,$P$34=0),"",$L$37-1),IF($R$17="Distrato",$E365,0))),0,YEARFRAC(MAX($P$34*($B365+IF($R$17="Distrato",$I$38-1,0)),IF(AND($L$37=0,$P$34=0),"",$L$37-1),IF($R$17="Distrato",$E365,0)),MIN(AR$38,$D$19),$P$20))-SUM($P365:AQ365)</f>
        <v>#VALUE!</v>
      </c>
      <c r="AS365" s="446" t="e">
        <f>IF(OR($B365="",MIN(AS$38,$D$19)&lt;MAX($P$34*($B365+IF($R$17="Distrato",$I$38-1,0)),IF(AND($L$37=0,$P$34=0),"",$L$37-1),IF($R$17="Distrato",$E365,0))),0,YEARFRAC(MAX($P$34*($B365+IF($R$17="Distrato",$I$38-1,0)),IF(AND($L$37=0,$P$34=0),"",$L$37-1),IF($R$17="Distrato",$E365,0)),MIN(AS$38,$D$19),$P$20))-SUM($P365:AR365)</f>
        <v>#VALUE!</v>
      </c>
      <c r="AT365" s="446" t="e">
        <f>IF(OR($B365="",MIN(AT$38,$D$19)&lt;MAX($P$34*($B365+IF($R$17="Distrato",$I$38-1,0)),IF(AND($L$37=0,$P$34=0),"",$L$37-1),IF($R$17="Distrato",$E365,0))),0,YEARFRAC(MAX($P$34*($B365+IF($R$17="Distrato",$I$38-1,0)),IF(AND($L$37=0,$P$34=0),"",$L$37-1),IF($R$17="Distrato",$E365,0)),MIN(AT$38,$D$19),$P$20))-SUM($P365:AS365)</f>
        <v>#VALUE!</v>
      </c>
      <c r="AU365" s="446" t="e">
        <f>IF(OR($B365="",MIN(AU$38,$D$19)&lt;MAX($P$34*($B365+IF($R$17="Distrato",$I$38-1,0)),IF(AND($L$37=0,$P$34=0),"",$L$37-1),IF($R$17="Distrato",$E365,0))),0,YEARFRAC(MAX($P$34*($B365+IF($R$17="Distrato",$I$38-1,0)),IF(AND($L$37=0,$P$34=0),"",$L$37-1),IF($R$17="Distrato",$E365,0)),MIN(AU$38,$D$19),$P$20))-SUM($P365:AT365)</f>
        <v>#VALUE!</v>
      </c>
      <c r="AV365" s="446" t="e">
        <f>IF(OR($B365="",MIN(AV$38,$D$19)&lt;MAX($P$34*($B365+IF($R$17="Distrato",$I$38-1,0)),IF(AND($L$37=0,$P$34=0),"",$L$37-1),IF($R$17="Distrato",$E365,0))),0,YEARFRAC(MAX($P$34*($B365+IF($R$17="Distrato",$I$38-1,0)),IF(AND($L$37=0,$P$34=0),"",$L$37-1),IF($R$17="Distrato",$E365,0)),MIN(AV$38,$D$19),$P$20))-SUM($P365:AU365)</f>
        <v>#VALUE!</v>
      </c>
      <c r="AW365" s="446" t="e">
        <f>IF(OR($B365="",MIN(AW$38,$D$19)&lt;MAX($P$34*($B365+IF($R$17="Distrato",$I$38-1,0)),IF(AND($L$37=0,$P$34=0),"",$L$37-1),IF($R$17="Distrato",$E365,0))),0,YEARFRAC(MAX($P$34*($B365+IF($R$17="Distrato",$I$38-1,0)),IF(AND($L$37=0,$P$34=0),"",$L$37-1),IF($R$17="Distrato",$E365,0)),MIN(AW$38,$D$19),$P$20))-SUM($P365:AV365)</f>
        <v>#VALUE!</v>
      </c>
      <c r="AX365" s="446" t="e">
        <f>IF(OR($B365="",MIN(AX$38,$D$19)&lt;MAX($P$34*($B365+IF($R$17="Distrato",$I$38-1,0)),IF(AND($L$37=0,$P$34=0),"",$L$37-1),IF($R$17="Distrato",$E365,0))),0,YEARFRAC(MAX($P$34*($B365+IF($R$17="Distrato",$I$38-1,0)),IF(AND($L$37=0,$P$34=0),"",$L$37-1),IF($R$17="Distrato",$E365,0)),MIN(AX$38,$D$19),$P$20))-SUM($P365:AW365)</f>
        <v>#VALUE!</v>
      </c>
      <c r="AY365" s="446" t="e">
        <f>IF(OR($B365="",MIN(AY$38,$D$19)&lt;MAX($P$34*($B365+IF($R$17="Distrato",$I$38-1,0)),IF(AND($L$37=0,$P$34=0),"",$L$37-1),IF($R$17="Distrato",$E365,0))),0,YEARFRAC(MAX($P$34*($B365+IF($R$17="Distrato",$I$38-1,0)),IF(AND($L$37=0,$P$34=0),"",$L$37-1),IF($R$17="Distrato",$E365,0)),MIN(AY$38,$D$19),$P$20))-SUM($P365:AX365)</f>
        <v>#VALUE!</v>
      </c>
      <c r="AZ365" s="446" t="e">
        <f>IF(OR($B365="",MIN(AZ$38,$D$19)&lt;MAX($P$34*($B365+IF($R$17="Distrato",$I$38-1,0)),IF(AND($L$37=0,$P$34=0),"",$L$37-1),IF($R$17="Distrato",$E365,0))),0,YEARFRAC(MAX($P$34*($B365+IF($R$17="Distrato",$I$38-1,0)),IF(AND($L$37=0,$P$34=0),"",$L$37-1),IF($R$17="Distrato",$E365,0)),MIN(AZ$38,$D$19),$P$20))-SUM($P365:AY365)</f>
        <v>#VALUE!</v>
      </c>
      <c r="BA365" s="446" t="e">
        <f>IF(OR($B365="",MIN(BA$38,$D$19)&lt;MAX($P$34*($B365+IF($R$17="Distrato",$I$38-1,0)),IF(AND($L$37=0,$P$34=0),"",$L$37-1),IF($R$17="Distrato",$E365,0))),0,YEARFRAC(MAX($P$34*($B365+IF($R$17="Distrato",$I$38-1,0)),IF(AND($L$37=0,$P$34=0),"",$L$37-1),IF($R$17="Distrato",$E365,0)),MIN(BA$38,$D$19),$P$20))-SUM($P365:AZ365)</f>
        <v>#VALUE!</v>
      </c>
      <c r="BB365" s="447"/>
      <c r="BF365" s="446">
        <f t="shared" si="65"/>
        <v>0</v>
      </c>
      <c r="BG365" s="446">
        <f>IF($E365=0,0,IF(MIN(BG$38,$E365)&lt;MAX($P$34*($B365+$I$38-1),IF(AND($L$37=0,$P$34=0),"",$L$37-1)),0,YEARFRAC(MAX($P$34*($B365+$I$38-1),IF(AND($L$37=0,$P$34=0),"",$L$37-1)),MIN(BG$38,$E365),$P$20))-SUM($BF365:BF365))</f>
        <v>0</v>
      </c>
      <c r="BH365" s="446">
        <f>IF($E365=0,0,IF(MIN(BH$38,$E365)&lt;MAX($P$34*($B365+$I$38-1),IF(AND($L$37=0,$P$34=0),"",$L$37-1)),0,YEARFRAC(MAX($P$34*($B365+$I$38-1),IF(AND($L$37=0,$P$34=0),"",$L$37-1)),MIN(BH$38,$E365),$P$20))-SUM($BF365:BG365))</f>
        <v>0</v>
      </c>
      <c r="BI365" s="446">
        <f>IF($E365=0,0,IF(MIN(BI$38,$E365)&lt;MAX($P$34*($B365+$I$38-1),IF(AND($L$37=0,$P$34=0),"",$L$37-1)),0,YEARFRAC(MAX($P$34*($B365+$I$38-1),IF(AND($L$37=0,$P$34=0),"",$L$37-1)),MIN(BI$38,$E365),$P$20))-SUM($BF365:BH365))</f>
        <v>0</v>
      </c>
      <c r="BJ365" s="446">
        <f>IF($E365=0,0,IF(MIN(BJ$38,$E365)&lt;MAX($P$34*($B365+$I$38-1),IF(AND($L$37=0,$P$34=0),"",$L$37-1)),0,YEARFRAC(MAX($P$34*($B365+$I$38-1),IF(AND($L$37=0,$P$34=0),"",$L$37-1)),MIN(BJ$38,$E365),$P$20))-SUM($BF365:BI365))</f>
        <v>0</v>
      </c>
      <c r="BK365" s="446">
        <f>IF($E365=0,0,IF(MIN(BK$38,$E365)&lt;MAX($P$34*($B365+$I$38-1),IF(AND($L$37=0,$P$34=0),"",$L$37-1)),0,YEARFRAC(MAX($P$34*($B365+$I$38-1),IF(AND($L$37=0,$P$34=0),"",$L$37-1)),MIN(BK$38,$E365),$P$20))-SUM($BF365:BJ365))</f>
        <v>0</v>
      </c>
      <c r="BL365" s="446">
        <f>IF($E365=0,0,IF(MIN(BL$38,$E365)&lt;MAX($P$34*($B365+$I$38-1),IF(AND($L$37=0,$P$34=0),"",$L$37-1)),0,YEARFRAC(MAX($P$34*($B365+$I$38-1),IF(AND($L$37=0,$P$34=0),"",$L$37-1)),MIN(BL$38,$E365),$P$20))-SUM($BF365:BK365))</f>
        <v>0</v>
      </c>
      <c r="BM365" s="446">
        <f>IF($E365=0,0,IF(MIN(BM$38,$E365)&lt;MAX($P$34*($B365+$I$38-1),IF(AND($L$37=0,$P$34=0),"",$L$37-1)),0,YEARFRAC(MAX($P$34*($B365+$I$38-1),IF(AND($L$37=0,$P$34=0),"",$L$37-1)),MIN(BM$38,$E365),$P$20))-SUM($BF365:BL365))</f>
        <v>0</v>
      </c>
      <c r="BN365" s="446">
        <f>IF($E365=0,0,IF(MIN(BN$38,$E365)&lt;MAX($P$34*($B365+$I$38-1),IF(AND($L$37=0,$P$34=0),"",$L$37-1)),0,YEARFRAC(MAX($P$34*($B365+$I$38-1),IF(AND($L$37=0,$P$34=0),"",$L$37-1)),MIN(BN$38,$E365),$P$20))-SUM($BF365:BM365))</f>
        <v>0</v>
      </c>
      <c r="BO365" s="446">
        <f>IF($E365=0,0,IF(MIN(BO$38,$E365)&lt;MAX($P$34*($B365+$I$38-1),IF(AND($L$37=0,$P$34=0),"",$L$37-1)),0,YEARFRAC(MAX($P$34*($B365+$I$38-1),IF(AND($L$37=0,$P$34=0),"",$L$37-1)),MIN(BO$38,$E365),$P$20))-SUM($BF365:BN365))</f>
        <v>0</v>
      </c>
      <c r="BP365" s="446">
        <f>IF($E365=0,0,IF(MIN(BP$38,$E365)&lt;MAX($P$34*($B365+$I$38-1),IF(AND($L$37=0,$P$34=0),"",$L$37-1)),0,YEARFRAC(MAX($P$34*($B365+$I$38-1),IF(AND($L$37=0,$P$34=0),"",$L$37-1)),MIN(BP$38,$E365),$P$20))-SUM($BF365:BO365))</f>
        <v>0</v>
      </c>
      <c r="BQ365" s="446">
        <f>IF($E365=0,0,IF(MIN(BQ$38,$E365)&lt;MAX($P$34*($B365+$I$38-1),IF(AND($L$37=0,$P$34=0),"",$L$37-1)),0,YEARFRAC(MAX($P$34*($B365+$I$38-1),IF(AND($L$37=0,$P$34=0),"",$L$37-1)),MIN(BQ$38,$E365),$P$20))-SUM($BF365:BP365))</f>
        <v>0</v>
      </c>
      <c r="BR365" s="446">
        <f>IF($E365=0,0,IF(MIN(BR$38,$E365)&lt;MAX($P$34*($B365+$I$38-1),IF(AND($L$37=0,$P$34=0),"",$L$37-1)),0,YEARFRAC(MAX($P$34*($B365+$I$38-1),IF(AND($L$37=0,$P$34=0),"",$L$37-1)),MIN(BR$38,$E365),$P$20))-SUM($BF365:BQ365))</f>
        <v>0</v>
      </c>
      <c r="BS365" s="446">
        <f>IF($E365=0,0,IF(MIN(BS$38,$E365)&lt;MAX($P$34*($B365+$I$38-1),IF(AND($L$37=0,$P$34=0),"",$L$37-1)),0,YEARFRAC(MAX($P$34*($B365+$I$38-1),IF(AND($L$37=0,$P$34=0),"",$L$37-1)),MIN(BS$38,$E365),$P$20))-SUM($BF365:BR365))</f>
        <v>0</v>
      </c>
      <c r="BT365" s="446">
        <f>IF($E365=0,0,IF(MIN(BT$38,$E365)&lt;MAX($P$34*($B365+$I$38-1),IF(AND($L$37=0,$P$34=0),"",$L$37-1)),0,YEARFRAC(MAX($P$34*($B365+$I$38-1),IF(AND($L$37=0,$P$34=0),"",$L$37-1)),MIN(BT$38,$E365),$P$20))-SUM($BF365:BS365))</f>
        <v>0</v>
      </c>
      <c r="BU365" s="446">
        <f>IF($E365=0,0,IF(MIN(BU$38,$E365)&lt;MAX($P$34*($B365+$I$38-1),IF(AND($L$37=0,$P$34=0),"",$L$37-1)),0,YEARFRAC(MAX($P$34*($B365+$I$38-1),IF(AND($L$37=0,$P$34=0),"",$L$37-1)),MIN(BU$38,$E365),$P$20))-SUM($BF365:BT365))</f>
        <v>0</v>
      </c>
      <c r="BV365" s="446">
        <f>IF($E365=0,0,IF(MIN(BV$38,$E365)&lt;MAX($P$34*($B365+$I$38-1),IF(AND($L$37=0,$P$34=0),"",$L$37-1)),0,YEARFRAC(MAX($P$34*($B365+$I$38-1),IF(AND($L$37=0,$P$34=0),"",$L$37-1)),MIN(BV$38,$E365),$P$20))-SUM($BF365:BU365))</f>
        <v>0</v>
      </c>
      <c r="BW365" s="446">
        <f>IF($E365=0,0,IF(MIN(BW$38,$E365)&lt;MAX($P$34*($B365+$I$38-1),IF(AND($L$37=0,$P$34=0),"",$L$37-1)),0,YEARFRAC(MAX($P$34*($B365+$I$38-1),IF(AND($L$37=0,$P$34=0),"",$L$37-1)),MIN(BW$38,$E365),$P$20))-SUM($BF365:BV365))</f>
        <v>0</v>
      </c>
      <c r="BX365" s="446">
        <f>IF($E365=0,0,IF(MIN(BX$38,$E365)&lt;MAX($P$34*($B365+$I$38-1),IF(AND($L$37=0,$P$34=0),"",$L$37-1)),0,YEARFRAC(MAX($P$34*($B365+$I$38-1),IF(AND($L$37=0,$P$34=0),"",$L$37-1)),MIN(BX$38,$E365),$P$20))-SUM($BF365:BW365))</f>
        <v>0</v>
      </c>
      <c r="BY365" s="446">
        <f>IF($E365=0,0,IF(MIN(BY$38,$E365)&lt;MAX($P$34*($B365+$I$38-1),IF(AND($L$37=0,$P$34=0),"",$L$37-1)),0,YEARFRAC(MAX($P$34*($B365+$I$38-1),IF(AND($L$37=0,$P$34=0),"",$L$37-1)),MIN(BY$38,$E365),$P$20))-SUM($BF365:BX365))</f>
        <v>0</v>
      </c>
      <c r="BZ365" s="446">
        <f>IF($E365=0,0,IF(MIN(BZ$38,$E365)&lt;MAX($P$34*($B365+$I$38-1),IF(AND($L$37=0,$P$34=0),"",$L$37-1)),0,YEARFRAC(MAX($P$34*($B365+$I$38-1),IF(AND($L$37=0,$P$34=0),"",$L$37-1)),MIN(BZ$38,$E365),$P$20))-SUM($BF365:BY365))</f>
        <v>0</v>
      </c>
      <c r="CA365" s="446">
        <f>IF($E365=0,0,IF(MIN(CA$38,$E365)&lt;MAX($P$34*($B365+$I$38-1),IF(AND($L$37=0,$P$34=0),"",$L$37-1)),0,YEARFRAC(MAX($P$34*($B365+$I$38-1),IF(AND($L$37=0,$P$34=0),"",$L$37-1)),MIN(CA$38,$E365),$P$20))-SUM($BF365:BZ365))</f>
        <v>0</v>
      </c>
      <c r="CB365" s="446">
        <f>IF($E365=0,0,IF(MIN(CB$38,$E365)&lt;MAX($P$34*($B365+$I$38-1),IF(AND($L$37=0,$P$34=0),"",$L$37-1)),0,YEARFRAC(MAX($P$34*($B365+$I$38-1),IF(AND($L$37=0,$P$34=0),"",$L$37-1)),MIN(CB$38,$E365),$P$20))-SUM($BF365:CA365))</f>
        <v>0</v>
      </c>
      <c r="CC365" s="446">
        <f>IF($E365=0,0,IF(MIN(CC$38,$E365)&lt;MAX($P$34*($B365+$I$38-1),IF(AND($L$37=0,$P$34=0),"",$L$37-1)),0,YEARFRAC(MAX($P$34*($B365+$I$38-1),IF(AND($L$37=0,$P$34=0),"",$L$37-1)),MIN(CC$38,$E365),$P$20))-SUM($BF365:CB365))</f>
        <v>0</v>
      </c>
      <c r="CD365" s="446">
        <f>IF($E365=0,0,IF(MIN(CD$38,$E365)&lt;MAX($P$34*($B365+$I$38-1),IF(AND($L$37=0,$P$34=0),"",$L$37-1)),0,YEARFRAC(MAX($P$34*($B365+$I$38-1),IF(AND($L$37=0,$P$34=0),"",$L$37-1)),MIN(CD$38,$E365),$P$20))-SUM($BF365:CC365))</f>
        <v>0</v>
      </c>
      <c r="CE365" s="446">
        <f>IF($E365=0,0,IF(MIN(CE$38,$E365)&lt;MAX($P$34*($B365+$I$38-1),IF(AND($L$37=0,$P$34=0),"",$L$37-1)),0,YEARFRAC(MAX($P$34*($B365+$I$38-1),IF(AND($L$37=0,$P$34=0),"",$L$37-1)),MIN(CE$38,$E365),$P$20))-SUM($BF365:CD365))</f>
        <v>0</v>
      </c>
      <c r="CF365" s="446">
        <f>IF($E365=0,0,IF(MIN(CF$38,$E365)&lt;MAX($P$34*($B365+$I$38-1),IF(AND($L$37=0,$P$34=0),"",$L$37-1)),0,YEARFRAC(MAX($P$34*($B365+$I$38-1),IF(AND($L$37=0,$P$34=0),"",$L$37-1)),MIN(CF$38,$E365),$P$20))-SUM($BF365:CE365))</f>
        <v>0</v>
      </c>
      <c r="CG365" s="446">
        <f>IF($E365=0,0,IF(MIN(CG$38,$E365)&lt;MAX($P$34*($B365+$I$38-1),IF(AND($L$37=0,$P$34=0),"",$L$37-1)),0,YEARFRAC(MAX($P$34*($B365+$I$38-1),IF(AND($L$37=0,$P$34=0),"",$L$37-1)),MIN(CG$38,$E365),$P$20))-SUM($BF365:CF365))</f>
        <v>0</v>
      </c>
      <c r="CH365" s="446">
        <f>IF($E365=0,0,IF(MIN(CH$38,$E365)&lt;MAX($P$34*($B365+$I$38-1),IF(AND($L$37=0,$P$34=0),"",$L$37-1)),0,YEARFRAC(MAX($P$34*($B365+$I$38-1),IF(AND($L$37=0,$P$34=0),"",$L$37-1)),MIN(CH$38,$E365),$P$20))-SUM($BF365:CG365))</f>
        <v>0</v>
      </c>
      <c r="CI365" s="446">
        <f>IF($E365=0,0,IF(MIN(CI$38,$E365)&lt;MAX($P$34*($B365+$I$38-1),IF(AND($L$37=0,$P$34=0),"",$L$37-1)),0,YEARFRAC(MAX($P$34*($B365+$I$38-1),IF(AND($L$37=0,$P$34=0),"",$L$37-1)),MIN(CI$38,$E365),$P$20))-SUM($BF365:CH365))</f>
        <v>0</v>
      </c>
      <c r="CJ365" s="446">
        <f>IF($E365=0,0,IF(MIN(CJ$38,$E365)&lt;MAX($P$34*($B365+$I$38-1),IF(AND($L$37=0,$P$34=0),"",$L$37-1)),0,YEARFRAC(MAX($P$34*($B365+$I$38-1),IF(AND($L$37=0,$P$34=0),"",$L$37-1)),MIN(CJ$38,$E365),$P$20))-SUM($BF365:CI365))</f>
        <v>0</v>
      </c>
      <c r="CK365" s="446">
        <f>IF($E365=0,0,IF(MIN(CK$38,$E365)&lt;MAX($P$34*($B365+$I$38-1),IF(AND($L$37=0,$P$34=0),"",$L$37-1)),0,YEARFRAC(MAX($P$34*($B365+$I$38-1),IF(AND($L$37=0,$P$34=0),"",$L$37-1)),MIN(CK$38,$E365),$P$20))-SUM($BF365:CJ365))</f>
        <v>0</v>
      </c>
      <c r="CL365" s="446">
        <f>IF($E365=0,0,IF(MIN(CL$38,$E365)&lt;MAX($P$34*($B365+$I$38-1),IF(AND($L$37=0,$P$34=0),"",$L$37-1)),0,YEARFRAC(MAX($P$34*($B365+$I$38-1),IF(AND($L$37=0,$P$34=0),"",$L$37-1)),MIN(CL$38,$E365),$P$20))-SUM($BF365:CK365))</f>
        <v>0</v>
      </c>
      <c r="CM365" s="446">
        <f>IF($E365=0,0,IF(MIN(CM$38,$E365)&lt;MAX($P$34*($B365+$I$38-1),IF(AND($L$37=0,$P$34=0),"",$L$37-1)),0,YEARFRAC(MAX($P$34*($B365+$I$38-1),IF(AND($L$37=0,$P$34=0),"",$L$37-1)),MIN(CM$38,$E365),$P$20))-SUM($BF365:CL365))</f>
        <v>0</v>
      </c>
      <c r="CN365" s="446">
        <f>IF($E365=0,0,IF(MIN(CN$38,$E365)&lt;MAX($P$34*($B365+$I$38-1),IF(AND($L$37=0,$P$34=0),"",$L$37-1)),0,YEARFRAC(MAX($P$34*($B365+$I$38-1),IF(AND($L$37=0,$P$34=0),"",$L$37-1)),MIN(CN$38,$E365),$P$20))-SUM($BF365:CM365))</f>
        <v>0</v>
      </c>
      <c r="CO365" s="446">
        <f>IF($E365=0,0,IF(MIN(CO$38,$E365)&lt;MAX($P$34*($B365+$I$38-1),IF(AND($L$37=0,$P$34=0),"",$L$37-1)),0,YEARFRAC(MAX($P$34*($B365+$I$38-1),IF(AND($L$37=0,$P$34=0),"",$L$37-1)),MIN(CO$38,$E365),$P$20))-SUM($BF365:CN365))</f>
        <v>0</v>
      </c>
      <c r="CP365" s="446">
        <f>IF($E365=0,0,IF(MIN(CP$38,$E365)&lt;MAX($P$34*($B365+$I$38-1),IF(AND($L$37=0,$P$34=0),"",$L$37-1)),0,YEARFRAC(MAX($P$34*($B365+$I$38-1),IF(AND($L$37=0,$P$34=0),"",$L$37-1)),MIN(CP$38,$E365),$P$20))-SUM($BF365:CO365))</f>
        <v>0</v>
      </c>
      <c r="CQ365" s="446">
        <f>IF($E365=0,0,IF(MIN(CQ$38,$E365)&lt;MAX($P$34*($B365+$I$38-1),IF(AND($L$37=0,$P$34=0),"",$L$37-1)),0,YEARFRAC(MAX($P$34*($B365+$I$38-1),IF(AND($L$37=0,$P$34=0),"",$L$37-1)),MIN(CQ$38,$E365),$P$20))-SUM($BF365:CP365))</f>
        <v>0</v>
      </c>
    </row>
    <row r="366" spans="1:95" s="446" customFormat="1" ht="11.25" hidden="1" customHeight="1" x14ac:dyDescent="0.2">
      <c r="A366" s="152"/>
      <c r="B366" s="153" t="str">
        <f t="shared" si="70"/>
        <v/>
      </c>
      <c r="C366" s="29" t="str">
        <f>IF(B366="","",IF($L$35="SELIC - TRIBUTOS",VLOOKUP(DATE(YEAR($D$19),MONTH($D$19)-1,1),ÍNDICES!$A:$DE,HLOOKUP($BL$25,ÍNDICES!$B$3:$T$4,2)+11)-VLOOKUP(B366,ÍNDICES!$A:$DE,HLOOKUP($BL$25,ÍNDICES!$B$3:$T$4,2)+11)+1%,IF(C$38=$W$26,$J$35,IF(ISERROR(IF(B366&gt;$D$19,1,VLOOKUP(DATE(YEAR(B366),MONTH(B366)+IF($C$35=$S$23,1,0),1),ÍNDICES!$A:$DE,$Z$35+1))),"",IF(B366&gt;$D$19,1,VLOOKUP(DATE(YEAR(B366),MONTH(B366)+IF($C$35=$S$23,1,0),1),ÍNDICES!$A:$DE,$Z$35+1))))))</f>
        <v/>
      </c>
      <c r="D366" s="154" t="str">
        <f>IF(ISERROR(IF(OR($D$38=$Y$27,$B366=""),"",VLOOKUP(B366,ÍNDICES!A:DE,AF$35+1))),"",IF(OR($D$38=$Y$27,$B366=""),"",VLOOKUP(B366,ÍNDICES!A:DE,AF$35+1)))</f>
        <v/>
      </c>
      <c r="E366" s="153"/>
      <c r="F366" s="29" t="str">
        <f>IF(E366="","",IF($L$35="SELIC - TRIBUTOS",VLOOKUP(DATE(YEAR($D$19),MONTH($D$19)-1,1),ÍNDICES!$A:$DE,HLOOKUP($BL$25,ÍNDICES!$B$3:$T$4,2)+11)-VLOOKUP(E366,ÍNDICES!$A:$DE,HLOOKUP($BL$25,ÍNDICES!$B$3:$T$4,2)+11)+1%,IF(F$38=$W$26,$J$35,IF(ISERROR(IF(E366&gt;$D$19,1,VLOOKUP(DATE(YEAR(E366),MONTH(E366)+IF($C$35=$S$23,1,0),1),ÍNDICES!$A:$DE,$Z$35+1))),"",IF(E366&gt;$D$19,1,VLOOKUP(DATE(YEAR(E366),MONTH(E366)+IF($C$35=$S$23,1,0),1),ÍNDICES!$A:$DE,$Z$35+1))))))</f>
        <v/>
      </c>
      <c r="G366" s="155"/>
      <c r="H366" s="156" t="str">
        <f t="shared" si="66"/>
        <v/>
      </c>
      <c r="I366" s="29" t="str">
        <f t="shared" si="60"/>
        <v/>
      </c>
      <c r="J366" s="5">
        <f t="shared" si="61"/>
        <v>0</v>
      </c>
      <c r="K366" s="20">
        <f t="shared" ca="1" si="62"/>
        <v>0</v>
      </c>
      <c r="L366" s="5">
        <f t="shared" ca="1" si="63"/>
        <v>0</v>
      </c>
      <c r="M366" s="64">
        <f t="shared" si="67"/>
        <v>0</v>
      </c>
      <c r="N366" s="61">
        <f t="shared" ca="1" si="68"/>
        <v>0</v>
      </c>
      <c r="O366" s="5">
        <f t="shared" ca="1" si="69"/>
        <v>0</v>
      </c>
      <c r="P366" s="446" t="e">
        <f t="shared" si="64"/>
        <v>#VALUE!</v>
      </c>
      <c r="Q366" s="446" t="e">
        <f>IF(OR($B366="",MIN(Q$38,$D$19)&lt;MAX($P$34*($B366+IF($R$17="Distrato",$I$38-1,0)),IF(AND($L$37=0,$P$34=0),"",$L$37-1),IF($R$17="Distrato",$E366,0))),0,YEARFRAC(MAX($P$34*($B366+IF($R$17="Distrato",$I$38-1,0)),IF(AND($L$37=0,$P$34=0),"",$L$37-1),IF($R$17="Distrato",$E366,0)),MIN(Q$38,$D$19),$P$20))-SUM($P366:P366)</f>
        <v>#VALUE!</v>
      </c>
      <c r="R366" s="446" t="e">
        <f>IF(OR($B366="",MIN(R$38,$D$19)&lt;MAX($P$34*($B366+IF($R$17="Distrato",$I$38-1,0)),IF(AND($L$37=0,$P$34=0),"",$L$37-1),IF($R$17="Distrato",$E366,0))),0,YEARFRAC(MAX($P$34*($B366+IF($R$17="Distrato",$I$38-1,0)),IF(AND($L$37=0,$P$34=0),"",$L$37-1),IF($R$17="Distrato",$E366,0)),MIN(R$38,$D$19),$P$20))-SUM($P366:Q366)</f>
        <v>#VALUE!</v>
      </c>
      <c r="S366" s="446" t="e">
        <f>IF(OR($B366="",MIN(S$38,$D$19)&lt;MAX($P$34*($B366+IF($R$17="Distrato",$I$38-1,0)),IF(AND($L$37=0,$P$34=0),"",$L$37-1),IF($R$17="Distrato",$E366,0))),0,YEARFRAC(MAX($P$34*($B366+IF($R$17="Distrato",$I$38-1,0)),IF(AND($L$37=0,$P$34=0),"",$L$37-1),IF($R$17="Distrato",$E366,0)),MIN(S$38,$D$19),$P$20))-SUM($P366:R366)</f>
        <v>#VALUE!</v>
      </c>
      <c r="T366" s="446" t="e">
        <f>IF(OR($B366="",MIN(T$38,$D$19)&lt;MAX($P$34*($B366+IF($R$17="Distrato",$I$38-1,0)),IF(AND($L$37=0,$P$34=0),"",$L$37-1),IF($R$17="Distrato",$E366,0))),0,YEARFRAC(MAX($P$34*($B366+IF($R$17="Distrato",$I$38-1,0)),IF(AND($L$37=0,$P$34=0),"",$L$37-1),IF($R$17="Distrato",$E366,0)),MIN(T$38,$D$19),$P$20))-SUM($P366:S366)</f>
        <v>#VALUE!</v>
      </c>
      <c r="U366" s="446" t="e">
        <f>IF(OR($B366="",MIN(U$38,$D$19)&lt;MAX($P$34*($B366+IF($R$17="Distrato",$I$38-1,0)),IF(AND($L$37=0,$P$34=0),"",$L$37-1),IF($R$17="Distrato",$E366,0))),0,YEARFRAC(MAX($P$34*($B366+IF($R$17="Distrato",$I$38-1,0)),IF(AND($L$37=0,$P$34=0),"",$L$37-1),IF($R$17="Distrato",$E366,0)),MIN(U$38,$D$19),$P$20))-SUM($P366:T366)</f>
        <v>#VALUE!</v>
      </c>
      <c r="V366" s="446" t="e">
        <f>IF(OR($B366="",MIN(V$38,$D$19)&lt;MAX($P$34*($B366+IF($R$17="Distrato",$I$38-1,0)),IF(AND($L$37=0,$P$34=0),"",$L$37-1),IF($R$17="Distrato",$E366,0))),0,YEARFRAC(MAX($P$34*($B366+IF($R$17="Distrato",$I$38-1,0)),IF(AND($L$37=0,$P$34=0),"",$L$37-1),IF($R$17="Distrato",$E366,0)),MIN(V$38,$D$19),$P$20))-SUM($P366:U366)</f>
        <v>#VALUE!</v>
      </c>
      <c r="W366" s="446" t="e">
        <f>IF(OR($B366="",MIN(W$38,$D$19)&lt;MAX($P$34*($B366+IF($R$17="Distrato",$I$38-1,0)),IF(AND($L$37=0,$P$34=0),"",$L$37-1),IF($R$17="Distrato",$E366,0))),0,YEARFRAC(MAX($P$34*($B366+IF($R$17="Distrato",$I$38-1,0)),IF(AND($L$37=0,$P$34=0),"",$L$37-1),IF($R$17="Distrato",$E366,0)),MIN(W$38,$D$19),$P$20))-SUM($P366:V366)</f>
        <v>#VALUE!</v>
      </c>
      <c r="X366" s="446" t="e">
        <f>IF(OR($B366="",MIN(X$38,$D$19)&lt;MAX($P$34*($B366+IF($R$17="Distrato",$I$38-1,0)),IF(AND($L$37=0,$P$34=0),"",$L$37-1),IF($R$17="Distrato",$E366,0))),0,YEARFRAC(MAX($P$34*($B366+IF($R$17="Distrato",$I$38-1,0)),IF(AND($L$37=0,$P$34=0),"",$L$37-1),IF($R$17="Distrato",$E366,0)),MIN(X$38,$D$19),$P$20))-SUM($P366:W366)</f>
        <v>#VALUE!</v>
      </c>
      <c r="Y366" s="446" t="e">
        <f>IF(OR($B366="",MIN(Y$38,$D$19)&lt;MAX($P$34*($B366+IF($R$17="Distrato",$I$38-1,0)),IF(AND($L$37=0,$P$34=0),"",$L$37-1),IF($R$17="Distrato",$E366,0))),0,YEARFRAC(MAX($P$34*($B366+IF($R$17="Distrato",$I$38-1,0)),IF(AND($L$37=0,$P$34=0),"",$L$37-1),IF($R$17="Distrato",$E366,0)),MIN(Y$38,$D$19),$P$20))-SUM($P366:X366)</f>
        <v>#VALUE!</v>
      </c>
      <c r="Z366" s="446" t="e">
        <f>IF(OR($B366="",MIN(Z$38,$D$19)&lt;MAX($P$34*($B366+IF($R$17="Distrato",$I$38-1,0)),IF(AND($L$37=0,$P$34=0),"",$L$37-1),IF($R$17="Distrato",$E366,0))),0,YEARFRAC(MAX($P$34*($B366+IF($R$17="Distrato",$I$38-1,0)),IF(AND($L$37=0,$P$34=0),"",$L$37-1),IF($R$17="Distrato",$E366,0)),MIN(Z$38,$D$19),$P$20))-SUM($P366:Y366)</f>
        <v>#VALUE!</v>
      </c>
      <c r="AA366" s="446" t="e">
        <f>IF(OR($B366="",MIN(AA$38,$D$19)&lt;MAX($P$34*($B366+IF($R$17="Distrato",$I$38-1,0)),IF(AND($L$37=0,$P$34=0),"",$L$37-1),IF($R$17="Distrato",$E366,0))),0,YEARFRAC(MAX($P$34*($B366+IF($R$17="Distrato",$I$38-1,0)),IF(AND($L$37=0,$P$34=0),"",$L$37-1),IF($R$17="Distrato",$E366,0)),MIN(AA$38,$D$19),$P$20))-SUM($P366:Z366)</f>
        <v>#VALUE!</v>
      </c>
      <c r="AB366" s="446" t="e">
        <f>IF(OR($B366="",MIN(AB$38,$D$19)&lt;MAX($P$34*($B366+IF($R$17="Distrato",$I$38-1,0)),IF(AND($L$37=0,$P$34=0),"",$L$37-1),IF($R$17="Distrato",$E366,0))),0,YEARFRAC(MAX($P$34*($B366+IF($R$17="Distrato",$I$38-1,0)),IF(AND($L$37=0,$P$34=0),"",$L$37-1),IF($R$17="Distrato",$E366,0)),MIN(AB$38,$D$19),$P$20))-SUM($P366:AA366)</f>
        <v>#VALUE!</v>
      </c>
      <c r="AC366" s="446" t="e">
        <f>IF(OR($B366="",MIN(AC$38,$D$19)&lt;MAX($P$34*($B366+IF($R$17="Distrato",$I$38-1,0)),IF(AND($L$37=0,$P$34=0),"",$L$37-1),IF($R$17="Distrato",$E366,0))),0,YEARFRAC(MAX($P$34*($B366+IF($R$17="Distrato",$I$38-1,0)),IF(AND($L$37=0,$P$34=0),"",$L$37-1),IF($R$17="Distrato",$E366,0)),MIN(AC$38,$D$19),$P$20))-SUM($P366:AB366)</f>
        <v>#VALUE!</v>
      </c>
      <c r="AD366" s="446" t="e">
        <f>IF(OR($B366="",MIN(AD$38,$D$19)&lt;MAX($P$34*($B366+IF($R$17="Distrato",$I$38-1,0)),IF(AND($L$37=0,$P$34=0),"",$L$37-1),IF($R$17="Distrato",$E366,0))),0,YEARFRAC(MAX($P$34*($B366+IF($R$17="Distrato",$I$38-1,0)),IF(AND($L$37=0,$P$34=0),"",$L$37-1),IF($R$17="Distrato",$E366,0)),MIN(AD$38,$D$19),$P$20))-SUM($P366:AC366)</f>
        <v>#VALUE!</v>
      </c>
      <c r="AE366" s="446" t="e">
        <f>IF(OR($B366="",MIN(AE$38,$D$19)&lt;MAX($P$34*($B366+IF($R$17="Distrato",$I$38-1,0)),IF(AND($L$37=0,$P$34=0),"",$L$37-1),IF($R$17="Distrato",$E366,0))),0,YEARFRAC(MAX($P$34*($B366+IF($R$17="Distrato",$I$38-1,0)),IF(AND($L$37=0,$P$34=0),"",$L$37-1),IF($R$17="Distrato",$E366,0)),MIN(AE$38,$D$19),$P$20))-SUM($P366:AD366)</f>
        <v>#VALUE!</v>
      </c>
      <c r="AF366" s="446" t="e">
        <f>IF(OR($B366="",MIN(AF$38,$D$19)&lt;MAX($P$34*($B366+IF($R$17="Distrato",$I$38-1,0)),IF(AND($L$37=0,$P$34=0),"",$L$37-1),IF($R$17="Distrato",$E366,0))),0,YEARFRAC(MAX($P$34*($B366+IF($R$17="Distrato",$I$38-1,0)),IF(AND($L$37=0,$P$34=0),"",$L$37-1),IF($R$17="Distrato",$E366,0)),MIN(AF$38,$D$19),$P$20))-SUM($P366:AE366)</f>
        <v>#VALUE!</v>
      </c>
      <c r="AG366" s="446" t="e">
        <f>IF(OR($B366="",MIN(AG$38,$D$19)&lt;MAX($P$34*($B366+IF($R$17="Distrato",$I$38-1,0)),IF(AND($L$37=0,$P$34=0),"",$L$37-1),IF($R$17="Distrato",$E366,0))),0,YEARFRAC(MAX($P$34*($B366+IF($R$17="Distrato",$I$38-1,0)),IF(AND($L$37=0,$P$34=0),"",$L$37-1),IF($R$17="Distrato",$E366,0)),MIN(AG$38,$D$19),$P$20))-SUM($P366:AF366)</f>
        <v>#VALUE!</v>
      </c>
      <c r="AH366" s="446" t="e">
        <f>IF(OR($B366="",MIN(AH$38,$D$19)&lt;MAX($P$34*($B366+IF($R$17="Distrato",$I$38-1,0)),IF(AND($L$37=0,$P$34=0),"",$L$37-1),IF($R$17="Distrato",$E366,0))),0,YEARFRAC(MAX($P$34*($B366+IF($R$17="Distrato",$I$38-1,0)),IF(AND($L$37=0,$P$34=0),"",$L$37-1),IF($R$17="Distrato",$E366,0)),MIN(AH$38,$D$19),$P$20))-SUM($P366:AG366)</f>
        <v>#VALUE!</v>
      </c>
      <c r="AI366" s="446" t="e">
        <f>IF(OR($B366="",MIN(AI$38,$D$19)&lt;MAX($P$34*($B366+IF($R$17="Distrato",$I$38-1,0)),IF(AND($L$37=0,$P$34=0),"",$L$37-1),IF($R$17="Distrato",$E366,0))),0,YEARFRAC(MAX($P$34*($B366+IF($R$17="Distrato",$I$38-1,0)),IF(AND($L$37=0,$P$34=0),"",$L$37-1),IF($R$17="Distrato",$E366,0)),MIN(AI$38,$D$19),$P$20))-SUM($P366:AH366)</f>
        <v>#VALUE!</v>
      </c>
      <c r="AJ366" s="446" t="e">
        <f>IF(OR($B366="",MIN(AJ$38,$D$19)&lt;MAX($P$34*($B366+IF($R$17="Distrato",$I$38-1,0)),IF(AND($L$37=0,$P$34=0),"",$L$37-1),IF($R$17="Distrato",$E366,0))),0,YEARFRAC(MAX($P$34*($B366+IF($R$17="Distrato",$I$38-1,0)),IF(AND($L$37=0,$P$34=0),"",$L$37-1),IF($R$17="Distrato",$E366,0)),MIN(AJ$38,$D$19),$P$20))-SUM($P366:AI366)</f>
        <v>#VALUE!</v>
      </c>
      <c r="AK366" s="446" t="e">
        <f>IF(OR($B366="",MIN(AK$38,$D$19)&lt;MAX($P$34*($B366+IF($R$17="Distrato",$I$38-1,0)),IF(AND($L$37=0,$P$34=0),"",$L$37-1),IF($R$17="Distrato",$E366,0))),0,YEARFRAC(MAX($P$34*($B366+IF($R$17="Distrato",$I$38-1,0)),IF(AND($L$37=0,$P$34=0),"",$L$37-1),IF($R$17="Distrato",$E366,0)),MIN(AK$38,$D$19),$P$20))-SUM($P366:AJ366)</f>
        <v>#VALUE!</v>
      </c>
      <c r="AL366" s="446" t="e">
        <f>IF(OR($B366="",MIN(AL$38,$D$19)&lt;MAX($P$34*($B366+IF($R$17="Distrato",$I$38-1,0)),IF(AND($L$37=0,$P$34=0),"",$L$37-1),IF($R$17="Distrato",$E366,0))),0,YEARFRAC(MAX($P$34*($B366+IF($R$17="Distrato",$I$38-1,0)),IF(AND($L$37=0,$P$34=0),"",$L$37-1),IF($R$17="Distrato",$E366,0)),MIN(AL$38,$D$19),$P$20))-SUM($P366:AK366)</f>
        <v>#VALUE!</v>
      </c>
      <c r="AM366" s="446" t="e">
        <f>IF(OR($B366="",MIN(AM$38,$D$19)&lt;MAX($P$34*($B366+IF($R$17="Distrato",$I$38-1,0)),IF(AND($L$37=0,$P$34=0),"",$L$37-1),IF($R$17="Distrato",$E366,0))),0,YEARFRAC(MAX($P$34*($B366+IF($R$17="Distrato",$I$38-1,0)),IF(AND($L$37=0,$P$34=0),"",$L$37-1),IF($R$17="Distrato",$E366,0)),MIN(AM$38,$D$19),$P$20))-SUM($P366:AL366)</f>
        <v>#VALUE!</v>
      </c>
      <c r="AN366" s="446" t="e">
        <f>IF(OR($B366="",MIN(AN$38,$D$19)&lt;MAX($P$34*($B366+IF($R$17="Distrato",$I$38-1,0)),IF(AND($L$37=0,$P$34=0),"",$L$37-1),IF($R$17="Distrato",$E366,0))),0,YEARFRAC(MAX($P$34*($B366+IF($R$17="Distrato",$I$38-1,0)),IF(AND($L$37=0,$P$34=0),"",$L$37-1),IF($R$17="Distrato",$E366,0)),MIN(AN$38,$D$19),$P$20))-SUM($P366:AM366)</f>
        <v>#VALUE!</v>
      </c>
      <c r="AO366" s="446" t="e">
        <f>IF(OR($B366="",MIN(AO$38,$D$19)&lt;MAX($P$34*($B366+IF($R$17="Distrato",$I$38-1,0)),IF(AND($L$37=0,$P$34=0),"",$L$37-1),IF($R$17="Distrato",$E366,0))),0,YEARFRAC(MAX($P$34*($B366+IF($R$17="Distrato",$I$38-1,0)),IF(AND($L$37=0,$P$34=0),"",$L$37-1),IF($R$17="Distrato",$E366,0)),MIN(AO$38,$D$19),$P$20))-SUM($P366:AN366)</f>
        <v>#VALUE!</v>
      </c>
      <c r="AP366" s="446" t="e">
        <f>IF(OR($B366="",MIN(AP$38,$D$19)&lt;MAX($P$34*($B366+IF($R$17="Distrato",$I$38-1,0)),IF(AND($L$37=0,$P$34=0),"",$L$37-1),IF($R$17="Distrato",$E366,0))),0,YEARFRAC(MAX($P$34*($B366+IF($R$17="Distrato",$I$38-1,0)),IF(AND($L$37=0,$P$34=0),"",$L$37-1),IF($R$17="Distrato",$E366,0)),MIN(AP$38,$D$19),$P$20))-SUM($P366:AO366)</f>
        <v>#VALUE!</v>
      </c>
      <c r="AQ366" s="446" t="e">
        <f>IF(OR($B366="",MIN(AQ$38,$D$19)&lt;MAX($P$34*($B366+IF($R$17="Distrato",$I$38-1,0)),IF(AND($L$37=0,$P$34=0),"",$L$37-1),IF($R$17="Distrato",$E366,0))),0,YEARFRAC(MAX($P$34*($B366+IF($R$17="Distrato",$I$38-1,0)),IF(AND($L$37=0,$P$34=0),"",$L$37-1),IF($R$17="Distrato",$E366,0)),MIN(AQ$38,$D$19),$P$20))-SUM($P366:AP366)</f>
        <v>#VALUE!</v>
      </c>
      <c r="AR366" s="446" t="e">
        <f>IF(OR($B366="",MIN(AR$38,$D$19)&lt;MAX($P$34*($B366+IF($R$17="Distrato",$I$38-1,0)),IF(AND($L$37=0,$P$34=0),"",$L$37-1),IF($R$17="Distrato",$E366,0))),0,YEARFRAC(MAX($P$34*($B366+IF($R$17="Distrato",$I$38-1,0)),IF(AND($L$37=0,$P$34=0),"",$L$37-1),IF($R$17="Distrato",$E366,0)),MIN(AR$38,$D$19),$P$20))-SUM($P366:AQ366)</f>
        <v>#VALUE!</v>
      </c>
      <c r="AS366" s="446" t="e">
        <f>IF(OR($B366="",MIN(AS$38,$D$19)&lt;MAX($P$34*($B366+IF($R$17="Distrato",$I$38-1,0)),IF(AND($L$37=0,$P$34=0),"",$L$37-1),IF($R$17="Distrato",$E366,0))),0,YEARFRAC(MAX($P$34*($B366+IF($R$17="Distrato",$I$38-1,0)),IF(AND($L$37=0,$P$34=0),"",$L$37-1),IF($R$17="Distrato",$E366,0)),MIN(AS$38,$D$19),$P$20))-SUM($P366:AR366)</f>
        <v>#VALUE!</v>
      </c>
      <c r="AT366" s="446" t="e">
        <f>IF(OR($B366="",MIN(AT$38,$D$19)&lt;MAX($P$34*($B366+IF($R$17="Distrato",$I$38-1,0)),IF(AND($L$37=0,$P$34=0),"",$L$37-1),IF($R$17="Distrato",$E366,0))),0,YEARFRAC(MAX($P$34*($B366+IF($R$17="Distrato",$I$38-1,0)),IF(AND($L$37=0,$P$34=0),"",$L$37-1),IF($R$17="Distrato",$E366,0)),MIN(AT$38,$D$19),$P$20))-SUM($P366:AS366)</f>
        <v>#VALUE!</v>
      </c>
      <c r="AU366" s="446" t="e">
        <f>IF(OR($B366="",MIN(AU$38,$D$19)&lt;MAX($P$34*($B366+IF($R$17="Distrato",$I$38-1,0)),IF(AND($L$37=0,$P$34=0),"",$L$37-1),IF($R$17="Distrato",$E366,0))),0,YEARFRAC(MAX($P$34*($B366+IF($R$17="Distrato",$I$38-1,0)),IF(AND($L$37=0,$P$34=0),"",$L$37-1),IF($R$17="Distrato",$E366,0)),MIN(AU$38,$D$19),$P$20))-SUM($P366:AT366)</f>
        <v>#VALUE!</v>
      </c>
      <c r="AV366" s="446" t="e">
        <f>IF(OR($B366="",MIN(AV$38,$D$19)&lt;MAX($P$34*($B366+IF($R$17="Distrato",$I$38-1,0)),IF(AND($L$37=0,$P$34=0),"",$L$37-1),IF($R$17="Distrato",$E366,0))),0,YEARFRAC(MAX($P$34*($B366+IF($R$17="Distrato",$I$38-1,0)),IF(AND($L$37=0,$P$34=0),"",$L$37-1),IF($R$17="Distrato",$E366,0)),MIN(AV$38,$D$19),$P$20))-SUM($P366:AU366)</f>
        <v>#VALUE!</v>
      </c>
      <c r="AW366" s="446" t="e">
        <f>IF(OR($B366="",MIN(AW$38,$D$19)&lt;MAX($P$34*($B366+IF($R$17="Distrato",$I$38-1,0)),IF(AND($L$37=0,$P$34=0),"",$L$37-1),IF($R$17="Distrato",$E366,0))),0,YEARFRAC(MAX($P$34*($B366+IF($R$17="Distrato",$I$38-1,0)),IF(AND($L$37=0,$P$34=0),"",$L$37-1),IF($R$17="Distrato",$E366,0)),MIN(AW$38,$D$19),$P$20))-SUM($P366:AV366)</f>
        <v>#VALUE!</v>
      </c>
      <c r="AX366" s="446" t="e">
        <f>IF(OR($B366="",MIN(AX$38,$D$19)&lt;MAX($P$34*($B366+IF($R$17="Distrato",$I$38-1,0)),IF(AND($L$37=0,$P$34=0),"",$L$37-1),IF($R$17="Distrato",$E366,0))),0,YEARFRAC(MAX($P$34*($B366+IF($R$17="Distrato",$I$38-1,0)),IF(AND($L$37=0,$P$34=0),"",$L$37-1),IF($R$17="Distrato",$E366,0)),MIN(AX$38,$D$19),$P$20))-SUM($P366:AW366)</f>
        <v>#VALUE!</v>
      </c>
      <c r="AY366" s="446" t="e">
        <f>IF(OR($B366="",MIN(AY$38,$D$19)&lt;MAX($P$34*($B366+IF($R$17="Distrato",$I$38-1,0)),IF(AND($L$37=0,$P$34=0),"",$L$37-1),IF($R$17="Distrato",$E366,0))),0,YEARFRAC(MAX($P$34*($B366+IF($R$17="Distrato",$I$38-1,0)),IF(AND($L$37=0,$P$34=0),"",$L$37-1),IF($R$17="Distrato",$E366,0)),MIN(AY$38,$D$19),$P$20))-SUM($P366:AX366)</f>
        <v>#VALUE!</v>
      </c>
      <c r="AZ366" s="446" t="e">
        <f>IF(OR($B366="",MIN(AZ$38,$D$19)&lt;MAX($P$34*($B366+IF($R$17="Distrato",$I$38-1,0)),IF(AND($L$37=0,$P$34=0),"",$L$37-1),IF($R$17="Distrato",$E366,0))),0,YEARFRAC(MAX($P$34*($B366+IF($R$17="Distrato",$I$38-1,0)),IF(AND($L$37=0,$P$34=0),"",$L$37-1),IF($R$17="Distrato",$E366,0)),MIN(AZ$38,$D$19),$P$20))-SUM($P366:AY366)</f>
        <v>#VALUE!</v>
      </c>
      <c r="BA366" s="446" t="e">
        <f>IF(OR($B366="",MIN(BA$38,$D$19)&lt;MAX($P$34*($B366+IF($R$17="Distrato",$I$38-1,0)),IF(AND($L$37=0,$P$34=0),"",$L$37-1),IF($R$17="Distrato",$E366,0))),0,YEARFRAC(MAX($P$34*($B366+IF($R$17="Distrato",$I$38-1,0)),IF(AND($L$37=0,$P$34=0),"",$L$37-1),IF($R$17="Distrato",$E366,0)),MIN(BA$38,$D$19),$P$20))-SUM($P366:AZ366)</f>
        <v>#VALUE!</v>
      </c>
      <c r="BB366" s="447"/>
      <c r="BF366" s="446">
        <f t="shared" si="65"/>
        <v>0</v>
      </c>
      <c r="BG366" s="446">
        <f>IF($E366=0,0,IF(MIN(BG$38,$E366)&lt;MAX($P$34*($B366+$I$38-1),IF(AND($L$37=0,$P$34=0),"",$L$37-1)),0,YEARFRAC(MAX($P$34*($B366+$I$38-1),IF(AND($L$37=0,$P$34=0),"",$L$37-1)),MIN(BG$38,$E366),$P$20))-SUM($BF366:BF366))</f>
        <v>0</v>
      </c>
      <c r="BH366" s="446">
        <f>IF($E366=0,0,IF(MIN(BH$38,$E366)&lt;MAX($P$34*($B366+$I$38-1),IF(AND($L$37=0,$P$34=0),"",$L$37-1)),0,YEARFRAC(MAX($P$34*($B366+$I$38-1),IF(AND($L$37=0,$P$34=0),"",$L$37-1)),MIN(BH$38,$E366),$P$20))-SUM($BF366:BG366))</f>
        <v>0</v>
      </c>
      <c r="BI366" s="446">
        <f>IF($E366=0,0,IF(MIN(BI$38,$E366)&lt;MAX($P$34*($B366+$I$38-1),IF(AND($L$37=0,$P$34=0),"",$L$37-1)),0,YEARFRAC(MAX($P$34*($B366+$I$38-1),IF(AND($L$37=0,$P$34=0),"",$L$37-1)),MIN(BI$38,$E366),$P$20))-SUM($BF366:BH366))</f>
        <v>0</v>
      </c>
      <c r="BJ366" s="446">
        <f>IF($E366=0,0,IF(MIN(BJ$38,$E366)&lt;MAX($P$34*($B366+$I$38-1),IF(AND($L$37=0,$P$34=0),"",$L$37-1)),0,YEARFRAC(MAX($P$34*($B366+$I$38-1),IF(AND($L$37=0,$P$34=0),"",$L$37-1)),MIN(BJ$38,$E366),$P$20))-SUM($BF366:BI366))</f>
        <v>0</v>
      </c>
      <c r="BK366" s="446">
        <f>IF($E366=0,0,IF(MIN(BK$38,$E366)&lt;MAX($P$34*($B366+$I$38-1),IF(AND($L$37=0,$P$34=0),"",$L$37-1)),0,YEARFRAC(MAX($P$34*($B366+$I$38-1),IF(AND($L$37=0,$P$34=0),"",$L$37-1)),MIN(BK$38,$E366),$P$20))-SUM($BF366:BJ366))</f>
        <v>0</v>
      </c>
      <c r="BL366" s="446">
        <f>IF($E366=0,0,IF(MIN(BL$38,$E366)&lt;MAX($P$34*($B366+$I$38-1),IF(AND($L$37=0,$P$34=0),"",$L$37-1)),0,YEARFRAC(MAX($P$34*($B366+$I$38-1),IF(AND($L$37=0,$P$34=0),"",$L$37-1)),MIN(BL$38,$E366),$P$20))-SUM($BF366:BK366))</f>
        <v>0</v>
      </c>
      <c r="BM366" s="446">
        <f>IF($E366=0,0,IF(MIN(BM$38,$E366)&lt;MAX($P$34*($B366+$I$38-1),IF(AND($L$37=0,$P$34=0),"",$L$37-1)),0,YEARFRAC(MAX($P$34*($B366+$I$38-1),IF(AND($L$37=0,$P$34=0),"",$L$37-1)),MIN(BM$38,$E366),$P$20))-SUM($BF366:BL366))</f>
        <v>0</v>
      </c>
      <c r="BN366" s="446">
        <f>IF($E366=0,0,IF(MIN(BN$38,$E366)&lt;MAX($P$34*($B366+$I$38-1),IF(AND($L$37=0,$P$34=0),"",$L$37-1)),0,YEARFRAC(MAX($P$34*($B366+$I$38-1),IF(AND($L$37=0,$P$34=0),"",$L$37-1)),MIN(BN$38,$E366),$P$20))-SUM($BF366:BM366))</f>
        <v>0</v>
      </c>
      <c r="BO366" s="446">
        <f>IF($E366=0,0,IF(MIN(BO$38,$E366)&lt;MAX($P$34*($B366+$I$38-1),IF(AND($L$37=0,$P$34=0),"",$L$37-1)),0,YEARFRAC(MAX($P$34*($B366+$I$38-1),IF(AND($L$37=0,$P$34=0),"",$L$37-1)),MIN(BO$38,$E366),$P$20))-SUM($BF366:BN366))</f>
        <v>0</v>
      </c>
      <c r="BP366" s="446">
        <f>IF($E366=0,0,IF(MIN(BP$38,$E366)&lt;MAX($P$34*($B366+$I$38-1),IF(AND($L$37=0,$P$34=0),"",$L$37-1)),0,YEARFRAC(MAX($P$34*($B366+$I$38-1),IF(AND($L$37=0,$P$34=0),"",$L$37-1)),MIN(BP$38,$E366),$P$20))-SUM($BF366:BO366))</f>
        <v>0</v>
      </c>
      <c r="BQ366" s="446">
        <f>IF($E366=0,0,IF(MIN(BQ$38,$E366)&lt;MAX($P$34*($B366+$I$38-1),IF(AND($L$37=0,$P$34=0),"",$L$37-1)),0,YEARFRAC(MAX($P$34*($B366+$I$38-1),IF(AND($L$37=0,$P$34=0),"",$L$37-1)),MIN(BQ$38,$E366),$P$20))-SUM($BF366:BP366))</f>
        <v>0</v>
      </c>
      <c r="BR366" s="446">
        <f>IF($E366=0,0,IF(MIN(BR$38,$E366)&lt;MAX($P$34*($B366+$I$38-1),IF(AND($L$37=0,$P$34=0),"",$L$37-1)),0,YEARFRAC(MAX($P$34*($B366+$I$38-1),IF(AND($L$37=0,$P$34=0),"",$L$37-1)),MIN(BR$38,$E366),$P$20))-SUM($BF366:BQ366))</f>
        <v>0</v>
      </c>
      <c r="BS366" s="446">
        <f>IF($E366=0,0,IF(MIN(BS$38,$E366)&lt;MAX($P$34*($B366+$I$38-1),IF(AND($L$37=0,$P$34=0),"",$L$37-1)),0,YEARFRAC(MAX($P$34*($B366+$I$38-1),IF(AND($L$37=0,$P$34=0),"",$L$37-1)),MIN(BS$38,$E366),$P$20))-SUM($BF366:BR366))</f>
        <v>0</v>
      </c>
      <c r="BT366" s="446">
        <f>IF($E366=0,0,IF(MIN(BT$38,$E366)&lt;MAX($P$34*($B366+$I$38-1),IF(AND($L$37=0,$P$34=0),"",$L$37-1)),0,YEARFRAC(MAX($P$34*($B366+$I$38-1),IF(AND($L$37=0,$P$34=0),"",$L$37-1)),MIN(BT$38,$E366),$P$20))-SUM($BF366:BS366))</f>
        <v>0</v>
      </c>
      <c r="BU366" s="446">
        <f>IF($E366=0,0,IF(MIN(BU$38,$E366)&lt;MAX($P$34*($B366+$I$38-1),IF(AND($L$37=0,$P$34=0),"",$L$37-1)),0,YEARFRAC(MAX($P$34*($B366+$I$38-1),IF(AND($L$37=0,$P$34=0),"",$L$37-1)),MIN(BU$38,$E366),$P$20))-SUM($BF366:BT366))</f>
        <v>0</v>
      </c>
      <c r="BV366" s="446">
        <f>IF($E366=0,0,IF(MIN(BV$38,$E366)&lt;MAX($P$34*($B366+$I$38-1),IF(AND($L$37=0,$P$34=0),"",$L$37-1)),0,YEARFRAC(MAX($P$34*($B366+$I$38-1),IF(AND($L$37=0,$P$34=0),"",$L$37-1)),MIN(BV$38,$E366),$P$20))-SUM($BF366:BU366))</f>
        <v>0</v>
      </c>
      <c r="BW366" s="446">
        <f>IF($E366=0,0,IF(MIN(BW$38,$E366)&lt;MAX($P$34*($B366+$I$38-1),IF(AND($L$37=0,$P$34=0),"",$L$37-1)),0,YEARFRAC(MAX($P$34*($B366+$I$38-1),IF(AND($L$37=0,$P$34=0),"",$L$37-1)),MIN(BW$38,$E366),$P$20))-SUM($BF366:BV366))</f>
        <v>0</v>
      </c>
      <c r="BX366" s="446">
        <f>IF($E366=0,0,IF(MIN(BX$38,$E366)&lt;MAX($P$34*($B366+$I$38-1),IF(AND($L$37=0,$P$34=0),"",$L$37-1)),0,YEARFRAC(MAX($P$34*($B366+$I$38-1),IF(AND($L$37=0,$P$34=0),"",$L$37-1)),MIN(BX$38,$E366),$P$20))-SUM($BF366:BW366))</f>
        <v>0</v>
      </c>
      <c r="BY366" s="446">
        <f>IF($E366=0,0,IF(MIN(BY$38,$E366)&lt;MAX($P$34*($B366+$I$38-1),IF(AND($L$37=0,$P$34=0),"",$L$37-1)),0,YEARFRAC(MAX($P$34*($B366+$I$38-1),IF(AND($L$37=0,$P$34=0),"",$L$37-1)),MIN(BY$38,$E366),$P$20))-SUM($BF366:BX366))</f>
        <v>0</v>
      </c>
      <c r="BZ366" s="446">
        <f>IF($E366=0,0,IF(MIN(BZ$38,$E366)&lt;MAX($P$34*($B366+$I$38-1),IF(AND($L$37=0,$P$34=0),"",$L$37-1)),0,YEARFRAC(MAX($P$34*($B366+$I$38-1),IF(AND($L$37=0,$P$34=0),"",$L$37-1)),MIN(BZ$38,$E366),$P$20))-SUM($BF366:BY366))</f>
        <v>0</v>
      </c>
      <c r="CA366" s="446">
        <f>IF($E366=0,0,IF(MIN(CA$38,$E366)&lt;MAX($P$34*($B366+$I$38-1),IF(AND($L$37=0,$P$34=0),"",$L$37-1)),0,YEARFRAC(MAX($P$34*($B366+$I$38-1),IF(AND($L$37=0,$P$34=0),"",$L$37-1)),MIN(CA$38,$E366),$P$20))-SUM($BF366:BZ366))</f>
        <v>0</v>
      </c>
      <c r="CB366" s="446">
        <f>IF($E366=0,0,IF(MIN(CB$38,$E366)&lt;MAX($P$34*($B366+$I$38-1),IF(AND($L$37=0,$P$34=0),"",$L$37-1)),0,YEARFRAC(MAX($P$34*($B366+$I$38-1),IF(AND($L$37=0,$P$34=0),"",$L$37-1)),MIN(CB$38,$E366),$P$20))-SUM($BF366:CA366))</f>
        <v>0</v>
      </c>
      <c r="CC366" s="446">
        <f>IF($E366=0,0,IF(MIN(CC$38,$E366)&lt;MAX($P$34*($B366+$I$38-1),IF(AND($L$37=0,$P$34=0),"",$L$37-1)),0,YEARFRAC(MAX($P$34*($B366+$I$38-1),IF(AND($L$37=0,$P$34=0),"",$L$37-1)),MIN(CC$38,$E366),$P$20))-SUM($BF366:CB366))</f>
        <v>0</v>
      </c>
      <c r="CD366" s="446">
        <f>IF($E366=0,0,IF(MIN(CD$38,$E366)&lt;MAX($P$34*($B366+$I$38-1),IF(AND($L$37=0,$P$34=0),"",$L$37-1)),0,YEARFRAC(MAX($P$34*($B366+$I$38-1),IF(AND($L$37=0,$P$34=0),"",$L$37-1)),MIN(CD$38,$E366),$P$20))-SUM($BF366:CC366))</f>
        <v>0</v>
      </c>
      <c r="CE366" s="446">
        <f>IF($E366=0,0,IF(MIN(CE$38,$E366)&lt;MAX($P$34*($B366+$I$38-1),IF(AND($L$37=0,$P$34=0),"",$L$37-1)),0,YEARFRAC(MAX($P$34*($B366+$I$38-1),IF(AND($L$37=0,$P$34=0),"",$L$37-1)),MIN(CE$38,$E366),$P$20))-SUM($BF366:CD366))</f>
        <v>0</v>
      </c>
      <c r="CF366" s="446">
        <f>IF($E366=0,0,IF(MIN(CF$38,$E366)&lt;MAX($P$34*($B366+$I$38-1),IF(AND($L$37=0,$P$34=0),"",$L$37-1)),0,YEARFRAC(MAX($P$34*($B366+$I$38-1),IF(AND($L$37=0,$P$34=0),"",$L$37-1)),MIN(CF$38,$E366),$P$20))-SUM($BF366:CE366))</f>
        <v>0</v>
      </c>
      <c r="CG366" s="446">
        <f>IF($E366=0,0,IF(MIN(CG$38,$E366)&lt;MAX($P$34*($B366+$I$38-1),IF(AND($L$37=0,$P$34=0),"",$L$37-1)),0,YEARFRAC(MAX($P$34*($B366+$I$38-1),IF(AND($L$37=0,$P$34=0),"",$L$37-1)),MIN(CG$38,$E366),$P$20))-SUM($BF366:CF366))</f>
        <v>0</v>
      </c>
      <c r="CH366" s="446">
        <f>IF($E366=0,0,IF(MIN(CH$38,$E366)&lt;MAX($P$34*($B366+$I$38-1),IF(AND($L$37=0,$P$34=0),"",$L$37-1)),0,YEARFRAC(MAX($P$34*($B366+$I$38-1),IF(AND($L$37=0,$P$34=0),"",$L$37-1)),MIN(CH$38,$E366),$P$20))-SUM($BF366:CG366))</f>
        <v>0</v>
      </c>
      <c r="CI366" s="446">
        <f>IF($E366=0,0,IF(MIN(CI$38,$E366)&lt;MAX($P$34*($B366+$I$38-1),IF(AND($L$37=0,$P$34=0),"",$L$37-1)),0,YEARFRAC(MAX($P$34*($B366+$I$38-1),IF(AND($L$37=0,$P$34=0),"",$L$37-1)),MIN(CI$38,$E366),$P$20))-SUM($BF366:CH366))</f>
        <v>0</v>
      </c>
      <c r="CJ366" s="446">
        <f>IF($E366=0,0,IF(MIN(CJ$38,$E366)&lt;MAX($P$34*($B366+$I$38-1),IF(AND($L$37=0,$P$34=0),"",$L$37-1)),0,YEARFRAC(MAX($P$34*($B366+$I$38-1),IF(AND($L$37=0,$P$34=0),"",$L$37-1)),MIN(CJ$38,$E366),$P$20))-SUM($BF366:CI366))</f>
        <v>0</v>
      </c>
      <c r="CK366" s="446">
        <f>IF($E366=0,0,IF(MIN(CK$38,$E366)&lt;MAX($P$34*($B366+$I$38-1),IF(AND($L$37=0,$P$34=0),"",$L$37-1)),0,YEARFRAC(MAX($P$34*($B366+$I$38-1),IF(AND($L$37=0,$P$34=0),"",$L$37-1)),MIN(CK$38,$E366),$P$20))-SUM($BF366:CJ366))</f>
        <v>0</v>
      </c>
      <c r="CL366" s="446">
        <f>IF($E366=0,0,IF(MIN(CL$38,$E366)&lt;MAX($P$34*($B366+$I$38-1),IF(AND($L$37=0,$P$34=0),"",$L$37-1)),0,YEARFRAC(MAX($P$34*($B366+$I$38-1),IF(AND($L$37=0,$P$34=0),"",$L$37-1)),MIN(CL$38,$E366),$P$20))-SUM($BF366:CK366))</f>
        <v>0</v>
      </c>
      <c r="CM366" s="446">
        <f>IF($E366=0,0,IF(MIN(CM$38,$E366)&lt;MAX($P$34*($B366+$I$38-1),IF(AND($L$37=0,$P$34=0),"",$L$37-1)),0,YEARFRAC(MAX($P$34*($B366+$I$38-1),IF(AND($L$37=0,$P$34=0),"",$L$37-1)),MIN(CM$38,$E366),$P$20))-SUM($BF366:CL366))</f>
        <v>0</v>
      </c>
      <c r="CN366" s="446">
        <f>IF($E366=0,0,IF(MIN(CN$38,$E366)&lt;MAX($P$34*($B366+$I$38-1),IF(AND($L$37=0,$P$34=0),"",$L$37-1)),0,YEARFRAC(MAX($P$34*($B366+$I$38-1),IF(AND($L$37=0,$P$34=0),"",$L$37-1)),MIN(CN$38,$E366),$P$20))-SUM($BF366:CM366))</f>
        <v>0</v>
      </c>
      <c r="CO366" s="446">
        <f>IF($E366=0,0,IF(MIN(CO$38,$E366)&lt;MAX($P$34*($B366+$I$38-1),IF(AND($L$37=0,$P$34=0),"",$L$37-1)),0,YEARFRAC(MAX($P$34*($B366+$I$38-1),IF(AND($L$37=0,$P$34=0),"",$L$37-1)),MIN(CO$38,$E366),$P$20))-SUM($BF366:CN366))</f>
        <v>0</v>
      </c>
      <c r="CP366" s="446">
        <f>IF($E366=0,0,IF(MIN(CP$38,$E366)&lt;MAX($P$34*($B366+$I$38-1),IF(AND($L$37=0,$P$34=0),"",$L$37-1)),0,YEARFRAC(MAX($P$34*($B366+$I$38-1),IF(AND($L$37=0,$P$34=0),"",$L$37-1)),MIN(CP$38,$E366),$P$20))-SUM($BF366:CO366))</f>
        <v>0</v>
      </c>
      <c r="CQ366" s="446">
        <f>IF($E366=0,0,IF(MIN(CQ$38,$E366)&lt;MAX($P$34*($B366+$I$38-1),IF(AND($L$37=0,$P$34=0),"",$L$37-1)),0,YEARFRAC(MAX($P$34*($B366+$I$38-1),IF(AND($L$37=0,$P$34=0),"",$L$37-1)),MIN(CQ$38,$E366),$P$20))-SUM($BF366:CP366))</f>
        <v>0</v>
      </c>
    </row>
    <row r="367" spans="1:95" s="446" customFormat="1" ht="11.25" hidden="1" customHeight="1" x14ac:dyDescent="0.2">
      <c r="A367" s="152"/>
      <c r="B367" s="153" t="str">
        <f t="shared" si="70"/>
        <v/>
      </c>
      <c r="C367" s="29" t="str">
        <f>IF(B367="","",IF($L$35="SELIC - TRIBUTOS",VLOOKUP(DATE(YEAR($D$19),MONTH($D$19)-1,1),ÍNDICES!$A:$DE,HLOOKUP($BL$25,ÍNDICES!$B$3:$T$4,2)+11)-VLOOKUP(B367,ÍNDICES!$A:$DE,HLOOKUP($BL$25,ÍNDICES!$B$3:$T$4,2)+11)+1%,IF(C$38=$W$26,$J$35,IF(ISERROR(IF(B367&gt;$D$19,1,VLOOKUP(DATE(YEAR(B367),MONTH(B367)+IF($C$35=$S$23,1,0),1),ÍNDICES!$A:$DE,$Z$35+1))),"",IF(B367&gt;$D$19,1,VLOOKUP(DATE(YEAR(B367),MONTH(B367)+IF($C$35=$S$23,1,0),1),ÍNDICES!$A:$DE,$Z$35+1))))))</f>
        <v/>
      </c>
      <c r="D367" s="154" t="str">
        <f>IF(ISERROR(IF(OR($D$38=$Y$27,$B367=""),"",VLOOKUP(B367,ÍNDICES!A:DE,AF$35+1))),"",IF(OR($D$38=$Y$27,$B367=""),"",VLOOKUP(B367,ÍNDICES!A:DE,AF$35+1)))</f>
        <v/>
      </c>
      <c r="E367" s="153"/>
      <c r="F367" s="29" t="str">
        <f>IF(E367="","",IF($L$35="SELIC - TRIBUTOS",VLOOKUP(DATE(YEAR($D$19),MONTH($D$19)-1,1),ÍNDICES!$A:$DE,HLOOKUP($BL$25,ÍNDICES!$B$3:$T$4,2)+11)-VLOOKUP(E367,ÍNDICES!$A:$DE,HLOOKUP($BL$25,ÍNDICES!$B$3:$T$4,2)+11)+1%,IF(F$38=$W$26,$J$35,IF(ISERROR(IF(E367&gt;$D$19,1,VLOOKUP(DATE(YEAR(E367),MONTH(E367)+IF($C$35=$S$23,1,0),1),ÍNDICES!$A:$DE,$Z$35+1))),"",IF(E367&gt;$D$19,1,VLOOKUP(DATE(YEAR(E367),MONTH(E367)+IF($C$35=$S$23,1,0),1),ÍNDICES!$A:$DE,$Z$35+1))))))</f>
        <v/>
      </c>
      <c r="G367" s="155"/>
      <c r="H367" s="156" t="str">
        <f t="shared" si="66"/>
        <v/>
      </c>
      <c r="I367" s="29" t="str">
        <f t="shared" si="60"/>
        <v/>
      </c>
      <c r="J367" s="5">
        <f t="shared" si="61"/>
        <v>0</v>
      </c>
      <c r="K367" s="20">
        <f t="shared" ca="1" si="62"/>
        <v>0</v>
      </c>
      <c r="L367" s="5">
        <f t="shared" ca="1" si="63"/>
        <v>0</v>
      </c>
      <c r="M367" s="64">
        <f t="shared" si="67"/>
        <v>0</v>
      </c>
      <c r="N367" s="61">
        <f t="shared" ca="1" si="68"/>
        <v>0</v>
      </c>
      <c r="O367" s="5">
        <f t="shared" ca="1" si="69"/>
        <v>0</v>
      </c>
      <c r="P367" s="446" t="e">
        <f t="shared" si="64"/>
        <v>#VALUE!</v>
      </c>
      <c r="Q367" s="446" t="e">
        <f>IF(OR($B367="",MIN(Q$38,$D$19)&lt;MAX($P$34*($B367+IF($R$17="Distrato",$I$38-1,0)),IF(AND($L$37=0,$P$34=0),"",$L$37-1),IF($R$17="Distrato",$E367,0))),0,YEARFRAC(MAX($P$34*($B367+IF($R$17="Distrato",$I$38-1,0)),IF(AND($L$37=0,$P$34=0),"",$L$37-1),IF($R$17="Distrato",$E367,0)),MIN(Q$38,$D$19),$P$20))-SUM($P367:P367)</f>
        <v>#VALUE!</v>
      </c>
      <c r="R367" s="446" t="e">
        <f>IF(OR($B367="",MIN(R$38,$D$19)&lt;MAX($P$34*($B367+IF($R$17="Distrato",$I$38-1,0)),IF(AND($L$37=0,$P$34=0),"",$L$37-1),IF($R$17="Distrato",$E367,0))),0,YEARFRAC(MAX($P$34*($B367+IF($R$17="Distrato",$I$38-1,0)),IF(AND($L$37=0,$P$34=0),"",$L$37-1),IF($R$17="Distrato",$E367,0)),MIN(R$38,$D$19),$P$20))-SUM($P367:Q367)</f>
        <v>#VALUE!</v>
      </c>
      <c r="S367" s="446" t="e">
        <f>IF(OR($B367="",MIN(S$38,$D$19)&lt;MAX($P$34*($B367+IF($R$17="Distrato",$I$38-1,0)),IF(AND($L$37=0,$P$34=0),"",$L$37-1),IF($R$17="Distrato",$E367,0))),0,YEARFRAC(MAX($P$34*($B367+IF($R$17="Distrato",$I$38-1,0)),IF(AND($L$37=0,$P$34=0),"",$L$37-1),IF($R$17="Distrato",$E367,0)),MIN(S$38,$D$19),$P$20))-SUM($P367:R367)</f>
        <v>#VALUE!</v>
      </c>
      <c r="T367" s="446" t="e">
        <f>IF(OR($B367="",MIN(T$38,$D$19)&lt;MAX($P$34*($B367+IF($R$17="Distrato",$I$38-1,0)),IF(AND($L$37=0,$P$34=0),"",$L$37-1),IF($R$17="Distrato",$E367,0))),0,YEARFRAC(MAX($P$34*($B367+IF($R$17="Distrato",$I$38-1,0)),IF(AND($L$37=0,$P$34=0),"",$L$37-1),IF($R$17="Distrato",$E367,0)),MIN(T$38,$D$19),$P$20))-SUM($P367:S367)</f>
        <v>#VALUE!</v>
      </c>
      <c r="U367" s="446" t="e">
        <f>IF(OR($B367="",MIN(U$38,$D$19)&lt;MAX($P$34*($B367+IF($R$17="Distrato",$I$38-1,0)),IF(AND($L$37=0,$P$34=0),"",$L$37-1),IF($R$17="Distrato",$E367,0))),0,YEARFRAC(MAX($P$34*($B367+IF($R$17="Distrato",$I$38-1,0)),IF(AND($L$37=0,$P$34=0),"",$L$37-1),IF($R$17="Distrato",$E367,0)),MIN(U$38,$D$19),$P$20))-SUM($P367:T367)</f>
        <v>#VALUE!</v>
      </c>
      <c r="V367" s="446" t="e">
        <f>IF(OR($B367="",MIN(V$38,$D$19)&lt;MAX($P$34*($B367+IF($R$17="Distrato",$I$38-1,0)),IF(AND($L$37=0,$P$34=0),"",$L$37-1),IF($R$17="Distrato",$E367,0))),0,YEARFRAC(MAX($P$34*($B367+IF($R$17="Distrato",$I$38-1,0)),IF(AND($L$37=0,$P$34=0),"",$L$37-1),IF($R$17="Distrato",$E367,0)),MIN(V$38,$D$19),$P$20))-SUM($P367:U367)</f>
        <v>#VALUE!</v>
      </c>
      <c r="W367" s="446" t="e">
        <f>IF(OR($B367="",MIN(W$38,$D$19)&lt;MAX($P$34*($B367+IF($R$17="Distrato",$I$38-1,0)),IF(AND($L$37=0,$P$34=0),"",$L$37-1),IF($R$17="Distrato",$E367,0))),0,YEARFRAC(MAX($P$34*($B367+IF($R$17="Distrato",$I$38-1,0)),IF(AND($L$37=0,$P$34=0),"",$L$37-1),IF($R$17="Distrato",$E367,0)),MIN(W$38,$D$19),$P$20))-SUM($P367:V367)</f>
        <v>#VALUE!</v>
      </c>
      <c r="X367" s="446" t="e">
        <f>IF(OR($B367="",MIN(X$38,$D$19)&lt;MAX($P$34*($B367+IF($R$17="Distrato",$I$38-1,0)),IF(AND($L$37=0,$P$34=0),"",$L$37-1),IF($R$17="Distrato",$E367,0))),0,YEARFRAC(MAX($P$34*($B367+IF($R$17="Distrato",$I$38-1,0)),IF(AND($L$37=0,$P$34=0),"",$L$37-1),IF($R$17="Distrato",$E367,0)),MIN(X$38,$D$19),$P$20))-SUM($P367:W367)</f>
        <v>#VALUE!</v>
      </c>
      <c r="Y367" s="446" t="e">
        <f>IF(OR($B367="",MIN(Y$38,$D$19)&lt;MAX($P$34*($B367+IF($R$17="Distrato",$I$38-1,0)),IF(AND($L$37=0,$P$34=0),"",$L$37-1),IF($R$17="Distrato",$E367,0))),0,YEARFRAC(MAX($P$34*($B367+IF($R$17="Distrato",$I$38-1,0)),IF(AND($L$37=0,$P$34=0),"",$L$37-1),IF($R$17="Distrato",$E367,0)),MIN(Y$38,$D$19),$P$20))-SUM($P367:X367)</f>
        <v>#VALUE!</v>
      </c>
      <c r="Z367" s="446" t="e">
        <f>IF(OR($B367="",MIN(Z$38,$D$19)&lt;MAX($P$34*($B367+IF($R$17="Distrato",$I$38-1,0)),IF(AND($L$37=0,$P$34=0),"",$L$37-1),IF($R$17="Distrato",$E367,0))),0,YEARFRAC(MAX($P$34*($B367+IF($R$17="Distrato",$I$38-1,0)),IF(AND($L$37=0,$P$34=0),"",$L$37-1),IF($R$17="Distrato",$E367,0)),MIN(Z$38,$D$19),$P$20))-SUM($P367:Y367)</f>
        <v>#VALUE!</v>
      </c>
      <c r="AA367" s="446" t="e">
        <f>IF(OR($B367="",MIN(AA$38,$D$19)&lt;MAX($P$34*($B367+IF($R$17="Distrato",$I$38-1,0)),IF(AND($L$37=0,$P$34=0),"",$L$37-1),IF($R$17="Distrato",$E367,0))),0,YEARFRAC(MAX($P$34*($B367+IF($R$17="Distrato",$I$38-1,0)),IF(AND($L$37=0,$P$34=0),"",$L$37-1),IF($R$17="Distrato",$E367,0)),MIN(AA$38,$D$19),$P$20))-SUM($P367:Z367)</f>
        <v>#VALUE!</v>
      </c>
      <c r="AB367" s="446" t="e">
        <f>IF(OR($B367="",MIN(AB$38,$D$19)&lt;MAX($P$34*($B367+IF($R$17="Distrato",$I$38-1,0)),IF(AND($L$37=0,$P$34=0),"",$L$37-1),IF($R$17="Distrato",$E367,0))),0,YEARFRAC(MAX($P$34*($B367+IF($R$17="Distrato",$I$38-1,0)),IF(AND($L$37=0,$P$34=0),"",$L$37-1),IF($R$17="Distrato",$E367,0)),MIN(AB$38,$D$19),$P$20))-SUM($P367:AA367)</f>
        <v>#VALUE!</v>
      </c>
      <c r="AC367" s="446" t="e">
        <f>IF(OR($B367="",MIN(AC$38,$D$19)&lt;MAX($P$34*($B367+IF($R$17="Distrato",$I$38-1,0)),IF(AND($L$37=0,$P$34=0),"",$L$37-1),IF($R$17="Distrato",$E367,0))),0,YEARFRAC(MAX($P$34*($B367+IF($R$17="Distrato",$I$38-1,0)),IF(AND($L$37=0,$P$34=0),"",$L$37-1),IF($R$17="Distrato",$E367,0)),MIN(AC$38,$D$19),$P$20))-SUM($P367:AB367)</f>
        <v>#VALUE!</v>
      </c>
      <c r="AD367" s="446" t="e">
        <f>IF(OR($B367="",MIN(AD$38,$D$19)&lt;MAX($P$34*($B367+IF($R$17="Distrato",$I$38-1,0)),IF(AND($L$37=0,$P$34=0),"",$L$37-1),IF($R$17="Distrato",$E367,0))),0,YEARFRAC(MAX($P$34*($B367+IF($R$17="Distrato",$I$38-1,0)),IF(AND($L$37=0,$P$34=0),"",$L$37-1),IF($R$17="Distrato",$E367,0)),MIN(AD$38,$D$19),$P$20))-SUM($P367:AC367)</f>
        <v>#VALUE!</v>
      </c>
      <c r="AE367" s="446" t="e">
        <f>IF(OR($B367="",MIN(AE$38,$D$19)&lt;MAX($P$34*($B367+IF($R$17="Distrato",$I$38-1,0)),IF(AND($L$37=0,$P$34=0),"",$L$37-1),IF($R$17="Distrato",$E367,0))),0,YEARFRAC(MAX($P$34*($B367+IF($R$17="Distrato",$I$38-1,0)),IF(AND($L$37=0,$P$34=0),"",$L$37-1),IF($R$17="Distrato",$E367,0)),MIN(AE$38,$D$19),$P$20))-SUM($P367:AD367)</f>
        <v>#VALUE!</v>
      </c>
      <c r="AF367" s="446" t="e">
        <f>IF(OR($B367="",MIN(AF$38,$D$19)&lt;MAX($P$34*($B367+IF($R$17="Distrato",$I$38-1,0)),IF(AND($L$37=0,$P$34=0),"",$L$37-1),IF($R$17="Distrato",$E367,0))),0,YEARFRAC(MAX($P$34*($B367+IF($R$17="Distrato",$I$38-1,0)),IF(AND($L$37=0,$P$34=0),"",$L$37-1),IF($R$17="Distrato",$E367,0)),MIN(AF$38,$D$19),$P$20))-SUM($P367:AE367)</f>
        <v>#VALUE!</v>
      </c>
      <c r="AG367" s="446" t="e">
        <f>IF(OR($B367="",MIN(AG$38,$D$19)&lt;MAX($P$34*($B367+IF($R$17="Distrato",$I$38-1,0)),IF(AND($L$37=0,$P$34=0),"",$L$37-1),IF($R$17="Distrato",$E367,0))),0,YEARFRAC(MAX($P$34*($B367+IF($R$17="Distrato",$I$38-1,0)),IF(AND($L$37=0,$P$34=0),"",$L$37-1),IF($R$17="Distrato",$E367,0)),MIN(AG$38,$D$19),$P$20))-SUM($P367:AF367)</f>
        <v>#VALUE!</v>
      </c>
      <c r="AH367" s="446" t="e">
        <f>IF(OR($B367="",MIN(AH$38,$D$19)&lt;MAX($P$34*($B367+IF($R$17="Distrato",$I$38-1,0)),IF(AND($L$37=0,$P$34=0),"",$L$37-1),IF($R$17="Distrato",$E367,0))),0,YEARFRAC(MAX($P$34*($B367+IF($R$17="Distrato",$I$38-1,0)),IF(AND($L$37=0,$P$34=0),"",$L$37-1),IF($R$17="Distrato",$E367,0)),MIN(AH$38,$D$19),$P$20))-SUM($P367:AG367)</f>
        <v>#VALUE!</v>
      </c>
      <c r="AI367" s="446" t="e">
        <f>IF(OR($B367="",MIN(AI$38,$D$19)&lt;MAX($P$34*($B367+IF($R$17="Distrato",$I$38-1,0)),IF(AND($L$37=0,$P$34=0),"",$L$37-1),IF($R$17="Distrato",$E367,0))),0,YEARFRAC(MAX($P$34*($B367+IF($R$17="Distrato",$I$38-1,0)),IF(AND($L$37=0,$P$34=0),"",$L$37-1),IF($R$17="Distrato",$E367,0)),MIN(AI$38,$D$19),$P$20))-SUM($P367:AH367)</f>
        <v>#VALUE!</v>
      </c>
      <c r="AJ367" s="446" t="e">
        <f>IF(OR($B367="",MIN(AJ$38,$D$19)&lt;MAX($P$34*($B367+IF($R$17="Distrato",$I$38-1,0)),IF(AND($L$37=0,$P$34=0),"",$L$37-1),IF($R$17="Distrato",$E367,0))),0,YEARFRAC(MAX($P$34*($B367+IF($R$17="Distrato",$I$38-1,0)),IF(AND($L$37=0,$P$34=0),"",$L$37-1),IF($R$17="Distrato",$E367,0)),MIN(AJ$38,$D$19),$P$20))-SUM($P367:AI367)</f>
        <v>#VALUE!</v>
      </c>
      <c r="AK367" s="446" t="e">
        <f>IF(OR($B367="",MIN(AK$38,$D$19)&lt;MAX($P$34*($B367+IF($R$17="Distrato",$I$38-1,0)),IF(AND($L$37=0,$P$34=0),"",$L$37-1),IF($R$17="Distrato",$E367,0))),0,YEARFRAC(MAX($P$34*($B367+IF($R$17="Distrato",$I$38-1,0)),IF(AND($L$37=0,$P$34=0),"",$L$37-1),IF($R$17="Distrato",$E367,0)),MIN(AK$38,$D$19),$P$20))-SUM($P367:AJ367)</f>
        <v>#VALUE!</v>
      </c>
      <c r="AL367" s="446" t="e">
        <f>IF(OR($B367="",MIN(AL$38,$D$19)&lt;MAX($P$34*($B367+IF($R$17="Distrato",$I$38-1,0)),IF(AND($L$37=0,$P$34=0),"",$L$37-1),IF($R$17="Distrato",$E367,0))),0,YEARFRAC(MAX($P$34*($B367+IF($R$17="Distrato",$I$38-1,0)),IF(AND($L$37=0,$P$34=0),"",$L$37-1),IF($R$17="Distrato",$E367,0)),MIN(AL$38,$D$19),$P$20))-SUM($P367:AK367)</f>
        <v>#VALUE!</v>
      </c>
      <c r="AM367" s="446" t="e">
        <f>IF(OR($B367="",MIN(AM$38,$D$19)&lt;MAX($P$34*($B367+IF($R$17="Distrato",$I$38-1,0)),IF(AND($L$37=0,$P$34=0),"",$L$37-1),IF($R$17="Distrato",$E367,0))),0,YEARFRAC(MAX($P$34*($B367+IF($R$17="Distrato",$I$38-1,0)),IF(AND($L$37=0,$P$34=0),"",$L$37-1),IF($R$17="Distrato",$E367,0)),MIN(AM$38,$D$19),$P$20))-SUM($P367:AL367)</f>
        <v>#VALUE!</v>
      </c>
      <c r="AN367" s="446" t="e">
        <f>IF(OR($B367="",MIN(AN$38,$D$19)&lt;MAX($P$34*($B367+IF($R$17="Distrato",$I$38-1,0)),IF(AND($L$37=0,$P$34=0),"",$L$37-1),IF($R$17="Distrato",$E367,0))),0,YEARFRAC(MAX($P$34*($B367+IF($R$17="Distrato",$I$38-1,0)),IF(AND($L$37=0,$P$34=0),"",$L$37-1),IF($R$17="Distrato",$E367,0)),MIN(AN$38,$D$19),$P$20))-SUM($P367:AM367)</f>
        <v>#VALUE!</v>
      </c>
      <c r="AO367" s="446" t="e">
        <f>IF(OR($B367="",MIN(AO$38,$D$19)&lt;MAX($P$34*($B367+IF($R$17="Distrato",$I$38-1,0)),IF(AND($L$37=0,$P$34=0),"",$L$37-1),IF($R$17="Distrato",$E367,0))),0,YEARFRAC(MAX($P$34*($B367+IF($R$17="Distrato",$I$38-1,0)),IF(AND($L$37=0,$P$34=0),"",$L$37-1),IF($R$17="Distrato",$E367,0)),MIN(AO$38,$D$19),$P$20))-SUM($P367:AN367)</f>
        <v>#VALUE!</v>
      </c>
      <c r="AP367" s="446" t="e">
        <f>IF(OR($B367="",MIN(AP$38,$D$19)&lt;MAX($P$34*($B367+IF($R$17="Distrato",$I$38-1,0)),IF(AND($L$37=0,$P$34=0),"",$L$37-1),IF($R$17="Distrato",$E367,0))),0,YEARFRAC(MAX($P$34*($B367+IF($R$17="Distrato",$I$38-1,0)),IF(AND($L$37=0,$P$34=0),"",$L$37-1),IF($R$17="Distrato",$E367,0)),MIN(AP$38,$D$19),$P$20))-SUM($P367:AO367)</f>
        <v>#VALUE!</v>
      </c>
      <c r="AQ367" s="446" t="e">
        <f>IF(OR($B367="",MIN(AQ$38,$D$19)&lt;MAX($P$34*($B367+IF($R$17="Distrato",$I$38-1,0)),IF(AND($L$37=0,$P$34=0),"",$L$37-1),IF($R$17="Distrato",$E367,0))),0,YEARFRAC(MAX($P$34*($B367+IF($R$17="Distrato",$I$38-1,0)),IF(AND($L$37=0,$P$34=0),"",$L$37-1),IF($R$17="Distrato",$E367,0)),MIN(AQ$38,$D$19),$P$20))-SUM($P367:AP367)</f>
        <v>#VALUE!</v>
      </c>
      <c r="AR367" s="446" t="e">
        <f>IF(OR($B367="",MIN(AR$38,$D$19)&lt;MAX($P$34*($B367+IF($R$17="Distrato",$I$38-1,0)),IF(AND($L$37=0,$P$34=0),"",$L$37-1),IF($R$17="Distrato",$E367,0))),0,YEARFRAC(MAX($P$34*($B367+IF($R$17="Distrato",$I$38-1,0)),IF(AND($L$37=0,$P$34=0),"",$L$37-1),IF($R$17="Distrato",$E367,0)),MIN(AR$38,$D$19),$P$20))-SUM($P367:AQ367)</f>
        <v>#VALUE!</v>
      </c>
      <c r="AS367" s="446" t="e">
        <f>IF(OR($B367="",MIN(AS$38,$D$19)&lt;MAX($P$34*($B367+IF($R$17="Distrato",$I$38-1,0)),IF(AND($L$37=0,$P$34=0),"",$L$37-1),IF($R$17="Distrato",$E367,0))),0,YEARFRAC(MAX($P$34*($B367+IF($R$17="Distrato",$I$38-1,0)),IF(AND($L$37=0,$P$34=0),"",$L$37-1),IF($R$17="Distrato",$E367,0)),MIN(AS$38,$D$19),$P$20))-SUM($P367:AR367)</f>
        <v>#VALUE!</v>
      </c>
      <c r="AT367" s="446" t="e">
        <f>IF(OR($B367="",MIN(AT$38,$D$19)&lt;MAX($P$34*($B367+IF($R$17="Distrato",$I$38-1,0)),IF(AND($L$37=0,$P$34=0),"",$L$37-1),IF($R$17="Distrato",$E367,0))),0,YEARFRAC(MAX($P$34*($B367+IF($R$17="Distrato",$I$38-1,0)),IF(AND($L$37=0,$P$34=0),"",$L$37-1),IF($R$17="Distrato",$E367,0)),MIN(AT$38,$D$19),$P$20))-SUM($P367:AS367)</f>
        <v>#VALUE!</v>
      </c>
      <c r="AU367" s="446" t="e">
        <f>IF(OR($B367="",MIN(AU$38,$D$19)&lt;MAX($P$34*($B367+IF($R$17="Distrato",$I$38-1,0)),IF(AND($L$37=0,$P$34=0),"",$L$37-1),IF($R$17="Distrato",$E367,0))),0,YEARFRAC(MAX($P$34*($B367+IF($R$17="Distrato",$I$38-1,0)),IF(AND($L$37=0,$P$34=0),"",$L$37-1),IF($R$17="Distrato",$E367,0)),MIN(AU$38,$D$19),$P$20))-SUM($P367:AT367)</f>
        <v>#VALUE!</v>
      </c>
      <c r="AV367" s="446" t="e">
        <f>IF(OR($B367="",MIN(AV$38,$D$19)&lt;MAX($P$34*($B367+IF($R$17="Distrato",$I$38-1,0)),IF(AND($L$37=0,$P$34=0),"",$L$37-1),IF($R$17="Distrato",$E367,0))),0,YEARFRAC(MAX($P$34*($B367+IF($R$17="Distrato",$I$38-1,0)),IF(AND($L$37=0,$P$34=0),"",$L$37-1),IF($R$17="Distrato",$E367,0)),MIN(AV$38,$D$19),$P$20))-SUM($P367:AU367)</f>
        <v>#VALUE!</v>
      </c>
      <c r="AW367" s="446" t="e">
        <f>IF(OR($B367="",MIN(AW$38,$D$19)&lt;MAX($P$34*($B367+IF($R$17="Distrato",$I$38-1,0)),IF(AND($L$37=0,$P$34=0),"",$L$37-1),IF($R$17="Distrato",$E367,0))),0,YEARFRAC(MAX($P$34*($B367+IF($R$17="Distrato",$I$38-1,0)),IF(AND($L$37=0,$P$34=0),"",$L$37-1),IF($R$17="Distrato",$E367,0)),MIN(AW$38,$D$19),$P$20))-SUM($P367:AV367)</f>
        <v>#VALUE!</v>
      </c>
      <c r="AX367" s="446" t="e">
        <f>IF(OR($B367="",MIN(AX$38,$D$19)&lt;MAX($P$34*($B367+IF($R$17="Distrato",$I$38-1,0)),IF(AND($L$37=0,$P$34=0),"",$L$37-1),IF($R$17="Distrato",$E367,0))),0,YEARFRAC(MAX($P$34*($B367+IF($R$17="Distrato",$I$38-1,0)),IF(AND($L$37=0,$P$34=0),"",$L$37-1),IF($R$17="Distrato",$E367,0)),MIN(AX$38,$D$19),$P$20))-SUM($P367:AW367)</f>
        <v>#VALUE!</v>
      </c>
      <c r="AY367" s="446" t="e">
        <f>IF(OR($B367="",MIN(AY$38,$D$19)&lt;MAX($P$34*($B367+IF($R$17="Distrato",$I$38-1,0)),IF(AND($L$37=0,$P$34=0),"",$L$37-1),IF($R$17="Distrato",$E367,0))),0,YEARFRAC(MAX($P$34*($B367+IF($R$17="Distrato",$I$38-1,0)),IF(AND($L$37=0,$P$34=0),"",$L$37-1),IF($R$17="Distrato",$E367,0)),MIN(AY$38,$D$19),$P$20))-SUM($P367:AX367)</f>
        <v>#VALUE!</v>
      </c>
      <c r="AZ367" s="446" t="e">
        <f>IF(OR($B367="",MIN(AZ$38,$D$19)&lt;MAX($P$34*($B367+IF($R$17="Distrato",$I$38-1,0)),IF(AND($L$37=0,$P$34=0),"",$L$37-1),IF($R$17="Distrato",$E367,0))),0,YEARFRAC(MAX($P$34*($B367+IF($R$17="Distrato",$I$38-1,0)),IF(AND($L$37=0,$P$34=0),"",$L$37-1),IF($R$17="Distrato",$E367,0)),MIN(AZ$38,$D$19),$P$20))-SUM($P367:AY367)</f>
        <v>#VALUE!</v>
      </c>
      <c r="BA367" s="446" t="e">
        <f>IF(OR($B367="",MIN(BA$38,$D$19)&lt;MAX($P$34*($B367+IF($R$17="Distrato",$I$38-1,0)),IF(AND($L$37=0,$P$34=0),"",$L$37-1),IF($R$17="Distrato",$E367,0))),0,YEARFRAC(MAX($P$34*($B367+IF($R$17="Distrato",$I$38-1,0)),IF(AND($L$37=0,$P$34=0),"",$L$37-1),IF($R$17="Distrato",$E367,0)),MIN(BA$38,$D$19),$P$20))-SUM($P367:AZ367)</f>
        <v>#VALUE!</v>
      </c>
      <c r="BB367" s="447"/>
      <c r="BF367" s="446">
        <f t="shared" si="65"/>
        <v>0</v>
      </c>
      <c r="BG367" s="446">
        <f>IF($E367=0,0,IF(MIN(BG$38,$E367)&lt;MAX($P$34*($B367+$I$38-1),IF(AND($L$37=0,$P$34=0),"",$L$37-1)),0,YEARFRAC(MAX($P$34*($B367+$I$38-1),IF(AND($L$37=0,$P$34=0),"",$L$37-1)),MIN(BG$38,$E367),$P$20))-SUM($BF367:BF367))</f>
        <v>0</v>
      </c>
      <c r="BH367" s="446">
        <f>IF($E367=0,0,IF(MIN(BH$38,$E367)&lt;MAX($P$34*($B367+$I$38-1),IF(AND($L$37=0,$P$34=0),"",$L$37-1)),0,YEARFRAC(MAX($P$34*($B367+$I$38-1),IF(AND($L$37=0,$P$34=0),"",$L$37-1)),MIN(BH$38,$E367),$P$20))-SUM($BF367:BG367))</f>
        <v>0</v>
      </c>
      <c r="BI367" s="446">
        <f>IF($E367=0,0,IF(MIN(BI$38,$E367)&lt;MAX($P$34*($B367+$I$38-1),IF(AND($L$37=0,$P$34=0),"",$L$37-1)),0,YEARFRAC(MAX($P$34*($B367+$I$38-1),IF(AND($L$37=0,$P$34=0),"",$L$37-1)),MIN(BI$38,$E367),$P$20))-SUM($BF367:BH367))</f>
        <v>0</v>
      </c>
      <c r="BJ367" s="446">
        <f>IF($E367=0,0,IF(MIN(BJ$38,$E367)&lt;MAX($P$34*($B367+$I$38-1),IF(AND($L$37=0,$P$34=0),"",$L$37-1)),0,YEARFRAC(MAX($P$34*($B367+$I$38-1),IF(AND($L$37=0,$P$34=0),"",$L$37-1)),MIN(BJ$38,$E367),$P$20))-SUM($BF367:BI367))</f>
        <v>0</v>
      </c>
      <c r="BK367" s="446">
        <f>IF($E367=0,0,IF(MIN(BK$38,$E367)&lt;MAX($P$34*($B367+$I$38-1),IF(AND($L$37=0,$P$34=0),"",$L$37-1)),0,YEARFRAC(MAX($P$34*($B367+$I$38-1),IF(AND($L$37=0,$P$34=0),"",$L$37-1)),MIN(BK$38,$E367),$P$20))-SUM($BF367:BJ367))</f>
        <v>0</v>
      </c>
      <c r="BL367" s="446">
        <f>IF($E367=0,0,IF(MIN(BL$38,$E367)&lt;MAX($P$34*($B367+$I$38-1),IF(AND($L$37=0,$P$34=0),"",$L$37-1)),0,YEARFRAC(MAX($P$34*($B367+$I$38-1),IF(AND($L$37=0,$P$34=0),"",$L$37-1)),MIN(BL$38,$E367),$P$20))-SUM($BF367:BK367))</f>
        <v>0</v>
      </c>
      <c r="BM367" s="446">
        <f>IF($E367=0,0,IF(MIN(BM$38,$E367)&lt;MAX($P$34*($B367+$I$38-1),IF(AND($L$37=0,$P$34=0),"",$L$37-1)),0,YEARFRAC(MAX($P$34*($B367+$I$38-1),IF(AND($L$37=0,$P$34=0),"",$L$37-1)),MIN(BM$38,$E367),$P$20))-SUM($BF367:BL367))</f>
        <v>0</v>
      </c>
      <c r="BN367" s="446">
        <f>IF($E367=0,0,IF(MIN(BN$38,$E367)&lt;MAX($P$34*($B367+$I$38-1),IF(AND($L$37=0,$P$34=0),"",$L$37-1)),0,YEARFRAC(MAX($P$34*($B367+$I$38-1),IF(AND($L$37=0,$P$34=0),"",$L$37-1)),MIN(BN$38,$E367),$P$20))-SUM($BF367:BM367))</f>
        <v>0</v>
      </c>
      <c r="BO367" s="446">
        <f>IF($E367=0,0,IF(MIN(BO$38,$E367)&lt;MAX($P$34*($B367+$I$38-1),IF(AND($L$37=0,$P$34=0),"",$L$37-1)),0,YEARFRAC(MAX($P$34*($B367+$I$38-1),IF(AND($L$37=0,$P$34=0),"",$L$37-1)),MIN(BO$38,$E367),$P$20))-SUM($BF367:BN367))</f>
        <v>0</v>
      </c>
      <c r="BP367" s="446">
        <f>IF($E367=0,0,IF(MIN(BP$38,$E367)&lt;MAX($P$34*($B367+$I$38-1),IF(AND($L$37=0,$P$34=0),"",$L$37-1)),0,YEARFRAC(MAX($P$34*($B367+$I$38-1),IF(AND($L$37=0,$P$34=0),"",$L$37-1)),MIN(BP$38,$E367),$P$20))-SUM($BF367:BO367))</f>
        <v>0</v>
      </c>
      <c r="BQ367" s="446">
        <f>IF($E367=0,0,IF(MIN(BQ$38,$E367)&lt;MAX($P$34*($B367+$I$38-1),IF(AND($L$37=0,$P$34=0),"",$L$37-1)),0,YEARFRAC(MAX($P$34*($B367+$I$38-1),IF(AND($L$37=0,$P$34=0),"",$L$37-1)),MIN(BQ$38,$E367),$P$20))-SUM($BF367:BP367))</f>
        <v>0</v>
      </c>
      <c r="BR367" s="446">
        <f>IF($E367=0,0,IF(MIN(BR$38,$E367)&lt;MAX($P$34*($B367+$I$38-1),IF(AND($L$37=0,$P$34=0),"",$L$37-1)),0,YEARFRAC(MAX($P$34*($B367+$I$38-1),IF(AND($L$37=0,$P$34=0),"",$L$37-1)),MIN(BR$38,$E367),$P$20))-SUM($BF367:BQ367))</f>
        <v>0</v>
      </c>
      <c r="BS367" s="446">
        <f>IF($E367=0,0,IF(MIN(BS$38,$E367)&lt;MAX($P$34*($B367+$I$38-1),IF(AND($L$37=0,$P$34=0),"",$L$37-1)),0,YEARFRAC(MAX($P$34*($B367+$I$38-1),IF(AND($L$37=0,$P$34=0),"",$L$37-1)),MIN(BS$38,$E367),$P$20))-SUM($BF367:BR367))</f>
        <v>0</v>
      </c>
      <c r="BT367" s="446">
        <f>IF($E367=0,0,IF(MIN(BT$38,$E367)&lt;MAX($P$34*($B367+$I$38-1),IF(AND($L$37=0,$P$34=0),"",$L$37-1)),0,YEARFRAC(MAX($P$34*($B367+$I$38-1),IF(AND($L$37=0,$P$34=0),"",$L$37-1)),MIN(BT$38,$E367),$P$20))-SUM($BF367:BS367))</f>
        <v>0</v>
      </c>
      <c r="BU367" s="446">
        <f>IF($E367=0,0,IF(MIN(BU$38,$E367)&lt;MAX($P$34*($B367+$I$38-1),IF(AND($L$37=0,$P$34=0),"",$L$37-1)),0,YEARFRAC(MAX($P$34*($B367+$I$38-1),IF(AND($L$37=0,$P$34=0),"",$L$37-1)),MIN(BU$38,$E367),$P$20))-SUM($BF367:BT367))</f>
        <v>0</v>
      </c>
      <c r="BV367" s="446">
        <f>IF($E367=0,0,IF(MIN(BV$38,$E367)&lt;MAX($P$34*($B367+$I$38-1),IF(AND($L$37=0,$P$34=0),"",$L$37-1)),0,YEARFRAC(MAX($P$34*($B367+$I$38-1),IF(AND($L$37=0,$P$34=0),"",$L$37-1)),MIN(BV$38,$E367),$P$20))-SUM($BF367:BU367))</f>
        <v>0</v>
      </c>
      <c r="BW367" s="446">
        <f>IF($E367=0,0,IF(MIN(BW$38,$E367)&lt;MAX($P$34*($B367+$I$38-1),IF(AND($L$37=0,$P$34=0),"",$L$37-1)),0,YEARFRAC(MAX($P$34*($B367+$I$38-1),IF(AND($L$37=0,$P$34=0),"",$L$37-1)),MIN(BW$38,$E367),$P$20))-SUM($BF367:BV367))</f>
        <v>0</v>
      </c>
      <c r="BX367" s="446">
        <f>IF($E367=0,0,IF(MIN(BX$38,$E367)&lt;MAX($P$34*($B367+$I$38-1),IF(AND($L$37=0,$P$34=0),"",$L$37-1)),0,YEARFRAC(MAX($P$34*($B367+$I$38-1),IF(AND($L$37=0,$P$34=0),"",$L$37-1)),MIN(BX$38,$E367),$P$20))-SUM($BF367:BW367))</f>
        <v>0</v>
      </c>
      <c r="BY367" s="446">
        <f>IF($E367=0,0,IF(MIN(BY$38,$E367)&lt;MAX($P$34*($B367+$I$38-1),IF(AND($L$37=0,$P$34=0),"",$L$37-1)),0,YEARFRAC(MAX($P$34*($B367+$I$38-1),IF(AND($L$37=0,$P$34=0),"",$L$37-1)),MIN(BY$38,$E367),$P$20))-SUM($BF367:BX367))</f>
        <v>0</v>
      </c>
      <c r="BZ367" s="446">
        <f>IF($E367=0,0,IF(MIN(BZ$38,$E367)&lt;MAX($P$34*($B367+$I$38-1),IF(AND($L$37=0,$P$34=0),"",$L$37-1)),0,YEARFRAC(MAX($P$34*($B367+$I$38-1),IF(AND($L$37=0,$P$34=0),"",$L$37-1)),MIN(BZ$38,$E367),$P$20))-SUM($BF367:BY367))</f>
        <v>0</v>
      </c>
      <c r="CA367" s="446">
        <f>IF($E367=0,0,IF(MIN(CA$38,$E367)&lt;MAX($P$34*($B367+$I$38-1),IF(AND($L$37=0,$P$34=0),"",$L$37-1)),0,YEARFRAC(MAX($P$34*($B367+$I$38-1),IF(AND($L$37=0,$P$34=0),"",$L$37-1)),MIN(CA$38,$E367),$P$20))-SUM($BF367:BZ367))</f>
        <v>0</v>
      </c>
      <c r="CB367" s="446">
        <f>IF($E367=0,0,IF(MIN(CB$38,$E367)&lt;MAX($P$34*($B367+$I$38-1),IF(AND($L$37=0,$P$34=0),"",$L$37-1)),0,YEARFRAC(MAX($P$34*($B367+$I$38-1),IF(AND($L$37=0,$P$34=0),"",$L$37-1)),MIN(CB$38,$E367),$P$20))-SUM($BF367:CA367))</f>
        <v>0</v>
      </c>
      <c r="CC367" s="446">
        <f>IF($E367=0,0,IF(MIN(CC$38,$E367)&lt;MAX($P$34*($B367+$I$38-1),IF(AND($L$37=0,$P$34=0),"",$L$37-1)),0,YEARFRAC(MAX($P$34*($B367+$I$38-1),IF(AND($L$37=0,$P$34=0),"",$L$37-1)),MIN(CC$38,$E367),$P$20))-SUM($BF367:CB367))</f>
        <v>0</v>
      </c>
      <c r="CD367" s="446">
        <f>IF($E367=0,0,IF(MIN(CD$38,$E367)&lt;MAX($P$34*($B367+$I$38-1),IF(AND($L$37=0,$P$34=0),"",$L$37-1)),0,YEARFRAC(MAX($P$34*($B367+$I$38-1),IF(AND($L$37=0,$P$34=0),"",$L$37-1)),MIN(CD$38,$E367),$P$20))-SUM($BF367:CC367))</f>
        <v>0</v>
      </c>
      <c r="CE367" s="446">
        <f>IF($E367=0,0,IF(MIN(CE$38,$E367)&lt;MAX($P$34*($B367+$I$38-1),IF(AND($L$37=0,$P$34=0),"",$L$37-1)),0,YEARFRAC(MAX($P$34*($B367+$I$38-1),IF(AND($L$37=0,$P$34=0),"",$L$37-1)),MIN(CE$38,$E367),$P$20))-SUM($BF367:CD367))</f>
        <v>0</v>
      </c>
      <c r="CF367" s="446">
        <f>IF($E367=0,0,IF(MIN(CF$38,$E367)&lt;MAX($P$34*($B367+$I$38-1),IF(AND($L$37=0,$P$34=0),"",$L$37-1)),0,YEARFRAC(MAX($P$34*($B367+$I$38-1),IF(AND($L$37=0,$P$34=0),"",$L$37-1)),MIN(CF$38,$E367),$P$20))-SUM($BF367:CE367))</f>
        <v>0</v>
      </c>
      <c r="CG367" s="446">
        <f>IF($E367=0,0,IF(MIN(CG$38,$E367)&lt;MAX($P$34*($B367+$I$38-1),IF(AND($L$37=0,$P$34=0),"",$L$37-1)),0,YEARFRAC(MAX($P$34*($B367+$I$38-1),IF(AND($L$37=0,$P$34=0),"",$L$37-1)),MIN(CG$38,$E367),$P$20))-SUM($BF367:CF367))</f>
        <v>0</v>
      </c>
      <c r="CH367" s="446">
        <f>IF($E367=0,0,IF(MIN(CH$38,$E367)&lt;MAX($P$34*($B367+$I$38-1),IF(AND($L$37=0,$P$34=0),"",$L$37-1)),0,YEARFRAC(MAX($P$34*($B367+$I$38-1),IF(AND($L$37=0,$P$34=0),"",$L$37-1)),MIN(CH$38,$E367),$P$20))-SUM($BF367:CG367))</f>
        <v>0</v>
      </c>
      <c r="CI367" s="446">
        <f>IF($E367=0,0,IF(MIN(CI$38,$E367)&lt;MAX($P$34*($B367+$I$38-1),IF(AND($L$37=0,$P$34=0),"",$L$37-1)),0,YEARFRAC(MAX($P$34*($B367+$I$38-1),IF(AND($L$37=0,$P$34=0),"",$L$37-1)),MIN(CI$38,$E367),$P$20))-SUM($BF367:CH367))</f>
        <v>0</v>
      </c>
      <c r="CJ367" s="446">
        <f>IF($E367=0,0,IF(MIN(CJ$38,$E367)&lt;MAX($P$34*($B367+$I$38-1),IF(AND($L$37=0,$P$34=0),"",$L$37-1)),0,YEARFRAC(MAX($P$34*($B367+$I$38-1),IF(AND($L$37=0,$P$34=0),"",$L$37-1)),MIN(CJ$38,$E367),$P$20))-SUM($BF367:CI367))</f>
        <v>0</v>
      </c>
      <c r="CK367" s="446">
        <f>IF($E367=0,0,IF(MIN(CK$38,$E367)&lt;MAX($P$34*($B367+$I$38-1),IF(AND($L$37=0,$P$34=0),"",$L$37-1)),0,YEARFRAC(MAX($P$34*($B367+$I$38-1),IF(AND($L$37=0,$P$34=0),"",$L$37-1)),MIN(CK$38,$E367),$P$20))-SUM($BF367:CJ367))</f>
        <v>0</v>
      </c>
      <c r="CL367" s="446">
        <f>IF($E367=0,0,IF(MIN(CL$38,$E367)&lt;MAX($P$34*($B367+$I$38-1),IF(AND($L$37=0,$P$34=0),"",$L$37-1)),0,YEARFRAC(MAX($P$34*($B367+$I$38-1),IF(AND($L$37=0,$P$34=0),"",$L$37-1)),MIN(CL$38,$E367),$P$20))-SUM($BF367:CK367))</f>
        <v>0</v>
      </c>
      <c r="CM367" s="446">
        <f>IF($E367=0,0,IF(MIN(CM$38,$E367)&lt;MAX($P$34*($B367+$I$38-1),IF(AND($L$37=0,$P$34=0),"",$L$37-1)),0,YEARFRAC(MAX($P$34*($B367+$I$38-1),IF(AND($L$37=0,$P$34=0),"",$L$37-1)),MIN(CM$38,$E367),$P$20))-SUM($BF367:CL367))</f>
        <v>0</v>
      </c>
      <c r="CN367" s="446">
        <f>IF($E367=0,0,IF(MIN(CN$38,$E367)&lt;MAX($P$34*($B367+$I$38-1),IF(AND($L$37=0,$P$34=0),"",$L$37-1)),0,YEARFRAC(MAX($P$34*($B367+$I$38-1),IF(AND($L$37=0,$P$34=0),"",$L$37-1)),MIN(CN$38,$E367),$P$20))-SUM($BF367:CM367))</f>
        <v>0</v>
      </c>
      <c r="CO367" s="446">
        <f>IF($E367=0,0,IF(MIN(CO$38,$E367)&lt;MAX($P$34*($B367+$I$38-1),IF(AND($L$37=0,$P$34=0),"",$L$37-1)),0,YEARFRAC(MAX($P$34*($B367+$I$38-1),IF(AND($L$37=0,$P$34=0),"",$L$37-1)),MIN(CO$38,$E367),$P$20))-SUM($BF367:CN367))</f>
        <v>0</v>
      </c>
      <c r="CP367" s="446">
        <f>IF($E367=0,0,IF(MIN(CP$38,$E367)&lt;MAX($P$34*($B367+$I$38-1),IF(AND($L$37=0,$P$34=0),"",$L$37-1)),0,YEARFRAC(MAX($P$34*($B367+$I$38-1),IF(AND($L$37=0,$P$34=0),"",$L$37-1)),MIN(CP$38,$E367),$P$20))-SUM($BF367:CO367))</f>
        <v>0</v>
      </c>
      <c r="CQ367" s="446">
        <f>IF($E367=0,0,IF(MIN(CQ$38,$E367)&lt;MAX($P$34*($B367+$I$38-1),IF(AND($L$37=0,$P$34=0),"",$L$37-1)),0,YEARFRAC(MAX($P$34*($B367+$I$38-1),IF(AND($L$37=0,$P$34=0),"",$L$37-1)),MIN(CQ$38,$E367),$P$20))-SUM($BF367:CP367))</f>
        <v>0</v>
      </c>
    </row>
    <row r="368" spans="1:95" s="446" customFormat="1" ht="11.25" hidden="1" customHeight="1" x14ac:dyDescent="0.2">
      <c r="A368" s="152"/>
      <c r="B368" s="153" t="str">
        <f t="shared" si="70"/>
        <v/>
      </c>
      <c r="C368" s="29" t="str">
        <f>IF(B368="","",IF($L$35="SELIC - TRIBUTOS",VLOOKUP(DATE(YEAR($D$19),MONTH($D$19)-1,1),ÍNDICES!$A:$DE,HLOOKUP($BL$25,ÍNDICES!$B$3:$T$4,2)+11)-VLOOKUP(B368,ÍNDICES!$A:$DE,HLOOKUP($BL$25,ÍNDICES!$B$3:$T$4,2)+11)+1%,IF(C$38=$W$26,$J$35,IF(ISERROR(IF(B368&gt;$D$19,1,VLOOKUP(DATE(YEAR(B368),MONTH(B368)+IF($C$35=$S$23,1,0),1),ÍNDICES!$A:$DE,$Z$35+1))),"",IF(B368&gt;$D$19,1,VLOOKUP(DATE(YEAR(B368),MONTH(B368)+IF($C$35=$S$23,1,0),1),ÍNDICES!$A:$DE,$Z$35+1))))))</f>
        <v/>
      </c>
      <c r="D368" s="154" t="str">
        <f>IF(ISERROR(IF(OR($D$38=$Y$27,$B368=""),"",VLOOKUP(B368,ÍNDICES!A:DE,AF$35+1))),"",IF(OR($D$38=$Y$27,$B368=""),"",VLOOKUP(B368,ÍNDICES!A:DE,AF$35+1)))</f>
        <v/>
      </c>
      <c r="E368" s="153"/>
      <c r="F368" s="29" t="str">
        <f>IF(E368="","",IF($L$35="SELIC - TRIBUTOS",VLOOKUP(DATE(YEAR($D$19),MONTH($D$19)-1,1),ÍNDICES!$A:$DE,HLOOKUP($BL$25,ÍNDICES!$B$3:$T$4,2)+11)-VLOOKUP(E368,ÍNDICES!$A:$DE,HLOOKUP($BL$25,ÍNDICES!$B$3:$T$4,2)+11)+1%,IF(F$38=$W$26,$J$35,IF(ISERROR(IF(E368&gt;$D$19,1,VLOOKUP(DATE(YEAR(E368),MONTH(E368)+IF($C$35=$S$23,1,0),1),ÍNDICES!$A:$DE,$Z$35+1))),"",IF(E368&gt;$D$19,1,VLOOKUP(DATE(YEAR(E368),MONTH(E368)+IF($C$35=$S$23,1,0),1),ÍNDICES!$A:$DE,$Z$35+1))))))</f>
        <v/>
      </c>
      <c r="G368" s="155"/>
      <c r="H368" s="156" t="str">
        <f t="shared" si="66"/>
        <v/>
      </c>
      <c r="I368" s="29" t="str">
        <f t="shared" si="60"/>
        <v/>
      </c>
      <c r="J368" s="5">
        <f t="shared" si="61"/>
        <v>0</v>
      </c>
      <c r="K368" s="20">
        <f t="shared" ca="1" si="62"/>
        <v>0</v>
      </c>
      <c r="L368" s="5">
        <f t="shared" ca="1" si="63"/>
        <v>0</v>
      </c>
      <c r="M368" s="64">
        <f t="shared" si="67"/>
        <v>0</v>
      </c>
      <c r="N368" s="61">
        <f t="shared" ca="1" si="68"/>
        <v>0</v>
      </c>
      <c r="O368" s="5">
        <f t="shared" ca="1" si="69"/>
        <v>0</v>
      </c>
      <c r="P368" s="446" t="e">
        <f t="shared" si="64"/>
        <v>#VALUE!</v>
      </c>
      <c r="Q368" s="446" t="e">
        <f>IF(OR($B368="",MIN(Q$38,$D$19)&lt;MAX($P$34*($B368+IF($R$17="Distrato",$I$38-1,0)),IF(AND($L$37=0,$P$34=0),"",$L$37-1),IF($R$17="Distrato",$E368,0))),0,YEARFRAC(MAX($P$34*($B368+IF($R$17="Distrato",$I$38-1,0)),IF(AND($L$37=0,$P$34=0),"",$L$37-1),IF($R$17="Distrato",$E368,0)),MIN(Q$38,$D$19),$P$20))-SUM($P368:P368)</f>
        <v>#VALUE!</v>
      </c>
      <c r="R368" s="446" t="e">
        <f>IF(OR($B368="",MIN(R$38,$D$19)&lt;MAX($P$34*($B368+IF($R$17="Distrato",$I$38-1,0)),IF(AND($L$37=0,$P$34=0),"",$L$37-1),IF($R$17="Distrato",$E368,0))),0,YEARFRAC(MAX($P$34*($B368+IF($R$17="Distrato",$I$38-1,0)),IF(AND($L$37=0,$P$34=0),"",$L$37-1),IF($R$17="Distrato",$E368,0)),MIN(R$38,$D$19),$P$20))-SUM($P368:Q368)</f>
        <v>#VALUE!</v>
      </c>
      <c r="S368" s="446" t="e">
        <f>IF(OR($B368="",MIN(S$38,$D$19)&lt;MAX($P$34*($B368+IF($R$17="Distrato",$I$38-1,0)),IF(AND($L$37=0,$P$34=0),"",$L$37-1),IF($R$17="Distrato",$E368,0))),0,YEARFRAC(MAX($P$34*($B368+IF($R$17="Distrato",$I$38-1,0)),IF(AND($L$37=0,$P$34=0),"",$L$37-1),IF($R$17="Distrato",$E368,0)),MIN(S$38,$D$19),$P$20))-SUM($P368:R368)</f>
        <v>#VALUE!</v>
      </c>
      <c r="T368" s="446" t="e">
        <f>IF(OR($B368="",MIN(T$38,$D$19)&lt;MAX($P$34*($B368+IF($R$17="Distrato",$I$38-1,0)),IF(AND($L$37=0,$P$34=0),"",$L$37-1),IF($R$17="Distrato",$E368,0))),0,YEARFRAC(MAX($P$34*($B368+IF($R$17="Distrato",$I$38-1,0)),IF(AND($L$37=0,$P$34=0),"",$L$37-1),IF($R$17="Distrato",$E368,0)),MIN(T$38,$D$19),$P$20))-SUM($P368:S368)</f>
        <v>#VALUE!</v>
      </c>
      <c r="U368" s="446" t="e">
        <f>IF(OR($B368="",MIN(U$38,$D$19)&lt;MAX($P$34*($B368+IF($R$17="Distrato",$I$38-1,0)),IF(AND($L$37=0,$P$34=0),"",$L$37-1),IF($R$17="Distrato",$E368,0))),0,YEARFRAC(MAX($P$34*($B368+IF($R$17="Distrato",$I$38-1,0)),IF(AND($L$37=0,$P$34=0),"",$L$37-1),IF($R$17="Distrato",$E368,0)),MIN(U$38,$D$19),$P$20))-SUM($P368:T368)</f>
        <v>#VALUE!</v>
      </c>
      <c r="V368" s="446" t="e">
        <f>IF(OR($B368="",MIN(V$38,$D$19)&lt;MAX($P$34*($B368+IF($R$17="Distrato",$I$38-1,0)),IF(AND($L$37=0,$P$34=0),"",$L$37-1),IF($R$17="Distrato",$E368,0))),0,YEARFRAC(MAX($P$34*($B368+IF($R$17="Distrato",$I$38-1,0)),IF(AND($L$37=0,$P$34=0),"",$L$37-1),IF($R$17="Distrato",$E368,0)),MIN(V$38,$D$19),$P$20))-SUM($P368:U368)</f>
        <v>#VALUE!</v>
      </c>
      <c r="W368" s="446" t="e">
        <f>IF(OR($B368="",MIN(W$38,$D$19)&lt;MAX($P$34*($B368+IF($R$17="Distrato",$I$38-1,0)),IF(AND($L$37=0,$P$34=0),"",$L$37-1),IF($R$17="Distrato",$E368,0))),0,YEARFRAC(MAX($P$34*($B368+IF($R$17="Distrato",$I$38-1,0)),IF(AND($L$37=0,$P$34=0),"",$L$37-1),IF($R$17="Distrato",$E368,0)),MIN(W$38,$D$19),$P$20))-SUM($P368:V368)</f>
        <v>#VALUE!</v>
      </c>
      <c r="X368" s="446" t="e">
        <f>IF(OR($B368="",MIN(X$38,$D$19)&lt;MAX($P$34*($B368+IF($R$17="Distrato",$I$38-1,0)),IF(AND($L$37=0,$P$34=0),"",$L$37-1),IF($R$17="Distrato",$E368,0))),0,YEARFRAC(MAX($P$34*($B368+IF($R$17="Distrato",$I$38-1,0)),IF(AND($L$37=0,$P$34=0),"",$L$37-1),IF($R$17="Distrato",$E368,0)),MIN(X$38,$D$19),$P$20))-SUM($P368:W368)</f>
        <v>#VALUE!</v>
      </c>
      <c r="Y368" s="446" t="e">
        <f>IF(OR($B368="",MIN(Y$38,$D$19)&lt;MAX($P$34*($B368+IF($R$17="Distrato",$I$38-1,0)),IF(AND($L$37=0,$P$34=0),"",$L$37-1),IF($R$17="Distrato",$E368,0))),0,YEARFRAC(MAX($P$34*($B368+IF($R$17="Distrato",$I$38-1,0)),IF(AND($L$37=0,$P$34=0),"",$L$37-1),IF($R$17="Distrato",$E368,0)),MIN(Y$38,$D$19),$P$20))-SUM($P368:X368)</f>
        <v>#VALUE!</v>
      </c>
      <c r="Z368" s="446" t="e">
        <f>IF(OR($B368="",MIN(Z$38,$D$19)&lt;MAX($P$34*($B368+IF($R$17="Distrato",$I$38-1,0)),IF(AND($L$37=0,$P$34=0),"",$L$37-1),IF($R$17="Distrato",$E368,0))),0,YEARFRAC(MAX($P$34*($B368+IF($R$17="Distrato",$I$38-1,0)),IF(AND($L$37=0,$P$34=0),"",$L$37-1),IF($R$17="Distrato",$E368,0)),MIN(Z$38,$D$19),$P$20))-SUM($P368:Y368)</f>
        <v>#VALUE!</v>
      </c>
      <c r="AA368" s="446" t="e">
        <f>IF(OR($B368="",MIN(AA$38,$D$19)&lt;MAX($P$34*($B368+IF($R$17="Distrato",$I$38-1,0)),IF(AND($L$37=0,$P$34=0),"",$L$37-1),IF($R$17="Distrato",$E368,0))),0,YEARFRAC(MAX($P$34*($B368+IF($R$17="Distrato",$I$38-1,0)),IF(AND($L$37=0,$P$34=0),"",$L$37-1),IF($R$17="Distrato",$E368,0)),MIN(AA$38,$D$19),$P$20))-SUM($P368:Z368)</f>
        <v>#VALUE!</v>
      </c>
      <c r="AB368" s="446" t="e">
        <f>IF(OR($B368="",MIN(AB$38,$D$19)&lt;MAX($P$34*($B368+IF($R$17="Distrato",$I$38-1,0)),IF(AND($L$37=0,$P$34=0),"",$L$37-1),IF($R$17="Distrato",$E368,0))),0,YEARFRAC(MAX($P$34*($B368+IF($R$17="Distrato",$I$38-1,0)),IF(AND($L$37=0,$P$34=0),"",$L$37-1),IF($R$17="Distrato",$E368,0)),MIN(AB$38,$D$19),$P$20))-SUM($P368:AA368)</f>
        <v>#VALUE!</v>
      </c>
      <c r="AC368" s="446" t="e">
        <f>IF(OR($B368="",MIN(AC$38,$D$19)&lt;MAX($P$34*($B368+IF($R$17="Distrato",$I$38-1,0)),IF(AND($L$37=0,$P$34=0),"",$L$37-1),IF($R$17="Distrato",$E368,0))),0,YEARFRAC(MAX($P$34*($B368+IF($R$17="Distrato",$I$38-1,0)),IF(AND($L$37=0,$P$34=0),"",$L$37-1),IF($R$17="Distrato",$E368,0)),MIN(AC$38,$D$19),$P$20))-SUM($P368:AB368)</f>
        <v>#VALUE!</v>
      </c>
      <c r="AD368" s="446" t="e">
        <f>IF(OR($B368="",MIN(AD$38,$D$19)&lt;MAX($P$34*($B368+IF($R$17="Distrato",$I$38-1,0)),IF(AND($L$37=0,$P$34=0),"",$L$37-1),IF($R$17="Distrato",$E368,0))),0,YEARFRAC(MAX($P$34*($B368+IF($R$17="Distrato",$I$38-1,0)),IF(AND($L$37=0,$P$34=0),"",$L$37-1),IF($R$17="Distrato",$E368,0)),MIN(AD$38,$D$19),$P$20))-SUM($P368:AC368)</f>
        <v>#VALUE!</v>
      </c>
      <c r="AE368" s="446" t="e">
        <f>IF(OR($B368="",MIN(AE$38,$D$19)&lt;MAX($P$34*($B368+IF($R$17="Distrato",$I$38-1,0)),IF(AND($L$37=0,$P$34=0),"",$L$37-1),IF($R$17="Distrato",$E368,0))),0,YEARFRAC(MAX($P$34*($B368+IF($R$17="Distrato",$I$38-1,0)),IF(AND($L$37=0,$P$34=0),"",$L$37-1),IF($R$17="Distrato",$E368,0)),MIN(AE$38,$D$19),$P$20))-SUM($P368:AD368)</f>
        <v>#VALUE!</v>
      </c>
      <c r="AF368" s="446" t="e">
        <f>IF(OR($B368="",MIN(AF$38,$D$19)&lt;MAX($P$34*($B368+IF($R$17="Distrato",$I$38-1,0)),IF(AND($L$37=0,$P$34=0),"",$L$37-1),IF($R$17="Distrato",$E368,0))),0,YEARFRAC(MAX($P$34*($B368+IF($R$17="Distrato",$I$38-1,0)),IF(AND($L$37=0,$P$34=0),"",$L$37-1),IF($R$17="Distrato",$E368,0)),MIN(AF$38,$D$19),$P$20))-SUM($P368:AE368)</f>
        <v>#VALUE!</v>
      </c>
      <c r="AG368" s="446" t="e">
        <f>IF(OR($B368="",MIN(AG$38,$D$19)&lt;MAX($P$34*($B368+IF($R$17="Distrato",$I$38-1,0)),IF(AND($L$37=0,$P$34=0),"",$L$37-1),IF($R$17="Distrato",$E368,0))),0,YEARFRAC(MAX($P$34*($B368+IF($R$17="Distrato",$I$38-1,0)),IF(AND($L$37=0,$P$34=0),"",$L$37-1),IF($R$17="Distrato",$E368,0)),MIN(AG$38,$D$19),$P$20))-SUM($P368:AF368)</f>
        <v>#VALUE!</v>
      </c>
      <c r="AH368" s="446" t="e">
        <f>IF(OR($B368="",MIN(AH$38,$D$19)&lt;MAX($P$34*($B368+IF($R$17="Distrato",$I$38-1,0)),IF(AND($L$37=0,$P$34=0),"",$L$37-1),IF($R$17="Distrato",$E368,0))),0,YEARFRAC(MAX($P$34*($B368+IF($R$17="Distrato",$I$38-1,0)),IF(AND($L$37=0,$P$34=0),"",$L$37-1),IF($R$17="Distrato",$E368,0)),MIN(AH$38,$D$19),$P$20))-SUM($P368:AG368)</f>
        <v>#VALUE!</v>
      </c>
      <c r="AI368" s="446" t="e">
        <f>IF(OR($B368="",MIN(AI$38,$D$19)&lt;MAX($P$34*($B368+IF($R$17="Distrato",$I$38-1,0)),IF(AND($L$37=0,$P$34=0),"",$L$37-1),IF($R$17="Distrato",$E368,0))),0,YEARFRAC(MAX($P$34*($B368+IF($R$17="Distrato",$I$38-1,0)),IF(AND($L$37=0,$P$34=0),"",$L$37-1),IF($R$17="Distrato",$E368,0)),MIN(AI$38,$D$19),$P$20))-SUM($P368:AH368)</f>
        <v>#VALUE!</v>
      </c>
      <c r="AJ368" s="446" t="e">
        <f>IF(OR($B368="",MIN(AJ$38,$D$19)&lt;MAX($P$34*($B368+IF($R$17="Distrato",$I$38-1,0)),IF(AND($L$37=0,$P$34=0),"",$L$37-1),IF($R$17="Distrato",$E368,0))),0,YEARFRAC(MAX($P$34*($B368+IF($R$17="Distrato",$I$38-1,0)),IF(AND($L$37=0,$P$34=0),"",$L$37-1),IF($R$17="Distrato",$E368,0)),MIN(AJ$38,$D$19),$P$20))-SUM($P368:AI368)</f>
        <v>#VALUE!</v>
      </c>
      <c r="AK368" s="446" t="e">
        <f>IF(OR($B368="",MIN(AK$38,$D$19)&lt;MAX($P$34*($B368+IF($R$17="Distrato",$I$38-1,0)),IF(AND($L$37=0,$P$34=0),"",$L$37-1),IF($R$17="Distrato",$E368,0))),0,YEARFRAC(MAX($P$34*($B368+IF($R$17="Distrato",$I$38-1,0)),IF(AND($L$37=0,$P$34=0),"",$L$37-1),IF($R$17="Distrato",$E368,0)),MIN(AK$38,$D$19),$P$20))-SUM($P368:AJ368)</f>
        <v>#VALUE!</v>
      </c>
      <c r="AL368" s="446" t="e">
        <f>IF(OR($B368="",MIN(AL$38,$D$19)&lt;MAX($P$34*($B368+IF($R$17="Distrato",$I$38-1,0)),IF(AND($L$37=0,$P$34=0),"",$L$37-1),IF($R$17="Distrato",$E368,0))),0,YEARFRAC(MAX($P$34*($B368+IF($R$17="Distrato",$I$38-1,0)),IF(AND($L$37=0,$P$34=0),"",$L$37-1),IF($R$17="Distrato",$E368,0)),MIN(AL$38,$D$19),$P$20))-SUM($P368:AK368)</f>
        <v>#VALUE!</v>
      </c>
      <c r="AM368" s="446" t="e">
        <f>IF(OR($B368="",MIN(AM$38,$D$19)&lt;MAX($P$34*($B368+IF($R$17="Distrato",$I$38-1,0)),IF(AND($L$37=0,$P$34=0),"",$L$37-1),IF($R$17="Distrato",$E368,0))),0,YEARFRAC(MAX($P$34*($B368+IF($R$17="Distrato",$I$38-1,0)),IF(AND($L$37=0,$P$34=0),"",$L$37-1),IF($R$17="Distrato",$E368,0)),MIN(AM$38,$D$19),$P$20))-SUM($P368:AL368)</f>
        <v>#VALUE!</v>
      </c>
      <c r="AN368" s="446" t="e">
        <f>IF(OR($B368="",MIN(AN$38,$D$19)&lt;MAX($P$34*($B368+IF($R$17="Distrato",$I$38-1,0)),IF(AND($L$37=0,$P$34=0),"",$L$37-1),IF($R$17="Distrato",$E368,0))),0,YEARFRAC(MAX($P$34*($B368+IF($R$17="Distrato",$I$38-1,0)),IF(AND($L$37=0,$P$34=0),"",$L$37-1),IF($R$17="Distrato",$E368,0)),MIN(AN$38,$D$19),$P$20))-SUM($P368:AM368)</f>
        <v>#VALUE!</v>
      </c>
      <c r="AO368" s="446" t="e">
        <f>IF(OR($B368="",MIN(AO$38,$D$19)&lt;MAX($P$34*($B368+IF($R$17="Distrato",$I$38-1,0)),IF(AND($L$37=0,$P$34=0),"",$L$37-1),IF($R$17="Distrato",$E368,0))),0,YEARFRAC(MAX($P$34*($B368+IF($R$17="Distrato",$I$38-1,0)),IF(AND($L$37=0,$P$34=0),"",$L$37-1),IF($R$17="Distrato",$E368,0)),MIN(AO$38,$D$19),$P$20))-SUM($P368:AN368)</f>
        <v>#VALUE!</v>
      </c>
      <c r="AP368" s="446" t="e">
        <f>IF(OR($B368="",MIN(AP$38,$D$19)&lt;MAX($P$34*($B368+IF($R$17="Distrato",$I$38-1,0)),IF(AND($L$37=0,$P$34=0),"",$L$37-1),IF($R$17="Distrato",$E368,0))),0,YEARFRAC(MAX($P$34*($B368+IF($R$17="Distrato",$I$38-1,0)),IF(AND($L$37=0,$P$34=0),"",$L$37-1),IF($R$17="Distrato",$E368,0)),MIN(AP$38,$D$19),$P$20))-SUM($P368:AO368)</f>
        <v>#VALUE!</v>
      </c>
      <c r="AQ368" s="446" t="e">
        <f>IF(OR($B368="",MIN(AQ$38,$D$19)&lt;MAX($P$34*($B368+IF($R$17="Distrato",$I$38-1,0)),IF(AND($L$37=0,$P$34=0),"",$L$37-1),IF($R$17="Distrato",$E368,0))),0,YEARFRAC(MAX($P$34*($B368+IF($R$17="Distrato",$I$38-1,0)),IF(AND($L$37=0,$P$34=0),"",$L$37-1),IF($R$17="Distrato",$E368,0)),MIN(AQ$38,$D$19),$P$20))-SUM($P368:AP368)</f>
        <v>#VALUE!</v>
      </c>
      <c r="AR368" s="446" t="e">
        <f>IF(OR($B368="",MIN(AR$38,$D$19)&lt;MAX($P$34*($B368+IF($R$17="Distrato",$I$38-1,0)),IF(AND($L$37=0,$P$34=0),"",$L$37-1),IF($R$17="Distrato",$E368,0))),0,YEARFRAC(MAX($P$34*($B368+IF($R$17="Distrato",$I$38-1,0)),IF(AND($L$37=0,$P$34=0),"",$L$37-1),IF($R$17="Distrato",$E368,0)),MIN(AR$38,$D$19),$P$20))-SUM($P368:AQ368)</f>
        <v>#VALUE!</v>
      </c>
      <c r="AS368" s="446" t="e">
        <f>IF(OR($B368="",MIN(AS$38,$D$19)&lt;MAX($P$34*($B368+IF($R$17="Distrato",$I$38-1,0)),IF(AND($L$37=0,$P$34=0),"",$L$37-1),IF($R$17="Distrato",$E368,0))),0,YEARFRAC(MAX($P$34*($B368+IF($R$17="Distrato",$I$38-1,0)),IF(AND($L$37=0,$P$34=0),"",$L$37-1),IF($R$17="Distrato",$E368,0)),MIN(AS$38,$D$19),$P$20))-SUM($P368:AR368)</f>
        <v>#VALUE!</v>
      </c>
      <c r="AT368" s="446" t="e">
        <f>IF(OR($B368="",MIN(AT$38,$D$19)&lt;MAX($P$34*($B368+IF($R$17="Distrato",$I$38-1,0)),IF(AND($L$37=0,$P$34=0),"",$L$37-1),IF($R$17="Distrato",$E368,0))),0,YEARFRAC(MAX($P$34*($B368+IF($R$17="Distrato",$I$38-1,0)),IF(AND($L$37=0,$P$34=0),"",$L$37-1),IF($R$17="Distrato",$E368,0)),MIN(AT$38,$D$19),$P$20))-SUM($P368:AS368)</f>
        <v>#VALUE!</v>
      </c>
      <c r="AU368" s="446" t="e">
        <f>IF(OR($B368="",MIN(AU$38,$D$19)&lt;MAX($P$34*($B368+IF($R$17="Distrato",$I$38-1,0)),IF(AND($L$37=0,$P$34=0),"",$L$37-1),IF($R$17="Distrato",$E368,0))),0,YEARFRAC(MAX($P$34*($B368+IF($R$17="Distrato",$I$38-1,0)),IF(AND($L$37=0,$P$34=0),"",$L$37-1),IF($R$17="Distrato",$E368,0)),MIN(AU$38,$D$19),$P$20))-SUM($P368:AT368)</f>
        <v>#VALUE!</v>
      </c>
      <c r="AV368" s="446" t="e">
        <f>IF(OR($B368="",MIN(AV$38,$D$19)&lt;MAX($P$34*($B368+IF($R$17="Distrato",$I$38-1,0)),IF(AND($L$37=0,$P$34=0),"",$L$37-1),IF($R$17="Distrato",$E368,0))),0,YEARFRAC(MAX($P$34*($B368+IF($R$17="Distrato",$I$38-1,0)),IF(AND($L$37=0,$P$34=0),"",$L$37-1),IF($R$17="Distrato",$E368,0)),MIN(AV$38,$D$19),$P$20))-SUM($P368:AU368)</f>
        <v>#VALUE!</v>
      </c>
      <c r="AW368" s="446" t="e">
        <f>IF(OR($B368="",MIN(AW$38,$D$19)&lt;MAX($P$34*($B368+IF($R$17="Distrato",$I$38-1,0)),IF(AND($L$37=0,$P$34=0),"",$L$37-1),IF($R$17="Distrato",$E368,0))),0,YEARFRAC(MAX($P$34*($B368+IF($R$17="Distrato",$I$38-1,0)),IF(AND($L$37=0,$P$34=0),"",$L$37-1),IF($R$17="Distrato",$E368,0)),MIN(AW$38,$D$19),$P$20))-SUM($P368:AV368)</f>
        <v>#VALUE!</v>
      </c>
      <c r="AX368" s="446" t="e">
        <f>IF(OR($B368="",MIN(AX$38,$D$19)&lt;MAX($P$34*($B368+IF($R$17="Distrato",$I$38-1,0)),IF(AND($L$37=0,$P$34=0),"",$L$37-1),IF($R$17="Distrato",$E368,0))),0,YEARFRAC(MAX($P$34*($B368+IF($R$17="Distrato",$I$38-1,0)),IF(AND($L$37=0,$P$34=0),"",$L$37-1),IF($R$17="Distrato",$E368,0)),MIN(AX$38,$D$19),$P$20))-SUM($P368:AW368)</f>
        <v>#VALUE!</v>
      </c>
      <c r="AY368" s="446" t="e">
        <f>IF(OR($B368="",MIN(AY$38,$D$19)&lt;MAX($P$34*($B368+IF($R$17="Distrato",$I$38-1,0)),IF(AND($L$37=0,$P$34=0),"",$L$37-1),IF($R$17="Distrato",$E368,0))),0,YEARFRAC(MAX($P$34*($B368+IF($R$17="Distrato",$I$38-1,0)),IF(AND($L$37=0,$P$34=0),"",$L$37-1),IF($R$17="Distrato",$E368,0)),MIN(AY$38,$D$19),$P$20))-SUM($P368:AX368)</f>
        <v>#VALUE!</v>
      </c>
      <c r="AZ368" s="446" t="e">
        <f>IF(OR($B368="",MIN(AZ$38,$D$19)&lt;MAX($P$34*($B368+IF($R$17="Distrato",$I$38-1,0)),IF(AND($L$37=0,$P$34=0),"",$L$37-1),IF($R$17="Distrato",$E368,0))),0,YEARFRAC(MAX($P$34*($B368+IF($R$17="Distrato",$I$38-1,0)),IF(AND($L$37=0,$P$34=0),"",$L$37-1),IF($R$17="Distrato",$E368,0)),MIN(AZ$38,$D$19),$P$20))-SUM($P368:AY368)</f>
        <v>#VALUE!</v>
      </c>
      <c r="BA368" s="446" t="e">
        <f>IF(OR($B368="",MIN(BA$38,$D$19)&lt;MAX($P$34*($B368+IF($R$17="Distrato",$I$38-1,0)),IF(AND($L$37=0,$P$34=0),"",$L$37-1),IF($R$17="Distrato",$E368,0))),0,YEARFRAC(MAX($P$34*($B368+IF($R$17="Distrato",$I$38-1,0)),IF(AND($L$37=0,$P$34=0),"",$L$37-1),IF($R$17="Distrato",$E368,0)),MIN(BA$38,$D$19),$P$20))-SUM($P368:AZ368)</f>
        <v>#VALUE!</v>
      </c>
      <c r="BB368" s="447"/>
      <c r="BF368" s="446">
        <f t="shared" si="65"/>
        <v>0</v>
      </c>
      <c r="BG368" s="446">
        <f>IF($E368=0,0,IF(MIN(BG$38,$E368)&lt;MAX($P$34*($B368+$I$38-1),IF(AND($L$37=0,$P$34=0),"",$L$37-1)),0,YEARFRAC(MAX($P$34*($B368+$I$38-1),IF(AND($L$37=0,$P$34=0),"",$L$37-1)),MIN(BG$38,$E368),$P$20))-SUM($BF368:BF368))</f>
        <v>0</v>
      </c>
      <c r="BH368" s="446">
        <f>IF($E368=0,0,IF(MIN(BH$38,$E368)&lt;MAX($P$34*($B368+$I$38-1),IF(AND($L$37=0,$P$34=0),"",$L$37-1)),0,YEARFRAC(MAX($P$34*($B368+$I$38-1),IF(AND($L$37=0,$P$34=0),"",$L$37-1)),MIN(BH$38,$E368),$P$20))-SUM($BF368:BG368))</f>
        <v>0</v>
      </c>
      <c r="BI368" s="446">
        <f>IF($E368=0,0,IF(MIN(BI$38,$E368)&lt;MAX($P$34*($B368+$I$38-1),IF(AND($L$37=0,$P$34=0),"",$L$37-1)),0,YEARFRAC(MAX($P$34*($B368+$I$38-1),IF(AND($L$37=0,$P$34=0),"",$L$37-1)),MIN(BI$38,$E368),$P$20))-SUM($BF368:BH368))</f>
        <v>0</v>
      </c>
      <c r="BJ368" s="446">
        <f>IF($E368=0,0,IF(MIN(BJ$38,$E368)&lt;MAX($P$34*($B368+$I$38-1),IF(AND($L$37=0,$P$34=0),"",$L$37-1)),0,YEARFRAC(MAX($P$34*($B368+$I$38-1),IF(AND($L$37=0,$P$34=0),"",$L$37-1)),MIN(BJ$38,$E368),$P$20))-SUM($BF368:BI368))</f>
        <v>0</v>
      </c>
      <c r="BK368" s="446">
        <f>IF($E368=0,0,IF(MIN(BK$38,$E368)&lt;MAX($P$34*($B368+$I$38-1),IF(AND($L$37=0,$P$34=0),"",$L$37-1)),0,YEARFRAC(MAX($P$34*($B368+$I$38-1),IF(AND($L$37=0,$P$34=0),"",$L$37-1)),MIN(BK$38,$E368),$P$20))-SUM($BF368:BJ368))</f>
        <v>0</v>
      </c>
      <c r="BL368" s="446">
        <f>IF($E368=0,0,IF(MIN(BL$38,$E368)&lt;MAX($P$34*($B368+$I$38-1),IF(AND($L$37=0,$P$34=0),"",$L$37-1)),0,YEARFRAC(MAX($P$34*($B368+$I$38-1),IF(AND($L$37=0,$P$34=0),"",$L$37-1)),MIN(BL$38,$E368),$P$20))-SUM($BF368:BK368))</f>
        <v>0</v>
      </c>
      <c r="BM368" s="446">
        <f>IF($E368=0,0,IF(MIN(BM$38,$E368)&lt;MAX($P$34*($B368+$I$38-1),IF(AND($L$37=0,$P$34=0),"",$L$37-1)),0,YEARFRAC(MAX($P$34*($B368+$I$38-1),IF(AND($L$37=0,$P$34=0),"",$L$37-1)),MIN(BM$38,$E368),$P$20))-SUM($BF368:BL368))</f>
        <v>0</v>
      </c>
      <c r="BN368" s="446">
        <f>IF($E368=0,0,IF(MIN(BN$38,$E368)&lt;MAX($P$34*($B368+$I$38-1),IF(AND($L$37=0,$P$34=0),"",$L$37-1)),0,YEARFRAC(MAX($P$34*($B368+$I$38-1),IF(AND($L$37=0,$P$34=0),"",$L$37-1)),MIN(BN$38,$E368),$P$20))-SUM($BF368:BM368))</f>
        <v>0</v>
      </c>
      <c r="BO368" s="446">
        <f>IF($E368=0,0,IF(MIN(BO$38,$E368)&lt;MAX($P$34*($B368+$I$38-1),IF(AND($L$37=0,$P$34=0),"",$L$37-1)),0,YEARFRAC(MAX($P$34*($B368+$I$38-1),IF(AND($L$37=0,$P$34=0),"",$L$37-1)),MIN(BO$38,$E368),$P$20))-SUM($BF368:BN368))</f>
        <v>0</v>
      </c>
      <c r="BP368" s="446">
        <f>IF($E368=0,0,IF(MIN(BP$38,$E368)&lt;MAX($P$34*($B368+$I$38-1),IF(AND($L$37=0,$P$34=0),"",$L$37-1)),0,YEARFRAC(MAX($P$34*($B368+$I$38-1),IF(AND($L$37=0,$P$34=0),"",$L$37-1)),MIN(BP$38,$E368),$P$20))-SUM($BF368:BO368))</f>
        <v>0</v>
      </c>
      <c r="BQ368" s="446">
        <f>IF($E368=0,0,IF(MIN(BQ$38,$E368)&lt;MAX($P$34*($B368+$I$38-1),IF(AND($L$37=0,$P$34=0),"",$L$37-1)),0,YEARFRAC(MAX($P$34*($B368+$I$38-1),IF(AND($L$37=0,$P$34=0),"",$L$37-1)),MIN(BQ$38,$E368),$P$20))-SUM($BF368:BP368))</f>
        <v>0</v>
      </c>
      <c r="BR368" s="446">
        <f>IF($E368=0,0,IF(MIN(BR$38,$E368)&lt;MAX($P$34*($B368+$I$38-1),IF(AND($L$37=0,$P$34=0),"",$L$37-1)),0,YEARFRAC(MAX($P$34*($B368+$I$38-1),IF(AND($L$37=0,$P$34=0),"",$L$37-1)),MIN(BR$38,$E368),$P$20))-SUM($BF368:BQ368))</f>
        <v>0</v>
      </c>
      <c r="BS368" s="446">
        <f>IF($E368=0,0,IF(MIN(BS$38,$E368)&lt;MAX($P$34*($B368+$I$38-1),IF(AND($L$37=0,$P$34=0),"",$L$37-1)),0,YEARFRAC(MAX($P$34*($B368+$I$38-1),IF(AND($L$37=0,$P$34=0),"",$L$37-1)),MIN(BS$38,$E368),$P$20))-SUM($BF368:BR368))</f>
        <v>0</v>
      </c>
      <c r="BT368" s="446">
        <f>IF($E368=0,0,IF(MIN(BT$38,$E368)&lt;MAX($P$34*($B368+$I$38-1),IF(AND($L$37=0,$P$34=0),"",$L$37-1)),0,YEARFRAC(MAX($P$34*($B368+$I$38-1),IF(AND($L$37=0,$P$34=0),"",$L$37-1)),MIN(BT$38,$E368),$P$20))-SUM($BF368:BS368))</f>
        <v>0</v>
      </c>
      <c r="BU368" s="446">
        <f>IF($E368=0,0,IF(MIN(BU$38,$E368)&lt;MAX($P$34*($B368+$I$38-1),IF(AND($L$37=0,$P$34=0),"",$L$37-1)),0,YEARFRAC(MAX($P$34*($B368+$I$38-1),IF(AND($L$37=0,$P$34=0),"",$L$37-1)),MIN(BU$38,$E368),$P$20))-SUM($BF368:BT368))</f>
        <v>0</v>
      </c>
      <c r="BV368" s="446">
        <f>IF($E368=0,0,IF(MIN(BV$38,$E368)&lt;MAX($P$34*($B368+$I$38-1),IF(AND($L$37=0,$P$34=0),"",$L$37-1)),0,YEARFRAC(MAX($P$34*($B368+$I$38-1),IF(AND($L$37=0,$P$34=0),"",$L$37-1)),MIN(BV$38,$E368),$P$20))-SUM($BF368:BU368))</f>
        <v>0</v>
      </c>
      <c r="BW368" s="446">
        <f>IF($E368=0,0,IF(MIN(BW$38,$E368)&lt;MAX($P$34*($B368+$I$38-1),IF(AND($L$37=0,$P$34=0),"",$L$37-1)),0,YEARFRAC(MAX($P$34*($B368+$I$38-1),IF(AND($L$37=0,$P$34=0),"",$L$37-1)),MIN(BW$38,$E368),$P$20))-SUM($BF368:BV368))</f>
        <v>0</v>
      </c>
      <c r="BX368" s="446">
        <f>IF($E368=0,0,IF(MIN(BX$38,$E368)&lt;MAX($P$34*($B368+$I$38-1),IF(AND($L$37=0,$P$34=0),"",$L$37-1)),0,YEARFRAC(MAX($P$34*($B368+$I$38-1),IF(AND($L$37=0,$P$34=0),"",$L$37-1)),MIN(BX$38,$E368),$P$20))-SUM($BF368:BW368))</f>
        <v>0</v>
      </c>
      <c r="BY368" s="446">
        <f>IF($E368=0,0,IF(MIN(BY$38,$E368)&lt;MAX($P$34*($B368+$I$38-1),IF(AND($L$37=0,$P$34=0),"",$L$37-1)),0,YEARFRAC(MAX($P$34*($B368+$I$38-1),IF(AND($L$37=0,$P$34=0),"",$L$37-1)),MIN(BY$38,$E368),$P$20))-SUM($BF368:BX368))</f>
        <v>0</v>
      </c>
      <c r="BZ368" s="446">
        <f>IF($E368=0,0,IF(MIN(BZ$38,$E368)&lt;MAX($P$34*($B368+$I$38-1),IF(AND($L$37=0,$P$34=0),"",$L$37-1)),0,YEARFRAC(MAX($P$34*($B368+$I$38-1),IF(AND($L$37=0,$P$34=0),"",$L$37-1)),MIN(BZ$38,$E368),$P$20))-SUM($BF368:BY368))</f>
        <v>0</v>
      </c>
      <c r="CA368" s="446">
        <f>IF($E368=0,0,IF(MIN(CA$38,$E368)&lt;MAX($P$34*($B368+$I$38-1),IF(AND($L$37=0,$P$34=0),"",$L$37-1)),0,YEARFRAC(MAX($P$34*($B368+$I$38-1),IF(AND($L$37=0,$P$34=0),"",$L$37-1)),MIN(CA$38,$E368),$P$20))-SUM($BF368:BZ368))</f>
        <v>0</v>
      </c>
      <c r="CB368" s="446">
        <f>IF($E368=0,0,IF(MIN(CB$38,$E368)&lt;MAX($P$34*($B368+$I$38-1),IF(AND($L$37=0,$P$34=0),"",$L$37-1)),0,YEARFRAC(MAX($P$34*($B368+$I$38-1),IF(AND($L$37=0,$P$34=0),"",$L$37-1)),MIN(CB$38,$E368),$P$20))-SUM($BF368:CA368))</f>
        <v>0</v>
      </c>
      <c r="CC368" s="446">
        <f>IF($E368=0,0,IF(MIN(CC$38,$E368)&lt;MAX($P$34*($B368+$I$38-1),IF(AND($L$37=0,$P$34=0),"",$L$37-1)),0,YEARFRAC(MAX($P$34*($B368+$I$38-1),IF(AND($L$37=0,$P$34=0),"",$L$37-1)),MIN(CC$38,$E368),$P$20))-SUM($BF368:CB368))</f>
        <v>0</v>
      </c>
      <c r="CD368" s="446">
        <f>IF($E368=0,0,IF(MIN(CD$38,$E368)&lt;MAX($P$34*($B368+$I$38-1),IF(AND($L$37=0,$P$34=0),"",$L$37-1)),0,YEARFRAC(MAX($P$34*($B368+$I$38-1),IF(AND($L$37=0,$P$34=0),"",$L$37-1)),MIN(CD$38,$E368),$P$20))-SUM($BF368:CC368))</f>
        <v>0</v>
      </c>
      <c r="CE368" s="446">
        <f>IF($E368=0,0,IF(MIN(CE$38,$E368)&lt;MAX($P$34*($B368+$I$38-1),IF(AND($L$37=0,$P$34=0),"",$L$37-1)),0,YEARFRAC(MAX($P$34*($B368+$I$38-1),IF(AND($L$37=0,$P$34=0),"",$L$37-1)),MIN(CE$38,$E368),$P$20))-SUM($BF368:CD368))</f>
        <v>0</v>
      </c>
      <c r="CF368" s="446">
        <f>IF($E368=0,0,IF(MIN(CF$38,$E368)&lt;MAX($P$34*($B368+$I$38-1),IF(AND($L$37=0,$P$34=0),"",$L$37-1)),0,YEARFRAC(MAX($P$34*($B368+$I$38-1),IF(AND($L$37=0,$P$34=0),"",$L$37-1)),MIN(CF$38,$E368),$P$20))-SUM($BF368:CE368))</f>
        <v>0</v>
      </c>
      <c r="CG368" s="446">
        <f>IF($E368=0,0,IF(MIN(CG$38,$E368)&lt;MAX($P$34*($B368+$I$38-1),IF(AND($L$37=0,$P$34=0),"",$L$37-1)),0,YEARFRAC(MAX($P$34*($B368+$I$38-1),IF(AND($L$37=0,$P$34=0),"",$L$37-1)),MIN(CG$38,$E368),$P$20))-SUM($BF368:CF368))</f>
        <v>0</v>
      </c>
      <c r="CH368" s="446">
        <f>IF($E368=0,0,IF(MIN(CH$38,$E368)&lt;MAX($P$34*($B368+$I$38-1),IF(AND($L$37=0,$P$34=0),"",$L$37-1)),0,YEARFRAC(MAX($P$34*($B368+$I$38-1),IF(AND($L$37=0,$P$34=0),"",$L$37-1)),MIN(CH$38,$E368),$P$20))-SUM($BF368:CG368))</f>
        <v>0</v>
      </c>
      <c r="CI368" s="446">
        <f>IF($E368=0,0,IF(MIN(CI$38,$E368)&lt;MAX($P$34*($B368+$I$38-1),IF(AND($L$37=0,$P$34=0),"",$L$37-1)),0,YEARFRAC(MAX($P$34*($B368+$I$38-1),IF(AND($L$37=0,$P$34=0),"",$L$37-1)),MIN(CI$38,$E368),$P$20))-SUM($BF368:CH368))</f>
        <v>0</v>
      </c>
      <c r="CJ368" s="446">
        <f>IF($E368=0,0,IF(MIN(CJ$38,$E368)&lt;MAX($P$34*($B368+$I$38-1),IF(AND($L$37=0,$P$34=0),"",$L$37-1)),0,YEARFRAC(MAX($P$34*($B368+$I$38-1),IF(AND($L$37=0,$P$34=0),"",$L$37-1)),MIN(CJ$38,$E368),$P$20))-SUM($BF368:CI368))</f>
        <v>0</v>
      </c>
      <c r="CK368" s="446">
        <f>IF($E368=0,0,IF(MIN(CK$38,$E368)&lt;MAX($P$34*($B368+$I$38-1),IF(AND($L$37=0,$P$34=0),"",$L$37-1)),0,YEARFRAC(MAX($P$34*($B368+$I$38-1),IF(AND($L$37=0,$P$34=0),"",$L$37-1)),MIN(CK$38,$E368),$P$20))-SUM($BF368:CJ368))</f>
        <v>0</v>
      </c>
      <c r="CL368" s="446">
        <f>IF($E368=0,0,IF(MIN(CL$38,$E368)&lt;MAX($P$34*($B368+$I$38-1),IF(AND($L$37=0,$P$34=0),"",$L$37-1)),0,YEARFRAC(MAX($P$34*($B368+$I$38-1),IF(AND($L$37=0,$P$34=0),"",$L$37-1)),MIN(CL$38,$E368),$P$20))-SUM($BF368:CK368))</f>
        <v>0</v>
      </c>
      <c r="CM368" s="446">
        <f>IF($E368=0,0,IF(MIN(CM$38,$E368)&lt;MAX($P$34*($B368+$I$38-1),IF(AND($L$37=0,$P$34=0),"",$L$37-1)),0,YEARFRAC(MAX($P$34*($B368+$I$38-1),IF(AND($L$37=0,$P$34=0),"",$L$37-1)),MIN(CM$38,$E368),$P$20))-SUM($BF368:CL368))</f>
        <v>0</v>
      </c>
      <c r="CN368" s="446">
        <f>IF($E368=0,0,IF(MIN(CN$38,$E368)&lt;MAX($P$34*($B368+$I$38-1),IF(AND($L$37=0,$P$34=0),"",$L$37-1)),0,YEARFRAC(MAX($P$34*($B368+$I$38-1),IF(AND($L$37=0,$P$34=0),"",$L$37-1)),MIN(CN$38,$E368),$P$20))-SUM($BF368:CM368))</f>
        <v>0</v>
      </c>
      <c r="CO368" s="446">
        <f>IF($E368=0,0,IF(MIN(CO$38,$E368)&lt;MAX($P$34*($B368+$I$38-1),IF(AND($L$37=0,$P$34=0),"",$L$37-1)),0,YEARFRAC(MAX($P$34*($B368+$I$38-1),IF(AND($L$37=0,$P$34=0),"",$L$37-1)),MIN(CO$38,$E368),$P$20))-SUM($BF368:CN368))</f>
        <v>0</v>
      </c>
      <c r="CP368" s="446">
        <f>IF($E368=0,0,IF(MIN(CP$38,$E368)&lt;MAX($P$34*($B368+$I$38-1),IF(AND($L$37=0,$P$34=0),"",$L$37-1)),0,YEARFRAC(MAX($P$34*($B368+$I$38-1),IF(AND($L$37=0,$P$34=0),"",$L$37-1)),MIN(CP$38,$E368),$P$20))-SUM($BF368:CO368))</f>
        <v>0</v>
      </c>
      <c r="CQ368" s="446">
        <f>IF($E368=0,0,IF(MIN(CQ$38,$E368)&lt;MAX($P$34*($B368+$I$38-1),IF(AND($L$37=0,$P$34=0),"",$L$37-1)),0,YEARFRAC(MAX($P$34*($B368+$I$38-1),IF(AND($L$37=0,$P$34=0),"",$L$37-1)),MIN(CQ$38,$E368),$P$20))-SUM($BF368:CP368))</f>
        <v>0</v>
      </c>
    </row>
    <row r="369" spans="1:95" s="446" customFormat="1" ht="11.25" hidden="1" customHeight="1" x14ac:dyDescent="0.2">
      <c r="A369" s="152"/>
      <c r="B369" s="153" t="str">
        <f t="shared" si="70"/>
        <v/>
      </c>
      <c r="C369" s="29" t="str">
        <f>IF(B369="","",IF($L$35="SELIC - TRIBUTOS",VLOOKUP(DATE(YEAR($D$19),MONTH($D$19)-1,1),ÍNDICES!$A:$DE,HLOOKUP($BL$25,ÍNDICES!$B$3:$T$4,2)+11)-VLOOKUP(B369,ÍNDICES!$A:$DE,HLOOKUP($BL$25,ÍNDICES!$B$3:$T$4,2)+11)+1%,IF(C$38=$W$26,$J$35,IF(ISERROR(IF(B369&gt;$D$19,1,VLOOKUP(DATE(YEAR(B369),MONTH(B369)+IF($C$35=$S$23,1,0),1),ÍNDICES!$A:$DE,$Z$35+1))),"",IF(B369&gt;$D$19,1,VLOOKUP(DATE(YEAR(B369),MONTH(B369)+IF($C$35=$S$23,1,0),1),ÍNDICES!$A:$DE,$Z$35+1))))))</f>
        <v/>
      </c>
      <c r="D369" s="154" t="str">
        <f>IF(ISERROR(IF(OR($D$38=$Y$27,$B369=""),"",VLOOKUP(B369,ÍNDICES!A:DE,AF$35+1))),"",IF(OR($D$38=$Y$27,$B369=""),"",VLOOKUP(B369,ÍNDICES!A:DE,AF$35+1)))</f>
        <v/>
      </c>
      <c r="E369" s="153"/>
      <c r="F369" s="29" t="str">
        <f>IF(E369="","",IF($L$35="SELIC - TRIBUTOS",VLOOKUP(DATE(YEAR($D$19),MONTH($D$19)-1,1),ÍNDICES!$A:$DE,HLOOKUP($BL$25,ÍNDICES!$B$3:$T$4,2)+11)-VLOOKUP(E369,ÍNDICES!$A:$DE,HLOOKUP($BL$25,ÍNDICES!$B$3:$T$4,2)+11)+1%,IF(F$38=$W$26,$J$35,IF(ISERROR(IF(E369&gt;$D$19,1,VLOOKUP(DATE(YEAR(E369),MONTH(E369)+IF($C$35=$S$23,1,0),1),ÍNDICES!$A:$DE,$Z$35+1))),"",IF(E369&gt;$D$19,1,VLOOKUP(DATE(YEAR(E369),MONTH(E369)+IF($C$35=$S$23,1,0),1),ÍNDICES!$A:$DE,$Z$35+1))))))</f>
        <v/>
      </c>
      <c r="G369" s="155"/>
      <c r="H369" s="156" t="str">
        <f t="shared" si="66"/>
        <v/>
      </c>
      <c r="I369" s="29" t="str">
        <f t="shared" si="60"/>
        <v/>
      </c>
      <c r="J369" s="5">
        <f t="shared" si="61"/>
        <v>0</v>
      </c>
      <c r="K369" s="20">
        <f t="shared" ca="1" si="62"/>
        <v>0</v>
      </c>
      <c r="L369" s="5">
        <f t="shared" ca="1" si="63"/>
        <v>0</v>
      </c>
      <c r="M369" s="64">
        <f t="shared" si="67"/>
        <v>0</v>
      </c>
      <c r="N369" s="61">
        <f t="shared" ca="1" si="68"/>
        <v>0</v>
      </c>
      <c r="O369" s="5">
        <f t="shared" ca="1" si="69"/>
        <v>0</v>
      </c>
      <c r="P369" s="446" t="e">
        <f t="shared" si="64"/>
        <v>#VALUE!</v>
      </c>
      <c r="Q369" s="446" t="e">
        <f>IF(OR($B369="",MIN(Q$38,$D$19)&lt;MAX($P$34*($B369+IF($R$17="Distrato",$I$38-1,0)),IF(AND($L$37=0,$P$34=0),"",$L$37-1),IF($R$17="Distrato",$E369,0))),0,YEARFRAC(MAX($P$34*($B369+IF($R$17="Distrato",$I$38-1,0)),IF(AND($L$37=0,$P$34=0),"",$L$37-1),IF($R$17="Distrato",$E369,0)),MIN(Q$38,$D$19),$P$20))-SUM($P369:P369)</f>
        <v>#VALUE!</v>
      </c>
      <c r="R369" s="446" t="e">
        <f>IF(OR($B369="",MIN(R$38,$D$19)&lt;MAX($P$34*($B369+IF($R$17="Distrato",$I$38-1,0)),IF(AND($L$37=0,$P$34=0),"",$L$37-1),IF($R$17="Distrato",$E369,0))),0,YEARFRAC(MAX($P$34*($B369+IF($R$17="Distrato",$I$38-1,0)),IF(AND($L$37=0,$P$34=0),"",$L$37-1),IF($R$17="Distrato",$E369,0)),MIN(R$38,$D$19),$P$20))-SUM($P369:Q369)</f>
        <v>#VALUE!</v>
      </c>
      <c r="S369" s="446" t="e">
        <f>IF(OR($B369="",MIN(S$38,$D$19)&lt;MAX($P$34*($B369+IF($R$17="Distrato",$I$38-1,0)),IF(AND($L$37=0,$P$34=0),"",$L$37-1),IF($R$17="Distrato",$E369,0))),0,YEARFRAC(MAX($P$34*($B369+IF($R$17="Distrato",$I$38-1,0)),IF(AND($L$37=0,$P$34=0),"",$L$37-1),IF($R$17="Distrato",$E369,0)),MIN(S$38,$D$19),$P$20))-SUM($P369:R369)</f>
        <v>#VALUE!</v>
      </c>
      <c r="T369" s="446" t="e">
        <f>IF(OR($B369="",MIN(T$38,$D$19)&lt;MAX($P$34*($B369+IF($R$17="Distrato",$I$38-1,0)),IF(AND($L$37=0,$P$34=0),"",$L$37-1),IF($R$17="Distrato",$E369,0))),0,YEARFRAC(MAX($P$34*($B369+IF($R$17="Distrato",$I$38-1,0)),IF(AND($L$37=0,$P$34=0),"",$L$37-1),IF($R$17="Distrato",$E369,0)),MIN(T$38,$D$19),$P$20))-SUM($P369:S369)</f>
        <v>#VALUE!</v>
      </c>
      <c r="U369" s="446" t="e">
        <f>IF(OR($B369="",MIN(U$38,$D$19)&lt;MAX($P$34*($B369+IF($R$17="Distrato",$I$38-1,0)),IF(AND($L$37=0,$P$34=0),"",$L$37-1),IF($R$17="Distrato",$E369,0))),0,YEARFRAC(MAX($P$34*($B369+IF($R$17="Distrato",$I$38-1,0)),IF(AND($L$37=0,$P$34=0),"",$L$37-1),IF($R$17="Distrato",$E369,0)),MIN(U$38,$D$19),$P$20))-SUM($P369:T369)</f>
        <v>#VALUE!</v>
      </c>
      <c r="V369" s="446" t="e">
        <f>IF(OR($B369="",MIN(V$38,$D$19)&lt;MAX($P$34*($B369+IF($R$17="Distrato",$I$38-1,0)),IF(AND($L$37=0,$P$34=0),"",$L$37-1),IF($R$17="Distrato",$E369,0))),0,YEARFRAC(MAX($P$34*($B369+IF($R$17="Distrato",$I$38-1,0)),IF(AND($L$37=0,$P$34=0),"",$L$37-1),IF($R$17="Distrato",$E369,0)),MIN(V$38,$D$19),$P$20))-SUM($P369:U369)</f>
        <v>#VALUE!</v>
      </c>
      <c r="W369" s="446" t="e">
        <f>IF(OR($B369="",MIN(W$38,$D$19)&lt;MAX($P$34*($B369+IF($R$17="Distrato",$I$38-1,0)),IF(AND($L$37=0,$P$34=0),"",$L$37-1),IF($R$17="Distrato",$E369,0))),0,YEARFRAC(MAX($P$34*($B369+IF($R$17="Distrato",$I$38-1,0)),IF(AND($L$37=0,$P$34=0),"",$L$37-1),IF($R$17="Distrato",$E369,0)),MIN(W$38,$D$19),$P$20))-SUM($P369:V369)</f>
        <v>#VALUE!</v>
      </c>
      <c r="X369" s="446" t="e">
        <f>IF(OR($B369="",MIN(X$38,$D$19)&lt;MAX($P$34*($B369+IF($R$17="Distrato",$I$38-1,0)),IF(AND($L$37=0,$P$34=0),"",$L$37-1),IF($R$17="Distrato",$E369,0))),0,YEARFRAC(MAX($P$34*($B369+IF($R$17="Distrato",$I$38-1,0)),IF(AND($L$37=0,$P$34=0),"",$L$37-1),IF($R$17="Distrato",$E369,0)),MIN(X$38,$D$19),$P$20))-SUM($P369:W369)</f>
        <v>#VALUE!</v>
      </c>
      <c r="Y369" s="446" t="e">
        <f>IF(OR($B369="",MIN(Y$38,$D$19)&lt;MAX($P$34*($B369+IF($R$17="Distrato",$I$38-1,0)),IF(AND($L$37=0,$P$34=0),"",$L$37-1),IF($R$17="Distrato",$E369,0))),0,YEARFRAC(MAX($P$34*($B369+IF($R$17="Distrato",$I$38-1,0)),IF(AND($L$37=0,$P$34=0),"",$L$37-1),IF($R$17="Distrato",$E369,0)),MIN(Y$38,$D$19),$P$20))-SUM($P369:X369)</f>
        <v>#VALUE!</v>
      </c>
      <c r="Z369" s="446" t="e">
        <f>IF(OR($B369="",MIN(Z$38,$D$19)&lt;MAX($P$34*($B369+IF($R$17="Distrato",$I$38-1,0)),IF(AND($L$37=0,$P$34=0),"",$L$37-1),IF($R$17="Distrato",$E369,0))),0,YEARFRAC(MAX($P$34*($B369+IF($R$17="Distrato",$I$38-1,0)),IF(AND($L$37=0,$P$34=0),"",$L$37-1),IF($R$17="Distrato",$E369,0)),MIN(Z$38,$D$19),$P$20))-SUM($P369:Y369)</f>
        <v>#VALUE!</v>
      </c>
      <c r="AA369" s="446" t="e">
        <f>IF(OR($B369="",MIN(AA$38,$D$19)&lt;MAX($P$34*($B369+IF($R$17="Distrato",$I$38-1,0)),IF(AND($L$37=0,$P$34=0),"",$L$37-1),IF($R$17="Distrato",$E369,0))),0,YEARFRAC(MAX($P$34*($B369+IF($R$17="Distrato",$I$38-1,0)),IF(AND($L$37=0,$P$34=0),"",$L$37-1),IF($R$17="Distrato",$E369,0)),MIN(AA$38,$D$19),$P$20))-SUM($P369:Z369)</f>
        <v>#VALUE!</v>
      </c>
      <c r="AB369" s="446" t="e">
        <f>IF(OR($B369="",MIN(AB$38,$D$19)&lt;MAX($P$34*($B369+IF($R$17="Distrato",$I$38-1,0)),IF(AND($L$37=0,$P$34=0),"",$L$37-1),IF($R$17="Distrato",$E369,0))),0,YEARFRAC(MAX($P$34*($B369+IF($R$17="Distrato",$I$38-1,0)),IF(AND($L$37=0,$P$34=0),"",$L$37-1),IF($R$17="Distrato",$E369,0)),MIN(AB$38,$D$19),$P$20))-SUM($P369:AA369)</f>
        <v>#VALUE!</v>
      </c>
      <c r="AC369" s="446" t="e">
        <f>IF(OR($B369="",MIN(AC$38,$D$19)&lt;MAX($P$34*($B369+IF($R$17="Distrato",$I$38-1,0)),IF(AND($L$37=0,$P$34=0),"",$L$37-1),IF($R$17="Distrato",$E369,0))),0,YEARFRAC(MAX($P$34*($B369+IF($R$17="Distrato",$I$38-1,0)),IF(AND($L$37=0,$P$34=0),"",$L$37-1),IF($R$17="Distrato",$E369,0)),MIN(AC$38,$D$19),$P$20))-SUM($P369:AB369)</f>
        <v>#VALUE!</v>
      </c>
      <c r="AD369" s="446" t="e">
        <f>IF(OR($B369="",MIN(AD$38,$D$19)&lt;MAX($P$34*($B369+IF($R$17="Distrato",$I$38-1,0)),IF(AND($L$37=0,$P$34=0),"",$L$37-1),IF($R$17="Distrato",$E369,0))),0,YEARFRAC(MAX($P$34*($B369+IF($R$17="Distrato",$I$38-1,0)),IF(AND($L$37=0,$P$34=0),"",$L$37-1),IF($R$17="Distrato",$E369,0)),MIN(AD$38,$D$19),$P$20))-SUM($P369:AC369)</f>
        <v>#VALUE!</v>
      </c>
      <c r="AE369" s="446" t="e">
        <f>IF(OR($B369="",MIN(AE$38,$D$19)&lt;MAX($P$34*($B369+IF($R$17="Distrato",$I$38-1,0)),IF(AND($L$37=0,$P$34=0),"",$L$37-1),IF($R$17="Distrato",$E369,0))),0,YEARFRAC(MAX($P$34*($B369+IF($R$17="Distrato",$I$38-1,0)),IF(AND($L$37=0,$P$34=0),"",$L$37-1),IF($R$17="Distrato",$E369,0)),MIN(AE$38,$D$19),$P$20))-SUM($P369:AD369)</f>
        <v>#VALUE!</v>
      </c>
      <c r="AF369" s="446" t="e">
        <f>IF(OR($B369="",MIN(AF$38,$D$19)&lt;MAX($P$34*($B369+IF($R$17="Distrato",$I$38-1,0)),IF(AND($L$37=0,$P$34=0),"",$L$37-1),IF($R$17="Distrato",$E369,0))),0,YEARFRAC(MAX($P$34*($B369+IF($R$17="Distrato",$I$38-1,0)),IF(AND($L$37=0,$P$34=0),"",$L$37-1),IF($R$17="Distrato",$E369,0)),MIN(AF$38,$D$19),$P$20))-SUM($P369:AE369)</f>
        <v>#VALUE!</v>
      </c>
      <c r="AG369" s="446" t="e">
        <f>IF(OR($B369="",MIN(AG$38,$D$19)&lt;MAX($P$34*($B369+IF($R$17="Distrato",$I$38-1,0)),IF(AND($L$37=0,$P$34=0),"",$L$37-1),IF($R$17="Distrato",$E369,0))),0,YEARFRAC(MAX($P$34*($B369+IF($R$17="Distrato",$I$38-1,0)),IF(AND($L$37=0,$P$34=0),"",$L$37-1),IF($R$17="Distrato",$E369,0)),MIN(AG$38,$D$19),$P$20))-SUM($P369:AF369)</f>
        <v>#VALUE!</v>
      </c>
      <c r="AH369" s="446" t="e">
        <f>IF(OR($B369="",MIN(AH$38,$D$19)&lt;MAX($P$34*($B369+IF($R$17="Distrato",$I$38-1,0)),IF(AND($L$37=0,$P$34=0),"",$L$37-1),IF($R$17="Distrato",$E369,0))),0,YEARFRAC(MAX($P$34*($B369+IF($R$17="Distrato",$I$38-1,0)),IF(AND($L$37=0,$P$34=0),"",$L$37-1),IF($R$17="Distrato",$E369,0)),MIN(AH$38,$D$19),$P$20))-SUM($P369:AG369)</f>
        <v>#VALUE!</v>
      </c>
      <c r="AI369" s="446" t="e">
        <f>IF(OR($B369="",MIN(AI$38,$D$19)&lt;MAX($P$34*($B369+IF($R$17="Distrato",$I$38-1,0)),IF(AND($L$37=0,$P$34=0),"",$L$37-1),IF($R$17="Distrato",$E369,0))),0,YEARFRAC(MAX($P$34*($B369+IF($R$17="Distrato",$I$38-1,0)),IF(AND($L$37=0,$P$34=0),"",$L$37-1),IF($R$17="Distrato",$E369,0)),MIN(AI$38,$D$19),$P$20))-SUM($P369:AH369)</f>
        <v>#VALUE!</v>
      </c>
      <c r="AJ369" s="446" t="e">
        <f>IF(OR($B369="",MIN(AJ$38,$D$19)&lt;MAX($P$34*($B369+IF($R$17="Distrato",$I$38-1,0)),IF(AND($L$37=0,$P$34=0),"",$L$37-1),IF($R$17="Distrato",$E369,0))),0,YEARFRAC(MAX($P$34*($B369+IF($R$17="Distrato",$I$38-1,0)),IF(AND($L$37=0,$P$34=0),"",$L$37-1),IF($R$17="Distrato",$E369,0)),MIN(AJ$38,$D$19),$P$20))-SUM($P369:AI369)</f>
        <v>#VALUE!</v>
      </c>
      <c r="AK369" s="446" t="e">
        <f>IF(OR($B369="",MIN(AK$38,$D$19)&lt;MAX($P$34*($B369+IF($R$17="Distrato",$I$38-1,0)),IF(AND($L$37=0,$P$34=0),"",$L$37-1),IF($R$17="Distrato",$E369,0))),0,YEARFRAC(MAX($P$34*($B369+IF($R$17="Distrato",$I$38-1,0)),IF(AND($L$37=0,$P$34=0),"",$L$37-1),IF($R$17="Distrato",$E369,0)),MIN(AK$38,$D$19),$P$20))-SUM($P369:AJ369)</f>
        <v>#VALUE!</v>
      </c>
      <c r="AL369" s="446" t="e">
        <f>IF(OR($B369="",MIN(AL$38,$D$19)&lt;MAX($P$34*($B369+IF($R$17="Distrato",$I$38-1,0)),IF(AND($L$37=0,$P$34=0),"",$L$37-1),IF($R$17="Distrato",$E369,0))),0,YEARFRAC(MAX($P$34*($B369+IF($R$17="Distrato",$I$38-1,0)),IF(AND($L$37=0,$P$34=0),"",$L$37-1),IF($R$17="Distrato",$E369,0)),MIN(AL$38,$D$19),$P$20))-SUM($P369:AK369)</f>
        <v>#VALUE!</v>
      </c>
      <c r="AM369" s="446" t="e">
        <f>IF(OR($B369="",MIN(AM$38,$D$19)&lt;MAX($P$34*($B369+IF($R$17="Distrato",$I$38-1,0)),IF(AND($L$37=0,$P$34=0),"",$L$37-1),IF($R$17="Distrato",$E369,0))),0,YEARFRAC(MAX($P$34*($B369+IF($R$17="Distrato",$I$38-1,0)),IF(AND($L$37=0,$P$34=0),"",$L$37-1),IF($R$17="Distrato",$E369,0)),MIN(AM$38,$D$19),$P$20))-SUM($P369:AL369)</f>
        <v>#VALUE!</v>
      </c>
      <c r="AN369" s="446" t="e">
        <f>IF(OR($B369="",MIN(AN$38,$D$19)&lt;MAX($P$34*($B369+IF($R$17="Distrato",$I$38-1,0)),IF(AND($L$37=0,$P$34=0),"",$L$37-1),IF($R$17="Distrato",$E369,0))),0,YEARFRAC(MAX($P$34*($B369+IF($R$17="Distrato",$I$38-1,0)),IF(AND($L$37=0,$P$34=0),"",$L$37-1),IF($R$17="Distrato",$E369,0)),MIN(AN$38,$D$19),$P$20))-SUM($P369:AM369)</f>
        <v>#VALUE!</v>
      </c>
      <c r="AO369" s="446" t="e">
        <f>IF(OR($B369="",MIN(AO$38,$D$19)&lt;MAX($P$34*($B369+IF($R$17="Distrato",$I$38-1,0)),IF(AND($L$37=0,$P$34=0),"",$L$37-1),IF($R$17="Distrato",$E369,0))),0,YEARFRAC(MAX($P$34*($B369+IF($R$17="Distrato",$I$38-1,0)),IF(AND($L$37=0,$P$34=0),"",$L$37-1),IF($R$17="Distrato",$E369,0)),MIN(AO$38,$D$19),$P$20))-SUM($P369:AN369)</f>
        <v>#VALUE!</v>
      </c>
      <c r="AP369" s="446" t="e">
        <f>IF(OR($B369="",MIN(AP$38,$D$19)&lt;MAX($P$34*($B369+IF($R$17="Distrato",$I$38-1,0)),IF(AND($L$37=0,$P$34=0),"",$L$37-1),IF($R$17="Distrato",$E369,0))),0,YEARFRAC(MAX($P$34*($B369+IF($R$17="Distrato",$I$38-1,0)),IF(AND($L$37=0,$P$34=0),"",$L$37-1),IF($R$17="Distrato",$E369,0)),MIN(AP$38,$D$19),$P$20))-SUM($P369:AO369)</f>
        <v>#VALUE!</v>
      </c>
      <c r="AQ369" s="446" t="e">
        <f>IF(OR($B369="",MIN(AQ$38,$D$19)&lt;MAX($P$34*($B369+IF($R$17="Distrato",$I$38-1,0)),IF(AND($L$37=0,$P$34=0),"",$L$37-1),IF($R$17="Distrato",$E369,0))),0,YEARFRAC(MAX($P$34*($B369+IF($R$17="Distrato",$I$38-1,0)),IF(AND($L$37=0,$P$34=0),"",$L$37-1),IF($R$17="Distrato",$E369,0)),MIN(AQ$38,$D$19),$P$20))-SUM($P369:AP369)</f>
        <v>#VALUE!</v>
      </c>
      <c r="AR369" s="446" t="e">
        <f>IF(OR($B369="",MIN(AR$38,$D$19)&lt;MAX($P$34*($B369+IF($R$17="Distrato",$I$38-1,0)),IF(AND($L$37=0,$P$34=0),"",$L$37-1),IF($R$17="Distrato",$E369,0))),0,YEARFRAC(MAX($P$34*($B369+IF($R$17="Distrato",$I$38-1,0)),IF(AND($L$37=0,$P$34=0),"",$L$37-1),IF($R$17="Distrato",$E369,0)),MIN(AR$38,$D$19),$P$20))-SUM($P369:AQ369)</f>
        <v>#VALUE!</v>
      </c>
      <c r="AS369" s="446" t="e">
        <f>IF(OR($B369="",MIN(AS$38,$D$19)&lt;MAX($P$34*($B369+IF($R$17="Distrato",$I$38-1,0)),IF(AND($L$37=0,$P$34=0),"",$L$37-1),IF($R$17="Distrato",$E369,0))),0,YEARFRAC(MAX($P$34*($B369+IF($R$17="Distrato",$I$38-1,0)),IF(AND($L$37=0,$P$34=0),"",$L$37-1),IF($R$17="Distrato",$E369,0)),MIN(AS$38,$D$19),$P$20))-SUM($P369:AR369)</f>
        <v>#VALUE!</v>
      </c>
      <c r="AT369" s="446" t="e">
        <f>IF(OR($B369="",MIN(AT$38,$D$19)&lt;MAX($P$34*($B369+IF($R$17="Distrato",$I$38-1,0)),IF(AND($L$37=0,$P$34=0),"",$L$37-1),IF($R$17="Distrato",$E369,0))),0,YEARFRAC(MAX($P$34*($B369+IF($R$17="Distrato",$I$38-1,0)),IF(AND($L$37=0,$P$34=0),"",$L$37-1),IF($R$17="Distrato",$E369,0)),MIN(AT$38,$D$19),$P$20))-SUM($P369:AS369)</f>
        <v>#VALUE!</v>
      </c>
      <c r="AU369" s="446" t="e">
        <f>IF(OR($B369="",MIN(AU$38,$D$19)&lt;MAX($P$34*($B369+IF($R$17="Distrato",$I$38-1,0)),IF(AND($L$37=0,$P$34=0),"",$L$37-1),IF($R$17="Distrato",$E369,0))),0,YEARFRAC(MAX($P$34*($B369+IF($R$17="Distrato",$I$38-1,0)),IF(AND($L$37=0,$P$34=0),"",$L$37-1),IF($R$17="Distrato",$E369,0)),MIN(AU$38,$D$19),$P$20))-SUM($P369:AT369)</f>
        <v>#VALUE!</v>
      </c>
      <c r="AV369" s="446" t="e">
        <f>IF(OR($B369="",MIN(AV$38,$D$19)&lt;MAX($P$34*($B369+IF($R$17="Distrato",$I$38-1,0)),IF(AND($L$37=0,$P$34=0),"",$L$37-1),IF($R$17="Distrato",$E369,0))),0,YEARFRAC(MAX($P$34*($B369+IF($R$17="Distrato",$I$38-1,0)),IF(AND($L$37=0,$P$34=0),"",$L$37-1),IF($R$17="Distrato",$E369,0)),MIN(AV$38,$D$19),$P$20))-SUM($P369:AU369)</f>
        <v>#VALUE!</v>
      </c>
      <c r="AW369" s="446" t="e">
        <f>IF(OR($B369="",MIN(AW$38,$D$19)&lt;MAX($P$34*($B369+IF($R$17="Distrato",$I$38-1,0)),IF(AND($L$37=0,$P$34=0),"",$L$37-1),IF($R$17="Distrato",$E369,0))),0,YEARFRAC(MAX($P$34*($B369+IF($R$17="Distrato",$I$38-1,0)),IF(AND($L$37=0,$P$34=0),"",$L$37-1),IF($R$17="Distrato",$E369,0)),MIN(AW$38,$D$19),$P$20))-SUM($P369:AV369)</f>
        <v>#VALUE!</v>
      </c>
      <c r="AX369" s="446" t="e">
        <f>IF(OR($B369="",MIN(AX$38,$D$19)&lt;MAX($P$34*($B369+IF($R$17="Distrato",$I$38-1,0)),IF(AND($L$37=0,$P$34=0),"",$L$37-1),IF($R$17="Distrato",$E369,0))),0,YEARFRAC(MAX($P$34*($B369+IF($R$17="Distrato",$I$38-1,0)),IF(AND($L$37=0,$P$34=0),"",$L$37-1),IF($R$17="Distrato",$E369,0)),MIN(AX$38,$D$19),$P$20))-SUM($P369:AW369)</f>
        <v>#VALUE!</v>
      </c>
      <c r="AY369" s="446" t="e">
        <f>IF(OR($B369="",MIN(AY$38,$D$19)&lt;MAX($P$34*($B369+IF($R$17="Distrato",$I$38-1,0)),IF(AND($L$37=0,$P$34=0),"",$L$37-1),IF($R$17="Distrato",$E369,0))),0,YEARFRAC(MAX($P$34*($B369+IF($R$17="Distrato",$I$38-1,0)),IF(AND($L$37=0,$P$34=0),"",$L$37-1),IF($R$17="Distrato",$E369,0)),MIN(AY$38,$D$19),$P$20))-SUM($P369:AX369)</f>
        <v>#VALUE!</v>
      </c>
      <c r="AZ369" s="446" t="e">
        <f>IF(OR($B369="",MIN(AZ$38,$D$19)&lt;MAX($P$34*($B369+IF($R$17="Distrato",$I$38-1,0)),IF(AND($L$37=0,$P$34=0),"",$L$37-1),IF($R$17="Distrato",$E369,0))),0,YEARFRAC(MAX($P$34*($B369+IF($R$17="Distrato",$I$38-1,0)),IF(AND($L$37=0,$P$34=0),"",$L$37-1),IF($R$17="Distrato",$E369,0)),MIN(AZ$38,$D$19),$P$20))-SUM($P369:AY369)</f>
        <v>#VALUE!</v>
      </c>
      <c r="BA369" s="446" t="e">
        <f>IF(OR($B369="",MIN(BA$38,$D$19)&lt;MAX($P$34*($B369+IF($R$17="Distrato",$I$38-1,0)),IF(AND($L$37=0,$P$34=0),"",$L$37-1),IF($R$17="Distrato",$E369,0))),0,YEARFRAC(MAX($P$34*($B369+IF($R$17="Distrato",$I$38-1,0)),IF(AND($L$37=0,$P$34=0),"",$L$37-1),IF($R$17="Distrato",$E369,0)),MIN(BA$38,$D$19),$P$20))-SUM($P369:AZ369)</f>
        <v>#VALUE!</v>
      </c>
      <c r="BB369" s="447"/>
      <c r="BF369" s="446">
        <f t="shared" si="65"/>
        <v>0</v>
      </c>
      <c r="BG369" s="446">
        <f>IF($E369=0,0,IF(MIN(BG$38,$E369)&lt;MAX($P$34*($B369+$I$38-1),IF(AND($L$37=0,$P$34=0),"",$L$37-1)),0,YEARFRAC(MAX($P$34*($B369+$I$38-1),IF(AND($L$37=0,$P$34=0),"",$L$37-1)),MIN(BG$38,$E369),$P$20))-SUM($BF369:BF369))</f>
        <v>0</v>
      </c>
      <c r="BH369" s="446">
        <f>IF($E369=0,0,IF(MIN(BH$38,$E369)&lt;MAX($P$34*($B369+$I$38-1),IF(AND($L$37=0,$P$34=0),"",$L$37-1)),0,YEARFRAC(MAX($P$34*($B369+$I$38-1),IF(AND($L$37=0,$P$34=0),"",$L$37-1)),MIN(BH$38,$E369),$P$20))-SUM($BF369:BG369))</f>
        <v>0</v>
      </c>
      <c r="BI369" s="446">
        <f>IF($E369=0,0,IF(MIN(BI$38,$E369)&lt;MAX($P$34*($B369+$I$38-1),IF(AND($L$37=0,$P$34=0),"",$L$37-1)),0,YEARFRAC(MAX($P$34*($B369+$I$38-1),IF(AND($L$37=0,$P$34=0),"",$L$37-1)),MIN(BI$38,$E369),$P$20))-SUM($BF369:BH369))</f>
        <v>0</v>
      </c>
      <c r="BJ369" s="446">
        <f>IF($E369=0,0,IF(MIN(BJ$38,$E369)&lt;MAX($P$34*($B369+$I$38-1),IF(AND($L$37=0,$P$34=0),"",$L$37-1)),0,YEARFRAC(MAX($P$34*($B369+$I$38-1),IF(AND($L$37=0,$P$34=0),"",$L$37-1)),MIN(BJ$38,$E369),$P$20))-SUM($BF369:BI369))</f>
        <v>0</v>
      </c>
      <c r="BK369" s="446">
        <f>IF($E369=0,0,IF(MIN(BK$38,$E369)&lt;MAX($P$34*($B369+$I$38-1),IF(AND($L$37=0,$P$34=0),"",$L$37-1)),0,YEARFRAC(MAX($P$34*($B369+$I$38-1),IF(AND($L$37=0,$P$34=0),"",$L$37-1)),MIN(BK$38,$E369),$P$20))-SUM($BF369:BJ369))</f>
        <v>0</v>
      </c>
      <c r="BL369" s="446">
        <f>IF($E369=0,0,IF(MIN(BL$38,$E369)&lt;MAX($P$34*($B369+$I$38-1),IF(AND($L$37=0,$P$34=0),"",$L$37-1)),0,YEARFRAC(MAX($P$34*($B369+$I$38-1),IF(AND($L$37=0,$P$34=0),"",$L$37-1)),MIN(BL$38,$E369),$P$20))-SUM($BF369:BK369))</f>
        <v>0</v>
      </c>
      <c r="BM369" s="446">
        <f>IF($E369=0,0,IF(MIN(BM$38,$E369)&lt;MAX($P$34*($B369+$I$38-1),IF(AND($L$37=0,$P$34=0),"",$L$37-1)),0,YEARFRAC(MAX($P$34*($B369+$I$38-1),IF(AND($L$37=0,$P$34=0),"",$L$37-1)),MIN(BM$38,$E369),$P$20))-SUM($BF369:BL369))</f>
        <v>0</v>
      </c>
      <c r="BN369" s="446">
        <f>IF($E369=0,0,IF(MIN(BN$38,$E369)&lt;MAX($P$34*($B369+$I$38-1),IF(AND($L$37=0,$P$34=0),"",$L$37-1)),0,YEARFRAC(MAX($P$34*($B369+$I$38-1),IF(AND($L$37=0,$P$34=0),"",$L$37-1)),MIN(BN$38,$E369),$P$20))-SUM($BF369:BM369))</f>
        <v>0</v>
      </c>
      <c r="BO369" s="446">
        <f>IF($E369=0,0,IF(MIN(BO$38,$E369)&lt;MAX($P$34*($B369+$I$38-1),IF(AND($L$37=0,$P$34=0),"",$L$37-1)),0,YEARFRAC(MAX($P$34*($B369+$I$38-1),IF(AND($L$37=0,$P$34=0),"",$L$37-1)),MIN(BO$38,$E369),$P$20))-SUM($BF369:BN369))</f>
        <v>0</v>
      </c>
      <c r="BP369" s="446">
        <f>IF($E369=0,0,IF(MIN(BP$38,$E369)&lt;MAX($P$34*($B369+$I$38-1),IF(AND($L$37=0,$P$34=0),"",$L$37-1)),0,YEARFRAC(MAX($P$34*($B369+$I$38-1),IF(AND($L$37=0,$P$34=0),"",$L$37-1)),MIN(BP$38,$E369),$P$20))-SUM($BF369:BO369))</f>
        <v>0</v>
      </c>
      <c r="BQ369" s="446">
        <f>IF($E369=0,0,IF(MIN(BQ$38,$E369)&lt;MAX($P$34*($B369+$I$38-1),IF(AND($L$37=0,$P$34=0),"",$L$37-1)),0,YEARFRAC(MAX($P$34*($B369+$I$38-1),IF(AND($L$37=0,$P$34=0),"",$L$37-1)),MIN(BQ$38,$E369),$P$20))-SUM($BF369:BP369))</f>
        <v>0</v>
      </c>
      <c r="BR369" s="446">
        <f>IF($E369=0,0,IF(MIN(BR$38,$E369)&lt;MAX($P$34*($B369+$I$38-1),IF(AND($L$37=0,$P$34=0),"",$L$37-1)),0,YEARFRAC(MAX($P$34*($B369+$I$38-1),IF(AND($L$37=0,$P$34=0),"",$L$37-1)),MIN(BR$38,$E369),$P$20))-SUM($BF369:BQ369))</f>
        <v>0</v>
      </c>
      <c r="BS369" s="446">
        <f>IF($E369=0,0,IF(MIN(BS$38,$E369)&lt;MAX($P$34*($B369+$I$38-1),IF(AND($L$37=0,$P$34=0),"",$L$37-1)),0,YEARFRAC(MAX($P$34*($B369+$I$38-1),IF(AND($L$37=0,$P$34=0),"",$L$37-1)),MIN(BS$38,$E369),$P$20))-SUM($BF369:BR369))</f>
        <v>0</v>
      </c>
      <c r="BT369" s="446">
        <f>IF($E369=0,0,IF(MIN(BT$38,$E369)&lt;MAX($P$34*($B369+$I$38-1),IF(AND($L$37=0,$P$34=0),"",$L$37-1)),0,YEARFRAC(MAX($P$34*($B369+$I$38-1),IF(AND($L$37=0,$P$34=0),"",$L$37-1)),MIN(BT$38,$E369),$P$20))-SUM($BF369:BS369))</f>
        <v>0</v>
      </c>
      <c r="BU369" s="446">
        <f>IF($E369=0,0,IF(MIN(BU$38,$E369)&lt;MAX($P$34*($B369+$I$38-1),IF(AND($L$37=0,$P$34=0),"",$L$37-1)),0,YEARFRAC(MAX($P$34*($B369+$I$38-1),IF(AND($L$37=0,$P$34=0),"",$L$37-1)),MIN(BU$38,$E369),$P$20))-SUM($BF369:BT369))</f>
        <v>0</v>
      </c>
      <c r="BV369" s="446">
        <f>IF($E369=0,0,IF(MIN(BV$38,$E369)&lt;MAX($P$34*($B369+$I$38-1),IF(AND($L$37=0,$P$34=0),"",$L$37-1)),0,YEARFRAC(MAX($P$34*($B369+$I$38-1),IF(AND($L$37=0,$P$34=0),"",$L$37-1)),MIN(BV$38,$E369),$P$20))-SUM($BF369:BU369))</f>
        <v>0</v>
      </c>
      <c r="BW369" s="446">
        <f>IF($E369=0,0,IF(MIN(BW$38,$E369)&lt;MAX($P$34*($B369+$I$38-1),IF(AND($L$37=0,$P$34=0),"",$L$37-1)),0,YEARFRAC(MAX($P$34*($B369+$I$38-1),IF(AND($L$37=0,$P$34=0),"",$L$37-1)),MIN(BW$38,$E369),$P$20))-SUM($BF369:BV369))</f>
        <v>0</v>
      </c>
      <c r="BX369" s="446">
        <f>IF($E369=0,0,IF(MIN(BX$38,$E369)&lt;MAX($P$34*($B369+$I$38-1),IF(AND($L$37=0,$P$34=0),"",$L$37-1)),0,YEARFRAC(MAX($P$34*($B369+$I$38-1),IF(AND($L$37=0,$P$34=0),"",$L$37-1)),MIN(BX$38,$E369),$P$20))-SUM($BF369:BW369))</f>
        <v>0</v>
      </c>
      <c r="BY369" s="446">
        <f>IF($E369=0,0,IF(MIN(BY$38,$E369)&lt;MAX($P$34*($B369+$I$38-1),IF(AND($L$37=0,$P$34=0),"",$L$37-1)),0,YEARFRAC(MAX($P$34*($B369+$I$38-1),IF(AND($L$37=0,$P$34=0),"",$L$37-1)),MIN(BY$38,$E369),$P$20))-SUM($BF369:BX369))</f>
        <v>0</v>
      </c>
      <c r="BZ369" s="446">
        <f>IF($E369=0,0,IF(MIN(BZ$38,$E369)&lt;MAX($P$34*($B369+$I$38-1),IF(AND($L$37=0,$P$34=0),"",$L$37-1)),0,YEARFRAC(MAX($P$34*($B369+$I$38-1),IF(AND($L$37=0,$P$34=0),"",$L$37-1)),MIN(BZ$38,$E369),$P$20))-SUM($BF369:BY369))</f>
        <v>0</v>
      </c>
      <c r="CA369" s="446">
        <f>IF($E369=0,0,IF(MIN(CA$38,$E369)&lt;MAX($P$34*($B369+$I$38-1),IF(AND($L$37=0,$P$34=0),"",$L$37-1)),0,YEARFRAC(MAX($P$34*($B369+$I$38-1),IF(AND($L$37=0,$P$34=0),"",$L$37-1)),MIN(CA$38,$E369),$P$20))-SUM($BF369:BZ369))</f>
        <v>0</v>
      </c>
      <c r="CB369" s="446">
        <f>IF($E369=0,0,IF(MIN(CB$38,$E369)&lt;MAX($P$34*($B369+$I$38-1),IF(AND($L$37=0,$P$34=0),"",$L$37-1)),0,YEARFRAC(MAX($P$34*($B369+$I$38-1),IF(AND($L$37=0,$P$34=0),"",$L$37-1)),MIN(CB$38,$E369),$P$20))-SUM($BF369:CA369))</f>
        <v>0</v>
      </c>
      <c r="CC369" s="446">
        <f>IF($E369=0,0,IF(MIN(CC$38,$E369)&lt;MAX($P$34*($B369+$I$38-1),IF(AND($L$37=0,$P$34=0),"",$L$37-1)),0,YEARFRAC(MAX($P$34*($B369+$I$38-1),IF(AND($L$37=0,$P$34=0),"",$L$37-1)),MIN(CC$38,$E369),$P$20))-SUM($BF369:CB369))</f>
        <v>0</v>
      </c>
      <c r="CD369" s="446">
        <f>IF($E369=0,0,IF(MIN(CD$38,$E369)&lt;MAX($P$34*($B369+$I$38-1),IF(AND($L$37=0,$P$34=0),"",$L$37-1)),0,YEARFRAC(MAX($P$34*($B369+$I$38-1),IF(AND($L$37=0,$P$34=0),"",$L$37-1)),MIN(CD$38,$E369),$P$20))-SUM($BF369:CC369))</f>
        <v>0</v>
      </c>
      <c r="CE369" s="446">
        <f>IF($E369=0,0,IF(MIN(CE$38,$E369)&lt;MAX($P$34*($B369+$I$38-1),IF(AND($L$37=0,$P$34=0),"",$L$37-1)),0,YEARFRAC(MAX($P$34*($B369+$I$38-1),IF(AND($L$37=0,$P$34=0),"",$L$37-1)),MIN(CE$38,$E369),$P$20))-SUM($BF369:CD369))</f>
        <v>0</v>
      </c>
      <c r="CF369" s="446">
        <f>IF($E369=0,0,IF(MIN(CF$38,$E369)&lt;MAX($P$34*($B369+$I$38-1),IF(AND($L$37=0,$P$34=0),"",$L$37-1)),0,YEARFRAC(MAX($P$34*($B369+$I$38-1),IF(AND($L$37=0,$P$34=0),"",$L$37-1)),MIN(CF$38,$E369),$P$20))-SUM($BF369:CE369))</f>
        <v>0</v>
      </c>
      <c r="CG369" s="446">
        <f>IF($E369=0,0,IF(MIN(CG$38,$E369)&lt;MAX($P$34*($B369+$I$38-1),IF(AND($L$37=0,$P$34=0),"",$L$37-1)),0,YEARFRAC(MAX($P$34*($B369+$I$38-1),IF(AND($L$37=0,$P$34=0),"",$L$37-1)),MIN(CG$38,$E369),$P$20))-SUM($BF369:CF369))</f>
        <v>0</v>
      </c>
      <c r="CH369" s="446">
        <f>IF($E369=0,0,IF(MIN(CH$38,$E369)&lt;MAX($P$34*($B369+$I$38-1),IF(AND($L$37=0,$P$34=0),"",$L$37-1)),0,YEARFRAC(MAX($P$34*($B369+$I$38-1),IF(AND($L$37=0,$P$34=0),"",$L$37-1)),MIN(CH$38,$E369),$P$20))-SUM($BF369:CG369))</f>
        <v>0</v>
      </c>
      <c r="CI369" s="446">
        <f>IF($E369=0,0,IF(MIN(CI$38,$E369)&lt;MAX($P$34*($B369+$I$38-1),IF(AND($L$37=0,$P$34=0),"",$L$37-1)),0,YEARFRAC(MAX($P$34*($B369+$I$38-1),IF(AND($L$37=0,$P$34=0),"",$L$37-1)),MIN(CI$38,$E369),$P$20))-SUM($BF369:CH369))</f>
        <v>0</v>
      </c>
      <c r="CJ369" s="446">
        <f>IF($E369=0,0,IF(MIN(CJ$38,$E369)&lt;MAX($P$34*($B369+$I$38-1),IF(AND($L$37=0,$P$34=0),"",$L$37-1)),0,YEARFRAC(MAX($P$34*($B369+$I$38-1),IF(AND($L$37=0,$P$34=0),"",$L$37-1)),MIN(CJ$38,$E369),$P$20))-SUM($BF369:CI369))</f>
        <v>0</v>
      </c>
      <c r="CK369" s="446">
        <f>IF($E369=0,0,IF(MIN(CK$38,$E369)&lt;MAX($P$34*($B369+$I$38-1),IF(AND($L$37=0,$P$34=0),"",$L$37-1)),0,YEARFRAC(MAX($P$34*($B369+$I$38-1),IF(AND($L$37=0,$P$34=0),"",$L$37-1)),MIN(CK$38,$E369),$P$20))-SUM($BF369:CJ369))</f>
        <v>0</v>
      </c>
      <c r="CL369" s="446">
        <f>IF($E369=0,0,IF(MIN(CL$38,$E369)&lt;MAX($P$34*($B369+$I$38-1),IF(AND($L$37=0,$P$34=0),"",$L$37-1)),0,YEARFRAC(MAX($P$34*($B369+$I$38-1),IF(AND($L$37=0,$P$34=0),"",$L$37-1)),MIN(CL$38,$E369),$P$20))-SUM($BF369:CK369))</f>
        <v>0</v>
      </c>
      <c r="CM369" s="446">
        <f>IF($E369=0,0,IF(MIN(CM$38,$E369)&lt;MAX($P$34*($B369+$I$38-1),IF(AND($L$37=0,$P$34=0),"",$L$37-1)),0,YEARFRAC(MAX($P$34*($B369+$I$38-1),IF(AND($L$37=0,$P$34=0),"",$L$37-1)),MIN(CM$38,$E369),$P$20))-SUM($BF369:CL369))</f>
        <v>0</v>
      </c>
      <c r="CN369" s="446">
        <f>IF($E369=0,0,IF(MIN(CN$38,$E369)&lt;MAX($P$34*($B369+$I$38-1),IF(AND($L$37=0,$P$34=0),"",$L$37-1)),0,YEARFRAC(MAX($P$34*($B369+$I$38-1),IF(AND($L$37=0,$P$34=0),"",$L$37-1)),MIN(CN$38,$E369),$P$20))-SUM($BF369:CM369))</f>
        <v>0</v>
      </c>
      <c r="CO369" s="446">
        <f>IF($E369=0,0,IF(MIN(CO$38,$E369)&lt;MAX($P$34*($B369+$I$38-1),IF(AND($L$37=0,$P$34=0),"",$L$37-1)),0,YEARFRAC(MAX($P$34*($B369+$I$38-1),IF(AND($L$37=0,$P$34=0),"",$L$37-1)),MIN(CO$38,$E369),$P$20))-SUM($BF369:CN369))</f>
        <v>0</v>
      </c>
      <c r="CP369" s="446">
        <f>IF($E369=0,0,IF(MIN(CP$38,$E369)&lt;MAX($P$34*($B369+$I$38-1),IF(AND($L$37=0,$P$34=0),"",$L$37-1)),0,YEARFRAC(MAX($P$34*($B369+$I$38-1),IF(AND($L$37=0,$P$34=0),"",$L$37-1)),MIN(CP$38,$E369),$P$20))-SUM($BF369:CO369))</f>
        <v>0</v>
      </c>
      <c r="CQ369" s="446">
        <f>IF($E369=0,0,IF(MIN(CQ$38,$E369)&lt;MAX($P$34*($B369+$I$38-1),IF(AND($L$37=0,$P$34=0),"",$L$37-1)),0,YEARFRAC(MAX($P$34*($B369+$I$38-1),IF(AND($L$37=0,$P$34=0),"",$L$37-1)),MIN(CQ$38,$E369),$P$20))-SUM($BF369:CP369))</f>
        <v>0</v>
      </c>
    </row>
    <row r="370" spans="1:95" s="446" customFormat="1" ht="11.25" hidden="1" customHeight="1" x14ac:dyDescent="0.2">
      <c r="A370" s="152"/>
      <c r="B370" s="153" t="str">
        <f t="shared" si="70"/>
        <v/>
      </c>
      <c r="C370" s="29" t="str">
        <f>IF(B370="","",IF($L$35="SELIC - TRIBUTOS",VLOOKUP(DATE(YEAR($D$19),MONTH($D$19)-1,1),ÍNDICES!$A:$DE,HLOOKUP($BL$25,ÍNDICES!$B$3:$T$4,2)+11)-VLOOKUP(B370,ÍNDICES!$A:$DE,HLOOKUP($BL$25,ÍNDICES!$B$3:$T$4,2)+11)+1%,IF(C$38=$W$26,$J$35,IF(ISERROR(IF(B370&gt;$D$19,1,VLOOKUP(DATE(YEAR(B370),MONTH(B370)+IF($C$35=$S$23,1,0),1),ÍNDICES!$A:$DE,$Z$35+1))),"",IF(B370&gt;$D$19,1,VLOOKUP(DATE(YEAR(B370),MONTH(B370)+IF($C$35=$S$23,1,0),1),ÍNDICES!$A:$DE,$Z$35+1))))))</f>
        <v/>
      </c>
      <c r="D370" s="154" t="str">
        <f>IF(ISERROR(IF(OR($D$38=$Y$27,$B370=""),"",VLOOKUP(B370,ÍNDICES!A:DE,AF$35+1))),"",IF(OR($D$38=$Y$27,$B370=""),"",VLOOKUP(B370,ÍNDICES!A:DE,AF$35+1)))</f>
        <v/>
      </c>
      <c r="E370" s="153"/>
      <c r="F370" s="29" t="str">
        <f>IF(E370="","",IF($L$35="SELIC - TRIBUTOS",VLOOKUP(DATE(YEAR($D$19),MONTH($D$19)-1,1),ÍNDICES!$A:$DE,HLOOKUP($BL$25,ÍNDICES!$B$3:$T$4,2)+11)-VLOOKUP(E370,ÍNDICES!$A:$DE,HLOOKUP($BL$25,ÍNDICES!$B$3:$T$4,2)+11)+1%,IF(F$38=$W$26,$J$35,IF(ISERROR(IF(E370&gt;$D$19,1,VLOOKUP(DATE(YEAR(E370),MONTH(E370)+IF($C$35=$S$23,1,0),1),ÍNDICES!$A:$DE,$Z$35+1))),"",IF(E370&gt;$D$19,1,VLOOKUP(DATE(YEAR(E370),MONTH(E370)+IF($C$35=$S$23,1,0),1),ÍNDICES!$A:$DE,$Z$35+1))))))</f>
        <v/>
      </c>
      <c r="G370" s="155"/>
      <c r="H370" s="156" t="str">
        <f t="shared" si="66"/>
        <v/>
      </c>
      <c r="I370" s="29" t="str">
        <f t="shared" si="60"/>
        <v/>
      </c>
      <c r="J370" s="5">
        <f t="shared" si="61"/>
        <v>0</v>
      </c>
      <c r="K370" s="20">
        <f t="shared" ca="1" si="62"/>
        <v>0</v>
      </c>
      <c r="L370" s="5">
        <f t="shared" ca="1" si="63"/>
        <v>0</v>
      </c>
      <c r="M370" s="64">
        <f t="shared" si="67"/>
        <v>0</v>
      </c>
      <c r="N370" s="61">
        <f t="shared" ca="1" si="68"/>
        <v>0</v>
      </c>
      <c r="O370" s="5">
        <f t="shared" ca="1" si="69"/>
        <v>0</v>
      </c>
      <c r="P370" s="446" t="e">
        <f t="shared" si="64"/>
        <v>#VALUE!</v>
      </c>
      <c r="Q370" s="446" t="e">
        <f>IF(OR($B370="",MIN(Q$38,$D$19)&lt;MAX($P$34*($B370+IF($R$17="Distrato",$I$38-1,0)),IF(AND($L$37=0,$P$34=0),"",$L$37-1),IF($R$17="Distrato",$E370,0))),0,YEARFRAC(MAX($P$34*($B370+IF($R$17="Distrato",$I$38-1,0)),IF(AND($L$37=0,$P$34=0),"",$L$37-1),IF($R$17="Distrato",$E370,0)),MIN(Q$38,$D$19),$P$20))-SUM($P370:P370)</f>
        <v>#VALUE!</v>
      </c>
      <c r="R370" s="446" t="e">
        <f>IF(OR($B370="",MIN(R$38,$D$19)&lt;MAX($P$34*($B370+IF($R$17="Distrato",$I$38-1,0)),IF(AND($L$37=0,$P$34=0),"",$L$37-1),IF($R$17="Distrato",$E370,0))),0,YEARFRAC(MAX($P$34*($B370+IF($R$17="Distrato",$I$38-1,0)),IF(AND($L$37=0,$P$34=0),"",$L$37-1),IF($R$17="Distrato",$E370,0)),MIN(R$38,$D$19),$P$20))-SUM($P370:Q370)</f>
        <v>#VALUE!</v>
      </c>
      <c r="S370" s="446" t="e">
        <f>IF(OR($B370="",MIN(S$38,$D$19)&lt;MAX($P$34*($B370+IF($R$17="Distrato",$I$38-1,0)),IF(AND($L$37=0,$P$34=0),"",$L$37-1),IF($R$17="Distrato",$E370,0))),0,YEARFRAC(MAX($P$34*($B370+IF($R$17="Distrato",$I$38-1,0)),IF(AND($L$37=0,$P$34=0),"",$L$37-1),IF($R$17="Distrato",$E370,0)),MIN(S$38,$D$19),$P$20))-SUM($P370:R370)</f>
        <v>#VALUE!</v>
      </c>
      <c r="T370" s="446" t="e">
        <f>IF(OR($B370="",MIN(T$38,$D$19)&lt;MAX($P$34*($B370+IF($R$17="Distrato",$I$38-1,0)),IF(AND($L$37=0,$P$34=0),"",$L$37-1),IF($R$17="Distrato",$E370,0))),0,YEARFRAC(MAX($P$34*($B370+IF($R$17="Distrato",$I$38-1,0)),IF(AND($L$37=0,$P$34=0),"",$L$37-1),IF($R$17="Distrato",$E370,0)),MIN(T$38,$D$19),$P$20))-SUM($P370:S370)</f>
        <v>#VALUE!</v>
      </c>
      <c r="U370" s="446" t="e">
        <f>IF(OR($B370="",MIN(U$38,$D$19)&lt;MAX($P$34*($B370+IF($R$17="Distrato",$I$38-1,0)),IF(AND($L$37=0,$P$34=0),"",$L$37-1),IF($R$17="Distrato",$E370,0))),0,YEARFRAC(MAX($P$34*($B370+IF($R$17="Distrato",$I$38-1,0)),IF(AND($L$37=0,$P$34=0),"",$L$37-1),IF($R$17="Distrato",$E370,0)),MIN(U$38,$D$19),$P$20))-SUM($P370:T370)</f>
        <v>#VALUE!</v>
      </c>
      <c r="V370" s="446" t="e">
        <f>IF(OR($B370="",MIN(V$38,$D$19)&lt;MAX($P$34*($B370+IF($R$17="Distrato",$I$38-1,0)),IF(AND($L$37=0,$P$34=0),"",$L$37-1),IF($R$17="Distrato",$E370,0))),0,YEARFRAC(MAX($P$34*($B370+IF($R$17="Distrato",$I$38-1,0)),IF(AND($L$37=0,$P$34=0),"",$L$37-1),IF($R$17="Distrato",$E370,0)),MIN(V$38,$D$19),$P$20))-SUM($P370:U370)</f>
        <v>#VALUE!</v>
      </c>
      <c r="W370" s="446" t="e">
        <f>IF(OR($B370="",MIN(W$38,$D$19)&lt;MAX($P$34*($B370+IF($R$17="Distrato",$I$38-1,0)),IF(AND($L$37=0,$P$34=0),"",$L$37-1),IF($R$17="Distrato",$E370,0))),0,YEARFRAC(MAX($P$34*($B370+IF($R$17="Distrato",$I$38-1,0)),IF(AND($L$37=0,$P$34=0),"",$L$37-1),IF($R$17="Distrato",$E370,0)),MIN(W$38,$D$19),$P$20))-SUM($P370:V370)</f>
        <v>#VALUE!</v>
      </c>
      <c r="X370" s="446" t="e">
        <f>IF(OR($B370="",MIN(X$38,$D$19)&lt;MAX($P$34*($B370+IF($R$17="Distrato",$I$38-1,0)),IF(AND($L$37=0,$P$34=0),"",$L$37-1),IF($R$17="Distrato",$E370,0))),0,YEARFRAC(MAX($P$34*($B370+IF($R$17="Distrato",$I$38-1,0)),IF(AND($L$37=0,$P$34=0),"",$L$37-1),IF($R$17="Distrato",$E370,0)),MIN(X$38,$D$19),$P$20))-SUM($P370:W370)</f>
        <v>#VALUE!</v>
      </c>
      <c r="Y370" s="446" t="e">
        <f>IF(OR($B370="",MIN(Y$38,$D$19)&lt;MAX($P$34*($B370+IF($R$17="Distrato",$I$38-1,0)),IF(AND($L$37=0,$P$34=0),"",$L$37-1),IF($R$17="Distrato",$E370,0))),0,YEARFRAC(MAX($P$34*($B370+IF($R$17="Distrato",$I$38-1,0)),IF(AND($L$37=0,$P$34=0),"",$L$37-1),IF($R$17="Distrato",$E370,0)),MIN(Y$38,$D$19),$P$20))-SUM($P370:X370)</f>
        <v>#VALUE!</v>
      </c>
      <c r="Z370" s="446" t="e">
        <f>IF(OR($B370="",MIN(Z$38,$D$19)&lt;MAX($P$34*($B370+IF($R$17="Distrato",$I$38-1,0)),IF(AND($L$37=0,$P$34=0),"",$L$37-1),IF($R$17="Distrato",$E370,0))),0,YEARFRAC(MAX($P$34*($B370+IF($R$17="Distrato",$I$38-1,0)),IF(AND($L$37=0,$P$34=0),"",$L$37-1),IF($R$17="Distrato",$E370,0)),MIN(Z$38,$D$19),$P$20))-SUM($P370:Y370)</f>
        <v>#VALUE!</v>
      </c>
      <c r="AA370" s="446" t="e">
        <f>IF(OR($B370="",MIN(AA$38,$D$19)&lt;MAX($P$34*($B370+IF($R$17="Distrato",$I$38-1,0)),IF(AND($L$37=0,$P$34=0),"",$L$37-1),IF($R$17="Distrato",$E370,0))),0,YEARFRAC(MAX($P$34*($B370+IF($R$17="Distrato",$I$38-1,0)),IF(AND($L$37=0,$P$34=0),"",$L$37-1),IF($R$17="Distrato",$E370,0)),MIN(AA$38,$D$19),$P$20))-SUM($P370:Z370)</f>
        <v>#VALUE!</v>
      </c>
      <c r="AB370" s="446" t="e">
        <f>IF(OR($B370="",MIN(AB$38,$D$19)&lt;MAX($P$34*($B370+IF($R$17="Distrato",$I$38-1,0)),IF(AND($L$37=0,$P$34=0),"",$L$37-1),IF($R$17="Distrato",$E370,0))),0,YEARFRAC(MAX($P$34*($B370+IF($R$17="Distrato",$I$38-1,0)),IF(AND($L$37=0,$P$34=0),"",$L$37-1),IF($R$17="Distrato",$E370,0)),MIN(AB$38,$D$19),$P$20))-SUM($P370:AA370)</f>
        <v>#VALUE!</v>
      </c>
      <c r="AC370" s="446" t="e">
        <f>IF(OR($B370="",MIN(AC$38,$D$19)&lt;MAX($P$34*($B370+IF($R$17="Distrato",$I$38-1,0)),IF(AND($L$37=0,$P$34=0),"",$L$37-1),IF($R$17="Distrato",$E370,0))),0,YEARFRAC(MAX($P$34*($B370+IF($R$17="Distrato",$I$38-1,0)),IF(AND($L$37=0,$P$34=0),"",$L$37-1),IF($R$17="Distrato",$E370,0)),MIN(AC$38,$D$19),$P$20))-SUM($P370:AB370)</f>
        <v>#VALUE!</v>
      </c>
      <c r="AD370" s="446" t="e">
        <f>IF(OR($B370="",MIN(AD$38,$D$19)&lt;MAX($P$34*($B370+IF($R$17="Distrato",$I$38-1,0)),IF(AND($L$37=0,$P$34=0),"",$L$37-1),IF($R$17="Distrato",$E370,0))),0,YEARFRAC(MAX($P$34*($B370+IF($R$17="Distrato",$I$38-1,0)),IF(AND($L$37=0,$P$34=0),"",$L$37-1),IF($R$17="Distrato",$E370,0)),MIN(AD$38,$D$19),$P$20))-SUM($P370:AC370)</f>
        <v>#VALUE!</v>
      </c>
      <c r="AE370" s="446" t="e">
        <f>IF(OR($B370="",MIN(AE$38,$D$19)&lt;MAX($P$34*($B370+IF($R$17="Distrato",$I$38-1,0)),IF(AND($L$37=0,$P$34=0),"",$L$37-1),IF($R$17="Distrato",$E370,0))),0,YEARFRAC(MAX($P$34*($B370+IF($R$17="Distrato",$I$38-1,0)),IF(AND($L$37=0,$P$34=0),"",$L$37-1),IF($R$17="Distrato",$E370,0)),MIN(AE$38,$D$19),$P$20))-SUM($P370:AD370)</f>
        <v>#VALUE!</v>
      </c>
      <c r="AF370" s="446" t="e">
        <f>IF(OR($B370="",MIN(AF$38,$D$19)&lt;MAX($P$34*($B370+IF($R$17="Distrato",$I$38-1,0)),IF(AND($L$37=0,$P$34=0),"",$L$37-1),IF($R$17="Distrato",$E370,0))),0,YEARFRAC(MAX($P$34*($B370+IF($R$17="Distrato",$I$38-1,0)),IF(AND($L$37=0,$P$34=0),"",$L$37-1),IF($R$17="Distrato",$E370,0)),MIN(AF$38,$D$19),$P$20))-SUM($P370:AE370)</f>
        <v>#VALUE!</v>
      </c>
      <c r="AG370" s="446" t="e">
        <f>IF(OR($B370="",MIN(AG$38,$D$19)&lt;MAX($P$34*($B370+IF($R$17="Distrato",$I$38-1,0)),IF(AND($L$37=0,$P$34=0),"",$L$37-1),IF($R$17="Distrato",$E370,0))),0,YEARFRAC(MAX($P$34*($B370+IF($R$17="Distrato",$I$38-1,0)),IF(AND($L$37=0,$P$34=0),"",$L$37-1),IF($R$17="Distrato",$E370,0)),MIN(AG$38,$D$19),$P$20))-SUM($P370:AF370)</f>
        <v>#VALUE!</v>
      </c>
      <c r="AH370" s="446" t="e">
        <f>IF(OR($B370="",MIN(AH$38,$D$19)&lt;MAX($P$34*($B370+IF($R$17="Distrato",$I$38-1,0)),IF(AND($L$37=0,$P$34=0),"",$L$37-1),IF($R$17="Distrato",$E370,0))),0,YEARFRAC(MAX($P$34*($B370+IF($R$17="Distrato",$I$38-1,0)),IF(AND($L$37=0,$P$34=0),"",$L$37-1),IF($R$17="Distrato",$E370,0)),MIN(AH$38,$D$19),$P$20))-SUM($P370:AG370)</f>
        <v>#VALUE!</v>
      </c>
      <c r="AI370" s="446" t="e">
        <f>IF(OR($B370="",MIN(AI$38,$D$19)&lt;MAX($P$34*($B370+IF($R$17="Distrato",$I$38-1,0)),IF(AND($L$37=0,$P$34=0),"",$L$37-1),IF($R$17="Distrato",$E370,0))),0,YEARFRAC(MAX($P$34*($B370+IF($R$17="Distrato",$I$38-1,0)),IF(AND($L$37=0,$P$34=0),"",$L$37-1),IF($R$17="Distrato",$E370,0)),MIN(AI$38,$D$19),$P$20))-SUM($P370:AH370)</f>
        <v>#VALUE!</v>
      </c>
      <c r="AJ370" s="446" t="e">
        <f>IF(OR($B370="",MIN(AJ$38,$D$19)&lt;MAX($P$34*($B370+IF($R$17="Distrato",$I$38-1,0)),IF(AND($L$37=0,$P$34=0),"",$L$37-1),IF($R$17="Distrato",$E370,0))),0,YEARFRAC(MAX($P$34*($B370+IF($R$17="Distrato",$I$38-1,0)),IF(AND($L$37=0,$P$34=0),"",$L$37-1),IF($R$17="Distrato",$E370,0)),MIN(AJ$38,$D$19),$P$20))-SUM($P370:AI370)</f>
        <v>#VALUE!</v>
      </c>
      <c r="AK370" s="446" t="e">
        <f>IF(OR($B370="",MIN(AK$38,$D$19)&lt;MAX($P$34*($B370+IF($R$17="Distrato",$I$38-1,0)),IF(AND($L$37=0,$P$34=0),"",$L$37-1),IF($R$17="Distrato",$E370,0))),0,YEARFRAC(MAX($P$34*($B370+IF($R$17="Distrato",$I$38-1,0)),IF(AND($L$37=0,$P$34=0),"",$L$37-1),IF($R$17="Distrato",$E370,0)),MIN(AK$38,$D$19),$P$20))-SUM($P370:AJ370)</f>
        <v>#VALUE!</v>
      </c>
      <c r="AL370" s="446" t="e">
        <f>IF(OR($B370="",MIN(AL$38,$D$19)&lt;MAX($P$34*($B370+IF($R$17="Distrato",$I$38-1,0)),IF(AND($L$37=0,$P$34=0),"",$L$37-1),IF($R$17="Distrato",$E370,0))),0,YEARFRAC(MAX($P$34*($B370+IF($R$17="Distrato",$I$38-1,0)),IF(AND($L$37=0,$P$34=0),"",$L$37-1),IF($R$17="Distrato",$E370,0)),MIN(AL$38,$D$19),$P$20))-SUM($P370:AK370)</f>
        <v>#VALUE!</v>
      </c>
      <c r="AM370" s="446" t="e">
        <f>IF(OR($B370="",MIN(AM$38,$D$19)&lt;MAX($P$34*($B370+IF($R$17="Distrato",$I$38-1,0)),IF(AND($L$37=0,$P$34=0),"",$L$37-1),IF($R$17="Distrato",$E370,0))),0,YEARFRAC(MAX($P$34*($B370+IF($R$17="Distrato",$I$38-1,0)),IF(AND($L$37=0,$P$34=0),"",$L$37-1),IF($R$17="Distrato",$E370,0)),MIN(AM$38,$D$19),$P$20))-SUM($P370:AL370)</f>
        <v>#VALUE!</v>
      </c>
      <c r="AN370" s="446" t="e">
        <f>IF(OR($B370="",MIN(AN$38,$D$19)&lt;MAX($P$34*($B370+IF($R$17="Distrato",$I$38-1,0)),IF(AND($L$37=0,$P$34=0),"",$L$37-1),IF($R$17="Distrato",$E370,0))),0,YEARFRAC(MAX($P$34*($B370+IF($R$17="Distrato",$I$38-1,0)),IF(AND($L$37=0,$P$34=0),"",$L$37-1),IF($R$17="Distrato",$E370,0)),MIN(AN$38,$D$19),$P$20))-SUM($P370:AM370)</f>
        <v>#VALUE!</v>
      </c>
      <c r="AO370" s="446" t="e">
        <f>IF(OR($B370="",MIN(AO$38,$D$19)&lt;MAX($P$34*($B370+IF($R$17="Distrato",$I$38-1,0)),IF(AND($L$37=0,$P$34=0),"",$L$37-1),IF($R$17="Distrato",$E370,0))),0,YEARFRAC(MAX($P$34*($B370+IF($R$17="Distrato",$I$38-1,0)),IF(AND($L$37=0,$P$34=0),"",$L$37-1),IF($R$17="Distrato",$E370,0)),MIN(AO$38,$D$19),$P$20))-SUM($P370:AN370)</f>
        <v>#VALUE!</v>
      </c>
      <c r="AP370" s="446" t="e">
        <f>IF(OR($B370="",MIN(AP$38,$D$19)&lt;MAX($P$34*($B370+IF($R$17="Distrato",$I$38-1,0)),IF(AND($L$37=0,$P$34=0),"",$L$37-1),IF($R$17="Distrato",$E370,0))),0,YEARFRAC(MAX($P$34*($B370+IF($R$17="Distrato",$I$38-1,0)),IF(AND($L$37=0,$P$34=0),"",$L$37-1),IF($R$17="Distrato",$E370,0)),MIN(AP$38,$D$19),$P$20))-SUM($P370:AO370)</f>
        <v>#VALUE!</v>
      </c>
      <c r="AQ370" s="446" t="e">
        <f>IF(OR($B370="",MIN(AQ$38,$D$19)&lt;MAX($P$34*($B370+IF($R$17="Distrato",$I$38-1,0)),IF(AND($L$37=0,$P$34=0),"",$L$37-1),IF($R$17="Distrato",$E370,0))),0,YEARFRAC(MAX($P$34*($B370+IF($R$17="Distrato",$I$38-1,0)),IF(AND($L$37=0,$P$34=0),"",$L$37-1),IF($R$17="Distrato",$E370,0)),MIN(AQ$38,$D$19),$P$20))-SUM($P370:AP370)</f>
        <v>#VALUE!</v>
      </c>
      <c r="AR370" s="446" t="e">
        <f>IF(OR($B370="",MIN(AR$38,$D$19)&lt;MAX($P$34*($B370+IF($R$17="Distrato",$I$38-1,0)),IF(AND($L$37=0,$P$34=0),"",$L$37-1),IF($R$17="Distrato",$E370,0))),0,YEARFRAC(MAX($P$34*($B370+IF($R$17="Distrato",$I$38-1,0)),IF(AND($L$37=0,$P$34=0),"",$L$37-1),IF($R$17="Distrato",$E370,0)),MIN(AR$38,$D$19),$P$20))-SUM($P370:AQ370)</f>
        <v>#VALUE!</v>
      </c>
      <c r="AS370" s="446" t="e">
        <f>IF(OR($B370="",MIN(AS$38,$D$19)&lt;MAX($P$34*($B370+IF($R$17="Distrato",$I$38-1,0)),IF(AND($L$37=0,$P$34=0),"",$L$37-1),IF($R$17="Distrato",$E370,0))),0,YEARFRAC(MAX($P$34*($B370+IF($R$17="Distrato",$I$38-1,0)),IF(AND($L$37=0,$P$34=0),"",$L$37-1),IF($R$17="Distrato",$E370,0)),MIN(AS$38,$D$19),$P$20))-SUM($P370:AR370)</f>
        <v>#VALUE!</v>
      </c>
      <c r="AT370" s="446" t="e">
        <f>IF(OR($B370="",MIN(AT$38,$D$19)&lt;MAX($P$34*($B370+IF($R$17="Distrato",$I$38-1,0)),IF(AND($L$37=0,$P$34=0),"",$L$37-1),IF($R$17="Distrato",$E370,0))),0,YEARFRAC(MAX($P$34*($B370+IF($R$17="Distrato",$I$38-1,0)),IF(AND($L$37=0,$P$34=0),"",$L$37-1),IF($R$17="Distrato",$E370,0)),MIN(AT$38,$D$19),$P$20))-SUM($P370:AS370)</f>
        <v>#VALUE!</v>
      </c>
      <c r="AU370" s="446" t="e">
        <f>IF(OR($B370="",MIN(AU$38,$D$19)&lt;MAX($P$34*($B370+IF($R$17="Distrato",$I$38-1,0)),IF(AND($L$37=0,$P$34=0),"",$L$37-1),IF($R$17="Distrato",$E370,0))),0,YEARFRAC(MAX($P$34*($B370+IF($R$17="Distrato",$I$38-1,0)),IF(AND($L$37=0,$P$34=0),"",$L$37-1),IF($R$17="Distrato",$E370,0)),MIN(AU$38,$D$19),$P$20))-SUM($P370:AT370)</f>
        <v>#VALUE!</v>
      </c>
      <c r="AV370" s="446" t="e">
        <f>IF(OR($B370="",MIN(AV$38,$D$19)&lt;MAX($P$34*($B370+IF($R$17="Distrato",$I$38-1,0)),IF(AND($L$37=0,$P$34=0),"",$L$37-1),IF($R$17="Distrato",$E370,0))),0,YEARFRAC(MAX($P$34*($B370+IF($R$17="Distrato",$I$38-1,0)),IF(AND($L$37=0,$P$34=0),"",$L$37-1),IF($R$17="Distrato",$E370,0)),MIN(AV$38,$D$19),$P$20))-SUM($P370:AU370)</f>
        <v>#VALUE!</v>
      </c>
      <c r="AW370" s="446" t="e">
        <f>IF(OR($B370="",MIN(AW$38,$D$19)&lt;MAX($P$34*($B370+IF($R$17="Distrato",$I$38-1,0)),IF(AND($L$37=0,$P$34=0),"",$L$37-1),IF($R$17="Distrato",$E370,0))),0,YEARFRAC(MAX($P$34*($B370+IF($R$17="Distrato",$I$38-1,0)),IF(AND($L$37=0,$P$34=0),"",$L$37-1),IF($R$17="Distrato",$E370,0)),MIN(AW$38,$D$19),$P$20))-SUM($P370:AV370)</f>
        <v>#VALUE!</v>
      </c>
      <c r="AX370" s="446" t="e">
        <f>IF(OR($B370="",MIN(AX$38,$D$19)&lt;MAX($P$34*($B370+IF($R$17="Distrato",$I$38-1,0)),IF(AND($L$37=0,$P$34=0),"",$L$37-1),IF($R$17="Distrato",$E370,0))),0,YEARFRAC(MAX($P$34*($B370+IF($R$17="Distrato",$I$38-1,0)),IF(AND($L$37=0,$P$34=0),"",$L$37-1),IF($R$17="Distrato",$E370,0)),MIN(AX$38,$D$19),$P$20))-SUM($P370:AW370)</f>
        <v>#VALUE!</v>
      </c>
      <c r="AY370" s="446" t="e">
        <f>IF(OR($B370="",MIN(AY$38,$D$19)&lt;MAX($P$34*($B370+IF($R$17="Distrato",$I$38-1,0)),IF(AND($L$37=0,$P$34=0),"",$L$37-1),IF($R$17="Distrato",$E370,0))),0,YEARFRAC(MAX($P$34*($B370+IF($R$17="Distrato",$I$38-1,0)),IF(AND($L$37=0,$P$34=0),"",$L$37-1),IF($R$17="Distrato",$E370,0)),MIN(AY$38,$D$19),$P$20))-SUM($P370:AX370)</f>
        <v>#VALUE!</v>
      </c>
      <c r="AZ370" s="446" t="e">
        <f>IF(OR($B370="",MIN(AZ$38,$D$19)&lt;MAX($P$34*($B370+IF($R$17="Distrato",$I$38-1,0)),IF(AND($L$37=0,$P$34=0),"",$L$37-1),IF($R$17="Distrato",$E370,0))),0,YEARFRAC(MAX($P$34*($B370+IF($R$17="Distrato",$I$38-1,0)),IF(AND($L$37=0,$P$34=0),"",$L$37-1),IF($R$17="Distrato",$E370,0)),MIN(AZ$38,$D$19),$P$20))-SUM($P370:AY370)</f>
        <v>#VALUE!</v>
      </c>
      <c r="BA370" s="446" t="e">
        <f>IF(OR($B370="",MIN(BA$38,$D$19)&lt;MAX($P$34*($B370+IF($R$17="Distrato",$I$38-1,0)),IF(AND($L$37=0,$P$34=0),"",$L$37-1),IF($R$17="Distrato",$E370,0))),0,YEARFRAC(MAX($P$34*($B370+IF($R$17="Distrato",$I$38-1,0)),IF(AND($L$37=0,$P$34=0),"",$L$37-1),IF($R$17="Distrato",$E370,0)),MIN(BA$38,$D$19),$P$20))-SUM($P370:AZ370)</f>
        <v>#VALUE!</v>
      </c>
      <c r="BB370" s="447"/>
      <c r="BF370" s="446">
        <f t="shared" si="65"/>
        <v>0</v>
      </c>
      <c r="BG370" s="446">
        <f>IF($E370=0,0,IF(MIN(BG$38,$E370)&lt;MAX($P$34*($B370+$I$38-1),IF(AND($L$37=0,$P$34=0),"",$L$37-1)),0,YEARFRAC(MAX($P$34*($B370+$I$38-1),IF(AND($L$37=0,$P$34=0),"",$L$37-1)),MIN(BG$38,$E370),$P$20))-SUM($BF370:BF370))</f>
        <v>0</v>
      </c>
      <c r="BH370" s="446">
        <f>IF($E370=0,0,IF(MIN(BH$38,$E370)&lt;MAX($P$34*($B370+$I$38-1),IF(AND($L$37=0,$P$34=0),"",$L$37-1)),0,YEARFRAC(MAX($P$34*($B370+$I$38-1),IF(AND($L$37=0,$P$34=0),"",$L$37-1)),MIN(BH$38,$E370),$P$20))-SUM($BF370:BG370))</f>
        <v>0</v>
      </c>
      <c r="BI370" s="446">
        <f>IF($E370=0,0,IF(MIN(BI$38,$E370)&lt;MAX($P$34*($B370+$I$38-1),IF(AND($L$37=0,$P$34=0),"",$L$37-1)),0,YEARFRAC(MAX($P$34*($B370+$I$38-1),IF(AND($L$37=0,$P$34=0),"",$L$37-1)),MIN(BI$38,$E370),$P$20))-SUM($BF370:BH370))</f>
        <v>0</v>
      </c>
      <c r="BJ370" s="446">
        <f>IF($E370=0,0,IF(MIN(BJ$38,$E370)&lt;MAX($P$34*($B370+$I$38-1),IF(AND($L$37=0,$P$34=0),"",$L$37-1)),0,YEARFRAC(MAX($P$34*($B370+$I$38-1),IF(AND($L$37=0,$P$34=0),"",$L$37-1)),MIN(BJ$38,$E370),$P$20))-SUM($BF370:BI370))</f>
        <v>0</v>
      </c>
      <c r="BK370" s="446">
        <f>IF($E370=0,0,IF(MIN(BK$38,$E370)&lt;MAX($P$34*($B370+$I$38-1),IF(AND($L$37=0,$P$34=0),"",$L$37-1)),0,YEARFRAC(MAX($P$34*($B370+$I$38-1),IF(AND($L$37=0,$P$34=0),"",$L$37-1)),MIN(BK$38,$E370),$P$20))-SUM($BF370:BJ370))</f>
        <v>0</v>
      </c>
      <c r="BL370" s="446">
        <f>IF($E370=0,0,IF(MIN(BL$38,$E370)&lt;MAX($P$34*($B370+$I$38-1),IF(AND($L$37=0,$P$34=0),"",$L$37-1)),0,YEARFRAC(MAX($P$34*($B370+$I$38-1),IF(AND($L$37=0,$P$34=0),"",$L$37-1)),MIN(BL$38,$E370),$P$20))-SUM($BF370:BK370))</f>
        <v>0</v>
      </c>
      <c r="BM370" s="446">
        <f>IF($E370=0,0,IF(MIN(BM$38,$E370)&lt;MAX($P$34*($B370+$I$38-1),IF(AND($L$37=0,$P$34=0),"",$L$37-1)),0,YEARFRAC(MAX($P$34*($B370+$I$38-1),IF(AND($L$37=0,$P$34=0),"",$L$37-1)),MIN(BM$38,$E370),$P$20))-SUM($BF370:BL370))</f>
        <v>0</v>
      </c>
      <c r="BN370" s="446">
        <f>IF($E370=0,0,IF(MIN(BN$38,$E370)&lt;MAX($P$34*($B370+$I$38-1),IF(AND($L$37=0,$P$34=0),"",$L$37-1)),0,YEARFRAC(MAX($P$34*($B370+$I$38-1),IF(AND($L$37=0,$P$34=0),"",$L$37-1)),MIN(BN$38,$E370),$P$20))-SUM($BF370:BM370))</f>
        <v>0</v>
      </c>
      <c r="BO370" s="446">
        <f>IF($E370=0,0,IF(MIN(BO$38,$E370)&lt;MAX($P$34*($B370+$I$38-1),IF(AND($L$37=0,$P$34=0),"",$L$37-1)),0,YEARFRAC(MAX($P$34*($B370+$I$38-1),IF(AND($L$37=0,$P$34=0),"",$L$37-1)),MIN(BO$38,$E370),$P$20))-SUM($BF370:BN370))</f>
        <v>0</v>
      </c>
      <c r="BP370" s="446">
        <f>IF($E370=0,0,IF(MIN(BP$38,$E370)&lt;MAX($P$34*($B370+$I$38-1),IF(AND($L$37=0,$P$34=0),"",$L$37-1)),0,YEARFRAC(MAX($P$34*($B370+$I$38-1),IF(AND($L$37=0,$P$34=0),"",$L$37-1)),MIN(BP$38,$E370),$P$20))-SUM($BF370:BO370))</f>
        <v>0</v>
      </c>
      <c r="BQ370" s="446">
        <f>IF($E370=0,0,IF(MIN(BQ$38,$E370)&lt;MAX($P$34*($B370+$I$38-1),IF(AND($L$37=0,$P$34=0),"",$L$37-1)),0,YEARFRAC(MAX($P$34*($B370+$I$38-1),IF(AND($L$37=0,$P$34=0),"",$L$37-1)),MIN(BQ$38,$E370),$P$20))-SUM($BF370:BP370))</f>
        <v>0</v>
      </c>
      <c r="BR370" s="446">
        <f>IF($E370=0,0,IF(MIN(BR$38,$E370)&lt;MAX($P$34*($B370+$I$38-1),IF(AND($L$37=0,$P$34=0),"",$L$37-1)),0,YEARFRAC(MAX($P$34*($B370+$I$38-1),IF(AND($L$37=0,$P$34=0),"",$L$37-1)),MIN(BR$38,$E370),$P$20))-SUM($BF370:BQ370))</f>
        <v>0</v>
      </c>
      <c r="BS370" s="446">
        <f>IF($E370=0,0,IF(MIN(BS$38,$E370)&lt;MAX($P$34*($B370+$I$38-1),IF(AND($L$37=0,$P$34=0),"",$L$37-1)),0,YEARFRAC(MAX($P$34*($B370+$I$38-1),IF(AND($L$37=0,$P$34=0),"",$L$37-1)),MIN(BS$38,$E370),$P$20))-SUM($BF370:BR370))</f>
        <v>0</v>
      </c>
      <c r="BT370" s="446">
        <f>IF($E370=0,0,IF(MIN(BT$38,$E370)&lt;MAX($P$34*($B370+$I$38-1),IF(AND($L$37=0,$P$34=0),"",$L$37-1)),0,YEARFRAC(MAX($P$34*($B370+$I$38-1),IF(AND($L$37=0,$P$34=0),"",$L$37-1)),MIN(BT$38,$E370),$P$20))-SUM($BF370:BS370))</f>
        <v>0</v>
      </c>
      <c r="BU370" s="446">
        <f>IF($E370=0,0,IF(MIN(BU$38,$E370)&lt;MAX($P$34*($B370+$I$38-1),IF(AND($L$37=0,$P$34=0),"",$L$37-1)),0,YEARFRAC(MAX($P$34*($B370+$I$38-1),IF(AND($L$37=0,$P$34=0),"",$L$37-1)),MIN(BU$38,$E370),$P$20))-SUM($BF370:BT370))</f>
        <v>0</v>
      </c>
      <c r="BV370" s="446">
        <f>IF($E370=0,0,IF(MIN(BV$38,$E370)&lt;MAX($P$34*($B370+$I$38-1),IF(AND($L$37=0,$P$34=0),"",$L$37-1)),0,YEARFRAC(MAX($P$34*($B370+$I$38-1),IF(AND($L$37=0,$P$34=0),"",$L$37-1)),MIN(BV$38,$E370),$P$20))-SUM($BF370:BU370))</f>
        <v>0</v>
      </c>
      <c r="BW370" s="446">
        <f>IF($E370=0,0,IF(MIN(BW$38,$E370)&lt;MAX($P$34*($B370+$I$38-1),IF(AND($L$37=0,$P$34=0),"",$L$37-1)),0,YEARFRAC(MAX($P$34*($B370+$I$38-1),IF(AND($L$37=0,$P$34=0),"",$L$37-1)),MIN(BW$38,$E370),$P$20))-SUM($BF370:BV370))</f>
        <v>0</v>
      </c>
      <c r="BX370" s="446">
        <f>IF($E370=0,0,IF(MIN(BX$38,$E370)&lt;MAX($P$34*($B370+$I$38-1),IF(AND($L$37=0,$P$34=0),"",$L$37-1)),0,YEARFRAC(MAX($P$34*($B370+$I$38-1),IF(AND($L$37=0,$P$34=0),"",$L$37-1)),MIN(BX$38,$E370),$P$20))-SUM($BF370:BW370))</f>
        <v>0</v>
      </c>
      <c r="BY370" s="446">
        <f>IF($E370=0,0,IF(MIN(BY$38,$E370)&lt;MAX($P$34*($B370+$I$38-1),IF(AND($L$37=0,$P$34=0),"",$L$37-1)),0,YEARFRAC(MAX($P$34*($B370+$I$38-1),IF(AND($L$37=0,$P$34=0),"",$L$37-1)),MIN(BY$38,$E370),$P$20))-SUM($BF370:BX370))</f>
        <v>0</v>
      </c>
      <c r="BZ370" s="446">
        <f>IF($E370=0,0,IF(MIN(BZ$38,$E370)&lt;MAX($P$34*($B370+$I$38-1),IF(AND($L$37=0,$P$34=0),"",$L$37-1)),0,YEARFRAC(MAX($P$34*($B370+$I$38-1),IF(AND($L$37=0,$P$34=0),"",$L$37-1)),MIN(BZ$38,$E370),$P$20))-SUM($BF370:BY370))</f>
        <v>0</v>
      </c>
      <c r="CA370" s="446">
        <f>IF($E370=0,0,IF(MIN(CA$38,$E370)&lt;MAX($P$34*($B370+$I$38-1),IF(AND($L$37=0,$P$34=0),"",$L$37-1)),0,YEARFRAC(MAX($P$34*($B370+$I$38-1),IF(AND($L$37=0,$P$34=0),"",$L$37-1)),MIN(CA$38,$E370),$P$20))-SUM($BF370:BZ370))</f>
        <v>0</v>
      </c>
      <c r="CB370" s="446">
        <f>IF($E370=0,0,IF(MIN(CB$38,$E370)&lt;MAX($P$34*($B370+$I$38-1),IF(AND($L$37=0,$P$34=0),"",$L$37-1)),0,YEARFRAC(MAX($P$34*($B370+$I$38-1),IF(AND($L$37=0,$P$34=0),"",$L$37-1)),MIN(CB$38,$E370),$P$20))-SUM($BF370:CA370))</f>
        <v>0</v>
      </c>
      <c r="CC370" s="446">
        <f>IF($E370=0,0,IF(MIN(CC$38,$E370)&lt;MAX($P$34*($B370+$I$38-1),IF(AND($L$37=0,$P$34=0),"",$L$37-1)),0,YEARFRAC(MAX($P$34*($B370+$I$38-1),IF(AND($L$37=0,$P$34=0),"",$L$37-1)),MIN(CC$38,$E370),$P$20))-SUM($BF370:CB370))</f>
        <v>0</v>
      </c>
      <c r="CD370" s="446">
        <f>IF($E370=0,0,IF(MIN(CD$38,$E370)&lt;MAX($P$34*($B370+$I$38-1),IF(AND($L$37=0,$P$34=0),"",$L$37-1)),0,YEARFRAC(MAX($P$34*($B370+$I$38-1),IF(AND($L$37=0,$P$34=0),"",$L$37-1)),MIN(CD$38,$E370),$P$20))-SUM($BF370:CC370))</f>
        <v>0</v>
      </c>
      <c r="CE370" s="446">
        <f>IF($E370=0,0,IF(MIN(CE$38,$E370)&lt;MAX($P$34*($B370+$I$38-1),IF(AND($L$37=0,$P$34=0),"",$L$37-1)),0,YEARFRAC(MAX($P$34*($B370+$I$38-1),IF(AND($L$37=0,$P$34=0),"",$L$37-1)),MIN(CE$38,$E370),$P$20))-SUM($BF370:CD370))</f>
        <v>0</v>
      </c>
      <c r="CF370" s="446">
        <f>IF($E370=0,0,IF(MIN(CF$38,$E370)&lt;MAX($P$34*($B370+$I$38-1),IF(AND($L$37=0,$P$34=0),"",$L$37-1)),0,YEARFRAC(MAX($P$34*($B370+$I$38-1),IF(AND($L$37=0,$P$34=0),"",$L$37-1)),MIN(CF$38,$E370),$P$20))-SUM($BF370:CE370))</f>
        <v>0</v>
      </c>
      <c r="CG370" s="446">
        <f>IF($E370=0,0,IF(MIN(CG$38,$E370)&lt;MAX($P$34*($B370+$I$38-1),IF(AND($L$37=0,$P$34=0),"",$L$37-1)),0,YEARFRAC(MAX($P$34*($B370+$I$38-1),IF(AND($L$37=0,$P$34=0),"",$L$37-1)),MIN(CG$38,$E370),$P$20))-SUM($BF370:CF370))</f>
        <v>0</v>
      </c>
      <c r="CH370" s="446">
        <f>IF($E370=0,0,IF(MIN(CH$38,$E370)&lt;MAX($P$34*($B370+$I$38-1),IF(AND($L$37=0,$P$34=0),"",$L$37-1)),0,YEARFRAC(MAX($P$34*($B370+$I$38-1),IF(AND($L$37=0,$P$34=0),"",$L$37-1)),MIN(CH$38,$E370),$P$20))-SUM($BF370:CG370))</f>
        <v>0</v>
      </c>
      <c r="CI370" s="446">
        <f>IF($E370=0,0,IF(MIN(CI$38,$E370)&lt;MAX($P$34*($B370+$I$38-1),IF(AND($L$37=0,$P$34=0),"",$L$37-1)),0,YEARFRAC(MAX($P$34*($B370+$I$38-1),IF(AND($L$37=0,$P$34=0),"",$L$37-1)),MIN(CI$38,$E370),$P$20))-SUM($BF370:CH370))</f>
        <v>0</v>
      </c>
      <c r="CJ370" s="446">
        <f>IF($E370=0,0,IF(MIN(CJ$38,$E370)&lt;MAX($P$34*($B370+$I$38-1),IF(AND($L$37=0,$P$34=0),"",$L$37-1)),0,YEARFRAC(MAX($P$34*($B370+$I$38-1),IF(AND($L$37=0,$P$34=0),"",$L$37-1)),MIN(CJ$38,$E370),$P$20))-SUM($BF370:CI370))</f>
        <v>0</v>
      </c>
      <c r="CK370" s="446">
        <f>IF($E370=0,0,IF(MIN(CK$38,$E370)&lt;MAX($P$34*($B370+$I$38-1),IF(AND($L$37=0,$P$34=0),"",$L$37-1)),0,YEARFRAC(MAX($P$34*($B370+$I$38-1),IF(AND($L$37=0,$P$34=0),"",$L$37-1)),MIN(CK$38,$E370),$P$20))-SUM($BF370:CJ370))</f>
        <v>0</v>
      </c>
      <c r="CL370" s="446">
        <f>IF($E370=0,0,IF(MIN(CL$38,$E370)&lt;MAX($P$34*($B370+$I$38-1),IF(AND($L$37=0,$P$34=0),"",$L$37-1)),0,YEARFRAC(MAX($P$34*($B370+$I$38-1),IF(AND($L$37=0,$P$34=0),"",$L$37-1)),MIN(CL$38,$E370),$P$20))-SUM($BF370:CK370))</f>
        <v>0</v>
      </c>
      <c r="CM370" s="446">
        <f>IF($E370=0,0,IF(MIN(CM$38,$E370)&lt;MAX($P$34*($B370+$I$38-1),IF(AND($L$37=0,$P$34=0),"",$L$37-1)),0,YEARFRAC(MAX($P$34*($B370+$I$38-1),IF(AND($L$37=0,$P$34=0),"",$L$37-1)),MIN(CM$38,$E370),$P$20))-SUM($BF370:CL370))</f>
        <v>0</v>
      </c>
      <c r="CN370" s="446">
        <f>IF($E370=0,0,IF(MIN(CN$38,$E370)&lt;MAX($P$34*($B370+$I$38-1),IF(AND($L$37=0,$P$34=0),"",$L$37-1)),0,YEARFRAC(MAX($P$34*($B370+$I$38-1),IF(AND($L$37=0,$P$34=0),"",$L$37-1)),MIN(CN$38,$E370),$P$20))-SUM($BF370:CM370))</f>
        <v>0</v>
      </c>
      <c r="CO370" s="446">
        <f>IF($E370=0,0,IF(MIN(CO$38,$E370)&lt;MAX($P$34*($B370+$I$38-1),IF(AND($L$37=0,$P$34=0),"",$L$37-1)),0,YEARFRAC(MAX($P$34*($B370+$I$38-1),IF(AND($L$37=0,$P$34=0),"",$L$37-1)),MIN(CO$38,$E370),$P$20))-SUM($BF370:CN370))</f>
        <v>0</v>
      </c>
      <c r="CP370" s="446">
        <f>IF($E370=0,0,IF(MIN(CP$38,$E370)&lt;MAX($P$34*($B370+$I$38-1),IF(AND($L$37=0,$P$34=0),"",$L$37-1)),0,YEARFRAC(MAX($P$34*($B370+$I$38-1),IF(AND($L$37=0,$P$34=0),"",$L$37-1)),MIN(CP$38,$E370),$P$20))-SUM($BF370:CO370))</f>
        <v>0</v>
      </c>
      <c r="CQ370" s="446">
        <f>IF($E370=0,0,IF(MIN(CQ$38,$E370)&lt;MAX($P$34*($B370+$I$38-1),IF(AND($L$37=0,$P$34=0),"",$L$37-1)),0,YEARFRAC(MAX($P$34*($B370+$I$38-1),IF(AND($L$37=0,$P$34=0),"",$L$37-1)),MIN(CQ$38,$E370),$P$20))-SUM($BF370:CP370))</f>
        <v>0</v>
      </c>
    </row>
    <row r="371" spans="1:95" s="446" customFormat="1" ht="11.25" hidden="1" customHeight="1" x14ac:dyDescent="0.2">
      <c r="A371" s="152"/>
      <c r="B371" s="153" t="str">
        <f t="shared" si="70"/>
        <v/>
      </c>
      <c r="C371" s="29" t="str">
        <f>IF(B371="","",IF($L$35="SELIC - TRIBUTOS",VLOOKUP(DATE(YEAR($D$19),MONTH($D$19)-1,1),ÍNDICES!$A:$DE,HLOOKUP($BL$25,ÍNDICES!$B$3:$T$4,2)+11)-VLOOKUP(B371,ÍNDICES!$A:$DE,HLOOKUP($BL$25,ÍNDICES!$B$3:$T$4,2)+11)+1%,IF(C$38=$W$26,$J$35,IF(ISERROR(IF(B371&gt;$D$19,1,VLOOKUP(DATE(YEAR(B371),MONTH(B371)+IF($C$35=$S$23,1,0),1),ÍNDICES!$A:$DE,$Z$35+1))),"",IF(B371&gt;$D$19,1,VLOOKUP(DATE(YEAR(B371),MONTH(B371)+IF($C$35=$S$23,1,0),1),ÍNDICES!$A:$DE,$Z$35+1))))))</f>
        <v/>
      </c>
      <c r="D371" s="154" t="str">
        <f>IF(ISERROR(IF(OR($D$38=$Y$27,$B371=""),"",VLOOKUP(B371,ÍNDICES!A:DE,AF$35+1))),"",IF(OR($D$38=$Y$27,$B371=""),"",VLOOKUP(B371,ÍNDICES!A:DE,AF$35+1)))</f>
        <v/>
      </c>
      <c r="E371" s="153"/>
      <c r="F371" s="29" t="str">
        <f>IF(E371="","",IF($L$35="SELIC - TRIBUTOS",VLOOKUP(DATE(YEAR($D$19),MONTH($D$19)-1,1),ÍNDICES!$A:$DE,HLOOKUP($BL$25,ÍNDICES!$B$3:$T$4,2)+11)-VLOOKUP(E371,ÍNDICES!$A:$DE,HLOOKUP($BL$25,ÍNDICES!$B$3:$T$4,2)+11)+1%,IF(F$38=$W$26,$J$35,IF(ISERROR(IF(E371&gt;$D$19,1,VLOOKUP(DATE(YEAR(E371),MONTH(E371)+IF($C$35=$S$23,1,0),1),ÍNDICES!$A:$DE,$Z$35+1))),"",IF(E371&gt;$D$19,1,VLOOKUP(DATE(YEAR(E371),MONTH(E371)+IF($C$35=$S$23,1,0),1),ÍNDICES!$A:$DE,$Z$35+1))))))</f>
        <v/>
      </c>
      <c r="G371" s="155"/>
      <c r="H371" s="156" t="str">
        <f t="shared" si="66"/>
        <v/>
      </c>
      <c r="I371" s="29" t="str">
        <f t="shared" si="60"/>
        <v/>
      </c>
      <c r="J371" s="5">
        <f t="shared" si="61"/>
        <v>0</v>
      </c>
      <c r="K371" s="20">
        <f t="shared" ca="1" si="62"/>
        <v>0</v>
      </c>
      <c r="L371" s="5">
        <f t="shared" ca="1" si="63"/>
        <v>0</v>
      </c>
      <c r="M371" s="64">
        <f t="shared" si="67"/>
        <v>0</v>
      </c>
      <c r="N371" s="61">
        <f t="shared" ca="1" si="68"/>
        <v>0</v>
      </c>
      <c r="O371" s="5">
        <f t="shared" ca="1" si="69"/>
        <v>0</v>
      </c>
      <c r="P371" s="446" t="e">
        <f t="shared" si="64"/>
        <v>#VALUE!</v>
      </c>
      <c r="Q371" s="446" t="e">
        <f>IF(OR($B371="",MIN(Q$38,$D$19)&lt;MAX($P$34*($B371+IF($R$17="Distrato",$I$38-1,0)),IF(AND($L$37=0,$P$34=0),"",$L$37-1),IF($R$17="Distrato",$E371,0))),0,YEARFRAC(MAX($P$34*($B371+IF($R$17="Distrato",$I$38-1,0)),IF(AND($L$37=0,$P$34=0),"",$L$37-1),IF($R$17="Distrato",$E371,0)),MIN(Q$38,$D$19),$P$20))-SUM($P371:P371)</f>
        <v>#VALUE!</v>
      </c>
      <c r="R371" s="446" t="e">
        <f>IF(OR($B371="",MIN(R$38,$D$19)&lt;MAX($P$34*($B371+IF($R$17="Distrato",$I$38-1,0)),IF(AND($L$37=0,$P$34=0),"",$L$37-1),IF($R$17="Distrato",$E371,0))),0,YEARFRAC(MAX($P$34*($B371+IF($R$17="Distrato",$I$38-1,0)),IF(AND($L$37=0,$P$34=0),"",$L$37-1),IF($R$17="Distrato",$E371,0)),MIN(R$38,$D$19),$P$20))-SUM($P371:Q371)</f>
        <v>#VALUE!</v>
      </c>
      <c r="S371" s="446" t="e">
        <f>IF(OR($B371="",MIN(S$38,$D$19)&lt;MAX($P$34*($B371+IF($R$17="Distrato",$I$38-1,0)),IF(AND($L$37=0,$P$34=0),"",$L$37-1),IF($R$17="Distrato",$E371,0))),0,YEARFRAC(MAX($P$34*($B371+IF($R$17="Distrato",$I$38-1,0)),IF(AND($L$37=0,$P$34=0),"",$L$37-1),IF($R$17="Distrato",$E371,0)),MIN(S$38,$D$19),$P$20))-SUM($P371:R371)</f>
        <v>#VALUE!</v>
      </c>
      <c r="T371" s="446" t="e">
        <f>IF(OR($B371="",MIN(T$38,$D$19)&lt;MAX($P$34*($B371+IF($R$17="Distrato",$I$38-1,0)),IF(AND($L$37=0,$P$34=0),"",$L$37-1),IF($R$17="Distrato",$E371,0))),0,YEARFRAC(MAX($P$34*($B371+IF($R$17="Distrato",$I$38-1,0)),IF(AND($L$37=0,$P$34=0),"",$L$37-1),IF($R$17="Distrato",$E371,0)),MIN(T$38,$D$19),$P$20))-SUM($P371:S371)</f>
        <v>#VALUE!</v>
      </c>
      <c r="U371" s="446" t="e">
        <f>IF(OR($B371="",MIN(U$38,$D$19)&lt;MAX($P$34*($B371+IF($R$17="Distrato",$I$38-1,0)),IF(AND($L$37=0,$P$34=0),"",$L$37-1),IF($R$17="Distrato",$E371,0))),0,YEARFRAC(MAX($P$34*($B371+IF($R$17="Distrato",$I$38-1,0)),IF(AND($L$37=0,$P$34=0),"",$L$37-1),IF($R$17="Distrato",$E371,0)),MIN(U$38,$D$19),$P$20))-SUM($P371:T371)</f>
        <v>#VALUE!</v>
      </c>
      <c r="V371" s="446" t="e">
        <f>IF(OR($B371="",MIN(V$38,$D$19)&lt;MAX($P$34*($B371+IF($R$17="Distrato",$I$38-1,0)),IF(AND($L$37=0,$P$34=0),"",$L$37-1),IF($R$17="Distrato",$E371,0))),0,YEARFRAC(MAX($P$34*($B371+IF($R$17="Distrato",$I$38-1,0)),IF(AND($L$37=0,$P$34=0),"",$L$37-1),IF($R$17="Distrato",$E371,0)),MIN(V$38,$D$19),$P$20))-SUM($P371:U371)</f>
        <v>#VALUE!</v>
      </c>
      <c r="W371" s="446" t="e">
        <f>IF(OR($B371="",MIN(W$38,$D$19)&lt;MAX($P$34*($B371+IF($R$17="Distrato",$I$38-1,0)),IF(AND($L$37=0,$P$34=0),"",$L$37-1),IF($R$17="Distrato",$E371,0))),0,YEARFRAC(MAX($P$34*($B371+IF($R$17="Distrato",$I$38-1,0)),IF(AND($L$37=0,$P$34=0),"",$L$37-1),IF($R$17="Distrato",$E371,0)),MIN(W$38,$D$19),$P$20))-SUM($P371:V371)</f>
        <v>#VALUE!</v>
      </c>
      <c r="X371" s="446" t="e">
        <f>IF(OR($B371="",MIN(X$38,$D$19)&lt;MAX($P$34*($B371+IF($R$17="Distrato",$I$38-1,0)),IF(AND($L$37=0,$P$34=0),"",$L$37-1),IF($R$17="Distrato",$E371,0))),0,YEARFRAC(MAX($P$34*($B371+IF($R$17="Distrato",$I$38-1,0)),IF(AND($L$37=0,$P$34=0),"",$L$37-1),IF($R$17="Distrato",$E371,0)),MIN(X$38,$D$19),$P$20))-SUM($P371:W371)</f>
        <v>#VALUE!</v>
      </c>
      <c r="Y371" s="446" t="e">
        <f>IF(OR($B371="",MIN(Y$38,$D$19)&lt;MAX($P$34*($B371+IF($R$17="Distrato",$I$38-1,0)),IF(AND($L$37=0,$P$34=0),"",$L$37-1),IF($R$17="Distrato",$E371,0))),0,YEARFRAC(MAX($P$34*($B371+IF($R$17="Distrato",$I$38-1,0)),IF(AND($L$37=0,$P$34=0),"",$L$37-1),IF($R$17="Distrato",$E371,0)),MIN(Y$38,$D$19),$P$20))-SUM($P371:X371)</f>
        <v>#VALUE!</v>
      </c>
      <c r="Z371" s="446" t="e">
        <f>IF(OR($B371="",MIN(Z$38,$D$19)&lt;MAX($P$34*($B371+IF($R$17="Distrato",$I$38-1,0)),IF(AND($L$37=0,$P$34=0),"",$L$37-1),IF($R$17="Distrato",$E371,0))),0,YEARFRAC(MAX($P$34*($B371+IF($R$17="Distrato",$I$38-1,0)),IF(AND($L$37=0,$P$34=0),"",$L$37-1),IF($R$17="Distrato",$E371,0)),MIN(Z$38,$D$19),$P$20))-SUM($P371:Y371)</f>
        <v>#VALUE!</v>
      </c>
      <c r="AA371" s="446" t="e">
        <f>IF(OR($B371="",MIN(AA$38,$D$19)&lt;MAX($P$34*($B371+IF($R$17="Distrato",$I$38-1,0)),IF(AND($L$37=0,$P$34=0),"",$L$37-1),IF($R$17="Distrato",$E371,0))),0,YEARFRAC(MAX($P$34*($B371+IF($R$17="Distrato",$I$38-1,0)),IF(AND($L$37=0,$P$34=0),"",$L$37-1),IF($R$17="Distrato",$E371,0)),MIN(AA$38,$D$19),$P$20))-SUM($P371:Z371)</f>
        <v>#VALUE!</v>
      </c>
      <c r="AB371" s="446" t="e">
        <f>IF(OR($B371="",MIN(AB$38,$D$19)&lt;MAX($P$34*($B371+IF($R$17="Distrato",$I$38-1,0)),IF(AND($L$37=0,$P$34=0),"",$L$37-1),IF($R$17="Distrato",$E371,0))),0,YEARFRAC(MAX($P$34*($B371+IF($R$17="Distrato",$I$38-1,0)),IF(AND($L$37=0,$P$34=0),"",$L$37-1),IF($R$17="Distrato",$E371,0)),MIN(AB$38,$D$19),$P$20))-SUM($P371:AA371)</f>
        <v>#VALUE!</v>
      </c>
      <c r="AC371" s="446" t="e">
        <f>IF(OR($B371="",MIN(AC$38,$D$19)&lt;MAX($P$34*($B371+IF($R$17="Distrato",$I$38-1,0)),IF(AND($L$37=0,$P$34=0),"",$L$37-1),IF($R$17="Distrato",$E371,0))),0,YEARFRAC(MAX($P$34*($B371+IF($R$17="Distrato",$I$38-1,0)),IF(AND($L$37=0,$P$34=0),"",$L$37-1),IF($R$17="Distrato",$E371,0)),MIN(AC$38,$D$19),$P$20))-SUM($P371:AB371)</f>
        <v>#VALUE!</v>
      </c>
      <c r="AD371" s="446" t="e">
        <f>IF(OR($B371="",MIN(AD$38,$D$19)&lt;MAX($P$34*($B371+IF($R$17="Distrato",$I$38-1,0)),IF(AND($L$37=0,$P$34=0),"",$L$37-1),IF($R$17="Distrato",$E371,0))),0,YEARFRAC(MAX($P$34*($B371+IF($R$17="Distrato",$I$38-1,0)),IF(AND($L$37=0,$P$34=0),"",$L$37-1),IF($R$17="Distrato",$E371,0)),MIN(AD$38,$D$19),$P$20))-SUM($P371:AC371)</f>
        <v>#VALUE!</v>
      </c>
      <c r="AE371" s="446" t="e">
        <f>IF(OR($B371="",MIN(AE$38,$D$19)&lt;MAX($P$34*($B371+IF($R$17="Distrato",$I$38-1,0)),IF(AND($L$37=0,$P$34=0),"",$L$37-1),IF($R$17="Distrato",$E371,0))),0,YEARFRAC(MAX($P$34*($B371+IF($R$17="Distrato",$I$38-1,0)),IF(AND($L$37=0,$P$34=0),"",$L$37-1),IF($R$17="Distrato",$E371,0)),MIN(AE$38,$D$19),$P$20))-SUM($P371:AD371)</f>
        <v>#VALUE!</v>
      </c>
      <c r="AF371" s="446" t="e">
        <f>IF(OR($B371="",MIN(AF$38,$D$19)&lt;MAX($P$34*($B371+IF($R$17="Distrato",$I$38-1,0)),IF(AND($L$37=0,$P$34=0),"",$L$37-1),IF($R$17="Distrato",$E371,0))),0,YEARFRAC(MAX($P$34*($B371+IF($R$17="Distrato",$I$38-1,0)),IF(AND($L$37=0,$P$34=0),"",$L$37-1),IF($R$17="Distrato",$E371,0)),MIN(AF$38,$D$19),$P$20))-SUM($P371:AE371)</f>
        <v>#VALUE!</v>
      </c>
      <c r="AG371" s="446" t="e">
        <f>IF(OR($B371="",MIN(AG$38,$D$19)&lt;MAX($P$34*($B371+IF($R$17="Distrato",$I$38-1,0)),IF(AND($L$37=0,$P$34=0),"",$L$37-1),IF($R$17="Distrato",$E371,0))),0,YEARFRAC(MAX($P$34*($B371+IF($R$17="Distrato",$I$38-1,0)),IF(AND($L$37=0,$P$34=0),"",$L$37-1),IF($R$17="Distrato",$E371,0)),MIN(AG$38,$D$19),$P$20))-SUM($P371:AF371)</f>
        <v>#VALUE!</v>
      </c>
      <c r="AH371" s="446" t="e">
        <f>IF(OR($B371="",MIN(AH$38,$D$19)&lt;MAX($P$34*($B371+IF($R$17="Distrato",$I$38-1,0)),IF(AND($L$37=0,$P$34=0),"",$L$37-1),IF($R$17="Distrato",$E371,0))),0,YEARFRAC(MAX($P$34*($B371+IF($R$17="Distrato",$I$38-1,0)),IF(AND($L$37=0,$P$34=0),"",$L$37-1),IF($R$17="Distrato",$E371,0)),MIN(AH$38,$D$19),$P$20))-SUM($P371:AG371)</f>
        <v>#VALUE!</v>
      </c>
      <c r="AI371" s="446" t="e">
        <f>IF(OR($B371="",MIN(AI$38,$D$19)&lt;MAX($P$34*($B371+IF($R$17="Distrato",$I$38-1,0)),IF(AND($L$37=0,$P$34=0),"",$L$37-1),IF($R$17="Distrato",$E371,0))),0,YEARFRAC(MAX($P$34*($B371+IF($R$17="Distrato",$I$38-1,0)),IF(AND($L$37=0,$P$34=0),"",$L$37-1),IF($R$17="Distrato",$E371,0)),MIN(AI$38,$D$19),$P$20))-SUM($P371:AH371)</f>
        <v>#VALUE!</v>
      </c>
      <c r="AJ371" s="446" t="e">
        <f>IF(OR($B371="",MIN(AJ$38,$D$19)&lt;MAX($P$34*($B371+IF($R$17="Distrato",$I$38-1,0)),IF(AND($L$37=0,$P$34=0),"",$L$37-1),IF($R$17="Distrato",$E371,0))),0,YEARFRAC(MAX($P$34*($B371+IF($R$17="Distrato",$I$38-1,0)),IF(AND($L$37=0,$P$34=0),"",$L$37-1),IF($R$17="Distrato",$E371,0)),MIN(AJ$38,$D$19),$P$20))-SUM($P371:AI371)</f>
        <v>#VALUE!</v>
      </c>
      <c r="AK371" s="446" t="e">
        <f>IF(OR($B371="",MIN(AK$38,$D$19)&lt;MAX($P$34*($B371+IF($R$17="Distrato",$I$38-1,0)),IF(AND($L$37=0,$P$34=0),"",$L$37-1),IF($R$17="Distrato",$E371,0))),0,YEARFRAC(MAX($P$34*($B371+IF($R$17="Distrato",$I$38-1,0)),IF(AND($L$37=0,$P$34=0),"",$L$37-1),IF($R$17="Distrato",$E371,0)),MIN(AK$38,$D$19),$P$20))-SUM($P371:AJ371)</f>
        <v>#VALUE!</v>
      </c>
      <c r="AL371" s="446" t="e">
        <f>IF(OR($B371="",MIN(AL$38,$D$19)&lt;MAX($P$34*($B371+IF($R$17="Distrato",$I$38-1,0)),IF(AND($L$37=0,$P$34=0),"",$L$37-1),IF($R$17="Distrato",$E371,0))),0,YEARFRAC(MAX($P$34*($B371+IF($R$17="Distrato",$I$38-1,0)),IF(AND($L$37=0,$P$34=0),"",$L$37-1),IF($R$17="Distrato",$E371,0)),MIN(AL$38,$D$19),$P$20))-SUM($P371:AK371)</f>
        <v>#VALUE!</v>
      </c>
      <c r="AM371" s="446" t="e">
        <f>IF(OR($B371="",MIN(AM$38,$D$19)&lt;MAX($P$34*($B371+IF($R$17="Distrato",$I$38-1,0)),IF(AND($L$37=0,$P$34=0),"",$L$37-1),IF($R$17="Distrato",$E371,0))),0,YEARFRAC(MAX($P$34*($B371+IF($R$17="Distrato",$I$38-1,0)),IF(AND($L$37=0,$P$34=0),"",$L$37-1),IF($R$17="Distrato",$E371,0)),MIN(AM$38,$D$19),$P$20))-SUM($P371:AL371)</f>
        <v>#VALUE!</v>
      </c>
      <c r="AN371" s="446" t="e">
        <f>IF(OR($B371="",MIN(AN$38,$D$19)&lt;MAX($P$34*($B371+IF($R$17="Distrato",$I$38-1,0)),IF(AND($L$37=0,$P$34=0),"",$L$37-1),IF($R$17="Distrato",$E371,0))),0,YEARFRAC(MAX($P$34*($B371+IF($R$17="Distrato",$I$38-1,0)),IF(AND($L$37=0,$P$34=0),"",$L$37-1),IF($R$17="Distrato",$E371,0)),MIN(AN$38,$D$19),$P$20))-SUM($P371:AM371)</f>
        <v>#VALUE!</v>
      </c>
      <c r="AO371" s="446" t="e">
        <f>IF(OR($B371="",MIN(AO$38,$D$19)&lt;MAX($P$34*($B371+IF($R$17="Distrato",$I$38-1,0)),IF(AND($L$37=0,$P$34=0),"",$L$37-1),IF($R$17="Distrato",$E371,0))),0,YEARFRAC(MAX($P$34*($B371+IF($R$17="Distrato",$I$38-1,0)),IF(AND($L$37=0,$P$34=0),"",$L$37-1),IF($R$17="Distrato",$E371,0)),MIN(AO$38,$D$19),$P$20))-SUM($P371:AN371)</f>
        <v>#VALUE!</v>
      </c>
      <c r="AP371" s="446" t="e">
        <f>IF(OR($B371="",MIN(AP$38,$D$19)&lt;MAX($P$34*($B371+IF($R$17="Distrato",$I$38-1,0)),IF(AND($L$37=0,$P$34=0),"",$L$37-1),IF($R$17="Distrato",$E371,0))),0,YEARFRAC(MAX($P$34*($B371+IF($R$17="Distrato",$I$38-1,0)),IF(AND($L$37=0,$P$34=0),"",$L$37-1),IF($R$17="Distrato",$E371,0)),MIN(AP$38,$D$19),$P$20))-SUM($P371:AO371)</f>
        <v>#VALUE!</v>
      </c>
      <c r="AQ371" s="446" t="e">
        <f>IF(OR($B371="",MIN(AQ$38,$D$19)&lt;MAX($P$34*($B371+IF($R$17="Distrato",$I$38-1,0)),IF(AND($L$37=0,$P$34=0),"",$L$37-1),IF($R$17="Distrato",$E371,0))),0,YEARFRAC(MAX($P$34*($B371+IF($R$17="Distrato",$I$38-1,0)),IF(AND($L$37=0,$P$34=0),"",$L$37-1),IF($R$17="Distrato",$E371,0)),MIN(AQ$38,$D$19),$P$20))-SUM($P371:AP371)</f>
        <v>#VALUE!</v>
      </c>
      <c r="AR371" s="446" t="e">
        <f>IF(OR($B371="",MIN(AR$38,$D$19)&lt;MAX($P$34*($B371+IF($R$17="Distrato",$I$38-1,0)),IF(AND($L$37=0,$P$34=0),"",$L$37-1),IF($R$17="Distrato",$E371,0))),0,YEARFRAC(MAX($P$34*($B371+IF($R$17="Distrato",$I$38-1,0)),IF(AND($L$37=0,$P$34=0),"",$L$37-1),IF($R$17="Distrato",$E371,0)),MIN(AR$38,$D$19),$P$20))-SUM($P371:AQ371)</f>
        <v>#VALUE!</v>
      </c>
      <c r="AS371" s="446" t="e">
        <f>IF(OR($B371="",MIN(AS$38,$D$19)&lt;MAX($P$34*($B371+IF($R$17="Distrato",$I$38-1,0)),IF(AND($L$37=0,$P$34=0),"",$L$37-1),IF($R$17="Distrato",$E371,0))),0,YEARFRAC(MAX($P$34*($B371+IF($R$17="Distrato",$I$38-1,0)),IF(AND($L$37=0,$P$34=0),"",$L$37-1),IF($R$17="Distrato",$E371,0)),MIN(AS$38,$D$19),$P$20))-SUM($P371:AR371)</f>
        <v>#VALUE!</v>
      </c>
      <c r="AT371" s="446" t="e">
        <f>IF(OR($B371="",MIN(AT$38,$D$19)&lt;MAX($P$34*($B371+IF($R$17="Distrato",$I$38-1,0)),IF(AND($L$37=0,$P$34=0),"",$L$37-1),IF($R$17="Distrato",$E371,0))),0,YEARFRAC(MAX($P$34*($B371+IF($R$17="Distrato",$I$38-1,0)),IF(AND($L$37=0,$P$34=0),"",$L$37-1),IF($R$17="Distrato",$E371,0)),MIN(AT$38,$D$19),$P$20))-SUM($P371:AS371)</f>
        <v>#VALUE!</v>
      </c>
      <c r="AU371" s="446" t="e">
        <f>IF(OR($B371="",MIN(AU$38,$D$19)&lt;MAX($P$34*($B371+IF($R$17="Distrato",$I$38-1,0)),IF(AND($L$37=0,$P$34=0),"",$L$37-1),IF($R$17="Distrato",$E371,0))),0,YEARFRAC(MAX($P$34*($B371+IF($R$17="Distrato",$I$38-1,0)),IF(AND($L$37=0,$P$34=0),"",$L$37-1),IF($R$17="Distrato",$E371,0)),MIN(AU$38,$D$19),$P$20))-SUM($P371:AT371)</f>
        <v>#VALUE!</v>
      </c>
      <c r="AV371" s="446" t="e">
        <f>IF(OR($B371="",MIN(AV$38,$D$19)&lt;MAX($P$34*($B371+IF($R$17="Distrato",$I$38-1,0)),IF(AND($L$37=0,$P$34=0),"",$L$37-1),IF($R$17="Distrato",$E371,0))),0,YEARFRAC(MAX($P$34*($B371+IF($R$17="Distrato",$I$38-1,0)),IF(AND($L$37=0,$P$34=0),"",$L$37-1),IF($R$17="Distrato",$E371,0)),MIN(AV$38,$D$19),$P$20))-SUM($P371:AU371)</f>
        <v>#VALUE!</v>
      </c>
      <c r="AW371" s="446" t="e">
        <f>IF(OR($B371="",MIN(AW$38,$D$19)&lt;MAX($P$34*($B371+IF($R$17="Distrato",$I$38-1,0)),IF(AND($L$37=0,$P$34=0),"",$L$37-1),IF($R$17="Distrato",$E371,0))),0,YEARFRAC(MAX($P$34*($B371+IF($R$17="Distrato",$I$38-1,0)),IF(AND($L$37=0,$P$34=0),"",$L$37-1),IF($R$17="Distrato",$E371,0)),MIN(AW$38,$D$19),$P$20))-SUM($P371:AV371)</f>
        <v>#VALUE!</v>
      </c>
      <c r="AX371" s="446" t="e">
        <f>IF(OR($B371="",MIN(AX$38,$D$19)&lt;MAX($P$34*($B371+IF($R$17="Distrato",$I$38-1,0)),IF(AND($L$37=0,$P$34=0),"",$L$37-1),IF($R$17="Distrato",$E371,0))),0,YEARFRAC(MAX($P$34*($B371+IF($R$17="Distrato",$I$38-1,0)),IF(AND($L$37=0,$P$34=0),"",$L$37-1),IF($R$17="Distrato",$E371,0)),MIN(AX$38,$D$19),$P$20))-SUM($P371:AW371)</f>
        <v>#VALUE!</v>
      </c>
      <c r="AY371" s="446" t="e">
        <f>IF(OR($B371="",MIN(AY$38,$D$19)&lt;MAX($P$34*($B371+IF($R$17="Distrato",$I$38-1,0)),IF(AND($L$37=0,$P$34=0),"",$L$37-1),IF($R$17="Distrato",$E371,0))),0,YEARFRAC(MAX($P$34*($B371+IF($R$17="Distrato",$I$38-1,0)),IF(AND($L$37=0,$P$34=0),"",$L$37-1),IF($R$17="Distrato",$E371,0)),MIN(AY$38,$D$19),$P$20))-SUM($P371:AX371)</f>
        <v>#VALUE!</v>
      </c>
      <c r="AZ371" s="446" t="e">
        <f>IF(OR($B371="",MIN(AZ$38,$D$19)&lt;MAX($P$34*($B371+IF($R$17="Distrato",$I$38-1,0)),IF(AND($L$37=0,$P$34=0),"",$L$37-1),IF($R$17="Distrato",$E371,0))),0,YEARFRAC(MAX($P$34*($B371+IF($R$17="Distrato",$I$38-1,0)),IF(AND($L$37=0,$P$34=0),"",$L$37-1),IF($R$17="Distrato",$E371,0)),MIN(AZ$38,$D$19),$P$20))-SUM($P371:AY371)</f>
        <v>#VALUE!</v>
      </c>
      <c r="BA371" s="446" t="e">
        <f>IF(OR($B371="",MIN(BA$38,$D$19)&lt;MAX($P$34*($B371+IF($R$17="Distrato",$I$38-1,0)),IF(AND($L$37=0,$P$34=0),"",$L$37-1),IF($R$17="Distrato",$E371,0))),0,YEARFRAC(MAX($P$34*($B371+IF($R$17="Distrato",$I$38-1,0)),IF(AND($L$37=0,$P$34=0),"",$L$37-1),IF($R$17="Distrato",$E371,0)),MIN(BA$38,$D$19),$P$20))-SUM($P371:AZ371)</f>
        <v>#VALUE!</v>
      </c>
      <c r="BB371" s="447"/>
      <c r="BF371" s="446">
        <f t="shared" si="65"/>
        <v>0</v>
      </c>
      <c r="BG371" s="446">
        <f>IF($E371=0,0,IF(MIN(BG$38,$E371)&lt;MAX($P$34*($B371+$I$38-1),IF(AND($L$37=0,$P$34=0),"",$L$37-1)),0,YEARFRAC(MAX($P$34*($B371+$I$38-1),IF(AND($L$37=0,$P$34=0),"",$L$37-1)),MIN(BG$38,$E371),$P$20))-SUM($BF371:BF371))</f>
        <v>0</v>
      </c>
      <c r="BH371" s="446">
        <f>IF($E371=0,0,IF(MIN(BH$38,$E371)&lt;MAX($P$34*($B371+$I$38-1),IF(AND($L$37=0,$P$34=0),"",$L$37-1)),0,YEARFRAC(MAX($P$34*($B371+$I$38-1),IF(AND($L$37=0,$P$34=0),"",$L$37-1)),MIN(BH$38,$E371),$P$20))-SUM($BF371:BG371))</f>
        <v>0</v>
      </c>
      <c r="BI371" s="446">
        <f>IF($E371=0,0,IF(MIN(BI$38,$E371)&lt;MAX($P$34*($B371+$I$38-1),IF(AND($L$37=0,$P$34=0),"",$L$37-1)),0,YEARFRAC(MAX($P$34*($B371+$I$38-1),IF(AND($L$37=0,$P$34=0),"",$L$37-1)),MIN(BI$38,$E371),$P$20))-SUM($BF371:BH371))</f>
        <v>0</v>
      </c>
      <c r="BJ371" s="446">
        <f>IF($E371=0,0,IF(MIN(BJ$38,$E371)&lt;MAX($P$34*($B371+$I$38-1),IF(AND($L$37=0,$P$34=0),"",$L$37-1)),0,YEARFRAC(MAX($P$34*($B371+$I$38-1),IF(AND($L$37=0,$P$34=0),"",$L$37-1)),MIN(BJ$38,$E371),$P$20))-SUM($BF371:BI371))</f>
        <v>0</v>
      </c>
      <c r="BK371" s="446">
        <f>IF($E371=0,0,IF(MIN(BK$38,$E371)&lt;MAX($P$34*($B371+$I$38-1),IF(AND($L$37=0,$P$34=0),"",$L$37-1)),0,YEARFRAC(MAX($P$34*($B371+$I$38-1),IF(AND($L$37=0,$P$34=0),"",$L$37-1)),MIN(BK$38,$E371),$P$20))-SUM($BF371:BJ371))</f>
        <v>0</v>
      </c>
      <c r="BL371" s="446">
        <f>IF($E371=0,0,IF(MIN(BL$38,$E371)&lt;MAX($P$34*($B371+$I$38-1),IF(AND($L$37=0,$P$34=0),"",$L$37-1)),0,YEARFRAC(MAX($P$34*($B371+$I$38-1),IF(AND($L$37=0,$P$34=0),"",$L$37-1)),MIN(BL$38,$E371),$P$20))-SUM($BF371:BK371))</f>
        <v>0</v>
      </c>
      <c r="BM371" s="446">
        <f>IF($E371=0,0,IF(MIN(BM$38,$E371)&lt;MAX($P$34*($B371+$I$38-1),IF(AND($L$37=0,$P$34=0),"",$L$37-1)),0,YEARFRAC(MAX($P$34*($B371+$I$38-1),IF(AND($L$37=0,$P$34=0),"",$L$37-1)),MIN(BM$38,$E371),$P$20))-SUM($BF371:BL371))</f>
        <v>0</v>
      </c>
      <c r="BN371" s="446">
        <f>IF($E371=0,0,IF(MIN(BN$38,$E371)&lt;MAX($P$34*($B371+$I$38-1),IF(AND($L$37=0,$P$34=0),"",$L$37-1)),0,YEARFRAC(MAX($P$34*($B371+$I$38-1),IF(AND($L$37=0,$P$34=0),"",$L$37-1)),MIN(BN$38,$E371),$P$20))-SUM($BF371:BM371))</f>
        <v>0</v>
      </c>
      <c r="BO371" s="446">
        <f>IF($E371=0,0,IF(MIN(BO$38,$E371)&lt;MAX($P$34*($B371+$I$38-1),IF(AND($L$37=0,$P$34=0),"",$L$37-1)),0,YEARFRAC(MAX($P$34*($B371+$I$38-1),IF(AND($L$37=0,$P$34=0),"",$L$37-1)),MIN(BO$38,$E371),$P$20))-SUM($BF371:BN371))</f>
        <v>0</v>
      </c>
      <c r="BP371" s="446">
        <f>IF($E371=0,0,IF(MIN(BP$38,$E371)&lt;MAX($P$34*($B371+$I$38-1),IF(AND($L$37=0,$P$34=0),"",$L$37-1)),0,YEARFRAC(MAX($P$34*($B371+$I$38-1),IF(AND($L$37=0,$P$34=0),"",$L$37-1)),MIN(BP$38,$E371),$P$20))-SUM($BF371:BO371))</f>
        <v>0</v>
      </c>
      <c r="BQ371" s="446">
        <f>IF($E371=0,0,IF(MIN(BQ$38,$E371)&lt;MAX($P$34*($B371+$I$38-1),IF(AND($L$37=0,$P$34=0),"",$L$37-1)),0,YEARFRAC(MAX($P$34*($B371+$I$38-1),IF(AND($L$37=0,$P$34=0),"",$L$37-1)),MIN(BQ$38,$E371),$P$20))-SUM($BF371:BP371))</f>
        <v>0</v>
      </c>
      <c r="BR371" s="446">
        <f>IF($E371=0,0,IF(MIN(BR$38,$E371)&lt;MAX($P$34*($B371+$I$38-1),IF(AND($L$37=0,$P$34=0),"",$L$37-1)),0,YEARFRAC(MAX($P$34*($B371+$I$38-1),IF(AND($L$37=0,$P$34=0),"",$L$37-1)),MIN(BR$38,$E371),$P$20))-SUM($BF371:BQ371))</f>
        <v>0</v>
      </c>
      <c r="BS371" s="446">
        <f>IF($E371=0,0,IF(MIN(BS$38,$E371)&lt;MAX($P$34*($B371+$I$38-1),IF(AND($L$37=0,$P$34=0),"",$L$37-1)),0,YEARFRAC(MAX($P$34*($B371+$I$38-1),IF(AND($L$37=0,$P$34=0),"",$L$37-1)),MIN(BS$38,$E371),$P$20))-SUM($BF371:BR371))</f>
        <v>0</v>
      </c>
      <c r="BT371" s="446">
        <f>IF($E371=0,0,IF(MIN(BT$38,$E371)&lt;MAX($P$34*($B371+$I$38-1),IF(AND($L$37=0,$P$34=0),"",$L$37-1)),0,YEARFRAC(MAX($P$34*($B371+$I$38-1),IF(AND($L$37=0,$P$34=0),"",$L$37-1)),MIN(BT$38,$E371),$P$20))-SUM($BF371:BS371))</f>
        <v>0</v>
      </c>
      <c r="BU371" s="446">
        <f>IF($E371=0,0,IF(MIN(BU$38,$E371)&lt;MAX($P$34*($B371+$I$38-1),IF(AND($L$37=0,$P$34=0),"",$L$37-1)),0,YEARFRAC(MAX($P$34*($B371+$I$38-1),IF(AND($L$37=0,$P$34=0),"",$L$37-1)),MIN(BU$38,$E371),$P$20))-SUM($BF371:BT371))</f>
        <v>0</v>
      </c>
      <c r="BV371" s="446">
        <f>IF($E371=0,0,IF(MIN(BV$38,$E371)&lt;MAX($P$34*($B371+$I$38-1),IF(AND($L$37=0,$P$34=0),"",$L$37-1)),0,YEARFRAC(MAX($P$34*($B371+$I$38-1),IF(AND($L$37=0,$P$34=0),"",$L$37-1)),MIN(BV$38,$E371),$P$20))-SUM($BF371:BU371))</f>
        <v>0</v>
      </c>
      <c r="BW371" s="446">
        <f>IF($E371=0,0,IF(MIN(BW$38,$E371)&lt;MAX($P$34*($B371+$I$38-1),IF(AND($L$37=0,$P$34=0),"",$L$37-1)),0,YEARFRAC(MAX($P$34*($B371+$I$38-1),IF(AND($L$37=0,$P$34=0),"",$L$37-1)),MIN(BW$38,$E371),$P$20))-SUM($BF371:BV371))</f>
        <v>0</v>
      </c>
      <c r="BX371" s="446">
        <f>IF($E371=0,0,IF(MIN(BX$38,$E371)&lt;MAX($P$34*($B371+$I$38-1),IF(AND($L$37=0,$P$34=0),"",$L$37-1)),0,YEARFRAC(MAX($P$34*($B371+$I$38-1),IF(AND($L$37=0,$P$34=0),"",$L$37-1)),MIN(BX$38,$E371),$P$20))-SUM($BF371:BW371))</f>
        <v>0</v>
      </c>
      <c r="BY371" s="446">
        <f>IF($E371=0,0,IF(MIN(BY$38,$E371)&lt;MAX($P$34*($B371+$I$38-1),IF(AND($L$37=0,$P$34=0),"",$L$37-1)),0,YEARFRAC(MAX($P$34*($B371+$I$38-1),IF(AND($L$37=0,$P$34=0),"",$L$37-1)),MIN(BY$38,$E371),$P$20))-SUM($BF371:BX371))</f>
        <v>0</v>
      </c>
      <c r="BZ371" s="446">
        <f>IF($E371=0,0,IF(MIN(BZ$38,$E371)&lt;MAX($P$34*($B371+$I$38-1),IF(AND($L$37=0,$P$34=0),"",$L$37-1)),0,YEARFRAC(MAX($P$34*($B371+$I$38-1),IF(AND($L$37=0,$P$34=0),"",$L$37-1)),MIN(BZ$38,$E371),$P$20))-SUM($BF371:BY371))</f>
        <v>0</v>
      </c>
      <c r="CA371" s="446">
        <f>IF($E371=0,0,IF(MIN(CA$38,$E371)&lt;MAX($P$34*($B371+$I$38-1),IF(AND($L$37=0,$P$34=0),"",$L$37-1)),0,YEARFRAC(MAX($P$34*($B371+$I$38-1),IF(AND($L$37=0,$P$34=0),"",$L$37-1)),MIN(CA$38,$E371),$P$20))-SUM($BF371:BZ371))</f>
        <v>0</v>
      </c>
      <c r="CB371" s="446">
        <f>IF($E371=0,0,IF(MIN(CB$38,$E371)&lt;MAX($P$34*($B371+$I$38-1),IF(AND($L$37=0,$P$34=0),"",$L$37-1)),0,YEARFRAC(MAX($P$34*($B371+$I$38-1),IF(AND($L$37=0,$P$34=0),"",$L$37-1)),MIN(CB$38,$E371),$P$20))-SUM($BF371:CA371))</f>
        <v>0</v>
      </c>
      <c r="CC371" s="446">
        <f>IF($E371=0,0,IF(MIN(CC$38,$E371)&lt;MAX($P$34*($B371+$I$38-1),IF(AND($L$37=0,$P$34=0),"",$L$37-1)),0,YEARFRAC(MAX($P$34*($B371+$I$38-1),IF(AND($L$37=0,$P$34=0),"",$L$37-1)),MIN(CC$38,$E371),$P$20))-SUM($BF371:CB371))</f>
        <v>0</v>
      </c>
      <c r="CD371" s="446">
        <f>IF($E371=0,0,IF(MIN(CD$38,$E371)&lt;MAX($P$34*($B371+$I$38-1),IF(AND($L$37=0,$P$34=0),"",$L$37-1)),0,YEARFRAC(MAX($P$34*($B371+$I$38-1),IF(AND($L$37=0,$P$34=0),"",$L$37-1)),MIN(CD$38,$E371),$P$20))-SUM($BF371:CC371))</f>
        <v>0</v>
      </c>
      <c r="CE371" s="446">
        <f>IF($E371=0,0,IF(MIN(CE$38,$E371)&lt;MAX($P$34*($B371+$I$38-1),IF(AND($L$37=0,$P$34=0),"",$L$37-1)),0,YEARFRAC(MAX($P$34*($B371+$I$38-1),IF(AND($L$37=0,$P$34=0),"",$L$37-1)),MIN(CE$38,$E371),$P$20))-SUM($BF371:CD371))</f>
        <v>0</v>
      </c>
      <c r="CF371" s="446">
        <f>IF($E371=0,0,IF(MIN(CF$38,$E371)&lt;MAX($P$34*($B371+$I$38-1),IF(AND($L$37=0,$P$34=0),"",$L$37-1)),0,YEARFRAC(MAX($P$34*($B371+$I$38-1),IF(AND($L$37=0,$P$34=0),"",$L$37-1)),MIN(CF$38,$E371),$P$20))-SUM($BF371:CE371))</f>
        <v>0</v>
      </c>
      <c r="CG371" s="446">
        <f>IF($E371=0,0,IF(MIN(CG$38,$E371)&lt;MAX($P$34*($B371+$I$38-1),IF(AND($L$37=0,$P$34=0),"",$L$37-1)),0,YEARFRAC(MAX($P$34*($B371+$I$38-1),IF(AND($L$37=0,$P$34=0),"",$L$37-1)),MIN(CG$38,$E371),$P$20))-SUM($BF371:CF371))</f>
        <v>0</v>
      </c>
      <c r="CH371" s="446">
        <f>IF($E371=0,0,IF(MIN(CH$38,$E371)&lt;MAX($P$34*($B371+$I$38-1),IF(AND($L$37=0,$P$34=0),"",$L$37-1)),0,YEARFRAC(MAX($P$34*($B371+$I$38-1),IF(AND($L$37=0,$P$34=0),"",$L$37-1)),MIN(CH$38,$E371),$P$20))-SUM($BF371:CG371))</f>
        <v>0</v>
      </c>
      <c r="CI371" s="446">
        <f>IF($E371=0,0,IF(MIN(CI$38,$E371)&lt;MAX($P$34*($B371+$I$38-1),IF(AND($L$37=0,$P$34=0),"",$L$37-1)),0,YEARFRAC(MAX($P$34*($B371+$I$38-1),IF(AND($L$37=0,$P$34=0),"",$L$37-1)),MIN(CI$38,$E371),$P$20))-SUM($BF371:CH371))</f>
        <v>0</v>
      </c>
      <c r="CJ371" s="446">
        <f>IF($E371=0,0,IF(MIN(CJ$38,$E371)&lt;MAX($P$34*($B371+$I$38-1),IF(AND($L$37=0,$P$34=0),"",$L$37-1)),0,YEARFRAC(MAX($P$34*($B371+$I$38-1),IF(AND($L$37=0,$P$34=0),"",$L$37-1)),MIN(CJ$38,$E371),$P$20))-SUM($BF371:CI371))</f>
        <v>0</v>
      </c>
      <c r="CK371" s="446">
        <f>IF($E371=0,0,IF(MIN(CK$38,$E371)&lt;MAX($P$34*($B371+$I$38-1),IF(AND($L$37=0,$P$34=0),"",$L$37-1)),0,YEARFRAC(MAX($P$34*($B371+$I$38-1),IF(AND($L$37=0,$P$34=0),"",$L$37-1)),MIN(CK$38,$E371),$P$20))-SUM($BF371:CJ371))</f>
        <v>0</v>
      </c>
      <c r="CL371" s="446">
        <f>IF($E371=0,0,IF(MIN(CL$38,$E371)&lt;MAX($P$34*($B371+$I$38-1),IF(AND($L$37=0,$P$34=0),"",$L$37-1)),0,YEARFRAC(MAX($P$34*($B371+$I$38-1),IF(AND($L$37=0,$P$34=0),"",$L$37-1)),MIN(CL$38,$E371),$P$20))-SUM($BF371:CK371))</f>
        <v>0</v>
      </c>
      <c r="CM371" s="446">
        <f>IF($E371=0,0,IF(MIN(CM$38,$E371)&lt;MAX($P$34*($B371+$I$38-1),IF(AND($L$37=0,$P$34=0),"",$L$37-1)),0,YEARFRAC(MAX($P$34*($B371+$I$38-1),IF(AND($L$37=0,$P$34=0),"",$L$37-1)),MIN(CM$38,$E371),$P$20))-SUM($BF371:CL371))</f>
        <v>0</v>
      </c>
      <c r="CN371" s="446">
        <f>IF($E371=0,0,IF(MIN(CN$38,$E371)&lt;MAX($P$34*($B371+$I$38-1),IF(AND($L$37=0,$P$34=0),"",$L$37-1)),0,YEARFRAC(MAX($P$34*($B371+$I$38-1),IF(AND($L$37=0,$P$34=0),"",$L$37-1)),MIN(CN$38,$E371),$P$20))-SUM($BF371:CM371))</f>
        <v>0</v>
      </c>
      <c r="CO371" s="446">
        <f>IF($E371=0,0,IF(MIN(CO$38,$E371)&lt;MAX($P$34*($B371+$I$38-1),IF(AND($L$37=0,$P$34=0),"",$L$37-1)),0,YEARFRAC(MAX($P$34*($B371+$I$38-1),IF(AND($L$37=0,$P$34=0),"",$L$37-1)),MIN(CO$38,$E371),$P$20))-SUM($BF371:CN371))</f>
        <v>0</v>
      </c>
      <c r="CP371" s="446">
        <f>IF($E371=0,0,IF(MIN(CP$38,$E371)&lt;MAX($P$34*($B371+$I$38-1),IF(AND($L$37=0,$P$34=0),"",$L$37-1)),0,YEARFRAC(MAX($P$34*($B371+$I$38-1),IF(AND($L$37=0,$P$34=0),"",$L$37-1)),MIN(CP$38,$E371),$P$20))-SUM($BF371:CO371))</f>
        <v>0</v>
      </c>
      <c r="CQ371" s="446">
        <f>IF($E371=0,0,IF(MIN(CQ$38,$E371)&lt;MAX($P$34*($B371+$I$38-1),IF(AND($L$37=0,$P$34=0),"",$L$37-1)),0,YEARFRAC(MAX($P$34*($B371+$I$38-1),IF(AND($L$37=0,$P$34=0),"",$L$37-1)),MIN(CQ$38,$E371),$P$20))-SUM($BF371:CP371))</f>
        <v>0</v>
      </c>
    </row>
    <row r="372" spans="1:95" s="446" customFormat="1" ht="11.25" hidden="1" customHeight="1" x14ac:dyDescent="0.2">
      <c r="A372" s="152"/>
      <c r="B372" s="153" t="str">
        <f t="shared" si="70"/>
        <v/>
      </c>
      <c r="C372" s="29" t="str">
        <f>IF(B372="","",IF($L$35="SELIC - TRIBUTOS",VLOOKUP(DATE(YEAR($D$19),MONTH($D$19)-1,1),ÍNDICES!$A:$DE,HLOOKUP($BL$25,ÍNDICES!$B$3:$T$4,2)+11)-VLOOKUP(B372,ÍNDICES!$A:$DE,HLOOKUP($BL$25,ÍNDICES!$B$3:$T$4,2)+11)+1%,IF(C$38=$W$26,$J$35,IF(ISERROR(IF(B372&gt;$D$19,1,VLOOKUP(DATE(YEAR(B372),MONTH(B372)+IF($C$35=$S$23,1,0),1),ÍNDICES!$A:$DE,$Z$35+1))),"",IF(B372&gt;$D$19,1,VLOOKUP(DATE(YEAR(B372),MONTH(B372)+IF($C$35=$S$23,1,0),1),ÍNDICES!$A:$DE,$Z$35+1))))))</f>
        <v/>
      </c>
      <c r="D372" s="154" t="str">
        <f>IF(ISERROR(IF(OR($D$38=$Y$27,$B372=""),"",VLOOKUP(B372,ÍNDICES!A:DE,AF$35+1))),"",IF(OR($D$38=$Y$27,$B372=""),"",VLOOKUP(B372,ÍNDICES!A:DE,AF$35+1)))</f>
        <v/>
      </c>
      <c r="E372" s="153"/>
      <c r="F372" s="29" t="str">
        <f>IF(E372="","",IF($L$35="SELIC - TRIBUTOS",VLOOKUP(DATE(YEAR($D$19),MONTH($D$19)-1,1),ÍNDICES!$A:$DE,HLOOKUP($BL$25,ÍNDICES!$B$3:$T$4,2)+11)-VLOOKUP(E372,ÍNDICES!$A:$DE,HLOOKUP($BL$25,ÍNDICES!$B$3:$T$4,2)+11)+1%,IF(F$38=$W$26,$J$35,IF(ISERROR(IF(E372&gt;$D$19,1,VLOOKUP(DATE(YEAR(E372),MONTH(E372)+IF($C$35=$S$23,1,0),1),ÍNDICES!$A:$DE,$Z$35+1))),"",IF(E372&gt;$D$19,1,VLOOKUP(DATE(YEAR(E372),MONTH(E372)+IF($C$35=$S$23,1,0),1),ÍNDICES!$A:$DE,$Z$35+1))))))</f>
        <v/>
      </c>
      <c r="G372" s="155"/>
      <c r="H372" s="156" t="str">
        <f t="shared" si="66"/>
        <v/>
      </c>
      <c r="I372" s="29" t="str">
        <f t="shared" si="60"/>
        <v/>
      </c>
      <c r="J372" s="5">
        <f t="shared" si="61"/>
        <v>0</v>
      </c>
      <c r="K372" s="20">
        <f t="shared" ca="1" si="62"/>
        <v>0</v>
      </c>
      <c r="L372" s="5">
        <f t="shared" ca="1" si="63"/>
        <v>0</v>
      </c>
      <c r="M372" s="64">
        <f t="shared" si="67"/>
        <v>0</v>
      </c>
      <c r="N372" s="61">
        <f t="shared" ca="1" si="68"/>
        <v>0</v>
      </c>
      <c r="O372" s="5">
        <f t="shared" ca="1" si="69"/>
        <v>0</v>
      </c>
      <c r="P372" s="446" t="e">
        <f t="shared" si="64"/>
        <v>#VALUE!</v>
      </c>
      <c r="Q372" s="446" t="e">
        <f>IF(OR($B372="",MIN(Q$38,$D$19)&lt;MAX($P$34*($B372+IF($R$17="Distrato",$I$38-1,0)),IF(AND($L$37=0,$P$34=0),"",$L$37-1),IF($R$17="Distrato",$E372,0))),0,YEARFRAC(MAX($P$34*($B372+IF($R$17="Distrato",$I$38-1,0)),IF(AND($L$37=0,$P$34=0),"",$L$37-1),IF($R$17="Distrato",$E372,0)),MIN(Q$38,$D$19),$P$20))-SUM($P372:P372)</f>
        <v>#VALUE!</v>
      </c>
      <c r="R372" s="446" t="e">
        <f>IF(OR($B372="",MIN(R$38,$D$19)&lt;MAX($P$34*($B372+IF($R$17="Distrato",$I$38-1,0)),IF(AND($L$37=0,$P$34=0),"",$L$37-1),IF($R$17="Distrato",$E372,0))),0,YEARFRAC(MAX($P$34*($B372+IF($R$17="Distrato",$I$38-1,0)),IF(AND($L$37=0,$P$34=0),"",$L$37-1),IF($R$17="Distrato",$E372,0)),MIN(R$38,$D$19),$P$20))-SUM($P372:Q372)</f>
        <v>#VALUE!</v>
      </c>
      <c r="S372" s="446" t="e">
        <f>IF(OR($B372="",MIN(S$38,$D$19)&lt;MAX($P$34*($B372+IF($R$17="Distrato",$I$38-1,0)),IF(AND($L$37=0,$P$34=0),"",$L$37-1),IF($R$17="Distrato",$E372,0))),0,YEARFRAC(MAX($P$34*($B372+IF($R$17="Distrato",$I$38-1,0)),IF(AND($L$37=0,$P$34=0),"",$L$37-1),IF($R$17="Distrato",$E372,0)),MIN(S$38,$D$19),$P$20))-SUM($P372:R372)</f>
        <v>#VALUE!</v>
      </c>
      <c r="T372" s="446" t="e">
        <f>IF(OR($B372="",MIN(T$38,$D$19)&lt;MAX($P$34*($B372+IF($R$17="Distrato",$I$38-1,0)),IF(AND($L$37=0,$P$34=0),"",$L$37-1),IF($R$17="Distrato",$E372,0))),0,YEARFRAC(MAX($P$34*($B372+IF($R$17="Distrato",$I$38-1,0)),IF(AND($L$37=0,$P$34=0),"",$L$37-1),IF($R$17="Distrato",$E372,0)),MIN(T$38,$D$19),$P$20))-SUM($P372:S372)</f>
        <v>#VALUE!</v>
      </c>
      <c r="U372" s="446" t="e">
        <f>IF(OR($B372="",MIN(U$38,$D$19)&lt;MAX($P$34*($B372+IF($R$17="Distrato",$I$38-1,0)),IF(AND($L$37=0,$P$34=0),"",$L$37-1),IF($R$17="Distrato",$E372,0))),0,YEARFRAC(MAX($P$34*($B372+IF($R$17="Distrato",$I$38-1,0)),IF(AND($L$37=0,$P$34=0),"",$L$37-1),IF($R$17="Distrato",$E372,0)),MIN(U$38,$D$19),$P$20))-SUM($P372:T372)</f>
        <v>#VALUE!</v>
      </c>
      <c r="V372" s="446" t="e">
        <f>IF(OR($B372="",MIN(V$38,$D$19)&lt;MAX($P$34*($B372+IF($R$17="Distrato",$I$38-1,0)),IF(AND($L$37=0,$P$34=0),"",$L$37-1),IF($R$17="Distrato",$E372,0))),0,YEARFRAC(MAX($P$34*($B372+IF($R$17="Distrato",$I$38-1,0)),IF(AND($L$37=0,$P$34=0),"",$L$37-1),IF($R$17="Distrato",$E372,0)),MIN(V$38,$D$19),$P$20))-SUM($P372:U372)</f>
        <v>#VALUE!</v>
      </c>
      <c r="W372" s="446" t="e">
        <f>IF(OR($B372="",MIN(W$38,$D$19)&lt;MAX($P$34*($B372+IF($R$17="Distrato",$I$38-1,0)),IF(AND($L$37=0,$P$34=0),"",$L$37-1),IF($R$17="Distrato",$E372,0))),0,YEARFRAC(MAX($P$34*($B372+IF($R$17="Distrato",$I$38-1,0)),IF(AND($L$37=0,$P$34=0),"",$L$37-1),IF($R$17="Distrato",$E372,0)),MIN(W$38,$D$19),$P$20))-SUM($P372:V372)</f>
        <v>#VALUE!</v>
      </c>
      <c r="X372" s="446" t="e">
        <f>IF(OR($B372="",MIN(X$38,$D$19)&lt;MAX($P$34*($B372+IF($R$17="Distrato",$I$38-1,0)),IF(AND($L$37=0,$P$34=0),"",$L$37-1),IF($R$17="Distrato",$E372,0))),0,YEARFRAC(MAX($P$34*($B372+IF($R$17="Distrato",$I$38-1,0)),IF(AND($L$37=0,$P$34=0),"",$L$37-1),IF($R$17="Distrato",$E372,0)),MIN(X$38,$D$19),$P$20))-SUM($P372:W372)</f>
        <v>#VALUE!</v>
      </c>
      <c r="Y372" s="446" t="e">
        <f>IF(OR($B372="",MIN(Y$38,$D$19)&lt;MAX($P$34*($B372+IF($R$17="Distrato",$I$38-1,0)),IF(AND($L$37=0,$P$34=0),"",$L$37-1),IF($R$17="Distrato",$E372,0))),0,YEARFRAC(MAX($P$34*($B372+IF($R$17="Distrato",$I$38-1,0)),IF(AND($L$37=0,$P$34=0),"",$L$37-1),IF($R$17="Distrato",$E372,0)),MIN(Y$38,$D$19),$P$20))-SUM($P372:X372)</f>
        <v>#VALUE!</v>
      </c>
      <c r="Z372" s="446" t="e">
        <f>IF(OR($B372="",MIN(Z$38,$D$19)&lt;MAX($P$34*($B372+IF($R$17="Distrato",$I$38-1,0)),IF(AND($L$37=0,$P$34=0),"",$L$37-1),IF($R$17="Distrato",$E372,0))),0,YEARFRAC(MAX($P$34*($B372+IF($R$17="Distrato",$I$38-1,0)),IF(AND($L$37=0,$P$34=0),"",$L$37-1),IF($R$17="Distrato",$E372,0)),MIN(Z$38,$D$19),$P$20))-SUM($P372:Y372)</f>
        <v>#VALUE!</v>
      </c>
      <c r="AA372" s="446" t="e">
        <f>IF(OR($B372="",MIN(AA$38,$D$19)&lt;MAX($P$34*($B372+IF($R$17="Distrato",$I$38-1,0)),IF(AND($L$37=0,$P$34=0),"",$L$37-1),IF($R$17="Distrato",$E372,0))),0,YEARFRAC(MAX($P$34*($B372+IF($R$17="Distrato",$I$38-1,0)),IF(AND($L$37=0,$P$34=0),"",$L$37-1),IF($R$17="Distrato",$E372,0)),MIN(AA$38,$D$19),$P$20))-SUM($P372:Z372)</f>
        <v>#VALUE!</v>
      </c>
      <c r="AB372" s="446" t="e">
        <f>IF(OR($B372="",MIN(AB$38,$D$19)&lt;MAX($P$34*($B372+IF($R$17="Distrato",$I$38-1,0)),IF(AND($L$37=0,$P$34=0),"",$L$37-1),IF($R$17="Distrato",$E372,0))),0,YEARFRAC(MAX($P$34*($B372+IF($R$17="Distrato",$I$38-1,0)),IF(AND($L$37=0,$P$34=0),"",$L$37-1),IF($R$17="Distrato",$E372,0)),MIN(AB$38,$D$19),$P$20))-SUM($P372:AA372)</f>
        <v>#VALUE!</v>
      </c>
      <c r="AC372" s="446" t="e">
        <f>IF(OR($B372="",MIN(AC$38,$D$19)&lt;MAX($P$34*($B372+IF($R$17="Distrato",$I$38-1,0)),IF(AND($L$37=0,$P$34=0),"",$L$37-1),IF($R$17="Distrato",$E372,0))),0,YEARFRAC(MAX($P$34*($B372+IF($R$17="Distrato",$I$38-1,0)),IF(AND($L$37=0,$P$34=0),"",$L$37-1),IF($R$17="Distrato",$E372,0)),MIN(AC$38,$D$19),$P$20))-SUM($P372:AB372)</f>
        <v>#VALUE!</v>
      </c>
      <c r="AD372" s="446" t="e">
        <f>IF(OR($B372="",MIN(AD$38,$D$19)&lt;MAX($P$34*($B372+IF($R$17="Distrato",$I$38-1,0)),IF(AND($L$37=0,$P$34=0),"",$L$37-1),IF($R$17="Distrato",$E372,0))),0,YEARFRAC(MAX($P$34*($B372+IF($R$17="Distrato",$I$38-1,0)),IF(AND($L$37=0,$P$34=0),"",$L$37-1),IF($R$17="Distrato",$E372,0)),MIN(AD$38,$D$19),$P$20))-SUM($P372:AC372)</f>
        <v>#VALUE!</v>
      </c>
      <c r="AE372" s="446" t="e">
        <f>IF(OR($B372="",MIN(AE$38,$D$19)&lt;MAX($P$34*($B372+IF($R$17="Distrato",$I$38-1,0)),IF(AND($L$37=0,$P$34=0),"",$L$37-1),IF($R$17="Distrato",$E372,0))),0,YEARFRAC(MAX($P$34*($B372+IF($R$17="Distrato",$I$38-1,0)),IF(AND($L$37=0,$P$34=0),"",$L$37-1),IF($R$17="Distrato",$E372,0)),MIN(AE$38,$D$19),$P$20))-SUM($P372:AD372)</f>
        <v>#VALUE!</v>
      </c>
      <c r="AF372" s="446" t="e">
        <f>IF(OR($B372="",MIN(AF$38,$D$19)&lt;MAX($P$34*($B372+IF($R$17="Distrato",$I$38-1,0)),IF(AND($L$37=0,$P$34=0),"",$L$37-1),IF($R$17="Distrato",$E372,0))),0,YEARFRAC(MAX($P$34*($B372+IF($R$17="Distrato",$I$38-1,0)),IF(AND($L$37=0,$P$34=0),"",$L$37-1),IF($R$17="Distrato",$E372,0)),MIN(AF$38,$D$19),$P$20))-SUM($P372:AE372)</f>
        <v>#VALUE!</v>
      </c>
      <c r="AG372" s="446" t="e">
        <f>IF(OR($B372="",MIN(AG$38,$D$19)&lt;MAX($P$34*($B372+IF($R$17="Distrato",$I$38-1,0)),IF(AND($L$37=0,$P$34=0),"",$L$37-1),IF($R$17="Distrato",$E372,0))),0,YEARFRAC(MAX($P$34*($B372+IF($R$17="Distrato",$I$38-1,0)),IF(AND($L$37=0,$P$34=0),"",$L$37-1),IF($R$17="Distrato",$E372,0)),MIN(AG$38,$D$19),$P$20))-SUM($P372:AF372)</f>
        <v>#VALUE!</v>
      </c>
      <c r="AH372" s="446" t="e">
        <f>IF(OR($B372="",MIN(AH$38,$D$19)&lt;MAX($P$34*($B372+IF($R$17="Distrato",$I$38-1,0)),IF(AND($L$37=0,$P$34=0),"",$L$37-1),IF($R$17="Distrato",$E372,0))),0,YEARFRAC(MAX($P$34*($B372+IF($R$17="Distrato",$I$38-1,0)),IF(AND($L$37=0,$P$34=0),"",$L$37-1),IF($R$17="Distrato",$E372,0)),MIN(AH$38,$D$19),$P$20))-SUM($P372:AG372)</f>
        <v>#VALUE!</v>
      </c>
      <c r="AI372" s="446" t="e">
        <f>IF(OR($B372="",MIN(AI$38,$D$19)&lt;MAX($P$34*($B372+IF($R$17="Distrato",$I$38-1,0)),IF(AND($L$37=0,$P$34=0),"",$L$37-1),IF($R$17="Distrato",$E372,0))),0,YEARFRAC(MAX($P$34*($B372+IF($R$17="Distrato",$I$38-1,0)),IF(AND($L$37=0,$P$34=0),"",$L$37-1),IF($R$17="Distrato",$E372,0)),MIN(AI$38,$D$19),$P$20))-SUM($P372:AH372)</f>
        <v>#VALUE!</v>
      </c>
      <c r="AJ372" s="446" t="e">
        <f>IF(OR($B372="",MIN(AJ$38,$D$19)&lt;MAX($P$34*($B372+IF($R$17="Distrato",$I$38-1,0)),IF(AND($L$37=0,$P$34=0),"",$L$37-1),IF($R$17="Distrato",$E372,0))),0,YEARFRAC(MAX($P$34*($B372+IF($R$17="Distrato",$I$38-1,0)),IF(AND($L$37=0,$P$34=0),"",$L$37-1),IF($R$17="Distrato",$E372,0)),MIN(AJ$38,$D$19),$P$20))-SUM($P372:AI372)</f>
        <v>#VALUE!</v>
      </c>
      <c r="AK372" s="446" t="e">
        <f>IF(OR($B372="",MIN(AK$38,$D$19)&lt;MAX($P$34*($B372+IF($R$17="Distrato",$I$38-1,0)),IF(AND($L$37=0,$P$34=0),"",$L$37-1),IF($R$17="Distrato",$E372,0))),0,YEARFRAC(MAX($P$34*($B372+IF($R$17="Distrato",$I$38-1,0)),IF(AND($L$37=0,$P$34=0),"",$L$37-1),IF($R$17="Distrato",$E372,0)),MIN(AK$38,$D$19),$P$20))-SUM($P372:AJ372)</f>
        <v>#VALUE!</v>
      </c>
      <c r="AL372" s="446" t="e">
        <f>IF(OR($B372="",MIN(AL$38,$D$19)&lt;MAX($P$34*($B372+IF($R$17="Distrato",$I$38-1,0)),IF(AND($L$37=0,$P$34=0),"",$L$37-1),IF($R$17="Distrato",$E372,0))),0,YEARFRAC(MAX($P$34*($B372+IF($R$17="Distrato",$I$38-1,0)),IF(AND($L$37=0,$P$34=0),"",$L$37-1),IF($R$17="Distrato",$E372,0)),MIN(AL$38,$D$19),$P$20))-SUM($P372:AK372)</f>
        <v>#VALUE!</v>
      </c>
      <c r="AM372" s="446" t="e">
        <f>IF(OR($B372="",MIN(AM$38,$D$19)&lt;MAX($P$34*($B372+IF($R$17="Distrato",$I$38-1,0)),IF(AND($L$37=0,$P$34=0),"",$L$37-1),IF($R$17="Distrato",$E372,0))),0,YEARFRAC(MAX($P$34*($B372+IF($R$17="Distrato",$I$38-1,0)),IF(AND($L$37=0,$P$34=0),"",$L$37-1),IF($R$17="Distrato",$E372,0)),MIN(AM$38,$D$19),$P$20))-SUM($P372:AL372)</f>
        <v>#VALUE!</v>
      </c>
      <c r="AN372" s="446" t="e">
        <f>IF(OR($B372="",MIN(AN$38,$D$19)&lt;MAX($P$34*($B372+IF($R$17="Distrato",$I$38-1,0)),IF(AND($L$37=0,$P$34=0),"",$L$37-1),IF($R$17="Distrato",$E372,0))),0,YEARFRAC(MAX($P$34*($B372+IF($R$17="Distrato",$I$38-1,0)),IF(AND($L$37=0,$P$34=0),"",$L$37-1),IF($R$17="Distrato",$E372,0)),MIN(AN$38,$D$19),$P$20))-SUM($P372:AM372)</f>
        <v>#VALUE!</v>
      </c>
      <c r="AO372" s="446" t="e">
        <f>IF(OR($B372="",MIN(AO$38,$D$19)&lt;MAX($P$34*($B372+IF($R$17="Distrato",$I$38-1,0)),IF(AND($L$37=0,$P$34=0),"",$L$37-1),IF($R$17="Distrato",$E372,0))),0,YEARFRAC(MAX($P$34*($B372+IF($R$17="Distrato",$I$38-1,0)),IF(AND($L$37=0,$P$34=0),"",$L$37-1),IF($R$17="Distrato",$E372,0)),MIN(AO$38,$D$19),$P$20))-SUM($P372:AN372)</f>
        <v>#VALUE!</v>
      </c>
      <c r="AP372" s="446" t="e">
        <f>IF(OR($B372="",MIN(AP$38,$D$19)&lt;MAX($P$34*($B372+IF($R$17="Distrato",$I$38-1,0)),IF(AND($L$37=0,$P$34=0),"",$L$37-1),IF($R$17="Distrato",$E372,0))),0,YEARFRAC(MAX($P$34*($B372+IF($R$17="Distrato",$I$38-1,0)),IF(AND($L$37=0,$P$34=0),"",$L$37-1),IF($R$17="Distrato",$E372,0)),MIN(AP$38,$D$19),$P$20))-SUM($P372:AO372)</f>
        <v>#VALUE!</v>
      </c>
      <c r="AQ372" s="446" t="e">
        <f>IF(OR($B372="",MIN(AQ$38,$D$19)&lt;MAX($P$34*($B372+IF($R$17="Distrato",$I$38-1,0)),IF(AND($L$37=0,$P$34=0),"",$L$37-1),IF($R$17="Distrato",$E372,0))),0,YEARFRAC(MAX($P$34*($B372+IF($R$17="Distrato",$I$38-1,0)),IF(AND($L$37=0,$P$34=0),"",$L$37-1),IF($R$17="Distrato",$E372,0)),MIN(AQ$38,$D$19),$P$20))-SUM($P372:AP372)</f>
        <v>#VALUE!</v>
      </c>
      <c r="AR372" s="446" t="e">
        <f>IF(OR($B372="",MIN(AR$38,$D$19)&lt;MAX($P$34*($B372+IF($R$17="Distrato",$I$38-1,0)),IF(AND($L$37=0,$P$34=0),"",$L$37-1),IF($R$17="Distrato",$E372,0))),0,YEARFRAC(MAX($P$34*($B372+IF($R$17="Distrato",$I$38-1,0)),IF(AND($L$37=0,$P$34=0),"",$L$37-1),IF($R$17="Distrato",$E372,0)),MIN(AR$38,$D$19),$P$20))-SUM($P372:AQ372)</f>
        <v>#VALUE!</v>
      </c>
      <c r="AS372" s="446" t="e">
        <f>IF(OR($B372="",MIN(AS$38,$D$19)&lt;MAX($P$34*($B372+IF($R$17="Distrato",$I$38-1,0)),IF(AND($L$37=0,$P$34=0),"",$L$37-1),IF($R$17="Distrato",$E372,0))),0,YEARFRAC(MAX($P$34*($B372+IF($R$17="Distrato",$I$38-1,0)),IF(AND($L$37=0,$P$34=0),"",$L$37-1),IF($R$17="Distrato",$E372,0)),MIN(AS$38,$D$19),$P$20))-SUM($P372:AR372)</f>
        <v>#VALUE!</v>
      </c>
      <c r="AT372" s="446" t="e">
        <f>IF(OR($B372="",MIN(AT$38,$D$19)&lt;MAX($P$34*($B372+IF($R$17="Distrato",$I$38-1,0)),IF(AND($L$37=0,$P$34=0),"",$L$37-1),IF($R$17="Distrato",$E372,0))),0,YEARFRAC(MAX($P$34*($B372+IF($R$17="Distrato",$I$38-1,0)),IF(AND($L$37=0,$P$34=0),"",$L$37-1),IF($R$17="Distrato",$E372,0)),MIN(AT$38,$D$19),$P$20))-SUM($P372:AS372)</f>
        <v>#VALUE!</v>
      </c>
      <c r="AU372" s="446" t="e">
        <f>IF(OR($B372="",MIN(AU$38,$D$19)&lt;MAX($P$34*($B372+IF($R$17="Distrato",$I$38-1,0)),IF(AND($L$37=0,$P$34=0),"",$L$37-1),IF($R$17="Distrato",$E372,0))),0,YEARFRAC(MAX($P$34*($B372+IF($R$17="Distrato",$I$38-1,0)),IF(AND($L$37=0,$P$34=0),"",$L$37-1),IF($R$17="Distrato",$E372,0)),MIN(AU$38,$D$19),$P$20))-SUM($P372:AT372)</f>
        <v>#VALUE!</v>
      </c>
      <c r="AV372" s="446" t="e">
        <f>IF(OR($B372="",MIN(AV$38,$D$19)&lt;MAX($P$34*($B372+IF($R$17="Distrato",$I$38-1,0)),IF(AND($L$37=0,$P$34=0),"",$L$37-1),IF($R$17="Distrato",$E372,0))),0,YEARFRAC(MAX($P$34*($B372+IF($R$17="Distrato",$I$38-1,0)),IF(AND($L$37=0,$P$34=0),"",$L$37-1),IF($R$17="Distrato",$E372,0)),MIN(AV$38,$D$19),$P$20))-SUM($P372:AU372)</f>
        <v>#VALUE!</v>
      </c>
      <c r="AW372" s="446" t="e">
        <f>IF(OR($B372="",MIN(AW$38,$D$19)&lt;MAX($P$34*($B372+IF($R$17="Distrato",$I$38-1,0)),IF(AND($L$37=0,$P$34=0),"",$L$37-1),IF($R$17="Distrato",$E372,0))),0,YEARFRAC(MAX($P$34*($B372+IF($R$17="Distrato",$I$38-1,0)),IF(AND($L$37=0,$P$34=0),"",$L$37-1),IF($R$17="Distrato",$E372,0)),MIN(AW$38,$D$19),$P$20))-SUM($P372:AV372)</f>
        <v>#VALUE!</v>
      </c>
      <c r="AX372" s="446" t="e">
        <f>IF(OR($B372="",MIN(AX$38,$D$19)&lt;MAX($P$34*($B372+IF($R$17="Distrato",$I$38-1,0)),IF(AND($L$37=0,$P$34=0),"",$L$37-1),IF($R$17="Distrato",$E372,0))),0,YEARFRAC(MAX($P$34*($B372+IF($R$17="Distrato",$I$38-1,0)),IF(AND($L$37=0,$P$34=0),"",$L$37-1),IF($R$17="Distrato",$E372,0)),MIN(AX$38,$D$19),$P$20))-SUM($P372:AW372)</f>
        <v>#VALUE!</v>
      </c>
      <c r="AY372" s="446" t="e">
        <f>IF(OR($B372="",MIN(AY$38,$D$19)&lt;MAX($P$34*($B372+IF($R$17="Distrato",$I$38-1,0)),IF(AND($L$37=0,$P$34=0),"",$L$37-1),IF($R$17="Distrato",$E372,0))),0,YEARFRAC(MAX($P$34*($B372+IF($R$17="Distrato",$I$38-1,0)),IF(AND($L$37=0,$P$34=0),"",$L$37-1),IF($R$17="Distrato",$E372,0)),MIN(AY$38,$D$19),$P$20))-SUM($P372:AX372)</f>
        <v>#VALUE!</v>
      </c>
      <c r="AZ372" s="446" t="e">
        <f>IF(OR($B372="",MIN(AZ$38,$D$19)&lt;MAX($P$34*($B372+IF($R$17="Distrato",$I$38-1,0)),IF(AND($L$37=0,$P$34=0),"",$L$37-1),IF($R$17="Distrato",$E372,0))),0,YEARFRAC(MAX($P$34*($B372+IF($R$17="Distrato",$I$38-1,0)),IF(AND($L$37=0,$P$34=0),"",$L$37-1),IF($R$17="Distrato",$E372,0)),MIN(AZ$38,$D$19),$P$20))-SUM($P372:AY372)</f>
        <v>#VALUE!</v>
      </c>
      <c r="BA372" s="446" t="e">
        <f>IF(OR($B372="",MIN(BA$38,$D$19)&lt;MAX($P$34*($B372+IF($R$17="Distrato",$I$38-1,0)),IF(AND($L$37=0,$P$34=0),"",$L$37-1),IF($R$17="Distrato",$E372,0))),0,YEARFRAC(MAX($P$34*($B372+IF($R$17="Distrato",$I$38-1,0)),IF(AND($L$37=0,$P$34=0),"",$L$37-1),IF($R$17="Distrato",$E372,0)),MIN(BA$38,$D$19),$P$20))-SUM($P372:AZ372)</f>
        <v>#VALUE!</v>
      </c>
      <c r="BB372" s="447"/>
      <c r="BF372" s="446">
        <f t="shared" si="65"/>
        <v>0</v>
      </c>
      <c r="BG372" s="446">
        <f>IF($E372=0,0,IF(MIN(BG$38,$E372)&lt;MAX($P$34*($B372+$I$38-1),IF(AND($L$37=0,$P$34=0),"",$L$37-1)),0,YEARFRAC(MAX($P$34*($B372+$I$38-1),IF(AND($L$37=0,$P$34=0),"",$L$37-1)),MIN(BG$38,$E372),$P$20))-SUM($BF372:BF372))</f>
        <v>0</v>
      </c>
      <c r="BH372" s="446">
        <f>IF($E372=0,0,IF(MIN(BH$38,$E372)&lt;MAX($P$34*($B372+$I$38-1),IF(AND($L$37=0,$P$34=0),"",$L$37-1)),0,YEARFRAC(MAX($P$34*($B372+$I$38-1),IF(AND($L$37=0,$P$34=0),"",$L$37-1)),MIN(BH$38,$E372),$P$20))-SUM($BF372:BG372))</f>
        <v>0</v>
      </c>
      <c r="BI372" s="446">
        <f>IF($E372=0,0,IF(MIN(BI$38,$E372)&lt;MAX($P$34*($B372+$I$38-1),IF(AND($L$37=0,$P$34=0),"",$L$37-1)),0,YEARFRAC(MAX($P$34*($B372+$I$38-1),IF(AND($L$37=0,$P$34=0),"",$L$37-1)),MIN(BI$38,$E372),$P$20))-SUM($BF372:BH372))</f>
        <v>0</v>
      </c>
      <c r="BJ372" s="446">
        <f>IF($E372=0,0,IF(MIN(BJ$38,$E372)&lt;MAX($P$34*($B372+$I$38-1),IF(AND($L$37=0,$P$34=0),"",$L$37-1)),0,YEARFRAC(MAX($P$34*($B372+$I$38-1),IF(AND($L$37=0,$P$34=0),"",$L$37-1)),MIN(BJ$38,$E372),$P$20))-SUM($BF372:BI372))</f>
        <v>0</v>
      </c>
      <c r="BK372" s="446">
        <f>IF($E372=0,0,IF(MIN(BK$38,$E372)&lt;MAX($P$34*($B372+$I$38-1),IF(AND($L$37=0,$P$34=0),"",$L$37-1)),0,YEARFRAC(MAX($P$34*($B372+$I$38-1),IF(AND($L$37=0,$P$34=0),"",$L$37-1)),MIN(BK$38,$E372),$P$20))-SUM($BF372:BJ372))</f>
        <v>0</v>
      </c>
      <c r="BL372" s="446">
        <f>IF($E372=0,0,IF(MIN(BL$38,$E372)&lt;MAX($P$34*($B372+$I$38-1),IF(AND($L$37=0,$P$34=0),"",$L$37-1)),0,YEARFRAC(MAX($P$34*($B372+$I$38-1),IF(AND($L$37=0,$P$34=0),"",$L$37-1)),MIN(BL$38,$E372),$P$20))-SUM($BF372:BK372))</f>
        <v>0</v>
      </c>
      <c r="BM372" s="446">
        <f>IF($E372=0,0,IF(MIN(BM$38,$E372)&lt;MAX($P$34*($B372+$I$38-1),IF(AND($L$37=0,$P$34=0),"",$L$37-1)),0,YEARFRAC(MAX($P$34*($B372+$I$38-1),IF(AND($L$37=0,$P$34=0),"",$L$37-1)),MIN(BM$38,$E372),$P$20))-SUM($BF372:BL372))</f>
        <v>0</v>
      </c>
      <c r="BN372" s="446">
        <f>IF($E372=0,0,IF(MIN(BN$38,$E372)&lt;MAX($P$34*($B372+$I$38-1),IF(AND($L$37=0,$P$34=0),"",$L$37-1)),0,YEARFRAC(MAX($P$34*($B372+$I$38-1),IF(AND($L$37=0,$P$34=0),"",$L$37-1)),MIN(BN$38,$E372),$P$20))-SUM($BF372:BM372))</f>
        <v>0</v>
      </c>
      <c r="BO372" s="446">
        <f>IF($E372=0,0,IF(MIN(BO$38,$E372)&lt;MAX($P$34*($B372+$I$38-1),IF(AND($L$37=0,$P$34=0),"",$L$37-1)),0,YEARFRAC(MAX($P$34*($B372+$I$38-1),IF(AND($L$37=0,$P$34=0),"",$L$37-1)),MIN(BO$38,$E372),$P$20))-SUM($BF372:BN372))</f>
        <v>0</v>
      </c>
      <c r="BP372" s="446">
        <f>IF($E372=0,0,IF(MIN(BP$38,$E372)&lt;MAX($P$34*($B372+$I$38-1),IF(AND($L$37=0,$P$34=0),"",$L$37-1)),0,YEARFRAC(MAX($P$34*($B372+$I$38-1),IF(AND($L$37=0,$P$34=0),"",$L$37-1)),MIN(BP$38,$E372),$P$20))-SUM($BF372:BO372))</f>
        <v>0</v>
      </c>
      <c r="BQ372" s="446">
        <f>IF($E372=0,0,IF(MIN(BQ$38,$E372)&lt;MAX($P$34*($B372+$I$38-1),IF(AND($L$37=0,$P$34=0),"",$L$37-1)),0,YEARFRAC(MAX($P$34*($B372+$I$38-1),IF(AND($L$37=0,$P$34=0),"",$L$37-1)),MIN(BQ$38,$E372),$P$20))-SUM($BF372:BP372))</f>
        <v>0</v>
      </c>
      <c r="BR372" s="446">
        <f>IF($E372=0,0,IF(MIN(BR$38,$E372)&lt;MAX($P$34*($B372+$I$38-1),IF(AND($L$37=0,$P$34=0),"",$L$37-1)),0,YEARFRAC(MAX($P$34*($B372+$I$38-1),IF(AND($L$37=0,$P$34=0),"",$L$37-1)),MIN(BR$38,$E372),$P$20))-SUM($BF372:BQ372))</f>
        <v>0</v>
      </c>
      <c r="BS372" s="446">
        <f>IF($E372=0,0,IF(MIN(BS$38,$E372)&lt;MAX($P$34*($B372+$I$38-1),IF(AND($L$37=0,$P$34=0),"",$L$37-1)),0,YEARFRAC(MAX($P$34*($B372+$I$38-1),IF(AND($L$37=0,$P$34=0),"",$L$37-1)),MIN(BS$38,$E372),$P$20))-SUM($BF372:BR372))</f>
        <v>0</v>
      </c>
      <c r="BT372" s="446">
        <f>IF($E372=0,0,IF(MIN(BT$38,$E372)&lt;MAX($P$34*($B372+$I$38-1),IF(AND($L$37=0,$P$34=0),"",$L$37-1)),0,YEARFRAC(MAX($P$34*($B372+$I$38-1),IF(AND($L$37=0,$P$34=0),"",$L$37-1)),MIN(BT$38,$E372),$P$20))-SUM($BF372:BS372))</f>
        <v>0</v>
      </c>
      <c r="BU372" s="446">
        <f>IF($E372=0,0,IF(MIN(BU$38,$E372)&lt;MAX($P$34*($B372+$I$38-1),IF(AND($L$37=0,$P$34=0),"",$L$37-1)),0,YEARFRAC(MAX($P$34*($B372+$I$38-1),IF(AND($L$37=0,$P$34=0),"",$L$37-1)),MIN(BU$38,$E372),$P$20))-SUM($BF372:BT372))</f>
        <v>0</v>
      </c>
      <c r="BV372" s="446">
        <f>IF($E372=0,0,IF(MIN(BV$38,$E372)&lt;MAX($P$34*($B372+$I$38-1),IF(AND($L$37=0,$P$34=0),"",$L$37-1)),0,YEARFRAC(MAX($P$34*($B372+$I$38-1),IF(AND($L$37=0,$P$34=0),"",$L$37-1)),MIN(BV$38,$E372),$P$20))-SUM($BF372:BU372))</f>
        <v>0</v>
      </c>
      <c r="BW372" s="446">
        <f>IF($E372=0,0,IF(MIN(BW$38,$E372)&lt;MAX($P$34*($B372+$I$38-1),IF(AND($L$37=0,$P$34=0),"",$L$37-1)),0,YEARFRAC(MAX($P$34*($B372+$I$38-1),IF(AND($L$37=0,$P$34=0),"",$L$37-1)),MIN(BW$38,$E372),$P$20))-SUM($BF372:BV372))</f>
        <v>0</v>
      </c>
      <c r="BX372" s="446">
        <f>IF($E372=0,0,IF(MIN(BX$38,$E372)&lt;MAX($P$34*($B372+$I$38-1),IF(AND($L$37=0,$P$34=0),"",$L$37-1)),0,YEARFRAC(MAX($P$34*($B372+$I$38-1),IF(AND($L$37=0,$P$34=0),"",$L$37-1)),MIN(BX$38,$E372),$P$20))-SUM($BF372:BW372))</f>
        <v>0</v>
      </c>
      <c r="BY372" s="446">
        <f>IF($E372=0,0,IF(MIN(BY$38,$E372)&lt;MAX($P$34*($B372+$I$38-1),IF(AND($L$37=0,$P$34=0),"",$L$37-1)),0,YEARFRAC(MAX($P$34*($B372+$I$38-1),IF(AND($L$37=0,$P$34=0),"",$L$37-1)),MIN(BY$38,$E372),$P$20))-SUM($BF372:BX372))</f>
        <v>0</v>
      </c>
      <c r="BZ372" s="446">
        <f>IF($E372=0,0,IF(MIN(BZ$38,$E372)&lt;MAX($P$34*($B372+$I$38-1),IF(AND($L$37=0,$P$34=0),"",$L$37-1)),0,YEARFRAC(MAX($P$34*($B372+$I$38-1),IF(AND($L$37=0,$P$34=0),"",$L$37-1)),MIN(BZ$38,$E372),$P$20))-SUM($BF372:BY372))</f>
        <v>0</v>
      </c>
      <c r="CA372" s="446">
        <f>IF($E372=0,0,IF(MIN(CA$38,$E372)&lt;MAX($P$34*($B372+$I$38-1),IF(AND($L$37=0,$P$34=0),"",$L$37-1)),0,YEARFRAC(MAX($P$34*($B372+$I$38-1),IF(AND($L$37=0,$P$34=0),"",$L$37-1)),MIN(CA$38,$E372),$P$20))-SUM($BF372:BZ372))</f>
        <v>0</v>
      </c>
      <c r="CB372" s="446">
        <f>IF($E372=0,0,IF(MIN(CB$38,$E372)&lt;MAX($P$34*($B372+$I$38-1),IF(AND($L$37=0,$P$34=0),"",$L$37-1)),0,YEARFRAC(MAX($P$34*($B372+$I$38-1),IF(AND($L$37=0,$P$34=0),"",$L$37-1)),MIN(CB$38,$E372),$P$20))-SUM($BF372:CA372))</f>
        <v>0</v>
      </c>
      <c r="CC372" s="446">
        <f>IF($E372=0,0,IF(MIN(CC$38,$E372)&lt;MAX($P$34*($B372+$I$38-1),IF(AND($L$37=0,$P$34=0),"",$L$37-1)),0,YEARFRAC(MAX($P$34*($B372+$I$38-1),IF(AND($L$37=0,$P$34=0),"",$L$37-1)),MIN(CC$38,$E372),$P$20))-SUM($BF372:CB372))</f>
        <v>0</v>
      </c>
      <c r="CD372" s="446">
        <f>IF($E372=0,0,IF(MIN(CD$38,$E372)&lt;MAX($P$34*($B372+$I$38-1),IF(AND($L$37=0,$P$34=0),"",$L$37-1)),0,YEARFRAC(MAX($P$34*($B372+$I$38-1),IF(AND($L$37=0,$P$34=0),"",$L$37-1)),MIN(CD$38,$E372),$P$20))-SUM($BF372:CC372))</f>
        <v>0</v>
      </c>
      <c r="CE372" s="446">
        <f>IF($E372=0,0,IF(MIN(CE$38,$E372)&lt;MAX($P$34*($B372+$I$38-1),IF(AND($L$37=0,$P$34=0),"",$L$37-1)),0,YEARFRAC(MAX($P$34*($B372+$I$38-1),IF(AND($L$37=0,$P$34=0),"",$L$37-1)),MIN(CE$38,$E372),$P$20))-SUM($BF372:CD372))</f>
        <v>0</v>
      </c>
      <c r="CF372" s="446">
        <f>IF($E372=0,0,IF(MIN(CF$38,$E372)&lt;MAX($P$34*($B372+$I$38-1),IF(AND($L$37=0,$P$34=0),"",$L$37-1)),0,YEARFRAC(MAX($P$34*($B372+$I$38-1),IF(AND($L$37=0,$P$34=0),"",$L$37-1)),MIN(CF$38,$E372),$P$20))-SUM($BF372:CE372))</f>
        <v>0</v>
      </c>
      <c r="CG372" s="446">
        <f>IF($E372=0,0,IF(MIN(CG$38,$E372)&lt;MAX($P$34*($B372+$I$38-1),IF(AND($L$37=0,$P$34=0),"",$L$37-1)),0,YEARFRAC(MAX($P$34*($B372+$I$38-1),IF(AND($L$37=0,$P$34=0),"",$L$37-1)),MIN(CG$38,$E372),$P$20))-SUM($BF372:CF372))</f>
        <v>0</v>
      </c>
      <c r="CH372" s="446">
        <f>IF($E372=0,0,IF(MIN(CH$38,$E372)&lt;MAX($P$34*($B372+$I$38-1),IF(AND($L$37=0,$P$34=0),"",$L$37-1)),0,YEARFRAC(MAX($P$34*($B372+$I$38-1),IF(AND($L$37=0,$P$34=0),"",$L$37-1)),MIN(CH$38,$E372),$P$20))-SUM($BF372:CG372))</f>
        <v>0</v>
      </c>
      <c r="CI372" s="446">
        <f>IF($E372=0,0,IF(MIN(CI$38,$E372)&lt;MAX($P$34*($B372+$I$38-1),IF(AND($L$37=0,$P$34=0),"",$L$37-1)),0,YEARFRAC(MAX($P$34*($B372+$I$38-1),IF(AND($L$37=0,$P$34=0),"",$L$37-1)),MIN(CI$38,$E372),$P$20))-SUM($BF372:CH372))</f>
        <v>0</v>
      </c>
      <c r="CJ372" s="446">
        <f>IF($E372=0,0,IF(MIN(CJ$38,$E372)&lt;MAX($P$34*($B372+$I$38-1),IF(AND($L$37=0,$P$34=0),"",$L$37-1)),0,YEARFRAC(MAX($P$34*($B372+$I$38-1),IF(AND($L$37=0,$P$34=0),"",$L$37-1)),MIN(CJ$38,$E372),$P$20))-SUM($BF372:CI372))</f>
        <v>0</v>
      </c>
      <c r="CK372" s="446">
        <f>IF($E372=0,0,IF(MIN(CK$38,$E372)&lt;MAX($P$34*($B372+$I$38-1),IF(AND($L$37=0,$P$34=0),"",$L$37-1)),0,YEARFRAC(MAX($P$34*($B372+$I$38-1),IF(AND($L$37=0,$P$34=0),"",$L$37-1)),MIN(CK$38,$E372),$P$20))-SUM($BF372:CJ372))</f>
        <v>0</v>
      </c>
      <c r="CL372" s="446">
        <f>IF($E372=0,0,IF(MIN(CL$38,$E372)&lt;MAX($P$34*($B372+$I$38-1),IF(AND($L$37=0,$P$34=0),"",$L$37-1)),0,YEARFRAC(MAX($P$34*($B372+$I$38-1),IF(AND($L$37=0,$P$34=0),"",$L$37-1)),MIN(CL$38,$E372),$P$20))-SUM($BF372:CK372))</f>
        <v>0</v>
      </c>
      <c r="CM372" s="446">
        <f>IF($E372=0,0,IF(MIN(CM$38,$E372)&lt;MAX($P$34*($B372+$I$38-1),IF(AND($L$37=0,$P$34=0),"",$L$37-1)),0,YEARFRAC(MAX($P$34*($B372+$I$38-1),IF(AND($L$37=0,$P$34=0),"",$L$37-1)),MIN(CM$38,$E372),$P$20))-SUM($BF372:CL372))</f>
        <v>0</v>
      </c>
      <c r="CN372" s="446">
        <f>IF($E372=0,0,IF(MIN(CN$38,$E372)&lt;MAX($P$34*($B372+$I$38-1),IF(AND($L$37=0,$P$34=0),"",$L$37-1)),0,YEARFRAC(MAX($P$34*($B372+$I$38-1),IF(AND($L$37=0,$P$34=0),"",$L$37-1)),MIN(CN$38,$E372),$P$20))-SUM($BF372:CM372))</f>
        <v>0</v>
      </c>
      <c r="CO372" s="446">
        <f>IF($E372=0,0,IF(MIN(CO$38,$E372)&lt;MAX($P$34*($B372+$I$38-1),IF(AND($L$37=0,$P$34=0),"",$L$37-1)),0,YEARFRAC(MAX($P$34*($B372+$I$38-1),IF(AND($L$37=0,$P$34=0),"",$L$37-1)),MIN(CO$38,$E372),$P$20))-SUM($BF372:CN372))</f>
        <v>0</v>
      </c>
      <c r="CP372" s="446">
        <f>IF($E372=0,0,IF(MIN(CP$38,$E372)&lt;MAX($P$34*($B372+$I$38-1),IF(AND($L$37=0,$P$34=0),"",$L$37-1)),0,YEARFRAC(MAX($P$34*($B372+$I$38-1),IF(AND($L$37=0,$P$34=0),"",$L$37-1)),MIN(CP$38,$E372),$P$20))-SUM($BF372:CO372))</f>
        <v>0</v>
      </c>
      <c r="CQ372" s="446">
        <f>IF($E372=0,0,IF(MIN(CQ$38,$E372)&lt;MAX($P$34*($B372+$I$38-1),IF(AND($L$37=0,$P$34=0),"",$L$37-1)),0,YEARFRAC(MAX($P$34*($B372+$I$38-1),IF(AND($L$37=0,$P$34=0),"",$L$37-1)),MIN(CQ$38,$E372),$P$20))-SUM($BF372:CP372))</f>
        <v>0</v>
      </c>
    </row>
    <row r="373" spans="1:95" s="446" customFormat="1" ht="11.25" hidden="1" customHeight="1" x14ac:dyDescent="0.2">
      <c r="A373" s="152"/>
      <c r="B373" s="153" t="str">
        <f t="shared" si="70"/>
        <v/>
      </c>
      <c r="C373" s="29" t="str">
        <f>IF(B373="","",IF($L$35="SELIC - TRIBUTOS",VLOOKUP(DATE(YEAR($D$19),MONTH($D$19)-1,1),ÍNDICES!$A:$DE,HLOOKUP($BL$25,ÍNDICES!$B$3:$T$4,2)+11)-VLOOKUP(B373,ÍNDICES!$A:$DE,HLOOKUP($BL$25,ÍNDICES!$B$3:$T$4,2)+11)+1%,IF(C$38=$W$26,$J$35,IF(ISERROR(IF(B373&gt;$D$19,1,VLOOKUP(DATE(YEAR(B373),MONTH(B373)+IF($C$35=$S$23,1,0),1),ÍNDICES!$A:$DE,$Z$35+1))),"",IF(B373&gt;$D$19,1,VLOOKUP(DATE(YEAR(B373),MONTH(B373)+IF($C$35=$S$23,1,0),1),ÍNDICES!$A:$DE,$Z$35+1))))))</f>
        <v/>
      </c>
      <c r="D373" s="154" t="str">
        <f>IF(ISERROR(IF(OR($D$38=$Y$27,$B373=""),"",VLOOKUP(B373,ÍNDICES!A:DE,AF$35+1))),"",IF(OR($D$38=$Y$27,$B373=""),"",VLOOKUP(B373,ÍNDICES!A:DE,AF$35+1)))</f>
        <v/>
      </c>
      <c r="E373" s="153"/>
      <c r="F373" s="29" t="str">
        <f>IF(E373="","",IF($L$35="SELIC - TRIBUTOS",VLOOKUP(DATE(YEAR($D$19),MONTH($D$19)-1,1),ÍNDICES!$A:$DE,HLOOKUP($BL$25,ÍNDICES!$B$3:$T$4,2)+11)-VLOOKUP(E373,ÍNDICES!$A:$DE,HLOOKUP($BL$25,ÍNDICES!$B$3:$T$4,2)+11)+1%,IF(F$38=$W$26,$J$35,IF(ISERROR(IF(E373&gt;$D$19,1,VLOOKUP(DATE(YEAR(E373),MONTH(E373)+IF($C$35=$S$23,1,0),1),ÍNDICES!$A:$DE,$Z$35+1))),"",IF(E373&gt;$D$19,1,VLOOKUP(DATE(YEAR(E373),MONTH(E373)+IF($C$35=$S$23,1,0),1),ÍNDICES!$A:$DE,$Z$35+1))))))</f>
        <v/>
      </c>
      <c r="G373" s="155"/>
      <c r="H373" s="156" t="str">
        <f t="shared" si="66"/>
        <v/>
      </c>
      <c r="I373" s="29" t="str">
        <f t="shared" si="60"/>
        <v/>
      </c>
      <c r="J373" s="5">
        <f t="shared" si="61"/>
        <v>0</v>
      </c>
      <c r="K373" s="20">
        <f t="shared" ca="1" si="62"/>
        <v>0</v>
      </c>
      <c r="L373" s="5">
        <f t="shared" ca="1" si="63"/>
        <v>0</v>
      </c>
      <c r="M373" s="64">
        <f t="shared" si="67"/>
        <v>0</v>
      </c>
      <c r="N373" s="61">
        <f t="shared" ca="1" si="68"/>
        <v>0</v>
      </c>
      <c r="O373" s="5">
        <f t="shared" ca="1" si="69"/>
        <v>0</v>
      </c>
      <c r="P373" s="446" t="e">
        <f t="shared" si="64"/>
        <v>#VALUE!</v>
      </c>
      <c r="Q373" s="446" t="e">
        <f>IF(OR($B373="",MIN(Q$38,$D$19)&lt;MAX($P$34*($B373+IF($R$17="Distrato",$I$38-1,0)),IF(AND($L$37=0,$P$34=0),"",$L$37-1),IF($R$17="Distrato",$E373,0))),0,YEARFRAC(MAX($P$34*($B373+IF($R$17="Distrato",$I$38-1,0)),IF(AND($L$37=0,$P$34=0),"",$L$37-1),IF($R$17="Distrato",$E373,0)),MIN(Q$38,$D$19),$P$20))-SUM($P373:P373)</f>
        <v>#VALUE!</v>
      </c>
      <c r="R373" s="446" t="e">
        <f>IF(OR($B373="",MIN(R$38,$D$19)&lt;MAX($P$34*($B373+IF($R$17="Distrato",$I$38-1,0)),IF(AND($L$37=0,$P$34=0),"",$L$37-1),IF($R$17="Distrato",$E373,0))),0,YEARFRAC(MAX($P$34*($B373+IF($R$17="Distrato",$I$38-1,0)),IF(AND($L$37=0,$P$34=0),"",$L$37-1),IF($R$17="Distrato",$E373,0)),MIN(R$38,$D$19),$P$20))-SUM($P373:Q373)</f>
        <v>#VALUE!</v>
      </c>
      <c r="S373" s="446" t="e">
        <f>IF(OR($B373="",MIN(S$38,$D$19)&lt;MAX($P$34*($B373+IF($R$17="Distrato",$I$38-1,0)),IF(AND($L$37=0,$P$34=0),"",$L$37-1),IF($R$17="Distrato",$E373,0))),0,YEARFRAC(MAX($P$34*($B373+IF($R$17="Distrato",$I$38-1,0)),IF(AND($L$37=0,$P$34=0),"",$L$37-1),IF($R$17="Distrato",$E373,0)),MIN(S$38,$D$19),$P$20))-SUM($P373:R373)</f>
        <v>#VALUE!</v>
      </c>
      <c r="T373" s="446" t="e">
        <f>IF(OR($B373="",MIN(T$38,$D$19)&lt;MAX($P$34*($B373+IF($R$17="Distrato",$I$38-1,0)),IF(AND($L$37=0,$P$34=0),"",$L$37-1),IF($R$17="Distrato",$E373,0))),0,YEARFRAC(MAX($P$34*($B373+IF($R$17="Distrato",$I$38-1,0)),IF(AND($L$37=0,$P$34=0),"",$L$37-1),IF($R$17="Distrato",$E373,0)),MIN(T$38,$D$19),$P$20))-SUM($P373:S373)</f>
        <v>#VALUE!</v>
      </c>
      <c r="U373" s="446" t="e">
        <f>IF(OR($B373="",MIN(U$38,$D$19)&lt;MAX($P$34*($B373+IF($R$17="Distrato",$I$38-1,0)),IF(AND($L$37=0,$P$34=0),"",$L$37-1),IF($R$17="Distrato",$E373,0))),0,YEARFRAC(MAX($P$34*($B373+IF($R$17="Distrato",$I$38-1,0)),IF(AND($L$37=0,$P$34=0),"",$L$37-1),IF($R$17="Distrato",$E373,0)),MIN(U$38,$D$19),$P$20))-SUM($P373:T373)</f>
        <v>#VALUE!</v>
      </c>
      <c r="V373" s="446" t="e">
        <f>IF(OR($B373="",MIN(V$38,$D$19)&lt;MAX($P$34*($B373+IF($R$17="Distrato",$I$38-1,0)),IF(AND($L$37=0,$P$34=0),"",$L$37-1),IF($R$17="Distrato",$E373,0))),0,YEARFRAC(MAX($P$34*($B373+IF($R$17="Distrato",$I$38-1,0)),IF(AND($L$37=0,$P$34=0),"",$L$37-1),IF($R$17="Distrato",$E373,0)),MIN(V$38,$D$19),$P$20))-SUM($P373:U373)</f>
        <v>#VALUE!</v>
      </c>
      <c r="W373" s="446" t="e">
        <f>IF(OR($B373="",MIN(W$38,$D$19)&lt;MAX($P$34*($B373+IF($R$17="Distrato",$I$38-1,0)),IF(AND($L$37=0,$P$34=0),"",$L$37-1),IF($R$17="Distrato",$E373,0))),0,YEARFRAC(MAX($P$34*($B373+IF($R$17="Distrato",$I$38-1,0)),IF(AND($L$37=0,$P$34=0),"",$L$37-1),IF($R$17="Distrato",$E373,0)),MIN(W$38,$D$19),$P$20))-SUM($P373:V373)</f>
        <v>#VALUE!</v>
      </c>
      <c r="X373" s="446" t="e">
        <f>IF(OR($B373="",MIN(X$38,$D$19)&lt;MAX($P$34*($B373+IF($R$17="Distrato",$I$38-1,0)),IF(AND($L$37=0,$P$34=0),"",$L$37-1),IF($R$17="Distrato",$E373,0))),0,YEARFRAC(MAX($P$34*($B373+IF($R$17="Distrato",$I$38-1,0)),IF(AND($L$37=0,$P$34=0),"",$L$37-1),IF($R$17="Distrato",$E373,0)),MIN(X$38,$D$19),$P$20))-SUM($P373:W373)</f>
        <v>#VALUE!</v>
      </c>
      <c r="Y373" s="446" t="e">
        <f>IF(OR($B373="",MIN(Y$38,$D$19)&lt;MAX($P$34*($B373+IF($R$17="Distrato",$I$38-1,0)),IF(AND($L$37=0,$P$34=0),"",$L$37-1),IF($R$17="Distrato",$E373,0))),0,YEARFRAC(MAX($P$34*($B373+IF($R$17="Distrato",$I$38-1,0)),IF(AND($L$37=0,$P$34=0),"",$L$37-1),IF($R$17="Distrato",$E373,0)),MIN(Y$38,$D$19),$P$20))-SUM($P373:X373)</f>
        <v>#VALUE!</v>
      </c>
      <c r="Z373" s="446" t="e">
        <f>IF(OR($B373="",MIN(Z$38,$D$19)&lt;MAX($P$34*($B373+IF($R$17="Distrato",$I$38-1,0)),IF(AND($L$37=0,$P$34=0),"",$L$37-1),IF($R$17="Distrato",$E373,0))),0,YEARFRAC(MAX($P$34*($B373+IF($R$17="Distrato",$I$38-1,0)),IF(AND($L$37=0,$P$34=0),"",$L$37-1),IF($R$17="Distrato",$E373,0)),MIN(Z$38,$D$19),$P$20))-SUM($P373:Y373)</f>
        <v>#VALUE!</v>
      </c>
      <c r="AA373" s="446" t="e">
        <f>IF(OR($B373="",MIN(AA$38,$D$19)&lt;MAX($P$34*($B373+IF($R$17="Distrato",$I$38-1,0)),IF(AND($L$37=0,$P$34=0),"",$L$37-1),IF($R$17="Distrato",$E373,0))),0,YEARFRAC(MAX($P$34*($B373+IF($R$17="Distrato",$I$38-1,0)),IF(AND($L$37=0,$P$34=0),"",$L$37-1),IF($R$17="Distrato",$E373,0)),MIN(AA$38,$D$19),$P$20))-SUM($P373:Z373)</f>
        <v>#VALUE!</v>
      </c>
      <c r="AB373" s="446" t="e">
        <f>IF(OR($B373="",MIN(AB$38,$D$19)&lt;MAX($P$34*($B373+IF($R$17="Distrato",$I$38-1,0)),IF(AND($L$37=0,$P$34=0),"",$L$37-1),IF($R$17="Distrato",$E373,0))),0,YEARFRAC(MAX($P$34*($B373+IF($R$17="Distrato",$I$38-1,0)),IF(AND($L$37=0,$P$34=0),"",$L$37-1),IF($R$17="Distrato",$E373,0)),MIN(AB$38,$D$19),$P$20))-SUM($P373:AA373)</f>
        <v>#VALUE!</v>
      </c>
      <c r="AC373" s="446" t="e">
        <f>IF(OR($B373="",MIN(AC$38,$D$19)&lt;MAX($P$34*($B373+IF($R$17="Distrato",$I$38-1,0)),IF(AND($L$37=0,$P$34=0),"",$L$37-1),IF($R$17="Distrato",$E373,0))),0,YEARFRAC(MAX($P$34*($B373+IF($R$17="Distrato",$I$38-1,0)),IF(AND($L$37=0,$P$34=0),"",$L$37-1),IF($R$17="Distrato",$E373,0)),MIN(AC$38,$D$19),$P$20))-SUM($P373:AB373)</f>
        <v>#VALUE!</v>
      </c>
      <c r="AD373" s="446" t="e">
        <f>IF(OR($B373="",MIN(AD$38,$D$19)&lt;MAX($P$34*($B373+IF($R$17="Distrato",$I$38-1,0)),IF(AND($L$37=0,$P$34=0),"",$L$37-1),IF($R$17="Distrato",$E373,0))),0,YEARFRAC(MAX($P$34*($B373+IF($R$17="Distrato",$I$38-1,0)),IF(AND($L$37=0,$P$34=0),"",$L$37-1),IF($R$17="Distrato",$E373,0)),MIN(AD$38,$D$19),$P$20))-SUM($P373:AC373)</f>
        <v>#VALUE!</v>
      </c>
      <c r="AE373" s="446" t="e">
        <f>IF(OR($B373="",MIN(AE$38,$D$19)&lt;MAX($P$34*($B373+IF($R$17="Distrato",$I$38-1,0)),IF(AND($L$37=0,$P$34=0),"",$L$37-1),IF($R$17="Distrato",$E373,0))),0,YEARFRAC(MAX($P$34*($B373+IF($R$17="Distrato",$I$38-1,0)),IF(AND($L$37=0,$P$34=0),"",$L$37-1),IF($R$17="Distrato",$E373,0)),MIN(AE$38,$D$19),$P$20))-SUM($P373:AD373)</f>
        <v>#VALUE!</v>
      </c>
      <c r="AF373" s="446" t="e">
        <f>IF(OR($B373="",MIN(AF$38,$D$19)&lt;MAX($P$34*($B373+IF($R$17="Distrato",$I$38-1,0)),IF(AND($L$37=0,$P$34=0),"",$L$37-1),IF($R$17="Distrato",$E373,0))),0,YEARFRAC(MAX($P$34*($B373+IF($R$17="Distrato",$I$38-1,0)),IF(AND($L$37=0,$P$34=0),"",$L$37-1),IF($R$17="Distrato",$E373,0)),MIN(AF$38,$D$19),$P$20))-SUM($P373:AE373)</f>
        <v>#VALUE!</v>
      </c>
      <c r="AG373" s="446" t="e">
        <f>IF(OR($B373="",MIN(AG$38,$D$19)&lt;MAX($P$34*($B373+IF($R$17="Distrato",$I$38-1,0)),IF(AND($L$37=0,$P$34=0),"",$L$37-1),IF($R$17="Distrato",$E373,0))),0,YEARFRAC(MAX($P$34*($B373+IF($R$17="Distrato",$I$38-1,0)),IF(AND($L$37=0,$P$34=0),"",$L$37-1),IF($R$17="Distrato",$E373,0)),MIN(AG$38,$D$19),$P$20))-SUM($P373:AF373)</f>
        <v>#VALUE!</v>
      </c>
      <c r="AH373" s="446" t="e">
        <f>IF(OR($B373="",MIN(AH$38,$D$19)&lt;MAX($P$34*($B373+IF($R$17="Distrato",$I$38-1,0)),IF(AND($L$37=0,$P$34=0),"",$L$37-1),IF($R$17="Distrato",$E373,0))),0,YEARFRAC(MAX($P$34*($B373+IF($R$17="Distrato",$I$38-1,0)),IF(AND($L$37=0,$P$34=0),"",$L$37-1),IF($R$17="Distrato",$E373,0)),MIN(AH$38,$D$19),$P$20))-SUM($P373:AG373)</f>
        <v>#VALUE!</v>
      </c>
      <c r="AI373" s="446" t="e">
        <f>IF(OR($B373="",MIN(AI$38,$D$19)&lt;MAX($P$34*($B373+IF($R$17="Distrato",$I$38-1,0)),IF(AND($L$37=0,$P$34=0),"",$L$37-1),IF($R$17="Distrato",$E373,0))),0,YEARFRAC(MAX($P$34*($B373+IF($R$17="Distrato",$I$38-1,0)),IF(AND($L$37=0,$P$34=0),"",$L$37-1),IF($R$17="Distrato",$E373,0)),MIN(AI$38,$D$19),$P$20))-SUM($P373:AH373)</f>
        <v>#VALUE!</v>
      </c>
      <c r="AJ373" s="446" t="e">
        <f>IF(OR($B373="",MIN(AJ$38,$D$19)&lt;MAX($P$34*($B373+IF($R$17="Distrato",$I$38-1,0)),IF(AND($L$37=0,$P$34=0),"",$L$37-1),IF($R$17="Distrato",$E373,0))),0,YEARFRAC(MAX($P$34*($B373+IF($R$17="Distrato",$I$38-1,0)),IF(AND($L$37=0,$P$34=0),"",$L$37-1),IF($R$17="Distrato",$E373,0)),MIN(AJ$38,$D$19),$P$20))-SUM($P373:AI373)</f>
        <v>#VALUE!</v>
      </c>
      <c r="AK373" s="446" t="e">
        <f>IF(OR($B373="",MIN(AK$38,$D$19)&lt;MAX($P$34*($B373+IF($R$17="Distrato",$I$38-1,0)),IF(AND($L$37=0,$P$34=0),"",$L$37-1),IF($R$17="Distrato",$E373,0))),0,YEARFRAC(MAX($P$34*($B373+IF($R$17="Distrato",$I$38-1,0)),IF(AND($L$37=0,$P$34=0),"",$L$37-1),IF($R$17="Distrato",$E373,0)),MIN(AK$38,$D$19),$P$20))-SUM($P373:AJ373)</f>
        <v>#VALUE!</v>
      </c>
      <c r="AL373" s="446" t="e">
        <f>IF(OR($B373="",MIN(AL$38,$D$19)&lt;MAX($P$34*($B373+IF($R$17="Distrato",$I$38-1,0)),IF(AND($L$37=0,$P$34=0),"",$L$37-1),IF($R$17="Distrato",$E373,0))),0,YEARFRAC(MAX($P$34*($B373+IF($R$17="Distrato",$I$38-1,0)),IF(AND($L$37=0,$P$34=0),"",$L$37-1),IF($R$17="Distrato",$E373,0)),MIN(AL$38,$D$19),$P$20))-SUM($P373:AK373)</f>
        <v>#VALUE!</v>
      </c>
      <c r="AM373" s="446" t="e">
        <f>IF(OR($B373="",MIN(AM$38,$D$19)&lt;MAX($P$34*($B373+IF($R$17="Distrato",$I$38-1,0)),IF(AND($L$37=0,$P$34=0),"",$L$37-1),IF($R$17="Distrato",$E373,0))),0,YEARFRAC(MAX($P$34*($B373+IF($R$17="Distrato",$I$38-1,0)),IF(AND($L$37=0,$P$34=0),"",$L$37-1),IF($R$17="Distrato",$E373,0)),MIN(AM$38,$D$19),$P$20))-SUM($P373:AL373)</f>
        <v>#VALUE!</v>
      </c>
      <c r="AN373" s="446" t="e">
        <f>IF(OR($B373="",MIN(AN$38,$D$19)&lt;MAX($P$34*($B373+IF($R$17="Distrato",$I$38-1,0)),IF(AND($L$37=0,$P$34=0),"",$L$37-1),IF($R$17="Distrato",$E373,0))),0,YEARFRAC(MAX($P$34*($B373+IF($R$17="Distrato",$I$38-1,0)),IF(AND($L$37=0,$P$34=0),"",$L$37-1),IF($R$17="Distrato",$E373,0)),MIN(AN$38,$D$19),$P$20))-SUM($P373:AM373)</f>
        <v>#VALUE!</v>
      </c>
      <c r="AO373" s="446" t="e">
        <f>IF(OR($B373="",MIN(AO$38,$D$19)&lt;MAX($P$34*($B373+IF($R$17="Distrato",$I$38-1,0)),IF(AND($L$37=0,$P$34=0),"",$L$37-1),IF($R$17="Distrato",$E373,0))),0,YEARFRAC(MAX($P$34*($B373+IF($R$17="Distrato",$I$38-1,0)),IF(AND($L$37=0,$P$34=0),"",$L$37-1),IF($R$17="Distrato",$E373,0)),MIN(AO$38,$D$19),$P$20))-SUM($P373:AN373)</f>
        <v>#VALUE!</v>
      </c>
      <c r="AP373" s="446" t="e">
        <f>IF(OR($B373="",MIN(AP$38,$D$19)&lt;MAX($P$34*($B373+IF($R$17="Distrato",$I$38-1,0)),IF(AND($L$37=0,$P$34=0),"",$L$37-1),IF($R$17="Distrato",$E373,0))),0,YEARFRAC(MAX($P$34*($B373+IF($R$17="Distrato",$I$38-1,0)),IF(AND($L$37=0,$P$34=0),"",$L$37-1),IF($R$17="Distrato",$E373,0)),MIN(AP$38,$D$19),$P$20))-SUM($P373:AO373)</f>
        <v>#VALUE!</v>
      </c>
      <c r="AQ373" s="446" t="e">
        <f>IF(OR($B373="",MIN(AQ$38,$D$19)&lt;MAX($P$34*($B373+IF($R$17="Distrato",$I$38-1,0)),IF(AND($L$37=0,$P$34=0),"",$L$37-1),IF($R$17="Distrato",$E373,0))),0,YEARFRAC(MAX($P$34*($B373+IF($R$17="Distrato",$I$38-1,0)),IF(AND($L$37=0,$P$34=0),"",$L$37-1),IF($R$17="Distrato",$E373,0)),MIN(AQ$38,$D$19),$P$20))-SUM($P373:AP373)</f>
        <v>#VALUE!</v>
      </c>
      <c r="AR373" s="446" t="e">
        <f>IF(OR($B373="",MIN(AR$38,$D$19)&lt;MAX($P$34*($B373+IF($R$17="Distrato",$I$38-1,0)),IF(AND($L$37=0,$P$34=0),"",$L$37-1),IF($R$17="Distrato",$E373,0))),0,YEARFRAC(MAX($P$34*($B373+IF($R$17="Distrato",$I$38-1,0)),IF(AND($L$37=0,$P$34=0),"",$L$37-1),IF($R$17="Distrato",$E373,0)),MIN(AR$38,$D$19),$P$20))-SUM($P373:AQ373)</f>
        <v>#VALUE!</v>
      </c>
      <c r="AS373" s="446" t="e">
        <f>IF(OR($B373="",MIN(AS$38,$D$19)&lt;MAX($P$34*($B373+IF($R$17="Distrato",$I$38-1,0)),IF(AND($L$37=0,$P$34=0),"",$L$37-1),IF($R$17="Distrato",$E373,0))),0,YEARFRAC(MAX($P$34*($B373+IF($R$17="Distrato",$I$38-1,0)),IF(AND($L$37=0,$P$34=0),"",$L$37-1),IF($R$17="Distrato",$E373,0)),MIN(AS$38,$D$19),$P$20))-SUM($P373:AR373)</f>
        <v>#VALUE!</v>
      </c>
      <c r="AT373" s="446" t="e">
        <f>IF(OR($B373="",MIN(AT$38,$D$19)&lt;MAX($P$34*($B373+IF($R$17="Distrato",$I$38-1,0)),IF(AND($L$37=0,$P$34=0),"",$L$37-1),IF($R$17="Distrato",$E373,0))),0,YEARFRAC(MAX($P$34*($B373+IF($R$17="Distrato",$I$38-1,0)),IF(AND($L$37=0,$P$34=0),"",$L$37-1),IF($R$17="Distrato",$E373,0)),MIN(AT$38,$D$19),$P$20))-SUM($P373:AS373)</f>
        <v>#VALUE!</v>
      </c>
      <c r="AU373" s="446" t="e">
        <f>IF(OR($B373="",MIN(AU$38,$D$19)&lt;MAX($P$34*($B373+IF($R$17="Distrato",$I$38-1,0)),IF(AND($L$37=0,$P$34=0),"",$L$37-1),IF($R$17="Distrato",$E373,0))),0,YEARFRAC(MAX($P$34*($B373+IF($R$17="Distrato",$I$38-1,0)),IF(AND($L$37=0,$P$34=0),"",$L$37-1),IF($R$17="Distrato",$E373,0)),MIN(AU$38,$D$19),$P$20))-SUM($P373:AT373)</f>
        <v>#VALUE!</v>
      </c>
      <c r="AV373" s="446" t="e">
        <f>IF(OR($B373="",MIN(AV$38,$D$19)&lt;MAX($P$34*($B373+IF($R$17="Distrato",$I$38-1,0)),IF(AND($L$37=0,$P$34=0),"",$L$37-1),IF($R$17="Distrato",$E373,0))),0,YEARFRAC(MAX($P$34*($B373+IF($R$17="Distrato",$I$38-1,0)),IF(AND($L$37=0,$P$34=0),"",$L$37-1),IF($R$17="Distrato",$E373,0)),MIN(AV$38,$D$19),$P$20))-SUM($P373:AU373)</f>
        <v>#VALUE!</v>
      </c>
      <c r="AW373" s="446" t="e">
        <f>IF(OR($B373="",MIN(AW$38,$D$19)&lt;MAX($P$34*($B373+IF($R$17="Distrato",$I$38-1,0)),IF(AND($L$37=0,$P$34=0),"",$L$37-1),IF($R$17="Distrato",$E373,0))),0,YEARFRAC(MAX($P$34*($B373+IF($R$17="Distrato",$I$38-1,0)),IF(AND($L$37=0,$P$34=0),"",$L$37-1),IF($R$17="Distrato",$E373,0)),MIN(AW$38,$D$19),$P$20))-SUM($P373:AV373)</f>
        <v>#VALUE!</v>
      </c>
      <c r="AX373" s="446" t="e">
        <f>IF(OR($B373="",MIN(AX$38,$D$19)&lt;MAX($P$34*($B373+IF($R$17="Distrato",$I$38-1,0)),IF(AND($L$37=0,$P$34=0),"",$L$37-1),IF($R$17="Distrato",$E373,0))),0,YEARFRAC(MAX($P$34*($B373+IF($R$17="Distrato",$I$38-1,0)),IF(AND($L$37=0,$P$34=0),"",$L$37-1),IF($R$17="Distrato",$E373,0)),MIN(AX$38,$D$19),$P$20))-SUM($P373:AW373)</f>
        <v>#VALUE!</v>
      </c>
      <c r="AY373" s="446" t="e">
        <f>IF(OR($B373="",MIN(AY$38,$D$19)&lt;MAX($P$34*($B373+IF($R$17="Distrato",$I$38-1,0)),IF(AND($L$37=0,$P$34=0),"",$L$37-1),IF($R$17="Distrato",$E373,0))),0,YEARFRAC(MAX($P$34*($B373+IF($R$17="Distrato",$I$38-1,0)),IF(AND($L$37=0,$P$34=0),"",$L$37-1),IF($R$17="Distrato",$E373,0)),MIN(AY$38,$D$19),$P$20))-SUM($P373:AX373)</f>
        <v>#VALUE!</v>
      </c>
      <c r="AZ373" s="446" t="e">
        <f>IF(OR($B373="",MIN(AZ$38,$D$19)&lt;MAX($P$34*($B373+IF($R$17="Distrato",$I$38-1,0)),IF(AND($L$37=0,$P$34=0),"",$L$37-1),IF($R$17="Distrato",$E373,0))),0,YEARFRAC(MAX($P$34*($B373+IF($R$17="Distrato",$I$38-1,0)),IF(AND($L$37=0,$P$34=0),"",$L$37-1),IF($R$17="Distrato",$E373,0)),MIN(AZ$38,$D$19),$P$20))-SUM($P373:AY373)</f>
        <v>#VALUE!</v>
      </c>
      <c r="BA373" s="446" t="e">
        <f>IF(OR($B373="",MIN(BA$38,$D$19)&lt;MAX($P$34*($B373+IF($R$17="Distrato",$I$38-1,0)),IF(AND($L$37=0,$P$34=0),"",$L$37-1),IF($R$17="Distrato",$E373,0))),0,YEARFRAC(MAX($P$34*($B373+IF($R$17="Distrato",$I$38-1,0)),IF(AND($L$37=0,$P$34=0),"",$L$37-1),IF($R$17="Distrato",$E373,0)),MIN(BA$38,$D$19),$P$20))-SUM($P373:AZ373)</f>
        <v>#VALUE!</v>
      </c>
      <c r="BB373" s="447"/>
      <c r="BF373" s="446">
        <f t="shared" si="65"/>
        <v>0</v>
      </c>
      <c r="BG373" s="446">
        <f>IF($E373=0,0,IF(MIN(BG$38,$E373)&lt;MAX($P$34*($B373+$I$38-1),IF(AND($L$37=0,$P$34=0),"",$L$37-1)),0,YEARFRAC(MAX($P$34*($B373+$I$38-1),IF(AND($L$37=0,$P$34=0),"",$L$37-1)),MIN(BG$38,$E373),$P$20))-SUM($BF373:BF373))</f>
        <v>0</v>
      </c>
      <c r="BH373" s="446">
        <f>IF($E373=0,0,IF(MIN(BH$38,$E373)&lt;MAX($P$34*($B373+$I$38-1),IF(AND($L$37=0,$P$34=0),"",$L$37-1)),0,YEARFRAC(MAX($P$34*($B373+$I$38-1),IF(AND($L$37=0,$P$34=0),"",$L$37-1)),MIN(BH$38,$E373),$P$20))-SUM($BF373:BG373))</f>
        <v>0</v>
      </c>
      <c r="BI373" s="446">
        <f>IF($E373=0,0,IF(MIN(BI$38,$E373)&lt;MAX($P$34*($B373+$I$38-1),IF(AND($L$37=0,$P$34=0),"",$L$37-1)),0,YEARFRAC(MAX($P$34*($B373+$I$38-1),IF(AND($L$37=0,$P$34=0),"",$L$37-1)),MIN(BI$38,$E373),$P$20))-SUM($BF373:BH373))</f>
        <v>0</v>
      </c>
      <c r="BJ373" s="446">
        <f>IF($E373=0,0,IF(MIN(BJ$38,$E373)&lt;MAX($P$34*($B373+$I$38-1),IF(AND($L$37=0,$P$34=0),"",$L$37-1)),0,YEARFRAC(MAX($P$34*($B373+$I$38-1),IF(AND($L$37=0,$P$34=0),"",$L$37-1)),MIN(BJ$38,$E373),$P$20))-SUM($BF373:BI373))</f>
        <v>0</v>
      </c>
      <c r="BK373" s="446">
        <f>IF($E373=0,0,IF(MIN(BK$38,$E373)&lt;MAX($P$34*($B373+$I$38-1),IF(AND($L$37=0,$P$34=0),"",$L$37-1)),0,YEARFRAC(MAX($P$34*($B373+$I$38-1),IF(AND($L$37=0,$P$34=0),"",$L$37-1)),MIN(BK$38,$E373),$P$20))-SUM($BF373:BJ373))</f>
        <v>0</v>
      </c>
      <c r="BL373" s="446">
        <f>IF($E373=0,0,IF(MIN(BL$38,$E373)&lt;MAX($P$34*($B373+$I$38-1),IF(AND($L$37=0,$P$34=0),"",$L$37-1)),0,YEARFRAC(MAX($P$34*($B373+$I$38-1),IF(AND($L$37=0,$P$34=0),"",$L$37-1)),MIN(BL$38,$E373),$P$20))-SUM($BF373:BK373))</f>
        <v>0</v>
      </c>
      <c r="BM373" s="446">
        <f>IF($E373=0,0,IF(MIN(BM$38,$E373)&lt;MAX($P$34*($B373+$I$38-1),IF(AND($L$37=0,$P$34=0),"",$L$37-1)),0,YEARFRAC(MAX($P$34*($B373+$I$38-1),IF(AND($L$37=0,$P$34=0),"",$L$37-1)),MIN(BM$38,$E373),$P$20))-SUM($BF373:BL373))</f>
        <v>0</v>
      </c>
      <c r="BN373" s="446">
        <f>IF($E373=0,0,IF(MIN(BN$38,$E373)&lt;MAX($P$34*($B373+$I$38-1),IF(AND($L$37=0,$P$34=0),"",$L$37-1)),0,YEARFRAC(MAX($P$34*($B373+$I$38-1),IF(AND($L$37=0,$P$34=0),"",$L$37-1)),MIN(BN$38,$E373),$P$20))-SUM($BF373:BM373))</f>
        <v>0</v>
      </c>
      <c r="BO373" s="446">
        <f>IF($E373=0,0,IF(MIN(BO$38,$E373)&lt;MAX($P$34*($B373+$I$38-1),IF(AND($L$37=0,$P$34=0),"",$L$37-1)),0,YEARFRAC(MAX($P$34*($B373+$I$38-1),IF(AND($L$37=0,$P$34=0),"",$L$37-1)),MIN(BO$38,$E373),$P$20))-SUM($BF373:BN373))</f>
        <v>0</v>
      </c>
      <c r="BP373" s="446">
        <f>IF($E373=0,0,IF(MIN(BP$38,$E373)&lt;MAX($P$34*($B373+$I$38-1),IF(AND($L$37=0,$P$34=0),"",$L$37-1)),0,YEARFRAC(MAX($P$34*($B373+$I$38-1),IF(AND($L$37=0,$P$34=0),"",$L$37-1)),MIN(BP$38,$E373),$P$20))-SUM($BF373:BO373))</f>
        <v>0</v>
      </c>
      <c r="BQ373" s="446">
        <f>IF($E373=0,0,IF(MIN(BQ$38,$E373)&lt;MAX($P$34*($B373+$I$38-1),IF(AND($L$37=0,$P$34=0),"",$L$37-1)),0,YEARFRAC(MAX($P$34*($B373+$I$38-1),IF(AND($L$37=0,$P$34=0),"",$L$37-1)),MIN(BQ$38,$E373),$P$20))-SUM($BF373:BP373))</f>
        <v>0</v>
      </c>
      <c r="BR373" s="446">
        <f>IF($E373=0,0,IF(MIN(BR$38,$E373)&lt;MAX($P$34*($B373+$I$38-1),IF(AND($L$37=0,$P$34=0),"",$L$37-1)),0,YEARFRAC(MAX($P$34*($B373+$I$38-1),IF(AND($L$37=0,$P$34=0),"",$L$37-1)),MIN(BR$38,$E373),$P$20))-SUM($BF373:BQ373))</f>
        <v>0</v>
      </c>
      <c r="BS373" s="446">
        <f>IF($E373=0,0,IF(MIN(BS$38,$E373)&lt;MAX($P$34*($B373+$I$38-1),IF(AND($L$37=0,$P$34=0),"",$L$37-1)),0,YEARFRAC(MAX($P$34*($B373+$I$38-1),IF(AND($L$37=0,$P$34=0),"",$L$37-1)),MIN(BS$38,$E373),$P$20))-SUM($BF373:BR373))</f>
        <v>0</v>
      </c>
      <c r="BT373" s="446">
        <f>IF($E373=0,0,IF(MIN(BT$38,$E373)&lt;MAX($P$34*($B373+$I$38-1),IF(AND($L$37=0,$P$34=0),"",$L$37-1)),0,YEARFRAC(MAX($P$34*($B373+$I$38-1),IF(AND($L$37=0,$P$34=0),"",$L$37-1)),MIN(BT$38,$E373),$P$20))-SUM($BF373:BS373))</f>
        <v>0</v>
      </c>
      <c r="BU373" s="446">
        <f>IF($E373=0,0,IF(MIN(BU$38,$E373)&lt;MAX($P$34*($B373+$I$38-1),IF(AND($L$37=0,$P$34=0),"",$L$37-1)),0,YEARFRAC(MAX($P$34*($B373+$I$38-1),IF(AND($L$37=0,$P$34=0),"",$L$37-1)),MIN(BU$38,$E373),$P$20))-SUM($BF373:BT373))</f>
        <v>0</v>
      </c>
      <c r="BV373" s="446">
        <f>IF($E373=0,0,IF(MIN(BV$38,$E373)&lt;MAX($P$34*($B373+$I$38-1),IF(AND($L$37=0,$P$34=0),"",$L$37-1)),0,YEARFRAC(MAX($P$34*($B373+$I$38-1),IF(AND($L$37=0,$P$34=0),"",$L$37-1)),MIN(BV$38,$E373),$P$20))-SUM($BF373:BU373))</f>
        <v>0</v>
      </c>
      <c r="BW373" s="446">
        <f>IF($E373=0,0,IF(MIN(BW$38,$E373)&lt;MAX($P$34*($B373+$I$38-1),IF(AND($L$37=0,$P$34=0),"",$L$37-1)),0,YEARFRAC(MAX($P$34*($B373+$I$38-1),IF(AND($L$37=0,$P$34=0),"",$L$37-1)),MIN(BW$38,$E373),$P$20))-SUM($BF373:BV373))</f>
        <v>0</v>
      </c>
      <c r="BX373" s="446">
        <f>IF($E373=0,0,IF(MIN(BX$38,$E373)&lt;MAX($P$34*($B373+$I$38-1),IF(AND($L$37=0,$P$34=0),"",$L$37-1)),0,YEARFRAC(MAX($P$34*($B373+$I$38-1),IF(AND($L$37=0,$P$34=0),"",$L$37-1)),MIN(BX$38,$E373),$P$20))-SUM($BF373:BW373))</f>
        <v>0</v>
      </c>
      <c r="BY373" s="446">
        <f>IF($E373=0,0,IF(MIN(BY$38,$E373)&lt;MAX($P$34*($B373+$I$38-1),IF(AND($L$37=0,$P$34=0),"",$L$37-1)),0,YEARFRAC(MAX($P$34*($B373+$I$38-1),IF(AND($L$37=0,$P$34=0),"",$L$37-1)),MIN(BY$38,$E373),$P$20))-SUM($BF373:BX373))</f>
        <v>0</v>
      </c>
      <c r="BZ373" s="446">
        <f>IF($E373=0,0,IF(MIN(BZ$38,$E373)&lt;MAX($P$34*($B373+$I$38-1),IF(AND($L$37=0,$P$34=0),"",$L$37-1)),0,YEARFRAC(MAX($P$34*($B373+$I$38-1),IF(AND($L$37=0,$P$34=0),"",$L$37-1)),MIN(BZ$38,$E373),$P$20))-SUM($BF373:BY373))</f>
        <v>0</v>
      </c>
      <c r="CA373" s="446">
        <f>IF($E373=0,0,IF(MIN(CA$38,$E373)&lt;MAX($P$34*($B373+$I$38-1),IF(AND($L$37=0,$P$34=0),"",$L$37-1)),0,YEARFRAC(MAX($P$34*($B373+$I$38-1),IF(AND($L$37=0,$P$34=0),"",$L$37-1)),MIN(CA$38,$E373),$P$20))-SUM($BF373:BZ373))</f>
        <v>0</v>
      </c>
      <c r="CB373" s="446">
        <f>IF($E373=0,0,IF(MIN(CB$38,$E373)&lt;MAX($P$34*($B373+$I$38-1),IF(AND($L$37=0,$P$34=0),"",$L$37-1)),0,YEARFRAC(MAX($P$34*($B373+$I$38-1),IF(AND($L$37=0,$P$34=0),"",$L$37-1)),MIN(CB$38,$E373),$P$20))-SUM($BF373:CA373))</f>
        <v>0</v>
      </c>
      <c r="CC373" s="446">
        <f>IF($E373=0,0,IF(MIN(CC$38,$E373)&lt;MAX($P$34*($B373+$I$38-1),IF(AND($L$37=0,$P$34=0),"",$L$37-1)),0,YEARFRAC(MAX($P$34*($B373+$I$38-1),IF(AND($L$37=0,$P$34=0),"",$L$37-1)),MIN(CC$38,$E373),$P$20))-SUM($BF373:CB373))</f>
        <v>0</v>
      </c>
      <c r="CD373" s="446">
        <f>IF($E373=0,0,IF(MIN(CD$38,$E373)&lt;MAX($P$34*($B373+$I$38-1),IF(AND($L$37=0,$P$34=0),"",$L$37-1)),0,YEARFRAC(MAX($P$34*($B373+$I$38-1),IF(AND($L$37=0,$P$34=0),"",$L$37-1)),MIN(CD$38,$E373),$P$20))-SUM($BF373:CC373))</f>
        <v>0</v>
      </c>
      <c r="CE373" s="446">
        <f>IF($E373=0,0,IF(MIN(CE$38,$E373)&lt;MAX($P$34*($B373+$I$38-1),IF(AND($L$37=0,$P$34=0),"",$L$37-1)),0,YEARFRAC(MAX($P$34*($B373+$I$38-1),IF(AND($L$37=0,$P$34=0),"",$L$37-1)),MIN(CE$38,$E373),$P$20))-SUM($BF373:CD373))</f>
        <v>0</v>
      </c>
      <c r="CF373" s="446">
        <f>IF($E373=0,0,IF(MIN(CF$38,$E373)&lt;MAX($P$34*($B373+$I$38-1),IF(AND($L$37=0,$P$34=0),"",$L$37-1)),0,YEARFRAC(MAX($P$34*($B373+$I$38-1),IF(AND($L$37=0,$P$34=0),"",$L$37-1)),MIN(CF$38,$E373),$P$20))-SUM($BF373:CE373))</f>
        <v>0</v>
      </c>
      <c r="CG373" s="446">
        <f>IF($E373=0,0,IF(MIN(CG$38,$E373)&lt;MAX($P$34*($B373+$I$38-1),IF(AND($L$37=0,$P$34=0),"",$L$37-1)),0,YEARFRAC(MAX($P$34*($B373+$I$38-1),IF(AND($L$37=0,$P$34=0),"",$L$37-1)),MIN(CG$38,$E373),$P$20))-SUM($BF373:CF373))</f>
        <v>0</v>
      </c>
      <c r="CH373" s="446">
        <f>IF($E373=0,0,IF(MIN(CH$38,$E373)&lt;MAX($P$34*($B373+$I$38-1),IF(AND($L$37=0,$P$34=0),"",$L$37-1)),0,YEARFRAC(MAX($P$34*($B373+$I$38-1),IF(AND($L$37=0,$P$34=0),"",$L$37-1)),MIN(CH$38,$E373),$P$20))-SUM($BF373:CG373))</f>
        <v>0</v>
      </c>
      <c r="CI373" s="446">
        <f>IF($E373=0,0,IF(MIN(CI$38,$E373)&lt;MAX($P$34*($B373+$I$38-1),IF(AND($L$37=0,$P$34=0),"",$L$37-1)),0,YEARFRAC(MAX($P$34*($B373+$I$38-1),IF(AND($L$37=0,$P$34=0),"",$L$37-1)),MIN(CI$38,$E373),$P$20))-SUM($BF373:CH373))</f>
        <v>0</v>
      </c>
      <c r="CJ373" s="446">
        <f>IF($E373=0,0,IF(MIN(CJ$38,$E373)&lt;MAX($P$34*($B373+$I$38-1),IF(AND($L$37=0,$P$34=0),"",$L$37-1)),0,YEARFRAC(MAX($P$34*($B373+$I$38-1),IF(AND($L$37=0,$P$34=0),"",$L$37-1)),MIN(CJ$38,$E373),$P$20))-SUM($BF373:CI373))</f>
        <v>0</v>
      </c>
      <c r="CK373" s="446">
        <f>IF($E373=0,0,IF(MIN(CK$38,$E373)&lt;MAX($P$34*($B373+$I$38-1),IF(AND($L$37=0,$P$34=0),"",$L$37-1)),0,YEARFRAC(MAX($P$34*($B373+$I$38-1),IF(AND($L$37=0,$P$34=0),"",$L$37-1)),MIN(CK$38,$E373),$P$20))-SUM($BF373:CJ373))</f>
        <v>0</v>
      </c>
      <c r="CL373" s="446">
        <f>IF($E373=0,0,IF(MIN(CL$38,$E373)&lt;MAX($P$34*($B373+$I$38-1),IF(AND($L$37=0,$P$34=0),"",$L$37-1)),0,YEARFRAC(MAX($P$34*($B373+$I$38-1),IF(AND($L$37=0,$P$34=0),"",$L$37-1)),MIN(CL$38,$E373),$P$20))-SUM($BF373:CK373))</f>
        <v>0</v>
      </c>
      <c r="CM373" s="446">
        <f>IF($E373=0,0,IF(MIN(CM$38,$E373)&lt;MAX($P$34*($B373+$I$38-1),IF(AND($L$37=0,$P$34=0),"",$L$37-1)),0,YEARFRAC(MAX($P$34*($B373+$I$38-1),IF(AND($L$37=0,$P$34=0),"",$L$37-1)),MIN(CM$38,$E373),$P$20))-SUM($BF373:CL373))</f>
        <v>0</v>
      </c>
      <c r="CN373" s="446">
        <f>IF($E373=0,0,IF(MIN(CN$38,$E373)&lt;MAX($P$34*($B373+$I$38-1),IF(AND($L$37=0,$P$34=0),"",$L$37-1)),0,YEARFRAC(MAX($P$34*($B373+$I$38-1),IF(AND($L$37=0,$P$34=0),"",$L$37-1)),MIN(CN$38,$E373),$P$20))-SUM($BF373:CM373))</f>
        <v>0</v>
      </c>
      <c r="CO373" s="446">
        <f>IF($E373=0,0,IF(MIN(CO$38,$E373)&lt;MAX($P$34*($B373+$I$38-1),IF(AND($L$37=0,$P$34=0),"",$L$37-1)),0,YEARFRAC(MAX($P$34*($B373+$I$38-1),IF(AND($L$37=0,$P$34=0),"",$L$37-1)),MIN(CO$38,$E373),$P$20))-SUM($BF373:CN373))</f>
        <v>0</v>
      </c>
      <c r="CP373" s="446">
        <f>IF($E373=0,0,IF(MIN(CP$38,$E373)&lt;MAX($P$34*($B373+$I$38-1),IF(AND($L$37=0,$P$34=0),"",$L$37-1)),0,YEARFRAC(MAX($P$34*($B373+$I$38-1),IF(AND($L$37=0,$P$34=0),"",$L$37-1)),MIN(CP$38,$E373),$P$20))-SUM($BF373:CO373))</f>
        <v>0</v>
      </c>
      <c r="CQ373" s="446">
        <f>IF($E373=0,0,IF(MIN(CQ$38,$E373)&lt;MAX($P$34*($B373+$I$38-1),IF(AND($L$37=0,$P$34=0),"",$L$37-1)),0,YEARFRAC(MAX($P$34*($B373+$I$38-1),IF(AND($L$37=0,$P$34=0),"",$L$37-1)),MIN(CQ$38,$E373),$P$20))-SUM($BF373:CP373))</f>
        <v>0</v>
      </c>
    </row>
    <row r="374" spans="1:95" s="446" customFormat="1" ht="11.25" hidden="1" customHeight="1" x14ac:dyDescent="0.2">
      <c r="A374" s="152"/>
      <c r="B374" s="153" t="str">
        <f t="shared" si="70"/>
        <v/>
      </c>
      <c r="C374" s="29" t="str">
        <f>IF(B374="","",IF($L$35="SELIC - TRIBUTOS",VLOOKUP(DATE(YEAR($D$19),MONTH($D$19)-1,1),ÍNDICES!$A:$DE,HLOOKUP($BL$25,ÍNDICES!$B$3:$T$4,2)+11)-VLOOKUP(B374,ÍNDICES!$A:$DE,HLOOKUP($BL$25,ÍNDICES!$B$3:$T$4,2)+11)+1%,IF(C$38=$W$26,$J$35,IF(ISERROR(IF(B374&gt;$D$19,1,VLOOKUP(DATE(YEAR(B374),MONTH(B374)+IF($C$35=$S$23,1,0),1),ÍNDICES!$A:$DE,$Z$35+1))),"",IF(B374&gt;$D$19,1,VLOOKUP(DATE(YEAR(B374),MONTH(B374)+IF($C$35=$S$23,1,0),1),ÍNDICES!$A:$DE,$Z$35+1))))))</f>
        <v/>
      </c>
      <c r="D374" s="154" t="str">
        <f>IF(ISERROR(IF(OR($D$38=$Y$27,$B374=""),"",VLOOKUP(B374,ÍNDICES!A:DE,AF$35+1))),"",IF(OR($D$38=$Y$27,$B374=""),"",VLOOKUP(B374,ÍNDICES!A:DE,AF$35+1)))</f>
        <v/>
      </c>
      <c r="E374" s="153"/>
      <c r="F374" s="29" t="str">
        <f>IF(E374="","",IF($L$35="SELIC - TRIBUTOS",VLOOKUP(DATE(YEAR($D$19),MONTH($D$19)-1,1),ÍNDICES!$A:$DE,HLOOKUP($BL$25,ÍNDICES!$B$3:$T$4,2)+11)-VLOOKUP(E374,ÍNDICES!$A:$DE,HLOOKUP($BL$25,ÍNDICES!$B$3:$T$4,2)+11)+1%,IF(F$38=$W$26,$J$35,IF(ISERROR(IF(E374&gt;$D$19,1,VLOOKUP(DATE(YEAR(E374),MONTH(E374)+IF($C$35=$S$23,1,0),1),ÍNDICES!$A:$DE,$Z$35+1))),"",IF(E374&gt;$D$19,1,VLOOKUP(DATE(YEAR(E374),MONTH(E374)+IF($C$35=$S$23,1,0),1),ÍNDICES!$A:$DE,$Z$35+1))))))</f>
        <v/>
      </c>
      <c r="G374" s="155"/>
      <c r="H374" s="156" t="str">
        <f t="shared" si="66"/>
        <v/>
      </c>
      <c r="I374" s="29" t="str">
        <f t="shared" si="60"/>
        <v/>
      </c>
      <c r="J374" s="5">
        <f t="shared" si="61"/>
        <v>0</v>
      </c>
      <c r="K374" s="20">
        <f t="shared" ca="1" si="62"/>
        <v>0</v>
      </c>
      <c r="L374" s="5">
        <f t="shared" ca="1" si="63"/>
        <v>0</v>
      </c>
      <c r="M374" s="64">
        <f t="shared" si="67"/>
        <v>0</v>
      </c>
      <c r="N374" s="61">
        <f t="shared" ca="1" si="68"/>
        <v>0</v>
      </c>
      <c r="O374" s="5">
        <f t="shared" ca="1" si="69"/>
        <v>0</v>
      </c>
      <c r="P374" s="446" t="e">
        <f t="shared" si="64"/>
        <v>#VALUE!</v>
      </c>
      <c r="Q374" s="446" t="e">
        <f>IF(OR($B374="",MIN(Q$38,$D$19)&lt;MAX($P$34*($B374+IF($R$17="Distrato",$I$38-1,0)),IF(AND($L$37=0,$P$34=0),"",$L$37-1),IF($R$17="Distrato",$E374,0))),0,YEARFRAC(MAX($P$34*($B374+IF($R$17="Distrato",$I$38-1,0)),IF(AND($L$37=0,$P$34=0),"",$L$37-1),IF($R$17="Distrato",$E374,0)),MIN(Q$38,$D$19),$P$20))-SUM($P374:P374)</f>
        <v>#VALUE!</v>
      </c>
      <c r="R374" s="446" t="e">
        <f>IF(OR($B374="",MIN(R$38,$D$19)&lt;MAX($P$34*($B374+IF($R$17="Distrato",$I$38-1,0)),IF(AND($L$37=0,$P$34=0),"",$L$37-1),IF($R$17="Distrato",$E374,0))),0,YEARFRAC(MAX($P$34*($B374+IF($R$17="Distrato",$I$38-1,0)),IF(AND($L$37=0,$P$34=0),"",$L$37-1),IF($R$17="Distrato",$E374,0)),MIN(R$38,$D$19),$P$20))-SUM($P374:Q374)</f>
        <v>#VALUE!</v>
      </c>
      <c r="S374" s="446" t="e">
        <f>IF(OR($B374="",MIN(S$38,$D$19)&lt;MAX($P$34*($B374+IF($R$17="Distrato",$I$38-1,0)),IF(AND($L$37=0,$P$34=0),"",$L$37-1),IF($R$17="Distrato",$E374,0))),0,YEARFRAC(MAX($P$34*($B374+IF($R$17="Distrato",$I$38-1,0)),IF(AND($L$37=0,$P$34=0),"",$L$37-1),IF($R$17="Distrato",$E374,0)),MIN(S$38,$D$19),$P$20))-SUM($P374:R374)</f>
        <v>#VALUE!</v>
      </c>
      <c r="T374" s="446" t="e">
        <f>IF(OR($B374="",MIN(T$38,$D$19)&lt;MAX($P$34*($B374+IF($R$17="Distrato",$I$38-1,0)),IF(AND($L$37=0,$P$34=0),"",$L$37-1),IF($R$17="Distrato",$E374,0))),0,YEARFRAC(MAX($P$34*($B374+IF($R$17="Distrato",$I$38-1,0)),IF(AND($L$37=0,$P$34=0),"",$L$37-1),IF($R$17="Distrato",$E374,0)),MIN(T$38,$D$19),$P$20))-SUM($P374:S374)</f>
        <v>#VALUE!</v>
      </c>
      <c r="U374" s="446" t="e">
        <f>IF(OR($B374="",MIN(U$38,$D$19)&lt;MAX($P$34*($B374+IF($R$17="Distrato",$I$38-1,0)),IF(AND($L$37=0,$P$34=0),"",$L$37-1),IF($R$17="Distrato",$E374,0))),0,YEARFRAC(MAX($P$34*($B374+IF($R$17="Distrato",$I$38-1,0)),IF(AND($L$37=0,$P$34=0),"",$L$37-1),IF($R$17="Distrato",$E374,0)),MIN(U$38,$D$19),$P$20))-SUM($P374:T374)</f>
        <v>#VALUE!</v>
      </c>
      <c r="V374" s="446" t="e">
        <f>IF(OR($B374="",MIN(V$38,$D$19)&lt;MAX($P$34*($B374+IF($R$17="Distrato",$I$38-1,0)),IF(AND($L$37=0,$P$34=0),"",$L$37-1),IF($R$17="Distrato",$E374,0))),0,YEARFRAC(MAX($P$34*($B374+IF($R$17="Distrato",$I$38-1,0)),IF(AND($L$37=0,$P$34=0),"",$L$37-1),IF($R$17="Distrato",$E374,0)),MIN(V$38,$D$19),$P$20))-SUM($P374:U374)</f>
        <v>#VALUE!</v>
      </c>
      <c r="W374" s="446" t="e">
        <f>IF(OR($B374="",MIN(W$38,$D$19)&lt;MAX($P$34*($B374+IF($R$17="Distrato",$I$38-1,0)),IF(AND($L$37=0,$P$34=0),"",$L$37-1),IF($R$17="Distrato",$E374,0))),0,YEARFRAC(MAX($P$34*($B374+IF($R$17="Distrato",$I$38-1,0)),IF(AND($L$37=0,$P$34=0),"",$L$37-1),IF($R$17="Distrato",$E374,0)),MIN(W$38,$D$19),$P$20))-SUM($P374:V374)</f>
        <v>#VALUE!</v>
      </c>
      <c r="X374" s="446" t="e">
        <f>IF(OR($B374="",MIN(X$38,$D$19)&lt;MAX($P$34*($B374+IF($R$17="Distrato",$I$38-1,0)),IF(AND($L$37=0,$P$34=0),"",$L$37-1),IF($R$17="Distrato",$E374,0))),0,YEARFRAC(MAX($P$34*($B374+IF($R$17="Distrato",$I$38-1,0)),IF(AND($L$37=0,$P$34=0),"",$L$37-1),IF($R$17="Distrato",$E374,0)),MIN(X$38,$D$19),$P$20))-SUM($P374:W374)</f>
        <v>#VALUE!</v>
      </c>
      <c r="Y374" s="446" t="e">
        <f>IF(OR($B374="",MIN(Y$38,$D$19)&lt;MAX($P$34*($B374+IF($R$17="Distrato",$I$38-1,0)),IF(AND($L$37=0,$P$34=0),"",$L$37-1),IF($R$17="Distrato",$E374,0))),0,YEARFRAC(MAX($P$34*($B374+IF($R$17="Distrato",$I$38-1,0)),IF(AND($L$37=0,$P$34=0),"",$L$37-1),IF($R$17="Distrato",$E374,0)),MIN(Y$38,$D$19),$P$20))-SUM($P374:X374)</f>
        <v>#VALUE!</v>
      </c>
      <c r="Z374" s="446" t="e">
        <f>IF(OR($B374="",MIN(Z$38,$D$19)&lt;MAX($P$34*($B374+IF($R$17="Distrato",$I$38-1,0)),IF(AND($L$37=0,$P$34=0),"",$L$37-1),IF($R$17="Distrato",$E374,0))),0,YEARFRAC(MAX($P$34*($B374+IF($R$17="Distrato",$I$38-1,0)),IF(AND($L$37=0,$P$34=0),"",$L$37-1),IF($R$17="Distrato",$E374,0)),MIN(Z$38,$D$19),$P$20))-SUM($P374:Y374)</f>
        <v>#VALUE!</v>
      </c>
      <c r="AA374" s="446" t="e">
        <f>IF(OR($B374="",MIN(AA$38,$D$19)&lt;MAX($P$34*($B374+IF($R$17="Distrato",$I$38-1,0)),IF(AND($L$37=0,$P$34=0),"",$L$37-1),IF($R$17="Distrato",$E374,0))),0,YEARFRAC(MAX($P$34*($B374+IF($R$17="Distrato",$I$38-1,0)),IF(AND($L$37=0,$P$34=0),"",$L$37-1),IF($R$17="Distrato",$E374,0)),MIN(AA$38,$D$19),$P$20))-SUM($P374:Z374)</f>
        <v>#VALUE!</v>
      </c>
      <c r="AB374" s="446" t="e">
        <f>IF(OR($B374="",MIN(AB$38,$D$19)&lt;MAX($P$34*($B374+IF($R$17="Distrato",$I$38-1,0)),IF(AND($L$37=0,$P$34=0),"",$L$37-1),IF($R$17="Distrato",$E374,0))),0,YEARFRAC(MAX($P$34*($B374+IF($R$17="Distrato",$I$38-1,0)),IF(AND($L$37=0,$P$34=0),"",$L$37-1),IF($R$17="Distrato",$E374,0)),MIN(AB$38,$D$19),$P$20))-SUM($P374:AA374)</f>
        <v>#VALUE!</v>
      </c>
      <c r="AC374" s="446" t="e">
        <f>IF(OR($B374="",MIN(AC$38,$D$19)&lt;MAX($P$34*($B374+IF($R$17="Distrato",$I$38-1,0)),IF(AND($L$37=0,$P$34=0),"",$L$37-1),IF($R$17="Distrato",$E374,0))),0,YEARFRAC(MAX($P$34*($B374+IF($R$17="Distrato",$I$38-1,0)),IF(AND($L$37=0,$P$34=0),"",$L$37-1),IF($R$17="Distrato",$E374,0)),MIN(AC$38,$D$19),$P$20))-SUM($P374:AB374)</f>
        <v>#VALUE!</v>
      </c>
      <c r="AD374" s="446" t="e">
        <f>IF(OR($B374="",MIN(AD$38,$D$19)&lt;MAX($P$34*($B374+IF($R$17="Distrato",$I$38-1,0)),IF(AND($L$37=0,$P$34=0),"",$L$37-1),IF($R$17="Distrato",$E374,0))),0,YEARFRAC(MAX($P$34*($B374+IF($R$17="Distrato",$I$38-1,0)),IF(AND($L$37=0,$P$34=0),"",$L$37-1),IF($R$17="Distrato",$E374,0)),MIN(AD$38,$D$19),$P$20))-SUM($P374:AC374)</f>
        <v>#VALUE!</v>
      </c>
      <c r="AE374" s="446" t="e">
        <f>IF(OR($B374="",MIN(AE$38,$D$19)&lt;MAX($P$34*($B374+IF($R$17="Distrato",$I$38-1,0)),IF(AND($L$37=0,$P$34=0),"",$L$37-1),IF($R$17="Distrato",$E374,0))),0,YEARFRAC(MAX($P$34*($B374+IF($R$17="Distrato",$I$38-1,0)),IF(AND($L$37=0,$P$34=0),"",$L$37-1),IF($R$17="Distrato",$E374,0)),MIN(AE$38,$D$19),$P$20))-SUM($P374:AD374)</f>
        <v>#VALUE!</v>
      </c>
      <c r="AF374" s="446" t="e">
        <f>IF(OR($B374="",MIN(AF$38,$D$19)&lt;MAX($P$34*($B374+IF($R$17="Distrato",$I$38-1,0)),IF(AND($L$37=0,$P$34=0),"",$L$37-1),IF($R$17="Distrato",$E374,0))),0,YEARFRAC(MAX($P$34*($B374+IF($R$17="Distrato",$I$38-1,0)),IF(AND($L$37=0,$P$34=0),"",$L$37-1),IF($R$17="Distrato",$E374,0)),MIN(AF$38,$D$19),$P$20))-SUM($P374:AE374)</f>
        <v>#VALUE!</v>
      </c>
      <c r="AG374" s="446" t="e">
        <f>IF(OR($B374="",MIN(AG$38,$D$19)&lt;MAX($P$34*($B374+IF($R$17="Distrato",$I$38-1,0)),IF(AND($L$37=0,$P$34=0),"",$L$37-1),IF($R$17="Distrato",$E374,0))),0,YEARFRAC(MAX($P$34*($B374+IF($R$17="Distrato",$I$38-1,0)),IF(AND($L$37=0,$P$34=0),"",$L$37-1),IF($R$17="Distrato",$E374,0)),MIN(AG$38,$D$19),$P$20))-SUM($P374:AF374)</f>
        <v>#VALUE!</v>
      </c>
      <c r="AH374" s="446" t="e">
        <f>IF(OR($B374="",MIN(AH$38,$D$19)&lt;MAX($P$34*($B374+IF($R$17="Distrato",$I$38-1,0)),IF(AND($L$37=0,$P$34=0),"",$L$37-1),IF($R$17="Distrato",$E374,0))),0,YEARFRAC(MAX($P$34*($B374+IF($R$17="Distrato",$I$38-1,0)),IF(AND($L$37=0,$P$34=0),"",$L$37-1),IF($R$17="Distrato",$E374,0)),MIN(AH$38,$D$19),$P$20))-SUM($P374:AG374)</f>
        <v>#VALUE!</v>
      </c>
      <c r="AI374" s="446" t="e">
        <f>IF(OR($B374="",MIN(AI$38,$D$19)&lt;MAX($P$34*($B374+IF($R$17="Distrato",$I$38-1,0)),IF(AND($L$37=0,$P$34=0),"",$L$37-1),IF($R$17="Distrato",$E374,0))),0,YEARFRAC(MAX($P$34*($B374+IF($R$17="Distrato",$I$38-1,0)),IF(AND($L$37=0,$P$34=0),"",$L$37-1),IF($R$17="Distrato",$E374,0)),MIN(AI$38,$D$19),$P$20))-SUM($P374:AH374)</f>
        <v>#VALUE!</v>
      </c>
      <c r="AJ374" s="446" t="e">
        <f>IF(OR($B374="",MIN(AJ$38,$D$19)&lt;MAX($P$34*($B374+IF($R$17="Distrato",$I$38-1,0)),IF(AND($L$37=0,$P$34=0),"",$L$37-1),IF($R$17="Distrato",$E374,0))),0,YEARFRAC(MAX($P$34*($B374+IF($R$17="Distrato",$I$38-1,0)),IF(AND($L$37=0,$P$34=0),"",$L$37-1),IF($R$17="Distrato",$E374,0)),MIN(AJ$38,$D$19),$P$20))-SUM($P374:AI374)</f>
        <v>#VALUE!</v>
      </c>
      <c r="AK374" s="446" t="e">
        <f>IF(OR($B374="",MIN(AK$38,$D$19)&lt;MAX($P$34*($B374+IF($R$17="Distrato",$I$38-1,0)),IF(AND($L$37=0,$P$34=0),"",$L$37-1),IF($R$17="Distrato",$E374,0))),0,YEARFRAC(MAX($P$34*($B374+IF($R$17="Distrato",$I$38-1,0)),IF(AND($L$37=0,$P$34=0),"",$L$37-1),IF($R$17="Distrato",$E374,0)),MIN(AK$38,$D$19),$P$20))-SUM($P374:AJ374)</f>
        <v>#VALUE!</v>
      </c>
      <c r="AL374" s="446" t="e">
        <f>IF(OR($B374="",MIN(AL$38,$D$19)&lt;MAX($P$34*($B374+IF($R$17="Distrato",$I$38-1,0)),IF(AND($L$37=0,$P$34=0),"",$L$37-1),IF($R$17="Distrato",$E374,0))),0,YEARFRAC(MAX($P$34*($B374+IF($R$17="Distrato",$I$38-1,0)),IF(AND($L$37=0,$P$34=0),"",$L$37-1),IF($R$17="Distrato",$E374,0)),MIN(AL$38,$D$19),$P$20))-SUM($P374:AK374)</f>
        <v>#VALUE!</v>
      </c>
      <c r="AM374" s="446" t="e">
        <f>IF(OR($B374="",MIN(AM$38,$D$19)&lt;MAX($P$34*($B374+IF($R$17="Distrato",$I$38-1,0)),IF(AND($L$37=0,$P$34=0),"",$L$37-1),IF($R$17="Distrato",$E374,0))),0,YEARFRAC(MAX($P$34*($B374+IF($R$17="Distrato",$I$38-1,0)),IF(AND($L$37=0,$P$34=0),"",$L$37-1),IF($R$17="Distrato",$E374,0)),MIN(AM$38,$D$19),$P$20))-SUM($P374:AL374)</f>
        <v>#VALUE!</v>
      </c>
      <c r="AN374" s="446" t="e">
        <f>IF(OR($B374="",MIN(AN$38,$D$19)&lt;MAX($P$34*($B374+IF($R$17="Distrato",$I$38-1,0)),IF(AND($L$37=0,$P$34=0),"",$L$37-1),IF($R$17="Distrato",$E374,0))),0,YEARFRAC(MAX($P$34*($B374+IF($R$17="Distrato",$I$38-1,0)),IF(AND($L$37=0,$P$34=0),"",$L$37-1),IF($R$17="Distrato",$E374,0)),MIN(AN$38,$D$19),$P$20))-SUM($P374:AM374)</f>
        <v>#VALUE!</v>
      </c>
      <c r="AO374" s="446" t="e">
        <f>IF(OR($B374="",MIN(AO$38,$D$19)&lt;MAX($P$34*($B374+IF($R$17="Distrato",$I$38-1,0)),IF(AND($L$37=0,$P$34=0),"",$L$37-1),IF($R$17="Distrato",$E374,0))),0,YEARFRAC(MAX($P$34*($B374+IF($R$17="Distrato",$I$38-1,0)),IF(AND($L$37=0,$P$34=0),"",$L$37-1),IF($R$17="Distrato",$E374,0)),MIN(AO$38,$D$19),$P$20))-SUM($P374:AN374)</f>
        <v>#VALUE!</v>
      </c>
      <c r="AP374" s="446" t="e">
        <f>IF(OR($B374="",MIN(AP$38,$D$19)&lt;MAX($P$34*($B374+IF($R$17="Distrato",$I$38-1,0)),IF(AND($L$37=0,$P$34=0),"",$L$37-1),IF($R$17="Distrato",$E374,0))),0,YEARFRAC(MAX($P$34*($B374+IF($R$17="Distrato",$I$38-1,0)),IF(AND($L$37=0,$P$34=0),"",$L$37-1),IF($R$17="Distrato",$E374,0)),MIN(AP$38,$D$19),$P$20))-SUM($P374:AO374)</f>
        <v>#VALUE!</v>
      </c>
      <c r="AQ374" s="446" t="e">
        <f>IF(OR($B374="",MIN(AQ$38,$D$19)&lt;MAX($P$34*($B374+IF($R$17="Distrato",$I$38-1,0)),IF(AND($L$37=0,$P$34=0),"",$L$37-1),IF($R$17="Distrato",$E374,0))),0,YEARFRAC(MAX($P$34*($B374+IF($R$17="Distrato",$I$38-1,0)),IF(AND($L$37=0,$P$34=0),"",$L$37-1),IF($R$17="Distrato",$E374,0)),MIN(AQ$38,$D$19),$P$20))-SUM($P374:AP374)</f>
        <v>#VALUE!</v>
      </c>
      <c r="AR374" s="446" t="e">
        <f>IF(OR($B374="",MIN(AR$38,$D$19)&lt;MAX($P$34*($B374+IF($R$17="Distrato",$I$38-1,0)),IF(AND($L$37=0,$P$34=0),"",$L$37-1),IF($R$17="Distrato",$E374,0))),0,YEARFRAC(MAX($P$34*($B374+IF($R$17="Distrato",$I$38-1,0)),IF(AND($L$37=0,$P$34=0),"",$L$37-1),IF($R$17="Distrato",$E374,0)),MIN(AR$38,$D$19),$P$20))-SUM($P374:AQ374)</f>
        <v>#VALUE!</v>
      </c>
      <c r="AS374" s="446" t="e">
        <f>IF(OR($B374="",MIN(AS$38,$D$19)&lt;MAX($P$34*($B374+IF($R$17="Distrato",$I$38-1,0)),IF(AND($L$37=0,$P$34=0),"",$L$37-1),IF($R$17="Distrato",$E374,0))),0,YEARFRAC(MAX($P$34*($B374+IF($R$17="Distrato",$I$38-1,0)),IF(AND($L$37=0,$P$34=0),"",$L$37-1),IF($R$17="Distrato",$E374,0)),MIN(AS$38,$D$19),$P$20))-SUM($P374:AR374)</f>
        <v>#VALUE!</v>
      </c>
      <c r="AT374" s="446" t="e">
        <f>IF(OR($B374="",MIN(AT$38,$D$19)&lt;MAX($P$34*($B374+IF($R$17="Distrato",$I$38-1,0)),IF(AND($L$37=0,$P$34=0),"",$L$37-1),IF($R$17="Distrato",$E374,0))),0,YEARFRAC(MAX($P$34*($B374+IF($R$17="Distrato",$I$38-1,0)),IF(AND($L$37=0,$P$34=0),"",$L$37-1),IF($R$17="Distrato",$E374,0)),MIN(AT$38,$D$19),$P$20))-SUM($P374:AS374)</f>
        <v>#VALUE!</v>
      </c>
      <c r="AU374" s="446" t="e">
        <f>IF(OR($B374="",MIN(AU$38,$D$19)&lt;MAX($P$34*($B374+IF($R$17="Distrato",$I$38-1,0)),IF(AND($L$37=0,$P$34=0),"",$L$37-1),IF($R$17="Distrato",$E374,0))),0,YEARFRAC(MAX($P$34*($B374+IF($R$17="Distrato",$I$38-1,0)),IF(AND($L$37=0,$P$34=0),"",$L$37-1),IF($R$17="Distrato",$E374,0)),MIN(AU$38,$D$19),$P$20))-SUM($P374:AT374)</f>
        <v>#VALUE!</v>
      </c>
      <c r="AV374" s="446" t="e">
        <f>IF(OR($B374="",MIN(AV$38,$D$19)&lt;MAX($P$34*($B374+IF($R$17="Distrato",$I$38-1,0)),IF(AND($L$37=0,$P$34=0),"",$L$37-1),IF($R$17="Distrato",$E374,0))),0,YEARFRAC(MAX($P$34*($B374+IF($R$17="Distrato",$I$38-1,0)),IF(AND($L$37=0,$P$34=0),"",$L$37-1),IF($R$17="Distrato",$E374,0)),MIN(AV$38,$D$19),$P$20))-SUM($P374:AU374)</f>
        <v>#VALUE!</v>
      </c>
      <c r="AW374" s="446" t="e">
        <f>IF(OR($B374="",MIN(AW$38,$D$19)&lt;MAX($P$34*($B374+IF($R$17="Distrato",$I$38-1,0)),IF(AND($L$37=0,$P$34=0),"",$L$37-1),IF($R$17="Distrato",$E374,0))),0,YEARFRAC(MAX($P$34*($B374+IF($R$17="Distrato",$I$38-1,0)),IF(AND($L$37=0,$P$34=0),"",$L$37-1),IF($R$17="Distrato",$E374,0)),MIN(AW$38,$D$19),$P$20))-SUM($P374:AV374)</f>
        <v>#VALUE!</v>
      </c>
      <c r="AX374" s="446" t="e">
        <f>IF(OR($B374="",MIN(AX$38,$D$19)&lt;MAX($P$34*($B374+IF($R$17="Distrato",$I$38-1,0)),IF(AND($L$37=0,$P$34=0),"",$L$37-1),IF($R$17="Distrato",$E374,0))),0,YEARFRAC(MAX($P$34*($B374+IF($R$17="Distrato",$I$38-1,0)),IF(AND($L$37=0,$P$34=0),"",$L$37-1),IF($R$17="Distrato",$E374,0)),MIN(AX$38,$D$19),$P$20))-SUM($P374:AW374)</f>
        <v>#VALUE!</v>
      </c>
      <c r="AY374" s="446" t="e">
        <f>IF(OR($B374="",MIN(AY$38,$D$19)&lt;MAX($P$34*($B374+IF($R$17="Distrato",$I$38-1,0)),IF(AND($L$37=0,$P$34=0),"",$L$37-1),IF($R$17="Distrato",$E374,0))),0,YEARFRAC(MAX($P$34*($B374+IF($R$17="Distrato",$I$38-1,0)),IF(AND($L$37=0,$P$34=0),"",$L$37-1),IF($R$17="Distrato",$E374,0)),MIN(AY$38,$D$19),$P$20))-SUM($P374:AX374)</f>
        <v>#VALUE!</v>
      </c>
      <c r="AZ374" s="446" t="e">
        <f>IF(OR($B374="",MIN(AZ$38,$D$19)&lt;MAX($P$34*($B374+IF($R$17="Distrato",$I$38-1,0)),IF(AND($L$37=0,$P$34=0),"",$L$37-1),IF($R$17="Distrato",$E374,0))),0,YEARFRAC(MAX($P$34*($B374+IF($R$17="Distrato",$I$38-1,0)),IF(AND($L$37=0,$P$34=0),"",$L$37-1),IF($R$17="Distrato",$E374,0)),MIN(AZ$38,$D$19),$P$20))-SUM($P374:AY374)</f>
        <v>#VALUE!</v>
      </c>
      <c r="BA374" s="446" t="e">
        <f>IF(OR($B374="",MIN(BA$38,$D$19)&lt;MAX($P$34*($B374+IF($R$17="Distrato",$I$38-1,0)),IF(AND($L$37=0,$P$34=0),"",$L$37-1),IF($R$17="Distrato",$E374,0))),0,YEARFRAC(MAX($P$34*($B374+IF($R$17="Distrato",$I$38-1,0)),IF(AND($L$37=0,$P$34=0),"",$L$37-1),IF($R$17="Distrato",$E374,0)),MIN(BA$38,$D$19),$P$20))-SUM($P374:AZ374)</f>
        <v>#VALUE!</v>
      </c>
      <c r="BB374" s="447"/>
      <c r="BF374" s="446">
        <f t="shared" si="65"/>
        <v>0</v>
      </c>
      <c r="BG374" s="446">
        <f>IF($E374=0,0,IF(MIN(BG$38,$E374)&lt;MAX($P$34*($B374+$I$38-1),IF(AND($L$37=0,$P$34=0),"",$L$37-1)),0,YEARFRAC(MAX($P$34*($B374+$I$38-1),IF(AND($L$37=0,$P$34=0),"",$L$37-1)),MIN(BG$38,$E374),$P$20))-SUM($BF374:BF374))</f>
        <v>0</v>
      </c>
      <c r="BH374" s="446">
        <f>IF($E374=0,0,IF(MIN(BH$38,$E374)&lt;MAX($P$34*($B374+$I$38-1),IF(AND($L$37=0,$P$34=0),"",$L$37-1)),0,YEARFRAC(MAX($P$34*($B374+$I$38-1),IF(AND($L$37=0,$P$34=0),"",$L$37-1)),MIN(BH$38,$E374),$P$20))-SUM($BF374:BG374))</f>
        <v>0</v>
      </c>
      <c r="BI374" s="446">
        <f>IF($E374=0,0,IF(MIN(BI$38,$E374)&lt;MAX($P$34*($B374+$I$38-1),IF(AND($L$37=0,$P$34=0),"",$L$37-1)),0,YEARFRAC(MAX($P$34*($B374+$I$38-1),IF(AND($L$37=0,$P$34=0),"",$L$37-1)),MIN(BI$38,$E374),$P$20))-SUM($BF374:BH374))</f>
        <v>0</v>
      </c>
      <c r="BJ374" s="446">
        <f>IF($E374=0,0,IF(MIN(BJ$38,$E374)&lt;MAX($P$34*($B374+$I$38-1),IF(AND($L$37=0,$P$34=0),"",$L$37-1)),0,YEARFRAC(MAX($P$34*($B374+$I$38-1),IF(AND($L$37=0,$P$34=0),"",$L$37-1)),MIN(BJ$38,$E374),$P$20))-SUM($BF374:BI374))</f>
        <v>0</v>
      </c>
      <c r="BK374" s="446">
        <f>IF($E374=0,0,IF(MIN(BK$38,$E374)&lt;MAX($P$34*($B374+$I$38-1),IF(AND($L$37=0,$P$34=0),"",$L$37-1)),0,YEARFRAC(MAX($P$34*($B374+$I$38-1),IF(AND($L$37=0,$P$34=0),"",$L$37-1)),MIN(BK$38,$E374),$P$20))-SUM($BF374:BJ374))</f>
        <v>0</v>
      </c>
      <c r="BL374" s="446">
        <f>IF($E374=0,0,IF(MIN(BL$38,$E374)&lt;MAX($P$34*($B374+$I$38-1),IF(AND($L$37=0,$P$34=0),"",$L$37-1)),0,YEARFRAC(MAX($P$34*($B374+$I$38-1),IF(AND($L$37=0,$P$34=0),"",$L$37-1)),MIN(BL$38,$E374),$P$20))-SUM($BF374:BK374))</f>
        <v>0</v>
      </c>
      <c r="BM374" s="446">
        <f>IF($E374=0,0,IF(MIN(BM$38,$E374)&lt;MAX($P$34*($B374+$I$38-1),IF(AND($L$37=0,$P$34=0),"",$L$37-1)),0,YEARFRAC(MAX($P$34*($B374+$I$38-1),IF(AND($L$37=0,$P$34=0),"",$L$37-1)),MIN(BM$38,$E374),$P$20))-SUM($BF374:BL374))</f>
        <v>0</v>
      </c>
      <c r="BN374" s="446">
        <f>IF($E374=0,0,IF(MIN(BN$38,$E374)&lt;MAX($P$34*($B374+$I$38-1),IF(AND($L$37=0,$P$34=0),"",$L$37-1)),0,YEARFRAC(MAX($P$34*($B374+$I$38-1),IF(AND($L$37=0,$P$34=0),"",$L$37-1)),MIN(BN$38,$E374),$P$20))-SUM($BF374:BM374))</f>
        <v>0</v>
      </c>
      <c r="BO374" s="446">
        <f>IF($E374=0,0,IF(MIN(BO$38,$E374)&lt;MAX($P$34*($B374+$I$38-1),IF(AND($L$37=0,$P$34=0),"",$L$37-1)),0,YEARFRAC(MAX($P$34*($B374+$I$38-1),IF(AND($L$37=0,$P$34=0),"",$L$37-1)),MIN(BO$38,$E374),$P$20))-SUM($BF374:BN374))</f>
        <v>0</v>
      </c>
      <c r="BP374" s="446">
        <f>IF($E374=0,0,IF(MIN(BP$38,$E374)&lt;MAX($P$34*($B374+$I$38-1),IF(AND($L$37=0,$P$34=0),"",$L$37-1)),0,YEARFRAC(MAX($P$34*($B374+$I$38-1),IF(AND($L$37=0,$P$34=0),"",$L$37-1)),MIN(BP$38,$E374),$P$20))-SUM($BF374:BO374))</f>
        <v>0</v>
      </c>
      <c r="BQ374" s="446">
        <f>IF($E374=0,0,IF(MIN(BQ$38,$E374)&lt;MAX($P$34*($B374+$I$38-1),IF(AND($L$37=0,$P$34=0),"",$L$37-1)),0,YEARFRAC(MAX($P$34*($B374+$I$38-1),IF(AND($L$37=0,$P$34=0),"",$L$37-1)),MIN(BQ$38,$E374),$P$20))-SUM($BF374:BP374))</f>
        <v>0</v>
      </c>
      <c r="BR374" s="446">
        <f>IF($E374=0,0,IF(MIN(BR$38,$E374)&lt;MAX($P$34*($B374+$I$38-1),IF(AND($L$37=0,$P$34=0),"",$L$37-1)),0,YEARFRAC(MAX($P$34*($B374+$I$38-1),IF(AND($L$37=0,$P$34=0),"",$L$37-1)),MIN(BR$38,$E374),$P$20))-SUM($BF374:BQ374))</f>
        <v>0</v>
      </c>
      <c r="BS374" s="446">
        <f>IF($E374=0,0,IF(MIN(BS$38,$E374)&lt;MAX($P$34*($B374+$I$38-1),IF(AND($L$37=0,$P$34=0),"",$L$37-1)),0,YEARFRAC(MAX($P$34*($B374+$I$38-1),IF(AND($L$37=0,$P$34=0),"",$L$37-1)),MIN(BS$38,$E374),$P$20))-SUM($BF374:BR374))</f>
        <v>0</v>
      </c>
      <c r="BT374" s="446">
        <f>IF($E374=0,0,IF(MIN(BT$38,$E374)&lt;MAX($P$34*($B374+$I$38-1),IF(AND($L$37=0,$P$34=0),"",$L$37-1)),0,YEARFRAC(MAX($P$34*($B374+$I$38-1),IF(AND($L$37=0,$P$34=0),"",$L$37-1)),MIN(BT$38,$E374),$P$20))-SUM($BF374:BS374))</f>
        <v>0</v>
      </c>
      <c r="BU374" s="446">
        <f>IF($E374=0,0,IF(MIN(BU$38,$E374)&lt;MAX($P$34*($B374+$I$38-1),IF(AND($L$37=0,$P$34=0),"",$L$37-1)),0,YEARFRAC(MAX($P$34*($B374+$I$38-1),IF(AND($L$37=0,$P$34=0),"",$L$37-1)),MIN(BU$38,$E374),$P$20))-SUM($BF374:BT374))</f>
        <v>0</v>
      </c>
      <c r="BV374" s="446">
        <f>IF($E374=0,0,IF(MIN(BV$38,$E374)&lt;MAX($P$34*($B374+$I$38-1),IF(AND($L$37=0,$P$34=0),"",$L$37-1)),0,YEARFRAC(MAX($P$34*($B374+$I$38-1),IF(AND($L$37=0,$P$34=0),"",$L$37-1)),MIN(BV$38,$E374),$P$20))-SUM($BF374:BU374))</f>
        <v>0</v>
      </c>
      <c r="BW374" s="446">
        <f>IF($E374=0,0,IF(MIN(BW$38,$E374)&lt;MAX($P$34*($B374+$I$38-1),IF(AND($L$37=0,$P$34=0),"",$L$37-1)),0,YEARFRAC(MAX($P$34*($B374+$I$38-1),IF(AND($L$37=0,$P$34=0),"",$L$37-1)),MIN(BW$38,$E374),$P$20))-SUM($BF374:BV374))</f>
        <v>0</v>
      </c>
      <c r="BX374" s="446">
        <f>IF($E374=0,0,IF(MIN(BX$38,$E374)&lt;MAX($P$34*($B374+$I$38-1),IF(AND($L$37=0,$P$34=0),"",$L$37-1)),0,YEARFRAC(MAX($P$34*($B374+$I$38-1),IF(AND($L$37=0,$P$34=0),"",$L$37-1)),MIN(BX$38,$E374),$P$20))-SUM($BF374:BW374))</f>
        <v>0</v>
      </c>
      <c r="BY374" s="446">
        <f>IF($E374=0,0,IF(MIN(BY$38,$E374)&lt;MAX($P$34*($B374+$I$38-1),IF(AND($L$37=0,$P$34=0),"",$L$37-1)),0,YEARFRAC(MAX($P$34*($B374+$I$38-1),IF(AND($L$37=0,$P$34=0),"",$L$37-1)),MIN(BY$38,$E374),$P$20))-SUM($BF374:BX374))</f>
        <v>0</v>
      </c>
      <c r="BZ374" s="446">
        <f>IF($E374=0,0,IF(MIN(BZ$38,$E374)&lt;MAX($P$34*($B374+$I$38-1),IF(AND($L$37=0,$P$34=0),"",$L$37-1)),0,YEARFRAC(MAX($P$34*($B374+$I$38-1),IF(AND($L$37=0,$P$34=0),"",$L$37-1)),MIN(BZ$38,$E374),$P$20))-SUM($BF374:BY374))</f>
        <v>0</v>
      </c>
      <c r="CA374" s="446">
        <f>IF($E374=0,0,IF(MIN(CA$38,$E374)&lt;MAX($P$34*($B374+$I$38-1),IF(AND($L$37=0,$P$34=0),"",$L$37-1)),0,YEARFRAC(MAX($P$34*($B374+$I$38-1),IF(AND($L$37=0,$P$34=0),"",$L$37-1)),MIN(CA$38,$E374),$P$20))-SUM($BF374:BZ374))</f>
        <v>0</v>
      </c>
      <c r="CB374" s="446">
        <f>IF($E374=0,0,IF(MIN(CB$38,$E374)&lt;MAX($P$34*($B374+$I$38-1),IF(AND($L$37=0,$P$34=0),"",$L$37-1)),0,YEARFRAC(MAX($P$34*($B374+$I$38-1),IF(AND($L$37=0,$P$34=0),"",$L$37-1)),MIN(CB$38,$E374),$P$20))-SUM($BF374:CA374))</f>
        <v>0</v>
      </c>
      <c r="CC374" s="446">
        <f>IF($E374=0,0,IF(MIN(CC$38,$E374)&lt;MAX($P$34*($B374+$I$38-1),IF(AND($L$37=0,$P$34=0),"",$L$37-1)),0,YEARFRAC(MAX($P$34*($B374+$I$38-1),IF(AND($L$37=0,$P$34=0),"",$L$37-1)),MIN(CC$38,$E374),$P$20))-SUM($BF374:CB374))</f>
        <v>0</v>
      </c>
      <c r="CD374" s="446">
        <f>IF($E374=0,0,IF(MIN(CD$38,$E374)&lt;MAX($P$34*($B374+$I$38-1),IF(AND($L$37=0,$P$34=0),"",$L$37-1)),0,YEARFRAC(MAX($P$34*($B374+$I$38-1),IF(AND($L$37=0,$P$34=0),"",$L$37-1)),MIN(CD$38,$E374),$P$20))-SUM($BF374:CC374))</f>
        <v>0</v>
      </c>
      <c r="CE374" s="446">
        <f>IF($E374=0,0,IF(MIN(CE$38,$E374)&lt;MAX($P$34*($B374+$I$38-1),IF(AND($L$37=0,$P$34=0),"",$L$37-1)),0,YEARFRAC(MAX($P$34*($B374+$I$38-1),IF(AND($L$37=0,$P$34=0),"",$L$37-1)),MIN(CE$38,$E374),$P$20))-SUM($BF374:CD374))</f>
        <v>0</v>
      </c>
      <c r="CF374" s="446">
        <f>IF($E374=0,0,IF(MIN(CF$38,$E374)&lt;MAX($P$34*($B374+$I$38-1),IF(AND($L$37=0,$P$34=0),"",$L$37-1)),0,YEARFRAC(MAX($P$34*($B374+$I$38-1),IF(AND($L$37=0,$P$34=0),"",$L$37-1)),MIN(CF$38,$E374),$P$20))-SUM($BF374:CE374))</f>
        <v>0</v>
      </c>
      <c r="CG374" s="446">
        <f>IF($E374=0,0,IF(MIN(CG$38,$E374)&lt;MAX($P$34*($B374+$I$38-1),IF(AND($L$37=0,$P$34=0),"",$L$37-1)),0,YEARFRAC(MAX($P$34*($B374+$I$38-1),IF(AND($L$37=0,$P$34=0),"",$L$37-1)),MIN(CG$38,$E374),$P$20))-SUM($BF374:CF374))</f>
        <v>0</v>
      </c>
      <c r="CH374" s="446">
        <f>IF($E374=0,0,IF(MIN(CH$38,$E374)&lt;MAX($P$34*($B374+$I$38-1),IF(AND($L$37=0,$P$34=0),"",$L$37-1)),0,YEARFRAC(MAX($P$34*($B374+$I$38-1),IF(AND($L$37=0,$P$34=0),"",$L$37-1)),MIN(CH$38,$E374),$P$20))-SUM($BF374:CG374))</f>
        <v>0</v>
      </c>
      <c r="CI374" s="446">
        <f>IF($E374=0,0,IF(MIN(CI$38,$E374)&lt;MAX($P$34*($B374+$I$38-1),IF(AND($L$37=0,$P$34=0),"",$L$37-1)),0,YEARFRAC(MAX($P$34*($B374+$I$38-1),IF(AND($L$37=0,$P$34=0),"",$L$37-1)),MIN(CI$38,$E374),$P$20))-SUM($BF374:CH374))</f>
        <v>0</v>
      </c>
      <c r="CJ374" s="446">
        <f>IF($E374=0,0,IF(MIN(CJ$38,$E374)&lt;MAX($P$34*($B374+$I$38-1),IF(AND($L$37=0,$P$34=0),"",$L$37-1)),0,YEARFRAC(MAX($P$34*($B374+$I$38-1),IF(AND($L$37=0,$P$34=0),"",$L$37-1)),MIN(CJ$38,$E374),$P$20))-SUM($BF374:CI374))</f>
        <v>0</v>
      </c>
      <c r="CK374" s="446">
        <f>IF($E374=0,0,IF(MIN(CK$38,$E374)&lt;MAX($P$34*($B374+$I$38-1),IF(AND($L$37=0,$P$34=0),"",$L$37-1)),0,YEARFRAC(MAX($P$34*($B374+$I$38-1),IF(AND($L$37=0,$P$34=0),"",$L$37-1)),MIN(CK$38,$E374),$P$20))-SUM($BF374:CJ374))</f>
        <v>0</v>
      </c>
      <c r="CL374" s="446">
        <f>IF($E374=0,0,IF(MIN(CL$38,$E374)&lt;MAX($P$34*($B374+$I$38-1),IF(AND($L$37=0,$P$34=0),"",$L$37-1)),0,YEARFRAC(MAX($P$34*($B374+$I$38-1),IF(AND($L$37=0,$P$34=0),"",$L$37-1)),MIN(CL$38,$E374),$P$20))-SUM($BF374:CK374))</f>
        <v>0</v>
      </c>
      <c r="CM374" s="446">
        <f>IF($E374=0,0,IF(MIN(CM$38,$E374)&lt;MAX($P$34*($B374+$I$38-1),IF(AND($L$37=0,$P$34=0),"",$L$37-1)),0,YEARFRAC(MAX($P$34*($B374+$I$38-1),IF(AND($L$37=0,$P$34=0),"",$L$37-1)),MIN(CM$38,$E374),$P$20))-SUM($BF374:CL374))</f>
        <v>0</v>
      </c>
      <c r="CN374" s="446">
        <f>IF($E374=0,0,IF(MIN(CN$38,$E374)&lt;MAX($P$34*($B374+$I$38-1),IF(AND($L$37=0,$P$34=0),"",$L$37-1)),0,YEARFRAC(MAX($P$34*($B374+$I$38-1),IF(AND($L$37=0,$P$34=0),"",$L$37-1)),MIN(CN$38,$E374),$P$20))-SUM($BF374:CM374))</f>
        <v>0</v>
      </c>
      <c r="CO374" s="446">
        <f>IF($E374=0,0,IF(MIN(CO$38,$E374)&lt;MAX($P$34*($B374+$I$38-1),IF(AND($L$37=0,$P$34=0),"",$L$37-1)),0,YEARFRAC(MAX($P$34*($B374+$I$38-1),IF(AND($L$37=0,$P$34=0),"",$L$37-1)),MIN(CO$38,$E374),$P$20))-SUM($BF374:CN374))</f>
        <v>0</v>
      </c>
      <c r="CP374" s="446">
        <f>IF($E374=0,0,IF(MIN(CP$38,$E374)&lt;MAX($P$34*($B374+$I$38-1),IF(AND($L$37=0,$P$34=0),"",$L$37-1)),0,YEARFRAC(MAX($P$34*($B374+$I$38-1),IF(AND($L$37=0,$P$34=0),"",$L$37-1)),MIN(CP$38,$E374),$P$20))-SUM($BF374:CO374))</f>
        <v>0</v>
      </c>
      <c r="CQ374" s="446">
        <f>IF($E374=0,0,IF(MIN(CQ$38,$E374)&lt;MAX($P$34*($B374+$I$38-1),IF(AND($L$37=0,$P$34=0),"",$L$37-1)),0,YEARFRAC(MAX($P$34*($B374+$I$38-1),IF(AND($L$37=0,$P$34=0),"",$L$37-1)),MIN(CQ$38,$E374),$P$20))-SUM($BF374:CP374))</f>
        <v>0</v>
      </c>
    </row>
    <row r="375" spans="1:95" s="446" customFormat="1" ht="11.25" hidden="1" customHeight="1" x14ac:dyDescent="0.2">
      <c r="A375" s="152"/>
      <c r="B375" s="153" t="str">
        <f t="shared" si="70"/>
        <v/>
      </c>
      <c r="C375" s="29" t="str">
        <f>IF(B375="","",IF($L$35="SELIC - TRIBUTOS",VLOOKUP(DATE(YEAR($D$19),MONTH($D$19)-1,1),ÍNDICES!$A:$DE,HLOOKUP($BL$25,ÍNDICES!$B$3:$T$4,2)+11)-VLOOKUP(B375,ÍNDICES!$A:$DE,HLOOKUP($BL$25,ÍNDICES!$B$3:$T$4,2)+11)+1%,IF(C$38=$W$26,$J$35,IF(ISERROR(IF(B375&gt;$D$19,1,VLOOKUP(DATE(YEAR(B375),MONTH(B375)+IF($C$35=$S$23,1,0),1),ÍNDICES!$A:$DE,$Z$35+1))),"",IF(B375&gt;$D$19,1,VLOOKUP(DATE(YEAR(B375),MONTH(B375)+IF($C$35=$S$23,1,0),1),ÍNDICES!$A:$DE,$Z$35+1))))))</f>
        <v/>
      </c>
      <c r="D375" s="154" t="str">
        <f>IF(ISERROR(IF(OR($D$38=$Y$27,$B375=""),"",VLOOKUP(B375,ÍNDICES!A:DE,AF$35+1))),"",IF(OR($D$38=$Y$27,$B375=""),"",VLOOKUP(B375,ÍNDICES!A:DE,AF$35+1)))</f>
        <v/>
      </c>
      <c r="E375" s="153"/>
      <c r="F375" s="29" t="str">
        <f>IF(E375="","",IF($L$35="SELIC - TRIBUTOS",VLOOKUP(DATE(YEAR($D$19),MONTH($D$19)-1,1),ÍNDICES!$A:$DE,HLOOKUP($BL$25,ÍNDICES!$B$3:$T$4,2)+11)-VLOOKUP(E375,ÍNDICES!$A:$DE,HLOOKUP($BL$25,ÍNDICES!$B$3:$T$4,2)+11)+1%,IF(F$38=$W$26,$J$35,IF(ISERROR(IF(E375&gt;$D$19,1,VLOOKUP(DATE(YEAR(E375),MONTH(E375)+IF($C$35=$S$23,1,0),1),ÍNDICES!$A:$DE,$Z$35+1))),"",IF(E375&gt;$D$19,1,VLOOKUP(DATE(YEAR(E375),MONTH(E375)+IF($C$35=$S$23,1,0),1),ÍNDICES!$A:$DE,$Z$35+1))))))</f>
        <v/>
      </c>
      <c r="G375" s="155"/>
      <c r="H375" s="156" t="str">
        <f t="shared" si="66"/>
        <v/>
      </c>
      <c r="I375" s="29" t="str">
        <f t="shared" si="60"/>
        <v/>
      </c>
      <c r="J375" s="5">
        <f t="shared" si="61"/>
        <v>0</v>
      </c>
      <c r="K375" s="20">
        <f t="shared" ca="1" si="62"/>
        <v>0</v>
      </c>
      <c r="L375" s="5">
        <f t="shared" ca="1" si="63"/>
        <v>0</v>
      </c>
      <c r="M375" s="64">
        <f t="shared" si="67"/>
        <v>0</v>
      </c>
      <c r="N375" s="61">
        <f t="shared" ca="1" si="68"/>
        <v>0</v>
      </c>
      <c r="O375" s="5">
        <f t="shared" ca="1" si="69"/>
        <v>0</v>
      </c>
      <c r="P375" s="446" t="e">
        <f t="shared" si="64"/>
        <v>#VALUE!</v>
      </c>
      <c r="Q375" s="446" t="e">
        <f>IF(OR($B375="",MIN(Q$38,$D$19)&lt;MAX($P$34*($B375+IF($R$17="Distrato",$I$38-1,0)),IF(AND($L$37=0,$P$34=0),"",$L$37-1),IF($R$17="Distrato",$E375,0))),0,YEARFRAC(MAX($P$34*($B375+IF($R$17="Distrato",$I$38-1,0)),IF(AND($L$37=0,$P$34=0),"",$L$37-1),IF($R$17="Distrato",$E375,0)),MIN(Q$38,$D$19),$P$20))-SUM($P375:P375)</f>
        <v>#VALUE!</v>
      </c>
      <c r="R375" s="446" t="e">
        <f>IF(OR($B375="",MIN(R$38,$D$19)&lt;MAX($P$34*($B375+IF($R$17="Distrato",$I$38-1,0)),IF(AND($L$37=0,$P$34=0),"",$L$37-1),IF($R$17="Distrato",$E375,0))),0,YEARFRAC(MAX($P$34*($B375+IF($R$17="Distrato",$I$38-1,0)),IF(AND($L$37=0,$P$34=0),"",$L$37-1),IF($R$17="Distrato",$E375,0)),MIN(R$38,$D$19),$P$20))-SUM($P375:Q375)</f>
        <v>#VALUE!</v>
      </c>
      <c r="S375" s="446" t="e">
        <f>IF(OR($B375="",MIN(S$38,$D$19)&lt;MAX($P$34*($B375+IF($R$17="Distrato",$I$38-1,0)),IF(AND($L$37=0,$P$34=0),"",$L$37-1),IF($R$17="Distrato",$E375,0))),0,YEARFRAC(MAX($P$34*($B375+IF($R$17="Distrato",$I$38-1,0)),IF(AND($L$37=0,$P$34=0),"",$L$37-1),IF($R$17="Distrato",$E375,0)),MIN(S$38,$D$19),$P$20))-SUM($P375:R375)</f>
        <v>#VALUE!</v>
      </c>
      <c r="T375" s="446" t="e">
        <f>IF(OR($B375="",MIN(T$38,$D$19)&lt;MAX($P$34*($B375+IF($R$17="Distrato",$I$38-1,0)),IF(AND($L$37=0,$P$34=0),"",$L$37-1),IF($R$17="Distrato",$E375,0))),0,YEARFRAC(MAX($P$34*($B375+IF($R$17="Distrato",$I$38-1,0)),IF(AND($L$37=0,$P$34=0),"",$L$37-1),IF($R$17="Distrato",$E375,0)),MIN(T$38,$D$19),$P$20))-SUM($P375:S375)</f>
        <v>#VALUE!</v>
      </c>
      <c r="U375" s="446" t="e">
        <f>IF(OR($B375="",MIN(U$38,$D$19)&lt;MAX($P$34*($B375+IF($R$17="Distrato",$I$38-1,0)),IF(AND($L$37=0,$P$34=0),"",$L$37-1),IF($R$17="Distrato",$E375,0))),0,YEARFRAC(MAX($P$34*($B375+IF($R$17="Distrato",$I$38-1,0)),IF(AND($L$37=0,$P$34=0),"",$L$37-1),IF($R$17="Distrato",$E375,0)),MIN(U$38,$D$19),$P$20))-SUM($P375:T375)</f>
        <v>#VALUE!</v>
      </c>
      <c r="V375" s="446" t="e">
        <f>IF(OR($B375="",MIN(V$38,$D$19)&lt;MAX($P$34*($B375+IF($R$17="Distrato",$I$38-1,0)),IF(AND($L$37=0,$P$34=0),"",$L$37-1),IF($R$17="Distrato",$E375,0))),0,YEARFRAC(MAX($P$34*($B375+IF($R$17="Distrato",$I$38-1,0)),IF(AND($L$37=0,$P$34=0),"",$L$37-1),IF($R$17="Distrato",$E375,0)),MIN(V$38,$D$19),$P$20))-SUM($P375:U375)</f>
        <v>#VALUE!</v>
      </c>
      <c r="W375" s="446" t="e">
        <f>IF(OR($B375="",MIN(W$38,$D$19)&lt;MAX($P$34*($B375+IF($R$17="Distrato",$I$38-1,0)),IF(AND($L$37=0,$P$34=0),"",$L$37-1),IF($R$17="Distrato",$E375,0))),0,YEARFRAC(MAX($P$34*($B375+IF($R$17="Distrato",$I$38-1,0)),IF(AND($L$37=0,$P$34=0),"",$L$37-1),IF($R$17="Distrato",$E375,0)),MIN(W$38,$D$19),$P$20))-SUM($P375:V375)</f>
        <v>#VALUE!</v>
      </c>
      <c r="X375" s="446" t="e">
        <f>IF(OR($B375="",MIN(X$38,$D$19)&lt;MAX($P$34*($B375+IF($R$17="Distrato",$I$38-1,0)),IF(AND($L$37=0,$P$34=0),"",$L$37-1),IF($R$17="Distrato",$E375,0))),0,YEARFRAC(MAX($P$34*($B375+IF($R$17="Distrato",$I$38-1,0)),IF(AND($L$37=0,$P$34=0),"",$L$37-1),IF($R$17="Distrato",$E375,0)),MIN(X$38,$D$19),$P$20))-SUM($P375:W375)</f>
        <v>#VALUE!</v>
      </c>
      <c r="Y375" s="446" t="e">
        <f>IF(OR($B375="",MIN(Y$38,$D$19)&lt;MAX($P$34*($B375+IF($R$17="Distrato",$I$38-1,0)),IF(AND($L$37=0,$P$34=0),"",$L$37-1),IF($R$17="Distrato",$E375,0))),0,YEARFRAC(MAX($P$34*($B375+IF($R$17="Distrato",$I$38-1,0)),IF(AND($L$37=0,$P$34=0),"",$L$37-1),IF($R$17="Distrato",$E375,0)),MIN(Y$38,$D$19),$P$20))-SUM($P375:X375)</f>
        <v>#VALUE!</v>
      </c>
      <c r="Z375" s="446" t="e">
        <f>IF(OR($B375="",MIN(Z$38,$D$19)&lt;MAX($P$34*($B375+IF($R$17="Distrato",$I$38-1,0)),IF(AND($L$37=0,$P$34=0),"",$L$37-1),IF($R$17="Distrato",$E375,0))),0,YEARFRAC(MAX($P$34*($B375+IF($R$17="Distrato",$I$38-1,0)),IF(AND($L$37=0,$P$34=0),"",$L$37-1),IF($R$17="Distrato",$E375,0)),MIN(Z$38,$D$19),$P$20))-SUM($P375:Y375)</f>
        <v>#VALUE!</v>
      </c>
      <c r="AA375" s="446" t="e">
        <f>IF(OR($B375="",MIN(AA$38,$D$19)&lt;MAX($P$34*($B375+IF($R$17="Distrato",$I$38-1,0)),IF(AND($L$37=0,$P$34=0),"",$L$37-1),IF($R$17="Distrato",$E375,0))),0,YEARFRAC(MAX($P$34*($B375+IF($R$17="Distrato",$I$38-1,0)),IF(AND($L$37=0,$P$34=0),"",$L$37-1),IF($R$17="Distrato",$E375,0)),MIN(AA$38,$D$19),$P$20))-SUM($P375:Z375)</f>
        <v>#VALUE!</v>
      </c>
      <c r="AB375" s="446" t="e">
        <f>IF(OR($B375="",MIN(AB$38,$D$19)&lt;MAX($P$34*($B375+IF($R$17="Distrato",$I$38-1,0)),IF(AND($L$37=0,$P$34=0),"",$L$37-1),IF($R$17="Distrato",$E375,0))),0,YEARFRAC(MAX($P$34*($B375+IF($R$17="Distrato",$I$38-1,0)),IF(AND($L$37=0,$P$34=0),"",$L$37-1),IF($R$17="Distrato",$E375,0)),MIN(AB$38,$D$19),$P$20))-SUM($P375:AA375)</f>
        <v>#VALUE!</v>
      </c>
      <c r="AC375" s="446" t="e">
        <f>IF(OR($B375="",MIN(AC$38,$D$19)&lt;MAX($P$34*($B375+IF($R$17="Distrato",$I$38-1,0)),IF(AND($L$37=0,$P$34=0),"",$L$37-1),IF($R$17="Distrato",$E375,0))),0,YEARFRAC(MAX($P$34*($B375+IF($R$17="Distrato",$I$38-1,0)),IF(AND($L$37=0,$P$34=0),"",$L$37-1),IF($R$17="Distrato",$E375,0)),MIN(AC$38,$D$19),$P$20))-SUM($P375:AB375)</f>
        <v>#VALUE!</v>
      </c>
      <c r="AD375" s="446" t="e">
        <f>IF(OR($B375="",MIN(AD$38,$D$19)&lt;MAX($P$34*($B375+IF($R$17="Distrato",$I$38-1,0)),IF(AND($L$37=0,$P$34=0),"",$L$37-1),IF($R$17="Distrato",$E375,0))),0,YEARFRAC(MAX($P$34*($B375+IF($R$17="Distrato",$I$38-1,0)),IF(AND($L$37=0,$P$34=0),"",$L$37-1),IF($R$17="Distrato",$E375,0)),MIN(AD$38,$D$19),$P$20))-SUM($P375:AC375)</f>
        <v>#VALUE!</v>
      </c>
      <c r="AE375" s="446" t="e">
        <f>IF(OR($B375="",MIN(AE$38,$D$19)&lt;MAX($P$34*($B375+IF($R$17="Distrato",$I$38-1,0)),IF(AND($L$37=0,$P$34=0),"",$L$37-1),IF($R$17="Distrato",$E375,0))),0,YEARFRAC(MAX($P$34*($B375+IF($R$17="Distrato",$I$38-1,0)),IF(AND($L$37=0,$P$34=0),"",$L$37-1),IF($R$17="Distrato",$E375,0)),MIN(AE$38,$D$19),$P$20))-SUM($P375:AD375)</f>
        <v>#VALUE!</v>
      </c>
      <c r="AF375" s="446" t="e">
        <f>IF(OR($B375="",MIN(AF$38,$D$19)&lt;MAX($P$34*($B375+IF($R$17="Distrato",$I$38-1,0)),IF(AND($L$37=0,$P$34=0),"",$L$37-1),IF($R$17="Distrato",$E375,0))),0,YEARFRAC(MAX($P$34*($B375+IF($R$17="Distrato",$I$38-1,0)),IF(AND($L$37=0,$P$34=0),"",$L$37-1),IF($R$17="Distrato",$E375,0)),MIN(AF$38,$D$19),$P$20))-SUM($P375:AE375)</f>
        <v>#VALUE!</v>
      </c>
      <c r="AG375" s="446" t="e">
        <f>IF(OR($B375="",MIN(AG$38,$D$19)&lt;MAX($P$34*($B375+IF($R$17="Distrato",$I$38-1,0)),IF(AND($L$37=0,$P$34=0),"",$L$37-1),IF($R$17="Distrato",$E375,0))),0,YEARFRAC(MAX($P$34*($B375+IF($R$17="Distrato",$I$38-1,0)),IF(AND($L$37=0,$P$34=0),"",$L$37-1),IF($R$17="Distrato",$E375,0)),MIN(AG$38,$D$19),$P$20))-SUM($P375:AF375)</f>
        <v>#VALUE!</v>
      </c>
      <c r="AH375" s="446" t="e">
        <f>IF(OR($B375="",MIN(AH$38,$D$19)&lt;MAX($P$34*($B375+IF($R$17="Distrato",$I$38-1,0)),IF(AND($L$37=0,$P$34=0),"",$L$37-1),IF($R$17="Distrato",$E375,0))),0,YEARFRAC(MAX($P$34*($B375+IF($R$17="Distrato",$I$38-1,0)),IF(AND($L$37=0,$P$34=0),"",$L$37-1),IF($R$17="Distrato",$E375,0)),MIN(AH$38,$D$19),$P$20))-SUM($P375:AG375)</f>
        <v>#VALUE!</v>
      </c>
      <c r="AI375" s="446" t="e">
        <f>IF(OR($B375="",MIN(AI$38,$D$19)&lt;MAX($P$34*($B375+IF($R$17="Distrato",$I$38-1,0)),IF(AND($L$37=0,$P$34=0),"",$L$37-1),IF($R$17="Distrato",$E375,0))),0,YEARFRAC(MAX($P$34*($B375+IF($R$17="Distrato",$I$38-1,0)),IF(AND($L$37=0,$P$34=0),"",$L$37-1),IF($R$17="Distrato",$E375,0)),MIN(AI$38,$D$19),$P$20))-SUM($P375:AH375)</f>
        <v>#VALUE!</v>
      </c>
      <c r="AJ375" s="446" t="e">
        <f>IF(OR($B375="",MIN(AJ$38,$D$19)&lt;MAX($P$34*($B375+IF($R$17="Distrato",$I$38-1,0)),IF(AND($L$37=0,$P$34=0),"",$L$37-1),IF($R$17="Distrato",$E375,0))),0,YEARFRAC(MAX($P$34*($B375+IF($R$17="Distrato",$I$38-1,0)),IF(AND($L$37=0,$P$34=0),"",$L$37-1),IF($R$17="Distrato",$E375,0)),MIN(AJ$38,$D$19),$P$20))-SUM($P375:AI375)</f>
        <v>#VALUE!</v>
      </c>
      <c r="AK375" s="446" t="e">
        <f>IF(OR($B375="",MIN(AK$38,$D$19)&lt;MAX($P$34*($B375+IF($R$17="Distrato",$I$38-1,0)),IF(AND($L$37=0,$P$34=0),"",$L$37-1),IF($R$17="Distrato",$E375,0))),0,YEARFRAC(MAX($P$34*($B375+IF($R$17="Distrato",$I$38-1,0)),IF(AND($L$37=0,$P$34=0),"",$L$37-1),IF($R$17="Distrato",$E375,0)),MIN(AK$38,$D$19),$P$20))-SUM($P375:AJ375)</f>
        <v>#VALUE!</v>
      </c>
      <c r="AL375" s="446" t="e">
        <f>IF(OR($B375="",MIN(AL$38,$D$19)&lt;MAX($P$34*($B375+IF($R$17="Distrato",$I$38-1,0)),IF(AND($L$37=0,$P$34=0),"",$L$37-1),IF($R$17="Distrato",$E375,0))),0,YEARFRAC(MAX($P$34*($B375+IF($R$17="Distrato",$I$38-1,0)),IF(AND($L$37=0,$P$34=0),"",$L$37-1),IF($R$17="Distrato",$E375,0)),MIN(AL$38,$D$19),$P$20))-SUM($P375:AK375)</f>
        <v>#VALUE!</v>
      </c>
      <c r="AM375" s="446" t="e">
        <f>IF(OR($B375="",MIN(AM$38,$D$19)&lt;MAX($P$34*($B375+IF($R$17="Distrato",$I$38-1,0)),IF(AND($L$37=0,$P$34=0),"",$L$37-1),IF($R$17="Distrato",$E375,0))),0,YEARFRAC(MAX($P$34*($B375+IF($R$17="Distrato",$I$38-1,0)),IF(AND($L$37=0,$P$34=0),"",$L$37-1),IF($R$17="Distrato",$E375,0)),MIN(AM$38,$D$19),$P$20))-SUM($P375:AL375)</f>
        <v>#VALUE!</v>
      </c>
      <c r="AN375" s="446" t="e">
        <f>IF(OR($B375="",MIN(AN$38,$D$19)&lt;MAX($P$34*($B375+IF($R$17="Distrato",$I$38-1,0)),IF(AND($L$37=0,$P$34=0),"",$L$37-1),IF($R$17="Distrato",$E375,0))),0,YEARFRAC(MAX($P$34*($B375+IF($R$17="Distrato",$I$38-1,0)),IF(AND($L$37=0,$P$34=0),"",$L$37-1),IF($R$17="Distrato",$E375,0)),MIN(AN$38,$D$19),$P$20))-SUM($P375:AM375)</f>
        <v>#VALUE!</v>
      </c>
      <c r="AO375" s="446" t="e">
        <f>IF(OR($B375="",MIN(AO$38,$D$19)&lt;MAX($P$34*($B375+IF($R$17="Distrato",$I$38-1,0)),IF(AND($L$37=0,$P$34=0),"",$L$37-1),IF($R$17="Distrato",$E375,0))),0,YEARFRAC(MAX($P$34*($B375+IF($R$17="Distrato",$I$38-1,0)),IF(AND($L$37=0,$P$34=0),"",$L$37-1),IF($R$17="Distrato",$E375,0)),MIN(AO$38,$D$19),$P$20))-SUM($P375:AN375)</f>
        <v>#VALUE!</v>
      </c>
      <c r="AP375" s="446" t="e">
        <f>IF(OR($B375="",MIN(AP$38,$D$19)&lt;MAX($P$34*($B375+IF($R$17="Distrato",$I$38-1,0)),IF(AND($L$37=0,$P$34=0),"",$L$37-1),IF($R$17="Distrato",$E375,0))),0,YEARFRAC(MAX($P$34*($B375+IF($R$17="Distrato",$I$38-1,0)),IF(AND($L$37=0,$P$34=0),"",$L$37-1),IF($R$17="Distrato",$E375,0)),MIN(AP$38,$D$19),$P$20))-SUM($P375:AO375)</f>
        <v>#VALUE!</v>
      </c>
      <c r="AQ375" s="446" t="e">
        <f>IF(OR($B375="",MIN(AQ$38,$D$19)&lt;MAX($P$34*($B375+IF($R$17="Distrato",$I$38-1,0)),IF(AND($L$37=0,$P$34=0),"",$L$37-1),IF($R$17="Distrato",$E375,0))),0,YEARFRAC(MAX($P$34*($B375+IF($R$17="Distrato",$I$38-1,0)),IF(AND($L$37=0,$P$34=0),"",$L$37-1),IF($R$17="Distrato",$E375,0)),MIN(AQ$38,$D$19),$P$20))-SUM($P375:AP375)</f>
        <v>#VALUE!</v>
      </c>
      <c r="AR375" s="446" t="e">
        <f>IF(OR($B375="",MIN(AR$38,$D$19)&lt;MAX($P$34*($B375+IF($R$17="Distrato",$I$38-1,0)),IF(AND($L$37=0,$P$34=0),"",$L$37-1),IF($R$17="Distrato",$E375,0))),0,YEARFRAC(MAX($P$34*($B375+IF($R$17="Distrato",$I$38-1,0)),IF(AND($L$37=0,$P$34=0),"",$L$37-1),IF($R$17="Distrato",$E375,0)),MIN(AR$38,$D$19),$P$20))-SUM($P375:AQ375)</f>
        <v>#VALUE!</v>
      </c>
      <c r="AS375" s="446" t="e">
        <f>IF(OR($B375="",MIN(AS$38,$D$19)&lt;MAX($P$34*($B375+IF($R$17="Distrato",$I$38-1,0)),IF(AND($L$37=0,$P$34=0),"",$L$37-1),IF($R$17="Distrato",$E375,0))),0,YEARFRAC(MAX($P$34*($B375+IF($R$17="Distrato",$I$38-1,0)),IF(AND($L$37=0,$P$34=0),"",$L$37-1),IF($R$17="Distrato",$E375,0)),MIN(AS$38,$D$19),$P$20))-SUM($P375:AR375)</f>
        <v>#VALUE!</v>
      </c>
      <c r="AT375" s="446" t="e">
        <f>IF(OR($B375="",MIN(AT$38,$D$19)&lt;MAX($P$34*($B375+IF($R$17="Distrato",$I$38-1,0)),IF(AND($L$37=0,$P$34=0),"",$L$37-1),IF($R$17="Distrato",$E375,0))),0,YEARFRAC(MAX($P$34*($B375+IF($R$17="Distrato",$I$38-1,0)),IF(AND($L$37=0,$P$34=0),"",$L$37-1),IF($R$17="Distrato",$E375,0)),MIN(AT$38,$D$19),$P$20))-SUM($P375:AS375)</f>
        <v>#VALUE!</v>
      </c>
      <c r="AU375" s="446" t="e">
        <f>IF(OR($B375="",MIN(AU$38,$D$19)&lt;MAX($P$34*($B375+IF($R$17="Distrato",$I$38-1,0)),IF(AND($L$37=0,$P$34=0),"",$L$37-1),IF($R$17="Distrato",$E375,0))),0,YEARFRAC(MAX($P$34*($B375+IF($R$17="Distrato",$I$38-1,0)),IF(AND($L$37=0,$P$34=0),"",$L$37-1),IF($R$17="Distrato",$E375,0)),MIN(AU$38,$D$19),$P$20))-SUM($P375:AT375)</f>
        <v>#VALUE!</v>
      </c>
      <c r="AV375" s="446" t="e">
        <f>IF(OR($B375="",MIN(AV$38,$D$19)&lt;MAX($P$34*($B375+IF($R$17="Distrato",$I$38-1,0)),IF(AND($L$37=0,$P$34=0),"",$L$37-1),IF($R$17="Distrato",$E375,0))),0,YEARFRAC(MAX($P$34*($B375+IF($R$17="Distrato",$I$38-1,0)),IF(AND($L$37=0,$P$34=0),"",$L$37-1),IF($R$17="Distrato",$E375,0)),MIN(AV$38,$D$19),$P$20))-SUM($P375:AU375)</f>
        <v>#VALUE!</v>
      </c>
      <c r="AW375" s="446" t="e">
        <f>IF(OR($B375="",MIN(AW$38,$D$19)&lt;MAX($P$34*($B375+IF($R$17="Distrato",$I$38-1,0)),IF(AND($L$37=0,$P$34=0),"",$L$37-1),IF($R$17="Distrato",$E375,0))),0,YEARFRAC(MAX($P$34*($B375+IF($R$17="Distrato",$I$38-1,0)),IF(AND($L$37=0,$P$34=0),"",$L$37-1),IF($R$17="Distrato",$E375,0)),MIN(AW$38,$D$19),$P$20))-SUM($P375:AV375)</f>
        <v>#VALUE!</v>
      </c>
      <c r="AX375" s="446" t="e">
        <f>IF(OR($B375="",MIN(AX$38,$D$19)&lt;MAX($P$34*($B375+IF($R$17="Distrato",$I$38-1,0)),IF(AND($L$37=0,$P$34=0),"",$L$37-1),IF($R$17="Distrato",$E375,0))),0,YEARFRAC(MAX($P$34*($B375+IF($R$17="Distrato",$I$38-1,0)),IF(AND($L$37=0,$P$34=0),"",$L$37-1),IF($R$17="Distrato",$E375,0)),MIN(AX$38,$D$19),$P$20))-SUM($P375:AW375)</f>
        <v>#VALUE!</v>
      </c>
      <c r="AY375" s="446" t="e">
        <f>IF(OR($B375="",MIN(AY$38,$D$19)&lt;MAX($P$34*($B375+IF($R$17="Distrato",$I$38-1,0)),IF(AND($L$37=0,$P$34=0),"",$L$37-1),IF($R$17="Distrato",$E375,0))),0,YEARFRAC(MAX($P$34*($B375+IF($R$17="Distrato",$I$38-1,0)),IF(AND($L$37=0,$P$34=0),"",$L$37-1),IF($R$17="Distrato",$E375,0)),MIN(AY$38,$D$19),$P$20))-SUM($P375:AX375)</f>
        <v>#VALUE!</v>
      </c>
      <c r="AZ375" s="446" t="e">
        <f>IF(OR($B375="",MIN(AZ$38,$D$19)&lt;MAX($P$34*($B375+IF($R$17="Distrato",$I$38-1,0)),IF(AND($L$37=0,$P$34=0),"",$L$37-1),IF($R$17="Distrato",$E375,0))),0,YEARFRAC(MAX($P$34*($B375+IF($R$17="Distrato",$I$38-1,0)),IF(AND($L$37=0,$P$34=0),"",$L$37-1),IF($R$17="Distrato",$E375,0)),MIN(AZ$38,$D$19),$P$20))-SUM($P375:AY375)</f>
        <v>#VALUE!</v>
      </c>
      <c r="BA375" s="446" t="e">
        <f>IF(OR($B375="",MIN(BA$38,$D$19)&lt;MAX($P$34*($B375+IF($R$17="Distrato",$I$38-1,0)),IF(AND($L$37=0,$P$34=0),"",$L$37-1),IF($R$17="Distrato",$E375,0))),0,YEARFRAC(MAX($P$34*($B375+IF($R$17="Distrato",$I$38-1,0)),IF(AND($L$37=0,$P$34=0),"",$L$37-1),IF($R$17="Distrato",$E375,0)),MIN(BA$38,$D$19),$P$20))-SUM($P375:AZ375)</f>
        <v>#VALUE!</v>
      </c>
      <c r="BB375" s="447"/>
      <c r="BF375" s="446">
        <f t="shared" si="65"/>
        <v>0</v>
      </c>
      <c r="BG375" s="446">
        <f>IF($E375=0,0,IF(MIN(BG$38,$E375)&lt;MAX($P$34*($B375+$I$38-1),IF(AND($L$37=0,$P$34=0),"",$L$37-1)),0,YEARFRAC(MAX($P$34*($B375+$I$38-1),IF(AND($L$37=0,$P$34=0),"",$L$37-1)),MIN(BG$38,$E375),$P$20))-SUM($BF375:BF375))</f>
        <v>0</v>
      </c>
      <c r="BH375" s="446">
        <f>IF($E375=0,0,IF(MIN(BH$38,$E375)&lt;MAX($P$34*($B375+$I$38-1),IF(AND($L$37=0,$P$34=0),"",$L$37-1)),0,YEARFRAC(MAX($P$34*($B375+$I$38-1),IF(AND($L$37=0,$P$34=0),"",$L$37-1)),MIN(BH$38,$E375),$P$20))-SUM($BF375:BG375))</f>
        <v>0</v>
      </c>
      <c r="BI375" s="446">
        <f>IF($E375=0,0,IF(MIN(BI$38,$E375)&lt;MAX($P$34*($B375+$I$38-1),IF(AND($L$37=0,$P$34=0),"",$L$37-1)),0,YEARFRAC(MAX($P$34*($B375+$I$38-1),IF(AND($L$37=0,$P$34=0),"",$L$37-1)),MIN(BI$38,$E375),$P$20))-SUM($BF375:BH375))</f>
        <v>0</v>
      </c>
      <c r="BJ375" s="446">
        <f>IF($E375=0,0,IF(MIN(BJ$38,$E375)&lt;MAX($P$34*($B375+$I$38-1),IF(AND($L$37=0,$P$34=0),"",$L$37-1)),0,YEARFRAC(MAX($P$34*($B375+$I$38-1),IF(AND($L$37=0,$P$34=0),"",$L$37-1)),MIN(BJ$38,$E375),$P$20))-SUM($BF375:BI375))</f>
        <v>0</v>
      </c>
      <c r="BK375" s="446">
        <f>IF($E375=0,0,IF(MIN(BK$38,$E375)&lt;MAX($P$34*($B375+$I$38-1),IF(AND($L$37=0,$P$34=0),"",$L$37-1)),0,YEARFRAC(MAX($P$34*($B375+$I$38-1),IF(AND($L$37=0,$P$34=0),"",$L$37-1)),MIN(BK$38,$E375),$P$20))-SUM($BF375:BJ375))</f>
        <v>0</v>
      </c>
      <c r="BL375" s="446">
        <f>IF($E375=0,0,IF(MIN(BL$38,$E375)&lt;MAX($P$34*($B375+$I$38-1),IF(AND($L$37=0,$P$34=0),"",$L$37-1)),0,YEARFRAC(MAX($P$34*($B375+$I$38-1),IF(AND($L$37=0,$P$34=0),"",$L$37-1)),MIN(BL$38,$E375),$P$20))-SUM($BF375:BK375))</f>
        <v>0</v>
      </c>
      <c r="BM375" s="446">
        <f>IF($E375=0,0,IF(MIN(BM$38,$E375)&lt;MAX($P$34*($B375+$I$38-1),IF(AND($L$37=0,$P$34=0),"",$L$37-1)),0,YEARFRAC(MAX($P$34*($B375+$I$38-1),IF(AND($L$37=0,$P$34=0),"",$L$37-1)),MIN(BM$38,$E375),$P$20))-SUM($BF375:BL375))</f>
        <v>0</v>
      </c>
      <c r="BN375" s="446">
        <f>IF($E375=0,0,IF(MIN(BN$38,$E375)&lt;MAX($P$34*($B375+$I$38-1),IF(AND($L$37=0,$P$34=0),"",$L$37-1)),0,YEARFRAC(MAX($P$34*($B375+$I$38-1),IF(AND($L$37=0,$P$34=0),"",$L$37-1)),MIN(BN$38,$E375),$P$20))-SUM($BF375:BM375))</f>
        <v>0</v>
      </c>
      <c r="BO375" s="446">
        <f>IF($E375=0,0,IF(MIN(BO$38,$E375)&lt;MAX($P$34*($B375+$I$38-1),IF(AND($L$37=0,$P$34=0),"",$L$37-1)),0,YEARFRAC(MAX($P$34*($B375+$I$38-1),IF(AND($L$37=0,$P$34=0),"",$L$37-1)),MIN(BO$38,$E375),$P$20))-SUM($BF375:BN375))</f>
        <v>0</v>
      </c>
      <c r="BP375" s="446">
        <f>IF($E375=0,0,IF(MIN(BP$38,$E375)&lt;MAX($P$34*($B375+$I$38-1),IF(AND($L$37=0,$P$34=0),"",$L$37-1)),0,YEARFRAC(MAX($P$34*($B375+$I$38-1),IF(AND($L$37=0,$P$34=0),"",$L$37-1)),MIN(BP$38,$E375),$P$20))-SUM($BF375:BO375))</f>
        <v>0</v>
      </c>
      <c r="BQ375" s="446">
        <f>IF($E375=0,0,IF(MIN(BQ$38,$E375)&lt;MAX($P$34*($B375+$I$38-1),IF(AND($L$37=0,$P$34=0),"",$L$37-1)),0,YEARFRAC(MAX($P$34*($B375+$I$38-1),IF(AND($L$37=0,$P$34=0),"",$L$37-1)),MIN(BQ$38,$E375),$P$20))-SUM($BF375:BP375))</f>
        <v>0</v>
      </c>
      <c r="BR375" s="446">
        <f>IF($E375=0,0,IF(MIN(BR$38,$E375)&lt;MAX($P$34*($B375+$I$38-1),IF(AND($L$37=0,$P$34=0),"",$L$37-1)),0,YEARFRAC(MAX($P$34*($B375+$I$38-1),IF(AND($L$37=0,$P$34=0),"",$L$37-1)),MIN(BR$38,$E375),$P$20))-SUM($BF375:BQ375))</f>
        <v>0</v>
      </c>
      <c r="BS375" s="446">
        <f>IF($E375=0,0,IF(MIN(BS$38,$E375)&lt;MAX($P$34*($B375+$I$38-1),IF(AND($L$37=0,$P$34=0),"",$L$37-1)),0,YEARFRAC(MAX($P$34*($B375+$I$38-1),IF(AND($L$37=0,$P$34=0),"",$L$37-1)),MIN(BS$38,$E375),$P$20))-SUM($BF375:BR375))</f>
        <v>0</v>
      </c>
      <c r="BT375" s="446">
        <f>IF($E375=0,0,IF(MIN(BT$38,$E375)&lt;MAX($P$34*($B375+$I$38-1),IF(AND($L$37=0,$P$34=0),"",$L$37-1)),0,YEARFRAC(MAX($P$34*($B375+$I$38-1),IF(AND($L$37=0,$P$34=0),"",$L$37-1)),MIN(BT$38,$E375),$P$20))-SUM($BF375:BS375))</f>
        <v>0</v>
      </c>
      <c r="BU375" s="446">
        <f>IF($E375=0,0,IF(MIN(BU$38,$E375)&lt;MAX($P$34*($B375+$I$38-1),IF(AND($L$37=0,$P$34=0),"",$L$37-1)),0,YEARFRAC(MAX($P$34*($B375+$I$38-1),IF(AND($L$37=0,$P$34=0),"",$L$37-1)),MIN(BU$38,$E375),$P$20))-SUM($BF375:BT375))</f>
        <v>0</v>
      </c>
      <c r="BV375" s="446">
        <f>IF($E375=0,0,IF(MIN(BV$38,$E375)&lt;MAX($P$34*($B375+$I$38-1),IF(AND($L$37=0,$P$34=0),"",$L$37-1)),0,YEARFRAC(MAX($P$34*($B375+$I$38-1),IF(AND($L$37=0,$P$34=0),"",$L$37-1)),MIN(BV$38,$E375),$P$20))-SUM($BF375:BU375))</f>
        <v>0</v>
      </c>
      <c r="BW375" s="446">
        <f>IF($E375=0,0,IF(MIN(BW$38,$E375)&lt;MAX($P$34*($B375+$I$38-1),IF(AND($L$37=0,$P$34=0),"",$L$37-1)),0,YEARFRAC(MAX($P$34*($B375+$I$38-1),IF(AND($L$37=0,$P$34=0),"",$L$37-1)),MIN(BW$38,$E375),$P$20))-SUM($BF375:BV375))</f>
        <v>0</v>
      </c>
      <c r="BX375" s="446">
        <f>IF($E375=0,0,IF(MIN(BX$38,$E375)&lt;MAX($P$34*($B375+$I$38-1),IF(AND($L$37=0,$P$34=0),"",$L$37-1)),0,YEARFRAC(MAX($P$34*($B375+$I$38-1),IF(AND($L$37=0,$P$34=0),"",$L$37-1)),MIN(BX$38,$E375),$P$20))-SUM($BF375:BW375))</f>
        <v>0</v>
      </c>
      <c r="BY375" s="446">
        <f>IF($E375=0,0,IF(MIN(BY$38,$E375)&lt;MAX($P$34*($B375+$I$38-1),IF(AND($L$37=0,$P$34=0),"",$L$37-1)),0,YEARFRAC(MAX($P$34*($B375+$I$38-1),IF(AND($L$37=0,$P$34=0),"",$L$37-1)),MIN(BY$38,$E375),$P$20))-SUM($BF375:BX375))</f>
        <v>0</v>
      </c>
      <c r="BZ375" s="446">
        <f>IF($E375=0,0,IF(MIN(BZ$38,$E375)&lt;MAX($P$34*($B375+$I$38-1),IF(AND($L$37=0,$P$34=0),"",$L$37-1)),0,YEARFRAC(MAX($P$34*($B375+$I$38-1),IF(AND($L$37=0,$P$34=0),"",$L$37-1)),MIN(BZ$38,$E375),$P$20))-SUM($BF375:BY375))</f>
        <v>0</v>
      </c>
      <c r="CA375" s="446">
        <f>IF($E375=0,0,IF(MIN(CA$38,$E375)&lt;MAX($P$34*($B375+$I$38-1),IF(AND($L$37=0,$P$34=0),"",$L$37-1)),0,YEARFRAC(MAX($P$34*($B375+$I$38-1),IF(AND($L$37=0,$P$34=0),"",$L$37-1)),MIN(CA$38,$E375),$P$20))-SUM($BF375:BZ375))</f>
        <v>0</v>
      </c>
      <c r="CB375" s="446">
        <f>IF($E375=0,0,IF(MIN(CB$38,$E375)&lt;MAX($P$34*($B375+$I$38-1),IF(AND($L$37=0,$P$34=0),"",$L$37-1)),0,YEARFRAC(MAX($P$34*($B375+$I$38-1),IF(AND($L$37=0,$P$34=0),"",$L$37-1)),MIN(CB$38,$E375),$P$20))-SUM($BF375:CA375))</f>
        <v>0</v>
      </c>
      <c r="CC375" s="446">
        <f>IF($E375=0,0,IF(MIN(CC$38,$E375)&lt;MAX($P$34*($B375+$I$38-1),IF(AND($L$37=0,$P$34=0),"",$L$37-1)),0,YEARFRAC(MAX($P$34*($B375+$I$38-1),IF(AND($L$37=0,$P$34=0),"",$L$37-1)),MIN(CC$38,$E375),$P$20))-SUM($BF375:CB375))</f>
        <v>0</v>
      </c>
      <c r="CD375" s="446">
        <f>IF($E375=0,0,IF(MIN(CD$38,$E375)&lt;MAX($P$34*($B375+$I$38-1),IF(AND($L$37=0,$P$34=0),"",$L$37-1)),0,YEARFRAC(MAX($P$34*($B375+$I$38-1),IF(AND($L$37=0,$P$34=0),"",$L$37-1)),MIN(CD$38,$E375),$P$20))-SUM($BF375:CC375))</f>
        <v>0</v>
      </c>
      <c r="CE375" s="446">
        <f>IF($E375=0,0,IF(MIN(CE$38,$E375)&lt;MAX($P$34*($B375+$I$38-1),IF(AND($L$37=0,$P$34=0),"",$L$37-1)),0,YEARFRAC(MAX($P$34*($B375+$I$38-1),IF(AND($L$37=0,$P$34=0),"",$L$37-1)),MIN(CE$38,$E375),$P$20))-SUM($BF375:CD375))</f>
        <v>0</v>
      </c>
      <c r="CF375" s="446">
        <f>IF($E375=0,0,IF(MIN(CF$38,$E375)&lt;MAX($P$34*($B375+$I$38-1),IF(AND($L$37=0,$P$34=0),"",$L$37-1)),0,YEARFRAC(MAX($P$34*($B375+$I$38-1),IF(AND($L$37=0,$P$34=0),"",$L$37-1)),MIN(CF$38,$E375),$P$20))-SUM($BF375:CE375))</f>
        <v>0</v>
      </c>
      <c r="CG375" s="446">
        <f>IF($E375=0,0,IF(MIN(CG$38,$E375)&lt;MAX($P$34*($B375+$I$38-1),IF(AND($L$37=0,$P$34=0),"",$L$37-1)),0,YEARFRAC(MAX($P$34*($B375+$I$38-1),IF(AND($L$37=0,$P$34=0),"",$L$37-1)),MIN(CG$38,$E375),$P$20))-SUM($BF375:CF375))</f>
        <v>0</v>
      </c>
      <c r="CH375" s="446">
        <f>IF($E375=0,0,IF(MIN(CH$38,$E375)&lt;MAX($P$34*($B375+$I$38-1),IF(AND($L$37=0,$P$34=0),"",$L$37-1)),0,YEARFRAC(MAX($P$34*($B375+$I$38-1),IF(AND($L$37=0,$P$34=0),"",$L$37-1)),MIN(CH$38,$E375),$P$20))-SUM($BF375:CG375))</f>
        <v>0</v>
      </c>
      <c r="CI375" s="446">
        <f>IF($E375=0,0,IF(MIN(CI$38,$E375)&lt;MAX($P$34*($B375+$I$38-1),IF(AND($L$37=0,$P$34=0),"",$L$37-1)),0,YEARFRAC(MAX($P$34*($B375+$I$38-1),IF(AND($L$37=0,$P$34=0),"",$L$37-1)),MIN(CI$38,$E375),$P$20))-SUM($BF375:CH375))</f>
        <v>0</v>
      </c>
      <c r="CJ375" s="446">
        <f>IF($E375=0,0,IF(MIN(CJ$38,$E375)&lt;MAX($P$34*($B375+$I$38-1),IF(AND($L$37=0,$P$34=0),"",$L$37-1)),0,YEARFRAC(MAX($P$34*($B375+$I$38-1),IF(AND($L$37=0,$P$34=0),"",$L$37-1)),MIN(CJ$38,$E375),$P$20))-SUM($BF375:CI375))</f>
        <v>0</v>
      </c>
      <c r="CK375" s="446">
        <f>IF($E375=0,0,IF(MIN(CK$38,$E375)&lt;MAX($P$34*($B375+$I$38-1),IF(AND($L$37=0,$P$34=0),"",$L$37-1)),0,YEARFRAC(MAX($P$34*($B375+$I$38-1),IF(AND($L$37=0,$P$34=0),"",$L$37-1)),MIN(CK$38,$E375),$P$20))-SUM($BF375:CJ375))</f>
        <v>0</v>
      </c>
      <c r="CL375" s="446">
        <f>IF($E375=0,0,IF(MIN(CL$38,$E375)&lt;MAX($P$34*($B375+$I$38-1),IF(AND($L$37=0,$P$34=0),"",$L$37-1)),0,YEARFRAC(MAX($P$34*($B375+$I$38-1),IF(AND($L$37=0,$P$34=0),"",$L$37-1)),MIN(CL$38,$E375),$P$20))-SUM($BF375:CK375))</f>
        <v>0</v>
      </c>
      <c r="CM375" s="446">
        <f>IF($E375=0,0,IF(MIN(CM$38,$E375)&lt;MAX($P$34*($B375+$I$38-1),IF(AND($L$37=0,$P$34=0),"",$L$37-1)),0,YEARFRAC(MAX($P$34*($B375+$I$38-1),IF(AND($L$37=0,$P$34=0),"",$L$37-1)),MIN(CM$38,$E375),$P$20))-SUM($BF375:CL375))</f>
        <v>0</v>
      </c>
      <c r="CN375" s="446">
        <f>IF($E375=0,0,IF(MIN(CN$38,$E375)&lt;MAX($P$34*($B375+$I$38-1),IF(AND($L$37=0,$P$34=0),"",$L$37-1)),0,YEARFRAC(MAX($P$34*($B375+$I$38-1),IF(AND($L$37=0,$P$34=0),"",$L$37-1)),MIN(CN$38,$E375),$P$20))-SUM($BF375:CM375))</f>
        <v>0</v>
      </c>
      <c r="CO375" s="446">
        <f>IF($E375=0,0,IF(MIN(CO$38,$E375)&lt;MAX($P$34*($B375+$I$38-1),IF(AND($L$37=0,$P$34=0),"",$L$37-1)),0,YEARFRAC(MAX($P$34*($B375+$I$38-1),IF(AND($L$37=0,$P$34=0),"",$L$37-1)),MIN(CO$38,$E375),$P$20))-SUM($BF375:CN375))</f>
        <v>0</v>
      </c>
      <c r="CP375" s="446">
        <f>IF($E375=0,0,IF(MIN(CP$38,$E375)&lt;MAX($P$34*($B375+$I$38-1),IF(AND($L$37=0,$P$34=0),"",$L$37-1)),0,YEARFRAC(MAX($P$34*($B375+$I$38-1),IF(AND($L$37=0,$P$34=0),"",$L$37-1)),MIN(CP$38,$E375),$P$20))-SUM($BF375:CO375))</f>
        <v>0</v>
      </c>
      <c r="CQ375" s="446">
        <f>IF($E375=0,0,IF(MIN(CQ$38,$E375)&lt;MAX($P$34*($B375+$I$38-1),IF(AND($L$37=0,$P$34=0),"",$L$37-1)),0,YEARFRAC(MAX($P$34*($B375+$I$38-1),IF(AND($L$37=0,$P$34=0),"",$L$37-1)),MIN(CQ$38,$E375),$P$20))-SUM($BF375:CP375))</f>
        <v>0</v>
      </c>
    </row>
    <row r="376" spans="1:95" s="446" customFormat="1" ht="11.25" hidden="1" customHeight="1" x14ac:dyDescent="0.2">
      <c r="A376" s="152"/>
      <c r="B376" s="153" t="str">
        <f t="shared" si="70"/>
        <v/>
      </c>
      <c r="C376" s="29" t="str">
        <f>IF(B376="","",IF($L$35="SELIC - TRIBUTOS",VLOOKUP(DATE(YEAR($D$19),MONTH($D$19)-1,1),ÍNDICES!$A:$DE,HLOOKUP($BL$25,ÍNDICES!$B$3:$T$4,2)+11)-VLOOKUP(B376,ÍNDICES!$A:$DE,HLOOKUP($BL$25,ÍNDICES!$B$3:$T$4,2)+11)+1%,IF(C$38=$W$26,$J$35,IF(ISERROR(IF(B376&gt;$D$19,1,VLOOKUP(DATE(YEAR(B376),MONTH(B376)+IF($C$35=$S$23,1,0),1),ÍNDICES!$A:$DE,$Z$35+1))),"",IF(B376&gt;$D$19,1,VLOOKUP(DATE(YEAR(B376),MONTH(B376)+IF($C$35=$S$23,1,0),1),ÍNDICES!$A:$DE,$Z$35+1))))))</f>
        <v/>
      </c>
      <c r="D376" s="154" t="str">
        <f>IF(ISERROR(IF(OR($D$38=$Y$27,$B376=""),"",VLOOKUP(B376,ÍNDICES!A:DE,AF$35+1))),"",IF(OR($D$38=$Y$27,$B376=""),"",VLOOKUP(B376,ÍNDICES!A:DE,AF$35+1)))</f>
        <v/>
      </c>
      <c r="E376" s="153"/>
      <c r="F376" s="29" t="str">
        <f>IF(E376="","",IF($L$35="SELIC - TRIBUTOS",VLOOKUP(DATE(YEAR($D$19),MONTH($D$19)-1,1),ÍNDICES!$A:$DE,HLOOKUP($BL$25,ÍNDICES!$B$3:$T$4,2)+11)-VLOOKUP(E376,ÍNDICES!$A:$DE,HLOOKUP($BL$25,ÍNDICES!$B$3:$T$4,2)+11)+1%,IF(F$38=$W$26,$J$35,IF(ISERROR(IF(E376&gt;$D$19,1,VLOOKUP(DATE(YEAR(E376),MONTH(E376)+IF($C$35=$S$23,1,0),1),ÍNDICES!$A:$DE,$Z$35+1))),"",IF(E376&gt;$D$19,1,VLOOKUP(DATE(YEAR(E376),MONTH(E376)+IF($C$35=$S$23,1,0),1),ÍNDICES!$A:$DE,$Z$35+1))))))</f>
        <v/>
      </c>
      <c r="G376" s="155"/>
      <c r="H376" s="156" t="str">
        <f t="shared" si="66"/>
        <v/>
      </c>
      <c r="I376" s="29" t="str">
        <f t="shared" si="60"/>
        <v/>
      </c>
      <c r="J376" s="5">
        <f t="shared" si="61"/>
        <v>0</v>
      </c>
      <c r="K376" s="20">
        <f t="shared" ca="1" si="62"/>
        <v>0</v>
      </c>
      <c r="L376" s="5">
        <f t="shared" ca="1" si="63"/>
        <v>0</v>
      </c>
      <c r="M376" s="64">
        <f t="shared" si="67"/>
        <v>0</v>
      </c>
      <c r="N376" s="61">
        <f t="shared" ca="1" si="68"/>
        <v>0</v>
      </c>
      <c r="O376" s="5">
        <f t="shared" ca="1" si="69"/>
        <v>0</v>
      </c>
      <c r="P376" s="446" t="e">
        <f t="shared" si="64"/>
        <v>#VALUE!</v>
      </c>
      <c r="Q376" s="446" t="e">
        <f>IF(OR($B376="",MIN(Q$38,$D$19)&lt;MAX($P$34*($B376+IF($R$17="Distrato",$I$38-1,0)),IF(AND($L$37=0,$P$34=0),"",$L$37-1),IF($R$17="Distrato",$E376,0))),0,YEARFRAC(MAX($P$34*($B376+IF($R$17="Distrato",$I$38-1,0)),IF(AND($L$37=0,$P$34=0),"",$L$37-1),IF($R$17="Distrato",$E376,0)),MIN(Q$38,$D$19),$P$20))-SUM($P376:P376)</f>
        <v>#VALUE!</v>
      </c>
      <c r="R376" s="446" t="e">
        <f>IF(OR($B376="",MIN(R$38,$D$19)&lt;MAX($P$34*($B376+IF($R$17="Distrato",$I$38-1,0)),IF(AND($L$37=0,$P$34=0),"",$L$37-1),IF($R$17="Distrato",$E376,0))),0,YEARFRAC(MAX($P$34*($B376+IF($R$17="Distrato",$I$38-1,0)),IF(AND($L$37=0,$P$34=0),"",$L$37-1),IF($R$17="Distrato",$E376,0)),MIN(R$38,$D$19),$P$20))-SUM($P376:Q376)</f>
        <v>#VALUE!</v>
      </c>
      <c r="S376" s="446" t="e">
        <f>IF(OR($B376="",MIN(S$38,$D$19)&lt;MAX($P$34*($B376+IF($R$17="Distrato",$I$38-1,0)),IF(AND($L$37=0,$P$34=0),"",$L$37-1),IF($R$17="Distrato",$E376,0))),0,YEARFRAC(MAX($P$34*($B376+IF($R$17="Distrato",$I$38-1,0)),IF(AND($L$37=0,$P$34=0),"",$L$37-1),IF($R$17="Distrato",$E376,0)),MIN(S$38,$D$19),$P$20))-SUM($P376:R376)</f>
        <v>#VALUE!</v>
      </c>
      <c r="T376" s="446" t="e">
        <f>IF(OR($B376="",MIN(T$38,$D$19)&lt;MAX($P$34*($B376+IF($R$17="Distrato",$I$38-1,0)),IF(AND($L$37=0,$P$34=0),"",$L$37-1),IF($R$17="Distrato",$E376,0))),0,YEARFRAC(MAX($P$34*($B376+IF($R$17="Distrato",$I$38-1,0)),IF(AND($L$37=0,$P$34=0),"",$L$37-1),IF($R$17="Distrato",$E376,0)),MIN(T$38,$D$19),$P$20))-SUM($P376:S376)</f>
        <v>#VALUE!</v>
      </c>
      <c r="U376" s="446" t="e">
        <f>IF(OR($B376="",MIN(U$38,$D$19)&lt;MAX($P$34*($B376+IF($R$17="Distrato",$I$38-1,0)),IF(AND($L$37=0,$P$34=0),"",$L$37-1),IF($R$17="Distrato",$E376,0))),0,YEARFRAC(MAX($P$34*($B376+IF($R$17="Distrato",$I$38-1,0)),IF(AND($L$37=0,$P$34=0),"",$L$37-1),IF($R$17="Distrato",$E376,0)),MIN(U$38,$D$19),$P$20))-SUM($P376:T376)</f>
        <v>#VALUE!</v>
      </c>
      <c r="V376" s="446" t="e">
        <f>IF(OR($B376="",MIN(V$38,$D$19)&lt;MAX($P$34*($B376+IF($R$17="Distrato",$I$38-1,0)),IF(AND($L$37=0,$P$34=0),"",$L$37-1),IF($R$17="Distrato",$E376,0))),0,YEARFRAC(MAX($P$34*($B376+IF($R$17="Distrato",$I$38-1,0)),IF(AND($L$37=0,$P$34=0),"",$L$37-1),IF($R$17="Distrato",$E376,0)),MIN(V$38,$D$19),$P$20))-SUM($P376:U376)</f>
        <v>#VALUE!</v>
      </c>
      <c r="W376" s="446" t="e">
        <f>IF(OR($B376="",MIN(W$38,$D$19)&lt;MAX($P$34*($B376+IF($R$17="Distrato",$I$38-1,0)),IF(AND($L$37=0,$P$34=0),"",$L$37-1),IF($R$17="Distrato",$E376,0))),0,YEARFRAC(MAX($P$34*($B376+IF($R$17="Distrato",$I$38-1,0)),IF(AND($L$37=0,$P$34=0),"",$L$37-1),IF($R$17="Distrato",$E376,0)),MIN(W$38,$D$19),$P$20))-SUM($P376:V376)</f>
        <v>#VALUE!</v>
      </c>
      <c r="X376" s="446" t="e">
        <f>IF(OR($B376="",MIN(X$38,$D$19)&lt;MAX($P$34*($B376+IF($R$17="Distrato",$I$38-1,0)),IF(AND($L$37=0,$P$34=0),"",$L$37-1),IF($R$17="Distrato",$E376,0))),0,YEARFRAC(MAX($P$34*($B376+IF($R$17="Distrato",$I$38-1,0)),IF(AND($L$37=0,$P$34=0),"",$L$37-1),IF($R$17="Distrato",$E376,0)),MIN(X$38,$D$19),$P$20))-SUM($P376:W376)</f>
        <v>#VALUE!</v>
      </c>
      <c r="Y376" s="446" t="e">
        <f>IF(OR($B376="",MIN(Y$38,$D$19)&lt;MAX($P$34*($B376+IF($R$17="Distrato",$I$38-1,0)),IF(AND($L$37=0,$P$34=0),"",$L$37-1),IF($R$17="Distrato",$E376,0))),0,YEARFRAC(MAX($P$34*($B376+IF($R$17="Distrato",$I$38-1,0)),IF(AND($L$37=0,$P$34=0),"",$L$37-1),IF($R$17="Distrato",$E376,0)),MIN(Y$38,$D$19),$P$20))-SUM($P376:X376)</f>
        <v>#VALUE!</v>
      </c>
      <c r="Z376" s="446" t="e">
        <f>IF(OR($B376="",MIN(Z$38,$D$19)&lt;MAX($P$34*($B376+IF($R$17="Distrato",$I$38-1,0)),IF(AND($L$37=0,$P$34=0),"",$L$37-1),IF($R$17="Distrato",$E376,0))),0,YEARFRAC(MAX($P$34*($B376+IF($R$17="Distrato",$I$38-1,0)),IF(AND($L$37=0,$P$34=0),"",$L$37-1),IF($R$17="Distrato",$E376,0)),MIN(Z$38,$D$19),$P$20))-SUM($P376:Y376)</f>
        <v>#VALUE!</v>
      </c>
      <c r="AA376" s="446" t="e">
        <f>IF(OR($B376="",MIN(AA$38,$D$19)&lt;MAX($P$34*($B376+IF($R$17="Distrato",$I$38-1,0)),IF(AND($L$37=0,$P$34=0),"",$L$37-1),IF($R$17="Distrato",$E376,0))),0,YEARFRAC(MAX($P$34*($B376+IF($R$17="Distrato",$I$38-1,0)),IF(AND($L$37=0,$P$34=0),"",$L$37-1),IF($R$17="Distrato",$E376,0)),MIN(AA$38,$D$19),$P$20))-SUM($P376:Z376)</f>
        <v>#VALUE!</v>
      </c>
      <c r="AB376" s="446" t="e">
        <f>IF(OR($B376="",MIN(AB$38,$D$19)&lt;MAX($P$34*($B376+IF($R$17="Distrato",$I$38-1,0)),IF(AND($L$37=0,$P$34=0),"",$L$37-1),IF($R$17="Distrato",$E376,0))),0,YEARFRAC(MAX($P$34*($B376+IF($R$17="Distrato",$I$38-1,0)),IF(AND($L$37=0,$P$34=0),"",$L$37-1),IF($R$17="Distrato",$E376,0)),MIN(AB$38,$D$19),$P$20))-SUM($P376:AA376)</f>
        <v>#VALUE!</v>
      </c>
      <c r="AC376" s="446" t="e">
        <f>IF(OR($B376="",MIN(AC$38,$D$19)&lt;MAX($P$34*($B376+IF($R$17="Distrato",$I$38-1,0)),IF(AND($L$37=0,$P$34=0),"",$L$37-1),IF($R$17="Distrato",$E376,0))),0,YEARFRAC(MAX($P$34*($B376+IF($R$17="Distrato",$I$38-1,0)),IF(AND($L$37=0,$P$34=0),"",$L$37-1),IF($R$17="Distrato",$E376,0)),MIN(AC$38,$D$19),$P$20))-SUM($P376:AB376)</f>
        <v>#VALUE!</v>
      </c>
      <c r="AD376" s="446" t="e">
        <f>IF(OR($B376="",MIN(AD$38,$D$19)&lt;MAX($P$34*($B376+IF($R$17="Distrato",$I$38-1,0)),IF(AND($L$37=0,$P$34=0),"",$L$37-1),IF($R$17="Distrato",$E376,0))),0,YEARFRAC(MAX($P$34*($B376+IF($R$17="Distrato",$I$38-1,0)),IF(AND($L$37=0,$P$34=0),"",$L$37-1),IF($R$17="Distrato",$E376,0)),MIN(AD$38,$D$19),$P$20))-SUM($P376:AC376)</f>
        <v>#VALUE!</v>
      </c>
      <c r="AE376" s="446" t="e">
        <f>IF(OR($B376="",MIN(AE$38,$D$19)&lt;MAX($P$34*($B376+IF($R$17="Distrato",$I$38-1,0)),IF(AND($L$37=0,$P$34=0),"",$L$37-1),IF($R$17="Distrato",$E376,0))),0,YEARFRAC(MAX($P$34*($B376+IF($R$17="Distrato",$I$38-1,0)),IF(AND($L$37=0,$P$34=0),"",$L$37-1),IF($R$17="Distrato",$E376,0)),MIN(AE$38,$D$19),$P$20))-SUM($P376:AD376)</f>
        <v>#VALUE!</v>
      </c>
      <c r="AF376" s="446" t="e">
        <f>IF(OR($B376="",MIN(AF$38,$D$19)&lt;MAX($P$34*($B376+IF($R$17="Distrato",$I$38-1,0)),IF(AND($L$37=0,$P$34=0),"",$L$37-1),IF($R$17="Distrato",$E376,0))),0,YEARFRAC(MAX($P$34*($B376+IF($R$17="Distrato",$I$38-1,0)),IF(AND($L$37=0,$P$34=0),"",$L$37-1),IF($R$17="Distrato",$E376,0)),MIN(AF$38,$D$19),$P$20))-SUM($P376:AE376)</f>
        <v>#VALUE!</v>
      </c>
      <c r="AG376" s="446" t="e">
        <f>IF(OR($B376="",MIN(AG$38,$D$19)&lt;MAX($P$34*($B376+IF($R$17="Distrato",$I$38-1,0)),IF(AND($L$37=0,$P$34=0),"",$L$37-1),IF($R$17="Distrato",$E376,0))),0,YEARFRAC(MAX($P$34*($B376+IF($R$17="Distrato",$I$38-1,0)),IF(AND($L$37=0,$P$34=0),"",$L$37-1),IF($R$17="Distrato",$E376,0)),MIN(AG$38,$D$19),$P$20))-SUM($P376:AF376)</f>
        <v>#VALUE!</v>
      </c>
      <c r="AH376" s="446" t="e">
        <f>IF(OR($B376="",MIN(AH$38,$D$19)&lt;MAX($P$34*($B376+IF($R$17="Distrato",$I$38-1,0)),IF(AND($L$37=0,$P$34=0),"",$L$37-1),IF($R$17="Distrato",$E376,0))),0,YEARFRAC(MAX($P$34*($B376+IF($R$17="Distrato",$I$38-1,0)),IF(AND($L$37=0,$P$34=0),"",$L$37-1),IF($R$17="Distrato",$E376,0)),MIN(AH$38,$D$19),$P$20))-SUM($P376:AG376)</f>
        <v>#VALUE!</v>
      </c>
      <c r="AI376" s="446" t="e">
        <f>IF(OR($B376="",MIN(AI$38,$D$19)&lt;MAX($P$34*($B376+IF($R$17="Distrato",$I$38-1,0)),IF(AND($L$37=0,$P$34=0),"",$L$37-1),IF($R$17="Distrato",$E376,0))),0,YEARFRAC(MAX($P$34*($B376+IF($R$17="Distrato",$I$38-1,0)),IF(AND($L$37=0,$P$34=0),"",$L$37-1),IF($R$17="Distrato",$E376,0)),MIN(AI$38,$D$19),$P$20))-SUM($P376:AH376)</f>
        <v>#VALUE!</v>
      </c>
      <c r="AJ376" s="446" t="e">
        <f>IF(OR($B376="",MIN(AJ$38,$D$19)&lt;MAX($P$34*($B376+IF($R$17="Distrato",$I$38-1,0)),IF(AND($L$37=0,$P$34=0),"",$L$37-1),IF($R$17="Distrato",$E376,0))),0,YEARFRAC(MAX($P$34*($B376+IF($R$17="Distrato",$I$38-1,0)),IF(AND($L$37=0,$P$34=0),"",$L$37-1),IF($R$17="Distrato",$E376,0)),MIN(AJ$38,$D$19),$P$20))-SUM($P376:AI376)</f>
        <v>#VALUE!</v>
      </c>
      <c r="AK376" s="446" t="e">
        <f>IF(OR($B376="",MIN(AK$38,$D$19)&lt;MAX($P$34*($B376+IF($R$17="Distrato",$I$38-1,0)),IF(AND($L$37=0,$P$34=0),"",$L$37-1),IF($R$17="Distrato",$E376,0))),0,YEARFRAC(MAX($P$34*($B376+IF($R$17="Distrato",$I$38-1,0)),IF(AND($L$37=0,$P$34=0),"",$L$37-1),IF($R$17="Distrato",$E376,0)),MIN(AK$38,$D$19),$P$20))-SUM($P376:AJ376)</f>
        <v>#VALUE!</v>
      </c>
      <c r="AL376" s="446" t="e">
        <f>IF(OR($B376="",MIN(AL$38,$D$19)&lt;MAX($P$34*($B376+IF($R$17="Distrato",$I$38-1,0)),IF(AND($L$37=0,$P$34=0),"",$L$37-1),IF($R$17="Distrato",$E376,0))),0,YEARFRAC(MAX($P$34*($B376+IF($R$17="Distrato",$I$38-1,0)),IF(AND($L$37=0,$P$34=0),"",$L$37-1),IF($R$17="Distrato",$E376,0)),MIN(AL$38,$D$19),$P$20))-SUM($P376:AK376)</f>
        <v>#VALUE!</v>
      </c>
      <c r="AM376" s="446" t="e">
        <f>IF(OR($B376="",MIN(AM$38,$D$19)&lt;MAX($P$34*($B376+IF($R$17="Distrato",$I$38-1,0)),IF(AND($L$37=0,$P$34=0),"",$L$37-1),IF($R$17="Distrato",$E376,0))),0,YEARFRAC(MAX($P$34*($B376+IF($R$17="Distrato",$I$38-1,0)),IF(AND($L$37=0,$P$34=0),"",$L$37-1),IF($R$17="Distrato",$E376,0)),MIN(AM$38,$D$19),$P$20))-SUM($P376:AL376)</f>
        <v>#VALUE!</v>
      </c>
      <c r="AN376" s="446" t="e">
        <f>IF(OR($B376="",MIN(AN$38,$D$19)&lt;MAX($P$34*($B376+IF($R$17="Distrato",$I$38-1,0)),IF(AND($L$37=0,$P$34=0),"",$L$37-1),IF($R$17="Distrato",$E376,0))),0,YEARFRAC(MAX($P$34*($B376+IF($R$17="Distrato",$I$38-1,0)),IF(AND($L$37=0,$P$34=0),"",$L$37-1),IF($R$17="Distrato",$E376,0)),MIN(AN$38,$D$19),$P$20))-SUM($P376:AM376)</f>
        <v>#VALUE!</v>
      </c>
      <c r="AO376" s="446" t="e">
        <f>IF(OR($B376="",MIN(AO$38,$D$19)&lt;MAX($P$34*($B376+IF($R$17="Distrato",$I$38-1,0)),IF(AND($L$37=0,$P$34=0),"",$L$37-1),IF($R$17="Distrato",$E376,0))),0,YEARFRAC(MAX($P$34*($B376+IF($R$17="Distrato",$I$38-1,0)),IF(AND($L$37=0,$P$34=0),"",$L$37-1),IF($R$17="Distrato",$E376,0)),MIN(AO$38,$D$19),$P$20))-SUM($P376:AN376)</f>
        <v>#VALUE!</v>
      </c>
      <c r="AP376" s="446" t="e">
        <f>IF(OR($B376="",MIN(AP$38,$D$19)&lt;MAX($P$34*($B376+IF($R$17="Distrato",$I$38-1,0)),IF(AND($L$37=0,$P$34=0),"",$L$37-1),IF($R$17="Distrato",$E376,0))),0,YEARFRAC(MAX($P$34*($B376+IF($R$17="Distrato",$I$38-1,0)),IF(AND($L$37=0,$P$34=0),"",$L$37-1),IF($R$17="Distrato",$E376,0)),MIN(AP$38,$D$19),$P$20))-SUM($P376:AO376)</f>
        <v>#VALUE!</v>
      </c>
      <c r="AQ376" s="446" t="e">
        <f>IF(OR($B376="",MIN(AQ$38,$D$19)&lt;MAX($P$34*($B376+IF($R$17="Distrato",$I$38-1,0)),IF(AND($L$37=0,$P$34=0),"",$L$37-1),IF($R$17="Distrato",$E376,0))),0,YEARFRAC(MAX($P$34*($B376+IF($R$17="Distrato",$I$38-1,0)),IF(AND($L$37=0,$P$34=0),"",$L$37-1),IF($R$17="Distrato",$E376,0)),MIN(AQ$38,$D$19),$P$20))-SUM($P376:AP376)</f>
        <v>#VALUE!</v>
      </c>
      <c r="AR376" s="446" t="e">
        <f>IF(OR($B376="",MIN(AR$38,$D$19)&lt;MAX($P$34*($B376+IF($R$17="Distrato",$I$38-1,0)),IF(AND($L$37=0,$P$34=0),"",$L$37-1),IF($R$17="Distrato",$E376,0))),0,YEARFRAC(MAX($P$34*($B376+IF($R$17="Distrato",$I$38-1,0)),IF(AND($L$37=0,$P$34=0),"",$L$37-1),IF($R$17="Distrato",$E376,0)),MIN(AR$38,$D$19),$P$20))-SUM($P376:AQ376)</f>
        <v>#VALUE!</v>
      </c>
      <c r="AS376" s="446" t="e">
        <f>IF(OR($B376="",MIN(AS$38,$D$19)&lt;MAX($P$34*($B376+IF($R$17="Distrato",$I$38-1,0)),IF(AND($L$37=0,$P$34=0),"",$L$37-1),IF($R$17="Distrato",$E376,0))),0,YEARFRAC(MAX($P$34*($B376+IF($R$17="Distrato",$I$38-1,0)),IF(AND($L$37=0,$P$34=0),"",$L$37-1),IF($R$17="Distrato",$E376,0)),MIN(AS$38,$D$19),$P$20))-SUM($P376:AR376)</f>
        <v>#VALUE!</v>
      </c>
      <c r="AT376" s="446" t="e">
        <f>IF(OR($B376="",MIN(AT$38,$D$19)&lt;MAX($P$34*($B376+IF($R$17="Distrato",$I$38-1,0)),IF(AND($L$37=0,$P$34=0),"",$L$37-1),IF($R$17="Distrato",$E376,0))),0,YEARFRAC(MAX($P$34*($B376+IF($R$17="Distrato",$I$38-1,0)),IF(AND($L$37=0,$P$34=0),"",$L$37-1),IF($R$17="Distrato",$E376,0)),MIN(AT$38,$D$19),$P$20))-SUM($P376:AS376)</f>
        <v>#VALUE!</v>
      </c>
      <c r="AU376" s="446" t="e">
        <f>IF(OR($B376="",MIN(AU$38,$D$19)&lt;MAX($P$34*($B376+IF($R$17="Distrato",$I$38-1,0)),IF(AND($L$37=0,$P$34=0),"",$L$37-1),IF($R$17="Distrato",$E376,0))),0,YEARFRAC(MAX($P$34*($B376+IF($R$17="Distrato",$I$38-1,0)),IF(AND($L$37=0,$P$34=0),"",$L$37-1),IF($R$17="Distrato",$E376,0)),MIN(AU$38,$D$19),$P$20))-SUM($P376:AT376)</f>
        <v>#VALUE!</v>
      </c>
      <c r="AV376" s="446" t="e">
        <f>IF(OR($B376="",MIN(AV$38,$D$19)&lt;MAX($P$34*($B376+IF($R$17="Distrato",$I$38-1,0)),IF(AND($L$37=0,$P$34=0),"",$L$37-1),IF($R$17="Distrato",$E376,0))),0,YEARFRAC(MAX($P$34*($B376+IF($R$17="Distrato",$I$38-1,0)),IF(AND($L$37=0,$P$34=0),"",$L$37-1),IF($R$17="Distrato",$E376,0)),MIN(AV$38,$D$19),$P$20))-SUM($P376:AU376)</f>
        <v>#VALUE!</v>
      </c>
      <c r="AW376" s="446" t="e">
        <f>IF(OR($B376="",MIN(AW$38,$D$19)&lt;MAX($P$34*($B376+IF($R$17="Distrato",$I$38-1,0)),IF(AND($L$37=0,$P$34=0),"",$L$37-1),IF($R$17="Distrato",$E376,0))),0,YEARFRAC(MAX($P$34*($B376+IF($R$17="Distrato",$I$38-1,0)),IF(AND($L$37=0,$P$34=0),"",$L$37-1),IF($R$17="Distrato",$E376,0)),MIN(AW$38,$D$19),$P$20))-SUM($P376:AV376)</f>
        <v>#VALUE!</v>
      </c>
      <c r="AX376" s="446" t="e">
        <f>IF(OR($B376="",MIN(AX$38,$D$19)&lt;MAX($P$34*($B376+IF($R$17="Distrato",$I$38-1,0)),IF(AND($L$37=0,$P$34=0),"",$L$37-1),IF($R$17="Distrato",$E376,0))),0,YEARFRAC(MAX($P$34*($B376+IF($R$17="Distrato",$I$38-1,0)),IF(AND($L$37=0,$P$34=0),"",$L$37-1),IF($R$17="Distrato",$E376,0)),MIN(AX$38,$D$19),$P$20))-SUM($P376:AW376)</f>
        <v>#VALUE!</v>
      </c>
      <c r="AY376" s="446" t="e">
        <f>IF(OR($B376="",MIN(AY$38,$D$19)&lt;MAX($P$34*($B376+IF($R$17="Distrato",$I$38-1,0)),IF(AND($L$37=0,$P$34=0),"",$L$37-1),IF($R$17="Distrato",$E376,0))),0,YEARFRAC(MAX($P$34*($B376+IF($R$17="Distrato",$I$38-1,0)),IF(AND($L$37=0,$P$34=0),"",$L$37-1),IF($R$17="Distrato",$E376,0)),MIN(AY$38,$D$19),$P$20))-SUM($P376:AX376)</f>
        <v>#VALUE!</v>
      </c>
      <c r="AZ376" s="446" t="e">
        <f>IF(OR($B376="",MIN(AZ$38,$D$19)&lt;MAX($P$34*($B376+IF($R$17="Distrato",$I$38-1,0)),IF(AND($L$37=0,$P$34=0),"",$L$37-1),IF($R$17="Distrato",$E376,0))),0,YEARFRAC(MAX($P$34*($B376+IF($R$17="Distrato",$I$38-1,0)),IF(AND($L$37=0,$P$34=0),"",$L$37-1),IF($R$17="Distrato",$E376,0)),MIN(AZ$38,$D$19),$P$20))-SUM($P376:AY376)</f>
        <v>#VALUE!</v>
      </c>
      <c r="BA376" s="446" t="e">
        <f>IF(OR($B376="",MIN(BA$38,$D$19)&lt;MAX($P$34*($B376+IF($R$17="Distrato",$I$38-1,0)),IF(AND($L$37=0,$P$34=0),"",$L$37-1),IF($R$17="Distrato",$E376,0))),0,YEARFRAC(MAX($P$34*($B376+IF($R$17="Distrato",$I$38-1,0)),IF(AND($L$37=0,$P$34=0),"",$L$37-1),IF($R$17="Distrato",$E376,0)),MIN(BA$38,$D$19),$P$20))-SUM($P376:AZ376)</f>
        <v>#VALUE!</v>
      </c>
      <c r="BB376" s="447"/>
      <c r="BF376" s="446">
        <f t="shared" si="65"/>
        <v>0</v>
      </c>
      <c r="BG376" s="446">
        <f>IF($E376=0,0,IF(MIN(BG$38,$E376)&lt;MAX($P$34*($B376+$I$38-1),IF(AND($L$37=0,$P$34=0),"",$L$37-1)),0,YEARFRAC(MAX($P$34*($B376+$I$38-1),IF(AND($L$37=0,$P$34=0),"",$L$37-1)),MIN(BG$38,$E376),$P$20))-SUM($BF376:BF376))</f>
        <v>0</v>
      </c>
      <c r="BH376" s="446">
        <f>IF($E376=0,0,IF(MIN(BH$38,$E376)&lt;MAX($P$34*($B376+$I$38-1),IF(AND($L$37=0,$P$34=0),"",$L$37-1)),0,YEARFRAC(MAX($P$34*($B376+$I$38-1),IF(AND($L$37=0,$P$34=0),"",$L$37-1)),MIN(BH$38,$E376),$P$20))-SUM($BF376:BG376))</f>
        <v>0</v>
      </c>
      <c r="BI376" s="446">
        <f>IF($E376=0,0,IF(MIN(BI$38,$E376)&lt;MAX($P$34*($B376+$I$38-1),IF(AND($L$37=0,$P$34=0),"",$L$37-1)),0,YEARFRAC(MAX($P$34*($B376+$I$38-1),IF(AND($L$37=0,$P$34=0),"",$L$37-1)),MIN(BI$38,$E376),$P$20))-SUM($BF376:BH376))</f>
        <v>0</v>
      </c>
      <c r="BJ376" s="446">
        <f>IF($E376=0,0,IF(MIN(BJ$38,$E376)&lt;MAX($P$34*($B376+$I$38-1),IF(AND($L$37=0,$P$34=0),"",$L$37-1)),0,YEARFRAC(MAX($P$34*($B376+$I$38-1),IF(AND($L$37=0,$P$34=0),"",$L$37-1)),MIN(BJ$38,$E376),$P$20))-SUM($BF376:BI376))</f>
        <v>0</v>
      </c>
      <c r="BK376" s="446">
        <f>IF($E376=0,0,IF(MIN(BK$38,$E376)&lt;MAX($P$34*($B376+$I$38-1),IF(AND($L$37=0,$P$34=0),"",$L$37-1)),0,YEARFRAC(MAX($P$34*($B376+$I$38-1),IF(AND($L$37=0,$P$34=0),"",$L$37-1)),MIN(BK$38,$E376),$P$20))-SUM($BF376:BJ376))</f>
        <v>0</v>
      </c>
      <c r="BL376" s="446">
        <f>IF($E376=0,0,IF(MIN(BL$38,$E376)&lt;MAX($P$34*($B376+$I$38-1),IF(AND($L$37=0,$P$34=0),"",$L$37-1)),0,YEARFRAC(MAX($P$34*($B376+$I$38-1),IF(AND($L$37=0,$P$34=0),"",$L$37-1)),MIN(BL$38,$E376),$P$20))-SUM($BF376:BK376))</f>
        <v>0</v>
      </c>
      <c r="BM376" s="446">
        <f>IF($E376=0,0,IF(MIN(BM$38,$E376)&lt;MAX($P$34*($B376+$I$38-1),IF(AND($L$37=0,$P$34=0),"",$L$37-1)),0,YEARFRAC(MAX($P$34*($B376+$I$38-1),IF(AND($L$37=0,$P$34=0),"",$L$37-1)),MIN(BM$38,$E376),$P$20))-SUM($BF376:BL376))</f>
        <v>0</v>
      </c>
      <c r="BN376" s="446">
        <f>IF($E376=0,0,IF(MIN(BN$38,$E376)&lt;MAX($P$34*($B376+$I$38-1),IF(AND($L$37=0,$P$34=0),"",$L$37-1)),0,YEARFRAC(MAX($P$34*($B376+$I$38-1),IF(AND($L$37=0,$P$34=0),"",$L$37-1)),MIN(BN$38,$E376),$P$20))-SUM($BF376:BM376))</f>
        <v>0</v>
      </c>
      <c r="BO376" s="446">
        <f>IF($E376=0,0,IF(MIN(BO$38,$E376)&lt;MAX($P$34*($B376+$I$38-1),IF(AND($L$37=0,$P$34=0),"",$L$37-1)),0,YEARFRAC(MAX($P$34*($B376+$I$38-1),IF(AND($L$37=0,$P$34=0),"",$L$37-1)),MIN(BO$38,$E376),$P$20))-SUM($BF376:BN376))</f>
        <v>0</v>
      </c>
      <c r="BP376" s="446">
        <f>IF($E376=0,0,IF(MIN(BP$38,$E376)&lt;MAX($P$34*($B376+$I$38-1),IF(AND($L$37=0,$P$34=0),"",$L$37-1)),0,YEARFRAC(MAX($P$34*($B376+$I$38-1),IF(AND($L$37=0,$P$34=0),"",$L$37-1)),MIN(BP$38,$E376),$P$20))-SUM($BF376:BO376))</f>
        <v>0</v>
      </c>
      <c r="BQ376" s="446">
        <f>IF($E376=0,0,IF(MIN(BQ$38,$E376)&lt;MAX($P$34*($B376+$I$38-1),IF(AND($L$37=0,$P$34=0),"",$L$37-1)),0,YEARFRAC(MAX($P$34*($B376+$I$38-1),IF(AND($L$37=0,$P$34=0),"",$L$37-1)),MIN(BQ$38,$E376),$P$20))-SUM($BF376:BP376))</f>
        <v>0</v>
      </c>
      <c r="BR376" s="446">
        <f>IF($E376=0,0,IF(MIN(BR$38,$E376)&lt;MAX($P$34*($B376+$I$38-1),IF(AND($L$37=0,$P$34=0),"",$L$37-1)),0,YEARFRAC(MAX($P$34*($B376+$I$38-1),IF(AND($L$37=0,$P$34=0),"",$L$37-1)),MIN(BR$38,$E376),$P$20))-SUM($BF376:BQ376))</f>
        <v>0</v>
      </c>
      <c r="BS376" s="446">
        <f>IF($E376=0,0,IF(MIN(BS$38,$E376)&lt;MAX($P$34*($B376+$I$38-1),IF(AND($L$37=0,$P$34=0),"",$L$37-1)),0,YEARFRAC(MAX($P$34*($B376+$I$38-1),IF(AND($L$37=0,$P$34=0),"",$L$37-1)),MIN(BS$38,$E376),$P$20))-SUM($BF376:BR376))</f>
        <v>0</v>
      </c>
      <c r="BT376" s="446">
        <f>IF($E376=0,0,IF(MIN(BT$38,$E376)&lt;MAX($P$34*($B376+$I$38-1),IF(AND($L$37=0,$P$34=0),"",$L$37-1)),0,YEARFRAC(MAX($P$34*($B376+$I$38-1),IF(AND($L$37=0,$P$34=0),"",$L$37-1)),MIN(BT$38,$E376),$P$20))-SUM($BF376:BS376))</f>
        <v>0</v>
      </c>
      <c r="BU376" s="446">
        <f>IF($E376=0,0,IF(MIN(BU$38,$E376)&lt;MAX($P$34*($B376+$I$38-1),IF(AND($L$37=0,$P$34=0),"",$L$37-1)),0,YEARFRAC(MAX($P$34*($B376+$I$38-1),IF(AND($L$37=0,$P$34=0),"",$L$37-1)),MIN(BU$38,$E376),$P$20))-SUM($BF376:BT376))</f>
        <v>0</v>
      </c>
      <c r="BV376" s="446">
        <f>IF($E376=0,0,IF(MIN(BV$38,$E376)&lt;MAX($P$34*($B376+$I$38-1),IF(AND($L$37=0,$P$34=0),"",$L$37-1)),0,YEARFRAC(MAX($P$34*($B376+$I$38-1),IF(AND($L$37=0,$P$34=0),"",$L$37-1)),MIN(BV$38,$E376),$P$20))-SUM($BF376:BU376))</f>
        <v>0</v>
      </c>
      <c r="BW376" s="446">
        <f>IF($E376=0,0,IF(MIN(BW$38,$E376)&lt;MAX($P$34*($B376+$I$38-1),IF(AND($L$37=0,$P$34=0),"",$L$37-1)),0,YEARFRAC(MAX($P$34*($B376+$I$38-1),IF(AND($L$37=0,$P$34=0),"",$L$37-1)),MIN(BW$38,$E376),$P$20))-SUM($BF376:BV376))</f>
        <v>0</v>
      </c>
      <c r="BX376" s="446">
        <f>IF($E376=0,0,IF(MIN(BX$38,$E376)&lt;MAX($P$34*($B376+$I$38-1),IF(AND($L$37=0,$P$34=0),"",$L$37-1)),0,YEARFRAC(MAX($P$34*($B376+$I$38-1),IF(AND($L$37=0,$P$34=0),"",$L$37-1)),MIN(BX$38,$E376),$P$20))-SUM($BF376:BW376))</f>
        <v>0</v>
      </c>
      <c r="BY376" s="446">
        <f>IF($E376=0,0,IF(MIN(BY$38,$E376)&lt;MAX($P$34*($B376+$I$38-1),IF(AND($L$37=0,$P$34=0),"",$L$37-1)),0,YEARFRAC(MAX($P$34*($B376+$I$38-1),IF(AND($L$37=0,$P$34=0),"",$L$37-1)),MIN(BY$38,$E376),$P$20))-SUM($BF376:BX376))</f>
        <v>0</v>
      </c>
      <c r="BZ376" s="446">
        <f>IF($E376=0,0,IF(MIN(BZ$38,$E376)&lt;MAX($P$34*($B376+$I$38-1),IF(AND($L$37=0,$P$34=0),"",$L$37-1)),0,YEARFRAC(MAX($P$34*($B376+$I$38-1),IF(AND($L$37=0,$P$34=0),"",$L$37-1)),MIN(BZ$38,$E376),$P$20))-SUM($BF376:BY376))</f>
        <v>0</v>
      </c>
      <c r="CA376" s="446">
        <f>IF($E376=0,0,IF(MIN(CA$38,$E376)&lt;MAX($P$34*($B376+$I$38-1),IF(AND($L$37=0,$P$34=0),"",$L$37-1)),0,YEARFRAC(MAX($P$34*($B376+$I$38-1),IF(AND($L$37=0,$P$34=0),"",$L$37-1)),MIN(CA$38,$E376),$P$20))-SUM($BF376:BZ376))</f>
        <v>0</v>
      </c>
      <c r="CB376" s="446">
        <f>IF($E376=0,0,IF(MIN(CB$38,$E376)&lt;MAX($P$34*($B376+$I$38-1),IF(AND($L$37=0,$P$34=0),"",$L$37-1)),0,YEARFRAC(MAX($P$34*($B376+$I$38-1),IF(AND($L$37=0,$P$34=0),"",$L$37-1)),MIN(CB$38,$E376),$P$20))-SUM($BF376:CA376))</f>
        <v>0</v>
      </c>
      <c r="CC376" s="446">
        <f>IF($E376=0,0,IF(MIN(CC$38,$E376)&lt;MAX($P$34*($B376+$I$38-1),IF(AND($L$37=0,$P$34=0),"",$L$37-1)),0,YEARFRAC(MAX($P$34*($B376+$I$38-1),IF(AND($L$37=0,$P$34=0),"",$L$37-1)),MIN(CC$38,$E376),$P$20))-SUM($BF376:CB376))</f>
        <v>0</v>
      </c>
      <c r="CD376" s="446">
        <f>IF($E376=0,0,IF(MIN(CD$38,$E376)&lt;MAX($P$34*($B376+$I$38-1),IF(AND($L$37=0,$P$34=0),"",$L$37-1)),0,YEARFRAC(MAX($P$34*($B376+$I$38-1),IF(AND($L$37=0,$P$34=0),"",$L$37-1)),MIN(CD$38,$E376),$P$20))-SUM($BF376:CC376))</f>
        <v>0</v>
      </c>
      <c r="CE376" s="446">
        <f>IF($E376=0,0,IF(MIN(CE$38,$E376)&lt;MAX($P$34*($B376+$I$38-1),IF(AND($L$37=0,$P$34=0),"",$L$37-1)),0,YEARFRAC(MAX($P$34*($B376+$I$38-1),IF(AND($L$37=0,$P$34=0),"",$L$37-1)),MIN(CE$38,$E376),$P$20))-SUM($BF376:CD376))</f>
        <v>0</v>
      </c>
      <c r="CF376" s="446">
        <f>IF($E376=0,0,IF(MIN(CF$38,$E376)&lt;MAX($P$34*($B376+$I$38-1),IF(AND($L$37=0,$P$34=0),"",$L$37-1)),0,YEARFRAC(MAX($P$34*($B376+$I$38-1),IF(AND($L$37=0,$P$34=0),"",$L$37-1)),MIN(CF$38,$E376),$P$20))-SUM($BF376:CE376))</f>
        <v>0</v>
      </c>
      <c r="CG376" s="446">
        <f>IF($E376=0,0,IF(MIN(CG$38,$E376)&lt;MAX($P$34*($B376+$I$38-1),IF(AND($L$37=0,$P$34=0),"",$L$37-1)),0,YEARFRAC(MAX($P$34*($B376+$I$38-1),IF(AND($L$37=0,$P$34=0),"",$L$37-1)),MIN(CG$38,$E376),$P$20))-SUM($BF376:CF376))</f>
        <v>0</v>
      </c>
      <c r="CH376" s="446">
        <f>IF($E376=0,0,IF(MIN(CH$38,$E376)&lt;MAX($P$34*($B376+$I$38-1),IF(AND($L$37=0,$P$34=0),"",$L$37-1)),0,YEARFRAC(MAX($P$34*($B376+$I$38-1),IF(AND($L$37=0,$P$34=0),"",$L$37-1)),MIN(CH$38,$E376),$P$20))-SUM($BF376:CG376))</f>
        <v>0</v>
      </c>
      <c r="CI376" s="446">
        <f>IF($E376=0,0,IF(MIN(CI$38,$E376)&lt;MAX($P$34*($B376+$I$38-1),IF(AND($L$37=0,$P$34=0),"",$L$37-1)),0,YEARFRAC(MAX($P$34*($B376+$I$38-1),IF(AND($L$37=0,$P$34=0),"",$L$37-1)),MIN(CI$38,$E376),$P$20))-SUM($BF376:CH376))</f>
        <v>0</v>
      </c>
      <c r="CJ376" s="446">
        <f>IF($E376=0,0,IF(MIN(CJ$38,$E376)&lt;MAX($P$34*($B376+$I$38-1),IF(AND($L$37=0,$P$34=0),"",$L$37-1)),0,YEARFRAC(MAX($P$34*($B376+$I$38-1),IF(AND($L$37=0,$P$34=0),"",$L$37-1)),MIN(CJ$38,$E376),$P$20))-SUM($BF376:CI376))</f>
        <v>0</v>
      </c>
      <c r="CK376" s="446">
        <f>IF($E376=0,0,IF(MIN(CK$38,$E376)&lt;MAX($P$34*($B376+$I$38-1),IF(AND($L$37=0,$P$34=0),"",$L$37-1)),0,YEARFRAC(MAX($P$34*($B376+$I$38-1),IF(AND($L$37=0,$P$34=0),"",$L$37-1)),MIN(CK$38,$E376),$P$20))-SUM($BF376:CJ376))</f>
        <v>0</v>
      </c>
      <c r="CL376" s="446">
        <f>IF($E376=0,0,IF(MIN(CL$38,$E376)&lt;MAX($P$34*($B376+$I$38-1),IF(AND($L$37=0,$P$34=0),"",$L$37-1)),0,YEARFRAC(MAX($P$34*($B376+$I$38-1),IF(AND($L$37=0,$P$34=0),"",$L$37-1)),MIN(CL$38,$E376),$P$20))-SUM($BF376:CK376))</f>
        <v>0</v>
      </c>
      <c r="CM376" s="446">
        <f>IF($E376=0,0,IF(MIN(CM$38,$E376)&lt;MAX($P$34*($B376+$I$38-1),IF(AND($L$37=0,$P$34=0),"",$L$37-1)),0,YEARFRAC(MAX($P$34*($B376+$I$38-1),IF(AND($L$37=0,$P$34=0),"",$L$37-1)),MIN(CM$38,$E376),$P$20))-SUM($BF376:CL376))</f>
        <v>0</v>
      </c>
      <c r="CN376" s="446">
        <f>IF($E376=0,0,IF(MIN(CN$38,$E376)&lt;MAX($P$34*($B376+$I$38-1),IF(AND($L$37=0,$P$34=0),"",$L$37-1)),0,YEARFRAC(MAX($P$34*($B376+$I$38-1),IF(AND($L$37=0,$P$34=0),"",$L$37-1)),MIN(CN$38,$E376),$P$20))-SUM($BF376:CM376))</f>
        <v>0</v>
      </c>
      <c r="CO376" s="446">
        <f>IF($E376=0,0,IF(MIN(CO$38,$E376)&lt;MAX($P$34*($B376+$I$38-1),IF(AND($L$37=0,$P$34=0),"",$L$37-1)),0,YEARFRAC(MAX($P$34*($B376+$I$38-1),IF(AND($L$37=0,$P$34=0),"",$L$37-1)),MIN(CO$38,$E376),$P$20))-SUM($BF376:CN376))</f>
        <v>0</v>
      </c>
      <c r="CP376" s="446">
        <f>IF($E376=0,0,IF(MIN(CP$38,$E376)&lt;MAX($P$34*($B376+$I$38-1),IF(AND($L$37=0,$P$34=0),"",$L$37-1)),0,YEARFRAC(MAX($P$34*($B376+$I$38-1),IF(AND($L$37=0,$P$34=0),"",$L$37-1)),MIN(CP$38,$E376),$P$20))-SUM($BF376:CO376))</f>
        <v>0</v>
      </c>
      <c r="CQ376" s="446">
        <f>IF($E376=0,0,IF(MIN(CQ$38,$E376)&lt;MAX($P$34*($B376+$I$38-1),IF(AND($L$37=0,$P$34=0),"",$L$37-1)),0,YEARFRAC(MAX($P$34*($B376+$I$38-1),IF(AND($L$37=0,$P$34=0),"",$L$37-1)),MIN(CQ$38,$E376),$P$20))-SUM($BF376:CP376))</f>
        <v>0</v>
      </c>
    </row>
    <row r="377" spans="1:95" s="446" customFormat="1" ht="11.25" hidden="1" customHeight="1" x14ac:dyDescent="0.2">
      <c r="A377" s="152"/>
      <c r="B377" s="153" t="str">
        <f t="shared" si="70"/>
        <v/>
      </c>
      <c r="C377" s="29" t="str">
        <f>IF(B377="","",IF($L$35="SELIC - TRIBUTOS",VLOOKUP(DATE(YEAR($D$19),MONTH($D$19)-1,1),ÍNDICES!$A:$DE,HLOOKUP($BL$25,ÍNDICES!$B$3:$T$4,2)+11)-VLOOKUP(B377,ÍNDICES!$A:$DE,HLOOKUP($BL$25,ÍNDICES!$B$3:$T$4,2)+11)+1%,IF(C$38=$W$26,$J$35,IF(ISERROR(IF(B377&gt;$D$19,1,VLOOKUP(DATE(YEAR(B377),MONTH(B377)+IF($C$35=$S$23,1,0),1),ÍNDICES!$A:$DE,$Z$35+1))),"",IF(B377&gt;$D$19,1,VLOOKUP(DATE(YEAR(B377),MONTH(B377)+IF($C$35=$S$23,1,0),1),ÍNDICES!$A:$DE,$Z$35+1))))))</f>
        <v/>
      </c>
      <c r="D377" s="154" t="str">
        <f>IF(ISERROR(IF(OR($D$38=$Y$27,$B377=""),"",VLOOKUP(B377,ÍNDICES!A:DE,AF$35+1))),"",IF(OR($D$38=$Y$27,$B377=""),"",VLOOKUP(B377,ÍNDICES!A:DE,AF$35+1)))</f>
        <v/>
      </c>
      <c r="E377" s="153"/>
      <c r="F377" s="29" t="str">
        <f>IF(E377="","",IF($L$35="SELIC - TRIBUTOS",VLOOKUP(DATE(YEAR($D$19),MONTH($D$19)-1,1),ÍNDICES!$A:$DE,HLOOKUP($BL$25,ÍNDICES!$B$3:$T$4,2)+11)-VLOOKUP(E377,ÍNDICES!$A:$DE,HLOOKUP($BL$25,ÍNDICES!$B$3:$T$4,2)+11)+1%,IF(F$38=$W$26,$J$35,IF(ISERROR(IF(E377&gt;$D$19,1,VLOOKUP(DATE(YEAR(E377),MONTH(E377)+IF($C$35=$S$23,1,0),1),ÍNDICES!$A:$DE,$Z$35+1))),"",IF(E377&gt;$D$19,1,VLOOKUP(DATE(YEAR(E377),MONTH(E377)+IF($C$35=$S$23,1,0),1),ÍNDICES!$A:$DE,$Z$35+1))))))</f>
        <v/>
      </c>
      <c r="G377" s="155"/>
      <c r="H377" s="156" t="str">
        <f t="shared" si="66"/>
        <v/>
      </c>
      <c r="I377" s="29" t="str">
        <f t="shared" si="60"/>
        <v/>
      </c>
      <c r="J377" s="5">
        <f t="shared" si="61"/>
        <v>0</v>
      </c>
      <c r="K377" s="20">
        <f t="shared" ca="1" si="62"/>
        <v>0</v>
      </c>
      <c r="L377" s="5">
        <f t="shared" ca="1" si="63"/>
        <v>0</v>
      </c>
      <c r="M377" s="64">
        <f t="shared" si="67"/>
        <v>0</v>
      </c>
      <c r="N377" s="61">
        <f t="shared" ca="1" si="68"/>
        <v>0</v>
      </c>
      <c r="O377" s="5">
        <f t="shared" ca="1" si="69"/>
        <v>0</v>
      </c>
      <c r="P377" s="446" t="e">
        <f t="shared" si="64"/>
        <v>#VALUE!</v>
      </c>
      <c r="Q377" s="446" t="e">
        <f>IF(OR($B377="",MIN(Q$38,$D$19)&lt;MAX($P$34*($B377+IF($R$17="Distrato",$I$38-1,0)),IF(AND($L$37=0,$P$34=0),"",$L$37-1),IF($R$17="Distrato",$E377,0))),0,YEARFRAC(MAX($P$34*($B377+IF($R$17="Distrato",$I$38-1,0)),IF(AND($L$37=0,$P$34=0),"",$L$37-1),IF($R$17="Distrato",$E377,0)),MIN(Q$38,$D$19),$P$20))-SUM($P377:P377)</f>
        <v>#VALUE!</v>
      </c>
      <c r="R377" s="446" t="e">
        <f>IF(OR($B377="",MIN(R$38,$D$19)&lt;MAX($P$34*($B377+IF($R$17="Distrato",$I$38-1,0)),IF(AND($L$37=0,$P$34=0),"",$L$37-1),IF($R$17="Distrato",$E377,0))),0,YEARFRAC(MAX($P$34*($B377+IF($R$17="Distrato",$I$38-1,0)),IF(AND($L$37=0,$P$34=0),"",$L$37-1),IF($R$17="Distrato",$E377,0)),MIN(R$38,$D$19),$P$20))-SUM($P377:Q377)</f>
        <v>#VALUE!</v>
      </c>
      <c r="S377" s="446" t="e">
        <f>IF(OR($B377="",MIN(S$38,$D$19)&lt;MAX($P$34*($B377+IF($R$17="Distrato",$I$38-1,0)),IF(AND($L$37=0,$P$34=0),"",$L$37-1),IF($R$17="Distrato",$E377,0))),0,YEARFRAC(MAX($P$34*($B377+IF($R$17="Distrato",$I$38-1,0)),IF(AND($L$37=0,$P$34=0),"",$L$37-1),IF($R$17="Distrato",$E377,0)),MIN(S$38,$D$19),$P$20))-SUM($P377:R377)</f>
        <v>#VALUE!</v>
      </c>
      <c r="T377" s="446" t="e">
        <f>IF(OR($B377="",MIN(T$38,$D$19)&lt;MAX($P$34*($B377+IF($R$17="Distrato",$I$38-1,0)),IF(AND($L$37=0,$P$34=0),"",$L$37-1),IF($R$17="Distrato",$E377,0))),0,YEARFRAC(MAX($P$34*($B377+IF($R$17="Distrato",$I$38-1,0)),IF(AND($L$37=0,$P$34=0),"",$L$37-1),IF($R$17="Distrato",$E377,0)),MIN(T$38,$D$19),$P$20))-SUM($P377:S377)</f>
        <v>#VALUE!</v>
      </c>
      <c r="U377" s="446" t="e">
        <f>IF(OR($B377="",MIN(U$38,$D$19)&lt;MAX($P$34*($B377+IF($R$17="Distrato",$I$38-1,0)),IF(AND($L$37=0,$P$34=0),"",$L$37-1),IF($R$17="Distrato",$E377,0))),0,YEARFRAC(MAX($P$34*($B377+IF($R$17="Distrato",$I$38-1,0)),IF(AND($L$37=0,$P$34=0),"",$L$37-1),IF($R$17="Distrato",$E377,0)),MIN(U$38,$D$19),$P$20))-SUM($P377:T377)</f>
        <v>#VALUE!</v>
      </c>
      <c r="V377" s="446" t="e">
        <f>IF(OR($B377="",MIN(V$38,$D$19)&lt;MAX($P$34*($B377+IF($R$17="Distrato",$I$38-1,0)),IF(AND($L$37=0,$P$34=0),"",$L$37-1),IF($R$17="Distrato",$E377,0))),0,YEARFRAC(MAX($P$34*($B377+IF($R$17="Distrato",$I$38-1,0)),IF(AND($L$37=0,$P$34=0),"",$L$37-1),IF($R$17="Distrato",$E377,0)),MIN(V$38,$D$19),$P$20))-SUM($P377:U377)</f>
        <v>#VALUE!</v>
      </c>
      <c r="W377" s="446" t="e">
        <f>IF(OR($B377="",MIN(W$38,$D$19)&lt;MAX($P$34*($B377+IF($R$17="Distrato",$I$38-1,0)),IF(AND($L$37=0,$P$34=0),"",$L$37-1),IF($R$17="Distrato",$E377,0))),0,YEARFRAC(MAX($P$34*($B377+IF($R$17="Distrato",$I$38-1,0)),IF(AND($L$37=0,$P$34=0),"",$L$37-1),IF($R$17="Distrato",$E377,0)),MIN(W$38,$D$19),$P$20))-SUM($P377:V377)</f>
        <v>#VALUE!</v>
      </c>
      <c r="X377" s="446" t="e">
        <f>IF(OR($B377="",MIN(X$38,$D$19)&lt;MAX($P$34*($B377+IF($R$17="Distrato",$I$38-1,0)),IF(AND($L$37=0,$P$34=0),"",$L$37-1),IF($R$17="Distrato",$E377,0))),0,YEARFRAC(MAX($P$34*($B377+IF($R$17="Distrato",$I$38-1,0)),IF(AND($L$37=0,$P$34=0),"",$L$37-1),IF($R$17="Distrato",$E377,0)),MIN(X$38,$D$19),$P$20))-SUM($P377:W377)</f>
        <v>#VALUE!</v>
      </c>
      <c r="Y377" s="446" t="e">
        <f>IF(OR($B377="",MIN(Y$38,$D$19)&lt;MAX($P$34*($B377+IF($R$17="Distrato",$I$38-1,0)),IF(AND($L$37=0,$P$34=0),"",$L$37-1),IF($R$17="Distrato",$E377,0))),0,YEARFRAC(MAX($P$34*($B377+IF($R$17="Distrato",$I$38-1,0)),IF(AND($L$37=0,$P$34=0),"",$L$37-1),IF($R$17="Distrato",$E377,0)),MIN(Y$38,$D$19),$P$20))-SUM($P377:X377)</f>
        <v>#VALUE!</v>
      </c>
      <c r="Z377" s="446" t="e">
        <f>IF(OR($B377="",MIN(Z$38,$D$19)&lt;MAX($P$34*($B377+IF($R$17="Distrato",$I$38-1,0)),IF(AND($L$37=0,$P$34=0),"",$L$37-1),IF($R$17="Distrato",$E377,0))),0,YEARFRAC(MAX($P$34*($B377+IF($R$17="Distrato",$I$38-1,0)),IF(AND($L$37=0,$P$34=0),"",$L$37-1),IF($R$17="Distrato",$E377,0)),MIN(Z$38,$D$19),$P$20))-SUM($P377:Y377)</f>
        <v>#VALUE!</v>
      </c>
      <c r="AA377" s="446" t="e">
        <f>IF(OR($B377="",MIN(AA$38,$D$19)&lt;MAX($P$34*($B377+IF($R$17="Distrato",$I$38-1,0)),IF(AND($L$37=0,$P$34=0),"",$L$37-1),IF($R$17="Distrato",$E377,0))),0,YEARFRAC(MAX($P$34*($B377+IF($R$17="Distrato",$I$38-1,0)),IF(AND($L$37=0,$P$34=0),"",$L$37-1),IF($R$17="Distrato",$E377,0)),MIN(AA$38,$D$19),$P$20))-SUM($P377:Z377)</f>
        <v>#VALUE!</v>
      </c>
      <c r="AB377" s="446" t="e">
        <f>IF(OR($B377="",MIN(AB$38,$D$19)&lt;MAX($P$34*($B377+IF($R$17="Distrato",$I$38-1,0)),IF(AND($L$37=0,$P$34=0),"",$L$37-1),IF($R$17="Distrato",$E377,0))),0,YEARFRAC(MAX($P$34*($B377+IF($R$17="Distrato",$I$38-1,0)),IF(AND($L$37=0,$P$34=0),"",$L$37-1),IF($R$17="Distrato",$E377,0)),MIN(AB$38,$D$19),$P$20))-SUM($P377:AA377)</f>
        <v>#VALUE!</v>
      </c>
      <c r="AC377" s="446" t="e">
        <f>IF(OR($B377="",MIN(AC$38,$D$19)&lt;MAX($P$34*($B377+IF($R$17="Distrato",$I$38-1,0)),IF(AND($L$37=0,$P$34=0),"",$L$37-1),IF($R$17="Distrato",$E377,0))),0,YEARFRAC(MAX($P$34*($B377+IF($R$17="Distrato",$I$38-1,0)),IF(AND($L$37=0,$P$34=0),"",$L$37-1),IF($R$17="Distrato",$E377,0)),MIN(AC$38,$D$19),$P$20))-SUM($P377:AB377)</f>
        <v>#VALUE!</v>
      </c>
      <c r="AD377" s="446" t="e">
        <f>IF(OR($B377="",MIN(AD$38,$D$19)&lt;MAX($P$34*($B377+IF($R$17="Distrato",$I$38-1,0)),IF(AND($L$37=0,$P$34=0),"",$L$37-1),IF($R$17="Distrato",$E377,0))),0,YEARFRAC(MAX($P$34*($B377+IF($R$17="Distrato",$I$38-1,0)),IF(AND($L$37=0,$P$34=0),"",$L$37-1),IF($R$17="Distrato",$E377,0)),MIN(AD$38,$D$19),$P$20))-SUM($P377:AC377)</f>
        <v>#VALUE!</v>
      </c>
      <c r="AE377" s="446" t="e">
        <f>IF(OR($B377="",MIN(AE$38,$D$19)&lt;MAX($P$34*($B377+IF($R$17="Distrato",$I$38-1,0)),IF(AND($L$37=0,$P$34=0),"",$L$37-1),IF($R$17="Distrato",$E377,0))),0,YEARFRAC(MAX($P$34*($B377+IF($R$17="Distrato",$I$38-1,0)),IF(AND($L$37=0,$P$34=0),"",$L$37-1),IF($R$17="Distrato",$E377,0)),MIN(AE$38,$D$19),$P$20))-SUM($P377:AD377)</f>
        <v>#VALUE!</v>
      </c>
      <c r="AF377" s="446" t="e">
        <f>IF(OR($B377="",MIN(AF$38,$D$19)&lt;MAX($P$34*($B377+IF($R$17="Distrato",$I$38-1,0)),IF(AND($L$37=0,$P$34=0),"",$L$37-1),IF($R$17="Distrato",$E377,0))),0,YEARFRAC(MAX($P$34*($B377+IF($R$17="Distrato",$I$38-1,0)),IF(AND($L$37=0,$P$34=0),"",$L$37-1),IF($R$17="Distrato",$E377,0)),MIN(AF$38,$D$19),$P$20))-SUM($P377:AE377)</f>
        <v>#VALUE!</v>
      </c>
      <c r="AG377" s="446" t="e">
        <f>IF(OR($B377="",MIN(AG$38,$D$19)&lt;MAX($P$34*($B377+IF($R$17="Distrato",$I$38-1,0)),IF(AND($L$37=0,$P$34=0),"",$L$37-1),IF($R$17="Distrato",$E377,0))),0,YEARFRAC(MAX($P$34*($B377+IF($R$17="Distrato",$I$38-1,0)),IF(AND($L$37=0,$P$34=0),"",$L$37-1),IF($R$17="Distrato",$E377,0)),MIN(AG$38,$D$19),$P$20))-SUM($P377:AF377)</f>
        <v>#VALUE!</v>
      </c>
      <c r="AH377" s="446" t="e">
        <f>IF(OR($B377="",MIN(AH$38,$D$19)&lt;MAX($P$34*($B377+IF($R$17="Distrato",$I$38-1,0)),IF(AND($L$37=0,$P$34=0),"",$L$37-1),IF($R$17="Distrato",$E377,0))),0,YEARFRAC(MAX($P$34*($B377+IF($R$17="Distrato",$I$38-1,0)),IF(AND($L$37=0,$P$34=0),"",$L$37-1),IF($R$17="Distrato",$E377,0)),MIN(AH$38,$D$19),$P$20))-SUM($P377:AG377)</f>
        <v>#VALUE!</v>
      </c>
      <c r="AI377" s="446" t="e">
        <f>IF(OR($B377="",MIN(AI$38,$D$19)&lt;MAX($P$34*($B377+IF($R$17="Distrato",$I$38-1,0)),IF(AND($L$37=0,$P$34=0),"",$L$37-1),IF($R$17="Distrato",$E377,0))),0,YEARFRAC(MAX($P$34*($B377+IF($R$17="Distrato",$I$38-1,0)),IF(AND($L$37=0,$P$34=0),"",$L$37-1),IF($R$17="Distrato",$E377,0)),MIN(AI$38,$D$19),$P$20))-SUM($P377:AH377)</f>
        <v>#VALUE!</v>
      </c>
      <c r="AJ377" s="446" t="e">
        <f>IF(OR($B377="",MIN(AJ$38,$D$19)&lt;MAX($P$34*($B377+IF($R$17="Distrato",$I$38-1,0)),IF(AND($L$37=0,$P$34=0),"",$L$37-1),IF($R$17="Distrato",$E377,0))),0,YEARFRAC(MAX($P$34*($B377+IF($R$17="Distrato",$I$38-1,0)),IF(AND($L$37=0,$P$34=0),"",$L$37-1),IF($R$17="Distrato",$E377,0)),MIN(AJ$38,$D$19),$P$20))-SUM($P377:AI377)</f>
        <v>#VALUE!</v>
      </c>
      <c r="AK377" s="446" t="e">
        <f>IF(OR($B377="",MIN(AK$38,$D$19)&lt;MAX($P$34*($B377+IF($R$17="Distrato",$I$38-1,0)),IF(AND($L$37=0,$P$34=0),"",$L$37-1),IF($R$17="Distrato",$E377,0))),0,YEARFRAC(MAX($P$34*($B377+IF($R$17="Distrato",$I$38-1,0)),IF(AND($L$37=0,$P$34=0),"",$L$37-1),IF($R$17="Distrato",$E377,0)),MIN(AK$38,$D$19),$P$20))-SUM($P377:AJ377)</f>
        <v>#VALUE!</v>
      </c>
      <c r="AL377" s="446" t="e">
        <f>IF(OR($B377="",MIN(AL$38,$D$19)&lt;MAX($P$34*($B377+IF($R$17="Distrato",$I$38-1,0)),IF(AND($L$37=0,$P$34=0),"",$L$37-1),IF($R$17="Distrato",$E377,0))),0,YEARFRAC(MAX($P$34*($B377+IF($R$17="Distrato",$I$38-1,0)),IF(AND($L$37=0,$P$34=0),"",$L$37-1),IF($R$17="Distrato",$E377,0)),MIN(AL$38,$D$19),$P$20))-SUM($P377:AK377)</f>
        <v>#VALUE!</v>
      </c>
      <c r="AM377" s="446" t="e">
        <f>IF(OR($B377="",MIN(AM$38,$D$19)&lt;MAX($P$34*($B377+IF($R$17="Distrato",$I$38-1,0)),IF(AND($L$37=0,$P$34=0),"",$L$37-1),IF($R$17="Distrato",$E377,0))),0,YEARFRAC(MAX($P$34*($B377+IF($R$17="Distrato",$I$38-1,0)),IF(AND($L$37=0,$P$34=0),"",$L$37-1),IF($R$17="Distrato",$E377,0)),MIN(AM$38,$D$19),$P$20))-SUM($P377:AL377)</f>
        <v>#VALUE!</v>
      </c>
      <c r="AN377" s="446" t="e">
        <f>IF(OR($B377="",MIN(AN$38,$D$19)&lt;MAX($P$34*($B377+IF($R$17="Distrato",$I$38-1,0)),IF(AND($L$37=0,$P$34=0),"",$L$37-1),IF($R$17="Distrato",$E377,0))),0,YEARFRAC(MAX($P$34*($B377+IF($R$17="Distrato",$I$38-1,0)),IF(AND($L$37=0,$P$34=0),"",$L$37-1),IF($R$17="Distrato",$E377,0)),MIN(AN$38,$D$19),$P$20))-SUM($P377:AM377)</f>
        <v>#VALUE!</v>
      </c>
      <c r="AO377" s="446" t="e">
        <f>IF(OR($B377="",MIN(AO$38,$D$19)&lt;MAX($P$34*($B377+IF($R$17="Distrato",$I$38-1,0)),IF(AND($L$37=0,$P$34=0),"",$L$37-1),IF($R$17="Distrato",$E377,0))),0,YEARFRAC(MAX($P$34*($B377+IF($R$17="Distrato",$I$38-1,0)),IF(AND($L$37=0,$P$34=0),"",$L$37-1),IF($R$17="Distrato",$E377,0)),MIN(AO$38,$D$19),$P$20))-SUM($P377:AN377)</f>
        <v>#VALUE!</v>
      </c>
      <c r="AP377" s="446" t="e">
        <f>IF(OR($B377="",MIN(AP$38,$D$19)&lt;MAX($P$34*($B377+IF($R$17="Distrato",$I$38-1,0)),IF(AND($L$37=0,$P$34=0),"",$L$37-1),IF($R$17="Distrato",$E377,0))),0,YEARFRAC(MAX($P$34*($B377+IF($R$17="Distrato",$I$38-1,0)),IF(AND($L$37=0,$P$34=0),"",$L$37-1),IF($R$17="Distrato",$E377,0)),MIN(AP$38,$D$19),$P$20))-SUM($P377:AO377)</f>
        <v>#VALUE!</v>
      </c>
      <c r="AQ377" s="446" t="e">
        <f>IF(OR($B377="",MIN(AQ$38,$D$19)&lt;MAX($P$34*($B377+IF($R$17="Distrato",$I$38-1,0)),IF(AND($L$37=0,$P$34=0),"",$L$37-1),IF($R$17="Distrato",$E377,0))),0,YEARFRAC(MAX($P$34*($B377+IF($R$17="Distrato",$I$38-1,0)),IF(AND($L$37=0,$P$34=0),"",$L$37-1),IF($R$17="Distrato",$E377,0)),MIN(AQ$38,$D$19),$P$20))-SUM($P377:AP377)</f>
        <v>#VALUE!</v>
      </c>
      <c r="AR377" s="446" t="e">
        <f>IF(OR($B377="",MIN(AR$38,$D$19)&lt;MAX($P$34*($B377+IF($R$17="Distrato",$I$38-1,0)),IF(AND($L$37=0,$P$34=0),"",$L$37-1),IF($R$17="Distrato",$E377,0))),0,YEARFRAC(MAX($P$34*($B377+IF($R$17="Distrato",$I$38-1,0)),IF(AND($L$37=0,$P$34=0),"",$L$37-1),IF($R$17="Distrato",$E377,0)),MIN(AR$38,$D$19),$P$20))-SUM($P377:AQ377)</f>
        <v>#VALUE!</v>
      </c>
      <c r="AS377" s="446" t="e">
        <f>IF(OR($B377="",MIN(AS$38,$D$19)&lt;MAX($P$34*($B377+IF($R$17="Distrato",$I$38-1,0)),IF(AND($L$37=0,$P$34=0),"",$L$37-1),IF($R$17="Distrato",$E377,0))),0,YEARFRAC(MAX($P$34*($B377+IF($R$17="Distrato",$I$38-1,0)),IF(AND($L$37=0,$P$34=0),"",$L$37-1),IF($R$17="Distrato",$E377,0)),MIN(AS$38,$D$19),$P$20))-SUM($P377:AR377)</f>
        <v>#VALUE!</v>
      </c>
      <c r="AT377" s="446" t="e">
        <f>IF(OR($B377="",MIN(AT$38,$D$19)&lt;MAX($P$34*($B377+IF($R$17="Distrato",$I$38-1,0)),IF(AND($L$37=0,$P$34=0),"",$L$37-1),IF($R$17="Distrato",$E377,0))),0,YEARFRAC(MAX($P$34*($B377+IF($R$17="Distrato",$I$38-1,0)),IF(AND($L$37=0,$P$34=0),"",$L$37-1),IF($R$17="Distrato",$E377,0)),MIN(AT$38,$D$19),$P$20))-SUM($P377:AS377)</f>
        <v>#VALUE!</v>
      </c>
      <c r="AU377" s="446" t="e">
        <f>IF(OR($B377="",MIN(AU$38,$D$19)&lt;MAX($P$34*($B377+IF($R$17="Distrato",$I$38-1,0)),IF(AND($L$37=0,$P$34=0),"",$L$37-1),IF($R$17="Distrato",$E377,0))),0,YEARFRAC(MAX($P$34*($B377+IF($R$17="Distrato",$I$38-1,0)),IF(AND($L$37=0,$P$34=0),"",$L$37-1),IF($R$17="Distrato",$E377,0)),MIN(AU$38,$D$19),$P$20))-SUM($P377:AT377)</f>
        <v>#VALUE!</v>
      </c>
      <c r="AV377" s="446" t="e">
        <f>IF(OR($B377="",MIN(AV$38,$D$19)&lt;MAX($P$34*($B377+IF($R$17="Distrato",$I$38-1,0)),IF(AND($L$37=0,$P$34=0),"",$L$37-1),IF($R$17="Distrato",$E377,0))),0,YEARFRAC(MAX($P$34*($B377+IF($R$17="Distrato",$I$38-1,0)),IF(AND($L$37=0,$P$34=0),"",$L$37-1),IF($R$17="Distrato",$E377,0)),MIN(AV$38,$D$19),$P$20))-SUM($P377:AU377)</f>
        <v>#VALUE!</v>
      </c>
      <c r="AW377" s="446" t="e">
        <f>IF(OR($B377="",MIN(AW$38,$D$19)&lt;MAX($P$34*($B377+IF($R$17="Distrato",$I$38-1,0)),IF(AND($L$37=0,$P$34=0),"",$L$37-1),IF($R$17="Distrato",$E377,0))),0,YEARFRAC(MAX($P$34*($B377+IF($R$17="Distrato",$I$38-1,0)),IF(AND($L$37=0,$P$34=0),"",$L$37-1),IF($R$17="Distrato",$E377,0)),MIN(AW$38,$D$19),$P$20))-SUM($P377:AV377)</f>
        <v>#VALUE!</v>
      </c>
      <c r="AX377" s="446" t="e">
        <f>IF(OR($B377="",MIN(AX$38,$D$19)&lt;MAX($P$34*($B377+IF($R$17="Distrato",$I$38-1,0)),IF(AND($L$37=0,$P$34=0),"",$L$37-1),IF($R$17="Distrato",$E377,0))),0,YEARFRAC(MAX($P$34*($B377+IF($R$17="Distrato",$I$38-1,0)),IF(AND($L$37=0,$P$34=0),"",$L$37-1),IF($R$17="Distrato",$E377,0)),MIN(AX$38,$D$19),$P$20))-SUM($P377:AW377)</f>
        <v>#VALUE!</v>
      </c>
      <c r="AY377" s="446" t="e">
        <f>IF(OR($B377="",MIN(AY$38,$D$19)&lt;MAX($P$34*($B377+IF($R$17="Distrato",$I$38-1,0)),IF(AND($L$37=0,$P$34=0),"",$L$37-1),IF($R$17="Distrato",$E377,0))),0,YEARFRAC(MAX($P$34*($B377+IF($R$17="Distrato",$I$38-1,0)),IF(AND($L$37=0,$P$34=0),"",$L$37-1),IF($R$17="Distrato",$E377,0)),MIN(AY$38,$D$19),$P$20))-SUM($P377:AX377)</f>
        <v>#VALUE!</v>
      </c>
      <c r="AZ377" s="446" t="e">
        <f>IF(OR($B377="",MIN(AZ$38,$D$19)&lt;MAX($P$34*($B377+IF($R$17="Distrato",$I$38-1,0)),IF(AND($L$37=0,$P$34=0),"",$L$37-1),IF($R$17="Distrato",$E377,0))),0,YEARFRAC(MAX($P$34*($B377+IF($R$17="Distrato",$I$38-1,0)),IF(AND($L$37=0,$P$34=0),"",$L$37-1),IF($R$17="Distrato",$E377,0)),MIN(AZ$38,$D$19),$P$20))-SUM($P377:AY377)</f>
        <v>#VALUE!</v>
      </c>
      <c r="BA377" s="446" t="e">
        <f>IF(OR($B377="",MIN(BA$38,$D$19)&lt;MAX($P$34*($B377+IF($R$17="Distrato",$I$38-1,0)),IF(AND($L$37=0,$P$34=0),"",$L$37-1),IF($R$17="Distrato",$E377,0))),0,YEARFRAC(MAX($P$34*($B377+IF($R$17="Distrato",$I$38-1,0)),IF(AND($L$37=0,$P$34=0),"",$L$37-1),IF($R$17="Distrato",$E377,0)),MIN(BA$38,$D$19),$P$20))-SUM($P377:AZ377)</f>
        <v>#VALUE!</v>
      </c>
      <c r="BB377" s="447"/>
      <c r="BF377" s="446">
        <f t="shared" si="65"/>
        <v>0</v>
      </c>
      <c r="BG377" s="446">
        <f>IF($E377=0,0,IF(MIN(BG$38,$E377)&lt;MAX($P$34*($B377+$I$38-1),IF(AND($L$37=0,$P$34=0),"",$L$37-1)),0,YEARFRAC(MAX($P$34*($B377+$I$38-1),IF(AND($L$37=0,$P$34=0),"",$L$37-1)),MIN(BG$38,$E377),$P$20))-SUM($BF377:BF377))</f>
        <v>0</v>
      </c>
      <c r="BH377" s="446">
        <f>IF($E377=0,0,IF(MIN(BH$38,$E377)&lt;MAX($P$34*($B377+$I$38-1),IF(AND($L$37=0,$P$34=0),"",$L$37-1)),0,YEARFRAC(MAX($P$34*($B377+$I$38-1),IF(AND($L$37=0,$P$34=0),"",$L$37-1)),MIN(BH$38,$E377),$P$20))-SUM($BF377:BG377))</f>
        <v>0</v>
      </c>
      <c r="BI377" s="446">
        <f>IF($E377=0,0,IF(MIN(BI$38,$E377)&lt;MAX($P$34*($B377+$I$38-1),IF(AND($L$37=0,$P$34=0),"",$L$37-1)),0,YEARFRAC(MAX($P$34*($B377+$I$38-1),IF(AND($L$37=0,$P$34=0),"",$L$37-1)),MIN(BI$38,$E377),$P$20))-SUM($BF377:BH377))</f>
        <v>0</v>
      </c>
      <c r="BJ377" s="446">
        <f>IF($E377=0,0,IF(MIN(BJ$38,$E377)&lt;MAX($P$34*($B377+$I$38-1),IF(AND($L$37=0,$P$34=0),"",$L$37-1)),0,YEARFRAC(MAX($P$34*($B377+$I$38-1),IF(AND($L$37=0,$P$34=0),"",$L$37-1)),MIN(BJ$38,$E377),$P$20))-SUM($BF377:BI377))</f>
        <v>0</v>
      </c>
      <c r="BK377" s="446">
        <f>IF($E377=0,0,IF(MIN(BK$38,$E377)&lt;MAX($P$34*($B377+$I$38-1),IF(AND($L$37=0,$P$34=0),"",$L$37-1)),0,YEARFRAC(MAX($P$34*($B377+$I$38-1),IF(AND($L$37=0,$P$34=0),"",$L$37-1)),MIN(BK$38,$E377),$P$20))-SUM($BF377:BJ377))</f>
        <v>0</v>
      </c>
      <c r="BL377" s="446">
        <f>IF($E377=0,0,IF(MIN(BL$38,$E377)&lt;MAX($P$34*($B377+$I$38-1),IF(AND($L$37=0,$P$34=0),"",$L$37-1)),0,YEARFRAC(MAX($P$34*($B377+$I$38-1),IF(AND($L$37=0,$P$34=0),"",$L$37-1)),MIN(BL$38,$E377),$P$20))-SUM($BF377:BK377))</f>
        <v>0</v>
      </c>
      <c r="BM377" s="446">
        <f>IF($E377=0,0,IF(MIN(BM$38,$E377)&lt;MAX($P$34*($B377+$I$38-1),IF(AND($L$37=0,$P$34=0),"",$L$37-1)),0,YEARFRAC(MAX($P$34*($B377+$I$38-1),IF(AND($L$37=0,$P$34=0),"",$L$37-1)),MIN(BM$38,$E377),$P$20))-SUM($BF377:BL377))</f>
        <v>0</v>
      </c>
      <c r="BN377" s="446">
        <f>IF($E377=0,0,IF(MIN(BN$38,$E377)&lt;MAX($P$34*($B377+$I$38-1),IF(AND($L$37=0,$P$34=0),"",$L$37-1)),0,YEARFRAC(MAX($P$34*($B377+$I$38-1),IF(AND($L$37=0,$P$34=0),"",$L$37-1)),MIN(BN$38,$E377),$P$20))-SUM($BF377:BM377))</f>
        <v>0</v>
      </c>
      <c r="BO377" s="446">
        <f>IF($E377=0,0,IF(MIN(BO$38,$E377)&lt;MAX($P$34*($B377+$I$38-1),IF(AND($L$37=0,$P$34=0),"",$L$37-1)),0,YEARFRAC(MAX($P$34*($B377+$I$38-1),IF(AND($L$37=0,$P$34=0),"",$L$37-1)),MIN(BO$38,$E377),$P$20))-SUM($BF377:BN377))</f>
        <v>0</v>
      </c>
      <c r="BP377" s="446">
        <f>IF($E377=0,0,IF(MIN(BP$38,$E377)&lt;MAX($P$34*($B377+$I$38-1),IF(AND($L$37=0,$P$34=0),"",$L$37-1)),0,YEARFRAC(MAX($P$34*($B377+$I$38-1),IF(AND($L$37=0,$P$34=0),"",$L$37-1)),MIN(BP$38,$E377),$P$20))-SUM($BF377:BO377))</f>
        <v>0</v>
      </c>
      <c r="BQ377" s="446">
        <f>IF($E377=0,0,IF(MIN(BQ$38,$E377)&lt;MAX($P$34*($B377+$I$38-1),IF(AND($L$37=0,$P$34=0),"",$L$37-1)),0,YEARFRAC(MAX($P$34*($B377+$I$38-1),IF(AND($L$37=0,$P$34=0),"",$L$37-1)),MIN(BQ$38,$E377),$P$20))-SUM($BF377:BP377))</f>
        <v>0</v>
      </c>
      <c r="BR377" s="446">
        <f>IF($E377=0,0,IF(MIN(BR$38,$E377)&lt;MAX($P$34*($B377+$I$38-1),IF(AND($L$37=0,$P$34=0),"",$L$37-1)),0,YEARFRAC(MAX($P$34*($B377+$I$38-1),IF(AND($L$37=0,$P$34=0),"",$L$37-1)),MIN(BR$38,$E377),$P$20))-SUM($BF377:BQ377))</f>
        <v>0</v>
      </c>
      <c r="BS377" s="446">
        <f>IF($E377=0,0,IF(MIN(BS$38,$E377)&lt;MAX($P$34*($B377+$I$38-1),IF(AND($L$37=0,$P$34=0),"",$L$37-1)),0,YEARFRAC(MAX($P$34*($B377+$I$38-1),IF(AND($L$37=0,$P$34=0),"",$L$37-1)),MIN(BS$38,$E377),$P$20))-SUM($BF377:BR377))</f>
        <v>0</v>
      </c>
      <c r="BT377" s="446">
        <f>IF($E377=0,0,IF(MIN(BT$38,$E377)&lt;MAX($P$34*($B377+$I$38-1),IF(AND($L$37=0,$P$34=0),"",$L$37-1)),0,YEARFRAC(MAX($P$34*($B377+$I$38-1),IF(AND($L$37=0,$P$34=0),"",$L$37-1)),MIN(BT$38,$E377),$P$20))-SUM($BF377:BS377))</f>
        <v>0</v>
      </c>
      <c r="BU377" s="446">
        <f>IF($E377=0,0,IF(MIN(BU$38,$E377)&lt;MAX($P$34*($B377+$I$38-1),IF(AND($L$37=0,$P$34=0),"",$L$37-1)),0,YEARFRAC(MAX($P$34*($B377+$I$38-1),IF(AND($L$37=0,$P$34=0),"",$L$37-1)),MIN(BU$38,$E377),$P$20))-SUM($BF377:BT377))</f>
        <v>0</v>
      </c>
      <c r="BV377" s="446">
        <f>IF($E377=0,0,IF(MIN(BV$38,$E377)&lt;MAX($P$34*($B377+$I$38-1),IF(AND($L$37=0,$P$34=0),"",$L$37-1)),0,YEARFRAC(MAX($P$34*($B377+$I$38-1),IF(AND($L$37=0,$P$34=0),"",$L$37-1)),MIN(BV$38,$E377),$P$20))-SUM($BF377:BU377))</f>
        <v>0</v>
      </c>
      <c r="BW377" s="446">
        <f>IF($E377=0,0,IF(MIN(BW$38,$E377)&lt;MAX($P$34*($B377+$I$38-1),IF(AND($L$37=0,$P$34=0),"",$L$37-1)),0,YEARFRAC(MAX($P$34*($B377+$I$38-1),IF(AND($L$37=0,$P$34=0),"",$L$37-1)),MIN(BW$38,$E377),$P$20))-SUM($BF377:BV377))</f>
        <v>0</v>
      </c>
      <c r="BX377" s="446">
        <f>IF($E377=0,0,IF(MIN(BX$38,$E377)&lt;MAX($P$34*($B377+$I$38-1),IF(AND($L$37=0,$P$34=0),"",$L$37-1)),0,YEARFRAC(MAX($P$34*($B377+$I$38-1),IF(AND($L$37=0,$P$34=0),"",$L$37-1)),MIN(BX$38,$E377),$P$20))-SUM($BF377:BW377))</f>
        <v>0</v>
      </c>
      <c r="BY377" s="446">
        <f>IF($E377=0,0,IF(MIN(BY$38,$E377)&lt;MAX($P$34*($B377+$I$38-1),IF(AND($L$37=0,$P$34=0),"",$L$37-1)),0,YEARFRAC(MAX($P$34*($B377+$I$38-1),IF(AND($L$37=0,$P$34=0),"",$L$37-1)),MIN(BY$38,$E377),$P$20))-SUM($BF377:BX377))</f>
        <v>0</v>
      </c>
      <c r="BZ377" s="446">
        <f>IF($E377=0,0,IF(MIN(BZ$38,$E377)&lt;MAX($P$34*($B377+$I$38-1),IF(AND($L$37=0,$P$34=0),"",$L$37-1)),0,YEARFRAC(MAX($P$34*($B377+$I$38-1),IF(AND($L$37=0,$P$34=0),"",$L$37-1)),MIN(BZ$38,$E377),$P$20))-SUM($BF377:BY377))</f>
        <v>0</v>
      </c>
      <c r="CA377" s="446">
        <f>IF($E377=0,0,IF(MIN(CA$38,$E377)&lt;MAX($P$34*($B377+$I$38-1),IF(AND($L$37=0,$P$34=0),"",$L$37-1)),0,YEARFRAC(MAX($P$34*($B377+$I$38-1),IF(AND($L$37=0,$P$34=0),"",$L$37-1)),MIN(CA$38,$E377),$P$20))-SUM($BF377:BZ377))</f>
        <v>0</v>
      </c>
      <c r="CB377" s="446">
        <f>IF($E377=0,0,IF(MIN(CB$38,$E377)&lt;MAX($P$34*($B377+$I$38-1),IF(AND($L$37=0,$P$34=0),"",$L$37-1)),0,YEARFRAC(MAX($P$34*($B377+$I$38-1),IF(AND($L$37=0,$P$34=0),"",$L$37-1)),MIN(CB$38,$E377),$P$20))-SUM($BF377:CA377))</f>
        <v>0</v>
      </c>
      <c r="CC377" s="446">
        <f>IF($E377=0,0,IF(MIN(CC$38,$E377)&lt;MAX($P$34*($B377+$I$38-1),IF(AND($L$37=0,$P$34=0),"",$L$37-1)),0,YEARFRAC(MAX($P$34*($B377+$I$38-1),IF(AND($L$37=0,$P$34=0),"",$L$37-1)),MIN(CC$38,$E377),$P$20))-SUM($BF377:CB377))</f>
        <v>0</v>
      </c>
      <c r="CD377" s="446">
        <f>IF($E377=0,0,IF(MIN(CD$38,$E377)&lt;MAX($P$34*($B377+$I$38-1),IF(AND($L$37=0,$P$34=0),"",$L$37-1)),0,YEARFRAC(MAX($P$34*($B377+$I$38-1),IF(AND($L$37=0,$P$34=0),"",$L$37-1)),MIN(CD$38,$E377),$P$20))-SUM($BF377:CC377))</f>
        <v>0</v>
      </c>
      <c r="CE377" s="446">
        <f>IF($E377=0,0,IF(MIN(CE$38,$E377)&lt;MAX($P$34*($B377+$I$38-1),IF(AND($L$37=0,$P$34=0),"",$L$37-1)),0,YEARFRAC(MAX($P$34*($B377+$I$38-1),IF(AND($L$37=0,$P$34=0),"",$L$37-1)),MIN(CE$38,$E377),$P$20))-SUM($BF377:CD377))</f>
        <v>0</v>
      </c>
      <c r="CF377" s="446">
        <f>IF($E377=0,0,IF(MIN(CF$38,$E377)&lt;MAX($P$34*($B377+$I$38-1),IF(AND($L$37=0,$P$34=0),"",$L$37-1)),0,YEARFRAC(MAX($P$34*($B377+$I$38-1),IF(AND($L$37=0,$P$34=0),"",$L$37-1)),MIN(CF$38,$E377),$P$20))-SUM($BF377:CE377))</f>
        <v>0</v>
      </c>
      <c r="CG377" s="446">
        <f>IF($E377=0,0,IF(MIN(CG$38,$E377)&lt;MAX($P$34*($B377+$I$38-1),IF(AND($L$37=0,$P$34=0),"",$L$37-1)),0,YEARFRAC(MAX($P$34*($B377+$I$38-1),IF(AND($L$37=0,$P$34=0),"",$L$37-1)),MIN(CG$38,$E377),$P$20))-SUM($BF377:CF377))</f>
        <v>0</v>
      </c>
      <c r="CH377" s="446">
        <f>IF($E377=0,0,IF(MIN(CH$38,$E377)&lt;MAX($P$34*($B377+$I$38-1),IF(AND($L$37=0,$P$34=0),"",$L$37-1)),0,YEARFRAC(MAX($P$34*($B377+$I$38-1),IF(AND($L$37=0,$P$34=0),"",$L$37-1)),MIN(CH$38,$E377),$P$20))-SUM($BF377:CG377))</f>
        <v>0</v>
      </c>
      <c r="CI377" s="446">
        <f>IF($E377=0,0,IF(MIN(CI$38,$E377)&lt;MAX($P$34*($B377+$I$38-1),IF(AND($L$37=0,$P$34=0),"",$L$37-1)),0,YEARFRAC(MAX($P$34*($B377+$I$38-1),IF(AND($L$37=0,$P$34=0),"",$L$37-1)),MIN(CI$38,$E377),$P$20))-SUM($BF377:CH377))</f>
        <v>0</v>
      </c>
      <c r="CJ377" s="446">
        <f>IF($E377=0,0,IF(MIN(CJ$38,$E377)&lt;MAX($P$34*($B377+$I$38-1),IF(AND($L$37=0,$P$34=0),"",$L$37-1)),0,YEARFRAC(MAX($P$34*($B377+$I$38-1),IF(AND($L$37=0,$P$34=0),"",$L$37-1)),MIN(CJ$38,$E377),$P$20))-SUM($BF377:CI377))</f>
        <v>0</v>
      </c>
      <c r="CK377" s="446">
        <f>IF($E377=0,0,IF(MIN(CK$38,$E377)&lt;MAX($P$34*($B377+$I$38-1),IF(AND($L$37=0,$P$34=0),"",$L$37-1)),0,YEARFRAC(MAX($P$34*($B377+$I$38-1),IF(AND($L$37=0,$P$34=0),"",$L$37-1)),MIN(CK$38,$E377),$P$20))-SUM($BF377:CJ377))</f>
        <v>0</v>
      </c>
      <c r="CL377" s="446">
        <f>IF($E377=0,0,IF(MIN(CL$38,$E377)&lt;MAX($P$34*($B377+$I$38-1),IF(AND($L$37=0,$P$34=0),"",$L$37-1)),0,YEARFRAC(MAX($P$34*($B377+$I$38-1),IF(AND($L$37=0,$P$34=0),"",$L$37-1)),MIN(CL$38,$E377),$P$20))-SUM($BF377:CK377))</f>
        <v>0</v>
      </c>
      <c r="CM377" s="446">
        <f>IF($E377=0,0,IF(MIN(CM$38,$E377)&lt;MAX($P$34*($B377+$I$38-1),IF(AND($L$37=0,$P$34=0),"",$L$37-1)),0,YEARFRAC(MAX($P$34*($B377+$I$38-1),IF(AND($L$37=0,$P$34=0),"",$L$37-1)),MIN(CM$38,$E377),$P$20))-SUM($BF377:CL377))</f>
        <v>0</v>
      </c>
      <c r="CN377" s="446">
        <f>IF($E377=0,0,IF(MIN(CN$38,$E377)&lt;MAX($P$34*($B377+$I$38-1),IF(AND($L$37=0,$P$34=0),"",$L$37-1)),0,YEARFRAC(MAX($P$34*($B377+$I$38-1),IF(AND($L$37=0,$P$34=0),"",$L$37-1)),MIN(CN$38,$E377),$P$20))-SUM($BF377:CM377))</f>
        <v>0</v>
      </c>
      <c r="CO377" s="446">
        <f>IF($E377=0,0,IF(MIN(CO$38,$E377)&lt;MAX($P$34*($B377+$I$38-1),IF(AND($L$37=0,$P$34=0),"",$L$37-1)),0,YEARFRAC(MAX($P$34*($B377+$I$38-1),IF(AND($L$37=0,$P$34=0),"",$L$37-1)),MIN(CO$38,$E377),$P$20))-SUM($BF377:CN377))</f>
        <v>0</v>
      </c>
      <c r="CP377" s="446">
        <f>IF($E377=0,0,IF(MIN(CP$38,$E377)&lt;MAX($P$34*($B377+$I$38-1),IF(AND($L$37=0,$P$34=0),"",$L$37-1)),0,YEARFRAC(MAX($P$34*($B377+$I$38-1),IF(AND($L$37=0,$P$34=0),"",$L$37-1)),MIN(CP$38,$E377),$P$20))-SUM($BF377:CO377))</f>
        <v>0</v>
      </c>
      <c r="CQ377" s="446">
        <f>IF($E377=0,0,IF(MIN(CQ$38,$E377)&lt;MAX($P$34*($B377+$I$38-1),IF(AND($L$37=0,$P$34=0),"",$L$37-1)),0,YEARFRAC(MAX($P$34*($B377+$I$38-1),IF(AND($L$37=0,$P$34=0),"",$L$37-1)),MIN(CQ$38,$E377),$P$20))-SUM($BF377:CP377))</f>
        <v>0</v>
      </c>
    </row>
    <row r="378" spans="1:95" s="446" customFormat="1" ht="11.25" hidden="1" customHeight="1" x14ac:dyDescent="0.2">
      <c r="A378" s="152"/>
      <c r="B378" s="153" t="str">
        <f t="shared" si="70"/>
        <v/>
      </c>
      <c r="C378" s="29" t="str">
        <f>IF(B378="","",IF($L$35="SELIC - TRIBUTOS",VLOOKUP(DATE(YEAR($D$19),MONTH($D$19)-1,1),ÍNDICES!$A:$DE,HLOOKUP($BL$25,ÍNDICES!$B$3:$T$4,2)+11)-VLOOKUP(B378,ÍNDICES!$A:$DE,HLOOKUP($BL$25,ÍNDICES!$B$3:$T$4,2)+11)+1%,IF(C$38=$W$26,$J$35,IF(ISERROR(IF(B378&gt;$D$19,1,VLOOKUP(DATE(YEAR(B378),MONTH(B378)+IF($C$35=$S$23,1,0),1),ÍNDICES!$A:$DE,$Z$35+1))),"",IF(B378&gt;$D$19,1,VLOOKUP(DATE(YEAR(B378),MONTH(B378)+IF($C$35=$S$23,1,0),1),ÍNDICES!$A:$DE,$Z$35+1))))))</f>
        <v/>
      </c>
      <c r="D378" s="154" t="str">
        <f>IF(ISERROR(IF(OR($D$38=$Y$27,$B378=""),"",VLOOKUP(B378,ÍNDICES!A:DE,AF$35+1))),"",IF(OR($D$38=$Y$27,$B378=""),"",VLOOKUP(B378,ÍNDICES!A:DE,AF$35+1)))</f>
        <v/>
      </c>
      <c r="E378" s="153"/>
      <c r="F378" s="29" t="str">
        <f>IF(E378="","",IF($L$35="SELIC - TRIBUTOS",VLOOKUP(DATE(YEAR($D$19),MONTH($D$19)-1,1),ÍNDICES!$A:$DE,HLOOKUP($BL$25,ÍNDICES!$B$3:$T$4,2)+11)-VLOOKUP(E378,ÍNDICES!$A:$DE,HLOOKUP($BL$25,ÍNDICES!$B$3:$T$4,2)+11)+1%,IF(F$38=$W$26,$J$35,IF(ISERROR(IF(E378&gt;$D$19,1,VLOOKUP(DATE(YEAR(E378),MONTH(E378)+IF($C$35=$S$23,1,0),1),ÍNDICES!$A:$DE,$Z$35+1))),"",IF(E378&gt;$D$19,1,VLOOKUP(DATE(YEAR(E378),MONTH(E378)+IF($C$35=$S$23,1,0),1),ÍNDICES!$A:$DE,$Z$35+1))))))</f>
        <v/>
      </c>
      <c r="G378" s="155"/>
      <c r="H378" s="156" t="str">
        <f t="shared" si="66"/>
        <v/>
      </c>
      <c r="I378" s="29" t="str">
        <f t="shared" si="60"/>
        <v/>
      </c>
      <c r="J378" s="5">
        <f t="shared" si="61"/>
        <v>0</v>
      </c>
      <c r="K378" s="20">
        <f t="shared" ca="1" si="62"/>
        <v>0</v>
      </c>
      <c r="L378" s="5">
        <f t="shared" ca="1" si="63"/>
        <v>0</v>
      </c>
      <c r="M378" s="64">
        <f t="shared" si="67"/>
        <v>0</v>
      </c>
      <c r="N378" s="61">
        <f t="shared" ca="1" si="68"/>
        <v>0</v>
      </c>
      <c r="O378" s="5">
        <f t="shared" ca="1" si="69"/>
        <v>0</v>
      </c>
      <c r="P378" s="446" t="e">
        <f t="shared" si="64"/>
        <v>#VALUE!</v>
      </c>
      <c r="Q378" s="446" t="e">
        <f>IF(OR($B378="",MIN(Q$38,$D$19)&lt;MAX($P$34*($B378+IF($R$17="Distrato",$I$38-1,0)),IF(AND($L$37=0,$P$34=0),"",$L$37-1),IF($R$17="Distrato",$E378,0))),0,YEARFRAC(MAX($P$34*($B378+IF($R$17="Distrato",$I$38-1,0)),IF(AND($L$37=0,$P$34=0),"",$L$37-1),IF($R$17="Distrato",$E378,0)),MIN(Q$38,$D$19),$P$20))-SUM($P378:P378)</f>
        <v>#VALUE!</v>
      </c>
      <c r="R378" s="446" t="e">
        <f>IF(OR($B378="",MIN(R$38,$D$19)&lt;MAX($P$34*($B378+IF($R$17="Distrato",$I$38-1,0)),IF(AND($L$37=0,$P$34=0),"",$L$37-1),IF($R$17="Distrato",$E378,0))),0,YEARFRAC(MAX($P$34*($B378+IF($R$17="Distrato",$I$38-1,0)),IF(AND($L$37=0,$P$34=0),"",$L$37-1),IF($R$17="Distrato",$E378,0)),MIN(R$38,$D$19),$P$20))-SUM($P378:Q378)</f>
        <v>#VALUE!</v>
      </c>
      <c r="S378" s="446" t="e">
        <f>IF(OR($B378="",MIN(S$38,$D$19)&lt;MAX($P$34*($B378+IF($R$17="Distrato",$I$38-1,0)),IF(AND($L$37=0,$P$34=0),"",$L$37-1),IF($R$17="Distrato",$E378,0))),0,YEARFRAC(MAX($P$34*($B378+IF($R$17="Distrato",$I$38-1,0)),IF(AND($L$37=0,$P$34=0),"",$L$37-1),IF($R$17="Distrato",$E378,0)),MIN(S$38,$D$19),$P$20))-SUM($P378:R378)</f>
        <v>#VALUE!</v>
      </c>
      <c r="T378" s="446" t="e">
        <f>IF(OR($B378="",MIN(T$38,$D$19)&lt;MAX($P$34*($B378+IF($R$17="Distrato",$I$38-1,0)),IF(AND($L$37=0,$P$34=0),"",$L$37-1),IF($R$17="Distrato",$E378,0))),0,YEARFRAC(MAX($P$34*($B378+IF($R$17="Distrato",$I$38-1,0)),IF(AND($L$37=0,$P$34=0),"",$L$37-1),IF($R$17="Distrato",$E378,0)),MIN(T$38,$D$19),$P$20))-SUM($P378:S378)</f>
        <v>#VALUE!</v>
      </c>
      <c r="U378" s="446" t="e">
        <f>IF(OR($B378="",MIN(U$38,$D$19)&lt;MAX($P$34*($B378+IF($R$17="Distrato",$I$38-1,0)),IF(AND($L$37=0,$P$34=0),"",$L$37-1),IF($R$17="Distrato",$E378,0))),0,YEARFRAC(MAX($P$34*($B378+IF($R$17="Distrato",$I$38-1,0)),IF(AND($L$37=0,$P$34=0),"",$L$37-1),IF($R$17="Distrato",$E378,0)),MIN(U$38,$D$19),$P$20))-SUM($P378:T378)</f>
        <v>#VALUE!</v>
      </c>
      <c r="V378" s="446" t="e">
        <f>IF(OR($B378="",MIN(V$38,$D$19)&lt;MAX($P$34*($B378+IF($R$17="Distrato",$I$38-1,0)),IF(AND($L$37=0,$P$34=0),"",$L$37-1),IF($R$17="Distrato",$E378,0))),0,YEARFRAC(MAX($P$34*($B378+IF($R$17="Distrato",$I$38-1,0)),IF(AND($L$37=0,$P$34=0),"",$L$37-1),IF($R$17="Distrato",$E378,0)),MIN(V$38,$D$19),$P$20))-SUM($P378:U378)</f>
        <v>#VALUE!</v>
      </c>
      <c r="W378" s="446" t="e">
        <f>IF(OR($B378="",MIN(W$38,$D$19)&lt;MAX($P$34*($B378+IF($R$17="Distrato",$I$38-1,0)),IF(AND($L$37=0,$P$34=0),"",$L$37-1),IF($R$17="Distrato",$E378,0))),0,YEARFRAC(MAX($P$34*($B378+IF($R$17="Distrato",$I$38-1,0)),IF(AND($L$37=0,$P$34=0),"",$L$37-1),IF($R$17="Distrato",$E378,0)),MIN(W$38,$D$19),$P$20))-SUM($P378:V378)</f>
        <v>#VALUE!</v>
      </c>
      <c r="X378" s="446" t="e">
        <f>IF(OR($B378="",MIN(X$38,$D$19)&lt;MAX($P$34*($B378+IF($R$17="Distrato",$I$38-1,0)),IF(AND($L$37=0,$P$34=0),"",$L$37-1),IF($R$17="Distrato",$E378,0))),0,YEARFRAC(MAX($P$34*($B378+IF($R$17="Distrato",$I$38-1,0)),IF(AND($L$37=0,$P$34=0),"",$L$37-1),IF($R$17="Distrato",$E378,0)),MIN(X$38,$D$19),$P$20))-SUM($P378:W378)</f>
        <v>#VALUE!</v>
      </c>
      <c r="Y378" s="446" t="e">
        <f>IF(OR($B378="",MIN(Y$38,$D$19)&lt;MAX($P$34*($B378+IF($R$17="Distrato",$I$38-1,0)),IF(AND($L$37=0,$P$34=0),"",$L$37-1),IF($R$17="Distrato",$E378,0))),0,YEARFRAC(MAX($P$34*($B378+IF($R$17="Distrato",$I$38-1,0)),IF(AND($L$37=0,$P$34=0),"",$L$37-1),IF($R$17="Distrato",$E378,0)),MIN(Y$38,$D$19),$P$20))-SUM($P378:X378)</f>
        <v>#VALUE!</v>
      </c>
      <c r="Z378" s="446" t="e">
        <f>IF(OR($B378="",MIN(Z$38,$D$19)&lt;MAX($P$34*($B378+IF($R$17="Distrato",$I$38-1,0)),IF(AND($L$37=0,$P$34=0),"",$L$37-1),IF($R$17="Distrato",$E378,0))),0,YEARFRAC(MAX($P$34*($B378+IF($R$17="Distrato",$I$38-1,0)),IF(AND($L$37=0,$P$34=0),"",$L$37-1),IF($R$17="Distrato",$E378,0)),MIN(Z$38,$D$19),$P$20))-SUM($P378:Y378)</f>
        <v>#VALUE!</v>
      </c>
      <c r="AA378" s="446" t="e">
        <f>IF(OR($B378="",MIN(AA$38,$D$19)&lt;MAX($P$34*($B378+IF($R$17="Distrato",$I$38-1,0)),IF(AND($L$37=0,$P$34=0),"",$L$37-1),IF($R$17="Distrato",$E378,0))),0,YEARFRAC(MAX($P$34*($B378+IF($R$17="Distrato",$I$38-1,0)),IF(AND($L$37=0,$P$34=0),"",$L$37-1),IF($R$17="Distrato",$E378,0)),MIN(AA$38,$D$19),$P$20))-SUM($P378:Z378)</f>
        <v>#VALUE!</v>
      </c>
      <c r="AB378" s="446" t="e">
        <f>IF(OR($B378="",MIN(AB$38,$D$19)&lt;MAX($P$34*($B378+IF($R$17="Distrato",$I$38-1,0)),IF(AND($L$37=0,$P$34=0),"",$L$37-1),IF($R$17="Distrato",$E378,0))),0,YEARFRAC(MAX($P$34*($B378+IF($R$17="Distrato",$I$38-1,0)),IF(AND($L$37=0,$P$34=0),"",$L$37-1),IF($R$17="Distrato",$E378,0)),MIN(AB$38,$D$19),$P$20))-SUM($P378:AA378)</f>
        <v>#VALUE!</v>
      </c>
      <c r="AC378" s="446" t="e">
        <f>IF(OR($B378="",MIN(AC$38,$D$19)&lt;MAX($P$34*($B378+IF($R$17="Distrato",$I$38-1,0)),IF(AND($L$37=0,$P$34=0),"",$L$37-1),IF($R$17="Distrato",$E378,0))),0,YEARFRAC(MAX($P$34*($B378+IF($R$17="Distrato",$I$38-1,0)),IF(AND($L$37=0,$P$34=0),"",$L$37-1),IF($R$17="Distrato",$E378,0)),MIN(AC$38,$D$19),$P$20))-SUM($P378:AB378)</f>
        <v>#VALUE!</v>
      </c>
      <c r="AD378" s="446" t="e">
        <f>IF(OR($B378="",MIN(AD$38,$D$19)&lt;MAX($P$34*($B378+IF($R$17="Distrato",$I$38-1,0)),IF(AND($L$37=0,$P$34=0),"",$L$37-1),IF($R$17="Distrato",$E378,0))),0,YEARFRAC(MAX($P$34*($B378+IF($R$17="Distrato",$I$38-1,0)),IF(AND($L$37=0,$P$34=0),"",$L$37-1),IF($R$17="Distrato",$E378,0)),MIN(AD$38,$D$19),$P$20))-SUM($P378:AC378)</f>
        <v>#VALUE!</v>
      </c>
      <c r="AE378" s="446" t="e">
        <f>IF(OR($B378="",MIN(AE$38,$D$19)&lt;MAX($P$34*($B378+IF($R$17="Distrato",$I$38-1,0)),IF(AND($L$37=0,$P$34=0),"",$L$37-1),IF($R$17="Distrato",$E378,0))),0,YEARFRAC(MAX($P$34*($B378+IF($R$17="Distrato",$I$38-1,0)),IF(AND($L$37=0,$P$34=0),"",$L$37-1),IF($R$17="Distrato",$E378,0)),MIN(AE$38,$D$19),$P$20))-SUM($P378:AD378)</f>
        <v>#VALUE!</v>
      </c>
      <c r="AF378" s="446" t="e">
        <f>IF(OR($B378="",MIN(AF$38,$D$19)&lt;MAX($P$34*($B378+IF($R$17="Distrato",$I$38-1,0)),IF(AND($L$37=0,$P$34=0),"",$L$37-1),IF($R$17="Distrato",$E378,0))),0,YEARFRAC(MAX($P$34*($B378+IF($R$17="Distrato",$I$38-1,0)),IF(AND($L$37=0,$P$34=0),"",$L$37-1),IF($R$17="Distrato",$E378,0)),MIN(AF$38,$D$19),$P$20))-SUM($P378:AE378)</f>
        <v>#VALUE!</v>
      </c>
      <c r="AG378" s="446" t="e">
        <f>IF(OR($B378="",MIN(AG$38,$D$19)&lt;MAX($P$34*($B378+IF($R$17="Distrato",$I$38-1,0)),IF(AND($L$37=0,$P$34=0),"",$L$37-1),IF($R$17="Distrato",$E378,0))),0,YEARFRAC(MAX($P$34*($B378+IF($R$17="Distrato",$I$38-1,0)),IF(AND($L$37=0,$P$34=0),"",$L$37-1),IF($R$17="Distrato",$E378,0)),MIN(AG$38,$D$19),$P$20))-SUM($P378:AF378)</f>
        <v>#VALUE!</v>
      </c>
      <c r="AH378" s="446" t="e">
        <f>IF(OR($B378="",MIN(AH$38,$D$19)&lt;MAX($P$34*($B378+IF($R$17="Distrato",$I$38-1,0)),IF(AND($L$37=0,$P$34=0),"",$L$37-1),IF($R$17="Distrato",$E378,0))),0,YEARFRAC(MAX($P$34*($B378+IF($R$17="Distrato",$I$38-1,0)),IF(AND($L$37=0,$P$34=0),"",$L$37-1),IF($R$17="Distrato",$E378,0)),MIN(AH$38,$D$19),$P$20))-SUM($P378:AG378)</f>
        <v>#VALUE!</v>
      </c>
      <c r="AI378" s="446" t="e">
        <f>IF(OR($B378="",MIN(AI$38,$D$19)&lt;MAX($P$34*($B378+IF($R$17="Distrato",$I$38-1,0)),IF(AND($L$37=0,$P$34=0),"",$L$37-1),IF($R$17="Distrato",$E378,0))),0,YEARFRAC(MAX($P$34*($B378+IF($R$17="Distrato",$I$38-1,0)),IF(AND($L$37=0,$P$34=0),"",$L$37-1),IF($R$17="Distrato",$E378,0)),MIN(AI$38,$D$19),$P$20))-SUM($P378:AH378)</f>
        <v>#VALUE!</v>
      </c>
      <c r="AJ378" s="446" t="e">
        <f>IF(OR($B378="",MIN(AJ$38,$D$19)&lt;MAX($P$34*($B378+IF($R$17="Distrato",$I$38-1,0)),IF(AND($L$37=0,$P$34=0),"",$L$37-1),IF($R$17="Distrato",$E378,0))),0,YEARFRAC(MAX($P$34*($B378+IF($R$17="Distrato",$I$38-1,0)),IF(AND($L$37=0,$P$34=0),"",$L$37-1),IF($R$17="Distrato",$E378,0)),MIN(AJ$38,$D$19),$P$20))-SUM($P378:AI378)</f>
        <v>#VALUE!</v>
      </c>
      <c r="AK378" s="446" t="e">
        <f>IF(OR($B378="",MIN(AK$38,$D$19)&lt;MAX($P$34*($B378+IF($R$17="Distrato",$I$38-1,0)),IF(AND($L$37=0,$P$34=0),"",$L$37-1),IF($R$17="Distrato",$E378,0))),0,YEARFRAC(MAX($P$34*($B378+IF($R$17="Distrato",$I$38-1,0)),IF(AND($L$37=0,$P$34=0),"",$L$37-1),IF($R$17="Distrato",$E378,0)),MIN(AK$38,$D$19),$P$20))-SUM($P378:AJ378)</f>
        <v>#VALUE!</v>
      </c>
      <c r="AL378" s="446" t="e">
        <f>IF(OR($B378="",MIN(AL$38,$D$19)&lt;MAX($P$34*($B378+IF($R$17="Distrato",$I$38-1,0)),IF(AND($L$37=0,$P$34=0),"",$L$37-1),IF($R$17="Distrato",$E378,0))),0,YEARFRAC(MAX($P$34*($B378+IF($R$17="Distrato",$I$38-1,0)),IF(AND($L$37=0,$P$34=0),"",$L$37-1),IF($R$17="Distrato",$E378,0)),MIN(AL$38,$D$19),$P$20))-SUM($P378:AK378)</f>
        <v>#VALUE!</v>
      </c>
      <c r="AM378" s="446" t="e">
        <f>IF(OR($B378="",MIN(AM$38,$D$19)&lt;MAX($P$34*($B378+IF($R$17="Distrato",$I$38-1,0)),IF(AND($L$37=0,$P$34=0),"",$L$37-1),IF($R$17="Distrato",$E378,0))),0,YEARFRAC(MAX($P$34*($B378+IF($R$17="Distrato",$I$38-1,0)),IF(AND($L$37=0,$P$34=0),"",$L$37-1),IF($R$17="Distrato",$E378,0)),MIN(AM$38,$D$19),$P$20))-SUM($P378:AL378)</f>
        <v>#VALUE!</v>
      </c>
      <c r="AN378" s="446" t="e">
        <f>IF(OR($B378="",MIN(AN$38,$D$19)&lt;MAX($P$34*($B378+IF($R$17="Distrato",$I$38-1,0)),IF(AND($L$37=0,$P$34=0),"",$L$37-1),IF($R$17="Distrato",$E378,0))),0,YEARFRAC(MAX($P$34*($B378+IF($R$17="Distrato",$I$38-1,0)),IF(AND($L$37=0,$P$34=0),"",$L$37-1),IF($R$17="Distrato",$E378,0)),MIN(AN$38,$D$19),$P$20))-SUM($P378:AM378)</f>
        <v>#VALUE!</v>
      </c>
      <c r="AO378" s="446" t="e">
        <f>IF(OR($B378="",MIN(AO$38,$D$19)&lt;MAX($P$34*($B378+IF($R$17="Distrato",$I$38-1,0)),IF(AND($L$37=0,$P$34=0),"",$L$37-1),IF($R$17="Distrato",$E378,0))),0,YEARFRAC(MAX($P$34*($B378+IF($R$17="Distrato",$I$38-1,0)),IF(AND($L$37=0,$P$34=0),"",$L$37-1),IF($R$17="Distrato",$E378,0)),MIN(AO$38,$D$19),$P$20))-SUM($P378:AN378)</f>
        <v>#VALUE!</v>
      </c>
      <c r="AP378" s="446" t="e">
        <f>IF(OR($B378="",MIN(AP$38,$D$19)&lt;MAX($P$34*($B378+IF($R$17="Distrato",$I$38-1,0)),IF(AND($L$37=0,$P$34=0),"",$L$37-1),IF($R$17="Distrato",$E378,0))),0,YEARFRAC(MAX($P$34*($B378+IF($R$17="Distrato",$I$38-1,0)),IF(AND($L$37=0,$P$34=0),"",$L$37-1),IF($R$17="Distrato",$E378,0)),MIN(AP$38,$D$19),$P$20))-SUM($P378:AO378)</f>
        <v>#VALUE!</v>
      </c>
      <c r="AQ378" s="446" t="e">
        <f>IF(OR($B378="",MIN(AQ$38,$D$19)&lt;MAX($P$34*($B378+IF($R$17="Distrato",$I$38-1,0)),IF(AND($L$37=0,$P$34=0),"",$L$37-1),IF($R$17="Distrato",$E378,0))),0,YEARFRAC(MAX($P$34*($B378+IF($R$17="Distrato",$I$38-1,0)),IF(AND($L$37=0,$P$34=0),"",$L$37-1),IF($R$17="Distrato",$E378,0)),MIN(AQ$38,$D$19),$P$20))-SUM($P378:AP378)</f>
        <v>#VALUE!</v>
      </c>
      <c r="AR378" s="446" t="e">
        <f>IF(OR($B378="",MIN(AR$38,$D$19)&lt;MAX($P$34*($B378+IF($R$17="Distrato",$I$38-1,0)),IF(AND($L$37=0,$P$34=0),"",$L$37-1),IF($R$17="Distrato",$E378,0))),0,YEARFRAC(MAX($P$34*($B378+IF($R$17="Distrato",$I$38-1,0)),IF(AND($L$37=0,$P$34=0),"",$L$37-1),IF($R$17="Distrato",$E378,0)),MIN(AR$38,$D$19),$P$20))-SUM($P378:AQ378)</f>
        <v>#VALUE!</v>
      </c>
      <c r="AS378" s="446" t="e">
        <f>IF(OR($B378="",MIN(AS$38,$D$19)&lt;MAX($P$34*($B378+IF($R$17="Distrato",$I$38-1,0)),IF(AND($L$37=0,$P$34=0),"",$L$37-1),IF($R$17="Distrato",$E378,0))),0,YEARFRAC(MAX($P$34*($B378+IF($R$17="Distrato",$I$38-1,0)),IF(AND($L$37=0,$P$34=0),"",$L$37-1),IF($R$17="Distrato",$E378,0)),MIN(AS$38,$D$19),$P$20))-SUM($P378:AR378)</f>
        <v>#VALUE!</v>
      </c>
      <c r="AT378" s="446" t="e">
        <f>IF(OR($B378="",MIN(AT$38,$D$19)&lt;MAX($P$34*($B378+IF($R$17="Distrato",$I$38-1,0)),IF(AND($L$37=0,$P$34=0),"",$L$37-1),IF($R$17="Distrato",$E378,0))),0,YEARFRAC(MAX($P$34*($B378+IF($R$17="Distrato",$I$38-1,0)),IF(AND($L$37=0,$P$34=0),"",$L$37-1),IF($R$17="Distrato",$E378,0)),MIN(AT$38,$D$19),$P$20))-SUM($P378:AS378)</f>
        <v>#VALUE!</v>
      </c>
      <c r="AU378" s="446" t="e">
        <f>IF(OR($B378="",MIN(AU$38,$D$19)&lt;MAX($P$34*($B378+IF($R$17="Distrato",$I$38-1,0)),IF(AND($L$37=0,$P$34=0),"",$L$37-1),IF($R$17="Distrato",$E378,0))),0,YEARFRAC(MAX($P$34*($B378+IF($R$17="Distrato",$I$38-1,0)),IF(AND($L$37=0,$P$34=0),"",$L$37-1),IF($R$17="Distrato",$E378,0)),MIN(AU$38,$D$19),$P$20))-SUM($P378:AT378)</f>
        <v>#VALUE!</v>
      </c>
      <c r="AV378" s="446" t="e">
        <f>IF(OR($B378="",MIN(AV$38,$D$19)&lt;MAX($P$34*($B378+IF($R$17="Distrato",$I$38-1,0)),IF(AND($L$37=0,$P$34=0),"",$L$37-1),IF($R$17="Distrato",$E378,0))),0,YEARFRAC(MAX($P$34*($B378+IF($R$17="Distrato",$I$38-1,0)),IF(AND($L$37=0,$P$34=0),"",$L$37-1),IF($R$17="Distrato",$E378,0)),MIN(AV$38,$D$19),$P$20))-SUM($P378:AU378)</f>
        <v>#VALUE!</v>
      </c>
      <c r="AW378" s="446" t="e">
        <f>IF(OR($B378="",MIN(AW$38,$D$19)&lt;MAX($P$34*($B378+IF($R$17="Distrato",$I$38-1,0)),IF(AND($L$37=0,$P$34=0),"",$L$37-1),IF($R$17="Distrato",$E378,0))),0,YEARFRAC(MAX($P$34*($B378+IF($R$17="Distrato",$I$38-1,0)),IF(AND($L$37=0,$P$34=0),"",$L$37-1),IF($R$17="Distrato",$E378,0)),MIN(AW$38,$D$19),$P$20))-SUM($P378:AV378)</f>
        <v>#VALUE!</v>
      </c>
      <c r="AX378" s="446" t="e">
        <f>IF(OR($B378="",MIN(AX$38,$D$19)&lt;MAX($P$34*($B378+IF($R$17="Distrato",$I$38-1,0)),IF(AND($L$37=0,$P$34=0),"",$L$37-1),IF($R$17="Distrato",$E378,0))),0,YEARFRAC(MAX($P$34*($B378+IF($R$17="Distrato",$I$38-1,0)),IF(AND($L$37=0,$P$34=0),"",$L$37-1),IF($R$17="Distrato",$E378,0)),MIN(AX$38,$D$19),$P$20))-SUM($P378:AW378)</f>
        <v>#VALUE!</v>
      </c>
      <c r="AY378" s="446" t="e">
        <f>IF(OR($B378="",MIN(AY$38,$D$19)&lt;MAX($P$34*($B378+IF($R$17="Distrato",$I$38-1,0)),IF(AND($L$37=0,$P$34=0),"",$L$37-1),IF($R$17="Distrato",$E378,0))),0,YEARFRAC(MAX($P$34*($B378+IF($R$17="Distrato",$I$38-1,0)),IF(AND($L$37=0,$P$34=0),"",$L$37-1),IF($R$17="Distrato",$E378,0)),MIN(AY$38,$D$19),$P$20))-SUM($P378:AX378)</f>
        <v>#VALUE!</v>
      </c>
      <c r="AZ378" s="446" t="e">
        <f>IF(OR($B378="",MIN(AZ$38,$D$19)&lt;MAX($P$34*($B378+IF($R$17="Distrato",$I$38-1,0)),IF(AND($L$37=0,$P$34=0),"",$L$37-1),IF($R$17="Distrato",$E378,0))),0,YEARFRAC(MAX($P$34*($B378+IF($R$17="Distrato",$I$38-1,0)),IF(AND($L$37=0,$P$34=0),"",$L$37-1),IF($R$17="Distrato",$E378,0)),MIN(AZ$38,$D$19),$P$20))-SUM($P378:AY378)</f>
        <v>#VALUE!</v>
      </c>
      <c r="BA378" s="446" t="e">
        <f>IF(OR($B378="",MIN(BA$38,$D$19)&lt;MAX($P$34*($B378+IF($R$17="Distrato",$I$38-1,0)),IF(AND($L$37=0,$P$34=0),"",$L$37-1),IF($R$17="Distrato",$E378,0))),0,YEARFRAC(MAX($P$34*($B378+IF($R$17="Distrato",$I$38-1,0)),IF(AND($L$37=0,$P$34=0),"",$L$37-1),IF($R$17="Distrato",$E378,0)),MIN(BA$38,$D$19),$P$20))-SUM($P378:AZ378)</f>
        <v>#VALUE!</v>
      </c>
      <c r="BB378" s="447"/>
      <c r="BF378" s="446">
        <f t="shared" si="65"/>
        <v>0</v>
      </c>
      <c r="BG378" s="446">
        <f>IF($E378=0,0,IF(MIN(BG$38,$E378)&lt;MAX($P$34*($B378+$I$38-1),IF(AND($L$37=0,$P$34=0),"",$L$37-1)),0,YEARFRAC(MAX($P$34*($B378+$I$38-1),IF(AND($L$37=0,$P$34=0),"",$L$37-1)),MIN(BG$38,$E378),$P$20))-SUM($BF378:BF378))</f>
        <v>0</v>
      </c>
      <c r="BH378" s="446">
        <f>IF($E378=0,0,IF(MIN(BH$38,$E378)&lt;MAX($P$34*($B378+$I$38-1),IF(AND($L$37=0,$P$34=0),"",$L$37-1)),0,YEARFRAC(MAX($P$34*($B378+$I$38-1),IF(AND($L$37=0,$P$34=0),"",$L$37-1)),MIN(BH$38,$E378),$P$20))-SUM($BF378:BG378))</f>
        <v>0</v>
      </c>
      <c r="BI378" s="446">
        <f>IF($E378=0,0,IF(MIN(BI$38,$E378)&lt;MAX($P$34*($B378+$I$38-1),IF(AND($L$37=0,$P$34=0),"",$L$37-1)),0,YEARFRAC(MAX($P$34*($B378+$I$38-1),IF(AND($L$37=0,$P$34=0),"",$L$37-1)),MIN(BI$38,$E378),$P$20))-SUM($BF378:BH378))</f>
        <v>0</v>
      </c>
      <c r="BJ378" s="446">
        <f>IF($E378=0,0,IF(MIN(BJ$38,$E378)&lt;MAX($P$34*($B378+$I$38-1),IF(AND($L$37=0,$P$34=0),"",$L$37-1)),0,YEARFRAC(MAX($P$34*($B378+$I$38-1),IF(AND($L$37=0,$P$34=0),"",$L$37-1)),MIN(BJ$38,$E378),$P$20))-SUM($BF378:BI378))</f>
        <v>0</v>
      </c>
      <c r="BK378" s="446">
        <f>IF($E378=0,0,IF(MIN(BK$38,$E378)&lt;MAX($P$34*($B378+$I$38-1),IF(AND($L$37=0,$P$34=0),"",$L$37-1)),0,YEARFRAC(MAX($P$34*($B378+$I$38-1),IF(AND($L$37=0,$P$34=0),"",$L$37-1)),MIN(BK$38,$E378),$P$20))-SUM($BF378:BJ378))</f>
        <v>0</v>
      </c>
      <c r="BL378" s="446">
        <f>IF($E378=0,0,IF(MIN(BL$38,$E378)&lt;MAX($P$34*($B378+$I$38-1),IF(AND($L$37=0,$P$34=0),"",$L$37-1)),0,YEARFRAC(MAX($P$34*($B378+$I$38-1),IF(AND($L$37=0,$P$34=0),"",$L$37-1)),MIN(BL$38,$E378),$P$20))-SUM($BF378:BK378))</f>
        <v>0</v>
      </c>
      <c r="BM378" s="446">
        <f>IF($E378=0,0,IF(MIN(BM$38,$E378)&lt;MAX($P$34*($B378+$I$38-1),IF(AND($L$37=0,$P$34=0),"",$L$37-1)),0,YEARFRAC(MAX($P$34*($B378+$I$38-1),IF(AND($L$37=0,$P$34=0),"",$L$37-1)),MIN(BM$38,$E378),$P$20))-SUM($BF378:BL378))</f>
        <v>0</v>
      </c>
      <c r="BN378" s="446">
        <f>IF($E378=0,0,IF(MIN(BN$38,$E378)&lt;MAX($P$34*($B378+$I$38-1),IF(AND($L$37=0,$P$34=0),"",$L$37-1)),0,YEARFRAC(MAX($P$34*($B378+$I$38-1),IF(AND($L$37=0,$P$34=0),"",$L$37-1)),MIN(BN$38,$E378),$P$20))-SUM($BF378:BM378))</f>
        <v>0</v>
      </c>
      <c r="BO378" s="446">
        <f>IF($E378=0,0,IF(MIN(BO$38,$E378)&lt;MAX($P$34*($B378+$I$38-1),IF(AND($L$37=0,$P$34=0),"",$L$37-1)),0,YEARFRAC(MAX($P$34*($B378+$I$38-1),IF(AND($L$37=0,$P$34=0),"",$L$37-1)),MIN(BO$38,$E378),$P$20))-SUM($BF378:BN378))</f>
        <v>0</v>
      </c>
      <c r="BP378" s="446">
        <f>IF($E378=0,0,IF(MIN(BP$38,$E378)&lt;MAX($P$34*($B378+$I$38-1),IF(AND($L$37=0,$P$34=0),"",$L$37-1)),0,YEARFRAC(MAX($P$34*($B378+$I$38-1),IF(AND($L$37=0,$P$34=0),"",$L$37-1)),MIN(BP$38,$E378),$P$20))-SUM($BF378:BO378))</f>
        <v>0</v>
      </c>
      <c r="BQ378" s="446">
        <f>IF($E378=0,0,IF(MIN(BQ$38,$E378)&lt;MAX($P$34*($B378+$I$38-1),IF(AND($L$37=0,$P$34=0),"",$L$37-1)),0,YEARFRAC(MAX($P$34*($B378+$I$38-1),IF(AND($L$37=0,$P$34=0),"",$L$37-1)),MIN(BQ$38,$E378),$P$20))-SUM($BF378:BP378))</f>
        <v>0</v>
      </c>
      <c r="BR378" s="446">
        <f>IF($E378=0,0,IF(MIN(BR$38,$E378)&lt;MAX($P$34*($B378+$I$38-1),IF(AND($L$37=0,$P$34=0),"",$L$37-1)),0,YEARFRAC(MAX($P$34*($B378+$I$38-1),IF(AND($L$37=0,$P$34=0),"",$L$37-1)),MIN(BR$38,$E378),$P$20))-SUM($BF378:BQ378))</f>
        <v>0</v>
      </c>
      <c r="BS378" s="446">
        <f>IF($E378=0,0,IF(MIN(BS$38,$E378)&lt;MAX($P$34*($B378+$I$38-1),IF(AND($L$37=0,$P$34=0),"",$L$37-1)),0,YEARFRAC(MAX($P$34*($B378+$I$38-1),IF(AND($L$37=0,$P$34=0),"",$L$37-1)),MIN(BS$38,$E378),$P$20))-SUM($BF378:BR378))</f>
        <v>0</v>
      </c>
      <c r="BT378" s="446">
        <f>IF($E378=0,0,IF(MIN(BT$38,$E378)&lt;MAX($P$34*($B378+$I$38-1),IF(AND($L$37=0,$P$34=0),"",$L$37-1)),0,YEARFRAC(MAX($P$34*($B378+$I$38-1),IF(AND($L$37=0,$P$34=0),"",$L$37-1)),MIN(BT$38,$E378),$P$20))-SUM($BF378:BS378))</f>
        <v>0</v>
      </c>
      <c r="BU378" s="446">
        <f>IF($E378=0,0,IF(MIN(BU$38,$E378)&lt;MAX($P$34*($B378+$I$38-1),IF(AND($L$37=0,$P$34=0),"",$L$37-1)),0,YEARFRAC(MAX($P$34*($B378+$I$38-1),IF(AND($L$37=0,$P$34=0),"",$L$37-1)),MIN(BU$38,$E378),$P$20))-SUM($BF378:BT378))</f>
        <v>0</v>
      </c>
      <c r="BV378" s="446">
        <f>IF($E378=0,0,IF(MIN(BV$38,$E378)&lt;MAX($P$34*($B378+$I$38-1),IF(AND($L$37=0,$P$34=0),"",$L$37-1)),0,YEARFRAC(MAX($P$34*($B378+$I$38-1),IF(AND($L$37=0,$P$34=0),"",$L$37-1)),MIN(BV$38,$E378),$P$20))-SUM($BF378:BU378))</f>
        <v>0</v>
      </c>
      <c r="BW378" s="446">
        <f>IF($E378=0,0,IF(MIN(BW$38,$E378)&lt;MAX($P$34*($B378+$I$38-1),IF(AND($L$37=0,$P$34=0),"",$L$37-1)),0,YEARFRAC(MAX($P$34*($B378+$I$38-1),IF(AND($L$37=0,$P$34=0),"",$L$37-1)),MIN(BW$38,$E378),$P$20))-SUM($BF378:BV378))</f>
        <v>0</v>
      </c>
      <c r="BX378" s="446">
        <f>IF($E378=0,0,IF(MIN(BX$38,$E378)&lt;MAX($P$34*($B378+$I$38-1),IF(AND($L$37=0,$P$34=0),"",$L$37-1)),0,YEARFRAC(MAX($P$34*($B378+$I$38-1),IF(AND($L$37=0,$P$34=0),"",$L$37-1)),MIN(BX$38,$E378),$P$20))-SUM($BF378:BW378))</f>
        <v>0</v>
      </c>
      <c r="BY378" s="446">
        <f>IF($E378=0,0,IF(MIN(BY$38,$E378)&lt;MAX($P$34*($B378+$I$38-1),IF(AND($L$37=0,$P$34=0),"",$L$37-1)),0,YEARFRAC(MAX($P$34*($B378+$I$38-1),IF(AND($L$37=0,$P$34=0),"",$L$37-1)),MIN(BY$38,$E378),$P$20))-SUM($BF378:BX378))</f>
        <v>0</v>
      </c>
      <c r="BZ378" s="446">
        <f>IF($E378=0,0,IF(MIN(BZ$38,$E378)&lt;MAX($P$34*($B378+$I$38-1),IF(AND($L$37=0,$P$34=0),"",$L$37-1)),0,YEARFRAC(MAX($P$34*($B378+$I$38-1),IF(AND($L$37=0,$P$34=0),"",$L$37-1)),MIN(BZ$38,$E378),$P$20))-SUM($BF378:BY378))</f>
        <v>0</v>
      </c>
      <c r="CA378" s="446">
        <f>IF($E378=0,0,IF(MIN(CA$38,$E378)&lt;MAX($P$34*($B378+$I$38-1),IF(AND($L$37=0,$P$34=0),"",$L$37-1)),0,YEARFRAC(MAX($P$34*($B378+$I$38-1),IF(AND($L$37=0,$P$34=0),"",$L$37-1)),MIN(CA$38,$E378),$P$20))-SUM($BF378:BZ378))</f>
        <v>0</v>
      </c>
      <c r="CB378" s="446">
        <f>IF($E378=0,0,IF(MIN(CB$38,$E378)&lt;MAX($P$34*($B378+$I$38-1),IF(AND($L$37=0,$P$34=0),"",$L$37-1)),0,YEARFRAC(MAX($P$34*($B378+$I$38-1),IF(AND($L$37=0,$P$34=0),"",$L$37-1)),MIN(CB$38,$E378),$P$20))-SUM($BF378:CA378))</f>
        <v>0</v>
      </c>
      <c r="CC378" s="446">
        <f>IF($E378=0,0,IF(MIN(CC$38,$E378)&lt;MAX($P$34*($B378+$I$38-1),IF(AND($L$37=0,$P$34=0),"",$L$37-1)),0,YEARFRAC(MAX($P$34*($B378+$I$38-1),IF(AND($L$37=0,$P$34=0),"",$L$37-1)),MIN(CC$38,$E378),$P$20))-SUM($BF378:CB378))</f>
        <v>0</v>
      </c>
      <c r="CD378" s="446">
        <f>IF($E378=0,0,IF(MIN(CD$38,$E378)&lt;MAX($P$34*($B378+$I$38-1),IF(AND($L$37=0,$P$34=0),"",$L$37-1)),0,YEARFRAC(MAX($P$34*($B378+$I$38-1),IF(AND($L$37=0,$P$34=0),"",$L$37-1)),MIN(CD$38,$E378),$P$20))-SUM($BF378:CC378))</f>
        <v>0</v>
      </c>
      <c r="CE378" s="446">
        <f>IF($E378=0,0,IF(MIN(CE$38,$E378)&lt;MAX($P$34*($B378+$I$38-1),IF(AND($L$37=0,$P$34=0),"",$L$37-1)),0,YEARFRAC(MAX($P$34*($B378+$I$38-1),IF(AND($L$37=0,$P$34=0),"",$L$37-1)),MIN(CE$38,$E378),$P$20))-SUM($BF378:CD378))</f>
        <v>0</v>
      </c>
      <c r="CF378" s="446">
        <f>IF($E378=0,0,IF(MIN(CF$38,$E378)&lt;MAX($P$34*($B378+$I$38-1),IF(AND($L$37=0,$P$34=0),"",$L$37-1)),0,YEARFRAC(MAX($P$34*($B378+$I$38-1),IF(AND($L$37=0,$P$34=0),"",$L$37-1)),MIN(CF$38,$E378),$P$20))-SUM($BF378:CE378))</f>
        <v>0</v>
      </c>
      <c r="CG378" s="446">
        <f>IF($E378=0,0,IF(MIN(CG$38,$E378)&lt;MAX($P$34*($B378+$I$38-1),IF(AND($L$37=0,$P$34=0),"",$L$37-1)),0,YEARFRAC(MAX($P$34*($B378+$I$38-1),IF(AND($L$37=0,$P$34=0),"",$L$37-1)),MIN(CG$38,$E378),$P$20))-SUM($BF378:CF378))</f>
        <v>0</v>
      </c>
      <c r="CH378" s="446">
        <f>IF($E378=0,0,IF(MIN(CH$38,$E378)&lt;MAX($P$34*($B378+$I$38-1),IF(AND($L$37=0,$P$34=0),"",$L$37-1)),0,YEARFRAC(MAX($P$34*($B378+$I$38-1),IF(AND($L$37=0,$P$34=0),"",$L$37-1)),MIN(CH$38,$E378),$P$20))-SUM($BF378:CG378))</f>
        <v>0</v>
      </c>
      <c r="CI378" s="446">
        <f>IF($E378=0,0,IF(MIN(CI$38,$E378)&lt;MAX($P$34*($B378+$I$38-1),IF(AND($L$37=0,$P$34=0),"",$L$37-1)),0,YEARFRAC(MAX($P$34*($B378+$I$38-1),IF(AND($L$37=0,$P$34=0),"",$L$37-1)),MIN(CI$38,$E378),$P$20))-SUM($BF378:CH378))</f>
        <v>0</v>
      </c>
      <c r="CJ378" s="446">
        <f>IF($E378=0,0,IF(MIN(CJ$38,$E378)&lt;MAX($P$34*($B378+$I$38-1),IF(AND($L$37=0,$P$34=0),"",$L$37-1)),0,YEARFRAC(MAX($P$34*($B378+$I$38-1),IF(AND($L$37=0,$P$34=0),"",$L$37-1)),MIN(CJ$38,$E378),$P$20))-SUM($BF378:CI378))</f>
        <v>0</v>
      </c>
      <c r="CK378" s="446">
        <f>IF($E378=0,0,IF(MIN(CK$38,$E378)&lt;MAX($P$34*($B378+$I$38-1),IF(AND($L$37=0,$P$34=0),"",$L$37-1)),0,YEARFRAC(MAX($P$34*($B378+$I$38-1),IF(AND($L$37=0,$P$34=0),"",$L$37-1)),MIN(CK$38,$E378),$P$20))-SUM($BF378:CJ378))</f>
        <v>0</v>
      </c>
      <c r="CL378" s="446">
        <f>IF($E378=0,0,IF(MIN(CL$38,$E378)&lt;MAX($P$34*($B378+$I$38-1),IF(AND($L$37=0,$P$34=0),"",$L$37-1)),0,YEARFRAC(MAX($P$34*($B378+$I$38-1),IF(AND($L$37=0,$P$34=0),"",$L$37-1)),MIN(CL$38,$E378),$P$20))-SUM($BF378:CK378))</f>
        <v>0</v>
      </c>
      <c r="CM378" s="446">
        <f>IF($E378=0,0,IF(MIN(CM$38,$E378)&lt;MAX($P$34*($B378+$I$38-1),IF(AND($L$37=0,$P$34=0),"",$L$37-1)),0,YEARFRAC(MAX($P$34*($B378+$I$38-1),IF(AND($L$37=0,$P$34=0),"",$L$37-1)),MIN(CM$38,$E378),$P$20))-SUM($BF378:CL378))</f>
        <v>0</v>
      </c>
      <c r="CN378" s="446">
        <f>IF($E378=0,0,IF(MIN(CN$38,$E378)&lt;MAX($P$34*($B378+$I$38-1),IF(AND($L$37=0,$P$34=0),"",$L$37-1)),0,YEARFRAC(MAX($P$34*($B378+$I$38-1),IF(AND($L$37=0,$P$34=0),"",$L$37-1)),MIN(CN$38,$E378),$P$20))-SUM($BF378:CM378))</f>
        <v>0</v>
      </c>
      <c r="CO378" s="446">
        <f>IF($E378=0,0,IF(MIN(CO$38,$E378)&lt;MAX($P$34*($B378+$I$38-1),IF(AND($L$37=0,$P$34=0),"",$L$37-1)),0,YEARFRAC(MAX($P$34*($B378+$I$38-1),IF(AND($L$37=0,$P$34=0),"",$L$37-1)),MIN(CO$38,$E378),$P$20))-SUM($BF378:CN378))</f>
        <v>0</v>
      </c>
      <c r="CP378" s="446">
        <f>IF($E378=0,0,IF(MIN(CP$38,$E378)&lt;MAX($P$34*($B378+$I$38-1),IF(AND($L$37=0,$P$34=0),"",$L$37-1)),0,YEARFRAC(MAX($P$34*($B378+$I$38-1),IF(AND($L$37=0,$P$34=0),"",$L$37-1)),MIN(CP$38,$E378),$P$20))-SUM($BF378:CO378))</f>
        <v>0</v>
      </c>
      <c r="CQ378" s="446">
        <f>IF($E378=0,0,IF(MIN(CQ$38,$E378)&lt;MAX($P$34*($B378+$I$38-1),IF(AND($L$37=0,$P$34=0),"",$L$37-1)),0,YEARFRAC(MAX($P$34*($B378+$I$38-1),IF(AND($L$37=0,$P$34=0),"",$L$37-1)),MIN(CQ$38,$E378),$P$20))-SUM($BF378:CP378))</f>
        <v>0</v>
      </c>
    </row>
    <row r="379" spans="1:95" s="446" customFormat="1" ht="11.25" hidden="1" customHeight="1" x14ac:dyDescent="0.2">
      <c r="A379" s="152"/>
      <c r="B379" s="153" t="str">
        <f t="shared" si="70"/>
        <v/>
      </c>
      <c r="C379" s="29" t="str">
        <f>IF(B379="","",IF($L$35="SELIC - TRIBUTOS",VLOOKUP(DATE(YEAR($D$19),MONTH($D$19)-1,1),ÍNDICES!$A:$DE,HLOOKUP($BL$25,ÍNDICES!$B$3:$T$4,2)+11)-VLOOKUP(B379,ÍNDICES!$A:$DE,HLOOKUP($BL$25,ÍNDICES!$B$3:$T$4,2)+11)+1%,IF(C$38=$W$26,$J$35,IF(ISERROR(IF(B379&gt;$D$19,1,VLOOKUP(DATE(YEAR(B379),MONTH(B379)+IF($C$35=$S$23,1,0),1),ÍNDICES!$A:$DE,$Z$35+1))),"",IF(B379&gt;$D$19,1,VLOOKUP(DATE(YEAR(B379),MONTH(B379)+IF($C$35=$S$23,1,0),1),ÍNDICES!$A:$DE,$Z$35+1))))))</f>
        <v/>
      </c>
      <c r="D379" s="154" t="str">
        <f>IF(ISERROR(IF(OR($D$38=$Y$27,$B379=""),"",VLOOKUP(B379,ÍNDICES!A:DE,AF$35+1))),"",IF(OR($D$38=$Y$27,$B379=""),"",VLOOKUP(B379,ÍNDICES!A:DE,AF$35+1)))</f>
        <v/>
      </c>
      <c r="E379" s="153"/>
      <c r="F379" s="29" t="str">
        <f>IF(E379="","",IF($L$35="SELIC - TRIBUTOS",VLOOKUP(DATE(YEAR($D$19),MONTH($D$19)-1,1),ÍNDICES!$A:$DE,HLOOKUP($BL$25,ÍNDICES!$B$3:$T$4,2)+11)-VLOOKUP(E379,ÍNDICES!$A:$DE,HLOOKUP($BL$25,ÍNDICES!$B$3:$T$4,2)+11)+1%,IF(F$38=$W$26,$J$35,IF(ISERROR(IF(E379&gt;$D$19,1,VLOOKUP(DATE(YEAR(E379),MONTH(E379)+IF($C$35=$S$23,1,0),1),ÍNDICES!$A:$DE,$Z$35+1))),"",IF(E379&gt;$D$19,1,VLOOKUP(DATE(YEAR(E379),MONTH(E379)+IF($C$35=$S$23,1,0),1),ÍNDICES!$A:$DE,$Z$35+1))))))</f>
        <v/>
      </c>
      <c r="G379" s="155"/>
      <c r="H379" s="156" t="str">
        <f t="shared" si="66"/>
        <v/>
      </c>
      <c r="I379" s="29" t="str">
        <f t="shared" si="60"/>
        <v/>
      </c>
      <c r="J379" s="5">
        <f t="shared" si="61"/>
        <v>0</v>
      </c>
      <c r="K379" s="20">
        <f t="shared" ca="1" si="62"/>
        <v>0</v>
      </c>
      <c r="L379" s="5">
        <f t="shared" ca="1" si="63"/>
        <v>0</v>
      </c>
      <c r="M379" s="64">
        <f t="shared" si="67"/>
        <v>0</v>
      </c>
      <c r="N379" s="61">
        <f t="shared" ca="1" si="68"/>
        <v>0</v>
      </c>
      <c r="O379" s="5">
        <f t="shared" ca="1" si="69"/>
        <v>0</v>
      </c>
      <c r="P379" s="446" t="e">
        <f t="shared" si="64"/>
        <v>#VALUE!</v>
      </c>
      <c r="Q379" s="446" t="e">
        <f>IF(OR($B379="",MIN(Q$38,$D$19)&lt;MAX($P$34*($B379+IF($R$17="Distrato",$I$38-1,0)),IF(AND($L$37=0,$P$34=0),"",$L$37-1),IF($R$17="Distrato",$E379,0))),0,YEARFRAC(MAX($P$34*($B379+IF($R$17="Distrato",$I$38-1,0)),IF(AND($L$37=0,$P$34=0),"",$L$37-1),IF($R$17="Distrato",$E379,0)),MIN(Q$38,$D$19),$P$20))-SUM($P379:P379)</f>
        <v>#VALUE!</v>
      </c>
      <c r="R379" s="446" t="e">
        <f>IF(OR($B379="",MIN(R$38,$D$19)&lt;MAX($P$34*($B379+IF($R$17="Distrato",$I$38-1,0)),IF(AND($L$37=0,$P$34=0),"",$L$37-1),IF($R$17="Distrato",$E379,0))),0,YEARFRAC(MAX($P$34*($B379+IF($R$17="Distrato",$I$38-1,0)),IF(AND($L$37=0,$P$34=0),"",$L$37-1),IF($R$17="Distrato",$E379,0)),MIN(R$38,$D$19),$P$20))-SUM($P379:Q379)</f>
        <v>#VALUE!</v>
      </c>
      <c r="S379" s="446" t="e">
        <f>IF(OR($B379="",MIN(S$38,$D$19)&lt;MAX($P$34*($B379+IF($R$17="Distrato",$I$38-1,0)),IF(AND($L$37=0,$P$34=0),"",$L$37-1),IF($R$17="Distrato",$E379,0))),0,YEARFRAC(MAX($P$34*($B379+IF($R$17="Distrato",$I$38-1,0)),IF(AND($L$37=0,$P$34=0),"",$L$37-1),IF($R$17="Distrato",$E379,0)),MIN(S$38,$D$19),$P$20))-SUM($P379:R379)</f>
        <v>#VALUE!</v>
      </c>
      <c r="T379" s="446" t="e">
        <f>IF(OR($B379="",MIN(T$38,$D$19)&lt;MAX($P$34*($B379+IF($R$17="Distrato",$I$38-1,0)),IF(AND($L$37=0,$P$34=0),"",$L$37-1),IF($R$17="Distrato",$E379,0))),0,YEARFRAC(MAX($P$34*($B379+IF($R$17="Distrato",$I$38-1,0)),IF(AND($L$37=0,$P$34=0),"",$L$37-1),IF($R$17="Distrato",$E379,0)),MIN(T$38,$D$19),$P$20))-SUM($P379:S379)</f>
        <v>#VALUE!</v>
      </c>
      <c r="U379" s="446" t="e">
        <f>IF(OR($B379="",MIN(U$38,$D$19)&lt;MAX($P$34*($B379+IF($R$17="Distrato",$I$38-1,0)),IF(AND($L$37=0,$P$34=0),"",$L$37-1),IF($R$17="Distrato",$E379,0))),0,YEARFRAC(MAX($P$34*($B379+IF($R$17="Distrato",$I$38-1,0)),IF(AND($L$37=0,$P$34=0),"",$L$37-1),IF($R$17="Distrato",$E379,0)),MIN(U$38,$D$19),$P$20))-SUM($P379:T379)</f>
        <v>#VALUE!</v>
      </c>
      <c r="V379" s="446" t="e">
        <f>IF(OR($B379="",MIN(V$38,$D$19)&lt;MAX($P$34*($B379+IF($R$17="Distrato",$I$38-1,0)),IF(AND($L$37=0,$P$34=0),"",$L$37-1),IF($R$17="Distrato",$E379,0))),0,YEARFRAC(MAX($P$34*($B379+IF($R$17="Distrato",$I$38-1,0)),IF(AND($L$37=0,$P$34=0),"",$L$37-1),IF($R$17="Distrato",$E379,0)),MIN(V$38,$D$19),$P$20))-SUM($P379:U379)</f>
        <v>#VALUE!</v>
      </c>
      <c r="W379" s="446" t="e">
        <f>IF(OR($B379="",MIN(W$38,$D$19)&lt;MAX($P$34*($B379+IF($R$17="Distrato",$I$38-1,0)),IF(AND($L$37=0,$P$34=0),"",$L$37-1),IF($R$17="Distrato",$E379,0))),0,YEARFRAC(MAX($P$34*($B379+IF($R$17="Distrato",$I$38-1,0)),IF(AND($L$37=0,$P$34=0),"",$L$37-1),IF($R$17="Distrato",$E379,0)),MIN(W$38,$D$19),$P$20))-SUM($P379:V379)</f>
        <v>#VALUE!</v>
      </c>
      <c r="X379" s="446" t="e">
        <f>IF(OR($B379="",MIN(X$38,$D$19)&lt;MAX($P$34*($B379+IF($R$17="Distrato",$I$38-1,0)),IF(AND($L$37=0,$P$34=0),"",$L$37-1),IF($R$17="Distrato",$E379,0))),0,YEARFRAC(MAX($P$34*($B379+IF($R$17="Distrato",$I$38-1,0)),IF(AND($L$37=0,$P$34=0),"",$L$37-1),IF($R$17="Distrato",$E379,0)),MIN(X$38,$D$19),$P$20))-SUM($P379:W379)</f>
        <v>#VALUE!</v>
      </c>
      <c r="Y379" s="446" t="e">
        <f>IF(OR($B379="",MIN(Y$38,$D$19)&lt;MAX($P$34*($B379+IF($R$17="Distrato",$I$38-1,0)),IF(AND($L$37=0,$P$34=0),"",$L$37-1),IF($R$17="Distrato",$E379,0))),0,YEARFRAC(MAX($P$34*($B379+IF($R$17="Distrato",$I$38-1,0)),IF(AND($L$37=0,$P$34=0),"",$L$37-1),IF($R$17="Distrato",$E379,0)),MIN(Y$38,$D$19),$P$20))-SUM($P379:X379)</f>
        <v>#VALUE!</v>
      </c>
      <c r="Z379" s="446" t="e">
        <f>IF(OR($B379="",MIN(Z$38,$D$19)&lt;MAX($P$34*($B379+IF($R$17="Distrato",$I$38-1,0)),IF(AND($L$37=0,$P$34=0),"",$L$37-1),IF($R$17="Distrato",$E379,0))),0,YEARFRAC(MAX($P$34*($B379+IF($R$17="Distrato",$I$38-1,0)),IF(AND($L$37=0,$P$34=0),"",$L$37-1),IF($R$17="Distrato",$E379,0)),MIN(Z$38,$D$19),$P$20))-SUM($P379:Y379)</f>
        <v>#VALUE!</v>
      </c>
      <c r="AA379" s="446" t="e">
        <f>IF(OR($B379="",MIN(AA$38,$D$19)&lt;MAX($P$34*($B379+IF($R$17="Distrato",$I$38-1,0)),IF(AND($L$37=0,$P$34=0),"",$L$37-1),IF($R$17="Distrato",$E379,0))),0,YEARFRAC(MAX($P$34*($B379+IF($R$17="Distrato",$I$38-1,0)),IF(AND($L$37=0,$P$34=0),"",$L$37-1),IF($R$17="Distrato",$E379,0)),MIN(AA$38,$D$19),$P$20))-SUM($P379:Z379)</f>
        <v>#VALUE!</v>
      </c>
      <c r="AB379" s="446" t="e">
        <f>IF(OR($B379="",MIN(AB$38,$D$19)&lt;MAX($P$34*($B379+IF($R$17="Distrato",$I$38-1,0)),IF(AND($L$37=0,$P$34=0),"",$L$37-1),IF($R$17="Distrato",$E379,0))),0,YEARFRAC(MAX($P$34*($B379+IF($R$17="Distrato",$I$38-1,0)),IF(AND($L$37=0,$P$34=0),"",$L$37-1),IF($R$17="Distrato",$E379,0)),MIN(AB$38,$D$19),$P$20))-SUM($P379:AA379)</f>
        <v>#VALUE!</v>
      </c>
      <c r="AC379" s="446" t="e">
        <f>IF(OR($B379="",MIN(AC$38,$D$19)&lt;MAX($P$34*($B379+IF($R$17="Distrato",$I$38-1,0)),IF(AND($L$37=0,$P$34=0),"",$L$37-1),IF($R$17="Distrato",$E379,0))),0,YEARFRAC(MAX($P$34*($B379+IF($R$17="Distrato",$I$38-1,0)),IF(AND($L$37=0,$P$34=0),"",$L$37-1),IF($R$17="Distrato",$E379,0)),MIN(AC$38,$D$19),$P$20))-SUM($P379:AB379)</f>
        <v>#VALUE!</v>
      </c>
      <c r="AD379" s="446" t="e">
        <f>IF(OR($B379="",MIN(AD$38,$D$19)&lt;MAX($P$34*($B379+IF($R$17="Distrato",$I$38-1,0)),IF(AND($L$37=0,$P$34=0),"",$L$37-1),IF($R$17="Distrato",$E379,0))),0,YEARFRAC(MAX($P$34*($B379+IF($R$17="Distrato",$I$38-1,0)),IF(AND($L$37=0,$P$34=0),"",$L$37-1),IF($R$17="Distrato",$E379,0)),MIN(AD$38,$D$19),$P$20))-SUM($P379:AC379)</f>
        <v>#VALUE!</v>
      </c>
      <c r="AE379" s="446" t="e">
        <f>IF(OR($B379="",MIN(AE$38,$D$19)&lt;MAX($P$34*($B379+IF($R$17="Distrato",$I$38-1,0)),IF(AND($L$37=0,$P$34=0),"",$L$37-1),IF($R$17="Distrato",$E379,0))),0,YEARFRAC(MAX($P$34*($B379+IF($R$17="Distrato",$I$38-1,0)),IF(AND($L$37=0,$P$34=0),"",$L$37-1),IF($R$17="Distrato",$E379,0)),MIN(AE$38,$D$19),$P$20))-SUM($P379:AD379)</f>
        <v>#VALUE!</v>
      </c>
      <c r="AF379" s="446" t="e">
        <f>IF(OR($B379="",MIN(AF$38,$D$19)&lt;MAX($P$34*($B379+IF($R$17="Distrato",$I$38-1,0)),IF(AND($L$37=0,$P$34=0),"",$L$37-1),IF($R$17="Distrato",$E379,0))),0,YEARFRAC(MAX($P$34*($B379+IF($R$17="Distrato",$I$38-1,0)),IF(AND($L$37=0,$P$34=0),"",$L$37-1),IF($R$17="Distrato",$E379,0)),MIN(AF$38,$D$19),$P$20))-SUM($P379:AE379)</f>
        <v>#VALUE!</v>
      </c>
      <c r="AG379" s="446" t="e">
        <f>IF(OR($B379="",MIN(AG$38,$D$19)&lt;MAX($P$34*($B379+IF($R$17="Distrato",$I$38-1,0)),IF(AND($L$37=0,$P$34=0),"",$L$37-1),IF($R$17="Distrato",$E379,0))),0,YEARFRAC(MAX($P$34*($B379+IF($R$17="Distrato",$I$38-1,0)),IF(AND($L$37=0,$P$34=0),"",$L$37-1),IF($R$17="Distrato",$E379,0)),MIN(AG$38,$D$19),$P$20))-SUM($P379:AF379)</f>
        <v>#VALUE!</v>
      </c>
      <c r="AH379" s="446" t="e">
        <f>IF(OR($B379="",MIN(AH$38,$D$19)&lt;MAX($P$34*($B379+IF($R$17="Distrato",$I$38-1,0)),IF(AND($L$37=0,$P$34=0),"",$L$37-1),IF($R$17="Distrato",$E379,0))),0,YEARFRAC(MAX($P$34*($B379+IF($R$17="Distrato",$I$38-1,0)),IF(AND($L$37=0,$P$34=0),"",$L$37-1),IF($R$17="Distrato",$E379,0)),MIN(AH$38,$D$19),$P$20))-SUM($P379:AG379)</f>
        <v>#VALUE!</v>
      </c>
      <c r="AI379" s="446" t="e">
        <f>IF(OR($B379="",MIN(AI$38,$D$19)&lt;MAX($P$34*($B379+IF($R$17="Distrato",$I$38-1,0)),IF(AND($L$37=0,$P$34=0),"",$L$37-1),IF($R$17="Distrato",$E379,0))),0,YEARFRAC(MAX($P$34*($B379+IF($R$17="Distrato",$I$38-1,0)),IF(AND($L$37=0,$P$34=0),"",$L$37-1),IF($R$17="Distrato",$E379,0)),MIN(AI$38,$D$19),$P$20))-SUM($P379:AH379)</f>
        <v>#VALUE!</v>
      </c>
      <c r="AJ379" s="446" t="e">
        <f>IF(OR($B379="",MIN(AJ$38,$D$19)&lt;MAX($P$34*($B379+IF($R$17="Distrato",$I$38-1,0)),IF(AND($L$37=0,$P$34=0),"",$L$37-1),IF($R$17="Distrato",$E379,0))),0,YEARFRAC(MAX($P$34*($B379+IF($R$17="Distrato",$I$38-1,0)),IF(AND($L$37=0,$P$34=0),"",$L$37-1),IF($R$17="Distrato",$E379,0)),MIN(AJ$38,$D$19),$P$20))-SUM($P379:AI379)</f>
        <v>#VALUE!</v>
      </c>
      <c r="AK379" s="446" t="e">
        <f>IF(OR($B379="",MIN(AK$38,$D$19)&lt;MAX($P$34*($B379+IF($R$17="Distrato",$I$38-1,0)),IF(AND($L$37=0,$P$34=0),"",$L$37-1),IF($R$17="Distrato",$E379,0))),0,YEARFRAC(MAX($P$34*($B379+IF($R$17="Distrato",$I$38-1,0)),IF(AND($L$37=0,$P$34=0),"",$L$37-1),IF($R$17="Distrato",$E379,0)),MIN(AK$38,$D$19),$P$20))-SUM($P379:AJ379)</f>
        <v>#VALUE!</v>
      </c>
      <c r="AL379" s="446" t="e">
        <f>IF(OR($B379="",MIN(AL$38,$D$19)&lt;MAX($P$34*($B379+IF($R$17="Distrato",$I$38-1,0)),IF(AND($L$37=0,$P$34=0),"",$L$37-1),IF($R$17="Distrato",$E379,0))),0,YEARFRAC(MAX($P$34*($B379+IF($R$17="Distrato",$I$38-1,0)),IF(AND($L$37=0,$P$34=0),"",$L$37-1),IF($R$17="Distrato",$E379,0)),MIN(AL$38,$D$19),$P$20))-SUM($P379:AK379)</f>
        <v>#VALUE!</v>
      </c>
      <c r="AM379" s="446" t="e">
        <f>IF(OR($B379="",MIN(AM$38,$D$19)&lt;MAX($P$34*($B379+IF($R$17="Distrato",$I$38-1,0)),IF(AND($L$37=0,$P$34=0),"",$L$37-1),IF($R$17="Distrato",$E379,0))),0,YEARFRAC(MAX($P$34*($B379+IF($R$17="Distrato",$I$38-1,0)),IF(AND($L$37=0,$P$34=0),"",$L$37-1),IF($R$17="Distrato",$E379,0)),MIN(AM$38,$D$19),$P$20))-SUM($P379:AL379)</f>
        <v>#VALUE!</v>
      </c>
      <c r="AN379" s="446" t="e">
        <f>IF(OR($B379="",MIN(AN$38,$D$19)&lt;MAX($P$34*($B379+IF($R$17="Distrato",$I$38-1,0)),IF(AND($L$37=0,$P$34=0),"",$L$37-1),IF($R$17="Distrato",$E379,0))),0,YEARFRAC(MAX($P$34*($B379+IF($R$17="Distrato",$I$38-1,0)),IF(AND($L$37=0,$P$34=0),"",$L$37-1),IF($R$17="Distrato",$E379,0)),MIN(AN$38,$D$19),$P$20))-SUM($P379:AM379)</f>
        <v>#VALUE!</v>
      </c>
      <c r="AO379" s="446" t="e">
        <f>IF(OR($B379="",MIN(AO$38,$D$19)&lt;MAX($P$34*($B379+IF($R$17="Distrato",$I$38-1,0)),IF(AND($L$37=0,$P$34=0),"",$L$37-1),IF($R$17="Distrato",$E379,0))),0,YEARFRAC(MAX($P$34*($B379+IF($R$17="Distrato",$I$38-1,0)),IF(AND($L$37=0,$P$34=0),"",$L$37-1),IF($R$17="Distrato",$E379,0)),MIN(AO$38,$D$19),$P$20))-SUM($P379:AN379)</f>
        <v>#VALUE!</v>
      </c>
      <c r="AP379" s="446" t="e">
        <f>IF(OR($B379="",MIN(AP$38,$D$19)&lt;MAX($P$34*($B379+IF($R$17="Distrato",$I$38-1,0)),IF(AND($L$37=0,$P$34=0),"",$L$37-1),IF($R$17="Distrato",$E379,0))),0,YEARFRAC(MAX($P$34*($B379+IF($R$17="Distrato",$I$38-1,0)),IF(AND($L$37=0,$P$34=0),"",$L$37-1),IF($R$17="Distrato",$E379,0)),MIN(AP$38,$D$19),$P$20))-SUM($P379:AO379)</f>
        <v>#VALUE!</v>
      </c>
      <c r="AQ379" s="446" t="e">
        <f>IF(OR($B379="",MIN(AQ$38,$D$19)&lt;MAX($P$34*($B379+IF($R$17="Distrato",$I$38-1,0)),IF(AND($L$37=0,$P$34=0),"",$L$37-1),IF($R$17="Distrato",$E379,0))),0,YEARFRAC(MAX($P$34*($B379+IF($R$17="Distrato",$I$38-1,0)),IF(AND($L$37=0,$P$34=0),"",$L$37-1),IF($R$17="Distrato",$E379,0)),MIN(AQ$38,$D$19),$P$20))-SUM($P379:AP379)</f>
        <v>#VALUE!</v>
      </c>
      <c r="AR379" s="446" t="e">
        <f>IF(OR($B379="",MIN(AR$38,$D$19)&lt;MAX($P$34*($B379+IF($R$17="Distrato",$I$38-1,0)),IF(AND($L$37=0,$P$34=0),"",$L$37-1),IF($R$17="Distrato",$E379,0))),0,YEARFRAC(MAX($P$34*($B379+IF($R$17="Distrato",$I$38-1,0)),IF(AND($L$37=0,$P$34=0),"",$L$37-1),IF($R$17="Distrato",$E379,0)),MIN(AR$38,$D$19),$P$20))-SUM($P379:AQ379)</f>
        <v>#VALUE!</v>
      </c>
      <c r="AS379" s="446" t="e">
        <f>IF(OR($B379="",MIN(AS$38,$D$19)&lt;MAX($P$34*($B379+IF($R$17="Distrato",$I$38-1,0)),IF(AND($L$37=0,$P$34=0),"",$L$37-1),IF($R$17="Distrato",$E379,0))),0,YEARFRAC(MAX($P$34*($B379+IF($R$17="Distrato",$I$38-1,0)),IF(AND($L$37=0,$P$34=0),"",$L$37-1),IF($R$17="Distrato",$E379,0)),MIN(AS$38,$D$19),$P$20))-SUM($P379:AR379)</f>
        <v>#VALUE!</v>
      </c>
      <c r="AT379" s="446" t="e">
        <f>IF(OR($B379="",MIN(AT$38,$D$19)&lt;MAX($P$34*($B379+IF($R$17="Distrato",$I$38-1,0)),IF(AND($L$37=0,$P$34=0),"",$L$37-1),IF($R$17="Distrato",$E379,0))),0,YEARFRAC(MAX($P$34*($B379+IF($R$17="Distrato",$I$38-1,0)),IF(AND($L$37=0,$P$34=0),"",$L$37-1),IF($R$17="Distrato",$E379,0)),MIN(AT$38,$D$19),$P$20))-SUM($P379:AS379)</f>
        <v>#VALUE!</v>
      </c>
      <c r="AU379" s="446" t="e">
        <f>IF(OR($B379="",MIN(AU$38,$D$19)&lt;MAX($P$34*($B379+IF($R$17="Distrato",$I$38-1,0)),IF(AND($L$37=0,$P$34=0),"",$L$37-1),IF($R$17="Distrato",$E379,0))),0,YEARFRAC(MAX($P$34*($B379+IF($R$17="Distrato",$I$38-1,0)),IF(AND($L$37=0,$P$34=0),"",$L$37-1),IF($R$17="Distrato",$E379,0)),MIN(AU$38,$D$19),$P$20))-SUM($P379:AT379)</f>
        <v>#VALUE!</v>
      </c>
      <c r="AV379" s="446" t="e">
        <f>IF(OR($B379="",MIN(AV$38,$D$19)&lt;MAX($P$34*($B379+IF($R$17="Distrato",$I$38-1,0)),IF(AND($L$37=0,$P$34=0),"",$L$37-1),IF($R$17="Distrato",$E379,0))),0,YEARFRAC(MAX($P$34*($B379+IF($R$17="Distrato",$I$38-1,0)),IF(AND($L$37=0,$P$34=0),"",$L$37-1),IF($R$17="Distrato",$E379,0)),MIN(AV$38,$D$19),$P$20))-SUM($P379:AU379)</f>
        <v>#VALUE!</v>
      </c>
      <c r="AW379" s="446" t="e">
        <f>IF(OR($B379="",MIN(AW$38,$D$19)&lt;MAX($P$34*($B379+IF($R$17="Distrato",$I$38-1,0)),IF(AND($L$37=0,$P$34=0),"",$L$37-1),IF($R$17="Distrato",$E379,0))),0,YEARFRAC(MAX($P$34*($B379+IF($R$17="Distrato",$I$38-1,0)),IF(AND($L$37=0,$P$34=0),"",$L$37-1),IF($R$17="Distrato",$E379,0)),MIN(AW$38,$D$19),$P$20))-SUM($P379:AV379)</f>
        <v>#VALUE!</v>
      </c>
      <c r="AX379" s="446" t="e">
        <f>IF(OR($B379="",MIN(AX$38,$D$19)&lt;MAX($P$34*($B379+IF($R$17="Distrato",$I$38-1,0)),IF(AND($L$37=0,$P$34=0),"",$L$37-1),IF($R$17="Distrato",$E379,0))),0,YEARFRAC(MAX($P$34*($B379+IF($R$17="Distrato",$I$38-1,0)),IF(AND($L$37=0,$P$34=0),"",$L$37-1),IF($R$17="Distrato",$E379,0)),MIN(AX$38,$D$19),$P$20))-SUM($P379:AW379)</f>
        <v>#VALUE!</v>
      </c>
      <c r="AY379" s="446" t="e">
        <f>IF(OR($B379="",MIN(AY$38,$D$19)&lt;MAX($P$34*($B379+IF($R$17="Distrato",$I$38-1,0)),IF(AND($L$37=0,$P$34=0),"",$L$37-1),IF($R$17="Distrato",$E379,0))),0,YEARFRAC(MAX($P$34*($B379+IF($R$17="Distrato",$I$38-1,0)),IF(AND($L$37=0,$P$34=0),"",$L$37-1),IF($R$17="Distrato",$E379,0)),MIN(AY$38,$D$19),$P$20))-SUM($P379:AX379)</f>
        <v>#VALUE!</v>
      </c>
      <c r="AZ379" s="446" t="e">
        <f>IF(OR($B379="",MIN(AZ$38,$D$19)&lt;MAX($P$34*($B379+IF($R$17="Distrato",$I$38-1,0)),IF(AND($L$37=0,$P$34=0),"",$L$37-1),IF($R$17="Distrato",$E379,0))),0,YEARFRAC(MAX($P$34*($B379+IF($R$17="Distrato",$I$38-1,0)),IF(AND($L$37=0,$P$34=0),"",$L$37-1),IF($R$17="Distrato",$E379,0)),MIN(AZ$38,$D$19),$P$20))-SUM($P379:AY379)</f>
        <v>#VALUE!</v>
      </c>
      <c r="BA379" s="446" t="e">
        <f>IF(OR($B379="",MIN(BA$38,$D$19)&lt;MAX($P$34*($B379+IF($R$17="Distrato",$I$38-1,0)),IF(AND($L$37=0,$P$34=0),"",$L$37-1),IF($R$17="Distrato",$E379,0))),0,YEARFRAC(MAX($P$34*($B379+IF($R$17="Distrato",$I$38-1,0)),IF(AND($L$37=0,$P$34=0),"",$L$37-1),IF($R$17="Distrato",$E379,0)),MIN(BA$38,$D$19),$P$20))-SUM($P379:AZ379)</f>
        <v>#VALUE!</v>
      </c>
      <c r="BB379" s="447"/>
      <c r="BF379" s="446">
        <f t="shared" si="65"/>
        <v>0</v>
      </c>
      <c r="BG379" s="446">
        <f>IF($E379=0,0,IF(MIN(BG$38,$E379)&lt;MAX($P$34*($B379+$I$38-1),IF(AND($L$37=0,$P$34=0),"",$L$37-1)),0,YEARFRAC(MAX($P$34*($B379+$I$38-1),IF(AND($L$37=0,$P$34=0),"",$L$37-1)),MIN(BG$38,$E379),$P$20))-SUM($BF379:BF379))</f>
        <v>0</v>
      </c>
      <c r="BH379" s="446">
        <f>IF($E379=0,0,IF(MIN(BH$38,$E379)&lt;MAX($P$34*($B379+$I$38-1),IF(AND($L$37=0,$P$34=0),"",$L$37-1)),0,YEARFRAC(MAX($P$34*($B379+$I$38-1),IF(AND($L$37=0,$P$34=0),"",$L$37-1)),MIN(BH$38,$E379),$P$20))-SUM($BF379:BG379))</f>
        <v>0</v>
      </c>
      <c r="BI379" s="446">
        <f>IF($E379=0,0,IF(MIN(BI$38,$E379)&lt;MAX($P$34*($B379+$I$38-1),IF(AND($L$37=0,$P$34=0),"",$L$37-1)),0,YEARFRAC(MAX($P$34*($B379+$I$38-1),IF(AND($L$37=0,$P$34=0),"",$L$37-1)),MIN(BI$38,$E379),$P$20))-SUM($BF379:BH379))</f>
        <v>0</v>
      </c>
      <c r="BJ379" s="446">
        <f>IF($E379=0,0,IF(MIN(BJ$38,$E379)&lt;MAX($P$34*($B379+$I$38-1),IF(AND($L$37=0,$P$34=0),"",$L$37-1)),0,YEARFRAC(MAX($P$34*($B379+$I$38-1),IF(AND($L$37=0,$P$34=0),"",$L$37-1)),MIN(BJ$38,$E379),$P$20))-SUM($BF379:BI379))</f>
        <v>0</v>
      </c>
      <c r="BK379" s="446">
        <f>IF($E379=0,0,IF(MIN(BK$38,$E379)&lt;MAX($P$34*($B379+$I$38-1),IF(AND($L$37=0,$P$34=0),"",$L$37-1)),0,YEARFRAC(MAX($P$34*($B379+$I$38-1),IF(AND($L$37=0,$P$34=0),"",$L$37-1)),MIN(BK$38,$E379),$P$20))-SUM($BF379:BJ379))</f>
        <v>0</v>
      </c>
      <c r="BL379" s="446">
        <f>IF($E379=0,0,IF(MIN(BL$38,$E379)&lt;MAX($P$34*($B379+$I$38-1),IF(AND($L$37=0,$P$34=0),"",$L$37-1)),0,YEARFRAC(MAX($P$34*($B379+$I$38-1),IF(AND($L$37=0,$P$34=0),"",$L$37-1)),MIN(BL$38,$E379),$P$20))-SUM($BF379:BK379))</f>
        <v>0</v>
      </c>
      <c r="BM379" s="446">
        <f>IF($E379=0,0,IF(MIN(BM$38,$E379)&lt;MAX($P$34*($B379+$I$38-1),IF(AND($L$37=0,$P$34=0),"",$L$37-1)),0,YEARFRAC(MAX($P$34*($B379+$I$38-1),IF(AND($L$37=0,$P$34=0),"",$L$37-1)),MIN(BM$38,$E379),$P$20))-SUM($BF379:BL379))</f>
        <v>0</v>
      </c>
      <c r="BN379" s="446">
        <f>IF($E379=0,0,IF(MIN(BN$38,$E379)&lt;MAX($P$34*($B379+$I$38-1),IF(AND($L$37=0,$P$34=0),"",$L$37-1)),0,YEARFRAC(MAX($P$34*($B379+$I$38-1),IF(AND($L$37=0,$P$34=0),"",$L$37-1)),MIN(BN$38,$E379),$P$20))-SUM($BF379:BM379))</f>
        <v>0</v>
      </c>
      <c r="BO379" s="446">
        <f>IF($E379=0,0,IF(MIN(BO$38,$E379)&lt;MAX($P$34*($B379+$I$38-1),IF(AND($L$37=0,$P$34=0),"",$L$37-1)),0,YEARFRAC(MAX($P$34*($B379+$I$38-1),IF(AND($L$37=0,$P$34=0),"",$L$37-1)),MIN(BO$38,$E379),$P$20))-SUM($BF379:BN379))</f>
        <v>0</v>
      </c>
      <c r="BP379" s="446">
        <f>IF($E379=0,0,IF(MIN(BP$38,$E379)&lt;MAX($P$34*($B379+$I$38-1),IF(AND($L$37=0,$P$34=0),"",$L$37-1)),0,YEARFRAC(MAX($P$34*($B379+$I$38-1),IF(AND($L$37=0,$P$34=0),"",$L$37-1)),MIN(BP$38,$E379),$P$20))-SUM($BF379:BO379))</f>
        <v>0</v>
      </c>
      <c r="BQ379" s="446">
        <f>IF($E379=0,0,IF(MIN(BQ$38,$E379)&lt;MAX($P$34*($B379+$I$38-1),IF(AND($L$37=0,$P$34=0),"",$L$37-1)),0,YEARFRAC(MAX($P$34*($B379+$I$38-1),IF(AND($L$37=0,$P$34=0),"",$L$37-1)),MIN(BQ$38,$E379),$P$20))-SUM($BF379:BP379))</f>
        <v>0</v>
      </c>
      <c r="BR379" s="446">
        <f>IF($E379=0,0,IF(MIN(BR$38,$E379)&lt;MAX($P$34*($B379+$I$38-1),IF(AND($L$37=0,$P$34=0),"",$L$37-1)),0,YEARFRAC(MAX($P$34*($B379+$I$38-1),IF(AND($L$37=0,$P$34=0),"",$L$37-1)),MIN(BR$38,$E379),$P$20))-SUM($BF379:BQ379))</f>
        <v>0</v>
      </c>
      <c r="BS379" s="446">
        <f>IF($E379=0,0,IF(MIN(BS$38,$E379)&lt;MAX($P$34*($B379+$I$38-1),IF(AND($L$37=0,$P$34=0),"",$L$37-1)),0,YEARFRAC(MAX($P$34*($B379+$I$38-1),IF(AND($L$37=0,$P$34=0),"",$L$37-1)),MIN(BS$38,$E379),$P$20))-SUM($BF379:BR379))</f>
        <v>0</v>
      </c>
      <c r="BT379" s="446">
        <f>IF($E379=0,0,IF(MIN(BT$38,$E379)&lt;MAX($P$34*($B379+$I$38-1),IF(AND($L$37=0,$P$34=0),"",$L$37-1)),0,YEARFRAC(MAX($P$34*($B379+$I$38-1),IF(AND($L$37=0,$P$34=0),"",$L$37-1)),MIN(BT$38,$E379),$P$20))-SUM($BF379:BS379))</f>
        <v>0</v>
      </c>
      <c r="BU379" s="446">
        <f>IF($E379=0,0,IF(MIN(BU$38,$E379)&lt;MAX($P$34*($B379+$I$38-1),IF(AND($L$37=0,$P$34=0),"",$L$37-1)),0,YEARFRAC(MAX($P$34*($B379+$I$38-1),IF(AND($L$37=0,$P$34=0),"",$L$37-1)),MIN(BU$38,$E379),$P$20))-SUM($BF379:BT379))</f>
        <v>0</v>
      </c>
      <c r="BV379" s="446">
        <f>IF($E379=0,0,IF(MIN(BV$38,$E379)&lt;MAX($P$34*($B379+$I$38-1),IF(AND($L$37=0,$P$34=0),"",$L$37-1)),0,YEARFRAC(MAX($P$34*($B379+$I$38-1),IF(AND($L$37=0,$P$34=0),"",$L$37-1)),MIN(BV$38,$E379),$P$20))-SUM($BF379:BU379))</f>
        <v>0</v>
      </c>
      <c r="BW379" s="446">
        <f>IF($E379=0,0,IF(MIN(BW$38,$E379)&lt;MAX($P$34*($B379+$I$38-1),IF(AND($L$37=0,$P$34=0),"",$L$37-1)),0,YEARFRAC(MAX($P$34*($B379+$I$38-1),IF(AND($L$37=0,$P$34=0),"",$L$37-1)),MIN(BW$38,$E379),$P$20))-SUM($BF379:BV379))</f>
        <v>0</v>
      </c>
      <c r="BX379" s="446">
        <f>IF($E379=0,0,IF(MIN(BX$38,$E379)&lt;MAX($P$34*($B379+$I$38-1),IF(AND($L$37=0,$P$34=0),"",$L$37-1)),0,YEARFRAC(MAX($P$34*($B379+$I$38-1),IF(AND($L$37=0,$P$34=0),"",$L$37-1)),MIN(BX$38,$E379),$P$20))-SUM($BF379:BW379))</f>
        <v>0</v>
      </c>
      <c r="BY379" s="446">
        <f>IF($E379=0,0,IF(MIN(BY$38,$E379)&lt;MAX($P$34*($B379+$I$38-1),IF(AND($L$37=0,$P$34=0),"",$L$37-1)),0,YEARFRAC(MAX($P$34*($B379+$I$38-1),IF(AND($L$37=0,$P$34=0),"",$L$37-1)),MIN(BY$38,$E379),$P$20))-SUM($BF379:BX379))</f>
        <v>0</v>
      </c>
      <c r="BZ379" s="446">
        <f>IF($E379=0,0,IF(MIN(BZ$38,$E379)&lt;MAX($P$34*($B379+$I$38-1),IF(AND($L$37=0,$P$34=0),"",$L$37-1)),0,YEARFRAC(MAX($P$34*($B379+$I$38-1),IF(AND($L$37=0,$P$34=0),"",$L$37-1)),MIN(BZ$38,$E379),$P$20))-SUM($BF379:BY379))</f>
        <v>0</v>
      </c>
      <c r="CA379" s="446">
        <f>IF($E379=0,0,IF(MIN(CA$38,$E379)&lt;MAX($P$34*($B379+$I$38-1),IF(AND($L$37=0,$P$34=0),"",$L$37-1)),0,YEARFRAC(MAX($P$34*($B379+$I$38-1),IF(AND($L$37=0,$P$34=0),"",$L$37-1)),MIN(CA$38,$E379),$P$20))-SUM($BF379:BZ379))</f>
        <v>0</v>
      </c>
      <c r="CB379" s="446">
        <f>IF($E379=0,0,IF(MIN(CB$38,$E379)&lt;MAX($P$34*($B379+$I$38-1),IF(AND($L$37=0,$P$34=0),"",$L$37-1)),0,YEARFRAC(MAX($P$34*($B379+$I$38-1),IF(AND($L$37=0,$P$34=0),"",$L$37-1)),MIN(CB$38,$E379),$P$20))-SUM($BF379:CA379))</f>
        <v>0</v>
      </c>
      <c r="CC379" s="446">
        <f>IF($E379=0,0,IF(MIN(CC$38,$E379)&lt;MAX($P$34*($B379+$I$38-1),IF(AND($L$37=0,$P$34=0),"",$L$37-1)),0,YEARFRAC(MAX($P$34*($B379+$I$38-1),IF(AND($L$37=0,$P$34=0),"",$L$37-1)),MIN(CC$38,$E379),$P$20))-SUM($BF379:CB379))</f>
        <v>0</v>
      </c>
      <c r="CD379" s="446">
        <f>IF($E379=0,0,IF(MIN(CD$38,$E379)&lt;MAX($P$34*($B379+$I$38-1),IF(AND($L$37=0,$P$34=0),"",$L$37-1)),0,YEARFRAC(MAX($P$34*($B379+$I$38-1),IF(AND($L$37=0,$P$34=0),"",$L$37-1)),MIN(CD$38,$E379),$P$20))-SUM($BF379:CC379))</f>
        <v>0</v>
      </c>
      <c r="CE379" s="446">
        <f>IF($E379=0,0,IF(MIN(CE$38,$E379)&lt;MAX($P$34*($B379+$I$38-1),IF(AND($L$37=0,$P$34=0),"",$L$37-1)),0,YEARFRAC(MAX($P$34*($B379+$I$38-1),IF(AND($L$37=0,$P$34=0),"",$L$37-1)),MIN(CE$38,$E379),$P$20))-SUM($BF379:CD379))</f>
        <v>0</v>
      </c>
      <c r="CF379" s="446">
        <f>IF($E379=0,0,IF(MIN(CF$38,$E379)&lt;MAX($P$34*($B379+$I$38-1),IF(AND($L$37=0,$P$34=0),"",$L$37-1)),0,YEARFRAC(MAX($P$34*($B379+$I$38-1),IF(AND($L$37=0,$P$34=0),"",$L$37-1)),MIN(CF$38,$E379),$P$20))-SUM($BF379:CE379))</f>
        <v>0</v>
      </c>
      <c r="CG379" s="446">
        <f>IF($E379=0,0,IF(MIN(CG$38,$E379)&lt;MAX($P$34*($B379+$I$38-1),IF(AND($L$37=0,$P$34=0),"",$L$37-1)),0,YEARFRAC(MAX($P$34*($B379+$I$38-1),IF(AND($L$37=0,$P$34=0),"",$L$37-1)),MIN(CG$38,$E379),$P$20))-SUM($BF379:CF379))</f>
        <v>0</v>
      </c>
      <c r="CH379" s="446">
        <f>IF($E379=0,0,IF(MIN(CH$38,$E379)&lt;MAX($P$34*($B379+$I$38-1),IF(AND($L$37=0,$P$34=0),"",$L$37-1)),0,YEARFRAC(MAX($P$34*($B379+$I$38-1),IF(AND($L$37=0,$P$34=0),"",$L$37-1)),MIN(CH$38,$E379),$P$20))-SUM($BF379:CG379))</f>
        <v>0</v>
      </c>
      <c r="CI379" s="446">
        <f>IF($E379=0,0,IF(MIN(CI$38,$E379)&lt;MAX($P$34*($B379+$I$38-1),IF(AND($L$37=0,$P$34=0),"",$L$37-1)),0,YEARFRAC(MAX($P$34*($B379+$I$38-1),IF(AND($L$37=0,$P$34=0),"",$L$37-1)),MIN(CI$38,$E379),$P$20))-SUM($BF379:CH379))</f>
        <v>0</v>
      </c>
      <c r="CJ379" s="446">
        <f>IF($E379=0,0,IF(MIN(CJ$38,$E379)&lt;MAX($P$34*($B379+$I$38-1),IF(AND($L$37=0,$P$34=0),"",$L$37-1)),0,YEARFRAC(MAX($P$34*($B379+$I$38-1),IF(AND($L$37=0,$P$34=0),"",$L$37-1)),MIN(CJ$38,$E379),$P$20))-SUM($BF379:CI379))</f>
        <v>0</v>
      </c>
      <c r="CK379" s="446">
        <f>IF($E379=0,0,IF(MIN(CK$38,$E379)&lt;MAX($P$34*($B379+$I$38-1),IF(AND($L$37=0,$P$34=0),"",$L$37-1)),0,YEARFRAC(MAX($P$34*($B379+$I$38-1),IF(AND($L$37=0,$P$34=0),"",$L$37-1)),MIN(CK$38,$E379),$P$20))-SUM($BF379:CJ379))</f>
        <v>0</v>
      </c>
      <c r="CL379" s="446">
        <f>IF($E379=0,0,IF(MIN(CL$38,$E379)&lt;MAX($P$34*($B379+$I$38-1),IF(AND($L$37=0,$P$34=0),"",$L$37-1)),0,YEARFRAC(MAX($P$34*($B379+$I$38-1),IF(AND($L$37=0,$P$34=0),"",$L$37-1)),MIN(CL$38,$E379),$P$20))-SUM($BF379:CK379))</f>
        <v>0</v>
      </c>
      <c r="CM379" s="446">
        <f>IF($E379=0,0,IF(MIN(CM$38,$E379)&lt;MAX($P$34*($B379+$I$38-1),IF(AND($L$37=0,$P$34=0),"",$L$37-1)),0,YEARFRAC(MAX($P$34*($B379+$I$38-1),IF(AND($L$37=0,$P$34=0),"",$L$37-1)),MIN(CM$38,$E379),$P$20))-SUM($BF379:CL379))</f>
        <v>0</v>
      </c>
      <c r="CN379" s="446">
        <f>IF($E379=0,0,IF(MIN(CN$38,$E379)&lt;MAX($P$34*($B379+$I$38-1),IF(AND($L$37=0,$P$34=0),"",$L$37-1)),0,YEARFRAC(MAX($P$34*($B379+$I$38-1),IF(AND($L$37=0,$P$34=0),"",$L$37-1)),MIN(CN$38,$E379),$P$20))-SUM($BF379:CM379))</f>
        <v>0</v>
      </c>
      <c r="CO379" s="446">
        <f>IF($E379=0,0,IF(MIN(CO$38,$E379)&lt;MAX($P$34*($B379+$I$38-1),IF(AND($L$37=0,$P$34=0),"",$L$37-1)),0,YEARFRAC(MAX($P$34*($B379+$I$38-1),IF(AND($L$37=0,$P$34=0),"",$L$37-1)),MIN(CO$38,$E379),$P$20))-SUM($BF379:CN379))</f>
        <v>0</v>
      </c>
      <c r="CP379" s="446">
        <f>IF($E379=0,0,IF(MIN(CP$38,$E379)&lt;MAX($P$34*($B379+$I$38-1),IF(AND($L$37=0,$P$34=0),"",$L$37-1)),0,YEARFRAC(MAX($P$34*($B379+$I$38-1),IF(AND($L$37=0,$P$34=0),"",$L$37-1)),MIN(CP$38,$E379),$P$20))-SUM($BF379:CO379))</f>
        <v>0</v>
      </c>
      <c r="CQ379" s="446">
        <f>IF($E379=0,0,IF(MIN(CQ$38,$E379)&lt;MAX($P$34*($B379+$I$38-1),IF(AND($L$37=0,$P$34=0),"",$L$37-1)),0,YEARFRAC(MAX($P$34*($B379+$I$38-1),IF(AND($L$37=0,$P$34=0),"",$L$37-1)),MIN(CQ$38,$E379),$P$20))-SUM($BF379:CP379))</f>
        <v>0</v>
      </c>
    </row>
    <row r="380" spans="1:95" s="446" customFormat="1" ht="11.25" hidden="1" customHeight="1" x14ac:dyDescent="0.2">
      <c r="A380" s="152"/>
      <c r="B380" s="153" t="str">
        <f t="shared" si="70"/>
        <v/>
      </c>
      <c r="C380" s="29" t="str">
        <f>IF(B380="","",IF($L$35="SELIC - TRIBUTOS",VLOOKUP(DATE(YEAR($D$19),MONTH($D$19)-1,1),ÍNDICES!$A:$DE,HLOOKUP($BL$25,ÍNDICES!$B$3:$T$4,2)+11)-VLOOKUP(B380,ÍNDICES!$A:$DE,HLOOKUP($BL$25,ÍNDICES!$B$3:$T$4,2)+11)+1%,IF(C$38=$W$26,$J$35,IF(ISERROR(IF(B380&gt;$D$19,1,VLOOKUP(DATE(YEAR(B380),MONTH(B380)+IF($C$35=$S$23,1,0),1),ÍNDICES!$A:$DE,$Z$35+1))),"",IF(B380&gt;$D$19,1,VLOOKUP(DATE(YEAR(B380),MONTH(B380)+IF($C$35=$S$23,1,0),1),ÍNDICES!$A:$DE,$Z$35+1))))))</f>
        <v/>
      </c>
      <c r="D380" s="154" t="str">
        <f>IF(ISERROR(IF(OR($D$38=$Y$27,$B380=""),"",VLOOKUP(B380,ÍNDICES!A:DE,AF$35+1))),"",IF(OR($D$38=$Y$27,$B380=""),"",VLOOKUP(B380,ÍNDICES!A:DE,AF$35+1)))</f>
        <v/>
      </c>
      <c r="E380" s="153"/>
      <c r="F380" s="29" t="str">
        <f>IF(E380="","",IF($L$35="SELIC - TRIBUTOS",VLOOKUP(DATE(YEAR($D$19),MONTH($D$19)-1,1),ÍNDICES!$A:$DE,HLOOKUP($BL$25,ÍNDICES!$B$3:$T$4,2)+11)-VLOOKUP(E380,ÍNDICES!$A:$DE,HLOOKUP($BL$25,ÍNDICES!$B$3:$T$4,2)+11)+1%,IF(F$38=$W$26,$J$35,IF(ISERROR(IF(E380&gt;$D$19,1,VLOOKUP(DATE(YEAR(E380),MONTH(E380)+IF($C$35=$S$23,1,0),1),ÍNDICES!$A:$DE,$Z$35+1))),"",IF(E380&gt;$D$19,1,VLOOKUP(DATE(YEAR(E380),MONTH(E380)+IF($C$35=$S$23,1,0),1),ÍNDICES!$A:$DE,$Z$35+1))))))</f>
        <v/>
      </c>
      <c r="G380" s="155"/>
      <c r="H380" s="156" t="str">
        <f t="shared" si="66"/>
        <v/>
      </c>
      <c r="I380" s="29" t="str">
        <f t="shared" si="60"/>
        <v/>
      </c>
      <c r="J380" s="5">
        <f t="shared" si="61"/>
        <v>0</v>
      </c>
      <c r="K380" s="20">
        <f t="shared" ca="1" si="62"/>
        <v>0</v>
      </c>
      <c r="L380" s="5">
        <f t="shared" ca="1" si="63"/>
        <v>0</v>
      </c>
      <c r="M380" s="64">
        <f t="shared" si="67"/>
        <v>0</v>
      </c>
      <c r="N380" s="61">
        <f t="shared" ca="1" si="68"/>
        <v>0</v>
      </c>
      <c r="O380" s="5">
        <f t="shared" ca="1" si="69"/>
        <v>0</v>
      </c>
      <c r="P380" s="446" t="e">
        <f t="shared" si="64"/>
        <v>#VALUE!</v>
      </c>
      <c r="Q380" s="446" t="e">
        <f>IF(OR($B380="",MIN(Q$38,$D$19)&lt;MAX($P$34*($B380+IF($R$17="Distrato",$I$38-1,0)),IF(AND($L$37=0,$P$34=0),"",$L$37-1),IF($R$17="Distrato",$E380,0))),0,YEARFRAC(MAX($P$34*($B380+IF($R$17="Distrato",$I$38-1,0)),IF(AND($L$37=0,$P$34=0),"",$L$37-1),IF($R$17="Distrato",$E380,0)),MIN(Q$38,$D$19),$P$20))-SUM($P380:P380)</f>
        <v>#VALUE!</v>
      </c>
      <c r="R380" s="446" t="e">
        <f>IF(OR($B380="",MIN(R$38,$D$19)&lt;MAX($P$34*($B380+IF($R$17="Distrato",$I$38-1,0)),IF(AND($L$37=0,$P$34=0),"",$L$37-1),IF($R$17="Distrato",$E380,0))),0,YEARFRAC(MAX($P$34*($B380+IF($R$17="Distrato",$I$38-1,0)),IF(AND($L$37=0,$P$34=0),"",$L$37-1),IF($R$17="Distrato",$E380,0)),MIN(R$38,$D$19),$P$20))-SUM($P380:Q380)</f>
        <v>#VALUE!</v>
      </c>
      <c r="S380" s="446" t="e">
        <f>IF(OR($B380="",MIN(S$38,$D$19)&lt;MAX($P$34*($B380+IF($R$17="Distrato",$I$38-1,0)),IF(AND($L$37=0,$P$34=0),"",$L$37-1),IF($R$17="Distrato",$E380,0))),0,YEARFRAC(MAX($P$34*($B380+IF($R$17="Distrato",$I$38-1,0)),IF(AND($L$37=0,$P$34=0),"",$L$37-1),IF($R$17="Distrato",$E380,0)),MIN(S$38,$D$19),$P$20))-SUM($P380:R380)</f>
        <v>#VALUE!</v>
      </c>
      <c r="T380" s="446" t="e">
        <f>IF(OR($B380="",MIN(T$38,$D$19)&lt;MAX($P$34*($B380+IF($R$17="Distrato",$I$38-1,0)),IF(AND($L$37=0,$P$34=0),"",$L$37-1),IF($R$17="Distrato",$E380,0))),0,YEARFRAC(MAX($P$34*($B380+IF($R$17="Distrato",$I$38-1,0)),IF(AND($L$37=0,$P$34=0),"",$L$37-1),IF($R$17="Distrato",$E380,0)),MIN(T$38,$D$19),$P$20))-SUM($P380:S380)</f>
        <v>#VALUE!</v>
      </c>
      <c r="U380" s="446" t="e">
        <f>IF(OR($B380="",MIN(U$38,$D$19)&lt;MAX($P$34*($B380+IF($R$17="Distrato",$I$38-1,0)),IF(AND($L$37=0,$P$34=0),"",$L$37-1),IF($R$17="Distrato",$E380,0))),0,YEARFRAC(MAX($P$34*($B380+IF($R$17="Distrato",$I$38-1,0)),IF(AND($L$37=0,$P$34=0),"",$L$37-1),IF($R$17="Distrato",$E380,0)),MIN(U$38,$D$19),$P$20))-SUM($P380:T380)</f>
        <v>#VALUE!</v>
      </c>
      <c r="V380" s="446" t="e">
        <f>IF(OR($B380="",MIN(V$38,$D$19)&lt;MAX($P$34*($B380+IF($R$17="Distrato",$I$38-1,0)),IF(AND($L$37=0,$P$34=0),"",$L$37-1),IF($R$17="Distrato",$E380,0))),0,YEARFRAC(MAX($P$34*($B380+IF($R$17="Distrato",$I$38-1,0)),IF(AND($L$37=0,$P$34=0),"",$L$37-1),IF($R$17="Distrato",$E380,0)),MIN(V$38,$D$19),$P$20))-SUM($P380:U380)</f>
        <v>#VALUE!</v>
      </c>
      <c r="W380" s="446" t="e">
        <f>IF(OR($B380="",MIN(W$38,$D$19)&lt;MAX($P$34*($B380+IF($R$17="Distrato",$I$38-1,0)),IF(AND($L$37=0,$P$34=0),"",$L$37-1),IF($R$17="Distrato",$E380,0))),0,YEARFRAC(MAX($P$34*($B380+IF($R$17="Distrato",$I$38-1,0)),IF(AND($L$37=0,$P$34=0),"",$L$37-1),IF($R$17="Distrato",$E380,0)),MIN(W$38,$D$19),$P$20))-SUM($P380:V380)</f>
        <v>#VALUE!</v>
      </c>
      <c r="X380" s="446" t="e">
        <f>IF(OR($B380="",MIN(X$38,$D$19)&lt;MAX($P$34*($B380+IF($R$17="Distrato",$I$38-1,0)),IF(AND($L$37=0,$P$34=0),"",$L$37-1),IF($R$17="Distrato",$E380,0))),0,YEARFRAC(MAX($P$34*($B380+IF($R$17="Distrato",$I$38-1,0)),IF(AND($L$37=0,$P$34=0),"",$L$37-1),IF($R$17="Distrato",$E380,0)),MIN(X$38,$D$19),$P$20))-SUM($P380:W380)</f>
        <v>#VALUE!</v>
      </c>
      <c r="Y380" s="446" t="e">
        <f>IF(OR($B380="",MIN(Y$38,$D$19)&lt;MAX($P$34*($B380+IF($R$17="Distrato",$I$38-1,0)),IF(AND($L$37=0,$P$34=0),"",$L$37-1),IF($R$17="Distrato",$E380,0))),0,YEARFRAC(MAX($P$34*($B380+IF($R$17="Distrato",$I$38-1,0)),IF(AND($L$37=0,$P$34=0),"",$L$37-1),IF($R$17="Distrato",$E380,0)),MIN(Y$38,$D$19),$P$20))-SUM($P380:X380)</f>
        <v>#VALUE!</v>
      </c>
      <c r="Z380" s="446" t="e">
        <f>IF(OR($B380="",MIN(Z$38,$D$19)&lt;MAX($P$34*($B380+IF($R$17="Distrato",$I$38-1,0)),IF(AND($L$37=0,$P$34=0),"",$L$37-1),IF($R$17="Distrato",$E380,0))),0,YEARFRAC(MAX($P$34*($B380+IF($R$17="Distrato",$I$38-1,0)),IF(AND($L$37=0,$P$34=0),"",$L$37-1),IF($R$17="Distrato",$E380,0)),MIN(Z$38,$D$19),$P$20))-SUM($P380:Y380)</f>
        <v>#VALUE!</v>
      </c>
      <c r="AA380" s="446" t="e">
        <f>IF(OR($B380="",MIN(AA$38,$D$19)&lt;MAX($P$34*($B380+IF($R$17="Distrato",$I$38-1,0)),IF(AND($L$37=0,$P$34=0),"",$L$37-1),IF($R$17="Distrato",$E380,0))),0,YEARFRAC(MAX($P$34*($B380+IF($R$17="Distrato",$I$38-1,0)),IF(AND($L$37=0,$P$34=0),"",$L$37-1),IF($R$17="Distrato",$E380,0)),MIN(AA$38,$D$19),$P$20))-SUM($P380:Z380)</f>
        <v>#VALUE!</v>
      </c>
      <c r="AB380" s="446" t="e">
        <f>IF(OR($B380="",MIN(AB$38,$D$19)&lt;MAX($P$34*($B380+IF($R$17="Distrato",$I$38-1,0)),IF(AND($L$37=0,$P$34=0),"",$L$37-1),IF($R$17="Distrato",$E380,0))),0,YEARFRAC(MAX($P$34*($B380+IF($R$17="Distrato",$I$38-1,0)),IF(AND($L$37=0,$P$34=0),"",$L$37-1),IF($R$17="Distrato",$E380,0)),MIN(AB$38,$D$19),$P$20))-SUM($P380:AA380)</f>
        <v>#VALUE!</v>
      </c>
      <c r="AC380" s="446" t="e">
        <f>IF(OR($B380="",MIN(AC$38,$D$19)&lt;MAX($P$34*($B380+IF($R$17="Distrato",$I$38-1,0)),IF(AND($L$37=0,$P$34=0),"",$L$37-1),IF($R$17="Distrato",$E380,0))),0,YEARFRAC(MAX($P$34*($B380+IF($R$17="Distrato",$I$38-1,0)),IF(AND($L$37=0,$P$34=0),"",$L$37-1),IF($R$17="Distrato",$E380,0)),MIN(AC$38,$D$19),$P$20))-SUM($P380:AB380)</f>
        <v>#VALUE!</v>
      </c>
      <c r="AD380" s="446" t="e">
        <f>IF(OR($B380="",MIN(AD$38,$D$19)&lt;MAX($P$34*($B380+IF($R$17="Distrato",$I$38-1,0)),IF(AND($L$37=0,$P$34=0),"",$L$37-1),IF($R$17="Distrato",$E380,0))),0,YEARFRAC(MAX($P$34*($B380+IF($R$17="Distrato",$I$38-1,0)),IF(AND($L$37=0,$P$34=0),"",$L$37-1),IF($R$17="Distrato",$E380,0)),MIN(AD$38,$D$19),$P$20))-SUM($P380:AC380)</f>
        <v>#VALUE!</v>
      </c>
      <c r="AE380" s="446" t="e">
        <f>IF(OR($B380="",MIN(AE$38,$D$19)&lt;MAX($P$34*($B380+IF($R$17="Distrato",$I$38-1,0)),IF(AND($L$37=0,$P$34=0),"",$L$37-1),IF($R$17="Distrato",$E380,0))),0,YEARFRAC(MAX($P$34*($B380+IF($R$17="Distrato",$I$38-1,0)),IF(AND($L$37=0,$P$34=0),"",$L$37-1),IF($R$17="Distrato",$E380,0)),MIN(AE$38,$D$19),$P$20))-SUM($P380:AD380)</f>
        <v>#VALUE!</v>
      </c>
      <c r="AF380" s="446" t="e">
        <f>IF(OR($B380="",MIN(AF$38,$D$19)&lt;MAX($P$34*($B380+IF($R$17="Distrato",$I$38-1,0)),IF(AND($L$37=0,$P$34=0),"",$L$37-1),IF($R$17="Distrato",$E380,0))),0,YEARFRAC(MAX($P$34*($B380+IF($R$17="Distrato",$I$38-1,0)),IF(AND($L$37=0,$P$34=0),"",$L$37-1),IF($R$17="Distrato",$E380,0)),MIN(AF$38,$D$19),$P$20))-SUM($P380:AE380)</f>
        <v>#VALUE!</v>
      </c>
      <c r="AG380" s="446" t="e">
        <f>IF(OR($B380="",MIN(AG$38,$D$19)&lt;MAX($P$34*($B380+IF($R$17="Distrato",$I$38-1,0)),IF(AND($L$37=0,$P$34=0),"",$L$37-1),IF($R$17="Distrato",$E380,0))),0,YEARFRAC(MAX($P$34*($B380+IF($R$17="Distrato",$I$38-1,0)),IF(AND($L$37=0,$P$34=0),"",$L$37-1),IF($R$17="Distrato",$E380,0)),MIN(AG$38,$D$19),$P$20))-SUM($P380:AF380)</f>
        <v>#VALUE!</v>
      </c>
      <c r="AH380" s="446" t="e">
        <f>IF(OR($B380="",MIN(AH$38,$D$19)&lt;MAX($P$34*($B380+IF($R$17="Distrato",$I$38-1,0)),IF(AND($L$37=0,$P$34=0),"",$L$37-1),IF($R$17="Distrato",$E380,0))),0,YEARFRAC(MAX($P$34*($B380+IF($R$17="Distrato",$I$38-1,0)),IF(AND($L$37=0,$P$34=0),"",$L$37-1),IF($R$17="Distrato",$E380,0)),MIN(AH$38,$D$19),$P$20))-SUM($P380:AG380)</f>
        <v>#VALUE!</v>
      </c>
      <c r="AI380" s="446" t="e">
        <f>IF(OR($B380="",MIN(AI$38,$D$19)&lt;MAX($P$34*($B380+IF($R$17="Distrato",$I$38-1,0)),IF(AND($L$37=0,$P$34=0),"",$L$37-1),IF($R$17="Distrato",$E380,0))),0,YEARFRAC(MAX($P$34*($B380+IF($R$17="Distrato",$I$38-1,0)),IF(AND($L$37=0,$P$34=0),"",$L$37-1),IF($R$17="Distrato",$E380,0)),MIN(AI$38,$D$19),$P$20))-SUM($P380:AH380)</f>
        <v>#VALUE!</v>
      </c>
      <c r="AJ380" s="446" t="e">
        <f>IF(OR($B380="",MIN(AJ$38,$D$19)&lt;MAX($P$34*($B380+IF($R$17="Distrato",$I$38-1,0)),IF(AND($L$37=0,$P$34=0),"",$L$37-1),IF($R$17="Distrato",$E380,0))),0,YEARFRAC(MAX($P$34*($B380+IF($R$17="Distrato",$I$38-1,0)),IF(AND($L$37=0,$P$34=0),"",$L$37-1),IF($R$17="Distrato",$E380,0)),MIN(AJ$38,$D$19),$P$20))-SUM($P380:AI380)</f>
        <v>#VALUE!</v>
      </c>
      <c r="AK380" s="446" t="e">
        <f>IF(OR($B380="",MIN(AK$38,$D$19)&lt;MAX($P$34*($B380+IF($R$17="Distrato",$I$38-1,0)),IF(AND($L$37=0,$P$34=0),"",$L$37-1),IF($R$17="Distrato",$E380,0))),0,YEARFRAC(MAX($P$34*($B380+IF($R$17="Distrato",$I$38-1,0)),IF(AND($L$37=0,$P$34=0),"",$L$37-1),IF($R$17="Distrato",$E380,0)),MIN(AK$38,$D$19),$P$20))-SUM($P380:AJ380)</f>
        <v>#VALUE!</v>
      </c>
      <c r="AL380" s="446" t="e">
        <f>IF(OR($B380="",MIN(AL$38,$D$19)&lt;MAX($P$34*($B380+IF($R$17="Distrato",$I$38-1,0)),IF(AND($L$37=0,$P$34=0),"",$L$37-1),IF($R$17="Distrato",$E380,0))),0,YEARFRAC(MAX($P$34*($B380+IF($R$17="Distrato",$I$38-1,0)),IF(AND($L$37=0,$P$34=0),"",$L$37-1),IF($R$17="Distrato",$E380,0)),MIN(AL$38,$D$19),$P$20))-SUM($P380:AK380)</f>
        <v>#VALUE!</v>
      </c>
      <c r="AM380" s="446" t="e">
        <f>IF(OR($B380="",MIN(AM$38,$D$19)&lt;MAX($P$34*($B380+IF($R$17="Distrato",$I$38-1,0)),IF(AND($L$37=0,$P$34=0),"",$L$37-1),IF($R$17="Distrato",$E380,0))),0,YEARFRAC(MAX($P$34*($B380+IF($R$17="Distrato",$I$38-1,0)),IF(AND($L$37=0,$P$34=0),"",$L$37-1),IF($R$17="Distrato",$E380,0)),MIN(AM$38,$D$19),$P$20))-SUM($P380:AL380)</f>
        <v>#VALUE!</v>
      </c>
      <c r="AN380" s="446" t="e">
        <f>IF(OR($B380="",MIN(AN$38,$D$19)&lt;MAX($P$34*($B380+IF($R$17="Distrato",$I$38-1,0)),IF(AND($L$37=0,$P$34=0),"",$L$37-1),IF($R$17="Distrato",$E380,0))),0,YEARFRAC(MAX($P$34*($B380+IF($R$17="Distrato",$I$38-1,0)),IF(AND($L$37=0,$P$34=0),"",$L$37-1),IF($R$17="Distrato",$E380,0)),MIN(AN$38,$D$19),$P$20))-SUM($P380:AM380)</f>
        <v>#VALUE!</v>
      </c>
      <c r="AO380" s="446" t="e">
        <f>IF(OR($B380="",MIN(AO$38,$D$19)&lt;MAX($P$34*($B380+IF($R$17="Distrato",$I$38-1,0)),IF(AND($L$37=0,$P$34=0),"",$L$37-1),IF($R$17="Distrato",$E380,0))),0,YEARFRAC(MAX($P$34*($B380+IF($R$17="Distrato",$I$38-1,0)),IF(AND($L$37=0,$P$34=0),"",$L$37-1),IF($R$17="Distrato",$E380,0)),MIN(AO$38,$D$19),$P$20))-SUM($P380:AN380)</f>
        <v>#VALUE!</v>
      </c>
      <c r="AP380" s="446" t="e">
        <f>IF(OR($B380="",MIN(AP$38,$D$19)&lt;MAX($P$34*($B380+IF($R$17="Distrato",$I$38-1,0)),IF(AND($L$37=0,$P$34=0),"",$L$37-1),IF($R$17="Distrato",$E380,0))),0,YEARFRAC(MAX($P$34*($B380+IF($R$17="Distrato",$I$38-1,0)),IF(AND($L$37=0,$P$34=0),"",$L$37-1),IF($R$17="Distrato",$E380,0)),MIN(AP$38,$D$19),$P$20))-SUM($P380:AO380)</f>
        <v>#VALUE!</v>
      </c>
      <c r="AQ380" s="446" t="e">
        <f>IF(OR($B380="",MIN(AQ$38,$D$19)&lt;MAX($P$34*($B380+IF($R$17="Distrato",$I$38-1,0)),IF(AND($L$37=0,$P$34=0),"",$L$37-1),IF($R$17="Distrato",$E380,0))),0,YEARFRAC(MAX($P$34*($B380+IF($R$17="Distrato",$I$38-1,0)),IF(AND($L$37=0,$P$34=0),"",$L$37-1),IF($R$17="Distrato",$E380,0)),MIN(AQ$38,$D$19),$P$20))-SUM($P380:AP380)</f>
        <v>#VALUE!</v>
      </c>
      <c r="AR380" s="446" t="e">
        <f>IF(OR($B380="",MIN(AR$38,$D$19)&lt;MAX($P$34*($B380+IF($R$17="Distrato",$I$38-1,0)),IF(AND($L$37=0,$P$34=0),"",$L$37-1),IF($R$17="Distrato",$E380,0))),0,YEARFRAC(MAX($P$34*($B380+IF($R$17="Distrato",$I$38-1,0)),IF(AND($L$37=0,$P$34=0),"",$L$37-1),IF($R$17="Distrato",$E380,0)),MIN(AR$38,$D$19),$P$20))-SUM($P380:AQ380)</f>
        <v>#VALUE!</v>
      </c>
      <c r="AS380" s="446" t="e">
        <f>IF(OR($B380="",MIN(AS$38,$D$19)&lt;MAX($P$34*($B380+IF($R$17="Distrato",$I$38-1,0)),IF(AND($L$37=0,$P$34=0),"",$L$37-1),IF($R$17="Distrato",$E380,0))),0,YEARFRAC(MAX($P$34*($B380+IF($R$17="Distrato",$I$38-1,0)),IF(AND($L$37=0,$P$34=0),"",$L$37-1),IF($R$17="Distrato",$E380,0)),MIN(AS$38,$D$19),$P$20))-SUM($P380:AR380)</f>
        <v>#VALUE!</v>
      </c>
      <c r="AT380" s="446" t="e">
        <f>IF(OR($B380="",MIN(AT$38,$D$19)&lt;MAX($P$34*($B380+IF($R$17="Distrato",$I$38-1,0)),IF(AND($L$37=0,$P$34=0),"",$L$37-1),IF($R$17="Distrato",$E380,0))),0,YEARFRAC(MAX($P$34*($B380+IF($R$17="Distrato",$I$38-1,0)),IF(AND($L$37=0,$P$34=0),"",$L$37-1),IF($R$17="Distrato",$E380,0)),MIN(AT$38,$D$19),$P$20))-SUM($P380:AS380)</f>
        <v>#VALUE!</v>
      </c>
      <c r="AU380" s="446" t="e">
        <f>IF(OR($B380="",MIN(AU$38,$D$19)&lt;MAX($P$34*($B380+IF($R$17="Distrato",$I$38-1,0)),IF(AND($L$37=0,$P$34=0),"",$L$37-1),IF($R$17="Distrato",$E380,0))),0,YEARFRAC(MAX($P$34*($B380+IF($R$17="Distrato",$I$38-1,0)),IF(AND($L$37=0,$P$34=0),"",$L$37-1),IF($R$17="Distrato",$E380,0)),MIN(AU$38,$D$19),$P$20))-SUM($P380:AT380)</f>
        <v>#VALUE!</v>
      </c>
      <c r="AV380" s="446" t="e">
        <f>IF(OR($B380="",MIN(AV$38,$D$19)&lt;MAX($P$34*($B380+IF($R$17="Distrato",$I$38-1,0)),IF(AND($L$37=0,$P$34=0),"",$L$37-1),IF($R$17="Distrato",$E380,0))),0,YEARFRAC(MAX($P$34*($B380+IF($R$17="Distrato",$I$38-1,0)),IF(AND($L$37=0,$P$34=0),"",$L$37-1),IF($R$17="Distrato",$E380,0)),MIN(AV$38,$D$19),$P$20))-SUM($P380:AU380)</f>
        <v>#VALUE!</v>
      </c>
      <c r="AW380" s="446" t="e">
        <f>IF(OR($B380="",MIN(AW$38,$D$19)&lt;MAX($P$34*($B380+IF($R$17="Distrato",$I$38-1,0)),IF(AND($L$37=0,$P$34=0),"",$L$37-1),IF($R$17="Distrato",$E380,0))),0,YEARFRAC(MAX($P$34*($B380+IF($R$17="Distrato",$I$38-1,0)),IF(AND($L$37=0,$P$34=0),"",$L$37-1),IF($R$17="Distrato",$E380,0)),MIN(AW$38,$D$19),$P$20))-SUM($P380:AV380)</f>
        <v>#VALUE!</v>
      </c>
      <c r="AX380" s="446" t="e">
        <f>IF(OR($B380="",MIN(AX$38,$D$19)&lt;MAX($P$34*($B380+IF($R$17="Distrato",$I$38-1,0)),IF(AND($L$37=0,$P$34=0),"",$L$37-1),IF($R$17="Distrato",$E380,0))),0,YEARFRAC(MAX($P$34*($B380+IF($R$17="Distrato",$I$38-1,0)),IF(AND($L$37=0,$P$34=0),"",$L$37-1),IF($R$17="Distrato",$E380,0)),MIN(AX$38,$D$19),$P$20))-SUM($P380:AW380)</f>
        <v>#VALUE!</v>
      </c>
      <c r="AY380" s="446" t="e">
        <f>IF(OR($B380="",MIN(AY$38,$D$19)&lt;MAX($P$34*($B380+IF($R$17="Distrato",$I$38-1,0)),IF(AND($L$37=0,$P$34=0),"",$L$37-1),IF($R$17="Distrato",$E380,0))),0,YEARFRAC(MAX($P$34*($B380+IF($R$17="Distrato",$I$38-1,0)),IF(AND($L$37=0,$P$34=0),"",$L$37-1),IF($R$17="Distrato",$E380,0)),MIN(AY$38,$D$19),$P$20))-SUM($P380:AX380)</f>
        <v>#VALUE!</v>
      </c>
      <c r="AZ380" s="446" t="e">
        <f>IF(OR($B380="",MIN(AZ$38,$D$19)&lt;MAX($P$34*($B380+IF($R$17="Distrato",$I$38-1,0)),IF(AND($L$37=0,$P$34=0),"",$L$37-1),IF($R$17="Distrato",$E380,0))),0,YEARFRAC(MAX($P$34*($B380+IF($R$17="Distrato",$I$38-1,0)),IF(AND($L$37=0,$P$34=0),"",$L$37-1),IF($R$17="Distrato",$E380,0)),MIN(AZ$38,$D$19),$P$20))-SUM($P380:AY380)</f>
        <v>#VALUE!</v>
      </c>
      <c r="BA380" s="446" t="e">
        <f>IF(OR($B380="",MIN(BA$38,$D$19)&lt;MAX($P$34*($B380+IF($R$17="Distrato",$I$38-1,0)),IF(AND($L$37=0,$P$34=0),"",$L$37-1),IF($R$17="Distrato",$E380,0))),0,YEARFRAC(MAX($P$34*($B380+IF($R$17="Distrato",$I$38-1,0)),IF(AND($L$37=0,$P$34=0),"",$L$37-1),IF($R$17="Distrato",$E380,0)),MIN(BA$38,$D$19),$P$20))-SUM($P380:AZ380)</f>
        <v>#VALUE!</v>
      </c>
      <c r="BB380" s="447"/>
      <c r="BF380" s="446">
        <f t="shared" si="65"/>
        <v>0</v>
      </c>
      <c r="BG380" s="446">
        <f>IF($E380=0,0,IF(MIN(BG$38,$E380)&lt;MAX($P$34*($B380+$I$38-1),IF(AND($L$37=0,$P$34=0),"",$L$37-1)),0,YEARFRAC(MAX($P$34*($B380+$I$38-1),IF(AND($L$37=0,$P$34=0),"",$L$37-1)),MIN(BG$38,$E380),$P$20))-SUM($BF380:BF380))</f>
        <v>0</v>
      </c>
      <c r="BH380" s="446">
        <f>IF($E380=0,0,IF(MIN(BH$38,$E380)&lt;MAX($P$34*($B380+$I$38-1),IF(AND($L$37=0,$P$34=0),"",$L$37-1)),0,YEARFRAC(MAX($P$34*($B380+$I$38-1),IF(AND($L$37=0,$P$34=0),"",$L$37-1)),MIN(BH$38,$E380),$P$20))-SUM($BF380:BG380))</f>
        <v>0</v>
      </c>
      <c r="BI380" s="446">
        <f>IF($E380=0,0,IF(MIN(BI$38,$E380)&lt;MAX($P$34*($B380+$I$38-1),IF(AND($L$37=0,$P$34=0),"",$L$37-1)),0,YEARFRAC(MAX($P$34*($B380+$I$38-1),IF(AND($L$37=0,$P$34=0),"",$L$37-1)),MIN(BI$38,$E380),$P$20))-SUM($BF380:BH380))</f>
        <v>0</v>
      </c>
      <c r="BJ380" s="446">
        <f>IF($E380=0,0,IF(MIN(BJ$38,$E380)&lt;MAX($P$34*($B380+$I$38-1),IF(AND($L$37=0,$P$34=0),"",$L$37-1)),0,YEARFRAC(MAX($P$34*($B380+$I$38-1),IF(AND($L$37=0,$P$34=0),"",$L$37-1)),MIN(BJ$38,$E380),$P$20))-SUM($BF380:BI380))</f>
        <v>0</v>
      </c>
      <c r="BK380" s="446">
        <f>IF($E380=0,0,IF(MIN(BK$38,$E380)&lt;MAX($P$34*($B380+$I$38-1),IF(AND($L$37=0,$P$34=0),"",$L$37-1)),0,YEARFRAC(MAX($P$34*($B380+$I$38-1),IF(AND($L$37=0,$P$34=0),"",$L$37-1)),MIN(BK$38,$E380),$P$20))-SUM($BF380:BJ380))</f>
        <v>0</v>
      </c>
      <c r="BL380" s="446">
        <f>IF($E380=0,0,IF(MIN(BL$38,$E380)&lt;MAX($P$34*($B380+$I$38-1),IF(AND($L$37=0,$P$34=0),"",$L$37-1)),0,YEARFRAC(MAX($P$34*($B380+$I$38-1),IF(AND($L$37=0,$P$34=0),"",$L$37-1)),MIN(BL$38,$E380),$P$20))-SUM($BF380:BK380))</f>
        <v>0</v>
      </c>
      <c r="BM380" s="446">
        <f>IF($E380=0,0,IF(MIN(BM$38,$E380)&lt;MAX($P$34*($B380+$I$38-1),IF(AND($L$37=0,$P$34=0),"",$L$37-1)),0,YEARFRAC(MAX($P$34*($B380+$I$38-1),IF(AND($L$37=0,$P$34=0),"",$L$37-1)),MIN(BM$38,$E380),$P$20))-SUM($BF380:BL380))</f>
        <v>0</v>
      </c>
      <c r="BN380" s="446">
        <f>IF($E380=0,0,IF(MIN(BN$38,$E380)&lt;MAX($P$34*($B380+$I$38-1),IF(AND($L$37=0,$P$34=0),"",$L$37-1)),0,YEARFRAC(MAX($P$34*($B380+$I$38-1),IF(AND($L$37=0,$P$34=0),"",$L$37-1)),MIN(BN$38,$E380),$P$20))-SUM($BF380:BM380))</f>
        <v>0</v>
      </c>
      <c r="BO380" s="446">
        <f>IF($E380=0,0,IF(MIN(BO$38,$E380)&lt;MAX($P$34*($B380+$I$38-1),IF(AND($L$37=0,$P$34=0),"",$L$37-1)),0,YEARFRAC(MAX($P$34*($B380+$I$38-1),IF(AND($L$37=0,$P$34=0),"",$L$37-1)),MIN(BO$38,$E380),$P$20))-SUM($BF380:BN380))</f>
        <v>0</v>
      </c>
      <c r="BP380" s="446">
        <f>IF($E380=0,0,IF(MIN(BP$38,$E380)&lt;MAX($P$34*($B380+$I$38-1),IF(AND($L$37=0,$P$34=0),"",$L$37-1)),0,YEARFRAC(MAX($P$34*($B380+$I$38-1),IF(AND($L$37=0,$P$34=0),"",$L$37-1)),MIN(BP$38,$E380),$P$20))-SUM($BF380:BO380))</f>
        <v>0</v>
      </c>
      <c r="BQ380" s="446">
        <f>IF($E380=0,0,IF(MIN(BQ$38,$E380)&lt;MAX($P$34*($B380+$I$38-1),IF(AND($L$37=0,$P$34=0),"",$L$37-1)),0,YEARFRAC(MAX($P$34*($B380+$I$38-1),IF(AND($L$37=0,$P$34=0),"",$L$37-1)),MIN(BQ$38,$E380),$P$20))-SUM($BF380:BP380))</f>
        <v>0</v>
      </c>
      <c r="BR380" s="446">
        <f>IF($E380=0,0,IF(MIN(BR$38,$E380)&lt;MAX($P$34*($B380+$I$38-1),IF(AND($L$37=0,$P$34=0),"",$L$37-1)),0,YEARFRAC(MAX($P$34*($B380+$I$38-1),IF(AND($L$37=0,$P$34=0),"",$L$37-1)),MIN(BR$38,$E380),$P$20))-SUM($BF380:BQ380))</f>
        <v>0</v>
      </c>
      <c r="BS380" s="446">
        <f>IF($E380=0,0,IF(MIN(BS$38,$E380)&lt;MAX($P$34*($B380+$I$38-1),IF(AND($L$37=0,$P$34=0),"",$L$37-1)),0,YEARFRAC(MAX($P$34*($B380+$I$38-1),IF(AND($L$37=0,$P$34=0),"",$L$37-1)),MIN(BS$38,$E380),$P$20))-SUM($BF380:BR380))</f>
        <v>0</v>
      </c>
      <c r="BT380" s="446">
        <f>IF($E380=0,0,IF(MIN(BT$38,$E380)&lt;MAX($P$34*($B380+$I$38-1),IF(AND($L$37=0,$P$34=0),"",$L$37-1)),0,YEARFRAC(MAX($P$34*($B380+$I$38-1),IF(AND($L$37=0,$P$34=0),"",$L$37-1)),MIN(BT$38,$E380),$P$20))-SUM($BF380:BS380))</f>
        <v>0</v>
      </c>
      <c r="BU380" s="446">
        <f>IF($E380=0,0,IF(MIN(BU$38,$E380)&lt;MAX($P$34*($B380+$I$38-1),IF(AND($L$37=0,$P$34=0),"",$L$37-1)),0,YEARFRAC(MAX($P$34*($B380+$I$38-1),IF(AND($L$37=0,$P$34=0),"",$L$37-1)),MIN(BU$38,$E380),$P$20))-SUM($BF380:BT380))</f>
        <v>0</v>
      </c>
      <c r="BV380" s="446">
        <f>IF($E380=0,0,IF(MIN(BV$38,$E380)&lt;MAX($P$34*($B380+$I$38-1),IF(AND($L$37=0,$P$34=0),"",$L$37-1)),0,YEARFRAC(MAX($P$34*($B380+$I$38-1),IF(AND($L$37=0,$P$34=0),"",$L$37-1)),MIN(BV$38,$E380),$P$20))-SUM($BF380:BU380))</f>
        <v>0</v>
      </c>
      <c r="BW380" s="446">
        <f>IF($E380=0,0,IF(MIN(BW$38,$E380)&lt;MAX($P$34*($B380+$I$38-1),IF(AND($L$37=0,$P$34=0),"",$L$37-1)),0,YEARFRAC(MAX($P$34*($B380+$I$38-1),IF(AND($L$37=0,$P$34=0),"",$L$37-1)),MIN(BW$38,$E380),$P$20))-SUM($BF380:BV380))</f>
        <v>0</v>
      </c>
      <c r="BX380" s="446">
        <f>IF($E380=0,0,IF(MIN(BX$38,$E380)&lt;MAX($P$34*($B380+$I$38-1),IF(AND($L$37=0,$P$34=0),"",$L$37-1)),0,YEARFRAC(MAX($P$34*($B380+$I$38-1),IF(AND($L$37=0,$P$34=0),"",$L$37-1)),MIN(BX$38,$E380),$P$20))-SUM($BF380:BW380))</f>
        <v>0</v>
      </c>
      <c r="BY380" s="446">
        <f>IF($E380=0,0,IF(MIN(BY$38,$E380)&lt;MAX($P$34*($B380+$I$38-1),IF(AND($L$37=0,$P$34=0),"",$L$37-1)),0,YEARFRAC(MAX($P$34*($B380+$I$38-1),IF(AND($L$37=0,$P$34=0),"",$L$37-1)),MIN(BY$38,$E380),$P$20))-SUM($BF380:BX380))</f>
        <v>0</v>
      </c>
      <c r="BZ380" s="446">
        <f>IF($E380=0,0,IF(MIN(BZ$38,$E380)&lt;MAX($P$34*($B380+$I$38-1),IF(AND($L$37=0,$P$34=0),"",$L$37-1)),0,YEARFRAC(MAX($P$34*($B380+$I$38-1),IF(AND($L$37=0,$P$34=0),"",$L$37-1)),MIN(BZ$38,$E380),$P$20))-SUM($BF380:BY380))</f>
        <v>0</v>
      </c>
      <c r="CA380" s="446">
        <f>IF($E380=0,0,IF(MIN(CA$38,$E380)&lt;MAX($P$34*($B380+$I$38-1),IF(AND($L$37=0,$P$34=0),"",$L$37-1)),0,YEARFRAC(MAX($P$34*($B380+$I$38-1),IF(AND($L$37=0,$P$34=0),"",$L$37-1)),MIN(CA$38,$E380),$P$20))-SUM($BF380:BZ380))</f>
        <v>0</v>
      </c>
      <c r="CB380" s="446">
        <f>IF($E380=0,0,IF(MIN(CB$38,$E380)&lt;MAX($P$34*($B380+$I$38-1),IF(AND($L$37=0,$P$34=0),"",$L$37-1)),0,YEARFRAC(MAX($P$34*($B380+$I$38-1),IF(AND($L$37=0,$P$34=0),"",$L$37-1)),MIN(CB$38,$E380),$P$20))-SUM($BF380:CA380))</f>
        <v>0</v>
      </c>
      <c r="CC380" s="446">
        <f>IF($E380=0,0,IF(MIN(CC$38,$E380)&lt;MAX($P$34*($B380+$I$38-1),IF(AND($L$37=0,$P$34=0),"",$L$37-1)),0,YEARFRAC(MAX($P$34*($B380+$I$38-1),IF(AND($L$37=0,$P$34=0),"",$L$37-1)),MIN(CC$38,$E380),$P$20))-SUM($BF380:CB380))</f>
        <v>0</v>
      </c>
      <c r="CD380" s="446">
        <f>IF($E380=0,0,IF(MIN(CD$38,$E380)&lt;MAX($P$34*($B380+$I$38-1),IF(AND($L$37=0,$P$34=0),"",$L$37-1)),0,YEARFRAC(MAX($P$34*($B380+$I$38-1),IF(AND($L$37=0,$P$34=0),"",$L$37-1)),MIN(CD$38,$E380),$P$20))-SUM($BF380:CC380))</f>
        <v>0</v>
      </c>
      <c r="CE380" s="446">
        <f>IF($E380=0,0,IF(MIN(CE$38,$E380)&lt;MAX($P$34*($B380+$I$38-1),IF(AND($L$37=0,$P$34=0),"",$L$37-1)),0,YEARFRAC(MAX($P$34*($B380+$I$38-1),IF(AND($L$37=0,$P$34=0),"",$L$37-1)),MIN(CE$38,$E380),$P$20))-SUM($BF380:CD380))</f>
        <v>0</v>
      </c>
      <c r="CF380" s="446">
        <f>IF($E380=0,0,IF(MIN(CF$38,$E380)&lt;MAX($P$34*($B380+$I$38-1),IF(AND($L$37=0,$P$34=0),"",$L$37-1)),0,YEARFRAC(MAX($P$34*($B380+$I$38-1),IF(AND($L$37=0,$P$34=0),"",$L$37-1)),MIN(CF$38,$E380),$P$20))-SUM($BF380:CE380))</f>
        <v>0</v>
      </c>
      <c r="CG380" s="446">
        <f>IF($E380=0,0,IF(MIN(CG$38,$E380)&lt;MAX($P$34*($B380+$I$38-1),IF(AND($L$37=0,$P$34=0),"",$L$37-1)),0,YEARFRAC(MAX($P$34*($B380+$I$38-1),IF(AND($L$37=0,$P$34=0),"",$L$37-1)),MIN(CG$38,$E380),$P$20))-SUM($BF380:CF380))</f>
        <v>0</v>
      </c>
      <c r="CH380" s="446">
        <f>IF($E380=0,0,IF(MIN(CH$38,$E380)&lt;MAX($P$34*($B380+$I$38-1),IF(AND($L$37=0,$P$34=0),"",$L$37-1)),0,YEARFRAC(MAX($P$34*($B380+$I$38-1),IF(AND($L$37=0,$P$34=0),"",$L$37-1)),MIN(CH$38,$E380),$P$20))-SUM($BF380:CG380))</f>
        <v>0</v>
      </c>
      <c r="CI380" s="446">
        <f>IF($E380=0,0,IF(MIN(CI$38,$E380)&lt;MAX($P$34*($B380+$I$38-1),IF(AND($L$37=0,$P$34=0),"",$L$37-1)),0,YEARFRAC(MAX($P$34*($B380+$I$38-1),IF(AND($L$37=0,$P$34=0),"",$L$37-1)),MIN(CI$38,$E380),$P$20))-SUM($BF380:CH380))</f>
        <v>0</v>
      </c>
      <c r="CJ380" s="446">
        <f>IF($E380=0,0,IF(MIN(CJ$38,$E380)&lt;MAX($P$34*($B380+$I$38-1),IF(AND($L$37=0,$P$34=0),"",$L$37-1)),0,YEARFRAC(MAX($P$34*($B380+$I$38-1),IF(AND($L$37=0,$P$34=0),"",$L$37-1)),MIN(CJ$38,$E380),$P$20))-SUM($BF380:CI380))</f>
        <v>0</v>
      </c>
      <c r="CK380" s="446">
        <f>IF($E380=0,0,IF(MIN(CK$38,$E380)&lt;MAX($P$34*($B380+$I$38-1),IF(AND($L$37=0,$P$34=0),"",$L$37-1)),0,YEARFRAC(MAX($P$34*($B380+$I$38-1),IF(AND($L$37=0,$P$34=0),"",$L$37-1)),MIN(CK$38,$E380),$P$20))-SUM($BF380:CJ380))</f>
        <v>0</v>
      </c>
      <c r="CL380" s="446">
        <f>IF($E380=0,0,IF(MIN(CL$38,$E380)&lt;MAX($P$34*($B380+$I$38-1),IF(AND($L$37=0,$P$34=0),"",$L$37-1)),0,YEARFRAC(MAX($P$34*($B380+$I$38-1),IF(AND($L$37=0,$P$34=0),"",$L$37-1)),MIN(CL$38,$E380),$P$20))-SUM($BF380:CK380))</f>
        <v>0</v>
      </c>
      <c r="CM380" s="446">
        <f>IF($E380=0,0,IF(MIN(CM$38,$E380)&lt;MAX($P$34*($B380+$I$38-1),IF(AND($L$37=0,$P$34=0),"",$L$37-1)),0,YEARFRAC(MAX($P$34*($B380+$I$38-1),IF(AND($L$37=0,$P$34=0),"",$L$37-1)),MIN(CM$38,$E380),$P$20))-SUM($BF380:CL380))</f>
        <v>0</v>
      </c>
      <c r="CN380" s="446">
        <f>IF($E380=0,0,IF(MIN(CN$38,$E380)&lt;MAX($P$34*($B380+$I$38-1),IF(AND($L$37=0,$P$34=0),"",$L$37-1)),0,YEARFRAC(MAX($P$34*($B380+$I$38-1),IF(AND($L$37=0,$P$34=0),"",$L$37-1)),MIN(CN$38,$E380),$P$20))-SUM($BF380:CM380))</f>
        <v>0</v>
      </c>
      <c r="CO380" s="446">
        <f>IF($E380=0,0,IF(MIN(CO$38,$E380)&lt;MAX($P$34*($B380+$I$38-1),IF(AND($L$37=0,$P$34=0),"",$L$37-1)),0,YEARFRAC(MAX($P$34*($B380+$I$38-1),IF(AND($L$37=0,$P$34=0),"",$L$37-1)),MIN(CO$38,$E380),$P$20))-SUM($BF380:CN380))</f>
        <v>0</v>
      </c>
      <c r="CP380" s="446">
        <f>IF($E380=0,0,IF(MIN(CP$38,$E380)&lt;MAX($P$34*($B380+$I$38-1),IF(AND($L$37=0,$P$34=0),"",$L$37-1)),0,YEARFRAC(MAX($P$34*($B380+$I$38-1),IF(AND($L$37=0,$P$34=0),"",$L$37-1)),MIN(CP$38,$E380),$P$20))-SUM($BF380:CO380))</f>
        <v>0</v>
      </c>
      <c r="CQ380" s="446">
        <f>IF($E380=0,0,IF(MIN(CQ$38,$E380)&lt;MAX($P$34*($B380+$I$38-1),IF(AND($L$37=0,$P$34=0),"",$L$37-1)),0,YEARFRAC(MAX($P$34*($B380+$I$38-1),IF(AND($L$37=0,$P$34=0),"",$L$37-1)),MIN(CQ$38,$E380),$P$20))-SUM($BF380:CP380))</f>
        <v>0</v>
      </c>
    </row>
    <row r="381" spans="1:95" s="446" customFormat="1" ht="11.25" hidden="1" customHeight="1" x14ac:dyDescent="0.2">
      <c r="A381" s="152"/>
      <c r="B381" s="153" t="str">
        <f t="shared" si="70"/>
        <v/>
      </c>
      <c r="C381" s="29" t="str">
        <f>IF(B381="","",IF($L$35="SELIC - TRIBUTOS",VLOOKUP(DATE(YEAR($D$19),MONTH($D$19)-1,1),ÍNDICES!$A:$DE,HLOOKUP($BL$25,ÍNDICES!$B$3:$T$4,2)+11)-VLOOKUP(B381,ÍNDICES!$A:$DE,HLOOKUP($BL$25,ÍNDICES!$B$3:$T$4,2)+11)+1%,IF(C$38=$W$26,$J$35,IF(ISERROR(IF(B381&gt;$D$19,1,VLOOKUP(DATE(YEAR(B381),MONTH(B381)+IF($C$35=$S$23,1,0),1),ÍNDICES!$A:$DE,$Z$35+1))),"",IF(B381&gt;$D$19,1,VLOOKUP(DATE(YEAR(B381),MONTH(B381)+IF($C$35=$S$23,1,0),1),ÍNDICES!$A:$DE,$Z$35+1))))))</f>
        <v/>
      </c>
      <c r="D381" s="154" t="str">
        <f>IF(ISERROR(IF(OR($D$38=$Y$27,$B381=""),"",VLOOKUP(B381,ÍNDICES!A:DE,AF$35+1))),"",IF(OR($D$38=$Y$27,$B381=""),"",VLOOKUP(B381,ÍNDICES!A:DE,AF$35+1)))</f>
        <v/>
      </c>
      <c r="E381" s="153"/>
      <c r="F381" s="29" t="str">
        <f>IF(E381="","",IF($L$35="SELIC - TRIBUTOS",VLOOKUP(DATE(YEAR($D$19),MONTH($D$19)-1,1),ÍNDICES!$A:$DE,HLOOKUP($BL$25,ÍNDICES!$B$3:$T$4,2)+11)-VLOOKUP(E381,ÍNDICES!$A:$DE,HLOOKUP($BL$25,ÍNDICES!$B$3:$T$4,2)+11)+1%,IF(F$38=$W$26,$J$35,IF(ISERROR(IF(E381&gt;$D$19,1,VLOOKUP(DATE(YEAR(E381),MONTH(E381)+IF($C$35=$S$23,1,0),1),ÍNDICES!$A:$DE,$Z$35+1))),"",IF(E381&gt;$D$19,1,VLOOKUP(DATE(YEAR(E381),MONTH(E381)+IF($C$35=$S$23,1,0),1),ÍNDICES!$A:$DE,$Z$35+1))))))</f>
        <v/>
      </c>
      <c r="G381" s="155"/>
      <c r="H381" s="156" t="str">
        <f t="shared" si="66"/>
        <v/>
      </c>
      <c r="I381" s="29" t="str">
        <f t="shared" si="60"/>
        <v/>
      </c>
      <c r="J381" s="5">
        <f t="shared" si="61"/>
        <v>0</v>
      </c>
      <c r="K381" s="20">
        <f t="shared" ca="1" si="62"/>
        <v>0</v>
      </c>
      <c r="L381" s="5">
        <f t="shared" ca="1" si="63"/>
        <v>0</v>
      </c>
      <c r="M381" s="64">
        <f t="shared" si="67"/>
        <v>0</v>
      </c>
      <c r="N381" s="61">
        <f t="shared" ca="1" si="68"/>
        <v>0</v>
      </c>
      <c r="O381" s="5">
        <f t="shared" ca="1" si="69"/>
        <v>0</v>
      </c>
      <c r="P381" s="446" t="e">
        <f t="shared" si="64"/>
        <v>#VALUE!</v>
      </c>
      <c r="Q381" s="446" t="e">
        <f>IF(OR($B381="",MIN(Q$38,$D$19)&lt;MAX($P$34*($B381+IF($R$17="Distrato",$I$38-1,0)),IF(AND($L$37=0,$P$34=0),"",$L$37-1),IF($R$17="Distrato",$E381,0))),0,YEARFRAC(MAX($P$34*($B381+IF($R$17="Distrato",$I$38-1,0)),IF(AND($L$37=0,$P$34=0),"",$L$37-1),IF($R$17="Distrato",$E381,0)),MIN(Q$38,$D$19),$P$20))-SUM($P381:P381)</f>
        <v>#VALUE!</v>
      </c>
      <c r="R381" s="446" t="e">
        <f>IF(OR($B381="",MIN(R$38,$D$19)&lt;MAX($P$34*($B381+IF($R$17="Distrato",$I$38-1,0)),IF(AND($L$37=0,$P$34=0),"",$L$37-1),IF($R$17="Distrato",$E381,0))),0,YEARFRAC(MAX($P$34*($B381+IF($R$17="Distrato",$I$38-1,0)),IF(AND($L$37=0,$P$34=0),"",$L$37-1),IF($R$17="Distrato",$E381,0)),MIN(R$38,$D$19),$P$20))-SUM($P381:Q381)</f>
        <v>#VALUE!</v>
      </c>
      <c r="S381" s="446" t="e">
        <f>IF(OR($B381="",MIN(S$38,$D$19)&lt;MAX($P$34*($B381+IF($R$17="Distrato",$I$38-1,0)),IF(AND($L$37=0,$P$34=0),"",$L$37-1),IF($R$17="Distrato",$E381,0))),0,YEARFRAC(MAX($P$34*($B381+IF($R$17="Distrato",$I$38-1,0)),IF(AND($L$37=0,$P$34=0),"",$L$37-1),IF($R$17="Distrato",$E381,0)),MIN(S$38,$D$19),$P$20))-SUM($P381:R381)</f>
        <v>#VALUE!</v>
      </c>
      <c r="T381" s="446" t="e">
        <f>IF(OR($B381="",MIN(T$38,$D$19)&lt;MAX($P$34*($B381+IF($R$17="Distrato",$I$38-1,0)),IF(AND($L$37=0,$P$34=0),"",$L$37-1),IF($R$17="Distrato",$E381,0))),0,YEARFRAC(MAX($P$34*($B381+IF($R$17="Distrato",$I$38-1,0)),IF(AND($L$37=0,$P$34=0),"",$L$37-1),IF($R$17="Distrato",$E381,0)),MIN(T$38,$D$19),$P$20))-SUM($P381:S381)</f>
        <v>#VALUE!</v>
      </c>
      <c r="U381" s="446" t="e">
        <f>IF(OR($B381="",MIN(U$38,$D$19)&lt;MAX($P$34*($B381+IF($R$17="Distrato",$I$38-1,0)),IF(AND($L$37=0,$P$34=0),"",$L$37-1),IF($R$17="Distrato",$E381,0))),0,YEARFRAC(MAX($P$34*($B381+IF($R$17="Distrato",$I$38-1,0)),IF(AND($L$37=0,$P$34=0),"",$L$37-1),IF($R$17="Distrato",$E381,0)),MIN(U$38,$D$19),$P$20))-SUM($P381:T381)</f>
        <v>#VALUE!</v>
      </c>
      <c r="V381" s="446" t="e">
        <f>IF(OR($B381="",MIN(V$38,$D$19)&lt;MAX($P$34*($B381+IF($R$17="Distrato",$I$38-1,0)),IF(AND($L$37=0,$P$34=0),"",$L$37-1),IF($R$17="Distrato",$E381,0))),0,YEARFRAC(MAX($P$34*($B381+IF($R$17="Distrato",$I$38-1,0)),IF(AND($L$37=0,$P$34=0),"",$L$37-1),IF($R$17="Distrato",$E381,0)),MIN(V$38,$D$19),$P$20))-SUM($P381:U381)</f>
        <v>#VALUE!</v>
      </c>
      <c r="W381" s="446" t="e">
        <f>IF(OR($B381="",MIN(W$38,$D$19)&lt;MAX($P$34*($B381+IF($R$17="Distrato",$I$38-1,0)),IF(AND($L$37=0,$P$34=0),"",$L$37-1),IF($R$17="Distrato",$E381,0))),0,YEARFRAC(MAX($P$34*($B381+IF($R$17="Distrato",$I$38-1,0)),IF(AND($L$37=0,$P$34=0),"",$L$37-1),IF($R$17="Distrato",$E381,0)),MIN(W$38,$D$19),$P$20))-SUM($P381:V381)</f>
        <v>#VALUE!</v>
      </c>
      <c r="X381" s="446" t="e">
        <f>IF(OR($B381="",MIN(X$38,$D$19)&lt;MAX($P$34*($B381+IF($R$17="Distrato",$I$38-1,0)),IF(AND($L$37=0,$P$34=0),"",$L$37-1),IF($R$17="Distrato",$E381,0))),0,YEARFRAC(MAX($P$34*($B381+IF($R$17="Distrato",$I$38-1,0)),IF(AND($L$37=0,$P$34=0),"",$L$37-1),IF($R$17="Distrato",$E381,0)),MIN(X$38,$D$19),$P$20))-SUM($P381:W381)</f>
        <v>#VALUE!</v>
      </c>
      <c r="Y381" s="446" t="e">
        <f>IF(OR($B381="",MIN(Y$38,$D$19)&lt;MAX($P$34*($B381+IF($R$17="Distrato",$I$38-1,0)),IF(AND($L$37=0,$P$34=0),"",$L$37-1),IF($R$17="Distrato",$E381,0))),0,YEARFRAC(MAX($P$34*($B381+IF($R$17="Distrato",$I$38-1,0)),IF(AND($L$37=0,$P$34=0),"",$L$37-1),IF($R$17="Distrato",$E381,0)),MIN(Y$38,$D$19),$P$20))-SUM($P381:X381)</f>
        <v>#VALUE!</v>
      </c>
      <c r="Z381" s="446" t="e">
        <f>IF(OR($B381="",MIN(Z$38,$D$19)&lt;MAX($P$34*($B381+IF($R$17="Distrato",$I$38-1,0)),IF(AND($L$37=0,$P$34=0),"",$L$37-1),IF($R$17="Distrato",$E381,0))),0,YEARFRAC(MAX($P$34*($B381+IF($R$17="Distrato",$I$38-1,0)),IF(AND($L$37=0,$P$34=0),"",$L$37-1),IF($R$17="Distrato",$E381,0)),MIN(Z$38,$D$19),$P$20))-SUM($P381:Y381)</f>
        <v>#VALUE!</v>
      </c>
      <c r="AA381" s="446" t="e">
        <f>IF(OR($B381="",MIN(AA$38,$D$19)&lt;MAX($P$34*($B381+IF($R$17="Distrato",$I$38-1,0)),IF(AND($L$37=0,$P$34=0),"",$L$37-1),IF($R$17="Distrato",$E381,0))),0,YEARFRAC(MAX($P$34*($B381+IF($R$17="Distrato",$I$38-1,0)),IF(AND($L$37=0,$P$34=0),"",$L$37-1),IF($R$17="Distrato",$E381,0)),MIN(AA$38,$D$19),$P$20))-SUM($P381:Z381)</f>
        <v>#VALUE!</v>
      </c>
      <c r="AB381" s="446" t="e">
        <f>IF(OR($B381="",MIN(AB$38,$D$19)&lt;MAX($P$34*($B381+IF($R$17="Distrato",$I$38-1,0)),IF(AND($L$37=0,$P$34=0),"",$L$37-1),IF($R$17="Distrato",$E381,0))),0,YEARFRAC(MAX($P$34*($B381+IF($R$17="Distrato",$I$38-1,0)),IF(AND($L$37=0,$P$34=0),"",$L$37-1),IF($R$17="Distrato",$E381,0)),MIN(AB$38,$D$19),$P$20))-SUM($P381:AA381)</f>
        <v>#VALUE!</v>
      </c>
      <c r="AC381" s="446" t="e">
        <f>IF(OR($B381="",MIN(AC$38,$D$19)&lt;MAX($P$34*($B381+IF($R$17="Distrato",$I$38-1,0)),IF(AND($L$37=0,$P$34=0),"",$L$37-1),IF($R$17="Distrato",$E381,0))),0,YEARFRAC(MAX($P$34*($B381+IF($R$17="Distrato",$I$38-1,0)),IF(AND($L$37=0,$P$34=0),"",$L$37-1),IF($R$17="Distrato",$E381,0)),MIN(AC$38,$D$19),$P$20))-SUM($P381:AB381)</f>
        <v>#VALUE!</v>
      </c>
      <c r="AD381" s="446" t="e">
        <f>IF(OR($B381="",MIN(AD$38,$D$19)&lt;MAX($P$34*($B381+IF($R$17="Distrato",$I$38-1,0)),IF(AND($L$37=0,$P$34=0),"",$L$37-1),IF($R$17="Distrato",$E381,0))),0,YEARFRAC(MAX($P$34*($B381+IF($R$17="Distrato",$I$38-1,0)),IF(AND($L$37=0,$P$34=0),"",$L$37-1),IF($R$17="Distrato",$E381,0)),MIN(AD$38,$D$19),$P$20))-SUM($P381:AC381)</f>
        <v>#VALUE!</v>
      </c>
      <c r="AE381" s="446" t="e">
        <f>IF(OR($B381="",MIN(AE$38,$D$19)&lt;MAX($P$34*($B381+IF($R$17="Distrato",$I$38-1,0)),IF(AND($L$37=0,$P$34=0),"",$L$37-1),IF($R$17="Distrato",$E381,0))),0,YEARFRAC(MAX($P$34*($B381+IF($R$17="Distrato",$I$38-1,0)),IF(AND($L$37=0,$P$34=0),"",$L$37-1),IF($R$17="Distrato",$E381,0)),MIN(AE$38,$D$19),$P$20))-SUM($P381:AD381)</f>
        <v>#VALUE!</v>
      </c>
      <c r="AF381" s="446" t="e">
        <f>IF(OR($B381="",MIN(AF$38,$D$19)&lt;MAX($P$34*($B381+IF($R$17="Distrato",$I$38-1,0)),IF(AND($L$37=0,$P$34=0),"",$L$37-1),IF($R$17="Distrato",$E381,0))),0,YEARFRAC(MAX($P$34*($B381+IF($R$17="Distrato",$I$38-1,0)),IF(AND($L$37=0,$P$34=0),"",$L$37-1),IF($R$17="Distrato",$E381,0)),MIN(AF$38,$D$19),$P$20))-SUM($P381:AE381)</f>
        <v>#VALUE!</v>
      </c>
      <c r="AG381" s="446" t="e">
        <f>IF(OR($B381="",MIN(AG$38,$D$19)&lt;MAX($P$34*($B381+IF($R$17="Distrato",$I$38-1,0)),IF(AND($L$37=0,$P$34=0),"",$L$37-1),IF($R$17="Distrato",$E381,0))),0,YEARFRAC(MAX($P$34*($B381+IF($R$17="Distrato",$I$38-1,0)),IF(AND($L$37=0,$P$34=0),"",$L$37-1),IF($R$17="Distrato",$E381,0)),MIN(AG$38,$D$19),$P$20))-SUM($P381:AF381)</f>
        <v>#VALUE!</v>
      </c>
      <c r="AH381" s="446" t="e">
        <f>IF(OR($B381="",MIN(AH$38,$D$19)&lt;MAX($P$34*($B381+IF($R$17="Distrato",$I$38-1,0)),IF(AND($L$37=0,$P$34=0),"",$L$37-1),IF($R$17="Distrato",$E381,0))),0,YEARFRAC(MAX($P$34*($B381+IF($R$17="Distrato",$I$38-1,0)),IF(AND($L$37=0,$P$34=0),"",$L$37-1),IF($R$17="Distrato",$E381,0)),MIN(AH$38,$D$19),$P$20))-SUM($P381:AG381)</f>
        <v>#VALUE!</v>
      </c>
      <c r="AI381" s="446" t="e">
        <f>IF(OR($B381="",MIN(AI$38,$D$19)&lt;MAX($P$34*($B381+IF($R$17="Distrato",$I$38-1,0)),IF(AND($L$37=0,$P$34=0),"",$L$37-1),IF($R$17="Distrato",$E381,0))),0,YEARFRAC(MAX($P$34*($B381+IF($R$17="Distrato",$I$38-1,0)),IF(AND($L$37=0,$P$34=0),"",$L$37-1),IF($R$17="Distrato",$E381,0)),MIN(AI$38,$D$19),$P$20))-SUM($P381:AH381)</f>
        <v>#VALUE!</v>
      </c>
      <c r="AJ381" s="446" t="e">
        <f>IF(OR($B381="",MIN(AJ$38,$D$19)&lt;MAX($P$34*($B381+IF($R$17="Distrato",$I$38-1,0)),IF(AND($L$37=0,$P$34=0),"",$L$37-1),IF($R$17="Distrato",$E381,0))),0,YEARFRAC(MAX($P$34*($B381+IF($R$17="Distrato",$I$38-1,0)),IF(AND($L$37=0,$P$34=0),"",$L$37-1),IF($R$17="Distrato",$E381,0)),MIN(AJ$38,$D$19),$P$20))-SUM($P381:AI381)</f>
        <v>#VALUE!</v>
      </c>
      <c r="AK381" s="446" t="e">
        <f>IF(OR($B381="",MIN(AK$38,$D$19)&lt;MAX($P$34*($B381+IF($R$17="Distrato",$I$38-1,0)),IF(AND($L$37=0,$P$34=0),"",$L$37-1),IF($R$17="Distrato",$E381,0))),0,YEARFRAC(MAX($P$34*($B381+IF($R$17="Distrato",$I$38-1,0)),IF(AND($L$37=0,$P$34=0),"",$L$37-1),IF($R$17="Distrato",$E381,0)),MIN(AK$38,$D$19),$P$20))-SUM($P381:AJ381)</f>
        <v>#VALUE!</v>
      </c>
      <c r="AL381" s="446" t="e">
        <f>IF(OR($B381="",MIN(AL$38,$D$19)&lt;MAX($P$34*($B381+IF($R$17="Distrato",$I$38-1,0)),IF(AND($L$37=0,$P$34=0),"",$L$37-1),IF($R$17="Distrato",$E381,0))),0,YEARFRAC(MAX($P$34*($B381+IF($R$17="Distrato",$I$38-1,0)),IF(AND($L$37=0,$P$34=0),"",$L$37-1),IF($R$17="Distrato",$E381,0)),MIN(AL$38,$D$19),$P$20))-SUM($P381:AK381)</f>
        <v>#VALUE!</v>
      </c>
      <c r="AM381" s="446" t="e">
        <f>IF(OR($B381="",MIN(AM$38,$D$19)&lt;MAX($P$34*($B381+IF($R$17="Distrato",$I$38-1,0)),IF(AND($L$37=0,$P$34=0),"",$L$37-1),IF($R$17="Distrato",$E381,0))),0,YEARFRAC(MAX($P$34*($B381+IF($R$17="Distrato",$I$38-1,0)),IF(AND($L$37=0,$P$34=0),"",$L$37-1),IF($R$17="Distrato",$E381,0)),MIN(AM$38,$D$19),$P$20))-SUM($P381:AL381)</f>
        <v>#VALUE!</v>
      </c>
      <c r="AN381" s="446" t="e">
        <f>IF(OR($B381="",MIN(AN$38,$D$19)&lt;MAX($P$34*($B381+IF($R$17="Distrato",$I$38-1,0)),IF(AND($L$37=0,$P$34=0),"",$L$37-1),IF($R$17="Distrato",$E381,0))),0,YEARFRAC(MAX($P$34*($B381+IF($R$17="Distrato",$I$38-1,0)),IF(AND($L$37=0,$P$34=0),"",$L$37-1),IF($R$17="Distrato",$E381,0)),MIN(AN$38,$D$19),$P$20))-SUM($P381:AM381)</f>
        <v>#VALUE!</v>
      </c>
      <c r="AO381" s="446" t="e">
        <f>IF(OR($B381="",MIN(AO$38,$D$19)&lt;MAX($P$34*($B381+IF($R$17="Distrato",$I$38-1,0)),IF(AND($L$37=0,$P$34=0),"",$L$37-1),IF($R$17="Distrato",$E381,0))),0,YEARFRAC(MAX($P$34*($B381+IF($R$17="Distrato",$I$38-1,0)),IF(AND($L$37=0,$P$34=0),"",$L$37-1),IF($R$17="Distrato",$E381,0)),MIN(AO$38,$D$19),$P$20))-SUM($P381:AN381)</f>
        <v>#VALUE!</v>
      </c>
      <c r="AP381" s="446" t="e">
        <f>IF(OR($B381="",MIN(AP$38,$D$19)&lt;MAX($P$34*($B381+IF($R$17="Distrato",$I$38-1,0)),IF(AND($L$37=0,$P$34=0),"",$L$37-1),IF($R$17="Distrato",$E381,0))),0,YEARFRAC(MAX($P$34*($B381+IF($R$17="Distrato",$I$38-1,0)),IF(AND($L$37=0,$P$34=0),"",$L$37-1),IF($R$17="Distrato",$E381,0)),MIN(AP$38,$D$19),$P$20))-SUM($P381:AO381)</f>
        <v>#VALUE!</v>
      </c>
      <c r="AQ381" s="446" t="e">
        <f>IF(OR($B381="",MIN(AQ$38,$D$19)&lt;MAX($P$34*($B381+IF($R$17="Distrato",$I$38-1,0)),IF(AND($L$37=0,$P$34=0),"",$L$37-1),IF($R$17="Distrato",$E381,0))),0,YEARFRAC(MAX($P$34*($B381+IF($R$17="Distrato",$I$38-1,0)),IF(AND($L$37=0,$P$34=0),"",$L$37-1),IF($R$17="Distrato",$E381,0)),MIN(AQ$38,$D$19),$P$20))-SUM($P381:AP381)</f>
        <v>#VALUE!</v>
      </c>
      <c r="AR381" s="446" t="e">
        <f>IF(OR($B381="",MIN(AR$38,$D$19)&lt;MAX($P$34*($B381+IF($R$17="Distrato",$I$38-1,0)),IF(AND($L$37=0,$P$34=0),"",$L$37-1),IF($R$17="Distrato",$E381,0))),0,YEARFRAC(MAX($P$34*($B381+IF($R$17="Distrato",$I$38-1,0)),IF(AND($L$37=0,$P$34=0),"",$L$37-1),IF($R$17="Distrato",$E381,0)),MIN(AR$38,$D$19),$P$20))-SUM($P381:AQ381)</f>
        <v>#VALUE!</v>
      </c>
      <c r="AS381" s="446" t="e">
        <f>IF(OR($B381="",MIN(AS$38,$D$19)&lt;MAX($P$34*($B381+IF($R$17="Distrato",$I$38-1,0)),IF(AND($L$37=0,$P$34=0),"",$L$37-1),IF($R$17="Distrato",$E381,0))),0,YEARFRAC(MAX($P$34*($B381+IF($R$17="Distrato",$I$38-1,0)),IF(AND($L$37=0,$P$34=0),"",$L$37-1),IF($R$17="Distrato",$E381,0)),MIN(AS$38,$D$19),$P$20))-SUM($P381:AR381)</f>
        <v>#VALUE!</v>
      </c>
      <c r="AT381" s="446" t="e">
        <f>IF(OR($B381="",MIN(AT$38,$D$19)&lt;MAX($P$34*($B381+IF($R$17="Distrato",$I$38-1,0)),IF(AND($L$37=0,$P$34=0),"",$L$37-1),IF($R$17="Distrato",$E381,0))),0,YEARFRAC(MAX($P$34*($B381+IF($R$17="Distrato",$I$38-1,0)),IF(AND($L$37=0,$P$34=0),"",$L$37-1),IF($R$17="Distrato",$E381,0)),MIN(AT$38,$D$19),$P$20))-SUM($P381:AS381)</f>
        <v>#VALUE!</v>
      </c>
      <c r="AU381" s="446" t="e">
        <f>IF(OR($B381="",MIN(AU$38,$D$19)&lt;MAX($P$34*($B381+IF($R$17="Distrato",$I$38-1,0)),IF(AND($L$37=0,$P$34=0),"",$L$37-1),IF($R$17="Distrato",$E381,0))),0,YEARFRAC(MAX($P$34*($B381+IF($R$17="Distrato",$I$38-1,0)),IF(AND($L$37=0,$P$34=0),"",$L$37-1),IF($R$17="Distrato",$E381,0)),MIN(AU$38,$D$19),$P$20))-SUM($P381:AT381)</f>
        <v>#VALUE!</v>
      </c>
      <c r="AV381" s="446" t="e">
        <f>IF(OR($B381="",MIN(AV$38,$D$19)&lt;MAX($P$34*($B381+IF($R$17="Distrato",$I$38-1,0)),IF(AND($L$37=0,$P$34=0),"",$L$37-1),IF($R$17="Distrato",$E381,0))),0,YEARFRAC(MAX($P$34*($B381+IF($R$17="Distrato",$I$38-1,0)),IF(AND($L$37=0,$P$34=0),"",$L$37-1),IF($R$17="Distrato",$E381,0)),MIN(AV$38,$D$19),$P$20))-SUM($P381:AU381)</f>
        <v>#VALUE!</v>
      </c>
      <c r="AW381" s="446" t="e">
        <f>IF(OR($B381="",MIN(AW$38,$D$19)&lt;MAX($P$34*($B381+IF($R$17="Distrato",$I$38-1,0)),IF(AND($L$37=0,$P$34=0),"",$L$37-1),IF($R$17="Distrato",$E381,0))),0,YEARFRAC(MAX($P$34*($B381+IF($R$17="Distrato",$I$38-1,0)),IF(AND($L$37=0,$P$34=0),"",$L$37-1),IF($R$17="Distrato",$E381,0)),MIN(AW$38,$D$19),$P$20))-SUM($P381:AV381)</f>
        <v>#VALUE!</v>
      </c>
      <c r="AX381" s="446" t="e">
        <f>IF(OR($B381="",MIN(AX$38,$D$19)&lt;MAX($P$34*($B381+IF($R$17="Distrato",$I$38-1,0)),IF(AND($L$37=0,$P$34=0),"",$L$37-1),IF($R$17="Distrato",$E381,0))),0,YEARFRAC(MAX($P$34*($B381+IF($R$17="Distrato",$I$38-1,0)),IF(AND($L$37=0,$P$34=0),"",$L$37-1),IF($R$17="Distrato",$E381,0)),MIN(AX$38,$D$19),$P$20))-SUM($P381:AW381)</f>
        <v>#VALUE!</v>
      </c>
      <c r="AY381" s="446" t="e">
        <f>IF(OR($B381="",MIN(AY$38,$D$19)&lt;MAX($P$34*($B381+IF($R$17="Distrato",$I$38-1,0)),IF(AND($L$37=0,$P$34=0),"",$L$37-1),IF($R$17="Distrato",$E381,0))),0,YEARFRAC(MAX($P$34*($B381+IF($R$17="Distrato",$I$38-1,0)),IF(AND($L$37=0,$P$34=0),"",$L$37-1),IF($R$17="Distrato",$E381,0)),MIN(AY$38,$D$19),$P$20))-SUM($P381:AX381)</f>
        <v>#VALUE!</v>
      </c>
      <c r="AZ381" s="446" t="e">
        <f>IF(OR($B381="",MIN(AZ$38,$D$19)&lt;MAX($P$34*($B381+IF($R$17="Distrato",$I$38-1,0)),IF(AND($L$37=0,$P$34=0),"",$L$37-1),IF($R$17="Distrato",$E381,0))),0,YEARFRAC(MAX($P$34*($B381+IF($R$17="Distrato",$I$38-1,0)),IF(AND($L$37=0,$P$34=0),"",$L$37-1),IF($R$17="Distrato",$E381,0)),MIN(AZ$38,$D$19),$P$20))-SUM($P381:AY381)</f>
        <v>#VALUE!</v>
      </c>
      <c r="BA381" s="446" t="e">
        <f>IF(OR($B381="",MIN(BA$38,$D$19)&lt;MAX($P$34*($B381+IF($R$17="Distrato",$I$38-1,0)),IF(AND($L$37=0,$P$34=0),"",$L$37-1),IF($R$17="Distrato",$E381,0))),0,YEARFRAC(MAX($P$34*($B381+IF($R$17="Distrato",$I$38-1,0)),IF(AND($L$37=0,$P$34=0),"",$L$37-1),IF($R$17="Distrato",$E381,0)),MIN(BA$38,$D$19),$P$20))-SUM($P381:AZ381)</f>
        <v>#VALUE!</v>
      </c>
      <c r="BB381" s="447"/>
      <c r="BF381" s="446">
        <f t="shared" si="65"/>
        <v>0</v>
      </c>
      <c r="BG381" s="446">
        <f>IF($E381=0,0,IF(MIN(BG$38,$E381)&lt;MAX($P$34*($B381+$I$38-1),IF(AND($L$37=0,$P$34=0),"",$L$37-1)),0,YEARFRAC(MAX($P$34*($B381+$I$38-1),IF(AND($L$37=0,$P$34=0),"",$L$37-1)),MIN(BG$38,$E381),$P$20))-SUM($BF381:BF381))</f>
        <v>0</v>
      </c>
      <c r="BH381" s="446">
        <f>IF($E381=0,0,IF(MIN(BH$38,$E381)&lt;MAX($P$34*($B381+$I$38-1),IF(AND($L$37=0,$P$34=0),"",$L$37-1)),0,YEARFRAC(MAX($P$34*($B381+$I$38-1),IF(AND($L$37=0,$P$34=0),"",$L$37-1)),MIN(BH$38,$E381),$P$20))-SUM($BF381:BG381))</f>
        <v>0</v>
      </c>
      <c r="BI381" s="446">
        <f>IF($E381=0,0,IF(MIN(BI$38,$E381)&lt;MAX($P$34*($B381+$I$38-1),IF(AND($L$37=0,$P$34=0),"",$L$37-1)),0,YEARFRAC(MAX($P$34*($B381+$I$38-1),IF(AND($L$37=0,$P$34=0),"",$L$37-1)),MIN(BI$38,$E381),$P$20))-SUM($BF381:BH381))</f>
        <v>0</v>
      </c>
      <c r="BJ381" s="446">
        <f>IF($E381=0,0,IF(MIN(BJ$38,$E381)&lt;MAX($P$34*($B381+$I$38-1),IF(AND($L$37=0,$P$34=0),"",$L$37-1)),0,YEARFRAC(MAX($P$34*($B381+$I$38-1),IF(AND($L$37=0,$P$34=0),"",$L$37-1)),MIN(BJ$38,$E381),$P$20))-SUM($BF381:BI381))</f>
        <v>0</v>
      </c>
      <c r="BK381" s="446">
        <f>IF($E381=0,0,IF(MIN(BK$38,$E381)&lt;MAX($P$34*($B381+$I$38-1),IF(AND($L$37=0,$P$34=0),"",$L$37-1)),0,YEARFRAC(MAX($P$34*($B381+$I$38-1),IF(AND($L$37=0,$P$34=0),"",$L$37-1)),MIN(BK$38,$E381),$P$20))-SUM($BF381:BJ381))</f>
        <v>0</v>
      </c>
      <c r="BL381" s="446">
        <f>IF($E381=0,0,IF(MIN(BL$38,$E381)&lt;MAX($P$34*($B381+$I$38-1),IF(AND($L$37=0,$P$34=0),"",$L$37-1)),0,YEARFRAC(MAX($P$34*($B381+$I$38-1),IF(AND($L$37=0,$P$34=0),"",$L$37-1)),MIN(BL$38,$E381),$P$20))-SUM($BF381:BK381))</f>
        <v>0</v>
      </c>
      <c r="BM381" s="446">
        <f>IF($E381=0,0,IF(MIN(BM$38,$E381)&lt;MAX($P$34*($B381+$I$38-1),IF(AND($L$37=0,$P$34=0),"",$L$37-1)),0,YEARFRAC(MAX($P$34*($B381+$I$38-1),IF(AND($L$37=0,$P$34=0),"",$L$37-1)),MIN(BM$38,$E381),$P$20))-SUM($BF381:BL381))</f>
        <v>0</v>
      </c>
      <c r="BN381" s="446">
        <f>IF($E381=0,0,IF(MIN(BN$38,$E381)&lt;MAX($P$34*($B381+$I$38-1),IF(AND($L$37=0,$P$34=0),"",$L$37-1)),0,YEARFRAC(MAX($P$34*($B381+$I$38-1),IF(AND($L$37=0,$P$34=0),"",$L$37-1)),MIN(BN$38,$E381),$P$20))-SUM($BF381:BM381))</f>
        <v>0</v>
      </c>
      <c r="BO381" s="446">
        <f>IF($E381=0,0,IF(MIN(BO$38,$E381)&lt;MAX($P$34*($B381+$I$38-1),IF(AND($L$37=0,$P$34=0),"",$L$37-1)),0,YEARFRAC(MAX($P$34*($B381+$I$38-1),IF(AND($L$37=0,$P$34=0),"",$L$37-1)),MIN(BO$38,$E381),$P$20))-SUM($BF381:BN381))</f>
        <v>0</v>
      </c>
      <c r="BP381" s="446">
        <f>IF($E381=0,0,IF(MIN(BP$38,$E381)&lt;MAX($P$34*($B381+$I$38-1),IF(AND($L$37=0,$P$34=0),"",$L$37-1)),0,YEARFRAC(MAX($P$34*($B381+$I$38-1),IF(AND($L$37=0,$P$34=0),"",$L$37-1)),MIN(BP$38,$E381),$P$20))-SUM($BF381:BO381))</f>
        <v>0</v>
      </c>
      <c r="BQ381" s="446">
        <f>IF($E381=0,0,IF(MIN(BQ$38,$E381)&lt;MAX($P$34*($B381+$I$38-1),IF(AND($L$37=0,$P$34=0),"",$L$37-1)),0,YEARFRAC(MAX($P$34*($B381+$I$38-1),IF(AND($L$37=0,$P$34=0),"",$L$37-1)),MIN(BQ$38,$E381),$P$20))-SUM($BF381:BP381))</f>
        <v>0</v>
      </c>
      <c r="BR381" s="446">
        <f>IF($E381=0,0,IF(MIN(BR$38,$E381)&lt;MAX($P$34*($B381+$I$38-1),IF(AND($L$37=0,$P$34=0),"",$L$37-1)),0,YEARFRAC(MAX($P$34*($B381+$I$38-1),IF(AND($L$37=0,$P$34=0),"",$L$37-1)),MIN(BR$38,$E381),$P$20))-SUM($BF381:BQ381))</f>
        <v>0</v>
      </c>
      <c r="BS381" s="446">
        <f>IF($E381=0,0,IF(MIN(BS$38,$E381)&lt;MAX($P$34*($B381+$I$38-1),IF(AND($L$37=0,$P$34=0),"",$L$37-1)),0,YEARFRAC(MAX($P$34*($B381+$I$38-1),IF(AND($L$37=0,$P$34=0),"",$L$37-1)),MIN(BS$38,$E381),$P$20))-SUM($BF381:BR381))</f>
        <v>0</v>
      </c>
      <c r="BT381" s="446">
        <f>IF($E381=0,0,IF(MIN(BT$38,$E381)&lt;MAX($P$34*($B381+$I$38-1),IF(AND($L$37=0,$P$34=0),"",$L$37-1)),0,YEARFRAC(MAX($P$34*($B381+$I$38-1),IF(AND($L$37=0,$P$34=0),"",$L$37-1)),MIN(BT$38,$E381),$P$20))-SUM($BF381:BS381))</f>
        <v>0</v>
      </c>
      <c r="BU381" s="446">
        <f>IF($E381=0,0,IF(MIN(BU$38,$E381)&lt;MAX($P$34*($B381+$I$38-1),IF(AND($L$37=0,$P$34=0),"",$L$37-1)),0,YEARFRAC(MAX($P$34*($B381+$I$38-1),IF(AND($L$37=0,$P$34=0),"",$L$37-1)),MIN(BU$38,$E381),$P$20))-SUM($BF381:BT381))</f>
        <v>0</v>
      </c>
      <c r="BV381" s="446">
        <f>IF($E381=0,0,IF(MIN(BV$38,$E381)&lt;MAX($P$34*($B381+$I$38-1),IF(AND($L$37=0,$P$34=0),"",$L$37-1)),0,YEARFRAC(MAX($P$34*($B381+$I$38-1),IF(AND($L$37=0,$P$34=0),"",$L$37-1)),MIN(BV$38,$E381),$P$20))-SUM($BF381:BU381))</f>
        <v>0</v>
      </c>
      <c r="BW381" s="446">
        <f>IF($E381=0,0,IF(MIN(BW$38,$E381)&lt;MAX($P$34*($B381+$I$38-1),IF(AND($L$37=0,$P$34=0),"",$L$37-1)),0,YEARFRAC(MAX($P$34*($B381+$I$38-1),IF(AND($L$37=0,$P$34=0),"",$L$37-1)),MIN(BW$38,$E381),$P$20))-SUM($BF381:BV381))</f>
        <v>0</v>
      </c>
      <c r="BX381" s="446">
        <f>IF($E381=0,0,IF(MIN(BX$38,$E381)&lt;MAX($P$34*($B381+$I$38-1),IF(AND($L$37=0,$P$34=0),"",$L$37-1)),0,YEARFRAC(MAX($P$34*($B381+$I$38-1),IF(AND($L$37=0,$P$34=0),"",$L$37-1)),MIN(BX$38,$E381),$P$20))-SUM($BF381:BW381))</f>
        <v>0</v>
      </c>
      <c r="BY381" s="446">
        <f>IF($E381=0,0,IF(MIN(BY$38,$E381)&lt;MAX($P$34*($B381+$I$38-1),IF(AND($L$37=0,$P$34=0),"",$L$37-1)),0,YEARFRAC(MAX($P$34*($B381+$I$38-1),IF(AND($L$37=0,$P$34=0),"",$L$37-1)),MIN(BY$38,$E381),$P$20))-SUM($BF381:BX381))</f>
        <v>0</v>
      </c>
      <c r="BZ381" s="446">
        <f>IF($E381=0,0,IF(MIN(BZ$38,$E381)&lt;MAX($P$34*($B381+$I$38-1),IF(AND($L$37=0,$P$34=0),"",$L$37-1)),0,YEARFRAC(MAX($P$34*($B381+$I$38-1),IF(AND($L$37=0,$P$34=0),"",$L$37-1)),MIN(BZ$38,$E381),$P$20))-SUM($BF381:BY381))</f>
        <v>0</v>
      </c>
      <c r="CA381" s="446">
        <f>IF($E381=0,0,IF(MIN(CA$38,$E381)&lt;MAX($P$34*($B381+$I$38-1),IF(AND($L$37=0,$P$34=0),"",$L$37-1)),0,YEARFRAC(MAX($P$34*($B381+$I$38-1),IF(AND($L$37=0,$P$34=0),"",$L$37-1)),MIN(CA$38,$E381),$P$20))-SUM($BF381:BZ381))</f>
        <v>0</v>
      </c>
      <c r="CB381" s="446">
        <f>IF($E381=0,0,IF(MIN(CB$38,$E381)&lt;MAX($P$34*($B381+$I$38-1),IF(AND($L$37=0,$P$34=0),"",$L$37-1)),0,YEARFRAC(MAX($P$34*($B381+$I$38-1),IF(AND($L$37=0,$P$34=0),"",$L$37-1)),MIN(CB$38,$E381),$P$20))-SUM($BF381:CA381))</f>
        <v>0</v>
      </c>
      <c r="CC381" s="446">
        <f>IF($E381=0,0,IF(MIN(CC$38,$E381)&lt;MAX($P$34*($B381+$I$38-1),IF(AND($L$37=0,$P$34=0),"",$L$37-1)),0,YEARFRAC(MAX($P$34*($B381+$I$38-1),IF(AND($L$37=0,$P$34=0),"",$L$37-1)),MIN(CC$38,$E381),$P$20))-SUM($BF381:CB381))</f>
        <v>0</v>
      </c>
      <c r="CD381" s="446">
        <f>IF($E381=0,0,IF(MIN(CD$38,$E381)&lt;MAX($P$34*($B381+$I$38-1),IF(AND($L$37=0,$P$34=0),"",$L$37-1)),0,YEARFRAC(MAX($P$34*($B381+$I$38-1),IF(AND($L$37=0,$P$34=0),"",$L$37-1)),MIN(CD$38,$E381),$P$20))-SUM($BF381:CC381))</f>
        <v>0</v>
      </c>
      <c r="CE381" s="446">
        <f>IF($E381=0,0,IF(MIN(CE$38,$E381)&lt;MAX($P$34*($B381+$I$38-1),IF(AND($L$37=0,$P$34=0),"",$L$37-1)),0,YEARFRAC(MAX($P$34*($B381+$I$38-1),IF(AND($L$37=0,$P$34=0),"",$L$37-1)),MIN(CE$38,$E381),$P$20))-SUM($BF381:CD381))</f>
        <v>0</v>
      </c>
      <c r="CF381" s="446">
        <f>IF($E381=0,0,IF(MIN(CF$38,$E381)&lt;MAX($P$34*($B381+$I$38-1),IF(AND($L$37=0,$P$34=0),"",$L$37-1)),0,YEARFRAC(MAX($P$34*($B381+$I$38-1),IF(AND($L$37=0,$P$34=0),"",$L$37-1)),MIN(CF$38,$E381),$P$20))-SUM($BF381:CE381))</f>
        <v>0</v>
      </c>
      <c r="CG381" s="446">
        <f>IF($E381=0,0,IF(MIN(CG$38,$E381)&lt;MAX($P$34*($B381+$I$38-1),IF(AND($L$37=0,$P$34=0),"",$L$37-1)),0,YEARFRAC(MAX($P$34*($B381+$I$38-1),IF(AND($L$37=0,$P$34=0),"",$L$37-1)),MIN(CG$38,$E381),$P$20))-SUM($BF381:CF381))</f>
        <v>0</v>
      </c>
      <c r="CH381" s="446">
        <f>IF($E381=0,0,IF(MIN(CH$38,$E381)&lt;MAX($P$34*($B381+$I$38-1),IF(AND($L$37=0,$P$34=0),"",$L$37-1)),0,YEARFRAC(MAX($P$34*($B381+$I$38-1),IF(AND($L$37=0,$P$34=0),"",$L$37-1)),MIN(CH$38,$E381),$P$20))-SUM($BF381:CG381))</f>
        <v>0</v>
      </c>
      <c r="CI381" s="446">
        <f>IF($E381=0,0,IF(MIN(CI$38,$E381)&lt;MAX($P$34*($B381+$I$38-1),IF(AND($L$37=0,$P$34=0),"",$L$37-1)),0,YEARFRAC(MAX($P$34*($B381+$I$38-1),IF(AND($L$37=0,$P$34=0),"",$L$37-1)),MIN(CI$38,$E381),$P$20))-SUM($BF381:CH381))</f>
        <v>0</v>
      </c>
      <c r="CJ381" s="446">
        <f>IF($E381=0,0,IF(MIN(CJ$38,$E381)&lt;MAX($P$34*($B381+$I$38-1),IF(AND($L$37=0,$P$34=0),"",$L$37-1)),0,YEARFRAC(MAX($P$34*($B381+$I$38-1),IF(AND($L$37=0,$P$34=0),"",$L$37-1)),MIN(CJ$38,$E381),$P$20))-SUM($BF381:CI381))</f>
        <v>0</v>
      </c>
      <c r="CK381" s="446">
        <f>IF($E381=0,0,IF(MIN(CK$38,$E381)&lt;MAX($P$34*($B381+$I$38-1),IF(AND($L$37=0,$P$34=0),"",$L$37-1)),0,YEARFRAC(MAX($P$34*($B381+$I$38-1),IF(AND($L$37=0,$P$34=0),"",$L$37-1)),MIN(CK$38,$E381),$P$20))-SUM($BF381:CJ381))</f>
        <v>0</v>
      </c>
      <c r="CL381" s="446">
        <f>IF($E381=0,0,IF(MIN(CL$38,$E381)&lt;MAX($P$34*($B381+$I$38-1),IF(AND($L$37=0,$P$34=0),"",$L$37-1)),0,YEARFRAC(MAX($P$34*($B381+$I$38-1),IF(AND($L$37=0,$P$34=0),"",$L$37-1)),MIN(CL$38,$E381),$P$20))-SUM($BF381:CK381))</f>
        <v>0</v>
      </c>
      <c r="CM381" s="446">
        <f>IF($E381=0,0,IF(MIN(CM$38,$E381)&lt;MAX($P$34*($B381+$I$38-1),IF(AND($L$37=0,$P$34=0),"",$L$37-1)),0,YEARFRAC(MAX($P$34*($B381+$I$38-1),IF(AND($L$37=0,$P$34=0),"",$L$37-1)),MIN(CM$38,$E381),$P$20))-SUM($BF381:CL381))</f>
        <v>0</v>
      </c>
      <c r="CN381" s="446">
        <f>IF($E381=0,0,IF(MIN(CN$38,$E381)&lt;MAX($P$34*($B381+$I$38-1),IF(AND($L$37=0,$P$34=0),"",$L$37-1)),0,YEARFRAC(MAX($P$34*($B381+$I$38-1),IF(AND($L$37=0,$P$34=0),"",$L$37-1)),MIN(CN$38,$E381),$P$20))-SUM($BF381:CM381))</f>
        <v>0</v>
      </c>
      <c r="CO381" s="446">
        <f>IF($E381=0,0,IF(MIN(CO$38,$E381)&lt;MAX($P$34*($B381+$I$38-1),IF(AND($L$37=0,$P$34=0),"",$L$37-1)),0,YEARFRAC(MAX($P$34*($B381+$I$38-1),IF(AND($L$37=0,$P$34=0),"",$L$37-1)),MIN(CO$38,$E381),$P$20))-SUM($BF381:CN381))</f>
        <v>0</v>
      </c>
      <c r="CP381" s="446">
        <f>IF($E381=0,0,IF(MIN(CP$38,$E381)&lt;MAX($P$34*($B381+$I$38-1),IF(AND($L$37=0,$P$34=0),"",$L$37-1)),0,YEARFRAC(MAX($P$34*($B381+$I$38-1),IF(AND($L$37=0,$P$34=0),"",$L$37-1)),MIN(CP$38,$E381),$P$20))-SUM($BF381:CO381))</f>
        <v>0</v>
      </c>
      <c r="CQ381" s="446">
        <f>IF($E381=0,0,IF(MIN(CQ$38,$E381)&lt;MAX($P$34*($B381+$I$38-1),IF(AND($L$37=0,$P$34=0),"",$L$37-1)),0,YEARFRAC(MAX($P$34*($B381+$I$38-1),IF(AND($L$37=0,$P$34=0),"",$L$37-1)),MIN(CQ$38,$E381),$P$20))-SUM($BF381:CP381))</f>
        <v>0</v>
      </c>
    </row>
    <row r="382" spans="1:95" s="446" customFormat="1" ht="11.25" hidden="1" customHeight="1" x14ac:dyDescent="0.2">
      <c r="A382" s="152"/>
      <c r="B382" s="153" t="str">
        <f t="shared" si="70"/>
        <v/>
      </c>
      <c r="C382" s="29" t="str">
        <f>IF(B382="","",IF($L$35="SELIC - TRIBUTOS",VLOOKUP(DATE(YEAR($D$19),MONTH($D$19)-1,1),ÍNDICES!$A:$DE,HLOOKUP($BL$25,ÍNDICES!$B$3:$T$4,2)+11)-VLOOKUP(B382,ÍNDICES!$A:$DE,HLOOKUP($BL$25,ÍNDICES!$B$3:$T$4,2)+11)+1%,IF(C$38=$W$26,$J$35,IF(ISERROR(IF(B382&gt;$D$19,1,VLOOKUP(DATE(YEAR(B382),MONTH(B382)+IF($C$35=$S$23,1,0),1),ÍNDICES!$A:$DE,$Z$35+1))),"",IF(B382&gt;$D$19,1,VLOOKUP(DATE(YEAR(B382),MONTH(B382)+IF($C$35=$S$23,1,0),1),ÍNDICES!$A:$DE,$Z$35+1))))))</f>
        <v/>
      </c>
      <c r="D382" s="154" t="str">
        <f>IF(ISERROR(IF(OR($D$38=$Y$27,$B382=""),"",VLOOKUP(B382,ÍNDICES!A:DE,AF$35+1))),"",IF(OR($D$38=$Y$27,$B382=""),"",VLOOKUP(B382,ÍNDICES!A:DE,AF$35+1)))</f>
        <v/>
      </c>
      <c r="E382" s="153"/>
      <c r="F382" s="29" t="str">
        <f>IF(E382="","",IF($L$35="SELIC - TRIBUTOS",VLOOKUP(DATE(YEAR($D$19),MONTH($D$19)-1,1),ÍNDICES!$A:$DE,HLOOKUP($BL$25,ÍNDICES!$B$3:$T$4,2)+11)-VLOOKUP(E382,ÍNDICES!$A:$DE,HLOOKUP($BL$25,ÍNDICES!$B$3:$T$4,2)+11)+1%,IF(F$38=$W$26,$J$35,IF(ISERROR(IF(E382&gt;$D$19,1,VLOOKUP(DATE(YEAR(E382),MONTH(E382)+IF($C$35=$S$23,1,0),1),ÍNDICES!$A:$DE,$Z$35+1))),"",IF(E382&gt;$D$19,1,VLOOKUP(DATE(YEAR(E382),MONTH(E382)+IF($C$35=$S$23,1,0),1),ÍNDICES!$A:$DE,$Z$35+1))))))</f>
        <v/>
      </c>
      <c r="G382" s="155"/>
      <c r="H382" s="156" t="str">
        <f t="shared" si="66"/>
        <v/>
      </c>
      <c r="I382" s="29" t="str">
        <f t="shared" si="60"/>
        <v/>
      </c>
      <c r="J382" s="5">
        <f t="shared" si="61"/>
        <v>0</v>
      </c>
      <c r="K382" s="20">
        <f t="shared" ca="1" si="62"/>
        <v>0</v>
      </c>
      <c r="L382" s="5">
        <f t="shared" ca="1" si="63"/>
        <v>0</v>
      </c>
      <c r="M382" s="64">
        <f t="shared" si="67"/>
        <v>0</v>
      </c>
      <c r="N382" s="61">
        <f t="shared" ca="1" si="68"/>
        <v>0</v>
      </c>
      <c r="O382" s="5">
        <f t="shared" ca="1" si="69"/>
        <v>0</v>
      </c>
      <c r="P382" s="446" t="e">
        <f t="shared" si="64"/>
        <v>#VALUE!</v>
      </c>
      <c r="Q382" s="446" t="e">
        <f>IF(OR($B382="",MIN(Q$38,$D$19)&lt;MAX($P$34*($B382+IF($R$17="Distrato",$I$38-1,0)),IF(AND($L$37=0,$P$34=0),"",$L$37-1),IF($R$17="Distrato",$E382,0))),0,YEARFRAC(MAX($P$34*($B382+IF($R$17="Distrato",$I$38-1,0)),IF(AND($L$37=0,$P$34=0),"",$L$37-1),IF($R$17="Distrato",$E382,0)),MIN(Q$38,$D$19),$P$20))-SUM($P382:P382)</f>
        <v>#VALUE!</v>
      </c>
      <c r="R382" s="446" t="e">
        <f>IF(OR($B382="",MIN(R$38,$D$19)&lt;MAX($P$34*($B382+IF($R$17="Distrato",$I$38-1,0)),IF(AND($L$37=0,$P$34=0),"",$L$37-1),IF($R$17="Distrato",$E382,0))),0,YEARFRAC(MAX($P$34*($B382+IF($R$17="Distrato",$I$38-1,0)),IF(AND($L$37=0,$P$34=0),"",$L$37-1),IF($R$17="Distrato",$E382,0)),MIN(R$38,$D$19),$P$20))-SUM($P382:Q382)</f>
        <v>#VALUE!</v>
      </c>
      <c r="S382" s="446" t="e">
        <f>IF(OR($B382="",MIN(S$38,$D$19)&lt;MAX($P$34*($B382+IF($R$17="Distrato",$I$38-1,0)),IF(AND($L$37=0,$P$34=0),"",$L$37-1),IF($R$17="Distrato",$E382,0))),0,YEARFRAC(MAX($P$34*($B382+IF($R$17="Distrato",$I$38-1,0)),IF(AND($L$37=0,$P$34=0),"",$L$37-1),IF($R$17="Distrato",$E382,0)),MIN(S$38,$D$19),$P$20))-SUM($P382:R382)</f>
        <v>#VALUE!</v>
      </c>
      <c r="T382" s="446" t="e">
        <f>IF(OR($B382="",MIN(T$38,$D$19)&lt;MAX($P$34*($B382+IF($R$17="Distrato",$I$38-1,0)),IF(AND($L$37=0,$P$34=0),"",$L$37-1),IF($R$17="Distrato",$E382,0))),0,YEARFRAC(MAX($P$34*($B382+IF($R$17="Distrato",$I$38-1,0)),IF(AND($L$37=0,$P$34=0),"",$L$37-1),IF($R$17="Distrato",$E382,0)),MIN(T$38,$D$19),$P$20))-SUM($P382:S382)</f>
        <v>#VALUE!</v>
      </c>
      <c r="U382" s="446" t="e">
        <f>IF(OR($B382="",MIN(U$38,$D$19)&lt;MAX($P$34*($B382+IF($R$17="Distrato",$I$38-1,0)),IF(AND($L$37=0,$P$34=0),"",$L$37-1),IF($R$17="Distrato",$E382,0))),0,YEARFRAC(MAX($P$34*($B382+IF($R$17="Distrato",$I$38-1,0)),IF(AND($L$37=0,$P$34=0),"",$L$37-1),IF($R$17="Distrato",$E382,0)),MIN(U$38,$D$19),$P$20))-SUM($P382:T382)</f>
        <v>#VALUE!</v>
      </c>
      <c r="V382" s="446" t="e">
        <f>IF(OR($B382="",MIN(V$38,$D$19)&lt;MAX($P$34*($B382+IF($R$17="Distrato",$I$38-1,0)),IF(AND($L$37=0,$P$34=0),"",$L$37-1),IF($R$17="Distrato",$E382,0))),0,YEARFRAC(MAX($P$34*($B382+IF($R$17="Distrato",$I$38-1,0)),IF(AND($L$37=0,$P$34=0),"",$L$37-1),IF($R$17="Distrato",$E382,0)),MIN(V$38,$D$19),$P$20))-SUM($P382:U382)</f>
        <v>#VALUE!</v>
      </c>
      <c r="W382" s="446" t="e">
        <f>IF(OR($B382="",MIN(W$38,$D$19)&lt;MAX($P$34*($B382+IF($R$17="Distrato",$I$38-1,0)),IF(AND($L$37=0,$P$34=0),"",$L$37-1),IF($R$17="Distrato",$E382,0))),0,YEARFRAC(MAX($P$34*($B382+IF($R$17="Distrato",$I$38-1,0)),IF(AND($L$37=0,$P$34=0),"",$L$37-1),IF($R$17="Distrato",$E382,0)),MIN(W$38,$D$19),$P$20))-SUM($P382:V382)</f>
        <v>#VALUE!</v>
      </c>
      <c r="X382" s="446" t="e">
        <f>IF(OR($B382="",MIN(X$38,$D$19)&lt;MAX($P$34*($B382+IF($R$17="Distrato",$I$38-1,0)),IF(AND($L$37=0,$P$34=0),"",$L$37-1),IF($R$17="Distrato",$E382,0))),0,YEARFRAC(MAX($P$34*($B382+IF($R$17="Distrato",$I$38-1,0)),IF(AND($L$37=0,$P$34=0),"",$L$37-1),IF($R$17="Distrato",$E382,0)),MIN(X$38,$D$19),$P$20))-SUM($P382:W382)</f>
        <v>#VALUE!</v>
      </c>
      <c r="Y382" s="446" t="e">
        <f>IF(OR($B382="",MIN(Y$38,$D$19)&lt;MAX($P$34*($B382+IF($R$17="Distrato",$I$38-1,0)),IF(AND($L$37=0,$P$34=0),"",$L$37-1),IF($R$17="Distrato",$E382,0))),0,YEARFRAC(MAX($P$34*($B382+IF($R$17="Distrato",$I$38-1,0)),IF(AND($L$37=0,$P$34=0),"",$L$37-1),IF($R$17="Distrato",$E382,0)),MIN(Y$38,$D$19),$P$20))-SUM($P382:X382)</f>
        <v>#VALUE!</v>
      </c>
      <c r="Z382" s="446" t="e">
        <f>IF(OR($B382="",MIN(Z$38,$D$19)&lt;MAX($P$34*($B382+IF($R$17="Distrato",$I$38-1,0)),IF(AND($L$37=0,$P$34=0),"",$L$37-1),IF($R$17="Distrato",$E382,0))),0,YEARFRAC(MAX($P$34*($B382+IF($R$17="Distrato",$I$38-1,0)),IF(AND($L$37=0,$P$34=0),"",$L$37-1),IF($R$17="Distrato",$E382,0)),MIN(Z$38,$D$19),$P$20))-SUM($P382:Y382)</f>
        <v>#VALUE!</v>
      </c>
      <c r="AA382" s="446" t="e">
        <f>IF(OR($B382="",MIN(AA$38,$D$19)&lt;MAX($P$34*($B382+IF($R$17="Distrato",$I$38-1,0)),IF(AND($L$37=0,$P$34=0),"",$L$37-1),IF($R$17="Distrato",$E382,0))),0,YEARFRAC(MAX($P$34*($B382+IF($R$17="Distrato",$I$38-1,0)),IF(AND($L$37=0,$P$34=0),"",$L$37-1),IF($R$17="Distrato",$E382,0)),MIN(AA$38,$D$19),$P$20))-SUM($P382:Z382)</f>
        <v>#VALUE!</v>
      </c>
      <c r="AB382" s="446" t="e">
        <f>IF(OR($B382="",MIN(AB$38,$D$19)&lt;MAX($P$34*($B382+IF($R$17="Distrato",$I$38-1,0)),IF(AND($L$37=0,$P$34=0),"",$L$37-1),IF($R$17="Distrato",$E382,0))),0,YEARFRAC(MAX($P$34*($B382+IF($R$17="Distrato",$I$38-1,0)),IF(AND($L$37=0,$P$34=0),"",$L$37-1),IF($R$17="Distrato",$E382,0)),MIN(AB$38,$D$19),$P$20))-SUM($P382:AA382)</f>
        <v>#VALUE!</v>
      </c>
      <c r="AC382" s="446" t="e">
        <f>IF(OR($B382="",MIN(AC$38,$D$19)&lt;MAX($P$34*($B382+IF($R$17="Distrato",$I$38-1,0)),IF(AND($L$37=0,$P$34=0),"",$L$37-1),IF($R$17="Distrato",$E382,0))),0,YEARFRAC(MAX($P$34*($B382+IF($R$17="Distrato",$I$38-1,0)),IF(AND($L$37=0,$P$34=0),"",$L$37-1),IF($R$17="Distrato",$E382,0)),MIN(AC$38,$D$19),$P$20))-SUM($P382:AB382)</f>
        <v>#VALUE!</v>
      </c>
      <c r="AD382" s="446" t="e">
        <f>IF(OR($B382="",MIN(AD$38,$D$19)&lt;MAX($P$34*($B382+IF($R$17="Distrato",$I$38-1,0)),IF(AND($L$37=0,$P$34=0),"",$L$37-1),IF($R$17="Distrato",$E382,0))),0,YEARFRAC(MAX($P$34*($B382+IF($R$17="Distrato",$I$38-1,0)),IF(AND($L$37=0,$P$34=0),"",$L$37-1),IF($R$17="Distrato",$E382,0)),MIN(AD$38,$D$19),$P$20))-SUM($P382:AC382)</f>
        <v>#VALUE!</v>
      </c>
      <c r="AE382" s="446" t="e">
        <f>IF(OR($B382="",MIN(AE$38,$D$19)&lt;MAX($P$34*($B382+IF($R$17="Distrato",$I$38-1,0)),IF(AND($L$37=0,$P$34=0),"",$L$37-1),IF($R$17="Distrato",$E382,0))),0,YEARFRAC(MAX($P$34*($B382+IF($R$17="Distrato",$I$38-1,0)),IF(AND($L$37=0,$P$34=0),"",$L$37-1),IF($R$17="Distrato",$E382,0)),MIN(AE$38,$D$19),$P$20))-SUM($P382:AD382)</f>
        <v>#VALUE!</v>
      </c>
      <c r="AF382" s="446" t="e">
        <f>IF(OR($B382="",MIN(AF$38,$D$19)&lt;MAX($P$34*($B382+IF($R$17="Distrato",$I$38-1,0)),IF(AND($L$37=0,$P$34=0),"",$L$37-1),IF($R$17="Distrato",$E382,0))),0,YEARFRAC(MAX($P$34*($B382+IF($R$17="Distrato",$I$38-1,0)),IF(AND($L$37=0,$P$34=0),"",$L$37-1),IF($R$17="Distrato",$E382,0)),MIN(AF$38,$D$19),$P$20))-SUM($P382:AE382)</f>
        <v>#VALUE!</v>
      </c>
      <c r="AG382" s="446" t="e">
        <f>IF(OR($B382="",MIN(AG$38,$D$19)&lt;MAX($P$34*($B382+IF($R$17="Distrato",$I$38-1,0)),IF(AND($L$37=0,$P$34=0),"",$L$37-1),IF($R$17="Distrato",$E382,0))),0,YEARFRAC(MAX($P$34*($B382+IF($R$17="Distrato",$I$38-1,0)),IF(AND($L$37=0,$P$34=0),"",$L$37-1),IF($R$17="Distrato",$E382,0)),MIN(AG$38,$D$19),$P$20))-SUM($P382:AF382)</f>
        <v>#VALUE!</v>
      </c>
      <c r="AH382" s="446" t="e">
        <f>IF(OR($B382="",MIN(AH$38,$D$19)&lt;MAX($P$34*($B382+IF($R$17="Distrato",$I$38-1,0)),IF(AND($L$37=0,$P$34=0),"",$L$37-1),IF($R$17="Distrato",$E382,0))),0,YEARFRAC(MAX($P$34*($B382+IF($R$17="Distrato",$I$38-1,0)),IF(AND($L$37=0,$P$34=0),"",$L$37-1),IF($R$17="Distrato",$E382,0)),MIN(AH$38,$D$19),$P$20))-SUM($P382:AG382)</f>
        <v>#VALUE!</v>
      </c>
      <c r="AI382" s="446" t="e">
        <f>IF(OR($B382="",MIN(AI$38,$D$19)&lt;MAX($P$34*($B382+IF($R$17="Distrato",$I$38-1,0)),IF(AND($L$37=0,$P$34=0),"",$L$37-1),IF($R$17="Distrato",$E382,0))),0,YEARFRAC(MAX($P$34*($B382+IF($R$17="Distrato",$I$38-1,0)),IF(AND($L$37=0,$P$34=0),"",$L$37-1),IF($R$17="Distrato",$E382,0)),MIN(AI$38,$D$19),$P$20))-SUM($P382:AH382)</f>
        <v>#VALUE!</v>
      </c>
      <c r="AJ382" s="446" t="e">
        <f>IF(OR($B382="",MIN(AJ$38,$D$19)&lt;MAX($P$34*($B382+IF($R$17="Distrato",$I$38-1,0)),IF(AND($L$37=0,$P$34=0),"",$L$37-1),IF($R$17="Distrato",$E382,0))),0,YEARFRAC(MAX($P$34*($B382+IF($R$17="Distrato",$I$38-1,0)),IF(AND($L$37=0,$P$34=0),"",$L$37-1),IF($R$17="Distrato",$E382,0)),MIN(AJ$38,$D$19),$P$20))-SUM($P382:AI382)</f>
        <v>#VALUE!</v>
      </c>
      <c r="AK382" s="446" t="e">
        <f>IF(OR($B382="",MIN(AK$38,$D$19)&lt;MAX($P$34*($B382+IF($R$17="Distrato",$I$38-1,0)),IF(AND($L$37=0,$P$34=0),"",$L$37-1),IF($R$17="Distrato",$E382,0))),0,YEARFRAC(MAX($P$34*($B382+IF($R$17="Distrato",$I$38-1,0)),IF(AND($L$37=0,$P$34=0),"",$L$37-1),IF($R$17="Distrato",$E382,0)),MIN(AK$38,$D$19),$P$20))-SUM($P382:AJ382)</f>
        <v>#VALUE!</v>
      </c>
      <c r="AL382" s="446" t="e">
        <f>IF(OR($B382="",MIN(AL$38,$D$19)&lt;MAX($P$34*($B382+IF($R$17="Distrato",$I$38-1,0)),IF(AND($L$37=0,$P$34=0),"",$L$37-1),IF($R$17="Distrato",$E382,0))),0,YEARFRAC(MAX($P$34*($B382+IF($R$17="Distrato",$I$38-1,0)),IF(AND($L$37=0,$P$34=0),"",$L$37-1),IF($R$17="Distrato",$E382,0)),MIN(AL$38,$D$19),$P$20))-SUM($P382:AK382)</f>
        <v>#VALUE!</v>
      </c>
      <c r="AM382" s="446" t="e">
        <f>IF(OR($B382="",MIN(AM$38,$D$19)&lt;MAX($P$34*($B382+IF($R$17="Distrato",$I$38-1,0)),IF(AND($L$37=0,$P$34=0),"",$L$37-1),IF($R$17="Distrato",$E382,0))),0,YEARFRAC(MAX($P$34*($B382+IF($R$17="Distrato",$I$38-1,0)),IF(AND($L$37=0,$P$34=0),"",$L$37-1),IF($R$17="Distrato",$E382,0)),MIN(AM$38,$D$19),$P$20))-SUM($P382:AL382)</f>
        <v>#VALUE!</v>
      </c>
      <c r="AN382" s="446" t="e">
        <f>IF(OR($B382="",MIN(AN$38,$D$19)&lt;MAX($P$34*($B382+IF($R$17="Distrato",$I$38-1,0)),IF(AND($L$37=0,$P$34=0),"",$L$37-1),IF($R$17="Distrato",$E382,0))),0,YEARFRAC(MAX($P$34*($B382+IF($R$17="Distrato",$I$38-1,0)),IF(AND($L$37=0,$P$34=0),"",$L$37-1),IF($R$17="Distrato",$E382,0)),MIN(AN$38,$D$19),$P$20))-SUM($P382:AM382)</f>
        <v>#VALUE!</v>
      </c>
      <c r="AO382" s="446" t="e">
        <f>IF(OR($B382="",MIN(AO$38,$D$19)&lt;MAX($P$34*($B382+IF($R$17="Distrato",$I$38-1,0)),IF(AND($L$37=0,$P$34=0),"",$L$37-1),IF($R$17="Distrato",$E382,0))),0,YEARFRAC(MAX($P$34*($B382+IF($R$17="Distrato",$I$38-1,0)),IF(AND($L$37=0,$P$34=0),"",$L$37-1),IF($R$17="Distrato",$E382,0)),MIN(AO$38,$D$19),$P$20))-SUM($P382:AN382)</f>
        <v>#VALUE!</v>
      </c>
      <c r="AP382" s="446" t="e">
        <f>IF(OR($B382="",MIN(AP$38,$D$19)&lt;MAX($P$34*($B382+IF($R$17="Distrato",$I$38-1,0)),IF(AND($L$37=0,$P$34=0),"",$L$37-1),IF($R$17="Distrato",$E382,0))),0,YEARFRAC(MAX($P$34*($B382+IF($R$17="Distrato",$I$38-1,0)),IF(AND($L$37=0,$P$34=0),"",$L$37-1),IF($R$17="Distrato",$E382,0)),MIN(AP$38,$D$19),$P$20))-SUM($P382:AO382)</f>
        <v>#VALUE!</v>
      </c>
      <c r="AQ382" s="446" t="e">
        <f>IF(OR($B382="",MIN(AQ$38,$D$19)&lt;MAX($P$34*($B382+IF($R$17="Distrato",$I$38-1,0)),IF(AND($L$37=0,$P$34=0),"",$L$37-1),IF($R$17="Distrato",$E382,0))),0,YEARFRAC(MAX($P$34*($B382+IF($R$17="Distrato",$I$38-1,0)),IF(AND($L$37=0,$P$34=0),"",$L$37-1),IF($R$17="Distrato",$E382,0)),MIN(AQ$38,$D$19),$P$20))-SUM($P382:AP382)</f>
        <v>#VALUE!</v>
      </c>
      <c r="AR382" s="446" t="e">
        <f>IF(OR($B382="",MIN(AR$38,$D$19)&lt;MAX($P$34*($B382+IF($R$17="Distrato",$I$38-1,0)),IF(AND($L$37=0,$P$34=0),"",$L$37-1),IF($R$17="Distrato",$E382,0))),0,YEARFRAC(MAX($P$34*($B382+IF($R$17="Distrato",$I$38-1,0)),IF(AND($L$37=0,$P$34=0),"",$L$37-1),IF($R$17="Distrato",$E382,0)),MIN(AR$38,$D$19),$P$20))-SUM($P382:AQ382)</f>
        <v>#VALUE!</v>
      </c>
      <c r="AS382" s="446" t="e">
        <f>IF(OR($B382="",MIN(AS$38,$D$19)&lt;MAX($P$34*($B382+IF($R$17="Distrato",$I$38-1,0)),IF(AND($L$37=0,$P$34=0),"",$L$37-1),IF($R$17="Distrato",$E382,0))),0,YEARFRAC(MAX($P$34*($B382+IF($R$17="Distrato",$I$38-1,0)),IF(AND($L$37=0,$P$34=0),"",$L$37-1),IF($R$17="Distrato",$E382,0)),MIN(AS$38,$D$19),$P$20))-SUM($P382:AR382)</f>
        <v>#VALUE!</v>
      </c>
      <c r="AT382" s="446" t="e">
        <f>IF(OR($B382="",MIN(AT$38,$D$19)&lt;MAX($P$34*($B382+IF($R$17="Distrato",$I$38-1,0)),IF(AND($L$37=0,$P$34=0),"",$L$37-1),IF($R$17="Distrato",$E382,0))),0,YEARFRAC(MAX($P$34*($B382+IF($R$17="Distrato",$I$38-1,0)),IF(AND($L$37=0,$P$34=0),"",$L$37-1),IF($R$17="Distrato",$E382,0)),MIN(AT$38,$D$19),$P$20))-SUM($P382:AS382)</f>
        <v>#VALUE!</v>
      </c>
      <c r="AU382" s="446" t="e">
        <f>IF(OR($B382="",MIN(AU$38,$D$19)&lt;MAX($P$34*($B382+IF($R$17="Distrato",$I$38-1,0)),IF(AND($L$37=0,$P$34=0),"",$L$37-1),IF($R$17="Distrato",$E382,0))),0,YEARFRAC(MAX($P$34*($B382+IF($R$17="Distrato",$I$38-1,0)),IF(AND($L$37=0,$P$34=0),"",$L$37-1),IF($R$17="Distrato",$E382,0)),MIN(AU$38,$D$19),$P$20))-SUM($P382:AT382)</f>
        <v>#VALUE!</v>
      </c>
      <c r="AV382" s="446" t="e">
        <f>IF(OR($B382="",MIN(AV$38,$D$19)&lt;MAX($P$34*($B382+IF($R$17="Distrato",$I$38-1,0)),IF(AND($L$37=0,$P$34=0),"",$L$37-1),IF($R$17="Distrato",$E382,0))),0,YEARFRAC(MAX($P$34*($B382+IF($R$17="Distrato",$I$38-1,0)),IF(AND($L$37=0,$P$34=0),"",$L$37-1),IF($R$17="Distrato",$E382,0)),MIN(AV$38,$D$19),$P$20))-SUM($P382:AU382)</f>
        <v>#VALUE!</v>
      </c>
      <c r="AW382" s="446" t="e">
        <f>IF(OR($B382="",MIN(AW$38,$D$19)&lt;MAX($P$34*($B382+IF($R$17="Distrato",$I$38-1,0)),IF(AND($L$37=0,$P$34=0),"",$L$37-1),IF($R$17="Distrato",$E382,0))),0,YEARFRAC(MAX($P$34*($B382+IF($R$17="Distrato",$I$38-1,0)),IF(AND($L$37=0,$P$34=0),"",$L$37-1),IF($R$17="Distrato",$E382,0)),MIN(AW$38,$D$19),$P$20))-SUM($P382:AV382)</f>
        <v>#VALUE!</v>
      </c>
      <c r="AX382" s="446" t="e">
        <f>IF(OR($B382="",MIN(AX$38,$D$19)&lt;MAX($P$34*($B382+IF($R$17="Distrato",$I$38-1,0)),IF(AND($L$37=0,$P$34=0),"",$L$37-1),IF($R$17="Distrato",$E382,0))),0,YEARFRAC(MAX($P$34*($B382+IF($R$17="Distrato",$I$38-1,0)),IF(AND($L$37=0,$P$34=0),"",$L$37-1),IF($R$17="Distrato",$E382,0)),MIN(AX$38,$D$19),$P$20))-SUM($P382:AW382)</f>
        <v>#VALUE!</v>
      </c>
      <c r="AY382" s="446" t="e">
        <f>IF(OR($B382="",MIN(AY$38,$D$19)&lt;MAX($P$34*($B382+IF($R$17="Distrato",$I$38-1,0)),IF(AND($L$37=0,$P$34=0),"",$L$37-1),IF($R$17="Distrato",$E382,0))),0,YEARFRAC(MAX($P$34*($B382+IF($R$17="Distrato",$I$38-1,0)),IF(AND($L$37=0,$P$34=0),"",$L$37-1),IF($R$17="Distrato",$E382,0)),MIN(AY$38,$D$19),$P$20))-SUM($P382:AX382)</f>
        <v>#VALUE!</v>
      </c>
      <c r="AZ382" s="446" t="e">
        <f>IF(OR($B382="",MIN(AZ$38,$D$19)&lt;MAX($P$34*($B382+IF($R$17="Distrato",$I$38-1,0)),IF(AND($L$37=0,$P$34=0),"",$L$37-1),IF($R$17="Distrato",$E382,0))),0,YEARFRAC(MAX($P$34*($B382+IF($R$17="Distrato",$I$38-1,0)),IF(AND($L$37=0,$P$34=0),"",$L$37-1),IF($R$17="Distrato",$E382,0)),MIN(AZ$38,$D$19),$P$20))-SUM($P382:AY382)</f>
        <v>#VALUE!</v>
      </c>
      <c r="BA382" s="446" t="e">
        <f>IF(OR($B382="",MIN(BA$38,$D$19)&lt;MAX($P$34*($B382+IF($R$17="Distrato",$I$38-1,0)),IF(AND($L$37=0,$P$34=0),"",$L$37-1),IF($R$17="Distrato",$E382,0))),0,YEARFRAC(MAX($P$34*($B382+IF($R$17="Distrato",$I$38-1,0)),IF(AND($L$37=0,$P$34=0),"",$L$37-1),IF($R$17="Distrato",$E382,0)),MIN(BA$38,$D$19),$P$20))-SUM($P382:AZ382)</f>
        <v>#VALUE!</v>
      </c>
      <c r="BB382" s="447"/>
      <c r="BF382" s="446">
        <f t="shared" si="65"/>
        <v>0</v>
      </c>
      <c r="BG382" s="446">
        <f>IF($E382=0,0,IF(MIN(BG$38,$E382)&lt;MAX($P$34*($B382+$I$38-1),IF(AND($L$37=0,$P$34=0),"",$L$37-1)),0,YEARFRAC(MAX($P$34*($B382+$I$38-1),IF(AND($L$37=0,$P$34=0),"",$L$37-1)),MIN(BG$38,$E382),$P$20))-SUM($BF382:BF382))</f>
        <v>0</v>
      </c>
      <c r="BH382" s="446">
        <f>IF($E382=0,0,IF(MIN(BH$38,$E382)&lt;MAX($P$34*($B382+$I$38-1),IF(AND($L$37=0,$P$34=0),"",$L$37-1)),0,YEARFRAC(MAX($P$34*($B382+$I$38-1),IF(AND($L$37=0,$P$34=0),"",$L$37-1)),MIN(BH$38,$E382),$P$20))-SUM($BF382:BG382))</f>
        <v>0</v>
      </c>
      <c r="BI382" s="446">
        <f>IF($E382=0,0,IF(MIN(BI$38,$E382)&lt;MAX($P$34*($B382+$I$38-1),IF(AND($L$37=0,$P$34=0),"",$L$37-1)),0,YEARFRAC(MAX($P$34*($B382+$I$38-1),IF(AND($L$37=0,$P$34=0),"",$L$37-1)),MIN(BI$38,$E382),$P$20))-SUM($BF382:BH382))</f>
        <v>0</v>
      </c>
      <c r="BJ382" s="446">
        <f>IF($E382=0,0,IF(MIN(BJ$38,$E382)&lt;MAX($P$34*($B382+$I$38-1),IF(AND($L$37=0,$P$34=0),"",$L$37-1)),0,YEARFRAC(MAX($P$34*($B382+$I$38-1),IF(AND($L$37=0,$P$34=0),"",$L$37-1)),MIN(BJ$38,$E382),$P$20))-SUM($BF382:BI382))</f>
        <v>0</v>
      </c>
      <c r="BK382" s="446">
        <f>IF($E382=0,0,IF(MIN(BK$38,$E382)&lt;MAX($P$34*($B382+$I$38-1),IF(AND($L$37=0,$P$34=0),"",$L$37-1)),0,YEARFRAC(MAX($P$34*($B382+$I$38-1),IF(AND($L$37=0,$P$34=0),"",$L$37-1)),MIN(BK$38,$E382),$P$20))-SUM($BF382:BJ382))</f>
        <v>0</v>
      </c>
      <c r="BL382" s="446">
        <f>IF($E382=0,0,IF(MIN(BL$38,$E382)&lt;MAX($P$34*($B382+$I$38-1),IF(AND($L$37=0,$P$34=0),"",$L$37-1)),0,YEARFRAC(MAX($P$34*($B382+$I$38-1),IF(AND($L$37=0,$P$34=0),"",$L$37-1)),MIN(BL$38,$E382),$P$20))-SUM($BF382:BK382))</f>
        <v>0</v>
      </c>
      <c r="BM382" s="446">
        <f>IF($E382=0,0,IF(MIN(BM$38,$E382)&lt;MAX($P$34*($B382+$I$38-1),IF(AND($L$37=0,$P$34=0),"",$L$37-1)),0,YEARFRAC(MAX($P$34*($B382+$I$38-1),IF(AND($L$37=0,$P$34=0),"",$L$37-1)),MIN(BM$38,$E382),$P$20))-SUM($BF382:BL382))</f>
        <v>0</v>
      </c>
      <c r="BN382" s="446">
        <f>IF($E382=0,0,IF(MIN(BN$38,$E382)&lt;MAX($P$34*($B382+$I$38-1),IF(AND($L$37=0,$P$34=0),"",$L$37-1)),0,YEARFRAC(MAX($P$34*($B382+$I$38-1),IF(AND($L$37=0,$P$34=0),"",$L$37-1)),MIN(BN$38,$E382),$P$20))-SUM($BF382:BM382))</f>
        <v>0</v>
      </c>
      <c r="BO382" s="446">
        <f>IF($E382=0,0,IF(MIN(BO$38,$E382)&lt;MAX($P$34*($B382+$I$38-1),IF(AND($L$37=0,$P$34=0),"",$L$37-1)),0,YEARFRAC(MAX($P$34*($B382+$I$38-1),IF(AND($L$37=0,$P$34=0),"",$L$37-1)),MIN(BO$38,$E382),$P$20))-SUM($BF382:BN382))</f>
        <v>0</v>
      </c>
      <c r="BP382" s="446">
        <f>IF($E382=0,0,IF(MIN(BP$38,$E382)&lt;MAX($P$34*($B382+$I$38-1),IF(AND($L$37=0,$P$34=0),"",$L$37-1)),0,YEARFRAC(MAX($P$34*($B382+$I$38-1),IF(AND($L$37=0,$P$34=0),"",$L$37-1)),MIN(BP$38,$E382),$P$20))-SUM($BF382:BO382))</f>
        <v>0</v>
      </c>
      <c r="BQ382" s="446">
        <f>IF($E382=0,0,IF(MIN(BQ$38,$E382)&lt;MAX($P$34*($B382+$I$38-1),IF(AND($L$37=0,$P$34=0),"",$L$37-1)),0,YEARFRAC(MAX($P$34*($B382+$I$38-1),IF(AND($L$37=0,$P$34=0),"",$L$37-1)),MIN(BQ$38,$E382),$P$20))-SUM($BF382:BP382))</f>
        <v>0</v>
      </c>
      <c r="BR382" s="446">
        <f>IF($E382=0,0,IF(MIN(BR$38,$E382)&lt;MAX($P$34*($B382+$I$38-1),IF(AND($L$37=0,$P$34=0),"",$L$37-1)),0,YEARFRAC(MAX($P$34*($B382+$I$38-1),IF(AND($L$37=0,$P$34=0),"",$L$37-1)),MIN(BR$38,$E382),$P$20))-SUM($BF382:BQ382))</f>
        <v>0</v>
      </c>
      <c r="BS382" s="446">
        <f>IF($E382=0,0,IF(MIN(BS$38,$E382)&lt;MAX($P$34*($B382+$I$38-1),IF(AND($L$37=0,$P$34=0),"",$L$37-1)),0,YEARFRAC(MAX($P$34*($B382+$I$38-1),IF(AND($L$37=0,$P$34=0),"",$L$37-1)),MIN(BS$38,$E382),$P$20))-SUM($BF382:BR382))</f>
        <v>0</v>
      </c>
      <c r="BT382" s="446">
        <f>IF($E382=0,0,IF(MIN(BT$38,$E382)&lt;MAX($P$34*($B382+$I$38-1),IF(AND($L$37=0,$P$34=0),"",$L$37-1)),0,YEARFRAC(MAX($P$34*($B382+$I$38-1),IF(AND($L$37=0,$P$34=0),"",$L$37-1)),MIN(BT$38,$E382),$P$20))-SUM($BF382:BS382))</f>
        <v>0</v>
      </c>
      <c r="BU382" s="446">
        <f>IF($E382=0,0,IF(MIN(BU$38,$E382)&lt;MAX($P$34*($B382+$I$38-1),IF(AND($L$37=0,$P$34=0),"",$L$37-1)),0,YEARFRAC(MAX($P$34*($B382+$I$38-1),IF(AND($L$37=0,$P$34=0),"",$L$37-1)),MIN(BU$38,$E382),$P$20))-SUM($BF382:BT382))</f>
        <v>0</v>
      </c>
      <c r="BV382" s="446">
        <f>IF($E382=0,0,IF(MIN(BV$38,$E382)&lt;MAX($P$34*($B382+$I$38-1),IF(AND($L$37=0,$P$34=0),"",$L$37-1)),0,YEARFRAC(MAX($P$34*($B382+$I$38-1),IF(AND($L$37=0,$P$34=0),"",$L$37-1)),MIN(BV$38,$E382),$P$20))-SUM($BF382:BU382))</f>
        <v>0</v>
      </c>
      <c r="BW382" s="446">
        <f>IF($E382=0,0,IF(MIN(BW$38,$E382)&lt;MAX($P$34*($B382+$I$38-1),IF(AND($L$37=0,$P$34=0),"",$L$37-1)),0,YEARFRAC(MAX($P$34*($B382+$I$38-1),IF(AND($L$37=0,$P$34=0),"",$L$37-1)),MIN(BW$38,$E382),$P$20))-SUM($BF382:BV382))</f>
        <v>0</v>
      </c>
      <c r="BX382" s="446">
        <f>IF($E382=0,0,IF(MIN(BX$38,$E382)&lt;MAX($P$34*($B382+$I$38-1),IF(AND($L$37=0,$P$34=0),"",$L$37-1)),0,YEARFRAC(MAX($P$34*($B382+$I$38-1),IF(AND($L$37=0,$P$34=0),"",$L$37-1)),MIN(BX$38,$E382),$P$20))-SUM($BF382:BW382))</f>
        <v>0</v>
      </c>
      <c r="BY382" s="446">
        <f>IF($E382=0,0,IF(MIN(BY$38,$E382)&lt;MAX($P$34*($B382+$I$38-1),IF(AND($L$37=0,$P$34=0),"",$L$37-1)),0,YEARFRAC(MAX($P$34*($B382+$I$38-1),IF(AND($L$37=0,$P$34=0),"",$L$37-1)),MIN(BY$38,$E382),$P$20))-SUM($BF382:BX382))</f>
        <v>0</v>
      </c>
      <c r="BZ382" s="446">
        <f>IF($E382=0,0,IF(MIN(BZ$38,$E382)&lt;MAX($P$34*($B382+$I$38-1),IF(AND($L$37=0,$P$34=0),"",$L$37-1)),0,YEARFRAC(MAX($P$34*($B382+$I$38-1),IF(AND($L$37=0,$P$34=0),"",$L$37-1)),MIN(BZ$38,$E382),$P$20))-SUM($BF382:BY382))</f>
        <v>0</v>
      </c>
      <c r="CA382" s="446">
        <f>IF($E382=0,0,IF(MIN(CA$38,$E382)&lt;MAX($P$34*($B382+$I$38-1),IF(AND($L$37=0,$P$34=0),"",$L$37-1)),0,YEARFRAC(MAX($P$34*($B382+$I$38-1),IF(AND($L$37=0,$P$34=0),"",$L$37-1)),MIN(CA$38,$E382),$P$20))-SUM($BF382:BZ382))</f>
        <v>0</v>
      </c>
      <c r="CB382" s="446">
        <f>IF($E382=0,0,IF(MIN(CB$38,$E382)&lt;MAX($P$34*($B382+$I$38-1),IF(AND($L$37=0,$P$34=0),"",$L$37-1)),0,YEARFRAC(MAX($P$34*($B382+$I$38-1),IF(AND($L$37=0,$P$34=0),"",$L$37-1)),MIN(CB$38,$E382),$P$20))-SUM($BF382:CA382))</f>
        <v>0</v>
      </c>
      <c r="CC382" s="446">
        <f>IF($E382=0,0,IF(MIN(CC$38,$E382)&lt;MAX($P$34*($B382+$I$38-1),IF(AND($L$37=0,$P$34=0),"",$L$37-1)),0,YEARFRAC(MAX($P$34*($B382+$I$38-1),IF(AND($L$37=0,$P$34=0),"",$L$37-1)),MIN(CC$38,$E382),$P$20))-SUM($BF382:CB382))</f>
        <v>0</v>
      </c>
      <c r="CD382" s="446">
        <f>IF($E382=0,0,IF(MIN(CD$38,$E382)&lt;MAX($P$34*($B382+$I$38-1),IF(AND($L$37=0,$P$34=0),"",$L$37-1)),0,YEARFRAC(MAX($P$34*($B382+$I$38-1),IF(AND($L$37=0,$P$34=0),"",$L$37-1)),MIN(CD$38,$E382),$P$20))-SUM($BF382:CC382))</f>
        <v>0</v>
      </c>
      <c r="CE382" s="446">
        <f>IF($E382=0,0,IF(MIN(CE$38,$E382)&lt;MAX($P$34*($B382+$I$38-1),IF(AND($L$37=0,$P$34=0),"",$L$37-1)),0,YEARFRAC(MAX($P$34*($B382+$I$38-1),IF(AND($L$37=0,$P$34=0),"",$L$37-1)),MIN(CE$38,$E382),$P$20))-SUM($BF382:CD382))</f>
        <v>0</v>
      </c>
      <c r="CF382" s="446">
        <f>IF($E382=0,0,IF(MIN(CF$38,$E382)&lt;MAX($P$34*($B382+$I$38-1),IF(AND($L$37=0,$P$34=0),"",$L$37-1)),0,YEARFRAC(MAX($P$34*($B382+$I$38-1),IF(AND($L$37=0,$P$34=0),"",$L$37-1)),MIN(CF$38,$E382),$P$20))-SUM($BF382:CE382))</f>
        <v>0</v>
      </c>
      <c r="CG382" s="446">
        <f>IF($E382=0,0,IF(MIN(CG$38,$E382)&lt;MAX($P$34*($B382+$I$38-1),IF(AND($L$37=0,$P$34=0),"",$L$37-1)),0,YEARFRAC(MAX($P$34*($B382+$I$38-1),IF(AND($L$37=0,$P$34=0),"",$L$37-1)),MIN(CG$38,$E382),$P$20))-SUM($BF382:CF382))</f>
        <v>0</v>
      </c>
      <c r="CH382" s="446">
        <f>IF($E382=0,0,IF(MIN(CH$38,$E382)&lt;MAX($P$34*($B382+$I$38-1),IF(AND($L$37=0,$P$34=0),"",$L$37-1)),0,YEARFRAC(MAX($P$34*($B382+$I$38-1),IF(AND($L$37=0,$P$34=0),"",$L$37-1)),MIN(CH$38,$E382),$P$20))-SUM($BF382:CG382))</f>
        <v>0</v>
      </c>
      <c r="CI382" s="446">
        <f>IF($E382=0,0,IF(MIN(CI$38,$E382)&lt;MAX($P$34*($B382+$I$38-1),IF(AND($L$37=0,$P$34=0),"",$L$37-1)),0,YEARFRAC(MAX($P$34*($B382+$I$38-1),IF(AND($L$37=0,$P$34=0),"",$L$37-1)),MIN(CI$38,$E382),$P$20))-SUM($BF382:CH382))</f>
        <v>0</v>
      </c>
      <c r="CJ382" s="446">
        <f>IF($E382=0,0,IF(MIN(CJ$38,$E382)&lt;MAX($P$34*($B382+$I$38-1),IF(AND($L$37=0,$P$34=0),"",$L$37-1)),0,YEARFRAC(MAX($P$34*($B382+$I$38-1),IF(AND($L$37=0,$P$34=0),"",$L$37-1)),MIN(CJ$38,$E382),$P$20))-SUM($BF382:CI382))</f>
        <v>0</v>
      </c>
      <c r="CK382" s="446">
        <f>IF($E382=0,0,IF(MIN(CK$38,$E382)&lt;MAX($P$34*($B382+$I$38-1),IF(AND($L$37=0,$P$34=0),"",$L$37-1)),0,YEARFRAC(MAX($P$34*($B382+$I$38-1),IF(AND($L$37=0,$P$34=0),"",$L$37-1)),MIN(CK$38,$E382),$P$20))-SUM($BF382:CJ382))</f>
        <v>0</v>
      </c>
      <c r="CL382" s="446">
        <f>IF($E382=0,0,IF(MIN(CL$38,$E382)&lt;MAX($P$34*($B382+$I$38-1),IF(AND($L$37=0,$P$34=0),"",$L$37-1)),0,YEARFRAC(MAX($P$34*($B382+$I$38-1),IF(AND($L$37=0,$P$34=0),"",$L$37-1)),MIN(CL$38,$E382),$P$20))-SUM($BF382:CK382))</f>
        <v>0</v>
      </c>
      <c r="CM382" s="446">
        <f>IF($E382=0,0,IF(MIN(CM$38,$E382)&lt;MAX($P$34*($B382+$I$38-1),IF(AND($L$37=0,$P$34=0),"",$L$37-1)),0,YEARFRAC(MAX($P$34*($B382+$I$38-1),IF(AND($L$37=0,$P$34=0),"",$L$37-1)),MIN(CM$38,$E382),$P$20))-SUM($BF382:CL382))</f>
        <v>0</v>
      </c>
      <c r="CN382" s="446">
        <f>IF($E382=0,0,IF(MIN(CN$38,$E382)&lt;MAX($P$34*($B382+$I$38-1),IF(AND($L$37=0,$P$34=0),"",$L$37-1)),0,YEARFRAC(MAX($P$34*($B382+$I$38-1),IF(AND($L$37=0,$P$34=0),"",$L$37-1)),MIN(CN$38,$E382),$P$20))-SUM($BF382:CM382))</f>
        <v>0</v>
      </c>
      <c r="CO382" s="446">
        <f>IF($E382=0,0,IF(MIN(CO$38,$E382)&lt;MAX($P$34*($B382+$I$38-1),IF(AND($L$37=0,$P$34=0),"",$L$37-1)),0,YEARFRAC(MAX($P$34*($B382+$I$38-1),IF(AND($L$37=0,$P$34=0),"",$L$37-1)),MIN(CO$38,$E382),$P$20))-SUM($BF382:CN382))</f>
        <v>0</v>
      </c>
      <c r="CP382" s="446">
        <f>IF($E382=0,0,IF(MIN(CP$38,$E382)&lt;MAX($P$34*($B382+$I$38-1),IF(AND($L$37=0,$P$34=0),"",$L$37-1)),0,YEARFRAC(MAX($P$34*($B382+$I$38-1),IF(AND($L$37=0,$P$34=0),"",$L$37-1)),MIN(CP$38,$E382),$P$20))-SUM($BF382:CO382))</f>
        <v>0</v>
      </c>
      <c r="CQ382" s="446">
        <f>IF($E382=0,0,IF(MIN(CQ$38,$E382)&lt;MAX($P$34*($B382+$I$38-1),IF(AND($L$37=0,$P$34=0),"",$L$37-1)),0,YEARFRAC(MAX($P$34*($B382+$I$38-1),IF(AND($L$37=0,$P$34=0),"",$L$37-1)),MIN(CQ$38,$E382),$P$20))-SUM($BF382:CP382))</f>
        <v>0</v>
      </c>
    </row>
    <row r="383" spans="1:95" s="446" customFormat="1" ht="11.25" hidden="1" customHeight="1" x14ac:dyDescent="0.2">
      <c r="A383" s="152"/>
      <c r="B383" s="153" t="str">
        <f t="shared" si="70"/>
        <v/>
      </c>
      <c r="C383" s="29" t="str">
        <f>IF(B383="","",IF($L$35="SELIC - TRIBUTOS",VLOOKUP(DATE(YEAR($D$19),MONTH($D$19)-1,1),ÍNDICES!$A:$DE,HLOOKUP($BL$25,ÍNDICES!$B$3:$T$4,2)+11)-VLOOKUP(B383,ÍNDICES!$A:$DE,HLOOKUP($BL$25,ÍNDICES!$B$3:$T$4,2)+11)+1%,IF(C$38=$W$26,$J$35,IF(ISERROR(IF(B383&gt;$D$19,1,VLOOKUP(DATE(YEAR(B383),MONTH(B383)+IF($C$35=$S$23,1,0),1),ÍNDICES!$A:$DE,$Z$35+1))),"",IF(B383&gt;$D$19,1,VLOOKUP(DATE(YEAR(B383),MONTH(B383)+IF($C$35=$S$23,1,0),1),ÍNDICES!$A:$DE,$Z$35+1))))))</f>
        <v/>
      </c>
      <c r="D383" s="154" t="str">
        <f>IF(ISERROR(IF(OR($D$38=$Y$27,$B383=""),"",VLOOKUP(B383,ÍNDICES!A:DE,AF$35+1))),"",IF(OR($D$38=$Y$27,$B383=""),"",VLOOKUP(B383,ÍNDICES!A:DE,AF$35+1)))</f>
        <v/>
      </c>
      <c r="E383" s="153"/>
      <c r="F383" s="29" t="str">
        <f>IF(E383="","",IF($L$35="SELIC - TRIBUTOS",VLOOKUP(DATE(YEAR($D$19),MONTH($D$19)-1,1),ÍNDICES!$A:$DE,HLOOKUP($BL$25,ÍNDICES!$B$3:$T$4,2)+11)-VLOOKUP(E383,ÍNDICES!$A:$DE,HLOOKUP($BL$25,ÍNDICES!$B$3:$T$4,2)+11)+1%,IF(F$38=$W$26,$J$35,IF(ISERROR(IF(E383&gt;$D$19,1,VLOOKUP(DATE(YEAR(E383),MONTH(E383)+IF($C$35=$S$23,1,0),1),ÍNDICES!$A:$DE,$Z$35+1))),"",IF(E383&gt;$D$19,1,VLOOKUP(DATE(YEAR(E383),MONTH(E383)+IF($C$35=$S$23,1,0),1),ÍNDICES!$A:$DE,$Z$35+1))))))</f>
        <v/>
      </c>
      <c r="G383" s="155"/>
      <c r="H383" s="156" t="str">
        <f t="shared" si="66"/>
        <v/>
      </c>
      <c r="I383" s="29" t="str">
        <f t="shared" si="60"/>
        <v/>
      </c>
      <c r="J383" s="5">
        <f t="shared" si="61"/>
        <v>0</v>
      </c>
      <c r="K383" s="20">
        <f t="shared" ca="1" si="62"/>
        <v>0</v>
      </c>
      <c r="L383" s="5">
        <f t="shared" ca="1" si="63"/>
        <v>0</v>
      </c>
      <c r="M383" s="64">
        <f t="shared" si="67"/>
        <v>0</v>
      </c>
      <c r="N383" s="61">
        <f t="shared" ca="1" si="68"/>
        <v>0</v>
      </c>
      <c r="O383" s="5">
        <f t="shared" ca="1" si="69"/>
        <v>0</v>
      </c>
      <c r="P383" s="446" t="e">
        <f t="shared" si="64"/>
        <v>#VALUE!</v>
      </c>
      <c r="Q383" s="446" t="e">
        <f>IF(OR($B383="",MIN(Q$38,$D$19)&lt;MAX($P$34*($B383+IF($R$17="Distrato",$I$38-1,0)),IF(AND($L$37=0,$P$34=0),"",$L$37-1),IF($R$17="Distrato",$E383,0))),0,YEARFRAC(MAX($P$34*($B383+IF($R$17="Distrato",$I$38-1,0)),IF(AND($L$37=0,$P$34=0),"",$L$37-1),IF($R$17="Distrato",$E383,0)),MIN(Q$38,$D$19),$P$20))-SUM($P383:P383)</f>
        <v>#VALUE!</v>
      </c>
      <c r="R383" s="446" t="e">
        <f>IF(OR($B383="",MIN(R$38,$D$19)&lt;MAX($P$34*($B383+IF($R$17="Distrato",$I$38-1,0)),IF(AND($L$37=0,$P$34=0),"",$L$37-1),IF($R$17="Distrato",$E383,0))),0,YEARFRAC(MAX($P$34*($B383+IF($R$17="Distrato",$I$38-1,0)),IF(AND($L$37=0,$P$34=0),"",$L$37-1),IF($R$17="Distrato",$E383,0)),MIN(R$38,$D$19),$P$20))-SUM($P383:Q383)</f>
        <v>#VALUE!</v>
      </c>
      <c r="S383" s="446" t="e">
        <f>IF(OR($B383="",MIN(S$38,$D$19)&lt;MAX($P$34*($B383+IF($R$17="Distrato",$I$38-1,0)),IF(AND($L$37=0,$P$34=0),"",$L$37-1),IF($R$17="Distrato",$E383,0))),0,YEARFRAC(MAX($P$34*($B383+IF($R$17="Distrato",$I$38-1,0)),IF(AND($L$37=0,$P$34=0),"",$L$37-1),IF($R$17="Distrato",$E383,0)),MIN(S$38,$D$19),$P$20))-SUM($P383:R383)</f>
        <v>#VALUE!</v>
      </c>
      <c r="T383" s="446" t="e">
        <f>IF(OR($B383="",MIN(T$38,$D$19)&lt;MAX($P$34*($B383+IF($R$17="Distrato",$I$38-1,0)),IF(AND($L$37=0,$P$34=0),"",$L$37-1),IF($R$17="Distrato",$E383,0))),0,YEARFRAC(MAX($P$34*($B383+IF($R$17="Distrato",$I$38-1,0)),IF(AND($L$37=0,$P$34=0),"",$L$37-1),IF($R$17="Distrato",$E383,0)),MIN(T$38,$D$19),$P$20))-SUM($P383:S383)</f>
        <v>#VALUE!</v>
      </c>
      <c r="U383" s="446" t="e">
        <f>IF(OR($B383="",MIN(U$38,$D$19)&lt;MAX($P$34*($B383+IF($R$17="Distrato",$I$38-1,0)),IF(AND($L$37=0,$P$34=0),"",$L$37-1),IF($R$17="Distrato",$E383,0))),0,YEARFRAC(MAX($P$34*($B383+IF($R$17="Distrato",$I$38-1,0)),IF(AND($L$37=0,$P$34=0),"",$L$37-1),IF($R$17="Distrato",$E383,0)),MIN(U$38,$D$19),$P$20))-SUM($P383:T383)</f>
        <v>#VALUE!</v>
      </c>
      <c r="V383" s="446" t="e">
        <f>IF(OR($B383="",MIN(V$38,$D$19)&lt;MAX($P$34*($B383+IF($R$17="Distrato",$I$38-1,0)),IF(AND($L$37=0,$P$34=0),"",$L$37-1),IF($R$17="Distrato",$E383,0))),0,YEARFRAC(MAX($P$34*($B383+IF($R$17="Distrato",$I$38-1,0)),IF(AND($L$37=0,$P$34=0),"",$L$37-1),IF($R$17="Distrato",$E383,0)),MIN(V$38,$D$19),$P$20))-SUM($P383:U383)</f>
        <v>#VALUE!</v>
      </c>
      <c r="W383" s="446" t="e">
        <f>IF(OR($B383="",MIN(W$38,$D$19)&lt;MAX($P$34*($B383+IF($R$17="Distrato",$I$38-1,0)),IF(AND($L$37=0,$P$34=0),"",$L$37-1),IF($R$17="Distrato",$E383,0))),0,YEARFRAC(MAX($P$34*($B383+IF($R$17="Distrato",$I$38-1,0)),IF(AND($L$37=0,$P$34=0),"",$L$37-1),IF($R$17="Distrato",$E383,0)),MIN(W$38,$D$19),$P$20))-SUM($P383:V383)</f>
        <v>#VALUE!</v>
      </c>
      <c r="X383" s="446" t="e">
        <f>IF(OR($B383="",MIN(X$38,$D$19)&lt;MAX($P$34*($B383+IF($R$17="Distrato",$I$38-1,0)),IF(AND($L$37=0,$P$34=0),"",$L$37-1),IF($R$17="Distrato",$E383,0))),0,YEARFRAC(MAX($P$34*($B383+IF($R$17="Distrato",$I$38-1,0)),IF(AND($L$37=0,$P$34=0),"",$L$37-1),IF($R$17="Distrato",$E383,0)),MIN(X$38,$D$19),$P$20))-SUM($P383:W383)</f>
        <v>#VALUE!</v>
      </c>
      <c r="Y383" s="446" t="e">
        <f>IF(OR($B383="",MIN(Y$38,$D$19)&lt;MAX($P$34*($B383+IF($R$17="Distrato",$I$38-1,0)),IF(AND($L$37=0,$P$34=0),"",$L$37-1),IF($R$17="Distrato",$E383,0))),0,YEARFRAC(MAX($P$34*($B383+IF($R$17="Distrato",$I$38-1,0)),IF(AND($L$37=0,$P$34=0),"",$L$37-1),IF($R$17="Distrato",$E383,0)),MIN(Y$38,$D$19),$P$20))-SUM($P383:X383)</f>
        <v>#VALUE!</v>
      </c>
      <c r="Z383" s="446" t="e">
        <f>IF(OR($B383="",MIN(Z$38,$D$19)&lt;MAX($P$34*($B383+IF($R$17="Distrato",$I$38-1,0)),IF(AND($L$37=0,$P$34=0),"",$L$37-1),IF($R$17="Distrato",$E383,0))),0,YEARFRAC(MAX($P$34*($B383+IF($R$17="Distrato",$I$38-1,0)),IF(AND($L$37=0,$P$34=0),"",$L$37-1),IF($R$17="Distrato",$E383,0)),MIN(Z$38,$D$19),$P$20))-SUM($P383:Y383)</f>
        <v>#VALUE!</v>
      </c>
      <c r="AA383" s="446" t="e">
        <f>IF(OR($B383="",MIN(AA$38,$D$19)&lt;MAX($P$34*($B383+IF($R$17="Distrato",$I$38-1,0)),IF(AND($L$37=0,$P$34=0),"",$L$37-1),IF($R$17="Distrato",$E383,0))),0,YEARFRAC(MAX($P$34*($B383+IF($R$17="Distrato",$I$38-1,0)),IF(AND($L$37=0,$P$34=0),"",$L$37-1),IF($R$17="Distrato",$E383,0)),MIN(AA$38,$D$19),$P$20))-SUM($P383:Z383)</f>
        <v>#VALUE!</v>
      </c>
      <c r="AB383" s="446" t="e">
        <f>IF(OR($B383="",MIN(AB$38,$D$19)&lt;MAX($P$34*($B383+IF($R$17="Distrato",$I$38-1,0)),IF(AND($L$37=0,$P$34=0),"",$L$37-1),IF($R$17="Distrato",$E383,0))),0,YEARFRAC(MAX($P$34*($B383+IF($R$17="Distrato",$I$38-1,0)),IF(AND($L$37=0,$P$34=0),"",$L$37-1),IF($R$17="Distrato",$E383,0)),MIN(AB$38,$D$19),$P$20))-SUM($P383:AA383)</f>
        <v>#VALUE!</v>
      </c>
      <c r="AC383" s="446" t="e">
        <f>IF(OR($B383="",MIN(AC$38,$D$19)&lt;MAX($P$34*($B383+IF($R$17="Distrato",$I$38-1,0)),IF(AND($L$37=0,$P$34=0),"",$L$37-1),IF($R$17="Distrato",$E383,0))),0,YEARFRAC(MAX($P$34*($B383+IF($R$17="Distrato",$I$38-1,0)),IF(AND($L$37=0,$P$34=0),"",$L$37-1),IF($R$17="Distrato",$E383,0)),MIN(AC$38,$D$19),$P$20))-SUM($P383:AB383)</f>
        <v>#VALUE!</v>
      </c>
      <c r="AD383" s="446" t="e">
        <f>IF(OR($B383="",MIN(AD$38,$D$19)&lt;MAX($P$34*($B383+IF($R$17="Distrato",$I$38-1,0)),IF(AND($L$37=0,$P$34=0),"",$L$37-1),IF($R$17="Distrato",$E383,0))),0,YEARFRAC(MAX($P$34*($B383+IF($R$17="Distrato",$I$38-1,0)),IF(AND($L$37=0,$P$34=0),"",$L$37-1),IF($R$17="Distrato",$E383,0)),MIN(AD$38,$D$19),$P$20))-SUM($P383:AC383)</f>
        <v>#VALUE!</v>
      </c>
      <c r="AE383" s="446" t="e">
        <f>IF(OR($B383="",MIN(AE$38,$D$19)&lt;MAX($P$34*($B383+IF($R$17="Distrato",$I$38-1,0)),IF(AND($L$37=0,$P$34=0),"",$L$37-1),IF($R$17="Distrato",$E383,0))),0,YEARFRAC(MAX($P$34*($B383+IF($R$17="Distrato",$I$38-1,0)),IF(AND($L$37=0,$P$34=0),"",$L$37-1),IF($R$17="Distrato",$E383,0)),MIN(AE$38,$D$19),$P$20))-SUM($P383:AD383)</f>
        <v>#VALUE!</v>
      </c>
      <c r="AF383" s="446" t="e">
        <f>IF(OR($B383="",MIN(AF$38,$D$19)&lt;MAX($P$34*($B383+IF($R$17="Distrato",$I$38-1,0)),IF(AND($L$37=0,$P$34=0),"",$L$37-1),IF($R$17="Distrato",$E383,0))),0,YEARFRAC(MAX($P$34*($B383+IF($R$17="Distrato",$I$38-1,0)),IF(AND($L$37=0,$P$34=0),"",$L$37-1),IF($R$17="Distrato",$E383,0)),MIN(AF$38,$D$19),$P$20))-SUM($P383:AE383)</f>
        <v>#VALUE!</v>
      </c>
      <c r="AG383" s="446" t="e">
        <f>IF(OR($B383="",MIN(AG$38,$D$19)&lt;MAX($P$34*($B383+IF($R$17="Distrato",$I$38-1,0)),IF(AND($L$37=0,$P$34=0),"",$L$37-1),IF($R$17="Distrato",$E383,0))),0,YEARFRAC(MAX($P$34*($B383+IF($R$17="Distrato",$I$38-1,0)),IF(AND($L$37=0,$P$34=0),"",$L$37-1),IF($R$17="Distrato",$E383,0)),MIN(AG$38,$D$19),$P$20))-SUM($P383:AF383)</f>
        <v>#VALUE!</v>
      </c>
      <c r="AH383" s="446" t="e">
        <f>IF(OR($B383="",MIN(AH$38,$D$19)&lt;MAX($P$34*($B383+IF($R$17="Distrato",$I$38-1,0)),IF(AND($L$37=0,$P$34=0),"",$L$37-1),IF($R$17="Distrato",$E383,0))),0,YEARFRAC(MAX($P$34*($B383+IF($R$17="Distrato",$I$38-1,0)),IF(AND($L$37=0,$P$34=0),"",$L$37-1),IF($R$17="Distrato",$E383,0)),MIN(AH$38,$D$19),$P$20))-SUM($P383:AG383)</f>
        <v>#VALUE!</v>
      </c>
      <c r="AI383" s="446" t="e">
        <f>IF(OR($B383="",MIN(AI$38,$D$19)&lt;MAX($P$34*($B383+IF($R$17="Distrato",$I$38-1,0)),IF(AND($L$37=0,$P$34=0),"",$L$37-1),IF($R$17="Distrato",$E383,0))),0,YEARFRAC(MAX($P$34*($B383+IF($R$17="Distrato",$I$38-1,0)),IF(AND($L$37=0,$P$34=0),"",$L$37-1),IF($R$17="Distrato",$E383,0)),MIN(AI$38,$D$19),$P$20))-SUM($P383:AH383)</f>
        <v>#VALUE!</v>
      </c>
      <c r="AJ383" s="446" t="e">
        <f>IF(OR($B383="",MIN(AJ$38,$D$19)&lt;MAX($P$34*($B383+IF($R$17="Distrato",$I$38-1,0)),IF(AND($L$37=0,$P$34=0),"",$L$37-1),IF($R$17="Distrato",$E383,0))),0,YEARFRAC(MAX($P$34*($B383+IF($R$17="Distrato",$I$38-1,0)),IF(AND($L$37=0,$P$34=0),"",$L$37-1),IF($R$17="Distrato",$E383,0)),MIN(AJ$38,$D$19),$P$20))-SUM($P383:AI383)</f>
        <v>#VALUE!</v>
      </c>
      <c r="AK383" s="446" t="e">
        <f>IF(OR($B383="",MIN(AK$38,$D$19)&lt;MAX($P$34*($B383+IF($R$17="Distrato",$I$38-1,0)),IF(AND($L$37=0,$P$34=0),"",$L$37-1),IF($R$17="Distrato",$E383,0))),0,YEARFRAC(MAX($P$34*($B383+IF($R$17="Distrato",$I$38-1,0)),IF(AND($L$37=0,$P$34=0),"",$L$37-1),IF($R$17="Distrato",$E383,0)),MIN(AK$38,$D$19),$P$20))-SUM($P383:AJ383)</f>
        <v>#VALUE!</v>
      </c>
      <c r="AL383" s="446" t="e">
        <f>IF(OR($B383="",MIN(AL$38,$D$19)&lt;MAX($P$34*($B383+IF($R$17="Distrato",$I$38-1,0)),IF(AND($L$37=0,$P$34=0),"",$L$37-1),IF($R$17="Distrato",$E383,0))),0,YEARFRAC(MAX($P$34*($B383+IF($R$17="Distrato",$I$38-1,0)),IF(AND($L$37=0,$P$34=0),"",$L$37-1),IF($R$17="Distrato",$E383,0)),MIN(AL$38,$D$19),$P$20))-SUM($P383:AK383)</f>
        <v>#VALUE!</v>
      </c>
      <c r="AM383" s="446" t="e">
        <f>IF(OR($B383="",MIN(AM$38,$D$19)&lt;MAX($P$34*($B383+IF($R$17="Distrato",$I$38-1,0)),IF(AND($L$37=0,$P$34=0),"",$L$37-1),IF($R$17="Distrato",$E383,0))),0,YEARFRAC(MAX($P$34*($B383+IF($R$17="Distrato",$I$38-1,0)),IF(AND($L$37=0,$P$34=0),"",$L$37-1),IF($R$17="Distrato",$E383,0)),MIN(AM$38,$D$19),$P$20))-SUM($P383:AL383)</f>
        <v>#VALUE!</v>
      </c>
      <c r="AN383" s="446" t="e">
        <f>IF(OR($B383="",MIN(AN$38,$D$19)&lt;MAX($P$34*($B383+IF($R$17="Distrato",$I$38-1,0)),IF(AND($L$37=0,$P$34=0),"",$L$37-1),IF($R$17="Distrato",$E383,0))),0,YEARFRAC(MAX($P$34*($B383+IF($R$17="Distrato",$I$38-1,0)),IF(AND($L$37=0,$P$34=0),"",$L$37-1),IF($R$17="Distrato",$E383,0)),MIN(AN$38,$D$19),$P$20))-SUM($P383:AM383)</f>
        <v>#VALUE!</v>
      </c>
      <c r="AO383" s="446" t="e">
        <f>IF(OR($B383="",MIN(AO$38,$D$19)&lt;MAX($P$34*($B383+IF($R$17="Distrato",$I$38-1,0)),IF(AND($L$37=0,$P$34=0),"",$L$37-1),IF($R$17="Distrato",$E383,0))),0,YEARFRAC(MAX($P$34*($B383+IF($R$17="Distrato",$I$38-1,0)),IF(AND($L$37=0,$P$34=0),"",$L$37-1),IF($R$17="Distrato",$E383,0)),MIN(AO$38,$D$19),$P$20))-SUM($P383:AN383)</f>
        <v>#VALUE!</v>
      </c>
      <c r="AP383" s="446" t="e">
        <f>IF(OR($B383="",MIN(AP$38,$D$19)&lt;MAX($P$34*($B383+IF($R$17="Distrato",$I$38-1,0)),IF(AND($L$37=0,$P$34=0),"",$L$37-1),IF($R$17="Distrato",$E383,0))),0,YEARFRAC(MAX($P$34*($B383+IF($R$17="Distrato",$I$38-1,0)),IF(AND($L$37=0,$P$34=0),"",$L$37-1),IF($R$17="Distrato",$E383,0)),MIN(AP$38,$D$19),$P$20))-SUM($P383:AO383)</f>
        <v>#VALUE!</v>
      </c>
      <c r="AQ383" s="446" t="e">
        <f>IF(OR($B383="",MIN(AQ$38,$D$19)&lt;MAX($P$34*($B383+IF($R$17="Distrato",$I$38-1,0)),IF(AND($L$37=0,$P$34=0),"",$L$37-1),IF($R$17="Distrato",$E383,0))),0,YEARFRAC(MAX($P$34*($B383+IF($R$17="Distrato",$I$38-1,0)),IF(AND($L$37=0,$P$34=0),"",$L$37-1),IF($R$17="Distrato",$E383,0)),MIN(AQ$38,$D$19),$P$20))-SUM($P383:AP383)</f>
        <v>#VALUE!</v>
      </c>
      <c r="AR383" s="446" t="e">
        <f>IF(OR($B383="",MIN(AR$38,$D$19)&lt;MAX($P$34*($B383+IF($R$17="Distrato",$I$38-1,0)),IF(AND($L$37=0,$P$34=0),"",$L$37-1),IF($R$17="Distrato",$E383,0))),0,YEARFRAC(MAX($P$34*($B383+IF($R$17="Distrato",$I$38-1,0)),IF(AND($L$37=0,$P$34=0),"",$L$37-1),IF($R$17="Distrato",$E383,0)),MIN(AR$38,$D$19),$P$20))-SUM($P383:AQ383)</f>
        <v>#VALUE!</v>
      </c>
      <c r="AS383" s="446" t="e">
        <f>IF(OR($B383="",MIN(AS$38,$D$19)&lt;MAX($P$34*($B383+IF($R$17="Distrato",$I$38-1,0)),IF(AND($L$37=0,$P$34=0),"",$L$37-1),IF($R$17="Distrato",$E383,0))),0,YEARFRAC(MAX($P$34*($B383+IF($R$17="Distrato",$I$38-1,0)),IF(AND($L$37=0,$P$34=0),"",$L$37-1),IF($R$17="Distrato",$E383,0)),MIN(AS$38,$D$19),$P$20))-SUM($P383:AR383)</f>
        <v>#VALUE!</v>
      </c>
      <c r="AT383" s="446" t="e">
        <f>IF(OR($B383="",MIN(AT$38,$D$19)&lt;MAX($P$34*($B383+IF($R$17="Distrato",$I$38-1,0)),IF(AND($L$37=0,$P$34=0),"",$L$37-1),IF($R$17="Distrato",$E383,0))),0,YEARFRAC(MAX($P$34*($B383+IF($R$17="Distrato",$I$38-1,0)),IF(AND($L$37=0,$P$34=0),"",$L$37-1),IF($R$17="Distrato",$E383,0)),MIN(AT$38,$D$19),$P$20))-SUM($P383:AS383)</f>
        <v>#VALUE!</v>
      </c>
      <c r="AU383" s="446" t="e">
        <f>IF(OR($B383="",MIN(AU$38,$D$19)&lt;MAX($P$34*($B383+IF($R$17="Distrato",$I$38-1,0)),IF(AND($L$37=0,$P$34=0),"",$L$37-1),IF($R$17="Distrato",$E383,0))),0,YEARFRAC(MAX($P$34*($B383+IF($R$17="Distrato",$I$38-1,0)),IF(AND($L$37=0,$P$34=0),"",$L$37-1),IF($R$17="Distrato",$E383,0)),MIN(AU$38,$D$19),$P$20))-SUM($P383:AT383)</f>
        <v>#VALUE!</v>
      </c>
      <c r="AV383" s="446" t="e">
        <f>IF(OR($B383="",MIN(AV$38,$D$19)&lt;MAX($P$34*($B383+IF($R$17="Distrato",$I$38-1,0)),IF(AND($L$37=0,$P$34=0),"",$L$37-1),IF($R$17="Distrato",$E383,0))),0,YEARFRAC(MAX($P$34*($B383+IF($R$17="Distrato",$I$38-1,0)),IF(AND($L$37=0,$P$34=0),"",$L$37-1),IF($R$17="Distrato",$E383,0)),MIN(AV$38,$D$19),$P$20))-SUM($P383:AU383)</f>
        <v>#VALUE!</v>
      </c>
      <c r="AW383" s="446" t="e">
        <f>IF(OR($B383="",MIN(AW$38,$D$19)&lt;MAX($P$34*($B383+IF($R$17="Distrato",$I$38-1,0)),IF(AND($L$37=0,$P$34=0),"",$L$37-1),IF($R$17="Distrato",$E383,0))),0,YEARFRAC(MAX($P$34*($B383+IF($R$17="Distrato",$I$38-1,0)),IF(AND($L$37=0,$P$34=0),"",$L$37-1),IF($R$17="Distrato",$E383,0)),MIN(AW$38,$D$19),$P$20))-SUM($P383:AV383)</f>
        <v>#VALUE!</v>
      </c>
      <c r="AX383" s="446" t="e">
        <f>IF(OR($B383="",MIN(AX$38,$D$19)&lt;MAX($P$34*($B383+IF($R$17="Distrato",$I$38-1,0)),IF(AND($L$37=0,$P$34=0),"",$L$37-1),IF($R$17="Distrato",$E383,0))),0,YEARFRAC(MAX($P$34*($B383+IF($R$17="Distrato",$I$38-1,0)),IF(AND($L$37=0,$P$34=0),"",$L$37-1),IF($R$17="Distrato",$E383,0)),MIN(AX$38,$D$19),$P$20))-SUM($P383:AW383)</f>
        <v>#VALUE!</v>
      </c>
      <c r="AY383" s="446" t="e">
        <f>IF(OR($B383="",MIN(AY$38,$D$19)&lt;MAX($P$34*($B383+IF($R$17="Distrato",$I$38-1,0)),IF(AND($L$37=0,$P$34=0),"",$L$37-1),IF($R$17="Distrato",$E383,0))),0,YEARFRAC(MAX($P$34*($B383+IF($R$17="Distrato",$I$38-1,0)),IF(AND($L$37=0,$P$34=0),"",$L$37-1),IF($R$17="Distrato",$E383,0)),MIN(AY$38,$D$19),$P$20))-SUM($P383:AX383)</f>
        <v>#VALUE!</v>
      </c>
      <c r="AZ383" s="446" t="e">
        <f>IF(OR($B383="",MIN(AZ$38,$D$19)&lt;MAX($P$34*($B383+IF($R$17="Distrato",$I$38-1,0)),IF(AND($L$37=0,$P$34=0),"",$L$37-1),IF($R$17="Distrato",$E383,0))),0,YEARFRAC(MAX($P$34*($B383+IF($R$17="Distrato",$I$38-1,0)),IF(AND($L$37=0,$P$34=0),"",$L$37-1),IF($R$17="Distrato",$E383,0)),MIN(AZ$38,$D$19),$P$20))-SUM($P383:AY383)</f>
        <v>#VALUE!</v>
      </c>
      <c r="BA383" s="446" t="e">
        <f>IF(OR($B383="",MIN(BA$38,$D$19)&lt;MAX($P$34*($B383+IF($R$17="Distrato",$I$38-1,0)),IF(AND($L$37=0,$P$34=0),"",$L$37-1),IF($R$17="Distrato",$E383,0))),0,YEARFRAC(MAX($P$34*($B383+IF($R$17="Distrato",$I$38-1,0)),IF(AND($L$37=0,$P$34=0),"",$L$37-1),IF($R$17="Distrato",$E383,0)),MIN(BA$38,$D$19),$P$20))-SUM($P383:AZ383)</f>
        <v>#VALUE!</v>
      </c>
      <c r="BB383" s="447"/>
      <c r="BF383" s="446">
        <f t="shared" si="65"/>
        <v>0</v>
      </c>
      <c r="BG383" s="446">
        <f>IF($E383=0,0,IF(MIN(BG$38,$E383)&lt;MAX($P$34*($B383+$I$38-1),IF(AND($L$37=0,$P$34=0),"",$L$37-1)),0,YEARFRAC(MAX($P$34*($B383+$I$38-1),IF(AND($L$37=0,$P$34=0),"",$L$37-1)),MIN(BG$38,$E383),$P$20))-SUM($BF383:BF383))</f>
        <v>0</v>
      </c>
      <c r="BH383" s="446">
        <f>IF($E383=0,0,IF(MIN(BH$38,$E383)&lt;MAX($P$34*($B383+$I$38-1),IF(AND($L$37=0,$P$34=0),"",$L$37-1)),0,YEARFRAC(MAX($P$34*($B383+$I$38-1),IF(AND($L$37=0,$P$34=0),"",$L$37-1)),MIN(BH$38,$E383),$P$20))-SUM($BF383:BG383))</f>
        <v>0</v>
      </c>
      <c r="BI383" s="446">
        <f>IF($E383=0,0,IF(MIN(BI$38,$E383)&lt;MAX($P$34*($B383+$I$38-1),IF(AND($L$37=0,$P$34=0),"",$L$37-1)),0,YEARFRAC(MAX($P$34*($B383+$I$38-1),IF(AND($L$37=0,$P$34=0),"",$L$37-1)),MIN(BI$38,$E383),$P$20))-SUM($BF383:BH383))</f>
        <v>0</v>
      </c>
      <c r="BJ383" s="446">
        <f>IF($E383=0,0,IF(MIN(BJ$38,$E383)&lt;MAX($P$34*($B383+$I$38-1),IF(AND($L$37=0,$P$34=0),"",$L$37-1)),0,YEARFRAC(MAX($P$34*($B383+$I$38-1),IF(AND($L$37=0,$P$34=0),"",$L$37-1)),MIN(BJ$38,$E383),$P$20))-SUM($BF383:BI383))</f>
        <v>0</v>
      </c>
      <c r="BK383" s="446">
        <f>IF($E383=0,0,IF(MIN(BK$38,$E383)&lt;MAX($P$34*($B383+$I$38-1),IF(AND($L$37=0,$P$34=0),"",$L$37-1)),0,YEARFRAC(MAX($P$34*($B383+$I$38-1),IF(AND($L$37=0,$P$34=0),"",$L$37-1)),MIN(BK$38,$E383),$P$20))-SUM($BF383:BJ383))</f>
        <v>0</v>
      </c>
      <c r="BL383" s="446">
        <f>IF($E383=0,0,IF(MIN(BL$38,$E383)&lt;MAX($P$34*($B383+$I$38-1),IF(AND($L$37=0,$P$34=0),"",$L$37-1)),0,YEARFRAC(MAX($P$34*($B383+$I$38-1),IF(AND($L$37=0,$P$34=0),"",$L$37-1)),MIN(BL$38,$E383),$P$20))-SUM($BF383:BK383))</f>
        <v>0</v>
      </c>
      <c r="BM383" s="446">
        <f>IF($E383=0,0,IF(MIN(BM$38,$E383)&lt;MAX($P$34*($B383+$I$38-1),IF(AND($L$37=0,$P$34=0),"",$L$37-1)),0,YEARFRAC(MAX($P$34*($B383+$I$38-1),IF(AND($L$37=0,$P$34=0),"",$L$37-1)),MIN(BM$38,$E383),$P$20))-SUM($BF383:BL383))</f>
        <v>0</v>
      </c>
      <c r="BN383" s="446">
        <f>IF($E383=0,0,IF(MIN(BN$38,$E383)&lt;MAX($P$34*($B383+$I$38-1),IF(AND($L$37=0,$P$34=0),"",$L$37-1)),0,YEARFRAC(MAX($P$34*($B383+$I$38-1),IF(AND($L$37=0,$P$34=0),"",$L$37-1)),MIN(BN$38,$E383),$P$20))-SUM($BF383:BM383))</f>
        <v>0</v>
      </c>
      <c r="BO383" s="446">
        <f>IF($E383=0,0,IF(MIN(BO$38,$E383)&lt;MAX($P$34*($B383+$I$38-1),IF(AND($L$37=0,$P$34=0),"",$L$37-1)),0,YEARFRAC(MAX($P$34*($B383+$I$38-1),IF(AND($L$37=0,$P$34=0),"",$L$37-1)),MIN(BO$38,$E383),$P$20))-SUM($BF383:BN383))</f>
        <v>0</v>
      </c>
      <c r="BP383" s="446">
        <f>IF($E383=0,0,IF(MIN(BP$38,$E383)&lt;MAX($P$34*($B383+$I$38-1),IF(AND($L$37=0,$P$34=0),"",$L$37-1)),0,YEARFRAC(MAX($P$34*($B383+$I$38-1),IF(AND($L$37=0,$P$34=0),"",$L$37-1)),MIN(BP$38,$E383),$P$20))-SUM($BF383:BO383))</f>
        <v>0</v>
      </c>
      <c r="BQ383" s="446">
        <f>IF($E383=0,0,IF(MIN(BQ$38,$E383)&lt;MAX($P$34*($B383+$I$38-1),IF(AND($L$37=0,$P$34=0),"",$L$37-1)),0,YEARFRAC(MAX($P$34*($B383+$I$38-1),IF(AND($L$37=0,$P$34=0),"",$L$37-1)),MIN(BQ$38,$E383),$P$20))-SUM($BF383:BP383))</f>
        <v>0</v>
      </c>
      <c r="BR383" s="446">
        <f>IF($E383=0,0,IF(MIN(BR$38,$E383)&lt;MAX($P$34*($B383+$I$38-1),IF(AND($L$37=0,$P$34=0),"",$L$37-1)),0,YEARFRAC(MAX($P$34*($B383+$I$38-1),IF(AND($L$37=0,$P$34=0),"",$L$37-1)),MIN(BR$38,$E383),$P$20))-SUM($BF383:BQ383))</f>
        <v>0</v>
      </c>
      <c r="BS383" s="446">
        <f>IF($E383=0,0,IF(MIN(BS$38,$E383)&lt;MAX($P$34*($B383+$I$38-1),IF(AND($L$37=0,$P$34=0),"",$L$37-1)),0,YEARFRAC(MAX($P$34*($B383+$I$38-1),IF(AND($L$37=0,$P$34=0),"",$L$37-1)),MIN(BS$38,$E383),$P$20))-SUM($BF383:BR383))</f>
        <v>0</v>
      </c>
      <c r="BT383" s="446">
        <f>IF($E383=0,0,IF(MIN(BT$38,$E383)&lt;MAX($P$34*($B383+$I$38-1),IF(AND($L$37=0,$P$34=0),"",$L$37-1)),0,YEARFRAC(MAX($P$34*($B383+$I$38-1),IF(AND($L$37=0,$P$34=0),"",$L$37-1)),MIN(BT$38,$E383),$P$20))-SUM($BF383:BS383))</f>
        <v>0</v>
      </c>
      <c r="BU383" s="446">
        <f>IF($E383=0,0,IF(MIN(BU$38,$E383)&lt;MAX($P$34*($B383+$I$38-1),IF(AND($L$37=0,$P$34=0),"",$L$37-1)),0,YEARFRAC(MAX($P$34*($B383+$I$38-1),IF(AND($L$37=0,$P$34=0),"",$L$37-1)),MIN(BU$38,$E383),$P$20))-SUM($BF383:BT383))</f>
        <v>0</v>
      </c>
      <c r="BV383" s="446">
        <f>IF($E383=0,0,IF(MIN(BV$38,$E383)&lt;MAX($P$34*($B383+$I$38-1),IF(AND($L$37=0,$P$34=0),"",$L$37-1)),0,YEARFRAC(MAX($P$34*($B383+$I$38-1),IF(AND($L$37=0,$P$34=0),"",$L$37-1)),MIN(BV$38,$E383),$P$20))-SUM($BF383:BU383))</f>
        <v>0</v>
      </c>
      <c r="BW383" s="446">
        <f>IF($E383=0,0,IF(MIN(BW$38,$E383)&lt;MAX($P$34*($B383+$I$38-1),IF(AND($L$37=0,$P$34=0),"",$L$37-1)),0,YEARFRAC(MAX($P$34*($B383+$I$38-1),IF(AND($L$37=0,$P$34=0),"",$L$37-1)),MIN(BW$38,$E383),$P$20))-SUM($BF383:BV383))</f>
        <v>0</v>
      </c>
      <c r="BX383" s="446">
        <f>IF($E383=0,0,IF(MIN(BX$38,$E383)&lt;MAX($P$34*($B383+$I$38-1),IF(AND($L$37=0,$P$34=0),"",$L$37-1)),0,YEARFRAC(MAX($P$34*($B383+$I$38-1),IF(AND($L$37=0,$P$34=0),"",$L$37-1)),MIN(BX$38,$E383),$P$20))-SUM($BF383:BW383))</f>
        <v>0</v>
      </c>
      <c r="BY383" s="446">
        <f>IF($E383=0,0,IF(MIN(BY$38,$E383)&lt;MAX($P$34*($B383+$I$38-1),IF(AND($L$37=0,$P$34=0),"",$L$37-1)),0,YEARFRAC(MAX($P$34*($B383+$I$38-1),IF(AND($L$37=0,$P$34=0),"",$L$37-1)),MIN(BY$38,$E383),$P$20))-SUM($BF383:BX383))</f>
        <v>0</v>
      </c>
      <c r="BZ383" s="446">
        <f>IF($E383=0,0,IF(MIN(BZ$38,$E383)&lt;MAX($P$34*($B383+$I$38-1),IF(AND($L$37=0,$P$34=0),"",$L$37-1)),0,YEARFRAC(MAX($P$34*($B383+$I$38-1),IF(AND($L$37=0,$P$34=0),"",$L$37-1)),MIN(BZ$38,$E383),$P$20))-SUM($BF383:BY383))</f>
        <v>0</v>
      </c>
      <c r="CA383" s="446">
        <f>IF($E383=0,0,IF(MIN(CA$38,$E383)&lt;MAX($P$34*($B383+$I$38-1),IF(AND($L$37=0,$P$34=0),"",$L$37-1)),0,YEARFRAC(MAX($P$34*($B383+$I$38-1),IF(AND($L$37=0,$P$34=0),"",$L$37-1)),MIN(CA$38,$E383),$P$20))-SUM($BF383:BZ383))</f>
        <v>0</v>
      </c>
      <c r="CB383" s="446">
        <f>IF($E383=0,0,IF(MIN(CB$38,$E383)&lt;MAX($P$34*($B383+$I$38-1),IF(AND($L$37=0,$P$34=0),"",$L$37-1)),0,YEARFRAC(MAX($P$34*($B383+$I$38-1),IF(AND($L$37=0,$P$34=0),"",$L$37-1)),MIN(CB$38,$E383),$P$20))-SUM($BF383:CA383))</f>
        <v>0</v>
      </c>
      <c r="CC383" s="446">
        <f>IF($E383=0,0,IF(MIN(CC$38,$E383)&lt;MAX($P$34*($B383+$I$38-1),IF(AND($L$37=0,$P$34=0),"",$L$37-1)),0,YEARFRAC(MAX($P$34*($B383+$I$38-1),IF(AND($L$37=0,$P$34=0),"",$L$37-1)),MIN(CC$38,$E383),$P$20))-SUM($BF383:CB383))</f>
        <v>0</v>
      </c>
      <c r="CD383" s="446">
        <f>IF($E383=0,0,IF(MIN(CD$38,$E383)&lt;MAX($P$34*($B383+$I$38-1),IF(AND($L$37=0,$P$34=0),"",$L$37-1)),0,YEARFRAC(MAX($P$34*($B383+$I$38-1),IF(AND($L$37=0,$P$34=0),"",$L$37-1)),MIN(CD$38,$E383),$P$20))-SUM($BF383:CC383))</f>
        <v>0</v>
      </c>
      <c r="CE383" s="446">
        <f>IF($E383=0,0,IF(MIN(CE$38,$E383)&lt;MAX($P$34*($B383+$I$38-1),IF(AND($L$37=0,$P$34=0),"",$L$37-1)),0,YEARFRAC(MAX($P$34*($B383+$I$38-1),IF(AND($L$37=0,$P$34=0),"",$L$37-1)),MIN(CE$38,$E383),$P$20))-SUM($BF383:CD383))</f>
        <v>0</v>
      </c>
      <c r="CF383" s="446">
        <f>IF($E383=0,0,IF(MIN(CF$38,$E383)&lt;MAX($P$34*($B383+$I$38-1),IF(AND($L$37=0,$P$34=0),"",$L$37-1)),0,YEARFRAC(MAX($P$34*($B383+$I$38-1),IF(AND($L$37=0,$P$34=0),"",$L$37-1)),MIN(CF$38,$E383),$P$20))-SUM($BF383:CE383))</f>
        <v>0</v>
      </c>
      <c r="CG383" s="446">
        <f>IF($E383=0,0,IF(MIN(CG$38,$E383)&lt;MAX($P$34*($B383+$I$38-1),IF(AND($L$37=0,$P$34=0),"",$L$37-1)),0,YEARFRAC(MAX($P$34*($B383+$I$38-1),IF(AND($L$37=0,$P$34=0),"",$L$37-1)),MIN(CG$38,$E383),$P$20))-SUM($BF383:CF383))</f>
        <v>0</v>
      </c>
      <c r="CH383" s="446">
        <f>IF($E383=0,0,IF(MIN(CH$38,$E383)&lt;MAX($P$34*($B383+$I$38-1),IF(AND($L$37=0,$P$34=0),"",$L$37-1)),0,YEARFRAC(MAX($P$34*($B383+$I$38-1),IF(AND($L$37=0,$P$34=0),"",$L$37-1)),MIN(CH$38,$E383),$P$20))-SUM($BF383:CG383))</f>
        <v>0</v>
      </c>
      <c r="CI383" s="446">
        <f>IF($E383=0,0,IF(MIN(CI$38,$E383)&lt;MAX($P$34*($B383+$I$38-1),IF(AND($L$37=0,$P$34=0),"",$L$37-1)),0,YEARFRAC(MAX($P$34*($B383+$I$38-1),IF(AND($L$37=0,$P$34=0),"",$L$37-1)),MIN(CI$38,$E383),$P$20))-SUM($BF383:CH383))</f>
        <v>0</v>
      </c>
      <c r="CJ383" s="446">
        <f>IF($E383=0,0,IF(MIN(CJ$38,$E383)&lt;MAX($P$34*($B383+$I$38-1),IF(AND($L$37=0,$P$34=0),"",$L$37-1)),0,YEARFRAC(MAX($P$34*($B383+$I$38-1),IF(AND($L$37=0,$P$34=0),"",$L$37-1)),MIN(CJ$38,$E383),$P$20))-SUM($BF383:CI383))</f>
        <v>0</v>
      </c>
      <c r="CK383" s="446">
        <f>IF($E383=0,0,IF(MIN(CK$38,$E383)&lt;MAX($P$34*($B383+$I$38-1),IF(AND($L$37=0,$P$34=0),"",$L$37-1)),0,YEARFRAC(MAX($P$34*($B383+$I$38-1),IF(AND($L$37=0,$P$34=0),"",$L$37-1)),MIN(CK$38,$E383),$P$20))-SUM($BF383:CJ383))</f>
        <v>0</v>
      </c>
      <c r="CL383" s="446">
        <f>IF($E383=0,0,IF(MIN(CL$38,$E383)&lt;MAX($P$34*($B383+$I$38-1),IF(AND($L$37=0,$P$34=0),"",$L$37-1)),0,YEARFRAC(MAX($P$34*($B383+$I$38-1),IF(AND($L$37=0,$P$34=0),"",$L$37-1)),MIN(CL$38,$E383),$P$20))-SUM($BF383:CK383))</f>
        <v>0</v>
      </c>
      <c r="CM383" s="446">
        <f>IF($E383=0,0,IF(MIN(CM$38,$E383)&lt;MAX($P$34*($B383+$I$38-1),IF(AND($L$37=0,$P$34=0),"",$L$37-1)),0,YEARFRAC(MAX($P$34*($B383+$I$38-1),IF(AND($L$37=0,$P$34=0),"",$L$37-1)),MIN(CM$38,$E383),$P$20))-SUM($BF383:CL383))</f>
        <v>0</v>
      </c>
      <c r="CN383" s="446">
        <f>IF($E383=0,0,IF(MIN(CN$38,$E383)&lt;MAX($P$34*($B383+$I$38-1),IF(AND($L$37=0,$P$34=0),"",$L$37-1)),0,YEARFRAC(MAX($P$34*($B383+$I$38-1),IF(AND($L$37=0,$P$34=0),"",$L$37-1)),MIN(CN$38,$E383),$P$20))-SUM($BF383:CM383))</f>
        <v>0</v>
      </c>
      <c r="CO383" s="446">
        <f>IF($E383=0,0,IF(MIN(CO$38,$E383)&lt;MAX($P$34*($B383+$I$38-1),IF(AND($L$37=0,$P$34=0),"",$L$37-1)),0,YEARFRAC(MAX($P$34*($B383+$I$38-1),IF(AND($L$37=0,$P$34=0),"",$L$37-1)),MIN(CO$38,$E383),$P$20))-SUM($BF383:CN383))</f>
        <v>0</v>
      </c>
      <c r="CP383" s="446">
        <f>IF($E383=0,0,IF(MIN(CP$38,$E383)&lt;MAX($P$34*($B383+$I$38-1),IF(AND($L$37=0,$P$34=0),"",$L$37-1)),0,YEARFRAC(MAX($P$34*($B383+$I$38-1),IF(AND($L$37=0,$P$34=0),"",$L$37-1)),MIN(CP$38,$E383),$P$20))-SUM($BF383:CO383))</f>
        <v>0</v>
      </c>
      <c r="CQ383" s="446">
        <f>IF($E383=0,0,IF(MIN(CQ$38,$E383)&lt;MAX($P$34*($B383+$I$38-1),IF(AND($L$37=0,$P$34=0),"",$L$37-1)),0,YEARFRAC(MAX($P$34*($B383+$I$38-1),IF(AND($L$37=0,$P$34=0),"",$L$37-1)),MIN(CQ$38,$E383),$P$20))-SUM($BF383:CP383))</f>
        <v>0</v>
      </c>
    </row>
    <row r="384" spans="1:95" s="446" customFormat="1" ht="11.25" hidden="1" customHeight="1" x14ac:dyDescent="0.2">
      <c r="A384" s="152"/>
      <c r="B384" s="153" t="str">
        <f t="shared" si="70"/>
        <v/>
      </c>
      <c r="C384" s="29" t="str">
        <f>IF(B384="","",IF($L$35="SELIC - TRIBUTOS",VLOOKUP(DATE(YEAR($D$19),MONTH($D$19)-1,1),ÍNDICES!$A:$DE,HLOOKUP($BL$25,ÍNDICES!$B$3:$T$4,2)+11)-VLOOKUP(B384,ÍNDICES!$A:$DE,HLOOKUP($BL$25,ÍNDICES!$B$3:$T$4,2)+11)+1%,IF(C$38=$W$26,$J$35,IF(ISERROR(IF(B384&gt;$D$19,1,VLOOKUP(DATE(YEAR(B384),MONTH(B384)+IF($C$35=$S$23,1,0),1),ÍNDICES!$A:$DE,$Z$35+1))),"",IF(B384&gt;$D$19,1,VLOOKUP(DATE(YEAR(B384),MONTH(B384)+IF($C$35=$S$23,1,0),1),ÍNDICES!$A:$DE,$Z$35+1))))))</f>
        <v/>
      </c>
      <c r="D384" s="154" t="str">
        <f>IF(ISERROR(IF(OR($D$38=$Y$27,$B384=""),"",VLOOKUP(B384,ÍNDICES!A:DE,AF$35+1))),"",IF(OR($D$38=$Y$27,$B384=""),"",VLOOKUP(B384,ÍNDICES!A:DE,AF$35+1)))</f>
        <v/>
      </c>
      <c r="E384" s="153"/>
      <c r="F384" s="29" t="str">
        <f>IF(E384="","",IF($L$35="SELIC - TRIBUTOS",VLOOKUP(DATE(YEAR($D$19),MONTH($D$19)-1,1),ÍNDICES!$A:$DE,HLOOKUP($BL$25,ÍNDICES!$B$3:$T$4,2)+11)-VLOOKUP(E384,ÍNDICES!$A:$DE,HLOOKUP($BL$25,ÍNDICES!$B$3:$T$4,2)+11)+1%,IF(F$38=$W$26,$J$35,IF(ISERROR(IF(E384&gt;$D$19,1,VLOOKUP(DATE(YEAR(E384),MONTH(E384)+IF($C$35=$S$23,1,0),1),ÍNDICES!$A:$DE,$Z$35+1))),"",IF(E384&gt;$D$19,1,VLOOKUP(DATE(YEAR(E384),MONTH(E384)+IF($C$35=$S$23,1,0),1),ÍNDICES!$A:$DE,$Z$35+1))))))</f>
        <v/>
      </c>
      <c r="G384" s="155"/>
      <c r="H384" s="156" t="str">
        <f t="shared" si="66"/>
        <v/>
      </c>
      <c r="I384" s="29" t="str">
        <f t="shared" si="60"/>
        <v/>
      </c>
      <c r="J384" s="5">
        <f t="shared" si="61"/>
        <v>0</v>
      </c>
      <c r="K384" s="20">
        <f t="shared" ca="1" si="62"/>
        <v>0</v>
      </c>
      <c r="L384" s="5">
        <f t="shared" ca="1" si="63"/>
        <v>0</v>
      </c>
      <c r="M384" s="64">
        <f t="shared" si="67"/>
        <v>0</v>
      </c>
      <c r="N384" s="61">
        <f t="shared" ca="1" si="68"/>
        <v>0</v>
      </c>
      <c r="O384" s="5">
        <f t="shared" ca="1" si="69"/>
        <v>0</v>
      </c>
      <c r="P384" s="446" t="e">
        <f t="shared" si="64"/>
        <v>#VALUE!</v>
      </c>
      <c r="Q384" s="446" t="e">
        <f>IF(OR($B384="",MIN(Q$38,$D$19)&lt;MAX($P$34*($B384+IF($R$17="Distrato",$I$38-1,0)),IF(AND($L$37=0,$P$34=0),"",$L$37-1),IF($R$17="Distrato",$E384,0))),0,YEARFRAC(MAX($P$34*($B384+IF($R$17="Distrato",$I$38-1,0)),IF(AND($L$37=0,$P$34=0),"",$L$37-1),IF($R$17="Distrato",$E384,0)),MIN(Q$38,$D$19),$P$20))-SUM($P384:P384)</f>
        <v>#VALUE!</v>
      </c>
      <c r="R384" s="446" t="e">
        <f>IF(OR($B384="",MIN(R$38,$D$19)&lt;MAX($P$34*($B384+IF($R$17="Distrato",$I$38-1,0)),IF(AND($L$37=0,$P$34=0),"",$L$37-1),IF($R$17="Distrato",$E384,0))),0,YEARFRAC(MAX($P$34*($B384+IF($R$17="Distrato",$I$38-1,0)),IF(AND($L$37=0,$P$34=0),"",$L$37-1),IF($R$17="Distrato",$E384,0)),MIN(R$38,$D$19),$P$20))-SUM($P384:Q384)</f>
        <v>#VALUE!</v>
      </c>
      <c r="S384" s="446" t="e">
        <f>IF(OR($B384="",MIN(S$38,$D$19)&lt;MAX($P$34*($B384+IF($R$17="Distrato",$I$38-1,0)),IF(AND($L$37=0,$P$34=0),"",$L$37-1),IF($R$17="Distrato",$E384,0))),0,YEARFRAC(MAX($P$34*($B384+IF($R$17="Distrato",$I$38-1,0)),IF(AND($L$37=0,$P$34=0),"",$L$37-1),IF($R$17="Distrato",$E384,0)),MIN(S$38,$D$19),$P$20))-SUM($P384:R384)</f>
        <v>#VALUE!</v>
      </c>
      <c r="T384" s="446" t="e">
        <f>IF(OR($B384="",MIN(T$38,$D$19)&lt;MAX($P$34*($B384+IF($R$17="Distrato",$I$38-1,0)),IF(AND($L$37=0,$P$34=0),"",$L$37-1),IF($R$17="Distrato",$E384,0))),0,YEARFRAC(MAX($P$34*($B384+IF($R$17="Distrato",$I$38-1,0)),IF(AND($L$37=0,$P$34=0),"",$L$37-1),IF($R$17="Distrato",$E384,0)),MIN(T$38,$D$19),$P$20))-SUM($P384:S384)</f>
        <v>#VALUE!</v>
      </c>
      <c r="U384" s="446" t="e">
        <f>IF(OR($B384="",MIN(U$38,$D$19)&lt;MAX($P$34*($B384+IF($R$17="Distrato",$I$38-1,0)),IF(AND($L$37=0,$P$34=0),"",$L$37-1),IF($R$17="Distrato",$E384,0))),0,YEARFRAC(MAX($P$34*($B384+IF($R$17="Distrato",$I$38-1,0)),IF(AND($L$37=0,$P$34=0),"",$L$37-1),IF($R$17="Distrato",$E384,0)),MIN(U$38,$D$19),$P$20))-SUM($P384:T384)</f>
        <v>#VALUE!</v>
      </c>
      <c r="V384" s="446" t="e">
        <f>IF(OR($B384="",MIN(V$38,$D$19)&lt;MAX($P$34*($B384+IF($R$17="Distrato",$I$38-1,0)),IF(AND($L$37=0,$P$34=0),"",$L$37-1),IF($R$17="Distrato",$E384,0))),0,YEARFRAC(MAX($P$34*($B384+IF($R$17="Distrato",$I$38-1,0)),IF(AND($L$37=0,$P$34=0),"",$L$37-1),IF($R$17="Distrato",$E384,0)),MIN(V$38,$D$19),$P$20))-SUM($P384:U384)</f>
        <v>#VALUE!</v>
      </c>
      <c r="W384" s="446" t="e">
        <f>IF(OR($B384="",MIN(W$38,$D$19)&lt;MAX($P$34*($B384+IF($R$17="Distrato",$I$38-1,0)),IF(AND($L$37=0,$P$34=0),"",$L$37-1),IF($R$17="Distrato",$E384,0))),0,YEARFRAC(MAX($P$34*($B384+IF($R$17="Distrato",$I$38-1,0)),IF(AND($L$37=0,$P$34=0),"",$L$37-1),IF($R$17="Distrato",$E384,0)),MIN(W$38,$D$19),$P$20))-SUM($P384:V384)</f>
        <v>#VALUE!</v>
      </c>
      <c r="X384" s="446" t="e">
        <f>IF(OR($B384="",MIN(X$38,$D$19)&lt;MAX($P$34*($B384+IF($R$17="Distrato",$I$38-1,0)),IF(AND($L$37=0,$P$34=0),"",$L$37-1),IF($R$17="Distrato",$E384,0))),0,YEARFRAC(MAX($P$34*($B384+IF($R$17="Distrato",$I$38-1,0)),IF(AND($L$37=0,$P$34=0),"",$L$37-1),IF($R$17="Distrato",$E384,0)),MIN(X$38,$D$19),$P$20))-SUM($P384:W384)</f>
        <v>#VALUE!</v>
      </c>
      <c r="Y384" s="446" t="e">
        <f>IF(OR($B384="",MIN(Y$38,$D$19)&lt;MAX($P$34*($B384+IF($R$17="Distrato",$I$38-1,0)),IF(AND($L$37=0,$P$34=0),"",$L$37-1),IF($R$17="Distrato",$E384,0))),0,YEARFRAC(MAX($P$34*($B384+IF($R$17="Distrato",$I$38-1,0)),IF(AND($L$37=0,$P$34=0),"",$L$37-1),IF($R$17="Distrato",$E384,0)),MIN(Y$38,$D$19),$P$20))-SUM($P384:X384)</f>
        <v>#VALUE!</v>
      </c>
      <c r="Z384" s="446" t="e">
        <f>IF(OR($B384="",MIN(Z$38,$D$19)&lt;MAX($P$34*($B384+IF($R$17="Distrato",$I$38-1,0)),IF(AND($L$37=0,$P$34=0),"",$L$37-1),IF($R$17="Distrato",$E384,0))),0,YEARFRAC(MAX($P$34*($B384+IF($R$17="Distrato",$I$38-1,0)),IF(AND($L$37=0,$P$34=0),"",$L$37-1),IF($R$17="Distrato",$E384,0)),MIN(Z$38,$D$19),$P$20))-SUM($P384:Y384)</f>
        <v>#VALUE!</v>
      </c>
      <c r="AA384" s="446" t="e">
        <f>IF(OR($B384="",MIN(AA$38,$D$19)&lt;MAX($P$34*($B384+IF($R$17="Distrato",$I$38-1,0)),IF(AND($L$37=0,$P$34=0),"",$L$37-1),IF($R$17="Distrato",$E384,0))),0,YEARFRAC(MAX($P$34*($B384+IF($R$17="Distrato",$I$38-1,0)),IF(AND($L$37=0,$P$34=0),"",$L$37-1),IF($R$17="Distrato",$E384,0)),MIN(AA$38,$D$19),$P$20))-SUM($P384:Z384)</f>
        <v>#VALUE!</v>
      </c>
      <c r="AB384" s="446" t="e">
        <f>IF(OR($B384="",MIN(AB$38,$D$19)&lt;MAX($P$34*($B384+IF($R$17="Distrato",$I$38-1,0)),IF(AND($L$37=0,$P$34=0),"",$L$37-1),IF($R$17="Distrato",$E384,0))),0,YEARFRAC(MAX($P$34*($B384+IF($R$17="Distrato",$I$38-1,0)),IF(AND($L$37=0,$P$34=0),"",$L$37-1),IF($R$17="Distrato",$E384,0)),MIN(AB$38,$D$19),$P$20))-SUM($P384:AA384)</f>
        <v>#VALUE!</v>
      </c>
      <c r="AC384" s="446" t="e">
        <f>IF(OR($B384="",MIN(AC$38,$D$19)&lt;MAX($P$34*($B384+IF($R$17="Distrato",$I$38-1,0)),IF(AND($L$37=0,$P$34=0),"",$L$37-1),IF($R$17="Distrato",$E384,0))),0,YEARFRAC(MAX($P$34*($B384+IF($R$17="Distrato",$I$38-1,0)),IF(AND($L$37=0,$P$34=0),"",$L$37-1),IF($R$17="Distrato",$E384,0)),MIN(AC$38,$D$19),$P$20))-SUM($P384:AB384)</f>
        <v>#VALUE!</v>
      </c>
      <c r="AD384" s="446" t="e">
        <f>IF(OR($B384="",MIN(AD$38,$D$19)&lt;MAX($P$34*($B384+IF($R$17="Distrato",$I$38-1,0)),IF(AND($L$37=0,$P$34=0),"",$L$37-1),IF($R$17="Distrato",$E384,0))),0,YEARFRAC(MAX($P$34*($B384+IF($R$17="Distrato",$I$38-1,0)),IF(AND($L$37=0,$P$34=0),"",$L$37-1),IF($R$17="Distrato",$E384,0)),MIN(AD$38,$D$19),$P$20))-SUM($P384:AC384)</f>
        <v>#VALUE!</v>
      </c>
      <c r="AE384" s="446" t="e">
        <f>IF(OR($B384="",MIN(AE$38,$D$19)&lt;MAX($P$34*($B384+IF($R$17="Distrato",$I$38-1,0)),IF(AND($L$37=0,$P$34=0),"",$L$37-1),IF($R$17="Distrato",$E384,0))),0,YEARFRAC(MAX($P$34*($B384+IF($R$17="Distrato",$I$38-1,0)),IF(AND($L$37=0,$P$34=0),"",$L$37-1),IF($R$17="Distrato",$E384,0)),MIN(AE$38,$D$19),$P$20))-SUM($P384:AD384)</f>
        <v>#VALUE!</v>
      </c>
      <c r="AF384" s="446" t="e">
        <f>IF(OR($B384="",MIN(AF$38,$D$19)&lt;MAX($P$34*($B384+IF($R$17="Distrato",$I$38-1,0)),IF(AND($L$37=0,$P$34=0),"",$L$37-1),IF($R$17="Distrato",$E384,0))),0,YEARFRAC(MAX($P$34*($B384+IF($R$17="Distrato",$I$38-1,0)),IF(AND($L$37=0,$P$34=0),"",$L$37-1),IF($R$17="Distrato",$E384,0)),MIN(AF$38,$D$19),$P$20))-SUM($P384:AE384)</f>
        <v>#VALUE!</v>
      </c>
      <c r="AG384" s="446" t="e">
        <f>IF(OR($B384="",MIN(AG$38,$D$19)&lt;MAX($P$34*($B384+IF($R$17="Distrato",$I$38-1,0)),IF(AND($L$37=0,$P$34=0),"",$L$37-1),IF($R$17="Distrato",$E384,0))),0,YEARFRAC(MAX($P$34*($B384+IF($R$17="Distrato",$I$38-1,0)),IF(AND($L$37=0,$P$34=0),"",$L$37-1),IF($R$17="Distrato",$E384,0)),MIN(AG$38,$D$19),$P$20))-SUM($P384:AF384)</f>
        <v>#VALUE!</v>
      </c>
      <c r="AH384" s="446" t="e">
        <f>IF(OR($B384="",MIN(AH$38,$D$19)&lt;MAX($P$34*($B384+IF($R$17="Distrato",$I$38-1,0)),IF(AND($L$37=0,$P$34=0),"",$L$37-1),IF($R$17="Distrato",$E384,0))),0,YEARFRAC(MAX($P$34*($B384+IF($R$17="Distrato",$I$38-1,0)),IF(AND($L$37=0,$P$34=0),"",$L$37-1),IF($R$17="Distrato",$E384,0)),MIN(AH$38,$D$19),$P$20))-SUM($P384:AG384)</f>
        <v>#VALUE!</v>
      </c>
      <c r="AI384" s="446" t="e">
        <f>IF(OR($B384="",MIN(AI$38,$D$19)&lt;MAX($P$34*($B384+IF($R$17="Distrato",$I$38-1,0)),IF(AND($L$37=0,$P$34=0),"",$L$37-1),IF($R$17="Distrato",$E384,0))),0,YEARFRAC(MAX($P$34*($B384+IF($R$17="Distrato",$I$38-1,0)),IF(AND($L$37=0,$P$34=0),"",$L$37-1),IF($R$17="Distrato",$E384,0)),MIN(AI$38,$D$19),$P$20))-SUM($P384:AH384)</f>
        <v>#VALUE!</v>
      </c>
      <c r="AJ384" s="446" t="e">
        <f>IF(OR($B384="",MIN(AJ$38,$D$19)&lt;MAX($P$34*($B384+IF($R$17="Distrato",$I$38-1,0)),IF(AND($L$37=0,$P$34=0),"",$L$37-1),IF($R$17="Distrato",$E384,0))),0,YEARFRAC(MAX($P$34*($B384+IF($R$17="Distrato",$I$38-1,0)),IF(AND($L$37=0,$P$34=0),"",$L$37-1),IF($R$17="Distrato",$E384,0)),MIN(AJ$38,$D$19),$P$20))-SUM($P384:AI384)</f>
        <v>#VALUE!</v>
      </c>
      <c r="AK384" s="446" t="e">
        <f>IF(OR($B384="",MIN(AK$38,$D$19)&lt;MAX($P$34*($B384+IF($R$17="Distrato",$I$38-1,0)),IF(AND($L$37=0,$P$34=0),"",$L$37-1),IF($R$17="Distrato",$E384,0))),0,YEARFRAC(MAX($P$34*($B384+IF($R$17="Distrato",$I$38-1,0)),IF(AND($L$37=0,$P$34=0),"",$L$37-1),IF($R$17="Distrato",$E384,0)),MIN(AK$38,$D$19),$P$20))-SUM($P384:AJ384)</f>
        <v>#VALUE!</v>
      </c>
      <c r="AL384" s="446" t="e">
        <f>IF(OR($B384="",MIN(AL$38,$D$19)&lt;MAX($P$34*($B384+IF($R$17="Distrato",$I$38-1,0)),IF(AND($L$37=0,$P$34=0),"",$L$37-1),IF($R$17="Distrato",$E384,0))),0,YEARFRAC(MAX($P$34*($B384+IF($R$17="Distrato",$I$38-1,0)),IF(AND($L$37=0,$P$34=0),"",$L$37-1),IF($R$17="Distrato",$E384,0)),MIN(AL$38,$D$19),$P$20))-SUM($P384:AK384)</f>
        <v>#VALUE!</v>
      </c>
      <c r="AM384" s="446" t="e">
        <f>IF(OR($B384="",MIN(AM$38,$D$19)&lt;MAX($P$34*($B384+IF($R$17="Distrato",$I$38-1,0)),IF(AND($L$37=0,$P$34=0),"",$L$37-1),IF($R$17="Distrato",$E384,0))),0,YEARFRAC(MAX($P$34*($B384+IF($R$17="Distrato",$I$38-1,0)),IF(AND($L$37=0,$P$34=0),"",$L$37-1),IF($R$17="Distrato",$E384,0)),MIN(AM$38,$D$19),$P$20))-SUM($P384:AL384)</f>
        <v>#VALUE!</v>
      </c>
      <c r="AN384" s="446" t="e">
        <f>IF(OR($B384="",MIN(AN$38,$D$19)&lt;MAX($P$34*($B384+IF($R$17="Distrato",$I$38-1,0)),IF(AND($L$37=0,$P$34=0),"",$L$37-1),IF($R$17="Distrato",$E384,0))),0,YEARFRAC(MAX($P$34*($B384+IF($R$17="Distrato",$I$38-1,0)),IF(AND($L$37=0,$P$34=0),"",$L$37-1),IF($R$17="Distrato",$E384,0)),MIN(AN$38,$D$19),$P$20))-SUM($P384:AM384)</f>
        <v>#VALUE!</v>
      </c>
      <c r="AO384" s="446" t="e">
        <f>IF(OR($B384="",MIN(AO$38,$D$19)&lt;MAX($P$34*($B384+IF($R$17="Distrato",$I$38-1,0)),IF(AND($L$37=0,$P$34=0),"",$L$37-1),IF($R$17="Distrato",$E384,0))),0,YEARFRAC(MAX($P$34*($B384+IF($R$17="Distrato",$I$38-1,0)),IF(AND($L$37=0,$P$34=0),"",$L$37-1),IF($R$17="Distrato",$E384,0)),MIN(AO$38,$D$19),$P$20))-SUM($P384:AN384)</f>
        <v>#VALUE!</v>
      </c>
      <c r="AP384" s="446" t="e">
        <f>IF(OR($B384="",MIN(AP$38,$D$19)&lt;MAX($P$34*($B384+IF($R$17="Distrato",$I$38-1,0)),IF(AND($L$37=0,$P$34=0),"",$L$37-1),IF($R$17="Distrato",$E384,0))),0,YEARFRAC(MAX($P$34*($B384+IF($R$17="Distrato",$I$38-1,0)),IF(AND($L$37=0,$P$34=0),"",$L$37-1),IF($R$17="Distrato",$E384,0)),MIN(AP$38,$D$19),$P$20))-SUM($P384:AO384)</f>
        <v>#VALUE!</v>
      </c>
      <c r="AQ384" s="446" t="e">
        <f>IF(OR($B384="",MIN(AQ$38,$D$19)&lt;MAX($P$34*($B384+IF($R$17="Distrato",$I$38-1,0)),IF(AND($L$37=0,$P$34=0),"",$L$37-1),IF($R$17="Distrato",$E384,0))),0,YEARFRAC(MAX($P$34*($B384+IF($R$17="Distrato",$I$38-1,0)),IF(AND($L$37=0,$P$34=0),"",$L$37-1),IF($R$17="Distrato",$E384,0)),MIN(AQ$38,$D$19),$P$20))-SUM($P384:AP384)</f>
        <v>#VALUE!</v>
      </c>
      <c r="AR384" s="446" t="e">
        <f>IF(OR($B384="",MIN(AR$38,$D$19)&lt;MAX($P$34*($B384+IF($R$17="Distrato",$I$38-1,0)),IF(AND($L$37=0,$P$34=0),"",$L$37-1),IF($R$17="Distrato",$E384,0))),0,YEARFRAC(MAX($P$34*($B384+IF($R$17="Distrato",$I$38-1,0)),IF(AND($L$37=0,$P$34=0),"",$L$37-1),IF($R$17="Distrato",$E384,0)),MIN(AR$38,$D$19),$P$20))-SUM($P384:AQ384)</f>
        <v>#VALUE!</v>
      </c>
      <c r="AS384" s="446" t="e">
        <f>IF(OR($B384="",MIN(AS$38,$D$19)&lt;MAX($P$34*($B384+IF($R$17="Distrato",$I$38-1,0)),IF(AND($L$37=0,$P$34=0),"",$L$37-1),IF($R$17="Distrato",$E384,0))),0,YEARFRAC(MAX($P$34*($B384+IF($R$17="Distrato",$I$38-1,0)),IF(AND($L$37=0,$P$34=0),"",$L$37-1),IF($R$17="Distrato",$E384,0)),MIN(AS$38,$D$19),$P$20))-SUM($P384:AR384)</f>
        <v>#VALUE!</v>
      </c>
      <c r="AT384" s="446" t="e">
        <f>IF(OR($B384="",MIN(AT$38,$D$19)&lt;MAX($P$34*($B384+IF($R$17="Distrato",$I$38-1,0)),IF(AND($L$37=0,$P$34=0),"",$L$37-1),IF($R$17="Distrato",$E384,0))),0,YEARFRAC(MAX($P$34*($B384+IF($R$17="Distrato",$I$38-1,0)),IF(AND($L$37=0,$P$34=0),"",$L$37-1),IF($R$17="Distrato",$E384,0)),MIN(AT$38,$D$19),$P$20))-SUM($P384:AS384)</f>
        <v>#VALUE!</v>
      </c>
      <c r="AU384" s="446" t="e">
        <f>IF(OR($B384="",MIN(AU$38,$D$19)&lt;MAX($P$34*($B384+IF($R$17="Distrato",$I$38-1,0)),IF(AND($L$37=0,$P$34=0),"",$L$37-1),IF($R$17="Distrato",$E384,0))),0,YEARFRAC(MAX($P$34*($B384+IF($R$17="Distrato",$I$38-1,0)),IF(AND($L$37=0,$P$34=0),"",$L$37-1),IF($R$17="Distrato",$E384,0)),MIN(AU$38,$D$19),$P$20))-SUM($P384:AT384)</f>
        <v>#VALUE!</v>
      </c>
      <c r="AV384" s="446" t="e">
        <f>IF(OR($B384="",MIN(AV$38,$D$19)&lt;MAX($P$34*($B384+IF($R$17="Distrato",$I$38-1,0)),IF(AND($L$37=0,$P$34=0),"",$L$37-1),IF($R$17="Distrato",$E384,0))),0,YEARFRAC(MAX($P$34*($B384+IF($R$17="Distrato",$I$38-1,0)),IF(AND($L$37=0,$P$34=0),"",$L$37-1),IF($R$17="Distrato",$E384,0)),MIN(AV$38,$D$19),$P$20))-SUM($P384:AU384)</f>
        <v>#VALUE!</v>
      </c>
      <c r="AW384" s="446" t="e">
        <f>IF(OR($B384="",MIN(AW$38,$D$19)&lt;MAX($P$34*($B384+IF($R$17="Distrato",$I$38-1,0)),IF(AND($L$37=0,$P$34=0),"",$L$37-1),IF($R$17="Distrato",$E384,0))),0,YEARFRAC(MAX($P$34*($B384+IF($R$17="Distrato",$I$38-1,0)),IF(AND($L$37=0,$P$34=0),"",$L$37-1),IF($R$17="Distrato",$E384,0)),MIN(AW$38,$D$19),$P$20))-SUM($P384:AV384)</f>
        <v>#VALUE!</v>
      </c>
      <c r="AX384" s="446" t="e">
        <f>IF(OR($B384="",MIN(AX$38,$D$19)&lt;MAX($P$34*($B384+IF($R$17="Distrato",$I$38-1,0)),IF(AND($L$37=0,$P$34=0),"",$L$37-1),IF($R$17="Distrato",$E384,0))),0,YEARFRAC(MAX($P$34*($B384+IF($R$17="Distrato",$I$38-1,0)),IF(AND($L$37=0,$P$34=0),"",$L$37-1),IF($R$17="Distrato",$E384,0)),MIN(AX$38,$D$19),$P$20))-SUM($P384:AW384)</f>
        <v>#VALUE!</v>
      </c>
      <c r="AY384" s="446" t="e">
        <f>IF(OR($B384="",MIN(AY$38,$D$19)&lt;MAX($P$34*($B384+IF($R$17="Distrato",$I$38-1,0)),IF(AND($L$37=0,$P$34=0),"",$L$37-1),IF($R$17="Distrato",$E384,0))),0,YEARFRAC(MAX($P$34*($B384+IF($R$17="Distrato",$I$38-1,0)),IF(AND($L$37=0,$P$34=0),"",$L$37-1),IF($R$17="Distrato",$E384,0)),MIN(AY$38,$D$19),$P$20))-SUM($P384:AX384)</f>
        <v>#VALUE!</v>
      </c>
      <c r="AZ384" s="446" t="e">
        <f>IF(OR($B384="",MIN(AZ$38,$D$19)&lt;MAX($P$34*($B384+IF($R$17="Distrato",$I$38-1,0)),IF(AND($L$37=0,$P$34=0),"",$L$37-1),IF($R$17="Distrato",$E384,0))),0,YEARFRAC(MAX($P$34*($B384+IF($R$17="Distrato",$I$38-1,0)),IF(AND($L$37=0,$P$34=0),"",$L$37-1),IF($R$17="Distrato",$E384,0)),MIN(AZ$38,$D$19),$P$20))-SUM($P384:AY384)</f>
        <v>#VALUE!</v>
      </c>
      <c r="BA384" s="446" t="e">
        <f>IF(OR($B384="",MIN(BA$38,$D$19)&lt;MAX($P$34*($B384+IF($R$17="Distrato",$I$38-1,0)),IF(AND($L$37=0,$P$34=0),"",$L$37-1),IF($R$17="Distrato",$E384,0))),0,YEARFRAC(MAX($P$34*($B384+IF($R$17="Distrato",$I$38-1,0)),IF(AND($L$37=0,$P$34=0),"",$L$37-1),IF($R$17="Distrato",$E384,0)),MIN(BA$38,$D$19),$P$20))-SUM($P384:AZ384)</f>
        <v>#VALUE!</v>
      </c>
      <c r="BB384" s="447"/>
      <c r="BF384" s="446">
        <f t="shared" si="65"/>
        <v>0</v>
      </c>
      <c r="BG384" s="446">
        <f>IF($E384=0,0,IF(MIN(BG$38,$E384)&lt;MAX($P$34*($B384+$I$38-1),IF(AND($L$37=0,$P$34=0),"",$L$37-1)),0,YEARFRAC(MAX($P$34*($B384+$I$38-1),IF(AND($L$37=0,$P$34=0),"",$L$37-1)),MIN(BG$38,$E384),$P$20))-SUM($BF384:BF384))</f>
        <v>0</v>
      </c>
      <c r="BH384" s="446">
        <f>IF($E384=0,0,IF(MIN(BH$38,$E384)&lt;MAX($P$34*($B384+$I$38-1),IF(AND($L$37=0,$P$34=0),"",$L$37-1)),0,YEARFRAC(MAX($P$34*($B384+$I$38-1),IF(AND($L$37=0,$P$34=0),"",$L$37-1)),MIN(BH$38,$E384),$P$20))-SUM($BF384:BG384))</f>
        <v>0</v>
      </c>
      <c r="BI384" s="446">
        <f>IF($E384=0,0,IF(MIN(BI$38,$E384)&lt;MAX($P$34*($B384+$I$38-1),IF(AND($L$37=0,$P$34=0),"",$L$37-1)),0,YEARFRAC(MAX($P$34*($B384+$I$38-1),IF(AND($L$37=0,$P$34=0),"",$L$37-1)),MIN(BI$38,$E384),$P$20))-SUM($BF384:BH384))</f>
        <v>0</v>
      </c>
      <c r="BJ384" s="446">
        <f>IF($E384=0,0,IF(MIN(BJ$38,$E384)&lt;MAX($P$34*($B384+$I$38-1),IF(AND($L$37=0,$P$34=0),"",$L$37-1)),0,YEARFRAC(MAX($P$34*($B384+$I$38-1),IF(AND($L$37=0,$P$34=0),"",$L$37-1)),MIN(BJ$38,$E384),$P$20))-SUM($BF384:BI384))</f>
        <v>0</v>
      </c>
      <c r="BK384" s="446">
        <f>IF($E384=0,0,IF(MIN(BK$38,$E384)&lt;MAX($P$34*($B384+$I$38-1),IF(AND($L$37=0,$P$34=0),"",$L$37-1)),0,YEARFRAC(MAX($P$34*($B384+$I$38-1),IF(AND($L$37=0,$P$34=0),"",$L$37-1)),MIN(BK$38,$E384),$P$20))-SUM($BF384:BJ384))</f>
        <v>0</v>
      </c>
      <c r="BL384" s="446">
        <f>IF($E384=0,0,IF(MIN(BL$38,$E384)&lt;MAX($P$34*($B384+$I$38-1),IF(AND($L$37=0,$P$34=0),"",$L$37-1)),0,YEARFRAC(MAX($P$34*($B384+$I$38-1),IF(AND($L$37=0,$P$34=0),"",$L$37-1)),MIN(BL$38,$E384),$P$20))-SUM($BF384:BK384))</f>
        <v>0</v>
      </c>
      <c r="BM384" s="446">
        <f>IF($E384=0,0,IF(MIN(BM$38,$E384)&lt;MAX($P$34*($B384+$I$38-1),IF(AND($L$37=0,$P$34=0),"",$L$37-1)),0,YEARFRAC(MAX($P$34*($B384+$I$38-1),IF(AND($L$37=0,$P$34=0),"",$L$37-1)),MIN(BM$38,$E384),$P$20))-SUM($BF384:BL384))</f>
        <v>0</v>
      </c>
      <c r="BN384" s="446">
        <f>IF($E384=0,0,IF(MIN(BN$38,$E384)&lt;MAX($P$34*($B384+$I$38-1),IF(AND($L$37=0,$P$34=0),"",$L$37-1)),0,YEARFRAC(MAX($P$34*($B384+$I$38-1),IF(AND($L$37=0,$P$34=0),"",$L$37-1)),MIN(BN$38,$E384),$P$20))-SUM($BF384:BM384))</f>
        <v>0</v>
      </c>
      <c r="BO384" s="446">
        <f>IF($E384=0,0,IF(MIN(BO$38,$E384)&lt;MAX($P$34*($B384+$I$38-1),IF(AND($L$37=0,$P$34=0),"",$L$37-1)),0,YEARFRAC(MAX($P$34*($B384+$I$38-1),IF(AND($L$37=0,$P$34=0),"",$L$37-1)),MIN(BO$38,$E384),$P$20))-SUM($BF384:BN384))</f>
        <v>0</v>
      </c>
      <c r="BP384" s="446">
        <f>IF($E384=0,0,IF(MIN(BP$38,$E384)&lt;MAX($P$34*($B384+$I$38-1),IF(AND($L$37=0,$P$34=0),"",$L$37-1)),0,YEARFRAC(MAX($P$34*($B384+$I$38-1),IF(AND($L$37=0,$P$34=0),"",$L$37-1)),MIN(BP$38,$E384),$P$20))-SUM($BF384:BO384))</f>
        <v>0</v>
      </c>
      <c r="BQ384" s="446">
        <f>IF($E384=0,0,IF(MIN(BQ$38,$E384)&lt;MAX($P$34*($B384+$I$38-1),IF(AND($L$37=0,$P$34=0),"",$L$37-1)),0,YEARFRAC(MAX($P$34*($B384+$I$38-1),IF(AND($L$37=0,$P$34=0),"",$L$37-1)),MIN(BQ$38,$E384),$P$20))-SUM($BF384:BP384))</f>
        <v>0</v>
      </c>
      <c r="BR384" s="446">
        <f>IF($E384=0,0,IF(MIN(BR$38,$E384)&lt;MAX($P$34*($B384+$I$38-1),IF(AND($L$37=0,$P$34=0),"",$L$37-1)),0,YEARFRAC(MAX($P$34*($B384+$I$38-1),IF(AND($L$37=0,$P$34=0),"",$L$37-1)),MIN(BR$38,$E384),$P$20))-SUM($BF384:BQ384))</f>
        <v>0</v>
      </c>
      <c r="BS384" s="446">
        <f>IF($E384=0,0,IF(MIN(BS$38,$E384)&lt;MAX($P$34*($B384+$I$38-1),IF(AND($L$37=0,$P$34=0),"",$L$37-1)),0,YEARFRAC(MAX($P$34*($B384+$I$38-1),IF(AND($L$37=0,$P$34=0),"",$L$37-1)),MIN(BS$38,$E384),$P$20))-SUM($BF384:BR384))</f>
        <v>0</v>
      </c>
      <c r="BT384" s="446">
        <f>IF($E384=0,0,IF(MIN(BT$38,$E384)&lt;MAX($P$34*($B384+$I$38-1),IF(AND($L$37=0,$P$34=0),"",$L$37-1)),0,YEARFRAC(MAX($P$34*($B384+$I$38-1),IF(AND($L$37=0,$P$34=0),"",$L$37-1)),MIN(BT$38,$E384),$P$20))-SUM($BF384:BS384))</f>
        <v>0</v>
      </c>
      <c r="BU384" s="446">
        <f>IF($E384=0,0,IF(MIN(BU$38,$E384)&lt;MAX($P$34*($B384+$I$38-1),IF(AND($L$37=0,$P$34=0),"",$L$37-1)),0,YEARFRAC(MAX($P$34*($B384+$I$38-1),IF(AND($L$37=0,$P$34=0),"",$L$37-1)),MIN(BU$38,$E384),$P$20))-SUM($BF384:BT384))</f>
        <v>0</v>
      </c>
      <c r="BV384" s="446">
        <f>IF($E384=0,0,IF(MIN(BV$38,$E384)&lt;MAX($P$34*($B384+$I$38-1),IF(AND($L$37=0,$P$34=0),"",$L$37-1)),0,YEARFRAC(MAX($P$34*($B384+$I$38-1),IF(AND($L$37=0,$P$34=0),"",$L$37-1)),MIN(BV$38,$E384),$P$20))-SUM($BF384:BU384))</f>
        <v>0</v>
      </c>
      <c r="BW384" s="446">
        <f>IF($E384=0,0,IF(MIN(BW$38,$E384)&lt;MAX($P$34*($B384+$I$38-1),IF(AND($L$37=0,$P$34=0),"",$L$37-1)),0,YEARFRAC(MAX($P$34*($B384+$I$38-1),IF(AND($L$37=0,$P$34=0),"",$L$37-1)),MIN(BW$38,$E384),$P$20))-SUM($BF384:BV384))</f>
        <v>0</v>
      </c>
      <c r="BX384" s="446">
        <f>IF($E384=0,0,IF(MIN(BX$38,$E384)&lt;MAX($P$34*($B384+$I$38-1),IF(AND($L$37=0,$P$34=0),"",$L$37-1)),0,YEARFRAC(MAX($P$34*($B384+$I$38-1),IF(AND($L$37=0,$P$34=0),"",$L$37-1)),MIN(BX$38,$E384),$P$20))-SUM($BF384:BW384))</f>
        <v>0</v>
      </c>
      <c r="BY384" s="446">
        <f>IF($E384=0,0,IF(MIN(BY$38,$E384)&lt;MAX($P$34*($B384+$I$38-1),IF(AND($L$37=0,$P$34=0),"",$L$37-1)),0,YEARFRAC(MAX($P$34*($B384+$I$38-1),IF(AND($L$37=0,$P$34=0),"",$L$37-1)),MIN(BY$38,$E384),$P$20))-SUM($BF384:BX384))</f>
        <v>0</v>
      </c>
      <c r="BZ384" s="446">
        <f>IF($E384=0,0,IF(MIN(BZ$38,$E384)&lt;MAX($P$34*($B384+$I$38-1),IF(AND($L$37=0,$P$34=0),"",$L$37-1)),0,YEARFRAC(MAX($P$34*($B384+$I$38-1),IF(AND($L$37=0,$P$34=0),"",$L$37-1)),MIN(BZ$38,$E384),$P$20))-SUM($BF384:BY384))</f>
        <v>0</v>
      </c>
      <c r="CA384" s="446">
        <f>IF($E384=0,0,IF(MIN(CA$38,$E384)&lt;MAX($P$34*($B384+$I$38-1),IF(AND($L$37=0,$P$34=0),"",$L$37-1)),0,YEARFRAC(MAX($P$34*($B384+$I$38-1),IF(AND($L$37=0,$P$34=0),"",$L$37-1)),MIN(CA$38,$E384),$P$20))-SUM($BF384:BZ384))</f>
        <v>0</v>
      </c>
      <c r="CB384" s="446">
        <f>IF($E384=0,0,IF(MIN(CB$38,$E384)&lt;MAX($P$34*($B384+$I$38-1),IF(AND($L$37=0,$P$34=0),"",$L$37-1)),0,YEARFRAC(MAX($P$34*($B384+$I$38-1),IF(AND($L$37=0,$P$34=0),"",$L$37-1)),MIN(CB$38,$E384),$P$20))-SUM($BF384:CA384))</f>
        <v>0</v>
      </c>
      <c r="CC384" s="446">
        <f>IF($E384=0,0,IF(MIN(CC$38,$E384)&lt;MAX($P$34*($B384+$I$38-1),IF(AND($L$37=0,$P$34=0),"",$L$37-1)),0,YEARFRAC(MAX($P$34*($B384+$I$38-1),IF(AND($L$37=0,$P$34=0),"",$L$37-1)),MIN(CC$38,$E384),$P$20))-SUM($BF384:CB384))</f>
        <v>0</v>
      </c>
      <c r="CD384" s="446">
        <f>IF($E384=0,0,IF(MIN(CD$38,$E384)&lt;MAX($P$34*($B384+$I$38-1),IF(AND($L$37=0,$P$34=0),"",$L$37-1)),0,YEARFRAC(MAX($P$34*($B384+$I$38-1),IF(AND($L$37=0,$P$34=0),"",$L$37-1)),MIN(CD$38,$E384),$P$20))-SUM($BF384:CC384))</f>
        <v>0</v>
      </c>
      <c r="CE384" s="446">
        <f>IF($E384=0,0,IF(MIN(CE$38,$E384)&lt;MAX($P$34*($B384+$I$38-1),IF(AND($L$37=0,$P$34=0),"",$L$37-1)),0,YEARFRAC(MAX($P$34*($B384+$I$38-1),IF(AND($L$37=0,$P$34=0),"",$L$37-1)),MIN(CE$38,$E384),$P$20))-SUM($BF384:CD384))</f>
        <v>0</v>
      </c>
      <c r="CF384" s="446">
        <f>IF($E384=0,0,IF(MIN(CF$38,$E384)&lt;MAX($P$34*($B384+$I$38-1),IF(AND($L$37=0,$P$34=0),"",$L$37-1)),0,YEARFRAC(MAX($P$34*($B384+$I$38-1),IF(AND($L$37=0,$P$34=0),"",$L$37-1)),MIN(CF$38,$E384),$P$20))-SUM($BF384:CE384))</f>
        <v>0</v>
      </c>
      <c r="CG384" s="446">
        <f>IF($E384=0,0,IF(MIN(CG$38,$E384)&lt;MAX($P$34*($B384+$I$38-1),IF(AND($L$37=0,$P$34=0),"",$L$37-1)),0,YEARFRAC(MAX($P$34*($B384+$I$38-1),IF(AND($L$37=0,$P$34=0),"",$L$37-1)),MIN(CG$38,$E384),$P$20))-SUM($BF384:CF384))</f>
        <v>0</v>
      </c>
      <c r="CH384" s="446">
        <f>IF($E384=0,0,IF(MIN(CH$38,$E384)&lt;MAX($P$34*($B384+$I$38-1),IF(AND($L$37=0,$P$34=0),"",$L$37-1)),0,YEARFRAC(MAX($P$34*($B384+$I$38-1),IF(AND($L$37=0,$P$34=0),"",$L$37-1)),MIN(CH$38,$E384),$P$20))-SUM($BF384:CG384))</f>
        <v>0</v>
      </c>
      <c r="CI384" s="446">
        <f>IF($E384=0,0,IF(MIN(CI$38,$E384)&lt;MAX($P$34*($B384+$I$38-1),IF(AND($L$37=0,$P$34=0),"",$L$37-1)),0,YEARFRAC(MAX($P$34*($B384+$I$38-1),IF(AND($L$37=0,$P$34=0),"",$L$37-1)),MIN(CI$38,$E384),$P$20))-SUM($BF384:CH384))</f>
        <v>0</v>
      </c>
      <c r="CJ384" s="446">
        <f>IF($E384=0,0,IF(MIN(CJ$38,$E384)&lt;MAX($P$34*($B384+$I$38-1),IF(AND($L$37=0,$P$34=0),"",$L$37-1)),0,YEARFRAC(MAX($P$34*($B384+$I$38-1),IF(AND($L$37=0,$P$34=0),"",$L$37-1)),MIN(CJ$38,$E384),$P$20))-SUM($BF384:CI384))</f>
        <v>0</v>
      </c>
      <c r="CK384" s="446">
        <f>IF($E384=0,0,IF(MIN(CK$38,$E384)&lt;MAX($P$34*($B384+$I$38-1),IF(AND($L$37=0,$P$34=0),"",$L$37-1)),0,YEARFRAC(MAX($P$34*($B384+$I$38-1),IF(AND($L$37=0,$P$34=0),"",$L$37-1)),MIN(CK$38,$E384),$P$20))-SUM($BF384:CJ384))</f>
        <v>0</v>
      </c>
      <c r="CL384" s="446">
        <f>IF($E384=0,0,IF(MIN(CL$38,$E384)&lt;MAX($P$34*($B384+$I$38-1),IF(AND($L$37=0,$P$34=0),"",$L$37-1)),0,YEARFRAC(MAX($P$34*($B384+$I$38-1),IF(AND($L$37=0,$P$34=0),"",$L$37-1)),MIN(CL$38,$E384),$P$20))-SUM($BF384:CK384))</f>
        <v>0</v>
      </c>
      <c r="CM384" s="446">
        <f>IF($E384=0,0,IF(MIN(CM$38,$E384)&lt;MAX($P$34*($B384+$I$38-1),IF(AND($L$37=0,$P$34=0),"",$L$37-1)),0,YEARFRAC(MAX($P$34*($B384+$I$38-1),IF(AND($L$37=0,$P$34=0),"",$L$37-1)),MIN(CM$38,$E384),$P$20))-SUM($BF384:CL384))</f>
        <v>0</v>
      </c>
      <c r="CN384" s="446">
        <f>IF($E384=0,0,IF(MIN(CN$38,$E384)&lt;MAX($P$34*($B384+$I$38-1),IF(AND($L$37=0,$P$34=0),"",$L$37-1)),0,YEARFRAC(MAX($P$34*($B384+$I$38-1),IF(AND($L$37=0,$P$34=0),"",$L$37-1)),MIN(CN$38,$E384),$P$20))-SUM($BF384:CM384))</f>
        <v>0</v>
      </c>
      <c r="CO384" s="446">
        <f>IF($E384=0,0,IF(MIN(CO$38,$E384)&lt;MAX($P$34*($B384+$I$38-1),IF(AND($L$37=0,$P$34=0),"",$L$37-1)),0,YEARFRAC(MAX($P$34*($B384+$I$38-1),IF(AND($L$37=0,$P$34=0),"",$L$37-1)),MIN(CO$38,$E384),$P$20))-SUM($BF384:CN384))</f>
        <v>0</v>
      </c>
      <c r="CP384" s="446">
        <f>IF($E384=0,0,IF(MIN(CP$38,$E384)&lt;MAX($P$34*($B384+$I$38-1),IF(AND($L$37=0,$P$34=0),"",$L$37-1)),0,YEARFRAC(MAX($P$34*($B384+$I$38-1),IF(AND($L$37=0,$P$34=0),"",$L$37-1)),MIN(CP$38,$E384),$P$20))-SUM($BF384:CO384))</f>
        <v>0</v>
      </c>
      <c r="CQ384" s="446">
        <f>IF($E384=0,0,IF(MIN(CQ$38,$E384)&lt;MAX($P$34*($B384+$I$38-1),IF(AND($L$37=0,$P$34=0),"",$L$37-1)),0,YEARFRAC(MAX($P$34*($B384+$I$38-1),IF(AND($L$37=0,$P$34=0),"",$L$37-1)),MIN(CQ$38,$E384),$P$20))-SUM($BF384:CP384))</f>
        <v>0</v>
      </c>
    </row>
    <row r="385" spans="1:95" s="446" customFormat="1" ht="11.25" hidden="1" customHeight="1" x14ac:dyDescent="0.2">
      <c r="A385" s="152"/>
      <c r="B385" s="153" t="str">
        <f t="shared" si="70"/>
        <v/>
      </c>
      <c r="C385" s="29" t="str">
        <f>IF(B385="","",IF($L$35="SELIC - TRIBUTOS",VLOOKUP(DATE(YEAR($D$19),MONTH($D$19)-1,1),ÍNDICES!$A:$DE,HLOOKUP($BL$25,ÍNDICES!$B$3:$T$4,2)+11)-VLOOKUP(B385,ÍNDICES!$A:$DE,HLOOKUP($BL$25,ÍNDICES!$B$3:$T$4,2)+11)+1%,IF(C$38=$W$26,$J$35,IF(ISERROR(IF(B385&gt;$D$19,1,VLOOKUP(DATE(YEAR(B385),MONTH(B385)+IF($C$35=$S$23,1,0),1),ÍNDICES!$A:$DE,$Z$35+1))),"",IF(B385&gt;$D$19,1,VLOOKUP(DATE(YEAR(B385),MONTH(B385)+IF($C$35=$S$23,1,0),1),ÍNDICES!$A:$DE,$Z$35+1))))))</f>
        <v/>
      </c>
      <c r="D385" s="154" t="str">
        <f>IF(ISERROR(IF(OR($D$38=$Y$27,$B385=""),"",VLOOKUP(B385,ÍNDICES!A:DE,AF$35+1))),"",IF(OR($D$38=$Y$27,$B385=""),"",VLOOKUP(B385,ÍNDICES!A:DE,AF$35+1)))</f>
        <v/>
      </c>
      <c r="E385" s="153"/>
      <c r="F385" s="29" t="str">
        <f>IF(E385="","",IF($L$35="SELIC - TRIBUTOS",VLOOKUP(DATE(YEAR($D$19),MONTH($D$19)-1,1),ÍNDICES!$A:$DE,HLOOKUP($BL$25,ÍNDICES!$B$3:$T$4,2)+11)-VLOOKUP(E385,ÍNDICES!$A:$DE,HLOOKUP($BL$25,ÍNDICES!$B$3:$T$4,2)+11)+1%,IF(F$38=$W$26,$J$35,IF(ISERROR(IF(E385&gt;$D$19,1,VLOOKUP(DATE(YEAR(E385),MONTH(E385)+IF($C$35=$S$23,1,0),1),ÍNDICES!$A:$DE,$Z$35+1))),"",IF(E385&gt;$D$19,1,VLOOKUP(DATE(YEAR(E385),MONTH(E385)+IF($C$35=$S$23,1,0),1),ÍNDICES!$A:$DE,$Z$35+1))))))</f>
        <v/>
      </c>
      <c r="G385" s="155"/>
      <c r="H385" s="156" t="str">
        <f t="shared" si="66"/>
        <v/>
      </c>
      <c r="I385" s="29" t="str">
        <f t="shared" si="60"/>
        <v/>
      </c>
      <c r="J385" s="5">
        <f t="shared" si="61"/>
        <v>0</v>
      </c>
      <c r="K385" s="20">
        <f t="shared" ca="1" si="62"/>
        <v>0</v>
      </c>
      <c r="L385" s="5">
        <f t="shared" ca="1" si="63"/>
        <v>0</v>
      </c>
      <c r="M385" s="64">
        <f t="shared" si="67"/>
        <v>0</v>
      </c>
      <c r="N385" s="61">
        <f t="shared" ca="1" si="68"/>
        <v>0</v>
      </c>
      <c r="O385" s="5">
        <f t="shared" ca="1" si="69"/>
        <v>0</v>
      </c>
      <c r="P385" s="446" t="e">
        <f t="shared" si="64"/>
        <v>#VALUE!</v>
      </c>
      <c r="Q385" s="446" t="e">
        <f>IF(OR($B385="",MIN(Q$38,$D$19)&lt;MAX($P$34*($B385+IF($R$17="Distrato",$I$38-1,0)),IF(AND($L$37=0,$P$34=0),"",$L$37-1),IF($R$17="Distrato",$E385,0))),0,YEARFRAC(MAX($P$34*($B385+IF($R$17="Distrato",$I$38-1,0)),IF(AND($L$37=0,$P$34=0),"",$L$37-1),IF($R$17="Distrato",$E385,0)),MIN(Q$38,$D$19),$P$20))-SUM($P385:P385)</f>
        <v>#VALUE!</v>
      </c>
      <c r="R385" s="446" t="e">
        <f>IF(OR($B385="",MIN(R$38,$D$19)&lt;MAX($P$34*($B385+IF($R$17="Distrato",$I$38-1,0)),IF(AND($L$37=0,$P$34=0),"",$L$37-1),IF($R$17="Distrato",$E385,0))),0,YEARFRAC(MAX($P$34*($B385+IF($R$17="Distrato",$I$38-1,0)),IF(AND($L$37=0,$P$34=0),"",$L$37-1),IF($R$17="Distrato",$E385,0)),MIN(R$38,$D$19),$P$20))-SUM($P385:Q385)</f>
        <v>#VALUE!</v>
      </c>
      <c r="S385" s="446" t="e">
        <f>IF(OR($B385="",MIN(S$38,$D$19)&lt;MAX($P$34*($B385+IF($R$17="Distrato",$I$38-1,0)),IF(AND($L$37=0,$P$34=0),"",$L$37-1),IF($R$17="Distrato",$E385,0))),0,YEARFRAC(MAX($P$34*($B385+IF($R$17="Distrato",$I$38-1,0)),IF(AND($L$37=0,$P$34=0),"",$L$37-1),IF($R$17="Distrato",$E385,0)),MIN(S$38,$D$19),$P$20))-SUM($P385:R385)</f>
        <v>#VALUE!</v>
      </c>
      <c r="T385" s="446" t="e">
        <f>IF(OR($B385="",MIN(T$38,$D$19)&lt;MAX($P$34*($B385+IF($R$17="Distrato",$I$38-1,0)),IF(AND($L$37=0,$P$34=0),"",$L$37-1),IF($R$17="Distrato",$E385,0))),0,YEARFRAC(MAX($P$34*($B385+IF($R$17="Distrato",$I$38-1,0)),IF(AND($L$37=0,$P$34=0),"",$L$37-1),IF($R$17="Distrato",$E385,0)),MIN(T$38,$D$19),$P$20))-SUM($P385:S385)</f>
        <v>#VALUE!</v>
      </c>
      <c r="U385" s="446" t="e">
        <f>IF(OR($B385="",MIN(U$38,$D$19)&lt;MAX($P$34*($B385+IF($R$17="Distrato",$I$38-1,0)),IF(AND($L$37=0,$P$34=0),"",$L$37-1),IF($R$17="Distrato",$E385,0))),0,YEARFRAC(MAX($P$34*($B385+IF($R$17="Distrato",$I$38-1,0)),IF(AND($L$37=0,$P$34=0),"",$L$37-1),IF($R$17="Distrato",$E385,0)),MIN(U$38,$D$19),$P$20))-SUM($P385:T385)</f>
        <v>#VALUE!</v>
      </c>
      <c r="V385" s="446" t="e">
        <f>IF(OR($B385="",MIN(V$38,$D$19)&lt;MAX($P$34*($B385+IF($R$17="Distrato",$I$38-1,0)),IF(AND($L$37=0,$P$34=0),"",$L$37-1),IF($R$17="Distrato",$E385,0))),0,YEARFRAC(MAX($P$34*($B385+IF($R$17="Distrato",$I$38-1,0)),IF(AND($L$37=0,$P$34=0),"",$L$37-1),IF($R$17="Distrato",$E385,0)),MIN(V$38,$D$19),$P$20))-SUM($P385:U385)</f>
        <v>#VALUE!</v>
      </c>
      <c r="W385" s="446" t="e">
        <f>IF(OR($B385="",MIN(W$38,$D$19)&lt;MAX($P$34*($B385+IF($R$17="Distrato",$I$38-1,0)),IF(AND($L$37=0,$P$34=0),"",$L$37-1),IF($R$17="Distrato",$E385,0))),0,YEARFRAC(MAX($P$34*($B385+IF($R$17="Distrato",$I$38-1,0)),IF(AND($L$37=0,$P$34=0),"",$L$37-1),IF($R$17="Distrato",$E385,0)),MIN(W$38,$D$19),$P$20))-SUM($P385:V385)</f>
        <v>#VALUE!</v>
      </c>
      <c r="X385" s="446" t="e">
        <f>IF(OR($B385="",MIN(X$38,$D$19)&lt;MAX($P$34*($B385+IF($R$17="Distrato",$I$38-1,0)),IF(AND($L$37=0,$P$34=0),"",$L$37-1),IF($R$17="Distrato",$E385,0))),0,YEARFRAC(MAX($P$34*($B385+IF($R$17="Distrato",$I$38-1,0)),IF(AND($L$37=0,$P$34=0),"",$L$37-1),IF($R$17="Distrato",$E385,0)),MIN(X$38,$D$19),$P$20))-SUM($P385:W385)</f>
        <v>#VALUE!</v>
      </c>
      <c r="Y385" s="446" t="e">
        <f>IF(OR($B385="",MIN(Y$38,$D$19)&lt;MAX($P$34*($B385+IF($R$17="Distrato",$I$38-1,0)),IF(AND($L$37=0,$P$34=0),"",$L$37-1),IF($R$17="Distrato",$E385,0))),0,YEARFRAC(MAX($P$34*($B385+IF($R$17="Distrato",$I$38-1,0)),IF(AND($L$37=0,$P$34=0),"",$L$37-1),IF($R$17="Distrato",$E385,0)),MIN(Y$38,$D$19),$P$20))-SUM($P385:X385)</f>
        <v>#VALUE!</v>
      </c>
      <c r="Z385" s="446" t="e">
        <f>IF(OR($B385="",MIN(Z$38,$D$19)&lt;MAX($P$34*($B385+IF($R$17="Distrato",$I$38-1,0)),IF(AND($L$37=0,$P$34=0),"",$L$37-1),IF($R$17="Distrato",$E385,0))),0,YEARFRAC(MAX($P$34*($B385+IF($R$17="Distrato",$I$38-1,0)),IF(AND($L$37=0,$P$34=0),"",$L$37-1),IF($R$17="Distrato",$E385,0)),MIN(Z$38,$D$19),$P$20))-SUM($P385:Y385)</f>
        <v>#VALUE!</v>
      </c>
      <c r="AA385" s="446" t="e">
        <f>IF(OR($B385="",MIN(AA$38,$D$19)&lt;MAX($P$34*($B385+IF($R$17="Distrato",$I$38-1,0)),IF(AND($L$37=0,$P$34=0),"",$L$37-1),IF($R$17="Distrato",$E385,0))),0,YEARFRAC(MAX($P$34*($B385+IF($R$17="Distrato",$I$38-1,0)),IF(AND($L$37=0,$P$34=0),"",$L$37-1),IF($R$17="Distrato",$E385,0)),MIN(AA$38,$D$19),$P$20))-SUM($P385:Z385)</f>
        <v>#VALUE!</v>
      </c>
      <c r="AB385" s="446" t="e">
        <f>IF(OR($B385="",MIN(AB$38,$D$19)&lt;MAX($P$34*($B385+IF($R$17="Distrato",$I$38-1,0)),IF(AND($L$37=0,$P$34=0),"",$L$37-1),IF($R$17="Distrato",$E385,0))),0,YEARFRAC(MAX($P$34*($B385+IF($R$17="Distrato",$I$38-1,0)),IF(AND($L$37=0,$P$34=0),"",$L$37-1),IF($R$17="Distrato",$E385,0)),MIN(AB$38,$D$19),$P$20))-SUM($P385:AA385)</f>
        <v>#VALUE!</v>
      </c>
      <c r="AC385" s="446" t="e">
        <f>IF(OR($B385="",MIN(AC$38,$D$19)&lt;MAX($P$34*($B385+IF($R$17="Distrato",$I$38-1,0)),IF(AND($L$37=0,$P$34=0),"",$L$37-1),IF($R$17="Distrato",$E385,0))),0,YEARFRAC(MAX($P$34*($B385+IF($R$17="Distrato",$I$38-1,0)),IF(AND($L$37=0,$P$34=0),"",$L$37-1),IF($R$17="Distrato",$E385,0)),MIN(AC$38,$D$19),$P$20))-SUM($P385:AB385)</f>
        <v>#VALUE!</v>
      </c>
      <c r="AD385" s="446" t="e">
        <f>IF(OR($B385="",MIN(AD$38,$D$19)&lt;MAX($P$34*($B385+IF($R$17="Distrato",$I$38-1,0)),IF(AND($L$37=0,$P$34=0),"",$L$37-1),IF($R$17="Distrato",$E385,0))),0,YEARFRAC(MAX($P$34*($B385+IF($R$17="Distrato",$I$38-1,0)),IF(AND($L$37=0,$P$34=0),"",$L$37-1),IF($R$17="Distrato",$E385,0)),MIN(AD$38,$D$19),$P$20))-SUM($P385:AC385)</f>
        <v>#VALUE!</v>
      </c>
      <c r="AE385" s="446" t="e">
        <f>IF(OR($B385="",MIN(AE$38,$D$19)&lt;MAX($P$34*($B385+IF($R$17="Distrato",$I$38-1,0)),IF(AND($L$37=0,$P$34=0),"",$L$37-1),IF($R$17="Distrato",$E385,0))),0,YEARFRAC(MAX($P$34*($B385+IF($R$17="Distrato",$I$38-1,0)),IF(AND($L$37=0,$P$34=0),"",$L$37-1),IF($R$17="Distrato",$E385,0)),MIN(AE$38,$D$19),$P$20))-SUM($P385:AD385)</f>
        <v>#VALUE!</v>
      </c>
      <c r="AF385" s="446" t="e">
        <f>IF(OR($B385="",MIN(AF$38,$D$19)&lt;MAX($P$34*($B385+IF($R$17="Distrato",$I$38-1,0)),IF(AND($L$37=0,$P$34=0),"",$L$37-1),IF($R$17="Distrato",$E385,0))),0,YEARFRAC(MAX($P$34*($B385+IF($R$17="Distrato",$I$38-1,0)),IF(AND($L$37=0,$P$34=0),"",$L$37-1),IF($R$17="Distrato",$E385,0)),MIN(AF$38,$D$19),$P$20))-SUM($P385:AE385)</f>
        <v>#VALUE!</v>
      </c>
      <c r="AG385" s="446" t="e">
        <f>IF(OR($B385="",MIN(AG$38,$D$19)&lt;MAX($P$34*($B385+IF($R$17="Distrato",$I$38-1,0)),IF(AND($L$37=0,$P$34=0),"",$L$37-1),IF($R$17="Distrato",$E385,0))),0,YEARFRAC(MAX($P$34*($B385+IF($R$17="Distrato",$I$38-1,0)),IF(AND($L$37=0,$P$34=0),"",$L$37-1),IF($R$17="Distrato",$E385,0)),MIN(AG$38,$D$19),$P$20))-SUM($P385:AF385)</f>
        <v>#VALUE!</v>
      </c>
      <c r="AH385" s="446" t="e">
        <f>IF(OR($B385="",MIN(AH$38,$D$19)&lt;MAX($P$34*($B385+IF($R$17="Distrato",$I$38-1,0)),IF(AND($L$37=0,$P$34=0),"",$L$37-1),IF($R$17="Distrato",$E385,0))),0,YEARFRAC(MAX($P$34*($B385+IF($R$17="Distrato",$I$38-1,0)),IF(AND($L$37=0,$P$34=0),"",$L$37-1),IF($R$17="Distrato",$E385,0)),MIN(AH$38,$D$19),$P$20))-SUM($P385:AG385)</f>
        <v>#VALUE!</v>
      </c>
      <c r="AI385" s="446" t="e">
        <f>IF(OR($B385="",MIN(AI$38,$D$19)&lt;MAX($P$34*($B385+IF($R$17="Distrato",$I$38-1,0)),IF(AND($L$37=0,$P$34=0),"",$L$37-1),IF($R$17="Distrato",$E385,0))),0,YEARFRAC(MAX($P$34*($B385+IF($R$17="Distrato",$I$38-1,0)),IF(AND($L$37=0,$P$34=0),"",$L$37-1),IF($R$17="Distrato",$E385,0)),MIN(AI$38,$D$19),$P$20))-SUM($P385:AH385)</f>
        <v>#VALUE!</v>
      </c>
      <c r="AJ385" s="446" t="e">
        <f>IF(OR($B385="",MIN(AJ$38,$D$19)&lt;MAX($P$34*($B385+IF($R$17="Distrato",$I$38-1,0)),IF(AND($L$37=0,$P$34=0),"",$L$37-1),IF($R$17="Distrato",$E385,0))),0,YEARFRAC(MAX($P$34*($B385+IF($R$17="Distrato",$I$38-1,0)),IF(AND($L$37=0,$P$34=0),"",$L$37-1),IF($R$17="Distrato",$E385,0)),MIN(AJ$38,$D$19),$P$20))-SUM($P385:AI385)</f>
        <v>#VALUE!</v>
      </c>
      <c r="AK385" s="446" t="e">
        <f>IF(OR($B385="",MIN(AK$38,$D$19)&lt;MAX($P$34*($B385+IF($R$17="Distrato",$I$38-1,0)),IF(AND($L$37=0,$P$34=0),"",$L$37-1),IF($R$17="Distrato",$E385,0))),0,YEARFRAC(MAX($P$34*($B385+IF($R$17="Distrato",$I$38-1,0)),IF(AND($L$37=0,$P$34=0),"",$L$37-1),IF($R$17="Distrato",$E385,0)),MIN(AK$38,$D$19),$P$20))-SUM($P385:AJ385)</f>
        <v>#VALUE!</v>
      </c>
      <c r="AL385" s="446" t="e">
        <f>IF(OR($B385="",MIN(AL$38,$D$19)&lt;MAX($P$34*($B385+IF($R$17="Distrato",$I$38-1,0)),IF(AND($L$37=0,$P$34=0),"",$L$37-1),IF($R$17="Distrato",$E385,0))),0,YEARFRAC(MAX($P$34*($B385+IF($R$17="Distrato",$I$38-1,0)),IF(AND($L$37=0,$P$34=0),"",$L$37-1),IF($R$17="Distrato",$E385,0)),MIN(AL$38,$D$19),$P$20))-SUM($P385:AK385)</f>
        <v>#VALUE!</v>
      </c>
      <c r="AM385" s="446" t="e">
        <f>IF(OR($B385="",MIN(AM$38,$D$19)&lt;MAX($P$34*($B385+IF($R$17="Distrato",$I$38-1,0)),IF(AND($L$37=0,$P$34=0),"",$L$37-1),IF($R$17="Distrato",$E385,0))),0,YEARFRAC(MAX($P$34*($B385+IF($R$17="Distrato",$I$38-1,0)),IF(AND($L$37=0,$P$34=0),"",$L$37-1),IF($R$17="Distrato",$E385,0)),MIN(AM$38,$D$19),$P$20))-SUM($P385:AL385)</f>
        <v>#VALUE!</v>
      </c>
      <c r="AN385" s="446" t="e">
        <f>IF(OR($B385="",MIN(AN$38,$D$19)&lt;MAX($P$34*($B385+IF($R$17="Distrato",$I$38-1,0)),IF(AND($L$37=0,$P$34=0),"",$L$37-1),IF($R$17="Distrato",$E385,0))),0,YEARFRAC(MAX($P$34*($B385+IF($R$17="Distrato",$I$38-1,0)),IF(AND($L$37=0,$P$34=0),"",$L$37-1),IF($R$17="Distrato",$E385,0)),MIN(AN$38,$D$19),$P$20))-SUM($P385:AM385)</f>
        <v>#VALUE!</v>
      </c>
      <c r="AO385" s="446" t="e">
        <f>IF(OR($B385="",MIN(AO$38,$D$19)&lt;MAX($P$34*($B385+IF($R$17="Distrato",$I$38-1,0)),IF(AND($L$37=0,$P$34=0),"",$L$37-1),IF($R$17="Distrato",$E385,0))),0,YEARFRAC(MAX($P$34*($B385+IF($R$17="Distrato",$I$38-1,0)),IF(AND($L$37=0,$P$34=0),"",$L$37-1),IF($R$17="Distrato",$E385,0)),MIN(AO$38,$D$19),$P$20))-SUM($P385:AN385)</f>
        <v>#VALUE!</v>
      </c>
      <c r="AP385" s="446" t="e">
        <f>IF(OR($B385="",MIN(AP$38,$D$19)&lt;MAX($P$34*($B385+IF($R$17="Distrato",$I$38-1,0)),IF(AND($L$37=0,$P$34=0),"",$L$37-1),IF($R$17="Distrato",$E385,0))),0,YEARFRAC(MAX($P$34*($B385+IF($R$17="Distrato",$I$38-1,0)),IF(AND($L$37=0,$P$34=0),"",$L$37-1),IF($R$17="Distrato",$E385,0)),MIN(AP$38,$D$19),$P$20))-SUM($P385:AO385)</f>
        <v>#VALUE!</v>
      </c>
      <c r="AQ385" s="446" t="e">
        <f>IF(OR($B385="",MIN(AQ$38,$D$19)&lt;MAX($P$34*($B385+IF($R$17="Distrato",$I$38-1,0)),IF(AND($L$37=0,$P$34=0),"",$L$37-1),IF($R$17="Distrato",$E385,0))),0,YEARFRAC(MAX($P$34*($B385+IF($R$17="Distrato",$I$38-1,0)),IF(AND($L$37=0,$P$34=0),"",$L$37-1),IF($R$17="Distrato",$E385,0)),MIN(AQ$38,$D$19),$P$20))-SUM($P385:AP385)</f>
        <v>#VALUE!</v>
      </c>
      <c r="AR385" s="446" t="e">
        <f>IF(OR($B385="",MIN(AR$38,$D$19)&lt;MAX($P$34*($B385+IF($R$17="Distrato",$I$38-1,0)),IF(AND($L$37=0,$P$34=0),"",$L$37-1),IF($R$17="Distrato",$E385,0))),0,YEARFRAC(MAX($P$34*($B385+IF($R$17="Distrato",$I$38-1,0)),IF(AND($L$37=0,$P$34=0),"",$L$37-1),IF($R$17="Distrato",$E385,0)),MIN(AR$38,$D$19),$P$20))-SUM($P385:AQ385)</f>
        <v>#VALUE!</v>
      </c>
      <c r="AS385" s="446" t="e">
        <f>IF(OR($B385="",MIN(AS$38,$D$19)&lt;MAX($P$34*($B385+IF($R$17="Distrato",$I$38-1,0)),IF(AND($L$37=0,$P$34=0),"",$L$37-1),IF($R$17="Distrato",$E385,0))),0,YEARFRAC(MAX($P$34*($B385+IF($R$17="Distrato",$I$38-1,0)),IF(AND($L$37=0,$P$34=0),"",$L$37-1),IF($R$17="Distrato",$E385,0)),MIN(AS$38,$D$19),$P$20))-SUM($P385:AR385)</f>
        <v>#VALUE!</v>
      </c>
      <c r="AT385" s="446" t="e">
        <f>IF(OR($B385="",MIN(AT$38,$D$19)&lt;MAX($P$34*($B385+IF($R$17="Distrato",$I$38-1,0)),IF(AND($L$37=0,$P$34=0),"",$L$37-1),IF($R$17="Distrato",$E385,0))),0,YEARFRAC(MAX($P$34*($B385+IF($R$17="Distrato",$I$38-1,0)),IF(AND($L$37=0,$P$34=0),"",$L$37-1),IF($R$17="Distrato",$E385,0)),MIN(AT$38,$D$19),$P$20))-SUM($P385:AS385)</f>
        <v>#VALUE!</v>
      </c>
      <c r="AU385" s="446" t="e">
        <f>IF(OR($B385="",MIN(AU$38,$D$19)&lt;MAX($P$34*($B385+IF($R$17="Distrato",$I$38-1,0)),IF(AND($L$37=0,$P$34=0),"",$L$37-1),IF($R$17="Distrato",$E385,0))),0,YEARFRAC(MAX($P$34*($B385+IF($R$17="Distrato",$I$38-1,0)),IF(AND($L$37=0,$P$34=0),"",$L$37-1),IF($R$17="Distrato",$E385,0)),MIN(AU$38,$D$19),$P$20))-SUM($P385:AT385)</f>
        <v>#VALUE!</v>
      </c>
      <c r="AV385" s="446" t="e">
        <f>IF(OR($B385="",MIN(AV$38,$D$19)&lt;MAX($P$34*($B385+IF($R$17="Distrato",$I$38-1,0)),IF(AND($L$37=0,$P$34=0),"",$L$37-1),IF($R$17="Distrato",$E385,0))),0,YEARFRAC(MAX($P$34*($B385+IF($R$17="Distrato",$I$38-1,0)),IF(AND($L$37=0,$P$34=0),"",$L$37-1),IF($R$17="Distrato",$E385,0)),MIN(AV$38,$D$19),$P$20))-SUM($P385:AU385)</f>
        <v>#VALUE!</v>
      </c>
      <c r="AW385" s="446" t="e">
        <f>IF(OR($B385="",MIN(AW$38,$D$19)&lt;MAX($P$34*($B385+IF($R$17="Distrato",$I$38-1,0)),IF(AND($L$37=0,$P$34=0),"",$L$37-1),IF($R$17="Distrato",$E385,0))),0,YEARFRAC(MAX($P$34*($B385+IF($R$17="Distrato",$I$38-1,0)),IF(AND($L$37=0,$P$34=0),"",$L$37-1),IF($R$17="Distrato",$E385,0)),MIN(AW$38,$D$19),$P$20))-SUM($P385:AV385)</f>
        <v>#VALUE!</v>
      </c>
      <c r="AX385" s="446" t="e">
        <f>IF(OR($B385="",MIN(AX$38,$D$19)&lt;MAX($P$34*($B385+IF($R$17="Distrato",$I$38-1,0)),IF(AND($L$37=0,$P$34=0),"",$L$37-1),IF($R$17="Distrato",$E385,0))),0,YEARFRAC(MAX($P$34*($B385+IF($R$17="Distrato",$I$38-1,0)),IF(AND($L$37=0,$P$34=0),"",$L$37-1),IF($R$17="Distrato",$E385,0)),MIN(AX$38,$D$19),$P$20))-SUM($P385:AW385)</f>
        <v>#VALUE!</v>
      </c>
      <c r="AY385" s="446" t="e">
        <f>IF(OR($B385="",MIN(AY$38,$D$19)&lt;MAX($P$34*($B385+IF($R$17="Distrato",$I$38-1,0)),IF(AND($L$37=0,$P$34=0),"",$L$37-1),IF($R$17="Distrato",$E385,0))),0,YEARFRAC(MAX($P$34*($B385+IF($R$17="Distrato",$I$38-1,0)),IF(AND($L$37=0,$P$34=0),"",$L$37-1),IF($R$17="Distrato",$E385,0)),MIN(AY$38,$D$19),$P$20))-SUM($P385:AX385)</f>
        <v>#VALUE!</v>
      </c>
      <c r="AZ385" s="446" t="e">
        <f>IF(OR($B385="",MIN(AZ$38,$D$19)&lt;MAX($P$34*($B385+IF($R$17="Distrato",$I$38-1,0)),IF(AND($L$37=0,$P$34=0),"",$L$37-1),IF($R$17="Distrato",$E385,0))),0,YEARFRAC(MAX($P$34*($B385+IF($R$17="Distrato",$I$38-1,0)),IF(AND($L$37=0,$P$34=0),"",$L$37-1),IF($R$17="Distrato",$E385,0)),MIN(AZ$38,$D$19),$P$20))-SUM($P385:AY385)</f>
        <v>#VALUE!</v>
      </c>
      <c r="BA385" s="446" t="e">
        <f>IF(OR($B385="",MIN(BA$38,$D$19)&lt;MAX($P$34*($B385+IF($R$17="Distrato",$I$38-1,0)),IF(AND($L$37=0,$P$34=0),"",$L$37-1),IF($R$17="Distrato",$E385,0))),0,YEARFRAC(MAX($P$34*($B385+IF($R$17="Distrato",$I$38-1,0)),IF(AND($L$37=0,$P$34=0),"",$L$37-1),IF($R$17="Distrato",$E385,0)),MIN(BA$38,$D$19),$P$20))-SUM($P385:AZ385)</f>
        <v>#VALUE!</v>
      </c>
      <c r="BB385" s="447"/>
      <c r="BF385" s="446">
        <f t="shared" si="65"/>
        <v>0</v>
      </c>
      <c r="BG385" s="446">
        <f>IF($E385=0,0,IF(MIN(BG$38,$E385)&lt;MAX($P$34*($B385+$I$38-1),IF(AND($L$37=0,$P$34=0),"",$L$37-1)),0,YEARFRAC(MAX($P$34*($B385+$I$38-1),IF(AND($L$37=0,$P$34=0),"",$L$37-1)),MIN(BG$38,$E385),$P$20))-SUM($BF385:BF385))</f>
        <v>0</v>
      </c>
      <c r="BH385" s="446">
        <f>IF($E385=0,0,IF(MIN(BH$38,$E385)&lt;MAX($P$34*($B385+$I$38-1),IF(AND($L$37=0,$P$34=0),"",$L$37-1)),0,YEARFRAC(MAX($P$34*($B385+$I$38-1),IF(AND($L$37=0,$P$34=0),"",$L$37-1)),MIN(BH$38,$E385),$P$20))-SUM($BF385:BG385))</f>
        <v>0</v>
      </c>
      <c r="BI385" s="446">
        <f>IF($E385=0,0,IF(MIN(BI$38,$E385)&lt;MAX($P$34*($B385+$I$38-1),IF(AND($L$37=0,$P$34=0),"",$L$37-1)),0,YEARFRAC(MAX($P$34*($B385+$I$38-1),IF(AND($L$37=0,$P$34=0),"",$L$37-1)),MIN(BI$38,$E385),$P$20))-SUM($BF385:BH385))</f>
        <v>0</v>
      </c>
      <c r="BJ385" s="446">
        <f>IF($E385=0,0,IF(MIN(BJ$38,$E385)&lt;MAX($P$34*($B385+$I$38-1),IF(AND($L$37=0,$P$34=0),"",$L$37-1)),0,YEARFRAC(MAX($P$34*($B385+$I$38-1),IF(AND($L$37=0,$P$34=0),"",$L$37-1)),MIN(BJ$38,$E385),$P$20))-SUM($BF385:BI385))</f>
        <v>0</v>
      </c>
      <c r="BK385" s="446">
        <f>IF($E385=0,0,IF(MIN(BK$38,$E385)&lt;MAX($P$34*($B385+$I$38-1),IF(AND($L$37=0,$P$34=0),"",$L$37-1)),0,YEARFRAC(MAX($P$34*($B385+$I$38-1),IF(AND($L$37=0,$P$34=0),"",$L$37-1)),MIN(BK$38,$E385),$P$20))-SUM($BF385:BJ385))</f>
        <v>0</v>
      </c>
      <c r="BL385" s="446">
        <f>IF($E385=0,0,IF(MIN(BL$38,$E385)&lt;MAX($P$34*($B385+$I$38-1),IF(AND($L$37=0,$P$34=0),"",$L$37-1)),0,YEARFRAC(MAX($P$34*($B385+$I$38-1),IF(AND($L$37=0,$P$34=0),"",$L$37-1)),MIN(BL$38,$E385),$P$20))-SUM($BF385:BK385))</f>
        <v>0</v>
      </c>
      <c r="BM385" s="446">
        <f>IF($E385=0,0,IF(MIN(BM$38,$E385)&lt;MAX($P$34*($B385+$I$38-1),IF(AND($L$37=0,$P$34=0),"",$L$37-1)),0,YEARFRAC(MAX($P$34*($B385+$I$38-1),IF(AND($L$37=0,$P$34=0),"",$L$37-1)),MIN(BM$38,$E385),$P$20))-SUM($BF385:BL385))</f>
        <v>0</v>
      </c>
      <c r="BN385" s="446">
        <f>IF($E385=0,0,IF(MIN(BN$38,$E385)&lt;MAX($P$34*($B385+$I$38-1),IF(AND($L$37=0,$P$34=0),"",$L$37-1)),0,YEARFRAC(MAX($P$34*($B385+$I$38-1),IF(AND($L$37=0,$P$34=0),"",$L$37-1)),MIN(BN$38,$E385),$P$20))-SUM($BF385:BM385))</f>
        <v>0</v>
      </c>
      <c r="BO385" s="446">
        <f>IF($E385=0,0,IF(MIN(BO$38,$E385)&lt;MAX($P$34*($B385+$I$38-1),IF(AND($L$37=0,$P$34=0),"",$L$37-1)),0,YEARFRAC(MAX($P$34*($B385+$I$38-1),IF(AND($L$37=0,$P$34=0),"",$L$37-1)),MIN(BO$38,$E385),$P$20))-SUM($BF385:BN385))</f>
        <v>0</v>
      </c>
      <c r="BP385" s="446">
        <f>IF($E385=0,0,IF(MIN(BP$38,$E385)&lt;MAX($P$34*($B385+$I$38-1),IF(AND($L$37=0,$P$34=0),"",$L$37-1)),0,YEARFRAC(MAX($P$34*($B385+$I$38-1),IF(AND($L$37=0,$P$34=0),"",$L$37-1)),MIN(BP$38,$E385),$P$20))-SUM($BF385:BO385))</f>
        <v>0</v>
      </c>
      <c r="BQ385" s="446">
        <f>IF($E385=0,0,IF(MIN(BQ$38,$E385)&lt;MAX($P$34*($B385+$I$38-1),IF(AND($L$37=0,$P$34=0),"",$L$37-1)),0,YEARFRAC(MAX($P$34*($B385+$I$38-1),IF(AND($L$37=0,$P$34=0),"",$L$37-1)),MIN(BQ$38,$E385),$P$20))-SUM($BF385:BP385))</f>
        <v>0</v>
      </c>
      <c r="BR385" s="446">
        <f>IF($E385=0,0,IF(MIN(BR$38,$E385)&lt;MAX($P$34*($B385+$I$38-1),IF(AND($L$37=0,$P$34=0),"",$L$37-1)),0,YEARFRAC(MAX($P$34*($B385+$I$38-1),IF(AND($L$37=0,$P$34=0),"",$L$37-1)),MIN(BR$38,$E385),$P$20))-SUM($BF385:BQ385))</f>
        <v>0</v>
      </c>
      <c r="BS385" s="446">
        <f>IF($E385=0,0,IF(MIN(BS$38,$E385)&lt;MAX($P$34*($B385+$I$38-1),IF(AND($L$37=0,$P$34=0),"",$L$37-1)),0,YEARFRAC(MAX($P$34*($B385+$I$38-1),IF(AND($L$37=0,$P$34=0),"",$L$37-1)),MIN(BS$38,$E385),$P$20))-SUM($BF385:BR385))</f>
        <v>0</v>
      </c>
      <c r="BT385" s="446">
        <f>IF($E385=0,0,IF(MIN(BT$38,$E385)&lt;MAX($P$34*($B385+$I$38-1),IF(AND($L$37=0,$P$34=0),"",$L$37-1)),0,YEARFRAC(MAX($P$34*($B385+$I$38-1),IF(AND($L$37=0,$P$34=0),"",$L$37-1)),MIN(BT$38,$E385),$P$20))-SUM($BF385:BS385))</f>
        <v>0</v>
      </c>
      <c r="BU385" s="446">
        <f>IF($E385=0,0,IF(MIN(BU$38,$E385)&lt;MAX($P$34*($B385+$I$38-1),IF(AND($L$37=0,$P$34=0),"",$L$37-1)),0,YEARFRAC(MAX($P$34*($B385+$I$38-1),IF(AND($L$37=0,$P$34=0),"",$L$37-1)),MIN(BU$38,$E385),$P$20))-SUM($BF385:BT385))</f>
        <v>0</v>
      </c>
      <c r="BV385" s="446">
        <f>IF($E385=0,0,IF(MIN(BV$38,$E385)&lt;MAX($P$34*($B385+$I$38-1),IF(AND($L$37=0,$P$34=0),"",$L$37-1)),0,YEARFRAC(MAX($P$34*($B385+$I$38-1),IF(AND($L$37=0,$P$34=0),"",$L$37-1)),MIN(BV$38,$E385),$P$20))-SUM($BF385:BU385))</f>
        <v>0</v>
      </c>
      <c r="BW385" s="446">
        <f>IF($E385=0,0,IF(MIN(BW$38,$E385)&lt;MAX($P$34*($B385+$I$38-1),IF(AND($L$37=0,$P$34=0),"",$L$37-1)),0,YEARFRAC(MAX($P$34*($B385+$I$38-1),IF(AND($L$37=0,$P$34=0),"",$L$37-1)),MIN(BW$38,$E385),$P$20))-SUM($BF385:BV385))</f>
        <v>0</v>
      </c>
      <c r="BX385" s="446">
        <f>IF($E385=0,0,IF(MIN(BX$38,$E385)&lt;MAX($P$34*($B385+$I$38-1),IF(AND($L$37=0,$P$34=0),"",$L$37-1)),0,YEARFRAC(MAX($P$34*($B385+$I$38-1),IF(AND($L$37=0,$P$34=0),"",$L$37-1)),MIN(BX$38,$E385),$P$20))-SUM($BF385:BW385))</f>
        <v>0</v>
      </c>
      <c r="BY385" s="446">
        <f>IF($E385=0,0,IF(MIN(BY$38,$E385)&lt;MAX($P$34*($B385+$I$38-1),IF(AND($L$37=0,$P$34=0),"",$L$37-1)),0,YEARFRAC(MAX($P$34*($B385+$I$38-1),IF(AND($L$37=0,$P$34=0),"",$L$37-1)),MIN(BY$38,$E385),$P$20))-SUM($BF385:BX385))</f>
        <v>0</v>
      </c>
      <c r="BZ385" s="446">
        <f>IF($E385=0,0,IF(MIN(BZ$38,$E385)&lt;MAX($P$34*($B385+$I$38-1),IF(AND($L$37=0,$P$34=0),"",$L$37-1)),0,YEARFRAC(MAX($P$34*($B385+$I$38-1),IF(AND($L$37=0,$P$34=0),"",$L$37-1)),MIN(BZ$38,$E385),$P$20))-SUM($BF385:BY385))</f>
        <v>0</v>
      </c>
      <c r="CA385" s="446">
        <f>IF($E385=0,0,IF(MIN(CA$38,$E385)&lt;MAX($P$34*($B385+$I$38-1),IF(AND($L$37=0,$P$34=0),"",$L$37-1)),0,YEARFRAC(MAX($P$34*($B385+$I$38-1),IF(AND($L$37=0,$P$34=0),"",$L$37-1)),MIN(CA$38,$E385),$P$20))-SUM($BF385:BZ385))</f>
        <v>0</v>
      </c>
      <c r="CB385" s="446">
        <f>IF($E385=0,0,IF(MIN(CB$38,$E385)&lt;MAX($P$34*($B385+$I$38-1),IF(AND($L$37=0,$P$34=0),"",$L$37-1)),0,YEARFRAC(MAX($P$34*($B385+$I$38-1),IF(AND($L$37=0,$P$34=0),"",$L$37-1)),MIN(CB$38,$E385),$P$20))-SUM($BF385:CA385))</f>
        <v>0</v>
      </c>
      <c r="CC385" s="446">
        <f>IF($E385=0,0,IF(MIN(CC$38,$E385)&lt;MAX($P$34*($B385+$I$38-1),IF(AND($L$37=0,$P$34=0),"",$L$37-1)),0,YEARFRAC(MAX($P$34*($B385+$I$38-1),IF(AND($L$37=0,$P$34=0),"",$L$37-1)),MIN(CC$38,$E385),$P$20))-SUM($BF385:CB385))</f>
        <v>0</v>
      </c>
      <c r="CD385" s="446">
        <f>IF($E385=0,0,IF(MIN(CD$38,$E385)&lt;MAX($P$34*($B385+$I$38-1),IF(AND($L$37=0,$P$34=0),"",$L$37-1)),0,YEARFRAC(MAX($P$34*($B385+$I$38-1),IF(AND($L$37=0,$P$34=0),"",$L$37-1)),MIN(CD$38,$E385),$P$20))-SUM($BF385:CC385))</f>
        <v>0</v>
      </c>
      <c r="CE385" s="446">
        <f>IF($E385=0,0,IF(MIN(CE$38,$E385)&lt;MAX($P$34*($B385+$I$38-1),IF(AND($L$37=0,$P$34=0),"",$L$37-1)),0,YEARFRAC(MAX($P$34*($B385+$I$38-1),IF(AND($L$37=0,$P$34=0),"",$L$37-1)),MIN(CE$38,$E385),$P$20))-SUM($BF385:CD385))</f>
        <v>0</v>
      </c>
      <c r="CF385" s="446">
        <f>IF($E385=0,0,IF(MIN(CF$38,$E385)&lt;MAX($P$34*($B385+$I$38-1),IF(AND($L$37=0,$P$34=0),"",$L$37-1)),0,YEARFRAC(MAX($P$34*($B385+$I$38-1),IF(AND($L$37=0,$P$34=0),"",$L$37-1)),MIN(CF$38,$E385),$P$20))-SUM($BF385:CE385))</f>
        <v>0</v>
      </c>
      <c r="CG385" s="446">
        <f>IF($E385=0,0,IF(MIN(CG$38,$E385)&lt;MAX($P$34*($B385+$I$38-1),IF(AND($L$37=0,$P$34=0),"",$L$37-1)),0,YEARFRAC(MAX($P$34*($B385+$I$38-1),IF(AND($L$37=0,$P$34=0),"",$L$37-1)),MIN(CG$38,$E385),$P$20))-SUM($BF385:CF385))</f>
        <v>0</v>
      </c>
      <c r="CH385" s="446">
        <f>IF($E385=0,0,IF(MIN(CH$38,$E385)&lt;MAX($P$34*($B385+$I$38-1),IF(AND($L$37=0,$P$34=0),"",$L$37-1)),0,YEARFRAC(MAX($P$34*($B385+$I$38-1),IF(AND($L$37=0,$P$34=0),"",$L$37-1)),MIN(CH$38,$E385),$P$20))-SUM($BF385:CG385))</f>
        <v>0</v>
      </c>
      <c r="CI385" s="446">
        <f>IF($E385=0,0,IF(MIN(CI$38,$E385)&lt;MAX($P$34*($B385+$I$38-1),IF(AND($L$37=0,$P$34=0),"",$L$37-1)),0,YEARFRAC(MAX($P$34*($B385+$I$38-1),IF(AND($L$37=0,$P$34=0),"",$L$37-1)),MIN(CI$38,$E385),$P$20))-SUM($BF385:CH385))</f>
        <v>0</v>
      </c>
      <c r="CJ385" s="446">
        <f>IF($E385=0,0,IF(MIN(CJ$38,$E385)&lt;MAX($P$34*($B385+$I$38-1),IF(AND($L$37=0,$P$34=0),"",$L$37-1)),0,YEARFRAC(MAX($P$34*($B385+$I$38-1),IF(AND($L$37=0,$P$34=0),"",$L$37-1)),MIN(CJ$38,$E385),$P$20))-SUM($BF385:CI385))</f>
        <v>0</v>
      </c>
      <c r="CK385" s="446">
        <f>IF($E385=0,0,IF(MIN(CK$38,$E385)&lt;MAX($P$34*($B385+$I$38-1),IF(AND($L$37=0,$P$34=0),"",$L$37-1)),0,YEARFRAC(MAX($P$34*($B385+$I$38-1),IF(AND($L$37=0,$P$34=0),"",$L$37-1)),MIN(CK$38,$E385),$P$20))-SUM($BF385:CJ385))</f>
        <v>0</v>
      </c>
      <c r="CL385" s="446">
        <f>IF($E385=0,0,IF(MIN(CL$38,$E385)&lt;MAX($P$34*($B385+$I$38-1),IF(AND($L$37=0,$P$34=0),"",$L$37-1)),0,YEARFRAC(MAX($P$34*($B385+$I$38-1),IF(AND($L$37=0,$P$34=0),"",$L$37-1)),MIN(CL$38,$E385),$P$20))-SUM($BF385:CK385))</f>
        <v>0</v>
      </c>
      <c r="CM385" s="446">
        <f>IF($E385=0,0,IF(MIN(CM$38,$E385)&lt;MAX($P$34*($B385+$I$38-1),IF(AND($L$37=0,$P$34=0),"",$L$37-1)),0,YEARFRAC(MAX($P$34*($B385+$I$38-1),IF(AND($L$37=0,$P$34=0),"",$L$37-1)),MIN(CM$38,$E385),$P$20))-SUM($BF385:CL385))</f>
        <v>0</v>
      </c>
      <c r="CN385" s="446">
        <f>IF($E385=0,0,IF(MIN(CN$38,$E385)&lt;MAX($P$34*($B385+$I$38-1),IF(AND($L$37=0,$P$34=0),"",$L$37-1)),0,YEARFRAC(MAX($P$34*($B385+$I$38-1),IF(AND($L$37=0,$P$34=0),"",$L$37-1)),MIN(CN$38,$E385),$P$20))-SUM($BF385:CM385))</f>
        <v>0</v>
      </c>
      <c r="CO385" s="446">
        <f>IF($E385=0,0,IF(MIN(CO$38,$E385)&lt;MAX($P$34*($B385+$I$38-1),IF(AND($L$37=0,$P$34=0),"",$L$37-1)),0,YEARFRAC(MAX($P$34*($B385+$I$38-1),IF(AND($L$37=0,$P$34=0),"",$L$37-1)),MIN(CO$38,$E385),$P$20))-SUM($BF385:CN385))</f>
        <v>0</v>
      </c>
      <c r="CP385" s="446">
        <f>IF($E385=0,0,IF(MIN(CP$38,$E385)&lt;MAX($P$34*($B385+$I$38-1),IF(AND($L$37=0,$P$34=0),"",$L$37-1)),0,YEARFRAC(MAX($P$34*($B385+$I$38-1),IF(AND($L$37=0,$P$34=0),"",$L$37-1)),MIN(CP$38,$E385),$P$20))-SUM($BF385:CO385))</f>
        <v>0</v>
      </c>
      <c r="CQ385" s="446">
        <f>IF($E385=0,0,IF(MIN(CQ$38,$E385)&lt;MAX($P$34*($B385+$I$38-1),IF(AND($L$37=0,$P$34=0),"",$L$37-1)),0,YEARFRAC(MAX($P$34*($B385+$I$38-1),IF(AND($L$37=0,$P$34=0),"",$L$37-1)),MIN(CQ$38,$E385),$P$20))-SUM($BF385:CP385))</f>
        <v>0</v>
      </c>
    </row>
    <row r="386" spans="1:95" s="446" customFormat="1" ht="11.25" hidden="1" customHeight="1" x14ac:dyDescent="0.2">
      <c r="A386" s="152"/>
      <c r="B386" s="153" t="str">
        <f t="shared" si="70"/>
        <v/>
      </c>
      <c r="C386" s="29" t="str">
        <f>IF(B386="","",IF($L$35="SELIC - TRIBUTOS",VLOOKUP(DATE(YEAR($D$19),MONTH($D$19)-1,1),ÍNDICES!$A:$DE,HLOOKUP($BL$25,ÍNDICES!$B$3:$T$4,2)+11)-VLOOKUP(B386,ÍNDICES!$A:$DE,HLOOKUP($BL$25,ÍNDICES!$B$3:$T$4,2)+11)+1%,IF(C$38=$W$26,$J$35,IF(ISERROR(IF(B386&gt;$D$19,1,VLOOKUP(DATE(YEAR(B386),MONTH(B386)+IF($C$35=$S$23,1,0),1),ÍNDICES!$A:$DE,$Z$35+1))),"",IF(B386&gt;$D$19,1,VLOOKUP(DATE(YEAR(B386),MONTH(B386)+IF($C$35=$S$23,1,0),1),ÍNDICES!$A:$DE,$Z$35+1))))))</f>
        <v/>
      </c>
      <c r="D386" s="154" t="str">
        <f>IF(ISERROR(IF(OR($D$38=$Y$27,$B386=""),"",VLOOKUP(B386,ÍNDICES!A:DE,AF$35+1))),"",IF(OR($D$38=$Y$27,$B386=""),"",VLOOKUP(B386,ÍNDICES!A:DE,AF$35+1)))</f>
        <v/>
      </c>
      <c r="E386" s="153"/>
      <c r="F386" s="29" t="str">
        <f>IF(E386="","",IF($L$35="SELIC - TRIBUTOS",VLOOKUP(DATE(YEAR($D$19),MONTH($D$19)-1,1),ÍNDICES!$A:$DE,HLOOKUP($BL$25,ÍNDICES!$B$3:$T$4,2)+11)-VLOOKUP(E386,ÍNDICES!$A:$DE,HLOOKUP($BL$25,ÍNDICES!$B$3:$T$4,2)+11)+1%,IF(F$38=$W$26,$J$35,IF(ISERROR(IF(E386&gt;$D$19,1,VLOOKUP(DATE(YEAR(E386),MONTH(E386)+IF($C$35=$S$23,1,0),1),ÍNDICES!$A:$DE,$Z$35+1))),"",IF(E386&gt;$D$19,1,VLOOKUP(DATE(YEAR(E386),MONTH(E386)+IF($C$35=$S$23,1,0),1),ÍNDICES!$A:$DE,$Z$35+1))))))</f>
        <v/>
      </c>
      <c r="G386" s="155"/>
      <c r="H386" s="156" t="str">
        <f t="shared" si="66"/>
        <v/>
      </c>
      <c r="I386" s="29" t="str">
        <f t="shared" si="60"/>
        <v/>
      </c>
      <c r="J386" s="5">
        <f t="shared" si="61"/>
        <v>0</v>
      </c>
      <c r="K386" s="20">
        <f t="shared" ca="1" si="62"/>
        <v>0</v>
      </c>
      <c r="L386" s="5">
        <f t="shared" ca="1" si="63"/>
        <v>0</v>
      </c>
      <c r="M386" s="64">
        <f t="shared" si="67"/>
        <v>0</v>
      </c>
      <c r="N386" s="61">
        <f t="shared" ca="1" si="68"/>
        <v>0</v>
      </c>
      <c r="O386" s="5">
        <f t="shared" ca="1" si="69"/>
        <v>0</v>
      </c>
      <c r="P386" s="446" t="e">
        <f t="shared" si="64"/>
        <v>#VALUE!</v>
      </c>
      <c r="Q386" s="446" t="e">
        <f>IF(OR($B386="",MIN(Q$38,$D$19)&lt;MAX($P$34*($B386+IF($R$17="Distrato",$I$38-1,0)),IF(AND($L$37=0,$P$34=0),"",$L$37-1),IF($R$17="Distrato",$E386,0))),0,YEARFRAC(MAX($P$34*($B386+IF($R$17="Distrato",$I$38-1,0)),IF(AND($L$37=0,$P$34=0),"",$L$37-1),IF($R$17="Distrato",$E386,0)),MIN(Q$38,$D$19),$P$20))-SUM($P386:P386)</f>
        <v>#VALUE!</v>
      </c>
      <c r="R386" s="446" t="e">
        <f>IF(OR($B386="",MIN(R$38,$D$19)&lt;MAX($P$34*($B386+IF($R$17="Distrato",$I$38-1,0)),IF(AND($L$37=0,$P$34=0),"",$L$37-1),IF($R$17="Distrato",$E386,0))),0,YEARFRAC(MAX($P$34*($B386+IF($R$17="Distrato",$I$38-1,0)),IF(AND($L$37=0,$P$34=0),"",$L$37-1),IF($R$17="Distrato",$E386,0)),MIN(R$38,$D$19),$P$20))-SUM($P386:Q386)</f>
        <v>#VALUE!</v>
      </c>
      <c r="S386" s="446" t="e">
        <f>IF(OR($B386="",MIN(S$38,$D$19)&lt;MAX($P$34*($B386+IF($R$17="Distrato",$I$38-1,0)),IF(AND($L$37=0,$P$34=0),"",$L$37-1),IF($R$17="Distrato",$E386,0))),0,YEARFRAC(MAX($P$34*($B386+IF($R$17="Distrato",$I$38-1,0)),IF(AND($L$37=0,$P$34=0),"",$L$37-1),IF($R$17="Distrato",$E386,0)),MIN(S$38,$D$19),$P$20))-SUM($P386:R386)</f>
        <v>#VALUE!</v>
      </c>
      <c r="T386" s="446" t="e">
        <f>IF(OR($B386="",MIN(T$38,$D$19)&lt;MAX($P$34*($B386+IF($R$17="Distrato",$I$38-1,0)),IF(AND($L$37=0,$P$34=0),"",$L$37-1),IF($R$17="Distrato",$E386,0))),0,YEARFRAC(MAX($P$34*($B386+IF($R$17="Distrato",$I$38-1,0)),IF(AND($L$37=0,$P$34=0),"",$L$37-1),IF($R$17="Distrato",$E386,0)),MIN(T$38,$D$19),$P$20))-SUM($P386:S386)</f>
        <v>#VALUE!</v>
      </c>
      <c r="U386" s="446" t="e">
        <f>IF(OR($B386="",MIN(U$38,$D$19)&lt;MAX($P$34*($B386+IF($R$17="Distrato",$I$38-1,0)),IF(AND($L$37=0,$P$34=0),"",$L$37-1),IF($R$17="Distrato",$E386,0))),0,YEARFRAC(MAX($P$34*($B386+IF($R$17="Distrato",$I$38-1,0)),IF(AND($L$37=0,$P$34=0),"",$L$37-1),IF($R$17="Distrato",$E386,0)),MIN(U$38,$D$19),$P$20))-SUM($P386:T386)</f>
        <v>#VALUE!</v>
      </c>
      <c r="V386" s="446" t="e">
        <f>IF(OR($B386="",MIN(V$38,$D$19)&lt;MAX($P$34*($B386+IF($R$17="Distrato",$I$38-1,0)),IF(AND($L$37=0,$P$34=0),"",$L$37-1),IF($R$17="Distrato",$E386,0))),0,YEARFRAC(MAX($P$34*($B386+IF($R$17="Distrato",$I$38-1,0)),IF(AND($L$37=0,$P$34=0),"",$L$37-1),IF($R$17="Distrato",$E386,0)),MIN(V$38,$D$19),$P$20))-SUM($P386:U386)</f>
        <v>#VALUE!</v>
      </c>
      <c r="W386" s="446" t="e">
        <f>IF(OR($B386="",MIN(W$38,$D$19)&lt;MAX($P$34*($B386+IF($R$17="Distrato",$I$38-1,0)),IF(AND($L$37=0,$P$34=0),"",$L$37-1),IF($R$17="Distrato",$E386,0))),0,YEARFRAC(MAX($P$34*($B386+IF($R$17="Distrato",$I$38-1,0)),IF(AND($L$37=0,$P$34=0),"",$L$37-1),IF($R$17="Distrato",$E386,0)),MIN(W$38,$D$19),$P$20))-SUM($P386:V386)</f>
        <v>#VALUE!</v>
      </c>
      <c r="X386" s="446" t="e">
        <f>IF(OR($B386="",MIN(X$38,$D$19)&lt;MAX($P$34*($B386+IF($R$17="Distrato",$I$38-1,0)),IF(AND($L$37=0,$P$34=0),"",$L$37-1),IF($R$17="Distrato",$E386,0))),0,YEARFRAC(MAX($P$34*($B386+IF($R$17="Distrato",$I$38-1,0)),IF(AND($L$37=0,$P$34=0),"",$L$37-1),IF($R$17="Distrato",$E386,0)),MIN(X$38,$D$19),$P$20))-SUM($P386:W386)</f>
        <v>#VALUE!</v>
      </c>
      <c r="Y386" s="446" t="e">
        <f>IF(OR($B386="",MIN(Y$38,$D$19)&lt;MAX($P$34*($B386+IF($R$17="Distrato",$I$38-1,0)),IF(AND($L$37=0,$P$34=0),"",$L$37-1),IF($R$17="Distrato",$E386,0))),0,YEARFRAC(MAX($P$34*($B386+IF($R$17="Distrato",$I$38-1,0)),IF(AND($L$37=0,$P$34=0),"",$L$37-1),IF($R$17="Distrato",$E386,0)),MIN(Y$38,$D$19),$P$20))-SUM($P386:X386)</f>
        <v>#VALUE!</v>
      </c>
      <c r="Z386" s="446" t="e">
        <f>IF(OR($B386="",MIN(Z$38,$D$19)&lt;MAX($P$34*($B386+IF($R$17="Distrato",$I$38-1,0)),IF(AND($L$37=0,$P$34=0),"",$L$37-1),IF($R$17="Distrato",$E386,0))),0,YEARFRAC(MAX($P$34*($B386+IF($R$17="Distrato",$I$38-1,0)),IF(AND($L$37=0,$P$34=0),"",$L$37-1),IF($R$17="Distrato",$E386,0)),MIN(Z$38,$D$19),$P$20))-SUM($P386:Y386)</f>
        <v>#VALUE!</v>
      </c>
      <c r="AA386" s="446" t="e">
        <f>IF(OR($B386="",MIN(AA$38,$D$19)&lt;MAX($P$34*($B386+IF($R$17="Distrato",$I$38-1,0)),IF(AND($L$37=0,$P$34=0),"",$L$37-1),IF($R$17="Distrato",$E386,0))),0,YEARFRAC(MAX($P$34*($B386+IF($R$17="Distrato",$I$38-1,0)),IF(AND($L$37=0,$P$34=0),"",$L$37-1),IF($R$17="Distrato",$E386,0)),MIN(AA$38,$D$19),$P$20))-SUM($P386:Z386)</f>
        <v>#VALUE!</v>
      </c>
      <c r="AB386" s="446" t="e">
        <f>IF(OR($B386="",MIN(AB$38,$D$19)&lt;MAX($P$34*($B386+IF($R$17="Distrato",$I$38-1,0)),IF(AND($L$37=0,$P$34=0),"",$L$37-1),IF($R$17="Distrato",$E386,0))),0,YEARFRAC(MAX($P$34*($B386+IF($R$17="Distrato",$I$38-1,0)),IF(AND($L$37=0,$P$34=0),"",$L$37-1),IF($R$17="Distrato",$E386,0)),MIN(AB$38,$D$19),$P$20))-SUM($P386:AA386)</f>
        <v>#VALUE!</v>
      </c>
      <c r="AC386" s="446" t="e">
        <f>IF(OR($B386="",MIN(AC$38,$D$19)&lt;MAX($P$34*($B386+IF($R$17="Distrato",$I$38-1,0)),IF(AND($L$37=0,$P$34=0),"",$L$37-1),IF($R$17="Distrato",$E386,0))),0,YEARFRAC(MAX($P$34*($B386+IF($R$17="Distrato",$I$38-1,0)),IF(AND($L$37=0,$P$34=0),"",$L$37-1),IF($R$17="Distrato",$E386,0)),MIN(AC$38,$D$19),$P$20))-SUM($P386:AB386)</f>
        <v>#VALUE!</v>
      </c>
      <c r="AD386" s="446" t="e">
        <f>IF(OR($B386="",MIN(AD$38,$D$19)&lt;MAX($P$34*($B386+IF($R$17="Distrato",$I$38-1,0)),IF(AND($L$37=0,$P$34=0),"",$L$37-1),IF($R$17="Distrato",$E386,0))),0,YEARFRAC(MAX($P$34*($B386+IF($R$17="Distrato",$I$38-1,0)),IF(AND($L$37=0,$P$34=0),"",$L$37-1),IF($R$17="Distrato",$E386,0)),MIN(AD$38,$D$19),$P$20))-SUM($P386:AC386)</f>
        <v>#VALUE!</v>
      </c>
      <c r="AE386" s="446" t="e">
        <f>IF(OR($B386="",MIN(AE$38,$D$19)&lt;MAX($P$34*($B386+IF($R$17="Distrato",$I$38-1,0)),IF(AND($L$37=0,$P$34=0),"",$L$37-1),IF($R$17="Distrato",$E386,0))),0,YEARFRAC(MAX($P$34*($B386+IF($R$17="Distrato",$I$38-1,0)),IF(AND($L$37=0,$P$34=0),"",$L$37-1),IF($R$17="Distrato",$E386,0)),MIN(AE$38,$D$19),$P$20))-SUM($P386:AD386)</f>
        <v>#VALUE!</v>
      </c>
      <c r="AF386" s="446" t="e">
        <f>IF(OR($B386="",MIN(AF$38,$D$19)&lt;MAX($P$34*($B386+IF($R$17="Distrato",$I$38-1,0)),IF(AND($L$37=0,$P$34=0),"",$L$37-1),IF($R$17="Distrato",$E386,0))),0,YEARFRAC(MAX($P$34*($B386+IF($R$17="Distrato",$I$38-1,0)),IF(AND($L$37=0,$P$34=0),"",$L$37-1),IF($R$17="Distrato",$E386,0)),MIN(AF$38,$D$19),$P$20))-SUM($P386:AE386)</f>
        <v>#VALUE!</v>
      </c>
      <c r="AG386" s="446" t="e">
        <f>IF(OR($B386="",MIN(AG$38,$D$19)&lt;MAX($P$34*($B386+IF($R$17="Distrato",$I$38-1,0)),IF(AND($L$37=0,$P$34=0),"",$L$37-1),IF($R$17="Distrato",$E386,0))),0,YEARFRAC(MAX($P$34*($B386+IF($R$17="Distrato",$I$38-1,0)),IF(AND($L$37=0,$P$34=0),"",$L$37-1),IF($R$17="Distrato",$E386,0)),MIN(AG$38,$D$19),$P$20))-SUM($P386:AF386)</f>
        <v>#VALUE!</v>
      </c>
      <c r="AH386" s="446" t="e">
        <f>IF(OR($B386="",MIN(AH$38,$D$19)&lt;MAX($P$34*($B386+IF($R$17="Distrato",$I$38-1,0)),IF(AND($L$37=0,$P$34=0),"",$L$37-1),IF($R$17="Distrato",$E386,0))),0,YEARFRAC(MAX($P$34*($B386+IF($R$17="Distrato",$I$38-1,0)),IF(AND($L$37=0,$P$34=0),"",$L$37-1),IF($R$17="Distrato",$E386,0)),MIN(AH$38,$D$19),$P$20))-SUM($P386:AG386)</f>
        <v>#VALUE!</v>
      </c>
      <c r="AI386" s="446" t="e">
        <f>IF(OR($B386="",MIN(AI$38,$D$19)&lt;MAX($P$34*($B386+IF($R$17="Distrato",$I$38-1,0)),IF(AND($L$37=0,$P$34=0),"",$L$37-1),IF($R$17="Distrato",$E386,0))),0,YEARFRAC(MAX($P$34*($B386+IF($R$17="Distrato",$I$38-1,0)),IF(AND($L$37=0,$P$34=0),"",$L$37-1),IF($R$17="Distrato",$E386,0)),MIN(AI$38,$D$19),$P$20))-SUM($P386:AH386)</f>
        <v>#VALUE!</v>
      </c>
      <c r="AJ386" s="446" t="e">
        <f>IF(OR($B386="",MIN(AJ$38,$D$19)&lt;MAX($P$34*($B386+IF($R$17="Distrato",$I$38-1,0)),IF(AND($L$37=0,$P$34=0),"",$L$37-1),IF($R$17="Distrato",$E386,0))),0,YEARFRAC(MAX($P$34*($B386+IF($R$17="Distrato",$I$38-1,0)),IF(AND($L$37=0,$P$34=0),"",$L$37-1),IF($R$17="Distrato",$E386,0)),MIN(AJ$38,$D$19),$P$20))-SUM($P386:AI386)</f>
        <v>#VALUE!</v>
      </c>
      <c r="AK386" s="446" t="e">
        <f>IF(OR($B386="",MIN(AK$38,$D$19)&lt;MAX($P$34*($B386+IF($R$17="Distrato",$I$38-1,0)),IF(AND($L$37=0,$P$34=0),"",$L$37-1),IF($R$17="Distrato",$E386,0))),0,YEARFRAC(MAX($P$34*($B386+IF($R$17="Distrato",$I$38-1,0)),IF(AND($L$37=0,$P$34=0),"",$L$37-1),IF($R$17="Distrato",$E386,0)),MIN(AK$38,$D$19),$P$20))-SUM($P386:AJ386)</f>
        <v>#VALUE!</v>
      </c>
      <c r="AL386" s="446" t="e">
        <f>IF(OR($B386="",MIN(AL$38,$D$19)&lt;MAX($P$34*($B386+IF($R$17="Distrato",$I$38-1,0)),IF(AND($L$37=0,$P$34=0),"",$L$37-1),IF($R$17="Distrato",$E386,0))),0,YEARFRAC(MAX($P$34*($B386+IF($R$17="Distrato",$I$38-1,0)),IF(AND($L$37=0,$P$34=0),"",$L$37-1),IF($R$17="Distrato",$E386,0)),MIN(AL$38,$D$19),$P$20))-SUM($P386:AK386)</f>
        <v>#VALUE!</v>
      </c>
      <c r="AM386" s="446" t="e">
        <f>IF(OR($B386="",MIN(AM$38,$D$19)&lt;MAX($P$34*($B386+IF($R$17="Distrato",$I$38-1,0)),IF(AND($L$37=0,$P$34=0),"",$L$37-1),IF($R$17="Distrato",$E386,0))),0,YEARFRAC(MAX($P$34*($B386+IF($R$17="Distrato",$I$38-1,0)),IF(AND($L$37=0,$P$34=0),"",$L$37-1),IF($R$17="Distrato",$E386,0)),MIN(AM$38,$D$19),$P$20))-SUM($P386:AL386)</f>
        <v>#VALUE!</v>
      </c>
      <c r="AN386" s="446" t="e">
        <f>IF(OR($B386="",MIN(AN$38,$D$19)&lt;MAX($P$34*($B386+IF($R$17="Distrato",$I$38-1,0)),IF(AND($L$37=0,$P$34=0),"",$L$37-1),IF($R$17="Distrato",$E386,0))),0,YEARFRAC(MAX($P$34*($B386+IF($R$17="Distrato",$I$38-1,0)),IF(AND($L$37=0,$P$34=0),"",$L$37-1),IF($R$17="Distrato",$E386,0)),MIN(AN$38,$D$19),$P$20))-SUM($P386:AM386)</f>
        <v>#VALUE!</v>
      </c>
      <c r="AO386" s="446" t="e">
        <f>IF(OR($B386="",MIN(AO$38,$D$19)&lt;MAX($P$34*($B386+IF($R$17="Distrato",$I$38-1,0)),IF(AND($L$37=0,$P$34=0),"",$L$37-1),IF($R$17="Distrato",$E386,0))),0,YEARFRAC(MAX($P$34*($B386+IF($R$17="Distrato",$I$38-1,0)),IF(AND($L$37=0,$P$34=0),"",$L$37-1),IF($R$17="Distrato",$E386,0)),MIN(AO$38,$D$19),$P$20))-SUM($P386:AN386)</f>
        <v>#VALUE!</v>
      </c>
      <c r="AP386" s="446" t="e">
        <f>IF(OR($B386="",MIN(AP$38,$D$19)&lt;MAX($P$34*($B386+IF($R$17="Distrato",$I$38-1,0)),IF(AND($L$37=0,$P$34=0),"",$L$37-1),IF($R$17="Distrato",$E386,0))),0,YEARFRAC(MAX($P$34*($B386+IF($R$17="Distrato",$I$38-1,0)),IF(AND($L$37=0,$P$34=0),"",$L$37-1),IF($R$17="Distrato",$E386,0)),MIN(AP$38,$D$19),$P$20))-SUM($P386:AO386)</f>
        <v>#VALUE!</v>
      </c>
      <c r="AQ386" s="446" t="e">
        <f>IF(OR($B386="",MIN(AQ$38,$D$19)&lt;MAX($P$34*($B386+IF($R$17="Distrato",$I$38-1,0)),IF(AND($L$37=0,$P$34=0),"",$L$37-1),IF($R$17="Distrato",$E386,0))),0,YEARFRAC(MAX($P$34*($B386+IF($R$17="Distrato",$I$38-1,0)),IF(AND($L$37=0,$P$34=0),"",$L$37-1),IF($R$17="Distrato",$E386,0)),MIN(AQ$38,$D$19),$P$20))-SUM($P386:AP386)</f>
        <v>#VALUE!</v>
      </c>
      <c r="AR386" s="446" t="e">
        <f>IF(OR($B386="",MIN(AR$38,$D$19)&lt;MAX($P$34*($B386+IF($R$17="Distrato",$I$38-1,0)),IF(AND($L$37=0,$P$34=0),"",$L$37-1),IF($R$17="Distrato",$E386,0))),0,YEARFRAC(MAX($P$34*($B386+IF($R$17="Distrato",$I$38-1,0)),IF(AND($L$37=0,$P$34=0),"",$L$37-1),IF($R$17="Distrato",$E386,0)),MIN(AR$38,$D$19),$P$20))-SUM($P386:AQ386)</f>
        <v>#VALUE!</v>
      </c>
      <c r="AS386" s="446" t="e">
        <f>IF(OR($B386="",MIN(AS$38,$D$19)&lt;MAX($P$34*($B386+IF($R$17="Distrato",$I$38-1,0)),IF(AND($L$37=0,$P$34=0),"",$L$37-1),IF($R$17="Distrato",$E386,0))),0,YEARFRAC(MAX($P$34*($B386+IF($R$17="Distrato",$I$38-1,0)),IF(AND($L$37=0,$P$34=0),"",$L$37-1),IF($R$17="Distrato",$E386,0)),MIN(AS$38,$D$19),$P$20))-SUM($P386:AR386)</f>
        <v>#VALUE!</v>
      </c>
      <c r="AT386" s="446" t="e">
        <f>IF(OR($B386="",MIN(AT$38,$D$19)&lt;MAX($P$34*($B386+IF($R$17="Distrato",$I$38-1,0)),IF(AND($L$37=0,$P$34=0),"",$L$37-1),IF($R$17="Distrato",$E386,0))),0,YEARFRAC(MAX($P$34*($B386+IF($R$17="Distrato",$I$38-1,0)),IF(AND($L$37=0,$P$34=0),"",$L$37-1),IF($R$17="Distrato",$E386,0)),MIN(AT$38,$D$19),$P$20))-SUM($P386:AS386)</f>
        <v>#VALUE!</v>
      </c>
      <c r="AU386" s="446" t="e">
        <f>IF(OR($B386="",MIN(AU$38,$D$19)&lt;MAX($P$34*($B386+IF($R$17="Distrato",$I$38-1,0)),IF(AND($L$37=0,$P$34=0),"",$L$37-1),IF($R$17="Distrato",$E386,0))),0,YEARFRAC(MAX($P$34*($B386+IF($R$17="Distrato",$I$38-1,0)),IF(AND($L$37=0,$P$34=0),"",$L$37-1),IF($R$17="Distrato",$E386,0)),MIN(AU$38,$D$19),$P$20))-SUM($P386:AT386)</f>
        <v>#VALUE!</v>
      </c>
      <c r="AV386" s="446" t="e">
        <f>IF(OR($B386="",MIN(AV$38,$D$19)&lt;MAX($P$34*($B386+IF($R$17="Distrato",$I$38-1,0)),IF(AND($L$37=0,$P$34=0),"",$L$37-1),IF($R$17="Distrato",$E386,0))),0,YEARFRAC(MAX($P$34*($B386+IF($R$17="Distrato",$I$38-1,0)),IF(AND($L$37=0,$P$34=0),"",$L$37-1),IF($R$17="Distrato",$E386,0)),MIN(AV$38,$D$19),$P$20))-SUM($P386:AU386)</f>
        <v>#VALUE!</v>
      </c>
      <c r="AW386" s="446" t="e">
        <f>IF(OR($B386="",MIN(AW$38,$D$19)&lt;MAX($P$34*($B386+IF($R$17="Distrato",$I$38-1,0)),IF(AND($L$37=0,$P$34=0),"",$L$37-1),IF($R$17="Distrato",$E386,0))),0,YEARFRAC(MAX($P$34*($B386+IF($R$17="Distrato",$I$38-1,0)),IF(AND($L$37=0,$P$34=0),"",$L$37-1),IF($R$17="Distrato",$E386,0)),MIN(AW$38,$D$19),$P$20))-SUM($P386:AV386)</f>
        <v>#VALUE!</v>
      </c>
      <c r="AX386" s="446" t="e">
        <f>IF(OR($B386="",MIN(AX$38,$D$19)&lt;MAX($P$34*($B386+IF($R$17="Distrato",$I$38-1,0)),IF(AND($L$37=0,$P$34=0),"",$L$37-1),IF($R$17="Distrato",$E386,0))),0,YEARFRAC(MAX($P$34*($B386+IF($R$17="Distrato",$I$38-1,0)),IF(AND($L$37=0,$P$34=0),"",$L$37-1),IF($R$17="Distrato",$E386,0)),MIN(AX$38,$D$19),$P$20))-SUM($P386:AW386)</f>
        <v>#VALUE!</v>
      </c>
      <c r="AY386" s="446" t="e">
        <f>IF(OR($B386="",MIN(AY$38,$D$19)&lt;MAX($P$34*($B386+IF($R$17="Distrato",$I$38-1,0)),IF(AND($L$37=0,$P$34=0),"",$L$37-1),IF($R$17="Distrato",$E386,0))),0,YEARFRAC(MAX($P$34*($B386+IF($R$17="Distrato",$I$38-1,0)),IF(AND($L$37=0,$P$34=0),"",$L$37-1),IF($R$17="Distrato",$E386,0)),MIN(AY$38,$D$19),$P$20))-SUM($P386:AX386)</f>
        <v>#VALUE!</v>
      </c>
      <c r="AZ386" s="446" t="e">
        <f>IF(OR($B386="",MIN(AZ$38,$D$19)&lt;MAX($P$34*($B386+IF($R$17="Distrato",$I$38-1,0)),IF(AND($L$37=0,$P$34=0),"",$L$37-1),IF($R$17="Distrato",$E386,0))),0,YEARFRAC(MAX($P$34*($B386+IF($R$17="Distrato",$I$38-1,0)),IF(AND($L$37=0,$P$34=0),"",$L$37-1),IF($R$17="Distrato",$E386,0)),MIN(AZ$38,$D$19),$P$20))-SUM($P386:AY386)</f>
        <v>#VALUE!</v>
      </c>
      <c r="BA386" s="446" t="e">
        <f>IF(OR($B386="",MIN(BA$38,$D$19)&lt;MAX($P$34*($B386+IF($R$17="Distrato",$I$38-1,0)),IF(AND($L$37=0,$P$34=0),"",$L$37-1),IF($R$17="Distrato",$E386,0))),0,YEARFRAC(MAX($P$34*($B386+IF($R$17="Distrato",$I$38-1,0)),IF(AND($L$37=0,$P$34=0),"",$L$37-1),IF($R$17="Distrato",$E386,0)),MIN(BA$38,$D$19),$P$20))-SUM($P386:AZ386)</f>
        <v>#VALUE!</v>
      </c>
      <c r="BB386" s="447"/>
      <c r="BF386" s="446">
        <f t="shared" si="65"/>
        <v>0</v>
      </c>
      <c r="BG386" s="446">
        <f>IF($E386=0,0,IF(MIN(BG$38,$E386)&lt;MAX($P$34*($B386+$I$38-1),IF(AND($L$37=0,$P$34=0),"",$L$37-1)),0,YEARFRAC(MAX($P$34*($B386+$I$38-1),IF(AND($L$37=0,$P$34=0),"",$L$37-1)),MIN(BG$38,$E386),$P$20))-SUM($BF386:BF386))</f>
        <v>0</v>
      </c>
      <c r="BH386" s="446">
        <f>IF($E386=0,0,IF(MIN(BH$38,$E386)&lt;MAX($P$34*($B386+$I$38-1),IF(AND($L$37=0,$P$34=0),"",$L$37-1)),0,YEARFRAC(MAX($P$34*($B386+$I$38-1),IF(AND($L$37=0,$P$34=0),"",$L$37-1)),MIN(BH$38,$E386),$P$20))-SUM($BF386:BG386))</f>
        <v>0</v>
      </c>
      <c r="BI386" s="446">
        <f>IF($E386=0,0,IF(MIN(BI$38,$E386)&lt;MAX($P$34*($B386+$I$38-1),IF(AND($L$37=0,$P$34=0),"",$L$37-1)),0,YEARFRAC(MAX($P$34*($B386+$I$38-1),IF(AND($L$37=0,$P$34=0),"",$L$37-1)),MIN(BI$38,$E386),$P$20))-SUM($BF386:BH386))</f>
        <v>0</v>
      </c>
      <c r="BJ386" s="446">
        <f>IF($E386=0,0,IF(MIN(BJ$38,$E386)&lt;MAX($P$34*($B386+$I$38-1),IF(AND($L$37=0,$P$34=0),"",$L$37-1)),0,YEARFRAC(MAX($P$34*($B386+$I$38-1),IF(AND($L$37=0,$P$34=0),"",$L$37-1)),MIN(BJ$38,$E386),$P$20))-SUM($BF386:BI386))</f>
        <v>0</v>
      </c>
      <c r="BK386" s="446">
        <f>IF($E386=0,0,IF(MIN(BK$38,$E386)&lt;MAX($P$34*($B386+$I$38-1),IF(AND($L$37=0,$P$34=0),"",$L$37-1)),0,YEARFRAC(MAX($P$34*($B386+$I$38-1),IF(AND($L$37=0,$P$34=0),"",$L$37-1)),MIN(BK$38,$E386),$P$20))-SUM($BF386:BJ386))</f>
        <v>0</v>
      </c>
      <c r="BL386" s="446">
        <f>IF($E386=0,0,IF(MIN(BL$38,$E386)&lt;MAX($P$34*($B386+$I$38-1),IF(AND($L$37=0,$P$34=0),"",$L$37-1)),0,YEARFRAC(MAX($P$34*($B386+$I$38-1),IF(AND($L$37=0,$P$34=0),"",$L$37-1)),MIN(BL$38,$E386),$P$20))-SUM($BF386:BK386))</f>
        <v>0</v>
      </c>
      <c r="BM386" s="446">
        <f>IF($E386=0,0,IF(MIN(BM$38,$E386)&lt;MAX($P$34*($B386+$I$38-1),IF(AND($L$37=0,$P$34=0),"",$L$37-1)),0,YEARFRAC(MAX($P$34*($B386+$I$38-1),IF(AND($L$37=0,$P$34=0),"",$L$37-1)),MIN(BM$38,$E386),$P$20))-SUM($BF386:BL386))</f>
        <v>0</v>
      </c>
      <c r="BN386" s="446">
        <f>IF($E386=0,0,IF(MIN(BN$38,$E386)&lt;MAX($P$34*($B386+$I$38-1),IF(AND($L$37=0,$P$34=0),"",$L$37-1)),0,YEARFRAC(MAX($P$34*($B386+$I$38-1),IF(AND($L$37=0,$P$34=0),"",$L$37-1)),MIN(BN$38,$E386),$P$20))-SUM($BF386:BM386))</f>
        <v>0</v>
      </c>
      <c r="BO386" s="446">
        <f>IF($E386=0,0,IF(MIN(BO$38,$E386)&lt;MAX($P$34*($B386+$I$38-1),IF(AND($L$37=0,$P$34=0),"",$L$37-1)),0,YEARFRAC(MAX($P$34*($B386+$I$38-1),IF(AND($L$37=0,$P$34=0),"",$L$37-1)),MIN(BO$38,$E386),$P$20))-SUM($BF386:BN386))</f>
        <v>0</v>
      </c>
      <c r="BP386" s="446">
        <f>IF($E386=0,0,IF(MIN(BP$38,$E386)&lt;MAX($P$34*($B386+$I$38-1),IF(AND($L$37=0,$P$34=0),"",$L$37-1)),0,YEARFRAC(MAX($P$34*($B386+$I$38-1),IF(AND($L$37=0,$P$34=0),"",$L$37-1)),MIN(BP$38,$E386),$P$20))-SUM($BF386:BO386))</f>
        <v>0</v>
      </c>
      <c r="BQ386" s="446">
        <f>IF($E386=0,0,IF(MIN(BQ$38,$E386)&lt;MAX($P$34*($B386+$I$38-1),IF(AND($L$37=0,$P$34=0),"",$L$37-1)),0,YEARFRAC(MAX($P$34*($B386+$I$38-1),IF(AND($L$37=0,$P$34=0),"",$L$37-1)),MIN(BQ$38,$E386),$P$20))-SUM($BF386:BP386))</f>
        <v>0</v>
      </c>
      <c r="BR386" s="446">
        <f>IF($E386=0,0,IF(MIN(BR$38,$E386)&lt;MAX($P$34*($B386+$I$38-1),IF(AND($L$37=0,$P$34=0),"",$L$37-1)),0,YEARFRAC(MAX($P$34*($B386+$I$38-1),IF(AND($L$37=0,$P$34=0),"",$L$37-1)),MIN(BR$38,$E386),$P$20))-SUM($BF386:BQ386))</f>
        <v>0</v>
      </c>
      <c r="BS386" s="446">
        <f>IF($E386=0,0,IF(MIN(BS$38,$E386)&lt;MAX($P$34*($B386+$I$38-1),IF(AND($L$37=0,$P$34=0),"",$L$37-1)),0,YEARFRAC(MAX($P$34*($B386+$I$38-1),IF(AND($L$37=0,$P$34=0),"",$L$37-1)),MIN(BS$38,$E386),$P$20))-SUM($BF386:BR386))</f>
        <v>0</v>
      </c>
      <c r="BT386" s="446">
        <f>IF($E386=0,0,IF(MIN(BT$38,$E386)&lt;MAX($P$34*($B386+$I$38-1),IF(AND($L$37=0,$P$34=0),"",$L$37-1)),0,YEARFRAC(MAX($P$34*($B386+$I$38-1),IF(AND($L$37=0,$P$34=0),"",$L$37-1)),MIN(BT$38,$E386),$P$20))-SUM($BF386:BS386))</f>
        <v>0</v>
      </c>
      <c r="BU386" s="446">
        <f>IF($E386=0,0,IF(MIN(BU$38,$E386)&lt;MAX($P$34*($B386+$I$38-1),IF(AND($L$37=0,$P$34=0),"",$L$37-1)),0,YEARFRAC(MAX($P$34*($B386+$I$38-1),IF(AND($L$37=0,$P$34=0),"",$L$37-1)),MIN(BU$38,$E386),$P$20))-SUM($BF386:BT386))</f>
        <v>0</v>
      </c>
      <c r="BV386" s="446">
        <f>IF($E386=0,0,IF(MIN(BV$38,$E386)&lt;MAX($P$34*($B386+$I$38-1),IF(AND($L$37=0,$P$34=0),"",$L$37-1)),0,YEARFRAC(MAX($P$34*($B386+$I$38-1),IF(AND($L$37=0,$P$34=0),"",$L$37-1)),MIN(BV$38,$E386),$P$20))-SUM($BF386:BU386))</f>
        <v>0</v>
      </c>
      <c r="BW386" s="446">
        <f>IF($E386=0,0,IF(MIN(BW$38,$E386)&lt;MAX($P$34*($B386+$I$38-1),IF(AND($L$37=0,$P$34=0),"",$L$37-1)),0,YEARFRAC(MAX($P$34*($B386+$I$38-1),IF(AND($L$37=0,$P$34=0),"",$L$37-1)),MIN(BW$38,$E386),$P$20))-SUM($BF386:BV386))</f>
        <v>0</v>
      </c>
      <c r="BX386" s="446">
        <f>IF($E386=0,0,IF(MIN(BX$38,$E386)&lt;MAX($P$34*($B386+$I$38-1),IF(AND($L$37=0,$P$34=0),"",$L$37-1)),0,YEARFRAC(MAX($P$34*($B386+$I$38-1),IF(AND($L$37=0,$P$34=0),"",$L$37-1)),MIN(BX$38,$E386),$P$20))-SUM($BF386:BW386))</f>
        <v>0</v>
      </c>
      <c r="BY386" s="446">
        <f>IF($E386=0,0,IF(MIN(BY$38,$E386)&lt;MAX($P$34*($B386+$I$38-1),IF(AND($L$37=0,$P$34=0),"",$L$37-1)),0,YEARFRAC(MAX($P$34*($B386+$I$38-1),IF(AND($L$37=0,$P$34=0),"",$L$37-1)),MIN(BY$38,$E386),$P$20))-SUM($BF386:BX386))</f>
        <v>0</v>
      </c>
      <c r="BZ386" s="446">
        <f>IF($E386=0,0,IF(MIN(BZ$38,$E386)&lt;MAX($P$34*($B386+$I$38-1),IF(AND($L$37=0,$P$34=0),"",$L$37-1)),0,YEARFRAC(MAX($P$34*($B386+$I$38-1),IF(AND($L$37=0,$P$34=0),"",$L$37-1)),MIN(BZ$38,$E386),$P$20))-SUM($BF386:BY386))</f>
        <v>0</v>
      </c>
      <c r="CA386" s="446">
        <f>IF($E386=0,0,IF(MIN(CA$38,$E386)&lt;MAX($P$34*($B386+$I$38-1),IF(AND($L$37=0,$P$34=0),"",$L$37-1)),0,YEARFRAC(MAX($P$34*($B386+$I$38-1),IF(AND($L$37=0,$P$34=0),"",$L$37-1)),MIN(CA$38,$E386),$P$20))-SUM($BF386:BZ386))</f>
        <v>0</v>
      </c>
      <c r="CB386" s="446">
        <f>IF($E386=0,0,IF(MIN(CB$38,$E386)&lt;MAX($P$34*($B386+$I$38-1),IF(AND($L$37=0,$P$34=0),"",$L$37-1)),0,YEARFRAC(MAX($P$34*($B386+$I$38-1),IF(AND($L$37=0,$P$34=0),"",$L$37-1)),MIN(CB$38,$E386),$P$20))-SUM($BF386:CA386))</f>
        <v>0</v>
      </c>
      <c r="CC386" s="446">
        <f>IF($E386=0,0,IF(MIN(CC$38,$E386)&lt;MAX($P$34*($B386+$I$38-1),IF(AND($L$37=0,$P$34=0),"",$L$37-1)),0,YEARFRAC(MAX($P$34*($B386+$I$38-1),IF(AND($L$37=0,$P$34=0),"",$L$37-1)),MIN(CC$38,$E386),$P$20))-SUM($BF386:CB386))</f>
        <v>0</v>
      </c>
      <c r="CD386" s="446">
        <f>IF($E386=0,0,IF(MIN(CD$38,$E386)&lt;MAX($P$34*($B386+$I$38-1),IF(AND($L$37=0,$P$34=0),"",$L$37-1)),0,YEARFRAC(MAX($P$34*($B386+$I$38-1),IF(AND($L$37=0,$P$34=0),"",$L$37-1)),MIN(CD$38,$E386),$P$20))-SUM($BF386:CC386))</f>
        <v>0</v>
      </c>
      <c r="CE386" s="446">
        <f>IF($E386=0,0,IF(MIN(CE$38,$E386)&lt;MAX($P$34*($B386+$I$38-1),IF(AND($L$37=0,$P$34=0),"",$L$37-1)),0,YEARFRAC(MAX($P$34*($B386+$I$38-1),IF(AND($L$37=0,$P$34=0),"",$L$37-1)),MIN(CE$38,$E386),$P$20))-SUM($BF386:CD386))</f>
        <v>0</v>
      </c>
      <c r="CF386" s="446">
        <f>IF($E386=0,0,IF(MIN(CF$38,$E386)&lt;MAX($P$34*($B386+$I$38-1),IF(AND($L$37=0,$P$34=0),"",$L$37-1)),0,YEARFRAC(MAX($P$34*($B386+$I$38-1),IF(AND($L$37=0,$P$34=0),"",$L$37-1)),MIN(CF$38,$E386),$P$20))-SUM($BF386:CE386))</f>
        <v>0</v>
      </c>
      <c r="CG386" s="446">
        <f>IF($E386=0,0,IF(MIN(CG$38,$E386)&lt;MAX($P$34*($B386+$I$38-1),IF(AND($L$37=0,$P$34=0),"",$L$37-1)),0,YEARFRAC(MAX($P$34*($B386+$I$38-1),IF(AND($L$37=0,$P$34=0),"",$L$37-1)),MIN(CG$38,$E386),$P$20))-SUM($BF386:CF386))</f>
        <v>0</v>
      </c>
      <c r="CH386" s="446">
        <f>IF($E386=0,0,IF(MIN(CH$38,$E386)&lt;MAX($P$34*($B386+$I$38-1),IF(AND($L$37=0,$P$34=0),"",$L$37-1)),0,YEARFRAC(MAX($P$34*($B386+$I$38-1),IF(AND($L$37=0,$P$34=0),"",$L$37-1)),MIN(CH$38,$E386),$P$20))-SUM($BF386:CG386))</f>
        <v>0</v>
      </c>
      <c r="CI386" s="446">
        <f>IF($E386=0,0,IF(MIN(CI$38,$E386)&lt;MAX($P$34*($B386+$I$38-1),IF(AND($L$37=0,$P$34=0),"",$L$37-1)),0,YEARFRAC(MAX($P$34*($B386+$I$38-1),IF(AND($L$37=0,$P$34=0),"",$L$37-1)),MIN(CI$38,$E386),$P$20))-SUM($BF386:CH386))</f>
        <v>0</v>
      </c>
      <c r="CJ386" s="446">
        <f>IF($E386=0,0,IF(MIN(CJ$38,$E386)&lt;MAX($P$34*($B386+$I$38-1),IF(AND($L$37=0,$P$34=0),"",$L$37-1)),0,YEARFRAC(MAX($P$34*($B386+$I$38-1),IF(AND($L$37=0,$P$34=0),"",$L$37-1)),MIN(CJ$38,$E386),$P$20))-SUM($BF386:CI386))</f>
        <v>0</v>
      </c>
      <c r="CK386" s="446">
        <f>IF($E386=0,0,IF(MIN(CK$38,$E386)&lt;MAX($P$34*($B386+$I$38-1),IF(AND($L$37=0,$P$34=0),"",$L$37-1)),0,YEARFRAC(MAX($P$34*($B386+$I$38-1),IF(AND($L$37=0,$P$34=0),"",$L$37-1)),MIN(CK$38,$E386),$P$20))-SUM($BF386:CJ386))</f>
        <v>0</v>
      </c>
      <c r="CL386" s="446">
        <f>IF($E386=0,0,IF(MIN(CL$38,$E386)&lt;MAX($P$34*($B386+$I$38-1),IF(AND($L$37=0,$P$34=0),"",$L$37-1)),0,YEARFRAC(MAX($P$34*($B386+$I$38-1),IF(AND($L$37=0,$P$34=0),"",$L$37-1)),MIN(CL$38,$E386),$P$20))-SUM($BF386:CK386))</f>
        <v>0</v>
      </c>
      <c r="CM386" s="446">
        <f>IF($E386=0,0,IF(MIN(CM$38,$E386)&lt;MAX($P$34*($B386+$I$38-1),IF(AND($L$37=0,$P$34=0),"",$L$37-1)),0,YEARFRAC(MAX($P$34*($B386+$I$38-1),IF(AND($L$37=0,$P$34=0),"",$L$37-1)),MIN(CM$38,$E386),$P$20))-SUM($BF386:CL386))</f>
        <v>0</v>
      </c>
      <c r="CN386" s="446">
        <f>IF($E386=0,0,IF(MIN(CN$38,$E386)&lt;MAX($P$34*($B386+$I$38-1),IF(AND($L$37=0,$P$34=0),"",$L$37-1)),0,YEARFRAC(MAX($P$34*($B386+$I$38-1),IF(AND($L$37=0,$P$34=0),"",$L$37-1)),MIN(CN$38,$E386),$P$20))-SUM($BF386:CM386))</f>
        <v>0</v>
      </c>
      <c r="CO386" s="446">
        <f>IF($E386=0,0,IF(MIN(CO$38,$E386)&lt;MAX($P$34*($B386+$I$38-1),IF(AND($L$37=0,$P$34=0),"",$L$37-1)),0,YEARFRAC(MAX($P$34*($B386+$I$38-1),IF(AND($L$37=0,$P$34=0),"",$L$37-1)),MIN(CO$38,$E386),$P$20))-SUM($BF386:CN386))</f>
        <v>0</v>
      </c>
      <c r="CP386" s="446">
        <f>IF($E386=0,0,IF(MIN(CP$38,$E386)&lt;MAX($P$34*($B386+$I$38-1),IF(AND($L$37=0,$P$34=0),"",$L$37-1)),0,YEARFRAC(MAX($P$34*($B386+$I$38-1),IF(AND($L$37=0,$P$34=0),"",$L$37-1)),MIN(CP$38,$E386),$P$20))-SUM($BF386:CO386))</f>
        <v>0</v>
      </c>
      <c r="CQ386" s="446">
        <f>IF($E386=0,0,IF(MIN(CQ$38,$E386)&lt;MAX($P$34*($B386+$I$38-1),IF(AND($L$37=0,$P$34=0),"",$L$37-1)),0,YEARFRAC(MAX($P$34*($B386+$I$38-1),IF(AND($L$37=0,$P$34=0),"",$L$37-1)),MIN(CQ$38,$E386),$P$20))-SUM($BF386:CP386))</f>
        <v>0</v>
      </c>
    </row>
    <row r="387" spans="1:95" s="446" customFormat="1" ht="11.25" hidden="1" customHeight="1" x14ac:dyDescent="0.2">
      <c r="A387" s="152"/>
      <c r="B387" s="153" t="str">
        <f t="shared" si="70"/>
        <v/>
      </c>
      <c r="C387" s="29" t="str">
        <f>IF(B387="","",IF($L$35="SELIC - TRIBUTOS",VLOOKUP(DATE(YEAR($D$19),MONTH($D$19)-1,1),ÍNDICES!$A:$DE,HLOOKUP($BL$25,ÍNDICES!$B$3:$T$4,2)+11)-VLOOKUP(B387,ÍNDICES!$A:$DE,HLOOKUP($BL$25,ÍNDICES!$B$3:$T$4,2)+11)+1%,IF(C$38=$W$26,$J$35,IF(ISERROR(IF(B387&gt;$D$19,1,VLOOKUP(DATE(YEAR(B387),MONTH(B387)+IF($C$35=$S$23,1,0),1),ÍNDICES!$A:$DE,$Z$35+1))),"",IF(B387&gt;$D$19,1,VLOOKUP(DATE(YEAR(B387),MONTH(B387)+IF($C$35=$S$23,1,0),1),ÍNDICES!$A:$DE,$Z$35+1))))))</f>
        <v/>
      </c>
      <c r="D387" s="154" t="str">
        <f>IF(ISERROR(IF(OR($D$38=$Y$27,$B387=""),"",VLOOKUP(B387,ÍNDICES!A:DE,AF$35+1))),"",IF(OR($D$38=$Y$27,$B387=""),"",VLOOKUP(B387,ÍNDICES!A:DE,AF$35+1)))</f>
        <v/>
      </c>
      <c r="E387" s="153"/>
      <c r="F387" s="29" t="str">
        <f>IF(E387="","",IF($L$35="SELIC - TRIBUTOS",VLOOKUP(DATE(YEAR($D$19),MONTH($D$19)-1,1),ÍNDICES!$A:$DE,HLOOKUP($BL$25,ÍNDICES!$B$3:$T$4,2)+11)-VLOOKUP(E387,ÍNDICES!$A:$DE,HLOOKUP($BL$25,ÍNDICES!$B$3:$T$4,2)+11)+1%,IF(F$38=$W$26,$J$35,IF(ISERROR(IF(E387&gt;$D$19,1,VLOOKUP(DATE(YEAR(E387),MONTH(E387)+IF($C$35=$S$23,1,0),1),ÍNDICES!$A:$DE,$Z$35+1))),"",IF(E387&gt;$D$19,1,VLOOKUP(DATE(YEAR(E387),MONTH(E387)+IF($C$35=$S$23,1,0),1),ÍNDICES!$A:$DE,$Z$35+1))))))</f>
        <v/>
      </c>
      <c r="G387" s="155"/>
      <c r="H387" s="156" t="str">
        <f t="shared" si="66"/>
        <v/>
      </c>
      <c r="I387" s="29" t="str">
        <f t="shared" si="60"/>
        <v/>
      </c>
      <c r="J387" s="5">
        <f t="shared" si="61"/>
        <v>0</v>
      </c>
      <c r="K387" s="20">
        <f t="shared" ca="1" si="62"/>
        <v>0</v>
      </c>
      <c r="L387" s="5">
        <f t="shared" ca="1" si="63"/>
        <v>0</v>
      </c>
      <c r="M387" s="64">
        <f t="shared" si="67"/>
        <v>0</v>
      </c>
      <c r="N387" s="61">
        <f t="shared" ca="1" si="68"/>
        <v>0</v>
      </c>
      <c r="O387" s="5">
        <f t="shared" ca="1" si="69"/>
        <v>0</v>
      </c>
      <c r="P387" s="446" t="e">
        <f t="shared" si="64"/>
        <v>#VALUE!</v>
      </c>
      <c r="Q387" s="446" t="e">
        <f>IF(OR($B387="",MIN(Q$38,$D$19)&lt;MAX($P$34*($B387+IF($R$17="Distrato",$I$38-1,0)),IF(AND($L$37=0,$P$34=0),"",$L$37-1),IF($R$17="Distrato",$E387,0))),0,YEARFRAC(MAX($P$34*($B387+IF($R$17="Distrato",$I$38-1,0)),IF(AND($L$37=0,$P$34=0),"",$L$37-1),IF($R$17="Distrato",$E387,0)),MIN(Q$38,$D$19),$P$20))-SUM($P387:P387)</f>
        <v>#VALUE!</v>
      </c>
      <c r="R387" s="446" t="e">
        <f>IF(OR($B387="",MIN(R$38,$D$19)&lt;MAX($P$34*($B387+IF($R$17="Distrato",$I$38-1,0)),IF(AND($L$37=0,$P$34=0),"",$L$37-1),IF($R$17="Distrato",$E387,0))),0,YEARFRAC(MAX($P$34*($B387+IF($R$17="Distrato",$I$38-1,0)),IF(AND($L$37=0,$P$34=0),"",$L$37-1),IF($R$17="Distrato",$E387,0)),MIN(R$38,$D$19),$P$20))-SUM($P387:Q387)</f>
        <v>#VALUE!</v>
      </c>
      <c r="S387" s="446" t="e">
        <f>IF(OR($B387="",MIN(S$38,$D$19)&lt;MAX($P$34*($B387+IF($R$17="Distrato",$I$38-1,0)),IF(AND($L$37=0,$P$34=0),"",$L$37-1),IF($R$17="Distrato",$E387,0))),0,YEARFRAC(MAX($P$34*($B387+IF($R$17="Distrato",$I$38-1,0)),IF(AND($L$37=0,$P$34=0),"",$L$37-1),IF($R$17="Distrato",$E387,0)),MIN(S$38,$D$19),$P$20))-SUM($P387:R387)</f>
        <v>#VALUE!</v>
      </c>
      <c r="T387" s="446" t="e">
        <f>IF(OR($B387="",MIN(T$38,$D$19)&lt;MAX($P$34*($B387+IF($R$17="Distrato",$I$38-1,0)),IF(AND($L$37=0,$P$34=0),"",$L$37-1),IF($R$17="Distrato",$E387,0))),0,YEARFRAC(MAX($P$34*($B387+IF($R$17="Distrato",$I$38-1,0)),IF(AND($L$37=0,$P$34=0),"",$L$37-1),IF($R$17="Distrato",$E387,0)),MIN(T$38,$D$19),$P$20))-SUM($P387:S387)</f>
        <v>#VALUE!</v>
      </c>
      <c r="U387" s="446" t="e">
        <f>IF(OR($B387="",MIN(U$38,$D$19)&lt;MAX($P$34*($B387+IF($R$17="Distrato",$I$38-1,0)),IF(AND($L$37=0,$P$34=0),"",$L$37-1),IF($R$17="Distrato",$E387,0))),0,YEARFRAC(MAX($P$34*($B387+IF($R$17="Distrato",$I$38-1,0)),IF(AND($L$37=0,$P$34=0),"",$L$37-1),IF($R$17="Distrato",$E387,0)),MIN(U$38,$D$19),$P$20))-SUM($P387:T387)</f>
        <v>#VALUE!</v>
      </c>
      <c r="V387" s="446" t="e">
        <f>IF(OR($B387="",MIN(V$38,$D$19)&lt;MAX($P$34*($B387+IF($R$17="Distrato",$I$38-1,0)),IF(AND($L$37=0,$P$34=0),"",$L$37-1),IF($R$17="Distrato",$E387,0))),0,YEARFRAC(MAX($P$34*($B387+IF($R$17="Distrato",$I$38-1,0)),IF(AND($L$37=0,$P$34=0),"",$L$37-1),IF($R$17="Distrato",$E387,0)),MIN(V$38,$D$19),$P$20))-SUM($P387:U387)</f>
        <v>#VALUE!</v>
      </c>
      <c r="W387" s="446" t="e">
        <f>IF(OR($B387="",MIN(W$38,$D$19)&lt;MAX($P$34*($B387+IF($R$17="Distrato",$I$38-1,0)),IF(AND($L$37=0,$P$34=0),"",$L$37-1),IF($R$17="Distrato",$E387,0))),0,YEARFRAC(MAX($P$34*($B387+IF($R$17="Distrato",$I$38-1,0)),IF(AND($L$37=0,$P$34=0),"",$L$37-1),IF($R$17="Distrato",$E387,0)),MIN(W$38,$D$19),$P$20))-SUM($P387:V387)</f>
        <v>#VALUE!</v>
      </c>
      <c r="X387" s="446" t="e">
        <f>IF(OR($B387="",MIN(X$38,$D$19)&lt;MAX($P$34*($B387+IF($R$17="Distrato",$I$38-1,0)),IF(AND($L$37=0,$P$34=0),"",$L$37-1),IF($R$17="Distrato",$E387,0))),0,YEARFRAC(MAX($P$34*($B387+IF($R$17="Distrato",$I$38-1,0)),IF(AND($L$37=0,$P$34=0),"",$L$37-1),IF($R$17="Distrato",$E387,0)),MIN(X$38,$D$19),$P$20))-SUM($P387:W387)</f>
        <v>#VALUE!</v>
      </c>
      <c r="Y387" s="446" t="e">
        <f>IF(OR($B387="",MIN(Y$38,$D$19)&lt;MAX($P$34*($B387+IF($R$17="Distrato",$I$38-1,0)),IF(AND($L$37=0,$P$34=0),"",$L$37-1),IF($R$17="Distrato",$E387,0))),0,YEARFRAC(MAX($P$34*($B387+IF($R$17="Distrato",$I$38-1,0)),IF(AND($L$37=0,$P$34=0),"",$L$37-1),IF($R$17="Distrato",$E387,0)),MIN(Y$38,$D$19),$P$20))-SUM($P387:X387)</f>
        <v>#VALUE!</v>
      </c>
      <c r="Z387" s="446" t="e">
        <f>IF(OR($B387="",MIN(Z$38,$D$19)&lt;MAX($P$34*($B387+IF($R$17="Distrato",$I$38-1,0)),IF(AND($L$37=0,$P$34=0),"",$L$37-1),IF($R$17="Distrato",$E387,0))),0,YEARFRAC(MAX($P$34*($B387+IF($R$17="Distrato",$I$38-1,0)),IF(AND($L$37=0,$P$34=0),"",$L$37-1),IF($R$17="Distrato",$E387,0)),MIN(Z$38,$D$19),$P$20))-SUM($P387:Y387)</f>
        <v>#VALUE!</v>
      </c>
      <c r="AA387" s="446" t="e">
        <f>IF(OR($B387="",MIN(AA$38,$D$19)&lt;MAX($P$34*($B387+IF($R$17="Distrato",$I$38-1,0)),IF(AND($L$37=0,$P$34=0),"",$L$37-1),IF($R$17="Distrato",$E387,0))),0,YEARFRAC(MAX($P$34*($B387+IF($R$17="Distrato",$I$38-1,0)),IF(AND($L$37=0,$P$34=0),"",$L$37-1),IF($R$17="Distrato",$E387,0)),MIN(AA$38,$D$19),$P$20))-SUM($P387:Z387)</f>
        <v>#VALUE!</v>
      </c>
      <c r="AB387" s="446" t="e">
        <f>IF(OR($B387="",MIN(AB$38,$D$19)&lt;MAX($P$34*($B387+IF($R$17="Distrato",$I$38-1,0)),IF(AND($L$37=0,$P$34=0),"",$L$37-1),IF($R$17="Distrato",$E387,0))),0,YEARFRAC(MAX($P$34*($B387+IF($R$17="Distrato",$I$38-1,0)),IF(AND($L$37=0,$P$34=0),"",$L$37-1),IF($R$17="Distrato",$E387,0)),MIN(AB$38,$D$19),$P$20))-SUM($P387:AA387)</f>
        <v>#VALUE!</v>
      </c>
      <c r="AC387" s="446" t="e">
        <f>IF(OR($B387="",MIN(AC$38,$D$19)&lt;MAX($P$34*($B387+IF($R$17="Distrato",$I$38-1,0)),IF(AND($L$37=0,$P$34=0),"",$L$37-1),IF($R$17="Distrato",$E387,0))),0,YEARFRAC(MAX($P$34*($B387+IF($R$17="Distrato",$I$38-1,0)),IF(AND($L$37=0,$P$34=0),"",$L$37-1),IF($R$17="Distrato",$E387,0)),MIN(AC$38,$D$19),$P$20))-SUM($P387:AB387)</f>
        <v>#VALUE!</v>
      </c>
      <c r="AD387" s="446" t="e">
        <f>IF(OR($B387="",MIN(AD$38,$D$19)&lt;MAX($P$34*($B387+IF($R$17="Distrato",$I$38-1,0)),IF(AND($L$37=0,$P$34=0),"",$L$37-1),IF($R$17="Distrato",$E387,0))),0,YEARFRAC(MAX($P$34*($B387+IF($R$17="Distrato",$I$38-1,0)),IF(AND($L$37=0,$P$34=0),"",$L$37-1),IF($R$17="Distrato",$E387,0)),MIN(AD$38,$D$19),$P$20))-SUM($P387:AC387)</f>
        <v>#VALUE!</v>
      </c>
      <c r="AE387" s="446" t="e">
        <f>IF(OR($B387="",MIN(AE$38,$D$19)&lt;MAX($P$34*($B387+IF($R$17="Distrato",$I$38-1,0)),IF(AND($L$37=0,$P$34=0),"",$L$37-1),IF($R$17="Distrato",$E387,0))),0,YEARFRAC(MAX($P$34*($B387+IF($R$17="Distrato",$I$38-1,0)),IF(AND($L$37=0,$P$34=0),"",$L$37-1),IF($R$17="Distrato",$E387,0)),MIN(AE$38,$D$19),$P$20))-SUM($P387:AD387)</f>
        <v>#VALUE!</v>
      </c>
      <c r="AF387" s="446" t="e">
        <f>IF(OR($B387="",MIN(AF$38,$D$19)&lt;MAX($P$34*($B387+IF($R$17="Distrato",$I$38-1,0)),IF(AND($L$37=0,$P$34=0),"",$L$37-1),IF($R$17="Distrato",$E387,0))),0,YEARFRAC(MAX($P$34*($B387+IF($R$17="Distrato",$I$38-1,0)),IF(AND($L$37=0,$P$34=0),"",$L$37-1),IF($R$17="Distrato",$E387,0)),MIN(AF$38,$D$19),$P$20))-SUM($P387:AE387)</f>
        <v>#VALUE!</v>
      </c>
      <c r="AG387" s="446" t="e">
        <f>IF(OR($B387="",MIN(AG$38,$D$19)&lt;MAX($P$34*($B387+IF($R$17="Distrato",$I$38-1,0)),IF(AND($L$37=0,$P$34=0),"",$L$37-1),IF($R$17="Distrato",$E387,0))),0,YEARFRAC(MAX($P$34*($B387+IF($R$17="Distrato",$I$38-1,0)),IF(AND($L$37=0,$P$34=0),"",$L$37-1),IF($R$17="Distrato",$E387,0)),MIN(AG$38,$D$19),$P$20))-SUM($P387:AF387)</f>
        <v>#VALUE!</v>
      </c>
      <c r="AH387" s="446" t="e">
        <f>IF(OR($B387="",MIN(AH$38,$D$19)&lt;MAX($P$34*($B387+IF($R$17="Distrato",$I$38-1,0)),IF(AND($L$37=0,$P$34=0),"",$L$37-1),IF($R$17="Distrato",$E387,0))),0,YEARFRAC(MAX($P$34*($B387+IF($R$17="Distrato",$I$38-1,0)),IF(AND($L$37=0,$P$34=0),"",$L$37-1),IF($R$17="Distrato",$E387,0)),MIN(AH$38,$D$19),$P$20))-SUM($P387:AG387)</f>
        <v>#VALUE!</v>
      </c>
      <c r="AI387" s="446" t="e">
        <f>IF(OR($B387="",MIN(AI$38,$D$19)&lt;MAX($P$34*($B387+IF($R$17="Distrato",$I$38-1,0)),IF(AND($L$37=0,$P$34=0),"",$L$37-1),IF($R$17="Distrato",$E387,0))),0,YEARFRAC(MAX($P$34*($B387+IF($R$17="Distrato",$I$38-1,0)),IF(AND($L$37=0,$P$34=0),"",$L$37-1),IF($R$17="Distrato",$E387,0)),MIN(AI$38,$D$19),$P$20))-SUM($P387:AH387)</f>
        <v>#VALUE!</v>
      </c>
      <c r="AJ387" s="446" t="e">
        <f>IF(OR($B387="",MIN(AJ$38,$D$19)&lt;MAX($P$34*($B387+IF($R$17="Distrato",$I$38-1,0)),IF(AND($L$37=0,$P$34=0),"",$L$37-1),IF($R$17="Distrato",$E387,0))),0,YEARFRAC(MAX($P$34*($B387+IF($R$17="Distrato",$I$38-1,0)),IF(AND($L$37=0,$P$34=0),"",$L$37-1),IF($R$17="Distrato",$E387,0)),MIN(AJ$38,$D$19),$P$20))-SUM($P387:AI387)</f>
        <v>#VALUE!</v>
      </c>
      <c r="AK387" s="446" t="e">
        <f>IF(OR($B387="",MIN(AK$38,$D$19)&lt;MAX($P$34*($B387+IF($R$17="Distrato",$I$38-1,0)),IF(AND($L$37=0,$P$34=0),"",$L$37-1),IF($R$17="Distrato",$E387,0))),0,YEARFRAC(MAX($P$34*($B387+IF($R$17="Distrato",$I$38-1,0)),IF(AND($L$37=0,$P$34=0),"",$L$37-1),IF($R$17="Distrato",$E387,0)),MIN(AK$38,$D$19),$P$20))-SUM($P387:AJ387)</f>
        <v>#VALUE!</v>
      </c>
      <c r="AL387" s="446" t="e">
        <f>IF(OR($B387="",MIN(AL$38,$D$19)&lt;MAX($P$34*($B387+IF($R$17="Distrato",$I$38-1,0)),IF(AND($L$37=0,$P$34=0),"",$L$37-1),IF($R$17="Distrato",$E387,0))),0,YEARFRAC(MAX($P$34*($B387+IF($R$17="Distrato",$I$38-1,0)),IF(AND($L$37=0,$P$34=0),"",$L$37-1),IF($R$17="Distrato",$E387,0)),MIN(AL$38,$D$19),$P$20))-SUM($P387:AK387)</f>
        <v>#VALUE!</v>
      </c>
      <c r="AM387" s="446" t="e">
        <f>IF(OR($B387="",MIN(AM$38,$D$19)&lt;MAX($P$34*($B387+IF($R$17="Distrato",$I$38-1,0)),IF(AND($L$37=0,$P$34=0),"",$L$37-1),IF($R$17="Distrato",$E387,0))),0,YEARFRAC(MAX($P$34*($B387+IF($R$17="Distrato",$I$38-1,0)),IF(AND($L$37=0,$P$34=0),"",$L$37-1),IF($R$17="Distrato",$E387,0)),MIN(AM$38,$D$19),$P$20))-SUM($P387:AL387)</f>
        <v>#VALUE!</v>
      </c>
      <c r="AN387" s="446" t="e">
        <f>IF(OR($B387="",MIN(AN$38,$D$19)&lt;MAX($P$34*($B387+IF($R$17="Distrato",$I$38-1,0)),IF(AND($L$37=0,$P$34=0),"",$L$37-1),IF($R$17="Distrato",$E387,0))),0,YEARFRAC(MAX($P$34*($B387+IF($R$17="Distrato",$I$38-1,0)),IF(AND($L$37=0,$P$34=0),"",$L$37-1),IF($R$17="Distrato",$E387,0)),MIN(AN$38,$D$19),$P$20))-SUM($P387:AM387)</f>
        <v>#VALUE!</v>
      </c>
      <c r="AO387" s="446" t="e">
        <f>IF(OR($B387="",MIN(AO$38,$D$19)&lt;MAX($P$34*($B387+IF($R$17="Distrato",$I$38-1,0)),IF(AND($L$37=0,$P$34=0),"",$L$37-1),IF($R$17="Distrato",$E387,0))),0,YEARFRAC(MAX($P$34*($B387+IF($R$17="Distrato",$I$38-1,0)),IF(AND($L$37=0,$P$34=0),"",$L$37-1),IF($R$17="Distrato",$E387,0)),MIN(AO$38,$D$19),$P$20))-SUM($P387:AN387)</f>
        <v>#VALUE!</v>
      </c>
      <c r="AP387" s="446" t="e">
        <f>IF(OR($B387="",MIN(AP$38,$D$19)&lt;MAX($P$34*($B387+IF($R$17="Distrato",$I$38-1,0)),IF(AND($L$37=0,$P$34=0),"",$L$37-1),IF($R$17="Distrato",$E387,0))),0,YEARFRAC(MAX($P$34*($B387+IF($R$17="Distrato",$I$38-1,0)),IF(AND($L$37=0,$P$34=0),"",$L$37-1),IF($R$17="Distrato",$E387,0)),MIN(AP$38,$D$19),$P$20))-SUM($P387:AO387)</f>
        <v>#VALUE!</v>
      </c>
      <c r="AQ387" s="446" t="e">
        <f>IF(OR($B387="",MIN(AQ$38,$D$19)&lt;MAX($P$34*($B387+IF($R$17="Distrato",$I$38-1,0)),IF(AND($L$37=0,$P$34=0),"",$L$37-1),IF($R$17="Distrato",$E387,0))),0,YEARFRAC(MAX($P$34*($B387+IF($R$17="Distrato",$I$38-1,0)),IF(AND($L$37=0,$P$34=0),"",$L$37-1),IF($R$17="Distrato",$E387,0)),MIN(AQ$38,$D$19),$P$20))-SUM($P387:AP387)</f>
        <v>#VALUE!</v>
      </c>
      <c r="AR387" s="446" t="e">
        <f>IF(OR($B387="",MIN(AR$38,$D$19)&lt;MAX($P$34*($B387+IF($R$17="Distrato",$I$38-1,0)),IF(AND($L$37=0,$P$34=0),"",$L$37-1),IF($R$17="Distrato",$E387,0))),0,YEARFRAC(MAX($P$34*($B387+IF($R$17="Distrato",$I$38-1,0)),IF(AND($L$37=0,$P$34=0),"",$L$37-1),IF($R$17="Distrato",$E387,0)),MIN(AR$38,$D$19),$P$20))-SUM($P387:AQ387)</f>
        <v>#VALUE!</v>
      </c>
      <c r="AS387" s="446" t="e">
        <f>IF(OR($B387="",MIN(AS$38,$D$19)&lt;MAX($P$34*($B387+IF($R$17="Distrato",$I$38-1,0)),IF(AND($L$37=0,$P$34=0),"",$L$37-1),IF($R$17="Distrato",$E387,0))),0,YEARFRAC(MAX($P$34*($B387+IF($R$17="Distrato",$I$38-1,0)),IF(AND($L$37=0,$P$34=0),"",$L$37-1),IF($R$17="Distrato",$E387,0)),MIN(AS$38,$D$19),$P$20))-SUM($P387:AR387)</f>
        <v>#VALUE!</v>
      </c>
      <c r="AT387" s="446" t="e">
        <f>IF(OR($B387="",MIN(AT$38,$D$19)&lt;MAX($P$34*($B387+IF($R$17="Distrato",$I$38-1,0)),IF(AND($L$37=0,$P$34=0),"",$L$37-1),IF($R$17="Distrato",$E387,0))),0,YEARFRAC(MAX($P$34*($B387+IF($R$17="Distrato",$I$38-1,0)),IF(AND($L$37=0,$P$34=0),"",$L$37-1),IF($R$17="Distrato",$E387,0)),MIN(AT$38,$D$19),$P$20))-SUM($P387:AS387)</f>
        <v>#VALUE!</v>
      </c>
      <c r="AU387" s="446" t="e">
        <f>IF(OR($B387="",MIN(AU$38,$D$19)&lt;MAX($P$34*($B387+IF($R$17="Distrato",$I$38-1,0)),IF(AND($L$37=0,$P$34=0),"",$L$37-1),IF($R$17="Distrato",$E387,0))),0,YEARFRAC(MAX($P$34*($B387+IF($R$17="Distrato",$I$38-1,0)),IF(AND($L$37=0,$P$34=0),"",$L$37-1),IF($R$17="Distrato",$E387,0)),MIN(AU$38,$D$19),$P$20))-SUM($P387:AT387)</f>
        <v>#VALUE!</v>
      </c>
      <c r="AV387" s="446" t="e">
        <f>IF(OR($B387="",MIN(AV$38,$D$19)&lt;MAX($P$34*($B387+IF($R$17="Distrato",$I$38-1,0)),IF(AND($L$37=0,$P$34=0),"",$L$37-1),IF($R$17="Distrato",$E387,0))),0,YEARFRAC(MAX($P$34*($B387+IF($R$17="Distrato",$I$38-1,0)),IF(AND($L$37=0,$P$34=0),"",$L$37-1),IF($R$17="Distrato",$E387,0)),MIN(AV$38,$D$19),$P$20))-SUM($P387:AU387)</f>
        <v>#VALUE!</v>
      </c>
      <c r="AW387" s="446" t="e">
        <f>IF(OR($B387="",MIN(AW$38,$D$19)&lt;MAX($P$34*($B387+IF($R$17="Distrato",$I$38-1,0)),IF(AND($L$37=0,$P$34=0),"",$L$37-1),IF($R$17="Distrato",$E387,0))),0,YEARFRAC(MAX($P$34*($B387+IF($R$17="Distrato",$I$38-1,0)),IF(AND($L$37=0,$P$34=0),"",$L$37-1),IF($R$17="Distrato",$E387,0)),MIN(AW$38,$D$19),$P$20))-SUM($P387:AV387)</f>
        <v>#VALUE!</v>
      </c>
      <c r="AX387" s="446" t="e">
        <f>IF(OR($B387="",MIN(AX$38,$D$19)&lt;MAX($P$34*($B387+IF($R$17="Distrato",$I$38-1,0)),IF(AND($L$37=0,$P$34=0),"",$L$37-1),IF($R$17="Distrato",$E387,0))),0,YEARFRAC(MAX($P$34*($B387+IF($R$17="Distrato",$I$38-1,0)),IF(AND($L$37=0,$P$34=0),"",$L$37-1),IF($R$17="Distrato",$E387,0)),MIN(AX$38,$D$19),$P$20))-SUM($P387:AW387)</f>
        <v>#VALUE!</v>
      </c>
      <c r="AY387" s="446" t="e">
        <f>IF(OR($B387="",MIN(AY$38,$D$19)&lt;MAX($P$34*($B387+IF($R$17="Distrato",$I$38-1,0)),IF(AND($L$37=0,$P$34=0),"",$L$37-1),IF($R$17="Distrato",$E387,0))),0,YEARFRAC(MAX($P$34*($B387+IF($R$17="Distrato",$I$38-1,0)),IF(AND($L$37=0,$P$34=0),"",$L$37-1),IF($R$17="Distrato",$E387,0)),MIN(AY$38,$D$19),$P$20))-SUM($P387:AX387)</f>
        <v>#VALUE!</v>
      </c>
      <c r="AZ387" s="446" t="e">
        <f>IF(OR($B387="",MIN(AZ$38,$D$19)&lt;MAX($P$34*($B387+IF($R$17="Distrato",$I$38-1,0)),IF(AND($L$37=0,$P$34=0),"",$L$37-1),IF($R$17="Distrato",$E387,0))),0,YEARFRAC(MAX($P$34*($B387+IF($R$17="Distrato",$I$38-1,0)),IF(AND($L$37=0,$P$34=0),"",$L$37-1),IF($R$17="Distrato",$E387,0)),MIN(AZ$38,$D$19),$P$20))-SUM($P387:AY387)</f>
        <v>#VALUE!</v>
      </c>
      <c r="BA387" s="446" t="e">
        <f>IF(OR($B387="",MIN(BA$38,$D$19)&lt;MAX($P$34*($B387+IF($R$17="Distrato",$I$38-1,0)),IF(AND($L$37=0,$P$34=0),"",$L$37-1),IF($R$17="Distrato",$E387,0))),0,YEARFRAC(MAX($P$34*($B387+IF($R$17="Distrato",$I$38-1,0)),IF(AND($L$37=0,$P$34=0),"",$L$37-1),IF($R$17="Distrato",$E387,0)),MIN(BA$38,$D$19),$P$20))-SUM($P387:AZ387)</f>
        <v>#VALUE!</v>
      </c>
      <c r="BB387" s="447"/>
      <c r="BF387" s="446">
        <f t="shared" si="65"/>
        <v>0</v>
      </c>
      <c r="BG387" s="446">
        <f>IF($E387=0,0,IF(MIN(BG$38,$E387)&lt;MAX($P$34*($B387+$I$38-1),IF(AND($L$37=0,$P$34=0),"",$L$37-1)),0,YEARFRAC(MAX($P$34*($B387+$I$38-1),IF(AND($L$37=0,$P$34=0),"",$L$37-1)),MIN(BG$38,$E387),$P$20))-SUM($BF387:BF387))</f>
        <v>0</v>
      </c>
      <c r="BH387" s="446">
        <f>IF($E387=0,0,IF(MIN(BH$38,$E387)&lt;MAX($P$34*($B387+$I$38-1),IF(AND($L$37=0,$P$34=0),"",$L$37-1)),0,YEARFRAC(MAX($P$34*($B387+$I$38-1),IF(AND($L$37=0,$P$34=0),"",$L$37-1)),MIN(BH$38,$E387),$P$20))-SUM($BF387:BG387))</f>
        <v>0</v>
      </c>
      <c r="BI387" s="446">
        <f>IF($E387=0,0,IF(MIN(BI$38,$E387)&lt;MAX($P$34*($B387+$I$38-1),IF(AND($L$37=0,$P$34=0),"",$L$37-1)),0,YEARFRAC(MAX($P$34*($B387+$I$38-1),IF(AND($L$37=0,$P$34=0),"",$L$37-1)),MIN(BI$38,$E387),$P$20))-SUM($BF387:BH387))</f>
        <v>0</v>
      </c>
      <c r="BJ387" s="446">
        <f>IF($E387=0,0,IF(MIN(BJ$38,$E387)&lt;MAX($P$34*($B387+$I$38-1),IF(AND($L$37=0,$P$34=0),"",$L$37-1)),0,YEARFRAC(MAX($P$34*($B387+$I$38-1),IF(AND($L$37=0,$P$34=0),"",$L$37-1)),MIN(BJ$38,$E387),$P$20))-SUM($BF387:BI387))</f>
        <v>0</v>
      </c>
      <c r="BK387" s="446">
        <f>IF($E387=0,0,IF(MIN(BK$38,$E387)&lt;MAX($P$34*($B387+$I$38-1),IF(AND($L$37=0,$P$34=0),"",$L$37-1)),0,YEARFRAC(MAX($P$34*($B387+$I$38-1),IF(AND($L$37=0,$P$34=0),"",$L$37-1)),MIN(BK$38,$E387),$P$20))-SUM($BF387:BJ387))</f>
        <v>0</v>
      </c>
      <c r="BL387" s="446">
        <f>IF($E387=0,0,IF(MIN(BL$38,$E387)&lt;MAX($P$34*($B387+$I$38-1),IF(AND($L$37=0,$P$34=0),"",$L$37-1)),0,YEARFRAC(MAX($P$34*($B387+$I$38-1),IF(AND($L$37=0,$P$34=0),"",$L$37-1)),MIN(BL$38,$E387),$P$20))-SUM($BF387:BK387))</f>
        <v>0</v>
      </c>
      <c r="BM387" s="446">
        <f>IF($E387=0,0,IF(MIN(BM$38,$E387)&lt;MAX($P$34*($B387+$I$38-1),IF(AND($L$37=0,$P$34=0),"",$L$37-1)),0,YEARFRAC(MAX($P$34*($B387+$I$38-1),IF(AND($L$37=0,$P$34=0),"",$L$37-1)),MIN(BM$38,$E387),$P$20))-SUM($BF387:BL387))</f>
        <v>0</v>
      </c>
      <c r="BN387" s="446">
        <f>IF($E387=0,0,IF(MIN(BN$38,$E387)&lt;MAX($P$34*($B387+$I$38-1),IF(AND($L$37=0,$P$34=0),"",$L$37-1)),0,YEARFRAC(MAX($P$34*($B387+$I$38-1),IF(AND($L$37=0,$P$34=0),"",$L$37-1)),MIN(BN$38,$E387),$P$20))-SUM($BF387:BM387))</f>
        <v>0</v>
      </c>
      <c r="BO387" s="446">
        <f>IF($E387=0,0,IF(MIN(BO$38,$E387)&lt;MAX($P$34*($B387+$I$38-1),IF(AND($L$37=0,$P$34=0),"",$L$37-1)),0,YEARFRAC(MAX($P$34*($B387+$I$38-1),IF(AND($L$37=0,$P$34=0),"",$L$37-1)),MIN(BO$38,$E387),$P$20))-SUM($BF387:BN387))</f>
        <v>0</v>
      </c>
      <c r="BP387" s="446">
        <f>IF($E387=0,0,IF(MIN(BP$38,$E387)&lt;MAX($P$34*($B387+$I$38-1),IF(AND($L$37=0,$P$34=0),"",$L$37-1)),0,YEARFRAC(MAX($P$34*($B387+$I$38-1),IF(AND($L$37=0,$P$34=0),"",$L$37-1)),MIN(BP$38,$E387),$P$20))-SUM($BF387:BO387))</f>
        <v>0</v>
      </c>
      <c r="BQ387" s="446">
        <f>IF($E387=0,0,IF(MIN(BQ$38,$E387)&lt;MAX($P$34*($B387+$I$38-1),IF(AND($L$37=0,$P$34=0),"",$L$37-1)),0,YEARFRAC(MAX($P$34*($B387+$I$38-1),IF(AND($L$37=0,$P$34=0),"",$L$37-1)),MIN(BQ$38,$E387),$P$20))-SUM($BF387:BP387))</f>
        <v>0</v>
      </c>
      <c r="BR387" s="446">
        <f>IF($E387=0,0,IF(MIN(BR$38,$E387)&lt;MAX($P$34*($B387+$I$38-1),IF(AND($L$37=0,$P$34=0),"",$L$37-1)),0,YEARFRAC(MAX($P$34*($B387+$I$38-1),IF(AND($L$37=0,$P$34=0),"",$L$37-1)),MIN(BR$38,$E387),$P$20))-SUM($BF387:BQ387))</f>
        <v>0</v>
      </c>
      <c r="BS387" s="446">
        <f>IF($E387=0,0,IF(MIN(BS$38,$E387)&lt;MAX($P$34*($B387+$I$38-1),IF(AND($L$37=0,$P$34=0),"",$L$37-1)),0,YEARFRAC(MAX($P$34*($B387+$I$38-1),IF(AND($L$37=0,$P$34=0),"",$L$37-1)),MIN(BS$38,$E387),$P$20))-SUM($BF387:BR387))</f>
        <v>0</v>
      </c>
      <c r="BT387" s="446">
        <f>IF($E387=0,0,IF(MIN(BT$38,$E387)&lt;MAX($P$34*($B387+$I$38-1),IF(AND($L$37=0,$P$34=0),"",$L$37-1)),0,YEARFRAC(MAX($P$34*($B387+$I$38-1),IF(AND($L$37=0,$P$34=0),"",$L$37-1)),MIN(BT$38,$E387),$P$20))-SUM($BF387:BS387))</f>
        <v>0</v>
      </c>
      <c r="BU387" s="446">
        <f>IF($E387=0,0,IF(MIN(BU$38,$E387)&lt;MAX($P$34*($B387+$I$38-1),IF(AND($L$37=0,$P$34=0),"",$L$37-1)),0,YEARFRAC(MAX($P$34*($B387+$I$38-1),IF(AND($L$37=0,$P$34=0),"",$L$37-1)),MIN(BU$38,$E387),$P$20))-SUM($BF387:BT387))</f>
        <v>0</v>
      </c>
      <c r="BV387" s="446">
        <f>IF($E387=0,0,IF(MIN(BV$38,$E387)&lt;MAX($P$34*($B387+$I$38-1),IF(AND($L$37=0,$P$34=0),"",$L$37-1)),0,YEARFRAC(MAX($P$34*($B387+$I$38-1),IF(AND($L$37=0,$P$34=0),"",$L$37-1)),MIN(BV$38,$E387),$P$20))-SUM($BF387:BU387))</f>
        <v>0</v>
      </c>
      <c r="BW387" s="446">
        <f>IF($E387=0,0,IF(MIN(BW$38,$E387)&lt;MAX($P$34*($B387+$I$38-1),IF(AND($L$37=0,$P$34=0),"",$L$37-1)),0,YEARFRAC(MAX($P$34*($B387+$I$38-1),IF(AND($L$37=0,$P$34=0),"",$L$37-1)),MIN(BW$38,$E387),$P$20))-SUM($BF387:BV387))</f>
        <v>0</v>
      </c>
      <c r="BX387" s="446">
        <f>IF($E387=0,0,IF(MIN(BX$38,$E387)&lt;MAX($P$34*($B387+$I$38-1),IF(AND($L$37=0,$P$34=0),"",$L$37-1)),0,YEARFRAC(MAX($P$34*($B387+$I$38-1),IF(AND($L$37=0,$P$34=0),"",$L$37-1)),MIN(BX$38,$E387),$P$20))-SUM($BF387:BW387))</f>
        <v>0</v>
      </c>
      <c r="BY387" s="446">
        <f>IF($E387=0,0,IF(MIN(BY$38,$E387)&lt;MAX($P$34*($B387+$I$38-1),IF(AND($L$37=0,$P$34=0),"",$L$37-1)),0,YEARFRAC(MAX($P$34*($B387+$I$38-1),IF(AND($L$37=0,$P$34=0),"",$L$37-1)),MIN(BY$38,$E387),$P$20))-SUM($BF387:BX387))</f>
        <v>0</v>
      </c>
      <c r="BZ387" s="446">
        <f>IF($E387=0,0,IF(MIN(BZ$38,$E387)&lt;MAX($P$34*($B387+$I$38-1),IF(AND($L$37=0,$P$34=0),"",$L$37-1)),0,YEARFRAC(MAX($P$34*($B387+$I$38-1),IF(AND($L$37=0,$P$34=0),"",$L$37-1)),MIN(BZ$38,$E387),$P$20))-SUM($BF387:BY387))</f>
        <v>0</v>
      </c>
      <c r="CA387" s="446">
        <f>IF($E387=0,0,IF(MIN(CA$38,$E387)&lt;MAX($P$34*($B387+$I$38-1),IF(AND($L$37=0,$P$34=0),"",$L$37-1)),0,YEARFRAC(MAX($P$34*($B387+$I$38-1),IF(AND($L$37=0,$P$34=0),"",$L$37-1)),MIN(CA$38,$E387),$P$20))-SUM($BF387:BZ387))</f>
        <v>0</v>
      </c>
      <c r="CB387" s="446">
        <f>IF($E387=0,0,IF(MIN(CB$38,$E387)&lt;MAX($P$34*($B387+$I$38-1),IF(AND($L$37=0,$P$34=0),"",$L$37-1)),0,YEARFRAC(MAX($P$34*($B387+$I$38-1),IF(AND($L$37=0,$P$34=0),"",$L$37-1)),MIN(CB$38,$E387),$P$20))-SUM($BF387:CA387))</f>
        <v>0</v>
      </c>
      <c r="CC387" s="446">
        <f>IF($E387=0,0,IF(MIN(CC$38,$E387)&lt;MAX($P$34*($B387+$I$38-1),IF(AND($L$37=0,$P$34=0),"",$L$37-1)),0,YEARFRAC(MAX($P$34*($B387+$I$38-1),IF(AND($L$37=0,$P$34=0),"",$L$37-1)),MIN(CC$38,$E387),$P$20))-SUM($BF387:CB387))</f>
        <v>0</v>
      </c>
      <c r="CD387" s="446">
        <f>IF($E387=0,0,IF(MIN(CD$38,$E387)&lt;MAX($P$34*($B387+$I$38-1),IF(AND($L$37=0,$P$34=0),"",$L$37-1)),0,YEARFRAC(MAX($P$34*($B387+$I$38-1),IF(AND($L$37=0,$P$34=0),"",$L$37-1)),MIN(CD$38,$E387),$P$20))-SUM($BF387:CC387))</f>
        <v>0</v>
      </c>
      <c r="CE387" s="446">
        <f>IF($E387=0,0,IF(MIN(CE$38,$E387)&lt;MAX($P$34*($B387+$I$38-1),IF(AND($L$37=0,$P$34=0),"",$L$37-1)),0,YEARFRAC(MAX($P$34*($B387+$I$38-1),IF(AND($L$37=0,$P$34=0),"",$L$37-1)),MIN(CE$38,$E387),$P$20))-SUM($BF387:CD387))</f>
        <v>0</v>
      </c>
      <c r="CF387" s="446">
        <f>IF($E387=0,0,IF(MIN(CF$38,$E387)&lt;MAX($P$34*($B387+$I$38-1),IF(AND($L$37=0,$P$34=0),"",$L$37-1)),0,YEARFRAC(MAX($P$34*($B387+$I$38-1),IF(AND($L$37=0,$P$34=0),"",$L$37-1)),MIN(CF$38,$E387),$P$20))-SUM($BF387:CE387))</f>
        <v>0</v>
      </c>
      <c r="CG387" s="446">
        <f>IF($E387=0,0,IF(MIN(CG$38,$E387)&lt;MAX($P$34*($B387+$I$38-1),IF(AND($L$37=0,$P$34=0),"",$L$37-1)),0,YEARFRAC(MAX($P$34*($B387+$I$38-1),IF(AND($L$37=0,$P$34=0),"",$L$37-1)),MIN(CG$38,$E387),$P$20))-SUM($BF387:CF387))</f>
        <v>0</v>
      </c>
      <c r="CH387" s="446">
        <f>IF($E387=0,0,IF(MIN(CH$38,$E387)&lt;MAX($P$34*($B387+$I$38-1),IF(AND($L$37=0,$P$34=0),"",$L$37-1)),0,YEARFRAC(MAX($P$34*($B387+$I$38-1),IF(AND($L$37=0,$P$34=0),"",$L$37-1)),MIN(CH$38,$E387),$P$20))-SUM($BF387:CG387))</f>
        <v>0</v>
      </c>
      <c r="CI387" s="446">
        <f>IF($E387=0,0,IF(MIN(CI$38,$E387)&lt;MAX($P$34*($B387+$I$38-1),IF(AND($L$37=0,$P$34=0),"",$L$37-1)),0,YEARFRAC(MAX($P$34*($B387+$I$38-1),IF(AND($L$37=0,$P$34=0),"",$L$37-1)),MIN(CI$38,$E387),$P$20))-SUM($BF387:CH387))</f>
        <v>0</v>
      </c>
      <c r="CJ387" s="446">
        <f>IF($E387=0,0,IF(MIN(CJ$38,$E387)&lt;MAX($P$34*($B387+$I$38-1),IF(AND($L$37=0,$P$34=0),"",$L$37-1)),0,YEARFRAC(MAX($P$34*($B387+$I$38-1),IF(AND($L$37=0,$P$34=0),"",$L$37-1)),MIN(CJ$38,$E387),$P$20))-SUM($BF387:CI387))</f>
        <v>0</v>
      </c>
      <c r="CK387" s="446">
        <f>IF($E387=0,0,IF(MIN(CK$38,$E387)&lt;MAX($P$34*($B387+$I$38-1),IF(AND($L$37=0,$P$34=0),"",$L$37-1)),0,YEARFRAC(MAX($P$34*($B387+$I$38-1),IF(AND($L$37=0,$P$34=0),"",$L$37-1)),MIN(CK$38,$E387),$P$20))-SUM($BF387:CJ387))</f>
        <v>0</v>
      </c>
      <c r="CL387" s="446">
        <f>IF($E387=0,0,IF(MIN(CL$38,$E387)&lt;MAX($P$34*($B387+$I$38-1),IF(AND($L$37=0,$P$34=0),"",$L$37-1)),0,YEARFRAC(MAX($P$34*($B387+$I$38-1),IF(AND($L$37=0,$P$34=0),"",$L$37-1)),MIN(CL$38,$E387),$P$20))-SUM($BF387:CK387))</f>
        <v>0</v>
      </c>
      <c r="CM387" s="446">
        <f>IF($E387=0,0,IF(MIN(CM$38,$E387)&lt;MAX($P$34*($B387+$I$38-1),IF(AND($L$37=0,$P$34=0),"",$L$37-1)),0,YEARFRAC(MAX($P$34*($B387+$I$38-1),IF(AND($L$37=0,$P$34=0),"",$L$37-1)),MIN(CM$38,$E387),$P$20))-SUM($BF387:CL387))</f>
        <v>0</v>
      </c>
      <c r="CN387" s="446">
        <f>IF($E387=0,0,IF(MIN(CN$38,$E387)&lt;MAX($P$34*($B387+$I$38-1),IF(AND($L$37=0,$P$34=0),"",$L$37-1)),0,YEARFRAC(MAX($P$34*($B387+$I$38-1),IF(AND($L$37=0,$P$34=0),"",$L$37-1)),MIN(CN$38,$E387),$P$20))-SUM($BF387:CM387))</f>
        <v>0</v>
      </c>
      <c r="CO387" s="446">
        <f>IF($E387=0,0,IF(MIN(CO$38,$E387)&lt;MAX($P$34*($B387+$I$38-1),IF(AND($L$37=0,$P$34=0),"",$L$37-1)),0,YEARFRAC(MAX($P$34*($B387+$I$38-1),IF(AND($L$37=0,$P$34=0),"",$L$37-1)),MIN(CO$38,$E387),$P$20))-SUM($BF387:CN387))</f>
        <v>0</v>
      </c>
      <c r="CP387" s="446">
        <f>IF($E387=0,0,IF(MIN(CP$38,$E387)&lt;MAX($P$34*($B387+$I$38-1),IF(AND($L$37=0,$P$34=0),"",$L$37-1)),0,YEARFRAC(MAX($P$34*($B387+$I$38-1),IF(AND($L$37=0,$P$34=0),"",$L$37-1)),MIN(CP$38,$E387),$P$20))-SUM($BF387:CO387))</f>
        <v>0</v>
      </c>
      <c r="CQ387" s="446">
        <f>IF($E387=0,0,IF(MIN(CQ$38,$E387)&lt;MAX($P$34*($B387+$I$38-1),IF(AND($L$37=0,$P$34=0),"",$L$37-1)),0,YEARFRAC(MAX($P$34*($B387+$I$38-1),IF(AND($L$37=0,$P$34=0),"",$L$37-1)),MIN(CQ$38,$E387),$P$20))-SUM($BF387:CP387))</f>
        <v>0</v>
      </c>
    </row>
    <row r="388" spans="1:95" s="446" customFormat="1" ht="11.25" hidden="1" customHeight="1" x14ac:dyDescent="0.2">
      <c r="A388" s="152"/>
      <c r="B388" s="153" t="str">
        <f t="shared" si="70"/>
        <v/>
      </c>
      <c r="C388" s="29" t="str">
        <f>IF(B388="","",IF($L$35="SELIC - TRIBUTOS",VLOOKUP(DATE(YEAR($D$19),MONTH($D$19)-1,1),ÍNDICES!$A:$DE,HLOOKUP($BL$25,ÍNDICES!$B$3:$T$4,2)+11)-VLOOKUP(B388,ÍNDICES!$A:$DE,HLOOKUP($BL$25,ÍNDICES!$B$3:$T$4,2)+11)+1%,IF(C$38=$W$26,$J$35,IF(ISERROR(IF(B388&gt;$D$19,1,VLOOKUP(DATE(YEAR(B388),MONTH(B388)+IF($C$35=$S$23,1,0),1),ÍNDICES!$A:$DE,$Z$35+1))),"",IF(B388&gt;$D$19,1,VLOOKUP(DATE(YEAR(B388),MONTH(B388)+IF($C$35=$S$23,1,0),1),ÍNDICES!$A:$DE,$Z$35+1))))))</f>
        <v/>
      </c>
      <c r="D388" s="154" t="str">
        <f>IF(ISERROR(IF(OR($D$38=$Y$27,$B388=""),"",VLOOKUP(B388,ÍNDICES!A:DE,AF$35+1))),"",IF(OR($D$38=$Y$27,$B388=""),"",VLOOKUP(B388,ÍNDICES!A:DE,AF$35+1)))</f>
        <v/>
      </c>
      <c r="E388" s="153"/>
      <c r="F388" s="29" t="str">
        <f>IF(E388="","",IF($L$35="SELIC - TRIBUTOS",VLOOKUP(DATE(YEAR($D$19),MONTH($D$19)-1,1),ÍNDICES!$A:$DE,HLOOKUP($BL$25,ÍNDICES!$B$3:$T$4,2)+11)-VLOOKUP(E388,ÍNDICES!$A:$DE,HLOOKUP($BL$25,ÍNDICES!$B$3:$T$4,2)+11)+1%,IF(F$38=$W$26,$J$35,IF(ISERROR(IF(E388&gt;$D$19,1,VLOOKUP(DATE(YEAR(E388),MONTH(E388)+IF($C$35=$S$23,1,0),1),ÍNDICES!$A:$DE,$Z$35+1))),"",IF(E388&gt;$D$19,1,VLOOKUP(DATE(YEAR(E388),MONTH(E388)+IF($C$35=$S$23,1,0),1),ÍNDICES!$A:$DE,$Z$35+1))))))</f>
        <v/>
      </c>
      <c r="G388" s="155"/>
      <c r="H388" s="156" t="str">
        <f t="shared" si="66"/>
        <v/>
      </c>
      <c r="I388" s="29" t="str">
        <f t="shared" si="60"/>
        <v/>
      </c>
      <c r="J388" s="5">
        <f t="shared" si="61"/>
        <v>0</v>
      </c>
      <c r="K388" s="20">
        <f t="shared" ca="1" si="62"/>
        <v>0</v>
      </c>
      <c r="L388" s="5">
        <f t="shared" ca="1" si="63"/>
        <v>0</v>
      </c>
      <c r="M388" s="64">
        <f t="shared" si="67"/>
        <v>0</v>
      </c>
      <c r="N388" s="61">
        <f t="shared" ca="1" si="68"/>
        <v>0</v>
      </c>
      <c r="O388" s="5">
        <f t="shared" ca="1" si="69"/>
        <v>0</v>
      </c>
      <c r="P388" s="446" t="e">
        <f t="shared" si="64"/>
        <v>#VALUE!</v>
      </c>
      <c r="Q388" s="446" t="e">
        <f>IF(OR($B388="",MIN(Q$38,$D$19)&lt;MAX($P$34*($B388+IF($R$17="Distrato",$I$38-1,0)),IF(AND($L$37=0,$P$34=0),"",$L$37-1),IF($R$17="Distrato",$E388,0))),0,YEARFRAC(MAX($P$34*($B388+IF($R$17="Distrato",$I$38-1,0)),IF(AND($L$37=0,$P$34=0),"",$L$37-1),IF($R$17="Distrato",$E388,0)),MIN(Q$38,$D$19),$P$20))-SUM($P388:P388)</f>
        <v>#VALUE!</v>
      </c>
      <c r="R388" s="446" t="e">
        <f>IF(OR($B388="",MIN(R$38,$D$19)&lt;MAX($P$34*($B388+IF($R$17="Distrato",$I$38-1,0)),IF(AND($L$37=0,$P$34=0),"",$L$37-1),IF($R$17="Distrato",$E388,0))),0,YEARFRAC(MAX($P$34*($B388+IF($R$17="Distrato",$I$38-1,0)),IF(AND($L$37=0,$P$34=0),"",$L$37-1),IF($R$17="Distrato",$E388,0)),MIN(R$38,$D$19),$P$20))-SUM($P388:Q388)</f>
        <v>#VALUE!</v>
      </c>
      <c r="S388" s="446" t="e">
        <f>IF(OR($B388="",MIN(S$38,$D$19)&lt;MAX($P$34*($B388+IF($R$17="Distrato",$I$38-1,0)),IF(AND($L$37=0,$P$34=0),"",$L$37-1),IF($R$17="Distrato",$E388,0))),0,YEARFRAC(MAX($P$34*($B388+IF($R$17="Distrato",$I$38-1,0)),IF(AND($L$37=0,$P$34=0),"",$L$37-1),IF($R$17="Distrato",$E388,0)),MIN(S$38,$D$19),$P$20))-SUM($P388:R388)</f>
        <v>#VALUE!</v>
      </c>
      <c r="T388" s="446" t="e">
        <f>IF(OR($B388="",MIN(T$38,$D$19)&lt;MAX($P$34*($B388+IF($R$17="Distrato",$I$38-1,0)),IF(AND($L$37=0,$P$34=0),"",$L$37-1),IF($R$17="Distrato",$E388,0))),0,YEARFRAC(MAX($P$34*($B388+IF($R$17="Distrato",$I$38-1,0)),IF(AND($L$37=0,$P$34=0),"",$L$37-1),IF($R$17="Distrato",$E388,0)),MIN(T$38,$D$19),$P$20))-SUM($P388:S388)</f>
        <v>#VALUE!</v>
      </c>
      <c r="U388" s="446" t="e">
        <f>IF(OR($B388="",MIN(U$38,$D$19)&lt;MAX($P$34*($B388+IF($R$17="Distrato",$I$38-1,0)),IF(AND($L$37=0,$P$34=0),"",$L$37-1),IF($R$17="Distrato",$E388,0))),0,YEARFRAC(MAX($P$34*($B388+IF($R$17="Distrato",$I$38-1,0)),IF(AND($L$37=0,$P$34=0),"",$L$37-1),IF($R$17="Distrato",$E388,0)),MIN(U$38,$D$19),$P$20))-SUM($P388:T388)</f>
        <v>#VALUE!</v>
      </c>
      <c r="V388" s="446" t="e">
        <f>IF(OR($B388="",MIN(V$38,$D$19)&lt;MAX($P$34*($B388+IF($R$17="Distrato",$I$38-1,0)),IF(AND($L$37=0,$P$34=0),"",$L$37-1),IF($R$17="Distrato",$E388,0))),0,YEARFRAC(MAX($P$34*($B388+IF($R$17="Distrato",$I$38-1,0)),IF(AND($L$37=0,$P$34=0),"",$L$37-1),IF($R$17="Distrato",$E388,0)),MIN(V$38,$D$19),$P$20))-SUM($P388:U388)</f>
        <v>#VALUE!</v>
      </c>
      <c r="W388" s="446" t="e">
        <f>IF(OR($B388="",MIN(W$38,$D$19)&lt;MAX($P$34*($B388+IF($R$17="Distrato",$I$38-1,0)),IF(AND($L$37=0,$P$34=0),"",$L$37-1),IF($R$17="Distrato",$E388,0))),0,YEARFRAC(MAX($P$34*($B388+IF($R$17="Distrato",$I$38-1,0)),IF(AND($L$37=0,$P$34=0),"",$L$37-1),IF($R$17="Distrato",$E388,0)),MIN(W$38,$D$19),$P$20))-SUM($P388:V388)</f>
        <v>#VALUE!</v>
      </c>
      <c r="X388" s="446" t="e">
        <f>IF(OR($B388="",MIN(X$38,$D$19)&lt;MAX($P$34*($B388+IF($R$17="Distrato",$I$38-1,0)),IF(AND($L$37=0,$P$34=0),"",$L$37-1),IF($R$17="Distrato",$E388,0))),0,YEARFRAC(MAX($P$34*($B388+IF($R$17="Distrato",$I$38-1,0)),IF(AND($L$37=0,$P$34=0),"",$L$37-1),IF($R$17="Distrato",$E388,0)),MIN(X$38,$D$19),$P$20))-SUM($P388:W388)</f>
        <v>#VALUE!</v>
      </c>
      <c r="Y388" s="446" t="e">
        <f>IF(OR($B388="",MIN(Y$38,$D$19)&lt;MAX($P$34*($B388+IF($R$17="Distrato",$I$38-1,0)),IF(AND($L$37=0,$P$34=0),"",$L$37-1),IF($R$17="Distrato",$E388,0))),0,YEARFRAC(MAX($P$34*($B388+IF($R$17="Distrato",$I$38-1,0)),IF(AND($L$37=0,$P$34=0),"",$L$37-1),IF($R$17="Distrato",$E388,0)),MIN(Y$38,$D$19),$P$20))-SUM($P388:X388)</f>
        <v>#VALUE!</v>
      </c>
      <c r="Z388" s="446" t="e">
        <f>IF(OR($B388="",MIN(Z$38,$D$19)&lt;MAX($P$34*($B388+IF($R$17="Distrato",$I$38-1,0)),IF(AND($L$37=0,$P$34=0),"",$L$37-1),IF($R$17="Distrato",$E388,0))),0,YEARFRAC(MAX($P$34*($B388+IF($R$17="Distrato",$I$38-1,0)),IF(AND($L$37=0,$P$34=0),"",$L$37-1),IF($R$17="Distrato",$E388,0)),MIN(Z$38,$D$19),$P$20))-SUM($P388:Y388)</f>
        <v>#VALUE!</v>
      </c>
      <c r="AA388" s="446" t="e">
        <f>IF(OR($B388="",MIN(AA$38,$D$19)&lt;MAX($P$34*($B388+IF($R$17="Distrato",$I$38-1,0)),IF(AND($L$37=0,$P$34=0),"",$L$37-1),IF($R$17="Distrato",$E388,0))),0,YEARFRAC(MAX($P$34*($B388+IF($R$17="Distrato",$I$38-1,0)),IF(AND($L$37=0,$P$34=0),"",$L$37-1),IF($R$17="Distrato",$E388,0)),MIN(AA$38,$D$19),$P$20))-SUM($P388:Z388)</f>
        <v>#VALUE!</v>
      </c>
      <c r="AB388" s="446" t="e">
        <f>IF(OR($B388="",MIN(AB$38,$D$19)&lt;MAX($P$34*($B388+IF($R$17="Distrato",$I$38-1,0)),IF(AND($L$37=0,$P$34=0),"",$L$37-1),IF($R$17="Distrato",$E388,0))),0,YEARFRAC(MAX($P$34*($B388+IF($R$17="Distrato",$I$38-1,0)),IF(AND($L$37=0,$P$34=0),"",$L$37-1),IF($R$17="Distrato",$E388,0)),MIN(AB$38,$D$19),$P$20))-SUM($P388:AA388)</f>
        <v>#VALUE!</v>
      </c>
      <c r="AC388" s="446" t="e">
        <f>IF(OR($B388="",MIN(AC$38,$D$19)&lt;MAX($P$34*($B388+IF($R$17="Distrato",$I$38-1,0)),IF(AND($L$37=0,$P$34=0),"",$L$37-1),IF($R$17="Distrato",$E388,0))),0,YEARFRAC(MAX($P$34*($B388+IF($R$17="Distrato",$I$38-1,0)),IF(AND($L$37=0,$P$34=0),"",$L$37-1),IF($R$17="Distrato",$E388,0)),MIN(AC$38,$D$19),$P$20))-SUM($P388:AB388)</f>
        <v>#VALUE!</v>
      </c>
      <c r="AD388" s="446" t="e">
        <f>IF(OR($B388="",MIN(AD$38,$D$19)&lt;MAX($P$34*($B388+IF($R$17="Distrato",$I$38-1,0)),IF(AND($L$37=0,$P$34=0),"",$L$37-1),IF($R$17="Distrato",$E388,0))),0,YEARFRAC(MAX($P$34*($B388+IF($R$17="Distrato",$I$38-1,0)),IF(AND($L$37=0,$P$34=0),"",$L$37-1),IF($R$17="Distrato",$E388,0)),MIN(AD$38,$D$19),$P$20))-SUM($P388:AC388)</f>
        <v>#VALUE!</v>
      </c>
      <c r="AE388" s="446" t="e">
        <f>IF(OR($B388="",MIN(AE$38,$D$19)&lt;MAX($P$34*($B388+IF($R$17="Distrato",$I$38-1,0)),IF(AND($L$37=0,$P$34=0),"",$L$37-1),IF($R$17="Distrato",$E388,0))),0,YEARFRAC(MAX($P$34*($B388+IF($R$17="Distrato",$I$38-1,0)),IF(AND($L$37=0,$P$34=0),"",$L$37-1),IF($R$17="Distrato",$E388,0)),MIN(AE$38,$D$19),$P$20))-SUM($P388:AD388)</f>
        <v>#VALUE!</v>
      </c>
      <c r="AF388" s="446" t="e">
        <f>IF(OR($B388="",MIN(AF$38,$D$19)&lt;MAX($P$34*($B388+IF($R$17="Distrato",$I$38-1,0)),IF(AND($L$37=0,$P$34=0),"",$L$37-1),IF($R$17="Distrato",$E388,0))),0,YEARFRAC(MAX($P$34*($B388+IF($R$17="Distrato",$I$38-1,0)),IF(AND($L$37=0,$P$34=0),"",$L$37-1),IF($R$17="Distrato",$E388,0)),MIN(AF$38,$D$19),$P$20))-SUM($P388:AE388)</f>
        <v>#VALUE!</v>
      </c>
      <c r="AG388" s="446" t="e">
        <f>IF(OR($B388="",MIN(AG$38,$D$19)&lt;MAX($P$34*($B388+IF($R$17="Distrato",$I$38-1,0)),IF(AND($L$37=0,$P$34=0),"",$L$37-1),IF($R$17="Distrato",$E388,0))),0,YEARFRAC(MAX($P$34*($B388+IF($R$17="Distrato",$I$38-1,0)),IF(AND($L$37=0,$P$34=0),"",$L$37-1),IF($R$17="Distrato",$E388,0)),MIN(AG$38,$D$19),$P$20))-SUM($P388:AF388)</f>
        <v>#VALUE!</v>
      </c>
      <c r="AH388" s="446" t="e">
        <f>IF(OR($B388="",MIN(AH$38,$D$19)&lt;MAX($P$34*($B388+IF($R$17="Distrato",$I$38-1,0)),IF(AND($L$37=0,$P$34=0),"",$L$37-1),IF($R$17="Distrato",$E388,0))),0,YEARFRAC(MAX($P$34*($B388+IF($R$17="Distrato",$I$38-1,0)),IF(AND($L$37=0,$P$34=0),"",$L$37-1),IF($R$17="Distrato",$E388,0)),MIN(AH$38,$D$19),$P$20))-SUM($P388:AG388)</f>
        <v>#VALUE!</v>
      </c>
      <c r="AI388" s="446" t="e">
        <f>IF(OR($B388="",MIN(AI$38,$D$19)&lt;MAX($P$34*($B388+IF($R$17="Distrato",$I$38-1,0)),IF(AND($L$37=0,$P$34=0),"",$L$37-1),IF($R$17="Distrato",$E388,0))),0,YEARFRAC(MAX($P$34*($B388+IF($R$17="Distrato",$I$38-1,0)),IF(AND($L$37=0,$P$34=0),"",$L$37-1),IF($R$17="Distrato",$E388,0)),MIN(AI$38,$D$19),$P$20))-SUM($P388:AH388)</f>
        <v>#VALUE!</v>
      </c>
      <c r="AJ388" s="446" t="e">
        <f>IF(OR($B388="",MIN(AJ$38,$D$19)&lt;MAX($P$34*($B388+IF($R$17="Distrato",$I$38-1,0)),IF(AND($L$37=0,$P$34=0),"",$L$37-1),IF($R$17="Distrato",$E388,0))),0,YEARFRAC(MAX($P$34*($B388+IF($R$17="Distrato",$I$38-1,0)),IF(AND($L$37=0,$P$34=0),"",$L$37-1),IF($R$17="Distrato",$E388,0)),MIN(AJ$38,$D$19),$P$20))-SUM($P388:AI388)</f>
        <v>#VALUE!</v>
      </c>
      <c r="AK388" s="446" t="e">
        <f>IF(OR($B388="",MIN(AK$38,$D$19)&lt;MAX($P$34*($B388+IF($R$17="Distrato",$I$38-1,0)),IF(AND($L$37=0,$P$34=0),"",$L$37-1),IF($R$17="Distrato",$E388,0))),0,YEARFRAC(MAX($P$34*($B388+IF($R$17="Distrato",$I$38-1,0)),IF(AND($L$37=0,$P$34=0),"",$L$37-1),IF($R$17="Distrato",$E388,0)),MIN(AK$38,$D$19),$P$20))-SUM($P388:AJ388)</f>
        <v>#VALUE!</v>
      </c>
      <c r="AL388" s="446" t="e">
        <f>IF(OR($B388="",MIN(AL$38,$D$19)&lt;MAX($P$34*($B388+IF($R$17="Distrato",$I$38-1,0)),IF(AND($L$37=0,$P$34=0),"",$L$37-1),IF($R$17="Distrato",$E388,0))),0,YEARFRAC(MAX($P$34*($B388+IF($R$17="Distrato",$I$38-1,0)),IF(AND($L$37=0,$P$34=0),"",$L$37-1),IF($R$17="Distrato",$E388,0)),MIN(AL$38,$D$19),$P$20))-SUM($P388:AK388)</f>
        <v>#VALUE!</v>
      </c>
      <c r="AM388" s="446" t="e">
        <f>IF(OR($B388="",MIN(AM$38,$D$19)&lt;MAX($P$34*($B388+IF($R$17="Distrato",$I$38-1,0)),IF(AND($L$37=0,$P$34=0),"",$L$37-1),IF($R$17="Distrato",$E388,0))),0,YEARFRAC(MAX($P$34*($B388+IF($R$17="Distrato",$I$38-1,0)),IF(AND($L$37=0,$P$34=0),"",$L$37-1),IF($R$17="Distrato",$E388,0)),MIN(AM$38,$D$19),$P$20))-SUM($P388:AL388)</f>
        <v>#VALUE!</v>
      </c>
      <c r="AN388" s="446" t="e">
        <f>IF(OR($B388="",MIN(AN$38,$D$19)&lt;MAX($P$34*($B388+IF($R$17="Distrato",$I$38-1,0)),IF(AND($L$37=0,$P$34=0),"",$L$37-1),IF($R$17="Distrato",$E388,0))),0,YEARFRAC(MAX($P$34*($B388+IF($R$17="Distrato",$I$38-1,0)),IF(AND($L$37=0,$P$34=0),"",$L$37-1),IF($R$17="Distrato",$E388,0)),MIN(AN$38,$D$19),$P$20))-SUM($P388:AM388)</f>
        <v>#VALUE!</v>
      </c>
      <c r="AO388" s="446" t="e">
        <f>IF(OR($B388="",MIN(AO$38,$D$19)&lt;MAX($P$34*($B388+IF($R$17="Distrato",$I$38-1,0)),IF(AND($L$37=0,$P$34=0),"",$L$37-1),IF($R$17="Distrato",$E388,0))),0,YEARFRAC(MAX($P$34*($B388+IF($R$17="Distrato",$I$38-1,0)),IF(AND($L$37=0,$P$34=0),"",$L$37-1),IF($R$17="Distrato",$E388,0)),MIN(AO$38,$D$19),$P$20))-SUM($P388:AN388)</f>
        <v>#VALUE!</v>
      </c>
      <c r="AP388" s="446" t="e">
        <f>IF(OR($B388="",MIN(AP$38,$D$19)&lt;MAX($P$34*($B388+IF($R$17="Distrato",$I$38-1,0)),IF(AND($L$37=0,$P$34=0),"",$L$37-1),IF($R$17="Distrato",$E388,0))),0,YEARFRAC(MAX($P$34*($B388+IF($R$17="Distrato",$I$38-1,0)),IF(AND($L$37=0,$P$34=0),"",$L$37-1),IF($R$17="Distrato",$E388,0)),MIN(AP$38,$D$19),$P$20))-SUM($P388:AO388)</f>
        <v>#VALUE!</v>
      </c>
      <c r="AQ388" s="446" t="e">
        <f>IF(OR($B388="",MIN(AQ$38,$D$19)&lt;MAX($P$34*($B388+IF($R$17="Distrato",$I$38-1,0)),IF(AND($L$37=0,$P$34=0),"",$L$37-1),IF($R$17="Distrato",$E388,0))),0,YEARFRAC(MAX($P$34*($B388+IF($R$17="Distrato",$I$38-1,0)),IF(AND($L$37=0,$P$34=0),"",$L$37-1),IF($R$17="Distrato",$E388,0)),MIN(AQ$38,$D$19),$P$20))-SUM($P388:AP388)</f>
        <v>#VALUE!</v>
      </c>
      <c r="AR388" s="446" t="e">
        <f>IF(OR($B388="",MIN(AR$38,$D$19)&lt;MAX($P$34*($B388+IF($R$17="Distrato",$I$38-1,0)),IF(AND($L$37=0,$P$34=0),"",$L$37-1),IF($R$17="Distrato",$E388,0))),0,YEARFRAC(MAX($P$34*($B388+IF($R$17="Distrato",$I$38-1,0)),IF(AND($L$37=0,$P$34=0),"",$L$37-1),IF($R$17="Distrato",$E388,0)),MIN(AR$38,$D$19),$P$20))-SUM($P388:AQ388)</f>
        <v>#VALUE!</v>
      </c>
      <c r="AS388" s="446" t="e">
        <f>IF(OR($B388="",MIN(AS$38,$D$19)&lt;MAX($P$34*($B388+IF($R$17="Distrato",$I$38-1,0)),IF(AND($L$37=0,$P$34=0),"",$L$37-1),IF($R$17="Distrato",$E388,0))),0,YEARFRAC(MAX($P$34*($B388+IF($R$17="Distrato",$I$38-1,0)),IF(AND($L$37=0,$P$34=0),"",$L$37-1),IF($R$17="Distrato",$E388,0)),MIN(AS$38,$D$19),$P$20))-SUM($P388:AR388)</f>
        <v>#VALUE!</v>
      </c>
      <c r="AT388" s="446" t="e">
        <f>IF(OR($B388="",MIN(AT$38,$D$19)&lt;MAX($P$34*($B388+IF($R$17="Distrato",$I$38-1,0)),IF(AND($L$37=0,$P$34=0),"",$L$37-1),IF($R$17="Distrato",$E388,0))),0,YEARFRAC(MAX($P$34*($B388+IF($R$17="Distrato",$I$38-1,0)),IF(AND($L$37=0,$P$34=0),"",$L$37-1),IF($R$17="Distrato",$E388,0)),MIN(AT$38,$D$19),$P$20))-SUM($P388:AS388)</f>
        <v>#VALUE!</v>
      </c>
      <c r="AU388" s="446" t="e">
        <f>IF(OR($B388="",MIN(AU$38,$D$19)&lt;MAX($P$34*($B388+IF($R$17="Distrato",$I$38-1,0)),IF(AND($L$37=0,$P$34=0),"",$L$37-1),IF($R$17="Distrato",$E388,0))),0,YEARFRAC(MAX($P$34*($B388+IF($R$17="Distrato",$I$38-1,0)),IF(AND($L$37=0,$P$34=0),"",$L$37-1),IF($R$17="Distrato",$E388,0)),MIN(AU$38,$D$19),$P$20))-SUM($P388:AT388)</f>
        <v>#VALUE!</v>
      </c>
      <c r="AV388" s="446" t="e">
        <f>IF(OR($B388="",MIN(AV$38,$D$19)&lt;MAX($P$34*($B388+IF($R$17="Distrato",$I$38-1,0)),IF(AND($L$37=0,$P$34=0),"",$L$37-1),IF($R$17="Distrato",$E388,0))),0,YEARFRAC(MAX($P$34*($B388+IF($R$17="Distrato",$I$38-1,0)),IF(AND($L$37=0,$P$34=0),"",$L$37-1),IF($R$17="Distrato",$E388,0)),MIN(AV$38,$D$19),$P$20))-SUM($P388:AU388)</f>
        <v>#VALUE!</v>
      </c>
      <c r="AW388" s="446" t="e">
        <f>IF(OR($B388="",MIN(AW$38,$D$19)&lt;MAX($P$34*($B388+IF($R$17="Distrato",$I$38-1,0)),IF(AND($L$37=0,$P$34=0),"",$L$37-1),IF($R$17="Distrato",$E388,0))),0,YEARFRAC(MAX($P$34*($B388+IF($R$17="Distrato",$I$38-1,0)),IF(AND($L$37=0,$P$34=0),"",$L$37-1),IF($R$17="Distrato",$E388,0)),MIN(AW$38,$D$19),$P$20))-SUM($P388:AV388)</f>
        <v>#VALUE!</v>
      </c>
      <c r="AX388" s="446" t="e">
        <f>IF(OR($B388="",MIN(AX$38,$D$19)&lt;MAX($P$34*($B388+IF($R$17="Distrato",$I$38-1,0)),IF(AND($L$37=0,$P$34=0),"",$L$37-1),IF($R$17="Distrato",$E388,0))),0,YEARFRAC(MAX($P$34*($B388+IF($R$17="Distrato",$I$38-1,0)),IF(AND($L$37=0,$P$34=0),"",$L$37-1),IF($R$17="Distrato",$E388,0)),MIN(AX$38,$D$19),$P$20))-SUM($P388:AW388)</f>
        <v>#VALUE!</v>
      </c>
      <c r="AY388" s="446" t="e">
        <f>IF(OR($B388="",MIN(AY$38,$D$19)&lt;MAX($P$34*($B388+IF($R$17="Distrato",$I$38-1,0)),IF(AND($L$37=0,$P$34=0),"",$L$37-1),IF($R$17="Distrato",$E388,0))),0,YEARFRAC(MAX($P$34*($B388+IF($R$17="Distrato",$I$38-1,0)),IF(AND($L$37=0,$P$34=0),"",$L$37-1),IF($R$17="Distrato",$E388,0)),MIN(AY$38,$D$19),$P$20))-SUM($P388:AX388)</f>
        <v>#VALUE!</v>
      </c>
      <c r="AZ388" s="446" t="e">
        <f>IF(OR($B388="",MIN(AZ$38,$D$19)&lt;MAX($P$34*($B388+IF($R$17="Distrato",$I$38-1,0)),IF(AND($L$37=0,$P$34=0),"",$L$37-1),IF($R$17="Distrato",$E388,0))),0,YEARFRAC(MAX($P$34*($B388+IF($R$17="Distrato",$I$38-1,0)),IF(AND($L$37=0,$P$34=0),"",$L$37-1),IF($R$17="Distrato",$E388,0)),MIN(AZ$38,$D$19),$P$20))-SUM($P388:AY388)</f>
        <v>#VALUE!</v>
      </c>
      <c r="BA388" s="446" t="e">
        <f>IF(OR($B388="",MIN(BA$38,$D$19)&lt;MAX($P$34*($B388+IF($R$17="Distrato",$I$38-1,0)),IF(AND($L$37=0,$P$34=0),"",$L$37-1),IF($R$17="Distrato",$E388,0))),0,YEARFRAC(MAX($P$34*($B388+IF($R$17="Distrato",$I$38-1,0)),IF(AND($L$37=0,$P$34=0),"",$L$37-1),IF($R$17="Distrato",$E388,0)),MIN(BA$38,$D$19),$P$20))-SUM($P388:AZ388)</f>
        <v>#VALUE!</v>
      </c>
      <c r="BB388" s="447"/>
      <c r="BF388" s="446">
        <f t="shared" si="65"/>
        <v>0</v>
      </c>
      <c r="BG388" s="446">
        <f>IF($E388=0,0,IF(MIN(BG$38,$E388)&lt;MAX($P$34*($B388+$I$38-1),IF(AND($L$37=0,$P$34=0),"",$L$37-1)),0,YEARFRAC(MAX($P$34*($B388+$I$38-1),IF(AND($L$37=0,$P$34=0),"",$L$37-1)),MIN(BG$38,$E388),$P$20))-SUM($BF388:BF388))</f>
        <v>0</v>
      </c>
      <c r="BH388" s="446">
        <f>IF($E388=0,0,IF(MIN(BH$38,$E388)&lt;MAX($P$34*($B388+$I$38-1),IF(AND($L$37=0,$P$34=0),"",$L$37-1)),0,YEARFRAC(MAX($P$34*($B388+$I$38-1),IF(AND($L$37=0,$P$34=0),"",$L$37-1)),MIN(BH$38,$E388),$P$20))-SUM($BF388:BG388))</f>
        <v>0</v>
      </c>
      <c r="BI388" s="446">
        <f>IF($E388=0,0,IF(MIN(BI$38,$E388)&lt;MAX($P$34*($B388+$I$38-1),IF(AND($L$37=0,$P$34=0),"",$L$37-1)),0,YEARFRAC(MAX($P$34*($B388+$I$38-1),IF(AND($L$37=0,$P$34=0),"",$L$37-1)),MIN(BI$38,$E388),$P$20))-SUM($BF388:BH388))</f>
        <v>0</v>
      </c>
      <c r="BJ388" s="446">
        <f>IF($E388=0,0,IF(MIN(BJ$38,$E388)&lt;MAX($P$34*($B388+$I$38-1),IF(AND($L$37=0,$P$34=0),"",$L$37-1)),0,YEARFRAC(MAX($P$34*($B388+$I$38-1),IF(AND($L$37=0,$P$34=0),"",$L$37-1)),MIN(BJ$38,$E388),$P$20))-SUM($BF388:BI388))</f>
        <v>0</v>
      </c>
      <c r="BK388" s="446">
        <f>IF($E388=0,0,IF(MIN(BK$38,$E388)&lt;MAX($P$34*($B388+$I$38-1),IF(AND($L$37=0,$P$34=0),"",$L$37-1)),0,YEARFRAC(MAX($P$34*($B388+$I$38-1),IF(AND($L$37=0,$P$34=0),"",$L$37-1)),MIN(BK$38,$E388),$P$20))-SUM($BF388:BJ388))</f>
        <v>0</v>
      </c>
      <c r="BL388" s="446">
        <f>IF($E388=0,0,IF(MIN(BL$38,$E388)&lt;MAX($P$34*($B388+$I$38-1),IF(AND($L$37=0,$P$34=0),"",$L$37-1)),0,YEARFRAC(MAX($P$34*($B388+$I$38-1),IF(AND($L$37=0,$P$34=0),"",$L$37-1)),MIN(BL$38,$E388),$P$20))-SUM($BF388:BK388))</f>
        <v>0</v>
      </c>
      <c r="BM388" s="446">
        <f>IF($E388=0,0,IF(MIN(BM$38,$E388)&lt;MAX($P$34*($B388+$I$38-1),IF(AND($L$37=0,$P$34=0),"",$L$37-1)),0,YEARFRAC(MAX($P$34*($B388+$I$38-1),IF(AND($L$37=0,$P$34=0),"",$L$37-1)),MIN(BM$38,$E388),$P$20))-SUM($BF388:BL388))</f>
        <v>0</v>
      </c>
      <c r="BN388" s="446">
        <f>IF($E388=0,0,IF(MIN(BN$38,$E388)&lt;MAX($P$34*($B388+$I$38-1),IF(AND($L$37=0,$P$34=0),"",$L$37-1)),0,YEARFRAC(MAX($P$34*($B388+$I$38-1),IF(AND($L$37=0,$P$34=0),"",$L$37-1)),MIN(BN$38,$E388),$P$20))-SUM($BF388:BM388))</f>
        <v>0</v>
      </c>
      <c r="BO388" s="446">
        <f>IF($E388=0,0,IF(MIN(BO$38,$E388)&lt;MAX($P$34*($B388+$I$38-1),IF(AND($L$37=0,$P$34=0),"",$L$37-1)),0,YEARFRAC(MAX($P$34*($B388+$I$38-1),IF(AND($L$37=0,$P$34=0),"",$L$37-1)),MIN(BO$38,$E388),$P$20))-SUM($BF388:BN388))</f>
        <v>0</v>
      </c>
      <c r="BP388" s="446">
        <f>IF($E388=0,0,IF(MIN(BP$38,$E388)&lt;MAX($P$34*($B388+$I$38-1),IF(AND($L$37=0,$P$34=0),"",$L$37-1)),0,YEARFRAC(MAX($P$34*($B388+$I$38-1),IF(AND($L$37=0,$P$34=0),"",$L$37-1)),MIN(BP$38,$E388),$P$20))-SUM($BF388:BO388))</f>
        <v>0</v>
      </c>
      <c r="BQ388" s="446">
        <f>IF($E388=0,0,IF(MIN(BQ$38,$E388)&lt;MAX($P$34*($B388+$I$38-1),IF(AND($L$37=0,$P$34=0),"",$L$37-1)),0,YEARFRAC(MAX($P$34*($B388+$I$38-1),IF(AND($L$37=0,$P$34=0),"",$L$37-1)),MIN(BQ$38,$E388),$P$20))-SUM($BF388:BP388))</f>
        <v>0</v>
      </c>
      <c r="BR388" s="446">
        <f>IF($E388=0,0,IF(MIN(BR$38,$E388)&lt;MAX($P$34*($B388+$I$38-1),IF(AND($L$37=0,$P$34=0),"",$L$37-1)),0,YEARFRAC(MAX($P$34*($B388+$I$38-1),IF(AND($L$37=0,$P$34=0),"",$L$37-1)),MIN(BR$38,$E388),$P$20))-SUM($BF388:BQ388))</f>
        <v>0</v>
      </c>
      <c r="BS388" s="446">
        <f>IF($E388=0,0,IF(MIN(BS$38,$E388)&lt;MAX($P$34*($B388+$I$38-1),IF(AND($L$37=0,$P$34=0),"",$L$37-1)),0,YEARFRAC(MAX($P$34*($B388+$I$38-1),IF(AND($L$37=0,$P$34=0),"",$L$37-1)),MIN(BS$38,$E388),$P$20))-SUM($BF388:BR388))</f>
        <v>0</v>
      </c>
      <c r="BT388" s="446">
        <f>IF($E388=0,0,IF(MIN(BT$38,$E388)&lt;MAX($P$34*($B388+$I$38-1),IF(AND($L$37=0,$P$34=0),"",$L$37-1)),0,YEARFRAC(MAX($P$34*($B388+$I$38-1),IF(AND($L$37=0,$P$34=0),"",$L$37-1)),MIN(BT$38,$E388),$P$20))-SUM($BF388:BS388))</f>
        <v>0</v>
      </c>
      <c r="BU388" s="446">
        <f>IF($E388=0,0,IF(MIN(BU$38,$E388)&lt;MAX($P$34*($B388+$I$38-1),IF(AND($L$37=0,$P$34=0),"",$L$37-1)),0,YEARFRAC(MAX($P$34*($B388+$I$38-1),IF(AND($L$37=0,$P$34=0),"",$L$37-1)),MIN(BU$38,$E388),$P$20))-SUM($BF388:BT388))</f>
        <v>0</v>
      </c>
      <c r="BV388" s="446">
        <f>IF($E388=0,0,IF(MIN(BV$38,$E388)&lt;MAX($P$34*($B388+$I$38-1),IF(AND($L$37=0,$P$34=0),"",$L$37-1)),0,YEARFRAC(MAX($P$34*($B388+$I$38-1),IF(AND($L$37=0,$P$34=0),"",$L$37-1)),MIN(BV$38,$E388),$P$20))-SUM($BF388:BU388))</f>
        <v>0</v>
      </c>
      <c r="BW388" s="446">
        <f>IF($E388=0,0,IF(MIN(BW$38,$E388)&lt;MAX($P$34*($B388+$I$38-1),IF(AND($L$37=0,$P$34=0),"",$L$37-1)),0,YEARFRAC(MAX($P$34*($B388+$I$38-1),IF(AND($L$37=0,$P$34=0),"",$L$37-1)),MIN(BW$38,$E388),$P$20))-SUM($BF388:BV388))</f>
        <v>0</v>
      </c>
      <c r="BX388" s="446">
        <f>IF($E388=0,0,IF(MIN(BX$38,$E388)&lt;MAX($P$34*($B388+$I$38-1),IF(AND($L$37=0,$P$34=0),"",$L$37-1)),0,YEARFRAC(MAX($P$34*($B388+$I$38-1),IF(AND($L$37=0,$P$34=0),"",$L$37-1)),MIN(BX$38,$E388),$P$20))-SUM($BF388:BW388))</f>
        <v>0</v>
      </c>
      <c r="BY388" s="446">
        <f>IF($E388=0,0,IF(MIN(BY$38,$E388)&lt;MAX($P$34*($B388+$I$38-1),IF(AND($L$37=0,$P$34=0),"",$L$37-1)),0,YEARFRAC(MAX($P$34*($B388+$I$38-1),IF(AND($L$37=0,$P$34=0),"",$L$37-1)),MIN(BY$38,$E388),$P$20))-SUM($BF388:BX388))</f>
        <v>0</v>
      </c>
      <c r="BZ388" s="446">
        <f>IF($E388=0,0,IF(MIN(BZ$38,$E388)&lt;MAX($P$34*($B388+$I$38-1),IF(AND($L$37=0,$P$34=0),"",$L$37-1)),0,YEARFRAC(MAX($P$34*($B388+$I$38-1),IF(AND($L$37=0,$P$34=0),"",$L$37-1)),MIN(BZ$38,$E388),$P$20))-SUM($BF388:BY388))</f>
        <v>0</v>
      </c>
      <c r="CA388" s="446">
        <f>IF($E388=0,0,IF(MIN(CA$38,$E388)&lt;MAX($P$34*($B388+$I$38-1),IF(AND($L$37=0,$P$34=0),"",$L$37-1)),0,YEARFRAC(MAX($P$34*($B388+$I$38-1),IF(AND($L$37=0,$P$34=0),"",$L$37-1)),MIN(CA$38,$E388),$P$20))-SUM($BF388:BZ388))</f>
        <v>0</v>
      </c>
      <c r="CB388" s="446">
        <f>IF($E388=0,0,IF(MIN(CB$38,$E388)&lt;MAX($P$34*($B388+$I$38-1),IF(AND($L$37=0,$P$34=0),"",$L$37-1)),0,YEARFRAC(MAX($P$34*($B388+$I$38-1),IF(AND($L$37=0,$P$34=0),"",$L$37-1)),MIN(CB$38,$E388),$P$20))-SUM($BF388:CA388))</f>
        <v>0</v>
      </c>
      <c r="CC388" s="446">
        <f>IF($E388=0,0,IF(MIN(CC$38,$E388)&lt;MAX($P$34*($B388+$I$38-1),IF(AND($L$37=0,$P$34=0),"",$L$37-1)),0,YEARFRAC(MAX($P$34*($B388+$I$38-1),IF(AND($L$37=0,$P$34=0),"",$L$37-1)),MIN(CC$38,$E388),$P$20))-SUM($BF388:CB388))</f>
        <v>0</v>
      </c>
      <c r="CD388" s="446">
        <f>IF($E388=0,0,IF(MIN(CD$38,$E388)&lt;MAX($P$34*($B388+$I$38-1),IF(AND($L$37=0,$P$34=0),"",$L$37-1)),0,YEARFRAC(MAX($P$34*($B388+$I$38-1),IF(AND($L$37=0,$P$34=0),"",$L$37-1)),MIN(CD$38,$E388),$P$20))-SUM($BF388:CC388))</f>
        <v>0</v>
      </c>
      <c r="CE388" s="446">
        <f>IF($E388=0,0,IF(MIN(CE$38,$E388)&lt;MAX($P$34*($B388+$I$38-1),IF(AND($L$37=0,$P$34=0),"",$L$37-1)),0,YEARFRAC(MAX($P$34*($B388+$I$38-1),IF(AND($L$37=0,$P$34=0),"",$L$37-1)),MIN(CE$38,$E388),$P$20))-SUM($BF388:CD388))</f>
        <v>0</v>
      </c>
      <c r="CF388" s="446">
        <f>IF($E388=0,0,IF(MIN(CF$38,$E388)&lt;MAX($P$34*($B388+$I$38-1),IF(AND($L$37=0,$P$34=0),"",$L$37-1)),0,YEARFRAC(MAX($P$34*($B388+$I$38-1),IF(AND($L$37=0,$P$34=0),"",$L$37-1)),MIN(CF$38,$E388),$P$20))-SUM($BF388:CE388))</f>
        <v>0</v>
      </c>
      <c r="CG388" s="446">
        <f>IF($E388=0,0,IF(MIN(CG$38,$E388)&lt;MAX($P$34*($B388+$I$38-1),IF(AND($L$37=0,$P$34=0),"",$L$37-1)),0,YEARFRAC(MAX($P$34*($B388+$I$38-1),IF(AND($L$37=0,$P$34=0),"",$L$37-1)),MIN(CG$38,$E388),$P$20))-SUM($BF388:CF388))</f>
        <v>0</v>
      </c>
      <c r="CH388" s="446">
        <f>IF($E388=0,0,IF(MIN(CH$38,$E388)&lt;MAX($P$34*($B388+$I$38-1),IF(AND($L$37=0,$P$34=0),"",$L$37-1)),0,YEARFRAC(MAX($P$34*($B388+$I$38-1),IF(AND($L$37=0,$P$34=0),"",$L$37-1)),MIN(CH$38,$E388),$P$20))-SUM($BF388:CG388))</f>
        <v>0</v>
      </c>
      <c r="CI388" s="446">
        <f>IF($E388=0,0,IF(MIN(CI$38,$E388)&lt;MAX($P$34*($B388+$I$38-1),IF(AND($L$37=0,$P$34=0),"",$L$37-1)),0,YEARFRAC(MAX($P$34*($B388+$I$38-1),IF(AND($L$37=0,$P$34=0),"",$L$37-1)),MIN(CI$38,$E388),$P$20))-SUM($BF388:CH388))</f>
        <v>0</v>
      </c>
      <c r="CJ388" s="446">
        <f>IF($E388=0,0,IF(MIN(CJ$38,$E388)&lt;MAX($P$34*($B388+$I$38-1),IF(AND($L$37=0,$P$34=0),"",$L$37-1)),0,YEARFRAC(MAX($P$34*($B388+$I$38-1),IF(AND($L$37=0,$P$34=0),"",$L$37-1)),MIN(CJ$38,$E388),$P$20))-SUM($BF388:CI388))</f>
        <v>0</v>
      </c>
      <c r="CK388" s="446">
        <f>IF($E388=0,0,IF(MIN(CK$38,$E388)&lt;MAX($P$34*($B388+$I$38-1),IF(AND($L$37=0,$P$34=0),"",$L$37-1)),0,YEARFRAC(MAX($P$34*($B388+$I$38-1),IF(AND($L$37=0,$P$34=0),"",$L$37-1)),MIN(CK$38,$E388),$P$20))-SUM($BF388:CJ388))</f>
        <v>0</v>
      </c>
      <c r="CL388" s="446">
        <f>IF($E388=0,0,IF(MIN(CL$38,$E388)&lt;MAX($P$34*($B388+$I$38-1),IF(AND($L$37=0,$P$34=0),"",$L$37-1)),0,YEARFRAC(MAX($P$34*($B388+$I$38-1),IF(AND($L$37=0,$P$34=0),"",$L$37-1)),MIN(CL$38,$E388),$P$20))-SUM($BF388:CK388))</f>
        <v>0</v>
      </c>
      <c r="CM388" s="446">
        <f>IF($E388=0,0,IF(MIN(CM$38,$E388)&lt;MAX($P$34*($B388+$I$38-1),IF(AND($L$37=0,$P$34=0),"",$L$37-1)),0,YEARFRAC(MAX($P$34*($B388+$I$38-1),IF(AND($L$37=0,$P$34=0),"",$L$37-1)),MIN(CM$38,$E388),$P$20))-SUM($BF388:CL388))</f>
        <v>0</v>
      </c>
      <c r="CN388" s="446">
        <f>IF($E388=0,0,IF(MIN(CN$38,$E388)&lt;MAX($P$34*($B388+$I$38-1),IF(AND($L$37=0,$P$34=0),"",$L$37-1)),0,YEARFRAC(MAX($P$34*($B388+$I$38-1),IF(AND($L$37=0,$P$34=0),"",$L$37-1)),MIN(CN$38,$E388),$P$20))-SUM($BF388:CM388))</f>
        <v>0</v>
      </c>
      <c r="CO388" s="446">
        <f>IF($E388=0,0,IF(MIN(CO$38,$E388)&lt;MAX($P$34*($B388+$I$38-1),IF(AND($L$37=0,$P$34=0),"",$L$37-1)),0,YEARFRAC(MAX($P$34*($B388+$I$38-1),IF(AND($L$37=0,$P$34=0),"",$L$37-1)),MIN(CO$38,$E388),$P$20))-SUM($BF388:CN388))</f>
        <v>0</v>
      </c>
      <c r="CP388" s="446">
        <f>IF($E388=0,0,IF(MIN(CP$38,$E388)&lt;MAX($P$34*($B388+$I$38-1),IF(AND($L$37=0,$P$34=0),"",$L$37-1)),0,YEARFRAC(MAX($P$34*($B388+$I$38-1),IF(AND($L$37=0,$P$34=0),"",$L$37-1)),MIN(CP$38,$E388),$P$20))-SUM($BF388:CO388))</f>
        <v>0</v>
      </c>
      <c r="CQ388" s="446">
        <f>IF($E388=0,0,IF(MIN(CQ$38,$E388)&lt;MAX($P$34*($B388+$I$38-1),IF(AND($L$37=0,$P$34=0),"",$L$37-1)),0,YEARFRAC(MAX($P$34*($B388+$I$38-1),IF(AND($L$37=0,$P$34=0),"",$L$37-1)),MIN(CQ$38,$E388),$P$20))-SUM($BF388:CP388))</f>
        <v>0</v>
      </c>
    </row>
    <row r="389" spans="1:95" s="446" customFormat="1" ht="11.25" hidden="1" customHeight="1" x14ac:dyDescent="0.2">
      <c r="A389" s="152"/>
      <c r="B389" s="153" t="str">
        <f t="shared" si="70"/>
        <v/>
      </c>
      <c r="C389" s="29" t="str">
        <f>IF(B389="","",IF($L$35="SELIC - TRIBUTOS",VLOOKUP(DATE(YEAR($D$19),MONTH($D$19)-1,1),ÍNDICES!$A:$DE,HLOOKUP($BL$25,ÍNDICES!$B$3:$T$4,2)+11)-VLOOKUP(B389,ÍNDICES!$A:$DE,HLOOKUP($BL$25,ÍNDICES!$B$3:$T$4,2)+11)+1%,IF(C$38=$W$26,$J$35,IF(ISERROR(IF(B389&gt;$D$19,1,VLOOKUP(DATE(YEAR(B389),MONTH(B389)+IF($C$35=$S$23,1,0),1),ÍNDICES!$A:$DE,$Z$35+1))),"",IF(B389&gt;$D$19,1,VLOOKUP(DATE(YEAR(B389),MONTH(B389)+IF($C$35=$S$23,1,0),1),ÍNDICES!$A:$DE,$Z$35+1))))))</f>
        <v/>
      </c>
      <c r="D389" s="154" t="str">
        <f>IF(ISERROR(IF(OR($D$38=$Y$27,$B389=""),"",VLOOKUP(B389,ÍNDICES!A:DE,AF$35+1))),"",IF(OR($D$38=$Y$27,$B389=""),"",VLOOKUP(B389,ÍNDICES!A:DE,AF$35+1)))</f>
        <v/>
      </c>
      <c r="E389" s="153"/>
      <c r="F389" s="29" t="str">
        <f>IF(E389="","",IF($L$35="SELIC - TRIBUTOS",VLOOKUP(DATE(YEAR($D$19),MONTH($D$19)-1,1),ÍNDICES!$A:$DE,HLOOKUP($BL$25,ÍNDICES!$B$3:$T$4,2)+11)-VLOOKUP(E389,ÍNDICES!$A:$DE,HLOOKUP($BL$25,ÍNDICES!$B$3:$T$4,2)+11)+1%,IF(F$38=$W$26,$J$35,IF(ISERROR(IF(E389&gt;$D$19,1,VLOOKUP(DATE(YEAR(E389),MONTH(E389)+IF($C$35=$S$23,1,0),1),ÍNDICES!$A:$DE,$Z$35+1))),"",IF(E389&gt;$D$19,1,VLOOKUP(DATE(YEAR(E389),MONTH(E389)+IF($C$35=$S$23,1,0),1),ÍNDICES!$A:$DE,$Z$35+1))))))</f>
        <v/>
      </c>
      <c r="G389" s="155"/>
      <c r="H389" s="156" t="str">
        <f t="shared" si="66"/>
        <v/>
      </c>
      <c r="I389" s="29" t="str">
        <f t="shared" si="60"/>
        <v/>
      </c>
      <c r="J389" s="5">
        <f t="shared" si="61"/>
        <v>0</v>
      </c>
      <c r="K389" s="20">
        <f t="shared" ca="1" si="62"/>
        <v>0</v>
      </c>
      <c r="L389" s="5">
        <f t="shared" ca="1" si="63"/>
        <v>0</v>
      </c>
      <c r="M389" s="64">
        <f t="shared" si="67"/>
        <v>0</v>
      </c>
      <c r="N389" s="61">
        <f t="shared" ca="1" si="68"/>
        <v>0</v>
      </c>
      <c r="O389" s="5">
        <f t="shared" ca="1" si="69"/>
        <v>0</v>
      </c>
      <c r="P389" s="446" t="e">
        <f t="shared" si="64"/>
        <v>#VALUE!</v>
      </c>
      <c r="Q389" s="446" t="e">
        <f>IF(OR($B389="",MIN(Q$38,$D$19)&lt;MAX($P$34*($B389+IF($R$17="Distrato",$I$38-1,0)),IF(AND($L$37=0,$P$34=0),"",$L$37-1),IF($R$17="Distrato",$E389,0))),0,YEARFRAC(MAX($P$34*($B389+IF($R$17="Distrato",$I$38-1,0)),IF(AND($L$37=0,$P$34=0),"",$L$37-1),IF($R$17="Distrato",$E389,0)),MIN(Q$38,$D$19),$P$20))-SUM($P389:P389)</f>
        <v>#VALUE!</v>
      </c>
      <c r="R389" s="446" t="e">
        <f>IF(OR($B389="",MIN(R$38,$D$19)&lt;MAX($P$34*($B389+IF($R$17="Distrato",$I$38-1,0)),IF(AND($L$37=0,$P$34=0),"",$L$37-1),IF($R$17="Distrato",$E389,0))),0,YEARFRAC(MAX($P$34*($B389+IF($R$17="Distrato",$I$38-1,0)),IF(AND($L$37=0,$P$34=0),"",$L$37-1),IF($R$17="Distrato",$E389,0)),MIN(R$38,$D$19),$P$20))-SUM($P389:Q389)</f>
        <v>#VALUE!</v>
      </c>
      <c r="S389" s="446" t="e">
        <f>IF(OR($B389="",MIN(S$38,$D$19)&lt;MAX($P$34*($B389+IF($R$17="Distrato",$I$38-1,0)),IF(AND($L$37=0,$P$34=0),"",$L$37-1),IF($R$17="Distrato",$E389,0))),0,YEARFRAC(MAX($P$34*($B389+IF($R$17="Distrato",$I$38-1,0)),IF(AND($L$37=0,$P$34=0),"",$L$37-1),IF($R$17="Distrato",$E389,0)),MIN(S$38,$D$19),$P$20))-SUM($P389:R389)</f>
        <v>#VALUE!</v>
      </c>
      <c r="T389" s="446" t="e">
        <f>IF(OR($B389="",MIN(T$38,$D$19)&lt;MAX($P$34*($B389+IF($R$17="Distrato",$I$38-1,0)),IF(AND($L$37=0,$P$34=0),"",$L$37-1),IF($R$17="Distrato",$E389,0))),0,YEARFRAC(MAX($P$34*($B389+IF($R$17="Distrato",$I$38-1,0)),IF(AND($L$37=0,$P$34=0),"",$L$37-1),IF($R$17="Distrato",$E389,0)),MIN(T$38,$D$19),$P$20))-SUM($P389:S389)</f>
        <v>#VALUE!</v>
      </c>
      <c r="U389" s="446" t="e">
        <f>IF(OR($B389="",MIN(U$38,$D$19)&lt;MAX($P$34*($B389+IF($R$17="Distrato",$I$38-1,0)),IF(AND($L$37=0,$P$34=0),"",$L$37-1),IF($R$17="Distrato",$E389,0))),0,YEARFRAC(MAX($P$34*($B389+IF($R$17="Distrato",$I$38-1,0)),IF(AND($L$37=0,$P$34=0),"",$L$37-1),IF($R$17="Distrato",$E389,0)),MIN(U$38,$D$19),$P$20))-SUM($P389:T389)</f>
        <v>#VALUE!</v>
      </c>
      <c r="V389" s="446" t="e">
        <f>IF(OR($B389="",MIN(V$38,$D$19)&lt;MAX($P$34*($B389+IF($R$17="Distrato",$I$38-1,0)),IF(AND($L$37=0,$P$34=0),"",$L$37-1),IF($R$17="Distrato",$E389,0))),0,YEARFRAC(MAX($P$34*($B389+IF($R$17="Distrato",$I$38-1,0)),IF(AND($L$37=0,$P$34=0),"",$L$37-1),IF($R$17="Distrato",$E389,0)),MIN(V$38,$D$19),$P$20))-SUM($P389:U389)</f>
        <v>#VALUE!</v>
      </c>
      <c r="W389" s="446" t="e">
        <f>IF(OR($B389="",MIN(W$38,$D$19)&lt;MAX($P$34*($B389+IF($R$17="Distrato",$I$38-1,0)),IF(AND($L$37=0,$P$34=0),"",$L$37-1),IF($R$17="Distrato",$E389,0))),0,YEARFRAC(MAX($P$34*($B389+IF($R$17="Distrato",$I$38-1,0)),IF(AND($L$37=0,$P$34=0),"",$L$37-1),IF($R$17="Distrato",$E389,0)),MIN(W$38,$D$19),$P$20))-SUM($P389:V389)</f>
        <v>#VALUE!</v>
      </c>
      <c r="X389" s="446" t="e">
        <f>IF(OR($B389="",MIN(X$38,$D$19)&lt;MAX($P$34*($B389+IF($R$17="Distrato",$I$38-1,0)),IF(AND($L$37=0,$P$34=0),"",$L$37-1),IF($R$17="Distrato",$E389,0))),0,YEARFRAC(MAX($P$34*($B389+IF($R$17="Distrato",$I$38-1,0)),IF(AND($L$37=0,$P$34=0),"",$L$37-1),IF($R$17="Distrato",$E389,0)),MIN(X$38,$D$19),$P$20))-SUM($P389:W389)</f>
        <v>#VALUE!</v>
      </c>
      <c r="Y389" s="446" t="e">
        <f>IF(OR($B389="",MIN(Y$38,$D$19)&lt;MAX($P$34*($B389+IF($R$17="Distrato",$I$38-1,0)),IF(AND($L$37=0,$P$34=0),"",$L$37-1),IF($R$17="Distrato",$E389,0))),0,YEARFRAC(MAX($P$34*($B389+IF($R$17="Distrato",$I$38-1,0)),IF(AND($L$37=0,$P$34=0),"",$L$37-1),IF($R$17="Distrato",$E389,0)),MIN(Y$38,$D$19),$P$20))-SUM($P389:X389)</f>
        <v>#VALUE!</v>
      </c>
      <c r="Z389" s="446" t="e">
        <f>IF(OR($B389="",MIN(Z$38,$D$19)&lt;MAX($P$34*($B389+IF($R$17="Distrato",$I$38-1,0)),IF(AND($L$37=0,$P$34=0),"",$L$37-1),IF($R$17="Distrato",$E389,0))),0,YEARFRAC(MAX($P$34*($B389+IF($R$17="Distrato",$I$38-1,0)),IF(AND($L$37=0,$P$34=0),"",$L$37-1),IF($R$17="Distrato",$E389,0)),MIN(Z$38,$D$19),$P$20))-SUM($P389:Y389)</f>
        <v>#VALUE!</v>
      </c>
      <c r="AA389" s="446" t="e">
        <f>IF(OR($B389="",MIN(AA$38,$D$19)&lt;MAX($P$34*($B389+IF($R$17="Distrato",$I$38-1,0)),IF(AND($L$37=0,$P$34=0),"",$L$37-1),IF($R$17="Distrato",$E389,0))),0,YEARFRAC(MAX($P$34*($B389+IF($R$17="Distrato",$I$38-1,0)),IF(AND($L$37=0,$P$34=0),"",$L$37-1),IF($R$17="Distrato",$E389,0)),MIN(AA$38,$D$19),$P$20))-SUM($P389:Z389)</f>
        <v>#VALUE!</v>
      </c>
      <c r="AB389" s="446" t="e">
        <f>IF(OR($B389="",MIN(AB$38,$D$19)&lt;MAX($P$34*($B389+IF($R$17="Distrato",$I$38-1,0)),IF(AND($L$37=0,$P$34=0),"",$L$37-1),IF($R$17="Distrato",$E389,0))),0,YEARFRAC(MAX($P$34*($B389+IF($R$17="Distrato",$I$38-1,0)),IF(AND($L$37=0,$P$34=0),"",$L$37-1),IF($R$17="Distrato",$E389,0)),MIN(AB$38,$D$19),$P$20))-SUM($P389:AA389)</f>
        <v>#VALUE!</v>
      </c>
      <c r="AC389" s="446" t="e">
        <f>IF(OR($B389="",MIN(AC$38,$D$19)&lt;MAX($P$34*($B389+IF($R$17="Distrato",$I$38-1,0)),IF(AND($L$37=0,$P$34=0),"",$L$37-1),IF($R$17="Distrato",$E389,0))),0,YEARFRAC(MAX($P$34*($B389+IF($R$17="Distrato",$I$38-1,0)),IF(AND($L$37=0,$P$34=0),"",$L$37-1),IF($R$17="Distrato",$E389,0)),MIN(AC$38,$D$19),$P$20))-SUM($P389:AB389)</f>
        <v>#VALUE!</v>
      </c>
      <c r="AD389" s="446" t="e">
        <f>IF(OR($B389="",MIN(AD$38,$D$19)&lt;MAX($P$34*($B389+IF($R$17="Distrato",$I$38-1,0)),IF(AND($L$37=0,$P$34=0),"",$L$37-1),IF($R$17="Distrato",$E389,0))),0,YEARFRAC(MAX($P$34*($B389+IF($R$17="Distrato",$I$38-1,0)),IF(AND($L$37=0,$P$34=0),"",$L$37-1),IF($R$17="Distrato",$E389,0)),MIN(AD$38,$D$19),$P$20))-SUM($P389:AC389)</f>
        <v>#VALUE!</v>
      </c>
      <c r="AE389" s="446" t="e">
        <f>IF(OR($B389="",MIN(AE$38,$D$19)&lt;MAX($P$34*($B389+IF($R$17="Distrato",$I$38-1,0)),IF(AND($L$37=0,$P$34=0),"",$L$37-1),IF($R$17="Distrato",$E389,0))),0,YEARFRAC(MAX($P$34*($B389+IF($R$17="Distrato",$I$38-1,0)),IF(AND($L$37=0,$P$34=0),"",$L$37-1),IF($R$17="Distrato",$E389,0)),MIN(AE$38,$D$19),$P$20))-SUM($P389:AD389)</f>
        <v>#VALUE!</v>
      </c>
      <c r="AF389" s="446" t="e">
        <f>IF(OR($B389="",MIN(AF$38,$D$19)&lt;MAX($P$34*($B389+IF($R$17="Distrato",$I$38-1,0)),IF(AND($L$37=0,$P$34=0),"",$L$37-1),IF($R$17="Distrato",$E389,0))),0,YEARFRAC(MAX($P$34*($B389+IF($R$17="Distrato",$I$38-1,0)),IF(AND($L$37=0,$P$34=0),"",$L$37-1),IF($R$17="Distrato",$E389,0)),MIN(AF$38,$D$19),$P$20))-SUM($P389:AE389)</f>
        <v>#VALUE!</v>
      </c>
      <c r="AG389" s="446" t="e">
        <f>IF(OR($B389="",MIN(AG$38,$D$19)&lt;MAX($P$34*($B389+IF($R$17="Distrato",$I$38-1,0)),IF(AND($L$37=0,$P$34=0),"",$L$37-1),IF($R$17="Distrato",$E389,0))),0,YEARFRAC(MAX($P$34*($B389+IF($R$17="Distrato",$I$38-1,0)),IF(AND($L$37=0,$P$34=0),"",$L$37-1),IF($R$17="Distrato",$E389,0)),MIN(AG$38,$D$19),$P$20))-SUM($P389:AF389)</f>
        <v>#VALUE!</v>
      </c>
      <c r="AH389" s="446" t="e">
        <f>IF(OR($B389="",MIN(AH$38,$D$19)&lt;MAX($P$34*($B389+IF($R$17="Distrato",$I$38-1,0)),IF(AND($L$37=0,$P$34=0),"",$L$37-1),IF($R$17="Distrato",$E389,0))),0,YEARFRAC(MAX($P$34*($B389+IF($R$17="Distrato",$I$38-1,0)),IF(AND($L$37=0,$P$34=0),"",$L$37-1),IF($R$17="Distrato",$E389,0)),MIN(AH$38,$D$19),$P$20))-SUM($P389:AG389)</f>
        <v>#VALUE!</v>
      </c>
      <c r="AI389" s="446" t="e">
        <f>IF(OR($B389="",MIN(AI$38,$D$19)&lt;MAX($P$34*($B389+IF($R$17="Distrato",$I$38-1,0)),IF(AND($L$37=0,$P$34=0),"",$L$37-1),IF($R$17="Distrato",$E389,0))),0,YEARFRAC(MAX($P$34*($B389+IF($R$17="Distrato",$I$38-1,0)),IF(AND($L$37=0,$P$34=0),"",$L$37-1),IF($R$17="Distrato",$E389,0)),MIN(AI$38,$D$19),$P$20))-SUM($P389:AH389)</f>
        <v>#VALUE!</v>
      </c>
      <c r="AJ389" s="446" t="e">
        <f>IF(OR($B389="",MIN(AJ$38,$D$19)&lt;MAX($P$34*($B389+IF($R$17="Distrato",$I$38-1,0)),IF(AND($L$37=0,$P$34=0),"",$L$37-1),IF($R$17="Distrato",$E389,0))),0,YEARFRAC(MAX($P$34*($B389+IF($R$17="Distrato",$I$38-1,0)),IF(AND($L$37=0,$P$34=0),"",$L$37-1),IF($R$17="Distrato",$E389,0)),MIN(AJ$38,$D$19),$P$20))-SUM($P389:AI389)</f>
        <v>#VALUE!</v>
      </c>
      <c r="AK389" s="446" t="e">
        <f>IF(OR($B389="",MIN(AK$38,$D$19)&lt;MAX($P$34*($B389+IF($R$17="Distrato",$I$38-1,0)),IF(AND($L$37=0,$P$34=0),"",$L$37-1),IF($R$17="Distrato",$E389,0))),0,YEARFRAC(MAX($P$34*($B389+IF($R$17="Distrato",$I$38-1,0)),IF(AND($L$37=0,$P$34=0),"",$L$37-1),IF($R$17="Distrato",$E389,0)),MIN(AK$38,$D$19),$P$20))-SUM($P389:AJ389)</f>
        <v>#VALUE!</v>
      </c>
      <c r="AL389" s="446" t="e">
        <f>IF(OR($B389="",MIN(AL$38,$D$19)&lt;MAX($P$34*($B389+IF($R$17="Distrato",$I$38-1,0)),IF(AND($L$37=0,$P$34=0),"",$L$37-1),IF($R$17="Distrato",$E389,0))),0,YEARFRAC(MAX($P$34*($B389+IF($R$17="Distrato",$I$38-1,0)),IF(AND($L$37=0,$P$34=0),"",$L$37-1),IF($R$17="Distrato",$E389,0)),MIN(AL$38,$D$19),$P$20))-SUM($P389:AK389)</f>
        <v>#VALUE!</v>
      </c>
      <c r="AM389" s="446" t="e">
        <f>IF(OR($B389="",MIN(AM$38,$D$19)&lt;MAX($P$34*($B389+IF($R$17="Distrato",$I$38-1,0)),IF(AND($L$37=0,$P$34=0),"",$L$37-1),IF($R$17="Distrato",$E389,0))),0,YEARFRAC(MAX($P$34*($B389+IF($R$17="Distrato",$I$38-1,0)),IF(AND($L$37=0,$P$34=0),"",$L$37-1),IF($R$17="Distrato",$E389,0)),MIN(AM$38,$D$19),$P$20))-SUM($P389:AL389)</f>
        <v>#VALUE!</v>
      </c>
      <c r="AN389" s="446" t="e">
        <f>IF(OR($B389="",MIN(AN$38,$D$19)&lt;MAX($P$34*($B389+IF($R$17="Distrato",$I$38-1,0)),IF(AND($L$37=0,$P$34=0),"",$L$37-1),IF($R$17="Distrato",$E389,0))),0,YEARFRAC(MAX($P$34*($B389+IF($R$17="Distrato",$I$38-1,0)),IF(AND($L$37=0,$P$34=0),"",$L$37-1),IF($R$17="Distrato",$E389,0)),MIN(AN$38,$D$19),$P$20))-SUM($P389:AM389)</f>
        <v>#VALUE!</v>
      </c>
      <c r="AO389" s="446" t="e">
        <f>IF(OR($B389="",MIN(AO$38,$D$19)&lt;MAX($P$34*($B389+IF($R$17="Distrato",$I$38-1,0)),IF(AND($L$37=0,$P$34=0),"",$L$37-1),IF($R$17="Distrato",$E389,0))),0,YEARFRAC(MAX($P$34*($B389+IF($R$17="Distrato",$I$38-1,0)),IF(AND($L$37=0,$P$34=0),"",$L$37-1),IF($R$17="Distrato",$E389,0)),MIN(AO$38,$D$19),$P$20))-SUM($P389:AN389)</f>
        <v>#VALUE!</v>
      </c>
      <c r="AP389" s="446" t="e">
        <f>IF(OR($B389="",MIN(AP$38,$D$19)&lt;MAX($P$34*($B389+IF($R$17="Distrato",$I$38-1,0)),IF(AND($L$37=0,$P$34=0),"",$L$37-1),IF($R$17="Distrato",$E389,0))),0,YEARFRAC(MAX($P$34*($B389+IF($R$17="Distrato",$I$38-1,0)),IF(AND($L$37=0,$P$34=0),"",$L$37-1),IF($R$17="Distrato",$E389,0)),MIN(AP$38,$D$19),$P$20))-SUM($P389:AO389)</f>
        <v>#VALUE!</v>
      </c>
      <c r="AQ389" s="446" t="e">
        <f>IF(OR($B389="",MIN(AQ$38,$D$19)&lt;MAX($P$34*($B389+IF($R$17="Distrato",$I$38-1,0)),IF(AND($L$37=0,$P$34=0),"",$L$37-1),IF($R$17="Distrato",$E389,0))),0,YEARFRAC(MAX($P$34*($B389+IF($R$17="Distrato",$I$38-1,0)),IF(AND($L$37=0,$P$34=0),"",$L$37-1),IF($R$17="Distrato",$E389,0)),MIN(AQ$38,$D$19),$P$20))-SUM($P389:AP389)</f>
        <v>#VALUE!</v>
      </c>
      <c r="AR389" s="446" t="e">
        <f>IF(OR($B389="",MIN(AR$38,$D$19)&lt;MAX($P$34*($B389+IF($R$17="Distrato",$I$38-1,0)),IF(AND($L$37=0,$P$34=0),"",$L$37-1),IF($R$17="Distrato",$E389,0))),0,YEARFRAC(MAX($P$34*($B389+IF($R$17="Distrato",$I$38-1,0)),IF(AND($L$37=0,$P$34=0),"",$L$37-1),IF($R$17="Distrato",$E389,0)),MIN(AR$38,$D$19),$P$20))-SUM($P389:AQ389)</f>
        <v>#VALUE!</v>
      </c>
      <c r="AS389" s="446" t="e">
        <f>IF(OR($B389="",MIN(AS$38,$D$19)&lt;MAX($P$34*($B389+IF($R$17="Distrato",$I$38-1,0)),IF(AND($L$37=0,$P$34=0),"",$L$37-1),IF($R$17="Distrato",$E389,0))),0,YEARFRAC(MAX($P$34*($B389+IF($R$17="Distrato",$I$38-1,0)),IF(AND($L$37=0,$P$34=0),"",$L$37-1),IF($R$17="Distrato",$E389,0)),MIN(AS$38,$D$19),$P$20))-SUM($P389:AR389)</f>
        <v>#VALUE!</v>
      </c>
      <c r="AT389" s="446" t="e">
        <f>IF(OR($B389="",MIN(AT$38,$D$19)&lt;MAX($P$34*($B389+IF($R$17="Distrato",$I$38-1,0)),IF(AND($L$37=0,$P$34=0),"",$L$37-1),IF($R$17="Distrato",$E389,0))),0,YEARFRAC(MAX($P$34*($B389+IF($R$17="Distrato",$I$38-1,0)),IF(AND($L$37=0,$P$34=0),"",$L$37-1),IF($R$17="Distrato",$E389,0)),MIN(AT$38,$D$19),$P$20))-SUM($P389:AS389)</f>
        <v>#VALUE!</v>
      </c>
      <c r="AU389" s="446" t="e">
        <f>IF(OR($B389="",MIN(AU$38,$D$19)&lt;MAX($P$34*($B389+IF($R$17="Distrato",$I$38-1,0)),IF(AND($L$37=0,$P$34=0),"",$L$37-1),IF($R$17="Distrato",$E389,0))),0,YEARFRAC(MAX($P$34*($B389+IF($R$17="Distrato",$I$38-1,0)),IF(AND($L$37=0,$P$34=0),"",$L$37-1),IF($R$17="Distrato",$E389,0)),MIN(AU$38,$D$19),$P$20))-SUM($P389:AT389)</f>
        <v>#VALUE!</v>
      </c>
      <c r="AV389" s="446" t="e">
        <f>IF(OR($B389="",MIN(AV$38,$D$19)&lt;MAX($P$34*($B389+IF($R$17="Distrato",$I$38-1,0)),IF(AND($L$37=0,$P$34=0),"",$L$37-1),IF($R$17="Distrato",$E389,0))),0,YEARFRAC(MAX($P$34*($B389+IF($R$17="Distrato",$I$38-1,0)),IF(AND($L$37=0,$P$34=0),"",$L$37-1),IF($R$17="Distrato",$E389,0)),MIN(AV$38,$D$19),$P$20))-SUM($P389:AU389)</f>
        <v>#VALUE!</v>
      </c>
      <c r="AW389" s="446" t="e">
        <f>IF(OR($B389="",MIN(AW$38,$D$19)&lt;MAX($P$34*($B389+IF($R$17="Distrato",$I$38-1,0)),IF(AND($L$37=0,$P$34=0),"",$L$37-1),IF($R$17="Distrato",$E389,0))),0,YEARFRAC(MAX($P$34*($B389+IF($R$17="Distrato",$I$38-1,0)),IF(AND($L$37=0,$P$34=0),"",$L$37-1),IF($R$17="Distrato",$E389,0)),MIN(AW$38,$D$19),$P$20))-SUM($P389:AV389)</f>
        <v>#VALUE!</v>
      </c>
      <c r="AX389" s="446" t="e">
        <f>IF(OR($B389="",MIN(AX$38,$D$19)&lt;MAX($P$34*($B389+IF($R$17="Distrato",$I$38-1,0)),IF(AND($L$37=0,$P$34=0),"",$L$37-1),IF($R$17="Distrato",$E389,0))),0,YEARFRAC(MAX($P$34*($B389+IF($R$17="Distrato",$I$38-1,0)),IF(AND($L$37=0,$P$34=0),"",$L$37-1),IF($R$17="Distrato",$E389,0)),MIN(AX$38,$D$19),$P$20))-SUM($P389:AW389)</f>
        <v>#VALUE!</v>
      </c>
      <c r="AY389" s="446" t="e">
        <f>IF(OR($B389="",MIN(AY$38,$D$19)&lt;MAX($P$34*($B389+IF($R$17="Distrato",$I$38-1,0)),IF(AND($L$37=0,$P$34=0),"",$L$37-1),IF($R$17="Distrato",$E389,0))),0,YEARFRAC(MAX($P$34*($B389+IF($R$17="Distrato",$I$38-1,0)),IF(AND($L$37=0,$P$34=0),"",$L$37-1),IF($R$17="Distrato",$E389,0)),MIN(AY$38,$D$19),$P$20))-SUM($P389:AX389)</f>
        <v>#VALUE!</v>
      </c>
      <c r="AZ389" s="446" t="e">
        <f>IF(OR($B389="",MIN(AZ$38,$D$19)&lt;MAX($P$34*($B389+IF($R$17="Distrato",$I$38-1,0)),IF(AND($L$37=0,$P$34=0),"",$L$37-1),IF($R$17="Distrato",$E389,0))),0,YEARFRAC(MAX($P$34*($B389+IF($R$17="Distrato",$I$38-1,0)),IF(AND($L$37=0,$P$34=0),"",$L$37-1),IF($R$17="Distrato",$E389,0)),MIN(AZ$38,$D$19),$P$20))-SUM($P389:AY389)</f>
        <v>#VALUE!</v>
      </c>
      <c r="BA389" s="446" t="e">
        <f>IF(OR($B389="",MIN(BA$38,$D$19)&lt;MAX($P$34*($B389+IF($R$17="Distrato",$I$38-1,0)),IF(AND($L$37=0,$P$34=0),"",$L$37-1),IF($R$17="Distrato",$E389,0))),0,YEARFRAC(MAX($P$34*($B389+IF($R$17="Distrato",$I$38-1,0)),IF(AND($L$37=0,$P$34=0),"",$L$37-1),IF($R$17="Distrato",$E389,0)),MIN(BA$38,$D$19),$P$20))-SUM($P389:AZ389)</f>
        <v>#VALUE!</v>
      </c>
      <c r="BB389" s="447"/>
      <c r="BF389" s="446">
        <f t="shared" si="65"/>
        <v>0</v>
      </c>
      <c r="BG389" s="446">
        <f>IF($E389=0,0,IF(MIN(BG$38,$E389)&lt;MAX($P$34*($B389+$I$38-1),IF(AND($L$37=0,$P$34=0),"",$L$37-1)),0,YEARFRAC(MAX($P$34*($B389+$I$38-1),IF(AND($L$37=0,$P$34=0),"",$L$37-1)),MIN(BG$38,$E389),$P$20))-SUM($BF389:BF389))</f>
        <v>0</v>
      </c>
      <c r="BH389" s="446">
        <f>IF($E389=0,0,IF(MIN(BH$38,$E389)&lt;MAX($P$34*($B389+$I$38-1),IF(AND($L$37=0,$P$34=0),"",$L$37-1)),0,YEARFRAC(MAX($P$34*($B389+$I$38-1),IF(AND($L$37=0,$P$34=0),"",$L$37-1)),MIN(BH$38,$E389),$P$20))-SUM($BF389:BG389))</f>
        <v>0</v>
      </c>
      <c r="BI389" s="446">
        <f>IF($E389=0,0,IF(MIN(BI$38,$E389)&lt;MAX($P$34*($B389+$I$38-1),IF(AND($L$37=0,$P$34=0),"",$L$37-1)),0,YEARFRAC(MAX($P$34*($B389+$I$38-1),IF(AND($L$37=0,$P$34=0),"",$L$37-1)),MIN(BI$38,$E389),$P$20))-SUM($BF389:BH389))</f>
        <v>0</v>
      </c>
      <c r="BJ389" s="446">
        <f>IF($E389=0,0,IF(MIN(BJ$38,$E389)&lt;MAX($P$34*($B389+$I$38-1),IF(AND($L$37=0,$P$34=0),"",$L$37-1)),0,YEARFRAC(MAX($P$34*($B389+$I$38-1),IF(AND($L$37=0,$P$34=0),"",$L$37-1)),MIN(BJ$38,$E389),$P$20))-SUM($BF389:BI389))</f>
        <v>0</v>
      </c>
      <c r="BK389" s="446">
        <f>IF($E389=0,0,IF(MIN(BK$38,$E389)&lt;MAX($P$34*($B389+$I$38-1),IF(AND($L$37=0,$P$34=0),"",$L$37-1)),0,YEARFRAC(MAX($P$34*($B389+$I$38-1),IF(AND($L$37=0,$P$34=0),"",$L$37-1)),MIN(BK$38,$E389),$P$20))-SUM($BF389:BJ389))</f>
        <v>0</v>
      </c>
      <c r="BL389" s="446">
        <f>IF($E389=0,0,IF(MIN(BL$38,$E389)&lt;MAX($P$34*($B389+$I$38-1),IF(AND($L$37=0,$P$34=0),"",$L$37-1)),0,YEARFRAC(MAX($P$34*($B389+$I$38-1),IF(AND($L$37=0,$P$34=0),"",$L$37-1)),MIN(BL$38,$E389),$P$20))-SUM($BF389:BK389))</f>
        <v>0</v>
      </c>
      <c r="BM389" s="446">
        <f>IF($E389=0,0,IF(MIN(BM$38,$E389)&lt;MAX($P$34*($B389+$I$38-1),IF(AND($L$37=0,$P$34=0),"",$L$37-1)),0,YEARFRAC(MAX($P$34*($B389+$I$38-1),IF(AND($L$37=0,$P$34=0),"",$L$37-1)),MIN(BM$38,$E389),$P$20))-SUM($BF389:BL389))</f>
        <v>0</v>
      </c>
      <c r="BN389" s="446">
        <f>IF($E389=0,0,IF(MIN(BN$38,$E389)&lt;MAX($P$34*($B389+$I$38-1),IF(AND($L$37=0,$P$34=0),"",$L$37-1)),0,YEARFRAC(MAX($P$34*($B389+$I$38-1),IF(AND($L$37=0,$P$34=0),"",$L$37-1)),MIN(BN$38,$E389),$P$20))-SUM($BF389:BM389))</f>
        <v>0</v>
      </c>
      <c r="BO389" s="446">
        <f>IF($E389=0,0,IF(MIN(BO$38,$E389)&lt;MAX($P$34*($B389+$I$38-1),IF(AND($L$37=0,$P$34=0),"",$L$37-1)),0,YEARFRAC(MAX($P$34*($B389+$I$38-1),IF(AND($L$37=0,$P$34=0),"",$L$37-1)),MIN(BO$38,$E389),$P$20))-SUM($BF389:BN389))</f>
        <v>0</v>
      </c>
      <c r="BP389" s="446">
        <f>IF($E389=0,0,IF(MIN(BP$38,$E389)&lt;MAX($P$34*($B389+$I$38-1),IF(AND($L$37=0,$P$34=0),"",$L$37-1)),0,YEARFRAC(MAX($P$34*($B389+$I$38-1),IF(AND($L$37=0,$P$34=0),"",$L$37-1)),MIN(BP$38,$E389),$P$20))-SUM($BF389:BO389))</f>
        <v>0</v>
      </c>
      <c r="BQ389" s="446">
        <f>IF($E389=0,0,IF(MIN(BQ$38,$E389)&lt;MAX($P$34*($B389+$I$38-1),IF(AND($L$37=0,$P$34=0),"",$L$37-1)),0,YEARFRAC(MAX($P$34*($B389+$I$38-1),IF(AND($L$37=0,$P$34=0),"",$L$37-1)),MIN(BQ$38,$E389),$P$20))-SUM($BF389:BP389))</f>
        <v>0</v>
      </c>
      <c r="BR389" s="446">
        <f>IF($E389=0,0,IF(MIN(BR$38,$E389)&lt;MAX($P$34*($B389+$I$38-1),IF(AND($L$37=0,$P$34=0),"",$L$37-1)),0,YEARFRAC(MAX($P$34*($B389+$I$38-1),IF(AND($L$37=0,$P$34=0),"",$L$37-1)),MIN(BR$38,$E389),$P$20))-SUM($BF389:BQ389))</f>
        <v>0</v>
      </c>
      <c r="BS389" s="446">
        <f>IF($E389=0,0,IF(MIN(BS$38,$E389)&lt;MAX($P$34*($B389+$I$38-1),IF(AND($L$37=0,$P$34=0),"",$L$37-1)),0,YEARFRAC(MAX($P$34*($B389+$I$38-1),IF(AND($L$37=0,$P$34=0),"",$L$37-1)),MIN(BS$38,$E389),$P$20))-SUM($BF389:BR389))</f>
        <v>0</v>
      </c>
      <c r="BT389" s="446">
        <f>IF($E389=0,0,IF(MIN(BT$38,$E389)&lt;MAX($P$34*($B389+$I$38-1),IF(AND($L$37=0,$P$34=0),"",$L$37-1)),0,YEARFRAC(MAX($P$34*($B389+$I$38-1),IF(AND($L$37=0,$P$34=0),"",$L$37-1)),MIN(BT$38,$E389),$P$20))-SUM($BF389:BS389))</f>
        <v>0</v>
      </c>
      <c r="BU389" s="446">
        <f>IF($E389=0,0,IF(MIN(BU$38,$E389)&lt;MAX($P$34*($B389+$I$38-1),IF(AND($L$37=0,$P$34=0),"",$L$37-1)),0,YEARFRAC(MAX($P$34*($B389+$I$38-1),IF(AND($L$37=0,$P$34=0),"",$L$37-1)),MIN(BU$38,$E389),$P$20))-SUM($BF389:BT389))</f>
        <v>0</v>
      </c>
      <c r="BV389" s="446">
        <f>IF($E389=0,0,IF(MIN(BV$38,$E389)&lt;MAX($P$34*($B389+$I$38-1),IF(AND($L$37=0,$P$34=0),"",$L$37-1)),0,YEARFRAC(MAX($P$34*($B389+$I$38-1),IF(AND($L$37=0,$P$34=0),"",$L$37-1)),MIN(BV$38,$E389),$P$20))-SUM($BF389:BU389))</f>
        <v>0</v>
      </c>
      <c r="BW389" s="446">
        <f>IF($E389=0,0,IF(MIN(BW$38,$E389)&lt;MAX($P$34*($B389+$I$38-1),IF(AND($L$37=0,$P$34=0),"",$L$37-1)),0,YEARFRAC(MAX($P$34*($B389+$I$38-1),IF(AND($L$37=0,$P$34=0),"",$L$37-1)),MIN(BW$38,$E389),$P$20))-SUM($BF389:BV389))</f>
        <v>0</v>
      </c>
      <c r="BX389" s="446">
        <f>IF($E389=0,0,IF(MIN(BX$38,$E389)&lt;MAX($P$34*($B389+$I$38-1),IF(AND($L$37=0,$P$34=0),"",$L$37-1)),0,YEARFRAC(MAX($P$34*($B389+$I$38-1),IF(AND($L$37=0,$P$34=0),"",$L$37-1)),MIN(BX$38,$E389),$P$20))-SUM($BF389:BW389))</f>
        <v>0</v>
      </c>
      <c r="BY389" s="446">
        <f>IF($E389=0,0,IF(MIN(BY$38,$E389)&lt;MAX($P$34*($B389+$I$38-1),IF(AND($L$37=0,$P$34=0),"",$L$37-1)),0,YEARFRAC(MAX($P$34*($B389+$I$38-1),IF(AND($L$37=0,$P$34=0),"",$L$37-1)),MIN(BY$38,$E389),$P$20))-SUM($BF389:BX389))</f>
        <v>0</v>
      </c>
      <c r="BZ389" s="446">
        <f>IF($E389=0,0,IF(MIN(BZ$38,$E389)&lt;MAX($P$34*($B389+$I$38-1),IF(AND($L$37=0,$P$34=0),"",$L$37-1)),0,YEARFRAC(MAX($P$34*($B389+$I$38-1),IF(AND($L$37=0,$P$34=0),"",$L$37-1)),MIN(BZ$38,$E389),$P$20))-SUM($BF389:BY389))</f>
        <v>0</v>
      </c>
      <c r="CA389" s="446">
        <f>IF($E389=0,0,IF(MIN(CA$38,$E389)&lt;MAX($P$34*($B389+$I$38-1),IF(AND($L$37=0,$P$34=0),"",$L$37-1)),0,YEARFRAC(MAX($P$34*($B389+$I$38-1),IF(AND($L$37=0,$P$34=0),"",$L$37-1)),MIN(CA$38,$E389),$P$20))-SUM($BF389:BZ389))</f>
        <v>0</v>
      </c>
      <c r="CB389" s="446">
        <f>IF($E389=0,0,IF(MIN(CB$38,$E389)&lt;MAX($P$34*($B389+$I$38-1),IF(AND($L$37=0,$P$34=0),"",$L$37-1)),0,YEARFRAC(MAX($P$34*($B389+$I$38-1),IF(AND($L$37=0,$P$34=0),"",$L$37-1)),MIN(CB$38,$E389),$P$20))-SUM($BF389:CA389))</f>
        <v>0</v>
      </c>
      <c r="CC389" s="446">
        <f>IF($E389=0,0,IF(MIN(CC$38,$E389)&lt;MAX($P$34*($B389+$I$38-1),IF(AND($L$37=0,$P$34=0),"",$L$37-1)),0,YEARFRAC(MAX($P$34*($B389+$I$38-1),IF(AND($L$37=0,$P$34=0),"",$L$37-1)),MIN(CC$38,$E389),$P$20))-SUM($BF389:CB389))</f>
        <v>0</v>
      </c>
      <c r="CD389" s="446">
        <f>IF($E389=0,0,IF(MIN(CD$38,$E389)&lt;MAX($P$34*($B389+$I$38-1),IF(AND($L$37=0,$P$34=0),"",$L$37-1)),0,YEARFRAC(MAX($P$34*($B389+$I$38-1),IF(AND($L$37=0,$P$34=0),"",$L$37-1)),MIN(CD$38,$E389),$P$20))-SUM($BF389:CC389))</f>
        <v>0</v>
      </c>
      <c r="CE389" s="446">
        <f>IF($E389=0,0,IF(MIN(CE$38,$E389)&lt;MAX($P$34*($B389+$I$38-1),IF(AND($L$37=0,$P$34=0),"",$L$37-1)),0,YEARFRAC(MAX($P$34*($B389+$I$38-1),IF(AND($L$37=0,$P$34=0),"",$L$37-1)),MIN(CE$38,$E389),$P$20))-SUM($BF389:CD389))</f>
        <v>0</v>
      </c>
      <c r="CF389" s="446">
        <f>IF($E389=0,0,IF(MIN(CF$38,$E389)&lt;MAX($P$34*($B389+$I$38-1),IF(AND($L$37=0,$P$34=0),"",$L$37-1)),0,YEARFRAC(MAX($P$34*($B389+$I$38-1),IF(AND($L$37=0,$P$34=0),"",$L$37-1)),MIN(CF$38,$E389),$P$20))-SUM($BF389:CE389))</f>
        <v>0</v>
      </c>
      <c r="CG389" s="446">
        <f>IF($E389=0,0,IF(MIN(CG$38,$E389)&lt;MAX($P$34*($B389+$I$38-1),IF(AND($L$37=0,$P$34=0),"",$L$37-1)),0,YEARFRAC(MAX($P$34*($B389+$I$38-1),IF(AND($L$37=0,$P$34=0),"",$L$37-1)),MIN(CG$38,$E389),$P$20))-SUM($BF389:CF389))</f>
        <v>0</v>
      </c>
      <c r="CH389" s="446">
        <f>IF($E389=0,0,IF(MIN(CH$38,$E389)&lt;MAX($P$34*($B389+$I$38-1),IF(AND($L$37=0,$P$34=0),"",$L$37-1)),0,YEARFRAC(MAX($P$34*($B389+$I$38-1),IF(AND($L$37=0,$P$34=0),"",$L$37-1)),MIN(CH$38,$E389),$P$20))-SUM($BF389:CG389))</f>
        <v>0</v>
      </c>
      <c r="CI389" s="446">
        <f>IF($E389=0,0,IF(MIN(CI$38,$E389)&lt;MAX($P$34*($B389+$I$38-1),IF(AND($L$37=0,$P$34=0),"",$L$37-1)),0,YEARFRAC(MAX($P$34*($B389+$I$38-1),IF(AND($L$37=0,$P$34=0),"",$L$37-1)),MIN(CI$38,$E389),$P$20))-SUM($BF389:CH389))</f>
        <v>0</v>
      </c>
      <c r="CJ389" s="446">
        <f>IF($E389=0,0,IF(MIN(CJ$38,$E389)&lt;MAX($P$34*($B389+$I$38-1),IF(AND($L$37=0,$P$34=0),"",$L$37-1)),0,YEARFRAC(MAX($P$34*($B389+$I$38-1),IF(AND($L$37=0,$P$34=0),"",$L$37-1)),MIN(CJ$38,$E389),$P$20))-SUM($BF389:CI389))</f>
        <v>0</v>
      </c>
      <c r="CK389" s="446">
        <f>IF($E389=0,0,IF(MIN(CK$38,$E389)&lt;MAX($P$34*($B389+$I$38-1),IF(AND($L$37=0,$P$34=0),"",$L$37-1)),0,YEARFRAC(MAX($P$34*($B389+$I$38-1),IF(AND($L$37=0,$P$34=0),"",$L$37-1)),MIN(CK$38,$E389),$P$20))-SUM($BF389:CJ389))</f>
        <v>0</v>
      </c>
      <c r="CL389" s="446">
        <f>IF($E389=0,0,IF(MIN(CL$38,$E389)&lt;MAX($P$34*($B389+$I$38-1),IF(AND($L$37=0,$P$34=0),"",$L$37-1)),0,YEARFRAC(MAX($P$34*($B389+$I$38-1),IF(AND($L$37=0,$P$34=0),"",$L$37-1)),MIN(CL$38,$E389),$P$20))-SUM($BF389:CK389))</f>
        <v>0</v>
      </c>
      <c r="CM389" s="446">
        <f>IF($E389=0,0,IF(MIN(CM$38,$E389)&lt;MAX($P$34*($B389+$I$38-1),IF(AND($L$37=0,$P$34=0),"",$L$37-1)),0,YEARFRAC(MAX($P$34*($B389+$I$38-1),IF(AND($L$37=0,$P$34=0),"",$L$37-1)),MIN(CM$38,$E389),$P$20))-SUM($BF389:CL389))</f>
        <v>0</v>
      </c>
      <c r="CN389" s="446">
        <f>IF($E389=0,0,IF(MIN(CN$38,$E389)&lt;MAX($P$34*($B389+$I$38-1),IF(AND($L$37=0,$P$34=0),"",$L$37-1)),0,YEARFRAC(MAX($P$34*($B389+$I$38-1),IF(AND($L$37=0,$P$34=0),"",$L$37-1)),MIN(CN$38,$E389),$P$20))-SUM($BF389:CM389))</f>
        <v>0</v>
      </c>
      <c r="CO389" s="446">
        <f>IF($E389=0,0,IF(MIN(CO$38,$E389)&lt;MAX($P$34*($B389+$I$38-1),IF(AND($L$37=0,$P$34=0),"",$L$37-1)),0,YEARFRAC(MAX($P$34*($B389+$I$38-1),IF(AND($L$37=0,$P$34=0),"",$L$37-1)),MIN(CO$38,$E389),$P$20))-SUM($BF389:CN389))</f>
        <v>0</v>
      </c>
      <c r="CP389" s="446">
        <f>IF($E389=0,0,IF(MIN(CP$38,$E389)&lt;MAX($P$34*($B389+$I$38-1),IF(AND($L$37=0,$P$34=0),"",$L$37-1)),0,YEARFRAC(MAX($P$34*($B389+$I$38-1),IF(AND($L$37=0,$P$34=0),"",$L$37-1)),MIN(CP$38,$E389),$P$20))-SUM($BF389:CO389))</f>
        <v>0</v>
      </c>
      <c r="CQ389" s="446">
        <f>IF($E389=0,0,IF(MIN(CQ$38,$E389)&lt;MAX($P$34*($B389+$I$38-1),IF(AND($L$37=0,$P$34=0),"",$L$37-1)),0,YEARFRAC(MAX($P$34*($B389+$I$38-1),IF(AND($L$37=0,$P$34=0),"",$L$37-1)),MIN(CQ$38,$E389),$P$20))-SUM($BF389:CP389))</f>
        <v>0</v>
      </c>
    </row>
    <row r="390" spans="1:95" s="446" customFormat="1" ht="11.25" hidden="1" customHeight="1" x14ac:dyDescent="0.2">
      <c r="A390" s="152"/>
      <c r="B390" s="153" t="str">
        <f t="shared" si="70"/>
        <v/>
      </c>
      <c r="C390" s="29" t="str">
        <f>IF(B390="","",IF($L$35="SELIC - TRIBUTOS",VLOOKUP(DATE(YEAR($D$19),MONTH($D$19)-1,1),ÍNDICES!$A:$DE,HLOOKUP($BL$25,ÍNDICES!$B$3:$T$4,2)+11)-VLOOKUP(B390,ÍNDICES!$A:$DE,HLOOKUP($BL$25,ÍNDICES!$B$3:$T$4,2)+11)+1%,IF(C$38=$W$26,$J$35,IF(ISERROR(IF(B390&gt;$D$19,1,VLOOKUP(DATE(YEAR(B390),MONTH(B390)+IF($C$35=$S$23,1,0),1),ÍNDICES!$A:$DE,$Z$35+1))),"",IF(B390&gt;$D$19,1,VLOOKUP(DATE(YEAR(B390),MONTH(B390)+IF($C$35=$S$23,1,0),1),ÍNDICES!$A:$DE,$Z$35+1))))))</f>
        <v/>
      </c>
      <c r="D390" s="154" t="str">
        <f>IF(ISERROR(IF(OR($D$38=$Y$27,$B390=""),"",VLOOKUP(B390,ÍNDICES!A:DE,AF$35+1))),"",IF(OR($D$38=$Y$27,$B390=""),"",VLOOKUP(B390,ÍNDICES!A:DE,AF$35+1)))</f>
        <v/>
      </c>
      <c r="E390" s="153"/>
      <c r="F390" s="29" t="str">
        <f>IF(E390="","",IF($L$35="SELIC - TRIBUTOS",VLOOKUP(DATE(YEAR($D$19),MONTH($D$19)-1,1),ÍNDICES!$A:$DE,HLOOKUP($BL$25,ÍNDICES!$B$3:$T$4,2)+11)-VLOOKUP(E390,ÍNDICES!$A:$DE,HLOOKUP($BL$25,ÍNDICES!$B$3:$T$4,2)+11)+1%,IF(F$38=$W$26,$J$35,IF(ISERROR(IF(E390&gt;$D$19,1,VLOOKUP(DATE(YEAR(E390),MONTH(E390)+IF($C$35=$S$23,1,0),1),ÍNDICES!$A:$DE,$Z$35+1))),"",IF(E390&gt;$D$19,1,VLOOKUP(DATE(YEAR(E390),MONTH(E390)+IF($C$35=$S$23,1,0),1),ÍNDICES!$A:$DE,$Z$35+1))))))</f>
        <v/>
      </c>
      <c r="G390" s="155"/>
      <c r="H390" s="156" t="str">
        <f t="shared" si="66"/>
        <v/>
      </c>
      <c r="I390" s="29" t="str">
        <f t="shared" si="60"/>
        <v/>
      </c>
      <c r="J390" s="5">
        <f t="shared" si="61"/>
        <v>0</v>
      </c>
      <c r="K390" s="20">
        <f t="shared" ca="1" si="62"/>
        <v>0</v>
      </c>
      <c r="L390" s="5">
        <f t="shared" ca="1" si="63"/>
        <v>0</v>
      </c>
      <c r="M390" s="64">
        <f t="shared" si="67"/>
        <v>0</v>
      </c>
      <c r="N390" s="61">
        <f t="shared" ca="1" si="68"/>
        <v>0</v>
      </c>
      <c r="O390" s="5">
        <f t="shared" ca="1" si="69"/>
        <v>0</v>
      </c>
      <c r="P390" s="446" t="e">
        <f t="shared" si="64"/>
        <v>#VALUE!</v>
      </c>
      <c r="Q390" s="446" t="e">
        <f>IF(OR($B390="",MIN(Q$38,$D$19)&lt;MAX($P$34*($B390+IF($R$17="Distrato",$I$38-1,0)),IF(AND($L$37=0,$P$34=0),"",$L$37-1),IF($R$17="Distrato",$E390,0))),0,YEARFRAC(MAX($P$34*($B390+IF($R$17="Distrato",$I$38-1,0)),IF(AND($L$37=0,$P$34=0),"",$L$37-1),IF($R$17="Distrato",$E390,0)),MIN(Q$38,$D$19),$P$20))-SUM($P390:P390)</f>
        <v>#VALUE!</v>
      </c>
      <c r="R390" s="446" t="e">
        <f>IF(OR($B390="",MIN(R$38,$D$19)&lt;MAX($P$34*($B390+IF($R$17="Distrato",$I$38-1,0)),IF(AND($L$37=0,$P$34=0),"",$L$37-1),IF($R$17="Distrato",$E390,0))),0,YEARFRAC(MAX($P$34*($B390+IF($R$17="Distrato",$I$38-1,0)),IF(AND($L$37=0,$P$34=0),"",$L$37-1),IF($R$17="Distrato",$E390,0)),MIN(R$38,$D$19),$P$20))-SUM($P390:Q390)</f>
        <v>#VALUE!</v>
      </c>
      <c r="S390" s="446" t="e">
        <f>IF(OR($B390="",MIN(S$38,$D$19)&lt;MAX($P$34*($B390+IF($R$17="Distrato",$I$38-1,0)),IF(AND($L$37=0,$P$34=0),"",$L$37-1),IF($R$17="Distrato",$E390,0))),0,YEARFRAC(MAX($P$34*($B390+IF($R$17="Distrato",$I$38-1,0)),IF(AND($L$37=0,$P$34=0),"",$L$37-1),IF($R$17="Distrato",$E390,0)),MIN(S$38,$D$19),$P$20))-SUM($P390:R390)</f>
        <v>#VALUE!</v>
      </c>
      <c r="T390" s="446" t="e">
        <f>IF(OR($B390="",MIN(T$38,$D$19)&lt;MAX($P$34*($B390+IF($R$17="Distrato",$I$38-1,0)),IF(AND($L$37=0,$P$34=0),"",$L$37-1),IF($R$17="Distrato",$E390,0))),0,YEARFRAC(MAX($P$34*($B390+IF($R$17="Distrato",$I$38-1,0)),IF(AND($L$37=0,$P$34=0),"",$L$37-1),IF($R$17="Distrato",$E390,0)),MIN(T$38,$D$19),$P$20))-SUM($P390:S390)</f>
        <v>#VALUE!</v>
      </c>
      <c r="U390" s="446" t="e">
        <f>IF(OR($B390="",MIN(U$38,$D$19)&lt;MAX($P$34*($B390+IF($R$17="Distrato",$I$38-1,0)),IF(AND($L$37=0,$P$34=0),"",$L$37-1),IF($R$17="Distrato",$E390,0))),0,YEARFRAC(MAX($P$34*($B390+IF($R$17="Distrato",$I$38-1,0)),IF(AND($L$37=0,$P$34=0),"",$L$37-1),IF($R$17="Distrato",$E390,0)),MIN(U$38,$D$19),$P$20))-SUM($P390:T390)</f>
        <v>#VALUE!</v>
      </c>
      <c r="V390" s="446" t="e">
        <f>IF(OR($B390="",MIN(V$38,$D$19)&lt;MAX($P$34*($B390+IF($R$17="Distrato",$I$38-1,0)),IF(AND($L$37=0,$P$34=0),"",$L$37-1),IF($R$17="Distrato",$E390,0))),0,YEARFRAC(MAX($P$34*($B390+IF($R$17="Distrato",$I$38-1,0)),IF(AND($L$37=0,$P$34=0),"",$L$37-1),IF($R$17="Distrato",$E390,0)),MIN(V$38,$D$19),$P$20))-SUM($P390:U390)</f>
        <v>#VALUE!</v>
      </c>
      <c r="W390" s="446" t="e">
        <f>IF(OR($B390="",MIN(W$38,$D$19)&lt;MAX($P$34*($B390+IF($R$17="Distrato",$I$38-1,0)),IF(AND($L$37=0,$P$34=0),"",$L$37-1),IF($R$17="Distrato",$E390,0))),0,YEARFRAC(MAX($P$34*($B390+IF($R$17="Distrato",$I$38-1,0)),IF(AND($L$37=0,$P$34=0),"",$L$37-1),IF($R$17="Distrato",$E390,0)),MIN(W$38,$D$19),$P$20))-SUM($P390:V390)</f>
        <v>#VALUE!</v>
      </c>
      <c r="X390" s="446" t="e">
        <f>IF(OR($B390="",MIN(X$38,$D$19)&lt;MAX($P$34*($B390+IF($R$17="Distrato",$I$38-1,0)),IF(AND($L$37=0,$P$34=0),"",$L$37-1),IF($R$17="Distrato",$E390,0))),0,YEARFRAC(MAX($P$34*($B390+IF($R$17="Distrato",$I$38-1,0)),IF(AND($L$37=0,$P$34=0),"",$L$37-1),IF($R$17="Distrato",$E390,0)),MIN(X$38,$D$19),$P$20))-SUM($P390:W390)</f>
        <v>#VALUE!</v>
      </c>
      <c r="Y390" s="446" t="e">
        <f>IF(OR($B390="",MIN(Y$38,$D$19)&lt;MAX($P$34*($B390+IF($R$17="Distrato",$I$38-1,0)),IF(AND($L$37=0,$P$34=0),"",$L$37-1),IF($R$17="Distrato",$E390,0))),0,YEARFRAC(MAX($P$34*($B390+IF($R$17="Distrato",$I$38-1,0)),IF(AND($L$37=0,$P$34=0),"",$L$37-1),IF($R$17="Distrato",$E390,0)),MIN(Y$38,$D$19),$P$20))-SUM($P390:X390)</f>
        <v>#VALUE!</v>
      </c>
      <c r="Z390" s="446" t="e">
        <f>IF(OR($B390="",MIN(Z$38,$D$19)&lt;MAX($P$34*($B390+IF($R$17="Distrato",$I$38-1,0)),IF(AND($L$37=0,$P$34=0),"",$L$37-1),IF($R$17="Distrato",$E390,0))),0,YEARFRAC(MAX($P$34*($B390+IF($R$17="Distrato",$I$38-1,0)),IF(AND($L$37=0,$P$34=0),"",$L$37-1),IF($R$17="Distrato",$E390,0)),MIN(Z$38,$D$19),$P$20))-SUM($P390:Y390)</f>
        <v>#VALUE!</v>
      </c>
      <c r="AA390" s="446" t="e">
        <f>IF(OR($B390="",MIN(AA$38,$D$19)&lt;MAX($P$34*($B390+IF($R$17="Distrato",$I$38-1,0)),IF(AND($L$37=0,$P$34=0),"",$L$37-1),IF($R$17="Distrato",$E390,0))),0,YEARFRAC(MAX($P$34*($B390+IF($R$17="Distrato",$I$38-1,0)),IF(AND($L$37=0,$P$34=0),"",$L$37-1),IF($R$17="Distrato",$E390,0)),MIN(AA$38,$D$19),$P$20))-SUM($P390:Z390)</f>
        <v>#VALUE!</v>
      </c>
      <c r="AB390" s="446" t="e">
        <f>IF(OR($B390="",MIN(AB$38,$D$19)&lt;MAX($P$34*($B390+IF($R$17="Distrato",$I$38-1,0)),IF(AND($L$37=0,$P$34=0),"",$L$37-1),IF($R$17="Distrato",$E390,0))),0,YEARFRAC(MAX($P$34*($B390+IF($R$17="Distrato",$I$38-1,0)),IF(AND($L$37=0,$P$34=0),"",$L$37-1),IF($R$17="Distrato",$E390,0)),MIN(AB$38,$D$19),$P$20))-SUM($P390:AA390)</f>
        <v>#VALUE!</v>
      </c>
      <c r="AC390" s="446" t="e">
        <f>IF(OR($B390="",MIN(AC$38,$D$19)&lt;MAX($P$34*($B390+IF($R$17="Distrato",$I$38-1,0)),IF(AND($L$37=0,$P$34=0),"",$L$37-1),IF($R$17="Distrato",$E390,0))),0,YEARFRAC(MAX($P$34*($B390+IF($R$17="Distrato",$I$38-1,0)),IF(AND($L$37=0,$P$34=0),"",$L$37-1),IF($R$17="Distrato",$E390,0)),MIN(AC$38,$D$19),$P$20))-SUM($P390:AB390)</f>
        <v>#VALUE!</v>
      </c>
      <c r="AD390" s="446" t="e">
        <f>IF(OR($B390="",MIN(AD$38,$D$19)&lt;MAX($P$34*($B390+IF($R$17="Distrato",$I$38-1,0)),IF(AND($L$37=0,$P$34=0),"",$L$37-1),IF($R$17="Distrato",$E390,0))),0,YEARFRAC(MAX($P$34*($B390+IF($R$17="Distrato",$I$38-1,0)),IF(AND($L$37=0,$P$34=0),"",$L$37-1),IF($R$17="Distrato",$E390,0)),MIN(AD$38,$D$19),$P$20))-SUM($P390:AC390)</f>
        <v>#VALUE!</v>
      </c>
      <c r="AE390" s="446" t="e">
        <f>IF(OR($B390="",MIN(AE$38,$D$19)&lt;MAX($P$34*($B390+IF($R$17="Distrato",$I$38-1,0)),IF(AND($L$37=0,$P$34=0),"",$L$37-1),IF($R$17="Distrato",$E390,0))),0,YEARFRAC(MAX($P$34*($B390+IF($R$17="Distrato",$I$38-1,0)),IF(AND($L$37=0,$P$34=0),"",$L$37-1),IF($R$17="Distrato",$E390,0)),MIN(AE$38,$D$19),$P$20))-SUM($P390:AD390)</f>
        <v>#VALUE!</v>
      </c>
      <c r="AF390" s="446" t="e">
        <f>IF(OR($B390="",MIN(AF$38,$D$19)&lt;MAX($P$34*($B390+IF($R$17="Distrato",$I$38-1,0)),IF(AND($L$37=0,$P$34=0),"",$L$37-1),IF($R$17="Distrato",$E390,0))),0,YEARFRAC(MAX($P$34*($B390+IF($R$17="Distrato",$I$38-1,0)),IF(AND($L$37=0,$P$34=0),"",$L$37-1),IF($R$17="Distrato",$E390,0)),MIN(AF$38,$D$19),$P$20))-SUM($P390:AE390)</f>
        <v>#VALUE!</v>
      </c>
      <c r="AG390" s="446" t="e">
        <f>IF(OR($B390="",MIN(AG$38,$D$19)&lt;MAX($P$34*($B390+IF($R$17="Distrato",$I$38-1,0)),IF(AND($L$37=0,$P$34=0),"",$L$37-1),IF($R$17="Distrato",$E390,0))),0,YEARFRAC(MAX($P$34*($B390+IF($R$17="Distrato",$I$38-1,0)),IF(AND($L$37=0,$P$34=0),"",$L$37-1),IF($R$17="Distrato",$E390,0)),MIN(AG$38,$D$19),$P$20))-SUM($P390:AF390)</f>
        <v>#VALUE!</v>
      </c>
      <c r="AH390" s="446" t="e">
        <f>IF(OR($B390="",MIN(AH$38,$D$19)&lt;MAX($P$34*($B390+IF($R$17="Distrato",$I$38-1,0)),IF(AND($L$37=0,$P$34=0),"",$L$37-1),IF($R$17="Distrato",$E390,0))),0,YEARFRAC(MAX($P$34*($B390+IF($R$17="Distrato",$I$38-1,0)),IF(AND($L$37=0,$P$34=0),"",$L$37-1),IF($R$17="Distrato",$E390,0)),MIN(AH$38,$D$19),$P$20))-SUM($P390:AG390)</f>
        <v>#VALUE!</v>
      </c>
      <c r="AI390" s="446" t="e">
        <f>IF(OR($B390="",MIN(AI$38,$D$19)&lt;MAX($P$34*($B390+IF($R$17="Distrato",$I$38-1,0)),IF(AND($L$37=0,$P$34=0),"",$L$37-1),IF($R$17="Distrato",$E390,0))),0,YEARFRAC(MAX($P$34*($B390+IF($R$17="Distrato",$I$38-1,0)),IF(AND($L$37=0,$P$34=0),"",$L$37-1),IF($R$17="Distrato",$E390,0)),MIN(AI$38,$D$19),$P$20))-SUM($P390:AH390)</f>
        <v>#VALUE!</v>
      </c>
      <c r="AJ390" s="446" t="e">
        <f>IF(OR($B390="",MIN(AJ$38,$D$19)&lt;MAX($P$34*($B390+IF($R$17="Distrato",$I$38-1,0)),IF(AND($L$37=0,$P$34=0),"",$L$37-1),IF($R$17="Distrato",$E390,0))),0,YEARFRAC(MAX($P$34*($B390+IF($R$17="Distrato",$I$38-1,0)),IF(AND($L$37=0,$P$34=0),"",$L$37-1),IF($R$17="Distrato",$E390,0)),MIN(AJ$38,$D$19),$P$20))-SUM($P390:AI390)</f>
        <v>#VALUE!</v>
      </c>
      <c r="AK390" s="446" t="e">
        <f>IF(OR($B390="",MIN(AK$38,$D$19)&lt;MAX($P$34*($B390+IF($R$17="Distrato",$I$38-1,0)),IF(AND($L$37=0,$P$34=0),"",$L$37-1),IF($R$17="Distrato",$E390,0))),0,YEARFRAC(MAX($P$34*($B390+IF($R$17="Distrato",$I$38-1,0)),IF(AND($L$37=0,$P$34=0),"",$L$37-1),IF($R$17="Distrato",$E390,0)),MIN(AK$38,$D$19),$P$20))-SUM($P390:AJ390)</f>
        <v>#VALUE!</v>
      </c>
      <c r="AL390" s="446" t="e">
        <f>IF(OR($B390="",MIN(AL$38,$D$19)&lt;MAX($P$34*($B390+IF($R$17="Distrato",$I$38-1,0)),IF(AND($L$37=0,$P$34=0),"",$L$37-1),IF($R$17="Distrato",$E390,0))),0,YEARFRAC(MAX($P$34*($B390+IF($R$17="Distrato",$I$38-1,0)),IF(AND($L$37=0,$P$34=0),"",$L$37-1),IF($R$17="Distrato",$E390,0)),MIN(AL$38,$D$19),$P$20))-SUM($P390:AK390)</f>
        <v>#VALUE!</v>
      </c>
      <c r="AM390" s="446" t="e">
        <f>IF(OR($B390="",MIN(AM$38,$D$19)&lt;MAX($P$34*($B390+IF($R$17="Distrato",$I$38-1,0)),IF(AND($L$37=0,$P$34=0),"",$L$37-1),IF($R$17="Distrato",$E390,0))),0,YEARFRAC(MAX($P$34*($B390+IF($R$17="Distrato",$I$38-1,0)),IF(AND($L$37=0,$P$34=0),"",$L$37-1),IF($R$17="Distrato",$E390,0)),MIN(AM$38,$D$19),$P$20))-SUM($P390:AL390)</f>
        <v>#VALUE!</v>
      </c>
      <c r="AN390" s="446" t="e">
        <f>IF(OR($B390="",MIN(AN$38,$D$19)&lt;MAX($P$34*($B390+IF($R$17="Distrato",$I$38-1,0)),IF(AND($L$37=0,$P$34=0),"",$L$37-1),IF($R$17="Distrato",$E390,0))),0,YEARFRAC(MAX($P$34*($B390+IF($R$17="Distrato",$I$38-1,0)),IF(AND($L$37=0,$P$34=0),"",$L$37-1),IF($R$17="Distrato",$E390,0)),MIN(AN$38,$D$19),$P$20))-SUM($P390:AM390)</f>
        <v>#VALUE!</v>
      </c>
      <c r="AO390" s="446" t="e">
        <f>IF(OR($B390="",MIN(AO$38,$D$19)&lt;MAX($P$34*($B390+IF($R$17="Distrato",$I$38-1,0)),IF(AND($L$37=0,$P$34=0),"",$L$37-1),IF($R$17="Distrato",$E390,0))),0,YEARFRAC(MAX($P$34*($B390+IF($R$17="Distrato",$I$38-1,0)),IF(AND($L$37=0,$P$34=0),"",$L$37-1),IF($R$17="Distrato",$E390,0)),MIN(AO$38,$D$19),$P$20))-SUM($P390:AN390)</f>
        <v>#VALUE!</v>
      </c>
      <c r="AP390" s="446" t="e">
        <f>IF(OR($B390="",MIN(AP$38,$D$19)&lt;MAX($P$34*($B390+IF($R$17="Distrato",$I$38-1,0)),IF(AND($L$37=0,$P$34=0),"",$L$37-1),IF($R$17="Distrato",$E390,0))),0,YEARFRAC(MAX($P$34*($B390+IF($R$17="Distrato",$I$38-1,0)),IF(AND($L$37=0,$P$34=0),"",$L$37-1),IF($R$17="Distrato",$E390,0)),MIN(AP$38,$D$19),$P$20))-SUM($P390:AO390)</f>
        <v>#VALUE!</v>
      </c>
      <c r="AQ390" s="446" t="e">
        <f>IF(OR($B390="",MIN(AQ$38,$D$19)&lt;MAX($P$34*($B390+IF($R$17="Distrato",$I$38-1,0)),IF(AND($L$37=0,$P$34=0),"",$L$37-1),IF($R$17="Distrato",$E390,0))),0,YEARFRAC(MAX($P$34*($B390+IF($R$17="Distrato",$I$38-1,0)),IF(AND($L$37=0,$P$34=0),"",$L$37-1),IF($R$17="Distrato",$E390,0)),MIN(AQ$38,$D$19),$P$20))-SUM($P390:AP390)</f>
        <v>#VALUE!</v>
      </c>
      <c r="AR390" s="446" t="e">
        <f>IF(OR($B390="",MIN(AR$38,$D$19)&lt;MAX($P$34*($B390+IF($R$17="Distrato",$I$38-1,0)),IF(AND($L$37=0,$P$34=0),"",$L$37-1),IF($R$17="Distrato",$E390,0))),0,YEARFRAC(MAX($P$34*($B390+IF($R$17="Distrato",$I$38-1,0)),IF(AND($L$37=0,$P$34=0),"",$L$37-1),IF($R$17="Distrato",$E390,0)),MIN(AR$38,$D$19),$P$20))-SUM($P390:AQ390)</f>
        <v>#VALUE!</v>
      </c>
      <c r="AS390" s="446" t="e">
        <f>IF(OR($B390="",MIN(AS$38,$D$19)&lt;MAX($P$34*($B390+IF($R$17="Distrato",$I$38-1,0)),IF(AND($L$37=0,$P$34=0),"",$L$37-1),IF($R$17="Distrato",$E390,0))),0,YEARFRAC(MAX($P$34*($B390+IF($R$17="Distrato",$I$38-1,0)),IF(AND($L$37=0,$P$34=0),"",$L$37-1),IF($R$17="Distrato",$E390,0)),MIN(AS$38,$D$19),$P$20))-SUM($P390:AR390)</f>
        <v>#VALUE!</v>
      </c>
      <c r="AT390" s="446" t="e">
        <f>IF(OR($B390="",MIN(AT$38,$D$19)&lt;MAX($P$34*($B390+IF($R$17="Distrato",$I$38-1,0)),IF(AND($L$37=0,$P$34=0),"",$L$37-1),IF($R$17="Distrato",$E390,0))),0,YEARFRAC(MAX($P$34*($B390+IF($R$17="Distrato",$I$38-1,0)),IF(AND($L$37=0,$P$34=0),"",$L$37-1),IF($R$17="Distrato",$E390,0)),MIN(AT$38,$D$19),$P$20))-SUM($P390:AS390)</f>
        <v>#VALUE!</v>
      </c>
      <c r="AU390" s="446" t="e">
        <f>IF(OR($B390="",MIN(AU$38,$D$19)&lt;MAX($P$34*($B390+IF($R$17="Distrato",$I$38-1,0)),IF(AND($L$37=0,$P$34=0),"",$L$37-1),IF($R$17="Distrato",$E390,0))),0,YEARFRAC(MAX($P$34*($B390+IF($R$17="Distrato",$I$38-1,0)),IF(AND($L$37=0,$P$34=0),"",$L$37-1),IF($R$17="Distrato",$E390,0)),MIN(AU$38,$D$19),$P$20))-SUM($P390:AT390)</f>
        <v>#VALUE!</v>
      </c>
      <c r="AV390" s="446" t="e">
        <f>IF(OR($B390="",MIN(AV$38,$D$19)&lt;MAX($P$34*($B390+IF($R$17="Distrato",$I$38-1,0)),IF(AND($L$37=0,$P$34=0),"",$L$37-1),IF($R$17="Distrato",$E390,0))),0,YEARFRAC(MAX($P$34*($B390+IF($R$17="Distrato",$I$38-1,0)),IF(AND($L$37=0,$P$34=0),"",$L$37-1),IF($R$17="Distrato",$E390,0)),MIN(AV$38,$D$19),$P$20))-SUM($P390:AU390)</f>
        <v>#VALUE!</v>
      </c>
      <c r="AW390" s="446" t="e">
        <f>IF(OR($B390="",MIN(AW$38,$D$19)&lt;MAX($P$34*($B390+IF($R$17="Distrato",$I$38-1,0)),IF(AND($L$37=0,$P$34=0),"",$L$37-1),IF($R$17="Distrato",$E390,0))),0,YEARFRAC(MAX($P$34*($B390+IF($R$17="Distrato",$I$38-1,0)),IF(AND($L$37=0,$P$34=0),"",$L$37-1),IF($R$17="Distrato",$E390,0)),MIN(AW$38,$D$19),$P$20))-SUM($P390:AV390)</f>
        <v>#VALUE!</v>
      </c>
      <c r="AX390" s="446" t="e">
        <f>IF(OR($B390="",MIN(AX$38,$D$19)&lt;MAX($P$34*($B390+IF($R$17="Distrato",$I$38-1,0)),IF(AND($L$37=0,$P$34=0),"",$L$37-1),IF($R$17="Distrato",$E390,0))),0,YEARFRAC(MAX($P$34*($B390+IF($R$17="Distrato",$I$38-1,0)),IF(AND($L$37=0,$P$34=0),"",$L$37-1),IF($R$17="Distrato",$E390,0)),MIN(AX$38,$D$19),$P$20))-SUM($P390:AW390)</f>
        <v>#VALUE!</v>
      </c>
      <c r="AY390" s="446" t="e">
        <f>IF(OR($B390="",MIN(AY$38,$D$19)&lt;MAX($P$34*($B390+IF($R$17="Distrato",$I$38-1,0)),IF(AND($L$37=0,$P$34=0),"",$L$37-1),IF($R$17="Distrato",$E390,0))),0,YEARFRAC(MAX($P$34*($B390+IF($R$17="Distrato",$I$38-1,0)),IF(AND($L$37=0,$P$34=0),"",$L$37-1),IF($R$17="Distrato",$E390,0)),MIN(AY$38,$D$19),$P$20))-SUM($P390:AX390)</f>
        <v>#VALUE!</v>
      </c>
      <c r="AZ390" s="446" t="e">
        <f>IF(OR($B390="",MIN(AZ$38,$D$19)&lt;MAX($P$34*($B390+IF($R$17="Distrato",$I$38-1,0)),IF(AND($L$37=0,$P$34=0),"",$L$37-1),IF($R$17="Distrato",$E390,0))),0,YEARFRAC(MAX($P$34*($B390+IF($R$17="Distrato",$I$38-1,0)),IF(AND($L$37=0,$P$34=0),"",$L$37-1),IF($R$17="Distrato",$E390,0)),MIN(AZ$38,$D$19),$P$20))-SUM($P390:AY390)</f>
        <v>#VALUE!</v>
      </c>
      <c r="BA390" s="446" t="e">
        <f>IF(OR($B390="",MIN(BA$38,$D$19)&lt;MAX($P$34*($B390+IF($R$17="Distrato",$I$38-1,0)),IF(AND($L$37=0,$P$34=0),"",$L$37-1),IF($R$17="Distrato",$E390,0))),0,YEARFRAC(MAX($P$34*($B390+IF($R$17="Distrato",$I$38-1,0)),IF(AND($L$37=0,$P$34=0),"",$L$37-1),IF($R$17="Distrato",$E390,0)),MIN(BA$38,$D$19),$P$20))-SUM($P390:AZ390)</f>
        <v>#VALUE!</v>
      </c>
      <c r="BB390" s="447"/>
      <c r="BF390" s="446">
        <f t="shared" si="65"/>
        <v>0</v>
      </c>
      <c r="BG390" s="446">
        <f>IF($E390=0,0,IF(MIN(BG$38,$E390)&lt;MAX($P$34*($B390+$I$38-1),IF(AND($L$37=0,$P$34=0),"",$L$37-1)),0,YEARFRAC(MAX($P$34*($B390+$I$38-1),IF(AND($L$37=0,$P$34=0),"",$L$37-1)),MIN(BG$38,$E390),$P$20))-SUM($BF390:BF390))</f>
        <v>0</v>
      </c>
      <c r="BH390" s="446">
        <f>IF($E390=0,0,IF(MIN(BH$38,$E390)&lt;MAX($P$34*($B390+$I$38-1),IF(AND($L$37=0,$P$34=0),"",$L$37-1)),0,YEARFRAC(MAX($P$34*($B390+$I$38-1),IF(AND($L$37=0,$P$34=0),"",$L$37-1)),MIN(BH$38,$E390),$P$20))-SUM($BF390:BG390))</f>
        <v>0</v>
      </c>
      <c r="BI390" s="446">
        <f>IF($E390=0,0,IF(MIN(BI$38,$E390)&lt;MAX($P$34*($B390+$I$38-1),IF(AND($L$37=0,$P$34=0),"",$L$37-1)),0,YEARFRAC(MAX($P$34*($B390+$I$38-1),IF(AND($L$37=0,$P$34=0),"",$L$37-1)),MIN(BI$38,$E390),$P$20))-SUM($BF390:BH390))</f>
        <v>0</v>
      </c>
      <c r="BJ390" s="446">
        <f>IF($E390=0,0,IF(MIN(BJ$38,$E390)&lt;MAX($P$34*($B390+$I$38-1),IF(AND($L$37=0,$P$34=0),"",$L$37-1)),0,YEARFRAC(MAX($P$34*($B390+$I$38-1),IF(AND($L$37=0,$P$34=0),"",$L$37-1)),MIN(BJ$38,$E390),$P$20))-SUM($BF390:BI390))</f>
        <v>0</v>
      </c>
      <c r="BK390" s="446">
        <f>IF($E390=0,0,IF(MIN(BK$38,$E390)&lt;MAX($P$34*($B390+$I$38-1),IF(AND($L$37=0,$P$34=0),"",$L$37-1)),0,YEARFRAC(MAX($P$34*($B390+$I$38-1),IF(AND($L$37=0,$P$34=0),"",$L$37-1)),MIN(BK$38,$E390),$P$20))-SUM($BF390:BJ390))</f>
        <v>0</v>
      </c>
      <c r="BL390" s="446">
        <f>IF($E390=0,0,IF(MIN(BL$38,$E390)&lt;MAX($P$34*($B390+$I$38-1),IF(AND($L$37=0,$P$34=0),"",$L$37-1)),0,YEARFRAC(MAX($P$34*($B390+$I$38-1),IF(AND($L$37=0,$P$34=0),"",$L$37-1)),MIN(BL$38,$E390),$P$20))-SUM($BF390:BK390))</f>
        <v>0</v>
      </c>
      <c r="BM390" s="446">
        <f>IF($E390=0,0,IF(MIN(BM$38,$E390)&lt;MAX($P$34*($B390+$I$38-1),IF(AND($L$37=0,$P$34=0),"",$L$37-1)),0,YEARFRAC(MAX($P$34*($B390+$I$38-1),IF(AND($L$37=0,$P$34=0),"",$L$37-1)),MIN(BM$38,$E390),$P$20))-SUM($BF390:BL390))</f>
        <v>0</v>
      </c>
      <c r="BN390" s="446">
        <f>IF($E390=0,0,IF(MIN(BN$38,$E390)&lt;MAX($P$34*($B390+$I$38-1),IF(AND($L$37=0,$P$34=0),"",$L$37-1)),0,YEARFRAC(MAX($P$34*($B390+$I$38-1),IF(AND($L$37=0,$P$34=0),"",$L$37-1)),MIN(BN$38,$E390),$P$20))-SUM($BF390:BM390))</f>
        <v>0</v>
      </c>
      <c r="BO390" s="446">
        <f>IF($E390=0,0,IF(MIN(BO$38,$E390)&lt;MAX($P$34*($B390+$I$38-1),IF(AND($L$37=0,$P$34=0),"",$L$37-1)),0,YEARFRAC(MAX($P$34*($B390+$I$38-1),IF(AND($L$37=0,$P$34=0),"",$L$37-1)),MIN(BO$38,$E390),$P$20))-SUM($BF390:BN390))</f>
        <v>0</v>
      </c>
      <c r="BP390" s="446">
        <f>IF($E390=0,0,IF(MIN(BP$38,$E390)&lt;MAX($P$34*($B390+$I$38-1),IF(AND($L$37=0,$P$34=0),"",$L$37-1)),0,YEARFRAC(MAX($P$34*($B390+$I$38-1),IF(AND($L$37=0,$P$34=0),"",$L$37-1)),MIN(BP$38,$E390),$P$20))-SUM($BF390:BO390))</f>
        <v>0</v>
      </c>
      <c r="BQ390" s="446">
        <f>IF($E390=0,0,IF(MIN(BQ$38,$E390)&lt;MAX($P$34*($B390+$I$38-1),IF(AND($L$37=0,$P$34=0),"",$L$37-1)),0,YEARFRAC(MAX($P$34*($B390+$I$38-1),IF(AND($L$37=0,$P$34=0),"",$L$37-1)),MIN(BQ$38,$E390),$P$20))-SUM($BF390:BP390))</f>
        <v>0</v>
      </c>
      <c r="BR390" s="446">
        <f>IF($E390=0,0,IF(MIN(BR$38,$E390)&lt;MAX($P$34*($B390+$I$38-1),IF(AND($L$37=0,$P$34=0),"",$L$37-1)),0,YEARFRAC(MAX($P$34*($B390+$I$38-1),IF(AND($L$37=0,$P$34=0),"",$L$37-1)),MIN(BR$38,$E390),$P$20))-SUM($BF390:BQ390))</f>
        <v>0</v>
      </c>
      <c r="BS390" s="446">
        <f>IF($E390=0,0,IF(MIN(BS$38,$E390)&lt;MAX($P$34*($B390+$I$38-1),IF(AND($L$37=0,$P$34=0),"",$L$37-1)),0,YEARFRAC(MAX($P$34*($B390+$I$38-1),IF(AND($L$37=0,$P$34=0),"",$L$37-1)),MIN(BS$38,$E390),$P$20))-SUM($BF390:BR390))</f>
        <v>0</v>
      </c>
      <c r="BT390" s="446">
        <f>IF($E390=0,0,IF(MIN(BT$38,$E390)&lt;MAX($P$34*($B390+$I$38-1),IF(AND($L$37=0,$P$34=0),"",$L$37-1)),0,YEARFRAC(MAX($P$34*($B390+$I$38-1),IF(AND($L$37=0,$P$34=0),"",$L$37-1)),MIN(BT$38,$E390),$P$20))-SUM($BF390:BS390))</f>
        <v>0</v>
      </c>
      <c r="BU390" s="446">
        <f>IF($E390=0,0,IF(MIN(BU$38,$E390)&lt;MAX($P$34*($B390+$I$38-1),IF(AND($L$37=0,$P$34=0),"",$L$37-1)),0,YEARFRAC(MAX($P$34*($B390+$I$38-1),IF(AND($L$37=0,$P$34=0),"",$L$37-1)),MIN(BU$38,$E390),$P$20))-SUM($BF390:BT390))</f>
        <v>0</v>
      </c>
      <c r="BV390" s="446">
        <f>IF($E390=0,0,IF(MIN(BV$38,$E390)&lt;MAX($P$34*($B390+$I$38-1),IF(AND($L$37=0,$P$34=0),"",$L$37-1)),0,YEARFRAC(MAX($P$34*($B390+$I$38-1),IF(AND($L$37=0,$P$34=0),"",$L$37-1)),MIN(BV$38,$E390),$P$20))-SUM($BF390:BU390))</f>
        <v>0</v>
      </c>
      <c r="BW390" s="446">
        <f>IF($E390=0,0,IF(MIN(BW$38,$E390)&lt;MAX($P$34*($B390+$I$38-1),IF(AND($L$37=0,$P$34=0),"",$L$37-1)),0,YEARFRAC(MAX($P$34*($B390+$I$38-1),IF(AND($L$37=0,$P$34=0),"",$L$37-1)),MIN(BW$38,$E390),$P$20))-SUM($BF390:BV390))</f>
        <v>0</v>
      </c>
      <c r="BX390" s="446">
        <f>IF($E390=0,0,IF(MIN(BX$38,$E390)&lt;MAX($P$34*($B390+$I$38-1),IF(AND($L$37=0,$P$34=0),"",$L$37-1)),0,YEARFRAC(MAX($P$34*($B390+$I$38-1),IF(AND($L$37=0,$P$34=0),"",$L$37-1)),MIN(BX$38,$E390),$P$20))-SUM($BF390:BW390))</f>
        <v>0</v>
      </c>
      <c r="BY390" s="446">
        <f>IF($E390=0,0,IF(MIN(BY$38,$E390)&lt;MAX($P$34*($B390+$I$38-1),IF(AND($L$37=0,$P$34=0),"",$L$37-1)),0,YEARFRAC(MAX($P$34*($B390+$I$38-1),IF(AND($L$37=0,$P$34=0),"",$L$37-1)),MIN(BY$38,$E390),$P$20))-SUM($BF390:BX390))</f>
        <v>0</v>
      </c>
      <c r="BZ390" s="446">
        <f>IF($E390=0,0,IF(MIN(BZ$38,$E390)&lt;MAX($P$34*($B390+$I$38-1),IF(AND($L$37=0,$P$34=0),"",$L$37-1)),0,YEARFRAC(MAX($P$34*($B390+$I$38-1),IF(AND($L$37=0,$P$34=0),"",$L$37-1)),MIN(BZ$38,$E390),$P$20))-SUM($BF390:BY390))</f>
        <v>0</v>
      </c>
      <c r="CA390" s="446">
        <f>IF($E390=0,0,IF(MIN(CA$38,$E390)&lt;MAX($P$34*($B390+$I$38-1),IF(AND($L$37=0,$P$34=0),"",$L$37-1)),0,YEARFRAC(MAX($P$34*($B390+$I$38-1),IF(AND($L$37=0,$P$34=0),"",$L$37-1)),MIN(CA$38,$E390),$P$20))-SUM($BF390:BZ390))</f>
        <v>0</v>
      </c>
      <c r="CB390" s="446">
        <f>IF($E390=0,0,IF(MIN(CB$38,$E390)&lt;MAX($P$34*($B390+$I$38-1),IF(AND($L$37=0,$P$34=0),"",$L$37-1)),0,YEARFRAC(MAX($P$34*($B390+$I$38-1),IF(AND($L$37=0,$P$34=0),"",$L$37-1)),MIN(CB$38,$E390),$P$20))-SUM($BF390:CA390))</f>
        <v>0</v>
      </c>
      <c r="CC390" s="446">
        <f>IF($E390=0,0,IF(MIN(CC$38,$E390)&lt;MAX($P$34*($B390+$I$38-1),IF(AND($L$37=0,$P$34=0),"",$L$37-1)),0,YEARFRAC(MAX($P$34*($B390+$I$38-1),IF(AND($L$37=0,$P$34=0),"",$L$37-1)),MIN(CC$38,$E390),$P$20))-SUM($BF390:CB390))</f>
        <v>0</v>
      </c>
      <c r="CD390" s="446">
        <f>IF($E390=0,0,IF(MIN(CD$38,$E390)&lt;MAX($P$34*($B390+$I$38-1),IF(AND($L$37=0,$P$34=0),"",$L$37-1)),0,YEARFRAC(MAX($P$34*($B390+$I$38-1),IF(AND($L$37=0,$P$34=0),"",$L$37-1)),MIN(CD$38,$E390),$P$20))-SUM($BF390:CC390))</f>
        <v>0</v>
      </c>
      <c r="CE390" s="446">
        <f>IF($E390=0,0,IF(MIN(CE$38,$E390)&lt;MAX($P$34*($B390+$I$38-1),IF(AND($L$37=0,$P$34=0),"",$L$37-1)),0,YEARFRAC(MAX($P$34*($B390+$I$38-1),IF(AND($L$37=0,$P$34=0),"",$L$37-1)),MIN(CE$38,$E390),$P$20))-SUM($BF390:CD390))</f>
        <v>0</v>
      </c>
      <c r="CF390" s="446">
        <f>IF($E390=0,0,IF(MIN(CF$38,$E390)&lt;MAX($P$34*($B390+$I$38-1),IF(AND($L$37=0,$P$34=0),"",$L$37-1)),0,YEARFRAC(MAX($P$34*($B390+$I$38-1),IF(AND($L$37=0,$P$34=0),"",$L$37-1)),MIN(CF$38,$E390),$P$20))-SUM($BF390:CE390))</f>
        <v>0</v>
      </c>
      <c r="CG390" s="446">
        <f>IF($E390=0,0,IF(MIN(CG$38,$E390)&lt;MAX($P$34*($B390+$I$38-1),IF(AND($L$37=0,$P$34=0),"",$L$37-1)),0,YEARFRAC(MAX($P$34*($B390+$I$38-1),IF(AND($L$37=0,$P$34=0),"",$L$37-1)),MIN(CG$38,$E390),$P$20))-SUM($BF390:CF390))</f>
        <v>0</v>
      </c>
      <c r="CH390" s="446">
        <f>IF($E390=0,0,IF(MIN(CH$38,$E390)&lt;MAX($P$34*($B390+$I$38-1),IF(AND($L$37=0,$P$34=0),"",$L$37-1)),0,YEARFRAC(MAX($P$34*($B390+$I$38-1),IF(AND($L$37=0,$P$34=0),"",$L$37-1)),MIN(CH$38,$E390),$P$20))-SUM($BF390:CG390))</f>
        <v>0</v>
      </c>
      <c r="CI390" s="446">
        <f>IF($E390=0,0,IF(MIN(CI$38,$E390)&lt;MAX($P$34*($B390+$I$38-1),IF(AND($L$37=0,$P$34=0),"",$L$37-1)),0,YEARFRAC(MAX($P$34*($B390+$I$38-1),IF(AND($L$37=0,$P$34=0),"",$L$37-1)),MIN(CI$38,$E390),$P$20))-SUM($BF390:CH390))</f>
        <v>0</v>
      </c>
      <c r="CJ390" s="446">
        <f>IF($E390=0,0,IF(MIN(CJ$38,$E390)&lt;MAX($P$34*($B390+$I$38-1),IF(AND($L$37=0,$P$34=0),"",$L$37-1)),0,YEARFRAC(MAX($P$34*($B390+$I$38-1),IF(AND($L$37=0,$P$34=0),"",$L$37-1)),MIN(CJ$38,$E390),$P$20))-SUM($BF390:CI390))</f>
        <v>0</v>
      </c>
      <c r="CK390" s="446">
        <f>IF($E390=0,0,IF(MIN(CK$38,$E390)&lt;MAX($P$34*($B390+$I$38-1),IF(AND($L$37=0,$P$34=0),"",$L$37-1)),0,YEARFRAC(MAX($P$34*($B390+$I$38-1),IF(AND($L$37=0,$P$34=0),"",$L$37-1)),MIN(CK$38,$E390),$P$20))-SUM($BF390:CJ390))</f>
        <v>0</v>
      </c>
      <c r="CL390" s="446">
        <f>IF($E390=0,0,IF(MIN(CL$38,$E390)&lt;MAX($P$34*($B390+$I$38-1),IF(AND($L$37=0,$P$34=0),"",$L$37-1)),0,YEARFRAC(MAX($P$34*($B390+$I$38-1),IF(AND($L$37=0,$P$34=0),"",$L$37-1)),MIN(CL$38,$E390),$P$20))-SUM($BF390:CK390))</f>
        <v>0</v>
      </c>
      <c r="CM390" s="446">
        <f>IF($E390=0,0,IF(MIN(CM$38,$E390)&lt;MAX($P$34*($B390+$I$38-1),IF(AND($L$37=0,$P$34=0),"",$L$37-1)),0,YEARFRAC(MAX($P$34*($B390+$I$38-1),IF(AND($L$37=0,$P$34=0),"",$L$37-1)),MIN(CM$38,$E390),$P$20))-SUM($BF390:CL390))</f>
        <v>0</v>
      </c>
      <c r="CN390" s="446">
        <f>IF($E390=0,0,IF(MIN(CN$38,$E390)&lt;MAX($P$34*($B390+$I$38-1),IF(AND($L$37=0,$P$34=0),"",$L$37-1)),0,YEARFRAC(MAX($P$34*($B390+$I$38-1),IF(AND($L$37=0,$P$34=0),"",$L$37-1)),MIN(CN$38,$E390),$P$20))-SUM($BF390:CM390))</f>
        <v>0</v>
      </c>
      <c r="CO390" s="446">
        <f>IF($E390=0,0,IF(MIN(CO$38,$E390)&lt;MAX($P$34*($B390+$I$38-1),IF(AND($L$37=0,$P$34=0),"",$L$37-1)),0,YEARFRAC(MAX($P$34*($B390+$I$38-1),IF(AND($L$37=0,$P$34=0),"",$L$37-1)),MIN(CO$38,$E390),$P$20))-SUM($BF390:CN390))</f>
        <v>0</v>
      </c>
      <c r="CP390" s="446">
        <f>IF($E390=0,0,IF(MIN(CP$38,$E390)&lt;MAX($P$34*($B390+$I$38-1),IF(AND($L$37=0,$P$34=0),"",$L$37-1)),0,YEARFRAC(MAX($P$34*($B390+$I$38-1),IF(AND($L$37=0,$P$34=0),"",$L$37-1)),MIN(CP$38,$E390),$P$20))-SUM($BF390:CO390))</f>
        <v>0</v>
      </c>
      <c r="CQ390" s="446">
        <f>IF($E390=0,0,IF(MIN(CQ$38,$E390)&lt;MAX($P$34*($B390+$I$38-1),IF(AND($L$37=0,$P$34=0),"",$L$37-1)),0,YEARFRAC(MAX($P$34*($B390+$I$38-1),IF(AND($L$37=0,$P$34=0),"",$L$37-1)),MIN(CQ$38,$E390),$P$20))-SUM($BF390:CP390))</f>
        <v>0</v>
      </c>
    </row>
    <row r="391" spans="1:95" s="446" customFormat="1" ht="11.25" hidden="1" customHeight="1" x14ac:dyDescent="0.2">
      <c r="A391" s="152"/>
      <c r="B391" s="153" t="str">
        <f t="shared" si="70"/>
        <v/>
      </c>
      <c r="C391" s="29" t="str">
        <f>IF(B391="","",IF($L$35="SELIC - TRIBUTOS",VLOOKUP(DATE(YEAR($D$19),MONTH($D$19)-1,1),ÍNDICES!$A:$DE,HLOOKUP($BL$25,ÍNDICES!$B$3:$T$4,2)+11)-VLOOKUP(B391,ÍNDICES!$A:$DE,HLOOKUP($BL$25,ÍNDICES!$B$3:$T$4,2)+11)+1%,IF(C$38=$W$26,$J$35,IF(ISERROR(IF(B391&gt;$D$19,1,VLOOKUP(DATE(YEAR(B391),MONTH(B391)+IF($C$35=$S$23,1,0),1),ÍNDICES!$A:$DE,$Z$35+1))),"",IF(B391&gt;$D$19,1,VLOOKUP(DATE(YEAR(B391),MONTH(B391)+IF($C$35=$S$23,1,0),1),ÍNDICES!$A:$DE,$Z$35+1))))))</f>
        <v/>
      </c>
      <c r="D391" s="154" t="str">
        <f>IF(ISERROR(IF(OR($D$38=$Y$27,$B391=""),"",VLOOKUP(B391,ÍNDICES!A:DE,AF$35+1))),"",IF(OR($D$38=$Y$27,$B391=""),"",VLOOKUP(B391,ÍNDICES!A:DE,AF$35+1)))</f>
        <v/>
      </c>
      <c r="E391" s="153"/>
      <c r="F391" s="29" t="str">
        <f>IF(E391="","",IF($L$35="SELIC - TRIBUTOS",VLOOKUP(DATE(YEAR($D$19),MONTH($D$19)-1,1),ÍNDICES!$A:$DE,HLOOKUP($BL$25,ÍNDICES!$B$3:$T$4,2)+11)-VLOOKUP(E391,ÍNDICES!$A:$DE,HLOOKUP($BL$25,ÍNDICES!$B$3:$T$4,2)+11)+1%,IF(F$38=$W$26,$J$35,IF(ISERROR(IF(E391&gt;$D$19,1,VLOOKUP(DATE(YEAR(E391),MONTH(E391)+IF($C$35=$S$23,1,0),1),ÍNDICES!$A:$DE,$Z$35+1))),"",IF(E391&gt;$D$19,1,VLOOKUP(DATE(YEAR(E391),MONTH(E391)+IF($C$35=$S$23,1,0),1),ÍNDICES!$A:$DE,$Z$35+1))))))</f>
        <v/>
      </c>
      <c r="G391" s="155"/>
      <c r="H391" s="156" t="str">
        <f t="shared" si="66"/>
        <v/>
      </c>
      <c r="I391" s="29" t="str">
        <f t="shared" si="60"/>
        <v/>
      </c>
      <c r="J391" s="5">
        <f t="shared" si="61"/>
        <v>0</v>
      </c>
      <c r="K391" s="20">
        <f t="shared" ca="1" si="62"/>
        <v>0</v>
      </c>
      <c r="L391" s="5">
        <f t="shared" ca="1" si="63"/>
        <v>0</v>
      </c>
      <c r="M391" s="64">
        <f t="shared" si="67"/>
        <v>0</v>
      </c>
      <c r="N391" s="61">
        <f t="shared" ca="1" si="68"/>
        <v>0</v>
      </c>
      <c r="O391" s="5">
        <f t="shared" ca="1" si="69"/>
        <v>0</v>
      </c>
      <c r="P391" s="446" t="e">
        <f t="shared" si="64"/>
        <v>#VALUE!</v>
      </c>
      <c r="Q391" s="446" t="e">
        <f>IF(OR($B391="",MIN(Q$38,$D$19)&lt;MAX($P$34*($B391+IF($R$17="Distrato",$I$38-1,0)),IF(AND($L$37=0,$P$34=0),"",$L$37-1),IF($R$17="Distrato",$E391,0))),0,YEARFRAC(MAX($P$34*($B391+IF($R$17="Distrato",$I$38-1,0)),IF(AND($L$37=0,$P$34=0),"",$L$37-1),IF($R$17="Distrato",$E391,0)),MIN(Q$38,$D$19),$P$20))-SUM($P391:P391)</f>
        <v>#VALUE!</v>
      </c>
      <c r="R391" s="446" t="e">
        <f>IF(OR($B391="",MIN(R$38,$D$19)&lt;MAX($P$34*($B391+IF($R$17="Distrato",$I$38-1,0)),IF(AND($L$37=0,$P$34=0),"",$L$37-1),IF($R$17="Distrato",$E391,0))),0,YEARFRAC(MAX($P$34*($B391+IF($R$17="Distrato",$I$38-1,0)),IF(AND($L$37=0,$P$34=0),"",$L$37-1),IF($R$17="Distrato",$E391,0)),MIN(R$38,$D$19),$P$20))-SUM($P391:Q391)</f>
        <v>#VALUE!</v>
      </c>
      <c r="S391" s="446" t="e">
        <f>IF(OR($B391="",MIN(S$38,$D$19)&lt;MAX($P$34*($B391+IF($R$17="Distrato",$I$38-1,0)),IF(AND($L$37=0,$P$34=0),"",$L$37-1),IF($R$17="Distrato",$E391,0))),0,YEARFRAC(MAX($P$34*($B391+IF($R$17="Distrato",$I$38-1,0)),IF(AND($L$37=0,$P$34=0),"",$L$37-1),IF($R$17="Distrato",$E391,0)),MIN(S$38,$D$19),$P$20))-SUM($P391:R391)</f>
        <v>#VALUE!</v>
      </c>
      <c r="T391" s="446" t="e">
        <f>IF(OR($B391="",MIN(T$38,$D$19)&lt;MAX($P$34*($B391+IF($R$17="Distrato",$I$38-1,0)),IF(AND($L$37=0,$P$34=0),"",$L$37-1),IF($R$17="Distrato",$E391,0))),0,YEARFRAC(MAX($P$34*($B391+IF($R$17="Distrato",$I$38-1,0)),IF(AND($L$37=0,$P$34=0),"",$L$37-1),IF($R$17="Distrato",$E391,0)),MIN(T$38,$D$19),$P$20))-SUM($P391:S391)</f>
        <v>#VALUE!</v>
      </c>
      <c r="U391" s="446" t="e">
        <f>IF(OR($B391="",MIN(U$38,$D$19)&lt;MAX($P$34*($B391+IF($R$17="Distrato",$I$38-1,0)),IF(AND($L$37=0,$P$34=0),"",$L$37-1),IF($R$17="Distrato",$E391,0))),0,YEARFRAC(MAX($P$34*($B391+IF($R$17="Distrato",$I$38-1,0)),IF(AND($L$37=0,$P$34=0),"",$L$37-1),IF($R$17="Distrato",$E391,0)),MIN(U$38,$D$19),$P$20))-SUM($P391:T391)</f>
        <v>#VALUE!</v>
      </c>
      <c r="V391" s="446" t="e">
        <f>IF(OR($B391="",MIN(V$38,$D$19)&lt;MAX($P$34*($B391+IF($R$17="Distrato",$I$38-1,0)),IF(AND($L$37=0,$P$34=0),"",$L$37-1),IF($R$17="Distrato",$E391,0))),0,YEARFRAC(MAX($P$34*($B391+IF($R$17="Distrato",$I$38-1,0)),IF(AND($L$37=0,$P$34=0),"",$L$37-1),IF($R$17="Distrato",$E391,0)),MIN(V$38,$D$19),$P$20))-SUM($P391:U391)</f>
        <v>#VALUE!</v>
      </c>
      <c r="W391" s="446" t="e">
        <f>IF(OR($B391="",MIN(W$38,$D$19)&lt;MAX($P$34*($B391+IF($R$17="Distrato",$I$38-1,0)),IF(AND($L$37=0,$P$34=0),"",$L$37-1),IF($R$17="Distrato",$E391,0))),0,YEARFRAC(MAX($P$34*($B391+IF($R$17="Distrato",$I$38-1,0)),IF(AND($L$37=0,$P$34=0),"",$L$37-1),IF($R$17="Distrato",$E391,0)),MIN(W$38,$D$19),$P$20))-SUM($P391:V391)</f>
        <v>#VALUE!</v>
      </c>
      <c r="X391" s="446" t="e">
        <f>IF(OR($B391="",MIN(X$38,$D$19)&lt;MAX($P$34*($B391+IF($R$17="Distrato",$I$38-1,0)),IF(AND($L$37=0,$P$34=0),"",$L$37-1),IF($R$17="Distrato",$E391,0))),0,YEARFRAC(MAX($P$34*($B391+IF($R$17="Distrato",$I$38-1,0)),IF(AND($L$37=0,$P$34=0),"",$L$37-1),IF($R$17="Distrato",$E391,0)),MIN(X$38,$D$19),$P$20))-SUM($P391:W391)</f>
        <v>#VALUE!</v>
      </c>
      <c r="Y391" s="446" t="e">
        <f>IF(OR($B391="",MIN(Y$38,$D$19)&lt;MAX($P$34*($B391+IF($R$17="Distrato",$I$38-1,0)),IF(AND($L$37=0,$P$34=0),"",$L$37-1),IF($R$17="Distrato",$E391,0))),0,YEARFRAC(MAX($P$34*($B391+IF($R$17="Distrato",$I$38-1,0)),IF(AND($L$37=0,$P$34=0),"",$L$37-1),IF($R$17="Distrato",$E391,0)),MIN(Y$38,$D$19),$P$20))-SUM($P391:X391)</f>
        <v>#VALUE!</v>
      </c>
      <c r="Z391" s="446" t="e">
        <f>IF(OR($B391="",MIN(Z$38,$D$19)&lt;MAX($P$34*($B391+IF($R$17="Distrato",$I$38-1,0)),IF(AND($L$37=0,$P$34=0),"",$L$37-1),IF($R$17="Distrato",$E391,0))),0,YEARFRAC(MAX($P$34*($B391+IF($R$17="Distrato",$I$38-1,0)),IF(AND($L$37=0,$P$34=0),"",$L$37-1),IF($R$17="Distrato",$E391,0)),MIN(Z$38,$D$19),$P$20))-SUM($P391:Y391)</f>
        <v>#VALUE!</v>
      </c>
      <c r="AA391" s="446" t="e">
        <f>IF(OR($B391="",MIN(AA$38,$D$19)&lt;MAX($P$34*($B391+IF($R$17="Distrato",$I$38-1,0)),IF(AND($L$37=0,$P$34=0),"",$L$37-1),IF($R$17="Distrato",$E391,0))),0,YEARFRAC(MAX($P$34*($B391+IF($R$17="Distrato",$I$38-1,0)),IF(AND($L$37=0,$P$34=0),"",$L$37-1),IF($R$17="Distrato",$E391,0)),MIN(AA$38,$D$19),$P$20))-SUM($P391:Z391)</f>
        <v>#VALUE!</v>
      </c>
      <c r="AB391" s="446" t="e">
        <f>IF(OR($B391="",MIN(AB$38,$D$19)&lt;MAX($P$34*($B391+IF($R$17="Distrato",$I$38-1,0)),IF(AND($L$37=0,$P$34=0),"",$L$37-1),IF($R$17="Distrato",$E391,0))),0,YEARFRAC(MAX($P$34*($B391+IF($R$17="Distrato",$I$38-1,0)),IF(AND($L$37=0,$P$34=0),"",$L$37-1),IF($R$17="Distrato",$E391,0)),MIN(AB$38,$D$19),$P$20))-SUM($P391:AA391)</f>
        <v>#VALUE!</v>
      </c>
      <c r="AC391" s="446" t="e">
        <f>IF(OR($B391="",MIN(AC$38,$D$19)&lt;MAX($P$34*($B391+IF($R$17="Distrato",$I$38-1,0)),IF(AND($L$37=0,$P$34=0),"",$L$37-1),IF($R$17="Distrato",$E391,0))),0,YEARFRAC(MAX($P$34*($B391+IF($R$17="Distrato",$I$38-1,0)),IF(AND($L$37=0,$P$34=0),"",$L$37-1),IF($R$17="Distrato",$E391,0)),MIN(AC$38,$D$19),$P$20))-SUM($P391:AB391)</f>
        <v>#VALUE!</v>
      </c>
      <c r="AD391" s="446" t="e">
        <f>IF(OR($B391="",MIN(AD$38,$D$19)&lt;MAX($P$34*($B391+IF($R$17="Distrato",$I$38-1,0)),IF(AND($L$37=0,$P$34=0),"",$L$37-1),IF($R$17="Distrato",$E391,0))),0,YEARFRAC(MAX($P$34*($B391+IF($R$17="Distrato",$I$38-1,0)),IF(AND($L$37=0,$P$34=0),"",$L$37-1),IF($R$17="Distrato",$E391,0)),MIN(AD$38,$D$19),$P$20))-SUM($P391:AC391)</f>
        <v>#VALUE!</v>
      </c>
      <c r="AE391" s="446" t="e">
        <f>IF(OR($B391="",MIN(AE$38,$D$19)&lt;MAX($P$34*($B391+IF($R$17="Distrato",$I$38-1,0)),IF(AND($L$37=0,$P$34=0),"",$L$37-1),IF($R$17="Distrato",$E391,0))),0,YEARFRAC(MAX($P$34*($B391+IF($R$17="Distrato",$I$38-1,0)),IF(AND($L$37=0,$P$34=0),"",$L$37-1),IF($R$17="Distrato",$E391,0)),MIN(AE$38,$D$19),$P$20))-SUM($P391:AD391)</f>
        <v>#VALUE!</v>
      </c>
      <c r="AF391" s="446" t="e">
        <f>IF(OR($B391="",MIN(AF$38,$D$19)&lt;MAX($P$34*($B391+IF($R$17="Distrato",$I$38-1,0)),IF(AND($L$37=0,$P$34=0),"",$L$37-1),IF($R$17="Distrato",$E391,0))),0,YEARFRAC(MAX($P$34*($B391+IF($R$17="Distrato",$I$38-1,0)),IF(AND($L$37=0,$P$34=0),"",$L$37-1),IF($R$17="Distrato",$E391,0)),MIN(AF$38,$D$19),$P$20))-SUM($P391:AE391)</f>
        <v>#VALUE!</v>
      </c>
      <c r="AG391" s="446" t="e">
        <f>IF(OR($B391="",MIN(AG$38,$D$19)&lt;MAX($P$34*($B391+IF($R$17="Distrato",$I$38-1,0)),IF(AND($L$37=0,$P$34=0),"",$L$37-1),IF($R$17="Distrato",$E391,0))),0,YEARFRAC(MAX($P$34*($B391+IF($R$17="Distrato",$I$38-1,0)),IF(AND($L$37=0,$P$34=0),"",$L$37-1),IF($R$17="Distrato",$E391,0)),MIN(AG$38,$D$19),$P$20))-SUM($P391:AF391)</f>
        <v>#VALUE!</v>
      </c>
      <c r="AH391" s="446" t="e">
        <f>IF(OR($B391="",MIN(AH$38,$D$19)&lt;MAX($P$34*($B391+IF($R$17="Distrato",$I$38-1,0)),IF(AND($L$37=0,$P$34=0),"",$L$37-1),IF($R$17="Distrato",$E391,0))),0,YEARFRAC(MAX($P$34*($B391+IF($R$17="Distrato",$I$38-1,0)),IF(AND($L$37=0,$P$34=0),"",$L$37-1),IF($R$17="Distrato",$E391,0)),MIN(AH$38,$D$19),$P$20))-SUM($P391:AG391)</f>
        <v>#VALUE!</v>
      </c>
      <c r="AI391" s="446" t="e">
        <f>IF(OR($B391="",MIN(AI$38,$D$19)&lt;MAX($P$34*($B391+IF($R$17="Distrato",$I$38-1,0)),IF(AND($L$37=0,$P$34=0),"",$L$37-1),IF($R$17="Distrato",$E391,0))),0,YEARFRAC(MAX($P$34*($B391+IF($R$17="Distrato",$I$38-1,0)),IF(AND($L$37=0,$P$34=0),"",$L$37-1),IF($R$17="Distrato",$E391,0)),MIN(AI$38,$D$19),$P$20))-SUM($P391:AH391)</f>
        <v>#VALUE!</v>
      </c>
      <c r="AJ391" s="446" t="e">
        <f>IF(OR($B391="",MIN(AJ$38,$D$19)&lt;MAX($P$34*($B391+IF($R$17="Distrato",$I$38-1,0)),IF(AND($L$37=0,$P$34=0),"",$L$37-1),IF($R$17="Distrato",$E391,0))),0,YEARFRAC(MAX($P$34*($B391+IF($R$17="Distrato",$I$38-1,0)),IF(AND($L$37=0,$P$34=0),"",$L$37-1),IF($R$17="Distrato",$E391,0)),MIN(AJ$38,$D$19),$P$20))-SUM($P391:AI391)</f>
        <v>#VALUE!</v>
      </c>
      <c r="AK391" s="446" t="e">
        <f>IF(OR($B391="",MIN(AK$38,$D$19)&lt;MAX($P$34*($B391+IF($R$17="Distrato",$I$38-1,0)),IF(AND($L$37=0,$P$34=0),"",$L$37-1),IF($R$17="Distrato",$E391,0))),0,YEARFRAC(MAX($P$34*($B391+IF($R$17="Distrato",$I$38-1,0)),IF(AND($L$37=0,$P$34=0),"",$L$37-1),IF($R$17="Distrato",$E391,0)),MIN(AK$38,$D$19),$P$20))-SUM($P391:AJ391)</f>
        <v>#VALUE!</v>
      </c>
      <c r="AL391" s="446" t="e">
        <f>IF(OR($B391="",MIN(AL$38,$D$19)&lt;MAX($P$34*($B391+IF($R$17="Distrato",$I$38-1,0)),IF(AND($L$37=0,$P$34=0),"",$L$37-1),IF($R$17="Distrato",$E391,0))),0,YEARFRAC(MAX($P$34*($B391+IF($R$17="Distrato",$I$38-1,0)),IF(AND($L$37=0,$P$34=0),"",$L$37-1),IF($R$17="Distrato",$E391,0)),MIN(AL$38,$D$19),$P$20))-SUM($P391:AK391)</f>
        <v>#VALUE!</v>
      </c>
      <c r="AM391" s="446" t="e">
        <f>IF(OR($B391="",MIN(AM$38,$D$19)&lt;MAX($P$34*($B391+IF($R$17="Distrato",$I$38-1,0)),IF(AND($L$37=0,$P$34=0),"",$L$37-1),IF($R$17="Distrato",$E391,0))),0,YEARFRAC(MAX($P$34*($B391+IF($R$17="Distrato",$I$38-1,0)),IF(AND($L$37=0,$P$34=0),"",$L$37-1),IF($R$17="Distrato",$E391,0)),MIN(AM$38,$D$19),$P$20))-SUM($P391:AL391)</f>
        <v>#VALUE!</v>
      </c>
      <c r="AN391" s="446" t="e">
        <f>IF(OR($B391="",MIN(AN$38,$D$19)&lt;MAX($P$34*($B391+IF($R$17="Distrato",$I$38-1,0)),IF(AND($L$37=0,$P$34=0),"",$L$37-1),IF($R$17="Distrato",$E391,0))),0,YEARFRAC(MAX($P$34*($B391+IF($R$17="Distrato",$I$38-1,0)),IF(AND($L$37=0,$P$34=0),"",$L$37-1),IF($R$17="Distrato",$E391,0)),MIN(AN$38,$D$19),$P$20))-SUM($P391:AM391)</f>
        <v>#VALUE!</v>
      </c>
      <c r="AO391" s="446" t="e">
        <f>IF(OR($B391="",MIN(AO$38,$D$19)&lt;MAX($P$34*($B391+IF($R$17="Distrato",$I$38-1,0)),IF(AND($L$37=0,$P$34=0),"",$L$37-1),IF($R$17="Distrato",$E391,0))),0,YEARFRAC(MAX($P$34*($B391+IF($R$17="Distrato",$I$38-1,0)),IF(AND($L$37=0,$P$34=0),"",$L$37-1),IF($R$17="Distrato",$E391,0)),MIN(AO$38,$D$19),$P$20))-SUM($P391:AN391)</f>
        <v>#VALUE!</v>
      </c>
      <c r="AP391" s="446" t="e">
        <f>IF(OR($B391="",MIN(AP$38,$D$19)&lt;MAX($P$34*($B391+IF($R$17="Distrato",$I$38-1,0)),IF(AND($L$37=0,$P$34=0),"",$L$37-1),IF($R$17="Distrato",$E391,0))),0,YEARFRAC(MAX($P$34*($B391+IF($R$17="Distrato",$I$38-1,0)),IF(AND($L$37=0,$P$34=0),"",$L$37-1),IF($R$17="Distrato",$E391,0)),MIN(AP$38,$D$19),$P$20))-SUM($P391:AO391)</f>
        <v>#VALUE!</v>
      </c>
      <c r="AQ391" s="446" t="e">
        <f>IF(OR($B391="",MIN(AQ$38,$D$19)&lt;MAX($P$34*($B391+IF($R$17="Distrato",$I$38-1,0)),IF(AND($L$37=0,$P$34=0),"",$L$37-1),IF($R$17="Distrato",$E391,0))),0,YEARFRAC(MAX($P$34*($B391+IF($R$17="Distrato",$I$38-1,0)),IF(AND($L$37=0,$P$34=0),"",$L$37-1),IF($R$17="Distrato",$E391,0)),MIN(AQ$38,$D$19),$P$20))-SUM($P391:AP391)</f>
        <v>#VALUE!</v>
      </c>
      <c r="AR391" s="446" t="e">
        <f>IF(OR($B391="",MIN(AR$38,$D$19)&lt;MAX($P$34*($B391+IF($R$17="Distrato",$I$38-1,0)),IF(AND($L$37=0,$P$34=0),"",$L$37-1),IF($R$17="Distrato",$E391,0))),0,YEARFRAC(MAX($P$34*($B391+IF($R$17="Distrato",$I$38-1,0)),IF(AND($L$37=0,$P$34=0),"",$L$37-1),IF($R$17="Distrato",$E391,0)),MIN(AR$38,$D$19),$P$20))-SUM($P391:AQ391)</f>
        <v>#VALUE!</v>
      </c>
      <c r="AS391" s="446" t="e">
        <f>IF(OR($B391="",MIN(AS$38,$D$19)&lt;MAX($P$34*($B391+IF($R$17="Distrato",$I$38-1,0)),IF(AND($L$37=0,$P$34=0),"",$L$37-1),IF($R$17="Distrato",$E391,0))),0,YEARFRAC(MAX($P$34*($B391+IF($R$17="Distrato",$I$38-1,0)),IF(AND($L$37=0,$P$34=0),"",$L$37-1),IF($R$17="Distrato",$E391,0)),MIN(AS$38,$D$19),$P$20))-SUM($P391:AR391)</f>
        <v>#VALUE!</v>
      </c>
      <c r="AT391" s="446" t="e">
        <f>IF(OR($B391="",MIN(AT$38,$D$19)&lt;MAX($P$34*($B391+IF($R$17="Distrato",$I$38-1,0)),IF(AND($L$37=0,$P$34=0),"",$L$37-1),IF($R$17="Distrato",$E391,0))),0,YEARFRAC(MAX($P$34*($B391+IF($R$17="Distrato",$I$38-1,0)),IF(AND($L$37=0,$P$34=0),"",$L$37-1),IF($R$17="Distrato",$E391,0)),MIN(AT$38,$D$19),$P$20))-SUM($P391:AS391)</f>
        <v>#VALUE!</v>
      </c>
      <c r="AU391" s="446" t="e">
        <f>IF(OR($B391="",MIN(AU$38,$D$19)&lt;MAX($P$34*($B391+IF($R$17="Distrato",$I$38-1,0)),IF(AND($L$37=0,$P$34=0),"",$L$37-1),IF($R$17="Distrato",$E391,0))),0,YEARFRAC(MAX($P$34*($B391+IF($R$17="Distrato",$I$38-1,0)),IF(AND($L$37=0,$P$34=0),"",$L$37-1),IF($R$17="Distrato",$E391,0)),MIN(AU$38,$D$19),$P$20))-SUM($P391:AT391)</f>
        <v>#VALUE!</v>
      </c>
      <c r="AV391" s="446" t="e">
        <f>IF(OR($B391="",MIN(AV$38,$D$19)&lt;MAX($P$34*($B391+IF($R$17="Distrato",$I$38-1,0)),IF(AND($L$37=0,$P$34=0),"",$L$37-1),IF($R$17="Distrato",$E391,0))),0,YEARFRAC(MAX($P$34*($B391+IF($R$17="Distrato",$I$38-1,0)),IF(AND($L$37=0,$P$34=0),"",$L$37-1),IF($R$17="Distrato",$E391,0)),MIN(AV$38,$D$19),$P$20))-SUM($P391:AU391)</f>
        <v>#VALUE!</v>
      </c>
      <c r="AW391" s="446" t="e">
        <f>IF(OR($B391="",MIN(AW$38,$D$19)&lt;MAX($P$34*($B391+IF($R$17="Distrato",$I$38-1,0)),IF(AND($L$37=0,$P$34=0),"",$L$37-1),IF($R$17="Distrato",$E391,0))),0,YEARFRAC(MAX($P$34*($B391+IF($R$17="Distrato",$I$38-1,0)),IF(AND($L$37=0,$P$34=0),"",$L$37-1),IF($R$17="Distrato",$E391,0)),MIN(AW$38,$D$19),$P$20))-SUM($P391:AV391)</f>
        <v>#VALUE!</v>
      </c>
      <c r="AX391" s="446" t="e">
        <f>IF(OR($B391="",MIN(AX$38,$D$19)&lt;MAX($P$34*($B391+IF($R$17="Distrato",$I$38-1,0)),IF(AND($L$37=0,$P$34=0),"",$L$37-1),IF($R$17="Distrato",$E391,0))),0,YEARFRAC(MAX($P$34*($B391+IF($R$17="Distrato",$I$38-1,0)),IF(AND($L$37=0,$P$34=0),"",$L$37-1),IF($R$17="Distrato",$E391,0)),MIN(AX$38,$D$19),$P$20))-SUM($P391:AW391)</f>
        <v>#VALUE!</v>
      </c>
      <c r="AY391" s="446" t="e">
        <f>IF(OR($B391="",MIN(AY$38,$D$19)&lt;MAX($P$34*($B391+IF($R$17="Distrato",$I$38-1,0)),IF(AND($L$37=0,$P$34=0),"",$L$37-1),IF($R$17="Distrato",$E391,0))),0,YEARFRAC(MAX($P$34*($B391+IF($R$17="Distrato",$I$38-1,0)),IF(AND($L$37=0,$P$34=0),"",$L$37-1),IF($R$17="Distrato",$E391,0)),MIN(AY$38,$D$19),$P$20))-SUM($P391:AX391)</f>
        <v>#VALUE!</v>
      </c>
      <c r="AZ391" s="446" t="e">
        <f>IF(OR($B391="",MIN(AZ$38,$D$19)&lt;MAX($P$34*($B391+IF($R$17="Distrato",$I$38-1,0)),IF(AND($L$37=0,$P$34=0),"",$L$37-1),IF($R$17="Distrato",$E391,0))),0,YEARFRAC(MAX($P$34*($B391+IF($R$17="Distrato",$I$38-1,0)),IF(AND($L$37=0,$P$34=0),"",$L$37-1),IF($R$17="Distrato",$E391,0)),MIN(AZ$38,$D$19),$P$20))-SUM($P391:AY391)</f>
        <v>#VALUE!</v>
      </c>
      <c r="BA391" s="446" t="e">
        <f>IF(OR($B391="",MIN(BA$38,$D$19)&lt;MAX($P$34*($B391+IF($R$17="Distrato",$I$38-1,0)),IF(AND($L$37=0,$P$34=0),"",$L$37-1),IF($R$17="Distrato",$E391,0))),0,YEARFRAC(MAX($P$34*($B391+IF($R$17="Distrato",$I$38-1,0)),IF(AND($L$37=0,$P$34=0),"",$L$37-1),IF($R$17="Distrato",$E391,0)),MIN(BA$38,$D$19),$P$20))-SUM($P391:AZ391)</f>
        <v>#VALUE!</v>
      </c>
      <c r="BB391" s="447"/>
      <c r="BF391" s="446">
        <f t="shared" si="65"/>
        <v>0</v>
      </c>
      <c r="BG391" s="446">
        <f>IF($E391=0,0,IF(MIN(BG$38,$E391)&lt;MAX($P$34*($B391+$I$38-1),IF(AND($L$37=0,$P$34=0),"",$L$37-1)),0,YEARFRAC(MAX($P$34*($B391+$I$38-1),IF(AND($L$37=0,$P$34=0),"",$L$37-1)),MIN(BG$38,$E391),$P$20))-SUM($BF391:BF391))</f>
        <v>0</v>
      </c>
      <c r="BH391" s="446">
        <f>IF($E391=0,0,IF(MIN(BH$38,$E391)&lt;MAX($P$34*($B391+$I$38-1),IF(AND($L$37=0,$P$34=0),"",$L$37-1)),0,YEARFRAC(MAX($P$34*($B391+$I$38-1),IF(AND($L$37=0,$P$34=0),"",$L$37-1)),MIN(BH$38,$E391),$P$20))-SUM($BF391:BG391))</f>
        <v>0</v>
      </c>
      <c r="BI391" s="446">
        <f>IF($E391=0,0,IF(MIN(BI$38,$E391)&lt;MAX($P$34*($B391+$I$38-1),IF(AND($L$37=0,$P$34=0),"",$L$37-1)),0,YEARFRAC(MAX($P$34*($B391+$I$38-1),IF(AND($L$37=0,$P$34=0),"",$L$37-1)),MIN(BI$38,$E391),$P$20))-SUM($BF391:BH391))</f>
        <v>0</v>
      </c>
      <c r="BJ391" s="446">
        <f>IF($E391=0,0,IF(MIN(BJ$38,$E391)&lt;MAX($P$34*($B391+$I$38-1),IF(AND($L$37=0,$P$34=0),"",$L$37-1)),0,YEARFRAC(MAX($P$34*($B391+$I$38-1),IF(AND($L$37=0,$P$34=0),"",$L$37-1)),MIN(BJ$38,$E391),$P$20))-SUM($BF391:BI391))</f>
        <v>0</v>
      </c>
      <c r="BK391" s="446">
        <f>IF($E391=0,0,IF(MIN(BK$38,$E391)&lt;MAX($P$34*($B391+$I$38-1),IF(AND($L$37=0,$P$34=0),"",$L$37-1)),0,YEARFRAC(MAX($P$34*($B391+$I$38-1),IF(AND($L$37=0,$P$34=0),"",$L$37-1)),MIN(BK$38,$E391),$P$20))-SUM($BF391:BJ391))</f>
        <v>0</v>
      </c>
      <c r="BL391" s="446">
        <f>IF($E391=0,0,IF(MIN(BL$38,$E391)&lt;MAX($P$34*($B391+$I$38-1),IF(AND($L$37=0,$P$34=0),"",$L$37-1)),0,YEARFRAC(MAX($P$34*($B391+$I$38-1),IF(AND($L$37=0,$P$34=0),"",$L$37-1)),MIN(BL$38,$E391),$P$20))-SUM($BF391:BK391))</f>
        <v>0</v>
      </c>
      <c r="BM391" s="446">
        <f>IF($E391=0,0,IF(MIN(BM$38,$E391)&lt;MAX($P$34*($B391+$I$38-1),IF(AND($L$37=0,$P$34=0),"",$L$37-1)),0,YEARFRAC(MAX($P$34*($B391+$I$38-1),IF(AND($L$37=0,$P$34=0),"",$L$37-1)),MIN(BM$38,$E391),$P$20))-SUM($BF391:BL391))</f>
        <v>0</v>
      </c>
      <c r="BN391" s="446">
        <f>IF($E391=0,0,IF(MIN(BN$38,$E391)&lt;MAX($P$34*($B391+$I$38-1),IF(AND($L$37=0,$P$34=0),"",$L$37-1)),0,YEARFRAC(MAX($P$34*($B391+$I$38-1),IF(AND($L$37=0,$P$34=0),"",$L$37-1)),MIN(BN$38,$E391),$P$20))-SUM($BF391:BM391))</f>
        <v>0</v>
      </c>
      <c r="BO391" s="446">
        <f>IF($E391=0,0,IF(MIN(BO$38,$E391)&lt;MAX($P$34*($B391+$I$38-1),IF(AND($L$37=0,$P$34=0),"",$L$37-1)),0,YEARFRAC(MAX($P$34*($B391+$I$38-1),IF(AND($L$37=0,$P$34=0),"",$L$37-1)),MIN(BO$38,$E391),$P$20))-SUM($BF391:BN391))</f>
        <v>0</v>
      </c>
      <c r="BP391" s="446">
        <f>IF($E391=0,0,IF(MIN(BP$38,$E391)&lt;MAX($P$34*($B391+$I$38-1),IF(AND($L$37=0,$P$34=0),"",$L$37-1)),0,YEARFRAC(MAX($P$34*($B391+$I$38-1),IF(AND($L$37=0,$P$34=0),"",$L$37-1)),MIN(BP$38,$E391),$P$20))-SUM($BF391:BO391))</f>
        <v>0</v>
      </c>
      <c r="BQ391" s="446">
        <f>IF($E391=0,0,IF(MIN(BQ$38,$E391)&lt;MAX($P$34*($B391+$I$38-1),IF(AND($L$37=0,$P$34=0),"",$L$37-1)),0,YEARFRAC(MAX($P$34*($B391+$I$38-1),IF(AND($L$37=0,$P$34=0),"",$L$37-1)),MIN(BQ$38,$E391),$P$20))-SUM($BF391:BP391))</f>
        <v>0</v>
      </c>
      <c r="BR391" s="446">
        <f>IF($E391=0,0,IF(MIN(BR$38,$E391)&lt;MAX($P$34*($B391+$I$38-1),IF(AND($L$37=0,$P$34=0),"",$L$37-1)),0,YEARFRAC(MAX($P$34*($B391+$I$38-1),IF(AND($L$37=0,$P$34=0),"",$L$37-1)),MIN(BR$38,$E391),$P$20))-SUM($BF391:BQ391))</f>
        <v>0</v>
      </c>
      <c r="BS391" s="446">
        <f>IF($E391=0,0,IF(MIN(BS$38,$E391)&lt;MAX($P$34*($B391+$I$38-1),IF(AND($L$37=0,$P$34=0),"",$L$37-1)),0,YEARFRAC(MAX($P$34*($B391+$I$38-1),IF(AND($L$37=0,$P$34=0),"",$L$37-1)),MIN(BS$38,$E391),$P$20))-SUM($BF391:BR391))</f>
        <v>0</v>
      </c>
      <c r="BT391" s="446">
        <f>IF($E391=0,0,IF(MIN(BT$38,$E391)&lt;MAX($P$34*($B391+$I$38-1),IF(AND($L$37=0,$P$34=0),"",$L$37-1)),0,YEARFRAC(MAX($P$34*($B391+$I$38-1),IF(AND($L$37=0,$P$34=0),"",$L$37-1)),MIN(BT$38,$E391),$P$20))-SUM($BF391:BS391))</f>
        <v>0</v>
      </c>
      <c r="BU391" s="446">
        <f>IF($E391=0,0,IF(MIN(BU$38,$E391)&lt;MAX($P$34*($B391+$I$38-1),IF(AND($L$37=0,$P$34=0),"",$L$37-1)),0,YEARFRAC(MAX($P$34*($B391+$I$38-1),IF(AND($L$37=0,$P$34=0),"",$L$37-1)),MIN(BU$38,$E391),$P$20))-SUM($BF391:BT391))</f>
        <v>0</v>
      </c>
      <c r="BV391" s="446">
        <f>IF($E391=0,0,IF(MIN(BV$38,$E391)&lt;MAX($P$34*($B391+$I$38-1),IF(AND($L$37=0,$P$34=0),"",$L$37-1)),0,YEARFRAC(MAX($P$34*($B391+$I$38-1),IF(AND($L$37=0,$P$34=0),"",$L$37-1)),MIN(BV$38,$E391),$P$20))-SUM($BF391:BU391))</f>
        <v>0</v>
      </c>
      <c r="BW391" s="446">
        <f>IF($E391=0,0,IF(MIN(BW$38,$E391)&lt;MAX($P$34*($B391+$I$38-1),IF(AND($L$37=0,$P$34=0),"",$L$37-1)),0,YEARFRAC(MAX($P$34*($B391+$I$38-1),IF(AND($L$37=0,$P$34=0),"",$L$37-1)),MIN(BW$38,$E391),$P$20))-SUM($BF391:BV391))</f>
        <v>0</v>
      </c>
      <c r="BX391" s="446">
        <f>IF($E391=0,0,IF(MIN(BX$38,$E391)&lt;MAX($P$34*($B391+$I$38-1),IF(AND($L$37=0,$P$34=0),"",$L$37-1)),0,YEARFRAC(MAX($P$34*($B391+$I$38-1),IF(AND($L$37=0,$P$34=0),"",$L$37-1)),MIN(BX$38,$E391),$P$20))-SUM($BF391:BW391))</f>
        <v>0</v>
      </c>
      <c r="BY391" s="446">
        <f>IF($E391=0,0,IF(MIN(BY$38,$E391)&lt;MAX($P$34*($B391+$I$38-1),IF(AND($L$37=0,$P$34=0),"",$L$37-1)),0,YEARFRAC(MAX($P$34*($B391+$I$38-1),IF(AND($L$37=0,$P$34=0),"",$L$37-1)),MIN(BY$38,$E391),$P$20))-SUM($BF391:BX391))</f>
        <v>0</v>
      </c>
      <c r="BZ391" s="446">
        <f>IF($E391=0,0,IF(MIN(BZ$38,$E391)&lt;MAX($P$34*($B391+$I$38-1),IF(AND($L$37=0,$P$34=0),"",$L$37-1)),0,YEARFRAC(MAX($P$34*($B391+$I$38-1),IF(AND($L$37=0,$P$34=0),"",$L$37-1)),MIN(BZ$38,$E391),$P$20))-SUM($BF391:BY391))</f>
        <v>0</v>
      </c>
      <c r="CA391" s="446">
        <f>IF($E391=0,0,IF(MIN(CA$38,$E391)&lt;MAX($P$34*($B391+$I$38-1),IF(AND($L$37=0,$P$34=0),"",$L$37-1)),0,YEARFRAC(MAX($P$34*($B391+$I$38-1),IF(AND($L$37=0,$P$34=0),"",$L$37-1)),MIN(CA$38,$E391),$P$20))-SUM($BF391:BZ391))</f>
        <v>0</v>
      </c>
      <c r="CB391" s="446">
        <f>IF($E391=0,0,IF(MIN(CB$38,$E391)&lt;MAX($P$34*($B391+$I$38-1),IF(AND($L$37=0,$P$34=0),"",$L$37-1)),0,YEARFRAC(MAX($P$34*($B391+$I$38-1),IF(AND($L$37=0,$P$34=0),"",$L$37-1)),MIN(CB$38,$E391),$P$20))-SUM($BF391:CA391))</f>
        <v>0</v>
      </c>
      <c r="CC391" s="446">
        <f>IF($E391=0,0,IF(MIN(CC$38,$E391)&lt;MAX($P$34*($B391+$I$38-1),IF(AND($L$37=0,$P$34=0),"",$L$37-1)),0,YEARFRAC(MAX($P$34*($B391+$I$38-1),IF(AND($L$37=0,$P$34=0),"",$L$37-1)),MIN(CC$38,$E391),$P$20))-SUM($BF391:CB391))</f>
        <v>0</v>
      </c>
      <c r="CD391" s="446">
        <f>IF($E391=0,0,IF(MIN(CD$38,$E391)&lt;MAX($P$34*($B391+$I$38-1),IF(AND($L$37=0,$P$34=0),"",$L$37-1)),0,YEARFRAC(MAX($P$34*($B391+$I$38-1),IF(AND($L$37=0,$P$34=0),"",$L$37-1)),MIN(CD$38,$E391),$P$20))-SUM($BF391:CC391))</f>
        <v>0</v>
      </c>
      <c r="CE391" s="446">
        <f>IF($E391=0,0,IF(MIN(CE$38,$E391)&lt;MAX($P$34*($B391+$I$38-1),IF(AND($L$37=0,$P$34=0),"",$L$37-1)),0,YEARFRAC(MAX($P$34*($B391+$I$38-1),IF(AND($L$37=0,$P$34=0),"",$L$37-1)),MIN(CE$38,$E391),$P$20))-SUM($BF391:CD391))</f>
        <v>0</v>
      </c>
      <c r="CF391" s="446">
        <f>IF($E391=0,0,IF(MIN(CF$38,$E391)&lt;MAX($P$34*($B391+$I$38-1),IF(AND($L$37=0,$P$34=0),"",$L$37-1)),0,YEARFRAC(MAX($P$34*($B391+$I$38-1),IF(AND($L$37=0,$P$34=0),"",$L$37-1)),MIN(CF$38,$E391),$P$20))-SUM($BF391:CE391))</f>
        <v>0</v>
      </c>
      <c r="CG391" s="446">
        <f>IF($E391=0,0,IF(MIN(CG$38,$E391)&lt;MAX($P$34*($B391+$I$38-1),IF(AND($L$37=0,$P$34=0),"",$L$37-1)),0,YEARFRAC(MAX($P$34*($B391+$I$38-1),IF(AND($L$37=0,$P$34=0),"",$L$37-1)),MIN(CG$38,$E391),$P$20))-SUM($BF391:CF391))</f>
        <v>0</v>
      </c>
      <c r="CH391" s="446">
        <f>IF($E391=0,0,IF(MIN(CH$38,$E391)&lt;MAX($P$34*($B391+$I$38-1),IF(AND($L$37=0,$P$34=0),"",$L$37-1)),0,YEARFRAC(MAX($P$34*($B391+$I$38-1),IF(AND($L$37=0,$P$34=0),"",$L$37-1)),MIN(CH$38,$E391),$P$20))-SUM($BF391:CG391))</f>
        <v>0</v>
      </c>
      <c r="CI391" s="446">
        <f>IF($E391=0,0,IF(MIN(CI$38,$E391)&lt;MAX($P$34*($B391+$I$38-1),IF(AND($L$37=0,$P$34=0),"",$L$37-1)),0,YEARFRAC(MAX($P$34*($B391+$I$38-1),IF(AND($L$37=0,$P$34=0),"",$L$37-1)),MIN(CI$38,$E391),$P$20))-SUM($BF391:CH391))</f>
        <v>0</v>
      </c>
      <c r="CJ391" s="446">
        <f>IF($E391=0,0,IF(MIN(CJ$38,$E391)&lt;MAX($P$34*($B391+$I$38-1),IF(AND($L$37=0,$P$34=0),"",$L$37-1)),0,YEARFRAC(MAX($P$34*($B391+$I$38-1),IF(AND($L$37=0,$P$34=0),"",$L$37-1)),MIN(CJ$38,$E391),$P$20))-SUM($BF391:CI391))</f>
        <v>0</v>
      </c>
      <c r="CK391" s="446">
        <f>IF($E391=0,0,IF(MIN(CK$38,$E391)&lt;MAX($P$34*($B391+$I$38-1),IF(AND($L$37=0,$P$34=0),"",$L$37-1)),0,YEARFRAC(MAX($P$34*($B391+$I$38-1),IF(AND($L$37=0,$P$34=0),"",$L$37-1)),MIN(CK$38,$E391),$P$20))-SUM($BF391:CJ391))</f>
        <v>0</v>
      </c>
      <c r="CL391" s="446">
        <f>IF($E391=0,0,IF(MIN(CL$38,$E391)&lt;MAX($P$34*($B391+$I$38-1),IF(AND($L$37=0,$P$34=0),"",$L$37-1)),0,YEARFRAC(MAX($P$34*($B391+$I$38-1),IF(AND($L$37=0,$P$34=0),"",$L$37-1)),MIN(CL$38,$E391),$P$20))-SUM($BF391:CK391))</f>
        <v>0</v>
      </c>
      <c r="CM391" s="446">
        <f>IF($E391=0,0,IF(MIN(CM$38,$E391)&lt;MAX($P$34*($B391+$I$38-1),IF(AND($L$37=0,$P$34=0),"",$L$37-1)),0,YEARFRAC(MAX($P$34*($B391+$I$38-1),IF(AND($L$37=0,$P$34=0),"",$L$37-1)),MIN(CM$38,$E391),$P$20))-SUM($BF391:CL391))</f>
        <v>0</v>
      </c>
      <c r="CN391" s="446">
        <f>IF($E391=0,0,IF(MIN(CN$38,$E391)&lt;MAX($P$34*($B391+$I$38-1),IF(AND($L$37=0,$P$34=0),"",$L$37-1)),0,YEARFRAC(MAX($P$34*($B391+$I$38-1),IF(AND($L$37=0,$P$34=0),"",$L$37-1)),MIN(CN$38,$E391),$P$20))-SUM($BF391:CM391))</f>
        <v>0</v>
      </c>
      <c r="CO391" s="446">
        <f>IF($E391=0,0,IF(MIN(CO$38,$E391)&lt;MAX($P$34*($B391+$I$38-1),IF(AND($L$37=0,$P$34=0),"",$L$37-1)),0,YEARFRAC(MAX($P$34*($B391+$I$38-1),IF(AND($L$37=0,$P$34=0),"",$L$37-1)),MIN(CO$38,$E391),$P$20))-SUM($BF391:CN391))</f>
        <v>0</v>
      </c>
      <c r="CP391" s="446">
        <f>IF($E391=0,0,IF(MIN(CP$38,$E391)&lt;MAX($P$34*($B391+$I$38-1),IF(AND($L$37=0,$P$34=0),"",$L$37-1)),0,YEARFRAC(MAX($P$34*($B391+$I$38-1),IF(AND($L$37=0,$P$34=0),"",$L$37-1)),MIN(CP$38,$E391),$P$20))-SUM($BF391:CO391))</f>
        <v>0</v>
      </c>
      <c r="CQ391" s="446">
        <f>IF($E391=0,0,IF(MIN(CQ$38,$E391)&lt;MAX($P$34*($B391+$I$38-1),IF(AND($L$37=0,$P$34=0),"",$L$37-1)),0,YEARFRAC(MAX($P$34*($B391+$I$38-1),IF(AND($L$37=0,$P$34=0),"",$L$37-1)),MIN(CQ$38,$E391),$P$20))-SUM($BF391:CP391))</f>
        <v>0</v>
      </c>
    </row>
    <row r="392" spans="1:95" s="446" customFormat="1" ht="11.25" hidden="1" customHeight="1" x14ac:dyDescent="0.2">
      <c r="A392" s="152"/>
      <c r="B392" s="153" t="str">
        <f t="shared" si="70"/>
        <v/>
      </c>
      <c r="C392" s="29" t="str">
        <f>IF(B392="","",IF($L$35="SELIC - TRIBUTOS",VLOOKUP(DATE(YEAR($D$19),MONTH($D$19)-1,1),ÍNDICES!$A:$DE,HLOOKUP($BL$25,ÍNDICES!$B$3:$T$4,2)+11)-VLOOKUP(B392,ÍNDICES!$A:$DE,HLOOKUP($BL$25,ÍNDICES!$B$3:$T$4,2)+11)+1%,IF(C$38=$W$26,$J$35,IF(ISERROR(IF(B392&gt;$D$19,1,VLOOKUP(DATE(YEAR(B392),MONTH(B392)+IF($C$35=$S$23,1,0),1),ÍNDICES!$A:$DE,$Z$35+1))),"",IF(B392&gt;$D$19,1,VLOOKUP(DATE(YEAR(B392),MONTH(B392)+IF($C$35=$S$23,1,0),1),ÍNDICES!$A:$DE,$Z$35+1))))))</f>
        <v/>
      </c>
      <c r="D392" s="154" t="str">
        <f>IF(ISERROR(IF(OR($D$38=$Y$27,$B392=""),"",VLOOKUP(B392,ÍNDICES!A:DE,AF$35+1))),"",IF(OR($D$38=$Y$27,$B392=""),"",VLOOKUP(B392,ÍNDICES!A:DE,AF$35+1)))</f>
        <v/>
      </c>
      <c r="E392" s="153"/>
      <c r="F392" s="29" t="str">
        <f>IF(E392="","",IF($L$35="SELIC - TRIBUTOS",VLOOKUP(DATE(YEAR($D$19),MONTH($D$19)-1,1),ÍNDICES!$A:$DE,HLOOKUP($BL$25,ÍNDICES!$B$3:$T$4,2)+11)-VLOOKUP(E392,ÍNDICES!$A:$DE,HLOOKUP($BL$25,ÍNDICES!$B$3:$T$4,2)+11)+1%,IF(F$38=$W$26,$J$35,IF(ISERROR(IF(E392&gt;$D$19,1,VLOOKUP(DATE(YEAR(E392),MONTH(E392)+IF($C$35=$S$23,1,0),1),ÍNDICES!$A:$DE,$Z$35+1))),"",IF(E392&gt;$D$19,1,VLOOKUP(DATE(YEAR(E392),MONTH(E392)+IF($C$35=$S$23,1,0),1),ÍNDICES!$A:$DE,$Z$35+1))))))</f>
        <v/>
      </c>
      <c r="G392" s="155"/>
      <c r="H392" s="156" t="str">
        <f t="shared" si="66"/>
        <v/>
      </c>
      <c r="I392" s="29" t="str">
        <f t="shared" si="60"/>
        <v/>
      </c>
      <c r="J392" s="5">
        <f t="shared" si="61"/>
        <v>0</v>
      </c>
      <c r="K392" s="20">
        <f t="shared" ca="1" si="62"/>
        <v>0</v>
      </c>
      <c r="L392" s="5">
        <f t="shared" ca="1" si="63"/>
        <v>0</v>
      </c>
      <c r="M392" s="64">
        <f t="shared" si="67"/>
        <v>0</v>
      </c>
      <c r="N392" s="61">
        <f t="shared" ca="1" si="68"/>
        <v>0</v>
      </c>
      <c r="O392" s="5">
        <f t="shared" ca="1" si="69"/>
        <v>0</v>
      </c>
      <c r="P392" s="446" t="e">
        <f t="shared" si="64"/>
        <v>#VALUE!</v>
      </c>
      <c r="Q392" s="446" t="e">
        <f>IF(OR($B392="",MIN(Q$38,$D$19)&lt;MAX($P$34*($B392+IF($R$17="Distrato",$I$38-1,0)),IF(AND($L$37=0,$P$34=0),"",$L$37-1),IF($R$17="Distrato",$E392,0))),0,YEARFRAC(MAX($P$34*($B392+IF($R$17="Distrato",$I$38-1,0)),IF(AND($L$37=0,$P$34=0),"",$L$37-1),IF($R$17="Distrato",$E392,0)),MIN(Q$38,$D$19),$P$20))-SUM($P392:P392)</f>
        <v>#VALUE!</v>
      </c>
      <c r="R392" s="446" t="e">
        <f>IF(OR($B392="",MIN(R$38,$D$19)&lt;MAX($P$34*($B392+IF($R$17="Distrato",$I$38-1,0)),IF(AND($L$37=0,$P$34=0),"",$L$37-1),IF($R$17="Distrato",$E392,0))),0,YEARFRAC(MAX($P$34*($B392+IF($R$17="Distrato",$I$38-1,0)),IF(AND($L$37=0,$P$34=0),"",$L$37-1),IF($R$17="Distrato",$E392,0)),MIN(R$38,$D$19),$P$20))-SUM($P392:Q392)</f>
        <v>#VALUE!</v>
      </c>
      <c r="S392" s="446" t="e">
        <f>IF(OR($B392="",MIN(S$38,$D$19)&lt;MAX($P$34*($B392+IF($R$17="Distrato",$I$38-1,0)),IF(AND($L$37=0,$P$34=0),"",$L$37-1),IF($R$17="Distrato",$E392,0))),0,YEARFRAC(MAX($P$34*($B392+IF($R$17="Distrato",$I$38-1,0)),IF(AND($L$37=0,$P$34=0),"",$L$37-1),IF($R$17="Distrato",$E392,0)),MIN(S$38,$D$19),$P$20))-SUM($P392:R392)</f>
        <v>#VALUE!</v>
      </c>
      <c r="T392" s="446" t="e">
        <f>IF(OR($B392="",MIN(T$38,$D$19)&lt;MAX($P$34*($B392+IF($R$17="Distrato",$I$38-1,0)),IF(AND($L$37=0,$P$34=0),"",$L$37-1),IF($R$17="Distrato",$E392,0))),0,YEARFRAC(MAX($P$34*($B392+IF($R$17="Distrato",$I$38-1,0)),IF(AND($L$37=0,$P$34=0),"",$L$37-1),IF($R$17="Distrato",$E392,0)),MIN(T$38,$D$19),$P$20))-SUM($P392:S392)</f>
        <v>#VALUE!</v>
      </c>
      <c r="U392" s="446" t="e">
        <f>IF(OR($B392="",MIN(U$38,$D$19)&lt;MAX($P$34*($B392+IF($R$17="Distrato",$I$38-1,0)),IF(AND($L$37=0,$P$34=0),"",$L$37-1),IF($R$17="Distrato",$E392,0))),0,YEARFRAC(MAX($P$34*($B392+IF($R$17="Distrato",$I$38-1,0)),IF(AND($L$37=0,$P$34=0),"",$L$37-1),IF($R$17="Distrato",$E392,0)),MIN(U$38,$D$19),$P$20))-SUM($P392:T392)</f>
        <v>#VALUE!</v>
      </c>
      <c r="V392" s="446" t="e">
        <f>IF(OR($B392="",MIN(V$38,$D$19)&lt;MAX($P$34*($B392+IF($R$17="Distrato",$I$38-1,0)),IF(AND($L$37=0,$P$34=0),"",$L$37-1),IF($R$17="Distrato",$E392,0))),0,YEARFRAC(MAX($P$34*($B392+IF($R$17="Distrato",$I$38-1,0)),IF(AND($L$37=0,$P$34=0),"",$L$37-1),IF($R$17="Distrato",$E392,0)),MIN(V$38,$D$19),$P$20))-SUM($P392:U392)</f>
        <v>#VALUE!</v>
      </c>
      <c r="W392" s="446" t="e">
        <f>IF(OR($B392="",MIN(W$38,$D$19)&lt;MAX($P$34*($B392+IF($R$17="Distrato",$I$38-1,0)),IF(AND($L$37=0,$P$34=0),"",$L$37-1),IF($R$17="Distrato",$E392,0))),0,YEARFRAC(MAX($P$34*($B392+IF($R$17="Distrato",$I$38-1,0)),IF(AND($L$37=0,$P$34=0),"",$L$37-1),IF($R$17="Distrato",$E392,0)),MIN(W$38,$D$19),$P$20))-SUM($P392:V392)</f>
        <v>#VALUE!</v>
      </c>
      <c r="X392" s="446" t="e">
        <f>IF(OR($B392="",MIN(X$38,$D$19)&lt;MAX($P$34*($B392+IF($R$17="Distrato",$I$38-1,0)),IF(AND($L$37=0,$P$34=0),"",$L$37-1),IF($R$17="Distrato",$E392,0))),0,YEARFRAC(MAX($P$34*($B392+IF($R$17="Distrato",$I$38-1,0)),IF(AND($L$37=0,$P$34=0),"",$L$37-1),IF($R$17="Distrato",$E392,0)),MIN(X$38,$D$19),$P$20))-SUM($P392:W392)</f>
        <v>#VALUE!</v>
      </c>
      <c r="Y392" s="446" t="e">
        <f>IF(OR($B392="",MIN(Y$38,$D$19)&lt;MAX($P$34*($B392+IF($R$17="Distrato",$I$38-1,0)),IF(AND($L$37=0,$P$34=0),"",$L$37-1),IF($R$17="Distrato",$E392,0))),0,YEARFRAC(MAX($P$34*($B392+IF($R$17="Distrato",$I$38-1,0)),IF(AND($L$37=0,$P$34=0),"",$L$37-1),IF($R$17="Distrato",$E392,0)),MIN(Y$38,$D$19),$P$20))-SUM($P392:X392)</f>
        <v>#VALUE!</v>
      </c>
      <c r="Z392" s="446" t="e">
        <f>IF(OR($B392="",MIN(Z$38,$D$19)&lt;MAX($P$34*($B392+IF($R$17="Distrato",$I$38-1,0)),IF(AND($L$37=0,$P$34=0),"",$L$37-1),IF($R$17="Distrato",$E392,0))),0,YEARFRAC(MAX($P$34*($B392+IF($R$17="Distrato",$I$38-1,0)),IF(AND($L$37=0,$P$34=0),"",$L$37-1),IF($R$17="Distrato",$E392,0)),MIN(Z$38,$D$19),$P$20))-SUM($P392:Y392)</f>
        <v>#VALUE!</v>
      </c>
      <c r="AA392" s="446" t="e">
        <f>IF(OR($B392="",MIN(AA$38,$D$19)&lt;MAX($P$34*($B392+IF($R$17="Distrato",$I$38-1,0)),IF(AND($L$37=0,$P$34=0),"",$L$37-1),IF($R$17="Distrato",$E392,0))),0,YEARFRAC(MAX($P$34*($B392+IF($R$17="Distrato",$I$38-1,0)),IF(AND($L$37=0,$P$34=0),"",$L$37-1),IF($R$17="Distrato",$E392,0)),MIN(AA$38,$D$19),$P$20))-SUM($P392:Z392)</f>
        <v>#VALUE!</v>
      </c>
      <c r="AB392" s="446" t="e">
        <f>IF(OR($B392="",MIN(AB$38,$D$19)&lt;MAX($P$34*($B392+IF($R$17="Distrato",$I$38-1,0)),IF(AND($L$37=0,$P$34=0),"",$L$37-1),IF($R$17="Distrato",$E392,0))),0,YEARFRAC(MAX($P$34*($B392+IF($R$17="Distrato",$I$38-1,0)),IF(AND($L$37=0,$P$34=0),"",$L$37-1),IF($R$17="Distrato",$E392,0)),MIN(AB$38,$D$19),$P$20))-SUM($P392:AA392)</f>
        <v>#VALUE!</v>
      </c>
      <c r="AC392" s="446" t="e">
        <f>IF(OR($B392="",MIN(AC$38,$D$19)&lt;MAX($P$34*($B392+IF($R$17="Distrato",$I$38-1,0)),IF(AND($L$37=0,$P$34=0),"",$L$37-1),IF($R$17="Distrato",$E392,0))),0,YEARFRAC(MAX($P$34*($B392+IF($R$17="Distrato",$I$38-1,0)),IF(AND($L$37=0,$P$34=0),"",$L$37-1),IF($R$17="Distrato",$E392,0)),MIN(AC$38,$D$19),$P$20))-SUM($P392:AB392)</f>
        <v>#VALUE!</v>
      </c>
      <c r="AD392" s="446" t="e">
        <f>IF(OR($B392="",MIN(AD$38,$D$19)&lt;MAX($P$34*($B392+IF($R$17="Distrato",$I$38-1,0)),IF(AND($L$37=0,$P$34=0),"",$L$37-1),IF($R$17="Distrato",$E392,0))),0,YEARFRAC(MAX($P$34*($B392+IF($R$17="Distrato",$I$38-1,0)),IF(AND($L$37=0,$P$34=0),"",$L$37-1),IF($R$17="Distrato",$E392,0)),MIN(AD$38,$D$19),$P$20))-SUM($P392:AC392)</f>
        <v>#VALUE!</v>
      </c>
      <c r="AE392" s="446" t="e">
        <f>IF(OR($B392="",MIN(AE$38,$D$19)&lt;MAX($P$34*($B392+IF($R$17="Distrato",$I$38-1,0)),IF(AND($L$37=0,$P$34=0),"",$L$37-1),IF($R$17="Distrato",$E392,0))),0,YEARFRAC(MAX($P$34*($B392+IF($R$17="Distrato",$I$38-1,0)),IF(AND($L$37=0,$P$34=0),"",$L$37-1),IF($R$17="Distrato",$E392,0)),MIN(AE$38,$D$19),$P$20))-SUM($P392:AD392)</f>
        <v>#VALUE!</v>
      </c>
      <c r="AF392" s="446" t="e">
        <f>IF(OR($B392="",MIN(AF$38,$D$19)&lt;MAX($P$34*($B392+IF($R$17="Distrato",$I$38-1,0)),IF(AND($L$37=0,$P$34=0),"",$L$37-1),IF($R$17="Distrato",$E392,0))),0,YEARFRAC(MAX($P$34*($B392+IF($R$17="Distrato",$I$38-1,0)),IF(AND($L$37=0,$P$34=0),"",$L$37-1),IF($R$17="Distrato",$E392,0)),MIN(AF$38,$D$19),$P$20))-SUM($P392:AE392)</f>
        <v>#VALUE!</v>
      </c>
      <c r="AG392" s="446" t="e">
        <f>IF(OR($B392="",MIN(AG$38,$D$19)&lt;MAX($P$34*($B392+IF($R$17="Distrato",$I$38-1,0)),IF(AND($L$37=0,$P$34=0),"",$L$37-1),IF($R$17="Distrato",$E392,0))),0,YEARFRAC(MAX($P$34*($B392+IF($R$17="Distrato",$I$38-1,0)),IF(AND($L$37=0,$P$34=0),"",$L$37-1),IF($R$17="Distrato",$E392,0)),MIN(AG$38,$D$19),$P$20))-SUM($P392:AF392)</f>
        <v>#VALUE!</v>
      </c>
      <c r="AH392" s="446" t="e">
        <f>IF(OR($B392="",MIN(AH$38,$D$19)&lt;MAX($P$34*($B392+IF($R$17="Distrato",$I$38-1,0)),IF(AND($L$37=0,$P$34=0),"",$L$37-1),IF($R$17="Distrato",$E392,0))),0,YEARFRAC(MAX($P$34*($B392+IF($R$17="Distrato",$I$38-1,0)),IF(AND($L$37=0,$P$34=0),"",$L$37-1),IF($R$17="Distrato",$E392,0)),MIN(AH$38,$D$19),$P$20))-SUM($P392:AG392)</f>
        <v>#VALUE!</v>
      </c>
      <c r="AI392" s="446" t="e">
        <f>IF(OR($B392="",MIN(AI$38,$D$19)&lt;MAX($P$34*($B392+IF($R$17="Distrato",$I$38-1,0)),IF(AND($L$37=0,$P$34=0),"",$L$37-1),IF($R$17="Distrato",$E392,0))),0,YEARFRAC(MAX($P$34*($B392+IF($R$17="Distrato",$I$38-1,0)),IF(AND($L$37=0,$P$34=0),"",$L$37-1),IF($R$17="Distrato",$E392,0)),MIN(AI$38,$D$19),$P$20))-SUM($P392:AH392)</f>
        <v>#VALUE!</v>
      </c>
      <c r="AJ392" s="446" t="e">
        <f>IF(OR($B392="",MIN(AJ$38,$D$19)&lt;MAX($P$34*($B392+IF($R$17="Distrato",$I$38-1,0)),IF(AND($L$37=0,$P$34=0),"",$L$37-1),IF($R$17="Distrato",$E392,0))),0,YEARFRAC(MAX($P$34*($B392+IF($R$17="Distrato",$I$38-1,0)),IF(AND($L$37=0,$P$34=0),"",$L$37-1),IF($R$17="Distrato",$E392,0)),MIN(AJ$38,$D$19),$P$20))-SUM($P392:AI392)</f>
        <v>#VALUE!</v>
      </c>
      <c r="AK392" s="446" t="e">
        <f>IF(OR($B392="",MIN(AK$38,$D$19)&lt;MAX($P$34*($B392+IF($R$17="Distrato",$I$38-1,0)),IF(AND($L$37=0,$P$34=0),"",$L$37-1),IF($R$17="Distrato",$E392,0))),0,YEARFRAC(MAX($P$34*($B392+IF($R$17="Distrato",$I$38-1,0)),IF(AND($L$37=0,$P$34=0),"",$L$37-1),IF($R$17="Distrato",$E392,0)),MIN(AK$38,$D$19),$P$20))-SUM($P392:AJ392)</f>
        <v>#VALUE!</v>
      </c>
      <c r="AL392" s="446" t="e">
        <f>IF(OR($B392="",MIN(AL$38,$D$19)&lt;MAX($P$34*($B392+IF($R$17="Distrato",$I$38-1,0)),IF(AND($L$37=0,$P$34=0),"",$L$37-1),IF($R$17="Distrato",$E392,0))),0,YEARFRAC(MAX($P$34*($B392+IF($R$17="Distrato",$I$38-1,0)),IF(AND($L$37=0,$P$34=0),"",$L$37-1),IF($R$17="Distrato",$E392,0)),MIN(AL$38,$D$19),$P$20))-SUM($P392:AK392)</f>
        <v>#VALUE!</v>
      </c>
      <c r="AM392" s="446" t="e">
        <f>IF(OR($B392="",MIN(AM$38,$D$19)&lt;MAX($P$34*($B392+IF($R$17="Distrato",$I$38-1,0)),IF(AND($L$37=0,$P$34=0),"",$L$37-1),IF($R$17="Distrato",$E392,0))),0,YEARFRAC(MAX($P$34*($B392+IF($R$17="Distrato",$I$38-1,0)),IF(AND($L$37=0,$P$34=0),"",$L$37-1),IF($R$17="Distrato",$E392,0)),MIN(AM$38,$D$19),$P$20))-SUM($P392:AL392)</f>
        <v>#VALUE!</v>
      </c>
      <c r="AN392" s="446" t="e">
        <f>IF(OR($B392="",MIN(AN$38,$D$19)&lt;MAX($P$34*($B392+IF($R$17="Distrato",$I$38-1,0)),IF(AND($L$37=0,$P$34=0),"",$L$37-1),IF($R$17="Distrato",$E392,0))),0,YEARFRAC(MAX($P$34*($B392+IF($R$17="Distrato",$I$38-1,0)),IF(AND($L$37=0,$P$34=0),"",$L$37-1),IF($R$17="Distrato",$E392,0)),MIN(AN$38,$D$19),$P$20))-SUM($P392:AM392)</f>
        <v>#VALUE!</v>
      </c>
      <c r="AO392" s="446" t="e">
        <f>IF(OR($B392="",MIN(AO$38,$D$19)&lt;MAX($P$34*($B392+IF($R$17="Distrato",$I$38-1,0)),IF(AND($L$37=0,$P$34=0),"",$L$37-1),IF($R$17="Distrato",$E392,0))),0,YEARFRAC(MAX($P$34*($B392+IF($R$17="Distrato",$I$38-1,0)),IF(AND($L$37=0,$P$34=0),"",$L$37-1),IF($R$17="Distrato",$E392,0)),MIN(AO$38,$D$19),$P$20))-SUM($P392:AN392)</f>
        <v>#VALUE!</v>
      </c>
      <c r="AP392" s="446" t="e">
        <f>IF(OR($B392="",MIN(AP$38,$D$19)&lt;MAX($P$34*($B392+IF($R$17="Distrato",$I$38-1,0)),IF(AND($L$37=0,$P$34=0),"",$L$37-1),IF($R$17="Distrato",$E392,0))),0,YEARFRAC(MAX($P$34*($B392+IF($R$17="Distrato",$I$38-1,0)),IF(AND($L$37=0,$P$34=0),"",$L$37-1),IF($R$17="Distrato",$E392,0)),MIN(AP$38,$D$19),$P$20))-SUM($P392:AO392)</f>
        <v>#VALUE!</v>
      </c>
      <c r="AQ392" s="446" t="e">
        <f>IF(OR($B392="",MIN(AQ$38,$D$19)&lt;MAX($P$34*($B392+IF($R$17="Distrato",$I$38-1,0)),IF(AND($L$37=0,$P$34=0),"",$L$37-1),IF($R$17="Distrato",$E392,0))),0,YEARFRAC(MAX($P$34*($B392+IF($R$17="Distrato",$I$38-1,0)),IF(AND($L$37=0,$P$34=0),"",$L$37-1),IF($R$17="Distrato",$E392,0)),MIN(AQ$38,$D$19),$P$20))-SUM($P392:AP392)</f>
        <v>#VALUE!</v>
      </c>
      <c r="AR392" s="446" t="e">
        <f>IF(OR($B392="",MIN(AR$38,$D$19)&lt;MAX($P$34*($B392+IF($R$17="Distrato",$I$38-1,0)),IF(AND($L$37=0,$P$34=0),"",$L$37-1),IF($R$17="Distrato",$E392,0))),0,YEARFRAC(MAX($P$34*($B392+IF($R$17="Distrato",$I$38-1,0)),IF(AND($L$37=0,$P$34=0),"",$L$37-1),IF($R$17="Distrato",$E392,0)),MIN(AR$38,$D$19),$P$20))-SUM($P392:AQ392)</f>
        <v>#VALUE!</v>
      </c>
      <c r="AS392" s="446" t="e">
        <f>IF(OR($B392="",MIN(AS$38,$D$19)&lt;MAX($P$34*($B392+IF($R$17="Distrato",$I$38-1,0)),IF(AND($L$37=0,$P$34=0),"",$L$37-1),IF($R$17="Distrato",$E392,0))),0,YEARFRAC(MAX($P$34*($B392+IF($R$17="Distrato",$I$38-1,0)),IF(AND($L$37=0,$P$34=0),"",$L$37-1),IF($R$17="Distrato",$E392,0)),MIN(AS$38,$D$19),$P$20))-SUM($P392:AR392)</f>
        <v>#VALUE!</v>
      </c>
      <c r="AT392" s="446" t="e">
        <f>IF(OR($B392="",MIN(AT$38,$D$19)&lt;MAX($P$34*($B392+IF($R$17="Distrato",$I$38-1,0)),IF(AND($L$37=0,$P$34=0),"",$L$37-1),IF($R$17="Distrato",$E392,0))),0,YEARFRAC(MAX($P$34*($B392+IF($R$17="Distrato",$I$38-1,0)),IF(AND($L$37=0,$P$34=0),"",$L$37-1),IF($R$17="Distrato",$E392,0)),MIN(AT$38,$D$19),$P$20))-SUM($P392:AS392)</f>
        <v>#VALUE!</v>
      </c>
      <c r="AU392" s="446" t="e">
        <f>IF(OR($B392="",MIN(AU$38,$D$19)&lt;MAX($P$34*($B392+IF($R$17="Distrato",$I$38-1,0)),IF(AND($L$37=0,$P$34=0),"",$L$37-1),IF($R$17="Distrato",$E392,0))),0,YEARFRAC(MAX($P$34*($B392+IF($R$17="Distrato",$I$38-1,0)),IF(AND($L$37=0,$P$34=0),"",$L$37-1),IF($R$17="Distrato",$E392,0)),MIN(AU$38,$D$19),$P$20))-SUM($P392:AT392)</f>
        <v>#VALUE!</v>
      </c>
      <c r="AV392" s="446" t="e">
        <f>IF(OR($B392="",MIN(AV$38,$D$19)&lt;MAX($P$34*($B392+IF($R$17="Distrato",$I$38-1,0)),IF(AND($L$37=0,$P$34=0),"",$L$37-1),IF($R$17="Distrato",$E392,0))),0,YEARFRAC(MAX($P$34*($B392+IF($R$17="Distrato",$I$38-1,0)),IF(AND($L$37=0,$P$34=0),"",$L$37-1),IF($R$17="Distrato",$E392,0)),MIN(AV$38,$D$19),$P$20))-SUM($P392:AU392)</f>
        <v>#VALUE!</v>
      </c>
      <c r="AW392" s="446" t="e">
        <f>IF(OR($B392="",MIN(AW$38,$D$19)&lt;MAX($P$34*($B392+IF($R$17="Distrato",$I$38-1,0)),IF(AND($L$37=0,$P$34=0),"",$L$37-1),IF($R$17="Distrato",$E392,0))),0,YEARFRAC(MAX($P$34*($B392+IF($R$17="Distrato",$I$38-1,0)),IF(AND($L$37=0,$P$34=0),"",$L$37-1),IF($R$17="Distrato",$E392,0)),MIN(AW$38,$D$19),$P$20))-SUM($P392:AV392)</f>
        <v>#VALUE!</v>
      </c>
      <c r="AX392" s="446" t="e">
        <f>IF(OR($B392="",MIN(AX$38,$D$19)&lt;MAX($P$34*($B392+IF($R$17="Distrato",$I$38-1,0)),IF(AND($L$37=0,$P$34=0),"",$L$37-1),IF($R$17="Distrato",$E392,0))),0,YEARFRAC(MAX($P$34*($B392+IF($R$17="Distrato",$I$38-1,0)),IF(AND($L$37=0,$P$34=0),"",$L$37-1),IF($R$17="Distrato",$E392,0)),MIN(AX$38,$D$19),$P$20))-SUM($P392:AW392)</f>
        <v>#VALUE!</v>
      </c>
      <c r="AY392" s="446" t="e">
        <f>IF(OR($B392="",MIN(AY$38,$D$19)&lt;MAX($P$34*($B392+IF($R$17="Distrato",$I$38-1,0)),IF(AND($L$37=0,$P$34=0),"",$L$37-1),IF($R$17="Distrato",$E392,0))),0,YEARFRAC(MAX($P$34*($B392+IF($R$17="Distrato",$I$38-1,0)),IF(AND($L$37=0,$P$34=0),"",$L$37-1),IF($R$17="Distrato",$E392,0)),MIN(AY$38,$D$19),$P$20))-SUM($P392:AX392)</f>
        <v>#VALUE!</v>
      </c>
      <c r="AZ392" s="446" t="e">
        <f>IF(OR($B392="",MIN(AZ$38,$D$19)&lt;MAX($P$34*($B392+IF($R$17="Distrato",$I$38-1,0)),IF(AND($L$37=0,$P$34=0),"",$L$37-1),IF($R$17="Distrato",$E392,0))),0,YEARFRAC(MAX($P$34*($B392+IF($R$17="Distrato",$I$38-1,0)),IF(AND($L$37=0,$P$34=0),"",$L$37-1),IF($R$17="Distrato",$E392,0)),MIN(AZ$38,$D$19),$P$20))-SUM($P392:AY392)</f>
        <v>#VALUE!</v>
      </c>
      <c r="BA392" s="446" t="e">
        <f>IF(OR($B392="",MIN(BA$38,$D$19)&lt;MAX($P$34*($B392+IF($R$17="Distrato",$I$38-1,0)),IF(AND($L$37=0,$P$34=0),"",$L$37-1),IF($R$17="Distrato",$E392,0))),0,YEARFRAC(MAX($P$34*($B392+IF($R$17="Distrato",$I$38-1,0)),IF(AND($L$37=0,$P$34=0),"",$L$37-1),IF($R$17="Distrato",$E392,0)),MIN(BA$38,$D$19),$P$20))-SUM($P392:AZ392)</f>
        <v>#VALUE!</v>
      </c>
      <c r="BB392" s="447"/>
      <c r="BF392" s="446">
        <f t="shared" si="65"/>
        <v>0</v>
      </c>
      <c r="BG392" s="446">
        <f>IF($E392=0,0,IF(MIN(BG$38,$E392)&lt;MAX($P$34*($B392+$I$38-1),IF(AND($L$37=0,$P$34=0),"",$L$37-1)),0,YEARFRAC(MAX($P$34*($B392+$I$38-1),IF(AND($L$37=0,$P$34=0),"",$L$37-1)),MIN(BG$38,$E392),$P$20))-SUM($BF392:BF392))</f>
        <v>0</v>
      </c>
      <c r="BH392" s="446">
        <f>IF($E392=0,0,IF(MIN(BH$38,$E392)&lt;MAX($P$34*($B392+$I$38-1),IF(AND($L$37=0,$P$34=0),"",$L$37-1)),0,YEARFRAC(MAX($P$34*($B392+$I$38-1),IF(AND($L$37=0,$P$34=0),"",$L$37-1)),MIN(BH$38,$E392),$P$20))-SUM($BF392:BG392))</f>
        <v>0</v>
      </c>
      <c r="BI392" s="446">
        <f>IF($E392=0,0,IF(MIN(BI$38,$E392)&lt;MAX($P$34*($B392+$I$38-1),IF(AND($L$37=0,$P$34=0),"",$L$37-1)),0,YEARFRAC(MAX($P$34*($B392+$I$38-1),IF(AND($L$37=0,$P$34=0),"",$L$37-1)),MIN(BI$38,$E392),$P$20))-SUM($BF392:BH392))</f>
        <v>0</v>
      </c>
      <c r="BJ392" s="446">
        <f>IF($E392=0,0,IF(MIN(BJ$38,$E392)&lt;MAX($P$34*($B392+$I$38-1),IF(AND($L$37=0,$P$34=0),"",$L$37-1)),0,YEARFRAC(MAX($P$34*($B392+$I$38-1),IF(AND($L$37=0,$P$34=0),"",$L$37-1)),MIN(BJ$38,$E392),$P$20))-SUM($BF392:BI392))</f>
        <v>0</v>
      </c>
      <c r="BK392" s="446">
        <f>IF($E392=0,0,IF(MIN(BK$38,$E392)&lt;MAX($P$34*($B392+$I$38-1),IF(AND($L$37=0,$P$34=0),"",$L$37-1)),0,YEARFRAC(MAX($P$34*($B392+$I$38-1),IF(AND($L$37=0,$P$34=0),"",$L$37-1)),MIN(BK$38,$E392),$P$20))-SUM($BF392:BJ392))</f>
        <v>0</v>
      </c>
      <c r="BL392" s="446">
        <f>IF($E392=0,0,IF(MIN(BL$38,$E392)&lt;MAX($P$34*($B392+$I$38-1),IF(AND($L$37=0,$P$34=0),"",$L$37-1)),0,YEARFRAC(MAX($P$34*($B392+$I$38-1),IF(AND($L$37=0,$P$34=0),"",$L$37-1)),MIN(BL$38,$E392),$P$20))-SUM($BF392:BK392))</f>
        <v>0</v>
      </c>
      <c r="BM392" s="446">
        <f>IF($E392=0,0,IF(MIN(BM$38,$E392)&lt;MAX($P$34*($B392+$I$38-1),IF(AND($L$37=0,$P$34=0),"",$L$37-1)),0,YEARFRAC(MAX($P$34*($B392+$I$38-1),IF(AND($L$37=0,$P$34=0),"",$L$37-1)),MIN(BM$38,$E392),$P$20))-SUM($BF392:BL392))</f>
        <v>0</v>
      </c>
      <c r="BN392" s="446">
        <f>IF($E392=0,0,IF(MIN(BN$38,$E392)&lt;MAX($P$34*($B392+$I$38-1),IF(AND($L$37=0,$P$34=0),"",$L$37-1)),0,YEARFRAC(MAX($P$34*($B392+$I$38-1),IF(AND($L$37=0,$P$34=0),"",$L$37-1)),MIN(BN$38,$E392),$P$20))-SUM($BF392:BM392))</f>
        <v>0</v>
      </c>
      <c r="BO392" s="446">
        <f>IF($E392=0,0,IF(MIN(BO$38,$E392)&lt;MAX($P$34*($B392+$I$38-1),IF(AND($L$37=0,$P$34=0),"",$L$37-1)),0,YEARFRAC(MAX($P$34*($B392+$I$38-1),IF(AND($L$37=0,$P$34=0),"",$L$37-1)),MIN(BO$38,$E392),$P$20))-SUM($BF392:BN392))</f>
        <v>0</v>
      </c>
      <c r="BP392" s="446">
        <f>IF($E392=0,0,IF(MIN(BP$38,$E392)&lt;MAX($P$34*($B392+$I$38-1),IF(AND($L$37=0,$P$34=0),"",$L$37-1)),0,YEARFRAC(MAX($P$34*($B392+$I$38-1),IF(AND($L$37=0,$P$34=0),"",$L$37-1)),MIN(BP$38,$E392),$P$20))-SUM($BF392:BO392))</f>
        <v>0</v>
      </c>
      <c r="BQ392" s="446">
        <f>IF($E392=0,0,IF(MIN(BQ$38,$E392)&lt;MAX($P$34*($B392+$I$38-1),IF(AND($L$37=0,$P$34=0),"",$L$37-1)),0,YEARFRAC(MAX($P$34*($B392+$I$38-1),IF(AND($L$37=0,$P$34=0),"",$L$37-1)),MIN(BQ$38,$E392),$P$20))-SUM($BF392:BP392))</f>
        <v>0</v>
      </c>
      <c r="BR392" s="446">
        <f>IF($E392=0,0,IF(MIN(BR$38,$E392)&lt;MAX($P$34*($B392+$I$38-1),IF(AND($L$37=0,$P$34=0),"",$L$37-1)),0,YEARFRAC(MAX($P$34*($B392+$I$38-1),IF(AND($L$37=0,$P$34=0),"",$L$37-1)),MIN(BR$38,$E392),$P$20))-SUM($BF392:BQ392))</f>
        <v>0</v>
      </c>
      <c r="BS392" s="446">
        <f>IF($E392=0,0,IF(MIN(BS$38,$E392)&lt;MAX($P$34*($B392+$I$38-1),IF(AND($L$37=0,$P$34=0),"",$L$37-1)),0,YEARFRAC(MAX($P$34*($B392+$I$38-1),IF(AND($L$37=0,$P$34=0),"",$L$37-1)),MIN(BS$38,$E392),$P$20))-SUM($BF392:BR392))</f>
        <v>0</v>
      </c>
      <c r="BT392" s="446">
        <f>IF($E392=0,0,IF(MIN(BT$38,$E392)&lt;MAX($P$34*($B392+$I$38-1),IF(AND($L$37=0,$P$34=0),"",$L$37-1)),0,YEARFRAC(MAX($P$34*($B392+$I$38-1),IF(AND($L$37=0,$P$34=0),"",$L$37-1)),MIN(BT$38,$E392),$P$20))-SUM($BF392:BS392))</f>
        <v>0</v>
      </c>
      <c r="BU392" s="446">
        <f>IF($E392=0,0,IF(MIN(BU$38,$E392)&lt;MAX($P$34*($B392+$I$38-1),IF(AND($L$37=0,$P$34=0),"",$L$37-1)),0,YEARFRAC(MAX($P$34*($B392+$I$38-1),IF(AND($L$37=0,$P$34=0),"",$L$37-1)),MIN(BU$38,$E392),$P$20))-SUM($BF392:BT392))</f>
        <v>0</v>
      </c>
      <c r="BV392" s="446">
        <f>IF($E392=0,0,IF(MIN(BV$38,$E392)&lt;MAX($P$34*($B392+$I$38-1),IF(AND($L$37=0,$P$34=0),"",$L$37-1)),0,YEARFRAC(MAX($P$34*($B392+$I$38-1),IF(AND($L$37=0,$P$34=0),"",$L$37-1)),MIN(BV$38,$E392),$P$20))-SUM($BF392:BU392))</f>
        <v>0</v>
      </c>
      <c r="BW392" s="446">
        <f>IF($E392=0,0,IF(MIN(BW$38,$E392)&lt;MAX($P$34*($B392+$I$38-1),IF(AND($L$37=0,$P$34=0),"",$L$37-1)),0,YEARFRAC(MAX($P$34*($B392+$I$38-1),IF(AND($L$37=0,$P$34=0),"",$L$37-1)),MIN(BW$38,$E392),$P$20))-SUM($BF392:BV392))</f>
        <v>0</v>
      </c>
      <c r="BX392" s="446">
        <f>IF($E392=0,0,IF(MIN(BX$38,$E392)&lt;MAX($P$34*($B392+$I$38-1),IF(AND($L$37=0,$P$34=0),"",$L$37-1)),0,YEARFRAC(MAX($P$34*($B392+$I$38-1),IF(AND($L$37=0,$P$34=0),"",$L$37-1)),MIN(BX$38,$E392),$P$20))-SUM($BF392:BW392))</f>
        <v>0</v>
      </c>
      <c r="BY392" s="446">
        <f>IF($E392=0,0,IF(MIN(BY$38,$E392)&lt;MAX($P$34*($B392+$I$38-1),IF(AND($L$37=0,$P$34=0),"",$L$37-1)),0,YEARFRAC(MAX($P$34*($B392+$I$38-1),IF(AND($L$37=0,$P$34=0),"",$L$37-1)),MIN(BY$38,$E392),$P$20))-SUM($BF392:BX392))</f>
        <v>0</v>
      </c>
      <c r="BZ392" s="446">
        <f>IF($E392=0,0,IF(MIN(BZ$38,$E392)&lt;MAX($P$34*($B392+$I$38-1),IF(AND($L$37=0,$P$34=0),"",$L$37-1)),0,YEARFRAC(MAX($P$34*($B392+$I$38-1),IF(AND($L$37=0,$P$34=0),"",$L$37-1)),MIN(BZ$38,$E392),$P$20))-SUM($BF392:BY392))</f>
        <v>0</v>
      </c>
      <c r="CA392" s="446">
        <f>IF($E392=0,0,IF(MIN(CA$38,$E392)&lt;MAX($P$34*($B392+$I$38-1),IF(AND($L$37=0,$P$34=0),"",$L$37-1)),0,YEARFRAC(MAX($P$34*($B392+$I$38-1),IF(AND($L$37=0,$P$34=0),"",$L$37-1)),MIN(CA$38,$E392),$P$20))-SUM($BF392:BZ392))</f>
        <v>0</v>
      </c>
      <c r="CB392" s="446">
        <f>IF($E392=0,0,IF(MIN(CB$38,$E392)&lt;MAX($P$34*($B392+$I$38-1),IF(AND($L$37=0,$P$34=0),"",$L$37-1)),0,YEARFRAC(MAX($P$34*($B392+$I$38-1),IF(AND($L$37=0,$P$34=0),"",$L$37-1)),MIN(CB$38,$E392),$P$20))-SUM($BF392:CA392))</f>
        <v>0</v>
      </c>
      <c r="CC392" s="446">
        <f>IF($E392=0,0,IF(MIN(CC$38,$E392)&lt;MAX($P$34*($B392+$I$38-1),IF(AND($L$37=0,$P$34=0),"",$L$37-1)),0,YEARFRAC(MAX($P$34*($B392+$I$38-1),IF(AND($L$37=0,$P$34=0),"",$L$37-1)),MIN(CC$38,$E392),$P$20))-SUM($BF392:CB392))</f>
        <v>0</v>
      </c>
      <c r="CD392" s="446">
        <f>IF($E392=0,0,IF(MIN(CD$38,$E392)&lt;MAX($P$34*($B392+$I$38-1),IF(AND($L$37=0,$P$34=0),"",$L$37-1)),0,YEARFRAC(MAX($P$34*($B392+$I$38-1),IF(AND($L$37=0,$P$34=0),"",$L$37-1)),MIN(CD$38,$E392),$P$20))-SUM($BF392:CC392))</f>
        <v>0</v>
      </c>
      <c r="CE392" s="446">
        <f>IF($E392=0,0,IF(MIN(CE$38,$E392)&lt;MAX($P$34*($B392+$I$38-1),IF(AND($L$37=0,$P$34=0),"",$L$37-1)),0,YEARFRAC(MAX($P$34*($B392+$I$38-1),IF(AND($L$37=0,$P$34=0),"",$L$37-1)),MIN(CE$38,$E392),$P$20))-SUM($BF392:CD392))</f>
        <v>0</v>
      </c>
      <c r="CF392" s="446">
        <f>IF($E392=0,0,IF(MIN(CF$38,$E392)&lt;MAX($P$34*($B392+$I$38-1),IF(AND($L$37=0,$P$34=0),"",$L$37-1)),0,YEARFRAC(MAX($P$34*($B392+$I$38-1),IF(AND($L$37=0,$P$34=0),"",$L$37-1)),MIN(CF$38,$E392),$P$20))-SUM($BF392:CE392))</f>
        <v>0</v>
      </c>
      <c r="CG392" s="446">
        <f>IF($E392=0,0,IF(MIN(CG$38,$E392)&lt;MAX($P$34*($B392+$I$38-1),IF(AND($L$37=0,$P$34=0),"",$L$37-1)),0,YEARFRAC(MAX($P$34*($B392+$I$38-1),IF(AND($L$37=0,$P$34=0),"",$L$37-1)),MIN(CG$38,$E392),$P$20))-SUM($BF392:CF392))</f>
        <v>0</v>
      </c>
      <c r="CH392" s="446">
        <f>IF($E392=0,0,IF(MIN(CH$38,$E392)&lt;MAX($P$34*($B392+$I$38-1),IF(AND($L$37=0,$P$34=0),"",$L$37-1)),0,YEARFRAC(MAX($P$34*($B392+$I$38-1),IF(AND($L$37=0,$P$34=0),"",$L$37-1)),MIN(CH$38,$E392),$P$20))-SUM($BF392:CG392))</f>
        <v>0</v>
      </c>
      <c r="CI392" s="446">
        <f>IF($E392=0,0,IF(MIN(CI$38,$E392)&lt;MAX($P$34*($B392+$I$38-1),IF(AND($L$37=0,$P$34=0),"",$L$37-1)),0,YEARFRAC(MAX($P$34*($B392+$I$38-1),IF(AND($L$37=0,$P$34=0),"",$L$37-1)),MIN(CI$38,$E392),$P$20))-SUM($BF392:CH392))</f>
        <v>0</v>
      </c>
      <c r="CJ392" s="446">
        <f>IF($E392=0,0,IF(MIN(CJ$38,$E392)&lt;MAX($P$34*($B392+$I$38-1),IF(AND($L$37=0,$P$34=0),"",$L$37-1)),0,YEARFRAC(MAX($P$34*($B392+$I$38-1),IF(AND($L$37=0,$P$34=0),"",$L$37-1)),MIN(CJ$38,$E392),$P$20))-SUM($BF392:CI392))</f>
        <v>0</v>
      </c>
      <c r="CK392" s="446">
        <f>IF($E392=0,0,IF(MIN(CK$38,$E392)&lt;MAX($P$34*($B392+$I$38-1),IF(AND($L$37=0,$P$34=0),"",$L$37-1)),0,YEARFRAC(MAX($P$34*($B392+$I$38-1),IF(AND($L$37=0,$P$34=0),"",$L$37-1)),MIN(CK$38,$E392),$P$20))-SUM($BF392:CJ392))</f>
        <v>0</v>
      </c>
      <c r="CL392" s="446">
        <f>IF($E392=0,0,IF(MIN(CL$38,$E392)&lt;MAX($P$34*($B392+$I$38-1),IF(AND($L$37=0,$P$34=0),"",$L$37-1)),0,YEARFRAC(MAX($P$34*($B392+$I$38-1),IF(AND($L$37=0,$P$34=0),"",$L$37-1)),MIN(CL$38,$E392),$P$20))-SUM($BF392:CK392))</f>
        <v>0</v>
      </c>
      <c r="CM392" s="446">
        <f>IF($E392=0,0,IF(MIN(CM$38,$E392)&lt;MAX($P$34*($B392+$I$38-1),IF(AND($L$37=0,$P$34=0),"",$L$37-1)),0,YEARFRAC(MAX($P$34*($B392+$I$38-1),IF(AND($L$37=0,$P$34=0),"",$L$37-1)),MIN(CM$38,$E392),$P$20))-SUM($BF392:CL392))</f>
        <v>0</v>
      </c>
      <c r="CN392" s="446">
        <f>IF($E392=0,0,IF(MIN(CN$38,$E392)&lt;MAX($P$34*($B392+$I$38-1),IF(AND($L$37=0,$P$34=0),"",$L$37-1)),0,YEARFRAC(MAX($P$34*($B392+$I$38-1),IF(AND($L$37=0,$P$34=0),"",$L$37-1)),MIN(CN$38,$E392),$P$20))-SUM($BF392:CM392))</f>
        <v>0</v>
      </c>
      <c r="CO392" s="446">
        <f>IF($E392=0,0,IF(MIN(CO$38,$E392)&lt;MAX($P$34*($B392+$I$38-1),IF(AND($L$37=0,$P$34=0),"",$L$37-1)),0,YEARFRAC(MAX($P$34*($B392+$I$38-1),IF(AND($L$37=0,$P$34=0),"",$L$37-1)),MIN(CO$38,$E392),$P$20))-SUM($BF392:CN392))</f>
        <v>0</v>
      </c>
      <c r="CP392" s="446">
        <f>IF($E392=0,0,IF(MIN(CP$38,$E392)&lt;MAX($P$34*($B392+$I$38-1),IF(AND($L$37=0,$P$34=0),"",$L$37-1)),0,YEARFRAC(MAX($P$34*($B392+$I$38-1),IF(AND($L$37=0,$P$34=0),"",$L$37-1)),MIN(CP$38,$E392),$P$20))-SUM($BF392:CO392))</f>
        <v>0</v>
      </c>
      <c r="CQ392" s="446">
        <f>IF($E392=0,0,IF(MIN(CQ$38,$E392)&lt;MAX($P$34*($B392+$I$38-1),IF(AND($L$37=0,$P$34=0),"",$L$37-1)),0,YEARFRAC(MAX($P$34*($B392+$I$38-1),IF(AND($L$37=0,$P$34=0),"",$L$37-1)),MIN(CQ$38,$E392),$P$20))-SUM($BF392:CP392))</f>
        <v>0</v>
      </c>
    </row>
    <row r="393" spans="1:95" s="446" customFormat="1" ht="11.25" hidden="1" customHeight="1" x14ac:dyDescent="0.2">
      <c r="A393" s="152"/>
      <c r="B393" s="153" t="str">
        <f t="shared" si="70"/>
        <v/>
      </c>
      <c r="C393" s="29" t="str">
        <f>IF(B393="","",IF($L$35="SELIC - TRIBUTOS",VLOOKUP(DATE(YEAR($D$19),MONTH($D$19)-1,1),ÍNDICES!$A:$DE,HLOOKUP($BL$25,ÍNDICES!$B$3:$T$4,2)+11)-VLOOKUP(B393,ÍNDICES!$A:$DE,HLOOKUP($BL$25,ÍNDICES!$B$3:$T$4,2)+11)+1%,IF(C$38=$W$26,$J$35,IF(ISERROR(IF(B393&gt;$D$19,1,VLOOKUP(DATE(YEAR(B393),MONTH(B393)+IF($C$35=$S$23,1,0),1),ÍNDICES!$A:$DE,$Z$35+1))),"",IF(B393&gt;$D$19,1,VLOOKUP(DATE(YEAR(B393),MONTH(B393)+IF($C$35=$S$23,1,0),1),ÍNDICES!$A:$DE,$Z$35+1))))))</f>
        <v/>
      </c>
      <c r="D393" s="154" t="str">
        <f>IF(ISERROR(IF(OR($D$38=$Y$27,$B393=""),"",VLOOKUP(B393,ÍNDICES!A:DE,AF$35+1))),"",IF(OR($D$38=$Y$27,$B393=""),"",VLOOKUP(B393,ÍNDICES!A:DE,AF$35+1)))</f>
        <v/>
      </c>
      <c r="E393" s="153"/>
      <c r="F393" s="29" t="str">
        <f>IF(E393="","",IF($L$35="SELIC - TRIBUTOS",VLOOKUP(DATE(YEAR($D$19),MONTH($D$19)-1,1),ÍNDICES!$A:$DE,HLOOKUP($BL$25,ÍNDICES!$B$3:$T$4,2)+11)-VLOOKUP(E393,ÍNDICES!$A:$DE,HLOOKUP($BL$25,ÍNDICES!$B$3:$T$4,2)+11)+1%,IF(F$38=$W$26,$J$35,IF(ISERROR(IF(E393&gt;$D$19,1,VLOOKUP(DATE(YEAR(E393),MONTH(E393)+IF($C$35=$S$23,1,0),1),ÍNDICES!$A:$DE,$Z$35+1))),"",IF(E393&gt;$D$19,1,VLOOKUP(DATE(YEAR(E393),MONTH(E393)+IF($C$35=$S$23,1,0),1),ÍNDICES!$A:$DE,$Z$35+1))))))</f>
        <v/>
      </c>
      <c r="G393" s="155"/>
      <c r="H393" s="156" t="str">
        <f t="shared" si="66"/>
        <v/>
      </c>
      <c r="I393" s="29" t="str">
        <f t="shared" si="60"/>
        <v/>
      </c>
      <c r="J393" s="5">
        <f t="shared" si="61"/>
        <v>0</v>
      </c>
      <c r="K393" s="20">
        <f t="shared" ca="1" si="62"/>
        <v>0</v>
      </c>
      <c r="L393" s="5">
        <f t="shared" ca="1" si="63"/>
        <v>0</v>
      </c>
      <c r="M393" s="64">
        <f t="shared" si="67"/>
        <v>0</v>
      </c>
      <c r="N393" s="61">
        <f t="shared" ca="1" si="68"/>
        <v>0</v>
      </c>
      <c r="O393" s="5">
        <f t="shared" ca="1" si="69"/>
        <v>0</v>
      </c>
      <c r="P393" s="446" t="e">
        <f t="shared" si="64"/>
        <v>#VALUE!</v>
      </c>
      <c r="Q393" s="446" t="e">
        <f>IF(OR($B393="",MIN(Q$38,$D$19)&lt;MAX($P$34*($B393+IF($R$17="Distrato",$I$38-1,0)),IF(AND($L$37=0,$P$34=0),"",$L$37-1),IF($R$17="Distrato",$E393,0))),0,YEARFRAC(MAX($P$34*($B393+IF($R$17="Distrato",$I$38-1,0)),IF(AND($L$37=0,$P$34=0),"",$L$37-1),IF($R$17="Distrato",$E393,0)),MIN(Q$38,$D$19),$P$20))-SUM($P393:P393)</f>
        <v>#VALUE!</v>
      </c>
      <c r="R393" s="446" t="e">
        <f>IF(OR($B393="",MIN(R$38,$D$19)&lt;MAX($P$34*($B393+IF($R$17="Distrato",$I$38-1,0)),IF(AND($L$37=0,$P$34=0),"",$L$37-1),IF($R$17="Distrato",$E393,0))),0,YEARFRAC(MAX($P$34*($B393+IF($R$17="Distrato",$I$38-1,0)),IF(AND($L$37=0,$P$34=0),"",$L$37-1),IF($R$17="Distrato",$E393,0)),MIN(R$38,$D$19),$P$20))-SUM($P393:Q393)</f>
        <v>#VALUE!</v>
      </c>
      <c r="S393" s="446" t="e">
        <f>IF(OR($B393="",MIN(S$38,$D$19)&lt;MAX($P$34*($B393+IF($R$17="Distrato",$I$38-1,0)),IF(AND($L$37=0,$P$34=0),"",$L$37-1),IF($R$17="Distrato",$E393,0))),0,YEARFRAC(MAX($P$34*($B393+IF($R$17="Distrato",$I$38-1,0)),IF(AND($L$37=0,$P$34=0),"",$L$37-1),IF($R$17="Distrato",$E393,0)),MIN(S$38,$D$19),$P$20))-SUM($P393:R393)</f>
        <v>#VALUE!</v>
      </c>
      <c r="T393" s="446" t="e">
        <f>IF(OR($B393="",MIN(T$38,$D$19)&lt;MAX($P$34*($B393+IF($R$17="Distrato",$I$38-1,0)),IF(AND($L$37=0,$P$34=0),"",$L$37-1),IF($R$17="Distrato",$E393,0))),0,YEARFRAC(MAX($P$34*($B393+IF($R$17="Distrato",$I$38-1,0)),IF(AND($L$37=0,$P$34=0),"",$L$37-1),IF($R$17="Distrato",$E393,0)),MIN(T$38,$D$19),$P$20))-SUM($P393:S393)</f>
        <v>#VALUE!</v>
      </c>
      <c r="U393" s="446" t="e">
        <f>IF(OR($B393="",MIN(U$38,$D$19)&lt;MAX($P$34*($B393+IF($R$17="Distrato",$I$38-1,0)),IF(AND($L$37=0,$P$34=0),"",$L$37-1),IF($R$17="Distrato",$E393,0))),0,YEARFRAC(MAX($P$34*($B393+IF($R$17="Distrato",$I$38-1,0)),IF(AND($L$37=0,$P$34=0),"",$L$37-1),IF($R$17="Distrato",$E393,0)),MIN(U$38,$D$19),$P$20))-SUM($P393:T393)</f>
        <v>#VALUE!</v>
      </c>
      <c r="V393" s="446" t="e">
        <f>IF(OR($B393="",MIN(V$38,$D$19)&lt;MAX($P$34*($B393+IF($R$17="Distrato",$I$38-1,0)),IF(AND($L$37=0,$P$34=0),"",$L$37-1),IF($R$17="Distrato",$E393,0))),0,YEARFRAC(MAX($P$34*($B393+IF($R$17="Distrato",$I$38-1,0)),IF(AND($L$37=0,$P$34=0),"",$L$37-1),IF($R$17="Distrato",$E393,0)),MIN(V$38,$D$19),$P$20))-SUM($P393:U393)</f>
        <v>#VALUE!</v>
      </c>
      <c r="W393" s="446" t="e">
        <f>IF(OR($B393="",MIN(W$38,$D$19)&lt;MAX($P$34*($B393+IF($R$17="Distrato",$I$38-1,0)),IF(AND($L$37=0,$P$34=0),"",$L$37-1),IF($R$17="Distrato",$E393,0))),0,YEARFRAC(MAX($P$34*($B393+IF($R$17="Distrato",$I$38-1,0)),IF(AND($L$37=0,$P$34=0),"",$L$37-1),IF($R$17="Distrato",$E393,0)),MIN(W$38,$D$19),$P$20))-SUM($P393:V393)</f>
        <v>#VALUE!</v>
      </c>
      <c r="X393" s="446" t="e">
        <f>IF(OR($B393="",MIN(X$38,$D$19)&lt;MAX($P$34*($B393+IF($R$17="Distrato",$I$38-1,0)),IF(AND($L$37=0,$P$34=0),"",$L$37-1),IF($R$17="Distrato",$E393,0))),0,YEARFRAC(MAX($P$34*($B393+IF($R$17="Distrato",$I$38-1,0)),IF(AND($L$37=0,$P$34=0),"",$L$37-1),IF($R$17="Distrato",$E393,0)),MIN(X$38,$D$19),$P$20))-SUM($P393:W393)</f>
        <v>#VALUE!</v>
      </c>
      <c r="Y393" s="446" t="e">
        <f>IF(OR($B393="",MIN(Y$38,$D$19)&lt;MAX($P$34*($B393+IF($R$17="Distrato",$I$38-1,0)),IF(AND($L$37=0,$P$34=0),"",$L$37-1),IF($R$17="Distrato",$E393,0))),0,YEARFRAC(MAX($P$34*($B393+IF($R$17="Distrato",$I$38-1,0)),IF(AND($L$37=0,$P$34=0),"",$L$37-1),IF($R$17="Distrato",$E393,0)),MIN(Y$38,$D$19),$P$20))-SUM($P393:X393)</f>
        <v>#VALUE!</v>
      </c>
      <c r="Z393" s="446" t="e">
        <f>IF(OR($B393="",MIN(Z$38,$D$19)&lt;MAX($P$34*($B393+IF($R$17="Distrato",$I$38-1,0)),IF(AND($L$37=0,$P$34=0),"",$L$37-1),IF($R$17="Distrato",$E393,0))),0,YEARFRAC(MAX($P$34*($B393+IF($R$17="Distrato",$I$38-1,0)),IF(AND($L$37=0,$P$34=0),"",$L$37-1),IF($R$17="Distrato",$E393,0)),MIN(Z$38,$D$19),$P$20))-SUM($P393:Y393)</f>
        <v>#VALUE!</v>
      </c>
      <c r="AA393" s="446" t="e">
        <f>IF(OR($B393="",MIN(AA$38,$D$19)&lt;MAX($P$34*($B393+IF($R$17="Distrato",$I$38-1,0)),IF(AND($L$37=0,$P$34=0),"",$L$37-1),IF($R$17="Distrato",$E393,0))),0,YEARFRAC(MAX($P$34*($B393+IF($R$17="Distrato",$I$38-1,0)),IF(AND($L$37=0,$P$34=0),"",$L$37-1),IF($R$17="Distrato",$E393,0)),MIN(AA$38,$D$19),$P$20))-SUM($P393:Z393)</f>
        <v>#VALUE!</v>
      </c>
      <c r="AB393" s="446" t="e">
        <f>IF(OR($B393="",MIN(AB$38,$D$19)&lt;MAX($P$34*($B393+IF($R$17="Distrato",$I$38-1,0)),IF(AND($L$37=0,$P$34=0),"",$L$37-1),IF($R$17="Distrato",$E393,0))),0,YEARFRAC(MAX($P$34*($B393+IF($R$17="Distrato",$I$38-1,0)),IF(AND($L$37=0,$P$34=0),"",$L$37-1),IF($R$17="Distrato",$E393,0)),MIN(AB$38,$D$19),$P$20))-SUM($P393:AA393)</f>
        <v>#VALUE!</v>
      </c>
      <c r="AC393" s="446" t="e">
        <f>IF(OR($B393="",MIN(AC$38,$D$19)&lt;MAX($P$34*($B393+IF($R$17="Distrato",$I$38-1,0)),IF(AND($L$37=0,$P$34=0),"",$L$37-1),IF($R$17="Distrato",$E393,0))),0,YEARFRAC(MAX($P$34*($B393+IF($R$17="Distrato",$I$38-1,0)),IF(AND($L$37=0,$P$34=0),"",$L$37-1),IF($R$17="Distrato",$E393,0)),MIN(AC$38,$D$19),$P$20))-SUM($P393:AB393)</f>
        <v>#VALUE!</v>
      </c>
      <c r="AD393" s="446" t="e">
        <f>IF(OR($B393="",MIN(AD$38,$D$19)&lt;MAX($P$34*($B393+IF($R$17="Distrato",$I$38-1,0)),IF(AND($L$37=0,$P$34=0),"",$L$37-1),IF($R$17="Distrato",$E393,0))),0,YEARFRAC(MAX($P$34*($B393+IF($R$17="Distrato",$I$38-1,0)),IF(AND($L$37=0,$P$34=0),"",$L$37-1),IF($R$17="Distrato",$E393,0)),MIN(AD$38,$D$19),$P$20))-SUM($P393:AC393)</f>
        <v>#VALUE!</v>
      </c>
      <c r="AE393" s="446" t="e">
        <f>IF(OR($B393="",MIN(AE$38,$D$19)&lt;MAX($P$34*($B393+IF($R$17="Distrato",$I$38-1,0)),IF(AND($L$37=0,$P$34=0),"",$L$37-1),IF($R$17="Distrato",$E393,0))),0,YEARFRAC(MAX($P$34*($B393+IF($R$17="Distrato",$I$38-1,0)),IF(AND($L$37=0,$P$34=0),"",$L$37-1),IF($R$17="Distrato",$E393,0)),MIN(AE$38,$D$19),$P$20))-SUM($P393:AD393)</f>
        <v>#VALUE!</v>
      </c>
      <c r="AF393" s="446" t="e">
        <f>IF(OR($B393="",MIN(AF$38,$D$19)&lt;MAX($P$34*($B393+IF($R$17="Distrato",$I$38-1,0)),IF(AND($L$37=0,$P$34=0),"",$L$37-1),IF($R$17="Distrato",$E393,0))),0,YEARFRAC(MAX($P$34*($B393+IF($R$17="Distrato",$I$38-1,0)),IF(AND($L$37=0,$P$34=0),"",$L$37-1),IF($R$17="Distrato",$E393,0)),MIN(AF$38,$D$19),$P$20))-SUM($P393:AE393)</f>
        <v>#VALUE!</v>
      </c>
      <c r="AG393" s="446" t="e">
        <f>IF(OR($B393="",MIN(AG$38,$D$19)&lt;MAX($P$34*($B393+IF($R$17="Distrato",$I$38-1,0)),IF(AND($L$37=0,$P$34=0),"",$L$37-1),IF($R$17="Distrato",$E393,0))),0,YEARFRAC(MAX($P$34*($B393+IF($R$17="Distrato",$I$38-1,0)),IF(AND($L$37=0,$P$34=0),"",$L$37-1),IF($R$17="Distrato",$E393,0)),MIN(AG$38,$D$19),$P$20))-SUM($P393:AF393)</f>
        <v>#VALUE!</v>
      </c>
      <c r="AH393" s="446" t="e">
        <f>IF(OR($B393="",MIN(AH$38,$D$19)&lt;MAX($P$34*($B393+IF($R$17="Distrato",$I$38-1,0)),IF(AND($L$37=0,$P$34=0),"",$L$37-1),IF($R$17="Distrato",$E393,0))),0,YEARFRAC(MAX($P$34*($B393+IF($R$17="Distrato",$I$38-1,0)),IF(AND($L$37=0,$P$34=0),"",$L$37-1),IF($R$17="Distrato",$E393,0)),MIN(AH$38,$D$19),$P$20))-SUM($P393:AG393)</f>
        <v>#VALUE!</v>
      </c>
      <c r="AI393" s="446" t="e">
        <f>IF(OR($B393="",MIN(AI$38,$D$19)&lt;MAX($P$34*($B393+IF($R$17="Distrato",$I$38-1,0)),IF(AND($L$37=0,$P$34=0),"",$L$37-1),IF($R$17="Distrato",$E393,0))),0,YEARFRAC(MAX($P$34*($B393+IF($R$17="Distrato",$I$38-1,0)),IF(AND($L$37=0,$P$34=0),"",$L$37-1),IF($R$17="Distrato",$E393,0)),MIN(AI$38,$D$19),$P$20))-SUM($P393:AH393)</f>
        <v>#VALUE!</v>
      </c>
      <c r="AJ393" s="446" t="e">
        <f>IF(OR($B393="",MIN(AJ$38,$D$19)&lt;MAX($P$34*($B393+IF($R$17="Distrato",$I$38-1,0)),IF(AND($L$37=0,$P$34=0),"",$L$37-1),IF($R$17="Distrato",$E393,0))),0,YEARFRAC(MAX($P$34*($B393+IF($R$17="Distrato",$I$38-1,0)),IF(AND($L$37=0,$P$34=0),"",$L$37-1),IF($R$17="Distrato",$E393,0)),MIN(AJ$38,$D$19),$P$20))-SUM($P393:AI393)</f>
        <v>#VALUE!</v>
      </c>
      <c r="AK393" s="446" t="e">
        <f>IF(OR($B393="",MIN(AK$38,$D$19)&lt;MAX($P$34*($B393+IF($R$17="Distrato",$I$38-1,0)),IF(AND($L$37=0,$P$34=0),"",$L$37-1),IF($R$17="Distrato",$E393,0))),0,YEARFRAC(MAX($P$34*($B393+IF($R$17="Distrato",$I$38-1,0)),IF(AND($L$37=0,$P$34=0),"",$L$37-1),IF($R$17="Distrato",$E393,0)),MIN(AK$38,$D$19),$P$20))-SUM($P393:AJ393)</f>
        <v>#VALUE!</v>
      </c>
      <c r="AL393" s="446" t="e">
        <f>IF(OR($B393="",MIN(AL$38,$D$19)&lt;MAX($P$34*($B393+IF($R$17="Distrato",$I$38-1,0)),IF(AND($L$37=0,$P$34=0),"",$L$37-1),IF($R$17="Distrato",$E393,0))),0,YEARFRAC(MAX($P$34*($B393+IF($R$17="Distrato",$I$38-1,0)),IF(AND($L$37=0,$P$34=0),"",$L$37-1),IF($R$17="Distrato",$E393,0)),MIN(AL$38,$D$19),$P$20))-SUM($P393:AK393)</f>
        <v>#VALUE!</v>
      </c>
      <c r="AM393" s="446" t="e">
        <f>IF(OR($B393="",MIN(AM$38,$D$19)&lt;MAX($P$34*($B393+IF($R$17="Distrato",$I$38-1,0)),IF(AND($L$37=0,$P$34=0),"",$L$37-1),IF($R$17="Distrato",$E393,0))),0,YEARFRAC(MAX($P$34*($B393+IF($R$17="Distrato",$I$38-1,0)),IF(AND($L$37=0,$P$34=0),"",$L$37-1),IF($R$17="Distrato",$E393,0)),MIN(AM$38,$D$19),$P$20))-SUM($P393:AL393)</f>
        <v>#VALUE!</v>
      </c>
      <c r="AN393" s="446" t="e">
        <f>IF(OR($B393="",MIN(AN$38,$D$19)&lt;MAX($P$34*($B393+IF($R$17="Distrato",$I$38-1,0)),IF(AND($L$37=0,$P$34=0),"",$L$37-1),IF($R$17="Distrato",$E393,0))),0,YEARFRAC(MAX($P$34*($B393+IF($R$17="Distrato",$I$38-1,0)),IF(AND($L$37=0,$P$34=0),"",$L$37-1),IF($R$17="Distrato",$E393,0)),MIN(AN$38,$D$19),$P$20))-SUM($P393:AM393)</f>
        <v>#VALUE!</v>
      </c>
      <c r="AO393" s="446" t="e">
        <f>IF(OR($B393="",MIN(AO$38,$D$19)&lt;MAX($P$34*($B393+IF($R$17="Distrato",$I$38-1,0)),IF(AND($L$37=0,$P$34=0),"",$L$37-1),IF($R$17="Distrato",$E393,0))),0,YEARFRAC(MAX($P$34*($B393+IF($R$17="Distrato",$I$38-1,0)),IF(AND($L$37=0,$P$34=0),"",$L$37-1),IF($R$17="Distrato",$E393,0)),MIN(AO$38,$D$19),$P$20))-SUM($P393:AN393)</f>
        <v>#VALUE!</v>
      </c>
      <c r="AP393" s="446" t="e">
        <f>IF(OR($B393="",MIN(AP$38,$D$19)&lt;MAX($P$34*($B393+IF($R$17="Distrato",$I$38-1,0)),IF(AND($L$37=0,$P$34=0),"",$L$37-1),IF($R$17="Distrato",$E393,0))),0,YEARFRAC(MAX($P$34*($B393+IF($R$17="Distrato",$I$38-1,0)),IF(AND($L$37=0,$P$34=0),"",$L$37-1),IF($R$17="Distrato",$E393,0)),MIN(AP$38,$D$19),$P$20))-SUM($P393:AO393)</f>
        <v>#VALUE!</v>
      </c>
      <c r="AQ393" s="446" t="e">
        <f>IF(OR($B393="",MIN(AQ$38,$D$19)&lt;MAX($P$34*($B393+IF($R$17="Distrato",$I$38-1,0)),IF(AND($L$37=0,$P$34=0),"",$L$37-1),IF($R$17="Distrato",$E393,0))),0,YEARFRAC(MAX($P$34*($B393+IF($R$17="Distrato",$I$38-1,0)),IF(AND($L$37=0,$P$34=0),"",$L$37-1),IF($R$17="Distrato",$E393,0)),MIN(AQ$38,$D$19),$P$20))-SUM($P393:AP393)</f>
        <v>#VALUE!</v>
      </c>
      <c r="AR393" s="446" t="e">
        <f>IF(OR($B393="",MIN(AR$38,$D$19)&lt;MAX($P$34*($B393+IF($R$17="Distrato",$I$38-1,0)),IF(AND($L$37=0,$P$34=0),"",$L$37-1),IF($R$17="Distrato",$E393,0))),0,YEARFRAC(MAX($P$34*($B393+IF($R$17="Distrato",$I$38-1,0)),IF(AND($L$37=0,$P$34=0),"",$L$37-1),IF($R$17="Distrato",$E393,0)),MIN(AR$38,$D$19),$P$20))-SUM($P393:AQ393)</f>
        <v>#VALUE!</v>
      </c>
      <c r="AS393" s="446" t="e">
        <f>IF(OR($B393="",MIN(AS$38,$D$19)&lt;MAX($P$34*($B393+IF($R$17="Distrato",$I$38-1,0)),IF(AND($L$37=0,$P$34=0),"",$L$37-1),IF($R$17="Distrato",$E393,0))),0,YEARFRAC(MAX($P$34*($B393+IF($R$17="Distrato",$I$38-1,0)),IF(AND($L$37=0,$P$34=0),"",$L$37-1),IF($R$17="Distrato",$E393,0)),MIN(AS$38,$D$19),$P$20))-SUM($P393:AR393)</f>
        <v>#VALUE!</v>
      </c>
      <c r="AT393" s="446" t="e">
        <f>IF(OR($B393="",MIN(AT$38,$D$19)&lt;MAX($P$34*($B393+IF($R$17="Distrato",$I$38-1,0)),IF(AND($L$37=0,$P$34=0),"",$L$37-1),IF($R$17="Distrato",$E393,0))),0,YEARFRAC(MAX($P$34*($B393+IF($R$17="Distrato",$I$38-1,0)),IF(AND($L$37=0,$P$34=0),"",$L$37-1),IF($R$17="Distrato",$E393,0)),MIN(AT$38,$D$19),$P$20))-SUM($P393:AS393)</f>
        <v>#VALUE!</v>
      </c>
      <c r="AU393" s="446" t="e">
        <f>IF(OR($B393="",MIN(AU$38,$D$19)&lt;MAX($P$34*($B393+IF($R$17="Distrato",$I$38-1,0)),IF(AND($L$37=0,$P$34=0),"",$L$37-1),IF($R$17="Distrato",$E393,0))),0,YEARFRAC(MAX($P$34*($B393+IF($R$17="Distrato",$I$38-1,0)),IF(AND($L$37=0,$P$34=0),"",$L$37-1),IF($R$17="Distrato",$E393,0)),MIN(AU$38,$D$19),$P$20))-SUM($P393:AT393)</f>
        <v>#VALUE!</v>
      </c>
      <c r="AV393" s="446" t="e">
        <f>IF(OR($B393="",MIN(AV$38,$D$19)&lt;MAX($P$34*($B393+IF($R$17="Distrato",$I$38-1,0)),IF(AND($L$37=0,$P$34=0),"",$L$37-1),IF($R$17="Distrato",$E393,0))),0,YEARFRAC(MAX($P$34*($B393+IF($R$17="Distrato",$I$38-1,0)),IF(AND($L$37=0,$P$34=0),"",$L$37-1),IF($R$17="Distrato",$E393,0)),MIN(AV$38,$D$19),$P$20))-SUM($P393:AU393)</f>
        <v>#VALUE!</v>
      </c>
      <c r="AW393" s="446" t="e">
        <f>IF(OR($B393="",MIN(AW$38,$D$19)&lt;MAX($P$34*($B393+IF($R$17="Distrato",$I$38-1,0)),IF(AND($L$37=0,$P$34=0),"",$L$37-1),IF($R$17="Distrato",$E393,0))),0,YEARFRAC(MAX($P$34*($B393+IF($R$17="Distrato",$I$38-1,0)),IF(AND($L$37=0,$P$34=0),"",$L$37-1),IF($R$17="Distrato",$E393,0)),MIN(AW$38,$D$19),$P$20))-SUM($P393:AV393)</f>
        <v>#VALUE!</v>
      </c>
      <c r="AX393" s="446" t="e">
        <f>IF(OR($B393="",MIN(AX$38,$D$19)&lt;MAX($P$34*($B393+IF($R$17="Distrato",$I$38-1,0)),IF(AND($L$37=0,$P$34=0),"",$L$37-1),IF($R$17="Distrato",$E393,0))),0,YEARFRAC(MAX($P$34*($B393+IF($R$17="Distrato",$I$38-1,0)),IF(AND($L$37=0,$P$34=0),"",$L$37-1),IF($R$17="Distrato",$E393,0)),MIN(AX$38,$D$19),$P$20))-SUM($P393:AW393)</f>
        <v>#VALUE!</v>
      </c>
      <c r="AY393" s="446" t="e">
        <f>IF(OR($B393="",MIN(AY$38,$D$19)&lt;MAX($P$34*($B393+IF($R$17="Distrato",$I$38-1,0)),IF(AND($L$37=0,$P$34=0),"",$L$37-1),IF($R$17="Distrato",$E393,0))),0,YEARFRAC(MAX($P$34*($B393+IF($R$17="Distrato",$I$38-1,0)),IF(AND($L$37=0,$P$34=0),"",$L$37-1),IF($R$17="Distrato",$E393,0)),MIN(AY$38,$D$19),$P$20))-SUM($P393:AX393)</f>
        <v>#VALUE!</v>
      </c>
      <c r="AZ393" s="446" t="e">
        <f>IF(OR($B393="",MIN(AZ$38,$D$19)&lt;MAX($P$34*($B393+IF($R$17="Distrato",$I$38-1,0)),IF(AND($L$37=0,$P$34=0),"",$L$37-1),IF($R$17="Distrato",$E393,0))),0,YEARFRAC(MAX($P$34*($B393+IF($R$17="Distrato",$I$38-1,0)),IF(AND($L$37=0,$P$34=0),"",$L$37-1),IF($R$17="Distrato",$E393,0)),MIN(AZ$38,$D$19),$P$20))-SUM($P393:AY393)</f>
        <v>#VALUE!</v>
      </c>
      <c r="BA393" s="446" t="e">
        <f>IF(OR($B393="",MIN(BA$38,$D$19)&lt;MAX($P$34*($B393+IF($R$17="Distrato",$I$38-1,0)),IF(AND($L$37=0,$P$34=0),"",$L$37-1),IF($R$17="Distrato",$E393,0))),0,YEARFRAC(MAX($P$34*($B393+IF($R$17="Distrato",$I$38-1,0)),IF(AND($L$37=0,$P$34=0),"",$L$37-1),IF($R$17="Distrato",$E393,0)),MIN(BA$38,$D$19),$P$20))-SUM($P393:AZ393)</f>
        <v>#VALUE!</v>
      </c>
      <c r="BB393" s="447"/>
      <c r="BF393" s="446">
        <f t="shared" si="65"/>
        <v>0</v>
      </c>
      <c r="BG393" s="446">
        <f>IF($E393=0,0,IF(MIN(BG$38,$E393)&lt;MAX($P$34*($B393+$I$38-1),IF(AND($L$37=0,$P$34=0),"",$L$37-1)),0,YEARFRAC(MAX($P$34*($B393+$I$38-1),IF(AND($L$37=0,$P$34=0),"",$L$37-1)),MIN(BG$38,$E393),$P$20))-SUM($BF393:BF393))</f>
        <v>0</v>
      </c>
      <c r="BH393" s="446">
        <f>IF($E393=0,0,IF(MIN(BH$38,$E393)&lt;MAX($P$34*($B393+$I$38-1),IF(AND($L$37=0,$P$34=0),"",$L$37-1)),0,YEARFRAC(MAX($P$34*($B393+$I$38-1),IF(AND($L$37=0,$P$34=0),"",$L$37-1)),MIN(BH$38,$E393),$P$20))-SUM($BF393:BG393))</f>
        <v>0</v>
      </c>
      <c r="BI393" s="446">
        <f>IF($E393=0,0,IF(MIN(BI$38,$E393)&lt;MAX($P$34*($B393+$I$38-1),IF(AND($L$37=0,$P$34=0),"",$L$37-1)),0,YEARFRAC(MAX($P$34*($B393+$I$38-1),IF(AND($L$37=0,$P$34=0),"",$L$37-1)),MIN(BI$38,$E393),$P$20))-SUM($BF393:BH393))</f>
        <v>0</v>
      </c>
      <c r="BJ393" s="446">
        <f>IF($E393=0,0,IF(MIN(BJ$38,$E393)&lt;MAX($P$34*($B393+$I$38-1),IF(AND($L$37=0,$P$34=0),"",$L$37-1)),0,YEARFRAC(MAX($P$34*($B393+$I$38-1),IF(AND($L$37=0,$P$34=0),"",$L$37-1)),MIN(BJ$38,$E393),$P$20))-SUM($BF393:BI393))</f>
        <v>0</v>
      </c>
      <c r="BK393" s="446">
        <f>IF($E393=0,0,IF(MIN(BK$38,$E393)&lt;MAX($P$34*($B393+$I$38-1),IF(AND($L$37=0,$P$34=0),"",$L$37-1)),0,YEARFRAC(MAX($P$34*($B393+$I$38-1),IF(AND($L$37=0,$P$34=0),"",$L$37-1)),MIN(BK$38,$E393),$P$20))-SUM($BF393:BJ393))</f>
        <v>0</v>
      </c>
      <c r="BL393" s="446">
        <f>IF($E393=0,0,IF(MIN(BL$38,$E393)&lt;MAX($P$34*($B393+$I$38-1),IF(AND($L$37=0,$P$34=0),"",$L$37-1)),0,YEARFRAC(MAX($P$34*($B393+$I$38-1),IF(AND($L$37=0,$P$34=0),"",$L$37-1)),MIN(BL$38,$E393),$P$20))-SUM($BF393:BK393))</f>
        <v>0</v>
      </c>
      <c r="BM393" s="446">
        <f>IF($E393=0,0,IF(MIN(BM$38,$E393)&lt;MAX($P$34*($B393+$I$38-1),IF(AND($L$37=0,$P$34=0),"",$L$37-1)),0,YEARFRAC(MAX($P$34*($B393+$I$38-1),IF(AND($L$37=0,$P$34=0),"",$L$37-1)),MIN(BM$38,$E393),$P$20))-SUM($BF393:BL393))</f>
        <v>0</v>
      </c>
      <c r="BN393" s="446">
        <f>IF($E393=0,0,IF(MIN(BN$38,$E393)&lt;MAX($P$34*($B393+$I$38-1),IF(AND($L$37=0,$P$34=0),"",$L$37-1)),0,YEARFRAC(MAX($P$34*($B393+$I$38-1),IF(AND($L$37=0,$P$34=0),"",$L$37-1)),MIN(BN$38,$E393),$P$20))-SUM($BF393:BM393))</f>
        <v>0</v>
      </c>
      <c r="BO393" s="446">
        <f>IF($E393=0,0,IF(MIN(BO$38,$E393)&lt;MAX($P$34*($B393+$I$38-1),IF(AND($L$37=0,$P$34=0),"",$L$37-1)),0,YEARFRAC(MAX($P$34*($B393+$I$38-1),IF(AND($L$37=0,$P$34=0),"",$L$37-1)),MIN(BO$38,$E393),$P$20))-SUM($BF393:BN393))</f>
        <v>0</v>
      </c>
      <c r="BP393" s="446">
        <f>IF($E393=0,0,IF(MIN(BP$38,$E393)&lt;MAX($P$34*($B393+$I$38-1),IF(AND($L$37=0,$P$34=0),"",$L$37-1)),0,YEARFRAC(MAX($P$34*($B393+$I$38-1),IF(AND($L$37=0,$P$34=0),"",$L$37-1)),MIN(BP$38,$E393),$P$20))-SUM($BF393:BO393))</f>
        <v>0</v>
      </c>
      <c r="BQ393" s="446">
        <f>IF($E393=0,0,IF(MIN(BQ$38,$E393)&lt;MAX($P$34*($B393+$I$38-1),IF(AND($L$37=0,$P$34=0),"",$L$37-1)),0,YEARFRAC(MAX($P$34*($B393+$I$38-1),IF(AND($L$37=0,$P$34=0),"",$L$37-1)),MIN(BQ$38,$E393),$P$20))-SUM($BF393:BP393))</f>
        <v>0</v>
      </c>
      <c r="BR393" s="446">
        <f>IF($E393=0,0,IF(MIN(BR$38,$E393)&lt;MAX($P$34*($B393+$I$38-1),IF(AND($L$37=0,$P$34=0),"",$L$37-1)),0,YEARFRAC(MAX($P$34*($B393+$I$38-1),IF(AND($L$37=0,$P$34=0),"",$L$37-1)),MIN(BR$38,$E393),$P$20))-SUM($BF393:BQ393))</f>
        <v>0</v>
      </c>
      <c r="BS393" s="446">
        <f>IF($E393=0,0,IF(MIN(BS$38,$E393)&lt;MAX($P$34*($B393+$I$38-1),IF(AND($L$37=0,$P$34=0),"",$L$37-1)),0,YEARFRAC(MAX($P$34*($B393+$I$38-1),IF(AND($L$37=0,$P$34=0),"",$L$37-1)),MIN(BS$38,$E393),$P$20))-SUM($BF393:BR393))</f>
        <v>0</v>
      </c>
      <c r="BT393" s="446">
        <f>IF($E393=0,0,IF(MIN(BT$38,$E393)&lt;MAX($P$34*($B393+$I$38-1),IF(AND($L$37=0,$P$34=0),"",$L$37-1)),0,YEARFRAC(MAX($P$34*($B393+$I$38-1),IF(AND($L$37=0,$P$34=0),"",$L$37-1)),MIN(BT$38,$E393),$P$20))-SUM($BF393:BS393))</f>
        <v>0</v>
      </c>
      <c r="BU393" s="446">
        <f>IF($E393=0,0,IF(MIN(BU$38,$E393)&lt;MAX($P$34*($B393+$I$38-1),IF(AND($L$37=0,$P$34=0),"",$L$37-1)),0,YEARFRAC(MAX($P$34*($B393+$I$38-1),IF(AND($L$37=0,$P$34=0),"",$L$37-1)),MIN(BU$38,$E393),$P$20))-SUM($BF393:BT393))</f>
        <v>0</v>
      </c>
      <c r="BV393" s="446">
        <f>IF($E393=0,0,IF(MIN(BV$38,$E393)&lt;MAX($P$34*($B393+$I$38-1),IF(AND($L$37=0,$P$34=0),"",$L$37-1)),0,YEARFRAC(MAX($P$34*($B393+$I$38-1),IF(AND($L$37=0,$P$34=0),"",$L$37-1)),MIN(BV$38,$E393),$P$20))-SUM($BF393:BU393))</f>
        <v>0</v>
      </c>
      <c r="BW393" s="446">
        <f>IF($E393=0,0,IF(MIN(BW$38,$E393)&lt;MAX($P$34*($B393+$I$38-1),IF(AND($L$37=0,$P$34=0),"",$L$37-1)),0,YEARFRAC(MAX($P$34*($B393+$I$38-1),IF(AND($L$37=0,$P$34=0),"",$L$37-1)),MIN(BW$38,$E393),$P$20))-SUM($BF393:BV393))</f>
        <v>0</v>
      </c>
      <c r="BX393" s="446">
        <f>IF($E393=0,0,IF(MIN(BX$38,$E393)&lt;MAX($P$34*($B393+$I$38-1),IF(AND($L$37=0,$P$34=0),"",$L$37-1)),0,YEARFRAC(MAX($P$34*($B393+$I$38-1),IF(AND($L$37=0,$P$34=0),"",$L$37-1)),MIN(BX$38,$E393),$P$20))-SUM($BF393:BW393))</f>
        <v>0</v>
      </c>
      <c r="BY393" s="446">
        <f>IF($E393=0,0,IF(MIN(BY$38,$E393)&lt;MAX($P$34*($B393+$I$38-1),IF(AND($L$37=0,$P$34=0),"",$L$37-1)),0,YEARFRAC(MAX($P$34*($B393+$I$38-1),IF(AND($L$37=0,$P$34=0),"",$L$37-1)),MIN(BY$38,$E393),$P$20))-SUM($BF393:BX393))</f>
        <v>0</v>
      </c>
      <c r="BZ393" s="446">
        <f>IF($E393=0,0,IF(MIN(BZ$38,$E393)&lt;MAX($P$34*($B393+$I$38-1),IF(AND($L$37=0,$P$34=0),"",$L$37-1)),0,YEARFRAC(MAX($P$34*($B393+$I$38-1),IF(AND($L$37=0,$P$34=0),"",$L$37-1)),MIN(BZ$38,$E393),$P$20))-SUM($BF393:BY393))</f>
        <v>0</v>
      </c>
      <c r="CA393" s="446">
        <f>IF($E393=0,0,IF(MIN(CA$38,$E393)&lt;MAX($P$34*($B393+$I$38-1),IF(AND($L$37=0,$P$34=0),"",$L$37-1)),0,YEARFRAC(MAX($P$34*($B393+$I$38-1),IF(AND($L$37=0,$P$34=0),"",$L$37-1)),MIN(CA$38,$E393),$P$20))-SUM($BF393:BZ393))</f>
        <v>0</v>
      </c>
      <c r="CB393" s="446">
        <f>IF($E393=0,0,IF(MIN(CB$38,$E393)&lt;MAX($P$34*($B393+$I$38-1),IF(AND($L$37=0,$P$34=0),"",$L$37-1)),0,YEARFRAC(MAX($P$34*($B393+$I$38-1),IF(AND($L$37=0,$P$34=0),"",$L$37-1)),MIN(CB$38,$E393),$P$20))-SUM($BF393:CA393))</f>
        <v>0</v>
      </c>
      <c r="CC393" s="446">
        <f>IF($E393=0,0,IF(MIN(CC$38,$E393)&lt;MAX($P$34*($B393+$I$38-1),IF(AND($L$37=0,$P$34=0),"",$L$37-1)),0,YEARFRAC(MAX($P$34*($B393+$I$38-1),IF(AND($L$37=0,$P$34=0),"",$L$37-1)),MIN(CC$38,$E393),$P$20))-SUM($BF393:CB393))</f>
        <v>0</v>
      </c>
      <c r="CD393" s="446">
        <f>IF($E393=0,0,IF(MIN(CD$38,$E393)&lt;MAX($P$34*($B393+$I$38-1),IF(AND($L$37=0,$P$34=0),"",$L$37-1)),0,YEARFRAC(MAX($P$34*($B393+$I$38-1),IF(AND($L$37=0,$P$34=0),"",$L$37-1)),MIN(CD$38,$E393),$P$20))-SUM($BF393:CC393))</f>
        <v>0</v>
      </c>
      <c r="CE393" s="446">
        <f>IF($E393=0,0,IF(MIN(CE$38,$E393)&lt;MAX($P$34*($B393+$I$38-1),IF(AND($L$37=0,$P$34=0),"",$L$37-1)),0,YEARFRAC(MAX($P$34*($B393+$I$38-1),IF(AND($L$37=0,$P$34=0),"",$L$37-1)),MIN(CE$38,$E393),$P$20))-SUM($BF393:CD393))</f>
        <v>0</v>
      </c>
      <c r="CF393" s="446">
        <f>IF($E393=0,0,IF(MIN(CF$38,$E393)&lt;MAX($P$34*($B393+$I$38-1),IF(AND($L$37=0,$P$34=0),"",$L$37-1)),0,YEARFRAC(MAX($P$34*($B393+$I$38-1),IF(AND($L$37=0,$P$34=0),"",$L$37-1)),MIN(CF$38,$E393),$P$20))-SUM($BF393:CE393))</f>
        <v>0</v>
      </c>
      <c r="CG393" s="446">
        <f>IF($E393=0,0,IF(MIN(CG$38,$E393)&lt;MAX($P$34*($B393+$I$38-1),IF(AND($L$37=0,$P$34=0),"",$L$37-1)),0,YEARFRAC(MAX($P$34*($B393+$I$38-1),IF(AND($L$37=0,$P$34=0),"",$L$37-1)),MIN(CG$38,$E393),$P$20))-SUM($BF393:CF393))</f>
        <v>0</v>
      </c>
      <c r="CH393" s="446">
        <f>IF($E393=0,0,IF(MIN(CH$38,$E393)&lt;MAX($P$34*($B393+$I$38-1),IF(AND($L$37=0,$P$34=0),"",$L$37-1)),0,YEARFRAC(MAX($P$34*($B393+$I$38-1),IF(AND($L$37=0,$P$34=0),"",$L$37-1)),MIN(CH$38,$E393),$P$20))-SUM($BF393:CG393))</f>
        <v>0</v>
      </c>
      <c r="CI393" s="446">
        <f>IF($E393=0,0,IF(MIN(CI$38,$E393)&lt;MAX($P$34*($B393+$I$38-1),IF(AND($L$37=0,$P$34=0),"",$L$37-1)),0,YEARFRAC(MAX($P$34*($B393+$I$38-1),IF(AND($L$37=0,$P$34=0),"",$L$37-1)),MIN(CI$38,$E393),$P$20))-SUM($BF393:CH393))</f>
        <v>0</v>
      </c>
      <c r="CJ393" s="446">
        <f>IF($E393=0,0,IF(MIN(CJ$38,$E393)&lt;MAX($P$34*($B393+$I$38-1),IF(AND($L$37=0,$P$34=0),"",$L$37-1)),0,YEARFRAC(MAX($P$34*($B393+$I$38-1),IF(AND($L$37=0,$P$34=0),"",$L$37-1)),MIN(CJ$38,$E393),$P$20))-SUM($BF393:CI393))</f>
        <v>0</v>
      </c>
      <c r="CK393" s="446">
        <f>IF($E393=0,0,IF(MIN(CK$38,$E393)&lt;MAX($P$34*($B393+$I$38-1),IF(AND($L$37=0,$P$34=0),"",$L$37-1)),0,YEARFRAC(MAX($P$34*($B393+$I$38-1),IF(AND($L$37=0,$P$34=0),"",$L$37-1)),MIN(CK$38,$E393),$P$20))-SUM($BF393:CJ393))</f>
        <v>0</v>
      </c>
      <c r="CL393" s="446">
        <f>IF($E393=0,0,IF(MIN(CL$38,$E393)&lt;MAX($P$34*($B393+$I$38-1),IF(AND($L$37=0,$P$34=0),"",$L$37-1)),0,YEARFRAC(MAX($P$34*($B393+$I$38-1),IF(AND($L$37=0,$P$34=0),"",$L$37-1)),MIN(CL$38,$E393),$P$20))-SUM($BF393:CK393))</f>
        <v>0</v>
      </c>
      <c r="CM393" s="446">
        <f>IF($E393=0,0,IF(MIN(CM$38,$E393)&lt;MAX($P$34*($B393+$I$38-1),IF(AND($L$37=0,$P$34=0),"",$L$37-1)),0,YEARFRAC(MAX($P$34*($B393+$I$38-1),IF(AND($L$37=0,$P$34=0),"",$L$37-1)),MIN(CM$38,$E393),$P$20))-SUM($BF393:CL393))</f>
        <v>0</v>
      </c>
      <c r="CN393" s="446">
        <f>IF($E393=0,0,IF(MIN(CN$38,$E393)&lt;MAX($P$34*($B393+$I$38-1),IF(AND($L$37=0,$P$34=0),"",$L$37-1)),0,YEARFRAC(MAX($P$34*($B393+$I$38-1),IF(AND($L$37=0,$P$34=0),"",$L$37-1)),MIN(CN$38,$E393),$P$20))-SUM($BF393:CM393))</f>
        <v>0</v>
      </c>
      <c r="CO393" s="446">
        <f>IF($E393=0,0,IF(MIN(CO$38,$E393)&lt;MAX($P$34*($B393+$I$38-1),IF(AND($L$37=0,$P$34=0),"",$L$37-1)),0,YEARFRAC(MAX($P$34*($B393+$I$38-1),IF(AND($L$37=0,$P$34=0),"",$L$37-1)),MIN(CO$38,$E393),$P$20))-SUM($BF393:CN393))</f>
        <v>0</v>
      </c>
      <c r="CP393" s="446">
        <f>IF($E393=0,0,IF(MIN(CP$38,$E393)&lt;MAX($P$34*($B393+$I$38-1),IF(AND($L$37=0,$P$34=0),"",$L$37-1)),0,YEARFRAC(MAX($P$34*($B393+$I$38-1),IF(AND($L$37=0,$P$34=0),"",$L$37-1)),MIN(CP$38,$E393),$P$20))-SUM($BF393:CO393))</f>
        <v>0</v>
      </c>
      <c r="CQ393" s="446">
        <f>IF($E393=0,0,IF(MIN(CQ$38,$E393)&lt;MAX($P$34*($B393+$I$38-1),IF(AND($L$37=0,$P$34=0),"",$L$37-1)),0,YEARFRAC(MAX($P$34*($B393+$I$38-1),IF(AND($L$37=0,$P$34=0),"",$L$37-1)),MIN(CQ$38,$E393),$P$20))-SUM($BF393:CP393))</f>
        <v>0</v>
      </c>
    </row>
    <row r="394" spans="1:95" s="446" customFormat="1" ht="11.25" hidden="1" customHeight="1" x14ac:dyDescent="0.2">
      <c r="A394" s="152"/>
      <c r="B394" s="153" t="str">
        <f t="shared" si="70"/>
        <v/>
      </c>
      <c r="C394" s="29" t="str">
        <f>IF(B394="","",IF($L$35="SELIC - TRIBUTOS",VLOOKUP(DATE(YEAR($D$19),MONTH($D$19)-1,1),ÍNDICES!$A:$DE,HLOOKUP($BL$25,ÍNDICES!$B$3:$T$4,2)+11)-VLOOKUP(B394,ÍNDICES!$A:$DE,HLOOKUP($BL$25,ÍNDICES!$B$3:$T$4,2)+11)+1%,IF(C$38=$W$26,$J$35,IF(ISERROR(IF(B394&gt;$D$19,1,VLOOKUP(DATE(YEAR(B394),MONTH(B394)+IF($C$35=$S$23,1,0),1),ÍNDICES!$A:$DE,$Z$35+1))),"",IF(B394&gt;$D$19,1,VLOOKUP(DATE(YEAR(B394),MONTH(B394)+IF($C$35=$S$23,1,0),1),ÍNDICES!$A:$DE,$Z$35+1))))))</f>
        <v/>
      </c>
      <c r="D394" s="154" t="str">
        <f>IF(ISERROR(IF(OR($D$38=$Y$27,$B394=""),"",VLOOKUP(B394,ÍNDICES!A:DE,AF$35+1))),"",IF(OR($D$38=$Y$27,$B394=""),"",VLOOKUP(B394,ÍNDICES!A:DE,AF$35+1)))</f>
        <v/>
      </c>
      <c r="E394" s="153"/>
      <c r="F394" s="29" t="str">
        <f>IF(E394="","",IF($L$35="SELIC - TRIBUTOS",VLOOKUP(DATE(YEAR($D$19),MONTH($D$19)-1,1),ÍNDICES!$A:$DE,HLOOKUP($BL$25,ÍNDICES!$B$3:$T$4,2)+11)-VLOOKUP(E394,ÍNDICES!$A:$DE,HLOOKUP($BL$25,ÍNDICES!$B$3:$T$4,2)+11)+1%,IF(F$38=$W$26,$J$35,IF(ISERROR(IF(E394&gt;$D$19,1,VLOOKUP(DATE(YEAR(E394),MONTH(E394)+IF($C$35=$S$23,1,0),1),ÍNDICES!$A:$DE,$Z$35+1))),"",IF(E394&gt;$D$19,1,VLOOKUP(DATE(YEAR(E394),MONTH(E394)+IF($C$35=$S$23,1,0),1),ÍNDICES!$A:$DE,$Z$35+1))))))</f>
        <v/>
      </c>
      <c r="G394" s="155"/>
      <c r="H394" s="156" t="str">
        <f t="shared" si="66"/>
        <v/>
      </c>
      <c r="I394" s="29" t="str">
        <f t="shared" si="60"/>
        <v/>
      </c>
      <c r="J394" s="5">
        <f t="shared" si="61"/>
        <v>0</v>
      </c>
      <c r="K394" s="20">
        <f t="shared" ca="1" si="62"/>
        <v>0</v>
      </c>
      <c r="L394" s="5">
        <f t="shared" ca="1" si="63"/>
        <v>0</v>
      </c>
      <c r="M394" s="64">
        <f t="shared" si="67"/>
        <v>0</v>
      </c>
      <c r="N394" s="61">
        <f t="shared" ca="1" si="68"/>
        <v>0</v>
      </c>
      <c r="O394" s="5">
        <f t="shared" ca="1" si="69"/>
        <v>0</v>
      </c>
      <c r="P394" s="446" t="e">
        <f t="shared" si="64"/>
        <v>#VALUE!</v>
      </c>
      <c r="Q394" s="446" t="e">
        <f>IF(OR($B394="",MIN(Q$38,$D$19)&lt;MAX($P$34*($B394+IF($R$17="Distrato",$I$38-1,0)),IF(AND($L$37=0,$P$34=0),"",$L$37-1),IF($R$17="Distrato",$E394,0))),0,YEARFRAC(MAX($P$34*($B394+IF($R$17="Distrato",$I$38-1,0)),IF(AND($L$37=0,$P$34=0),"",$L$37-1),IF($R$17="Distrato",$E394,0)),MIN(Q$38,$D$19),$P$20))-SUM($P394:P394)</f>
        <v>#VALUE!</v>
      </c>
      <c r="R394" s="446" t="e">
        <f>IF(OR($B394="",MIN(R$38,$D$19)&lt;MAX($P$34*($B394+IF($R$17="Distrato",$I$38-1,0)),IF(AND($L$37=0,$P$34=0),"",$L$37-1),IF($R$17="Distrato",$E394,0))),0,YEARFRAC(MAX($P$34*($B394+IF($R$17="Distrato",$I$38-1,0)),IF(AND($L$37=0,$P$34=0),"",$L$37-1),IF($R$17="Distrato",$E394,0)),MIN(R$38,$D$19),$P$20))-SUM($P394:Q394)</f>
        <v>#VALUE!</v>
      </c>
      <c r="S394" s="446" t="e">
        <f>IF(OR($B394="",MIN(S$38,$D$19)&lt;MAX($P$34*($B394+IF($R$17="Distrato",$I$38-1,0)),IF(AND($L$37=0,$P$34=0),"",$L$37-1),IF($R$17="Distrato",$E394,0))),0,YEARFRAC(MAX($P$34*($B394+IF($R$17="Distrato",$I$38-1,0)),IF(AND($L$37=0,$P$34=0),"",$L$37-1),IF($R$17="Distrato",$E394,0)),MIN(S$38,$D$19),$P$20))-SUM($P394:R394)</f>
        <v>#VALUE!</v>
      </c>
      <c r="T394" s="446" t="e">
        <f>IF(OR($B394="",MIN(T$38,$D$19)&lt;MAX($P$34*($B394+IF($R$17="Distrato",$I$38-1,0)),IF(AND($L$37=0,$P$34=0),"",$L$37-1),IF($R$17="Distrato",$E394,0))),0,YEARFRAC(MAX($P$34*($B394+IF($R$17="Distrato",$I$38-1,0)),IF(AND($L$37=0,$P$34=0),"",$L$37-1),IF($R$17="Distrato",$E394,0)),MIN(T$38,$D$19),$P$20))-SUM($P394:S394)</f>
        <v>#VALUE!</v>
      </c>
      <c r="U394" s="446" t="e">
        <f>IF(OR($B394="",MIN(U$38,$D$19)&lt;MAX($P$34*($B394+IF($R$17="Distrato",$I$38-1,0)),IF(AND($L$37=0,$P$34=0),"",$L$37-1),IF($R$17="Distrato",$E394,0))),0,YEARFRAC(MAX($P$34*($B394+IF($R$17="Distrato",$I$38-1,0)),IF(AND($L$37=0,$P$34=0),"",$L$37-1),IF($R$17="Distrato",$E394,0)),MIN(U$38,$D$19),$P$20))-SUM($P394:T394)</f>
        <v>#VALUE!</v>
      </c>
      <c r="V394" s="446" t="e">
        <f>IF(OR($B394="",MIN(V$38,$D$19)&lt;MAX($P$34*($B394+IF($R$17="Distrato",$I$38-1,0)),IF(AND($L$37=0,$P$34=0),"",$L$37-1),IF($R$17="Distrato",$E394,0))),0,YEARFRAC(MAX($P$34*($B394+IF($R$17="Distrato",$I$38-1,0)),IF(AND($L$37=0,$P$34=0),"",$L$37-1),IF($R$17="Distrato",$E394,0)),MIN(V$38,$D$19),$P$20))-SUM($P394:U394)</f>
        <v>#VALUE!</v>
      </c>
      <c r="W394" s="446" t="e">
        <f>IF(OR($B394="",MIN(W$38,$D$19)&lt;MAX($P$34*($B394+IF($R$17="Distrato",$I$38-1,0)),IF(AND($L$37=0,$P$34=0),"",$L$37-1),IF($R$17="Distrato",$E394,0))),0,YEARFRAC(MAX($P$34*($B394+IF($R$17="Distrato",$I$38-1,0)),IF(AND($L$37=0,$P$34=0),"",$L$37-1),IF($R$17="Distrato",$E394,0)),MIN(W$38,$D$19),$P$20))-SUM($P394:V394)</f>
        <v>#VALUE!</v>
      </c>
      <c r="X394" s="446" t="e">
        <f>IF(OR($B394="",MIN(X$38,$D$19)&lt;MAX($P$34*($B394+IF($R$17="Distrato",$I$38-1,0)),IF(AND($L$37=0,$P$34=0),"",$L$37-1),IF($R$17="Distrato",$E394,0))),0,YEARFRAC(MAX($P$34*($B394+IF($R$17="Distrato",$I$38-1,0)),IF(AND($L$37=0,$P$34=0),"",$L$37-1),IF($R$17="Distrato",$E394,0)),MIN(X$38,$D$19),$P$20))-SUM($P394:W394)</f>
        <v>#VALUE!</v>
      </c>
      <c r="Y394" s="446" t="e">
        <f>IF(OR($B394="",MIN(Y$38,$D$19)&lt;MAX($P$34*($B394+IF($R$17="Distrato",$I$38-1,0)),IF(AND($L$37=0,$P$34=0),"",$L$37-1),IF($R$17="Distrato",$E394,0))),0,YEARFRAC(MAX($P$34*($B394+IF($R$17="Distrato",$I$38-1,0)),IF(AND($L$37=0,$P$34=0),"",$L$37-1),IF($R$17="Distrato",$E394,0)),MIN(Y$38,$D$19),$P$20))-SUM($P394:X394)</f>
        <v>#VALUE!</v>
      </c>
      <c r="Z394" s="446" t="e">
        <f>IF(OR($B394="",MIN(Z$38,$D$19)&lt;MAX($P$34*($B394+IF($R$17="Distrato",$I$38-1,0)),IF(AND($L$37=0,$P$34=0),"",$L$37-1),IF($R$17="Distrato",$E394,0))),0,YEARFRAC(MAX($P$34*($B394+IF($R$17="Distrato",$I$38-1,0)),IF(AND($L$37=0,$P$34=0),"",$L$37-1),IF($R$17="Distrato",$E394,0)),MIN(Z$38,$D$19),$P$20))-SUM($P394:Y394)</f>
        <v>#VALUE!</v>
      </c>
      <c r="AA394" s="446" t="e">
        <f>IF(OR($B394="",MIN(AA$38,$D$19)&lt;MAX($P$34*($B394+IF($R$17="Distrato",$I$38-1,0)),IF(AND($L$37=0,$P$34=0),"",$L$37-1),IF($R$17="Distrato",$E394,0))),0,YEARFRAC(MAX($P$34*($B394+IF($R$17="Distrato",$I$38-1,0)),IF(AND($L$37=0,$P$34=0),"",$L$37-1),IF($R$17="Distrato",$E394,0)),MIN(AA$38,$D$19),$P$20))-SUM($P394:Z394)</f>
        <v>#VALUE!</v>
      </c>
      <c r="AB394" s="446" t="e">
        <f>IF(OR($B394="",MIN(AB$38,$D$19)&lt;MAX($P$34*($B394+IF($R$17="Distrato",$I$38-1,0)),IF(AND($L$37=0,$P$34=0),"",$L$37-1),IF($R$17="Distrato",$E394,0))),0,YEARFRAC(MAX($P$34*($B394+IF($R$17="Distrato",$I$38-1,0)),IF(AND($L$37=0,$P$34=0),"",$L$37-1),IF($R$17="Distrato",$E394,0)),MIN(AB$38,$D$19),$P$20))-SUM($P394:AA394)</f>
        <v>#VALUE!</v>
      </c>
      <c r="AC394" s="446" t="e">
        <f>IF(OR($B394="",MIN(AC$38,$D$19)&lt;MAX($P$34*($B394+IF($R$17="Distrato",$I$38-1,0)),IF(AND($L$37=0,$P$34=0),"",$L$37-1),IF($R$17="Distrato",$E394,0))),0,YEARFRAC(MAX($P$34*($B394+IF($R$17="Distrato",$I$38-1,0)),IF(AND($L$37=0,$P$34=0),"",$L$37-1),IF($R$17="Distrato",$E394,0)),MIN(AC$38,$D$19),$P$20))-SUM($P394:AB394)</f>
        <v>#VALUE!</v>
      </c>
      <c r="AD394" s="446" t="e">
        <f>IF(OR($B394="",MIN(AD$38,$D$19)&lt;MAX($P$34*($B394+IF($R$17="Distrato",$I$38-1,0)),IF(AND($L$37=0,$P$34=0),"",$L$37-1),IF($R$17="Distrato",$E394,0))),0,YEARFRAC(MAX($P$34*($B394+IF($R$17="Distrato",$I$38-1,0)),IF(AND($L$37=0,$P$34=0),"",$L$37-1),IF($R$17="Distrato",$E394,0)),MIN(AD$38,$D$19),$P$20))-SUM($P394:AC394)</f>
        <v>#VALUE!</v>
      </c>
      <c r="AE394" s="446" t="e">
        <f>IF(OR($B394="",MIN(AE$38,$D$19)&lt;MAX($P$34*($B394+IF($R$17="Distrato",$I$38-1,0)),IF(AND($L$37=0,$P$34=0),"",$L$37-1),IF($R$17="Distrato",$E394,0))),0,YEARFRAC(MAX($P$34*($B394+IF($R$17="Distrato",$I$38-1,0)),IF(AND($L$37=0,$P$34=0),"",$L$37-1),IF($R$17="Distrato",$E394,0)),MIN(AE$38,$D$19),$P$20))-SUM($P394:AD394)</f>
        <v>#VALUE!</v>
      </c>
      <c r="AF394" s="446" t="e">
        <f>IF(OR($B394="",MIN(AF$38,$D$19)&lt;MAX($P$34*($B394+IF($R$17="Distrato",$I$38-1,0)),IF(AND($L$37=0,$P$34=0),"",$L$37-1),IF($R$17="Distrato",$E394,0))),0,YEARFRAC(MAX($P$34*($B394+IF($R$17="Distrato",$I$38-1,0)),IF(AND($L$37=0,$P$34=0),"",$L$37-1),IF($R$17="Distrato",$E394,0)),MIN(AF$38,$D$19),$P$20))-SUM($P394:AE394)</f>
        <v>#VALUE!</v>
      </c>
      <c r="AG394" s="446" t="e">
        <f>IF(OR($B394="",MIN(AG$38,$D$19)&lt;MAX($P$34*($B394+IF($R$17="Distrato",$I$38-1,0)),IF(AND($L$37=0,$P$34=0),"",$L$37-1),IF($R$17="Distrato",$E394,0))),0,YEARFRAC(MAX($P$34*($B394+IF($R$17="Distrato",$I$38-1,0)),IF(AND($L$37=0,$P$34=0),"",$L$37-1),IF($R$17="Distrato",$E394,0)),MIN(AG$38,$D$19),$P$20))-SUM($P394:AF394)</f>
        <v>#VALUE!</v>
      </c>
      <c r="AH394" s="446" t="e">
        <f>IF(OR($B394="",MIN(AH$38,$D$19)&lt;MAX($P$34*($B394+IF($R$17="Distrato",$I$38-1,0)),IF(AND($L$37=0,$P$34=0),"",$L$37-1),IF($R$17="Distrato",$E394,0))),0,YEARFRAC(MAX($P$34*($B394+IF($R$17="Distrato",$I$38-1,0)),IF(AND($L$37=0,$P$34=0),"",$L$37-1),IF($R$17="Distrato",$E394,0)),MIN(AH$38,$D$19),$P$20))-SUM($P394:AG394)</f>
        <v>#VALUE!</v>
      </c>
      <c r="AI394" s="446" t="e">
        <f>IF(OR($B394="",MIN(AI$38,$D$19)&lt;MAX($P$34*($B394+IF($R$17="Distrato",$I$38-1,0)),IF(AND($L$37=0,$P$34=0),"",$L$37-1),IF($R$17="Distrato",$E394,0))),0,YEARFRAC(MAX($P$34*($B394+IF($R$17="Distrato",$I$38-1,0)),IF(AND($L$37=0,$P$34=0),"",$L$37-1),IF($R$17="Distrato",$E394,0)),MIN(AI$38,$D$19),$P$20))-SUM($P394:AH394)</f>
        <v>#VALUE!</v>
      </c>
      <c r="AJ394" s="446" t="e">
        <f>IF(OR($B394="",MIN(AJ$38,$D$19)&lt;MAX($P$34*($B394+IF($R$17="Distrato",$I$38-1,0)),IF(AND($L$37=0,$P$34=0),"",$L$37-1),IF($R$17="Distrato",$E394,0))),0,YEARFRAC(MAX($P$34*($B394+IF($R$17="Distrato",$I$38-1,0)),IF(AND($L$37=0,$P$34=0),"",$L$37-1),IF($R$17="Distrato",$E394,0)),MIN(AJ$38,$D$19),$P$20))-SUM($P394:AI394)</f>
        <v>#VALUE!</v>
      </c>
      <c r="AK394" s="446" t="e">
        <f>IF(OR($B394="",MIN(AK$38,$D$19)&lt;MAX($P$34*($B394+IF($R$17="Distrato",$I$38-1,0)),IF(AND($L$37=0,$P$34=0),"",$L$37-1),IF($R$17="Distrato",$E394,0))),0,YEARFRAC(MAX($P$34*($B394+IF($R$17="Distrato",$I$38-1,0)),IF(AND($L$37=0,$P$34=0),"",$L$37-1),IF($R$17="Distrato",$E394,0)),MIN(AK$38,$D$19),$P$20))-SUM($P394:AJ394)</f>
        <v>#VALUE!</v>
      </c>
      <c r="AL394" s="446" t="e">
        <f>IF(OR($B394="",MIN(AL$38,$D$19)&lt;MAX($P$34*($B394+IF($R$17="Distrato",$I$38-1,0)),IF(AND($L$37=0,$P$34=0),"",$L$37-1),IF($R$17="Distrato",$E394,0))),0,YEARFRAC(MAX($P$34*($B394+IF($R$17="Distrato",$I$38-1,0)),IF(AND($L$37=0,$P$34=0),"",$L$37-1),IF($R$17="Distrato",$E394,0)),MIN(AL$38,$D$19),$P$20))-SUM($P394:AK394)</f>
        <v>#VALUE!</v>
      </c>
      <c r="AM394" s="446" t="e">
        <f>IF(OR($B394="",MIN(AM$38,$D$19)&lt;MAX($P$34*($B394+IF($R$17="Distrato",$I$38-1,0)),IF(AND($L$37=0,$P$34=0),"",$L$37-1),IF($R$17="Distrato",$E394,0))),0,YEARFRAC(MAX($P$34*($B394+IF($R$17="Distrato",$I$38-1,0)),IF(AND($L$37=0,$P$34=0),"",$L$37-1),IF($R$17="Distrato",$E394,0)),MIN(AM$38,$D$19),$P$20))-SUM($P394:AL394)</f>
        <v>#VALUE!</v>
      </c>
      <c r="AN394" s="446" t="e">
        <f>IF(OR($B394="",MIN(AN$38,$D$19)&lt;MAX($P$34*($B394+IF($R$17="Distrato",$I$38-1,0)),IF(AND($L$37=0,$P$34=0),"",$L$37-1),IF($R$17="Distrato",$E394,0))),0,YEARFRAC(MAX($P$34*($B394+IF($R$17="Distrato",$I$38-1,0)),IF(AND($L$37=0,$P$34=0),"",$L$37-1),IF($R$17="Distrato",$E394,0)),MIN(AN$38,$D$19),$P$20))-SUM($P394:AM394)</f>
        <v>#VALUE!</v>
      </c>
      <c r="AO394" s="446" t="e">
        <f>IF(OR($B394="",MIN(AO$38,$D$19)&lt;MAX($P$34*($B394+IF($R$17="Distrato",$I$38-1,0)),IF(AND($L$37=0,$P$34=0),"",$L$37-1),IF($R$17="Distrato",$E394,0))),0,YEARFRAC(MAX($P$34*($B394+IF($R$17="Distrato",$I$38-1,0)),IF(AND($L$37=0,$P$34=0),"",$L$37-1),IF($R$17="Distrato",$E394,0)),MIN(AO$38,$D$19),$P$20))-SUM($P394:AN394)</f>
        <v>#VALUE!</v>
      </c>
      <c r="AP394" s="446" t="e">
        <f>IF(OR($B394="",MIN(AP$38,$D$19)&lt;MAX($P$34*($B394+IF($R$17="Distrato",$I$38-1,0)),IF(AND($L$37=0,$P$34=0),"",$L$37-1),IF($R$17="Distrato",$E394,0))),0,YEARFRAC(MAX($P$34*($B394+IF($R$17="Distrato",$I$38-1,0)),IF(AND($L$37=0,$P$34=0),"",$L$37-1),IF($R$17="Distrato",$E394,0)),MIN(AP$38,$D$19),$P$20))-SUM($P394:AO394)</f>
        <v>#VALUE!</v>
      </c>
      <c r="AQ394" s="446" t="e">
        <f>IF(OR($B394="",MIN(AQ$38,$D$19)&lt;MAX($P$34*($B394+IF($R$17="Distrato",$I$38-1,0)),IF(AND($L$37=0,$P$34=0),"",$L$37-1),IF($R$17="Distrato",$E394,0))),0,YEARFRAC(MAX($P$34*($B394+IF($R$17="Distrato",$I$38-1,0)),IF(AND($L$37=0,$P$34=0),"",$L$37-1),IF($R$17="Distrato",$E394,0)),MIN(AQ$38,$D$19),$P$20))-SUM($P394:AP394)</f>
        <v>#VALUE!</v>
      </c>
      <c r="AR394" s="446" t="e">
        <f>IF(OR($B394="",MIN(AR$38,$D$19)&lt;MAX($P$34*($B394+IF($R$17="Distrato",$I$38-1,0)),IF(AND($L$37=0,$P$34=0),"",$L$37-1),IF($R$17="Distrato",$E394,0))),0,YEARFRAC(MAX($P$34*($B394+IF($R$17="Distrato",$I$38-1,0)),IF(AND($L$37=0,$P$34=0),"",$L$37-1),IF($R$17="Distrato",$E394,0)),MIN(AR$38,$D$19),$P$20))-SUM($P394:AQ394)</f>
        <v>#VALUE!</v>
      </c>
      <c r="AS394" s="446" t="e">
        <f>IF(OR($B394="",MIN(AS$38,$D$19)&lt;MAX($P$34*($B394+IF($R$17="Distrato",$I$38-1,0)),IF(AND($L$37=0,$P$34=0),"",$L$37-1),IF($R$17="Distrato",$E394,0))),0,YEARFRAC(MAX($P$34*($B394+IF($R$17="Distrato",$I$38-1,0)),IF(AND($L$37=0,$P$34=0),"",$L$37-1),IF($R$17="Distrato",$E394,0)),MIN(AS$38,$D$19),$P$20))-SUM($P394:AR394)</f>
        <v>#VALUE!</v>
      </c>
      <c r="AT394" s="446" t="e">
        <f>IF(OR($B394="",MIN(AT$38,$D$19)&lt;MAX($P$34*($B394+IF($R$17="Distrato",$I$38-1,0)),IF(AND($L$37=0,$P$34=0),"",$L$37-1),IF($R$17="Distrato",$E394,0))),0,YEARFRAC(MAX($P$34*($B394+IF($R$17="Distrato",$I$38-1,0)),IF(AND($L$37=0,$P$34=0),"",$L$37-1),IF($R$17="Distrato",$E394,0)),MIN(AT$38,$D$19),$P$20))-SUM($P394:AS394)</f>
        <v>#VALUE!</v>
      </c>
      <c r="AU394" s="446" t="e">
        <f>IF(OR($B394="",MIN(AU$38,$D$19)&lt;MAX($P$34*($B394+IF($R$17="Distrato",$I$38-1,0)),IF(AND($L$37=0,$P$34=0),"",$L$37-1),IF($R$17="Distrato",$E394,0))),0,YEARFRAC(MAX($P$34*($B394+IF($R$17="Distrato",$I$38-1,0)),IF(AND($L$37=0,$P$34=0),"",$L$37-1),IF($R$17="Distrato",$E394,0)),MIN(AU$38,$D$19),$P$20))-SUM($P394:AT394)</f>
        <v>#VALUE!</v>
      </c>
      <c r="AV394" s="446" t="e">
        <f>IF(OR($B394="",MIN(AV$38,$D$19)&lt;MAX($P$34*($B394+IF($R$17="Distrato",$I$38-1,0)),IF(AND($L$37=0,$P$34=0),"",$L$37-1),IF($R$17="Distrato",$E394,0))),0,YEARFRAC(MAX($P$34*($B394+IF($R$17="Distrato",$I$38-1,0)),IF(AND($L$37=0,$P$34=0),"",$L$37-1),IF($R$17="Distrato",$E394,0)),MIN(AV$38,$D$19),$P$20))-SUM($P394:AU394)</f>
        <v>#VALUE!</v>
      </c>
      <c r="AW394" s="446" t="e">
        <f>IF(OR($B394="",MIN(AW$38,$D$19)&lt;MAX($P$34*($B394+IF($R$17="Distrato",$I$38-1,0)),IF(AND($L$37=0,$P$34=0),"",$L$37-1),IF($R$17="Distrato",$E394,0))),0,YEARFRAC(MAX($P$34*($B394+IF($R$17="Distrato",$I$38-1,0)),IF(AND($L$37=0,$P$34=0),"",$L$37-1),IF($R$17="Distrato",$E394,0)),MIN(AW$38,$D$19),$P$20))-SUM($P394:AV394)</f>
        <v>#VALUE!</v>
      </c>
      <c r="AX394" s="446" t="e">
        <f>IF(OR($B394="",MIN(AX$38,$D$19)&lt;MAX($P$34*($B394+IF($R$17="Distrato",$I$38-1,0)),IF(AND($L$37=0,$P$34=0),"",$L$37-1),IF($R$17="Distrato",$E394,0))),0,YEARFRAC(MAX($P$34*($B394+IF($R$17="Distrato",$I$38-1,0)),IF(AND($L$37=0,$P$34=0),"",$L$37-1),IF($R$17="Distrato",$E394,0)),MIN(AX$38,$D$19),$P$20))-SUM($P394:AW394)</f>
        <v>#VALUE!</v>
      </c>
      <c r="AY394" s="446" t="e">
        <f>IF(OR($B394="",MIN(AY$38,$D$19)&lt;MAX($P$34*($B394+IF($R$17="Distrato",$I$38-1,0)),IF(AND($L$37=0,$P$34=0),"",$L$37-1),IF($R$17="Distrato",$E394,0))),0,YEARFRAC(MAX($P$34*($B394+IF($R$17="Distrato",$I$38-1,0)),IF(AND($L$37=0,$P$34=0),"",$L$37-1),IF($R$17="Distrato",$E394,0)),MIN(AY$38,$D$19),$P$20))-SUM($P394:AX394)</f>
        <v>#VALUE!</v>
      </c>
      <c r="AZ394" s="446" t="e">
        <f>IF(OR($B394="",MIN(AZ$38,$D$19)&lt;MAX($P$34*($B394+IF($R$17="Distrato",$I$38-1,0)),IF(AND($L$37=0,$P$34=0),"",$L$37-1),IF($R$17="Distrato",$E394,0))),0,YEARFRAC(MAX($P$34*($B394+IF($R$17="Distrato",$I$38-1,0)),IF(AND($L$37=0,$P$34=0),"",$L$37-1),IF($R$17="Distrato",$E394,0)),MIN(AZ$38,$D$19),$P$20))-SUM($P394:AY394)</f>
        <v>#VALUE!</v>
      </c>
      <c r="BA394" s="446" t="e">
        <f>IF(OR($B394="",MIN(BA$38,$D$19)&lt;MAX($P$34*($B394+IF($R$17="Distrato",$I$38-1,0)),IF(AND($L$37=0,$P$34=0),"",$L$37-1),IF($R$17="Distrato",$E394,0))),0,YEARFRAC(MAX($P$34*($B394+IF($R$17="Distrato",$I$38-1,0)),IF(AND($L$37=0,$P$34=0),"",$L$37-1),IF($R$17="Distrato",$E394,0)),MIN(BA$38,$D$19),$P$20))-SUM($P394:AZ394)</f>
        <v>#VALUE!</v>
      </c>
      <c r="BB394" s="447"/>
      <c r="BF394" s="446">
        <f t="shared" si="65"/>
        <v>0</v>
      </c>
      <c r="BG394" s="446">
        <f>IF($E394=0,0,IF(MIN(BG$38,$E394)&lt;MAX($P$34*($B394+$I$38-1),IF(AND($L$37=0,$P$34=0),"",$L$37-1)),0,YEARFRAC(MAX($P$34*($B394+$I$38-1),IF(AND($L$37=0,$P$34=0),"",$L$37-1)),MIN(BG$38,$E394),$P$20))-SUM($BF394:BF394))</f>
        <v>0</v>
      </c>
      <c r="BH394" s="446">
        <f>IF($E394=0,0,IF(MIN(BH$38,$E394)&lt;MAX($P$34*($B394+$I$38-1),IF(AND($L$37=0,$P$34=0),"",$L$37-1)),0,YEARFRAC(MAX($P$34*($B394+$I$38-1),IF(AND($L$37=0,$P$34=0),"",$L$37-1)),MIN(BH$38,$E394),$P$20))-SUM($BF394:BG394))</f>
        <v>0</v>
      </c>
      <c r="BI394" s="446">
        <f>IF($E394=0,0,IF(MIN(BI$38,$E394)&lt;MAX($P$34*($B394+$I$38-1),IF(AND($L$37=0,$P$34=0),"",$L$37-1)),0,YEARFRAC(MAX($P$34*($B394+$I$38-1),IF(AND($L$37=0,$P$34=0),"",$L$37-1)),MIN(BI$38,$E394),$P$20))-SUM($BF394:BH394))</f>
        <v>0</v>
      </c>
      <c r="BJ394" s="446">
        <f>IF($E394=0,0,IF(MIN(BJ$38,$E394)&lt;MAX($P$34*($B394+$I$38-1),IF(AND($L$37=0,$P$34=0),"",$L$37-1)),0,YEARFRAC(MAX($P$34*($B394+$I$38-1),IF(AND($L$37=0,$P$34=0),"",$L$37-1)),MIN(BJ$38,$E394),$P$20))-SUM($BF394:BI394))</f>
        <v>0</v>
      </c>
      <c r="BK394" s="446">
        <f>IF($E394=0,0,IF(MIN(BK$38,$E394)&lt;MAX($P$34*($B394+$I$38-1),IF(AND($L$37=0,$P$34=0),"",$L$37-1)),0,YEARFRAC(MAX($P$34*($B394+$I$38-1),IF(AND($L$37=0,$P$34=0),"",$L$37-1)),MIN(BK$38,$E394),$P$20))-SUM($BF394:BJ394))</f>
        <v>0</v>
      </c>
      <c r="BL394" s="446">
        <f>IF($E394=0,0,IF(MIN(BL$38,$E394)&lt;MAX($P$34*($B394+$I$38-1),IF(AND($L$37=0,$P$34=0),"",$L$37-1)),0,YEARFRAC(MAX($P$34*($B394+$I$38-1),IF(AND($L$37=0,$P$34=0),"",$L$37-1)),MIN(BL$38,$E394),$P$20))-SUM($BF394:BK394))</f>
        <v>0</v>
      </c>
      <c r="BM394" s="446">
        <f>IF($E394=0,0,IF(MIN(BM$38,$E394)&lt;MAX($P$34*($B394+$I$38-1),IF(AND($L$37=0,$P$34=0),"",$L$37-1)),0,YEARFRAC(MAX($P$34*($B394+$I$38-1),IF(AND($L$37=0,$P$34=0),"",$L$37-1)),MIN(BM$38,$E394),$P$20))-SUM($BF394:BL394))</f>
        <v>0</v>
      </c>
      <c r="BN394" s="446">
        <f>IF($E394=0,0,IF(MIN(BN$38,$E394)&lt;MAX($P$34*($B394+$I$38-1),IF(AND($L$37=0,$P$34=0),"",$L$37-1)),0,YEARFRAC(MAX($P$34*($B394+$I$38-1),IF(AND($L$37=0,$P$34=0),"",$L$37-1)),MIN(BN$38,$E394),$P$20))-SUM($BF394:BM394))</f>
        <v>0</v>
      </c>
      <c r="BO394" s="446">
        <f>IF($E394=0,0,IF(MIN(BO$38,$E394)&lt;MAX($P$34*($B394+$I$38-1),IF(AND($L$37=0,$P$34=0),"",$L$37-1)),0,YEARFRAC(MAX($P$34*($B394+$I$38-1),IF(AND($L$37=0,$P$34=0),"",$L$37-1)),MIN(BO$38,$E394),$P$20))-SUM($BF394:BN394))</f>
        <v>0</v>
      </c>
      <c r="BP394" s="446">
        <f>IF($E394=0,0,IF(MIN(BP$38,$E394)&lt;MAX($P$34*($B394+$I$38-1),IF(AND($L$37=0,$P$34=0),"",$L$37-1)),0,YEARFRAC(MAX($P$34*($B394+$I$38-1),IF(AND($L$37=0,$P$34=0),"",$L$37-1)),MIN(BP$38,$E394),$P$20))-SUM($BF394:BO394))</f>
        <v>0</v>
      </c>
      <c r="BQ394" s="446">
        <f>IF($E394=0,0,IF(MIN(BQ$38,$E394)&lt;MAX($P$34*($B394+$I$38-1),IF(AND($L$37=0,$P$34=0),"",$L$37-1)),0,YEARFRAC(MAX($P$34*($B394+$I$38-1),IF(AND($L$37=0,$P$34=0),"",$L$37-1)),MIN(BQ$38,$E394),$P$20))-SUM($BF394:BP394))</f>
        <v>0</v>
      </c>
      <c r="BR394" s="446">
        <f>IF($E394=0,0,IF(MIN(BR$38,$E394)&lt;MAX($P$34*($B394+$I$38-1),IF(AND($L$37=0,$P$34=0),"",$L$37-1)),0,YEARFRAC(MAX($P$34*($B394+$I$38-1),IF(AND($L$37=0,$P$34=0),"",$L$37-1)),MIN(BR$38,$E394),$P$20))-SUM($BF394:BQ394))</f>
        <v>0</v>
      </c>
      <c r="BS394" s="446">
        <f>IF($E394=0,0,IF(MIN(BS$38,$E394)&lt;MAX($P$34*($B394+$I$38-1),IF(AND($L$37=0,$P$34=0),"",$L$37-1)),0,YEARFRAC(MAX($P$34*($B394+$I$38-1),IF(AND($L$37=0,$P$34=0),"",$L$37-1)),MIN(BS$38,$E394),$P$20))-SUM($BF394:BR394))</f>
        <v>0</v>
      </c>
      <c r="BT394" s="446">
        <f>IF($E394=0,0,IF(MIN(BT$38,$E394)&lt;MAX($P$34*($B394+$I$38-1),IF(AND($L$37=0,$P$34=0),"",$L$37-1)),0,YEARFRAC(MAX($P$34*($B394+$I$38-1),IF(AND($L$37=0,$P$34=0),"",$L$37-1)),MIN(BT$38,$E394),$P$20))-SUM($BF394:BS394))</f>
        <v>0</v>
      </c>
      <c r="BU394" s="446">
        <f>IF($E394=0,0,IF(MIN(BU$38,$E394)&lt;MAX($P$34*($B394+$I$38-1),IF(AND($L$37=0,$P$34=0),"",$L$37-1)),0,YEARFRAC(MAX($P$34*($B394+$I$38-1),IF(AND($L$37=0,$P$34=0),"",$L$37-1)),MIN(BU$38,$E394),$P$20))-SUM($BF394:BT394))</f>
        <v>0</v>
      </c>
      <c r="BV394" s="446">
        <f>IF($E394=0,0,IF(MIN(BV$38,$E394)&lt;MAX($P$34*($B394+$I$38-1),IF(AND($L$37=0,$P$34=0),"",$L$37-1)),0,YEARFRAC(MAX($P$34*($B394+$I$38-1),IF(AND($L$37=0,$P$34=0),"",$L$37-1)),MIN(BV$38,$E394),$P$20))-SUM($BF394:BU394))</f>
        <v>0</v>
      </c>
      <c r="BW394" s="446">
        <f>IF($E394=0,0,IF(MIN(BW$38,$E394)&lt;MAX($P$34*($B394+$I$38-1),IF(AND($L$37=0,$P$34=0),"",$L$37-1)),0,YEARFRAC(MAX($P$34*($B394+$I$38-1),IF(AND($L$37=0,$P$34=0),"",$L$37-1)),MIN(BW$38,$E394),$P$20))-SUM($BF394:BV394))</f>
        <v>0</v>
      </c>
      <c r="BX394" s="446">
        <f>IF($E394=0,0,IF(MIN(BX$38,$E394)&lt;MAX($P$34*($B394+$I$38-1),IF(AND($L$37=0,$P$34=0),"",$L$37-1)),0,YEARFRAC(MAX($P$34*($B394+$I$38-1),IF(AND($L$37=0,$P$34=0),"",$L$37-1)),MIN(BX$38,$E394),$P$20))-SUM($BF394:BW394))</f>
        <v>0</v>
      </c>
      <c r="BY394" s="446">
        <f>IF($E394=0,0,IF(MIN(BY$38,$E394)&lt;MAX($P$34*($B394+$I$38-1),IF(AND($L$37=0,$P$34=0),"",$L$37-1)),0,YEARFRAC(MAX($P$34*($B394+$I$38-1),IF(AND($L$37=0,$P$34=0),"",$L$37-1)),MIN(BY$38,$E394),$P$20))-SUM($BF394:BX394))</f>
        <v>0</v>
      </c>
      <c r="BZ394" s="446">
        <f>IF($E394=0,0,IF(MIN(BZ$38,$E394)&lt;MAX($P$34*($B394+$I$38-1),IF(AND($L$37=0,$P$34=0),"",$L$37-1)),0,YEARFRAC(MAX($P$34*($B394+$I$38-1),IF(AND($L$37=0,$P$34=0),"",$L$37-1)),MIN(BZ$38,$E394),$P$20))-SUM($BF394:BY394))</f>
        <v>0</v>
      </c>
      <c r="CA394" s="446">
        <f>IF($E394=0,0,IF(MIN(CA$38,$E394)&lt;MAX($P$34*($B394+$I$38-1),IF(AND($L$37=0,$P$34=0),"",$L$37-1)),0,YEARFRAC(MAX($P$34*($B394+$I$38-1),IF(AND($L$37=0,$P$34=0),"",$L$37-1)),MIN(CA$38,$E394),$P$20))-SUM($BF394:BZ394))</f>
        <v>0</v>
      </c>
      <c r="CB394" s="446">
        <f>IF($E394=0,0,IF(MIN(CB$38,$E394)&lt;MAX($P$34*($B394+$I$38-1),IF(AND($L$37=0,$P$34=0),"",$L$37-1)),0,YEARFRAC(MAX($P$34*($B394+$I$38-1),IF(AND($L$37=0,$P$34=0),"",$L$37-1)),MIN(CB$38,$E394),$P$20))-SUM($BF394:CA394))</f>
        <v>0</v>
      </c>
      <c r="CC394" s="446">
        <f>IF($E394=0,0,IF(MIN(CC$38,$E394)&lt;MAX($P$34*($B394+$I$38-1),IF(AND($L$37=0,$P$34=0),"",$L$37-1)),0,YEARFRAC(MAX($P$34*($B394+$I$38-1),IF(AND($L$37=0,$P$34=0),"",$L$37-1)),MIN(CC$38,$E394),$P$20))-SUM($BF394:CB394))</f>
        <v>0</v>
      </c>
      <c r="CD394" s="446">
        <f>IF($E394=0,0,IF(MIN(CD$38,$E394)&lt;MAX($P$34*($B394+$I$38-1),IF(AND($L$37=0,$P$34=0),"",$L$37-1)),0,YEARFRAC(MAX($P$34*($B394+$I$38-1),IF(AND($L$37=0,$P$34=0),"",$L$37-1)),MIN(CD$38,$E394),$P$20))-SUM($BF394:CC394))</f>
        <v>0</v>
      </c>
      <c r="CE394" s="446">
        <f>IF($E394=0,0,IF(MIN(CE$38,$E394)&lt;MAX($P$34*($B394+$I$38-1),IF(AND($L$37=0,$P$34=0),"",$L$37-1)),0,YEARFRAC(MAX($P$34*($B394+$I$38-1),IF(AND($L$37=0,$P$34=0),"",$L$37-1)),MIN(CE$38,$E394),$P$20))-SUM($BF394:CD394))</f>
        <v>0</v>
      </c>
      <c r="CF394" s="446">
        <f>IF($E394=0,0,IF(MIN(CF$38,$E394)&lt;MAX($P$34*($B394+$I$38-1),IF(AND($L$37=0,$P$34=0),"",$L$37-1)),0,YEARFRAC(MAX($P$34*($B394+$I$38-1),IF(AND($L$37=0,$P$34=0),"",$L$37-1)),MIN(CF$38,$E394),$P$20))-SUM($BF394:CE394))</f>
        <v>0</v>
      </c>
      <c r="CG394" s="446">
        <f>IF($E394=0,0,IF(MIN(CG$38,$E394)&lt;MAX($P$34*($B394+$I$38-1),IF(AND($L$37=0,$P$34=0),"",$L$37-1)),0,YEARFRAC(MAX($P$34*($B394+$I$38-1),IF(AND($L$37=0,$P$34=0),"",$L$37-1)),MIN(CG$38,$E394),$P$20))-SUM($BF394:CF394))</f>
        <v>0</v>
      </c>
      <c r="CH394" s="446">
        <f>IF($E394=0,0,IF(MIN(CH$38,$E394)&lt;MAX($P$34*($B394+$I$38-1),IF(AND($L$37=0,$P$34=0),"",$L$37-1)),0,YEARFRAC(MAX($P$34*($B394+$I$38-1),IF(AND($L$37=0,$P$34=0),"",$L$37-1)),MIN(CH$38,$E394),$P$20))-SUM($BF394:CG394))</f>
        <v>0</v>
      </c>
      <c r="CI394" s="446">
        <f>IF($E394=0,0,IF(MIN(CI$38,$E394)&lt;MAX($P$34*($B394+$I$38-1),IF(AND($L$37=0,$P$34=0),"",$L$37-1)),0,YEARFRAC(MAX($P$34*($B394+$I$38-1),IF(AND($L$37=0,$P$34=0),"",$L$37-1)),MIN(CI$38,$E394),$P$20))-SUM($BF394:CH394))</f>
        <v>0</v>
      </c>
      <c r="CJ394" s="446">
        <f>IF($E394=0,0,IF(MIN(CJ$38,$E394)&lt;MAX($P$34*($B394+$I$38-1),IF(AND($L$37=0,$P$34=0),"",$L$37-1)),0,YEARFRAC(MAX($P$34*($B394+$I$38-1),IF(AND($L$37=0,$P$34=0),"",$L$37-1)),MIN(CJ$38,$E394),$P$20))-SUM($BF394:CI394))</f>
        <v>0</v>
      </c>
      <c r="CK394" s="446">
        <f>IF($E394=0,0,IF(MIN(CK$38,$E394)&lt;MAX($P$34*($B394+$I$38-1),IF(AND($L$37=0,$P$34=0),"",$L$37-1)),0,YEARFRAC(MAX($P$34*($B394+$I$38-1),IF(AND($L$37=0,$P$34=0),"",$L$37-1)),MIN(CK$38,$E394),$P$20))-SUM($BF394:CJ394))</f>
        <v>0</v>
      </c>
      <c r="CL394" s="446">
        <f>IF($E394=0,0,IF(MIN(CL$38,$E394)&lt;MAX($P$34*($B394+$I$38-1),IF(AND($L$37=0,$P$34=0),"",$L$37-1)),0,YEARFRAC(MAX($P$34*($B394+$I$38-1),IF(AND($L$37=0,$P$34=0),"",$L$37-1)),MIN(CL$38,$E394),$P$20))-SUM($BF394:CK394))</f>
        <v>0</v>
      </c>
      <c r="CM394" s="446">
        <f>IF($E394=0,0,IF(MIN(CM$38,$E394)&lt;MAX($P$34*($B394+$I$38-1),IF(AND($L$37=0,$P$34=0),"",$L$37-1)),0,YEARFRAC(MAX($P$34*($B394+$I$38-1),IF(AND($L$37=0,$P$34=0),"",$L$37-1)),MIN(CM$38,$E394),$P$20))-SUM($BF394:CL394))</f>
        <v>0</v>
      </c>
      <c r="CN394" s="446">
        <f>IF($E394=0,0,IF(MIN(CN$38,$E394)&lt;MAX($P$34*($B394+$I$38-1),IF(AND($L$37=0,$P$34=0),"",$L$37-1)),0,YEARFRAC(MAX($P$34*($B394+$I$38-1),IF(AND($L$37=0,$P$34=0),"",$L$37-1)),MIN(CN$38,$E394),$P$20))-SUM($BF394:CM394))</f>
        <v>0</v>
      </c>
      <c r="CO394" s="446">
        <f>IF($E394=0,0,IF(MIN(CO$38,$E394)&lt;MAX($P$34*($B394+$I$38-1),IF(AND($L$37=0,$P$34=0),"",$L$37-1)),0,YEARFRAC(MAX($P$34*($B394+$I$38-1),IF(AND($L$37=0,$P$34=0),"",$L$37-1)),MIN(CO$38,$E394),$P$20))-SUM($BF394:CN394))</f>
        <v>0</v>
      </c>
      <c r="CP394" s="446">
        <f>IF($E394=0,0,IF(MIN(CP$38,$E394)&lt;MAX($P$34*($B394+$I$38-1),IF(AND($L$37=0,$P$34=0),"",$L$37-1)),0,YEARFRAC(MAX($P$34*($B394+$I$38-1),IF(AND($L$37=0,$P$34=0),"",$L$37-1)),MIN(CP$38,$E394),$P$20))-SUM($BF394:CO394))</f>
        <v>0</v>
      </c>
      <c r="CQ394" s="446">
        <f>IF($E394=0,0,IF(MIN(CQ$38,$E394)&lt;MAX($P$34*($B394+$I$38-1),IF(AND($L$37=0,$P$34=0),"",$L$37-1)),0,YEARFRAC(MAX($P$34*($B394+$I$38-1),IF(AND($L$37=0,$P$34=0),"",$L$37-1)),MIN(CQ$38,$E394),$P$20))-SUM($BF394:CP394))</f>
        <v>0</v>
      </c>
    </row>
    <row r="395" spans="1:95" s="446" customFormat="1" ht="11.25" hidden="1" customHeight="1" x14ac:dyDescent="0.2">
      <c r="A395" s="152"/>
      <c r="B395" s="153" t="str">
        <f t="shared" si="70"/>
        <v/>
      </c>
      <c r="C395" s="29" t="str">
        <f>IF(B395="","",IF($L$35="SELIC - TRIBUTOS",VLOOKUP(DATE(YEAR($D$19),MONTH($D$19)-1,1),ÍNDICES!$A:$DE,HLOOKUP($BL$25,ÍNDICES!$B$3:$T$4,2)+11)-VLOOKUP(B395,ÍNDICES!$A:$DE,HLOOKUP($BL$25,ÍNDICES!$B$3:$T$4,2)+11)+1%,IF(C$38=$W$26,$J$35,IF(ISERROR(IF(B395&gt;$D$19,1,VLOOKUP(DATE(YEAR(B395),MONTH(B395)+IF($C$35=$S$23,1,0),1),ÍNDICES!$A:$DE,$Z$35+1))),"",IF(B395&gt;$D$19,1,VLOOKUP(DATE(YEAR(B395),MONTH(B395)+IF($C$35=$S$23,1,0),1),ÍNDICES!$A:$DE,$Z$35+1))))))</f>
        <v/>
      </c>
      <c r="D395" s="154" t="str">
        <f>IF(ISERROR(IF(OR($D$38=$Y$27,$B395=""),"",VLOOKUP(B395,ÍNDICES!A:DE,AF$35+1))),"",IF(OR($D$38=$Y$27,$B395=""),"",VLOOKUP(B395,ÍNDICES!A:DE,AF$35+1)))</f>
        <v/>
      </c>
      <c r="E395" s="153"/>
      <c r="F395" s="29" t="str">
        <f>IF(E395="","",IF($L$35="SELIC - TRIBUTOS",VLOOKUP(DATE(YEAR($D$19),MONTH($D$19)-1,1),ÍNDICES!$A:$DE,HLOOKUP($BL$25,ÍNDICES!$B$3:$T$4,2)+11)-VLOOKUP(E395,ÍNDICES!$A:$DE,HLOOKUP($BL$25,ÍNDICES!$B$3:$T$4,2)+11)+1%,IF(F$38=$W$26,$J$35,IF(ISERROR(IF(E395&gt;$D$19,1,VLOOKUP(DATE(YEAR(E395),MONTH(E395)+IF($C$35=$S$23,1,0),1),ÍNDICES!$A:$DE,$Z$35+1))),"",IF(E395&gt;$D$19,1,VLOOKUP(DATE(YEAR(E395),MONTH(E395)+IF($C$35=$S$23,1,0),1),ÍNDICES!$A:$DE,$Z$35+1))))))</f>
        <v/>
      </c>
      <c r="G395" s="155"/>
      <c r="H395" s="156" t="str">
        <f t="shared" si="66"/>
        <v/>
      </c>
      <c r="I395" s="29" t="str">
        <f t="shared" si="60"/>
        <v/>
      </c>
      <c r="J395" s="5">
        <f t="shared" si="61"/>
        <v>0</v>
      </c>
      <c r="K395" s="20">
        <f t="shared" ca="1" si="62"/>
        <v>0</v>
      </c>
      <c r="L395" s="5">
        <f t="shared" ca="1" si="63"/>
        <v>0</v>
      </c>
      <c r="M395" s="64">
        <f t="shared" si="67"/>
        <v>0</v>
      </c>
      <c r="N395" s="61">
        <f t="shared" ca="1" si="68"/>
        <v>0</v>
      </c>
      <c r="O395" s="5">
        <f t="shared" ca="1" si="69"/>
        <v>0</v>
      </c>
      <c r="P395" s="446" t="e">
        <f t="shared" si="64"/>
        <v>#VALUE!</v>
      </c>
      <c r="Q395" s="446" t="e">
        <f>IF(OR($B395="",MIN(Q$38,$D$19)&lt;MAX($P$34*($B395+IF($R$17="Distrato",$I$38-1,0)),IF(AND($L$37=0,$P$34=0),"",$L$37-1),IF($R$17="Distrato",$E395,0))),0,YEARFRAC(MAX($P$34*($B395+IF($R$17="Distrato",$I$38-1,0)),IF(AND($L$37=0,$P$34=0),"",$L$37-1),IF($R$17="Distrato",$E395,0)),MIN(Q$38,$D$19),$P$20))-SUM($P395:P395)</f>
        <v>#VALUE!</v>
      </c>
      <c r="R395" s="446" t="e">
        <f>IF(OR($B395="",MIN(R$38,$D$19)&lt;MAX($P$34*($B395+IF($R$17="Distrato",$I$38-1,0)),IF(AND($L$37=0,$P$34=0),"",$L$37-1),IF($R$17="Distrato",$E395,0))),0,YEARFRAC(MAX($P$34*($B395+IF($R$17="Distrato",$I$38-1,0)),IF(AND($L$37=0,$P$34=0),"",$L$37-1),IF($R$17="Distrato",$E395,0)),MIN(R$38,$D$19),$P$20))-SUM($P395:Q395)</f>
        <v>#VALUE!</v>
      </c>
      <c r="S395" s="446" t="e">
        <f>IF(OR($B395="",MIN(S$38,$D$19)&lt;MAX($P$34*($B395+IF($R$17="Distrato",$I$38-1,0)),IF(AND($L$37=0,$P$34=0),"",$L$37-1),IF($R$17="Distrato",$E395,0))),0,YEARFRAC(MAX($P$34*($B395+IF($R$17="Distrato",$I$38-1,0)),IF(AND($L$37=0,$P$34=0),"",$L$37-1),IF($R$17="Distrato",$E395,0)),MIN(S$38,$D$19),$P$20))-SUM($P395:R395)</f>
        <v>#VALUE!</v>
      </c>
      <c r="T395" s="446" t="e">
        <f>IF(OR($B395="",MIN(T$38,$D$19)&lt;MAX($P$34*($B395+IF($R$17="Distrato",$I$38-1,0)),IF(AND($L$37=0,$P$34=0),"",$L$37-1),IF($R$17="Distrato",$E395,0))),0,YEARFRAC(MAX($P$34*($B395+IF($R$17="Distrato",$I$38-1,0)),IF(AND($L$37=0,$P$34=0),"",$L$37-1),IF($R$17="Distrato",$E395,0)),MIN(T$38,$D$19),$P$20))-SUM($P395:S395)</f>
        <v>#VALUE!</v>
      </c>
      <c r="U395" s="446" t="e">
        <f>IF(OR($B395="",MIN(U$38,$D$19)&lt;MAX($P$34*($B395+IF($R$17="Distrato",$I$38-1,0)),IF(AND($L$37=0,$P$34=0),"",$L$37-1),IF($R$17="Distrato",$E395,0))),0,YEARFRAC(MAX($P$34*($B395+IF($R$17="Distrato",$I$38-1,0)),IF(AND($L$37=0,$P$34=0),"",$L$37-1),IF($R$17="Distrato",$E395,0)),MIN(U$38,$D$19),$P$20))-SUM($P395:T395)</f>
        <v>#VALUE!</v>
      </c>
      <c r="V395" s="446" t="e">
        <f>IF(OR($B395="",MIN(V$38,$D$19)&lt;MAX($P$34*($B395+IF($R$17="Distrato",$I$38-1,0)),IF(AND($L$37=0,$P$34=0),"",$L$37-1),IF($R$17="Distrato",$E395,0))),0,YEARFRAC(MAX($P$34*($B395+IF($R$17="Distrato",$I$38-1,0)),IF(AND($L$37=0,$P$34=0),"",$L$37-1),IF($R$17="Distrato",$E395,0)),MIN(V$38,$D$19),$P$20))-SUM($P395:U395)</f>
        <v>#VALUE!</v>
      </c>
      <c r="W395" s="446" t="e">
        <f>IF(OR($B395="",MIN(W$38,$D$19)&lt;MAX($P$34*($B395+IF($R$17="Distrato",$I$38-1,0)),IF(AND($L$37=0,$P$34=0),"",$L$37-1),IF($R$17="Distrato",$E395,0))),0,YEARFRAC(MAX($P$34*($B395+IF($R$17="Distrato",$I$38-1,0)),IF(AND($L$37=0,$P$34=0),"",$L$37-1),IF($R$17="Distrato",$E395,0)),MIN(W$38,$D$19),$P$20))-SUM($P395:V395)</f>
        <v>#VALUE!</v>
      </c>
      <c r="X395" s="446" t="e">
        <f>IF(OR($B395="",MIN(X$38,$D$19)&lt;MAX($P$34*($B395+IF($R$17="Distrato",$I$38-1,0)),IF(AND($L$37=0,$P$34=0),"",$L$37-1),IF($R$17="Distrato",$E395,0))),0,YEARFRAC(MAX($P$34*($B395+IF($R$17="Distrato",$I$38-1,0)),IF(AND($L$37=0,$P$34=0),"",$L$37-1),IF($R$17="Distrato",$E395,0)),MIN(X$38,$D$19),$P$20))-SUM($P395:W395)</f>
        <v>#VALUE!</v>
      </c>
      <c r="Y395" s="446" t="e">
        <f>IF(OR($B395="",MIN(Y$38,$D$19)&lt;MAX($P$34*($B395+IF($R$17="Distrato",$I$38-1,0)),IF(AND($L$37=0,$P$34=0),"",$L$37-1),IF($R$17="Distrato",$E395,0))),0,YEARFRAC(MAX($P$34*($B395+IF($R$17="Distrato",$I$38-1,0)),IF(AND($L$37=0,$P$34=0),"",$L$37-1),IF($R$17="Distrato",$E395,0)),MIN(Y$38,$D$19),$P$20))-SUM($P395:X395)</f>
        <v>#VALUE!</v>
      </c>
      <c r="Z395" s="446" t="e">
        <f>IF(OR($B395="",MIN(Z$38,$D$19)&lt;MAX($P$34*($B395+IF($R$17="Distrato",$I$38-1,0)),IF(AND($L$37=0,$P$34=0),"",$L$37-1),IF($R$17="Distrato",$E395,0))),0,YEARFRAC(MAX($P$34*($B395+IF($R$17="Distrato",$I$38-1,0)),IF(AND($L$37=0,$P$34=0),"",$L$37-1),IF($R$17="Distrato",$E395,0)),MIN(Z$38,$D$19),$P$20))-SUM($P395:Y395)</f>
        <v>#VALUE!</v>
      </c>
      <c r="AA395" s="446" t="e">
        <f>IF(OR($B395="",MIN(AA$38,$D$19)&lt;MAX($P$34*($B395+IF($R$17="Distrato",$I$38-1,0)),IF(AND($L$37=0,$P$34=0),"",$L$37-1),IF($R$17="Distrato",$E395,0))),0,YEARFRAC(MAX($P$34*($B395+IF($R$17="Distrato",$I$38-1,0)),IF(AND($L$37=0,$P$34=0),"",$L$37-1),IF($R$17="Distrato",$E395,0)),MIN(AA$38,$D$19),$P$20))-SUM($P395:Z395)</f>
        <v>#VALUE!</v>
      </c>
      <c r="AB395" s="446" t="e">
        <f>IF(OR($B395="",MIN(AB$38,$D$19)&lt;MAX($P$34*($B395+IF($R$17="Distrato",$I$38-1,0)),IF(AND($L$37=0,$P$34=0),"",$L$37-1),IF($R$17="Distrato",$E395,0))),0,YEARFRAC(MAX($P$34*($B395+IF($R$17="Distrato",$I$38-1,0)),IF(AND($L$37=0,$P$34=0),"",$L$37-1),IF($R$17="Distrato",$E395,0)),MIN(AB$38,$D$19),$P$20))-SUM($P395:AA395)</f>
        <v>#VALUE!</v>
      </c>
      <c r="AC395" s="446" t="e">
        <f>IF(OR($B395="",MIN(AC$38,$D$19)&lt;MAX($P$34*($B395+IF($R$17="Distrato",$I$38-1,0)),IF(AND($L$37=0,$P$34=0),"",$L$37-1),IF($R$17="Distrato",$E395,0))),0,YEARFRAC(MAX($P$34*($B395+IF($R$17="Distrato",$I$38-1,0)),IF(AND($L$37=0,$P$34=0),"",$L$37-1),IF($R$17="Distrato",$E395,0)),MIN(AC$38,$D$19),$P$20))-SUM($P395:AB395)</f>
        <v>#VALUE!</v>
      </c>
      <c r="AD395" s="446" t="e">
        <f>IF(OR($B395="",MIN(AD$38,$D$19)&lt;MAX($P$34*($B395+IF($R$17="Distrato",$I$38-1,0)),IF(AND($L$37=0,$P$34=0),"",$L$37-1),IF($R$17="Distrato",$E395,0))),0,YEARFRAC(MAX($P$34*($B395+IF($R$17="Distrato",$I$38-1,0)),IF(AND($L$37=0,$P$34=0),"",$L$37-1),IF($R$17="Distrato",$E395,0)),MIN(AD$38,$D$19),$P$20))-SUM($P395:AC395)</f>
        <v>#VALUE!</v>
      </c>
      <c r="AE395" s="446" t="e">
        <f>IF(OR($B395="",MIN(AE$38,$D$19)&lt;MAX($P$34*($B395+IF($R$17="Distrato",$I$38-1,0)),IF(AND($L$37=0,$P$34=0),"",$L$37-1),IF($R$17="Distrato",$E395,0))),0,YEARFRAC(MAX($P$34*($B395+IF($R$17="Distrato",$I$38-1,0)),IF(AND($L$37=0,$P$34=0),"",$L$37-1),IF($R$17="Distrato",$E395,0)),MIN(AE$38,$D$19),$P$20))-SUM($P395:AD395)</f>
        <v>#VALUE!</v>
      </c>
      <c r="AF395" s="446" t="e">
        <f>IF(OR($B395="",MIN(AF$38,$D$19)&lt;MAX($P$34*($B395+IF($R$17="Distrato",$I$38-1,0)),IF(AND($L$37=0,$P$34=0),"",$L$37-1),IF($R$17="Distrato",$E395,0))),0,YEARFRAC(MAX($P$34*($B395+IF($R$17="Distrato",$I$38-1,0)),IF(AND($L$37=0,$P$34=0),"",$L$37-1),IF($R$17="Distrato",$E395,0)),MIN(AF$38,$D$19),$P$20))-SUM($P395:AE395)</f>
        <v>#VALUE!</v>
      </c>
      <c r="AG395" s="446" t="e">
        <f>IF(OR($B395="",MIN(AG$38,$D$19)&lt;MAX($P$34*($B395+IF($R$17="Distrato",$I$38-1,0)),IF(AND($L$37=0,$P$34=0),"",$L$37-1),IF($R$17="Distrato",$E395,0))),0,YEARFRAC(MAX($P$34*($B395+IF($R$17="Distrato",$I$38-1,0)),IF(AND($L$37=0,$P$34=0),"",$L$37-1),IF($R$17="Distrato",$E395,0)),MIN(AG$38,$D$19),$P$20))-SUM($P395:AF395)</f>
        <v>#VALUE!</v>
      </c>
      <c r="AH395" s="446" t="e">
        <f>IF(OR($B395="",MIN(AH$38,$D$19)&lt;MAX($P$34*($B395+IF($R$17="Distrato",$I$38-1,0)),IF(AND($L$37=0,$P$34=0),"",$L$37-1),IF($R$17="Distrato",$E395,0))),0,YEARFRAC(MAX($P$34*($B395+IF($R$17="Distrato",$I$38-1,0)),IF(AND($L$37=0,$P$34=0),"",$L$37-1),IF($R$17="Distrato",$E395,0)),MIN(AH$38,$D$19),$P$20))-SUM($P395:AG395)</f>
        <v>#VALUE!</v>
      </c>
      <c r="AI395" s="446" t="e">
        <f>IF(OR($B395="",MIN(AI$38,$D$19)&lt;MAX($P$34*($B395+IF($R$17="Distrato",$I$38-1,0)),IF(AND($L$37=0,$P$34=0),"",$L$37-1),IF($R$17="Distrato",$E395,0))),0,YEARFRAC(MAX($P$34*($B395+IF($R$17="Distrato",$I$38-1,0)),IF(AND($L$37=0,$P$34=0),"",$L$37-1),IF($R$17="Distrato",$E395,0)),MIN(AI$38,$D$19),$P$20))-SUM($P395:AH395)</f>
        <v>#VALUE!</v>
      </c>
      <c r="AJ395" s="446" t="e">
        <f>IF(OR($B395="",MIN(AJ$38,$D$19)&lt;MAX($P$34*($B395+IF($R$17="Distrato",$I$38-1,0)),IF(AND($L$37=0,$P$34=0),"",$L$37-1),IF($R$17="Distrato",$E395,0))),0,YEARFRAC(MAX($P$34*($B395+IF($R$17="Distrato",$I$38-1,0)),IF(AND($L$37=0,$P$34=0),"",$L$37-1),IF($R$17="Distrato",$E395,0)),MIN(AJ$38,$D$19),$P$20))-SUM($P395:AI395)</f>
        <v>#VALUE!</v>
      </c>
      <c r="AK395" s="446" t="e">
        <f>IF(OR($B395="",MIN(AK$38,$D$19)&lt;MAX($P$34*($B395+IF($R$17="Distrato",$I$38-1,0)),IF(AND($L$37=0,$P$34=0),"",$L$37-1),IF($R$17="Distrato",$E395,0))),0,YEARFRAC(MAX($P$34*($B395+IF($R$17="Distrato",$I$38-1,0)),IF(AND($L$37=0,$P$34=0),"",$L$37-1),IF($R$17="Distrato",$E395,0)),MIN(AK$38,$D$19),$P$20))-SUM($P395:AJ395)</f>
        <v>#VALUE!</v>
      </c>
      <c r="AL395" s="446" t="e">
        <f>IF(OR($B395="",MIN(AL$38,$D$19)&lt;MAX($P$34*($B395+IF($R$17="Distrato",$I$38-1,0)),IF(AND($L$37=0,$P$34=0),"",$L$37-1),IF($R$17="Distrato",$E395,0))),0,YEARFRAC(MAX($P$34*($B395+IF($R$17="Distrato",$I$38-1,0)),IF(AND($L$37=0,$P$34=0),"",$L$37-1),IF($R$17="Distrato",$E395,0)),MIN(AL$38,$D$19),$P$20))-SUM($P395:AK395)</f>
        <v>#VALUE!</v>
      </c>
      <c r="AM395" s="446" t="e">
        <f>IF(OR($B395="",MIN(AM$38,$D$19)&lt;MAX($P$34*($B395+IF($R$17="Distrato",$I$38-1,0)),IF(AND($L$37=0,$P$34=0),"",$L$37-1),IF($R$17="Distrato",$E395,0))),0,YEARFRAC(MAX($P$34*($B395+IF($R$17="Distrato",$I$38-1,0)),IF(AND($L$37=0,$P$34=0),"",$L$37-1),IF($R$17="Distrato",$E395,0)),MIN(AM$38,$D$19),$P$20))-SUM($P395:AL395)</f>
        <v>#VALUE!</v>
      </c>
      <c r="AN395" s="446" t="e">
        <f>IF(OR($B395="",MIN(AN$38,$D$19)&lt;MAX($P$34*($B395+IF($R$17="Distrato",$I$38-1,0)),IF(AND($L$37=0,$P$34=0),"",$L$37-1),IF($R$17="Distrato",$E395,0))),0,YEARFRAC(MAX($P$34*($B395+IF($R$17="Distrato",$I$38-1,0)),IF(AND($L$37=0,$P$34=0),"",$L$37-1),IF($R$17="Distrato",$E395,0)),MIN(AN$38,$D$19),$P$20))-SUM($P395:AM395)</f>
        <v>#VALUE!</v>
      </c>
      <c r="AO395" s="446" t="e">
        <f>IF(OR($B395="",MIN(AO$38,$D$19)&lt;MAX($P$34*($B395+IF($R$17="Distrato",$I$38-1,0)),IF(AND($L$37=0,$P$34=0),"",$L$37-1),IF($R$17="Distrato",$E395,0))),0,YEARFRAC(MAX($P$34*($B395+IF($R$17="Distrato",$I$38-1,0)),IF(AND($L$37=0,$P$34=0),"",$L$37-1),IF($R$17="Distrato",$E395,0)),MIN(AO$38,$D$19),$P$20))-SUM($P395:AN395)</f>
        <v>#VALUE!</v>
      </c>
      <c r="AP395" s="446" t="e">
        <f>IF(OR($B395="",MIN(AP$38,$D$19)&lt;MAX($P$34*($B395+IF($R$17="Distrato",$I$38-1,0)),IF(AND($L$37=0,$P$34=0),"",$L$37-1),IF($R$17="Distrato",$E395,0))),0,YEARFRAC(MAX($P$34*($B395+IF($R$17="Distrato",$I$38-1,0)),IF(AND($L$37=0,$P$34=0),"",$L$37-1),IF($R$17="Distrato",$E395,0)),MIN(AP$38,$D$19),$P$20))-SUM($P395:AO395)</f>
        <v>#VALUE!</v>
      </c>
      <c r="AQ395" s="446" t="e">
        <f>IF(OR($B395="",MIN(AQ$38,$D$19)&lt;MAX($P$34*($B395+IF($R$17="Distrato",$I$38-1,0)),IF(AND($L$37=0,$P$34=0),"",$L$37-1),IF($R$17="Distrato",$E395,0))),0,YEARFRAC(MAX($P$34*($B395+IF($R$17="Distrato",$I$38-1,0)),IF(AND($L$37=0,$P$34=0),"",$L$37-1),IF($R$17="Distrato",$E395,0)),MIN(AQ$38,$D$19),$P$20))-SUM($P395:AP395)</f>
        <v>#VALUE!</v>
      </c>
      <c r="AR395" s="446" t="e">
        <f>IF(OR($B395="",MIN(AR$38,$D$19)&lt;MAX($P$34*($B395+IF($R$17="Distrato",$I$38-1,0)),IF(AND($L$37=0,$P$34=0),"",$L$37-1),IF($R$17="Distrato",$E395,0))),0,YEARFRAC(MAX($P$34*($B395+IF($R$17="Distrato",$I$38-1,0)),IF(AND($L$37=0,$P$34=0),"",$L$37-1),IF($R$17="Distrato",$E395,0)),MIN(AR$38,$D$19),$P$20))-SUM($P395:AQ395)</f>
        <v>#VALUE!</v>
      </c>
      <c r="AS395" s="446" t="e">
        <f>IF(OR($B395="",MIN(AS$38,$D$19)&lt;MAX($P$34*($B395+IF($R$17="Distrato",$I$38-1,0)),IF(AND($L$37=0,$P$34=0),"",$L$37-1),IF($R$17="Distrato",$E395,0))),0,YEARFRAC(MAX($P$34*($B395+IF($R$17="Distrato",$I$38-1,0)),IF(AND($L$37=0,$P$34=0),"",$L$37-1),IF($R$17="Distrato",$E395,0)),MIN(AS$38,$D$19),$P$20))-SUM($P395:AR395)</f>
        <v>#VALUE!</v>
      </c>
      <c r="AT395" s="446" t="e">
        <f>IF(OR($B395="",MIN(AT$38,$D$19)&lt;MAX($P$34*($B395+IF($R$17="Distrato",$I$38-1,0)),IF(AND($L$37=0,$P$34=0),"",$L$37-1),IF($R$17="Distrato",$E395,0))),0,YEARFRAC(MAX($P$34*($B395+IF($R$17="Distrato",$I$38-1,0)),IF(AND($L$37=0,$P$34=0),"",$L$37-1),IF($R$17="Distrato",$E395,0)),MIN(AT$38,$D$19),$P$20))-SUM($P395:AS395)</f>
        <v>#VALUE!</v>
      </c>
      <c r="AU395" s="446" t="e">
        <f>IF(OR($B395="",MIN(AU$38,$D$19)&lt;MAX($P$34*($B395+IF($R$17="Distrato",$I$38-1,0)),IF(AND($L$37=0,$P$34=0),"",$L$37-1),IF($R$17="Distrato",$E395,0))),0,YEARFRAC(MAX($P$34*($B395+IF($R$17="Distrato",$I$38-1,0)),IF(AND($L$37=0,$P$34=0),"",$L$37-1),IF($R$17="Distrato",$E395,0)),MIN(AU$38,$D$19),$P$20))-SUM($P395:AT395)</f>
        <v>#VALUE!</v>
      </c>
      <c r="AV395" s="446" t="e">
        <f>IF(OR($B395="",MIN(AV$38,$D$19)&lt;MAX($P$34*($B395+IF($R$17="Distrato",$I$38-1,0)),IF(AND($L$37=0,$P$34=0),"",$L$37-1),IF($R$17="Distrato",$E395,0))),0,YEARFRAC(MAX($P$34*($B395+IF($R$17="Distrato",$I$38-1,0)),IF(AND($L$37=0,$P$34=0),"",$L$37-1),IF($R$17="Distrato",$E395,0)),MIN(AV$38,$D$19),$P$20))-SUM($P395:AU395)</f>
        <v>#VALUE!</v>
      </c>
      <c r="AW395" s="446" t="e">
        <f>IF(OR($B395="",MIN(AW$38,$D$19)&lt;MAX($P$34*($B395+IF($R$17="Distrato",$I$38-1,0)),IF(AND($L$37=0,$P$34=0),"",$L$37-1),IF($R$17="Distrato",$E395,0))),0,YEARFRAC(MAX($P$34*($B395+IF($R$17="Distrato",$I$38-1,0)),IF(AND($L$37=0,$P$34=0),"",$L$37-1),IF($R$17="Distrato",$E395,0)),MIN(AW$38,$D$19),$P$20))-SUM($P395:AV395)</f>
        <v>#VALUE!</v>
      </c>
      <c r="AX395" s="446" t="e">
        <f>IF(OR($B395="",MIN(AX$38,$D$19)&lt;MAX($P$34*($B395+IF($R$17="Distrato",$I$38-1,0)),IF(AND($L$37=0,$P$34=0),"",$L$37-1),IF($R$17="Distrato",$E395,0))),0,YEARFRAC(MAX($P$34*($B395+IF($R$17="Distrato",$I$38-1,0)),IF(AND($L$37=0,$P$34=0),"",$L$37-1),IF($R$17="Distrato",$E395,0)),MIN(AX$38,$D$19),$P$20))-SUM($P395:AW395)</f>
        <v>#VALUE!</v>
      </c>
      <c r="AY395" s="446" t="e">
        <f>IF(OR($B395="",MIN(AY$38,$D$19)&lt;MAX($P$34*($B395+IF($R$17="Distrato",$I$38-1,0)),IF(AND($L$37=0,$P$34=0),"",$L$37-1),IF($R$17="Distrato",$E395,0))),0,YEARFRAC(MAX($P$34*($B395+IF($R$17="Distrato",$I$38-1,0)),IF(AND($L$37=0,$P$34=0),"",$L$37-1),IF($R$17="Distrato",$E395,0)),MIN(AY$38,$D$19),$P$20))-SUM($P395:AX395)</f>
        <v>#VALUE!</v>
      </c>
      <c r="AZ395" s="446" t="e">
        <f>IF(OR($B395="",MIN(AZ$38,$D$19)&lt;MAX($P$34*($B395+IF($R$17="Distrato",$I$38-1,0)),IF(AND($L$37=0,$P$34=0),"",$L$37-1),IF($R$17="Distrato",$E395,0))),0,YEARFRAC(MAX($P$34*($B395+IF($R$17="Distrato",$I$38-1,0)),IF(AND($L$37=0,$P$34=0),"",$L$37-1),IF($R$17="Distrato",$E395,0)),MIN(AZ$38,$D$19),$P$20))-SUM($P395:AY395)</f>
        <v>#VALUE!</v>
      </c>
      <c r="BA395" s="446" t="e">
        <f>IF(OR($B395="",MIN(BA$38,$D$19)&lt;MAX($P$34*($B395+IF($R$17="Distrato",$I$38-1,0)),IF(AND($L$37=0,$P$34=0),"",$L$37-1),IF($R$17="Distrato",$E395,0))),0,YEARFRAC(MAX($P$34*($B395+IF($R$17="Distrato",$I$38-1,0)),IF(AND($L$37=0,$P$34=0),"",$L$37-1),IF($R$17="Distrato",$E395,0)),MIN(BA$38,$D$19),$P$20))-SUM($P395:AZ395)</f>
        <v>#VALUE!</v>
      </c>
      <c r="BB395" s="447"/>
      <c r="BF395" s="446">
        <f t="shared" si="65"/>
        <v>0</v>
      </c>
      <c r="BG395" s="446">
        <f>IF($E395=0,0,IF(MIN(BG$38,$E395)&lt;MAX($P$34*($B395+$I$38-1),IF(AND($L$37=0,$P$34=0),"",$L$37-1)),0,YEARFRAC(MAX($P$34*($B395+$I$38-1),IF(AND($L$37=0,$P$34=0),"",$L$37-1)),MIN(BG$38,$E395),$P$20))-SUM($BF395:BF395))</f>
        <v>0</v>
      </c>
      <c r="BH395" s="446">
        <f>IF($E395=0,0,IF(MIN(BH$38,$E395)&lt;MAX($P$34*($B395+$I$38-1),IF(AND($L$37=0,$P$34=0),"",$L$37-1)),0,YEARFRAC(MAX($P$34*($B395+$I$38-1),IF(AND($L$37=0,$P$34=0),"",$L$37-1)),MIN(BH$38,$E395),$P$20))-SUM($BF395:BG395))</f>
        <v>0</v>
      </c>
      <c r="BI395" s="446">
        <f>IF($E395=0,0,IF(MIN(BI$38,$E395)&lt;MAX($P$34*($B395+$I$38-1),IF(AND($L$37=0,$P$34=0),"",$L$37-1)),0,YEARFRAC(MAX($P$34*($B395+$I$38-1),IF(AND($L$37=0,$P$34=0),"",$L$37-1)),MIN(BI$38,$E395),$P$20))-SUM($BF395:BH395))</f>
        <v>0</v>
      </c>
      <c r="BJ395" s="446">
        <f>IF($E395=0,0,IF(MIN(BJ$38,$E395)&lt;MAX($P$34*($B395+$I$38-1),IF(AND($L$37=0,$P$34=0),"",$L$37-1)),0,YEARFRAC(MAX($P$34*($B395+$I$38-1),IF(AND($L$37=0,$P$34=0),"",$L$37-1)),MIN(BJ$38,$E395),$P$20))-SUM($BF395:BI395))</f>
        <v>0</v>
      </c>
      <c r="BK395" s="446">
        <f>IF($E395=0,0,IF(MIN(BK$38,$E395)&lt;MAX($P$34*($B395+$I$38-1),IF(AND($L$37=0,$P$34=0),"",$L$37-1)),0,YEARFRAC(MAX($P$34*($B395+$I$38-1),IF(AND($L$37=0,$P$34=0),"",$L$37-1)),MIN(BK$38,$E395),$P$20))-SUM($BF395:BJ395))</f>
        <v>0</v>
      </c>
      <c r="BL395" s="446">
        <f>IF($E395=0,0,IF(MIN(BL$38,$E395)&lt;MAX($P$34*($B395+$I$38-1),IF(AND($L$37=0,$P$34=0),"",$L$37-1)),0,YEARFRAC(MAX($P$34*($B395+$I$38-1),IF(AND($L$37=0,$P$34=0),"",$L$37-1)),MIN(BL$38,$E395),$P$20))-SUM($BF395:BK395))</f>
        <v>0</v>
      </c>
      <c r="BM395" s="446">
        <f>IF($E395=0,0,IF(MIN(BM$38,$E395)&lt;MAX($P$34*($B395+$I$38-1),IF(AND($L$37=0,$P$34=0),"",$L$37-1)),0,YEARFRAC(MAX($P$34*($B395+$I$38-1),IF(AND($L$37=0,$P$34=0),"",$L$37-1)),MIN(BM$38,$E395),$P$20))-SUM($BF395:BL395))</f>
        <v>0</v>
      </c>
      <c r="BN395" s="446">
        <f>IF($E395=0,0,IF(MIN(BN$38,$E395)&lt;MAX($P$34*($B395+$I$38-1),IF(AND($L$37=0,$P$34=0),"",$L$37-1)),0,YEARFRAC(MAX($P$34*($B395+$I$38-1),IF(AND($L$37=0,$P$34=0),"",$L$37-1)),MIN(BN$38,$E395),$P$20))-SUM($BF395:BM395))</f>
        <v>0</v>
      </c>
      <c r="BO395" s="446">
        <f>IF($E395=0,0,IF(MIN(BO$38,$E395)&lt;MAX($P$34*($B395+$I$38-1),IF(AND($L$37=0,$P$34=0),"",$L$37-1)),0,YEARFRAC(MAX($P$34*($B395+$I$38-1),IF(AND($L$37=0,$P$34=0),"",$L$37-1)),MIN(BO$38,$E395),$P$20))-SUM($BF395:BN395))</f>
        <v>0</v>
      </c>
      <c r="BP395" s="446">
        <f>IF($E395=0,0,IF(MIN(BP$38,$E395)&lt;MAX($P$34*($B395+$I$38-1),IF(AND($L$37=0,$P$34=0),"",$L$37-1)),0,YEARFRAC(MAX($P$34*($B395+$I$38-1),IF(AND($L$37=0,$P$34=0),"",$L$37-1)),MIN(BP$38,$E395),$P$20))-SUM($BF395:BO395))</f>
        <v>0</v>
      </c>
      <c r="BQ395" s="446">
        <f>IF($E395=0,0,IF(MIN(BQ$38,$E395)&lt;MAX($P$34*($B395+$I$38-1),IF(AND($L$37=0,$P$34=0),"",$L$37-1)),0,YEARFRAC(MAX($P$34*($B395+$I$38-1),IF(AND($L$37=0,$P$34=0),"",$L$37-1)),MIN(BQ$38,$E395),$P$20))-SUM($BF395:BP395))</f>
        <v>0</v>
      </c>
      <c r="BR395" s="446">
        <f>IF($E395=0,0,IF(MIN(BR$38,$E395)&lt;MAX($P$34*($B395+$I$38-1),IF(AND($L$37=0,$P$34=0),"",$L$37-1)),0,YEARFRAC(MAX($P$34*($B395+$I$38-1),IF(AND($L$37=0,$P$34=0),"",$L$37-1)),MIN(BR$38,$E395),$P$20))-SUM($BF395:BQ395))</f>
        <v>0</v>
      </c>
      <c r="BS395" s="446">
        <f>IF($E395=0,0,IF(MIN(BS$38,$E395)&lt;MAX($P$34*($B395+$I$38-1),IF(AND($L$37=0,$P$34=0),"",$L$37-1)),0,YEARFRAC(MAX($P$34*($B395+$I$38-1),IF(AND($L$37=0,$P$34=0),"",$L$37-1)),MIN(BS$38,$E395),$P$20))-SUM($BF395:BR395))</f>
        <v>0</v>
      </c>
      <c r="BT395" s="446">
        <f>IF($E395=0,0,IF(MIN(BT$38,$E395)&lt;MAX($P$34*($B395+$I$38-1),IF(AND($L$37=0,$P$34=0),"",$L$37-1)),0,YEARFRAC(MAX($P$34*($B395+$I$38-1),IF(AND($L$37=0,$P$34=0),"",$L$37-1)),MIN(BT$38,$E395),$P$20))-SUM($BF395:BS395))</f>
        <v>0</v>
      </c>
      <c r="BU395" s="446">
        <f>IF($E395=0,0,IF(MIN(BU$38,$E395)&lt;MAX($P$34*($B395+$I$38-1),IF(AND($L$37=0,$P$34=0),"",$L$37-1)),0,YEARFRAC(MAX($P$34*($B395+$I$38-1),IF(AND($L$37=0,$P$34=0),"",$L$37-1)),MIN(BU$38,$E395),$P$20))-SUM($BF395:BT395))</f>
        <v>0</v>
      </c>
      <c r="BV395" s="446">
        <f>IF($E395=0,0,IF(MIN(BV$38,$E395)&lt;MAX($P$34*($B395+$I$38-1),IF(AND($L$37=0,$P$34=0),"",$L$37-1)),0,YEARFRAC(MAX($P$34*($B395+$I$38-1),IF(AND($L$37=0,$P$34=0),"",$L$37-1)),MIN(BV$38,$E395),$P$20))-SUM($BF395:BU395))</f>
        <v>0</v>
      </c>
      <c r="BW395" s="446">
        <f>IF($E395=0,0,IF(MIN(BW$38,$E395)&lt;MAX($P$34*($B395+$I$38-1),IF(AND($L$37=0,$P$34=0),"",$L$37-1)),0,YEARFRAC(MAX($P$34*($B395+$I$38-1),IF(AND($L$37=0,$P$34=0),"",$L$37-1)),MIN(BW$38,$E395),$P$20))-SUM($BF395:BV395))</f>
        <v>0</v>
      </c>
      <c r="BX395" s="446">
        <f>IF($E395=0,0,IF(MIN(BX$38,$E395)&lt;MAX($P$34*($B395+$I$38-1),IF(AND($L$37=0,$P$34=0),"",$L$37-1)),0,YEARFRAC(MAX($P$34*($B395+$I$38-1),IF(AND($L$37=0,$P$34=0),"",$L$37-1)),MIN(BX$38,$E395),$P$20))-SUM($BF395:BW395))</f>
        <v>0</v>
      </c>
      <c r="BY395" s="446">
        <f>IF($E395=0,0,IF(MIN(BY$38,$E395)&lt;MAX($P$34*($B395+$I$38-1),IF(AND($L$37=0,$P$34=0),"",$L$37-1)),0,YEARFRAC(MAX($P$34*($B395+$I$38-1),IF(AND($L$37=0,$P$34=0),"",$L$37-1)),MIN(BY$38,$E395),$P$20))-SUM($BF395:BX395))</f>
        <v>0</v>
      </c>
      <c r="BZ395" s="446">
        <f>IF($E395=0,0,IF(MIN(BZ$38,$E395)&lt;MAX($P$34*($B395+$I$38-1),IF(AND($L$37=0,$P$34=0),"",$L$37-1)),0,YEARFRAC(MAX($P$34*($B395+$I$38-1),IF(AND($L$37=0,$P$34=0),"",$L$37-1)),MIN(BZ$38,$E395),$P$20))-SUM($BF395:BY395))</f>
        <v>0</v>
      </c>
      <c r="CA395" s="446">
        <f>IF($E395=0,0,IF(MIN(CA$38,$E395)&lt;MAX($P$34*($B395+$I$38-1),IF(AND($L$37=0,$P$34=0),"",$L$37-1)),0,YEARFRAC(MAX($P$34*($B395+$I$38-1),IF(AND($L$37=0,$P$34=0),"",$L$37-1)),MIN(CA$38,$E395),$P$20))-SUM($BF395:BZ395))</f>
        <v>0</v>
      </c>
      <c r="CB395" s="446">
        <f>IF($E395=0,0,IF(MIN(CB$38,$E395)&lt;MAX($P$34*($B395+$I$38-1),IF(AND($L$37=0,$P$34=0),"",$L$37-1)),0,YEARFRAC(MAX($P$34*($B395+$I$38-1),IF(AND($L$37=0,$P$34=0),"",$L$37-1)),MIN(CB$38,$E395),$P$20))-SUM($BF395:CA395))</f>
        <v>0</v>
      </c>
      <c r="CC395" s="446">
        <f>IF($E395=0,0,IF(MIN(CC$38,$E395)&lt;MAX($P$34*($B395+$I$38-1),IF(AND($L$37=0,$P$34=0),"",$L$37-1)),0,YEARFRAC(MAX($P$34*($B395+$I$38-1),IF(AND($L$37=0,$P$34=0),"",$L$37-1)),MIN(CC$38,$E395),$P$20))-SUM($BF395:CB395))</f>
        <v>0</v>
      </c>
      <c r="CD395" s="446">
        <f>IF($E395=0,0,IF(MIN(CD$38,$E395)&lt;MAX($P$34*($B395+$I$38-1),IF(AND($L$37=0,$P$34=0),"",$L$37-1)),0,YEARFRAC(MAX($P$34*($B395+$I$38-1),IF(AND($L$37=0,$P$34=0),"",$L$37-1)),MIN(CD$38,$E395),$P$20))-SUM($BF395:CC395))</f>
        <v>0</v>
      </c>
      <c r="CE395" s="446">
        <f>IF($E395=0,0,IF(MIN(CE$38,$E395)&lt;MAX($P$34*($B395+$I$38-1),IF(AND($L$37=0,$P$34=0),"",$L$37-1)),0,YEARFRAC(MAX($P$34*($B395+$I$38-1),IF(AND($L$37=0,$P$34=0),"",$L$37-1)),MIN(CE$38,$E395),$P$20))-SUM($BF395:CD395))</f>
        <v>0</v>
      </c>
      <c r="CF395" s="446">
        <f>IF($E395=0,0,IF(MIN(CF$38,$E395)&lt;MAX($P$34*($B395+$I$38-1),IF(AND($L$37=0,$P$34=0),"",$L$37-1)),0,YEARFRAC(MAX($P$34*($B395+$I$38-1),IF(AND($L$37=0,$P$34=0),"",$L$37-1)),MIN(CF$38,$E395),$P$20))-SUM($BF395:CE395))</f>
        <v>0</v>
      </c>
      <c r="CG395" s="446">
        <f>IF($E395=0,0,IF(MIN(CG$38,$E395)&lt;MAX($P$34*($B395+$I$38-1),IF(AND($L$37=0,$P$34=0),"",$L$37-1)),0,YEARFRAC(MAX($P$34*($B395+$I$38-1),IF(AND($L$37=0,$P$34=0),"",$L$37-1)),MIN(CG$38,$E395),$P$20))-SUM($BF395:CF395))</f>
        <v>0</v>
      </c>
      <c r="CH395" s="446">
        <f>IF($E395=0,0,IF(MIN(CH$38,$E395)&lt;MAX($P$34*($B395+$I$38-1),IF(AND($L$37=0,$P$34=0),"",$L$37-1)),0,YEARFRAC(MAX($P$34*($B395+$I$38-1),IF(AND($L$37=0,$P$34=0),"",$L$37-1)),MIN(CH$38,$E395),$P$20))-SUM($BF395:CG395))</f>
        <v>0</v>
      </c>
      <c r="CI395" s="446">
        <f>IF($E395=0,0,IF(MIN(CI$38,$E395)&lt;MAX($P$34*($B395+$I$38-1),IF(AND($L$37=0,$P$34=0),"",$L$37-1)),0,YEARFRAC(MAX($P$34*($B395+$I$38-1),IF(AND($L$37=0,$P$34=0),"",$L$37-1)),MIN(CI$38,$E395),$P$20))-SUM($BF395:CH395))</f>
        <v>0</v>
      </c>
      <c r="CJ395" s="446">
        <f>IF($E395=0,0,IF(MIN(CJ$38,$E395)&lt;MAX($P$34*($B395+$I$38-1),IF(AND($L$37=0,$P$34=0),"",$L$37-1)),0,YEARFRAC(MAX($P$34*($B395+$I$38-1),IF(AND($L$37=0,$P$34=0),"",$L$37-1)),MIN(CJ$38,$E395),$P$20))-SUM($BF395:CI395))</f>
        <v>0</v>
      </c>
      <c r="CK395" s="446">
        <f>IF($E395=0,0,IF(MIN(CK$38,$E395)&lt;MAX($P$34*($B395+$I$38-1),IF(AND($L$37=0,$P$34=0),"",$L$37-1)),0,YEARFRAC(MAX($P$34*($B395+$I$38-1),IF(AND($L$37=0,$P$34=0),"",$L$37-1)),MIN(CK$38,$E395),$P$20))-SUM($BF395:CJ395))</f>
        <v>0</v>
      </c>
      <c r="CL395" s="446">
        <f>IF($E395=0,0,IF(MIN(CL$38,$E395)&lt;MAX($P$34*($B395+$I$38-1),IF(AND($L$37=0,$P$34=0),"",$L$37-1)),0,YEARFRAC(MAX($P$34*($B395+$I$38-1),IF(AND($L$37=0,$P$34=0),"",$L$37-1)),MIN(CL$38,$E395),$P$20))-SUM($BF395:CK395))</f>
        <v>0</v>
      </c>
      <c r="CM395" s="446">
        <f>IF($E395=0,0,IF(MIN(CM$38,$E395)&lt;MAX($P$34*($B395+$I$38-1),IF(AND($L$37=0,$P$34=0),"",$L$37-1)),0,YEARFRAC(MAX($P$34*($B395+$I$38-1),IF(AND($L$37=0,$P$34=0),"",$L$37-1)),MIN(CM$38,$E395),$P$20))-SUM($BF395:CL395))</f>
        <v>0</v>
      </c>
      <c r="CN395" s="446">
        <f>IF($E395=0,0,IF(MIN(CN$38,$E395)&lt;MAX($P$34*($B395+$I$38-1),IF(AND($L$37=0,$P$34=0),"",$L$37-1)),0,YEARFRAC(MAX($P$34*($B395+$I$38-1),IF(AND($L$37=0,$P$34=0),"",$L$37-1)),MIN(CN$38,$E395),$P$20))-SUM($BF395:CM395))</f>
        <v>0</v>
      </c>
      <c r="CO395" s="446">
        <f>IF($E395=0,0,IF(MIN(CO$38,$E395)&lt;MAX($P$34*($B395+$I$38-1),IF(AND($L$37=0,$P$34=0),"",$L$37-1)),0,YEARFRAC(MAX($P$34*($B395+$I$38-1),IF(AND($L$37=0,$P$34=0),"",$L$37-1)),MIN(CO$38,$E395),$P$20))-SUM($BF395:CN395))</f>
        <v>0</v>
      </c>
      <c r="CP395" s="446">
        <f>IF($E395=0,0,IF(MIN(CP$38,$E395)&lt;MAX($P$34*($B395+$I$38-1),IF(AND($L$37=0,$P$34=0),"",$L$37-1)),0,YEARFRAC(MAX($P$34*($B395+$I$38-1),IF(AND($L$37=0,$P$34=0),"",$L$37-1)),MIN(CP$38,$E395),$P$20))-SUM($BF395:CO395))</f>
        <v>0</v>
      </c>
      <c r="CQ395" s="446">
        <f>IF($E395=0,0,IF(MIN(CQ$38,$E395)&lt;MAX($P$34*($B395+$I$38-1),IF(AND($L$37=0,$P$34=0),"",$L$37-1)),0,YEARFRAC(MAX($P$34*($B395+$I$38-1),IF(AND($L$37=0,$P$34=0),"",$L$37-1)),MIN(CQ$38,$E395),$P$20))-SUM($BF395:CP395))</f>
        <v>0</v>
      </c>
    </row>
    <row r="396" spans="1:95" s="446" customFormat="1" ht="11.25" hidden="1" customHeight="1" x14ac:dyDescent="0.2">
      <c r="A396" s="152"/>
      <c r="B396" s="153" t="str">
        <f t="shared" si="70"/>
        <v/>
      </c>
      <c r="C396" s="29" t="str">
        <f>IF(B396="","",IF($L$35="SELIC - TRIBUTOS",VLOOKUP(DATE(YEAR($D$19),MONTH($D$19)-1,1),ÍNDICES!$A:$DE,HLOOKUP($BL$25,ÍNDICES!$B$3:$T$4,2)+11)-VLOOKUP(B396,ÍNDICES!$A:$DE,HLOOKUP($BL$25,ÍNDICES!$B$3:$T$4,2)+11)+1%,IF(C$38=$W$26,$J$35,IF(ISERROR(IF(B396&gt;$D$19,1,VLOOKUP(DATE(YEAR(B396),MONTH(B396)+IF($C$35=$S$23,1,0),1),ÍNDICES!$A:$DE,$Z$35+1))),"",IF(B396&gt;$D$19,1,VLOOKUP(DATE(YEAR(B396),MONTH(B396)+IF($C$35=$S$23,1,0),1),ÍNDICES!$A:$DE,$Z$35+1))))))</f>
        <v/>
      </c>
      <c r="D396" s="154" t="str">
        <f>IF(ISERROR(IF(OR($D$38=$Y$27,$B396=""),"",VLOOKUP(B396,ÍNDICES!A:DE,AF$35+1))),"",IF(OR($D$38=$Y$27,$B396=""),"",VLOOKUP(B396,ÍNDICES!A:DE,AF$35+1)))</f>
        <v/>
      </c>
      <c r="E396" s="153"/>
      <c r="F396" s="29" t="str">
        <f>IF(E396="","",IF($L$35="SELIC - TRIBUTOS",VLOOKUP(DATE(YEAR($D$19),MONTH($D$19)-1,1),ÍNDICES!$A:$DE,HLOOKUP($BL$25,ÍNDICES!$B$3:$T$4,2)+11)-VLOOKUP(E396,ÍNDICES!$A:$DE,HLOOKUP($BL$25,ÍNDICES!$B$3:$T$4,2)+11)+1%,IF(F$38=$W$26,$J$35,IF(ISERROR(IF(E396&gt;$D$19,1,VLOOKUP(DATE(YEAR(E396),MONTH(E396)+IF($C$35=$S$23,1,0),1),ÍNDICES!$A:$DE,$Z$35+1))),"",IF(E396&gt;$D$19,1,VLOOKUP(DATE(YEAR(E396),MONTH(E396)+IF($C$35=$S$23,1,0),1),ÍNDICES!$A:$DE,$Z$35+1))))))</f>
        <v/>
      </c>
      <c r="G396" s="155"/>
      <c r="H396" s="156" t="str">
        <f t="shared" si="66"/>
        <v/>
      </c>
      <c r="I396" s="29" t="str">
        <f t="shared" si="60"/>
        <v/>
      </c>
      <c r="J396" s="5">
        <f t="shared" si="61"/>
        <v>0</v>
      </c>
      <c r="K396" s="20">
        <f t="shared" ca="1" si="62"/>
        <v>0</v>
      </c>
      <c r="L396" s="5">
        <f t="shared" ca="1" si="63"/>
        <v>0</v>
      </c>
      <c r="M396" s="64">
        <f t="shared" si="67"/>
        <v>0</v>
      </c>
      <c r="N396" s="61">
        <f t="shared" ca="1" si="68"/>
        <v>0</v>
      </c>
      <c r="O396" s="5">
        <f t="shared" ca="1" si="69"/>
        <v>0</v>
      </c>
      <c r="P396" s="446" t="e">
        <f t="shared" si="64"/>
        <v>#VALUE!</v>
      </c>
      <c r="Q396" s="446" t="e">
        <f>IF(OR($B396="",MIN(Q$38,$D$19)&lt;MAX($P$34*($B396+IF($R$17="Distrato",$I$38-1,0)),IF(AND($L$37=0,$P$34=0),"",$L$37-1),IF($R$17="Distrato",$E396,0))),0,YEARFRAC(MAX($P$34*($B396+IF($R$17="Distrato",$I$38-1,0)),IF(AND($L$37=0,$P$34=0),"",$L$37-1),IF($R$17="Distrato",$E396,0)),MIN(Q$38,$D$19),$P$20))-SUM($P396:P396)</f>
        <v>#VALUE!</v>
      </c>
      <c r="R396" s="446" t="e">
        <f>IF(OR($B396="",MIN(R$38,$D$19)&lt;MAX($P$34*($B396+IF($R$17="Distrato",$I$38-1,0)),IF(AND($L$37=0,$P$34=0),"",$L$37-1),IF($R$17="Distrato",$E396,0))),0,YEARFRAC(MAX($P$34*($B396+IF($R$17="Distrato",$I$38-1,0)),IF(AND($L$37=0,$P$34=0),"",$L$37-1),IF($R$17="Distrato",$E396,0)),MIN(R$38,$D$19),$P$20))-SUM($P396:Q396)</f>
        <v>#VALUE!</v>
      </c>
      <c r="S396" s="446" t="e">
        <f>IF(OR($B396="",MIN(S$38,$D$19)&lt;MAX($P$34*($B396+IF($R$17="Distrato",$I$38-1,0)),IF(AND($L$37=0,$P$34=0),"",$L$37-1),IF($R$17="Distrato",$E396,0))),0,YEARFRAC(MAX($P$34*($B396+IF($R$17="Distrato",$I$38-1,0)),IF(AND($L$37=0,$P$34=0),"",$L$37-1),IF($R$17="Distrato",$E396,0)),MIN(S$38,$D$19),$P$20))-SUM($P396:R396)</f>
        <v>#VALUE!</v>
      </c>
      <c r="T396" s="446" t="e">
        <f>IF(OR($B396="",MIN(T$38,$D$19)&lt;MAX($P$34*($B396+IF($R$17="Distrato",$I$38-1,0)),IF(AND($L$37=0,$P$34=0),"",$L$37-1),IF($R$17="Distrato",$E396,0))),0,YEARFRAC(MAX($P$34*($B396+IF($R$17="Distrato",$I$38-1,0)),IF(AND($L$37=0,$P$34=0),"",$L$37-1),IF($R$17="Distrato",$E396,0)),MIN(T$38,$D$19),$P$20))-SUM($P396:S396)</f>
        <v>#VALUE!</v>
      </c>
      <c r="U396" s="446" t="e">
        <f>IF(OR($B396="",MIN(U$38,$D$19)&lt;MAX($P$34*($B396+IF($R$17="Distrato",$I$38-1,0)),IF(AND($L$37=0,$P$34=0),"",$L$37-1),IF($R$17="Distrato",$E396,0))),0,YEARFRAC(MAX($P$34*($B396+IF($R$17="Distrato",$I$38-1,0)),IF(AND($L$37=0,$P$34=0),"",$L$37-1),IF($R$17="Distrato",$E396,0)),MIN(U$38,$D$19),$P$20))-SUM($P396:T396)</f>
        <v>#VALUE!</v>
      </c>
      <c r="V396" s="446" t="e">
        <f>IF(OR($B396="",MIN(V$38,$D$19)&lt;MAX($P$34*($B396+IF($R$17="Distrato",$I$38-1,0)),IF(AND($L$37=0,$P$34=0),"",$L$37-1),IF($R$17="Distrato",$E396,0))),0,YEARFRAC(MAX($P$34*($B396+IF($R$17="Distrato",$I$38-1,0)),IF(AND($L$37=0,$P$34=0),"",$L$37-1),IF($R$17="Distrato",$E396,0)),MIN(V$38,$D$19),$P$20))-SUM($P396:U396)</f>
        <v>#VALUE!</v>
      </c>
      <c r="W396" s="446" t="e">
        <f>IF(OR($B396="",MIN(W$38,$D$19)&lt;MAX($P$34*($B396+IF($R$17="Distrato",$I$38-1,0)),IF(AND($L$37=0,$P$34=0),"",$L$37-1),IF($R$17="Distrato",$E396,0))),0,YEARFRAC(MAX($P$34*($B396+IF($R$17="Distrato",$I$38-1,0)),IF(AND($L$37=0,$P$34=0),"",$L$37-1),IF($R$17="Distrato",$E396,0)),MIN(W$38,$D$19),$P$20))-SUM($P396:V396)</f>
        <v>#VALUE!</v>
      </c>
      <c r="X396" s="446" t="e">
        <f>IF(OR($B396="",MIN(X$38,$D$19)&lt;MAX($P$34*($B396+IF($R$17="Distrato",$I$38-1,0)),IF(AND($L$37=0,$P$34=0),"",$L$37-1),IF($R$17="Distrato",$E396,0))),0,YEARFRAC(MAX($P$34*($B396+IF($R$17="Distrato",$I$38-1,0)),IF(AND($L$37=0,$P$34=0),"",$L$37-1),IF($R$17="Distrato",$E396,0)),MIN(X$38,$D$19),$P$20))-SUM($P396:W396)</f>
        <v>#VALUE!</v>
      </c>
      <c r="Y396" s="446" t="e">
        <f>IF(OR($B396="",MIN(Y$38,$D$19)&lt;MAX($P$34*($B396+IF($R$17="Distrato",$I$38-1,0)),IF(AND($L$37=0,$P$34=0),"",$L$37-1),IF($R$17="Distrato",$E396,0))),0,YEARFRAC(MAX($P$34*($B396+IF($R$17="Distrato",$I$38-1,0)),IF(AND($L$37=0,$P$34=0),"",$L$37-1),IF($R$17="Distrato",$E396,0)),MIN(Y$38,$D$19),$P$20))-SUM($P396:X396)</f>
        <v>#VALUE!</v>
      </c>
      <c r="Z396" s="446" t="e">
        <f>IF(OR($B396="",MIN(Z$38,$D$19)&lt;MAX($P$34*($B396+IF($R$17="Distrato",$I$38-1,0)),IF(AND($L$37=0,$P$34=0),"",$L$37-1),IF($R$17="Distrato",$E396,0))),0,YEARFRAC(MAX($P$34*($B396+IF($R$17="Distrato",$I$38-1,0)),IF(AND($L$37=0,$P$34=0),"",$L$37-1),IF($R$17="Distrato",$E396,0)),MIN(Z$38,$D$19),$P$20))-SUM($P396:Y396)</f>
        <v>#VALUE!</v>
      </c>
      <c r="AA396" s="446" t="e">
        <f>IF(OR($B396="",MIN(AA$38,$D$19)&lt;MAX($P$34*($B396+IF($R$17="Distrato",$I$38-1,0)),IF(AND($L$37=0,$P$34=0),"",$L$37-1),IF($R$17="Distrato",$E396,0))),0,YEARFRAC(MAX($P$34*($B396+IF($R$17="Distrato",$I$38-1,0)),IF(AND($L$37=0,$P$34=0),"",$L$37-1),IF($R$17="Distrato",$E396,0)),MIN(AA$38,$D$19),$P$20))-SUM($P396:Z396)</f>
        <v>#VALUE!</v>
      </c>
      <c r="AB396" s="446" t="e">
        <f>IF(OR($B396="",MIN(AB$38,$D$19)&lt;MAX($P$34*($B396+IF($R$17="Distrato",$I$38-1,0)),IF(AND($L$37=0,$P$34=0),"",$L$37-1),IF($R$17="Distrato",$E396,0))),0,YEARFRAC(MAX($P$34*($B396+IF($R$17="Distrato",$I$38-1,0)),IF(AND($L$37=0,$P$34=0),"",$L$37-1),IF($R$17="Distrato",$E396,0)),MIN(AB$38,$D$19),$P$20))-SUM($P396:AA396)</f>
        <v>#VALUE!</v>
      </c>
      <c r="AC396" s="446" t="e">
        <f>IF(OR($B396="",MIN(AC$38,$D$19)&lt;MAX($P$34*($B396+IF($R$17="Distrato",$I$38-1,0)),IF(AND($L$37=0,$P$34=0),"",$L$37-1),IF($R$17="Distrato",$E396,0))),0,YEARFRAC(MAX($P$34*($B396+IF($R$17="Distrato",$I$38-1,0)),IF(AND($L$37=0,$P$34=0),"",$L$37-1),IF($R$17="Distrato",$E396,0)),MIN(AC$38,$D$19),$P$20))-SUM($P396:AB396)</f>
        <v>#VALUE!</v>
      </c>
      <c r="AD396" s="446" t="e">
        <f>IF(OR($B396="",MIN(AD$38,$D$19)&lt;MAX($P$34*($B396+IF($R$17="Distrato",$I$38-1,0)),IF(AND($L$37=0,$P$34=0),"",$L$37-1),IF($R$17="Distrato",$E396,0))),0,YEARFRAC(MAX($P$34*($B396+IF($R$17="Distrato",$I$38-1,0)),IF(AND($L$37=0,$P$34=0),"",$L$37-1),IF($R$17="Distrato",$E396,0)),MIN(AD$38,$D$19),$P$20))-SUM($P396:AC396)</f>
        <v>#VALUE!</v>
      </c>
      <c r="AE396" s="446" t="e">
        <f>IF(OR($B396="",MIN(AE$38,$D$19)&lt;MAX($P$34*($B396+IF($R$17="Distrato",$I$38-1,0)),IF(AND($L$37=0,$P$34=0),"",$L$37-1),IF($R$17="Distrato",$E396,0))),0,YEARFRAC(MAX($P$34*($B396+IF($R$17="Distrato",$I$38-1,0)),IF(AND($L$37=0,$P$34=0),"",$L$37-1),IF($R$17="Distrato",$E396,0)),MIN(AE$38,$D$19),$P$20))-SUM($P396:AD396)</f>
        <v>#VALUE!</v>
      </c>
      <c r="AF396" s="446" t="e">
        <f>IF(OR($B396="",MIN(AF$38,$D$19)&lt;MAX($P$34*($B396+IF($R$17="Distrato",$I$38-1,0)),IF(AND($L$37=0,$P$34=0),"",$L$37-1),IF($R$17="Distrato",$E396,0))),0,YEARFRAC(MAX($P$34*($B396+IF($R$17="Distrato",$I$38-1,0)),IF(AND($L$37=0,$P$34=0),"",$L$37-1),IF($R$17="Distrato",$E396,0)),MIN(AF$38,$D$19),$P$20))-SUM($P396:AE396)</f>
        <v>#VALUE!</v>
      </c>
      <c r="AG396" s="446" t="e">
        <f>IF(OR($B396="",MIN(AG$38,$D$19)&lt;MAX($P$34*($B396+IF($R$17="Distrato",$I$38-1,0)),IF(AND($L$37=0,$P$34=0),"",$L$37-1),IF($R$17="Distrato",$E396,0))),0,YEARFRAC(MAX($P$34*($B396+IF($R$17="Distrato",$I$38-1,0)),IF(AND($L$37=0,$P$34=0),"",$L$37-1),IF($R$17="Distrato",$E396,0)),MIN(AG$38,$D$19),$P$20))-SUM($P396:AF396)</f>
        <v>#VALUE!</v>
      </c>
      <c r="AH396" s="446" t="e">
        <f>IF(OR($B396="",MIN(AH$38,$D$19)&lt;MAX($P$34*($B396+IF($R$17="Distrato",$I$38-1,0)),IF(AND($L$37=0,$P$34=0),"",$L$37-1),IF($R$17="Distrato",$E396,0))),0,YEARFRAC(MAX($P$34*($B396+IF($R$17="Distrato",$I$38-1,0)),IF(AND($L$37=0,$P$34=0),"",$L$37-1),IF($R$17="Distrato",$E396,0)),MIN(AH$38,$D$19),$P$20))-SUM($P396:AG396)</f>
        <v>#VALUE!</v>
      </c>
      <c r="AI396" s="446" t="e">
        <f>IF(OR($B396="",MIN(AI$38,$D$19)&lt;MAX($P$34*($B396+IF($R$17="Distrato",$I$38-1,0)),IF(AND($L$37=0,$P$34=0),"",$L$37-1),IF($R$17="Distrato",$E396,0))),0,YEARFRAC(MAX($P$34*($B396+IF($R$17="Distrato",$I$38-1,0)),IF(AND($L$37=0,$P$34=0),"",$L$37-1),IF($R$17="Distrato",$E396,0)),MIN(AI$38,$D$19),$P$20))-SUM($P396:AH396)</f>
        <v>#VALUE!</v>
      </c>
      <c r="AJ396" s="446" t="e">
        <f>IF(OR($B396="",MIN(AJ$38,$D$19)&lt;MAX($P$34*($B396+IF($R$17="Distrato",$I$38-1,0)),IF(AND($L$37=0,$P$34=0),"",$L$37-1),IF($R$17="Distrato",$E396,0))),0,YEARFRAC(MAX($P$34*($B396+IF($R$17="Distrato",$I$38-1,0)),IF(AND($L$37=0,$P$34=0),"",$L$37-1),IF($R$17="Distrato",$E396,0)),MIN(AJ$38,$D$19),$P$20))-SUM($P396:AI396)</f>
        <v>#VALUE!</v>
      </c>
      <c r="AK396" s="446" t="e">
        <f>IF(OR($B396="",MIN(AK$38,$D$19)&lt;MAX($P$34*($B396+IF($R$17="Distrato",$I$38-1,0)),IF(AND($L$37=0,$P$34=0),"",$L$37-1),IF($R$17="Distrato",$E396,0))),0,YEARFRAC(MAX($P$34*($B396+IF($R$17="Distrato",$I$38-1,0)),IF(AND($L$37=0,$P$34=0),"",$L$37-1),IF($R$17="Distrato",$E396,0)),MIN(AK$38,$D$19),$P$20))-SUM($P396:AJ396)</f>
        <v>#VALUE!</v>
      </c>
      <c r="AL396" s="446" t="e">
        <f>IF(OR($B396="",MIN(AL$38,$D$19)&lt;MAX($P$34*($B396+IF($R$17="Distrato",$I$38-1,0)),IF(AND($L$37=0,$P$34=0),"",$L$37-1),IF($R$17="Distrato",$E396,0))),0,YEARFRAC(MAX($P$34*($B396+IF($R$17="Distrato",$I$38-1,0)),IF(AND($L$37=0,$P$34=0),"",$L$37-1),IF($R$17="Distrato",$E396,0)),MIN(AL$38,$D$19),$P$20))-SUM($P396:AK396)</f>
        <v>#VALUE!</v>
      </c>
      <c r="AM396" s="446" t="e">
        <f>IF(OR($B396="",MIN(AM$38,$D$19)&lt;MAX($P$34*($B396+IF($R$17="Distrato",$I$38-1,0)),IF(AND($L$37=0,$P$34=0),"",$L$37-1),IF($R$17="Distrato",$E396,0))),0,YEARFRAC(MAX($P$34*($B396+IF($R$17="Distrato",$I$38-1,0)),IF(AND($L$37=0,$P$34=0),"",$L$37-1),IF($R$17="Distrato",$E396,0)),MIN(AM$38,$D$19),$P$20))-SUM($P396:AL396)</f>
        <v>#VALUE!</v>
      </c>
      <c r="AN396" s="446" t="e">
        <f>IF(OR($B396="",MIN(AN$38,$D$19)&lt;MAX($P$34*($B396+IF($R$17="Distrato",$I$38-1,0)),IF(AND($L$37=0,$P$34=0),"",$L$37-1),IF($R$17="Distrato",$E396,0))),0,YEARFRAC(MAX($P$34*($B396+IF($R$17="Distrato",$I$38-1,0)),IF(AND($L$37=0,$P$34=0),"",$L$37-1),IF($R$17="Distrato",$E396,0)),MIN(AN$38,$D$19),$P$20))-SUM($P396:AM396)</f>
        <v>#VALUE!</v>
      </c>
      <c r="AO396" s="446" t="e">
        <f>IF(OR($B396="",MIN(AO$38,$D$19)&lt;MAX($P$34*($B396+IF($R$17="Distrato",$I$38-1,0)),IF(AND($L$37=0,$P$34=0),"",$L$37-1),IF($R$17="Distrato",$E396,0))),0,YEARFRAC(MAX($P$34*($B396+IF($R$17="Distrato",$I$38-1,0)),IF(AND($L$37=0,$P$34=0),"",$L$37-1),IF($R$17="Distrato",$E396,0)),MIN(AO$38,$D$19),$P$20))-SUM($P396:AN396)</f>
        <v>#VALUE!</v>
      </c>
      <c r="AP396" s="446" t="e">
        <f>IF(OR($B396="",MIN(AP$38,$D$19)&lt;MAX($P$34*($B396+IF($R$17="Distrato",$I$38-1,0)),IF(AND($L$37=0,$P$34=0),"",$L$37-1),IF($R$17="Distrato",$E396,0))),0,YEARFRAC(MAX($P$34*($B396+IF($R$17="Distrato",$I$38-1,0)),IF(AND($L$37=0,$P$34=0),"",$L$37-1),IF($R$17="Distrato",$E396,0)),MIN(AP$38,$D$19),$P$20))-SUM($P396:AO396)</f>
        <v>#VALUE!</v>
      </c>
      <c r="AQ396" s="446" t="e">
        <f>IF(OR($B396="",MIN(AQ$38,$D$19)&lt;MAX($P$34*($B396+IF($R$17="Distrato",$I$38-1,0)),IF(AND($L$37=0,$P$34=0),"",$L$37-1),IF($R$17="Distrato",$E396,0))),0,YEARFRAC(MAX($P$34*($B396+IF($R$17="Distrato",$I$38-1,0)),IF(AND($L$37=0,$P$34=0),"",$L$37-1),IF($R$17="Distrato",$E396,0)),MIN(AQ$38,$D$19),$P$20))-SUM($P396:AP396)</f>
        <v>#VALUE!</v>
      </c>
      <c r="AR396" s="446" t="e">
        <f>IF(OR($B396="",MIN(AR$38,$D$19)&lt;MAX($P$34*($B396+IF($R$17="Distrato",$I$38-1,0)),IF(AND($L$37=0,$P$34=0),"",$L$37-1),IF($R$17="Distrato",$E396,0))),0,YEARFRAC(MAX($P$34*($B396+IF($R$17="Distrato",$I$38-1,0)),IF(AND($L$37=0,$P$34=0),"",$L$37-1),IF($R$17="Distrato",$E396,0)),MIN(AR$38,$D$19),$P$20))-SUM($P396:AQ396)</f>
        <v>#VALUE!</v>
      </c>
      <c r="AS396" s="446" t="e">
        <f>IF(OR($B396="",MIN(AS$38,$D$19)&lt;MAX($P$34*($B396+IF($R$17="Distrato",$I$38-1,0)),IF(AND($L$37=0,$P$34=0),"",$L$37-1),IF($R$17="Distrato",$E396,0))),0,YEARFRAC(MAX($P$34*($B396+IF($R$17="Distrato",$I$38-1,0)),IF(AND($L$37=0,$P$34=0),"",$L$37-1),IF($R$17="Distrato",$E396,0)),MIN(AS$38,$D$19),$P$20))-SUM($P396:AR396)</f>
        <v>#VALUE!</v>
      </c>
      <c r="AT396" s="446" t="e">
        <f>IF(OR($B396="",MIN(AT$38,$D$19)&lt;MAX($P$34*($B396+IF($R$17="Distrato",$I$38-1,0)),IF(AND($L$37=0,$P$34=0),"",$L$37-1),IF($R$17="Distrato",$E396,0))),0,YEARFRAC(MAX($P$34*($B396+IF($R$17="Distrato",$I$38-1,0)),IF(AND($L$37=0,$P$34=0),"",$L$37-1),IF($R$17="Distrato",$E396,0)),MIN(AT$38,$D$19),$P$20))-SUM($P396:AS396)</f>
        <v>#VALUE!</v>
      </c>
      <c r="AU396" s="446" t="e">
        <f>IF(OR($B396="",MIN(AU$38,$D$19)&lt;MAX($P$34*($B396+IF($R$17="Distrato",$I$38-1,0)),IF(AND($L$37=0,$P$34=0),"",$L$37-1),IF($R$17="Distrato",$E396,0))),0,YEARFRAC(MAX($P$34*($B396+IF($R$17="Distrato",$I$38-1,0)),IF(AND($L$37=0,$P$34=0),"",$L$37-1),IF($R$17="Distrato",$E396,0)),MIN(AU$38,$D$19),$P$20))-SUM($P396:AT396)</f>
        <v>#VALUE!</v>
      </c>
      <c r="AV396" s="446" t="e">
        <f>IF(OR($B396="",MIN(AV$38,$D$19)&lt;MAX($P$34*($B396+IF($R$17="Distrato",$I$38-1,0)),IF(AND($L$37=0,$P$34=0),"",$L$37-1),IF($R$17="Distrato",$E396,0))),0,YEARFRAC(MAX($P$34*($B396+IF($R$17="Distrato",$I$38-1,0)),IF(AND($L$37=0,$P$34=0),"",$L$37-1),IF($R$17="Distrato",$E396,0)),MIN(AV$38,$D$19),$P$20))-SUM($P396:AU396)</f>
        <v>#VALUE!</v>
      </c>
      <c r="AW396" s="446" t="e">
        <f>IF(OR($B396="",MIN(AW$38,$D$19)&lt;MAX($P$34*($B396+IF($R$17="Distrato",$I$38-1,0)),IF(AND($L$37=0,$P$34=0),"",$L$37-1),IF($R$17="Distrato",$E396,0))),0,YEARFRAC(MAX($P$34*($B396+IF($R$17="Distrato",$I$38-1,0)),IF(AND($L$37=0,$P$34=0),"",$L$37-1),IF($R$17="Distrato",$E396,0)),MIN(AW$38,$D$19),$P$20))-SUM($P396:AV396)</f>
        <v>#VALUE!</v>
      </c>
      <c r="AX396" s="446" t="e">
        <f>IF(OR($B396="",MIN(AX$38,$D$19)&lt;MAX($P$34*($B396+IF($R$17="Distrato",$I$38-1,0)),IF(AND($L$37=0,$P$34=0),"",$L$37-1),IF($R$17="Distrato",$E396,0))),0,YEARFRAC(MAX($P$34*($B396+IF($R$17="Distrato",$I$38-1,0)),IF(AND($L$37=0,$P$34=0),"",$L$37-1),IF($R$17="Distrato",$E396,0)),MIN(AX$38,$D$19),$P$20))-SUM($P396:AW396)</f>
        <v>#VALUE!</v>
      </c>
      <c r="AY396" s="446" t="e">
        <f>IF(OR($B396="",MIN(AY$38,$D$19)&lt;MAX($P$34*($B396+IF($R$17="Distrato",$I$38-1,0)),IF(AND($L$37=0,$P$34=0),"",$L$37-1),IF($R$17="Distrato",$E396,0))),0,YEARFRAC(MAX($P$34*($B396+IF($R$17="Distrato",$I$38-1,0)),IF(AND($L$37=0,$P$34=0),"",$L$37-1),IF($R$17="Distrato",$E396,0)),MIN(AY$38,$D$19),$P$20))-SUM($P396:AX396)</f>
        <v>#VALUE!</v>
      </c>
      <c r="AZ396" s="446" t="e">
        <f>IF(OR($B396="",MIN(AZ$38,$D$19)&lt;MAX($P$34*($B396+IF($R$17="Distrato",$I$38-1,0)),IF(AND($L$37=0,$P$34=0),"",$L$37-1),IF($R$17="Distrato",$E396,0))),0,YEARFRAC(MAX($P$34*($B396+IF($R$17="Distrato",$I$38-1,0)),IF(AND($L$37=0,$P$34=0),"",$L$37-1),IF($R$17="Distrato",$E396,0)),MIN(AZ$38,$D$19),$P$20))-SUM($P396:AY396)</f>
        <v>#VALUE!</v>
      </c>
      <c r="BA396" s="446" t="e">
        <f>IF(OR($B396="",MIN(BA$38,$D$19)&lt;MAX($P$34*($B396+IF($R$17="Distrato",$I$38-1,0)),IF(AND($L$37=0,$P$34=0),"",$L$37-1),IF($R$17="Distrato",$E396,0))),0,YEARFRAC(MAX($P$34*($B396+IF($R$17="Distrato",$I$38-1,0)),IF(AND($L$37=0,$P$34=0),"",$L$37-1),IF($R$17="Distrato",$E396,0)),MIN(BA$38,$D$19),$P$20))-SUM($P396:AZ396)</f>
        <v>#VALUE!</v>
      </c>
      <c r="BB396" s="447"/>
      <c r="BF396" s="446">
        <f t="shared" si="65"/>
        <v>0</v>
      </c>
      <c r="BG396" s="446">
        <f>IF($E396=0,0,IF(MIN(BG$38,$E396)&lt;MAX($P$34*($B396+$I$38-1),IF(AND($L$37=0,$P$34=0),"",$L$37-1)),0,YEARFRAC(MAX($P$34*($B396+$I$38-1),IF(AND($L$37=0,$P$34=0),"",$L$37-1)),MIN(BG$38,$E396),$P$20))-SUM($BF396:BF396))</f>
        <v>0</v>
      </c>
      <c r="BH396" s="446">
        <f>IF($E396=0,0,IF(MIN(BH$38,$E396)&lt;MAX($P$34*($B396+$I$38-1),IF(AND($L$37=0,$P$34=0),"",$L$37-1)),0,YEARFRAC(MAX($P$34*($B396+$I$38-1),IF(AND($L$37=0,$P$34=0),"",$L$37-1)),MIN(BH$38,$E396),$P$20))-SUM($BF396:BG396))</f>
        <v>0</v>
      </c>
      <c r="BI396" s="446">
        <f>IF($E396=0,0,IF(MIN(BI$38,$E396)&lt;MAX($P$34*($B396+$I$38-1),IF(AND($L$37=0,$P$34=0),"",$L$37-1)),0,YEARFRAC(MAX($P$34*($B396+$I$38-1),IF(AND($L$37=0,$P$34=0),"",$L$37-1)),MIN(BI$38,$E396),$P$20))-SUM($BF396:BH396))</f>
        <v>0</v>
      </c>
      <c r="BJ396" s="446">
        <f>IF($E396=0,0,IF(MIN(BJ$38,$E396)&lt;MAX($P$34*($B396+$I$38-1),IF(AND($L$37=0,$P$34=0),"",$L$37-1)),0,YEARFRAC(MAX($P$34*($B396+$I$38-1),IF(AND($L$37=0,$P$34=0),"",$L$37-1)),MIN(BJ$38,$E396),$P$20))-SUM($BF396:BI396))</f>
        <v>0</v>
      </c>
      <c r="BK396" s="446">
        <f>IF($E396=0,0,IF(MIN(BK$38,$E396)&lt;MAX($P$34*($B396+$I$38-1),IF(AND($L$37=0,$P$34=0),"",$L$37-1)),0,YEARFRAC(MAX($P$34*($B396+$I$38-1),IF(AND($L$37=0,$P$34=0),"",$L$37-1)),MIN(BK$38,$E396),$P$20))-SUM($BF396:BJ396))</f>
        <v>0</v>
      </c>
      <c r="BL396" s="446">
        <f>IF($E396=0,0,IF(MIN(BL$38,$E396)&lt;MAX($P$34*($B396+$I$38-1),IF(AND($L$37=0,$P$34=0),"",$L$37-1)),0,YEARFRAC(MAX($P$34*($B396+$I$38-1),IF(AND($L$37=0,$P$34=0),"",$L$37-1)),MIN(BL$38,$E396),$P$20))-SUM($BF396:BK396))</f>
        <v>0</v>
      </c>
      <c r="BM396" s="446">
        <f>IF($E396=0,0,IF(MIN(BM$38,$E396)&lt;MAX($P$34*($B396+$I$38-1),IF(AND($L$37=0,$P$34=0),"",$L$37-1)),0,YEARFRAC(MAX($P$34*($B396+$I$38-1),IF(AND($L$37=0,$P$34=0),"",$L$37-1)),MIN(BM$38,$E396),$P$20))-SUM($BF396:BL396))</f>
        <v>0</v>
      </c>
      <c r="BN396" s="446">
        <f>IF($E396=0,0,IF(MIN(BN$38,$E396)&lt;MAX($P$34*($B396+$I$38-1),IF(AND($L$37=0,$P$34=0),"",$L$37-1)),0,YEARFRAC(MAX($P$34*($B396+$I$38-1),IF(AND($L$37=0,$P$34=0),"",$L$37-1)),MIN(BN$38,$E396),$P$20))-SUM($BF396:BM396))</f>
        <v>0</v>
      </c>
      <c r="BO396" s="446">
        <f>IF($E396=0,0,IF(MIN(BO$38,$E396)&lt;MAX($P$34*($B396+$I$38-1),IF(AND($L$37=0,$P$34=0),"",$L$37-1)),0,YEARFRAC(MAX($P$34*($B396+$I$38-1),IF(AND($L$37=0,$P$34=0),"",$L$37-1)),MIN(BO$38,$E396),$P$20))-SUM($BF396:BN396))</f>
        <v>0</v>
      </c>
      <c r="BP396" s="446">
        <f>IF($E396=0,0,IF(MIN(BP$38,$E396)&lt;MAX($P$34*($B396+$I$38-1),IF(AND($L$37=0,$P$34=0),"",$L$37-1)),0,YEARFRAC(MAX($P$34*($B396+$I$38-1),IF(AND($L$37=0,$P$34=0),"",$L$37-1)),MIN(BP$38,$E396),$P$20))-SUM($BF396:BO396))</f>
        <v>0</v>
      </c>
      <c r="BQ396" s="446">
        <f>IF($E396=0,0,IF(MIN(BQ$38,$E396)&lt;MAX($P$34*($B396+$I$38-1),IF(AND($L$37=0,$P$34=0),"",$L$37-1)),0,YEARFRAC(MAX($P$34*($B396+$I$38-1),IF(AND($L$37=0,$P$34=0),"",$L$37-1)),MIN(BQ$38,$E396),$P$20))-SUM($BF396:BP396))</f>
        <v>0</v>
      </c>
      <c r="BR396" s="446">
        <f>IF($E396=0,0,IF(MIN(BR$38,$E396)&lt;MAX($P$34*($B396+$I$38-1),IF(AND($L$37=0,$P$34=0),"",$L$37-1)),0,YEARFRAC(MAX($P$34*($B396+$I$38-1),IF(AND($L$37=0,$P$34=0),"",$L$37-1)),MIN(BR$38,$E396),$P$20))-SUM($BF396:BQ396))</f>
        <v>0</v>
      </c>
      <c r="BS396" s="446">
        <f>IF($E396=0,0,IF(MIN(BS$38,$E396)&lt;MAX($P$34*($B396+$I$38-1),IF(AND($L$37=0,$P$34=0),"",$L$37-1)),0,YEARFRAC(MAX($P$34*($B396+$I$38-1),IF(AND($L$37=0,$P$34=0),"",$L$37-1)),MIN(BS$38,$E396),$P$20))-SUM($BF396:BR396))</f>
        <v>0</v>
      </c>
      <c r="BT396" s="446">
        <f>IF($E396=0,0,IF(MIN(BT$38,$E396)&lt;MAX($P$34*($B396+$I$38-1),IF(AND($L$37=0,$P$34=0),"",$L$37-1)),0,YEARFRAC(MAX($P$34*($B396+$I$38-1),IF(AND($L$37=0,$P$34=0),"",$L$37-1)),MIN(BT$38,$E396),$P$20))-SUM($BF396:BS396))</f>
        <v>0</v>
      </c>
      <c r="BU396" s="446">
        <f>IF($E396=0,0,IF(MIN(BU$38,$E396)&lt;MAX($P$34*($B396+$I$38-1),IF(AND($L$37=0,$P$34=0),"",$L$37-1)),0,YEARFRAC(MAX($P$34*($B396+$I$38-1),IF(AND($L$37=0,$P$34=0),"",$L$37-1)),MIN(BU$38,$E396),$P$20))-SUM($BF396:BT396))</f>
        <v>0</v>
      </c>
      <c r="BV396" s="446">
        <f>IF($E396=0,0,IF(MIN(BV$38,$E396)&lt;MAX($P$34*($B396+$I$38-1),IF(AND($L$37=0,$P$34=0),"",$L$37-1)),0,YEARFRAC(MAX($P$34*($B396+$I$38-1),IF(AND($L$37=0,$P$34=0),"",$L$37-1)),MIN(BV$38,$E396),$P$20))-SUM($BF396:BU396))</f>
        <v>0</v>
      </c>
      <c r="BW396" s="446">
        <f>IF($E396=0,0,IF(MIN(BW$38,$E396)&lt;MAX($P$34*($B396+$I$38-1),IF(AND($L$37=0,$P$34=0),"",$L$37-1)),0,YEARFRAC(MAX($P$34*($B396+$I$38-1),IF(AND($L$37=0,$P$34=0),"",$L$37-1)),MIN(BW$38,$E396),$P$20))-SUM($BF396:BV396))</f>
        <v>0</v>
      </c>
      <c r="BX396" s="446">
        <f>IF($E396=0,0,IF(MIN(BX$38,$E396)&lt;MAX($P$34*($B396+$I$38-1),IF(AND($L$37=0,$P$34=0),"",$L$37-1)),0,YEARFRAC(MAX($P$34*($B396+$I$38-1),IF(AND($L$37=0,$P$34=0),"",$L$37-1)),MIN(BX$38,$E396),$P$20))-SUM($BF396:BW396))</f>
        <v>0</v>
      </c>
      <c r="BY396" s="446">
        <f>IF($E396=0,0,IF(MIN(BY$38,$E396)&lt;MAX($P$34*($B396+$I$38-1),IF(AND($L$37=0,$P$34=0),"",$L$37-1)),0,YEARFRAC(MAX($P$34*($B396+$I$38-1),IF(AND($L$37=0,$P$34=0),"",$L$37-1)),MIN(BY$38,$E396),$P$20))-SUM($BF396:BX396))</f>
        <v>0</v>
      </c>
      <c r="BZ396" s="446">
        <f>IF($E396=0,0,IF(MIN(BZ$38,$E396)&lt;MAX($P$34*($B396+$I$38-1),IF(AND($L$37=0,$P$34=0),"",$L$37-1)),0,YEARFRAC(MAX($P$34*($B396+$I$38-1),IF(AND($L$37=0,$P$34=0),"",$L$37-1)),MIN(BZ$38,$E396),$P$20))-SUM($BF396:BY396))</f>
        <v>0</v>
      </c>
      <c r="CA396" s="446">
        <f>IF($E396=0,0,IF(MIN(CA$38,$E396)&lt;MAX($P$34*($B396+$I$38-1),IF(AND($L$37=0,$P$34=0),"",$L$37-1)),0,YEARFRAC(MAX($P$34*($B396+$I$38-1),IF(AND($L$37=0,$P$34=0),"",$L$37-1)),MIN(CA$38,$E396),$P$20))-SUM($BF396:BZ396))</f>
        <v>0</v>
      </c>
      <c r="CB396" s="446">
        <f>IF($E396=0,0,IF(MIN(CB$38,$E396)&lt;MAX($P$34*($B396+$I$38-1),IF(AND($L$37=0,$P$34=0),"",$L$37-1)),0,YEARFRAC(MAX($P$34*($B396+$I$38-1),IF(AND($L$37=0,$P$34=0),"",$L$37-1)),MIN(CB$38,$E396),$P$20))-SUM($BF396:CA396))</f>
        <v>0</v>
      </c>
      <c r="CC396" s="446">
        <f>IF($E396=0,0,IF(MIN(CC$38,$E396)&lt;MAX($P$34*($B396+$I$38-1),IF(AND($L$37=0,$P$34=0),"",$L$37-1)),0,YEARFRAC(MAX($P$34*($B396+$I$38-1),IF(AND($L$37=0,$P$34=0),"",$L$37-1)),MIN(CC$38,$E396),$P$20))-SUM($BF396:CB396))</f>
        <v>0</v>
      </c>
      <c r="CD396" s="446">
        <f>IF($E396=0,0,IF(MIN(CD$38,$E396)&lt;MAX($P$34*($B396+$I$38-1),IF(AND($L$37=0,$P$34=0),"",$L$37-1)),0,YEARFRAC(MAX($P$34*($B396+$I$38-1),IF(AND($L$37=0,$P$34=0),"",$L$37-1)),MIN(CD$38,$E396),$P$20))-SUM($BF396:CC396))</f>
        <v>0</v>
      </c>
      <c r="CE396" s="446">
        <f>IF($E396=0,0,IF(MIN(CE$38,$E396)&lt;MAX($P$34*($B396+$I$38-1),IF(AND($L$37=0,$P$34=0),"",$L$37-1)),0,YEARFRAC(MAX($P$34*($B396+$I$38-1),IF(AND($L$37=0,$P$34=0),"",$L$37-1)),MIN(CE$38,$E396),$P$20))-SUM($BF396:CD396))</f>
        <v>0</v>
      </c>
      <c r="CF396" s="446">
        <f>IF($E396=0,0,IF(MIN(CF$38,$E396)&lt;MAX($P$34*($B396+$I$38-1),IF(AND($L$37=0,$P$34=0),"",$L$37-1)),0,YEARFRAC(MAX($P$34*($B396+$I$38-1),IF(AND($L$37=0,$P$34=0),"",$L$37-1)),MIN(CF$38,$E396),$P$20))-SUM($BF396:CE396))</f>
        <v>0</v>
      </c>
      <c r="CG396" s="446">
        <f>IF($E396=0,0,IF(MIN(CG$38,$E396)&lt;MAX($P$34*($B396+$I$38-1),IF(AND($L$37=0,$P$34=0),"",$L$37-1)),0,YEARFRAC(MAX($P$34*($B396+$I$38-1),IF(AND($L$37=0,$P$34=0),"",$L$37-1)),MIN(CG$38,$E396),$P$20))-SUM($BF396:CF396))</f>
        <v>0</v>
      </c>
      <c r="CH396" s="446">
        <f>IF($E396=0,0,IF(MIN(CH$38,$E396)&lt;MAX($P$34*($B396+$I$38-1),IF(AND($L$37=0,$P$34=0),"",$L$37-1)),0,YEARFRAC(MAX($P$34*($B396+$I$38-1),IF(AND($L$37=0,$P$34=0),"",$L$37-1)),MIN(CH$38,$E396),$P$20))-SUM($BF396:CG396))</f>
        <v>0</v>
      </c>
      <c r="CI396" s="446">
        <f>IF($E396=0,0,IF(MIN(CI$38,$E396)&lt;MAX($P$34*($B396+$I$38-1),IF(AND($L$37=0,$P$34=0),"",$L$37-1)),0,YEARFRAC(MAX($P$34*($B396+$I$38-1),IF(AND($L$37=0,$P$34=0),"",$L$37-1)),MIN(CI$38,$E396),$P$20))-SUM($BF396:CH396))</f>
        <v>0</v>
      </c>
      <c r="CJ396" s="446">
        <f>IF($E396=0,0,IF(MIN(CJ$38,$E396)&lt;MAX($P$34*($B396+$I$38-1),IF(AND($L$37=0,$P$34=0),"",$L$37-1)),0,YEARFRAC(MAX($P$34*($B396+$I$38-1),IF(AND($L$37=0,$P$34=0),"",$L$37-1)),MIN(CJ$38,$E396),$P$20))-SUM($BF396:CI396))</f>
        <v>0</v>
      </c>
      <c r="CK396" s="446">
        <f>IF($E396=0,0,IF(MIN(CK$38,$E396)&lt;MAX($P$34*($B396+$I$38-1),IF(AND($L$37=0,$P$34=0),"",$L$37-1)),0,YEARFRAC(MAX($P$34*($B396+$I$38-1),IF(AND($L$37=0,$P$34=0),"",$L$37-1)),MIN(CK$38,$E396),$P$20))-SUM($BF396:CJ396))</f>
        <v>0</v>
      </c>
      <c r="CL396" s="446">
        <f>IF($E396=0,0,IF(MIN(CL$38,$E396)&lt;MAX($P$34*($B396+$I$38-1),IF(AND($L$37=0,$P$34=0),"",$L$37-1)),0,YEARFRAC(MAX($P$34*($B396+$I$38-1),IF(AND($L$37=0,$P$34=0),"",$L$37-1)),MIN(CL$38,$E396),$P$20))-SUM($BF396:CK396))</f>
        <v>0</v>
      </c>
      <c r="CM396" s="446">
        <f>IF($E396=0,0,IF(MIN(CM$38,$E396)&lt;MAX($P$34*($B396+$I$38-1),IF(AND($L$37=0,$P$34=0),"",$L$37-1)),0,YEARFRAC(MAX($P$34*($B396+$I$38-1),IF(AND($L$37=0,$P$34=0),"",$L$37-1)),MIN(CM$38,$E396),$P$20))-SUM($BF396:CL396))</f>
        <v>0</v>
      </c>
      <c r="CN396" s="446">
        <f>IF($E396=0,0,IF(MIN(CN$38,$E396)&lt;MAX($P$34*($B396+$I$38-1),IF(AND($L$37=0,$P$34=0),"",$L$37-1)),0,YEARFRAC(MAX($P$34*($B396+$I$38-1),IF(AND($L$37=0,$P$34=0),"",$L$37-1)),MIN(CN$38,$E396),$P$20))-SUM($BF396:CM396))</f>
        <v>0</v>
      </c>
      <c r="CO396" s="446">
        <f>IF($E396=0,0,IF(MIN(CO$38,$E396)&lt;MAX($P$34*($B396+$I$38-1),IF(AND($L$37=0,$P$34=0),"",$L$37-1)),0,YEARFRAC(MAX($P$34*($B396+$I$38-1),IF(AND($L$37=0,$P$34=0),"",$L$37-1)),MIN(CO$38,$E396),$P$20))-SUM($BF396:CN396))</f>
        <v>0</v>
      </c>
      <c r="CP396" s="446">
        <f>IF($E396=0,0,IF(MIN(CP$38,$E396)&lt;MAX($P$34*($B396+$I$38-1),IF(AND($L$37=0,$P$34=0),"",$L$37-1)),0,YEARFRAC(MAX($P$34*($B396+$I$38-1),IF(AND($L$37=0,$P$34=0),"",$L$37-1)),MIN(CP$38,$E396),$P$20))-SUM($BF396:CO396))</f>
        <v>0</v>
      </c>
      <c r="CQ396" s="446">
        <f>IF($E396=0,0,IF(MIN(CQ$38,$E396)&lt;MAX($P$34*($B396+$I$38-1),IF(AND($L$37=0,$P$34=0),"",$L$37-1)),0,YEARFRAC(MAX($P$34*($B396+$I$38-1),IF(AND($L$37=0,$P$34=0),"",$L$37-1)),MIN(CQ$38,$E396),$P$20))-SUM($BF396:CP396))</f>
        <v>0</v>
      </c>
    </row>
    <row r="397" spans="1:95" s="446" customFormat="1" ht="11.25" hidden="1" customHeight="1" x14ac:dyDescent="0.2">
      <c r="A397" s="152"/>
      <c r="B397" s="153" t="str">
        <f t="shared" si="70"/>
        <v/>
      </c>
      <c r="C397" s="29" t="str">
        <f>IF(B397="","",IF($L$35="SELIC - TRIBUTOS",VLOOKUP(DATE(YEAR($D$19),MONTH($D$19)-1,1),ÍNDICES!$A:$DE,HLOOKUP($BL$25,ÍNDICES!$B$3:$T$4,2)+11)-VLOOKUP(B397,ÍNDICES!$A:$DE,HLOOKUP($BL$25,ÍNDICES!$B$3:$T$4,2)+11)+1%,IF(C$38=$W$26,$J$35,IF(ISERROR(IF(B397&gt;$D$19,1,VLOOKUP(DATE(YEAR(B397),MONTH(B397)+IF($C$35=$S$23,1,0),1),ÍNDICES!$A:$DE,$Z$35+1))),"",IF(B397&gt;$D$19,1,VLOOKUP(DATE(YEAR(B397),MONTH(B397)+IF($C$35=$S$23,1,0),1),ÍNDICES!$A:$DE,$Z$35+1))))))</f>
        <v/>
      </c>
      <c r="D397" s="154" t="str">
        <f>IF(ISERROR(IF(OR($D$38=$Y$27,$B397=""),"",VLOOKUP(B397,ÍNDICES!A:DE,AF$35+1))),"",IF(OR($D$38=$Y$27,$B397=""),"",VLOOKUP(B397,ÍNDICES!A:DE,AF$35+1)))</f>
        <v/>
      </c>
      <c r="E397" s="153"/>
      <c r="F397" s="29" t="str">
        <f>IF(E397="","",IF($L$35="SELIC - TRIBUTOS",VLOOKUP(DATE(YEAR($D$19),MONTH($D$19)-1,1),ÍNDICES!$A:$DE,HLOOKUP($BL$25,ÍNDICES!$B$3:$T$4,2)+11)-VLOOKUP(E397,ÍNDICES!$A:$DE,HLOOKUP($BL$25,ÍNDICES!$B$3:$T$4,2)+11)+1%,IF(F$38=$W$26,$J$35,IF(ISERROR(IF(E397&gt;$D$19,1,VLOOKUP(DATE(YEAR(E397),MONTH(E397)+IF($C$35=$S$23,1,0),1),ÍNDICES!$A:$DE,$Z$35+1))),"",IF(E397&gt;$D$19,1,VLOOKUP(DATE(YEAR(E397),MONTH(E397)+IF($C$35=$S$23,1,0),1),ÍNDICES!$A:$DE,$Z$35+1))))))</f>
        <v/>
      </c>
      <c r="G397" s="155"/>
      <c r="H397" s="156" t="str">
        <f t="shared" si="66"/>
        <v/>
      </c>
      <c r="I397" s="29" t="str">
        <f t="shared" si="60"/>
        <v/>
      </c>
      <c r="J397" s="5">
        <f t="shared" si="61"/>
        <v>0</v>
      </c>
      <c r="K397" s="20">
        <f t="shared" ca="1" si="62"/>
        <v>0</v>
      </c>
      <c r="L397" s="5">
        <f t="shared" ca="1" si="63"/>
        <v>0</v>
      </c>
      <c r="M397" s="64">
        <f t="shared" si="67"/>
        <v>0</v>
      </c>
      <c r="N397" s="61">
        <f t="shared" ca="1" si="68"/>
        <v>0</v>
      </c>
      <c r="O397" s="5">
        <f t="shared" ca="1" si="69"/>
        <v>0</v>
      </c>
      <c r="P397" s="446" t="e">
        <f t="shared" si="64"/>
        <v>#VALUE!</v>
      </c>
      <c r="Q397" s="446" t="e">
        <f>IF(OR($B397="",MIN(Q$38,$D$19)&lt;MAX($P$34*($B397+IF($R$17="Distrato",$I$38-1,0)),IF(AND($L$37=0,$P$34=0),"",$L$37-1),IF($R$17="Distrato",$E397,0))),0,YEARFRAC(MAX($P$34*($B397+IF($R$17="Distrato",$I$38-1,0)),IF(AND($L$37=0,$P$34=0),"",$L$37-1),IF($R$17="Distrato",$E397,0)),MIN(Q$38,$D$19),$P$20))-SUM($P397:P397)</f>
        <v>#VALUE!</v>
      </c>
      <c r="R397" s="446" t="e">
        <f>IF(OR($B397="",MIN(R$38,$D$19)&lt;MAX($P$34*($B397+IF($R$17="Distrato",$I$38-1,0)),IF(AND($L$37=0,$P$34=0),"",$L$37-1),IF($R$17="Distrato",$E397,0))),0,YEARFRAC(MAX($P$34*($B397+IF($R$17="Distrato",$I$38-1,0)),IF(AND($L$37=0,$P$34=0),"",$L$37-1),IF($R$17="Distrato",$E397,0)),MIN(R$38,$D$19),$P$20))-SUM($P397:Q397)</f>
        <v>#VALUE!</v>
      </c>
      <c r="S397" s="446" t="e">
        <f>IF(OR($B397="",MIN(S$38,$D$19)&lt;MAX($P$34*($B397+IF($R$17="Distrato",$I$38-1,0)),IF(AND($L$37=0,$P$34=0),"",$L$37-1),IF($R$17="Distrato",$E397,0))),0,YEARFRAC(MAX($P$34*($B397+IF($R$17="Distrato",$I$38-1,0)),IF(AND($L$37=0,$P$34=0),"",$L$37-1),IF($R$17="Distrato",$E397,0)),MIN(S$38,$D$19),$P$20))-SUM($P397:R397)</f>
        <v>#VALUE!</v>
      </c>
      <c r="T397" s="446" t="e">
        <f>IF(OR($B397="",MIN(T$38,$D$19)&lt;MAX($P$34*($B397+IF($R$17="Distrato",$I$38-1,0)),IF(AND($L$37=0,$P$34=0),"",$L$37-1),IF($R$17="Distrato",$E397,0))),0,YEARFRAC(MAX($P$34*($B397+IF($R$17="Distrato",$I$38-1,0)),IF(AND($L$37=0,$P$34=0),"",$L$37-1),IF($R$17="Distrato",$E397,0)),MIN(T$38,$D$19),$P$20))-SUM($P397:S397)</f>
        <v>#VALUE!</v>
      </c>
      <c r="U397" s="446" t="e">
        <f>IF(OR($B397="",MIN(U$38,$D$19)&lt;MAX($P$34*($B397+IF($R$17="Distrato",$I$38-1,0)),IF(AND($L$37=0,$P$34=0),"",$L$37-1),IF($R$17="Distrato",$E397,0))),0,YEARFRAC(MAX($P$34*($B397+IF($R$17="Distrato",$I$38-1,0)),IF(AND($L$37=0,$P$34=0),"",$L$37-1),IF($R$17="Distrato",$E397,0)),MIN(U$38,$D$19),$P$20))-SUM($P397:T397)</f>
        <v>#VALUE!</v>
      </c>
      <c r="V397" s="446" t="e">
        <f>IF(OR($B397="",MIN(V$38,$D$19)&lt;MAX($P$34*($B397+IF($R$17="Distrato",$I$38-1,0)),IF(AND($L$37=0,$P$34=0),"",$L$37-1),IF($R$17="Distrato",$E397,0))),0,YEARFRAC(MAX($P$34*($B397+IF($R$17="Distrato",$I$38-1,0)),IF(AND($L$37=0,$P$34=0),"",$L$37-1),IF($R$17="Distrato",$E397,0)),MIN(V$38,$D$19),$P$20))-SUM($P397:U397)</f>
        <v>#VALUE!</v>
      </c>
      <c r="W397" s="446" t="e">
        <f>IF(OR($B397="",MIN(W$38,$D$19)&lt;MAX($P$34*($B397+IF($R$17="Distrato",$I$38-1,0)),IF(AND($L$37=0,$P$34=0),"",$L$37-1),IF($R$17="Distrato",$E397,0))),0,YEARFRAC(MAX($P$34*($B397+IF($R$17="Distrato",$I$38-1,0)),IF(AND($L$37=0,$P$34=0),"",$L$37-1),IF($R$17="Distrato",$E397,0)),MIN(W$38,$D$19),$P$20))-SUM($P397:V397)</f>
        <v>#VALUE!</v>
      </c>
      <c r="X397" s="446" t="e">
        <f>IF(OR($B397="",MIN(X$38,$D$19)&lt;MAX($P$34*($B397+IF($R$17="Distrato",$I$38-1,0)),IF(AND($L$37=0,$P$34=0),"",$L$37-1),IF($R$17="Distrato",$E397,0))),0,YEARFRAC(MAX($P$34*($B397+IF($R$17="Distrato",$I$38-1,0)),IF(AND($L$37=0,$P$34=0),"",$L$37-1),IF($R$17="Distrato",$E397,0)),MIN(X$38,$D$19),$P$20))-SUM($P397:W397)</f>
        <v>#VALUE!</v>
      </c>
      <c r="Y397" s="446" t="e">
        <f>IF(OR($B397="",MIN(Y$38,$D$19)&lt;MAX($P$34*($B397+IF($R$17="Distrato",$I$38-1,0)),IF(AND($L$37=0,$P$34=0),"",$L$37-1),IF($R$17="Distrato",$E397,0))),0,YEARFRAC(MAX($P$34*($B397+IF($R$17="Distrato",$I$38-1,0)),IF(AND($L$37=0,$P$34=0),"",$L$37-1),IF($R$17="Distrato",$E397,0)),MIN(Y$38,$D$19),$P$20))-SUM($P397:X397)</f>
        <v>#VALUE!</v>
      </c>
      <c r="Z397" s="446" t="e">
        <f>IF(OR($B397="",MIN(Z$38,$D$19)&lt;MAX($P$34*($B397+IF($R$17="Distrato",$I$38-1,0)),IF(AND($L$37=0,$P$34=0),"",$L$37-1),IF($R$17="Distrato",$E397,0))),0,YEARFRAC(MAX($P$34*($B397+IF($R$17="Distrato",$I$38-1,0)),IF(AND($L$37=0,$P$34=0),"",$L$37-1),IF($R$17="Distrato",$E397,0)),MIN(Z$38,$D$19),$P$20))-SUM($P397:Y397)</f>
        <v>#VALUE!</v>
      </c>
      <c r="AA397" s="446" t="e">
        <f>IF(OR($B397="",MIN(AA$38,$D$19)&lt;MAX($P$34*($B397+IF($R$17="Distrato",$I$38-1,0)),IF(AND($L$37=0,$P$34=0),"",$L$37-1),IF($R$17="Distrato",$E397,0))),0,YEARFRAC(MAX($P$34*($B397+IF($R$17="Distrato",$I$38-1,0)),IF(AND($L$37=0,$P$34=0),"",$L$37-1),IF($R$17="Distrato",$E397,0)),MIN(AA$38,$D$19),$P$20))-SUM($P397:Z397)</f>
        <v>#VALUE!</v>
      </c>
      <c r="AB397" s="446" t="e">
        <f>IF(OR($B397="",MIN(AB$38,$D$19)&lt;MAX($P$34*($B397+IF($R$17="Distrato",$I$38-1,0)),IF(AND($L$37=0,$P$34=0),"",$L$37-1),IF($R$17="Distrato",$E397,0))),0,YEARFRAC(MAX($P$34*($B397+IF($R$17="Distrato",$I$38-1,0)),IF(AND($L$37=0,$P$34=0),"",$L$37-1),IF($R$17="Distrato",$E397,0)),MIN(AB$38,$D$19),$P$20))-SUM($P397:AA397)</f>
        <v>#VALUE!</v>
      </c>
      <c r="AC397" s="446" t="e">
        <f>IF(OR($B397="",MIN(AC$38,$D$19)&lt;MAX($P$34*($B397+IF($R$17="Distrato",$I$38-1,0)),IF(AND($L$37=0,$P$34=0),"",$L$37-1),IF($R$17="Distrato",$E397,0))),0,YEARFRAC(MAX($P$34*($B397+IF($R$17="Distrato",$I$38-1,0)),IF(AND($L$37=0,$P$34=0),"",$L$37-1),IF($R$17="Distrato",$E397,0)),MIN(AC$38,$D$19),$P$20))-SUM($P397:AB397)</f>
        <v>#VALUE!</v>
      </c>
      <c r="AD397" s="446" t="e">
        <f>IF(OR($B397="",MIN(AD$38,$D$19)&lt;MAX($P$34*($B397+IF($R$17="Distrato",$I$38-1,0)),IF(AND($L$37=0,$P$34=0),"",$L$37-1),IF($R$17="Distrato",$E397,0))),0,YEARFRAC(MAX($P$34*($B397+IF($R$17="Distrato",$I$38-1,0)),IF(AND($L$37=0,$P$34=0),"",$L$37-1),IF($R$17="Distrato",$E397,0)),MIN(AD$38,$D$19),$P$20))-SUM($P397:AC397)</f>
        <v>#VALUE!</v>
      </c>
      <c r="AE397" s="446" t="e">
        <f>IF(OR($B397="",MIN(AE$38,$D$19)&lt;MAX($P$34*($B397+IF($R$17="Distrato",$I$38-1,0)),IF(AND($L$37=0,$P$34=0),"",$L$37-1),IF($R$17="Distrato",$E397,0))),0,YEARFRAC(MAX($P$34*($B397+IF($R$17="Distrato",$I$38-1,0)),IF(AND($L$37=0,$P$34=0),"",$L$37-1),IF($R$17="Distrato",$E397,0)),MIN(AE$38,$D$19),$P$20))-SUM($P397:AD397)</f>
        <v>#VALUE!</v>
      </c>
      <c r="AF397" s="446" t="e">
        <f>IF(OR($B397="",MIN(AF$38,$D$19)&lt;MAX($P$34*($B397+IF($R$17="Distrato",$I$38-1,0)),IF(AND($L$37=0,$P$34=0),"",$L$37-1),IF($R$17="Distrato",$E397,0))),0,YEARFRAC(MAX($P$34*($B397+IF($R$17="Distrato",$I$38-1,0)),IF(AND($L$37=0,$P$34=0),"",$L$37-1),IF($R$17="Distrato",$E397,0)),MIN(AF$38,$D$19),$P$20))-SUM($P397:AE397)</f>
        <v>#VALUE!</v>
      </c>
      <c r="AG397" s="446" t="e">
        <f>IF(OR($B397="",MIN(AG$38,$D$19)&lt;MAX($P$34*($B397+IF($R$17="Distrato",$I$38-1,0)),IF(AND($L$37=0,$P$34=0),"",$L$37-1),IF($R$17="Distrato",$E397,0))),0,YEARFRAC(MAX($P$34*($B397+IF($R$17="Distrato",$I$38-1,0)),IF(AND($L$37=0,$P$34=0),"",$L$37-1),IF($R$17="Distrato",$E397,0)),MIN(AG$38,$D$19),$P$20))-SUM($P397:AF397)</f>
        <v>#VALUE!</v>
      </c>
      <c r="AH397" s="446" t="e">
        <f>IF(OR($B397="",MIN(AH$38,$D$19)&lt;MAX($P$34*($B397+IF($R$17="Distrato",$I$38-1,0)),IF(AND($L$37=0,$P$34=0),"",$L$37-1),IF($R$17="Distrato",$E397,0))),0,YEARFRAC(MAX($P$34*($B397+IF($R$17="Distrato",$I$38-1,0)),IF(AND($L$37=0,$P$34=0),"",$L$37-1),IF($R$17="Distrato",$E397,0)),MIN(AH$38,$D$19),$P$20))-SUM($P397:AG397)</f>
        <v>#VALUE!</v>
      </c>
      <c r="AI397" s="446" t="e">
        <f>IF(OR($B397="",MIN(AI$38,$D$19)&lt;MAX($P$34*($B397+IF($R$17="Distrato",$I$38-1,0)),IF(AND($L$37=0,$P$34=0),"",$L$37-1),IF($R$17="Distrato",$E397,0))),0,YEARFRAC(MAX($P$34*($B397+IF($R$17="Distrato",$I$38-1,0)),IF(AND($L$37=0,$P$34=0),"",$L$37-1),IF($R$17="Distrato",$E397,0)),MIN(AI$38,$D$19),$P$20))-SUM($P397:AH397)</f>
        <v>#VALUE!</v>
      </c>
      <c r="AJ397" s="446" t="e">
        <f>IF(OR($B397="",MIN(AJ$38,$D$19)&lt;MAX($P$34*($B397+IF($R$17="Distrato",$I$38-1,0)),IF(AND($L$37=0,$P$34=0),"",$L$37-1),IF($R$17="Distrato",$E397,0))),0,YEARFRAC(MAX($P$34*($B397+IF($R$17="Distrato",$I$38-1,0)),IF(AND($L$37=0,$P$34=0),"",$L$37-1),IF($R$17="Distrato",$E397,0)),MIN(AJ$38,$D$19),$P$20))-SUM($P397:AI397)</f>
        <v>#VALUE!</v>
      </c>
      <c r="AK397" s="446" t="e">
        <f>IF(OR($B397="",MIN(AK$38,$D$19)&lt;MAX($P$34*($B397+IF($R$17="Distrato",$I$38-1,0)),IF(AND($L$37=0,$P$34=0),"",$L$37-1),IF($R$17="Distrato",$E397,0))),0,YEARFRAC(MAX($P$34*($B397+IF($R$17="Distrato",$I$38-1,0)),IF(AND($L$37=0,$P$34=0),"",$L$37-1),IF($R$17="Distrato",$E397,0)),MIN(AK$38,$D$19),$P$20))-SUM($P397:AJ397)</f>
        <v>#VALUE!</v>
      </c>
      <c r="AL397" s="446" t="e">
        <f>IF(OR($B397="",MIN(AL$38,$D$19)&lt;MAX($P$34*($B397+IF($R$17="Distrato",$I$38-1,0)),IF(AND($L$37=0,$P$34=0),"",$L$37-1),IF($R$17="Distrato",$E397,0))),0,YEARFRAC(MAX($P$34*($B397+IF($R$17="Distrato",$I$38-1,0)),IF(AND($L$37=0,$P$34=0),"",$L$37-1),IF($R$17="Distrato",$E397,0)),MIN(AL$38,$D$19),$P$20))-SUM($P397:AK397)</f>
        <v>#VALUE!</v>
      </c>
      <c r="AM397" s="446" t="e">
        <f>IF(OR($B397="",MIN(AM$38,$D$19)&lt;MAX($P$34*($B397+IF($R$17="Distrato",$I$38-1,0)),IF(AND($L$37=0,$P$34=0),"",$L$37-1),IF($R$17="Distrato",$E397,0))),0,YEARFRAC(MAX($P$34*($B397+IF($R$17="Distrato",$I$38-1,0)),IF(AND($L$37=0,$P$34=0),"",$L$37-1),IF($R$17="Distrato",$E397,0)),MIN(AM$38,$D$19),$P$20))-SUM($P397:AL397)</f>
        <v>#VALUE!</v>
      </c>
      <c r="AN397" s="446" t="e">
        <f>IF(OR($B397="",MIN(AN$38,$D$19)&lt;MAX($P$34*($B397+IF($R$17="Distrato",$I$38-1,0)),IF(AND($L$37=0,$P$34=0),"",$L$37-1),IF($R$17="Distrato",$E397,0))),0,YEARFRAC(MAX($P$34*($B397+IF($R$17="Distrato",$I$38-1,0)),IF(AND($L$37=0,$P$34=0),"",$L$37-1),IF($R$17="Distrato",$E397,0)),MIN(AN$38,$D$19),$P$20))-SUM($P397:AM397)</f>
        <v>#VALUE!</v>
      </c>
      <c r="AO397" s="446" t="e">
        <f>IF(OR($B397="",MIN(AO$38,$D$19)&lt;MAX($P$34*($B397+IF($R$17="Distrato",$I$38-1,0)),IF(AND($L$37=0,$P$34=0),"",$L$37-1),IF($R$17="Distrato",$E397,0))),0,YEARFRAC(MAX($P$34*($B397+IF($R$17="Distrato",$I$38-1,0)),IF(AND($L$37=0,$P$34=0),"",$L$37-1),IF($R$17="Distrato",$E397,0)),MIN(AO$38,$D$19),$P$20))-SUM($P397:AN397)</f>
        <v>#VALUE!</v>
      </c>
      <c r="AP397" s="446" t="e">
        <f>IF(OR($B397="",MIN(AP$38,$D$19)&lt;MAX($P$34*($B397+IF($R$17="Distrato",$I$38-1,0)),IF(AND($L$37=0,$P$34=0),"",$L$37-1),IF($R$17="Distrato",$E397,0))),0,YEARFRAC(MAX($P$34*($B397+IF($R$17="Distrato",$I$38-1,0)),IF(AND($L$37=0,$P$34=0),"",$L$37-1),IF($R$17="Distrato",$E397,0)),MIN(AP$38,$D$19),$P$20))-SUM($P397:AO397)</f>
        <v>#VALUE!</v>
      </c>
      <c r="AQ397" s="446" t="e">
        <f>IF(OR($B397="",MIN(AQ$38,$D$19)&lt;MAX($P$34*($B397+IF($R$17="Distrato",$I$38-1,0)),IF(AND($L$37=0,$P$34=0),"",$L$37-1),IF($R$17="Distrato",$E397,0))),0,YEARFRAC(MAX($P$34*($B397+IF($R$17="Distrato",$I$38-1,0)),IF(AND($L$37=0,$P$34=0),"",$L$37-1),IF($R$17="Distrato",$E397,0)),MIN(AQ$38,$D$19),$P$20))-SUM($P397:AP397)</f>
        <v>#VALUE!</v>
      </c>
      <c r="AR397" s="446" t="e">
        <f>IF(OR($B397="",MIN(AR$38,$D$19)&lt;MAX($P$34*($B397+IF($R$17="Distrato",$I$38-1,0)),IF(AND($L$37=0,$P$34=0),"",$L$37-1),IF($R$17="Distrato",$E397,0))),0,YEARFRAC(MAX($P$34*($B397+IF($R$17="Distrato",$I$38-1,0)),IF(AND($L$37=0,$P$34=0),"",$L$37-1),IF($R$17="Distrato",$E397,0)),MIN(AR$38,$D$19),$P$20))-SUM($P397:AQ397)</f>
        <v>#VALUE!</v>
      </c>
      <c r="AS397" s="446" t="e">
        <f>IF(OR($B397="",MIN(AS$38,$D$19)&lt;MAX($P$34*($B397+IF($R$17="Distrato",$I$38-1,0)),IF(AND($L$37=0,$P$34=0),"",$L$37-1),IF($R$17="Distrato",$E397,0))),0,YEARFRAC(MAX($P$34*($B397+IF($R$17="Distrato",$I$38-1,0)),IF(AND($L$37=0,$P$34=0),"",$L$37-1),IF($R$17="Distrato",$E397,0)),MIN(AS$38,$D$19),$P$20))-SUM($P397:AR397)</f>
        <v>#VALUE!</v>
      </c>
      <c r="AT397" s="446" t="e">
        <f>IF(OR($B397="",MIN(AT$38,$D$19)&lt;MAX($P$34*($B397+IF($R$17="Distrato",$I$38-1,0)),IF(AND($L$37=0,$P$34=0),"",$L$37-1),IF($R$17="Distrato",$E397,0))),0,YEARFRAC(MAX($P$34*($B397+IF($R$17="Distrato",$I$38-1,0)),IF(AND($L$37=0,$P$34=0),"",$L$37-1),IF($R$17="Distrato",$E397,0)),MIN(AT$38,$D$19),$P$20))-SUM($P397:AS397)</f>
        <v>#VALUE!</v>
      </c>
      <c r="AU397" s="446" t="e">
        <f>IF(OR($B397="",MIN(AU$38,$D$19)&lt;MAX($P$34*($B397+IF($R$17="Distrato",$I$38-1,0)),IF(AND($L$37=0,$P$34=0),"",$L$37-1),IF($R$17="Distrato",$E397,0))),0,YEARFRAC(MAX($P$34*($B397+IF($R$17="Distrato",$I$38-1,0)),IF(AND($L$37=0,$P$34=0),"",$L$37-1),IF($R$17="Distrato",$E397,0)),MIN(AU$38,$D$19),$P$20))-SUM($P397:AT397)</f>
        <v>#VALUE!</v>
      </c>
      <c r="AV397" s="446" t="e">
        <f>IF(OR($B397="",MIN(AV$38,$D$19)&lt;MAX($P$34*($B397+IF($R$17="Distrato",$I$38-1,0)),IF(AND($L$37=0,$P$34=0),"",$L$37-1),IF($R$17="Distrato",$E397,0))),0,YEARFRAC(MAX($P$34*($B397+IF($R$17="Distrato",$I$38-1,0)),IF(AND($L$37=0,$P$34=0),"",$L$37-1),IF($R$17="Distrato",$E397,0)),MIN(AV$38,$D$19),$P$20))-SUM($P397:AU397)</f>
        <v>#VALUE!</v>
      </c>
      <c r="AW397" s="446" t="e">
        <f>IF(OR($B397="",MIN(AW$38,$D$19)&lt;MAX($P$34*($B397+IF($R$17="Distrato",$I$38-1,0)),IF(AND($L$37=0,$P$34=0),"",$L$37-1),IF($R$17="Distrato",$E397,0))),0,YEARFRAC(MAX($P$34*($B397+IF($R$17="Distrato",$I$38-1,0)),IF(AND($L$37=0,$P$34=0),"",$L$37-1),IF($R$17="Distrato",$E397,0)),MIN(AW$38,$D$19),$P$20))-SUM($P397:AV397)</f>
        <v>#VALUE!</v>
      </c>
      <c r="AX397" s="446" t="e">
        <f>IF(OR($B397="",MIN(AX$38,$D$19)&lt;MAX($P$34*($B397+IF($R$17="Distrato",$I$38-1,0)),IF(AND($L$37=0,$P$34=0),"",$L$37-1),IF($R$17="Distrato",$E397,0))),0,YEARFRAC(MAX($P$34*($B397+IF($R$17="Distrato",$I$38-1,0)),IF(AND($L$37=0,$P$34=0),"",$L$37-1),IF($R$17="Distrato",$E397,0)),MIN(AX$38,$D$19),$P$20))-SUM($P397:AW397)</f>
        <v>#VALUE!</v>
      </c>
      <c r="AY397" s="446" t="e">
        <f>IF(OR($B397="",MIN(AY$38,$D$19)&lt;MAX($P$34*($B397+IF($R$17="Distrato",$I$38-1,0)),IF(AND($L$37=0,$P$34=0),"",$L$37-1),IF($R$17="Distrato",$E397,0))),0,YEARFRAC(MAX($P$34*($B397+IF($R$17="Distrato",$I$38-1,0)),IF(AND($L$37=0,$P$34=0),"",$L$37-1),IF($R$17="Distrato",$E397,0)),MIN(AY$38,$D$19),$P$20))-SUM($P397:AX397)</f>
        <v>#VALUE!</v>
      </c>
      <c r="AZ397" s="446" t="e">
        <f>IF(OR($B397="",MIN(AZ$38,$D$19)&lt;MAX($P$34*($B397+IF($R$17="Distrato",$I$38-1,0)),IF(AND($L$37=0,$P$34=0),"",$L$37-1),IF($R$17="Distrato",$E397,0))),0,YEARFRAC(MAX($P$34*($B397+IF($R$17="Distrato",$I$38-1,0)),IF(AND($L$37=0,$P$34=0),"",$L$37-1),IF($R$17="Distrato",$E397,0)),MIN(AZ$38,$D$19),$P$20))-SUM($P397:AY397)</f>
        <v>#VALUE!</v>
      </c>
      <c r="BA397" s="446" t="e">
        <f>IF(OR($B397="",MIN(BA$38,$D$19)&lt;MAX($P$34*($B397+IF($R$17="Distrato",$I$38-1,0)),IF(AND($L$37=0,$P$34=0),"",$L$37-1),IF($R$17="Distrato",$E397,0))),0,YEARFRAC(MAX($P$34*($B397+IF($R$17="Distrato",$I$38-1,0)),IF(AND($L$37=0,$P$34=0),"",$L$37-1),IF($R$17="Distrato",$E397,0)),MIN(BA$38,$D$19),$P$20))-SUM($P397:AZ397)</f>
        <v>#VALUE!</v>
      </c>
      <c r="BB397" s="447"/>
      <c r="BF397" s="446">
        <f t="shared" si="65"/>
        <v>0</v>
      </c>
      <c r="BG397" s="446">
        <f>IF($E397=0,0,IF(MIN(BG$38,$E397)&lt;MAX($P$34*($B397+$I$38-1),IF(AND($L$37=0,$P$34=0),"",$L$37-1)),0,YEARFRAC(MAX($P$34*($B397+$I$38-1),IF(AND($L$37=0,$P$34=0),"",$L$37-1)),MIN(BG$38,$E397),$P$20))-SUM($BF397:BF397))</f>
        <v>0</v>
      </c>
      <c r="BH397" s="446">
        <f>IF($E397=0,0,IF(MIN(BH$38,$E397)&lt;MAX($P$34*($B397+$I$38-1),IF(AND($L$37=0,$P$34=0),"",$L$37-1)),0,YEARFRAC(MAX($P$34*($B397+$I$38-1),IF(AND($L$37=0,$P$34=0),"",$L$37-1)),MIN(BH$38,$E397),$P$20))-SUM($BF397:BG397))</f>
        <v>0</v>
      </c>
      <c r="BI397" s="446">
        <f>IF($E397=0,0,IF(MIN(BI$38,$E397)&lt;MAX($P$34*($B397+$I$38-1),IF(AND($L$37=0,$P$34=0),"",$L$37-1)),0,YEARFRAC(MAX($P$34*($B397+$I$38-1),IF(AND($L$37=0,$P$34=0),"",$L$37-1)),MIN(BI$38,$E397),$P$20))-SUM($BF397:BH397))</f>
        <v>0</v>
      </c>
      <c r="BJ397" s="446">
        <f>IF($E397=0,0,IF(MIN(BJ$38,$E397)&lt;MAX($P$34*($B397+$I$38-1),IF(AND($L$37=0,$P$34=0),"",$L$37-1)),0,YEARFRAC(MAX($P$34*($B397+$I$38-1),IF(AND($L$37=0,$P$34=0),"",$L$37-1)),MIN(BJ$38,$E397),$P$20))-SUM($BF397:BI397))</f>
        <v>0</v>
      </c>
      <c r="BK397" s="446">
        <f>IF($E397=0,0,IF(MIN(BK$38,$E397)&lt;MAX($P$34*($B397+$I$38-1),IF(AND($L$37=0,$P$34=0),"",$L$37-1)),0,YEARFRAC(MAX($P$34*($B397+$I$38-1),IF(AND($L$37=0,$P$34=0),"",$L$37-1)),MIN(BK$38,$E397),$P$20))-SUM($BF397:BJ397))</f>
        <v>0</v>
      </c>
      <c r="BL397" s="446">
        <f>IF($E397=0,0,IF(MIN(BL$38,$E397)&lt;MAX($P$34*($B397+$I$38-1),IF(AND($L$37=0,$P$34=0),"",$L$37-1)),0,YEARFRAC(MAX($P$34*($B397+$I$38-1),IF(AND($L$37=0,$P$34=0),"",$L$37-1)),MIN(BL$38,$E397),$P$20))-SUM($BF397:BK397))</f>
        <v>0</v>
      </c>
      <c r="BM397" s="446">
        <f>IF($E397=0,0,IF(MIN(BM$38,$E397)&lt;MAX($P$34*($B397+$I$38-1),IF(AND($L$37=0,$P$34=0),"",$L$37-1)),0,YEARFRAC(MAX($P$34*($B397+$I$38-1),IF(AND($L$37=0,$P$34=0),"",$L$37-1)),MIN(BM$38,$E397),$P$20))-SUM($BF397:BL397))</f>
        <v>0</v>
      </c>
      <c r="BN397" s="446">
        <f>IF($E397=0,0,IF(MIN(BN$38,$E397)&lt;MAX($P$34*($B397+$I$38-1),IF(AND($L$37=0,$P$34=0),"",$L$37-1)),0,YEARFRAC(MAX($P$34*($B397+$I$38-1),IF(AND($L$37=0,$P$34=0),"",$L$37-1)),MIN(BN$38,$E397),$P$20))-SUM($BF397:BM397))</f>
        <v>0</v>
      </c>
      <c r="BO397" s="446">
        <f>IF($E397=0,0,IF(MIN(BO$38,$E397)&lt;MAX($P$34*($B397+$I$38-1),IF(AND($L$37=0,$P$34=0),"",$L$37-1)),0,YEARFRAC(MAX($P$34*($B397+$I$38-1),IF(AND($L$37=0,$P$34=0),"",$L$37-1)),MIN(BO$38,$E397),$P$20))-SUM($BF397:BN397))</f>
        <v>0</v>
      </c>
      <c r="BP397" s="446">
        <f>IF($E397=0,0,IF(MIN(BP$38,$E397)&lt;MAX($P$34*($B397+$I$38-1),IF(AND($L$37=0,$P$34=0),"",$L$37-1)),0,YEARFRAC(MAX($P$34*($B397+$I$38-1),IF(AND($L$37=0,$P$34=0),"",$L$37-1)),MIN(BP$38,$E397),$P$20))-SUM($BF397:BO397))</f>
        <v>0</v>
      </c>
      <c r="BQ397" s="446">
        <f>IF($E397=0,0,IF(MIN(BQ$38,$E397)&lt;MAX($P$34*($B397+$I$38-1),IF(AND($L$37=0,$P$34=0),"",$L$37-1)),0,YEARFRAC(MAX($P$34*($B397+$I$38-1),IF(AND($L$37=0,$P$34=0),"",$L$37-1)),MIN(BQ$38,$E397),$P$20))-SUM($BF397:BP397))</f>
        <v>0</v>
      </c>
      <c r="BR397" s="446">
        <f>IF($E397=0,0,IF(MIN(BR$38,$E397)&lt;MAX($P$34*($B397+$I$38-1),IF(AND($L$37=0,$P$34=0),"",$L$37-1)),0,YEARFRAC(MAX($P$34*($B397+$I$38-1),IF(AND($L$37=0,$P$34=0),"",$L$37-1)),MIN(BR$38,$E397),$P$20))-SUM($BF397:BQ397))</f>
        <v>0</v>
      </c>
      <c r="BS397" s="446">
        <f>IF($E397=0,0,IF(MIN(BS$38,$E397)&lt;MAX($P$34*($B397+$I$38-1),IF(AND($L$37=0,$P$34=0),"",$L$37-1)),0,YEARFRAC(MAX($P$34*($B397+$I$38-1),IF(AND($L$37=0,$P$34=0),"",$L$37-1)),MIN(BS$38,$E397),$P$20))-SUM($BF397:BR397))</f>
        <v>0</v>
      </c>
      <c r="BT397" s="446">
        <f>IF($E397=0,0,IF(MIN(BT$38,$E397)&lt;MAX($P$34*($B397+$I$38-1),IF(AND($L$37=0,$P$34=0),"",$L$37-1)),0,YEARFRAC(MAX($P$34*($B397+$I$38-1),IF(AND($L$37=0,$P$34=0),"",$L$37-1)),MIN(BT$38,$E397),$P$20))-SUM($BF397:BS397))</f>
        <v>0</v>
      </c>
      <c r="BU397" s="446">
        <f>IF($E397=0,0,IF(MIN(BU$38,$E397)&lt;MAX($P$34*($B397+$I$38-1),IF(AND($L$37=0,$P$34=0),"",$L$37-1)),0,YEARFRAC(MAX($P$34*($B397+$I$38-1),IF(AND($L$37=0,$P$34=0),"",$L$37-1)),MIN(BU$38,$E397),$P$20))-SUM($BF397:BT397))</f>
        <v>0</v>
      </c>
      <c r="BV397" s="446">
        <f>IF($E397=0,0,IF(MIN(BV$38,$E397)&lt;MAX($P$34*($B397+$I$38-1),IF(AND($L$37=0,$P$34=0),"",$L$37-1)),0,YEARFRAC(MAX($P$34*($B397+$I$38-1),IF(AND($L$37=0,$P$34=0),"",$L$37-1)),MIN(BV$38,$E397),$P$20))-SUM($BF397:BU397))</f>
        <v>0</v>
      </c>
      <c r="BW397" s="446">
        <f>IF($E397=0,0,IF(MIN(BW$38,$E397)&lt;MAX($P$34*($B397+$I$38-1),IF(AND($L$37=0,$P$34=0),"",$L$37-1)),0,YEARFRAC(MAX($P$34*($B397+$I$38-1),IF(AND($L$37=0,$P$34=0),"",$L$37-1)),MIN(BW$38,$E397),$P$20))-SUM($BF397:BV397))</f>
        <v>0</v>
      </c>
      <c r="BX397" s="446">
        <f>IF($E397=0,0,IF(MIN(BX$38,$E397)&lt;MAX($P$34*($B397+$I$38-1),IF(AND($L$37=0,$P$34=0),"",$L$37-1)),0,YEARFRAC(MAX($P$34*($B397+$I$38-1),IF(AND($L$37=0,$P$34=0),"",$L$37-1)),MIN(BX$38,$E397),$P$20))-SUM($BF397:BW397))</f>
        <v>0</v>
      </c>
      <c r="BY397" s="446">
        <f>IF($E397=0,0,IF(MIN(BY$38,$E397)&lt;MAX($P$34*($B397+$I$38-1),IF(AND($L$37=0,$P$34=0),"",$L$37-1)),0,YEARFRAC(MAX($P$34*($B397+$I$38-1),IF(AND($L$37=0,$P$34=0),"",$L$37-1)),MIN(BY$38,$E397),$P$20))-SUM($BF397:BX397))</f>
        <v>0</v>
      </c>
      <c r="BZ397" s="446">
        <f>IF($E397=0,0,IF(MIN(BZ$38,$E397)&lt;MAX($P$34*($B397+$I$38-1),IF(AND($L$37=0,$P$34=0),"",$L$37-1)),0,YEARFRAC(MAX($P$34*($B397+$I$38-1),IF(AND($L$37=0,$P$34=0),"",$L$37-1)),MIN(BZ$38,$E397),$P$20))-SUM($BF397:BY397))</f>
        <v>0</v>
      </c>
      <c r="CA397" s="446">
        <f>IF($E397=0,0,IF(MIN(CA$38,$E397)&lt;MAX($P$34*($B397+$I$38-1),IF(AND($L$37=0,$P$34=0),"",$L$37-1)),0,YEARFRAC(MAX($P$34*($B397+$I$38-1),IF(AND($L$37=0,$P$34=0),"",$L$37-1)),MIN(CA$38,$E397),$P$20))-SUM($BF397:BZ397))</f>
        <v>0</v>
      </c>
      <c r="CB397" s="446">
        <f>IF($E397=0,0,IF(MIN(CB$38,$E397)&lt;MAX($P$34*($B397+$I$38-1),IF(AND($L$37=0,$P$34=0),"",$L$37-1)),0,YEARFRAC(MAX($P$34*($B397+$I$38-1),IF(AND($L$37=0,$P$34=0),"",$L$37-1)),MIN(CB$38,$E397),$P$20))-SUM($BF397:CA397))</f>
        <v>0</v>
      </c>
      <c r="CC397" s="446">
        <f>IF($E397=0,0,IF(MIN(CC$38,$E397)&lt;MAX($P$34*($B397+$I$38-1),IF(AND($L$37=0,$P$34=0),"",$L$37-1)),0,YEARFRAC(MAX($P$34*($B397+$I$38-1),IF(AND($L$37=0,$P$34=0),"",$L$37-1)),MIN(CC$38,$E397),$P$20))-SUM($BF397:CB397))</f>
        <v>0</v>
      </c>
      <c r="CD397" s="446">
        <f>IF($E397=0,0,IF(MIN(CD$38,$E397)&lt;MAX($P$34*($B397+$I$38-1),IF(AND($L$37=0,$P$34=0),"",$L$37-1)),0,YEARFRAC(MAX($P$34*($B397+$I$38-1),IF(AND($L$37=0,$P$34=0),"",$L$37-1)),MIN(CD$38,$E397),$P$20))-SUM($BF397:CC397))</f>
        <v>0</v>
      </c>
      <c r="CE397" s="446">
        <f>IF($E397=0,0,IF(MIN(CE$38,$E397)&lt;MAX($P$34*($B397+$I$38-1),IF(AND($L$37=0,$P$34=0),"",$L$37-1)),0,YEARFRAC(MAX($P$34*($B397+$I$38-1),IF(AND($L$37=0,$P$34=0),"",$L$37-1)),MIN(CE$38,$E397),$P$20))-SUM($BF397:CD397))</f>
        <v>0</v>
      </c>
      <c r="CF397" s="446">
        <f>IF($E397=0,0,IF(MIN(CF$38,$E397)&lt;MAX($P$34*($B397+$I$38-1),IF(AND($L$37=0,$P$34=0),"",$L$37-1)),0,YEARFRAC(MAX($P$34*($B397+$I$38-1),IF(AND($L$37=0,$P$34=0),"",$L$37-1)),MIN(CF$38,$E397),$P$20))-SUM($BF397:CE397))</f>
        <v>0</v>
      </c>
      <c r="CG397" s="446">
        <f>IF($E397=0,0,IF(MIN(CG$38,$E397)&lt;MAX($P$34*($B397+$I$38-1),IF(AND($L$37=0,$P$34=0),"",$L$37-1)),0,YEARFRAC(MAX($P$34*($B397+$I$38-1),IF(AND($L$37=0,$P$34=0),"",$L$37-1)),MIN(CG$38,$E397),$P$20))-SUM($BF397:CF397))</f>
        <v>0</v>
      </c>
      <c r="CH397" s="446">
        <f>IF($E397=0,0,IF(MIN(CH$38,$E397)&lt;MAX($P$34*($B397+$I$38-1),IF(AND($L$37=0,$P$34=0),"",$L$37-1)),0,YEARFRAC(MAX($P$34*($B397+$I$38-1),IF(AND($L$37=0,$P$34=0),"",$L$37-1)),MIN(CH$38,$E397),$P$20))-SUM($BF397:CG397))</f>
        <v>0</v>
      </c>
      <c r="CI397" s="446">
        <f>IF($E397=0,0,IF(MIN(CI$38,$E397)&lt;MAX($P$34*($B397+$I$38-1),IF(AND($L$37=0,$P$34=0),"",$L$37-1)),0,YEARFRAC(MAX($P$34*($B397+$I$38-1),IF(AND($L$37=0,$P$34=0),"",$L$37-1)),MIN(CI$38,$E397),$P$20))-SUM($BF397:CH397))</f>
        <v>0</v>
      </c>
      <c r="CJ397" s="446">
        <f>IF($E397=0,0,IF(MIN(CJ$38,$E397)&lt;MAX($P$34*($B397+$I$38-1),IF(AND($L$37=0,$P$34=0),"",$L$37-1)),0,YEARFRAC(MAX($P$34*($B397+$I$38-1),IF(AND($L$37=0,$P$34=0),"",$L$37-1)),MIN(CJ$38,$E397),$P$20))-SUM($BF397:CI397))</f>
        <v>0</v>
      </c>
      <c r="CK397" s="446">
        <f>IF($E397=0,0,IF(MIN(CK$38,$E397)&lt;MAX($P$34*($B397+$I$38-1),IF(AND($L$37=0,$P$34=0),"",$L$37-1)),0,YEARFRAC(MAX($P$34*($B397+$I$38-1),IF(AND($L$37=0,$P$34=0),"",$L$37-1)),MIN(CK$38,$E397),$P$20))-SUM($BF397:CJ397))</f>
        <v>0</v>
      </c>
      <c r="CL397" s="446">
        <f>IF($E397=0,0,IF(MIN(CL$38,$E397)&lt;MAX($P$34*($B397+$I$38-1),IF(AND($L$37=0,$P$34=0),"",$L$37-1)),0,YEARFRAC(MAX($P$34*($B397+$I$38-1),IF(AND($L$37=0,$P$34=0),"",$L$37-1)),MIN(CL$38,$E397),$P$20))-SUM($BF397:CK397))</f>
        <v>0</v>
      </c>
      <c r="CM397" s="446">
        <f>IF($E397=0,0,IF(MIN(CM$38,$E397)&lt;MAX($P$34*($B397+$I$38-1),IF(AND($L$37=0,$P$34=0),"",$L$37-1)),0,YEARFRAC(MAX($P$34*($B397+$I$38-1),IF(AND($L$37=0,$P$34=0),"",$L$37-1)),MIN(CM$38,$E397),$P$20))-SUM($BF397:CL397))</f>
        <v>0</v>
      </c>
      <c r="CN397" s="446">
        <f>IF($E397=0,0,IF(MIN(CN$38,$E397)&lt;MAX($P$34*($B397+$I$38-1),IF(AND($L$37=0,$P$34=0),"",$L$37-1)),0,YEARFRAC(MAX($P$34*($B397+$I$38-1),IF(AND($L$37=0,$P$34=0),"",$L$37-1)),MIN(CN$38,$E397),$P$20))-SUM($BF397:CM397))</f>
        <v>0</v>
      </c>
      <c r="CO397" s="446">
        <f>IF($E397=0,0,IF(MIN(CO$38,$E397)&lt;MAX($P$34*($B397+$I$38-1),IF(AND($L$37=0,$P$34=0),"",$L$37-1)),0,YEARFRAC(MAX($P$34*($B397+$I$38-1),IF(AND($L$37=0,$P$34=0),"",$L$37-1)),MIN(CO$38,$E397),$P$20))-SUM($BF397:CN397))</f>
        <v>0</v>
      </c>
      <c r="CP397" s="446">
        <f>IF($E397=0,0,IF(MIN(CP$38,$E397)&lt;MAX($P$34*($B397+$I$38-1),IF(AND($L$37=0,$P$34=0),"",$L$37-1)),0,YEARFRAC(MAX($P$34*($B397+$I$38-1),IF(AND($L$37=0,$P$34=0),"",$L$37-1)),MIN(CP$38,$E397),$P$20))-SUM($BF397:CO397))</f>
        <v>0</v>
      </c>
      <c r="CQ397" s="446">
        <f>IF($E397=0,0,IF(MIN(CQ$38,$E397)&lt;MAX($P$34*($B397+$I$38-1),IF(AND($L$37=0,$P$34=0),"",$L$37-1)),0,YEARFRAC(MAX($P$34*($B397+$I$38-1),IF(AND($L$37=0,$P$34=0),"",$L$37-1)),MIN(CQ$38,$E397),$P$20))-SUM($BF397:CP397))</f>
        <v>0</v>
      </c>
    </row>
    <row r="398" spans="1:95" s="446" customFormat="1" ht="11.25" hidden="1" customHeight="1" x14ac:dyDescent="0.2">
      <c r="A398" s="152"/>
      <c r="B398" s="153" t="str">
        <f t="shared" si="70"/>
        <v/>
      </c>
      <c r="C398" s="29" t="str">
        <f>IF(B398="","",IF($L$35="SELIC - TRIBUTOS",VLOOKUP(DATE(YEAR($D$19),MONTH($D$19)-1,1),ÍNDICES!$A:$DE,HLOOKUP($BL$25,ÍNDICES!$B$3:$T$4,2)+11)-VLOOKUP(B398,ÍNDICES!$A:$DE,HLOOKUP($BL$25,ÍNDICES!$B$3:$T$4,2)+11)+1%,IF(C$38=$W$26,$J$35,IF(ISERROR(IF(B398&gt;$D$19,1,VLOOKUP(DATE(YEAR(B398),MONTH(B398)+IF($C$35=$S$23,1,0),1),ÍNDICES!$A:$DE,$Z$35+1))),"",IF(B398&gt;$D$19,1,VLOOKUP(DATE(YEAR(B398),MONTH(B398)+IF($C$35=$S$23,1,0),1),ÍNDICES!$A:$DE,$Z$35+1))))))</f>
        <v/>
      </c>
      <c r="D398" s="154" t="str">
        <f>IF(ISERROR(IF(OR($D$38=$Y$27,$B398=""),"",VLOOKUP(B398,ÍNDICES!A:DE,AF$35+1))),"",IF(OR($D$38=$Y$27,$B398=""),"",VLOOKUP(B398,ÍNDICES!A:DE,AF$35+1)))</f>
        <v/>
      </c>
      <c r="E398" s="153"/>
      <c r="F398" s="29" t="str">
        <f>IF(E398="","",IF($L$35="SELIC - TRIBUTOS",VLOOKUP(DATE(YEAR($D$19),MONTH($D$19)-1,1),ÍNDICES!$A:$DE,HLOOKUP($BL$25,ÍNDICES!$B$3:$T$4,2)+11)-VLOOKUP(E398,ÍNDICES!$A:$DE,HLOOKUP($BL$25,ÍNDICES!$B$3:$T$4,2)+11)+1%,IF(F$38=$W$26,$J$35,IF(ISERROR(IF(E398&gt;$D$19,1,VLOOKUP(DATE(YEAR(E398),MONTH(E398)+IF($C$35=$S$23,1,0),1),ÍNDICES!$A:$DE,$Z$35+1))),"",IF(E398&gt;$D$19,1,VLOOKUP(DATE(YEAR(E398),MONTH(E398)+IF($C$35=$S$23,1,0),1),ÍNDICES!$A:$DE,$Z$35+1))))))</f>
        <v/>
      </c>
      <c r="G398" s="155"/>
      <c r="H398" s="156" t="str">
        <f t="shared" si="66"/>
        <v/>
      </c>
      <c r="I398" s="29" t="str">
        <f t="shared" si="60"/>
        <v/>
      </c>
      <c r="J398" s="5">
        <f t="shared" si="61"/>
        <v>0</v>
      </c>
      <c r="K398" s="20">
        <f t="shared" ca="1" si="62"/>
        <v>0</v>
      </c>
      <c r="L398" s="5">
        <f t="shared" ca="1" si="63"/>
        <v>0</v>
      </c>
      <c r="M398" s="64">
        <f t="shared" si="67"/>
        <v>0</v>
      </c>
      <c r="N398" s="61">
        <f t="shared" ca="1" si="68"/>
        <v>0</v>
      </c>
      <c r="O398" s="5">
        <f t="shared" ca="1" si="69"/>
        <v>0</v>
      </c>
      <c r="P398" s="446" t="e">
        <f t="shared" si="64"/>
        <v>#VALUE!</v>
      </c>
      <c r="Q398" s="446" t="e">
        <f>IF(OR($B398="",MIN(Q$38,$D$19)&lt;MAX($P$34*($B398+IF($R$17="Distrato",$I$38-1,0)),IF(AND($L$37=0,$P$34=0),"",$L$37-1),IF($R$17="Distrato",$E398,0))),0,YEARFRAC(MAX($P$34*($B398+IF($R$17="Distrato",$I$38-1,0)),IF(AND($L$37=0,$P$34=0),"",$L$37-1),IF($R$17="Distrato",$E398,0)),MIN(Q$38,$D$19),$P$20))-SUM($P398:P398)</f>
        <v>#VALUE!</v>
      </c>
      <c r="R398" s="446" t="e">
        <f>IF(OR($B398="",MIN(R$38,$D$19)&lt;MAX($P$34*($B398+IF($R$17="Distrato",$I$38-1,0)),IF(AND($L$37=0,$P$34=0),"",$L$37-1),IF($R$17="Distrato",$E398,0))),0,YEARFRAC(MAX($P$34*($B398+IF($R$17="Distrato",$I$38-1,0)),IF(AND($L$37=0,$P$34=0),"",$L$37-1),IF($R$17="Distrato",$E398,0)),MIN(R$38,$D$19),$P$20))-SUM($P398:Q398)</f>
        <v>#VALUE!</v>
      </c>
      <c r="S398" s="446" t="e">
        <f>IF(OR($B398="",MIN(S$38,$D$19)&lt;MAX($P$34*($B398+IF($R$17="Distrato",$I$38-1,0)),IF(AND($L$37=0,$P$34=0),"",$L$37-1),IF($R$17="Distrato",$E398,0))),0,YEARFRAC(MAX($P$34*($B398+IF($R$17="Distrato",$I$38-1,0)),IF(AND($L$37=0,$P$34=0),"",$L$37-1),IF($R$17="Distrato",$E398,0)),MIN(S$38,$D$19),$P$20))-SUM($P398:R398)</f>
        <v>#VALUE!</v>
      </c>
      <c r="T398" s="446" t="e">
        <f>IF(OR($B398="",MIN(T$38,$D$19)&lt;MAX($P$34*($B398+IF($R$17="Distrato",$I$38-1,0)),IF(AND($L$37=0,$P$34=0),"",$L$37-1),IF($R$17="Distrato",$E398,0))),0,YEARFRAC(MAX($P$34*($B398+IF($R$17="Distrato",$I$38-1,0)),IF(AND($L$37=0,$P$34=0),"",$L$37-1),IF($R$17="Distrato",$E398,0)),MIN(T$38,$D$19),$P$20))-SUM($P398:S398)</f>
        <v>#VALUE!</v>
      </c>
      <c r="U398" s="446" t="e">
        <f>IF(OR($B398="",MIN(U$38,$D$19)&lt;MAX($P$34*($B398+IF($R$17="Distrato",$I$38-1,0)),IF(AND($L$37=0,$P$34=0),"",$L$37-1),IF($R$17="Distrato",$E398,0))),0,YEARFRAC(MAX($P$34*($B398+IF($R$17="Distrato",$I$38-1,0)),IF(AND($L$37=0,$P$34=0),"",$L$37-1),IF($R$17="Distrato",$E398,0)),MIN(U$38,$D$19),$P$20))-SUM($P398:T398)</f>
        <v>#VALUE!</v>
      </c>
      <c r="V398" s="446" t="e">
        <f>IF(OR($B398="",MIN(V$38,$D$19)&lt;MAX($P$34*($B398+IF($R$17="Distrato",$I$38-1,0)),IF(AND($L$37=0,$P$34=0),"",$L$37-1),IF($R$17="Distrato",$E398,0))),0,YEARFRAC(MAX($P$34*($B398+IF($R$17="Distrato",$I$38-1,0)),IF(AND($L$37=0,$P$34=0),"",$L$37-1),IF($R$17="Distrato",$E398,0)),MIN(V$38,$D$19),$P$20))-SUM($P398:U398)</f>
        <v>#VALUE!</v>
      </c>
      <c r="W398" s="446" t="e">
        <f>IF(OR($B398="",MIN(W$38,$D$19)&lt;MAX($P$34*($B398+IF($R$17="Distrato",$I$38-1,0)),IF(AND($L$37=0,$P$34=0),"",$L$37-1),IF($R$17="Distrato",$E398,0))),0,YEARFRAC(MAX($P$34*($B398+IF($R$17="Distrato",$I$38-1,0)),IF(AND($L$37=0,$P$34=0),"",$L$37-1),IF($R$17="Distrato",$E398,0)),MIN(W$38,$D$19),$P$20))-SUM($P398:V398)</f>
        <v>#VALUE!</v>
      </c>
      <c r="X398" s="446" t="e">
        <f>IF(OR($B398="",MIN(X$38,$D$19)&lt;MAX($P$34*($B398+IF($R$17="Distrato",$I$38-1,0)),IF(AND($L$37=0,$P$34=0),"",$L$37-1),IF($R$17="Distrato",$E398,0))),0,YEARFRAC(MAX($P$34*($B398+IF($R$17="Distrato",$I$38-1,0)),IF(AND($L$37=0,$P$34=0),"",$L$37-1),IF($R$17="Distrato",$E398,0)),MIN(X$38,$D$19),$P$20))-SUM($P398:W398)</f>
        <v>#VALUE!</v>
      </c>
      <c r="Y398" s="446" t="e">
        <f>IF(OR($B398="",MIN(Y$38,$D$19)&lt;MAX($P$34*($B398+IF($R$17="Distrato",$I$38-1,0)),IF(AND($L$37=0,$P$34=0),"",$L$37-1),IF($R$17="Distrato",$E398,0))),0,YEARFRAC(MAX($P$34*($B398+IF($R$17="Distrato",$I$38-1,0)),IF(AND($L$37=0,$P$34=0),"",$L$37-1),IF($R$17="Distrato",$E398,0)),MIN(Y$38,$D$19),$P$20))-SUM($P398:X398)</f>
        <v>#VALUE!</v>
      </c>
      <c r="Z398" s="446" t="e">
        <f>IF(OR($B398="",MIN(Z$38,$D$19)&lt;MAX($P$34*($B398+IF($R$17="Distrato",$I$38-1,0)),IF(AND($L$37=0,$P$34=0),"",$L$37-1),IF($R$17="Distrato",$E398,0))),0,YEARFRAC(MAX($P$34*($B398+IF($R$17="Distrato",$I$38-1,0)),IF(AND($L$37=0,$P$34=0),"",$L$37-1),IF($R$17="Distrato",$E398,0)),MIN(Z$38,$D$19),$P$20))-SUM($P398:Y398)</f>
        <v>#VALUE!</v>
      </c>
      <c r="AA398" s="446" t="e">
        <f>IF(OR($B398="",MIN(AA$38,$D$19)&lt;MAX($P$34*($B398+IF($R$17="Distrato",$I$38-1,0)),IF(AND($L$37=0,$P$34=0),"",$L$37-1),IF($R$17="Distrato",$E398,0))),0,YEARFRAC(MAX($P$34*($B398+IF($R$17="Distrato",$I$38-1,0)),IF(AND($L$37=0,$P$34=0),"",$L$37-1),IF($R$17="Distrato",$E398,0)),MIN(AA$38,$D$19),$P$20))-SUM($P398:Z398)</f>
        <v>#VALUE!</v>
      </c>
      <c r="AB398" s="446" t="e">
        <f>IF(OR($B398="",MIN(AB$38,$D$19)&lt;MAX($P$34*($B398+IF($R$17="Distrato",$I$38-1,0)),IF(AND($L$37=0,$P$34=0),"",$L$37-1),IF($R$17="Distrato",$E398,0))),0,YEARFRAC(MAX($P$34*($B398+IF($R$17="Distrato",$I$38-1,0)),IF(AND($L$37=0,$P$34=0),"",$L$37-1),IF($R$17="Distrato",$E398,0)),MIN(AB$38,$D$19),$P$20))-SUM($P398:AA398)</f>
        <v>#VALUE!</v>
      </c>
      <c r="AC398" s="446" t="e">
        <f>IF(OR($B398="",MIN(AC$38,$D$19)&lt;MAX($P$34*($B398+IF($R$17="Distrato",$I$38-1,0)),IF(AND($L$37=0,$P$34=0),"",$L$37-1),IF($R$17="Distrato",$E398,0))),0,YEARFRAC(MAX($P$34*($B398+IF($R$17="Distrato",$I$38-1,0)),IF(AND($L$37=0,$P$34=0),"",$L$37-1),IF($R$17="Distrato",$E398,0)),MIN(AC$38,$D$19),$P$20))-SUM($P398:AB398)</f>
        <v>#VALUE!</v>
      </c>
      <c r="AD398" s="446" t="e">
        <f>IF(OR($B398="",MIN(AD$38,$D$19)&lt;MAX($P$34*($B398+IF($R$17="Distrato",$I$38-1,0)),IF(AND($L$37=0,$P$34=0),"",$L$37-1),IF($R$17="Distrato",$E398,0))),0,YEARFRAC(MAX($P$34*($B398+IF($R$17="Distrato",$I$38-1,0)),IF(AND($L$37=0,$P$34=0),"",$L$37-1),IF($R$17="Distrato",$E398,0)),MIN(AD$38,$D$19),$P$20))-SUM($P398:AC398)</f>
        <v>#VALUE!</v>
      </c>
      <c r="AE398" s="446" t="e">
        <f>IF(OR($B398="",MIN(AE$38,$D$19)&lt;MAX($P$34*($B398+IF($R$17="Distrato",$I$38-1,0)),IF(AND($L$37=0,$P$34=0),"",$L$37-1),IF($R$17="Distrato",$E398,0))),0,YEARFRAC(MAX($P$34*($B398+IF($R$17="Distrato",$I$38-1,0)),IF(AND($L$37=0,$P$34=0),"",$L$37-1),IF($R$17="Distrato",$E398,0)),MIN(AE$38,$D$19),$P$20))-SUM($P398:AD398)</f>
        <v>#VALUE!</v>
      </c>
      <c r="AF398" s="446" t="e">
        <f>IF(OR($B398="",MIN(AF$38,$D$19)&lt;MAX($P$34*($B398+IF($R$17="Distrato",$I$38-1,0)),IF(AND($L$37=0,$P$34=0),"",$L$37-1),IF($R$17="Distrato",$E398,0))),0,YEARFRAC(MAX($P$34*($B398+IF($R$17="Distrato",$I$38-1,0)),IF(AND($L$37=0,$P$34=0),"",$L$37-1),IF($R$17="Distrato",$E398,0)),MIN(AF$38,$D$19),$P$20))-SUM($P398:AE398)</f>
        <v>#VALUE!</v>
      </c>
      <c r="AG398" s="446" t="e">
        <f>IF(OR($B398="",MIN(AG$38,$D$19)&lt;MAX($P$34*($B398+IF($R$17="Distrato",$I$38-1,0)),IF(AND($L$37=0,$P$34=0),"",$L$37-1),IF($R$17="Distrato",$E398,0))),0,YEARFRAC(MAX($P$34*($B398+IF($R$17="Distrato",$I$38-1,0)),IF(AND($L$37=0,$P$34=0),"",$L$37-1),IF($R$17="Distrato",$E398,0)),MIN(AG$38,$D$19),$P$20))-SUM($P398:AF398)</f>
        <v>#VALUE!</v>
      </c>
      <c r="AH398" s="446" t="e">
        <f>IF(OR($B398="",MIN(AH$38,$D$19)&lt;MAX($P$34*($B398+IF($R$17="Distrato",$I$38-1,0)),IF(AND($L$37=0,$P$34=0),"",$L$37-1),IF($R$17="Distrato",$E398,0))),0,YEARFRAC(MAX($P$34*($B398+IF($R$17="Distrato",$I$38-1,0)),IF(AND($L$37=0,$P$34=0),"",$L$37-1),IF($R$17="Distrato",$E398,0)),MIN(AH$38,$D$19),$P$20))-SUM($P398:AG398)</f>
        <v>#VALUE!</v>
      </c>
      <c r="AI398" s="446" t="e">
        <f>IF(OR($B398="",MIN(AI$38,$D$19)&lt;MAX($P$34*($B398+IF($R$17="Distrato",$I$38-1,0)),IF(AND($L$37=0,$P$34=0),"",$L$37-1),IF($R$17="Distrato",$E398,0))),0,YEARFRAC(MAX($P$34*($B398+IF($R$17="Distrato",$I$38-1,0)),IF(AND($L$37=0,$P$34=0),"",$L$37-1),IF($R$17="Distrato",$E398,0)),MIN(AI$38,$D$19),$P$20))-SUM($P398:AH398)</f>
        <v>#VALUE!</v>
      </c>
      <c r="AJ398" s="446" t="e">
        <f>IF(OR($B398="",MIN(AJ$38,$D$19)&lt;MAX($P$34*($B398+IF($R$17="Distrato",$I$38-1,0)),IF(AND($L$37=0,$P$34=0),"",$L$37-1),IF($R$17="Distrato",$E398,0))),0,YEARFRAC(MAX($P$34*($B398+IF($R$17="Distrato",$I$38-1,0)),IF(AND($L$37=0,$P$34=0),"",$L$37-1),IF($R$17="Distrato",$E398,0)),MIN(AJ$38,$D$19),$P$20))-SUM($P398:AI398)</f>
        <v>#VALUE!</v>
      </c>
      <c r="AK398" s="446" t="e">
        <f>IF(OR($B398="",MIN(AK$38,$D$19)&lt;MAX($P$34*($B398+IF($R$17="Distrato",$I$38-1,0)),IF(AND($L$37=0,$P$34=0),"",$L$37-1),IF($R$17="Distrato",$E398,0))),0,YEARFRAC(MAX($P$34*($B398+IF($R$17="Distrato",$I$38-1,0)),IF(AND($L$37=0,$P$34=0),"",$L$37-1),IF($R$17="Distrato",$E398,0)),MIN(AK$38,$D$19),$P$20))-SUM($P398:AJ398)</f>
        <v>#VALUE!</v>
      </c>
      <c r="AL398" s="446" t="e">
        <f>IF(OR($B398="",MIN(AL$38,$D$19)&lt;MAX($P$34*($B398+IF($R$17="Distrato",$I$38-1,0)),IF(AND($L$37=0,$P$34=0),"",$L$37-1),IF($R$17="Distrato",$E398,0))),0,YEARFRAC(MAX($P$34*($B398+IF($R$17="Distrato",$I$38-1,0)),IF(AND($L$37=0,$P$34=0),"",$L$37-1),IF($R$17="Distrato",$E398,0)),MIN(AL$38,$D$19),$P$20))-SUM($P398:AK398)</f>
        <v>#VALUE!</v>
      </c>
      <c r="AM398" s="446" t="e">
        <f>IF(OR($B398="",MIN(AM$38,$D$19)&lt;MAX($P$34*($B398+IF($R$17="Distrato",$I$38-1,0)),IF(AND($L$37=0,$P$34=0),"",$L$37-1),IF($R$17="Distrato",$E398,0))),0,YEARFRAC(MAX($P$34*($B398+IF($R$17="Distrato",$I$38-1,0)),IF(AND($L$37=0,$P$34=0),"",$L$37-1),IF($R$17="Distrato",$E398,0)),MIN(AM$38,$D$19),$P$20))-SUM($P398:AL398)</f>
        <v>#VALUE!</v>
      </c>
      <c r="AN398" s="446" t="e">
        <f>IF(OR($B398="",MIN(AN$38,$D$19)&lt;MAX($P$34*($B398+IF($R$17="Distrato",$I$38-1,0)),IF(AND($L$37=0,$P$34=0),"",$L$37-1),IF($R$17="Distrato",$E398,0))),0,YEARFRAC(MAX($P$34*($B398+IF($R$17="Distrato",$I$38-1,0)),IF(AND($L$37=0,$P$34=0),"",$L$37-1),IF($R$17="Distrato",$E398,0)),MIN(AN$38,$D$19),$P$20))-SUM($P398:AM398)</f>
        <v>#VALUE!</v>
      </c>
      <c r="AO398" s="446" t="e">
        <f>IF(OR($B398="",MIN(AO$38,$D$19)&lt;MAX($P$34*($B398+IF($R$17="Distrato",$I$38-1,0)),IF(AND($L$37=0,$P$34=0),"",$L$37-1),IF($R$17="Distrato",$E398,0))),0,YEARFRAC(MAX($P$34*($B398+IF($R$17="Distrato",$I$38-1,0)),IF(AND($L$37=0,$P$34=0),"",$L$37-1),IF($R$17="Distrato",$E398,0)),MIN(AO$38,$D$19),$P$20))-SUM($P398:AN398)</f>
        <v>#VALUE!</v>
      </c>
      <c r="AP398" s="446" t="e">
        <f>IF(OR($B398="",MIN(AP$38,$D$19)&lt;MAX($P$34*($B398+IF($R$17="Distrato",$I$38-1,0)),IF(AND($L$37=0,$P$34=0),"",$L$37-1),IF($R$17="Distrato",$E398,0))),0,YEARFRAC(MAX($P$34*($B398+IF($R$17="Distrato",$I$38-1,0)),IF(AND($L$37=0,$P$34=0),"",$L$37-1),IF($R$17="Distrato",$E398,0)),MIN(AP$38,$D$19),$P$20))-SUM($P398:AO398)</f>
        <v>#VALUE!</v>
      </c>
      <c r="AQ398" s="446" t="e">
        <f>IF(OR($B398="",MIN(AQ$38,$D$19)&lt;MAX($P$34*($B398+IF($R$17="Distrato",$I$38-1,0)),IF(AND($L$37=0,$P$34=0),"",$L$37-1),IF($R$17="Distrato",$E398,0))),0,YEARFRAC(MAX($P$34*($B398+IF($R$17="Distrato",$I$38-1,0)),IF(AND($L$37=0,$P$34=0),"",$L$37-1),IF($R$17="Distrato",$E398,0)),MIN(AQ$38,$D$19),$P$20))-SUM($P398:AP398)</f>
        <v>#VALUE!</v>
      </c>
      <c r="AR398" s="446" t="e">
        <f>IF(OR($B398="",MIN(AR$38,$D$19)&lt;MAX($P$34*($B398+IF($R$17="Distrato",$I$38-1,0)),IF(AND($L$37=0,$P$34=0),"",$L$37-1),IF($R$17="Distrato",$E398,0))),0,YEARFRAC(MAX($P$34*($B398+IF($R$17="Distrato",$I$38-1,0)),IF(AND($L$37=0,$P$34=0),"",$L$37-1),IF($R$17="Distrato",$E398,0)),MIN(AR$38,$D$19),$P$20))-SUM($P398:AQ398)</f>
        <v>#VALUE!</v>
      </c>
      <c r="AS398" s="446" t="e">
        <f>IF(OR($B398="",MIN(AS$38,$D$19)&lt;MAX($P$34*($B398+IF($R$17="Distrato",$I$38-1,0)),IF(AND($L$37=0,$P$34=0),"",$L$37-1),IF($R$17="Distrato",$E398,0))),0,YEARFRAC(MAX($P$34*($B398+IF($R$17="Distrato",$I$38-1,0)),IF(AND($L$37=0,$P$34=0),"",$L$37-1),IF($R$17="Distrato",$E398,0)),MIN(AS$38,$D$19),$P$20))-SUM($P398:AR398)</f>
        <v>#VALUE!</v>
      </c>
      <c r="AT398" s="446" t="e">
        <f>IF(OR($B398="",MIN(AT$38,$D$19)&lt;MAX($P$34*($B398+IF($R$17="Distrato",$I$38-1,0)),IF(AND($L$37=0,$P$34=0),"",$L$37-1),IF($R$17="Distrato",$E398,0))),0,YEARFRAC(MAX($P$34*($B398+IF($R$17="Distrato",$I$38-1,0)),IF(AND($L$37=0,$P$34=0),"",$L$37-1),IF($R$17="Distrato",$E398,0)),MIN(AT$38,$D$19),$P$20))-SUM($P398:AS398)</f>
        <v>#VALUE!</v>
      </c>
      <c r="AU398" s="446" t="e">
        <f>IF(OR($B398="",MIN(AU$38,$D$19)&lt;MAX($P$34*($B398+IF($R$17="Distrato",$I$38-1,0)),IF(AND($L$37=0,$P$34=0),"",$L$37-1),IF($R$17="Distrato",$E398,0))),0,YEARFRAC(MAX($P$34*($B398+IF($R$17="Distrato",$I$38-1,0)),IF(AND($L$37=0,$P$34=0),"",$L$37-1),IF($R$17="Distrato",$E398,0)),MIN(AU$38,$D$19),$P$20))-SUM($P398:AT398)</f>
        <v>#VALUE!</v>
      </c>
      <c r="AV398" s="446" t="e">
        <f>IF(OR($B398="",MIN(AV$38,$D$19)&lt;MAX($P$34*($B398+IF($R$17="Distrato",$I$38-1,0)),IF(AND($L$37=0,$P$34=0),"",$L$37-1),IF($R$17="Distrato",$E398,0))),0,YEARFRAC(MAX($P$34*($B398+IF($R$17="Distrato",$I$38-1,0)),IF(AND($L$37=0,$P$34=0),"",$L$37-1),IF($R$17="Distrato",$E398,0)),MIN(AV$38,$D$19),$P$20))-SUM($P398:AU398)</f>
        <v>#VALUE!</v>
      </c>
      <c r="AW398" s="446" t="e">
        <f>IF(OR($B398="",MIN(AW$38,$D$19)&lt;MAX($P$34*($B398+IF($R$17="Distrato",$I$38-1,0)),IF(AND($L$37=0,$P$34=0),"",$L$37-1),IF($R$17="Distrato",$E398,0))),0,YEARFRAC(MAX($P$34*($B398+IF($R$17="Distrato",$I$38-1,0)),IF(AND($L$37=0,$P$34=0),"",$L$37-1),IF($R$17="Distrato",$E398,0)),MIN(AW$38,$D$19),$P$20))-SUM($P398:AV398)</f>
        <v>#VALUE!</v>
      </c>
      <c r="AX398" s="446" t="e">
        <f>IF(OR($B398="",MIN(AX$38,$D$19)&lt;MAX($P$34*($B398+IF($R$17="Distrato",$I$38-1,0)),IF(AND($L$37=0,$P$34=0),"",$L$37-1),IF($R$17="Distrato",$E398,0))),0,YEARFRAC(MAX($P$34*($B398+IF($R$17="Distrato",$I$38-1,0)),IF(AND($L$37=0,$P$34=0),"",$L$37-1),IF($R$17="Distrato",$E398,0)),MIN(AX$38,$D$19),$P$20))-SUM($P398:AW398)</f>
        <v>#VALUE!</v>
      </c>
      <c r="AY398" s="446" t="e">
        <f>IF(OR($B398="",MIN(AY$38,$D$19)&lt;MAX($P$34*($B398+IF($R$17="Distrato",$I$38-1,0)),IF(AND($L$37=0,$P$34=0),"",$L$37-1),IF($R$17="Distrato",$E398,0))),0,YEARFRAC(MAX($P$34*($B398+IF($R$17="Distrato",$I$38-1,0)),IF(AND($L$37=0,$P$34=0),"",$L$37-1),IF($R$17="Distrato",$E398,0)),MIN(AY$38,$D$19),$P$20))-SUM($P398:AX398)</f>
        <v>#VALUE!</v>
      </c>
      <c r="AZ398" s="446" t="e">
        <f>IF(OR($B398="",MIN(AZ$38,$D$19)&lt;MAX($P$34*($B398+IF($R$17="Distrato",$I$38-1,0)),IF(AND($L$37=0,$P$34=0),"",$L$37-1),IF($R$17="Distrato",$E398,0))),0,YEARFRAC(MAX($P$34*($B398+IF($R$17="Distrato",$I$38-1,0)),IF(AND($L$37=0,$P$34=0),"",$L$37-1),IF($R$17="Distrato",$E398,0)),MIN(AZ$38,$D$19),$P$20))-SUM($P398:AY398)</f>
        <v>#VALUE!</v>
      </c>
      <c r="BA398" s="446" t="e">
        <f>IF(OR($B398="",MIN(BA$38,$D$19)&lt;MAX($P$34*($B398+IF($R$17="Distrato",$I$38-1,0)),IF(AND($L$37=0,$P$34=0),"",$L$37-1),IF($R$17="Distrato",$E398,0))),0,YEARFRAC(MAX($P$34*($B398+IF($R$17="Distrato",$I$38-1,0)),IF(AND($L$37=0,$P$34=0),"",$L$37-1),IF($R$17="Distrato",$E398,0)),MIN(BA$38,$D$19),$P$20))-SUM($P398:AZ398)</f>
        <v>#VALUE!</v>
      </c>
      <c r="BB398" s="447"/>
      <c r="BF398" s="446">
        <f t="shared" si="65"/>
        <v>0</v>
      </c>
      <c r="BG398" s="446">
        <f>IF($E398=0,0,IF(MIN(BG$38,$E398)&lt;MAX($P$34*($B398+$I$38-1),IF(AND($L$37=0,$P$34=0),"",$L$37-1)),0,YEARFRAC(MAX($P$34*($B398+$I$38-1),IF(AND($L$37=0,$P$34=0),"",$L$37-1)),MIN(BG$38,$E398),$P$20))-SUM($BF398:BF398))</f>
        <v>0</v>
      </c>
      <c r="BH398" s="446">
        <f>IF($E398=0,0,IF(MIN(BH$38,$E398)&lt;MAX($P$34*($B398+$I$38-1),IF(AND($L$37=0,$P$34=0),"",$L$37-1)),0,YEARFRAC(MAX($P$34*($B398+$I$38-1),IF(AND($L$37=0,$P$34=0),"",$L$37-1)),MIN(BH$38,$E398),$P$20))-SUM($BF398:BG398))</f>
        <v>0</v>
      </c>
      <c r="BI398" s="446">
        <f>IF($E398=0,0,IF(MIN(BI$38,$E398)&lt;MAX($P$34*($B398+$I$38-1),IF(AND($L$37=0,$P$34=0),"",$L$37-1)),0,YEARFRAC(MAX($P$34*($B398+$I$38-1),IF(AND($L$37=0,$P$34=0),"",$L$37-1)),MIN(BI$38,$E398),$P$20))-SUM($BF398:BH398))</f>
        <v>0</v>
      </c>
      <c r="BJ398" s="446">
        <f>IF($E398=0,0,IF(MIN(BJ$38,$E398)&lt;MAX($P$34*($B398+$I$38-1),IF(AND($L$37=0,$P$34=0),"",$L$37-1)),0,YEARFRAC(MAX($P$34*($B398+$I$38-1),IF(AND($L$37=0,$P$34=0),"",$L$37-1)),MIN(BJ$38,$E398),$P$20))-SUM($BF398:BI398))</f>
        <v>0</v>
      </c>
      <c r="BK398" s="446">
        <f>IF($E398=0,0,IF(MIN(BK$38,$E398)&lt;MAX($P$34*($B398+$I$38-1),IF(AND($L$37=0,$P$34=0),"",$L$37-1)),0,YEARFRAC(MAX($P$34*($B398+$I$38-1),IF(AND($L$37=0,$P$34=0),"",$L$37-1)),MIN(BK$38,$E398),$P$20))-SUM($BF398:BJ398))</f>
        <v>0</v>
      </c>
      <c r="BL398" s="446">
        <f>IF($E398=0,0,IF(MIN(BL$38,$E398)&lt;MAX($P$34*($B398+$I$38-1),IF(AND($L$37=0,$P$34=0),"",$L$37-1)),0,YEARFRAC(MAX($P$34*($B398+$I$38-1),IF(AND($L$37=0,$P$34=0),"",$L$37-1)),MIN(BL$38,$E398),$P$20))-SUM($BF398:BK398))</f>
        <v>0</v>
      </c>
      <c r="BM398" s="446">
        <f>IF($E398=0,0,IF(MIN(BM$38,$E398)&lt;MAX($P$34*($B398+$I$38-1),IF(AND($L$37=0,$P$34=0),"",$L$37-1)),0,YEARFRAC(MAX($P$34*($B398+$I$38-1),IF(AND($L$37=0,$P$34=0),"",$L$37-1)),MIN(BM$38,$E398),$P$20))-SUM($BF398:BL398))</f>
        <v>0</v>
      </c>
      <c r="BN398" s="446">
        <f>IF($E398=0,0,IF(MIN(BN$38,$E398)&lt;MAX($P$34*($B398+$I$38-1),IF(AND($L$37=0,$P$34=0),"",$L$37-1)),0,YEARFRAC(MAX($P$34*($B398+$I$38-1),IF(AND($L$37=0,$P$34=0),"",$L$37-1)),MIN(BN$38,$E398),$P$20))-SUM($BF398:BM398))</f>
        <v>0</v>
      </c>
      <c r="BO398" s="446">
        <f>IF($E398=0,0,IF(MIN(BO$38,$E398)&lt;MAX($P$34*($B398+$I$38-1),IF(AND($L$37=0,$P$34=0),"",$L$37-1)),0,YEARFRAC(MAX($P$34*($B398+$I$38-1),IF(AND($L$37=0,$P$34=0),"",$L$37-1)),MIN(BO$38,$E398),$P$20))-SUM($BF398:BN398))</f>
        <v>0</v>
      </c>
      <c r="BP398" s="446">
        <f>IF($E398=0,0,IF(MIN(BP$38,$E398)&lt;MAX($P$34*($B398+$I$38-1),IF(AND($L$37=0,$P$34=0),"",$L$37-1)),0,YEARFRAC(MAX($P$34*($B398+$I$38-1),IF(AND($L$37=0,$P$34=0),"",$L$37-1)),MIN(BP$38,$E398),$P$20))-SUM($BF398:BO398))</f>
        <v>0</v>
      </c>
      <c r="BQ398" s="446">
        <f>IF($E398=0,0,IF(MIN(BQ$38,$E398)&lt;MAX($P$34*($B398+$I$38-1),IF(AND($L$37=0,$P$34=0),"",$L$37-1)),0,YEARFRAC(MAX($P$34*($B398+$I$38-1),IF(AND($L$37=0,$P$34=0),"",$L$37-1)),MIN(BQ$38,$E398),$P$20))-SUM($BF398:BP398))</f>
        <v>0</v>
      </c>
      <c r="BR398" s="446">
        <f>IF($E398=0,0,IF(MIN(BR$38,$E398)&lt;MAX($P$34*($B398+$I$38-1),IF(AND($L$37=0,$P$34=0),"",$L$37-1)),0,YEARFRAC(MAX($P$34*($B398+$I$38-1),IF(AND($L$37=0,$P$34=0),"",$L$37-1)),MIN(BR$38,$E398),$P$20))-SUM($BF398:BQ398))</f>
        <v>0</v>
      </c>
      <c r="BS398" s="446">
        <f>IF($E398=0,0,IF(MIN(BS$38,$E398)&lt;MAX($P$34*($B398+$I$38-1),IF(AND($L$37=0,$P$34=0),"",$L$37-1)),0,YEARFRAC(MAX($P$34*($B398+$I$38-1),IF(AND($L$37=0,$P$34=0),"",$L$37-1)),MIN(BS$38,$E398),$P$20))-SUM($BF398:BR398))</f>
        <v>0</v>
      </c>
      <c r="BT398" s="446">
        <f>IF($E398=0,0,IF(MIN(BT$38,$E398)&lt;MAX($P$34*($B398+$I$38-1),IF(AND($L$37=0,$P$34=0),"",$L$37-1)),0,YEARFRAC(MAX($P$34*($B398+$I$38-1),IF(AND($L$37=0,$P$34=0),"",$L$37-1)),MIN(BT$38,$E398),$P$20))-SUM($BF398:BS398))</f>
        <v>0</v>
      </c>
      <c r="BU398" s="446">
        <f>IF($E398=0,0,IF(MIN(BU$38,$E398)&lt;MAX($P$34*($B398+$I$38-1),IF(AND($L$37=0,$P$34=0),"",$L$37-1)),0,YEARFRAC(MAX($P$34*($B398+$I$38-1),IF(AND($L$37=0,$P$34=0),"",$L$37-1)),MIN(BU$38,$E398),$P$20))-SUM($BF398:BT398))</f>
        <v>0</v>
      </c>
      <c r="BV398" s="446">
        <f>IF($E398=0,0,IF(MIN(BV$38,$E398)&lt;MAX($P$34*($B398+$I$38-1),IF(AND($L$37=0,$P$34=0),"",$L$37-1)),0,YEARFRAC(MAX($P$34*($B398+$I$38-1),IF(AND($L$37=0,$P$34=0),"",$L$37-1)),MIN(BV$38,$E398),$P$20))-SUM($BF398:BU398))</f>
        <v>0</v>
      </c>
      <c r="BW398" s="446">
        <f>IF($E398=0,0,IF(MIN(BW$38,$E398)&lt;MAX($P$34*($B398+$I$38-1),IF(AND($L$37=0,$P$34=0),"",$L$37-1)),0,YEARFRAC(MAX($P$34*($B398+$I$38-1),IF(AND($L$37=0,$P$34=0),"",$L$37-1)),MIN(BW$38,$E398),$P$20))-SUM($BF398:BV398))</f>
        <v>0</v>
      </c>
      <c r="BX398" s="446">
        <f>IF($E398=0,0,IF(MIN(BX$38,$E398)&lt;MAX($P$34*($B398+$I$38-1),IF(AND($L$37=0,$P$34=0),"",$L$37-1)),0,YEARFRAC(MAX($P$34*($B398+$I$38-1),IF(AND($L$37=0,$P$34=0),"",$L$37-1)),MIN(BX$38,$E398),$P$20))-SUM($BF398:BW398))</f>
        <v>0</v>
      </c>
      <c r="BY398" s="446">
        <f>IF($E398=0,0,IF(MIN(BY$38,$E398)&lt;MAX($P$34*($B398+$I$38-1),IF(AND($L$37=0,$P$34=0),"",$L$37-1)),0,YEARFRAC(MAX($P$34*($B398+$I$38-1),IF(AND($L$37=0,$P$34=0),"",$L$37-1)),MIN(BY$38,$E398),$P$20))-SUM($BF398:BX398))</f>
        <v>0</v>
      </c>
      <c r="BZ398" s="446">
        <f>IF($E398=0,0,IF(MIN(BZ$38,$E398)&lt;MAX($P$34*($B398+$I$38-1),IF(AND($L$37=0,$P$34=0),"",$L$37-1)),0,YEARFRAC(MAX($P$34*($B398+$I$38-1),IF(AND($L$37=0,$P$34=0),"",$L$37-1)),MIN(BZ$38,$E398),$P$20))-SUM($BF398:BY398))</f>
        <v>0</v>
      </c>
      <c r="CA398" s="446">
        <f>IF($E398=0,0,IF(MIN(CA$38,$E398)&lt;MAX($P$34*($B398+$I$38-1),IF(AND($L$37=0,$P$34=0),"",$L$37-1)),0,YEARFRAC(MAX($P$34*($B398+$I$38-1),IF(AND($L$37=0,$P$34=0),"",$L$37-1)),MIN(CA$38,$E398),$P$20))-SUM($BF398:BZ398))</f>
        <v>0</v>
      </c>
      <c r="CB398" s="446">
        <f>IF($E398=0,0,IF(MIN(CB$38,$E398)&lt;MAX($P$34*($B398+$I$38-1),IF(AND($L$37=0,$P$34=0),"",$L$37-1)),0,YEARFRAC(MAX($P$34*($B398+$I$38-1),IF(AND($L$37=0,$P$34=0),"",$L$37-1)),MIN(CB$38,$E398),$P$20))-SUM($BF398:CA398))</f>
        <v>0</v>
      </c>
      <c r="CC398" s="446">
        <f>IF($E398=0,0,IF(MIN(CC$38,$E398)&lt;MAX($P$34*($B398+$I$38-1),IF(AND($L$37=0,$P$34=0),"",$L$37-1)),0,YEARFRAC(MAX($P$34*($B398+$I$38-1),IF(AND($L$37=0,$P$34=0),"",$L$37-1)),MIN(CC$38,$E398),$P$20))-SUM($BF398:CB398))</f>
        <v>0</v>
      </c>
      <c r="CD398" s="446">
        <f>IF($E398=0,0,IF(MIN(CD$38,$E398)&lt;MAX($P$34*($B398+$I$38-1),IF(AND($L$37=0,$P$34=0),"",$L$37-1)),0,YEARFRAC(MAX($P$34*($B398+$I$38-1),IF(AND($L$37=0,$P$34=0),"",$L$37-1)),MIN(CD$38,$E398),$P$20))-SUM($BF398:CC398))</f>
        <v>0</v>
      </c>
      <c r="CE398" s="446">
        <f>IF($E398=0,0,IF(MIN(CE$38,$E398)&lt;MAX($P$34*($B398+$I$38-1),IF(AND($L$37=0,$P$34=0),"",$L$37-1)),0,YEARFRAC(MAX($P$34*($B398+$I$38-1),IF(AND($L$37=0,$P$34=0),"",$L$37-1)),MIN(CE$38,$E398),$P$20))-SUM($BF398:CD398))</f>
        <v>0</v>
      </c>
      <c r="CF398" s="446">
        <f>IF($E398=0,0,IF(MIN(CF$38,$E398)&lt;MAX($P$34*($B398+$I$38-1),IF(AND($L$37=0,$P$34=0),"",$L$37-1)),0,YEARFRAC(MAX($P$34*($B398+$I$38-1),IF(AND($L$37=0,$P$34=0),"",$L$37-1)),MIN(CF$38,$E398),$P$20))-SUM($BF398:CE398))</f>
        <v>0</v>
      </c>
      <c r="CG398" s="446">
        <f>IF($E398=0,0,IF(MIN(CG$38,$E398)&lt;MAX($P$34*($B398+$I$38-1),IF(AND($L$37=0,$P$34=0),"",$L$37-1)),0,YEARFRAC(MAX($P$34*($B398+$I$38-1),IF(AND($L$37=0,$P$34=0),"",$L$37-1)),MIN(CG$38,$E398),$P$20))-SUM($BF398:CF398))</f>
        <v>0</v>
      </c>
      <c r="CH398" s="446">
        <f>IF($E398=0,0,IF(MIN(CH$38,$E398)&lt;MAX($P$34*($B398+$I$38-1),IF(AND($L$37=0,$P$34=0),"",$L$37-1)),0,YEARFRAC(MAX($P$34*($B398+$I$38-1),IF(AND($L$37=0,$P$34=0),"",$L$37-1)),MIN(CH$38,$E398),$P$20))-SUM($BF398:CG398))</f>
        <v>0</v>
      </c>
      <c r="CI398" s="446">
        <f>IF($E398=0,0,IF(MIN(CI$38,$E398)&lt;MAX($P$34*($B398+$I$38-1),IF(AND($L$37=0,$P$34=0),"",$L$37-1)),0,YEARFRAC(MAX($P$34*($B398+$I$38-1),IF(AND($L$37=0,$P$34=0),"",$L$37-1)),MIN(CI$38,$E398),$P$20))-SUM($BF398:CH398))</f>
        <v>0</v>
      </c>
      <c r="CJ398" s="446">
        <f>IF($E398=0,0,IF(MIN(CJ$38,$E398)&lt;MAX($P$34*($B398+$I$38-1),IF(AND($L$37=0,$P$34=0),"",$L$37-1)),0,YEARFRAC(MAX($P$34*($B398+$I$38-1),IF(AND($L$37=0,$P$34=0),"",$L$37-1)),MIN(CJ$38,$E398),$P$20))-SUM($BF398:CI398))</f>
        <v>0</v>
      </c>
      <c r="CK398" s="446">
        <f>IF($E398=0,0,IF(MIN(CK$38,$E398)&lt;MAX($P$34*($B398+$I$38-1),IF(AND($L$37=0,$P$34=0),"",$L$37-1)),0,YEARFRAC(MAX($P$34*($B398+$I$38-1),IF(AND($L$37=0,$P$34=0),"",$L$37-1)),MIN(CK$38,$E398),$P$20))-SUM($BF398:CJ398))</f>
        <v>0</v>
      </c>
      <c r="CL398" s="446">
        <f>IF($E398=0,0,IF(MIN(CL$38,$E398)&lt;MAX($P$34*($B398+$I$38-1),IF(AND($L$37=0,$P$34=0),"",$L$37-1)),0,YEARFRAC(MAX($P$34*($B398+$I$38-1),IF(AND($L$37=0,$P$34=0),"",$L$37-1)),MIN(CL$38,$E398),$P$20))-SUM($BF398:CK398))</f>
        <v>0</v>
      </c>
      <c r="CM398" s="446">
        <f>IF($E398=0,0,IF(MIN(CM$38,$E398)&lt;MAX($P$34*($B398+$I$38-1),IF(AND($L$37=0,$P$34=0),"",$L$37-1)),0,YEARFRAC(MAX($P$34*($B398+$I$38-1),IF(AND($L$37=0,$P$34=0),"",$L$37-1)),MIN(CM$38,$E398),$P$20))-SUM($BF398:CL398))</f>
        <v>0</v>
      </c>
      <c r="CN398" s="446">
        <f>IF($E398=0,0,IF(MIN(CN$38,$E398)&lt;MAX($P$34*($B398+$I$38-1),IF(AND($L$37=0,$P$34=0),"",$L$37-1)),0,YEARFRAC(MAX($P$34*($B398+$I$38-1),IF(AND($L$37=0,$P$34=0),"",$L$37-1)),MIN(CN$38,$E398),$P$20))-SUM($BF398:CM398))</f>
        <v>0</v>
      </c>
      <c r="CO398" s="446">
        <f>IF($E398=0,0,IF(MIN(CO$38,$E398)&lt;MAX($P$34*($B398+$I$38-1),IF(AND($L$37=0,$P$34=0),"",$L$37-1)),0,YEARFRAC(MAX($P$34*($B398+$I$38-1),IF(AND($L$37=0,$P$34=0),"",$L$37-1)),MIN(CO$38,$E398),$P$20))-SUM($BF398:CN398))</f>
        <v>0</v>
      </c>
      <c r="CP398" s="446">
        <f>IF($E398=0,0,IF(MIN(CP$38,$E398)&lt;MAX($P$34*($B398+$I$38-1),IF(AND($L$37=0,$P$34=0),"",$L$37-1)),0,YEARFRAC(MAX($P$34*($B398+$I$38-1),IF(AND($L$37=0,$P$34=0),"",$L$37-1)),MIN(CP$38,$E398),$P$20))-SUM($BF398:CO398))</f>
        <v>0</v>
      </c>
      <c r="CQ398" s="446">
        <f>IF($E398=0,0,IF(MIN(CQ$38,$E398)&lt;MAX($P$34*($B398+$I$38-1),IF(AND($L$37=0,$P$34=0),"",$L$37-1)),0,YEARFRAC(MAX($P$34*($B398+$I$38-1),IF(AND($L$37=0,$P$34=0),"",$L$37-1)),MIN(CQ$38,$E398),$P$20))-SUM($BF398:CP398))</f>
        <v>0</v>
      </c>
    </row>
    <row r="399" spans="1:95" s="446" customFormat="1" ht="11.25" hidden="1" customHeight="1" x14ac:dyDescent="0.2">
      <c r="A399" s="152"/>
      <c r="B399" s="153" t="str">
        <f t="shared" si="70"/>
        <v/>
      </c>
      <c r="C399" s="29" t="str">
        <f>IF(B399="","",IF($L$35="SELIC - TRIBUTOS",VLOOKUP(DATE(YEAR($D$19),MONTH($D$19)-1,1),ÍNDICES!$A:$DE,HLOOKUP($BL$25,ÍNDICES!$B$3:$T$4,2)+11)-VLOOKUP(B399,ÍNDICES!$A:$DE,HLOOKUP($BL$25,ÍNDICES!$B$3:$T$4,2)+11)+1%,IF(C$38=$W$26,$J$35,IF(ISERROR(IF(B399&gt;$D$19,1,VLOOKUP(DATE(YEAR(B399),MONTH(B399)+IF($C$35=$S$23,1,0),1),ÍNDICES!$A:$DE,$Z$35+1))),"",IF(B399&gt;$D$19,1,VLOOKUP(DATE(YEAR(B399),MONTH(B399)+IF($C$35=$S$23,1,0),1),ÍNDICES!$A:$DE,$Z$35+1))))))</f>
        <v/>
      </c>
      <c r="D399" s="154" t="str">
        <f>IF(ISERROR(IF(OR($D$38=$Y$27,$B399=""),"",VLOOKUP(B399,ÍNDICES!A:DE,AF$35+1))),"",IF(OR($D$38=$Y$27,$B399=""),"",VLOOKUP(B399,ÍNDICES!A:DE,AF$35+1)))</f>
        <v/>
      </c>
      <c r="E399" s="153"/>
      <c r="F399" s="29" t="str">
        <f>IF(E399="","",IF($L$35="SELIC - TRIBUTOS",VLOOKUP(DATE(YEAR($D$19),MONTH($D$19)-1,1),ÍNDICES!$A:$DE,HLOOKUP($BL$25,ÍNDICES!$B$3:$T$4,2)+11)-VLOOKUP(E399,ÍNDICES!$A:$DE,HLOOKUP($BL$25,ÍNDICES!$B$3:$T$4,2)+11)+1%,IF(F$38=$W$26,$J$35,IF(ISERROR(IF(E399&gt;$D$19,1,VLOOKUP(DATE(YEAR(E399),MONTH(E399)+IF($C$35=$S$23,1,0),1),ÍNDICES!$A:$DE,$Z$35+1))),"",IF(E399&gt;$D$19,1,VLOOKUP(DATE(YEAR(E399),MONTH(E399)+IF($C$35=$S$23,1,0),1),ÍNDICES!$A:$DE,$Z$35+1))))))</f>
        <v/>
      </c>
      <c r="G399" s="155"/>
      <c r="H399" s="156" t="str">
        <f t="shared" si="66"/>
        <v/>
      </c>
      <c r="I399" s="29" t="str">
        <f t="shared" si="60"/>
        <v/>
      </c>
      <c r="J399" s="5">
        <f t="shared" si="61"/>
        <v>0</v>
      </c>
      <c r="K399" s="20">
        <f t="shared" ca="1" si="62"/>
        <v>0</v>
      </c>
      <c r="L399" s="5">
        <f t="shared" ca="1" si="63"/>
        <v>0</v>
      </c>
      <c r="M399" s="64">
        <f t="shared" si="67"/>
        <v>0</v>
      </c>
      <c r="N399" s="61">
        <f t="shared" ca="1" si="68"/>
        <v>0</v>
      </c>
      <c r="O399" s="5">
        <f t="shared" ca="1" si="69"/>
        <v>0</v>
      </c>
      <c r="P399" s="446" t="e">
        <f t="shared" si="64"/>
        <v>#VALUE!</v>
      </c>
      <c r="Q399" s="446" t="e">
        <f>IF(OR($B399="",MIN(Q$38,$D$19)&lt;MAX($P$34*($B399+IF($R$17="Distrato",$I$38-1,0)),IF(AND($L$37=0,$P$34=0),"",$L$37-1),IF($R$17="Distrato",$E399,0))),0,YEARFRAC(MAX($P$34*($B399+IF($R$17="Distrato",$I$38-1,0)),IF(AND($L$37=0,$P$34=0),"",$L$37-1),IF($R$17="Distrato",$E399,0)),MIN(Q$38,$D$19),$P$20))-SUM($P399:P399)</f>
        <v>#VALUE!</v>
      </c>
      <c r="R399" s="446" t="e">
        <f>IF(OR($B399="",MIN(R$38,$D$19)&lt;MAX($P$34*($B399+IF($R$17="Distrato",$I$38-1,0)),IF(AND($L$37=0,$P$34=0),"",$L$37-1),IF($R$17="Distrato",$E399,0))),0,YEARFRAC(MAX($P$34*($B399+IF($R$17="Distrato",$I$38-1,0)),IF(AND($L$37=0,$P$34=0),"",$L$37-1),IF($R$17="Distrato",$E399,0)),MIN(R$38,$D$19),$P$20))-SUM($P399:Q399)</f>
        <v>#VALUE!</v>
      </c>
      <c r="S399" s="446" t="e">
        <f>IF(OR($B399="",MIN(S$38,$D$19)&lt;MAX($P$34*($B399+IF($R$17="Distrato",$I$38-1,0)),IF(AND($L$37=0,$P$34=0),"",$L$37-1),IF($R$17="Distrato",$E399,0))),0,YEARFRAC(MAX($P$34*($B399+IF($R$17="Distrato",$I$38-1,0)),IF(AND($L$37=0,$P$34=0),"",$L$37-1),IF($R$17="Distrato",$E399,0)),MIN(S$38,$D$19),$P$20))-SUM($P399:R399)</f>
        <v>#VALUE!</v>
      </c>
      <c r="T399" s="446" t="e">
        <f>IF(OR($B399="",MIN(T$38,$D$19)&lt;MAX($P$34*($B399+IF($R$17="Distrato",$I$38-1,0)),IF(AND($L$37=0,$P$34=0),"",$L$37-1),IF($R$17="Distrato",$E399,0))),0,YEARFRAC(MAX($P$34*($B399+IF($R$17="Distrato",$I$38-1,0)),IF(AND($L$37=0,$P$34=0),"",$L$37-1),IF($R$17="Distrato",$E399,0)),MIN(T$38,$D$19),$P$20))-SUM($P399:S399)</f>
        <v>#VALUE!</v>
      </c>
      <c r="U399" s="446" t="e">
        <f>IF(OR($B399="",MIN(U$38,$D$19)&lt;MAX($P$34*($B399+IF($R$17="Distrato",$I$38-1,0)),IF(AND($L$37=0,$P$34=0),"",$L$37-1),IF($R$17="Distrato",$E399,0))),0,YEARFRAC(MAX($P$34*($B399+IF($R$17="Distrato",$I$38-1,0)),IF(AND($L$37=0,$P$34=0),"",$L$37-1),IF($R$17="Distrato",$E399,0)),MIN(U$38,$D$19),$P$20))-SUM($P399:T399)</f>
        <v>#VALUE!</v>
      </c>
      <c r="V399" s="446" t="e">
        <f>IF(OR($B399="",MIN(V$38,$D$19)&lt;MAX($P$34*($B399+IF($R$17="Distrato",$I$38-1,0)),IF(AND($L$37=0,$P$34=0),"",$L$37-1),IF($R$17="Distrato",$E399,0))),0,YEARFRAC(MAX($P$34*($B399+IF($R$17="Distrato",$I$38-1,0)),IF(AND($L$37=0,$P$34=0),"",$L$37-1),IF($R$17="Distrato",$E399,0)),MIN(V$38,$D$19),$P$20))-SUM($P399:U399)</f>
        <v>#VALUE!</v>
      </c>
      <c r="W399" s="446" t="e">
        <f>IF(OR($B399="",MIN(W$38,$D$19)&lt;MAX($P$34*($B399+IF($R$17="Distrato",$I$38-1,0)),IF(AND($L$37=0,$P$34=0),"",$L$37-1),IF($R$17="Distrato",$E399,0))),0,YEARFRAC(MAX($P$34*($B399+IF($R$17="Distrato",$I$38-1,0)),IF(AND($L$37=0,$P$34=0),"",$L$37-1),IF($R$17="Distrato",$E399,0)),MIN(W$38,$D$19),$P$20))-SUM($P399:V399)</f>
        <v>#VALUE!</v>
      </c>
      <c r="X399" s="446" t="e">
        <f>IF(OR($B399="",MIN(X$38,$D$19)&lt;MAX($P$34*($B399+IF($R$17="Distrato",$I$38-1,0)),IF(AND($L$37=0,$P$34=0),"",$L$37-1),IF($R$17="Distrato",$E399,0))),0,YEARFRAC(MAX($P$34*($B399+IF($R$17="Distrato",$I$38-1,0)),IF(AND($L$37=0,$P$34=0),"",$L$37-1),IF($R$17="Distrato",$E399,0)),MIN(X$38,$D$19),$P$20))-SUM($P399:W399)</f>
        <v>#VALUE!</v>
      </c>
      <c r="Y399" s="446" t="e">
        <f>IF(OR($B399="",MIN(Y$38,$D$19)&lt;MAX($P$34*($B399+IF($R$17="Distrato",$I$38-1,0)),IF(AND($L$37=0,$P$34=0),"",$L$37-1),IF($R$17="Distrato",$E399,0))),0,YEARFRAC(MAX($P$34*($B399+IF($R$17="Distrato",$I$38-1,0)),IF(AND($L$37=0,$P$34=0),"",$L$37-1),IF($R$17="Distrato",$E399,0)),MIN(Y$38,$D$19),$P$20))-SUM($P399:X399)</f>
        <v>#VALUE!</v>
      </c>
      <c r="Z399" s="446" t="e">
        <f>IF(OR($B399="",MIN(Z$38,$D$19)&lt;MAX($P$34*($B399+IF($R$17="Distrato",$I$38-1,0)),IF(AND($L$37=0,$P$34=0),"",$L$37-1),IF($R$17="Distrato",$E399,0))),0,YEARFRAC(MAX($P$34*($B399+IF($R$17="Distrato",$I$38-1,0)),IF(AND($L$37=0,$P$34=0),"",$L$37-1),IF($R$17="Distrato",$E399,0)),MIN(Z$38,$D$19),$P$20))-SUM($P399:Y399)</f>
        <v>#VALUE!</v>
      </c>
      <c r="AA399" s="446" t="e">
        <f>IF(OR($B399="",MIN(AA$38,$D$19)&lt;MAX($P$34*($B399+IF($R$17="Distrato",$I$38-1,0)),IF(AND($L$37=0,$P$34=0),"",$L$37-1),IF($R$17="Distrato",$E399,0))),0,YEARFRAC(MAX($P$34*($B399+IF($R$17="Distrato",$I$38-1,0)),IF(AND($L$37=0,$P$34=0),"",$L$37-1),IF($R$17="Distrato",$E399,0)),MIN(AA$38,$D$19),$P$20))-SUM($P399:Z399)</f>
        <v>#VALUE!</v>
      </c>
      <c r="AB399" s="446" t="e">
        <f>IF(OR($B399="",MIN(AB$38,$D$19)&lt;MAX($P$34*($B399+IF($R$17="Distrato",$I$38-1,0)),IF(AND($L$37=0,$P$34=0),"",$L$37-1),IF($R$17="Distrato",$E399,0))),0,YEARFRAC(MAX($P$34*($B399+IF($R$17="Distrato",$I$38-1,0)),IF(AND($L$37=0,$P$34=0),"",$L$37-1),IF($R$17="Distrato",$E399,0)),MIN(AB$38,$D$19),$P$20))-SUM($P399:AA399)</f>
        <v>#VALUE!</v>
      </c>
      <c r="AC399" s="446" t="e">
        <f>IF(OR($B399="",MIN(AC$38,$D$19)&lt;MAX($P$34*($B399+IF($R$17="Distrato",$I$38-1,0)),IF(AND($L$37=0,$P$34=0),"",$L$37-1),IF($R$17="Distrato",$E399,0))),0,YEARFRAC(MAX($P$34*($B399+IF($R$17="Distrato",$I$38-1,0)),IF(AND($L$37=0,$P$34=0),"",$L$37-1),IF($R$17="Distrato",$E399,0)),MIN(AC$38,$D$19),$P$20))-SUM($P399:AB399)</f>
        <v>#VALUE!</v>
      </c>
      <c r="AD399" s="446" t="e">
        <f>IF(OR($B399="",MIN(AD$38,$D$19)&lt;MAX($P$34*($B399+IF($R$17="Distrato",$I$38-1,0)),IF(AND($L$37=0,$P$34=0),"",$L$37-1),IF($R$17="Distrato",$E399,0))),0,YEARFRAC(MAX($P$34*($B399+IF($R$17="Distrato",$I$38-1,0)),IF(AND($L$37=0,$P$34=0),"",$L$37-1),IF($R$17="Distrato",$E399,0)),MIN(AD$38,$D$19),$P$20))-SUM($P399:AC399)</f>
        <v>#VALUE!</v>
      </c>
      <c r="AE399" s="446" t="e">
        <f>IF(OR($B399="",MIN(AE$38,$D$19)&lt;MAX($P$34*($B399+IF($R$17="Distrato",$I$38-1,0)),IF(AND($L$37=0,$P$34=0),"",$L$37-1),IF($R$17="Distrato",$E399,0))),0,YEARFRAC(MAX($P$34*($B399+IF($R$17="Distrato",$I$38-1,0)),IF(AND($L$37=0,$P$34=0),"",$L$37-1),IF($R$17="Distrato",$E399,0)),MIN(AE$38,$D$19),$P$20))-SUM($P399:AD399)</f>
        <v>#VALUE!</v>
      </c>
      <c r="AF399" s="446" t="e">
        <f>IF(OR($B399="",MIN(AF$38,$D$19)&lt;MAX($P$34*($B399+IF($R$17="Distrato",$I$38-1,0)),IF(AND($L$37=0,$P$34=0),"",$L$37-1),IF($R$17="Distrato",$E399,0))),0,YEARFRAC(MAX($P$34*($B399+IF($R$17="Distrato",$I$38-1,0)),IF(AND($L$37=0,$P$34=0),"",$L$37-1),IF($R$17="Distrato",$E399,0)),MIN(AF$38,$D$19),$P$20))-SUM($P399:AE399)</f>
        <v>#VALUE!</v>
      </c>
      <c r="AG399" s="446" t="e">
        <f>IF(OR($B399="",MIN(AG$38,$D$19)&lt;MAX($P$34*($B399+IF($R$17="Distrato",$I$38-1,0)),IF(AND($L$37=0,$P$34=0),"",$L$37-1),IF($R$17="Distrato",$E399,0))),0,YEARFRAC(MAX($P$34*($B399+IF($R$17="Distrato",$I$38-1,0)),IF(AND($L$37=0,$P$34=0),"",$L$37-1),IF($R$17="Distrato",$E399,0)),MIN(AG$38,$D$19),$P$20))-SUM($P399:AF399)</f>
        <v>#VALUE!</v>
      </c>
      <c r="AH399" s="446" t="e">
        <f>IF(OR($B399="",MIN(AH$38,$D$19)&lt;MAX($P$34*($B399+IF($R$17="Distrato",$I$38-1,0)),IF(AND($L$37=0,$P$34=0),"",$L$37-1),IF($R$17="Distrato",$E399,0))),0,YEARFRAC(MAX($P$34*($B399+IF($R$17="Distrato",$I$38-1,0)),IF(AND($L$37=0,$P$34=0),"",$L$37-1),IF($R$17="Distrato",$E399,0)),MIN(AH$38,$D$19),$P$20))-SUM($P399:AG399)</f>
        <v>#VALUE!</v>
      </c>
      <c r="AI399" s="446" t="e">
        <f>IF(OR($B399="",MIN(AI$38,$D$19)&lt;MAX($P$34*($B399+IF($R$17="Distrato",$I$38-1,0)),IF(AND($L$37=0,$P$34=0),"",$L$37-1),IF($R$17="Distrato",$E399,0))),0,YEARFRAC(MAX($P$34*($B399+IF($R$17="Distrato",$I$38-1,0)),IF(AND($L$37=0,$P$34=0),"",$L$37-1),IF($R$17="Distrato",$E399,0)),MIN(AI$38,$D$19),$P$20))-SUM($P399:AH399)</f>
        <v>#VALUE!</v>
      </c>
      <c r="AJ399" s="446" t="e">
        <f>IF(OR($B399="",MIN(AJ$38,$D$19)&lt;MAX($P$34*($B399+IF($R$17="Distrato",$I$38-1,0)),IF(AND($L$37=0,$P$34=0),"",$L$37-1),IF($R$17="Distrato",$E399,0))),0,YEARFRAC(MAX($P$34*($B399+IF($R$17="Distrato",$I$38-1,0)),IF(AND($L$37=0,$P$34=0),"",$L$37-1),IF($R$17="Distrato",$E399,0)),MIN(AJ$38,$D$19),$P$20))-SUM($P399:AI399)</f>
        <v>#VALUE!</v>
      </c>
      <c r="AK399" s="446" t="e">
        <f>IF(OR($B399="",MIN(AK$38,$D$19)&lt;MAX($P$34*($B399+IF($R$17="Distrato",$I$38-1,0)),IF(AND($L$37=0,$P$34=0),"",$L$37-1),IF($R$17="Distrato",$E399,0))),0,YEARFRAC(MAX($P$34*($B399+IF($R$17="Distrato",$I$38-1,0)),IF(AND($L$37=0,$P$34=0),"",$L$37-1),IF($R$17="Distrato",$E399,0)),MIN(AK$38,$D$19),$P$20))-SUM($P399:AJ399)</f>
        <v>#VALUE!</v>
      </c>
      <c r="AL399" s="446" t="e">
        <f>IF(OR($B399="",MIN(AL$38,$D$19)&lt;MAX($P$34*($B399+IF($R$17="Distrato",$I$38-1,0)),IF(AND($L$37=0,$P$34=0),"",$L$37-1),IF($R$17="Distrato",$E399,0))),0,YEARFRAC(MAX($P$34*($B399+IF($R$17="Distrato",$I$38-1,0)),IF(AND($L$37=0,$P$34=0),"",$L$37-1),IF($R$17="Distrato",$E399,0)),MIN(AL$38,$D$19),$P$20))-SUM($P399:AK399)</f>
        <v>#VALUE!</v>
      </c>
      <c r="AM399" s="446" t="e">
        <f>IF(OR($B399="",MIN(AM$38,$D$19)&lt;MAX($P$34*($B399+IF($R$17="Distrato",$I$38-1,0)),IF(AND($L$37=0,$P$34=0),"",$L$37-1),IF($R$17="Distrato",$E399,0))),0,YEARFRAC(MAX($P$34*($B399+IF($R$17="Distrato",$I$38-1,0)),IF(AND($L$37=0,$P$34=0),"",$L$37-1),IF($R$17="Distrato",$E399,0)),MIN(AM$38,$D$19),$P$20))-SUM($P399:AL399)</f>
        <v>#VALUE!</v>
      </c>
      <c r="AN399" s="446" t="e">
        <f>IF(OR($B399="",MIN(AN$38,$D$19)&lt;MAX($P$34*($B399+IF($R$17="Distrato",$I$38-1,0)),IF(AND($L$37=0,$P$34=0),"",$L$37-1),IF($R$17="Distrato",$E399,0))),0,YEARFRAC(MAX($P$34*($B399+IF($R$17="Distrato",$I$38-1,0)),IF(AND($L$37=0,$P$34=0),"",$L$37-1),IF($R$17="Distrato",$E399,0)),MIN(AN$38,$D$19),$P$20))-SUM($P399:AM399)</f>
        <v>#VALUE!</v>
      </c>
      <c r="AO399" s="446" t="e">
        <f>IF(OR($B399="",MIN(AO$38,$D$19)&lt;MAX($P$34*($B399+IF($R$17="Distrato",$I$38-1,0)),IF(AND($L$37=0,$P$34=0),"",$L$37-1),IF($R$17="Distrato",$E399,0))),0,YEARFRAC(MAX($P$34*($B399+IF($R$17="Distrato",$I$38-1,0)),IF(AND($L$37=0,$P$34=0),"",$L$37-1),IF($R$17="Distrato",$E399,0)),MIN(AO$38,$D$19),$P$20))-SUM($P399:AN399)</f>
        <v>#VALUE!</v>
      </c>
      <c r="AP399" s="446" t="e">
        <f>IF(OR($B399="",MIN(AP$38,$D$19)&lt;MAX($P$34*($B399+IF($R$17="Distrato",$I$38-1,0)),IF(AND($L$37=0,$P$34=0),"",$L$37-1),IF($R$17="Distrato",$E399,0))),0,YEARFRAC(MAX($P$34*($B399+IF($R$17="Distrato",$I$38-1,0)),IF(AND($L$37=0,$P$34=0),"",$L$37-1),IF($R$17="Distrato",$E399,0)),MIN(AP$38,$D$19),$P$20))-SUM($P399:AO399)</f>
        <v>#VALUE!</v>
      </c>
      <c r="AQ399" s="446" t="e">
        <f>IF(OR($B399="",MIN(AQ$38,$D$19)&lt;MAX($P$34*($B399+IF($R$17="Distrato",$I$38-1,0)),IF(AND($L$37=0,$P$34=0),"",$L$37-1),IF($R$17="Distrato",$E399,0))),0,YEARFRAC(MAX($P$34*($B399+IF($R$17="Distrato",$I$38-1,0)),IF(AND($L$37=0,$P$34=0),"",$L$37-1),IF($R$17="Distrato",$E399,0)),MIN(AQ$38,$D$19),$P$20))-SUM($P399:AP399)</f>
        <v>#VALUE!</v>
      </c>
      <c r="AR399" s="446" t="e">
        <f>IF(OR($B399="",MIN(AR$38,$D$19)&lt;MAX($P$34*($B399+IF($R$17="Distrato",$I$38-1,0)),IF(AND($L$37=0,$P$34=0),"",$L$37-1),IF($R$17="Distrato",$E399,0))),0,YEARFRAC(MAX($P$34*($B399+IF($R$17="Distrato",$I$38-1,0)),IF(AND($L$37=0,$P$34=0),"",$L$37-1),IF($R$17="Distrato",$E399,0)),MIN(AR$38,$D$19),$P$20))-SUM($P399:AQ399)</f>
        <v>#VALUE!</v>
      </c>
      <c r="AS399" s="446" t="e">
        <f>IF(OR($B399="",MIN(AS$38,$D$19)&lt;MAX($P$34*($B399+IF($R$17="Distrato",$I$38-1,0)),IF(AND($L$37=0,$P$34=0),"",$L$37-1),IF($R$17="Distrato",$E399,0))),0,YEARFRAC(MAX($P$34*($B399+IF($R$17="Distrato",$I$38-1,0)),IF(AND($L$37=0,$P$34=0),"",$L$37-1),IF($R$17="Distrato",$E399,0)),MIN(AS$38,$D$19),$P$20))-SUM($P399:AR399)</f>
        <v>#VALUE!</v>
      </c>
      <c r="AT399" s="446" t="e">
        <f>IF(OR($B399="",MIN(AT$38,$D$19)&lt;MAX($P$34*($B399+IF($R$17="Distrato",$I$38-1,0)),IF(AND($L$37=0,$P$34=0),"",$L$37-1),IF($R$17="Distrato",$E399,0))),0,YEARFRAC(MAX($P$34*($B399+IF($R$17="Distrato",$I$38-1,0)),IF(AND($L$37=0,$P$34=0),"",$L$37-1),IF($R$17="Distrato",$E399,0)),MIN(AT$38,$D$19),$P$20))-SUM($P399:AS399)</f>
        <v>#VALUE!</v>
      </c>
      <c r="AU399" s="446" t="e">
        <f>IF(OR($B399="",MIN(AU$38,$D$19)&lt;MAX($P$34*($B399+IF($R$17="Distrato",$I$38-1,0)),IF(AND($L$37=0,$P$34=0),"",$L$37-1),IF($R$17="Distrato",$E399,0))),0,YEARFRAC(MAX($P$34*($B399+IF($R$17="Distrato",$I$38-1,0)),IF(AND($L$37=0,$P$34=0),"",$L$37-1),IF($R$17="Distrato",$E399,0)),MIN(AU$38,$D$19),$P$20))-SUM($P399:AT399)</f>
        <v>#VALUE!</v>
      </c>
      <c r="AV399" s="446" t="e">
        <f>IF(OR($B399="",MIN(AV$38,$D$19)&lt;MAX($P$34*($B399+IF($R$17="Distrato",$I$38-1,0)),IF(AND($L$37=0,$P$34=0),"",$L$37-1),IF($R$17="Distrato",$E399,0))),0,YEARFRAC(MAX($P$34*($B399+IF($R$17="Distrato",$I$38-1,0)),IF(AND($L$37=0,$P$34=0),"",$L$37-1),IF($R$17="Distrato",$E399,0)),MIN(AV$38,$D$19),$P$20))-SUM($P399:AU399)</f>
        <v>#VALUE!</v>
      </c>
      <c r="AW399" s="446" t="e">
        <f>IF(OR($B399="",MIN(AW$38,$D$19)&lt;MAX($P$34*($B399+IF($R$17="Distrato",$I$38-1,0)),IF(AND($L$37=0,$P$34=0),"",$L$37-1),IF($R$17="Distrato",$E399,0))),0,YEARFRAC(MAX($P$34*($B399+IF($R$17="Distrato",$I$38-1,0)),IF(AND($L$37=0,$P$34=0),"",$L$37-1),IF($R$17="Distrato",$E399,0)),MIN(AW$38,$D$19),$P$20))-SUM($P399:AV399)</f>
        <v>#VALUE!</v>
      </c>
      <c r="AX399" s="446" t="e">
        <f>IF(OR($B399="",MIN(AX$38,$D$19)&lt;MAX($P$34*($B399+IF($R$17="Distrato",$I$38-1,0)),IF(AND($L$37=0,$P$34=0),"",$L$37-1),IF($R$17="Distrato",$E399,0))),0,YEARFRAC(MAX($P$34*($B399+IF($R$17="Distrato",$I$38-1,0)),IF(AND($L$37=0,$P$34=0),"",$L$37-1),IF($R$17="Distrato",$E399,0)),MIN(AX$38,$D$19),$P$20))-SUM($P399:AW399)</f>
        <v>#VALUE!</v>
      </c>
      <c r="AY399" s="446" t="e">
        <f>IF(OR($B399="",MIN(AY$38,$D$19)&lt;MAX($P$34*($B399+IF($R$17="Distrato",$I$38-1,0)),IF(AND($L$37=0,$P$34=0),"",$L$37-1),IF($R$17="Distrato",$E399,0))),0,YEARFRAC(MAX($P$34*($B399+IF($R$17="Distrato",$I$38-1,0)),IF(AND($L$37=0,$P$34=0),"",$L$37-1),IF($R$17="Distrato",$E399,0)),MIN(AY$38,$D$19),$P$20))-SUM($P399:AX399)</f>
        <v>#VALUE!</v>
      </c>
      <c r="AZ399" s="446" t="e">
        <f>IF(OR($B399="",MIN(AZ$38,$D$19)&lt;MAX($P$34*($B399+IF($R$17="Distrato",$I$38-1,0)),IF(AND($L$37=0,$P$34=0),"",$L$37-1),IF($R$17="Distrato",$E399,0))),0,YEARFRAC(MAX($P$34*($B399+IF($R$17="Distrato",$I$38-1,0)),IF(AND($L$37=0,$P$34=0),"",$L$37-1),IF($R$17="Distrato",$E399,0)),MIN(AZ$38,$D$19),$P$20))-SUM($P399:AY399)</f>
        <v>#VALUE!</v>
      </c>
      <c r="BA399" s="446" t="e">
        <f>IF(OR($B399="",MIN(BA$38,$D$19)&lt;MAX($P$34*($B399+IF($R$17="Distrato",$I$38-1,0)),IF(AND($L$37=0,$P$34=0),"",$L$37-1),IF($R$17="Distrato",$E399,0))),0,YEARFRAC(MAX($P$34*($B399+IF($R$17="Distrato",$I$38-1,0)),IF(AND($L$37=0,$P$34=0),"",$L$37-1),IF($R$17="Distrato",$E399,0)),MIN(BA$38,$D$19),$P$20))-SUM($P399:AZ399)</f>
        <v>#VALUE!</v>
      </c>
      <c r="BB399" s="447"/>
      <c r="BF399" s="446">
        <f t="shared" si="65"/>
        <v>0</v>
      </c>
      <c r="BG399" s="446">
        <f>IF($E399=0,0,IF(MIN(BG$38,$E399)&lt;MAX($P$34*($B399+$I$38-1),IF(AND($L$37=0,$P$34=0),"",$L$37-1)),0,YEARFRAC(MAX($P$34*($B399+$I$38-1),IF(AND($L$37=0,$P$34=0),"",$L$37-1)),MIN(BG$38,$E399),$P$20))-SUM($BF399:BF399))</f>
        <v>0</v>
      </c>
      <c r="BH399" s="446">
        <f>IF($E399=0,0,IF(MIN(BH$38,$E399)&lt;MAX($P$34*($B399+$I$38-1),IF(AND($L$37=0,$P$34=0),"",$L$37-1)),0,YEARFRAC(MAX($P$34*($B399+$I$38-1),IF(AND($L$37=0,$P$34=0),"",$L$37-1)),MIN(BH$38,$E399),$P$20))-SUM($BF399:BG399))</f>
        <v>0</v>
      </c>
      <c r="BI399" s="446">
        <f>IF($E399=0,0,IF(MIN(BI$38,$E399)&lt;MAX($P$34*($B399+$I$38-1),IF(AND($L$37=0,$P$34=0),"",$L$37-1)),0,YEARFRAC(MAX($P$34*($B399+$I$38-1),IF(AND($L$37=0,$P$34=0),"",$L$37-1)),MIN(BI$38,$E399),$P$20))-SUM($BF399:BH399))</f>
        <v>0</v>
      </c>
      <c r="BJ399" s="446">
        <f>IF($E399=0,0,IF(MIN(BJ$38,$E399)&lt;MAX($P$34*($B399+$I$38-1),IF(AND($L$37=0,$P$34=0),"",$L$37-1)),0,YEARFRAC(MAX($P$34*($B399+$I$38-1),IF(AND($L$37=0,$P$34=0),"",$L$37-1)),MIN(BJ$38,$E399),$P$20))-SUM($BF399:BI399))</f>
        <v>0</v>
      </c>
      <c r="BK399" s="446">
        <f>IF($E399=0,0,IF(MIN(BK$38,$E399)&lt;MAX($P$34*($B399+$I$38-1),IF(AND($L$37=0,$P$34=0),"",$L$37-1)),0,YEARFRAC(MAX($P$34*($B399+$I$38-1),IF(AND($L$37=0,$P$34=0),"",$L$37-1)),MIN(BK$38,$E399),$P$20))-SUM($BF399:BJ399))</f>
        <v>0</v>
      </c>
      <c r="BL399" s="446">
        <f>IF($E399=0,0,IF(MIN(BL$38,$E399)&lt;MAX($P$34*($B399+$I$38-1),IF(AND($L$37=0,$P$34=0),"",$L$37-1)),0,YEARFRAC(MAX($P$34*($B399+$I$38-1),IF(AND($L$37=0,$P$34=0),"",$L$37-1)),MIN(BL$38,$E399),$P$20))-SUM($BF399:BK399))</f>
        <v>0</v>
      </c>
      <c r="BM399" s="446">
        <f>IF($E399=0,0,IF(MIN(BM$38,$E399)&lt;MAX($P$34*($B399+$I$38-1),IF(AND($L$37=0,$P$34=0),"",$L$37-1)),0,YEARFRAC(MAX($P$34*($B399+$I$38-1),IF(AND($L$37=0,$P$34=0),"",$L$37-1)),MIN(BM$38,$E399),$P$20))-SUM($BF399:BL399))</f>
        <v>0</v>
      </c>
      <c r="BN399" s="446">
        <f>IF($E399=0,0,IF(MIN(BN$38,$E399)&lt;MAX($P$34*($B399+$I$38-1),IF(AND($L$37=0,$P$34=0),"",$L$37-1)),0,YEARFRAC(MAX($P$34*($B399+$I$38-1),IF(AND($L$37=0,$P$34=0),"",$L$37-1)),MIN(BN$38,$E399),$P$20))-SUM($BF399:BM399))</f>
        <v>0</v>
      </c>
      <c r="BO399" s="446">
        <f>IF($E399=0,0,IF(MIN(BO$38,$E399)&lt;MAX($P$34*($B399+$I$38-1),IF(AND($L$37=0,$P$34=0),"",$L$37-1)),0,YEARFRAC(MAX($P$34*($B399+$I$38-1),IF(AND($L$37=0,$P$34=0),"",$L$37-1)),MIN(BO$38,$E399),$P$20))-SUM($BF399:BN399))</f>
        <v>0</v>
      </c>
      <c r="BP399" s="446">
        <f>IF($E399=0,0,IF(MIN(BP$38,$E399)&lt;MAX($P$34*($B399+$I$38-1),IF(AND($L$37=0,$P$34=0),"",$L$37-1)),0,YEARFRAC(MAX($P$34*($B399+$I$38-1),IF(AND($L$37=0,$P$34=0),"",$L$37-1)),MIN(BP$38,$E399),$P$20))-SUM($BF399:BO399))</f>
        <v>0</v>
      </c>
      <c r="BQ399" s="446">
        <f>IF($E399=0,0,IF(MIN(BQ$38,$E399)&lt;MAX($P$34*($B399+$I$38-1),IF(AND($L$37=0,$P$34=0),"",$L$37-1)),0,YEARFRAC(MAX($P$34*($B399+$I$38-1),IF(AND($L$37=0,$P$34=0),"",$L$37-1)),MIN(BQ$38,$E399),$P$20))-SUM($BF399:BP399))</f>
        <v>0</v>
      </c>
      <c r="BR399" s="446">
        <f>IF($E399=0,0,IF(MIN(BR$38,$E399)&lt;MAX($P$34*($B399+$I$38-1),IF(AND($L$37=0,$P$34=0),"",$L$37-1)),0,YEARFRAC(MAX($P$34*($B399+$I$38-1),IF(AND($L$37=0,$P$34=0),"",$L$37-1)),MIN(BR$38,$E399),$P$20))-SUM($BF399:BQ399))</f>
        <v>0</v>
      </c>
      <c r="BS399" s="446">
        <f>IF($E399=0,0,IF(MIN(BS$38,$E399)&lt;MAX($P$34*($B399+$I$38-1),IF(AND($L$37=0,$P$34=0),"",$L$37-1)),0,YEARFRAC(MAX($P$34*($B399+$I$38-1),IF(AND($L$37=0,$P$34=0),"",$L$37-1)),MIN(BS$38,$E399),$P$20))-SUM($BF399:BR399))</f>
        <v>0</v>
      </c>
      <c r="BT399" s="446">
        <f>IF($E399=0,0,IF(MIN(BT$38,$E399)&lt;MAX($P$34*($B399+$I$38-1),IF(AND($L$37=0,$P$34=0),"",$L$37-1)),0,YEARFRAC(MAX($P$34*($B399+$I$38-1),IF(AND($L$37=0,$P$34=0),"",$L$37-1)),MIN(BT$38,$E399),$P$20))-SUM($BF399:BS399))</f>
        <v>0</v>
      </c>
      <c r="BU399" s="446">
        <f>IF($E399=0,0,IF(MIN(BU$38,$E399)&lt;MAX($P$34*($B399+$I$38-1),IF(AND($L$37=0,$P$34=0),"",$L$37-1)),0,YEARFRAC(MAX($P$34*($B399+$I$38-1),IF(AND($L$37=0,$P$34=0),"",$L$37-1)),MIN(BU$38,$E399),$P$20))-SUM($BF399:BT399))</f>
        <v>0</v>
      </c>
      <c r="BV399" s="446">
        <f>IF($E399=0,0,IF(MIN(BV$38,$E399)&lt;MAX($P$34*($B399+$I$38-1),IF(AND($L$37=0,$P$34=0),"",$L$37-1)),0,YEARFRAC(MAX($P$34*($B399+$I$38-1),IF(AND($L$37=0,$P$34=0),"",$L$37-1)),MIN(BV$38,$E399),$P$20))-SUM($BF399:BU399))</f>
        <v>0</v>
      </c>
      <c r="BW399" s="446">
        <f>IF($E399=0,0,IF(MIN(BW$38,$E399)&lt;MAX($P$34*($B399+$I$38-1),IF(AND($L$37=0,$P$34=0),"",$L$37-1)),0,YEARFRAC(MAX($P$34*($B399+$I$38-1),IF(AND($L$37=0,$P$34=0),"",$L$37-1)),MIN(BW$38,$E399),$P$20))-SUM($BF399:BV399))</f>
        <v>0</v>
      </c>
      <c r="BX399" s="446">
        <f>IF($E399=0,0,IF(MIN(BX$38,$E399)&lt;MAX($P$34*($B399+$I$38-1),IF(AND($L$37=0,$P$34=0),"",$L$37-1)),0,YEARFRAC(MAX($P$34*($B399+$I$38-1),IF(AND($L$37=0,$P$34=0),"",$L$37-1)),MIN(BX$38,$E399),$P$20))-SUM($BF399:BW399))</f>
        <v>0</v>
      </c>
      <c r="BY399" s="446">
        <f>IF($E399=0,0,IF(MIN(BY$38,$E399)&lt;MAX($P$34*($B399+$I$38-1),IF(AND($L$37=0,$P$34=0),"",$L$37-1)),0,YEARFRAC(MAX($P$34*($B399+$I$38-1),IF(AND($L$37=0,$P$34=0),"",$L$37-1)),MIN(BY$38,$E399),$P$20))-SUM($BF399:BX399))</f>
        <v>0</v>
      </c>
      <c r="BZ399" s="446">
        <f>IF($E399=0,0,IF(MIN(BZ$38,$E399)&lt;MAX($P$34*($B399+$I$38-1),IF(AND($L$37=0,$P$34=0),"",$L$37-1)),0,YEARFRAC(MAX($P$34*($B399+$I$38-1),IF(AND($L$37=0,$P$34=0),"",$L$37-1)),MIN(BZ$38,$E399),$P$20))-SUM($BF399:BY399))</f>
        <v>0</v>
      </c>
      <c r="CA399" s="446">
        <f>IF($E399=0,0,IF(MIN(CA$38,$E399)&lt;MAX($P$34*($B399+$I$38-1),IF(AND($L$37=0,$P$34=0),"",$L$37-1)),0,YEARFRAC(MAX($P$34*($B399+$I$38-1),IF(AND($L$37=0,$P$34=0),"",$L$37-1)),MIN(CA$38,$E399),$P$20))-SUM($BF399:BZ399))</f>
        <v>0</v>
      </c>
      <c r="CB399" s="446">
        <f>IF($E399=0,0,IF(MIN(CB$38,$E399)&lt;MAX($P$34*($B399+$I$38-1),IF(AND($L$37=0,$P$34=0),"",$L$37-1)),0,YEARFRAC(MAX($P$34*($B399+$I$38-1),IF(AND($L$37=0,$P$34=0),"",$L$37-1)),MIN(CB$38,$E399),$P$20))-SUM($BF399:CA399))</f>
        <v>0</v>
      </c>
      <c r="CC399" s="446">
        <f>IF($E399=0,0,IF(MIN(CC$38,$E399)&lt;MAX($P$34*($B399+$I$38-1),IF(AND($L$37=0,$P$34=0),"",$L$37-1)),0,YEARFRAC(MAX($P$34*($B399+$I$38-1),IF(AND($L$37=0,$P$34=0),"",$L$37-1)),MIN(CC$38,$E399),$P$20))-SUM($BF399:CB399))</f>
        <v>0</v>
      </c>
      <c r="CD399" s="446">
        <f>IF($E399=0,0,IF(MIN(CD$38,$E399)&lt;MAX($P$34*($B399+$I$38-1),IF(AND($L$37=0,$P$34=0),"",$L$37-1)),0,YEARFRAC(MAX($P$34*($B399+$I$38-1),IF(AND($L$37=0,$P$34=0),"",$L$37-1)),MIN(CD$38,$E399),$P$20))-SUM($BF399:CC399))</f>
        <v>0</v>
      </c>
      <c r="CE399" s="446">
        <f>IF($E399=0,0,IF(MIN(CE$38,$E399)&lt;MAX($P$34*($B399+$I$38-1),IF(AND($L$37=0,$P$34=0),"",$L$37-1)),0,YEARFRAC(MAX($P$34*($B399+$I$38-1),IF(AND($L$37=0,$P$34=0),"",$L$37-1)),MIN(CE$38,$E399),$P$20))-SUM($BF399:CD399))</f>
        <v>0</v>
      </c>
      <c r="CF399" s="446">
        <f>IF($E399=0,0,IF(MIN(CF$38,$E399)&lt;MAX($P$34*($B399+$I$38-1),IF(AND($L$37=0,$P$34=0),"",$L$37-1)),0,YEARFRAC(MAX($P$34*($B399+$I$38-1),IF(AND($L$37=0,$P$34=0),"",$L$37-1)),MIN(CF$38,$E399),$P$20))-SUM($BF399:CE399))</f>
        <v>0</v>
      </c>
      <c r="CG399" s="446">
        <f>IF($E399=0,0,IF(MIN(CG$38,$E399)&lt;MAX($P$34*($B399+$I$38-1),IF(AND($L$37=0,$P$34=0),"",$L$37-1)),0,YEARFRAC(MAX($P$34*($B399+$I$38-1),IF(AND($L$37=0,$P$34=0),"",$L$37-1)),MIN(CG$38,$E399),$P$20))-SUM($BF399:CF399))</f>
        <v>0</v>
      </c>
      <c r="CH399" s="446">
        <f>IF($E399=0,0,IF(MIN(CH$38,$E399)&lt;MAX($P$34*($B399+$I$38-1),IF(AND($L$37=0,$P$34=0),"",$L$37-1)),0,YEARFRAC(MAX($P$34*($B399+$I$38-1),IF(AND($L$37=0,$P$34=0),"",$L$37-1)),MIN(CH$38,$E399),$P$20))-SUM($BF399:CG399))</f>
        <v>0</v>
      </c>
      <c r="CI399" s="446">
        <f>IF($E399=0,0,IF(MIN(CI$38,$E399)&lt;MAX($P$34*($B399+$I$38-1),IF(AND($L$37=0,$P$34=0),"",$L$37-1)),0,YEARFRAC(MAX($P$34*($B399+$I$38-1),IF(AND($L$37=0,$P$34=0),"",$L$37-1)),MIN(CI$38,$E399),$P$20))-SUM($BF399:CH399))</f>
        <v>0</v>
      </c>
      <c r="CJ399" s="446">
        <f>IF($E399=0,0,IF(MIN(CJ$38,$E399)&lt;MAX($P$34*($B399+$I$38-1),IF(AND($L$37=0,$P$34=0),"",$L$37-1)),0,YEARFRAC(MAX($P$34*($B399+$I$38-1),IF(AND($L$37=0,$P$34=0),"",$L$37-1)),MIN(CJ$38,$E399),$P$20))-SUM($BF399:CI399))</f>
        <v>0</v>
      </c>
      <c r="CK399" s="446">
        <f>IF($E399=0,0,IF(MIN(CK$38,$E399)&lt;MAX($P$34*($B399+$I$38-1),IF(AND($L$37=0,$P$34=0),"",$L$37-1)),0,YEARFRAC(MAX($P$34*($B399+$I$38-1),IF(AND($L$37=0,$P$34=0),"",$L$37-1)),MIN(CK$38,$E399),$P$20))-SUM($BF399:CJ399))</f>
        <v>0</v>
      </c>
      <c r="CL399" s="446">
        <f>IF($E399=0,0,IF(MIN(CL$38,$E399)&lt;MAX($P$34*($B399+$I$38-1),IF(AND($L$37=0,$P$34=0),"",$L$37-1)),0,YEARFRAC(MAX($P$34*($B399+$I$38-1),IF(AND($L$37=0,$P$34=0),"",$L$37-1)),MIN(CL$38,$E399),$P$20))-SUM($BF399:CK399))</f>
        <v>0</v>
      </c>
      <c r="CM399" s="446">
        <f>IF($E399=0,0,IF(MIN(CM$38,$E399)&lt;MAX($P$34*($B399+$I$38-1),IF(AND($L$37=0,$P$34=0),"",$L$37-1)),0,YEARFRAC(MAX($P$34*($B399+$I$38-1),IF(AND($L$37=0,$P$34=0),"",$L$37-1)),MIN(CM$38,$E399),$P$20))-SUM($BF399:CL399))</f>
        <v>0</v>
      </c>
      <c r="CN399" s="446">
        <f>IF($E399=0,0,IF(MIN(CN$38,$E399)&lt;MAX($P$34*($B399+$I$38-1),IF(AND($L$37=0,$P$34=0),"",$L$37-1)),0,YEARFRAC(MAX($P$34*($B399+$I$38-1),IF(AND($L$37=0,$P$34=0),"",$L$37-1)),MIN(CN$38,$E399),$P$20))-SUM($BF399:CM399))</f>
        <v>0</v>
      </c>
      <c r="CO399" s="446">
        <f>IF($E399=0,0,IF(MIN(CO$38,$E399)&lt;MAX($P$34*($B399+$I$38-1),IF(AND($L$37=0,$P$34=0),"",$L$37-1)),0,YEARFRAC(MAX($P$34*($B399+$I$38-1),IF(AND($L$37=0,$P$34=0),"",$L$37-1)),MIN(CO$38,$E399),$P$20))-SUM($BF399:CN399))</f>
        <v>0</v>
      </c>
      <c r="CP399" s="446">
        <f>IF($E399=0,0,IF(MIN(CP$38,$E399)&lt;MAX($P$34*($B399+$I$38-1),IF(AND($L$37=0,$P$34=0),"",$L$37-1)),0,YEARFRAC(MAX($P$34*($B399+$I$38-1),IF(AND($L$37=0,$P$34=0),"",$L$37-1)),MIN(CP$38,$E399),$P$20))-SUM($BF399:CO399))</f>
        <v>0</v>
      </c>
      <c r="CQ399" s="446">
        <f>IF($E399=0,0,IF(MIN(CQ$38,$E399)&lt;MAX($P$34*($B399+$I$38-1),IF(AND($L$37=0,$P$34=0),"",$L$37-1)),0,YEARFRAC(MAX($P$34*($B399+$I$38-1),IF(AND($L$37=0,$P$34=0),"",$L$37-1)),MIN(CQ$38,$E399),$P$20))-SUM($BF399:CP399))</f>
        <v>0</v>
      </c>
    </row>
    <row r="400" spans="1:95" s="446" customFormat="1" ht="11.25" hidden="1" customHeight="1" x14ac:dyDescent="0.2">
      <c r="A400" s="152"/>
      <c r="B400" s="153" t="str">
        <f t="shared" si="70"/>
        <v/>
      </c>
      <c r="C400" s="29" t="str">
        <f>IF(B400="","",IF($L$35="SELIC - TRIBUTOS",VLOOKUP(DATE(YEAR($D$19),MONTH($D$19)-1,1),ÍNDICES!$A:$DE,HLOOKUP($BL$25,ÍNDICES!$B$3:$T$4,2)+11)-VLOOKUP(B400,ÍNDICES!$A:$DE,HLOOKUP($BL$25,ÍNDICES!$B$3:$T$4,2)+11)+1%,IF(C$38=$W$26,$J$35,IF(ISERROR(IF(B400&gt;$D$19,1,VLOOKUP(DATE(YEAR(B400),MONTH(B400)+IF($C$35=$S$23,1,0),1),ÍNDICES!$A:$DE,$Z$35+1))),"",IF(B400&gt;$D$19,1,VLOOKUP(DATE(YEAR(B400),MONTH(B400)+IF($C$35=$S$23,1,0),1),ÍNDICES!$A:$DE,$Z$35+1))))))</f>
        <v/>
      </c>
      <c r="D400" s="154" t="str">
        <f>IF(ISERROR(IF(OR($D$38=$Y$27,$B400=""),"",VLOOKUP(B400,ÍNDICES!A:DE,AF$35+1))),"",IF(OR($D$38=$Y$27,$B400=""),"",VLOOKUP(B400,ÍNDICES!A:DE,AF$35+1)))</f>
        <v/>
      </c>
      <c r="E400" s="153"/>
      <c r="F400" s="29" t="str">
        <f>IF(E400="","",IF($L$35="SELIC - TRIBUTOS",VLOOKUP(DATE(YEAR($D$19),MONTH($D$19)-1,1),ÍNDICES!$A:$DE,HLOOKUP($BL$25,ÍNDICES!$B$3:$T$4,2)+11)-VLOOKUP(E400,ÍNDICES!$A:$DE,HLOOKUP($BL$25,ÍNDICES!$B$3:$T$4,2)+11)+1%,IF(F$38=$W$26,$J$35,IF(ISERROR(IF(E400&gt;$D$19,1,VLOOKUP(DATE(YEAR(E400),MONTH(E400)+IF($C$35=$S$23,1,0),1),ÍNDICES!$A:$DE,$Z$35+1))),"",IF(E400&gt;$D$19,1,VLOOKUP(DATE(YEAR(E400),MONTH(E400)+IF($C$35=$S$23,1,0),1),ÍNDICES!$A:$DE,$Z$35+1))))))</f>
        <v/>
      </c>
      <c r="G400" s="155"/>
      <c r="H400" s="156" t="str">
        <f t="shared" si="66"/>
        <v/>
      </c>
      <c r="I400" s="29" t="str">
        <f t="shared" si="60"/>
        <v/>
      </c>
      <c r="J400" s="5">
        <f t="shared" si="61"/>
        <v>0</v>
      </c>
      <c r="K400" s="20">
        <f t="shared" ca="1" si="62"/>
        <v>0</v>
      </c>
      <c r="L400" s="5">
        <f t="shared" ca="1" si="63"/>
        <v>0</v>
      </c>
      <c r="M400" s="64">
        <f t="shared" si="67"/>
        <v>0</v>
      </c>
      <c r="N400" s="61">
        <f t="shared" ca="1" si="68"/>
        <v>0</v>
      </c>
      <c r="O400" s="5">
        <f t="shared" ca="1" si="69"/>
        <v>0</v>
      </c>
      <c r="P400" s="446" t="e">
        <f t="shared" si="64"/>
        <v>#VALUE!</v>
      </c>
      <c r="Q400" s="446" t="e">
        <f>IF(OR($B400="",MIN(Q$38,$D$19)&lt;MAX($P$34*($B400+IF($R$17="Distrato",$I$38-1,0)),IF(AND($L$37=0,$P$34=0),"",$L$37-1),IF($R$17="Distrato",$E400,0))),0,YEARFRAC(MAX($P$34*($B400+IF($R$17="Distrato",$I$38-1,0)),IF(AND($L$37=0,$P$34=0),"",$L$37-1),IF($R$17="Distrato",$E400,0)),MIN(Q$38,$D$19),$P$20))-SUM($P400:P400)</f>
        <v>#VALUE!</v>
      </c>
      <c r="R400" s="446" t="e">
        <f>IF(OR($B400="",MIN(R$38,$D$19)&lt;MAX($P$34*($B400+IF($R$17="Distrato",$I$38-1,0)),IF(AND($L$37=0,$P$34=0),"",$L$37-1),IF($R$17="Distrato",$E400,0))),0,YEARFRAC(MAX($P$34*($B400+IF($R$17="Distrato",$I$38-1,0)),IF(AND($L$37=0,$P$34=0),"",$L$37-1),IF($R$17="Distrato",$E400,0)),MIN(R$38,$D$19),$P$20))-SUM($P400:Q400)</f>
        <v>#VALUE!</v>
      </c>
      <c r="S400" s="446" t="e">
        <f>IF(OR($B400="",MIN(S$38,$D$19)&lt;MAX($P$34*($B400+IF($R$17="Distrato",$I$38-1,0)),IF(AND($L$37=0,$P$34=0),"",$L$37-1),IF($R$17="Distrato",$E400,0))),0,YEARFRAC(MAX($P$34*($B400+IF($R$17="Distrato",$I$38-1,0)),IF(AND($L$37=0,$P$34=0),"",$L$37-1),IF($R$17="Distrato",$E400,0)),MIN(S$38,$D$19),$P$20))-SUM($P400:R400)</f>
        <v>#VALUE!</v>
      </c>
      <c r="T400" s="446" t="e">
        <f>IF(OR($B400="",MIN(T$38,$D$19)&lt;MAX($P$34*($B400+IF($R$17="Distrato",$I$38-1,0)),IF(AND($L$37=0,$P$34=0),"",$L$37-1),IF($R$17="Distrato",$E400,0))),0,YEARFRAC(MAX($P$34*($B400+IF($R$17="Distrato",$I$38-1,0)),IF(AND($L$37=0,$P$34=0),"",$L$37-1),IF($R$17="Distrato",$E400,0)),MIN(T$38,$D$19),$P$20))-SUM($P400:S400)</f>
        <v>#VALUE!</v>
      </c>
      <c r="U400" s="446" t="e">
        <f>IF(OR($B400="",MIN(U$38,$D$19)&lt;MAX($P$34*($B400+IF($R$17="Distrato",$I$38-1,0)),IF(AND($L$37=0,$P$34=0),"",$L$37-1),IF($R$17="Distrato",$E400,0))),0,YEARFRAC(MAX($P$34*($B400+IF($R$17="Distrato",$I$38-1,0)),IF(AND($L$37=0,$P$34=0),"",$L$37-1),IF($R$17="Distrato",$E400,0)),MIN(U$38,$D$19),$P$20))-SUM($P400:T400)</f>
        <v>#VALUE!</v>
      </c>
      <c r="V400" s="446" t="e">
        <f>IF(OR($B400="",MIN(V$38,$D$19)&lt;MAX($P$34*($B400+IF($R$17="Distrato",$I$38-1,0)),IF(AND($L$37=0,$P$34=0),"",$L$37-1),IF($R$17="Distrato",$E400,0))),0,YEARFRAC(MAX($P$34*($B400+IF($R$17="Distrato",$I$38-1,0)),IF(AND($L$37=0,$P$34=0),"",$L$37-1),IF($R$17="Distrato",$E400,0)),MIN(V$38,$D$19),$P$20))-SUM($P400:U400)</f>
        <v>#VALUE!</v>
      </c>
      <c r="W400" s="446" t="e">
        <f>IF(OR($B400="",MIN(W$38,$D$19)&lt;MAX($P$34*($B400+IF($R$17="Distrato",$I$38-1,0)),IF(AND($L$37=0,$P$34=0),"",$L$37-1),IF($R$17="Distrato",$E400,0))),0,YEARFRAC(MAX($P$34*($B400+IF($R$17="Distrato",$I$38-1,0)),IF(AND($L$37=0,$P$34=0),"",$L$37-1),IF($R$17="Distrato",$E400,0)),MIN(W$38,$D$19),$P$20))-SUM($P400:V400)</f>
        <v>#VALUE!</v>
      </c>
      <c r="X400" s="446" t="e">
        <f>IF(OR($B400="",MIN(X$38,$D$19)&lt;MAX($P$34*($B400+IF($R$17="Distrato",$I$38-1,0)),IF(AND($L$37=0,$P$34=0),"",$L$37-1),IF($R$17="Distrato",$E400,0))),0,YEARFRAC(MAX($P$34*($B400+IF($R$17="Distrato",$I$38-1,0)),IF(AND($L$37=0,$P$34=0),"",$L$37-1),IF($R$17="Distrato",$E400,0)),MIN(X$38,$D$19),$P$20))-SUM($P400:W400)</f>
        <v>#VALUE!</v>
      </c>
      <c r="Y400" s="446" t="e">
        <f>IF(OR($B400="",MIN(Y$38,$D$19)&lt;MAX($P$34*($B400+IF($R$17="Distrato",$I$38-1,0)),IF(AND($L$37=0,$P$34=0),"",$L$37-1),IF($R$17="Distrato",$E400,0))),0,YEARFRAC(MAX($P$34*($B400+IF($R$17="Distrato",$I$38-1,0)),IF(AND($L$37=0,$P$34=0),"",$L$37-1),IF($R$17="Distrato",$E400,0)),MIN(Y$38,$D$19),$P$20))-SUM($P400:X400)</f>
        <v>#VALUE!</v>
      </c>
      <c r="Z400" s="446" t="e">
        <f>IF(OR($B400="",MIN(Z$38,$D$19)&lt;MAX($P$34*($B400+IF($R$17="Distrato",$I$38-1,0)),IF(AND($L$37=0,$P$34=0),"",$L$37-1),IF($R$17="Distrato",$E400,0))),0,YEARFRAC(MAX($P$34*($B400+IF($R$17="Distrato",$I$38-1,0)),IF(AND($L$37=0,$P$34=0),"",$L$37-1),IF($R$17="Distrato",$E400,0)),MIN(Z$38,$D$19),$P$20))-SUM($P400:Y400)</f>
        <v>#VALUE!</v>
      </c>
      <c r="AA400" s="446" t="e">
        <f>IF(OR($B400="",MIN(AA$38,$D$19)&lt;MAX($P$34*($B400+IF($R$17="Distrato",$I$38-1,0)),IF(AND($L$37=0,$P$34=0),"",$L$37-1),IF($R$17="Distrato",$E400,0))),0,YEARFRAC(MAX($P$34*($B400+IF($R$17="Distrato",$I$38-1,0)),IF(AND($L$37=0,$P$34=0),"",$L$37-1),IF($R$17="Distrato",$E400,0)),MIN(AA$38,$D$19),$P$20))-SUM($P400:Z400)</f>
        <v>#VALUE!</v>
      </c>
      <c r="AB400" s="446" t="e">
        <f>IF(OR($B400="",MIN(AB$38,$D$19)&lt;MAX($P$34*($B400+IF($R$17="Distrato",$I$38-1,0)),IF(AND($L$37=0,$P$34=0),"",$L$37-1),IF($R$17="Distrato",$E400,0))),0,YEARFRAC(MAX($P$34*($B400+IF($R$17="Distrato",$I$38-1,0)),IF(AND($L$37=0,$P$34=0),"",$L$37-1),IF($R$17="Distrato",$E400,0)),MIN(AB$38,$D$19),$P$20))-SUM($P400:AA400)</f>
        <v>#VALUE!</v>
      </c>
      <c r="AC400" s="446" t="e">
        <f>IF(OR($B400="",MIN(AC$38,$D$19)&lt;MAX($P$34*($B400+IF($R$17="Distrato",$I$38-1,0)),IF(AND($L$37=0,$P$34=0),"",$L$37-1),IF($R$17="Distrato",$E400,0))),0,YEARFRAC(MAX($P$34*($B400+IF($R$17="Distrato",$I$38-1,0)),IF(AND($L$37=0,$P$34=0),"",$L$37-1),IF($R$17="Distrato",$E400,0)),MIN(AC$38,$D$19),$P$20))-SUM($P400:AB400)</f>
        <v>#VALUE!</v>
      </c>
      <c r="AD400" s="446" t="e">
        <f>IF(OR($B400="",MIN(AD$38,$D$19)&lt;MAX($P$34*($B400+IF($R$17="Distrato",$I$38-1,0)),IF(AND($L$37=0,$P$34=0),"",$L$37-1),IF($R$17="Distrato",$E400,0))),0,YEARFRAC(MAX($P$34*($B400+IF($R$17="Distrato",$I$38-1,0)),IF(AND($L$37=0,$P$34=0),"",$L$37-1),IF($R$17="Distrato",$E400,0)),MIN(AD$38,$D$19),$P$20))-SUM($P400:AC400)</f>
        <v>#VALUE!</v>
      </c>
      <c r="AE400" s="446" t="e">
        <f>IF(OR($B400="",MIN(AE$38,$D$19)&lt;MAX($P$34*($B400+IF($R$17="Distrato",$I$38-1,0)),IF(AND($L$37=0,$P$34=0),"",$L$37-1),IF($R$17="Distrato",$E400,0))),0,YEARFRAC(MAX($P$34*($B400+IF($R$17="Distrato",$I$38-1,0)),IF(AND($L$37=0,$P$34=0),"",$L$37-1),IF($R$17="Distrato",$E400,0)),MIN(AE$38,$D$19),$P$20))-SUM($P400:AD400)</f>
        <v>#VALUE!</v>
      </c>
      <c r="AF400" s="446" t="e">
        <f>IF(OR($B400="",MIN(AF$38,$D$19)&lt;MAX($P$34*($B400+IF($R$17="Distrato",$I$38-1,0)),IF(AND($L$37=0,$P$34=0),"",$L$37-1),IF($R$17="Distrato",$E400,0))),0,YEARFRAC(MAX($P$34*($B400+IF($R$17="Distrato",$I$38-1,0)),IF(AND($L$37=0,$P$34=0),"",$L$37-1),IF($R$17="Distrato",$E400,0)),MIN(AF$38,$D$19),$P$20))-SUM($P400:AE400)</f>
        <v>#VALUE!</v>
      </c>
      <c r="AG400" s="446" t="e">
        <f>IF(OR($B400="",MIN(AG$38,$D$19)&lt;MAX($P$34*($B400+IF($R$17="Distrato",$I$38-1,0)),IF(AND($L$37=0,$P$34=0),"",$L$37-1),IF($R$17="Distrato",$E400,0))),0,YEARFRAC(MAX($P$34*($B400+IF($R$17="Distrato",$I$38-1,0)),IF(AND($L$37=0,$P$34=0),"",$L$37-1),IF($R$17="Distrato",$E400,0)),MIN(AG$38,$D$19),$P$20))-SUM($P400:AF400)</f>
        <v>#VALUE!</v>
      </c>
      <c r="AH400" s="446" t="e">
        <f>IF(OR($B400="",MIN(AH$38,$D$19)&lt;MAX($P$34*($B400+IF($R$17="Distrato",$I$38-1,0)),IF(AND($L$37=0,$P$34=0),"",$L$37-1),IF($R$17="Distrato",$E400,0))),0,YEARFRAC(MAX($P$34*($B400+IF($R$17="Distrato",$I$38-1,0)),IF(AND($L$37=0,$P$34=0),"",$L$37-1),IF($R$17="Distrato",$E400,0)),MIN(AH$38,$D$19),$P$20))-SUM($P400:AG400)</f>
        <v>#VALUE!</v>
      </c>
      <c r="AI400" s="446" t="e">
        <f>IF(OR($B400="",MIN(AI$38,$D$19)&lt;MAX($P$34*($B400+IF($R$17="Distrato",$I$38-1,0)),IF(AND($L$37=0,$P$34=0),"",$L$37-1),IF($R$17="Distrato",$E400,0))),0,YEARFRAC(MAX($P$34*($B400+IF($R$17="Distrato",$I$38-1,0)),IF(AND($L$37=0,$P$34=0),"",$L$37-1),IF($R$17="Distrato",$E400,0)),MIN(AI$38,$D$19),$P$20))-SUM($P400:AH400)</f>
        <v>#VALUE!</v>
      </c>
      <c r="AJ400" s="446" t="e">
        <f>IF(OR($B400="",MIN(AJ$38,$D$19)&lt;MAX($P$34*($B400+IF($R$17="Distrato",$I$38-1,0)),IF(AND($L$37=0,$P$34=0),"",$L$37-1),IF($R$17="Distrato",$E400,0))),0,YEARFRAC(MAX($P$34*($B400+IF($R$17="Distrato",$I$38-1,0)),IF(AND($L$37=0,$P$34=0),"",$L$37-1),IF($R$17="Distrato",$E400,0)),MIN(AJ$38,$D$19),$P$20))-SUM($P400:AI400)</f>
        <v>#VALUE!</v>
      </c>
      <c r="AK400" s="446" t="e">
        <f>IF(OR($B400="",MIN(AK$38,$D$19)&lt;MAX($P$34*($B400+IF($R$17="Distrato",$I$38-1,0)),IF(AND($L$37=0,$P$34=0),"",$L$37-1),IF($R$17="Distrato",$E400,0))),0,YEARFRAC(MAX($P$34*($B400+IF($R$17="Distrato",$I$38-1,0)),IF(AND($L$37=0,$P$34=0),"",$L$37-1),IF($R$17="Distrato",$E400,0)),MIN(AK$38,$D$19),$P$20))-SUM($P400:AJ400)</f>
        <v>#VALUE!</v>
      </c>
      <c r="AL400" s="446" t="e">
        <f>IF(OR($B400="",MIN(AL$38,$D$19)&lt;MAX($P$34*($B400+IF($R$17="Distrato",$I$38-1,0)),IF(AND($L$37=0,$P$34=0),"",$L$37-1),IF($R$17="Distrato",$E400,0))),0,YEARFRAC(MAX($P$34*($B400+IF($R$17="Distrato",$I$38-1,0)),IF(AND($L$37=0,$P$34=0),"",$L$37-1),IF($R$17="Distrato",$E400,0)),MIN(AL$38,$D$19),$P$20))-SUM($P400:AK400)</f>
        <v>#VALUE!</v>
      </c>
      <c r="AM400" s="446" t="e">
        <f>IF(OR($B400="",MIN(AM$38,$D$19)&lt;MAX($P$34*($B400+IF($R$17="Distrato",$I$38-1,0)),IF(AND($L$37=0,$P$34=0),"",$L$37-1),IF($R$17="Distrato",$E400,0))),0,YEARFRAC(MAX($P$34*($B400+IF($R$17="Distrato",$I$38-1,0)),IF(AND($L$37=0,$P$34=0),"",$L$37-1),IF($R$17="Distrato",$E400,0)),MIN(AM$38,$D$19),$P$20))-SUM($P400:AL400)</f>
        <v>#VALUE!</v>
      </c>
      <c r="AN400" s="446" t="e">
        <f>IF(OR($B400="",MIN(AN$38,$D$19)&lt;MAX($P$34*($B400+IF($R$17="Distrato",$I$38-1,0)),IF(AND($L$37=0,$P$34=0),"",$L$37-1),IF($R$17="Distrato",$E400,0))),0,YEARFRAC(MAX($P$34*($B400+IF($R$17="Distrato",$I$38-1,0)),IF(AND($L$37=0,$P$34=0),"",$L$37-1),IF($R$17="Distrato",$E400,0)),MIN(AN$38,$D$19),$P$20))-SUM($P400:AM400)</f>
        <v>#VALUE!</v>
      </c>
      <c r="AO400" s="446" t="e">
        <f>IF(OR($B400="",MIN(AO$38,$D$19)&lt;MAX($P$34*($B400+IF($R$17="Distrato",$I$38-1,0)),IF(AND($L$37=0,$P$34=0),"",$L$37-1),IF($R$17="Distrato",$E400,0))),0,YEARFRAC(MAX($P$34*($B400+IF($R$17="Distrato",$I$38-1,0)),IF(AND($L$37=0,$P$34=0),"",$L$37-1),IF($R$17="Distrato",$E400,0)),MIN(AO$38,$D$19),$P$20))-SUM($P400:AN400)</f>
        <v>#VALUE!</v>
      </c>
      <c r="AP400" s="446" t="e">
        <f>IF(OR($B400="",MIN(AP$38,$D$19)&lt;MAX($P$34*($B400+IF($R$17="Distrato",$I$38-1,0)),IF(AND($L$37=0,$P$34=0),"",$L$37-1),IF($R$17="Distrato",$E400,0))),0,YEARFRAC(MAX($P$34*($B400+IF($R$17="Distrato",$I$38-1,0)),IF(AND($L$37=0,$P$34=0),"",$L$37-1),IF($R$17="Distrato",$E400,0)),MIN(AP$38,$D$19),$P$20))-SUM($P400:AO400)</f>
        <v>#VALUE!</v>
      </c>
      <c r="AQ400" s="446" t="e">
        <f>IF(OR($B400="",MIN(AQ$38,$D$19)&lt;MAX($P$34*($B400+IF($R$17="Distrato",$I$38-1,0)),IF(AND($L$37=0,$P$34=0),"",$L$37-1),IF($R$17="Distrato",$E400,0))),0,YEARFRAC(MAX($P$34*($B400+IF($R$17="Distrato",$I$38-1,0)),IF(AND($L$37=0,$P$34=0),"",$L$37-1),IF($R$17="Distrato",$E400,0)),MIN(AQ$38,$D$19),$P$20))-SUM($P400:AP400)</f>
        <v>#VALUE!</v>
      </c>
      <c r="AR400" s="446" t="e">
        <f>IF(OR($B400="",MIN(AR$38,$D$19)&lt;MAX($P$34*($B400+IF($R$17="Distrato",$I$38-1,0)),IF(AND($L$37=0,$P$34=0),"",$L$37-1),IF($R$17="Distrato",$E400,0))),0,YEARFRAC(MAX($P$34*($B400+IF($R$17="Distrato",$I$38-1,0)),IF(AND($L$37=0,$P$34=0),"",$L$37-1),IF($R$17="Distrato",$E400,0)),MIN(AR$38,$D$19),$P$20))-SUM($P400:AQ400)</f>
        <v>#VALUE!</v>
      </c>
      <c r="AS400" s="446" t="e">
        <f>IF(OR($B400="",MIN(AS$38,$D$19)&lt;MAX($P$34*($B400+IF($R$17="Distrato",$I$38-1,0)),IF(AND($L$37=0,$P$34=0),"",$L$37-1),IF($R$17="Distrato",$E400,0))),0,YEARFRAC(MAX($P$34*($B400+IF($R$17="Distrato",$I$38-1,0)),IF(AND($L$37=0,$P$34=0),"",$L$37-1),IF($R$17="Distrato",$E400,0)),MIN(AS$38,$D$19),$P$20))-SUM($P400:AR400)</f>
        <v>#VALUE!</v>
      </c>
      <c r="AT400" s="446" t="e">
        <f>IF(OR($B400="",MIN(AT$38,$D$19)&lt;MAX($P$34*($B400+IF($R$17="Distrato",$I$38-1,0)),IF(AND($L$37=0,$P$34=0),"",$L$37-1),IF($R$17="Distrato",$E400,0))),0,YEARFRAC(MAX($P$34*($B400+IF($R$17="Distrato",$I$38-1,0)),IF(AND($L$37=0,$P$34=0),"",$L$37-1),IF($R$17="Distrato",$E400,0)),MIN(AT$38,$D$19),$P$20))-SUM($P400:AS400)</f>
        <v>#VALUE!</v>
      </c>
      <c r="AU400" s="446" t="e">
        <f>IF(OR($B400="",MIN(AU$38,$D$19)&lt;MAX($P$34*($B400+IF($R$17="Distrato",$I$38-1,0)),IF(AND($L$37=0,$P$34=0),"",$L$37-1),IF($R$17="Distrato",$E400,0))),0,YEARFRAC(MAX($P$34*($B400+IF($R$17="Distrato",$I$38-1,0)),IF(AND($L$37=0,$P$34=0),"",$L$37-1),IF($R$17="Distrato",$E400,0)),MIN(AU$38,$D$19),$P$20))-SUM($P400:AT400)</f>
        <v>#VALUE!</v>
      </c>
      <c r="AV400" s="446" t="e">
        <f>IF(OR($B400="",MIN(AV$38,$D$19)&lt;MAX($P$34*($B400+IF($R$17="Distrato",$I$38-1,0)),IF(AND($L$37=0,$P$34=0),"",$L$37-1),IF($R$17="Distrato",$E400,0))),0,YEARFRAC(MAX($P$34*($B400+IF($R$17="Distrato",$I$38-1,0)),IF(AND($L$37=0,$P$34=0),"",$L$37-1),IF($R$17="Distrato",$E400,0)),MIN(AV$38,$D$19),$P$20))-SUM($P400:AU400)</f>
        <v>#VALUE!</v>
      </c>
      <c r="AW400" s="446" t="e">
        <f>IF(OR($B400="",MIN(AW$38,$D$19)&lt;MAX($P$34*($B400+IF($R$17="Distrato",$I$38-1,0)),IF(AND($L$37=0,$P$34=0),"",$L$37-1),IF($R$17="Distrato",$E400,0))),0,YEARFRAC(MAX($P$34*($B400+IF($R$17="Distrato",$I$38-1,0)),IF(AND($L$37=0,$P$34=0),"",$L$37-1),IF($R$17="Distrato",$E400,0)),MIN(AW$38,$D$19),$P$20))-SUM($P400:AV400)</f>
        <v>#VALUE!</v>
      </c>
      <c r="AX400" s="446" t="e">
        <f>IF(OR($B400="",MIN(AX$38,$D$19)&lt;MAX($P$34*($B400+IF($R$17="Distrato",$I$38-1,0)),IF(AND($L$37=0,$P$34=0),"",$L$37-1),IF($R$17="Distrato",$E400,0))),0,YEARFRAC(MAX($P$34*($B400+IF($R$17="Distrato",$I$38-1,0)),IF(AND($L$37=0,$P$34=0),"",$L$37-1),IF($R$17="Distrato",$E400,0)),MIN(AX$38,$D$19),$P$20))-SUM($P400:AW400)</f>
        <v>#VALUE!</v>
      </c>
      <c r="AY400" s="446" t="e">
        <f>IF(OR($B400="",MIN(AY$38,$D$19)&lt;MAX($P$34*($B400+IF($R$17="Distrato",$I$38-1,0)),IF(AND($L$37=0,$P$34=0),"",$L$37-1),IF($R$17="Distrato",$E400,0))),0,YEARFRAC(MAX($P$34*($B400+IF($R$17="Distrato",$I$38-1,0)),IF(AND($L$37=0,$P$34=0),"",$L$37-1),IF($R$17="Distrato",$E400,0)),MIN(AY$38,$D$19),$P$20))-SUM($P400:AX400)</f>
        <v>#VALUE!</v>
      </c>
      <c r="AZ400" s="446" t="e">
        <f>IF(OR($B400="",MIN(AZ$38,$D$19)&lt;MAX($P$34*($B400+IF($R$17="Distrato",$I$38-1,0)),IF(AND($L$37=0,$P$34=0),"",$L$37-1),IF($R$17="Distrato",$E400,0))),0,YEARFRAC(MAX($P$34*($B400+IF($R$17="Distrato",$I$38-1,0)),IF(AND($L$37=0,$P$34=0),"",$L$37-1),IF($R$17="Distrato",$E400,0)),MIN(AZ$38,$D$19),$P$20))-SUM($P400:AY400)</f>
        <v>#VALUE!</v>
      </c>
      <c r="BA400" s="446" t="e">
        <f>IF(OR($B400="",MIN(BA$38,$D$19)&lt;MAX($P$34*($B400+IF($R$17="Distrato",$I$38-1,0)),IF(AND($L$37=0,$P$34=0),"",$L$37-1),IF($R$17="Distrato",$E400,0))),0,YEARFRAC(MAX($P$34*($B400+IF($R$17="Distrato",$I$38-1,0)),IF(AND($L$37=0,$P$34=0),"",$L$37-1),IF($R$17="Distrato",$E400,0)),MIN(BA$38,$D$19),$P$20))-SUM($P400:AZ400)</f>
        <v>#VALUE!</v>
      </c>
      <c r="BB400" s="447"/>
      <c r="BF400" s="446">
        <f t="shared" si="65"/>
        <v>0</v>
      </c>
      <c r="BG400" s="446">
        <f>IF($E400=0,0,IF(MIN(BG$38,$E400)&lt;MAX($P$34*($B400+$I$38-1),IF(AND($L$37=0,$P$34=0),"",$L$37-1)),0,YEARFRAC(MAX($P$34*($B400+$I$38-1),IF(AND($L$37=0,$P$34=0),"",$L$37-1)),MIN(BG$38,$E400),$P$20))-SUM($BF400:BF400))</f>
        <v>0</v>
      </c>
      <c r="BH400" s="446">
        <f>IF($E400=0,0,IF(MIN(BH$38,$E400)&lt;MAX($P$34*($B400+$I$38-1),IF(AND($L$37=0,$P$34=0),"",$L$37-1)),0,YEARFRAC(MAX($P$34*($B400+$I$38-1),IF(AND($L$37=0,$P$34=0),"",$L$37-1)),MIN(BH$38,$E400),$P$20))-SUM($BF400:BG400))</f>
        <v>0</v>
      </c>
      <c r="BI400" s="446">
        <f>IF($E400=0,0,IF(MIN(BI$38,$E400)&lt;MAX($P$34*($B400+$I$38-1),IF(AND($L$37=0,$P$34=0),"",$L$37-1)),0,YEARFRAC(MAX($P$34*($B400+$I$38-1),IF(AND($L$37=0,$P$34=0),"",$L$37-1)),MIN(BI$38,$E400),$P$20))-SUM($BF400:BH400))</f>
        <v>0</v>
      </c>
      <c r="BJ400" s="446">
        <f>IF($E400=0,0,IF(MIN(BJ$38,$E400)&lt;MAX($P$34*($B400+$I$38-1),IF(AND($L$37=0,$P$34=0),"",$L$37-1)),0,YEARFRAC(MAX($P$34*($B400+$I$38-1),IF(AND($L$37=0,$P$34=0),"",$L$37-1)),MIN(BJ$38,$E400),$P$20))-SUM($BF400:BI400))</f>
        <v>0</v>
      </c>
      <c r="BK400" s="446">
        <f>IF($E400=0,0,IF(MIN(BK$38,$E400)&lt;MAX($P$34*($B400+$I$38-1),IF(AND($L$37=0,$P$34=0),"",$L$37-1)),0,YEARFRAC(MAX($P$34*($B400+$I$38-1),IF(AND($L$37=0,$P$34=0),"",$L$37-1)),MIN(BK$38,$E400),$P$20))-SUM($BF400:BJ400))</f>
        <v>0</v>
      </c>
      <c r="BL400" s="446">
        <f>IF($E400=0,0,IF(MIN(BL$38,$E400)&lt;MAX($P$34*($B400+$I$38-1),IF(AND($L$37=0,$P$34=0),"",$L$37-1)),0,YEARFRAC(MAX($P$34*($B400+$I$38-1),IF(AND($L$37=0,$P$34=0),"",$L$37-1)),MIN(BL$38,$E400),$P$20))-SUM($BF400:BK400))</f>
        <v>0</v>
      </c>
      <c r="BM400" s="446">
        <f>IF($E400=0,0,IF(MIN(BM$38,$E400)&lt;MAX($P$34*($B400+$I$38-1),IF(AND($L$37=0,$P$34=0),"",$L$37-1)),0,YEARFRAC(MAX($P$34*($B400+$I$38-1),IF(AND($L$37=0,$P$34=0),"",$L$37-1)),MIN(BM$38,$E400),$P$20))-SUM($BF400:BL400))</f>
        <v>0</v>
      </c>
      <c r="BN400" s="446">
        <f>IF($E400=0,0,IF(MIN(BN$38,$E400)&lt;MAX($P$34*($B400+$I$38-1),IF(AND($L$37=0,$P$34=0),"",$L$37-1)),0,YEARFRAC(MAX($P$34*($B400+$I$38-1),IF(AND($L$37=0,$P$34=0),"",$L$37-1)),MIN(BN$38,$E400),$P$20))-SUM($BF400:BM400))</f>
        <v>0</v>
      </c>
      <c r="BO400" s="446">
        <f>IF($E400=0,0,IF(MIN(BO$38,$E400)&lt;MAX($P$34*($B400+$I$38-1),IF(AND($L$37=0,$P$34=0),"",$L$37-1)),0,YEARFRAC(MAX($P$34*($B400+$I$38-1),IF(AND($L$37=0,$P$34=0),"",$L$37-1)),MIN(BO$38,$E400),$P$20))-SUM($BF400:BN400))</f>
        <v>0</v>
      </c>
      <c r="BP400" s="446">
        <f>IF($E400=0,0,IF(MIN(BP$38,$E400)&lt;MAX($P$34*($B400+$I$38-1),IF(AND($L$37=0,$P$34=0),"",$L$37-1)),0,YEARFRAC(MAX($P$34*($B400+$I$38-1),IF(AND($L$37=0,$P$34=0),"",$L$37-1)),MIN(BP$38,$E400),$P$20))-SUM($BF400:BO400))</f>
        <v>0</v>
      </c>
      <c r="BQ400" s="446">
        <f>IF($E400=0,0,IF(MIN(BQ$38,$E400)&lt;MAX($P$34*($B400+$I$38-1),IF(AND($L$37=0,$P$34=0),"",$L$37-1)),0,YEARFRAC(MAX($P$34*($B400+$I$38-1),IF(AND($L$37=0,$P$34=0),"",$L$37-1)),MIN(BQ$38,$E400),$P$20))-SUM($BF400:BP400))</f>
        <v>0</v>
      </c>
      <c r="BR400" s="446">
        <f>IF($E400=0,0,IF(MIN(BR$38,$E400)&lt;MAX($P$34*($B400+$I$38-1),IF(AND($L$37=0,$P$34=0),"",$L$37-1)),0,YEARFRAC(MAX($P$34*($B400+$I$38-1),IF(AND($L$37=0,$P$34=0),"",$L$37-1)),MIN(BR$38,$E400),$P$20))-SUM($BF400:BQ400))</f>
        <v>0</v>
      </c>
      <c r="BS400" s="446">
        <f>IF($E400=0,0,IF(MIN(BS$38,$E400)&lt;MAX($P$34*($B400+$I$38-1),IF(AND($L$37=0,$P$34=0),"",$L$37-1)),0,YEARFRAC(MAX($P$34*($B400+$I$38-1),IF(AND($L$37=0,$P$34=0),"",$L$37-1)),MIN(BS$38,$E400),$P$20))-SUM($BF400:BR400))</f>
        <v>0</v>
      </c>
      <c r="BT400" s="446">
        <f>IF($E400=0,0,IF(MIN(BT$38,$E400)&lt;MAX($P$34*($B400+$I$38-1),IF(AND($L$37=0,$P$34=0),"",$L$37-1)),0,YEARFRAC(MAX($P$34*($B400+$I$38-1),IF(AND($L$37=0,$P$34=0),"",$L$37-1)),MIN(BT$38,$E400),$P$20))-SUM($BF400:BS400))</f>
        <v>0</v>
      </c>
      <c r="BU400" s="446">
        <f>IF($E400=0,0,IF(MIN(BU$38,$E400)&lt;MAX($P$34*($B400+$I$38-1),IF(AND($L$37=0,$P$34=0),"",$L$37-1)),0,YEARFRAC(MAX($P$34*($B400+$I$38-1),IF(AND($L$37=0,$P$34=0),"",$L$37-1)),MIN(BU$38,$E400),$P$20))-SUM($BF400:BT400))</f>
        <v>0</v>
      </c>
      <c r="BV400" s="446">
        <f>IF($E400=0,0,IF(MIN(BV$38,$E400)&lt;MAX($P$34*($B400+$I$38-1),IF(AND($L$37=0,$P$34=0),"",$L$37-1)),0,YEARFRAC(MAX($P$34*($B400+$I$38-1),IF(AND($L$37=0,$P$34=0),"",$L$37-1)),MIN(BV$38,$E400),$P$20))-SUM($BF400:BU400))</f>
        <v>0</v>
      </c>
      <c r="BW400" s="446">
        <f>IF($E400=0,0,IF(MIN(BW$38,$E400)&lt;MAX($P$34*($B400+$I$38-1),IF(AND($L$37=0,$P$34=0),"",$L$37-1)),0,YEARFRAC(MAX($P$34*($B400+$I$38-1),IF(AND($L$37=0,$P$34=0),"",$L$37-1)),MIN(BW$38,$E400),$P$20))-SUM($BF400:BV400))</f>
        <v>0</v>
      </c>
      <c r="BX400" s="446">
        <f>IF($E400=0,0,IF(MIN(BX$38,$E400)&lt;MAX($P$34*($B400+$I$38-1),IF(AND($L$37=0,$P$34=0),"",$L$37-1)),0,YEARFRAC(MAX($P$34*($B400+$I$38-1),IF(AND($L$37=0,$P$34=0),"",$L$37-1)),MIN(BX$38,$E400),$P$20))-SUM($BF400:BW400))</f>
        <v>0</v>
      </c>
      <c r="BY400" s="446">
        <f>IF($E400=0,0,IF(MIN(BY$38,$E400)&lt;MAX($P$34*($B400+$I$38-1),IF(AND($L$37=0,$P$34=0),"",$L$37-1)),0,YEARFRAC(MAX($P$34*($B400+$I$38-1),IF(AND($L$37=0,$P$34=0),"",$L$37-1)),MIN(BY$38,$E400),$P$20))-SUM($BF400:BX400))</f>
        <v>0</v>
      </c>
      <c r="BZ400" s="446">
        <f>IF($E400=0,0,IF(MIN(BZ$38,$E400)&lt;MAX($P$34*($B400+$I$38-1),IF(AND($L$37=0,$P$34=0),"",$L$37-1)),0,YEARFRAC(MAX($P$34*($B400+$I$38-1),IF(AND($L$37=0,$P$34=0),"",$L$37-1)),MIN(BZ$38,$E400),$P$20))-SUM($BF400:BY400))</f>
        <v>0</v>
      </c>
      <c r="CA400" s="446">
        <f>IF($E400=0,0,IF(MIN(CA$38,$E400)&lt;MAX($P$34*($B400+$I$38-1),IF(AND($L$37=0,$P$34=0),"",$L$37-1)),0,YEARFRAC(MAX($P$34*($B400+$I$38-1),IF(AND($L$37=0,$P$34=0),"",$L$37-1)),MIN(CA$38,$E400),$P$20))-SUM($BF400:BZ400))</f>
        <v>0</v>
      </c>
      <c r="CB400" s="446">
        <f>IF($E400=0,0,IF(MIN(CB$38,$E400)&lt;MAX($P$34*($B400+$I$38-1),IF(AND($L$37=0,$P$34=0),"",$L$37-1)),0,YEARFRAC(MAX($P$34*($B400+$I$38-1),IF(AND($L$37=0,$P$34=0),"",$L$37-1)),MIN(CB$38,$E400),$P$20))-SUM($BF400:CA400))</f>
        <v>0</v>
      </c>
      <c r="CC400" s="446">
        <f>IF($E400=0,0,IF(MIN(CC$38,$E400)&lt;MAX($P$34*($B400+$I$38-1),IF(AND($L$37=0,$P$34=0),"",$L$37-1)),0,YEARFRAC(MAX($P$34*($B400+$I$38-1),IF(AND($L$37=0,$P$34=0),"",$L$37-1)),MIN(CC$38,$E400),$P$20))-SUM($BF400:CB400))</f>
        <v>0</v>
      </c>
      <c r="CD400" s="446">
        <f>IF($E400=0,0,IF(MIN(CD$38,$E400)&lt;MAX($P$34*($B400+$I$38-1),IF(AND($L$37=0,$P$34=0),"",$L$37-1)),0,YEARFRAC(MAX($P$34*($B400+$I$38-1),IF(AND($L$37=0,$P$34=0),"",$L$37-1)),MIN(CD$38,$E400),$P$20))-SUM($BF400:CC400))</f>
        <v>0</v>
      </c>
      <c r="CE400" s="446">
        <f>IF($E400=0,0,IF(MIN(CE$38,$E400)&lt;MAX($P$34*($B400+$I$38-1),IF(AND($L$37=0,$P$34=0),"",$L$37-1)),0,YEARFRAC(MAX($P$34*($B400+$I$38-1),IF(AND($L$37=0,$P$34=0),"",$L$37-1)),MIN(CE$38,$E400),$P$20))-SUM($BF400:CD400))</f>
        <v>0</v>
      </c>
      <c r="CF400" s="446">
        <f>IF($E400=0,0,IF(MIN(CF$38,$E400)&lt;MAX($P$34*($B400+$I$38-1),IF(AND($L$37=0,$P$34=0),"",$L$37-1)),0,YEARFRAC(MAX($P$34*($B400+$I$38-1),IF(AND($L$37=0,$P$34=0),"",$L$37-1)),MIN(CF$38,$E400),$P$20))-SUM($BF400:CE400))</f>
        <v>0</v>
      </c>
      <c r="CG400" s="446">
        <f>IF($E400=0,0,IF(MIN(CG$38,$E400)&lt;MAX($P$34*($B400+$I$38-1),IF(AND($L$37=0,$P$34=0),"",$L$37-1)),0,YEARFRAC(MAX($P$34*($B400+$I$38-1),IF(AND($L$37=0,$P$34=0),"",$L$37-1)),MIN(CG$38,$E400),$P$20))-SUM($BF400:CF400))</f>
        <v>0</v>
      </c>
      <c r="CH400" s="446">
        <f>IF($E400=0,0,IF(MIN(CH$38,$E400)&lt;MAX($P$34*($B400+$I$38-1),IF(AND($L$37=0,$P$34=0),"",$L$37-1)),0,YEARFRAC(MAX($P$34*($B400+$I$38-1),IF(AND($L$37=0,$P$34=0),"",$L$37-1)),MIN(CH$38,$E400),$P$20))-SUM($BF400:CG400))</f>
        <v>0</v>
      </c>
      <c r="CI400" s="446">
        <f>IF($E400=0,0,IF(MIN(CI$38,$E400)&lt;MAX($P$34*($B400+$I$38-1),IF(AND($L$37=0,$P$34=0),"",$L$37-1)),0,YEARFRAC(MAX($P$34*($B400+$I$38-1),IF(AND($L$37=0,$P$34=0),"",$L$37-1)),MIN(CI$38,$E400),$P$20))-SUM($BF400:CH400))</f>
        <v>0</v>
      </c>
      <c r="CJ400" s="446">
        <f>IF($E400=0,0,IF(MIN(CJ$38,$E400)&lt;MAX($P$34*($B400+$I$38-1),IF(AND($L$37=0,$P$34=0),"",$L$37-1)),0,YEARFRAC(MAX($P$34*($B400+$I$38-1),IF(AND($L$37=0,$P$34=0),"",$L$37-1)),MIN(CJ$38,$E400),$P$20))-SUM($BF400:CI400))</f>
        <v>0</v>
      </c>
      <c r="CK400" s="446">
        <f>IF($E400=0,0,IF(MIN(CK$38,$E400)&lt;MAX($P$34*($B400+$I$38-1),IF(AND($L$37=0,$P$34=0),"",$L$37-1)),0,YEARFRAC(MAX($P$34*($B400+$I$38-1),IF(AND($L$37=0,$P$34=0),"",$L$37-1)),MIN(CK$38,$E400),$P$20))-SUM($BF400:CJ400))</f>
        <v>0</v>
      </c>
      <c r="CL400" s="446">
        <f>IF($E400=0,0,IF(MIN(CL$38,$E400)&lt;MAX($P$34*($B400+$I$38-1),IF(AND($L$37=0,$P$34=0),"",$L$37-1)),0,YEARFRAC(MAX($P$34*($B400+$I$38-1),IF(AND($L$37=0,$P$34=0),"",$L$37-1)),MIN(CL$38,$E400),$P$20))-SUM($BF400:CK400))</f>
        <v>0</v>
      </c>
      <c r="CM400" s="446">
        <f>IF($E400=0,0,IF(MIN(CM$38,$E400)&lt;MAX($P$34*($B400+$I$38-1),IF(AND($L$37=0,$P$34=0),"",$L$37-1)),0,YEARFRAC(MAX($P$34*($B400+$I$38-1),IF(AND($L$37=0,$P$34=0),"",$L$37-1)),MIN(CM$38,$E400),$P$20))-SUM($BF400:CL400))</f>
        <v>0</v>
      </c>
      <c r="CN400" s="446">
        <f>IF($E400=0,0,IF(MIN(CN$38,$E400)&lt;MAX($P$34*($B400+$I$38-1),IF(AND($L$37=0,$P$34=0),"",$L$37-1)),0,YEARFRAC(MAX($P$34*($B400+$I$38-1),IF(AND($L$37=0,$P$34=0),"",$L$37-1)),MIN(CN$38,$E400),$P$20))-SUM($BF400:CM400))</f>
        <v>0</v>
      </c>
      <c r="CO400" s="446">
        <f>IF($E400=0,0,IF(MIN(CO$38,$E400)&lt;MAX($P$34*($B400+$I$38-1),IF(AND($L$37=0,$P$34=0),"",$L$37-1)),0,YEARFRAC(MAX($P$34*($B400+$I$38-1),IF(AND($L$37=0,$P$34=0),"",$L$37-1)),MIN(CO$38,$E400),$P$20))-SUM($BF400:CN400))</f>
        <v>0</v>
      </c>
      <c r="CP400" s="446">
        <f>IF($E400=0,0,IF(MIN(CP$38,$E400)&lt;MAX($P$34*($B400+$I$38-1),IF(AND($L$37=0,$P$34=0),"",$L$37-1)),0,YEARFRAC(MAX($P$34*($B400+$I$38-1),IF(AND($L$37=0,$P$34=0),"",$L$37-1)),MIN(CP$38,$E400),$P$20))-SUM($BF400:CO400))</f>
        <v>0</v>
      </c>
      <c r="CQ400" s="446">
        <f>IF($E400=0,0,IF(MIN(CQ$38,$E400)&lt;MAX($P$34*($B400+$I$38-1),IF(AND($L$37=0,$P$34=0),"",$L$37-1)),0,YEARFRAC(MAX($P$34*($B400+$I$38-1),IF(AND($L$37=0,$P$34=0),"",$L$37-1)),MIN(CQ$38,$E400),$P$20))-SUM($BF400:CP400))</f>
        <v>0</v>
      </c>
    </row>
    <row r="401" spans="1:95" s="446" customFormat="1" ht="11.25" hidden="1" customHeight="1" x14ac:dyDescent="0.2">
      <c r="A401" s="152"/>
      <c r="B401" s="153" t="str">
        <f t="shared" si="70"/>
        <v/>
      </c>
      <c r="C401" s="29" t="str">
        <f>IF(B401="","",IF($L$35="SELIC - TRIBUTOS",VLOOKUP(DATE(YEAR($D$19),MONTH($D$19)-1,1),ÍNDICES!$A:$DE,HLOOKUP($BL$25,ÍNDICES!$B$3:$T$4,2)+11)-VLOOKUP(B401,ÍNDICES!$A:$DE,HLOOKUP($BL$25,ÍNDICES!$B$3:$T$4,2)+11)+1%,IF(C$38=$W$26,$J$35,IF(ISERROR(IF(B401&gt;$D$19,1,VLOOKUP(DATE(YEAR(B401),MONTH(B401)+IF($C$35=$S$23,1,0),1),ÍNDICES!$A:$DE,$Z$35+1))),"",IF(B401&gt;$D$19,1,VLOOKUP(DATE(YEAR(B401),MONTH(B401)+IF($C$35=$S$23,1,0),1),ÍNDICES!$A:$DE,$Z$35+1))))))</f>
        <v/>
      </c>
      <c r="D401" s="154" t="str">
        <f>IF(ISERROR(IF(OR($D$38=$Y$27,$B401=""),"",VLOOKUP(B401,ÍNDICES!A:DE,AF$35+1))),"",IF(OR($D$38=$Y$27,$B401=""),"",VLOOKUP(B401,ÍNDICES!A:DE,AF$35+1)))</f>
        <v/>
      </c>
      <c r="E401" s="153"/>
      <c r="F401" s="29" t="str">
        <f>IF(E401="","",IF($L$35="SELIC - TRIBUTOS",VLOOKUP(DATE(YEAR($D$19),MONTH($D$19)-1,1),ÍNDICES!$A:$DE,HLOOKUP($BL$25,ÍNDICES!$B$3:$T$4,2)+11)-VLOOKUP(E401,ÍNDICES!$A:$DE,HLOOKUP($BL$25,ÍNDICES!$B$3:$T$4,2)+11)+1%,IF(F$38=$W$26,$J$35,IF(ISERROR(IF(E401&gt;$D$19,1,VLOOKUP(DATE(YEAR(E401),MONTH(E401)+IF($C$35=$S$23,1,0),1),ÍNDICES!$A:$DE,$Z$35+1))),"",IF(E401&gt;$D$19,1,VLOOKUP(DATE(YEAR(E401),MONTH(E401)+IF($C$35=$S$23,1,0),1),ÍNDICES!$A:$DE,$Z$35+1))))))</f>
        <v/>
      </c>
      <c r="G401" s="155"/>
      <c r="H401" s="156" t="str">
        <f t="shared" si="66"/>
        <v/>
      </c>
      <c r="I401" s="29" t="str">
        <f t="shared" si="60"/>
        <v/>
      </c>
      <c r="J401" s="5">
        <f t="shared" si="61"/>
        <v>0</v>
      </c>
      <c r="K401" s="20">
        <f t="shared" ca="1" si="62"/>
        <v>0</v>
      </c>
      <c r="L401" s="5">
        <f t="shared" ca="1" si="63"/>
        <v>0</v>
      </c>
      <c r="M401" s="64">
        <f t="shared" si="67"/>
        <v>0</v>
      </c>
      <c r="N401" s="61">
        <f t="shared" ca="1" si="68"/>
        <v>0</v>
      </c>
      <c r="O401" s="5">
        <f t="shared" ca="1" si="69"/>
        <v>0</v>
      </c>
      <c r="P401" s="446" t="e">
        <f t="shared" si="64"/>
        <v>#VALUE!</v>
      </c>
      <c r="Q401" s="446" t="e">
        <f>IF(OR($B401="",MIN(Q$38,$D$19)&lt;MAX($P$34*($B401+IF($R$17="Distrato",$I$38-1,0)),IF(AND($L$37=0,$P$34=0),"",$L$37-1),IF($R$17="Distrato",$E401,0))),0,YEARFRAC(MAX($P$34*($B401+IF($R$17="Distrato",$I$38-1,0)),IF(AND($L$37=0,$P$34=0),"",$L$37-1),IF($R$17="Distrato",$E401,0)),MIN(Q$38,$D$19),$P$20))-SUM($P401:P401)</f>
        <v>#VALUE!</v>
      </c>
      <c r="R401" s="446" t="e">
        <f>IF(OR($B401="",MIN(R$38,$D$19)&lt;MAX($P$34*($B401+IF($R$17="Distrato",$I$38-1,0)),IF(AND($L$37=0,$P$34=0),"",$L$37-1),IF($R$17="Distrato",$E401,0))),0,YEARFRAC(MAX($P$34*($B401+IF($R$17="Distrato",$I$38-1,0)),IF(AND($L$37=0,$P$34=0),"",$L$37-1),IF($R$17="Distrato",$E401,0)),MIN(R$38,$D$19),$P$20))-SUM($P401:Q401)</f>
        <v>#VALUE!</v>
      </c>
      <c r="S401" s="446" t="e">
        <f>IF(OR($B401="",MIN(S$38,$D$19)&lt;MAX($P$34*($B401+IF($R$17="Distrato",$I$38-1,0)),IF(AND($L$37=0,$P$34=0),"",$L$37-1),IF($R$17="Distrato",$E401,0))),0,YEARFRAC(MAX($P$34*($B401+IF($R$17="Distrato",$I$38-1,0)),IF(AND($L$37=0,$P$34=0),"",$L$37-1),IF($R$17="Distrato",$E401,0)),MIN(S$38,$D$19),$P$20))-SUM($P401:R401)</f>
        <v>#VALUE!</v>
      </c>
      <c r="T401" s="446" t="e">
        <f>IF(OR($B401="",MIN(T$38,$D$19)&lt;MAX($P$34*($B401+IF($R$17="Distrato",$I$38-1,0)),IF(AND($L$37=0,$P$34=0),"",$L$37-1),IF($R$17="Distrato",$E401,0))),0,YEARFRAC(MAX($P$34*($B401+IF($R$17="Distrato",$I$38-1,0)),IF(AND($L$37=0,$P$34=0),"",$L$37-1),IF($R$17="Distrato",$E401,0)),MIN(T$38,$D$19),$P$20))-SUM($P401:S401)</f>
        <v>#VALUE!</v>
      </c>
      <c r="U401" s="446" t="e">
        <f>IF(OR($B401="",MIN(U$38,$D$19)&lt;MAX($P$34*($B401+IF($R$17="Distrato",$I$38-1,0)),IF(AND($L$37=0,$P$34=0),"",$L$37-1),IF($R$17="Distrato",$E401,0))),0,YEARFRAC(MAX($P$34*($B401+IF($R$17="Distrato",$I$38-1,0)),IF(AND($L$37=0,$P$34=0),"",$L$37-1),IF($R$17="Distrato",$E401,0)),MIN(U$38,$D$19),$P$20))-SUM($P401:T401)</f>
        <v>#VALUE!</v>
      </c>
      <c r="V401" s="446" t="e">
        <f>IF(OR($B401="",MIN(V$38,$D$19)&lt;MAX($P$34*($B401+IF($R$17="Distrato",$I$38-1,0)),IF(AND($L$37=0,$P$34=0),"",$L$37-1),IF($R$17="Distrato",$E401,0))),0,YEARFRAC(MAX($P$34*($B401+IF($R$17="Distrato",$I$38-1,0)),IF(AND($L$37=0,$P$34=0),"",$L$37-1),IF($R$17="Distrato",$E401,0)),MIN(V$38,$D$19),$P$20))-SUM($P401:U401)</f>
        <v>#VALUE!</v>
      </c>
      <c r="W401" s="446" t="e">
        <f>IF(OR($B401="",MIN(W$38,$D$19)&lt;MAX($P$34*($B401+IF($R$17="Distrato",$I$38-1,0)),IF(AND($L$37=0,$P$34=0),"",$L$37-1),IF($R$17="Distrato",$E401,0))),0,YEARFRAC(MAX($P$34*($B401+IF($R$17="Distrato",$I$38-1,0)),IF(AND($L$37=0,$P$34=0),"",$L$37-1),IF($R$17="Distrato",$E401,0)),MIN(W$38,$D$19),$P$20))-SUM($P401:V401)</f>
        <v>#VALUE!</v>
      </c>
      <c r="X401" s="446" t="e">
        <f>IF(OR($B401="",MIN(X$38,$D$19)&lt;MAX($P$34*($B401+IF($R$17="Distrato",$I$38-1,0)),IF(AND($L$37=0,$P$34=0),"",$L$37-1),IF($R$17="Distrato",$E401,0))),0,YEARFRAC(MAX($P$34*($B401+IF($R$17="Distrato",$I$38-1,0)),IF(AND($L$37=0,$P$34=0),"",$L$37-1),IF($R$17="Distrato",$E401,0)),MIN(X$38,$D$19),$P$20))-SUM($P401:W401)</f>
        <v>#VALUE!</v>
      </c>
      <c r="Y401" s="446" t="e">
        <f>IF(OR($B401="",MIN(Y$38,$D$19)&lt;MAX($P$34*($B401+IF($R$17="Distrato",$I$38-1,0)),IF(AND($L$37=0,$P$34=0),"",$L$37-1),IF($R$17="Distrato",$E401,0))),0,YEARFRAC(MAX($P$34*($B401+IF($R$17="Distrato",$I$38-1,0)),IF(AND($L$37=0,$P$34=0),"",$L$37-1),IF($R$17="Distrato",$E401,0)),MIN(Y$38,$D$19),$P$20))-SUM($P401:X401)</f>
        <v>#VALUE!</v>
      </c>
      <c r="Z401" s="446" t="e">
        <f>IF(OR($B401="",MIN(Z$38,$D$19)&lt;MAX($P$34*($B401+IF($R$17="Distrato",$I$38-1,0)),IF(AND($L$37=0,$P$34=0),"",$L$37-1),IF($R$17="Distrato",$E401,0))),0,YEARFRAC(MAX($P$34*($B401+IF($R$17="Distrato",$I$38-1,0)),IF(AND($L$37=0,$P$34=0),"",$L$37-1),IF($R$17="Distrato",$E401,0)),MIN(Z$38,$D$19),$P$20))-SUM($P401:Y401)</f>
        <v>#VALUE!</v>
      </c>
      <c r="AA401" s="446" t="e">
        <f>IF(OR($B401="",MIN(AA$38,$D$19)&lt;MAX($P$34*($B401+IF($R$17="Distrato",$I$38-1,0)),IF(AND($L$37=0,$P$34=0),"",$L$37-1),IF($R$17="Distrato",$E401,0))),0,YEARFRAC(MAX($P$34*($B401+IF($R$17="Distrato",$I$38-1,0)),IF(AND($L$37=0,$P$34=0),"",$L$37-1),IF($R$17="Distrato",$E401,0)),MIN(AA$38,$D$19),$P$20))-SUM($P401:Z401)</f>
        <v>#VALUE!</v>
      </c>
      <c r="AB401" s="446" t="e">
        <f>IF(OR($B401="",MIN(AB$38,$D$19)&lt;MAX($P$34*($B401+IF($R$17="Distrato",$I$38-1,0)),IF(AND($L$37=0,$P$34=0),"",$L$37-1),IF($R$17="Distrato",$E401,0))),0,YEARFRAC(MAX($P$34*($B401+IF($R$17="Distrato",$I$38-1,0)),IF(AND($L$37=0,$P$34=0),"",$L$37-1),IF($R$17="Distrato",$E401,0)),MIN(AB$38,$D$19),$P$20))-SUM($P401:AA401)</f>
        <v>#VALUE!</v>
      </c>
      <c r="AC401" s="446" t="e">
        <f>IF(OR($B401="",MIN(AC$38,$D$19)&lt;MAX($P$34*($B401+IF($R$17="Distrato",$I$38-1,0)),IF(AND($L$37=0,$P$34=0),"",$L$37-1),IF($R$17="Distrato",$E401,0))),0,YEARFRAC(MAX($P$34*($B401+IF($R$17="Distrato",$I$38-1,0)),IF(AND($L$37=0,$P$34=0),"",$L$37-1),IF($R$17="Distrato",$E401,0)),MIN(AC$38,$D$19),$P$20))-SUM($P401:AB401)</f>
        <v>#VALUE!</v>
      </c>
      <c r="AD401" s="446" t="e">
        <f>IF(OR($B401="",MIN(AD$38,$D$19)&lt;MAX($P$34*($B401+IF($R$17="Distrato",$I$38-1,0)),IF(AND($L$37=0,$P$34=0),"",$L$37-1),IF($R$17="Distrato",$E401,0))),0,YEARFRAC(MAX($P$34*($B401+IF($R$17="Distrato",$I$38-1,0)),IF(AND($L$37=0,$P$34=0),"",$L$37-1),IF($R$17="Distrato",$E401,0)),MIN(AD$38,$D$19),$P$20))-SUM($P401:AC401)</f>
        <v>#VALUE!</v>
      </c>
      <c r="AE401" s="446" t="e">
        <f>IF(OR($B401="",MIN(AE$38,$D$19)&lt;MAX($P$34*($B401+IF($R$17="Distrato",$I$38-1,0)),IF(AND($L$37=0,$P$34=0),"",$L$37-1),IF($R$17="Distrato",$E401,0))),0,YEARFRAC(MAX($P$34*($B401+IF($R$17="Distrato",$I$38-1,0)),IF(AND($L$37=0,$P$34=0),"",$L$37-1),IF($R$17="Distrato",$E401,0)),MIN(AE$38,$D$19),$P$20))-SUM($P401:AD401)</f>
        <v>#VALUE!</v>
      </c>
      <c r="AF401" s="446" t="e">
        <f>IF(OR($B401="",MIN(AF$38,$D$19)&lt;MAX($P$34*($B401+IF($R$17="Distrato",$I$38-1,0)),IF(AND($L$37=0,$P$34=0),"",$L$37-1),IF($R$17="Distrato",$E401,0))),0,YEARFRAC(MAX($P$34*($B401+IF($R$17="Distrato",$I$38-1,0)),IF(AND($L$37=0,$P$34=0),"",$L$37-1),IF($R$17="Distrato",$E401,0)),MIN(AF$38,$D$19),$P$20))-SUM($P401:AE401)</f>
        <v>#VALUE!</v>
      </c>
      <c r="AG401" s="446" t="e">
        <f>IF(OR($B401="",MIN(AG$38,$D$19)&lt;MAX($P$34*($B401+IF($R$17="Distrato",$I$38-1,0)),IF(AND($L$37=0,$P$34=0),"",$L$37-1),IF($R$17="Distrato",$E401,0))),0,YEARFRAC(MAX($P$34*($B401+IF($R$17="Distrato",$I$38-1,0)),IF(AND($L$37=0,$P$34=0),"",$L$37-1),IF($R$17="Distrato",$E401,0)),MIN(AG$38,$D$19),$P$20))-SUM($P401:AF401)</f>
        <v>#VALUE!</v>
      </c>
      <c r="AH401" s="446" t="e">
        <f>IF(OR($B401="",MIN(AH$38,$D$19)&lt;MAX($P$34*($B401+IF($R$17="Distrato",$I$38-1,0)),IF(AND($L$37=0,$P$34=0),"",$L$37-1),IF($R$17="Distrato",$E401,0))),0,YEARFRAC(MAX($P$34*($B401+IF($R$17="Distrato",$I$38-1,0)),IF(AND($L$37=0,$P$34=0),"",$L$37-1),IF($R$17="Distrato",$E401,0)),MIN(AH$38,$D$19),$P$20))-SUM($P401:AG401)</f>
        <v>#VALUE!</v>
      </c>
      <c r="AI401" s="446" t="e">
        <f>IF(OR($B401="",MIN(AI$38,$D$19)&lt;MAX($P$34*($B401+IF($R$17="Distrato",$I$38-1,0)),IF(AND($L$37=0,$P$34=0),"",$L$37-1),IF($R$17="Distrato",$E401,0))),0,YEARFRAC(MAX($P$34*($B401+IF($R$17="Distrato",$I$38-1,0)),IF(AND($L$37=0,$P$34=0),"",$L$37-1),IF($R$17="Distrato",$E401,0)),MIN(AI$38,$D$19),$P$20))-SUM($P401:AH401)</f>
        <v>#VALUE!</v>
      </c>
      <c r="AJ401" s="446" t="e">
        <f>IF(OR($B401="",MIN(AJ$38,$D$19)&lt;MAX($P$34*($B401+IF($R$17="Distrato",$I$38-1,0)),IF(AND($L$37=0,$P$34=0),"",$L$37-1),IF($R$17="Distrato",$E401,0))),0,YEARFRAC(MAX($P$34*($B401+IF($R$17="Distrato",$I$38-1,0)),IF(AND($L$37=0,$P$34=0),"",$L$37-1),IF($R$17="Distrato",$E401,0)),MIN(AJ$38,$D$19),$P$20))-SUM($P401:AI401)</f>
        <v>#VALUE!</v>
      </c>
      <c r="AK401" s="446" t="e">
        <f>IF(OR($B401="",MIN(AK$38,$D$19)&lt;MAX($P$34*($B401+IF($R$17="Distrato",$I$38-1,0)),IF(AND($L$37=0,$P$34=0),"",$L$37-1),IF($R$17="Distrato",$E401,0))),0,YEARFRAC(MAX($P$34*($B401+IF($R$17="Distrato",$I$38-1,0)),IF(AND($L$37=0,$P$34=0),"",$L$37-1),IF($R$17="Distrato",$E401,0)),MIN(AK$38,$D$19),$P$20))-SUM($P401:AJ401)</f>
        <v>#VALUE!</v>
      </c>
      <c r="AL401" s="446" t="e">
        <f>IF(OR($B401="",MIN(AL$38,$D$19)&lt;MAX($P$34*($B401+IF($R$17="Distrato",$I$38-1,0)),IF(AND($L$37=0,$P$34=0),"",$L$37-1),IF($R$17="Distrato",$E401,0))),0,YEARFRAC(MAX($P$34*($B401+IF($R$17="Distrato",$I$38-1,0)),IF(AND($L$37=0,$P$34=0),"",$L$37-1),IF($R$17="Distrato",$E401,0)),MIN(AL$38,$D$19),$P$20))-SUM($P401:AK401)</f>
        <v>#VALUE!</v>
      </c>
      <c r="AM401" s="446" t="e">
        <f>IF(OR($B401="",MIN(AM$38,$D$19)&lt;MAX($P$34*($B401+IF($R$17="Distrato",$I$38-1,0)),IF(AND($L$37=0,$P$34=0),"",$L$37-1),IF($R$17="Distrato",$E401,0))),0,YEARFRAC(MAX($P$34*($B401+IF($R$17="Distrato",$I$38-1,0)),IF(AND($L$37=0,$P$34=0),"",$L$37-1),IF($R$17="Distrato",$E401,0)),MIN(AM$38,$D$19),$P$20))-SUM($P401:AL401)</f>
        <v>#VALUE!</v>
      </c>
      <c r="AN401" s="446" t="e">
        <f>IF(OR($B401="",MIN(AN$38,$D$19)&lt;MAX($P$34*($B401+IF($R$17="Distrato",$I$38-1,0)),IF(AND($L$37=0,$P$34=0),"",$L$37-1),IF($R$17="Distrato",$E401,0))),0,YEARFRAC(MAX($P$34*($B401+IF($R$17="Distrato",$I$38-1,0)),IF(AND($L$37=0,$P$34=0),"",$L$37-1),IF($R$17="Distrato",$E401,0)),MIN(AN$38,$D$19),$P$20))-SUM($P401:AM401)</f>
        <v>#VALUE!</v>
      </c>
      <c r="AO401" s="446" t="e">
        <f>IF(OR($B401="",MIN(AO$38,$D$19)&lt;MAX($P$34*($B401+IF($R$17="Distrato",$I$38-1,0)),IF(AND($L$37=0,$P$34=0),"",$L$37-1),IF($R$17="Distrato",$E401,0))),0,YEARFRAC(MAX($P$34*($B401+IF($R$17="Distrato",$I$38-1,0)),IF(AND($L$37=0,$P$34=0),"",$L$37-1),IF($R$17="Distrato",$E401,0)),MIN(AO$38,$D$19),$P$20))-SUM($P401:AN401)</f>
        <v>#VALUE!</v>
      </c>
      <c r="AP401" s="446" t="e">
        <f>IF(OR($B401="",MIN(AP$38,$D$19)&lt;MAX($P$34*($B401+IF($R$17="Distrato",$I$38-1,0)),IF(AND($L$37=0,$P$34=0),"",$L$37-1),IF($R$17="Distrato",$E401,0))),0,YEARFRAC(MAX($P$34*($B401+IF($R$17="Distrato",$I$38-1,0)),IF(AND($L$37=0,$P$34=0),"",$L$37-1),IF($R$17="Distrato",$E401,0)),MIN(AP$38,$D$19),$P$20))-SUM($P401:AO401)</f>
        <v>#VALUE!</v>
      </c>
      <c r="AQ401" s="446" t="e">
        <f>IF(OR($B401="",MIN(AQ$38,$D$19)&lt;MAX($P$34*($B401+IF($R$17="Distrato",$I$38-1,0)),IF(AND($L$37=0,$P$34=0),"",$L$37-1),IF($R$17="Distrato",$E401,0))),0,YEARFRAC(MAX($P$34*($B401+IF($R$17="Distrato",$I$38-1,0)),IF(AND($L$37=0,$P$34=0),"",$L$37-1),IF($R$17="Distrato",$E401,0)),MIN(AQ$38,$D$19),$P$20))-SUM($P401:AP401)</f>
        <v>#VALUE!</v>
      </c>
      <c r="AR401" s="446" t="e">
        <f>IF(OR($B401="",MIN(AR$38,$D$19)&lt;MAX($P$34*($B401+IF($R$17="Distrato",$I$38-1,0)),IF(AND($L$37=0,$P$34=0),"",$L$37-1),IF($R$17="Distrato",$E401,0))),0,YEARFRAC(MAX($P$34*($B401+IF($R$17="Distrato",$I$38-1,0)),IF(AND($L$37=0,$P$34=0),"",$L$37-1),IF($R$17="Distrato",$E401,0)),MIN(AR$38,$D$19),$P$20))-SUM($P401:AQ401)</f>
        <v>#VALUE!</v>
      </c>
      <c r="AS401" s="446" t="e">
        <f>IF(OR($B401="",MIN(AS$38,$D$19)&lt;MAX($P$34*($B401+IF($R$17="Distrato",$I$38-1,0)),IF(AND($L$37=0,$P$34=0),"",$L$37-1),IF($R$17="Distrato",$E401,0))),0,YEARFRAC(MAX($P$34*($B401+IF($R$17="Distrato",$I$38-1,0)),IF(AND($L$37=0,$P$34=0),"",$L$37-1),IF($R$17="Distrato",$E401,0)),MIN(AS$38,$D$19),$P$20))-SUM($P401:AR401)</f>
        <v>#VALUE!</v>
      </c>
      <c r="AT401" s="446" t="e">
        <f>IF(OR($B401="",MIN(AT$38,$D$19)&lt;MAX($P$34*($B401+IF($R$17="Distrato",$I$38-1,0)),IF(AND($L$37=0,$P$34=0),"",$L$37-1),IF($R$17="Distrato",$E401,0))),0,YEARFRAC(MAX($P$34*($B401+IF($R$17="Distrato",$I$38-1,0)),IF(AND($L$37=0,$P$34=0),"",$L$37-1),IF($R$17="Distrato",$E401,0)),MIN(AT$38,$D$19),$P$20))-SUM($P401:AS401)</f>
        <v>#VALUE!</v>
      </c>
      <c r="AU401" s="446" t="e">
        <f>IF(OR($B401="",MIN(AU$38,$D$19)&lt;MAX($P$34*($B401+IF($R$17="Distrato",$I$38-1,0)),IF(AND($L$37=0,$P$34=0),"",$L$37-1),IF($R$17="Distrato",$E401,0))),0,YEARFRAC(MAX($P$34*($B401+IF($R$17="Distrato",$I$38-1,0)),IF(AND($L$37=0,$P$34=0),"",$L$37-1),IF($R$17="Distrato",$E401,0)),MIN(AU$38,$D$19),$P$20))-SUM($P401:AT401)</f>
        <v>#VALUE!</v>
      </c>
      <c r="AV401" s="446" t="e">
        <f>IF(OR($B401="",MIN(AV$38,$D$19)&lt;MAX($P$34*($B401+IF($R$17="Distrato",$I$38-1,0)),IF(AND($L$37=0,$P$34=0),"",$L$37-1),IF($R$17="Distrato",$E401,0))),0,YEARFRAC(MAX($P$34*($B401+IF($R$17="Distrato",$I$38-1,0)),IF(AND($L$37=0,$P$34=0),"",$L$37-1),IF($R$17="Distrato",$E401,0)),MIN(AV$38,$D$19),$P$20))-SUM($P401:AU401)</f>
        <v>#VALUE!</v>
      </c>
      <c r="AW401" s="446" t="e">
        <f>IF(OR($B401="",MIN(AW$38,$D$19)&lt;MAX($P$34*($B401+IF($R$17="Distrato",$I$38-1,0)),IF(AND($L$37=0,$P$34=0),"",$L$37-1),IF($R$17="Distrato",$E401,0))),0,YEARFRAC(MAX($P$34*($B401+IF($R$17="Distrato",$I$38-1,0)),IF(AND($L$37=0,$P$34=0),"",$L$37-1),IF($R$17="Distrato",$E401,0)),MIN(AW$38,$D$19),$P$20))-SUM($P401:AV401)</f>
        <v>#VALUE!</v>
      </c>
      <c r="AX401" s="446" t="e">
        <f>IF(OR($B401="",MIN(AX$38,$D$19)&lt;MAX($P$34*($B401+IF($R$17="Distrato",$I$38-1,0)),IF(AND($L$37=0,$P$34=0),"",$L$37-1),IF($R$17="Distrato",$E401,0))),0,YEARFRAC(MAX($P$34*($B401+IF($R$17="Distrato",$I$38-1,0)),IF(AND($L$37=0,$P$34=0),"",$L$37-1),IF($R$17="Distrato",$E401,0)),MIN(AX$38,$D$19),$P$20))-SUM($P401:AW401)</f>
        <v>#VALUE!</v>
      </c>
      <c r="AY401" s="446" t="e">
        <f>IF(OR($B401="",MIN(AY$38,$D$19)&lt;MAX($P$34*($B401+IF($R$17="Distrato",$I$38-1,0)),IF(AND($L$37=0,$P$34=0),"",$L$37-1),IF($R$17="Distrato",$E401,0))),0,YEARFRAC(MAX($P$34*($B401+IF($R$17="Distrato",$I$38-1,0)),IF(AND($L$37=0,$P$34=0),"",$L$37-1),IF($R$17="Distrato",$E401,0)),MIN(AY$38,$D$19),$P$20))-SUM($P401:AX401)</f>
        <v>#VALUE!</v>
      </c>
      <c r="AZ401" s="446" t="e">
        <f>IF(OR($B401="",MIN(AZ$38,$D$19)&lt;MAX($P$34*($B401+IF($R$17="Distrato",$I$38-1,0)),IF(AND($L$37=0,$P$34=0),"",$L$37-1),IF($R$17="Distrato",$E401,0))),0,YEARFRAC(MAX($P$34*($B401+IF($R$17="Distrato",$I$38-1,0)),IF(AND($L$37=0,$P$34=0),"",$L$37-1),IF($R$17="Distrato",$E401,0)),MIN(AZ$38,$D$19),$P$20))-SUM($P401:AY401)</f>
        <v>#VALUE!</v>
      </c>
      <c r="BA401" s="446" t="e">
        <f>IF(OR($B401="",MIN(BA$38,$D$19)&lt;MAX($P$34*($B401+IF($R$17="Distrato",$I$38-1,0)),IF(AND($L$37=0,$P$34=0),"",$L$37-1),IF($R$17="Distrato",$E401,0))),0,YEARFRAC(MAX($P$34*($B401+IF($R$17="Distrato",$I$38-1,0)),IF(AND($L$37=0,$P$34=0),"",$L$37-1),IF($R$17="Distrato",$E401,0)),MIN(BA$38,$D$19),$P$20))-SUM($P401:AZ401)</f>
        <v>#VALUE!</v>
      </c>
      <c r="BB401" s="447"/>
      <c r="BF401" s="446">
        <f t="shared" si="65"/>
        <v>0</v>
      </c>
      <c r="BG401" s="446">
        <f>IF($E401=0,0,IF(MIN(BG$38,$E401)&lt;MAX($P$34*($B401+$I$38-1),IF(AND($L$37=0,$P$34=0),"",$L$37-1)),0,YEARFRAC(MAX($P$34*($B401+$I$38-1),IF(AND($L$37=0,$P$34=0),"",$L$37-1)),MIN(BG$38,$E401),$P$20))-SUM($BF401:BF401))</f>
        <v>0</v>
      </c>
      <c r="BH401" s="446">
        <f>IF($E401=0,0,IF(MIN(BH$38,$E401)&lt;MAX($P$34*($B401+$I$38-1),IF(AND($L$37=0,$P$34=0),"",$L$37-1)),0,YEARFRAC(MAX($P$34*($B401+$I$38-1),IF(AND($L$37=0,$P$34=0),"",$L$37-1)),MIN(BH$38,$E401),$P$20))-SUM($BF401:BG401))</f>
        <v>0</v>
      </c>
      <c r="BI401" s="446">
        <f>IF($E401=0,0,IF(MIN(BI$38,$E401)&lt;MAX($P$34*($B401+$I$38-1),IF(AND($L$37=0,$P$34=0),"",$L$37-1)),0,YEARFRAC(MAX($P$34*($B401+$I$38-1),IF(AND($L$37=0,$P$34=0),"",$L$37-1)),MIN(BI$38,$E401),$P$20))-SUM($BF401:BH401))</f>
        <v>0</v>
      </c>
      <c r="BJ401" s="446">
        <f>IF($E401=0,0,IF(MIN(BJ$38,$E401)&lt;MAX($P$34*($B401+$I$38-1),IF(AND($L$37=0,$P$34=0),"",$L$37-1)),0,YEARFRAC(MAX($P$34*($B401+$I$38-1),IF(AND($L$37=0,$P$34=0),"",$L$37-1)),MIN(BJ$38,$E401),$P$20))-SUM($BF401:BI401))</f>
        <v>0</v>
      </c>
      <c r="BK401" s="446">
        <f>IF($E401=0,0,IF(MIN(BK$38,$E401)&lt;MAX($P$34*($B401+$I$38-1),IF(AND($L$37=0,$P$34=0),"",$L$37-1)),0,YEARFRAC(MAX($P$34*($B401+$I$38-1),IF(AND($L$37=0,$P$34=0),"",$L$37-1)),MIN(BK$38,$E401),$P$20))-SUM($BF401:BJ401))</f>
        <v>0</v>
      </c>
      <c r="BL401" s="446">
        <f>IF($E401=0,0,IF(MIN(BL$38,$E401)&lt;MAX($P$34*($B401+$I$38-1),IF(AND($L$37=0,$P$34=0),"",$L$37-1)),0,YEARFRAC(MAX($P$34*($B401+$I$38-1),IF(AND($L$37=0,$P$34=0),"",$L$37-1)),MIN(BL$38,$E401),$P$20))-SUM($BF401:BK401))</f>
        <v>0</v>
      </c>
      <c r="BM401" s="446">
        <f>IF($E401=0,0,IF(MIN(BM$38,$E401)&lt;MAX($P$34*($B401+$I$38-1),IF(AND($L$37=0,$P$34=0),"",$L$37-1)),0,YEARFRAC(MAX($P$34*($B401+$I$38-1),IF(AND($L$37=0,$P$34=0),"",$L$37-1)),MIN(BM$38,$E401),$P$20))-SUM($BF401:BL401))</f>
        <v>0</v>
      </c>
      <c r="BN401" s="446">
        <f>IF($E401=0,0,IF(MIN(BN$38,$E401)&lt;MAX($P$34*($B401+$I$38-1),IF(AND($L$37=0,$P$34=0),"",$L$37-1)),0,YEARFRAC(MAX($P$34*($B401+$I$38-1),IF(AND($L$37=0,$P$34=0),"",$L$37-1)),MIN(BN$38,$E401),$P$20))-SUM($BF401:BM401))</f>
        <v>0</v>
      </c>
      <c r="BO401" s="446">
        <f>IF($E401=0,0,IF(MIN(BO$38,$E401)&lt;MAX($P$34*($B401+$I$38-1),IF(AND($L$37=0,$P$34=0),"",$L$37-1)),0,YEARFRAC(MAX($P$34*($B401+$I$38-1),IF(AND($L$37=0,$P$34=0),"",$L$37-1)),MIN(BO$38,$E401),$P$20))-SUM($BF401:BN401))</f>
        <v>0</v>
      </c>
      <c r="BP401" s="446">
        <f>IF($E401=0,0,IF(MIN(BP$38,$E401)&lt;MAX($P$34*($B401+$I$38-1),IF(AND($L$37=0,$P$34=0),"",$L$37-1)),0,YEARFRAC(MAX($P$34*($B401+$I$38-1),IF(AND($L$37=0,$P$34=0),"",$L$37-1)),MIN(BP$38,$E401),$P$20))-SUM($BF401:BO401))</f>
        <v>0</v>
      </c>
      <c r="BQ401" s="446">
        <f>IF($E401=0,0,IF(MIN(BQ$38,$E401)&lt;MAX($P$34*($B401+$I$38-1),IF(AND($L$37=0,$P$34=0),"",$L$37-1)),0,YEARFRAC(MAX($P$34*($B401+$I$38-1),IF(AND($L$37=0,$P$34=0),"",$L$37-1)),MIN(BQ$38,$E401),$P$20))-SUM($BF401:BP401))</f>
        <v>0</v>
      </c>
      <c r="BR401" s="446">
        <f>IF($E401=0,0,IF(MIN(BR$38,$E401)&lt;MAX($P$34*($B401+$I$38-1),IF(AND($L$37=0,$P$34=0),"",$L$37-1)),0,YEARFRAC(MAX($P$34*($B401+$I$38-1),IF(AND($L$37=0,$P$34=0),"",$L$37-1)),MIN(BR$38,$E401),$P$20))-SUM($BF401:BQ401))</f>
        <v>0</v>
      </c>
      <c r="BS401" s="446">
        <f>IF($E401=0,0,IF(MIN(BS$38,$E401)&lt;MAX($P$34*($B401+$I$38-1),IF(AND($L$37=0,$P$34=0),"",$L$37-1)),0,YEARFRAC(MAX($P$34*($B401+$I$38-1),IF(AND($L$37=0,$P$34=0),"",$L$37-1)),MIN(BS$38,$E401),$P$20))-SUM($BF401:BR401))</f>
        <v>0</v>
      </c>
      <c r="BT401" s="446">
        <f>IF($E401=0,0,IF(MIN(BT$38,$E401)&lt;MAX($P$34*($B401+$I$38-1),IF(AND($L$37=0,$P$34=0),"",$L$37-1)),0,YEARFRAC(MAX($P$34*($B401+$I$38-1),IF(AND($L$37=0,$P$34=0),"",$L$37-1)),MIN(BT$38,$E401),$P$20))-SUM($BF401:BS401))</f>
        <v>0</v>
      </c>
      <c r="BU401" s="446">
        <f>IF($E401=0,0,IF(MIN(BU$38,$E401)&lt;MAX($P$34*($B401+$I$38-1),IF(AND($L$37=0,$P$34=0),"",$L$37-1)),0,YEARFRAC(MAX($P$34*($B401+$I$38-1),IF(AND($L$37=0,$P$34=0),"",$L$37-1)),MIN(BU$38,$E401),$P$20))-SUM($BF401:BT401))</f>
        <v>0</v>
      </c>
      <c r="BV401" s="446">
        <f>IF($E401=0,0,IF(MIN(BV$38,$E401)&lt;MAX($P$34*($B401+$I$38-1),IF(AND($L$37=0,$P$34=0),"",$L$37-1)),0,YEARFRAC(MAX($P$34*($B401+$I$38-1),IF(AND($L$37=0,$P$34=0),"",$L$37-1)),MIN(BV$38,$E401),$P$20))-SUM($BF401:BU401))</f>
        <v>0</v>
      </c>
      <c r="BW401" s="446">
        <f>IF($E401=0,0,IF(MIN(BW$38,$E401)&lt;MAX($P$34*($B401+$I$38-1),IF(AND($L$37=0,$P$34=0),"",$L$37-1)),0,YEARFRAC(MAX($P$34*($B401+$I$38-1),IF(AND($L$37=0,$P$34=0),"",$L$37-1)),MIN(BW$38,$E401),$P$20))-SUM($BF401:BV401))</f>
        <v>0</v>
      </c>
      <c r="BX401" s="446">
        <f>IF($E401=0,0,IF(MIN(BX$38,$E401)&lt;MAX($P$34*($B401+$I$38-1),IF(AND($L$37=0,$P$34=0),"",$L$37-1)),0,YEARFRAC(MAX($P$34*($B401+$I$38-1),IF(AND($L$37=0,$P$34=0),"",$L$37-1)),MIN(BX$38,$E401),$P$20))-SUM($BF401:BW401))</f>
        <v>0</v>
      </c>
      <c r="BY401" s="446">
        <f>IF($E401=0,0,IF(MIN(BY$38,$E401)&lt;MAX($P$34*($B401+$I$38-1),IF(AND($L$37=0,$P$34=0),"",$L$37-1)),0,YEARFRAC(MAX($P$34*($B401+$I$38-1),IF(AND($L$37=0,$P$34=0),"",$L$37-1)),MIN(BY$38,$E401),$P$20))-SUM($BF401:BX401))</f>
        <v>0</v>
      </c>
      <c r="BZ401" s="446">
        <f>IF($E401=0,0,IF(MIN(BZ$38,$E401)&lt;MAX($P$34*($B401+$I$38-1),IF(AND($L$37=0,$P$34=0),"",$L$37-1)),0,YEARFRAC(MAX($P$34*($B401+$I$38-1),IF(AND($L$37=0,$P$34=0),"",$L$37-1)),MIN(BZ$38,$E401),$P$20))-SUM($BF401:BY401))</f>
        <v>0</v>
      </c>
      <c r="CA401" s="446">
        <f>IF($E401=0,0,IF(MIN(CA$38,$E401)&lt;MAX($P$34*($B401+$I$38-1),IF(AND($L$37=0,$P$34=0),"",$L$37-1)),0,YEARFRAC(MAX($P$34*($B401+$I$38-1),IF(AND($L$37=0,$P$34=0),"",$L$37-1)),MIN(CA$38,$E401),$P$20))-SUM($BF401:BZ401))</f>
        <v>0</v>
      </c>
      <c r="CB401" s="446">
        <f>IF($E401=0,0,IF(MIN(CB$38,$E401)&lt;MAX($P$34*($B401+$I$38-1),IF(AND($L$37=0,$P$34=0),"",$L$37-1)),0,YEARFRAC(MAX($P$34*($B401+$I$38-1),IF(AND($L$37=0,$P$34=0),"",$L$37-1)),MIN(CB$38,$E401),$P$20))-SUM($BF401:CA401))</f>
        <v>0</v>
      </c>
      <c r="CC401" s="446">
        <f>IF($E401=0,0,IF(MIN(CC$38,$E401)&lt;MAX($P$34*($B401+$I$38-1),IF(AND($L$37=0,$P$34=0),"",$L$37-1)),0,YEARFRAC(MAX($P$34*($B401+$I$38-1),IF(AND($L$37=0,$P$34=0),"",$L$37-1)),MIN(CC$38,$E401),$P$20))-SUM($BF401:CB401))</f>
        <v>0</v>
      </c>
      <c r="CD401" s="446">
        <f>IF($E401=0,0,IF(MIN(CD$38,$E401)&lt;MAX($P$34*($B401+$I$38-1),IF(AND($L$37=0,$P$34=0),"",$L$37-1)),0,YEARFRAC(MAX($P$34*($B401+$I$38-1),IF(AND($L$37=0,$P$34=0),"",$L$37-1)),MIN(CD$38,$E401),$P$20))-SUM($BF401:CC401))</f>
        <v>0</v>
      </c>
      <c r="CE401" s="446">
        <f>IF($E401=0,0,IF(MIN(CE$38,$E401)&lt;MAX($P$34*($B401+$I$38-1),IF(AND($L$37=0,$P$34=0),"",$L$37-1)),0,YEARFRAC(MAX($P$34*($B401+$I$38-1),IF(AND($L$37=0,$P$34=0),"",$L$37-1)),MIN(CE$38,$E401),$P$20))-SUM($BF401:CD401))</f>
        <v>0</v>
      </c>
      <c r="CF401" s="446">
        <f>IF($E401=0,0,IF(MIN(CF$38,$E401)&lt;MAX($P$34*($B401+$I$38-1),IF(AND($L$37=0,$P$34=0),"",$L$37-1)),0,YEARFRAC(MAX($P$34*($B401+$I$38-1),IF(AND($L$37=0,$P$34=0),"",$L$37-1)),MIN(CF$38,$E401),$P$20))-SUM($BF401:CE401))</f>
        <v>0</v>
      </c>
      <c r="CG401" s="446">
        <f>IF($E401=0,0,IF(MIN(CG$38,$E401)&lt;MAX($P$34*($B401+$I$38-1),IF(AND($L$37=0,$P$34=0),"",$L$37-1)),0,YEARFRAC(MAX($P$34*($B401+$I$38-1),IF(AND($L$37=0,$P$34=0),"",$L$37-1)),MIN(CG$38,$E401),$P$20))-SUM($BF401:CF401))</f>
        <v>0</v>
      </c>
      <c r="CH401" s="446">
        <f>IF($E401=0,0,IF(MIN(CH$38,$E401)&lt;MAX($P$34*($B401+$I$38-1),IF(AND($L$37=0,$P$34=0),"",$L$37-1)),0,YEARFRAC(MAX($P$34*($B401+$I$38-1),IF(AND($L$37=0,$P$34=0),"",$L$37-1)),MIN(CH$38,$E401),$P$20))-SUM($BF401:CG401))</f>
        <v>0</v>
      </c>
      <c r="CI401" s="446">
        <f>IF($E401=0,0,IF(MIN(CI$38,$E401)&lt;MAX($P$34*($B401+$I$38-1),IF(AND($L$37=0,$P$34=0),"",$L$37-1)),0,YEARFRAC(MAX($P$34*($B401+$I$38-1),IF(AND($L$37=0,$P$34=0),"",$L$37-1)),MIN(CI$38,$E401),$P$20))-SUM($BF401:CH401))</f>
        <v>0</v>
      </c>
      <c r="CJ401" s="446">
        <f>IF($E401=0,0,IF(MIN(CJ$38,$E401)&lt;MAX($P$34*($B401+$I$38-1),IF(AND($L$37=0,$P$34=0),"",$L$37-1)),0,YEARFRAC(MAX($P$34*($B401+$I$38-1),IF(AND($L$37=0,$P$34=0),"",$L$37-1)),MIN(CJ$38,$E401),$P$20))-SUM($BF401:CI401))</f>
        <v>0</v>
      </c>
      <c r="CK401" s="446">
        <f>IF($E401=0,0,IF(MIN(CK$38,$E401)&lt;MAX($P$34*($B401+$I$38-1),IF(AND($L$37=0,$P$34=0),"",$L$37-1)),0,YEARFRAC(MAX($P$34*($B401+$I$38-1),IF(AND($L$37=0,$P$34=0),"",$L$37-1)),MIN(CK$38,$E401),$P$20))-SUM($BF401:CJ401))</f>
        <v>0</v>
      </c>
      <c r="CL401" s="446">
        <f>IF($E401=0,0,IF(MIN(CL$38,$E401)&lt;MAX($P$34*($B401+$I$38-1),IF(AND($L$37=0,$P$34=0),"",$L$37-1)),0,YEARFRAC(MAX($P$34*($B401+$I$38-1),IF(AND($L$37=0,$P$34=0),"",$L$37-1)),MIN(CL$38,$E401),$P$20))-SUM($BF401:CK401))</f>
        <v>0</v>
      </c>
      <c r="CM401" s="446">
        <f>IF($E401=0,0,IF(MIN(CM$38,$E401)&lt;MAX($P$34*($B401+$I$38-1),IF(AND($L$37=0,$P$34=0),"",$L$37-1)),0,YEARFRAC(MAX($P$34*($B401+$I$38-1),IF(AND($L$37=0,$P$34=0),"",$L$37-1)),MIN(CM$38,$E401),$P$20))-SUM($BF401:CL401))</f>
        <v>0</v>
      </c>
      <c r="CN401" s="446">
        <f>IF($E401=0,0,IF(MIN(CN$38,$E401)&lt;MAX($P$34*($B401+$I$38-1),IF(AND($L$37=0,$P$34=0),"",$L$37-1)),0,YEARFRAC(MAX($P$34*($B401+$I$38-1),IF(AND($L$37=0,$P$34=0),"",$L$37-1)),MIN(CN$38,$E401),$P$20))-SUM($BF401:CM401))</f>
        <v>0</v>
      </c>
      <c r="CO401" s="446">
        <f>IF($E401=0,0,IF(MIN(CO$38,$E401)&lt;MAX($P$34*($B401+$I$38-1),IF(AND($L$37=0,$P$34=0),"",$L$37-1)),0,YEARFRAC(MAX($P$34*($B401+$I$38-1),IF(AND($L$37=0,$P$34=0),"",$L$37-1)),MIN(CO$38,$E401),$P$20))-SUM($BF401:CN401))</f>
        <v>0</v>
      </c>
      <c r="CP401" s="446">
        <f>IF($E401=0,0,IF(MIN(CP$38,$E401)&lt;MAX($P$34*($B401+$I$38-1),IF(AND($L$37=0,$P$34=0),"",$L$37-1)),0,YEARFRAC(MAX($P$34*($B401+$I$38-1),IF(AND($L$37=0,$P$34=0),"",$L$37-1)),MIN(CP$38,$E401),$P$20))-SUM($BF401:CO401))</f>
        <v>0</v>
      </c>
      <c r="CQ401" s="446">
        <f>IF($E401=0,0,IF(MIN(CQ$38,$E401)&lt;MAX($P$34*($B401+$I$38-1),IF(AND($L$37=0,$P$34=0),"",$L$37-1)),0,YEARFRAC(MAX($P$34*($B401+$I$38-1),IF(AND($L$37=0,$P$34=0),"",$L$37-1)),MIN(CQ$38,$E401),$P$20))-SUM($BF401:CP401))</f>
        <v>0</v>
      </c>
    </row>
    <row r="402" spans="1:95" s="446" customFormat="1" ht="11.25" hidden="1" customHeight="1" x14ac:dyDescent="0.2">
      <c r="A402" s="152"/>
      <c r="B402" s="153" t="str">
        <f t="shared" si="70"/>
        <v/>
      </c>
      <c r="C402" s="29" t="str">
        <f>IF(B402="","",IF($L$35="SELIC - TRIBUTOS",VLOOKUP(DATE(YEAR($D$19),MONTH($D$19)-1,1),ÍNDICES!$A:$DE,HLOOKUP($BL$25,ÍNDICES!$B$3:$T$4,2)+11)-VLOOKUP(B402,ÍNDICES!$A:$DE,HLOOKUP($BL$25,ÍNDICES!$B$3:$T$4,2)+11)+1%,IF(C$38=$W$26,$J$35,IF(ISERROR(IF(B402&gt;$D$19,1,VLOOKUP(DATE(YEAR(B402),MONTH(B402)+IF($C$35=$S$23,1,0),1),ÍNDICES!$A:$DE,$Z$35+1))),"",IF(B402&gt;$D$19,1,VLOOKUP(DATE(YEAR(B402),MONTH(B402)+IF($C$35=$S$23,1,0),1),ÍNDICES!$A:$DE,$Z$35+1))))))</f>
        <v/>
      </c>
      <c r="D402" s="154" t="str">
        <f>IF(ISERROR(IF(OR($D$38=$Y$27,$B402=""),"",VLOOKUP(B402,ÍNDICES!A:DE,AF$35+1))),"",IF(OR($D$38=$Y$27,$B402=""),"",VLOOKUP(B402,ÍNDICES!A:DE,AF$35+1)))</f>
        <v/>
      </c>
      <c r="E402" s="153"/>
      <c r="F402" s="29" t="str">
        <f>IF(E402="","",IF($L$35="SELIC - TRIBUTOS",VLOOKUP(DATE(YEAR($D$19),MONTH($D$19)-1,1),ÍNDICES!$A:$DE,HLOOKUP($BL$25,ÍNDICES!$B$3:$T$4,2)+11)-VLOOKUP(E402,ÍNDICES!$A:$DE,HLOOKUP($BL$25,ÍNDICES!$B$3:$T$4,2)+11)+1%,IF(F$38=$W$26,$J$35,IF(ISERROR(IF(E402&gt;$D$19,1,VLOOKUP(DATE(YEAR(E402),MONTH(E402)+IF($C$35=$S$23,1,0),1),ÍNDICES!$A:$DE,$Z$35+1))),"",IF(E402&gt;$D$19,1,VLOOKUP(DATE(YEAR(E402),MONTH(E402)+IF($C$35=$S$23,1,0),1),ÍNDICES!$A:$DE,$Z$35+1))))))</f>
        <v/>
      </c>
      <c r="G402" s="155"/>
      <c r="H402" s="156" t="str">
        <f t="shared" si="66"/>
        <v/>
      </c>
      <c r="I402" s="29" t="str">
        <f t="shared" si="60"/>
        <v/>
      </c>
      <c r="J402" s="5">
        <f t="shared" si="61"/>
        <v>0</v>
      </c>
      <c r="K402" s="20">
        <f t="shared" ca="1" si="62"/>
        <v>0</v>
      </c>
      <c r="L402" s="5">
        <f t="shared" ca="1" si="63"/>
        <v>0</v>
      </c>
      <c r="M402" s="64">
        <f t="shared" si="67"/>
        <v>0</v>
      </c>
      <c r="N402" s="61">
        <f t="shared" ca="1" si="68"/>
        <v>0</v>
      </c>
      <c r="O402" s="5">
        <f t="shared" ca="1" si="69"/>
        <v>0</v>
      </c>
      <c r="P402" s="446" t="e">
        <f t="shared" si="64"/>
        <v>#VALUE!</v>
      </c>
      <c r="Q402" s="446" t="e">
        <f>IF(OR($B402="",MIN(Q$38,$D$19)&lt;MAX($P$34*($B402+IF($R$17="Distrato",$I$38-1,0)),IF(AND($L$37=0,$P$34=0),"",$L$37-1),IF($R$17="Distrato",$E402,0))),0,YEARFRAC(MAX($P$34*($B402+IF($R$17="Distrato",$I$38-1,0)),IF(AND($L$37=0,$P$34=0),"",$L$37-1),IF($R$17="Distrato",$E402,0)),MIN(Q$38,$D$19),$P$20))-SUM($P402:P402)</f>
        <v>#VALUE!</v>
      </c>
      <c r="R402" s="446" t="e">
        <f>IF(OR($B402="",MIN(R$38,$D$19)&lt;MAX($P$34*($B402+IF($R$17="Distrato",$I$38-1,0)),IF(AND($L$37=0,$P$34=0),"",$L$37-1),IF($R$17="Distrato",$E402,0))),0,YEARFRAC(MAX($P$34*($B402+IF($R$17="Distrato",$I$38-1,0)),IF(AND($L$37=0,$P$34=0),"",$L$37-1),IF($R$17="Distrato",$E402,0)),MIN(R$38,$D$19),$P$20))-SUM($P402:Q402)</f>
        <v>#VALUE!</v>
      </c>
      <c r="S402" s="446" t="e">
        <f>IF(OR($B402="",MIN(S$38,$D$19)&lt;MAX($P$34*($B402+IF($R$17="Distrato",$I$38-1,0)),IF(AND($L$37=0,$P$34=0),"",$L$37-1),IF($R$17="Distrato",$E402,0))),0,YEARFRAC(MAX($P$34*($B402+IF($R$17="Distrato",$I$38-1,0)),IF(AND($L$37=0,$P$34=0),"",$L$37-1),IF($R$17="Distrato",$E402,0)),MIN(S$38,$D$19),$P$20))-SUM($P402:R402)</f>
        <v>#VALUE!</v>
      </c>
      <c r="T402" s="446" t="e">
        <f>IF(OR($B402="",MIN(T$38,$D$19)&lt;MAX($P$34*($B402+IF($R$17="Distrato",$I$38-1,0)),IF(AND($L$37=0,$P$34=0),"",$L$37-1),IF($R$17="Distrato",$E402,0))),0,YEARFRAC(MAX($P$34*($B402+IF($R$17="Distrato",$I$38-1,0)),IF(AND($L$37=0,$P$34=0),"",$L$37-1),IF($R$17="Distrato",$E402,0)),MIN(T$38,$D$19),$P$20))-SUM($P402:S402)</f>
        <v>#VALUE!</v>
      </c>
      <c r="U402" s="446" t="e">
        <f>IF(OR($B402="",MIN(U$38,$D$19)&lt;MAX($P$34*($B402+IF($R$17="Distrato",$I$38-1,0)),IF(AND($L$37=0,$P$34=0),"",$L$37-1),IF($R$17="Distrato",$E402,0))),0,YEARFRAC(MAX($P$34*($B402+IF($R$17="Distrato",$I$38-1,0)),IF(AND($L$37=0,$P$34=0),"",$L$37-1),IF($R$17="Distrato",$E402,0)),MIN(U$38,$D$19),$P$20))-SUM($P402:T402)</f>
        <v>#VALUE!</v>
      </c>
      <c r="V402" s="446" t="e">
        <f>IF(OR($B402="",MIN(V$38,$D$19)&lt;MAX($P$34*($B402+IF($R$17="Distrato",$I$38-1,0)),IF(AND($L$37=0,$P$34=0),"",$L$37-1),IF($R$17="Distrato",$E402,0))),0,YEARFRAC(MAX($P$34*($B402+IF($R$17="Distrato",$I$38-1,0)),IF(AND($L$37=0,$P$34=0),"",$L$37-1),IF($R$17="Distrato",$E402,0)),MIN(V$38,$D$19),$P$20))-SUM($P402:U402)</f>
        <v>#VALUE!</v>
      </c>
      <c r="W402" s="446" t="e">
        <f>IF(OR($B402="",MIN(W$38,$D$19)&lt;MAX($P$34*($B402+IF($R$17="Distrato",$I$38-1,0)),IF(AND($L$37=0,$P$34=0),"",$L$37-1),IF($R$17="Distrato",$E402,0))),0,YEARFRAC(MAX($P$34*($B402+IF($R$17="Distrato",$I$38-1,0)),IF(AND($L$37=0,$P$34=0),"",$L$37-1),IF($R$17="Distrato",$E402,0)),MIN(W$38,$D$19),$P$20))-SUM($P402:V402)</f>
        <v>#VALUE!</v>
      </c>
      <c r="X402" s="446" t="e">
        <f>IF(OR($B402="",MIN(X$38,$D$19)&lt;MAX($P$34*($B402+IF($R$17="Distrato",$I$38-1,0)),IF(AND($L$37=0,$P$34=0),"",$L$37-1),IF($R$17="Distrato",$E402,0))),0,YEARFRAC(MAX($P$34*($B402+IF($R$17="Distrato",$I$38-1,0)),IF(AND($L$37=0,$P$34=0),"",$L$37-1),IF($R$17="Distrato",$E402,0)),MIN(X$38,$D$19),$P$20))-SUM($P402:W402)</f>
        <v>#VALUE!</v>
      </c>
      <c r="Y402" s="446" t="e">
        <f>IF(OR($B402="",MIN(Y$38,$D$19)&lt;MAX($P$34*($B402+IF($R$17="Distrato",$I$38-1,0)),IF(AND($L$37=0,$P$34=0),"",$L$37-1),IF($R$17="Distrato",$E402,0))),0,YEARFRAC(MAX($P$34*($B402+IF($R$17="Distrato",$I$38-1,0)),IF(AND($L$37=0,$P$34=0),"",$L$37-1),IF($R$17="Distrato",$E402,0)),MIN(Y$38,$D$19),$P$20))-SUM($P402:X402)</f>
        <v>#VALUE!</v>
      </c>
      <c r="Z402" s="446" t="e">
        <f>IF(OR($B402="",MIN(Z$38,$D$19)&lt;MAX($P$34*($B402+IF($R$17="Distrato",$I$38-1,0)),IF(AND($L$37=0,$P$34=0),"",$L$37-1),IF($R$17="Distrato",$E402,0))),0,YEARFRAC(MAX($P$34*($B402+IF($R$17="Distrato",$I$38-1,0)),IF(AND($L$37=0,$P$34=0),"",$L$37-1),IF($R$17="Distrato",$E402,0)),MIN(Z$38,$D$19),$P$20))-SUM($P402:Y402)</f>
        <v>#VALUE!</v>
      </c>
      <c r="AA402" s="446" t="e">
        <f>IF(OR($B402="",MIN(AA$38,$D$19)&lt;MAX($P$34*($B402+IF($R$17="Distrato",$I$38-1,0)),IF(AND($L$37=0,$P$34=0),"",$L$37-1),IF($R$17="Distrato",$E402,0))),0,YEARFRAC(MAX($P$34*($B402+IF($R$17="Distrato",$I$38-1,0)),IF(AND($L$37=0,$P$34=0),"",$L$37-1),IF($R$17="Distrato",$E402,0)),MIN(AA$38,$D$19),$P$20))-SUM($P402:Z402)</f>
        <v>#VALUE!</v>
      </c>
      <c r="AB402" s="446" t="e">
        <f>IF(OR($B402="",MIN(AB$38,$D$19)&lt;MAX($P$34*($B402+IF($R$17="Distrato",$I$38-1,0)),IF(AND($L$37=0,$P$34=0),"",$L$37-1),IF($R$17="Distrato",$E402,0))),0,YEARFRAC(MAX($P$34*($B402+IF($R$17="Distrato",$I$38-1,0)),IF(AND($L$37=0,$P$34=0),"",$L$37-1),IF($R$17="Distrato",$E402,0)),MIN(AB$38,$D$19),$P$20))-SUM($P402:AA402)</f>
        <v>#VALUE!</v>
      </c>
      <c r="AC402" s="446" t="e">
        <f>IF(OR($B402="",MIN(AC$38,$D$19)&lt;MAX($P$34*($B402+IF($R$17="Distrato",$I$38-1,0)),IF(AND($L$37=0,$P$34=0),"",$L$37-1),IF($R$17="Distrato",$E402,0))),0,YEARFRAC(MAX($P$34*($B402+IF($R$17="Distrato",$I$38-1,0)),IF(AND($L$37=0,$P$34=0),"",$L$37-1),IF($R$17="Distrato",$E402,0)),MIN(AC$38,$D$19),$P$20))-SUM($P402:AB402)</f>
        <v>#VALUE!</v>
      </c>
      <c r="AD402" s="446" t="e">
        <f>IF(OR($B402="",MIN(AD$38,$D$19)&lt;MAX($P$34*($B402+IF($R$17="Distrato",$I$38-1,0)),IF(AND($L$37=0,$P$34=0),"",$L$37-1),IF($R$17="Distrato",$E402,0))),0,YEARFRAC(MAX($P$34*($B402+IF($R$17="Distrato",$I$38-1,0)),IF(AND($L$37=0,$P$34=0),"",$L$37-1),IF($R$17="Distrato",$E402,0)),MIN(AD$38,$D$19),$P$20))-SUM($P402:AC402)</f>
        <v>#VALUE!</v>
      </c>
      <c r="AE402" s="446" t="e">
        <f>IF(OR($B402="",MIN(AE$38,$D$19)&lt;MAX($P$34*($B402+IF($R$17="Distrato",$I$38-1,0)),IF(AND($L$37=0,$P$34=0),"",$L$37-1),IF($R$17="Distrato",$E402,0))),0,YEARFRAC(MAX($P$34*($B402+IF($R$17="Distrato",$I$38-1,0)),IF(AND($L$37=0,$P$34=0),"",$L$37-1),IF($R$17="Distrato",$E402,0)),MIN(AE$38,$D$19),$P$20))-SUM($P402:AD402)</f>
        <v>#VALUE!</v>
      </c>
      <c r="AF402" s="446" t="e">
        <f>IF(OR($B402="",MIN(AF$38,$D$19)&lt;MAX($P$34*($B402+IF($R$17="Distrato",$I$38-1,0)),IF(AND($L$37=0,$P$34=0),"",$L$37-1),IF($R$17="Distrato",$E402,0))),0,YEARFRAC(MAX($P$34*($B402+IF($R$17="Distrato",$I$38-1,0)),IF(AND($L$37=0,$P$34=0),"",$L$37-1),IF($R$17="Distrato",$E402,0)),MIN(AF$38,$D$19),$P$20))-SUM($P402:AE402)</f>
        <v>#VALUE!</v>
      </c>
      <c r="AG402" s="446" t="e">
        <f>IF(OR($B402="",MIN(AG$38,$D$19)&lt;MAX($P$34*($B402+IF($R$17="Distrato",$I$38-1,0)),IF(AND($L$37=0,$P$34=0),"",$L$37-1),IF($R$17="Distrato",$E402,0))),0,YEARFRAC(MAX($P$34*($B402+IF($R$17="Distrato",$I$38-1,0)),IF(AND($L$37=0,$P$34=0),"",$L$37-1),IF($R$17="Distrato",$E402,0)),MIN(AG$38,$D$19),$P$20))-SUM($P402:AF402)</f>
        <v>#VALUE!</v>
      </c>
      <c r="AH402" s="446" t="e">
        <f>IF(OR($B402="",MIN(AH$38,$D$19)&lt;MAX($P$34*($B402+IF($R$17="Distrato",$I$38-1,0)),IF(AND($L$37=0,$P$34=0),"",$L$37-1),IF($R$17="Distrato",$E402,0))),0,YEARFRAC(MAX($P$34*($B402+IF($R$17="Distrato",$I$38-1,0)),IF(AND($L$37=0,$P$34=0),"",$L$37-1),IF($R$17="Distrato",$E402,0)),MIN(AH$38,$D$19),$P$20))-SUM($P402:AG402)</f>
        <v>#VALUE!</v>
      </c>
      <c r="AI402" s="446" t="e">
        <f>IF(OR($B402="",MIN(AI$38,$D$19)&lt;MAX($P$34*($B402+IF($R$17="Distrato",$I$38-1,0)),IF(AND($L$37=0,$P$34=0),"",$L$37-1),IF($R$17="Distrato",$E402,0))),0,YEARFRAC(MAX($P$34*($B402+IF($R$17="Distrato",$I$38-1,0)),IF(AND($L$37=0,$P$34=0),"",$L$37-1),IF($R$17="Distrato",$E402,0)),MIN(AI$38,$D$19),$P$20))-SUM($P402:AH402)</f>
        <v>#VALUE!</v>
      </c>
      <c r="AJ402" s="446" t="e">
        <f>IF(OR($B402="",MIN(AJ$38,$D$19)&lt;MAX($P$34*($B402+IF($R$17="Distrato",$I$38-1,0)),IF(AND($L$37=0,$P$34=0),"",$L$37-1),IF($R$17="Distrato",$E402,0))),0,YEARFRAC(MAX($P$34*($B402+IF($R$17="Distrato",$I$38-1,0)),IF(AND($L$37=0,$P$34=0),"",$L$37-1),IF($R$17="Distrato",$E402,0)),MIN(AJ$38,$D$19),$P$20))-SUM($P402:AI402)</f>
        <v>#VALUE!</v>
      </c>
      <c r="AK402" s="446" t="e">
        <f>IF(OR($B402="",MIN(AK$38,$D$19)&lt;MAX($P$34*($B402+IF($R$17="Distrato",$I$38-1,0)),IF(AND($L$37=0,$P$34=0),"",$L$37-1),IF($R$17="Distrato",$E402,0))),0,YEARFRAC(MAX($P$34*($B402+IF($R$17="Distrato",$I$38-1,0)),IF(AND($L$37=0,$P$34=0),"",$L$37-1),IF($R$17="Distrato",$E402,0)),MIN(AK$38,$D$19),$P$20))-SUM($P402:AJ402)</f>
        <v>#VALUE!</v>
      </c>
      <c r="AL402" s="446" t="e">
        <f>IF(OR($B402="",MIN(AL$38,$D$19)&lt;MAX($P$34*($B402+IF($R$17="Distrato",$I$38-1,0)),IF(AND($L$37=0,$P$34=0),"",$L$37-1),IF($R$17="Distrato",$E402,0))),0,YEARFRAC(MAX($P$34*($B402+IF($R$17="Distrato",$I$38-1,0)),IF(AND($L$37=0,$P$34=0),"",$L$37-1),IF($R$17="Distrato",$E402,0)),MIN(AL$38,$D$19),$P$20))-SUM($P402:AK402)</f>
        <v>#VALUE!</v>
      </c>
      <c r="AM402" s="446" t="e">
        <f>IF(OR($B402="",MIN(AM$38,$D$19)&lt;MAX($P$34*($B402+IF($R$17="Distrato",$I$38-1,0)),IF(AND($L$37=0,$P$34=0),"",$L$37-1),IF($R$17="Distrato",$E402,0))),0,YEARFRAC(MAX($P$34*($B402+IF($R$17="Distrato",$I$38-1,0)),IF(AND($L$37=0,$P$34=0),"",$L$37-1),IF($R$17="Distrato",$E402,0)),MIN(AM$38,$D$19),$P$20))-SUM($P402:AL402)</f>
        <v>#VALUE!</v>
      </c>
      <c r="AN402" s="446" t="e">
        <f>IF(OR($B402="",MIN(AN$38,$D$19)&lt;MAX($P$34*($B402+IF($R$17="Distrato",$I$38-1,0)),IF(AND($L$37=0,$P$34=0),"",$L$37-1),IF($R$17="Distrato",$E402,0))),0,YEARFRAC(MAX($P$34*($B402+IF($R$17="Distrato",$I$38-1,0)),IF(AND($L$37=0,$P$34=0),"",$L$37-1),IF($R$17="Distrato",$E402,0)),MIN(AN$38,$D$19),$P$20))-SUM($P402:AM402)</f>
        <v>#VALUE!</v>
      </c>
      <c r="AO402" s="446" t="e">
        <f>IF(OR($B402="",MIN(AO$38,$D$19)&lt;MAX($P$34*($B402+IF($R$17="Distrato",$I$38-1,0)),IF(AND($L$37=0,$P$34=0),"",$L$37-1),IF($R$17="Distrato",$E402,0))),0,YEARFRAC(MAX($P$34*($B402+IF($R$17="Distrato",$I$38-1,0)),IF(AND($L$37=0,$P$34=0),"",$L$37-1),IF($R$17="Distrato",$E402,0)),MIN(AO$38,$D$19),$P$20))-SUM($P402:AN402)</f>
        <v>#VALUE!</v>
      </c>
      <c r="AP402" s="446" t="e">
        <f>IF(OR($B402="",MIN(AP$38,$D$19)&lt;MAX($P$34*($B402+IF($R$17="Distrato",$I$38-1,0)),IF(AND($L$37=0,$P$34=0),"",$L$37-1),IF($R$17="Distrato",$E402,0))),0,YEARFRAC(MAX($P$34*($B402+IF($R$17="Distrato",$I$38-1,0)),IF(AND($L$37=0,$P$34=0),"",$L$37-1),IF($R$17="Distrato",$E402,0)),MIN(AP$38,$D$19),$P$20))-SUM($P402:AO402)</f>
        <v>#VALUE!</v>
      </c>
      <c r="AQ402" s="446" t="e">
        <f>IF(OR($B402="",MIN(AQ$38,$D$19)&lt;MAX($P$34*($B402+IF($R$17="Distrato",$I$38-1,0)),IF(AND($L$37=0,$P$34=0),"",$L$37-1),IF($R$17="Distrato",$E402,0))),0,YEARFRAC(MAX($P$34*($B402+IF($R$17="Distrato",$I$38-1,0)),IF(AND($L$37=0,$P$34=0),"",$L$37-1),IF($R$17="Distrato",$E402,0)),MIN(AQ$38,$D$19),$P$20))-SUM($P402:AP402)</f>
        <v>#VALUE!</v>
      </c>
      <c r="AR402" s="446" t="e">
        <f>IF(OR($B402="",MIN(AR$38,$D$19)&lt;MAX($P$34*($B402+IF($R$17="Distrato",$I$38-1,0)),IF(AND($L$37=0,$P$34=0),"",$L$37-1),IF($R$17="Distrato",$E402,0))),0,YEARFRAC(MAX($P$34*($B402+IF($R$17="Distrato",$I$38-1,0)),IF(AND($L$37=0,$P$34=0),"",$L$37-1),IF($R$17="Distrato",$E402,0)),MIN(AR$38,$D$19),$P$20))-SUM($P402:AQ402)</f>
        <v>#VALUE!</v>
      </c>
      <c r="AS402" s="446" t="e">
        <f>IF(OR($B402="",MIN(AS$38,$D$19)&lt;MAX($P$34*($B402+IF($R$17="Distrato",$I$38-1,0)),IF(AND($L$37=0,$P$34=0),"",$L$37-1),IF($R$17="Distrato",$E402,0))),0,YEARFRAC(MAX($P$34*($B402+IF($R$17="Distrato",$I$38-1,0)),IF(AND($L$37=0,$P$34=0),"",$L$37-1),IF($R$17="Distrato",$E402,0)),MIN(AS$38,$D$19),$P$20))-SUM($P402:AR402)</f>
        <v>#VALUE!</v>
      </c>
      <c r="AT402" s="446" t="e">
        <f>IF(OR($B402="",MIN(AT$38,$D$19)&lt;MAX($P$34*($B402+IF($R$17="Distrato",$I$38-1,0)),IF(AND($L$37=0,$P$34=0),"",$L$37-1),IF($R$17="Distrato",$E402,0))),0,YEARFRAC(MAX($P$34*($B402+IF($R$17="Distrato",$I$38-1,0)),IF(AND($L$37=0,$P$34=0),"",$L$37-1),IF($R$17="Distrato",$E402,0)),MIN(AT$38,$D$19),$P$20))-SUM($P402:AS402)</f>
        <v>#VALUE!</v>
      </c>
      <c r="AU402" s="446" t="e">
        <f>IF(OR($B402="",MIN(AU$38,$D$19)&lt;MAX($P$34*($B402+IF($R$17="Distrato",$I$38-1,0)),IF(AND($L$37=0,$P$34=0),"",$L$37-1),IF($R$17="Distrato",$E402,0))),0,YEARFRAC(MAX($P$34*($B402+IF($R$17="Distrato",$I$38-1,0)),IF(AND($L$37=0,$P$34=0),"",$L$37-1),IF($R$17="Distrato",$E402,0)),MIN(AU$38,$D$19),$P$20))-SUM($P402:AT402)</f>
        <v>#VALUE!</v>
      </c>
      <c r="AV402" s="446" t="e">
        <f>IF(OR($B402="",MIN(AV$38,$D$19)&lt;MAX($P$34*($B402+IF($R$17="Distrato",$I$38-1,0)),IF(AND($L$37=0,$P$34=0),"",$L$37-1),IF($R$17="Distrato",$E402,0))),0,YEARFRAC(MAX($P$34*($B402+IF($R$17="Distrato",$I$38-1,0)),IF(AND($L$37=0,$P$34=0),"",$L$37-1),IF($R$17="Distrato",$E402,0)),MIN(AV$38,$D$19),$P$20))-SUM($P402:AU402)</f>
        <v>#VALUE!</v>
      </c>
      <c r="AW402" s="446" t="e">
        <f>IF(OR($B402="",MIN(AW$38,$D$19)&lt;MAX($P$34*($B402+IF($R$17="Distrato",$I$38-1,0)),IF(AND($L$37=0,$P$34=0),"",$L$37-1),IF($R$17="Distrato",$E402,0))),0,YEARFRAC(MAX($P$34*($B402+IF($R$17="Distrato",$I$38-1,0)),IF(AND($L$37=0,$P$34=0),"",$L$37-1),IF($R$17="Distrato",$E402,0)),MIN(AW$38,$D$19),$P$20))-SUM($P402:AV402)</f>
        <v>#VALUE!</v>
      </c>
      <c r="AX402" s="446" t="e">
        <f>IF(OR($B402="",MIN(AX$38,$D$19)&lt;MAX($P$34*($B402+IF($R$17="Distrato",$I$38-1,0)),IF(AND($L$37=0,$P$34=0),"",$L$37-1),IF($R$17="Distrato",$E402,0))),0,YEARFRAC(MAX($P$34*($B402+IF($R$17="Distrato",$I$38-1,0)),IF(AND($L$37=0,$P$34=0),"",$L$37-1),IF($R$17="Distrato",$E402,0)),MIN(AX$38,$D$19),$P$20))-SUM($P402:AW402)</f>
        <v>#VALUE!</v>
      </c>
      <c r="AY402" s="446" t="e">
        <f>IF(OR($B402="",MIN(AY$38,$D$19)&lt;MAX($P$34*($B402+IF($R$17="Distrato",$I$38-1,0)),IF(AND($L$37=0,$P$34=0),"",$L$37-1),IF($R$17="Distrato",$E402,0))),0,YEARFRAC(MAX($P$34*($B402+IF($R$17="Distrato",$I$38-1,0)),IF(AND($L$37=0,$P$34=0),"",$L$37-1),IF($R$17="Distrato",$E402,0)),MIN(AY$38,$D$19),$P$20))-SUM($P402:AX402)</f>
        <v>#VALUE!</v>
      </c>
      <c r="AZ402" s="446" t="e">
        <f>IF(OR($B402="",MIN(AZ$38,$D$19)&lt;MAX($P$34*($B402+IF($R$17="Distrato",$I$38-1,0)),IF(AND($L$37=0,$P$34=0),"",$L$37-1),IF($R$17="Distrato",$E402,0))),0,YEARFRAC(MAX($P$34*($B402+IF($R$17="Distrato",$I$38-1,0)),IF(AND($L$37=0,$P$34=0),"",$L$37-1),IF($R$17="Distrato",$E402,0)),MIN(AZ$38,$D$19),$P$20))-SUM($P402:AY402)</f>
        <v>#VALUE!</v>
      </c>
      <c r="BA402" s="446" t="e">
        <f>IF(OR($B402="",MIN(BA$38,$D$19)&lt;MAX($P$34*($B402+IF($R$17="Distrato",$I$38-1,0)),IF(AND($L$37=0,$P$34=0),"",$L$37-1),IF($R$17="Distrato",$E402,0))),0,YEARFRAC(MAX($P$34*($B402+IF($R$17="Distrato",$I$38-1,0)),IF(AND($L$37=0,$P$34=0),"",$L$37-1),IF($R$17="Distrato",$E402,0)),MIN(BA$38,$D$19),$P$20))-SUM($P402:AZ402)</f>
        <v>#VALUE!</v>
      </c>
      <c r="BB402" s="447"/>
      <c r="BF402" s="446">
        <f t="shared" si="65"/>
        <v>0</v>
      </c>
      <c r="BG402" s="446">
        <f>IF($E402=0,0,IF(MIN(BG$38,$E402)&lt;MAX($P$34*($B402+$I$38-1),IF(AND($L$37=0,$P$34=0),"",$L$37-1)),0,YEARFRAC(MAX($P$34*($B402+$I$38-1),IF(AND($L$37=0,$P$34=0),"",$L$37-1)),MIN(BG$38,$E402),$P$20))-SUM($BF402:BF402))</f>
        <v>0</v>
      </c>
      <c r="BH402" s="446">
        <f>IF($E402=0,0,IF(MIN(BH$38,$E402)&lt;MAX($P$34*($B402+$I$38-1),IF(AND($L$37=0,$P$34=0),"",$L$37-1)),0,YEARFRAC(MAX($P$34*($B402+$I$38-1),IF(AND($L$37=0,$P$34=0),"",$L$37-1)),MIN(BH$38,$E402),$P$20))-SUM($BF402:BG402))</f>
        <v>0</v>
      </c>
      <c r="BI402" s="446">
        <f>IF($E402=0,0,IF(MIN(BI$38,$E402)&lt;MAX($P$34*($B402+$I$38-1),IF(AND($L$37=0,$P$34=0),"",$L$37-1)),0,YEARFRAC(MAX($P$34*($B402+$I$38-1),IF(AND($L$37=0,$P$34=0),"",$L$37-1)),MIN(BI$38,$E402),$P$20))-SUM($BF402:BH402))</f>
        <v>0</v>
      </c>
      <c r="BJ402" s="446">
        <f>IF($E402=0,0,IF(MIN(BJ$38,$E402)&lt;MAX($P$34*($B402+$I$38-1),IF(AND($L$37=0,$P$34=0),"",$L$37-1)),0,YEARFRAC(MAX($P$34*($B402+$I$38-1),IF(AND($L$37=0,$P$34=0),"",$L$37-1)),MIN(BJ$38,$E402),$P$20))-SUM($BF402:BI402))</f>
        <v>0</v>
      </c>
      <c r="BK402" s="446">
        <f>IF($E402=0,0,IF(MIN(BK$38,$E402)&lt;MAX($P$34*($B402+$I$38-1),IF(AND($L$37=0,$P$34=0),"",$L$37-1)),0,YEARFRAC(MAX($P$34*($B402+$I$38-1),IF(AND($L$37=0,$P$34=0),"",$L$37-1)),MIN(BK$38,$E402),$P$20))-SUM($BF402:BJ402))</f>
        <v>0</v>
      </c>
      <c r="BL402" s="446">
        <f>IF($E402=0,0,IF(MIN(BL$38,$E402)&lt;MAX($P$34*($B402+$I$38-1),IF(AND($L$37=0,$P$34=0),"",$L$37-1)),0,YEARFRAC(MAX($P$34*($B402+$I$38-1),IF(AND($L$37=0,$P$34=0),"",$L$37-1)),MIN(BL$38,$E402),$P$20))-SUM($BF402:BK402))</f>
        <v>0</v>
      </c>
      <c r="BM402" s="446">
        <f>IF($E402=0,0,IF(MIN(BM$38,$E402)&lt;MAX($P$34*($B402+$I$38-1),IF(AND($L$37=0,$P$34=0),"",$L$37-1)),0,YEARFRAC(MAX($P$34*($B402+$I$38-1),IF(AND($L$37=0,$P$34=0),"",$L$37-1)),MIN(BM$38,$E402),$P$20))-SUM($BF402:BL402))</f>
        <v>0</v>
      </c>
      <c r="BN402" s="446">
        <f>IF($E402=0,0,IF(MIN(BN$38,$E402)&lt;MAX($P$34*($B402+$I$38-1),IF(AND($L$37=0,$P$34=0),"",$L$37-1)),0,YEARFRAC(MAX($P$34*($B402+$I$38-1),IF(AND($L$37=0,$P$34=0),"",$L$37-1)),MIN(BN$38,$E402),$P$20))-SUM($BF402:BM402))</f>
        <v>0</v>
      </c>
      <c r="BO402" s="446">
        <f>IF($E402=0,0,IF(MIN(BO$38,$E402)&lt;MAX($P$34*($B402+$I$38-1),IF(AND($L$37=0,$P$34=0),"",$L$37-1)),0,YEARFRAC(MAX($P$34*($B402+$I$38-1),IF(AND($L$37=0,$P$34=0),"",$L$37-1)),MIN(BO$38,$E402),$P$20))-SUM($BF402:BN402))</f>
        <v>0</v>
      </c>
      <c r="BP402" s="446">
        <f>IF($E402=0,0,IF(MIN(BP$38,$E402)&lt;MAX($P$34*($B402+$I$38-1),IF(AND($L$37=0,$P$34=0),"",$L$37-1)),0,YEARFRAC(MAX($P$34*($B402+$I$38-1),IF(AND($L$37=0,$P$34=0),"",$L$37-1)),MIN(BP$38,$E402),$P$20))-SUM($BF402:BO402))</f>
        <v>0</v>
      </c>
      <c r="BQ402" s="446">
        <f>IF($E402=0,0,IF(MIN(BQ$38,$E402)&lt;MAX($P$34*($B402+$I$38-1),IF(AND($L$37=0,$P$34=0),"",$L$37-1)),0,YEARFRAC(MAX($P$34*($B402+$I$38-1),IF(AND($L$37=0,$P$34=0),"",$L$37-1)),MIN(BQ$38,$E402),$P$20))-SUM($BF402:BP402))</f>
        <v>0</v>
      </c>
      <c r="BR402" s="446">
        <f>IF($E402=0,0,IF(MIN(BR$38,$E402)&lt;MAX($P$34*($B402+$I$38-1),IF(AND($L$37=0,$P$34=0),"",$L$37-1)),0,YEARFRAC(MAX($P$34*($B402+$I$38-1),IF(AND($L$37=0,$P$34=0),"",$L$37-1)),MIN(BR$38,$E402),$P$20))-SUM($BF402:BQ402))</f>
        <v>0</v>
      </c>
      <c r="BS402" s="446">
        <f>IF($E402=0,0,IF(MIN(BS$38,$E402)&lt;MAX($P$34*($B402+$I$38-1),IF(AND($L$37=0,$P$34=0),"",$L$37-1)),0,YEARFRAC(MAX($P$34*($B402+$I$38-1),IF(AND($L$37=0,$P$34=0),"",$L$37-1)),MIN(BS$38,$E402),$P$20))-SUM($BF402:BR402))</f>
        <v>0</v>
      </c>
      <c r="BT402" s="446">
        <f>IF($E402=0,0,IF(MIN(BT$38,$E402)&lt;MAX($P$34*($B402+$I$38-1),IF(AND($L$37=0,$P$34=0),"",$L$37-1)),0,YEARFRAC(MAX($P$34*($B402+$I$38-1),IF(AND($L$37=0,$P$34=0),"",$L$37-1)),MIN(BT$38,$E402),$P$20))-SUM($BF402:BS402))</f>
        <v>0</v>
      </c>
      <c r="BU402" s="446">
        <f>IF($E402=0,0,IF(MIN(BU$38,$E402)&lt;MAX($P$34*($B402+$I$38-1),IF(AND($L$37=0,$P$34=0),"",$L$37-1)),0,YEARFRAC(MAX($P$34*($B402+$I$38-1),IF(AND($L$37=0,$P$34=0),"",$L$37-1)),MIN(BU$38,$E402),$P$20))-SUM($BF402:BT402))</f>
        <v>0</v>
      </c>
      <c r="BV402" s="446">
        <f>IF($E402=0,0,IF(MIN(BV$38,$E402)&lt;MAX($P$34*($B402+$I$38-1),IF(AND($L$37=0,$P$34=0),"",$L$37-1)),0,YEARFRAC(MAX($P$34*($B402+$I$38-1),IF(AND($L$37=0,$P$34=0),"",$L$37-1)),MIN(BV$38,$E402),$P$20))-SUM($BF402:BU402))</f>
        <v>0</v>
      </c>
      <c r="BW402" s="446">
        <f>IF($E402=0,0,IF(MIN(BW$38,$E402)&lt;MAX($P$34*($B402+$I$38-1),IF(AND($L$37=0,$P$34=0),"",$L$37-1)),0,YEARFRAC(MAX($P$34*($B402+$I$38-1),IF(AND($L$37=0,$P$34=0),"",$L$37-1)),MIN(BW$38,$E402),$P$20))-SUM($BF402:BV402))</f>
        <v>0</v>
      </c>
      <c r="BX402" s="446">
        <f>IF($E402=0,0,IF(MIN(BX$38,$E402)&lt;MAX($P$34*($B402+$I$38-1),IF(AND($L$37=0,$P$34=0),"",$L$37-1)),0,YEARFRAC(MAX($P$34*($B402+$I$38-1),IF(AND($L$37=0,$P$34=0),"",$L$37-1)),MIN(BX$38,$E402),$P$20))-SUM($BF402:BW402))</f>
        <v>0</v>
      </c>
      <c r="BY402" s="446">
        <f>IF($E402=0,0,IF(MIN(BY$38,$E402)&lt;MAX($P$34*($B402+$I$38-1),IF(AND($L$37=0,$P$34=0),"",$L$37-1)),0,YEARFRAC(MAX($P$34*($B402+$I$38-1),IF(AND($L$37=0,$P$34=0),"",$L$37-1)),MIN(BY$38,$E402),$P$20))-SUM($BF402:BX402))</f>
        <v>0</v>
      </c>
      <c r="BZ402" s="446">
        <f>IF($E402=0,0,IF(MIN(BZ$38,$E402)&lt;MAX($P$34*($B402+$I$38-1),IF(AND($L$37=0,$P$34=0),"",$L$37-1)),0,YEARFRAC(MAX($P$34*($B402+$I$38-1),IF(AND($L$37=0,$P$34=0),"",$L$37-1)),MIN(BZ$38,$E402),$P$20))-SUM($BF402:BY402))</f>
        <v>0</v>
      </c>
      <c r="CA402" s="446">
        <f>IF($E402=0,0,IF(MIN(CA$38,$E402)&lt;MAX($P$34*($B402+$I$38-1),IF(AND($L$37=0,$P$34=0),"",$L$37-1)),0,YEARFRAC(MAX($P$34*($B402+$I$38-1),IF(AND($L$37=0,$P$34=0),"",$L$37-1)),MIN(CA$38,$E402),$P$20))-SUM($BF402:BZ402))</f>
        <v>0</v>
      </c>
      <c r="CB402" s="446">
        <f>IF($E402=0,0,IF(MIN(CB$38,$E402)&lt;MAX($P$34*($B402+$I$38-1),IF(AND($L$37=0,$P$34=0),"",$L$37-1)),0,YEARFRAC(MAX($P$34*($B402+$I$38-1),IF(AND($L$37=0,$P$34=0),"",$L$37-1)),MIN(CB$38,$E402),$P$20))-SUM($BF402:CA402))</f>
        <v>0</v>
      </c>
      <c r="CC402" s="446">
        <f>IF($E402=0,0,IF(MIN(CC$38,$E402)&lt;MAX($P$34*($B402+$I$38-1),IF(AND($L$37=0,$P$34=0),"",$L$37-1)),0,YEARFRAC(MAX($P$34*($B402+$I$38-1),IF(AND($L$37=0,$P$34=0),"",$L$37-1)),MIN(CC$38,$E402),$P$20))-SUM($BF402:CB402))</f>
        <v>0</v>
      </c>
      <c r="CD402" s="446">
        <f>IF($E402=0,0,IF(MIN(CD$38,$E402)&lt;MAX($P$34*($B402+$I$38-1),IF(AND($L$37=0,$P$34=0),"",$L$37-1)),0,YEARFRAC(MAX($P$34*($B402+$I$38-1),IF(AND($L$37=0,$P$34=0),"",$L$37-1)),MIN(CD$38,$E402),$P$20))-SUM($BF402:CC402))</f>
        <v>0</v>
      </c>
      <c r="CE402" s="446">
        <f>IF($E402=0,0,IF(MIN(CE$38,$E402)&lt;MAX($P$34*($B402+$I$38-1),IF(AND($L$37=0,$P$34=0),"",$L$37-1)),0,YEARFRAC(MAX($P$34*($B402+$I$38-1),IF(AND($L$37=0,$P$34=0),"",$L$37-1)),MIN(CE$38,$E402),$P$20))-SUM($BF402:CD402))</f>
        <v>0</v>
      </c>
      <c r="CF402" s="446">
        <f>IF($E402=0,0,IF(MIN(CF$38,$E402)&lt;MAX($P$34*($B402+$I$38-1),IF(AND($L$37=0,$P$34=0),"",$L$37-1)),0,YEARFRAC(MAX($P$34*($B402+$I$38-1),IF(AND($L$37=0,$P$34=0),"",$L$37-1)),MIN(CF$38,$E402),$P$20))-SUM($BF402:CE402))</f>
        <v>0</v>
      </c>
      <c r="CG402" s="446">
        <f>IF($E402=0,0,IF(MIN(CG$38,$E402)&lt;MAX($P$34*($B402+$I$38-1),IF(AND($L$37=0,$P$34=0),"",$L$37-1)),0,YEARFRAC(MAX($P$34*($B402+$I$38-1),IF(AND($L$37=0,$P$34=0),"",$L$37-1)),MIN(CG$38,$E402),$P$20))-SUM($BF402:CF402))</f>
        <v>0</v>
      </c>
      <c r="CH402" s="446">
        <f>IF($E402=0,0,IF(MIN(CH$38,$E402)&lt;MAX($P$34*($B402+$I$38-1),IF(AND($L$37=0,$P$34=0),"",$L$37-1)),0,YEARFRAC(MAX($P$34*($B402+$I$38-1),IF(AND($L$37=0,$P$34=0),"",$L$37-1)),MIN(CH$38,$E402),$P$20))-SUM($BF402:CG402))</f>
        <v>0</v>
      </c>
      <c r="CI402" s="446">
        <f>IF($E402=0,0,IF(MIN(CI$38,$E402)&lt;MAX($P$34*($B402+$I$38-1),IF(AND($L$37=0,$P$34=0),"",$L$37-1)),0,YEARFRAC(MAX($P$34*($B402+$I$38-1),IF(AND($L$37=0,$P$34=0),"",$L$37-1)),MIN(CI$38,$E402),$P$20))-SUM($BF402:CH402))</f>
        <v>0</v>
      </c>
      <c r="CJ402" s="446">
        <f>IF($E402=0,0,IF(MIN(CJ$38,$E402)&lt;MAX($P$34*($B402+$I$38-1),IF(AND($L$37=0,$P$34=0),"",$L$37-1)),0,YEARFRAC(MAX($P$34*($B402+$I$38-1),IF(AND($L$37=0,$P$34=0),"",$L$37-1)),MIN(CJ$38,$E402),$P$20))-SUM($BF402:CI402))</f>
        <v>0</v>
      </c>
      <c r="CK402" s="446">
        <f>IF($E402=0,0,IF(MIN(CK$38,$E402)&lt;MAX($P$34*($B402+$I$38-1),IF(AND($L$37=0,$P$34=0),"",$L$37-1)),0,YEARFRAC(MAX($P$34*($B402+$I$38-1),IF(AND($L$37=0,$P$34=0),"",$L$37-1)),MIN(CK$38,$E402),$P$20))-SUM($BF402:CJ402))</f>
        <v>0</v>
      </c>
      <c r="CL402" s="446">
        <f>IF($E402=0,0,IF(MIN(CL$38,$E402)&lt;MAX($P$34*($B402+$I$38-1),IF(AND($L$37=0,$P$34=0),"",$L$37-1)),0,YEARFRAC(MAX($P$34*($B402+$I$38-1),IF(AND($L$37=0,$P$34=0),"",$L$37-1)),MIN(CL$38,$E402),$P$20))-SUM($BF402:CK402))</f>
        <v>0</v>
      </c>
      <c r="CM402" s="446">
        <f>IF($E402=0,0,IF(MIN(CM$38,$E402)&lt;MAX($P$34*($B402+$I$38-1),IF(AND($L$37=0,$P$34=0),"",$L$37-1)),0,YEARFRAC(MAX($P$34*($B402+$I$38-1),IF(AND($L$37=0,$P$34=0),"",$L$37-1)),MIN(CM$38,$E402),$P$20))-SUM($BF402:CL402))</f>
        <v>0</v>
      </c>
      <c r="CN402" s="446">
        <f>IF($E402=0,0,IF(MIN(CN$38,$E402)&lt;MAX($P$34*($B402+$I$38-1),IF(AND($L$37=0,$P$34=0),"",$L$37-1)),0,YEARFRAC(MAX($P$34*($B402+$I$38-1),IF(AND($L$37=0,$P$34=0),"",$L$37-1)),MIN(CN$38,$E402),$P$20))-SUM($BF402:CM402))</f>
        <v>0</v>
      </c>
      <c r="CO402" s="446">
        <f>IF($E402=0,0,IF(MIN(CO$38,$E402)&lt;MAX($P$34*($B402+$I$38-1),IF(AND($L$37=0,$P$34=0),"",$L$37-1)),0,YEARFRAC(MAX($P$34*($B402+$I$38-1),IF(AND($L$37=0,$P$34=0),"",$L$37-1)),MIN(CO$38,$E402),$P$20))-SUM($BF402:CN402))</f>
        <v>0</v>
      </c>
      <c r="CP402" s="446">
        <f>IF($E402=0,0,IF(MIN(CP$38,$E402)&lt;MAX($P$34*($B402+$I$38-1),IF(AND($L$37=0,$P$34=0),"",$L$37-1)),0,YEARFRAC(MAX($P$34*($B402+$I$38-1),IF(AND($L$37=0,$P$34=0),"",$L$37-1)),MIN(CP$38,$E402),$P$20))-SUM($BF402:CO402))</f>
        <v>0</v>
      </c>
      <c r="CQ402" s="446">
        <f>IF($E402=0,0,IF(MIN(CQ$38,$E402)&lt;MAX($P$34*($B402+$I$38-1),IF(AND($L$37=0,$P$34=0),"",$L$37-1)),0,YEARFRAC(MAX($P$34*($B402+$I$38-1),IF(AND($L$37=0,$P$34=0),"",$L$37-1)),MIN(CQ$38,$E402),$P$20))-SUM($BF402:CP402))</f>
        <v>0</v>
      </c>
    </row>
    <row r="403" spans="1:95" s="446" customFormat="1" ht="11.25" hidden="1" customHeight="1" x14ac:dyDescent="0.2">
      <c r="A403" s="152"/>
      <c r="B403" s="153" t="str">
        <f t="shared" si="70"/>
        <v/>
      </c>
      <c r="C403" s="29" t="str">
        <f>IF(B403="","",IF($L$35="SELIC - TRIBUTOS",VLOOKUP(DATE(YEAR($D$19),MONTH($D$19)-1,1),ÍNDICES!$A:$DE,HLOOKUP($BL$25,ÍNDICES!$B$3:$T$4,2)+11)-VLOOKUP(B403,ÍNDICES!$A:$DE,HLOOKUP($BL$25,ÍNDICES!$B$3:$T$4,2)+11)+1%,IF(C$38=$W$26,$J$35,IF(ISERROR(IF(B403&gt;$D$19,1,VLOOKUP(DATE(YEAR(B403),MONTH(B403)+IF($C$35=$S$23,1,0),1),ÍNDICES!$A:$DE,$Z$35+1))),"",IF(B403&gt;$D$19,1,VLOOKUP(DATE(YEAR(B403),MONTH(B403)+IF($C$35=$S$23,1,0),1),ÍNDICES!$A:$DE,$Z$35+1))))))</f>
        <v/>
      </c>
      <c r="D403" s="154" t="str">
        <f>IF(ISERROR(IF(OR($D$38=$Y$27,$B403=""),"",VLOOKUP(B403,ÍNDICES!A:DE,AF$35+1))),"",IF(OR($D$38=$Y$27,$B403=""),"",VLOOKUP(B403,ÍNDICES!A:DE,AF$35+1)))</f>
        <v/>
      </c>
      <c r="E403" s="153"/>
      <c r="F403" s="29" t="str">
        <f>IF(E403="","",IF($L$35="SELIC - TRIBUTOS",VLOOKUP(DATE(YEAR($D$19),MONTH($D$19)-1,1),ÍNDICES!$A:$DE,HLOOKUP($BL$25,ÍNDICES!$B$3:$T$4,2)+11)-VLOOKUP(E403,ÍNDICES!$A:$DE,HLOOKUP($BL$25,ÍNDICES!$B$3:$T$4,2)+11)+1%,IF(F$38=$W$26,$J$35,IF(ISERROR(IF(E403&gt;$D$19,1,VLOOKUP(DATE(YEAR(E403),MONTH(E403)+IF($C$35=$S$23,1,0),1),ÍNDICES!$A:$DE,$Z$35+1))),"",IF(E403&gt;$D$19,1,VLOOKUP(DATE(YEAR(E403),MONTH(E403)+IF($C$35=$S$23,1,0),1),ÍNDICES!$A:$DE,$Z$35+1))))))</f>
        <v/>
      </c>
      <c r="G403" s="155"/>
      <c r="H403" s="156" t="str">
        <f t="shared" si="66"/>
        <v/>
      </c>
      <c r="I403" s="29" t="str">
        <f t="shared" si="60"/>
        <v/>
      </c>
      <c r="J403" s="5">
        <f t="shared" si="61"/>
        <v>0</v>
      </c>
      <c r="K403" s="20">
        <f t="shared" ca="1" si="62"/>
        <v>0</v>
      </c>
      <c r="L403" s="5">
        <f t="shared" ca="1" si="63"/>
        <v>0</v>
      </c>
      <c r="M403" s="64">
        <f t="shared" si="67"/>
        <v>0</v>
      </c>
      <c r="N403" s="61">
        <f t="shared" ca="1" si="68"/>
        <v>0</v>
      </c>
      <c r="O403" s="5">
        <f t="shared" ca="1" si="69"/>
        <v>0</v>
      </c>
      <c r="P403" s="446" t="e">
        <f t="shared" si="64"/>
        <v>#VALUE!</v>
      </c>
      <c r="Q403" s="446" t="e">
        <f>IF(OR($B403="",MIN(Q$38,$D$19)&lt;MAX($P$34*($B403+IF($R$17="Distrato",$I$38-1,0)),IF(AND($L$37=0,$P$34=0),"",$L$37-1),IF($R$17="Distrato",$E403,0))),0,YEARFRAC(MAX($P$34*($B403+IF($R$17="Distrato",$I$38-1,0)),IF(AND($L$37=0,$P$34=0),"",$L$37-1),IF($R$17="Distrato",$E403,0)),MIN(Q$38,$D$19),$P$20))-SUM($P403:P403)</f>
        <v>#VALUE!</v>
      </c>
      <c r="R403" s="446" t="e">
        <f>IF(OR($B403="",MIN(R$38,$D$19)&lt;MAX($P$34*($B403+IF($R$17="Distrato",$I$38-1,0)),IF(AND($L$37=0,$P$34=0),"",$L$37-1),IF($R$17="Distrato",$E403,0))),0,YEARFRAC(MAX($P$34*($B403+IF($R$17="Distrato",$I$38-1,0)),IF(AND($L$37=0,$P$34=0),"",$L$37-1),IF($R$17="Distrato",$E403,0)),MIN(R$38,$D$19),$P$20))-SUM($P403:Q403)</f>
        <v>#VALUE!</v>
      </c>
      <c r="S403" s="446" t="e">
        <f>IF(OR($B403="",MIN(S$38,$D$19)&lt;MAX($P$34*($B403+IF($R$17="Distrato",$I$38-1,0)),IF(AND($L$37=0,$P$34=0),"",$L$37-1),IF($R$17="Distrato",$E403,0))),0,YEARFRAC(MAX($P$34*($B403+IF($R$17="Distrato",$I$38-1,0)),IF(AND($L$37=0,$P$34=0),"",$L$37-1),IF($R$17="Distrato",$E403,0)),MIN(S$38,$D$19),$P$20))-SUM($P403:R403)</f>
        <v>#VALUE!</v>
      </c>
      <c r="T403" s="446" t="e">
        <f>IF(OR($B403="",MIN(T$38,$D$19)&lt;MAX($P$34*($B403+IF($R$17="Distrato",$I$38-1,0)),IF(AND($L$37=0,$P$34=0),"",$L$37-1),IF($R$17="Distrato",$E403,0))),0,YEARFRAC(MAX($P$34*($B403+IF($R$17="Distrato",$I$38-1,0)),IF(AND($L$37=0,$P$34=0),"",$L$37-1),IF($R$17="Distrato",$E403,0)),MIN(T$38,$D$19),$P$20))-SUM($P403:S403)</f>
        <v>#VALUE!</v>
      </c>
      <c r="U403" s="446" t="e">
        <f>IF(OR($B403="",MIN(U$38,$D$19)&lt;MAX($P$34*($B403+IF($R$17="Distrato",$I$38-1,0)),IF(AND($L$37=0,$P$34=0),"",$L$37-1),IF($R$17="Distrato",$E403,0))),0,YEARFRAC(MAX($P$34*($B403+IF($R$17="Distrato",$I$38-1,0)),IF(AND($L$37=0,$P$34=0),"",$L$37-1),IF($R$17="Distrato",$E403,0)),MIN(U$38,$D$19),$P$20))-SUM($P403:T403)</f>
        <v>#VALUE!</v>
      </c>
      <c r="V403" s="446" t="e">
        <f>IF(OR($B403="",MIN(V$38,$D$19)&lt;MAX($P$34*($B403+IF($R$17="Distrato",$I$38-1,0)),IF(AND($L$37=0,$P$34=0),"",$L$37-1),IF($R$17="Distrato",$E403,0))),0,YEARFRAC(MAX($P$34*($B403+IF($R$17="Distrato",$I$38-1,0)),IF(AND($L$37=0,$P$34=0),"",$L$37-1),IF($R$17="Distrato",$E403,0)),MIN(V$38,$D$19),$P$20))-SUM($P403:U403)</f>
        <v>#VALUE!</v>
      </c>
      <c r="W403" s="446" t="e">
        <f>IF(OR($B403="",MIN(W$38,$D$19)&lt;MAX($P$34*($B403+IF($R$17="Distrato",$I$38-1,0)),IF(AND($L$37=0,$P$34=0),"",$L$37-1),IF($R$17="Distrato",$E403,0))),0,YEARFRAC(MAX($P$34*($B403+IF($R$17="Distrato",$I$38-1,0)),IF(AND($L$37=0,$P$34=0),"",$L$37-1),IF($R$17="Distrato",$E403,0)),MIN(W$38,$D$19),$P$20))-SUM($P403:V403)</f>
        <v>#VALUE!</v>
      </c>
      <c r="X403" s="446" t="e">
        <f>IF(OR($B403="",MIN(X$38,$D$19)&lt;MAX($P$34*($B403+IF($R$17="Distrato",$I$38-1,0)),IF(AND($L$37=0,$P$34=0),"",$L$37-1),IF($R$17="Distrato",$E403,0))),0,YEARFRAC(MAX($P$34*($B403+IF($R$17="Distrato",$I$38-1,0)),IF(AND($L$37=0,$P$34=0),"",$L$37-1),IF($R$17="Distrato",$E403,0)),MIN(X$38,$D$19),$P$20))-SUM($P403:W403)</f>
        <v>#VALUE!</v>
      </c>
      <c r="Y403" s="446" t="e">
        <f>IF(OR($B403="",MIN(Y$38,$D$19)&lt;MAX($P$34*($B403+IF($R$17="Distrato",$I$38-1,0)),IF(AND($L$37=0,$P$34=0),"",$L$37-1),IF($R$17="Distrato",$E403,0))),0,YEARFRAC(MAX($P$34*($B403+IF($R$17="Distrato",$I$38-1,0)),IF(AND($L$37=0,$P$34=0),"",$L$37-1),IF($R$17="Distrato",$E403,0)),MIN(Y$38,$D$19),$P$20))-SUM($P403:X403)</f>
        <v>#VALUE!</v>
      </c>
      <c r="Z403" s="446" t="e">
        <f>IF(OR($B403="",MIN(Z$38,$D$19)&lt;MAX($P$34*($B403+IF($R$17="Distrato",$I$38-1,0)),IF(AND($L$37=0,$P$34=0),"",$L$37-1),IF($R$17="Distrato",$E403,0))),0,YEARFRAC(MAX($P$34*($B403+IF($R$17="Distrato",$I$38-1,0)),IF(AND($L$37=0,$P$34=0),"",$L$37-1),IF($R$17="Distrato",$E403,0)),MIN(Z$38,$D$19),$P$20))-SUM($P403:Y403)</f>
        <v>#VALUE!</v>
      </c>
      <c r="AA403" s="446" t="e">
        <f>IF(OR($B403="",MIN(AA$38,$D$19)&lt;MAX($P$34*($B403+IF($R$17="Distrato",$I$38-1,0)),IF(AND($L$37=0,$P$34=0),"",$L$37-1),IF($R$17="Distrato",$E403,0))),0,YEARFRAC(MAX($P$34*($B403+IF($R$17="Distrato",$I$38-1,0)),IF(AND($L$37=0,$P$34=0),"",$L$37-1),IF($R$17="Distrato",$E403,0)),MIN(AA$38,$D$19),$P$20))-SUM($P403:Z403)</f>
        <v>#VALUE!</v>
      </c>
      <c r="AB403" s="446" t="e">
        <f>IF(OR($B403="",MIN(AB$38,$D$19)&lt;MAX($P$34*($B403+IF($R$17="Distrato",$I$38-1,0)),IF(AND($L$37=0,$P$34=0),"",$L$37-1),IF($R$17="Distrato",$E403,0))),0,YEARFRAC(MAX($P$34*($B403+IF($R$17="Distrato",$I$38-1,0)),IF(AND($L$37=0,$P$34=0),"",$L$37-1),IF($R$17="Distrato",$E403,0)),MIN(AB$38,$D$19),$P$20))-SUM($P403:AA403)</f>
        <v>#VALUE!</v>
      </c>
      <c r="AC403" s="446" t="e">
        <f>IF(OR($B403="",MIN(AC$38,$D$19)&lt;MAX($P$34*($B403+IF($R$17="Distrato",$I$38-1,0)),IF(AND($L$37=0,$P$34=0),"",$L$37-1),IF($R$17="Distrato",$E403,0))),0,YEARFRAC(MAX($P$34*($B403+IF($R$17="Distrato",$I$38-1,0)),IF(AND($L$37=0,$P$34=0),"",$L$37-1),IF($R$17="Distrato",$E403,0)),MIN(AC$38,$D$19),$P$20))-SUM($P403:AB403)</f>
        <v>#VALUE!</v>
      </c>
      <c r="AD403" s="446" t="e">
        <f>IF(OR($B403="",MIN(AD$38,$D$19)&lt;MAX($P$34*($B403+IF($R$17="Distrato",$I$38-1,0)),IF(AND($L$37=0,$P$34=0),"",$L$37-1),IF($R$17="Distrato",$E403,0))),0,YEARFRAC(MAX($P$34*($B403+IF($R$17="Distrato",$I$38-1,0)),IF(AND($L$37=0,$P$34=0),"",$L$37-1),IF($R$17="Distrato",$E403,0)),MIN(AD$38,$D$19),$P$20))-SUM($P403:AC403)</f>
        <v>#VALUE!</v>
      </c>
      <c r="AE403" s="446" t="e">
        <f>IF(OR($B403="",MIN(AE$38,$D$19)&lt;MAX($P$34*($B403+IF($R$17="Distrato",$I$38-1,0)),IF(AND($L$37=0,$P$34=0),"",$L$37-1),IF($R$17="Distrato",$E403,0))),0,YEARFRAC(MAX($P$34*($B403+IF($R$17="Distrato",$I$38-1,0)),IF(AND($L$37=0,$P$34=0),"",$L$37-1),IF($R$17="Distrato",$E403,0)),MIN(AE$38,$D$19),$P$20))-SUM($P403:AD403)</f>
        <v>#VALUE!</v>
      </c>
      <c r="AF403" s="446" t="e">
        <f>IF(OR($B403="",MIN(AF$38,$D$19)&lt;MAX($P$34*($B403+IF($R$17="Distrato",$I$38-1,0)),IF(AND($L$37=0,$P$34=0),"",$L$37-1),IF($R$17="Distrato",$E403,0))),0,YEARFRAC(MAX($P$34*($B403+IF($R$17="Distrato",$I$38-1,0)),IF(AND($L$37=0,$P$34=0),"",$L$37-1),IF($R$17="Distrato",$E403,0)),MIN(AF$38,$D$19),$P$20))-SUM($P403:AE403)</f>
        <v>#VALUE!</v>
      </c>
      <c r="AG403" s="446" t="e">
        <f>IF(OR($B403="",MIN(AG$38,$D$19)&lt;MAX($P$34*($B403+IF($R$17="Distrato",$I$38-1,0)),IF(AND($L$37=0,$P$34=0),"",$L$37-1),IF($R$17="Distrato",$E403,0))),0,YEARFRAC(MAX($P$34*($B403+IF($R$17="Distrato",$I$38-1,0)),IF(AND($L$37=0,$P$34=0),"",$L$37-1),IF($R$17="Distrato",$E403,0)),MIN(AG$38,$D$19),$P$20))-SUM($P403:AF403)</f>
        <v>#VALUE!</v>
      </c>
      <c r="AH403" s="446" t="e">
        <f>IF(OR($B403="",MIN(AH$38,$D$19)&lt;MAX($P$34*($B403+IF($R$17="Distrato",$I$38-1,0)),IF(AND($L$37=0,$P$34=0),"",$L$37-1),IF($R$17="Distrato",$E403,0))),0,YEARFRAC(MAX($P$34*($B403+IF($R$17="Distrato",$I$38-1,0)),IF(AND($L$37=0,$P$34=0),"",$L$37-1),IF($R$17="Distrato",$E403,0)),MIN(AH$38,$D$19),$P$20))-SUM($P403:AG403)</f>
        <v>#VALUE!</v>
      </c>
      <c r="AI403" s="446" t="e">
        <f>IF(OR($B403="",MIN(AI$38,$D$19)&lt;MAX($P$34*($B403+IF($R$17="Distrato",$I$38-1,0)),IF(AND($L$37=0,$P$34=0),"",$L$37-1),IF($R$17="Distrato",$E403,0))),0,YEARFRAC(MAX($P$34*($B403+IF($R$17="Distrato",$I$38-1,0)),IF(AND($L$37=0,$P$34=0),"",$L$37-1),IF($R$17="Distrato",$E403,0)),MIN(AI$38,$D$19),$P$20))-SUM($P403:AH403)</f>
        <v>#VALUE!</v>
      </c>
      <c r="AJ403" s="446" t="e">
        <f>IF(OR($B403="",MIN(AJ$38,$D$19)&lt;MAX($P$34*($B403+IF($R$17="Distrato",$I$38-1,0)),IF(AND($L$37=0,$P$34=0),"",$L$37-1),IF($R$17="Distrato",$E403,0))),0,YEARFRAC(MAX($P$34*($B403+IF($R$17="Distrato",$I$38-1,0)),IF(AND($L$37=0,$P$34=0),"",$L$37-1),IF($R$17="Distrato",$E403,0)),MIN(AJ$38,$D$19),$P$20))-SUM($P403:AI403)</f>
        <v>#VALUE!</v>
      </c>
      <c r="AK403" s="446" t="e">
        <f>IF(OR($B403="",MIN(AK$38,$D$19)&lt;MAX($P$34*($B403+IF($R$17="Distrato",$I$38-1,0)),IF(AND($L$37=0,$P$34=0),"",$L$37-1),IF($R$17="Distrato",$E403,0))),0,YEARFRAC(MAX($P$34*($B403+IF($R$17="Distrato",$I$38-1,0)),IF(AND($L$37=0,$P$34=0),"",$L$37-1),IF($R$17="Distrato",$E403,0)),MIN(AK$38,$D$19),$P$20))-SUM($P403:AJ403)</f>
        <v>#VALUE!</v>
      </c>
      <c r="AL403" s="446" t="e">
        <f>IF(OR($B403="",MIN(AL$38,$D$19)&lt;MAX($P$34*($B403+IF($R$17="Distrato",$I$38-1,0)),IF(AND($L$37=0,$P$34=0),"",$L$37-1),IF($R$17="Distrato",$E403,0))),0,YEARFRAC(MAX($P$34*($B403+IF($R$17="Distrato",$I$38-1,0)),IF(AND($L$37=0,$P$34=0),"",$L$37-1),IF($R$17="Distrato",$E403,0)),MIN(AL$38,$D$19),$P$20))-SUM($P403:AK403)</f>
        <v>#VALUE!</v>
      </c>
      <c r="AM403" s="446" t="e">
        <f>IF(OR($B403="",MIN(AM$38,$D$19)&lt;MAX($P$34*($B403+IF($R$17="Distrato",$I$38-1,0)),IF(AND($L$37=0,$P$34=0),"",$L$37-1),IF($R$17="Distrato",$E403,0))),0,YEARFRAC(MAX($P$34*($B403+IF($R$17="Distrato",$I$38-1,0)),IF(AND($L$37=0,$P$34=0),"",$L$37-1),IF($R$17="Distrato",$E403,0)),MIN(AM$38,$D$19),$P$20))-SUM($P403:AL403)</f>
        <v>#VALUE!</v>
      </c>
      <c r="AN403" s="446" t="e">
        <f>IF(OR($B403="",MIN(AN$38,$D$19)&lt;MAX($P$34*($B403+IF($R$17="Distrato",$I$38-1,0)),IF(AND($L$37=0,$P$34=0),"",$L$37-1),IF($R$17="Distrato",$E403,0))),0,YEARFRAC(MAX($P$34*($B403+IF($R$17="Distrato",$I$38-1,0)),IF(AND($L$37=0,$P$34=0),"",$L$37-1),IF($R$17="Distrato",$E403,0)),MIN(AN$38,$D$19),$P$20))-SUM($P403:AM403)</f>
        <v>#VALUE!</v>
      </c>
      <c r="AO403" s="446" t="e">
        <f>IF(OR($B403="",MIN(AO$38,$D$19)&lt;MAX($P$34*($B403+IF($R$17="Distrato",$I$38-1,0)),IF(AND($L$37=0,$P$34=0),"",$L$37-1),IF($R$17="Distrato",$E403,0))),0,YEARFRAC(MAX($P$34*($B403+IF($R$17="Distrato",$I$38-1,0)),IF(AND($L$37=0,$P$34=0),"",$L$37-1),IF($R$17="Distrato",$E403,0)),MIN(AO$38,$D$19),$P$20))-SUM($P403:AN403)</f>
        <v>#VALUE!</v>
      </c>
      <c r="AP403" s="446" t="e">
        <f>IF(OR($B403="",MIN(AP$38,$D$19)&lt;MAX($P$34*($B403+IF($R$17="Distrato",$I$38-1,0)),IF(AND($L$37=0,$P$34=0),"",$L$37-1),IF($R$17="Distrato",$E403,0))),0,YEARFRAC(MAX($P$34*($B403+IF($R$17="Distrato",$I$38-1,0)),IF(AND($L$37=0,$P$34=0),"",$L$37-1),IF($R$17="Distrato",$E403,0)),MIN(AP$38,$D$19),$P$20))-SUM($P403:AO403)</f>
        <v>#VALUE!</v>
      </c>
      <c r="AQ403" s="446" t="e">
        <f>IF(OR($B403="",MIN(AQ$38,$D$19)&lt;MAX($P$34*($B403+IF($R$17="Distrato",$I$38-1,0)),IF(AND($L$37=0,$P$34=0),"",$L$37-1),IF($R$17="Distrato",$E403,0))),0,YEARFRAC(MAX($P$34*($B403+IF($R$17="Distrato",$I$38-1,0)),IF(AND($L$37=0,$P$34=0),"",$L$37-1),IF($R$17="Distrato",$E403,0)),MIN(AQ$38,$D$19),$P$20))-SUM($P403:AP403)</f>
        <v>#VALUE!</v>
      </c>
      <c r="AR403" s="446" t="e">
        <f>IF(OR($B403="",MIN(AR$38,$D$19)&lt;MAX($P$34*($B403+IF($R$17="Distrato",$I$38-1,0)),IF(AND($L$37=0,$P$34=0),"",$L$37-1),IF($R$17="Distrato",$E403,0))),0,YEARFRAC(MAX($P$34*($B403+IF($R$17="Distrato",$I$38-1,0)),IF(AND($L$37=0,$P$34=0),"",$L$37-1),IF($R$17="Distrato",$E403,0)),MIN(AR$38,$D$19),$P$20))-SUM($P403:AQ403)</f>
        <v>#VALUE!</v>
      </c>
      <c r="AS403" s="446" t="e">
        <f>IF(OR($B403="",MIN(AS$38,$D$19)&lt;MAX($P$34*($B403+IF($R$17="Distrato",$I$38-1,0)),IF(AND($L$37=0,$P$34=0),"",$L$37-1),IF($R$17="Distrato",$E403,0))),0,YEARFRAC(MAX($P$34*($B403+IF($R$17="Distrato",$I$38-1,0)),IF(AND($L$37=0,$P$34=0),"",$L$37-1),IF($R$17="Distrato",$E403,0)),MIN(AS$38,$D$19),$P$20))-SUM($P403:AR403)</f>
        <v>#VALUE!</v>
      </c>
      <c r="AT403" s="446" t="e">
        <f>IF(OR($B403="",MIN(AT$38,$D$19)&lt;MAX($P$34*($B403+IF($R$17="Distrato",$I$38-1,0)),IF(AND($L$37=0,$P$34=0),"",$L$37-1),IF($R$17="Distrato",$E403,0))),0,YEARFRAC(MAX($P$34*($B403+IF($R$17="Distrato",$I$38-1,0)),IF(AND($L$37=0,$P$34=0),"",$L$37-1),IF($R$17="Distrato",$E403,0)),MIN(AT$38,$D$19),$P$20))-SUM($P403:AS403)</f>
        <v>#VALUE!</v>
      </c>
      <c r="AU403" s="446" t="e">
        <f>IF(OR($B403="",MIN(AU$38,$D$19)&lt;MAX($P$34*($B403+IF($R$17="Distrato",$I$38-1,0)),IF(AND($L$37=0,$P$34=0),"",$L$37-1),IF($R$17="Distrato",$E403,0))),0,YEARFRAC(MAX($P$34*($B403+IF($R$17="Distrato",$I$38-1,0)),IF(AND($L$37=0,$P$34=0),"",$L$37-1),IF($R$17="Distrato",$E403,0)),MIN(AU$38,$D$19),$P$20))-SUM($P403:AT403)</f>
        <v>#VALUE!</v>
      </c>
      <c r="AV403" s="446" t="e">
        <f>IF(OR($B403="",MIN(AV$38,$D$19)&lt;MAX($P$34*($B403+IF($R$17="Distrato",$I$38-1,0)),IF(AND($L$37=0,$P$34=0),"",$L$37-1),IF($R$17="Distrato",$E403,0))),0,YEARFRAC(MAX($P$34*($B403+IF($R$17="Distrato",$I$38-1,0)),IF(AND($L$37=0,$P$34=0),"",$L$37-1),IF($R$17="Distrato",$E403,0)),MIN(AV$38,$D$19),$P$20))-SUM($P403:AU403)</f>
        <v>#VALUE!</v>
      </c>
      <c r="AW403" s="446" t="e">
        <f>IF(OR($B403="",MIN(AW$38,$D$19)&lt;MAX($P$34*($B403+IF($R$17="Distrato",$I$38-1,0)),IF(AND($L$37=0,$P$34=0),"",$L$37-1),IF($R$17="Distrato",$E403,0))),0,YEARFRAC(MAX($P$34*($B403+IF($R$17="Distrato",$I$38-1,0)),IF(AND($L$37=0,$P$34=0),"",$L$37-1),IF($R$17="Distrato",$E403,0)),MIN(AW$38,$D$19),$P$20))-SUM($P403:AV403)</f>
        <v>#VALUE!</v>
      </c>
      <c r="AX403" s="446" t="e">
        <f>IF(OR($B403="",MIN(AX$38,$D$19)&lt;MAX($P$34*($B403+IF($R$17="Distrato",$I$38-1,0)),IF(AND($L$37=0,$P$34=0),"",$L$37-1),IF($R$17="Distrato",$E403,0))),0,YEARFRAC(MAX($P$34*($B403+IF($R$17="Distrato",$I$38-1,0)),IF(AND($L$37=0,$P$34=0),"",$L$37-1),IF($R$17="Distrato",$E403,0)),MIN(AX$38,$D$19),$P$20))-SUM($P403:AW403)</f>
        <v>#VALUE!</v>
      </c>
      <c r="AY403" s="446" t="e">
        <f>IF(OR($B403="",MIN(AY$38,$D$19)&lt;MAX($P$34*($B403+IF($R$17="Distrato",$I$38-1,0)),IF(AND($L$37=0,$P$34=0),"",$L$37-1),IF($R$17="Distrato",$E403,0))),0,YEARFRAC(MAX($P$34*($B403+IF($R$17="Distrato",$I$38-1,0)),IF(AND($L$37=0,$P$34=0),"",$L$37-1),IF($R$17="Distrato",$E403,0)),MIN(AY$38,$D$19),$P$20))-SUM($P403:AX403)</f>
        <v>#VALUE!</v>
      </c>
      <c r="AZ403" s="446" t="e">
        <f>IF(OR($B403="",MIN(AZ$38,$D$19)&lt;MAX($P$34*($B403+IF($R$17="Distrato",$I$38-1,0)),IF(AND($L$37=0,$P$34=0),"",$L$37-1),IF($R$17="Distrato",$E403,0))),0,YEARFRAC(MAX($P$34*($B403+IF($R$17="Distrato",$I$38-1,0)),IF(AND($L$37=0,$P$34=0),"",$L$37-1),IF($R$17="Distrato",$E403,0)),MIN(AZ$38,$D$19),$P$20))-SUM($P403:AY403)</f>
        <v>#VALUE!</v>
      </c>
      <c r="BA403" s="446" t="e">
        <f>IF(OR($B403="",MIN(BA$38,$D$19)&lt;MAX($P$34*($B403+IF($R$17="Distrato",$I$38-1,0)),IF(AND($L$37=0,$P$34=0),"",$L$37-1),IF($R$17="Distrato",$E403,0))),0,YEARFRAC(MAX($P$34*($B403+IF($R$17="Distrato",$I$38-1,0)),IF(AND($L$37=0,$P$34=0),"",$L$37-1),IF($R$17="Distrato",$E403,0)),MIN(BA$38,$D$19),$P$20))-SUM($P403:AZ403)</f>
        <v>#VALUE!</v>
      </c>
      <c r="BB403" s="447"/>
      <c r="BF403" s="446">
        <f t="shared" si="65"/>
        <v>0</v>
      </c>
      <c r="BG403" s="446">
        <f>IF($E403=0,0,IF(MIN(BG$38,$E403)&lt;MAX($P$34*($B403+$I$38-1),IF(AND($L$37=0,$P$34=0),"",$L$37-1)),0,YEARFRAC(MAX($P$34*($B403+$I$38-1),IF(AND($L$37=0,$P$34=0),"",$L$37-1)),MIN(BG$38,$E403),$P$20))-SUM($BF403:BF403))</f>
        <v>0</v>
      </c>
      <c r="BH403" s="446">
        <f>IF($E403=0,0,IF(MIN(BH$38,$E403)&lt;MAX($P$34*($B403+$I$38-1),IF(AND($L$37=0,$P$34=0),"",$L$37-1)),0,YEARFRAC(MAX($P$34*($B403+$I$38-1),IF(AND($L$37=0,$P$34=0),"",$L$37-1)),MIN(BH$38,$E403),$P$20))-SUM($BF403:BG403))</f>
        <v>0</v>
      </c>
      <c r="BI403" s="446">
        <f>IF($E403=0,0,IF(MIN(BI$38,$E403)&lt;MAX($P$34*($B403+$I$38-1),IF(AND($L$37=0,$P$34=0),"",$L$37-1)),0,YEARFRAC(MAX($P$34*($B403+$I$38-1),IF(AND($L$37=0,$P$34=0),"",$L$37-1)),MIN(BI$38,$E403),$P$20))-SUM($BF403:BH403))</f>
        <v>0</v>
      </c>
      <c r="BJ403" s="446">
        <f>IF($E403=0,0,IF(MIN(BJ$38,$E403)&lt;MAX($P$34*($B403+$I$38-1),IF(AND($L$37=0,$P$34=0),"",$L$37-1)),0,YEARFRAC(MAX($P$34*($B403+$I$38-1),IF(AND($L$37=0,$P$34=0),"",$L$37-1)),MIN(BJ$38,$E403),$P$20))-SUM($BF403:BI403))</f>
        <v>0</v>
      </c>
      <c r="BK403" s="446">
        <f>IF($E403=0,0,IF(MIN(BK$38,$E403)&lt;MAX($P$34*($B403+$I$38-1),IF(AND($L$37=0,$P$34=0),"",$L$37-1)),0,YEARFRAC(MAX($P$34*($B403+$I$38-1),IF(AND($L$37=0,$P$34=0),"",$L$37-1)),MIN(BK$38,$E403),$P$20))-SUM($BF403:BJ403))</f>
        <v>0</v>
      </c>
      <c r="BL403" s="446">
        <f>IF($E403=0,0,IF(MIN(BL$38,$E403)&lt;MAX($P$34*($B403+$I$38-1),IF(AND($L$37=0,$P$34=0),"",$L$37-1)),0,YEARFRAC(MAX($P$34*($B403+$I$38-1),IF(AND($L$37=0,$P$34=0),"",$L$37-1)),MIN(BL$38,$E403),$P$20))-SUM($BF403:BK403))</f>
        <v>0</v>
      </c>
      <c r="BM403" s="446">
        <f>IF($E403=0,0,IF(MIN(BM$38,$E403)&lt;MAX($P$34*($B403+$I$38-1),IF(AND($L$37=0,$P$34=0),"",$L$37-1)),0,YEARFRAC(MAX($P$34*($B403+$I$38-1),IF(AND($L$37=0,$P$34=0),"",$L$37-1)),MIN(BM$38,$E403),$P$20))-SUM($BF403:BL403))</f>
        <v>0</v>
      </c>
      <c r="BN403" s="446">
        <f>IF($E403=0,0,IF(MIN(BN$38,$E403)&lt;MAX($P$34*($B403+$I$38-1),IF(AND($L$37=0,$P$34=0),"",$L$37-1)),0,YEARFRAC(MAX($P$34*($B403+$I$38-1),IF(AND($L$37=0,$P$34=0),"",$L$37-1)),MIN(BN$38,$E403),$P$20))-SUM($BF403:BM403))</f>
        <v>0</v>
      </c>
      <c r="BO403" s="446">
        <f>IF($E403=0,0,IF(MIN(BO$38,$E403)&lt;MAX($P$34*($B403+$I$38-1),IF(AND($L$37=0,$P$34=0),"",$L$37-1)),0,YEARFRAC(MAX($P$34*($B403+$I$38-1),IF(AND($L$37=0,$P$34=0),"",$L$37-1)),MIN(BO$38,$E403),$P$20))-SUM($BF403:BN403))</f>
        <v>0</v>
      </c>
      <c r="BP403" s="446">
        <f>IF($E403=0,0,IF(MIN(BP$38,$E403)&lt;MAX($P$34*($B403+$I$38-1),IF(AND($L$37=0,$P$34=0),"",$L$37-1)),0,YEARFRAC(MAX($P$34*($B403+$I$38-1),IF(AND($L$37=0,$P$34=0),"",$L$37-1)),MIN(BP$38,$E403),$P$20))-SUM($BF403:BO403))</f>
        <v>0</v>
      </c>
      <c r="BQ403" s="446">
        <f>IF($E403=0,0,IF(MIN(BQ$38,$E403)&lt;MAX($P$34*($B403+$I$38-1),IF(AND($L$37=0,$P$34=0),"",$L$37-1)),0,YEARFRAC(MAX($P$34*($B403+$I$38-1),IF(AND($L$37=0,$P$34=0),"",$L$37-1)),MIN(BQ$38,$E403),$P$20))-SUM($BF403:BP403))</f>
        <v>0</v>
      </c>
      <c r="BR403" s="446">
        <f>IF($E403=0,0,IF(MIN(BR$38,$E403)&lt;MAX($P$34*($B403+$I$38-1),IF(AND($L$37=0,$P$34=0),"",$L$37-1)),0,YEARFRAC(MAX($P$34*($B403+$I$38-1),IF(AND($L$37=0,$P$34=0),"",$L$37-1)),MIN(BR$38,$E403),$P$20))-SUM($BF403:BQ403))</f>
        <v>0</v>
      </c>
      <c r="BS403" s="446">
        <f>IF($E403=0,0,IF(MIN(BS$38,$E403)&lt;MAX($P$34*($B403+$I$38-1),IF(AND($L$37=0,$P$34=0),"",$L$37-1)),0,YEARFRAC(MAX($P$34*($B403+$I$38-1),IF(AND($L$37=0,$P$34=0),"",$L$37-1)),MIN(BS$38,$E403),$P$20))-SUM($BF403:BR403))</f>
        <v>0</v>
      </c>
      <c r="BT403" s="446">
        <f>IF($E403=0,0,IF(MIN(BT$38,$E403)&lt;MAX($P$34*($B403+$I$38-1),IF(AND($L$37=0,$P$34=0),"",$L$37-1)),0,YEARFRAC(MAX($P$34*($B403+$I$38-1),IF(AND($L$37=0,$P$34=0),"",$L$37-1)),MIN(BT$38,$E403),$P$20))-SUM($BF403:BS403))</f>
        <v>0</v>
      </c>
      <c r="BU403" s="446">
        <f>IF($E403=0,0,IF(MIN(BU$38,$E403)&lt;MAX($P$34*($B403+$I$38-1),IF(AND($L$37=0,$P$34=0),"",$L$37-1)),0,YEARFRAC(MAX($P$34*($B403+$I$38-1),IF(AND($L$37=0,$P$34=0),"",$L$37-1)),MIN(BU$38,$E403),$P$20))-SUM($BF403:BT403))</f>
        <v>0</v>
      </c>
      <c r="BV403" s="446">
        <f>IF($E403=0,0,IF(MIN(BV$38,$E403)&lt;MAX($P$34*($B403+$I$38-1),IF(AND($L$37=0,$P$34=0),"",$L$37-1)),0,YEARFRAC(MAX($P$34*($B403+$I$38-1),IF(AND($L$37=0,$P$34=0),"",$L$37-1)),MIN(BV$38,$E403),$P$20))-SUM($BF403:BU403))</f>
        <v>0</v>
      </c>
      <c r="BW403" s="446">
        <f>IF($E403=0,0,IF(MIN(BW$38,$E403)&lt;MAX($P$34*($B403+$I$38-1),IF(AND($L$37=0,$P$34=0),"",$L$37-1)),0,YEARFRAC(MAX($P$34*($B403+$I$38-1),IF(AND($L$37=0,$P$34=0),"",$L$37-1)),MIN(BW$38,$E403),$P$20))-SUM($BF403:BV403))</f>
        <v>0</v>
      </c>
      <c r="BX403" s="446">
        <f>IF($E403=0,0,IF(MIN(BX$38,$E403)&lt;MAX($P$34*($B403+$I$38-1),IF(AND($L$37=0,$P$34=0),"",$L$37-1)),0,YEARFRAC(MAX($P$34*($B403+$I$38-1),IF(AND($L$37=0,$P$34=0),"",$L$37-1)),MIN(BX$38,$E403),$P$20))-SUM($BF403:BW403))</f>
        <v>0</v>
      </c>
      <c r="BY403" s="446">
        <f>IF($E403=0,0,IF(MIN(BY$38,$E403)&lt;MAX($P$34*($B403+$I$38-1),IF(AND($L$37=0,$P$34=0),"",$L$37-1)),0,YEARFRAC(MAX($P$34*($B403+$I$38-1),IF(AND($L$37=0,$P$34=0),"",$L$37-1)),MIN(BY$38,$E403),$P$20))-SUM($BF403:BX403))</f>
        <v>0</v>
      </c>
      <c r="BZ403" s="446">
        <f>IF($E403=0,0,IF(MIN(BZ$38,$E403)&lt;MAX($P$34*($B403+$I$38-1),IF(AND($L$37=0,$P$34=0),"",$L$37-1)),0,YEARFRAC(MAX($P$34*($B403+$I$38-1),IF(AND($L$37=0,$P$34=0),"",$L$37-1)),MIN(BZ$38,$E403),$P$20))-SUM($BF403:BY403))</f>
        <v>0</v>
      </c>
      <c r="CA403" s="446">
        <f>IF($E403=0,0,IF(MIN(CA$38,$E403)&lt;MAX($P$34*($B403+$I$38-1),IF(AND($L$37=0,$P$34=0),"",$L$37-1)),0,YEARFRAC(MAX($P$34*($B403+$I$38-1),IF(AND($L$37=0,$P$34=0),"",$L$37-1)),MIN(CA$38,$E403),$P$20))-SUM($BF403:BZ403))</f>
        <v>0</v>
      </c>
      <c r="CB403" s="446">
        <f>IF($E403=0,0,IF(MIN(CB$38,$E403)&lt;MAX($P$34*($B403+$I$38-1),IF(AND($L$37=0,$P$34=0),"",$L$37-1)),0,YEARFRAC(MAX($P$34*($B403+$I$38-1),IF(AND($L$37=0,$P$34=0),"",$L$37-1)),MIN(CB$38,$E403),$P$20))-SUM($BF403:CA403))</f>
        <v>0</v>
      </c>
      <c r="CC403" s="446">
        <f>IF($E403=0,0,IF(MIN(CC$38,$E403)&lt;MAX($P$34*($B403+$I$38-1),IF(AND($L$37=0,$P$34=0),"",$L$37-1)),0,YEARFRAC(MAX($P$34*($B403+$I$38-1),IF(AND($L$37=0,$P$34=0),"",$L$37-1)),MIN(CC$38,$E403),$P$20))-SUM($BF403:CB403))</f>
        <v>0</v>
      </c>
      <c r="CD403" s="446">
        <f>IF($E403=0,0,IF(MIN(CD$38,$E403)&lt;MAX($P$34*($B403+$I$38-1),IF(AND($L$37=0,$P$34=0),"",$L$37-1)),0,YEARFRAC(MAX($P$34*($B403+$I$38-1),IF(AND($L$37=0,$P$34=0),"",$L$37-1)),MIN(CD$38,$E403),$P$20))-SUM($BF403:CC403))</f>
        <v>0</v>
      </c>
      <c r="CE403" s="446">
        <f>IF($E403=0,0,IF(MIN(CE$38,$E403)&lt;MAX($P$34*($B403+$I$38-1),IF(AND($L$37=0,$P$34=0),"",$L$37-1)),0,YEARFRAC(MAX($P$34*($B403+$I$38-1),IF(AND($L$37=0,$P$34=0),"",$L$37-1)),MIN(CE$38,$E403),$P$20))-SUM($BF403:CD403))</f>
        <v>0</v>
      </c>
      <c r="CF403" s="446">
        <f>IF($E403=0,0,IF(MIN(CF$38,$E403)&lt;MAX($P$34*($B403+$I$38-1),IF(AND($L$37=0,$P$34=0),"",$L$37-1)),0,YEARFRAC(MAX($P$34*($B403+$I$38-1),IF(AND($L$37=0,$P$34=0),"",$L$37-1)),MIN(CF$38,$E403),$P$20))-SUM($BF403:CE403))</f>
        <v>0</v>
      </c>
      <c r="CG403" s="446">
        <f>IF($E403=0,0,IF(MIN(CG$38,$E403)&lt;MAX($P$34*($B403+$I$38-1),IF(AND($L$37=0,$P$34=0),"",$L$37-1)),0,YEARFRAC(MAX($P$34*($B403+$I$38-1),IF(AND($L$37=0,$P$34=0),"",$L$37-1)),MIN(CG$38,$E403),$P$20))-SUM($BF403:CF403))</f>
        <v>0</v>
      </c>
      <c r="CH403" s="446">
        <f>IF($E403=0,0,IF(MIN(CH$38,$E403)&lt;MAX($P$34*($B403+$I$38-1),IF(AND($L$37=0,$P$34=0),"",$L$37-1)),0,YEARFRAC(MAX($P$34*($B403+$I$38-1),IF(AND($L$37=0,$P$34=0),"",$L$37-1)),MIN(CH$38,$E403),$P$20))-SUM($BF403:CG403))</f>
        <v>0</v>
      </c>
      <c r="CI403" s="446">
        <f>IF($E403=0,0,IF(MIN(CI$38,$E403)&lt;MAX($P$34*($B403+$I$38-1),IF(AND($L$37=0,$P$34=0),"",$L$37-1)),0,YEARFRAC(MAX($P$34*($B403+$I$38-1),IF(AND($L$37=0,$P$34=0),"",$L$37-1)),MIN(CI$38,$E403),$P$20))-SUM($BF403:CH403))</f>
        <v>0</v>
      </c>
      <c r="CJ403" s="446">
        <f>IF($E403=0,0,IF(MIN(CJ$38,$E403)&lt;MAX($P$34*($B403+$I$38-1),IF(AND($L$37=0,$P$34=0),"",$L$37-1)),0,YEARFRAC(MAX($P$34*($B403+$I$38-1),IF(AND($L$37=0,$P$34=0),"",$L$37-1)),MIN(CJ$38,$E403),$P$20))-SUM($BF403:CI403))</f>
        <v>0</v>
      </c>
      <c r="CK403" s="446">
        <f>IF($E403=0,0,IF(MIN(CK$38,$E403)&lt;MAX($P$34*($B403+$I$38-1),IF(AND($L$37=0,$P$34=0),"",$L$37-1)),0,YEARFRAC(MAX($P$34*($B403+$I$38-1),IF(AND($L$37=0,$P$34=0),"",$L$37-1)),MIN(CK$38,$E403),$P$20))-SUM($BF403:CJ403))</f>
        <v>0</v>
      </c>
      <c r="CL403" s="446">
        <f>IF($E403=0,0,IF(MIN(CL$38,$E403)&lt;MAX($P$34*($B403+$I$38-1),IF(AND($L$37=0,$P$34=0),"",$L$37-1)),0,YEARFRAC(MAX($P$34*($B403+$I$38-1),IF(AND($L$37=0,$P$34=0),"",$L$37-1)),MIN(CL$38,$E403),$P$20))-SUM($BF403:CK403))</f>
        <v>0</v>
      </c>
      <c r="CM403" s="446">
        <f>IF($E403=0,0,IF(MIN(CM$38,$E403)&lt;MAX($P$34*($B403+$I$38-1),IF(AND($L$37=0,$P$34=0),"",$L$37-1)),0,YEARFRAC(MAX($P$34*($B403+$I$38-1),IF(AND($L$37=0,$P$34=0),"",$L$37-1)),MIN(CM$38,$E403),$P$20))-SUM($BF403:CL403))</f>
        <v>0</v>
      </c>
      <c r="CN403" s="446">
        <f>IF($E403=0,0,IF(MIN(CN$38,$E403)&lt;MAX($P$34*($B403+$I$38-1),IF(AND($L$37=0,$P$34=0),"",$L$37-1)),0,YEARFRAC(MAX($P$34*($B403+$I$38-1),IF(AND($L$37=0,$P$34=0),"",$L$37-1)),MIN(CN$38,$E403),$P$20))-SUM($BF403:CM403))</f>
        <v>0</v>
      </c>
      <c r="CO403" s="446">
        <f>IF($E403=0,0,IF(MIN(CO$38,$E403)&lt;MAX($P$34*($B403+$I$38-1),IF(AND($L$37=0,$P$34=0),"",$L$37-1)),0,YEARFRAC(MAX($P$34*($B403+$I$38-1),IF(AND($L$37=0,$P$34=0),"",$L$37-1)),MIN(CO$38,$E403),$P$20))-SUM($BF403:CN403))</f>
        <v>0</v>
      </c>
      <c r="CP403" s="446">
        <f>IF($E403=0,0,IF(MIN(CP$38,$E403)&lt;MAX($P$34*($B403+$I$38-1),IF(AND($L$37=0,$P$34=0),"",$L$37-1)),0,YEARFRAC(MAX($P$34*($B403+$I$38-1),IF(AND($L$37=0,$P$34=0),"",$L$37-1)),MIN(CP$38,$E403),$P$20))-SUM($BF403:CO403))</f>
        <v>0</v>
      </c>
      <c r="CQ403" s="446">
        <f>IF($E403=0,0,IF(MIN(CQ$38,$E403)&lt;MAX($P$34*($B403+$I$38-1),IF(AND($L$37=0,$P$34=0),"",$L$37-1)),0,YEARFRAC(MAX($P$34*($B403+$I$38-1),IF(AND($L$37=0,$P$34=0),"",$L$37-1)),MIN(CQ$38,$E403),$P$20))-SUM($BF403:CP403))</f>
        <v>0</v>
      </c>
    </row>
    <row r="404" spans="1:95" s="446" customFormat="1" ht="11.25" hidden="1" customHeight="1" x14ac:dyDescent="0.2">
      <c r="A404" s="152"/>
      <c r="B404" s="153" t="str">
        <f t="shared" si="70"/>
        <v/>
      </c>
      <c r="C404" s="29" t="str">
        <f>IF(B404="","",IF($L$35="SELIC - TRIBUTOS",VLOOKUP(DATE(YEAR($D$19),MONTH($D$19)-1,1),ÍNDICES!$A:$DE,HLOOKUP($BL$25,ÍNDICES!$B$3:$T$4,2)+11)-VLOOKUP(B404,ÍNDICES!$A:$DE,HLOOKUP($BL$25,ÍNDICES!$B$3:$T$4,2)+11)+1%,IF(C$38=$W$26,$J$35,IF(ISERROR(IF(B404&gt;$D$19,1,VLOOKUP(DATE(YEAR(B404),MONTH(B404)+IF($C$35=$S$23,1,0),1),ÍNDICES!$A:$DE,$Z$35+1))),"",IF(B404&gt;$D$19,1,VLOOKUP(DATE(YEAR(B404),MONTH(B404)+IF($C$35=$S$23,1,0),1),ÍNDICES!$A:$DE,$Z$35+1))))))</f>
        <v/>
      </c>
      <c r="D404" s="154" t="str">
        <f>IF(ISERROR(IF(OR($D$38=$Y$27,$B404=""),"",VLOOKUP(B404,ÍNDICES!A:DE,AF$35+1))),"",IF(OR($D$38=$Y$27,$B404=""),"",VLOOKUP(B404,ÍNDICES!A:DE,AF$35+1)))</f>
        <v/>
      </c>
      <c r="E404" s="153"/>
      <c r="F404" s="29" t="str">
        <f>IF(E404="","",IF($L$35="SELIC - TRIBUTOS",VLOOKUP(DATE(YEAR($D$19),MONTH($D$19)-1,1),ÍNDICES!$A:$DE,HLOOKUP($BL$25,ÍNDICES!$B$3:$T$4,2)+11)-VLOOKUP(E404,ÍNDICES!$A:$DE,HLOOKUP($BL$25,ÍNDICES!$B$3:$T$4,2)+11)+1%,IF(F$38=$W$26,$J$35,IF(ISERROR(IF(E404&gt;$D$19,1,VLOOKUP(DATE(YEAR(E404),MONTH(E404)+IF($C$35=$S$23,1,0),1),ÍNDICES!$A:$DE,$Z$35+1))),"",IF(E404&gt;$D$19,1,VLOOKUP(DATE(YEAR(E404),MONTH(E404)+IF($C$35=$S$23,1,0),1),ÍNDICES!$A:$DE,$Z$35+1))))))</f>
        <v/>
      </c>
      <c r="G404" s="155"/>
      <c r="H404" s="156" t="str">
        <f t="shared" si="66"/>
        <v/>
      </c>
      <c r="I404" s="29" t="str">
        <f t="shared" si="60"/>
        <v/>
      </c>
      <c r="J404" s="5">
        <f t="shared" si="61"/>
        <v>0</v>
      </c>
      <c r="K404" s="20">
        <f t="shared" ca="1" si="62"/>
        <v>0</v>
      </c>
      <c r="L404" s="5">
        <f t="shared" ca="1" si="63"/>
        <v>0</v>
      </c>
      <c r="M404" s="64">
        <f t="shared" si="67"/>
        <v>0</v>
      </c>
      <c r="N404" s="61">
        <f t="shared" ca="1" si="68"/>
        <v>0</v>
      </c>
      <c r="O404" s="5">
        <f t="shared" ca="1" si="69"/>
        <v>0</v>
      </c>
      <c r="P404" s="446" t="e">
        <f t="shared" si="64"/>
        <v>#VALUE!</v>
      </c>
      <c r="Q404" s="446" t="e">
        <f>IF(OR($B404="",MIN(Q$38,$D$19)&lt;MAX($P$34*($B404+IF($R$17="Distrato",$I$38-1,0)),IF(AND($L$37=0,$P$34=0),"",$L$37-1),IF($R$17="Distrato",$E404,0))),0,YEARFRAC(MAX($P$34*($B404+IF($R$17="Distrato",$I$38-1,0)),IF(AND($L$37=0,$P$34=0),"",$L$37-1),IF($R$17="Distrato",$E404,0)),MIN(Q$38,$D$19),$P$20))-SUM($P404:P404)</f>
        <v>#VALUE!</v>
      </c>
      <c r="R404" s="446" t="e">
        <f>IF(OR($B404="",MIN(R$38,$D$19)&lt;MAX($P$34*($B404+IF($R$17="Distrato",$I$38-1,0)),IF(AND($L$37=0,$P$34=0),"",$L$37-1),IF($R$17="Distrato",$E404,0))),0,YEARFRAC(MAX($P$34*($B404+IF($R$17="Distrato",$I$38-1,0)),IF(AND($L$37=0,$P$34=0),"",$L$37-1),IF($R$17="Distrato",$E404,0)),MIN(R$38,$D$19),$P$20))-SUM($P404:Q404)</f>
        <v>#VALUE!</v>
      </c>
      <c r="S404" s="446" t="e">
        <f>IF(OR($B404="",MIN(S$38,$D$19)&lt;MAX($P$34*($B404+IF($R$17="Distrato",$I$38-1,0)),IF(AND($L$37=0,$P$34=0),"",$L$37-1),IF($R$17="Distrato",$E404,0))),0,YEARFRAC(MAX($P$34*($B404+IF($R$17="Distrato",$I$38-1,0)),IF(AND($L$37=0,$P$34=0),"",$L$37-1),IF($R$17="Distrato",$E404,0)),MIN(S$38,$D$19),$P$20))-SUM($P404:R404)</f>
        <v>#VALUE!</v>
      </c>
      <c r="T404" s="446" t="e">
        <f>IF(OR($B404="",MIN(T$38,$D$19)&lt;MAX($P$34*($B404+IF($R$17="Distrato",$I$38-1,0)),IF(AND($L$37=0,$P$34=0),"",$L$37-1),IF($R$17="Distrato",$E404,0))),0,YEARFRAC(MAX($P$34*($B404+IF($R$17="Distrato",$I$38-1,0)),IF(AND($L$37=0,$P$34=0),"",$L$37-1),IF($R$17="Distrato",$E404,0)),MIN(T$38,$D$19),$P$20))-SUM($P404:S404)</f>
        <v>#VALUE!</v>
      </c>
      <c r="U404" s="446" t="e">
        <f>IF(OR($B404="",MIN(U$38,$D$19)&lt;MAX($P$34*($B404+IF($R$17="Distrato",$I$38-1,0)),IF(AND($L$37=0,$P$34=0),"",$L$37-1),IF($R$17="Distrato",$E404,0))),0,YEARFRAC(MAX($P$34*($B404+IF($R$17="Distrato",$I$38-1,0)),IF(AND($L$37=0,$P$34=0),"",$L$37-1),IF($R$17="Distrato",$E404,0)),MIN(U$38,$D$19),$P$20))-SUM($P404:T404)</f>
        <v>#VALUE!</v>
      </c>
      <c r="V404" s="446" t="e">
        <f>IF(OR($B404="",MIN(V$38,$D$19)&lt;MAX($P$34*($B404+IF($R$17="Distrato",$I$38-1,0)),IF(AND($L$37=0,$P$34=0),"",$L$37-1),IF($R$17="Distrato",$E404,0))),0,YEARFRAC(MAX($P$34*($B404+IF($R$17="Distrato",$I$38-1,0)),IF(AND($L$37=0,$P$34=0),"",$L$37-1),IF($R$17="Distrato",$E404,0)),MIN(V$38,$D$19),$P$20))-SUM($P404:U404)</f>
        <v>#VALUE!</v>
      </c>
      <c r="W404" s="446" t="e">
        <f>IF(OR($B404="",MIN(W$38,$D$19)&lt;MAX($P$34*($B404+IF($R$17="Distrato",$I$38-1,0)),IF(AND($L$37=0,$P$34=0),"",$L$37-1),IF($R$17="Distrato",$E404,0))),0,YEARFRAC(MAX($P$34*($B404+IF($R$17="Distrato",$I$38-1,0)),IF(AND($L$37=0,$P$34=0),"",$L$37-1),IF($R$17="Distrato",$E404,0)),MIN(W$38,$D$19),$P$20))-SUM($P404:V404)</f>
        <v>#VALUE!</v>
      </c>
      <c r="X404" s="446" t="e">
        <f>IF(OR($B404="",MIN(X$38,$D$19)&lt;MAX($P$34*($B404+IF($R$17="Distrato",$I$38-1,0)),IF(AND($L$37=0,$P$34=0),"",$L$37-1),IF($R$17="Distrato",$E404,0))),0,YEARFRAC(MAX($P$34*($B404+IF($R$17="Distrato",$I$38-1,0)),IF(AND($L$37=0,$P$34=0),"",$L$37-1),IF($R$17="Distrato",$E404,0)),MIN(X$38,$D$19),$P$20))-SUM($P404:W404)</f>
        <v>#VALUE!</v>
      </c>
      <c r="Y404" s="446" t="e">
        <f>IF(OR($B404="",MIN(Y$38,$D$19)&lt;MAX($P$34*($B404+IF($R$17="Distrato",$I$38-1,0)),IF(AND($L$37=0,$P$34=0),"",$L$37-1),IF($R$17="Distrato",$E404,0))),0,YEARFRAC(MAX($P$34*($B404+IF($R$17="Distrato",$I$38-1,0)),IF(AND($L$37=0,$P$34=0),"",$L$37-1),IF($R$17="Distrato",$E404,0)),MIN(Y$38,$D$19),$P$20))-SUM($P404:X404)</f>
        <v>#VALUE!</v>
      </c>
      <c r="Z404" s="446" t="e">
        <f>IF(OR($B404="",MIN(Z$38,$D$19)&lt;MAX($P$34*($B404+IF($R$17="Distrato",$I$38-1,0)),IF(AND($L$37=0,$P$34=0),"",$L$37-1),IF($R$17="Distrato",$E404,0))),0,YEARFRAC(MAX($P$34*($B404+IF($R$17="Distrato",$I$38-1,0)),IF(AND($L$37=0,$P$34=0),"",$L$37-1),IF($R$17="Distrato",$E404,0)),MIN(Z$38,$D$19),$P$20))-SUM($P404:Y404)</f>
        <v>#VALUE!</v>
      </c>
      <c r="AA404" s="446" t="e">
        <f>IF(OR($B404="",MIN(AA$38,$D$19)&lt;MAX($P$34*($B404+IF($R$17="Distrato",$I$38-1,0)),IF(AND($L$37=0,$P$34=0),"",$L$37-1),IF($R$17="Distrato",$E404,0))),0,YEARFRAC(MAX($P$34*($B404+IF($R$17="Distrato",$I$38-1,0)),IF(AND($L$37=0,$P$34=0),"",$L$37-1),IF($R$17="Distrato",$E404,0)),MIN(AA$38,$D$19),$P$20))-SUM($P404:Z404)</f>
        <v>#VALUE!</v>
      </c>
      <c r="AB404" s="446" t="e">
        <f>IF(OR($B404="",MIN(AB$38,$D$19)&lt;MAX($P$34*($B404+IF($R$17="Distrato",$I$38-1,0)),IF(AND($L$37=0,$P$34=0),"",$L$37-1),IF($R$17="Distrato",$E404,0))),0,YEARFRAC(MAX($P$34*($B404+IF($R$17="Distrato",$I$38-1,0)),IF(AND($L$37=0,$P$34=0),"",$L$37-1),IF($R$17="Distrato",$E404,0)),MIN(AB$38,$D$19),$P$20))-SUM($P404:AA404)</f>
        <v>#VALUE!</v>
      </c>
      <c r="AC404" s="446" t="e">
        <f>IF(OR($B404="",MIN(AC$38,$D$19)&lt;MAX($P$34*($B404+IF($R$17="Distrato",$I$38-1,0)),IF(AND($L$37=0,$P$34=0),"",$L$37-1),IF($R$17="Distrato",$E404,0))),0,YEARFRAC(MAX($P$34*($B404+IF($R$17="Distrato",$I$38-1,0)),IF(AND($L$37=0,$P$34=0),"",$L$37-1),IF($R$17="Distrato",$E404,0)),MIN(AC$38,$D$19),$P$20))-SUM($P404:AB404)</f>
        <v>#VALUE!</v>
      </c>
      <c r="AD404" s="446" t="e">
        <f>IF(OR($B404="",MIN(AD$38,$D$19)&lt;MAX($P$34*($B404+IF($R$17="Distrato",$I$38-1,0)),IF(AND($L$37=0,$P$34=0),"",$L$37-1),IF($R$17="Distrato",$E404,0))),0,YEARFRAC(MAX($P$34*($B404+IF($R$17="Distrato",$I$38-1,0)),IF(AND($L$37=0,$P$34=0),"",$L$37-1),IF($R$17="Distrato",$E404,0)),MIN(AD$38,$D$19),$P$20))-SUM($P404:AC404)</f>
        <v>#VALUE!</v>
      </c>
      <c r="AE404" s="446" t="e">
        <f>IF(OR($B404="",MIN(AE$38,$D$19)&lt;MAX($P$34*($B404+IF($R$17="Distrato",$I$38-1,0)),IF(AND($L$37=0,$P$34=0),"",$L$37-1),IF($R$17="Distrato",$E404,0))),0,YEARFRAC(MAX($P$34*($B404+IF($R$17="Distrato",$I$38-1,0)),IF(AND($L$37=0,$P$34=0),"",$L$37-1),IF($R$17="Distrato",$E404,0)),MIN(AE$38,$D$19),$P$20))-SUM($P404:AD404)</f>
        <v>#VALUE!</v>
      </c>
      <c r="AF404" s="446" t="e">
        <f>IF(OR($B404="",MIN(AF$38,$D$19)&lt;MAX($P$34*($B404+IF($R$17="Distrato",$I$38-1,0)),IF(AND($L$37=0,$P$34=0),"",$L$37-1),IF($R$17="Distrato",$E404,0))),0,YEARFRAC(MAX($P$34*($B404+IF($R$17="Distrato",$I$38-1,0)),IF(AND($L$37=0,$P$34=0),"",$L$37-1),IF($R$17="Distrato",$E404,0)),MIN(AF$38,$D$19),$P$20))-SUM($P404:AE404)</f>
        <v>#VALUE!</v>
      </c>
      <c r="AG404" s="446" t="e">
        <f>IF(OR($B404="",MIN(AG$38,$D$19)&lt;MAX($P$34*($B404+IF($R$17="Distrato",$I$38-1,0)),IF(AND($L$37=0,$P$34=0),"",$L$37-1),IF($R$17="Distrato",$E404,0))),0,YEARFRAC(MAX($P$34*($B404+IF($R$17="Distrato",$I$38-1,0)),IF(AND($L$37=0,$P$34=0),"",$L$37-1),IF($R$17="Distrato",$E404,0)),MIN(AG$38,$D$19),$P$20))-SUM($P404:AF404)</f>
        <v>#VALUE!</v>
      </c>
      <c r="AH404" s="446" t="e">
        <f>IF(OR($B404="",MIN(AH$38,$D$19)&lt;MAX($P$34*($B404+IF($R$17="Distrato",$I$38-1,0)),IF(AND($L$37=0,$P$34=0),"",$L$37-1),IF($R$17="Distrato",$E404,0))),0,YEARFRAC(MAX($P$34*($B404+IF($R$17="Distrato",$I$38-1,0)),IF(AND($L$37=0,$P$34=0),"",$L$37-1),IF($R$17="Distrato",$E404,0)),MIN(AH$38,$D$19),$P$20))-SUM($P404:AG404)</f>
        <v>#VALUE!</v>
      </c>
      <c r="AI404" s="446" t="e">
        <f>IF(OR($B404="",MIN(AI$38,$D$19)&lt;MAX($P$34*($B404+IF($R$17="Distrato",$I$38-1,0)),IF(AND($L$37=0,$P$34=0),"",$L$37-1),IF($R$17="Distrato",$E404,0))),0,YEARFRAC(MAX($P$34*($B404+IF($R$17="Distrato",$I$38-1,0)),IF(AND($L$37=0,$P$34=0),"",$L$37-1),IF($R$17="Distrato",$E404,0)),MIN(AI$38,$D$19),$P$20))-SUM($P404:AH404)</f>
        <v>#VALUE!</v>
      </c>
      <c r="AJ404" s="446" t="e">
        <f>IF(OR($B404="",MIN(AJ$38,$D$19)&lt;MAX($P$34*($B404+IF($R$17="Distrato",$I$38-1,0)),IF(AND($L$37=0,$P$34=0),"",$L$37-1),IF($R$17="Distrato",$E404,0))),0,YEARFRAC(MAX($P$34*($B404+IF($R$17="Distrato",$I$38-1,0)),IF(AND($L$37=0,$P$34=0),"",$L$37-1),IF($R$17="Distrato",$E404,0)),MIN(AJ$38,$D$19),$P$20))-SUM($P404:AI404)</f>
        <v>#VALUE!</v>
      </c>
      <c r="AK404" s="446" t="e">
        <f>IF(OR($B404="",MIN(AK$38,$D$19)&lt;MAX($P$34*($B404+IF($R$17="Distrato",$I$38-1,0)),IF(AND($L$37=0,$P$34=0),"",$L$37-1),IF($R$17="Distrato",$E404,0))),0,YEARFRAC(MAX($P$34*($B404+IF($R$17="Distrato",$I$38-1,0)),IF(AND($L$37=0,$P$34=0),"",$L$37-1),IF($R$17="Distrato",$E404,0)),MIN(AK$38,$D$19),$P$20))-SUM($P404:AJ404)</f>
        <v>#VALUE!</v>
      </c>
      <c r="AL404" s="446" t="e">
        <f>IF(OR($B404="",MIN(AL$38,$D$19)&lt;MAX($P$34*($B404+IF($R$17="Distrato",$I$38-1,0)),IF(AND($L$37=0,$P$34=0),"",$L$37-1),IF($R$17="Distrato",$E404,0))),0,YEARFRAC(MAX($P$34*($B404+IF($R$17="Distrato",$I$38-1,0)),IF(AND($L$37=0,$P$34=0),"",$L$37-1),IF($R$17="Distrato",$E404,0)),MIN(AL$38,$D$19),$P$20))-SUM($P404:AK404)</f>
        <v>#VALUE!</v>
      </c>
      <c r="AM404" s="446" t="e">
        <f>IF(OR($B404="",MIN(AM$38,$D$19)&lt;MAX($P$34*($B404+IF($R$17="Distrato",$I$38-1,0)),IF(AND($L$37=0,$P$34=0),"",$L$37-1),IF($R$17="Distrato",$E404,0))),0,YEARFRAC(MAX($P$34*($B404+IF($R$17="Distrato",$I$38-1,0)),IF(AND($L$37=0,$P$34=0),"",$L$37-1),IF($R$17="Distrato",$E404,0)),MIN(AM$38,$D$19),$P$20))-SUM($P404:AL404)</f>
        <v>#VALUE!</v>
      </c>
      <c r="AN404" s="446" t="e">
        <f>IF(OR($B404="",MIN(AN$38,$D$19)&lt;MAX($P$34*($B404+IF($R$17="Distrato",$I$38-1,0)),IF(AND($L$37=0,$P$34=0),"",$L$37-1),IF($R$17="Distrato",$E404,0))),0,YEARFRAC(MAX($P$34*($B404+IF($R$17="Distrato",$I$38-1,0)),IF(AND($L$37=0,$P$34=0),"",$L$37-1),IF($R$17="Distrato",$E404,0)),MIN(AN$38,$D$19),$P$20))-SUM($P404:AM404)</f>
        <v>#VALUE!</v>
      </c>
      <c r="AO404" s="446" t="e">
        <f>IF(OR($B404="",MIN(AO$38,$D$19)&lt;MAX($P$34*($B404+IF($R$17="Distrato",$I$38-1,0)),IF(AND($L$37=0,$P$34=0),"",$L$37-1),IF($R$17="Distrato",$E404,0))),0,YEARFRAC(MAX($P$34*($B404+IF($R$17="Distrato",$I$38-1,0)),IF(AND($L$37=0,$P$34=0),"",$L$37-1),IF($R$17="Distrato",$E404,0)),MIN(AO$38,$D$19),$P$20))-SUM($P404:AN404)</f>
        <v>#VALUE!</v>
      </c>
      <c r="AP404" s="446" t="e">
        <f>IF(OR($B404="",MIN(AP$38,$D$19)&lt;MAX($P$34*($B404+IF($R$17="Distrato",$I$38-1,0)),IF(AND($L$37=0,$P$34=0),"",$L$37-1),IF($R$17="Distrato",$E404,0))),0,YEARFRAC(MAX($P$34*($B404+IF($R$17="Distrato",$I$38-1,0)),IF(AND($L$37=0,$P$34=0),"",$L$37-1),IF($R$17="Distrato",$E404,0)),MIN(AP$38,$D$19),$P$20))-SUM($P404:AO404)</f>
        <v>#VALUE!</v>
      </c>
      <c r="AQ404" s="446" t="e">
        <f>IF(OR($B404="",MIN(AQ$38,$D$19)&lt;MAX($P$34*($B404+IF($R$17="Distrato",$I$38-1,0)),IF(AND($L$37=0,$P$34=0),"",$L$37-1),IF($R$17="Distrato",$E404,0))),0,YEARFRAC(MAX($P$34*($B404+IF($R$17="Distrato",$I$38-1,0)),IF(AND($L$37=0,$P$34=0),"",$L$37-1),IF($R$17="Distrato",$E404,0)),MIN(AQ$38,$D$19),$P$20))-SUM($P404:AP404)</f>
        <v>#VALUE!</v>
      </c>
      <c r="AR404" s="446" t="e">
        <f>IF(OR($B404="",MIN(AR$38,$D$19)&lt;MAX($P$34*($B404+IF($R$17="Distrato",$I$38-1,0)),IF(AND($L$37=0,$P$34=0),"",$L$37-1),IF($R$17="Distrato",$E404,0))),0,YEARFRAC(MAX($P$34*($B404+IF($R$17="Distrato",$I$38-1,0)),IF(AND($L$37=0,$P$34=0),"",$L$37-1),IF($R$17="Distrato",$E404,0)),MIN(AR$38,$D$19),$P$20))-SUM($P404:AQ404)</f>
        <v>#VALUE!</v>
      </c>
      <c r="AS404" s="446" t="e">
        <f>IF(OR($B404="",MIN(AS$38,$D$19)&lt;MAX($P$34*($B404+IF($R$17="Distrato",$I$38-1,0)),IF(AND($L$37=0,$P$34=0),"",$L$37-1),IF($R$17="Distrato",$E404,0))),0,YEARFRAC(MAX($P$34*($B404+IF($R$17="Distrato",$I$38-1,0)),IF(AND($L$37=0,$P$34=0),"",$L$37-1),IF($R$17="Distrato",$E404,0)),MIN(AS$38,$D$19),$P$20))-SUM($P404:AR404)</f>
        <v>#VALUE!</v>
      </c>
      <c r="AT404" s="446" t="e">
        <f>IF(OR($B404="",MIN(AT$38,$D$19)&lt;MAX($P$34*($B404+IF($R$17="Distrato",$I$38-1,0)),IF(AND($L$37=0,$P$34=0),"",$L$37-1),IF($R$17="Distrato",$E404,0))),0,YEARFRAC(MAX($P$34*($B404+IF($R$17="Distrato",$I$38-1,0)),IF(AND($L$37=0,$P$34=0),"",$L$37-1),IF($R$17="Distrato",$E404,0)),MIN(AT$38,$D$19),$P$20))-SUM($P404:AS404)</f>
        <v>#VALUE!</v>
      </c>
      <c r="AU404" s="446" t="e">
        <f>IF(OR($B404="",MIN(AU$38,$D$19)&lt;MAX($P$34*($B404+IF($R$17="Distrato",$I$38-1,0)),IF(AND($L$37=0,$P$34=0),"",$L$37-1),IF($R$17="Distrato",$E404,0))),0,YEARFRAC(MAX($P$34*($B404+IF($R$17="Distrato",$I$38-1,0)),IF(AND($L$37=0,$P$34=0),"",$L$37-1),IF($R$17="Distrato",$E404,0)),MIN(AU$38,$D$19),$P$20))-SUM($P404:AT404)</f>
        <v>#VALUE!</v>
      </c>
      <c r="AV404" s="446" t="e">
        <f>IF(OR($B404="",MIN(AV$38,$D$19)&lt;MAX($P$34*($B404+IF($R$17="Distrato",$I$38-1,0)),IF(AND($L$37=0,$P$34=0),"",$L$37-1),IF($R$17="Distrato",$E404,0))),0,YEARFRAC(MAX($P$34*($B404+IF($R$17="Distrato",$I$38-1,0)),IF(AND($L$37=0,$P$34=0),"",$L$37-1),IF($R$17="Distrato",$E404,0)),MIN(AV$38,$D$19),$P$20))-SUM($P404:AU404)</f>
        <v>#VALUE!</v>
      </c>
      <c r="AW404" s="446" t="e">
        <f>IF(OR($B404="",MIN(AW$38,$D$19)&lt;MAX($P$34*($B404+IF($R$17="Distrato",$I$38-1,0)),IF(AND($L$37=0,$P$34=0),"",$L$37-1),IF($R$17="Distrato",$E404,0))),0,YEARFRAC(MAX($P$34*($B404+IF($R$17="Distrato",$I$38-1,0)),IF(AND($L$37=0,$P$34=0),"",$L$37-1),IF($R$17="Distrato",$E404,0)),MIN(AW$38,$D$19),$P$20))-SUM($P404:AV404)</f>
        <v>#VALUE!</v>
      </c>
      <c r="AX404" s="446" t="e">
        <f>IF(OR($B404="",MIN(AX$38,$D$19)&lt;MAX($P$34*($B404+IF($R$17="Distrato",$I$38-1,0)),IF(AND($L$37=0,$P$34=0),"",$L$37-1),IF($R$17="Distrato",$E404,0))),0,YEARFRAC(MAX($P$34*($B404+IF($R$17="Distrato",$I$38-1,0)),IF(AND($L$37=0,$P$34=0),"",$L$37-1),IF($R$17="Distrato",$E404,0)),MIN(AX$38,$D$19),$P$20))-SUM($P404:AW404)</f>
        <v>#VALUE!</v>
      </c>
      <c r="AY404" s="446" t="e">
        <f>IF(OR($B404="",MIN(AY$38,$D$19)&lt;MAX($P$34*($B404+IF($R$17="Distrato",$I$38-1,0)),IF(AND($L$37=0,$P$34=0),"",$L$37-1),IF($R$17="Distrato",$E404,0))),0,YEARFRAC(MAX($P$34*($B404+IF($R$17="Distrato",$I$38-1,0)),IF(AND($L$37=0,$P$34=0),"",$L$37-1),IF($R$17="Distrato",$E404,0)),MIN(AY$38,$D$19),$P$20))-SUM($P404:AX404)</f>
        <v>#VALUE!</v>
      </c>
      <c r="AZ404" s="446" t="e">
        <f>IF(OR($B404="",MIN(AZ$38,$D$19)&lt;MAX($P$34*($B404+IF($R$17="Distrato",$I$38-1,0)),IF(AND($L$37=0,$P$34=0),"",$L$37-1),IF($R$17="Distrato",$E404,0))),0,YEARFRAC(MAX($P$34*($B404+IF($R$17="Distrato",$I$38-1,0)),IF(AND($L$37=0,$P$34=0),"",$L$37-1),IF($R$17="Distrato",$E404,0)),MIN(AZ$38,$D$19),$P$20))-SUM($P404:AY404)</f>
        <v>#VALUE!</v>
      </c>
      <c r="BA404" s="446" t="e">
        <f>IF(OR($B404="",MIN(BA$38,$D$19)&lt;MAX($P$34*($B404+IF($R$17="Distrato",$I$38-1,0)),IF(AND($L$37=0,$P$34=0),"",$L$37-1),IF($R$17="Distrato",$E404,0))),0,YEARFRAC(MAX($P$34*($B404+IF($R$17="Distrato",$I$38-1,0)),IF(AND($L$37=0,$P$34=0),"",$L$37-1),IF($R$17="Distrato",$E404,0)),MIN(BA$38,$D$19),$P$20))-SUM($P404:AZ404)</f>
        <v>#VALUE!</v>
      </c>
      <c r="BB404" s="447"/>
      <c r="BF404" s="446">
        <f t="shared" si="65"/>
        <v>0</v>
      </c>
      <c r="BG404" s="446">
        <f>IF($E404=0,0,IF(MIN(BG$38,$E404)&lt;MAX($P$34*($B404+$I$38-1),IF(AND($L$37=0,$P$34=0),"",$L$37-1)),0,YEARFRAC(MAX($P$34*($B404+$I$38-1),IF(AND($L$37=0,$P$34=0),"",$L$37-1)),MIN(BG$38,$E404),$P$20))-SUM($BF404:BF404))</f>
        <v>0</v>
      </c>
      <c r="BH404" s="446">
        <f>IF($E404=0,0,IF(MIN(BH$38,$E404)&lt;MAX($P$34*($B404+$I$38-1),IF(AND($L$37=0,$P$34=0),"",$L$37-1)),0,YEARFRAC(MAX($P$34*($B404+$I$38-1),IF(AND($L$37=0,$P$34=0),"",$L$37-1)),MIN(BH$38,$E404),$P$20))-SUM($BF404:BG404))</f>
        <v>0</v>
      </c>
      <c r="BI404" s="446">
        <f>IF($E404=0,0,IF(MIN(BI$38,$E404)&lt;MAX($P$34*($B404+$I$38-1),IF(AND($L$37=0,$P$34=0),"",$L$37-1)),0,YEARFRAC(MAX($P$34*($B404+$I$38-1),IF(AND($L$37=0,$P$34=0),"",$L$37-1)),MIN(BI$38,$E404),$P$20))-SUM($BF404:BH404))</f>
        <v>0</v>
      </c>
      <c r="BJ404" s="446">
        <f>IF($E404=0,0,IF(MIN(BJ$38,$E404)&lt;MAX($P$34*($B404+$I$38-1),IF(AND($L$37=0,$P$34=0),"",$L$37-1)),0,YEARFRAC(MAX($P$34*($B404+$I$38-1),IF(AND($L$37=0,$P$34=0),"",$L$37-1)),MIN(BJ$38,$E404),$P$20))-SUM($BF404:BI404))</f>
        <v>0</v>
      </c>
      <c r="BK404" s="446">
        <f>IF($E404=0,0,IF(MIN(BK$38,$E404)&lt;MAX($P$34*($B404+$I$38-1),IF(AND($L$37=0,$P$34=0),"",$L$37-1)),0,YEARFRAC(MAX($P$34*($B404+$I$38-1),IF(AND($L$37=0,$P$34=0),"",$L$37-1)),MIN(BK$38,$E404),$P$20))-SUM($BF404:BJ404))</f>
        <v>0</v>
      </c>
      <c r="BL404" s="446">
        <f>IF($E404=0,0,IF(MIN(BL$38,$E404)&lt;MAX($P$34*($B404+$I$38-1),IF(AND($L$37=0,$P$34=0),"",$L$37-1)),0,YEARFRAC(MAX($P$34*($B404+$I$38-1),IF(AND($L$37=0,$P$34=0),"",$L$37-1)),MIN(BL$38,$E404),$P$20))-SUM($BF404:BK404))</f>
        <v>0</v>
      </c>
      <c r="BM404" s="446">
        <f>IF($E404=0,0,IF(MIN(BM$38,$E404)&lt;MAX($P$34*($B404+$I$38-1),IF(AND($L$37=0,$P$34=0),"",$L$37-1)),0,YEARFRAC(MAX($P$34*($B404+$I$38-1),IF(AND($L$37=0,$P$34=0),"",$L$37-1)),MIN(BM$38,$E404),$P$20))-SUM($BF404:BL404))</f>
        <v>0</v>
      </c>
      <c r="BN404" s="446">
        <f>IF($E404=0,0,IF(MIN(BN$38,$E404)&lt;MAX($P$34*($B404+$I$38-1),IF(AND($L$37=0,$P$34=0),"",$L$37-1)),0,YEARFRAC(MAX($P$34*($B404+$I$38-1),IF(AND($L$37=0,$P$34=0),"",$L$37-1)),MIN(BN$38,$E404),$P$20))-SUM($BF404:BM404))</f>
        <v>0</v>
      </c>
      <c r="BO404" s="446">
        <f>IF($E404=0,0,IF(MIN(BO$38,$E404)&lt;MAX($P$34*($B404+$I$38-1),IF(AND($L$37=0,$P$34=0),"",$L$37-1)),0,YEARFRAC(MAX($P$34*($B404+$I$38-1),IF(AND($L$37=0,$P$34=0),"",$L$37-1)),MIN(BO$38,$E404),$P$20))-SUM($BF404:BN404))</f>
        <v>0</v>
      </c>
      <c r="BP404" s="446">
        <f>IF($E404=0,0,IF(MIN(BP$38,$E404)&lt;MAX($P$34*($B404+$I$38-1),IF(AND($L$37=0,$P$34=0),"",$L$37-1)),0,YEARFRAC(MAX($P$34*($B404+$I$38-1),IF(AND($L$37=0,$P$34=0),"",$L$37-1)),MIN(BP$38,$E404),$P$20))-SUM($BF404:BO404))</f>
        <v>0</v>
      </c>
      <c r="BQ404" s="446">
        <f>IF($E404=0,0,IF(MIN(BQ$38,$E404)&lt;MAX($P$34*($B404+$I$38-1),IF(AND($L$37=0,$P$34=0),"",$L$37-1)),0,YEARFRAC(MAX($P$34*($B404+$I$38-1),IF(AND($L$37=0,$P$34=0),"",$L$37-1)),MIN(BQ$38,$E404),$P$20))-SUM($BF404:BP404))</f>
        <v>0</v>
      </c>
      <c r="BR404" s="446">
        <f>IF($E404=0,0,IF(MIN(BR$38,$E404)&lt;MAX($P$34*($B404+$I$38-1),IF(AND($L$37=0,$P$34=0),"",$L$37-1)),0,YEARFRAC(MAX($P$34*($B404+$I$38-1),IF(AND($L$37=0,$P$34=0),"",$L$37-1)),MIN(BR$38,$E404),$P$20))-SUM($BF404:BQ404))</f>
        <v>0</v>
      </c>
      <c r="BS404" s="446">
        <f>IF($E404=0,0,IF(MIN(BS$38,$E404)&lt;MAX($P$34*($B404+$I$38-1),IF(AND($L$37=0,$P$34=0),"",$L$37-1)),0,YEARFRAC(MAX($P$34*($B404+$I$38-1),IF(AND($L$37=0,$P$34=0),"",$L$37-1)),MIN(BS$38,$E404),$P$20))-SUM($BF404:BR404))</f>
        <v>0</v>
      </c>
      <c r="BT404" s="446">
        <f>IF($E404=0,0,IF(MIN(BT$38,$E404)&lt;MAX($P$34*($B404+$I$38-1),IF(AND($L$37=0,$P$34=0),"",$L$37-1)),0,YEARFRAC(MAX($P$34*($B404+$I$38-1),IF(AND($L$37=0,$P$34=0),"",$L$37-1)),MIN(BT$38,$E404),$P$20))-SUM($BF404:BS404))</f>
        <v>0</v>
      </c>
      <c r="BU404" s="446">
        <f>IF($E404=0,0,IF(MIN(BU$38,$E404)&lt;MAX($P$34*($B404+$I$38-1),IF(AND($L$37=0,$P$34=0),"",$L$37-1)),0,YEARFRAC(MAX($P$34*($B404+$I$38-1),IF(AND($L$37=0,$P$34=0),"",$L$37-1)),MIN(BU$38,$E404),$P$20))-SUM($BF404:BT404))</f>
        <v>0</v>
      </c>
      <c r="BV404" s="446">
        <f>IF($E404=0,0,IF(MIN(BV$38,$E404)&lt;MAX($P$34*($B404+$I$38-1),IF(AND($L$37=0,$P$34=0),"",$L$37-1)),0,YEARFRAC(MAX($P$34*($B404+$I$38-1),IF(AND($L$37=0,$P$34=0),"",$L$37-1)),MIN(BV$38,$E404),$P$20))-SUM($BF404:BU404))</f>
        <v>0</v>
      </c>
      <c r="BW404" s="446">
        <f>IF($E404=0,0,IF(MIN(BW$38,$E404)&lt;MAX($P$34*($B404+$I$38-1),IF(AND($L$37=0,$P$34=0),"",$L$37-1)),0,YEARFRAC(MAX($P$34*($B404+$I$38-1),IF(AND($L$37=0,$P$34=0),"",$L$37-1)),MIN(BW$38,$E404),$P$20))-SUM($BF404:BV404))</f>
        <v>0</v>
      </c>
      <c r="BX404" s="446">
        <f>IF($E404=0,0,IF(MIN(BX$38,$E404)&lt;MAX($P$34*($B404+$I$38-1),IF(AND($L$37=0,$P$34=0),"",$L$37-1)),0,YEARFRAC(MAX($P$34*($B404+$I$38-1),IF(AND($L$37=0,$P$34=0),"",$L$37-1)),MIN(BX$38,$E404),$P$20))-SUM($BF404:BW404))</f>
        <v>0</v>
      </c>
      <c r="BY404" s="446">
        <f>IF($E404=0,0,IF(MIN(BY$38,$E404)&lt;MAX($P$34*($B404+$I$38-1),IF(AND($L$37=0,$P$34=0),"",$L$37-1)),0,YEARFRAC(MAX($P$34*($B404+$I$38-1),IF(AND($L$37=0,$P$34=0),"",$L$37-1)),MIN(BY$38,$E404),$P$20))-SUM($BF404:BX404))</f>
        <v>0</v>
      </c>
      <c r="BZ404" s="446">
        <f>IF($E404=0,0,IF(MIN(BZ$38,$E404)&lt;MAX($P$34*($B404+$I$38-1),IF(AND($L$37=0,$P$34=0),"",$L$37-1)),0,YEARFRAC(MAX($P$34*($B404+$I$38-1),IF(AND($L$37=0,$P$34=0),"",$L$37-1)),MIN(BZ$38,$E404),$P$20))-SUM($BF404:BY404))</f>
        <v>0</v>
      </c>
      <c r="CA404" s="446">
        <f>IF($E404=0,0,IF(MIN(CA$38,$E404)&lt;MAX($P$34*($B404+$I$38-1),IF(AND($L$37=0,$P$34=0),"",$L$37-1)),0,YEARFRAC(MAX($P$34*($B404+$I$38-1),IF(AND($L$37=0,$P$34=0),"",$L$37-1)),MIN(CA$38,$E404),$P$20))-SUM($BF404:BZ404))</f>
        <v>0</v>
      </c>
      <c r="CB404" s="446">
        <f>IF($E404=0,0,IF(MIN(CB$38,$E404)&lt;MAX($P$34*($B404+$I$38-1),IF(AND($L$37=0,$P$34=0),"",$L$37-1)),0,YEARFRAC(MAX($P$34*($B404+$I$38-1),IF(AND($L$37=0,$P$34=0),"",$L$37-1)),MIN(CB$38,$E404),$P$20))-SUM($BF404:CA404))</f>
        <v>0</v>
      </c>
      <c r="CC404" s="446">
        <f>IF($E404=0,0,IF(MIN(CC$38,$E404)&lt;MAX($P$34*($B404+$I$38-1),IF(AND($L$37=0,$P$34=0),"",$L$37-1)),0,YEARFRAC(MAX($P$34*($B404+$I$38-1),IF(AND($L$37=0,$P$34=0),"",$L$37-1)),MIN(CC$38,$E404),$P$20))-SUM($BF404:CB404))</f>
        <v>0</v>
      </c>
      <c r="CD404" s="446">
        <f>IF($E404=0,0,IF(MIN(CD$38,$E404)&lt;MAX($P$34*($B404+$I$38-1),IF(AND($L$37=0,$P$34=0),"",$L$37-1)),0,YEARFRAC(MAX($P$34*($B404+$I$38-1),IF(AND($L$37=0,$P$34=0),"",$L$37-1)),MIN(CD$38,$E404),$P$20))-SUM($BF404:CC404))</f>
        <v>0</v>
      </c>
      <c r="CE404" s="446">
        <f>IF($E404=0,0,IF(MIN(CE$38,$E404)&lt;MAX($P$34*($B404+$I$38-1),IF(AND($L$37=0,$P$34=0),"",$L$37-1)),0,YEARFRAC(MAX($P$34*($B404+$I$38-1),IF(AND($L$37=0,$P$34=0),"",$L$37-1)),MIN(CE$38,$E404),$P$20))-SUM($BF404:CD404))</f>
        <v>0</v>
      </c>
      <c r="CF404" s="446">
        <f>IF($E404=0,0,IF(MIN(CF$38,$E404)&lt;MAX($P$34*($B404+$I$38-1),IF(AND($L$37=0,$P$34=0),"",$L$37-1)),0,YEARFRAC(MAX($P$34*($B404+$I$38-1),IF(AND($L$37=0,$P$34=0),"",$L$37-1)),MIN(CF$38,$E404),$P$20))-SUM($BF404:CE404))</f>
        <v>0</v>
      </c>
      <c r="CG404" s="446">
        <f>IF($E404=0,0,IF(MIN(CG$38,$E404)&lt;MAX($P$34*($B404+$I$38-1),IF(AND($L$37=0,$P$34=0),"",$L$37-1)),0,YEARFRAC(MAX($P$34*($B404+$I$38-1),IF(AND($L$37=0,$P$34=0),"",$L$37-1)),MIN(CG$38,$E404),$P$20))-SUM($BF404:CF404))</f>
        <v>0</v>
      </c>
      <c r="CH404" s="446">
        <f>IF($E404=0,0,IF(MIN(CH$38,$E404)&lt;MAX($P$34*($B404+$I$38-1),IF(AND($L$37=0,$P$34=0),"",$L$37-1)),0,YEARFRAC(MAX($P$34*($B404+$I$38-1),IF(AND($L$37=0,$P$34=0),"",$L$37-1)),MIN(CH$38,$E404),$P$20))-SUM($BF404:CG404))</f>
        <v>0</v>
      </c>
      <c r="CI404" s="446">
        <f>IF($E404=0,0,IF(MIN(CI$38,$E404)&lt;MAX($P$34*($B404+$I$38-1),IF(AND($L$37=0,$P$34=0),"",$L$37-1)),0,YEARFRAC(MAX($P$34*($B404+$I$38-1),IF(AND($L$37=0,$P$34=0),"",$L$37-1)),MIN(CI$38,$E404),$P$20))-SUM($BF404:CH404))</f>
        <v>0</v>
      </c>
      <c r="CJ404" s="446">
        <f>IF($E404=0,0,IF(MIN(CJ$38,$E404)&lt;MAX($P$34*($B404+$I$38-1),IF(AND($L$37=0,$P$34=0),"",$L$37-1)),0,YEARFRAC(MAX($P$34*($B404+$I$38-1),IF(AND($L$37=0,$P$34=0),"",$L$37-1)),MIN(CJ$38,$E404),$P$20))-SUM($BF404:CI404))</f>
        <v>0</v>
      </c>
      <c r="CK404" s="446">
        <f>IF($E404=0,0,IF(MIN(CK$38,$E404)&lt;MAX($P$34*($B404+$I$38-1),IF(AND($L$37=0,$P$34=0),"",$L$37-1)),0,YEARFRAC(MAX($P$34*($B404+$I$38-1),IF(AND($L$37=0,$P$34=0),"",$L$37-1)),MIN(CK$38,$E404),$P$20))-SUM($BF404:CJ404))</f>
        <v>0</v>
      </c>
      <c r="CL404" s="446">
        <f>IF($E404=0,0,IF(MIN(CL$38,$E404)&lt;MAX($P$34*($B404+$I$38-1),IF(AND($L$37=0,$P$34=0),"",$L$37-1)),0,YEARFRAC(MAX($P$34*($B404+$I$38-1),IF(AND($L$37=0,$P$34=0),"",$L$37-1)),MIN(CL$38,$E404),$P$20))-SUM($BF404:CK404))</f>
        <v>0</v>
      </c>
      <c r="CM404" s="446">
        <f>IF($E404=0,0,IF(MIN(CM$38,$E404)&lt;MAX($P$34*($B404+$I$38-1),IF(AND($L$37=0,$P$34=0),"",$L$37-1)),0,YEARFRAC(MAX($P$34*($B404+$I$38-1),IF(AND($L$37=0,$P$34=0),"",$L$37-1)),MIN(CM$38,$E404),$P$20))-SUM($BF404:CL404))</f>
        <v>0</v>
      </c>
      <c r="CN404" s="446">
        <f>IF($E404=0,0,IF(MIN(CN$38,$E404)&lt;MAX($P$34*($B404+$I$38-1),IF(AND($L$37=0,$P$34=0),"",$L$37-1)),0,YEARFRAC(MAX($P$34*($B404+$I$38-1),IF(AND($L$37=0,$P$34=0),"",$L$37-1)),MIN(CN$38,$E404),$P$20))-SUM($BF404:CM404))</f>
        <v>0</v>
      </c>
      <c r="CO404" s="446">
        <f>IF($E404=0,0,IF(MIN(CO$38,$E404)&lt;MAX($P$34*($B404+$I$38-1),IF(AND($L$37=0,$P$34=0),"",$L$37-1)),0,YEARFRAC(MAX($P$34*($B404+$I$38-1),IF(AND($L$37=0,$P$34=0),"",$L$37-1)),MIN(CO$38,$E404),$P$20))-SUM($BF404:CN404))</f>
        <v>0</v>
      </c>
      <c r="CP404" s="446">
        <f>IF($E404=0,0,IF(MIN(CP$38,$E404)&lt;MAX($P$34*($B404+$I$38-1),IF(AND($L$37=0,$P$34=0),"",$L$37-1)),0,YEARFRAC(MAX($P$34*($B404+$I$38-1),IF(AND($L$37=0,$P$34=0),"",$L$37-1)),MIN(CP$38,$E404),$P$20))-SUM($BF404:CO404))</f>
        <v>0</v>
      </c>
      <c r="CQ404" s="446">
        <f>IF($E404=0,0,IF(MIN(CQ$38,$E404)&lt;MAX($P$34*($B404+$I$38-1),IF(AND($L$37=0,$P$34=0),"",$L$37-1)),0,YEARFRAC(MAX($P$34*($B404+$I$38-1),IF(AND($L$37=0,$P$34=0),"",$L$37-1)),MIN(CQ$38,$E404),$P$20))-SUM($BF404:CP404))</f>
        <v>0</v>
      </c>
    </row>
    <row r="405" spans="1:95" s="446" customFormat="1" ht="11.25" hidden="1" customHeight="1" x14ac:dyDescent="0.2">
      <c r="A405" s="152"/>
      <c r="B405" s="153" t="str">
        <f t="shared" si="70"/>
        <v/>
      </c>
      <c r="C405" s="29" t="str">
        <f>IF(B405="","",IF($L$35="SELIC - TRIBUTOS",VLOOKUP(DATE(YEAR($D$19),MONTH($D$19)-1,1),ÍNDICES!$A:$DE,HLOOKUP($BL$25,ÍNDICES!$B$3:$T$4,2)+11)-VLOOKUP(B405,ÍNDICES!$A:$DE,HLOOKUP($BL$25,ÍNDICES!$B$3:$T$4,2)+11)+1%,IF(C$38=$W$26,$J$35,IF(ISERROR(IF(B405&gt;$D$19,1,VLOOKUP(DATE(YEAR(B405),MONTH(B405)+IF($C$35=$S$23,1,0),1),ÍNDICES!$A:$DE,$Z$35+1))),"",IF(B405&gt;$D$19,1,VLOOKUP(DATE(YEAR(B405),MONTH(B405)+IF($C$35=$S$23,1,0),1),ÍNDICES!$A:$DE,$Z$35+1))))))</f>
        <v/>
      </c>
      <c r="D405" s="154" t="str">
        <f>IF(ISERROR(IF(OR($D$38=$Y$27,$B405=""),"",VLOOKUP(B405,ÍNDICES!A:DE,AF$35+1))),"",IF(OR($D$38=$Y$27,$B405=""),"",VLOOKUP(B405,ÍNDICES!A:DE,AF$35+1)))</f>
        <v/>
      </c>
      <c r="E405" s="153"/>
      <c r="F405" s="29" t="str">
        <f>IF(E405="","",IF($L$35="SELIC - TRIBUTOS",VLOOKUP(DATE(YEAR($D$19),MONTH($D$19)-1,1),ÍNDICES!$A:$DE,HLOOKUP($BL$25,ÍNDICES!$B$3:$T$4,2)+11)-VLOOKUP(E405,ÍNDICES!$A:$DE,HLOOKUP($BL$25,ÍNDICES!$B$3:$T$4,2)+11)+1%,IF(F$38=$W$26,$J$35,IF(ISERROR(IF(E405&gt;$D$19,1,VLOOKUP(DATE(YEAR(E405),MONTH(E405)+IF($C$35=$S$23,1,0),1),ÍNDICES!$A:$DE,$Z$35+1))),"",IF(E405&gt;$D$19,1,VLOOKUP(DATE(YEAR(E405),MONTH(E405)+IF($C$35=$S$23,1,0),1),ÍNDICES!$A:$DE,$Z$35+1))))))</f>
        <v/>
      </c>
      <c r="G405" s="155"/>
      <c r="H405" s="156" t="str">
        <f t="shared" si="66"/>
        <v/>
      </c>
      <c r="I405" s="29" t="str">
        <f t="shared" si="60"/>
        <v/>
      </c>
      <c r="J405" s="5">
        <f t="shared" si="61"/>
        <v>0</v>
      </c>
      <c r="K405" s="20">
        <f t="shared" ca="1" si="62"/>
        <v>0</v>
      </c>
      <c r="L405" s="5">
        <f t="shared" ca="1" si="63"/>
        <v>0</v>
      </c>
      <c r="M405" s="64">
        <f t="shared" si="67"/>
        <v>0</v>
      </c>
      <c r="N405" s="61">
        <f t="shared" ca="1" si="68"/>
        <v>0</v>
      </c>
      <c r="O405" s="5">
        <f t="shared" ca="1" si="69"/>
        <v>0</v>
      </c>
      <c r="P405" s="446" t="e">
        <f t="shared" si="64"/>
        <v>#VALUE!</v>
      </c>
      <c r="Q405" s="446" t="e">
        <f>IF(OR($B405="",MIN(Q$38,$D$19)&lt;MAX($P$34*($B405+IF($R$17="Distrato",$I$38-1,0)),IF(AND($L$37=0,$P$34=0),"",$L$37-1),IF($R$17="Distrato",$E405,0))),0,YEARFRAC(MAX($P$34*($B405+IF($R$17="Distrato",$I$38-1,0)),IF(AND($L$37=0,$P$34=0),"",$L$37-1),IF($R$17="Distrato",$E405,0)),MIN(Q$38,$D$19),$P$20))-SUM($P405:P405)</f>
        <v>#VALUE!</v>
      </c>
      <c r="R405" s="446" t="e">
        <f>IF(OR($B405="",MIN(R$38,$D$19)&lt;MAX($P$34*($B405+IF($R$17="Distrato",$I$38-1,0)),IF(AND($L$37=0,$P$34=0),"",$L$37-1),IF($R$17="Distrato",$E405,0))),0,YEARFRAC(MAX($P$34*($B405+IF($R$17="Distrato",$I$38-1,0)),IF(AND($L$37=0,$P$34=0),"",$L$37-1),IF($R$17="Distrato",$E405,0)),MIN(R$38,$D$19),$P$20))-SUM($P405:Q405)</f>
        <v>#VALUE!</v>
      </c>
      <c r="S405" s="446" t="e">
        <f>IF(OR($B405="",MIN(S$38,$D$19)&lt;MAX($P$34*($B405+IF($R$17="Distrato",$I$38-1,0)),IF(AND($L$37=0,$P$34=0),"",$L$37-1),IF($R$17="Distrato",$E405,0))),0,YEARFRAC(MAX($P$34*($B405+IF($R$17="Distrato",$I$38-1,0)),IF(AND($L$37=0,$P$34=0),"",$L$37-1),IF($R$17="Distrato",$E405,0)),MIN(S$38,$D$19),$P$20))-SUM($P405:R405)</f>
        <v>#VALUE!</v>
      </c>
      <c r="T405" s="446" t="e">
        <f>IF(OR($B405="",MIN(T$38,$D$19)&lt;MAX($P$34*($B405+IF($R$17="Distrato",$I$38-1,0)),IF(AND($L$37=0,$P$34=0),"",$L$37-1),IF($R$17="Distrato",$E405,0))),0,YEARFRAC(MAX($P$34*($B405+IF($R$17="Distrato",$I$38-1,0)),IF(AND($L$37=0,$P$34=0),"",$L$37-1),IF($R$17="Distrato",$E405,0)),MIN(T$38,$D$19),$P$20))-SUM($P405:S405)</f>
        <v>#VALUE!</v>
      </c>
      <c r="U405" s="446" t="e">
        <f>IF(OR($B405="",MIN(U$38,$D$19)&lt;MAX($P$34*($B405+IF($R$17="Distrato",$I$38-1,0)),IF(AND($L$37=0,$P$34=0),"",$L$37-1),IF($R$17="Distrato",$E405,0))),0,YEARFRAC(MAX($P$34*($B405+IF($R$17="Distrato",$I$38-1,0)),IF(AND($L$37=0,$P$34=0),"",$L$37-1),IF($R$17="Distrato",$E405,0)),MIN(U$38,$D$19),$P$20))-SUM($P405:T405)</f>
        <v>#VALUE!</v>
      </c>
      <c r="V405" s="446" t="e">
        <f>IF(OR($B405="",MIN(V$38,$D$19)&lt;MAX($P$34*($B405+IF($R$17="Distrato",$I$38-1,0)),IF(AND($L$37=0,$P$34=0),"",$L$37-1),IF($R$17="Distrato",$E405,0))),0,YEARFRAC(MAX($P$34*($B405+IF($R$17="Distrato",$I$38-1,0)),IF(AND($L$37=0,$P$34=0),"",$L$37-1),IF($R$17="Distrato",$E405,0)),MIN(V$38,$D$19),$P$20))-SUM($P405:U405)</f>
        <v>#VALUE!</v>
      </c>
      <c r="W405" s="446" t="e">
        <f>IF(OR($B405="",MIN(W$38,$D$19)&lt;MAX($P$34*($B405+IF($R$17="Distrato",$I$38-1,0)),IF(AND($L$37=0,$P$34=0),"",$L$37-1),IF($R$17="Distrato",$E405,0))),0,YEARFRAC(MAX($P$34*($B405+IF($R$17="Distrato",$I$38-1,0)),IF(AND($L$37=0,$P$34=0),"",$L$37-1),IF($R$17="Distrato",$E405,0)),MIN(W$38,$D$19),$P$20))-SUM($P405:V405)</f>
        <v>#VALUE!</v>
      </c>
      <c r="X405" s="446" t="e">
        <f>IF(OR($B405="",MIN(X$38,$D$19)&lt;MAX($P$34*($B405+IF($R$17="Distrato",$I$38-1,0)),IF(AND($L$37=0,$P$34=0),"",$L$37-1),IF($R$17="Distrato",$E405,0))),0,YEARFRAC(MAX($P$34*($B405+IF($R$17="Distrato",$I$38-1,0)),IF(AND($L$37=0,$P$34=0),"",$L$37-1),IF($R$17="Distrato",$E405,0)),MIN(X$38,$D$19),$P$20))-SUM($P405:W405)</f>
        <v>#VALUE!</v>
      </c>
      <c r="Y405" s="446" t="e">
        <f>IF(OR($B405="",MIN(Y$38,$D$19)&lt;MAX($P$34*($B405+IF($R$17="Distrato",$I$38-1,0)),IF(AND($L$37=0,$P$34=0),"",$L$37-1),IF($R$17="Distrato",$E405,0))),0,YEARFRAC(MAX($P$34*($B405+IF($R$17="Distrato",$I$38-1,0)),IF(AND($L$37=0,$P$34=0),"",$L$37-1),IF($R$17="Distrato",$E405,0)),MIN(Y$38,$D$19),$P$20))-SUM($P405:X405)</f>
        <v>#VALUE!</v>
      </c>
      <c r="Z405" s="446" t="e">
        <f>IF(OR($B405="",MIN(Z$38,$D$19)&lt;MAX($P$34*($B405+IF($R$17="Distrato",$I$38-1,0)),IF(AND($L$37=0,$P$34=0),"",$L$37-1),IF($R$17="Distrato",$E405,0))),0,YEARFRAC(MAX($P$34*($B405+IF($R$17="Distrato",$I$38-1,0)),IF(AND($L$37=0,$P$34=0),"",$L$37-1),IF($R$17="Distrato",$E405,0)),MIN(Z$38,$D$19),$P$20))-SUM($P405:Y405)</f>
        <v>#VALUE!</v>
      </c>
      <c r="AA405" s="446" t="e">
        <f>IF(OR($B405="",MIN(AA$38,$D$19)&lt;MAX($P$34*($B405+IF($R$17="Distrato",$I$38-1,0)),IF(AND($L$37=0,$P$34=0),"",$L$37-1),IF($R$17="Distrato",$E405,0))),0,YEARFRAC(MAX($P$34*($B405+IF($R$17="Distrato",$I$38-1,0)),IF(AND($L$37=0,$P$34=0),"",$L$37-1),IF($R$17="Distrato",$E405,0)),MIN(AA$38,$D$19),$P$20))-SUM($P405:Z405)</f>
        <v>#VALUE!</v>
      </c>
      <c r="AB405" s="446" t="e">
        <f>IF(OR($B405="",MIN(AB$38,$D$19)&lt;MAX($P$34*($B405+IF($R$17="Distrato",$I$38-1,0)),IF(AND($L$37=0,$P$34=0),"",$L$37-1),IF($R$17="Distrato",$E405,0))),0,YEARFRAC(MAX($P$34*($B405+IF($R$17="Distrato",$I$38-1,0)),IF(AND($L$37=0,$P$34=0),"",$L$37-1),IF($R$17="Distrato",$E405,0)),MIN(AB$38,$D$19),$P$20))-SUM($P405:AA405)</f>
        <v>#VALUE!</v>
      </c>
      <c r="AC405" s="446" t="e">
        <f>IF(OR($B405="",MIN(AC$38,$D$19)&lt;MAX($P$34*($B405+IF($R$17="Distrato",$I$38-1,0)),IF(AND($L$37=0,$P$34=0),"",$L$37-1),IF($R$17="Distrato",$E405,0))),0,YEARFRAC(MAX($P$34*($B405+IF($R$17="Distrato",$I$38-1,0)),IF(AND($L$37=0,$P$34=0),"",$L$37-1),IF($R$17="Distrato",$E405,0)),MIN(AC$38,$D$19),$P$20))-SUM($P405:AB405)</f>
        <v>#VALUE!</v>
      </c>
      <c r="AD405" s="446" t="e">
        <f>IF(OR($B405="",MIN(AD$38,$D$19)&lt;MAX($P$34*($B405+IF($R$17="Distrato",$I$38-1,0)),IF(AND($L$37=0,$P$34=0),"",$L$37-1),IF($R$17="Distrato",$E405,0))),0,YEARFRAC(MAX($P$34*($B405+IF($R$17="Distrato",$I$38-1,0)),IF(AND($L$37=0,$P$34=0),"",$L$37-1),IF($R$17="Distrato",$E405,0)),MIN(AD$38,$D$19),$P$20))-SUM($P405:AC405)</f>
        <v>#VALUE!</v>
      </c>
      <c r="AE405" s="446" t="e">
        <f>IF(OR($B405="",MIN(AE$38,$D$19)&lt;MAX($P$34*($B405+IF($R$17="Distrato",$I$38-1,0)),IF(AND($L$37=0,$P$34=0),"",$L$37-1),IF($R$17="Distrato",$E405,0))),0,YEARFRAC(MAX($P$34*($B405+IF($R$17="Distrato",$I$38-1,0)),IF(AND($L$37=0,$P$34=0),"",$L$37-1),IF($R$17="Distrato",$E405,0)),MIN(AE$38,$D$19),$P$20))-SUM($P405:AD405)</f>
        <v>#VALUE!</v>
      </c>
      <c r="AF405" s="446" t="e">
        <f>IF(OR($B405="",MIN(AF$38,$D$19)&lt;MAX($P$34*($B405+IF($R$17="Distrato",$I$38-1,0)),IF(AND($L$37=0,$P$34=0),"",$L$37-1),IF($R$17="Distrato",$E405,0))),0,YEARFRAC(MAX($P$34*($B405+IF($R$17="Distrato",$I$38-1,0)),IF(AND($L$37=0,$P$34=0),"",$L$37-1),IF($R$17="Distrato",$E405,0)),MIN(AF$38,$D$19),$P$20))-SUM($P405:AE405)</f>
        <v>#VALUE!</v>
      </c>
      <c r="AG405" s="446" t="e">
        <f>IF(OR($B405="",MIN(AG$38,$D$19)&lt;MAX($P$34*($B405+IF($R$17="Distrato",$I$38-1,0)),IF(AND($L$37=0,$P$34=0),"",$L$37-1),IF($R$17="Distrato",$E405,0))),0,YEARFRAC(MAX($P$34*($B405+IF($R$17="Distrato",$I$38-1,0)),IF(AND($L$37=0,$P$34=0),"",$L$37-1),IF($R$17="Distrato",$E405,0)),MIN(AG$38,$D$19),$P$20))-SUM($P405:AF405)</f>
        <v>#VALUE!</v>
      </c>
      <c r="AH405" s="446" t="e">
        <f>IF(OR($B405="",MIN(AH$38,$D$19)&lt;MAX($P$34*($B405+IF($R$17="Distrato",$I$38-1,0)),IF(AND($L$37=0,$P$34=0),"",$L$37-1),IF($R$17="Distrato",$E405,0))),0,YEARFRAC(MAX($P$34*($B405+IF($R$17="Distrato",$I$38-1,0)),IF(AND($L$37=0,$P$34=0),"",$L$37-1),IF($R$17="Distrato",$E405,0)),MIN(AH$38,$D$19),$P$20))-SUM($P405:AG405)</f>
        <v>#VALUE!</v>
      </c>
      <c r="AI405" s="446" t="e">
        <f>IF(OR($B405="",MIN(AI$38,$D$19)&lt;MAX($P$34*($B405+IF($R$17="Distrato",$I$38-1,0)),IF(AND($L$37=0,$P$34=0),"",$L$37-1),IF($R$17="Distrato",$E405,0))),0,YEARFRAC(MAX($P$34*($B405+IF($R$17="Distrato",$I$38-1,0)),IF(AND($L$37=0,$P$34=0),"",$L$37-1),IF($R$17="Distrato",$E405,0)),MIN(AI$38,$D$19),$P$20))-SUM($P405:AH405)</f>
        <v>#VALUE!</v>
      </c>
      <c r="AJ405" s="446" t="e">
        <f>IF(OR($B405="",MIN(AJ$38,$D$19)&lt;MAX($P$34*($B405+IF($R$17="Distrato",$I$38-1,0)),IF(AND($L$37=0,$P$34=0),"",$L$37-1),IF($R$17="Distrato",$E405,0))),0,YEARFRAC(MAX($P$34*($B405+IF($R$17="Distrato",$I$38-1,0)),IF(AND($L$37=0,$P$34=0),"",$L$37-1),IF($R$17="Distrato",$E405,0)),MIN(AJ$38,$D$19),$P$20))-SUM($P405:AI405)</f>
        <v>#VALUE!</v>
      </c>
      <c r="AK405" s="446" t="e">
        <f>IF(OR($B405="",MIN(AK$38,$D$19)&lt;MAX($P$34*($B405+IF($R$17="Distrato",$I$38-1,0)),IF(AND($L$37=0,$P$34=0),"",$L$37-1),IF($R$17="Distrato",$E405,0))),0,YEARFRAC(MAX($P$34*($B405+IF($R$17="Distrato",$I$38-1,0)),IF(AND($L$37=0,$P$34=0),"",$L$37-1),IF($R$17="Distrato",$E405,0)),MIN(AK$38,$D$19),$P$20))-SUM($P405:AJ405)</f>
        <v>#VALUE!</v>
      </c>
      <c r="AL405" s="446" t="e">
        <f>IF(OR($B405="",MIN(AL$38,$D$19)&lt;MAX($P$34*($B405+IF($R$17="Distrato",$I$38-1,0)),IF(AND($L$37=0,$P$34=0),"",$L$37-1),IF($R$17="Distrato",$E405,0))),0,YEARFRAC(MAX($P$34*($B405+IF($R$17="Distrato",$I$38-1,0)),IF(AND($L$37=0,$P$34=0),"",$L$37-1),IF($R$17="Distrato",$E405,0)),MIN(AL$38,$D$19),$P$20))-SUM($P405:AK405)</f>
        <v>#VALUE!</v>
      </c>
      <c r="AM405" s="446" t="e">
        <f>IF(OR($B405="",MIN(AM$38,$D$19)&lt;MAX($P$34*($B405+IF($R$17="Distrato",$I$38-1,0)),IF(AND($L$37=0,$P$34=0),"",$L$37-1),IF($R$17="Distrato",$E405,0))),0,YEARFRAC(MAX($P$34*($B405+IF($R$17="Distrato",$I$38-1,0)),IF(AND($L$37=0,$P$34=0),"",$L$37-1),IF($R$17="Distrato",$E405,0)),MIN(AM$38,$D$19),$P$20))-SUM($P405:AL405)</f>
        <v>#VALUE!</v>
      </c>
      <c r="AN405" s="446" t="e">
        <f>IF(OR($B405="",MIN(AN$38,$D$19)&lt;MAX($P$34*($B405+IF($R$17="Distrato",$I$38-1,0)),IF(AND($L$37=0,$P$34=0),"",$L$37-1),IF($R$17="Distrato",$E405,0))),0,YEARFRAC(MAX($P$34*($B405+IF($R$17="Distrato",$I$38-1,0)),IF(AND($L$37=0,$P$34=0),"",$L$37-1),IF($R$17="Distrato",$E405,0)),MIN(AN$38,$D$19),$P$20))-SUM($P405:AM405)</f>
        <v>#VALUE!</v>
      </c>
      <c r="AO405" s="446" t="e">
        <f>IF(OR($B405="",MIN(AO$38,$D$19)&lt;MAX($P$34*($B405+IF($R$17="Distrato",$I$38-1,0)),IF(AND($L$37=0,$P$34=0),"",$L$37-1),IF($R$17="Distrato",$E405,0))),0,YEARFRAC(MAX($P$34*($B405+IF($R$17="Distrato",$I$38-1,0)),IF(AND($L$37=0,$P$34=0),"",$L$37-1),IF($R$17="Distrato",$E405,0)),MIN(AO$38,$D$19),$P$20))-SUM($P405:AN405)</f>
        <v>#VALUE!</v>
      </c>
      <c r="AP405" s="446" t="e">
        <f>IF(OR($B405="",MIN(AP$38,$D$19)&lt;MAX($P$34*($B405+IF($R$17="Distrato",$I$38-1,0)),IF(AND($L$37=0,$P$34=0),"",$L$37-1),IF($R$17="Distrato",$E405,0))),0,YEARFRAC(MAX($P$34*($B405+IF($R$17="Distrato",$I$38-1,0)),IF(AND($L$37=0,$P$34=0),"",$L$37-1),IF($R$17="Distrato",$E405,0)),MIN(AP$38,$D$19),$P$20))-SUM($P405:AO405)</f>
        <v>#VALUE!</v>
      </c>
      <c r="AQ405" s="446" t="e">
        <f>IF(OR($B405="",MIN(AQ$38,$D$19)&lt;MAX($P$34*($B405+IF($R$17="Distrato",$I$38-1,0)),IF(AND($L$37=0,$P$34=0),"",$L$37-1),IF($R$17="Distrato",$E405,0))),0,YEARFRAC(MAX($P$34*($B405+IF($R$17="Distrato",$I$38-1,0)),IF(AND($L$37=0,$P$34=0),"",$L$37-1),IF($R$17="Distrato",$E405,0)),MIN(AQ$38,$D$19),$P$20))-SUM($P405:AP405)</f>
        <v>#VALUE!</v>
      </c>
      <c r="AR405" s="446" t="e">
        <f>IF(OR($B405="",MIN(AR$38,$D$19)&lt;MAX($P$34*($B405+IF($R$17="Distrato",$I$38-1,0)),IF(AND($L$37=0,$P$34=0),"",$L$37-1),IF($R$17="Distrato",$E405,0))),0,YEARFRAC(MAX($P$34*($B405+IF($R$17="Distrato",$I$38-1,0)),IF(AND($L$37=0,$P$34=0),"",$L$37-1),IF($R$17="Distrato",$E405,0)),MIN(AR$38,$D$19),$P$20))-SUM($P405:AQ405)</f>
        <v>#VALUE!</v>
      </c>
      <c r="AS405" s="446" t="e">
        <f>IF(OR($B405="",MIN(AS$38,$D$19)&lt;MAX($P$34*($B405+IF($R$17="Distrato",$I$38-1,0)),IF(AND($L$37=0,$P$34=0),"",$L$37-1),IF($R$17="Distrato",$E405,0))),0,YEARFRAC(MAX($P$34*($B405+IF($R$17="Distrato",$I$38-1,0)),IF(AND($L$37=0,$P$34=0),"",$L$37-1),IF($R$17="Distrato",$E405,0)),MIN(AS$38,$D$19),$P$20))-SUM($P405:AR405)</f>
        <v>#VALUE!</v>
      </c>
      <c r="AT405" s="446" t="e">
        <f>IF(OR($B405="",MIN(AT$38,$D$19)&lt;MAX($P$34*($B405+IF($R$17="Distrato",$I$38-1,0)),IF(AND($L$37=0,$P$34=0),"",$L$37-1),IF($R$17="Distrato",$E405,0))),0,YEARFRAC(MAX($P$34*($B405+IF($R$17="Distrato",$I$38-1,0)),IF(AND($L$37=0,$P$34=0),"",$L$37-1),IF($R$17="Distrato",$E405,0)),MIN(AT$38,$D$19),$P$20))-SUM($P405:AS405)</f>
        <v>#VALUE!</v>
      </c>
      <c r="AU405" s="446" t="e">
        <f>IF(OR($B405="",MIN(AU$38,$D$19)&lt;MAX($P$34*($B405+IF($R$17="Distrato",$I$38-1,0)),IF(AND($L$37=0,$P$34=0),"",$L$37-1),IF($R$17="Distrato",$E405,0))),0,YEARFRAC(MAX($P$34*($B405+IF($R$17="Distrato",$I$38-1,0)),IF(AND($L$37=0,$P$34=0),"",$L$37-1),IF($R$17="Distrato",$E405,0)),MIN(AU$38,$D$19),$P$20))-SUM($P405:AT405)</f>
        <v>#VALUE!</v>
      </c>
      <c r="AV405" s="446" t="e">
        <f>IF(OR($B405="",MIN(AV$38,$D$19)&lt;MAX($P$34*($B405+IF($R$17="Distrato",$I$38-1,0)),IF(AND($L$37=0,$P$34=0),"",$L$37-1),IF($R$17="Distrato",$E405,0))),0,YEARFRAC(MAX($P$34*($B405+IF($R$17="Distrato",$I$38-1,0)),IF(AND($L$37=0,$P$34=0),"",$L$37-1),IF($R$17="Distrato",$E405,0)),MIN(AV$38,$D$19),$P$20))-SUM($P405:AU405)</f>
        <v>#VALUE!</v>
      </c>
      <c r="AW405" s="446" t="e">
        <f>IF(OR($B405="",MIN(AW$38,$D$19)&lt;MAX($P$34*($B405+IF($R$17="Distrato",$I$38-1,0)),IF(AND($L$37=0,$P$34=0),"",$L$37-1),IF($R$17="Distrato",$E405,0))),0,YEARFRAC(MAX($P$34*($B405+IF($R$17="Distrato",$I$38-1,0)),IF(AND($L$37=0,$P$34=0),"",$L$37-1),IF($R$17="Distrato",$E405,0)),MIN(AW$38,$D$19),$P$20))-SUM($P405:AV405)</f>
        <v>#VALUE!</v>
      </c>
      <c r="AX405" s="446" t="e">
        <f>IF(OR($B405="",MIN(AX$38,$D$19)&lt;MAX($P$34*($B405+IF($R$17="Distrato",$I$38-1,0)),IF(AND($L$37=0,$P$34=0),"",$L$37-1),IF($R$17="Distrato",$E405,0))),0,YEARFRAC(MAX($P$34*($B405+IF($R$17="Distrato",$I$38-1,0)),IF(AND($L$37=0,$P$34=0),"",$L$37-1),IF($R$17="Distrato",$E405,0)),MIN(AX$38,$D$19),$P$20))-SUM($P405:AW405)</f>
        <v>#VALUE!</v>
      </c>
      <c r="AY405" s="446" t="e">
        <f>IF(OR($B405="",MIN(AY$38,$D$19)&lt;MAX($P$34*($B405+IF($R$17="Distrato",$I$38-1,0)),IF(AND($L$37=0,$P$34=0),"",$L$37-1),IF($R$17="Distrato",$E405,0))),0,YEARFRAC(MAX($P$34*($B405+IF($R$17="Distrato",$I$38-1,0)),IF(AND($L$37=0,$P$34=0),"",$L$37-1),IF($R$17="Distrato",$E405,0)),MIN(AY$38,$D$19),$P$20))-SUM($P405:AX405)</f>
        <v>#VALUE!</v>
      </c>
      <c r="AZ405" s="446" t="e">
        <f>IF(OR($B405="",MIN(AZ$38,$D$19)&lt;MAX($P$34*($B405+IF($R$17="Distrato",$I$38-1,0)),IF(AND($L$37=0,$P$34=0),"",$L$37-1),IF($R$17="Distrato",$E405,0))),0,YEARFRAC(MAX($P$34*($B405+IF($R$17="Distrato",$I$38-1,0)),IF(AND($L$37=0,$P$34=0),"",$L$37-1),IF($R$17="Distrato",$E405,0)),MIN(AZ$38,$D$19),$P$20))-SUM($P405:AY405)</f>
        <v>#VALUE!</v>
      </c>
      <c r="BA405" s="446" t="e">
        <f>IF(OR($B405="",MIN(BA$38,$D$19)&lt;MAX($P$34*($B405+IF($R$17="Distrato",$I$38-1,0)),IF(AND($L$37=0,$P$34=0),"",$L$37-1),IF($R$17="Distrato",$E405,0))),0,YEARFRAC(MAX($P$34*($B405+IF($R$17="Distrato",$I$38-1,0)),IF(AND($L$37=0,$P$34=0),"",$L$37-1),IF($R$17="Distrato",$E405,0)),MIN(BA$38,$D$19),$P$20))-SUM($P405:AZ405)</f>
        <v>#VALUE!</v>
      </c>
      <c r="BB405" s="447"/>
      <c r="BF405" s="446">
        <f t="shared" si="65"/>
        <v>0</v>
      </c>
      <c r="BG405" s="446">
        <f>IF($E405=0,0,IF(MIN(BG$38,$E405)&lt;MAX($P$34*($B405+$I$38-1),IF(AND($L$37=0,$P$34=0),"",$L$37-1)),0,YEARFRAC(MAX($P$34*($B405+$I$38-1),IF(AND($L$37=0,$P$34=0),"",$L$37-1)),MIN(BG$38,$E405),$P$20))-SUM($BF405:BF405))</f>
        <v>0</v>
      </c>
      <c r="BH405" s="446">
        <f>IF($E405=0,0,IF(MIN(BH$38,$E405)&lt;MAX($P$34*($B405+$I$38-1),IF(AND($L$37=0,$P$34=0),"",$L$37-1)),0,YEARFRAC(MAX($P$34*($B405+$I$38-1),IF(AND($L$37=0,$P$34=0),"",$L$37-1)),MIN(BH$38,$E405),$P$20))-SUM($BF405:BG405))</f>
        <v>0</v>
      </c>
      <c r="BI405" s="446">
        <f>IF($E405=0,0,IF(MIN(BI$38,$E405)&lt;MAX($P$34*($B405+$I$38-1),IF(AND($L$37=0,$P$34=0),"",$L$37-1)),0,YEARFRAC(MAX($P$34*($B405+$I$38-1),IF(AND($L$37=0,$P$34=0),"",$L$37-1)),MIN(BI$38,$E405),$P$20))-SUM($BF405:BH405))</f>
        <v>0</v>
      </c>
      <c r="BJ405" s="446">
        <f>IF($E405=0,0,IF(MIN(BJ$38,$E405)&lt;MAX($P$34*($B405+$I$38-1),IF(AND($L$37=0,$P$34=0),"",$L$37-1)),0,YEARFRAC(MAX($P$34*($B405+$I$38-1),IF(AND($L$37=0,$P$34=0),"",$L$37-1)),MIN(BJ$38,$E405),$P$20))-SUM($BF405:BI405))</f>
        <v>0</v>
      </c>
      <c r="BK405" s="446">
        <f>IF($E405=0,0,IF(MIN(BK$38,$E405)&lt;MAX($P$34*($B405+$I$38-1),IF(AND($L$37=0,$P$34=0),"",$L$37-1)),0,YEARFRAC(MAX($P$34*($B405+$I$38-1),IF(AND($L$37=0,$P$34=0),"",$L$37-1)),MIN(BK$38,$E405),$P$20))-SUM($BF405:BJ405))</f>
        <v>0</v>
      </c>
      <c r="BL405" s="446">
        <f>IF($E405=0,0,IF(MIN(BL$38,$E405)&lt;MAX($P$34*($B405+$I$38-1),IF(AND($L$37=0,$P$34=0),"",$L$37-1)),0,YEARFRAC(MAX($P$34*($B405+$I$38-1),IF(AND($L$37=0,$P$34=0),"",$L$37-1)),MIN(BL$38,$E405),$P$20))-SUM($BF405:BK405))</f>
        <v>0</v>
      </c>
      <c r="BM405" s="446">
        <f>IF($E405=0,0,IF(MIN(BM$38,$E405)&lt;MAX($P$34*($B405+$I$38-1),IF(AND($L$37=0,$P$34=0),"",$L$37-1)),0,YEARFRAC(MAX($P$34*($B405+$I$38-1),IF(AND($L$37=0,$P$34=0),"",$L$37-1)),MIN(BM$38,$E405),$P$20))-SUM($BF405:BL405))</f>
        <v>0</v>
      </c>
      <c r="BN405" s="446">
        <f>IF($E405=0,0,IF(MIN(BN$38,$E405)&lt;MAX($P$34*($B405+$I$38-1),IF(AND($L$37=0,$P$34=0),"",$L$37-1)),0,YEARFRAC(MAX($P$34*($B405+$I$38-1),IF(AND($L$37=0,$P$34=0),"",$L$37-1)),MIN(BN$38,$E405),$P$20))-SUM($BF405:BM405))</f>
        <v>0</v>
      </c>
      <c r="BO405" s="446">
        <f>IF($E405=0,0,IF(MIN(BO$38,$E405)&lt;MAX($P$34*($B405+$I$38-1),IF(AND($L$37=0,$P$34=0),"",$L$37-1)),0,YEARFRAC(MAX($P$34*($B405+$I$38-1),IF(AND($L$37=0,$P$34=0),"",$L$37-1)),MIN(BO$38,$E405),$P$20))-SUM($BF405:BN405))</f>
        <v>0</v>
      </c>
      <c r="BP405" s="446">
        <f>IF($E405=0,0,IF(MIN(BP$38,$E405)&lt;MAX($P$34*($B405+$I$38-1),IF(AND($L$37=0,$P$34=0),"",$L$37-1)),0,YEARFRAC(MAX($P$34*($B405+$I$38-1),IF(AND($L$37=0,$P$34=0),"",$L$37-1)),MIN(BP$38,$E405),$P$20))-SUM($BF405:BO405))</f>
        <v>0</v>
      </c>
      <c r="BQ405" s="446">
        <f>IF($E405=0,0,IF(MIN(BQ$38,$E405)&lt;MAX($P$34*($B405+$I$38-1),IF(AND($L$37=0,$P$34=0),"",$L$37-1)),0,YEARFRAC(MAX($P$34*($B405+$I$38-1),IF(AND($L$37=0,$P$34=0),"",$L$37-1)),MIN(BQ$38,$E405),$P$20))-SUM($BF405:BP405))</f>
        <v>0</v>
      </c>
      <c r="BR405" s="446">
        <f>IF($E405=0,0,IF(MIN(BR$38,$E405)&lt;MAX($P$34*($B405+$I$38-1),IF(AND($L$37=0,$P$34=0),"",$L$37-1)),0,YEARFRAC(MAX($P$34*($B405+$I$38-1),IF(AND($L$37=0,$P$34=0),"",$L$37-1)),MIN(BR$38,$E405),$P$20))-SUM($BF405:BQ405))</f>
        <v>0</v>
      </c>
      <c r="BS405" s="446">
        <f>IF($E405=0,0,IF(MIN(BS$38,$E405)&lt;MAX($P$34*($B405+$I$38-1),IF(AND($L$37=0,$P$34=0),"",$L$37-1)),0,YEARFRAC(MAX($P$34*($B405+$I$38-1),IF(AND($L$37=0,$P$34=0),"",$L$37-1)),MIN(BS$38,$E405),$P$20))-SUM($BF405:BR405))</f>
        <v>0</v>
      </c>
      <c r="BT405" s="446">
        <f>IF($E405=0,0,IF(MIN(BT$38,$E405)&lt;MAX($P$34*($B405+$I$38-1),IF(AND($L$37=0,$P$34=0),"",$L$37-1)),0,YEARFRAC(MAX($P$34*($B405+$I$38-1),IF(AND($L$37=0,$P$34=0),"",$L$37-1)),MIN(BT$38,$E405),$P$20))-SUM($BF405:BS405))</f>
        <v>0</v>
      </c>
      <c r="BU405" s="446">
        <f>IF($E405=0,0,IF(MIN(BU$38,$E405)&lt;MAX($P$34*($B405+$I$38-1),IF(AND($L$37=0,$P$34=0),"",$L$37-1)),0,YEARFRAC(MAX($P$34*($B405+$I$38-1),IF(AND($L$37=0,$P$34=0),"",$L$37-1)),MIN(BU$38,$E405),$P$20))-SUM($BF405:BT405))</f>
        <v>0</v>
      </c>
      <c r="BV405" s="446">
        <f>IF($E405=0,0,IF(MIN(BV$38,$E405)&lt;MAX($P$34*($B405+$I$38-1),IF(AND($L$37=0,$P$34=0),"",$L$37-1)),0,YEARFRAC(MAX($P$34*($B405+$I$38-1),IF(AND($L$37=0,$P$34=0),"",$L$37-1)),MIN(BV$38,$E405),$P$20))-SUM($BF405:BU405))</f>
        <v>0</v>
      </c>
      <c r="BW405" s="446">
        <f>IF($E405=0,0,IF(MIN(BW$38,$E405)&lt;MAX($P$34*($B405+$I$38-1),IF(AND($L$37=0,$P$34=0),"",$L$37-1)),0,YEARFRAC(MAX($P$34*($B405+$I$38-1),IF(AND($L$37=0,$P$34=0),"",$L$37-1)),MIN(BW$38,$E405),$P$20))-SUM($BF405:BV405))</f>
        <v>0</v>
      </c>
      <c r="BX405" s="446">
        <f>IF($E405=0,0,IF(MIN(BX$38,$E405)&lt;MAX($P$34*($B405+$I$38-1),IF(AND($L$37=0,$P$34=0),"",$L$37-1)),0,YEARFRAC(MAX($P$34*($B405+$I$38-1),IF(AND($L$37=0,$P$34=0),"",$L$37-1)),MIN(BX$38,$E405),$P$20))-SUM($BF405:BW405))</f>
        <v>0</v>
      </c>
      <c r="BY405" s="446">
        <f>IF($E405=0,0,IF(MIN(BY$38,$E405)&lt;MAX($P$34*($B405+$I$38-1),IF(AND($L$37=0,$P$34=0),"",$L$37-1)),0,YEARFRAC(MAX($P$34*($B405+$I$38-1),IF(AND($L$37=0,$P$34=0),"",$L$37-1)),MIN(BY$38,$E405),$P$20))-SUM($BF405:BX405))</f>
        <v>0</v>
      </c>
      <c r="BZ405" s="446">
        <f>IF($E405=0,0,IF(MIN(BZ$38,$E405)&lt;MAX($P$34*($B405+$I$38-1),IF(AND($L$37=0,$P$34=0),"",$L$37-1)),0,YEARFRAC(MAX($P$34*($B405+$I$38-1),IF(AND($L$37=0,$P$34=0),"",$L$37-1)),MIN(BZ$38,$E405),$P$20))-SUM($BF405:BY405))</f>
        <v>0</v>
      </c>
      <c r="CA405" s="446">
        <f>IF($E405=0,0,IF(MIN(CA$38,$E405)&lt;MAX($P$34*($B405+$I$38-1),IF(AND($L$37=0,$P$34=0),"",$L$37-1)),0,YEARFRAC(MAX($P$34*($B405+$I$38-1),IF(AND($L$37=0,$P$34=0),"",$L$37-1)),MIN(CA$38,$E405),$P$20))-SUM($BF405:BZ405))</f>
        <v>0</v>
      </c>
      <c r="CB405" s="446">
        <f>IF($E405=0,0,IF(MIN(CB$38,$E405)&lt;MAX($P$34*($B405+$I$38-1),IF(AND($L$37=0,$P$34=0),"",$L$37-1)),0,YEARFRAC(MAX($P$34*($B405+$I$38-1),IF(AND($L$37=0,$P$34=0),"",$L$37-1)),MIN(CB$38,$E405),$P$20))-SUM($BF405:CA405))</f>
        <v>0</v>
      </c>
      <c r="CC405" s="446">
        <f>IF($E405=0,0,IF(MIN(CC$38,$E405)&lt;MAX($P$34*($B405+$I$38-1),IF(AND($L$37=0,$P$34=0),"",$L$37-1)),0,YEARFRAC(MAX($P$34*($B405+$I$38-1),IF(AND($L$37=0,$P$34=0),"",$L$37-1)),MIN(CC$38,$E405),$P$20))-SUM($BF405:CB405))</f>
        <v>0</v>
      </c>
      <c r="CD405" s="446">
        <f>IF($E405=0,0,IF(MIN(CD$38,$E405)&lt;MAX($P$34*($B405+$I$38-1),IF(AND($L$37=0,$P$34=0),"",$L$37-1)),0,YEARFRAC(MAX($P$34*($B405+$I$38-1),IF(AND($L$37=0,$P$34=0),"",$L$37-1)),MIN(CD$38,$E405),$P$20))-SUM($BF405:CC405))</f>
        <v>0</v>
      </c>
      <c r="CE405" s="446">
        <f>IF($E405=0,0,IF(MIN(CE$38,$E405)&lt;MAX($P$34*($B405+$I$38-1),IF(AND($L$37=0,$P$34=0),"",$L$37-1)),0,YEARFRAC(MAX($P$34*($B405+$I$38-1),IF(AND($L$37=0,$P$34=0),"",$L$37-1)),MIN(CE$38,$E405),$P$20))-SUM($BF405:CD405))</f>
        <v>0</v>
      </c>
      <c r="CF405" s="446">
        <f>IF($E405=0,0,IF(MIN(CF$38,$E405)&lt;MAX($P$34*($B405+$I$38-1),IF(AND($L$37=0,$P$34=0),"",$L$37-1)),0,YEARFRAC(MAX($P$34*($B405+$I$38-1),IF(AND($L$37=0,$P$34=0),"",$L$37-1)),MIN(CF$38,$E405),$P$20))-SUM($BF405:CE405))</f>
        <v>0</v>
      </c>
      <c r="CG405" s="446">
        <f>IF($E405=0,0,IF(MIN(CG$38,$E405)&lt;MAX($P$34*($B405+$I$38-1),IF(AND($L$37=0,$P$34=0),"",$L$37-1)),0,YEARFRAC(MAX($P$34*($B405+$I$38-1),IF(AND($L$37=0,$P$34=0),"",$L$37-1)),MIN(CG$38,$E405),$P$20))-SUM($BF405:CF405))</f>
        <v>0</v>
      </c>
      <c r="CH405" s="446">
        <f>IF($E405=0,0,IF(MIN(CH$38,$E405)&lt;MAX($P$34*($B405+$I$38-1),IF(AND($L$37=0,$P$34=0),"",$L$37-1)),0,YEARFRAC(MAX($P$34*($B405+$I$38-1),IF(AND($L$37=0,$P$34=0),"",$L$37-1)),MIN(CH$38,$E405),$P$20))-SUM($BF405:CG405))</f>
        <v>0</v>
      </c>
      <c r="CI405" s="446">
        <f>IF($E405=0,0,IF(MIN(CI$38,$E405)&lt;MAX($P$34*($B405+$I$38-1),IF(AND($L$37=0,$P$34=0),"",$L$37-1)),0,YEARFRAC(MAX($P$34*($B405+$I$38-1),IF(AND($L$37=0,$P$34=0),"",$L$37-1)),MIN(CI$38,$E405),$P$20))-SUM($BF405:CH405))</f>
        <v>0</v>
      </c>
      <c r="CJ405" s="446">
        <f>IF($E405=0,0,IF(MIN(CJ$38,$E405)&lt;MAX($P$34*($B405+$I$38-1),IF(AND($L$37=0,$P$34=0),"",$L$37-1)),0,YEARFRAC(MAX($P$34*($B405+$I$38-1),IF(AND($L$37=0,$P$34=0),"",$L$37-1)),MIN(CJ$38,$E405),$P$20))-SUM($BF405:CI405))</f>
        <v>0</v>
      </c>
      <c r="CK405" s="446">
        <f>IF($E405=0,0,IF(MIN(CK$38,$E405)&lt;MAX($P$34*($B405+$I$38-1),IF(AND($L$37=0,$P$34=0),"",$L$37-1)),0,YEARFRAC(MAX($P$34*($B405+$I$38-1),IF(AND($L$37=0,$P$34=0),"",$L$37-1)),MIN(CK$38,$E405),$P$20))-SUM($BF405:CJ405))</f>
        <v>0</v>
      </c>
      <c r="CL405" s="446">
        <f>IF($E405=0,0,IF(MIN(CL$38,$E405)&lt;MAX($P$34*($B405+$I$38-1),IF(AND($L$37=0,$P$34=0),"",$L$37-1)),0,YEARFRAC(MAX($P$34*($B405+$I$38-1),IF(AND($L$37=0,$P$34=0),"",$L$37-1)),MIN(CL$38,$E405),$P$20))-SUM($BF405:CK405))</f>
        <v>0</v>
      </c>
      <c r="CM405" s="446">
        <f>IF($E405=0,0,IF(MIN(CM$38,$E405)&lt;MAX($P$34*($B405+$I$38-1),IF(AND($L$37=0,$P$34=0),"",$L$37-1)),0,YEARFRAC(MAX($P$34*($B405+$I$38-1),IF(AND($L$37=0,$P$34=0),"",$L$37-1)),MIN(CM$38,$E405),$P$20))-SUM($BF405:CL405))</f>
        <v>0</v>
      </c>
      <c r="CN405" s="446">
        <f>IF($E405=0,0,IF(MIN(CN$38,$E405)&lt;MAX($P$34*($B405+$I$38-1),IF(AND($L$37=0,$P$34=0),"",$L$37-1)),0,YEARFRAC(MAX($P$34*($B405+$I$38-1),IF(AND($L$37=0,$P$34=0),"",$L$37-1)),MIN(CN$38,$E405),$P$20))-SUM($BF405:CM405))</f>
        <v>0</v>
      </c>
      <c r="CO405" s="446">
        <f>IF($E405=0,0,IF(MIN(CO$38,$E405)&lt;MAX($P$34*($B405+$I$38-1),IF(AND($L$37=0,$P$34=0),"",$L$37-1)),0,YEARFRAC(MAX($P$34*($B405+$I$38-1),IF(AND($L$37=0,$P$34=0),"",$L$37-1)),MIN(CO$38,$E405),$P$20))-SUM($BF405:CN405))</f>
        <v>0</v>
      </c>
      <c r="CP405" s="446">
        <f>IF($E405=0,0,IF(MIN(CP$38,$E405)&lt;MAX($P$34*($B405+$I$38-1),IF(AND($L$37=0,$P$34=0),"",$L$37-1)),0,YEARFRAC(MAX($P$34*($B405+$I$38-1),IF(AND($L$37=0,$P$34=0),"",$L$37-1)),MIN(CP$38,$E405),$P$20))-SUM($BF405:CO405))</f>
        <v>0</v>
      </c>
      <c r="CQ405" s="446">
        <f>IF($E405=0,0,IF(MIN(CQ$38,$E405)&lt;MAX($P$34*($B405+$I$38-1),IF(AND($L$37=0,$P$34=0),"",$L$37-1)),0,YEARFRAC(MAX($P$34*($B405+$I$38-1),IF(AND($L$37=0,$P$34=0),"",$L$37-1)),MIN(CQ$38,$E405),$P$20))-SUM($BF405:CP405))</f>
        <v>0</v>
      </c>
    </row>
    <row r="406" spans="1:95" s="446" customFormat="1" ht="11.25" hidden="1" customHeight="1" x14ac:dyDescent="0.2">
      <c r="A406" s="152"/>
      <c r="B406" s="153" t="str">
        <f t="shared" si="70"/>
        <v/>
      </c>
      <c r="C406" s="29" t="str">
        <f>IF(B406="","",IF($L$35="SELIC - TRIBUTOS",VLOOKUP(DATE(YEAR($D$19),MONTH($D$19)-1,1),ÍNDICES!$A:$DE,HLOOKUP($BL$25,ÍNDICES!$B$3:$T$4,2)+11)-VLOOKUP(B406,ÍNDICES!$A:$DE,HLOOKUP($BL$25,ÍNDICES!$B$3:$T$4,2)+11)+1%,IF(C$38=$W$26,$J$35,IF(ISERROR(IF(B406&gt;$D$19,1,VLOOKUP(DATE(YEAR(B406),MONTH(B406)+IF($C$35=$S$23,1,0),1),ÍNDICES!$A:$DE,$Z$35+1))),"",IF(B406&gt;$D$19,1,VLOOKUP(DATE(YEAR(B406),MONTH(B406)+IF($C$35=$S$23,1,0),1),ÍNDICES!$A:$DE,$Z$35+1))))))</f>
        <v/>
      </c>
      <c r="D406" s="154" t="str">
        <f>IF(ISERROR(IF(OR($D$38=$Y$27,$B406=""),"",VLOOKUP(B406,ÍNDICES!A:DE,AF$35+1))),"",IF(OR($D$38=$Y$27,$B406=""),"",VLOOKUP(B406,ÍNDICES!A:DE,AF$35+1)))</f>
        <v/>
      </c>
      <c r="E406" s="153"/>
      <c r="F406" s="29" t="str">
        <f>IF(E406="","",IF($L$35="SELIC - TRIBUTOS",VLOOKUP(DATE(YEAR($D$19),MONTH($D$19)-1,1),ÍNDICES!$A:$DE,HLOOKUP($BL$25,ÍNDICES!$B$3:$T$4,2)+11)-VLOOKUP(E406,ÍNDICES!$A:$DE,HLOOKUP($BL$25,ÍNDICES!$B$3:$T$4,2)+11)+1%,IF(F$38=$W$26,$J$35,IF(ISERROR(IF(E406&gt;$D$19,1,VLOOKUP(DATE(YEAR(E406),MONTH(E406)+IF($C$35=$S$23,1,0),1),ÍNDICES!$A:$DE,$Z$35+1))),"",IF(E406&gt;$D$19,1,VLOOKUP(DATE(YEAR(E406),MONTH(E406)+IF($C$35=$S$23,1,0),1),ÍNDICES!$A:$DE,$Z$35+1))))))</f>
        <v/>
      </c>
      <c r="G406" s="155"/>
      <c r="H406" s="156" t="str">
        <f t="shared" si="66"/>
        <v/>
      </c>
      <c r="I406" s="29" t="str">
        <f t="shared" si="60"/>
        <v/>
      </c>
      <c r="J406" s="5">
        <f t="shared" si="61"/>
        <v>0</v>
      </c>
      <c r="K406" s="20">
        <f t="shared" ca="1" si="62"/>
        <v>0</v>
      </c>
      <c r="L406" s="5">
        <f t="shared" ca="1" si="63"/>
        <v>0</v>
      </c>
      <c r="M406" s="64">
        <f t="shared" si="67"/>
        <v>0</v>
      </c>
      <c r="N406" s="61">
        <f t="shared" ca="1" si="68"/>
        <v>0</v>
      </c>
      <c r="O406" s="5">
        <f t="shared" ca="1" si="69"/>
        <v>0</v>
      </c>
      <c r="P406" s="446" t="e">
        <f t="shared" si="64"/>
        <v>#VALUE!</v>
      </c>
      <c r="Q406" s="446" t="e">
        <f>IF(OR($B406="",MIN(Q$38,$D$19)&lt;MAX($P$34*($B406+IF($R$17="Distrato",$I$38-1,0)),IF(AND($L$37=0,$P$34=0),"",$L$37-1),IF($R$17="Distrato",$E406,0))),0,YEARFRAC(MAX($P$34*($B406+IF($R$17="Distrato",$I$38-1,0)),IF(AND($L$37=0,$P$34=0),"",$L$37-1),IF($R$17="Distrato",$E406,0)),MIN(Q$38,$D$19),$P$20))-SUM($P406:P406)</f>
        <v>#VALUE!</v>
      </c>
      <c r="R406" s="446" t="e">
        <f>IF(OR($B406="",MIN(R$38,$D$19)&lt;MAX($P$34*($B406+IF($R$17="Distrato",$I$38-1,0)),IF(AND($L$37=0,$P$34=0),"",$L$37-1),IF($R$17="Distrato",$E406,0))),0,YEARFRAC(MAX($P$34*($B406+IF($R$17="Distrato",$I$38-1,0)),IF(AND($L$37=0,$P$34=0),"",$L$37-1),IF($R$17="Distrato",$E406,0)),MIN(R$38,$D$19),$P$20))-SUM($P406:Q406)</f>
        <v>#VALUE!</v>
      </c>
      <c r="S406" s="446" t="e">
        <f>IF(OR($B406="",MIN(S$38,$D$19)&lt;MAX($P$34*($B406+IF($R$17="Distrato",$I$38-1,0)),IF(AND($L$37=0,$P$34=0),"",$L$37-1),IF($R$17="Distrato",$E406,0))),0,YEARFRAC(MAX($P$34*($B406+IF($R$17="Distrato",$I$38-1,0)),IF(AND($L$37=0,$P$34=0),"",$L$37-1),IF($R$17="Distrato",$E406,0)),MIN(S$38,$D$19),$P$20))-SUM($P406:R406)</f>
        <v>#VALUE!</v>
      </c>
      <c r="T406" s="446" t="e">
        <f>IF(OR($B406="",MIN(T$38,$D$19)&lt;MAX($P$34*($B406+IF($R$17="Distrato",$I$38-1,0)),IF(AND($L$37=0,$P$34=0),"",$L$37-1),IF($R$17="Distrato",$E406,0))),0,YEARFRAC(MAX($P$34*($B406+IF($R$17="Distrato",$I$38-1,0)),IF(AND($L$37=0,$P$34=0),"",$L$37-1),IF($R$17="Distrato",$E406,0)),MIN(T$38,$D$19),$P$20))-SUM($P406:S406)</f>
        <v>#VALUE!</v>
      </c>
      <c r="U406" s="446" t="e">
        <f>IF(OR($B406="",MIN(U$38,$D$19)&lt;MAX($P$34*($B406+IF($R$17="Distrato",$I$38-1,0)),IF(AND($L$37=0,$P$34=0),"",$L$37-1),IF($R$17="Distrato",$E406,0))),0,YEARFRAC(MAX($P$34*($B406+IF($R$17="Distrato",$I$38-1,0)),IF(AND($L$37=0,$P$34=0),"",$L$37-1),IF($R$17="Distrato",$E406,0)),MIN(U$38,$D$19),$P$20))-SUM($P406:T406)</f>
        <v>#VALUE!</v>
      </c>
      <c r="V406" s="446" t="e">
        <f>IF(OR($B406="",MIN(V$38,$D$19)&lt;MAX($P$34*($B406+IF($R$17="Distrato",$I$38-1,0)),IF(AND($L$37=0,$P$34=0),"",$L$37-1),IF($R$17="Distrato",$E406,0))),0,YEARFRAC(MAX($P$34*($B406+IF($R$17="Distrato",$I$38-1,0)),IF(AND($L$37=0,$P$34=0),"",$L$37-1),IF($R$17="Distrato",$E406,0)),MIN(V$38,$D$19),$P$20))-SUM($P406:U406)</f>
        <v>#VALUE!</v>
      </c>
      <c r="W406" s="446" t="e">
        <f>IF(OR($B406="",MIN(W$38,$D$19)&lt;MAX($P$34*($B406+IF($R$17="Distrato",$I$38-1,0)),IF(AND($L$37=0,$P$34=0),"",$L$37-1),IF($R$17="Distrato",$E406,0))),0,YEARFRAC(MAX($P$34*($B406+IF($R$17="Distrato",$I$38-1,0)),IF(AND($L$37=0,$P$34=0),"",$L$37-1),IF($R$17="Distrato",$E406,0)),MIN(W$38,$D$19),$P$20))-SUM($P406:V406)</f>
        <v>#VALUE!</v>
      </c>
      <c r="X406" s="446" t="e">
        <f>IF(OR($B406="",MIN(X$38,$D$19)&lt;MAX($P$34*($B406+IF($R$17="Distrato",$I$38-1,0)),IF(AND($L$37=0,$P$34=0),"",$L$37-1),IF($R$17="Distrato",$E406,0))),0,YEARFRAC(MAX($P$34*($B406+IF($R$17="Distrato",$I$38-1,0)),IF(AND($L$37=0,$P$34=0),"",$L$37-1),IF($R$17="Distrato",$E406,0)),MIN(X$38,$D$19),$P$20))-SUM($P406:W406)</f>
        <v>#VALUE!</v>
      </c>
      <c r="Y406" s="446" t="e">
        <f>IF(OR($B406="",MIN(Y$38,$D$19)&lt;MAX($P$34*($B406+IF($R$17="Distrato",$I$38-1,0)),IF(AND($L$37=0,$P$34=0),"",$L$37-1),IF($R$17="Distrato",$E406,0))),0,YEARFRAC(MAX($P$34*($B406+IF($R$17="Distrato",$I$38-1,0)),IF(AND($L$37=0,$P$34=0),"",$L$37-1),IF($R$17="Distrato",$E406,0)),MIN(Y$38,$D$19),$P$20))-SUM($P406:X406)</f>
        <v>#VALUE!</v>
      </c>
      <c r="Z406" s="446" t="e">
        <f>IF(OR($B406="",MIN(Z$38,$D$19)&lt;MAX($P$34*($B406+IF($R$17="Distrato",$I$38-1,0)),IF(AND($L$37=0,$P$34=0),"",$L$37-1),IF($R$17="Distrato",$E406,0))),0,YEARFRAC(MAX($P$34*($B406+IF($R$17="Distrato",$I$38-1,0)),IF(AND($L$37=0,$P$34=0),"",$L$37-1),IF($R$17="Distrato",$E406,0)),MIN(Z$38,$D$19),$P$20))-SUM($P406:Y406)</f>
        <v>#VALUE!</v>
      </c>
      <c r="AA406" s="446" t="e">
        <f>IF(OR($B406="",MIN(AA$38,$D$19)&lt;MAX($P$34*($B406+IF($R$17="Distrato",$I$38-1,0)),IF(AND($L$37=0,$P$34=0),"",$L$37-1),IF($R$17="Distrato",$E406,0))),0,YEARFRAC(MAX($P$34*($B406+IF($R$17="Distrato",$I$38-1,0)),IF(AND($L$37=0,$P$34=0),"",$L$37-1),IF($R$17="Distrato",$E406,0)),MIN(AA$38,$D$19),$P$20))-SUM($P406:Z406)</f>
        <v>#VALUE!</v>
      </c>
      <c r="AB406" s="446" t="e">
        <f>IF(OR($B406="",MIN(AB$38,$D$19)&lt;MAX($P$34*($B406+IF($R$17="Distrato",$I$38-1,0)),IF(AND($L$37=0,$P$34=0),"",$L$37-1),IF($R$17="Distrato",$E406,0))),0,YEARFRAC(MAX($P$34*($B406+IF($R$17="Distrato",$I$38-1,0)),IF(AND($L$37=0,$P$34=0),"",$L$37-1),IF($R$17="Distrato",$E406,0)),MIN(AB$38,$D$19),$P$20))-SUM($P406:AA406)</f>
        <v>#VALUE!</v>
      </c>
      <c r="AC406" s="446" t="e">
        <f>IF(OR($B406="",MIN(AC$38,$D$19)&lt;MAX($P$34*($B406+IF($R$17="Distrato",$I$38-1,0)),IF(AND($L$37=0,$P$34=0),"",$L$37-1),IF($R$17="Distrato",$E406,0))),0,YEARFRAC(MAX($P$34*($B406+IF($R$17="Distrato",$I$38-1,0)),IF(AND($L$37=0,$P$34=0),"",$L$37-1),IF($R$17="Distrato",$E406,0)),MIN(AC$38,$D$19),$P$20))-SUM($P406:AB406)</f>
        <v>#VALUE!</v>
      </c>
      <c r="AD406" s="446" t="e">
        <f>IF(OR($B406="",MIN(AD$38,$D$19)&lt;MAX($P$34*($B406+IF($R$17="Distrato",$I$38-1,0)),IF(AND($L$37=0,$P$34=0),"",$L$37-1),IF($R$17="Distrato",$E406,0))),0,YEARFRAC(MAX($P$34*($B406+IF($R$17="Distrato",$I$38-1,0)),IF(AND($L$37=0,$P$34=0),"",$L$37-1),IF($R$17="Distrato",$E406,0)),MIN(AD$38,$D$19),$P$20))-SUM($P406:AC406)</f>
        <v>#VALUE!</v>
      </c>
      <c r="AE406" s="446" t="e">
        <f>IF(OR($B406="",MIN(AE$38,$D$19)&lt;MAX($P$34*($B406+IF($R$17="Distrato",$I$38-1,0)),IF(AND($L$37=0,$P$34=0),"",$L$37-1),IF($R$17="Distrato",$E406,0))),0,YEARFRAC(MAX($P$34*($B406+IF($R$17="Distrato",$I$38-1,0)),IF(AND($L$37=0,$P$34=0),"",$L$37-1),IF($R$17="Distrato",$E406,0)),MIN(AE$38,$D$19),$P$20))-SUM($P406:AD406)</f>
        <v>#VALUE!</v>
      </c>
      <c r="AF406" s="446" t="e">
        <f>IF(OR($B406="",MIN(AF$38,$D$19)&lt;MAX($P$34*($B406+IF($R$17="Distrato",$I$38-1,0)),IF(AND($L$37=0,$P$34=0),"",$L$37-1),IF($R$17="Distrato",$E406,0))),0,YEARFRAC(MAX($P$34*($B406+IF($R$17="Distrato",$I$38-1,0)),IF(AND($L$37=0,$P$34=0),"",$L$37-1),IF($R$17="Distrato",$E406,0)),MIN(AF$38,$D$19),$P$20))-SUM($P406:AE406)</f>
        <v>#VALUE!</v>
      </c>
      <c r="AG406" s="446" t="e">
        <f>IF(OR($B406="",MIN(AG$38,$D$19)&lt;MAX($P$34*($B406+IF($R$17="Distrato",$I$38-1,0)),IF(AND($L$37=0,$P$34=0),"",$L$37-1),IF($R$17="Distrato",$E406,0))),0,YEARFRAC(MAX($P$34*($B406+IF($R$17="Distrato",$I$38-1,0)),IF(AND($L$37=0,$P$34=0),"",$L$37-1),IF($R$17="Distrato",$E406,0)),MIN(AG$38,$D$19),$P$20))-SUM($P406:AF406)</f>
        <v>#VALUE!</v>
      </c>
      <c r="AH406" s="446" t="e">
        <f>IF(OR($B406="",MIN(AH$38,$D$19)&lt;MAX($P$34*($B406+IF($R$17="Distrato",$I$38-1,0)),IF(AND($L$37=0,$P$34=0),"",$L$37-1),IF($R$17="Distrato",$E406,0))),0,YEARFRAC(MAX($P$34*($B406+IF($R$17="Distrato",$I$38-1,0)),IF(AND($L$37=0,$P$34=0),"",$L$37-1),IF($R$17="Distrato",$E406,0)),MIN(AH$38,$D$19),$P$20))-SUM($P406:AG406)</f>
        <v>#VALUE!</v>
      </c>
      <c r="AI406" s="446" t="e">
        <f>IF(OR($B406="",MIN(AI$38,$D$19)&lt;MAX($P$34*($B406+IF($R$17="Distrato",$I$38-1,0)),IF(AND($L$37=0,$P$34=0),"",$L$37-1),IF($R$17="Distrato",$E406,0))),0,YEARFRAC(MAX($P$34*($B406+IF($R$17="Distrato",$I$38-1,0)),IF(AND($L$37=0,$P$34=0),"",$L$37-1),IF($R$17="Distrato",$E406,0)),MIN(AI$38,$D$19),$P$20))-SUM($P406:AH406)</f>
        <v>#VALUE!</v>
      </c>
      <c r="AJ406" s="446" t="e">
        <f>IF(OR($B406="",MIN(AJ$38,$D$19)&lt;MAX($P$34*($B406+IF($R$17="Distrato",$I$38-1,0)),IF(AND($L$37=0,$P$34=0),"",$L$37-1),IF($R$17="Distrato",$E406,0))),0,YEARFRAC(MAX($P$34*($B406+IF($R$17="Distrato",$I$38-1,0)),IF(AND($L$37=0,$P$34=0),"",$L$37-1),IF($R$17="Distrato",$E406,0)),MIN(AJ$38,$D$19),$P$20))-SUM($P406:AI406)</f>
        <v>#VALUE!</v>
      </c>
      <c r="AK406" s="446" t="e">
        <f>IF(OR($B406="",MIN(AK$38,$D$19)&lt;MAX($P$34*($B406+IF($R$17="Distrato",$I$38-1,0)),IF(AND($L$37=0,$P$34=0),"",$L$37-1),IF($R$17="Distrato",$E406,0))),0,YEARFRAC(MAX($P$34*($B406+IF($R$17="Distrato",$I$38-1,0)),IF(AND($L$37=0,$P$34=0),"",$L$37-1),IF($R$17="Distrato",$E406,0)),MIN(AK$38,$D$19),$P$20))-SUM($P406:AJ406)</f>
        <v>#VALUE!</v>
      </c>
      <c r="AL406" s="446" t="e">
        <f>IF(OR($B406="",MIN(AL$38,$D$19)&lt;MAX($P$34*($B406+IF($R$17="Distrato",$I$38-1,0)),IF(AND($L$37=0,$P$34=0),"",$L$37-1),IF($R$17="Distrato",$E406,0))),0,YEARFRAC(MAX($P$34*($B406+IF($R$17="Distrato",$I$38-1,0)),IF(AND($L$37=0,$P$34=0),"",$L$37-1),IF($R$17="Distrato",$E406,0)),MIN(AL$38,$D$19),$P$20))-SUM($P406:AK406)</f>
        <v>#VALUE!</v>
      </c>
      <c r="AM406" s="446" t="e">
        <f>IF(OR($B406="",MIN(AM$38,$D$19)&lt;MAX($P$34*($B406+IF($R$17="Distrato",$I$38-1,0)),IF(AND($L$37=0,$P$34=0),"",$L$37-1),IF($R$17="Distrato",$E406,0))),0,YEARFRAC(MAX($P$34*($B406+IF($R$17="Distrato",$I$38-1,0)),IF(AND($L$37=0,$P$34=0),"",$L$37-1),IF($R$17="Distrato",$E406,0)),MIN(AM$38,$D$19),$P$20))-SUM($P406:AL406)</f>
        <v>#VALUE!</v>
      </c>
      <c r="AN406" s="446" t="e">
        <f>IF(OR($B406="",MIN(AN$38,$D$19)&lt;MAX($P$34*($B406+IF($R$17="Distrato",$I$38-1,0)),IF(AND($L$37=0,$P$34=0),"",$L$37-1),IF($R$17="Distrato",$E406,0))),0,YEARFRAC(MAX($P$34*($B406+IF($R$17="Distrato",$I$38-1,0)),IF(AND($L$37=0,$P$34=0),"",$L$37-1),IF($R$17="Distrato",$E406,0)),MIN(AN$38,$D$19),$P$20))-SUM($P406:AM406)</f>
        <v>#VALUE!</v>
      </c>
      <c r="AO406" s="446" t="e">
        <f>IF(OR($B406="",MIN(AO$38,$D$19)&lt;MAX($P$34*($B406+IF($R$17="Distrato",$I$38-1,0)),IF(AND($L$37=0,$P$34=0),"",$L$37-1),IF($R$17="Distrato",$E406,0))),0,YEARFRAC(MAX($P$34*($B406+IF($R$17="Distrato",$I$38-1,0)),IF(AND($L$37=0,$P$34=0),"",$L$37-1),IF($R$17="Distrato",$E406,0)),MIN(AO$38,$D$19),$P$20))-SUM($P406:AN406)</f>
        <v>#VALUE!</v>
      </c>
      <c r="AP406" s="446" t="e">
        <f>IF(OR($B406="",MIN(AP$38,$D$19)&lt;MAX($P$34*($B406+IF($R$17="Distrato",$I$38-1,0)),IF(AND($L$37=0,$P$34=0),"",$L$37-1),IF($R$17="Distrato",$E406,0))),0,YEARFRAC(MAX($P$34*($B406+IF($R$17="Distrato",$I$38-1,0)),IF(AND($L$37=0,$P$34=0),"",$L$37-1),IF($R$17="Distrato",$E406,0)),MIN(AP$38,$D$19),$P$20))-SUM($P406:AO406)</f>
        <v>#VALUE!</v>
      </c>
      <c r="AQ406" s="446" t="e">
        <f>IF(OR($B406="",MIN(AQ$38,$D$19)&lt;MAX($P$34*($B406+IF($R$17="Distrato",$I$38-1,0)),IF(AND($L$37=0,$P$34=0),"",$L$37-1),IF($R$17="Distrato",$E406,0))),0,YEARFRAC(MAX($P$34*($B406+IF($R$17="Distrato",$I$38-1,0)),IF(AND($L$37=0,$P$34=0),"",$L$37-1),IF($R$17="Distrato",$E406,0)),MIN(AQ$38,$D$19),$P$20))-SUM($P406:AP406)</f>
        <v>#VALUE!</v>
      </c>
      <c r="AR406" s="446" t="e">
        <f>IF(OR($B406="",MIN(AR$38,$D$19)&lt;MAX($P$34*($B406+IF($R$17="Distrato",$I$38-1,0)),IF(AND($L$37=0,$P$34=0),"",$L$37-1),IF($R$17="Distrato",$E406,0))),0,YEARFRAC(MAX($P$34*($B406+IF($R$17="Distrato",$I$38-1,0)),IF(AND($L$37=0,$P$34=0),"",$L$37-1),IF($R$17="Distrato",$E406,0)),MIN(AR$38,$D$19),$P$20))-SUM($P406:AQ406)</f>
        <v>#VALUE!</v>
      </c>
      <c r="AS406" s="446" t="e">
        <f>IF(OR($B406="",MIN(AS$38,$D$19)&lt;MAX($P$34*($B406+IF($R$17="Distrato",$I$38-1,0)),IF(AND($L$37=0,$P$34=0),"",$L$37-1),IF($R$17="Distrato",$E406,0))),0,YEARFRAC(MAX($P$34*($B406+IF($R$17="Distrato",$I$38-1,0)),IF(AND($L$37=0,$P$34=0),"",$L$37-1),IF($R$17="Distrato",$E406,0)),MIN(AS$38,$D$19),$P$20))-SUM($P406:AR406)</f>
        <v>#VALUE!</v>
      </c>
      <c r="AT406" s="446" t="e">
        <f>IF(OR($B406="",MIN(AT$38,$D$19)&lt;MAX($P$34*($B406+IF($R$17="Distrato",$I$38-1,0)),IF(AND($L$37=0,$P$34=0),"",$L$37-1),IF($R$17="Distrato",$E406,0))),0,YEARFRAC(MAX($P$34*($B406+IF($R$17="Distrato",$I$38-1,0)),IF(AND($L$37=0,$P$34=0),"",$L$37-1),IF($R$17="Distrato",$E406,0)),MIN(AT$38,$D$19),$P$20))-SUM($P406:AS406)</f>
        <v>#VALUE!</v>
      </c>
      <c r="AU406" s="446" t="e">
        <f>IF(OR($B406="",MIN(AU$38,$D$19)&lt;MAX($P$34*($B406+IF($R$17="Distrato",$I$38-1,0)),IF(AND($L$37=0,$P$34=0),"",$L$37-1),IF($R$17="Distrato",$E406,0))),0,YEARFRAC(MAX($P$34*($B406+IF($R$17="Distrato",$I$38-1,0)),IF(AND($L$37=0,$P$34=0),"",$L$37-1),IF($R$17="Distrato",$E406,0)),MIN(AU$38,$D$19),$P$20))-SUM($P406:AT406)</f>
        <v>#VALUE!</v>
      </c>
      <c r="AV406" s="446" t="e">
        <f>IF(OR($B406="",MIN(AV$38,$D$19)&lt;MAX($P$34*($B406+IF($R$17="Distrato",$I$38-1,0)),IF(AND($L$37=0,$P$34=0),"",$L$37-1),IF($R$17="Distrato",$E406,0))),0,YEARFRAC(MAX($P$34*($B406+IF($R$17="Distrato",$I$38-1,0)),IF(AND($L$37=0,$P$34=0),"",$L$37-1),IF($R$17="Distrato",$E406,0)),MIN(AV$38,$D$19),$P$20))-SUM($P406:AU406)</f>
        <v>#VALUE!</v>
      </c>
      <c r="AW406" s="446" t="e">
        <f>IF(OR($B406="",MIN(AW$38,$D$19)&lt;MAX($P$34*($B406+IF($R$17="Distrato",$I$38-1,0)),IF(AND($L$37=0,$P$34=0),"",$L$37-1),IF($R$17="Distrato",$E406,0))),0,YEARFRAC(MAX($P$34*($B406+IF($R$17="Distrato",$I$38-1,0)),IF(AND($L$37=0,$P$34=0),"",$L$37-1),IF($R$17="Distrato",$E406,0)),MIN(AW$38,$D$19),$P$20))-SUM($P406:AV406)</f>
        <v>#VALUE!</v>
      </c>
      <c r="AX406" s="446" t="e">
        <f>IF(OR($B406="",MIN(AX$38,$D$19)&lt;MAX($P$34*($B406+IF($R$17="Distrato",$I$38-1,0)),IF(AND($L$37=0,$P$34=0),"",$L$37-1),IF($R$17="Distrato",$E406,0))),0,YEARFRAC(MAX($P$34*($B406+IF($R$17="Distrato",$I$38-1,0)),IF(AND($L$37=0,$P$34=0),"",$L$37-1),IF($R$17="Distrato",$E406,0)),MIN(AX$38,$D$19),$P$20))-SUM($P406:AW406)</f>
        <v>#VALUE!</v>
      </c>
      <c r="AY406" s="446" t="e">
        <f>IF(OR($B406="",MIN(AY$38,$D$19)&lt;MAX($P$34*($B406+IF($R$17="Distrato",$I$38-1,0)),IF(AND($L$37=0,$P$34=0),"",$L$37-1),IF($R$17="Distrato",$E406,0))),0,YEARFRAC(MAX($P$34*($B406+IF($R$17="Distrato",$I$38-1,0)),IF(AND($L$37=0,$P$34=0),"",$L$37-1),IF($R$17="Distrato",$E406,0)),MIN(AY$38,$D$19),$P$20))-SUM($P406:AX406)</f>
        <v>#VALUE!</v>
      </c>
      <c r="AZ406" s="446" t="e">
        <f>IF(OR($B406="",MIN(AZ$38,$D$19)&lt;MAX($P$34*($B406+IF($R$17="Distrato",$I$38-1,0)),IF(AND($L$37=0,$P$34=0),"",$L$37-1),IF($R$17="Distrato",$E406,0))),0,YEARFRAC(MAX($P$34*($B406+IF($R$17="Distrato",$I$38-1,0)),IF(AND($L$37=0,$P$34=0),"",$L$37-1),IF($R$17="Distrato",$E406,0)),MIN(AZ$38,$D$19),$P$20))-SUM($P406:AY406)</f>
        <v>#VALUE!</v>
      </c>
      <c r="BA406" s="446" t="e">
        <f>IF(OR($B406="",MIN(BA$38,$D$19)&lt;MAX($P$34*($B406+IF($R$17="Distrato",$I$38-1,0)),IF(AND($L$37=0,$P$34=0),"",$L$37-1),IF($R$17="Distrato",$E406,0))),0,YEARFRAC(MAX($P$34*($B406+IF($R$17="Distrato",$I$38-1,0)),IF(AND($L$37=0,$P$34=0),"",$L$37-1),IF($R$17="Distrato",$E406,0)),MIN(BA$38,$D$19),$P$20))-SUM($P406:AZ406)</f>
        <v>#VALUE!</v>
      </c>
      <c r="BB406" s="447"/>
      <c r="BF406" s="446">
        <f t="shared" si="65"/>
        <v>0</v>
      </c>
      <c r="BG406" s="446">
        <f>IF($E406=0,0,IF(MIN(BG$38,$E406)&lt;MAX($P$34*($B406+$I$38-1),IF(AND($L$37=0,$P$34=0),"",$L$37-1)),0,YEARFRAC(MAX($P$34*($B406+$I$38-1),IF(AND($L$37=0,$P$34=0),"",$L$37-1)),MIN(BG$38,$E406),$P$20))-SUM($BF406:BF406))</f>
        <v>0</v>
      </c>
      <c r="BH406" s="446">
        <f>IF($E406=0,0,IF(MIN(BH$38,$E406)&lt;MAX($P$34*($B406+$I$38-1),IF(AND($L$37=0,$P$34=0),"",$L$37-1)),0,YEARFRAC(MAX($P$34*($B406+$I$38-1),IF(AND($L$37=0,$P$34=0),"",$L$37-1)),MIN(BH$38,$E406),$P$20))-SUM($BF406:BG406))</f>
        <v>0</v>
      </c>
      <c r="BI406" s="446">
        <f>IF($E406=0,0,IF(MIN(BI$38,$E406)&lt;MAX($P$34*($B406+$I$38-1),IF(AND($L$37=0,$P$34=0),"",$L$37-1)),0,YEARFRAC(MAX($P$34*($B406+$I$38-1),IF(AND($L$37=0,$P$34=0),"",$L$37-1)),MIN(BI$38,$E406),$P$20))-SUM($BF406:BH406))</f>
        <v>0</v>
      </c>
      <c r="BJ406" s="446">
        <f>IF($E406=0,0,IF(MIN(BJ$38,$E406)&lt;MAX($P$34*($B406+$I$38-1),IF(AND($L$37=0,$P$34=0),"",$L$37-1)),0,YEARFRAC(MAX($P$34*($B406+$I$38-1),IF(AND($L$37=0,$P$34=0),"",$L$37-1)),MIN(BJ$38,$E406),$P$20))-SUM($BF406:BI406))</f>
        <v>0</v>
      </c>
      <c r="BK406" s="446">
        <f>IF($E406=0,0,IF(MIN(BK$38,$E406)&lt;MAX($P$34*($B406+$I$38-1),IF(AND($L$37=0,$P$34=0),"",$L$37-1)),0,YEARFRAC(MAX($P$34*($B406+$I$38-1),IF(AND($L$37=0,$P$34=0),"",$L$37-1)),MIN(BK$38,$E406),$P$20))-SUM($BF406:BJ406))</f>
        <v>0</v>
      </c>
      <c r="BL406" s="446">
        <f>IF($E406=0,0,IF(MIN(BL$38,$E406)&lt;MAX($P$34*($B406+$I$38-1),IF(AND($L$37=0,$P$34=0),"",$L$37-1)),0,YEARFRAC(MAX($P$34*($B406+$I$38-1),IF(AND($L$37=0,$P$34=0),"",$L$37-1)),MIN(BL$38,$E406),$P$20))-SUM($BF406:BK406))</f>
        <v>0</v>
      </c>
      <c r="BM406" s="446">
        <f>IF($E406=0,0,IF(MIN(BM$38,$E406)&lt;MAX($P$34*($B406+$I$38-1),IF(AND($L$37=0,$P$34=0),"",$L$37-1)),0,YEARFRAC(MAX($P$34*($B406+$I$38-1),IF(AND($L$37=0,$P$34=0),"",$L$37-1)),MIN(BM$38,$E406),$P$20))-SUM($BF406:BL406))</f>
        <v>0</v>
      </c>
      <c r="BN406" s="446">
        <f>IF($E406=0,0,IF(MIN(BN$38,$E406)&lt;MAX($P$34*($B406+$I$38-1),IF(AND($L$37=0,$P$34=0),"",$L$37-1)),0,YEARFRAC(MAX($P$34*($B406+$I$38-1),IF(AND($L$37=0,$P$34=0),"",$L$37-1)),MIN(BN$38,$E406),$P$20))-SUM($BF406:BM406))</f>
        <v>0</v>
      </c>
      <c r="BO406" s="446">
        <f>IF($E406=0,0,IF(MIN(BO$38,$E406)&lt;MAX($P$34*($B406+$I$38-1),IF(AND($L$37=0,$P$34=0),"",$L$37-1)),0,YEARFRAC(MAX($P$34*($B406+$I$38-1),IF(AND($L$37=0,$P$34=0),"",$L$37-1)),MIN(BO$38,$E406),$P$20))-SUM($BF406:BN406))</f>
        <v>0</v>
      </c>
      <c r="BP406" s="446">
        <f>IF($E406=0,0,IF(MIN(BP$38,$E406)&lt;MAX($P$34*($B406+$I$38-1),IF(AND($L$37=0,$P$34=0),"",$L$37-1)),0,YEARFRAC(MAX($P$34*($B406+$I$38-1),IF(AND($L$37=0,$P$34=0),"",$L$37-1)),MIN(BP$38,$E406),$P$20))-SUM($BF406:BO406))</f>
        <v>0</v>
      </c>
      <c r="BQ406" s="446">
        <f>IF($E406=0,0,IF(MIN(BQ$38,$E406)&lt;MAX($P$34*($B406+$I$38-1),IF(AND($L$37=0,$P$34=0),"",$L$37-1)),0,YEARFRAC(MAX($P$34*($B406+$I$38-1),IF(AND($L$37=0,$P$34=0),"",$L$37-1)),MIN(BQ$38,$E406),$P$20))-SUM($BF406:BP406))</f>
        <v>0</v>
      </c>
      <c r="BR406" s="446">
        <f>IF($E406=0,0,IF(MIN(BR$38,$E406)&lt;MAX($P$34*($B406+$I$38-1),IF(AND($L$37=0,$P$34=0),"",$L$37-1)),0,YEARFRAC(MAX($P$34*($B406+$I$38-1),IF(AND($L$37=0,$P$34=0),"",$L$37-1)),MIN(BR$38,$E406),$P$20))-SUM($BF406:BQ406))</f>
        <v>0</v>
      </c>
      <c r="BS406" s="446">
        <f>IF($E406=0,0,IF(MIN(BS$38,$E406)&lt;MAX($P$34*($B406+$I$38-1),IF(AND($L$37=0,$P$34=0),"",$L$37-1)),0,YEARFRAC(MAX($P$34*($B406+$I$38-1),IF(AND($L$37=0,$P$34=0),"",$L$37-1)),MIN(BS$38,$E406),$P$20))-SUM($BF406:BR406))</f>
        <v>0</v>
      </c>
      <c r="BT406" s="446">
        <f>IF($E406=0,0,IF(MIN(BT$38,$E406)&lt;MAX($P$34*($B406+$I$38-1),IF(AND($L$37=0,$P$34=0),"",$L$37-1)),0,YEARFRAC(MAX($P$34*($B406+$I$38-1),IF(AND($L$37=0,$P$34=0),"",$L$37-1)),MIN(BT$38,$E406),$P$20))-SUM($BF406:BS406))</f>
        <v>0</v>
      </c>
      <c r="BU406" s="446">
        <f>IF($E406=0,0,IF(MIN(BU$38,$E406)&lt;MAX($P$34*($B406+$I$38-1),IF(AND($L$37=0,$P$34=0),"",$L$37-1)),0,YEARFRAC(MAX($P$34*($B406+$I$38-1),IF(AND($L$37=0,$P$34=0),"",$L$37-1)),MIN(BU$38,$E406),$P$20))-SUM($BF406:BT406))</f>
        <v>0</v>
      </c>
      <c r="BV406" s="446">
        <f>IF($E406=0,0,IF(MIN(BV$38,$E406)&lt;MAX($P$34*($B406+$I$38-1),IF(AND($L$37=0,$P$34=0),"",$L$37-1)),0,YEARFRAC(MAX($P$34*($B406+$I$38-1),IF(AND($L$37=0,$P$34=0),"",$L$37-1)),MIN(BV$38,$E406),$P$20))-SUM($BF406:BU406))</f>
        <v>0</v>
      </c>
      <c r="BW406" s="446">
        <f>IF($E406=0,0,IF(MIN(BW$38,$E406)&lt;MAX($P$34*($B406+$I$38-1),IF(AND($L$37=0,$P$34=0),"",$L$37-1)),0,YEARFRAC(MAX($P$34*($B406+$I$38-1),IF(AND($L$37=0,$P$34=0),"",$L$37-1)),MIN(BW$38,$E406),$P$20))-SUM($BF406:BV406))</f>
        <v>0</v>
      </c>
      <c r="BX406" s="446">
        <f>IF($E406=0,0,IF(MIN(BX$38,$E406)&lt;MAX($P$34*($B406+$I$38-1),IF(AND($L$37=0,$P$34=0),"",$L$37-1)),0,YEARFRAC(MAX($P$34*($B406+$I$38-1),IF(AND($L$37=0,$P$34=0),"",$L$37-1)),MIN(BX$38,$E406),$P$20))-SUM($BF406:BW406))</f>
        <v>0</v>
      </c>
      <c r="BY406" s="446">
        <f>IF($E406=0,0,IF(MIN(BY$38,$E406)&lt;MAX($P$34*($B406+$I$38-1),IF(AND($L$37=0,$P$34=0),"",$L$37-1)),0,YEARFRAC(MAX($P$34*($B406+$I$38-1),IF(AND($L$37=0,$P$34=0),"",$L$37-1)),MIN(BY$38,$E406),$P$20))-SUM($BF406:BX406))</f>
        <v>0</v>
      </c>
      <c r="BZ406" s="446">
        <f>IF($E406=0,0,IF(MIN(BZ$38,$E406)&lt;MAX($P$34*($B406+$I$38-1),IF(AND($L$37=0,$P$34=0),"",$L$37-1)),0,YEARFRAC(MAX($P$34*($B406+$I$38-1),IF(AND($L$37=0,$P$34=0),"",$L$37-1)),MIN(BZ$38,$E406),$P$20))-SUM($BF406:BY406))</f>
        <v>0</v>
      </c>
      <c r="CA406" s="446">
        <f>IF($E406=0,0,IF(MIN(CA$38,$E406)&lt;MAX($P$34*($B406+$I$38-1),IF(AND($L$37=0,$P$34=0),"",$L$37-1)),0,YEARFRAC(MAX($P$34*($B406+$I$38-1),IF(AND($L$37=0,$P$34=0),"",$L$37-1)),MIN(CA$38,$E406),$P$20))-SUM($BF406:BZ406))</f>
        <v>0</v>
      </c>
      <c r="CB406" s="446">
        <f>IF($E406=0,0,IF(MIN(CB$38,$E406)&lt;MAX($P$34*($B406+$I$38-1),IF(AND($L$37=0,$P$34=0),"",$L$37-1)),0,YEARFRAC(MAX($P$34*($B406+$I$38-1),IF(AND($L$37=0,$P$34=0),"",$L$37-1)),MIN(CB$38,$E406),$P$20))-SUM($BF406:CA406))</f>
        <v>0</v>
      </c>
      <c r="CC406" s="446">
        <f>IF($E406=0,0,IF(MIN(CC$38,$E406)&lt;MAX($P$34*($B406+$I$38-1),IF(AND($L$37=0,$P$34=0),"",$L$37-1)),0,YEARFRAC(MAX($P$34*($B406+$I$38-1),IF(AND($L$37=0,$P$34=0),"",$L$37-1)),MIN(CC$38,$E406),$P$20))-SUM($BF406:CB406))</f>
        <v>0</v>
      </c>
      <c r="CD406" s="446">
        <f>IF($E406=0,0,IF(MIN(CD$38,$E406)&lt;MAX($P$34*($B406+$I$38-1),IF(AND($L$37=0,$P$34=0),"",$L$37-1)),0,YEARFRAC(MAX($P$34*($B406+$I$38-1),IF(AND($L$37=0,$P$34=0),"",$L$37-1)),MIN(CD$38,$E406),$P$20))-SUM($BF406:CC406))</f>
        <v>0</v>
      </c>
      <c r="CE406" s="446">
        <f>IF($E406=0,0,IF(MIN(CE$38,$E406)&lt;MAX($P$34*($B406+$I$38-1),IF(AND($L$37=0,$P$34=0),"",$L$37-1)),0,YEARFRAC(MAX($P$34*($B406+$I$38-1),IF(AND($L$37=0,$P$34=0),"",$L$37-1)),MIN(CE$38,$E406),$P$20))-SUM($BF406:CD406))</f>
        <v>0</v>
      </c>
      <c r="CF406" s="446">
        <f>IF($E406=0,0,IF(MIN(CF$38,$E406)&lt;MAX($P$34*($B406+$I$38-1),IF(AND($L$37=0,$P$34=0),"",$L$37-1)),0,YEARFRAC(MAX($P$34*($B406+$I$38-1),IF(AND($L$37=0,$P$34=0),"",$L$37-1)),MIN(CF$38,$E406),$P$20))-SUM($BF406:CE406))</f>
        <v>0</v>
      </c>
      <c r="CG406" s="446">
        <f>IF($E406=0,0,IF(MIN(CG$38,$E406)&lt;MAX($P$34*($B406+$I$38-1),IF(AND($L$37=0,$P$34=0),"",$L$37-1)),0,YEARFRAC(MAX($P$34*($B406+$I$38-1),IF(AND($L$37=0,$P$34=0),"",$L$37-1)),MIN(CG$38,$E406),$P$20))-SUM($BF406:CF406))</f>
        <v>0</v>
      </c>
      <c r="CH406" s="446">
        <f>IF($E406=0,0,IF(MIN(CH$38,$E406)&lt;MAX($P$34*($B406+$I$38-1),IF(AND($L$37=0,$P$34=0),"",$L$37-1)),0,YEARFRAC(MAX($P$34*($B406+$I$38-1),IF(AND($L$37=0,$P$34=0),"",$L$37-1)),MIN(CH$38,$E406),$P$20))-SUM($BF406:CG406))</f>
        <v>0</v>
      </c>
      <c r="CI406" s="446">
        <f>IF($E406=0,0,IF(MIN(CI$38,$E406)&lt;MAX($P$34*($B406+$I$38-1),IF(AND($L$37=0,$P$34=0),"",$L$37-1)),0,YEARFRAC(MAX($P$34*($B406+$I$38-1),IF(AND($L$37=0,$P$34=0),"",$L$37-1)),MIN(CI$38,$E406),$P$20))-SUM($BF406:CH406))</f>
        <v>0</v>
      </c>
      <c r="CJ406" s="446">
        <f>IF($E406=0,0,IF(MIN(CJ$38,$E406)&lt;MAX($P$34*($B406+$I$38-1),IF(AND($L$37=0,$P$34=0),"",$L$37-1)),0,YEARFRAC(MAX($P$34*($B406+$I$38-1),IF(AND($L$37=0,$P$34=0),"",$L$37-1)),MIN(CJ$38,$E406),$P$20))-SUM($BF406:CI406))</f>
        <v>0</v>
      </c>
      <c r="CK406" s="446">
        <f>IF($E406=0,0,IF(MIN(CK$38,$E406)&lt;MAX($P$34*($B406+$I$38-1),IF(AND($L$37=0,$P$34=0),"",$L$37-1)),0,YEARFRAC(MAX($P$34*($B406+$I$38-1),IF(AND($L$37=0,$P$34=0),"",$L$37-1)),MIN(CK$38,$E406),$P$20))-SUM($BF406:CJ406))</f>
        <v>0</v>
      </c>
      <c r="CL406" s="446">
        <f>IF($E406=0,0,IF(MIN(CL$38,$E406)&lt;MAX($P$34*($B406+$I$38-1),IF(AND($L$37=0,$P$34=0),"",$L$37-1)),0,YEARFRAC(MAX($P$34*($B406+$I$38-1),IF(AND($L$37=0,$P$34=0),"",$L$37-1)),MIN(CL$38,$E406),$P$20))-SUM($BF406:CK406))</f>
        <v>0</v>
      </c>
      <c r="CM406" s="446">
        <f>IF($E406=0,0,IF(MIN(CM$38,$E406)&lt;MAX($P$34*($B406+$I$38-1),IF(AND($L$37=0,$P$34=0),"",$L$37-1)),0,YEARFRAC(MAX($P$34*($B406+$I$38-1),IF(AND($L$37=0,$P$34=0),"",$L$37-1)),MIN(CM$38,$E406),$P$20))-SUM($BF406:CL406))</f>
        <v>0</v>
      </c>
      <c r="CN406" s="446">
        <f>IF($E406=0,0,IF(MIN(CN$38,$E406)&lt;MAX($P$34*($B406+$I$38-1),IF(AND($L$37=0,$P$34=0),"",$L$37-1)),0,YEARFRAC(MAX($P$34*($B406+$I$38-1),IF(AND($L$37=0,$P$34=0),"",$L$37-1)),MIN(CN$38,$E406),$P$20))-SUM($BF406:CM406))</f>
        <v>0</v>
      </c>
      <c r="CO406" s="446">
        <f>IF($E406=0,0,IF(MIN(CO$38,$E406)&lt;MAX($P$34*($B406+$I$38-1),IF(AND($L$37=0,$P$34=0),"",$L$37-1)),0,YEARFRAC(MAX($P$34*($B406+$I$38-1),IF(AND($L$37=0,$P$34=0),"",$L$37-1)),MIN(CO$38,$E406),$P$20))-SUM($BF406:CN406))</f>
        <v>0</v>
      </c>
      <c r="CP406" s="446">
        <f>IF($E406=0,0,IF(MIN(CP$38,$E406)&lt;MAX($P$34*($B406+$I$38-1),IF(AND($L$37=0,$P$34=0),"",$L$37-1)),0,YEARFRAC(MAX($P$34*($B406+$I$38-1),IF(AND($L$37=0,$P$34=0),"",$L$37-1)),MIN(CP$38,$E406),$P$20))-SUM($BF406:CO406))</f>
        <v>0</v>
      </c>
      <c r="CQ406" s="446">
        <f>IF($E406=0,0,IF(MIN(CQ$38,$E406)&lt;MAX($P$34*($B406+$I$38-1),IF(AND($L$37=0,$P$34=0),"",$L$37-1)),0,YEARFRAC(MAX($P$34*($B406+$I$38-1),IF(AND($L$37=0,$P$34=0),"",$L$37-1)),MIN(CQ$38,$E406),$P$20))-SUM($BF406:CP406))</f>
        <v>0</v>
      </c>
    </row>
    <row r="407" spans="1:95" s="446" customFormat="1" ht="11.25" hidden="1" customHeight="1" x14ac:dyDescent="0.2">
      <c r="A407" s="152"/>
      <c r="B407" s="153" t="str">
        <f t="shared" si="70"/>
        <v/>
      </c>
      <c r="C407" s="29" t="str">
        <f>IF(B407="","",IF($L$35="SELIC - TRIBUTOS",VLOOKUP(DATE(YEAR($D$19),MONTH($D$19)-1,1),ÍNDICES!$A:$DE,HLOOKUP($BL$25,ÍNDICES!$B$3:$T$4,2)+11)-VLOOKUP(B407,ÍNDICES!$A:$DE,HLOOKUP($BL$25,ÍNDICES!$B$3:$T$4,2)+11)+1%,IF(C$38=$W$26,$J$35,IF(ISERROR(IF(B407&gt;$D$19,1,VLOOKUP(DATE(YEAR(B407),MONTH(B407)+IF($C$35=$S$23,1,0),1),ÍNDICES!$A:$DE,$Z$35+1))),"",IF(B407&gt;$D$19,1,VLOOKUP(DATE(YEAR(B407),MONTH(B407)+IF($C$35=$S$23,1,0),1),ÍNDICES!$A:$DE,$Z$35+1))))))</f>
        <v/>
      </c>
      <c r="D407" s="154" t="str">
        <f>IF(ISERROR(IF(OR($D$38=$Y$27,$B407=""),"",VLOOKUP(B407,ÍNDICES!A:DE,AF$35+1))),"",IF(OR($D$38=$Y$27,$B407=""),"",VLOOKUP(B407,ÍNDICES!A:DE,AF$35+1)))</f>
        <v/>
      </c>
      <c r="E407" s="153"/>
      <c r="F407" s="29" t="str">
        <f>IF(E407="","",IF($L$35="SELIC - TRIBUTOS",VLOOKUP(DATE(YEAR($D$19),MONTH($D$19)-1,1),ÍNDICES!$A:$DE,HLOOKUP($BL$25,ÍNDICES!$B$3:$T$4,2)+11)-VLOOKUP(E407,ÍNDICES!$A:$DE,HLOOKUP($BL$25,ÍNDICES!$B$3:$T$4,2)+11)+1%,IF(F$38=$W$26,$J$35,IF(ISERROR(IF(E407&gt;$D$19,1,VLOOKUP(DATE(YEAR(E407),MONTH(E407)+IF($C$35=$S$23,1,0),1),ÍNDICES!$A:$DE,$Z$35+1))),"",IF(E407&gt;$D$19,1,VLOOKUP(DATE(YEAR(E407),MONTH(E407)+IF($C$35=$S$23,1,0),1),ÍNDICES!$A:$DE,$Z$35+1))))))</f>
        <v/>
      </c>
      <c r="G407" s="155"/>
      <c r="H407" s="156" t="str">
        <f t="shared" si="66"/>
        <v/>
      </c>
      <c r="I407" s="29" t="str">
        <f t="shared" si="60"/>
        <v/>
      </c>
      <c r="J407" s="5">
        <f t="shared" si="61"/>
        <v>0</v>
      </c>
      <c r="K407" s="20">
        <f t="shared" ca="1" si="62"/>
        <v>0</v>
      </c>
      <c r="L407" s="5">
        <f t="shared" ca="1" si="63"/>
        <v>0</v>
      </c>
      <c r="M407" s="64">
        <f t="shared" si="67"/>
        <v>0</v>
      </c>
      <c r="N407" s="61">
        <f t="shared" ca="1" si="68"/>
        <v>0</v>
      </c>
      <c r="O407" s="5">
        <f t="shared" ca="1" si="69"/>
        <v>0</v>
      </c>
      <c r="P407" s="446" t="e">
        <f t="shared" si="64"/>
        <v>#VALUE!</v>
      </c>
      <c r="Q407" s="446" t="e">
        <f>IF(OR($B407="",MIN(Q$38,$D$19)&lt;MAX($P$34*($B407+IF($R$17="Distrato",$I$38-1,0)),IF(AND($L$37=0,$P$34=0),"",$L$37-1),IF($R$17="Distrato",$E407,0))),0,YEARFRAC(MAX($P$34*($B407+IF($R$17="Distrato",$I$38-1,0)),IF(AND($L$37=0,$P$34=0),"",$L$37-1),IF($R$17="Distrato",$E407,0)),MIN(Q$38,$D$19),$P$20))-SUM($P407:P407)</f>
        <v>#VALUE!</v>
      </c>
      <c r="R407" s="446" t="e">
        <f>IF(OR($B407="",MIN(R$38,$D$19)&lt;MAX($P$34*($B407+IF($R$17="Distrato",$I$38-1,0)),IF(AND($L$37=0,$P$34=0),"",$L$37-1),IF($R$17="Distrato",$E407,0))),0,YEARFRAC(MAX($P$34*($B407+IF($R$17="Distrato",$I$38-1,0)),IF(AND($L$37=0,$P$34=0),"",$L$37-1),IF($R$17="Distrato",$E407,0)),MIN(R$38,$D$19),$P$20))-SUM($P407:Q407)</f>
        <v>#VALUE!</v>
      </c>
      <c r="S407" s="446" t="e">
        <f>IF(OR($B407="",MIN(S$38,$D$19)&lt;MAX($P$34*($B407+IF($R$17="Distrato",$I$38-1,0)),IF(AND($L$37=0,$P$34=0),"",$L$37-1),IF($R$17="Distrato",$E407,0))),0,YEARFRAC(MAX($P$34*($B407+IF($R$17="Distrato",$I$38-1,0)),IF(AND($L$37=0,$P$34=0),"",$L$37-1),IF($R$17="Distrato",$E407,0)),MIN(S$38,$D$19),$P$20))-SUM($P407:R407)</f>
        <v>#VALUE!</v>
      </c>
      <c r="T407" s="446" t="e">
        <f>IF(OR($B407="",MIN(T$38,$D$19)&lt;MAX($P$34*($B407+IF($R$17="Distrato",$I$38-1,0)),IF(AND($L$37=0,$P$34=0),"",$L$37-1),IF($R$17="Distrato",$E407,0))),0,YEARFRAC(MAX($P$34*($B407+IF($R$17="Distrato",$I$38-1,0)),IF(AND($L$37=0,$P$34=0),"",$L$37-1),IF($R$17="Distrato",$E407,0)),MIN(T$38,$D$19),$P$20))-SUM($P407:S407)</f>
        <v>#VALUE!</v>
      </c>
      <c r="U407" s="446" t="e">
        <f>IF(OR($B407="",MIN(U$38,$D$19)&lt;MAX($P$34*($B407+IF($R$17="Distrato",$I$38-1,0)),IF(AND($L$37=0,$P$34=0),"",$L$37-1),IF($R$17="Distrato",$E407,0))),0,YEARFRAC(MAX($P$34*($B407+IF($R$17="Distrato",$I$38-1,0)),IF(AND($L$37=0,$P$34=0),"",$L$37-1),IF($R$17="Distrato",$E407,0)),MIN(U$38,$D$19),$P$20))-SUM($P407:T407)</f>
        <v>#VALUE!</v>
      </c>
      <c r="V407" s="446" t="e">
        <f>IF(OR($B407="",MIN(V$38,$D$19)&lt;MAX($P$34*($B407+IF($R$17="Distrato",$I$38-1,0)),IF(AND($L$37=0,$P$34=0),"",$L$37-1),IF($R$17="Distrato",$E407,0))),0,YEARFRAC(MAX($P$34*($B407+IF($R$17="Distrato",$I$38-1,0)),IF(AND($L$37=0,$P$34=0),"",$L$37-1),IF($R$17="Distrato",$E407,0)),MIN(V$38,$D$19),$P$20))-SUM($P407:U407)</f>
        <v>#VALUE!</v>
      </c>
      <c r="W407" s="446" t="e">
        <f>IF(OR($B407="",MIN(W$38,$D$19)&lt;MAX($P$34*($B407+IF($R$17="Distrato",$I$38-1,0)),IF(AND($L$37=0,$P$34=0),"",$L$37-1),IF($R$17="Distrato",$E407,0))),0,YEARFRAC(MAX($P$34*($B407+IF($R$17="Distrato",$I$38-1,0)),IF(AND($L$37=0,$P$34=0),"",$L$37-1),IF($R$17="Distrato",$E407,0)),MIN(W$38,$D$19),$P$20))-SUM($P407:V407)</f>
        <v>#VALUE!</v>
      </c>
      <c r="X407" s="446" t="e">
        <f>IF(OR($B407="",MIN(X$38,$D$19)&lt;MAX($P$34*($B407+IF($R$17="Distrato",$I$38-1,0)),IF(AND($L$37=0,$P$34=0),"",$L$37-1),IF($R$17="Distrato",$E407,0))),0,YEARFRAC(MAX($P$34*($B407+IF($R$17="Distrato",$I$38-1,0)),IF(AND($L$37=0,$P$34=0),"",$L$37-1),IF($R$17="Distrato",$E407,0)),MIN(X$38,$D$19),$P$20))-SUM($P407:W407)</f>
        <v>#VALUE!</v>
      </c>
      <c r="Y407" s="446" t="e">
        <f>IF(OR($B407="",MIN(Y$38,$D$19)&lt;MAX($P$34*($B407+IF($R$17="Distrato",$I$38-1,0)),IF(AND($L$37=0,$P$34=0),"",$L$37-1),IF($R$17="Distrato",$E407,0))),0,YEARFRAC(MAX($P$34*($B407+IF($R$17="Distrato",$I$38-1,0)),IF(AND($L$37=0,$P$34=0),"",$L$37-1),IF($R$17="Distrato",$E407,0)),MIN(Y$38,$D$19),$P$20))-SUM($P407:X407)</f>
        <v>#VALUE!</v>
      </c>
      <c r="Z407" s="446" t="e">
        <f>IF(OR($B407="",MIN(Z$38,$D$19)&lt;MAX($P$34*($B407+IF($R$17="Distrato",$I$38-1,0)),IF(AND($L$37=0,$P$34=0),"",$L$37-1),IF($R$17="Distrato",$E407,0))),0,YEARFRAC(MAX($P$34*($B407+IF($R$17="Distrato",$I$38-1,0)),IF(AND($L$37=0,$P$34=0),"",$L$37-1),IF($R$17="Distrato",$E407,0)),MIN(Z$38,$D$19),$P$20))-SUM($P407:Y407)</f>
        <v>#VALUE!</v>
      </c>
      <c r="AA407" s="446" t="e">
        <f>IF(OR($B407="",MIN(AA$38,$D$19)&lt;MAX($P$34*($B407+IF($R$17="Distrato",$I$38-1,0)),IF(AND($L$37=0,$P$34=0),"",$L$37-1),IF($R$17="Distrato",$E407,0))),0,YEARFRAC(MAX($P$34*($B407+IF($R$17="Distrato",$I$38-1,0)),IF(AND($L$37=0,$P$34=0),"",$L$37-1),IF($R$17="Distrato",$E407,0)),MIN(AA$38,$D$19),$P$20))-SUM($P407:Z407)</f>
        <v>#VALUE!</v>
      </c>
      <c r="AB407" s="446" t="e">
        <f>IF(OR($B407="",MIN(AB$38,$D$19)&lt;MAX($P$34*($B407+IF($R$17="Distrato",$I$38-1,0)),IF(AND($L$37=0,$P$34=0),"",$L$37-1),IF($R$17="Distrato",$E407,0))),0,YEARFRAC(MAX($P$34*($B407+IF($R$17="Distrato",$I$38-1,0)),IF(AND($L$37=0,$P$34=0),"",$L$37-1),IF($R$17="Distrato",$E407,0)),MIN(AB$38,$D$19),$P$20))-SUM($P407:AA407)</f>
        <v>#VALUE!</v>
      </c>
      <c r="AC407" s="446" t="e">
        <f>IF(OR($B407="",MIN(AC$38,$D$19)&lt;MAX($P$34*($B407+IF($R$17="Distrato",$I$38-1,0)),IF(AND($L$37=0,$P$34=0),"",$L$37-1),IF($R$17="Distrato",$E407,0))),0,YEARFRAC(MAX($P$34*($B407+IF($R$17="Distrato",$I$38-1,0)),IF(AND($L$37=0,$P$34=0),"",$L$37-1),IF($R$17="Distrato",$E407,0)),MIN(AC$38,$D$19),$P$20))-SUM($P407:AB407)</f>
        <v>#VALUE!</v>
      </c>
      <c r="AD407" s="446" t="e">
        <f>IF(OR($B407="",MIN(AD$38,$D$19)&lt;MAX($P$34*($B407+IF($R$17="Distrato",$I$38-1,0)),IF(AND($L$37=0,$P$34=0),"",$L$37-1),IF($R$17="Distrato",$E407,0))),0,YEARFRAC(MAX($P$34*($B407+IF($R$17="Distrato",$I$38-1,0)),IF(AND($L$37=0,$P$34=0),"",$L$37-1),IF($R$17="Distrato",$E407,0)),MIN(AD$38,$D$19),$P$20))-SUM($P407:AC407)</f>
        <v>#VALUE!</v>
      </c>
      <c r="AE407" s="446" t="e">
        <f>IF(OR($B407="",MIN(AE$38,$D$19)&lt;MAX($P$34*($B407+IF($R$17="Distrato",$I$38-1,0)),IF(AND($L$37=0,$P$34=0),"",$L$37-1),IF($R$17="Distrato",$E407,0))),0,YEARFRAC(MAX($P$34*($B407+IF($R$17="Distrato",$I$38-1,0)),IF(AND($L$37=0,$P$34=0),"",$L$37-1),IF($R$17="Distrato",$E407,0)),MIN(AE$38,$D$19),$P$20))-SUM($P407:AD407)</f>
        <v>#VALUE!</v>
      </c>
      <c r="AF407" s="446" t="e">
        <f>IF(OR($B407="",MIN(AF$38,$D$19)&lt;MAX($P$34*($B407+IF($R$17="Distrato",$I$38-1,0)),IF(AND($L$37=0,$P$34=0),"",$L$37-1),IF($R$17="Distrato",$E407,0))),0,YEARFRAC(MAX($P$34*($B407+IF($R$17="Distrato",$I$38-1,0)),IF(AND($L$37=0,$P$34=0),"",$L$37-1),IF($R$17="Distrato",$E407,0)),MIN(AF$38,$D$19),$P$20))-SUM($P407:AE407)</f>
        <v>#VALUE!</v>
      </c>
      <c r="AG407" s="446" t="e">
        <f>IF(OR($B407="",MIN(AG$38,$D$19)&lt;MAX($P$34*($B407+IF($R$17="Distrato",$I$38-1,0)),IF(AND($L$37=0,$P$34=0),"",$L$37-1),IF($R$17="Distrato",$E407,0))),0,YEARFRAC(MAX($P$34*($B407+IF($R$17="Distrato",$I$38-1,0)),IF(AND($L$37=0,$P$34=0),"",$L$37-1),IF($R$17="Distrato",$E407,0)),MIN(AG$38,$D$19),$P$20))-SUM($P407:AF407)</f>
        <v>#VALUE!</v>
      </c>
      <c r="AH407" s="446" t="e">
        <f>IF(OR($B407="",MIN(AH$38,$D$19)&lt;MAX($P$34*($B407+IF($R$17="Distrato",$I$38-1,0)),IF(AND($L$37=0,$P$34=0),"",$L$37-1),IF($R$17="Distrato",$E407,0))),0,YEARFRAC(MAX($P$34*($B407+IF($R$17="Distrato",$I$38-1,0)),IF(AND($L$37=0,$P$34=0),"",$L$37-1),IF($R$17="Distrato",$E407,0)),MIN(AH$38,$D$19),$P$20))-SUM($P407:AG407)</f>
        <v>#VALUE!</v>
      </c>
      <c r="AI407" s="446" t="e">
        <f>IF(OR($B407="",MIN(AI$38,$D$19)&lt;MAX($P$34*($B407+IF($R$17="Distrato",$I$38-1,0)),IF(AND($L$37=0,$P$34=0),"",$L$37-1),IF($R$17="Distrato",$E407,0))),0,YEARFRAC(MAX($P$34*($B407+IF($R$17="Distrato",$I$38-1,0)),IF(AND($L$37=0,$P$34=0),"",$L$37-1),IF($R$17="Distrato",$E407,0)),MIN(AI$38,$D$19),$P$20))-SUM($P407:AH407)</f>
        <v>#VALUE!</v>
      </c>
      <c r="AJ407" s="446" t="e">
        <f>IF(OR($B407="",MIN(AJ$38,$D$19)&lt;MAX($P$34*($B407+IF($R$17="Distrato",$I$38-1,0)),IF(AND($L$37=0,$P$34=0),"",$L$37-1),IF($R$17="Distrato",$E407,0))),0,YEARFRAC(MAX($P$34*($B407+IF($R$17="Distrato",$I$38-1,0)),IF(AND($L$37=0,$P$34=0),"",$L$37-1),IF($R$17="Distrato",$E407,0)),MIN(AJ$38,$D$19),$P$20))-SUM($P407:AI407)</f>
        <v>#VALUE!</v>
      </c>
      <c r="AK407" s="446" t="e">
        <f>IF(OR($B407="",MIN(AK$38,$D$19)&lt;MAX($P$34*($B407+IF($R$17="Distrato",$I$38-1,0)),IF(AND($L$37=0,$P$34=0),"",$L$37-1),IF($R$17="Distrato",$E407,0))),0,YEARFRAC(MAX($P$34*($B407+IF($R$17="Distrato",$I$38-1,0)),IF(AND($L$37=0,$P$34=0),"",$L$37-1),IF($R$17="Distrato",$E407,0)),MIN(AK$38,$D$19),$P$20))-SUM($P407:AJ407)</f>
        <v>#VALUE!</v>
      </c>
      <c r="AL407" s="446" t="e">
        <f>IF(OR($B407="",MIN(AL$38,$D$19)&lt;MAX($P$34*($B407+IF($R$17="Distrato",$I$38-1,0)),IF(AND($L$37=0,$P$34=0),"",$L$37-1),IF($R$17="Distrato",$E407,0))),0,YEARFRAC(MAX($P$34*($B407+IF($R$17="Distrato",$I$38-1,0)),IF(AND($L$37=0,$P$34=0),"",$L$37-1),IF($R$17="Distrato",$E407,0)),MIN(AL$38,$D$19),$P$20))-SUM($P407:AK407)</f>
        <v>#VALUE!</v>
      </c>
      <c r="AM407" s="446" t="e">
        <f>IF(OR($B407="",MIN(AM$38,$D$19)&lt;MAX($P$34*($B407+IF($R$17="Distrato",$I$38-1,0)),IF(AND($L$37=0,$P$34=0),"",$L$37-1),IF($R$17="Distrato",$E407,0))),0,YEARFRAC(MAX($P$34*($B407+IF($R$17="Distrato",$I$38-1,0)),IF(AND($L$37=0,$P$34=0),"",$L$37-1),IF($R$17="Distrato",$E407,0)),MIN(AM$38,$D$19),$P$20))-SUM($P407:AL407)</f>
        <v>#VALUE!</v>
      </c>
      <c r="AN407" s="446" t="e">
        <f>IF(OR($B407="",MIN(AN$38,$D$19)&lt;MAX($P$34*($B407+IF($R$17="Distrato",$I$38-1,0)),IF(AND($L$37=0,$P$34=0),"",$L$37-1),IF($R$17="Distrato",$E407,0))),0,YEARFRAC(MAX($P$34*($B407+IF($R$17="Distrato",$I$38-1,0)),IF(AND($L$37=0,$P$34=0),"",$L$37-1),IF($R$17="Distrato",$E407,0)),MIN(AN$38,$D$19),$P$20))-SUM($P407:AM407)</f>
        <v>#VALUE!</v>
      </c>
      <c r="AO407" s="446" t="e">
        <f>IF(OR($B407="",MIN(AO$38,$D$19)&lt;MAX($P$34*($B407+IF($R$17="Distrato",$I$38-1,0)),IF(AND($L$37=0,$P$34=0),"",$L$37-1),IF($R$17="Distrato",$E407,0))),0,YEARFRAC(MAX($P$34*($B407+IF($R$17="Distrato",$I$38-1,0)),IF(AND($L$37=0,$P$34=0),"",$L$37-1),IF($R$17="Distrato",$E407,0)),MIN(AO$38,$D$19),$P$20))-SUM($P407:AN407)</f>
        <v>#VALUE!</v>
      </c>
      <c r="AP407" s="446" t="e">
        <f>IF(OR($B407="",MIN(AP$38,$D$19)&lt;MAX($P$34*($B407+IF($R$17="Distrato",$I$38-1,0)),IF(AND($L$37=0,$P$34=0),"",$L$37-1),IF($R$17="Distrato",$E407,0))),0,YEARFRAC(MAX($P$34*($B407+IF($R$17="Distrato",$I$38-1,0)),IF(AND($L$37=0,$P$34=0),"",$L$37-1),IF($R$17="Distrato",$E407,0)),MIN(AP$38,$D$19),$P$20))-SUM($P407:AO407)</f>
        <v>#VALUE!</v>
      </c>
      <c r="AQ407" s="446" t="e">
        <f>IF(OR($B407="",MIN(AQ$38,$D$19)&lt;MAX($P$34*($B407+IF($R$17="Distrato",$I$38-1,0)),IF(AND($L$37=0,$P$34=0),"",$L$37-1),IF($R$17="Distrato",$E407,0))),0,YEARFRAC(MAX($P$34*($B407+IF($R$17="Distrato",$I$38-1,0)),IF(AND($L$37=0,$P$34=0),"",$L$37-1),IF($R$17="Distrato",$E407,0)),MIN(AQ$38,$D$19),$P$20))-SUM($P407:AP407)</f>
        <v>#VALUE!</v>
      </c>
      <c r="AR407" s="446" t="e">
        <f>IF(OR($B407="",MIN(AR$38,$D$19)&lt;MAX($P$34*($B407+IF($R$17="Distrato",$I$38-1,0)),IF(AND($L$37=0,$P$34=0),"",$L$37-1),IF($R$17="Distrato",$E407,0))),0,YEARFRAC(MAX($P$34*($B407+IF($R$17="Distrato",$I$38-1,0)),IF(AND($L$37=0,$P$34=0),"",$L$37-1),IF($R$17="Distrato",$E407,0)),MIN(AR$38,$D$19),$P$20))-SUM($P407:AQ407)</f>
        <v>#VALUE!</v>
      </c>
      <c r="AS407" s="446" t="e">
        <f>IF(OR($B407="",MIN(AS$38,$D$19)&lt;MAX($P$34*($B407+IF($R$17="Distrato",$I$38-1,0)),IF(AND($L$37=0,$P$34=0),"",$L$37-1),IF($R$17="Distrato",$E407,0))),0,YEARFRAC(MAX($P$34*($B407+IF($R$17="Distrato",$I$38-1,0)),IF(AND($L$37=0,$P$34=0),"",$L$37-1),IF($R$17="Distrato",$E407,0)),MIN(AS$38,$D$19),$P$20))-SUM($P407:AR407)</f>
        <v>#VALUE!</v>
      </c>
      <c r="AT407" s="446" t="e">
        <f>IF(OR($B407="",MIN(AT$38,$D$19)&lt;MAX($P$34*($B407+IF($R$17="Distrato",$I$38-1,0)),IF(AND($L$37=0,$P$34=0),"",$L$37-1),IF($R$17="Distrato",$E407,0))),0,YEARFRAC(MAX($P$34*($B407+IF($R$17="Distrato",$I$38-1,0)),IF(AND($L$37=0,$P$34=0),"",$L$37-1),IF($R$17="Distrato",$E407,0)),MIN(AT$38,$D$19),$P$20))-SUM($P407:AS407)</f>
        <v>#VALUE!</v>
      </c>
      <c r="AU407" s="446" t="e">
        <f>IF(OR($B407="",MIN(AU$38,$D$19)&lt;MAX($P$34*($B407+IF($R$17="Distrato",$I$38-1,0)),IF(AND($L$37=0,$P$34=0),"",$L$37-1),IF($R$17="Distrato",$E407,0))),0,YEARFRAC(MAX($P$34*($B407+IF($R$17="Distrato",$I$38-1,0)),IF(AND($L$37=0,$P$34=0),"",$L$37-1),IF($R$17="Distrato",$E407,0)),MIN(AU$38,$D$19),$P$20))-SUM($P407:AT407)</f>
        <v>#VALUE!</v>
      </c>
      <c r="AV407" s="446" t="e">
        <f>IF(OR($B407="",MIN(AV$38,$D$19)&lt;MAX($P$34*($B407+IF($R$17="Distrato",$I$38-1,0)),IF(AND($L$37=0,$P$34=0),"",$L$37-1),IF($R$17="Distrato",$E407,0))),0,YEARFRAC(MAX($P$34*($B407+IF($R$17="Distrato",$I$38-1,0)),IF(AND($L$37=0,$P$34=0),"",$L$37-1),IF($R$17="Distrato",$E407,0)),MIN(AV$38,$D$19),$P$20))-SUM($P407:AU407)</f>
        <v>#VALUE!</v>
      </c>
      <c r="AW407" s="446" t="e">
        <f>IF(OR($B407="",MIN(AW$38,$D$19)&lt;MAX($P$34*($B407+IF($R$17="Distrato",$I$38-1,0)),IF(AND($L$37=0,$P$34=0),"",$L$37-1),IF($R$17="Distrato",$E407,0))),0,YEARFRAC(MAX($P$34*($B407+IF($R$17="Distrato",$I$38-1,0)),IF(AND($L$37=0,$P$34=0),"",$L$37-1),IF($R$17="Distrato",$E407,0)),MIN(AW$38,$D$19),$P$20))-SUM($P407:AV407)</f>
        <v>#VALUE!</v>
      </c>
      <c r="AX407" s="446" t="e">
        <f>IF(OR($B407="",MIN(AX$38,$D$19)&lt;MAX($P$34*($B407+IF($R$17="Distrato",$I$38-1,0)),IF(AND($L$37=0,$P$34=0),"",$L$37-1),IF($R$17="Distrato",$E407,0))),0,YEARFRAC(MAX($P$34*($B407+IF($R$17="Distrato",$I$38-1,0)),IF(AND($L$37=0,$P$34=0),"",$L$37-1),IF($R$17="Distrato",$E407,0)),MIN(AX$38,$D$19),$P$20))-SUM($P407:AW407)</f>
        <v>#VALUE!</v>
      </c>
      <c r="AY407" s="446" t="e">
        <f>IF(OR($B407="",MIN(AY$38,$D$19)&lt;MAX($P$34*($B407+IF($R$17="Distrato",$I$38-1,0)),IF(AND($L$37=0,$P$34=0),"",$L$37-1),IF($R$17="Distrato",$E407,0))),0,YEARFRAC(MAX($P$34*($B407+IF($R$17="Distrato",$I$38-1,0)),IF(AND($L$37=0,$P$34=0),"",$L$37-1),IF($R$17="Distrato",$E407,0)),MIN(AY$38,$D$19),$P$20))-SUM($P407:AX407)</f>
        <v>#VALUE!</v>
      </c>
      <c r="AZ407" s="446" t="e">
        <f>IF(OR($B407="",MIN(AZ$38,$D$19)&lt;MAX($P$34*($B407+IF($R$17="Distrato",$I$38-1,0)),IF(AND($L$37=0,$P$34=0),"",$L$37-1),IF($R$17="Distrato",$E407,0))),0,YEARFRAC(MAX($P$34*($B407+IF($R$17="Distrato",$I$38-1,0)),IF(AND($L$37=0,$P$34=0),"",$L$37-1),IF($R$17="Distrato",$E407,0)),MIN(AZ$38,$D$19),$P$20))-SUM($P407:AY407)</f>
        <v>#VALUE!</v>
      </c>
      <c r="BA407" s="446" t="e">
        <f>IF(OR($B407="",MIN(BA$38,$D$19)&lt;MAX($P$34*($B407+IF($R$17="Distrato",$I$38-1,0)),IF(AND($L$37=0,$P$34=0),"",$L$37-1),IF($R$17="Distrato",$E407,0))),0,YEARFRAC(MAX($P$34*($B407+IF($R$17="Distrato",$I$38-1,0)),IF(AND($L$37=0,$P$34=0),"",$L$37-1),IF($R$17="Distrato",$E407,0)),MIN(BA$38,$D$19),$P$20))-SUM($P407:AZ407)</f>
        <v>#VALUE!</v>
      </c>
      <c r="BB407" s="447"/>
      <c r="BF407" s="446">
        <f t="shared" si="65"/>
        <v>0</v>
      </c>
      <c r="BG407" s="446">
        <f>IF($E407=0,0,IF(MIN(BG$38,$E407)&lt;MAX($P$34*($B407+$I$38-1),IF(AND($L$37=0,$P$34=0),"",$L$37-1)),0,YEARFRAC(MAX($P$34*($B407+$I$38-1),IF(AND($L$37=0,$P$34=0),"",$L$37-1)),MIN(BG$38,$E407),$P$20))-SUM($BF407:BF407))</f>
        <v>0</v>
      </c>
      <c r="BH407" s="446">
        <f>IF($E407=0,0,IF(MIN(BH$38,$E407)&lt;MAX($P$34*($B407+$I$38-1),IF(AND($L$37=0,$P$34=0),"",$L$37-1)),0,YEARFRAC(MAX($P$34*($B407+$I$38-1),IF(AND($L$37=0,$P$34=0),"",$L$37-1)),MIN(BH$38,$E407),$P$20))-SUM($BF407:BG407))</f>
        <v>0</v>
      </c>
      <c r="BI407" s="446">
        <f>IF($E407=0,0,IF(MIN(BI$38,$E407)&lt;MAX($P$34*($B407+$I$38-1),IF(AND($L$37=0,$P$34=0),"",$L$37-1)),0,YEARFRAC(MAX($P$34*($B407+$I$38-1),IF(AND($L$37=0,$P$34=0),"",$L$37-1)),MIN(BI$38,$E407),$P$20))-SUM($BF407:BH407))</f>
        <v>0</v>
      </c>
      <c r="BJ407" s="446">
        <f>IF($E407=0,0,IF(MIN(BJ$38,$E407)&lt;MAX($P$34*($B407+$I$38-1),IF(AND($L$37=0,$P$34=0),"",$L$37-1)),0,YEARFRAC(MAX($P$34*($B407+$I$38-1),IF(AND($L$37=0,$P$34=0),"",$L$37-1)),MIN(BJ$38,$E407),$P$20))-SUM($BF407:BI407))</f>
        <v>0</v>
      </c>
      <c r="BK407" s="446">
        <f>IF($E407=0,0,IF(MIN(BK$38,$E407)&lt;MAX($P$34*($B407+$I$38-1),IF(AND($L$37=0,$P$34=0),"",$L$37-1)),0,YEARFRAC(MAX($P$34*($B407+$I$38-1),IF(AND($L$37=0,$P$34=0),"",$L$37-1)),MIN(BK$38,$E407),$P$20))-SUM($BF407:BJ407))</f>
        <v>0</v>
      </c>
      <c r="BL407" s="446">
        <f>IF($E407=0,0,IF(MIN(BL$38,$E407)&lt;MAX($P$34*($B407+$I$38-1),IF(AND($L$37=0,$P$34=0),"",$L$37-1)),0,YEARFRAC(MAX($P$34*($B407+$I$38-1),IF(AND($L$37=0,$P$34=0),"",$L$37-1)),MIN(BL$38,$E407),$P$20))-SUM($BF407:BK407))</f>
        <v>0</v>
      </c>
      <c r="BM407" s="446">
        <f>IF($E407=0,0,IF(MIN(BM$38,$E407)&lt;MAX($P$34*($B407+$I$38-1),IF(AND($L$37=0,$P$34=0),"",$L$37-1)),0,YEARFRAC(MAX($P$34*($B407+$I$38-1),IF(AND($L$37=0,$P$34=0),"",$L$37-1)),MIN(BM$38,$E407),$P$20))-SUM($BF407:BL407))</f>
        <v>0</v>
      </c>
      <c r="BN407" s="446">
        <f>IF($E407=0,0,IF(MIN(BN$38,$E407)&lt;MAX($P$34*($B407+$I$38-1),IF(AND($L$37=0,$P$34=0),"",$L$37-1)),0,YEARFRAC(MAX($P$34*($B407+$I$38-1),IF(AND($L$37=0,$P$34=0),"",$L$37-1)),MIN(BN$38,$E407),$P$20))-SUM($BF407:BM407))</f>
        <v>0</v>
      </c>
      <c r="BO407" s="446">
        <f>IF($E407=0,0,IF(MIN(BO$38,$E407)&lt;MAX($P$34*($B407+$I$38-1),IF(AND($L$37=0,$P$34=0),"",$L$37-1)),0,YEARFRAC(MAX($P$34*($B407+$I$38-1),IF(AND($L$37=0,$P$34=0),"",$L$37-1)),MIN(BO$38,$E407),$P$20))-SUM($BF407:BN407))</f>
        <v>0</v>
      </c>
      <c r="BP407" s="446">
        <f>IF($E407=0,0,IF(MIN(BP$38,$E407)&lt;MAX($P$34*($B407+$I$38-1),IF(AND($L$37=0,$P$34=0),"",$L$37-1)),0,YEARFRAC(MAX($P$34*($B407+$I$38-1),IF(AND($L$37=0,$P$34=0),"",$L$37-1)),MIN(BP$38,$E407),$P$20))-SUM($BF407:BO407))</f>
        <v>0</v>
      </c>
      <c r="BQ407" s="446">
        <f>IF($E407=0,0,IF(MIN(BQ$38,$E407)&lt;MAX($P$34*($B407+$I$38-1),IF(AND($L$37=0,$P$34=0),"",$L$37-1)),0,YEARFRAC(MAX($P$34*($B407+$I$38-1),IF(AND($L$37=0,$P$34=0),"",$L$37-1)),MIN(BQ$38,$E407),$P$20))-SUM($BF407:BP407))</f>
        <v>0</v>
      </c>
      <c r="BR407" s="446">
        <f>IF($E407=0,0,IF(MIN(BR$38,$E407)&lt;MAX($P$34*($B407+$I$38-1),IF(AND($L$37=0,$P$34=0),"",$L$37-1)),0,YEARFRAC(MAX($P$34*($B407+$I$38-1),IF(AND($L$37=0,$P$34=0),"",$L$37-1)),MIN(BR$38,$E407),$P$20))-SUM($BF407:BQ407))</f>
        <v>0</v>
      </c>
      <c r="BS407" s="446">
        <f>IF($E407=0,0,IF(MIN(BS$38,$E407)&lt;MAX($P$34*($B407+$I$38-1),IF(AND($L$37=0,$P$34=0),"",$L$37-1)),0,YEARFRAC(MAX($P$34*($B407+$I$38-1),IF(AND($L$37=0,$P$34=0),"",$L$37-1)),MIN(BS$38,$E407),$P$20))-SUM($BF407:BR407))</f>
        <v>0</v>
      </c>
      <c r="BT407" s="446">
        <f>IF($E407=0,0,IF(MIN(BT$38,$E407)&lt;MAX($P$34*($B407+$I$38-1),IF(AND($L$37=0,$P$34=0),"",$L$37-1)),0,YEARFRAC(MAX($P$34*($B407+$I$38-1),IF(AND($L$37=0,$P$34=0),"",$L$37-1)),MIN(BT$38,$E407),$P$20))-SUM($BF407:BS407))</f>
        <v>0</v>
      </c>
      <c r="BU407" s="446">
        <f>IF($E407=0,0,IF(MIN(BU$38,$E407)&lt;MAX($P$34*($B407+$I$38-1),IF(AND($L$37=0,$P$34=0),"",$L$37-1)),0,YEARFRAC(MAX($P$34*($B407+$I$38-1),IF(AND($L$37=0,$P$34=0),"",$L$37-1)),MIN(BU$38,$E407),$P$20))-SUM($BF407:BT407))</f>
        <v>0</v>
      </c>
      <c r="BV407" s="446">
        <f>IF($E407=0,0,IF(MIN(BV$38,$E407)&lt;MAX($P$34*($B407+$I$38-1),IF(AND($L$37=0,$P$34=0),"",$L$37-1)),0,YEARFRAC(MAX($P$34*($B407+$I$38-1),IF(AND($L$37=0,$P$34=0),"",$L$37-1)),MIN(BV$38,$E407),$P$20))-SUM($BF407:BU407))</f>
        <v>0</v>
      </c>
      <c r="BW407" s="446">
        <f>IF($E407=0,0,IF(MIN(BW$38,$E407)&lt;MAX($P$34*($B407+$I$38-1),IF(AND($L$37=0,$P$34=0),"",$L$37-1)),0,YEARFRAC(MAX($P$34*($B407+$I$38-1),IF(AND($L$37=0,$P$34=0),"",$L$37-1)),MIN(BW$38,$E407),$P$20))-SUM($BF407:BV407))</f>
        <v>0</v>
      </c>
      <c r="BX407" s="446">
        <f>IF($E407=0,0,IF(MIN(BX$38,$E407)&lt;MAX($P$34*($B407+$I$38-1),IF(AND($L$37=0,$P$34=0),"",$L$37-1)),0,YEARFRAC(MAX($P$34*($B407+$I$38-1),IF(AND($L$37=0,$P$34=0),"",$L$37-1)),MIN(BX$38,$E407),$P$20))-SUM($BF407:BW407))</f>
        <v>0</v>
      </c>
      <c r="BY407" s="446">
        <f>IF($E407=0,0,IF(MIN(BY$38,$E407)&lt;MAX($P$34*($B407+$I$38-1),IF(AND($L$37=0,$P$34=0),"",$L$37-1)),0,YEARFRAC(MAX($P$34*($B407+$I$38-1),IF(AND($L$37=0,$P$34=0),"",$L$37-1)),MIN(BY$38,$E407),$P$20))-SUM($BF407:BX407))</f>
        <v>0</v>
      </c>
      <c r="BZ407" s="446">
        <f>IF($E407=0,0,IF(MIN(BZ$38,$E407)&lt;MAX($P$34*($B407+$I$38-1),IF(AND($L$37=0,$P$34=0),"",$L$37-1)),0,YEARFRAC(MAX($P$34*($B407+$I$38-1),IF(AND($L$37=0,$P$34=0),"",$L$37-1)),MIN(BZ$38,$E407),$P$20))-SUM($BF407:BY407))</f>
        <v>0</v>
      </c>
      <c r="CA407" s="446">
        <f>IF($E407=0,0,IF(MIN(CA$38,$E407)&lt;MAX($P$34*($B407+$I$38-1),IF(AND($L$37=0,$P$34=0),"",$L$37-1)),0,YEARFRAC(MAX($P$34*($B407+$I$38-1),IF(AND($L$37=0,$P$34=0),"",$L$37-1)),MIN(CA$38,$E407),$P$20))-SUM($BF407:BZ407))</f>
        <v>0</v>
      </c>
      <c r="CB407" s="446">
        <f>IF($E407=0,0,IF(MIN(CB$38,$E407)&lt;MAX($P$34*($B407+$I$38-1),IF(AND($L$37=0,$P$34=0),"",$L$37-1)),0,YEARFRAC(MAX($P$34*($B407+$I$38-1),IF(AND($L$37=0,$P$34=0),"",$L$37-1)),MIN(CB$38,$E407),$P$20))-SUM($BF407:CA407))</f>
        <v>0</v>
      </c>
      <c r="CC407" s="446">
        <f>IF($E407=0,0,IF(MIN(CC$38,$E407)&lt;MAX($P$34*($B407+$I$38-1),IF(AND($L$37=0,$P$34=0),"",$L$37-1)),0,YEARFRAC(MAX($P$34*($B407+$I$38-1),IF(AND($L$37=0,$P$34=0),"",$L$37-1)),MIN(CC$38,$E407),$P$20))-SUM($BF407:CB407))</f>
        <v>0</v>
      </c>
      <c r="CD407" s="446">
        <f>IF($E407=0,0,IF(MIN(CD$38,$E407)&lt;MAX($P$34*($B407+$I$38-1),IF(AND($L$37=0,$P$34=0),"",$L$37-1)),0,YEARFRAC(MAX($P$34*($B407+$I$38-1),IF(AND($L$37=0,$P$34=0),"",$L$37-1)),MIN(CD$38,$E407),$P$20))-SUM($BF407:CC407))</f>
        <v>0</v>
      </c>
      <c r="CE407" s="446">
        <f>IF($E407=0,0,IF(MIN(CE$38,$E407)&lt;MAX($P$34*($B407+$I$38-1),IF(AND($L$37=0,$P$34=0),"",$L$37-1)),0,YEARFRAC(MAX($P$34*($B407+$I$38-1),IF(AND($L$37=0,$P$34=0),"",$L$37-1)),MIN(CE$38,$E407),$P$20))-SUM($BF407:CD407))</f>
        <v>0</v>
      </c>
      <c r="CF407" s="446">
        <f>IF($E407=0,0,IF(MIN(CF$38,$E407)&lt;MAX($P$34*($B407+$I$38-1),IF(AND($L$37=0,$P$34=0),"",$L$37-1)),0,YEARFRAC(MAX($P$34*($B407+$I$38-1),IF(AND($L$37=0,$P$34=0),"",$L$37-1)),MIN(CF$38,$E407),$P$20))-SUM($BF407:CE407))</f>
        <v>0</v>
      </c>
      <c r="CG407" s="446">
        <f>IF($E407=0,0,IF(MIN(CG$38,$E407)&lt;MAX($P$34*($B407+$I$38-1),IF(AND($L$37=0,$P$34=0),"",$L$37-1)),0,YEARFRAC(MAX($P$34*($B407+$I$38-1),IF(AND($L$37=0,$P$34=0),"",$L$37-1)),MIN(CG$38,$E407),$P$20))-SUM($BF407:CF407))</f>
        <v>0</v>
      </c>
      <c r="CH407" s="446">
        <f>IF($E407=0,0,IF(MIN(CH$38,$E407)&lt;MAX($P$34*($B407+$I$38-1),IF(AND($L$37=0,$P$34=0),"",$L$37-1)),0,YEARFRAC(MAX($P$34*($B407+$I$38-1),IF(AND($L$37=0,$P$34=0),"",$L$37-1)),MIN(CH$38,$E407),$P$20))-SUM($BF407:CG407))</f>
        <v>0</v>
      </c>
      <c r="CI407" s="446">
        <f>IF($E407=0,0,IF(MIN(CI$38,$E407)&lt;MAX($P$34*($B407+$I$38-1),IF(AND($L$37=0,$P$34=0),"",$L$37-1)),0,YEARFRAC(MAX($P$34*($B407+$I$38-1),IF(AND($L$37=0,$P$34=0),"",$L$37-1)),MIN(CI$38,$E407),$P$20))-SUM($BF407:CH407))</f>
        <v>0</v>
      </c>
      <c r="CJ407" s="446">
        <f>IF($E407=0,0,IF(MIN(CJ$38,$E407)&lt;MAX($P$34*($B407+$I$38-1),IF(AND($L$37=0,$P$34=0),"",$L$37-1)),0,YEARFRAC(MAX($P$34*($B407+$I$38-1),IF(AND($L$37=0,$P$34=0),"",$L$37-1)),MIN(CJ$38,$E407),$P$20))-SUM($BF407:CI407))</f>
        <v>0</v>
      </c>
      <c r="CK407" s="446">
        <f>IF($E407=0,0,IF(MIN(CK$38,$E407)&lt;MAX($P$34*($B407+$I$38-1),IF(AND($L$37=0,$P$34=0),"",$L$37-1)),0,YEARFRAC(MAX($P$34*($B407+$I$38-1),IF(AND($L$37=0,$P$34=0),"",$L$37-1)),MIN(CK$38,$E407),$P$20))-SUM($BF407:CJ407))</f>
        <v>0</v>
      </c>
      <c r="CL407" s="446">
        <f>IF($E407=0,0,IF(MIN(CL$38,$E407)&lt;MAX($P$34*($B407+$I$38-1),IF(AND($L$37=0,$P$34=0),"",$L$37-1)),0,YEARFRAC(MAX($P$34*($B407+$I$38-1),IF(AND($L$37=0,$P$34=0),"",$L$37-1)),MIN(CL$38,$E407),$P$20))-SUM($BF407:CK407))</f>
        <v>0</v>
      </c>
      <c r="CM407" s="446">
        <f>IF($E407=0,0,IF(MIN(CM$38,$E407)&lt;MAX($P$34*($B407+$I$38-1),IF(AND($L$37=0,$P$34=0),"",$L$37-1)),0,YEARFRAC(MAX($P$34*($B407+$I$38-1),IF(AND($L$37=0,$P$34=0),"",$L$37-1)),MIN(CM$38,$E407),$P$20))-SUM($BF407:CL407))</f>
        <v>0</v>
      </c>
      <c r="CN407" s="446">
        <f>IF($E407=0,0,IF(MIN(CN$38,$E407)&lt;MAX($P$34*($B407+$I$38-1),IF(AND($L$37=0,$P$34=0),"",$L$37-1)),0,YEARFRAC(MAX($P$34*($B407+$I$38-1),IF(AND($L$37=0,$P$34=0),"",$L$37-1)),MIN(CN$38,$E407),$P$20))-SUM($BF407:CM407))</f>
        <v>0</v>
      </c>
      <c r="CO407" s="446">
        <f>IF($E407=0,0,IF(MIN(CO$38,$E407)&lt;MAX($P$34*($B407+$I$38-1),IF(AND($L$37=0,$P$34=0),"",$L$37-1)),0,YEARFRAC(MAX($P$34*($B407+$I$38-1),IF(AND($L$37=0,$P$34=0),"",$L$37-1)),MIN(CO$38,$E407),$P$20))-SUM($BF407:CN407))</f>
        <v>0</v>
      </c>
      <c r="CP407" s="446">
        <f>IF($E407=0,0,IF(MIN(CP$38,$E407)&lt;MAX($P$34*($B407+$I$38-1),IF(AND($L$37=0,$P$34=0),"",$L$37-1)),0,YEARFRAC(MAX($P$34*($B407+$I$38-1),IF(AND($L$37=0,$P$34=0),"",$L$37-1)),MIN(CP$38,$E407),$P$20))-SUM($BF407:CO407))</f>
        <v>0</v>
      </c>
      <c r="CQ407" s="446">
        <f>IF($E407=0,0,IF(MIN(CQ$38,$E407)&lt;MAX($P$34*($B407+$I$38-1),IF(AND($L$37=0,$P$34=0),"",$L$37-1)),0,YEARFRAC(MAX($P$34*($B407+$I$38-1),IF(AND($L$37=0,$P$34=0),"",$L$37-1)),MIN(CQ$38,$E407),$P$20))-SUM($BF407:CP407))</f>
        <v>0</v>
      </c>
    </row>
    <row r="408" spans="1:95" s="446" customFormat="1" ht="11.25" hidden="1" customHeight="1" x14ac:dyDescent="0.2">
      <c r="A408" s="152"/>
      <c r="B408" s="153" t="str">
        <f t="shared" si="70"/>
        <v/>
      </c>
      <c r="C408" s="29" t="str">
        <f>IF(B408="","",IF($L$35="SELIC - TRIBUTOS",VLOOKUP(DATE(YEAR($D$19),MONTH($D$19)-1,1),ÍNDICES!$A:$DE,HLOOKUP($BL$25,ÍNDICES!$B$3:$T$4,2)+11)-VLOOKUP(B408,ÍNDICES!$A:$DE,HLOOKUP($BL$25,ÍNDICES!$B$3:$T$4,2)+11)+1%,IF(C$38=$W$26,$J$35,IF(ISERROR(IF(B408&gt;$D$19,1,VLOOKUP(DATE(YEAR(B408),MONTH(B408)+IF($C$35=$S$23,1,0),1),ÍNDICES!$A:$DE,$Z$35+1))),"",IF(B408&gt;$D$19,1,VLOOKUP(DATE(YEAR(B408),MONTH(B408)+IF($C$35=$S$23,1,0),1),ÍNDICES!$A:$DE,$Z$35+1))))))</f>
        <v/>
      </c>
      <c r="D408" s="154" t="str">
        <f>IF(ISERROR(IF(OR($D$38=$Y$27,$B408=""),"",VLOOKUP(B408,ÍNDICES!A:DE,AF$35+1))),"",IF(OR($D$38=$Y$27,$B408=""),"",VLOOKUP(B408,ÍNDICES!A:DE,AF$35+1)))</f>
        <v/>
      </c>
      <c r="E408" s="153"/>
      <c r="F408" s="29" t="str">
        <f>IF(E408="","",IF($L$35="SELIC - TRIBUTOS",VLOOKUP(DATE(YEAR($D$19),MONTH($D$19)-1,1),ÍNDICES!$A:$DE,HLOOKUP($BL$25,ÍNDICES!$B$3:$T$4,2)+11)-VLOOKUP(E408,ÍNDICES!$A:$DE,HLOOKUP($BL$25,ÍNDICES!$B$3:$T$4,2)+11)+1%,IF(F$38=$W$26,$J$35,IF(ISERROR(IF(E408&gt;$D$19,1,VLOOKUP(DATE(YEAR(E408),MONTH(E408)+IF($C$35=$S$23,1,0),1),ÍNDICES!$A:$DE,$Z$35+1))),"",IF(E408&gt;$D$19,1,VLOOKUP(DATE(YEAR(E408),MONTH(E408)+IF($C$35=$S$23,1,0),1),ÍNDICES!$A:$DE,$Z$35+1))))))</f>
        <v/>
      </c>
      <c r="G408" s="155"/>
      <c r="H408" s="156" t="str">
        <f t="shared" si="66"/>
        <v/>
      </c>
      <c r="I408" s="29" t="str">
        <f t="shared" si="60"/>
        <v/>
      </c>
      <c r="J408" s="5">
        <f t="shared" si="61"/>
        <v>0</v>
      </c>
      <c r="K408" s="20">
        <f t="shared" ca="1" si="62"/>
        <v>0</v>
      </c>
      <c r="L408" s="5">
        <f t="shared" ca="1" si="63"/>
        <v>0</v>
      </c>
      <c r="M408" s="64">
        <f t="shared" si="67"/>
        <v>0</v>
      </c>
      <c r="N408" s="61">
        <f t="shared" ca="1" si="68"/>
        <v>0</v>
      </c>
      <c r="O408" s="5">
        <f t="shared" ca="1" si="69"/>
        <v>0</v>
      </c>
      <c r="P408" s="446" t="e">
        <f t="shared" si="64"/>
        <v>#VALUE!</v>
      </c>
      <c r="Q408" s="446" t="e">
        <f>IF(OR($B408="",MIN(Q$38,$D$19)&lt;MAX($P$34*($B408+IF($R$17="Distrato",$I$38-1,0)),IF(AND($L$37=0,$P$34=0),"",$L$37-1),IF($R$17="Distrato",$E408,0))),0,YEARFRAC(MAX($P$34*($B408+IF($R$17="Distrato",$I$38-1,0)),IF(AND($L$37=0,$P$34=0),"",$L$37-1),IF($R$17="Distrato",$E408,0)),MIN(Q$38,$D$19),$P$20))-SUM($P408:P408)</f>
        <v>#VALUE!</v>
      </c>
      <c r="R408" s="446" t="e">
        <f>IF(OR($B408="",MIN(R$38,$D$19)&lt;MAX($P$34*($B408+IF($R$17="Distrato",$I$38-1,0)),IF(AND($L$37=0,$P$34=0),"",$L$37-1),IF($R$17="Distrato",$E408,0))),0,YEARFRAC(MAX($P$34*($B408+IF($R$17="Distrato",$I$38-1,0)),IF(AND($L$37=0,$P$34=0),"",$L$37-1),IF($R$17="Distrato",$E408,0)),MIN(R$38,$D$19),$P$20))-SUM($P408:Q408)</f>
        <v>#VALUE!</v>
      </c>
      <c r="S408" s="446" t="e">
        <f>IF(OR($B408="",MIN(S$38,$D$19)&lt;MAX($P$34*($B408+IF($R$17="Distrato",$I$38-1,0)),IF(AND($L$37=0,$P$34=0),"",$L$37-1),IF($R$17="Distrato",$E408,0))),0,YEARFRAC(MAX($P$34*($B408+IF($R$17="Distrato",$I$38-1,0)),IF(AND($L$37=0,$P$34=0),"",$L$37-1),IF($R$17="Distrato",$E408,0)),MIN(S$38,$D$19),$P$20))-SUM($P408:R408)</f>
        <v>#VALUE!</v>
      </c>
      <c r="T408" s="446" t="e">
        <f>IF(OR($B408="",MIN(T$38,$D$19)&lt;MAX($P$34*($B408+IF($R$17="Distrato",$I$38-1,0)),IF(AND($L$37=0,$P$34=0),"",$L$37-1),IF($R$17="Distrato",$E408,0))),0,YEARFRAC(MAX($P$34*($B408+IF($R$17="Distrato",$I$38-1,0)),IF(AND($L$37=0,$P$34=0),"",$L$37-1),IF($R$17="Distrato",$E408,0)),MIN(T$38,$D$19),$P$20))-SUM($P408:S408)</f>
        <v>#VALUE!</v>
      </c>
      <c r="U408" s="446" t="e">
        <f>IF(OR($B408="",MIN(U$38,$D$19)&lt;MAX($P$34*($B408+IF($R$17="Distrato",$I$38-1,0)),IF(AND($L$37=0,$P$34=0),"",$L$37-1),IF($R$17="Distrato",$E408,0))),0,YEARFRAC(MAX($P$34*($B408+IF($R$17="Distrato",$I$38-1,0)),IF(AND($L$37=0,$P$34=0),"",$L$37-1),IF($R$17="Distrato",$E408,0)),MIN(U$38,$D$19),$P$20))-SUM($P408:T408)</f>
        <v>#VALUE!</v>
      </c>
      <c r="V408" s="446" t="e">
        <f>IF(OR($B408="",MIN(V$38,$D$19)&lt;MAX($P$34*($B408+IF($R$17="Distrato",$I$38-1,0)),IF(AND($L$37=0,$P$34=0),"",$L$37-1),IF($R$17="Distrato",$E408,0))),0,YEARFRAC(MAX($P$34*($B408+IF($R$17="Distrato",$I$38-1,0)),IF(AND($L$37=0,$P$34=0),"",$L$37-1),IF($R$17="Distrato",$E408,0)),MIN(V$38,$D$19),$P$20))-SUM($P408:U408)</f>
        <v>#VALUE!</v>
      </c>
      <c r="W408" s="446" t="e">
        <f>IF(OR($B408="",MIN(W$38,$D$19)&lt;MAX($P$34*($B408+IF($R$17="Distrato",$I$38-1,0)),IF(AND($L$37=0,$P$34=0),"",$L$37-1),IF($R$17="Distrato",$E408,0))),0,YEARFRAC(MAX($P$34*($B408+IF($R$17="Distrato",$I$38-1,0)),IF(AND($L$37=0,$P$34=0),"",$L$37-1),IF($R$17="Distrato",$E408,0)),MIN(W$38,$D$19),$P$20))-SUM($P408:V408)</f>
        <v>#VALUE!</v>
      </c>
      <c r="X408" s="446" t="e">
        <f>IF(OR($B408="",MIN(X$38,$D$19)&lt;MAX($P$34*($B408+IF($R$17="Distrato",$I$38-1,0)),IF(AND($L$37=0,$P$34=0),"",$L$37-1),IF($R$17="Distrato",$E408,0))),0,YEARFRAC(MAX($P$34*($B408+IF($R$17="Distrato",$I$38-1,0)),IF(AND($L$37=0,$P$34=0),"",$L$37-1),IF($R$17="Distrato",$E408,0)),MIN(X$38,$D$19),$P$20))-SUM($P408:W408)</f>
        <v>#VALUE!</v>
      </c>
      <c r="Y408" s="446" t="e">
        <f>IF(OR($B408="",MIN(Y$38,$D$19)&lt;MAX($P$34*($B408+IF($R$17="Distrato",$I$38-1,0)),IF(AND($L$37=0,$P$34=0),"",$L$37-1),IF($R$17="Distrato",$E408,0))),0,YEARFRAC(MAX($P$34*($B408+IF($R$17="Distrato",$I$38-1,0)),IF(AND($L$37=0,$P$34=0),"",$L$37-1),IF($R$17="Distrato",$E408,0)),MIN(Y$38,$D$19),$P$20))-SUM($P408:X408)</f>
        <v>#VALUE!</v>
      </c>
      <c r="Z408" s="446" t="e">
        <f>IF(OR($B408="",MIN(Z$38,$D$19)&lt;MAX($P$34*($B408+IF($R$17="Distrato",$I$38-1,0)),IF(AND($L$37=0,$P$34=0),"",$L$37-1),IF($R$17="Distrato",$E408,0))),0,YEARFRAC(MAX($P$34*($B408+IF($R$17="Distrato",$I$38-1,0)),IF(AND($L$37=0,$P$34=0),"",$L$37-1),IF($R$17="Distrato",$E408,0)),MIN(Z$38,$D$19),$P$20))-SUM($P408:Y408)</f>
        <v>#VALUE!</v>
      </c>
      <c r="AA408" s="446" t="e">
        <f>IF(OR($B408="",MIN(AA$38,$D$19)&lt;MAX($P$34*($B408+IF($R$17="Distrato",$I$38-1,0)),IF(AND($L$37=0,$P$34=0),"",$L$37-1),IF($R$17="Distrato",$E408,0))),0,YEARFRAC(MAX($P$34*($B408+IF($R$17="Distrato",$I$38-1,0)),IF(AND($L$37=0,$P$34=0),"",$L$37-1),IF($R$17="Distrato",$E408,0)),MIN(AA$38,$D$19),$P$20))-SUM($P408:Z408)</f>
        <v>#VALUE!</v>
      </c>
      <c r="AB408" s="446" t="e">
        <f>IF(OR($B408="",MIN(AB$38,$D$19)&lt;MAX($P$34*($B408+IF($R$17="Distrato",$I$38-1,0)),IF(AND($L$37=0,$P$34=0),"",$L$37-1),IF($R$17="Distrato",$E408,0))),0,YEARFRAC(MAX($P$34*($B408+IF($R$17="Distrato",$I$38-1,0)),IF(AND($L$37=0,$P$34=0),"",$L$37-1),IF($R$17="Distrato",$E408,0)),MIN(AB$38,$D$19),$P$20))-SUM($P408:AA408)</f>
        <v>#VALUE!</v>
      </c>
      <c r="AC408" s="446" t="e">
        <f>IF(OR($B408="",MIN(AC$38,$D$19)&lt;MAX($P$34*($B408+IF($R$17="Distrato",$I$38-1,0)),IF(AND($L$37=0,$P$34=0),"",$L$37-1),IF($R$17="Distrato",$E408,0))),0,YEARFRAC(MAX($P$34*($B408+IF($R$17="Distrato",$I$38-1,0)),IF(AND($L$37=0,$P$34=0),"",$L$37-1),IF($R$17="Distrato",$E408,0)),MIN(AC$38,$D$19),$P$20))-SUM($P408:AB408)</f>
        <v>#VALUE!</v>
      </c>
      <c r="AD408" s="446" t="e">
        <f>IF(OR($B408="",MIN(AD$38,$D$19)&lt;MAX($P$34*($B408+IF($R$17="Distrato",$I$38-1,0)),IF(AND($L$37=0,$P$34=0),"",$L$37-1),IF($R$17="Distrato",$E408,0))),0,YEARFRAC(MAX($P$34*($B408+IF($R$17="Distrato",$I$38-1,0)),IF(AND($L$37=0,$P$34=0),"",$L$37-1),IF($R$17="Distrato",$E408,0)),MIN(AD$38,$D$19),$P$20))-SUM($P408:AC408)</f>
        <v>#VALUE!</v>
      </c>
      <c r="AE408" s="446" t="e">
        <f>IF(OR($B408="",MIN(AE$38,$D$19)&lt;MAX($P$34*($B408+IF($R$17="Distrato",$I$38-1,0)),IF(AND($L$37=0,$P$34=0),"",$L$37-1),IF($R$17="Distrato",$E408,0))),0,YEARFRAC(MAX($P$34*($B408+IF($R$17="Distrato",$I$38-1,0)),IF(AND($L$37=0,$P$34=0),"",$L$37-1),IF($R$17="Distrato",$E408,0)),MIN(AE$38,$D$19),$P$20))-SUM($P408:AD408)</f>
        <v>#VALUE!</v>
      </c>
      <c r="AF408" s="446" t="e">
        <f>IF(OR($B408="",MIN(AF$38,$D$19)&lt;MAX($P$34*($B408+IF($R$17="Distrato",$I$38-1,0)),IF(AND($L$37=0,$P$34=0),"",$L$37-1),IF($R$17="Distrato",$E408,0))),0,YEARFRAC(MAX($P$34*($B408+IF($R$17="Distrato",$I$38-1,0)),IF(AND($L$37=0,$P$34=0),"",$L$37-1),IF($R$17="Distrato",$E408,0)),MIN(AF$38,$D$19),$P$20))-SUM($P408:AE408)</f>
        <v>#VALUE!</v>
      </c>
      <c r="AG408" s="446" t="e">
        <f>IF(OR($B408="",MIN(AG$38,$D$19)&lt;MAX($P$34*($B408+IF($R$17="Distrato",$I$38-1,0)),IF(AND($L$37=0,$P$34=0),"",$L$37-1),IF($R$17="Distrato",$E408,0))),0,YEARFRAC(MAX($P$34*($B408+IF($R$17="Distrato",$I$38-1,0)),IF(AND($L$37=0,$P$34=0),"",$L$37-1),IF($R$17="Distrato",$E408,0)),MIN(AG$38,$D$19),$P$20))-SUM($P408:AF408)</f>
        <v>#VALUE!</v>
      </c>
      <c r="AH408" s="446" t="e">
        <f>IF(OR($B408="",MIN(AH$38,$D$19)&lt;MAX($P$34*($B408+IF($R$17="Distrato",$I$38-1,0)),IF(AND($L$37=0,$P$34=0),"",$L$37-1),IF($R$17="Distrato",$E408,0))),0,YEARFRAC(MAX($P$34*($B408+IF($R$17="Distrato",$I$38-1,0)),IF(AND($L$37=0,$P$34=0),"",$L$37-1),IF($R$17="Distrato",$E408,0)),MIN(AH$38,$D$19),$P$20))-SUM($P408:AG408)</f>
        <v>#VALUE!</v>
      </c>
      <c r="AI408" s="446" t="e">
        <f>IF(OR($B408="",MIN(AI$38,$D$19)&lt;MAX($P$34*($B408+IF($R$17="Distrato",$I$38-1,0)),IF(AND($L$37=0,$P$34=0),"",$L$37-1),IF($R$17="Distrato",$E408,0))),0,YEARFRAC(MAX($P$34*($B408+IF($R$17="Distrato",$I$38-1,0)),IF(AND($L$37=0,$P$34=0),"",$L$37-1),IF($R$17="Distrato",$E408,0)),MIN(AI$38,$D$19),$P$20))-SUM($P408:AH408)</f>
        <v>#VALUE!</v>
      </c>
      <c r="AJ408" s="446" t="e">
        <f>IF(OR($B408="",MIN(AJ$38,$D$19)&lt;MAX($P$34*($B408+IF($R$17="Distrato",$I$38-1,0)),IF(AND($L$37=0,$P$34=0),"",$L$37-1),IF($R$17="Distrato",$E408,0))),0,YEARFRAC(MAX($P$34*($B408+IF($R$17="Distrato",$I$38-1,0)),IF(AND($L$37=0,$P$34=0),"",$L$37-1),IF($R$17="Distrato",$E408,0)),MIN(AJ$38,$D$19),$P$20))-SUM($P408:AI408)</f>
        <v>#VALUE!</v>
      </c>
      <c r="AK408" s="446" t="e">
        <f>IF(OR($B408="",MIN(AK$38,$D$19)&lt;MAX($P$34*($B408+IF($R$17="Distrato",$I$38-1,0)),IF(AND($L$37=0,$P$34=0),"",$L$37-1),IF($R$17="Distrato",$E408,0))),0,YEARFRAC(MAX($P$34*($B408+IF($R$17="Distrato",$I$38-1,0)),IF(AND($L$37=0,$P$34=0),"",$L$37-1),IF($R$17="Distrato",$E408,0)),MIN(AK$38,$D$19),$P$20))-SUM($P408:AJ408)</f>
        <v>#VALUE!</v>
      </c>
      <c r="AL408" s="446" t="e">
        <f>IF(OR($B408="",MIN(AL$38,$D$19)&lt;MAX($P$34*($B408+IF($R$17="Distrato",$I$38-1,0)),IF(AND($L$37=0,$P$34=0),"",$L$37-1),IF($R$17="Distrato",$E408,0))),0,YEARFRAC(MAX($P$34*($B408+IF($R$17="Distrato",$I$38-1,0)),IF(AND($L$37=0,$P$34=0),"",$L$37-1),IF($R$17="Distrato",$E408,0)),MIN(AL$38,$D$19),$P$20))-SUM($P408:AK408)</f>
        <v>#VALUE!</v>
      </c>
      <c r="AM408" s="446" t="e">
        <f>IF(OR($B408="",MIN(AM$38,$D$19)&lt;MAX($P$34*($B408+IF($R$17="Distrato",$I$38-1,0)),IF(AND($L$37=0,$P$34=0),"",$L$37-1),IF($R$17="Distrato",$E408,0))),0,YEARFRAC(MAX($P$34*($B408+IF($R$17="Distrato",$I$38-1,0)),IF(AND($L$37=0,$P$34=0),"",$L$37-1),IF($R$17="Distrato",$E408,0)),MIN(AM$38,$D$19),$P$20))-SUM($P408:AL408)</f>
        <v>#VALUE!</v>
      </c>
      <c r="AN408" s="446" t="e">
        <f>IF(OR($B408="",MIN(AN$38,$D$19)&lt;MAX($P$34*($B408+IF($R$17="Distrato",$I$38-1,0)),IF(AND($L$37=0,$P$34=0),"",$L$37-1),IF($R$17="Distrato",$E408,0))),0,YEARFRAC(MAX($P$34*($B408+IF($R$17="Distrato",$I$38-1,0)),IF(AND($L$37=0,$P$34=0),"",$L$37-1),IF($R$17="Distrato",$E408,0)),MIN(AN$38,$D$19),$P$20))-SUM($P408:AM408)</f>
        <v>#VALUE!</v>
      </c>
      <c r="AO408" s="446" t="e">
        <f>IF(OR($B408="",MIN(AO$38,$D$19)&lt;MAX($P$34*($B408+IF($R$17="Distrato",$I$38-1,0)),IF(AND($L$37=0,$P$34=0),"",$L$37-1),IF($R$17="Distrato",$E408,0))),0,YEARFRAC(MAX($P$34*($B408+IF($R$17="Distrato",$I$38-1,0)),IF(AND($L$37=0,$P$34=0),"",$L$37-1),IF($R$17="Distrato",$E408,0)),MIN(AO$38,$D$19),$P$20))-SUM($P408:AN408)</f>
        <v>#VALUE!</v>
      </c>
      <c r="AP408" s="446" t="e">
        <f>IF(OR($B408="",MIN(AP$38,$D$19)&lt;MAX($P$34*($B408+IF($R$17="Distrato",$I$38-1,0)),IF(AND($L$37=0,$P$34=0),"",$L$37-1),IF($R$17="Distrato",$E408,0))),0,YEARFRAC(MAX($P$34*($B408+IF($R$17="Distrato",$I$38-1,0)),IF(AND($L$37=0,$P$34=0),"",$L$37-1),IF($R$17="Distrato",$E408,0)),MIN(AP$38,$D$19),$P$20))-SUM($P408:AO408)</f>
        <v>#VALUE!</v>
      </c>
      <c r="AQ408" s="446" t="e">
        <f>IF(OR($B408="",MIN(AQ$38,$D$19)&lt;MAX($P$34*($B408+IF($R$17="Distrato",$I$38-1,0)),IF(AND($L$37=0,$P$34=0),"",$L$37-1),IF($R$17="Distrato",$E408,0))),0,YEARFRAC(MAX($P$34*($B408+IF($R$17="Distrato",$I$38-1,0)),IF(AND($L$37=0,$P$34=0),"",$L$37-1),IF($R$17="Distrato",$E408,0)),MIN(AQ$38,$D$19),$P$20))-SUM($P408:AP408)</f>
        <v>#VALUE!</v>
      </c>
      <c r="AR408" s="446" t="e">
        <f>IF(OR($B408="",MIN(AR$38,$D$19)&lt;MAX($P$34*($B408+IF($R$17="Distrato",$I$38-1,0)),IF(AND($L$37=0,$P$34=0),"",$L$37-1),IF($R$17="Distrato",$E408,0))),0,YEARFRAC(MAX($P$34*($B408+IF($R$17="Distrato",$I$38-1,0)),IF(AND($L$37=0,$P$34=0),"",$L$37-1),IF($R$17="Distrato",$E408,0)),MIN(AR$38,$D$19),$P$20))-SUM($P408:AQ408)</f>
        <v>#VALUE!</v>
      </c>
      <c r="AS408" s="446" t="e">
        <f>IF(OR($B408="",MIN(AS$38,$D$19)&lt;MAX($P$34*($B408+IF($R$17="Distrato",$I$38-1,0)),IF(AND($L$37=0,$P$34=0),"",$L$37-1),IF($R$17="Distrato",$E408,0))),0,YEARFRAC(MAX($P$34*($B408+IF($R$17="Distrato",$I$38-1,0)),IF(AND($L$37=0,$P$34=0),"",$L$37-1),IF($R$17="Distrato",$E408,0)),MIN(AS$38,$D$19),$P$20))-SUM($P408:AR408)</f>
        <v>#VALUE!</v>
      </c>
      <c r="AT408" s="446" t="e">
        <f>IF(OR($B408="",MIN(AT$38,$D$19)&lt;MAX($P$34*($B408+IF($R$17="Distrato",$I$38-1,0)),IF(AND($L$37=0,$P$34=0),"",$L$37-1),IF($R$17="Distrato",$E408,0))),0,YEARFRAC(MAX($P$34*($B408+IF($R$17="Distrato",$I$38-1,0)),IF(AND($L$37=0,$P$34=0),"",$L$37-1),IF($R$17="Distrato",$E408,0)),MIN(AT$38,$D$19),$P$20))-SUM($P408:AS408)</f>
        <v>#VALUE!</v>
      </c>
      <c r="AU408" s="446" t="e">
        <f>IF(OR($B408="",MIN(AU$38,$D$19)&lt;MAX($P$34*($B408+IF($R$17="Distrato",$I$38-1,0)),IF(AND($L$37=0,$P$34=0),"",$L$37-1),IF($R$17="Distrato",$E408,0))),0,YEARFRAC(MAX($P$34*($B408+IF($R$17="Distrato",$I$38-1,0)),IF(AND($L$37=0,$P$34=0),"",$L$37-1),IF($R$17="Distrato",$E408,0)),MIN(AU$38,$D$19),$P$20))-SUM($P408:AT408)</f>
        <v>#VALUE!</v>
      </c>
      <c r="AV408" s="446" t="e">
        <f>IF(OR($B408="",MIN(AV$38,$D$19)&lt;MAX($P$34*($B408+IF($R$17="Distrato",$I$38-1,0)),IF(AND($L$37=0,$P$34=0),"",$L$37-1),IF($R$17="Distrato",$E408,0))),0,YEARFRAC(MAX($P$34*($B408+IF($R$17="Distrato",$I$38-1,0)),IF(AND($L$37=0,$P$34=0),"",$L$37-1),IF($R$17="Distrato",$E408,0)),MIN(AV$38,$D$19),$P$20))-SUM($P408:AU408)</f>
        <v>#VALUE!</v>
      </c>
      <c r="AW408" s="446" t="e">
        <f>IF(OR($B408="",MIN(AW$38,$D$19)&lt;MAX($P$34*($B408+IF($R$17="Distrato",$I$38-1,0)),IF(AND($L$37=0,$P$34=0),"",$L$37-1),IF($R$17="Distrato",$E408,0))),0,YEARFRAC(MAX($P$34*($B408+IF($R$17="Distrato",$I$38-1,0)),IF(AND($L$37=0,$P$34=0),"",$L$37-1),IF($R$17="Distrato",$E408,0)),MIN(AW$38,$D$19),$P$20))-SUM($P408:AV408)</f>
        <v>#VALUE!</v>
      </c>
      <c r="AX408" s="446" t="e">
        <f>IF(OR($B408="",MIN(AX$38,$D$19)&lt;MAX($P$34*($B408+IF($R$17="Distrato",$I$38-1,0)),IF(AND($L$37=0,$P$34=0),"",$L$37-1),IF($R$17="Distrato",$E408,0))),0,YEARFRAC(MAX($P$34*($B408+IF($R$17="Distrato",$I$38-1,0)),IF(AND($L$37=0,$P$34=0),"",$L$37-1),IF($R$17="Distrato",$E408,0)),MIN(AX$38,$D$19),$P$20))-SUM($P408:AW408)</f>
        <v>#VALUE!</v>
      </c>
      <c r="AY408" s="446" t="e">
        <f>IF(OR($B408="",MIN(AY$38,$D$19)&lt;MAX($P$34*($B408+IF($R$17="Distrato",$I$38-1,0)),IF(AND($L$37=0,$P$34=0),"",$L$37-1),IF($R$17="Distrato",$E408,0))),0,YEARFRAC(MAX($P$34*($B408+IF($R$17="Distrato",$I$38-1,0)),IF(AND($L$37=0,$P$34=0),"",$L$37-1),IF($R$17="Distrato",$E408,0)),MIN(AY$38,$D$19),$P$20))-SUM($P408:AX408)</f>
        <v>#VALUE!</v>
      </c>
      <c r="AZ408" s="446" t="e">
        <f>IF(OR($B408="",MIN(AZ$38,$D$19)&lt;MAX($P$34*($B408+IF($R$17="Distrato",$I$38-1,0)),IF(AND($L$37=0,$P$34=0),"",$L$37-1),IF($R$17="Distrato",$E408,0))),0,YEARFRAC(MAX($P$34*($B408+IF($R$17="Distrato",$I$38-1,0)),IF(AND($L$37=0,$P$34=0),"",$L$37-1),IF($R$17="Distrato",$E408,0)),MIN(AZ$38,$D$19),$P$20))-SUM($P408:AY408)</f>
        <v>#VALUE!</v>
      </c>
      <c r="BA408" s="446" t="e">
        <f>IF(OR($B408="",MIN(BA$38,$D$19)&lt;MAX($P$34*($B408+IF($R$17="Distrato",$I$38-1,0)),IF(AND($L$37=0,$P$34=0),"",$L$37-1),IF($R$17="Distrato",$E408,0))),0,YEARFRAC(MAX($P$34*($B408+IF($R$17="Distrato",$I$38-1,0)),IF(AND($L$37=0,$P$34=0),"",$L$37-1),IF($R$17="Distrato",$E408,0)),MIN(BA$38,$D$19),$P$20))-SUM($P408:AZ408)</f>
        <v>#VALUE!</v>
      </c>
      <c r="BB408" s="447"/>
      <c r="BF408" s="446">
        <f t="shared" si="65"/>
        <v>0</v>
      </c>
      <c r="BG408" s="446">
        <f>IF($E408=0,0,IF(MIN(BG$38,$E408)&lt;MAX($P$34*($B408+$I$38-1),IF(AND($L$37=0,$P$34=0),"",$L$37-1)),0,YEARFRAC(MAX($P$34*($B408+$I$38-1),IF(AND($L$37=0,$P$34=0),"",$L$37-1)),MIN(BG$38,$E408),$P$20))-SUM($BF408:BF408))</f>
        <v>0</v>
      </c>
      <c r="BH408" s="446">
        <f>IF($E408=0,0,IF(MIN(BH$38,$E408)&lt;MAX($P$34*($B408+$I$38-1),IF(AND($L$37=0,$P$34=0),"",$L$37-1)),0,YEARFRAC(MAX($P$34*($B408+$I$38-1),IF(AND($L$37=0,$P$34=0),"",$L$37-1)),MIN(BH$38,$E408),$P$20))-SUM($BF408:BG408))</f>
        <v>0</v>
      </c>
      <c r="BI408" s="446">
        <f>IF($E408=0,0,IF(MIN(BI$38,$E408)&lt;MAX($P$34*($B408+$I$38-1),IF(AND($L$37=0,$P$34=0),"",$L$37-1)),0,YEARFRAC(MAX($P$34*($B408+$I$38-1),IF(AND($L$37=0,$P$34=0),"",$L$37-1)),MIN(BI$38,$E408),$P$20))-SUM($BF408:BH408))</f>
        <v>0</v>
      </c>
      <c r="BJ408" s="446">
        <f>IF($E408=0,0,IF(MIN(BJ$38,$E408)&lt;MAX($P$34*($B408+$I$38-1),IF(AND($L$37=0,$P$34=0),"",$L$37-1)),0,YEARFRAC(MAX($P$34*($B408+$I$38-1),IF(AND($L$37=0,$P$34=0),"",$L$37-1)),MIN(BJ$38,$E408),$P$20))-SUM($BF408:BI408))</f>
        <v>0</v>
      </c>
      <c r="BK408" s="446">
        <f>IF($E408=0,0,IF(MIN(BK$38,$E408)&lt;MAX($P$34*($B408+$I$38-1),IF(AND($L$37=0,$P$34=0),"",$L$37-1)),0,YEARFRAC(MAX($P$34*($B408+$I$38-1),IF(AND($L$37=0,$P$34=0),"",$L$37-1)),MIN(BK$38,$E408),$P$20))-SUM($BF408:BJ408))</f>
        <v>0</v>
      </c>
      <c r="BL408" s="446">
        <f>IF($E408=0,0,IF(MIN(BL$38,$E408)&lt;MAX($P$34*($B408+$I$38-1),IF(AND($L$37=0,$P$34=0),"",$L$37-1)),0,YEARFRAC(MAX($P$34*($B408+$I$38-1),IF(AND($L$37=0,$P$34=0),"",$L$37-1)),MIN(BL$38,$E408),$P$20))-SUM($BF408:BK408))</f>
        <v>0</v>
      </c>
      <c r="BM408" s="446">
        <f>IF($E408=0,0,IF(MIN(BM$38,$E408)&lt;MAX($P$34*($B408+$I$38-1),IF(AND($L$37=0,$P$34=0),"",$L$37-1)),0,YEARFRAC(MAX($P$34*($B408+$I$38-1),IF(AND($L$37=0,$P$34=0),"",$L$37-1)),MIN(BM$38,$E408),$P$20))-SUM($BF408:BL408))</f>
        <v>0</v>
      </c>
      <c r="BN408" s="446">
        <f>IF($E408=0,0,IF(MIN(BN$38,$E408)&lt;MAX($P$34*($B408+$I$38-1),IF(AND($L$37=0,$P$34=0),"",$L$37-1)),0,YEARFRAC(MAX($P$34*($B408+$I$38-1),IF(AND($L$37=0,$P$34=0),"",$L$37-1)),MIN(BN$38,$E408),$P$20))-SUM($BF408:BM408))</f>
        <v>0</v>
      </c>
      <c r="BO408" s="446">
        <f>IF($E408=0,0,IF(MIN(BO$38,$E408)&lt;MAX($P$34*($B408+$I$38-1),IF(AND($L$37=0,$P$34=0),"",$L$37-1)),0,YEARFRAC(MAX($P$34*($B408+$I$38-1),IF(AND($L$37=0,$P$34=0),"",$L$37-1)),MIN(BO$38,$E408),$P$20))-SUM($BF408:BN408))</f>
        <v>0</v>
      </c>
      <c r="BP408" s="446">
        <f>IF($E408=0,0,IF(MIN(BP$38,$E408)&lt;MAX($P$34*($B408+$I$38-1),IF(AND($L$37=0,$P$34=0),"",$L$37-1)),0,YEARFRAC(MAX($P$34*($B408+$I$38-1),IF(AND($L$37=0,$P$34=0),"",$L$37-1)),MIN(BP$38,$E408),$P$20))-SUM($BF408:BO408))</f>
        <v>0</v>
      </c>
      <c r="BQ408" s="446">
        <f>IF($E408=0,0,IF(MIN(BQ$38,$E408)&lt;MAX($P$34*($B408+$I$38-1),IF(AND($L$37=0,$P$34=0),"",$L$37-1)),0,YEARFRAC(MAX($P$34*($B408+$I$38-1),IF(AND($L$37=0,$P$34=0),"",$L$37-1)),MIN(BQ$38,$E408),$P$20))-SUM($BF408:BP408))</f>
        <v>0</v>
      </c>
      <c r="BR408" s="446">
        <f>IF($E408=0,0,IF(MIN(BR$38,$E408)&lt;MAX($P$34*($B408+$I$38-1),IF(AND($L$37=0,$P$34=0),"",$L$37-1)),0,YEARFRAC(MAX($P$34*($B408+$I$38-1),IF(AND($L$37=0,$P$34=0),"",$L$37-1)),MIN(BR$38,$E408),$P$20))-SUM($BF408:BQ408))</f>
        <v>0</v>
      </c>
      <c r="BS408" s="446">
        <f>IF($E408=0,0,IF(MIN(BS$38,$E408)&lt;MAX($P$34*($B408+$I$38-1),IF(AND($L$37=0,$P$34=0),"",$L$37-1)),0,YEARFRAC(MAX($P$34*($B408+$I$38-1),IF(AND($L$37=0,$P$34=0),"",$L$37-1)),MIN(BS$38,$E408),$P$20))-SUM($BF408:BR408))</f>
        <v>0</v>
      </c>
      <c r="BT408" s="446">
        <f>IF($E408=0,0,IF(MIN(BT$38,$E408)&lt;MAX($P$34*($B408+$I$38-1),IF(AND($L$37=0,$P$34=0),"",$L$37-1)),0,YEARFRAC(MAX($P$34*($B408+$I$38-1),IF(AND($L$37=0,$P$34=0),"",$L$37-1)),MIN(BT$38,$E408),$P$20))-SUM($BF408:BS408))</f>
        <v>0</v>
      </c>
      <c r="BU408" s="446">
        <f>IF($E408=0,0,IF(MIN(BU$38,$E408)&lt;MAX($P$34*($B408+$I$38-1),IF(AND($L$37=0,$P$34=0),"",$L$37-1)),0,YEARFRAC(MAX($P$34*($B408+$I$38-1),IF(AND($L$37=0,$P$34=0),"",$L$37-1)),MIN(BU$38,$E408),$P$20))-SUM($BF408:BT408))</f>
        <v>0</v>
      </c>
      <c r="BV408" s="446">
        <f>IF($E408=0,0,IF(MIN(BV$38,$E408)&lt;MAX($P$34*($B408+$I$38-1),IF(AND($L$37=0,$P$34=0),"",$L$37-1)),0,YEARFRAC(MAX($P$34*($B408+$I$38-1),IF(AND($L$37=0,$P$34=0),"",$L$37-1)),MIN(BV$38,$E408),$P$20))-SUM($BF408:BU408))</f>
        <v>0</v>
      </c>
      <c r="BW408" s="446">
        <f>IF($E408=0,0,IF(MIN(BW$38,$E408)&lt;MAX($P$34*($B408+$I$38-1),IF(AND($L$37=0,$P$34=0),"",$L$37-1)),0,YEARFRAC(MAX($P$34*($B408+$I$38-1),IF(AND($L$37=0,$P$34=0),"",$L$37-1)),MIN(BW$38,$E408),$P$20))-SUM($BF408:BV408))</f>
        <v>0</v>
      </c>
      <c r="BX408" s="446">
        <f>IF($E408=0,0,IF(MIN(BX$38,$E408)&lt;MAX($P$34*($B408+$I$38-1),IF(AND($L$37=0,$P$34=0),"",$L$37-1)),0,YEARFRAC(MAX($P$34*($B408+$I$38-1),IF(AND($L$37=0,$P$34=0),"",$L$37-1)),MIN(BX$38,$E408),$P$20))-SUM($BF408:BW408))</f>
        <v>0</v>
      </c>
      <c r="BY408" s="446">
        <f>IF($E408=0,0,IF(MIN(BY$38,$E408)&lt;MAX($P$34*($B408+$I$38-1),IF(AND($L$37=0,$P$34=0),"",$L$37-1)),0,YEARFRAC(MAX($P$34*($B408+$I$38-1),IF(AND($L$37=0,$P$34=0),"",$L$37-1)),MIN(BY$38,$E408),$P$20))-SUM($BF408:BX408))</f>
        <v>0</v>
      </c>
      <c r="BZ408" s="446">
        <f>IF($E408=0,0,IF(MIN(BZ$38,$E408)&lt;MAX($P$34*($B408+$I$38-1),IF(AND($L$37=0,$P$34=0),"",$L$37-1)),0,YEARFRAC(MAX($P$34*($B408+$I$38-1),IF(AND($L$37=0,$P$34=0),"",$L$37-1)),MIN(BZ$38,$E408),$P$20))-SUM($BF408:BY408))</f>
        <v>0</v>
      </c>
      <c r="CA408" s="446">
        <f>IF($E408=0,0,IF(MIN(CA$38,$E408)&lt;MAX($P$34*($B408+$I$38-1),IF(AND($L$37=0,$P$34=0),"",$L$37-1)),0,YEARFRAC(MAX($P$34*($B408+$I$38-1),IF(AND($L$37=0,$P$34=0),"",$L$37-1)),MIN(CA$38,$E408),$P$20))-SUM($BF408:BZ408))</f>
        <v>0</v>
      </c>
      <c r="CB408" s="446">
        <f>IF($E408=0,0,IF(MIN(CB$38,$E408)&lt;MAX($P$34*($B408+$I$38-1),IF(AND($L$37=0,$P$34=0),"",$L$37-1)),0,YEARFRAC(MAX($P$34*($B408+$I$38-1),IF(AND($L$37=0,$P$34=0),"",$L$37-1)),MIN(CB$38,$E408),$P$20))-SUM($BF408:CA408))</f>
        <v>0</v>
      </c>
      <c r="CC408" s="446">
        <f>IF($E408=0,0,IF(MIN(CC$38,$E408)&lt;MAX($P$34*($B408+$I$38-1),IF(AND($L$37=0,$P$34=0),"",$L$37-1)),0,YEARFRAC(MAX($P$34*($B408+$I$38-1),IF(AND($L$37=0,$P$34=0),"",$L$37-1)),MIN(CC$38,$E408),$P$20))-SUM($BF408:CB408))</f>
        <v>0</v>
      </c>
      <c r="CD408" s="446">
        <f>IF($E408=0,0,IF(MIN(CD$38,$E408)&lt;MAX($P$34*($B408+$I$38-1),IF(AND($L$37=0,$P$34=0),"",$L$37-1)),0,YEARFRAC(MAX($P$34*($B408+$I$38-1),IF(AND($L$37=0,$P$34=0),"",$L$37-1)),MIN(CD$38,$E408),$P$20))-SUM($BF408:CC408))</f>
        <v>0</v>
      </c>
      <c r="CE408" s="446">
        <f>IF($E408=0,0,IF(MIN(CE$38,$E408)&lt;MAX($P$34*($B408+$I$38-1),IF(AND($L$37=0,$P$34=0),"",$L$37-1)),0,YEARFRAC(MAX($P$34*($B408+$I$38-1),IF(AND($L$37=0,$P$34=0),"",$L$37-1)),MIN(CE$38,$E408),$P$20))-SUM($BF408:CD408))</f>
        <v>0</v>
      </c>
      <c r="CF408" s="446">
        <f>IF($E408=0,0,IF(MIN(CF$38,$E408)&lt;MAX($P$34*($B408+$I$38-1),IF(AND($L$37=0,$P$34=0),"",$L$37-1)),0,YEARFRAC(MAX($P$34*($B408+$I$38-1),IF(AND($L$37=0,$P$34=0),"",$L$37-1)),MIN(CF$38,$E408),$P$20))-SUM($BF408:CE408))</f>
        <v>0</v>
      </c>
      <c r="CG408" s="446">
        <f>IF($E408=0,0,IF(MIN(CG$38,$E408)&lt;MAX($P$34*($B408+$I$38-1),IF(AND($L$37=0,$P$34=0),"",$L$37-1)),0,YEARFRAC(MAX($P$34*($B408+$I$38-1),IF(AND($L$37=0,$P$34=0),"",$L$37-1)),MIN(CG$38,$E408),$P$20))-SUM($BF408:CF408))</f>
        <v>0</v>
      </c>
      <c r="CH408" s="446">
        <f>IF($E408=0,0,IF(MIN(CH$38,$E408)&lt;MAX($P$34*($B408+$I$38-1),IF(AND($L$37=0,$P$34=0),"",$L$37-1)),0,YEARFRAC(MAX($P$34*($B408+$I$38-1),IF(AND($L$37=0,$P$34=0),"",$L$37-1)),MIN(CH$38,$E408),$P$20))-SUM($BF408:CG408))</f>
        <v>0</v>
      </c>
      <c r="CI408" s="446">
        <f>IF($E408=0,0,IF(MIN(CI$38,$E408)&lt;MAX($P$34*($B408+$I$38-1),IF(AND($L$37=0,$P$34=0),"",$L$37-1)),0,YEARFRAC(MAX($P$34*($B408+$I$38-1),IF(AND($L$37=0,$P$34=0),"",$L$37-1)),MIN(CI$38,$E408),$P$20))-SUM($BF408:CH408))</f>
        <v>0</v>
      </c>
      <c r="CJ408" s="446">
        <f>IF($E408=0,0,IF(MIN(CJ$38,$E408)&lt;MAX($P$34*($B408+$I$38-1),IF(AND($L$37=0,$P$34=0),"",$L$37-1)),0,YEARFRAC(MAX($P$34*($B408+$I$38-1),IF(AND($L$37=0,$P$34=0),"",$L$37-1)),MIN(CJ$38,$E408),$P$20))-SUM($BF408:CI408))</f>
        <v>0</v>
      </c>
      <c r="CK408" s="446">
        <f>IF($E408=0,0,IF(MIN(CK$38,$E408)&lt;MAX($P$34*($B408+$I$38-1),IF(AND($L$37=0,$P$34=0),"",$L$37-1)),0,YEARFRAC(MAX($P$34*($B408+$I$38-1),IF(AND($L$37=0,$P$34=0),"",$L$37-1)),MIN(CK$38,$E408),$P$20))-SUM($BF408:CJ408))</f>
        <v>0</v>
      </c>
      <c r="CL408" s="446">
        <f>IF($E408=0,0,IF(MIN(CL$38,$E408)&lt;MAX($P$34*($B408+$I$38-1),IF(AND($L$37=0,$P$34=0),"",$L$37-1)),0,YEARFRAC(MAX($P$34*($B408+$I$38-1),IF(AND($L$37=0,$P$34=0),"",$L$37-1)),MIN(CL$38,$E408),$P$20))-SUM($BF408:CK408))</f>
        <v>0</v>
      </c>
      <c r="CM408" s="446">
        <f>IF($E408=0,0,IF(MIN(CM$38,$E408)&lt;MAX($P$34*($B408+$I$38-1),IF(AND($L$37=0,$P$34=0),"",$L$37-1)),0,YEARFRAC(MAX($P$34*($B408+$I$38-1),IF(AND($L$37=0,$P$34=0),"",$L$37-1)),MIN(CM$38,$E408),$P$20))-SUM($BF408:CL408))</f>
        <v>0</v>
      </c>
      <c r="CN408" s="446">
        <f>IF($E408=0,0,IF(MIN(CN$38,$E408)&lt;MAX($P$34*($B408+$I$38-1),IF(AND($L$37=0,$P$34=0),"",$L$37-1)),0,YEARFRAC(MAX($P$34*($B408+$I$38-1),IF(AND($L$37=0,$P$34=0),"",$L$37-1)),MIN(CN$38,$E408),$P$20))-SUM($BF408:CM408))</f>
        <v>0</v>
      </c>
      <c r="CO408" s="446">
        <f>IF($E408=0,0,IF(MIN(CO$38,$E408)&lt;MAX($P$34*($B408+$I$38-1),IF(AND($L$37=0,$P$34=0),"",$L$37-1)),0,YEARFRAC(MAX($P$34*($B408+$I$38-1),IF(AND($L$37=0,$P$34=0),"",$L$37-1)),MIN(CO$38,$E408),$P$20))-SUM($BF408:CN408))</f>
        <v>0</v>
      </c>
      <c r="CP408" s="446">
        <f>IF($E408=0,0,IF(MIN(CP$38,$E408)&lt;MAX($P$34*($B408+$I$38-1),IF(AND($L$37=0,$P$34=0),"",$L$37-1)),0,YEARFRAC(MAX($P$34*($B408+$I$38-1),IF(AND($L$37=0,$P$34=0),"",$L$37-1)),MIN(CP$38,$E408),$P$20))-SUM($BF408:CO408))</f>
        <v>0</v>
      </c>
      <c r="CQ408" s="446">
        <f>IF($E408=0,0,IF(MIN(CQ$38,$E408)&lt;MAX($P$34*($B408+$I$38-1),IF(AND($L$37=0,$P$34=0),"",$L$37-1)),0,YEARFRAC(MAX($P$34*($B408+$I$38-1),IF(AND($L$37=0,$P$34=0),"",$L$37-1)),MIN(CQ$38,$E408),$P$20))-SUM($BF408:CP408))</f>
        <v>0</v>
      </c>
    </row>
    <row r="409" spans="1:95" s="446" customFormat="1" ht="11.25" hidden="1" customHeight="1" x14ac:dyDescent="0.2">
      <c r="A409" s="152"/>
      <c r="B409" s="153" t="str">
        <f t="shared" si="70"/>
        <v/>
      </c>
      <c r="C409" s="29" t="str">
        <f>IF(B409="","",IF($L$35="SELIC - TRIBUTOS",VLOOKUP(DATE(YEAR($D$19),MONTH($D$19)-1,1),ÍNDICES!$A:$DE,HLOOKUP($BL$25,ÍNDICES!$B$3:$T$4,2)+11)-VLOOKUP(B409,ÍNDICES!$A:$DE,HLOOKUP($BL$25,ÍNDICES!$B$3:$T$4,2)+11)+1%,IF(C$38=$W$26,$J$35,IF(ISERROR(IF(B409&gt;$D$19,1,VLOOKUP(DATE(YEAR(B409),MONTH(B409)+IF($C$35=$S$23,1,0),1),ÍNDICES!$A:$DE,$Z$35+1))),"",IF(B409&gt;$D$19,1,VLOOKUP(DATE(YEAR(B409),MONTH(B409)+IF($C$35=$S$23,1,0),1),ÍNDICES!$A:$DE,$Z$35+1))))))</f>
        <v/>
      </c>
      <c r="D409" s="154" t="str">
        <f>IF(ISERROR(IF(OR($D$38=$Y$27,$B409=""),"",VLOOKUP(B409,ÍNDICES!A:DE,AF$35+1))),"",IF(OR($D$38=$Y$27,$B409=""),"",VLOOKUP(B409,ÍNDICES!A:DE,AF$35+1)))</f>
        <v/>
      </c>
      <c r="E409" s="153"/>
      <c r="F409" s="29" t="str">
        <f>IF(E409="","",IF($L$35="SELIC - TRIBUTOS",VLOOKUP(DATE(YEAR($D$19),MONTH($D$19)-1,1),ÍNDICES!$A:$DE,HLOOKUP($BL$25,ÍNDICES!$B$3:$T$4,2)+11)-VLOOKUP(E409,ÍNDICES!$A:$DE,HLOOKUP($BL$25,ÍNDICES!$B$3:$T$4,2)+11)+1%,IF(F$38=$W$26,$J$35,IF(ISERROR(IF(E409&gt;$D$19,1,VLOOKUP(DATE(YEAR(E409),MONTH(E409)+IF($C$35=$S$23,1,0),1),ÍNDICES!$A:$DE,$Z$35+1))),"",IF(E409&gt;$D$19,1,VLOOKUP(DATE(YEAR(E409),MONTH(E409)+IF($C$35=$S$23,1,0),1),ÍNDICES!$A:$DE,$Z$35+1))))))</f>
        <v/>
      </c>
      <c r="G409" s="155"/>
      <c r="H409" s="156" t="str">
        <f t="shared" si="66"/>
        <v/>
      </c>
      <c r="I409" s="29" t="str">
        <f t="shared" si="60"/>
        <v/>
      </c>
      <c r="J409" s="5">
        <f t="shared" si="61"/>
        <v>0</v>
      </c>
      <c r="K409" s="20">
        <f t="shared" ca="1" si="62"/>
        <v>0</v>
      </c>
      <c r="L409" s="5">
        <f t="shared" ca="1" si="63"/>
        <v>0</v>
      </c>
      <c r="M409" s="64">
        <f t="shared" si="67"/>
        <v>0</v>
      </c>
      <c r="N409" s="61">
        <f t="shared" ca="1" si="68"/>
        <v>0</v>
      </c>
      <c r="O409" s="5">
        <f t="shared" ca="1" si="69"/>
        <v>0</v>
      </c>
      <c r="P409" s="446" t="e">
        <f t="shared" si="64"/>
        <v>#VALUE!</v>
      </c>
      <c r="Q409" s="446" t="e">
        <f>IF(OR($B409="",MIN(Q$38,$D$19)&lt;MAX($P$34*($B409+IF($R$17="Distrato",$I$38-1,0)),IF(AND($L$37=0,$P$34=0),"",$L$37-1),IF($R$17="Distrato",$E409,0))),0,YEARFRAC(MAX($P$34*($B409+IF($R$17="Distrato",$I$38-1,0)),IF(AND($L$37=0,$P$34=0),"",$L$37-1),IF($R$17="Distrato",$E409,0)),MIN(Q$38,$D$19),$P$20))-SUM($P409:P409)</f>
        <v>#VALUE!</v>
      </c>
      <c r="R409" s="446" t="e">
        <f>IF(OR($B409="",MIN(R$38,$D$19)&lt;MAX($P$34*($B409+IF($R$17="Distrato",$I$38-1,0)),IF(AND($L$37=0,$P$34=0),"",$L$37-1),IF($R$17="Distrato",$E409,0))),0,YEARFRAC(MAX($P$34*($B409+IF($R$17="Distrato",$I$38-1,0)),IF(AND($L$37=0,$P$34=0),"",$L$37-1),IF($R$17="Distrato",$E409,0)),MIN(R$38,$D$19),$P$20))-SUM($P409:Q409)</f>
        <v>#VALUE!</v>
      </c>
      <c r="S409" s="446" t="e">
        <f>IF(OR($B409="",MIN(S$38,$D$19)&lt;MAX($P$34*($B409+IF($R$17="Distrato",$I$38-1,0)),IF(AND($L$37=0,$P$34=0),"",$L$37-1),IF($R$17="Distrato",$E409,0))),0,YEARFRAC(MAX($P$34*($B409+IF($R$17="Distrato",$I$38-1,0)),IF(AND($L$37=0,$P$34=0),"",$L$37-1),IF($R$17="Distrato",$E409,0)),MIN(S$38,$D$19),$P$20))-SUM($P409:R409)</f>
        <v>#VALUE!</v>
      </c>
      <c r="T409" s="446" t="e">
        <f>IF(OR($B409="",MIN(T$38,$D$19)&lt;MAX($P$34*($B409+IF($R$17="Distrato",$I$38-1,0)),IF(AND($L$37=0,$P$34=0),"",$L$37-1),IF($R$17="Distrato",$E409,0))),0,YEARFRAC(MAX($P$34*($B409+IF($R$17="Distrato",$I$38-1,0)),IF(AND($L$37=0,$P$34=0),"",$L$37-1),IF($R$17="Distrato",$E409,0)),MIN(T$38,$D$19),$P$20))-SUM($P409:S409)</f>
        <v>#VALUE!</v>
      </c>
      <c r="U409" s="446" t="e">
        <f>IF(OR($B409="",MIN(U$38,$D$19)&lt;MAX($P$34*($B409+IF($R$17="Distrato",$I$38-1,0)),IF(AND($L$37=0,$P$34=0),"",$L$37-1),IF($R$17="Distrato",$E409,0))),0,YEARFRAC(MAX($P$34*($B409+IF($R$17="Distrato",$I$38-1,0)),IF(AND($L$37=0,$P$34=0),"",$L$37-1),IF($R$17="Distrato",$E409,0)),MIN(U$38,$D$19),$P$20))-SUM($P409:T409)</f>
        <v>#VALUE!</v>
      </c>
      <c r="V409" s="446" t="e">
        <f>IF(OR($B409="",MIN(V$38,$D$19)&lt;MAX($P$34*($B409+IF($R$17="Distrato",$I$38-1,0)),IF(AND($L$37=0,$P$34=0),"",$L$37-1),IF($R$17="Distrato",$E409,0))),0,YEARFRAC(MAX($P$34*($B409+IF($R$17="Distrato",$I$38-1,0)),IF(AND($L$37=0,$P$34=0),"",$L$37-1),IF($R$17="Distrato",$E409,0)),MIN(V$38,$D$19),$P$20))-SUM($P409:U409)</f>
        <v>#VALUE!</v>
      </c>
      <c r="W409" s="446" t="e">
        <f>IF(OR($B409="",MIN(W$38,$D$19)&lt;MAX($P$34*($B409+IF($R$17="Distrato",$I$38-1,0)),IF(AND($L$37=0,$P$34=0),"",$L$37-1),IF($R$17="Distrato",$E409,0))),0,YEARFRAC(MAX($P$34*($B409+IF($R$17="Distrato",$I$38-1,0)),IF(AND($L$37=0,$P$34=0),"",$L$37-1),IF($R$17="Distrato",$E409,0)),MIN(W$38,$D$19),$P$20))-SUM($P409:V409)</f>
        <v>#VALUE!</v>
      </c>
      <c r="X409" s="446" t="e">
        <f>IF(OR($B409="",MIN(X$38,$D$19)&lt;MAX($P$34*($B409+IF($R$17="Distrato",$I$38-1,0)),IF(AND($L$37=0,$P$34=0),"",$L$37-1),IF($R$17="Distrato",$E409,0))),0,YEARFRAC(MAX($P$34*($B409+IF($R$17="Distrato",$I$38-1,0)),IF(AND($L$37=0,$P$34=0),"",$L$37-1),IF($R$17="Distrato",$E409,0)),MIN(X$38,$D$19),$P$20))-SUM($P409:W409)</f>
        <v>#VALUE!</v>
      </c>
      <c r="Y409" s="446" t="e">
        <f>IF(OR($B409="",MIN(Y$38,$D$19)&lt;MAX($P$34*($B409+IF($R$17="Distrato",$I$38-1,0)),IF(AND($L$37=0,$P$34=0),"",$L$37-1),IF($R$17="Distrato",$E409,0))),0,YEARFRAC(MAX($P$34*($B409+IF($R$17="Distrato",$I$38-1,0)),IF(AND($L$37=0,$P$34=0),"",$L$37-1),IF($R$17="Distrato",$E409,0)),MIN(Y$38,$D$19),$P$20))-SUM($P409:X409)</f>
        <v>#VALUE!</v>
      </c>
      <c r="Z409" s="446" t="e">
        <f>IF(OR($B409="",MIN(Z$38,$D$19)&lt;MAX($P$34*($B409+IF($R$17="Distrato",$I$38-1,0)),IF(AND($L$37=0,$P$34=0),"",$L$37-1),IF($R$17="Distrato",$E409,0))),0,YEARFRAC(MAX($P$34*($B409+IF($R$17="Distrato",$I$38-1,0)),IF(AND($L$37=0,$P$34=0),"",$L$37-1),IF($R$17="Distrato",$E409,0)),MIN(Z$38,$D$19),$P$20))-SUM($P409:Y409)</f>
        <v>#VALUE!</v>
      </c>
      <c r="AA409" s="446" t="e">
        <f>IF(OR($B409="",MIN(AA$38,$D$19)&lt;MAX($P$34*($B409+IF($R$17="Distrato",$I$38-1,0)),IF(AND($L$37=0,$P$34=0),"",$L$37-1),IF($R$17="Distrato",$E409,0))),0,YEARFRAC(MAX($P$34*($B409+IF($R$17="Distrato",$I$38-1,0)),IF(AND($L$37=0,$P$34=0),"",$L$37-1),IF($R$17="Distrato",$E409,0)),MIN(AA$38,$D$19),$P$20))-SUM($P409:Z409)</f>
        <v>#VALUE!</v>
      </c>
      <c r="AB409" s="446" t="e">
        <f>IF(OR($B409="",MIN(AB$38,$D$19)&lt;MAX($P$34*($B409+IF($R$17="Distrato",$I$38-1,0)),IF(AND($L$37=0,$P$34=0),"",$L$37-1),IF($R$17="Distrato",$E409,0))),0,YEARFRAC(MAX($P$34*($B409+IF($R$17="Distrato",$I$38-1,0)),IF(AND($L$37=0,$P$34=0),"",$L$37-1),IF($R$17="Distrato",$E409,0)),MIN(AB$38,$D$19),$P$20))-SUM($P409:AA409)</f>
        <v>#VALUE!</v>
      </c>
      <c r="AC409" s="446" t="e">
        <f>IF(OR($B409="",MIN(AC$38,$D$19)&lt;MAX($P$34*($B409+IF($R$17="Distrato",$I$38-1,0)),IF(AND($L$37=0,$P$34=0),"",$L$37-1),IF($R$17="Distrato",$E409,0))),0,YEARFRAC(MAX($P$34*($B409+IF($R$17="Distrato",$I$38-1,0)),IF(AND($L$37=0,$P$34=0),"",$L$37-1),IF($R$17="Distrato",$E409,0)),MIN(AC$38,$D$19),$P$20))-SUM($P409:AB409)</f>
        <v>#VALUE!</v>
      </c>
      <c r="AD409" s="446" t="e">
        <f>IF(OR($B409="",MIN(AD$38,$D$19)&lt;MAX($P$34*($B409+IF($R$17="Distrato",$I$38-1,0)),IF(AND($L$37=0,$P$34=0),"",$L$37-1),IF($R$17="Distrato",$E409,0))),0,YEARFRAC(MAX($P$34*($B409+IF($R$17="Distrato",$I$38-1,0)),IF(AND($L$37=0,$P$34=0),"",$L$37-1),IF($R$17="Distrato",$E409,0)),MIN(AD$38,$D$19),$P$20))-SUM($P409:AC409)</f>
        <v>#VALUE!</v>
      </c>
      <c r="AE409" s="446" t="e">
        <f>IF(OR($B409="",MIN(AE$38,$D$19)&lt;MAX($P$34*($B409+IF($R$17="Distrato",$I$38-1,0)),IF(AND($L$37=0,$P$34=0),"",$L$37-1),IF($R$17="Distrato",$E409,0))),0,YEARFRAC(MAX($P$34*($B409+IF($R$17="Distrato",$I$38-1,0)),IF(AND($L$37=0,$P$34=0),"",$L$37-1),IF($R$17="Distrato",$E409,0)),MIN(AE$38,$D$19),$P$20))-SUM($P409:AD409)</f>
        <v>#VALUE!</v>
      </c>
      <c r="AF409" s="446" t="e">
        <f>IF(OR($B409="",MIN(AF$38,$D$19)&lt;MAX($P$34*($B409+IF($R$17="Distrato",$I$38-1,0)),IF(AND($L$37=0,$P$34=0),"",$L$37-1),IF($R$17="Distrato",$E409,0))),0,YEARFRAC(MAX($P$34*($B409+IF($R$17="Distrato",$I$38-1,0)),IF(AND($L$37=0,$P$34=0),"",$L$37-1),IF($R$17="Distrato",$E409,0)),MIN(AF$38,$D$19),$P$20))-SUM($P409:AE409)</f>
        <v>#VALUE!</v>
      </c>
      <c r="AG409" s="446" t="e">
        <f>IF(OR($B409="",MIN(AG$38,$D$19)&lt;MAX($P$34*($B409+IF($R$17="Distrato",$I$38-1,0)),IF(AND($L$37=0,$P$34=0),"",$L$37-1),IF($R$17="Distrato",$E409,0))),0,YEARFRAC(MAX($P$34*($B409+IF($R$17="Distrato",$I$38-1,0)),IF(AND($L$37=0,$P$34=0),"",$L$37-1),IF($R$17="Distrato",$E409,0)),MIN(AG$38,$D$19),$P$20))-SUM($P409:AF409)</f>
        <v>#VALUE!</v>
      </c>
      <c r="AH409" s="446" t="e">
        <f>IF(OR($B409="",MIN(AH$38,$D$19)&lt;MAX($P$34*($B409+IF($R$17="Distrato",$I$38-1,0)),IF(AND($L$37=0,$P$34=0),"",$L$37-1),IF($R$17="Distrato",$E409,0))),0,YEARFRAC(MAX($P$34*($B409+IF($R$17="Distrato",$I$38-1,0)),IF(AND($L$37=0,$P$34=0),"",$L$37-1),IF($R$17="Distrato",$E409,0)),MIN(AH$38,$D$19),$P$20))-SUM($P409:AG409)</f>
        <v>#VALUE!</v>
      </c>
      <c r="AI409" s="446" t="e">
        <f>IF(OR($B409="",MIN(AI$38,$D$19)&lt;MAX($P$34*($B409+IF($R$17="Distrato",$I$38-1,0)),IF(AND($L$37=0,$P$34=0),"",$L$37-1),IF($R$17="Distrato",$E409,0))),0,YEARFRAC(MAX($P$34*($B409+IF($R$17="Distrato",$I$38-1,0)),IF(AND($L$37=0,$P$34=0),"",$L$37-1),IF($R$17="Distrato",$E409,0)),MIN(AI$38,$D$19),$P$20))-SUM($P409:AH409)</f>
        <v>#VALUE!</v>
      </c>
      <c r="AJ409" s="446" t="e">
        <f>IF(OR($B409="",MIN(AJ$38,$D$19)&lt;MAX($P$34*($B409+IF($R$17="Distrato",$I$38-1,0)),IF(AND($L$37=0,$P$34=0),"",$L$37-1),IF($R$17="Distrato",$E409,0))),0,YEARFRAC(MAX($P$34*($B409+IF($R$17="Distrato",$I$38-1,0)),IF(AND($L$37=0,$P$34=0),"",$L$37-1),IF($R$17="Distrato",$E409,0)),MIN(AJ$38,$D$19),$P$20))-SUM($P409:AI409)</f>
        <v>#VALUE!</v>
      </c>
      <c r="AK409" s="446" t="e">
        <f>IF(OR($B409="",MIN(AK$38,$D$19)&lt;MAX($P$34*($B409+IF($R$17="Distrato",$I$38-1,0)),IF(AND($L$37=0,$P$34=0),"",$L$37-1),IF($R$17="Distrato",$E409,0))),0,YEARFRAC(MAX($P$34*($B409+IF($R$17="Distrato",$I$38-1,0)),IF(AND($L$37=0,$P$34=0),"",$L$37-1),IF($R$17="Distrato",$E409,0)),MIN(AK$38,$D$19),$P$20))-SUM($P409:AJ409)</f>
        <v>#VALUE!</v>
      </c>
      <c r="AL409" s="446" t="e">
        <f>IF(OR($B409="",MIN(AL$38,$D$19)&lt;MAX($P$34*($B409+IF($R$17="Distrato",$I$38-1,0)),IF(AND($L$37=0,$P$34=0),"",$L$37-1),IF($R$17="Distrato",$E409,0))),0,YEARFRAC(MAX($P$34*($B409+IF($R$17="Distrato",$I$38-1,0)),IF(AND($L$37=0,$P$34=0),"",$L$37-1),IF($R$17="Distrato",$E409,0)),MIN(AL$38,$D$19),$P$20))-SUM($P409:AK409)</f>
        <v>#VALUE!</v>
      </c>
      <c r="AM409" s="446" t="e">
        <f>IF(OR($B409="",MIN(AM$38,$D$19)&lt;MAX($P$34*($B409+IF($R$17="Distrato",$I$38-1,0)),IF(AND($L$37=0,$P$34=0),"",$L$37-1),IF($R$17="Distrato",$E409,0))),0,YEARFRAC(MAX($P$34*($B409+IF($R$17="Distrato",$I$38-1,0)),IF(AND($L$37=0,$P$34=0),"",$L$37-1),IF($R$17="Distrato",$E409,0)),MIN(AM$38,$D$19),$P$20))-SUM($P409:AL409)</f>
        <v>#VALUE!</v>
      </c>
      <c r="AN409" s="446" t="e">
        <f>IF(OR($B409="",MIN(AN$38,$D$19)&lt;MAX($P$34*($B409+IF($R$17="Distrato",$I$38-1,0)),IF(AND($L$37=0,$P$34=0),"",$L$37-1),IF($R$17="Distrato",$E409,0))),0,YEARFRAC(MAX($P$34*($B409+IF($R$17="Distrato",$I$38-1,0)),IF(AND($L$37=0,$P$34=0),"",$L$37-1),IF($R$17="Distrato",$E409,0)),MIN(AN$38,$D$19),$P$20))-SUM($P409:AM409)</f>
        <v>#VALUE!</v>
      </c>
      <c r="AO409" s="446" t="e">
        <f>IF(OR($B409="",MIN(AO$38,$D$19)&lt;MAX($P$34*($B409+IF($R$17="Distrato",$I$38-1,0)),IF(AND($L$37=0,$P$34=0),"",$L$37-1),IF($R$17="Distrato",$E409,0))),0,YEARFRAC(MAX($P$34*($B409+IF($R$17="Distrato",$I$38-1,0)),IF(AND($L$37=0,$P$34=0),"",$L$37-1),IF($R$17="Distrato",$E409,0)),MIN(AO$38,$D$19),$P$20))-SUM($P409:AN409)</f>
        <v>#VALUE!</v>
      </c>
      <c r="AP409" s="446" t="e">
        <f>IF(OR($B409="",MIN(AP$38,$D$19)&lt;MAX($P$34*($B409+IF($R$17="Distrato",$I$38-1,0)),IF(AND($L$37=0,$P$34=0),"",$L$37-1),IF($R$17="Distrato",$E409,0))),0,YEARFRAC(MAX($P$34*($B409+IF($R$17="Distrato",$I$38-1,0)),IF(AND($L$37=0,$P$34=0),"",$L$37-1),IF($R$17="Distrato",$E409,0)),MIN(AP$38,$D$19),$P$20))-SUM($P409:AO409)</f>
        <v>#VALUE!</v>
      </c>
      <c r="AQ409" s="446" t="e">
        <f>IF(OR($B409="",MIN(AQ$38,$D$19)&lt;MAX($P$34*($B409+IF($R$17="Distrato",$I$38-1,0)),IF(AND($L$37=0,$P$34=0),"",$L$37-1),IF($R$17="Distrato",$E409,0))),0,YEARFRAC(MAX($P$34*($B409+IF($R$17="Distrato",$I$38-1,0)),IF(AND($L$37=0,$P$34=0),"",$L$37-1),IF($R$17="Distrato",$E409,0)),MIN(AQ$38,$D$19),$P$20))-SUM($P409:AP409)</f>
        <v>#VALUE!</v>
      </c>
      <c r="AR409" s="446" t="e">
        <f>IF(OR($B409="",MIN(AR$38,$D$19)&lt;MAX($P$34*($B409+IF($R$17="Distrato",$I$38-1,0)),IF(AND($L$37=0,$P$34=0),"",$L$37-1),IF($R$17="Distrato",$E409,0))),0,YEARFRAC(MAX($P$34*($B409+IF($R$17="Distrato",$I$38-1,0)),IF(AND($L$37=0,$P$34=0),"",$L$37-1),IF($R$17="Distrato",$E409,0)),MIN(AR$38,$D$19),$P$20))-SUM($P409:AQ409)</f>
        <v>#VALUE!</v>
      </c>
      <c r="AS409" s="446" t="e">
        <f>IF(OR($B409="",MIN(AS$38,$D$19)&lt;MAX($P$34*($B409+IF($R$17="Distrato",$I$38-1,0)),IF(AND($L$37=0,$P$34=0),"",$L$37-1),IF($R$17="Distrato",$E409,0))),0,YEARFRAC(MAX($P$34*($B409+IF($R$17="Distrato",$I$38-1,0)),IF(AND($L$37=0,$P$34=0),"",$L$37-1),IF($R$17="Distrato",$E409,0)),MIN(AS$38,$D$19),$P$20))-SUM($P409:AR409)</f>
        <v>#VALUE!</v>
      </c>
      <c r="AT409" s="446" t="e">
        <f>IF(OR($B409="",MIN(AT$38,$D$19)&lt;MAX($P$34*($B409+IF($R$17="Distrato",$I$38-1,0)),IF(AND($L$37=0,$P$34=0),"",$L$37-1),IF($R$17="Distrato",$E409,0))),0,YEARFRAC(MAX($P$34*($B409+IF($R$17="Distrato",$I$38-1,0)),IF(AND($L$37=0,$P$34=0),"",$L$37-1),IF($R$17="Distrato",$E409,0)),MIN(AT$38,$D$19),$P$20))-SUM($P409:AS409)</f>
        <v>#VALUE!</v>
      </c>
      <c r="AU409" s="446" t="e">
        <f>IF(OR($B409="",MIN(AU$38,$D$19)&lt;MAX($P$34*($B409+IF($R$17="Distrato",$I$38-1,0)),IF(AND($L$37=0,$P$34=0),"",$L$37-1),IF($R$17="Distrato",$E409,0))),0,YEARFRAC(MAX($P$34*($B409+IF($R$17="Distrato",$I$38-1,0)),IF(AND($L$37=0,$P$34=0),"",$L$37-1),IF($R$17="Distrato",$E409,0)),MIN(AU$38,$D$19),$P$20))-SUM($P409:AT409)</f>
        <v>#VALUE!</v>
      </c>
      <c r="AV409" s="446" t="e">
        <f>IF(OR($B409="",MIN(AV$38,$D$19)&lt;MAX($P$34*($B409+IF($R$17="Distrato",$I$38-1,0)),IF(AND($L$37=0,$P$34=0),"",$L$37-1),IF($R$17="Distrato",$E409,0))),0,YEARFRAC(MAX($P$34*($B409+IF($R$17="Distrato",$I$38-1,0)),IF(AND($L$37=0,$P$34=0),"",$L$37-1),IF($R$17="Distrato",$E409,0)),MIN(AV$38,$D$19),$P$20))-SUM($P409:AU409)</f>
        <v>#VALUE!</v>
      </c>
      <c r="AW409" s="446" t="e">
        <f>IF(OR($B409="",MIN(AW$38,$D$19)&lt;MAX($P$34*($B409+IF($R$17="Distrato",$I$38-1,0)),IF(AND($L$37=0,$P$34=0),"",$L$37-1),IF($R$17="Distrato",$E409,0))),0,YEARFRAC(MAX($P$34*($B409+IF($R$17="Distrato",$I$38-1,0)),IF(AND($L$37=0,$P$34=0),"",$L$37-1),IF($R$17="Distrato",$E409,0)),MIN(AW$38,$D$19),$P$20))-SUM($P409:AV409)</f>
        <v>#VALUE!</v>
      </c>
      <c r="AX409" s="446" t="e">
        <f>IF(OR($B409="",MIN(AX$38,$D$19)&lt;MAX($P$34*($B409+IF($R$17="Distrato",$I$38-1,0)),IF(AND($L$37=0,$P$34=0),"",$L$37-1),IF($R$17="Distrato",$E409,0))),0,YEARFRAC(MAX($P$34*($B409+IF($R$17="Distrato",$I$38-1,0)),IF(AND($L$37=0,$P$34=0),"",$L$37-1),IF($R$17="Distrato",$E409,0)),MIN(AX$38,$D$19),$P$20))-SUM($P409:AW409)</f>
        <v>#VALUE!</v>
      </c>
      <c r="AY409" s="446" t="e">
        <f>IF(OR($B409="",MIN(AY$38,$D$19)&lt;MAX($P$34*($B409+IF($R$17="Distrato",$I$38-1,0)),IF(AND($L$37=0,$P$34=0),"",$L$37-1),IF($R$17="Distrato",$E409,0))),0,YEARFRAC(MAX($P$34*($B409+IF($R$17="Distrato",$I$38-1,0)),IF(AND($L$37=0,$P$34=0),"",$L$37-1),IF($R$17="Distrato",$E409,0)),MIN(AY$38,$D$19),$P$20))-SUM($P409:AX409)</f>
        <v>#VALUE!</v>
      </c>
      <c r="AZ409" s="446" t="e">
        <f>IF(OR($B409="",MIN(AZ$38,$D$19)&lt;MAX($P$34*($B409+IF($R$17="Distrato",$I$38-1,0)),IF(AND($L$37=0,$P$34=0),"",$L$37-1),IF($R$17="Distrato",$E409,0))),0,YEARFRAC(MAX($P$34*($B409+IF($R$17="Distrato",$I$38-1,0)),IF(AND($L$37=0,$P$34=0),"",$L$37-1),IF($R$17="Distrato",$E409,0)),MIN(AZ$38,$D$19),$P$20))-SUM($P409:AY409)</f>
        <v>#VALUE!</v>
      </c>
      <c r="BA409" s="446" t="e">
        <f>IF(OR($B409="",MIN(BA$38,$D$19)&lt;MAX($P$34*($B409+IF($R$17="Distrato",$I$38-1,0)),IF(AND($L$37=0,$P$34=0),"",$L$37-1),IF($R$17="Distrato",$E409,0))),0,YEARFRAC(MAX($P$34*($B409+IF($R$17="Distrato",$I$38-1,0)),IF(AND($L$37=0,$P$34=0),"",$L$37-1),IF($R$17="Distrato",$E409,0)),MIN(BA$38,$D$19),$P$20))-SUM($P409:AZ409)</f>
        <v>#VALUE!</v>
      </c>
      <c r="BB409" s="447"/>
      <c r="BF409" s="446">
        <f t="shared" si="65"/>
        <v>0</v>
      </c>
      <c r="BG409" s="446">
        <f>IF($E409=0,0,IF(MIN(BG$38,$E409)&lt;MAX($P$34*($B409+$I$38-1),IF(AND($L$37=0,$P$34=0),"",$L$37-1)),0,YEARFRAC(MAX($P$34*($B409+$I$38-1),IF(AND($L$37=0,$P$34=0),"",$L$37-1)),MIN(BG$38,$E409),$P$20))-SUM($BF409:BF409))</f>
        <v>0</v>
      </c>
      <c r="BH409" s="446">
        <f>IF($E409=0,0,IF(MIN(BH$38,$E409)&lt;MAX($P$34*($B409+$I$38-1),IF(AND($L$37=0,$P$34=0),"",$L$37-1)),0,YEARFRAC(MAX($P$34*($B409+$I$38-1),IF(AND($L$37=0,$P$34=0),"",$L$37-1)),MIN(BH$38,$E409),$P$20))-SUM($BF409:BG409))</f>
        <v>0</v>
      </c>
      <c r="BI409" s="446">
        <f>IF($E409=0,0,IF(MIN(BI$38,$E409)&lt;MAX($P$34*($B409+$I$38-1),IF(AND($L$37=0,$P$34=0),"",$L$37-1)),0,YEARFRAC(MAX($P$34*($B409+$I$38-1),IF(AND($L$37=0,$P$34=0),"",$L$37-1)),MIN(BI$38,$E409),$P$20))-SUM($BF409:BH409))</f>
        <v>0</v>
      </c>
      <c r="BJ409" s="446">
        <f>IF($E409=0,0,IF(MIN(BJ$38,$E409)&lt;MAX($P$34*($B409+$I$38-1),IF(AND($L$37=0,$P$34=0),"",$L$37-1)),0,YEARFRAC(MAX($P$34*($B409+$I$38-1),IF(AND($L$37=0,$P$34=0),"",$L$37-1)),MIN(BJ$38,$E409),$P$20))-SUM($BF409:BI409))</f>
        <v>0</v>
      </c>
      <c r="BK409" s="446">
        <f>IF($E409=0,0,IF(MIN(BK$38,$E409)&lt;MAX($P$34*($B409+$I$38-1),IF(AND($L$37=0,$P$34=0),"",$L$37-1)),0,YEARFRAC(MAX($P$34*($B409+$I$38-1),IF(AND($L$37=0,$P$34=0),"",$L$37-1)),MIN(BK$38,$E409),$P$20))-SUM($BF409:BJ409))</f>
        <v>0</v>
      </c>
      <c r="BL409" s="446">
        <f>IF($E409=0,0,IF(MIN(BL$38,$E409)&lt;MAX($P$34*($B409+$I$38-1),IF(AND($L$37=0,$P$34=0),"",$L$37-1)),0,YEARFRAC(MAX($P$34*($B409+$I$38-1),IF(AND($L$37=0,$P$34=0),"",$L$37-1)),MIN(BL$38,$E409),$P$20))-SUM($BF409:BK409))</f>
        <v>0</v>
      </c>
      <c r="BM409" s="446">
        <f>IF($E409=0,0,IF(MIN(BM$38,$E409)&lt;MAX($P$34*($B409+$I$38-1),IF(AND($L$37=0,$P$34=0),"",$L$37-1)),0,YEARFRAC(MAX($P$34*($B409+$I$38-1),IF(AND($L$37=0,$P$34=0),"",$L$37-1)),MIN(BM$38,$E409),$P$20))-SUM($BF409:BL409))</f>
        <v>0</v>
      </c>
      <c r="BN409" s="446">
        <f>IF($E409=0,0,IF(MIN(BN$38,$E409)&lt;MAX($P$34*($B409+$I$38-1),IF(AND($L$37=0,$P$34=0),"",$L$37-1)),0,YEARFRAC(MAX($P$34*($B409+$I$38-1),IF(AND($L$37=0,$P$34=0),"",$L$37-1)),MIN(BN$38,$E409),$P$20))-SUM($BF409:BM409))</f>
        <v>0</v>
      </c>
      <c r="BO409" s="446">
        <f>IF($E409=0,0,IF(MIN(BO$38,$E409)&lt;MAX($P$34*($B409+$I$38-1),IF(AND($L$37=0,$P$34=0),"",$L$37-1)),0,YEARFRAC(MAX($P$34*($B409+$I$38-1),IF(AND($L$37=0,$P$34=0),"",$L$37-1)),MIN(BO$38,$E409),$P$20))-SUM($BF409:BN409))</f>
        <v>0</v>
      </c>
      <c r="BP409" s="446">
        <f>IF($E409=0,0,IF(MIN(BP$38,$E409)&lt;MAX($P$34*($B409+$I$38-1),IF(AND($L$37=0,$P$34=0),"",$L$37-1)),0,YEARFRAC(MAX($P$34*($B409+$I$38-1),IF(AND($L$37=0,$P$34=0),"",$L$37-1)),MIN(BP$38,$E409),$P$20))-SUM($BF409:BO409))</f>
        <v>0</v>
      </c>
      <c r="BQ409" s="446">
        <f>IF($E409=0,0,IF(MIN(BQ$38,$E409)&lt;MAX($P$34*($B409+$I$38-1),IF(AND($L$37=0,$P$34=0),"",$L$37-1)),0,YEARFRAC(MAX($P$34*($B409+$I$38-1),IF(AND($L$37=0,$P$34=0),"",$L$37-1)),MIN(BQ$38,$E409),$P$20))-SUM($BF409:BP409))</f>
        <v>0</v>
      </c>
      <c r="BR409" s="446">
        <f>IF($E409=0,0,IF(MIN(BR$38,$E409)&lt;MAX($P$34*($B409+$I$38-1),IF(AND($L$37=0,$P$34=0),"",$L$37-1)),0,YEARFRAC(MAX($P$34*($B409+$I$38-1),IF(AND($L$37=0,$P$34=0),"",$L$37-1)),MIN(BR$38,$E409),$P$20))-SUM($BF409:BQ409))</f>
        <v>0</v>
      </c>
      <c r="BS409" s="446">
        <f>IF($E409=0,0,IF(MIN(BS$38,$E409)&lt;MAX($P$34*($B409+$I$38-1),IF(AND($L$37=0,$P$34=0),"",$L$37-1)),0,YEARFRAC(MAX($P$34*($B409+$I$38-1),IF(AND($L$37=0,$P$34=0),"",$L$37-1)),MIN(BS$38,$E409),$P$20))-SUM($BF409:BR409))</f>
        <v>0</v>
      </c>
      <c r="BT409" s="446">
        <f>IF($E409=0,0,IF(MIN(BT$38,$E409)&lt;MAX($P$34*($B409+$I$38-1),IF(AND($L$37=0,$P$34=0),"",$L$37-1)),0,YEARFRAC(MAX($P$34*($B409+$I$38-1),IF(AND($L$37=0,$P$34=0),"",$L$37-1)),MIN(BT$38,$E409),$P$20))-SUM($BF409:BS409))</f>
        <v>0</v>
      </c>
      <c r="BU409" s="446">
        <f>IF($E409=0,0,IF(MIN(BU$38,$E409)&lt;MAX($P$34*($B409+$I$38-1),IF(AND($L$37=0,$P$34=0),"",$L$37-1)),0,YEARFRAC(MAX($P$34*($B409+$I$38-1),IF(AND($L$37=0,$P$34=0),"",$L$37-1)),MIN(BU$38,$E409),$P$20))-SUM($BF409:BT409))</f>
        <v>0</v>
      </c>
      <c r="BV409" s="446">
        <f>IF($E409=0,0,IF(MIN(BV$38,$E409)&lt;MAX($P$34*($B409+$I$38-1),IF(AND($L$37=0,$P$34=0),"",$L$37-1)),0,YEARFRAC(MAX($P$34*($B409+$I$38-1),IF(AND($L$37=0,$P$34=0),"",$L$37-1)),MIN(BV$38,$E409),$P$20))-SUM($BF409:BU409))</f>
        <v>0</v>
      </c>
      <c r="BW409" s="446">
        <f>IF($E409=0,0,IF(MIN(BW$38,$E409)&lt;MAX($P$34*($B409+$I$38-1),IF(AND($L$37=0,$P$34=0),"",$L$37-1)),0,YEARFRAC(MAX($P$34*($B409+$I$38-1),IF(AND($L$37=0,$P$34=0),"",$L$37-1)),MIN(BW$38,$E409),$P$20))-SUM($BF409:BV409))</f>
        <v>0</v>
      </c>
      <c r="BX409" s="446">
        <f>IF($E409=0,0,IF(MIN(BX$38,$E409)&lt;MAX($P$34*($B409+$I$38-1),IF(AND($L$37=0,$P$34=0),"",$L$37-1)),0,YEARFRAC(MAX($P$34*($B409+$I$38-1),IF(AND($L$37=0,$P$34=0),"",$L$37-1)),MIN(BX$38,$E409),$P$20))-SUM($BF409:BW409))</f>
        <v>0</v>
      </c>
      <c r="BY409" s="446">
        <f>IF($E409=0,0,IF(MIN(BY$38,$E409)&lt;MAX($P$34*($B409+$I$38-1),IF(AND($L$37=0,$P$34=0),"",$L$37-1)),0,YEARFRAC(MAX($P$34*($B409+$I$38-1),IF(AND($L$37=0,$P$34=0),"",$L$37-1)),MIN(BY$38,$E409),$P$20))-SUM($BF409:BX409))</f>
        <v>0</v>
      </c>
      <c r="BZ409" s="446">
        <f>IF($E409=0,0,IF(MIN(BZ$38,$E409)&lt;MAX($P$34*($B409+$I$38-1),IF(AND($L$37=0,$P$34=0),"",$L$37-1)),0,YEARFRAC(MAX($P$34*($B409+$I$38-1),IF(AND($L$37=0,$P$34=0),"",$L$37-1)),MIN(BZ$38,$E409),$P$20))-SUM($BF409:BY409))</f>
        <v>0</v>
      </c>
      <c r="CA409" s="446">
        <f>IF($E409=0,0,IF(MIN(CA$38,$E409)&lt;MAX($P$34*($B409+$I$38-1),IF(AND($L$37=0,$P$34=0),"",$L$37-1)),0,YEARFRAC(MAX($P$34*($B409+$I$38-1),IF(AND($L$37=0,$P$34=0),"",$L$37-1)),MIN(CA$38,$E409),$P$20))-SUM($BF409:BZ409))</f>
        <v>0</v>
      </c>
      <c r="CB409" s="446">
        <f>IF($E409=0,0,IF(MIN(CB$38,$E409)&lt;MAX($P$34*($B409+$I$38-1),IF(AND($L$37=0,$P$34=0),"",$L$37-1)),0,YEARFRAC(MAX($P$34*($B409+$I$38-1),IF(AND($L$37=0,$P$34=0),"",$L$37-1)),MIN(CB$38,$E409),$P$20))-SUM($BF409:CA409))</f>
        <v>0</v>
      </c>
      <c r="CC409" s="446">
        <f>IF($E409=0,0,IF(MIN(CC$38,$E409)&lt;MAX($P$34*($B409+$I$38-1),IF(AND($L$37=0,$P$34=0),"",$L$37-1)),0,YEARFRAC(MAX($P$34*($B409+$I$38-1),IF(AND($L$37=0,$P$34=0),"",$L$37-1)),MIN(CC$38,$E409),$P$20))-SUM($BF409:CB409))</f>
        <v>0</v>
      </c>
      <c r="CD409" s="446">
        <f>IF($E409=0,0,IF(MIN(CD$38,$E409)&lt;MAX($P$34*($B409+$I$38-1),IF(AND($L$37=0,$P$34=0),"",$L$37-1)),0,YEARFRAC(MAX($P$34*($B409+$I$38-1),IF(AND($L$37=0,$P$34=0),"",$L$37-1)),MIN(CD$38,$E409),$P$20))-SUM($BF409:CC409))</f>
        <v>0</v>
      </c>
      <c r="CE409" s="446">
        <f>IF($E409=0,0,IF(MIN(CE$38,$E409)&lt;MAX($P$34*($B409+$I$38-1),IF(AND($L$37=0,$P$34=0),"",$L$37-1)),0,YEARFRAC(MAX($P$34*($B409+$I$38-1),IF(AND($L$37=0,$P$34=0),"",$L$37-1)),MIN(CE$38,$E409),$P$20))-SUM($BF409:CD409))</f>
        <v>0</v>
      </c>
      <c r="CF409" s="446">
        <f>IF($E409=0,0,IF(MIN(CF$38,$E409)&lt;MAX($P$34*($B409+$I$38-1),IF(AND($L$37=0,$P$34=0),"",$L$37-1)),0,YEARFRAC(MAX($P$34*($B409+$I$38-1),IF(AND($L$37=0,$P$34=0),"",$L$37-1)),MIN(CF$38,$E409),$P$20))-SUM($BF409:CE409))</f>
        <v>0</v>
      </c>
      <c r="CG409" s="446">
        <f>IF($E409=0,0,IF(MIN(CG$38,$E409)&lt;MAX($P$34*($B409+$I$38-1),IF(AND($L$37=0,$P$34=0),"",$L$37-1)),0,YEARFRAC(MAX($P$34*($B409+$I$38-1),IF(AND($L$37=0,$P$34=0),"",$L$37-1)),MIN(CG$38,$E409),$P$20))-SUM($BF409:CF409))</f>
        <v>0</v>
      </c>
      <c r="CH409" s="446">
        <f>IF($E409=0,0,IF(MIN(CH$38,$E409)&lt;MAX($P$34*($B409+$I$38-1),IF(AND($L$37=0,$P$34=0),"",$L$37-1)),0,YEARFRAC(MAX($P$34*($B409+$I$38-1),IF(AND($L$37=0,$P$34=0),"",$L$37-1)),MIN(CH$38,$E409),$P$20))-SUM($BF409:CG409))</f>
        <v>0</v>
      </c>
      <c r="CI409" s="446">
        <f>IF($E409=0,0,IF(MIN(CI$38,$E409)&lt;MAX($P$34*($B409+$I$38-1),IF(AND($L$37=0,$P$34=0),"",$L$37-1)),0,YEARFRAC(MAX($P$34*($B409+$I$38-1),IF(AND($L$37=0,$P$34=0),"",$L$37-1)),MIN(CI$38,$E409),$P$20))-SUM($BF409:CH409))</f>
        <v>0</v>
      </c>
      <c r="CJ409" s="446">
        <f>IF($E409=0,0,IF(MIN(CJ$38,$E409)&lt;MAX($P$34*($B409+$I$38-1),IF(AND($L$37=0,$P$34=0),"",$L$37-1)),0,YEARFRAC(MAX($P$34*($B409+$I$38-1),IF(AND($L$37=0,$P$34=0),"",$L$37-1)),MIN(CJ$38,$E409),$P$20))-SUM($BF409:CI409))</f>
        <v>0</v>
      </c>
      <c r="CK409" s="446">
        <f>IF($E409=0,0,IF(MIN(CK$38,$E409)&lt;MAX($P$34*($B409+$I$38-1),IF(AND($L$37=0,$P$34=0),"",$L$37-1)),0,YEARFRAC(MAX($P$34*($B409+$I$38-1),IF(AND($L$37=0,$P$34=0),"",$L$37-1)),MIN(CK$38,$E409),$P$20))-SUM($BF409:CJ409))</f>
        <v>0</v>
      </c>
      <c r="CL409" s="446">
        <f>IF($E409=0,0,IF(MIN(CL$38,$E409)&lt;MAX($P$34*($B409+$I$38-1),IF(AND($L$37=0,$P$34=0),"",$L$37-1)),0,YEARFRAC(MAX($P$34*($B409+$I$38-1),IF(AND($L$37=0,$P$34=0),"",$L$37-1)),MIN(CL$38,$E409),$P$20))-SUM($BF409:CK409))</f>
        <v>0</v>
      </c>
      <c r="CM409" s="446">
        <f>IF($E409=0,0,IF(MIN(CM$38,$E409)&lt;MAX($P$34*($B409+$I$38-1),IF(AND($L$37=0,$P$34=0),"",$L$37-1)),0,YEARFRAC(MAX($P$34*($B409+$I$38-1),IF(AND($L$37=0,$P$34=0),"",$L$37-1)),MIN(CM$38,$E409),$P$20))-SUM($BF409:CL409))</f>
        <v>0</v>
      </c>
      <c r="CN409" s="446">
        <f>IF($E409=0,0,IF(MIN(CN$38,$E409)&lt;MAX($P$34*($B409+$I$38-1),IF(AND($L$37=0,$P$34=0),"",$L$37-1)),0,YEARFRAC(MAX($P$34*($B409+$I$38-1),IF(AND($L$37=0,$P$34=0),"",$L$37-1)),MIN(CN$38,$E409),$P$20))-SUM($BF409:CM409))</f>
        <v>0</v>
      </c>
      <c r="CO409" s="446">
        <f>IF($E409=0,0,IF(MIN(CO$38,$E409)&lt;MAX($P$34*($B409+$I$38-1),IF(AND($L$37=0,$P$34=0),"",$L$37-1)),0,YEARFRAC(MAX($P$34*($B409+$I$38-1),IF(AND($L$37=0,$P$34=0),"",$L$37-1)),MIN(CO$38,$E409),$P$20))-SUM($BF409:CN409))</f>
        <v>0</v>
      </c>
      <c r="CP409" s="446">
        <f>IF($E409=0,0,IF(MIN(CP$38,$E409)&lt;MAX($P$34*($B409+$I$38-1),IF(AND($L$37=0,$P$34=0),"",$L$37-1)),0,YEARFRAC(MAX($P$34*($B409+$I$38-1),IF(AND($L$37=0,$P$34=0),"",$L$37-1)),MIN(CP$38,$E409),$P$20))-SUM($BF409:CO409))</f>
        <v>0</v>
      </c>
      <c r="CQ409" s="446">
        <f>IF($E409=0,0,IF(MIN(CQ$38,$E409)&lt;MAX($P$34*($B409+$I$38-1),IF(AND($L$37=0,$P$34=0),"",$L$37-1)),0,YEARFRAC(MAX($P$34*($B409+$I$38-1),IF(AND($L$37=0,$P$34=0),"",$L$37-1)),MIN(CQ$38,$E409),$P$20))-SUM($BF409:CP409))</f>
        <v>0</v>
      </c>
    </row>
    <row r="410" spans="1:95" s="446" customFormat="1" ht="11.25" hidden="1" customHeight="1" x14ac:dyDescent="0.2">
      <c r="A410" s="152"/>
      <c r="B410" s="153" t="str">
        <f t="shared" si="70"/>
        <v/>
      </c>
      <c r="C410" s="29" t="str">
        <f>IF(B410="","",IF($L$35="SELIC - TRIBUTOS",VLOOKUP(DATE(YEAR($D$19),MONTH($D$19)-1,1),ÍNDICES!$A:$DE,HLOOKUP($BL$25,ÍNDICES!$B$3:$T$4,2)+11)-VLOOKUP(B410,ÍNDICES!$A:$DE,HLOOKUP($BL$25,ÍNDICES!$B$3:$T$4,2)+11)+1%,IF(C$38=$W$26,$J$35,IF(ISERROR(IF(B410&gt;$D$19,1,VLOOKUP(DATE(YEAR(B410),MONTH(B410)+IF($C$35=$S$23,1,0),1),ÍNDICES!$A:$DE,$Z$35+1))),"",IF(B410&gt;$D$19,1,VLOOKUP(DATE(YEAR(B410),MONTH(B410)+IF($C$35=$S$23,1,0),1),ÍNDICES!$A:$DE,$Z$35+1))))))</f>
        <v/>
      </c>
      <c r="D410" s="154" t="str">
        <f>IF(ISERROR(IF(OR($D$38=$Y$27,$B410=""),"",VLOOKUP(B410,ÍNDICES!A:DE,AF$35+1))),"",IF(OR($D$38=$Y$27,$B410=""),"",VLOOKUP(B410,ÍNDICES!A:DE,AF$35+1)))</f>
        <v/>
      </c>
      <c r="E410" s="153"/>
      <c r="F410" s="29" t="str">
        <f>IF(E410="","",IF($L$35="SELIC - TRIBUTOS",VLOOKUP(DATE(YEAR($D$19),MONTH($D$19)-1,1),ÍNDICES!$A:$DE,HLOOKUP($BL$25,ÍNDICES!$B$3:$T$4,2)+11)-VLOOKUP(E410,ÍNDICES!$A:$DE,HLOOKUP($BL$25,ÍNDICES!$B$3:$T$4,2)+11)+1%,IF(F$38=$W$26,$J$35,IF(ISERROR(IF(E410&gt;$D$19,1,VLOOKUP(DATE(YEAR(E410),MONTH(E410)+IF($C$35=$S$23,1,0),1),ÍNDICES!$A:$DE,$Z$35+1))),"",IF(E410&gt;$D$19,1,VLOOKUP(DATE(YEAR(E410),MONTH(E410)+IF($C$35=$S$23,1,0),1),ÍNDICES!$A:$DE,$Z$35+1))))))</f>
        <v/>
      </c>
      <c r="G410" s="155"/>
      <c r="H410" s="156" t="str">
        <f t="shared" si="66"/>
        <v/>
      </c>
      <c r="I410" s="29" t="str">
        <f t="shared" si="60"/>
        <v/>
      </c>
      <c r="J410" s="5">
        <f t="shared" si="61"/>
        <v>0</v>
      </c>
      <c r="K410" s="20">
        <f t="shared" ca="1" si="62"/>
        <v>0</v>
      </c>
      <c r="L410" s="5">
        <f t="shared" ca="1" si="63"/>
        <v>0</v>
      </c>
      <c r="M410" s="64">
        <f t="shared" si="67"/>
        <v>0</v>
      </c>
      <c r="N410" s="61">
        <f t="shared" ca="1" si="68"/>
        <v>0</v>
      </c>
      <c r="O410" s="5">
        <f t="shared" ca="1" si="69"/>
        <v>0</v>
      </c>
      <c r="P410" s="446" t="e">
        <f t="shared" si="64"/>
        <v>#VALUE!</v>
      </c>
      <c r="Q410" s="446" t="e">
        <f>IF(OR($B410="",MIN(Q$38,$D$19)&lt;MAX($P$34*($B410+IF($R$17="Distrato",$I$38-1,0)),IF(AND($L$37=0,$P$34=0),"",$L$37-1),IF($R$17="Distrato",$E410,0))),0,YEARFRAC(MAX($P$34*($B410+IF($R$17="Distrato",$I$38-1,0)),IF(AND($L$37=0,$P$34=0),"",$L$37-1),IF($R$17="Distrato",$E410,0)),MIN(Q$38,$D$19),$P$20))-SUM($P410:P410)</f>
        <v>#VALUE!</v>
      </c>
      <c r="R410" s="446" t="e">
        <f>IF(OR($B410="",MIN(R$38,$D$19)&lt;MAX($P$34*($B410+IF($R$17="Distrato",$I$38-1,0)),IF(AND($L$37=0,$P$34=0),"",$L$37-1),IF($R$17="Distrato",$E410,0))),0,YEARFRAC(MAX($P$34*($B410+IF($R$17="Distrato",$I$38-1,0)),IF(AND($L$37=0,$P$34=0),"",$L$37-1),IF($R$17="Distrato",$E410,0)),MIN(R$38,$D$19),$P$20))-SUM($P410:Q410)</f>
        <v>#VALUE!</v>
      </c>
      <c r="S410" s="446" t="e">
        <f>IF(OR($B410="",MIN(S$38,$D$19)&lt;MAX($P$34*($B410+IF($R$17="Distrato",$I$38-1,0)),IF(AND($L$37=0,$P$34=0),"",$L$37-1),IF($R$17="Distrato",$E410,0))),0,YEARFRAC(MAX($P$34*($B410+IF($R$17="Distrato",$I$38-1,0)),IF(AND($L$37=0,$P$34=0),"",$L$37-1),IF($R$17="Distrato",$E410,0)),MIN(S$38,$D$19),$P$20))-SUM($P410:R410)</f>
        <v>#VALUE!</v>
      </c>
      <c r="T410" s="446" t="e">
        <f>IF(OR($B410="",MIN(T$38,$D$19)&lt;MAX($P$34*($B410+IF($R$17="Distrato",$I$38-1,0)),IF(AND($L$37=0,$P$34=0),"",$L$37-1),IF($R$17="Distrato",$E410,0))),0,YEARFRAC(MAX($P$34*($B410+IF($R$17="Distrato",$I$38-1,0)),IF(AND($L$37=0,$P$34=0),"",$L$37-1),IF($R$17="Distrato",$E410,0)),MIN(T$38,$D$19),$P$20))-SUM($P410:S410)</f>
        <v>#VALUE!</v>
      </c>
      <c r="U410" s="446" t="e">
        <f>IF(OR($B410="",MIN(U$38,$D$19)&lt;MAX($P$34*($B410+IF($R$17="Distrato",$I$38-1,0)),IF(AND($L$37=0,$P$34=0),"",$L$37-1),IF($R$17="Distrato",$E410,0))),0,YEARFRAC(MAX($P$34*($B410+IF($R$17="Distrato",$I$38-1,0)),IF(AND($L$37=0,$P$34=0),"",$L$37-1),IF($R$17="Distrato",$E410,0)),MIN(U$38,$D$19),$P$20))-SUM($P410:T410)</f>
        <v>#VALUE!</v>
      </c>
      <c r="V410" s="446" t="e">
        <f>IF(OR($B410="",MIN(V$38,$D$19)&lt;MAX($P$34*($B410+IF($R$17="Distrato",$I$38-1,0)),IF(AND($L$37=0,$P$34=0),"",$L$37-1),IF($R$17="Distrato",$E410,0))),0,YEARFRAC(MAX($P$34*($B410+IF($R$17="Distrato",$I$38-1,0)),IF(AND($L$37=0,$P$34=0),"",$L$37-1),IF($R$17="Distrato",$E410,0)),MIN(V$38,$D$19),$P$20))-SUM($P410:U410)</f>
        <v>#VALUE!</v>
      </c>
      <c r="W410" s="446" t="e">
        <f>IF(OR($B410="",MIN(W$38,$D$19)&lt;MAX($P$34*($B410+IF($R$17="Distrato",$I$38-1,0)),IF(AND($L$37=0,$P$34=0),"",$L$37-1),IF($R$17="Distrato",$E410,0))),0,YEARFRAC(MAX($P$34*($B410+IF($R$17="Distrato",$I$38-1,0)),IF(AND($L$37=0,$P$34=0),"",$L$37-1),IF($R$17="Distrato",$E410,0)),MIN(W$38,$D$19),$P$20))-SUM($P410:V410)</f>
        <v>#VALUE!</v>
      </c>
      <c r="X410" s="446" t="e">
        <f>IF(OR($B410="",MIN(X$38,$D$19)&lt;MAX($P$34*($B410+IF($R$17="Distrato",$I$38-1,0)),IF(AND($L$37=0,$P$34=0),"",$L$37-1),IF($R$17="Distrato",$E410,0))),0,YEARFRAC(MAX($P$34*($B410+IF($R$17="Distrato",$I$38-1,0)),IF(AND($L$37=0,$P$34=0),"",$L$37-1),IF($R$17="Distrato",$E410,0)),MIN(X$38,$D$19),$P$20))-SUM($P410:W410)</f>
        <v>#VALUE!</v>
      </c>
      <c r="Y410" s="446" t="e">
        <f>IF(OR($B410="",MIN(Y$38,$D$19)&lt;MAX($P$34*($B410+IF($R$17="Distrato",$I$38-1,0)),IF(AND($L$37=0,$P$34=0),"",$L$37-1),IF($R$17="Distrato",$E410,0))),0,YEARFRAC(MAX($P$34*($B410+IF($R$17="Distrato",$I$38-1,0)),IF(AND($L$37=0,$P$34=0),"",$L$37-1),IF($R$17="Distrato",$E410,0)),MIN(Y$38,$D$19),$P$20))-SUM($P410:X410)</f>
        <v>#VALUE!</v>
      </c>
      <c r="Z410" s="446" t="e">
        <f>IF(OR($B410="",MIN(Z$38,$D$19)&lt;MAX($P$34*($B410+IF($R$17="Distrato",$I$38-1,0)),IF(AND($L$37=0,$P$34=0),"",$L$37-1),IF($R$17="Distrato",$E410,0))),0,YEARFRAC(MAX($P$34*($B410+IF($R$17="Distrato",$I$38-1,0)),IF(AND($L$37=0,$P$34=0),"",$L$37-1),IF($R$17="Distrato",$E410,0)),MIN(Z$38,$D$19),$P$20))-SUM($P410:Y410)</f>
        <v>#VALUE!</v>
      </c>
      <c r="AA410" s="446" t="e">
        <f>IF(OR($B410="",MIN(AA$38,$D$19)&lt;MAX($P$34*($B410+IF($R$17="Distrato",$I$38-1,0)),IF(AND($L$37=0,$P$34=0),"",$L$37-1),IF($R$17="Distrato",$E410,0))),0,YEARFRAC(MAX($P$34*($B410+IF($R$17="Distrato",$I$38-1,0)),IF(AND($L$37=0,$P$34=0),"",$L$37-1),IF($R$17="Distrato",$E410,0)),MIN(AA$38,$D$19),$P$20))-SUM($P410:Z410)</f>
        <v>#VALUE!</v>
      </c>
      <c r="AB410" s="446" t="e">
        <f>IF(OR($B410="",MIN(AB$38,$D$19)&lt;MAX($P$34*($B410+IF($R$17="Distrato",$I$38-1,0)),IF(AND($L$37=0,$P$34=0),"",$L$37-1),IF($R$17="Distrato",$E410,0))),0,YEARFRAC(MAX($P$34*($B410+IF($R$17="Distrato",$I$38-1,0)),IF(AND($L$37=0,$P$34=0),"",$L$37-1),IF($R$17="Distrato",$E410,0)),MIN(AB$38,$D$19),$P$20))-SUM($P410:AA410)</f>
        <v>#VALUE!</v>
      </c>
      <c r="AC410" s="446" t="e">
        <f>IF(OR($B410="",MIN(AC$38,$D$19)&lt;MAX($P$34*($B410+IF($R$17="Distrato",$I$38-1,0)),IF(AND($L$37=0,$P$34=0),"",$L$37-1),IF($R$17="Distrato",$E410,0))),0,YEARFRAC(MAX($P$34*($B410+IF($R$17="Distrato",$I$38-1,0)),IF(AND($L$37=0,$P$34=0),"",$L$37-1),IF($R$17="Distrato",$E410,0)),MIN(AC$38,$D$19),$P$20))-SUM($P410:AB410)</f>
        <v>#VALUE!</v>
      </c>
      <c r="AD410" s="446" t="e">
        <f>IF(OR($B410="",MIN(AD$38,$D$19)&lt;MAX($P$34*($B410+IF($R$17="Distrato",$I$38-1,0)),IF(AND($L$37=0,$P$34=0),"",$L$37-1),IF($R$17="Distrato",$E410,0))),0,YEARFRAC(MAX($P$34*($B410+IF($R$17="Distrato",$I$38-1,0)),IF(AND($L$37=0,$P$34=0),"",$L$37-1),IF($R$17="Distrato",$E410,0)),MIN(AD$38,$D$19),$P$20))-SUM($P410:AC410)</f>
        <v>#VALUE!</v>
      </c>
      <c r="AE410" s="446" t="e">
        <f>IF(OR($B410="",MIN(AE$38,$D$19)&lt;MAX($P$34*($B410+IF($R$17="Distrato",$I$38-1,0)),IF(AND($L$37=0,$P$34=0),"",$L$37-1),IF($R$17="Distrato",$E410,0))),0,YEARFRAC(MAX($P$34*($B410+IF($R$17="Distrato",$I$38-1,0)),IF(AND($L$37=0,$P$34=0),"",$L$37-1),IF($R$17="Distrato",$E410,0)),MIN(AE$38,$D$19),$P$20))-SUM($P410:AD410)</f>
        <v>#VALUE!</v>
      </c>
      <c r="AF410" s="446" t="e">
        <f>IF(OR($B410="",MIN(AF$38,$D$19)&lt;MAX($P$34*($B410+IF($R$17="Distrato",$I$38-1,0)),IF(AND($L$37=0,$P$34=0),"",$L$37-1),IF($R$17="Distrato",$E410,0))),0,YEARFRAC(MAX($P$34*($B410+IF($R$17="Distrato",$I$38-1,0)),IF(AND($L$37=0,$P$34=0),"",$L$37-1),IF($R$17="Distrato",$E410,0)),MIN(AF$38,$D$19),$P$20))-SUM($P410:AE410)</f>
        <v>#VALUE!</v>
      </c>
      <c r="AG410" s="446" t="e">
        <f>IF(OR($B410="",MIN(AG$38,$D$19)&lt;MAX($P$34*($B410+IF($R$17="Distrato",$I$38-1,0)),IF(AND($L$37=0,$P$34=0),"",$L$37-1),IF($R$17="Distrato",$E410,0))),0,YEARFRAC(MAX($P$34*($B410+IF($R$17="Distrato",$I$38-1,0)),IF(AND($L$37=0,$P$34=0),"",$L$37-1),IF($R$17="Distrato",$E410,0)),MIN(AG$38,$D$19),$P$20))-SUM($P410:AF410)</f>
        <v>#VALUE!</v>
      </c>
      <c r="AH410" s="446" t="e">
        <f>IF(OR($B410="",MIN(AH$38,$D$19)&lt;MAX($P$34*($B410+IF($R$17="Distrato",$I$38-1,0)),IF(AND($L$37=0,$P$34=0),"",$L$37-1),IF($R$17="Distrato",$E410,0))),0,YEARFRAC(MAX($P$34*($B410+IF($R$17="Distrato",$I$38-1,0)),IF(AND($L$37=0,$P$34=0),"",$L$37-1),IF($R$17="Distrato",$E410,0)),MIN(AH$38,$D$19),$P$20))-SUM($P410:AG410)</f>
        <v>#VALUE!</v>
      </c>
      <c r="AI410" s="446" t="e">
        <f>IF(OR($B410="",MIN(AI$38,$D$19)&lt;MAX($P$34*($B410+IF($R$17="Distrato",$I$38-1,0)),IF(AND($L$37=0,$P$34=0),"",$L$37-1),IF($R$17="Distrato",$E410,0))),0,YEARFRAC(MAX($P$34*($B410+IF($R$17="Distrato",$I$38-1,0)),IF(AND($L$37=0,$P$34=0),"",$L$37-1),IF($R$17="Distrato",$E410,0)),MIN(AI$38,$D$19),$P$20))-SUM($P410:AH410)</f>
        <v>#VALUE!</v>
      </c>
      <c r="AJ410" s="446" t="e">
        <f>IF(OR($B410="",MIN(AJ$38,$D$19)&lt;MAX($P$34*($B410+IF($R$17="Distrato",$I$38-1,0)),IF(AND($L$37=0,$P$34=0),"",$L$37-1),IF($R$17="Distrato",$E410,0))),0,YEARFRAC(MAX($P$34*($B410+IF($R$17="Distrato",$I$38-1,0)),IF(AND($L$37=0,$P$34=0),"",$L$37-1),IF($R$17="Distrato",$E410,0)),MIN(AJ$38,$D$19),$P$20))-SUM($P410:AI410)</f>
        <v>#VALUE!</v>
      </c>
      <c r="AK410" s="446" t="e">
        <f>IF(OR($B410="",MIN(AK$38,$D$19)&lt;MAX($P$34*($B410+IF($R$17="Distrato",$I$38-1,0)),IF(AND($L$37=0,$P$34=0),"",$L$37-1),IF($R$17="Distrato",$E410,0))),0,YEARFRAC(MAX($P$34*($B410+IF($R$17="Distrato",$I$38-1,0)),IF(AND($L$37=0,$P$34=0),"",$L$37-1),IF($R$17="Distrato",$E410,0)),MIN(AK$38,$D$19),$P$20))-SUM($P410:AJ410)</f>
        <v>#VALUE!</v>
      </c>
      <c r="AL410" s="446" t="e">
        <f>IF(OR($B410="",MIN(AL$38,$D$19)&lt;MAX($P$34*($B410+IF($R$17="Distrato",$I$38-1,0)),IF(AND($L$37=0,$P$34=0),"",$L$37-1),IF($R$17="Distrato",$E410,0))),0,YEARFRAC(MAX($P$34*($B410+IF($R$17="Distrato",$I$38-1,0)),IF(AND($L$37=0,$P$34=0),"",$L$37-1),IF($R$17="Distrato",$E410,0)),MIN(AL$38,$D$19),$P$20))-SUM($P410:AK410)</f>
        <v>#VALUE!</v>
      </c>
      <c r="AM410" s="446" t="e">
        <f>IF(OR($B410="",MIN(AM$38,$D$19)&lt;MAX($P$34*($B410+IF($R$17="Distrato",$I$38-1,0)),IF(AND($L$37=0,$P$34=0),"",$L$37-1),IF($R$17="Distrato",$E410,0))),0,YEARFRAC(MAX($P$34*($B410+IF($R$17="Distrato",$I$38-1,0)),IF(AND($L$37=0,$P$34=0),"",$L$37-1),IF($R$17="Distrato",$E410,0)),MIN(AM$38,$D$19),$P$20))-SUM($P410:AL410)</f>
        <v>#VALUE!</v>
      </c>
      <c r="AN410" s="446" t="e">
        <f>IF(OR($B410="",MIN(AN$38,$D$19)&lt;MAX($P$34*($B410+IF($R$17="Distrato",$I$38-1,0)),IF(AND($L$37=0,$P$34=0),"",$L$37-1),IF($R$17="Distrato",$E410,0))),0,YEARFRAC(MAX($P$34*($B410+IF($R$17="Distrato",$I$38-1,0)),IF(AND($L$37=0,$P$34=0),"",$L$37-1),IF($R$17="Distrato",$E410,0)),MIN(AN$38,$D$19),$P$20))-SUM($P410:AM410)</f>
        <v>#VALUE!</v>
      </c>
      <c r="AO410" s="446" t="e">
        <f>IF(OR($B410="",MIN(AO$38,$D$19)&lt;MAX($P$34*($B410+IF($R$17="Distrato",$I$38-1,0)),IF(AND($L$37=0,$P$34=0),"",$L$37-1),IF($R$17="Distrato",$E410,0))),0,YEARFRAC(MAX($P$34*($B410+IF($R$17="Distrato",$I$38-1,0)),IF(AND($L$37=0,$P$34=0),"",$L$37-1),IF($R$17="Distrato",$E410,0)),MIN(AO$38,$D$19),$P$20))-SUM($P410:AN410)</f>
        <v>#VALUE!</v>
      </c>
      <c r="AP410" s="446" t="e">
        <f>IF(OR($B410="",MIN(AP$38,$D$19)&lt;MAX($P$34*($B410+IF($R$17="Distrato",$I$38-1,0)),IF(AND($L$37=0,$P$34=0),"",$L$37-1),IF($R$17="Distrato",$E410,0))),0,YEARFRAC(MAX($P$34*($B410+IF($R$17="Distrato",$I$38-1,0)),IF(AND($L$37=0,$P$34=0),"",$L$37-1),IF($R$17="Distrato",$E410,0)),MIN(AP$38,$D$19),$P$20))-SUM($P410:AO410)</f>
        <v>#VALUE!</v>
      </c>
      <c r="AQ410" s="446" t="e">
        <f>IF(OR($B410="",MIN(AQ$38,$D$19)&lt;MAX($P$34*($B410+IF($R$17="Distrato",$I$38-1,0)),IF(AND($L$37=0,$P$34=0),"",$L$37-1),IF($R$17="Distrato",$E410,0))),0,YEARFRAC(MAX($P$34*($B410+IF($R$17="Distrato",$I$38-1,0)),IF(AND($L$37=0,$P$34=0),"",$L$37-1),IF($R$17="Distrato",$E410,0)),MIN(AQ$38,$D$19),$P$20))-SUM($P410:AP410)</f>
        <v>#VALUE!</v>
      </c>
      <c r="AR410" s="446" t="e">
        <f>IF(OR($B410="",MIN(AR$38,$D$19)&lt;MAX($P$34*($B410+IF($R$17="Distrato",$I$38-1,0)),IF(AND($L$37=0,$P$34=0),"",$L$37-1),IF($R$17="Distrato",$E410,0))),0,YEARFRAC(MAX($P$34*($B410+IF($R$17="Distrato",$I$38-1,0)),IF(AND($L$37=0,$P$34=0),"",$L$37-1),IF($R$17="Distrato",$E410,0)),MIN(AR$38,$D$19),$P$20))-SUM($P410:AQ410)</f>
        <v>#VALUE!</v>
      </c>
      <c r="AS410" s="446" t="e">
        <f>IF(OR($B410="",MIN(AS$38,$D$19)&lt;MAX($P$34*($B410+IF($R$17="Distrato",$I$38-1,0)),IF(AND($L$37=0,$P$34=0),"",$L$37-1),IF($R$17="Distrato",$E410,0))),0,YEARFRAC(MAX($P$34*($B410+IF($R$17="Distrato",$I$38-1,0)),IF(AND($L$37=0,$P$34=0),"",$L$37-1),IF($R$17="Distrato",$E410,0)),MIN(AS$38,$D$19),$P$20))-SUM($P410:AR410)</f>
        <v>#VALUE!</v>
      </c>
      <c r="AT410" s="446" t="e">
        <f>IF(OR($B410="",MIN(AT$38,$D$19)&lt;MAX($P$34*($B410+IF($R$17="Distrato",$I$38-1,0)),IF(AND($L$37=0,$P$34=0),"",$L$37-1),IF($R$17="Distrato",$E410,0))),0,YEARFRAC(MAX($P$34*($B410+IF($R$17="Distrato",$I$38-1,0)),IF(AND($L$37=0,$P$34=0),"",$L$37-1),IF($R$17="Distrato",$E410,0)),MIN(AT$38,$D$19),$P$20))-SUM($P410:AS410)</f>
        <v>#VALUE!</v>
      </c>
      <c r="AU410" s="446" t="e">
        <f>IF(OR($B410="",MIN(AU$38,$D$19)&lt;MAX($P$34*($B410+IF($R$17="Distrato",$I$38-1,0)),IF(AND($L$37=0,$P$34=0),"",$L$37-1),IF($R$17="Distrato",$E410,0))),0,YEARFRAC(MAX($P$34*($B410+IF($R$17="Distrato",$I$38-1,0)),IF(AND($L$37=0,$P$34=0),"",$L$37-1),IF($R$17="Distrato",$E410,0)),MIN(AU$38,$D$19),$P$20))-SUM($P410:AT410)</f>
        <v>#VALUE!</v>
      </c>
      <c r="AV410" s="446" t="e">
        <f>IF(OR($B410="",MIN(AV$38,$D$19)&lt;MAX($P$34*($B410+IF($R$17="Distrato",$I$38-1,0)),IF(AND($L$37=0,$P$34=0),"",$L$37-1),IF($R$17="Distrato",$E410,0))),0,YEARFRAC(MAX($P$34*($B410+IF($R$17="Distrato",$I$38-1,0)),IF(AND($L$37=0,$P$34=0),"",$L$37-1),IF($R$17="Distrato",$E410,0)),MIN(AV$38,$D$19),$P$20))-SUM($P410:AU410)</f>
        <v>#VALUE!</v>
      </c>
      <c r="AW410" s="446" t="e">
        <f>IF(OR($B410="",MIN(AW$38,$D$19)&lt;MAX($P$34*($B410+IF($R$17="Distrato",$I$38-1,0)),IF(AND($L$37=0,$P$34=0),"",$L$37-1),IF($R$17="Distrato",$E410,0))),0,YEARFRAC(MAX($P$34*($B410+IF($R$17="Distrato",$I$38-1,0)),IF(AND($L$37=0,$P$34=0),"",$L$37-1),IF($R$17="Distrato",$E410,0)),MIN(AW$38,$D$19),$P$20))-SUM($P410:AV410)</f>
        <v>#VALUE!</v>
      </c>
      <c r="AX410" s="446" t="e">
        <f>IF(OR($B410="",MIN(AX$38,$D$19)&lt;MAX($P$34*($B410+IF($R$17="Distrato",$I$38-1,0)),IF(AND($L$37=0,$P$34=0),"",$L$37-1),IF($R$17="Distrato",$E410,0))),0,YEARFRAC(MAX($P$34*($B410+IF($R$17="Distrato",$I$38-1,0)),IF(AND($L$37=0,$P$34=0),"",$L$37-1),IF($R$17="Distrato",$E410,0)),MIN(AX$38,$D$19),$P$20))-SUM($P410:AW410)</f>
        <v>#VALUE!</v>
      </c>
      <c r="AY410" s="446" t="e">
        <f>IF(OR($B410="",MIN(AY$38,$D$19)&lt;MAX($P$34*($B410+IF($R$17="Distrato",$I$38-1,0)),IF(AND($L$37=0,$P$34=0),"",$L$37-1),IF($R$17="Distrato",$E410,0))),0,YEARFRAC(MAX($P$34*($B410+IF($R$17="Distrato",$I$38-1,0)),IF(AND($L$37=0,$P$34=0),"",$L$37-1),IF($R$17="Distrato",$E410,0)),MIN(AY$38,$D$19),$P$20))-SUM($P410:AX410)</f>
        <v>#VALUE!</v>
      </c>
      <c r="AZ410" s="446" t="e">
        <f>IF(OR($B410="",MIN(AZ$38,$D$19)&lt;MAX($P$34*($B410+IF($R$17="Distrato",$I$38-1,0)),IF(AND($L$37=0,$P$34=0),"",$L$37-1),IF($R$17="Distrato",$E410,0))),0,YEARFRAC(MAX($P$34*($B410+IF($R$17="Distrato",$I$38-1,0)),IF(AND($L$37=0,$P$34=0),"",$L$37-1),IF($R$17="Distrato",$E410,0)),MIN(AZ$38,$D$19),$P$20))-SUM($P410:AY410)</f>
        <v>#VALUE!</v>
      </c>
      <c r="BA410" s="446" t="e">
        <f>IF(OR($B410="",MIN(BA$38,$D$19)&lt;MAX($P$34*($B410+IF($R$17="Distrato",$I$38-1,0)),IF(AND($L$37=0,$P$34=0),"",$L$37-1),IF($R$17="Distrato",$E410,0))),0,YEARFRAC(MAX($P$34*($B410+IF($R$17="Distrato",$I$38-1,0)),IF(AND($L$37=0,$P$34=0),"",$L$37-1),IF($R$17="Distrato",$E410,0)),MIN(BA$38,$D$19),$P$20))-SUM($P410:AZ410)</f>
        <v>#VALUE!</v>
      </c>
      <c r="BB410" s="447"/>
      <c r="BF410" s="446">
        <f t="shared" si="65"/>
        <v>0</v>
      </c>
      <c r="BG410" s="446">
        <f>IF($E410=0,0,IF(MIN(BG$38,$E410)&lt;MAX($P$34*($B410+$I$38-1),IF(AND($L$37=0,$P$34=0),"",$L$37-1)),0,YEARFRAC(MAX($P$34*($B410+$I$38-1),IF(AND($L$37=0,$P$34=0),"",$L$37-1)),MIN(BG$38,$E410),$P$20))-SUM($BF410:BF410))</f>
        <v>0</v>
      </c>
      <c r="BH410" s="446">
        <f>IF($E410=0,0,IF(MIN(BH$38,$E410)&lt;MAX($P$34*($B410+$I$38-1),IF(AND($L$37=0,$P$34=0),"",$L$37-1)),0,YEARFRAC(MAX($P$34*($B410+$I$38-1),IF(AND($L$37=0,$P$34=0),"",$L$37-1)),MIN(BH$38,$E410),$P$20))-SUM($BF410:BG410))</f>
        <v>0</v>
      </c>
      <c r="BI410" s="446">
        <f>IF($E410=0,0,IF(MIN(BI$38,$E410)&lt;MAX($P$34*($B410+$I$38-1),IF(AND($L$37=0,$P$34=0),"",$L$37-1)),0,YEARFRAC(MAX($P$34*($B410+$I$38-1),IF(AND($L$37=0,$P$34=0),"",$L$37-1)),MIN(BI$38,$E410),$P$20))-SUM($BF410:BH410))</f>
        <v>0</v>
      </c>
      <c r="BJ410" s="446">
        <f>IF($E410=0,0,IF(MIN(BJ$38,$E410)&lt;MAX($P$34*($B410+$I$38-1),IF(AND($L$37=0,$P$34=0),"",$L$37-1)),0,YEARFRAC(MAX($P$34*($B410+$I$38-1),IF(AND($L$37=0,$P$34=0),"",$L$37-1)),MIN(BJ$38,$E410),$P$20))-SUM($BF410:BI410))</f>
        <v>0</v>
      </c>
      <c r="BK410" s="446">
        <f>IF($E410=0,0,IF(MIN(BK$38,$E410)&lt;MAX($P$34*($B410+$I$38-1),IF(AND($L$37=0,$P$34=0),"",$L$37-1)),0,YEARFRAC(MAX($P$34*($B410+$I$38-1),IF(AND($L$37=0,$P$34=0),"",$L$37-1)),MIN(BK$38,$E410),$P$20))-SUM($BF410:BJ410))</f>
        <v>0</v>
      </c>
      <c r="BL410" s="446">
        <f>IF($E410=0,0,IF(MIN(BL$38,$E410)&lt;MAX($P$34*($B410+$I$38-1),IF(AND($L$37=0,$P$34=0),"",$L$37-1)),0,YEARFRAC(MAX($P$34*($B410+$I$38-1),IF(AND($L$37=0,$P$34=0),"",$L$37-1)),MIN(BL$38,$E410),$P$20))-SUM($BF410:BK410))</f>
        <v>0</v>
      </c>
      <c r="BM410" s="446">
        <f>IF($E410=0,0,IF(MIN(BM$38,$E410)&lt;MAX($P$34*($B410+$I$38-1),IF(AND($L$37=0,$P$34=0),"",$L$37-1)),0,YEARFRAC(MAX($P$34*($B410+$I$38-1),IF(AND($L$37=0,$P$34=0),"",$L$37-1)),MIN(BM$38,$E410),$P$20))-SUM($BF410:BL410))</f>
        <v>0</v>
      </c>
      <c r="BN410" s="446">
        <f>IF($E410=0,0,IF(MIN(BN$38,$E410)&lt;MAX($P$34*($B410+$I$38-1),IF(AND($L$37=0,$P$34=0),"",$L$37-1)),0,YEARFRAC(MAX($P$34*($B410+$I$38-1),IF(AND($L$37=0,$P$34=0),"",$L$37-1)),MIN(BN$38,$E410),$P$20))-SUM($BF410:BM410))</f>
        <v>0</v>
      </c>
      <c r="BO410" s="446">
        <f>IF($E410=0,0,IF(MIN(BO$38,$E410)&lt;MAX($P$34*($B410+$I$38-1),IF(AND($L$37=0,$P$34=0),"",$L$37-1)),0,YEARFRAC(MAX($P$34*($B410+$I$38-1),IF(AND($L$37=0,$P$34=0),"",$L$37-1)),MIN(BO$38,$E410),$P$20))-SUM($BF410:BN410))</f>
        <v>0</v>
      </c>
      <c r="BP410" s="446">
        <f>IF($E410=0,0,IF(MIN(BP$38,$E410)&lt;MAX($P$34*($B410+$I$38-1),IF(AND($L$37=0,$P$34=0),"",$L$37-1)),0,YEARFRAC(MAX($P$34*($B410+$I$38-1),IF(AND($L$37=0,$P$34=0),"",$L$37-1)),MIN(BP$38,$E410),$P$20))-SUM($BF410:BO410))</f>
        <v>0</v>
      </c>
      <c r="BQ410" s="446">
        <f>IF($E410=0,0,IF(MIN(BQ$38,$E410)&lt;MAX($P$34*($B410+$I$38-1),IF(AND($L$37=0,$P$34=0),"",$L$37-1)),0,YEARFRAC(MAX($P$34*($B410+$I$38-1),IF(AND($L$37=0,$P$34=0),"",$L$37-1)),MIN(BQ$38,$E410),$P$20))-SUM($BF410:BP410))</f>
        <v>0</v>
      </c>
      <c r="BR410" s="446">
        <f>IF($E410=0,0,IF(MIN(BR$38,$E410)&lt;MAX($P$34*($B410+$I$38-1),IF(AND($L$37=0,$P$34=0),"",$L$37-1)),0,YEARFRAC(MAX($P$34*($B410+$I$38-1),IF(AND($L$37=0,$P$34=0),"",$L$37-1)),MIN(BR$38,$E410),$P$20))-SUM($BF410:BQ410))</f>
        <v>0</v>
      </c>
      <c r="BS410" s="446">
        <f>IF($E410=0,0,IF(MIN(BS$38,$E410)&lt;MAX($P$34*($B410+$I$38-1),IF(AND($L$37=0,$P$34=0),"",$L$37-1)),0,YEARFRAC(MAX($P$34*($B410+$I$38-1),IF(AND($L$37=0,$P$34=0),"",$L$37-1)),MIN(BS$38,$E410),$P$20))-SUM($BF410:BR410))</f>
        <v>0</v>
      </c>
      <c r="BT410" s="446">
        <f>IF($E410=0,0,IF(MIN(BT$38,$E410)&lt;MAX($P$34*($B410+$I$38-1),IF(AND($L$37=0,$P$34=0),"",$L$37-1)),0,YEARFRAC(MAX($P$34*($B410+$I$38-1),IF(AND($L$37=0,$P$34=0),"",$L$37-1)),MIN(BT$38,$E410),$P$20))-SUM($BF410:BS410))</f>
        <v>0</v>
      </c>
      <c r="BU410" s="446">
        <f>IF($E410=0,0,IF(MIN(BU$38,$E410)&lt;MAX($P$34*($B410+$I$38-1),IF(AND($L$37=0,$P$34=0),"",$L$37-1)),0,YEARFRAC(MAX($P$34*($B410+$I$38-1),IF(AND($L$37=0,$P$34=0),"",$L$37-1)),MIN(BU$38,$E410),$P$20))-SUM($BF410:BT410))</f>
        <v>0</v>
      </c>
      <c r="BV410" s="446">
        <f>IF($E410=0,0,IF(MIN(BV$38,$E410)&lt;MAX($P$34*($B410+$I$38-1),IF(AND($L$37=0,$P$34=0),"",$L$37-1)),0,YEARFRAC(MAX($P$34*($B410+$I$38-1),IF(AND($L$37=0,$P$34=0),"",$L$37-1)),MIN(BV$38,$E410),$P$20))-SUM($BF410:BU410))</f>
        <v>0</v>
      </c>
      <c r="BW410" s="446">
        <f>IF($E410=0,0,IF(MIN(BW$38,$E410)&lt;MAX($P$34*($B410+$I$38-1),IF(AND($L$37=0,$P$34=0),"",$L$37-1)),0,YEARFRAC(MAX($P$34*($B410+$I$38-1),IF(AND($L$37=0,$P$34=0),"",$L$37-1)),MIN(BW$38,$E410),$P$20))-SUM($BF410:BV410))</f>
        <v>0</v>
      </c>
      <c r="BX410" s="446">
        <f>IF($E410=0,0,IF(MIN(BX$38,$E410)&lt;MAX($P$34*($B410+$I$38-1),IF(AND($L$37=0,$P$34=0),"",$L$37-1)),0,YEARFRAC(MAX($P$34*($B410+$I$38-1),IF(AND($L$37=0,$P$34=0),"",$L$37-1)),MIN(BX$38,$E410),$P$20))-SUM($BF410:BW410))</f>
        <v>0</v>
      </c>
      <c r="BY410" s="446">
        <f>IF($E410=0,0,IF(MIN(BY$38,$E410)&lt;MAX($P$34*($B410+$I$38-1),IF(AND($L$37=0,$P$34=0),"",$L$37-1)),0,YEARFRAC(MAX($P$34*($B410+$I$38-1),IF(AND($L$37=0,$P$34=0),"",$L$37-1)),MIN(BY$38,$E410),$P$20))-SUM($BF410:BX410))</f>
        <v>0</v>
      </c>
      <c r="BZ410" s="446">
        <f>IF($E410=0,0,IF(MIN(BZ$38,$E410)&lt;MAX($P$34*($B410+$I$38-1),IF(AND($L$37=0,$P$34=0),"",$L$37-1)),0,YEARFRAC(MAX($P$34*($B410+$I$38-1),IF(AND($L$37=0,$P$34=0),"",$L$37-1)),MIN(BZ$38,$E410),$P$20))-SUM($BF410:BY410))</f>
        <v>0</v>
      </c>
      <c r="CA410" s="446">
        <f>IF($E410=0,0,IF(MIN(CA$38,$E410)&lt;MAX($P$34*($B410+$I$38-1),IF(AND($L$37=0,$P$34=0),"",$L$37-1)),0,YEARFRAC(MAX($P$34*($B410+$I$38-1),IF(AND($L$37=0,$P$34=0),"",$L$37-1)),MIN(CA$38,$E410),$P$20))-SUM($BF410:BZ410))</f>
        <v>0</v>
      </c>
      <c r="CB410" s="446">
        <f>IF($E410=0,0,IF(MIN(CB$38,$E410)&lt;MAX($P$34*($B410+$I$38-1),IF(AND($L$37=0,$P$34=0),"",$L$37-1)),0,YEARFRAC(MAX($P$34*($B410+$I$38-1),IF(AND($L$37=0,$P$34=0),"",$L$37-1)),MIN(CB$38,$E410),$P$20))-SUM($BF410:CA410))</f>
        <v>0</v>
      </c>
      <c r="CC410" s="446">
        <f>IF($E410=0,0,IF(MIN(CC$38,$E410)&lt;MAX($P$34*($B410+$I$38-1),IF(AND($L$37=0,$P$34=0),"",$L$37-1)),0,YEARFRAC(MAX($P$34*($B410+$I$38-1),IF(AND($L$37=0,$P$34=0),"",$L$37-1)),MIN(CC$38,$E410),$P$20))-SUM($BF410:CB410))</f>
        <v>0</v>
      </c>
      <c r="CD410" s="446">
        <f>IF($E410=0,0,IF(MIN(CD$38,$E410)&lt;MAX($P$34*($B410+$I$38-1),IF(AND($L$37=0,$P$34=0),"",$L$37-1)),0,YEARFRAC(MAX($P$34*($B410+$I$38-1),IF(AND($L$37=0,$P$34=0),"",$L$37-1)),MIN(CD$38,$E410),$P$20))-SUM($BF410:CC410))</f>
        <v>0</v>
      </c>
      <c r="CE410" s="446">
        <f>IF($E410=0,0,IF(MIN(CE$38,$E410)&lt;MAX($P$34*($B410+$I$38-1),IF(AND($L$37=0,$P$34=0),"",$L$37-1)),0,YEARFRAC(MAX($P$34*($B410+$I$38-1),IF(AND($L$37=0,$P$34=0),"",$L$37-1)),MIN(CE$38,$E410),$P$20))-SUM($BF410:CD410))</f>
        <v>0</v>
      </c>
      <c r="CF410" s="446">
        <f>IF($E410=0,0,IF(MIN(CF$38,$E410)&lt;MAX($P$34*($B410+$I$38-1),IF(AND($L$37=0,$P$34=0),"",$L$37-1)),0,YEARFRAC(MAX($P$34*($B410+$I$38-1),IF(AND($L$37=0,$P$34=0),"",$L$37-1)),MIN(CF$38,$E410),$P$20))-SUM($BF410:CE410))</f>
        <v>0</v>
      </c>
      <c r="CG410" s="446">
        <f>IF($E410=0,0,IF(MIN(CG$38,$E410)&lt;MAX($P$34*($B410+$I$38-1),IF(AND($L$37=0,$P$34=0),"",$L$37-1)),0,YEARFRAC(MAX($P$34*($B410+$I$38-1),IF(AND($L$37=0,$P$34=0),"",$L$37-1)),MIN(CG$38,$E410),$P$20))-SUM($BF410:CF410))</f>
        <v>0</v>
      </c>
      <c r="CH410" s="446">
        <f>IF($E410=0,0,IF(MIN(CH$38,$E410)&lt;MAX($P$34*($B410+$I$38-1),IF(AND($L$37=0,$P$34=0),"",$L$37-1)),0,YEARFRAC(MAX($P$34*($B410+$I$38-1),IF(AND($L$37=0,$P$34=0),"",$L$37-1)),MIN(CH$38,$E410),$P$20))-SUM($BF410:CG410))</f>
        <v>0</v>
      </c>
      <c r="CI410" s="446">
        <f>IF($E410=0,0,IF(MIN(CI$38,$E410)&lt;MAX($P$34*($B410+$I$38-1),IF(AND($L$37=0,$P$34=0),"",$L$37-1)),0,YEARFRAC(MAX($P$34*($B410+$I$38-1),IF(AND($L$37=0,$P$34=0),"",$L$37-1)),MIN(CI$38,$E410),$P$20))-SUM($BF410:CH410))</f>
        <v>0</v>
      </c>
      <c r="CJ410" s="446">
        <f>IF($E410=0,0,IF(MIN(CJ$38,$E410)&lt;MAX($P$34*($B410+$I$38-1),IF(AND($L$37=0,$P$34=0),"",$L$37-1)),0,YEARFRAC(MAX($P$34*($B410+$I$38-1),IF(AND($L$37=0,$P$34=0),"",$L$37-1)),MIN(CJ$38,$E410),$P$20))-SUM($BF410:CI410))</f>
        <v>0</v>
      </c>
      <c r="CK410" s="446">
        <f>IF($E410=0,0,IF(MIN(CK$38,$E410)&lt;MAX($P$34*($B410+$I$38-1),IF(AND($L$37=0,$P$34=0),"",$L$37-1)),0,YEARFRAC(MAX($P$34*($B410+$I$38-1),IF(AND($L$37=0,$P$34=0),"",$L$37-1)),MIN(CK$38,$E410),$P$20))-SUM($BF410:CJ410))</f>
        <v>0</v>
      </c>
      <c r="CL410" s="446">
        <f>IF($E410=0,0,IF(MIN(CL$38,$E410)&lt;MAX($P$34*($B410+$I$38-1),IF(AND($L$37=0,$P$34=0),"",$L$37-1)),0,YEARFRAC(MAX($P$34*($B410+$I$38-1),IF(AND($L$37=0,$P$34=0),"",$L$37-1)),MIN(CL$38,$E410),$P$20))-SUM($BF410:CK410))</f>
        <v>0</v>
      </c>
      <c r="CM410" s="446">
        <f>IF($E410=0,0,IF(MIN(CM$38,$E410)&lt;MAX($P$34*($B410+$I$38-1),IF(AND($L$37=0,$P$34=0),"",$L$37-1)),0,YEARFRAC(MAX($P$34*($B410+$I$38-1),IF(AND($L$37=0,$P$34=0),"",$L$37-1)),MIN(CM$38,$E410),$P$20))-SUM($BF410:CL410))</f>
        <v>0</v>
      </c>
      <c r="CN410" s="446">
        <f>IF($E410=0,0,IF(MIN(CN$38,$E410)&lt;MAX($P$34*($B410+$I$38-1),IF(AND($L$37=0,$P$34=0),"",$L$37-1)),0,YEARFRAC(MAX($P$34*($B410+$I$38-1),IF(AND($L$37=0,$P$34=0),"",$L$37-1)),MIN(CN$38,$E410),$P$20))-SUM($BF410:CM410))</f>
        <v>0</v>
      </c>
      <c r="CO410" s="446">
        <f>IF($E410=0,0,IF(MIN(CO$38,$E410)&lt;MAX($P$34*($B410+$I$38-1),IF(AND($L$37=0,$P$34=0),"",$L$37-1)),0,YEARFRAC(MAX($P$34*($B410+$I$38-1),IF(AND($L$37=0,$P$34=0),"",$L$37-1)),MIN(CO$38,$E410),$P$20))-SUM($BF410:CN410))</f>
        <v>0</v>
      </c>
      <c r="CP410" s="446">
        <f>IF($E410=0,0,IF(MIN(CP$38,$E410)&lt;MAX($P$34*($B410+$I$38-1),IF(AND($L$37=0,$P$34=0),"",$L$37-1)),0,YEARFRAC(MAX($P$34*($B410+$I$38-1),IF(AND($L$37=0,$P$34=0),"",$L$37-1)),MIN(CP$38,$E410),$P$20))-SUM($BF410:CO410))</f>
        <v>0</v>
      </c>
      <c r="CQ410" s="446">
        <f>IF($E410=0,0,IF(MIN(CQ$38,$E410)&lt;MAX($P$34*($B410+$I$38-1),IF(AND($L$37=0,$P$34=0),"",$L$37-1)),0,YEARFRAC(MAX($P$34*($B410+$I$38-1),IF(AND($L$37=0,$P$34=0),"",$L$37-1)),MIN(CQ$38,$E410),$P$20))-SUM($BF410:CP410))</f>
        <v>0</v>
      </c>
    </row>
    <row r="411" spans="1:95" s="446" customFormat="1" ht="11.25" hidden="1" customHeight="1" x14ac:dyDescent="0.2">
      <c r="A411" s="152"/>
      <c r="B411" s="153" t="str">
        <f t="shared" si="70"/>
        <v/>
      </c>
      <c r="C411" s="29" t="str">
        <f>IF(B411="","",IF($L$35="SELIC - TRIBUTOS",VLOOKUP(DATE(YEAR($D$19),MONTH($D$19)-1,1),ÍNDICES!$A:$DE,HLOOKUP($BL$25,ÍNDICES!$B$3:$T$4,2)+11)-VLOOKUP(B411,ÍNDICES!$A:$DE,HLOOKUP($BL$25,ÍNDICES!$B$3:$T$4,2)+11)+1%,IF(C$38=$W$26,$J$35,IF(ISERROR(IF(B411&gt;$D$19,1,VLOOKUP(DATE(YEAR(B411),MONTH(B411)+IF($C$35=$S$23,1,0),1),ÍNDICES!$A:$DE,$Z$35+1))),"",IF(B411&gt;$D$19,1,VLOOKUP(DATE(YEAR(B411),MONTH(B411)+IF($C$35=$S$23,1,0),1),ÍNDICES!$A:$DE,$Z$35+1))))))</f>
        <v/>
      </c>
      <c r="D411" s="154" t="str">
        <f>IF(ISERROR(IF(OR($D$38=$Y$27,$B411=""),"",VLOOKUP(B411,ÍNDICES!A:DE,AF$35+1))),"",IF(OR($D$38=$Y$27,$B411=""),"",VLOOKUP(B411,ÍNDICES!A:DE,AF$35+1)))</f>
        <v/>
      </c>
      <c r="E411" s="153"/>
      <c r="F411" s="29" t="str">
        <f>IF(E411="","",IF($L$35="SELIC - TRIBUTOS",VLOOKUP(DATE(YEAR($D$19),MONTH($D$19)-1,1),ÍNDICES!$A:$DE,HLOOKUP($BL$25,ÍNDICES!$B$3:$T$4,2)+11)-VLOOKUP(E411,ÍNDICES!$A:$DE,HLOOKUP($BL$25,ÍNDICES!$B$3:$T$4,2)+11)+1%,IF(F$38=$W$26,$J$35,IF(ISERROR(IF(E411&gt;$D$19,1,VLOOKUP(DATE(YEAR(E411),MONTH(E411)+IF($C$35=$S$23,1,0),1),ÍNDICES!$A:$DE,$Z$35+1))),"",IF(E411&gt;$D$19,1,VLOOKUP(DATE(YEAR(E411),MONTH(E411)+IF($C$35=$S$23,1,0),1),ÍNDICES!$A:$DE,$Z$35+1))))))</f>
        <v/>
      </c>
      <c r="G411" s="155"/>
      <c r="H411" s="156" t="str">
        <f t="shared" si="66"/>
        <v/>
      </c>
      <c r="I411" s="29" t="str">
        <f t="shared" si="60"/>
        <v/>
      </c>
      <c r="J411" s="5">
        <f t="shared" si="61"/>
        <v>0</v>
      </c>
      <c r="K411" s="20">
        <f t="shared" ca="1" si="62"/>
        <v>0</v>
      </c>
      <c r="L411" s="5">
        <f t="shared" ca="1" si="63"/>
        <v>0</v>
      </c>
      <c r="M411" s="64">
        <f t="shared" si="67"/>
        <v>0</v>
      </c>
      <c r="N411" s="61">
        <f t="shared" ca="1" si="68"/>
        <v>0</v>
      </c>
      <c r="O411" s="5">
        <f t="shared" ca="1" si="69"/>
        <v>0</v>
      </c>
      <c r="P411" s="446" t="e">
        <f t="shared" si="64"/>
        <v>#VALUE!</v>
      </c>
      <c r="Q411" s="446" t="e">
        <f>IF(OR($B411="",MIN(Q$38,$D$19)&lt;MAX($P$34*($B411+IF($R$17="Distrato",$I$38-1,0)),IF(AND($L$37=0,$P$34=0),"",$L$37-1),IF($R$17="Distrato",$E411,0))),0,YEARFRAC(MAX($P$34*($B411+IF($R$17="Distrato",$I$38-1,0)),IF(AND($L$37=0,$P$34=0),"",$L$37-1),IF($R$17="Distrato",$E411,0)),MIN(Q$38,$D$19),$P$20))-SUM($P411:P411)</f>
        <v>#VALUE!</v>
      </c>
      <c r="R411" s="446" t="e">
        <f>IF(OR($B411="",MIN(R$38,$D$19)&lt;MAX($P$34*($B411+IF($R$17="Distrato",$I$38-1,0)),IF(AND($L$37=0,$P$34=0),"",$L$37-1),IF($R$17="Distrato",$E411,0))),0,YEARFRAC(MAX($P$34*($B411+IF($R$17="Distrato",$I$38-1,0)),IF(AND($L$37=0,$P$34=0),"",$L$37-1),IF($R$17="Distrato",$E411,0)),MIN(R$38,$D$19),$P$20))-SUM($P411:Q411)</f>
        <v>#VALUE!</v>
      </c>
      <c r="S411" s="446" t="e">
        <f>IF(OR($B411="",MIN(S$38,$D$19)&lt;MAX($P$34*($B411+IF($R$17="Distrato",$I$38-1,0)),IF(AND($L$37=0,$P$34=0),"",$L$37-1),IF($R$17="Distrato",$E411,0))),0,YEARFRAC(MAX($P$34*($B411+IF($R$17="Distrato",$I$38-1,0)),IF(AND($L$37=0,$P$34=0),"",$L$37-1),IF($R$17="Distrato",$E411,0)),MIN(S$38,$D$19),$P$20))-SUM($P411:R411)</f>
        <v>#VALUE!</v>
      </c>
      <c r="T411" s="446" t="e">
        <f>IF(OR($B411="",MIN(T$38,$D$19)&lt;MAX($P$34*($B411+IF($R$17="Distrato",$I$38-1,0)),IF(AND($L$37=0,$P$34=0),"",$L$37-1),IF($R$17="Distrato",$E411,0))),0,YEARFRAC(MAX($P$34*($B411+IF($R$17="Distrato",$I$38-1,0)),IF(AND($L$37=0,$P$34=0),"",$L$37-1),IF($R$17="Distrato",$E411,0)),MIN(T$38,$D$19),$P$20))-SUM($P411:S411)</f>
        <v>#VALUE!</v>
      </c>
      <c r="U411" s="446" t="e">
        <f>IF(OR($B411="",MIN(U$38,$D$19)&lt;MAX($P$34*($B411+IF($R$17="Distrato",$I$38-1,0)),IF(AND($L$37=0,$P$34=0),"",$L$37-1),IF($R$17="Distrato",$E411,0))),0,YEARFRAC(MAX($P$34*($B411+IF($R$17="Distrato",$I$38-1,0)),IF(AND($L$37=0,$P$34=0),"",$L$37-1),IF($R$17="Distrato",$E411,0)),MIN(U$38,$D$19),$P$20))-SUM($P411:T411)</f>
        <v>#VALUE!</v>
      </c>
      <c r="V411" s="446" t="e">
        <f>IF(OR($B411="",MIN(V$38,$D$19)&lt;MAX($P$34*($B411+IF($R$17="Distrato",$I$38-1,0)),IF(AND($L$37=0,$P$34=0),"",$L$37-1),IF($R$17="Distrato",$E411,0))),0,YEARFRAC(MAX($P$34*($B411+IF($R$17="Distrato",$I$38-1,0)),IF(AND($L$37=0,$P$34=0),"",$L$37-1),IF($R$17="Distrato",$E411,0)),MIN(V$38,$D$19),$P$20))-SUM($P411:U411)</f>
        <v>#VALUE!</v>
      </c>
      <c r="W411" s="446" t="e">
        <f>IF(OR($B411="",MIN(W$38,$D$19)&lt;MAX($P$34*($B411+IF($R$17="Distrato",$I$38-1,0)),IF(AND($L$37=0,$P$34=0),"",$L$37-1),IF($R$17="Distrato",$E411,0))),0,YEARFRAC(MAX($P$34*($B411+IF($R$17="Distrato",$I$38-1,0)),IF(AND($L$37=0,$P$34=0),"",$L$37-1),IF($R$17="Distrato",$E411,0)),MIN(W$38,$D$19),$P$20))-SUM($P411:V411)</f>
        <v>#VALUE!</v>
      </c>
      <c r="X411" s="446" t="e">
        <f>IF(OR($B411="",MIN(X$38,$D$19)&lt;MAX($P$34*($B411+IF($R$17="Distrato",$I$38-1,0)),IF(AND($L$37=0,$P$34=0),"",$L$37-1),IF($R$17="Distrato",$E411,0))),0,YEARFRAC(MAX($P$34*($B411+IF($R$17="Distrato",$I$38-1,0)),IF(AND($L$37=0,$P$34=0),"",$L$37-1),IF($R$17="Distrato",$E411,0)),MIN(X$38,$D$19),$P$20))-SUM($P411:W411)</f>
        <v>#VALUE!</v>
      </c>
      <c r="Y411" s="446" t="e">
        <f>IF(OR($B411="",MIN(Y$38,$D$19)&lt;MAX($P$34*($B411+IF($R$17="Distrato",$I$38-1,0)),IF(AND($L$37=0,$P$34=0),"",$L$37-1),IF($R$17="Distrato",$E411,0))),0,YEARFRAC(MAX($P$34*($B411+IF($R$17="Distrato",$I$38-1,0)),IF(AND($L$37=0,$P$34=0),"",$L$37-1),IF($R$17="Distrato",$E411,0)),MIN(Y$38,$D$19),$P$20))-SUM($P411:X411)</f>
        <v>#VALUE!</v>
      </c>
      <c r="Z411" s="446" t="e">
        <f>IF(OR($B411="",MIN(Z$38,$D$19)&lt;MAX($P$34*($B411+IF($R$17="Distrato",$I$38-1,0)),IF(AND($L$37=0,$P$34=0),"",$L$37-1),IF($R$17="Distrato",$E411,0))),0,YEARFRAC(MAX($P$34*($B411+IF($R$17="Distrato",$I$38-1,0)),IF(AND($L$37=0,$P$34=0),"",$L$37-1),IF($R$17="Distrato",$E411,0)),MIN(Z$38,$D$19),$P$20))-SUM($P411:Y411)</f>
        <v>#VALUE!</v>
      </c>
      <c r="AA411" s="446" t="e">
        <f>IF(OR($B411="",MIN(AA$38,$D$19)&lt;MAX($P$34*($B411+IF($R$17="Distrato",$I$38-1,0)),IF(AND($L$37=0,$P$34=0),"",$L$37-1),IF($R$17="Distrato",$E411,0))),0,YEARFRAC(MAX($P$34*($B411+IF($R$17="Distrato",$I$38-1,0)),IF(AND($L$37=0,$P$34=0),"",$L$37-1),IF($R$17="Distrato",$E411,0)),MIN(AA$38,$D$19),$P$20))-SUM($P411:Z411)</f>
        <v>#VALUE!</v>
      </c>
      <c r="AB411" s="446" t="e">
        <f>IF(OR($B411="",MIN(AB$38,$D$19)&lt;MAX($P$34*($B411+IF($R$17="Distrato",$I$38-1,0)),IF(AND($L$37=0,$P$34=0),"",$L$37-1),IF($R$17="Distrato",$E411,0))),0,YEARFRAC(MAX($P$34*($B411+IF($R$17="Distrato",$I$38-1,0)),IF(AND($L$37=0,$P$34=0),"",$L$37-1),IF($R$17="Distrato",$E411,0)),MIN(AB$38,$D$19),$P$20))-SUM($P411:AA411)</f>
        <v>#VALUE!</v>
      </c>
      <c r="AC411" s="446" t="e">
        <f>IF(OR($B411="",MIN(AC$38,$D$19)&lt;MAX($P$34*($B411+IF($R$17="Distrato",$I$38-1,0)),IF(AND($L$37=0,$P$34=0),"",$L$37-1),IF($R$17="Distrato",$E411,0))),0,YEARFRAC(MAX($P$34*($B411+IF($R$17="Distrato",$I$38-1,0)),IF(AND($L$37=0,$P$34=0),"",$L$37-1),IF($R$17="Distrato",$E411,0)),MIN(AC$38,$D$19),$P$20))-SUM($P411:AB411)</f>
        <v>#VALUE!</v>
      </c>
      <c r="AD411" s="446" t="e">
        <f>IF(OR($B411="",MIN(AD$38,$D$19)&lt;MAX($P$34*($B411+IF($R$17="Distrato",$I$38-1,0)),IF(AND($L$37=0,$P$34=0),"",$L$37-1),IF($R$17="Distrato",$E411,0))),0,YEARFRAC(MAX($P$34*($B411+IF($R$17="Distrato",$I$38-1,0)),IF(AND($L$37=0,$P$34=0),"",$L$37-1),IF($R$17="Distrato",$E411,0)),MIN(AD$38,$D$19),$P$20))-SUM($P411:AC411)</f>
        <v>#VALUE!</v>
      </c>
      <c r="AE411" s="446" t="e">
        <f>IF(OR($B411="",MIN(AE$38,$D$19)&lt;MAX($P$34*($B411+IF($R$17="Distrato",$I$38-1,0)),IF(AND($L$37=0,$P$34=0),"",$L$37-1),IF($R$17="Distrato",$E411,0))),0,YEARFRAC(MAX($P$34*($B411+IF($R$17="Distrato",$I$38-1,0)),IF(AND($L$37=0,$P$34=0),"",$L$37-1),IF($R$17="Distrato",$E411,0)),MIN(AE$38,$D$19),$P$20))-SUM($P411:AD411)</f>
        <v>#VALUE!</v>
      </c>
      <c r="AF411" s="446" t="e">
        <f>IF(OR($B411="",MIN(AF$38,$D$19)&lt;MAX($P$34*($B411+IF($R$17="Distrato",$I$38-1,0)),IF(AND($L$37=0,$P$34=0),"",$L$37-1),IF($R$17="Distrato",$E411,0))),0,YEARFRAC(MAX($P$34*($B411+IF($R$17="Distrato",$I$38-1,0)),IF(AND($L$37=0,$P$34=0),"",$L$37-1),IF($R$17="Distrato",$E411,0)),MIN(AF$38,$D$19),$P$20))-SUM($P411:AE411)</f>
        <v>#VALUE!</v>
      </c>
      <c r="AG411" s="446" t="e">
        <f>IF(OR($B411="",MIN(AG$38,$D$19)&lt;MAX($P$34*($B411+IF($R$17="Distrato",$I$38-1,0)),IF(AND($L$37=0,$P$34=0),"",$L$37-1),IF($R$17="Distrato",$E411,0))),0,YEARFRAC(MAX($P$34*($B411+IF($R$17="Distrato",$I$38-1,0)),IF(AND($L$37=0,$P$34=0),"",$L$37-1),IF($R$17="Distrato",$E411,0)),MIN(AG$38,$D$19),$P$20))-SUM($P411:AF411)</f>
        <v>#VALUE!</v>
      </c>
      <c r="AH411" s="446" t="e">
        <f>IF(OR($B411="",MIN(AH$38,$D$19)&lt;MAX($P$34*($B411+IF($R$17="Distrato",$I$38-1,0)),IF(AND($L$37=0,$P$34=0),"",$L$37-1),IF($R$17="Distrato",$E411,0))),0,YEARFRAC(MAX($P$34*($B411+IF($R$17="Distrato",$I$38-1,0)),IF(AND($L$37=0,$P$34=0),"",$L$37-1),IF($R$17="Distrato",$E411,0)),MIN(AH$38,$D$19),$P$20))-SUM($P411:AG411)</f>
        <v>#VALUE!</v>
      </c>
      <c r="AI411" s="446" t="e">
        <f>IF(OR($B411="",MIN(AI$38,$D$19)&lt;MAX($P$34*($B411+IF($R$17="Distrato",$I$38-1,0)),IF(AND($L$37=0,$P$34=0),"",$L$37-1),IF($R$17="Distrato",$E411,0))),0,YEARFRAC(MAX($P$34*($B411+IF($R$17="Distrato",$I$38-1,0)),IF(AND($L$37=0,$P$34=0),"",$L$37-1),IF($R$17="Distrato",$E411,0)),MIN(AI$38,$D$19),$P$20))-SUM($P411:AH411)</f>
        <v>#VALUE!</v>
      </c>
      <c r="AJ411" s="446" t="e">
        <f>IF(OR($B411="",MIN(AJ$38,$D$19)&lt;MAX($P$34*($B411+IF($R$17="Distrato",$I$38-1,0)),IF(AND($L$37=0,$P$34=0),"",$L$37-1),IF($R$17="Distrato",$E411,0))),0,YEARFRAC(MAX($P$34*($B411+IF($R$17="Distrato",$I$38-1,0)),IF(AND($L$37=0,$P$34=0),"",$L$37-1),IF($R$17="Distrato",$E411,0)),MIN(AJ$38,$D$19),$P$20))-SUM($P411:AI411)</f>
        <v>#VALUE!</v>
      </c>
      <c r="AK411" s="446" t="e">
        <f>IF(OR($B411="",MIN(AK$38,$D$19)&lt;MAX($P$34*($B411+IF($R$17="Distrato",$I$38-1,0)),IF(AND($L$37=0,$P$34=0),"",$L$37-1),IF($R$17="Distrato",$E411,0))),0,YEARFRAC(MAX($P$34*($B411+IF($R$17="Distrato",$I$38-1,0)),IF(AND($L$37=0,$P$34=0),"",$L$37-1),IF($R$17="Distrato",$E411,0)),MIN(AK$38,$D$19),$P$20))-SUM($P411:AJ411)</f>
        <v>#VALUE!</v>
      </c>
      <c r="AL411" s="446" t="e">
        <f>IF(OR($B411="",MIN(AL$38,$D$19)&lt;MAX($P$34*($B411+IF($R$17="Distrato",$I$38-1,0)),IF(AND($L$37=0,$P$34=0),"",$L$37-1),IF($R$17="Distrato",$E411,0))),0,YEARFRAC(MAX($P$34*($B411+IF($R$17="Distrato",$I$38-1,0)),IF(AND($L$37=0,$P$34=0),"",$L$37-1),IF($R$17="Distrato",$E411,0)),MIN(AL$38,$D$19),$P$20))-SUM($P411:AK411)</f>
        <v>#VALUE!</v>
      </c>
      <c r="AM411" s="446" t="e">
        <f>IF(OR($B411="",MIN(AM$38,$D$19)&lt;MAX($P$34*($B411+IF($R$17="Distrato",$I$38-1,0)),IF(AND($L$37=0,$P$34=0),"",$L$37-1),IF($R$17="Distrato",$E411,0))),0,YEARFRAC(MAX($P$34*($B411+IF($R$17="Distrato",$I$38-1,0)),IF(AND($L$37=0,$P$34=0),"",$L$37-1),IF($R$17="Distrato",$E411,0)),MIN(AM$38,$D$19),$P$20))-SUM($P411:AL411)</f>
        <v>#VALUE!</v>
      </c>
      <c r="AN411" s="446" t="e">
        <f>IF(OR($B411="",MIN(AN$38,$D$19)&lt;MAX($P$34*($B411+IF($R$17="Distrato",$I$38-1,0)),IF(AND($L$37=0,$P$34=0),"",$L$37-1),IF($R$17="Distrato",$E411,0))),0,YEARFRAC(MAX($P$34*($B411+IF($R$17="Distrato",$I$38-1,0)),IF(AND($L$37=0,$P$34=0),"",$L$37-1),IF($R$17="Distrato",$E411,0)),MIN(AN$38,$D$19),$P$20))-SUM($P411:AM411)</f>
        <v>#VALUE!</v>
      </c>
      <c r="AO411" s="446" t="e">
        <f>IF(OR($B411="",MIN(AO$38,$D$19)&lt;MAX($P$34*($B411+IF($R$17="Distrato",$I$38-1,0)),IF(AND($L$37=0,$P$34=0),"",$L$37-1),IF($R$17="Distrato",$E411,0))),0,YEARFRAC(MAX($P$34*($B411+IF($R$17="Distrato",$I$38-1,0)),IF(AND($L$37=0,$P$34=0),"",$L$37-1),IF($R$17="Distrato",$E411,0)),MIN(AO$38,$D$19),$P$20))-SUM($P411:AN411)</f>
        <v>#VALUE!</v>
      </c>
      <c r="AP411" s="446" t="e">
        <f>IF(OR($B411="",MIN(AP$38,$D$19)&lt;MAX($P$34*($B411+IF($R$17="Distrato",$I$38-1,0)),IF(AND($L$37=0,$P$34=0),"",$L$37-1),IF($R$17="Distrato",$E411,0))),0,YEARFRAC(MAX($P$34*($B411+IF($R$17="Distrato",$I$38-1,0)),IF(AND($L$37=0,$P$34=0),"",$L$37-1),IF($R$17="Distrato",$E411,0)),MIN(AP$38,$D$19),$P$20))-SUM($P411:AO411)</f>
        <v>#VALUE!</v>
      </c>
      <c r="AQ411" s="446" t="e">
        <f>IF(OR($B411="",MIN(AQ$38,$D$19)&lt;MAX($P$34*($B411+IF($R$17="Distrato",$I$38-1,0)),IF(AND($L$37=0,$P$34=0),"",$L$37-1),IF($R$17="Distrato",$E411,0))),0,YEARFRAC(MAX($P$34*($B411+IF($R$17="Distrato",$I$38-1,0)),IF(AND($L$37=0,$P$34=0),"",$L$37-1),IF($R$17="Distrato",$E411,0)),MIN(AQ$38,$D$19),$P$20))-SUM($P411:AP411)</f>
        <v>#VALUE!</v>
      </c>
      <c r="AR411" s="446" t="e">
        <f>IF(OR($B411="",MIN(AR$38,$D$19)&lt;MAX($P$34*($B411+IF($R$17="Distrato",$I$38-1,0)),IF(AND($L$37=0,$P$34=0),"",$L$37-1),IF($R$17="Distrato",$E411,0))),0,YEARFRAC(MAX($P$34*($B411+IF($R$17="Distrato",$I$38-1,0)),IF(AND($L$37=0,$P$34=0),"",$L$37-1),IF($R$17="Distrato",$E411,0)),MIN(AR$38,$D$19),$P$20))-SUM($P411:AQ411)</f>
        <v>#VALUE!</v>
      </c>
      <c r="AS411" s="446" t="e">
        <f>IF(OR($B411="",MIN(AS$38,$D$19)&lt;MAX($P$34*($B411+IF($R$17="Distrato",$I$38-1,0)),IF(AND($L$37=0,$P$34=0),"",$L$37-1),IF($R$17="Distrato",$E411,0))),0,YEARFRAC(MAX($P$34*($B411+IF($R$17="Distrato",$I$38-1,0)),IF(AND($L$37=0,$P$34=0),"",$L$37-1),IF($R$17="Distrato",$E411,0)),MIN(AS$38,$D$19),$P$20))-SUM($P411:AR411)</f>
        <v>#VALUE!</v>
      </c>
      <c r="AT411" s="446" t="e">
        <f>IF(OR($B411="",MIN(AT$38,$D$19)&lt;MAX($P$34*($B411+IF($R$17="Distrato",$I$38-1,0)),IF(AND($L$37=0,$P$34=0),"",$L$37-1),IF($R$17="Distrato",$E411,0))),0,YEARFRAC(MAX($P$34*($B411+IF($R$17="Distrato",$I$38-1,0)),IF(AND($L$37=0,$P$34=0),"",$L$37-1),IF($R$17="Distrato",$E411,0)),MIN(AT$38,$D$19),$P$20))-SUM($P411:AS411)</f>
        <v>#VALUE!</v>
      </c>
      <c r="AU411" s="446" t="e">
        <f>IF(OR($B411="",MIN(AU$38,$D$19)&lt;MAX($P$34*($B411+IF($R$17="Distrato",$I$38-1,0)),IF(AND($L$37=0,$P$34=0),"",$L$37-1),IF($R$17="Distrato",$E411,0))),0,YEARFRAC(MAX($P$34*($B411+IF($R$17="Distrato",$I$38-1,0)),IF(AND($L$37=0,$P$34=0),"",$L$37-1),IF($R$17="Distrato",$E411,0)),MIN(AU$38,$D$19),$P$20))-SUM($P411:AT411)</f>
        <v>#VALUE!</v>
      </c>
      <c r="AV411" s="446" t="e">
        <f>IF(OR($B411="",MIN(AV$38,$D$19)&lt;MAX($P$34*($B411+IF($R$17="Distrato",$I$38-1,0)),IF(AND($L$37=0,$P$34=0),"",$L$37-1),IF($R$17="Distrato",$E411,0))),0,YEARFRAC(MAX($P$34*($B411+IF($R$17="Distrato",$I$38-1,0)),IF(AND($L$37=0,$P$34=0),"",$L$37-1),IF($R$17="Distrato",$E411,0)),MIN(AV$38,$D$19),$P$20))-SUM($P411:AU411)</f>
        <v>#VALUE!</v>
      </c>
      <c r="AW411" s="446" t="e">
        <f>IF(OR($B411="",MIN(AW$38,$D$19)&lt;MAX($P$34*($B411+IF($R$17="Distrato",$I$38-1,0)),IF(AND($L$37=0,$P$34=0),"",$L$37-1),IF($R$17="Distrato",$E411,0))),0,YEARFRAC(MAX($P$34*($B411+IF($R$17="Distrato",$I$38-1,0)),IF(AND($L$37=0,$P$34=0),"",$L$37-1),IF($R$17="Distrato",$E411,0)),MIN(AW$38,$D$19),$P$20))-SUM($P411:AV411)</f>
        <v>#VALUE!</v>
      </c>
      <c r="AX411" s="446" t="e">
        <f>IF(OR($B411="",MIN(AX$38,$D$19)&lt;MAX($P$34*($B411+IF($R$17="Distrato",$I$38-1,0)),IF(AND($L$37=0,$P$34=0),"",$L$37-1),IF($R$17="Distrato",$E411,0))),0,YEARFRAC(MAX($P$34*($B411+IF($R$17="Distrato",$I$38-1,0)),IF(AND($L$37=0,$P$34=0),"",$L$37-1),IF($R$17="Distrato",$E411,0)),MIN(AX$38,$D$19),$P$20))-SUM($P411:AW411)</f>
        <v>#VALUE!</v>
      </c>
      <c r="AY411" s="446" t="e">
        <f>IF(OR($B411="",MIN(AY$38,$D$19)&lt;MAX($P$34*($B411+IF($R$17="Distrato",$I$38-1,0)),IF(AND($L$37=0,$P$34=0),"",$L$37-1),IF($R$17="Distrato",$E411,0))),0,YEARFRAC(MAX($P$34*($B411+IF($R$17="Distrato",$I$38-1,0)),IF(AND($L$37=0,$P$34=0),"",$L$37-1),IF($R$17="Distrato",$E411,0)),MIN(AY$38,$D$19),$P$20))-SUM($P411:AX411)</f>
        <v>#VALUE!</v>
      </c>
      <c r="AZ411" s="446" t="e">
        <f>IF(OR($B411="",MIN(AZ$38,$D$19)&lt;MAX($P$34*($B411+IF($R$17="Distrato",$I$38-1,0)),IF(AND($L$37=0,$P$34=0),"",$L$37-1),IF($R$17="Distrato",$E411,0))),0,YEARFRAC(MAX($P$34*($B411+IF($R$17="Distrato",$I$38-1,0)),IF(AND($L$37=0,$P$34=0),"",$L$37-1),IF($R$17="Distrato",$E411,0)),MIN(AZ$38,$D$19),$P$20))-SUM($P411:AY411)</f>
        <v>#VALUE!</v>
      </c>
      <c r="BA411" s="446" t="e">
        <f>IF(OR($B411="",MIN(BA$38,$D$19)&lt;MAX($P$34*($B411+IF($R$17="Distrato",$I$38-1,0)),IF(AND($L$37=0,$P$34=0),"",$L$37-1),IF($R$17="Distrato",$E411,0))),0,YEARFRAC(MAX($P$34*($B411+IF($R$17="Distrato",$I$38-1,0)),IF(AND($L$37=0,$P$34=0),"",$L$37-1),IF($R$17="Distrato",$E411,0)),MIN(BA$38,$D$19),$P$20))-SUM($P411:AZ411)</f>
        <v>#VALUE!</v>
      </c>
      <c r="BB411" s="447"/>
      <c r="BF411" s="446">
        <f t="shared" si="65"/>
        <v>0</v>
      </c>
      <c r="BG411" s="446">
        <f>IF($E411=0,0,IF(MIN(BG$38,$E411)&lt;MAX($P$34*($B411+$I$38-1),IF(AND($L$37=0,$P$34=0),"",$L$37-1)),0,YEARFRAC(MAX($P$34*($B411+$I$38-1),IF(AND($L$37=0,$P$34=0),"",$L$37-1)),MIN(BG$38,$E411),$P$20))-SUM($BF411:BF411))</f>
        <v>0</v>
      </c>
      <c r="BH411" s="446">
        <f>IF($E411=0,0,IF(MIN(BH$38,$E411)&lt;MAX($P$34*($B411+$I$38-1),IF(AND($L$37=0,$P$34=0),"",$L$37-1)),0,YEARFRAC(MAX($P$34*($B411+$I$38-1),IF(AND($L$37=0,$P$34=0),"",$L$37-1)),MIN(BH$38,$E411),$P$20))-SUM($BF411:BG411))</f>
        <v>0</v>
      </c>
      <c r="BI411" s="446">
        <f>IF($E411=0,0,IF(MIN(BI$38,$E411)&lt;MAX($P$34*($B411+$I$38-1),IF(AND($L$37=0,$P$34=0),"",$L$37-1)),0,YEARFRAC(MAX($P$34*($B411+$I$38-1),IF(AND($L$37=0,$P$34=0),"",$L$37-1)),MIN(BI$38,$E411),$P$20))-SUM($BF411:BH411))</f>
        <v>0</v>
      </c>
      <c r="BJ411" s="446">
        <f>IF($E411=0,0,IF(MIN(BJ$38,$E411)&lt;MAX($P$34*($B411+$I$38-1),IF(AND($L$37=0,$P$34=0),"",$L$37-1)),0,YEARFRAC(MAX($P$34*($B411+$I$38-1),IF(AND($L$37=0,$P$34=0),"",$L$37-1)),MIN(BJ$38,$E411),$P$20))-SUM($BF411:BI411))</f>
        <v>0</v>
      </c>
      <c r="BK411" s="446">
        <f>IF($E411=0,0,IF(MIN(BK$38,$E411)&lt;MAX($P$34*($B411+$I$38-1),IF(AND($L$37=0,$P$34=0),"",$L$37-1)),0,YEARFRAC(MAX($P$34*($B411+$I$38-1),IF(AND($L$37=0,$P$34=0),"",$L$37-1)),MIN(BK$38,$E411),$P$20))-SUM($BF411:BJ411))</f>
        <v>0</v>
      </c>
      <c r="BL411" s="446">
        <f>IF($E411=0,0,IF(MIN(BL$38,$E411)&lt;MAX($P$34*($B411+$I$38-1),IF(AND($L$37=0,$P$34=0),"",$L$37-1)),0,YEARFRAC(MAX($P$34*($B411+$I$38-1),IF(AND($L$37=0,$P$34=0),"",$L$37-1)),MIN(BL$38,$E411),$P$20))-SUM($BF411:BK411))</f>
        <v>0</v>
      </c>
      <c r="BM411" s="446">
        <f>IF($E411=0,0,IF(MIN(BM$38,$E411)&lt;MAX($P$34*($B411+$I$38-1),IF(AND($L$37=0,$P$34=0),"",$L$37-1)),0,YEARFRAC(MAX($P$34*($B411+$I$38-1),IF(AND($L$37=0,$P$34=0),"",$L$37-1)),MIN(BM$38,$E411),$P$20))-SUM($BF411:BL411))</f>
        <v>0</v>
      </c>
      <c r="BN411" s="446">
        <f>IF($E411=0,0,IF(MIN(BN$38,$E411)&lt;MAX($P$34*($B411+$I$38-1),IF(AND($L$37=0,$P$34=0),"",$L$37-1)),0,YEARFRAC(MAX($P$34*($B411+$I$38-1),IF(AND($L$37=0,$P$34=0),"",$L$37-1)),MIN(BN$38,$E411),$P$20))-SUM($BF411:BM411))</f>
        <v>0</v>
      </c>
      <c r="BO411" s="446">
        <f>IF($E411=0,0,IF(MIN(BO$38,$E411)&lt;MAX($P$34*($B411+$I$38-1),IF(AND($L$37=0,$P$34=0),"",$L$37-1)),0,YEARFRAC(MAX($P$34*($B411+$I$38-1),IF(AND($L$37=0,$P$34=0),"",$L$37-1)),MIN(BO$38,$E411),$P$20))-SUM($BF411:BN411))</f>
        <v>0</v>
      </c>
      <c r="BP411" s="446">
        <f>IF($E411=0,0,IF(MIN(BP$38,$E411)&lt;MAX($P$34*($B411+$I$38-1),IF(AND($L$37=0,$P$34=0),"",$L$37-1)),0,YEARFRAC(MAX($P$34*($B411+$I$38-1),IF(AND($L$37=0,$P$34=0),"",$L$37-1)),MIN(BP$38,$E411),$P$20))-SUM($BF411:BO411))</f>
        <v>0</v>
      </c>
      <c r="BQ411" s="446">
        <f>IF($E411=0,0,IF(MIN(BQ$38,$E411)&lt;MAX($P$34*($B411+$I$38-1),IF(AND($L$37=0,$P$34=0),"",$L$37-1)),0,YEARFRAC(MAX($P$34*($B411+$I$38-1),IF(AND($L$37=0,$P$34=0),"",$L$37-1)),MIN(BQ$38,$E411),$P$20))-SUM($BF411:BP411))</f>
        <v>0</v>
      </c>
      <c r="BR411" s="446">
        <f>IF($E411=0,0,IF(MIN(BR$38,$E411)&lt;MAX($P$34*($B411+$I$38-1),IF(AND($L$37=0,$P$34=0),"",$L$37-1)),0,YEARFRAC(MAX($P$34*($B411+$I$38-1),IF(AND($L$37=0,$P$34=0),"",$L$37-1)),MIN(BR$38,$E411),$P$20))-SUM($BF411:BQ411))</f>
        <v>0</v>
      </c>
      <c r="BS411" s="446">
        <f>IF($E411=0,0,IF(MIN(BS$38,$E411)&lt;MAX($P$34*($B411+$I$38-1),IF(AND($L$37=0,$P$34=0),"",$L$37-1)),0,YEARFRAC(MAX($P$34*($B411+$I$38-1),IF(AND($L$37=0,$P$34=0),"",$L$37-1)),MIN(BS$38,$E411),$P$20))-SUM($BF411:BR411))</f>
        <v>0</v>
      </c>
      <c r="BT411" s="446">
        <f>IF($E411=0,0,IF(MIN(BT$38,$E411)&lt;MAX($P$34*($B411+$I$38-1),IF(AND($L$37=0,$P$34=0),"",$L$37-1)),0,YEARFRAC(MAX($P$34*($B411+$I$38-1),IF(AND($L$37=0,$P$34=0),"",$L$37-1)),MIN(BT$38,$E411),$P$20))-SUM($BF411:BS411))</f>
        <v>0</v>
      </c>
      <c r="BU411" s="446">
        <f>IF($E411=0,0,IF(MIN(BU$38,$E411)&lt;MAX($P$34*($B411+$I$38-1),IF(AND($L$37=0,$P$34=0),"",$L$37-1)),0,YEARFRAC(MAX($P$34*($B411+$I$38-1),IF(AND($L$37=0,$P$34=0),"",$L$37-1)),MIN(BU$38,$E411),$P$20))-SUM($BF411:BT411))</f>
        <v>0</v>
      </c>
      <c r="BV411" s="446">
        <f>IF($E411=0,0,IF(MIN(BV$38,$E411)&lt;MAX($P$34*($B411+$I$38-1),IF(AND($L$37=0,$P$34=0),"",$L$37-1)),0,YEARFRAC(MAX($P$34*($B411+$I$38-1),IF(AND($L$37=0,$P$34=0),"",$L$37-1)),MIN(BV$38,$E411),$P$20))-SUM($BF411:BU411))</f>
        <v>0</v>
      </c>
      <c r="BW411" s="446">
        <f>IF($E411=0,0,IF(MIN(BW$38,$E411)&lt;MAX($P$34*($B411+$I$38-1),IF(AND($L$37=0,$P$34=0),"",$L$37-1)),0,YEARFRAC(MAX($P$34*($B411+$I$38-1),IF(AND($L$37=0,$P$34=0),"",$L$37-1)),MIN(BW$38,$E411),$P$20))-SUM($BF411:BV411))</f>
        <v>0</v>
      </c>
      <c r="BX411" s="446">
        <f>IF($E411=0,0,IF(MIN(BX$38,$E411)&lt;MAX($P$34*($B411+$I$38-1),IF(AND($L$37=0,$P$34=0),"",$L$37-1)),0,YEARFRAC(MAX($P$34*($B411+$I$38-1),IF(AND($L$37=0,$P$34=0),"",$L$37-1)),MIN(BX$38,$E411),$P$20))-SUM($BF411:BW411))</f>
        <v>0</v>
      </c>
      <c r="BY411" s="446">
        <f>IF($E411=0,0,IF(MIN(BY$38,$E411)&lt;MAX($P$34*($B411+$I$38-1),IF(AND($L$37=0,$P$34=0),"",$L$37-1)),0,YEARFRAC(MAX($P$34*($B411+$I$38-1),IF(AND($L$37=0,$P$34=0),"",$L$37-1)),MIN(BY$38,$E411),$P$20))-SUM($BF411:BX411))</f>
        <v>0</v>
      </c>
      <c r="BZ411" s="446">
        <f>IF($E411=0,0,IF(MIN(BZ$38,$E411)&lt;MAX($P$34*($B411+$I$38-1),IF(AND($L$37=0,$P$34=0),"",$L$37-1)),0,YEARFRAC(MAX($P$34*($B411+$I$38-1),IF(AND($L$37=0,$P$34=0),"",$L$37-1)),MIN(BZ$38,$E411),$P$20))-SUM($BF411:BY411))</f>
        <v>0</v>
      </c>
      <c r="CA411" s="446">
        <f>IF($E411=0,0,IF(MIN(CA$38,$E411)&lt;MAX($P$34*($B411+$I$38-1),IF(AND($L$37=0,$P$34=0),"",$L$37-1)),0,YEARFRAC(MAX($P$34*($B411+$I$38-1),IF(AND($L$37=0,$P$34=0),"",$L$37-1)),MIN(CA$38,$E411),$P$20))-SUM($BF411:BZ411))</f>
        <v>0</v>
      </c>
      <c r="CB411" s="446">
        <f>IF($E411=0,0,IF(MIN(CB$38,$E411)&lt;MAX($P$34*($B411+$I$38-1),IF(AND($L$37=0,$P$34=0),"",$L$37-1)),0,YEARFRAC(MAX($P$34*($B411+$I$38-1),IF(AND($L$37=0,$P$34=0),"",$L$37-1)),MIN(CB$38,$E411),$P$20))-SUM($BF411:CA411))</f>
        <v>0</v>
      </c>
      <c r="CC411" s="446">
        <f>IF($E411=0,0,IF(MIN(CC$38,$E411)&lt;MAX($P$34*($B411+$I$38-1),IF(AND($L$37=0,$P$34=0),"",$L$37-1)),0,YEARFRAC(MAX($P$34*($B411+$I$38-1),IF(AND($L$37=0,$P$34=0),"",$L$37-1)),MIN(CC$38,$E411),$P$20))-SUM($BF411:CB411))</f>
        <v>0</v>
      </c>
      <c r="CD411" s="446">
        <f>IF($E411=0,0,IF(MIN(CD$38,$E411)&lt;MAX($P$34*($B411+$I$38-1),IF(AND($L$37=0,$P$34=0),"",$L$37-1)),0,YEARFRAC(MAX($P$34*($B411+$I$38-1),IF(AND($L$37=0,$P$34=0),"",$L$37-1)),MIN(CD$38,$E411),$P$20))-SUM($BF411:CC411))</f>
        <v>0</v>
      </c>
      <c r="CE411" s="446">
        <f>IF($E411=0,0,IF(MIN(CE$38,$E411)&lt;MAX($P$34*($B411+$I$38-1),IF(AND($L$37=0,$P$34=0),"",$L$37-1)),0,YEARFRAC(MAX($P$34*($B411+$I$38-1),IF(AND($L$37=0,$P$34=0),"",$L$37-1)),MIN(CE$38,$E411),$P$20))-SUM($BF411:CD411))</f>
        <v>0</v>
      </c>
      <c r="CF411" s="446">
        <f>IF($E411=0,0,IF(MIN(CF$38,$E411)&lt;MAX($P$34*($B411+$I$38-1),IF(AND($L$37=0,$P$34=0),"",$L$37-1)),0,YEARFRAC(MAX($P$34*($B411+$I$38-1),IF(AND($L$37=0,$P$34=0),"",$L$37-1)),MIN(CF$38,$E411),$P$20))-SUM($BF411:CE411))</f>
        <v>0</v>
      </c>
      <c r="CG411" s="446">
        <f>IF($E411=0,0,IF(MIN(CG$38,$E411)&lt;MAX($P$34*($B411+$I$38-1),IF(AND($L$37=0,$P$34=0),"",$L$37-1)),0,YEARFRAC(MAX($P$34*($B411+$I$38-1),IF(AND($L$37=0,$P$34=0),"",$L$37-1)),MIN(CG$38,$E411),$P$20))-SUM($BF411:CF411))</f>
        <v>0</v>
      </c>
      <c r="CH411" s="446">
        <f>IF($E411=0,0,IF(MIN(CH$38,$E411)&lt;MAX($P$34*($B411+$I$38-1),IF(AND($L$37=0,$P$34=0),"",$L$37-1)),0,YEARFRAC(MAX($P$34*($B411+$I$38-1),IF(AND($L$37=0,$P$34=0),"",$L$37-1)),MIN(CH$38,$E411),$P$20))-SUM($BF411:CG411))</f>
        <v>0</v>
      </c>
      <c r="CI411" s="446">
        <f>IF($E411=0,0,IF(MIN(CI$38,$E411)&lt;MAX($P$34*($B411+$I$38-1),IF(AND($L$37=0,$P$34=0),"",$L$37-1)),0,YEARFRAC(MAX($P$34*($B411+$I$38-1),IF(AND($L$37=0,$P$34=0),"",$L$37-1)),MIN(CI$38,$E411),$P$20))-SUM($BF411:CH411))</f>
        <v>0</v>
      </c>
      <c r="CJ411" s="446">
        <f>IF($E411=0,0,IF(MIN(CJ$38,$E411)&lt;MAX($P$34*($B411+$I$38-1),IF(AND($L$37=0,$P$34=0),"",$L$37-1)),0,YEARFRAC(MAX($P$34*($B411+$I$38-1),IF(AND($L$37=0,$P$34=0),"",$L$37-1)),MIN(CJ$38,$E411),$P$20))-SUM($BF411:CI411))</f>
        <v>0</v>
      </c>
      <c r="CK411" s="446">
        <f>IF($E411=0,0,IF(MIN(CK$38,$E411)&lt;MAX($P$34*($B411+$I$38-1),IF(AND($L$37=0,$P$34=0),"",$L$37-1)),0,YEARFRAC(MAX($P$34*($B411+$I$38-1),IF(AND($L$37=0,$P$34=0),"",$L$37-1)),MIN(CK$38,$E411),$P$20))-SUM($BF411:CJ411))</f>
        <v>0</v>
      </c>
      <c r="CL411" s="446">
        <f>IF($E411=0,0,IF(MIN(CL$38,$E411)&lt;MAX($P$34*($B411+$I$38-1),IF(AND($L$37=0,$P$34=0),"",$L$37-1)),0,YEARFRAC(MAX($P$34*($B411+$I$38-1),IF(AND($L$37=0,$P$34=0),"",$L$37-1)),MIN(CL$38,$E411),$P$20))-SUM($BF411:CK411))</f>
        <v>0</v>
      </c>
      <c r="CM411" s="446">
        <f>IF($E411=0,0,IF(MIN(CM$38,$E411)&lt;MAX($P$34*($B411+$I$38-1),IF(AND($L$37=0,$P$34=0),"",$L$37-1)),0,YEARFRAC(MAX($P$34*($B411+$I$38-1),IF(AND($L$37=0,$P$34=0),"",$L$37-1)),MIN(CM$38,$E411),$P$20))-SUM($BF411:CL411))</f>
        <v>0</v>
      </c>
      <c r="CN411" s="446">
        <f>IF($E411=0,0,IF(MIN(CN$38,$E411)&lt;MAX($P$34*($B411+$I$38-1),IF(AND($L$37=0,$P$34=0),"",$L$37-1)),0,YEARFRAC(MAX($P$34*($B411+$I$38-1),IF(AND($L$37=0,$P$34=0),"",$L$37-1)),MIN(CN$38,$E411),$P$20))-SUM($BF411:CM411))</f>
        <v>0</v>
      </c>
      <c r="CO411" s="446">
        <f>IF($E411=0,0,IF(MIN(CO$38,$E411)&lt;MAX($P$34*($B411+$I$38-1),IF(AND($L$37=0,$P$34=0),"",$L$37-1)),0,YEARFRAC(MAX($P$34*($B411+$I$38-1),IF(AND($L$37=0,$P$34=0),"",$L$37-1)),MIN(CO$38,$E411),$P$20))-SUM($BF411:CN411))</f>
        <v>0</v>
      </c>
      <c r="CP411" s="446">
        <f>IF($E411=0,0,IF(MIN(CP$38,$E411)&lt;MAX($P$34*($B411+$I$38-1),IF(AND($L$37=0,$P$34=0),"",$L$37-1)),0,YEARFRAC(MAX($P$34*($B411+$I$38-1),IF(AND($L$37=0,$P$34=0),"",$L$37-1)),MIN(CP$38,$E411),$P$20))-SUM($BF411:CO411))</f>
        <v>0</v>
      </c>
      <c r="CQ411" s="446">
        <f>IF($E411=0,0,IF(MIN(CQ$38,$E411)&lt;MAX($P$34*($B411+$I$38-1),IF(AND($L$37=0,$P$34=0),"",$L$37-1)),0,YEARFRAC(MAX($P$34*($B411+$I$38-1),IF(AND($L$37=0,$P$34=0),"",$L$37-1)),MIN(CQ$38,$E411),$P$20))-SUM($BF411:CP411))</f>
        <v>0</v>
      </c>
    </row>
    <row r="412" spans="1:95" s="446" customFormat="1" ht="11.25" hidden="1" customHeight="1" x14ac:dyDescent="0.2">
      <c r="A412" s="152"/>
      <c r="B412" s="153" t="str">
        <f t="shared" si="70"/>
        <v/>
      </c>
      <c r="C412" s="29" t="str">
        <f>IF(B412="","",IF($L$35="SELIC - TRIBUTOS",VLOOKUP(DATE(YEAR($D$19),MONTH($D$19)-1,1),ÍNDICES!$A:$DE,HLOOKUP($BL$25,ÍNDICES!$B$3:$T$4,2)+11)-VLOOKUP(B412,ÍNDICES!$A:$DE,HLOOKUP($BL$25,ÍNDICES!$B$3:$T$4,2)+11)+1%,IF(C$38=$W$26,$J$35,IF(ISERROR(IF(B412&gt;$D$19,1,VLOOKUP(DATE(YEAR(B412),MONTH(B412)+IF($C$35=$S$23,1,0),1),ÍNDICES!$A:$DE,$Z$35+1))),"",IF(B412&gt;$D$19,1,VLOOKUP(DATE(YEAR(B412),MONTH(B412)+IF($C$35=$S$23,1,0),1),ÍNDICES!$A:$DE,$Z$35+1))))))</f>
        <v/>
      </c>
      <c r="D412" s="154" t="str">
        <f>IF(ISERROR(IF(OR($D$38=$Y$27,$B412=""),"",VLOOKUP(B412,ÍNDICES!A:DE,AF$35+1))),"",IF(OR($D$38=$Y$27,$B412=""),"",VLOOKUP(B412,ÍNDICES!A:DE,AF$35+1)))</f>
        <v/>
      </c>
      <c r="E412" s="153"/>
      <c r="F412" s="29" t="str">
        <f>IF(E412="","",IF($L$35="SELIC - TRIBUTOS",VLOOKUP(DATE(YEAR($D$19),MONTH($D$19)-1,1),ÍNDICES!$A:$DE,HLOOKUP($BL$25,ÍNDICES!$B$3:$T$4,2)+11)-VLOOKUP(E412,ÍNDICES!$A:$DE,HLOOKUP($BL$25,ÍNDICES!$B$3:$T$4,2)+11)+1%,IF(F$38=$W$26,$J$35,IF(ISERROR(IF(E412&gt;$D$19,1,VLOOKUP(DATE(YEAR(E412),MONTH(E412)+IF($C$35=$S$23,1,0),1),ÍNDICES!$A:$DE,$Z$35+1))),"",IF(E412&gt;$D$19,1,VLOOKUP(DATE(YEAR(E412),MONTH(E412)+IF($C$35=$S$23,1,0),1),ÍNDICES!$A:$DE,$Z$35+1))))))</f>
        <v/>
      </c>
      <c r="G412" s="155"/>
      <c r="H412" s="156" t="str">
        <f t="shared" si="66"/>
        <v/>
      </c>
      <c r="I412" s="29" t="str">
        <f t="shared" si="60"/>
        <v/>
      </c>
      <c r="J412" s="5">
        <f t="shared" si="61"/>
        <v>0</v>
      </c>
      <c r="K412" s="20">
        <f t="shared" ca="1" si="62"/>
        <v>0</v>
      </c>
      <c r="L412" s="5">
        <f t="shared" ca="1" si="63"/>
        <v>0</v>
      </c>
      <c r="M412" s="64">
        <f t="shared" si="67"/>
        <v>0</v>
      </c>
      <c r="N412" s="61">
        <f t="shared" ca="1" si="68"/>
        <v>0</v>
      </c>
      <c r="O412" s="5">
        <f t="shared" ca="1" si="69"/>
        <v>0</v>
      </c>
      <c r="P412" s="446" t="e">
        <f t="shared" si="64"/>
        <v>#VALUE!</v>
      </c>
      <c r="Q412" s="446" t="e">
        <f>IF(OR($B412="",MIN(Q$38,$D$19)&lt;MAX($P$34*($B412+IF($R$17="Distrato",$I$38-1,0)),IF(AND($L$37=0,$P$34=0),"",$L$37-1),IF($R$17="Distrato",$E412,0))),0,YEARFRAC(MAX($P$34*($B412+IF($R$17="Distrato",$I$38-1,0)),IF(AND($L$37=0,$P$34=0),"",$L$37-1),IF($R$17="Distrato",$E412,0)),MIN(Q$38,$D$19),$P$20))-SUM($P412:P412)</f>
        <v>#VALUE!</v>
      </c>
      <c r="R412" s="446" t="e">
        <f>IF(OR($B412="",MIN(R$38,$D$19)&lt;MAX($P$34*($B412+IF($R$17="Distrato",$I$38-1,0)),IF(AND($L$37=0,$P$34=0),"",$L$37-1),IF($R$17="Distrato",$E412,0))),0,YEARFRAC(MAX($P$34*($B412+IF($R$17="Distrato",$I$38-1,0)),IF(AND($L$37=0,$P$34=0),"",$L$37-1),IF($R$17="Distrato",$E412,0)),MIN(R$38,$D$19),$P$20))-SUM($P412:Q412)</f>
        <v>#VALUE!</v>
      </c>
      <c r="S412" s="446" t="e">
        <f>IF(OR($B412="",MIN(S$38,$D$19)&lt;MAX($P$34*($B412+IF($R$17="Distrato",$I$38-1,0)),IF(AND($L$37=0,$P$34=0),"",$L$37-1),IF($R$17="Distrato",$E412,0))),0,YEARFRAC(MAX($P$34*($B412+IF($R$17="Distrato",$I$38-1,0)),IF(AND($L$37=0,$P$34=0),"",$L$37-1),IF($R$17="Distrato",$E412,0)),MIN(S$38,$D$19),$P$20))-SUM($P412:R412)</f>
        <v>#VALUE!</v>
      </c>
      <c r="T412" s="446" t="e">
        <f>IF(OR($B412="",MIN(T$38,$D$19)&lt;MAX($P$34*($B412+IF($R$17="Distrato",$I$38-1,0)),IF(AND($L$37=0,$P$34=0),"",$L$37-1),IF($R$17="Distrato",$E412,0))),0,YEARFRAC(MAX($P$34*($B412+IF($R$17="Distrato",$I$38-1,0)),IF(AND($L$37=0,$P$34=0),"",$L$37-1),IF($R$17="Distrato",$E412,0)),MIN(T$38,$D$19),$P$20))-SUM($P412:S412)</f>
        <v>#VALUE!</v>
      </c>
      <c r="U412" s="446" t="e">
        <f>IF(OR($B412="",MIN(U$38,$D$19)&lt;MAX($P$34*($B412+IF($R$17="Distrato",$I$38-1,0)),IF(AND($L$37=0,$P$34=0),"",$L$37-1),IF($R$17="Distrato",$E412,0))),0,YEARFRAC(MAX($P$34*($B412+IF($R$17="Distrato",$I$38-1,0)),IF(AND($L$37=0,$P$34=0),"",$L$37-1),IF($R$17="Distrato",$E412,0)),MIN(U$38,$D$19),$P$20))-SUM($P412:T412)</f>
        <v>#VALUE!</v>
      </c>
      <c r="V412" s="446" t="e">
        <f>IF(OR($B412="",MIN(V$38,$D$19)&lt;MAX($P$34*($B412+IF($R$17="Distrato",$I$38-1,0)),IF(AND($L$37=0,$P$34=0),"",$L$37-1),IF($R$17="Distrato",$E412,0))),0,YEARFRAC(MAX($P$34*($B412+IF($R$17="Distrato",$I$38-1,0)),IF(AND($L$37=0,$P$34=0),"",$L$37-1),IF($R$17="Distrato",$E412,0)),MIN(V$38,$D$19),$P$20))-SUM($P412:U412)</f>
        <v>#VALUE!</v>
      </c>
      <c r="W412" s="446" t="e">
        <f>IF(OR($B412="",MIN(W$38,$D$19)&lt;MAX($P$34*($B412+IF($R$17="Distrato",$I$38-1,0)),IF(AND($L$37=0,$P$34=0),"",$L$37-1),IF($R$17="Distrato",$E412,0))),0,YEARFRAC(MAX($P$34*($B412+IF($R$17="Distrato",$I$38-1,0)),IF(AND($L$37=0,$P$34=0),"",$L$37-1),IF($R$17="Distrato",$E412,0)),MIN(W$38,$D$19),$P$20))-SUM($P412:V412)</f>
        <v>#VALUE!</v>
      </c>
      <c r="X412" s="446" t="e">
        <f>IF(OR($B412="",MIN(X$38,$D$19)&lt;MAX($P$34*($B412+IF($R$17="Distrato",$I$38-1,0)),IF(AND($L$37=0,$P$34=0),"",$L$37-1),IF($R$17="Distrato",$E412,0))),0,YEARFRAC(MAX($P$34*($B412+IF($R$17="Distrato",$I$38-1,0)),IF(AND($L$37=0,$P$34=0),"",$L$37-1),IF($R$17="Distrato",$E412,0)),MIN(X$38,$D$19),$P$20))-SUM($P412:W412)</f>
        <v>#VALUE!</v>
      </c>
      <c r="Y412" s="446" t="e">
        <f>IF(OR($B412="",MIN(Y$38,$D$19)&lt;MAX($P$34*($B412+IF($R$17="Distrato",$I$38-1,0)),IF(AND($L$37=0,$P$34=0),"",$L$37-1),IF($R$17="Distrato",$E412,0))),0,YEARFRAC(MAX($P$34*($B412+IF($R$17="Distrato",$I$38-1,0)),IF(AND($L$37=0,$P$34=0),"",$L$37-1),IF($R$17="Distrato",$E412,0)),MIN(Y$38,$D$19),$P$20))-SUM($P412:X412)</f>
        <v>#VALUE!</v>
      </c>
      <c r="Z412" s="446" t="e">
        <f>IF(OR($B412="",MIN(Z$38,$D$19)&lt;MAX($P$34*($B412+IF($R$17="Distrato",$I$38-1,0)),IF(AND($L$37=0,$P$34=0),"",$L$37-1),IF($R$17="Distrato",$E412,0))),0,YEARFRAC(MAX($P$34*($B412+IF($R$17="Distrato",$I$38-1,0)),IF(AND($L$37=0,$P$34=0),"",$L$37-1),IF($R$17="Distrato",$E412,0)),MIN(Z$38,$D$19),$P$20))-SUM($P412:Y412)</f>
        <v>#VALUE!</v>
      </c>
      <c r="AA412" s="446" t="e">
        <f>IF(OR($B412="",MIN(AA$38,$D$19)&lt;MAX($P$34*($B412+IF($R$17="Distrato",$I$38-1,0)),IF(AND($L$37=0,$P$34=0),"",$L$37-1),IF($R$17="Distrato",$E412,0))),0,YEARFRAC(MAX($P$34*($B412+IF($R$17="Distrato",$I$38-1,0)),IF(AND($L$37=0,$P$34=0),"",$L$37-1),IF($R$17="Distrato",$E412,0)),MIN(AA$38,$D$19),$P$20))-SUM($P412:Z412)</f>
        <v>#VALUE!</v>
      </c>
      <c r="AB412" s="446" t="e">
        <f>IF(OR($B412="",MIN(AB$38,$D$19)&lt;MAX($P$34*($B412+IF($R$17="Distrato",$I$38-1,0)),IF(AND($L$37=0,$P$34=0),"",$L$37-1),IF($R$17="Distrato",$E412,0))),0,YEARFRAC(MAX($P$34*($B412+IF($R$17="Distrato",$I$38-1,0)),IF(AND($L$37=0,$P$34=0),"",$L$37-1),IF($R$17="Distrato",$E412,0)),MIN(AB$38,$D$19),$P$20))-SUM($P412:AA412)</f>
        <v>#VALUE!</v>
      </c>
      <c r="AC412" s="446" t="e">
        <f>IF(OR($B412="",MIN(AC$38,$D$19)&lt;MAX($P$34*($B412+IF($R$17="Distrato",$I$38-1,0)),IF(AND($L$37=0,$P$34=0),"",$L$37-1),IF($R$17="Distrato",$E412,0))),0,YEARFRAC(MAX($P$34*($B412+IF($R$17="Distrato",$I$38-1,0)),IF(AND($L$37=0,$P$34=0),"",$L$37-1),IF($R$17="Distrato",$E412,0)),MIN(AC$38,$D$19),$P$20))-SUM($P412:AB412)</f>
        <v>#VALUE!</v>
      </c>
      <c r="AD412" s="446" t="e">
        <f>IF(OR($B412="",MIN(AD$38,$D$19)&lt;MAX($P$34*($B412+IF($R$17="Distrato",$I$38-1,0)),IF(AND($L$37=0,$P$34=0),"",$L$37-1),IF($R$17="Distrato",$E412,0))),0,YEARFRAC(MAX($P$34*($B412+IF($R$17="Distrato",$I$38-1,0)),IF(AND($L$37=0,$P$34=0),"",$L$37-1),IF($R$17="Distrato",$E412,0)),MIN(AD$38,$D$19),$P$20))-SUM($P412:AC412)</f>
        <v>#VALUE!</v>
      </c>
      <c r="AE412" s="446" t="e">
        <f>IF(OR($B412="",MIN(AE$38,$D$19)&lt;MAX($P$34*($B412+IF($R$17="Distrato",$I$38-1,0)),IF(AND($L$37=0,$P$34=0),"",$L$37-1),IF($R$17="Distrato",$E412,0))),0,YEARFRAC(MAX($P$34*($B412+IF($R$17="Distrato",$I$38-1,0)),IF(AND($L$37=0,$P$34=0),"",$L$37-1),IF($R$17="Distrato",$E412,0)),MIN(AE$38,$D$19),$P$20))-SUM($P412:AD412)</f>
        <v>#VALUE!</v>
      </c>
      <c r="AF412" s="446" t="e">
        <f>IF(OR($B412="",MIN(AF$38,$D$19)&lt;MAX($P$34*($B412+IF($R$17="Distrato",$I$38-1,0)),IF(AND($L$37=0,$P$34=0),"",$L$37-1),IF($R$17="Distrato",$E412,0))),0,YEARFRAC(MAX($P$34*($B412+IF($R$17="Distrato",$I$38-1,0)),IF(AND($L$37=0,$P$34=0),"",$L$37-1),IF($R$17="Distrato",$E412,0)),MIN(AF$38,$D$19),$P$20))-SUM($P412:AE412)</f>
        <v>#VALUE!</v>
      </c>
      <c r="AG412" s="446" t="e">
        <f>IF(OR($B412="",MIN(AG$38,$D$19)&lt;MAX($P$34*($B412+IF($R$17="Distrato",$I$38-1,0)),IF(AND($L$37=0,$P$34=0),"",$L$37-1),IF($R$17="Distrato",$E412,0))),0,YEARFRAC(MAX($P$34*($B412+IF($R$17="Distrato",$I$38-1,0)),IF(AND($L$37=0,$P$34=0),"",$L$37-1),IF($R$17="Distrato",$E412,0)),MIN(AG$38,$D$19),$P$20))-SUM($P412:AF412)</f>
        <v>#VALUE!</v>
      </c>
      <c r="AH412" s="446" t="e">
        <f>IF(OR($B412="",MIN(AH$38,$D$19)&lt;MAX($P$34*($B412+IF($R$17="Distrato",$I$38-1,0)),IF(AND($L$37=0,$P$34=0),"",$L$37-1),IF($R$17="Distrato",$E412,0))),0,YEARFRAC(MAX($P$34*($B412+IF($R$17="Distrato",$I$38-1,0)),IF(AND($L$37=0,$P$34=0),"",$L$37-1),IF($R$17="Distrato",$E412,0)),MIN(AH$38,$D$19),$P$20))-SUM($P412:AG412)</f>
        <v>#VALUE!</v>
      </c>
      <c r="AI412" s="446" t="e">
        <f>IF(OR($B412="",MIN(AI$38,$D$19)&lt;MAX($P$34*($B412+IF($R$17="Distrato",$I$38-1,0)),IF(AND($L$37=0,$P$34=0),"",$L$37-1),IF($R$17="Distrato",$E412,0))),0,YEARFRAC(MAX($P$34*($B412+IF($R$17="Distrato",$I$38-1,0)),IF(AND($L$37=0,$P$34=0),"",$L$37-1),IF($R$17="Distrato",$E412,0)),MIN(AI$38,$D$19),$P$20))-SUM($P412:AH412)</f>
        <v>#VALUE!</v>
      </c>
      <c r="AJ412" s="446" t="e">
        <f>IF(OR($B412="",MIN(AJ$38,$D$19)&lt;MAX($P$34*($B412+IF($R$17="Distrato",$I$38-1,0)),IF(AND($L$37=0,$P$34=0),"",$L$37-1),IF($R$17="Distrato",$E412,0))),0,YEARFRAC(MAX($P$34*($B412+IF($R$17="Distrato",$I$38-1,0)),IF(AND($L$37=0,$P$34=0),"",$L$37-1),IF($R$17="Distrato",$E412,0)),MIN(AJ$38,$D$19),$P$20))-SUM($P412:AI412)</f>
        <v>#VALUE!</v>
      </c>
      <c r="AK412" s="446" t="e">
        <f>IF(OR($B412="",MIN(AK$38,$D$19)&lt;MAX($P$34*($B412+IF($R$17="Distrato",$I$38-1,0)),IF(AND($L$37=0,$P$34=0),"",$L$37-1),IF($R$17="Distrato",$E412,0))),0,YEARFRAC(MAX($P$34*($B412+IF($R$17="Distrato",$I$38-1,0)),IF(AND($L$37=0,$P$34=0),"",$L$37-1),IF($R$17="Distrato",$E412,0)),MIN(AK$38,$D$19),$P$20))-SUM($P412:AJ412)</f>
        <v>#VALUE!</v>
      </c>
      <c r="AL412" s="446" t="e">
        <f>IF(OR($B412="",MIN(AL$38,$D$19)&lt;MAX($P$34*($B412+IF($R$17="Distrato",$I$38-1,0)),IF(AND($L$37=0,$P$34=0),"",$L$37-1),IF($R$17="Distrato",$E412,0))),0,YEARFRAC(MAX($P$34*($B412+IF($R$17="Distrato",$I$38-1,0)),IF(AND($L$37=0,$P$34=0),"",$L$37-1),IF($R$17="Distrato",$E412,0)),MIN(AL$38,$D$19),$P$20))-SUM($P412:AK412)</f>
        <v>#VALUE!</v>
      </c>
      <c r="AM412" s="446" t="e">
        <f>IF(OR($B412="",MIN(AM$38,$D$19)&lt;MAX($P$34*($B412+IF($R$17="Distrato",$I$38-1,0)),IF(AND($L$37=0,$P$34=0),"",$L$37-1),IF($R$17="Distrato",$E412,0))),0,YEARFRAC(MAX($P$34*($B412+IF($R$17="Distrato",$I$38-1,0)),IF(AND($L$37=0,$P$34=0),"",$L$37-1),IF($R$17="Distrato",$E412,0)),MIN(AM$38,$D$19),$P$20))-SUM($P412:AL412)</f>
        <v>#VALUE!</v>
      </c>
      <c r="AN412" s="446" t="e">
        <f>IF(OR($B412="",MIN(AN$38,$D$19)&lt;MAX($P$34*($B412+IF($R$17="Distrato",$I$38-1,0)),IF(AND($L$37=0,$P$34=0),"",$L$37-1),IF($R$17="Distrato",$E412,0))),0,YEARFRAC(MAX($P$34*($B412+IF($R$17="Distrato",$I$38-1,0)),IF(AND($L$37=0,$P$34=0),"",$L$37-1),IF($R$17="Distrato",$E412,0)),MIN(AN$38,$D$19),$P$20))-SUM($P412:AM412)</f>
        <v>#VALUE!</v>
      </c>
      <c r="AO412" s="446" t="e">
        <f>IF(OR($B412="",MIN(AO$38,$D$19)&lt;MAX($P$34*($B412+IF($R$17="Distrato",$I$38-1,0)),IF(AND($L$37=0,$P$34=0),"",$L$37-1),IF($R$17="Distrato",$E412,0))),0,YEARFRAC(MAX($P$34*($B412+IF($R$17="Distrato",$I$38-1,0)),IF(AND($L$37=0,$P$34=0),"",$L$37-1),IF($R$17="Distrato",$E412,0)),MIN(AO$38,$D$19),$P$20))-SUM($P412:AN412)</f>
        <v>#VALUE!</v>
      </c>
      <c r="AP412" s="446" t="e">
        <f>IF(OR($B412="",MIN(AP$38,$D$19)&lt;MAX($P$34*($B412+IF($R$17="Distrato",$I$38-1,0)),IF(AND($L$37=0,$P$34=0),"",$L$37-1),IF($R$17="Distrato",$E412,0))),0,YEARFRAC(MAX($P$34*($B412+IF($R$17="Distrato",$I$38-1,0)),IF(AND($L$37=0,$P$34=0),"",$L$37-1),IF($R$17="Distrato",$E412,0)),MIN(AP$38,$D$19),$P$20))-SUM($P412:AO412)</f>
        <v>#VALUE!</v>
      </c>
      <c r="AQ412" s="446" t="e">
        <f>IF(OR($B412="",MIN(AQ$38,$D$19)&lt;MAX($P$34*($B412+IF($R$17="Distrato",$I$38-1,0)),IF(AND($L$37=0,$P$34=0),"",$L$37-1),IF($R$17="Distrato",$E412,0))),0,YEARFRAC(MAX($P$34*($B412+IF($R$17="Distrato",$I$38-1,0)),IF(AND($L$37=0,$P$34=0),"",$L$37-1),IF($R$17="Distrato",$E412,0)),MIN(AQ$38,$D$19),$P$20))-SUM($P412:AP412)</f>
        <v>#VALUE!</v>
      </c>
      <c r="AR412" s="446" t="e">
        <f>IF(OR($B412="",MIN(AR$38,$D$19)&lt;MAX($P$34*($B412+IF($R$17="Distrato",$I$38-1,0)),IF(AND($L$37=0,$P$34=0),"",$L$37-1),IF($R$17="Distrato",$E412,0))),0,YEARFRAC(MAX($P$34*($B412+IF($R$17="Distrato",$I$38-1,0)),IF(AND($L$37=0,$P$34=0),"",$L$37-1),IF($R$17="Distrato",$E412,0)),MIN(AR$38,$D$19),$P$20))-SUM($P412:AQ412)</f>
        <v>#VALUE!</v>
      </c>
      <c r="AS412" s="446" t="e">
        <f>IF(OR($B412="",MIN(AS$38,$D$19)&lt;MAX($P$34*($B412+IF($R$17="Distrato",$I$38-1,0)),IF(AND($L$37=0,$P$34=0),"",$L$37-1),IF($R$17="Distrato",$E412,0))),0,YEARFRAC(MAX($P$34*($B412+IF($R$17="Distrato",$I$38-1,0)),IF(AND($L$37=0,$P$34=0),"",$L$37-1),IF($R$17="Distrato",$E412,0)),MIN(AS$38,$D$19),$P$20))-SUM($P412:AR412)</f>
        <v>#VALUE!</v>
      </c>
      <c r="AT412" s="446" t="e">
        <f>IF(OR($B412="",MIN(AT$38,$D$19)&lt;MAX($P$34*($B412+IF($R$17="Distrato",$I$38-1,0)),IF(AND($L$37=0,$P$34=0),"",$L$37-1),IF($R$17="Distrato",$E412,0))),0,YEARFRAC(MAX($P$34*($B412+IF($R$17="Distrato",$I$38-1,0)),IF(AND($L$37=0,$P$34=0),"",$L$37-1),IF($R$17="Distrato",$E412,0)),MIN(AT$38,$D$19),$P$20))-SUM($P412:AS412)</f>
        <v>#VALUE!</v>
      </c>
      <c r="AU412" s="446" t="e">
        <f>IF(OR($B412="",MIN(AU$38,$D$19)&lt;MAX($P$34*($B412+IF($R$17="Distrato",$I$38-1,0)),IF(AND($L$37=0,$P$34=0),"",$L$37-1),IF($R$17="Distrato",$E412,0))),0,YEARFRAC(MAX($P$34*($B412+IF($R$17="Distrato",$I$38-1,0)),IF(AND($L$37=0,$P$34=0),"",$L$37-1),IF($R$17="Distrato",$E412,0)),MIN(AU$38,$D$19),$P$20))-SUM($P412:AT412)</f>
        <v>#VALUE!</v>
      </c>
      <c r="AV412" s="446" t="e">
        <f>IF(OR($B412="",MIN(AV$38,$D$19)&lt;MAX($P$34*($B412+IF($R$17="Distrato",$I$38-1,0)),IF(AND($L$37=0,$P$34=0),"",$L$37-1),IF($R$17="Distrato",$E412,0))),0,YEARFRAC(MAX($P$34*($B412+IF($R$17="Distrato",$I$38-1,0)),IF(AND($L$37=0,$P$34=0),"",$L$37-1),IF($R$17="Distrato",$E412,0)),MIN(AV$38,$D$19),$P$20))-SUM($P412:AU412)</f>
        <v>#VALUE!</v>
      </c>
      <c r="AW412" s="446" t="e">
        <f>IF(OR($B412="",MIN(AW$38,$D$19)&lt;MAX($P$34*($B412+IF($R$17="Distrato",$I$38-1,0)),IF(AND($L$37=0,$P$34=0),"",$L$37-1),IF($R$17="Distrato",$E412,0))),0,YEARFRAC(MAX($P$34*($B412+IF($R$17="Distrato",$I$38-1,0)),IF(AND($L$37=0,$P$34=0),"",$L$37-1),IF($R$17="Distrato",$E412,0)),MIN(AW$38,$D$19),$P$20))-SUM($P412:AV412)</f>
        <v>#VALUE!</v>
      </c>
      <c r="AX412" s="446" t="e">
        <f>IF(OR($B412="",MIN(AX$38,$D$19)&lt;MAX($P$34*($B412+IF($R$17="Distrato",$I$38-1,0)),IF(AND($L$37=0,$P$34=0),"",$L$37-1),IF($R$17="Distrato",$E412,0))),0,YEARFRAC(MAX($P$34*($B412+IF($R$17="Distrato",$I$38-1,0)),IF(AND($L$37=0,$P$34=0),"",$L$37-1),IF($R$17="Distrato",$E412,0)),MIN(AX$38,$D$19),$P$20))-SUM($P412:AW412)</f>
        <v>#VALUE!</v>
      </c>
      <c r="AY412" s="446" t="e">
        <f>IF(OR($B412="",MIN(AY$38,$D$19)&lt;MAX($P$34*($B412+IF($R$17="Distrato",$I$38-1,0)),IF(AND($L$37=0,$P$34=0),"",$L$37-1),IF($R$17="Distrato",$E412,0))),0,YEARFRAC(MAX($P$34*($B412+IF($R$17="Distrato",$I$38-1,0)),IF(AND($L$37=0,$P$34=0),"",$L$37-1),IF($R$17="Distrato",$E412,0)),MIN(AY$38,$D$19),$P$20))-SUM($P412:AX412)</f>
        <v>#VALUE!</v>
      </c>
      <c r="AZ412" s="446" t="e">
        <f>IF(OR($B412="",MIN(AZ$38,$D$19)&lt;MAX($P$34*($B412+IF($R$17="Distrato",$I$38-1,0)),IF(AND($L$37=0,$P$34=0),"",$L$37-1),IF($R$17="Distrato",$E412,0))),0,YEARFRAC(MAX($P$34*($B412+IF($R$17="Distrato",$I$38-1,0)),IF(AND($L$37=0,$P$34=0),"",$L$37-1),IF($R$17="Distrato",$E412,0)),MIN(AZ$38,$D$19),$P$20))-SUM($P412:AY412)</f>
        <v>#VALUE!</v>
      </c>
      <c r="BA412" s="446" t="e">
        <f>IF(OR($B412="",MIN(BA$38,$D$19)&lt;MAX($P$34*($B412+IF($R$17="Distrato",$I$38-1,0)),IF(AND($L$37=0,$P$34=0),"",$L$37-1),IF($R$17="Distrato",$E412,0))),0,YEARFRAC(MAX($P$34*($B412+IF($R$17="Distrato",$I$38-1,0)),IF(AND($L$37=0,$P$34=0),"",$L$37-1),IF($R$17="Distrato",$E412,0)),MIN(BA$38,$D$19),$P$20))-SUM($P412:AZ412)</f>
        <v>#VALUE!</v>
      </c>
      <c r="BB412" s="447"/>
      <c r="BF412" s="446">
        <f t="shared" si="65"/>
        <v>0</v>
      </c>
      <c r="BG412" s="446">
        <f>IF($E412=0,0,IF(MIN(BG$38,$E412)&lt;MAX($P$34*($B412+$I$38-1),IF(AND($L$37=0,$P$34=0),"",$L$37-1)),0,YEARFRAC(MAX($P$34*($B412+$I$38-1),IF(AND($L$37=0,$P$34=0),"",$L$37-1)),MIN(BG$38,$E412),$P$20))-SUM($BF412:BF412))</f>
        <v>0</v>
      </c>
      <c r="BH412" s="446">
        <f>IF($E412=0,0,IF(MIN(BH$38,$E412)&lt;MAX($P$34*($B412+$I$38-1),IF(AND($L$37=0,$P$34=0),"",$L$37-1)),0,YEARFRAC(MAX($P$34*($B412+$I$38-1),IF(AND($L$37=0,$P$34=0),"",$L$37-1)),MIN(BH$38,$E412),$P$20))-SUM($BF412:BG412))</f>
        <v>0</v>
      </c>
      <c r="BI412" s="446">
        <f>IF($E412=0,0,IF(MIN(BI$38,$E412)&lt;MAX($P$34*($B412+$I$38-1),IF(AND($L$37=0,$P$34=0),"",$L$37-1)),0,YEARFRAC(MAX($P$34*($B412+$I$38-1),IF(AND($L$37=0,$P$34=0),"",$L$37-1)),MIN(BI$38,$E412),$P$20))-SUM($BF412:BH412))</f>
        <v>0</v>
      </c>
      <c r="BJ412" s="446">
        <f>IF($E412=0,0,IF(MIN(BJ$38,$E412)&lt;MAX($P$34*($B412+$I$38-1),IF(AND($L$37=0,$P$34=0),"",$L$37-1)),0,YEARFRAC(MAX($P$34*($B412+$I$38-1),IF(AND($L$37=0,$P$34=0),"",$L$37-1)),MIN(BJ$38,$E412),$P$20))-SUM($BF412:BI412))</f>
        <v>0</v>
      </c>
      <c r="BK412" s="446">
        <f>IF($E412=0,0,IF(MIN(BK$38,$E412)&lt;MAX($P$34*($B412+$I$38-1),IF(AND($L$37=0,$P$34=0),"",$L$37-1)),0,YEARFRAC(MAX($P$34*($B412+$I$38-1),IF(AND($L$37=0,$P$34=0),"",$L$37-1)),MIN(BK$38,$E412),$P$20))-SUM($BF412:BJ412))</f>
        <v>0</v>
      </c>
      <c r="BL412" s="446">
        <f>IF($E412=0,0,IF(MIN(BL$38,$E412)&lt;MAX($P$34*($B412+$I$38-1),IF(AND($L$37=0,$P$34=0),"",$L$37-1)),0,YEARFRAC(MAX($P$34*($B412+$I$38-1),IF(AND($L$37=0,$P$34=0),"",$L$37-1)),MIN(BL$38,$E412),$P$20))-SUM($BF412:BK412))</f>
        <v>0</v>
      </c>
      <c r="BM412" s="446">
        <f>IF($E412=0,0,IF(MIN(BM$38,$E412)&lt;MAX($P$34*($B412+$I$38-1),IF(AND($L$37=0,$P$34=0),"",$L$37-1)),0,YEARFRAC(MAX($P$34*($B412+$I$38-1),IF(AND($L$37=0,$P$34=0),"",$L$37-1)),MIN(BM$38,$E412),$P$20))-SUM($BF412:BL412))</f>
        <v>0</v>
      </c>
      <c r="BN412" s="446">
        <f>IF($E412=0,0,IF(MIN(BN$38,$E412)&lt;MAX($P$34*($B412+$I$38-1),IF(AND($L$37=0,$P$34=0),"",$L$37-1)),0,YEARFRAC(MAX($P$34*($B412+$I$38-1),IF(AND($L$37=0,$P$34=0),"",$L$37-1)),MIN(BN$38,$E412),$P$20))-SUM($BF412:BM412))</f>
        <v>0</v>
      </c>
      <c r="BO412" s="446">
        <f>IF($E412=0,0,IF(MIN(BO$38,$E412)&lt;MAX($P$34*($B412+$I$38-1),IF(AND($L$37=0,$P$34=0),"",$L$37-1)),0,YEARFRAC(MAX($P$34*($B412+$I$38-1),IF(AND($L$37=0,$P$34=0),"",$L$37-1)),MIN(BO$38,$E412),$P$20))-SUM($BF412:BN412))</f>
        <v>0</v>
      </c>
      <c r="BP412" s="446">
        <f>IF($E412=0,0,IF(MIN(BP$38,$E412)&lt;MAX($P$34*($B412+$I$38-1),IF(AND($L$37=0,$P$34=0),"",$L$37-1)),0,YEARFRAC(MAX($P$34*($B412+$I$38-1),IF(AND($L$37=0,$P$34=0),"",$L$37-1)),MIN(BP$38,$E412),$P$20))-SUM($BF412:BO412))</f>
        <v>0</v>
      </c>
      <c r="BQ412" s="446">
        <f>IF($E412=0,0,IF(MIN(BQ$38,$E412)&lt;MAX($P$34*($B412+$I$38-1),IF(AND($L$37=0,$P$34=0),"",$L$37-1)),0,YEARFRAC(MAX($P$34*($B412+$I$38-1),IF(AND($L$37=0,$P$34=0),"",$L$37-1)),MIN(BQ$38,$E412),$P$20))-SUM($BF412:BP412))</f>
        <v>0</v>
      </c>
      <c r="BR412" s="446">
        <f>IF($E412=0,0,IF(MIN(BR$38,$E412)&lt;MAX($P$34*($B412+$I$38-1),IF(AND($L$37=0,$P$34=0),"",$L$37-1)),0,YEARFRAC(MAX($P$34*($B412+$I$38-1),IF(AND($L$37=0,$P$34=0),"",$L$37-1)),MIN(BR$38,$E412),$P$20))-SUM($BF412:BQ412))</f>
        <v>0</v>
      </c>
      <c r="BS412" s="446">
        <f>IF($E412=0,0,IF(MIN(BS$38,$E412)&lt;MAX($P$34*($B412+$I$38-1),IF(AND($L$37=0,$P$34=0),"",$L$37-1)),0,YEARFRAC(MAX($P$34*($B412+$I$38-1),IF(AND($L$37=0,$P$34=0),"",$L$37-1)),MIN(BS$38,$E412),$P$20))-SUM($BF412:BR412))</f>
        <v>0</v>
      </c>
      <c r="BT412" s="446">
        <f>IF($E412=0,0,IF(MIN(BT$38,$E412)&lt;MAX($P$34*($B412+$I$38-1),IF(AND($L$37=0,$P$34=0),"",$L$37-1)),0,YEARFRAC(MAX($P$34*($B412+$I$38-1),IF(AND($L$37=0,$P$34=0),"",$L$37-1)),MIN(BT$38,$E412),$P$20))-SUM($BF412:BS412))</f>
        <v>0</v>
      </c>
      <c r="BU412" s="446">
        <f>IF($E412=0,0,IF(MIN(BU$38,$E412)&lt;MAX($P$34*($B412+$I$38-1),IF(AND($L$37=0,$P$34=0),"",$L$37-1)),0,YEARFRAC(MAX($P$34*($B412+$I$38-1),IF(AND($L$37=0,$P$34=0),"",$L$37-1)),MIN(BU$38,$E412),$P$20))-SUM($BF412:BT412))</f>
        <v>0</v>
      </c>
      <c r="BV412" s="446">
        <f>IF($E412=0,0,IF(MIN(BV$38,$E412)&lt;MAX($P$34*($B412+$I$38-1),IF(AND($L$37=0,$P$34=0),"",$L$37-1)),0,YEARFRAC(MAX($P$34*($B412+$I$38-1),IF(AND($L$37=0,$P$34=0),"",$L$37-1)),MIN(BV$38,$E412),$P$20))-SUM($BF412:BU412))</f>
        <v>0</v>
      </c>
      <c r="BW412" s="446">
        <f>IF($E412=0,0,IF(MIN(BW$38,$E412)&lt;MAX($P$34*($B412+$I$38-1),IF(AND($L$37=0,$P$34=0),"",$L$37-1)),0,YEARFRAC(MAX($P$34*($B412+$I$38-1),IF(AND($L$37=0,$P$34=0),"",$L$37-1)),MIN(BW$38,$E412),$P$20))-SUM($BF412:BV412))</f>
        <v>0</v>
      </c>
      <c r="BX412" s="446">
        <f>IF($E412=0,0,IF(MIN(BX$38,$E412)&lt;MAX($P$34*($B412+$I$38-1),IF(AND($L$37=0,$P$34=0),"",$L$37-1)),0,YEARFRAC(MAX($P$34*($B412+$I$38-1),IF(AND($L$37=0,$P$34=0),"",$L$37-1)),MIN(BX$38,$E412),$P$20))-SUM($BF412:BW412))</f>
        <v>0</v>
      </c>
      <c r="BY412" s="446">
        <f>IF($E412=0,0,IF(MIN(BY$38,$E412)&lt;MAX($P$34*($B412+$I$38-1),IF(AND($L$37=0,$P$34=0),"",$L$37-1)),0,YEARFRAC(MAX($P$34*($B412+$I$38-1),IF(AND($L$37=0,$P$34=0),"",$L$37-1)),MIN(BY$38,$E412),$P$20))-SUM($BF412:BX412))</f>
        <v>0</v>
      </c>
      <c r="BZ412" s="446">
        <f>IF($E412=0,0,IF(MIN(BZ$38,$E412)&lt;MAX($P$34*($B412+$I$38-1),IF(AND($L$37=0,$P$34=0),"",$L$37-1)),0,YEARFRAC(MAX($P$34*($B412+$I$38-1),IF(AND($L$37=0,$P$34=0),"",$L$37-1)),MIN(BZ$38,$E412),$P$20))-SUM($BF412:BY412))</f>
        <v>0</v>
      </c>
      <c r="CA412" s="446">
        <f>IF($E412=0,0,IF(MIN(CA$38,$E412)&lt;MAX($P$34*($B412+$I$38-1),IF(AND($L$37=0,$P$34=0),"",$L$37-1)),0,YEARFRAC(MAX($P$34*($B412+$I$38-1),IF(AND($L$37=0,$P$34=0),"",$L$37-1)),MIN(CA$38,$E412),$P$20))-SUM($BF412:BZ412))</f>
        <v>0</v>
      </c>
      <c r="CB412" s="446">
        <f>IF($E412=0,0,IF(MIN(CB$38,$E412)&lt;MAX($P$34*($B412+$I$38-1),IF(AND($L$37=0,$P$34=0),"",$L$37-1)),0,YEARFRAC(MAX($P$34*($B412+$I$38-1),IF(AND($L$37=0,$P$34=0),"",$L$37-1)),MIN(CB$38,$E412),$P$20))-SUM($BF412:CA412))</f>
        <v>0</v>
      </c>
      <c r="CC412" s="446">
        <f>IF($E412=0,0,IF(MIN(CC$38,$E412)&lt;MAX($P$34*($B412+$I$38-1),IF(AND($L$37=0,$P$34=0),"",$L$37-1)),0,YEARFRAC(MAX($P$34*($B412+$I$38-1),IF(AND($L$37=0,$P$34=0),"",$L$37-1)),MIN(CC$38,$E412),$P$20))-SUM($BF412:CB412))</f>
        <v>0</v>
      </c>
      <c r="CD412" s="446">
        <f>IF($E412=0,0,IF(MIN(CD$38,$E412)&lt;MAX($P$34*($B412+$I$38-1),IF(AND($L$37=0,$P$34=0),"",$L$37-1)),0,YEARFRAC(MAX($P$34*($B412+$I$38-1),IF(AND($L$37=0,$P$34=0),"",$L$37-1)),MIN(CD$38,$E412),$P$20))-SUM($BF412:CC412))</f>
        <v>0</v>
      </c>
      <c r="CE412" s="446">
        <f>IF($E412=0,0,IF(MIN(CE$38,$E412)&lt;MAX($P$34*($B412+$I$38-1),IF(AND($L$37=0,$P$34=0),"",$L$37-1)),0,YEARFRAC(MAX($P$34*($B412+$I$38-1),IF(AND($L$37=0,$P$34=0),"",$L$37-1)),MIN(CE$38,$E412),$P$20))-SUM($BF412:CD412))</f>
        <v>0</v>
      </c>
      <c r="CF412" s="446">
        <f>IF($E412=0,0,IF(MIN(CF$38,$E412)&lt;MAX($P$34*($B412+$I$38-1),IF(AND($L$37=0,$P$34=0),"",$L$37-1)),0,YEARFRAC(MAX($P$34*($B412+$I$38-1),IF(AND($L$37=0,$P$34=0),"",$L$37-1)),MIN(CF$38,$E412),$P$20))-SUM($BF412:CE412))</f>
        <v>0</v>
      </c>
      <c r="CG412" s="446">
        <f>IF($E412=0,0,IF(MIN(CG$38,$E412)&lt;MAX($P$34*($B412+$I$38-1),IF(AND($L$37=0,$P$34=0),"",$L$37-1)),0,YEARFRAC(MAX($P$34*($B412+$I$38-1),IF(AND($L$37=0,$P$34=0),"",$L$37-1)),MIN(CG$38,$E412),$P$20))-SUM($BF412:CF412))</f>
        <v>0</v>
      </c>
      <c r="CH412" s="446">
        <f>IF($E412=0,0,IF(MIN(CH$38,$E412)&lt;MAX($P$34*($B412+$I$38-1),IF(AND($L$37=0,$P$34=0),"",$L$37-1)),0,YEARFRAC(MAX($P$34*($B412+$I$38-1),IF(AND($L$37=0,$P$34=0),"",$L$37-1)),MIN(CH$38,$E412),$P$20))-SUM($BF412:CG412))</f>
        <v>0</v>
      </c>
      <c r="CI412" s="446">
        <f>IF($E412=0,0,IF(MIN(CI$38,$E412)&lt;MAX($P$34*($B412+$I$38-1),IF(AND($L$37=0,$P$34=0),"",$L$37-1)),0,YEARFRAC(MAX($P$34*($B412+$I$38-1),IF(AND($L$37=0,$P$34=0),"",$L$37-1)),MIN(CI$38,$E412),$P$20))-SUM($BF412:CH412))</f>
        <v>0</v>
      </c>
      <c r="CJ412" s="446">
        <f>IF($E412=0,0,IF(MIN(CJ$38,$E412)&lt;MAX($P$34*($B412+$I$38-1),IF(AND($L$37=0,$P$34=0),"",$L$37-1)),0,YEARFRAC(MAX($P$34*($B412+$I$38-1),IF(AND($L$37=0,$P$34=0),"",$L$37-1)),MIN(CJ$38,$E412),$P$20))-SUM($BF412:CI412))</f>
        <v>0</v>
      </c>
      <c r="CK412" s="446">
        <f>IF($E412=0,0,IF(MIN(CK$38,$E412)&lt;MAX($P$34*($B412+$I$38-1),IF(AND($L$37=0,$P$34=0),"",$L$37-1)),0,YEARFRAC(MAX($P$34*($B412+$I$38-1),IF(AND($L$37=0,$P$34=0),"",$L$37-1)),MIN(CK$38,$E412),$P$20))-SUM($BF412:CJ412))</f>
        <v>0</v>
      </c>
      <c r="CL412" s="446">
        <f>IF($E412=0,0,IF(MIN(CL$38,$E412)&lt;MAX($P$34*($B412+$I$38-1),IF(AND($L$37=0,$P$34=0),"",$L$37-1)),0,YEARFRAC(MAX($P$34*($B412+$I$38-1),IF(AND($L$37=0,$P$34=0),"",$L$37-1)),MIN(CL$38,$E412),$P$20))-SUM($BF412:CK412))</f>
        <v>0</v>
      </c>
      <c r="CM412" s="446">
        <f>IF($E412=0,0,IF(MIN(CM$38,$E412)&lt;MAX($P$34*($B412+$I$38-1),IF(AND($L$37=0,$P$34=0),"",$L$37-1)),0,YEARFRAC(MAX($P$34*($B412+$I$38-1),IF(AND($L$37=0,$P$34=0),"",$L$37-1)),MIN(CM$38,$E412),$P$20))-SUM($BF412:CL412))</f>
        <v>0</v>
      </c>
      <c r="CN412" s="446">
        <f>IF($E412=0,0,IF(MIN(CN$38,$E412)&lt;MAX($P$34*($B412+$I$38-1),IF(AND($L$37=0,$P$34=0),"",$L$37-1)),0,YEARFRAC(MAX($P$34*($B412+$I$38-1),IF(AND($L$37=0,$P$34=0),"",$L$37-1)),MIN(CN$38,$E412),$P$20))-SUM($BF412:CM412))</f>
        <v>0</v>
      </c>
      <c r="CO412" s="446">
        <f>IF($E412=0,0,IF(MIN(CO$38,$E412)&lt;MAX($P$34*($B412+$I$38-1),IF(AND($L$37=0,$P$34=0),"",$L$37-1)),0,YEARFRAC(MAX($P$34*($B412+$I$38-1),IF(AND($L$37=0,$P$34=0),"",$L$37-1)),MIN(CO$38,$E412),$P$20))-SUM($BF412:CN412))</f>
        <v>0</v>
      </c>
      <c r="CP412" s="446">
        <f>IF($E412=0,0,IF(MIN(CP$38,$E412)&lt;MAX($P$34*($B412+$I$38-1),IF(AND($L$37=0,$P$34=0),"",$L$37-1)),0,YEARFRAC(MAX($P$34*($B412+$I$38-1),IF(AND($L$37=0,$P$34=0),"",$L$37-1)),MIN(CP$38,$E412),$P$20))-SUM($BF412:CO412))</f>
        <v>0</v>
      </c>
      <c r="CQ412" s="446">
        <f>IF($E412=0,0,IF(MIN(CQ$38,$E412)&lt;MAX($P$34*($B412+$I$38-1),IF(AND($L$37=0,$P$34=0),"",$L$37-1)),0,YEARFRAC(MAX($P$34*($B412+$I$38-1),IF(AND($L$37=0,$P$34=0),"",$L$37-1)),MIN(CQ$38,$E412),$P$20))-SUM($BF412:CP412))</f>
        <v>0</v>
      </c>
    </row>
    <row r="413" spans="1:95" s="446" customFormat="1" ht="11.25" hidden="1" customHeight="1" x14ac:dyDescent="0.2">
      <c r="A413" s="152"/>
      <c r="B413" s="153" t="str">
        <f t="shared" si="70"/>
        <v/>
      </c>
      <c r="C413" s="29" t="str">
        <f>IF(B413="","",IF($L$35="SELIC - TRIBUTOS",VLOOKUP(DATE(YEAR($D$19),MONTH($D$19)-1,1),ÍNDICES!$A:$DE,HLOOKUP($BL$25,ÍNDICES!$B$3:$T$4,2)+11)-VLOOKUP(B413,ÍNDICES!$A:$DE,HLOOKUP($BL$25,ÍNDICES!$B$3:$T$4,2)+11)+1%,IF(C$38=$W$26,$J$35,IF(ISERROR(IF(B413&gt;$D$19,1,VLOOKUP(DATE(YEAR(B413),MONTH(B413)+IF($C$35=$S$23,1,0),1),ÍNDICES!$A:$DE,$Z$35+1))),"",IF(B413&gt;$D$19,1,VLOOKUP(DATE(YEAR(B413),MONTH(B413)+IF($C$35=$S$23,1,0),1),ÍNDICES!$A:$DE,$Z$35+1))))))</f>
        <v/>
      </c>
      <c r="D413" s="154" t="str">
        <f>IF(ISERROR(IF(OR($D$38=$Y$27,$B413=""),"",VLOOKUP(B413,ÍNDICES!A:DE,AF$35+1))),"",IF(OR($D$38=$Y$27,$B413=""),"",VLOOKUP(B413,ÍNDICES!A:DE,AF$35+1)))</f>
        <v/>
      </c>
      <c r="E413" s="153"/>
      <c r="F413" s="29" t="str">
        <f>IF(E413="","",IF($L$35="SELIC - TRIBUTOS",VLOOKUP(DATE(YEAR($D$19),MONTH($D$19)-1,1),ÍNDICES!$A:$DE,HLOOKUP($BL$25,ÍNDICES!$B$3:$T$4,2)+11)-VLOOKUP(E413,ÍNDICES!$A:$DE,HLOOKUP($BL$25,ÍNDICES!$B$3:$T$4,2)+11)+1%,IF(F$38=$W$26,$J$35,IF(ISERROR(IF(E413&gt;$D$19,1,VLOOKUP(DATE(YEAR(E413),MONTH(E413)+IF($C$35=$S$23,1,0),1),ÍNDICES!$A:$DE,$Z$35+1))),"",IF(E413&gt;$D$19,1,VLOOKUP(DATE(YEAR(E413),MONTH(E413)+IF($C$35=$S$23,1,0),1),ÍNDICES!$A:$DE,$Z$35+1))))))</f>
        <v/>
      </c>
      <c r="G413" s="155"/>
      <c r="H413" s="156" t="str">
        <f t="shared" si="66"/>
        <v/>
      </c>
      <c r="I413" s="29" t="str">
        <f t="shared" si="60"/>
        <v/>
      </c>
      <c r="J413" s="5">
        <f t="shared" si="61"/>
        <v>0</v>
      </c>
      <c r="K413" s="20">
        <f t="shared" ca="1" si="62"/>
        <v>0</v>
      </c>
      <c r="L413" s="5">
        <f t="shared" ca="1" si="63"/>
        <v>0</v>
      </c>
      <c r="M413" s="64">
        <f t="shared" si="67"/>
        <v>0</v>
      </c>
      <c r="N413" s="61">
        <f t="shared" ca="1" si="68"/>
        <v>0</v>
      </c>
      <c r="O413" s="5">
        <f t="shared" ca="1" si="69"/>
        <v>0</v>
      </c>
      <c r="P413" s="446" t="e">
        <f t="shared" si="64"/>
        <v>#VALUE!</v>
      </c>
      <c r="Q413" s="446" t="e">
        <f>IF(OR($B413="",MIN(Q$38,$D$19)&lt;MAX($P$34*($B413+IF($R$17="Distrato",$I$38-1,0)),IF(AND($L$37=0,$P$34=0),"",$L$37-1),IF($R$17="Distrato",$E413,0))),0,YEARFRAC(MAX($P$34*($B413+IF($R$17="Distrato",$I$38-1,0)),IF(AND($L$37=0,$P$34=0),"",$L$37-1),IF($R$17="Distrato",$E413,0)),MIN(Q$38,$D$19),$P$20))-SUM($P413:P413)</f>
        <v>#VALUE!</v>
      </c>
      <c r="R413" s="446" t="e">
        <f>IF(OR($B413="",MIN(R$38,$D$19)&lt;MAX($P$34*($B413+IF($R$17="Distrato",$I$38-1,0)),IF(AND($L$37=0,$P$34=0),"",$L$37-1),IF($R$17="Distrato",$E413,0))),0,YEARFRAC(MAX($P$34*($B413+IF($R$17="Distrato",$I$38-1,0)),IF(AND($L$37=0,$P$34=0),"",$L$37-1),IF($R$17="Distrato",$E413,0)),MIN(R$38,$D$19),$P$20))-SUM($P413:Q413)</f>
        <v>#VALUE!</v>
      </c>
      <c r="S413" s="446" t="e">
        <f>IF(OR($B413="",MIN(S$38,$D$19)&lt;MAX($P$34*($B413+IF($R$17="Distrato",$I$38-1,0)),IF(AND($L$37=0,$P$34=0),"",$L$37-1),IF($R$17="Distrato",$E413,0))),0,YEARFRAC(MAX($P$34*($B413+IF($R$17="Distrato",$I$38-1,0)),IF(AND($L$37=0,$P$34=0),"",$L$37-1),IF($R$17="Distrato",$E413,0)),MIN(S$38,$D$19),$P$20))-SUM($P413:R413)</f>
        <v>#VALUE!</v>
      </c>
      <c r="T413" s="446" t="e">
        <f>IF(OR($B413="",MIN(T$38,$D$19)&lt;MAX($P$34*($B413+IF($R$17="Distrato",$I$38-1,0)),IF(AND($L$37=0,$P$34=0),"",$L$37-1),IF($R$17="Distrato",$E413,0))),0,YEARFRAC(MAX($P$34*($B413+IF($R$17="Distrato",$I$38-1,0)),IF(AND($L$37=0,$P$34=0),"",$L$37-1),IF($R$17="Distrato",$E413,0)),MIN(T$38,$D$19),$P$20))-SUM($P413:S413)</f>
        <v>#VALUE!</v>
      </c>
      <c r="U413" s="446" t="e">
        <f>IF(OR($B413="",MIN(U$38,$D$19)&lt;MAX($P$34*($B413+IF($R$17="Distrato",$I$38-1,0)),IF(AND($L$37=0,$P$34=0),"",$L$37-1),IF($R$17="Distrato",$E413,0))),0,YEARFRAC(MAX($P$34*($B413+IF($R$17="Distrato",$I$38-1,0)),IF(AND($L$37=0,$P$34=0),"",$L$37-1),IF($R$17="Distrato",$E413,0)),MIN(U$38,$D$19),$P$20))-SUM($P413:T413)</f>
        <v>#VALUE!</v>
      </c>
      <c r="V413" s="446" t="e">
        <f>IF(OR($B413="",MIN(V$38,$D$19)&lt;MAX($P$34*($B413+IF($R$17="Distrato",$I$38-1,0)),IF(AND($L$37=0,$P$34=0),"",$L$37-1),IF($R$17="Distrato",$E413,0))),0,YEARFRAC(MAX($P$34*($B413+IF($R$17="Distrato",$I$38-1,0)),IF(AND($L$37=0,$P$34=0),"",$L$37-1),IF($R$17="Distrato",$E413,0)),MIN(V$38,$D$19),$P$20))-SUM($P413:U413)</f>
        <v>#VALUE!</v>
      </c>
      <c r="W413" s="446" t="e">
        <f>IF(OR($B413="",MIN(W$38,$D$19)&lt;MAX($P$34*($B413+IF($R$17="Distrato",$I$38-1,0)),IF(AND($L$37=0,$P$34=0),"",$L$37-1),IF($R$17="Distrato",$E413,0))),0,YEARFRAC(MAX($P$34*($B413+IF($R$17="Distrato",$I$38-1,0)),IF(AND($L$37=0,$P$34=0),"",$L$37-1),IF($R$17="Distrato",$E413,0)),MIN(W$38,$D$19),$P$20))-SUM($P413:V413)</f>
        <v>#VALUE!</v>
      </c>
      <c r="X413" s="446" t="e">
        <f>IF(OR($B413="",MIN(X$38,$D$19)&lt;MAX($P$34*($B413+IF($R$17="Distrato",$I$38-1,0)),IF(AND($L$37=0,$P$34=0),"",$L$37-1),IF($R$17="Distrato",$E413,0))),0,YEARFRAC(MAX($P$34*($B413+IF($R$17="Distrato",$I$38-1,0)),IF(AND($L$37=0,$P$34=0),"",$L$37-1),IF($R$17="Distrato",$E413,0)),MIN(X$38,$D$19),$P$20))-SUM($P413:W413)</f>
        <v>#VALUE!</v>
      </c>
      <c r="Y413" s="446" t="e">
        <f>IF(OR($B413="",MIN(Y$38,$D$19)&lt;MAX($P$34*($B413+IF($R$17="Distrato",$I$38-1,0)),IF(AND($L$37=0,$P$34=0),"",$L$37-1),IF($R$17="Distrato",$E413,0))),0,YEARFRAC(MAX($P$34*($B413+IF($R$17="Distrato",$I$38-1,0)),IF(AND($L$37=0,$P$34=0),"",$L$37-1),IF($R$17="Distrato",$E413,0)),MIN(Y$38,$D$19),$P$20))-SUM($P413:X413)</f>
        <v>#VALUE!</v>
      </c>
      <c r="Z413" s="446" t="e">
        <f>IF(OR($B413="",MIN(Z$38,$D$19)&lt;MAX($P$34*($B413+IF($R$17="Distrato",$I$38-1,0)),IF(AND($L$37=0,$P$34=0),"",$L$37-1),IF($R$17="Distrato",$E413,0))),0,YEARFRAC(MAX($P$34*($B413+IF($R$17="Distrato",$I$38-1,0)),IF(AND($L$37=0,$P$34=0),"",$L$37-1),IF($R$17="Distrato",$E413,0)),MIN(Z$38,$D$19),$P$20))-SUM($P413:Y413)</f>
        <v>#VALUE!</v>
      </c>
      <c r="AA413" s="446" t="e">
        <f>IF(OR($B413="",MIN(AA$38,$D$19)&lt;MAX($P$34*($B413+IF($R$17="Distrato",$I$38-1,0)),IF(AND($L$37=0,$P$34=0),"",$L$37-1),IF($R$17="Distrato",$E413,0))),0,YEARFRAC(MAX($P$34*($B413+IF($R$17="Distrato",$I$38-1,0)),IF(AND($L$37=0,$P$34=0),"",$L$37-1),IF($R$17="Distrato",$E413,0)),MIN(AA$38,$D$19),$P$20))-SUM($P413:Z413)</f>
        <v>#VALUE!</v>
      </c>
      <c r="AB413" s="446" t="e">
        <f>IF(OR($B413="",MIN(AB$38,$D$19)&lt;MAX($P$34*($B413+IF($R$17="Distrato",$I$38-1,0)),IF(AND($L$37=0,$P$34=0),"",$L$37-1),IF($R$17="Distrato",$E413,0))),0,YEARFRAC(MAX($P$34*($B413+IF($R$17="Distrato",$I$38-1,0)),IF(AND($L$37=0,$P$34=0),"",$L$37-1),IF($R$17="Distrato",$E413,0)),MIN(AB$38,$D$19),$P$20))-SUM($P413:AA413)</f>
        <v>#VALUE!</v>
      </c>
      <c r="AC413" s="446" t="e">
        <f>IF(OR($B413="",MIN(AC$38,$D$19)&lt;MAX($P$34*($B413+IF($R$17="Distrato",$I$38-1,0)),IF(AND($L$37=0,$P$34=0),"",$L$37-1),IF($R$17="Distrato",$E413,0))),0,YEARFRAC(MAX($P$34*($B413+IF($R$17="Distrato",$I$38-1,0)),IF(AND($L$37=0,$P$34=0),"",$L$37-1),IF($R$17="Distrato",$E413,0)),MIN(AC$38,$D$19),$P$20))-SUM($P413:AB413)</f>
        <v>#VALUE!</v>
      </c>
      <c r="AD413" s="446" t="e">
        <f>IF(OR($B413="",MIN(AD$38,$D$19)&lt;MAX($P$34*($B413+IF($R$17="Distrato",$I$38-1,0)),IF(AND($L$37=0,$P$34=0),"",$L$37-1),IF($R$17="Distrato",$E413,0))),0,YEARFRAC(MAX($P$34*($B413+IF($R$17="Distrato",$I$38-1,0)),IF(AND($L$37=0,$P$34=0),"",$L$37-1),IF($R$17="Distrato",$E413,0)),MIN(AD$38,$D$19),$P$20))-SUM($P413:AC413)</f>
        <v>#VALUE!</v>
      </c>
      <c r="AE413" s="446" t="e">
        <f>IF(OR($B413="",MIN(AE$38,$D$19)&lt;MAX($P$34*($B413+IF($R$17="Distrato",$I$38-1,0)),IF(AND($L$37=0,$P$34=0),"",$L$37-1),IF($R$17="Distrato",$E413,0))),0,YEARFRAC(MAX($P$34*($B413+IF($R$17="Distrato",$I$38-1,0)),IF(AND($L$37=0,$P$34=0),"",$L$37-1),IF($R$17="Distrato",$E413,0)),MIN(AE$38,$D$19),$P$20))-SUM($P413:AD413)</f>
        <v>#VALUE!</v>
      </c>
      <c r="AF413" s="446" t="e">
        <f>IF(OR($B413="",MIN(AF$38,$D$19)&lt;MAX($P$34*($B413+IF($R$17="Distrato",$I$38-1,0)),IF(AND($L$37=0,$P$34=0),"",$L$37-1),IF($R$17="Distrato",$E413,0))),0,YEARFRAC(MAX($P$34*($B413+IF($R$17="Distrato",$I$38-1,0)),IF(AND($L$37=0,$P$34=0),"",$L$37-1),IF($R$17="Distrato",$E413,0)),MIN(AF$38,$D$19),$P$20))-SUM($P413:AE413)</f>
        <v>#VALUE!</v>
      </c>
      <c r="AG413" s="446" t="e">
        <f>IF(OR($B413="",MIN(AG$38,$D$19)&lt;MAX($P$34*($B413+IF($R$17="Distrato",$I$38-1,0)),IF(AND($L$37=0,$P$34=0),"",$L$37-1),IF($R$17="Distrato",$E413,0))),0,YEARFRAC(MAX($P$34*($B413+IF($R$17="Distrato",$I$38-1,0)),IF(AND($L$37=0,$P$34=0),"",$L$37-1),IF($R$17="Distrato",$E413,0)),MIN(AG$38,$D$19),$P$20))-SUM($P413:AF413)</f>
        <v>#VALUE!</v>
      </c>
      <c r="AH413" s="446" t="e">
        <f>IF(OR($B413="",MIN(AH$38,$D$19)&lt;MAX($P$34*($B413+IF($R$17="Distrato",$I$38-1,0)),IF(AND($L$37=0,$P$34=0),"",$L$37-1),IF($R$17="Distrato",$E413,0))),0,YEARFRAC(MAX($P$34*($B413+IF($R$17="Distrato",$I$38-1,0)),IF(AND($L$37=0,$P$34=0),"",$L$37-1),IF($R$17="Distrato",$E413,0)),MIN(AH$38,$D$19),$P$20))-SUM($P413:AG413)</f>
        <v>#VALUE!</v>
      </c>
      <c r="AI413" s="446" t="e">
        <f>IF(OR($B413="",MIN(AI$38,$D$19)&lt;MAX($P$34*($B413+IF($R$17="Distrato",$I$38-1,0)),IF(AND($L$37=0,$P$34=0),"",$L$37-1),IF($R$17="Distrato",$E413,0))),0,YEARFRAC(MAX($P$34*($B413+IF($R$17="Distrato",$I$38-1,0)),IF(AND($L$37=0,$P$34=0),"",$L$37-1),IF($R$17="Distrato",$E413,0)),MIN(AI$38,$D$19),$P$20))-SUM($P413:AH413)</f>
        <v>#VALUE!</v>
      </c>
      <c r="AJ413" s="446" t="e">
        <f>IF(OR($B413="",MIN(AJ$38,$D$19)&lt;MAX($P$34*($B413+IF($R$17="Distrato",$I$38-1,0)),IF(AND($L$37=0,$P$34=0),"",$L$37-1),IF($R$17="Distrato",$E413,0))),0,YEARFRAC(MAX($P$34*($B413+IF($R$17="Distrato",$I$38-1,0)),IF(AND($L$37=0,$P$34=0),"",$L$37-1),IF($R$17="Distrato",$E413,0)),MIN(AJ$38,$D$19),$P$20))-SUM($P413:AI413)</f>
        <v>#VALUE!</v>
      </c>
      <c r="AK413" s="446" t="e">
        <f>IF(OR($B413="",MIN(AK$38,$D$19)&lt;MAX($P$34*($B413+IF($R$17="Distrato",$I$38-1,0)),IF(AND($L$37=0,$P$34=0),"",$L$37-1),IF($R$17="Distrato",$E413,0))),0,YEARFRAC(MAX($P$34*($B413+IF($R$17="Distrato",$I$38-1,0)),IF(AND($L$37=0,$P$34=0),"",$L$37-1),IF($R$17="Distrato",$E413,0)),MIN(AK$38,$D$19),$P$20))-SUM($P413:AJ413)</f>
        <v>#VALUE!</v>
      </c>
      <c r="AL413" s="446" t="e">
        <f>IF(OR($B413="",MIN(AL$38,$D$19)&lt;MAX($P$34*($B413+IF($R$17="Distrato",$I$38-1,0)),IF(AND($L$37=0,$P$34=0),"",$L$37-1),IF($R$17="Distrato",$E413,0))),0,YEARFRAC(MAX($P$34*($B413+IF($R$17="Distrato",$I$38-1,0)),IF(AND($L$37=0,$P$34=0),"",$L$37-1),IF($R$17="Distrato",$E413,0)),MIN(AL$38,$D$19),$P$20))-SUM($P413:AK413)</f>
        <v>#VALUE!</v>
      </c>
      <c r="AM413" s="446" t="e">
        <f>IF(OR($B413="",MIN(AM$38,$D$19)&lt;MAX($P$34*($B413+IF($R$17="Distrato",$I$38-1,0)),IF(AND($L$37=0,$P$34=0),"",$L$37-1),IF($R$17="Distrato",$E413,0))),0,YEARFRAC(MAX($P$34*($B413+IF($R$17="Distrato",$I$38-1,0)),IF(AND($L$37=0,$P$34=0),"",$L$37-1),IF($R$17="Distrato",$E413,0)),MIN(AM$38,$D$19),$P$20))-SUM($P413:AL413)</f>
        <v>#VALUE!</v>
      </c>
      <c r="AN413" s="446" t="e">
        <f>IF(OR($B413="",MIN(AN$38,$D$19)&lt;MAX($P$34*($B413+IF($R$17="Distrato",$I$38-1,0)),IF(AND($L$37=0,$P$34=0),"",$L$37-1),IF($R$17="Distrato",$E413,0))),0,YEARFRAC(MAX($P$34*($B413+IF($R$17="Distrato",$I$38-1,0)),IF(AND($L$37=0,$P$34=0),"",$L$37-1),IF($R$17="Distrato",$E413,0)),MIN(AN$38,$D$19),$P$20))-SUM($P413:AM413)</f>
        <v>#VALUE!</v>
      </c>
      <c r="AO413" s="446" t="e">
        <f>IF(OR($B413="",MIN(AO$38,$D$19)&lt;MAX($P$34*($B413+IF($R$17="Distrato",$I$38-1,0)),IF(AND($L$37=0,$P$34=0),"",$L$37-1),IF($R$17="Distrato",$E413,0))),0,YEARFRAC(MAX($P$34*($B413+IF($R$17="Distrato",$I$38-1,0)),IF(AND($L$37=0,$P$34=0),"",$L$37-1),IF($R$17="Distrato",$E413,0)),MIN(AO$38,$D$19),$P$20))-SUM($P413:AN413)</f>
        <v>#VALUE!</v>
      </c>
      <c r="AP413" s="446" t="e">
        <f>IF(OR($B413="",MIN(AP$38,$D$19)&lt;MAX($P$34*($B413+IF($R$17="Distrato",$I$38-1,0)),IF(AND($L$37=0,$P$34=0),"",$L$37-1),IF($R$17="Distrato",$E413,0))),0,YEARFRAC(MAX($P$34*($B413+IF($R$17="Distrato",$I$38-1,0)),IF(AND($L$37=0,$P$34=0),"",$L$37-1),IF($R$17="Distrato",$E413,0)),MIN(AP$38,$D$19),$P$20))-SUM($P413:AO413)</f>
        <v>#VALUE!</v>
      </c>
      <c r="AQ413" s="446" t="e">
        <f>IF(OR($B413="",MIN(AQ$38,$D$19)&lt;MAX($P$34*($B413+IF($R$17="Distrato",$I$38-1,0)),IF(AND($L$37=0,$P$34=0),"",$L$37-1),IF($R$17="Distrato",$E413,0))),0,YEARFRAC(MAX($P$34*($B413+IF($R$17="Distrato",$I$38-1,0)),IF(AND($L$37=0,$P$34=0),"",$L$37-1),IF($R$17="Distrato",$E413,0)),MIN(AQ$38,$D$19),$P$20))-SUM($P413:AP413)</f>
        <v>#VALUE!</v>
      </c>
      <c r="AR413" s="446" t="e">
        <f>IF(OR($B413="",MIN(AR$38,$D$19)&lt;MAX($P$34*($B413+IF($R$17="Distrato",$I$38-1,0)),IF(AND($L$37=0,$P$34=0),"",$L$37-1),IF($R$17="Distrato",$E413,0))),0,YEARFRAC(MAX($P$34*($B413+IF($R$17="Distrato",$I$38-1,0)),IF(AND($L$37=0,$P$34=0),"",$L$37-1),IF($R$17="Distrato",$E413,0)),MIN(AR$38,$D$19),$P$20))-SUM($P413:AQ413)</f>
        <v>#VALUE!</v>
      </c>
      <c r="AS413" s="446" t="e">
        <f>IF(OR($B413="",MIN(AS$38,$D$19)&lt;MAX($P$34*($B413+IF($R$17="Distrato",$I$38-1,0)),IF(AND($L$37=0,$P$34=0),"",$L$37-1),IF($R$17="Distrato",$E413,0))),0,YEARFRAC(MAX($P$34*($B413+IF($R$17="Distrato",$I$38-1,0)),IF(AND($L$37=0,$P$34=0),"",$L$37-1),IF($R$17="Distrato",$E413,0)),MIN(AS$38,$D$19),$P$20))-SUM($P413:AR413)</f>
        <v>#VALUE!</v>
      </c>
      <c r="AT413" s="446" t="e">
        <f>IF(OR($B413="",MIN(AT$38,$D$19)&lt;MAX($P$34*($B413+IF($R$17="Distrato",$I$38-1,0)),IF(AND($L$37=0,$P$34=0),"",$L$37-1),IF($R$17="Distrato",$E413,0))),0,YEARFRAC(MAX($P$34*($B413+IF($R$17="Distrato",$I$38-1,0)),IF(AND($L$37=0,$P$34=0),"",$L$37-1),IF($R$17="Distrato",$E413,0)),MIN(AT$38,$D$19),$P$20))-SUM($P413:AS413)</f>
        <v>#VALUE!</v>
      </c>
      <c r="AU413" s="446" t="e">
        <f>IF(OR($B413="",MIN(AU$38,$D$19)&lt;MAX($P$34*($B413+IF($R$17="Distrato",$I$38-1,0)),IF(AND($L$37=0,$P$34=0),"",$L$37-1),IF($R$17="Distrato",$E413,0))),0,YEARFRAC(MAX($P$34*($B413+IF($R$17="Distrato",$I$38-1,0)),IF(AND($L$37=0,$P$34=0),"",$L$37-1),IF($R$17="Distrato",$E413,0)),MIN(AU$38,$D$19),$P$20))-SUM($P413:AT413)</f>
        <v>#VALUE!</v>
      </c>
      <c r="AV413" s="446" t="e">
        <f>IF(OR($B413="",MIN(AV$38,$D$19)&lt;MAX($P$34*($B413+IF($R$17="Distrato",$I$38-1,0)),IF(AND($L$37=0,$P$34=0),"",$L$37-1),IF($R$17="Distrato",$E413,0))),0,YEARFRAC(MAX($P$34*($B413+IF($R$17="Distrato",$I$38-1,0)),IF(AND($L$37=0,$P$34=0),"",$L$37-1),IF($R$17="Distrato",$E413,0)),MIN(AV$38,$D$19),$P$20))-SUM($P413:AU413)</f>
        <v>#VALUE!</v>
      </c>
      <c r="AW413" s="446" t="e">
        <f>IF(OR($B413="",MIN(AW$38,$D$19)&lt;MAX($P$34*($B413+IF($R$17="Distrato",$I$38-1,0)),IF(AND($L$37=0,$P$34=0),"",$L$37-1),IF($R$17="Distrato",$E413,0))),0,YEARFRAC(MAX($P$34*($B413+IF($R$17="Distrato",$I$38-1,0)),IF(AND($L$37=0,$P$34=0),"",$L$37-1),IF($R$17="Distrato",$E413,0)),MIN(AW$38,$D$19),$P$20))-SUM($P413:AV413)</f>
        <v>#VALUE!</v>
      </c>
      <c r="AX413" s="446" t="e">
        <f>IF(OR($B413="",MIN(AX$38,$D$19)&lt;MAX($P$34*($B413+IF($R$17="Distrato",$I$38-1,0)),IF(AND($L$37=0,$P$34=0),"",$L$37-1),IF($R$17="Distrato",$E413,0))),0,YEARFRAC(MAX($P$34*($B413+IF($R$17="Distrato",$I$38-1,0)),IF(AND($L$37=0,$P$34=0),"",$L$37-1),IF($R$17="Distrato",$E413,0)),MIN(AX$38,$D$19),$P$20))-SUM($P413:AW413)</f>
        <v>#VALUE!</v>
      </c>
      <c r="AY413" s="446" t="e">
        <f>IF(OR($B413="",MIN(AY$38,$D$19)&lt;MAX($P$34*($B413+IF($R$17="Distrato",$I$38-1,0)),IF(AND($L$37=0,$P$34=0),"",$L$37-1),IF($R$17="Distrato",$E413,0))),0,YEARFRAC(MAX($P$34*($B413+IF($R$17="Distrato",$I$38-1,0)),IF(AND($L$37=0,$P$34=0),"",$L$37-1),IF($R$17="Distrato",$E413,0)),MIN(AY$38,$D$19),$P$20))-SUM($P413:AX413)</f>
        <v>#VALUE!</v>
      </c>
      <c r="AZ413" s="446" t="e">
        <f>IF(OR($B413="",MIN(AZ$38,$D$19)&lt;MAX($P$34*($B413+IF($R$17="Distrato",$I$38-1,0)),IF(AND($L$37=0,$P$34=0),"",$L$37-1),IF($R$17="Distrato",$E413,0))),0,YEARFRAC(MAX($P$34*($B413+IF($R$17="Distrato",$I$38-1,0)),IF(AND($L$37=0,$P$34=0),"",$L$37-1),IF($R$17="Distrato",$E413,0)),MIN(AZ$38,$D$19),$P$20))-SUM($P413:AY413)</f>
        <v>#VALUE!</v>
      </c>
      <c r="BA413" s="446" t="e">
        <f>IF(OR($B413="",MIN(BA$38,$D$19)&lt;MAX($P$34*($B413+IF($R$17="Distrato",$I$38-1,0)),IF(AND($L$37=0,$P$34=0),"",$L$37-1),IF($R$17="Distrato",$E413,0))),0,YEARFRAC(MAX($P$34*($B413+IF($R$17="Distrato",$I$38-1,0)),IF(AND($L$37=0,$P$34=0),"",$L$37-1),IF($R$17="Distrato",$E413,0)),MIN(BA$38,$D$19),$P$20))-SUM($P413:AZ413)</f>
        <v>#VALUE!</v>
      </c>
      <c r="BB413" s="447"/>
      <c r="BF413" s="446">
        <f t="shared" si="65"/>
        <v>0</v>
      </c>
      <c r="BG413" s="446">
        <f>IF($E413=0,0,IF(MIN(BG$38,$E413)&lt;MAX($P$34*($B413+$I$38-1),IF(AND($L$37=0,$P$34=0),"",$L$37-1)),0,YEARFRAC(MAX($P$34*($B413+$I$38-1),IF(AND($L$37=0,$P$34=0),"",$L$37-1)),MIN(BG$38,$E413),$P$20))-SUM($BF413:BF413))</f>
        <v>0</v>
      </c>
      <c r="BH413" s="446">
        <f>IF($E413=0,0,IF(MIN(BH$38,$E413)&lt;MAX($P$34*($B413+$I$38-1),IF(AND($L$37=0,$P$34=0),"",$L$37-1)),0,YEARFRAC(MAX($P$34*($B413+$I$38-1),IF(AND($L$37=0,$P$34=0),"",$L$37-1)),MIN(BH$38,$E413),$P$20))-SUM($BF413:BG413))</f>
        <v>0</v>
      </c>
      <c r="BI413" s="446">
        <f>IF($E413=0,0,IF(MIN(BI$38,$E413)&lt;MAX($P$34*($B413+$I$38-1),IF(AND($L$37=0,$P$34=0),"",$L$37-1)),0,YEARFRAC(MAX($P$34*($B413+$I$38-1),IF(AND($L$37=0,$P$34=0),"",$L$37-1)),MIN(BI$38,$E413),$P$20))-SUM($BF413:BH413))</f>
        <v>0</v>
      </c>
      <c r="BJ413" s="446">
        <f>IF($E413=0,0,IF(MIN(BJ$38,$E413)&lt;MAX($P$34*($B413+$I$38-1),IF(AND($L$37=0,$P$34=0),"",$L$37-1)),0,YEARFRAC(MAX($P$34*($B413+$I$38-1),IF(AND($L$37=0,$P$34=0),"",$L$37-1)),MIN(BJ$38,$E413),$P$20))-SUM($BF413:BI413))</f>
        <v>0</v>
      </c>
      <c r="BK413" s="446">
        <f>IF($E413=0,0,IF(MIN(BK$38,$E413)&lt;MAX($P$34*($B413+$I$38-1),IF(AND($L$37=0,$P$34=0),"",$L$37-1)),0,YEARFRAC(MAX($P$34*($B413+$I$38-1),IF(AND($L$37=0,$P$34=0),"",$L$37-1)),MIN(BK$38,$E413),$P$20))-SUM($BF413:BJ413))</f>
        <v>0</v>
      </c>
      <c r="BL413" s="446">
        <f>IF($E413=0,0,IF(MIN(BL$38,$E413)&lt;MAX($P$34*($B413+$I$38-1),IF(AND($L$37=0,$P$34=0),"",$L$37-1)),0,YEARFRAC(MAX($P$34*($B413+$I$38-1),IF(AND($L$37=0,$P$34=0),"",$L$37-1)),MIN(BL$38,$E413),$P$20))-SUM($BF413:BK413))</f>
        <v>0</v>
      </c>
      <c r="BM413" s="446">
        <f>IF($E413=0,0,IF(MIN(BM$38,$E413)&lt;MAX($P$34*($B413+$I$38-1),IF(AND($L$37=0,$P$34=0),"",$L$37-1)),0,YEARFRAC(MAX($P$34*($B413+$I$38-1),IF(AND($L$37=0,$P$34=0),"",$L$37-1)),MIN(BM$38,$E413),$P$20))-SUM($BF413:BL413))</f>
        <v>0</v>
      </c>
      <c r="BN413" s="446">
        <f>IF($E413=0,0,IF(MIN(BN$38,$E413)&lt;MAX($P$34*($B413+$I$38-1),IF(AND($L$37=0,$P$34=0),"",$L$37-1)),0,YEARFRAC(MAX($P$34*($B413+$I$38-1),IF(AND($L$37=0,$P$34=0),"",$L$37-1)),MIN(BN$38,$E413),$P$20))-SUM($BF413:BM413))</f>
        <v>0</v>
      </c>
      <c r="BO413" s="446">
        <f>IF($E413=0,0,IF(MIN(BO$38,$E413)&lt;MAX($P$34*($B413+$I$38-1),IF(AND($L$37=0,$P$34=0),"",$L$37-1)),0,YEARFRAC(MAX($P$34*($B413+$I$38-1),IF(AND($L$37=0,$P$34=0),"",$L$37-1)),MIN(BO$38,$E413),$P$20))-SUM($BF413:BN413))</f>
        <v>0</v>
      </c>
      <c r="BP413" s="446">
        <f>IF($E413=0,0,IF(MIN(BP$38,$E413)&lt;MAX($P$34*($B413+$I$38-1),IF(AND($L$37=0,$P$34=0),"",$L$37-1)),0,YEARFRAC(MAX($P$34*($B413+$I$38-1),IF(AND($L$37=0,$P$34=0),"",$L$37-1)),MIN(BP$38,$E413),$P$20))-SUM($BF413:BO413))</f>
        <v>0</v>
      </c>
      <c r="BQ413" s="446">
        <f>IF($E413=0,0,IF(MIN(BQ$38,$E413)&lt;MAX($P$34*($B413+$I$38-1),IF(AND($L$37=0,$P$34=0),"",$L$37-1)),0,YEARFRAC(MAX($P$34*($B413+$I$38-1),IF(AND($L$37=0,$P$34=0),"",$L$37-1)),MIN(BQ$38,$E413),$P$20))-SUM($BF413:BP413))</f>
        <v>0</v>
      </c>
      <c r="BR413" s="446">
        <f>IF($E413=0,0,IF(MIN(BR$38,$E413)&lt;MAX($P$34*($B413+$I$38-1),IF(AND($L$37=0,$P$34=0),"",$L$37-1)),0,YEARFRAC(MAX($P$34*($B413+$I$38-1),IF(AND($L$37=0,$P$34=0),"",$L$37-1)),MIN(BR$38,$E413),$P$20))-SUM($BF413:BQ413))</f>
        <v>0</v>
      </c>
      <c r="BS413" s="446">
        <f>IF($E413=0,0,IF(MIN(BS$38,$E413)&lt;MAX($P$34*($B413+$I$38-1),IF(AND($L$37=0,$P$34=0),"",$L$37-1)),0,YEARFRAC(MAX($P$34*($B413+$I$38-1),IF(AND($L$37=0,$P$34=0),"",$L$37-1)),MIN(BS$38,$E413),$P$20))-SUM($BF413:BR413))</f>
        <v>0</v>
      </c>
      <c r="BT413" s="446">
        <f>IF($E413=0,0,IF(MIN(BT$38,$E413)&lt;MAX($P$34*($B413+$I$38-1),IF(AND($L$37=0,$P$34=0),"",$L$37-1)),0,YEARFRAC(MAX($P$34*($B413+$I$38-1),IF(AND($L$37=0,$P$34=0),"",$L$37-1)),MIN(BT$38,$E413),$P$20))-SUM($BF413:BS413))</f>
        <v>0</v>
      </c>
      <c r="BU413" s="446">
        <f>IF($E413=0,0,IF(MIN(BU$38,$E413)&lt;MAX($P$34*($B413+$I$38-1),IF(AND($L$37=0,$P$34=0),"",$L$37-1)),0,YEARFRAC(MAX($P$34*($B413+$I$38-1),IF(AND($L$37=0,$P$34=0),"",$L$37-1)),MIN(BU$38,$E413),$P$20))-SUM($BF413:BT413))</f>
        <v>0</v>
      </c>
      <c r="BV413" s="446">
        <f>IF($E413=0,0,IF(MIN(BV$38,$E413)&lt;MAX($P$34*($B413+$I$38-1),IF(AND($L$37=0,$P$34=0),"",$L$37-1)),0,YEARFRAC(MAX($P$34*($B413+$I$38-1),IF(AND($L$37=0,$P$34=0),"",$L$37-1)),MIN(BV$38,$E413),$P$20))-SUM($BF413:BU413))</f>
        <v>0</v>
      </c>
      <c r="BW413" s="446">
        <f>IF($E413=0,0,IF(MIN(BW$38,$E413)&lt;MAX($P$34*($B413+$I$38-1),IF(AND($L$37=0,$P$34=0),"",$L$37-1)),0,YEARFRAC(MAX($P$34*($B413+$I$38-1),IF(AND($L$37=0,$P$34=0),"",$L$37-1)),MIN(BW$38,$E413),$P$20))-SUM($BF413:BV413))</f>
        <v>0</v>
      </c>
      <c r="BX413" s="446">
        <f>IF($E413=0,0,IF(MIN(BX$38,$E413)&lt;MAX($P$34*($B413+$I$38-1),IF(AND($L$37=0,$P$34=0),"",$L$37-1)),0,YEARFRAC(MAX($P$34*($B413+$I$38-1),IF(AND($L$37=0,$P$34=0),"",$L$37-1)),MIN(BX$38,$E413),$P$20))-SUM($BF413:BW413))</f>
        <v>0</v>
      </c>
      <c r="BY413" s="446">
        <f>IF($E413=0,0,IF(MIN(BY$38,$E413)&lt;MAX($P$34*($B413+$I$38-1),IF(AND($L$37=0,$P$34=0),"",$L$37-1)),0,YEARFRAC(MAX($P$34*($B413+$I$38-1),IF(AND($L$37=0,$P$34=0),"",$L$37-1)),MIN(BY$38,$E413),$P$20))-SUM($BF413:BX413))</f>
        <v>0</v>
      </c>
      <c r="BZ413" s="446">
        <f>IF($E413=0,0,IF(MIN(BZ$38,$E413)&lt;MAX($P$34*($B413+$I$38-1),IF(AND($L$37=0,$P$34=0),"",$L$37-1)),0,YEARFRAC(MAX($P$34*($B413+$I$38-1),IF(AND($L$37=0,$P$34=0),"",$L$37-1)),MIN(BZ$38,$E413),$P$20))-SUM($BF413:BY413))</f>
        <v>0</v>
      </c>
      <c r="CA413" s="446">
        <f>IF($E413=0,0,IF(MIN(CA$38,$E413)&lt;MAX($P$34*($B413+$I$38-1),IF(AND($L$37=0,$P$34=0),"",$L$37-1)),0,YEARFRAC(MAX($P$34*($B413+$I$38-1),IF(AND($L$37=0,$P$34=0),"",$L$37-1)),MIN(CA$38,$E413),$P$20))-SUM($BF413:BZ413))</f>
        <v>0</v>
      </c>
      <c r="CB413" s="446">
        <f>IF($E413=0,0,IF(MIN(CB$38,$E413)&lt;MAX($P$34*($B413+$I$38-1),IF(AND($L$37=0,$P$34=0),"",$L$37-1)),0,YEARFRAC(MAX($P$34*($B413+$I$38-1),IF(AND($L$37=0,$P$34=0),"",$L$37-1)),MIN(CB$38,$E413),$P$20))-SUM($BF413:CA413))</f>
        <v>0</v>
      </c>
      <c r="CC413" s="446">
        <f>IF($E413=0,0,IF(MIN(CC$38,$E413)&lt;MAX($P$34*($B413+$I$38-1),IF(AND($L$37=0,$P$34=0),"",$L$37-1)),0,YEARFRAC(MAX($P$34*($B413+$I$38-1),IF(AND($L$37=0,$P$34=0),"",$L$37-1)),MIN(CC$38,$E413),$P$20))-SUM($BF413:CB413))</f>
        <v>0</v>
      </c>
      <c r="CD413" s="446">
        <f>IF($E413=0,0,IF(MIN(CD$38,$E413)&lt;MAX($P$34*($B413+$I$38-1),IF(AND($L$37=0,$P$34=0),"",$L$37-1)),0,YEARFRAC(MAX($P$34*($B413+$I$38-1),IF(AND($L$37=0,$P$34=0),"",$L$37-1)),MIN(CD$38,$E413),$P$20))-SUM($BF413:CC413))</f>
        <v>0</v>
      </c>
      <c r="CE413" s="446">
        <f>IF($E413=0,0,IF(MIN(CE$38,$E413)&lt;MAX($P$34*($B413+$I$38-1),IF(AND($L$37=0,$P$34=0),"",$L$37-1)),0,YEARFRAC(MAX($P$34*($B413+$I$38-1),IF(AND($L$37=0,$P$34=0),"",$L$37-1)),MIN(CE$38,$E413),$P$20))-SUM($BF413:CD413))</f>
        <v>0</v>
      </c>
      <c r="CF413" s="446">
        <f>IF($E413=0,0,IF(MIN(CF$38,$E413)&lt;MAX($P$34*($B413+$I$38-1),IF(AND($L$37=0,$P$34=0),"",$L$37-1)),0,YEARFRAC(MAX($P$34*($B413+$I$38-1),IF(AND($L$37=0,$P$34=0),"",$L$37-1)),MIN(CF$38,$E413),$P$20))-SUM($BF413:CE413))</f>
        <v>0</v>
      </c>
      <c r="CG413" s="446">
        <f>IF($E413=0,0,IF(MIN(CG$38,$E413)&lt;MAX($P$34*($B413+$I$38-1),IF(AND($L$37=0,$P$34=0),"",$L$37-1)),0,YEARFRAC(MAX($P$34*($B413+$I$38-1),IF(AND($L$37=0,$P$34=0),"",$L$37-1)),MIN(CG$38,$E413),$P$20))-SUM($BF413:CF413))</f>
        <v>0</v>
      </c>
      <c r="CH413" s="446">
        <f>IF($E413=0,0,IF(MIN(CH$38,$E413)&lt;MAX($P$34*($B413+$I$38-1),IF(AND($L$37=0,$P$34=0),"",$L$37-1)),0,YEARFRAC(MAX($P$34*($B413+$I$38-1),IF(AND($L$37=0,$P$34=0),"",$L$37-1)),MIN(CH$38,$E413),$P$20))-SUM($BF413:CG413))</f>
        <v>0</v>
      </c>
      <c r="CI413" s="446">
        <f>IF($E413=0,0,IF(MIN(CI$38,$E413)&lt;MAX($P$34*($B413+$I$38-1),IF(AND($L$37=0,$P$34=0),"",$L$37-1)),0,YEARFRAC(MAX($P$34*($B413+$I$38-1),IF(AND($L$37=0,$P$34=0),"",$L$37-1)),MIN(CI$38,$E413),$P$20))-SUM($BF413:CH413))</f>
        <v>0</v>
      </c>
      <c r="CJ413" s="446">
        <f>IF($E413=0,0,IF(MIN(CJ$38,$E413)&lt;MAX($P$34*($B413+$I$38-1),IF(AND($L$37=0,$P$34=0),"",$L$37-1)),0,YEARFRAC(MAX($P$34*($B413+$I$38-1),IF(AND($L$37=0,$P$34=0),"",$L$37-1)),MIN(CJ$38,$E413),$P$20))-SUM($BF413:CI413))</f>
        <v>0</v>
      </c>
      <c r="CK413" s="446">
        <f>IF($E413=0,0,IF(MIN(CK$38,$E413)&lt;MAX($P$34*($B413+$I$38-1),IF(AND($L$37=0,$P$34=0),"",$L$37-1)),0,YEARFRAC(MAX($P$34*($B413+$I$38-1),IF(AND($L$37=0,$P$34=0),"",$L$37-1)),MIN(CK$38,$E413),$P$20))-SUM($BF413:CJ413))</f>
        <v>0</v>
      </c>
      <c r="CL413" s="446">
        <f>IF($E413=0,0,IF(MIN(CL$38,$E413)&lt;MAX($P$34*($B413+$I$38-1),IF(AND($L$37=0,$P$34=0),"",$L$37-1)),0,YEARFRAC(MAX($P$34*($B413+$I$38-1),IF(AND($L$37=0,$P$34=0),"",$L$37-1)),MIN(CL$38,$E413),$P$20))-SUM($BF413:CK413))</f>
        <v>0</v>
      </c>
      <c r="CM413" s="446">
        <f>IF($E413=0,0,IF(MIN(CM$38,$E413)&lt;MAX($P$34*($B413+$I$38-1),IF(AND($L$37=0,$P$34=0),"",$L$37-1)),0,YEARFRAC(MAX($P$34*($B413+$I$38-1),IF(AND($L$37=0,$P$34=0),"",$L$37-1)),MIN(CM$38,$E413),$P$20))-SUM($BF413:CL413))</f>
        <v>0</v>
      </c>
      <c r="CN413" s="446">
        <f>IF($E413=0,0,IF(MIN(CN$38,$E413)&lt;MAX($P$34*($B413+$I$38-1),IF(AND($L$37=0,$P$34=0),"",$L$37-1)),0,YEARFRAC(MAX($P$34*($B413+$I$38-1),IF(AND($L$37=0,$P$34=0),"",$L$37-1)),MIN(CN$38,$E413),$P$20))-SUM($BF413:CM413))</f>
        <v>0</v>
      </c>
      <c r="CO413" s="446">
        <f>IF($E413=0,0,IF(MIN(CO$38,$E413)&lt;MAX($P$34*($B413+$I$38-1),IF(AND($L$37=0,$P$34=0),"",$L$37-1)),0,YEARFRAC(MAX($P$34*($B413+$I$38-1),IF(AND($L$37=0,$P$34=0),"",$L$37-1)),MIN(CO$38,$E413),$P$20))-SUM($BF413:CN413))</f>
        <v>0</v>
      </c>
      <c r="CP413" s="446">
        <f>IF($E413=0,0,IF(MIN(CP$38,$E413)&lt;MAX($P$34*($B413+$I$38-1),IF(AND($L$37=0,$P$34=0),"",$L$37-1)),0,YEARFRAC(MAX($P$34*($B413+$I$38-1),IF(AND($L$37=0,$P$34=0),"",$L$37-1)),MIN(CP$38,$E413),$P$20))-SUM($BF413:CO413))</f>
        <v>0</v>
      </c>
      <c r="CQ413" s="446">
        <f>IF($E413=0,0,IF(MIN(CQ$38,$E413)&lt;MAX($P$34*($B413+$I$38-1),IF(AND($L$37=0,$P$34=0),"",$L$37-1)),0,YEARFRAC(MAX($P$34*($B413+$I$38-1),IF(AND($L$37=0,$P$34=0),"",$L$37-1)),MIN(CQ$38,$E413),$P$20))-SUM($BF413:CP413))</f>
        <v>0</v>
      </c>
    </row>
    <row r="414" spans="1:95" s="446" customFormat="1" ht="11.25" hidden="1" customHeight="1" x14ac:dyDescent="0.2">
      <c r="A414" s="152"/>
      <c r="B414" s="153" t="str">
        <f t="shared" si="70"/>
        <v/>
      </c>
      <c r="C414" s="29" t="str">
        <f>IF(B414="","",IF($L$35="SELIC - TRIBUTOS",VLOOKUP(DATE(YEAR($D$19),MONTH($D$19)-1,1),ÍNDICES!$A:$DE,HLOOKUP($BL$25,ÍNDICES!$B$3:$T$4,2)+11)-VLOOKUP(B414,ÍNDICES!$A:$DE,HLOOKUP($BL$25,ÍNDICES!$B$3:$T$4,2)+11)+1%,IF(C$38=$W$26,$J$35,IF(ISERROR(IF(B414&gt;$D$19,1,VLOOKUP(DATE(YEAR(B414),MONTH(B414)+IF($C$35=$S$23,1,0),1),ÍNDICES!$A:$DE,$Z$35+1))),"",IF(B414&gt;$D$19,1,VLOOKUP(DATE(YEAR(B414),MONTH(B414)+IF($C$35=$S$23,1,0),1),ÍNDICES!$A:$DE,$Z$35+1))))))</f>
        <v/>
      </c>
      <c r="D414" s="154" t="str">
        <f>IF(ISERROR(IF(OR($D$38=$Y$27,$B414=""),"",VLOOKUP(B414,ÍNDICES!A:DE,AF$35+1))),"",IF(OR($D$38=$Y$27,$B414=""),"",VLOOKUP(B414,ÍNDICES!A:DE,AF$35+1)))</f>
        <v/>
      </c>
      <c r="E414" s="153"/>
      <c r="F414" s="29" t="str">
        <f>IF(E414="","",IF($L$35="SELIC - TRIBUTOS",VLOOKUP(DATE(YEAR($D$19),MONTH($D$19)-1,1),ÍNDICES!$A:$DE,HLOOKUP($BL$25,ÍNDICES!$B$3:$T$4,2)+11)-VLOOKUP(E414,ÍNDICES!$A:$DE,HLOOKUP($BL$25,ÍNDICES!$B$3:$T$4,2)+11)+1%,IF(F$38=$W$26,$J$35,IF(ISERROR(IF(E414&gt;$D$19,1,VLOOKUP(DATE(YEAR(E414),MONTH(E414)+IF($C$35=$S$23,1,0),1),ÍNDICES!$A:$DE,$Z$35+1))),"",IF(E414&gt;$D$19,1,VLOOKUP(DATE(YEAR(E414),MONTH(E414)+IF($C$35=$S$23,1,0),1),ÍNDICES!$A:$DE,$Z$35+1))))))</f>
        <v/>
      </c>
      <c r="G414" s="155"/>
      <c r="H414" s="156" t="str">
        <f t="shared" si="66"/>
        <v/>
      </c>
      <c r="I414" s="29" t="str">
        <f t="shared" si="60"/>
        <v/>
      </c>
      <c r="J414" s="5">
        <f t="shared" si="61"/>
        <v>0</v>
      </c>
      <c r="K414" s="20">
        <f t="shared" ca="1" si="62"/>
        <v>0</v>
      </c>
      <c r="L414" s="5">
        <f t="shared" ca="1" si="63"/>
        <v>0</v>
      </c>
      <c r="M414" s="64">
        <f t="shared" si="67"/>
        <v>0</v>
      </c>
      <c r="N414" s="61">
        <f t="shared" ca="1" si="68"/>
        <v>0</v>
      </c>
      <c r="O414" s="5">
        <f t="shared" ca="1" si="69"/>
        <v>0</v>
      </c>
      <c r="P414" s="446" t="e">
        <f t="shared" si="64"/>
        <v>#VALUE!</v>
      </c>
      <c r="Q414" s="446" t="e">
        <f>IF(OR($B414="",MIN(Q$38,$D$19)&lt;MAX($P$34*($B414+IF($R$17="Distrato",$I$38-1,0)),IF(AND($L$37=0,$P$34=0),"",$L$37-1),IF($R$17="Distrato",$E414,0))),0,YEARFRAC(MAX($P$34*($B414+IF($R$17="Distrato",$I$38-1,0)),IF(AND($L$37=0,$P$34=0),"",$L$37-1),IF($R$17="Distrato",$E414,0)),MIN(Q$38,$D$19),$P$20))-SUM($P414:P414)</f>
        <v>#VALUE!</v>
      </c>
      <c r="R414" s="446" t="e">
        <f>IF(OR($B414="",MIN(R$38,$D$19)&lt;MAX($P$34*($B414+IF($R$17="Distrato",$I$38-1,0)),IF(AND($L$37=0,$P$34=0),"",$L$37-1),IF($R$17="Distrato",$E414,0))),0,YEARFRAC(MAX($P$34*($B414+IF($R$17="Distrato",$I$38-1,0)),IF(AND($L$37=0,$P$34=0),"",$L$37-1),IF($R$17="Distrato",$E414,0)),MIN(R$38,$D$19),$P$20))-SUM($P414:Q414)</f>
        <v>#VALUE!</v>
      </c>
      <c r="S414" s="446" t="e">
        <f>IF(OR($B414="",MIN(S$38,$D$19)&lt;MAX($P$34*($B414+IF($R$17="Distrato",$I$38-1,0)),IF(AND($L$37=0,$P$34=0),"",$L$37-1),IF($R$17="Distrato",$E414,0))),0,YEARFRAC(MAX($P$34*($B414+IF($R$17="Distrato",$I$38-1,0)),IF(AND($L$37=0,$P$34=0),"",$L$37-1),IF($R$17="Distrato",$E414,0)),MIN(S$38,$D$19),$P$20))-SUM($P414:R414)</f>
        <v>#VALUE!</v>
      </c>
      <c r="T414" s="446" t="e">
        <f>IF(OR($B414="",MIN(T$38,$D$19)&lt;MAX($P$34*($B414+IF($R$17="Distrato",$I$38-1,0)),IF(AND($L$37=0,$P$34=0),"",$L$37-1),IF($R$17="Distrato",$E414,0))),0,YEARFRAC(MAX($P$34*($B414+IF($R$17="Distrato",$I$38-1,0)),IF(AND($L$37=0,$P$34=0),"",$L$37-1),IF($R$17="Distrato",$E414,0)),MIN(T$38,$D$19),$P$20))-SUM($P414:S414)</f>
        <v>#VALUE!</v>
      </c>
      <c r="U414" s="446" t="e">
        <f>IF(OR($B414="",MIN(U$38,$D$19)&lt;MAX($P$34*($B414+IF($R$17="Distrato",$I$38-1,0)),IF(AND($L$37=0,$P$34=0),"",$L$37-1),IF($R$17="Distrato",$E414,0))),0,YEARFRAC(MAX($P$34*($B414+IF($R$17="Distrato",$I$38-1,0)),IF(AND($L$37=0,$P$34=0),"",$L$37-1),IF($R$17="Distrato",$E414,0)),MIN(U$38,$D$19),$P$20))-SUM($P414:T414)</f>
        <v>#VALUE!</v>
      </c>
      <c r="V414" s="446" t="e">
        <f>IF(OR($B414="",MIN(V$38,$D$19)&lt;MAX($P$34*($B414+IF($R$17="Distrato",$I$38-1,0)),IF(AND($L$37=0,$P$34=0),"",$L$37-1),IF($R$17="Distrato",$E414,0))),0,YEARFRAC(MAX($P$34*($B414+IF($R$17="Distrato",$I$38-1,0)),IF(AND($L$37=0,$P$34=0),"",$L$37-1),IF($R$17="Distrato",$E414,0)),MIN(V$38,$D$19),$P$20))-SUM($P414:U414)</f>
        <v>#VALUE!</v>
      </c>
      <c r="W414" s="446" t="e">
        <f>IF(OR($B414="",MIN(W$38,$D$19)&lt;MAX($P$34*($B414+IF($R$17="Distrato",$I$38-1,0)),IF(AND($L$37=0,$P$34=0),"",$L$37-1),IF($R$17="Distrato",$E414,0))),0,YEARFRAC(MAX($P$34*($B414+IF($R$17="Distrato",$I$38-1,0)),IF(AND($L$37=0,$P$34=0),"",$L$37-1),IF($R$17="Distrato",$E414,0)),MIN(W$38,$D$19),$P$20))-SUM($P414:V414)</f>
        <v>#VALUE!</v>
      </c>
      <c r="X414" s="446" t="e">
        <f>IF(OR($B414="",MIN(X$38,$D$19)&lt;MAX($P$34*($B414+IF($R$17="Distrato",$I$38-1,0)),IF(AND($L$37=0,$P$34=0),"",$L$37-1),IF($R$17="Distrato",$E414,0))),0,YEARFRAC(MAX($P$34*($B414+IF($R$17="Distrato",$I$38-1,0)),IF(AND($L$37=0,$P$34=0),"",$L$37-1),IF($R$17="Distrato",$E414,0)),MIN(X$38,$D$19),$P$20))-SUM($P414:W414)</f>
        <v>#VALUE!</v>
      </c>
      <c r="Y414" s="446" t="e">
        <f>IF(OR($B414="",MIN(Y$38,$D$19)&lt;MAX($P$34*($B414+IF($R$17="Distrato",$I$38-1,0)),IF(AND($L$37=0,$P$34=0),"",$L$37-1),IF($R$17="Distrato",$E414,0))),0,YEARFRAC(MAX($P$34*($B414+IF($R$17="Distrato",$I$38-1,0)),IF(AND($L$37=0,$P$34=0),"",$L$37-1),IF($R$17="Distrato",$E414,0)),MIN(Y$38,$D$19),$P$20))-SUM($P414:X414)</f>
        <v>#VALUE!</v>
      </c>
      <c r="Z414" s="446" t="e">
        <f>IF(OR($B414="",MIN(Z$38,$D$19)&lt;MAX($P$34*($B414+IF($R$17="Distrato",$I$38-1,0)),IF(AND($L$37=0,$P$34=0),"",$L$37-1),IF($R$17="Distrato",$E414,0))),0,YEARFRAC(MAX($P$34*($B414+IF($R$17="Distrato",$I$38-1,0)),IF(AND($L$37=0,$P$34=0),"",$L$37-1),IF($R$17="Distrato",$E414,0)),MIN(Z$38,$D$19),$P$20))-SUM($P414:Y414)</f>
        <v>#VALUE!</v>
      </c>
      <c r="AA414" s="446" t="e">
        <f>IF(OR($B414="",MIN(AA$38,$D$19)&lt;MAX($P$34*($B414+IF($R$17="Distrato",$I$38-1,0)),IF(AND($L$37=0,$P$34=0),"",$L$37-1),IF($R$17="Distrato",$E414,0))),0,YEARFRAC(MAX($P$34*($B414+IF($R$17="Distrato",$I$38-1,0)),IF(AND($L$37=0,$P$34=0),"",$L$37-1),IF($R$17="Distrato",$E414,0)),MIN(AA$38,$D$19),$P$20))-SUM($P414:Z414)</f>
        <v>#VALUE!</v>
      </c>
      <c r="AB414" s="446" t="e">
        <f>IF(OR($B414="",MIN(AB$38,$D$19)&lt;MAX($P$34*($B414+IF($R$17="Distrato",$I$38-1,0)),IF(AND($L$37=0,$P$34=0),"",$L$37-1),IF($R$17="Distrato",$E414,0))),0,YEARFRAC(MAX($P$34*($B414+IF($R$17="Distrato",$I$38-1,0)),IF(AND($L$37=0,$P$34=0),"",$L$37-1),IF($R$17="Distrato",$E414,0)),MIN(AB$38,$D$19),$P$20))-SUM($P414:AA414)</f>
        <v>#VALUE!</v>
      </c>
      <c r="AC414" s="446" t="e">
        <f>IF(OR($B414="",MIN(AC$38,$D$19)&lt;MAX($P$34*($B414+IF($R$17="Distrato",$I$38-1,0)),IF(AND($L$37=0,$P$34=0),"",$L$37-1),IF($R$17="Distrato",$E414,0))),0,YEARFRAC(MAX($P$34*($B414+IF($R$17="Distrato",$I$38-1,0)),IF(AND($L$37=0,$P$34=0),"",$L$37-1),IF($R$17="Distrato",$E414,0)),MIN(AC$38,$D$19),$P$20))-SUM($P414:AB414)</f>
        <v>#VALUE!</v>
      </c>
      <c r="AD414" s="446" t="e">
        <f>IF(OR($B414="",MIN(AD$38,$D$19)&lt;MAX($P$34*($B414+IF($R$17="Distrato",$I$38-1,0)),IF(AND($L$37=0,$P$34=0),"",$L$37-1),IF($R$17="Distrato",$E414,0))),0,YEARFRAC(MAX($P$34*($B414+IF($R$17="Distrato",$I$38-1,0)),IF(AND($L$37=0,$P$34=0),"",$L$37-1),IF($R$17="Distrato",$E414,0)),MIN(AD$38,$D$19),$P$20))-SUM($P414:AC414)</f>
        <v>#VALUE!</v>
      </c>
      <c r="AE414" s="446" t="e">
        <f>IF(OR($B414="",MIN(AE$38,$D$19)&lt;MAX($P$34*($B414+IF($R$17="Distrato",$I$38-1,0)),IF(AND($L$37=0,$P$34=0),"",$L$37-1),IF($R$17="Distrato",$E414,0))),0,YEARFRAC(MAX($P$34*($B414+IF($R$17="Distrato",$I$38-1,0)),IF(AND($L$37=0,$P$34=0),"",$L$37-1),IF($R$17="Distrato",$E414,0)),MIN(AE$38,$D$19),$P$20))-SUM($P414:AD414)</f>
        <v>#VALUE!</v>
      </c>
      <c r="AF414" s="446" t="e">
        <f>IF(OR($B414="",MIN(AF$38,$D$19)&lt;MAX($P$34*($B414+IF($R$17="Distrato",$I$38-1,0)),IF(AND($L$37=0,$P$34=0),"",$L$37-1),IF($R$17="Distrato",$E414,0))),0,YEARFRAC(MAX($P$34*($B414+IF($R$17="Distrato",$I$38-1,0)),IF(AND($L$37=0,$P$34=0),"",$L$37-1),IF($R$17="Distrato",$E414,0)),MIN(AF$38,$D$19),$P$20))-SUM($P414:AE414)</f>
        <v>#VALUE!</v>
      </c>
      <c r="AG414" s="446" t="e">
        <f>IF(OR($B414="",MIN(AG$38,$D$19)&lt;MAX($P$34*($B414+IF($R$17="Distrato",$I$38-1,0)),IF(AND($L$37=0,$P$34=0),"",$L$37-1),IF($R$17="Distrato",$E414,0))),0,YEARFRAC(MAX($P$34*($B414+IF($R$17="Distrato",$I$38-1,0)),IF(AND($L$37=0,$P$34=0),"",$L$37-1),IF($R$17="Distrato",$E414,0)),MIN(AG$38,$D$19),$P$20))-SUM($P414:AF414)</f>
        <v>#VALUE!</v>
      </c>
      <c r="AH414" s="446" t="e">
        <f>IF(OR($B414="",MIN(AH$38,$D$19)&lt;MAX($P$34*($B414+IF($R$17="Distrato",$I$38-1,0)),IF(AND($L$37=0,$P$34=0),"",$L$37-1),IF($R$17="Distrato",$E414,0))),0,YEARFRAC(MAX($P$34*($B414+IF($R$17="Distrato",$I$38-1,0)),IF(AND($L$37=0,$P$34=0),"",$L$37-1),IF($R$17="Distrato",$E414,0)),MIN(AH$38,$D$19),$P$20))-SUM($P414:AG414)</f>
        <v>#VALUE!</v>
      </c>
      <c r="AI414" s="446" t="e">
        <f>IF(OR($B414="",MIN(AI$38,$D$19)&lt;MAX($P$34*($B414+IF($R$17="Distrato",$I$38-1,0)),IF(AND($L$37=0,$P$34=0),"",$L$37-1),IF($R$17="Distrato",$E414,0))),0,YEARFRAC(MAX($P$34*($B414+IF($R$17="Distrato",$I$38-1,0)),IF(AND($L$37=0,$P$34=0),"",$L$37-1),IF($R$17="Distrato",$E414,0)),MIN(AI$38,$D$19),$P$20))-SUM($P414:AH414)</f>
        <v>#VALUE!</v>
      </c>
      <c r="AJ414" s="446" t="e">
        <f>IF(OR($B414="",MIN(AJ$38,$D$19)&lt;MAX($P$34*($B414+IF($R$17="Distrato",$I$38-1,0)),IF(AND($L$37=0,$P$34=0),"",$L$37-1),IF($R$17="Distrato",$E414,0))),0,YEARFRAC(MAX($P$34*($B414+IF($R$17="Distrato",$I$38-1,0)),IF(AND($L$37=0,$P$34=0),"",$L$37-1),IF($R$17="Distrato",$E414,0)),MIN(AJ$38,$D$19),$P$20))-SUM($P414:AI414)</f>
        <v>#VALUE!</v>
      </c>
      <c r="AK414" s="446" t="e">
        <f>IF(OR($B414="",MIN(AK$38,$D$19)&lt;MAX($P$34*($B414+IF($R$17="Distrato",$I$38-1,0)),IF(AND($L$37=0,$P$34=0),"",$L$37-1),IF($R$17="Distrato",$E414,0))),0,YEARFRAC(MAX($P$34*($B414+IF($R$17="Distrato",$I$38-1,0)),IF(AND($L$37=0,$P$34=0),"",$L$37-1),IF($R$17="Distrato",$E414,0)),MIN(AK$38,$D$19),$P$20))-SUM($P414:AJ414)</f>
        <v>#VALUE!</v>
      </c>
      <c r="AL414" s="446" t="e">
        <f>IF(OR($B414="",MIN(AL$38,$D$19)&lt;MAX($P$34*($B414+IF($R$17="Distrato",$I$38-1,0)),IF(AND($L$37=0,$P$34=0),"",$L$37-1),IF($R$17="Distrato",$E414,0))),0,YEARFRAC(MAX($P$34*($B414+IF($R$17="Distrato",$I$38-1,0)),IF(AND($L$37=0,$P$34=0),"",$L$37-1),IF($R$17="Distrato",$E414,0)),MIN(AL$38,$D$19),$P$20))-SUM($P414:AK414)</f>
        <v>#VALUE!</v>
      </c>
      <c r="AM414" s="446" t="e">
        <f>IF(OR($B414="",MIN(AM$38,$D$19)&lt;MAX($P$34*($B414+IF($R$17="Distrato",$I$38-1,0)),IF(AND($L$37=0,$P$34=0),"",$L$37-1),IF($R$17="Distrato",$E414,0))),0,YEARFRAC(MAX($P$34*($B414+IF($R$17="Distrato",$I$38-1,0)),IF(AND($L$37=0,$P$34=0),"",$L$37-1),IF($R$17="Distrato",$E414,0)),MIN(AM$38,$D$19),$P$20))-SUM($P414:AL414)</f>
        <v>#VALUE!</v>
      </c>
      <c r="AN414" s="446" t="e">
        <f>IF(OR($B414="",MIN(AN$38,$D$19)&lt;MAX($P$34*($B414+IF($R$17="Distrato",$I$38-1,0)),IF(AND($L$37=0,$P$34=0),"",$L$37-1),IF($R$17="Distrato",$E414,0))),0,YEARFRAC(MAX($P$34*($B414+IF($R$17="Distrato",$I$38-1,0)),IF(AND($L$37=0,$P$34=0),"",$L$37-1),IF($R$17="Distrato",$E414,0)),MIN(AN$38,$D$19),$P$20))-SUM($P414:AM414)</f>
        <v>#VALUE!</v>
      </c>
      <c r="AO414" s="446" t="e">
        <f>IF(OR($B414="",MIN(AO$38,$D$19)&lt;MAX($P$34*($B414+IF($R$17="Distrato",$I$38-1,0)),IF(AND($L$37=0,$P$34=0),"",$L$37-1),IF($R$17="Distrato",$E414,0))),0,YEARFRAC(MAX($P$34*($B414+IF($R$17="Distrato",$I$38-1,0)),IF(AND($L$37=0,$P$34=0),"",$L$37-1),IF($R$17="Distrato",$E414,0)),MIN(AO$38,$D$19),$P$20))-SUM($P414:AN414)</f>
        <v>#VALUE!</v>
      </c>
      <c r="AP414" s="446" t="e">
        <f>IF(OR($B414="",MIN(AP$38,$D$19)&lt;MAX($P$34*($B414+IF($R$17="Distrato",$I$38-1,0)),IF(AND($L$37=0,$P$34=0),"",$L$37-1),IF($R$17="Distrato",$E414,0))),0,YEARFRAC(MAX($P$34*($B414+IF($R$17="Distrato",$I$38-1,0)),IF(AND($L$37=0,$P$34=0),"",$L$37-1),IF($R$17="Distrato",$E414,0)),MIN(AP$38,$D$19),$P$20))-SUM($P414:AO414)</f>
        <v>#VALUE!</v>
      </c>
      <c r="AQ414" s="446" t="e">
        <f>IF(OR($B414="",MIN(AQ$38,$D$19)&lt;MAX($P$34*($B414+IF($R$17="Distrato",$I$38-1,0)),IF(AND($L$37=0,$P$34=0),"",$L$37-1),IF($R$17="Distrato",$E414,0))),0,YEARFRAC(MAX($P$34*($B414+IF($R$17="Distrato",$I$38-1,0)),IF(AND($L$37=0,$P$34=0),"",$L$37-1),IF($R$17="Distrato",$E414,0)),MIN(AQ$38,$D$19),$P$20))-SUM($P414:AP414)</f>
        <v>#VALUE!</v>
      </c>
      <c r="AR414" s="446" t="e">
        <f>IF(OR($B414="",MIN(AR$38,$D$19)&lt;MAX($P$34*($B414+IF($R$17="Distrato",$I$38-1,0)),IF(AND($L$37=0,$P$34=0),"",$L$37-1),IF($R$17="Distrato",$E414,0))),0,YEARFRAC(MAX($P$34*($B414+IF($R$17="Distrato",$I$38-1,0)),IF(AND($L$37=0,$P$34=0),"",$L$37-1),IF($R$17="Distrato",$E414,0)),MIN(AR$38,$D$19),$P$20))-SUM($P414:AQ414)</f>
        <v>#VALUE!</v>
      </c>
      <c r="AS414" s="446" t="e">
        <f>IF(OR($B414="",MIN(AS$38,$D$19)&lt;MAX($P$34*($B414+IF($R$17="Distrato",$I$38-1,0)),IF(AND($L$37=0,$P$34=0),"",$L$37-1),IF($R$17="Distrato",$E414,0))),0,YEARFRAC(MAX($P$34*($B414+IF($R$17="Distrato",$I$38-1,0)),IF(AND($L$37=0,$P$34=0),"",$L$37-1),IF($R$17="Distrato",$E414,0)),MIN(AS$38,$D$19),$P$20))-SUM($P414:AR414)</f>
        <v>#VALUE!</v>
      </c>
      <c r="AT414" s="446" t="e">
        <f>IF(OR($B414="",MIN(AT$38,$D$19)&lt;MAX($P$34*($B414+IF($R$17="Distrato",$I$38-1,0)),IF(AND($L$37=0,$P$34=0),"",$L$37-1),IF($R$17="Distrato",$E414,0))),0,YEARFRAC(MAX($P$34*($B414+IF($R$17="Distrato",$I$38-1,0)),IF(AND($L$37=0,$P$34=0),"",$L$37-1),IF($R$17="Distrato",$E414,0)),MIN(AT$38,$D$19),$P$20))-SUM($P414:AS414)</f>
        <v>#VALUE!</v>
      </c>
      <c r="AU414" s="446" t="e">
        <f>IF(OR($B414="",MIN(AU$38,$D$19)&lt;MAX($P$34*($B414+IF($R$17="Distrato",$I$38-1,0)),IF(AND($L$37=0,$P$34=0),"",$L$37-1),IF($R$17="Distrato",$E414,0))),0,YEARFRAC(MAX($P$34*($B414+IF($R$17="Distrato",$I$38-1,0)),IF(AND($L$37=0,$P$34=0),"",$L$37-1),IF($R$17="Distrato",$E414,0)),MIN(AU$38,$D$19),$P$20))-SUM($P414:AT414)</f>
        <v>#VALUE!</v>
      </c>
      <c r="AV414" s="446" t="e">
        <f>IF(OR($B414="",MIN(AV$38,$D$19)&lt;MAX($P$34*($B414+IF($R$17="Distrato",$I$38-1,0)),IF(AND($L$37=0,$P$34=0),"",$L$37-1),IF($R$17="Distrato",$E414,0))),0,YEARFRAC(MAX($P$34*($B414+IF($R$17="Distrato",$I$38-1,0)),IF(AND($L$37=0,$P$34=0),"",$L$37-1),IF($R$17="Distrato",$E414,0)),MIN(AV$38,$D$19),$P$20))-SUM($P414:AU414)</f>
        <v>#VALUE!</v>
      </c>
      <c r="AW414" s="446" t="e">
        <f>IF(OR($B414="",MIN(AW$38,$D$19)&lt;MAX($P$34*($B414+IF($R$17="Distrato",$I$38-1,0)),IF(AND($L$37=0,$P$34=0),"",$L$37-1),IF($R$17="Distrato",$E414,0))),0,YEARFRAC(MAX($P$34*($B414+IF($R$17="Distrato",$I$38-1,0)),IF(AND($L$37=0,$P$34=0),"",$L$37-1),IF($R$17="Distrato",$E414,0)),MIN(AW$38,$D$19),$P$20))-SUM($P414:AV414)</f>
        <v>#VALUE!</v>
      </c>
      <c r="AX414" s="446" t="e">
        <f>IF(OR($B414="",MIN(AX$38,$D$19)&lt;MAX($P$34*($B414+IF($R$17="Distrato",$I$38-1,0)),IF(AND($L$37=0,$P$34=0),"",$L$37-1),IF($R$17="Distrato",$E414,0))),0,YEARFRAC(MAX($P$34*($B414+IF($R$17="Distrato",$I$38-1,0)),IF(AND($L$37=0,$P$34=0),"",$L$37-1),IF($R$17="Distrato",$E414,0)),MIN(AX$38,$D$19),$P$20))-SUM($P414:AW414)</f>
        <v>#VALUE!</v>
      </c>
      <c r="AY414" s="446" t="e">
        <f>IF(OR($B414="",MIN(AY$38,$D$19)&lt;MAX($P$34*($B414+IF($R$17="Distrato",$I$38-1,0)),IF(AND($L$37=0,$P$34=0),"",$L$37-1),IF($R$17="Distrato",$E414,0))),0,YEARFRAC(MAX($P$34*($B414+IF($R$17="Distrato",$I$38-1,0)),IF(AND($L$37=0,$P$34=0),"",$L$37-1),IF($R$17="Distrato",$E414,0)),MIN(AY$38,$D$19),$P$20))-SUM($P414:AX414)</f>
        <v>#VALUE!</v>
      </c>
      <c r="AZ414" s="446" t="e">
        <f>IF(OR($B414="",MIN(AZ$38,$D$19)&lt;MAX($P$34*($B414+IF($R$17="Distrato",$I$38-1,0)),IF(AND($L$37=0,$P$34=0),"",$L$37-1),IF($R$17="Distrato",$E414,0))),0,YEARFRAC(MAX($P$34*($B414+IF($R$17="Distrato",$I$38-1,0)),IF(AND($L$37=0,$P$34=0),"",$L$37-1),IF($R$17="Distrato",$E414,0)),MIN(AZ$38,$D$19),$P$20))-SUM($P414:AY414)</f>
        <v>#VALUE!</v>
      </c>
      <c r="BA414" s="446" t="e">
        <f>IF(OR($B414="",MIN(BA$38,$D$19)&lt;MAX($P$34*($B414+IF($R$17="Distrato",$I$38-1,0)),IF(AND($L$37=0,$P$34=0),"",$L$37-1),IF($R$17="Distrato",$E414,0))),0,YEARFRAC(MAX($P$34*($B414+IF($R$17="Distrato",$I$38-1,0)),IF(AND($L$37=0,$P$34=0),"",$L$37-1),IF($R$17="Distrato",$E414,0)),MIN(BA$38,$D$19),$P$20))-SUM($P414:AZ414)</f>
        <v>#VALUE!</v>
      </c>
      <c r="BB414" s="447"/>
      <c r="BF414" s="446">
        <f t="shared" si="65"/>
        <v>0</v>
      </c>
      <c r="BG414" s="446">
        <f>IF($E414=0,0,IF(MIN(BG$38,$E414)&lt;MAX($P$34*($B414+$I$38-1),IF(AND($L$37=0,$P$34=0),"",$L$37-1)),0,YEARFRAC(MAX($P$34*($B414+$I$38-1),IF(AND($L$37=0,$P$34=0),"",$L$37-1)),MIN(BG$38,$E414),$P$20))-SUM($BF414:BF414))</f>
        <v>0</v>
      </c>
      <c r="BH414" s="446">
        <f>IF($E414=0,0,IF(MIN(BH$38,$E414)&lt;MAX($P$34*($B414+$I$38-1),IF(AND($L$37=0,$P$34=0),"",$L$37-1)),0,YEARFRAC(MAX($P$34*($B414+$I$38-1),IF(AND($L$37=0,$P$34=0),"",$L$37-1)),MIN(BH$38,$E414),$P$20))-SUM($BF414:BG414))</f>
        <v>0</v>
      </c>
      <c r="BI414" s="446">
        <f>IF($E414=0,0,IF(MIN(BI$38,$E414)&lt;MAX($P$34*($B414+$I$38-1),IF(AND($L$37=0,$P$34=0),"",$L$37-1)),0,YEARFRAC(MAX($P$34*($B414+$I$38-1),IF(AND($L$37=0,$P$34=0),"",$L$37-1)),MIN(BI$38,$E414),$P$20))-SUM($BF414:BH414))</f>
        <v>0</v>
      </c>
      <c r="BJ414" s="446">
        <f>IF($E414=0,0,IF(MIN(BJ$38,$E414)&lt;MAX($P$34*($B414+$I$38-1),IF(AND($L$37=0,$P$34=0),"",$L$37-1)),0,YEARFRAC(MAX($P$34*($B414+$I$38-1),IF(AND($L$37=0,$P$34=0),"",$L$37-1)),MIN(BJ$38,$E414),$P$20))-SUM($BF414:BI414))</f>
        <v>0</v>
      </c>
      <c r="BK414" s="446">
        <f>IF($E414=0,0,IF(MIN(BK$38,$E414)&lt;MAX($P$34*($B414+$I$38-1),IF(AND($L$37=0,$P$34=0),"",$L$37-1)),0,YEARFRAC(MAX($P$34*($B414+$I$38-1),IF(AND($L$37=0,$P$34=0),"",$L$37-1)),MIN(BK$38,$E414),$P$20))-SUM($BF414:BJ414))</f>
        <v>0</v>
      </c>
      <c r="BL414" s="446">
        <f>IF($E414=0,0,IF(MIN(BL$38,$E414)&lt;MAX($P$34*($B414+$I$38-1),IF(AND($L$37=0,$P$34=0),"",$L$37-1)),0,YEARFRAC(MAX($P$34*($B414+$I$38-1),IF(AND($L$37=0,$P$34=0),"",$L$37-1)),MIN(BL$38,$E414),$P$20))-SUM($BF414:BK414))</f>
        <v>0</v>
      </c>
      <c r="BM414" s="446">
        <f>IF($E414=0,0,IF(MIN(BM$38,$E414)&lt;MAX($P$34*($B414+$I$38-1),IF(AND($L$37=0,$P$34=0),"",$L$37-1)),0,YEARFRAC(MAX($P$34*($B414+$I$38-1),IF(AND($L$37=0,$P$34=0),"",$L$37-1)),MIN(BM$38,$E414),$P$20))-SUM($BF414:BL414))</f>
        <v>0</v>
      </c>
      <c r="BN414" s="446">
        <f>IF($E414=0,0,IF(MIN(BN$38,$E414)&lt;MAX($P$34*($B414+$I$38-1),IF(AND($L$37=0,$P$34=0),"",$L$37-1)),0,YEARFRAC(MAX($P$34*($B414+$I$38-1),IF(AND($L$37=0,$P$34=0),"",$L$37-1)),MIN(BN$38,$E414),$P$20))-SUM($BF414:BM414))</f>
        <v>0</v>
      </c>
      <c r="BO414" s="446">
        <f>IF($E414=0,0,IF(MIN(BO$38,$E414)&lt;MAX($P$34*($B414+$I$38-1),IF(AND($L$37=0,$P$34=0),"",$L$37-1)),0,YEARFRAC(MAX($P$34*($B414+$I$38-1),IF(AND($L$37=0,$P$34=0),"",$L$37-1)),MIN(BO$38,$E414),$P$20))-SUM($BF414:BN414))</f>
        <v>0</v>
      </c>
      <c r="BP414" s="446">
        <f>IF($E414=0,0,IF(MIN(BP$38,$E414)&lt;MAX($P$34*($B414+$I$38-1),IF(AND($L$37=0,$P$34=0),"",$L$37-1)),0,YEARFRAC(MAX($P$34*($B414+$I$38-1),IF(AND($L$37=0,$P$34=0),"",$L$37-1)),MIN(BP$38,$E414),$P$20))-SUM($BF414:BO414))</f>
        <v>0</v>
      </c>
      <c r="BQ414" s="446">
        <f>IF($E414=0,0,IF(MIN(BQ$38,$E414)&lt;MAX($P$34*($B414+$I$38-1),IF(AND($L$37=0,$P$34=0),"",$L$37-1)),0,YEARFRAC(MAX($P$34*($B414+$I$38-1),IF(AND($L$37=0,$P$34=0),"",$L$37-1)),MIN(BQ$38,$E414),$P$20))-SUM($BF414:BP414))</f>
        <v>0</v>
      </c>
      <c r="BR414" s="446">
        <f>IF($E414=0,0,IF(MIN(BR$38,$E414)&lt;MAX($P$34*($B414+$I$38-1),IF(AND($L$37=0,$P$34=0),"",$L$37-1)),0,YEARFRAC(MAX($P$34*($B414+$I$38-1),IF(AND($L$37=0,$P$34=0),"",$L$37-1)),MIN(BR$38,$E414),$P$20))-SUM($BF414:BQ414))</f>
        <v>0</v>
      </c>
      <c r="BS414" s="446">
        <f>IF($E414=0,0,IF(MIN(BS$38,$E414)&lt;MAX($P$34*($B414+$I$38-1),IF(AND($L$37=0,$P$34=0),"",$L$37-1)),0,YEARFRAC(MAX($P$34*($B414+$I$38-1),IF(AND($L$37=0,$P$34=0),"",$L$37-1)),MIN(BS$38,$E414),$P$20))-SUM($BF414:BR414))</f>
        <v>0</v>
      </c>
      <c r="BT414" s="446">
        <f>IF($E414=0,0,IF(MIN(BT$38,$E414)&lt;MAX($P$34*($B414+$I$38-1),IF(AND($L$37=0,$P$34=0),"",$L$37-1)),0,YEARFRAC(MAX($P$34*($B414+$I$38-1),IF(AND($L$37=0,$P$34=0),"",$L$37-1)),MIN(BT$38,$E414),$P$20))-SUM($BF414:BS414))</f>
        <v>0</v>
      </c>
      <c r="BU414" s="446">
        <f>IF($E414=0,0,IF(MIN(BU$38,$E414)&lt;MAX($P$34*($B414+$I$38-1),IF(AND($L$37=0,$P$34=0),"",$L$37-1)),0,YEARFRAC(MAX($P$34*($B414+$I$38-1),IF(AND($L$37=0,$P$34=0),"",$L$37-1)),MIN(BU$38,$E414),$P$20))-SUM($BF414:BT414))</f>
        <v>0</v>
      </c>
      <c r="BV414" s="446">
        <f>IF($E414=0,0,IF(MIN(BV$38,$E414)&lt;MAX($P$34*($B414+$I$38-1),IF(AND($L$37=0,$P$34=0),"",$L$37-1)),0,YEARFRAC(MAX($P$34*($B414+$I$38-1),IF(AND($L$37=0,$P$34=0),"",$L$37-1)),MIN(BV$38,$E414),$P$20))-SUM($BF414:BU414))</f>
        <v>0</v>
      </c>
      <c r="BW414" s="446">
        <f>IF($E414=0,0,IF(MIN(BW$38,$E414)&lt;MAX($P$34*($B414+$I$38-1),IF(AND($L$37=0,$P$34=0),"",$L$37-1)),0,YEARFRAC(MAX($P$34*($B414+$I$38-1),IF(AND($L$37=0,$P$34=0),"",$L$37-1)),MIN(BW$38,$E414),$P$20))-SUM($BF414:BV414))</f>
        <v>0</v>
      </c>
      <c r="BX414" s="446">
        <f>IF($E414=0,0,IF(MIN(BX$38,$E414)&lt;MAX($P$34*($B414+$I$38-1),IF(AND($L$37=0,$P$34=0),"",$L$37-1)),0,YEARFRAC(MAX($P$34*($B414+$I$38-1),IF(AND($L$37=0,$P$34=0),"",$L$37-1)),MIN(BX$38,$E414),$P$20))-SUM($BF414:BW414))</f>
        <v>0</v>
      </c>
      <c r="BY414" s="446">
        <f>IF($E414=0,0,IF(MIN(BY$38,$E414)&lt;MAX($P$34*($B414+$I$38-1),IF(AND($L$37=0,$P$34=0),"",$L$37-1)),0,YEARFRAC(MAX($P$34*($B414+$I$38-1),IF(AND($L$37=0,$P$34=0),"",$L$37-1)),MIN(BY$38,$E414),$P$20))-SUM($BF414:BX414))</f>
        <v>0</v>
      </c>
      <c r="BZ414" s="446">
        <f>IF($E414=0,0,IF(MIN(BZ$38,$E414)&lt;MAX($P$34*($B414+$I$38-1),IF(AND($L$37=0,$P$34=0),"",$L$37-1)),0,YEARFRAC(MAX($P$34*($B414+$I$38-1),IF(AND($L$37=0,$P$34=0),"",$L$37-1)),MIN(BZ$38,$E414),$P$20))-SUM($BF414:BY414))</f>
        <v>0</v>
      </c>
      <c r="CA414" s="446">
        <f>IF($E414=0,0,IF(MIN(CA$38,$E414)&lt;MAX($P$34*($B414+$I$38-1),IF(AND($L$37=0,$P$34=0),"",$L$37-1)),0,YEARFRAC(MAX($P$34*($B414+$I$38-1),IF(AND($L$37=0,$P$34=0),"",$L$37-1)),MIN(CA$38,$E414),$P$20))-SUM($BF414:BZ414))</f>
        <v>0</v>
      </c>
      <c r="CB414" s="446">
        <f>IF($E414=0,0,IF(MIN(CB$38,$E414)&lt;MAX($P$34*($B414+$I$38-1),IF(AND($L$37=0,$P$34=0),"",$L$37-1)),0,YEARFRAC(MAX($P$34*($B414+$I$38-1),IF(AND($L$37=0,$P$34=0),"",$L$37-1)),MIN(CB$38,$E414),$P$20))-SUM($BF414:CA414))</f>
        <v>0</v>
      </c>
      <c r="CC414" s="446">
        <f>IF($E414=0,0,IF(MIN(CC$38,$E414)&lt;MAX($P$34*($B414+$I$38-1),IF(AND($L$37=0,$P$34=0),"",$L$37-1)),0,YEARFRAC(MAX($P$34*($B414+$I$38-1),IF(AND($L$37=0,$P$34=0),"",$L$37-1)),MIN(CC$38,$E414),$P$20))-SUM($BF414:CB414))</f>
        <v>0</v>
      </c>
      <c r="CD414" s="446">
        <f>IF($E414=0,0,IF(MIN(CD$38,$E414)&lt;MAX($P$34*($B414+$I$38-1),IF(AND($L$37=0,$P$34=0),"",$L$37-1)),0,YEARFRAC(MAX($P$34*($B414+$I$38-1),IF(AND($L$37=0,$P$34=0),"",$L$37-1)),MIN(CD$38,$E414),$P$20))-SUM($BF414:CC414))</f>
        <v>0</v>
      </c>
      <c r="CE414" s="446">
        <f>IF($E414=0,0,IF(MIN(CE$38,$E414)&lt;MAX($P$34*($B414+$I$38-1),IF(AND($L$37=0,$P$34=0),"",$L$37-1)),0,YEARFRAC(MAX($P$34*($B414+$I$38-1),IF(AND($L$37=0,$P$34=0),"",$L$37-1)),MIN(CE$38,$E414),$P$20))-SUM($BF414:CD414))</f>
        <v>0</v>
      </c>
      <c r="CF414" s="446">
        <f>IF($E414=0,0,IF(MIN(CF$38,$E414)&lt;MAX($P$34*($B414+$I$38-1),IF(AND($L$37=0,$P$34=0),"",$L$37-1)),0,YEARFRAC(MAX($P$34*($B414+$I$38-1),IF(AND($L$37=0,$P$34=0),"",$L$37-1)),MIN(CF$38,$E414),$P$20))-SUM($BF414:CE414))</f>
        <v>0</v>
      </c>
      <c r="CG414" s="446">
        <f>IF($E414=0,0,IF(MIN(CG$38,$E414)&lt;MAX($P$34*($B414+$I$38-1),IF(AND($L$37=0,$P$34=0),"",$L$37-1)),0,YEARFRAC(MAX($P$34*($B414+$I$38-1),IF(AND($L$37=0,$P$34=0),"",$L$37-1)),MIN(CG$38,$E414),$P$20))-SUM($BF414:CF414))</f>
        <v>0</v>
      </c>
      <c r="CH414" s="446">
        <f>IF($E414=0,0,IF(MIN(CH$38,$E414)&lt;MAX($P$34*($B414+$I$38-1),IF(AND($L$37=0,$P$34=0),"",$L$37-1)),0,YEARFRAC(MAX($P$34*($B414+$I$38-1),IF(AND($L$37=0,$P$34=0),"",$L$37-1)),MIN(CH$38,$E414),$P$20))-SUM($BF414:CG414))</f>
        <v>0</v>
      </c>
      <c r="CI414" s="446">
        <f>IF($E414=0,0,IF(MIN(CI$38,$E414)&lt;MAX($P$34*($B414+$I$38-1),IF(AND($L$37=0,$P$34=0),"",$L$37-1)),0,YEARFRAC(MAX($P$34*($B414+$I$38-1),IF(AND($L$37=0,$P$34=0),"",$L$37-1)),MIN(CI$38,$E414),$P$20))-SUM($BF414:CH414))</f>
        <v>0</v>
      </c>
      <c r="CJ414" s="446">
        <f>IF($E414=0,0,IF(MIN(CJ$38,$E414)&lt;MAX($P$34*($B414+$I$38-1),IF(AND($L$37=0,$P$34=0),"",$L$37-1)),0,YEARFRAC(MAX($P$34*($B414+$I$38-1),IF(AND($L$37=0,$P$34=0),"",$L$37-1)),MIN(CJ$38,$E414),$P$20))-SUM($BF414:CI414))</f>
        <v>0</v>
      </c>
      <c r="CK414" s="446">
        <f>IF($E414=0,0,IF(MIN(CK$38,$E414)&lt;MAX($P$34*($B414+$I$38-1),IF(AND($L$37=0,$P$34=0),"",$L$37-1)),0,YEARFRAC(MAX($P$34*($B414+$I$38-1),IF(AND($L$37=0,$P$34=0),"",$L$37-1)),MIN(CK$38,$E414),$P$20))-SUM($BF414:CJ414))</f>
        <v>0</v>
      </c>
      <c r="CL414" s="446">
        <f>IF($E414=0,0,IF(MIN(CL$38,$E414)&lt;MAX($P$34*($B414+$I$38-1),IF(AND($L$37=0,$P$34=0),"",$L$37-1)),0,YEARFRAC(MAX($P$34*($B414+$I$38-1),IF(AND($L$37=0,$P$34=0),"",$L$37-1)),MIN(CL$38,$E414),$P$20))-SUM($BF414:CK414))</f>
        <v>0</v>
      </c>
      <c r="CM414" s="446">
        <f>IF($E414=0,0,IF(MIN(CM$38,$E414)&lt;MAX($P$34*($B414+$I$38-1),IF(AND($L$37=0,$P$34=0),"",$L$37-1)),0,YEARFRAC(MAX($P$34*($B414+$I$38-1),IF(AND($L$37=0,$P$34=0),"",$L$37-1)),MIN(CM$38,$E414),$P$20))-SUM($BF414:CL414))</f>
        <v>0</v>
      </c>
      <c r="CN414" s="446">
        <f>IF($E414=0,0,IF(MIN(CN$38,$E414)&lt;MAX($P$34*($B414+$I$38-1),IF(AND($L$37=0,$P$34=0),"",$L$37-1)),0,YEARFRAC(MAX($P$34*($B414+$I$38-1),IF(AND($L$37=0,$P$34=0),"",$L$37-1)),MIN(CN$38,$E414),$P$20))-SUM($BF414:CM414))</f>
        <v>0</v>
      </c>
      <c r="CO414" s="446">
        <f>IF($E414=0,0,IF(MIN(CO$38,$E414)&lt;MAX($P$34*($B414+$I$38-1),IF(AND($L$37=0,$P$34=0),"",$L$37-1)),0,YEARFRAC(MAX($P$34*($B414+$I$38-1),IF(AND($L$37=0,$P$34=0),"",$L$37-1)),MIN(CO$38,$E414),$P$20))-SUM($BF414:CN414))</f>
        <v>0</v>
      </c>
      <c r="CP414" s="446">
        <f>IF($E414=0,0,IF(MIN(CP$38,$E414)&lt;MAX($P$34*($B414+$I$38-1),IF(AND($L$37=0,$P$34=0),"",$L$37-1)),0,YEARFRAC(MAX($P$34*($B414+$I$38-1),IF(AND($L$37=0,$P$34=0),"",$L$37-1)),MIN(CP$38,$E414),$P$20))-SUM($BF414:CO414))</f>
        <v>0</v>
      </c>
      <c r="CQ414" s="446">
        <f>IF($E414=0,0,IF(MIN(CQ$38,$E414)&lt;MAX($P$34*($B414+$I$38-1),IF(AND($L$37=0,$P$34=0),"",$L$37-1)),0,YEARFRAC(MAX($P$34*($B414+$I$38-1),IF(AND($L$37=0,$P$34=0),"",$L$37-1)),MIN(CQ$38,$E414),$P$20))-SUM($BF414:CP414))</f>
        <v>0</v>
      </c>
    </row>
    <row r="415" spans="1:95" s="446" customFormat="1" ht="11.25" hidden="1" customHeight="1" x14ac:dyDescent="0.2">
      <c r="A415" s="152"/>
      <c r="B415" s="153" t="str">
        <f t="shared" si="70"/>
        <v/>
      </c>
      <c r="C415" s="29" t="str">
        <f>IF(B415="","",IF($L$35="SELIC - TRIBUTOS",VLOOKUP(DATE(YEAR($D$19),MONTH($D$19)-1,1),ÍNDICES!$A:$DE,HLOOKUP($BL$25,ÍNDICES!$B$3:$T$4,2)+11)-VLOOKUP(B415,ÍNDICES!$A:$DE,HLOOKUP($BL$25,ÍNDICES!$B$3:$T$4,2)+11)+1%,IF(C$38=$W$26,$J$35,IF(ISERROR(IF(B415&gt;$D$19,1,VLOOKUP(DATE(YEAR(B415),MONTH(B415)+IF($C$35=$S$23,1,0),1),ÍNDICES!$A:$DE,$Z$35+1))),"",IF(B415&gt;$D$19,1,VLOOKUP(DATE(YEAR(B415),MONTH(B415)+IF($C$35=$S$23,1,0),1),ÍNDICES!$A:$DE,$Z$35+1))))))</f>
        <v/>
      </c>
      <c r="D415" s="154" t="str">
        <f>IF(ISERROR(IF(OR($D$38=$Y$27,$B415=""),"",VLOOKUP(B415,ÍNDICES!A:DE,AF$35+1))),"",IF(OR($D$38=$Y$27,$B415=""),"",VLOOKUP(B415,ÍNDICES!A:DE,AF$35+1)))</f>
        <v/>
      </c>
      <c r="E415" s="153"/>
      <c r="F415" s="29" t="str">
        <f>IF(E415="","",IF($L$35="SELIC - TRIBUTOS",VLOOKUP(DATE(YEAR($D$19),MONTH($D$19)-1,1),ÍNDICES!$A:$DE,HLOOKUP($BL$25,ÍNDICES!$B$3:$T$4,2)+11)-VLOOKUP(E415,ÍNDICES!$A:$DE,HLOOKUP($BL$25,ÍNDICES!$B$3:$T$4,2)+11)+1%,IF(F$38=$W$26,$J$35,IF(ISERROR(IF(E415&gt;$D$19,1,VLOOKUP(DATE(YEAR(E415),MONTH(E415)+IF($C$35=$S$23,1,0),1),ÍNDICES!$A:$DE,$Z$35+1))),"",IF(E415&gt;$D$19,1,VLOOKUP(DATE(YEAR(E415),MONTH(E415)+IF($C$35=$S$23,1,0),1),ÍNDICES!$A:$DE,$Z$35+1))))))</f>
        <v/>
      </c>
      <c r="G415" s="155"/>
      <c r="H415" s="156" t="str">
        <f t="shared" si="66"/>
        <v/>
      </c>
      <c r="I415" s="29" t="str">
        <f t="shared" si="60"/>
        <v/>
      </c>
      <c r="J415" s="5">
        <f t="shared" si="61"/>
        <v>0</v>
      </c>
      <c r="K415" s="20">
        <f t="shared" ca="1" si="62"/>
        <v>0</v>
      </c>
      <c r="L415" s="5">
        <f t="shared" ca="1" si="63"/>
        <v>0</v>
      </c>
      <c r="M415" s="64">
        <f t="shared" si="67"/>
        <v>0</v>
      </c>
      <c r="N415" s="61">
        <f t="shared" ca="1" si="68"/>
        <v>0</v>
      </c>
      <c r="O415" s="5">
        <f t="shared" ca="1" si="69"/>
        <v>0</v>
      </c>
      <c r="P415" s="446" t="e">
        <f t="shared" si="64"/>
        <v>#VALUE!</v>
      </c>
      <c r="Q415" s="446" t="e">
        <f>IF(OR($B415="",MIN(Q$38,$D$19)&lt;MAX($P$34*($B415+IF($R$17="Distrato",$I$38-1,0)),IF(AND($L$37=0,$P$34=0),"",$L$37-1),IF($R$17="Distrato",$E415,0))),0,YEARFRAC(MAX($P$34*($B415+IF($R$17="Distrato",$I$38-1,0)),IF(AND($L$37=0,$P$34=0),"",$L$37-1),IF($R$17="Distrato",$E415,0)),MIN(Q$38,$D$19),$P$20))-SUM($P415:P415)</f>
        <v>#VALUE!</v>
      </c>
      <c r="R415" s="446" t="e">
        <f>IF(OR($B415="",MIN(R$38,$D$19)&lt;MAX($P$34*($B415+IF($R$17="Distrato",$I$38-1,0)),IF(AND($L$37=0,$P$34=0),"",$L$37-1),IF($R$17="Distrato",$E415,0))),0,YEARFRAC(MAX($P$34*($B415+IF($R$17="Distrato",$I$38-1,0)),IF(AND($L$37=0,$P$34=0),"",$L$37-1),IF($R$17="Distrato",$E415,0)),MIN(R$38,$D$19),$P$20))-SUM($P415:Q415)</f>
        <v>#VALUE!</v>
      </c>
      <c r="S415" s="446" t="e">
        <f>IF(OR($B415="",MIN(S$38,$D$19)&lt;MAX($P$34*($B415+IF($R$17="Distrato",$I$38-1,0)),IF(AND($L$37=0,$P$34=0),"",$L$37-1),IF($R$17="Distrato",$E415,0))),0,YEARFRAC(MAX($P$34*($B415+IF($R$17="Distrato",$I$38-1,0)),IF(AND($L$37=0,$P$34=0),"",$L$37-1),IF($R$17="Distrato",$E415,0)),MIN(S$38,$D$19),$P$20))-SUM($P415:R415)</f>
        <v>#VALUE!</v>
      </c>
      <c r="T415" s="446" t="e">
        <f>IF(OR($B415="",MIN(T$38,$D$19)&lt;MAX($P$34*($B415+IF($R$17="Distrato",$I$38-1,0)),IF(AND($L$37=0,$P$34=0),"",$L$37-1),IF($R$17="Distrato",$E415,0))),0,YEARFRAC(MAX($P$34*($B415+IF($R$17="Distrato",$I$38-1,0)),IF(AND($L$37=0,$P$34=0),"",$L$37-1),IF($R$17="Distrato",$E415,0)),MIN(T$38,$D$19),$P$20))-SUM($P415:S415)</f>
        <v>#VALUE!</v>
      </c>
      <c r="U415" s="446" t="e">
        <f>IF(OR($B415="",MIN(U$38,$D$19)&lt;MAX($P$34*($B415+IF($R$17="Distrato",$I$38-1,0)),IF(AND($L$37=0,$P$34=0),"",$L$37-1),IF($R$17="Distrato",$E415,0))),0,YEARFRAC(MAX($P$34*($B415+IF($R$17="Distrato",$I$38-1,0)),IF(AND($L$37=0,$P$34=0),"",$L$37-1),IF($R$17="Distrato",$E415,0)),MIN(U$38,$D$19),$P$20))-SUM($P415:T415)</f>
        <v>#VALUE!</v>
      </c>
      <c r="V415" s="446" t="e">
        <f>IF(OR($B415="",MIN(V$38,$D$19)&lt;MAX($P$34*($B415+IF($R$17="Distrato",$I$38-1,0)),IF(AND($L$37=0,$P$34=0),"",$L$37-1),IF($R$17="Distrato",$E415,0))),0,YEARFRAC(MAX($P$34*($B415+IF($R$17="Distrato",$I$38-1,0)),IF(AND($L$37=0,$P$34=0),"",$L$37-1),IF($R$17="Distrato",$E415,0)),MIN(V$38,$D$19),$P$20))-SUM($P415:U415)</f>
        <v>#VALUE!</v>
      </c>
      <c r="W415" s="446" t="e">
        <f>IF(OR($B415="",MIN(W$38,$D$19)&lt;MAX($P$34*($B415+IF($R$17="Distrato",$I$38-1,0)),IF(AND($L$37=0,$P$34=0),"",$L$37-1),IF($R$17="Distrato",$E415,0))),0,YEARFRAC(MAX($P$34*($B415+IF($R$17="Distrato",$I$38-1,0)),IF(AND($L$37=0,$P$34=0),"",$L$37-1),IF($R$17="Distrato",$E415,0)),MIN(W$38,$D$19),$P$20))-SUM($P415:V415)</f>
        <v>#VALUE!</v>
      </c>
      <c r="X415" s="446" t="e">
        <f>IF(OR($B415="",MIN(X$38,$D$19)&lt;MAX($P$34*($B415+IF($R$17="Distrato",$I$38-1,0)),IF(AND($L$37=0,$P$34=0),"",$L$37-1),IF($R$17="Distrato",$E415,0))),0,YEARFRAC(MAX($P$34*($B415+IF($R$17="Distrato",$I$38-1,0)),IF(AND($L$37=0,$P$34=0),"",$L$37-1),IF($R$17="Distrato",$E415,0)),MIN(X$38,$D$19),$P$20))-SUM($P415:W415)</f>
        <v>#VALUE!</v>
      </c>
      <c r="Y415" s="446" t="e">
        <f>IF(OR($B415="",MIN(Y$38,$D$19)&lt;MAX($P$34*($B415+IF($R$17="Distrato",$I$38-1,0)),IF(AND($L$37=0,$P$34=0),"",$L$37-1),IF($R$17="Distrato",$E415,0))),0,YEARFRAC(MAX($P$34*($B415+IF($R$17="Distrato",$I$38-1,0)),IF(AND($L$37=0,$P$34=0),"",$L$37-1),IF($R$17="Distrato",$E415,0)),MIN(Y$38,$D$19),$P$20))-SUM($P415:X415)</f>
        <v>#VALUE!</v>
      </c>
      <c r="Z415" s="446" t="e">
        <f>IF(OR($B415="",MIN(Z$38,$D$19)&lt;MAX($P$34*($B415+IF($R$17="Distrato",$I$38-1,0)),IF(AND($L$37=0,$P$34=0),"",$L$37-1),IF($R$17="Distrato",$E415,0))),0,YEARFRAC(MAX($P$34*($B415+IF($R$17="Distrato",$I$38-1,0)),IF(AND($L$37=0,$P$34=0),"",$L$37-1),IF($R$17="Distrato",$E415,0)),MIN(Z$38,$D$19),$P$20))-SUM($P415:Y415)</f>
        <v>#VALUE!</v>
      </c>
      <c r="AA415" s="446" t="e">
        <f>IF(OR($B415="",MIN(AA$38,$D$19)&lt;MAX($P$34*($B415+IF($R$17="Distrato",$I$38-1,0)),IF(AND($L$37=0,$P$34=0),"",$L$37-1),IF($R$17="Distrato",$E415,0))),0,YEARFRAC(MAX($P$34*($B415+IF($R$17="Distrato",$I$38-1,0)),IF(AND($L$37=0,$P$34=0),"",$L$37-1),IF($R$17="Distrato",$E415,0)),MIN(AA$38,$D$19),$P$20))-SUM($P415:Z415)</f>
        <v>#VALUE!</v>
      </c>
      <c r="AB415" s="446" t="e">
        <f>IF(OR($B415="",MIN(AB$38,$D$19)&lt;MAX($P$34*($B415+IF($R$17="Distrato",$I$38-1,0)),IF(AND($L$37=0,$P$34=0),"",$L$37-1),IF($R$17="Distrato",$E415,0))),0,YEARFRAC(MAX($P$34*($B415+IF($R$17="Distrato",$I$38-1,0)),IF(AND($L$37=0,$P$34=0),"",$L$37-1),IF($R$17="Distrato",$E415,0)),MIN(AB$38,$D$19),$P$20))-SUM($P415:AA415)</f>
        <v>#VALUE!</v>
      </c>
      <c r="AC415" s="446" t="e">
        <f>IF(OR($B415="",MIN(AC$38,$D$19)&lt;MAX($P$34*($B415+IF($R$17="Distrato",$I$38-1,0)),IF(AND($L$37=0,$P$34=0),"",$L$37-1),IF($R$17="Distrato",$E415,0))),0,YEARFRAC(MAX($P$34*($B415+IF($R$17="Distrato",$I$38-1,0)),IF(AND($L$37=0,$P$34=0),"",$L$37-1),IF($R$17="Distrato",$E415,0)),MIN(AC$38,$D$19),$P$20))-SUM($P415:AB415)</f>
        <v>#VALUE!</v>
      </c>
      <c r="AD415" s="446" t="e">
        <f>IF(OR($B415="",MIN(AD$38,$D$19)&lt;MAX($P$34*($B415+IF($R$17="Distrato",$I$38-1,0)),IF(AND($L$37=0,$P$34=0),"",$L$37-1),IF($R$17="Distrato",$E415,0))),0,YEARFRAC(MAX($P$34*($B415+IF($R$17="Distrato",$I$38-1,0)),IF(AND($L$37=0,$P$34=0),"",$L$37-1),IF($R$17="Distrato",$E415,0)),MIN(AD$38,$D$19),$P$20))-SUM($P415:AC415)</f>
        <v>#VALUE!</v>
      </c>
      <c r="AE415" s="446" t="e">
        <f>IF(OR($B415="",MIN(AE$38,$D$19)&lt;MAX($P$34*($B415+IF($R$17="Distrato",$I$38-1,0)),IF(AND($L$37=0,$P$34=0),"",$L$37-1),IF($R$17="Distrato",$E415,0))),0,YEARFRAC(MAX($P$34*($B415+IF($R$17="Distrato",$I$38-1,0)),IF(AND($L$37=0,$P$34=0),"",$L$37-1),IF($R$17="Distrato",$E415,0)),MIN(AE$38,$D$19),$P$20))-SUM($P415:AD415)</f>
        <v>#VALUE!</v>
      </c>
      <c r="AF415" s="446" t="e">
        <f>IF(OR($B415="",MIN(AF$38,$D$19)&lt;MAX($P$34*($B415+IF($R$17="Distrato",$I$38-1,0)),IF(AND($L$37=0,$P$34=0),"",$L$37-1),IF($R$17="Distrato",$E415,0))),0,YEARFRAC(MAX($P$34*($B415+IF($R$17="Distrato",$I$38-1,0)),IF(AND($L$37=0,$P$34=0),"",$L$37-1),IF($R$17="Distrato",$E415,0)),MIN(AF$38,$D$19),$P$20))-SUM($P415:AE415)</f>
        <v>#VALUE!</v>
      </c>
      <c r="AG415" s="446" t="e">
        <f>IF(OR($B415="",MIN(AG$38,$D$19)&lt;MAX($P$34*($B415+IF($R$17="Distrato",$I$38-1,0)),IF(AND($L$37=0,$P$34=0),"",$L$37-1),IF($R$17="Distrato",$E415,0))),0,YEARFRAC(MAX($P$34*($B415+IF($R$17="Distrato",$I$38-1,0)),IF(AND($L$37=0,$P$34=0),"",$L$37-1),IF($R$17="Distrato",$E415,0)),MIN(AG$38,$D$19),$P$20))-SUM($P415:AF415)</f>
        <v>#VALUE!</v>
      </c>
      <c r="AH415" s="446" t="e">
        <f>IF(OR($B415="",MIN(AH$38,$D$19)&lt;MAX($P$34*($B415+IF($R$17="Distrato",$I$38-1,0)),IF(AND($L$37=0,$P$34=0),"",$L$37-1),IF($R$17="Distrato",$E415,0))),0,YEARFRAC(MAX($P$34*($B415+IF($R$17="Distrato",$I$38-1,0)),IF(AND($L$37=0,$P$34=0),"",$L$37-1),IF($R$17="Distrato",$E415,0)),MIN(AH$38,$D$19),$P$20))-SUM($P415:AG415)</f>
        <v>#VALUE!</v>
      </c>
      <c r="AI415" s="446" t="e">
        <f>IF(OR($B415="",MIN(AI$38,$D$19)&lt;MAX($P$34*($B415+IF($R$17="Distrato",$I$38-1,0)),IF(AND($L$37=0,$P$34=0),"",$L$37-1),IF($R$17="Distrato",$E415,0))),0,YEARFRAC(MAX($P$34*($B415+IF($R$17="Distrato",$I$38-1,0)),IF(AND($L$37=0,$P$34=0),"",$L$37-1),IF($R$17="Distrato",$E415,0)),MIN(AI$38,$D$19),$P$20))-SUM($P415:AH415)</f>
        <v>#VALUE!</v>
      </c>
      <c r="AJ415" s="446" t="e">
        <f>IF(OR($B415="",MIN(AJ$38,$D$19)&lt;MAX($P$34*($B415+IF($R$17="Distrato",$I$38-1,0)),IF(AND($L$37=0,$P$34=0),"",$L$37-1),IF($R$17="Distrato",$E415,0))),0,YEARFRAC(MAX($P$34*($B415+IF($R$17="Distrato",$I$38-1,0)),IF(AND($L$37=0,$P$34=0),"",$L$37-1),IF($R$17="Distrato",$E415,0)),MIN(AJ$38,$D$19),$P$20))-SUM($P415:AI415)</f>
        <v>#VALUE!</v>
      </c>
      <c r="AK415" s="446" t="e">
        <f>IF(OR($B415="",MIN(AK$38,$D$19)&lt;MAX($P$34*($B415+IF($R$17="Distrato",$I$38-1,0)),IF(AND($L$37=0,$P$34=0),"",$L$37-1),IF($R$17="Distrato",$E415,0))),0,YEARFRAC(MAX($P$34*($B415+IF($R$17="Distrato",$I$38-1,0)),IF(AND($L$37=0,$P$34=0),"",$L$37-1),IF($R$17="Distrato",$E415,0)),MIN(AK$38,$D$19),$P$20))-SUM($P415:AJ415)</f>
        <v>#VALUE!</v>
      </c>
      <c r="AL415" s="446" t="e">
        <f>IF(OR($B415="",MIN(AL$38,$D$19)&lt;MAX($P$34*($B415+IF($R$17="Distrato",$I$38-1,0)),IF(AND($L$37=0,$P$34=0),"",$L$37-1),IF($R$17="Distrato",$E415,0))),0,YEARFRAC(MAX($P$34*($B415+IF($R$17="Distrato",$I$38-1,0)),IF(AND($L$37=0,$P$34=0),"",$L$37-1),IF($R$17="Distrato",$E415,0)),MIN(AL$38,$D$19),$P$20))-SUM($P415:AK415)</f>
        <v>#VALUE!</v>
      </c>
      <c r="AM415" s="446" t="e">
        <f>IF(OR($B415="",MIN(AM$38,$D$19)&lt;MAX($P$34*($B415+IF($R$17="Distrato",$I$38-1,0)),IF(AND($L$37=0,$P$34=0),"",$L$37-1),IF($R$17="Distrato",$E415,0))),0,YEARFRAC(MAX($P$34*($B415+IF($R$17="Distrato",$I$38-1,0)),IF(AND($L$37=0,$P$34=0),"",$L$37-1),IF($R$17="Distrato",$E415,0)),MIN(AM$38,$D$19),$P$20))-SUM($P415:AL415)</f>
        <v>#VALUE!</v>
      </c>
      <c r="AN415" s="446" t="e">
        <f>IF(OR($B415="",MIN(AN$38,$D$19)&lt;MAX($P$34*($B415+IF($R$17="Distrato",$I$38-1,0)),IF(AND($L$37=0,$P$34=0),"",$L$37-1),IF($R$17="Distrato",$E415,0))),0,YEARFRAC(MAX($P$34*($B415+IF($R$17="Distrato",$I$38-1,0)),IF(AND($L$37=0,$P$34=0),"",$L$37-1),IF($R$17="Distrato",$E415,0)),MIN(AN$38,$D$19),$P$20))-SUM($P415:AM415)</f>
        <v>#VALUE!</v>
      </c>
      <c r="AO415" s="446" t="e">
        <f>IF(OR($B415="",MIN(AO$38,$D$19)&lt;MAX($P$34*($B415+IF($R$17="Distrato",$I$38-1,0)),IF(AND($L$37=0,$P$34=0),"",$L$37-1),IF($R$17="Distrato",$E415,0))),0,YEARFRAC(MAX($P$34*($B415+IF($R$17="Distrato",$I$38-1,0)),IF(AND($L$37=0,$P$34=0),"",$L$37-1),IF($R$17="Distrato",$E415,0)),MIN(AO$38,$D$19),$P$20))-SUM($P415:AN415)</f>
        <v>#VALUE!</v>
      </c>
      <c r="AP415" s="446" t="e">
        <f>IF(OR($B415="",MIN(AP$38,$D$19)&lt;MAX($P$34*($B415+IF($R$17="Distrato",$I$38-1,0)),IF(AND($L$37=0,$P$34=0),"",$L$37-1),IF($R$17="Distrato",$E415,0))),0,YEARFRAC(MAX($P$34*($B415+IF($R$17="Distrato",$I$38-1,0)),IF(AND($L$37=0,$P$34=0),"",$L$37-1),IF($R$17="Distrato",$E415,0)),MIN(AP$38,$D$19),$P$20))-SUM($P415:AO415)</f>
        <v>#VALUE!</v>
      </c>
      <c r="AQ415" s="446" t="e">
        <f>IF(OR($B415="",MIN(AQ$38,$D$19)&lt;MAX($P$34*($B415+IF($R$17="Distrato",$I$38-1,0)),IF(AND($L$37=0,$P$34=0),"",$L$37-1),IF($R$17="Distrato",$E415,0))),0,YEARFRAC(MAX($P$34*($B415+IF($R$17="Distrato",$I$38-1,0)),IF(AND($L$37=0,$P$34=0),"",$L$37-1),IF($R$17="Distrato",$E415,0)),MIN(AQ$38,$D$19),$P$20))-SUM($P415:AP415)</f>
        <v>#VALUE!</v>
      </c>
      <c r="AR415" s="446" t="e">
        <f>IF(OR($B415="",MIN(AR$38,$D$19)&lt;MAX($P$34*($B415+IF($R$17="Distrato",$I$38-1,0)),IF(AND($L$37=0,$P$34=0),"",$L$37-1),IF($R$17="Distrato",$E415,0))),0,YEARFRAC(MAX($P$34*($B415+IF($R$17="Distrato",$I$38-1,0)),IF(AND($L$37=0,$P$34=0),"",$L$37-1),IF($R$17="Distrato",$E415,0)),MIN(AR$38,$D$19),$P$20))-SUM($P415:AQ415)</f>
        <v>#VALUE!</v>
      </c>
      <c r="AS415" s="446" t="e">
        <f>IF(OR($B415="",MIN(AS$38,$D$19)&lt;MAX($P$34*($B415+IF($R$17="Distrato",$I$38-1,0)),IF(AND($L$37=0,$P$34=0),"",$L$37-1),IF($R$17="Distrato",$E415,0))),0,YEARFRAC(MAX($P$34*($B415+IF($R$17="Distrato",$I$38-1,0)),IF(AND($L$37=0,$P$34=0),"",$L$37-1),IF($R$17="Distrato",$E415,0)),MIN(AS$38,$D$19),$P$20))-SUM($P415:AR415)</f>
        <v>#VALUE!</v>
      </c>
      <c r="AT415" s="446" t="e">
        <f>IF(OR($B415="",MIN(AT$38,$D$19)&lt;MAX($P$34*($B415+IF($R$17="Distrato",$I$38-1,0)),IF(AND($L$37=0,$P$34=0),"",$L$37-1),IF($R$17="Distrato",$E415,0))),0,YEARFRAC(MAX($P$34*($B415+IF($R$17="Distrato",$I$38-1,0)),IF(AND($L$37=0,$P$34=0),"",$L$37-1),IF($R$17="Distrato",$E415,0)),MIN(AT$38,$D$19),$P$20))-SUM($P415:AS415)</f>
        <v>#VALUE!</v>
      </c>
      <c r="AU415" s="446" t="e">
        <f>IF(OR($B415="",MIN(AU$38,$D$19)&lt;MAX($P$34*($B415+IF($R$17="Distrato",$I$38-1,0)),IF(AND($L$37=0,$P$34=0),"",$L$37-1),IF($R$17="Distrato",$E415,0))),0,YEARFRAC(MAX($P$34*($B415+IF($R$17="Distrato",$I$38-1,0)),IF(AND($L$37=0,$P$34=0),"",$L$37-1),IF($R$17="Distrato",$E415,0)),MIN(AU$38,$D$19),$P$20))-SUM($P415:AT415)</f>
        <v>#VALUE!</v>
      </c>
      <c r="AV415" s="446" t="e">
        <f>IF(OR($B415="",MIN(AV$38,$D$19)&lt;MAX($P$34*($B415+IF($R$17="Distrato",$I$38-1,0)),IF(AND($L$37=0,$P$34=0),"",$L$37-1),IF($R$17="Distrato",$E415,0))),0,YEARFRAC(MAX($P$34*($B415+IF($R$17="Distrato",$I$38-1,0)),IF(AND($L$37=0,$P$34=0),"",$L$37-1),IF($R$17="Distrato",$E415,0)),MIN(AV$38,$D$19),$P$20))-SUM($P415:AU415)</f>
        <v>#VALUE!</v>
      </c>
      <c r="AW415" s="446" t="e">
        <f>IF(OR($B415="",MIN(AW$38,$D$19)&lt;MAX($P$34*($B415+IF($R$17="Distrato",$I$38-1,0)),IF(AND($L$37=0,$P$34=0),"",$L$37-1),IF($R$17="Distrato",$E415,0))),0,YEARFRAC(MAX($P$34*($B415+IF($R$17="Distrato",$I$38-1,0)),IF(AND($L$37=0,$P$34=0),"",$L$37-1),IF($R$17="Distrato",$E415,0)),MIN(AW$38,$D$19),$P$20))-SUM($P415:AV415)</f>
        <v>#VALUE!</v>
      </c>
      <c r="AX415" s="446" t="e">
        <f>IF(OR($B415="",MIN(AX$38,$D$19)&lt;MAX($P$34*($B415+IF($R$17="Distrato",$I$38-1,0)),IF(AND($L$37=0,$P$34=0),"",$L$37-1),IF($R$17="Distrato",$E415,0))),0,YEARFRAC(MAX($P$34*($B415+IF($R$17="Distrato",$I$38-1,0)),IF(AND($L$37=0,$P$34=0),"",$L$37-1),IF($R$17="Distrato",$E415,0)),MIN(AX$38,$D$19),$P$20))-SUM($P415:AW415)</f>
        <v>#VALUE!</v>
      </c>
      <c r="AY415" s="446" t="e">
        <f>IF(OR($B415="",MIN(AY$38,$D$19)&lt;MAX($P$34*($B415+IF($R$17="Distrato",$I$38-1,0)),IF(AND($L$37=0,$P$34=0),"",$L$37-1),IF($R$17="Distrato",$E415,0))),0,YEARFRAC(MAX($P$34*($B415+IF($R$17="Distrato",$I$38-1,0)),IF(AND($L$37=0,$P$34=0),"",$L$37-1),IF($R$17="Distrato",$E415,0)),MIN(AY$38,$D$19),$P$20))-SUM($P415:AX415)</f>
        <v>#VALUE!</v>
      </c>
      <c r="AZ415" s="446" t="e">
        <f>IF(OR($B415="",MIN(AZ$38,$D$19)&lt;MAX($P$34*($B415+IF($R$17="Distrato",$I$38-1,0)),IF(AND($L$37=0,$P$34=0),"",$L$37-1),IF($R$17="Distrato",$E415,0))),0,YEARFRAC(MAX($P$34*($B415+IF($R$17="Distrato",$I$38-1,0)),IF(AND($L$37=0,$P$34=0),"",$L$37-1),IF($R$17="Distrato",$E415,0)),MIN(AZ$38,$D$19),$P$20))-SUM($P415:AY415)</f>
        <v>#VALUE!</v>
      </c>
      <c r="BA415" s="446" t="e">
        <f>IF(OR($B415="",MIN(BA$38,$D$19)&lt;MAX($P$34*($B415+IF($R$17="Distrato",$I$38-1,0)),IF(AND($L$37=0,$P$34=0),"",$L$37-1),IF($R$17="Distrato",$E415,0))),0,YEARFRAC(MAX($P$34*($B415+IF($R$17="Distrato",$I$38-1,0)),IF(AND($L$37=0,$P$34=0),"",$L$37-1),IF($R$17="Distrato",$E415,0)),MIN(BA$38,$D$19),$P$20))-SUM($P415:AZ415)</f>
        <v>#VALUE!</v>
      </c>
      <c r="BB415" s="447"/>
      <c r="BF415" s="446">
        <f t="shared" si="65"/>
        <v>0</v>
      </c>
      <c r="BG415" s="446">
        <f>IF($E415=0,0,IF(MIN(BG$38,$E415)&lt;MAX($P$34*($B415+$I$38-1),IF(AND($L$37=0,$P$34=0),"",$L$37-1)),0,YEARFRAC(MAX($P$34*($B415+$I$38-1),IF(AND($L$37=0,$P$34=0),"",$L$37-1)),MIN(BG$38,$E415),$P$20))-SUM($BF415:BF415))</f>
        <v>0</v>
      </c>
      <c r="BH415" s="446">
        <f>IF($E415=0,0,IF(MIN(BH$38,$E415)&lt;MAX($P$34*($B415+$I$38-1),IF(AND($L$37=0,$P$34=0),"",$L$37-1)),0,YEARFRAC(MAX($P$34*($B415+$I$38-1),IF(AND($L$37=0,$P$34=0),"",$L$37-1)),MIN(BH$38,$E415),$P$20))-SUM($BF415:BG415))</f>
        <v>0</v>
      </c>
      <c r="BI415" s="446">
        <f>IF($E415=0,0,IF(MIN(BI$38,$E415)&lt;MAX($P$34*($B415+$I$38-1),IF(AND($L$37=0,$P$34=0),"",$L$37-1)),0,YEARFRAC(MAX($P$34*($B415+$I$38-1),IF(AND($L$37=0,$P$34=0),"",$L$37-1)),MIN(BI$38,$E415),$P$20))-SUM($BF415:BH415))</f>
        <v>0</v>
      </c>
      <c r="BJ415" s="446">
        <f>IF($E415=0,0,IF(MIN(BJ$38,$E415)&lt;MAX($P$34*($B415+$I$38-1),IF(AND($L$37=0,$P$34=0),"",$L$37-1)),0,YEARFRAC(MAX($P$34*($B415+$I$38-1),IF(AND($L$37=0,$P$34=0),"",$L$37-1)),MIN(BJ$38,$E415),$P$20))-SUM($BF415:BI415))</f>
        <v>0</v>
      </c>
      <c r="BK415" s="446">
        <f>IF($E415=0,0,IF(MIN(BK$38,$E415)&lt;MAX($P$34*($B415+$I$38-1),IF(AND($L$37=0,$P$34=0),"",$L$37-1)),0,YEARFRAC(MAX($P$34*($B415+$I$38-1),IF(AND($L$37=0,$P$34=0),"",$L$37-1)),MIN(BK$38,$E415),$P$20))-SUM($BF415:BJ415))</f>
        <v>0</v>
      </c>
      <c r="BL415" s="446">
        <f>IF($E415=0,0,IF(MIN(BL$38,$E415)&lt;MAX($P$34*($B415+$I$38-1),IF(AND($L$37=0,$P$34=0),"",$L$37-1)),0,YEARFRAC(MAX($P$34*($B415+$I$38-1),IF(AND($L$37=0,$P$34=0),"",$L$37-1)),MIN(BL$38,$E415),$P$20))-SUM($BF415:BK415))</f>
        <v>0</v>
      </c>
      <c r="BM415" s="446">
        <f>IF($E415=0,0,IF(MIN(BM$38,$E415)&lt;MAX($P$34*($B415+$I$38-1),IF(AND($L$37=0,$P$34=0),"",$L$37-1)),0,YEARFRAC(MAX($P$34*($B415+$I$38-1),IF(AND($L$37=0,$P$34=0),"",$L$37-1)),MIN(BM$38,$E415),$P$20))-SUM($BF415:BL415))</f>
        <v>0</v>
      </c>
      <c r="BN415" s="446">
        <f>IF($E415=0,0,IF(MIN(BN$38,$E415)&lt;MAX($P$34*($B415+$I$38-1),IF(AND($L$37=0,$P$34=0),"",$L$37-1)),0,YEARFRAC(MAX($P$34*($B415+$I$38-1),IF(AND($L$37=0,$P$34=0),"",$L$37-1)),MIN(BN$38,$E415),$P$20))-SUM($BF415:BM415))</f>
        <v>0</v>
      </c>
      <c r="BO415" s="446">
        <f>IF($E415=0,0,IF(MIN(BO$38,$E415)&lt;MAX($P$34*($B415+$I$38-1),IF(AND($L$37=0,$P$34=0),"",$L$37-1)),0,YEARFRAC(MAX($P$34*($B415+$I$38-1),IF(AND($L$37=0,$P$34=0),"",$L$37-1)),MIN(BO$38,$E415),$P$20))-SUM($BF415:BN415))</f>
        <v>0</v>
      </c>
      <c r="BP415" s="446">
        <f>IF($E415=0,0,IF(MIN(BP$38,$E415)&lt;MAX($P$34*($B415+$I$38-1),IF(AND($L$37=0,$P$34=0),"",$L$37-1)),0,YEARFRAC(MAX($P$34*($B415+$I$38-1),IF(AND($L$37=0,$P$34=0),"",$L$37-1)),MIN(BP$38,$E415),$P$20))-SUM($BF415:BO415))</f>
        <v>0</v>
      </c>
      <c r="BQ415" s="446">
        <f>IF($E415=0,0,IF(MIN(BQ$38,$E415)&lt;MAX($P$34*($B415+$I$38-1),IF(AND($L$37=0,$P$34=0),"",$L$37-1)),0,YEARFRAC(MAX($P$34*($B415+$I$38-1),IF(AND($L$37=0,$P$34=0),"",$L$37-1)),MIN(BQ$38,$E415),$P$20))-SUM($BF415:BP415))</f>
        <v>0</v>
      </c>
      <c r="BR415" s="446">
        <f>IF($E415=0,0,IF(MIN(BR$38,$E415)&lt;MAX($P$34*($B415+$I$38-1),IF(AND($L$37=0,$P$34=0),"",$L$37-1)),0,YEARFRAC(MAX($P$34*($B415+$I$38-1),IF(AND($L$37=0,$P$34=0),"",$L$37-1)),MIN(BR$38,$E415),$P$20))-SUM($BF415:BQ415))</f>
        <v>0</v>
      </c>
      <c r="BS415" s="446">
        <f>IF($E415=0,0,IF(MIN(BS$38,$E415)&lt;MAX($P$34*($B415+$I$38-1),IF(AND($L$37=0,$P$34=0),"",$L$37-1)),0,YEARFRAC(MAX($P$34*($B415+$I$38-1),IF(AND($L$37=0,$P$34=0),"",$L$37-1)),MIN(BS$38,$E415),$P$20))-SUM($BF415:BR415))</f>
        <v>0</v>
      </c>
      <c r="BT415" s="446">
        <f>IF($E415=0,0,IF(MIN(BT$38,$E415)&lt;MAX($P$34*($B415+$I$38-1),IF(AND($L$37=0,$P$34=0),"",$L$37-1)),0,YEARFRAC(MAX($P$34*($B415+$I$38-1),IF(AND($L$37=0,$P$34=0),"",$L$37-1)),MIN(BT$38,$E415),$P$20))-SUM($BF415:BS415))</f>
        <v>0</v>
      </c>
      <c r="BU415" s="446">
        <f>IF($E415=0,0,IF(MIN(BU$38,$E415)&lt;MAX($P$34*($B415+$I$38-1),IF(AND($L$37=0,$P$34=0),"",$L$37-1)),0,YEARFRAC(MAX($P$34*($B415+$I$38-1),IF(AND($L$37=0,$P$34=0),"",$L$37-1)),MIN(BU$38,$E415),$P$20))-SUM($BF415:BT415))</f>
        <v>0</v>
      </c>
      <c r="BV415" s="446">
        <f>IF($E415=0,0,IF(MIN(BV$38,$E415)&lt;MAX($P$34*($B415+$I$38-1),IF(AND($L$37=0,$P$34=0),"",$L$37-1)),0,YEARFRAC(MAX($P$34*($B415+$I$38-1),IF(AND($L$37=0,$P$34=0),"",$L$37-1)),MIN(BV$38,$E415),$P$20))-SUM($BF415:BU415))</f>
        <v>0</v>
      </c>
      <c r="BW415" s="446">
        <f>IF($E415=0,0,IF(MIN(BW$38,$E415)&lt;MAX($P$34*($B415+$I$38-1),IF(AND($L$37=0,$P$34=0),"",$L$37-1)),0,YEARFRAC(MAX($P$34*($B415+$I$38-1),IF(AND($L$37=0,$P$34=0),"",$L$37-1)),MIN(BW$38,$E415),$P$20))-SUM($BF415:BV415))</f>
        <v>0</v>
      </c>
      <c r="BX415" s="446">
        <f>IF($E415=0,0,IF(MIN(BX$38,$E415)&lt;MAX($P$34*($B415+$I$38-1),IF(AND($L$37=0,$P$34=0),"",$L$37-1)),0,YEARFRAC(MAX($P$34*($B415+$I$38-1),IF(AND($L$37=0,$P$34=0),"",$L$37-1)),MIN(BX$38,$E415),$P$20))-SUM($BF415:BW415))</f>
        <v>0</v>
      </c>
      <c r="BY415" s="446">
        <f>IF($E415=0,0,IF(MIN(BY$38,$E415)&lt;MAX($P$34*($B415+$I$38-1),IF(AND($L$37=0,$P$34=0),"",$L$37-1)),0,YEARFRAC(MAX($P$34*($B415+$I$38-1),IF(AND($L$37=0,$P$34=0),"",$L$37-1)),MIN(BY$38,$E415),$P$20))-SUM($BF415:BX415))</f>
        <v>0</v>
      </c>
      <c r="BZ415" s="446">
        <f>IF($E415=0,0,IF(MIN(BZ$38,$E415)&lt;MAX($P$34*($B415+$I$38-1),IF(AND($L$37=0,$P$34=0),"",$L$37-1)),0,YEARFRAC(MAX($P$34*($B415+$I$38-1),IF(AND($L$37=0,$P$34=0),"",$L$37-1)),MIN(BZ$38,$E415),$P$20))-SUM($BF415:BY415))</f>
        <v>0</v>
      </c>
      <c r="CA415" s="446">
        <f>IF($E415=0,0,IF(MIN(CA$38,$E415)&lt;MAX($P$34*($B415+$I$38-1),IF(AND($L$37=0,$P$34=0),"",$L$37-1)),0,YEARFRAC(MAX($P$34*($B415+$I$38-1),IF(AND($L$37=0,$P$34=0),"",$L$37-1)),MIN(CA$38,$E415),$P$20))-SUM($BF415:BZ415))</f>
        <v>0</v>
      </c>
      <c r="CB415" s="446">
        <f>IF($E415=0,0,IF(MIN(CB$38,$E415)&lt;MAX($P$34*($B415+$I$38-1),IF(AND($L$37=0,$P$34=0),"",$L$37-1)),0,YEARFRAC(MAX($P$34*($B415+$I$38-1),IF(AND($L$37=0,$P$34=0),"",$L$37-1)),MIN(CB$38,$E415),$P$20))-SUM($BF415:CA415))</f>
        <v>0</v>
      </c>
      <c r="CC415" s="446">
        <f>IF($E415=0,0,IF(MIN(CC$38,$E415)&lt;MAX($P$34*($B415+$I$38-1),IF(AND($L$37=0,$P$34=0),"",$L$37-1)),0,YEARFRAC(MAX($P$34*($B415+$I$38-1),IF(AND($L$37=0,$P$34=0),"",$L$37-1)),MIN(CC$38,$E415),$P$20))-SUM($BF415:CB415))</f>
        <v>0</v>
      </c>
      <c r="CD415" s="446">
        <f>IF($E415=0,0,IF(MIN(CD$38,$E415)&lt;MAX($P$34*($B415+$I$38-1),IF(AND($L$37=0,$P$34=0),"",$L$37-1)),0,YEARFRAC(MAX($P$34*($B415+$I$38-1),IF(AND($L$37=0,$P$34=0),"",$L$37-1)),MIN(CD$38,$E415),$P$20))-SUM($BF415:CC415))</f>
        <v>0</v>
      </c>
      <c r="CE415" s="446">
        <f>IF($E415=0,0,IF(MIN(CE$38,$E415)&lt;MAX($P$34*($B415+$I$38-1),IF(AND($L$37=0,$P$34=0),"",$L$37-1)),0,YEARFRAC(MAX($P$34*($B415+$I$38-1),IF(AND($L$37=0,$P$34=0),"",$L$37-1)),MIN(CE$38,$E415),$P$20))-SUM($BF415:CD415))</f>
        <v>0</v>
      </c>
      <c r="CF415" s="446">
        <f>IF($E415=0,0,IF(MIN(CF$38,$E415)&lt;MAX($P$34*($B415+$I$38-1),IF(AND($L$37=0,$P$34=0),"",$L$37-1)),0,YEARFRAC(MAX($P$34*($B415+$I$38-1),IF(AND($L$37=0,$P$34=0),"",$L$37-1)),MIN(CF$38,$E415),$P$20))-SUM($BF415:CE415))</f>
        <v>0</v>
      </c>
      <c r="CG415" s="446">
        <f>IF($E415=0,0,IF(MIN(CG$38,$E415)&lt;MAX($P$34*($B415+$I$38-1),IF(AND($L$37=0,$P$34=0),"",$L$37-1)),0,YEARFRAC(MAX($P$34*($B415+$I$38-1),IF(AND($L$37=0,$P$34=0),"",$L$37-1)),MIN(CG$38,$E415),$P$20))-SUM($BF415:CF415))</f>
        <v>0</v>
      </c>
      <c r="CH415" s="446">
        <f>IF($E415=0,0,IF(MIN(CH$38,$E415)&lt;MAX($P$34*($B415+$I$38-1),IF(AND($L$37=0,$P$34=0),"",$L$37-1)),0,YEARFRAC(MAX($P$34*($B415+$I$38-1),IF(AND($L$37=0,$P$34=0),"",$L$37-1)),MIN(CH$38,$E415),$P$20))-SUM($BF415:CG415))</f>
        <v>0</v>
      </c>
      <c r="CI415" s="446">
        <f>IF($E415=0,0,IF(MIN(CI$38,$E415)&lt;MAX($P$34*($B415+$I$38-1),IF(AND($L$37=0,$P$34=0),"",$L$37-1)),0,YEARFRAC(MAX($P$34*($B415+$I$38-1),IF(AND($L$37=0,$P$34=0),"",$L$37-1)),MIN(CI$38,$E415),$P$20))-SUM($BF415:CH415))</f>
        <v>0</v>
      </c>
      <c r="CJ415" s="446">
        <f>IF($E415=0,0,IF(MIN(CJ$38,$E415)&lt;MAX($P$34*($B415+$I$38-1),IF(AND($L$37=0,$P$34=0),"",$L$37-1)),0,YEARFRAC(MAX($P$34*($B415+$I$38-1),IF(AND($L$37=0,$P$34=0),"",$L$37-1)),MIN(CJ$38,$E415),$P$20))-SUM($BF415:CI415))</f>
        <v>0</v>
      </c>
      <c r="CK415" s="446">
        <f>IF($E415=0,0,IF(MIN(CK$38,$E415)&lt;MAX($P$34*($B415+$I$38-1),IF(AND($L$37=0,$P$34=0),"",$L$37-1)),0,YEARFRAC(MAX($P$34*($B415+$I$38-1),IF(AND($L$37=0,$P$34=0),"",$L$37-1)),MIN(CK$38,$E415),$P$20))-SUM($BF415:CJ415))</f>
        <v>0</v>
      </c>
      <c r="CL415" s="446">
        <f>IF($E415=0,0,IF(MIN(CL$38,$E415)&lt;MAX($P$34*($B415+$I$38-1),IF(AND($L$37=0,$P$34=0),"",$L$37-1)),0,YEARFRAC(MAX($P$34*($B415+$I$38-1),IF(AND($L$37=0,$P$34=0),"",$L$37-1)),MIN(CL$38,$E415),$P$20))-SUM($BF415:CK415))</f>
        <v>0</v>
      </c>
      <c r="CM415" s="446">
        <f>IF($E415=0,0,IF(MIN(CM$38,$E415)&lt;MAX($P$34*($B415+$I$38-1),IF(AND($L$37=0,$P$34=0),"",$L$37-1)),0,YEARFRAC(MAX($P$34*($B415+$I$38-1),IF(AND($L$37=0,$P$34=0),"",$L$37-1)),MIN(CM$38,$E415),$P$20))-SUM($BF415:CL415))</f>
        <v>0</v>
      </c>
      <c r="CN415" s="446">
        <f>IF($E415=0,0,IF(MIN(CN$38,$E415)&lt;MAX($P$34*($B415+$I$38-1),IF(AND($L$37=0,$P$34=0),"",$L$37-1)),0,YEARFRAC(MAX($P$34*($B415+$I$38-1),IF(AND($L$37=0,$P$34=0),"",$L$37-1)),MIN(CN$38,$E415),$P$20))-SUM($BF415:CM415))</f>
        <v>0</v>
      </c>
      <c r="CO415" s="446">
        <f>IF($E415=0,0,IF(MIN(CO$38,$E415)&lt;MAX($P$34*($B415+$I$38-1),IF(AND($L$37=0,$P$34=0),"",$L$37-1)),0,YEARFRAC(MAX($P$34*($B415+$I$38-1),IF(AND($L$37=0,$P$34=0),"",$L$37-1)),MIN(CO$38,$E415),$P$20))-SUM($BF415:CN415))</f>
        <v>0</v>
      </c>
      <c r="CP415" s="446">
        <f>IF($E415=0,0,IF(MIN(CP$38,$E415)&lt;MAX($P$34*($B415+$I$38-1),IF(AND($L$37=0,$P$34=0),"",$L$37-1)),0,YEARFRAC(MAX($P$34*($B415+$I$38-1),IF(AND($L$37=0,$P$34=0),"",$L$37-1)),MIN(CP$38,$E415),$P$20))-SUM($BF415:CO415))</f>
        <v>0</v>
      </c>
      <c r="CQ415" s="446">
        <f>IF($E415=0,0,IF(MIN(CQ$38,$E415)&lt;MAX($P$34*($B415+$I$38-1),IF(AND($L$37=0,$P$34=0),"",$L$37-1)),0,YEARFRAC(MAX($P$34*($B415+$I$38-1),IF(AND($L$37=0,$P$34=0),"",$L$37-1)),MIN(CQ$38,$E415),$P$20))-SUM($BF415:CP415))</f>
        <v>0</v>
      </c>
    </row>
    <row r="416" spans="1:95" s="446" customFormat="1" ht="11.25" hidden="1" customHeight="1" x14ac:dyDescent="0.2">
      <c r="A416" s="152"/>
      <c r="B416" s="153" t="str">
        <f t="shared" si="70"/>
        <v/>
      </c>
      <c r="C416" s="29" t="str">
        <f>IF(B416="","",IF($L$35="SELIC - TRIBUTOS",VLOOKUP(DATE(YEAR($D$19),MONTH($D$19)-1,1),ÍNDICES!$A:$DE,HLOOKUP($BL$25,ÍNDICES!$B$3:$T$4,2)+11)-VLOOKUP(B416,ÍNDICES!$A:$DE,HLOOKUP($BL$25,ÍNDICES!$B$3:$T$4,2)+11)+1%,IF(C$38=$W$26,$J$35,IF(ISERROR(IF(B416&gt;$D$19,1,VLOOKUP(DATE(YEAR(B416),MONTH(B416)+IF($C$35=$S$23,1,0),1),ÍNDICES!$A:$DE,$Z$35+1))),"",IF(B416&gt;$D$19,1,VLOOKUP(DATE(YEAR(B416),MONTH(B416)+IF($C$35=$S$23,1,0),1),ÍNDICES!$A:$DE,$Z$35+1))))))</f>
        <v/>
      </c>
      <c r="D416" s="154" t="str">
        <f>IF(ISERROR(IF(OR($D$38=$Y$27,$B416=""),"",VLOOKUP(B416,ÍNDICES!A:DE,AF$35+1))),"",IF(OR($D$38=$Y$27,$B416=""),"",VLOOKUP(B416,ÍNDICES!A:DE,AF$35+1)))</f>
        <v/>
      </c>
      <c r="E416" s="153"/>
      <c r="F416" s="29" t="str">
        <f>IF(E416="","",IF($L$35="SELIC - TRIBUTOS",VLOOKUP(DATE(YEAR($D$19),MONTH($D$19)-1,1),ÍNDICES!$A:$DE,HLOOKUP($BL$25,ÍNDICES!$B$3:$T$4,2)+11)-VLOOKUP(E416,ÍNDICES!$A:$DE,HLOOKUP($BL$25,ÍNDICES!$B$3:$T$4,2)+11)+1%,IF(F$38=$W$26,$J$35,IF(ISERROR(IF(E416&gt;$D$19,1,VLOOKUP(DATE(YEAR(E416),MONTH(E416)+IF($C$35=$S$23,1,0),1),ÍNDICES!$A:$DE,$Z$35+1))),"",IF(E416&gt;$D$19,1,VLOOKUP(DATE(YEAR(E416),MONTH(E416)+IF($C$35=$S$23,1,0),1),ÍNDICES!$A:$DE,$Z$35+1))))))</f>
        <v/>
      </c>
      <c r="G416" s="155"/>
      <c r="H416" s="156" t="str">
        <f t="shared" si="66"/>
        <v/>
      </c>
      <c r="I416" s="29" t="str">
        <f t="shared" si="60"/>
        <v/>
      </c>
      <c r="J416" s="5">
        <f t="shared" si="61"/>
        <v>0</v>
      </c>
      <c r="K416" s="20">
        <f t="shared" ca="1" si="62"/>
        <v>0</v>
      </c>
      <c r="L416" s="5">
        <f t="shared" ca="1" si="63"/>
        <v>0</v>
      </c>
      <c r="M416" s="64">
        <f t="shared" si="67"/>
        <v>0</v>
      </c>
      <c r="N416" s="61">
        <f t="shared" ca="1" si="68"/>
        <v>0</v>
      </c>
      <c r="O416" s="5">
        <f t="shared" ca="1" si="69"/>
        <v>0</v>
      </c>
      <c r="P416" s="446" t="e">
        <f t="shared" si="64"/>
        <v>#VALUE!</v>
      </c>
      <c r="Q416" s="446" t="e">
        <f>IF(OR($B416="",MIN(Q$38,$D$19)&lt;MAX($P$34*($B416+IF($R$17="Distrato",$I$38-1,0)),IF(AND($L$37=0,$P$34=0),"",$L$37-1),IF($R$17="Distrato",$E416,0))),0,YEARFRAC(MAX($P$34*($B416+IF($R$17="Distrato",$I$38-1,0)),IF(AND($L$37=0,$P$34=0),"",$L$37-1),IF($R$17="Distrato",$E416,0)),MIN(Q$38,$D$19),$P$20))-SUM($P416:P416)</f>
        <v>#VALUE!</v>
      </c>
      <c r="R416" s="446" t="e">
        <f>IF(OR($B416="",MIN(R$38,$D$19)&lt;MAX($P$34*($B416+IF($R$17="Distrato",$I$38-1,0)),IF(AND($L$37=0,$P$34=0),"",$L$37-1),IF($R$17="Distrato",$E416,0))),0,YEARFRAC(MAX($P$34*($B416+IF($R$17="Distrato",$I$38-1,0)),IF(AND($L$37=0,$P$34=0),"",$L$37-1),IF($R$17="Distrato",$E416,0)),MIN(R$38,$D$19),$P$20))-SUM($P416:Q416)</f>
        <v>#VALUE!</v>
      </c>
      <c r="S416" s="446" t="e">
        <f>IF(OR($B416="",MIN(S$38,$D$19)&lt;MAX($P$34*($B416+IF($R$17="Distrato",$I$38-1,0)),IF(AND($L$37=0,$P$34=0),"",$L$37-1),IF($R$17="Distrato",$E416,0))),0,YEARFRAC(MAX($P$34*($B416+IF($R$17="Distrato",$I$38-1,0)),IF(AND($L$37=0,$P$34=0),"",$L$37-1),IF($R$17="Distrato",$E416,0)),MIN(S$38,$D$19),$P$20))-SUM($P416:R416)</f>
        <v>#VALUE!</v>
      </c>
      <c r="T416" s="446" t="e">
        <f>IF(OR($B416="",MIN(T$38,$D$19)&lt;MAX($P$34*($B416+IF($R$17="Distrato",$I$38-1,0)),IF(AND($L$37=0,$P$34=0),"",$L$37-1),IF($R$17="Distrato",$E416,0))),0,YEARFRAC(MAX($P$34*($B416+IF($R$17="Distrato",$I$38-1,0)),IF(AND($L$37=0,$P$34=0),"",$L$37-1),IF($R$17="Distrato",$E416,0)),MIN(T$38,$D$19),$P$20))-SUM($P416:S416)</f>
        <v>#VALUE!</v>
      </c>
      <c r="U416" s="446" t="e">
        <f>IF(OR($B416="",MIN(U$38,$D$19)&lt;MAX($P$34*($B416+IF($R$17="Distrato",$I$38-1,0)),IF(AND($L$37=0,$P$34=0),"",$L$37-1),IF($R$17="Distrato",$E416,0))),0,YEARFRAC(MAX($P$34*($B416+IF($R$17="Distrato",$I$38-1,0)),IF(AND($L$37=0,$P$34=0),"",$L$37-1),IF($R$17="Distrato",$E416,0)),MIN(U$38,$D$19),$P$20))-SUM($P416:T416)</f>
        <v>#VALUE!</v>
      </c>
      <c r="V416" s="446" t="e">
        <f>IF(OR($B416="",MIN(V$38,$D$19)&lt;MAX($P$34*($B416+IF($R$17="Distrato",$I$38-1,0)),IF(AND($L$37=0,$P$34=0),"",$L$37-1),IF($R$17="Distrato",$E416,0))),0,YEARFRAC(MAX($P$34*($B416+IF($R$17="Distrato",$I$38-1,0)),IF(AND($L$37=0,$P$34=0),"",$L$37-1),IF($R$17="Distrato",$E416,0)),MIN(V$38,$D$19),$P$20))-SUM($P416:U416)</f>
        <v>#VALUE!</v>
      </c>
      <c r="W416" s="446" t="e">
        <f>IF(OR($B416="",MIN(W$38,$D$19)&lt;MAX($P$34*($B416+IF($R$17="Distrato",$I$38-1,0)),IF(AND($L$37=0,$P$34=0),"",$L$37-1),IF($R$17="Distrato",$E416,0))),0,YEARFRAC(MAX($P$34*($B416+IF($R$17="Distrato",$I$38-1,0)),IF(AND($L$37=0,$P$34=0),"",$L$37-1),IF($R$17="Distrato",$E416,0)),MIN(W$38,$D$19),$P$20))-SUM($P416:V416)</f>
        <v>#VALUE!</v>
      </c>
      <c r="X416" s="446" t="e">
        <f>IF(OR($B416="",MIN(X$38,$D$19)&lt;MAX($P$34*($B416+IF($R$17="Distrato",$I$38-1,0)),IF(AND($L$37=0,$P$34=0),"",$L$37-1),IF($R$17="Distrato",$E416,0))),0,YEARFRAC(MAX($P$34*($B416+IF($R$17="Distrato",$I$38-1,0)),IF(AND($L$37=0,$P$34=0),"",$L$37-1),IF($R$17="Distrato",$E416,0)),MIN(X$38,$D$19),$P$20))-SUM($P416:W416)</f>
        <v>#VALUE!</v>
      </c>
      <c r="Y416" s="446" t="e">
        <f>IF(OR($B416="",MIN(Y$38,$D$19)&lt;MAX($P$34*($B416+IF($R$17="Distrato",$I$38-1,0)),IF(AND($L$37=0,$P$34=0),"",$L$37-1),IF($R$17="Distrato",$E416,0))),0,YEARFRAC(MAX($P$34*($B416+IF($R$17="Distrato",$I$38-1,0)),IF(AND($L$37=0,$P$34=0),"",$L$37-1),IF($R$17="Distrato",$E416,0)),MIN(Y$38,$D$19),$P$20))-SUM($P416:X416)</f>
        <v>#VALUE!</v>
      </c>
      <c r="Z416" s="446" t="e">
        <f>IF(OR($B416="",MIN(Z$38,$D$19)&lt;MAX($P$34*($B416+IF($R$17="Distrato",$I$38-1,0)),IF(AND($L$37=0,$P$34=0),"",$L$37-1),IF($R$17="Distrato",$E416,0))),0,YEARFRAC(MAX($P$34*($B416+IF($R$17="Distrato",$I$38-1,0)),IF(AND($L$37=0,$P$34=0),"",$L$37-1),IF($R$17="Distrato",$E416,0)),MIN(Z$38,$D$19),$P$20))-SUM($P416:Y416)</f>
        <v>#VALUE!</v>
      </c>
      <c r="AA416" s="446" t="e">
        <f>IF(OR($B416="",MIN(AA$38,$D$19)&lt;MAX($P$34*($B416+IF($R$17="Distrato",$I$38-1,0)),IF(AND($L$37=0,$P$34=0),"",$L$37-1),IF($R$17="Distrato",$E416,0))),0,YEARFRAC(MAX($P$34*($B416+IF($R$17="Distrato",$I$38-1,0)),IF(AND($L$37=0,$P$34=0),"",$L$37-1),IF($R$17="Distrato",$E416,0)),MIN(AA$38,$D$19),$P$20))-SUM($P416:Z416)</f>
        <v>#VALUE!</v>
      </c>
      <c r="AB416" s="446" t="e">
        <f>IF(OR($B416="",MIN(AB$38,$D$19)&lt;MAX($P$34*($B416+IF($R$17="Distrato",$I$38-1,0)),IF(AND($L$37=0,$P$34=0),"",$L$37-1),IF($R$17="Distrato",$E416,0))),0,YEARFRAC(MAX($P$34*($B416+IF($R$17="Distrato",$I$38-1,0)),IF(AND($L$37=0,$P$34=0),"",$L$37-1),IF($R$17="Distrato",$E416,0)),MIN(AB$38,$D$19),$P$20))-SUM($P416:AA416)</f>
        <v>#VALUE!</v>
      </c>
      <c r="AC416" s="446" t="e">
        <f>IF(OR($B416="",MIN(AC$38,$D$19)&lt;MAX($P$34*($B416+IF($R$17="Distrato",$I$38-1,0)),IF(AND($L$37=0,$P$34=0),"",$L$37-1),IF($R$17="Distrato",$E416,0))),0,YEARFRAC(MAX($P$34*($B416+IF($R$17="Distrato",$I$38-1,0)),IF(AND($L$37=0,$P$34=0),"",$L$37-1),IF($R$17="Distrato",$E416,0)),MIN(AC$38,$D$19),$P$20))-SUM($P416:AB416)</f>
        <v>#VALUE!</v>
      </c>
      <c r="AD416" s="446" t="e">
        <f>IF(OR($B416="",MIN(AD$38,$D$19)&lt;MAX($P$34*($B416+IF($R$17="Distrato",$I$38-1,0)),IF(AND($L$37=0,$P$34=0),"",$L$37-1),IF($R$17="Distrato",$E416,0))),0,YEARFRAC(MAX($P$34*($B416+IF($R$17="Distrato",$I$38-1,0)),IF(AND($L$37=0,$P$34=0),"",$L$37-1),IF($R$17="Distrato",$E416,0)),MIN(AD$38,$D$19),$P$20))-SUM($P416:AC416)</f>
        <v>#VALUE!</v>
      </c>
      <c r="AE416" s="446" t="e">
        <f>IF(OR($B416="",MIN(AE$38,$D$19)&lt;MAX($P$34*($B416+IF($R$17="Distrato",$I$38-1,0)),IF(AND($L$37=0,$P$34=0),"",$L$37-1),IF($R$17="Distrato",$E416,0))),0,YEARFRAC(MAX($P$34*($B416+IF($R$17="Distrato",$I$38-1,0)),IF(AND($L$37=0,$P$34=0),"",$L$37-1),IF($R$17="Distrato",$E416,0)),MIN(AE$38,$D$19),$P$20))-SUM($P416:AD416)</f>
        <v>#VALUE!</v>
      </c>
      <c r="AF416" s="446" t="e">
        <f>IF(OR($B416="",MIN(AF$38,$D$19)&lt;MAX($P$34*($B416+IF($R$17="Distrato",$I$38-1,0)),IF(AND($L$37=0,$P$34=0),"",$L$37-1),IF($R$17="Distrato",$E416,0))),0,YEARFRAC(MAX($P$34*($B416+IF($R$17="Distrato",$I$38-1,0)),IF(AND($L$37=0,$P$34=0),"",$L$37-1),IF($R$17="Distrato",$E416,0)),MIN(AF$38,$D$19),$P$20))-SUM($P416:AE416)</f>
        <v>#VALUE!</v>
      </c>
      <c r="AG416" s="446" t="e">
        <f>IF(OR($B416="",MIN(AG$38,$D$19)&lt;MAX($P$34*($B416+IF($R$17="Distrato",$I$38-1,0)),IF(AND($L$37=0,$P$34=0),"",$L$37-1),IF($R$17="Distrato",$E416,0))),0,YEARFRAC(MAX($P$34*($B416+IF($R$17="Distrato",$I$38-1,0)),IF(AND($L$37=0,$P$34=0),"",$L$37-1),IF($R$17="Distrato",$E416,0)),MIN(AG$38,$D$19),$P$20))-SUM($P416:AF416)</f>
        <v>#VALUE!</v>
      </c>
      <c r="AH416" s="446" t="e">
        <f>IF(OR($B416="",MIN(AH$38,$D$19)&lt;MAX($P$34*($B416+IF($R$17="Distrato",$I$38-1,0)),IF(AND($L$37=0,$P$34=0),"",$L$37-1),IF($R$17="Distrato",$E416,0))),0,YEARFRAC(MAX($P$34*($B416+IF($R$17="Distrato",$I$38-1,0)),IF(AND($L$37=0,$P$34=0),"",$L$37-1),IF($R$17="Distrato",$E416,0)),MIN(AH$38,$D$19),$P$20))-SUM($P416:AG416)</f>
        <v>#VALUE!</v>
      </c>
      <c r="AI416" s="446" t="e">
        <f>IF(OR($B416="",MIN(AI$38,$D$19)&lt;MAX($P$34*($B416+IF($R$17="Distrato",$I$38-1,0)),IF(AND($L$37=0,$P$34=0),"",$L$37-1),IF($R$17="Distrato",$E416,0))),0,YEARFRAC(MAX($P$34*($B416+IF($R$17="Distrato",$I$38-1,0)),IF(AND($L$37=0,$P$34=0),"",$L$37-1),IF($R$17="Distrato",$E416,0)),MIN(AI$38,$D$19),$P$20))-SUM($P416:AH416)</f>
        <v>#VALUE!</v>
      </c>
      <c r="AJ416" s="446" t="e">
        <f>IF(OR($B416="",MIN(AJ$38,$D$19)&lt;MAX($P$34*($B416+IF($R$17="Distrato",$I$38-1,0)),IF(AND($L$37=0,$P$34=0),"",$L$37-1),IF($R$17="Distrato",$E416,0))),0,YEARFRAC(MAX($P$34*($B416+IF($R$17="Distrato",$I$38-1,0)),IF(AND($L$37=0,$P$34=0),"",$L$37-1),IF($R$17="Distrato",$E416,0)),MIN(AJ$38,$D$19),$P$20))-SUM($P416:AI416)</f>
        <v>#VALUE!</v>
      </c>
      <c r="AK416" s="446" t="e">
        <f>IF(OR($B416="",MIN(AK$38,$D$19)&lt;MAX($P$34*($B416+IF($R$17="Distrato",$I$38-1,0)),IF(AND($L$37=0,$P$34=0),"",$L$37-1),IF($R$17="Distrato",$E416,0))),0,YEARFRAC(MAX($P$34*($B416+IF($R$17="Distrato",$I$38-1,0)),IF(AND($L$37=0,$P$34=0),"",$L$37-1),IF($R$17="Distrato",$E416,0)),MIN(AK$38,$D$19),$P$20))-SUM($P416:AJ416)</f>
        <v>#VALUE!</v>
      </c>
      <c r="AL416" s="446" t="e">
        <f>IF(OR($B416="",MIN(AL$38,$D$19)&lt;MAX($P$34*($B416+IF($R$17="Distrato",$I$38-1,0)),IF(AND($L$37=0,$P$34=0),"",$L$37-1),IF($R$17="Distrato",$E416,0))),0,YEARFRAC(MAX($P$34*($B416+IF($R$17="Distrato",$I$38-1,0)),IF(AND($L$37=0,$P$34=0),"",$L$37-1),IF($R$17="Distrato",$E416,0)),MIN(AL$38,$D$19),$P$20))-SUM($P416:AK416)</f>
        <v>#VALUE!</v>
      </c>
      <c r="AM416" s="446" t="e">
        <f>IF(OR($B416="",MIN(AM$38,$D$19)&lt;MAX($P$34*($B416+IF($R$17="Distrato",$I$38-1,0)),IF(AND($L$37=0,$P$34=0),"",$L$37-1),IF($R$17="Distrato",$E416,0))),0,YEARFRAC(MAX($P$34*($B416+IF($R$17="Distrato",$I$38-1,0)),IF(AND($L$37=0,$P$34=0),"",$L$37-1),IF($R$17="Distrato",$E416,0)),MIN(AM$38,$D$19),$P$20))-SUM($P416:AL416)</f>
        <v>#VALUE!</v>
      </c>
      <c r="AN416" s="446" t="e">
        <f>IF(OR($B416="",MIN(AN$38,$D$19)&lt;MAX($P$34*($B416+IF($R$17="Distrato",$I$38-1,0)),IF(AND($L$37=0,$P$34=0),"",$L$37-1),IF($R$17="Distrato",$E416,0))),0,YEARFRAC(MAX($P$34*($B416+IF($R$17="Distrato",$I$38-1,0)),IF(AND($L$37=0,$P$34=0),"",$L$37-1),IF($R$17="Distrato",$E416,0)),MIN(AN$38,$D$19),$P$20))-SUM($P416:AM416)</f>
        <v>#VALUE!</v>
      </c>
      <c r="AO416" s="446" t="e">
        <f>IF(OR($B416="",MIN(AO$38,$D$19)&lt;MAX($P$34*($B416+IF($R$17="Distrato",$I$38-1,0)),IF(AND($L$37=0,$P$34=0),"",$L$37-1),IF($R$17="Distrato",$E416,0))),0,YEARFRAC(MAX($P$34*($B416+IF($R$17="Distrato",$I$38-1,0)),IF(AND($L$37=0,$P$34=0),"",$L$37-1),IF($R$17="Distrato",$E416,0)),MIN(AO$38,$D$19),$P$20))-SUM($P416:AN416)</f>
        <v>#VALUE!</v>
      </c>
      <c r="AP416" s="446" t="e">
        <f>IF(OR($B416="",MIN(AP$38,$D$19)&lt;MAX($P$34*($B416+IF($R$17="Distrato",$I$38-1,0)),IF(AND($L$37=0,$P$34=0),"",$L$37-1),IF($R$17="Distrato",$E416,0))),0,YEARFRAC(MAX($P$34*($B416+IF($R$17="Distrato",$I$38-1,0)),IF(AND($L$37=0,$P$34=0),"",$L$37-1),IF($R$17="Distrato",$E416,0)),MIN(AP$38,$D$19),$P$20))-SUM($P416:AO416)</f>
        <v>#VALUE!</v>
      </c>
      <c r="AQ416" s="446" t="e">
        <f>IF(OR($B416="",MIN(AQ$38,$D$19)&lt;MAX($P$34*($B416+IF($R$17="Distrato",$I$38-1,0)),IF(AND($L$37=0,$P$34=0),"",$L$37-1),IF($R$17="Distrato",$E416,0))),0,YEARFRAC(MAX($P$34*($B416+IF($R$17="Distrato",$I$38-1,0)),IF(AND($L$37=0,$P$34=0),"",$L$37-1),IF($R$17="Distrato",$E416,0)),MIN(AQ$38,$D$19),$P$20))-SUM($P416:AP416)</f>
        <v>#VALUE!</v>
      </c>
      <c r="AR416" s="446" t="e">
        <f>IF(OR($B416="",MIN(AR$38,$D$19)&lt;MAX($P$34*($B416+IF($R$17="Distrato",$I$38-1,0)),IF(AND($L$37=0,$P$34=0),"",$L$37-1),IF($R$17="Distrato",$E416,0))),0,YEARFRAC(MAX($P$34*($B416+IF($R$17="Distrato",$I$38-1,0)),IF(AND($L$37=0,$P$34=0),"",$L$37-1),IF($R$17="Distrato",$E416,0)),MIN(AR$38,$D$19),$P$20))-SUM($P416:AQ416)</f>
        <v>#VALUE!</v>
      </c>
      <c r="AS416" s="446" t="e">
        <f>IF(OR($B416="",MIN(AS$38,$D$19)&lt;MAX($P$34*($B416+IF($R$17="Distrato",$I$38-1,0)),IF(AND($L$37=0,$P$34=0),"",$L$37-1),IF($R$17="Distrato",$E416,0))),0,YEARFRAC(MAX($P$34*($B416+IF($R$17="Distrato",$I$38-1,0)),IF(AND($L$37=0,$P$34=0),"",$L$37-1),IF($R$17="Distrato",$E416,0)),MIN(AS$38,$D$19),$P$20))-SUM($P416:AR416)</f>
        <v>#VALUE!</v>
      </c>
      <c r="AT416" s="446" t="e">
        <f>IF(OR($B416="",MIN(AT$38,$D$19)&lt;MAX($P$34*($B416+IF($R$17="Distrato",$I$38-1,0)),IF(AND($L$37=0,$P$34=0),"",$L$37-1),IF($R$17="Distrato",$E416,0))),0,YEARFRAC(MAX($P$34*($B416+IF($R$17="Distrato",$I$38-1,0)),IF(AND($L$37=0,$P$34=0),"",$L$37-1),IF($R$17="Distrato",$E416,0)),MIN(AT$38,$D$19),$P$20))-SUM($P416:AS416)</f>
        <v>#VALUE!</v>
      </c>
      <c r="AU416" s="446" t="e">
        <f>IF(OR($B416="",MIN(AU$38,$D$19)&lt;MAX($P$34*($B416+IF($R$17="Distrato",$I$38-1,0)),IF(AND($L$37=0,$P$34=0),"",$L$37-1),IF($R$17="Distrato",$E416,0))),0,YEARFRAC(MAX($P$34*($B416+IF($R$17="Distrato",$I$38-1,0)),IF(AND($L$37=0,$P$34=0),"",$L$37-1),IF($R$17="Distrato",$E416,0)),MIN(AU$38,$D$19),$P$20))-SUM($P416:AT416)</f>
        <v>#VALUE!</v>
      </c>
      <c r="AV416" s="446" t="e">
        <f>IF(OR($B416="",MIN(AV$38,$D$19)&lt;MAX($P$34*($B416+IF($R$17="Distrato",$I$38-1,0)),IF(AND($L$37=0,$P$34=0),"",$L$37-1),IF($R$17="Distrato",$E416,0))),0,YEARFRAC(MAX($P$34*($B416+IF($R$17="Distrato",$I$38-1,0)),IF(AND($L$37=0,$P$34=0),"",$L$37-1),IF($R$17="Distrato",$E416,0)),MIN(AV$38,$D$19),$P$20))-SUM($P416:AU416)</f>
        <v>#VALUE!</v>
      </c>
      <c r="AW416" s="446" t="e">
        <f>IF(OR($B416="",MIN(AW$38,$D$19)&lt;MAX($P$34*($B416+IF($R$17="Distrato",$I$38-1,0)),IF(AND($L$37=0,$P$34=0),"",$L$37-1),IF($R$17="Distrato",$E416,0))),0,YEARFRAC(MAX($P$34*($B416+IF($R$17="Distrato",$I$38-1,0)),IF(AND($L$37=0,$P$34=0),"",$L$37-1),IF($R$17="Distrato",$E416,0)),MIN(AW$38,$D$19),$P$20))-SUM($P416:AV416)</f>
        <v>#VALUE!</v>
      </c>
      <c r="AX416" s="446" t="e">
        <f>IF(OR($B416="",MIN(AX$38,$D$19)&lt;MAX($P$34*($B416+IF($R$17="Distrato",$I$38-1,0)),IF(AND($L$37=0,$P$34=0),"",$L$37-1),IF($R$17="Distrato",$E416,0))),0,YEARFRAC(MAX($P$34*($B416+IF($R$17="Distrato",$I$38-1,0)),IF(AND($L$37=0,$P$34=0),"",$L$37-1),IF($R$17="Distrato",$E416,0)),MIN(AX$38,$D$19),$P$20))-SUM($P416:AW416)</f>
        <v>#VALUE!</v>
      </c>
      <c r="AY416" s="446" t="e">
        <f>IF(OR($B416="",MIN(AY$38,$D$19)&lt;MAX($P$34*($B416+IF($R$17="Distrato",$I$38-1,0)),IF(AND($L$37=0,$P$34=0),"",$L$37-1),IF($R$17="Distrato",$E416,0))),0,YEARFRAC(MAX($P$34*($B416+IF($R$17="Distrato",$I$38-1,0)),IF(AND($L$37=0,$P$34=0),"",$L$37-1),IF($R$17="Distrato",$E416,0)),MIN(AY$38,$D$19),$P$20))-SUM($P416:AX416)</f>
        <v>#VALUE!</v>
      </c>
      <c r="AZ416" s="446" t="e">
        <f>IF(OR($B416="",MIN(AZ$38,$D$19)&lt;MAX($P$34*($B416+IF($R$17="Distrato",$I$38-1,0)),IF(AND($L$37=0,$P$34=0),"",$L$37-1),IF($R$17="Distrato",$E416,0))),0,YEARFRAC(MAX($P$34*($B416+IF($R$17="Distrato",$I$38-1,0)),IF(AND($L$37=0,$P$34=0),"",$L$37-1),IF($R$17="Distrato",$E416,0)),MIN(AZ$38,$D$19),$P$20))-SUM($P416:AY416)</f>
        <v>#VALUE!</v>
      </c>
      <c r="BA416" s="446" t="e">
        <f>IF(OR($B416="",MIN(BA$38,$D$19)&lt;MAX($P$34*($B416+IF($R$17="Distrato",$I$38-1,0)),IF(AND($L$37=0,$P$34=0),"",$L$37-1),IF($R$17="Distrato",$E416,0))),0,YEARFRAC(MAX($P$34*($B416+IF($R$17="Distrato",$I$38-1,0)),IF(AND($L$37=0,$P$34=0),"",$L$37-1),IF($R$17="Distrato",$E416,0)),MIN(BA$38,$D$19),$P$20))-SUM($P416:AZ416)</f>
        <v>#VALUE!</v>
      </c>
      <c r="BB416" s="447"/>
      <c r="BF416" s="446">
        <f t="shared" si="65"/>
        <v>0</v>
      </c>
      <c r="BG416" s="446">
        <f>IF($E416=0,0,IF(MIN(BG$38,$E416)&lt;MAX($P$34*($B416+$I$38-1),IF(AND($L$37=0,$P$34=0),"",$L$37-1)),0,YEARFRAC(MAX($P$34*($B416+$I$38-1),IF(AND($L$37=0,$P$34=0),"",$L$37-1)),MIN(BG$38,$E416),$P$20))-SUM($BF416:BF416))</f>
        <v>0</v>
      </c>
      <c r="BH416" s="446">
        <f>IF($E416=0,0,IF(MIN(BH$38,$E416)&lt;MAX($P$34*($B416+$I$38-1),IF(AND($L$37=0,$P$34=0),"",$L$37-1)),0,YEARFRAC(MAX($P$34*($B416+$I$38-1),IF(AND($L$37=0,$P$34=0),"",$L$37-1)),MIN(BH$38,$E416),$P$20))-SUM($BF416:BG416))</f>
        <v>0</v>
      </c>
      <c r="BI416" s="446">
        <f>IF($E416=0,0,IF(MIN(BI$38,$E416)&lt;MAX($P$34*($B416+$I$38-1),IF(AND($L$37=0,$P$34=0),"",$L$37-1)),0,YEARFRAC(MAX($P$34*($B416+$I$38-1),IF(AND($L$37=0,$P$34=0),"",$L$37-1)),MIN(BI$38,$E416),$P$20))-SUM($BF416:BH416))</f>
        <v>0</v>
      </c>
      <c r="BJ416" s="446">
        <f>IF($E416=0,0,IF(MIN(BJ$38,$E416)&lt;MAX($P$34*($B416+$I$38-1),IF(AND($L$37=0,$P$34=0),"",$L$37-1)),0,YEARFRAC(MAX($P$34*($B416+$I$38-1),IF(AND($L$37=0,$P$34=0),"",$L$37-1)),MIN(BJ$38,$E416),$P$20))-SUM($BF416:BI416))</f>
        <v>0</v>
      </c>
      <c r="BK416" s="446">
        <f>IF($E416=0,0,IF(MIN(BK$38,$E416)&lt;MAX($P$34*($B416+$I$38-1),IF(AND($L$37=0,$P$34=0),"",$L$37-1)),0,YEARFRAC(MAX($P$34*($B416+$I$38-1),IF(AND($L$37=0,$P$34=0),"",$L$37-1)),MIN(BK$38,$E416),$P$20))-SUM($BF416:BJ416))</f>
        <v>0</v>
      </c>
      <c r="BL416" s="446">
        <f>IF($E416=0,0,IF(MIN(BL$38,$E416)&lt;MAX($P$34*($B416+$I$38-1),IF(AND($L$37=0,$P$34=0),"",$L$37-1)),0,YEARFRAC(MAX($P$34*($B416+$I$38-1),IF(AND($L$37=0,$P$34=0),"",$L$37-1)),MIN(BL$38,$E416),$P$20))-SUM($BF416:BK416))</f>
        <v>0</v>
      </c>
      <c r="BM416" s="446">
        <f>IF($E416=0,0,IF(MIN(BM$38,$E416)&lt;MAX($P$34*($B416+$I$38-1),IF(AND($L$37=0,$P$34=0),"",$L$37-1)),0,YEARFRAC(MAX($P$34*($B416+$I$38-1),IF(AND($L$37=0,$P$34=0),"",$L$37-1)),MIN(BM$38,$E416),$P$20))-SUM($BF416:BL416))</f>
        <v>0</v>
      </c>
      <c r="BN416" s="446">
        <f>IF($E416=0,0,IF(MIN(BN$38,$E416)&lt;MAX($P$34*($B416+$I$38-1),IF(AND($L$37=0,$P$34=0),"",$L$37-1)),0,YEARFRAC(MAX($P$34*($B416+$I$38-1),IF(AND($L$37=0,$P$34=0),"",$L$37-1)),MIN(BN$38,$E416),$P$20))-SUM($BF416:BM416))</f>
        <v>0</v>
      </c>
      <c r="BO416" s="446">
        <f>IF($E416=0,0,IF(MIN(BO$38,$E416)&lt;MAX($P$34*($B416+$I$38-1),IF(AND($L$37=0,$P$34=0),"",$L$37-1)),0,YEARFRAC(MAX($P$34*($B416+$I$38-1),IF(AND($L$37=0,$P$34=0),"",$L$37-1)),MIN(BO$38,$E416),$P$20))-SUM($BF416:BN416))</f>
        <v>0</v>
      </c>
      <c r="BP416" s="446">
        <f>IF($E416=0,0,IF(MIN(BP$38,$E416)&lt;MAX($P$34*($B416+$I$38-1),IF(AND($L$37=0,$P$34=0),"",$L$37-1)),0,YEARFRAC(MAX($P$34*($B416+$I$38-1),IF(AND($L$37=0,$P$34=0),"",$L$37-1)),MIN(BP$38,$E416),$P$20))-SUM($BF416:BO416))</f>
        <v>0</v>
      </c>
      <c r="BQ416" s="446">
        <f>IF($E416=0,0,IF(MIN(BQ$38,$E416)&lt;MAX($P$34*($B416+$I$38-1),IF(AND($L$37=0,$P$34=0),"",$L$37-1)),0,YEARFRAC(MAX($P$34*($B416+$I$38-1),IF(AND($L$37=0,$P$34=0),"",$L$37-1)),MIN(BQ$38,$E416),$P$20))-SUM($BF416:BP416))</f>
        <v>0</v>
      </c>
      <c r="BR416" s="446">
        <f>IF($E416=0,0,IF(MIN(BR$38,$E416)&lt;MAX($P$34*($B416+$I$38-1),IF(AND($L$37=0,$P$34=0),"",$L$37-1)),0,YEARFRAC(MAX($P$34*($B416+$I$38-1),IF(AND($L$37=0,$P$34=0),"",$L$37-1)),MIN(BR$38,$E416),$P$20))-SUM($BF416:BQ416))</f>
        <v>0</v>
      </c>
      <c r="BS416" s="446">
        <f>IF($E416=0,0,IF(MIN(BS$38,$E416)&lt;MAX($P$34*($B416+$I$38-1),IF(AND($L$37=0,$P$34=0),"",$L$37-1)),0,YEARFRAC(MAX($P$34*($B416+$I$38-1),IF(AND($L$37=0,$P$34=0),"",$L$37-1)),MIN(BS$38,$E416),$P$20))-SUM($BF416:BR416))</f>
        <v>0</v>
      </c>
      <c r="BT416" s="446">
        <f>IF($E416=0,0,IF(MIN(BT$38,$E416)&lt;MAX($P$34*($B416+$I$38-1),IF(AND($L$37=0,$P$34=0),"",$L$37-1)),0,YEARFRAC(MAX($P$34*($B416+$I$38-1),IF(AND($L$37=0,$P$34=0),"",$L$37-1)),MIN(BT$38,$E416),$P$20))-SUM($BF416:BS416))</f>
        <v>0</v>
      </c>
      <c r="BU416" s="446">
        <f>IF($E416=0,0,IF(MIN(BU$38,$E416)&lt;MAX($P$34*($B416+$I$38-1),IF(AND($L$37=0,$P$34=0),"",$L$37-1)),0,YEARFRAC(MAX($P$34*($B416+$I$38-1),IF(AND($L$37=0,$P$34=0),"",$L$37-1)),MIN(BU$38,$E416),$P$20))-SUM($BF416:BT416))</f>
        <v>0</v>
      </c>
      <c r="BV416" s="446">
        <f>IF($E416=0,0,IF(MIN(BV$38,$E416)&lt;MAX($P$34*($B416+$I$38-1),IF(AND($L$37=0,$P$34=0),"",$L$37-1)),0,YEARFRAC(MAX($P$34*($B416+$I$38-1),IF(AND($L$37=0,$P$34=0),"",$L$37-1)),MIN(BV$38,$E416),$P$20))-SUM($BF416:BU416))</f>
        <v>0</v>
      </c>
      <c r="BW416" s="446">
        <f>IF($E416=0,0,IF(MIN(BW$38,$E416)&lt;MAX($P$34*($B416+$I$38-1),IF(AND($L$37=0,$P$34=0),"",$L$37-1)),0,YEARFRAC(MAX($P$34*($B416+$I$38-1),IF(AND($L$37=0,$P$34=0),"",$L$37-1)),MIN(BW$38,$E416),$P$20))-SUM($BF416:BV416))</f>
        <v>0</v>
      </c>
      <c r="BX416" s="446">
        <f>IF($E416=0,0,IF(MIN(BX$38,$E416)&lt;MAX($P$34*($B416+$I$38-1),IF(AND($L$37=0,$P$34=0),"",$L$37-1)),0,YEARFRAC(MAX($P$34*($B416+$I$38-1),IF(AND($L$37=0,$P$34=0),"",$L$37-1)),MIN(BX$38,$E416),$P$20))-SUM($BF416:BW416))</f>
        <v>0</v>
      </c>
      <c r="BY416" s="446">
        <f>IF($E416=0,0,IF(MIN(BY$38,$E416)&lt;MAX($P$34*($B416+$I$38-1),IF(AND($L$37=0,$P$34=0),"",$L$37-1)),0,YEARFRAC(MAX($P$34*($B416+$I$38-1),IF(AND($L$37=0,$P$34=0),"",$L$37-1)),MIN(BY$38,$E416),$P$20))-SUM($BF416:BX416))</f>
        <v>0</v>
      </c>
      <c r="BZ416" s="446">
        <f>IF($E416=0,0,IF(MIN(BZ$38,$E416)&lt;MAX($P$34*($B416+$I$38-1),IF(AND($L$37=0,$P$34=0),"",$L$37-1)),0,YEARFRAC(MAX($P$34*($B416+$I$38-1),IF(AND($L$37=0,$P$34=0),"",$L$37-1)),MIN(BZ$38,$E416),$P$20))-SUM($BF416:BY416))</f>
        <v>0</v>
      </c>
      <c r="CA416" s="446">
        <f>IF($E416=0,0,IF(MIN(CA$38,$E416)&lt;MAX($P$34*($B416+$I$38-1),IF(AND($L$37=0,$P$34=0),"",$L$37-1)),0,YEARFRAC(MAX($P$34*($B416+$I$38-1),IF(AND($L$37=0,$P$34=0),"",$L$37-1)),MIN(CA$38,$E416),$P$20))-SUM($BF416:BZ416))</f>
        <v>0</v>
      </c>
      <c r="CB416" s="446">
        <f>IF($E416=0,0,IF(MIN(CB$38,$E416)&lt;MAX($P$34*($B416+$I$38-1),IF(AND($L$37=0,$P$34=0),"",$L$37-1)),0,YEARFRAC(MAX($P$34*($B416+$I$38-1),IF(AND($L$37=0,$P$34=0),"",$L$37-1)),MIN(CB$38,$E416),$P$20))-SUM($BF416:CA416))</f>
        <v>0</v>
      </c>
      <c r="CC416" s="446">
        <f>IF($E416=0,0,IF(MIN(CC$38,$E416)&lt;MAX($P$34*($B416+$I$38-1),IF(AND($L$37=0,$P$34=0),"",$L$37-1)),0,YEARFRAC(MAX($P$34*($B416+$I$38-1),IF(AND($L$37=0,$P$34=0),"",$L$37-1)),MIN(CC$38,$E416),$P$20))-SUM($BF416:CB416))</f>
        <v>0</v>
      </c>
      <c r="CD416" s="446">
        <f>IF($E416=0,0,IF(MIN(CD$38,$E416)&lt;MAX($P$34*($B416+$I$38-1),IF(AND($L$37=0,$P$34=0),"",$L$37-1)),0,YEARFRAC(MAX($P$34*($B416+$I$38-1),IF(AND($L$37=0,$P$34=0),"",$L$37-1)),MIN(CD$38,$E416),$P$20))-SUM($BF416:CC416))</f>
        <v>0</v>
      </c>
      <c r="CE416" s="446">
        <f>IF($E416=0,0,IF(MIN(CE$38,$E416)&lt;MAX($P$34*($B416+$I$38-1),IF(AND($L$37=0,$P$34=0),"",$L$37-1)),0,YEARFRAC(MAX($P$34*($B416+$I$38-1),IF(AND($L$37=0,$P$34=0),"",$L$37-1)),MIN(CE$38,$E416),$P$20))-SUM($BF416:CD416))</f>
        <v>0</v>
      </c>
      <c r="CF416" s="446">
        <f>IF($E416=0,0,IF(MIN(CF$38,$E416)&lt;MAX($P$34*($B416+$I$38-1),IF(AND($L$37=0,$P$34=0),"",$L$37-1)),0,YEARFRAC(MAX($P$34*($B416+$I$38-1),IF(AND($L$37=0,$P$34=0),"",$L$37-1)),MIN(CF$38,$E416),$P$20))-SUM($BF416:CE416))</f>
        <v>0</v>
      </c>
      <c r="CG416" s="446">
        <f>IF($E416=0,0,IF(MIN(CG$38,$E416)&lt;MAX($P$34*($B416+$I$38-1),IF(AND($L$37=0,$P$34=0),"",$L$37-1)),0,YEARFRAC(MAX($P$34*($B416+$I$38-1),IF(AND($L$37=0,$P$34=0),"",$L$37-1)),MIN(CG$38,$E416),$P$20))-SUM($BF416:CF416))</f>
        <v>0</v>
      </c>
      <c r="CH416" s="446">
        <f>IF($E416=0,0,IF(MIN(CH$38,$E416)&lt;MAX($P$34*($B416+$I$38-1),IF(AND($L$37=0,$P$34=0),"",$L$37-1)),0,YEARFRAC(MAX($P$34*($B416+$I$38-1),IF(AND($L$37=0,$P$34=0),"",$L$37-1)),MIN(CH$38,$E416),$P$20))-SUM($BF416:CG416))</f>
        <v>0</v>
      </c>
      <c r="CI416" s="446">
        <f>IF($E416=0,0,IF(MIN(CI$38,$E416)&lt;MAX($P$34*($B416+$I$38-1),IF(AND($L$37=0,$P$34=0),"",$L$37-1)),0,YEARFRAC(MAX($P$34*($B416+$I$38-1),IF(AND($L$37=0,$P$34=0),"",$L$37-1)),MIN(CI$38,$E416),$P$20))-SUM($BF416:CH416))</f>
        <v>0</v>
      </c>
      <c r="CJ416" s="446">
        <f>IF($E416=0,0,IF(MIN(CJ$38,$E416)&lt;MAX($P$34*($B416+$I$38-1),IF(AND($L$37=0,$P$34=0),"",$L$37-1)),0,YEARFRAC(MAX($P$34*($B416+$I$38-1),IF(AND($L$37=0,$P$34=0),"",$L$37-1)),MIN(CJ$38,$E416),$P$20))-SUM($BF416:CI416))</f>
        <v>0</v>
      </c>
      <c r="CK416" s="446">
        <f>IF($E416=0,0,IF(MIN(CK$38,$E416)&lt;MAX($P$34*($B416+$I$38-1),IF(AND($L$37=0,$P$34=0),"",$L$37-1)),0,YEARFRAC(MAX($P$34*($B416+$I$38-1),IF(AND($L$37=0,$P$34=0),"",$L$37-1)),MIN(CK$38,$E416),$P$20))-SUM($BF416:CJ416))</f>
        <v>0</v>
      </c>
      <c r="CL416" s="446">
        <f>IF($E416=0,0,IF(MIN(CL$38,$E416)&lt;MAX($P$34*($B416+$I$38-1),IF(AND($L$37=0,$P$34=0),"",$L$37-1)),0,YEARFRAC(MAX($P$34*($B416+$I$38-1),IF(AND($L$37=0,$P$34=0),"",$L$37-1)),MIN(CL$38,$E416),$P$20))-SUM($BF416:CK416))</f>
        <v>0</v>
      </c>
      <c r="CM416" s="446">
        <f>IF($E416=0,0,IF(MIN(CM$38,$E416)&lt;MAX($P$34*($B416+$I$38-1),IF(AND($L$37=0,$P$34=0),"",$L$37-1)),0,YEARFRAC(MAX($P$34*($B416+$I$38-1),IF(AND($L$37=0,$P$34=0),"",$L$37-1)),MIN(CM$38,$E416),$P$20))-SUM($BF416:CL416))</f>
        <v>0</v>
      </c>
      <c r="CN416" s="446">
        <f>IF($E416=0,0,IF(MIN(CN$38,$E416)&lt;MAX($P$34*($B416+$I$38-1),IF(AND($L$37=0,$P$34=0),"",$L$37-1)),0,YEARFRAC(MAX($P$34*($B416+$I$38-1),IF(AND($L$37=0,$P$34=0),"",$L$37-1)),MIN(CN$38,$E416),$P$20))-SUM($BF416:CM416))</f>
        <v>0</v>
      </c>
      <c r="CO416" s="446">
        <f>IF($E416=0,0,IF(MIN(CO$38,$E416)&lt;MAX($P$34*($B416+$I$38-1),IF(AND($L$37=0,$P$34=0),"",$L$37-1)),0,YEARFRAC(MAX($P$34*($B416+$I$38-1),IF(AND($L$37=0,$P$34=0),"",$L$37-1)),MIN(CO$38,$E416),$P$20))-SUM($BF416:CN416))</f>
        <v>0</v>
      </c>
      <c r="CP416" s="446">
        <f>IF($E416=0,0,IF(MIN(CP$38,$E416)&lt;MAX($P$34*($B416+$I$38-1),IF(AND($L$37=0,$P$34=0),"",$L$37-1)),0,YEARFRAC(MAX($P$34*($B416+$I$38-1),IF(AND($L$37=0,$P$34=0),"",$L$37-1)),MIN(CP$38,$E416),$P$20))-SUM($BF416:CO416))</f>
        <v>0</v>
      </c>
      <c r="CQ416" s="446">
        <f>IF($E416=0,0,IF(MIN(CQ$38,$E416)&lt;MAX($P$34*($B416+$I$38-1),IF(AND($L$37=0,$P$34=0),"",$L$37-1)),0,YEARFRAC(MAX($P$34*($B416+$I$38-1),IF(AND($L$37=0,$P$34=0),"",$L$37-1)),MIN(CQ$38,$E416),$P$20))-SUM($BF416:CP416))</f>
        <v>0</v>
      </c>
    </row>
    <row r="417" spans="1:95" s="446" customFormat="1" ht="11.25" hidden="1" customHeight="1" x14ac:dyDescent="0.2">
      <c r="A417" s="152"/>
      <c r="B417" s="153" t="str">
        <f t="shared" si="70"/>
        <v/>
      </c>
      <c r="C417" s="29" t="str">
        <f>IF(B417="","",IF($L$35="SELIC - TRIBUTOS",VLOOKUP(DATE(YEAR($D$19),MONTH($D$19)-1,1),ÍNDICES!$A:$DE,HLOOKUP($BL$25,ÍNDICES!$B$3:$T$4,2)+11)-VLOOKUP(B417,ÍNDICES!$A:$DE,HLOOKUP($BL$25,ÍNDICES!$B$3:$T$4,2)+11)+1%,IF(C$38=$W$26,$J$35,IF(ISERROR(IF(B417&gt;$D$19,1,VLOOKUP(DATE(YEAR(B417),MONTH(B417)+IF($C$35=$S$23,1,0),1),ÍNDICES!$A:$DE,$Z$35+1))),"",IF(B417&gt;$D$19,1,VLOOKUP(DATE(YEAR(B417),MONTH(B417)+IF($C$35=$S$23,1,0),1),ÍNDICES!$A:$DE,$Z$35+1))))))</f>
        <v/>
      </c>
      <c r="D417" s="154" t="str">
        <f>IF(ISERROR(IF(OR($D$38=$Y$27,$B417=""),"",VLOOKUP(B417,ÍNDICES!A:DE,AF$35+1))),"",IF(OR($D$38=$Y$27,$B417=""),"",VLOOKUP(B417,ÍNDICES!A:DE,AF$35+1)))</f>
        <v/>
      </c>
      <c r="E417" s="153"/>
      <c r="F417" s="29" t="str">
        <f>IF(E417="","",IF($L$35="SELIC - TRIBUTOS",VLOOKUP(DATE(YEAR($D$19),MONTH($D$19)-1,1),ÍNDICES!$A:$DE,HLOOKUP($BL$25,ÍNDICES!$B$3:$T$4,2)+11)-VLOOKUP(E417,ÍNDICES!$A:$DE,HLOOKUP($BL$25,ÍNDICES!$B$3:$T$4,2)+11)+1%,IF(F$38=$W$26,$J$35,IF(ISERROR(IF(E417&gt;$D$19,1,VLOOKUP(DATE(YEAR(E417),MONTH(E417)+IF($C$35=$S$23,1,0),1),ÍNDICES!$A:$DE,$Z$35+1))),"",IF(E417&gt;$D$19,1,VLOOKUP(DATE(YEAR(E417),MONTH(E417)+IF($C$35=$S$23,1,0),1),ÍNDICES!$A:$DE,$Z$35+1))))))</f>
        <v/>
      </c>
      <c r="G417" s="155"/>
      <c r="H417" s="156" t="str">
        <f t="shared" si="66"/>
        <v/>
      </c>
      <c r="I417" s="29" t="str">
        <f t="shared" si="60"/>
        <v/>
      </c>
      <c r="J417" s="5">
        <f t="shared" si="61"/>
        <v>0</v>
      </c>
      <c r="K417" s="20">
        <f t="shared" ca="1" si="62"/>
        <v>0</v>
      </c>
      <c r="L417" s="5">
        <f t="shared" ca="1" si="63"/>
        <v>0</v>
      </c>
      <c r="M417" s="64">
        <f t="shared" si="67"/>
        <v>0</v>
      </c>
      <c r="N417" s="61">
        <f t="shared" ca="1" si="68"/>
        <v>0</v>
      </c>
      <c r="O417" s="5">
        <f t="shared" ca="1" si="69"/>
        <v>0</v>
      </c>
      <c r="P417" s="446" t="e">
        <f t="shared" si="64"/>
        <v>#VALUE!</v>
      </c>
      <c r="Q417" s="446" t="e">
        <f>IF(OR($B417="",MIN(Q$38,$D$19)&lt;MAX($P$34*($B417+IF($R$17="Distrato",$I$38-1,0)),IF(AND($L$37=0,$P$34=0),"",$L$37-1),IF($R$17="Distrato",$E417,0))),0,YEARFRAC(MAX($P$34*($B417+IF($R$17="Distrato",$I$38-1,0)),IF(AND($L$37=0,$P$34=0),"",$L$37-1),IF($R$17="Distrato",$E417,0)),MIN(Q$38,$D$19),$P$20))-SUM($P417:P417)</f>
        <v>#VALUE!</v>
      </c>
      <c r="R417" s="446" t="e">
        <f>IF(OR($B417="",MIN(R$38,$D$19)&lt;MAX($P$34*($B417+IF($R$17="Distrato",$I$38-1,0)),IF(AND($L$37=0,$P$34=0),"",$L$37-1),IF($R$17="Distrato",$E417,0))),0,YEARFRAC(MAX($P$34*($B417+IF($R$17="Distrato",$I$38-1,0)),IF(AND($L$37=0,$P$34=0),"",$L$37-1),IF($R$17="Distrato",$E417,0)),MIN(R$38,$D$19),$P$20))-SUM($P417:Q417)</f>
        <v>#VALUE!</v>
      </c>
      <c r="S417" s="446" t="e">
        <f>IF(OR($B417="",MIN(S$38,$D$19)&lt;MAX($P$34*($B417+IF($R$17="Distrato",$I$38-1,0)),IF(AND($L$37=0,$P$34=0),"",$L$37-1),IF($R$17="Distrato",$E417,0))),0,YEARFRAC(MAX($P$34*($B417+IF($R$17="Distrato",$I$38-1,0)),IF(AND($L$37=0,$P$34=0),"",$L$37-1),IF($R$17="Distrato",$E417,0)),MIN(S$38,$D$19),$P$20))-SUM($P417:R417)</f>
        <v>#VALUE!</v>
      </c>
      <c r="T417" s="446" t="e">
        <f>IF(OR($B417="",MIN(T$38,$D$19)&lt;MAX($P$34*($B417+IF($R$17="Distrato",$I$38-1,0)),IF(AND($L$37=0,$P$34=0),"",$L$37-1),IF($R$17="Distrato",$E417,0))),0,YEARFRAC(MAX($P$34*($B417+IF($R$17="Distrato",$I$38-1,0)),IF(AND($L$37=0,$P$34=0),"",$L$37-1),IF($R$17="Distrato",$E417,0)),MIN(T$38,$D$19),$P$20))-SUM($P417:S417)</f>
        <v>#VALUE!</v>
      </c>
      <c r="U417" s="446" t="e">
        <f>IF(OR($B417="",MIN(U$38,$D$19)&lt;MAX($P$34*($B417+IF($R$17="Distrato",$I$38-1,0)),IF(AND($L$37=0,$P$34=0),"",$L$37-1),IF($R$17="Distrato",$E417,0))),0,YEARFRAC(MAX($P$34*($B417+IF($R$17="Distrato",$I$38-1,0)),IF(AND($L$37=0,$P$34=0),"",$L$37-1),IF($R$17="Distrato",$E417,0)),MIN(U$38,$D$19),$P$20))-SUM($P417:T417)</f>
        <v>#VALUE!</v>
      </c>
      <c r="V417" s="446" t="e">
        <f>IF(OR($B417="",MIN(V$38,$D$19)&lt;MAX($P$34*($B417+IF($R$17="Distrato",$I$38-1,0)),IF(AND($L$37=0,$P$34=0),"",$L$37-1),IF($R$17="Distrato",$E417,0))),0,YEARFRAC(MAX($P$34*($B417+IF($R$17="Distrato",$I$38-1,0)),IF(AND($L$37=0,$P$34=0),"",$L$37-1),IF($R$17="Distrato",$E417,0)),MIN(V$38,$D$19),$P$20))-SUM($P417:U417)</f>
        <v>#VALUE!</v>
      </c>
      <c r="W417" s="446" t="e">
        <f>IF(OR($B417="",MIN(W$38,$D$19)&lt;MAX($P$34*($B417+IF($R$17="Distrato",$I$38-1,0)),IF(AND($L$37=0,$P$34=0),"",$L$37-1),IF($R$17="Distrato",$E417,0))),0,YEARFRAC(MAX($P$34*($B417+IF($R$17="Distrato",$I$38-1,0)),IF(AND($L$37=0,$P$34=0),"",$L$37-1),IF($R$17="Distrato",$E417,0)),MIN(W$38,$D$19),$P$20))-SUM($P417:V417)</f>
        <v>#VALUE!</v>
      </c>
      <c r="X417" s="446" t="e">
        <f>IF(OR($B417="",MIN(X$38,$D$19)&lt;MAX($P$34*($B417+IF($R$17="Distrato",$I$38-1,0)),IF(AND($L$37=0,$P$34=0),"",$L$37-1),IF($R$17="Distrato",$E417,0))),0,YEARFRAC(MAX($P$34*($B417+IF($R$17="Distrato",$I$38-1,0)),IF(AND($L$37=0,$P$34=0),"",$L$37-1),IF($R$17="Distrato",$E417,0)),MIN(X$38,$D$19),$P$20))-SUM($P417:W417)</f>
        <v>#VALUE!</v>
      </c>
      <c r="Y417" s="446" t="e">
        <f>IF(OR($B417="",MIN(Y$38,$D$19)&lt;MAX($P$34*($B417+IF($R$17="Distrato",$I$38-1,0)),IF(AND($L$37=0,$P$34=0),"",$L$37-1),IF($R$17="Distrato",$E417,0))),0,YEARFRAC(MAX($P$34*($B417+IF($R$17="Distrato",$I$38-1,0)),IF(AND($L$37=0,$P$34=0),"",$L$37-1),IF($R$17="Distrato",$E417,0)),MIN(Y$38,$D$19),$P$20))-SUM($P417:X417)</f>
        <v>#VALUE!</v>
      </c>
      <c r="Z417" s="446" t="e">
        <f>IF(OR($B417="",MIN(Z$38,$D$19)&lt;MAX($P$34*($B417+IF($R$17="Distrato",$I$38-1,0)),IF(AND($L$37=0,$P$34=0),"",$L$37-1),IF($R$17="Distrato",$E417,0))),0,YEARFRAC(MAX($P$34*($B417+IF($R$17="Distrato",$I$38-1,0)),IF(AND($L$37=0,$P$34=0),"",$L$37-1),IF($R$17="Distrato",$E417,0)),MIN(Z$38,$D$19),$P$20))-SUM($P417:Y417)</f>
        <v>#VALUE!</v>
      </c>
      <c r="AA417" s="446" t="e">
        <f>IF(OR($B417="",MIN(AA$38,$D$19)&lt;MAX($P$34*($B417+IF($R$17="Distrato",$I$38-1,0)),IF(AND($L$37=0,$P$34=0),"",$L$37-1),IF($R$17="Distrato",$E417,0))),0,YEARFRAC(MAX($P$34*($B417+IF($R$17="Distrato",$I$38-1,0)),IF(AND($L$37=0,$P$34=0),"",$L$37-1),IF($R$17="Distrato",$E417,0)),MIN(AA$38,$D$19),$P$20))-SUM($P417:Z417)</f>
        <v>#VALUE!</v>
      </c>
      <c r="AB417" s="446" t="e">
        <f>IF(OR($B417="",MIN(AB$38,$D$19)&lt;MAX($P$34*($B417+IF($R$17="Distrato",$I$38-1,0)),IF(AND($L$37=0,$P$34=0),"",$L$37-1),IF($R$17="Distrato",$E417,0))),0,YEARFRAC(MAX($P$34*($B417+IF($R$17="Distrato",$I$38-1,0)),IF(AND($L$37=0,$P$34=0),"",$L$37-1),IF($R$17="Distrato",$E417,0)),MIN(AB$38,$D$19),$P$20))-SUM($P417:AA417)</f>
        <v>#VALUE!</v>
      </c>
      <c r="AC417" s="446" t="e">
        <f>IF(OR($B417="",MIN(AC$38,$D$19)&lt;MAX($P$34*($B417+IF($R$17="Distrato",$I$38-1,0)),IF(AND($L$37=0,$P$34=0),"",$L$37-1),IF($R$17="Distrato",$E417,0))),0,YEARFRAC(MAX($P$34*($B417+IF($R$17="Distrato",$I$38-1,0)),IF(AND($L$37=0,$P$34=0),"",$L$37-1),IF($R$17="Distrato",$E417,0)),MIN(AC$38,$D$19),$P$20))-SUM($P417:AB417)</f>
        <v>#VALUE!</v>
      </c>
      <c r="AD417" s="446" t="e">
        <f>IF(OR($B417="",MIN(AD$38,$D$19)&lt;MAX($P$34*($B417+IF($R$17="Distrato",$I$38-1,0)),IF(AND($L$37=0,$P$34=0),"",$L$37-1),IF($R$17="Distrato",$E417,0))),0,YEARFRAC(MAX($P$34*($B417+IF($R$17="Distrato",$I$38-1,0)),IF(AND($L$37=0,$P$34=0),"",$L$37-1),IF($R$17="Distrato",$E417,0)),MIN(AD$38,$D$19),$P$20))-SUM($P417:AC417)</f>
        <v>#VALUE!</v>
      </c>
      <c r="AE417" s="446" t="e">
        <f>IF(OR($B417="",MIN(AE$38,$D$19)&lt;MAX($P$34*($B417+IF($R$17="Distrato",$I$38-1,0)),IF(AND($L$37=0,$P$34=0),"",$L$37-1),IF($R$17="Distrato",$E417,0))),0,YEARFRAC(MAX($P$34*($B417+IF($R$17="Distrato",$I$38-1,0)),IF(AND($L$37=0,$P$34=0),"",$L$37-1),IF($R$17="Distrato",$E417,0)),MIN(AE$38,$D$19),$P$20))-SUM($P417:AD417)</f>
        <v>#VALUE!</v>
      </c>
      <c r="AF417" s="446" t="e">
        <f>IF(OR($B417="",MIN(AF$38,$D$19)&lt;MAX($P$34*($B417+IF($R$17="Distrato",$I$38-1,0)),IF(AND($L$37=0,$P$34=0),"",$L$37-1),IF($R$17="Distrato",$E417,0))),0,YEARFRAC(MAX($P$34*($B417+IF($R$17="Distrato",$I$38-1,0)),IF(AND($L$37=0,$P$34=0),"",$L$37-1),IF($R$17="Distrato",$E417,0)),MIN(AF$38,$D$19),$P$20))-SUM($P417:AE417)</f>
        <v>#VALUE!</v>
      </c>
      <c r="AG417" s="446" t="e">
        <f>IF(OR($B417="",MIN(AG$38,$D$19)&lt;MAX($P$34*($B417+IF($R$17="Distrato",$I$38-1,0)),IF(AND($L$37=0,$P$34=0),"",$L$37-1),IF($R$17="Distrato",$E417,0))),0,YEARFRAC(MAX($P$34*($B417+IF($R$17="Distrato",$I$38-1,0)),IF(AND($L$37=0,$P$34=0),"",$L$37-1),IF($R$17="Distrato",$E417,0)),MIN(AG$38,$D$19),$P$20))-SUM($P417:AF417)</f>
        <v>#VALUE!</v>
      </c>
      <c r="AH417" s="446" t="e">
        <f>IF(OR($B417="",MIN(AH$38,$D$19)&lt;MAX($P$34*($B417+IF($R$17="Distrato",$I$38-1,0)),IF(AND($L$37=0,$P$34=0),"",$L$37-1),IF($R$17="Distrato",$E417,0))),0,YEARFRAC(MAX($P$34*($B417+IF($R$17="Distrato",$I$38-1,0)),IF(AND($L$37=0,$P$34=0),"",$L$37-1),IF($R$17="Distrato",$E417,0)),MIN(AH$38,$D$19),$P$20))-SUM($P417:AG417)</f>
        <v>#VALUE!</v>
      </c>
      <c r="AI417" s="446" t="e">
        <f>IF(OR($B417="",MIN(AI$38,$D$19)&lt;MAX($P$34*($B417+IF($R$17="Distrato",$I$38-1,0)),IF(AND($L$37=0,$P$34=0),"",$L$37-1),IF($R$17="Distrato",$E417,0))),0,YEARFRAC(MAX($P$34*($B417+IF($R$17="Distrato",$I$38-1,0)),IF(AND($L$37=0,$P$34=0),"",$L$37-1),IF($R$17="Distrato",$E417,0)),MIN(AI$38,$D$19),$P$20))-SUM($P417:AH417)</f>
        <v>#VALUE!</v>
      </c>
      <c r="AJ417" s="446" t="e">
        <f>IF(OR($B417="",MIN(AJ$38,$D$19)&lt;MAX($P$34*($B417+IF($R$17="Distrato",$I$38-1,0)),IF(AND($L$37=0,$P$34=0),"",$L$37-1),IF($R$17="Distrato",$E417,0))),0,YEARFRAC(MAX($P$34*($B417+IF($R$17="Distrato",$I$38-1,0)),IF(AND($L$37=0,$P$34=0),"",$L$37-1),IF($R$17="Distrato",$E417,0)),MIN(AJ$38,$D$19),$P$20))-SUM($P417:AI417)</f>
        <v>#VALUE!</v>
      </c>
      <c r="AK417" s="446" t="e">
        <f>IF(OR($B417="",MIN(AK$38,$D$19)&lt;MAX($P$34*($B417+IF($R$17="Distrato",$I$38-1,0)),IF(AND($L$37=0,$P$34=0),"",$L$37-1),IF($R$17="Distrato",$E417,0))),0,YEARFRAC(MAX($P$34*($B417+IF($R$17="Distrato",$I$38-1,0)),IF(AND($L$37=0,$P$34=0),"",$L$37-1),IF($R$17="Distrato",$E417,0)),MIN(AK$38,$D$19),$P$20))-SUM($P417:AJ417)</f>
        <v>#VALUE!</v>
      </c>
      <c r="AL417" s="446" t="e">
        <f>IF(OR($B417="",MIN(AL$38,$D$19)&lt;MAX($P$34*($B417+IF($R$17="Distrato",$I$38-1,0)),IF(AND($L$37=0,$P$34=0),"",$L$37-1),IF($R$17="Distrato",$E417,0))),0,YEARFRAC(MAX($P$34*($B417+IF($R$17="Distrato",$I$38-1,0)),IF(AND($L$37=0,$P$34=0),"",$L$37-1),IF($R$17="Distrato",$E417,0)),MIN(AL$38,$D$19),$P$20))-SUM($P417:AK417)</f>
        <v>#VALUE!</v>
      </c>
      <c r="AM417" s="446" t="e">
        <f>IF(OR($B417="",MIN(AM$38,$D$19)&lt;MAX($P$34*($B417+IF($R$17="Distrato",$I$38-1,0)),IF(AND($L$37=0,$P$34=0),"",$L$37-1),IF($R$17="Distrato",$E417,0))),0,YEARFRAC(MAX($P$34*($B417+IF($R$17="Distrato",$I$38-1,0)),IF(AND($L$37=0,$P$34=0),"",$L$37-1),IF($R$17="Distrato",$E417,0)),MIN(AM$38,$D$19),$P$20))-SUM($P417:AL417)</f>
        <v>#VALUE!</v>
      </c>
      <c r="AN417" s="446" t="e">
        <f>IF(OR($B417="",MIN(AN$38,$D$19)&lt;MAX($P$34*($B417+IF($R$17="Distrato",$I$38-1,0)),IF(AND($L$37=0,$P$34=0),"",$L$37-1),IF($R$17="Distrato",$E417,0))),0,YEARFRAC(MAX($P$34*($B417+IF($R$17="Distrato",$I$38-1,0)),IF(AND($L$37=0,$P$34=0),"",$L$37-1),IF($R$17="Distrato",$E417,0)),MIN(AN$38,$D$19),$P$20))-SUM($P417:AM417)</f>
        <v>#VALUE!</v>
      </c>
      <c r="AO417" s="446" t="e">
        <f>IF(OR($B417="",MIN(AO$38,$D$19)&lt;MAX($P$34*($B417+IF($R$17="Distrato",$I$38-1,0)),IF(AND($L$37=0,$P$34=0),"",$L$37-1),IF($R$17="Distrato",$E417,0))),0,YEARFRAC(MAX($P$34*($B417+IF($R$17="Distrato",$I$38-1,0)),IF(AND($L$37=0,$P$34=0),"",$L$37-1),IF($R$17="Distrato",$E417,0)),MIN(AO$38,$D$19),$P$20))-SUM($P417:AN417)</f>
        <v>#VALUE!</v>
      </c>
      <c r="AP417" s="446" t="e">
        <f>IF(OR($B417="",MIN(AP$38,$D$19)&lt;MAX($P$34*($B417+IF($R$17="Distrato",$I$38-1,0)),IF(AND($L$37=0,$P$34=0),"",$L$37-1),IF($R$17="Distrato",$E417,0))),0,YEARFRAC(MAX($P$34*($B417+IF($R$17="Distrato",$I$38-1,0)),IF(AND($L$37=0,$P$34=0),"",$L$37-1),IF($R$17="Distrato",$E417,0)),MIN(AP$38,$D$19),$P$20))-SUM($P417:AO417)</f>
        <v>#VALUE!</v>
      </c>
      <c r="AQ417" s="446" t="e">
        <f>IF(OR($B417="",MIN(AQ$38,$D$19)&lt;MAX($P$34*($B417+IF($R$17="Distrato",$I$38-1,0)),IF(AND($L$37=0,$P$34=0),"",$L$37-1),IF($R$17="Distrato",$E417,0))),0,YEARFRAC(MAX($P$34*($B417+IF($R$17="Distrato",$I$38-1,0)),IF(AND($L$37=0,$P$34=0),"",$L$37-1),IF($R$17="Distrato",$E417,0)),MIN(AQ$38,$D$19),$P$20))-SUM($P417:AP417)</f>
        <v>#VALUE!</v>
      </c>
      <c r="AR417" s="446" t="e">
        <f>IF(OR($B417="",MIN(AR$38,$D$19)&lt;MAX($P$34*($B417+IF($R$17="Distrato",$I$38-1,0)),IF(AND($L$37=0,$P$34=0),"",$L$37-1),IF($R$17="Distrato",$E417,0))),0,YEARFRAC(MAX($P$34*($B417+IF($R$17="Distrato",$I$38-1,0)),IF(AND($L$37=0,$P$34=0),"",$L$37-1),IF($R$17="Distrato",$E417,0)),MIN(AR$38,$D$19),$P$20))-SUM($P417:AQ417)</f>
        <v>#VALUE!</v>
      </c>
      <c r="AS417" s="446" t="e">
        <f>IF(OR($B417="",MIN(AS$38,$D$19)&lt;MAX($P$34*($B417+IF($R$17="Distrato",$I$38-1,0)),IF(AND($L$37=0,$P$34=0),"",$L$37-1),IF($R$17="Distrato",$E417,0))),0,YEARFRAC(MAX($P$34*($B417+IF($R$17="Distrato",$I$38-1,0)),IF(AND($L$37=0,$P$34=0),"",$L$37-1),IF($R$17="Distrato",$E417,0)),MIN(AS$38,$D$19),$P$20))-SUM($P417:AR417)</f>
        <v>#VALUE!</v>
      </c>
      <c r="AT417" s="446" t="e">
        <f>IF(OR($B417="",MIN(AT$38,$D$19)&lt;MAX($P$34*($B417+IF($R$17="Distrato",$I$38-1,0)),IF(AND($L$37=0,$P$34=0),"",$L$37-1),IF($R$17="Distrato",$E417,0))),0,YEARFRAC(MAX($P$34*($B417+IF($R$17="Distrato",$I$38-1,0)),IF(AND($L$37=0,$P$34=0),"",$L$37-1),IF($R$17="Distrato",$E417,0)),MIN(AT$38,$D$19),$P$20))-SUM($P417:AS417)</f>
        <v>#VALUE!</v>
      </c>
      <c r="AU417" s="446" t="e">
        <f>IF(OR($B417="",MIN(AU$38,$D$19)&lt;MAX($P$34*($B417+IF($R$17="Distrato",$I$38-1,0)),IF(AND($L$37=0,$P$34=0),"",$L$37-1),IF($R$17="Distrato",$E417,0))),0,YEARFRAC(MAX($P$34*($B417+IF($R$17="Distrato",$I$38-1,0)),IF(AND($L$37=0,$P$34=0),"",$L$37-1),IF($R$17="Distrato",$E417,0)),MIN(AU$38,$D$19),$P$20))-SUM($P417:AT417)</f>
        <v>#VALUE!</v>
      </c>
      <c r="AV417" s="446" t="e">
        <f>IF(OR($B417="",MIN(AV$38,$D$19)&lt;MAX($P$34*($B417+IF($R$17="Distrato",$I$38-1,0)),IF(AND($L$37=0,$P$34=0),"",$L$37-1),IF($R$17="Distrato",$E417,0))),0,YEARFRAC(MAX($P$34*($B417+IF($R$17="Distrato",$I$38-1,0)),IF(AND($L$37=0,$P$34=0),"",$L$37-1),IF($R$17="Distrato",$E417,0)),MIN(AV$38,$D$19),$P$20))-SUM($P417:AU417)</f>
        <v>#VALUE!</v>
      </c>
      <c r="AW417" s="446" t="e">
        <f>IF(OR($B417="",MIN(AW$38,$D$19)&lt;MAX($P$34*($B417+IF($R$17="Distrato",$I$38-1,0)),IF(AND($L$37=0,$P$34=0),"",$L$37-1),IF($R$17="Distrato",$E417,0))),0,YEARFRAC(MAX($P$34*($B417+IF($R$17="Distrato",$I$38-1,0)),IF(AND($L$37=0,$P$34=0),"",$L$37-1),IF($R$17="Distrato",$E417,0)),MIN(AW$38,$D$19),$P$20))-SUM($P417:AV417)</f>
        <v>#VALUE!</v>
      </c>
      <c r="AX417" s="446" t="e">
        <f>IF(OR($B417="",MIN(AX$38,$D$19)&lt;MAX($P$34*($B417+IF($R$17="Distrato",$I$38-1,0)),IF(AND($L$37=0,$P$34=0),"",$L$37-1),IF($R$17="Distrato",$E417,0))),0,YEARFRAC(MAX($P$34*($B417+IF($R$17="Distrato",$I$38-1,0)),IF(AND($L$37=0,$P$34=0),"",$L$37-1),IF($R$17="Distrato",$E417,0)),MIN(AX$38,$D$19),$P$20))-SUM($P417:AW417)</f>
        <v>#VALUE!</v>
      </c>
      <c r="AY417" s="446" t="e">
        <f>IF(OR($B417="",MIN(AY$38,$D$19)&lt;MAX($P$34*($B417+IF($R$17="Distrato",$I$38-1,0)),IF(AND($L$37=0,$P$34=0),"",$L$37-1),IF($R$17="Distrato",$E417,0))),0,YEARFRAC(MAX($P$34*($B417+IF($R$17="Distrato",$I$38-1,0)),IF(AND($L$37=0,$P$34=0),"",$L$37-1),IF($R$17="Distrato",$E417,0)),MIN(AY$38,$D$19),$P$20))-SUM($P417:AX417)</f>
        <v>#VALUE!</v>
      </c>
      <c r="AZ417" s="446" t="e">
        <f>IF(OR($B417="",MIN(AZ$38,$D$19)&lt;MAX($P$34*($B417+IF($R$17="Distrato",$I$38-1,0)),IF(AND($L$37=0,$P$34=0),"",$L$37-1),IF($R$17="Distrato",$E417,0))),0,YEARFRAC(MAX($P$34*($B417+IF($R$17="Distrato",$I$38-1,0)),IF(AND($L$37=0,$P$34=0),"",$L$37-1),IF($R$17="Distrato",$E417,0)),MIN(AZ$38,$D$19),$P$20))-SUM($P417:AY417)</f>
        <v>#VALUE!</v>
      </c>
      <c r="BA417" s="446" t="e">
        <f>IF(OR($B417="",MIN(BA$38,$D$19)&lt;MAX($P$34*($B417+IF($R$17="Distrato",$I$38-1,0)),IF(AND($L$37=0,$P$34=0),"",$L$37-1),IF($R$17="Distrato",$E417,0))),0,YEARFRAC(MAX($P$34*($B417+IF($R$17="Distrato",$I$38-1,0)),IF(AND($L$37=0,$P$34=0),"",$L$37-1),IF($R$17="Distrato",$E417,0)),MIN(BA$38,$D$19),$P$20))-SUM($P417:AZ417)</f>
        <v>#VALUE!</v>
      </c>
      <c r="BB417" s="447"/>
      <c r="BF417" s="446">
        <f t="shared" si="65"/>
        <v>0</v>
      </c>
      <c r="BG417" s="446">
        <f>IF($E417=0,0,IF(MIN(BG$38,$E417)&lt;MAX($P$34*($B417+$I$38-1),IF(AND($L$37=0,$P$34=0),"",$L$37-1)),0,YEARFRAC(MAX($P$34*($B417+$I$38-1),IF(AND($L$37=0,$P$34=0),"",$L$37-1)),MIN(BG$38,$E417),$P$20))-SUM($BF417:BF417))</f>
        <v>0</v>
      </c>
      <c r="BH417" s="446">
        <f>IF($E417=0,0,IF(MIN(BH$38,$E417)&lt;MAX($P$34*($B417+$I$38-1),IF(AND($L$37=0,$P$34=0),"",$L$37-1)),0,YEARFRAC(MAX($P$34*($B417+$I$38-1),IF(AND($L$37=0,$P$34=0),"",$L$37-1)),MIN(BH$38,$E417),$P$20))-SUM($BF417:BG417))</f>
        <v>0</v>
      </c>
      <c r="BI417" s="446">
        <f>IF($E417=0,0,IF(MIN(BI$38,$E417)&lt;MAX($P$34*($B417+$I$38-1),IF(AND($L$37=0,$P$34=0),"",$L$37-1)),0,YEARFRAC(MAX($P$34*($B417+$I$38-1),IF(AND($L$37=0,$P$34=0),"",$L$37-1)),MIN(BI$38,$E417),$P$20))-SUM($BF417:BH417))</f>
        <v>0</v>
      </c>
      <c r="BJ417" s="446">
        <f>IF($E417=0,0,IF(MIN(BJ$38,$E417)&lt;MAX($P$34*($B417+$I$38-1),IF(AND($L$37=0,$P$34=0),"",$L$37-1)),0,YEARFRAC(MAX($P$34*($B417+$I$38-1),IF(AND($L$37=0,$P$34=0),"",$L$37-1)),MIN(BJ$38,$E417),$P$20))-SUM($BF417:BI417))</f>
        <v>0</v>
      </c>
      <c r="BK417" s="446">
        <f>IF($E417=0,0,IF(MIN(BK$38,$E417)&lt;MAX($P$34*($B417+$I$38-1),IF(AND($L$37=0,$P$34=0),"",$L$37-1)),0,YEARFRAC(MAX($P$34*($B417+$I$38-1),IF(AND($L$37=0,$P$34=0),"",$L$37-1)),MIN(BK$38,$E417),$P$20))-SUM($BF417:BJ417))</f>
        <v>0</v>
      </c>
      <c r="BL417" s="446">
        <f>IF($E417=0,0,IF(MIN(BL$38,$E417)&lt;MAX($P$34*($B417+$I$38-1),IF(AND($L$37=0,$P$34=0),"",$L$37-1)),0,YEARFRAC(MAX($P$34*($B417+$I$38-1),IF(AND($L$37=0,$P$34=0),"",$L$37-1)),MIN(BL$38,$E417),$P$20))-SUM($BF417:BK417))</f>
        <v>0</v>
      </c>
      <c r="BM417" s="446">
        <f>IF($E417=0,0,IF(MIN(BM$38,$E417)&lt;MAX($P$34*($B417+$I$38-1),IF(AND($L$37=0,$P$34=0),"",$L$37-1)),0,YEARFRAC(MAX($P$34*($B417+$I$38-1),IF(AND($L$37=0,$P$34=0),"",$L$37-1)),MIN(BM$38,$E417),$P$20))-SUM($BF417:BL417))</f>
        <v>0</v>
      </c>
      <c r="BN417" s="446">
        <f>IF($E417=0,0,IF(MIN(BN$38,$E417)&lt;MAX($P$34*($B417+$I$38-1),IF(AND($L$37=0,$P$34=0),"",$L$37-1)),0,YEARFRAC(MAX($P$34*($B417+$I$38-1),IF(AND($L$37=0,$P$34=0),"",$L$37-1)),MIN(BN$38,$E417),$P$20))-SUM($BF417:BM417))</f>
        <v>0</v>
      </c>
      <c r="BO417" s="446">
        <f>IF($E417=0,0,IF(MIN(BO$38,$E417)&lt;MAX($P$34*($B417+$I$38-1),IF(AND($L$37=0,$P$34=0),"",$L$37-1)),0,YEARFRAC(MAX($P$34*($B417+$I$38-1),IF(AND($L$37=0,$P$34=0),"",$L$37-1)),MIN(BO$38,$E417),$P$20))-SUM($BF417:BN417))</f>
        <v>0</v>
      </c>
      <c r="BP417" s="446">
        <f>IF($E417=0,0,IF(MIN(BP$38,$E417)&lt;MAX($P$34*($B417+$I$38-1),IF(AND($L$37=0,$P$34=0),"",$L$37-1)),0,YEARFRAC(MAX($P$34*($B417+$I$38-1),IF(AND($L$37=0,$P$34=0),"",$L$37-1)),MIN(BP$38,$E417),$P$20))-SUM($BF417:BO417))</f>
        <v>0</v>
      </c>
      <c r="BQ417" s="446">
        <f>IF($E417=0,0,IF(MIN(BQ$38,$E417)&lt;MAX($P$34*($B417+$I$38-1),IF(AND($L$37=0,$P$34=0),"",$L$37-1)),0,YEARFRAC(MAX($P$34*($B417+$I$38-1),IF(AND($L$37=0,$P$34=0),"",$L$37-1)),MIN(BQ$38,$E417),$P$20))-SUM($BF417:BP417))</f>
        <v>0</v>
      </c>
      <c r="BR417" s="446">
        <f>IF($E417=0,0,IF(MIN(BR$38,$E417)&lt;MAX($P$34*($B417+$I$38-1),IF(AND($L$37=0,$P$34=0),"",$L$37-1)),0,YEARFRAC(MAX($P$34*($B417+$I$38-1),IF(AND($L$37=0,$P$34=0),"",$L$37-1)),MIN(BR$38,$E417),$P$20))-SUM($BF417:BQ417))</f>
        <v>0</v>
      </c>
      <c r="BS417" s="446">
        <f>IF($E417=0,0,IF(MIN(BS$38,$E417)&lt;MAX($P$34*($B417+$I$38-1),IF(AND($L$37=0,$P$34=0),"",$L$37-1)),0,YEARFRAC(MAX($P$34*($B417+$I$38-1),IF(AND($L$37=0,$P$34=0),"",$L$37-1)),MIN(BS$38,$E417),$P$20))-SUM($BF417:BR417))</f>
        <v>0</v>
      </c>
      <c r="BT417" s="446">
        <f>IF($E417=0,0,IF(MIN(BT$38,$E417)&lt;MAX($P$34*($B417+$I$38-1),IF(AND($L$37=0,$P$34=0),"",$L$37-1)),0,YEARFRAC(MAX($P$34*($B417+$I$38-1),IF(AND($L$37=0,$P$34=0),"",$L$37-1)),MIN(BT$38,$E417),$P$20))-SUM($BF417:BS417))</f>
        <v>0</v>
      </c>
      <c r="BU417" s="446">
        <f>IF($E417=0,0,IF(MIN(BU$38,$E417)&lt;MAX($P$34*($B417+$I$38-1),IF(AND($L$37=0,$P$34=0),"",$L$37-1)),0,YEARFRAC(MAX($P$34*($B417+$I$38-1),IF(AND($L$37=0,$P$34=0),"",$L$37-1)),MIN(BU$38,$E417),$P$20))-SUM($BF417:BT417))</f>
        <v>0</v>
      </c>
      <c r="BV417" s="446">
        <f>IF($E417=0,0,IF(MIN(BV$38,$E417)&lt;MAX($P$34*($B417+$I$38-1),IF(AND($L$37=0,$P$34=0),"",$L$37-1)),0,YEARFRAC(MAX($P$34*($B417+$I$38-1),IF(AND($L$37=0,$P$34=0),"",$L$37-1)),MIN(BV$38,$E417),$P$20))-SUM($BF417:BU417))</f>
        <v>0</v>
      </c>
      <c r="BW417" s="446">
        <f>IF($E417=0,0,IF(MIN(BW$38,$E417)&lt;MAX($P$34*($B417+$I$38-1),IF(AND($L$37=0,$P$34=0),"",$L$37-1)),0,YEARFRAC(MAX($P$34*($B417+$I$38-1),IF(AND($L$37=0,$P$34=0),"",$L$37-1)),MIN(BW$38,$E417),$P$20))-SUM($BF417:BV417))</f>
        <v>0</v>
      </c>
      <c r="BX417" s="446">
        <f>IF($E417=0,0,IF(MIN(BX$38,$E417)&lt;MAX($P$34*($B417+$I$38-1),IF(AND($L$37=0,$P$34=0),"",$L$37-1)),0,YEARFRAC(MAX($P$34*($B417+$I$38-1),IF(AND($L$37=0,$P$34=0),"",$L$37-1)),MIN(BX$38,$E417),$P$20))-SUM($BF417:BW417))</f>
        <v>0</v>
      </c>
      <c r="BY417" s="446">
        <f>IF($E417=0,0,IF(MIN(BY$38,$E417)&lt;MAX($P$34*($B417+$I$38-1),IF(AND($L$37=0,$P$34=0),"",$L$37-1)),0,YEARFRAC(MAX($P$34*($B417+$I$38-1),IF(AND($L$37=0,$P$34=0),"",$L$37-1)),MIN(BY$38,$E417),$P$20))-SUM($BF417:BX417))</f>
        <v>0</v>
      </c>
      <c r="BZ417" s="446">
        <f>IF($E417=0,0,IF(MIN(BZ$38,$E417)&lt;MAX($P$34*($B417+$I$38-1),IF(AND($L$37=0,$P$34=0),"",$L$37-1)),0,YEARFRAC(MAX($P$34*($B417+$I$38-1),IF(AND($L$37=0,$P$34=0),"",$L$37-1)),MIN(BZ$38,$E417),$P$20))-SUM($BF417:BY417))</f>
        <v>0</v>
      </c>
      <c r="CA417" s="446">
        <f>IF($E417=0,0,IF(MIN(CA$38,$E417)&lt;MAX($P$34*($B417+$I$38-1),IF(AND($L$37=0,$P$34=0),"",$L$37-1)),0,YEARFRAC(MAX($P$34*($B417+$I$38-1),IF(AND($L$37=0,$P$34=0),"",$L$37-1)),MIN(CA$38,$E417),$P$20))-SUM($BF417:BZ417))</f>
        <v>0</v>
      </c>
      <c r="CB417" s="446">
        <f>IF($E417=0,0,IF(MIN(CB$38,$E417)&lt;MAX($P$34*($B417+$I$38-1),IF(AND($L$37=0,$P$34=0),"",$L$37-1)),0,YEARFRAC(MAX($P$34*($B417+$I$38-1),IF(AND($L$37=0,$P$34=0),"",$L$37-1)),MIN(CB$38,$E417),$P$20))-SUM($BF417:CA417))</f>
        <v>0</v>
      </c>
      <c r="CC417" s="446">
        <f>IF($E417=0,0,IF(MIN(CC$38,$E417)&lt;MAX($P$34*($B417+$I$38-1),IF(AND($L$37=0,$P$34=0),"",$L$37-1)),0,YEARFRAC(MAX($P$34*($B417+$I$38-1),IF(AND($L$37=0,$P$34=0),"",$L$37-1)),MIN(CC$38,$E417),$P$20))-SUM($BF417:CB417))</f>
        <v>0</v>
      </c>
      <c r="CD417" s="446">
        <f>IF($E417=0,0,IF(MIN(CD$38,$E417)&lt;MAX($P$34*($B417+$I$38-1),IF(AND($L$37=0,$P$34=0),"",$L$37-1)),0,YEARFRAC(MAX($P$34*($B417+$I$38-1),IF(AND($L$37=0,$P$34=0),"",$L$37-1)),MIN(CD$38,$E417),$P$20))-SUM($BF417:CC417))</f>
        <v>0</v>
      </c>
      <c r="CE417" s="446">
        <f>IF($E417=0,0,IF(MIN(CE$38,$E417)&lt;MAX($P$34*($B417+$I$38-1),IF(AND($L$37=0,$P$34=0),"",$L$37-1)),0,YEARFRAC(MAX($P$34*($B417+$I$38-1),IF(AND($L$37=0,$P$34=0),"",$L$37-1)),MIN(CE$38,$E417),$P$20))-SUM($BF417:CD417))</f>
        <v>0</v>
      </c>
      <c r="CF417" s="446">
        <f>IF($E417=0,0,IF(MIN(CF$38,$E417)&lt;MAX($P$34*($B417+$I$38-1),IF(AND($L$37=0,$P$34=0),"",$L$37-1)),0,YEARFRAC(MAX($P$34*($B417+$I$38-1),IF(AND($L$37=0,$P$34=0),"",$L$37-1)),MIN(CF$38,$E417),$P$20))-SUM($BF417:CE417))</f>
        <v>0</v>
      </c>
      <c r="CG417" s="446">
        <f>IF($E417=0,0,IF(MIN(CG$38,$E417)&lt;MAX($P$34*($B417+$I$38-1),IF(AND($L$37=0,$P$34=0),"",$L$37-1)),0,YEARFRAC(MAX($P$34*($B417+$I$38-1),IF(AND($L$37=0,$P$34=0),"",$L$37-1)),MIN(CG$38,$E417),$P$20))-SUM($BF417:CF417))</f>
        <v>0</v>
      </c>
      <c r="CH417" s="446">
        <f>IF($E417=0,0,IF(MIN(CH$38,$E417)&lt;MAX($P$34*($B417+$I$38-1),IF(AND($L$37=0,$P$34=0),"",$L$37-1)),0,YEARFRAC(MAX($P$34*($B417+$I$38-1),IF(AND($L$37=0,$P$34=0),"",$L$37-1)),MIN(CH$38,$E417),$P$20))-SUM($BF417:CG417))</f>
        <v>0</v>
      </c>
      <c r="CI417" s="446">
        <f>IF($E417=0,0,IF(MIN(CI$38,$E417)&lt;MAX($P$34*($B417+$I$38-1),IF(AND($L$37=0,$P$34=0),"",$L$37-1)),0,YEARFRAC(MAX($P$34*($B417+$I$38-1),IF(AND($L$37=0,$P$34=0),"",$L$37-1)),MIN(CI$38,$E417),$P$20))-SUM($BF417:CH417))</f>
        <v>0</v>
      </c>
      <c r="CJ417" s="446">
        <f>IF($E417=0,0,IF(MIN(CJ$38,$E417)&lt;MAX($P$34*($B417+$I$38-1),IF(AND($L$37=0,$P$34=0),"",$L$37-1)),0,YEARFRAC(MAX($P$34*($B417+$I$38-1),IF(AND($L$37=0,$P$34=0),"",$L$37-1)),MIN(CJ$38,$E417),$P$20))-SUM($BF417:CI417))</f>
        <v>0</v>
      </c>
      <c r="CK417" s="446">
        <f>IF($E417=0,0,IF(MIN(CK$38,$E417)&lt;MAX($P$34*($B417+$I$38-1),IF(AND($L$37=0,$P$34=0),"",$L$37-1)),0,YEARFRAC(MAX($P$34*($B417+$I$38-1),IF(AND($L$37=0,$P$34=0),"",$L$37-1)),MIN(CK$38,$E417),$P$20))-SUM($BF417:CJ417))</f>
        <v>0</v>
      </c>
      <c r="CL417" s="446">
        <f>IF($E417=0,0,IF(MIN(CL$38,$E417)&lt;MAX($P$34*($B417+$I$38-1),IF(AND($L$37=0,$P$34=0),"",$L$37-1)),0,YEARFRAC(MAX($P$34*($B417+$I$38-1),IF(AND($L$37=0,$P$34=0),"",$L$37-1)),MIN(CL$38,$E417),$P$20))-SUM($BF417:CK417))</f>
        <v>0</v>
      </c>
      <c r="CM417" s="446">
        <f>IF($E417=0,0,IF(MIN(CM$38,$E417)&lt;MAX($P$34*($B417+$I$38-1),IF(AND($L$37=0,$P$34=0),"",$L$37-1)),0,YEARFRAC(MAX($P$34*($B417+$I$38-1),IF(AND($L$37=0,$P$34=0),"",$L$37-1)),MIN(CM$38,$E417),$P$20))-SUM($BF417:CL417))</f>
        <v>0</v>
      </c>
      <c r="CN417" s="446">
        <f>IF($E417=0,0,IF(MIN(CN$38,$E417)&lt;MAX($P$34*($B417+$I$38-1),IF(AND($L$37=0,$P$34=0),"",$L$37-1)),0,YEARFRAC(MAX($P$34*($B417+$I$38-1),IF(AND($L$37=0,$P$34=0),"",$L$37-1)),MIN(CN$38,$E417),$P$20))-SUM($BF417:CM417))</f>
        <v>0</v>
      </c>
      <c r="CO417" s="446">
        <f>IF($E417=0,0,IF(MIN(CO$38,$E417)&lt;MAX($P$34*($B417+$I$38-1),IF(AND($L$37=0,$P$34=0),"",$L$37-1)),0,YEARFRAC(MAX($P$34*($B417+$I$38-1),IF(AND($L$37=0,$P$34=0),"",$L$37-1)),MIN(CO$38,$E417),$P$20))-SUM($BF417:CN417))</f>
        <v>0</v>
      </c>
      <c r="CP417" s="446">
        <f>IF($E417=0,0,IF(MIN(CP$38,$E417)&lt;MAX($P$34*($B417+$I$38-1),IF(AND($L$37=0,$P$34=0),"",$L$37-1)),0,YEARFRAC(MAX($P$34*($B417+$I$38-1),IF(AND($L$37=0,$P$34=0),"",$L$37-1)),MIN(CP$38,$E417),$P$20))-SUM($BF417:CO417))</f>
        <v>0</v>
      </c>
      <c r="CQ417" s="446">
        <f>IF($E417=0,0,IF(MIN(CQ$38,$E417)&lt;MAX($P$34*($B417+$I$38-1),IF(AND($L$37=0,$P$34=0),"",$L$37-1)),0,YEARFRAC(MAX($P$34*($B417+$I$38-1),IF(AND($L$37=0,$P$34=0),"",$L$37-1)),MIN(CQ$38,$E417),$P$20))-SUM($BF417:CP417))</f>
        <v>0</v>
      </c>
    </row>
    <row r="418" spans="1:95" s="446" customFormat="1" ht="11.25" hidden="1" customHeight="1" x14ac:dyDescent="0.2">
      <c r="A418" s="152"/>
      <c r="B418" s="153" t="str">
        <f t="shared" si="70"/>
        <v/>
      </c>
      <c r="C418" s="29" t="str">
        <f>IF(B418="","",IF($L$35="SELIC - TRIBUTOS",VLOOKUP(DATE(YEAR($D$19),MONTH($D$19)-1,1),ÍNDICES!$A:$DE,HLOOKUP($BL$25,ÍNDICES!$B$3:$T$4,2)+11)-VLOOKUP(B418,ÍNDICES!$A:$DE,HLOOKUP($BL$25,ÍNDICES!$B$3:$T$4,2)+11)+1%,IF(C$38=$W$26,$J$35,IF(ISERROR(IF(B418&gt;$D$19,1,VLOOKUP(DATE(YEAR(B418),MONTH(B418)+IF($C$35=$S$23,1,0),1),ÍNDICES!$A:$DE,$Z$35+1))),"",IF(B418&gt;$D$19,1,VLOOKUP(DATE(YEAR(B418),MONTH(B418)+IF($C$35=$S$23,1,0),1),ÍNDICES!$A:$DE,$Z$35+1))))))</f>
        <v/>
      </c>
      <c r="D418" s="154" t="str">
        <f>IF(ISERROR(IF(OR($D$38=$Y$27,$B418=""),"",VLOOKUP(B418,ÍNDICES!A:DE,AF$35+1))),"",IF(OR($D$38=$Y$27,$B418=""),"",VLOOKUP(B418,ÍNDICES!A:DE,AF$35+1)))</f>
        <v/>
      </c>
      <c r="E418" s="153"/>
      <c r="F418" s="29" t="str">
        <f>IF(E418="","",IF($L$35="SELIC - TRIBUTOS",VLOOKUP(DATE(YEAR($D$19),MONTH($D$19)-1,1),ÍNDICES!$A:$DE,HLOOKUP($BL$25,ÍNDICES!$B$3:$T$4,2)+11)-VLOOKUP(E418,ÍNDICES!$A:$DE,HLOOKUP($BL$25,ÍNDICES!$B$3:$T$4,2)+11)+1%,IF(F$38=$W$26,$J$35,IF(ISERROR(IF(E418&gt;$D$19,1,VLOOKUP(DATE(YEAR(E418),MONTH(E418)+IF($C$35=$S$23,1,0),1),ÍNDICES!$A:$DE,$Z$35+1))),"",IF(E418&gt;$D$19,1,VLOOKUP(DATE(YEAR(E418),MONTH(E418)+IF($C$35=$S$23,1,0),1),ÍNDICES!$A:$DE,$Z$35+1))))))</f>
        <v/>
      </c>
      <c r="G418" s="155"/>
      <c r="H418" s="156" t="str">
        <f t="shared" si="66"/>
        <v/>
      </c>
      <c r="I418" s="29" t="str">
        <f t="shared" si="60"/>
        <v/>
      </c>
      <c r="J418" s="5">
        <f t="shared" si="61"/>
        <v>0</v>
      </c>
      <c r="K418" s="20">
        <f t="shared" ca="1" si="62"/>
        <v>0</v>
      </c>
      <c r="L418" s="5">
        <f t="shared" ca="1" si="63"/>
        <v>0</v>
      </c>
      <c r="M418" s="64">
        <f t="shared" si="67"/>
        <v>0</v>
      </c>
      <c r="N418" s="61">
        <f t="shared" ca="1" si="68"/>
        <v>0</v>
      </c>
      <c r="O418" s="5">
        <f t="shared" ca="1" si="69"/>
        <v>0</v>
      </c>
      <c r="P418" s="446" t="e">
        <f t="shared" si="64"/>
        <v>#VALUE!</v>
      </c>
      <c r="Q418" s="446" t="e">
        <f>IF(OR($B418="",MIN(Q$38,$D$19)&lt;MAX($P$34*($B418+IF($R$17="Distrato",$I$38-1,0)),IF(AND($L$37=0,$P$34=0),"",$L$37-1),IF($R$17="Distrato",$E418,0))),0,YEARFRAC(MAX($P$34*($B418+IF($R$17="Distrato",$I$38-1,0)),IF(AND($L$37=0,$P$34=0),"",$L$37-1),IF($R$17="Distrato",$E418,0)),MIN(Q$38,$D$19),$P$20))-SUM($P418:P418)</f>
        <v>#VALUE!</v>
      </c>
      <c r="R418" s="446" t="e">
        <f>IF(OR($B418="",MIN(R$38,$D$19)&lt;MAX($P$34*($B418+IF($R$17="Distrato",$I$38-1,0)),IF(AND($L$37=0,$P$34=0),"",$L$37-1),IF($R$17="Distrato",$E418,0))),0,YEARFRAC(MAX($P$34*($B418+IF($R$17="Distrato",$I$38-1,0)),IF(AND($L$37=0,$P$34=0),"",$L$37-1),IF($R$17="Distrato",$E418,0)),MIN(R$38,$D$19),$P$20))-SUM($P418:Q418)</f>
        <v>#VALUE!</v>
      </c>
      <c r="S418" s="446" t="e">
        <f>IF(OR($B418="",MIN(S$38,$D$19)&lt;MAX($P$34*($B418+IF($R$17="Distrato",$I$38-1,0)),IF(AND($L$37=0,$P$34=0),"",$L$37-1),IF($R$17="Distrato",$E418,0))),0,YEARFRAC(MAX($P$34*($B418+IF($R$17="Distrato",$I$38-1,0)),IF(AND($L$37=0,$P$34=0),"",$L$37-1),IF($R$17="Distrato",$E418,0)),MIN(S$38,$D$19),$P$20))-SUM($P418:R418)</f>
        <v>#VALUE!</v>
      </c>
      <c r="T418" s="446" t="e">
        <f>IF(OR($B418="",MIN(T$38,$D$19)&lt;MAX($P$34*($B418+IF($R$17="Distrato",$I$38-1,0)),IF(AND($L$37=0,$P$34=0),"",$L$37-1),IF($R$17="Distrato",$E418,0))),0,YEARFRAC(MAX($P$34*($B418+IF($R$17="Distrato",$I$38-1,0)),IF(AND($L$37=0,$P$34=0),"",$L$37-1),IF($R$17="Distrato",$E418,0)),MIN(T$38,$D$19),$P$20))-SUM($P418:S418)</f>
        <v>#VALUE!</v>
      </c>
      <c r="U418" s="446" t="e">
        <f>IF(OR($B418="",MIN(U$38,$D$19)&lt;MAX($P$34*($B418+IF($R$17="Distrato",$I$38-1,0)),IF(AND($L$37=0,$P$34=0),"",$L$37-1),IF($R$17="Distrato",$E418,0))),0,YEARFRAC(MAX($P$34*($B418+IF($R$17="Distrato",$I$38-1,0)),IF(AND($L$37=0,$P$34=0),"",$L$37-1),IF($R$17="Distrato",$E418,0)),MIN(U$38,$D$19),$P$20))-SUM($P418:T418)</f>
        <v>#VALUE!</v>
      </c>
      <c r="V418" s="446" t="e">
        <f>IF(OR($B418="",MIN(V$38,$D$19)&lt;MAX($P$34*($B418+IF($R$17="Distrato",$I$38-1,0)),IF(AND($L$37=0,$P$34=0),"",$L$37-1),IF($R$17="Distrato",$E418,0))),0,YEARFRAC(MAX($P$34*($B418+IF($R$17="Distrato",$I$38-1,0)),IF(AND($L$37=0,$P$34=0),"",$L$37-1),IF($R$17="Distrato",$E418,0)),MIN(V$38,$D$19),$P$20))-SUM($P418:U418)</f>
        <v>#VALUE!</v>
      </c>
      <c r="W418" s="446" t="e">
        <f>IF(OR($B418="",MIN(W$38,$D$19)&lt;MAX($P$34*($B418+IF($R$17="Distrato",$I$38-1,0)),IF(AND($L$37=0,$P$34=0),"",$L$37-1),IF($R$17="Distrato",$E418,0))),0,YEARFRAC(MAX($P$34*($B418+IF($R$17="Distrato",$I$38-1,0)),IF(AND($L$37=0,$P$34=0),"",$L$37-1),IF($R$17="Distrato",$E418,0)),MIN(W$38,$D$19),$P$20))-SUM($P418:V418)</f>
        <v>#VALUE!</v>
      </c>
      <c r="X418" s="446" t="e">
        <f>IF(OR($B418="",MIN(X$38,$D$19)&lt;MAX($P$34*($B418+IF($R$17="Distrato",$I$38-1,0)),IF(AND($L$37=0,$P$34=0),"",$L$37-1),IF($R$17="Distrato",$E418,0))),0,YEARFRAC(MAX($P$34*($B418+IF($R$17="Distrato",$I$38-1,0)),IF(AND($L$37=0,$P$34=0),"",$L$37-1),IF($R$17="Distrato",$E418,0)),MIN(X$38,$D$19),$P$20))-SUM($P418:W418)</f>
        <v>#VALUE!</v>
      </c>
      <c r="Y418" s="446" t="e">
        <f>IF(OR($B418="",MIN(Y$38,$D$19)&lt;MAX($P$34*($B418+IF($R$17="Distrato",$I$38-1,0)),IF(AND($L$37=0,$P$34=0),"",$L$37-1),IF($R$17="Distrato",$E418,0))),0,YEARFRAC(MAX($P$34*($B418+IF($R$17="Distrato",$I$38-1,0)),IF(AND($L$37=0,$P$34=0),"",$L$37-1),IF($R$17="Distrato",$E418,0)),MIN(Y$38,$D$19),$P$20))-SUM($P418:X418)</f>
        <v>#VALUE!</v>
      </c>
      <c r="Z418" s="446" t="e">
        <f>IF(OR($B418="",MIN(Z$38,$D$19)&lt;MAX($P$34*($B418+IF($R$17="Distrato",$I$38-1,0)),IF(AND($L$37=0,$P$34=0),"",$L$37-1),IF($R$17="Distrato",$E418,0))),0,YEARFRAC(MAX($P$34*($B418+IF($R$17="Distrato",$I$38-1,0)),IF(AND($L$37=0,$P$34=0),"",$L$37-1),IF($R$17="Distrato",$E418,0)),MIN(Z$38,$D$19),$P$20))-SUM($P418:Y418)</f>
        <v>#VALUE!</v>
      </c>
      <c r="AA418" s="446" t="e">
        <f>IF(OR($B418="",MIN(AA$38,$D$19)&lt;MAX($P$34*($B418+IF($R$17="Distrato",$I$38-1,0)),IF(AND($L$37=0,$P$34=0),"",$L$37-1),IF($R$17="Distrato",$E418,0))),0,YEARFRAC(MAX($P$34*($B418+IF($R$17="Distrato",$I$38-1,0)),IF(AND($L$37=0,$P$34=0),"",$L$37-1),IF($R$17="Distrato",$E418,0)),MIN(AA$38,$D$19),$P$20))-SUM($P418:Z418)</f>
        <v>#VALUE!</v>
      </c>
      <c r="AB418" s="446" t="e">
        <f>IF(OR($B418="",MIN(AB$38,$D$19)&lt;MAX($P$34*($B418+IF($R$17="Distrato",$I$38-1,0)),IF(AND($L$37=0,$P$34=0),"",$L$37-1),IF($R$17="Distrato",$E418,0))),0,YEARFRAC(MAX($P$34*($B418+IF($R$17="Distrato",$I$38-1,0)),IF(AND($L$37=0,$P$34=0),"",$L$37-1),IF($R$17="Distrato",$E418,0)),MIN(AB$38,$D$19),$P$20))-SUM($P418:AA418)</f>
        <v>#VALUE!</v>
      </c>
      <c r="AC418" s="446" t="e">
        <f>IF(OR($B418="",MIN(AC$38,$D$19)&lt;MAX($P$34*($B418+IF($R$17="Distrato",$I$38-1,0)),IF(AND($L$37=0,$P$34=0),"",$L$37-1),IF($R$17="Distrato",$E418,0))),0,YEARFRAC(MAX($P$34*($B418+IF($R$17="Distrato",$I$38-1,0)),IF(AND($L$37=0,$P$34=0),"",$L$37-1),IF($R$17="Distrato",$E418,0)),MIN(AC$38,$D$19),$P$20))-SUM($P418:AB418)</f>
        <v>#VALUE!</v>
      </c>
      <c r="AD418" s="446" t="e">
        <f>IF(OR($B418="",MIN(AD$38,$D$19)&lt;MAX($P$34*($B418+IF($R$17="Distrato",$I$38-1,0)),IF(AND($L$37=0,$P$34=0),"",$L$37-1),IF($R$17="Distrato",$E418,0))),0,YEARFRAC(MAX($P$34*($B418+IF($R$17="Distrato",$I$38-1,0)),IF(AND($L$37=0,$P$34=0),"",$L$37-1),IF($R$17="Distrato",$E418,0)),MIN(AD$38,$D$19),$P$20))-SUM($P418:AC418)</f>
        <v>#VALUE!</v>
      </c>
      <c r="AE418" s="446" t="e">
        <f>IF(OR($B418="",MIN(AE$38,$D$19)&lt;MAX($P$34*($B418+IF($R$17="Distrato",$I$38-1,0)),IF(AND($L$37=0,$P$34=0),"",$L$37-1),IF($R$17="Distrato",$E418,0))),0,YEARFRAC(MAX($P$34*($B418+IF($R$17="Distrato",$I$38-1,0)),IF(AND($L$37=0,$P$34=0),"",$L$37-1),IF($R$17="Distrato",$E418,0)),MIN(AE$38,$D$19),$P$20))-SUM($P418:AD418)</f>
        <v>#VALUE!</v>
      </c>
      <c r="AF418" s="446" t="e">
        <f>IF(OR($B418="",MIN(AF$38,$D$19)&lt;MAX($P$34*($B418+IF($R$17="Distrato",$I$38-1,0)),IF(AND($L$37=0,$P$34=0),"",$L$37-1),IF($R$17="Distrato",$E418,0))),0,YEARFRAC(MAX($P$34*($B418+IF($R$17="Distrato",$I$38-1,0)),IF(AND($L$37=0,$P$34=0),"",$L$37-1),IF($R$17="Distrato",$E418,0)),MIN(AF$38,$D$19),$P$20))-SUM($P418:AE418)</f>
        <v>#VALUE!</v>
      </c>
      <c r="AG418" s="446" t="e">
        <f>IF(OR($B418="",MIN(AG$38,$D$19)&lt;MAX($P$34*($B418+IF($R$17="Distrato",$I$38-1,0)),IF(AND($L$37=0,$P$34=0),"",$L$37-1),IF($R$17="Distrato",$E418,0))),0,YEARFRAC(MAX($P$34*($B418+IF($R$17="Distrato",$I$38-1,0)),IF(AND($L$37=0,$P$34=0),"",$L$37-1),IF($R$17="Distrato",$E418,0)),MIN(AG$38,$D$19),$P$20))-SUM($P418:AF418)</f>
        <v>#VALUE!</v>
      </c>
      <c r="AH418" s="446" t="e">
        <f>IF(OR($B418="",MIN(AH$38,$D$19)&lt;MAX($P$34*($B418+IF($R$17="Distrato",$I$38-1,0)),IF(AND($L$37=0,$P$34=0),"",$L$37-1),IF($R$17="Distrato",$E418,0))),0,YEARFRAC(MAX($P$34*($B418+IF($R$17="Distrato",$I$38-1,0)),IF(AND($L$37=0,$P$34=0),"",$L$37-1),IF($R$17="Distrato",$E418,0)),MIN(AH$38,$D$19),$P$20))-SUM($P418:AG418)</f>
        <v>#VALUE!</v>
      </c>
      <c r="AI418" s="446" t="e">
        <f>IF(OR($B418="",MIN(AI$38,$D$19)&lt;MAX($P$34*($B418+IF($R$17="Distrato",$I$38-1,0)),IF(AND($L$37=0,$P$34=0),"",$L$37-1),IF($R$17="Distrato",$E418,0))),0,YEARFRAC(MAX($P$34*($B418+IF($R$17="Distrato",$I$38-1,0)),IF(AND($L$37=0,$P$34=0),"",$L$37-1),IF($R$17="Distrato",$E418,0)),MIN(AI$38,$D$19),$P$20))-SUM($P418:AH418)</f>
        <v>#VALUE!</v>
      </c>
      <c r="AJ418" s="446" t="e">
        <f>IF(OR($B418="",MIN(AJ$38,$D$19)&lt;MAX($P$34*($B418+IF($R$17="Distrato",$I$38-1,0)),IF(AND($L$37=0,$P$34=0),"",$L$37-1),IF($R$17="Distrato",$E418,0))),0,YEARFRAC(MAX($P$34*($B418+IF($R$17="Distrato",$I$38-1,0)),IF(AND($L$37=0,$P$34=0),"",$L$37-1),IF($R$17="Distrato",$E418,0)),MIN(AJ$38,$D$19),$P$20))-SUM($P418:AI418)</f>
        <v>#VALUE!</v>
      </c>
      <c r="AK418" s="446" t="e">
        <f>IF(OR($B418="",MIN(AK$38,$D$19)&lt;MAX($P$34*($B418+IF($R$17="Distrato",$I$38-1,0)),IF(AND($L$37=0,$P$34=0),"",$L$37-1),IF($R$17="Distrato",$E418,0))),0,YEARFRAC(MAX($P$34*($B418+IF($R$17="Distrato",$I$38-1,0)),IF(AND($L$37=0,$P$34=0),"",$L$37-1),IF($R$17="Distrato",$E418,0)),MIN(AK$38,$D$19),$P$20))-SUM($P418:AJ418)</f>
        <v>#VALUE!</v>
      </c>
      <c r="AL418" s="446" t="e">
        <f>IF(OR($B418="",MIN(AL$38,$D$19)&lt;MAX($P$34*($B418+IF($R$17="Distrato",$I$38-1,0)),IF(AND($L$37=0,$P$34=0),"",$L$37-1),IF($R$17="Distrato",$E418,0))),0,YEARFRAC(MAX($P$34*($B418+IF($R$17="Distrato",$I$38-1,0)),IF(AND($L$37=0,$P$34=0),"",$L$37-1),IF($R$17="Distrato",$E418,0)),MIN(AL$38,$D$19),$P$20))-SUM($P418:AK418)</f>
        <v>#VALUE!</v>
      </c>
      <c r="AM418" s="446" t="e">
        <f>IF(OR($B418="",MIN(AM$38,$D$19)&lt;MAX($P$34*($B418+IF($R$17="Distrato",$I$38-1,0)),IF(AND($L$37=0,$P$34=0),"",$L$37-1),IF($R$17="Distrato",$E418,0))),0,YEARFRAC(MAX($P$34*($B418+IF($R$17="Distrato",$I$38-1,0)),IF(AND($L$37=0,$P$34=0),"",$L$37-1),IF($R$17="Distrato",$E418,0)),MIN(AM$38,$D$19),$P$20))-SUM($P418:AL418)</f>
        <v>#VALUE!</v>
      </c>
      <c r="AN418" s="446" t="e">
        <f>IF(OR($B418="",MIN(AN$38,$D$19)&lt;MAX($P$34*($B418+IF($R$17="Distrato",$I$38-1,0)),IF(AND($L$37=0,$P$34=0),"",$L$37-1),IF($R$17="Distrato",$E418,0))),0,YEARFRAC(MAX($P$34*($B418+IF($R$17="Distrato",$I$38-1,0)),IF(AND($L$37=0,$P$34=0),"",$L$37-1),IF($R$17="Distrato",$E418,0)),MIN(AN$38,$D$19),$P$20))-SUM($P418:AM418)</f>
        <v>#VALUE!</v>
      </c>
      <c r="AO418" s="446" t="e">
        <f>IF(OR($B418="",MIN(AO$38,$D$19)&lt;MAX($P$34*($B418+IF($R$17="Distrato",$I$38-1,0)),IF(AND($L$37=0,$P$34=0),"",$L$37-1),IF($R$17="Distrato",$E418,0))),0,YEARFRAC(MAX($P$34*($B418+IF($R$17="Distrato",$I$38-1,0)),IF(AND($L$37=0,$P$34=0),"",$L$37-1),IF($R$17="Distrato",$E418,0)),MIN(AO$38,$D$19),$P$20))-SUM($P418:AN418)</f>
        <v>#VALUE!</v>
      </c>
      <c r="AP418" s="446" t="e">
        <f>IF(OR($B418="",MIN(AP$38,$D$19)&lt;MAX($P$34*($B418+IF($R$17="Distrato",$I$38-1,0)),IF(AND($L$37=0,$P$34=0),"",$L$37-1),IF($R$17="Distrato",$E418,0))),0,YEARFRAC(MAX($P$34*($B418+IF($R$17="Distrato",$I$38-1,0)),IF(AND($L$37=0,$P$34=0),"",$L$37-1),IF($R$17="Distrato",$E418,0)),MIN(AP$38,$D$19),$P$20))-SUM($P418:AO418)</f>
        <v>#VALUE!</v>
      </c>
      <c r="AQ418" s="446" t="e">
        <f>IF(OR($B418="",MIN(AQ$38,$D$19)&lt;MAX($P$34*($B418+IF($R$17="Distrato",$I$38-1,0)),IF(AND($L$37=0,$P$34=0),"",$L$37-1),IF($R$17="Distrato",$E418,0))),0,YEARFRAC(MAX($P$34*($B418+IF($R$17="Distrato",$I$38-1,0)),IF(AND($L$37=0,$P$34=0),"",$L$37-1),IF($R$17="Distrato",$E418,0)),MIN(AQ$38,$D$19),$P$20))-SUM($P418:AP418)</f>
        <v>#VALUE!</v>
      </c>
      <c r="AR418" s="446" t="e">
        <f>IF(OR($B418="",MIN(AR$38,$D$19)&lt;MAX($P$34*($B418+IF($R$17="Distrato",$I$38-1,0)),IF(AND($L$37=0,$P$34=0),"",$L$37-1),IF($R$17="Distrato",$E418,0))),0,YEARFRAC(MAX($P$34*($B418+IF($R$17="Distrato",$I$38-1,0)),IF(AND($L$37=0,$P$34=0),"",$L$37-1),IF($R$17="Distrato",$E418,0)),MIN(AR$38,$D$19),$P$20))-SUM($P418:AQ418)</f>
        <v>#VALUE!</v>
      </c>
      <c r="AS418" s="446" t="e">
        <f>IF(OR($B418="",MIN(AS$38,$D$19)&lt;MAX($P$34*($B418+IF($R$17="Distrato",$I$38-1,0)),IF(AND($L$37=0,$P$34=0),"",$L$37-1),IF($R$17="Distrato",$E418,0))),0,YEARFRAC(MAX($P$34*($B418+IF($R$17="Distrato",$I$38-1,0)),IF(AND($L$37=0,$P$34=0),"",$L$37-1),IF($R$17="Distrato",$E418,0)),MIN(AS$38,$D$19),$P$20))-SUM($P418:AR418)</f>
        <v>#VALUE!</v>
      </c>
      <c r="AT418" s="446" t="e">
        <f>IF(OR($B418="",MIN(AT$38,$D$19)&lt;MAX($P$34*($B418+IF($R$17="Distrato",$I$38-1,0)),IF(AND($L$37=0,$P$34=0),"",$L$37-1),IF($R$17="Distrato",$E418,0))),0,YEARFRAC(MAX($P$34*($B418+IF($R$17="Distrato",$I$38-1,0)),IF(AND($L$37=0,$P$34=0),"",$L$37-1),IF($R$17="Distrato",$E418,0)),MIN(AT$38,$D$19),$P$20))-SUM($P418:AS418)</f>
        <v>#VALUE!</v>
      </c>
      <c r="AU418" s="446" t="e">
        <f>IF(OR($B418="",MIN(AU$38,$D$19)&lt;MAX($P$34*($B418+IF($R$17="Distrato",$I$38-1,0)),IF(AND($L$37=0,$P$34=0),"",$L$37-1),IF($R$17="Distrato",$E418,0))),0,YEARFRAC(MAX($P$34*($B418+IF($R$17="Distrato",$I$38-1,0)),IF(AND($L$37=0,$P$34=0),"",$L$37-1),IF($R$17="Distrato",$E418,0)),MIN(AU$38,$D$19),$P$20))-SUM($P418:AT418)</f>
        <v>#VALUE!</v>
      </c>
      <c r="AV418" s="446" t="e">
        <f>IF(OR($B418="",MIN(AV$38,$D$19)&lt;MAX($P$34*($B418+IF($R$17="Distrato",$I$38-1,0)),IF(AND($L$37=0,$P$34=0),"",$L$37-1),IF($R$17="Distrato",$E418,0))),0,YEARFRAC(MAX($P$34*($B418+IF($R$17="Distrato",$I$38-1,0)),IF(AND($L$37=0,$P$34=0),"",$L$37-1),IF($R$17="Distrato",$E418,0)),MIN(AV$38,$D$19),$P$20))-SUM($P418:AU418)</f>
        <v>#VALUE!</v>
      </c>
      <c r="AW418" s="446" t="e">
        <f>IF(OR($B418="",MIN(AW$38,$D$19)&lt;MAX($P$34*($B418+IF($R$17="Distrato",$I$38-1,0)),IF(AND($L$37=0,$P$34=0),"",$L$37-1),IF($R$17="Distrato",$E418,0))),0,YEARFRAC(MAX($P$34*($B418+IF($R$17="Distrato",$I$38-1,0)),IF(AND($L$37=0,$P$34=0),"",$L$37-1),IF($R$17="Distrato",$E418,0)),MIN(AW$38,$D$19),$P$20))-SUM($P418:AV418)</f>
        <v>#VALUE!</v>
      </c>
      <c r="AX418" s="446" t="e">
        <f>IF(OR($B418="",MIN(AX$38,$D$19)&lt;MAX($P$34*($B418+IF($R$17="Distrato",$I$38-1,0)),IF(AND($L$37=0,$P$34=0),"",$L$37-1),IF($R$17="Distrato",$E418,0))),0,YEARFRAC(MAX($P$34*($B418+IF($R$17="Distrato",$I$38-1,0)),IF(AND($L$37=0,$P$34=0),"",$L$37-1),IF($R$17="Distrato",$E418,0)),MIN(AX$38,$D$19),$P$20))-SUM($P418:AW418)</f>
        <v>#VALUE!</v>
      </c>
      <c r="AY418" s="446" t="e">
        <f>IF(OR($B418="",MIN(AY$38,$D$19)&lt;MAX($P$34*($B418+IF($R$17="Distrato",$I$38-1,0)),IF(AND($L$37=0,$P$34=0),"",$L$37-1),IF($R$17="Distrato",$E418,0))),0,YEARFRAC(MAX($P$34*($B418+IF($R$17="Distrato",$I$38-1,0)),IF(AND($L$37=0,$P$34=0),"",$L$37-1),IF($R$17="Distrato",$E418,0)),MIN(AY$38,$D$19),$P$20))-SUM($P418:AX418)</f>
        <v>#VALUE!</v>
      </c>
      <c r="AZ418" s="446" t="e">
        <f>IF(OR($B418="",MIN(AZ$38,$D$19)&lt;MAX($P$34*($B418+IF($R$17="Distrato",$I$38-1,0)),IF(AND($L$37=0,$P$34=0),"",$L$37-1),IF($R$17="Distrato",$E418,0))),0,YEARFRAC(MAX($P$34*($B418+IF($R$17="Distrato",$I$38-1,0)),IF(AND($L$37=0,$P$34=0),"",$L$37-1),IF($R$17="Distrato",$E418,0)),MIN(AZ$38,$D$19),$P$20))-SUM($P418:AY418)</f>
        <v>#VALUE!</v>
      </c>
      <c r="BA418" s="446" t="e">
        <f>IF(OR($B418="",MIN(BA$38,$D$19)&lt;MAX($P$34*($B418+IF($R$17="Distrato",$I$38-1,0)),IF(AND($L$37=0,$P$34=0),"",$L$37-1),IF($R$17="Distrato",$E418,0))),0,YEARFRAC(MAX($P$34*($B418+IF($R$17="Distrato",$I$38-1,0)),IF(AND($L$37=0,$P$34=0),"",$L$37-1),IF($R$17="Distrato",$E418,0)),MIN(BA$38,$D$19),$P$20))-SUM($P418:AZ418)</f>
        <v>#VALUE!</v>
      </c>
      <c r="BB418" s="447"/>
      <c r="BF418" s="446">
        <f t="shared" si="65"/>
        <v>0</v>
      </c>
      <c r="BG418" s="446">
        <f>IF($E418=0,0,IF(MIN(BG$38,$E418)&lt;MAX($P$34*($B418+$I$38-1),IF(AND($L$37=0,$P$34=0),"",$L$37-1)),0,YEARFRAC(MAX($P$34*($B418+$I$38-1),IF(AND($L$37=0,$P$34=0),"",$L$37-1)),MIN(BG$38,$E418),$P$20))-SUM($BF418:BF418))</f>
        <v>0</v>
      </c>
      <c r="BH418" s="446">
        <f>IF($E418=0,0,IF(MIN(BH$38,$E418)&lt;MAX($P$34*($B418+$I$38-1),IF(AND($L$37=0,$P$34=0),"",$L$37-1)),0,YEARFRAC(MAX($P$34*($B418+$I$38-1),IF(AND($L$37=0,$P$34=0),"",$L$37-1)),MIN(BH$38,$E418),$P$20))-SUM($BF418:BG418))</f>
        <v>0</v>
      </c>
      <c r="BI418" s="446">
        <f>IF($E418=0,0,IF(MIN(BI$38,$E418)&lt;MAX($P$34*($B418+$I$38-1),IF(AND($L$37=0,$P$34=0),"",$L$37-1)),0,YEARFRAC(MAX($P$34*($B418+$I$38-1),IF(AND($L$37=0,$P$34=0),"",$L$37-1)),MIN(BI$38,$E418),$P$20))-SUM($BF418:BH418))</f>
        <v>0</v>
      </c>
      <c r="BJ418" s="446">
        <f>IF($E418=0,0,IF(MIN(BJ$38,$E418)&lt;MAX($P$34*($B418+$I$38-1),IF(AND($L$37=0,$P$34=0),"",$L$37-1)),0,YEARFRAC(MAX($P$34*($B418+$I$38-1),IF(AND($L$37=0,$P$34=0),"",$L$37-1)),MIN(BJ$38,$E418),$P$20))-SUM($BF418:BI418))</f>
        <v>0</v>
      </c>
      <c r="BK418" s="446">
        <f>IF($E418=0,0,IF(MIN(BK$38,$E418)&lt;MAX($P$34*($B418+$I$38-1),IF(AND($L$37=0,$P$34=0),"",$L$37-1)),0,YEARFRAC(MAX($P$34*($B418+$I$38-1),IF(AND($L$37=0,$P$34=0),"",$L$37-1)),MIN(BK$38,$E418),$P$20))-SUM($BF418:BJ418))</f>
        <v>0</v>
      </c>
      <c r="BL418" s="446">
        <f>IF($E418=0,0,IF(MIN(BL$38,$E418)&lt;MAX($P$34*($B418+$I$38-1),IF(AND($L$37=0,$P$34=0),"",$L$37-1)),0,YEARFRAC(MAX($P$34*($B418+$I$38-1),IF(AND($L$37=0,$P$34=0),"",$L$37-1)),MIN(BL$38,$E418),$P$20))-SUM($BF418:BK418))</f>
        <v>0</v>
      </c>
      <c r="BM418" s="446">
        <f>IF($E418=0,0,IF(MIN(BM$38,$E418)&lt;MAX($P$34*($B418+$I$38-1),IF(AND($L$37=0,$P$34=0),"",$L$37-1)),0,YEARFRAC(MAX($P$34*($B418+$I$38-1),IF(AND($L$37=0,$P$34=0),"",$L$37-1)),MIN(BM$38,$E418),$P$20))-SUM($BF418:BL418))</f>
        <v>0</v>
      </c>
      <c r="BN418" s="446">
        <f>IF($E418=0,0,IF(MIN(BN$38,$E418)&lt;MAX($P$34*($B418+$I$38-1),IF(AND($L$37=0,$P$34=0),"",$L$37-1)),0,YEARFRAC(MAX($P$34*($B418+$I$38-1),IF(AND($L$37=0,$P$34=0),"",$L$37-1)),MIN(BN$38,$E418),$P$20))-SUM($BF418:BM418))</f>
        <v>0</v>
      </c>
      <c r="BO418" s="446">
        <f>IF($E418=0,0,IF(MIN(BO$38,$E418)&lt;MAX($P$34*($B418+$I$38-1),IF(AND($L$37=0,$P$34=0),"",$L$37-1)),0,YEARFRAC(MAX($P$34*($B418+$I$38-1),IF(AND($L$37=0,$P$34=0),"",$L$37-1)),MIN(BO$38,$E418),$P$20))-SUM($BF418:BN418))</f>
        <v>0</v>
      </c>
      <c r="BP418" s="446">
        <f>IF($E418=0,0,IF(MIN(BP$38,$E418)&lt;MAX($P$34*($B418+$I$38-1),IF(AND($L$37=0,$P$34=0),"",$L$37-1)),0,YEARFRAC(MAX($P$34*($B418+$I$38-1),IF(AND($L$37=0,$P$34=0),"",$L$37-1)),MIN(BP$38,$E418),$P$20))-SUM($BF418:BO418))</f>
        <v>0</v>
      </c>
      <c r="BQ418" s="446">
        <f>IF($E418=0,0,IF(MIN(BQ$38,$E418)&lt;MAX($P$34*($B418+$I$38-1),IF(AND($L$37=0,$P$34=0),"",$L$37-1)),0,YEARFRAC(MAX($P$34*($B418+$I$38-1),IF(AND($L$37=0,$P$34=0),"",$L$37-1)),MIN(BQ$38,$E418),$P$20))-SUM($BF418:BP418))</f>
        <v>0</v>
      </c>
      <c r="BR418" s="446">
        <f>IF($E418=0,0,IF(MIN(BR$38,$E418)&lt;MAX($P$34*($B418+$I$38-1),IF(AND($L$37=0,$P$34=0),"",$L$37-1)),0,YEARFRAC(MAX($P$34*($B418+$I$38-1),IF(AND($L$37=0,$P$34=0),"",$L$37-1)),MIN(BR$38,$E418),$P$20))-SUM($BF418:BQ418))</f>
        <v>0</v>
      </c>
      <c r="BS418" s="446">
        <f>IF($E418=0,0,IF(MIN(BS$38,$E418)&lt;MAX($P$34*($B418+$I$38-1),IF(AND($L$37=0,$P$34=0),"",$L$37-1)),0,YEARFRAC(MAX($P$34*($B418+$I$38-1),IF(AND($L$37=0,$P$34=0),"",$L$37-1)),MIN(BS$38,$E418),$P$20))-SUM($BF418:BR418))</f>
        <v>0</v>
      </c>
      <c r="BT418" s="446">
        <f>IF($E418=0,0,IF(MIN(BT$38,$E418)&lt;MAX($P$34*($B418+$I$38-1),IF(AND($L$37=0,$P$34=0),"",$L$37-1)),0,YEARFRAC(MAX($P$34*($B418+$I$38-1),IF(AND($L$37=0,$P$34=0),"",$L$37-1)),MIN(BT$38,$E418),$P$20))-SUM($BF418:BS418))</f>
        <v>0</v>
      </c>
      <c r="BU418" s="446">
        <f>IF($E418=0,0,IF(MIN(BU$38,$E418)&lt;MAX($P$34*($B418+$I$38-1),IF(AND($L$37=0,$P$34=0),"",$L$37-1)),0,YEARFRAC(MAX($P$34*($B418+$I$38-1),IF(AND($L$37=0,$P$34=0),"",$L$37-1)),MIN(BU$38,$E418),$P$20))-SUM($BF418:BT418))</f>
        <v>0</v>
      </c>
      <c r="BV418" s="446">
        <f>IF($E418=0,0,IF(MIN(BV$38,$E418)&lt;MAX($P$34*($B418+$I$38-1),IF(AND($L$37=0,$P$34=0),"",$L$37-1)),0,YEARFRAC(MAX($P$34*($B418+$I$38-1),IF(AND($L$37=0,$P$34=0),"",$L$37-1)),MIN(BV$38,$E418),$P$20))-SUM($BF418:BU418))</f>
        <v>0</v>
      </c>
      <c r="BW418" s="446">
        <f>IF($E418=0,0,IF(MIN(BW$38,$E418)&lt;MAX($P$34*($B418+$I$38-1),IF(AND($L$37=0,$P$34=0),"",$L$37-1)),0,YEARFRAC(MAX($P$34*($B418+$I$38-1),IF(AND($L$37=0,$P$34=0),"",$L$37-1)),MIN(BW$38,$E418),$P$20))-SUM($BF418:BV418))</f>
        <v>0</v>
      </c>
      <c r="BX418" s="446">
        <f>IF($E418=0,0,IF(MIN(BX$38,$E418)&lt;MAX($P$34*($B418+$I$38-1),IF(AND($L$37=0,$P$34=0),"",$L$37-1)),0,YEARFRAC(MAX($P$34*($B418+$I$38-1),IF(AND($L$37=0,$P$34=0),"",$L$37-1)),MIN(BX$38,$E418),$P$20))-SUM($BF418:BW418))</f>
        <v>0</v>
      </c>
      <c r="BY418" s="446">
        <f>IF($E418=0,0,IF(MIN(BY$38,$E418)&lt;MAX($P$34*($B418+$I$38-1),IF(AND($L$37=0,$P$34=0),"",$L$37-1)),0,YEARFRAC(MAX($P$34*($B418+$I$38-1),IF(AND($L$37=0,$P$34=0),"",$L$37-1)),MIN(BY$38,$E418),$P$20))-SUM($BF418:BX418))</f>
        <v>0</v>
      </c>
      <c r="BZ418" s="446">
        <f>IF($E418=0,0,IF(MIN(BZ$38,$E418)&lt;MAX($P$34*($B418+$I$38-1),IF(AND($L$37=0,$P$34=0),"",$L$37-1)),0,YEARFRAC(MAX($P$34*($B418+$I$38-1),IF(AND($L$37=0,$P$34=0),"",$L$37-1)),MIN(BZ$38,$E418),$P$20))-SUM($BF418:BY418))</f>
        <v>0</v>
      </c>
      <c r="CA418" s="446">
        <f>IF($E418=0,0,IF(MIN(CA$38,$E418)&lt;MAX($P$34*($B418+$I$38-1),IF(AND($L$37=0,$P$34=0),"",$L$37-1)),0,YEARFRAC(MAX($P$34*($B418+$I$38-1),IF(AND($L$37=0,$P$34=0),"",$L$37-1)),MIN(CA$38,$E418),$P$20))-SUM($BF418:BZ418))</f>
        <v>0</v>
      </c>
      <c r="CB418" s="446">
        <f>IF($E418=0,0,IF(MIN(CB$38,$E418)&lt;MAX($P$34*($B418+$I$38-1),IF(AND($L$37=0,$P$34=0),"",$L$37-1)),0,YEARFRAC(MAX($P$34*($B418+$I$38-1),IF(AND($L$37=0,$P$34=0),"",$L$37-1)),MIN(CB$38,$E418),$P$20))-SUM($BF418:CA418))</f>
        <v>0</v>
      </c>
      <c r="CC418" s="446">
        <f>IF($E418=0,0,IF(MIN(CC$38,$E418)&lt;MAX($P$34*($B418+$I$38-1),IF(AND($L$37=0,$P$34=0),"",$L$37-1)),0,YEARFRAC(MAX($P$34*($B418+$I$38-1),IF(AND($L$37=0,$P$34=0),"",$L$37-1)),MIN(CC$38,$E418),$P$20))-SUM($BF418:CB418))</f>
        <v>0</v>
      </c>
      <c r="CD418" s="446">
        <f>IF($E418=0,0,IF(MIN(CD$38,$E418)&lt;MAX($P$34*($B418+$I$38-1),IF(AND($L$37=0,$P$34=0),"",$L$37-1)),0,YEARFRAC(MAX($P$34*($B418+$I$38-1),IF(AND($L$37=0,$P$34=0),"",$L$37-1)),MIN(CD$38,$E418),$P$20))-SUM($BF418:CC418))</f>
        <v>0</v>
      </c>
      <c r="CE418" s="446">
        <f>IF($E418=0,0,IF(MIN(CE$38,$E418)&lt;MAX($P$34*($B418+$I$38-1),IF(AND($L$37=0,$P$34=0),"",$L$37-1)),0,YEARFRAC(MAX($P$34*($B418+$I$38-1),IF(AND($L$37=0,$P$34=0),"",$L$37-1)),MIN(CE$38,$E418),$P$20))-SUM($BF418:CD418))</f>
        <v>0</v>
      </c>
      <c r="CF418" s="446">
        <f>IF($E418=0,0,IF(MIN(CF$38,$E418)&lt;MAX($P$34*($B418+$I$38-1),IF(AND($L$37=0,$P$34=0),"",$L$37-1)),0,YEARFRAC(MAX($P$34*($B418+$I$38-1),IF(AND($L$37=0,$P$34=0),"",$L$37-1)),MIN(CF$38,$E418),$P$20))-SUM($BF418:CE418))</f>
        <v>0</v>
      </c>
      <c r="CG418" s="446">
        <f>IF($E418=0,0,IF(MIN(CG$38,$E418)&lt;MAX($P$34*($B418+$I$38-1),IF(AND($L$37=0,$P$34=0),"",$L$37-1)),0,YEARFRAC(MAX($P$34*($B418+$I$38-1),IF(AND($L$37=0,$P$34=0),"",$L$37-1)),MIN(CG$38,$E418),$P$20))-SUM($BF418:CF418))</f>
        <v>0</v>
      </c>
      <c r="CH418" s="446">
        <f>IF($E418=0,0,IF(MIN(CH$38,$E418)&lt;MAX($P$34*($B418+$I$38-1),IF(AND($L$37=0,$P$34=0),"",$L$37-1)),0,YEARFRAC(MAX($P$34*($B418+$I$38-1),IF(AND($L$37=0,$P$34=0),"",$L$37-1)),MIN(CH$38,$E418),$P$20))-SUM($BF418:CG418))</f>
        <v>0</v>
      </c>
      <c r="CI418" s="446">
        <f>IF($E418=0,0,IF(MIN(CI$38,$E418)&lt;MAX($P$34*($B418+$I$38-1),IF(AND($L$37=0,$P$34=0),"",$L$37-1)),0,YEARFRAC(MAX($P$34*($B418+$I$38-1),IF(AND($L$37=0,$P$34=0),"",$L$37-1)),MIN(CI$38,$E418),$P$20))-SUM($BF418:CH418))</f>
        <v>0</v>
      </c>
      <c r="CJ418" s="446">
        <f>IF($E418=0,0,IF(MIN(CJ$38,$E418)&lt;MAX($P$34*($B418+$I$38-1),IF(AND($L$37=0,$P$34=0),"",$L$37-1)),0,YEARFRAC(MAX($P$34*($B418+$I$38-1),IF(AND($L$37=0,$P$34=0),"",$L$37-1)),MIN(CJ$38,$E418),$P$20))-SUM($BF418:CI418))</f>
        <v>0</v>
      </c>
      <c r="CK418" s="446">
        <f>IF($E418=0,0,IF(MIN(CK$38,$E418)&lt;MAX($P$34*($B418+$I$38-1),IF(AND($L$37=0,$P$34=0),"",$L$37-1)),0,YEARFRAC(MAX($P$34*($B418+$I$38-1),IF(AND($L$37=0,$P$34=0),"",$L$37-1)),MIN(CK$38,$E418),$P$20))-SUM($BF418:CJ418))</f>
        <v>0</v>
      </c>
      <c r="CL418" s="446">
        <f>IF($E418=0,0,IF(MIN(CL$38,$E418)&lt;MAX($P$34*($B418+$I$38-1),IF(AND($L$37=0,$P$34=0),"",$L$37-1)),0,YEARFRAC(MAX($P$34*($B418+$I$38-1),IF(AND($L$37=0,$P$34=0),"",$L$37-1)),MIN(CL$38,$E418),$P$20))-SUM($BF418:CK418))</f>
        <v>0</v>
      </c>
      <c r="CM418" s="446">
        <f>IF($E418=0,0,IF(MIN(CM$38,$E418)&lt;MAX($P$34*($B418+$I$38-1),IF(AND($L$37=0,$P$34=0),"",$L$37-1)),0,YEARFRAC(MAX($P$34*($B418+$I$38-1),IF(AND($L$37=0,$P$34=0),"",$L$37-1)),MIN(CM$38,$E418),$P$20))-SUM($BF418:CL418))</f>
        <v>0</v>
      </c>
      <c r="CN418" s="446">
        <f>IF($E418=0,0,IF(MIN(CN$38,$E418)&lt;MAX($P$34*($B418+$I$38-1),IF(AND($L$37=0,$P$34=0),"",$L$37-1)),0,YEARFRAC(MAX($P$34*($B418+$I$38-1),IF(AND($L$37=0,$P$34=0),"",$L$37-1)),MIN(CN$38,$E418),$P$20))-SUM($BF418:CM418))</f>
        <v>0</v>
      </c>
      <c r="CO418" s="446">
        <f>IF($E418=0,0,IF(MIN(CO$38,$E418)&lt;MAX($P$34*($B418+$I$38-1),IF(AND($L$37=0,$P$34=0),"",$L$37-1)),0,YEARFRAC(MAX($P$34*($B418+$I$38-1),IF(AND($L$37=0,$P$34=0),"",$L$37-1)),MIN(CO$38,$E418),$P$20))-SUM($BF418:CN418))</f>
        <v>0</v>
      </c>
      <c r="CP418" s="446">
        <f>IF($E418=0,0,IF(MIN(CP$38,$E418)&lt;MAX($P$34*($B418+$I$38-1),IF(AND($L$37=0,$P$34=0),"",$L$37-1)),0,YEARFRAC(MAX($P$34*($B418+$I$38-1),IF(AND($L$37=0,$P$34=0),"",$L$37-1)),MIN(CP$38,$E418),$P$20))-SUM($BF418:CO418))</f>
        <v>0</v>
      </c>
      <c r="CQ418" s="446">
        <f>IF($E418=0,0,IF(MIN(CQ$38,$E418)&lt;MAX($P$34*($B418+$I$38-1),IF(AND($L$37=0,$P$34=0),"",$L$37-1)),0,YEARFRAC(MAX($P$34*($B418+$I$38-1),IF(AND($L$37=0,$P$34=0),"",$L$37-1)),MIN(CQ$38,$E418),$P$20))-SUM($BF418:CP418))</f>
        <v>0</v>
      </c>
    </row>
    <row r="419" spans="1:95" s="446" customFormat="1" ht="11.25" hidden="1" customHeight="1" x14ac:dyDescent="0.2">
      <c r="A419" s="152"/>
      <c r="B419" s="153" t="str">
        <f t="shared" si="70"/>
        <v/>
      </c>
      <c r="C419" s="29" t="str">
        <f>IF(B419="","",IF($L$35="SELIC - TRIBUTOS",VLOOKUP(DATE(YEAR($D$19),MONTH($D$19)-1,1),ÍNDICES!$A:$DE,HLOOKUP($BL$25,ÍNDICES!$B$3:$T$4,2)+11)-VLOOKUP(B419,ÍNDICES!$A:$DE,HLOOKUP($BL$25,ÍNDICES!$B$3:$T$4,2)+11)+1%,IF(C$38=$W$26,$J$35,IF(ISERROR(IF(B419&gt;$D$19,1,VLOOKUP(DATE(YEAR(B419),MONTH(B419)+IF($C$35=$S$23,1,0),1),ÍNDICES!$A:$DE,$Z$35+1))),"",IF(B419&gt;$D$19,1,VLOOKUP(DATE(YEAR(B419),MONTH(B419)+IF($C$35=$S$23,1,0),1),ÍNDICES!$A:$DE,$Z$35+1))))))</f>
        <v/>
      </c>
      <c r="D419" s="154" t="str">
        <f>IF(ISERROR(IF(OR($D$38=$Y$27,$B419=""),"",VLOOKUP(B419,ÍNDICES!A:DE,AF$35+1))),"",IF(OR($D$38=$Y$27,$B419=""),"",VLOOKUP(B419,ÍNDICES!A:DE,AF$35+1)))</f>
        <v/>
      </c>
      <c r="E419" s="153"/>
      <c r="F419" s="29" t="str">
        <f>IF(E419="","",IF($L$35="SELIC - TRIBUTOS",VLOOKUP(DATE(YEAR($D$19),MONTH($D$19)-1,1),ÍNDICES!$A:$DE,HLOOKUP($BL$25,ÍNDICES!$B$3:$T$4,2)+11)-VLOOKUP(E419,ÍNDICES!$A:$DE,HLOOKUP($BL$25,ÍNDICES!$B$3:$T$4,2)+11)+1%,IF(F$38=$W$26,$J$35,IF(ISERROR(IF(E419&gt;$D$19,1,VLOOKUP(DATE(YEAR(E419),MONTH(E419)+IF($C$35=$S$23,1,0),1),ÍNDICES!$A:$DE,$Z$35+1))),"",IF(E419&gt;$D$19,1,VLOOKUP(DATE(YEAR(E419),MONTH(E419)+IF($C$35=$S$23,1,0),1),ÍNDICES!$A:$DE,$Z$35+1))))))</f>
        <v/>
      </c>
      <c r="G419" s="155"/>
      <c r="H419" s="156" t="str">
        <f t="shared" si="66"/>
        <v/>
      </c>
      <c r="I419" s="29" t="str">
        <f t="shared" si="60"/>
        <v/>
      </c>
      <c r="J419" s="5">
        <f t="shared" si="61"/>
        <v>0</v>
      </c>
      <c r="K419" s="20">
        <f t="shared" ca="1" si="62"/>
        <v>0</v>
      </c>
      <c r="L419" s="5">
        <f t="shared" ca="1" si="63"/>
        <v>0</v>
      </c>
      <c r="M419" s="64">
        <f t="shared" si="67"/>
        <v>0</v>
      </c>
      <c r="N419" s="61">
        <f t="shared" ca="1" si="68"/>
        <v>0</v>
      </c>
      <c r="O419" s="5">
        <f t="shared" ca="1" si="69"/>
        <v>0</v>
      </c>
      <c r="P419" s="446" t="e">
        <f t="shared" si="64"/>
        <v>#VALUE!</v>
      </c>
      <c r="Q419" s="446" t="e">
        <f>IF(OR($B419="",MIN(Q$38,$D$19)&lt;MAX($P$34*($B419+IF($R$17="Distrato",$I$38-1,0)),IF(AND($L$37=0,$P$34=0),"",$L$37-1),IF($R$17="Distrato",$E419,0))),0,YEARFRAC(MAX($P$34*($B419+IF($R$17="Distrato",$I$38-1,0)),IF(AND($L$37=0,$P$34=0),"",$L$37-1),IF($R$17="Distrato",$E419,0)),MIN(Q$38,$D$19),$P$20))-SUM($P419:P419)</f>
        <v>#VALUE!</v>
      </c>
      <c r="R419" s="446" t="e">
        <f>IF(OR($B419="",MIN(R$38,$D$19)&lt;MAX($P$34*($B419+IF($R$17="Distrato",$I$38-1,0)),IF(AND($L$37=0,$P$34=0),"",$L$37-1),IF($R$17="Distrato",$E419,0))),0,YEARFRAC(MAX($P$34*($B419+IF($R$17="Distrato",$I$38-1,0)),IF(AND($L$37=0,$P$34=0),"",$L$37-1),IF($R$17="Distrato",$E419,0)),MIN(R$38,$D$19),$P$20))-SUM($P419:Q419)</f>
        <v>#VALUE!</v>
      </c>
      <c r="S419" s="446" t="e">
        <f>IF(OR($B419="",MIN(S$38,$D$19)&lt;MAX($P$34*($B419+IF($R$17="Distrato",$I$38-1,0)),IF(AND($L$37=0,$P$34=0),"",$L$37-1),IF($R$17="Distrato",$E419,0))),0,YEARFRAC(MAX($P$34*($B419+IF($R$17="Distrato",$I$38-1,0)),IF(AND($L$37=0,$P$34=0),"",$L$37-1),IF($R$17="Distrato",$E419,0)),MIN(S$38,$D$19),$P$20))-SUM($P419:R419)</f>
        <v>#VALUE!</v>
      </c>
      <c r="T419" s="446" t="e">
        <f>IF(OR($B419="",MIN(T$38,$D$19)&lt;MAX($P$34*($B419+IF($R$17="Distrato",$I$38-1,0)),IF(AND($L$37=0,$P$34=0),"",$L$37-1),IF($R$17="Distrato",$E419,0))),0,YEARFRAC(MAX($P$34*($B419+IF($R$17="Distrato",$I$38-1,0)),IF(AND($L$37=0,$P$34=0),"",$L$37-1),IF($R$17="Distrato",$E419,0)),MIN(T$38,$D$19),$P$20))-SUM($P419:S419)</f>
        <v>#VALUE!</v>
      </c>
      <c r="U419" s="446" t="e">
        <f>IF(OR($B419="",MIN(U$38,$D$19)&lt;MAX($P$34*($B419+IF($R$17="Distrato",$I$38-1,0)),IF(AND($L$37=0,$P$34=0),"",$L$37-1),IF($R$17="Distrato",$E419,0))),0,YEARFRAC(MAX($P$34*($B419+IF($R$17="Distrato",$I$38-1,0)),IF(AND($L$37=0,$P$34=0),"",$L$37-1),IF($R$17="Distrato",$E419,0)),MIN(U$38,$D$19),$P$20))-SUM($P419:T419)</f>
        <v>#VALUE!</v>
      </c>
      <c r="V419" s="446" t="e">
        <f>IF(OR($B419="",MIN(V$38,$D$19)&lt;MAX($P$34*($B419+IF($R$17="Distrato",$I$38-1,0)),IF(AND($L$37=0,$P$34=0),"",$L$37-1),IF($R$17="Distrato",$E419,0))),0,YEARFRAC(MAX($P$34*($B419+IF($R$17="Distrato",$I$38-1,0)),IF(AND($L$37=0,$P$34=0),"",$L$37-1),IF($R$17="Distrato",$E419,0)),MIN(V$38,$D$19),$P$20))-SUM($P419:U419)</f>
        <v>#VALUE!</v>
      </c>
      <c r="W419" s="446" t="e">
        <f>IF(OR($B419="",MIN(W$38,$D$19)&lt;MAX($P$34*($B419+IF($R$17="Distrato",$I$38-1,0)),IF(AND($L$37=0,$P$34=0),"",$L$37-1),IF($R$17="Distrato",$E419,0))),0,YEARFRAC(MAX($P$34*($B419+IF($R$17="Distrato",$I$38-1,0)),IF(AND($L$37=0,$P$34=0),"",$L$37-1),IF($R$17="Distrato",$E419,0)),MIN(W$38,$D$19),$P$20))-SUM($P419:V419)</f>
        <v>#VALUE!</v>
      </c>
      <c r="X419" s="446" t="e">
        <f>IF(OR($B419="",MIN(X$38,$D$19)&lt;MAX($P$34*($B419+IF($R$17="Distrato",$I$38-1,0)),IF(AND($L$37=0,$P$34=0),"",$L$37-1),IF($R$17="Distrato",$E419,0))),0,YEARFRAC(MAX($P$34*($B419+IF($R$17="Distrato",$I$38-1,0)),IF(AND($L$37=0,$P$34=0),"",$L$37-1),IF($R$17="Distrato",$E419,0)),MIN(X$38,$D$19),$P$20))-SUM($P419:W419)</f>
        <v>#VALUE!</v>
      </c>
      <c r="Y419" s="446" t="e">
        <f>IF(OR($B419="",MIN(Y$38,$D$19)&lt;MAX($P$34*($B419+IF($R$17="Distrato",$I$38-1,0)),IF(AND($L$37=0,$P$34=0),"",$L$37-1),IF($R$17="Distrato",$E419,0))),0,YEARFRAC(MAX($P$34*($B419+IF($R$17="Distrato",$I$38-1,0)),IF(AND($L$37=0,$P$34=0),"",$L$37-1),IF($R$17="Distrato",$E419,0)),MIN(Y$38,$D$19),$P$20))-SUM($P419:X419)</f>
        <v>#VALUE!</v>
      </c>
      <c r="Z419" s="446" t="e">
        <f>IF(OR($B419="",MIN(Z$38,$D$19)&lt;MAX($P$34*($B419+IF($R$17="Distrato",$I$38-1,0)),IF(AND($L$37=0,$P$34=0),"",$L$37-1),IF($R$17="Distrato",$E419,0))),0,YEARFRAC(MAX($P$34*($B419+IF($R$17="Distrato",$I$38-1,0)),IF(AND($L$37=0,$P$34=0),"",$L$37-1),IF($R$17="Distrato",$E419,0)),MIN(Z$38,$D$19),$P$20))-SUM($P419:Y419)</f>
        <v>#VALUE!</v>
      </c>
      <c r="AA419" s="446" t="e">
        <f>IF(OR($B419="",MIN(AA$38,$D$19)&lt;MAX($P$34*($B419+IF($R$17="Distrato",$I$38-1,0)),IF(AND($L$37=0,$P$34=0),"",$L$37-1),IF($R$17="Distrato",$E419,0))),0,YEARFRAC(MAX($P$34*($B419+IF($R$17="Distrato",$I$38-1,0)),IF(AND($L$37=0,$P$34=0),"",$L$37-1),IF($R$17="Distrato",$E419,0)),MIN(AA$38,$D$19),$P$20))-SUM($P419:Z419)</f>
        <v>#VALUE!</v>
      </c>
      <c r="AB419" s="446" t="e">
        <f>IF(OR($B419="",MIN(AB$38,$D$19)&lt;MAX($P$34*($B419+IF($R$17="Distrato",$I$38-1,0)),IF(AND($L$37=0,$P$34=0),"",$L$37-1),IF($R$17="Distrato",$E419,0))),0,YEARFRAC(MAX($P$34*($B419+IF($R$17="Distrato",$I$38-1,0)),IF(AND($L$37=0,$P$34=0),"",$L$37-1),IF($R$17="Distrato",$E419,0)),MIN(AB$38,$D$19),$P$20))-SUM($P419:AA419)</f>
        <v>#VALUE!</v>
      </c>
      <c r="AC419" s="446" t="e">
        <f>IF(OR($B419="",MIN(AC$38,$D$19)&lt;MAX($P$34*($B419+IF($R$17="Distrato",$I$38-1,0)),IF(AND($L$37=0,$P$34=0),"",$L$37-1),IF($R$17="Distrato",$E419,0))),0,YEARFRAC(MAX($P$34*($B419+IF($R$17="Distrato",$I$38-1,0)),IF(AND($L$37=0,$P$34=0),"",$L$37-1),IF($R$17="Distrato",$E419,0)),MIN(AC$38,$D$19),$P$20))-SUM($P419:AB419)</f>
        <v>#VALUE!</v>
      </c>
      <c r="AD419" s="446" t="e">
        <f>IF(OR($B419="",MIN(AD$38,$D$19)&lt;MAX($P$34*($B419+IF($R$17="Distrato",$I$38-1,0)),IF(AND($L$37=0,$P$34=0),"",$L$37-1),IF($R$17="Distrato",$E419,0))),0,YEARFRAC(MAX($P$34*($B419+IF($R$17="Distrato",$I$38-1,0)),IF(AND($L$37=0,$P$34=0),"",$L$37-1),IF($R$17="Distrato",$E419,0)),MIN(AD$38,$D$19),$P$20))-SUM($P419:AC419)</f>
        <v>#VALUE!</v>
      </c>
      <c r="AE419" s="446" t="e">
        <f>IF(OR($B419="",MIN(AE$38,$D$19)&lt;MAX($P$34*($B419+IF($R$17="Distrato",$I$38-1,0)),IF(AND($L$37=0,$P$34=0),"",$L$37-1),IF($R$17="Distrato",$E419,0))),0,YEARFRAC(MAX($P$34*($B419+IF($R$17="Distrato",$I$38-1,0)),IF(AND($L$37=0,$P$34=0),"",$L$37-1),IF($R$17="Distrato",$E419,0)),MIN(AE$38,$D$19),$P$20))-SUM($P419:AD419)</f>
        <v>#VALUE!</v>
      </c>
      <c r="AF419" s="446" t="e">
        <f>IF(OR($B419="",MIN(AF$38,$D$19)&lt;MAX($P$34*($B419+IF($R$17="Distrato",$I$38-1,0)),IF(AND($L$37=0,$P$34=0),"",$L$37-1),IF($R$17="Distrato",$E419,0))),0,YEARFRAC(MAX($P$34*($B419+IF($R$17="Distrato",$I$38-1,0)),IF(AND($L$37=0,$P$34=0),"",$L$37-1),IF($R$17="Distrato",$E419,0)),MIN(AF$38,$D$19),$P$20))-SUM($P419:AE419)</f>
        <v>#VALUE!</v>
      </c>
      <c r="AG419" s="446" t="e">
        <f>IF(OR($B419="",MIN(AG$38,$D$19)&lt;MAX($P$34*($B419+IF($R$17="Distrato",$I$38-1,0)),IF(AND($L$37=0,$P$34=0),"",$L$37-1),IF($R$17="Distrato",$E419,0))),0,YEARFRAC(MAX($P$34*($B419+IF($R$17="Distrato",$I$38-1,0)),IF(AND($L$37=0,$P$34=0),"",$L$37-1),IF($R$17="Distrato",$E419,0)),MIN(AG$38,$D$19),$P$20))-SUM($P419:AF419)</f>
        <v>#VALUE!</v>
      </c>
      <c r="AH419" s="446" t="e">
        <f>IF(OR($B419="",MIN(AH$38,$D$19)&lt;MAX($P$34*($B419+IF($R$17="Distrato",$I$38-1,0)),IF(AND($L$37=0,$P$34=0),"",$L$37-1),IF($R$17="Distrato",$E419,0))),0,YEARFRAC(MAX($P$34*($B419+IF($R$17="Distrato",$I$38-1,0)),IF(AND($L$37=0,$P$34=0),"",$L$37-1),IF($R$17="Distrato",$E419,0)),MIN(AH$38,$D$19),$P$20))-SUM($P419:AG419)</f>
        <v>#VALUE!</v>
      </c>
      <c r="AI419" s="446" t="e">
        <f>IF(OR($B419="",MIN(AI$38,$D$19)&lt;MAX($P$34*($B419+IF($R$17="Distrato",$I$38-1,0)),IF(AND($L$37=0,$P$34=0),"",$L$37-1),IF($R$17="Distrato",$E419,0))),0,YEARFRAC(MAX($P$34*($B419+IF($R$17="Distrato",$I$38-1,0)),IF(AND($L$37=0,$P$34=0),"",$L$37-1),IF($R$17="Distrato",$E419,0)),MIN(AI$38,$D$19),$P$20))-SUM($P419:AH419)</f>
        <v>#VALUE!</v>
      </c>
      <c r="AJ419" s="446" t="e">
        <f>IF(OR($B419="",MIN(AJ$38,$D$19)&lt;MAX($P$34*($B419+IF($R$17="Distrato",$I$38-1,0)),IF(AND($L$37=0,$P$34=0),"",$L$37-1),IF($R$17="Distrato",$E419,0))),0,YEARFRAC(MAX($P$34*($B419+IF($R$17="Distrato",$I$38-1,0)),IF(AND($L$37=0,$P$34=0),"",$L$37-1),IF($R$17="Distrato",$E419,0)),MIN(AJ$38,$D$19),$P$20))-SUM($P419:AI419)</f>
        <v>#VALUE!</v>
      </c>
      <c r="AK419" s="446" t="e">
        <f>IF(OR($B419="",MIN(AK$38,$D$19)&lt;MAX($P$34*($B419+IF($R$17="Distrato",$I$38-1,0)),IF(AND($L$37=0,$P$34=0),"",$L$37-1),IF($R$17="Distrato",$E419,0))),0,YEARFRAC(MAX($P$34*($B419+IF($R$17="Distrato",$I$38-1,0)),IF(AND($L$37=0,$P$34=0),"",$L$37-1),IF($R$17="Distrato",$E419,0)),MIN(AK$38,$D$19),$P$20))-SUM($P419:AJ419)</f>
        <v>#VALUE!</v>
      </c>
      <c r="AL419" s="446" t="e">
        <f>IF(OR($B419="",MIN(AL$38,$D$19)&lt;MAX($P$34*($B419+IF($R$17="Distrato",$I$38-1,0)),IF(AND($L$37=0,$P$34=0),"",$L$37-1),IF($R$17="Distrato",$E419,0))),0,YEARFRAC(MAX($P$34*($B419+IF($R$17="Distrato",$I$38-1,0)),IF(AND($L$37=0,$P$34=0),"",$L$37-1),IF($R$17="Distrato",$E419,0)),MIN(AL$38,$D$19),$P$20))-SUM($P419:AK419)</f>
        <v>#VALUE!</v>
      </c>
      <c r="AM419" s="446" t="e">
        <f>IF(OR($B419="",MIN(AM$38,$D$19)&lt;MAX($P$34*($B419+IF($R$17="Distrato",$I$38-1,0)),IF(AND($L$37=0,$P$34=0),"",$L$37-1),IF($R$17="Distrato",$E419,0))),0,YEARFRAC(MAX($P$34*($B419+IF($R$17="Distrato",$I$38-1,0)),IF(AND($L$37=0,$P$34=0),"",$L$37-1),IF($R$17="Distrato",$E419,0)),MIN(AM$38,$D$19),$P$20))-SUM($P419:AL419)</f>
        <v>#VALUE!</v>
      </c>
      <c r="AN419" s="446" t="e">
        <f>IF(OR($B419="",MIN(AN$38,$D$19)&lt;MAX($P$34*($B419+IF($R$17="Distrato",$I$38-1,0)),IF(AND($L$37=0,$P$34=0),"",$L$37-1),IF($R$17="Distrato",$E419,0))),0,YEARFRAC(MAX($P$34*($B419+IF($R$17="Distrato",$I$38-1,0)),IF(AND($L$37=0,$P$34=0),"",$L$37-1),IF($R$17="Distrato",$E419,0)),MIN(AN$38,$D$19),$P$20))-SUM($P419:AM419)</f>
        <v>#VALUE!</v>
      </c>
      <c r="AO419" s="446" t="e">
        <f>IF(OR($B419="",MIN(AO$38,$D$19)&lt;MAX($P$34*($B419+IF($R$17="Distrato",$I$38-1,0)),IF(AND($L$37=0,$P$34=0),"",$L$37-1),IF($R$17="Distrato",$E419,0))),0,YEARFRAC(MAX($P$34*($B419+IF($R$17="Distrato",$I$38-1,0)),IF(AND($L$37=0,$P$34=0),"",$L$37-1),IF($R$17="Distrato",$E419,0)),MIN(AO$38,$D$19),$P$20))-SUM($P419:AN419)</f>
        <v>#VALUE!</v>
      </c>
      <c r="AP419" s="446" t="e">
        <f>IF(OR($B419="",MIN(AP$38,$D$19)&lt;MAX($P$34*($B419+IF($R$17="Distrato",$I$38-1,0)),IF(AND($L$37=0,$P$34=0),"",$L$37-1),IF($R$17="Distrato",$E419,0))),0,YEARFRAC(MAX($P$34*($B419+IF($R$17="Distrato",$I$38-1,0)),IF(AND($L$37=0,$P$34=0),"",$L$37-1),IF($R$17="Distrato",$E419,0)),MIN(AP$38,$D$19),$P$20))-SUM($P419:AO419)</f>
        <v>#VALUE!</v>
      </c>
      <c r="AQ419" s="446" t="e">
        <f>IF(OR($B419="",MIN(AQ$38,$D$19)&lt;MAX($P$34*($B419+IF($R$17="Distrato",$I$38-1,0)),IF(AND($L$37=0,$P$34=0),"",$L$37-1),IF($R$17="Distrato",$E419,0))),0,YEARFRAC(MAX($P$34*($B419+IF($R$17="Distrato",$I$38-1,0)),IF(AND($L$37=0,$P$34=0),"",$L$37-1),IF($R$17="Distrato",$E419,0)),MIN(AQ$38,$D$19),$P$20))-SUM($P419:AP419)</f>
        <v>#VALUE!</v>
      </c>
      <c r="AR419" s="446" t="e">
        <f>IF(OR($B419="",MIN(AR$38,$D$19)&lt;MAX($P$34*($B419+IF($R$17="Distrato",$I$38-1,0)),IF(AND($L$37=0,$P$34=0),"",$L$37-1),IF($R$17="Distrato",$E419,0))),0,YEARFRAC(MAX($P$34*($B419+IF($R$17="Distrato",$I$38-1,0)),IF(AND($L$37=0,$P$34=0),"",$L$37-1),IF($R$17="Distrato",$E419,0)),MIN(AR$38,$D$19),$P$20))-SUM($P419:AQ419)</f>
        <v>#VALUE!</v>
      </c>
      <c r="AS419" s="446" t="e">
        <f>IF(OR($B419="",MIN(AS$38,$D$19)&lt;MAX($P$34*($B419+IF($R$17="Distrato",$I$38-1,0)),IF(AND($L$37=0,$P$34=0),"",$L$37-1),IF($R$17="Distrato",$E419,0))),0,YEARFRAC(MAX($P$34*($B419+IF($R$17="Distrato",$I$38-1,0)),IF(AND($L$37=0,$P$34=0),"",$L$37-1),IF($R$17="Distrato",$E419,0)),MIN(AS$38,$D$19),$P$20))-SUM($P419:AR419)</f>
        <v>#VALUE!</v>
      </c>
      <c r="AT419" s="446" t="e">
        <f>IF(OR($B419="",MIN(AT$38,$D$19)&lt;MAX($P$34*($B419+IF($R$17="Distrato",$I$38-1,0)),IF(AND($L$37=0,$P$34=0),"",$L$37-1),IF($R$17="Distrato",$E419,0))),0,YEARFRAC(MAX($P$34*($B419+IF($R$17="Distrato",$I$38-1,0)),IF(AND($L$37=0,$P$34=0),"",$L$37-1),IF($R$17="Distrato",$E419,0)),MIN(AT$38,$D$19),$P$20))-SUM($P419:AS419)</f>
        <v>#VALUE!</v>
      </c>
      <c r="AU419" s="446" t="e">
        <f>IF(OR($B419="",MIN(AU$38,$D$19)&lt;MAX($P$34*($B419+IF($R$17="Distrato",$I$38-1,0)),IF(AND($L$37=0,$P$34=0),"",$L$37-1),IF($R$17="Distrato",$E419,0))),0,YEARFRAC(MAX($P$34*($B419+IF($R$17="Distrato",$I$38-1,0)),IF(AND($L$37=0,$P$34=0),"",$L$37-1),IF($R$17="Distrato",$E419,0)),MIN(AU$38,$D$19),$P$20))-SUM($P419:AT419)</f>
        <v>#VALUE!</v>
      </c>
      <c r="AV419" s="446" t="e">
        <f>IF(OR($B419="",MIN(AV$38,$D$19)&lt;MAX($P$34*($B419+IF($R$17="Distrato",$I$38-1,0)),IF(AND($L$37=0,$P$34=0),"",$L$37-1),IF($R$17="Distrato",$E419,0))),0,YEARFRAC(MAX($P$34*($B419+IF($R$17="Distrato",$I$38-1,0)),IF(AND($L$37=0,$P$34=0),"",$L$37-1),IF($R$17="Distrato",$E419,0)),MIN(AV$38,$D$19),$P$20))-SUM($P419:AU419)</f>
        <v>#VALUE!</v>
      </c>
      <c r="AW419" s="446" t="e">
        <f>IF(OR($B419="",MIN(AW$38,$D$19)&lt;MAX($P$34*($B419+IF($R$17="Distrato",$I$38-1,0)),IF(AND($L$37=0,$P$34=0),"",$L$37-1),IF($R$17="Distrato",$E419,0))),0,YEARFRAC(MAX($P$34*($B419+IF($R$17="Distrato",$I$38-1,0)),IF(AND($L$37=0,$P$34=0),"",$L$37-1),IF($R$17="Distrato",$E419,0)),MIN(AW$38,$D$19),$P$20))-SUM($P419:AV419)</f>
        <v>#VALUE!</v>
      </c>
      <c r="AX419" s="446" t="e">
        <f>IF(OR($B419="",MIN(AX$38,$D$19)&lt;MAX($P$34*($B419+IF($R$17="Distrato",$I$38-1,0)),IF(AND($L$37=0,$P$34=0),"",$L$37-1),IF($R$17="Distrato",$E419,0))),0,YEARFRAC(MAX($P$34*($B419+IF($R$17="Distrato",$I$38-1,0)),IF(AND($L$37=0,$P$34=0),"",$L$37-1),IF($R$17="Distrato",$E419,0)),MIN(AX$38,$D$19),$P$20))-SUM($P419:AW419)</f>
        <v>#VALUE!</v>
      </c>
      <c r="AY419" s="446" t="e">
        <f>IF(OR($B419="",MIN(AY$38,$D$19)&lt;MAX($P$34*($B419+IF($R$17="Distrato",$I$38-1,0)),IF(AND($L$37=0,$P$34=0),"",$L$37-1),IF($R$17="Distrato",$E419,0))),0,YEARFRAC(MAX($P$34*($B419+IF($R$17="Distrato",$I$38-1,0)),IF(AND($L$37=0,$P$34=0),"",$L$37-1),IF($R$17="Distrato",$E419,0)),MIN(AY$38,$D$19),$P$20))-SUM($P419:AX419)</f>
        <v>#VALUE!</v>
      </c>
      <c r="AZ419" s="446" t="e">
        <f>IF(OR($B419="",MIN(AZ$38,$D$19)&lt;MAX($P$34*($B419+IF($R$17="Distrato",$I$38-1,0)),IF(AND($L$37=0,$P$34=0),"",$L$37-1),IF($R$17="Distrato",$E419,0))),0,YEARFRAC(MAX($P$34*($B419+IF($R$17="Distrato",$I$38-1,0)),IF(AND($L$37=0,$P$34=0),"",$L$37-1),IF($R$17="Distrato",$E419,0)),MIN(AZ$38,$D$19),$P$20))-SUM($P419:AY419)</f>
        <v>#VALUE!</v>
      </c>
      <c r="BA419" s="446" t="e">
        <f>IF(OR($B419="",MIN(BA$38,$D$19)&lt;MAX($P$34*($B419+IF($R$17="Distrato",$I$38-1,0)),IF(AND($L$37=0,$P$34=0),"",$L$37-1),IF($R$17="Distrato",$E419,0))),0,YEARFRAC(MAX($P$34*($B419+IF($R$17="Distrato",$I$38-1,0)),IF(AND($L$37=0,$P$34=0),"",$L$37-1),IF($R$17="Distrato",$E419,0)),MIN(BA$38,$D$19),$P$20))-SUM($P419:AZ419)</f>
        <v>#VALUE!</v>
      </c>
      <c r="BB419" s="447"/>
      <c r="BF419" s="446">
        <f t="shared" si="65"/>
        <v>0</v>
      </c>
      <c r="BG419" s="446">
        <f>IF($E419=0,0,IF(MIN(BG$38,$E419)&lt;MAX($P$34*($B419+$I$38-1),IF(AND($L$37=0,$P$34=0),"",$L$37-1)),0,YEARFRAC(MAX($P$34*($B419+$I$38-1),IF(AND($L$37=0,$P$34=0),"",$L$37-1)),MIN(BG$38,$E419),$P$20))-SUM($BF419:BF419))</f>
        <v>0</v>
      </c>
      <c r="BH419" s="446">
        <f>IF($E419=0,0,IF(MIN(BH$38,$E419)&lt;MAX($P$34*($B419+$I$38-1),IF(AND($L$37=0,$P$34=0),"",$L$37-1)),0,YEARFRAC(MAX($P$34*($B419+$I$38-1),IF(AND($L$37=0,$P$34=0),"",$L$37-1)),MIN(BH$38,$E419),$P$20))-SUM($BF419:BG419))</f>
        <v>0</v>
      </c>
      <c r="BI419" s="446">
        <f>IF($E419=0,0,IF(MIN(BI$38,$E419)&lt;MAX($P$34*($B419+$I$38-1),IF(AND($L$37=0,$P$34=0),"",$L$37-1)),0,YEARFRAC(MAX($P$34*($B419+$I$38-1),IF(AND($L$37=0,$P$34=0),"",$L$37-1)),MIN(BI$38,$E419),$P$20))-SUM($BF419:BH419))</f>
        <v>0</v>
      </c>
      <c r="BJ419" s="446">
        <f>IF($E419=0,0,IF(MIN(BJ$38,$E419)&lt;MAX($P$34*($B419+$I$38-1),IF(AND($L$37=0,$P$34=0),"",$L$37-1)),0,YEARFRAC(MAX($P$34*($B419+$I$38-1),IF(AND($L$37=0,$P$34=0),"",$L$37-1)),MIN(BJ$38,$E419),$P$20))-SUM($BF419:BI419))</f>
        <v>0</v>
      </c>
      <c r="BK419" s="446">
        <f>IF($E419=0,0,IF(MIN(BK$38,$E419)&lt;MAX($P$34*($B419+$I$38-1),IF(AND($L$37=0,$P$34=0),"",$L$37-1)),0,YEARFRAC(MAX($P$34*($B419+$I$38-1),IF(AND($L$37=0,$P$34=0),"",$L$37-1)),MIN(BK$38,$E419),$P$20))-SUM($BF419:BJ419))</f>
        <v>0</v>
      </c>
      <c r="BL419" s="446">
        <f>IF($E419=0,0,IF(MIN(BL$38,$E419)&lt;MAX($P$34*($B419+$I$38-1),IF(AND($L$37=0,$P$34=0),"",$L$37-1)),0,YEARFRAC(MAX($P$34*($B419+$I$38-1),IF(AND($L$37=0,$P$34=0),"",$L$37-1)),MIN(BL$38,$E419),$P$20))-SUM($BF419:BK419))</f>
        <v>0</v>
      </c>
      <c r="BM419" s="446">
        <f>IF($E419=0,0,IF(MIN(BM$38,$E419)&lt;MAX($P$34*($B419+$I$38-1),IF(AND($L$37=0,$P$34=0),"",$L$37-1)),0,YEARFRAC(MAX($P$34*($B419+$I$38-1),IF(AND($L$37=0,$P$34=0),"",$L$37-1)),MIN(BM$38,$E419),$P$20))-SUM($BF419:BL419))</f>
        <v>0</v>
      </c>
      <c r="BN419" s="446">
        <f>IF($E419=0,0,IF(MIN(BN$38,$E419)&lt;MAX($P$34*($B419+$I$38-1),IF(AND($L$37=0,$P$34=0),"",$L$37-1)),0,YEARFRAC(MAX($P$34*($B419+$I$38-1),IF(AND($L$37=0,$P$34=0),"",$L$37-1)),MIN(BN$38,$E419),$P$20))-SUM($BF419:BM419))</f>
        <v>0</v>
      </c>
      <c r="BO419" s="446">
        <f>IF($E419=0,0,IF(MIN(BO$38,$E419)&lt;MAX($P$34*($B419+$I$38-1),IF(AND($L$37=0,$P$34=0),"",$L$37-1)),0,YEARFRAC(MAX($P$34*($B419+$I$38-1),IF(AND($L$37=0,$P$34=0),"",$L$37-1)),MIN(BO$38,$E419),$P$20))-SUM($BF419:BN419))</f>
        <v>0</v>
      </c>
      <c r="BP419" s="446">
        <f>IF($E419=0,0,IF(MIN(BP$38,$E419)&lt;MAX($P$34*($B419+$I$38-1),IF(AND($L$37=0,$P$34=0),"",$L$37-1)),0,YEARFRAC(MAX($P$34*($B419+$I$38-1),IF(AND($L$37=0,$P$34=0),"",$L$37-1)),MIN(BP$38,$E419),$P$20))-SUM($BF419:BO419))</f>
        <v>0</v>
      </c>
      <c r="BQ419" s="446">
        <f>IF($E419=0,0,IF(MIN(BQ$38,$E419)&lt;MAX($P$34*($B419+$I$38-1),IF(AND($L$37=0,$P$34=0),"",$L$37-1)),0,YEARFRAC(MAX($P$34*($B419+$I$38-1),IF(AND($L$37=0,$P$34=0),"",$L$37-1)),MIN(BQ$38,$E419),$P$20))-SUM($BF419:BP419))</f>
        <v>0</v>
      </c>
      <c r="BR419" s="446">
        <f>IF($E419=0,0,IF(MIN(BR$38,$E419)&lt;MAX($P$34*($B419+$I$38-1),IF(AND($L$37=0,$P$34=0),"",$L$37-1)),0,YEARFRAC(MAX($P$34*($B419+$I$38-1),IF(AND($L$37=0,$P$34=0),"",$L$37-1)),MIN(BR$38,$E419),$P$20))-SUM($BF419:BQ419))</f>
        <v>0</v>
      </c>
      <c r="BS419" s="446">
        <f>IF($E419=0,0,IF(MIN(BS$38,$E419)&lt;MAX($P$34*($B419+$I$38-1),IF(AND($L$37=0,$P$34=0),"",$L$37-1)),0,YEARFRAC(MAX($P$34*($B419+$I$38-1),IF(AND($L$37=0,$P$34=0),"",$L$37-1)),MIN(BS$38,$E419),$P$20))-SUM($BF419:BR419))</f>
        <v>0</v>
      </c>
      <c r="BT419" s="446">
        <f>IF($E419=0,0,IF(MIN(BT$38,$E419)&lt;MAX($P$34*($B419+$I$38-1),IF(AND($L$37=0,$P$34=0),"",$L$37-1)),0,YEARFRAC(MAX($P$34*($B419+$I$38-1),IF(AND($L$37=0,$P$34=0),"",$L$37-1)),MIN(BT$38,$E419),$P$20))-SUM($BF419:BS419))</f>
        <v>0</v>
      </c>
      <c r="BU419" s="446">
        <f>IF($E419=0,0,IF(MIN(BU$38,$E419)&lt;MAX($P$34*($B419+$I$38-1),IF(AND($L$37=0,$P$34=0),"",$L$37-1)),0,YEARFRAC(MAX($P$34*($B419+$I$38-1),IF(AND($L$37=0,$P$34=0),"",$L$37-1)),MIN(BU$38,$E419),$P$20))-SUM($BF419:BT419))</f>
        <v>0</v>
      </c>
      <c r="BV419" s="446">
        <f>IF($E419=0,0,IF(MIN(BV$38,$E419)&lt;MAX($P$34*($B419+$I$38-1),IF(AND($L$37=0,$P$34=0),"",$L$37-1)),0,YEARFRAC(MAX($P$34*($B419+$I$38-1),IF(AND($L$37=0,$P$34=0),"",$L$37-1)),MIN(BV$38,$E419),$P$20))-SUM($BF419:BU419))</f>
        <v>0</v>
      </c>
      <c r="BW419" s="446">
        <f>IF($E419=0,0,IF(MIN(BW$38,$E419)&lt;MAX($P$34*($B419+$I$38-1),IF(AND($L$37=0,$P$34=0),"",$L$37-1)),0,YEARFRAC(MAX($P$34*($B419+$I$38-1),IF(AND($L$37=0,$P$34=0),"",$L$37-1)),MIN(BW$38,$E419),$P$20))-SUM($BF419:BV419))</f>
        <v>0</v>
      </c>
      <c r="BX419" s="446">
        <f>IF($E419=0,0,IF(MIN(BX$38,$E419)&lt;MAX($P$34*($B419+$I$38-1),IF(AND($L$37=0,$P$34=0),"",$L$37-1)),0,YEARFRAC(MAX($P$34*($B419+$I$38-1),IF(AND($L$37=0,$P$34=0),"",$L$37-1)),MIN(BX$38,$E419),$P$20))-SUM($BF419:BW419))</f>
        <v>0</v>
      </c>
      <c r="BY419" s="446">
        <f>IF($E419=0,0,IF(MIN(BY$38,$E419)&lt;MAX($P$34*($B419+$I$38-1),IF(AND($L$37=0,$P$34=0),"",$L$37-1)),0,YEARFRAC(MAX($P$34*($B419+$I$38-1),IF(AND($L$37=0,$P$34=0),"",$L$37-1)),MIN(BY$38,$E419),$P$20))-SUM($BF419:BX419))</f>
        <v>0</v>
      </c>
      <c r="BZ419" s="446">
        <f>IF($E419=0,0,IF(MIN(BZ$38,$E419)&lt;MAX($P$34*($B419+$I$38-1),IF(AND($L$37=0,$P$34=0),"",$L$37-1)),0,YEARFRAC(MAX($P$34*($B419+$I$38-1),IF(AND($L$37=0,$P$34=0),"",$L$37-1)),MIN(BZ$38,$E419),$P$20))-SUM($BF419:BY419))</f>
        <v>0</v>
      </c>
      <c r="CA419" s="446">
        <f>IF($E419=0,0,IF(MIN(CA$38,$E419)&lt;MAX($P$34*($B419+$I$38-1),IF(AND($L$37=0,$P$34=0),"",$L$37-1)),0,YEARFRAC(MAX($P$34*($B419+$I$38-1),IF(AND($L$37=0,$P$34=0),"",$L$37-1)),MIN(CA$38,$E419),$P$20))-SUM($BF419:BZ419))</f>
        <v>0</v>
      </c>
      <c r="CB419" s="446">
        <f>IF($E419=0,0,IF(MIN(CB$38,$E419)&lt;MAX($P$34*($B419+$I$38-1),IF(AND($L$37=0,$P$34=0),"",$L$37-1)),0,YEARFRAC(MAX($P$34*($B419+$I$38-1),IF(AND($L$37=0,$P$34=0),"",$L$37-1)),MIN(CB$38,$E419),$P$20))-SUM($BF419:CA419))</f>
        <v>0</v>
      </c>
      <c r="CC419" s="446">
        <f>IF($E419=0,0,IF(MIN(CC$38,$E419)&lt;MAX($P$34*($B419+$I$38-1),IF(AND($L$37=0,$P$34=0),"",$L$37-1)),0,YEARFRAC(MAX($P$34*($B419+$I$38-1),IF(AND($L$37=0,$P$34=0),"",$L$37-1)),MIN(CC$38,$E419),$P$20))-SUM($BF419:CB419))</f>
        <v>0</v>
      </c>
      <c r="CD419" s="446">
        <f>IF($E419=0,0,IF(MIN(CD$38,$E419)&lt;MAX($P$34*($B419+$I$38-1),IF(AND($L$37=0,$P$34=0),"",$L$37-1)),0,YEARFRAC(MAX($P$34*($B419+$I$38-1),IF(AND($L$37=0,$P$34=0),"",$L$37-1)),MIN(CD$38,$E419),$P$20))-SUM($BF419:CC419))</f>
        <v>0</v>
      </c>
      <c r="CE419" s="446">
        <f>IF($E419=0,0,IF(MIN(CE$38,$E419)&lt;MAX($P$34*($B419+$I$38-1),IF(AND($L$37=0,$P$34=0),"",$L$37-1)),0,YEARFRAC(MAX($P$34*($B419+$I$38-1),IF(AND($L$37=0,$P$34=0),"",$L$37-1)),MIN(CE$38,$E419),$P$20))-SUM($BF419:CD419))</f>
        <v>0</v>
      </c>
      <c r="CF419" s="446">
        <f>IF($E419=0,0,IF(MIN(CF$38,$E419)&lt;MAX($P$34*($B419+$I$38-1),IF(AND($L$37=0,$P$34=0),"",$L$37-1)),0,YEARFRAC(MAX($P$34*($B419+$I$38-1),IF(AND($L$37=0,$P$34=0),"",$L$37-1)),MIN(CF$38,$E419),$P$20))-SUM($BF419:CE419))</f>
        <v>0</v>
      </c>
      <c r="CG419" s="446">
        <f>IF($E419=0,0,IF(MIN(CG$38,$E419)&lt;MAX($P$34*($B419+$I$38-1),IF(AND($L$37=0,$P$34=0),"",$L$37-1)),0,YEARFRAC(MAX($P$34*($B419+$I$38-1),IF(AND($L$37=0,$P$34=0),"",$L$37-1)),MIN(CG$38,$E419),$P$20))-SUM($BF419:CF419))</f>
        <v>0</v>
      </c>
      <c r="CH419" s="446">
        <f>IF($E419=0,0,IF(MIN(CH$38,$E419)&lt;MAX($P$34*($B419+$I$38-1),IF(AND($L$37=0,$P$34=0),"",$L$37-1)),0,YEARFRAC(MAX($P$34*($B419+$I$38-1),IF(AND($L$37=0,$P$34=0),"",$L$37-1)),MIN(CH$38,$E419),$P$20))-SUM($BF419:CG419))</f>
        <v>0</v>
      </c>
      <c r="CI419" s="446">
        <f>IF($E419=0,0,IF(MIN(CI$38,$E419)&lt;MAX($P$34*($B419+$I$38-1),IF(AND($L$37=0,$P$34=0),"",$L$37-1)),0,YEARFRAC(MAX($P$34*($B419+$I$38-1),IF(AND($L$37=0,$P$34=0),"",$L$37-1)),MIN(CI$38,$E419),$P$20))-SUM($BF419:CH419))</f>
        <v>0</v>
      </c>
      <c r="CJ419" s="446">
        <f>IF($E419=0,0,IF(MIN(CJ$38,$E419)&lt;MAX($P$34*($B419+$I$38-1),IF(AND($L$37=0,$P$34=0),"",$L$37-1)),0,YEARFRAC(MAX($P$34*($B419+$I$38-1),IF(AND($L$37=0,$P$34=0),"",$L$37-1)),MIN(CJ$38,$E419),$P$20))-SUM($BF419:CI419))</f>
        <v>0</v>
      </c>
      <c r="CK419" s="446">
        <f>IF($E419=0,0,IF(MIN(CK$38,$E419)&lt;MAX($P$34*($B419+$I$38-1),IF(AND($L$37=0,$P$34=0),"",$L$37-1)),0,YEARFRAC(MAX($P$34*($B419+$I$38-1),IF(AND($L$37=0,$P$34=0),"",$L$37-1)),MIN(CK$38,$E419),$P$20))-SUM($BF419:CJ419))</f>
        <v>0</v>
      </c>
      <c r="CL419" s="446">
        <f>IF($E419=0,0,IF(MIN(CL$38,$E419)&lt;MAX($P$34*($B419+$I$38-1),IF(AND($L$37=0,$P$34=0),"",$L$37-1)),0,YEARFRAC(MAX($P$34*($B419+$I$38-1),IF(AND($L$37=0,$P$34=0),"",$L$37-1)),MIN(CL$38,$E419),$P$20))-SUM($BF419:CK419))</f>
        <v>0</v>
      </c>
      <c r="CM419" s="446">
        <f>IF($E419=0,0,IF(MIN(CM$38,$E419)&lt;MAX($P$34*($B419+$I$38-1),IF(AND($L$37=0,$P$34=0),"",$L$37-1)),0,YEARFRAC(MAX($P$34*($B419+$I$38-1),IF(AND($L$37=0,$P$34=0),"",$L$37-1)),MIN(CM$38,$E419),$P$20))-SUM($BF419:CL419))</f>
        <v>0</v>
      </c>
      <c r="CN419" s="446">
        <f>IF($E419=0,0,IF(MIN(CN$38,$E419)&lt;MAX($P$34*($B419+$I$38-1),IF(AND($L$37=0,$P$34=0),"",$L$37-1)),0,YEARFRAC(MAX($P$34*($B419+$I$38-1),IF(AND($L$37=0,$P$34=0),"",$L$37-1)),MIN(CN$38,$E419),$P$20))-SUM($BF419:CM419))</f>
        <v>0</v>
      </c>
      <c r="CO419" s="446">
        <f>IF($E419=0,0,IF(MIN(CO$38,$E419)&lt;MAX($P$34*($B419+$I$38-1),IF(AND($L$37=0,$P$34=0),"",$L$37-1)),0,YEARFRAC(MAX($P$34*($B419+$I$38-1),IF(AND($L$37=0,$P$34=0),"",$L$37-1)),MIN(CO$38,$E419),$P$20))-SUM($BF419:CN419))</f>
        <v>0</v>
      </c>
      <c r="CP419" s="446">
        <f>IF($E419=0,0,IF(MIN(CP$38,$E419)&lt;MAX($P$34*($B419+$I$38-1),IF(AND($L$37=0,$P$34=0),"",$L$37-1)),0,YEARFRAC(MAX($P$34*($B419+$I$38-1),IF(AND($L$37=0,$P$34=0),"",$L$37-1)),MIN(CP$38,$E419),$P$20))-SUM($BF419:CO419))</f>
        <v>0</v>
      </c>
      <c r="CQ419" s="446">
        <f>IF($E419=0,0,IF(MIN(CQ$38,$E419)&lt;MAX($P$34*($B419+$I$38-1),IF(AND($L$37=0,$P$34=0),"",$L$37-1)),0,YEARFRAC(MAX($P$34*($B419+$I$38-1),IF(AND($L$37=0,$P$34=0),"",$L$37-1)),MIN(CQ$38,$E419),$P$20))-SUM($BF419:CP419))</f>
        <v>0</v>
      </c>
    </row>
    <row r="420" spans="1:95" s="446" customFormat="1" ht="11.25" hidden="1" customHeight="1" x14ac:dyDescent="0.2">
      <c r="A420" s="152"/>
      <c r="B420" s="153" t="str">
        <f t="shared" si="70"/>
        <v/>
      </c>
      <c r="C420" s="29" t="str">
        <f>IF(B420="","",IF($L$35="SELIC - TRIBUTOS",VLOOKUP(DATE(YEAR($D$19),MONTH($D$19)-1,1),ÍNDICES!$A:$DE,HLOOKUP($BL$25,ÍNDICES!$B$3:$T$4,2)+11)-VLOOKUP(B420,ÍNDICES!$A:$DE,HLOOKUP($BL$25,ÍNDICES!$B$3:$T$4,2)+11)+1%,IF(C$38=$W$26,$J$35,IF(ISERROR(IF(B420&gt;$D$19,1,VLOOKUP(DATE(YEAR(B420),MONTH(B420)+IF($C$35=$S$23,1,0),1),ÍNDICES!$A:$DE,$Z$35+1))),"",IF(B420&gt;$D$19,1,VLOOKUP(DATE(YEAR(B420),MONTH(B420)+IF($C$35=$S$23,1,0),1),ÍNDICES!$A:$DE,$Z$35+1))))))</f>
        <v/>
      </c>
      <c r="D420" s="154" t="str">
        <f>IF(ISERROR(IF(OR($D$38=$Y$27,$B420=""),"",VLOOKUP(B420,ÍNDICES!A:DE,AF$35+1))),"",IF(OR($D$38=$Y$27,$B420=""),"",VLOOKUP(B420,ÍNDICES!A:DE,AF$35+1)))</f>
        <v/>
      </c>
      <c r="E420" s="153"/>
      <c r="F420" s="29" t="str">
        <f>IF(E420="","",IF($L$35="SELIC - TRIBUTOS",VLOOKUP(DATE(YEAR($D$19),MONTH($D$19)-1,1),ÍNDICES!$A:$DE,HLOOKUP($BL$25,ÍNDICES!$B$3:$T$4,2)+11)-VLOOKUP(E420,ÍNDICES!$A:$DE,HLOOKUP($BL$25,ÍNDICES!$B$3:$T$4,2)+11)+1%,IF(F$38=$W$26,$J$35,IF(ISERROR(IF(E420&gt;$D$19,1,VLOOKUP(DATE(YEAR(E420),MONTH(E420)+IF($C$35=$S$23,1,0),1),ÍNDICES!$A:$DE,$Z$35+1))),"",IF(E420&gt;$D$19,1,VLOOKUP(DATE(YEAR(E420),MONTH(E420)+IF($C$35=$S$23,1,0),1),ÍNDICES!$A:$DE,$Z$35+1))))))</f>
        <v/>
      </c>
      <c r="G420" s="155"/>
      <c r="H420" s="156" t="str">
        <f t="shared" si="66"/>
        <v/>
      </c>
      <c r="I420" s="29" t="str">
        <f t="shared" si="60"/>
        <v/>
      </c>
      <c r="J420" s="5">
        <f t="shared" si="61"/>
        <v>0</v>
      </c>
      <c r="K420" s="20">
        <f t="shared" ca="1" si="62"/>
        <v>0</v>
      </c>
      <c r="L420" s="5">
        <f t="shared" ca="1" si="63"/>
        <v>0</v>
      </c>
      <c r="M420" s="64">
        <f t="shared" si="67"/>
        <v>0</v>
      </c>
      <c r="N420" s="61">
        <f t="shared" ca="1" si="68"/>
        <v>0</v>
      </c>
      <c r="O420" s="5">
        <f t="shared" ca="1" si="69"/>
        <v>0</v>
      </c>
      <c r="P420" s="446" t="e">
        <f t="shared" si="64"/>
        <v>#VALUE!</v>
      </c>
      <c r="Q420" s="446" t="e">
        <f>IF(OR($B420="",MIN(Q$38,$D$19)&lt;MAX($P$34*($B420+IF($R$17="Distrato",$I$38-1,0)),IF(AND($L$37=0,$P$34=0),"",$L$37-1),IF($R$17="Distrato",$E420,0))),0,YEARFRAC(MAX($P$34*($B420+IF($R$17="Distrato",$I$38-1,0)),IF(AND($L$37=0,$P$34=0),"",$L$37-1),IF($R$17="Distrato",$E420,0)),MIN(Q$38,$D$19),$P$20))-SUM($P420:P420)</f>
        <v>#VALUE!</v>
      </c>
      <c r="R420" s="446" t="e">
        <f>IF(OR($B420="",MIN(R$38,$D$19)&lt;MAX($P$34*($B420+IF($R$17="Distrato",$I$38-1,0)),IF(AND($L$37=0,$P$34=0),"",$L$37-1),IF($R$17="Distrato",$E420,0))),0,YEARFRAC(MAX($P$34*($B420+IF($R$17="Distrato",$I$38-1,0)),IF(AND($L$37=0,$P$34=0),"",$L$37-1),IF($R$17="Distrato",$E420,0)),MIN(R$38,$D$19),$P$20))-SUM($P420:Q420)</f>
        <v>#VALUE!</v>
      </c>
      <c r="S420" s="446" t="e">
        <f>IF(OR($B420="",MIN(S$38,$D$19)&lt;MAX($P$34*($B420+IF($R$17="Distrato",$I$38-1,0)),IF(AND($L$37=0,$P$34=0),"",$L$37-1),IF($R$17="Distrato",$E420,0))),0,YEARFRAC(MAX($P$34*($B420+IF($R$17="Distrato",$I$38-1,0)),IF(AND($L$37=0,$P$34=0),"",$L$37-1),IF($R$17="Distrato",$E420,0)),MIN(S$38,$D$19),$P$20))-SUM($P420:R420)</f>
        <v>#VALUE!</v>
      </c>
      <c r="T420" s="446" t="e">
        <f>IF(OR($B420="",MIN(T$38,$D$19)&lt;MAX($P$34*($B420+IF($R$17="Distrato",$I$38-1,0)),IF(AND($L$37=0,$P$34=0),"",$L$37-1),IF($R$17="Distrato",$E420,0))),0,YEARFRAC(MAX($P$34*($B420+IF($R$17="Distrato",$I$38-1,0)),IF(AND($L$37=0,$P$34=0),"",$L$37-1),IF($R$17="Distrato",$E420,0)),MIN(T$38,$D$19),$P$20))-SUM($P420:S420)</f>
        <v>#VALUE!</v>
      </c>
      <c r="U420" s="446" t="e">
        <f>IF(OR($B420="",MIN(U$38,$D$19)&lt;MAX($P$34*($B420+IF($R$17="Distrato",$I$38-1,0)),IF(AND($L$37=0,$P$34=0),"",$L$37-1),IF($R$17="Distrato",$E420,0))),0,YEARFRAC(MAX($P$34*($B420+IF($R$17="Distrato",$I$38-1,0)),IF(AND($L$37=0,$P$34=0),"",$L$37-1),IF($R$17="Distrato",$E420,0)),MIN(U$38,$D$19),$P$20))-SUM($P420:T420)</f>
        <v>#VALUE!</v>
      </c>
      <c r="V420" s="446" t="e">
        <f>IF(OR($B420="",MIN(V$38,$D$19)&lt;MAX($P$34*($B420+IF($R$17="Distrato",$I$38-1,0)),IF(AND($L$37=0,$P$34=0),"",$L$37-1),IF($R$17="Distrato",$E420,0))),0,YEARFRAC(MAX($P$34*($B420+IF($R$17="Distrato",$I$38-1,0)),IF(AND($L$37=0,$P$34=0),"",$L$37-1),IF($R$17="Distrato",$E420,0)),MIN(V$38,$D$19),$P$20))-SUM($P420:U420)</f>
        <v>#VALUE!</v>
      </c>
      <c r="W420" s="446" t="e">
        <f>IF(OR($B420="",MIN(W$38,$D$19)&lt;MAX($P$34*($B420+IF($R$17="Distrato",$I$38-1,0)),IF(AND($L$37=0,$P$34=0),"",$L$37-1),IF($R$17="Distrato",$E420,0))),0,YEARFRAC(MAX($P$34*($B420+IF($R$17="Distrato",$I$38-1,0)),IF(AND($L$37=0,$P$34=0),"",$L$37-1),IF($R$17="Distrato",$E420,0)),MIN(W$38,$D$19),$P$20))-SUM($P420:V420)</f>
        <v>#VALUE!</v>
      </c>
      <c r="X420" s="446" t="e">
        <f>IF(OR($B420="",MIN(X$38,$D$19)&lt;MAX($P$34*($B420+IF($R$17="Distrato",$I$38-1,0)),IF(AND($L$37=0,$P$34=0),"",$L$37-1),IF($R$17="Distrato",$E420,0))),0,YEARFRAC(MAX($P$34*($B420+IF($R$17="Distrato",$I$38-1,0)),IF(AND($L$37=0,$P$34=0),"",$L$37-1),IF($R$17="Distrato",$E420,0)),MIN(X$38,$D$19),$P$20))-SUM($P420:W420)</f>
        <v>#VALUE!</v>
      </c>
      <c r="Y420" s="446" t="e">
        <f>IF(OR($B420="",MIN(Y$38,$D$19)&lt;MAX($P$34*($B420+IF($R$17="Distrato",$I$38-1,0)),IF(AND($L$37=0,$P$34=0),"",$L$37-1),IF($R$17="Distrato",$E420,0))),0,YEARFRAC(MAX($P$34*($B420+IF($R$17="Distrato",$I$38-1,0)),IF(AND($L$37=0,$P$34=0),"",$L$37-1),IF($R$17="Distrato",$E420,0)),MIN(Y$38,$D$19),$P$20))-SUM($P420:X420)</f>
        <v>#VALUE!</v>
      </c>
      <c r="Z420" s="446" t="e">
        <f>IF(OR($B420="",MIN(Z$38,$D$19)&lt;MAX($P$34*($B420+IF($R$17="Distrato",$I$38-1,0)),IF(AND($L$37=0,$P$34=0),"",$L$37-1),IF($R$17="Distrato",$E420,0))),0,YEARFRAC(MAX($P$34*($B420+IF($R$17="Distrato",$I$38-1,0)),IF(AND($L$37=0,$P$34=0),"",$L$37-1),IF($R$17="Distrato",$E420,0)),MIN(Z$38,$D$19),$P$20))-SUM($P420:Y420)</f>
        <v>#VALUE!</v>
      </c>
      <c r="AA420" s="446" t="e">
        <f>IF(OR($B420="",MIN(AA$38,$D$19)&lt;MAX($P$34*($B420+IF($R$17="Distrato",$I$38-1,0)),IF(AND($L$37=0,$P$34=0),"",$L$37-1),IF($R$17="Distrato",$E420,0))),0,YEARFRAC(MAX($P$34*($B420+IF($R$17="Distrato",$I$38-1,0)),IF(AND($L$37=0,$P$34=0),"",$L$37-1),IF($R$17="Distrato",$E420,0)),MIN(AA$38,$D$19),$P$20))-SUM($P420:Z420)</f>
        <v>#VALUE!</v>
      </c>
      <c r="AB420" s="446" t="e">
        <f>IF(OR($B420="",MIN(AB$38,$D$19)&lt;MAX($P$34*($B420+IF($R$17="Distrato",$I$38-1,0)),IF(AND($L$37=0,$P$34=0),"",$L$37-1),IF($R$17="Distrato",$E420,0))),0,YEARFRAC(MAX($P$34*($B420+IF($R$17="Distrato",$I$38-1,0)),IF(AND($L$37=0,$P$34=0),"",$L$37-1),IF($R$17="Distrato",$E420,0)),MIN(AB$38,$D$19),$P$20))-SUM($P420:AA420)</f>
        <v>#VALUE!</v>
      </c>
      <c r="AC420" s="446" t="e">
        <f>IF(OR($B420="",MIN(AC$38,$D$19)&lt;MAX($P$34*($B420+IF($R$17="Distrato",$I$38-1,0)),IF(AND($L$37=0,$P$34=0),"",$L$37-1),IF($R$17="Distrato",$E420,0))),0,YEARFRAC(MAX($P$34*($B420+IF($R$17="Distrato",$I$38-1,0)),IF(AND($L$37=0,$P$34=0),"",$L$37-1),IF($R$17="Distrato",$E420,0)),MIN(AC$38,$D$19),$P$20))-SUM($P420:AB420)</f>
        <v>#VALUE!</v>
      </c>
      <c r="AD420" s="446" t="e">
        <f>IF(OR($B420="",MIN(AD$38,$D$19)&lt;MAX($P$34*($B420+IF($R$17="Distrato",$I$38-1,0)),IF(AND($L$37=0,$P$34=0),"",$L$37-1),IF($R$17="Distrato",$E420,0))),0,YEARFRAC(MAX($P$34*($B420+IF($R$17="Distrato",$I$38-1,0)),IF(AND($L$37=0,$P$34=0),"",$L$37-1),IF($R$17="Distrato",$E420,0)),MIN(AD$38,$D$19),$P$20))-SUM($P420:AC420)</f>
        <v>#VALUE!</v>
      </c>
      <c r="AE420" s="446" t="e">
        <f>IF(OR($B420="",MIN(AE$38,$D$19)&lt;MAX($P$34*($B420+IF($R$17="Distrato",$I$38-1,0)),IF(AND($L$37=0,$P$34=0),"",$L$37-1),IF($R$17="Distrato",$E420,0))),0,YEARFRAC(MAX($P$34*($B420+IF($R$17="Distrato",$I$38-1,0)),IF(AND($L$37=0,$P$34=0),"",$L$37-1),IF($R$17="Distrato",$E420,0)),MIN(AE$38,$D$19),$P$20))-SUM($P420:AD420)</f>
        <v>#VALUE!</v>
      </c>
      <c r="AF420" s="446" t="e">
        <f>IF(OR($B420="",MIN(AF$38,$D$19)&lt;MAX($P$34*($B420+IF($R$17="Distrato",$I$38-1,0)),IF(AND($L$37=0,$P$34=0),"",$L$37-1),IF($R$17="Distrato",$E420,0))),0,YEARFRAC(MAX($P$34*($B420+IF($R$17="Distrato",$I$38-1,0)),IF(AND($L$37=0,$P$34=0),"",$L$37-1),IF($R$17="Distrato",$E420,0)),MIN(AF$38,$D$19),$P$20))-SUM($P420:AE420)</f>
        <v>#VALUE!</v>
      </c>
      <c r="AG420" s="446" t="e">
        <f>IF(OR($B420="",MIN(AG$38,$D$19)&lt;MAX($P$34*($B420+IF($R$17="Distrato",$I$38-1,0)),IF(AND($L$37=0,$P$34=0),"",$L$37-1),IF($R$17="Distrato",$E420,0))),0,YEARFRAC(MAX($P$34*($B420+IF($R$17="Distrato",$I$38-1,0)),IF(AND($L$37=0,$P$34=0),"",$L$37-1),IF($R$17="Distrato",$E420,0)),MIN(AG$38,$D$19),$P$20))-SUM($P420:AF420)</f>
        <v>#VALUE!</v>
      </c>
      <c r="AH420" s="446" t="e">
        <f>IF(OR($B420="",MIN(AH$38,$D$19)&lt;MAX($P$34*($B420+IF($R$17="Distrato",$I$38-1,0)),IF(AND($L$37=0,$P$34=0),"",$L$37-1),IF($R$17="Distrato",$E420,0))),0,YEARFRAC(MAX($P$34*($B420+IF($R$17="Distrato",$I$38-1,0)),IF(AND($L$37=0,$P$34=0),"",$L$37-1),IF($R$17="Distrato",$E420,0)),MIN(AH$38,$D$19),$P$20))-SUM($P420:AG420)</f>
        <v>#VALUE!</v>
      </c>
      <c r="AI420" s="446" t="e">
        <f>IF(OR($B420="",MIN(AI$38,$D$19)&lt;MAX($P$34*($B420+IF($R$17="Distrato",$I$38-1,0)),IF(AND($L$37=0,$P$34=0),"",$L$37-1),IF($R$17="Distrato",$E420,0))),0,YEARFRAC(MAX($P$34*($B420+IF($R$17="Distrato",$I$38-1,0)),IF(AND($L$37=0,$P$34=0),"",$L$37-1),IF($R$17="Distrato",$E420,0)),MIN(AI$38,$D$19),$P$20))-SUM($P420:AH420)</f>
        <v>#VALUE!</v>
      </c>
      <c r="AJ420" s="446" t="e">
        <f>IF(OR($B420="",MIN(AJ$38,$D$19)&lt;MAX($P$34*($B420+IF($R$17="Distrato",$I$38-1,0)),IF(AND($L$37=0,$P$34=0),"",$L$37-1),IF($R$17="Distrato",$E420,0))),0,YEARFRAC(MAX($P$34*($B420+IF($R$17="Distrato",$I$38-1,0)),IF(AND($L$37=0,$P$34=0),"",$L$37-1),IF($R$17="Distrato",$E420,0)),MIN(AJ$38,$D$19),$P$20))-SUM($P420:AI420)</f>
        <v>#VALUE!</v>
      </c>
      <c r="AK420" s="446" t="e">
        <f>IF(OR($B420="",MIN(AK$38,$D$19)&lt;MAX($P$34*($B420+IF($R$17="Distrato",$I$38-1,0)),IF(AND($L$37=0,$P$34=0),"",$L$37-1),IF($R$17="Distrato",$E420,0))),0,YEARFRAC(MAX($P$34*($B420+IF($R$17="Distrato",$I$38-1,0)),IF(AND($L$37=0,$P$34=0),"",$L$37-1),IF($R$17="Distrato",$E420,0)),MIN(AK$38,$D$19),$P$20))-SUM($P420:AJ420)</f>
        <v>#VALUE!</v>
      </c>
      <c r="AL420" s="446" t="e">
        <f>IF(OR($B420="",MIN(AL$38,$D$19)&lt;MAX($P$34*($B420+IF($R$17="Distrato",$I$38-1,0)),IF(AND($L$37=0,$P$34=0),"",$L$37-1),IF($R$17="Distrato",$E420,0))),0,YEARFRAC(MAX($P$34*($B420+IF($R$17="Distrato",$I$38-1,0)),IF(AND($L$37=0,$P$34=0),"",$L$37-1),IF($R$17="Distrato",$E420,0)),MIN(AL$38,$D$19),$P$20))-SUM($P420:AK420)</f>
        <v>#VALUE!</v>
      </c>
      <c r="AM420" s="446" t="e">
        <f>IF(OR($B420="",MIN(AM$38,$D$19)&lt;MAX($P$34*($B420+IF($R$17="Distrato",$I$38-1,0)),IF(AND($L$37=0,$P$34=0),"",$L$37-1),IF($R$17="Distrato",$E420,0))),0,YEARFRAC(MAX($P$34*($B420+IF($R$17="Distrato",$I$38-1,0)),IF(AND($L$37=0,$P$34=0),"",$L$37-1),IF($R$17="Distrato",$E420,0)),MIN(AM$38,$D$19),$P$20))-SUM($P420:AL420)</f>
        <v>#VALUE!</v>
      </c>
      <c r="AN420" s="446" t="e">
        <f>IF(OR($B420="",MIN(AN$38,$D$19)&lt;MAX($P$34*($B420+IF($R$17="Distrato",$I$38-1,0)),IF(AND($L$37=0,$P$34=0),"",$L$37-1),IF($R$17="Distrato",$E420,0))),0,YEARFRAC(MAX($P$34*($B420+IF($R$17="Distrato",$I$38-1,0)),IF(AND($L$37=0,$P$34=0),"",$L$37-1),IF($R$17="Distrato",$E420,0)),MIN(AN$38,$D$19),$P$20))-SUM($P420:AM420)</f>
        <v>#VALUE!</v>
      </c>
      <c r="AO420" s="446" t="e">
        <f>IF(OR($B420="",MIN(AO$38,$D$19)&lt;MAX($P$34*($B420+IF($R$17="Distrato",$I$38-1,0)),IF(AND($L$37=0,$P$34=0),"",$L$37-1),IF($R$17="Distrato",$E420,0))),0,YEARFRAC(MAX($P$34*($B420+IF($R$17="Distrato",$I$38-1,0)),IF(AND($L$37=0,$P$34=0),"",$L$37-1),IF($R$17="Distrato",$E420,0)),MIN(AO$38,$D$19),$P$20))-SUM($P420:AN420)</f>
        <v>#VALUE!</v>
      </c>
      <c r="AP420" s="446" t="e">
        <f>IF(OR($B420="",MIN(AP$38,$D$19)&lt;MAX($P$34*($B420+IF($R$17="Distrato",$I$38-1,0)),IF(AND($L$37=0,$P$34=0),"",$L$37-1),IF($R$17="Distrato",$E420,0))),0,YEARFRAC(MAX($P$34*($B420+IF($R$17="Distrato",$I$38-1,0)),IF(AND($L$37=0,$P$34=0),"",$L$37-1),IF($R$17="Distrato",$E420,0)),MIN(AP$38,$D$19),$P$20))-SUM($P420:AO420)</f>
        <v>#VALUE!</v>
      </c>
      <c r="AQ420" s="446" t="e">
        <f>IF(OR($B420="",MIN(AQ$38,$D$19)&lt;MAX($P$34*($B420+IF($R$17="Distrato",$I$38-1,0)),IF(AND($L$37=0,$P$34=0),"",$L$37-1),IF($R$17="Distrato",$E420,0))),0,YEARFRAC(MAX($P$34*($B420+IF($R$17="Distrato",$I$38-1,0)),IF(AND($L$37=0,$P$34=0),"",$L$37-1),IF($R$17="Distrato",$E420,0)),MIN(AQ$38,$D$19),$P$20))-SUM($P420:AP420)</f>
        <v>#VALUE!</v>
      </c>
      <c r="AR420" s="446" t="e">
        <f>IF(OR($B420="",MIN(AR$38,$D$19)&lt;MAX($P$34*($B420+IF($R$17="Distrato",$I$38-1,0)),IF(AND($L$37=0,$P$34=0),"",$L$37-1),IF($R$17="Distrato",$E420,0))),0,YEARFRAC(MAX($P$34*($B420+IF($R$17="Distrato",$I$38-1,0)),IF(AND($L$37=0,$P$34=0),"",$L$37-1),IF($R$17="Distrato",$E420,0)),MIN(AR$38,$D$19),$P$20))-SUM($P420:AQ420)</f>
        <v>#VALUE!</v>
      </c>
      <c r="AS420" s="446" t="e">
        <f>IF(OR($B420="",MIN(AS$38,$D$19)&lt;MAX($P$34*($B420+IF($R$17="Distrato",$I$38-1,0)),IF(AND($L$37=0,$P$34=0),"",$L$37-1),IF($R$17="Distrato",$E420,0))),0,YEARFRAC(MAX($P$34*($B420+IF($R$17="Distrato",$I$38-1,0)),IF(AND($L$37=0,$P$34=0),"",$L$37-1),IF($R$17="Distrato",$E420,0)),MIN(AS$38,$D$19),$P$20))-SUM($P420:AR420)</f>
        <v>#VALUE!</v>
      </c>
      <c r="AT420" s="446" t="e">
        <f>IF(OR($B420="",MIN(AT$38,$D$19)&lt;MAX($P$34*($B420+IF($R$17="Distrato",$I$38-1,0)),IF(AND($L$37=0,$P$34=0),"",$L$37-1),IF($R$17="Distrato",$E420,0))),0,YEARFRAC(MAX($P$34*($B420+IF($R$17="Distrato",$I$38-1,0)),IF(AND($L$37=0,$P$34=0),"",$L$37-1),IF($R$17="Distrato",$E420,0)),MIN(AT$38,$D$19),$P$20))-SUM($P420:AS420)</f>
        <v>#VALUE!</v>
      </c>
      <c r="AU420" s="446" t="e">
        <f>IF(OR($B420="",MIN(AU$38,$D$19)&lt;MAX($P$34*($B420+IF($R$17="Distrato",$I$38-1,0)),IF(AND($L$37=0,$P$34=0),"",$L$37-1),IF($R$17="Distrato",$E420,0))),0,YEARFRAC(MAX($P$34*($B420+IF($R$17="Distrato",$I$38-1,0)),IF(AND($L$37=0,$P$34=0),"",$L$37-1),IF($R$17="Distrato",$E420,0)),MIN(AU$38,$D$19),$P$20))-SUM($P420:AT420)</f>
        <v>#VALUE!</v>
      </c>
      <c r="AV420" s="446" t="e">
        <f>IF(OR($B420="",MIN(AV$38,$D$19)&lt;MAX($P$34*($B420+IF($R$17="Distrato",$I$38-1,0)),IF(AND($L$37=0,$P$34=0),"",$L$37-1),IF($R$17="Distrato",$E420,0))),0,YEARFRAC(MAX($P$34*($B420+IF($R$17="Distrato",$I$38-1,0)),IF(AND($L$37=0,$P$34=0),"",$L$37-1),IF($R$17="Distrato",$E420,0)),MIN(AV$38,$D$19),$P$20))-SUM($P420:AU420)</f>
        <v>#VALUE!</v>
      </c>
      <c r="AW420" s="446" t="e">
        <f>IF(OR($B420="",MIN(AW$38,$D$19)&lt;MAX($P$34*($B420+IF($R$17="Distrato",$I$38-1,0)),IF(AND($L$37=0,$P$34=0),"",$L$37-1),IF($R$17="Distrato",$E420,0))),0,YEARFRAC(MAX($P$34*($B420+IF($R$17="Distrato",$I$38-1,0)),IF(AND($L$37=0,$P$34=0),"",$L$37-1),IF($R$17="Distrato",$E420,0)),MIN(AW$38,$D$19),$P$20))-SUM($P420:AV420)</f>
        <v>#VALUE!</v>
      </c>
      <c r="AX420" s="446" t="e">
        <f>IF(OR($B420="",MIN(AX$38,$D$19)&lt;MAX($P$34*($B420+IF($R$17="Distrato",$I$38-1,0)),IF(AND($L$37=0,$P$34=0),"",$L$37-1),IF($R$17="Distrato",$E420,0))),0,YEARFRAC(MAX($P$34*($B420+IF($R$17="Distrato",$I$38-1,0)),IF(AND($L$37=0,$P$34=0),"",$L$37-1),IF($R$17="Distrato",$E420,0)),MIN(AX$38,$D$19),$P$20))-SUM($P420:AW420)</f>
        <v>#VALUE!</v>
      </c>
      <c r="AY420" s="446" t="e">
        <f>IF(OR($B420="",MIN(AY$38,$D$19)&lt;MAX($P$34*($B420+IF($R$17="Distrato",$I$38-1,0)),IF(AND($L$37=0,$P$34=0),"",$L$37-1),IF($R$17="Distrato",$E420,0))),0,YEARFRAC(MAX($P$34*($B420+IF($R$17="Distrato",$I$38-1,0)),IF(AND($L$37=0,$P$34=0),"",$L$37-1),IF($R$17="Distrato",$E420,0)),MIN(AY$38,$D$19),$P$20))-SUM($P420:AX420)</f>
        <v>#VALUE!</v>
      </c>
      <c r="AZ420" s="446" t="e">
        <f>IF(OR($B420="",MIN(AZ$38,$D$19)&lt;MAX($P$34*($B420+IF($R$17="Distrato",$I$38-1,0)),IF(AND($L$37=0,$P$34=0),"",$L$37-1),IF($R$17="Distrato",$E420,0))),0,YEARFRAC(MAX($P$34*($B420+IF($R$17="Distrato",$I$38-1,0)),IF(AND($L$37=0,$P$34=0),"",$L$37-1),IF($R$17="Distrato",$E420,0)),MIN(AZ$38,$D$19),$P$20))-SUM($P420:AY420)</f>
        <v>#VALUE!</v>
      </c>
      <c r="BA420" s="446" t="e">
        <f>IF(OR($B420="",MIN(BA$38,$D$19)&lt;MAX($P$34*($B420+IF($R$17="Distrato",$I$38-1,0)),IF(AND($L$37=0,$P$34=0),"",$L$37-1),IF($R$17="Distrato",$E420,0))),0,YEARFRAC(MAX($P$34*($B420+IF($R$17="Distrato",$I$38-1,0)),IF(AND($L$37=0,$P$34=0),"",$L$37-1),IF($R$17="Distrato",$E420,0)),MIN(BA$38,$D$19),$P$20))-SUM($P420:AZ420)</f>
        <v>#VALUE!</v>
      </c>
      <c r="BB420" s="447"/>
      <c r="BF420" s="446">
        <f t="shared" si="65"/>
        <v>0</v>
      </c>
      <c r="BG420" s="446">
        <f>IF($E420=0,0,IF(MIN(BG$38,$E420)&lt;MAX($P$34*($B420+$I$38-1),IF(AND($L$37=0,$P$34=0),"",$L$37-1)),0,YEARFRAC(MAX($P$34*($B420+$I$38-1),IF(AND($L$37=0,$P$34=0),"",$L$37-1)),MIN(BG$38,$E420),$P$20))-SUM($BF420:BF420))</f>
        <v>0</v>
      </c>
      <c r="BH420" s="446">
        <f>IF($E420=0,0,IF(MIN(BH$38,$E420)&lt;MAX($P$34*($B420+$I$38-1),IF(AND($L$37=0,$P$34=0),"",$L$37-1)),0,YEARFRAC(MAX($P$34*($B420+$I$38-1),IF(AND($L$37=0,$P$34=0),"",$L$37-1)),MIN(BH$38,$E420),$P$20))-SUM($BF420:BG420))</f>
        <v>0</v>
      </c>
      <c r="BI420" s="446">
        <f>IF($E420=0,0,IF(MIN(BI$38,$E420)&lt;MAX($P$34*($B420+$I$38-1),IF(AND($L$37=0,$P$34=0),"",$L$37-1)),0,YEARFRAC(MAX($P$34*($B420+$I$38-1),IF(AND($L$37=0,$P$34=0),"",$L$37-1)),MIN(BI$38,$E420),$P$20))-SUM($BF420:BH420))</f>
        <v>0</v>
      </c>
      <c r="BJ420" s="446">
        <f>IF($E420=0,0,IF(MIN(BJ$38,$E420)&lt;MAX($P$34*($B420+$I$38-1),IF(AND($L$37=0,$P$34=0),"",$L$37-1)),0,YEARFRAC(MAX($P$34*($B420+$I$38-1),IF(AND($L$37=0,$P$34=0),"",$L$37-1)),MIN(BJ$38,$E420),$P$20))-SUM($BF420:BI420))</f>
        <v>0</v>
      </c>
      <c r="BK420" s="446">
        <f>IF($E420=0,0,IF(MIN(BK$38,$E420)&lt;MAX($P$34*($B420+$I$38-1),IF(AND($L$37=0,$P$34=0),"",$L$37-1)),0,YEARFRAC(MAX($P$34*($B420+$I$38-1),IF(AND($L$37=0,$P$34=0),"",$L$37-1)),MIN(BK$38,$E420),$P$20))-SUM($BF420:BJ420))</f>
        <v>0</v>
      </c>
      <c r="BL420" s="446">
        <f>IF($E420=0,0,IF(MIN(BL$38,$E420)&lt;MAX($P$34*($B420+$I$38-1),IF(AND($L$37=0,$P$34=0),"",$L$37-1)),0,YEARFRAC(MAX($P$34*($B420+$I$38-1),IF(AND($L$37=0,$P$34=0),"",$L$37-1)),MIN(BL$38,$E420),$P$20))-SUM($BF420:BK420))</f>
        <v>0</v>
      </c>
      <c r="BM420" s="446">
        <f>IF($E420=0,0,IF(MIN(BM$38,$E420)&lt;MAX($P$34*($B420+$I$38-1),IF(AND($L$37=0,$P$34=0),"",$L$37-1)),0,YEARFRAC(MAX($P$34*($B420+$I$38-1),IF(AND($L$37=0,$P$34=0),"",$L$37-1)),MIN(BM$38,$E420),$P$20))-SUM($BF420:BL420))</f>
        <v>0</v>
      </c>
      <c r="BN420" s="446">
        <f>IF($E420=0,0,IF(MIN(BN$38,$E420)&lt;MAX($P$34*($B420+$I$38-1),IF(AND($L$37=0,$P$34=0),"",$L$37-1)),0,YEARFRAC(MAX($P$34*($B420+$I$38-1),IF(AND($L$37=0,$P$34=0),"",$L$37-1)),MIN(BN$38,$E420),$P$20))-SUM($BF420:BM420))</f>
        <v>0</v>
      </c>
      <c r="BO420" s="446">
        <f>IF($E420=0,0,IF(MIN(BO$38,$E420)&lt;MAX($P$34*($B420+$I$38-1),IF(AND($L$37=0,$P$34=0),"",$L$37-1)),0,YEARFRAC(MAX($P$34*($B420+$I$38-1),IF(AND($L$37=0,$P$34=0),"",$L$37-1)),MIN(BO$38,$E420),$P$20))-SUM($BF420:BN420))</f>
        <v>0</v>
      </c>
      <c r="BP420" s="446">
        <f>IF($E420=0,0,IF(MIN(BP$38,$E420)&lt;MAX($P$34*($B420+$I$38-1),IF(AND($L$37=0,$P$34=0),"",$L$37-1)),0,YEARFRAC(MAX($P$34*($B420+$I$38-1),IF(AND($L$37=0,$P$34=0),"",$L$37-1)),MIN(BP$38,$E420),$P$20))-SUM($BF420:BO420))</f>
        <v>0</v>
      </c>
      <c r="BQ420" s="446">
        <f>IF($E420=0,0,IF(MIN(BQ$38,$E420)&lt;MAX($P$34*($B420+$I$38-1),IF(AND($L$37=0,$P$34=0),"",$L$37-1)),0,YEARFRAC(MAX($P$34*($B420+$I$38-1),IF(AND($L$37=0,$P$34=0),"",$L$37-1)),MIN(BQ$38,$E420),$P$20))-SUM($BF420:BP420))</f>
        <v>0</v>
      </c>
      <c r="BR420" s="446">
        <f>IF($E420=0,0,IF(MIN(BR$38,$E420)&lt;MAX($P$34*($B420+$I$38-1),IF(AND($L$37=0,$P$34=0),"",$L$37-1)),0,YEARFRAC(MAX($P$34*($B420+$I$38-1),IF(AND($L$37=0,$P$34=0),"",$L$37-1)),MIN(BR$38,$E420),$P$20))-SUM($BF420:BQ420))</f>
        <v>0</v>
      </c>
      <c r="BS420" s="446">
        <f>IF($E420=0,0,IF(MIN(BS$38,$E420)&lt;MAX($P$34*($B420+$I$38-1),IF(AND($L$37=0,$P$34=0),"",$L$37-1)),0,YEARFRAC(MAX($P$34*($B420+$I$38-1),IF(AND($L$37=0,$P$34=0),"",$L$37-1)),MIN(BS$38,$E420),$P$20))-SUM($BF420:BR420))</f>
        <v>0</v>
      </c>
      <c r="BT420" s="446">
        <f>IF($E420=0,0,IF(MIN(BT$38,$E420)&lt;MAX($P$34*($B420+$I$38-1),IF(AND($L$37=0,$P$34=0),"",$L$37-1)),0,YEARFRAC(MAX($P$34*($B420+$I$38-1),IF(AND($L$37=0,$P$34=0),"",$L$37-1)),MIN(BT$38,$E420),$P$20))-SUM($BF420:BS420))</f>
        <v>0</v>
      </c>
      <c r="BU420" s="446">
        <f>IF($E420=0,0,IF(MIN(BU$38,$E420)&lt;MAX($P$34*($B420+$I$38-1),IF(AND($L$37=0,$P$34=0),"",$L$37-1)),0,YEARFRAC(MAX($P$34*($B420+$I$38-1),IF(AND($L$37=0,$P$34=0),"",$L$37-1)),MIN(BU$38,$E420),$P$20))-SUM($BF420:BT420))</f>
        <v>0</v>
      </c>
      <c r="BV420" s="446">
        <f>IF($E420=0,0,IF(MIN(BV$38,$E420)&lt;MAX($P$34*($B420+$I$38-1),IF(AND($L$37=0,$P$34=0),"",$L$37-1)),0,YEARFRAC(MAX($P$34*($B420+$I$38-1),IF(AND($L$37=0,$P$34=0),"",$L$37-1)),MIN(BV$38,$E420),$P$20))-SUM($BF420:BU420))</f>
        <v>0</v>
      </c>
      <c r="BW420" s="446">
        <f>IF($E420=0,0,IF(MIN(BW$38,$E420)&lt;MAX($P$34*($B420+$I$38-1),IF(AND($L$37=0,$P$34=0),"",$L$37-1)),0,YEARFRAC(MAX($P$34*($B420+$I$38-1),IF(AND($L$37=0,$P$34=0),"",$L$37-1)),MIN(BW$38,$E420),$P$20))-SUM($BF420:BV420))</f>
        <v>0</v>
      </c>
      <c r="BX420" s="446">
        <f>IF($E420=0,0,IF(MIN(BX$38,$E420)&lt;MAX($P$34*($B420+$I$38-1),IF(AND($L$37=0,$P$34=0),"",$L$37-1)),0,YEARFRAC(MAX($P$34*($B420+$I$38-1),IF(AND($L$37=0,$P$34=0),"",$L$37-1)),MIN(BX$38,$E420),$P$20))-SUM($BF420:BW420))</f>
        <v>0</v>
      </c>
      <c r="BY420" s="446">
        <f>IF($E420=0,0,IF(MIN(BY$38,$E420)&lt;MAX($P$34*($B420+$I$38-1),IF(AND($L$37=0,$P$34=0),"",$L$37-1)),0,YEARFRAC(MAX($P$34*($B420+$I$38-1),IF(AND($L$37=0,$P$34=0),"",$L$37-1)),MIN(BY$38,$E420),$P$20))-SUM($BF420:BX420))</f>
        <v>0</v>
      </c>
      <c r="BZ420" s="446">
        <f>IF($E420=0,0,IF(MIN(BZ$38,$E420)&lt;MAX($P$34*($B420+$I$38-1),IF(AND($L$37=0,$P$34=0),"",$L$37-1)),0,YEARFRAC(MAX($P$34*($B420+$I$38-1),IF(AND($L$37=0,$P$34=0),"",$L$37-1)),MIN(BZ$38,$E420),$P$20))-SUM($BF420:BY420))</f>
        <v>0</v>
      </c>
      <c r="CA420" s="446">
        <f>IF($E420=0,0,IF(MIN(CA$38,$E420)&lt;MAX($P$34*($B420+$I$38-1),IF(AND($L$37=0,$P$34=0),"",$L$37-1)),0,YEARFRAC(MAX($P$34*($B420+$I$38-1),IF(AND($L$37=0,$P$34=0),"",$L$37-1)),MIN(CA$38,$E420),$P$20))-SUM($BF420:BZ420))</f>
        <v>0</v>
      </c>
      <c r="CB420" s="446">
        <f>IF($E420=0,0,IF(MIN(CB$38,$E420)&lt;MAX($P$34*($B420+$I$38-1),IF(AND($L$37=0,$P$34=0),"",$L$37-1)),0,YEARFRAC(MAX($P$34*($B420+$I$38-1),IF(AND($L$37=0,$P$34=0),"",$L$37-1)),MIN(CB$38,$E420),$P$20))-SUM($BF420:CA420))</f>
        <v>0</v>
      </c>
      <c r="CC420" s="446">
        <f>IF($E420=0,0,IF(MIN(CC$38,$E420)&lt;MAX($P$34*($B420+$I$38-1),IF(AND($L$37=0,$P$34=0),"",$L$37-1)),0,YEARFRAC(MAX($P$34*($B420+$I$38-1),IF(AND($L$37=0,$P$34=0),"",$L$37-1)),MIN(CC$38,$E420),$P$20))-SUM($BF420:CB420))</f>
        <v>0</v>
      </c>
      <c r="CD420" s="446">
        <f>IF($E420=0,0,IF(MIN(CD$38,$E420)&lt;MAX($P$34*($B420+$I$38-1),IF(AND($L$37=0,$P$34=0),"",$L$37-1)),0,YEARFRAC(MAX($P$34*($B420+$I$38-1),IF(AND($L$37=0,$P$34=0),"",$L$37-1)),MIN(CD$38,$E420),$P$20))-SUM($BF420:CC420))</f>
        <v>0</v>
      </c>
      <c r="CE420" s="446">
        <f>IF($E420=0,0,IF(MIN(CE$38,$E420)&lt;MAX($P$34*($B420+$I$38-1),IF(AND($L$37=0,$P$34=0),"",$L$37-1)),0,YEARFRAC(MAX($P$34*($B420+$I$38-1),IF(AND($L$37=0,$P$34=0),"",$L$37-1)),MIN(CE$38,$E420),$P$20))-SUM($BF420:CD420))</f>
        <v>0</v>
      </c>
      <c r="CF420" s="446">
        <f>IF($E420=0,0,IF(MIN(CF$38,$E420)&lt;MAX($P$34*($B420+$I$38-1),IF(AND($L$37=0,$P$34=0),"",$L$37-1)),0,YEARFRAC(MAX($P$34*($B420+$I$38-1),IF(AND($L$37=0,$P$34=0),"",$L$37-1)),MIN(CF$38,$E420),$P$20))-SUM($BF420:CE420))</f>
        <v>0</v>
      </c>
      <c r="CG420" s="446">
        <f>IF($E420=0,0,IF(MIN(CG$38,$E420)&lt;MAX($P$34*($B420+$I$38-1),IF(AND($L$37=0,$P$34=0),"",$L$37-1)),0,YEARFRAC(MAX($P$34*($B420+$I$38-1),IF(AND($L$37=0,$P$34=0),"",$L$37-1)),MIN(CG$38,$E420),$P$20))-SUM($BF420:CF420))</f>
        <v>0</v>
      </c>
      <c r="CH420" s="446">
        <f>IF($E420=0,0,IF(MIN(CH$38,$E420)&lt;MAX($P$34*($B420+$I$38-1),IF(AND($L$37=0,$P$34=0),"",$L$37-1)),0,YEARFRAC(MAX($P$34*($B420+$I$38-1),IF(AND($L$37=0,$P$34=0),"",$L$37-1)),MIN(CH$38,$E420),$P$20))-SUM($BF420:CG420))</f>
        <v>0</v>
      </c>
      <c r="CI420" s="446">
        <f>IF($E420=0,0,IF(MIN(CI$38,$E420)&lt;MAX($P$34*($B420+$I$38-1),IF(AND($L$37=0,$P$34=0),"",$L$37-1)),0,YEARFRAC(MAX($P$34*($B420+$I$38-1),IF(AND($L$37=0,$P$34=0),"",$L$37-1)),MIN(CI$38,$E420),$P$20))-SUM($BF420:CH420))</f>
        <v>0</v>
      </c>
      <c r="CJ420" s="446">
        <f>IF($E420=0,0,IF(MIN(CJ$38,$E420)&lt;MAX($P$34*($B420+$I$38-1),IF(AND($L$37=0,$P$34=0),"",$L$37-1)),0,YEARFRAC(MAX($P$34*($B420+$I$38-1),IF(AND($L$37=0,$P$34=0),"",$L$37-1)),MIN(CJ$38,$E420),$P$20))-SUM($BF420:CI420))</f>
        <v>0</v>
      </c>
      <c r="CK420" s="446">
        <f>IF($E420=0,0,IF(MIN(CK$38,$E420)&lt;MAX($P$34*($B420+$I$38-1),IF(AND($L$37=0,$P$34=0),"",$L$37-1)),0,YEARFRAC(MAX($P$34*($B420+$I$38-1),IF(AND($L$37=0,$P$34=0),"",$L$37-1)),MIN(CK$38,$E420),$P$20))-SUM($BF420:CJ420))</f>
        <v>0</v>
      </c>
      <c r="CL420" s="446">
        <f>IF($E420=0,0,IF(MIN(CL$38,$E420)&lt;MAX($P$34*($B420+$I$38-1),IF(AND($L$37=0,$P$34=0),"",$L$37-1)),0,YEARFRAC(MAX($P$34*($B420+$I$38-1),IF(AND($L$37=0,$P$34=0),"",$L$37-1)),MIN(CL$38,$E420),$P$20))-SUM($BF420:CK420))</f>
        <v>0</v>
      </c>
      <c r="CM420" s="446">
        <f>IF($E420=0,0,IF(MIN(CM$38,$E420)&lt;MAX($P$34*($B420+$I$38-1),IF(AND($L$37=0,$P$34=0),"",$L$37-1)),0,YEARFRAC(MAX($P$34*($B420+$I$38-1),IF(AND($L$37=0,$P$34=0),"",$L$37-1)),MIN(CM$38,$E420),$P$20))-SUM($BF420:CL420))</f>
        <v>0</v>
      </c>
      <c r="CN420" s="446">
        <f>IF($E420=0,0,IF(MIN(CN$38,$E420)&lt;MAX($P$34*($B420+$I$38-1),IF(AND($L$37=0,$P$34=0),"",$L$37-1)),0,YEARFRAC(MAX($P$34*($B420+$I$38-1),IF(AND($L$37=0,$P$34=0),"",$L$37-1)),MIN(CN$38,$E420),$P$20))-SUM($BF420:CM420))</f>
        <v>0</v>
      </c>
      <c r="CO420" s="446">
        <f>IF($E420=0,0,IF(MIN(CO$38,$E420)&lt;MAX($P$34*($B420+$I$38-1),IF(AND($L$37=0,$P$34=0),"",$L$37-1)),0,YEARFRAC(MAX($P$34*($B420+$I$38-1),IF(AND($L$37=0,$P$34=0),"",$L$37-1)),MIN(CO$38,$E420),$P$20))-SUM($BF420:CN420))</f>
        <v>0</v>
      </c>
      <c r="CP420" s="446">
        <f>IF($E420=0,0,IF(MIN(CP$38,$E420)&lt;MAX($P$34*($B420+$I$38-1),IF(AND($L$37=0,$P$34=0),"",$L$37-1)),0,YEARFRAC(MAX($P$34*($B420+$I$38-1),IF(AND($L$37=0,$P$34=0),"",$L$37-1)),MIN(CP$38,$E420),$P$20))-SUM($BF420:CO420))</f>
        <v>0</v>
      </c>
      <c r="CQ420" s="446">
        <f>IF($E420=0,0,IF(MIN(CQ$38,$E420)&lt;MAX($P$34*($B420+$I$38-1),IF(AND($L$37=0,$P$34=0),"",$L$37-1)),0,YEARFRAC(MAX($P$34*($B420+$I$38-1),IF(AND($L$37=0,$P$34=0),"",$L$37-1)),MIN(CQ$38,$E420),$P$20))-SUM($BF420:CP420))</f>
        <v>0</v>
      </c>
    </row>
    <row r="421" spans="1:95" s="446" customFormat="1" ht="11.25" hidden="1" customHeight="1" x14ac:dyDescent="0.2">
      <c r="A421" s="152"/>
      <c r="B421" s="153" t="str">
        <f t="shared" si="70"/>
        <v/>
      </c>
      <c r="C421" s="29" t="str">
        <f>IF(B421="","",IF($L$35="SELIC - TRIBUTOS",VLOOKUP(DATE(YEAR($D$19),MONTH($D$19)-1,1),ÍNDICES!$A:$DE,HLOOKUP($BL$25,ÍNDICES!$B$3:$T$4,2)+11)-VLOOKUP(B421,ÍNDICES!$A:$DE,HLOOKUP($BL$25,ÍNDICES!$B$3:$T$4,2)+11)+1%,IF(C$38=$W$26,$J$35,IF(ISERROR(IF(B421&gt;$D$19,1,VLOOKUP(DATE(YEAR(B421),MONTH(B421)+IF($C$35=$S$23,1,0),1),ÍNDICES!$A:$DE,$Z$35+1))),"",IF(B421&gt;$D$19,1,VLOOKUP(DATE(YEAR(B421),MONTH(B421)+IF($C$35=$S$23,1,0),1),ÍNDICES!$A:$DE,$Z$35+1))))))</f>
        <v/>
      </c>
      <c r="D421" s="154" t="str">
        <f>IF(ISERROR(IF(OR($D$38=$Y$27,$B421=""),"",VLOOKUP(B421,ÍNDICES!A:DE,AF$35+1))),"",IF(OR($D$38=$Y$27,$B421=""),"",VLOOKUP(B421,ÍNDICES!A:DE,AF$35+1)))</f>
        <v/>
      </c>
      <c r="E421" s="153"/>
      <c r="F421" s="29" t="str">
        <f>IF(E421="","",IF($L$35="SELIC - TRIBUTOS",VLOOKUP(DATE(YEAR($D$19),MONTH($D$19)-1,1),ÍNDICES!$A:$DE,HLOOKUP($BL$25,ÍNDICES!$B$3:$T$4,2)+11)-VLOOKUP(E421,ÍNDICES!$A:$DE,HLOOKUP($BL$25,ÍNDICES!$B$3:$T$4,2)+11)+1%,IF(F$38=$W$26,$J$35,IF(ISERROR(IF(E421&gt;$D$19,1,VLOOKUP(DATE(YEAR(E421),MONTH(E421)+IF($C$35=$S$23,1,0),1),ÍNDICES!$A:$DE,$Z$35+1))),"",IF(E421&gt;$D$19,1,VLOOKUP(DATE(YEAR(E421),MONTH(E421)+IF($C$35=$S$23,1,0),1),ÍNDICES!$A:$DE,$Z$35+1))))))</f>
        <v/>
      </c>
      <c r="G421" s="155"/>
      <c r="H421" s="156" t="str">
        <f t="shared" si="66"/>
        <v/>
      </c>
      <c r="I421" s="29" t="str">
        <f t="shared" si="60"/>
        <v/>
      </c>
      <c r="J421" s="5">
        <f t="shared" si="61"/>
        <v>0</v>
      </c>
      <c r="K421" s="20">
        <f t="shared" ca="1" si="62"/>
        <v>0</v>
      </c>
      <c r="L421" s="5">
        <f t="shared" ca="1" si="63"/>
        <v>0</v>
      </c>
      <c r="M421" s="64">
        <f t="shared" si="67"/>
        <v>0</v>
      </c>
      <c r="N421" s="61">
        <f t="shared" ca="1" si="68"/>
        <v>0</v>
      </c>
      <c r="O421" s="5">
        <f t="shared" ca="1" si="69"/>
        <v>0</v>
      </c>
      <c r="P421" s="446" t="e">
        <f t="shared" si="64"/>
        <v>#VALUE!</v>
      </c>
      <c r="Q421" s="446" t="e">
        <f>IF(OR($B421="",MIN(Q$38,$D$19)&lt;MAX($P$34*($B421+IF($R$17="Distrato",$I$38-1,0)),IF(AND($L$37=0,$P$34=0),"",$L$37-1),IF($R$17="Distrato",$E421,0))),0,YEARFRAC(MAX($P$34*($B421+IF($R$17="Distrato",$I$38-1,0)),IF(AND($L$37=0,$P$34=0),"",$L$37-1),IF($R$17="Distrato",$E421,0)),MIN(Q$38,$D$19),$P$20))-SUM($P421:P421)</f>
        <v>#VALUE!</v>
      </c>
      <c r="R421" s="446" t="e">
        <f>IF(OR($B421="",MIN(R$38,$D$19)&lt;MAX($P$34*($B421+IF($R$17="Distrato",$I$38-1,0)),IF(AND($L$37=0,$P$34=0),"",$L$37-1),IF($R$17="Distrato",$E421,0))),0,YEARFRAC(MAX($P$34*($B421+IF($R$17="Distrato",$I$38-1,0)),IF(AND($L$37=0,$P$34=0),"",$L$37-1),IF($R$17="Distrato",$E421,0)),MIN(R$38,$D$19),$P$20))-SUM($P421:Q421)</f>
        <v>#VALUE!</v>
      </c>
      <c r="S421" s="446" t="e">
        <f>IF(OR($B421="",MIN(S$38,$D$19)&lt;MAX($P$34*($B421+IF($R$17="Distrato",$I$38-1,0)),IF(AND($L$37=0,$P$34=0),"",$L$37-1),IF($R$17="Distrato",$E421,0))),0,YEARFRAC(MAX($P$34*($B421+IF($R$17="Distrato",$I$38-1,0)),IF(AND($L$37=0,$P$34=0),"",$L$37-1),IF($R$17="Distrato",$E421,0)),MIN(S$38,$D$19),$P$20))-SUM($P421:R421)</f>
        <v>#VALUE!</v>
      </c>
      <c r="T421" s="446" t="e">
        <f>IF(OR($B421="",MIN(T$38,$D$19)&lt;MAX($P$34*($B421+IF($R$17="Distrato",$I$38-1,0)),IF(AND($L$37=0,$P$34=0),"",$L$37-1),IF($R$17="Distrato",$E421,0))),0,YEARFRAC(MAX($P$34*($B421+IF($R$17="Distrato",$I$38-1,0)),IF(AND($L$37=0,$P$34=0),"",$L$37-1),IF($R$17="Distrato",$E421,0)),MIN(T$38,$D$19),$P$20))-SUM($P421:S421)</f>
        <v>#VALUE!</v>
      </c>
      <c r="U421" s="446" t="e">
        <f>IF(OR($B421="",MIN(U$38,$D$19)&lt;MAX($P$34*($B421+IF($R$17="Distrato",$I$38-1,0)),IF(AND($L$37=0,$P$34=0),"",$L$37-1),IF($R$17="Distrato",$E421,0))),0,YEARFRAC(MAX($P$34*($B421+IF($R$17="Distrato",$I$38-1,0)),IF(AND($L$37=0,$P$34=0),"",$L$37-1),IF($R$17="Distrato",$E421,0)),MIN(U$38,$D$19),$P$20))-SUM($P421:T421)</f>
        <v>#VALUE!</v>
      </c>
      <c r="V421" s="446" t="e">
        <f>IF(OR($B421="",MIN(V$38,$D$19)&lt;MAX($P$34*($B421+IF($R$17="Distrato",$I$38-1,0)),IF(AND($L$37=0,$P$34=0),"",$L$37-1),IF($R$17="Distrato",$E421,0))),0,YEARFRAC(MAX($P$34*($B421+IF($R$17="Distrato",$I$38-1,0)),IF(AND($L$37=0,$P$34=0),"",$L$37-1),IF($R$17="Distrato",$E421,0)),MIN(V$38,$D$19),$P$20))-SUM($P421:U421)</f>
        <v>#VALUE!</v>
      </c>
      <c r="W421" s="446" t="e">
        <f>IF(OR($B421="",MIN(W$38,$D$19)&lt;MAX($P$34*($B421+IF($R$17="Distrato",$I$38-1,0)),IF(AND($L$37=0,$P$34=0),"",$L$37-1),IF($R$17="Distrato",$E421,0))),0,YEARFRAC(MAX($P$34*($B421+IF($R$17="Distrato",$I$38-1,0)),IF(AND($L$37=0,$P$34=0),"",$L$37-1),IF($R$17="Distrato",$E421,0)),MIN(W$38,$D$19),$P$20))-SUM($P421:V421)</f>
        <v>#VALUE!</v>
      </c>
      <c r="X421" s="446" t="e">
        <f>IF(OR($B421="",MIN(X$38,$D$19)&lt;MAX($P$34*($B421+IF($R$17="Distrato",$I$38-1,0)),IF(AND($L$37=0,$P$34=0),"",$L$37-1),IF($R$17="Distrato",$E421,0))),0,YEARFRAC(MAX($P$34*($B421+IF($R$17="Distrato",$I$38-1,0)),IF(AND($L$37=0,$P$34=0),"",$L$37-1),IF($R$17="Distrato",$E421,0)),MIN(X$38,$D$19),$P$20))-SUM($P421:W421)</f>
        <v>#VALUE!</v>
      </c>
      <c r="Y421" s="446" t="e">
        <f>IF(OR($B421="",MIN(Y$38,$D$19)&lt;MAX($P$34*($B421+IF($R$17="Distrato",$I$38-1,0)),IF(AND($L$37=0,$P$34=0),"",$L$37-1),IF($R$17="Distrato",$E421,0))),0,YEARFRAC(MAX($P$34*($B421+IF($R$17="Distrato",$I$38-1,0)),IF(AND($L$37=0,$P$34=0),"",$L$37-1),IF($R$17="Distrato",$E421,0)),MIN(Y$38,$D$19),$P$20))-SUM($P421:X421)</f>
        <v>#VALUE!</v>
      </c>
      <c r="Z421" s="446" t="e">
        <f>IF(OR($B421="",MIN(Z$38,$D$19)&lt;MAX($P$34*($B421+IF($R$17="Distrato",$I$38-1,0)),IF(AND($L$37=0,$P$34=0),"",$L$37-1),IF($R$17="Distrato",$E421,0))),0,YEARFRAC(MAX($P$34*($B421+IF($R$17="Distrato",$I$38-1,0)),IF(AND($L$37=0,$P$34=0),"",$L$37-1),IF($R$17="Distrato",$E421,0)),MIN(Z$38,$D$19),$P$20))-SUM($P421:Y421)</f>
        <v>#VALUE!</v>
      </c>
      <c r="AA421" s="446" t="e">
        <f>IF(OR($B421="",MIN(AA$38,$D$19)&lt;MAX($P$34*($B421+IF($R$17="Distrato",$I$38-1,0)),IF(AND($L$37=0,$P$34=0),"",$L$37-1),IF($R$17="Distrato",$E421,0))),0,YEARFRAC(MAX($P$34*($B421+IF($R$17="Distrato",$I$38-1,0)),IF(AND($L$37=0,$P$34=0),"",$L$37-1),IF($R$17="Distrato",$E421,0)),MIN(AA$38,$D$19),$P$20))-SUM($P421:Z421)</f>
        <v>#VALUE!</v>
      </c>
      <c r="AB421" s="446" t="e">
        <f>IF(OR($B421="",MIN(AB$38,$D$19)&lt;MAX($P$34*($B421+IF($R$17="Distrato",$I$38-1,0)),IF(AND($L$37=0,$P$34=0),"",$L$37-1),IF($R$17="Distrato",$E421,0))),0,YEARFRAC(MAX($P$34*($B421+IF($R$17="Distrato",$I$38-1,0)),IF(AND($L$37=0,$P$34=0),"",$L$37-1),IF($R$17="Distrato",$E421,0)),MIN(AB$38,$D$19),$P$20))-SUM($P421:AA421)</f>
        <v>#VALUE!</v>
      </c>
      <c r="AC421" s="446" t="e">
        <f>IF(OR($B421="",MIN(AC$38,$D$19)&lt;MAX($P$34*($B421+IF($R$17="Distrato",$I$38-1,0)),IF(AND($L$37=0,$P$34=0),"",$L$37-1),IF($R$17="Distrato",$E421,0))),0,YEARFRAC(MAX($P$34*($B421+IF($R$17="Distrato",$I$38-1,0)),IF(AND($L$37=0,$P$34=0),"",$L$37-1),IF($R$17="Distrato",$E421,0)),MIN(AC$38,$D$19),$P$20))-SUM($P421:AB421)</f>
        <v>#VALUE!</v>
      </c>
      <c r="AD421" s="446" t="e">
        <f>IF(OR($B421="",MIN(AD$38,$D$19)&lt;MAX($P$34*($B421+IF($R$17="Distrato",$I$38-1,0)),IF(AND($L$37=0,$P$34=0),"",$L$37-1),IF($R$17="Distrato",$E421,0))),0,YEARFRAC(MAX($P$34*($B421+IF($R$17="Distrato",$I$38-1,0)),IF(AND($L$37=0,$P$34=0),"",$L$37-1),IF($R$17="Distrato",$E421,0)),MIN(AD$38,$D$19),$P$20))-SUM($P421:AC421)</f>
        <v>#VALUE!</v>
      </c>
      <c r="AE421" s="446" t="e">
        <f>IF(OR($B421="",MIN(AE$38,$D$19)&lt;MAX($P$34*($B421+IF($R$17="Distrato",$I$38-1,0)),IF(AND($L$37=0,$P$34=0),"",$L$37-1),IF($R$17="Distrato",$E421,0))),0,YEARFRAC(MAX($P$34*($B421+IF($R$17="Distrato",$I$38-1,0)),IF(AND($L$37=0,$P$34=0),"",$L$37-1),IF($R$17="Distrato",$E421,0)),MIN(AE$38,$D$19),$P$20))-SUM($P421:AD421)</f>
        <v>#VALUE!</v>
      </c>
      <c r="AF421" s="446" t="e">
        <f>IF(OR($B421="",MIN(AF$38,$D$19)&lt;MAX($P$34*($B421+IF($R$17="Distrato",$I$38-1,0)),IF(AND($L$37=0,$P$34=0),"",$L$37-1),IF($R$17="Distrato",$E421,0))),0,YEARFRAC(MAX($P$34*($B421+IF($R$17="Distrato",$I$38-1,0)),IF(AND($L$37=0,$P$34=0),"",$L$37-1),IF($R$17="Distrato",$E421,0)),MIN(AF$38,$D$19),$P$20))-SUM($P421:AE421)</f>
        <v>#VALUE!</v>
      </c>
      <c r="AG421" s="446" t="e">
        <f>IF(OR($B421="",MIN(AG$38,$D$19)&lt;MAX($P$34*($B421+IF($R$17="Distrato",$I$38-1,0)),IF(AND($L$37=0,$P$34=0),"",$L$37-1),IF($R$17="Distrato",$E421,0))),0,YEARFRAC(MAX($P$34*($B421+IF($R$17="Distrato",$I$38-1,0)),IF(AND($L$37=0,$P$34=0),"",$L$37-1),IF($R$17="Distrato",$E421,0)),MIN(AG$38,$D$19),$P$20))-SUM($P421:AF421)</f>
        <v>#VALUE!</v>
      </c>
      <c r="AH421" s="446" t="e">
        <f>IF(OR($B421="",MIN(AH$38,$D$19)&lt;MAX($P$34*($B421+IF($R$17="Distrato",$I$38-1,0)),IF(AND($L$37=0,$P$34=0),"",$L$37-1),IF($R$17="Distrato",$E421,0))),0,YEARFRAC(MAX($P$34*($B421+IF($R$17="Distrato",$I$38-1,0)),IF(AND($L$37=0,$P$34=0),"",$L$37-1),IF($R$17="Distrato",$E421,0)),MIN(AH$38,$D$19),$P$20))-SUM($P421:AG421)</f>
        <v>#VALUE!</v>
      </c>
      <c r="AI421" s="446" t="e">
        <f>IF(OR($B421="",MIN(AI$38,$D$19)&lt;MAX($P$34*($B421+IF($R$17="Distrato",$I$38-1,0)),IF(AND($L$37=0,$P$34=0),"",$L$37-1),IF($R$17="Distrato",$E421,0))),0,YEARFRAC(MAX($P$34*($B421+IF($R$17="Distrato",$I$38-1,0)),IF(AND($L$37=0,$P$34=0),"",$L$37-1),IF($R$17="Distrato",$E421,0)),MIN(AI$38,$D$19),$P$20))-SUM($P421:AH421)</f>
        <v>#VALUE!</v>
      </c>
      <c r="AJ421" s="446" t="e">
        <f>IF(OR($B421="",MIN(AJ$38,$D$19)&lt;MAX($P$34*($B421+IF($R$17="Distrato",$I$38-1,0)),IF(AND($L$37=0,$P$34=0),"",$L$37-1),IF($R$17="Distrato",$E421,0))),0,YEARFRAC(MAX($P$34*($B421+IF($R$17="Distrato",$I$38-1,0)),IF(AND($L$37=0,$P$34=0),"",$L$37-1),IF($R$17="Distrato",$E421,0)),MIN(AJ$38,$D$19),$P$20))-SUM($P421:AI421)</f>
        <v>#VALUE!</v>
      </c>
      <c r="AK421" s="446" t="e">
        <f>IF(OR($B421="",MIN(AK$38,$D$19)&lt;MAX($P$34*($B421+IF($R$17="Distrato",$I$38-1,0)),IF(AND($L$37=0,$P$34=0),"",$L$37-1),IF($R$17="Distrato",$E421,0))),0,YEARFRAC(MAX($P$34*($B421+IF($R$17="Distrato",$I$38-1,0)),IF(AND($L$37=0,$P$34=0),"",$L$37-1),IF($R$17="Distrato",$E421,0)),MIN(AK$38,$D$19),$P$20))-SUM($P421:AJ421)</f>
        <v>#VALUE!</v>
      </c>
      <c r="AL421" s="446" t="e">
        <f>IF(OR($B421="",MIN(AL$38,$D$19)&lt;MAX($P$34*($B421+IF($R$17="Distrato",$I$38-1,0)),IF(AND($L$37=0,$P$34=0),"",$L$37-1),IF($R$17="Distrato",$E421,0))),0,YEARFRAC(MAX($P$34*($B421+IF($R$17="Distrato",$I$38-1,0)),IF(AND($L$37=0,$P$34=0),"",$L$37-1),IF($R$17="Distrato",$E421,0)),MIN(AL$38,$D$19),$P$20))-SUM($P421:AK421)</f>
        <v>#VALUE!</v>
      </c>
      <c r="AM421" s="446" t="e">
        <f>IF(OR($B421="",MIN(AM$38,$D$19)&lt;MAX($P$34*($B421+IF($R$17="Distrato",$I$38-1,0)),IF(AND($L$37=0,$P$34=0),"",$L$37-1),IF($R$17="Distrato",$E421,0))),0,YEARFRAC(MAX($P$34*($B421+IF($R$17="Distrato",$I$38-1,0)),IF(AND($L$37=0,$P$34=0),"",$L$37-1),IF($R$17="Distrato",$E421,0)),MIN(AM$38,$D$19),$P$20))-SUM($P421:AL421)</f>
        <v>#VALUE!</v>
      </c>
      <c r="AN421" s="446" t="e">
        <f>IF(OR($B421="",MIN(AN$38,$D$19)&lt;MAX($P$34*($B421+IF($R$17="Distrato",$I$38-1,0)),IF(AND($L$37=0,$P$34=0),"",$L$37-1),IF($R$17="Distrato",$E421,0))),0,YEARFRAC(MAX($P$34*($B421+IF($R$17="Distrato",$I$38-1,0)),IF(AND($L$37=0,$P$34=0),"",$L$37-1),IF($R$17="Distrato",$E421,0)),MIN(AN$38,$D$19),$P$20))-SUM($P421:AM421)</f>
        <v>#VALUE!</v>
      </c>
      <c r="AO421" s="446" t="e">
        <f>IF(OR($B421="",MIN(AO$38,$D$19)&lt;MAX($P$34*($B421+IF($R$17="Distrato",$I$38-1,0)),IF(AND($L$37=0,$P$34=0),"",$L$37-1),IF($R$17="Distrato",$E421,0))),0,YEARFRAC(MAX($P$34*($B421+IF($R$17="Distrato",$I$38-1,0)),IF(AND($L$37=0,$P$34=0),"",$L$37-1),IF($R$17="Distrato",$E421,0)),MIN(AO$38,$D$19),$P$20))-SUM($P421:AN421)</f>
        <v>#VALUE!</v>
      </c>
      <c r="AP421" s="446" t="e">
        <f>IF(OR($B421="",MIN(AP$38,$D$19)&lt;MAX($P$34*($B421+IF($R$17="Distrato",$I$38-1,0)),IF(AND($L$37=0,$P$34=0),"",$L$37-1),IF($R$17="Distrato",$E421,0))),0,YEARFRAC(MAX($P$34*($B421+IF($R$17="Distrato",$I$38-1,0)),IF(AND($L$37=0,$P$34=0),"",$L$37-1),IF($R$17="Distrato",$E421,0)),MIN(AP$38,$D$19),$P$20))-SUM($P421:AO421)</f>
        <v>#VALUE!</v>
      </c>
      <c r="AQ421" s="446" t="e">
        <f>IF(OR($B421="",MIN(AQ$38,$D$19)&lt;MAX($P$34*($B421+IF($R$17="Distrato",$I$38-1,0)),IF(AND($L$37=0,$P$34=0),"",$L$37-1),IF($R$17="Distrato",$E421,0))),0,YEARFRAC(MAX($P$34*($B421+IF($R$17="Distrato",$I$38-1,0)),IF(AND($L$37=0,$P$34=0),"",$L$37-1),IF($R$17="Distrato",$E421,0)),MIN(AQ$38,$D$19),$P$20))-SUM($P421:AP421)</f>
        <v>#VALUE!</v>
      </c>
      <c r="AR421" s="446" t="e">
        <f>IF(OR($B421="",MIN(AR$38,$D$19)&lt;MAX($P$34*($B421+IF($R$17="Distrato",$I$38-1,0)),IF(AND($L$37=0,$P$34=0),"",$L$37-1),IF($R$17="Distrato",$E421,0))),0,YEARFRAC(MAX($P$34*($B421+IF($R$17="Distrato",$I$38-1,0)),IF(AND($L$37=0,$P$34=0),"",$L$37-1),IF($R$17="Distrato",$E421,0)),MIN(AR$38,$D$19),$P$20))-SUM($P421:AQ421)</f>
        <v>#VALUE!</v>
      </c>
      <c r="AS421" s="446" t="e">
        <f>IF(OR($B421="",MIN(AS$38,$D$19)&lt;MAX($P$34*($B421+IF($R$17="Distrato",$I$38-1,0)),IF(AND($L$37=0,$P$34=0),"",$L$37-1),IF($R$17="Distrato",$E421,0))),0,YEARFRAC(MAX($P$34*($B421+IF($R$17="Distrato",$I$38-1,0)),IF(AND($L$37=0,$P$34=0),"",$L$37-1),IF($R$17="Distrato",$E421,0)),MIN(AS$38,$D$19),$P$20))-SUM($P421:AR421)</f>
        <v>#VALUE!</v>
      </c>
      <c r="AT421" s="446" t="e">
        <f>IF(OR($B421="",MIN(AT$38,$D$19)&lt;MAX($P$34*($B421+IF($R$17="Distrato",$I$38-1,0)),IF(AND($L$37=0,$P$34=0),"",$L$37-1),IF($R$17="Distrato",$E421,0))),0,YEARFRAC(MAX($P$34*($B421+IF($R$17="Distrato",$I$38-1,0)),IF(AND($L$37=0,$P$34=0),"",$L$37-1),IF($R$17="Distrato",$E421,0)),MIN(AT$38,$D$19),$P$20))-SUM($P421:AS421)</f>
        <v>#VALUE!</v>
      </c>
      <c r="AU421" s="446" t="e">
        <f>IF(OR($B421="",MIN(AU$38,$D$19)&lt;MAX($P$34*($B421+IF($R$17="Distrato",$I$38-1,0)),IF(AND($L$37=0,$P$34=0),"",$L$37-1),IF($R$17="Distrato",$E421,0))),0,YEARFRAC(MAX($P$34*($B421+IF($R$17="Distrato",$I$38-1,0)),IF(AND($L$37=0,$P$34=0),"",$L$37-1),IF($R$17="Distrato",$E421,0)),MIN(AU$38,$D$19),$P$20))-SUM($P421:AT421)</f>
        <v>#VALUE!</v>
      </c>
      <c r="AV421" s="446" t="e">
        <f>IF(OR($B421="",MIN(AV$38,$D$19)&lt;MAX($P$34*($B421+IF($R$17="Distrato",$I$38-1,0)),IF(AND($L$37=0,$P$34=0),"",$L$37-1),IF($R$17="Distrato",$E421,0))),0,YEARFRAC(MAX($P$34*($B421+IF($R$17="Distrato",$I$38-1,0)),IF(AND($L$37=0,$P$34=0),"",$L$37-1),IF($R$17="Distrato",$E421,0)),MIN(AV$38,$D$19),$P$20))-SUM($P421:AU421)</f>
        <v>#VALUE!</v>
      </c>
      <c r="AW421" s="446" t="e">
        <f>IF(OR($B421="",MIN(AW$38,$D$19)&lt;MAX($P$34*($B421+IF($R$17="Distrato",$I$38-1,0)),IF(AND($L$37=0,$P$34=0),"",$L$37-1),IF($R$17="Distrato",$E421,0))),0,YEARFRAC(MAX($P$34*($B421+IF($R$17="Distrato",$I$38-1,0)),IF(AND($L$37=0,$P$34=0),"",$L$37-1),IF($R$17="Distrato",$E421,0)),MIN(AW$38,$D$19),$P$20))-SUM($P421:AV421)</f>
        <v>#VALUE!</v>
      </c>
      <c r="AX421" s="446" t="e">
        <f>IF(OR($B421="",MIN(AX$38,$D$19)&lt;MAX($P$34*($B421+IF($R$17="Distrato",$I$38-1,0)),IF(AND($L$37=0,$P$34=0),"",$L$37-1),IF($R$17="Distrato",$E421,0))),0,YEARFRAC(MAX($P$34*($B421+IF($R$17="Distrato",$I$38-1,0)),IF(AND($L$37=0,$P$34=0),"",$L$37-1),IF($R$17="Distrato",$E421,0)),MIN(AX$38,$D$19),$P$20))-SUM($P421:AW421)</f>
        <v>#VALUE!</v>
      </c>
      <c r="AY421" s="446" t="e">
        <f>IF(OR($B421="",MIN(AY$38,$D$19)&lt;MAX($P$34*($B421+IF($R$17="Distrato",$I$38-1,0)),IF(AND($L$37=0,$P$34=0),"",$L$37-1),IF($R$17="Distrato",$E421,0))),0,YEARFRAC(MAX($P$34*($B421+IF($R$17="Distrato",$I$38-1,0)),IF(AND($L$37=0,$P$34=0),"",$L$37-1),IF($R$17="Distrato",$E421,0)),MIN(AY$38,$D$19),$P$20))-SUM($P421:AX421)</f>
        <v>#VALUE!</v>
      </c>
      <c r="AZ421" s="446" t="e">
        <f>IF(OR($B421="",MIN(AZ$38,$D$19)&lt;MAX($P$34*($B421+IF($R$17="Distrato",$I$38-1,0)),IF(AND($L$37=0,$P$34=0),"",$L$37-1),IF($R$17="Distrato",$E421,0))),0,YEARFRAC(MAX($P$34*($B421+IF($R$17="Distrato",$I$38-1,0)),IF(AND($L$37=0,$P$34=0),"",$L$37-1),IF($R$17="Distrato",$E421,0)),MIN(AZ$38,$D$19),$P$20))-SUM($P421:AY421)</f>
        <v>#VALUE!</v>
      </c>
      <c r="BA421" s="446" t="e">
        <f>IF(OR($B421="",MIN(BA$38,$D$19)&lt;MAX($P$34*($B421+IF($R$17="Distrato",$I$38-1,0)),IF(AND($L$37=0,$P$34=0),"",$L$37-1),IF($R$17="Distrato",$E421,0))),0,YEARFRAC(MAX($P$34*($B421+IF($R$17="Distrato",$I$38-1,0)),IF(AND($L$37=0,$P$34=0),"",$L$37-1),IF($R$17="Distrato",$E421,0)),MIN(BA$38,$D$19),$P$20))-SUM($P421:AZ421)</f>
        <v>#VALUE!</v>
      </c>
      <c r="BB421" s="447"/>
      <c r="BF421" s="446">
        <f t="shared" si="65"/>
        <v>0</v>
      </c>
      <c r="BG421" s="446">
        <f>IF($E421=0,0,IF(MIN(BG$38,$E421)&lt;MAX($P$34*($B421+$I$38-1),IF(AND($L$37=0,$P$34=0),"",$L$37-1)),0,YEARFRAC(MAX($P$34*($B421+$I$38-1),IF(AND($L$37=0,$P$34=0),"",$L$37-1)),MIN(BG$38,$E421),$P$20))-SUM($BF421:BF421))</f>
        <v>0</v>
      </c>
      <c r="BH421" s="446">
        <f>IF($E421=0,0,IF(MIN(BH$38,$E421)&lt;MAX($P$34*($B421+$I$38-1),IF(AND($L$37=0,$P$34=0),"",$L$37-1)),0,YEARFRAC(MAX($P$34*($B421+$I$38-1),IF(AND($L$37=0,$P$34=0),"",$L$37-1)),MIN(BH$38,$E421),$P$20))-SUM($BF421:BG421))</f>
        <v>0</v>
      </c>
      <c r="BI421" s="446">
        <f>IF($E421=0,0,IF(MIN(BI$38,$E421)&lt;MAX($P$34*($B421+$I$38-1),IF(AND($L$37=0,$P$34=0),"",$L$37-1)),0,YEARFRAC(MAX($P$34*($B421+$I$38-1),IF(AND($L$37=0,$P$34=0),"",$L$37-1)),MIN(BI$38,$E421),$P$20))-SUM($BF421:BH421))</f>
        <v>0</v>
      </c>
      <c r="BJ421" s="446">
        <f>IF($E421=0,0,IF(MIN(BJ$38,$E421)&lt;MAX($P$34*($B421+$I$38-1),IF(AND($L$37=0,$P$34=0),"",$L$37-1)),0,YEARFRAC(MAX($P$34*($B421+$I$38-1),IF(AND($L$37=0,$P$34=0),"",$L$37-1)),MIN(BJ$38,$E421),$P$20))-SUM($BF421:BI421))</f>
        <v>0</v>
      </c>
      <c r="BK421" s="446">
        <f>IF($E421=0,0,IF(MIN(BK$38,$E421)&lt;MAX($P$34*($B421+$I$38-1),IF(AND($L$37=0,$P$34=0),"",$L$37-1)),0,YEARFRAC(MAX($P$34*($B421+$I$38-1),IF(AND($L$37=0,$P$34=0),"",$L$37-1)),MIN(BK$38,$E421),$P$20))-SUM($BF421:BJ421))</f>
        <v>0</v>
      </c>
      <c r="BL421" s="446">
        <f>IF($E421=0,0,IF(MIN(BL$38,$E421)&lt;MAX($P$34*($B421+$I$38-1),IF(AND($L$37=0,$P$34=0),"",$L$37-1)),0,YEARFRAC(MAX($P$34*($B421+$I$38-1),IF(AND($L$37=0,$P$34=0),"",$L$37-1)),MIN(BL$38,$E421),$P$20))-SUM($BF421:BK421))</f>
        <v>0</v>
      </c>
      <c r="BM421" s="446">
        <f>IF($E421=0,0,IF(MIN(BM$38,$E421)&lt;MAX($P$34*($B421+$I$38-1),IF(AND($L$37=0,$P$34=0),"",$L$37-1)),0,YEARFRAC(MAX($P$34*($B421+$I$38-1),IF(AND($L$37=0,$P$34=0),"",$L$37-1)),MIN(BM$38,$E421),$P$20))-SUM($BF421:BL421))</f>
        <v>0</v>
      </c>
      <c r="BN421" s="446">
        <f>IF($E421=0,0,IF(MIN(BN$38,$E421)&lt;MAX($P$34*($B421+$I$38-1),IF(AND($L$37=0,$P$34=0),"",$L$37-1)),0,YEARFRAC(MAX($P$34*($B421+$I$38-1),IF(AND($L$37=0,$P$34=0),"",$L$37-1)),MIN(BN$38,$E421),$P$20))-SUM($BF421:BM421))</f>
        <v>0</v>
      </c>
      <c r="BO421" s="446">
        <f>IF($E421=0,0,IF(MIN(BO$38,$E421)&lt;MAX($P$34*($B421+$I$38-1),IF(AND($L$37=0,$P$34=0),"",$L$37-1)),0,YEARFRAC(MAX($P$34*($B421+$I$38-1),IF(AND($L$37=0,$P$34=0),"",$L$37-1)),MIN(BO$38,$E421),$P$20))-SUM($BF421:BN421))</f>
        <v>0</v>
      </c>
      <c r="BP421" s="446">
        <f>IF($E421=0,0,IF(MIN(BP$38,$E421)&lt;MAX($P$34*($B421+$I$38-1),IF(AND($L$37=0,$P$34=0),"",$L$37-1)),0,YEARFRAC(MAX($P$34*($B421+$I$38-1),IF(AND($L$37=0,$P$34=0),"",$L$37-1)),MIN(BP$38,$E421),$P$20))-SUM($BF421:BO421))</f>
        <v>0</v>
      </c>
      <c r="BQ421" s="446">
        <f>IF($E421=0,0,IF(MIN(BQ$38,$E421)&lt;MAX($P$34*($B421+$I$38-1),IF(AND($L$37=0,$P$34=0),"",$L$37-1)),0,YEARFRAC(MAX($P$34*($B421+$I$38-1),IF(AND($L$37=0,$P$34=0),"",$L$37-1)),MIN(BQ$38,$E421),$P$20))-SUM($BF421:BP421))</f>
        <v>0</v>
      </c>
      <c r="BR421" s="446">
        <f>IF($E421=0,0,IF(MIN(BR$38,$E421)&lt;MAX($P$34*($B421+$I$38-1),IF(AND($L$37=0,$P$34=0),"",$L$37-1)),0,YEARFRAC(MAX($P$34*($B421+$I$38-1),IF(AND($L$37=0,$P$34=0),"",$L$37-1)),MIN(BR$38,$E421),$P$20))-SUM($BF421:BQ421))</f>
        <v>0</v>
      </c>
      <c r="BS421" s="446">
        <f>IF($E421=0,0,IF(MIN(BS$38,$E421)&lt;MAX($P$34*($B421+$I$38-1),IF(AND($L$37=0,$P$34=0),"",$L$37-1)),0,YEARFRAC(MAX($P$34*($B421+$I$38-1),IF(AND($L$37=0,$P$34=0),"",$L$37-1)),MIN(BS$38,$E421),$P$20))-SUM($BF421:BR421))</f>
        <v>0</v>
      </c>
      <c r="BT421" s="446">
        <f>IF($E421=0,0,IF(MIN(BT$38,$E421)&lt;MAX($P$34*($B421+$I$38-1),IF(AND($L$37=0,$P$34=0),"",$L$37-1)),0,YEARFRAC(MAX($P$34*($B421+$I$38-1),IF(AND($L$37=0,$P$34=0),"",$L$37-1)),MIN(BT$38,$E421),$P$20))-SUM($BF421:BS421))</f>
        <v>0</v>
      </c>
      <c r="BU421" s="446">
        <f>IF($E421=0,0,IF(MIN(BU$38,$E421)&lt;MAX($P$34*($B421+$I$38-1),IF(AND($L$37=0,$P$34=0),"",$L$37-1)),0,YEARFRAC(MAX($P$34*($B421+$I$38-1),IF(AND($L$37=0,$P$34=0),"",$L$37-1)),MIN(BU$38,$E421),$P$20))-SUM($BF421:BT421))</f>
        <v>0</v>
      </c>
      <c r="BV421" s="446">
        <f>IF($E421=0,0,IF(MIN(BV$38,$E421)&lt;MAX($P$34*($B421+$I$38-1),IF(AND($L$37=0,$P$34=0),"",$L$37-1)),0,YEARFRAC(MAX($P$34*($B421+$I$38-1),IF(AND($L$37=0,$P$34=0),"",$L$37-1)),MIN(BV$38,$E421),$P$20))-SUM($BF421:BU421))</f>
        <v>0</v>
      </c>
      <c r="BW421" s="446">
        <f>IF($E421=0,0,IF(MIN(BW$38,$E421)&lt;MAX($P$34*($B421+$I$38-1),IF(AND($L$37=0,$P$34=0),"",$L$37-1)),0,YEARFRAC(MAX($P$34*($B421+$I$38-1),IF(AND($L$37=0,$P$34=0),"",$L$37-1)),MIN(BW$38,$E421),$P$20))-SUM($BF421:BV421))</f>
        <v>0</v>
      </c>
      <c r="BX421" s="446">
        <f>IF($E421=0,0,IF(MIN(BX$38,$E421)&lt;MAX($P$34*($B421+$I$38-1),IF(AND($L$37=0,$P$34=0),"",$L$37-1)),0,YEARFRAC(MAX($P$34*($B421+$I$38-1),IF(AND($L$37=0,$P$34=0),"",$L$37-1)),MIN(BX$38,$E421),$P$20))-SUM($BF421:BW421))</f>
        <v>0</v>
      </c>
      <c r="BY421" s="446">
        <f>IF($E421=0,0,IF(MIN(BY$38,$E421)&lt;MAX($P$34*($B421+$I$38-1),IF(AND($L$37=0,$P$34=0),"",$L$37-1)),0,YEARFRAC(MAX($P$34*($B421+$I$38-1),IF(AND($L$37=0,$P$34=0),"",$L$37-1)),MIN(BY$38,$E421),$P$20))-SUM($BF421:BX421))</f>
        <v>0</v>
      </c>
      <c r="BZ421" s="446">
        <f>IF($E421=0,0,IF(MIN(BZ$38,$E421)&lt;MAX($P$34*($B421+$I$38-1),IF(AND($L$37=0,$P$34=0),"",$L$37-1)),0,YEARFRAC(MAX($P$34*($B421+$I$38-1),IF(AND($L$37=0,$P$34=0),"",$L$37-1)),MIN(BZ$38,$E421),$P$20))-SUM($BF421:BY421))</f>
        <v>0</v>
      </c>
      <c r="CA421" s="446">
        <f>IF($E421=0,0,IF(MIN(CA$38,$E421)&lt;MAX($P$34*($B421+$I$38-1),IF(AND($L$37=0,$P$34=0),"",$L$37-1)),0,YEARFRAC(MAX($P$34*($B421+$I$38-1),IF(AND($L$37=0,$P$34=0),"",$L$37-1)),MIN(CA$38,$E421),$P$20))-SUM($BF421:BZ421))</f>
        <v>0</v>
      </c>
      <c r="CB421" s="446">
        <f>IF($E421=0,0,IF(MIN(CB$38,$E421)&lt;MAX($P$34*($B421+$I$38-1),IF(AND($L$37=0,$P$34=0),"",$L$37-1)),0,YEARFRAC(MAX($P$34*($B421+$I$38-1),IF(AND($L$37=0,$P$34=0),"",$L$37-1)),MIN(CB$38,$E421),$P$20))-SUM($BF421:CA421))</f>
        <v>0</v>
      </c>
      <c r="CC421" s="446">
        <f>IF($E421=0,0,IF(MIN(CC$38,$E421)&lt;MAX($P$34*($B421+$I$38-1),IF(AND($L$37=0,$P$34=0),"",$L$37-1)),0,YEARFRAC(MAX($P$34*($B421+$I$38-1),IF(AND($L$37=0,$P$34=0),"",$L$37-1)),MIN(CC$38,$E421),$P$20))-SUM($BF421:CB421))</f>
        <v>0</v>
      </c>
      <c r="CD421" s="446">
        <f>IF($E421=0,0,IF(MIN(CD$38,$E421)&lt;MAX($P$34*($B421+$I$38-1),IF(AND($L$37=0,$P$34=0),"",$L$37-1)),0,YEARFRAC(MAX($P$34*($B421+$I$38-1),IF(AND($L$37=0,$P$34=0),"",$L$37-1)),MIN(CD$38,$E421),$P$20))-SUM($BF421:CC421))</f>
        <v>0</v>
      </c>
      <c r="CE421" s="446">
        <f>IF($E421=0,0,IF(MIN(CE$38,$E421)&lt;MAX($P$34*($B421+$I$38-1),IF(AND($L$37=0,$P$34=0),"",$L$37-1)),0,YEARFRAC(MAX($P$34*($B421+$I$38-1),IF(AND($L$37=0,$P$34=0),"",$L$37-1)),MIN(CE$38,$E421),$P$20))-SUM($BF421:CD421))</f>
        <v>0</v>
      </c>
      <c r="CF421" s="446">
        <f>IF($E421=0,0,IF(MIN(CF$38,$E421)&lt;MAX($P$34*($B421+$I$38-1),IF(AND($L$37=0,$P$34=0),"",$L$37-1)),0,YEARFRAC(MAX($P$34*($B421+$I$38-1),IF(AND($L$37=0,$P$34=0),"",$L$37-1)),MIN(CF$38,$E421),$P$20))-SUM($BF421:CE421))</f>
        <v>0</v>
      </c>
      <c r="CG421" s="446">
        <f>IF($E421=0,0,IF(MIN(CG$38,$E421)&lt;MAX($P$34*($B421+$I$38-1),IF(AND($L$37=0,$P$34=0),"",$L$37-1)),0,YEARFRAC(MAX($P$34*($B421+$I$38-1),IF(AND($L$37=0,$P$34=0),"",$L$37-1)),MIN(CG$38,$E421),$P$20))-SUM($BF421:CF421))</f>
        <v>0</v>
      </c>
      <c r="CH421" s="446">
        <f>IF($E421=0,0,IF(MIN(CH$38,$E421)&lt;MAX($P$34*($B421+$I$38-1),IF(AND($L$37=0,$P$34=0),"",$L$37-1)),0,YEARFRAC(MAX($P$34*($B421+$I$38-1),IF(AND($L$37=0,$P$34=0),"",$L$37-1)),MIN(CH$38,$E421),$P$20))-SUM($BF421:CG421))</f>
        <v>0</v>
      </c>
      <c r="CI421" s="446">
        <f>IF($E421=0,0,IF(MIN(CI$38,$E421)&lt;MAX($P$34*($B421+$I$38-1),IF(AND($L$37=0,$P$34=0),"",$L$37-1)),0,YEARFRAC(MAX($P$34*($B421+$I$38-1),IF(AND($L$37=0,$P$34=0),"",$L$37-1)),MIN(CI$38,$E421),$P$20))-SUM($BF421:CH421))</f>
        <v>0</v>
      </c>
      <c r="CJ421" s="446">
        <f>IF($E421=0,0,IF(MIN(CJ$38,$E421)&lt;MAX($P$34*($B421+$I$38-1),IF(AND($L$37=0,$P$34=0),"",$L$37-1)),0,YEARFRAC(MAX($P$34*($B421+$I$38-1),IF(AND($L$37=0,$P$34=0),"",$L$37-1)),MIN(CJ$38,$E421),$P$20))-SUM($BF421:CI421))</f>
        <v>0</v>
      </c>
      <c r="CK421" s="446">
        <f>IF($E421=0,0,IF(MIN(CK$38,$E421)&lt;MAX($P$34*($B421+$I$38-1),IF(AND($L$37=0,$P$34=0),"",$L$37-1)),0,YEARFRAC(MAX($P$34*($B421+$I$38-1),IF(AND($L$37=0,$P$34=0),"",$L$37-1)),MIN(CK$38,$E421),$P$20))-SUM($BF421:CJ421))</f>
        <v>0</v>
      </c>
      <c r="CL421" s="446">
        <f>IF($E421=0,0,IF(MIN(CL$38,$E421)&lt;MAX($P$34*($B421+$I$38-1),IF(AND($L$37=0,$P$34=0),"",$L$37-1)),0,YEARFRAC(MAX($P$34*($B421+$I$38-1),IF(AND($L$37=0,$P$34=0),"",$L$37-1)),MIN(CL$38,$E421),$P$20))-SUM($BF421:CK421))</f>
        <v>0</v>
      </c>
      <c r="CM421" s="446">
        <f>IF($E421=0,0,IF(MIN(CM$38,$E421)&lt;MAX($P$34*($B421+$I$38-1),IF(AND($L$37=0,$P$34=0),"",$L$37-1)),0,YEARFRAC(MAX($P$34*($B421+$I$38-1),IF(AND($L$37=0,$P$34=0),"",$L$37-1)),MIN(CM$38,$E421),$P$20))-SUM($BF421:CL421))</f>
        <v>0</v>
      </c>
      <c r="CN421" s="446">
        <f>IF($E421=0,0,IF(MIN(CN$38,$E421)&lt;MAX($P$34*($B421+$I$38-1),IF(AND($L$37=0,$P$34=0),"",$L$37-1)),0,YEARFRAC(MAX($P$34*($B421+$I$38-1),IF(AND($L$37=0,$P$34=0),"",$L$37-1)),MIN(CN$38,$E421),$P$20))-SUM($BF421:CM421))</f>
        <v>0</v>
      </c>
      <c r="CO421" s="446">
        <f>IF($E421=0,0,IF(MIN(CO$38,$E421)&lt;MAX($P$34*($B421+$I$38-1),IF(AND($L$37=0,$P$34=0),"",$L$37-1)),0,YEARFRAC(MAX($P$34*($B421+$I$38-1),IF(AND($L$37=0,$P$34=0),"",$L$37-1)),MIN(CO$38,$E421),$P$20))-SUM($BF421:CN421))</f>
        <v>0</v>
      </c>
      <c r="CP421" s="446">
        <f>IF($E421=0,0,IF(MIN(CP$38,$E421)&lt;MAX($P$34*($B421+$I$38-1),IF(AND($L$37=0,$P$34=0),"",$L$37-1)),0,YEARFRAC(MAX($P$34*($B421+$I$38-1),IF(AND($L$37=0,$P$34=0),"",$L$37-1)),MIN(CP$38,$E421),$P$20))-SUM($BF421:CO421))</f>
        <v>0</v>
      </c>
      <c r="CQ421" s="446">
        <f>IF($E421=0,0,IF(MIN(CQ$38,$E421)&lt;MAX($P$34*($B421+$I$38-1),IF(AND($L$37=0,$P$34=0),"",$L$37-1)),0,YEARFRAC(MAX($P$34*($B421+$I$38-1),IF(AND($L$37=0,$P$34=0),"",$L$37-1)),MIN(CQ$38,$E421),$P$20))-SUM($BF421:CP421))</f>
        <v>0</v>
      </c>
    </row>
    <row r="422" spans="1:95" s="446" customFormat="1" ht="11.25" hidden="1" customHeight="1" x14ac:dyDescent="0.2">
      <c r="A422" s="152"/>
      <c r="B422" s="153" t="str">
        <f t="shared" si="70"/>
        <v/>
      </c>
      <c r="C422" s="29" t="str">
        <f>IF(B422="","",IF($L$35="SELIC - TRIBUTOS",VLOOKUP(DATE(YEAR($D$19),MONTH($D$19)-1,1),ÍNDICES!$A:$DE,HLOOKUP($BL$25,ÍNDICES!$B$3:$T$4,2)+11)-VLOOKUP(B422,ÍNDICES!$A:$DE,HLOOKUP($BL$25,ÍNDICES!$B$3:$T$4,2)+11)+1%,IF(C$38=$W$26,$J$35,IF(ISERROR(IF(B422&gt;$D$19,1,VLOOKUP(DATE(YEAR(B422),MONTH(B422)+IF($C$35=$S$23,1,0),1),ÍNDICES!$A:$DE,$Z$35+1))),"",IF(B422&gt;$D$19,1,VLOOKUP(DATE(YEAR(B422),MONTH(B422)+IF($C$35=$S$23,1,0),1),ÍNDICES!$A:$DE,$Z$35+1))))))</f>
        <v/>
      </c>
      <c r="D422" s="154" t="str">
        <f>IF(ISERROR(IF(OR($D$38=$Y$27,$B422=""),"",VLOOKUP(B422,ÍNDICES!A:DE,AF$35+1))),"",IF(OR($D$38=$Y$27,$B422=""),"",VLOOKUP(B422,ÍNDICES!A:DE,AF$35+1)))</f>
        <v/>
      </c>
      <c r="E422" s="153"/>
      <c r="F422" s="29" t="str">
        <f>IF(E422="","",IF($L$35="SELIC - TRIBUTOS",VLOOKUP(DATE(YEAR($D$19),MONTH($D$19)-1,1),ÍNDICES!$A:$DE,HLOOKUP($BL$25,ÍNDICES!$B$3:$T$4,2)+11)-VLOOKUP(E422,ÍNDICES!$A:$DE,HLOOKUP($BL$25,ÍNDICES!$B$3:$T$4,2)+11)+1%,IF(F$38=$W$26,$J$35,IF(ISERROR(IF(E422&gt;$D$19,1,VLOOKUP(DATE(YEAR(E422),MONTH(E422)+IF($C$35=$S$23,1,0),1),ÍNDICES!$A:$DE,$Z$35+1))),"",IF(E422&gt;$D$19,1,VLOOKUP(DATE(YEAR(E422),MONTH(E422)+IF($C$35=$S$23,1,0),1),ÍNDICES!$A:$DE,$Z$35+1))))))</f>
        <v/>
      </c>
      <c r="G422" s="155"/>
      <c r="H422" s="156" t="str">
        <f t="shared" si="66"/>
        <v/>
      </c>
      <c r="I422" s="29" t="str">
        <f t="shared" si="60"/>
        <v/>
      </c>
      <c r="J422" s="5">
        <f t="shared" si="61"/>
        <v>0</v>
      </c>
      <c r="K422" s="20">
        <f t="shared" ca="1" si="62"/>
        <v>0</v>
      </c>
      <c r="L422" s="5">
        <f t="shared" ca="1" si="63"/>
        <v>0</v>
      </c>
      <c r="M422" s="64">
        <f t="shared" si="67"/>
        <v>0</v>
      </c>
      <c r="N422" s="61">
        <f t="shared" ca="1" si="68"/>
        <v>0</v>
      </c>
      <c r="O422" s="5">
        <f t="shared" ca="1" si="69"/>
        <v>0</v>
      </c>
      <c r="P422" s="446" t="e">
        <f t="shared" si="64"/>
        <v>#VALUE!</v>
      </c>
      <c r="Q422" s="446" t="e">
        <f>IF(OR($B422="",MIN(Q$38,$D$19)&lt;MAX($P$34*($B422+IF($R$17="Distrato",$I$38-1,0)),IF(AND($L$37=0,$P$34=0),"",$L$37-1),IF($R$17="Distrato",$E422,0))),0,YEARFRAC(MAX($P$34*($B422+IF($R$17="Distrato",$I$38-1,0)),IF(AND($L$37=0,$P$34=0),"",$L$37-1),IF($R$17="Distrato",$E422,0)),MIN(Q$38,$D$19),$P$20))-SUM($P422:P422)</f>
        <v>#VALUE!</v>
      </c>
      <c r="R422" s="446" t="e">
        <f>IF(OR($B422="",MIN(R$38,$D$19)&lt;MAX($P$34*($B422+IF($R$17="Distrato",$I$38-1,0)),IF(AND($L$37=0,$P$34=0),"",$L$37-1),IF($R$17="Distrato",$E422,0))),0,YEARFRAC(MAX($P$34*($B422+IF($R$17="Distrato",$I$38-1,0)),IF(AND($L$37=0,$P$34=0),"",$L$37-1),IF($R$17="Distrato",$E422,0)),MIN(R$38,$D$19),$P$20))-SUM($P422:Q422)</f>
        <v>#VALUE!</v>
      </c>
      <c r="S422" s="446" t="e">
        <f>IF(OR($B422="",MIN(S$38,$D$19)&lt;MAX($P$34*($B422+IF($R$17="Distrato",$I$38-1,0)),IF(AND($L$37=0,$P$34=0),"",$L$37-1),IF($R$17="Distrato",$E422,0))),0,YEARFRAC(MAX($P$34*($B422+IF($R$17="Distrato",$I$38-1,0)),IF(AND($L$37=0,$P$34=0),"",$L$37-1),IF($R$17="Distrato",$E422,0)),MIN(S$38,$D$19),$P$20))-SUM($P422:R422)</f>
        <v>#VALUE!</v>
      </c>
      <c r="T422" s="446" t="e">
        <f>IF(OR($B422="",MIN(T$38,$D$19)&lt;MAX($P$34*($B422+IF($R$17="Distrato",$I$38-1,0)),IF(AND($L$37=0,$P$34=0),"",$L$37-1),IF($R$17="Distrato",$E422,0))),0,YEARFRAC(MAX($P$34*($B422+IF($R$17="Distrato",$I$38-1,0)),IF(AND($L$37=0,$P$34=0),"",$L$37-1),IF($R$17="Distrato",$E422,0)),MIN(T$38,$D$19),$P$20))-SUM($P422:S422)</f>
        <v>#VALUE!</v>
      </c>
      <c r="U422" s="446" t="e">
        <f>IF(OR($B422="",MIN(U$38,$D$19)&lt;MAX($P$34*($B422+IF($R$17="Distrato",$I$38-1,0)),IF(AND($L$37=0,$P$34=0),"",$L$37-1),IF($R$17="Distrato",$E422,0))),0,YEARFRAC(MAX($P$34*($B422+IF($R$17="Distrato",$I$38-1,0)),IF(AND($L$37=0,$P$34=0),"",$L$37-1),IF($R$17="Distrato",$E422,0)),MIN(U$38,$D$19),$P$20))-SUM($P422:T422)</f>
        <v>#VALUE!</v>
      </c>
      <c r="V422" s="446" t="e">
        <f>IF(OR($B422="",MIN(V$38,$D$19)&lt;MAX($P$34*($B422+IF($R$17="Distrato",$I$38-1,0)),IF(AND($L$37=0,$P$34=0),"",$L$37-1),IF($R$17="Distrato",$E422,0))),0,YEARFRAC(MAX($P$34*($B422+IF($R$17="Distrato",$I$38-1,0)),IF(AND($L$37=0,$P$34=0),"",$L$37-1),IF($R$17="Distrato",$E422,0)),MIN(V$38,$D$19),$P$20))-SUM($P422:U422)</f>
        <v>#VALUE!</v>
      </c>
      <c r="W422" s="446" t="e">
        <f>IF(OR($B422="",MIN(W$38,$D$19)&lt;MAX($P$34*($B422+IF($R$17="Distrato",$I$38-1,0)),IF(AND($L$37=0,$P$34=0),"",$L$37-1),IF($R$17="Distrato",$E422,0))),0,YEARFRAC(MAX($P$34*($B422+IF($R$17="Distrato",$I$38-1,0)),IF(AND($L$37=0,$P$34=0),"",$L$37-1),IF($R$17="Distrato",$E422,0)),MIN(W$38,$D$19),$P$20))-SUM($P422:V422)</f>
        <v>#VALUE!</v>
      </c>
      <c r="X422" s="446" t="e">
        <f>IF(OR($B422="",MIN(X$38,$D$19)&lt;MAX($P$34*($B422+IF($R$17="Distrato",$I$38-1,0)),IF(AND($L$37=0,$P$34=0),"",$L$37-1),IF($R$17="Distrato",$E422,0))),0,YEARFRAC(MAX($P$34*($B422+IF($R$17="Distrato",$I$38-1,0)),IF(AND($L$37=0,$P$34=0),"",$L$37-1),IF($R$17="Distrato",$E422,0)),MIN(X$38,$D$19),$P$20))-SUM($P422:W422)</f>
        <v>#VALUE!</v>
      </c>
      <c r="Y422" s="446" t="e">
        <f>IF(OR($B422="",MIN(Y$38,$D$19)&lt;MAX($P$34*($B422+IF($R$17="Distrato",$I$38-1,0)),IF(AND($L$37=0,$P$34=0),"",$L$37-1),IF($R$17="Distrato",$E422,0))),0,YEARFRAC(MAX($P$34*($B422+IF($R$17="Distrato",$I$38-1,0)),IF(AND($L$37=0,$P$34=0),"",$L$37-1),IF($R$17="Distrato",$E422,0)),MIN(Y$38,$D$19),$P$20))-SUM($P422:X422)</f>
        <v>#VALUE!</v>
      </c>
      <c r="Z422" s="446" t="e">
        <f>IF(OR($B422="",MIN(Z$38,$D$19)&lt;MAX($P$34*($B422+IF($R$17="Distrato",$I$38-1,0)),IF(AND($L$37=0,$P$34=0),"",$L$37-1),IF($R$17="Distrato",$E422,0))),0,YEARFRAC(MAX($P$34*($B422+IF($R$17="Distrato",$I$38-1,0)),IF(AND($L$37=0,$P$34=0),"",$L$37-1),IF($R$17="Distrato",$E422,0)),MIN(Z$38,$D$19),$P$20))-SUM($P422:Y422)</f>
        <v>#VALUE!</v>
      </c>
      <c r="AA422" s="446" t="e">
        <f>IF(OR($B422="",MIN(AA$38,$D$19)&lt;MAX($P$34*($B422+IF($R$17="Distrato",$I$38-1,0)),IF(AND($L$37=0,$P$34=0),"",$L$37-1),IF($R$17="Distrato",$E422,0))),0,YEARFRAC(MAX($P$34*($B422+IF($R$17="Distrato",$I$38-1,0)),IF(AND($L$37=0,$P$34=0),"",$L$37-1),IF($R$17="Distrato",$E422,0)),MIN(AA$38,$D$19),$P$20))-SUM($P422:Z422)</f>
        <v>#VALUE!</v>
      </c>
      <c r="AB422" s="446" t="e">
        <f>IF(OR($B422="",MIN(AB$38,$D$19)&lt;MAX($P$34*($B422+IF($R$17="Distrato",$I$38-1,0)),IF(AND($L$37=0,$P$34=0),"",$L$37-1),IF($R$17="Distrato",$E422,0))),0,YEARFRAC(MAX($P$34*($B422+IF($R$17="Distrato",$I$38-1,0)),IF(AND($L$37=0,$P$34=0),"",$L$37-1),IF($R$17="Distrato",$E422,0)),MIN(AB$38,$D$19),$P$20))-SUM($P422:AA422)</f>
        <v>#VALUE!</v>
      </c>
      <c r="AC422" s="446" t="e">
        <f>IF(OR($B422="",MIN(AC$38,$D$19)&lt;MAX($P$34*($B422+IF($R$17="Distrato",$I$38-1,0)),IF(AND($L$37=0,$P$34=0),"",$L$37-1),IF($R$17="Distrato",$E422,0))),0,YEARFRAC(MAX($P$34*($B422+IF($R$17="Distrato",$I$38-1,0)),IF(AND($L$37=0,$P$34=0),"",$L$37-1),IF($R$17="Distrato",$E422,0)),MIN(AC$38,$D$19),$P$20))-SUM($P422:AB422)</f>
        <v>#VALUE!</v>
      </c>
      <c r="AD422" s="446" t="e">
        <f>IF(OR($B422="",MIN(AD$38,$D$19)&lt;MAX($P$34*($B422+IF($R$17="Distrato",$I$38-1,0)),IF(AND($L$37=0,$P$34=0),"",$L$37-1),IF($R$17="Distrato",$E422,0))),0,YEARFRAC(MAX($P$34*($B422+IF($R$17="Distrato",$I$38-1,0)),IF(AND($L$37=0,$P$34=0),"",$L$37-1),IF($R$17="Distrato",$E422,0)),MIN(AD$38,$D$19),$P$20))-SUM($P422:AC422)</f>
        <v>#VALUE!</v>
      </c>
      <c r="AE422" s="446" t="e">
        <f>IF(OR($B422="",MIN(AE$38,$D$19)&lt;MAX($P$34*($B422+IF($R$17="Distrato",$I$38-1,0)),IF(AND($L$37=0,$P$34=0),"",$L$37-1),IF($R$17="Distrato",$E422,0))),0,YEARFRAC(MAX($P$34*($B422+IF($R$17="Distrato",$I$38-1,0)),IF(AND($L$37=0,$P$34=0),"",$L$37-1),IF($R$17="Distrato",$E422,0)),MIN(AE$38,$D$19),$P$20))-SUM($P422:AD422)</f>
        <v>#VALUE!</v>
      </c>
      <c r="AF422" s="446" t="e">
        <f>IF(OR($B422="",MIN(AF$38,$D$19)&lt;MAX($P$34*($B422+IF($R$17="Distrato",$I$38-1,0)),IF(AND($L$37=0,$P$34=0),"",$L$37-1),IF($R$17="Distrato",$E422,0))),0,YEARFRAC(MAX($P$34*($B422+IF($R$17="Distrato",$I$38-1,0)),IF(AND($L$37=0,$P$34=0),"",$L$37-1),IF($R$17="Distrato",$E422,0)),MIN(AF$38,$D$19),$P$20))-SUM($P422:AE422)</f>
        <v>#VALUE!</v>
      </c>
      <c r="AG422" s="446" t="e">
        <f>IF(OR($B422="",MIN(AG$38,$D$19)&lt;MAX($P$34*($B422+IF($R$17="Distrato",$I$38-1,0)),IF(AND($L$37=0,$P$34=0),"",$L$37-1),IF($R$17="Distrato",$E422,0))),0,YEARFRAC(MAX($P$34*($B422+IF($R$17="Distrato",$I$38-1,0)),IF(AND($L$37=0,$P$34=0),"",$L$37-1),IF($R$17="Distrato",$E422,0)),MIN(AG$38,$D$19),$P$20))-SUM($P422:AF422)</f>
        <v>#VALUE!</v>
      </c>
      <c r="AH422" s="446" t="e">
        <f>IF(OR($B422="",MIN(AH$38,$D$19)&lt;MAX($P$34*($B422+IF($R$17="Distrato",$I$38-1,0)),IF(AND($L$37=0,$P$34=0),"",$L$37-1),IF($R$17="Distrato",$E422,0))),0,YEARFRAC(MAX($P$34*($B422+IF($R$17="Distrato",$I$38-1,0)),IF(AND($L$37=0,$P$34=0),"",$L$37-1),IF($R$17="Distrato",$E422,0)),MIN(AH$38,$D$19),$P$20))-SUM($P422:AG422)</f>
        <v>#VALUE!</v>
      </c>
      <c r="AI422" s="446" t="e">
        <f>IF(OR($B422="",MIN(AI$38,$D$19)&lt;MAX($P$34*($B422+IF($R$17="Distrato",$I$38-1,0)),IF(AND($L$37=0,$P$34=0),"",$L$37-1),IF($R$17="Distrato",$E422,0))),0,YEARFRAC(MAX($P$34*($B422+IF($R$17="Distrato",$I$38-1,0)),IF(AND($L$37=0,$P$34=0),"",$L$37-1),IF($R$17="Distrato",$E422,0)),MIN(AI$38,$D$19),$P$20))-SUM($P422:AH422)</f>
        <v>#VALUE!</v>
      </c>
      <c r="AJ422" s="446" t="e">
        <f>IF(OR($B422="",MIN(AJ$38,$D$19)&lt;MAX($P$34*($B422+IF($R$17="Distrato",$I$38-1,0)),IF(AND($L$37=0,$P$34=0),"",$L$37-1),IF($R$17="Distrato",$E422,0))),0,YEARFRAC(MAX($P$34*($B422+IF($R$17="Distrato",$I$38-1,0)),IF(AND($L$37=0,$P$34=0),"",$L$37-1),IF($R$17="Distrato",$E422,0)),MIN(AJ$38,$D$19),$P$20))-SUM($P422:AI422)</f>
        <v>#VALUE!</v>
      </c>
      <c r="AK422" s="446" t="e">
        <f>IF(OR($B422="",MIN(AK$38,$D$19)&lt;MAX($P$34*($B422+IF($R$17="Distrato",$I$38-1,0)),IF(AND($L$37=0,$P$34=0),"",$L$37-1),IF($R$17="Distrato",$E422,0))),0,YEARFRAC(MAX($P$34*($B422+IF($R$17="Distrato",$I$38-1,0)),IF(AND($L$37=0,$P$34=0),"",$L$37-1),IF($R$17="Distrato",$E422,0)),MIN(AK$38,$D$19),$P$20))-SUM($P422:AJ422)</f>
        <v>#VALUE!</v>
      </c>
      <c r="AL422" s="446" t="e">
        <f>IF(OR($B422="",MIN(AL$38,$D$19)&lt;MAX($P$34*($B422+IF($R$17="Distrato",$I$38-1,0)),IF(AND($L$37=0,$P$34=0),"",$L$37-1),IF($R$17="Distrato",$E422,0))),0,YEARFRAC(MAX($P$34*($B422+IF($R$17="Distrato",$I$38-1,0)),IF(AND($L$37=0,$P$34=0),"",$L$37-1),IF($R$17="Distrato",$E422,0)),MIN(AL$38,$D$19),$P$20))-SUM($P422:AK422)</f>
        <v>#VALUE!</v>
      </c>
      <c r="AM422" s="446" t="e">
        <f>IF(OR($B422="",MIN(AM$38,$D$19)&lt;MAX($P$34*($B422+IF($R$17="Distrato",$I$38-1,0)),IF(AND($L$37=0,$P$34=0),"",$L$37-1),IF($R$17="Distrato",$E422,0))),0,YEARFRAC(MAX($P$34*($B422+IF($R$17="Distrato",$I$38-1,0)),IF(AND($L$37=0,$P$34=0),"",$L$37-1),IF($R$17="Distrato",$E422,0)),MIN(AM$38,$D$19),$P$20))-SUM($P422:AL422)</f>
        <v>#VALUE!</v>
      </c>
      <c r="AN422" s="446" t="e">
        <f>IF(OR($B422="",MIN(AN$38,$D$19)&lt;MAX($P$34*($B422+IF($R$17="Distrato",$I$38-1,0)),IF(AND($L$37=0,$P$34=0),"",$L$37-1),IF($R$17="Distrato",$E422,0))),0,YEARFRAC(MAX($P$34*($B422+IF($R$17="Distrato",$I$38-1,0)),IF(AND($L$37=0,$P$34=0),"",$L$37-1),IF($R$17="Distrato",$E422,0)),MIN(AN$38,$D$19),$P$20))-SUM($P422:AM422)</f>
        <v>#VALUE!</v>
      </c>
      <c r="AO422" s="446" t="e">
        <f>IF(OR($B422="",MIN(AO$38,$D$19)&lt;MAX($P$34*($B422+IF($R$17="Distrato",$I$38-1,0)),IF(AND($L$37=0,$P$34=0),"",$L$37-1),IF($R$17="Distrato",$E422,0))),0,YEARFRAC(MAX($P$34*($B422+IF($R$17="Distrato",$I$38-1,0)),IF(AND($L$37=0,$P$34=0),"",$L$37-1),IF($R$17="Distrato",$E422,0)),MIN(AO$38,$D$19),$P$20))-SUM($P422:AN422)</f>
        <v>#VALUE!</v>
      </c>
      <c r="AP422" s="446" t="e">
        <f>IF(OR($B422="",MIN(AP$38,$D$19)&lt;MAX($P$34*($B422+IF($R$17="Distrato",$I$38-1,0)),IF(AND($L$37=0,$P$34=0),"",$L$37-1),IF($R$17="Distrato",$E422,0))),0,YEARFRAC(MAX($P$34*($B422+IF($R$17="Distrato",$I$38-1,0)),IF(AND($L$37=0,$P$34=0),"",$L$37-1),IF($R$17="Distrato",$E422,0)),MIN(AP$38,$D$19),$P$20))-SUM($P422:AO422)</f>
        <v>#VALUE!</v>
      </c>
      <c r="AQ422" s="446" t="e">
        <f>IF(OR($B422="",MIN(AQ$38,$D$19)&lt;MAX($P$34*($B422+IF($R$17="Distrato",$I$38-1,0)),IF(AND($L$37=0,$P$34=0),"",$L$37-1),IF($R$17="Distrato",$E422,0))),0,YEARFRAC(MAX($P$34*($B422+IF($R$17="Distrato",$I$38-1,0)),IF(AND($L$37=0,$P$34=0),"",$L$37-1),IF($R$17="Distrato",$E422,0)),MIN(AQ$38,$D$19),$P$20))-SUM($P422:AP422)</f>
        <v>#VALUE!</v>
      </c>
      <c r="AR422" s="446" t="e">
        <f>IF(OR($B422="",MIN(AR$38,$D$19)&lt;MAX($P$34*($B422+IF($R$17="Distrato",$I$38-1,0)),IF(AND($L$37=0,$P$34=0),"",$L$37-1),IF($R$17="Distrato",$E422,0))),0,YEARFRAC(MAX($P$34*($B422+IF($R$17="Distrato",$I$38-1,0)),IF(AND($L$37=0,$P$34=0),"",$L$37-1),IF($R$17="Distrato",$E422,0)),MIN(AR$38,$D$19),$P$20))-SUM($P422:AQ422)</f>
        <v>#VALUE!</v>
      </c>
      <c r="AS422" s="446" t="e">
        <f>IF(OR($B422="",MIN(AS$38,$D$19)&lt;MAX($P$34*($B422+IF($R$17="Distrato",$I$38-1,0)),IF(AND($L$37=0,$P$34=0),"",$L$37-1),IF($R$17="Distrato",$E422,0))),0,YEARFRAC(MAX($P$34*($B422+IF($R$17="Distrato",$I$38-1,0)),IF(AND($L$37=0,$P$34=0),"",$L$37-1),IF($R$17="Distrato",$E422,0)),MIN(AS$38,$D$19),$P$20))-SUM($P422:AR422)</f>
        <v>#VALUE!</v>
      </c>
      <c r="AT422" s="446" t="e">
        <f>IF(OR($B422="",MIN(AT$38,$D$19)&lt;MAX($P$34*($B422+IF($R$17="Distrato",$I$38-1,0)),IF(AND($L$37=0,$P$34=0),"",$L$37-1),IF($R$17="Distrato",$E422,0))),0,YEARFRAC(MAX($P$34*($B422+IF($R$17="Distrato",$I$38-1,0)),IF(AND($L$37=0,$P$34=0),"",$L$37-1),IF($R$17="Distrato",$E422,0)),MIN(AT$38,$D$19),$P$20))-SUM($P422:AS422)</f>
        <v>#VALUE!</v>
      </c>
      <c r="AU422" s="446" t="e">
        <f>IF(OR($B422="",MIN(AU$38,$D$19)&lt;MAX($P$34*($B422+IF($R$17="Distrato",$I$38-1,0)),IF(AND($L$37=0,$P$34=0),"",$L$37-1),IF($R$17="Distrato",$E422,0))),0,YEARFRAC(MAX($P$34*($B422+IF($R$17="Distrato",$I$38-1,0)),IF(AND($L$37=0,$P$34=0),"",$L$37-1),IF($R$17="Distrato",$E422,0)),MIN(AU$38,$D$19),$P$20))-SUM($P422:AT422)</f>
        <v>#VALUE!</v>
      </c>
      <c r="AV422" s="446" t="e">
        <f>IF(OR($B422="",MIN(AV$38,$D$19)&lt;MAX($P$34*($B422+IF($R$17="Distrato",$I$38-1,0)),IF(AND($L$37=0,$P$34=0),"",$L$37-1),IF($R$17="Distrato",$E422,0))),0,YEARFRAC(MAX($P$34*($B422+IF($R$17="Distrato",$I$38-1,0)),IF(AND($L$37=0,$P$34=0),"",$L$37-1),IF($R$17="Distrato",$E422,0)),MIN(AV$38,$D$19),$P$20))-SUM($P422:AU422)</f>
        <v>#VALUE!</v>
      </c>
      <c r="AW422" s="446" t="e">
        <f>IF(OR($B422="",MIN(AW$38,$D$19)&lt;MAX($P$34*($B422+IF($R$17="Distrato",$I$38-1,0)),IF(AND($L$37=0,$P$34=0),"",$L$37-1),IF($R$17="Distrato",$E422,0))),0,YEARFRAC(MAX($P$34*($B422+IF($R$17="Distrato",$I$38-1,0)),IF(AND($L$37=0,$P$34=0),"",$L$37-1),IF($R$17="Distrato",$E422,0)),MIN(AW$38,$D$19),$P$20))-SUM($P422:AV422)</f>
        <v>#VALUE!</v>
      </c>
      <c r="AX422" s="446" t="e">
        <f>IF(OR($B422="",MIN(AX$38,$D$19)&lt;MAX($P$34*($B422+IF($R$17="Distrato",$I$38-1,0)),IF(AND($L$37=0,$P$34=0),"",$L$37-1),IF($R$17="Distrato",$E422,0))),0,YEARFRAC(MAX($P$34*($B422+IF($R$17="Distrato",$I$38-1,0)),IF(AND($L$37=0,$P$34=0),"",$L$37-1),IF($R$17="Distrato",$E422,0)),MIN(AX$38,$D$19),$P$20))-SUM($P422:AW422)</f>
        <v>#VALUE!</v>
      </c>
      <c r="AY422" s="446" t="e">
        <f>IF(OR($B422="",MIN(AY$38,$D$19)&lt;MAX($P$34*($B422+IF($R$17="Distrato",$I$38-1,0)),IF(AND($L$37=0,$P$34=0),"",$L$37-1),IF($R$17="Distrato",$E422,0))),0,YEARFRAC(MAX($P$34*($B422+IF($R$17="Distrato",$I$38-1,0)),IF(AND($L$37=0,$P$34=0),"",$L$37-1),IF($R$17="Distrato",$E422,0)),MIN(AY$38,$D$19),$P$20))-SUM($P422:AX422)</f>
        <v>#VALUE!</v>
      </c>
      <c r="AZ422" s="446" t="e">
        <f>IF(OR($B422="",MIN(AZ$38,$D$19)&lt;MAX($P$34*($B422+IF($R$17="Distrato",$I$38-1,0)),IF(AND($L$37=0,$P$34=0),"",$L$37-1),IF($R$17="Distrato",$E422,0))),0,YEARFRAC(MAX($P$34*($B422+IF($R$17="Distrato",$I$38-1,0)),IF(AND($L$37=0,$P$34=0),"",$L$37-1),IF($R$17="Distrato",$E422,0)),MIN(AZ$38,$D$19),$P$20))-SUM($P422:AY422)</f>
        <v>#VALUE!</v>
      </c>
      <c r="BA422" s="446" t="e">
        <f>IF(OR($B422="",MIN(BA$38,$D$19)&lt;MAX($P$34*($B422+IF($R$17="Distrato",$I$38-1,0)),IF(AND($L$37=0,$P$34=0),"",$L$37-1),IF($R$17="Distrato",$E422,0))),0,YEARFRAC(MAX($P$34*($B422+IF($R$17="Distrato",$I$38-1,0)),IF(AND($L$37=0,$P$34=0),"",$L$37-1),IF($R$17="Distrato",$E422,0)),MIN(BA$38,$D$19),$P$20))-SUM($P422:AZ422)</f>
        <v>#VALUE!</v>
      </c>
      <c r="BB422" s="447"/>
      <c r="BF422" s="446">
        <f t="shared" si="65"/>
        <v>0</v>
      </c>
      <c r="BG422" s="446">
        <f>IF($E422=0,0,IF(MIN(BG$38,$E422)&lt;MAX($P$34*($B422+$I$38-1),IF(AND($L$37=0,$P$34=0),"",$L$37-1)),0,YEARFRAC(MAX($P$34*($B422+$I$38-1),IF(AND($L$37=0,$P$34=0),"",$L$37-1)),MIN(BG$38,$E422),$P$20))-SUM($BF422:BF422))</f>
        <v>0</v>
      </c>
      <c r="BH422" s="446">
        <f>IF($E422=0,0,IF(MIN(BH$38,$E422)&lt;MAX($P$34*($B422+$I$38-1),IF(AND($L$37=0,$P$34=0),"",$L$37-1)),0,YEARFRAC(MAX($P$34*($B422+$I$38-1),IF(AND($L$37=0,$P$34=0),"",$L$37-1)),MIN(BH$38,$E422),$P$20))-SUM($BF422:BG422))</f>
        <v>0</v>
      </c>
      <c r="BI422" s="446">
        <f>IF($E422=0,0,IF(MIN(BI$38,$E422)&lt;MAX($P$34*($B422+$I$38-1),IF(AND($L$37=0,$P$34=0),"",$L$37-1)),0,YEARFRAC(MAX($P$34*($B422+$I$38-1),IF(AND($L$37=0,$P$34=0),"",$L$37-1)),MIN(BI$38,$E422),$P$20))-SUM($BF422:BH422))</f>
        <v>0</v>
      </c>
      <c r="BJ422" s="446">
        <f>IF($E422=0,0,IF(MIN(BJ$38,$E422)&lt;MAX($P$34*($B422+$I$38-1),IF(AND($L$37=0,$P$34=0),"",$L$37-1)),0,YEARFRAC(MAX($P$34*($B422+$I$38-1),IF(AND($L$37=0,$P$34=0),"",$L$37-1)),MIN(BJ$38,$E422),$P$20))-SUM($BF422:BI422))</f>
        <v>0</v>
      </c>
      <c r="BK422" s="446">
        <f>IF($E422=0,0,IF(MIN(BK$38,$E422)&lt;MAX($P$34*($B422+$I$38-1),IF(AND($L$37=0,$P$34=0),"",$L$37-1)),0,YEARFRAC(MAX($P$34*($B422+$I$38-1),IF(AND($L$37=0,$P$34=0),"",$L$37-1)),MIN(BK$38,$E422),$P$20))-SUM($BF422:BJ422))</f>
        <v>0</v>
      </c>
      <c r="BL422" s="446">
        <f>IF($E422=0,0,IF(MIN(BL$38,$E422)&lt;MAX($P$34*($B422+$I$38-1),IF(AND($L$37=0,$P$34=0),"",$L$37-1)),0,YEARFRAC(MAX($P$34*($B422+$I$38-1),IF(AND($L$37=0,$P$34=0),"",$L$37-1)),MIN(BL$38,$E422),$P$20))-SUM($BF422:BK422))</f>
        <v>0</v>
      </c>
      <c r="BM422" s="446">
        <f>IF($E422=0,0,IF(MIN(BM$38,$E422)&lt;MAX($P$34*($B422+$I$38-1),IF(AND($L$37=0,$P$34=0),"",$L$37-1)),0,YEARFRAC(MAX($P$34*($B422+$I$38-1),IF(AND($L$37=0,$P$34=0),"",$L$37-1)),MIN(BM$38,$E422),$P$20))-SUM($BF422:BL422))</f>
        <v>0</v>
      </c>
      <c r="BN422" s="446">
        <f>IF($E422=0,0,IF(MIN(BN$38,$E422)&lt;MAX($P$34*($B422+$I$38-1),IF(AND($L$37=0,$P$34=0),"",$L$37-1)),0,YEARFRAC(MAX($P$34*($B422+$I$38-1),IF(AND($L$37=0,$P$34=0),"",$L$37-1)),MIN(BN$38,$E422),$P$20))-SUM($BF422:BM422))</f>
        <v>0</v>
      </c>
      <c r="BO422" s="446">
        <f>IF($E422=0,0,IF(MIN(BO$38,$E422)&lt;MAX($P$34*($B422+$I$38-1),IF(AND($L$37=0,$P$34=0),"",$L$37-1)),0,YEARFRAC(MAX($P$34*($B422+$I$38-1),IF(AND($L$37=0,$P$34=0),"",$L$37-1)),MIN(BO$38,$E422),$P$20))-SUM($BF422:BN422))</f>
        <v>0</v>
      </c>
      <c r="BP422" s="446">
        <f>IF($E422=0,0,IF(MIN(BP$38,$E422)&lt;MAX($P$34*($B422+$I$38-1),IF(AND($L$37=0,$P$34=0),"",$L$37-1)),0,YEARFRAC(MAX($P$34*($B422+$I$38-1),IF(AND($L$37=0,$P$34=0),"",$L$37-1)),MIN(BP$38,$E422),$P$20))-SUM($BF422:BO422))</f>
        <v>0</v>
      </c>
      <c r="BQ422" s="446">
        <f>IF($E422=0,0,IF(MIN(BQ$38,$E422)&lt;MAX($P$34*($B422+$I$38-1),IF(AND($L$37=0,$P$34=0),"",$L$37-1)),0,YEARFRAC(MAX($P$34*($B422+$I$38-1),IF(AND($L$37=0,$P$34=0),"",$L$37-1)),MIN(BQ$38,$E422),$P$20))-SUM($BF422:BP422))</f>
        <v>0</v>
      </c>
      <c r="BR422" s="446">
        <f>IF($E422=0,0,IF(MIN(BR$38,$E422)&lt;MAX($P$34*($B422+$I$38-1),IF(AND($L$37=0,$P$34=0),"",$L$37-1)),0,YEARFRAC(MAX($P$34*($B422+$I$38-1),IF(AND($L$37=0,$P$34=0),"",$L$37-1)),MIN(BR$38,$E422),$P$20))-SUM($BF422:BQ422))</f>
        <v>0</v>
      </c>
      <c r="BS422" s="446">
        <f>IF($E422=0,0,IF(MIN(BS$38,$E422)&lt;MAX($P$34*($B422+$I$38-1),IF(AND($L$37=0,$P$34=0),"",$L$37-1)),0,YEARFRAC(MAX($P$34*($B422+$I$38-1),IF(AND($L$37=0,$P$34=0),"",$L$37-1)),MIN(BS$38,$E422),$P$20))-SUM($BF422:BR422))</f>
        <v>0</v>
      </c>
      <c r="BT422" s="446">
        <f>IF($E422=0,0,IF(MIN(BT$38,$E422)&lt;MAX($P$34*($B422+$I$38-1),IF(AND($L$37=0,$P$34=0),"",$L$37-1)),0,YEARFRAC(MAX($P$34*($B422+$I$38-1),IF(AND($L$37=0,$P$34=0),"",$L$37-1)),MIN(BT$38,$E422),$P$20))-SUM($BF422:BS422))</f>
        <v>0</v>
      </c>
      <c r="BU422" s="446">
        <f>IF($E422=0,0,IF(MIN(BU$38,$E422)&lt;MAX($P$34*($B422+$I$38-1),IF(AND($L$37=0,$P$34=0),"",$L$37-1)),0,YEARFRAC(MAX($P$34*($B422+$I$38-1),IF(AND($L$37=0,$P$34=0),"",$L$37-1)),MIN(BU$38,$E422),$P$20))-SUM($BF422:BT422))</f>
        <v>0</v>
      </c>
      <c r="BV422" s="446">
        <f>IF($E422=0,0,IF(MIN(BV$38,$E422)&lt;MAX($P$34*($B422+$I$38-1),IF(AND($L$37=0,$P$34=0),"",$L$37-1)),0,YEARFRAC(MAX($P$34*($B422+$I$38-1),IF(AND($L$37=0,$P$34=0),"",$L$37-1)),MIN(BV$38,$E422),$P$20))-SUM($BF422:BU422))</f>
        <v>0</v>
      </c>
      <c r="BW422" s="446">
        <f>IF($E422=0,0,IF(MIN(BW$38,$E422)&lt;MAX($P$34*($B422+$I$38-1),IF(AND($L$37=0,$P$34=0),"",$L$37-1)),0,YEARFRAC(MAX($P$34*($B422+$I$38-1),IF(AND($L$37=0,$P$34=0),"",$L$37-1)),MIN(BW$38,$E422),$P$20))-SUM($BF422:BV422))</f>
        <v>0</v>
      </c>
      <c r="BX422" s="446">
        <f>IF($E422=0,0,IF(MIN(BX$38,$E422)&lt;MAX($P$34*($B422+$I$38-1),IF(AND($L$37=0,$P$34=0),"",$L$37-1)),0,YEARFRAC(MAX($P$34*($B422+$I$38-1),IF(AND($L$37=0,$P$34=0),"",$L$37-1)),MIN(BX$38,$E422),$P$20))-SUM($BF422:BW422))</f>
        <v>0</v>
      </c>
      <c r="BY422" s="446">
        <f>IF($E422=0,0,IF(MIN(BY$38,$E422)&lt;MAX($P$34*($B422+$I$38-1),IF(AND($L$37=0,$P$34=0),"",$L$37-1)),0,YEARFRAC(MAX($P$34*($B422+$I$38-1),IF(AND($L$37=0,$P$34=0),"",$L$37-1)),MIN(BY$38,$E422),$P$20))-SUM($BF422:BX422))</f>
        <v>0</v>
      </c>
      <c r="BZ422" s="446">
        <f>IF($E422=0,0,IF(MIN(BZ$38,$E422)&lt;MAX($P$34*($B422+$I$38-1),IF(AND($L$37=0,$P$34=0),"",$L$37-1)),0,YEARFRAC(MAX($P$34*($B422+$I$38-1),IF(AND($L$37=0,$P$34=0),"",$L$37-1)),MIN(BZ$38,$E422),$P$20))-SUM($BF422:BY422))</f>
        <v>0</v>
      </c>
      <c r="CA422" s="446">
        <f>IF($E422=0,0,IF(MIN(CA$38,$E422)&lt;MAX($P$34*($B422+$I$38-1),IF(AND($L$37=0,$P$34=0),"",$L$37-1)),0,YEARFRAC(MAX($P$34*($B422+$I$38-1),IF(AND($L$37=0,$P$34=0),"",$L$37-1)),MIN(CA$38,$E422),$P$20))-SUM($BF422:BZ422))</f>
        <v>0</v>
      </c>
      <c r="CB422" s="446">
        <f>IF($E422=0,0,IF(MIN(CB$38,$E422)&lt;MAX($P$34*($B422+$I$38-1),IF(AND($L$37=0,$P$34=0),"",$L$37-1)),0,YEARFRAC(MAX($P$34*($B422+$I$38-1),IF(AND($L$37=0,$P$34=0),"",$L$37-1)),MIN(CB$38,$E422),$P$20))-SUM($BF422:CA422))</f>
        <v>0</v>
      </c>
      <c r="CC422" s="446">
        <f>IF($E422=0,0,IF(MIN(CC$38,$E422)&lt;MAX($P$34*($B422+$I$38-1),IF(AND($L$37=0,$P$34=0),"",$L$37-1)),0,YEARFRAC(MAX($P$34*($B422+$I$38-1),IF(AND($L$37=0,$P$34=0),"",$L$37-1)),MIN(CC$38,$E422),$P$20))-SUM($BF422:CB422))</f>
        <v>0</v>
      </c>
      <c r="CD422" s="446">
        <f>IF($E422=0,0,IF(MIN(CD$38,$E422)&lt;MAX($P$34*($B422+$I$38-1),IF(AND($L$37=0,$P$34=0),"",$L$37-1)),0,YEARFRAC(MAX($P$34*($B422+$I$38-1),IF(AND($L$37=0,$P$34=0),"",$L$37-1)),MIN(CD$38,$E422),$P$20))-SUM($BF422:CC422))</f>
        <v>0</v>
      </c>
      <c r="CE422" s="446">
        <f>IF($E422=0,0,IF(MIN(CE$38,$E422)&lt;MAX($P$34*($B422+$I$38-1),IF(AND($L$37=0,$P$34=0),"",$L$37-1)),0,YEARFRAC(MAX($P$34*($B422+$I$38-1),IF(AND($L$37=0,$P$34=0),"",$L$37-1)),MIN(CE$38,$E422),$P$20))-SUM($BF422:CD422))</f>
        <v>0</v>
      </c>
      <c r="CF422" s="446">
        <f>IF($E422=0,0,IF(MIN(CF$38,$E422)&lt;MAX($P$34*($B422+$I$38-1),IF(AND($L$37=0,$P$34=0),"",$L$37-1)),0,YEARFRAC(MAX($P$34*($B422+$I$38-1),IF(AND($L$37=0,$P$34=0),"",$L$37-1)),MIN(CF$38,$E422),$P$20))-SUM($BF422:CE422))</f>
        <v>0</v>
      </c>
      <c r="CG422" s="446">
        <f>IF($E422=0,0,IF(MIN(CG$38,$E422)&lt;MAX($P$34*($B422+$I$38-1),IF(AND($L$37=0,$P$34=0),"",$L$37-1)),0,YEARFRAC(MAX($P$34*($B422+$I$38-1),IF(AND($L$37=0,$P$34=0),"",$L$37-1)),MIN(CG$38,$E422),$P$20))-SUM($BF422:CF422))</f>
        <v>0</v>
      </c>
      <c r="CH422" s="446">
        <f>IF($E422=0,0,IF(MIN(CH$38,$E422)&lt;MAX($P$34*($B422+$I$38-1),IF(AND($L$37=0,$P$34=0),"",$L$37-1)),0,YEARFRAC(MAX($P$34*($B422+$I$38-1),IF(AND($L$37=0,$P$34=0),"",$L$37-1)),MIN(CH$38,$E422),$P$20))-SUM($BF422:CG422))</f>
        <v>0</v>
      </c>
      <c r="CI422" s="446">
        <f>IF($E422=0,0,IF(MIN(CI$38,$E422)&lt;MAX($P$34*($B422+$I$38-1),IF(AND($L$37=0,$P$34=0),"",$L$37-1)),0,YEARFRAC(MAX($P$34*($B422+$I$38-1),IF(AND($L$37=0,$P$34=0),"",$L$37-1)),MIN(CI$38,$E422),$P$20))-SUM($BF422:CH422))</f>
        <v>0</v>
      </c>
      <c r="CJ422" s="446">
        <f>IF($E422=0,0,IF(MIN(CJ$38,$E422)&lt;MAX($P$34*($B422+$I$38-1),IF(AND($L$37=0,$P$34=0),"",$L$37-1)),0,YEARFRAC(MAX($P$34*($B422+$I$38-1),IF(AND($L$37=0,$P$34=0),"",$L$37-1)),MIN(CJ$38,$E422),$P$20))-SUM($BF422:CI422))</f>
        <v>0</v>
      </c>
      <c r="CK422" s="446">
        <f>IF($E422=0,0,IF(MIN(CK$38,$E422)&lt;MAX($P$34*($B422+$I$38-1),IF(AND($L$37=0,$P$34=0),"",$L$37-1)),0,YEARFRAC(MAX($P$34*($B422+$I$38-1),IF(AND($L$37=0,$P$34=0),"",$L$37-1)),MIN(CK$38,$E422),$P$20))-SUM($BF422:CJ422))</f>
        <v>0</v>
      </c>
      <c r="CL422" s="446">
        <f>IF($E422=0,0,IF(MIN(CL$38,$E422)&lt;MAX($P$34*($B422+$I$38-1),IF(AND($L$37=0,$P$34=0),"",$L$37-1)),0,YEARFRAC(MAX($P$34*($B422+$I$38-1),IF(AND($L$37=0,$P$34=0),"",$L$37-1)),MIN(CL$38,$E422),$P$20))-SUM($BF422:CK422))</f>
        <v>0</v>
      </c>
      <c r="CM422" s="446">
        <f>IF($E422=0,0,IF(MIN(CM$38,$E422)&lt;MAX($P$34*($B422+$I$38-1),IF(AND($L$37=0,$P$34=0),"",$L$37-1)),0,YEARFRAC(MAX($P$34*($B422+$I$38-1),IF(AND($L$37=0,$P$34=0),"",$L$37-1)),MIN(CM$38,$E422),$P$20))-SUM($BF422:CL422))</f>
        <v>0</v>
      </c>
      <c r="CN422" s="446">
        <f>IF($E422=0,0,IF(MIN(CN$38,$E422)&lt;MAX($P$34*($B422+$I$38-1),IF(AND($L$37=0,$P$34=0),"",$L$37-1)),0,YEARFRAC(MAX($P$34*($B422+$I$38-1),IF(AND($L$37=0,$P$34=0),"",$L$37-1)),MIN(CN$38,$E422),$P$20))-SUM($BF422:CM422))</f>
        <v>0</v>
      </c>
      <c r="CO422" s="446">
        <f>IF($E422=0,0,IF(MIN(CO$38,$E422)&lt;MAX($P$34*($B422+$I$38-1),IF(AND($L$37=0,$P$34=0),"",$L$37-1)),0,YEARFRAC(MAX($P$34*($B422+$I$38-1),IF(AND($L$37=0,$P$34=0),"",$L$37-1)),MIN(CO$38,$E422),$P$20))-SUM($BF422:CN422))</f>
        <v>0</v>
      </c>
      <c r="CP422" s="446">
        <f>IF($E422=0,0,IF(MIN(CP$38,$E422)&lt;MAX($P$34*($B422+$I$38-1),IF(AND($L$37=0,$P$34=0),"",$L$37-1)),0,YEARFRAC(MAX($P$34*($B422+$I$38-1),IF(AND($L$37=0,$P$34=0),"",$L$37-1)),MIN(CP$38,$E422),$P$20))-SUM($BF422:CO422))</f>
        <v>0</v>
      </c>
      <c r="CQ422" s="446">
        <f>IF($E422=0,0,IF(MIN(CQ$38,$E422)&lt;MAX($P$34*($B422+$I$38-1),IF(AND($L$37=0,$P$34=0),"",$L$37-1)),0,YEARFRAC(MAX($P$34*($B422+$I$38-1),IF(AND($L$37=0,$P$34=0),"",$L$37-1)),MIN(CQ$38,$E422),$P$20))-SUM($BF422:CP422))</f>
        <v>0</v>
      </c>
    </row>
    <row r="423" spans="1:95" s="446" customFormat="1" ht="11.25" hidden="1" customHeight="1" x14ac:dyDescent="0.2">
      <c r="A423" s="152"/>
      <c r="B423" s="153" t="str">
        <f t="shared" si="70"/>
        <v/>
      </c>
      <c r="C423" s="29" t="str">
        <f>IF(B423="","",IF($L$35="SELIC - TRIBUTOS",VLOOKUP(DATE(YEAR($D$19),MONTH($D$19)-1,1),ÍNDICES!$A:$DE,HLOOKUP($BL$25,ÍNDICES!$B$3:$T$4,2)+11)-VLOOKUP(B423,ÍNDICES!$A:$DE,HLOOKUP($BL$25,ÍNDICES!$B$3:$T$4,2)+11)+1%,IF(C$38=$W$26,$J$35,IF(ISERROR(IF(B423&gt;$D$19,1,VLOOKUP(DATE(YEAR(B423),MONTH(B423)+IF($C$35=$S$23,1,0),1),ÍNDICES!$A:$DE,$Z$35+1))),"",IF(B423&gt;$D$19,1,VLOOKUP(DATE(YEAR(B423),MONTH(B423)+IF($C$35=$S$23,1,0),1),ÍNDICES!$A:$DE,$Z$35+1))))))</f>
        <v/>
      </c>
      <c r="D423" s="154" t="str">
        <f>IF(ISERROR(IF(OR($D$38=$Y$27,$B423=""),"",VLOOKUP(B423,ÍNDICES!A:DE,AF$35+1))),"",IF(OR($D$38=$Y$27,$B423=""),"",VLOOKUP(B423,ÍNDICES!A:DE,AF$35+1)))</f>
        <v/>
      </c>
      <c r="E423" s="153"/>
      <c r="F423" s="29" t="str">
        <f>IF(E423="","",IF($L$35="SELIC - TRIBUTOS",VLOOKUP(DATE(YEAR($D$19),MONTH($D$19)-1,1),ÍNDICES!$A:$DE,HLOOKUP($BL$25,ÍNDICES!$B$3:$T$4,2)+11)-VLOOKUP(E423,ÍNDICES!$A:$DE,HLOOKUP($BL$25,ÍNDICES!$B$3:$T$4,2)+11)+1%,IF(F$38=$W$26,$J$35,IF(ISERROR(IF(E423&gt;$D$19,1,VLOOKUP(DATE(YEAR(E423),MONTH(E423)+IF($C$35=$S$23,1,0),1),ÍNDICES!$A:$DE,$Z$35+1))),"",IF(E423&gt;$D$19,1,VLOOKUP(DATE(YEAR(E423),MONTH(E423)+IF($C$35=$S$23,1,0),1),ÍNDICES!$A:$DE,$Z$35+1))))))</f>
        <v/>
      </c>
      <c r="G423" s="155"/>
      <c r="H423" s="156" t="str">
        <f t="shared" si="66"/>
        <v/>
      </c>
      <c r="I423" s="29" t="str">
        <f t="shared" si="60"/>
        <v/>
      </c>
      <c r="J423" s="5">
        <f t="shared" si="61"/>
        <v>0</v>
      </c>
      <c r="K423" s="20">
        <f t="shared" ca="1" si="62"/>
        <v>0</v>
      </c>
      <c r="L423" s="5">
        <f t="shared" ca="1" si="63"/>
        <v>0</v>
      </c>
      <c r="M423" s="64">
        <f t="shared" si="67"/>
        <v>0</v>
      </c>
      <c r="N423" s="61">
        <f t="shared" ca="1" si="68"/>
        <v>0</v>
      </c>
      <c r="O423" s="5">
        <f t="shared" ca="1" si="69"/>
        <v>0</v>
      </c>
      <c r="P423" s="446" t="e">
        <f t="shared" si="64"/>
        <v>#VALUE!</v>
      </c>
      <c r="Q423" s="446" t="e">
        <f>IF(OR($B423="",MIN(Q$38,$D$19)&lt;MAX($P$34*($B423+IF($R$17="Distrato",$I$38-1,0)),IF(AND($L$37=0,$P$34=0),"",$L$37-1),IF($R$17="Distrato",$E423,0))),0,YEARFRAC(MAX($P$34*($B423+IF($R$17="Distrato",$I$38-1,0)),IF(AND($L$37=0,$P$34=0),"",$L$37-1),IF($R$17="Distrato",$E423,0)),MIN(Q$38,$D$19),$P$20))-SUM($P423:P423)</f>
        <v>#VALUE!</v>
      </c>
      <c r="R423" s="446" t="e">
        <f>IF(OR($B423="",MIN(R$38,$D$19)&lt;MAX($P$34*($B423+IF($R$17="Distrato",$I$38-1,0)),IF(AND($L$37=0,$P$34=0),"",$L$37-1),IF($R$17="Distrato",$E423,0))),0,YEARFRAC(MAX($P$34*($B423+IF($R$17="Distrato",$I$38-1,0)),IF(AND($L$37=0,$P$34=0),"",$L$37-1),IF($R$17="Distrato",$E423,0)),MIN(R$38,$D$19),$P$20))-SUM($P423:Q423)</f>
        <v>#VALUE!</v>
      </c>
      <c r="S423" s="446" t="e">
        <f>IF(OR($B423="",MIN(S$38,$D$19)&lt;MAX($P$34*($B423+IF($R$17="Distrato",$I$38-1,0)),IF(AND($L$37=0,$P$34=0),"",$L$37-1),IF($R$17="Distrato",$E423,0))),0,YEARFRAC(MAX($P$34*($B423+IF($R$17="Distrato",$I$38-1,0)),IF(AND($L$37=0,$P$34=0),"",$L$37-1),IF($R$17="Distrato",$E423,0)),MIN(S$38,$D$19),$P$20))-SUM($P423:R423)</f>
        <v>#VALUE!</v>
      </c>
      <c r="T423" s="446" t="e">
        <f>IF(OR($B423="",MIN(T$38,$D$19)&lt;MAX($P$34*($B423+IF($R$17="Distrato",$I$38-1,0)),IF(AND($L$37=0,$P$34=0),"",$L$37-1),IF($R$17="Distrato",$E423,0))),0,YEARFRAC(MAX($P$34*($B423+IF($R$17="Distrato",$I$38-1,0)),IF(AND($L$37=0,$P$34=0),"",$L$37-1),IF($R$17="Distrato",$E423,0)),MIN(T$38,$D$19),$P$20))-SUM($P423:S423)</f>
        <v>#VALUE!</v>
      </c>
      <c r="U423" s="446" t="e">
        <f>IF(OR($B423="",MIN(U$38,$D$19)&lt;MAX($P$34*($B423+IF($R$17="Distrato",$I$38-1,0)),IF(AND($L$37=0,$P$34=0),"",$L$37-1),IF($R$17="Distrato",$E423,0))),0,YEARFRAC(MAX($P$34*($B423+IF($R$17="Distrato",$I$38-1,0)),IF(AND($L$37=0,$P$34=0),"",$L$37-1),IF($R$17="Distrato",$E423,0)),MIN(U$38,$D$19),$P$20))-SUM($P423:T423)</f>
        <v>#VALUE!</v>
      </c>
      <c r="V423" s="446" t="e">
        <f>IF(OR($B423="",MIN(V$38,$D$19)&lt;MAX($P$34*($B423+IF($R$17="Distrato",$I$38-1,0)),IF(AND($L$37=0,$P$34=0),"",$L$37-1),IF($R$17="Distrato",$E423,0))),0,YEARFRAC(MAX($P$34*($B423+IF($R$17="Distrato",$I$38-1,0)),IF(AND($L$37=0,$P$34=0),"",$L$37-1),IF($R$17="Distrato",$E423,0)),MIN(V$38,$D$19),$P$20))-SUM($P423:U423)</f>
        <v>#VALUE!</v>
      </c>
      <c r="W423" s="446" t="e">
        <f>IF(OR($B423="",MIN(W$38,$D$19)&lt;MAX($P$34*($B423+IF($R$17="Distrato",$I$38-1,0)),IF(AND($L$37=0,$P$34=0),"",$L$37-1),IF($R$17="Distrato",$E423,0))),0,YEARFRAC(MAX($P$34*($B423+IF($R$17="Distrato",$I$38-1,0)),IF(AND($L$37=0,$P$34=0),"",$L$37-1),IF($R$17="Distrato",$E423,0)),MIN(W$38,$D$19),$P$20))-SUM($P423:V423)</f>
        <v>#VALUE!</v>
      </c>
      <c r="X423" s="446" t="e">
        <f>IF(OR($B423="",MIN(X$38,$D$19)&lt;MAX($P$34*($B423+IF($R$17="Distrato",$I$38-1,0)),IF(AND($L$37=0,$P$34=0),"",$L$37-1),IF($R$17="Distrato",$E423,0))),0,YEARFRAC(MAX($P$34*($B423+IF($R$17="Distrato",$I$38-1,0)),IF(AND($L$37=0,$P$34=0),"",$L$37-1),IF($R$17="Distrato",$E423,0)),MIN(X$38,$D$19),$P$20))-SUM($P423:W423)</f>
        <v>#VALUE!</v>
      </c>
      <c r="Y423" s="446" t="e">
        <f>IF(OR($B423="",MIN(Y$38,$D$19)&lt;MAX($P$34*($B423+IF($R$17="Distrato",$I$38-1,0)),IF(AND($L$37=0,$P$34=0),"",$L$37-1),IF($R$17="Distrato",$E423,0))),0,YEARFRAC(MAX($P$34*($B423+IF($R$17="Distrato",$I$38-1,0)),IF(AND($L$37=0,$P$34=0),"",$L$37-1),IF($R$17="Distrato",$E423,0)),MIN(Y$38,$D$19),$P$20))-SUM($P423:X423)</f>
        <v>#VALUE!</v>
      </c>
      <c r="Z423" s="446" t="e">
        <f>IF(OR($B423="",MIN(Z$38,$D$19)&lt;MAX($P$34*($B423+IF($R$17="Distrato",$I$38-1,0)),IF(AND($L$37=0,$P$34=0),"",$L$37-1),IF($R$17="Distrato",$E423,0))),0,YEARFRAC(MAX($P$34*($B423+IF($R$17="Distrato",$I$38-1,0)),IF(AND($L$37=0,$P$34=0),"",$L$37-1),IF($R$17="Distrato",$E423,0)),MIN(Z$38,$D$19),$P$20))-SUM($P423:Y423)</f>
        <v>#VALUE!</v>
      </c>
      <c r="AA423" s="446" t="e">
        <f>IF(OR($B423="",MIN(AA$38,$D$19)&lt;MAX($P$34*($B423+IF($R$17="Distrato",$I$38-1,0)),IF(AND($L$37=0,$P$34=0),"",$L$37-1),IF($R$17="Distrato",$E423,0))),0,YEARFRAC(MAX($P$34*($B423+IF($R$17="Distrato",$I$38-1,0)),IF(AND($L$37=0,$P$34=0),"",$L$37-1),IF($R$17="Distrato",$E423,0)),MIN(AA$38,$D$19),$P$20))-SUM($P423:Z423)</f>
        <v>#VALUE!</v>
      </c>
      <c r="AB423" s="446" t="e">
        <f>IF(OR($B423="",MIN(AB$38,$D$19)&lt;MAX($P$34*($B423+IF($R$17="Distrato",$I$38-1,0)),IF(AND($L$37=0,$P$34=0),"",$L$37-1),IF($R$17="Distrato",$E423,0))),0,YEARFRAC(MAX($P$34*($B423+IF($R$17="Distrato",$I$38-1,0)),IF(AND($L$37=0,$P$34=0),"",$L$37-1),IF($R$17="Distrato",$E423,0)),MIN(AB$38,$D$19),$P$20))-SUM($P423:AA423)</f>
        <v>#VALUE!</v>
      </c>
      <c r="AC423" s="446" t="e">
        <f>IF(OR($B423="",MIN(AC$38,$D$19)&lt;MAX($P$34*($B423+IF($R$17="Distrato",$I$38-1,0)),IF(AND($L$37=0,$P$34=0),"",$L$37-1),IF($R$17="Distrato",$E423,0))),0,YEARFRAC(MAX($P$34*($B423+IF($R$17="Distrato",$I$38-1,0)),IF(AND($L$37=0,$P$34=0),"",$L$37-1),IF($R$17="Distrato",$E423,0)),MIN(AC$38,$D$19),$P$20))-SUM($P423:AB423)</f>
        <v>#VALUE!</v>
      </c>
      <c r="AD423" s="446" t="e">
        <f>IF(OR($B423="",MIN(AD$38,$D$19)&lt;MAX($P$34*($B423+IF($R$17="Distrato",$I$38-1,0)),IF(AND($L$37=0,$P$34=0),"",$L$37-1),IF($R$17="Distrato",$E423,0))),0,YEARFRAC(MAX($P$34*($B423+IF($R$17="Distrato",$I$38-1,0)),IF(AND($L$37=0,$P$34=0),"",$L$37-1),IF($R$17="Distrato",$E423,0)),MIN(AD$38,$D$19),$P$20))-SUM($P423:AC423)</f>
        <v>#VALUE!</v>
      </c>
      <c r="AE423" s="446" t="e">
        <f>IF(OR($B423="",MIN(AE$38,$D$19)&lt;MAX($P$34*($B423+IF($R$17="Distrato",$I$38-1,0)),IF(AND($L$37=0,$P$34=0),"",$L$37-1),IF($R$17="Distrato",$E423,0))),0,YEARFRAC(MAX($P$34*($B423+IF($R$17="Distrato",$I$38-1,0)),IF(AND($L$37=0,$P$34=0),"",$L$37-1),IF($R$17="Distrato",$E423,0)),MIN(AE$38,$D$19),$P$20))-SUM($P423:AD423)</f>
        <v>#VALUE!</v>
      </c>
      <c r="AF423" s="446" t="e">
        <f>IF(OR($B423="",MIN(AF$38,$D$19)&lt;MAX($P$34*($B423+IF($R$17="Distrato",$I$38-1,0)),IF(AND($L$37=0,$P$34=0),"",$L$37-1),IF($R$17="Distrato",$E423,0))),0,YEARFRAC(MAX($P$34*($B423+IF($R$17="Distrato",$I$38-1,0)),IF(AND($L$37=0,$P$34=0),"",$L$37-1),IF($R$17="Distrato",$E423,0)),MIN(AF$38,$D$19),$P$20))-SUM($P423:AE423)</f>
        <v>#VALUE!</v>
      </c>
      <c r="AG423" s="446" t="e">
        <f>IF(OR($B423="",MIN(AG$38,$D$19)&lt;MAX($P$34*($B423+IF($R$17="Distrato",$I$38-1,0)),IF(AND($L$37=0,$P$34=0),"",$L$37-1),IF($R$17="Distrato",$E423,0))),0,YEARFRAC(MAX($P$34*($B423+IF($R$17="Distrato",$I$38-1,0)),IF(AND($L$37=0,$P$34=0),"",$L$37-1),IF($R$17="Distrato",$E423,0)),MIN(AG$38,$D$19),$P$20))-SUM($P423:AF423)</f>
        <v>#VALUE!</v>
      </c>
      <c r="AH423" s="446" t="e">
        <f>IF(OR($B423="",MIN(AH$38,$D$19)&lt;MAX($P$34*($B423+IF($R$17="Distrato",$I$38-1,0)),IF(AND($L$37=0,$P$34=0),"",$L$37-1),IF($R$17="Distrato",$E423,0))),0,YEARFRAC(MAX($P$34*($B423+IF($R$17="Distrato",$I$38-1,0)),IF(AND($L$37=0,$P$34=0),"",$L$37-1),IF($R$17="Distrato",$E423,0)),MIN(AH$38,$D$19),$P$20))-SUM($P423:AG423)</f>
        <v>#VALUE!</v>
      </c>
      <c r="AI423" s="446" t="e">
        <f>IF(OR($B423="",MIN(AI$38,$D$19)&lt;MAX($P$34*($B423+IF($R$17="Distrato",$I$38-1,0)),IF(AND($L$37=0,$P$34=0),"",$L$37-1),IF($R$17="Distrato",$E423,0))),0,YEARFRAC(MAX($P$34*($B423+IF($R$17="Distrato",$I$38-1,0)),IF(AND($L$37=0,$P$34=0),"",$L$37-1),IF($R$17="Distrato",$E423,0)),MIN(AI$38,$D$19),$P$20))-SUM($P423:AH423)</f>
        <v>#VALUE!</v>
      </c>
      <c r="AJ423" s="446" t="e">
        <f>IF(OR($B423="",MIN(AJ$38,$D$19)&lt;MAX($P$34*($B423+IF($R$17="Distrato",$I$38-1,0)),IF(AND($L$37=0,$P$34=0),"",$L$37-1),IF($R$17="Distrato",$E423,0))),0,YEARFRAC(MAX($P$34*($B423+IF($R$17="Distrato",$I$38-1,0)),IF(AND($L$37=0,$P$34=0),"",$L$37-1),IF($R$17="Distrato",$E423,0)),MIN(AJ$38,$D$19),$P$20))-SUM($P423:AI423)</f>
        <v>#VALUE!</v>
      </c>
      <c r="AK423" s="446" t="e">
        <f>IF(OR($B423="",MIN(AK$38,$D$19)&lt;MAX($P$34*($B423+IF($R$17="Distrato",$I$38-1,0)),IF(AND($L$37=0,$P$34=0),"",$L$37-1),IF($R$17="Distrato",$E423,0))),0,YEARFRAC(MAX($P$34*($B423+IF($R$17="Distrato",$I$38-1,0)),IF(AND($L$37=0,$P$34=0),"",$L$37-1),IF($R$17="Distrato",$E423,0)),MIN(AK$38,$D$19),$P$20))-SUM($P423:AJ423)</f>
        <v>#VALUE!</v>
      </c>
      <c r="AL423" s="446" t="e">
        <f>IF(OR($B423="",MIN(AL$38,$D$19)&lt;MAX($P$34*($B423+IF($R$17="Distrato",$I$38-1,0)),IF(AND($L$37=0,$P$34=0),"",$L$37-1),IF($R$17="Distrato",$E423,0))),0,YEARFRAC(MAX($P$34*($B423+IF($R$17="Distrato",$I$38-1,0)),IF(AND($L$37=0,$P$34=0),"",$L$37-1),IF($R$17="Distrato",$E423,0)),MIN(AL$38,$D$19),$P$20))-SUM($P423:AK423)</f>
        <v>#VALUE!</v>
      </c>
      <c r="AM423" s="446" t="e">
        <f>IF(OR($B423="",MIN(AM$38,$D$19)&lt;MAX($P$34*($B423+IF($R$17="Distrato",$I$38-1,0)),IF(AND($L$37=0,$P$34=0),"",$L$37-1),IF($R$17="Distrato",$E423,0))),0,YEARFRAC(MAX($P$34*($B423+IF($R$17="Distrato",$I$38-1,0)),IF(AND($L$37=0,$P$34=0),"",$L$37-1),IF($R$17="Distrato",$E423,0)),MIN(AM$38,$D$19),$P$20))-SUM($P423:AL423)</f>
        <v>#VALUE!</v>
      </c>
      <c r="AN423" s="446" t="e">
        <f>IF(OR($B423="",MIN(AN$38,$D$19)&lt;MAX($P$34*($B423+IF($R$17="Distrato",$I$38-1,0)),IF(AND($L$37=0,$P$34=0),"",$L$37-1),IF($R$17="Distrato",$E423,0))),0,YEARFRAC(MAX($P$34*($B423+IF($R$17="Distrato",$I$38-1,0)),IF(AND($L$37=0,$P$34=0),"",$L$37-1),IF($R$17="Distrato",$E423,0)),MIN(AN$38,$D$19),$P$20))-SUM($P423:AM423)</f>
        <v>#VALUE!</v>
      </c>
      <c r="AO423" s="446" t="e">
        <f>IF(OR($B423="",MIN(AO$38,$D$19)&lt;MAX($P$34*($B423+IF($R$17="Distrato",$I$38-1,0)),IF(AND($L$37=0,$P$34=0),"",$L$37-1),IF($R$17="Distrato",$E423,0))),0,YEARFRAC(MAX($P$34*($B423+IF($R$17="Distrato",$I$38-1,0)),IF(AND($L$37=0,$P$34=0),"",$L$37-1),IF($R$17="Distrato",$E423,0)),MIN(AO$38,$D$19),$P$20))-SUM($P423:AN423)</f>
        <v>#VALUE!</v>
      </c>
      <c r="AP423" s="446" t="e">
        <f>IF(OR($B423="",MIN(AP$38,$D$19)&lt;MAX($P$34*($B423+IF($R$17="Distrato",$I$38-1,0)),IF(AND($L$37=0,$P$34=0),"",$L$37-1),IF($R$17="Distrato",$E423,0))),0,YEARFRAC(MAX($P$34*($B423+IF($R$17="Distrato",$I$38-1,0)),IF(AND($L$37=0,$P$34=0),"",$L$37-1),IF($R$17="Distrato",$E423,0)),MIN(AP$38,$D$19),$P$20))-SUM($P423:AO423)</f>
        <v>#VALUE!</v>
      </c>
      <c r="AQ423" s="446" t="e">
        <f>IF(OR($B423="",MIN(AQ$38,$D$19)&lt;MAX($P$34*($B423+IF($R$17="Distrato",$I$38-1,0)),IF(AND($L$37=0,$P$34=0),"",$L$37-1),IF($R$17="Distrato",$E423,0))),0,YEARFRAC(MAX($P$34*($B423+IF($R$17="Distrato",$I$38-1,0)),IF(AND($L$37=0,$P$34=0),"",$L$37-1),IF($R$17="Distrato",$E423,0)),MIN(AQ$38,$D$19),$P$20))-SUM($P423:AP423)</f>
        <v>#VALUE!</v>
      </c>
      <c r="AR423" s="446" t="e">
        <f>IF(OR($B423="",MIN(AR$38,$D$19)&lt;MAX($P$34*($B423+IF($R$17="Distrato",$I$38-1,0)),IF(AND($L$37=0,$P$34=0),"",$L$37-1),IF($R$17="Distrato",$E423,0))),0,YEARFRAC(MAX($P$34*($B423+IF($R$17="Distrato",$I$38-1,0)),IF(AND($L$37=0,$P$34=0),"",$L$37-1),IF($R$17="Distrato",$E423,0)),MIN(AR$38,$D$19),$P$20))-SUM($P423:AQ423)</f>
        <v>#VALUE!</v>
      </c>
      <c r="AS423" s="446" t="e">
        <f>IF(OR($B423="",MIN(AS$38,$D$19)&lt;MAX($P$34*($B423+IF($R$17="Distrato",$I$38-1,0)),IF(AND($L$37=0,$P$34=0),"",$L$37-1),IF($R$17="Distrato",$E423,0))),0,YEARFRAC(MAX($P$34*($B423+IF($R$17="Distrato",$I$38-1,0)),IF(AND($L$37=0,$P$34=0),"",$L$37-1),IF($R$17="Distrato",$E423,0)),MIN(AS$38,$D$19),$P$20))-SUM($P423:AR423)</f>
        <v>#VALUE!</v>
      </c>
      <c r="AT423" s="446" t="e">
        <f>IF(OR($B423="",MIN(AT$38,$D$19)&lt;MAX($P$34*($B423+IF($R$17="Distrato",$I$38-1,0)),IF(AND($L$37=0,$P$34=0),"",$L$37-1),IF($R$17="Distrato",$E423,0))),0,YEARFRAC(MAX($P$34*($B423+IF($R$17="Distrato",$I$38-1,0)),IF(AND($L$37=0,$P$34=0),"",$L$37-1),IF($R$17="Distrato",$E423,0)),MIN(AT$38,$D$19),$P$20))-SUM($P423:AS423)</f>
        <v>#VALUE!</v>
      </c>
      <c r="AU423" s="446" t="e">
        <f>IF(OR($B423="",MIN(AU$38,$D$19)&lt;MAX($P$34*($B423+IF($R$17="Distrato",$I$38-1,0)),IF(AND($L$37=0,$P$34=0),"",$L$37-1),IF($R$17="Distrato",$E423,0))),0,YEARFRAC(MAX($P$34*($B423+IF($R$17="Distrato",$I$38-1,0)),IF(AND($L$37=0,$P$34=0),"",$L$37-1),IF($R$17="Distrato",$E423,0)),MIN(AU$38,$D$19),$P$20))-SUM($P423:AT423)</f>
        <v>#VALUE!</v>
      </c>
      <c r="AV423" s="446" t="e">
        <f>IF(OR($B423="",MIN(AV$38,$D$19)&lt;MAX($P$34*($B423+IF($R$17="Distrato",$I$38-1,0)),IF(AND($L$37=0,$P$34=0),"",$L$37-1),IF($R$17="Distrato",$E423,0))),0,YEARFRAC(MAX($P$34*($B423+IF($R$17="Distrato",$I$38-1,0)),IF(AND($L$37=0,$P$34=0),"",$L$37-1),IF($R$17="Distrato",$E423,0)),MIN(AV$38,$D$19),$P$20))-SUM($P423:AU423)</f>
        <v>#VALUE!</v>
      </c>
      <c r="AW423" s="446" t="e">
        <f>IF(OR($B423="",MIN(AW$38,$D$19)&lt;MAX($P$34*($B423+IF($R$17="Distrato",$I$38-1,0)),IF(AND($L$37=0,$P$34=0),"",$L$37-1),IF($R$17="Distrato",$E423,0))),0,YEARFRAC(MAX($P$34*($B423+IF($R$17="Distrato",$I$38-1,0)),IF(AND($L$37=0,$P$34=0),"",$L$37-1),IF($R$17="Distrato",$E423,0)),MIN(AW$38,$D$19),$P$20))-SUM($P423:AV423)</f>
        <v>#VALUE!</v>
      </c>
      <c r="AX423" s="446" t="e">
        <f>IF(OR($B423="",MIN(AX$38,$D$19)&lt;MAX($P$34*($B423+IF($R$17="Distrato",$I$38-1,0)),IF(AND($L$37=0,$P$34=0),"",$L$37-1),IF($R$17="Distrato",$E423,0))),0,YEARFRAC(MAX($P$34*($B423+IF($R$17="Distrato",$I$38-1,0)),IF(AND($L$37=0,$P$34=0),"",$L$37-1),IF($R$17="Distrato",$E423,0)),MIN(AX$38,$D$19),$P$20))-SUM($P423:AW423)</f>
        <v>#VALUE!</v>
      </c>
      <c r="AY423" s="446" t="e">
        <f>IF(OR($B423="",MIN(AY$38,$D$19)&lt;MAX($P$34*($B423+IF($R$17="Distrato",$I$38-1,0)),IF(AND($L$37=0,$P$34=0),"",$L$37-1),IF($R$17="Distrato",$E423,0))),0,YEARFRAC(MAX($P$34*($B423+IF($R$17="Distrato",$I$38-1,0)),IF(AND($L$37=0,$P$34=0),"",$L$37-1),IF($R$17="Distrato",$E423,0)),MIN(AY$38,$D$19),$P$20))-SUM($P423:AX423)</f>
        <v>#VALUE!</v>
      </c>
      <c r="AZ423" s="446" t="e">
        <f>IF(OR($B423="",MIN(AZ$38,$D$19)&lt;MAX($P$34*($B423+IF($R$17="Distrato",$I$38-1,0)),IF(AND($L$37=0,$P$34=0),"",$L$37-1),IF($R$17="Distrato",$E423,0))),0,YEARFRAC(MAX($P$34*($B423+IF($R$17="Distrato",$I$38-1,0)),IF(AND($L$37=0,$P$34=0),"",$L$37-1),IF($R$17="Distrato",$E423,0)),MIN(AZ$38,$D$19),$P$20))-SUM($P423:AY423)</f>
        <v>#VALUE!</v>
      </c>
      <c r="BA423" s="446" t="e">
        <f>IF(OR($B423="",MIN(BA$38,$D$19)&lt;MAX($P$34*($B423+IF($R$17="Distrato",$I$38-1,0)),IF(AND($L$37=0,$P$34=0),"",$L$37-1),IF($R$17="Distrato",$E423,0))),0,YEARFRAC(MAX($P$34*($B423+IF($R$17="Distrato",$I$38-1,0)),IF(AND($L$37=0,$P$34=0),"",$L$37-1),IF($R$17="Distrato",$E423,0)),MIN(BA$38,$D$19),$P$20))-SUM($P423:AZ423)</f>
        <v>#VALUE!</v>
      </c>
      <c r="BB423" s="447"/>
      <c r="BF423" s="446">
        <f t="shared" si="65"/>
        <v>0</v>
      </c>
      <c r="BG423" s="446">
        <f>IF($E423=0,0,IF(MIN(BG$38,$E423)&lt;MAX($P$34*($B423+$I$38-1),IF(AND($L$37=0,$P$34=0),"",$L$37-1)),0,YEARFRAC(MAX($P$34*($B423+$I$38-1),IF(AND($L$37=0,$P$34=0),"",$L$37-1)),MIN(BG$38,$E423),$P$20))-SUM($BF423:BF423))</f>
        <v>0</v>
      </c>
      <c r="BH423" s="446">
        <f>IF($E423=0,0,IF(MIN(BH$38,$E423)&lt;MAX($P$34*($B423+$I$38-1),IF(AND($L$37=0,$P$34=0),"",$L$37-1)),0,YEARFRAC(MAX($P$34*($B423+$I$38-1),IF(AND($L$37=0,$P$34=0),"",$L$37-1)),MIN(BH$38,$E423),$P$20))-SUM($BF423:BG423))</f>
        <v>0</v>
      </c>
      <c r="BI423" s="446">
        <f>IF($E423=0,0,IF(MIN(BI$38,$E423)&lt;MAX($P$34*($B423+$I$38-1),IF(AND($L$37=0,$P$34=0),"",$L$37-1)),0,YEARFRAC(MAX($P$34*($B423+$I$38-1),IF(AND($L$37=0,$P$34=0),"",$L$37-1)),MIN(BI$38,$E423),$P$20))-SUM($BF423:BH423))</f>
        <v>0</v>
      </c>
      <c r="BJ423" s="446">
        <f>IF($E423=0,0,IF(MIN(BJ$38,$E423)&lt;MAX($P$34*($B423+$I$38-1),IF(AND($L$37=0,$P$34=0),"",$L$37-1)),0,YEARFRAC(MAX($P$34*($B423+$I$38-1),IF(AND($L$37=0,$P$34=0),"",$L$37-1)),MIN(BJ$38,$E423),$P$20))-SUM($BF423:BI423))</f>
        <v>0</v>
      </c>
      <c r="BK423" s="446">
        <f>IF($E423=0,0,IF(MIN(BK$38,$E423)&lt;MAX($P$34*($B423+$I$38-1),IF(AND($L$37=0,$P$34=0),"",$L$37-1)),0,YEARFRAC(MAX($P$34*($B423+$I$38-1),IF(AND($L$37=0,$P$34=0),"",$L$37-1)),MIN(BK$38,$E423),$P$20))-SUM($BF423:BJ423))</f>
        <v>0</v>
      </c>
      <c r="BL423" s="446">
        <f>IF($E423=0,0,IF(MIN(BL$38,$E423)&lt;MAX($P$34*($B423+$I$38-1),IF(AND($L$37=0,$P$34=0),"",$L$37-1)),0,YEARFRAC(MAX($P$34*($B423+$I$38-1),IF(AND($L$37=0,$P$34=0),"",$L$37-1)),MIN(BL$38,$E423),$P$20))-SUM($BF423:BK423))</f>
        <v>0</v>
      </c>
      <c r="BM423" s="446">
        <f>IF($E423=0,0,IF(MIN(BM$38,$E423)&lt;MAX($P$34*($B423+$I$38-1),IF(AND($L$37=0,$P$34=0),"",$L$37-1)),0,YEARFRAC(MAX($P$34*($B423+$I$38-1),IF(AND($L$37=0,$P$34=0),"",$L$37-1)),MIN(BM$38,$E423),$P$20))-SUM($BF423:BL423))</f>
        <v>0</v>
      </c>
      <c r="BN423" s="446">
        <f>IF($E423=0,0,IF(MIN(BN$38,$E423)&lt;MAX($P$34*($B423+$I$38-1),IF(AND($L$37=0,$P$34=0),"",$L$37-1)),0,YEARFRAC(MAX($P$34*($B423+$I$38-1),IF(AND($L$37=0,$P$34=0),"",$L$37-1)),MIN(BN$38,$E423),$P$20))-SUM($BF423:BM423))</f>
        <v>0</v>
      </c>
      <c r="BO423" s="446">
        <f>IF($E423=0,0,IF(MIN(BO$38,$E423)&lt;MAX($P$34*($B423+$I$38-1),IF(AND($L$37=0,$P$34=0),"",$L$37-1)),0,YEARFRAC(MAX($P$34*($B423+$I$38-1),IF(AND($L$37=0,$P$34=0),"",$L$37-1)),MIN(BO$38,$E423),$P$20))-SUM($BF423:BN423))</f>
        <v>0</v>
      </c>
      <c r="BP423" s="446">
        <f>IF($E423=0,0,IF(MIN(BP$38,$E423)&lt;MAX($P$34*($B423+$I$38-1),IF(AND($L$37=0,$P$34=0),"",$L$37-1)),0,YEARFRAC(MAX($P$34*($B423+$I$38-1),IF(AND($L$37=0,$P$34=0),"",$L$37-1)),MIN(BP$38,$E423),$P$20))-SUM($BF423:BO423))</f>
        <v>0</v>
      </c>
      <c r="BQ423" s="446">
        <f>IF($E423=0,0,IF(MIN(BQ$38,$E423)&lt;MAX($P$34*($B423+$I$38-1),IF(AND($L$37=0,$P$34=0),"",$L$37-1)),0,YEARFRAC(MAX($P$34*($B423+$I$38-1),IF(AND($L$37=0,$P$34=0),"",$L$37-1)),MIN(BQ$38,$E423),$P$20))-SUM($BF423:BP423))</f>
        <v>0</v>
      </c>
      <c r="BR423" s="446">
        <f>IF($E423=0,0,IF(MIN(BR$38,$E423)&lt;MAX($P$34*($B423+$I$38-1),IF(AND($L$37=0,$P$34=0),"",$L$37-1)),0,YEARFRAC(MAX($P$34*($B423+$I$38-1),IF(AND($L$37=0,$P$34=0),"",$L$37-1)),MIN(BR$38,$E423),$P$20))-SUM($BF423:BQ423))</f>
        <v>0</v>
      </c>
      <c r="BS423" s="446">
        <f>IF($E423=0,0,IF(MIN(BS$38,$E423)&lt;MAX($P$34*($B423+$I$38-1),IF(AND($L$37=0,$P$34=0),"",$L$37-1)),0,YEARFRAC(MAX($P$34*($B423+$I$38-1),IF(AND($L$37=0,$P$34=0),"",$L$37-1)),MIN(BS$38,$E423),$P$20))-SUM($BF423:BR423))</f>
        <v>0</v>
      </c>
      <c r="BT423" s="446">
        <f>IF($E423=0,0,IF(MIN(BT$38,$E423)&lt;MAX($P$34*($B423+$I$38-1),IF(AND($L$37=0,$P$34=0),"",$L$37-1)),0,YEARFRAC(MAX($P$34*($B423+$I$38-1),IF(AND($L$37=0,$P$34=0),"",$L$37-1)),MIN(BT$38,$E423),$P$20))-SUM($BF423:BS423))</f>
        <v>0</v>
      </c>
      <c r="BU423" s="446">
        <f>IF($E423=0,0,IF(MIN(BU$38,$E423)&lt;MAX($P$34*($B423+$I$38-1),IF(AND($L$37=0,$P$34=0),"",$L$37-1)),0,YEARFRAC(MAX($P$34*($B423+$I$38-1),IF(AND($L$37=0,$P$34=0),"",$L$37-1)),MIN(BU$38,$E423),$P$20))-SUM($BF423:BT423))</f>
        <v>0</v>
      </c>
      <c r="BV423" s="446">
        <f>IF($E423=0,0,IF(MIN(BV$38,$E423)&lt;MAX($P$34*($B423+$I$38-1),IF(AND($L$37=0,$P$34=0),"",$L$37-1)),0,YEARFRAC(MAX($P$34*($B423+$I$38-1),IF(AND($L$37=0,$P$34=0),"",$L$37-1)),MIN(BV$38,$E423),$P$20))-SUM($BF423:BU423))</f>
        <v>0</v>
      </c>
      <c r="BW423" s="446">
        <f>IF($E423=0,0,IF(MIN(BW$38,$E423)&lt;MAX($P$34*($B423+$I$38-1),IF(AND($L$37=0,$P$34=0),"",$L$37-1)),0,YEARFRAC(MAX($P$34*($B423+$I$38-1),IF(AND($L$37=0,$P$34=0),"",$L$37-1)),MIN(BW$38,$E423),$P$20))-SUM($BF423:BV423))</f>
        <v>0</v>
      </c>
      <c r="BX423" s="446">
        <f>IF($E423=0,0,IF(MIN(BX$38,$E423)&lt;MAX($P$34*($B423+$I$38-1),IF(AND($L$37=0,$P$34=0),"",$L$37-1)),0,YEARFRAC(MAX($P$34*($B423+$I$38-1),IF(AND($L$37=0,$P$34=0),"",$L$37-1)),MIN(BX$38,$E423),$P$20))-SUM($BF423:BW423))</f>
        <v>0</v>
      </c>
      <c r="BY423" s="446">
        <f>IF($E423=0,0,IF(MIN(BY$38,$E423)&lt;MAX($P$34*($B423+$I$38-1),IF(AND($L$37=0,$P$34=0),"",$L$37-1)),0,YEARFRAC(MAX($P$34*($B423+$I$38-1),IF(AND($L$37=0,$P$34=0),"",$L$37-1)),MIN(BY$38,$E423),$P$20))-SUM($BF423:BX423))</f>
        <v>0</v>
      </c>
      <c r="BZ423" s="446">
        <f>IF($E423=0,0,IF(MIN(BZ$38,$E423)&lt;MAX($P$34*($B423+$I$38-1),IF(AND($L$37=0,$P$34=0),"",$L$37-1)),0,YEARFRAC(MAX($P$34*($B423+$I$38-1),IF(AND($L$37=0,$P$34=0),"",$L$37-1)),MIN(BZ$38,$E423),$P$20))-SUM($BF423:BY423))</f>
        <v>0</v>
      </c>
      <c r="CA423" s="446">
        <f>IF($E423=0,0,IF(MIN(CA$38,$E423)&lt;MAX($P$34*($B423+$I$38-1),IF(AND($L$37=0,$P$34=0),"",$L$37-1)),0,YEARFRAC(MAX($P$34*($B423+$I$38-1),IF(AND($L$37=0,$P$34=0),"",$L$37-1)),MIN(CA$38,$E423),$P$20))-SUM($BF423:BZ423))</f>
        <v>0</v>
      </c>
      <c r="CB423" s="446">
        <f>IF($E423=0,0,IF(MIN(CB$38,$E423)&lt;MAX($P$34*($B423+$I$38-1),IF(AND($L$37=0,$P$34=0),"",$L$37-1)),0,YEARFRAC(MAX($P$34*($B423+$I$38-1),IF(AND($L$37=0,$P$34=0),"",$L$37-1)),MIN(CB$38,$E423),$P$20))-SUM($BF423:CA423))</f>
        <v>0</v>
      </c>
      <c r="CC423" s="446">
        <f>IF($E423=0,0,IF(MIN(CC$38,$E423)&lt;MAX($P$34*($B423+$I$38-1),IF(AND($L$37=0,$P$34=0),"",$L$37-1)),0,YEARFRAC(MAX($P$34*($B423+$I$38-1),IF(AND($L$37=0,$P$34=0),"",$L$37-1)),MIN(CC$38,$E423),$P$20))-SUM($BF423:CB423))</f>
        <v>0</v>
      </c>
      <c r="CD423" s="446">
        <f>IF($E423=0,0,IF(MIN(CD$38,$E423)&lt;MAX($P$34*($B423+$I$38-1),IF(AND($L$37=0,$P$34=0),"",$L$37-1)),0,YEARFRAC(MAX($P$34*($B423+$I$38-1),IF(AND($L$37=0,$P$34=0),"",$L$37-1)),MIN(CD$38,$E423),$P$20))-SUM($BF423:CC423))</f>
        <v>0</v>
      </c>
      <c r="CE423" s="446">
        <f>IF($E423=0,0,IF(MIN(CE$38,$E423)&lt;MAX($P$34*($B423+$I$38-1),IF(AND($L$37=0,$P$34=0),"",$L$37-1)),0,YEARFRAC(MAX($P$34*($B423+$I$38-1),IF(AND($L$37=0,$P$34=0),"",$L$37-1)),MIN(CE$38,$E423),$P$20))-SUM($BF423:CD423))</f>
        <v>0</v>
      </c>
      <c r="CF423" s="446">
        <f>IF($E423=0,0,IF(MIN(CF$38,$E423)&lt;MAX($P$34*($B423+$I$38-1),IF(AND($L$37=0,$P$34=0),"",$L$37-1)),0,YEARFRAC(MAX($P$34*($B423+$I$38-1),IF(AND($L$37=0,$P$34=0),"",$L$37-1)),MIN(CF$38,$E423),$P$20))-SUM($BF423:CE423))</f>
        <v>0</v>
      </c>
      <c r="CG423" s="446">
        <f>IF($E423=0,0,IF(MIN(CG$38,$E423)&lt;MAX($P$34*($B423+$I$38-1),IF(AND($L$37=0,$P$34=0),"",$L$37-1)),0,YEARFRAC(MAX($P$34*($B423+$I$38-1),IF(AND($L$37=0,$P$34=0),"",$L$37-1)),MIN(CG$38,$E423),$P$20))-SUM($BF423:CF423))</f>
        <v>0</v>
      </c>
      <c r="CH423" s="446">
        <f>IF($E423=0,0,IF(MIN(CH$38,$E423)&lt;MAX($P$34*($B423+$I$38-1),IF(AND($L$37=0,$P$34=0),"",$L$37-1)),0,YEARFRAC(MAX($P$34*($B423+$I$38-1),IF(AND($L$37=0,$P$34=0),"",$L$37-1)),MIN(CH$38,$E423),$P$20))-SUM($BF423:CG423))</f>
        <v>0</v>
      </c>
      <c r="CI423" s="446">
        <f>IF($E423=0,0,IF(MIN(CI$38,$E423)&lt;MAX($P$34*($B423+$I$38-1),IF(AND($L$37=0,$P$34=0),"",$L$37-1)),0,YEARFRAC(MAX($P$34*($B423+$I$38-1),IF(AND($L$37=0,$P$34=0),"",$L$37-1)),MIN(CI$38,$E423),$P$20))-SUM($BF423:CH423))</f>
        <v>0</v>
      </c>
      <c r="CJ423" s="446">
        <f>IF($E423=0,0,IF(MIN(CJ$38,$E423)&lt;MAX($P$34*($B423+$I$38-1),IF(AND($L$37=0,$P$34=0),"",$L$37-1)),0,YEARFRAC(MAX($P$34*($B423+$I$38-1),IF(AND($L$37=0,$P$34=0),"",$L$37-1)),MIN(CJ$38,$E423),$P$20))-SUM($BF423:CI423))</f>
        <v>0</v>
      </c>
      <c r="CK423" s="446">
        <f>IF($E423=0,0,IF(MIN(CK$38,$E423)&lt;MAX($P$34*($B423+$I$38-1),IF(AND($L$37=0,$P$34=0),"",$L$37-1)),0,YEARFRAC(MAX($P$34*($B423+$I$38-1),IF(AND($L$37=0,$P$34=0),"",$L$37-1)),MIN(CK$38,$E423),$P$20))-SUM($BF423:CJ423))</f>
        <v>0</v>
      </c>
      <c r="CL423" s="446">
        <f>IF($E423=0,0,IF(MIN(CL$38,$E423)&lt;MAX($P$34*($B423+$I$38-1),IF(AND($L$37=0,$P$34=0),"",$L$37-1)),0,YEARFRAC(MAX($P$34*($B423+$I$38-1),IF(AND($L$37=0,$P$34=0),"",$L$37-1)),MIN(CL$38,$E423),$P$20))-SUM($BF423:CK423))</f>
        <v>0</v>
      </c>
      <c r="CM423" s="446">
        <f>IF($E423=0,0,IF(MIN(CM$38,$E423)&lt;MAX($P$34*($B423+$I$38-1),IF(AND($L$37=0,$P$34=0),"",$L$37-1)),0,YEARFRAC(MAX($P$34*($B423+$I$38-1),IF(AND($L$37=0,$P$34=0),"",$L$37-1)),MIN(CM$38,$E423),$P$20))-SUM($BF423:CL423))</f>
        <v>0</v>
      </c>
      <c r="CN423" s="446">
        <f>IF($E423=0,0,IF(MIN(CN$38,$E423)&lt;MAX($P$34*($B423+$I$38-1),IF(AND($L$37=0,$P$34=0),"",$L$37-1)),0,YEARFRAC(MAX($P$34*($B423+$I$38-1),IF(AND($L$37=0,$P$34=0),"",$L$37-1)),MIN(CN$38,$E423),$P$20))-SUM($BF423:CM423))</f>
        <v>0</v>
      </c>
      <c r="CO423" s="446">
        <f>IF($E423=0,0,IF(MIN(CO$38,$E423)&lt;MAX($P$34*($B423+$I$38-1),IF(AND($L$37=0,$P$34=0),"",$L$37-1)),0,YEARFRAC(MAX($P$34*($B423+$I$38-1),IF(AND($L$37=0,$P$34=0),"",$L$37-1)),MIN(CO$38,$E423),$P$20))-SUM($BF423:CN423))</f>
        <v>0</v>
      </c>
      <c r="CP423" s="446">
        <f>IF($E423=0,0,IF(MIN(CP$38,$E423)&lt;MAX($P$34*($B423+$I$38-1),IF(AND($L$37=0,$P$34=0),"",$L$37-1)),0,YEARFRAC(MAX($P$34*($B423+$I$38-1),IF(AND($L$37=0,$P$34=0),"",$L$37-1)),MIN(CP$38,$E423),$P$20))-SUM($BF423:CO423))</f>
        <v>0</v>
      </c>
      <c r="CQ423" s="446">
        <f>IF($E423=0,0,IF(MIN(CQ$38,$E423)&lt;MAX($P$34*($B423+$I$38-1),IF(AND($L$37=0,$P$34=0),"",$L$37-1)),0,YEARFRAC(MAX($P$34*($B423+$I$38-1),IF(AND($L$37=0,$P$34=0),"",$L$37-1)),MIN(CQ$38,$E423),$P$20))-SUM($BF423:CP423))</f>
        <v>0</v>
      </c>
    </row>
    <row r="424" spans="1:95" s="446" customFormat="1" ht="11.25" hidden="1" customHeight="1" x14ac:dyDescent="0.2">
      <c r="A424" s="152"/>
      <c r="B424" s="153" t="str">
        <f t="shared" si="70"/>
        <v/>
      </c>
      <c r="C424" s="29" t="str">
        <f>IF(B424="","",IF($L$35="SELIC - TRIBUTOS",VLOOKUP(DATE(YEAR($D$19),MONTH($D$19)-1,1),ÍNDICES!$A:$DE,HLOOKUP($BL$25,ÍNDICES!$B$3:$T$4,2)+11)-VLOOKUP(B424,ÍNDICES!$A:$DE,HLOOKUP($BL$25,ÍNDICES!$B$3:$T$4,2)+11)+1%,IF(C$38=$W$26,$J$35,IF(ISERROR(IF(B424&gt;$D$19,1,VLOOKUP(DATE(YEAR(B424),MONTH(B424)+IF($C$35=$S$23,1,0),1),ÍNDICES!$A:$DE,$Z$35+1))),"",IF(B424&gt;$D$19,1,VLOOKUP(DATE(YEAR(B424),MONTH(B424)+IF($C$35=$S$23,1,0),1),ÍNDICES!$A:$DE,$Z$35+1))))))</f>
        <v/>
      </c>
      <c r="D424" s="154" t="str">
        <f>IF(ISERROR(IF(OR($D$38=$Y$27,$B424=""),"",VLOOKUP(B424,ÍNDICES!A:DE,AF$35+1))),"",IF(OR($D$38=$Y$27,$B424=""),"",VLOOKUP(B424,ÍNDICES!A:DE,AF$35+1)))</f>
        <v/>
      </c>
      <c r="E424" s="153"/>
      <c r="F424" s="29" t="str">
        <f>IF(E424="","",IF($L$35="SELIC - TRIBUTOS",VLOOKUP(DATE(YEAR($D$19),MONTH($D$19)-1,1),ÍNDICES!$A:$DE,HLOOKUP($BL$25,ÍNDICES!$B$3:$T$4,2)+11)-VLOOKUP(E424,ÍNDICES!$A:$DE,HLOOKUP($BL$25,ÍNDICES!$B$3:$T$4,2)+11)+1%,IF(F$38=$W$26,$J$35,IF(ISERROR(IF(E424&gt;$D$19,1,VLOOKUP(DATE(YEAR(E424),MONTH(E424)+IF($C$35=$S$23,1,0),1),ÍNDICES!$A:$DE,$Z$35+1))),"",IF(E424&gt;$D$19,1,VLOOKUP(DATE(YEAR(E424),MONTH(E424)+IF($C$35=$S$23,1,0),1),ÍNDICES!$A:$DE,$Z$35+1))))))</f>
        <v/>
      </c>
      <c r="G424" s="155"/>
      <c r="H424" s="156" t="str">
        <f t="shared" si="66"/>
        <v/>
      </c>
      <c r="I424" s="29" t="str">
        <f t="shared" ref="I424:I487" si="71">IF(OR($L$35=$BL$25,B424=""),"",SUM(BF424:CF424))</f>
        <v/>
      </c>
      <c r="J424" s="5">
        <f t="shared" ref="J424:J487" si="72">IF(OR($L$35="SELIC - TRIBUTOS",B424=""),0,IF(D424="",0,D424)/C424*J$35*SUMPRODUCT($BF$37:$DD$37,$BF424:$DD424))</f>
        <v>0</v>
      </c>
      <c r="K424" s="20">
        <f t="shared" ref="K424:K487" ca="1" si="73">IF($L$35="SELIC - TRIBUTOS",$K$38*(-IFERROR(D424*(1+C424),0)-IF($R$17="Distrato",IFERROR(G424*(1+F424),0),0)),$K$38*(IFERROR(D424/C424*$J$35,0)-IF($R$17="Distrato",IFERROR(G424/F424*$J$35,0),0)))</f>
        <v>0</v>
      </c>
      <c r="L424" s="5">
        <f t="shared" ref="L424:L487" ca="1" si="74">IF(L$35="SELIC - TRIBUTOS",0,IFERROR(K424*SUMPRODUCT($P$37:$BA$37,$P424:$BA424),0))</f>
        <v>0</v>
      </c>
      <c r="M424" s="64">
        <f t="shared" si="67"/>
        <v>0</v>
      </c>
      <c r="N424" s="61">
        <f t="shared" ca="1" si="68"/>
        <v>0</v>
      </c>
      <c r="O424" s="5">
        <f t="shared" ca="1" si="69"/>
        <v>0</v>
      </c>
      <c r="P424" s="446" t="e">
        <f t="shared" ref="P424:P487" si="75">IF(OR($B424="",MIN(P$38,$D$19)&lt;MAX($P$34*($B424+IF($R$17="Distrato",$I$38-1,0)),IF(AND($L$37=0,$P$34=0),"",$L$37-1),IF($R$17="Distrato",$E424,0))),0,YEARFRAC(MAX($P$34*($B424+IF($R$17="Distrato",$I$38-1,0)),IF(AND($L$37=0,$P$34=0),"",$L$37-1),IF($R$17="Distrato",$E424,0)),MIN(P$38,$D$19),$P$20))</f>
        <v>#VALUE!</v>
      </c>
      <c r="Q424" s="446" t="e">
        <f>IF(OR($B424="",MIN(Q$38,$D$19)&lt;MAX($P$34*($B424+IF($R$17="Distrato",$I$38-1,0)),IF(AND($L$37=0,$P$34=0),"",$L$37-1),IF($R$17="Distrato",$E424,0))),0,YEARFRAC(MAX($P$34*($B424+IF($R$17="Distrato",$I$38-1,0)),IF(AND($L$37=0,$P$34=0),"",$L$37-1),IF($R$17="Distrato",$E424,0)),MIN(Q$38,$D$19),$P$20))-SUM($P424:P424)</f>
        <v>#VALUE!</v>
      </c>
      <c r="R424" s="446" t="e">
        <f>IF(OR($B424="",MIN(R$38,$D$19)&lt;MAX($P$34*($B424+IF($R$17="Distrato",$I$38-1,0)),IF(AND($L$37=0,$P$34=0),"",$L$37-1),IF($R$17="Distrato",$E424,0))),0,YEARFRAC(MAX($P$34*($B424+IF($R$17="Distrato",$I$38-1,0)),IF(AND($L$37=0,$P$34=0),"",$L$37-1),IF($R$17="Distrato",$E424,0)),MIN(R$38,$D$19),$P$20))-SUM($P424:Q424)</f>
        <v>#VALUE!</v>
      </c>
      <c r="S424" s="446" t="e">
        <f>IF(OR($B424="",MIN(S$38,$D$19)&lt;MAX($P$34*($B424+IF($R$17="Distrato",$I$38-1,0)),IF(AND($L$37=0,$P$34=0),"",$L$37-1),IF($R$17="Distrato",$E424,0))),0,YEARFRAC(MAX($P$34*($B424+IF($R$17="Distrato",$I$38-1,0)),IF(AND($L$37=0,$P$34=0),"",$L$37-1),IF($R$17="Distrato",$E424,0)),MIN(S$38,$D$19),$P$20))-SUM($P424:R424)</f>
        <v>#VALUE!</v>
      </c>
      <c r="T424" s="446" t="e">
        <f>IF(OR($B424="",MIN(T$38,$D$19)&lt;MAX($P$34*($B424+IF($R$17="Distrato",$I$38-1,0)),IF(AND($L$37=0,$P$34=0),"",$L$37-1),IF($R$17="Distrato",$E424,0))),0,YEARFRAC(MAX($P$34*($B424+IF($R$17="Distrato",$I$38-1,0)),IF(AND($L$37=0,$P$34=0),"",$L$37-1),IF($R$17="Distrato",$E424,0)),MIN(T$38,$D$19),$P$20))-SUM($P424:S424)</f>
        <v>#VALUE!</v>
      </c>
      <c r="U424" s="446" t="e">
        <f>IF(OR($B424="",MIN(U$38,$D$19)&lt;MAX($P$34*($B424+IF($R$17="Distrato",$I$38-1,0)),IF(AND($L$37=0,$P$34=0),"",$L$37-1),IF($R$17="Distrato",$E424,0))),0,YEARFRAC(MAX($P$34*($B424+IF($R$17="Distrato",$I$38-1,0)),IF(AND($L$37=0,$P$34=0),"",$L$37-1),IF($R$17="Distrato",$E424,0)),MIN(U$38,$D$19),$P$20))-SUM($P424:T424)</f>
        <v>#VALUE!</v>
      </c>
      <c r="V424" s="446" t="e">
        <f>IF(OR($B424="",MIN(V$38,$D$19)&lt;MAX($P$34*($B424+IF($R$17="Distrato",$I$38-1,0)),IF(AND($L$37=0,$P$34=0),"",$L$37-1),IF($R$17="Distrato",$E424,0))),0,YEARFRAC(MAX($P$34*($B424+IF($R$17="Distrato",$I$38-1,0)),IF(AND($L$37=0,$P$34=0),"",$L$37-1),IF($R$17="Distrato",$E424,0)),MIN(V$38,$D$19),$P$20))-SUM($P424:U424)</f>
        <v>#VALUE!</v>
      </c>
      <c r="W424" s="446" t="e">
        <f>IF(OR($B424="",MIN(W$38,$D$19)&lt;MAX($P$34*($B424+IF($R$17="Distrato",$I$38-1,0)),IF(AND($L$37=0,$P$34=0),"",$L$37-1),IF($R$17="Distrato",$E424,0))),0,YEARFRAC(MAX($P$34*($B424+IF($R$17="Distrato",$I$38-1,0)),IF(AND($L$37=0,$P$34=0),"",$L$37-1),IF($R$17="Distrato",$E424,0)),MIN(W$38,$D$19),$P$20))-SUM($P424:V424)</f>
        <v>#VALUE!</v>
      </c>
      <c r="X424" s="446" t="e">
        <f>IF(OR($B424="",MIN(X$38,$D$19)&lt;MAX($P$34*($B424+IF($R$17="Distrato",$I$38-1,0)),IF(AND($L$37=0,$P$34=0),"",$L$37-1),IF($R$17="Distrato",$E424,0))),0,YEARFRAC(MAX($P$34*($B424+IF($R$17="Distrato",$I$38-1,0)),IF(AND($L$37=0,$P$34=0),"",$L$37-1),IF($R$17="Distrato",$E424,0)),MIN(X$38,$D$19),$P$20))-SUM($P424:W424)</f>
        <v>#VALUE!</v>
      </c>
      <c r="Y424" s="446" t="e">
        <f>IF(OR($B424="",MIN(Y$38,$D$19)&lt;MAX($P$34*($B424+IF($R$17="Distrato",$I$38-1,0)),IF(AND($L$37=0,$P$34=0),"",$L$37-1),IF($R$17="Distrato",$E424,0))),0,YEARFRAC(MAX($P$34*($B424+IF($R$17="Distrato",$I$38-1,0)),IF(AND($L$37=0,$P$34=0),"",$L$37-1),IF($R$17="Distrato",$E424,0)),MIN(Y$38,$D$19),$P$20))-SUM($P424:X424)</f>
        <v>#VALUE!</v>
      </c>
      <c r="Z424" s="446" t="e">
        <f>IF(OR($B424="",MIN(Z$38,$D$19)&lt;MAX($P$34*($B424+IF($R$17="Distrato",$I$38-1,0)),IF(AND($L$37=0,$P$34=0),"",$L$37-1),IF($R$17="Distrato",$E424,0))),0,YEARFRAC(MAX($P$34*($B424+IF($R$17="Distrato",$I$38-1,0)),IF(AND($L$37=0,$P$34=0),"",$L$37-1),IF($R$17="Distrato",$E424,0)),MIN(Z$38,$D$19),$P$20))-SUM($P424:Y424)</f>
        <v>#VALUE!</v>
      </c>
      <c r="AA424" s="446" t="e">
        <f>IF(OR($B424="",MIN(AA$38,$D$19)&lt;MAX($P$34*($B424+IF($R$17="Distrato",$I$38-1,0)),IF(AND($L$37=0,$P$34=0),"",$L$37-1),IF($R$17="Distrato",$E424,0))),0,YEARFRAC(MAX($P$34*($B424+IF($R$17="Distrato",$I$38-1,0)),IF(AND($L$37=0,$P$34=0),"",$L$37-1),IF($R$17="Distrato",$E424,0)),MIN(AA$38,$D$19),$P$20))-SUM($P424:Z424)</f>
        <v>#VALUE!</v>
      </c>
      <c r="AB424" s="446" t="e">
        <f>IF(OR($B424="",MIN(AB$38,$D$19)&lt;MAX($P$34*($B424+IF($R$17="Distrato",$I$38-1,0)),IF(AND($L$37=0,$P$34=0),"",$L$37-1),IF($R$17="Distrato",$E424,0))),0,YEARFRAC(MAX($P$34*($B424+IF($R$17="Distrato",$I$38-1,0)),IF(AND($L$37=0,$P$34=0),"",$L$37-1),IF($R$17="Distrato",$E424,0)),MIN(AB$38,$D$19),$P$20))-SUM($P424:AA424)</f>
        <v>#VALUE!</v>
      </c>
      <c r="AC424" s="446" t="e">
        <f>IF(OR($B424="",MIN(AC$38,$D$19)&lt;MAX($P$34*($B424+IF($R$17="Distrato",$I$38-1,0)),IF(AND($L$37=0,$P$34=0),"",$L$37-1),IF($R$17="Distrato",$E424,0))),0,YEARFRAC(MAX($P$34*($B424+IF($R$17="Distrato",$I$38-1,0)),IF(AND($L$37=0,$P$34=0),"",$L$37-1),IF($R$17="Distrato",$E424,0)),MIN(AC$38,$D$19),$P$20))-SUM($P424:AB424)</f>
        <v>#VALUE!</v>
      </c>
      <c r="AD424" s="446" t="e">
        <f>IF(OR($B424="",MIN(AD$38,$D$19)&lt;MAX($P$34*($B424+IF($R$17="Distrato",$I$38-1,0)),IF(AND($L$37=0,$P$34=0),"",$L$37-1),IF($R$17="Distrato",$E424,0))),0,YEARFRAC(MAX($P$34*($B424+IF($R$17="Distrato",$I$38-1,0)),IF(AND($L$37=0,$P$34=0),"",$L$37-1),IF($R$17="Distrato",$E424,0)),MIN(AD$38,$D$19),$P$20))-SUM($P424:AC424)</f>
        <v>#VALUE!</v>
      </c>
      <c r="AE424" s="446" t="e">
        <f>IF(OR($B424="",MIN(AE$38,$D$19)&lt;MAX($P$34*($B424+IF($R$17="Distrato",$I$38-1,0)),IF(AND($L$37=0,$P$34=0),"",$L$37-1),IF($R$17="Distrato",$E424,0))),0,YEARFRAC(MAX($P$34*($B424+IF($R$17="Distrato",$I$38-1,0)),IF(AND($L$37=0,$P$34=0),"",$L$37-1),IF($R$17="Distrato",$E424,0)),MIN(AE$38,$D$19),$P$20))-SUM($P424:AD424)</f>
        <v>#VALUE!</v>
      </c>
      <c r="AF424" s="446" t="e">
        <f>IF(OR($B424="",MIN(AF$38,$D$19)&lt;MAX($P$34*($B424+IF($R$17="Distrato",$I$38-1,0)),IF(AND($L$37=0,$P$34=0),"",$L$37-1),IF($R$17="Distrato",$E424,0))),0,YEARFRAC(MAX($P$34*($B424+IF($R$17="Distrato",$I$38-1,0)),IF(AND($L$37=0,$P$34=0),"",$L$37-1),IF($R$17="Distrato",$E424,0)),MIN(AF$38,$D$19),$P$20))-SUM($P424:AE424)</f>
        <v>#VALUE!</v>
      </c>
      <c r="AG424" s="446" t="e">
        <f>IF(OR($B424="",MIN(AG$38,$D$19)&lt;MAX($P$34*($B424+IF($R$17="Distrato",$I$38-1,0)),IF(AND($L$37=0,$P$34=0),"",$L$37-1),IF($R$17="Distrato",$E424,0))),0,YEARFRAC(MAX($P$34*($B424+IF($R$17="Distrato",$I$38-1,0)),IF(AND($L$37=0,$P$34=0),"",$L$37-1),IF($R$17="Distrato",$E424,0)),MIN(AG$38,$D$19),$P$20))-SUM($P424:AF424)</f>
        <v>#VALUE!</v>
      </c>
      <c r="AH424" s="446" t="e">
        <f>IF(OR($B424="",MIN(AH$38,$D$19)&lt;MAX($P$34*($B424+IF($R$17="Distrato",$I$38-1,0)),IF(AND($L$37=0,$P$34=0),"",$L$37-1),IF($R$17="Distrato",$E424,0))),0,YEARFRAC(MAX($P$34*($B424+IF($R$17="Distrato",$I$38-1,0)),IF(AND($L$37=0,$P$34=0),"",$L$37-1),IF($R$17="Distrato",$E424,0)),MIN(AH$38,$D$19),$P$20))-SUM($P424:AG424)</f>
        <v>#VALUE!</v>
      </c>
      <c r="AI424" s="446" t="e">
        <f>IF(OR($B424="",MIN(AI$38,$D$19)&lt;MAX($P$34*($B424+IF($R$17="Distrato",$I$38-1,0)),IF(AND($L$37=0,$P$34=0),"",$L$37-1),IF($R$17="Distrato",$E424,0))),0,YEARFRAC(MAX($P$34*($B424+IF($R$17="Distrato",$I$38-1,0)),IF(AND($L$37=0,$P$34=0),"",$L$37-1),IF($R$17="Distrato",$E424,0)),MIN(AI$38,$D$19),$P$20))-SUM($P424:AH424)</f>
        <v>#VALUE!</v>
      </c>
      <c r="AJ424" s="446" t="e">
        <f>IF(OR($B424="",MIN(AJ$38,$D$19)&lt;MAX($P$34*($B424+IF($R$17="Distrato",$I$38-1,0)),IF(AND($L$37=0,$P$34=0),"",$L$37-1),IF($R$17="Distrato",$E424,0))),0,YEARFRAC(MAX($P$34*($B424+IF($R$17="Distrato",$I$38-1,0)),IF(AND($L$37=0,$P$34=0),"",$L$37-1),IF($R$17="Distrato",$E424,0)),MIN(AJ$38,$D$19),$P$20))-SUM($P424:AI424)</f>
        <v>#VALUE!</v>
      </c>
      <c r="AK424" s="446" t="e">
        <f>IF(OR($B424="",MIN(AK$38,$D$19)&lt;MAX($P$34*($B424+IF($R$17="Distrato",$I$38-1,0)),IF(AND($L$37=0,$P$34=0),"",$L$37-1),IF($R$17="Distrato",$E424,0))),0,YEARFRAC(MAX($P$34*($B424+IF($R$17="Distrato",$I$38-1,0)),IF(AND($L$37=0,$P$34=0),"",$L$37-1),IF($R$17="Distrato",$E424,0)),MIN(AK$38,$D$19),$P$20))-SUM($P424:AJ424)</f>
        <v>#VALUE!</v>
      </c>
      <c r="AL424" s="446" t="e">
        <f>IF(OR($B424="",MIN(AL$38,$D$19)&lt;MAX($P$34*($B424+IF($R$17="Distrato",$I$38-1,0)),IF(AND($L$37=0,$P$34=0),"",$L$37-1),IF($R$17="Distrato",$E424,0))),0,YEARFRAC(MAX($P$34*($B424+IF($R$17="Distrato",$I$38-1,0)),IF(AND($L$37=0,$P$34=0),"",$L$37-1),IF($R$17="Distrato",$E424,0)),MIN(AL$38,$D$19),$P$20))-SUM($P424:AK424)</f>
        <v>#VALUE!</v>
      </c>
      <c r="AM424" s="446" t="e">
        <f>IF(OR($B424="",MIN(AM$38,$D$19)&lt;MAX($P$34*($B424+IF($R$17="Distrato",$I$38-1,0)),IF(AND($L$37=0,$P$34=0),"",$L$37-1),IF($R$17="Distrato",$E424,0))),0,YEARFRAC(MAX($P$34*($B424+IF($R$17="Distrato",$I$38-1,0)),IF(AND($L$37=0,$P$34=0),"",$L$37-1),IF($R$17="Distrato",$E424,0)),MIN(AM$38,$D$19),$P$20))-SUM($P424:AL424)</f>
        <v>#VALUE!</v>
      </c>
      <c r="AN424" s="446" t="e">
        <f>IF(OR($B424="",MIN(AN$38,$D$19)&lt;MAX($P$34*($B424+IF($R$17="Distrato",$I$38-1,0)),IF(AND($L$37=0,$P$34=0),"",$L$37-1),IF($R$17="Distrato",$E424,0))),0,YEARFRAC(MAX($P$34*($B424+IF($R$17="Distrato",$I$38-1,0)),IF(AND($L$37=0,$P$34=0),"",$L$37-1),IF($R$17="Distrato",$E424,0)),MIN(AN$38,$D$19),$P$20))-SUM($P424:AM424)</f>
        <v>#VALUE!</v>
      </c>
      <c r="AO424" s="446" t="e">
        <f>IF(OR($B424="",MIN(AO$38,$D$19)&lt;MAX($P$34*($B424+IF($R$17="Distrato",$I$38-1,0)),IF(AND($L$37=0,$P$34=0),"",$L$37-1),IF($R$17="Distrato",$E424,0))),0,YEARFRAC(MAX($P$34*($B424+IF($R$17="Distrato",$I$38-1,0)),IF(AND($L$37=0,$P$34=0),"",$L$37-1),IF($R$17="Distrato",$E424,0)),MIN(AO$38,$D$19),$P$20))-SUM($P424:AN424)</f>
        <v>#VALUE!</v>
      </c>
      <c r="AP424" s="446" t="e">
        <f>IF(OR($B424="",MIN(AP$38,$D$19)&lt;MAX($P$34*($B424+IF($R$17="Distrato",$I$38-1,0)),IF(AND($L$37=0,$P$34=0),"",$L$37-1),IF($R$17="Distrato",$E424,0))),0,YEARFRAC(MAX($P$34*($B424+IF($R$17="Distrato",$I$38-1,0)),IF(AND($L$37=0,$P$34=0),"",$L$37-1),IF($R$17="Distrato",$E424,0)),MIN(AP$38,$D$19),$P$20))-SUM($P424:AO424)</f>
        <v>#VALUE!</v>
      </c>
      <c r="AQ424" s="446" t="e">
        <f>IF(OR($B424="",MIN(AQ$38,$D$19)&lt;MAX($P$34*($B424+IF($R$17="Distrato",$I$38-1,0)),IF(AND($L$37=0,$P$34=0),"",$L$37-1),IF($R$17="Distrato",$E424,0))),0,YEARFRAC(MAX($P$34*($B424+IF($R$17="Distrato",$I$38-1,0)),IF(AND($L$37=0,$P$34=0),"",$L$37-1),IF($R$17="Distrato",$E424,0)),MIN(AQ$38,$D$19),$P$20))-SUM($P424:AP424)</f>
        <v>#VALUE!</v>
      </c>
      <c r="AR424" s="446" t="e">
        <f>IF(OR($B424="",MIN(AR$38,$D$19)&lt;MAX($P$34*($B424+IF($R$17="Distrato",$I$38-1,0)),IF(AND($L$37=0,$P$34=0),"",$L$37-1),IF($R$17="Distrato",$E424,0))),0,YEARFRAC(MAX($P$34*($B424+IF($R$17="Distrato",$I$38-1,0)),IF(AND($L$37=0,$P$34=0),"",$L$37-1),IF($R$17="Distrato",$E424,0)),MIN(AR$38,$D$19),$P$20))-SUM($P424:AQ424)</f>
        <v>#VALUE!</v>
      </c>
      <c r="AS424" s="446" t="e">
        <f>IF(OR($B424="",MIN(AS$38,$D$19)&lt;MAX($P$34*($B424+IF($R$17="Distrato",$I$38-1,0)),IF(AND($L$37=0,$P$34=0),"",$L$37-1),IF($R$17="Distrato",$E424,0))),0,YEARFRAC(MAX($P$34*($B424+IF($R$17="Distrato",$I$38-1,0)),IF(AND($L$37=0,$P$34=0),"",$L$37-1),IF($R$17="Distrato",$E424,0)),MIN(AS$38,$D$19),$P$20))-SUM($P424:AR424)</f>
        <v>#VALUE!</v>
      </c>
      <c r="AT424" s="446" t="e">
        <f>IF(OR($B424="",MIN(AT$38,$D$19)&lt;MAX($P$34*($B424+IF($R$17="Distrato",$I$38-1,0)),IF(AND($L$37=0,$P$34=0),"",$L$37-1),IF($R$17="Distrato",$E424,0))),0,YEARFRAC(MAX($P$34*($B424+IF($R$17="Distrato",$I$38-1,0)),IF(AND($L$37=0,$P$34=0),"",$L$37-1),IF($R$17="Distrato",$E424,0)),MIN(AT$38,$D$19),$P$20))-SUM($P424:AS424)</f>
        <v>#VALUE!</v>
      </c>
      <c r="AU424" s="446" t="e">
        <f>IF(OR($B424="",MIN(AU$38,$D$19)&lt;MAX($P$34*($B424+IF($R$17="Distrato",$I$38-1,0)),IF(AND($L$37=0,$P$34=0),"",$L$37-1),IF($R$17="Distrato",$E424,0))),0,YEARFRAC(MAX($P$34*($B424+IF($R$17="Distrato",$I$38-1,0)),IF(AND($L$37=0,$P$34=0),"",$L$37-1),IF($R$17="Distrato",$E424,0)),MIN(AU$38,$D$19),$P$20))-SUM($P424:AT424)</f>
        <v>#VALUE!</v>
      </c>
      <c r="AV424" s="446" t="e">
        <f>IF(OR($B424="",MIN(AV$38,$D$19)&lt;MAX($P$34*($B424+IF($R$17="Distrato",$I$38-1,0)),IF(AND($L$37=0,$P$34=0),"",$L$37-1),IF($R$17="Distrato",$E424,0))),0,YEARFRAC(MAX($P$34*($B424+IF($R$17="Distrato",$I$38-1,0)),IF(AND($L$37=0,$P$34=0),"",$L$37-1),IF($R$17="Distrato",$E424,0)),MIN(AV$38,$D$19),$P$20))-SUM($P424:AU424)</f>
        <v>#VALUE!</v>
      </c>
      <c r="AW424" s="446" t="e">
        <f>IF(OR($B424="",MIN(AW$38,$D$19)&lt;MAX($P$34*($B424+IF($R$17="Distrato",$I$38-1,0)),IF(AND($L$37=0,$P$34=0),"",$L$37-1),IF($R$17="Distrato",$E424,0))),0,YEARFRAC(MAX($P$34*($B424+IF($R$17="Distrato",$I$38-1,0)),IF(AND($L$37=0,$P$34=0),"",$L$37-1),IF($R$17="Distrato",$E424,0)),MIN(AW$38,$D$19),$P$20))-SUM($P424:AV424)</f>
        <v>#VALUE!</v>
      </c>
      <c r="AX424" s="446" t="e">
        <f>IF(OR($B424="",MIN(AX$38,$D$19)&lt;MAX($P$34*($B424+IF($R$17="Distrato",$I$38-1,0)),IF(AND($L$37=0,$P$34=0),"",$L$37-1),IF($R$17="Distrato",$E424,0))),0,YEARFRAC(MAX($P$34*($B424+IF($R$17="Distrato",$I$38-1,0)),IF(AND($L$37=0,$P$34=0),"",$L$37-1),IF($R$17="Distrato",$E424,0)),MIN(AX$38,$D$19),$P$20))-SUM($P424:AW424)</f>
        <v>#VALUE!</v>
      </c>
      <c r="AY424" s="446" t="e">
        <f>IF(OR($B424="",MIN(AY$38,$D$19)&lt;MAX($P$34*($B424+IF($R$17="Distrato",$I$38-1,0)),IF(AND($L$37=0,$P$34=0),"",$L$37-1),IF($R$17="Distrato",$E424,0))),0,YEARFRAC(MAX($P$34*($B424+IF($R$17="Distrato",$I$38-1,0)),IF(AND($L$37=0,$P$34=0),"",$L$37-1),IF($R$17="Distrato",$E424,0)),MIN(AY$38,$D$19),$P$20))-SUM($P424:AX424)</f>
        <v>#VALUE!</v>
      </c>
      <c r="AZ424" s="446" t="e">
        <f>IF(OR($B424="",MIN(AZ$38,$D$19)&lt;MAX($P$34*($B424+IF($R$17="Distrato",$I$38-1,0)),IF(AND($L$37=0,$P$34=0),"",$L$37-1),IF($R$17="Distrato",$E424,0))),0,YEARFRAC(MAX($P$34*($B424+IF($R$17="Distrato",$I$38-1,0)),IF(AND($L$37=0,$P$34=0),"",$L$37-1),IF($R$17="Distrato",$E424,0)),MIN(AZ$38,$D$19),$P$20))-SUM($P424:AY424)</f>
        <v>#VALUE!</v>
      </c>
      <c r="BA424" s="446" t="e">
        <f>IF(OR($B424="",MIN(BA$38,$D$19)&lt;MAX($P$34*($B424+IF($R$17="Distrato",$I$38-1,0)),IF(AND($L$37=0,$P$34=0),"",$L$37-1),IF($R$17="Distrato",$E424,0))),0,YEARFRAC(MAX($P$34*($B424+IF($R$17="Distrato",$I$38-1,0)),IF(AND($L$37=0,$P$34=0),"",$L$37-1),IF($R$17="Distrato",$E424,0)),MIN(BA$38,$D$19),$P$20))-SUM($P424:AZ424)</f>
        <v>#VALUE!</v>
      </c>
      <c r="BB424" s="447"/>
      <c r="BF424" s="446">
        <f t="shared" ref="BF424:BF487" si="76">IF($E424=0,0,IF(MIN(BF$38,$E424)&lt;MAX($P$34*($B424+$I$38-1),IF(AND($L$37=0,$P$34=0),"",$L$37-1)),0,YEARFRAC(MAX($P$34*($B424+$I$38-1),IF(AND($L$37=0,$P$34=0),"",$L$37-1)),MIN(BF$38,$E424),$P$20)))</f>
        <v>0</v>
      </c>
      <c r="BG424" s="446">
        <f>IF($E424=0,0,IF(MIN(BG$38,$E424)&lt;MAX($P$34*($B424+$I$38-1),IF(AND($L$37=0,$P$34=0),"",$L$37-1)),0,YEARFRAC(MAX($P$34*($B424+$I$38-1),IF(AND($L$37=0,$P$34=0),"",$L$37-1)),MIN(BG$38,$E424),$P$20))-SUM($BF424:BF424))</f>
        <v>0</v>
      </c>
      <c r="BH424" s="446">
        <f>IF($E424=0,0,IF(MIN(BH$38,$E424)&lt;MAX($P$34*($B424+$I$38-1),IF(AND($L$37=0,$P$34=0),"",$L$37-1)),0,YEARFRAC(MAX($P$34*($B424+$I$38-1),IF(AND($L$37=0,$P$34=0),"",$L$37-1)),MIN(BH$38,$E424),$P$20))-SUM($BF424:BG424))</f>
        <v>0</v>
      </c>
      <c r="BI424" s="446">
        <f>IF($E424=0,0,IF(MIN(BI$38,$E424)&lt;MAX($P$34*($B424+$I$38-1),IF(AND($L$37=0,$P$34=0),"",$L$37-1)),0,YEARFRAC(MAX($P$34*($B424+$I$38-1),IF(AND($L$37=0,$P$34=0),"",$L$37-1)),MIN(BI$38,$E424),$P$20))-SUM($BF424:BH424))</f>
        <v>0</v>
      </c>
      <c r="BJ424" s="446">
        <f>IF($E424=0,0,IF(MIN(BJ$38,$E424)&lt;MAX($P$34*($B424+$I$38-1),IF(AND($L$37=0,$P$34=0),"",$L$37-1)),0,YEARFRAC(MAX($P$34*($B424+$I$38-1),IF(AND($L$37=0,$P$34=0),"",$L$37-1)),MIN(BJ$38,$E424),$P$20))-SUM($BF424:BI424))</f>
        <v>0</v>
      </c>
      <c r="BK424" s="446">
        <f>IF($E424=0,0,IF(MIN(BK$38,$E424)&lt;MAX($P$34*($B424+$I$38-1),IF(AND($L$37=0,$P$34=0),"",$L$37-1)),0,YEARFRAC(MAX($P$34*($B424+$I$38-1),IF(AND($L$37=0,$P$34=0),"",$L$37-1)),MIN(BK$38,$E424),$P$20))-SUM($BF424:BJ424))</f>
        <v>0</v>
      </c>
      <c r="BL424" s="446">
        <f>IF($E424=0,0,IF(MIN(BL$38,$E424)&lt;MAX($P$34*($B424+$I$38-1),IF(AND($L$37=0,$P$34=0),"",$L$37-1)),0,YEARFRAC(MAX($P$34*($B424+$I$38-1),IF(AND($L$37=0,$P$34=0),"",$L$37-1)),MIN(BL$38,$E424),$P$20))-SUM($BF424:BK424))</f>
        <v>0</v>
      </c>
      <c r="BM424" s="446">
        <f>IF($E424=0,0,IF(MIN(BM$38,$E424)&lt;MAX($P$34*($B424+$I$38-1),IF(AND($L$37=0,$P$34=0),"",$L$37-1)),0,YEARFRAC(MAX($P$34*($B424+$I$38-1),IF(AND($L$37=0,$P$34=0),"",$L$37-1)),MIN(BM$38,$E424),$P$20))-SUM($BF424:BL424))</f>
        <v>0</v>
      </c>
      <c r="BN424" s="446">
        <f>IF($E424=0,0,IF(MIN(BN$38,$E424)&lt;MAX($P$34*($B424+$I$38-1),IF(AND($L$37=0,$P$34=0),"",$L$37-1)),0,YEARFRAC(MAX($P$34*($B424+$I$38-1),IF(AND($L$37=0,$P$34=0),"",$L$37-1)),MIN(BN$38,$E424),$P$20))-SUM($BF424:BM424))</f>
        <v>0</v>
      </c>
      <c r="BO424" s="446">
        <f>IF($E424=0,0,IF(MIN(BO$38,$E424)&lt;MAX($P$34*($B424+$I$38-1),IF(AND($L$37=0,$P$34=0),"",$L$37-1)),0,YEARFRAC(MAX($P$34*($B424+$I$38-1),IF(AND($L$37=0,$P$34=0),"",$L$37-1)),MIN(BO$38,$E424),$P$20))-SUM($BF424:BN424))</f>
        <v>0</v>
      </c>
      <c r="BP424" s="446">
        <f>IF($E424=0,0,IF(MIN(BP$38,$E424)&lt;MAX($P$34*($B424+$I$38-1),IF(AND($L$37=0,$P$34=0),"",$L$37-1)),0,YEARFRAC(MAX($P$34*($B424+$I$38-1),IF(AND($L$37=0,$P$34=0),"",$L$37-1)),MIN(BP$38,$E424),$P$20))-SUM($BF424:BO424))</f>
        <v>0</v>
      </c>
      <c r="BQ424" s="446">
        <f>IF($E424=0,0,IF(MIN(BQ$38,$E424)&lt;MAX($P$34*($B424+$I$38-1),IF(AND($L$37=0,$P$34=0),"",$L$37-1)),0,YEARFRAC(MAX($P$34*($B424+$I$38-1),IF(AND($L$37=0,$P$34=0),"",$L$37-1)),MIN(BQ$38,$E424),$P$20))-SUM($BF424:BP424))</f>
        <v>0</v>
      </c>
      <c r="BR424" s="446">
        <f>IF($E424=0,0,IF(MIN(BR$38,$E424)&lt;MAX($P$34*($B424+$I$38-1),IF(AND($L$37=0,$P$34=0),"",$L$37-1)),0,YEARFRAC(MAX($P$34*($B424+$I$38-1),IF(AND($L$37=0,$P$34=0),"",$L$37-1)),MIN(BR$38,$E424),$P$20))-SUM($BF424:BQ424))</f>
        <v>0</v>
      </c>
      <c r="BS424" s="446">
        <f>IF($E424=0,0,IF(MIN(BS$38,$E424)&lt;MAX($P$34*($B424+$I$38-1),IF(AND($L$37=0,$P$34=0),"",$L$37-1)),0,YEARFRAC(MAX($P$34*($B424+$I$38-1),IF(AND($L$37=0,$P$34=0),"",$L$37-1)),MIN(BS$38,$E424),$P$20))-SUM($BF424:BR424))</f>
        <v>0</v>
      </c>
      <c r="BT424" s="446">
        <f>IF($E424=0,0,IF(MIN(BT$38,$E424)&lt;MAX($P$34*($B424+$I$38-1),IF(AND($L$37=0,$P$34=0),"",$L$37-1)),0,YEARFRAC(MAX($P$34*($B424+$I$38-1),IF(AND($L$37=0,$P$34=0),"",$L$37-1)),MIN(BT$38,$E424),$P$20))-SUM($BF424:BS424))</f>
        <v>0</v>
      </c>
      <c r="BU424" s="446">
        <f>IF($E424=0,0,IF(MIN(BU$38,$E424)&lt;MAX($P$34*($B424+$I$38-1),IF(AND($L$37=0,$P$34=0),"",$L$37-1)),0,YEARFRAC(MAX($P$34*($B424+$I$38-1),IF(AND($L$37=0,$P$34=0),"",$L$37-1)),MIN(BU$38,$E424),$P$20))-SUM($BF424:BT424))</f>
        <v>0</v>
      </c>
      <c r="BV424" s="446">
        <f>IF($E424=0,0,IF(MIN(BV$38,$E424)&lt;MAX($P$34*($B424+$I$38-1),IF(AND($L$37=0,$P$34=0),"",$L$37-1)),0,YEARFRAC(MAX($P$34*($B424+$I$38-1),IF(AND($L$37=0,$P$34=0),"",$L$37-1)),MIN(BV$38,$E424),$P$20))-SUM($BF424:BU424))</f>
        <v>0</v>
      </c>
      <c r="BW424" s="446">
        <f>IF($E424=0,0,IF(MIN(BW$38,$E424)&lt;MAX($P$34*($B424+$I$38-1),IF(AND($L$37=0,$P$34=0),"",$L$37-1)),0,YEARFRAC(MAX($P$34*($B424+$I$38-1),IF(AND($L$37=0,$P$34=0),"",$L$37-1)),MIN(BW$38,$E424),$P$20))-SUM($BF424:BV424))</f>
        <v>0</v>
      </c>
      <c r="BX424" s="446">
        <f>IF($E424=0,0,IF(MIN(BX$38,$E424)&lt;MAX($P$34*($B424+$I$38-1),IF(AND($L$37=0,$P$34=0),"",$L$37-1)),0,YEARFRAC(MAX($P$34*($B424+$I$38-1),IF(AND($L$37=0,$P$34=0),"",$L$37-1)),MIN(BX$38,$E424),$P$20))-SUM($BF424:BW424))</f>
        <v>0</v>
      </c>
      <c r="BY424" s="446">
        <f>IF($E424=0,0,IF(MIN(BY$38,$E424)&lt;MAX($P$34*($B424+$I$38-1),IF(AND($L$37=0,$P$34=0),"",$L$37-1)),0,YEARFRAC(MAX($P$34*($B424+$I$38-1),IF(AND($L$37=0,$P$34=0),"",$L$37-1)),MIN(BY$38,$E424),$P$20))-SUM($BF424:BX424))</f>
        <v>0</v>
      </c>
      <c r="BZ424" s="446">
        <f>IF($E424=0,0,IF(MIN(BZ$38,$E424)&lt;MAX($P$34*($B424+$I$38-1),IF(AND($L$37=0,$P$34=0),"",$L$37-1)),0,YEARFRAC(MAX($P$34*($B424+$I$38-1),IF(AND($L$37=0,$P$34=0),"",$L$37-1)),MIN(BZ$38,$E424),$P$20))-SUM($BF424:BY424))</f>
        <v>0</v>
      </c>
      <c r="CA424" s="446">
        <f>IF($E424=0,0,IF(MIN(CA$38,$E424)&lt;MAX($P$34*($B424+$I$38-1),IF(AND($L$37=0,$P$34=0),"",$L$37-1)),0,YEARFRAC(MAX($P$34*($B424+$I$38-1),IF(AND($L$37=0,$P$34=0),"",$L$37-1)),MIN(CA$38,$E424),$P$20))-SUM($BF424:BZ424))</f>
        <v>0</v>
      </c>
      <c r="CB424" s="446">
        <f>IF($E424=0,0,IF(MIN(CB$38,$E424)&lt;MAX($P$34*($B424+$I$38-1),IF(AND($L$37=0,$P$34=0),"",$L$37-1)),0,YEARFRAC(MAX($P$34*($B424+$I$38-1),IF(AND($L$37=0,$P$34=0),"",$L$37-1)),MIN(CB$38,$E424),$P$20))-SUM($BF424:CA424))</f>
        <v>0</v>
      </c>
      <c r="CC424" s="446">
        <f>IF($E424=0,0,IF(MIN(CC$38,$E424)&lt;MAX($P$34*($B424+$I$38-1),IF(AND($L$37=0,$P$34=0),"",$L$37-1)),0,YEARFRAC(MAX($P$34*($B424+$I$38-1),IF(AND($L$37=0,$P$34=0),"",$L$37-1)),MIN(CC$38,$E424),$P$20))-SUM($BF424:CB424))</f>
        <v>0</v>
      </c>
      <c r="CD424" s="446">
        <f>IF($E424=0,0,IF(MIN(CD$38,$E424)&lt;MAX($P$34*($B424+$I$38-1),IF(AND($L$37=0,$P$34=0),"",$L$37-1)),0,YEARFRAC(MAX($P$34*($B424+$I$38-1),IF(AND($L$37=0,$P$34=0),"",$L$37-1)),MIN(CD$38,$E424),$P$20))-SUM($BF424:CC424))</f>
        <v>0</v>
      </c>
      <c r="CE424" s="446">
        <f>IF($E424=0,0,IF(MIN(CE$38,$E424)&lt;MAX($P$34*($B424+$I$38-1),IF(AND($L$37=0,$P$34=0),"",$L$37-1)),0,YEARFRAC(MAX($P$34*($B424+$I$38-1),IF(AND($L$37=0,$P$34=0),"",$L$37-1)),MIN(CE$38,$E424),$P$20))-SUM($BF424:CD424))</f>
        <v>0</v>
      </c>
      <c r="CF424" s="446">
        <f>IF($E424=0,0,IF(MIN(CF$38,$E424)&lt;MAX($P$34*($B424+$I$38-1),IF(AND($L$37=0,$P$34=0),"",$L$37-1)),0,YEARFRAC(MAX($P$34*($B424+$I$38-1),IF(AND($L$37=0,$P$34=0),"",$L$37-1)),MIN(CF$38,$E424),$P$20))-SUM($BF424:CE424))</f>
        <v>0</v>
      </c>
      <c r="CG424" s="446">
        <f>IF($E424=0,0,IF(MIN(CG$38,$E424)&lt;MAX($P$34*($B424+$I$38-1),IF(AND($L$37=0,$P$34=0),"",$L$37-1)),0,YEARFRAC(MAX($P$34*($B424+$I$38-1),IF(AND($L$37=0,$P$34=0),"",$L$37-1)),MIN(CG$38,$E424),$P$20))-SUM($BF424:CF424))</f>
        <v>0</v>
      </c>
      <c r="CH424" s="446">
        <f>IF($E424=0,0,IF(MIN(CH$38,$E424)&lt;MAX($P$34*($B424+$I$38-1),IF(AND($L$37=0,$P$34=0),"",$L$37-1)),0,YEARFRAC(MAX($P$34*($B424+$I$38-1),IF(AND($L$37=0,$P$34=0),"",$L$37-1)),MIN(CH$38,$E424),$P$20))-SUM($BF424:CG424))</f>
        <v>0</v>
      </c>
      <c r="CI424" s="446">
        <f>IF($E424=0,0,IF(MIN(CI$38,$E424)&lt;MAX($P$34*($B424+$I$38-1),IF(AND($L$37=0,$P$34=0),"",$L$37-1)),0,YEARFRAC(MAX($P$34*($B424+$I$38-1),IF(AND($L$37=0,$P$34=0),"",$L$37-1)),MIN(CI$38,$E424),$P$20))-SUM($BF424:CH424))</f>
        <v>0</v>
      </c>
      <c r="CJ424" s="446">
        <f>IF($E424=0,0,IF(MIN(CJ$38,$E424)&lt;MAX($P$34*($B424+$I$38-1),IF(AND($L$37=0,$P$34=0),"",$L$37-1)),0,YEARFRAC(MAX($P$34*($B424+$I$38-1),IF(AND($L$37=0,$P$34=0),"",$L$37-1)),MIN(CJ$38,$E424),$P$20))-SUM($BF424:CI424))</f>
        <v>0</v>
      </c>
      <c r="CK424" s="446">
        <f>IF($E424=0,0,IF(MIN(CK$38,$E424)&lt;MAX($P$34*($B424+$I$38-1),IF(AND($L$37=0,$P$34=0),"",$L$37-1)),0,YEARFRAC(MAX($P$34*($B424+$I$38-1),IF(AND($L$37=0,$P$34=0),"",$L$37-1)),MIN(CK$38,$E424),$P$20))-SUM($BF424:CJ424))</f>
        <v>0</v>
      </c>
      <c r="CL424" s="446">
        <f>IF($E424=0,0,IF(MIN(CL$38,$E424)&lt;MAX($P$34*($B424+$I$38-1),IF(AND($L$37=0,$P$34=0),"",$L$37-1)),0,YEARFRAC(MAX($P$34*($B424+$I$38-1),IF(AND($L$37=0,$P$34=0),"",$L$37-1)),MIN(CL$38,$E424),$P$20))-SUM($BF424:CK424))</f>
        <v>0</v>
      </c>
      <c r="CM424" s="446">
        <f>IF($E424=0,0,IF(MIN(CM$38,$E424)&lt;MAX($P$34*($B424+$I$38-1),IF(AND($L$37=0,$P$34=0),"",$L$37-1)),0,YEARFRAC(MAX($P$34*($B424+$I$38-1),IF(AND($L$37=0,$P$34=0),"",$L$37-1)),MIN(CM$38,$E424),$P$20))-SUM($BF424:CL424))</f>
        <v>0</v>
      </c>
      <c r="CN424" s="446">
        <f>IF($E424=0,0,IF(MIN(CN$38,$E424)&lt;MAX($P$34*($B424+$I$38-1),IF(AND($L$37=0,$P$34=0),"",$L$37-1)),0,YEARFRAC(MAX($P$34*($B424+$I$38-1),IF(AND($L$37=0,$P$34=0),"",$L$37-1)),MIN(CN$38,$E424),$P$20))-SUM($BF424:CM424))</f>
        <v>0</v>
      </c>
      <c r="CO424" s="446">
        <f>IF($E424=0,0,IF(MIN(CO$38,$E424)&lt;MAX($P$34*($B424+$I$38-1),IF(AND($L$37=0,$P$34=0),"",$L$37-1)),0,YEARFRAC(MAX($P$34*($B424+$I$38-1),IF(AND($L$37=0,$P$34=0),"",$L$37-1)),MIN(CO$38,$E424),$P$20))-SUM($BF424:CN424))</f>
        <v>0</v>
      </c>
      <c r="CP424" s="446">
        <f>IF($E424=0,0,IF(MIN(CP$38,$E424)&lt;MAX($P$34*($B424+$I$38-1),IF(AND($L$37=0,$P$34=0),"",$L$37-1)),0,YEARFRAC(MAX($P$34*($B424+$I$38-1),IF(AND($L$37=0,$P$34=0),"",$L$37-1)),MIN(CP$38,$E424),$P$20))-SUM($BF424:CO424))</f>
        <v>0</v>
      </c>
      <c r="CQ424" s="446">
        <f>IF($E424=0,0,IF(MIN(CQ$38,$E424)&lt;MAX($P$34*($B424+$I$38-1),IF(AND($L$37=0,$P$34=0),"",$L$37-1)),0,YEARFRAC(MAX($P$34*($B424+$I$38-1),IF(AND($L$37=0,$P$34=0),"",$L$37-1)),MIN(CQ$38,$E424),$P$20))-SUM($BF424:CP424))</f>
        <v>0</v>
      </c>
    </row>
    <row r="425" spans="1:95" s="446" customFormat="1" ht="11.25" hidden="1" customHeight="1" x14ac:dyDescent="0.2">
      <c r="A425" s="152"/>
      <c r="B425" s="153" t="str">
        <f t="shared" si="70"/>
        <v/>
      </c>
      <c r="C425" s="29" t="str">
        <f>IF(B425="","",IF($L$35="SELIC - TRIBUTOS",VLOOKUP(DATE(YEAR($D$19),MONTH($D$19)-1,1),ÍNDICES!$A:$DE,HLOOKUP($BL$25,ÍNDICES!$B$3:$T$4,2)+11)-VLOOKUP(B425,ÍNDICES!$A:$DE,HLOOKUP($BL$25,ÍNDICES!$B$3:$T$4,2)+11)+1%,IF(C$38=$W$26,$J$35,IF(ISERROR(IF(B425&gt;$D$19,1,VLOOKUP(DATE(YEAR(B425),MONTH(B425)+IF($C$35=$S$23,1,0),1),ÍNDICES!$A:$DE,$Z$35+1))),"",IF(B425&gt;$D$19,1,VLOOKUP(DATE(YEAR(B425),MONTH(B425)+IF($C$35=$S$23,1,0),1),ÍNDICES!$A:$DE,$Z$35+1))))))</f>
        <v/>
      </c>
      <c r="D425" s="154" t="str">
        <f>IF(ISERROR(IF(OR($D$38=$Y$27,$B425=""),"",VLOOKUP(B425,ÍNDICES!A:DE,AF$35+1))),"",IF(OR($D$38=$Y$27,$B425=""),"",VLOOKUP(B425,ÍNDICES!A:DE,AF$35+1)))</f>
        <v/>
      </c>
      <c r="E425" s="153"/>
      <c r="F425" s="29" t="str">
        <f>IF(E425="","",IF($L$35="SELIC - TRIBUTOS",VLOOKUP(DATE(YEAR($D$19),MONTH($D$19)-1,1),ÍNDICES!$A:$DE,HLOOKUP($BL$25,ÍNDICES!$B$3:$T$4,2)+11)-VLOOKUP(E425,ÍNDICES!$A:$DE,HLOOKUP($BL$25,ÍNDICES!$B$3:$T$4,2)+11)+1%,IF(F$38=$W$26,$J$35,IF(ISERROR(IF(E425&gt;$D$19,1,VLOOKUP(DATE(YEAR(E425),MONTH(E425)+IF($C$35=$S$23,1,0),1),ÍNDICES!$A:$DE,$Z$35+1))),"",IF(E425&gt;$D$19,1,VLOOKUP(DATE(YEAR(E425),MONTH(E425)+IF($C$35=$S$23,1,0),1),ÍNDICES!$A:$DE,$Z$35+1))))))</f>
        <v/>
      </c>
      <c r="G425" s="155"/>
      <c r="H425" s="156" t="str">
        <f t="shared" ref="H425:H488" si="77">IF(E425="",IF(D425="","",D425),IF(ISERROR(D425/(IF(E425&lt;B425,1,C425/F425))-G425),-G425,D425/(IF(E425&lt;B425,1,C425/F425))-G425))</f>
        <v/>
      </c>
      <c r="I425" s="29" t="str">
        <f t="shared" si="71"/>
        <v/>
      </c>
      <c r="J425" s="5">
        <f t="shared" si="72"/>
        <v>0</v>
      </c>
      <c r="K425" s="20">
        <f t="shared" ca="1" si="73"/>
        <v>0</v>
      </c>
      <c r="L425" s="5">
        <f t="shared" ca="1" si="74"/>
        <v>0</v>
      </c>
      <c r="M425" s="64">
        <f t="shared" ref="M425:M488" si="78">IFERROR(SUM(P425:BA425),0)</f>
        <v>0</v>
      </c>
      <c r="N425" s="61">
        <f t="shared" ref="N425:N488" ca="1" si="79">IFERROR($N$38*(K425+IF(OR(L$35="SELIC - TRIBUTOS",$N$37="sobre principal"),0,J425+L425)),0)</f>
        <v>0</v>
      </c>
      <c r="O425" s="5">
        <f t="shared" ref="O425:O488" ca="1" si="80">IF(ISERROR((K425+J425+L425+N425)*O$38),"",(K425+J425+L425+N425)*O$38)</f>
        <v>0</v>
      </c>
      <c r="P425" s="446" t="e">
        <f t="shared" si="75"/>
        <v>#VALUE!</v>
      </c>
      <c r="Q425" s="446" t="e">
        <f>IF(OR($B425="",MIN(Q$38,$D$19)&lt;MAX($P$34*($B425+IF($R$17="Distrato",$I$38-1,0)),IF(AND($L$37=0,$P$34=0),"",$L$37-1),IF($R$17="Distrato",$E425,0))),0,YEARFRAC(MAX($P$34*($B425+IF($R$17="Distrato",$I$38-1,0)),IF(AND($L$37=0,$P$34=0),"",$L$37-1),IF($R$17="Distrato",$E425,0)),MIN(Q$38,$D$19),$P$20))-SUM($P425:P425)</f>
        <v>#VALUE!</v>
      </c>
      <c r="R425" s="446" t="e">
        <f>IF(OR($B425="",MIN(R$38,$D$19)&lt;MAX($P$34*($B425+IF($R$17="Distrato",$I$38-1,0)),IF(AND($L$37=0,$P$34=0),"",$L$37-1),IF($R$17="Distrato",$E425,0))),0,YEARFRAC(MAX($P$34*($B425+IF($R$17="Distrato",$I$38-1,0)),IF(AND($L$37=0,$P$34=0),"",$L$37-1),IF($R$17="Distrato",$E425,0)),MIN(R$38,$D$19),$P$20))-SUM($P425:Q425)</f>
        <v>#VALUE!</v>
      </c>
      <c r="S425" s="446" t="e">
        <f>IF(OR($B425="",MIN(S$38,$D$19)&lt;MAX($P$34*($B425+IF($R$17="Distrato",$I$38-1,0)),IF(AND($L$37=0,$P$34=0),"",$L$37-1),IF($R$17="Distrato",$E425,0))),0,YEARFRAC(MAX($P$34*($B425+IF($R$17="Distrato",$I$38-1,0)),IF(AND($L$37=0,$P$34=0),"",$L$37-1),IF($R$17="Distrato",$E425,0)),MIN(S$38,$D$19),$P$20))-SUM($P425:R425)</f>
        <v>#VALUE!</v>
      </c>
      <c r="T425" s="446" t="e">
        <f>IF(OR($B425="",MIN(T$38,$D$19)&lt;MAX($P$34*($B425+IF($R$17="Distrato",$I$38-1,0)),IF(AND($L$37=0,$P$34=0),"",$L$37-1),IF($R$17="Distrato",$E425,0))),0,YEARFRAC(MAX($P$34*($B425+IF($R$17="Distrato",$I$38-1,0)),IF(AND($L$37=0,$P$34=0),"",$L$37-1),IF($R$17="Distrato",$E425,0)),MIN(T$38,$D$19),$P$20))-SUM($P425:S425)</f>
        <v>#VALUE!</v>
      </c>
      <c r="U425" s="446" t="e">
        <f>IF(OR($B425="",MIN(U$38,$D$19)&lt;MAX($P$34*($B425+IF($R$17="Distrato",$I$38-1,0)),IF(AND($L$37=0,$P$34=0),"",$L$37-1),IF($R$17="Distrato",$E425,0))),0,YEARFRAC(MAX($P$34*($B425+IF($R$17="Distrato",$I$38-1,0)),IF(AND($L$37=0,$P$34=0),"",$L$37-1),IF($R$17="Distrato",$E425,0)),MIN(U$38,$D$19),$P$20))-SUM($P425:T425)</f>
        <v>#VALUE!</v>
      </c>
      <c r="V425" s="446" t="e">
        <f>IF(OR($B425="",MIN(V$38,$D$19)&lt;MAX($P$34*($B425+IF($R$17="Distrato",$I$38-1,0)),IF(AND($L$37=0,$P$34=0),"",$L$37-1),IF($R$17="Distrato",$E425,0))),0,YEARFRAC(MAX($P$34*($B425+IF($R$17="Distrato",$I$38-1,0)),IF(AND($L$37=0,$P$34=0),"",$L$37-1),IF($R$17="Distrato",$E425,0)),MIN(V$38,$D$19),$P$20))-SUM($P425:U425)</f>
        <v>#VALUE!</v>
      </c>
      <c r="W425" s="446" t="e">
        <f>IF(OR($B425="",MIN(W$38,$D$19)&lt;MAX($P$34*($B425+IF($R$17="Distrato",$I$38-1,0)),IF(AND($L$37=0,$P$34=0),"",$L$37-1),IF($R$17="Distrato",$E425,0))),0,YEARFRAC(MAX($P$34*($B425+IF($R$17="Distrato",$I$38-1,0)),IF(AND($L$37=0,$P$34=0),"",$L$37-1),IF($R$17="Distrato",$E425,0)),MIN(W$38,$D$19),$P$20))-SUM($P425:V425)</f>
        <v>#VALUE!</v>
      </c>
      <c r="X425" s="446" t="e">
        <f>IF(OR($B425="",MIN(X$38,$D$19)&lt;MAX($P$34*($B425+IF($R$17="Distrato",$I$38-1,0)),IF(AND($L$37=0,$P$34=0),"",$L$37-1),IF($R$17="Distrato",$E425,0))),0,YEARFRAC(MAX($P$34*($B425+IF($R$17="Distrato",$I$38-1,0)),IF(AND($L$37=0,$P$34=0),"",$L$37-1),IF($R$17="Distrato",$E425,0)),MIN(X$38,$D$19),$P$20))-SUM($P425:W425)</f>
        <v>#VALUE!</v>
      </c>
      <c r="Y425" s="446" t="e">
        <f>IF(OR($B425="",MIN(Y$38,$D$19)&lt;MAX($P$34*($B425+IF($R$17="Distrato",$I$38-1,0)),IF(AND($L$37=0,$P$34=0),"",$L$37-1),IF($R$17="Distrato",$E425,0))),0,YEARFRAC(MAX($P$34*($B425+IF($R$17="Distrato",$I$38-1,0)),IF(AND($L$37=0,$P$34=0),"",$L$37-1),IF($R$17="Distrato",$E425,0)),MIN(Y$38,$D$19),$P$20))-SUM($P425:X425)</f>
        <v>#VALUE!</v>
      </c>
      <c r="Z425" s="446" t="e">
        <f>IF(OR($B425="",MIN(Z$38,$D$19)&lt;MAX($P$34*($B425+IF($R$17="Distrato",$I$38-1,0)),IF(AND($L$37=0,$P$34=0),"",$L$37-1),IF($R$17="Distrato",$E425,0))),0,YEARFRAC(MAX($P$34*($B425+IF($R$17="Distrato",$I$38-1,0)),IF(AND($L$37=0,$P$34=0),"",$L$37-1),IF($R$17="Distrato",$E425,0)),MIN(Z$38,$D$19),$P$20))-SUM($P425:Y425)</f>
        <v>#VALUE!</v>
      </c>
      <c r="AA425" s="446" t="e">
        <f>IF(OR($B425="",MIN(AA$38,$D$19)&lt;MAX($P$34*($B425+IF($R$17="Distrato",$I$38-1,0)),IF(AND($L$37=0,$P$34=0),"",$L$37-1),IF($R$17="Distrato",$E425,0))),0,YEARFRAC(MAX($P$34*($B425+IF($R$17="Distrato",$I$38-1,0)),IF(AND($L$37=0,$P$34=0),"",$L$37-1),IF($R$17="Distrato",$E425,0)),MIN(AA$38,$D$19),$P$20))-SUM($P425:Z425)</f>
        <v>#VALUE!</v>
      </c>
      <c r="AB425" s="446" t="e">
        <f>IF(OR($B425="",MIN(AB$38,$D$19)&lt;MAX($P$34*($B425+IF($R$17="Distrato",$I$38-1,0)),IF(AND($L$37=0,$P$34=0),"",$L$37-1),IF($R$17="Distrato",$E425,0))),0,YEARFRAC(MAX($P$34*($B425+IF($R$17="Distrato",$I$38-1,0)),IF(AND($L$37=0,$P$34=0),"",$L$37-1),IF($R$17="Distrato",$E425,0)),MIN(AB$38,$D$19),$P$20))-SUM($P425:AA425)</f>
        <v>#VALUE!</v>
      </c>
      <c r="AC425" s="446" t="e">
        <f>IF(OR($B425="",MIN(AC$38,$D$19)&lt;MAX($P$34*($B425+IF($R$17="Distrato",$I$38-1,0)),IF(AND($L$37=0,$P$34=0),"",$L$37-1),IF($R$17="Distrato",$E425,0))),0,YEARFRAC(MAX($P$34*($B425+IF($R$17="Distrato",$I$38-1,0)),IF(AND($L$37=0,$P$34=0),"",$L$37-1),IF($R$17="Distrato",$E425,0)),MIN(AC$38,$D$19),$P$20))-SUM($P425:AB425)</f>
        <v>#VALUE!</v>
      </c>
      <c r="AD425" s="446" t="e">
        <f>IF(OR($B425="",MIN(AD$38,$D$19)&lt;MAX($P$34*($B425+IF($R$17="Distrato",$I$38-1,0)),IF(AND($L$37=0,$P$34=0),"",$L$37-1),IF($R$17="Distrato",$E425,0))),0,YEARFRAC(MAX($P$34*($B425+IF($R$17="Distrato",$I$38-1,0)),IF(AND($L$37=0,$P$34=0),"",$L$37-1),IF($R$17="Distrato",$E425,0)),MIN(AD$38,$D$19),$P$20))-SUM($P425:AC425)</f>
        <v>#VALUE!</v>
      </c>
      <c r="AE425" s="446" t="e">
        <f>IF(OR($B425="",MIN(AE$38,$D$19)&lt;MAX($P$34*($B425+IF($R$17="Distrato",$I$38-1,0)),IF(AND($L$37=0,$P$34=0),"",$L$37-1),IF($R$17="Distrato",$E425,0))),0,YEARFRAC(MAX($P$34*($B425+IF($R$17="Distrato",$I$38-1,0)),IF(AND($L$37=0,$P$34=0),"",$L$37-1),IF($R$17="Distrato",$E425,0)),MIN(AE$38,$D$19),$P$20))-SUM($P425:AD425)</f>
        <v>#VALUE!</v>
      </c>
      <c r="AF425" s="446" t="e">
        <f>IF(OR($B425="",MIN(AF$38,$D$19)&lt;MAX($P$34*($B425+IF($R$17="Distrato",$I$38-1,0)),IF(AND($L$37=0,$P$34=0),"",$L$37-1),IF($R$17="Distrato",$E425,0))),0,YEARFRAC(MAX($P$34*($B425+IF($R$17="Distrato",$I$38-1,0)),IF(AND($L$37=0,$P$34=0),"",$L$37-1),IF($R$17="Distrato",$E425,0)),MIN(AF$38,$D$19),$P$20))-SUM($P425:AE425)</f>
        <v>#VALUE!</v>
      </c>
      <c r="AG425" s="446" t="e">
        <f>IF(OR($B425="",MIN(AG$38,$D$19)&lt;MAX($P$34*($B425+IF($R$17="Distrato",$I$38-1,0)),IF(AND($L$37=0,$P$34=0),"",$L$37-1),IF($R$17="Distrato",$E425,0))),0,YEARFRAC(MAX($P$34*($B425+IF($R$17="Distrato",$I$38-1,0)),IF(AND($L$37=0,$P$34=0),"",$L$37-1),IF($R$17="Distrato",$E425,0)),MIN(AG$38,$D$19),$P$20))-SUM($P425:AF425)</f>
        <v>#VALUE!</v>
      </c>
      <c r="AH425" s="446" t="e">
        <f>IF(OR($B425="",MIN(AH$38,$D$19)&lt;MAX($P$34*($B425+IF($R$17="Distrato",$I$38-1,0)),IF(AND($L$37=0,$P$34=0),"",$L$37-1),IF($R$17="Distrato",$E425,0))),0,YEARFRAC(MAX($P$34*($B425+IF($R$17="Distrato",$I$38-1,0)),IF(AND($L$37=0,$P$34=0),"",$L$37-1),IF($R$17="Distrato",$E425,0)),MIN(AH$38,$D$19),$P$20))-SUM($P425:AG425)</f>
        <v>#VALUE!</v>
      </c>
      <c r="AI425" s="446" t="e">
        <f>IF(OR($B425="",MIN(AI$38,$D$19)&lt;MAX($P$34*($B425+IF($R$17="Distrato",$I$38-1,0)),IF(AND($L$37=0,$P$34=0),"",$L$37-1),IF($R$17="Distrato",$E425,0))),0,YEARFRAC(MAX($P$34*($B425+IF($R$17="Distrato",$I$38-1,0)),IF(AND($L$37=0,$P$34=0),"",$L$37-1),IF($R$17="Distrato",$E425,0)),MIN(AI$38,$D$19),$P$20))-SUM($P425:AH425)</f>
        <v>#VALUE!</v>
      </c>
      <c r="AJ425" s="446" t="e">
        <f>IF(OR($B425="",MIN(AJ$38,$D$19)&lt;MAX($P$34*($B425+IF($R$17="Distrato",$I$38-1,0)),IF(AND($L$37=0,$P$34=0),"",$L$37-1),IF($R$17="Distrato",$E425,0))),0,YEARFRAC(MAX($P$34*($B425+IF($R$17="Distrato",$I$38-1,0)),IF(AND($L$37=0,$P$34=0),"",$L$37-1),IF($R$17="Distrato",$E425,0)),MIN(AJ$38,$D$19),$P$20))-SUM($P425:AI425)</f>
        <v>#VALUE!</v>
      </c>
      <c r="AK425" s="446" t="e">
        <f>IF(OR($B425="",MIN(AK$38,$D$19)&lt;MAX($P$34*($B425+IF($R$17="Distrato",$I$38-1,0)),IF(AND($L$37=0,$P$34=0),"",$L$37-1),IF($R$17="Distrato",$E425,0))),0,YEARFRAC(MAX($P$34*($B425+IF($R$17="Distrato",$I$38-1,0)),IF(AND($L$37=0,$P$34=0),"",$L$37-1),IF($R$17="Distrato",$E425,0)),MIN(AK$38,$D$19),$P$20))-SUM($P425:AJ425)</f>
        <v>#VALUE!</v>
      </c>
      <c r="AL425" s="446" t="e">
        <f>IF(OR($B425="",MIN(AL$38,$D$19)&lt;MAX($P$34*($B425+IF($R$17="Distrato",$I$38-1,0)),IF(AND($L$37=0,$P$34=0),"",$L$37-1),IF($R$17="Distrato",$E425,0))),0,YEARFRAC(MAX($P$34*($B425+IF($R$17="Distrato",$I$38-1,0)),IF(AND($L$37=0,$P$34=0),"",$L$37-1),IF($R$17="Distrato",$E425,0)),MIN(AL$38,$D$19),$P$20))-SUM($P425:AK425)</f>
        <v>#VALUE!</v>
      </c>
      <c r="AM425" s="446" t="e">
        <f>IF(OR($B425="",MIN(AM$38,$D$19)&lt;MAX($P$34*($B425+IF($R$17="Distrato",$I$38-1,0)),IF(AND($L$37=0,$P$34=0),"",$L$37-1),IF($R$17="Distrato",$E425,0))),0,YEARFRAC(MAX($P$34*($B425+IF($R$17="Distrato",$I$38-1,0)),IF(AND($L$37=0,$P$34=0),"",$L$37-1),IF($R$17="Distrato",$E425,0)),MIN(AM$38,$D$19),$P$20))-SUM($P425:AL425)</f>
        <v>#VALUE!</v>
      </c>
      <c r="AN425" s="446" t="e">
        <f>IF(OR($B425="",MIN(AN$38,$D$19)&lt;MAX($P$34*($B425+IF($R$17="Distrato",$I$38-1,0)),IF(AND($L$37=0,$P$34=0),"",$L$37-1),IF($R$17="Distrato",$E425,0))),0,YEARFRAC(MAX($P$34*($B425+IF($R$17="Distrato",$I$38-1,0)),IF(AND($L$37=0,$P$34=0),"",$L$37-1),IF($R$17="Distrato",$E425,0)),MIN(AN$38,$D$19),$P$20))-SUM($P425:AM425)</f>
        <v>#VALUE!</v>
      </c>
      <c r="AO425" s="446" t="e">
        <f>IF(OR($B425="",MIN(AO$38,$D$19)&lt;MAX($P$34*($B425+IF($R$17="Distrato",$I$38-1,0)),IF(AND($L$37=0,$P$34=0),"",$L$37-1),IF($R$17="Distrato",$E425,0))),0,YEARFRAC(MAX($P$34*($B425+IF($R$17="Distrato",$I$38-1,0)),IF(AND($L$37=0,$P$34=0),"",$L$37-1),IF($R$17="Distrato",$E425,0)),MIN(AO$38,$D$19),$P$20))-SUM($P425:AN425)</f>
        <v>#VALUE!</v>
      </c>
      <c r="AP425" s="446" t="e">
        <f>IF(OR($B425="",MIN(AP$38,$D$19)&lt;MAX($P$34*($B425+IF($R$17="Distrato",$I$38-1,0)),IF(AND($L$37=0,$P$34=0),"",$L$37-1),IF($R$17="Distrato",$E425,0))),0,YEARFRAC(MAX($P$34*($B425+IF($R$17="Distrato",$I$38-1,0)),IF(AND($L$37=0,$P$34=0),"",$L$37-1),IF($R$17="Distrato",$E425,0)),MIN(AP$38,$D$19),$P$20))-SUM($P425:AO425)</f>
        <v>#VALUE!</v>
      </c>
      <c r="AQ425" s="446" t="e">
        <f>IF(OR($B425="",MIN(AQ$38,$D$19)&lt;MAX($P$34*($B425+IF($R$17="Distrato",$I$38-1,0)),IF(AND($L$37=0,$P$34=0),"",$L$37-1),IF($R$17="Distrato",$E425,0))),0,YEARFRAC(MAX($P$34*($B425+IF($R$17="Distrato",$I$38-1,0)),IF(AND($L$37=0,$P$34=0),"",$L$37-1),IF($R$17="Distrato",$E425,0)),MIN(AQ$38,$D$19),$P$20))-SUM($P425:AP425)</f>
        <v>#VALUE!</v>
      </c>
      <c r="AR425" s="446" t="e">
        <f>IF(OR($B425="",MIN(AR$38,$D$19)&lt;MAX($P$34*($B425+IF($R$17="Distrato",$I$38-1,0)),IF(AND($L$37=0,$P$34=0),"",$L$37-1),IF($R$17="Distrato",$E425,0))),0,YEARFRAC(MAX($P$34*($B425+IF($R$17="Distrato",$I$38-1,0)),IF(AND($L$37=0,$P$34=0),"",$L$37-1),IF($R$17="Distrato",$E425,0)),MIN(AR$38,$D$19),$P$20))-SUM($P425:AQ425)</f>
        <v>#VALUE!</v>
      </c>
      <c r="AS425" s="446" t="e">
        <f>IF(OR($B425="",MIN(AS$38,$D$19)&lt;MAX($P$34*($B425+IF($R$17="Distrato",$I$38-1,0)),IF(AND($L$37=0,$P$34=0),"",$L$37-1),IF($R$17="Distrato",$E425,0))),0,YEARFRAC(MAX($P$34*($B425+IF($R$17="Distrato",$I$38-1,0)),IF(AND($L$37=0,$P$34=0),"",$L$37-1),IF($R$17="Distrato",$E425,0)),MIN(AS$38,$D$19),$P$20))-SUM($P425:AR425)</f>
        <v>#VALUE!</v>
      </c>
      <c r="AT425" s="446" t="e">
        <f>IF(OR($B425="",MIN(AT$38,$D$19)&lt;MAX($P$34*($B425+IF($R$17="Distrato",$I$38-1,0)),IF(AND($L$37=0,$P$34=0),"",$L$37-1),IF($R$17="Distrato",$E425,0))),0,YEARFRAC(MAX($P$34*($B425+IF($R$17="Distrato",$I$38-1,0)),IF(AND($L$37=0,$P$34=0),"",$L$37-1),IF($R$17="Distrato",$E425,0)),MIN(AT$38,$D$19),$P$20))-SUM($P425:AS425)</f>
        <v>#VALUE!</v>
      </c>
      <c r="AU425" s="446" t="e">
        <f>IF(OR($B425="",MIN(AU$38,$D$19)&lt;MAX($P$34*($B425+IF($R$17="Distrato",$I$38-1,0)),IF(AND($L$37=0,$P$34=0),"",$L$37-1),IF($R$17="Distrato",$E425,0))),0,YEARFRAC(MAX($P$34*($B425+IF($R$17="Distrato",$I$38-1,0)),IF(AND($L$37=0,$P$34=0),"",$L$37-1),IF($R$17="Distrato",$E425,0)),MIN(AU$38,$D$19),$P$20))-SUM($P425:AT425)</f>
        <v>#VALUE!</v>
      </c>
      <c r="AV425" s="446" t="e">
        <f>IF(OR($B425="",MIN(AV$38,$D$19)&lt;MAX($P$34*($B425+IF($R$17="Distrato",$I$38-1,0)),IF(AND($L$37=0,$P$34=0),"",$L$37-1),IF($R$17="Distrato",$E425,0))),0,YEARFRAC(MAX($P$34*($B425+IF($R$17="Distrato",$I$38-1,0)),IF(AND($L$37=0,$P$34=0),"",$L$37-1),IF($R$17="Distrato",$E425,0)),MIN(AV$38,$D$19),$P$20))-SUM($P425:AU425)</f>
        <v>#VALUE!</v>
      </c>
      <c r="AW425" s="446" t="e">
        <f>IF(OR($B425="",MIN(AW$38,$D$19)&lt;MAX($P$34*($B425+IF($R$17="Distrato",$I$38-1,0)),IF(AND($L$37=0,$P$34=0),"",$L$37-1),IF($R$17="Distrato",$E425,0))),0,YEARFRAC(MAX($P$34*($B425+IF($R$17="Distrato",$I$38-1,0)),IF(AND($L$37=0,$P$34=0),"",$L$37-1),IF($R$17="Distrato",$E425,0)),MIN(AW$38,$D$19),$P$20))-SUM($P425:AV425)</f>
        <v>#VALUE!</v>
      </c>
      <c r="AX425" s="446" t="e">
        <f>IF(OR($B425="",MIN(AX$38,$D$19)&lt;MAX($P$34*($B425+IF($R$17="Distrato",$I$38-1,0)),IF(AND($L$37=0,$P$34=0),"",$L$37-1),IF($R$17="Distrato",$E425,0))),0,YEARFRAC(MAX($P$34*($B425+IF($R$17="Distrato",$I$38-1,0)),IF(AND($L$37=0,$P$34=0),"",$L$37-1),IF($R$17="Distrato",$E425,0)),MIN(AX$38,$D$19),$P$20))-SUM($P425:AW425)</f>
        <v>#VALUE!</v>
      </c>
      <c r="AY425" s="446" t="e">
        <f>IF(OR($B425="",MIN(AY$38,$D$19)&lt;MAX($P$34*($B425+IF($R$17="Distrato",$I$38-1,0)),IF(AND($L$37=0,$P$34=0),"",$L$37-1),IF($R$17="Distrato",$E425,0))),0,YEARFRAC(MAX($P$34*($B425+IF($R$17="Distrato",$I$38-1,0)),IF(AND($L$37=0,$P$34=0),"",$L$37-1),IF($R$17="Distrato",$E425,0)),MIN(AY$38,$D$19),$P$20))-SUM($P425:AX425)</f>
        <v>#VALUE!</v>
      </c>
      <c r="AZ425" s="446" t="e">
        <f>IF(OR($B425="",MIN(AZ$38,$D$19)&lt;MAX($P$34*($B425+IF($R$17="Distrato",$I$38-1,0)),IF(AND($L$37=0,$P$34=0),"",$L$37-1),IF($R$17="Distrato",$E425,0))),0,YEARFRAC(MAX($P$34*($B425+IF($R$17="Distrato",$I$38-1,0)),IF(AND($L$37=0,$P$34=0),"",$L$37-1),IF($R$17="Distrato",$E425,0)),MIN(AZ$38,$D$19),$P$20))-SUM($P425:AY425)</f>
        <v>#VALUE!</v>
      </c>
      <c r="BA425" s="446" t="e">
        <f>IF(OR($B425="",MIN(BA$38,$D$19)&lt;MAX($P$34*($B425+IF($R$17="Distrato",$I$38-1,0)),IF(AND($L$37=0,$P$34=0),"",$L$37-1),IF($R$17="Distrato",$E425,0))),0,YEARFRAC(MAX($P$34*($B425+IF($R$17="Distrato",$I$38-1,0)),IF(AND($L$37=0,$P$34=0),"",$L$37-1),IF($R$17="Distrato",$E425,0)),MIN(BA$38,$D$19),$P$20))-SUM($P425:AZ425)</f>
        <v>#VALUE!</v>
      </c>
      <c r="BB425" s="447"/>
      <c r="BF425" s="446">
        <f t="shared" si="76"/>
        <v>0</v>
      </c>
      <c r="BG425" s="446">
        <f>IF($E425=0,0,IF(MIN(BG$38,$E425)&lt;MAX($P$34*($B425+$I$38-1),IF(AND($L$37=0,$P$34=0),"",$L$37-1)),0,YEARFRAC(MAX($P$34*($B425+$I$38-1),IF(AND($L$37=0,$P$34=0),"",$L$37-1)),MIN(BG$38,$E425),$P$20))-SUM($BF425:BF425))</f>
        <v>0</v>
      </c>
      <c r="BH425" s="446">
        <f>IF($E425=0,0,IF(MIN(BH$38,$E425)&lt;MAX($P$34*($B425+$I$38-1),IF(AND($L$37=0,$P$34=0),"",$L$37-1)),0,YEARFRAC(MAX($P$34*($B425+$I$38-1),IF(AND($L$37=0,$P$34=0),"",$L$37-1)),MIN(BH$38,$E425),$P$20))-SUM($BF425:BG425))</f>
        <v>0</v>
      </c>
      <c r="BI425" s="446">
        <f>IF($E425=0,0,IF(MIN(BI$38,$E425)&lt;MAX($P$34*($B425+$I$38-1),IF(AND($L$37=0,$P$34=0),"",$L$37-1)),0,YEARFRAC(MAX($P$34*($B425+$I$38-1),IF(AND($L$37=0,$P$34=0),"",$L$37-1)),MIN(BI$38,$E425),$P$20))-SUM($BF425:BH425))</f>
        <v>0</v>
      </c>
      <c r="BJ425" s="446">
        <f>IF($E425=0,0,IF(MIN(BJ$38,$E425)&lt;MAX($P$34*($B425+$I$38-1),IF(AND($L$37=0,$P$34=0),"",$L$37-1)),0,YEARFRAC(MAX($P$34*($B425+$I$38-1),IF(AND($L$37=0,$P$34=0),"",$L$37-1)),MIN(BJ$38,$E425),$P$20))-SUM($BF425:BI425))</f>
        <v>0</v>
      </c>
      <c r="BK425" s="446">
        <f>IF($E425=0,0,IF(MIN(BK$38,$E425)&lt;MAX($P$34*($B425+$I$38-1),IF(AND($L$37=0,$P$34=0),"",$L$37-1)),0,YEARFRAC(MAX($P$34*($B425+$I$38-1),IF(AND($L$37=0,$P$34=0),"",$L$37-1)),MIN(BK$38,$E425),$P$20))-SUM($BF425:BJ425))</f>
        <v>0</v>
      </c>
      <c r="BL425" s="446">
        <f>IF($E425=0,0,IF(MIN(BL$38,$E425)&lt;MAX($P$34*($B425+$I$38-1),IF(AND($L$37=0,$P$34=0),"",$L$37-1)),0,YEARFRAC(MAX($P$34*($B425+$I$38-1),IF(AND($L$37=0,$P$34=0),"",$L$37-1)),MIN(BL$38,$E425),$P$20))-SUM($BF425:BK425))</f>
        <v>0</v>
      </c>
      <c r="BM425" s="446">
        <f>IF($E425=0,0,IF(MIN(BM$38,$E425)&lt;MAX($P$34*($B425+$I$38-1),IF(AND($L$37=0,$P$34=0),"",$L$37-1)),0,YEARFRAC(MAX($P$34*($B425+$I$38-1),IF(AND($L$37=0,$P$34=0),"",$L$37-1)),MIN(BM$38,$E425),$P$20))-SUM($BF425:BL425))</f>
        <v>0</v>
      </c>
      <c r="BN425" s="446">
        <f>IF($E425=0,0,IF(MIN(BN$38,$E425)&lt;MAX($P$34*($B425+$I$38-1),IF(AND($L$37=0,$P$34=0),"",$L$37-1)),0,YEARFRAC(MAX($P$34*($B425+$I$38-1),IF(AND($L$37=0,$P$34=0),"",$L$37-1)),MIN(BN$38,$E425),$P$20))-SUM($BF425:BM425))</f>
        <v>0</v>
      </c>
      <c r="BO425" s="446">
        <f>IF($E425=0,0,IF(MIN(BO$38,$E425)&lt;MAX($P$34*($B425+$I$38-1),IF(AND($L$37=0,$P$34=0),"",$L$37-1)),0,YEARFRAC(MAX($P$34*($B425+$I$38-1),IF(AND($L$37=0,$P$34=0),"",$L$37-1)),MIN(BO$38,$E425),$P$20))-SUM($BF425:BN425))</f>
        <v>0</v>
      </c>
      <c r="BP425" s="446">
        <f>IF($E425=0,0,IF(MIN(BP$38,$E425)&lt;MAX($P$34*($B425+$I$38-1),IF(AND($L$37=0,$P$34=0),"",$L$37-1)),0,YEARFRAC(MAX($P$34*($B425+$I$38-1),IF(AND($L$37=0,$P$34=0),"",$L$37-1)),MIN(BP$38,$E425),$P$20))-SUM($BF425:BO425))</f>
        <v>0</v>
      </c>
      <c r="BQ425" s="446">
        <f>IF($E425=0,0,IF(MIN(BQ$38,$E425)&lt;MAX($P$34*($B425+$I$38-1),IF(AND($L$37=0,$P$34=0),"",$L$37-1)),0,YEARFRAC(MAX($P$34*($B425+$I$38-1),IF(AND($L$37=0,$P$34=0),"",$L$37-1)),MIN(BQ$38,$E425),$P$20))-SUM($BF425:BP425))</f>
        <v>0</v>
      </c>
      <c r="BR425" s="446">
        <f>IF($E425=0,0,IF(MIN(BR$38,$E425)&lt;MAX($P$34*($B425+$I$38-1),IF(AND($L$37=0,$P$34=0),"",$L$37-1)),0,YEARFRAC(MAX($P$34*($B425+$I$38-1),IF(AND($L$37=0,$P$34=0),"",$L$37-1)),MIN(BR$38,$E425),$P$20))-SUM($BF425:BQ425))</f>
        <v>0</v>
      </c>
      <c r="BS425" s="446">
        <f>IF($E425=0,0,IF(MIN(BS$38,$E425)&lt;MAX($P$34*($B425+$I$38-1),IF(AND($L$37=0,$P$34=0),"",$L$37-1)),0,YEARFRAC(MAX($P$34*($B425+$I$38-1),IF(AND($L$37=0,$P$34=0),"",$L$37-1)),MIN(BS$38,$E425),$P$20))-SUM($BF425:BR425))</f>
        <v>0</v>
      </c>
      <c r="BT425" s="446">
        <f>IF($E425=0,0,IF(MIN(BT$38,$E425)&lt;MAX($P$34*($B425+$I$38-1),IF(AND($L$37=0,$P$34=0),"",$L$37-1)),0,YEARFRAC(MAX($P$34*($B425+$I$38-1),IF(AND($L$37=0,$P$34=0),"",$L$37-1)),MIN(BT$38,$E425),$P$20))-SUM($BF425:BS425))</f>
        <v>0</v>
      </c>
      <c r="BU425" s="446">
        <f>IF($E425=0,0,IF(MIN(BU$38,$E425)&lt;MAX($P$34*($B425+$I$38-1),IF(AND($L$37=0,$P$34=0),"",$L$37-1)),0,YEARFRAC(MAX($P$34*($B425+$I$38-1),IF(AND($L$37=0,$P$34=0),"",$L$37-1)),MIN(BU$38,$E425),$P$20))-SUM($BF425:BT425))</f>
        <v>0</v>
      </c>
      <c r="BV425" s="446">
        <f>IF($E425=0,0,IF(MIN(BV$38,$E425)&lt;MAX($P$34*($B425+$I$38-1),IF(AND($L$37=0,$P$34=0),"",$L$37-1)),0,YEARFRAC(MAX($P$34*($B425+$I$38-1),IF(AND($L$37=0,$P$34=0),"",$L$37-1)),MIN(BV$38,$E425),$P$20))-SUM($BF425:BU425))</f>
        <v>0</v>
      </c>
      <c r="BW425" s="446">
        <f>IF($E425=0,0,IF(MIN(BW$38,$E425)&lt;MAX($P$34*($B425+$I$38-1),IF(AND($L$37=0,$P$34=0),"",$L$37-1)),0,YEARFRAC(MAX($P$34*($B425+$I$38-1),IF(AND($L$37=0,$P$34=0),"",$L$37-1)),MIN(BW$38,$E425),$P$20))-SUM($BF425:BV425))</f>
        <v>0</v>
      </c>
      <c r="BX425" s="446">
        <f>IF($E425=0,0,IF(MIN(BX$38,$E425)&lt;MAX($P$34*($B425+$I$38-1),IF(AND($L$37=0,$P$34=0),"",$L$37-1)),0,YEARFRAC(MAX($P$34*($B425+$I$38-1),IF(AND($L$37=0,$P$34=0),"",$L$37-1)),MIN(BX$38,$E425),$P$20))-SUM($BF425:BW425))</f>
        <v>0</v>
      </c>
      <c r="BY425" s="446">
        <f>IF($E425=0,0,IF(MIN(BY$38,$E425)&lt;MAX($P$34*($B425+$I$38-1),IF(AND($L$37=0,$P$34=0),"",$L$37-1)),0,YEARFRAC(MAX($P$34*($B425+$I$38-1),IF(AND($L$37=0,$P$34=0),"",$L$37-1)),MIN(BY$38,$E425),$P$20))-SUM($BF425:BX425))</f>
        <v>0</v>
      </c>
      <c r="BZ425" s="446">
        <f>IF($E425=0,0,IF(MIN(BZ$38,$E425)&lt;MAX($P$34*($B425+$I$38-1),IF(AND($L$37=0,$P$34=0),"",$L$37-1)),0,YEARFRAC(MAX($P$34*($B425+$I$38-1),IF(AND($L$37=0,$P$34=0),"",$L$37-1)),MIN(BZ$38,$E425),$P$20))-SUM($BF425:BY425))</f>
        <v>0</v>
      </c>
      <c r="CA425" s="446">
        <f>IF($E425=0,0,IF(MIN(CA$38,$E425)&lt;MAX($P$34*($B425+$I$38-1),IF(AND($L$37=0,$P$34=0),"",$L$37-1)),0,YEARFRAC(MAX($P$34*($B425+$I$38-1),IF(AND($L$37=0,$P$34=0),"",$L$37-1)),MIN(CA$38,$E425),$P$20))-SUM($BF425:BZ425))</f>
        <v>0</v>
      </c>
      <c r="CB425" s="446">
        <f>IF($E425=0,0,IF(MIN(CB$38,$E425)&lt;MAX($P$34*($B425+$I$38-1),IF(AND($L$37=0,$P$34=0),"",$L$37-1)),0,YEARFRAC(MAX($P$34*($B425+$I$38-1),IF(AND($L$37=0,$P$34=0),"",$L$37-1)),MIN(CB$38,$E425),$P$20))-SUM($BF425:CA425))</f>
        <v>0</v>
      </c>
      <c r="CC425" s="446">
        <f>IF($E425=0,0,IF(MIN(CC$38,$E425)&lt;MAX($P$34*($B425+$I$38-1),IF(AND($L$37=0,$P$34=0),"",$L$37-1)),0,YEARFRAC(MAX($P$34*($B425+$I$38-1),IF(AND($L$37=0,$P$34=0),"",$L$37-1)),MIN(CC$38,$E425),$P$20))-SUM($BF425:CB425))</f>
        <v>0</v>
      </c>
      <c r="CD425" s="446">
        <f>IF($E425=0,0,IF(MIN(CD$38,$E425)&lt;MAX($P$34*($B425+$I$38-1),IF(AND($L$37=0,$P$34=0),"",$L$37-1)),0,YEARFRAC(MAX($P$34*($B425+$I$38-1),IF(AND($L$37=0,$P$34=0),"",$L$37-1)),MIN(CD$38,$E425),$P$20))-SUM($BF425:CC425))</f>
        <v>0</v>
      </c>
      <c r="CE425" s="446">
        <f>IF($E425=0,0,IF(MIN(CE$38,$E425)&lt;MAX($P$34*($B425+$I$38-1),IF(AND($L$37=0,$P$34=0),"",$L$37-1)),0,YEARFRAC(MAX($P$34*($B425+$I$38-1),IF(AND($L$37=0,$P$34=0),"",$L$37-1)),MIN(CE$38,$E425),$P$20))-SUM($BF425:CD425))</f>
        <v>0</v>
      </c>
      <c r="CF425" s="446">
        <f>IF($E425=0,0,IF(MIN(CF$38,$E425)&lt;MAX($P$34*($B425+$I$38-1),IF(AND($L$37=0,$P$34=0),"",$L$37-1)),0,YEARFRAC(MAX($P$34*($B425+$I$38-1),IF(AND($L$37=0,$P$34=0),"",$L$37-1)),MIN(CF$38,$E425),$P$20))-SUM($BF425:CE425))</f>
        <v>0</v>
      </c>
      <c r="CG425" s="446">
        <f>IF($E425=0,0,IF(MIN(CG$38,$E425)&lt;MAX($P$34*($B425+$I$38-1),IF(AND($L$37=0,$P$34=0),"",$L$37-1)),0,YEARFRAC(MAX($P$34*($B425+$I$38-1),IF(AND($L$37=0,$P$34=0),"",$L$37-1)),MIN(CG$38,$E425),$P$20))-SUM($BF425:CF425))</f>
        <v>0</v>
      </c>
      <c r="CH425" s="446">
        <f>IF($E425=0,0,IF(MIN(CH$38,$E425)&lt;MAX($P$34*($B425+$I$38-1),IF(AND($L$37=0,$P$34=0),"",$L$37-1)),0,YEARFRAC(MAX($P$34*($B425+$I$38-1),IF(AND($L$37=0,$P$34=0),"",$L$37-1)),MIN(CH$38,$E425),$P$20))-SUM($BF425:CG425))</f>
        <v>0</v>
      </c>
      <c r="CI425" s="446">
        <f>IF($E425=0,0,IF(MIN(CI$38,$E425)&lt;MAX($P$34*($B425+$I$38-1),IF(AND($L$37=0,$P$34=0),"",$L$37-1)),0,YEARFRAC(MAX($P$34*($B425+$I$38-1),IF(AND($L$37=0,$P$34=0),"",$L$37-1)),MIN(CI$38,$E425),$P$20))-SUM($BF425:CH425))</f>
        <v>0</v>
      </c>
      <c r="CJ425" s="446">
        <f>IF($E425=0,0,IF(MIN(CJ$38,$E425)&lt;MAX($P$34*($B425+$I$38-1),IF(AND($L$37=0,$P$34=0),"",$L$37-1)),0,YEARFRAC(MAX($P$34*($B425+$I$38-1),IF(AND($L$37=0,$P$34=0),"",$L$37-1)),MIN(CJ$38,$E425),$P$20))-SUM($BF425:CI425))</f>
        <v>0</v>
      </c>
      <c r="CK425" s="446">
        <f>IF($E425=0,0,IF(MIN(CK$38,$E425)&lt;MAX($P$34*($B425+$I$38-1),IF(AND($L$37=0,$P$34=0),"",$L$37-1)),0,YEARFRAC(MAX($P$34*($B425+$I$38-1),IF(AND($L$37=0,$P$34=0),"",$L$37-1)),MIN(CK$38,$E425),$P$20))-SUM($BF425:CJ425))</f>
        <v>0</v>
      </c>
      <c r="CL425" s="446">
        <f>IF($E425=0,0,IF(MIN(CL$38,$E425)&lt;MAX($P$34*($B425+$I$38-1),IF(AND($L$37=0,$P$34=0),"",$L$37-1)),0,YEARFRAC(MAX($P$34*($B425+$I$38-1),IF(AND($L$37=0,$P$34=0),"",$L$37-1)),MIN(CL$38,$E425),$P$20))-SUM($BF425:CK425))</f>
        <v>0</v>
      </c>
      <c r="CM425" s="446">
        <f>IF($E425=0,0,IF(MIN(CM$38,$E425)&lt;MAX($P$34*($B425+$I$38-1),IF(AND($L$37=0,$P$34=0),"",$L$37-1)),0,YEARFRAC(MAX($P$34*($B425+$I$38-1),IF(AND($L$37=0,$P$34=0),"",$L$37-1)),MIN(CM$38,$E425),$P$20))-SUM($BF425:CL425))</f>
        <v>0</v>
      </c>
      <c r="CN425" s="446">
        <f>IF($E425=0,0,IF(MIN(CN$38,$E425)&lt;MAX($P$34*($B425+$I$38-1),IF(AND($L$37=0,$P$34=0),"",$L$37-1)),0,YEARFRAC(MAX($P$34*($B425+$I$38-1),IF(AND($L$37=0,$P$34=0),"",$L$37-1)),MIN(CN$38,$E425),$P$20))-SUM($BF425:CM425))</f>
        <v>0</v>
      </c>
      <c r="CO425" s="446">
        <f>IF($E425=0,0,IF(MIN(CO$38,$E425)&lt;MAX($P$34*($B425+$I$38-1),IF(AND($L$37=0,$P$34=0),"",$L$37-1)),0,YEARFRAC(MAX($P$34*($B425+$I$38-1),IF(AND($L$37=0,$P$34=0),"",$L$37-1)),MIN(CO$38,$E425),$P$20))-SUM($BF425:CN425))</f>
        <v>0</v>
      </c>
      <c r="CP425" s="446">
        <f>IF($E425=0,0,IF(MIN(CP$38,$E425)&lt;MAX($P$34*($B425+$I$38-1),IF(AND($L$37=0,$P$34=0),"",$L$37-1)),0,YEARFRAC(MAX($P$34*($B425+$I$38-1),IF(AND($L$37=0,$P$34=0),"",$L$37-1)),MIN(CP$38,$E425),$P$20))-SUM($BF425:CO425))</f>
        <v>0</v>
      </c>
      <c r="CQ425" s="446">
        <f>IF($E425=0,0,IF(MIN(CQ$38,$E425)&lt;MAX($P$34*($B425+$I$38-1),IF(AND($L$37=0,$P$34=0),"",$L$37-1)),0,YEARFRAC(MAX($P$34*($B425+$I$38-1),IF(AND($L$37=0,$P$34=0),"",$L$37-1)),MIN(CQ$38,$E425),$P$20))-SUM($BF425:CP425))</f>
        <v>0</v>
      </c>
    </row>
    <row r="426" spans="1:95" s="446" customFormat="1" ht="11.25" hidden="1" customHeight="1" x14ac:dyDescent="0.2">
      <c r="A426" s="152"/>
      <c r="B426" s="153" t="str">
        <f t="shared" ref="B426:B489" si="81">IF(B425="","",IF(AND(MONTH(B425)=12,MONTH(B424)=11,$B$38="com 13º"),IF(B425&gt;$D$19,"",B425),IF(DATE(YEAR(B425),MONTH(B425)+1,DAY(B425))&gt;$D$19,"",DATE(YEAR(B425),MONTH(B425)+1,DAY(B425)))))</f>
        <v/>
      </c>
      <c r="C426" s="29" t="str">
        <f>IF(B426="","",IF($L$35="SELIC - TRIBUTOS",VLOOKUP(DATE(YEAR($D$19),MONTH($D$19)-1,1),ÍNDICES!$A:$DE,HLOOKUP($BL$25,ÍNDICES!$B$3:$T$4,2)+11)-VLOOKUP(B426,ÍNDICES!$A:$DE,HLOOKUP($BL$25,ÍNDICES!$B$3:$T$4,2)+11)+1%,IF(C$38=$W$26,$J$35,IF(ISERROR(IF(B426&gt;$D$19,1,VLOOKUP(DATE(YEAR(B426),MONTH(B426)+IF($C$35=$S$23,1,0),1),ÍNDICES!$A:$DE,$Z$35+1))),"",IF(B426&gt;$D$19,1,VLOOKUP(DATE(YEAR(B426),MONTH(B426)+IF($C$35=$S$23,1,0),1),ÍNDICES!$A:$DE,$Z$35+1))))))</f>
        <v/>
      </c>
      <c r="D426" s="154" t="str">
        <f>IF(ISERROR(IF(OR($D$38=$Y$27,$B426=""),"",VLOOKUP(B426,ÍNDICES!A:DE,AF$35+1))),"",IF(OR($D$38=$Y$27,$B426=""),"",VLOOKUP(B426,ÍNDICES!A:DE,AF$35+1)))</f>
        <v/>
      </c>
      <c r="E426" s="153"/>
      <c r="F426" s="29" t="str">
        <f>IF(E426="","",IF($L$35="SELIC - TRIBUTOS",VLOOKUP(DATE(YEAR($D$19),MONTH($D$19)-1,1),ÍNDICES!$A:$DE,HLOOKUP($BL$25,ÍNDICES!$B$3:$T$4,2)+11)-VLOOKUP(E426,ÍNDICES!$A:$DE,HLOOKUP($BL$25,ÍNDICES!$B$3:$T$4,2)+11)+1%,IF(F$38=$W$26,$J$35,IF(ISERROR(IF(E426&gt;$D$19,1,VLOOKUP(DATE(YEAR(E426),MONTH(E426)+IF($C$35=$S$23,1,0),1),ÍNDICES!$A:$DE,$Z$35+1))),"",IF(E426&gt;$D$19,1,VLOOKUP(DATE(YEAR(E426),MONTH(E426)+IF($C$35=$S$23,1,0),1),ÍNDICES!$A:$DE,$Z$35+1))))))</f>
        <v/>
      </c>
      <c r="G426" s="155"/>
      <c r="H426" s="156" t="str">
        <f t="shared" si="77"/>
        <v/>
      </c>
      <c r="I426" s="29" t="str">
        <f t="shared" si="71"/>
        <v/>
      </c>
      <c r="J426" s="5">
        <f t="shared" si="72"/>
        <v>0</v>
      </c>
      <c r="K426" s="20">
        <f t="shared" ca="1" si="73"/>
        <v>0</v>
      </c>
      <c r="L426" s="5">
        <f t="shared" ca="1" si="74"/>
        <v>0</v>
      </c>
      <c r="M426" s="64">
        <f t="shared" si="78"/>
        <v>0</v>
      </c>
      <c r="N426" s="61">
        <f t="shared" ca="1" si="79"/>
        <v>0</v>
      </c>
      <c r="O426" s="5">
        <f t="shared" ca="1" si="80"/>
        <v>0</v>
      </c>
      <c r="P426" s="446" t="e">
        <f t="shared" si="75"/>
        <v>#VALUE!</v>
      </c>
      <c r="Q426" s="446" t="e">
        <f>IF(OR($B426="",MIN(Q$38,$D$19)&lt;MAX($P$34*($B426+IF($R$17="Distrato",$I$38-1,0)),IF(AND($L$37=0,$P$34=0),"",$L$37-1),IF($R$17="Distrato",$E426,0))),0,YEARFRAC(MAX($P$34*($B426+IF($R$17="Distrato",$I$38-1,0)),IF(AND($L$37=0,$P$34=0),"",$L$37-1),IF($R$17="Distrato",$E426,0)),MIN(Q$38,$D$19),$P$20))-SUM($P426:P426)</f>
        <v>#VALUE!</v>
      </c>
      <c r="R426" s="446" t="e">
        <f>IF(OR($B426="",MIN(R$38,$D$19)&lt;MAX($P$34*($B426+IF($R$17="Distrato",$I$38-1,0)),IF(AND($L$37=0,$P$34=0),"",$L$37-1),IF($R$17="Distrato",$E426,0))),0,YEARFRAC(MAX($P$34*($B426+IF($R$17="Distrato",$I$38-1,0)),IF(AND($L$37=0,$P$34=0),"",$L$37-1),IF($R$17="Distrato",$E426,0)),MIN(R$38,$D$19),$P$20))-SUM($P426:Q426)</f>
        <v>#VALUE!</v>
      </c>
      <c r="S426" s="446" t="e">
        <f>IF(OR($B426="",MIN(S$38,$D$19)&lt;MAX($P$34*($B426+IF($R$17="Distrato",$I$38-1,0)),IF(AND($L$37=0,$P$34=0),"",$L$37-1),IF($R$17="Distrato",$E426,0))),0,YEARFRAC(MAX($P$34*($B426+IF($R$17="Distrato",$I$38-1,0)),IF(AND($L$37=0,$P$34=0),"",$L$37-1),IF($R$17="Distrato",$E426,0)),MIN(S$38,$D$19),$P$20))-SUM($P426:R426)</f>
        <v>#VALUE!</v>
      </c>
      <c r="T426" s="446" t="e">
        <f>IF(OR($B426="",MIN(T$38,$D$19)&lt;MAX($P$34*($B426+IF($R$17="Distrato",$I$38-1,0)),IF(AND($L$37=0,$P$34=0),"",$L$37-1),IF($R$17="Distrato",$E426,0))),0,YEARFRAC(MAX($P$34*($B426+IF($R$17="Distrato",$I$38-1,0)),IF(AND($L$37=0,$P$34=0),"",$L$37-1),IF($R$17="Distrato",$E426,0)),MIN(T$38,$D$19),$P$20))-SUM($P426:S426)</f>
        <v>#VALUE!</v>
      </c>
      <c r="U426" s="446" t="e">
        <f>IF(OR($B426="",MIN(U$38,$D$19)&lt;MAX($P$34*($B426+IF($R$17="Distrato",$I$38-1,0)),IF(AND($L$37=0,$P$34=0),"",$L$37-1),IF($R$17="Distrato",$E426,0))),0,YEARFRAC(MAX($P$34*($B426+IF($R$17="Distrato",$I$38-1,0)),IF(AND($L$37=0,$P$34=0),"",$L$37-1),IF($R$17="Distrato",$E426,0)),MIN(U$38,$D$19),$P$20))-SUM($P426:T426)</f>
        <v>#VALUE!</v>
      </c>
      <c r="V426" s="446" t="e">
        <f>IF(OR($B426="",MIN(V$38,$D$19)&lt;MAX($P$34*($B426+IF($R$17="Distrato",$I$38-1,0)),IF(AND($L$37=0,$P$34=0),"",$L$37-1),IF($R$17="Distrato",$E426,0))),0,YEARFRAC(MAX($P$34*($B426+IF($R$17="Distrato",$I$38-1,0)),IF(AND($L$37=0,$P$34=0),"",$L$37-1),IF($R$17="Distrato",$E426,0)),MIN(V$38,$D$19),$P$20))-SUM($P426:U426)</f>
        <v>#VALUE!</v>
      </c>
      <c r="W426" s="446" t="e">
        <f>IF(OR($B426="",MIN(W$38,$D$19)&lt;MAX($P$34*($B426+IF($R$17="Distrato",$I$38-1,0)),IF(AND($L$37=0,$P$34=0),"",$L$37-1),IF($R$17="Distrato",$E426,0))),0,YEARFRAC(MAX($P$34*($B426+IF($R$17="Distrato",$I$38-1,0)),IF(AND($L$37=0,$P$34=0),"",$L$37-1),IF($R$17="Distrato",$E426,0)),MIN(W$38,$D$19),$P$20))-SUM($P426:V426)</f>
        <v>#VALUE!</v>
      </c>
      <c r="X426" s="446" t="e">
        <f>IF(OR($B426="",MIN(X$38,$D$19)&lt;MAX($P$34*($B426+IF($R$17="Distrato",$I$38-1,0)),IF(AND($L$37=0,$P$34=0),"",$L$37-1),IF($R$17="Distrato",$E426,0))),0,YEARFRAC(MAX($P$34*($B426+IF($R$17="Distrato",$I$38-1,0)),IF(AND($L$37=0,$P$34=0),"",$L$37-1),IF($R$17="Distrato",$E426,0)),MIN(X$38,$D$19),$P$20))-SUM($P426:W426)</f>
        <v>#VALUE!</v>
      </c>
      <c r="Y426" s="446" t="e">
        <f>IF(OR($B426="",MIN(Y$38,$D$19)&lt;MAX($P$34*($B426+IF($R$17="Distrato",$I$38-1,0)),IF(AND($L$37=0,$P$34=0),"",$L$37-1),IF($R$17="Distrato",$E426,0))),0,YEARFRAC(MAX($P$34*($B426+IF($R$17="Distrato",$I$38-1,0)),IF(AND($L$37=0,$P$34=0),"",$L$37-1),IF($R$17="Distrato",$E426,0)),MIN(Y$38,$D$19),$P$20))-SUM($P426:X426)</f>
        <v>#VALUE!</v>
      </c>
      <c r="Z426" s="446" t="e">
        <f>IF(OR($B426="",MIN(Z$38,$D$19)&lt;MAX($P$34*($B426+IF($R$17="Distrato",$I$38-1,0)),IF(AND($L$37=0,$P$34=0),"",$L$37-1),IF($R$17="Distrato",$E426,0))),0,YEARFRAC(MAX($P$34*($B426+IF($R$17="Distrato",$I$38-1,0)),IF(AND($L$37=0,$P$34=0),"",$L$37-1),IF($R$17="Distrato",$E426,0)),MIN(Z$38,$D$19),$P$20))-SUM($P426:Y426)</f>
        <v>#VALUE!</v>
      </c>
      <c r="AA426" s="446" t="e">
        <f>IF(OR($B426="",MIN(AA$38,$D$19)&lt;MAX($P$34*($B426+IF($R$17="Distrato",$I$38-1,0)),IF(AND($L$37=0,$P$34=0),"",$L$37-1),IF($R$17="Distrato",$E426,0))),0,YEARFRAC(MAX($P$34*($B426+IF($R$17="Distrato",$I$38-1,0)),IF(AND($L$37=0,$P$34=0),"",$L$37-1),IF($R$17="Distrato",$E426,0)),MIN(AA$38,$D$19),$P$20))-SUM($P426:Z426)</f>
        <v>#VALUE!</v>
      </c>
      <c r="AB426" s="446" t="e">
        <f>IF(OR($B426="",MIN(AB$38,$D$19)&lt;MAX($P$34*($B426+IF($R$17="Distrato",$I$38-1,0)),IF(AND($L$37=0,$P$34=0),"",$L$37-1),IF($R$17="Distrato",$E426,0))),0,YEARFRAC(MAX($P$34*($B426+IF($R$17="Distrato",$I$38-1,0)),IF(AND($L$37=0,$P$34=0),"",$L$37-1),IF($R$17="Distrato",$E426,0)),MIN(AB$38,$D$19),$P$20))-SUM($P426:AA426)</f>
        <v>#VALUE!</v>
      </c>
      <c r="AC426" s="446" t="e">
        <f>IF(OR($B426="",MIN(AC$38,$D$19)&lt;MAX($P$34*($B426+IF($R$17="Distrato",$I$38-1,0)),IF(AND($L$37=0,$P$34=0),"",$L$37-1),IF($R$17="Distrato",$E426,0))),0,YEARFRAC(MAX($P$34*($B426+IF($R$17="Distrato",$I$38-1,0)),IF(AND($L$37=0,$P$34=0),"",$L$37-1),IF($R$17="Distrato",$E426,0)),MIN(AC$38,$D$19),$P$20))-SUM($P426:AB426)</f>
        <v>#VALUE!</v>
      </c>
      <c r="AD426" s="446" t="e">
        <f>IF(OR($B426="",MIN(AD$38,$D$19)&lt;MAX($P$34*($B426+IF($R$17="Distrato",$I$38-1,0)),IF(AND($L$37=0,$P$34=0),"",$L$37-1),IF($R$17="Distrato",$E426,0))),0,YEARFRAC(MAX($P$34*($B426+IF($R$17="Distrato",$I$38-1,0)),IF(AND($L$37=0,$P$34=0),"",$L$37-1),IF($R$17="Distrato",$E426,0)),MIN(AD$38,$D$19),$P$20))-SUM($P426:AC426)</f>
        <v>#VALUE!</v>
      </c>
      <c r="AE426" s="446" t="e">
        <f>IF(OR($B426="",MIN(AE$38,$D$19)&lt;MAX($P$34*($B426+IF($R$17="Distrato",$I$38-1,0)),IF(AND($L$37=0,$P$34=0),"",$L$37-1),IF($R$17="Distrato",$E426,0))),0,YEARFRAC(MAX($P$34*($B426+IF($R$17="Distrato",$I$38-1,0)),IF(AND($L$37=0,$P$34=0),"",$L$37-1),IF($R$17="Distrato",$E426,0)),MIN(AE$38,$D$19),$P$20))-SUM($P426:AD426)</f>
        <v>#VALUE!</v>
      </c>
      <c r="AF426" s="446" t="e">
        <f>IF(OR($B426="",MIN(AF$38,$D$19)&lt;MAX($P$34*($B426+IF($R$17="Distrato",$I$38-1,0)),IF(AND($L$37=0,$P$34=0),"",$L$37-1),IF($R$17="Distrato",$E426,0))),0,YEARFRAC(MAX($P$34*($B426+IF($R$17="Distrato",$I$38-1,0)),IF(AND($L$37=0,$P$34=0),"",$L$37-1),IF($R$17="Distrato",$E426,0)),MIN(AF$38,$D$19),$P$20))-SUM($P426:AE426)</f>
        <v>#VALUE!</v>
      </c>
      <c r="AG426" s="446" t="e">
        <f>IF(OR($B426="",MIN(AG$38,$D$19)&lt;MAX($P$34*($B426+IF($R$17="Distrato",$I$38-1,0)),IF(AND($L$37=0,$P$34=0),"",$L$37-1),IF($R$17="Distrato",$E426,0))),0,YEARFRAC(MAX($P$34*($B426+IF($R$17="Distrato",$I$38-1,0)),IF(AND($L$37=0,$P$34=0),"",$L$37-1),IF($R$17="Distrato",$E426,0)),MIN(AG$38,$D$19),$P$20))-SUM($P426:AF426)</f>
        <v>#VALUE!</v>
      </c>
      <c r="AH426" s="446" t="e">
        <f>IF(OR($B426="",MIN(AH$38,$D$19)&lt;MAX($P$34*($B426+IF($R$17="Distrato",$I$38-1,0)),IF(AND($L$37=0,$P$34=0),"",$L$37-1),IF($R$17="Distrato",$E426,0))),0,YEARFRAC(MAX($P$34*($B426+IF($R$17="Distrato",$I$38-1,0)),IF(AND($L$37=0,$P$34=0),"",$L$37-1),IF($R$17="Distrato",$E426,0)),MIN(AH$38,$D$19),$P$20))-SUM($P426:AG426)</f>
        <v>#VALUE!</v>
      </c>
      <c r="AI426" s="446" t="e">
        <f>IF(OR($B426="",MIN(AI$38,$D$19)&lt;MAX($P$34*($B426+IF($R$17="Distrato",$I$38-1,0)),IF(AND($L$37=0,$P$34=0),"",$L$37-1),IF($R$17="Distrato",$E426,0))),0,YEARFRAC(MAX($P$34*($B426+IF($R$17="Distrato",$I$38-1,0)),IF(AND($L$37=0,$P$34=0),"",$L$37-1),IF($R$17="Distrato",$E426,0)),MIN(AI$38,$D$19),$P$20))-SUM($P426:AH426)</f>
        <v>#VALUE!</v>
      </c>
      <c r="AJ426" s="446" t="e">
        <f>IF(OR($B426="",MIN(AJ$38,$D$19)&lt;MAX($P$34*($B426+IF($R$17="Distrato",$I$38-1,0)),IF(AND($L$37=0,$P$34=0),"",$L$37-1),IF($R$17="Distrato",$E426,0))),0,YEARFRAC(MAX($P$34*($B426+IF($R$17="Distrato",$I$38-1,0)),IF(AND($L$37=0,$P$34=0),"",$L$37-1),IF($R$17="Distrato",$E426,0)),MIN(AJ$38,$D$19),$P$20))-SUM($P426:AI426)</f>
        <v>#VALUE!</v>
      </c>
      <c r="AK426" s="446" t="e">
        <f>IF(OR($B426="",MIN(AK$38,$D$19)&lt;MAX($P$34*($B426+IF($R$17="Distrato",$I$38-1,0)),IF(AND($L$37=0,$P$34=0),"",$L$37-1),IF($R$17="Distrato",$E426,0))),0,YEARFRAC(MAX($P$34*($B426+IF($R$17="Distrato",$I$38-1,0)),IF(AND($L$37=0,$P$34=0),"",$L$37-1),IF($R$17="Distrato",$E426,0)),MIN(AK$38,$D$19),$P$20))-SUM($P426:AJ426)</f>
        <v>#VALUE!</v>
      </c>
      <c r="AL426" s="446" t="e">
        <f>IF(OR($B426="",MIN(AL$38,$D$19)&lt;MAX($P$34*($B426+IF($R$17="Distrato",$I$38-1,0)),IF(AND($L$37=0,$P$34=0),"",$L$37-1),IF($R$17="Distrato",$E426,0))),0,YEARFRAC(MAX($P$34*($B426+IF($R$17="Distrato",$I$38-1,0)),IF(AND($L$37=0,$P$34=0),"",$L$37-1),IF($R$17="Distrato",$E426,0)),MIN(AL$38,$D$19),$P$20))-SUM($P426:AK426)</f>
        <v>#VALUE!</v>
      </c>
      <c r="AM426" s="446" t="e">
        <f>IF(OR($B426="",MIN(AM$38,$D$19)&lt;MAX($P$34*($B426+IF($R$17="Distrato",$I$38-1,0)),IF(AND($L$37=0,$P$34=0),"",$L$37-1),IF($R$17="Distrato",$E426,0))),0,YEARFRAC(MAX($P$34*($B426+IF($R$17="Distrato",$I$38-1,0)),IF(AND($L$37=0,$P$34=0),"",$L$37-1),IF($R$17="Distrato",$E426,0)),MIN(AM$38,$D$19),$P$20))-SUM($P426:AL426)</f>
        <v>#VALUE!</v>
      </c>
      <c r="AN426" s="446" t="e">
        <f>IF(OR($B426="",MIN(AN$38,$D$19)&lt;MAX($P$34*($B426+IF($R$17="Distrato",$I$38-1,0)),IF(AND($L$37=0,$P$34=0),"",$L$37-1),IF($R$17="Distrato",$E426,0))),0,YEARFRAC(MAX($P$34*($B426+IF($R$17="Distrato",$I$38-1,0)),IF(AND($L$37=0,$P$34=0),"",$L$37-1),IF($R$17="Distrato",$E426,0)),MIN(AN$38,$D$19),$P$20))-SUM($P426:AM426)</f>
        <v>#VALUE!</v>
      </c>
      <c r="AO426" s="446" t="e">
        <f>IF(OR($B426="",MIN(AO$38,$D$19)&lt;MAX($P$34*($B426+IF($R$17="Distrato",$I$38-1,0)),IF(AND($L$37=0,$P$34=0),"",$L$37-1),IF($R$17="Distrato",$E426,0))),0,YEARFRAC(MAX($P$34*($B426+IF($R$17="Distrato",$I$38-1,0)),IF(AND($L$37=0,$P$34=0),"",$L$37-1),IF($R$17="Distrato",$E426,0)),MIN(AO$38,$D$19),$P$20))-SUM($P426:AN426)</f>
        <v>#VALUE!</v>
      </c>
      <c r="AP426" s="446" t="e">
        <f>IF(OR($B426="",MIN(AP$38,$D$19)&lt;MAX($P$34*($B426+IF($R$17="Distrato",$I$38-1,0)),IF(AND($L$37=0,$P$34=0),"",$L$37-1),IF($R$17="Distrato",$E426,0))),0,YEARFRAC(MAX($P$34*($B426+IF($R$17="Distrato",$I$38-1,0)),IF(AND($L$37=0,$P$34=0),"",$L$37-1),IF($R$17="Distrato",$E426,0)),MIN(AP$38,$D$19),$P$20))-SUM($P426:AO426)</f>
        <v>#VALUE!</v>
      </c>
      <c r="AQ426" s="446" t="e">
        <f>IF(OR($B426="",MIN(AQ$38,$D$19)&lt;MAX($P$34*($B426+IF($R$17="Distrato",$I$38-1,0)),IF(AND($L$37=0,$P$34=0),"",$L$37-1),IF($R$17="Distrato",$E426,0))),0,YEARFRAC(MAX($P$34*($B426+IF($R$17="Distrato",$I$38-1,0)),IF(AND($L$37=0,$P$34=0),"",$L$37-1),IF($R$17="Distrato",$E426,0)),MIN(AQ$38,$D$19),$P$20))-SUM($P426:AP426)</f>
        <v>#VALUE!</v>
      </c>
      <c r="AR426" s="446" t="e">
        <f>IF(OR($B426="",MIN(AR$38,$D$19)&lt;MAX($P$34*($B426+IF($R$17="Distrato",$I$38-1,0)),IF(AND($L$37=0,$P$34=0),"",$L$37-1),IF($R$17="Distrato",$E426,0))),0,YEARFRAC(MAX($P$34*($B426+IF($R$17="Distrato",$I$38-1,0)),IF(AND($L$37=0,$P$34=0),"",$L$37-1),IF($R$17="Distrato",$E426,0)),MIN(AR$38,$D$19),$P$20))-SUM($P426:AQ426)</f>
        <v>#VALUE!</v>
      </c>
      <c r="AS426" s="446" t="e">
        <f>IF(OR($B426="",MIN(AS$38,$D$19)&lt;MAX($P$34*($B426+IF($R$17="Distrato",$I$38-1,0)),IF(AND($L$37=0,$P$34=0),"",$L$37-1),IF($R$17="Distrato",$E426,0))),0,YEARFRAC(MAX($P$34*($B426+IF($R$17="Distrato",$I$38-1,0)),IF(AND($L$37=0,$P$34=0),"",$L$37-1),IF($R$17="Distrato",$E426,0)),MIN(AS$38,$D$19),$P$20))-SUM($P426:AR426)</f>
        <v>#VALUE!</v>
      </c>
      <c r="AT426" s="446" t="e">
        <f>IF(OR($B426="",MIN(AT$38,$D$19)&lt;MAX($P$34*($B426+IF($R$17="Distrato",$I$38-1,0)),IF(AND($L$37=0,$P$34=0),"",$L$37-1),IF($R$17="Distrato",$E426,0))),0,YEARFRAC(MAX($P$34*($B426+IF($R$17="Distrato",$I$38-1,0)),IF(AND($L$37=0,$P$34=0),"",$L$37-1),IF($R$17="Distrato",$E426,0)),MIN(AT$38,$D$19),$P$20))-SUM($P426:AS426)</f>
        <v>#VALUE!</v>
      </c>
      <c r="AU426" s="446" t="e">
        <f>IF(OR($B426="",MIN(AU$38,$D$19)&lt;MAX($P$34*($B426+IF($R$17="Distrato",$I$38-1,0)),IF(AND($L$37=0,$P$34=0),"",$L$37-1),IF($R$17="Distrato",$E426,0))),0,YEARFRAC(MAX($P$34*($B426+IF($R$17="Distrato",$I$38-1,0)),IF(AND($L$37=0,$P$34=0),"",$L$37-1),IF($R$17="Distrato",$E426,0)),MIN(AU$38,$D$19),$P$20))-SUM($P426:AT426)</f>
        <v>#VALUE!</v>
      </c>
      <c r="AV426" s="446" t="e">
        <f>IF(OR($B426="",MIN(AV$38,$D$19)&lt;MAX($P$34*($B426+IF($R$17="Distrato",$I$38-1,0)),IF(AND($L$37=0,$P$34=0),"",$L$37-1),IF($R$17="Distrato",$E426,0))),0,YEARFRAC(MAX($P$34*($B426+IF($R$17="Distrato",$I$38-1,0)),IF(AND($L$37=0,$P$34=0),"",$L$37-1),IF($R$17="Distrato",$E426,0)),MIN(AV$38,$D$19),$P$20))-SUM($P426:AU426)</f>
        <v>#VALUE!</v>
      </c>
      <c r="AW426" s="446" t="e">
        <f>IF(OR($B426="",MIN(AW$38,$D$19)&lt;MAX($P$34*($B426+IF($R$17="Distrato",$I$38-1,0)),IF(AND($L$37=0,$P$34=0),"",$L$37-1),IF($R$17="Distrato",$E426,0))),0,YEARFRAC(MAX($P$34*($B426+IF($R$17="Distrato",$I$38-1,0)),IF(AND($L$37=0,$P$34=0),"",$L$37-1),IF($R$17="Distrato",$E426,0)),MIN(AW$38,$D$19),$P$20))-SUM($P426:AV426)</f>
        <v>#VALUE!</v>
      </c>
      <c r="AX426" s="446" t="e">
        <f>IF(OR($B426="",MIN(AX$38,$D$19)&lt;MAX($P$34*($B426+IF($R$17="Distrato",$I$38-1,0)),IF(AND($L$37=0,$P$34=0),"",$L$37-1),IF($R$17="Distrato",$E426,0))),0,YEARFRAC(MAX($P$34*($B426+IF($R$17="Distrato",$I$38-1,0)),IF(AND($L$37=0,$P$34=0),"",$L$37-1),IF($R$17="Distrato",$E426,0)),MIN(AX$38,$D$19),$P$20))-SUM($P426:AW426)</f>
        <v>#VALUE!</v>
      </c>
      <c r="AY426" s="446" t="e">
        <f>IF(OR($B426="",MIN(AY$38,$D$19)&lt;MAX($P$34*($B426+IF($R$17="Distrato",$I$38-1,0)),IF(AND($L$37=0,$P$34=0),"",$L$37-1),IF($R$17="Distrato",$E426,0))),0,YEARFRAC(MAX($P$34*($B426+IF($R$17="Distrato",$I$38-1,0)),IF(AND($L$37=0,$P$34=0),"",$L$37-1),IF($R$17="Distrato",$E426,0)),MIN(AY$38,$D$19),$P$20))-SUM($P426:AX426)</f>
        <v>#VALUE!</v>
      </c>
      <c r="AZ426" s="446" t="e">
        <f>IF(OR($B426="",MIN(AZ$38,$D$19)&lt;MAX($P$34*($B426+IF($R$17="Distrato",$I$38-1,0)),IF(AND($L$37=0,$P$34=0),"",$L$37-1),IF($R$17="Distrato",$E426,0))),0,YEARFRAC(MAX($P$34*($B426+IF($R$17="Distrato",$I$38-1,0)),IF(AND($L$37=0,$P$34=0),"",$L$37-1),IF($R$17="Distrato",$E426,0)),MIN(AZ$38,$D$19),$P$20))-SUM($P426:AY426)</f>
        <v>#VALUE!</v>
      </c>
      <c r="BA426" s="446" t="e">
        <f>IF(OR($B426="",MIN(BA$38,$D$19)&lt;MAX($P$34*($B426+IF($R$17="Distrato",$I$38-1,0)),IF(AND($L$37=0,$P$34=0),"",$L$37-1),IF($R$17="Distrato",$E426,0))),0,YEARFRAC(MAX($P$34*($B426+IF($R$17="Distrato",$I$38-1,0)),IF(AND($L$37=0,$P$34=0),"",$L$37-1),IF($R$17="Distrato",$E426,0)),MIN(BA$38,$D$19),$P$20))-SUM($P426:AZ426)</f>
        <v>#VALUE!</v>
      </c>
      <c r="BB426" s="447"/>
      <c r="BF426" s="446">
        <f t="shared" si="76"/>
        <v>0</v>
      </c>
      <c r="BG426" s="446">
        <f>IF($E426=0,0,IF(MIN(BG$38,$E426)&lt;MAX($P$34*($B426+$I$38-1),IF(AND($L$37=0,$P$34=0),"",$L$37-1)),0,YEARFRAC(MAX($P$34*($B426+$I$38-1),IF(AND($L$37=0,$P$34=0),"",$L$37-1)),MIN(BG$38,$E426),$P$20))-SUM($BF426:BF426))</f>
        <v>0</v>
      </c>
      <c r="BH426" s="446">
        <f>IF($E426=0,0,IF(MIN(BH$38,$E426)&lt;MAX($P$34*($B426+$I$38-1),IF(AND($L$37=0,$P$34=0),"",$L$37-1)),0,YEARFRAC(MAX($P$34*($B426+$I$38-1),IF(AND($L$37=0,$P$34=0),"",$L$37-1)),MIN(BH$38,$E426),$P$20))-SUM($BF426:BG426))</f>
        <v>0</v>
      </c>
      <c r="BI426" s="446">
        <f>IF($E426=0,0,IF(MIN(BI$38,$E426)&lt;MAX($P$34*($B426+$I$38-1),IF(AND($L$37=0,$P$34=0),"",$L$37-1)),0,YEARFRAC(MAX($P$34*($B426+$I$38-1),IF(AND($L$37=0,$P$34=0),"",$L$37-1)),MIN(BI$38,$E426),$P$20))-SUM($BF426:BH426))</f>
        <v>0</v>
      </c>
      <c r="BJ426" s="446">
        <f>IF($E426=0,0,IF(MIN(BJ$38,$E426)&lt;MAX($P$34*($B426+$I$38-1),IF(AND($L$37=0,$P$34=0),"",$L$37-1)),0,YEARFRAC(MAX($P$34*($B426+$I$38-1),IF(AND($L$37=0,$P$34=0),"",$L$37-1)),MIN(BJ$38,$E426),$P$20))-SUM($BF426:BI426))</f>
        <v>0</v>
      </c>
      <c r="BK426" s="446">
        <f>IF($E426=0,0,IF(MIN(BK$38,$E426)&lt;MAX($P$34*($B426+$I$38-1),IF(AND($L$37=0,$P$34=0),"",$L$37-1)),0,YEARFRAC(MAX($P$34*($B426+$I$38-1),IF(AND($L$37=0,$P$34=0),"",$L$37-1)),MIN(BK$38,$E426),$P$20))-SUM($BF426:BJ426))</f>
        <v>0</v>
      </c>
      <c r="BL426" s="446">
        <f>IF($E426=0,0,IF(MIN(BL$38,$E426)&lt;MAX($P$34*($B426+$I$38-1),IF(AND($L$37=0,$P$34=0),"",$L$37-1)),0,YEARFRAC(MAX($P$34*($B426+$I$38-1),IF(AND($L$37=0,$P$34=0),"",$L$37-1)),MIN(BL$38,$E426),$P$20))-SUM($BF426:BK426))</f>
        <v>0</v>
      </c>
      <c r="BM426" s="446">
        <f>IF($E426=0,0,IF(MIN(BM$38,$E426)&lt;MAX($P$34*($B426+$I$38-1),IF(AND($L$37=0,$P$34=0),"",$L$37-1)),0,YEARFRAC(MAX($P$34*($B426+$I$38-1),IF(AND($L$37=0,$P$34=0),"",$L$37-1)),MIN(BM$38,$E426),$P$20))-SUM($BF426:BL426))</f>
        <v>0</v>
      </c>
      <c r="BN426" s="446">
        <f>IF($E426=0,0,IF(MIN(BN$38,$E426)&lt;MAX($P$34*($B426+$I$38-1),IF(AND($L$37=0,$P$34=0),"",$L$37-1)),0,YEARFRAC(MAX($P$34*($B426+$I$38-1),IF(AND($L$37=0,$P$34=0),"",$L$37-1)),MIN(BN$38,$E426),$P$20))-SUM($BF426:BM426))</f>
        <v>0</v>
      </c>
      <c r="BO426" s="446">
        <f>IF($E426=0,0,IF(MIN(BO$38,$E426)&lt;MAX($P$34*($B426+$I$38-1),IF(AND($L$37=0,$P$34=0),"",$L$37-1)),0,YEARFRAC(MAX($P$34*($B426+$I$38-1),IF(AND($L$37=0,$P$34=0),"",$L$37-1)),MIN(BO$38,$E426),$P$20))-SUM($BF426:BN426))</f>
        <v>0</v>
      </c>
      <c r="BP426" s="446">
        <f>IF($E426=0,0,IF(MIN(BP$38,$E426)&lt;MAX($P$34*($B426+$I$38-1),IF(AND($L$37=0,$P$34=0),"",$L$37-1)),0,YEARFRAC(MAX($P$34*($B426+$I$38-1),IF(AND($L$37=0,$P$34=0),"",$L$37-1)),MIN(BP$38,$E426),$P$20))-SUM($BF426:BO426))</f>
        <v>0</v>
      </c>
      <c r="BQ426" s="446">
        <f>IF($E426=0,0,IF(MIN(BQ$38,$E426)&lt;MAX($P$34*($B426+$I$38-1),IF(AND($L$37=0,$P$34=0),"",$L$37-1)),0,YEARFRAC(MAX($P$34*($B426+$I$38-1),IF(AND($L$37=0,$P$34=0),"",$L$37-1)),MIN(BQ$38,$E426),$P$20))-SUM($BF426:BP426))</f>
        <v>0</v>
      </c>
      <c r="BR426" s="446">
        <f>IF($E426=0,0,IF(MIN(BR$38,$E426)&lt;MAX($P$34*($B426+$I$38-1),IF(AND($L$37=0,$P$34=0),"",$L$37-1)),0,YEARFRAC(MAX($P$34*($B426+$I$38-1),IF(AND($L$37=0,$P$34=0),"",$L$37-1)),MIN(BR$38,$E426),$P$20))-SUM($BF426:BQ426))</f>
        <v>0</v>
      </c>
      <c r="BS426" s="446">
        <f>IF($E426=0,0,IF(MIN(BS$38,$E426)&lt;MAX($P$34*($B426+$I$38-1),IF(AND($L$37=0,$P$34=0),"",$L$37-1)),0,YEARFRAC(MAX($P$34*($B426+$I$38-1),IF(AND($L$37=0,$P$34=0),"",$L$37-1)),MIN(BS$38,$E426),$P$20))-SUM($BF426:BR426))</f>
        <v>0</v>
      </c>
      <c r="BT426" s="446">
        <f>IF($E426=0,0,IF(MIN(BT$38,$E426)&lt;MAX($P$34*($B426+$I$38-1),IF(AND($L$37=0,$P$34=0),"",$L$37-1)),0,YEARFRAC(MAX($P$34*($B426+$I$38-1),IF(AND($L$37=0,$P$34=0),"",$L$37-1)),MIN(BT$38,$E426),$P$20))-SUM($BF426:BS426))</f>
        <v>0</v>
      </c>
      <c r="BU426" s="446">
        <f>IF($E426=0,0,IF(MIN(BU$38,$E426)&lt;MAX($P$34*($B426+$I$38-1),IF(AND($L$37=0,$P$34=0),"",$L$37-1)),0,YEARFRAC(MAX($P$34*($B426+$I$38-1),IF(AND($L$37=0,$P$34=0),"",$L$37-1)),MIN(BU$38,$E426),$P$20))-SUM($BF426:BT426))</f>
        <v>0</v>
      </c>
      <c r="BV426" s="446">
        <f>IF($E426=0,0,IF(MIN(BV$38,$E426)&lt;MAX($P$34*($B426+$I$38-1),IF(AND($L$37=0,$P$34=0),"",$L$37-1)),0,YEARFRAC(MAX($P$34*($B426+$I$38-1),IF(AND($L$37=0,$P$34=0),"",$L$37-1)),MIN(BV$38,$E426),$P$20))-SUM($BF426:BU426))</f>
        <v>0</v>
      </c>
      <c r="BW426" s="446">
        <f>IF($E426=0,0,IF(MIN(BW$38,$E426)&lt;MAX($P$34*($B426+$I$38-1),IF(AND($L$37=0,$P$34=0),"",$L$37-1)),0,YEARFRAC(MAX($P$34*($B426+$I$38-1),IF(AND($L$37=0,$P$34=0),"",$L$37-1)),MIN(BW$38,$E426),$P$20))-SUM($BF426:BV426))</f>
        <v>0</v>
      </c>
      <c r="BX426" s="446">
        <f>IF($E426=0,0,IF(MIN(BX$38,$E426)&lt;MAX($P$34*($B426+$I$38-1),IF(AND($L$37=0,$P$34=0),"",$L$37-1)),0,YEARFRAC(MAX($P$34*($B426+$I$38-1),IF(AND($L$37=0,$P$34=0),"",$L$37-1)),MIN(BX$38,$E426),$P$20))-SUM($BF426:BW426))</f>
        <v>0</v>
      </c>
      <c r="BY426" s="446">
        <f>IF($E426=0,0,IF(MIN(BY$38,$E426)&lt;MAX($P$34*($B426+$I$38-1),IF(AND($L$37=0,$P$34=0),"",$L$37-1)),0,YEARFRAC(MAX($P$34*($B426+$I$38-1),IF(AND($L$37=0,$P$34=0),"",$L$37-1)),MIN(BY$38,$E426),$P$20))-SUM($BF426:BX426))</f>
        <v>0</v>
      </c>
      <c r="BZ426" s="446">
        <f>IF($E426=0,0,IF(MIN(BZ$38,$E426)&lt;MAX($P$34*($B426+$I$38-1),IF(AND($L$37=0,$P$34=0),"",$L$37-1)),0,YEARFRAC(MAX($P$34*($B426+$I$38-1),IF(AND($L$37=0,$P$34=0),"",$L$37-1)),MIN(BZ$38,$E426),$P$20))-SUM($BF426:BY426))</f>
        <v>0</v>
      </c>
      <c r="CA426" s="446">
        <f>IF($E426=0,0,IF(MIN(CA$38,$E426)&lt;MAX($P$34*($B426+$I$38-1),IF(AND($L$37=0,$P$34=0),"",$L$37-1)),0,YEARFRAC(MAX($P$34*($B426+$I$38-1),IF(AND($L$37=0,$P$34=0),"",$L$37-1)),MIN(CA$38,$E426),$P$20))-SUM($BF426:BZ426))</f>
        <v>0</v>
      </c>
      <c r="CB426" s="446">
        <f>IF($E426=0,0,IF(MIN(CB$38,$E426)&lt;MAX($P$34*($B426+$I$38-1),IF(AND($L$37=0,$P$34=0),"",$L$37-1)),0,YEARFRAC(MAX($P$34*($B426+$I$38-1),IF(AND($L$37=0,$P$34=0),"",$L$37-1)),MIN(CB$38,$E426),$P$20))-SUM($BF426:CA426))</f>
        <v>0</v>
      </c>
      <c r="CC426" s="446">
        <f>IF($E426=0,0,IF(MIN(CC$38,$E426)&lt;MAX($P$34*($B426+$I$38-1),IF(AND($L$37=0,$P$34=0),"",$L$37-1)),0,YEARFRAC(MAX($P$34*($B426+$I$38-1),IF(AND($L$37=0,$P$34=0),"",$L$37-1)),MIN(CC$38,$E426),$P$20))-SUM($BF426:CB426))</f>
        <v>0</v>
      </c>
      <c r="CD426" s="446">
        <f>IF($E426=0,0,IF(MIN(CD$38,$E426)&lt;MAX($P$34*($B426+$I$38-1),IF(AND($L$37=0,$P$34=0),"",$L$37-1)),0,YEARFRAC(MAX($P$34*($B426+$I$38-1),IF(AND($L$37=0,$P$34=0),"",$L$37-1)),MIN(CD$38,$E426),$P$20))-SUM($BF426:CC426))</f>
        <v>0</v>
      </c>
      <c r="CE426" s="446">
        <f>IF($E426=0,0,IF(MIN(CE$38,$E426)&lt;MAX($P$34*($B426+$I$38-1),IF(AND($L$37=0,$P$34=0),"",$L$37-1)),0,YEARFRAC(MAX($P$34*($B426+$I$38-1),IF(AND($L$37=0,$P$34=0),"",$L$37-1)),MIN(CE$38,$E426),$P$20))-SUM($BF426:CD426))</f>
        <v>0</v>
      </c>
      <c r="CF426" s="446">
        <f>IF($E426=0,0,IF(MIN(CF$38,$E426)&lt;MAX($P$34*($B426+$I$38-1),IF(AND($L$37=0,$P$34=0),"",$L$37-1)),0,YEARFRAC(MAX($P$34*($B426+$I$38-1),IF(AND($L$37=0,$P$34=0),"",$L$37-1)),MIN(CF$38,$E426),$P$20))-SUM($BF426:CE426))</f>
        <v>0</v>
      </c>
      <c r="CG426" s="446">
        <f>IF($E426=0,0,IF(MIN(CG$38,$E426)&lt;MAX($P$34*($B426+$I$38-1),IF(AND($L$37=0,$P$34=0),"",$L$37-1)),0,YEARFRAC(MAX($P$34*($B426+$I$38-1),IF(AND($L$37=0,$P$34=0),"",$L$37-1)),MIN(CG$38,$E426),$P$20))-SUM($BF426:CF426))</f>
        <v>0</v>
      </c>
      <c r="CH426" s="446">
        <f>IF($E426=0,0,IF(MIN(CH$38,$E426)&lt;MAX($P$34*($B426+$I$38-1),IF(AND($L$37=0,$P$34=0),"",$L$37-1)),0,YEARFRAC(MAX($P$34*($B426+$I$38-1),IF(AND($L$37=0,$P$34=0),"",$L$37-1)),MIN(CH$38,$E426),$P$20))-SUM($BF426:CG426))</f>
        <v>0</v>
      </c>
      <c r="CI426" s="446">
        <f>IF($E426=0,0,IF(MIN(CI$38,$E426)&lt;MAX($P$34*($B426+$I$38-1),IF(AND($L$37=0,$P$34=0),"",$L$37-1)),0,YEARFRAC(MAX($P$34*($B426+$I$38-1),IF(AND($L$37=0,$P$34=0),"",$L$37-1)),MIN(CI$38,$E426),$P$20))-SUM($BF426:CH426))</f>
        <v>0</v>
      </c>
      <c r="CJ426" s="446">
        <f>IF($E426=0,0,IF(MIN(CJ$38,$E426)&lt;MAX($P$34*($B426+$I$38-1),IF(AND($L$37=0,$P$34=0),"",$L$37-1)),0,YEARFRAC(MAX($P$34*($B426+$I$38-1),IF(AND($L$37=0,$P$34=0),"",$L$37-1)),MIN(CJ$38,$E426),$P$20))-SUM($BF426:CI426))</f>
        <v>0</v>
      </c>
      <c r="CK426" s="446">
        <f>IF($E426=0,0,IF(MIN(CK$38,$E426)&lt;MAX($P$34*($B426+$I$38-1),IF(AND($L$37=0,$P$34=0),"",$L$37-1)),0,YEARFRAC(MAX($P$34*($B426+$I$38-1),IF(AND($L$37=0,$P$34=0),"",$L$37-1)),MIN(CK$38,$E426),$P$20))-SUM($BF426:CJ426))</f>
        <v>0</v>
      </c>
      <c r="CL426" s="446">
        <f>IF($E426=0,0,IF(MIN(CL$38,$E426)&lt;MAX($P$34*($B426+$I$38-1),IF(AND($L$37=0,$P$34=0),"",$L$37-1)),0,YEARFRAC(MAX($P$34*($B426+$I$38-1),IF(AND($L$37=0,$P$34=0),"",$L$37-1)),MIN(CL$38,$E426),$P$20))-SUM($BF426:CK426))</f>
        <v>0</v>
      </c>
      <c r="CM426" s="446">
        <f>IF($E426=0,0,IF(MIN(CM$38,$E426)&lt;MAX($P$34*($B426+$I$38-1),IF(AND($L$37=0,$P$34=0),"",$L$37-1)),0,YEARFRAC(MAX($P$34*($B426+$I$38-1),IF(AND($L$37=0,$P$34=0),"",$L$37-1)),MIN(CM$38,$E426),$P$20))-SUM($BF426:CL426))</f>
        <v>0</v>
      </c>
      <c r="CN426" s="446">
        <f>IF($E426=0,0,IF(MIN(CN$38,$E426)&lt;MAX($P$34*($B426+$I$38-1),IF(AND($L$37=0,$P$34=0),"",$L$37-1)),0,YEARFRAC(MAX($P$34*($B426+$I$38-1),IF(AND($L$37=0,$P$34=0),"",$L$37-1)),MIN(CN$38,$E426),$P$20))-SUM($BF426:CM426))</f>
        <v>0</v>
      </c>
      <c r="CO426" s="446">
        <f>IF($E426=0,0,IF(MIN(CO$38,$E426)&lt;MAX($P$34*($B426+$I$38-1),IF(AND($L$37=0,$P$34=0),"",$L$37-1)),0,YEARFRAC(MAX($P$34*($B426+$I$38-1),IF(AND($L$37=0,$P$34=0),"",$L$37-1)),MIN(CO$38,$E426),$P$20))-SUM($BF426:CN426))</f>
        <v>0</v>
      </c>
      <c r="CP426" s="446">
        <f>IF($E426=0,0,IF(MIN(CP$38,$E426)&lt;MAX($P$34*($B426+$I$38-1),IF(AND($L$37=0,$P$34=0),"",$L$37-1)),0,YEARFRAC(MAX($P$34*($B426+$I$38-1),IF(AND($L$37=0,$P$34=0),"",$L$37-1)),MIN(CP$38,$E426),$P$20))-SUM($BF426:CO426))</f>
        <v>0</v>
      </c>
      <c r="CQ426" s="446">
        <f>IF($E426=0,0,IF(MIN(CQ$38,$E426)&lt;MAX($P$34*($B426+$I$38-1),IF(AND($L$37=0,$P$34=0),"",$L$37-1)),0,YEARFRAC(MAX($P$34*($B426+$I$38-1),IF(AND($L$37=0,$P$34=0),"",$L$37-1)),MIN(CQ$38,$E426),$P$20))-SUM($BF426:CP426))</f>
        <v>0</v>
      </c>
    </row>
    <row r="427" spans="1:95" s="446" customFormat="1" ht="11.25" hidden="1" customHeight="1" x14ac:dyDescent="0.2">
      <c r="A427" s="152"/>
      <c r="B427" s="153" t="str">
        <f t="shared" si="81"/>
        <v/>
      </c>
      <c r="C427" s="29" t="str">
        <f>IF(B427="","",IF($L$35="SELIC - TRIBUTOS",VLOOKUP(DATE(YEAR($D$19),MONTH($D$19)-1,1),ÍNDICES!$A:$DE,HLOOKUP($BL$25,ÍNDICES!$B$3:$T$4,2)+11)-VLOOKUP(B427,ÍNDICES!$A:$DE,HLOOKUP($BL$25,ÍNDICES!$B$3:$T$4,2)+11)+1%,IF(C$38=$W$26,$J$35,IF(ISERROR(IF(B427&gt;$D$19,1,VLOOKUP(DATE(YEAR(B427),MONTH(B427)+IF($C$35=$S$23,1,0),1),ÍNDICES!$A:$DE,$Z$35+1))),"",IF(B427&gt;$D$19,1,VLOOKUP(DATE(YEAR(B427),MONTH(B427)+IF($C$35=$S$23,1,0),1),ÍNDICES!$A:$DE,$Z$35+1))))))</f>
        <v/>
      </c>
      <c r="D427" s="154" t="str">
        <f>IF(ISERROR(IF(OR($D$38=$Y$27,$B427=""),"",VLOOKUP(B427,ÍNDICES!A:DE,AF$35+1))),"",IF(OR($D$38=$Y$27,$B427=""),"",VLOOKUP(B427,ÍNDICES!A:DE,AF$35+1)))</f>
        <v/>
      </c>
      <c r="E427" s="153"/>
      <c r="F427" s="29" t="str">
        <f>IF(E427="","",IF($L$35="SELIC - TRIBUTOS",VLOOKUP(DATE(YEAR($D$19),MONTH($D$19)-1,1),ÍNDICES!$A:$DE,HLOOKUP($BL$25,ÍNDICES!$B$3:$T$4,2)+11)-VLOOKUP(E427,ÍNDICES!$A:$DE,HLOOKUP($BL$25,ÍNDICES!$B$3:$T$4,2)+11)+1%,IF(F$38=$W$26,$J$35,IF(ISERROR(IF(E427&gt;$D$19,1,VLOOKUP(DATE(YEAR(E427),MONTH(E427)+IF($C$35=$S$23,1,0),1),ÍNDICES!$A:$DE,$Z$35+1))),"",IF(E427&gt;$D$19,1,VLOOKUP(DATE(YEAR(E427),MONTH(E427)+IF($C$35=$S$23,1,0),1),ÍNDICES!$A:$DE,$Z$35+1))))))</f>
        <v/>
      </c>
      <c r="G427" s="155"/>
      <c r="H427" s="156" t="str">
        <f t="shared" si="77"/>
        <v/>
      </c>
      <c r="I427" s="29" t="str">
        <f t="shared" si="71"/>
        <v/>
      </c>
      <c r="J427" s="5">
        <f t="shared" si="72"/>
        <v>0</v>
      </c>
      <c r="K427" s="20">
        <f t="shared" ca="1" si="73"/>
        <v>0</v>
      </c>
      <c r="L427" s="5">
        <f t="shared" ca="1" si="74"/>
        <v>0</v>
      </c>
      <c r="M427" s="64">
        <f t="shared" si="78"/>
        <v>0</v>
      </c>
      <c r="N427" s="61">
        <f t="shared" ca="1" si="79"/>
        <v>0</v>
      </c>
      <c r="O427" s="5">
        <f t="shared" ca="1" si="80"/>
        <v>0</v>
      </c>
      <c r="P427" s="446" t="e">
        <f t="shared" si="75"/>
        <v>#VALUE!</v>
      </c>
      <c r="Q427" s="446" t="e">
        <f>IF(OR($B427="",MIN(Q$38,$D$19)&lt;MAX($P$34*($B427+IF($R$17="Distrato",$I$38-1,0)),IF(AND($L$37=0,$P$34=0),"",$L$37-1),IF($R$17="Distrato",$E427,0))),0,YEARFRAC(MAX($P$34*($B427+IF($R$17="Distrato",$I$38-1,0)),IF(AND($L$37=0,$P$34=0),"",$L$37-1),IF($R$17="Distrato",$E427,0)),MIN(Q$38,$D$19),$P$20))-SUM($P427:P427)</f>
        <v>#VALUE!</v>
      </c>
      <c r="R427" s="446" t="e">
        <f>IF(OR($B427="",MIN(R$38,$D$19)&lt;MAX($P$34*($B427+IF($R$17="Distrato",$I$38-1,0)),IF(AND($L$37=0,$P$34=0),"",$L$37-1),IF($R$17="Distrato",$E427,0))),0,YEARFRAC(MAX($P$34*($B427+IF($R$17="Distrato",$I$38-1,0)),IF(AND($L$37=0,$P$34=0),"",$L$37-1),IF($R$17="Distrato",$E427,0)),MIN(R$38,$D$19),$P$20))-SUM($P427:Q427)</f>
        <v>#VALUE!</v>
      </c>
      <c r="S427" s="446" t="e">
        <f>IF(OR($B427="",MIN(S$38,$D$19)&lt;MAX($P$34*($B427+IF($R$17="Distrato",$I$38-1,0)),IF(AND($L$37=0,$P$34=0),"",$L$37-1),IF($R$17="Distrato",$E427,0))),0,YEARFRAC(MAX($P$34*($B427+IF($R$17="Distrato",$I$38-1,0)),IF(AND($L$37=0,$P$34=0),"",$L$37-1),IF($R$17="Distrato",$E427,0)),MIN(S$38,$D$19),$P$20))-SUM($P427:R427)</f>
        <v>#VALUE!</v>
      </c>
      <c r="T427" s="446" t="e">
        <f>IF(OR($B427="",MIN(T$38,$D$19)&lt;MAX($P$34*($B427+IF($R$17="Distrato",$I$38-1,0)),IF(AND($L$37=0,$P$34=0),"",$L$37-1),IF($R$17="Distrato",$E427,0))),0,YEARFRAC(MAX($P$34*($B427+IF($R$17="Distrato",$I$38-1,0)),IF(AND($L$37=0,$P$34=0),"",$L$37-1),IF($R$17="Distrato",$E427,0)),MIN(T$38,$D$19),$P$20))-SUM($P427:S427)</f>
        <v>#VALUE!</v>
      </c>
      <c r="U427" s="446" t="e">
        <f>IF(OR($B427="",MIN(U$38,$D$19)&lt;MAX($P$34*($B427+IF($R$17="Distrato",$I$38-1,0)),IF(AND($L$37=0,$P$34=0),"",$L$37-1),IF($R$17="Distrato",$E427,0))),0,YEARFRAC(MAX($P$34*($B427+IF($R$17="Distrato",$I$38-1,0)),IF(AND($L$37=0,$P$34=0),"",$L$37-1),IF($R$17="Distrato",$E427,0)),MIN(U$38,$D$19),$P$20))-SUM($P427:T427)</f>
        <v>#VALUE!</v>
      </c>
      <c r="V427" s="446" t="e">
        <f>IF(OR($B427="",MIN(V$38,$D$19)&lt;MAX($P$34*($B427+IF($R$17="Distrato",$I$38-1,0)),IF(AND($L$37=0,$P$34=0),"",$L$37-1),IF($R$17="Distrato",$E427,0))),0,YEARFRAC(MAX($P$34*($B427+IF($R$17="Distrato",$I$38-1,0)),IF(AND($L$37=0,$P$34=0),"",$L$37-1),IF($R$17="Distrato",$E427,0)),MIN(V$38,$D$19),$P$20))-SUM($P427:U427)</f>
        <v>#VALUE!</v>
      </c>
      <c r="W427" s="446" t="e">
        <f>IF(OR($B427="",MIN(W$38,$D$19)&lt;MAX($P$34*($B427+IF($R$17="Distrato",$I$38-1,0)),IF(AND($L$37=0,$P$34=0),"",$L$37-1),IF($R$17="Distrato",$E427,0))),0,YEARFRAC(MAX($P$34*($B427+IF($R$17="Distrato",$I$38-1,0)),IF(AND($L$37=0,$P$34=0),"",$L$37-1),IF($R$17="Distrato",$E427,0)),MIN(W$38,$D$19),$P$20))-SUM($P427:V427)</f>
        <v>#VALUE!</v>
      </c>
      <c r="X427" s="446" t="e">
        <f>IF(OR($B427="",MIN(X$38,$D$19)&lt;MAX($P$34*($B427+IF($R$17="Distrato",$I$38-1,0)),IF(AND($L$37=0,$P$34=0),"",$L$37-1),IF($R$17="Distrato",$E427,0))),0,YEARFRAC(MAX($P$34*($B427+IF($R$17="Distrato",$I$38-1,0)),IF(AND($L$37=0,$P$34=0),"",$L$37-1),IF($R$17="Distrato",$E427,0)),MIN(X$38,$D$19),$P$20))-SUM($P427:W427)</f>
        <v>#VALUE!</v>
      </c>
      <c r="Y427" s="446" t="e">
        <f>IF(OR($B427="",MIN(Y$38,$D$19)&lt;MAX($P$34*($B427+IF($R$17="Distrato",$I$38-1,0)),IF(AND($L$37=0,$P$34=0),"",$L$37-1),IF($R$17="Distrato",$E427,0))),0,YEARFRAC(MAX($P$34*($B427+IF($R$17="Distrato",$I$38-1,0)),IF(AND($L$37=0,$P$34=0),"",$L$37-1),IF($R$17="Distrato",$E427,0)),MIN(Y$38,$D$19),$P$20))-SUM($P427:X427)</f>
        <v>#VALUE!</v>
      </c>
      <c r="Z427" s="446" t="e">
        <f>IF(OR($B427="",MIN(Z$38,$D$19)&lt;MAX($P$34*($B427+IF($R$17="Distrato",$I$38-1,0)),IF(AND($L$37=0,$P$34=0),"",$L$37-1),IF($R$17="Distrato",$E427,0))),0,YEARFRAC(MAX($P$34*($B427+IF($R$17="Distrato",$I$38-1,0)),IF(AND($L$37=0,$P$34=0),"",$L$37-1),IF($R$17="Distrato",$E427,0)),MIN(Z$38,$D$19),$P$20))-SUM($P427:Y427)</f>
        <v>#VALUE!</v>
      </c>
      <c r="AA427" s="446" t="e">
        <f>IF(OR($B427="",MIN(AA$38,$D$19)&lt;MAX($P$34*($B427+IF($R$17="Distrato",$I$38-1,0)),IF(AND($L$37=0,$P$34=0),"",$L$37-1),IF($R$17="Distrato",$E427,0))),0,YEARFRAC(MAX($P$34*($B427+IF($R$17="Distrato",$I$38-1,0)),IF(AND($L$37=0,$P$34=0),"",$L$37-1),IF($R$17="Distrato",$E427,0)),MIN(AA$38,$D$19),$P$20))-SUM($P427:Z427)</f>
        <v>#VALUE!</v>
      </c>
      <c r="AB427" s="446" t="e">
        <f>IF(OR($B427="",MIN(AB$38,$D$19)&lt;MAX($P$34*($B427+IF($R$17="Distrato",$I$38-1,0)),IF(AND($L$37=0,$P$34=0),"",$L$37-1),IF($R$17="Distrato",$E427,0))),0,YEARFRAC(MAX($P$34*($B427+IF($R$17="Distrato",$I$38-1,0)),IF(AND($L$37=0,$P$34=0),"",$L$37-1),IF($R$17="Distrato",$E427,0)),MIN(AB$38,$D$19),$P$20))-SUM($P427:AA427)</f>
        <v>#VALUE!</v>
      </c>
      <c r="AC427" s="446" t="e">
        <f>IF(OR($B427="",MIN(AC$38,$D$19)&lt;MAX($P$34*($B427+IF($R$17="Distrato",$I$38-1,0)),IF(AND($L$37=0,$P$34=0),"",$L$37-1),IF($R$17="Distrato",$E427,0))),0,YEARFRAC(MAX($P$34*($B427+IF($R$17="Distrato",$I$38-1,0)),IF(AND($L$37=0,$P$34=0),"",$L$37-1),IF($R$17="Distrato",$E427,0)),MIN(AC$38,$D$19),$P$20))-SUM($P427:AB427)</f>
        <v>#VALUE!</v>
      </c>
      <c r="AD427" s="446" t="e">
        <f>IF(OR($B427="",MIN(AD$38,$D$19)&lt;MAX($P$34*($B427+IF($R$17="Distrato",$I$38-1,0)),IF(AND($L$37=0,$P$34=0),"",$L$37-1),IF($R$17="Distrato",$E427,0))),0,YEARFRAC(MAX($P$34*($B427+IF($R$17="Distrato",$I$38-1,0)),IF(AND($L$37=0,$P$34=0),"",$L$37-1),IF($R$17="Distrato",$E427,0)),MIN(AD$38,$D$19),$P$20))-SUM($P427:AC427)</f>
        <v>#VALUE!</v>
      </c>
      <c r="AE427" s="446" t="e">
        <f>IF(OR($B427="",MIN(AE$38,$D$19)&lt;MAX($P$34*($B427+IF($R$17="Distrato",$I$38-1,0)),IF(AND($L$37=0,$P$34=0),"",$L$37-1),IF($R$17="Distrato",$E427,0))),0,YEARFRAC(MAX($P$34*($B427+IF($R$17="Distrato",$I$38-1,0)),IF(AND($L$37=0,$P$34=0),"",$L$37-1),IF($R$17="Distrato",$E427,0)),MIN(AE$38,$D$19),$P$20))-SUM($P427:AD427)</f>
        <v>#VALUE!</v>
      </c>
      <c r="AF427" s="446" t="e">
        <f>IF(OR($B427="",MIN(AF$38,$D$19)&lt;MAX($P$34*($B427+IF($R$17="Distrato",$I$38-1,0)),IF(AND($L$37=0,$P$34=0),"",$L$37-1),IF($R$17="Distrato",$E427,0))),0,YEARFRAC(MAX($P$34*($B427+IF($R$17="Distrato",$I$38-1,0)),IF(AND($L$37=0,$P$34=0),"",$L$37-1),IF($R$17="Distrato",$E427,0)),MIN(AF$38,$D$19),$P$20))-SUM($P427:AE427)</f>
        <v>#VALUE!</v>
      </c>
      <c r="AG427" s="446" t="e">
        <f>IF(OR($B427="",MIN(AG$38,$D$19)&lt;MAX($P$34*($B427+IF($R$17="Distrato",$I$38-1,0)),IF(AND($L$37=0,$P$34=0),"",$L$37-1),IF($R$17="Distrato",$E427,0))),0,YEARFRAC(MAX($P$34*($B427+IF($R$17="Distrato",$I$38-1,0)),IF(AND($L$37=0,$P$34=0),"",$L$37-1),IF($R$17="Distrato",$E427,0)),MIN(AG$38,$D$19),$P$20))-SUM($P427:AF427)</f>
        <v>#VALUE!</v>
      </c>
      <c r="AH427" s="446" t="e">
        <f>IF(OR($B427="",MIN(AH$38,$D$19)&lt;MAX($P$34*($B427+IF($R$17="Distrato",$I$38-1,0)),IF(AND($L$37=0,$P$34=0),"",$L$37-1),IF($R$17="Distrato",$E427,0))),0,YEARFRAC(MAX($P$34*($B427+IF($R$17="Distrato",$I$38-1,0)),IF(AND($L$37=0,$P$34=0),"",$L$37-1),IF($R$17="Distrato",$E427,0)),MIN(AH$38,$D$19),$P$20))-SUM($P427:AG427)</f>
        <v>#VALUE!</v>
      </c>
      <c r="AI427" s="446" t="e">
        <f>IF(OR($B427="",MIN(AI$38,$D$19)&lt;MAX($P$34*($B427+IF($R$17="Distrato",$I$38-1,0)),IF(AND($L$37=0,$P$34=0),"",$L$37-1),IF($R$17="Distrato",$E427,0))),0,YEARFRAC(MAX($P$34*($B427+IF($R$17="Distrato",$I$38-1,0)),IF(AND($L$37=0,$P$34=0),"",$L$37-1),IF($R$17="Distrato",$E427,0)),MIN(AI$38,$D$19),$P$20))-SUM($P427:AH427)</f>
        <v>#VALUE!</v>
      </c>
      <c r="AJ427" s="446" t="e">
        <f>IF(OR($B427="",MIN(AJ$38,$D$19)&lt;MAX($P$34*($B427+IF($R$17="Distrato",$I$38-1,0)),IF(AND($L$37=0,$P$34=0),"",$L$37-1),IF($R$17="Distrato",$E427,0))),0,YEARFRAC(MAX($P$34*($B427+IF($R$17="Distrato",$I$38-1,0)),IF(AND($L$37=0,$P$34=0),"",$L$37-1),IF($R$17="Distrato",$E427,0)),MIN(AJ$38,$D$19),$P$20))-SUM($P427:AI427)</f>
        <v>#VALUE!</v>
      </c>
      <c r="AK427" s="446" t="e">
        <f>IF(OR($B427="",MIN(AK$38,$D$19)&lt;MAX($P$34*($B427+IF($R$17="Distrato",$I$38-1,0)),IF(AND($L$37=0,$P$34=0),"",$L$37-1),IF($R$17="Distrato",$E427,0))),0,YEARFRAC(MAX($P$34*($B427+IF($R$17="Distrato",$I$38-1,0)),IF(AND($L$37=0,$P$34=0),"",$L$37-1),IF($R$17="Distrato",$E427,0)),MIN(AK$38,$D$19),$P$20))-SUM($P427:AJ427)</f>
        <v>#VALUE!</v>
      </c>
      <c r="AL427" s="446" t="e">
        <f>IF(OR($B427="",MIN(AL$38,$D$19)&lt;MAX($P$34*($B427+IF($R$17="Distrato",$I$38-1,0)),IF(AND($L$37=0,$P$34=0),"",$L$37-1),IF($R$17="Distrato",$E427,0))),0,YEARFRAC(MAX($P$34*($B427+IF($R$17="Distrato",$I$38-1,0)),IF(AND($L$37=0,$P$34=0),"",$L$37-1),IF($R$17="Distrato",$E427,0)),MIN(AL$38,$D$19),$P$20))-SUM($P427:AK427)</f>
        <v>#VALUE!</v>
      </c>
      <c r="AM427" s="446" t="e">
        <f>IF(OR($B427="",MIN(AM$38,$D$19)&lt;MAX($P$34*($B427+IF($R$17="Distrato",$I$38-1,0)),IF(AND($L$37=0,$P$34=0),"",$L$37-1),IF($R$17="Distrato",$E427,0))),0,YEARFRAC(MAX($P$34*($B427+IF($R$17="Distrato",$I$38-1,0)),IF(AND($L$37=0,$P$34=0),"",$L$37-1),IF($R$17="Distrato",$E427,0)),MIN(AM$38,$D$19),$P$20))-SUM($P427:AL427)</f>
        <v>#VALUE!</v>
      </c>
      <c r="AN427" s="446" t="e">
        <f>IF(OR($B427="",MIN(AN$38,$D$19)&lt;MAX($P$34*($B427+IF($R$17="Distrato",$I$38-1,0)),IF(AND($L$37=0,$P$34=0),"",$L$37-1),IF($R$17="Distrato",$E427,0))),0,YEARFRAC(MAX($P$34*($B427+IF($R$17="Distrato",$I$38-1,0)),IF(AND($L$37=0,$P$34=0),"",$L$37-1),IF($R$17="Distrato",$E427,0)),MIN(AN$38,$D$19),$P$20))-SUM($P427:AM427)</f>
        <v>#VALUE!</v>
      </c>
      <c r="AO427" s="446" t="e">
        <f>IF(OR($B427="",MIN(AO$38,$D$19)&lt;MAX($P$34*($B427+IF($R$17="Distrato",$I$38-1,0)),IF(AND($L$37=0,$P$34=0),"",$L$37-1),IF($R$17="Distrato",$E427,0))),0,YEARFRAC(MAX($P$34*($B427+IF($R$17="Distrato",$I$38-1,0)),IF(AND($L$37=0,$P$34=0),"",$L$37-1),IF($R$17="Distrato",$E427,0)),MIN(AO$38,$D$19),$P$20))-SUM($P427:AN427)</f>
        <v>#VALUE!</v>
      </c>
      <c r="AP427" s="446" t="e">
        <f>IF(OR($B427="",MIN(AP$38,$D$19)&lt;MAX($P$34*($B427+IF($R$17="Distrato",$I$38-1,0)),IF(AND($L$37=0,$P$34=0),"",$L$37-1),IF($R$17="Distrato",$E427,0))),0,YEARFRAC(MAX($P$34*($B427+IF($R$17="Distrato",$I$38-1,0)),IF(AND($L$37=0,$P$34=0),"",$L$37-1),IF($R$17="Distrato",$E427,0)),MIN(AP$38,$D$19),$P$20))-SUM($P427:AO427)</f>
        <v>#VALUE!</v>
      </c>
      <c r="AQ427" s="446" t="e">
        <f>IF(OR($B427="",MIN(AQ$38,$D$19)&lt;MAX($P$34*($B427+IF($R$17="Distrato",$I$38-1,0)),IF(AND($L$37=0,$P$34=0),"",$L$37-1),IF($R$17="Distrato",$E427,0))),0,YEARFRAC(MAX($P$34*($B427+IF($R$17="Distrato",$I$38-1,0)),IF(AND($L$37=0,$P$34=0),"",$L$37-1),IF($R$17="Distrato",$E427,0)),MIN(AQ$38,$D$19),$P$20))-SUM($P427:AP427)</f>
        <v>#VALUE!</v>
      </c>
      <c r="AR427" s="446" t="e">
        <f>IF(OR($B427="",MIN(AR$38,$D$19)&lt;MAX($P$34*($B427+IF($R$17="Distrato",$I$38-1,0)),IF(AND($L$37=0,$P$34=0),"",$L$37-1),IF($R$17="Distrato",$E427,0))),0,YEARFRAC(MAX($P$34*($B427+IF($R$17="Distrato",$I$38-1,0)),IF(AND($L$37=0,$P$34=0),"",$L$37-1),IF($R$17="Distrato",$E427,0)),MIN(AR$38,$D$19),$P$20))-SUM($P427:AQ427)</f>
        <v>#VALUE!</v>
      </c>
      <c r="AS427" s="446" t="e">
        <f>IF(OR($B427="",MIN(AS$38,$D$19)&lt;MAX($P$34*($B427+IF($R$17="Distrato",$I$38-1,0)),IF(AND($L$37=0,$P$34=0),"",$L$37-1),IF($R$17="Distrato",$E427,0))),0,YEARFRAC(MAX($P$34*($B427+IF($R$17="Distrato",$I$38-1,0)),IF(AND($L$37=0,$P$34=0),"",$L$37-1),IF($R$17="Distrato",$E427,0)),MIN(AS$38,$D$19),$P$20))-SUM($P427:AR427)</f>
        <v>#VALUE!</v>
      </c>
      <c r="AT427" s="446" t="e">
        <f>IF(OR($B427="",MIN(AT$38,$D$19)&lt;MAX($P$34*($B427+IF($R$17="Distrato",$I$38-1,0)),IF(AND($L$37=0,$P$34=0),"",$L$37-1),IF($R$17="Distrato",$E427,0))),0,YEARFRAC(MAX($P$34*($B427+IF($R$17="Distrato",$I$38-1,0)),IF(AND($L$37=0,$P$34=0),"",$L$37-1),IF($R$17="Distrato",$E427,0)),MIN(AT$38,$D$19),$P$20))-SUM($P427:AS427)</f>
        <v>#VALUE!</v>
      </c>
      <c r="AU427" s="446" t="e">
        <f>IF(OR($B427="",MIN(AU$38,$D$19)&lt;MAX($P$34*($B427+IF($R$17="Distrato",$I$38-1,0)),IF(AND($L$37=0,$P$34=0),"",$L$37-1),IF($R$17="Distrato",$E427,0))),0,YEARFRAC(MAX($P$34*($B427+IF($R$17="Distrato",$I$38-1,0)),IF(AND($L$37=0,$P$34=0),"",$L$37-1),IF($R$17="Distrato",$E427,0)),MIN(AU$38,$D$19),$P$20))-SUM($P427:AT427)</f>
        <v>#VALUE!</v>
      </c>
      <c r="AV427" s="446" t="e">
        <f>IF(OR($B427="",MIN(AV$38,$D$19)&lt;MAX($P$34*($B427+IF($R$17="Distrato",$I$38-1,0)),IF(AND($L$37=0,$P$34=0),"",$L$37-1),IF($R$17="Distrato",$E427,0))),0,YEARFRAC(MAX($P$34*($B427+IF($R$17="Distrato",$I$38-1,0)),IF(AND($L$37=0,$P$34=0),"",$L$37-1),IF($R$17="Distrato",$E427,0)),MIN(AV$38,$D$19),$P$20))-SUM($P427:AU427)</f>
        <v>#VALUE!</v>
      </c>
      <c r="AW427" s="446" t="e">
        <f>IF(OR($B427="",MIN(AW$38,$D$19)&lt;MAX($P$34*($B427+IF($R$17="Distrato",$I$38-1,0)),IF(AND($L$37=0,$P$34=0),"",$L$37-1),IF($R$17="Distrato",$E427,0))),0,YEARFRAC(MAX($P$34*($B427+IF($R$17="Distrato",$I$38-1,0)),IF(AND($L$37=0,$P$34=0),"",$L$37-1),IF($R$17="Distrato",$E427,0)),MIN(AW$38,$D$19),$P$20))-SUM($P427:AV427)</f>
        <v>#VALUE!</v>
      </c>
      <c r="AX427" s="446" t="e">
        <f>IF(OR($B427="",MIN(AX$38,$D$19)&lt;MAX($P$34*($B427+IF($R$17="Distrato",$I$38-1,0)),IF(AND($L$37=0,$P$34=0),"",$L$37-1),IF($R$17="Distrato",$E427,0))),0,YEARFRAC(MAX($P$34*($B427+IF($R$17="Distrato",$I$38-1,0)),IF(AND($L$37=0,$P$34=0),"",$L$37-1),IF($R$17="Distrato",$E427,0)),MIN(AX$38,$D$19),$P$20))-SUM($P427:AW427)</f>
        <v>#VALUE!</v>
      </c>
      <c r="AY427" s="446" t="e">
        <f>IF(OR($B427="",MIN(AY$38,$D$19)&lt;MAX($P$34*($B427+IF($R$17="Distrato",$I$38-1,0)),IF(AND($L$37=0,$P$34=0),"",$L$37-1),IF($R$17="Distrato",$E427,0))),0,YEARFRAC(MAX($P$34*($B427+IF($R$17="Distrato",$I$38-1,0)),IF(AND($L$37=0,$P$34=0),"",$L$37-1),IF($R$17="Distrato",$E427,0)),MIN(AY$38,$D$19),$P$20))-SUM($P427:AX427)</f>
        <v>#VALUE!</v>
      </c>
      <c r="AZ427" s="446" t="e">
        <f>IF(OR($B427="",MIN(AZ$38,$D$19)&lt;MAX($P$34*($B427+IF($R$17="Distrato",$I$38-1,0)),IF(AND($L$37=0,$P$34=0),"",$L$37-1),IF($R$17="Distrato",$E427,0))),0,YEARFRAC(MAX($P$34*($B427+IF($R$17="Distrato",$I$38-1,0)),IF(AND($L$37=0,$P$34=0),"",$L$37-1),IF($R$17="Distrato",$E427,0)),MIN(AZ$38,$D$19),$P$20))-SUM($P427:AY427)</f>
        <v>#VALUE!</v>
      </c>
      <c r="BA427" s="446" t="e">
        <f>IF(OR($B427="",MIN(BA$38,$D$19)&lt;MAX($P$34*($B427+IF($R$17="Distrato",$I$38-1,0)),IF(AND($L$37=0,$P$34=0),"",$L$37-1),IF($R$17="Distrato",$E427,0))),0,YEARFRAC(MAX($P$34*($B427+IF($R$17="Distrato",$I$38-1,0)),IF(AND($L$37=0,$P$34=0),"",$L$37-1),IF($R$17="Distrato",$E427,0)),MIN(BA$38,$D$19),$P$20))-SUM($P427:AZ427)</f>
        <v>#VALUE!</v>
      </c>
      <c r="BB427" s="447"/>
      <c r="BF427" s="446">
        <f t="shared" si="76"/>
        <v>0</v>
      </c>
      <c r="BG427" s="446">
        <f>IF($E427=0,0,IF(MIN(BG$38,$E427)&lt;MAX($P$34*($B427+$I$38-1),IF(AND($L$37=0,$P$34=0),"",$L$37-1)),0,YEARFRAC(MAX($P$34*($B427+$I$38-1),IF(AND($L$37=0,$P$34=0),"",$L$37-1)),MIN(BG$38,$E427),$P$20))-SUM($BF427:BF427))</f>
        <v>0</v>
      </c>
      <c r="BH427" s="446">
        <f>IF($E427=0,0,IF(MIN(BH$38,$E427)&lt;MAX($P$34*($B427+$I$38-1),IF(AND($L$37=0,$P$34=0),"",$L$37-1)),0,YEARFRAC(MAX($P$34*($B427+$I$38-1),IF(AND($L$37=0,$P$34=0),"",$L$37-1)),MIN(BH$38,$E427),$P$20))-SUM($BF427:BG427))</f>
        <v>0</v>
      </c>
      <c r="BI427" s="446">
        <f>IF($E427=0,0,IF(MIN(BI$38,$E427)&lt;MAX($P$34*($B427+$I$38-1),IF(AND($L$37=0,$P$34=0),"",$L$37-1)),0,YEARFRAC(MAX($P$34*($B427+$I$38-1),IF(AND($L$37=0,$P$34=0),"",$L$37-1)),MIN(BI$38,$E427),$P$20))-SUM($BF427:BH427))</f>
        <v>0</v>
      </c>
      <c r="BJ427" s="446">
        <f>IF($E427=0,0,IF(MIN(BJ$38,$E427)&lt;MAX($P$34*($B427+$I$38-1),IF(AND($L$37=0,$P$34=0),"",$L$37-1)),0,YEARFRAC(MAX($P$34*($B427+$I$38-1),IF(AND($L$37=0,$P$34=0),"",$L$37-1)),MIN(BJ$38,$E427),$P$20))-SUM($BF427:BI427))</f>
        <v>0</v>
      </c>
      <c r="BK427" s="446">
        <f>IF($E427=0,0,IF(MIN(BK$38,$E427)&lt;MAX($P$34*($B427+$I$38-1),IF(AND($L$37=0,$P$34=0),"",$L$37-1)),0,YEARFRAC(MAX($P$34*($B427+$I$38-1),IF(AND($L$37=0,$P$34=0),"",$L$37-1)),MIN(BK$38,$E427),$P$20))-SUM($BF427:BJ427))</f>
        <v>0</v>
      </c>
      <c r="BL427" s="446">
        <f>IF($E427=0,0,IF(MIN(BL$38,$E427)&lt;MAX($P$34*($B427+$I$38-1),IF(AND($L$37=0,$P$34=0),"",$L$37-1)),0,YEARFRAC(MAX($P$34*($B427+$I$38-1),IF(AND($L$37=0,$P$34=0),"",$L$37-1)),MIN(BL$38,$E427),$P$20))-SUM($BF427:BK427))</f>
        <v>0</v>
      </c>
      <c r="BM427" s="446">
        <f>IF($E427=0,0,IF(MIN(BM$38,$E427)&lt;MAX($P$34*($B427+$I$38-1),IF(AND($L$37=0,$P$34=0),"",$L$37-1)),0,YEARFRAC(MAX($P$34*($B427+$I$38-1),IF(AND($L$37=0,$P$34=0),"",$L$37-1)),MIN(BM$38,$E427),$P$20))-SUM($BF427:BL427))</f>
        <v>0</v>
      </c>
      <c r="BN427" s="446">
        <f>IF($E427=0,0,IF(MIN(BN$38,$E427)&lt;MAX($P$34*($B427+$I$38-1),IF(AND($L$37=0,$P$34=0),"",$L$37-1)),0,YEARFRAC(MAX($P$34*($B427+$I$38-1),IF(AND($L$37=0,$P$34=0),"",$L$37-1)),MIN(BN$38,$E427),$P$20))-SUM($BF427:BM427))</f>
        <v>0</v>
      </c>
      <c r="BO427" s="446">
        <f>IF($E427=0,0,IF(MIN(BO$38,$E427)&lt;MAX($P$34*($B427+$I$38-1),IF(AND($L$37=0,$P$34=0),"",$L$37-1)),0,YEARFRAC(MAX($P$34*($B427+$I$38-1),IF(AND($L$37=0,$P$34=0),"",$L$37-1)),MIN(BO$38,$E427),$P$20))-SUM($BF427:BN427))</f>
        <v>0</v>
      </c>
      <c r="BP427" s="446">
        <f>IF($E427=0,0,IF(MIN(BP$38,$E427)&lt;MAX($P$34*($B427+$I$38-1),IF(AND($L$37=0,$P$34=0),"",$L$37-1)),0,YEARFRAC(MAX($P$34*($B427+$I$38-1),IF(AND($L$37=0,$P$34=0),"",$L$37-1)),MIN(BP$38,$E427),$P$20))-SUM($BF427:BO427))</f>
        <v>0</v>
      </c>
      <c r="BQ427" s="446">
        <f>IF($E427=0,0,IF(MIN(BQ$38,$E427)&lt;MAX($P$34*($B427+$I$38-1),IF(AND($L$37=0,$P$34=0),"",$L$37-1)),0,YEARFRAC(MAX($P$34*($B427+$I$38-1),IF(AND($L$37=0,$P$34=0),"",$L$37-1)),MIN(BQ$38,$E427),$P$20))-SUM($BF427:BP427))</f>
        <v>0</v>
      </c>
      <c r="BR427" s="446">
        <f>IF($E427=0,0,IF(MIN(BR$38,$E427)&lt;MAX($P$34*($B427+$I$38-1),IF(AND($L$37=0,$P$34=0),"",$L$37-1)),0,YEARFRAC(MAX($P$34*($B427+$I$38-1),IF(AND($L$37=0,$P$34=0),"",$L$37-1)),MIN(BR$38,$E427),$P$20))-SUM($BF427:BQ427))</f>
        <v>0</v>
      </c>
      <c r="BS427" s="446">
        <f>IF($E427=0,0,IF(MIN(BS$38,$E427)&lt;MAX($P$34*($B427+$I$38-1),IF(AND($L$37=0,$P$34=0),"",$L$37-1)),0,YEARFRAC(MAX($P$34*($B427+$I$38-1),IF(AND($L$37=0,$P$34=0),"",$L$37-1)),MIN(BS$38,$E427),$P$20))-SUM($BF427:BR427))</f>
        <v>0</v>
      </c>
      <c r="BT427" s="446">
        <f>IF($E427=0,0,IF(MIN(BT$38,$E427)&lt;MAX($P$34*($B427+$I$38-1),IF(AND($L$37=0,$P$34=0),"",$L$37-1)),0,YEARFRAC(MAX($P$34*($B427+$I$38-1),IF(AND($L$37=0,$P$34=0),"",$L$37-1)),MIN(BT$38,$E427),$P$20))-SUM($BF427:BS427))</f>
        <v>0</v>
      </c>
      <c r="BU427" s="446">
        <f>IF($E427=0,0,IF(MIN(BU$38,$E427)&lt;MAX($P$34*($B427+$I$38-1),IF(AND($L$37=0,$P$34=0),"",$L$37-1)),0,YEARFRAC(MAX($P$34*($B427+$I$38-1),IF(AND($L$37=0,$P$34=0),"",$L$37-1)),MIN(BU$38,$E427),$P$20))-SUM($BF427:BT427))</f>
        <v>0</v>
      </c>
      <c r="BV427" s="446">
        <f>IF($E427=0,0,IF(MIN(BV$38,$E427)&lt;MAX($P$34*($B427+$I$38-1),IF(AND($L$37=0,$P$34=0),"",$L$37-1)),0,YEARFRAC(MAX($P$34*($B427+$I$38-1),IF(AND($L$37=0,$P$34=0),"",$L$37-1)),MIN(BV$38,$E427),$P$20))-SUM($BF427:BU427))</f>
        <v>0</v>
      </c>
      <c r="BW427" s="446">
        <f>IF($E427=0,0,IF(MIN(BW$38,$E427)&lt;MAX($P$34*($B427+$I$38-1),IF(AND($L$37=0,$P$34=0),"",$L$37-1)),0,YEARFRAC(MAX($P$34*($B427+$I$38-1),IF(AND($L$37=0,$P$34=0),"",$L$37-1)),MIN(BW$38,$E427),$P$20))-SUM($BF427:BV427))</f>
        <v>0</v>
      </c>
      <c r="BX427" s="446">
        <f>IF($E427=0,0,IF(MIN(BX$38,$E427)&lt;MAX($P$34*($B427+$I$38-1),IF(AND($L$37=0,$P$34=0),"",$L$37-1)),0,YEARFRAC(MAX($P$34*($B427+$I$38-1),IF(AND($L$37=0,$P$34=0),"",$L$37-1)),MIN(BX$38,$E427),$P$20))-SUM($BF427:BW427))</f>
        <v>0</v>
      </c>
      <c r="BY427" s="446">
        <f>IF($E427=0,0,IF(MIN(BY$38,$E427)&lt;MAX($P$34*($B427+$I$38-1),IF(AND($L$37=0,$P$34=0),"",$L$37-1)),0,YEARFRAC(MAX($P$34*($B427+$I$38-1),IF(AND($L$37=0,$P$34=0),"",$L$37-1)),MIN(BY$38,$E427),$P$20))-SUM($BF427:BX427))</f>
        <v>0</v>
      </c>
      <c r="BZ427" s="446">
        <f>IF($E427=0,0,IF(MIN(BZ$38,$E427)&lt;MAX($P$34*($B427+$I$38-1),IF(AND($L$37=0,$P$34=0),"",$L$37-1)),0,YEARFRAC(MAX($P$34*($B427+$I$38-1),IF(AND($L$37=0,$P$34=0),"",$L$37-1)),MIN(BZ$38,$E427),$P$20))-SUM($BF427:BY427))</f>
        <v>0</v>
      </c>
      <c r="CA427" s="446">
        <f>IF($E427=0,0,IF(MIN(CA$38,$E427)&lt;MAX($P$34*($B427+$I$38-1),IF(AND($L$37=0,$P$34=0),"",$L$37-1)),0,YEARFRAC(MAX($P$34*($B427+$I$38-1),IF(AND($L$37=0,$P$34=0),"",$L$37-1)),MIN(CA$38,$E427),$P$20))-SUM($BF427:BZ427))</f>
        <v>0</v>
      </c>
      <c r="CB427" s="446">
        <f>IF($E427=0,0,IF(MIN(CB$38,$E427)&lt;MAX($P$34*($B427+$I$38-1),IF(AND($L$37=0,$P$34=0),"",$L$37-1)),0,YEARFRAC(MAX($P$34*($B427+$I$38-1),IF(AND($L$37=0,$P$34=0),"",$L$37-1)),MIN(CB$38,$E427),$P$20))-SUM($BF427:CA427))</f>
        <v>0</v>
      </c>
      <c r="CC427" s="446">
        <f>IF($E427=0,0,IF(MIN(CC$38,$E427)&lt;MAX($P$34*($B427+$I$38-1),IF(AND($L$37=0,$P$34=0),"",$L$37-1)),0,YEARFRAC(MAX($P$34*($B427+$I$38-1),IF(AND($L$37=0,$P$34=0),"",$L$37-1)),MIN(CC$38,$E427),$P$20))-SUM($BF427:CB427))</f>
        <v>0</v>
      </c>
      <c r="CD427" s="446">
        <f>IF($E427=0,0,IF(MIN(CD$38,$E427)&lt;MAX($P$34*($B427+$I$38-1),IF(AND($L$37=0,$P$34=0),"",$L$37-1)),0,YEARFRAC(MAX($P$34*($B427+$I$38-1),IF(AND($L$37=0,$P$34=0),"",$L$37-1)),MIN(CD$38,$E427),$P$20))-SUM($BF427:CC427))</f>
        <v>0</v>
      </c>
      <c r="CE427" s="446">
        <f>IF($E427=0,0,IF(MIN(CE$38,$E427)&lt;MAX($P$34*($B427+$I$38-1),IF(AND($L$37=0,$P$34=0),"",$L$37-1)),0,YEARFRAC(MAX($P$34*($B427+$I$38-1),IF(AND($L$37=0,$P$34=0),"",$L$37-1)),MIN(CE$38,$E427),$P$20))-SUM($BF427:CD427))</f>
        <v>0</v>
      </c>
      <c r="CF427" s="446">
        <f>IF($E427=0,0,IF(MIN(CF$38,$E427)&lt;MAX($P$34*($B427+$I$38-1),IF(AND($L$37=0,$P$34=0),"",$L$37-1)),0,YEARFRAC(MAX($P$34*($B427+$I$38-1),IF(AND($L$37=0,$P$34=0),"",$L$37-1)),MIN(CF$38,$E427),$P$20))-SUM($BF427:CE427))</f>
        <v>0</v>
      </c>
      <c r="CG427" s="446">
        <f>IF($E427=0,0,IF(MIN(CG$38,$E427)&lt;MAX($P$34*($B427+$I$38-1),IF(AND($L$37=0,$P$34=0),"",$L$37-1)),0,YEARFRAC(MAX($P$34*($B427+$I$38-1),IF(AND($L$37=0,$P$34=0),"",$L$37-1)),MIN(CG$38,$E427),$P$20))-SUM($BF427:CF427))</f>
        <v>0</v>
      </c>
      <c r="CH427" s="446">
        <f>IF($E427=0,0,IF(MIN(CH$38,$E427)&lt;MAX($P$34*($B427+$I$38-1),IF(AND($L$37=0,$P$34=0),"",$L$37-1)),0,YEARFRAC(MAX($P$34*($B427+$I$38-1),IF(AND($L$37=0,$P$34=0),"",$L$37-1)),MIN(CH$38,$E427),$P$20))-SUM($BF427:CG427))</f>
        <v>0</v>
      </c>
      <c r="CI427" s="446">
        <f>IF($E427=0,0,IF(MIN(CI$38,$E427)&lt;MAX($P$34*($B427+$I$38-1),IF(AND($L$37=0,$P$34=0),"",$L$37-1)),0,YEARFRAC(MAX($P$34*($B427+$I$38-1),IF(AND($L$37=0,$P$34=0),"",$L$37-1)),MIN(CI$38,$E427),$P$20))-SUM($BF427:CH427))</f>
        <v>0</v>
      </c>
      <c r="CJ427" s="446">
        <f>IF($E427=0,0,IF(MIN(CJ$38,$E427)&lt;MAX($P$34*($B427+$I$38-1),IF(AND($L$37=0,$P$34=0),"",$L$37-1)),0,YEARFRAC(MAX($P$34*($B427+$I$38-1),IF(AND($L$37=0,$P$34=0),"",$L$37-1)),MIN(CJ$38,$E427),$P$20))-SUM($BF427:CI427))</f>
        <v>0</v>
      </c>
      <c r="CK427" s="446">
        <f>IF($E427=0,0,IF(MIN(CK$38,$E427)&lt;MAX($P$34*($B427+$I$38-1),IF(AND($L$37=0,$P$34=0),"",$L$37-1)),0,YEARFRAC(MAX($P$34*($B427+$I$38-1),IF(AND($L$37=0,$P$34=0),"",$L$37-1)),MIN(CK$38,$E427),$P$20))-SUM($BF427:CJ427))</f>
        <v>0</v>
      </c>
      <c r="CL427" s="446">
        <f>IF($E427=0,0,IF(MIN(CL$38,$E427)&lt;MAX($P$34*($B427+$I$38-1),IF(AND($L$37=0,$P$34=0),"",$L$37-1)),0,YEARFRAC(MAX($P$34*($B427+$I$38-1),IF(AND($L$37=0,$P$34=0),"",$L$37-1)),MIN(CL$38,$E427),$P$20))-SUM($BF427:CK427))</f>
        <v>0</v>
      </c>
      <c r="CM427" s="446">
        <f>IF($E427=0,0,IF(MIN(CM$38,$E427)&lt;MAX($P$34*($B427+$I$38-1),IF(AND($L$37=0,$P$34=0),"",$L$37-1)),0,YEARFRAC(MAX($P$34*($B427+$I$38-1),IF(AND($L$37=0,$P$34=0),"",$L$37-1)),MIN(CM$38,$E427),$P$20))-SUM($BF427:CL427))</f>
        <v>0</v>
      </c>
      <c r="CN427" s="446">
        <f>IF($E427=0,0,IF(MIN(CN$38,$E427)&lt;MAX($P$34*($B427+$I$38-1),IF(AND($L$37=0,$P$34=0),"",$L$37-1)),0,YEARFRAC(MAX($P$34*($B427+$I$38-1),IF(AND($L$37=0,$P$34=0),"",$L$37-1)),MIN(CN$38,$E427),$P$20))-SUM($BF427:CM427))</f>
        <v>0</v>
      </c>
      <c r="CO427" s="446">
        <f>IF($E427=0,0,IF(MIN(CO$38,$E427)&lt;MAX($P$34*($B427+$I$38-1),IF(AND($L$37=0,$P$34=0),"",$L$37-1)),0,YEARFRAC(MAX($P$34*($B427+$I$38-1),IF(AND($L$37=0,$P$34=0),"",$L$37-1)),MIN(CO$38,$E427),$P$20))-SUM($BF427:CN427))</f>
        <v>0</v>
      </c>
      <c r="CP427" s="446">
        <f>IF($E427=0,0,IF(MIN(CP$38,$E427)&lt;MAX($P$34*($B427+$I$38-1),IF(AND($L$37=0,$P$34=0),"",$L$37-1)),0,YEARFRAC(MAX($P$34*($B427+$I$38-1),IF(AND($L$37=0,$P$34=0),"",$L$37-1)),MIN(CP$38,$E427),$P$20))-SUM($BF427:CO427))</f>
        <v>0</v>
      </c>
      <c r="CQ427" s="446">
        <f>IF($E427=0,0,IF(MIN(CQ$38,$E427)&lt;MAX($P$34*($B427+$I$38-1),IF(AND($L$37=0,$P$34=0),"",$L$37-1)),0,YEARFRAC(MAX($P$34*($B427+$I$38-1),IF(AND($L$37=0,$P$34=0),"",$L$37-1)),MIN(CQ$38,$E427),$P$20))-SUM($BF427:CP427))</f>
        <v>0</v>
      </c>
    </row>
    <row r="428" spans="1:95" s="446" customFormat="1" ht="11.25" hidden="1" customHeight="1" x14ac:dyDescent="0.2">
      <c r="A428" s="152"/>
      <c r="B428" s="153" t="str">
        <f t="shared" si="81"/>
        <v/>
      </c>
      <c r="C428" s="29" t="str">
        <f>IF(B428="","",IF($L$35="SELIC - TRIBUTOS",VLOOKUP(DATE(YEAR($D$19),MONTH($D$19)-1,1),ÍNDICES!$A:$DE,HLOOKUP($BL$25,ÍNDICES!$B$3:$T$4,2)+11)-VLOOKUP(B428,ÍNDICES!$A:$DE,HLOOKUP($BL$25,ÍNDICES!$B$3:$T$4,2)+11)+1%,IF(C$38=$W$26,$J$35,IF(ISERROR(IF(B428&gt;$D$19,1,VLOOKUP(DATE(YEAR(B428),MONTH(B428)+IF($C$35=$S$23,1,0),1),ÍNDICES!$A:$DE,$Z$35+1))),"",IF(B428&gt;$D$19,1,VLOOKUP(DATE(YEAR(B428),MONTH(B428)+IF($C$35=$S$23,1,0),1),ÍNDICES!$A:$DE,$Z$35+1))))))</f>
        <v/>
      </c>
      <c r="D428" s="154" t="str">
        <f>IF(ISERROR(IF(OR($D$38=$Y$27,$B428=""),"",VLOOKUP(B428,ÍNDICES!A:DE,AF$35+1))),"",IF(OR($D$38=$Y$27,$B428=""),"",VLOOKUP(B428,ÍNDICES!A:DE,AF$35+1)))</f>
        <v/>
      </c>
      <c r="E428" s="153"/>
      <c r="F428" s="29" t="str">
        <f>IF(E428="","",IF($L$35="SELIC - TRIBUTOS",VLOOKUP(DATE(YEAR($D$19),MONTH($D$19)-1,1),ÍNDICES!$A:$DE,HLOOKUP($BL$25,ÍNDICES!$B$3:$T$4,2)+11)-VLOOKUP(E428,ÍNDICES!$A:$DE,HLOOKUP($BL$25,ÍNDICES!$B$3:$T$4,2)+11)+1%,IF(F$38=$W$26,$J$35,IF(ISERROR(IF(E428&gt;$D$19,1,VLOOKUP(DATE(YEAR(E428),MONTH(E428)+IF($C$35=$S$23,1,0),1),ÍNDICES!$A:$DE,$Z$35+1))),"",IF(E428&gt;$D$19,1,VLOOKUP(DATE(YEAR(E428),MONTH(E428)+IF($C$35=$S$23,1,0),1),ÍNDICES!$A:$DE,$Z$35+1))))))</f>
        <v/>
      </c>
      <c r="G428" s="155"/>
      <c r="H428" s="156" t="str">
        <f t="shared" si="77"/>
        <v/>
      </c>
      <c r="I428" s="29" t="str">
        <f t="shared" si="71"/>
        <v/>
      </c>
      <c r="J428" s="5">
        <f t="shared" si="72"/>
        <v>0</v>
      </c>
      <c r="K428" s="20">
        <f t="shared" ca="1" si="73"/>
        <v>0</v>
      </c>
      <c r="L428" s="5">
        <f t="shared" ca="1" si="74"/>
        <v>0</v>
      </c>
      <c r="M428" s="64">
        <f t="shared" si="78"/>
        <v>0</v>
      </c>
      <c r="N428" s="61">
        <f t="shared" ca="1" si="79"/>
        <v>0</v>
      </c>
      <c r="O428" s="5">
        <f t="shared" ca="1" si="80"/>
        <v>0</v>
      </c>
      <c r="P428" s="446" t="e">
        <f t="shared" si="75"/>
        <v>#VALUE!</v>
      </c>
      <c r="Q428" s="446" t="e">
        <f>IF(OR($B428="",MIN(Q$38,$D$19)&lt;MAX($P$34*($B428+IF($R$17="Distrato",$I$38-1,0)),IF(AND($L$37=0,$P$34=0),"",$L$37-1),IF($R$17="Distrato",$E428,0))),0,YEARFRAC(MAX($P$34*($B428+IF($R$17="Distrato",$I$38-1,0)),IF(AND($L$37=0,$P$34=0),"",$L$37-1),IF($R$17="Distrato",$E428,0)),MIN(Q$38,$D$19),$P$20))-SUM($P428:P428)</f>
        <v>#VALUE!</v>
      </c>
      <c r="R428" s="446" t="e">
        <f>IF(OR($B428="",MIN(R$38,$D$19)&lt;MAX($P$34*($B428+IF($R$17="Distrato",$I$38-1,0)),IF(AND($L$37=0,$P$34=0),"",$L$37-1),IF($R$17="Distrato",$E428,0))),0,YEARFRAC(MAX($P$34*($B428+IF($R$17="Distrato",$I$38-1,0)),IF(AND($L$37=0,$P$34=0),"",$L$37-1),IF($R$17="Distrato",$E428,0)),MIN(R$38,$D$19),$P$20))-SUM($P428:Q428)</f>
        <v>#VALUE!</v>
      </c>
      <c r="S428" s="446" t="e">
        <f>IF(OR($B428="",MIN(S$38,$D$19)&lt;MAX($P$34*($B428+IF($R$17="Distrato",$I$38-1,0)),IF(AND($L$37=0,$P$34=0),"",$L$37-1),IF($R$17="Distrato",$E428,0))),0,YEARFRAC(MAX($P$34*($B428+IF($R$17="Distrato",$I$38-1,0)),IF(AND($L$37=0,$P$34=0),"",$L$37-1),IF($R$17="Distrato",$E428,0)),MIN(S$38,$D$19),$P$20))-SUM($P428:R428)</f>
        <v>#VALUE!</v>
      </c>
      <c r="T428" s="446" t="e">
        <f>IF(OR($B428="",MIN(T$38,$D$19)&lt;MAX($P$34*($B428+IF($R$17="Distrato",$I$38-1,0)),IF(AND($L$37=0,$P$34=0),"",$L$37-1),IF($R$17="Distrato",$E428,0))),0,YEARFRAC(MAX($P$34*($B428+IF($R$17="Distrato",$I$38-1,0)),IF(AND($L$37=0,$P$34=0),"",$L$37-1),IF($R$17="Distrato",$E428,0)),MIN(T$38,$D$19),$P$20))-SUM($P428:S428)</f>
        <v>#VALUE!</v>
      </c>
      <c r="U428" s="446" t="e">
        <f>IF(OR($B428="",MIN(U$38,$D$19)&lt;MAX($P$34*($B428+IF($R$17="Distrato",$I$38-1,0)),IF(AND($L$37=0,$P$34=0),"",$L$37-1),IF($R$17="Distrato",$E428,0))),0,YEARFRAC(MAX($P$34*($B428+IF($R$17="Distrato",$I$38-1,0)),IF(AND($L$37=0,$P$34=0),"",$L$37-1),IF($R$17="Distrato",$E428,0)),MIN(U$38,$D$19),$P$20))-SUM($P428:T428)</f>
        <v>#VALUE!</v>
      </c>
      <c r="V428" s="446" t="e">
        <f>IF(OR($B428="",MIN(V$38,$D$19)&lt;MAX($P$34*($B428+IF($R$17="Distrato",$I$38-1,0)),IF(AND($L$37=0,$P$34=0),"",$L$37-1),IF($R$17="Distrato",$E428,0))),0,YEARFRAC(MAX($P$34*($B428+IF($R$17="Distrato",$I$38-1,0)),IF(AND($L$37=0,$P$34=0),"",$L$37-1),IF($R$17="Distrato",$E428,0)),MIN(V$38,$D$19),$P$20))-SUM($P428:U428)</f>
        <v>#VALUE!</v>
      </c>
      <c r="W428" s="446" t="e">
        <f>IF(OR($B428="",MIN(W$38,$D$19)&lt;MAX($P$34*($B428+IF($R$17="Distrato",$I$38-1,0)),IF(AND($L$37=0,$P$34=0),"",$L$37-1),IF($R$17="Distrato",$E428,0))),0,YEARFRAC(MAX($P$34*($B428+IF($R$17="Distrato",$I$38-1,0)),IF(AND($L$37=0,$P$34=0),"",$L$37-1),IF($R$17="Distrato",$E428,0)),MIN(W$38,$D$19),$P$20))-SUM($P428:V428)</f>
        <v>#VALUE!</v>
      </c>
      <c r="X428" s="446" t="e">
        <f>IF(OR($B428="",MIN(X$38,$D$19)&lt;MAX($P$34*($B428+IF($R$17="Distrato",$I$38-1,0)),IF(AND($L$37=0,$P$34=0),"",$L$37-1),IF($R$17="Distrato",$E428,0))),0,YEARFRAC(MAX($P$34*($B428+IF($R$17="Distrato",$I$38-1,0)),IF(AND($L$37=0,$P$34=0),"",$L$37-1),IF($R$17="Distrato",$E428,0)),MIN(X$38,$D$19),$P$20))-SUM($P428:W428)</f>
        <v>#VALUE!</v>
      </c>
      <c r="Y428" s="446" t="e">
        <f>IF(OR($B428="",MIN(Y$38,$D$19)&lt;MAX($P$34*($B428+IF($R$17="Distrato",$I$38-1,0)),IF(AND($L$37=0,$P$34=0),"",$L$37-1),IF($R$17="Distrato",$E428,0))),0,YEARFRAC(MAX($P$34*($B428+IF($R$17="Distrato",$I$38-1,0)),IF(AND($L$37=0,$P$34=0),"",$L$37-1),IF($R$17="Distrato",$E428,0)),MIN(Y$38,$D$19),$P$20))-SUM($P428:X428)</f>
        <v>#VALUE!</v>
      </c>
      <c r="Z428" s="446" t="e">
        <f>IF(OR($B428="",MIN(Z$38,$D$19)&lt;MAX($P$34*($B428+IF($R$17="Distrato",$I$38-1,0)),IF(AND($L$37=0,$P$34=0),"",$L$37-1),IF($R$17="Distrato",$E428,0))),0,YEARFRAC(MAX($P$34*($B428+IF($R$17="Distrato",$I$38-1,0)),IF(AND($L$37=0,$P$34=0),"",$L$37-1),IF($R$17="Distrato",$E428,0)),MIN(Z$38,$D$19),$P$20))-SUM($P428:Y428)</f>
        <v>#VALUE!</v>
      </c>
      <c r="AA428" s="446" t="e">
        <f>IF(OR($B428="",MIN(AA$38,$D$19)&lt;MAX($P$34*($B428+IF($R$17="Distrato",$I$38-1,0)),IF(AND($L$37=0,$P$34=0),"",$L$37-1),IF($R$17="Distrato",$E428,0))),0,YEARFRAC(MAX($P$34*($B428+IF($R$17="Distrato",$I$38-1,0)),IF(AND($L$37=0,$P$34=0),"",$L$37-1),IF($R$17="Distrato",$E428,0)),MIN(AA$38,$D$19),$P$20))-SUM($P428:Z428)</f>
        <v>#VALUE!</v>
      </c>
      <c r="AB428" s="446" t="e">
        <f>IF(OR($B428="",MIN(AB$38,$D$19)&lt;MAX($P$34*($B428+IF($R$17="Distrato",$I$38-1,0)),IF(AND($L$37=0,$P$34=0),"",$L$37-1),IF($R$17="Distrato",$E428,0))),0,YEARFRAC(MAX($P$34*($B428+IF($R$17="Distrato",$I$38-1,0)),IF(AND($L$37=0,$P$34=0),"",$L$37-1),IF($R$17="Distrato",$E428,0)),MIN(AB$38,$D$19),$P$20))-SUM($P428:AA428)</f>
        <v>#VALUE!</v>
      </c>
      <c r="AC428" s="446" t="e">
        <f>IF(OR($B428="",MIN(AC$38,$D$19)&lt;MAX($P$34*($B428+IF($R$17="Distrato",$I$38-1,0)),IF(AND($L$37=0,$P$34=0),"",$L$37-1),IF($R$17="Distrato",$E428,0))),0,YEARFRAC(MAX($P$34*($B428+IF($R$17="Distrato",$I$38-1,0)),IF(AND($L$37=0,$P$34=0),"",$L$37-1),IF($R$17="Distrato",$E428,0)),MIN(AC$38,$D$19),$P$20))-SUM($P428:AB428)</f>
        <v>#VALUE!</v>
      </c>
      <c r="AD428" s="446" t="e">
        <f>IF(OR($B428="",MIN(AD$38,$D$19)&lt;MAX($P$34*($B428+IF($R$17="Distrato",$I$38-1,0)),IF(AND($L$37=0,$P$34=0),"",$L$37-1),IF($R$17="Distrato",$E428,0))),0,YEARFRAC(MAX($P$34*($B428+IF($R$17="Distrato",$I$38-1,0)),IF(AND($L$37=0,$P$34=0),"",$L$37-1),IF($R$17="Distrato",$E428,0)),MIN(AD$38,$D$19),$P$20))-SUM($P428:AC428)</f>
        <v>#VALUE!</v>
      </c>
      <c r="AE428" s="446" t="e">
        <f>IF(OR($B428="",MIN(AE$38,$D$19)&lt;MAX($P$34*($B428+IF($R$17="Distrato",$I$38-1,0)),IF(AND($L$37=0,$P$34=0),"",$L$37-1),IF($R$17="Distrato",$E428,0))),0,YEARFRAC(MAX($P$34*($B428+IF($R$17="Distrato",$I$38-1,0)),IF(AND($L$37=0,$P$34=0),"",$L$37-1),IF($R$17="Distrato",$E428,0)),MIN(AE$38,$D$19),$P$20))-SUM($P428:AD428)</f>
        <v>#VALUE!</v>
      </c>
      <c r="AF428" s="446" t="e">
        <f>IF(OR($B428="",MIN(AF$38,$D$19)&lt;MAX($P$34*($B428+IF($R$17="Distrato",$I$38-1,0)),IF(AND($L$37=0,$P$34=0),"",$L$37-1),IF($R$17="Distrato",$E428,0))),0,YEARFRAC(MAX($P$34*($B428+IF($R$17="Distrato",$I$38-1,0)),IF(AND($L$37=0,$P$34=0),"",$L$37-1),IF($R$17="Distrato",$E428,0)),MIN(AF$38,$D$19),$P$20))-SUM($P428:AE428)</f>
        <v>#VALUE!</v>
      </c>
      <c r="AG428" s="446" t="e">
        <f>IF(OR($B428="",MIN(AG$38,$D$19)&lt;MAX($P$34*($B428+IF($R$17="Distrato",$I$38-1,0)),IF(AND($L$37=0,$P$34=0),"",$L$37-1),IF($R$17="Distrato",$E428,0))),0,YEARFRAC(MAX($P$34*($B428+IF($R$17="Distrato",$I$38-1,0)),IF(AND($L$37=0,$P$34=0),"",$L$37-1),IF($R$17="Distrato",$E428,0)),MIN(AG$38,$D$19),$P$20))-SUM($P428:AF428)</f>
        <v>#VALUE!</v>
      </c>
      <c r="AH428" s="446" t="e">
        <f>IF(OR($B428="",MIN(AH$38,$D$19)&lt;MAX($P$34*($B428+IF($R$17="Distrato",$I$38-1,0)),IF(AND($L$37=0,$P$34=0),"",$L$37-1),IF($R$17="Distrato",$E428,0))),0,YEARFRAC(MAX($P$34*($B428+IF($R$17="Distrato",$I$38-1,0)),IF(AND($L$37=0,$P$34=0),"",$L$37-1),IF($R$17="Distrato",$E428,0)),MIN(AH$38,$D$19),$P$20))-SUM($P428:AG428)</f>
        <v>#VALUE!</v>
      </c>
      <c r="AI428" s="446" t="e">
        <f>IF(OR($B428="",MIN(AI$38,$D$19)&lt;MAX($P$34*($B428+IF($R$17="Distrato",$I$38-1,0)),IF(AND($L$37=0,$P$34=0),"",$L$37-1),IF($R$17="Distrato",$E428,0))),0,YEARFRAC(MAX($P$34*($B428+IF($R$17="Distrato",$I$38-1,0)),IF(AND($L$37=0,$P$34=0),"",$L$37-1),IF($R$17="Distrato",$E428,0)),MIN(AI$38,$D$19),$P$20))-SUM($P428:AH428)</f>
        <v>#VALUE!</v>
      </c>
      <c r="AJ428" s="446" t="e">
        <f>IF(OR($B428="",MIN(AJ$38,$D$19)&lt;MAX($P$34*($B428+IF($R$17="Distrato",$I$38-1,0)),IF(AND($L$37=0,$P$34=0),"",$L$37-1),IF($R$17="Distrato",$E428,0))),0,YEARFRAC(MAX($P$34*($B428+IF($R$17="Distrato",$I$38-1,0)),IF(AND($L$37=0,$P$34=0),"",$L$37-1),IF($R$17="Distrato",$E428,0)),MIN(AJ$38,$D$19),$P$20))-SUM($P428:AI428)</f>
        <v>#VALUE!</v>
      </c>
      <c r="AK428" s="446" t="e">
        <f>IF(OR($B428="",MIN(AK$38,$D$19)&lt;MAX($P$34*($B428+IF($R$17="Distrato",$I$38-1,0)),IF(AND($L$37=0,$P$34=0),"",$L$37-1),IF($R$17="Distrato",$E428,0))),0,YEARFRAC(MAX($P$34*($B428+IF($R$17="Distrato",$I$38-1,0)),IF(AND($L$37=0,$P$34=0),"",$L$37-1),IF($R$17="Distrato",$E428,0)),MIN(AK$38,$D$19),$P$20))-SUM($P428:AJ428)</f>
        <v>#VALUE!</v>
      </c>
      <c r="AL428" s="446" t="e">
        <f>IF(OR($B428="",MIN(AL$38,$D$19)&lt;MAX($P$34*($B428+IF($R$17="Distrato",$I$38-1,0)),IF(AND($L$37=0,$P$34=0),"",$L$37-1),IF($R$17="Distrato",$E428,0))),0,YEARFRAC(MAX($P$34*($B428+IF($R$17="Distrato",$I$38-1,0)),IF(AND($L$37=0,$P$34=0),"",$L$37-1),IF($R$17="Distrato",$E428,0)),MIN(AL$38,$D$19),$P$20))-SUM($P428:AK428)</f>
        <v>#VALUE!</v>
      </c>
      <c r="AM428" s="446" t="e">
        <f>IF(OR($B428="",MIN(AM$38,$D$19)&lt;MAX($P$34*($B428+IF($R$17="Distrato",$I$38-1,0)),IF(AND($L$37=0,$P$34=0),"",$L$37-1),IF($R$17="Distrato",$E428,0))),0,YEARFRAC(MAX($P$34*($B428+IF($R$17="Distrato",$I$38-1,0)),IF(AND($L$37=0,$P$34=0),"",$L$37-1),IF($R$17="Distrato",$E428,0)),MIN(AM$38,$D$19),$P$20))-SUM($P428:AL428)</f>
        <v>#VALUE!</v>
      </c>
      <c r="AN428" s="446" t="e">
        <f>IF(OR($B428="",MIN(AN$38,$D$19)&lt;MAX($P$34*($B428+IF($R$17="Distrato",$I$38-1,0)),IF(AND($L$37=0,$P$34=0),"",$L$37-1),IF($R$17="Distrato",$E428,0))),0,YEARFRAC(MAX($P$34*($B428+IF($R$17="Distrato",$I$38-1,0)),IF(AND($L$37=0,$P$34=0),"",$L$37-1),IF($R$17="Distrato",$E428,0)),MIN(AN$38,$D$19),$P$20))-SUM($P428:AM428)</f>
        <v>#VALUE!</v>
      </c>
      <c r="AO428" s="446" t="e">
        <f>IF(OR($B428="",MIN(AO$38,$D$19)&lt;MAX($P$34*($B428+IF($R$17="Distrato",$I$38-1,0)),IF(AND($L$37=0,$P$34=0),"",$L$37-1),IF($R$17="Distrato",$E428,0))),0,YEARFRAC(MAX($P$34*($B428+IF($R$17="Distrato",$I$38-1,0)),IF(AND($L$37=0,$P$34=0),"",$L$37-1),IF($R$17="Distrato",$E428,0)),MIN(AO$38,$D$19),$P$20))-SUM($P428:AN428)</f>
        <v>#VALUE!</v>
      </c>
      <c r="AP428" s="446" t="e">
        <f>IF(OR($B428="",MIN(AP$38,$D$19)&lt;MAX($P$34*($B428+IF($R$17="Distrato",$I$38-1,0)),IF(AND($L$37=0,$P$34=0),"",$L$37-1),IF($R$17="Distrato",$E428,0))),0,YEARFRAC(MAX($P$34*($B428+IF($R$17="Distrato",$I$38-1,0)),IF(AND($L$37=0,$P$34=0),"",$L$37-1),IF($R$17="Distrato",$E428,0)),MIN(AP$38,$D$19),$P$20))-SUM($P428:AO428)</f>
        <v>#VALUE!</v>
      </c>
      <c r="AQ428" s="446" t="e">
        <f>IF(OR($B428="",MIN(AQ$38,$D$19)&lt;MAX($P$34*($B428+IF($R$17="Distrato",$I$38-1,0)),IF(AND($L$37=0,$P$34=0),"",$L$37-1),IF($R$17="Distrato",$E428,0))),0,YEARFRAC(MAX($P$34*($B428+IF($R$17="Distrato",$I$38-1,0)),IF(AND($L$37=0,$P$34=0),"",$L$37-1),IF($R$17="Distrato",$E428,0)),MIN(AQ$38,$D$19),$P$20))-SUM($P428:AP428)</f>
        <v>#VALUE!</v>
      </c>
      <c r="AR428" s="446" t="e">
        <f>IF(OR($B428="",MIN(AR$38,$D$19)&lt;MAX($P$34*($B428+IF($R$17="Distrato",$I$38-1,0)),IF(AND($L$37=0,$P$34=0),"",$L$37-1),IF($R$17="Distrato",$E428,0))),0,YEARFRAC(MAX($P$34*($B428+IF($R$17="Distrato",$I$38-1,0)),IF(AND($L$37=0,$P$34=0),"",$L$37-1),IF($R$17="Distrato",$E428,0)),MIN(AR$38,$D$19),$P$20))-SUM($P428:AQ428)</f>
        <v>#VALUE!</v>
      </c>
      <c r="AS428" s="446" t="e">
        <f>IF(OR($B428="",MIN(AS$38,$D$19)&lt;MAX($P$34*($B428+IF($R$17="Distrato",$I$38-1,0)),IF(AND($L$37=0,$P$34=0),"",$L$37-1),IF($R$17="Distrato",$E428,0))),0,YEARFRAC(MAX($P$34*($B428+IF($R$17="Distrato",$I$38-1,0)),IF(AND($L$37=0,$P$34=0),"",$L$37-1),IF($R$17="Distrato",$E428,0)),MIN(AS$38,$D$19),$P$20))-SUM($P428:AR428)</f>
        <v>#VALUE!</v>
      </c>
      <c r="AT428" s="446" t="e">
        <f>IF(OR($B428="",MIN(AT$38,$D$19)&lt;MAX($P$34*($B428+IF($R$17="Distrato",$I$38-1,0)),IF(AND($L$37=0,$P$34=0),"",$L$37-1),IF($R$17="Distrato",$E428,0))),0,YEARFRAC(MAX($P$34*($B428+IF($R$17="Distrato",$I$38-1,0)),IF(AND($L$37=0,$P$34=0),"",$L$37-1),IF($R$17="Distrato",$E428,0)),MIN(AT$38,$D$19),$P$20))-SUM($P428:AS428)</f>
        <v>#VALUE!</v>
      </c>
      <c r="AU428" s="446" t="e">
        <f>IF(OR($B428="",MIN(AU$38,$D$19)&lt;MAX($P$34*($B428+IF($R$17="Distrato",$I$38-1,0)),IF(AND($L$37=0,$P$34=0),"",$L$37-1),IF($R$17="Distrato",$E428,0))),0,YEARFRAC(MAX($P$34*($B428+IF($R$17="Distrato",$I$38-1,0)),IF(AND($L$37=0,$P$34=0),"",$L$37-1),IF($R$17="Distrato",$E428,0)),MIN(AU$38,$D$19),$P$20))-SUM($P428:AT428)</f>
        <v>#VALUE!</v>
      </c>
      <c r="AV428" s="446" t="e">
        <f>IF(OR($B428="",MIN(AV$38,$D$19)&lt;MAX($P$34*($B428+IF($R$17="Distrato",$I$38-1,0)),IF(AND($L$37=0,$P$34=0),"",$L$37-1),IF($R$17="Distrato",$E428,0))),0,YEARFRAC(MAX($P$34*($B428+IF($R$17="Distrato",$I$38-1,0)),IF(AND($L$37=0,$P$34=0),"",$L$37-1),IF($R$17="Distrato",$E428,0)),MIN(AV$38,$D$19),$P$20))-SUM($P428:AU428)</f>
        <v>#VALUE!</v>
      </c>
      <c r="AW428" s="446" t="e">
        <f>IF(OR($B428="",MIN(AW$38,$D$19)&lt;MAX($P$34*($B428+IF($R$17="Distrato",$I$38-1,0)),IF(AND($L$37=0,$P$34=0),"",$L$37-1),IF($R$17="Distrato",$E428,0))),0,YEARFRAC(MAX($P$34*($B428+IF($R$17="Distrato",$I$38-1,0)),IF(AND($L$37=0,$P$34=0),"",$L$37-1),IF($R$17="Distrato",$E428,0)),MIN(AW$38,$D$19),$P$20))-SUM($P428:AV428)</f>
        <v>#VALUE!</v>
      </c>
      <c r="AX428" s="446" t="e">
        <f>IF(OR($B428="",MIN(AX$38,$D$19)&lt;MAX($P$34*($B428+IF($R$17="Distrato",$I$38-1,0)),IF(AND($L$37=0,$P$34=0),"",$L$37-1),IF($R$17="Distrato",$E428,0))),0,YEARFRAC(MAX($P$34*($B428+IF($R$17="Distrato",$I$38-1,0)),IF(AND($L$37=0,$P$34=0),"",$L$37-1),IF($R$17="Distrato",$E428,0)),MIN(AX$38,$D$19),$P$20))-SUM($P428:AW428)</f>
        <v>#VALUE!</v>
      </c>
      <c r="AY428" s="446" t="e">
        <f>IF(OR($B428="",MIN(AY$38,$D$19)&lt;MAX($P$34*($B428+IF($R$17="Distrato",$I$38-1,0)),IF(AND($L$37=0,$P$34=0),"",$L$37-1),IF($R$17="Distrato",$E428,0))),0,YEARFRAC(MAX($P$34*($B428+IF($R$17="Distrato",$I$38-1,0)),IF(AND($L$37=0,$P$34=0),"",$L$37-1),IF($R$17="Distrato",$E428,0)),MIN(AY$38,$D$19),$P$20))-SUM($P428:AX428)</f>
        <v>#VALUE!</v>
      </c>
      <c r="AZ428" s="446" t="e">
        <f>IF(OR($B428="",MIN(AZ$38,$D$19)&lt;MAX($P$34*($B428+IF($R$17="Distrato",$I$38-1,0)),IF(AND($L$37=0,$P$34=0),"",$L$37-1),IF($R$17="Distrato",$E428,0))),0,YEARFRAC(MAX($P$34*($B428+IF($R$17="Distrato",$I$38-1,0)),IF(AND($L$37=0,$P$34=0),"",$L$37-1),IF($R$17="Distrato",$E428,0)),MIN(AZ$38,$D$19),$P$20))-SUM($P428:AY428)</f>
        <v>#VALUE!</v>
      </c>
      <c r="BA428" s="446" t="e">
        <f>IF(OR($B428="",MIN(BA$38,$D$19)&lt;MAX($P$34*($B428+IF($R$17="Distrato",$I$38-1,0)),IF(AND($L$37=0,$P$34=0),"",$L$37-1),IF($R$17="Distrato",$E428,0))),0,YEARFRAC(MAX($P$34*($B428+IF($R$17="Distrato",$I$38-1,0)),IF(AND($L$37=0,$P$34=0),"",$L$37-1),IF($R$17="Distrato",$E428,0)),MIN(BA$38,$D$19),$P$20))-SUM($P428:AZ428)</f>
        <v>#VALUE!</v>
      </c>
      <c r="BB428" s="447"/>
      <c r="BF428" s="446">
        <f t="shared" si="76"/>
        <v>0</v>
      </c>
      <c r="BG428" s="446">
        <f>IF($E428=0,0,IF(MIN(BG$38,$E428)&lt;MAX($P$34*($B428+$I$38-1),IF(AND($L$37=0,$P$34=0),"",$L$37-1)),0,YEARFRAC(MAX($P$34*($B428+$I$38-1),IF(AND($L$37=0,$P$34=0),"",$L$37-1)),MIN(BG$38,$E428),$P$20))-SUM($BF428:BF428))</f>
        <v>0</v>
      </c>
      <c r="BH428" s="446">
        <f>IF($E428=0,0,IF(MIN(BH$38,$E428)&lt;MAX($P$34*($B428+$I$38-1),IF(AND($L$37=0,$P$34=0),"",$L$37-1)),0,YEARFRAC(MAX($P$34*($B428+$I$38-1),IF(AND($L$37=0,$P$34=0),"",$L$37-1)),MIN(BH$38,$E428),$P$20))-SUM($BF428:BG428))</f>
        <v>0</v>
      </c>
      <c r="BI428" s="446">
        <f>IF($E428=0,0,IF(MIN(BI$38,$E428)&lt;MAX($P$34*($B428+$I$38-1),IF(AND($L$37=0,$P$34=0),"",$L$37-1)),0,YEARFRAC(MAX($P$34*($B428+$I$38-1),IF(AND($L$37=0,$P$34=0),"",$L$37-1)),MIN(BI$38,$E428),$P$20))-SUM($BF428:BH428))</f>
        <v>0</v>
      </c>
      <c r="BJ428" s="446">
        <f>IF($E428=0,0,IF(MIN(BJ$38,$E428)&lt;MAX($P$34*($B428+$I$38-1),IF(AND($L$37=0,$P$34=0),"",$L$37-1)),0,YEARFRAC(MAX($P$34*($B428+$I$38-1),IF(AND($L$37=0,$P$34=0),"",$L$37-1)),MIN(BJ$38,$E428),$P$20))-SUM($BF428:BI428))</f>
        <v>0</v>
      </c>
      <c r="BK428" s="446">
        <f>IF($E428=0,0,IF(MIN(BK$38,$E428)&lt;MAX($P$34*($B428+$I$38-1),IF(AND($L$37=0,$P$34=0),"",$L$37-1)),0,YEARFRAC(MAX($P$34*($B428+$I$38-1),IF(AND($L$37=0,$P$34=0),"",$L$37-1)),MIN(BK$38,$E428),$P$20))-SUM($BF428:BJ428))</f>
        <v>0</v>
      </c>
      <c r="BL428" s="446">
        <f>IF($E428=0,0,IF(MIN(BL$38,$E428)&lt;MAX($P$34*($B428+$I$38-1),IF(AND($L$37=0,$P$34=0),"",$L$37-1)),0,YEARFRAC(MAX($P$34*($B428+$I$38-1),IF(AND($L$37=0,$P$34=0),"",$L$37-1)),MIN(BL$38,$E428),$P$20))-SUM($BF428:BK428))</f>
        <v>0</v>
      </c>
      <c r="BM428" s="446">
        <f>IF($E428=0,0,IF(MIN(BM$38,$E428)&lt;MAX($P$34*($B428+$I$38-1),IF(AND($L$37=0,$P$34=0),"",$L$37-1)),0,YEARFRAC(MAX($P$34*($B428+$I$38-1),IF(AND($L$37=0,$P$34=0),"",$L$37-1)),MIN(BM$38,$E428),$P$20))-SUM($BF428:BL428))</f>
        <v>0</v>
      </c>
      <c r="BN428" s="446">
        <f>IF($E428=0,0,IF(MIN(BN$38,$E428)&lt;MAX($P$34*($B428+$I$38-1),IF(AND($L$37=0,$P$34=0),"",$L$37-1)),0,YEARFRAC(MAX($P$34*($B428+$I$38-1),IF(AND($L$37=0,$P$34=0),"",$L$37-1)),MIN(BN$38,$E428),$P$20))-SUM($BF428:BM428))</f>
        <v>0</v>
      </c>
      <c r="BO428" s="446">
        <f>IF($E428=0,0,IF(MIN(BO$38,$E428)&lt;MAX($P$34*($B428+$I$38-1),IF(AND($L$37=0,$P$34=0),"",$L$37-1)),0,YEARFRAC(MAX($P$34*($B428+$I$38-1),IF(AND($L$37=0,$P$34=0),"",$L$37-1)),MIN(BO$38,$E428),$P$20))-SUM($BF428:BN428))</f>
        <v>0</v>
      </c>
      <c r="BP428" s="446">
        <f>IF($E428=0,0,IF(MIN(BP$38,$E428)&lt;MAX($P$34*($B428+$I$38-1),IF(AND($L$37=0,$P$34=0),"",$L$37-1)),0,YEARFRAC(MAX($P$34*($B428+$I$38-1),IF(AND($L$37=0,$P$34=0),"",$L$37-1)),MIN(BP$38,$E428),$P$20))-SUM($BF428:BO428))</f>
        <v>0</v>
      </c>
      <c r="BQ428" s="446">
        <f>IF($E428=0,0,IF(MIN(BQ$38,$E428)&lt;MAX($P$34*($B428+$I$38-1),IF(AND($L$37=0,$P$34=0),"",$L$37-1)),0,YEARFRAC(MAX($P$34*($B428+$I$38-1),IF(AND($L$37=0,$P$34=0),"",$L$37-1)),MIN(BQ$38,$E428),$P$20))-SUM($BF428:BP428))</f>
        <v>0</v>
      </c>
      <c r="BR428" s="446">
        <f>IF($E428=0,0,IF(MIN(BR$38,$E428)&lt;MAX($P$34*($B428+$I$38-1),IF(AND($L$37=0,$P$34=0),"",$L$37-1)),0,YEARFRAC(MAX($P$34*($B428+$I$38-1),IF(AND($L$37=0,$P$34=0),"",$L$37-1)),MIN(BR$38,$E428),$P$20))-SUM($BF428:BQ428))</f>
        <v>0</v>
      </c>
      <c r="BS428" s="446">
        <f>IF($E428=0,0,IF(MIN(BS$38,$E428)&lt;MAX($P$34*($B428+$I$38-1),IF(AND($L$37=0,$P$34=0),"",$L$37-1)),0,YEARFRAC(MAX($P$34*($B428+$I$38-1),IF(AND($L$37=0,$P$34=0),"",$L$37-1)),MIN(BS$38,$E428),$P$20))-SUM($BF428:BR428))</f>
        <v>0</v>
      </c>
      <c r="BT428" s="446">
        <f>IF($E428=0,0,IF(MIN(BT$38,$E428)&lt;MAX($P$34*($B428+$I$38-1),IF(AND($L$37=0,$P$34=0),"",$L$37-1)),0,YEARFRAC(MAX($P$34*($B428+$I$38-1),IF(AND($L$37=0,$P$34=0),"",$L$37-1)),MIN(BT$38,$E428),$P$20))-SUM($BF428:BS428))</f>
        <v>0</v>
      </c>
      <c r="BU428" s="446">
        <f>IF($E428=0,0,IF(MIN(BU$38,$E428)&lt;MAX($P$34*($B428+$I$38-1),IF(AND($L$37=0,$P$34=0),"",$L$37-1)),0,YEARFRAC(MAX($P$34*($B428+$I$38-1),IF(AND($L$37=0,$P$34=0),"",$L$37-1)),MIN(BU$38,$E428),$P$20))-SUM($BF428:BT428))</f>
        <v>0</v>
      </c>
      <c r="BV428" s="446">
        <f>IF($E428=0,0,IF(MIN(BV$38,$E428)&lt;MAX($P$34*($B428+$I$38-1),IF(AND($L$37=0,$P$34=0),"",$L$37-1)),0,YEARFRAC(MAX($P$34*($B428+$I$38-1),IF(AND($L$37=0,$P$34=0),"",$L$37-1)),MIN(BV$38,$E428),$P$20))-SUM($BF428:BU428))</f>
        <v>0</v>
      </c>
      <c r="BW428" s="446">
        <f>IF($E428=0,0,IF(MIN(BW$38,$E428)&lt;MAX($P$34*($B428+$I$38-1),IF(AND($L$37=0,$P$34=0),"",$L$37-1)),0,YEARFRAC(MAX($P$34*($B428+$I$38-1),IF(AND($L$37=0,$P$34=0),"",$L$37-1)),MIN(BW$38,$E428),$P$20))-SUM($BF428:BV428))</f>
        <v>0</v>
      </c>
      <c r="BX428" s="446">
        <f>IF($E428=0,0,IF(MIN(BX$38,$E428)&lt;MAX($P$34*($B428+$I$38-1),IF(AND($L$37=0,$P$34=0),"",$L$37-1)),0,YEARFRAC(MAX($P$34*($B428+$I$38-1),IF(AND($L$37=0,$P$34=0),"",$L$37-1)),MIN(BX$38,$E428),$P$20))-SUM($BF428:BW428))</f>
        <v>0</v>
      </c>
      <c r="BY428" s="446">
        <f>IF($E428=0,0,IF(MIN(BY$38,$E428)&lt;MAX($P$34*($B428+$I$38-1),IF(AND($L$37=0,$P$34=0),"",$L$37-1)),0,YEARFRAC(MAX($P$34*($B428+$I$38-1),IF(AND($L$37=0,$P$34=0),"",$L$37-1)),MIN(BY$38,$E428),$P$20))-SUM($BF428:BX428))</f>
        <v>0</v>
      </c>
      <c r="BZ428" s="446">
        <f>IF($E428=0,0,IF(MIN(BZ$38,$E428)&lt;MAX($P$34*($B428+$I$38-1),IF(AND($L$37=0,$P$34=0),"",$L$37-1)),0,YEARFRAC(MAX($P$34*($B428+$I$38-1),IF(AND($L$37=0,$P$34=0),"",$L$37-1)),MIN(BZ$38,$E428),$P$20))-SUM($BF428:BY428))</f>
        <v>0</v>
      </c>
      <c r="CA428" s="446">
        <f>IF($E428=0,0,IF(MIN(CA$38,$E428)&lt;MAX($P$34*($B428+$I$38-1),IF(AND($L$37=0,$P$34=0),"",$L$37-1)),0,YEARFRAC(MAX($P$34*($B428+$I$38-1),IF(AND($L$37=0,$P$34=0),"",$L$37-1)),MIN(CA$38,$E428),$P$20))-SUM($BF428:BZ428))</f>
        <v>0</v>
      </c>
      <c r="CB428" s="446">
        <f>IF($E428=0,0,IF(MIN(CB$38,$E428)&lt;MAX($P$34*($B428+$I$38-1),IF(AND($L$37=0,$P$34=0),"",$L$37-1)),0,YEARFRAC(MAX($P$34*($B428+$I$38-1),IF(AND($L$37=0,$P$34=0),"",$L$37-1)),MIN(CB$38,$E428),$P$20))-SUM($BF428:CA428))</f>
        <v>0</v>
      </c>
      <c r="CC428" s="446">
        <f>IF($E428=0,0,IF(MIN(CC$38,$E428)&lt;MAX($P$34*($B428+$I$38-1),IF(AND($L$37=0,$P$34=0),"",$L$37-1)),0,YEARFRAC(MAX($P$34*($B428+$I$38-1),IF(AND($L$37=0,$P$34=0),"",$L$37-1)),MIN(CC$38,$E428),$P$20))-SUM($BF428:CB428))</f>
        <v>0</v>
      </c>
      <c r="CD428" s="446">
        <f>IF($E428=0,0,IF(MIN(CD$38,$E428)&lt;MAX($P$34*($B428+$I$38-1),IF(AND($L$37=0,$P$34=0),"",$L$37-1)),0,YEARFRAC(MAX($P$34*($B428+$I$38-1),IF(AND($L$37=0,$P$34=0),"",$L$37-1)),MIN(CD$38,$E428),$P$20))-SUM($BF428:CC428))</f>
        <v>0</v>
      </c>
      <c r="CE428" s="446">
        <f>IF($E428=0,0,IF(MIN(CE$38,$E428)&lt;MAX($P$34*($B428+$I$38-1),IF(AND($L$37=0,$P$34=0),"",$L$37-1)),0,YEARFRAC(MAX($P$34*($B428+$I$38-1),IF(AND($L$37=0,$P$34=0),"",$L$37-1)),MIN(CE$38,$E428),$P$20))-SUM($BF428:CD428))</f>
        <v>0</v>
      </c>
      <c r="CF428" s="446">
        <f>IF($E428=0,0,IF(MIN(CF$38,$E428)&lt;MAX($P$34*($B428+$I$38-1),IF(AND($L$37=0,$P$34=0),"",$L$37-1)),0,YEARFRAC(MAX($P$34*($B428+$I$38-1),IF(AND($L$37=0,$P$34=0),"",$L$37-1)),MIN(CF$38,$E428),$P$20))-SUM($BF428:CE428))</f>
        <v>0</v>
      </c>
      <c r="CG428" s="446">
        <f>IF($E428=0,0,IF(MIN(CG$38,$E428)&lt;MAX($P$34*($B428+$I$38-1),IF(AND($L$37=0,$P$34=0),"",$L$37-1)),0,YEARFRAC(MAX($P$34*($B428+$I$38-1),IF(AND($L$37=0,$P$34=0),"",$L$37-1)),MIN(CG$38,$E428),$P$20))-SUM($BF428:CF428))</f>
        <v>0</v>
      </c>
      <c r="CH428" s="446">
        <f>IF($E428=0,0,IF(MIN(CH$38,$E428)&lt;MAX($P$34*($B428+$I$38-1),IF(AND($L$37=0,$P$34=0),"",$L$37-1)),0,YEARFRAC(MAX($P$34*($B428+$I$38-1),IF(AND($L$37=0,$P$34=0),"",$L$37-1)),MIN(CH$38,$E428),$P$20))-SUM($BF428:CG428))</f>
        <v>0</v>
      </c>
      <c r="CI428" s="446">
        <f>IF($E428=0,0,IF(MIN(CI$38,$E428)&lt;MAX($P$34*($B428+$I$38-1),IF(AND($L$37=0,$P$34=0),"",$L$37-1)),0,YEARFRAC(MAX($P$34*($B428+$I$38-1),IF(AND($L$37=0,$P$34=0),"",$L$37-1)),MIN(CI$38,$E428),$P$20))-SUM($BF428:CH428))</f>
        <v>0</v>
      </c>
      <c r="CJ428" s="446">
        <f>IF($E428=0,0,IF(MIN(CJ$38,$E428)&lt;MAX($P$34*($B428+$I$38-1),IF(AND($L$37=0,$P$34=0),"",$L$37-1)),0,YEARFRAC(MAX($P$34*($B428+$I$38-1),IF(AND($L$37=0,$P$34=0),"",$L$37-1)),MIN(CJ$38,$E428),$P$20))-SUM($BF428:CI428))</f>
        <v>0</v>
      </c>
      <c r="CK428" s="446">
        <f>IF($E428=0,0,IF(MIN(CK$38,$E428)&lt;MAX($P$34*($B428+$I$38-1),IF(AND($L$37=0,$P$34=0),"",$L$37-1)),0,YEARFRAC(MAX($P$34*($B428+$I$38-1),IF(AND($L$37=0,$P$34=0),"",$L$37-1)),MIN(CK$38,$E428),$P$20))-SUM($BF428:CJ428))</f>
        <v>0</v>
      </c>
      <c r="CL428" s="446">
        <f>IF($E428=0,0,IF(MIN(CL$38,$E428)&lt;MAX($P$34*($B428+$I$38-1),IF(AND($L$37=0,$P$34=0),"",$L$37-1)),0,YEARFRAC(MAX($P$34*($B428+$I$38-1),IF(AND($L$37=0,$P$34=0),"",$L$37-1)),MIN(CL$38,$E428),$P$20))-SUM($BF428:CK428))</f>
        <v>0</v>
      </c>
      <c r="CM428" s="446">
        <f>IF($E428=0,0,IF(MIN(CM$38,$E428)&lt;MAX($P$34*($B428+$I$38-1),IF(AND($L$37=0,$P$34=0),"",$L$37-1)),0,YEARFRAC(MAX($P$34*($B428+$I$38-1),IF(AND($L$37=0,$P$34=0),"",$L$37-1)),MIN(CM$38,$E428),$P$20))-SUM($BF428:CL428))</f>
        <v>0</v>
      </c>
      <c r="CN428" s="446">
        <f>IF($E428=0,0,IF(MIN(CN$38,$E428)&lt;MAX($P$34*($B428+$I$38-1),IF(AND($L$37=0,$P$34=0),"",$L$37-1)),0,YEARFRAC(MAX($P$34*($B428+$I$38-1),IF(AND($L$37=0,$P$34=0),"",$L$37-1)),MIN(CN$38,$E428),$P$20))-SUM($BF428:CM428))</f>
        <v>0</v>
      </c>
      <c r="CO428" s="446">
        <f>IF($E428=0,0,IF(MIN(CO$38,$E428)&lt;MAX($P$34*($B428+$I$38-1),IF(AND($L$37=0,$P$34=0),"",$L$37-1)),0,YEARFRAC(MAX($P$34*($B428+$I$38-1),IF(AND($L$37=0,$P$34=0),"",$L$37-1)),MIN(CO$38,$E428),$P$20))-SUM($BF428:CN428))</f>
        <v>0</v>
      </c>
      <c r="CP428" s="446">
        <f>IF($E428=0,0,IF(MIN(CP$38,$E428)&lt;MAX($P$34*($B428+$I$38-1),IF(AND($L$37=0,$P$34=0),"",$L$37-1)),0,YEARFRAC(MAX($P$34*($B428+$I$38-1),IF(AND($L$37=0,$P$34=0),"",$L$37-1)),MIN(CP$38,$E428),$P$20))-SUM($BF428:CO428))</f>
        <v>0</v>
      </c>
      <c r="CQ428" s="446">
        <f>IF($E428=0,0,IF(MIN(CQ$38,$E428)&lt;MAX($P$34*($B428+$I$38-1),IF(AND($L$37=0,$P$34=0),"",$L$37-1)),0,YEARFRAC(MAX($P$34*($B428+$I$38-1),IF(AND($L$37=0,$P$34=0),"",$L$37-1)),MIN(CQ$38,$E428),$P$20))-SUM($BF428:CP428))</f>
        <v>0</v>
      </c>
    </row>
    <row r="429" spans="1:95" s="446" customFormat="1" ht="11.25" hidden="1" customHeight="1" x14ac:dyDescent="0.2">
      <c r="A429" s="152"/>
      <c r="B429" s="153" t="str">
        <f t="shared" si="81"/>
        <v/>
      </c>
      <c r="C429" s="29" t="str">
        <f>IF(B429="","",IF($L$35="SELIC - TRIBUTOS",VLOOKUP(DATE(YEAR($D$19),MONTH($D$19)-1,1),ÍNDICES!$A:$DE,HLOOKUP($BL$25,ÍNDICES!$B$3:$T$4,2)+11)-VLOOKUP(B429,ÍNDICES!$A:$DE,HLOOKUP($BL$25,ÍNDICES!$B$3:$T$4,2)+11)+1%,IF(C$38=$W$26,$J$35,IF(ISERROR(IF(B429&gt;$D$19,1,VLOOKUP(DATE(YEAR(B429),MONTH(B429)+IF($C$35=$S$23,1,0),1),ÍNDICES!$A:$DE,$Z$35+1))),"",IF(B429&gt;$D$19,1,VLOOKUP(DATE(YEAR(B429),MONTH(B429)+IF($C$35=$S$23,1,0),1),ÍNDICES!$A:$DE,$Z$35+1))))))</f>
        <v/>
      </c>
      <c r="D429" s="154" t="str">
        <f>IF(ISERROR(IF(OR($D$38=$Y$27,$B429=""),"",VLOOKUP(B429,ÍNDICES!A:DE,AF$35+1))),"",IF(OR($D$38=$Y$27,$B429=""),"",VLOOKUP(B429,ÍNDICES!A:DE,AF$35+1)))</f>
        <v/>
      </c>
      <c r="E429" s="153"/>
      <c r="F429" s="29" t="str">
        <f>IF(E429="","",IF($L$35="SELIC - TRIBUTOS",VLOOKUP(DATE(YEAR($D$19),MONTH($D$19)-1,1),ÍNDICES!$A:$DE,HLOOKUP($BL$25,ÍNDICES!$B$3:$T$4,2)+11)-VLOOKUP(E429,ÍNDICES!$A:$DE,HLOOKUP($BL$25,ÍNDICES!$B$3:$T$4,2)+11)+1%,IF(F$38=$W$26,$J$35,IF(ISERROR(IF(E429&gt;$D$19,1,VLOOKUP(DATE(YEAR(E429),MONTH(E429)+IF($C$35=$S$23,1,0),1),ÍNDICES!$A:$DE,$Z$35+1))),"",IF(E429&gt;$D$19,1,VLOOKUP(DATE(YEAR(E429),MONTH(E429)+IF($C$35=$S$23,1,0),1),ÍNDICES!$A:$DE,$Z$35+1))))))</f>
        <v/>
      </c>
      <c r="G429" s="155"/>
      <c r="H429" s="156" t="str">
        <f t="shared" si="77"/>
        <v/>
      </c>
      <c r="I429" s="29" t="str">
        <f t="shared" si="71"/>
        <v/>
      </c>
      <c r="J429" s="5">
        <f t="shared" si="72"/>
        <v>0</v>
      </c>
      <c r="K429" s="20">
        <f t="shared" ca="1" si="73"/>
        <v>0</v>
      </c>
      <c r="L429" s="5">
        <f t="shared" ca="1" si="74"/>
        <v>0</v>
      </c>
      <c r="M429" s="64">
        <f t="shared" si="78"/>
        <v>0</v>
      </c>
      <c r="N429" s="61">
        <f t="shared" ca="1" si="79"/>
        <v>0</v>
      </c>
      <c r="O429" s="5">
        <f t="shared" ca="1" si="80"/>
        <v>0</v>
      </c>
      <c r="P429" s="446" t="e">
        <f t="shared" si="75"/>
        <v>#VALUE!</v>
      </c>
      <c r="Q429" s="446" t="e">
        <f>IF(OR($B429="",MIN(Q$38,$D$19)&lt;MAX($P$34*($B429+IF($R$17="Distrato",$I$38-1,0)),IF(AND($L$37=0,$P$34=0),"",$L$37-1),IF($R$17="Distrato",$E429,0))),0,YEARFRAC(MAX($P$34*($B429+IF($R$17="Distrato",$I$38-1,0)),IF(AND($L$37=0,$P$34=0),"",$L$37-1),IF($R$17="Distrato",$E429,0)),MIN(Q$38,$D$19),$P$20))-SUM($P429:P429)</f>
        <v>#VALUE!</v>
      </c>
      <c r="R429" s="446" t="e">
        <f>IF(OR($B429="",MIN(R$38,$D$19)&lt;MAX($P$34*($B429+IF($R$17="Distrato",$I$38-1,0)),IF(AND($L$37=0,$P$34=0),"",$L$37-1),IF($R$17="Distrato",$E429,0))),0,YEARFRAC(MAX($P$34*($B429+IF($R$17="Distrato",$I$38-1,0)),IF(AND($L$37=0,$P$34=0),"",$L$37-1),IF($R$17="Distrato",$E429,0)),MIN(R$38,$D$19),$P$20))-SUM($P429:Q429)</f>
        <v>#VALUE!</v>
      </c>
      <c r="S429" s="446" t="e">
        <f>IF(OR($B429="",MIN(S$38,$D$19)&lt;MAX($P$34*($B429+IF($R$17="Distrato",$I$38-1,0)),IF(AND($L$37=0,$P$34=0),"",$L$37-1),IF($R$17="Distrato",$E429,0))),0,YEARFRAC(MAX($P$34*($B429+IF($R$17="Distrato",$I$38-1,0)),IF(AND($L$37=0,$P$34=0),"",$L$37-1),IF($R$17="Distrato",$E429,0)),MIN(S$38,$D$19),$P$20))-SUM($P429:R429)</f>
        <v>#VALUE!</v>
      </c>
      <c r="T429" s="446" t="e">
        <f>IF(OR($B429="",MIN(T$38,$D$19)&lt;MAX($P$34*($B429+IF($R$17="Distrato",$I$38-1,0)),IF(AND($L$37=0,$P$34=0),"",$L$37-1),IF($R$17="Distrato",$E429,0))),0,YEARFRAC(MAX($P$34*($B429+IF($R$17="Distrato",$I$38-1,0)),IF(AND($L$37=0,$P$34=0),"",$L$37-1),IF($R$17="Distrato",$E429,0)),MIN(T$38,$D$19),$P$20))-SUM($P429:S429)</f>
        <v>#VALUE!</v>
      </c>
      <c r="U429" s="446" t="e">
        <f>IF(OR($B429="",MIN(U$38,$D$19)&lt;MAX($P$34*($B429+IF($R$17="Distrato",$I$38-1,0)),IF(AND($L$37=0,$P$34=0),"",$L$37-1),IF($R$17="Distrato",$E429,0))),0,YEARFRAC(MAX($P$34*($B429+IF($R$17="Distrato",$I$38-1,0)),IF(AND($L$37=0,$P$34=0),"",$L$37-1),IF($R$17="Distrato",$E429,0)),MIN(U$38,$D$19),$P$20))-SUM($P429:T429)</f>
        <v>#VALUE!</v>
      </c>
      <c r="V429" s="446" t="e">
        <f>IF(OR($B429="",MIN(V$38,$D$19)&lt;MAX($P$34*($B429+IF($R$17="Distrato",$I$38-1,0)),IF(AND($L$37=0,$P$34=0),"",$L$37-1),IF($R$17="Distrato",$E429,0))),0,YEARFRAC(MAX($P$34*($B429+IF($R$17="Distrato",$I$38-1,0)),IF(AND($L$37=0,$P$34=0),"",$L$37-1),IF($R$17="Distrato",$E429,0)),MIN(V$38,$D$19),$P$20))-SUM($P429:U429)</f>
        <v>#VALUE!</v>
      </c>
      <c r="W429" s="446" t="e">
        <f>IF(OR($B429="",MIN(W$38,$D$19)&lt;MAX($P$34*($B429+IF($R$17="Distrato",$I$38-1,0)),IF(AND($L$37=0,$P$34=0),"",$L$37-1),IF($R$17="Distrato",$E429,0))),0,YEARFRAC(MAX($P$34*($B429+IF($R$17="Distrato",$I$38-1,0)),IF(AND($L$37=0,$P$34=0),"",$L$37-1),IF($R$17="Distrato",$E429,0)),MIN(W$38,$D$19),$P$20))-SUM($P429:V429)</f>
        <v>#VALUE!</v>
      </c>
      <c r="X429" s="446" t="e">
        <f>IF(OR($B429="",MIN(X$38,$D$19)&lt;MAX($P$34*($B429+IF($R$17="Distrato",$I$38-1,0)),IF(AND($L$37=0,$P$34=0),"",$L$37-1),IF($R$17="Distrato",$E429,0))),0,YEARFRAC(MAX($P$34*($B429+IF($R$17="Distrato",$I$38-1,0)),IF(AND($L$37=0,$P$34=0),"",$L$37-1),IF($R$17="Distrato",$E429,0)),MIN(X$38,$D$19),$P$20))-SUM($P429:W429)</f>
        <v>#VALUE!</v>
      </c>
      <c r="Y429" s="446" t="e">
        <f>IF(OR($B429="",MIN(Y$38,$D$19)&lt;MAX($P$34*($B429+IF($R$17="Distrato",$I$38-1,0)),IF(AND($L$37=0,$P$34=0),"",$L$37-1),IF($R$17="Distrato",$E429,0))),0,YEARFRAC(MAX($P$34*($B429+IF($R$17="Distrato",$I$38-1,0)),IF(AND($L$37=0,$P$34=0),"",$L$37-1),IF($R$17="Distrato",$E429,0)),MIN(Y$38,$D$19),$P$20))-SUM($P429:X429)</f>
        <v>#VALUE!</v>
      </c>
      <c r="Z429" s="446" t="e">
        <f>IF(OR($B429="",MIN(Z$38,$D$19)&lt;MAX($P$34*($B429+IF($R$17="Distrato",$I$38-1,0)),IF(AND($L$37=0,$P$34=0),"",$L$37-1),IF($R$17="Distrato",$E429,0))),0,YEARFRAC(MAX($P$34*($B429+IF($R$17="Distrato",$I$38-1,0)),IF(AND($L$37=0,$P$34=0),"",$L$37-1),IF($R$17="Distrato",$E429,0)),MIN(Z$38,$D$19),$P$20))-SUM($P429:Y429)</f>
        <v>#VALUE!</v>
      </c>
      <c r="AA429" s="446" t="e">
        <f>IF(OR($B429="",MIN(AA$38,$D$19)&lt;MAX($P$34*($B429+IF($R$17="Distrato",$I$38-1,0)),IF(AND($L$37=0,$P$34=0),"",$L$37-1),IF($R$17="Distrato",$E429,0))),0,YEARFRAC(MAX($P$34*($B429+IF($R$17="Distrato",$I$38-1,0)),IF(AND($L$37=0,$P$34=0),"",$L$37-1),IF($R$17="Distrato",$E429,0)),MIN(AA$38,$D$19),$P$20))-SUM($P429:Z429)</f>
        <v>#VALUE!</v>
      </c>
      <c r="AB429" s="446" t="e">
        <f>IF(OR($B429="",MIN(AB$38,$D$19)&lt;MAX($P$34*($B429+IF($R$17="Distrato",$I$38-1,0)),IF(AND($L$37=0,$P$34=0),"",$L$37-1),IF($R$17="Distrato",$E429,0))),0,YEARFRAC(MAX($P$34*($B429+IF($R$17="Distrato",$I$38-1,0)),IF(AND($L$37=0,$P$34=0),"",$L$37-1),IF($R$17="Distrato",$E429,0)),MIN(AB$38,$D$19),$P$20))-SUM($P429:AA429)</f>
        <v>#VALUE!</v>
      </c>
      <c r="AC429" s="446" t="e">
        <f>IF(OR($B429="",MIN(AC$38,$D$19)&lt;MAX($P$34*($B429+IF($R$17="Distrato",$I$38-1,0)),IF(AND($L$37=0,$P$34=0),"",$L$37-1),IF($R$17="Distrato",$E429,0))),0,YEARFRAC(MAX($P$34*($B429+IF($R$17="Distrato",$I$38-1,0)),IF(AND($L$37=0,$P$34=0),"",$L$37-1),IF($R$17="Distrato",$E429,0)),MIN(AC$38,$D$19),$P$20))-SUM($P429:AB429)</f>
        <v>#VALUE!</v>
      </c>
      <c r="AD429" s="446" t="e">
        <f>IF(OR($B429="",MIN(AD$38,$D$19)&lt;MAX($P$34*($B429+IF($R$17="Distrato",$I$38-1,0)),IF(AND($L$37=0,$P$34=0),"",$L$37-1),IF($R$17="Distrato",$E429,0))),0,YEARFRAC(MAX($P$34*($B429+IF($R$17="Distrato",$I$38-1,0)),IF(AND($L$37=0,$P$34=0),"",$L$37-1),IF($R$17="Distrato",$E429,0)),MIN(AD$38,$D$19),$P$20))-SUM($P429:AC429)</f>
        <v>#VALUE!</v>
      </c>
      <c r="AE429" s="446" t="e">
        <f>IF(OR($B429="",MIN(AE$38,$D$19)&lt;MAX($P$34*($B429+IF($R$17="Distrato",$I$38-1,0)),IF(AND($L$37=0,$P$34=0),"",$L$37-1),IF($R$17="Distrato",$E429,0))),0,YEARFRAC(MAX($P$34*($B429+IF($R$17="Distrato",$I$38-1,0)),IF(AND($L$37=0,$P$34=0),"",$L$37-1),IF($R$17="Distrato",$E429,0)),MIN(AE$38,$D$19),$P$20))-SUM($P429:AD429)</f>
        <v>#VALUE!</v>
      </c>
      <c r="AF429" s="446" t="e">
        <f>IF(OR($B429="",MIN(AF$38,$D$19)&lt;MAX($P$34*($B429+IF($R$17="Distrato",$I$38-1,0)),IF(AND($L$37=0,$P$34=0),"",$L$37-1),IF($R$17="Distrato",$E429,0))),0,YEARFRAC(MAX($P$34*($B429+IF($R$17="Distrato",$I$38-1,0)),IF(AND($L$37=0,$P$34=0),"",$L$37-1),IF($R$17="Distrato",$E429,0)),MIN(AF$38,$D$19),$P$20))-SUM($P429:AE429)</f>
        <v>#VALUE!</v>
      </c>
      <c r="AG429" s="446" t="e">
        <f>IF(OR($B429="",MIN(AG$38,$D$19)&lt;MAX($P$34*($B429+IF($R$17="Distrato",$I$38-1,0)),IF(AND($L$37=0,$P$34=0),"",$L$37-1),IF($R$17="Distrato",$E429,0))),0,YEARFRAC(MAX($P$34*($B429+IF($R$17="Distrato",$I$38-1,0)),IF(AND($L$37=0,$P$34=0),"",$L$37-1),IF($R$17="Distrato",$E429,0)),MIN(AG$38,$D$19),$P$20))-SUM($P429:AF429)</f>
        <v>#VALUE!</v>
      </c>
      <c r="AH429" s="446" t="e">
        <f>IF(OR($B429="",MIN(AH$38,$D$19)&lt;MAX($P$34*($B429+IF($R$17="Distrato",$I$38-1,0)),IF(AND($L$37=0,$P$34=0),"",$L$37-1),IF($R$17="Distrato",$E429,0))),0,YEARFRAC(MAX($P$34*($B429+IF($R$17="Distrato",$I$38-1,0)),IF(AND($L$37=0,$P$34=0),"",$L$37-1),IF($R$17="Distrato",$E429,0)),MIN(AH$38,$D$19),$P$20))-SUM($P429:AG429)</f>
        <v>#VALUE!</v>
      </c>
      <c r="AI429" s="446" t="e">
        <f>IF(OR($B429="",MIN(AI$38,$D$19)&lt;MAX($P$34*($B429+IF($R$17="Distrato",$I$38-1,0)),IF(AND($L$37=0,$P$34=0),"",$L$37-1),IF($R$17="Distrato",$E429,0))),0,YEARFRAC(MAX($P$34*($B429+IF($R$17="Distrato",$I$38-1,0)),IF(AND($L$37=0,$P$34=0),"",$L$37-1),IF($R$17="Distrato",$E429,0)),MIN(AI$38,$D$19),$P$20))-SUM($P429:AH429)</f>
        <v>#VALUE!</v>
      </c>
      <c r="AJ429" s="446" t="e">
        <f>IF(OR($B429="",MIN(AJ$38,$D$19)&lt;MAX($P$34*($B429+IF($R$17="Distrato",$I$38-1,0)),IF(AND($L$37=0,$P$34=0),"",$L$37-1),IF($R$17="Distrato",$E429,0))),0,YEARFRAC(MAX($P$34*($B429+IF($R$17="Distrato",$I$38-1,0)),IF(AND($L$37=0,$P$34=0),"",$L$37-1),IF($R$17="Distrato",$E429,0)),MIN(AJ$38,$D$19),$P$20))-SUM($P429:AI429)</f>
        <v>#VALUE!</v>
      </c>
      <c r="AK429" s="446" t="e">
        <f>IF(OR($B429="",MIN(AK$38,$D$19)&lt;MAX($P$34*($B429+IF($R$17="Distrato",$I$38-1,0)),IF(AND($L$37=0,$P$34=0),"",$L$37-1),IF($R$17="Distrato",$E429,0))),0,YEARFRAC(MAX($P$34*($B429+IF($R$17="Distrato",$I$38-1,0)),IF(AND($L$37=0,$P$34=0),"",$L$37-1),IF($R$17="Distrato",$E429,0)),MIN(AK$38,$D$19),$P$20))-SUM($P429:AJ429)</f>
        <v>#VALUE!</v>
      </c>
      <c r="AL429" s="446" t="e">
        <f>IF(OR($B429="",MIN(AL$38,$D$19)&lt;MAX($P$34*($B429+IF($R$17="Distrato",$I$38-1,0)),IF(AND($L$37=0,$P$34=0),"",$L$37-1),IF($R$17="Distrato",$E429,0))),0,YEARFRAC(MAX($P$34*($B429+IF($R$17="Distrato",$I$38-1,0)),IF(AND($L$37=0,$P$34=0),"",$L$37-1),IF($R$17="Distrato",$E429,0)),MIN(AL$38,$D$19),$P$20))-SUM($P429:AK429)</f>
        <v>#VALUE!</v>
      </c>
      <c r="AM429" s="446" t="e">
        <f>IF(OR($B429="",MIN(AM$38,$D$19)&lt;MAX($P$34*($B429+IF($R$17="Distrato",$I$38-1,0)),IF(AND($L$37=0,$P$34=0),"",$L$37-1),IF($R$17="Distrato",$E429,0))),0,YEARFRAC(MAX($P$34*($B429+IF($R$17="Distrato",$I$38-1,0)),IF(AND($L$37=0,$P$34=0),"",$L$37-1),IF($R$17="Distrato",$E429,0)),MIN(AM$38,$D$19),$P$20))-SUM($P429:AL429)</f>
        <v>#VALUE!</v>
      </c>
      <c r="AN429" s="446" t="e">
        <f>IF(OR($B429="",MIN(AN$38,$D$19)&lt;MAX($P$34*($B429+IF($R$17="Distrato",$I$38-1,0)),IF(AND($L$37=0,$P$34=0),"",$L$37-1),IF($R$17="Distrato",$E429,0))),0,YEARFRAC(MAX($P$34*($B429+IF($R$17="Distrato",$I$38-1,0)),IF(AND($L$37=0,$P$34=0),"",$L$37-1),IF($R$17="Distrato",$E429,0)),MIN(AN$38,$D$19),$P$20))-SUM($P429:AM429)</f>
        <v>#VALUE!</v>
      </c>
      <c r="AO429" s="446" t="e">
        <f>IF(OR($B429="",MIN(AO$38,$D$19)&lt;MAX($P$34*($B429+IF($R$17="Distrato",$I$38-1,0)),IF(AND($L$37=0,$P$34=0),"",$L$37-1),IF($R$17="Distrato",$E429,0))),0,YEARFRAC(MAX($P$34*($B429+IF($R$17="Distrato",$I$38-1,0)),IF(AND($L$37=0,$P$34=0),"",$L$37-1),IF($R$17="Distrato",$E429,0)),MIN(AO$38,$D$19),$P$20))-SUM($P429:AN429)</f>
        <v>#VALUE!</v>
      </c>
      <c r="AP429" s="446" t="e">
        <f>IF(OR($B429="",MIN(AP$38,$D$19)&lt;MAX($P$34*($B429+IF($R$17="Distrato",$I$38-1,0)),IF(AND($L$37=0,$P$34=0),"",$L$37-1),IF($R$17="Distrato",$E429,0))),0,YEARFRAC(MAX($P$34*($B429+IF($R$17="Distrato",$I$38-1,0)),IF(AND($L$37=0,$P$34=0),"",$L$37-1),IF($R$17="Distrato",$E429,0)),MIN(AP$38,$D$19),$P$20))-SUM($P429:AO429)</f>
        <v>#VALUE!</v>
      </c>
      <c r="AQ429" s="446" t="e">
        <f>IF(OR($B429="",MIN(AQ$38,$D$19)&lt;MAX($P$34*($B429+IF($R$17="Distrato",$I$38-1,0)),IF(AND($L$37=0,$P$34=0),"",$L$37-1),IF($R$17="Distrato",$E429,0))),0,YEARFRAC(MAX($P$34*($B429+IF($R$17="Distrato",$I$38-1,0)),IF(AND($L$37=0,$P$34=0),"",$L$37-1),IF($R$17="Distrato",$E429,0)),MIN(AQ$38,$D$19),$P$20))-SUM($P429:AP429)</f>
        <v>#VALUE!</v>
      </c>
      <c r="AR429" s="446" t="e">
        <f>IF(OR($B429="",MIN(AR$38,$D$19)&lt;MAX($P$34*($B429+IF($R$17="Distrato",$I$38-1,0)),IF(AND($L$37=0,$P$34=0),"",$L$37-1),IF($R$17="Distrato",$E429,0))),0,YEARFRAC(MAX($P$34*($B429+IF($R$17="Distrato",$I$38-1,0)),IF(AND($L$37=0,$P$34=0),"",$L$37-1),IF($R$17="Distrato",$E429,0)),MIN(AR$38,$D$19),$P$20))-SUM($P429:AQ429)</f>
        <v>#VALUE!</v>
      </c>
      <c r="AS429" s="446" t="e">
        <f>IF(OR($B429="",MIN(AS$38,$D$19)&lt;MAX($P$34*($B429+IF($R$17="Distrato",$I$38-1,0)),IF(AND($L$37=0,$P$34=0),"",$L$37-1),IF($R$17="Distrato",$E429,0))),0,YEARFRAC(MAX($P$34*($B429+IF($R$17="Distrato",$I$38-1,0)),IF(AND($L$37=0,$P$34=0),"",$L$37-1),IF($R$17="Distrato",$E429,0)),MIN(AS$38,$D$19),$P$20))-SUM($P429:AR429)</f>
        <v>#VALUE!</v>
      </c>
      <c r="AT429" s="446" t="e">
        <f>IF(OR($B429="",MIN(AT$38,$D$19)&lt;MAX($P$34*($B429+IF($R$17="Distrato",$I$38-1,0)),IF(AND($L$37=0,$P$34=0),"",$L$37-1),IF($R$17="Distrato",$E429,0))),0,YEARFRAC(MAX($P$34*($B429+IF($R$17="Distrato",$I$38-1,0)),IF(AND($L$37=0,$P$34=0),"",$L$37-1),IF($R$17="Distrato",$E429,0)),MIN(AT$38,$D$19),$P$20))-SUM($P429:AS429)</f>
        <v>#VALUE!</v>
      </c>
      <c r="AU429" s="446" t="e">
        <f>IF(OR($B429="",MIN(AU$38,$D$19)&lt;MAX($P$34*($B429+IF($R$17="Distrato",$I$38-1,0)),IF(AND($L$37=0,$P$34=0),"",$L$37-1),IF($R$17="Distrato",$E429,0))),0,YEARFRAC(MAX($P$34*($B429+IF($R$17="Distrato",$I$38-1,0)),IF(AND($L$37=0,$P$34=0),"",$L$37-1),IF($R$17="Distrato",$E429,0)),MIN(AU$38,$D$19),$P$20))-SUM($P429:AT429)</f>
        <v>#VALUE!</v>
      </c>
      <c r="AV429" s="446" t="e">
        <f>IF(OR($B429="",MIN(AV$38,$D$19)&lt;MAX($P$34*($B429+IF($R$17="Distrato",$I$38-1,0)),IF(AND($L$37=0,$P$34=0),"",$L$37-1),IF($R$17="Distrato",$E429,0))),0,YEARFRAC(MAX($P$34*($B429+IF($R$17="Distrato",$I$38-1,0)),IF(AND($L$37=0,$P$34=0),"",$L$37-1),IF($R$17="Distrato",$E429,0)),MIN(AV$38,$D$19),$P$20))-SUM($P429:AU429)</f>
        <v>#VALUE!</v>
      </c>
      <c r="AW429" s="446" t="e">
        <f>IF(OR($B429="",MIN(AW$38,$D$19)&lt;MAX($P$34*($B429+IF($R$17="Distrato",$I$38-1,0)),IF(AND($L$37=0,$P$34=0),"",$L$37-1),IF($R$17="Distrato",$E429,0))),0,YEARFRAC(MAX($P$34*($B429+IF($R$17="Distrato",$I$38-1,0)),IF(AND($L$37=0,$P$34=0),"",$L$37-1),IF($R$17="Distrato",$E429,0)),MIN(AW$38,$D$19),$P$20))-SUM($P429:AV429)</f>
        <v>#VALUE!</v>
      </c>
      <c r="AX429" s="446" t="e">
        <f>IF(OR($B429="",MIN(AX$38,$D$19)&lt;MAX($P$34*($B429+IF($R$17="Distrato",$I$38-1,0)),IF(AND($L$37=0,$P$34=0),"",$L$37-1),IF($R$17="Distrato",$E429,0))),0,YEARFRAC(MAX($P$34*($B429+IF($R$17="Distrato",$I$38-1,0)),IF(AND($L$37=0,$P$34=0),"",$L$37-1),IF($R$17="Distrato",$E429,0)),MIN(AX$38,$D$19),$P$20))-SUM($P429:AW429)</f>
        <v>#VALUE!</v>
      </c>
      <c r="AY429" s="446" t="e">
        <f>IF(OR($B429="",MIN(AY$38,$D$19)&lt;MAX($P$34*($B429+IF($R$17="Distrato",$I$38-1,0)),IF(AND($L$37=0,$P$34=0),"",$L$37-1),IF($R$17="Distrato",$E429,0))),0,YEARFRAC(MAX($P$34*($B429+IF($R$17="Distrato",$I$38-1,0)),IF(AND($L$37=0,$P$34=0),"",$L$37-1),IF($R$17="Distrato",$E429,0)),MIN(AY$38,$D$19),$P$20))-SUM($P429:AX429)</f>
        <v>#VALUE!</v>
      </c>
      <c r="AZ429" s="446" t="e">
        <f>IF(OR($B429="",MIN(AZ$38,$D$19)&lt;MAX($P$34*($B429+IF($R$17="Distrato",$I$38-1,0)),IF(AND($L$37=0,$P$34=0),"",$L$37-1),IF($R$17="Distrato",$E429,0))),0,YEARFRAC(MAX($P$34*($B429+IF($R$17="Distrato",$I$38-1,0)),IF(AND($L$37=0,$P$34=0),"",$L$37-1),IF($R$17="Distrato",$E429,0)),MIN(AZ$38,$D$19),$P$20))-SUM($P429:AY429)</f>
        <v>#VALUE!</v>
      </c>
      <c r="BA429" s="446" t="e">
        <f>IF(OR($B429="",MIN(BA$38,$D$19)&lt;MAX($P$34*($B429+IF($R$17="Distrato",$I$38-1,0)),IF(AND($L$37=0,$P$34=0),"",$L$37-1),IF($R$17="Distrato",$E429,0))),0,YEARFRAC(MAX($P$34*($B429+IF($R$17="Distrato",$I$38-1,0)),IF(AND($L$37=0,$P$34=0),"",$L$37-1),IF($R$17="Distrato",$E429,0)),MIN(BA$38,$D$19),$P$20))-SUM($P429:AZ429)</f>
        <v>#VALUE!</v>
      </c>
      <c r="BB429" s="447"/>
      <c r="BF429" s="446">
        <f t="shared" si="76"/>
        <v>0</v>
      </c>
      <c r="BG429" s="446">
        <f>IF($E429=0,0,IF(MIN(BG$38,$E429)&lt;MAX($P$34*($B429+$I$38-1),IF(AND($L$37=0,$P$34=0),"",$L$37-1)),0,YEARFRAC(MAX($P$34*($B429+$I$38-1),IF(AND($L$37=0,$P$34=0),"",$L$37-1)),MIN(BG$38,$E429),$P$20))-SUM($BF429:BF429))</f>
        <v>0</v>
      </c>
      <c r="BH429" s="446">
        <f>IF($E429=0,0,IF(MIN(BH$38,$E429)&lt;MAX($P$34*($B429+$I$38-1),IF(AND($L$37=0,$P$34=0),"",$L$37-1)),0,YEARFRAC(MAX($P$34*($B429+$I$38-1),IF(AND($L$37=0,$P$34=0),"",$L$37-1)),MIN(BH$38,$E429),$P$20))-SUM($BF429:BG429))</f>
        <v>0</v>
      </c>
      <c r="BI429" s="446">
        <f>IF($E429=0,0,IF(MIN(BI$38,$E429)&lt;MAX($P$34*($B429+$I$38-1),IF(AND($L$37=0,$P$34=0),"",$L$37-1)),0,YEARFRAC(MAX($P$34*($B429+$I$38-1),IF(AND($L$37=0,$P$34=0),"",$L$37-1)),MIN(BI$38,$E429),$P$20))-SUM($BF429:BH429))</f>
        <v>0</v>
      </c>
      <c r="BJ429" s="446">
        <f>IF($E429=0,0,IF(MIN(BJ$38,$E429)&lt;MAX($P$34*($B429+$I$38-1),IF(AND($L$37=0,$P$34=0),"",$L$37-1)),0,YEARFRAC(MAX($P$34*($B429+$I$38-1),IF(AND($L$37=0,$P$34=0),"",$L$37-1)),MIN(BJ$38,$E429),$P$20))-SUM($BF429:BI429))</f>
        <v>0</v>
      </c>
      <c r="BK429" s="446">
        <f>IF($E429=0,0,IF(MIN(BK$38,$E429)&lt;MAX($P$34*($B429+$I$38-1),IF(AND($L$37=0,$P$34=0),"",$L$37-1)),0,YEARFRAC(MAX($P$34*($B429+$I$38-1),IF(AND($L$37=0,$P$34=0),"",$L$37-1)),MIN(BK$38,$E429),$P$20))-SUM($BF429:BJ429))</f>
        <v>0</v>
      </c>
      <c r="BL429" s="446">
        <f>IF($E429=0,0,IF(MIN(BL$38,$E429)&lt;MAX($P$34*($B429+$I$38-1),IF(AND($L$37=0,$P$34=0),"",$L$37-1)),0,YEARFRAC(MAX($P$34*($B429+$I$38-1),IF(AND($L$37=0,$P$34=0),"",$L$37-1)),MIN(BL$38,$E429),$P$20))-SUM($BF429:BK429))</f>
        <v>0</v>
      </c>
      <c r="BM429" s="446">
        <f>IF($E429=0,0,IF(MIN(BM$38,$E429)&lt;MAX($P$34*($B429+$I$38-1),IF(AND($L$37=0,$P$34=0),"",$L$37-1)),0,YEARFRAC(MAX($P$34*($B429+$I$38-1),IF(AND($L$37=0,$P$34=0),"",$L$37-1)),MIN(BM$38,$E429),$P$20))-SUM($BF429:BL429))</f>
        <v>0</v>
      </c>
      <c r="BN429" s="446">
        <f>IF($E429=0,0,IF(MIN(BN$38,$E429)&lt;MAX($P$34*($B429+$I$38-1),IF(AND($L$37=0,$P$34=0),"",$L$37-1)),0,YEARFRAC(MAX($P$34*($B429+$I$38-1),IF(AND($L$37=0,$P$34=0),"",$L$37-1)),MIN(BN$38,$E429),$P$20))-SUM($BF429:BM429))</f>
        <v>0</v>
      </c>
      <c r="BO429" s="446">
        <f>IF($E429=0,0,IF(MIN(BO$38,$E429)&lt;MAX($P$34*($B429+$I$38-1),IF(AND($L$37=0,$P$34=0),"",$L$37-1)),0,YEARFRAC(MAX($P$34*($B429+$I$38-1),IF(AND($L$37=0,$P$34=0),"",$L$37-1)),MIN(BO$38,$E429),$P$20))-SUM($BF429:BN429))</f>
        <v>0</v>
      </c>
      <c r="BP429" s="446">
        <f>IF($E429=0,0,IF(MIN(BP$38,$E429)&lt;MAX($P$34*($B429+$I$38-1),IF(AND($L$37=0,$P$34=0),"",$L$37-1)),0,YEARFRAC(MAX($P$34*($B429+$I$38-1),IF(AND($L$37=0,$P$34=0),"",$L$37-1)),MIN(BP$38,$E429),$P$20))-SUM($BF429:BO429))</f>
        <v>0</v>
      </c>
      <c r="BQ429" s="446">
        <f>IF($E429=0,0,IF(MIN(BQ$38,$E429)&lt;MAX($P$34*($B429+$I$38-1),IF(AND($L$37=0,$P$34=0),"",$L$37-1)),0,YEARFRAC(MAX($P$34*($B429+$I$38-1),IF(AND($L$37=0,$P$34=0),"",$L$37-1)),MIN(BQ$38,$E429),$P$20))-SUM($BF429:BP429))</f>
        <v>0</v>
      </c>
      <c r="BR429" s="446">
        <f>IF($E429=0,0,IF(MIN(BR$38,$E429)&lt;MAX($P$34*($B429+$I$38-1),IF(AND($L$37=0,$P$34=0),"",$L$37-1)),0,YEARFRAC(MAX($P$34*($B429+$I$38-1),IF(AND($L$37=0,$P$34=0),"",$L$37-1)),MIN(BR$38,$E429),$P$20))-SUM($BF429:BQ429))</f>
        <v>0</v>
      </c>
      <c r="BS429" s="446">
        <f>IF($E429=0,0,IF(MIN(BS$38,$E429)&lt;MAX($P$34*($B429+$I$38-1),IF(AND($L$37=0,$P$34=0),"",$L$37-1)),0,YEARFRAC(MAX($P$34*($B429+$I$38-1),IF(AND($L$37=0,$P$34=0),"",$L$37-1)),MIN(BS$38,$E429),$P$20))-SUM($BF429:BR429))</f>
        <v>0</v>
      </c>
      <c r="BT429" s="446">
        <f>IF($E429=0,0,IF(MIN(BT$38,$E429)&lt;MAX($P$34*($B429+$I$38-1),IF(AND($L$37=0,$P$34=0),"",$L$37-1)),0,YEARFRAC(MAX($P$34*($B429+$I$38-1),IF(AND($L$37=0,$P$34=0),"",$L$37-1)),MIN(BT$38,$E429),$P$20))-SUM($BF429:BS429))</f>
        <v>0</v>
      </c>
      <c r="BU429" s="446">
        <f>IF($E429=0,0,IF(MIN(BU$38,$E429)&lt;MAX($P$34*($B429+$I$38-1),IF(AND($L$37=0,$P$34=0),"",$L$37-1)),0,YEARFRAC(MAX($P$34*($B429+$I$38-1),IF(AND($L$37=0,$P$34=0),"",$L$37-1)),MIN(BU$38,$E429),$P$20))-SUM($BF429:BT429))</f>
        <v>0</v>
      </c>
      <c r="BV429" s="446">
        <f>IF($E429=0,0,IF(MIN(BV$38,$E429)&lt;MAX($P$34*($B429+$I$38-1),IF(AND($L$37=0,$P$34=0),"",$L$37-1)),0,YEARFRAC(MAX($P$34*($B429+$I$38-1),IF(AND($L$37=0,$P$34=0),"",$L$37-1)),MIN(BV$38,$E429),$P$20))-SUM($BF429:BU429))</f>
        <v>0</v>
      </c>
      <c r="BW429" s="446">
        <f>IF($E429=0,0,IF(MIN(BW$38,$E429)&lt;MAX($P$34*($B429+$I$38-1),IF(AND($L$37=0,$P$34=0),"",$L$37-1)),0,YEARFRAC(MAX($P$34*($B429+$I$38-1),IF(AND($L$37=0,$P$34=0),"",$L$37-1)),MIN(BW$38,$E429),$P$20))-SUM($BF429:BV429))</f>
        <v>0</v>
      </c>
      <c r="BX429" s="446">
        <f>IF($E429=0,0,IF(MIN(BX$38,$E429)&lt;MAX($P$34*($B429+$I$38-1),IF(AND($L$37=0,$P$34=0),"",$L$37-1)),0,YEARFRAC(MAX($P$34*($B429+$I$38-1),IF(AND($L$37=0,$P$34=0),"",$L$37-1)),MIN(BX$38,$E429),$P$20))-SUM($BF429:BW429))</f>
        <v>0</v>
      </c>
      <c r="BY429" s="446">
        <f>IF($E429=0,0,IF(MIN(BY$38,$E429)&lt;MAX($P$34*($B429+$I$38-1),IF(AND($L$37=0,$P$34=0),"",$L$37-1)),0,YEARFRAC(MAX($P$34*($B429+$I$38-1),IF(AND($L$37=0,$P$34=0),"",$L$37-1)),MIN(BY$38,$E429),$P$20))-SUM($BF429:BX429))</f>
        <v>0</v>
      </c>
      <c r="BZ429" s="446">
        <f>IF($E429=0,0,IF(MIN(BZ$38,$E429)&lt;MAX($P$34*($B429+$I$38-1),IF(AND($L$37=0,$P$34=0),"",$L$37-1)),0,YEARFRAC(MAX($P$34*($B429+$I$38-1),IF(AND($L$37=0,$P$34=0),"",$L$37-1)),MIN(BZ$38,$E429),$P$20))-SUM($BF429:BY429))</f>
        <v>0</v>
      </c>
      <c r="CA429" s="446">
        <f>IF($E429=0,0,IF(MIN(CA$38,$E429)&lt;MAX($P$34*($B429+$I$38-1),IF(AND($L$37=0,$P$34=0),"",$L$37-1)),0,YEARFRAC(MAX($P$34*($B429+$I$38-1),IF(AND($L$37=0,$P$34=0),"",$L$37-1)),MIN(CA$38,$E429),$P$20))-SUM($BF429:BZ429))</f>
        <v>0</v>
      </c>
      <c r="CB429" s="446">
        <f>IF($E429=0,0,IF(MIN(CB$38,$E429)&lt;MAX($P$34*($B429+$I$38-1),IF(AND($L$37=0,$P$34=0),"",$L$37-1)),0,YEARFRAC(MAX($P$34*($B429+$I$38-1),IF(AND($L$37=0,$P$34=0),"",$L$37-1)),MIN(CB$38,$E429),$P$20))-SUM($BF429:CA429))</f>
        <v>0</v>
      </c>
      <c r="CC429" s="446">
        <f>IF($E429=0,0,IF(MIN(CC$38,$E429)&lt;MAX($P$34*($B429+$I$38-1),IF(AND($L$37=0,$P$34=0),"",$L$37-1)),0,YEARFRAC(MAX($P$34*($B429+$I$38-1),IF(AND($L$37=0,$P$34=0),"",$L$37-1)),MIN(CC$38,$E429),$P$20))-SUM($BF429:CB429))</f>
        <v>0</v>
      </c>
      <c r="CD429" s="446">
        <f>IF($E429=0,0,IF(MIN(CD$38,$E429)&lt;MAX($P$34*($B429+$I$38-1),IF(AND($L$37=0,$P$34=0),"",$L$37-1)),0,YEARFRAC(MAX($P$34*($B429+$I$38-1),IF(AND($L$37=0,$P$34=0),"",$L$37-1)),MIN(CD$38,$E429),$P$20))-SUM($BF429:CC429))</f>
        <v>0</v>
      </c>
      <c r="CE429" s="446">
        <f>IF($E429=0,0,IF(MIN(CE$38,$E429)&lt;MAX($P$34*($B429+$I$38-1),IF(AND($L$37=0,$P$34=0),"",$L$37-1)),0,YEARFRAC(MAX($P$34*($B429+$I$38-1),IF(AND($L$37=0,$P$34=0),"",$L$37-1)),MIN(CE$38,$E429),$P$20))-SUM($BF429:CD429))</f>
        <v>0</v>
      </c>
      <c r="CF429" s="446">
        <f>IF($E429=0,0,IF(MIN(CF$38,$E429)&lt;MAX($P$34*($B429+$I$38-1),IF(AND($L$37=0,$P$34=0),"",$L$37-1)),0,YEARFRAC(MAX($P$34*($B429+$I$38-1),IF(AND($L$37=0,$P$34=0),"",$L$37-1)),MIN(CF$38,$E429),$P$20))-SUM($BF429:CE429))</f>
        <v>0</v>
      </c>
      <c r="CG429" s="446">
        <f>IF($E429=0,0,IF(MIN(CG$38,$E429)&lt;MAX($P$34*($B429+$I$38-1),IF(AND($L$37=0,$P$34=0),"",$L$37-1)),0,YEARFRAC(MAX($P$34*($B429+$I$38-1),IF(AND($L$37=0,$P$34=0),"",$L$37-1)),MIN(CG$38,$E429),$P$20))-SUM($BF429:CF429))</f>
        <v>0</v>
      </c>
      <c r="CH429" s="446">
        <f>IF($E429=0,0,IF(MIN(CH$38,$E429)&lt;MAX($P$34*($B429+$I$38-1),IF(AND($L$37=0,$P$34=0),"",$L$37-1)),0,YEARFRAC(MAX($P$34*($B429+$I$38-1),IF(AND($L$37=0,$P$34=0),"",$L$37-1)),MIN(CH$38,$E429),$P$20))-SUM($BF429:CG429))</f>
        <v>0</v>
      </c>
      <c r="CI429" s="446">
        <f>IF($E429=0,0,IF(MIN(CI$38,$E429)&lt;MAX($P$34*($B429+$I$38-1),IF(AND($L$37=0,$P$34=0),"",$L$37-1)),0,YEARFRAC(MAX($P$34*($B429+$I$38-1),IF(AND($L$37=0,$P$34=0),"",$L$37-1)),MIN(CI$38,$E429),$P$20))-SUM($BF429:CH429))</f>
        <v>0</v>
      </c>
      <c r="CJ429" s="446">
        <f>IF($E429=0,0,IF(MIN(CJ$38,$E429)&lt;MAX($P$34*($B429+$I$38-1),IF(AND($L$37=0,$P$34=0),"",$L$37-1)),0,YEARFRAC(MAX($P$34*($B429+$I$38-1),IF(AND($L$37=0,$P$34=0),"",$L$37-1)),MIN(CJ$38,$E429),$P$20))-SUM($BF429:CI429))</f>
        <v>0</v>
      </c>
      <c r="CK429" s="446">
        <f>IF($E429=0,0,IF(MIN(CK$38,$E429)&lt;MAX($P$34*($B429+$I$38-1),IF(AND($L$37=0,$P$34=0),"",$L$37-1)),0,YEARFRAC(MAX($P$34*($B429+$I$38-1),IF(AND($L$37=0,$P$34=0),"",$L$37-1)),MIN(CK$38,$E429),$P$20))-SUM($BF429:CJ429))</f>
        <v>0</v>
      </c>
      <c r="CL429" s="446">
        <f>IF($E429=0,0,IF(MIN(CL$38,$E429)&lt;MAX($P$34*($B429+$I$38-1),IF(AND($L$37=0,$P$34=0),"",$L$37-1)),0,YEARFRAC(MAX($P$34*($B429+$I$38-1),IF(AND($L$37=0,$P$34=0),"",$L$37-1)),MIN(CL$38,$E429),$P$20))-SUM($BF429:CK429))</f>
        <v>0</v>
      </c>
      <c r="CM429" s="446">
        <f>IF($E429=0,0,IF(MIN(CM$38,$E429)&lt;MAX($P$34*($B429+$I$38-1),IF(AND($L$37=0,$P$34=0),"",$L$37-1)),0,YEARFRAC(MAX($P$34*($B429+$I$38-1),IF(AND($L$37=0,$P$34=0),"",$L$37-1)),MIN(CM$38,$E429),$P$20))-SUM($BF429:CL429))</f>
        <v>0</v>
      </c>
      <c r="CN429" s="446">
        <f>IF($E429=0,0,IF(MIN(CN$38,$E429)&lt;MAX($P$34*($B429+$I$38-1),IF(AND($L$37=0,$P$34=0),"",$L$37-1)),0,YEARFRAC(MAX($P$34*($B429+$I$38-1),IF(AND($L$37=0,$P$34=0),"",$L$37-1)),MIN(CN$38,$E429),$P$20))-SUM($BF429:CM429))</f>
        <v>0</v>
      </c>
      <c r="CO429" s="446">
        <f>IF($E429=0,0,IF(MIN(CO$38,$E429)&lt;MAX($P$34*($B429+$I$38-1),IF(AND($L$37=0,$P$34=0),"",$L$37-1)),0,YEARFRAC(MAX($P$34*($B429+$I$38-1),IF(AND($L$37=0,$P$34=0),"",$L$37-1)),MIN(CO$38,$E429),$P$20))-SUM($BF429:CN429))</f>
        <v>0</v>
      </c>
      <c r="CP429" s="446">
        <f>IF($E429=0,0,IF(MIN(CP$38,$E429)&lt;MAX($P$34*($B429+$I$38-1),IF(AND($L$37=0,$P$34=0),"",$L$37-1)),0,YEARFRAC(MAX($P$34*($B429+$I$38-1),IF(AND($L$37=0,$P$34=0),"",$L$37-1)),MIN(CP$38,$E429),$P$20))-SUM($BF429:CO429))</f>
        <v>0</v>
      </c>
      <c r="CQ429" s="446">
        <f>IF($E429=0,0,IF(MIN(CQ$38,$E429)&lt;MAX($P$34*($B429+$I$38-1),IF(AND($L$37=0,$P$34=0),"",$L$37-1)),0,YEARFRAC(MAX($P$34*($B429+$I$38-1),IF(AND($L$37=0,$P$34=0),"",$L$37-1)),MIN(CQ$38,$E429),$P$20))-SUM($BF429:CP429))</f>
        <v>0</v>
      </c>
    </row>
    <row r="430" spans="1:95" s="446" customFormat="1" ht="11.25" hidden="1" customHeight="1" x14ac:dyDescent="0.2">
      <c r="A430" s="152"/>
      <c r="B430" s="153" t="str">
        <f t="shared" si="81"/>
        <v/>
      </c>
      <c r="C430" s="29" t="str">
        <f>IF(B430="","",IF($L$35="SELIC - TRIBUTOS",VLOOKUP(DATE(YEAR($D$19),MONTH($D$19)-1,1),ÍNDICES!$A:$DE,HLOOKUP($BL$25,ÍNDICES!$B$3:$T$4,2)+11)-VLOOKUP(B430,ÍNDICES!$A:$DE,HLOOKUP($BL$25,ÍNDICES!$B$3:$T$4,2)+11)+1%,IF(C$38=$W$26,$J$35,IF(ISERROR(IF(B430&gt;$D$19,1,VLOOKUP(DATE(YEAR(B430),MONTH(B430)+IF($C$35=$S$23,1,0),1),ÍNDICES!$A:$DE,$Z$35+1))),"",IF(B430&gt;$D$19,1,VLOOKUP(DATE(YEAR(B430),MONTH(B430)+IF($C$35=$S$23,1,0),1),ÍNDICES!$A:$DE,$Z$35+1))))))</f>
        <v/>
      </c>
      <c r="D430" s="154" t="str">
        <f>IF(ISERROR(IF(OR($D$38=$Y$27,$B430=""),"",VLOOKUP(B430,ÍNDICES!A:DE,AF$35+1))),"",IF(OR($D$38=$Y$27,$B430=""),"",VLOOKUP(B430,ÍNDICES!A:DE,AF$35+1)))</f>
        <v/>
      </c>
      <c r="E430" s="153"/>
      <c r="F430" s="29" t="str">
        <f>IF(E430="","",IF($L$35="SELIC - TRIBUTOS",VLOOKUP(DATE(YEAR($D$19),MONTH($D$19)-1,1),ÍNDICES!$A:$DE,HLOOKUP($BL$25,ÍNDICES!$B$3:$T$4,2)+11)-VLOOKUP(E430,ÍNDICES!$A:$DE,HLOOKUP($BL$25,ÍNDICES!$B$3:$T$4,2)+11)+1%,IF(F$38=$W$26,$J$35,IF(ISERROR(IF(E430&gt;$D$19,1,VLOOKUP(DATE(YEAR(E430),MONTH(E430)+IF($C$35=$S$23,1,0),1),ÍNDICES!$A:$DE,$Z$35+1))),"",IF(E430&gt;$D$19,1,VLOOKUP(DATE(YEAR(E430),MONTH(E430)+IF($C$35=$S$23,1,0),1),ÍNDICES!$A:$DE,$Z$35+1))))))</f>
        <v/>
      </c>
      <c r="G430" s="155"/>
      <c r="H430" s="156" t="str">
        <f t="shared" si="77"/>
        <v/>
      </c>
      <c r="I430" s="29" t="str">
        <f t="shared" si="71"/>
        <v/>
      </c>
      <c r="J430" s="5">
        <f t="shared" si="72"/>
        <v>0</v>
      </c>
      <c r="K430" s="20">
        <f t="shared" ca="1" si="73"/>
        <v>0</v>
      </c>
      <c r="L430" s="5">
        <f t="shared" ca="1" si="74"/>
        <v>0</v>
      </c>
      <c r="M430" s="64">
        <f t="shared" si="78"/>
        <v>0</v>
      </c>
      <c r="N430" s="61">
        <f t="shared" ca="1" si="79"/>
        <v>0</v>
      </c>
      <c r="O430" s="5">
        <f t="shared" ca="1" si="80"/>
        <v>0</v>
      </c>
      <c r="P430" s="446" t="e">
        <f t="shared" si="75"/>
        <v>#VALUE!</v>
      </c>
      <c r="Q430" s="446" t="e">
        <f>IF(OR($B430="",MIN(Q$38,$D$19)&lt;MAX($P$34*($B430+IF($R$17="Distrato",$I$38-1,0)),IF(AND($L$37=0,$P$34=0),"",$L$37-1),IF($R$17="Distrato",$E430,0))),0,YEARFRAC(MAX($P$34*($B430+IF($R$17="Distrato",$I$38-1,0)),IF(AND($L$37=0,$P$34=0),"",$L$37-1),IF($R$17="Distrato",$E430,0)),MIN(Q$38,$D$19),$P$20))-SUM($P430:P430)</f>
        <v>#VALUE!</v>
      </c>
      <c r="R430" s="446" t="e">
        <f>IF(OR($B430="",MIN(R$38,$D$19)&lt;MAX($P$34*($B430+IF($R$17="Distrato",$I$38-1,0)),IF(AND($L$37=0,$P$34=0),"",$L$37-1),IF($R$17="Distrato",$E430,0))),0,YEARFRAC(MAX($P$34*($B430+IF($R$17="Distrato",$I$38-1,0)),IF(AND($L$37=0,$P$34=0),"",$L$37-1),IF($R$17="Distrato",$E430,0)),MIN(R$38,$D$19),$P$20))-SUM($P430:Q430)</f>
        <v>#VALUE!</v>
      </c>
      <c r="S430" s="446" t="e">
        <f>IF(OR($B430="",MIN(S$38,$D$19)&lt;MAX($P$34*($B430+IF($R$17="Distrato",$I$38-1,0)),IF(AND($L$37=0,$P$34=0),"",$L$37-1),IF($R$17="Distrato",$E430,0))),0,YEARFRAC(MAX($P$34*($B430+IF($R$17="Distrato",$I$38-1,0)),IF(AND($L$37=0,$P$34=0),"",$L$37-1),IF($R$17="Distrato",$E430,0)),MIN(S$38,$D$19),$P$20))-SUM($P430:R430)</f>
        <v>#VALUE!</v>
      </c>
      <c r="T430" s="446" t="e">
        <f>IF(OR($B430="",MIN(T$38,$D$19)&lt;MAX($P$34*($B430+IF($R$17="Distrato",$I$38-1,0)),IF(AND($L$37=0,$P$34=0),"",$L$37-1),IF($R$17="Distrato",$E430,0))),0,YEARFRAC(MAX($P$34*($B430+IF($R$17="Distrato",$I$38-1,0)),IF(AND($L$37=0,$P$34=0),"",$L$37-1),IF($R$17="Distrato",$E430,0)),MIN(T$38,$D$19),$P$20))-SUM($P430:S430)</f>
        <v>#VALUE!</v>
      </c>
      <c r="U430" s="446" t="e">
        <f>IF(OR($B430="",MIN(U$38,$D$19)&lt;MAX($P$34*($B430+IF($R$17="Distrato",$I$38-1,0)),IF(AND($L$37=0,$P$34=0),"",$L$37-1),IF($R$17="Distrato",$E430,0))),0,YEARFRAC(MAX($P$34*($B430+IF($R$17="Distrato",$I$38-1,0)),IF(AND($L$37=0,$P$34=0),"",$L$37-1),IF($R$17="Distrato",$E430,0)),MIN(U$38,$D$19),$P$20))-SUM($P430:T430)</f>
        <v>#VALUE!</v>
      </c>
      <c r="V430" s="446" t="e">
        <f>IF(OR($B430="",MIN(V$38,$D$19)&lt;MAX($P$34*($B430+IF($R$17="Distrato",$I$38-1,0)),IF(AND($L$37=0,$P$34=0),"",$L$37-1),IF($R$17="Distrato",$E430,0))),0,YEARFRAC(MAX($P$34*($B430+IF($R$17="Distrato",$I$38-1,0)),IF(AND($L$37=0,$P$34=0),"",$L$37-1),IF($R$17="Distrato",$E430,0)),MIN(V$38,$D$19),$P$20))-SUM($P430:U430)</f>
        <v>#VALUE!</v>
      </c>
      <c r="W430" s="446" t="e">
        <f>IF(OR($B430="",MIN(W$38,$D$19)&lt;MAX($P$34*($B430+IF($R$17="Distrato",$I$38-1,0)),IF(AND($L$37=0,$P$34=0),"",$L$37-1),IF($R$17="Distrato",$E430,0))),0,YEARFRAC(MAX($P$34*($B430+IF($R$17="Distrato",$I$38-1,0)),IF(AND($L$37=0,$P$34=0),"",$L$37-1),IF($R$17="Distrato",$E430,0)),MIN(W$38,$D$19),$P$20))-SUM($P430:V430)</f>
        <v>#VALUE!</v>
      </c>
      <c r="X430" s="446" t="e">
        <f>IF(OR($B430="",MIN(X$38,$D$19)&lt;MAX($P$34*($B430+IF($R$17="Distrato",$I$38-1,0)),IF(AND($L$37=0,$P$34=0),"",$L$37-1),IF($R$17="Distrato",$E430,0))),0,YEARFRAC(MAX($P$34*($B430+IF($R$17="Distrato",$I$38-1,0)),IF(AND($L$37=0,$P$34=0),"",$L$37-1),IF($R$17="Distrato",$E430,0)),MIN(X$38,$D$19),$P$20))-SUM($P430:W430)</f>
        <v>#VALUE!</v>
      </c>
      <c r="Y430" s="446" t="e">
        <f>IF(OR($B430="",MIN(Y$38,$D$19)&lt;MAX($P$34*($B430+IF($R$17="Distrato",$I$38-1,0)),IF(AND($L$37=0,$P$34=0),"",$L$37-1),IF($R$17="Distrato",$E430,0))),0,YEARFRAC(MAX($P$34*($B430+IF($R$17="Distrato",$I$38-1,0)),IF(AND($L$37=0,$P$34=0),"",$L$37-1),IF($R$17="Distrato",$E430,0)),MIN(Y$38,$D$19),$P$20))-SUM($P430:X430)</f>
        <v>#VALUE!</v>
      </c>
      <c r="Z430" s="446" t="e">
        <f>IF(OR($B430="",MIN(Z$38,$D$19)&lt;MAX($P$34*($B430+IF($R$17="Distrato",$I$38-1,0)),IF(AND($L$37=0,$P$34=0),"",$L$37-1),IF($R$17="Distrato",$E430,0))),0,YEARFRAC(MAX($P$34*($B430+IF($R$17="Distrato",$I$38-1,0)),IF(AND($L$37=0,$P$34=0),"",$L$37-1),IF($R$17="Distrato",$E430,0)),MIN(Z$38,$D$19),$P$20))-SUM($P430:Y430)</f>
        <v>#VALUE!</v>
      </c>
      <c r="AA430" s="446" t="e">
        <f>IF(OR($B430="",MIN(AA$38,$D$19)&lt;MAX($P$34*($B430+IF($R$17="Distrato",$I$38-1,0)),IF(AND($L$37=0,$P$34=0),"",$L$37-1),IF($R$17="Distrato",$E430,0))),0,YEARFRAC(MAX($P$34*($B430+IF($R$17="Distrato",$I$38-1,0)),IF(AND($L$37=0,$P$34=0),"",$L$37-1),IF($R$17="Distrato",$E430,0)),MIN(AA$38,$D$19),$P$20))-SUM($P430:Z430)</f>
        <v>#VALUE!</v>
      </c>
      <c r="AB430" s="446" t="e">
        <f>IF(OR($B430="",MIN(AB$38,$D$19)&lt;MAX($P$34*($B430+IF($R$17="Distrato",$I$38-1,0)),IF(AND($L$37=0,$P$34=0),"",$L$37-1),IF($R$17="Distrato",$E430,0))),0,YEARFRAC(MAX($P$34*($B430+IF($R$17="Distrato",$I$38-1,0)),IF(AND($L$37=0,$P$34=0),"",$L$37-1),IF($R$17="Distrato",$E430,0)),MIN(AB$38,$D$19),$P$20))-SUM($P430:AA430)</f>
        <v>#VALUE!</v>
      </c>
      <c r="AC430" s="446" t="e">
        <f>IF(OR($B430="",MIN(AC$38,$D$19)&lt;MAX($P$34*($B430+IF($R$17="Distrato",$I$38-1,0)),IF(AND($L$37=0,$P$34=0),"",$L$37-1),IF($R$17="Distrato",$E430,0))),0,YEARFRAC(MAX($P$34*($B430+IF($R$17="Distrato",$I$38-1,0)),IF(AND($L$37=0,$P$34=0),"",$L$37-1),IF($R$17="Distrato",$E430,0)),MIN(AC$38,$D$19),$P$20))-SUM($P430:AB430)</f>
        <v>#VALUE!</v>
      </c>
      <c r="AD430" s="446" t="e">
        <f>IF(OR($B430="",MIN(AD$38,$D$19)&lt;MAX($P$34*($B430+IF($R$17="Distrato",$I$38-1,0)),IF(AND($L$37=0,$P$34=0),"",$L$37-1),IF($R$17="Distrato",$E430,0))),0,YEARFRAC(MAX($P$34*($B430+IF($R$17="Distrato",$I$38-1,0)),IF(AND($L$37=0,$P$34=0),"",$L$37-1),IF($R$17="Distrato",$E430,0)),MIN(AD$38,$D$19),$P$20))-SUM($P430:AC430)</f>
        <v>#VALUE!</v>
      </c>
      <c r="AE430" s="446" t="e">
        <f>IF(OR($B430="",MIN(AE$38,$D$19)&lt;MAX($P$34*($B430+IF($R$17="Distrato",$I$38-1,0)),IF(AND($L$37=0,$P$34=0),"",$L$37-1),IF($R$17="Distrato",$E430,0))),0,YEARFRAC(MAX($P$34*($B430+IF($R$17="Distrato",$I$38-1,0)),IF(AND($L$37=0,$P$34=0),"",$L$37-1),IF($R$17="Distrato",$E430,0)),MIN(AE$38,$D$19),$P$20))-SUM($P430:AD430)</f>
        <v>#VALUE!</v>
      </c>
      <c r="AF430" s="446" t="e">
        <f>IF(OR($B430="",MIN(AF$38,$D$19)&lt;MAX($P$34*($B430+IF($R$17="Distrato",$I$38-1,0)),IF(AND($L$37=0,$P$34=0),"",$L$37-1),IF($R$17="Distrato",$E430,0))),0,YEARFRAC(MAX($P$34*($B430+IF($R$17="Distrato",$I$38-1,0)),IF(AND($L$37=0,$P$34=0),"",$L$37-1),IF($R$17="Distrato",$E430,0)),MIN(AF$38,$D$19),$P$20))-SUM($P430:AE430)</f>
        <v>#VALUE!</v>
      </c>
      <c r="AG430" s="446" t="e">
        <f>IF(OR($B430="",MIN(AG$38,$D$19)&lt;MAX($P$34*($B430+IF($R$17="Distrato",$I$38-1,0)),IF(AND($L$37=0,$P$34=0),"",$L$37-1),IF($R$17="Distrato",$E430,0))),0,YEARFRAC(MAX($P$34*($B430+IF($R$17="Distrato",$I$38-1,0)),IF(AND($L$37=0,$P$34=0),"",$L$37-1),IF($R$17="Distrato",$E430,0)),MIN(AG$38,$D$19),$P$20))-SUM($P430:AF430)</f>
        <v>#VALUE!</v>
      </c>
      <c r="AH430" s="446" t="e">
        <f>IF(OR($B430="",MIN(AH$38,$D$19)&lt;MAX($P$34*($B430+IF($R$17="Distrato",$I$38-1,0)),IF(AND($L$37=0,$P$34=0),"",$L$37-1),IF($R$17="Distrato",$E430,0))),0,YEARFRAC(MAX($P$34*($B430+IF($R$17="Distrato",$I$38-1,0)),IF(AND($L$37=0,$P$34=0),"",$L$37-1),IF($R$17="Distrato",$E430,0)),MIN(AH$38,$D$19),$P$20))-SUM($P430:AG430)</f>
        <v>#VALUE!</v>
      </c>
      <c r="AI430" s="446" t="e">
        <f>IF(OR($B430="",MIN(AI$38,$D$19)&lt;MAX($P$34*($B430+IF($R$17="Distrato",$I$38-1,0)),IF(AND($L$37=0,$P$34=0),"",$L$37-1),IF($R$17="Distrato",$E430,0))),0,YEARFRAC(MAX($P$34*($B430+IF($R$17="Distrato",$I$38-1,0)),IF(AND($L$37=0,$P$34=0),"",$L$37-1),IF($R$17="Distrato",$E430,0)),MIN(AI$38,$D$19),$P$20))-SUM($P430:AH430)</f>
        <v>#VALUE!</v>
      </c>
      <c r="AJ430" s="446" t="e">
        <f>IF(OR($B430="",MIN(AJ$38,$D$19)&lt;MAX($P$34*($B430+IF($R$17="Distrato",$I$38-1,0)),IF(AND($L$37=0,$P$34=0),"",$L$37-1),IF($R$17="Distrato",$E430,0))),0,YEARFRAC(MAX($P$34*($B430+IF($R$17="Distrato",$I$38-1,0)),IF(AND($L$37=0,$P$34=0),"",$L$37-1),IF($R$17="Distrato",$E430,0)),MIN(AJ$38,$D$19),$P$20))-SUM($P430:AI430)</f>
        <v>#VALUE!</v>
      </c>
      <c r="AK430" s="446" t="e">
        <f>IF(OR($B430="",MIN(AK$38,$D$19)&lt;MAX($P$34*($B430+IF($R$17="Distrato",$I$38-1,0)),IF(AND($L$37=0,$P$34=0),"",$L$37-1),IF($R$17="Distrato",$E430,0))),0,YEARFRAC(MAX($P$34*($B430+IF($R$17="Distrato",$I$38-1,0)),IF(AND($L$37=0,$P$34=0),"",$L$37-1),IF($R$17="Distrato",$E430,0)),MIN(AK$38,$D$19),$P$20))-SUM($P430:AJ430)</f>
        <v>#VALUE!</v>
      </c>
      <c r="AL430" s="446" t="e">
        <f>IF(OR($B430="",MIN(AL$38,$D$19)&lt;MAX($P$34*($B430+IF($R$17="Distrato",$I$38-1,0)),IF(AND($L$37=0,$P$34=0),"",$L$37-1),IF($R$17="Distrato",$E430,0))),0,YEARFRAC(MAX($P$34*($B430+IF($R$17="Distrato",$I$38-1,0)),IF(AND($L$37=0,$P$34=0),"",$L$37-1),IF($R$17="Distrato",$E430,0)),MIN(AL$38,$D$19),$P$20))-SUM($P430:AK430)</f>
        <v>#VALUE!</v>
      </c>
      <c r="AM430" s="446" t="e">
        <f>IF(OR($B430="",MIN(AM$38,$D$19)&lt;MAX($P$34*($B430+IF($R$17="Distrato",$I$38-1,0)),IF(AND($L$37=0,$P$34=0),"",$L$37-1),IF($R$17="Distrato",$E430,0))),0,YEARFRAC(MAX($P$34*($B430+IF($R$17="Distrato",$I$38-1,0)),IF(AND($L$37=0,$P$34=0),"",$L$37-1),IF($R$17="Distrato",$E430,0)),MIN(AM$38,$D$19),$P$20))-SUM($P430:AL430)</f>
        <v>#VALUE!</v>
      </c>
      <c r="AN430" s="446" t="e">
        <f>IF(OR($B430="",MIN(AN$38,$D$19)&lt;MAX($P$34*($B430+IF($R$17="Distrato",$I$38-1,0)),IF(AND($L$37=0,$P$34=0),"",$L$37-1),IF($R$17="Distrato",$E430,0))),0,YEARFRAC(MAX($P$34*($B430+IF($R$17="Distrato",$I$38-1,0)),IF(AND($L$37=0,$P$34=0),"",$L$37-1),IF($R$17="Distrato",$E430,0)),MIN(AN$38,$D$19),$P$20))-SUM($P430:AM430)</f>
        <v>#VALUE!</v>
      </c>
      <c r="AO430" s="446" t="e">
        <f>IF(OR($B430="",MIN(AO$38,$D$19)&lt;MAX($P$34*($B430+IF($R$17="Distrato",$I$38-1,0)),IF(AND($L$37=0,$P$34=0),"",$L$37-1),IF($R$17="Distrato",$E430,0))),0,YEARFRAC(MAX($P$34*($B430+IF($R$17="Distrato",$I$38-1,0)),IF(AND($L$37=0,$P$34=0),"",$L$37-1),IF($R$17="Distrato",$E430,0)),MIN(AO$38,$D$19),$P$20))-SUM($P430:AN430)</f>
        <v>#VALUE!</v>
      </c>
      <c r="AP430" s="446" t="e">
        <f>IF(OR($B430="",MIN(AP$38,$D$19)&lt;MAX($P$34*($B430+IF($R$17="Distrato",$I$38-1,0)),IF(AND($L$37=0,$P$34=0),"",$L$37-1),IF($R$17="Distrato",$E430,0))),0,YEARFRAC(MAX($P$34*($B430+IF($R$17="Distrato",$I$38-1,0)),IF(AND($L$37=0,$P$34=0),"",$L$37-1),IF($R$17="Distrato",$E430,0)),MIN(AP$38,$D$19),$P$20))-SUM($P430:AO430)</f>
        <v>#VALUE!</v>
      </c>
      <c r="AQ430" s="446" t="e">
        <f>IF(OR($B430="",MIN(AQ$38,$D$19)&lt;MAX($P$34*($B430+IF($R$17="Distrato",$I$38-1,0)),IF(AND($L$37=0,$P$34=0),"",$L$37-1),IF($R$17="Distrato",$E430,0))),0,YEARFRAC(MAX($P$34*($B430+IF($R$17="Distrato",$I$38-1,0)),IF(AND($L$37=0,$P$34=0),"",$L$37-1),IF($R$17="Distrato",$E430,0)),MIN(AQ$38,$D$19),$P$20))-SUM($P430:AP430)</f>
        <v>#VALUE!</v>
      </c>
      <c r="AR430" s="446" t="e">
        <f>IF(OR($B430="",MIN(AR$38,$D$19)&lt;MAX($P$34*($B430+IF($R$17="Distrato",$I$38-1,0)),IF(AND($L$37=0,$P$34=0),"",$L$37-1),IF($R$17="Distrato",$E430,0))),0,YEARFRAC(MAX($P$34*($B430+IF($R$17="Distrato",$I$38-1,0)),IF(AND($L$37=0,$P$34=0),"",$L$37-1),IF($R$17="Distrato",$E430,0)),MIN(AR$38,$D$19),$P$20))-SUM($P430:AQ430)</f>
        <v>#VALUE!</v>
      </c>
      <c r="AS430" s="446" t="e">
        <f>IF(OR($B430="",MIN(AS$38,$D$19)&lt;MAX($P$34*($B430+IF($R$17="Distrato",$I$38-1,0)),IF(AND($L$37=0,$P$34=0),"",$L$37-1),IF($R$17="Distrato",$E430,0))),0,YEARFRAC(MAX($P$34*($B430+IF($R$17="Distrato",$I$38-1,0)),IF(AND($L$37=0,$P$34=0),"",$L$37-1),IF($R$17="Distrato",$E430,0)),MIN(AS$38,$D$19),$P$20))-SUM($P430:AR430)</f>
        <v>#VALUE!</v>
      </c>
      <c r="AT430" s="446" t="e">
        <f>IF(OR($B430="",MIN(AT$38,$D$19)&lt;MAX($P$34*($B430+IF($R$17="Distrato",$I$38-1,0)),IF(AND($L$37=0,$P$34=0),"",$L$37-1),IF($R$17="Distrato",$E430,0))),0,YEARFRAC(MAX($P$34*($B430+IF($R$17="Distrato",$I$38-1,0)),IF(AND($L$37=0,$P$34=0),"",$L$37-1),IF($R$17="Distrato",$E430,0)),MIN(AT$38,$D$19),$P$20))-SUM($P430:AS430)</f>
        <v>#VALUE!</v>
      </c>
      <c r="AU430" s="446" t="e">
        <f>IF(OR($B430="",MIN(AU$38,$D$19)&lt;MAX($P$34*($B430+IF($R$17="Distrato",$I$38-1,0)),IF(AND($L$37=0,$P$34=0),"",$L$37-1),IF($R$17="Distrato",$E430,0))),0,YEARFRAC(MAX($P$34*($B430+IF($R$17="Distrato",$I$38-1,0)),IF(AND($L$37=0,$P$34=0),"",$L$37-1),IF($R$17="Distrato",$E430,0)),MIN(AU$38,$D$19),$P$20))-SUM($P430:AT430)</f>
        <v>#VALUE!</v>
      </c>
      <c r="AV430" s="446" t="e">
        <f>IF(OR($B430="",MIN(AV$38,$D$19)&lt;MAX($P$34*($B430+IF($R$17="Distrato",$I$38-1,0)),IF(AND($L$37=0,$P$34=0),"",$L$37-1),IF($R$17="Distrato",$E430,0))),0,YEARFRAC(MAX($P$34*($B430+IF($R$17="Distrato",$I$38-1,0)),IF(AND($L$37=0,$P$34=0),"",$L$37-1),IF($R$17="Distrato",$E430,0)),MIN(AV$38,$D$19),$P$20))-SUM($P430:AU430)</f>
        <v>#VALUE!</v>
      </c>
      <c r="AW430" s="446" t="e">
        <f>IF(OR($B430="",MIN(AW$38,$D$19)&lt;MAX($P$34*($B430+IF($R$17="Distrato",$I$38-1,0)),IF(AND($L$37=0,$P$34=0),"",$L$37-1),IF($R$17="Distrato",$E430,0))),0,YEARFRAC(MAX($P$34*($B430+IF($R$17="Distrato",$I$38-1,0)),IF(AND($L$37=0,$P$34=0),"",$L$37-1),IF($R$17="Distrato",$E430,0)),MIN(AW$38,$D$19),$P$20))-SUM($P430:AV430)</f>
        <v>#VALUE!</v>
      </c>
      <c r="AX430" s="446" t="e">
        <f>IF(OR($B430="",MIN(AX$38,$D$19)&lt;MAX($P$34*($B430+IF($R$17="Distrato",$I$38-1,0)),IF(AND($L$37=0,$P$34=0),"",$L$37-1),IF($R$17="Distrato",$E430,0))),0,YEARFRAC(MAX($P$34*($B430+IF($R$17="Distrato",$I$38-1,0)),IF(AND($L$37=0,$P$34=0),"",$L$37-1),IF($R$17="Distrato",$E430,0)),MIN(AX$38,$D$19),$P$20))-SUM($P430:AW430)</f>
        <v>#VALUE!</v>
      </c>
      <c r="AY430" s="446" t="e">
        <f>IF(OR($B430="",MIN(AY$38,$D$19)&lt;MAX($P$34*($B430+IF($R$17="Distrato",$I$38-1,0)),IF(AND($L$37=0,$P$34=0),"",$L$37-1),IF($R$17="Distrato",$E430,0))),0,YEARFRAC(MAX($P$34*($B430+IF($R$17="Distrato",$I$38-1,0)),IF(AND($L$37=0,$P$34=0),"",$L$37-1),IF($R$17="Distrato",$E430,0)),MIN(AY$38,$D$19),$P$20))-SUM($P430:AX430)</f>
        <v>#VALUE!</v>
      </c>
      <c r="AZ430" s="446" t="e">
        <f>IF(OR($B430="",MIN(AZ$38,$D$19)&lt;MAX($P$34*($B430+IF($R$17="Distrato",$I$38-1,0)),IF(AND($L$37=0,$P$34=0),"",$L$37-1),IF($R$17="Distrato",$E430,0))),0,YEARFRAC(MAX($P$34*($B430+IF($R$17="Distrato",$I$38-1,0)),IF(AND($L$37=0,$P$34=0),"",$L$37-1),IF($R$17="Distrato",$E430,0)),MIN(AZ$38,$D$19),$P$20))-SUM($P430:AY430)</f>
        <v>#VALUE!</v>
      </c>
      <c r="BA430" s="446" t="e">
        <f>IF(OR($B430="",MIN(BA$38,$D$19)&lt;MAX($P$34*($B430+IF($R$17="Distrato",$I$38-1,0)),IF(AND($L$37=0,$P$34=0),"",$L$37-1),IF($R$17="Distrato",$E430,0))),0,YEARFRAC(MAX($P$34*($B430+IF($R$17="Distrato",$I$38-1,0)),IF(AND($L$37=0,$P$34=0),"",$L$37-1),IF($R$17="Distrato",$E430,0)),MIN(BA$38,$D$19),$P$20))-SUM($P430:AZ430)</f>
        <v>#VALUE!</v>
      </c>
      <c r="BB430" s="447"/>
      <c r="BF430" s="446">
        <f t="shared" si="76"/>
        <v>0</v>
      </c>
      <c r="BG430" s="446">
        <f>IF($E430=0,0,IF(MIN(BG$38,$E430)&lt;MAX($P$34*($B430+$I$38-1),IF(AND($L$37=0,$P$34=0),"",$L$37-1)),0,YEARFRAC(MAX($P$34*($B430+$I$38-1),IF(AND($L$37=0,$P$34=0),"",$L$37-1)),MIN(BG$38,$E430),$P$20))-SUM($BF430:BF430))</f>
        <v>0</v>
      </c>
      <c r="BH430" s="446">
        <f>IF($E430=0,0,IF(MIN(BH$38,$E430)&lt;MAX($P$34*($B430+$I$38-1),IF(AND($L$37=0,$P$34=0),"",$L$37-1)),0,YEARFRAC(MAX($P$34*($B430+$I$38-1),IF(AND($L$37=0,$P$34=0),"",$L$37-1)),MIN(BH$38,$E430),$P$20))-SUM($BF430:BG430))</f>
        <v>0</v>
      </c>
      <c r="BI430" s="446">
        <f>IF($E430=0,0,IF(MIN(BI$38,$E430)&lt;MAX($P$34*($B430+$I$38-1),IF(AND($L$37=0,$P$34=0),"",$L$37-1)),0,YEARFRAC(MAX($P$34*($B430+$I$38-1),IF(AND($L$37=0,$P$34=0),"",$L$37-1)),MIN(BI$38,$E430),$P$20))-SUM($BF430:BH430))</f>
        <v>0</v>
      </c>
      <c r="BJ430" s="446">
        <f>IF($E430=0,0,IF(MIN(BJ$38,$E430)&lt;MAX($P$34*($B430+$I$38-1),IF(AND($L$37=0,$P$34=0),"",$L$37-1)),0,YEARFRAC(MAX($P$34*($B430+$I$38-1),IF(AND($L$37=0,$P$34=0),"",$L$37-1)),MIN(BJ$38,$E430),$P$20))-SUM($BF430:BI430))</f>
        <v>0</v>
      </c>
      <c r="BK430" s="446">
        <f>IF($E430=0,0,IF(MIN(BK$38,$E430)&lt;MAX($P$34*($B430+$I$38-1),IF(AND($L$37=0,$P$34=0),"",$L$37-1)),0,YEARFRAC(MAX($P$34*($B430+$I$38-1),IF(AND($L$37=0,$P$34=0),"",$L$37-1)),MIN(BK$38,$E430),$P$20))-SUM($BF430:BJ430))</f>
        <v>0</v>
      </c>
      <c r="BL430" s="446">
        <f>IF($E430=0,0,IF(MIN(BL$38,$E430)&lt;MAX($P$34*($B430+$I$38-1),IF(AND($L$37=0,$P$34=0),"",$L$37-1)),0,YEARFRAC(MAX($P$34*($B430+$I$38-1),IF(AND($L$37=0,$P$34=0),"",$L$37-1)),MIN(BL$38,$E430),$P$20))-SUM($BF430:BK430))</f>
        <v>0</v>
      </c>
      <c r="BM430" s="446">
        <f>IF($E430=0,0,IF(MIN(BM$38,$E430)&lt;MAX($P$34*($B430+$I$38-1),IF(AND($L$37=0,$P$34=0),"",$L$37-1)),0,YEARFRAC(MAX($P$34*($B430+$I$38-1),IF(AND($L$37=0,$P$34=0),"",$L$37-1)),MIN(BM$38,$E430),$P$20))-SUM($BF430:BL430))</f>
        <v>0</v>
      </c>
      <c r="BN430" s="446">
        <f>IF($E430=0,0,IF(MIN(BN$38,$E430)&lt;MAX($P$34*($B430+$I$38-1),IF(AND($L$37=0,$P$34=0),"",$L$37-1)),0,YEARFRAC(MAX($P$34*($B430+$I$38-1),IF(AND($L$37=0,$P$34=0),"",$L$37-1)),MIN(BN$38,$E430),$P$20))-SUM($BF430:BM430))</f>
        <v>0</v>
      </c>
      <c r="BO430" s="446">
        <f>IF($E430=0,0,IF(MIN(BO$38,$E430)&lt;MAX($P$34*($B430+$I$38-1),IF(AND($L$37=0,$P$34=0),"",$L$37-1)),0,YEARFRAC(MAX($P$34*($B430+$I$38-1),IF(AND($L$37=0,$P$34=0),"",$L$37-1)),MIN(BO$38,$E430),$P$20))-SUM($BF430:BN430))</f>
        <v>0</v>
      </c>
      <c r="BP430" s="446">
        <f>IF($E430=0,0,IF(MIN(BP$38,$E430)&lt;MAX($P$34*($B430+$I$38-1),IF(AND($L$37=0,$P$34=0),"",$L$37-1)),0,YEARFRAC(MAX($P$34*($B430+$I$38-1),IF(AND($L$37=0,$P$34=0),"",$L$37-1)),MIN(BP$38,$E430),$P$20))-SUM($BF430:BO430))</f>
        <v>0</v>
      </c>
      <c r="BQ430" s="446">
        <f>IF($E430=0,0,IF(MIN(BQ$38,$E430)&lt;MAX($P$34*($B430+$I$38-1),IF(AND($L$37=0,$P$34=0),"",$L$37-1)),0,YEARFRAC(MAX($P$34*($B430+$I$38-1),IF(AND($L$37=0,$P$34=0),"",$L$37-1)),MIN(BQ$38,$E430),$P$20))-SUM($BF430:BP430))</f>
        <v>0</v>
      </c>
      <c r="BR430" s="446">
        <f>IF($E430=0,0,IF(MIN(BR$38,$E430)&lt;MAX($P$34*($B430+$I$38-1),IF(AND($L$37=0,$P$34=0),"",$L$37-1)),0,YEARFRAC(MAX($P$34*($B430+$I$38-1),IF(AND($L$37=0,$P$34=0),"",$L$37-1)),MIN(BR$38,$E430),$P$20))-SUM($BF430:BQ430))</f>
        <v>0</v>
      </c>
      <c r="BS430" s="446">
        <f>IF($E430=0,0,IF(MIN(BS$38,$E430)&lt;MAX($P$34*($B430+$I$38-1),IF(AND($L$37=0,$P$34=0),"",$L$37-1)),0,YEARFRAC(MAX($P$34*($B430+$I$38-1),IF(AND($L$37=0,$P$34=0),"",$L$37-1)),MIN(BS$38,$E430),$P$20))-SUM($BF430:BR430))</f>
        <v>0</v>
      </c>
      <c r="BT430" s="446">
        <f>IF($E430=0,0,IF(MIN(BT$38,$E430)&lt;MAX($P$34*($B430+$I$38-1),IF(AND($L$37=0,$P$34=0),"",$L$37-1)),0,YEARFRAC(MAX($P$34*($B430+$I$38-1),IF(AND($L$37=0,$P$34=0),"",$L$37-1)),MIN(BT$38,$E430),$P$20))-SUM($BF430:BS430))</f>
        <v>0</v>
      </c>
      <c r="BU430" s="446">
        <f>IF($E430=0,0,IF(MIN(BU$38,$E430)&lt;MAX($P$34*($B430+$I$38-1),IF(AND($L$37=0,$P$34=0),"",$L$37-1)),0,YEARFRAC(MAX($P$34*($B430+$I$38-1),IF(AND($L$37=0,$P$34=0),"",$L$37-1)),MIN(BU$38,$E430),$P$20))-SUM($BF430:BT430))</f>
        <v>0</v>
      </c>
      <c r="BV430" s="446">
        <f>IF($E430=0,0,IF(MIN(BV$38,$E430)&lt;MAX($P$34*($B430+$I$38-1),IF(AND($L$37=0,$P$34=0),"",$L$37-1)),0,YEARFRAC(MAX($P$34*($B430+$I$38-1),IF(AND($L$37=0,$P$34=0),"",$L$37-1)),MIN(BV$38,$E430),$P$20))-SUM($BF430:BU430))</f>
        <v>0</v>
      </c>
      <c r="BW430" s="446">
        <f>IF($E430=0,0,IF(MIN(BW$38,$E430)&lt;MAX($P$34*($B430+$I$38-1),IF(AND($L$37=0,$P$34=0),"",$L$37-1)),0,YEARFRAC(MAX($P$34*($B430+$I$38-1),IF(AND($L$37=0,$P$34=0),"",$L$37-1)),MIN(BW$38,$E430),$P$20))-SUM($BF430:BV430))</f>
        <v>0</v>
      </c>
      <c r="BX430" s="446">
        <f>IF($E430=0,0,IF(MIN(BX$38,$E430)&lt;MAX($P$34*($B430+$I$38-1),IF(AND($L$37=0,$P$34=0),"",$L$37-1)),0,YEARFRAC(MAX($P$34*($B430+$I$38-1),IF(AND($L$37=0,$P$34=0),"",$L$37-1)),MIN(BX$38,$E430),$P$20))-SUM($BF430:BW430))</f>
        <v>0</v>
      </c>
      <c r="BY430" s="446">
        <f>IF($E430=0,0,IF(MIN(BY$38,$E430)&lt;MAX($P$34*($B430+$I$38-1),IF(AND($L$37=0,$P$34=0),"",$L$37-1)),0,YEARFRAC(MAX($P$34*($B430+$I$38-1),IF(AND($L$37=0,$P$34=0),"",$L$37-1)),MIN(BY$38,$E430),$P$20))-SUM($BF430:BX430))</f>
        <v>0</v>
      </c>
      <c r="BZ430" s="446">
        <f>IF($E430=0,0,IF(MIN(BZ$38,$E430)&lt;MAX($P$34*($B430+$I$38-1),IF(AND($L$37=0,$P$34=0),"",$L$37-1)),0,YEARFRAC(MAX($P$34*($B430+$I$38-1),IF(AND($L$37=0,$P$34=0),"",$L$37-1)),MIN(BZ$38,$E430),$P$20))-SUM($BF430:BY430))</f>
        <v>0</v>
      </c>
      <c r="CA430" s="446">
        <f>IF($E430=0,0,IF(MIN(CA$38,$E430)&lt;MAX($P$34*($B430+$I$38-1),IF(AND($L$37=0,$P$34=0),"",$L$37-1)),0,YEARFRAC(MAX($P$34*($B430+$I$38-1),IF(AND($L$37=0,$P$34=0),"",$L$37-1)),MIN(CA$38,$E430),$P$20))-SUM($BF430:BZ430))</f>
        <v>0</v>
      </c>
      <c r="CB430" s="446">
        <f>IF($E430=0,0,IF(MIN(CB$38,$E430)&lt;MAX($P$34*($B430+$I$38-1),IF(AND($L$37=0,$P$34=0),"",$L$37-1)),0,YEARFRAC(MAX($P$34*($B430+$I$38-1),IF(AND($L$37=0,$P$34=0),"",$L$37-1)),MIN(CB$38,$E430),$P$20))-SUM($BF430:CA430))</f>
        <v>0</v>
      </c>
      <c r="CC430" s="446">
        <f>IF($E430=0,0,IF(MIN(CC$38,$E430)&lt;MAX($P$34*($B430+$I$38-1),IF(AND($L$37=0,$P$34=0),"",$L$37-1)),0,YEARFRAC(MAX($P$34*($B430+$I$38-1),IF(AND($L$37=0,$P$34=0),"",$L$37-1)),MIN(CC$38,$E430),$P$20))-SUM($BF430:CB430))</f>
        <v>0</v>
      </c>
      <c r="CD430" s="446">
        <f>IF($E430=0,0,IF(MIN(CD$38,$E430)&lt;MAX($P$34*($B430+$I$38-1),IF(AND($L$37=0,$P$34=0),"",$L$37-1)),0,YEARFRAC(MAX($P$34*($B430+$I$38-1),IF(AND($L$37=0,$P$34=0),"",$L$37-1)),MIN(CD$38,$E430),$P$20))-SUM($BF430:CC430))</f>
        <v>0</v>
      </c>
      <c r="CE430" s="446">
        <f>IF($E430=0,0,IF(MIN(CE$38,$E430)&lt;MAX($P$34*($B430+$I$38-1),IF(AND($L$37=0,$P$34=0),"",$L$37-1)),0,YEARFRAC(MAX($P$34*($B430+$I$38-1),IF(AND($L$37=0,$P$34=0),"",$L$37-1)),MIN(CE$38,$E430),$P$20))-SUM($BF430:CD430))</f>
        <v>0</v>
      </c>
      <c r="CF430" s="446">
        <f>IF($E430=0,0,IF(MIN(CF$38,$E430)&lt;MAX($P$34*($B430+$I$38-1),IF(AND($L$37=0,$P$34=0),"",$L$37-1)),0,YEARFRAC(MAX($P$34*($B430+$I$38-1),IF(AND($L$37=0,$P$34=0),"",$L$37-1)),MIN(CF$38,$E430),$P$20))-SUM($BF430:CE430))</f>
        <v>0</v>
      </c>
      <c r="CG430" s="446">
        <f>IF($E430=0,0,IF(MIN(CG$38,$E430)&lt;MAX($P$34*($B430+$I$38-1),IF(AND($L$37=0,$P$34=0),"",$L$37-1)),0,YEARFRAC(MAX($P$34*($B430+$I$38-1),IF(AND($L$37=0,$P$34=0),"",$L$37-1)),MIN(CG$38,$E430),$P$20))-SUM($BF430:CF430))</f>
        <v>0</v>
      </c>
      <c r="CH430" s="446">
        <f>IF($E430=0,0,IF(MIN(CH$38,$E430)&lt;MAX($P$34*($B430+$I$38-1),IF(AND($L$37=0,$P$34=0),"",$L$37-1)),0,YEARFRAC(MAX($P$34*($B430+$I$38-1),IF(AND($L$37=0,$P$34=0),"",$L$37-1)),MIN(CH$38,$E430),$P$20))-SUM($BF430:CG430))</f>
        <v>0</v>
      </c>
      <c r="CI430" s="446">
        <f>IF($E430=0,0,IF(MIN(CI$38,$E430)&lt;MAX($P$34*($B430+$I$38-1),IF(AND($L$37=0,$P$34=0),"",$L$37-1)),0,YEARFRAC(MAX($P$34*($B430+$I$38-1),IF(AND($L$37=0,$P$34=0),"",$L$37-1)),MIN(CI$38,$E430),$P$20))-SUM($BF430:CH430))</f>
        <v>0</v>
      </c>
      <c r="CJ430" s="446">
        <f>IF($E430=0,0,IF(MIN(CJ$38,$E430)&lt;MAX($P$34*($B430+$I$38-1),IF(AND($L$37=0,$P$34=0),"",$L$37-1)),0,YEARFRAC(MAX($P$34*($B430+$I$38-1),IF(AND($L$37=0,$P$34=0),"",$L$37-1)),MIN(CJ$38,$E430),$P$20))-SUM($BF430:CI430))</f>
        <v>0</v>
      </c>
      <c r="CK430" s="446">
        <f>IF($E430=0,0,IF(MIN(CK$38,$E430)&lt;MAX($P$34*($B430+$I$38-1),IF(AND($L$37=0,$P$34=0),"",$L$37-1)),0,YEARFRAC(MAX($P$34*($B430+$I$38-1),IF(AND($L$37=0,$P$34=0),"",$L$37-1)),MIN(CK$38,$E430),$P$20))-SUM($BF430:CJ430))</f>
        <v>0</v>
      </c>
      <c r="CL430" s="446">
        <f>IF($E430=0,0,IF(MIN(CL$38,$E430)&lt;MAX($P$34*($B430+$I$38-1),IF(AND($L$37=0,$P$34=0),"",$L$37-1)),0,YEARFRAC(MAX($P$34*($B430+$I$38-1),IF(AND($L$37=0,$P$34=0),"",$L$37-1)),MIN(CL$38,$E430),$P$20))-SUM($BF430:CK430))</f>
        <v>0</v>
      </c>
      <c r="CM430" s="446">
        <f>IF($E430=0,0,IF(MIN(CM$38,$E430)&lt;MAX($P$34*($B430+$I$38-1),IF(AND($L$37=0,$P$34=0),"",$L$37-1)),0,YEARFRAC(MAX($P$34*($B430+$I$38-1),IF(AND($L$37=0,$P$34=0),"",$L$37-1)),MIN(CM$38,$E430),$P$20))-SUM($BF430:CL430))</f>
        <v>0</v>
      </c>
      <c r="CN430" s="446">
        <f>IF($E430=0,0,IF(MIN(CN$38,$E430)&lt;MAX($P$34*($B430+$I$38-1),IF(AND($L$37=0,$P$34=0),"",$L$37-1)),0,YEARFRAC(MAX($P$34*($B430+$I$38-1),IF(AND($L$37=0,$P$34=0),"",$L$37-1)),MIN(CN$38,$E430),$P$20))-SUM($BF430:CM430))</f>
        <v>0</v>
      </c>
      <c r="CO430" s="446">
        <f>IF($E430=0,0,IF(MIN(CO$38,$E430)&lt;MAX($P$34*($B430+$I$38-1),IF(AND($L$37=0,$P$34=0),"",$L$37-1)),0,YEARFRAC(MAX($P$34*($B430+$I$38-1),IF(AND($L$37=0,$P$34=0),"",$L$37-1)),MIN(CO$38,$E430),$P$20))-SUM($BF430:CN430))</f>
        <v>0</v>
      </c>
      <c r="CP430" s="446">
        <f>IF($E430=0,0,IF(MIN(CP$38,$E430)&lt;MAX($P$34*($B430+$I$38-1),IF(AND($L$37=0,$P$34=0),"",$L$37-1)),0,YEARFRAC(MAX($P$34*($B430+$I$38-1),IF(AND($L$37=0,$P$34=0),"",$L$37-1)),MIN(CP$38,$E430),$P$20))-SUM($BF430:CO430))</f>
        <v>0</v>
      </c>
      <c r="CQ430" s="446">
        <f>IF($E430=0,0,IF(MIN(CQ$38,$E430)&lt;MAX($P$34*($B430+$I$38-1),IF(AND($L$37=0,$P$34=0),"",$L$37-1)),0,YEARFRAC(MAX($P$34*($B430+$I$38-1),IF(AND($L$37=0,$P$34=0),"",$L$37-1)),MIN(CQ$38,$E430),$P$20))-SUM($BF430:CP430))</f>
        <v>0</v>
      </c>
    </row>
    <row r="431" spans="1:95" s="446" customFormat="1" ht="11.25" hidden="1" customHeight="1" x14ac:dyDescent="0.2">
      <c r="A431" s="152"/>
      <c r="B431" s="153" t="str">
        <f t="shared" si="81"/>
        <v/>
      </c>
      <c r="C431" s="29" t="str">
        <f>IF(B431="","",IF($L$35="SELIC - TRIBUTOS",VLOOKUP(DATE(YEAR($D$19),MONTH($D$19)-1,1),ÍNDICES!$A:$DE,HLOOKUP($BL$25,ÍNDICES!$B$3:$T$4,2)+11)-VLOOKUP(B431,ÍNDICES!$A:$DE,HLOOKUP($BL$25,ÍNDICES!$B$3:$T$4,2)+11)+1%,IF(C$38=$W$26,$J$35,IF(ISERROR(IF(B431&gt;$D$19,1,VLOOKUP(DATE(YEAR(B431),MONTH(B431)+IF($C$35=$S$23,1,0),1),ÍNDICES!$A:$DE,$Z$35+1))),"",IF(B431&gt;$D$19,1,VLOOKUP(DATE(YEAR(B431),MONTH(B431)+IF($C$35=$S$23,1,0),1),ÍNDICES!$A:$DE,$Z$35+1))))))</f>
        <v/>
      </c>
      <c r="D431" s="154" t="str">
        <f>IF(ISERROR(IF(OR($D$38=$Y$27,$B431=""),"",VLOOKUP(B431,ÍNDICES!A:DE,AF$35+1))),"",IF(OR($D$38=$Y$27,$B431=""),"",VLOOKUP(B431,ÍNDICES!A:DE,AF$35+1)))</f>
        <v/>
      </c>
      <c r="E431" s="153"/>
      <c r="F431" s="29" t="str">
        <f>IF(E431="","",IF($L$35="SELIC - TRIBUTOS",VLOOKUP(DATE(YEAR($D$19),MONTH($D$19)-1,1),ÍNDICES!$A:$DE,HLOOKUP($BL$25,ÍNDICES!$B$3:$T$4,2)+11)-VLOOKUP(E431,ÍNDICES!$A:$DE,HLOOKUP($BL$25,ÍNDICES!$B$3:$T$4,2)+11)+1%,IF(F$38=$W$26,$J$35,IF(ISERROR(IF(E431&gt;$D$19,1,VLOOKUP(DATE(YEAR(E431),MONTH(E431)+IF($C$35=$S$23,1,0),1),ÍNDICES!$A:$DE,$Z$35+1))),"",IF(E431&gt;$D$19,1,VLOOKUP(DATE(YEAR(E431),MONTH(E431)+IF($C$35=$S$23,1,0),1),ÍNDICES!$A:$DE,$Z$35+1))))))</f>
        <v/>
      </c>
      <c r="G431" s="155"/>
      <c r="H431" s="156" t="str">
        <f t="shared" si="77"/>
        <v/>
      </c>
      <c r="I431" s="29" t="str">
        <f t="shared" si="71"/>
        <v/>
      </c>
      <c r="J431" s="5">
        <f t="shared" si="72"/>
        <v>0</v>
      </c>
      <c r="K431" s="20">
        <f t="shared" ca="1" si="73"/>
        <v>0</v>
      </c>
      <c r="L431" s="5">
        <f t="shared" ca="1" si="74"/>
        <v>0</v>
      </c>
      <c r="M431" s="64">
        <f t="shared" si="78"/>
        <v>0</v>
      </c>
      <c r="N431" s="61">
        <f t="shared" ca="1" si="79"/>
        <v>0</v>
      </c>
      <c r="O431" s="5">
        <f t="shared" ca="1" si="80"/>
        <v>0</v>
      </c>
      <c r="P431" s="446" t="e">
        <f t="shared" si="75"/>
        <v>#VALUE!</v>
      </c>
      <c r="Q431" s="446" t="e">
        <f>IF(OR($B431="",MIN(Q$38,$D$19)&lt;MAX($P$34*($B431+IF($R$17="Distrato",$I$38-1,0)),IF(AND($L$37=0,$P$34=0),"",$L$37-1),IF($R$17="Distrato",$E431,0))),0,YEARFRAC(MAX($P$34*($B431+IF($R$17="Distrato",$I$38-1,0)),IF(AND($L$37=0,$P$34=0),"",$L$37-1),IF($R$17="Distrato",$E431,0)),MIN(Q$38,$D$19),$P$20))-SUM($P431:P431)</f>
        <v>#VALUE!</v>
      </c>
      <c r="R431" s="446" t="e">
        <f>IF(OR($B431="",MIN(R$38,$D$19)&lt;MAX($P$34*($B431+IF($R$17="Distrato",$I$38-1,0)),IF(AND($L$37=0,$P$34=0),"",$L$37-1),IF($R$17="Distrato",$E431,0))),0,YEARFRAC(MAX($P$34*($B431+IF($R$17="Distrato",$I$38-1,0)),IF(AND($L$37=0,$P$34=0),"",$L$37-1),IF($R$17="Distrato",$E431,0)),MIN(R$38,$D$19),$P$20))-SUM($P431:Q431)</f>
        <v>#VALUE!</v>
      </c>
      <c r="S431" s="446" t="e">
        <f>IF(OR($B431="",MIN(S$38,$D$19)&lt;MAX($P$34*($B431+IF($R$17="Distrato",$I$38-1,0)),IF(AND($L$37=0,$P$34=0),"",$L$37-1),IF($R$17="Distrato",$E431,0))),0,YEARFRAC(MAX($P$34*($B431+IF($R$17="Distrato",$I$38-1,0)),IF(AND($L$37=0,$P$34=0),"",$L$37-1),IF($R$17="Distrato",$E431,0)),MIN(S$38,$D$19),$P$20))-SUM($P431:R431)</f>
        <v>#VALUE!</v>
      </c>
      <c r="T431" s="446" t="e">
        <f>IF(OR($B431="",MIN(T$38,$D$19)&lt;MAX($P$34*($B431+IF($R$17="Distrato",$I$38-1,0)),IF(AND($L$37=0,$P$34=0),"",$L$37-1),IF($R$17="Distrato",$E431,0))),0,YEARFRAC(MAX($P$34*($B431+IF($R$17="Distrato",$I$38-1,0)),IF(AND($L$37=0,$P$34=0),"",$L$37-1),IF($R$17="Distrato",$E431,0)),MIN(T$38,$D$19),$P$20))-SUM($P431:S431)</f>
        <v>#VALUE!</v>
      </c>
      <c r="U431" s="446" t="e">
        <f>IF(OR($B431="",MIN(U$38,$D$19)&lt;MAX($P$34*($B431+IF($R$17="Distrato",$I$38-1,0)),IF(AND($L$37=0,$P$34=0),"",$L$37-1),IF($R$17="Distrato",$E431,0))),0,YEARFRAC(MAX($P$34*($B431+IF($R$17="Distrato",$I$38-1,0)),IF(AND($L$37=0,$P$34=0),"",$L$37-1),IF($R$17="Distrato",$E431,0)),MIN(U$38,$D$19),$P$20))-SUM($P431:T431)</f>
        <v>#VALUE!</v>
      </c>
      <c r="V431" s="446" t="e">
        <f>IF(OR($B431="",MIN(V$38,$D$19)&lt;MAX($P$34*($B431+IF($R$17="Distrato",$I$38-1,0)),IF(AND($L$37=0,$P$34=0),"",$L$37-1),IF($R$17="Distrato",$E431,0))),0,YEARFRAC(MAX($P$34*($B431+IF($R$17="Distrato",$I$38-1,0)),IF(AND($L$37=0,$P$34=0),"",$L$37-1),IF($R$17="Distrato",$E431,0)),MIN(V$38,$D$19),$P$20))-SUM($P431:U431)</f>
        <v>#VALUE!</v>
      </c>
      <c r="W431" s="446" t="e">
        <f>IF(OR($B431="",MIN(W$38,$D$19)&lt;MAX($P$34*($B431+IF($R$17="Distrato",$I$38-1,0)),IF(AND($L$37=0,$P$34=0),"",$L$37-1),IF($R$17="Distrato",$E431,0))),0,YEARFRAC(MAX($P$34*($B431+IF($R$17="Distrato",$I$38-1,0)),IF(AND($L$37=0,$P$34=0),"",$L$37-1),IF($R$17="Distrato",$E431,0)),MIN(W$38,$D$19),$P$20))-SUM($P431:V431)</f>
        <v>#VALUE!</v>
      </c>
      <c r="X431" s="446" t="e">
        <f>IF(OR($B431="",MIN(X$38,$D$19)&lt;MAX($P$34*($B431+IF($R$17="Distrato",$I$38-1,0)),IF(AND($L$37=0,$P$34=0),"",$L$37-1),IF($R$17="Distrato",$E431,0))),0,YEARFRAC(MAX($P$34*($B431+IF($R$17="Distrato",$I$38-1,0)),IF(AND($L$37=0,$P$34=0),"",$L$37-1),IF($R$17="Distrato",$E431,0)),MIN(X$38,$D$19),$P$20))-SUM($P431:W431)</f>
        <v>#VALUE!</v>
      </c>
      <c r="Y431" s="446" t="e">
        <f>IF(OR($B431="",MIN(Y$38,$D$19)&lt;MAX($P$34*($B431+IF($R$17="Distrato",$I$38-1,0)),IF(AND($L$37=0,$P$34=0),"",$L$37-1),IF($R$17="Distrato",$E431,0))),0,YEARFRAC(MAX($P$34*($B431+IF($R$17="Distrato",$I$38-1,0)),IF(AND($L$37=0,$P$34=0),"",$L$37-1),IF($R$17="Distrato",$E431,0)),MIN(Y$38,$D$19),$P$20))-SUM($P431:X431)</f>
        <v>#VALUE!</v>
      </c>
      <c r="Z431" s="446" t="e">
        <f>IF(OR($B431="",MIN(Z$38,$D$19)&lt;MAX($P$34*($B431+IF($R$17="Distrato",$I$38-1,0)),IF(AND($L$37=0,$P$34=0),"",$L$37-1),IF($R$17="Distrato",$E431,0))),0,YEARFRAC(MAX($P$34*($B431+IF($R$17="Distrato",$I$38-1,0)),IF(AND($L$37=0,$P$34=0),"",$L$37-1),IF($R$17="Distrato",$E431,0)),MIN(Z$38,$D$19),$P$20))-SUM($P431:Y431)</f>
        <v>#VALUE!</v>
      </c>
      <c r="AA431" s="446" t="e">
        <f>IF(OR($B431="",MIN(AA$38,$D$19)&lt;MAX($P$34*($B431+IF($R$17="Distrato",$I$38-1,0)),IF(AND($L$37=0,$P$34=0),"",$L$37-1),IF($R$17="Distrato",$E431,0))),0,YEARFRAC(MAX($P$34*($B431+IF($R$17="Distrato",$I$38-1,0)),IF(AND($L$37=0,$P$34=0),"",$L$37-1),IF($R$17="Distrato",$E431,0)),MIN(AA$38,$D$19),$P$20))-SUM($P431:Z431)</f>
        <v>#VALUE!</v>
      </c>
      <c r="AB431" s="446" t="e">
        <f>IF(OR($B431="",MIN(AB$38,$D$19)&lt;MAX($P$34*($B431+IF($R$17="Distrato",$I$38-1,0)),IF(AND($L$37=0,$P$34=0),"",$L$37-1),IF($R$17="Distrato",$E431,0))),0,YEARFRAC(MAX($P$34*($B431+IF($R$17="Distrato",$I$38-1,0)),IF(AND($L$37=0,$P$34=0),"",$L$37-1),IF($R$17="Distrato",$E431,0)),MIN(AB$38,$D$19),$P$20))-SUM($P431:AA431)</f>
        <v>#VALUE!</v>
      </c>
      <c r="AC431" s="446" t="e">
        <f>IF(OR($B431="",MIN(AC$38,$D$19)&lt;MAX($P$34*($B431+IF($R$17="Distrato",$I$38-1,0)),IF(AND($L$37=0,$P$34=0),"",$L$37-1),IF($R$17="Distrato",$E431,0))),0,YEARFRAC(MAX($P$34*($B431+IF($R$17="Distrato",$I$38-1,0)),IF(AND($L$37=0,$P$34=0),"",$L$37-1),IF($R$17="Distrato",$E431,0)),MIN(AC$38,$D$19),$P$20))-SUM($P431:AB431)</f>
        <v>#VALUE!</v>
      </c>
      <c r="AD431" s="446" t="e">
        <f>IF(OR($B431="",MIN(AD$38,$D$19)&lt;MAX($P$34*($B431+IF($R$17="Distrato",$I$38-1,0)),IF(AND($L$37=0,$P$34=0),"",$L$37-1),IF($R$17="Distrato",$E431,0))),0,YEARFRAC(MAX($P$34*($B431+IF($R$17="Distrato",$I$38-1,0)),IF(AND($L$37=0,$P$34=0),"",$L$37-1),IF($R$17="Distrato",$E431,0)),MIN(AD$38,$D$19),$P$20))-SUM($P431:AC431)</f>
        <v>#VALUE!</v>
      </c>
      <c r="AE431" s="446" t="e">
        <f>IF(OR($B431="",MIN(AE$38,$D$19)&lt;MAX($P$34*($B431+IF($R$17="Distrato",$I$38-1,0)),IF(AND($L$37=0,$P$34=0),"",$L$37-1),IF($R$17="Distrato",$E431,0))),0,YEARFRAC(MAX($P$34*($B431+IF($R$17="Distrato",$I$38-1,0)),IF(AND($L$37=0,$P$34=0),"",$L$37-1),IF($R$17="Distrato",$E431,0)),MIN(AE$38,$D$19),$P$20))-SUM($P431:AD431)</f>
        <v>#VALUE!</v>
      </c>
      <c r="AF431" s="446" t="e">
        <f>IF(OR($B431="",MIN(AF$38,$D$19)&lt;MAX($P$34*($B431+IF($R$17="Distrato",$I$38-1,0)),IF(AND($L$37=0,$P$34=0),"",$L$37-1),IF($R$17="Distrato",$E431,0))),0,YEARFRAC(MAX($P$34*($B431+IF($R$17="Distrato",$I$38-1,0)),IF(AND($L$37=0,$P$34=0),"",$L$37-1),IF($R$17="Distrato",$E431,0)),MIN(AF$38,$D$19),$P$20))-SUM($P431:AE431)</f>
        <v>#VALUE!</v>
      </c>
      <c r="AG431" s="446" t="e">
        <f>IF(OR($B431="",MIN(AG$38,$D$19)&lt;MAX($P$34*($B431+IF($R$17="Distrato",$I$38-1,0)),IF(AND($L$37=0,$P$34=0),"",$L$37-1),IF($R$17="Distrato",$E431,0))),0,YEARFRAC(MAX($P$34*($B431+IF($R$17="Distrato",$I$38-1,0)),IF(AND($L$37=0,$P$34=0),"",$L$37-1),IF($R$17="Distrato",$E431,0)),MIN(AG$38,$D$19),$P$20))-SUM($P431:AF431)</f>
        <v>#VALUE!</v>
      </c>
      <c r="AH431" s="446" t="e">
        <f>IF(OR($B431="",MIN(AH$38,$D$19)&lt;MAX($P$34*($B431+IF($R$17="Distrato",$I$38-1,0)),IF(AND($L$37=0,$P$34=0),"",$L$37-1),IF($R$17="Distrato",$E431,0))),0,YEARFRAC(MAX($P$34*($B431+IF($R$17="Distrato",$I$38-1,0)),IF(AND($L$37=0,$P$34=0),"",$L$37-1),IF($R$17="Distrato",$E431,0)),MIN(AH$38,$D$19),$P$20))-SUM($P431:AG431)</f>
        <v>#VALUE!</v>
      </c>
      <c r="AI431" s="446" t="e">
        <f>IF(OR($B431="",MIN(AI$38,$D$19)&lt;MAX($P$34*($B431+IF($R$17="Distrato",$I$38-1,0)),IF(AND($L$37=0,$P$34=0),"",$L$37-1),IF($R$17="Distrato",$E431,0))),0,YEARFRAC(MAX($P$34*($B431+IF($R$17="Distrato",$I$38-1,0)),IF(AND($L$37=0,$P$34=0),"",$L$37-1),IF($R$17="Distrato",$E431,0)),MIN(AI$38,$D$19),$P$20))-SUM($P431:AH431)</f>
        <v>#VALUE!</v>
      </c>
      <c r="AJ431" s="446" t="e">
        <f>IF(OR($B431="",MIN(AJ$38,$D$19)&lt;MAX($P$34*($B431+IF($R$17="Distrato",$I$38-1,0)),IF(AND($L$37=0,$P$34=0),"",$L$37-1),IF($R$17="Distrato",$E431,0))),0,YEARFRAC(MAX($P$34*($B431+IF($R$17="Distrato",$I$38-1,0)),IF(AND($L$37=0,$P$34=0),"",$L$37-1),IF($R$17="Distrato",$E431,0)),MIN(AJ$38,$D$19),$P$20))-SUM($P431:AI431)</f>
        <v>#VALUE!</v>
      </c>
      <c r="AK431" s="446" t="e">
        <f>IF(OR($B431="",MIN(AK$38,$D$19)&lt;MAX($P$34*($B431+IF($R$17="Distrato",$I$38-1,0)),IF(AND($L$37=0,$P$34=0),"",$L$37-1),IF($R$17="Distrato",$E431,0))),0,YEARFRAC(MAX($P$34*($B431+IF($R$17="Distrato",$I$38-1,0)),IF(AND($L$37=0,$P$34=0),"",$L$37-1),IF($R$17="Distrato",$E431,0)),MIN(AK$38,$D$19),$P$20))-SUM($P431:AJ431)</f>
        <v>#VALUE!</v>
      </c>
      <c r="AL431" s="446" t="e">
        <f>IF(OR($B431="",MIN(AL$38,$D$19)&lt;MAX($P$34*($B431+IF($R$17="Distrato",$I$38-1,0)),IF(AND($L$37=0,$P$34=0),"",$L$37-1),IF($R$17="Distrato",$E431,0))),0,YEARFRAC(MAX($P$34*($B431+IF($R$17="Distrato",$I$38-1,0)),IF(AND($L$37=0,$P$34=0),"",$L$37-1),IF($R$17="Distrato",$E431,0)),MIN(AL$38,$D$19),$P$20))-SUM($P431:AK431)</f>
        <v>#VALUE!</v>
      </c>
      <c r="AM431" s="446" t="e">
        <f>IF(OR($B431="",MIN(AM$38,$D$19)&lt;MAX($P$34*($B431+IF($R$17="Distrato",$I$38-1,0)),IF(AND($L$37=0,$P$34=0),"",$L$37-1),IF($R$17="Distrato",$E431,0))),0,YEARFRAC(MAX($P$34*($B431+IF($R$17="Distrato",$I$38-1,0)),IF(AND($L$37=0,$P$34=0),"",$L$37-1),IF($R$17="Distrato",$E431,0)),MIN(AM$38,$D$19),$P$20))-SUM($P431:AL431)</f>
        <v>#VALUE!</v>
      </c>
      <c r="AN431" s="446" t="e">
        <f>IF(OR($B431="",MIN(AN$38,$D$19)&lt;MAX($P$34*($B431+IF($R$17="Distrato",$I$38-1,0)),IF(AND($L$37=0,$P$34=0),"",$L$37-1),IF($R$17="Distrato",$E431,0))),0,YEARFRAC(MAX($P$34*($B431+IF($R$17="Distrato",$I$38-1,0)),IF(AND($L$37=0,$P$34=0),"",$L$37-1),IF($R$17="Distrato",$E431,0)),MIN(AN$38,$D$19),$P$20))-SUM($P431:AM431)</f>
        <v>#VALUE!</v>
      </c>
      <c r="AO431" s="446" t="e">
        <f>IF(OR($B431="",MIN(AO$38,$D$19)&lt;MAX($P$34*($B431+IF($R$17="Distrato",$I$38-1,0)),IF(AND($L$37=0,$P$34=0),"",$L$37-1),IF($R$17="Distrato",$E431,0))),0,YEARFRAC(MAX($P$34*($B431+IF($R$17="Distrato",$I$38-1,0)),IF(AND($L$37=0,$P$34=0),"",$L$37-1),IF($R$17="Distrato",$E431,0)),MIN(AO$38,$D$19),$P$20))-SUM($P431:AN431)</f>
        <v>#VALUE!</v>
      </c>
      <c r="AP431" s="446" t="e">
        <f>IF(OR($B431="",MIN(AP$38,$D$19)&lt;MAX($P$34*($B431+IF($R$17="Distrato",$I$38-1,0)),IF(AND($L$37=0,$P$34=0),"",$L$37-1),IF($R$17="Distrato",$E431,0))),0,YEARFRAC(MAX($P$34*($B431+IF($R$17="Distrato",$I$38-1,0)),IF(AND($L$37=0,$P$34=0),"",$L$37-1),IF($R$17="Distrato",$E431,0)),MIN(AP$38,$D$19),$P$20))-SUM($P431:AO431)</f>
        <v>#VALUE!</v>
      </c>
      <c r="AQ431" s="446" t="e">
        <f>IF(OR($B431="",MIN(AQ$38,$D$19)&lt;MAX($P$34*($B431+IF($R$17="Distrato",$I$38-1,0)),IF(AND($L$37=0,$P$34=0),"",$L$37-1),IF($R$17="Distrato",$E431,0))),0,YEARFRAC(MAX($P$34*($B431+IF($R$17="Distrato",$I$38-1,0)),IF(AND($L$37=0,$P$34=0),"",$L$37-1),IF($R$17="Distrato",$E431,0)),MIN(AQ$38,$D$19),$P$20))-SUM($P431:AP431)</f>
        <v>#VALUE!</v>
      </c>
      <c r="AR431" s="446" t="e">
        <f>IF(OR($B431="",MIN(AR$38,$D$19)&lt;MAX($P$34*($B431+IF($R$17="Distrato",$I$38-1,0)),IF(AND($L$37=0,$P$34=0),"",$L$37-1),IF($R$17="Distrato",$E431,0))),0,YEARFRAC(MAX($P$34*($B431+IF($R$17="Distrato",$I$38-1,0)),IF(AND($L$37=0,$P$34=0),"",$L$37-1),IF($R$17="Distrato",$E431,0)),MIN(AR$38,$D$19),$P$20))-SUM($P431:AQ431)</f>
        <v>#VALUE!</v>
      </c>
      <c r="AS431" s="446" t="e">
        <f>IF(OR($B431="",MIN(AS$38,$D$19)&lt;MAX($P$34*($B431+IF($R$17="Distrato",$I$38-1,0)),IF(AND($L$37=0,$P$34=0),"",$L$37-1),IF($R$17="Distrato",$E431,0))),0,YEARFRAC(MAX($P$34*($B431+IF($R$17="Distrato",$I$38-1,0)),IF(AND($L$37=0,$P$34=0),"",$L$37-1),IF($R$17="Distrato",$E431,0)),MIN(AS$38,$D$19),$P$20))-SUM($P431:AR431)</f>
        <v>#VALUE!</v>
      </c>
      <c r="AT431" s="446" t="e">
        <f>IF(OR($B431="",MIN(AT$38,$D$19)&lt;MAX($P$34*($B431+IF($R$17="Distrato",$I$38-1,0)),IF(AND($L$37=0,$P$34=0),"",$L$37-1),IF($R$17="Distrato",$E431,0))),0,YEARFRAC(MAX($P$34*($B431+IF($R$17="Distrato",$I$38-1,0)),IF(AND($L$37=0,$P$34=0),"",$L$37-1),IF($R$17="Distrato",$E431,0)),MIN(AT$38,$D$19),$P$20))-SUM($P431:AS431)</f>
        <v>#VALUE!</v>
      </c>
      <c r="AU431" s="446" t="e">
        <f>IF(OR($B431="",MIN(AU$38,$D$19)&lt;MAX($P$34*($B431+IF($R$17="Distrato",$I$38-1,0)),IF(AND($L$37=0,$P$34=0),"",$L$37-1),IF($R$17="Distrato",$E431,0))),0,YEARFRAC(MAX($P$34*($B431+IF($R$17="Distrato",$I$38-1,0)),IF(AND($L$37=0,$P$34=0),"",$L$37-1),IF($R$17="Distrato",$E431,0)),MIN(AU$38,$D$19),$P$20))-SUM($P431:AT431)</f>
        <v>#VALUE!</v>
      </c>
      <c r="AV431" s="446" t="e">
        <f>IF(OR($B431="",MIN(AV$38,$D$19)&lt;MAX($P$34*($B431+IF($R$17="Distrato",$I$38-1,0)),IF(AND($L$37=0,$P$34=0),"",$L$37-1),IF($R$17="Distrato",$E431,0))),0,YEARFRAC(MAX($P$34*($B431+IF($R$17="Distrato",$I$38-1,0)),IF(AND($L$37=0,$P$34=0),"",$L$37-1),IF($R$17="Distrato",$E431,0)),MIN(AV$38,$D$19),$P$20))-SUM($P431:AU431)</f>
        <v>#VALUE!</v>
      </c>
      <c r="AW431" s="446" t="e">
        <f>IF(OR($B431="",MIN(AW$38,$D$19)&lt;MAX($P$34*($B431+IF($R$17="Distrato",$I$38-1,0)),IF(AND($L$37=0,$P$34=0),"",$L$37-1),IF($R$17="Distrato",$E431,0))),0,YEARFRAC(MAX($P$34*($B431+IF($R$17="Distrato",$I$38-1,0)),IF(AND($L$37=0,$P$34=0),"",$L$37-1),IF($R$17="Distrato",$E431,0)),MIN(AW$38,$D$19),$P$20))-SUM($P431:AV431)</f>
        <v>#VALUE!</v>
      </c>
      <c r="AX431" s="446" t="e">
        <f>IF(OR($B431="",MIN(AX$38,$D$19)&lt;MAX($P$34*($B431+IF($R$17="Distrato",$I$38-1,0)),IF(AND($L$37=0,$P$34=0),"",$L$37-1),IF($R$17="Distrato",$E431,0))),0,YEARFRAC(MAX($P$34*($B431+IF($R$17="Distrato",$I$38-1,0)),IF(AND($L$37=0,$P$34=0),"",$L$37-1),IF($R$17="Distrato",$E431,0)),MIN(AX$38,$D$19),$P$20))-SUM($P431:AW431)</f>
        <v>#VALUE!</v>
      </c>
      <c r="AY431" s="446" t="e">
        <f>IF(OR($B431="",MIN(AY$38,$D$19)&lt;MAX($P$34*($B431+IF($R$17="Distrato",$I$38-1,0)),IF(AND($L$37=0,$P$34=0),"",$L$37-1),IF($R$17="Distrato",$E431,0))),0,YEARFRAC(MAX($P$34*($B431+IF($R$17="Distrato",$I$38-1,0)),IF(AND($L$37=0,$P$34=0),"",$L$37-1),IF($R$17="Distrato",$E431,0)),MIN(AY$38,$D$19),$P$20))-SUM($P431:AX431)</f>
        <v>#VALUE!</v>
      </c>
      <c r="AZ431" s="446" t="e">
        <f>IF(OR($B431="",MIN(AZ$38,$D$19)&lt;MAX($P$34*($B431+IF($R$17="Distrato",$I$38-1,0)),IF(AND($L$37=0,$P$34=0),"",$L$37-1),IF($R$17="Distrato",$E431,0))),0,YEARFRAC(MAX($P$34*($B431+IF($R$17="Distrato",$I$38-1,0)),IF(AND($L$37=0,$P$34=0),"",$L$37-1),IF($R$17="Distrato",$E431,0)),MIN(AZ$38,$D$19),$P$20))-SUM($P431:AY431)</f>
        <v>#VALUE!</v>
      </c>
      <c r="BA431" s="446" t="e">
        <f>IF(OR($B431="",MIN(BA$38,$D$19)&lt;MAX($P$34*($B431+IF($R$17="Distrato",$I$38-1,0)),IF(AND($L$37=0,$P$34=0),"",$L$37-1),IF($R$17="Distrato",$E431,0))),0,YEARFRAC(MAX($P$34*($B431+IF($R$17="Distrato",$I$38-1,0)),IF(AND($L$37=0,$P$34=0),"",$L$37-1),IF($R$17="Distrato",$E431,0)),MIN(BA$38,$D$19),$P$20))-SUM($P431:AZ431)</f>
        <v>#VALUE!</v>
      </c>
      <c r="BB431" s="447"/>
      <c r="BF431" s="446">
        <f t="shared" si="76"/>
        <v>0</v>
      </c>
      <c r="BG431" s="446">
        <f>IF($E431=0,0,IF(MIN(BG$38,$E431)&lt;MAX($P$34*($B431+$I$38-1),IF(AND($L$37=0,$P$34=0),"",$L$37-1)),0,YEARFRAC(MAX($P$34*($B431+$I$38-1),IF(AND($L$37=0,$P$34=0),"",$L$37-1)),MIN(BG$38,$E431),$P$20))-SUM($BF431:BF431))</f>
        <v>0</v>
      </c>
      <c r="BH431" s="446">
        <f>IF($E431=0,0,IF(MIN(BH$38,$E431)&lt;MAX($P$34*($B431+$I$38-1),IF(AND($L$37=0,$P$34=0),"",$L$37-1)),0,YEARFRAC(MAX($P$34*($B431+$I$38-1),IF(AND($L$37=0,$P$34=0),"",$L$37-1)),MIN(BH$38,$E431),$P$20))-SUM($BF431:BG431))</f>
        <v>0</v>
      </c>
      <c r="BI431" s="446">
        <f>IF($E431=0,0,IF(MIN(BI$38,$E431)&lt;MAX($P$34*($B431+$I$38-1),IF(AND($L$37=0,$P$34=0),"",$L$37-1)),0,YEARFRAC(MAX($P$34*($B431+$I$38-1),IF(AND($L$37=0,$P$34=0),"",$L$37-1)),MIN(BI$38,$E431),$P$20))-SUM($BF431:BH431))</f>
        <v>0</v>
      </c>
      <c r="BJ431" s="446">
        <f>IF($E431=0,0,IF(MIN(BJ$38,$E431)&lt;MAX($P$34*($B431+$I$38-1),IF(AND($L$37=0,$P$34=0),"",$L$37-1)),0,YEARFRAC(MAX($P$34*($B431+$I$38-1),IF(AND($L$37=0,$P$34=0),"",$L$37-1)),MIN(BJ$38,$E431),$P$20))-SUM($BF431:BI431))</f>
        <v>0</v>
      </c>
      <c r="BK431" s="446">
        <f>IF($E431=0,0,IF(MIN(BK$38,$E431)&lt;MAX($P$34*($B431+$I$38-1),IF(AND($L$37=0,$P$34=0),"",$L$37-1)),0,YEARFRAC(MAX($P$34*($B431+$I$38-1),IF(AND($L$37=0,$P$34=0),"",$L$37-1)),MIN(BK$38,$E431),$P$20))-SUM($BF431:BJ431))</f>
        <v>0</v>
      </c>
      <c r="BL431" s="446">
        <f>IF($E431=0,0,IF(MIN(BL$38,$E431)&lt;MAX($P$34*($B431+$I$38-1),IF(AND($L$37=0,$P$34=0),"",$L$37-1)),0,YEARFRAC(MAX($P$34*($B431+$I$38-1),IF(AND($L$37=0,$P$34=0),"",$L$37-1)),MIN(BL$38,$E431),$P$20))-SUM($BF431:BK431))</f>
        <v>0</v>
      </c>
      <c r="BM431" s="446">
        <f>IF($E431=0,0,IF(MIN(BM$38,$E431)&lt;MAX($P$34*($B431+$I$38-1),IF(AND($L$37=0,$P$34=0),"",$L$37-1)),0,YEARFRAC(MAX($P$34*($B431+$I$38-1),IF(AND($L$37=0,$P$34=0),"",$L$37-1)),MIN(BM$38,$E431),$P$20))-SUM($BF431:BL431))</f>
        <v>0</v>
      </c>
      <c r="BN431" s="446">
        <f>IF($E431=0,0,IF(MIN(BN$38,$E431)&lt;MAX($P$34*($B431+$I$38-1),IF(AND($L$37=0,$P$34=0),"",$L$37-1)),0,YEARFRAC(MAX($P$34*($B431+$I$38-1),IF(AND($L$37=0,$P$34=0),"",$L$37-1)),MIN(BN$38,$E431),$P$20))-SUM($BF431:BM431))</f>
        <v>0</v>
      </c>
      <c r="BO431" s="446">
        <f>IF($E431=0,0,IF(MIN(BO$38,$E431)&lt;MAX($P$34*($B431+$I$38-1),IF(AND($L$37=0,$P$34=0),"",$L$37-1)),0,YEARFRAC(MAX($P$34*($B431+$I$38-1),IF(AND($L$37=0,$P$34=0),"",$L$37-1)),MIN(BO$38,$E431),$P$20))-SUM($BF431:BN431))</f>
        <v>0</v>
      </c>
      <c r="BP431" s="446">
        <f>IF($E431=0,0,IF(MIN(BP$38,$E431)&lt;MAX($P$34*($B431+$I$38-1),IF(AND($L$37=0,$P$34=0),"",$L$37-1)),0,YEARFRAC(MAX($P$34*($B431+$I$38-1),IF(AND($L$37=0,$P$34=0),"",$L$37-1)),MIN(BP$38,$E431),$P$20))-SUM($BF431:BO431))</f>
        <v>0</v>
      </c>
      <c r="BQ431" s="446">
        <f>IF($E431=0,0,IF(MIN(BQ$38,$E431)&lt;MAX($P$34*($B431+$I$38-1),IF(AND($L$37=0,$P$34=0),"",$L$37-1)),0,YEARFRAC(MAX($P$34*($B431+$I$38-1),IF(AND($L$37=0,$P$34=0),"",$L$37-1)),MIN(BQ$38,$E431),$P$20))-SUM($BF431:BP431))</f>
        <v>0</v>
      </c>
      <c r="BR431" s="446">
        <f>IF($E431=0,0,IF(MIN(BR$38,$E431)&lt;MAX($P$34*($B431+$I$38-1),IF(AND($L$37=0,$P$34=0),"",$L$37-1)),0,YEARFRAC(MAX($P$34*($B431+$I$38-1),IF(AND($L$37=0,$P$34=0),"",$L$37-1)),MIN(BR$38,$E431),$P$20))-SUM($BF431:BQ431))</f>
        <v>0</v>
      </c>
      <c r="BS431" s="446">
        <f>IF($E431=0,0,IF(MIN(BS$38,$E431)&lt;MAX($P$34*($B431+$I$38-1),IF(AND($L$37=0,$P$34=0),"",$L$37-1)),0,YEARFRAC(MAX($P$34*($B431+$I$38-1),IF(AND($L$37=0,$P$34=0),"",$L$37-1)),MIN(BS$38,$E431),$P$20))-SUM($BF431:BR431))</f>
        <v>0</v>
      </c>
      <c r="BT431" s="446">
        <f>IF($E431=0,0,IF(MIN(BT$38,$E431)&lt;MAX($P$34*($B431+$I$38-1),IF(AND($L$37=0,$P$34=0),"",$L$37-1)),0,YEARFRAC(MAX($P$34*($B431+$I$38-1),IF(AND($L$37=0,$P$34=0),"",$L$37-1)),MIN(BT$38,$E431),$P$20))-SUM($BF431:BS431))</f>
        <v>0</v>
      </c>
      <c r="BU431" s="446">
        <f>IF($E431=0,0,IF(MIN(BU$38,$E431)&lt;MAX($P$34*($B431+$I$38-1),IF(AND($L$37=0,$P$34=0),"",$L$37-1)),0,YEARFRAC(MAX($P$34*($B431+$I$38-1),IF(AND($L$37=0,$P$34=0),"",$L$37-1)),MIN(BU$38,$E431),$P$20))-SUM($BF431:BT431))</f>
        <v>0</v>
      </c>
      <c r="BV431" s="446">
        <f>IF($E431=0,0,IF(MIN(BV$38,$E431)&lt;MAX($P$34*($B431+$I$38-1),IF(AND($L$37=0,$P$34=0),"",$L$37-1)),0,YEARFRAC(MAX($P$34*($B431+$I$38-1),IF(AND($L$37=0,$P$34=0),"",$L$37-1)),MIN(BV$38,$E431),$P$20))-SUM($BF431:BU431))</f>
        <v>0</v>
      </c>
      <c r="BW431" s="446">
        <f>IF($E431=0,0,IF(MIN(BW$38,$E431)&lt;MAX($P$34*($B431+$I$38-1),IF(AND($L$37=0,$P$34=0),"",$L$37-1)),0,YEARFRAC(MAX($P$34*($B431+$I$38-1),IF(AND($L$37=0,$P$34=0),"",$L$37-1)),MIN(BW$38,$E431),$P$20))-SUM($BF431:BV431))</f>
        <v>0</v>
      </c>
      <c r="BX431" s="446">
        <f>IF($E431=0,0,IF(MIN(BX$38,$E431)&lt;MAX($P$34*($B431+$I$38-1),IF(AND($L$37=0,$P$34=0),"",$L$37-1)),0,YEARFRAC(MAX($P$34*($B431+$I$38-1),IF(AND($L$37=0,$P$34=0),"",$L$37-1)),MIN(BX$38,$E431),$P$20))-SUM($BF431:BW431))</f>
        <v>0</v>
      </c>
      <c r="BY431" s="446">
        <f>IF($E431=0,0,IF(MIN(BY$38,$E431)&lt;MAX($P$34*($B431+$I$38-1),IF(AND($L$37=0,$P$34=0),"",$L$37-1)),0,YEARFRAC(MAX($P$34*($B431+$I$38-1),IF(AND($L$37=0,$P$34=0),"",$L$37-1)),MIN(BY$38,$E431),$P$20))-SUM($BF431:BX431))</f>
        <v>0</v>
      </c>
      <c r="BZ431" s="446">
        <f>IF($E431=0,0,IF(MIN(BZ$38,$E431)&lt;MAX($P$34*($B431+$I$38-1),IF(AND($L$37=0,$P$34=0),"",$L$37-1)),0,YEARFRAC(MAX($P$34*($B431+$I$38-1),IF(AND($L$37=0,$P$34=0),"",$L$37-1)),MIN(BZ$38,$E431),$P$20))-SUM($BF431:BY431))</f>
        <v>0</v>
      </c>
      <c r="CA431" s="446">
        <f>IF($E431=0,0,IF(MIN(CA$38,$E431)&lt;MAX($P$34*($B431+$I$38-1),IF(AND($L$37=0,$P$34=0),"",$L$37-1)),0,YEARFRAC(MAX($P$34*($B431+$I$38-1),IF(AND($L$37=0,$P$34=0),"",$L$37-1)),MIN(CA$38,$E431),$P$20))-SUM($BF431:BZ431))</f>
        <v>0</v>
      </c>
      <c r="CB431" s="446">
        <f>IF($E431=0,0,IF(MIN(CB$38,$E431)&lt;MAX($P$34*($B431+$I$38-1),IF(AND($L$37=0,$P$34=0),"",$L$37-1)),0,YEARFRAC(MAX($P$34*($B431+$I$38-1),IF(AND($L$37=0,$P$34=0),"",$L$37-1)),MIN(CB$38,$E431),$P$20))-SUM($BF431:CA431))</f>
        <v>0</v>
      </c>
      <c r="CC431" s="446">
        <f>IF($E431=0,0,IF(MIN(CC$38,$E431)&lt;MAX($P$34*($B431+$I$38-1),IF(AND($L$37=0,$P$34=0),"",$L$37-1)),0,YEARFRAC(MAX($P$34*($B431+$I$38-1),IF(AND($L$37=0,$P$34=0),"",$L$37-1)),MIN(CC$38,$E431),$P$20))-SUM($BF431:CB431))</f>
        <v>0</v>
      </c>
      <c r="CD431" s="446">
        <f>IF($E431=0,0,IF(MIN(CD$38,$E431)&lt;MAX($P$34*($B431+$I$38-1),IF(AND($L$37=0,$P$34=0),"",$L$37-1)),0,YEARFRAC(MAX($P$34*($B431+$I$38-1),IF(AND($L$37=0,$P$34=0),"",$L$37-1)),MIN(CD$38,$E431),$P$20))-SUM($BF431:CC431))</f>
        <v>0</v>
      </c>
      <c r="CE431" s="446">
        <f>IF($E431=0,0,IF(MIN(CE$38,$E431)&lt;MAX($P$34*($B431+$I$38-1),IF(AND($L$37=0,$P$34=0),"",$L$37-1)),0,YEARFRAC(MAX($P$34*($B431+$I$38-1),IF(AND($L$37=0,$P$34=0),"",$L$37-1)),MIN(CE$38,$E431),$P$20))-SUM($BF431:CD431))</f>
        <v>0</v>
      </c>
      <c r="CF431" s="446">
        <f>IF($E431=0,0,IF(MIN(CF$38,$E431)&lt;MAX($P$34*($B431+$I$38-1),IF(AND($L$37=0,$P$34=0),"",$L$37-1)),0,YEARFRAC(MAX($P$34*($B431+$I$38-1),IF(AND($L$37=0,$P$34=0),"",$L$37-1)),MIN(CF$38,$E431),$P$20))-SUM($BF431:CE431))</f>
        <v>0</v>
      </c>
      <c r="CG431" s="446">
        <f>IF($E431=0,0,IF(MIN(CG$38,$E431)&lt;MAX($P$34*($B431+$I$38-1),IF(AND($L$37=0,$P$34=0),"",$L$37-1)),0,YEARFRAC(MAX($P$34*($B431+$I$38-1),IF(AND($L$37=0,$P$34=0),"",$L$37-1)),MIN(CG$38,$E431),$P$20))-SUM($BF431:CF431))</f>
        <v>0</v>
      </c>
      <c r="CH431" s="446">
        <f>IF($E431=0,0,IF(MIN(CH$38,$E431)&lt;MAX($P$34*($B431+$I$38-1),IF(AND($L$37=0,$P$34=0),"",$L$37-1)),0,YEARFRAC(MAX($P$34*($B431+$I$38-1),IF(AND($L$37=0,$P$34=0),"",$L$37-1)),MIN(CH$38,$E431),$P$20))-SUM($BF431:CG431))</f>
        <v>0</v>
      </c>
      <c r="CI431" s="446">
        <f>IF($E431=0,0,IF(MIN(CI$38,$E431)&lt;MAX($P$34*($B431+$I$38-1),IF(AND($L$37=0,$P$34=0),"",$L$37-1)),0,YEARFRAC(MAX($P$34*($B431+$I$38-1),IF(AND($L$37=0,$P$34=0),"",$L$37-1)),MIN(CI$38,$E431),$P$20))-SUM($BF431:CH431))</f>
        <v>0</v>
      </c>
      <c r="CJ431" s="446">
        <f>IF($E431=0,0,IF(MIN(CJ$38,$E431)&lt;MAX($P$34*($B431+$I$38-1),IF(AND($L$37=0,$P$34=0),"",$L$37-1)),0,YEARFRAC(MAX($P$34*($B431+$I$38-1),IF(AND($L$37=0,$P$34=0),"",$L$37-1)),MIN(CJ$38,$E431),$P$20))-SUM($BF431:CI431))</f>
        <v>0</v>
      </c>
      <c r="CK431" s="446">
        <f>IF($E431=0,0,IF(MIN(CK$38,$E431)&lt;MAX($P$34*($B431+$I$38-1),IF(AND($L$37=0,$P$34=0),"",$L$37-1)),0,YEARFRAC(MAX($P$34*($B431+$I$38-1),IF(AND($L$37=0,$P$34=0),"",$L$37-1)),MIN(CK$38,$E431),$P$20))-SUM($BF431:CJ431))</f>
        <v>0</v>
      </c>
      <c r="CL431" s="446">
        <f>IF($E431=0,0,IF(MIN(CL$38,$E431)&lt;MAX($P$34*($B431+$I$38-1),IF(AND($L$37=0,$P$34=0),"",$L$37-1)),0,YEARFRAC(MAX($P$34*($B431+$I$38-1),IF(AND($L$37=0,$P$34=0),"",$L$37-1)),MIN(CL$38,$E431),$P$20))-SUM($BF431:CK431))</f>
        <v>0</v>
      </c>
      <c r="CM431" s="446">
        <f>IF($E431=0,0,IF(MIN(CM$38,$E431)&lt;MAX($P$34*($B431+$I$38-1),IF(AND($L$37=0,$P$34=0),"",$L$37-1)),0,YEARFRAC(MAX($P$34*($B431+$I$38-1),IF(AND($L$37=0,$P$34=0),"",$L$37-1)),MIN(CM$38,$E431),$P$20))-SUM($BF431:CL431))</f>
        <v>0</v>
      </c>
      <c r="CN431" s="446">
        <f>IF($E431=0,0,IF(MIN(CN$38,$E431)&lt;MAX($P$34*($B431+$I$38-1),IF(AND($L$37=0,$P$34=0),"",$L$37-1)),0,YEARFRAC(MAX($P$34*($B431+$I$38-1),IF(AND($L$37=0,$P$34=0),"",$L$37-1)),MIN(CN$38,$E431),$P$20))-SUM($BF431:CM431))</f>
        <v>0</v>
      </c>
      <c r="CO431" s="446">
        <f>IF($E431=0,0,IF(MIN(CO$38,$E431)&lt;MAX($P$34*($B431+$I$38-1),IF(AND($L$37=0,$P$34=0),"",$L$37-1)),0,YEARFRAC(MAX($P$34*($B431+$I$38-1),IF(AND($L$37=0,$P$34=0),"",$L$37-1)),MIN(CO$38,$E431),$P$20))-SUM($BF431:CN431))</f>
        <v>0</v>
      </c>
      <c r="CP431" s="446">
        <f>IF($E431=0,0,IF(MIN(CP$38,$E431)&lt;MAX($P$34*($B431+$I$38-1),IF(AND($L$37=0,$P$34=0),"",$L$37-1)),0,YEARFRAC(MAX($P$34*($B431+$I$38-1),IF(AND($L$37=0,$P$34=0),"",$L$37-1)),MIN(CP$38,$E431),$P$20))-SUM($BF431:CO431))</f>
        <v>0</v>
      </c>
      <c r="CQ431" s="446">
        <f>IF($E431=0,0,IF(MIN(CQ$38,$E431)&lt;MAX($P$34*($B431+$I$38-1),IF(AND($L$37=0,$P$34=0),"",$L$37-1)),0,YEARFRAC(MAX($P$34*($B431+$I$38-1),IF(AND($L$37=0,$P$34=0),"",$L$37-1)),MIN(CQ$38,$E431),$P$20))-SUM($BF431:CP431))</f>
        <v>0</v>
      </c>
    </row>
    <row r="432" spans="1:95" s="446" customFormat="1" ht="11.25" hidden="1" customHeight="1" x14ac:dyDescent="0.2">
      <c r="A432" s="152"/>
      <c r="B432" s="153" t="str">
        <f t="shared" si="81"/>
        <v/>
      </c>
      <c r="C432" s="29" t="str">
        <f>IF(B432="","",IF($L$35="SELIC - TRIBUTOS",VLOOKUP(DATE(YEAR($D$19),MONTH($D$19)-1,1),ÍNDICES!$A:$DE,HLOOKUP($BL$25,ÍNDICES!$B$3:$T$4,2)+11)-VLOOKUP(B432,ÍNDICES!$A:$DE,HLOOKUP($BL$25,ÍNDICES!$B$3:$T$4,2)+11)+1%,IF(C$38=$W$26,$J$35,IF(ISERROR(IF(B432&gt;$D$19,1,VLOOKUP(DATE(YEAR(B432),MONTH(B432)+IF($C$35=$S$23,1,0),1),ÍNDICES!$A:$DE,$Z$35+1))),"",IF(B432&gt;$D$19,1,VLOOKUP(DATE(YEAR(B432),MONTH(B432)+IF($C$35=$S$23,1,0),1),ÍNDICES!$A:$DE,$Z$35+1))))))</f>
        <v/>
      </c>
      <c r="D432" s="154" t="str">
        <f>IF(ISERROR(IF(OR($D$38=$Y$27,$B432=""),"",VLOOKUP(B432,ÍNDICES!A:DE,AF$35+1))),"",IF(OR($D$38=$Y$27,$B432=""),"",VLOOKUP(B432,ÍNDICES!A:DE,AF$35+1)))</f>
        <v/>
      </c>
      <c r="E432" s="153"/>
      <c r="F432" s="29" t="str">
        <f>IF(E432="","",IF($L$35="SELIC - TRIBUTOS",VLOOKUP(DATE(YEAR($D$19),MONTH($D$19)-1,1),ÍNDICES!$A:$DE,HLOOKUP($BL$25,ÍNDICES!$B$3:$T$4,2)+11)-VLOOKUP(E432,ÍNDICES!$A:$DE,HLOOKUP($BL$25,ÍNDICES!$B$3:$T$4,2)+11)+1%,IF(F$38=$W$26,$J$35,IF(ISERROR(IF(E432&gt;$D$19,1,VLOOKUP(DATE(YEAR(E432),MONTH(E432)+IF($C$35=$S$23,1,0),1),ÍNDICES!$A:$DE,$Z$35+1))),"",IF(E432&gt;$D$19,1,VLOOKUP(DATE(YEAR(E432),MONTH(E432)+IF($C$35=$S$23,1,0),1),ÍNDICES!$A:$DE,$Z$35+1))))))</f>
        <v/>
      </c>
      <c r="G432" s="155"/>
      <c r="H432" s="156" t="str">
        <f t="shared" si="77"/>
        <v/>
      </c>
      <c r="I432" s="29" t="str">
        <f t="shared" si="71"/>
        <v/>
      </c>
      <c r="J432" s="5">
        <f t="shared" si="72"/>
        <v>0</v>
      </c>
      <c r="K432" s="20">
        <f t="shared" ca="1" si="73"/>
        <v>0</v>
      </c>
      <c r="L432" s="5">
        <f t="shared" ca="1" si="74"/>
        <v>0</v>
      </c>
      <c r="M432" s="64">
        <f t="shared" si="78"/>
        <v>0</v>
      </c>
      <c r="N432" s="61">
        <f t="shared" ca="1" si="79"/>
        <v>0</v>
      </c>
      <c r="O432" s="5">
        <f t="shared" ca="1" si="80"/>
        <v>0</v>
      </c>
      <c r="P432" s="446" t="e">
        <f t="shared" si="75"/>
        <v>#VALUE!</v>
      </c>
      <c r="Q432" s="446" t="e">
        <f>IF(OR($B432="",MIN(Q$38,$D$19)&lt;MAX($P$34*($B432+IF($R$17="Distrato",$I$38-1,0)),IF(AND($L$37=0,$P$34=0),"",$L$37-1),IF($R$17="Distrato",$E432,0))),0,YEARFRAC(MAX($P$34*($B432+IF($R$17="Distrato",$I$38-1,0)),IF(AND($L$37=0,$P$34=0),"",$L$37-1),IF($R$17="Distrato",$E432,0)),MIN(Q$38,$D$19),$P$20))-SUM($P432:P432)</f>
        <v>#VALUE!</v>
      </c>
      <c r="R432" s="446" t="e">
        <f>IF(OR($B432="",MIN(R$38,$D$19)&lt;MAX($P$34*($B432+IF($R$17="Distrato",$I$38-1,0)),IF(AND($L$37=0,$P$34=0),"",$L$37-1),IF($R$17="Distrato",$E432,0))),0,YEARFRAC(MAX($P$34*($B432+IF($R$17="Distrato",$I$38-1,0)),IF(AND($L$37=0,$P$34=0),"",$L$37-1),IF($R$17="Distrato",$E432,0)),MIN(R$38,$D$19),$P$20))-SUM($P432:Q432)</f>
        <v>#VALUE!</v>
      </c>
      <c r="S432" s="446" t="e">
        <f>IF(OR($B432="",MIN(S$38,$D$19)&lt;MAX($P$34*($B432+IF($R$17="Distrato",$I$38-1,0)),IF(AND($L$37=0,$P$34=0),"",$L$37-1),IF($R$17="Distrato",$E432,0))),0,YEARFRAC(MAX($P$34*($B432+IF($R$17="Distrato",$I$38-1,0)),IF(AND($L$37=0,$P$34=0),"",$L$37-1),IF($R$17="Distrato",$E432,0)),MIN(S$38,$D$19),$P$20))-SUM($P432:R432)</f>
        <v>#VALUE!</v>
      </c>
      <c r="T432" s="446" t="e">
        <f>IF(OR($B432="",MIN(T$38,$D$19)&lt;MAX($P$34*($B432+IF($R$17="Distrato",$I$38-1,0)),IF(AND($L$37=0,$P$34=0),"",$L$37-1),IF($R$17="Distrato",$E432,0))),0,YEARFRAC(MAX($P$34*($B432+IF($R$17="Distrato",$I$38-1,0)),IF(AND($L$37=0,$P$34=0),"",$L$37-1),IF($R$17="Distrato",$E432,0)),MIN(T$38,$D$19),$P$20))-SUM($P432:S432)</f>
        <v>#VALUE!</v>
      </c>
      <c r="U432" s="446" t="e">
        <f>IF(OR($B432="",MIN(U$38,$D$19)&lt;MAX($P$34*($B432+IF($R$17="Distrato",$I$38-1,0)),IF(AND($L$37=0,$P$34=0),"",$L$37-1),IF($R$17="Distrato",$E432,0))),0,YEARFRAC(MAX($P$34*($B432+IF($R$17="Distrato",$I$38-1,0)),IF(AND($L$37=0,$P$34=0),"",$L$37-1),IF($R$17="Distrato",$E432,0)),MIN(U$38,$D$19),$P$20))-SUM($P432:T432)</f>
        <v>#VALUE!</v>
      </c>
      <c r="V432" s="446" t="e">
        <f>IF(OR($B432="",MIN(V$38,$D$19)&lt;MAX($P$34*($B432+IF($R$17="Distrato",$I$38-1,0)),IF(AND($L$37=0,$P$34=0),"",$L$37-1),IF($R$17="Distrato",$E432,0))),0,YEARFRAC(MAX($P$34*($B432+IF($R$17="Distrato",$I$38-1,0)),IF(AND($L$37=0,$P$34=0),"",$L$37-1),IF($R$17="Distrato",$E432,0)),MIN(V$38,$D$19),$P$20))-SUM($P432:U432)</f>
        <v>#VALUE!</v>
      </c>
      <c r="W432" s="446" t="e">
        <f>IF(OR($B432="",MIN(W$38,$D$19)&lt;MAX($P$34*($B432+IF($R$17="Distrato",$I$38-1,0)),IF(AND($L$37=0,$P$34=0),"",$L$37-1),IF($R$17="Distrato",$E432,0))),0,YEARFRAC(MAX($P$34*($B432+IF($R$17="Distrato",$I$38-1,0)),IF(AND($L$37=0,$P$34=0),"",$L$37-1),IF($R$17="Distrato",$E432,0)),MIN(W$38,$D$19),$P$20))-SUM($P432:V432)</f>
        <v>#VALUE!</v>
      </c>
      <c r="X432" s="446" t="e">
        <f>IF(OR($B432="",MIN(X$38,$D$19)&lt;MAX($P$34*($B432+IF($R$17="Distrato",$I$38-1,0)),IF(AND($L$37=0,$P$34=0),"",$L$37-1),IF($R$17="Distrato",$E432,0))),0,YEARFRAC(MAX($P$34*($B432+IF($R$17="Distrato",$I$38-1,0)),IF(AND($L$37=0,$P$34=0),"",$L$37-1),IF($R$17="Distrato",$E432,0)),MIN(X$38,$D$19),$P$20))-SUM($P432:W432)</f>
        <v>#VALUE!</v>
      </c>
      <c r="Y432" s="446" t="e">
        <f>IF(OR($B432="",MIN(Y$38,$D$19)&lt;MAX($P$34*($B432+IF($R$17="Distrato",$I$38-1,0)),IF(AND($L$37=0,$P$34=0),"",$L$37-1),IF($R$17="Distrato",$E432,0))),0,YEARFRAC(MAX($P$34*($B432+IF($R$17="Distrato",$I$38-1,0)),IF(AND($L$37=0,$P$34=0),"",$L$37-1),IF($R$17="Distrato",$E432,0)),MIN(Y$38,$D$19),$P$20))-SUM($P432:X432)</f>
        <v>#VALUE!</v>
      </c>
      <c r="Z432" s="446" t="e">
        <f>IF(OR($B432="",MIN(Z$38,$D$19)&lt;MAX($P$34*($B432+IF($R$17="Distrato",$I$38-1,0)),IF(AND($L$37=0,$P$34=0),"",$L$37-1),IF($R$17="Distrato",$E432,0))),0,YEARFRAC(MAX($P$34*($B432+IF($R$17="Distrato",$I$38-1,0)),IF(AND($L$37=0,$P$34=0),"",$L$37-1),IF($R$17="Distrato",$E432,0)),MIN(Z$38,$D$19),$P$20))-SUM($P432:Y432)</f>
        <v>#VALUE!</v>
      </c>
      <c r="AA432" s="446" t="e">
        <f>IF(OR($B432="",MIN(AA$38,$D$19)&lt;MAX($P$34*($B432+IF($R$17="Distrato",$I$38-1,0)),IF(AND($L$37=0,$P$34=0),"",$L$37-1),IF($R$17="Distrato",$E432,0))),0,YEARFRAC(MAX($P$34*($B432+IF($R$17="Distrato",$I$38-1,0)),IF(AND($L$37=0,$P$34=0),"",$L$37-1),IF($R$17="Distrato",$E432,0)),MIN(AA$38,$D$19),$P$20))-SUM($P432:Z432)</f>
        <v>#VALUE!</v>
      </c>
      <c r="AB432" s="446" t="e">
        <f>IF(OR($B432="",MIN(AB$38,$D$19)&lt;MAX($P$34*($B432+IF($R$17="Distrato",$I$38-1,0)),IF(AND($L$37=0,$P$34=0),"",$L$37-1),IF($R$17="Distrato",$E432,0))),0,YEARFRAC(MAX($P$34*($B432+IF($R$17="Distrato",$I$38-1,0)),IF(AND($L$37=0,$P$34=0),"",$L$37-1),IF($R$17="Distrato",$E432,0)),MIN(AB$38,$D$19),$P$20))-SUM($P432:AA432)</f>
        <v>#VALUE!</v>
      </c>
      <c r="AC432" s="446" t="e">
        <f>IF(OR($B432="",MIN(AC$38,$D$19)&lt;MAX($P$34*($B432+IF($R$17="Distrato",$I$38-1,0)),IF(AND($L$37=0,$P$34=0),"",$L$37-1),IF($R$17="Distrato",$E432,0))),0,YEARFRAC(MAX($P$34*($B432+IF($R$17="Distrato",$I$38-1,0)),IF(AND($L$37=0,$P$34=0),"",$L$37-1),IF($R$17="Distrato",$E432,0)),MIN(AC$38,$D$19),$P$20))-SUM($P432:AB432)</f>
        <v>#VALUE!</v>
      </c>
      <c r="AD432" s="446" t="e">
        <f>IF(OR($B432="",MIN(AD$38,$D$19)&lt;MAX($P$34*($B432+IF($R$17="Distrato",$I$38-1,0)),IF(AND($L$37=0,$P$34=0),"",$L$37-1),IF($R$17="Distrato",$E432,0))),0,YEARFRAC(MAX($P$34*($B432+IF($R$17="Distrato",$I$38-1,0)),IF(AND($L$37=0,$P$34=0),"",$L$37-1),IF($R$17="Distrato",$E432,0)),MIN(AD$38,$D$19),$P$20))-SUM($P432:AC432)</f>
        <v>#VALUE!</v>
      </c>
      <c r="AE432" s="446" t="e">
        <f>IF(OR($B432="",MIN(AE$38,$D$19)&lt;MAX($P$34*($B432+IF($R$17="Distrato",$I$38-1,0)),IF(AND($L$37=0,$P$34=0),"",$L$37-1),IF($R$17="Distrato",$E432,0))),0,YEARFRAC(MAX($P$34*($B432+IF($R$17="Distrato",$I$38-1,0)),IF(AND($L$37=0,$P$34=0),"",$L$37-1),IF($R$17="Distrato",$E432,0)),MIN(AE$38,$D$19),$P$20))-SUM($P432:AD432)</f>
        <v>#VALUE!</v>
      </c>
      <c r="AF432" s="446" t="e">
        <f>IF(OR($B432="",MIN(AF$38,$D$19)&lt;MAX($P$34*($B432+IF($R$17="Distrato",$I$38-1,0)),IF(AND($L$37=0,$P$34=0),"",$L$37-1),IF($R$17="Distrato",$E432,0))),0,YEARFRAC(MAX($P$34*($B432+IF($R$17="Distrato",$I$38-1,0)),IF(AND($L$37=0,$P$34=0),"",$L$37-1),IF($R$17="Distrato",$E432,0)),MIN(AF$38,$D$19),$P$20))-SUM($P432:AE432)</f>
        <v>#VALUE!</v>
      </c>
      <c r="AG432" s="446" t="e">
        <f>IF(OR($B432="",MIN(AG$38,$D$19)&lt;MAX($P$34*($B432+IF($R$17="Distrato",$I$38-1,0)),IF(AND($L$37=0,$P$34=0),"",$L$37-1),IF($R$17="Distrato",$E432,0))),0,YEARFRAC(MAX($P$34*($B432+IF($R$17="Distrato",$I$38-1,0)),IF(AND($L$37=0,$P$34=0),"",$L$37-1),IF($R$17="Distrato",$E432,0)),MIN(AG$38,$D$19),$P$20))-SUM($P432:AF432)</f>
        <v>#VALUE!</v>
      </c>
      <c r="AH432" s="446" t="e">
        <f>IF(OR($B432="",MIN(AH$38,$D$19)&lt;MAX($P$34*($B432+IF($R$17="Distrato",$I$38-1,0)),IF(AND($L$37=0,$P$34=0),"",$L$37-1),IF($R$17="Distrato",$E432,0))),0,YEARFRAC(MAX($P$34*($B432+IF($R$17="Distrato",$I$38-1,0)),IF(AND($L$37=0,$P$34=0),"",$L$37-1),IF($R$17="Distrato",$E432,0)),MIN(AH$38,$D$19),$P$20))-SUM($P432:AG432)</f>
        <v>#VALUE!</v>
      </c>
      <c r="AI432" s="446" t="e">
        <f>IF(OR($B432="",MIN(AI$38,$D$19)&lt;MAX($P$34*($B432+IF($R$17="Distrato",$I$38-1,0)),IF(AND($L$37=0,$P$34=0),"",$L$37-1),IF($R$17="Distrato",$E432,0))),0,YEARFRAC(MAX($P$34*($B432+IF($R$17="Distrato",$I$38-1,0)),IF(AND($L$37=0,$P$34=0),"",$L$37-1),IF($R$17="Distrato",$E432,0)),MIN(AI$38,$D$19),$P$20))-SUM($P432:AH432)</f>
        <v>#VALUE!</v>
      </c>
      <c r="AJ432" s="446" t="e">
        <f>IF(OR($B432="",MIN(AJ$38,$D$19)&lt;MAX($P$34*($B432+IF($R$17="Distrato",$I$38-1,0)),IF(AND($L$37=0,$P$34=0),"",$L$37-1),IF($R$17="Distrato",$E432,0))),0,YEARFRAC(MAX($P$34*($B432+IF($R$17="Distrato",$I$38-1,0)),IF(AND($L$37=0,$P$34=0),"",$L$37-1),IF($R$17="Distrato",$E432,0)),MIN(AJ$38,$D$19),$P$20))-SUM($P432:AI432)</f>
        <v>#VALUE!</v>
      </c>
      <c r="AK432" s="446" t="e">
        <f>IF(OR($B432="",MIN(AK$38,$D$19)&lt;MAX($P$34*($B432+IF($R$17="Distrato",$I$38-1,0)),IF(AND($L$37=0,$P$34=0),"",$L$37-1),IF($R$17="Distrato",$E432,0))),0,YEARFRAC(MAX($P$34*($B432+IF($R$17="Distrato",$I$38-1,0)),IF(AND($L$37=0,$P$34=0),"",$L$37-1),IF($R$17="Distrato",$E432,0)),MIN(AK$38,$D$19),$P$20))-SUM($P432:AJ432)</f>
        <v>#VALUE!</v>
      </c>
      <c r="AL432" s="446" t="e">
        <f>IF(OR($B432="",MIN(AL$38,$D$19)&lt;MAX($P$34*($B432+IF($R$17="Distrato",$I$38-1,0)),IF(AND($L$37=0,$P$34=0),"",$L$37-1),IF($R$17="Distrato",$E432,0))),0,YEARFRAC(MAX($P$34*($B432+IF($R$17="Distrato",$I$38-1,0)),IF(AND($L$37=0,$P$34=0),"",$L$37-1),IF($R$17="Distrato",$E432,0)),MIN(AL$38,$D$19),$P$20))-SUM($P432:AK432)</f>
        <v>#VALUE!</v>
      </c>
      <c r="AM432" s="446" t="e">
        <f>IF(OR($B432="",MIN(AM$38,$D$19)&lt;MAX($P$34*($B432+IF($R$17="Distrato",$I$38-1,0)),IF(AND($L$37=0,$P$34=0),"",$L$37-1),IF($R$17="Distrato",$E432,0))),0,YEARFRAC(MAX($P$34*($B432+IF($R$17="Distrato",$I$38-1,0)),IF(AND($L$37=0,$P$34=0),"",$L$37-1),IF($R$17="Distrato",$E432,0)),MIN(AM$38,$D$19),$P$20))-SUM($P432:AL432)</f>
        <v>#VALUE!</v>
      </c>
      <c r="AN432" s="446" t="e">
        <f>IF(OR($B432="",MIN(AN$38,$D$19)&lt;MAX($P$34*($B432+IF($R$17="Distrato",$I$38-1,0)),IF(AND($L$37=0,$P$34=0),"",$L$37-1),IF($R$17="Distrato",$E432,0))),0,YEARFRAC(MAX($P$34*($B432+IF($R$17="Distrato",$I$38-1,0)),IF(AND($L$37=0,$P$34=0),"",$L$37-1),IF($R$17="Distrato",$E432,0)),MIN(AN$38,$D$19),$P$20))-SUM($P432:AM432)</f>
        <v>#VALUE!</v>
      </c>
      <c r="AO432" s="446" t="e">
        <f>IF(OR($B432="",MIN(AO$38,$D$19)&lt;MAX($P$34*($B432+IF($R$17="Distrato",$I$38-1,0)),IF(AND($L$37=0,$P$34=0),"",$L$37-1),IF($R$17="Distrato",$E432,0))),0,YEARFRAC(MAX($P$34*($B432+IF($R$17="Distrato",$I$38-1,0)),IF(AND($L$37=0,$P$34=0),"",$L$37-1),IF($R$17="Distrato",$E432,0)),MIN(AO$38,$D$19),$P$20))-SUM($P432:AN432)</f>
        <v>#VALUE!</v>
      </c>
      <c r="AP432" s="446" t="e">
        <f>IF(OR($B432="",MIN(AP$38,$D$19)&lt;MAX($P$34*($B432+IF($R$17="Distrato",$I$38-1,0)),IF(AND($L$37=0,$P$34=0),"",$L$37-1),IF($R$17="Distrato",$E432,0))),0,YEARFRAC(MAX($P$34*($B432+IF($R$17="Distrato",$I$38-1,0)),IF(AND($L$37=0,$P$34=0),"",$L$37-1),IF($R$17="Distrato",$E432,0)),MIN(AP$38,$D$19),$P$20))-SUM($P432:AO432)</f>
        <v>#VALUE!</v>
      </c>
      <c r="AQ432" s="446" t="e">
        <f>IF(OR($B432="",MIN(AQ$38,$D$19)&lt;MAX($P$34*($B432+IF($R$17="Distrato",$I$38-1,0)),IF(AND($L$37=0,$P$34=0),"",$L$37-1),IF($R$17="Distrato",$E432,0))),0,YEARFRAC(MAX($P$34*($B432+IF($R$17="Distrato",$I$38-1,0)),IF(AND($L$37=0,$P$34=0),"",$L$37-1),IF($R$17="Distrato",$E432,0)),MIN(AQ$38,$D$19),$P$20))-SUM($P432:AP432)</f>
        <v>#VALUE!</v>
      </c>
      <c r="AR432" s="446" t="e">
        <f>IF(OR($B432="",MIN(AR$38,$D$19)&lt;MAX($P$34*($B432+IF($R$17="Distrato",$I$38-1,0)),IF(AND($L$37=0,$P$34=0),"",$L$37-1),IF($R$17="Distrato",$E432,0))),0,YEARFRAC(MAX($P$34*($B432+IF($R$17="Distrato",$I$38-1,0)),IF(AND($L$37=0,$P$34=0),"",$L$37-1),IF($R$17="Distrato",$E432,0)),MIN(AR$38,$D$19),$P$20))-SUM($P432:AQ432)</f>
        <v>#VALUE!</v>
      </c>
      <c r="AS432" s="446" t="e">
        <f>IF(OR($B432="",MIN(AS$38,$D$19)&lt;MAX($P$34*($B432+IF($R$17="Distrato",$I$38-1,0)),IF(AND($L$37=0,$P$34=0),"",$L$37-1),IF($R$17="Distrato",$E432,0))),0,YEARFRAC(MAX($P$34*($B432+IF($R$17="Distrato",$I$38-1,0)),IF(AND($L$37=0,$P$34=0),"",$L$37-1),IF($R$17="Distrato",$E432,0)),MIN(AS$38,$D$19),$P$20))-SUM($P432:AR432)</f>
        <v>#VALUE!</v>
      </c>
      <c r="AT432" s="446" t="e">
        <f>IF(OR($B432="",MIN(AT$38,$D$19)&lt;MAX($P$34*($B432+IF($R$17="Distrato",$I$38-1,0)),IF(AND($L$37=0,$P$34=0),"",$L$37-1),IF($R$17="Distrato",$E432,0))),0,YEARFRAC(MAX($P$34*($B432+IF($R$17="Distrato",$I$38-1,0)),IF(AND($L$37=0,$P$34=0),"",$L$37-1),IF($R$17="Distrato",$E432,0)),MIN(AT$38,$D$19),$P$20))-SUM($P432:AS432)</f>
        <v>#VALUE!</v>
      </c>
      <c r="AU432" s="446" t="e">
        <f>IF(OR($B432="",MIN(AU$38,$D$19)&lt;MAX($P$34*($B432+IF($R$17="Distrato",$I$38-1,0)),IF(AND($L$37=0,$P$34=0),"",$L$37-1),IF($R$17="Distrato",$E432,0))),0,YEARFRAC(MAX($P$34*($B432+IF($R$17="Distrato",$I$38-1,0)),IF(AND($L$37=0,$P$34=0),"",$L$37-1),IF($R$17="Distrato",$E432,0)),MIN(AU$38,$D$19),$P$20))-SUM($P432:AT432)</f>
        <v>#VALUE!</v>
      </c>
      <c r="AV432" s="446" t="e">
        <f>IF(OR($B432="",MIN(AV$38,$D$19)&lt;MAX($P$34*($B432+IF($R$17="Distrato",$I$38-1,0)),IF(AND($L$37=0,$P$34=0),"",$L$37-1),IF($R$17="Distrato",$E432,0))),0,YEARFRAC(MAX($P$34*($B432+IF($R$17="Distrato",$I$38-1,0)),IF(AND($L$37=0,$P$34=0),"",$L$37-1),IF($R$17="Distrato",$E432,0)),MIN(AV$38,$D$19),$P$20))-SUM($P432:AU432)</f>
        <v>#VALUE!</v>
      </c>
      <c r="AW432" s="446" t="e">
        <f>IF(OR($B432="",MIN(AW$38,$D$19)&lt;MAX($P$34*($B432+IF($R$17="Distrato",$I$38-1,0)),IF(AND($L$37=0,$P$34=0),"",$L$37-1),IF($R$17="Distrato",$E432,0))),0,YEARFRAC(MAX($P$34*($B432+IF($R$17="Distrato",$I$38-1,0)),IF(AND($L$37=0,$P$34=0),"",$L$37-1),IF($R$17="Distrato",$E432,0)),MIN(AW$38,$D$19),$P$20))-SUM($P432:AV432)</f>
        <v>#VALUE!</v>
      </c>
      <c r="AX432" s="446" t="e">
        <f>IF(OR($B432="",MIN(AX$38,$D$19)&lt;MAX($P$34*($B432+IF($R$17="Distrato",$I$38-1,0)),IF(AND($L$37=0,$P$34=0),"",$L$37-1),IF($R$17="Distrato",$E432,0))),0,YEARFRAC(MAX($P$34*($B432+IF($R$17="Distrato",$I$38-1,0)),IF(AND($L$37=0,$P$34=0),"",$L$37-1),IF($R$17="Distrato",$E432,0)),MIN(AX$38,$D$19),$P$20))-SUM($P432:AW432)</f>
        <v>#VALUE!</v>
      </c>
      <c r="AY432" s="446" t="e">
        <f>IF(OR($B432="",MIN(AY$38,$D$19)&lt;MAX($P$34*($B432+IF($R$17="Distrato",$I$38-1,0)),IF(AND($L$37=0,$P$34=0),"",$L$37-1),IF($R$17="Distrato",$E432,0))),0,YEARFRAC(MAX($P$34*($B432+IF($R$17="Distrato",$I$38-1,0)),IF(AND($L$37=0,$P$34=0),"",$L$37-1),IF($R$17="Distrato",$E432,0)),MIN(AY$38,$D$19),$P$20))-SUM($P432:AX432)</f>
        <v>#VALUE!</v>
      </c>
      <c r="AZ432" s="446" t="e">
        <f>IF(OR($B432="",MIN(AZ$38,$D$19)&lt;MAX($P$34*($B432+IF($R$17="Distrato",$I$38-1,0)),IF(AND($L$37=0,$P$34=0),"",$L$37-1),IF($R$17="Distrato",$E432,0))),0,YEARFRAC(MAX($P$34*($B432+IF($R$17="Distrato",$I$38-1,0)),IF(AND($L$37=0,$P$34=0),"",$L$37-1),IF($R$17="Distrato",$E432,0)),MIN(AZ$38,$D$19),$P$20))-SUM($P432:AY432)</f>
        <v>#VALUE!</v>
      </c>
      <c r="BA432" s="446" t="e">
        <f>IF(OR($B432="",MIN(BA$38,$D$19)&lt;MAX($P$34*($B432+IF($R$17="Distrato",$I$38-1,0)),IF(AND($L$37=0,$P$34=0),"",$L$37-1),IF($R$17="Distrato",$E432,0))),0,YEARFRAC(MAX($P$34*($B432+IF($R$17="Distrato",$I$38-1,0)),IF(AND($L$37=0,$P$34=0),"",$L$37-1),IF($R$17="Distrato",$E432,0)),MIN(BA$38,$D$19),$P$20))-SUM($P432:AZ432)</f>
        <v>#VALUE!</v>
      </c>
      <c r="BB432" s="447"/>
      <c r="BF432" s="446">
        <f t="shared" si="76"/>
        <v>0</v>
      </c>
      <c r="BG432" s="446">
        <f>IF($E432=0,0,IF(MIN(BG$38,$E432)&lt;MAX($P$34*($B432+$I$38-1),IF(AND($L$37=0,$P$34=0),"",$L$37-1)),0,YEARFRAC(MAX($P$34*($B432+$I$38-1),IF(AND($L$37=0,$P$34=0),"",$L$37-1)),MIN(BG$38,$E432),$P$20))-SUM($BF432:BF432))</f>
        <v>0</v>
      </c>
      <c r="BH432" s="446">
        <f>IF($E432=0,0,IF(MIN(BH$38,$E432)&lt;MAX($P$34*($B432+$I$38-1),IF(AND($L$37=0,$P$34=0),"",$L$37-1)),0,YEARFRAC(MAX($P$34*($B432+$I$38-1),IF(AND($L$37=0,$P$34=0),"",$L$37-1)),MIN(BH$38,$E432),$P$20))-SUM($BF432:BG432))</f>
        <v>0</v>
      </c>
      <c r="BI432" s="446">
        <f>IF($E432=0,0,IF(MIN(BI$38,$E432)&lt;MAX($P$34*($B432+$I$38-1),IF(AND($L$37=0,$P$34=0),"",$L$37-1)),0,YEARFRAC(MAX($P$34*($B432+$I$38-1),IF(AND($L$37=0,$P$34=0),"",$L$37-1)),MIN(BI$38,$E432),$P$20))-SUM($BF432:BH432))</f>
        <v>0</v>
      </c>
      <c r="BJ432" s="446">
        <f>IF($E432=0,0,IF(MIN(BJ$38,$E432)&lt;MAX($P$34*($B432+$I$38-1),IF(AND($L$37=0,$P$34=0),"",$L$37-1)),0,YEARFRAC(MAX($P$34*($B432+$I$38-1),IF(AND($L$37=0,$P$34=0),"",$L$37-1)),MIN(BJ$38,$E432),$P$20))-SUM($BF432:BI432))</f>
        <v>0</v>
      </c>
      <c r="BK432" s="446">
        <f>IF($E432=0,0,IF(MIN(BK$38,$E432)&lt;MAX($P$34*($B432+$I$38-1),IF(AND($L$37=0,$P$34=0),"",$L$37-1)),0,YEARFRAC(MAX($P$34*($B432+$I$38-1),IF(AND($L$37=0,$P$34=0),"",$L$37-1)),MIN(BK$38,$E432),$P$20))-SUM($BF432:BJ432))</f>
        <v>0</v>
      </c>
      <c r="BL432" s="446">
        <f>IF($E432=0,0,IF(MIN(BL$38,$E432)&lt;MAX($P$34*($B432+$I$38-1),IF(AND($L$37=0,$P$34=0),"",$L$37-1)),0,YEARFRAC(MAX($P$34*($B432+$I$38-1),IF(AND($L$37=0,$P$34=0),"",$L$37-1)),MIN(BL$38,$E432),$P$20))-SUM($BF432:BK432))</f>
        <v>0</v>
      </c>
      <c r="BM432" s="446">
        <f>IF($E432=0,0,IF(MIN(BM$38,$E432)&lt;MAX($P$34*($B432+$I$38-1),IF(AND($L$37=0,$P$34=0),"",$L$37-1)),0,YEARFRAC(MAX($P$34*($B432+$I$38-1),IF(AND($L$37=0,$P$34=0),"",$L$37-1)),MIN(BM$38,$E432),$P$20))-SUM($BF432:BL432))</f>
        <v>0</v>
      </c>
      <c r="BN432" s="446">
        <f>IF($E432=0,0,IF(MIN(BN$38,$E432)&lt;MAX($P$34*($B432+$I$38-1),IF(AND($L$37=0,$P$34=0),"",$L$37-1)),0,YEARFRAC(MAX($P$34*($B432+$I$38-1),IF(AND($L$37=0,$P$34=0),"",$L$37-1)),MIN(BN$38,$E432),$P$20))-SUM($BF432:BM432))</f>
        <v>0</v>
      </c>
      <c r="BO432" s="446">
        <f>IF($E432=0,0,IF(MIN(BO$38,$E432)&lt;MAX($P$34*($B432+$I$38-1),IF(AND($L$37=0,$P$34=0),"",$L$37-1)),0,YEARFRAC(MAX($P$34*($B432+$I$38-1),IF(AND($L$37=0,$P$34=0),"",$L$37-1)),MIN(BO$38,$E432),$P$20))-SUM($BF432:BN432))</f>
        <v>0</v>
      </c>
      <c r="BP432" s="446">
        <f>IF($E432=0,0,IF(MIN(BP$38,$E432)&lt;MAX($P$34*($B432+$I$38-1),IF(AND($L$37=0,$P$34=0),"",$L$37-1)),0,YEARFRAC(MAX($P$34*($B432+$I$38-1),IF(AND($L$37=0,$P$34=0),"",$L$37-1)),MIN(BP$38,$E432),$P$20))-SUM($BF432:BO432))</f>
        <v>0</v>
      </c>
      <c r="BQ432" s="446">
        <f>IF($E432=0,0,IF(MIN(BQ$38,$E432)&lt;MAX($P$34*($B432+$I$38-1),IF(AND($L$37=0,$P$34=0),"",$L$37-1)),0,YEARFRAC(MAX($P$34*($B432+$I$38-1),IF(AND($L$37=0,$P$34=0),"",$L$37-1)),MIN(BQ$38,$E432),$P$20))-SUM($BF432:BP432))</f>
        <v>0</v>
      </c>
      <c r="BR432" s="446">
        <f>IF($E432=0,0,IF(MIN(BR$38,$E432)&lt;MAX($P$34*($B432+$I$38-1),IF(AND($L$37=0,$P$34=0),"",$L$37-1)),0,YEARFRAC(MAX($P$34*($B432+$I$38-1),IF(AND($L$37=0,$P$34=0),"",$L$37-1)),MIN(BR$38,$E432),$P$20))-SUM($BF432:BQ432))</f>
        <v>0</v>
      </c>
      <c r="BS432" s="446">
        <f>IF($E432=0,0,IF(MIN(BS$38,$E432)&lt;MAX($P$34*($B432+$I$38-1),IF(AND($L$37=0,$P$34=0),"",$L$37-1)),0,YEARFRAC(MAX($P$34*($B432+$I$38-1),IF(AND($L$37=0,$P$34=0),"",$L$37-1)),MIN(BS$38,$E432),$P$20))-SUM($BF432:BR432))</f>
        <v>0</v>
      </c>
      <c r="BT432" s="446">
        <f>IF($E432=0,0,IF(MIN(BT$38,$E432)&lt;MAX($P$34*($B432+$I$38-1),IF(AND($L$37=0,$P$34=0),"",$L$37-1)),0,YEARFRAC(MAX($P$34*($B432+$I$38-1),IF(AND($L$37=0,$P$34=0),"",$L$37-1)),MIN(BT$38,$E432),$P$20))-SUM($BF432:BS432))</f>
        <v>0</v>
      </c>
      <c r="BU432" s="446">
        <f>IF($E432=0,0,IF(MIN(BU$38,$E432)&lt;MAX($P$34*($B432+$I$38-1),IF(AND($L$37=0,$P$34=0),"",$L$37-1)),0,YEARFRAC(MAX($P$34*($B432+$I$38-1),IF(AND($L$37=0,$P$34=0),"",$L$37-1)),MIN(BU$38,$E432),$P$20))-SUM($BF432:BT432))</f>
        <v>0</v>
      </c>
      <c r="BV432" s="446">
        <f>IF($E432=0,0,IF(MIN(BV$38,$E432)&lt;MAX($P$34*($B432+$I$38-1),IF(AND($L$37=0,$P$34=0),"",$L$37-1)),0,YEARFRAC(MAX($P$34*($B432+$I$38-1),IF(AND($L$37=0,$P$34=0),"",$L$37-1)),MIN(BV$38,$E432),$P$20))-SUM($BF432:BU432))</f>
        <v>0</v>
      </c>
      <c r="BW432" s="446">
        <f>IF($E432=0,0,IF(MIN(BW$38,$E432)&lt;MAX($P$34*($B432+$I$38-1),IF(AND($L$37=0,$P$34=0),"",$L$37-1)),0,YEARFRAC(MAX($P$34*($B432+$I$38-1),IF(AND($L$37=0,$P$34=0),"",$L$37-1)),MIN(BW$38,$E432),$P$20))-SUM($BF432:BV432))</f>
        <v>0</v>
      </c>
      <c r="BX432" s="446">
        <f>IF($E432=0,0,IF(MIN(BX$38,$E432)&lt;MAX($P$34*($B432+$I$38-1),IF(AND($L$37=0,$P$34=0),"",$L$37-1)),0,YEARFRAC(MAX($P$34*($B432+$I$38-1),IF(AND($L$37=0,$P$34=0),"",$L$37-1)),MIN(BX$38,$E432),$P$20))-SUM($BF432:BW432))</f>
        <v>0</v>
      </c>
      <c r="BY432" s="446">
        <f>IF($E432=0,0,IF(MIN(BY$38,$E432)&lt;MAX($P$34*($B432+$I$38-1),IF(AND($L$37=0,$P$34=0),"",$L$37-1)),0,YEARFRAC(MAX($P$34*($B432+$I$38-1),IF(AND($L$37=0,$P$34=0),"",$L$37-1)),MIN(BY$38,$E432),$P$20))-SUM($BF432:BX432))</f>
        <v>0</v>
      </c>
      <c r="BZ432" s="446">
        <f>IF($E432=0,0,IF(MIN(BZ$38,$E432)&lt;MAX($P$34*($B432+$I$38-1),IF(AND($L$37=0,$P$34=0),"",$L$37-1)),0,YEARFRAC(MAX($P$34*($B432+$I$38-1),IF(AND($L$37=0,$P$34=0),"",$L$37-1)),MIN(BZ$38,$E432),$P$20))-SUM($BF432:BY432))</f>
        <v>0</v>
      </c>
      <c r="CA432" s="446">
        <f>IF($E432=0,0,IF(MIN(CA$38,$E432)&lt;MAX($P$34*($B432+$I$38-1),IF(AND($L$37=0,$P$34=0),"",$L$37-1)),0,YEARFRAC(MAX($P$34*($B432+$I$38-1),IF(AND($L$37=0,$P$34=0),"",$L$37-1)),MIN(CA$38,$E432),$P$20))-SUM($BF432:BZ432))</f>
        <v>0</v>
      </c>
      <c r="CB432" s="446">
        <f>IF($E432=0,0,IF(MIN(CB$38,$E432)&lt;MAX($P$34*($B432+$I$38-1),IF(AND($L$37=0,$P$34=0),"",$L$37-1)),0,YEARFRAC(MAX($P$34*($B432+$I$38-1),IF(AND($L$37=0,$P$34=0),"",$L$37-1)),MIN(CB$38,$E432),$P$20))-SUM($BF432:CA432))</f>
        <v>0</v>
      </c>
      <c r="CC432" s="446">
        <f>IF($E432=0,0,IF(MIN(CC$38,$E432)&lt;MAX($P$34*($B432+$I$38-1),IF(AND($L$37=0,$P$34=0),"",$L$37-1)),0,YEARFRAC(MAX($P$34*($B432+$I$38-1),IF(AND($L$37=0,$P$34=0),"",$L$37-1)),MIN(CC$38,$E432),$P$20))-SUM($BF432:CB432))</f>
        <v>0</v>
      </c>
      <c r="CD432" s="446">
        <f>IF($E432=0,0,IF(MIN(CD$38,$E432)&lt;MAX($P$34*($B432+$I$38-1),IF(AND($L$37=0,$P$34=0),"",$L$37-1)),0,YEARFRAC(MAX($P$34*($B432+$I$38-1),IF(AND($L$37=0,$P$34=0),"",$L$37-1)),MIN(CD$38,$E432),$P$20))-SUM($BF432:CC432))</f>
        <v>0</v>
      </c>
      <c r="CE432" s="446">
        <f>IF($E432=0,0,IF(MIN(CE$38,$E432)&lt;MAX($P$34*($B432+$I$38-1),IF(AND($L$37=0,$P$34=0),"",$L$37-1)),0,YEARFRAC(MAX($P$34*($B432+$I$38-1),IF(AND($L$37=0,$P$34=0),"",$L$37-1)),MIN(CE$38,$E432),$P$20))-SUM($BF432:CD432))</f>
        <v>0</v>
      </c>
      <c r="CF432" s="446">
        <f>IF($E432=0,0,IF(MIN(CF$38,$E432)&lt;MAX($P$34*($B432+$I$38-1),IF(AND($L$37=0,$P$34=0),"",$L$37-1)),0,YEARFRAC(MAX($P$34*($B432+$I$38-1),IF(AND($L$37=0,$P$34=0),"",$L$37-1)),MIN(CF$38,$E432),$P$20))-SUM($BF432:CE432))</f>
        <v>0</v>
      </c>
      <c r="CG432" s="446">
        <f>IF($E432=0,0,IF(MIN(CG$38,$E432)&lt;MAX($P$34*($B432+$I$38-1),IF(AND($L$37=0,$P$34=0),"",$L$37-1)),0,YEARFRAC(MAX($P$34*($B432+$I$38-1),IF(AND($L$37=0,$P$34=0),"",$L$37-1)),MIN(CG$38,$E432),$P$20))-SUM($BF432:CF432))</f>
        <v>0</v>
      </c>
      <c r="CH432" s="446">
        <f>IF($E432=0,0,IF(MIN(CH$38,$E432)&lt;MAX($P$34*($B432+$I$38-1),IF(AND($L$37=0,$P$34=0),"",$L$37-1)),0,YEARFRAC(MAX($P$34*($B432+$I$38-1),IF(AND($L$37=0,$P$34=0),"",$L$37-1)),MIN(CH$38,$E432),$P$20))-SUM($BF432:CG432))</f>
        <v>0</v>
      </c>
      <c r="CI432" s="446">
        <f>IF($E432=0,0,IF(MIN(CI$38,$E432)&lt;MAX($P$34*($B432+$I$38-1),IF(AND($L$37=0,$P$34=0),"",$L$37-1)),0,YEARFRAC(MAX($P$34*($B432+$I$38-1),IF(AND($L$37=0,$P$34=0),"",$L$37-1)),MIN(CI$38,$E432),$P$20))-SUM($BF432:CH432))</f>
        <v>0</v>
      </c>
      <c r="CJ432" s="446">
        <f>IF($E432=0,0,IF(MIN(CJ$38,$E432)&lt;MAX($P$34*($B432+$I$38-1),IF(AND($L$37=0,$P$34=0),"",$L$37-1)),0,YEARFRAC(MAX($P$34*($B432+$I$38-1),IF(AND($L$37=0,$P$34=0),"",$L$37-1)),MIN(CJ$38,$E432),$P$20))-SUM($BF432:CI432))</f>
        <v>0</v>
      </c>
      <c r="CK432" s="446">
        <f>IF($E432=0,0,IF(MIN(CK$38,$E432)&lt;MAX($P$34*($B432+$I$38-1),IF(AND($L$37=0,$P$34=0),"",$L$37-1)),0,YEARFRAC(MAX($P$34*($B432+$I$38-1),IF(AND($L$37=0,$P$34=0),"",$L$37-1)),MIN(CK$38,$E432),$P$20))-SUM($BF432:CJ432))</f>
        <v>0</v>
      </c>
      <c r="CL432" s="446">
        <f>IF($E432=0,0,IF(MIN(CL$38,$E432)&lt;MAX($P$34*($B432+$I$38-1),IF(AND($L$37=0,$P$34=0),"",$L$37-1)),0,YEARFRAC(MAX($P$34*($B432+$I$38-1),IF(AND($L$37=0,$P$34=0),"",$L$37-1)),MIN(CL$38,$E432),$P$20))-SUM($BF432:CK432))</f>
        <v>0</v>
      </c>
      <c r="CM432" s="446">
        <f>IF($E432=0,0,IF(MIN(CM$38,$E432)&lt;MAX($P$34*($B432+$I$38-1),IF(AND($L$37=0,$P$34=0),"",$L$37-1)),0,YEARFRAC(MAX($P$34*($B432+$I$38-1),IF(AND($L$37=0,$P$34=0),"",$L$37-1)),MIN(CM$38,$E432),$P$20))-SUM($BF432:CL432))</f>
        <v>0</v>
      </c>
      <c r="CN432" s="446">
        <f>IF($E432=0,0,IF(MIN(CN$38,$E432)&lt;MAX($P$34*($B432+$I$38-1),IF(AND($L$37=0,$P$34=0),"",$L$37-1)),0,YEARFRAC(MAX($P$34*($B432+$I$38-1),IF(AND($L$37=0,$P$34=0),"",$L$37-1)),MIN(CN$38,$E432),$P$20))-SUM($BF432:CM432))</f>
        <v>0</v>
      </c>
      <c r="CO432" s="446">
        <f>IF($E432=0,0,IF(MIN(CO$38,$E432)&lt;MAX($P$34*($B432+$I$38-1),IF(AND($L$37=0,$P$34=0),"",$L$37-1)),0,YEARFRAC(MAX($P$34*($B432+$I$38-1),IF(AND($L$37=0,$P$34=0),"",$L$37-1)),MIN(CO$38,$E432),$P$20))-SUM($BF432:CN432))</f>
        <v>0</v>
      </c>
      <c r="CP432" s="446">
        <f>IF($E432=0,0,IF(MIN(CP$38,$E432)&lt;MAX($P$34*($B432+$I$38-1),IF(AND($L$37=0,$P$34=0),"",$L$37-1)),0,YEARFRAC(MAX($P$34*($B432+$I$38-1),IF(AND($L$37=0,$P$34=0),"",$L$37-1)),MIN(CP$38,$E432),$P$20))-SUM($BF432:CO432))</f>
        <v>0</v>
      </c>
      <c r="CQ432" s="446">
        <f>IF($E432=0,0,IF(MIN(CQ$38,$E432)&lt;MAX($P$34*($B432+$I$38-1),IF(AND($L$37=0,$P$34=0),"",$L$37-1)),0,YEARFRAC(MAX($P$34*($B432+$I$38-1),IF(AND($L$37=0,$P$34=0),"",$L$37-1)),MIN(CQ$38,$E432),$P$20))-SUM($BF432:CP432))</f>
        <v>0</v>
      </c>
    </row>
    <row r="433" spans="1:95" s="446" customFormat="1" ht="11.25" hidden="1" customHeight="1" x14ac:dyDescent="0.2">
      <c r="A433" s="152"/>
      <c r="B433" s="153" t="str">
        <f t="shared" si="81"/>
        <v/>
      </c>
      <c r="C433" s="29" t="str">
        <f>IF(B433="","",IF($L$35="SELIC - TRIBUTOS",VLOOKUP(DATE(YEAR($D$19),MONTH($D$19)-1,1),ÍNDICES!$A:$DE,HLOOKUP($BL$25,ÍNDICES!$B$3:$T$4,2)+11)-VLOOKUP(B433,ÍNDICES!$A:$DE,HLOOKUP($BL$25,ÍNDICES!$B$3:$T$4,2)+11)+1%,IF(C$38=$W$26,$J$35,IF(ISERROR(IF(B433&gt;$D$19,1,VLOOKUP(DATE(YEAR(B433),MONTH(B433)+IF($C$35=$S$23,1,0),1),ÍNDICES!$A:$DE,$Z$35+1))),"",IF(B433&gt;$D$19,1,VLOOKUP(DATE(YEAR(B433),MONTH(B433)+IF($C$35=$S$23,1,0),1),ÍNDICES!$A:$DE,$Z$35+1))))))</f>
        <v/>
      </c>
      <c r="D433" s="154" t="str">
        <f>IF(ISERROR(IF(OR($D$38=$Y$27,$B433=""),"",VLOOKUP(B433,ÍNDICES!A:DE,AF$35+1))),"",IF(OR($D$38=$Y$27,$B433=""),"",VLOOKUP(B433,ÍNDICES!A:DE,AF$35+1)))</f>
        <v/>
      </c>
      <c r="E433" s="153"/>
      <c r="F433" s="29" t="str">
        <f>IF(E433="","",IF($L$35="SELIC - TRIBUTOS",VLOOKUP(DATE(YEAR($D$19),MONTH($D$19)-1,1),ÍNDICES!$A:$DE,HLOOKUP($BL$25,ÍNDICES!$B$3:$T$4,2)+11)-VLOOKUP(E433,ÍNDICES!$A:$DE,HLOOKUP($BL$25,ÍNDICES!$B$3:$T$4,2)+11)+1%,IF(F$38=$W$26,$J$35,IF(ISERROR(IF(E433&gt;$D$19,1,VLOOKUP(DATE(YEAR(E433),MONTH(E433)+IF($C$35=$S$23,1,0),1),ÍNDICES!$A:$DE,$Z$35+1))),"",IF(E433&gt;$D$19,1,VLOOKUP(DATE(YEAR(E433),MONTH(E433)+IF($C$35=$S$23,1,0),1),ÍNDICES!$A:$DE,$Z$35+1))))))</f>
        <v/>
      </c>
      <c r="G433" s="155"/>
      <c r="H433" s="156" t="str">
        <f t="shared" si="77"/>
        <v/>
      </c>
      <c r="I433" s="29" t="str">
        <f t="shared" si="71"/>
        <v/>
      </c>
      <c r="J433" s="5">
        <f t="shared" si="72"/>
        <v>0</v>
      </c>
      <c r="K433" s="20">
        <f t="shared" ca="1" si="73"/>
        <v>0</v>
      </c>
      <c r="L433" s="5">
        <f t="shared" ca="1" si="74"/>
        <v>0</v>
      </c>
      <c r="M433" s="64">
        <f t="shared" si="78"/>
        <v>0</v>
      </c>
      <c r="N433" s="61">
        <f t="shared" ca="1" si="79"/>
        <v>0</v>
      </c>
      <c r="O433" s="5">
        <f t="shared" ca="1" si="80"/>
        <v>0</v>
      </c>
      <c r="P433" s="446" t="e">
        <f t="shared" si="75"/>
        <v>#VALUE!</v>
      </c>
      <c r="Q433" s="446" t="e">
        <f>IF(OR($B433="",MIN(Q$38,$D$19)&lt;MAX($P$34*($B433+IF($R$17="Distrato",$I$38-1,0)),IF(AND($L$37=0,$P$34=0),"",$L$37-1),IF($R$17="Distrato",$E433,0))),0,YEARFRAC(MAX($P$34*($B433+IF($R$17="Distrato",$I$38-1,0)),IF(AND($L$37=0,$P$34=0),"",$L$37-1),IF($R$17="Distrato",$E433,0)),MIN(Q$38,$D$19),$P$20))-SUM($P433:P433)</f>
        <v>#VALUE!</v>
      </c>
      <c r="R433" s="446" t="e">
        <f>IF(OR($B433="",MIN(R$38,$D$19)&lt;MAX($P$34*($B433+IF($R$17="Distrato",$I$38-1,0)),IF(AND($L$37=0,$P$34=0),"",$L$37-1),IF($R$17="Distrato",$E433,0))),0,YEARFRAC(MAX($P$34*($B433+IF($R$17="Distrato",$I$38-1,0)),IF(AND($L$37=0,$P$34=0),"",$L$37-1),IF($R$17="Distrato",$E433,0)),MIN(R$38,$D$19),$P$20))-SUM($P433:Q433)</f>
        <v>#VALUE!</v>
      </c>
      <c r="S433" s="446" t="e">
        <f>IF(OR($B433="",MIN(S$38,$D$19)&lt;MAX($P$34*($B433+IF($R$17="Distrato",$I$38-1,0)),IF(AND($L$37=0,$P$34=0),"",$L$37-1),IF($R$17="Distrato",$E433,0))),0,YEARFRAC(MAX($P$34*($B433+IF($R$17="Distrato",$I$38-1,0)),IF(AND($L$37=0,$P$34=0),"",$L$37-1),IF($R$17="Distrato",$E433,0)),MIN(S$38,$D$19),$P$20))-SUM($P433:R433)</f>
        <v>#VALUE!</v>
      </c>
      <c r="T433" s="446" t="e">
        <f>IF(OR($B433="",MIN(T$38,$D$19)&lt;MAX($P$34*($B433+IF($R$17="Distrato",$I$38-1,0)),IF(AND($L$37=0,$P$34=0),"",$L$37-1),IF($R$17="Distrato",$E433,0))),0,YEARFRAC(MAX($P$34*($B433+IF($R$17="Distrato",$I$38-1,0)),IF(AND($L$37=0,$P$34=0),"",$L$37-1),IF($R$17="Distrato",$E433,0)),MIN(T$38,$D$19),$P$20))-SUM($P433:S433)</f>
        <v>#VALUE!</v>
      </c>
      <c r="U433" s="446" t="e">
        <f>IF(OR($B433="",MIN(U$38,$D$19)&lt;MAX($P$34*($B433+IF($R$17="Distrato",$I$38-1,0)),IF(AND($L$37=0,$P$34=0),"",$L$37-1),IF($R$17="Distrato",$E433,0))),0,YEARFRAC(MAX($P$34*($B433+IF($R$17="Distrato",$I$38-1,0)),IF(AND($L$37=0,$P$34=0),"",$L$37-1),IF($R$17="Distrato",$E433,0)),MIN(U$38,$D$19),$P$20))-SUM($P433:T433)</f>
        <v>#VALUE!</v>
      </c>
      <c r="V433" s="446" t="e">
        <f>IF(OR($B433="",MIN(V$38,$D$19)&lt;MAX($P$34*($B433+IF($R$17="Distrato",$I$38-1,0)),IF(AND($L$37=0,$P$34=0),"",$L$37-1),IF($R$17="Distrato",$E433,0))),0,YEARFRAC(MAX($P$34*($B433+IF($R$17="Distrato",$I$38-1,0)),IF(AND($L$37=0,$P$34=0),"",$L$37-1),IF($R$17="Distrato",$E433,0)),MIN(V$38,$D$19),$P$20))-SUM($P433:U433)</f>
        <v>#VALUE!</v>
      </c>
      <c r="W433" s="446" t="e">
        <f>IF(OR($B433="",MIN(W$38,$D$19)&lt;MAX($P$34*($B433+IF($R$17="Distrato",$I$38-1,0)),IF(AND($L$37=0,$P$34=0),"",$L$37-1),IF($R$17="Distrato",$E433,0))),0,YEARFRAC(MAX($P$34*($B433+IF($R$17="Distrato",$I$38-1,0)),IF(AND($L$37=0,$P$34=0),"",$L$37-1),IF($R$17="Distrato",$E433,0)),MIN(W$38,$D$19),$P$20))-SUM($P433:V433)</f>
        <v>#VALUE!</v>
      </c>
      <c r="X433" s="446" t="e">
        <f>IF(OR($B433="",MIN(X$38,$D$19)&lt;MAX($P$34*($B433+IF($R$17="Distrato",$I$38-1,0)),IF(AND($L$37=0,$P$34=0),"",$L$37-1),IF($R$17="Distrato",$E433,0))),0,YEARFRAC(MAX($P$34*($B433+IF($R$17="Distrato",$I$38-1,0)),IF(AND($L$37=0,$P$34=0),"",$L$37-1),IF($R$17="Distrato",$E433,0)),MIN(X$38,$D$19),$P$20))-SUM($P433:W433)</f>
        <v>#VALUE!</v>
      </c>
      <c r="Y433" s="446" t="e">
        <f>IF(OR($B433="",MIN(Y$38,$D$19)&lt;MAX($P$34*($B433+IF($R$17="Distrato",$I$38-1,0)),IF(AND($L$37=0,$P$34=0),"",$L$37-1),IF($R$17="Distrato",$E433,0))),0,YEARFRAC(MAX($P$34*($B433+IF($R$17="Distrato",$I$38-1,0)),IF(AND($L$37=0,$P$34=0),"",$L$37-1),IF($R$17="Distrato",$E433,0)),MIN(Y$38,$D$19),$P$20))-SUM($P433:X433)</f>
        <v>#VALUE!</v>
      </c>
      <c r="Z433" s="446" t="e">
        <f>IF(OR($B433="",MIN(Z$38,$D$19)&lt;MAX($P$34*($B433+IF($R$17="Distrato",$I$38-1,0)),IF(AND($L$37=0,$P$34=0),"",$L$37-1),IF($R$17="Distrato",$E433,0))),0,YEARFRAC(MAX($P$34*($B433+IF($R$17="Distrato",$I$38-1,0)),IF(AND($L$37=0,$P$34=0),"",$L$37-1),IF($R$17="Distrato",$E433,0)),MIN(Z$38,$D$19),$P$20))-SUM($P433:Y433)</f>
        <v>#VALUE!</v>
      </c>
      <c r="AA433" s="446" t="e">
        <f>IF(OR($B433="",MIN(AA$38,$D$19)&lt;MAX($P$34*($B433+IF($R$17="Distrato",$I$38-1,0)),IF(AND($L$37=0,$P$34=0),"",$L$37-1),IF($R$17="Distrato",$E433,0))),0,YEARFRAC(MAX($P$34*($B433+IF($R$17="Distrato",$I$38-1,0)),IF(AND($L$37=0,$P$34=0),"",$L$37-1),IF($R$17="Distrato",$E433,0)),MIN(AA$38,$D$19),$P$20))-SUM($P433:Z433)</f>
        <v>#VALUE!</v>
      </c>
      <c r="AB433" s="446" t="e">
        <f>IF(OR($B433="",MIN(AB$38,$D$19)&lt;MAX($P$34*($B433+IF($R$17="Distrato",$I$38-1,0)),IF(AND($L$37=0,$P$34=0),"",$L$37-1),IF($R$17="Distrato",$E433,0))),0,YEARFRAC(MAX($P$34*($B433+IF($R$17="Distrato",$I$38-1,0)),IF(AND($L$37=0,$P$34=0),"",$L$37-1),IF($R$17="Distrato",$E433,0)),MIN(AB$38,$D$19),$P$20))-SUM($P433:AA433)</f>
        <v>#VALUE!</v>
      </c>
      <c r="AC433" s="446" t="e">
        <f>IF(OR($B433="",MIN(AC$38,$D$19)&lt;MAX($P$34*($B433+IF($R$17="Distrato",$I$38-1,0)),IF(AND($L$37=0,$P$34=0),"",$L$37-1),IF($R$17="Distrato",$E433,0))),0,YEARFRAC(MAX($P$34*($B433+IF($R$17="Distrato",$I$38-1,0)),IF(AND($L$37=0,$P$34=0),"",$L$37-1),IF($R$17="Distrato",$E433,0)),MIN(AC$38,$D$19),$P$20))-SUM($P433:AB433)</f>
        <v>#VALUE!</v>
      </c>
      <c r="AD433" s="446" t="e">
        <f>IF(OR($B433="",MIN(AD$38,$D$19)&lt;MAX($P$34*($B433+IF($R$17="Distrato",$I$38-1,0)),IF(AND($L$37=0,$P$34=0),"",$L$37-1),IF($R$17="Distrato",$E433,0))),0,YEARFRAC(MAX($P$34*($B433+IF($R$17="Distrato",$I$38-1,0)),IF(AND($L$37=0,$P$34=0),"",$L$37-1),IF($R$17="Distrato",$E433,0)),MIN(AD$38,$D$19),$P$20))-SUM($P433:AC433)</f>
        <v>#VALUE!</v>
      </c>
      <c r="AE433" s="446" t="e">
        <f>IF(OR($B433="",MIN(AE$38,$D$19)&lt;MAX($P$34*($B433+IF($R$17="Distrato",$I$38-1,0)),IF(AND($L$37=0,$P$34=0),"",$L$37-1),IF($R$17="Distrato",$E433,0))),0,YEARFRAC(MAX($P$34*($B433+IF($R$17="Distrato",$I$38-1,0)),IF(AND($L$37=0,$P$34=0),"",$L$37-1),IF($R$17="Distrato",$E433,0)),MIN(AE$38,$D$19),$P$20))-SUM($P433:AD433)</f>
        <v>#VALUE!</v>
      </c>
      <c r="AF433" s="446" t="e">
        <f>IF(OR($B433="",MIN(AF$38,$D$19)&lt;MAX($P$34*($B433+IF($R$17="Distrato",$I$38-1,0)),IF(AND($L$37=0,$P$34=0),"",$L$37-1),IF($R$17="Distrato",$E433,0))),0,YEARFRAC(MAX($P$34*($B433+IF($R$17="Distrato",$I$38-1,0)),IF(AND($L$37=0,$P$34=0),"",$L$37-1),IF($R$17="Distrato",$E433,0)),MIN(AF$38,$D$19),$P$20))-SUM($P433:AE433)</f>
        <v>#VALUE!</v>
      </c>
      <c r="AG433" s="446" t="e">
        <f>IF(OR($B433="",MIN(AG$38,$D$19)&lt;MAX($P$34*($B433+IF($R$17="Distrato",$I$38-1,0)),IF(AND($L$37=0,$P$34=0),"",$L$37-1),IF($R$17="Distrato",$E433,0))),0,YEARFRAC(MAX($P$34*($B433+IF($R$17="Distrato",$I$38-1,0)),IF(AND($L$37=0,$P$34=0),"",$L$37-1),IF($R$17="Distrato",$E433,0)),MIN(AG$38,$D$19),$P$20))-SUM($P433:AF433)</f>
        <v>#VALUE!</v>
      </c>
      <c r="AH433" s="446" t="e">
        <f>IF(OR($B433="",MIN(AH$38,$D$19)&lt;MAX($P$34*($B433+IF($R$17="Distrato",$I$38-1,0)),IF(AND($L$37=0,$P$34=0),"",$L$37-1),IF($R$17="Distrato",$E433,0))),0,YEARFRAC(MAX($P$34*($B433+IF($R$17="Distrato",$I$38-1,0)),IF(AND($L$37=0,$P$34=0),"",$L$37-1),IF($R$17="Distrato",$E433,0)),MIN(AH$38,$D$19),$P$20))-SUM($P433:AG433)</f>
        <v>#VALUE!</v>
      </c>
      <c r="AI433" s="446" t="e">
        <f>IF(OR($B433="",MIN(AI$38,$D$19)&lt;MAX($P$34*($B433+IF($R$17="Distrato",$I$38-1,0)),IF(AND($L$37=0,$P$34=0),"",$L$37-1),IF($R$17="Distrato",$E433,0))),0,YEARFRAC(MAX($P$34*($B433+IF($R$17="Distrato",$I$38-1,0)),IF(AND($L$37=0,$P$34=0),"",$L$37-1),IF($R$17="Distrato",$E433,0)),MIN(AI$38,$D$19),$P$20))-SUM($P433:AH433)</f>
        <v>#VALUE!</v>
      </c>
      <c r="AJ433" s="446" t="e">
        <f>IF(OR($B433="",MIN(AJ$38,$D$19)&lt;MAX($P$34*($B433+IF($R$17="Distrato",$I$38-1,0)),IF(AND($L$37=0,$P$34=0),"",$L$37-1),IF($R$17="Distrato",$E433,0))),0,YEARFRAC(MAX($P$34*($B433+IF($R$17="Distrato",$I$38-1,0)),IF(AND($L$37=0,$P$34=0),"",$L$37-1),IF($R$17="Distrato",$E433,0)),MIN(AJ$38,$D$19),$P$20))-SUM($P433:AI433)</f>
        <v>#VALUE!</v>
      </c>
      <c r="AK433" s="446" t="e">
        <f>IF(OR($B433="",MIN(AK$38,$D$19)&lt;MAX($P$34*($B433+IF($R$17="Distrato",$I$38-1,0)),IF(AND($L$37=0,$P$34=0),"",$L$37-1),IF($R$17="Distrato",$E433,0))),0,YEARFRAC(MAX($P$34*($B433+IF($R$17="Distrato",$I$38-1,0)),IF(AND($L$37=0,$P$34=0),"",$L$37-1),IF($R$17="Distrato",$E433,0)),MIN(AK$38,$D$19),$P$20))-SUM($P433:AJ433)</f>
        <v>#VALUE!</v>
      </c>
      <c r="AL433" s="446" t="e">
        <f>IF(OR($B433="",MIN(AL$38,$D$19)&lt;MAX($P$34*($B433+IF($R$17="Distrato",$I$38-1,0)),IF(AND($L$37=0,$P$34=0),"",$L$37-1),IF($R$17="Distrato",$E433,0))),0,YEARFRAC(MAX($P$34*($B433+IF($R$17="Distrato",$I$38-1,0)),IF(AND($L$37=0,$P$34=0),"",$L$37-1),IF($R$17="Distrato",$E433,0)),MIN(AL$38,$D$19),$P$20))-SUM($P433:AK433)</f>
        <v>#VALUE!</v>
      </c>
      <c r="AM433" s="446" t="e">
        <f>IF(OR($B433="",MIN(AM$38,$D$19)&lt;MAX($P$34*($B433+IF($R$17="Distrato",$I$38-1,0)),IF(AND($L$37=0,$P$34=0),"",$L$37-1),IF($R$17="Distrato",$E433,0))),0,YEARFRAC(MAX($P$34*($B433+IF($R$17="Distrato",$I$38-1,0)),IF(AND($L$37=0,$P$34=0),"",$L$37-1),IF($R$17="Distrato",$E433,0)),MIN(AM$38,$D$19),$P$20))-SUM($P433:AL433)</f>
        <v>#VALUE!</v>
      </c>
      <c r="AN433" s="446" t="e">
        <f>IF(OR($B433="",MIN(AN$38,$D$19)&lt;MAX($P$34*($B433+IF($R$17="Distrato",$I$38-1,0)),IF(AND($L$37=0,$P$34=0),"",$L$37-1),IF($R$17="Distrato",$E433,0))),0,YEARFRAC(MAX($P$34*($B433+IF($R$17="Distrato",$I$38-1,0)),IF(AND($L$37=0,$P$34=0),"",$L$37-1),IF($R$17="Distrato",$E433,0)),MIN(AN$38,$D$19),$P$20))-SUM($P433:AM433)</f>
        <v>#VALUE!</v>
      </c>
      <c r="AO433" s="446" t="e">
        <f>IF(OR($B433="",MIN(AO$38,$D$19)&lt;MAX($P$34*($B433+IF($R$17="Distrato",$I$38-1,0)),IF(AND($L$37=0,$P$34=0),"",$L$37-1),IF($R$17="Distrato",$E433,0))),0,YEARFRAC(MAX($P$34*($B433+IF($R$17="Distrato",$I$38-1,0)),IF(AND($L$37=0,$P$34=0),"",$L$37-1),IF($R$17="Distrato",$E433,0)),MIN(AO$38,$D$19),$P$20))-SUM($P433:AN433)</f>
        <v>#VALUE!</v>
      </c>
      <c r="AP433" s="446" t="e">
        <f>IF(OR($B433="",MIN(AP$38,$D$19)&lt;MAX($P$34*($B433+IF($R$17="Distrato",$I$38-1,0)),IF(AND($L$37=0,$P$34=0),"",$L$37-1),IF($R$17="Distrato",$E433,0))),0,YEARFRAC(MAX($P$34*($B433+IF($R$17="Distrato",$I$38-1,0)),IF(AND($L$37=0,$P$34=0),"",$L$37-1),IF($R$17="Distrato",$E433,0)),MIN(AP$38,$D$19),$P$20))-SUM($P433:AO433)</f>
        <v>#VALUE!</v>
      </c>
      <c r="AQ433" s="446" t="e">
        <f>IF(OR($B433="",MIN(AQ$38,$D$19)&lt;MAX($P$34*($B433+IF($R$17="Distrato",$I$38-1,0)),IF(AND($L$37=0,$P$34=0),"",$L$37-1),IF($R$17="Distrato",$E433,0))),0,YEARFRAC(MAX($P$34*($B433+IF($R$17="Distrato",$I$38-1,0)),IF(AND($L$37=0,$P$34=0),"",$L$37-1),IF($R$17="Distrato",$E433,0)),MIN(AQ$38,$D$19),$P$20))-SUM($P433:AP433)</f>
        <v>#VALUE!</v>
      </c>
      <c r="AR433" s="446" t="e">
        <f>IF(OR($B433="",MIN(AR$38,$D$19)&lt;MAX($P$34*($B433+IF($R$17="Distrato",$I$38-1,0)),IF(AND($L$37=0,$P$34=0),"",$L$37-1),IF($R$17="Distrato",$E433,0))),0,YEARFRAC(MAX($P$34*($B433+IF($R$17="Distrato",$I$38-1,0)),IF(AND($L$37=0,$P$34=0),"",$L$37-1),IF($R$17="Distrato",$E433,0)),MIN(AR$38,$D$19),$P$20))-SUM($P433:AQ433)</f>
        <v>#VALUE!</v>
      </c>
      <c r="AS433" s="446" t="e">
        <f>IF(OR($B433="",MIN(AS$38,$D$19)&lt;MAX($P$34*($B433+IF($R$17="Distrato",$I$38-1,0)),IF(AND($L$37=0,$P$34=0),"",$L$37-1),IF($R$17="Distrato",$E433,0))),0,YEARFRAC(MAX($P$34*($B433+IF($R$17="Distrato",$I$38-1,0)),IF(AND($L$37=0,$P$34=0),"",$L$37-1),IF($R$17="Distrato",$E433,0)),MIN(AS$38,$D$19),$P$20))-SUM($P433:AR433)</f>
        <v>#VALUE!</v>
      </c>
      <c r="AT433" s="446" t="e">
        <f>IF(OR($B433="",MIN(AT$38,$D$19)&lt;MAX($P$34*($B433+IF($R$17="Distrato",$I$38-1,0)),IF(AND($L$37=0,$P$34=0),"",$L$37-1),IF($R$17="Distrato",$E433,0))),0,YEARFRAC(MAX($P$34*($B433+IF($R$17="Distrato",$I$38-1,0)),IF(AND($L$37=0,$P$34=0),"",$L$37-1),IF($R$17="Distrato",$E433,0)),MIN(AT$38,$D$19),$P$20))-SUM($P433:AS433)</f>
        <v>#VALUE!</v>
      </c>
      <c r="AU433" s="446" t="e">
        <f>IF(OR($B433="",MIN(AU$38,$D$19)&lt;MAX($P$34*($B433+IF($R$17="Distrato",$I$38-1,0)),IF(AND($L$37=0,$P$34=0),"",$L$37-1),IF($R$17="Distrato",$E433,0))),0,YEARFRAC(MAX($P$34*($B433+IF($R$17="Distrato",$I$38-1,0)),IF(AND($L$37=0,$P$34=0),"",$L$37-1),IF($R$17="Distrato",$E433,0)),MIN(AU$38,$D$19),$P$20))-SUM($P433:AT433)</f>
        <v>#VALUE!</v>
      </c>
      <c r="AV433" s="446" t="e">
        <f>IF(OR($B433="",MIN(AV$38,$D$19)&lt;MAX($P$34*($B433+IF($R$17="Distrato",$I$38-1,0)),IF(AND($L$37=0,$P$34=0),"",$L$37-1),IF($R$17="Distrato",$E433,0))),0,YEARFRAC(MAX($P$34*($B433+IF($R$17="Distrato",$I$38-1,0)),IF(AND($L$37=0,$P$34=0),"",$L$37-1),IF($R$17="Distrato",$E433,0)),MIN(AV$38,$D$19),$P$20))-SUM($P433:AU433)</f>
        <v>#VALUE!</v>
      </c>
      <c r="AW433" s="446" t="e">
        <f>IF(OR($B433="",MIN(AW$38,$D$19)&lt;MAX($P$34*($B433+IF($R$17="Distrato",$I$38-1,0)),IF(AND($L$37=0,$P$34=0),"",$L$37-1),IF($R$17="Distrato",$E433,0))),0,YEARFRAC(MAX($P$34*($B433+IF($R$17="Distrato",$I$38-1,0)),IF(AND($L$37=0,$P$34=0),"",$L$37-1),IF($R$17="Distrato",$E433,0)),MIN(AW$38,$D$19),$P$20))-SUM($P433:AV433)</f>
        <v>#VALUE!</v>
      </c>
      <c r="AX433" s="446" t="e">
        <f>IF(OR($B433="",MIN(AX$38,$D$19)&lt;MAX($P$34*($B433+IF($R$17="Distrato",$I$38-1,0)),IF(AND($L$37=0,$P$34=0),"",$L$37-1),IF($R$17="Distrato",$E433,0))),0,YEARFRAC(MAX($P$34*($B433+IF($R$17="Distrato",$I$38-1,0)),IF(AND($L$37=0,$P$34=0),"",$L$37-1),IF($R$17="Distrato",$E433,0)),MIN(AX$38,$D$19),$P$20))-SUM($P433:AW433)</f>
        <v>#VALUE!</v>
      </c>
      <c r="AY433" s="446" t="e">
        <f>IF(OR($B433="",MIN(AY$38,$D$19)&lt;MAX($P$34*($B433+IF($R$17="Distrato",$I$38-1,0)),IF(AND($L$37=0,$P$34=0),"",$L$37-1),IF($R$17="Distrato",$E433,0))),0,YEARFRAC(MAX($P$34*($B433+IF($R$17="Distrato",$I$38-1,0)),IF(AND($L$37=0,$P$34=0),"",$L$37-1),IF($R$17="Distrato",$E433,0)),MIN(AY$38,$D$19),$P$20))-SUM($P433:AX433)</f>
        <v>#VALUE!</v>
      </c>
      <c r="AZ433" s="446" t="e">
        <f>IF(OR($B433="",MIN(AZ$38,$D$19)&lt;MAX($P$34*($B433+IF($R$17="Distrato",$I$38-1,0)),IF(AND($L$37=0,$P$34=0),"",$L$37-1),IF($R$17="Distrato",$E433,0))),0,YEARFRAC(MAX($P$34*($B433+IF($R$17="Distrato",$I$38-1,0)),IF(AND($L$37=0,$P$34=0),"",$L$37-1),IF($R$17="Distrato",$E433,0)),MIN(AZ$38,$D$19),$P$20))-SUM($P433:AY433)</f>
        <v>#VALUE!</v>
      </c>
      <c r="BA433" s="446" t="e">
        <f>IF(OR($B433="",MIN(BA$38,$D$19)&lt;MAX($P$34*($B433+IF($R$17="Distrato",$I$38-1,0)),IF(AND($L$37=0,$P$34=0),"",$L$37-1),IF($R$17="Distrato",$E433,0))),0,YEARFRAC(MAX($P$34*($B433+IF($R$17="Distrato",$I$38-1,0)),IF(AND($L$37=0,$P$34=0),"",$L$37-1),IF($R$17="Distrato",$E433,0)),MIN(BA$38,$D$19),$P$20))-SUM($P433:AZ433)</f>
        <v>#VALUE!</v>
      </c>
      <c r="BB433" s="447"/>
      <c r="BF433" s="446">
        <f t="shared" si="76"/>
        <v>0</v>
      </c>
      <c r="BG433" s="446">
        <f>IF($E433=0,0,IF(MIN(BG$38,$E433)&lt;MAX($P$34*($B433+$I$38-1),IF(AND($L$37=0,$P$34=0),"",$L$37-1)),0,YEARFRAC(MAX($P$34*($B433+$I$38-1),IF(AND($L$37=0,$P$34=0),"",$L$37-1)),MIN(BG$38,$E433),$P$20))-SUM($BF433:BF433))</f>
        <v>0</v>
      </c>
      <c r="BH433" s="446">
        <f>IF($E433=0,0,IF(MIN(BH$38,$E433)&lt;MAX($P$34*($B433+$I$38-1),IF(AND($L$37=0,$P$34=0),"",$L$37-1)),0,YEARFRAC(MAX($P$34*($B433+$I$38-1),IF(AND($L$37=0,$P$34=0),"",$L$37-1)),MIN(BH$38,$E433),$P$20))-SUM($BF433:BG433))</f>
        <v>0</v>
      </c>
      <c r="BI433" s="446">
        <f>IF($E433=0,0,IF(MIN(BI$38,$E433)&lt;MAX($P$34*($B433+$I$38-1),IF(AND($L$37=0,$P$34=0),"",$L$37-1)),0,YEARFRAC(MAX($P$34*($B433+$I$38-1),IF(AND($L$37=0,$P$34=0),"",$L$37-1)),MIN(BI$38,$E433),$P$20))-SUM($BF433:BH433))</f>
        <v>0</v>
      </c>
      <c r="BJ433" s="446">
        <f>IF($E433=0,0,IF(MIN(BJ$38,$E433)&lt;MAX($P$34*($B433+$I$38-1),IF(AND($L$37=0,$P$34=0),"",$L$37-1)),0,YEARFRAC(MAX($P$34*($B433+$I$38-1),IF(AND($L$37=0,$P$34=0),"",$L$37-1)),MIN(BJ$38,$E433),$P$20))-SUM($BF433:BI433))</f>
        <v>0</v>
      </c>
      <c r="BK433" s="446">
        <f>IF($E433=0,0,IF(MIN(BK$38,$E433)&lt;MAX($P$34*($B433+$I$38-1),IF(AND($L$37=0,$P$34=0),"",$L$37-1)),0,YEARFRAC(MAX($P$34*($B433+$I$38-1),IF(AND($L$37=0,$P$34=0),"",$L$37-1)),MIN(BK$38,$E433),$P$20))-SUM($BF433:BJ433))</f>
        <v>0</v>
      </c>
      <c r="BL433" s="446">
        <f>IF($E433=0,0,IF(MIN(BL$38,$E433)&lt;MAX($P$34*($B433+$I$38-1),IF(AND($L$37=0,$P$34=0),"",$L$37-1)),0,YEARFRAC(MAX($P$34*($B433+$I$38-1),IF(AND($L$37=0,$P$34=0),"",$L$37-1)),MIN(BL$38,$E433),$P$20))-SUM($BF433:BK433))</f>
        <v>0</v>
      </c>
      <c r="BM433" s="446">
        <f>IF($E433=0,0,IF(MIN(BM$38,$E433)&lt;MAX($P$34*($B433+$I$38-1),IF(AND($L$37=0,$P$34=0),"",$L$37-1)),0,YEARFRAC(MAX($P$34*($B433+$I$38-1),IF(AND($L$37=0,$P$34=0),"",$L$37-1)),MIN(BM$38,$E433),$P$20))-SUM($BF433:BL433))</f>
        <v>0</v>
      </c>
      <c r="BN433" s="446">
        <f>IF($E433=0,0,IF(MIN(BN$38,$E433)&lt;MAX($P$34*($B433+$I$38-1),IF(AND($L$37=0,$P$34=0),"",$L$37-1)),0,YEARFRAC(MAX($P$34*($B433+$I$38-1),IF(AND($L$37=0,$P$34=0),"",$L$37-1)),MIN(BN$38,$E433),$P$20))-SUM($BF433:BM433))</f>
        <v>0</v>
      </c>
      <c r="BO433" s="446">
        <f>IF($E433=0,0,IF(MIN(BO$38,$E433)&lt;MAX($P$34*($B433+$I$38-1),IF(AND($L$37=0,$P$34=0),"",$L$37-1)),0,YEARFRAC(MAX($P$34*($B433+$I$38-1),IF(AND($L$37=0,$P$34=0),"",$L$37-1)),MIN(BO$38,$E433),$P$20))-SUM($BF433:BN433))</f>
        <v>0</v>
      </c>
      <c r="BP433" s="446">
        <f>IF($E433=0,0,IF(MIN(BP$38,$E433)&lt;MAX($P$34*($B433+$I$38-1),IF(AND($L$37=0,$P$34=0),"",$L$37-1)),0,YEARFRAC(MAX($P$34*($B433+$I$38-1),IF(AND($L$37=0,$P$34=0),"",$L$37-1)),MIN(BP$38,$E433),$P$20))-SUM($BF433:BO433))</f>
        <v>0</v>
      </c>
      <c r="BQ433" s="446">
        <f>IF($E433=0,0,IF(MIN(BQ$38,$E433)&lt;MAX($P$34*($B433+$I$38-1),IF(AND($L$37=0,$P$34=0),"",$L$37-1)),0,YEARFRAC(MAX($P$34*($B433+$I$38-1),IF(AND($L$37=0,$P$34=0),"",$L$37-1)),MIN(BQ$38,$E433),$P$20))-SUM($BF433:BP433))</f>
        <v>0</v>
      </c>
      <c r="BR433" s="446">
        <f>IF($E433=0,0,IF(MIN(BR$38,$E433)&lt;MAX($P$34*($B433+$I$38-1),IF(AND($L$37=0,$P$34=0),"",$L$37-1)),0,YEARFRAC(MAX($P$34*($B433+$I$38-1),IF(AND($L$37=0,$P$34=0),"",$L$37-1)),MIN(BR$38,$E433),$P$20))-SUM($BF433:BQ433))</f>
        <v>0</v>
      </c>
      <c r="BS433" s="446">
        <f>IF($E433=0,0,IF(MIN(BS$38,$E433)&lt;MAX($P$34*($B433+$I$38-1),IF(AND($L$37=0,$P$34=0),"",$L$37-1)),0,YEARFRAC(MAX($P$34*($B433+$I$38-1),IF(AND($L$37=0,$P$34=0),"",$L$37-1)),MIN(BS$38,$E433),$P$20))-SUM($BF433:BR433))</f>
        <v>0</v>
      </c>
      <c r="BT433" s="446">
        <f>IF($E433=0,0,IF(MIN(BT$38,$E433)&lt;MAX($P$34*($B433+$I$38-1),IF(AND($L$37=0,$P$34=0),"",$L$37-1)),0,YEARFRAC(MAX($P$34*($B433+$I$38-1),IF(AND($L$37=0,$P$34=0),"",$L$37-1)),MIN(BT$38,$E433),$P$20))-SUM($BF433:BS433))</f>
        <v>0</v>
      </c>
      <c r="BU433" s="446">
        <f>IF($E433=0,0,IF(MIN(BU$38,$E433)&lt;MAX($P$34*($B433+$I$38-1),IF(AND($L$37=0,$P$34=0),"",$L$37-1)),0,YEARFRAC(MAX($P$34*($B433+$I$38-1),IF(AND($L$37=0,$P$34=0),"",$L$37-1)),MIN(BU$38,$E433),$P$20))-SUM($BF433:BT433))</f>
        <v>0</v>
      </c>
      <c r="BV433" s="446">
        <f>IF($E433=0,0,IF(MIN(BV$38,$E433)&lt;MAX($P$34*($B433+$I$38-1),IF(AND($L$37=0,$P$34=0),"",$L$37-1)),0,YEARFRAC(MAX($P$34*($B433+$I$38-1),IF(AND($L$37=0,$P$34=0),"",$L$37-1)),MIN(BV$38,$E433),$P$20))-SUM($BF433:BU433))</f>
        <v>0</v>
      </c>
      <c r="BW433" s="446">
        <f>IF($E433=0,0,IF(MIN(BW$38,$E433)&lt;MAX($P$34*($B433+$I$38-1),IF(AND($L$37=0,$P$34=0),"",$L$37-1)),0,YEARFRAC(MAX($P$34*($B433+$I$38-1),IF(AND($L$37=0,$P$34=0),"",$L$37-1)),MIN(BW$38,$E433),$P$20))-SUM($BF433:BV433))</f>
        <v>0</v>
      </c>
      <c r="BX433" s="446">
        <f>IF($E433=0,0,IF(MIN(BX$38,$E433)&lt;MAX($P$34*($B433+$I$38-1),IF(AND($L$37=0,$P$34=0),"",$L$37-1)),0,YEARFRAC(MAX($P$34*($B433+$I$38-1),IF(AND($L$37=0,$P$34=0),"",$L$37-1)),MIN(BX$38,$E433),$P$20))-SUM($BF433:BW433))</f>
        <v>0</v>
      </c>
      <c r="BY433" s="446">
        <f>IF($E433=0,0,IF(MIN(BY$38,$E433)&lt;MAX($P$34*($B433+$I$38-1),IF(AND($L$37=0,$P$34=0),"",$L$37-1)),0,YEARFRAC(MAX($P$34*($B433+$I$38-1),IF(AND($L$37=0,$P$34=0),"",$L$37-1)),MIN(BY$38,$E433),$P$20))-SUM($BF433:BX433))</f>
        <v>0</v>
      </c>
      <c r="BZ433" s="446">
        <f>IF($E433=0,0,IF(MIN(BZ$38,$E433)&lt;MAX($P$34*($B433+$I$38-1),IF(AND($L$37=0,$P$34=0),"",$L$37-1)),0,YEARFRAC(MAX($P$34*($B433+$I$38-1),IF(AND($L$37=0,$P$34=0),"",$L$37-1)),MIN(BZ$38,$E433),$P$20))-SUM($BF433:BY433))</f>
        <v>0</v>
      </c>
      <c r="CA433" s="446">
        <f>IF($E433=0,0,IF(MIN(CA$38,$E433)&lt;MAX($P$34*($B433+$I$38-1),IF(AND($L$37=0,$P$34=0),"",$L$37-1)),0,YEARFRAC(MAX($P$34*($B433+$I$38-1),IF(AND($L$37=0,$P$34=0),"",$L$37-1)),MIN(CA$38,$E433),$P$20))-SUM($BF433:BZ433))</f>
        <v>0</v>
      </c>
      <c r="CB433" s="446">
        <f>IF($E433=0,0,IF(MIN(CB$38,$E433)&lt;MAX($P$34*($B433+$I$38-1),IF(AND($L$37=0,$P$34=0),"",$L$37-1)),0,YEARFRAC(MAX($P$34*($B433+$I$38-1),IF(AND($L$37=0,$P$34=0),"",$L$37-1)),MIN(CB$38,$E433),$P$20))-SUM($BF433:CA433))</f>
        <v>0</v>
      </c>
      <c r="CC433" s="446">
        <f>IF($E433=0,0,IF(MIN(CC$38,$E433)&lt;MAX($P$34*($B433+$I$38-1),IF(AND($L$37=0,$P$34=0),"",$L$37-1)),0,YEARFRAC(MAX($P$34*($B433+$I$38-1),IF(AND($L$37=0,$P$34=0),"",$L$37-1)),MIN(CC$38,$E433),$P$20))-SUM($BF433:CB433))</f>
        <v>0</v>
      </c>
      <c r="CD433" s="446">
        <f>IF($E433=0,0,IF(MIN(CD$38,$E433)&lt;MAX($P$34*($B433+$I$38-1),IF(AND($L$37=0,$P$34=0),"",$L$37-1)),0,YEARFRAC(MAX($P$34*($B433+$I$38-1),IF(AND($L$37=0,$P$34=0),"",$L$37-1)),MIN(CD$38,$E433),$P$20))-SUM($BF433:CC433))</f>
        <v>0</v>
      </c>
      <c r="CE433" s="446">
        <f>IF($E433=0,0,IF(MIN(CE$38,$E433)&lt;MAX($P$34*($B433+$I$38-1),IF(AND($L$37=0,$P$34=0),"",$L$37-1)),0,YEARFRAC(MAX($P$34*($B433+$I$38-1),IF(AND($L$37=0,$P$34=0),"",$L$37-1)),MIN(CE$38,$E433),$P$20))-SUM($BF433:CD433))</f>
        <v>0</v>
      </c>
      <c r="CF433" s="446">
        <f>IF($E433=0,0,IF(MIN(CF$38,$E433)&lt;MAX($P$34*($B433+$I$38-1),IF(AND($L$37=0,$P$34=0),"",$L$37-1)),0,YEARFRAC(MAX($P$34*($B433+$I$38-1),IF(AND($L$37=0,$P$34=0),"",$L$37-1)),MIN(CF$38,$E433),$P$20))-SUM($BF433:CE433))</f>
        <v>0</v>
      </c>
      <c r="CG433" s="446">
        <f>IF($E433=0,0,IF(MIN(CG$38,$E433)&lt;MAX($P$34*($B433+$I$38-1),IF(AND($L$37=0,$P$34=0),"",$L$37-1)),0,YEARFRAC(MAX($P$34*($B433+$I$38-1),IF(AND($L$37=0,$P$34=0),"",$L$37-1)),MIN(CG$38,$E433),$P$20))-SUM($BF433:CF433))</f>
        <v>0</v>
      </c>
      <c r="CH433" s="446">
        <f>IF($E433=0,0,IF(MIN(CH$38,$E433)&lt;MAX($P$34*($B433+$I$38-1),IF(AND($L$37=0,$P$34=0),"",$L$37-1)),0,YEARFRAC(MAX($P$34*($B433+$I$38-1),IF(AND($L$37=0,$P$34=0),"",$L$37-1)),MIN(CH$38,$E433),$P$20))-SUM($BF433:CG433))</f>
        <v>0</v>
      </c>
      <c r="CI433" s="446">
        <f>IF($E433=0,0,IF(MIN(CI$38,$E433)&lt;MAX($P$34*($B433+$I$38-1),IF(AND($L$37=0,$P$34=0),"",$L$37-1)),0,YEARFRAC(MAX($P$34*($B433+$I$38-1),IF(AND($L$37=0,$P$34=0),"",$L$37-1)),MIN(CI$38,$E433),$P$20))-SUM($BF433:CH433))</f>
        <v>0</v>
      </c>
      <c r="CJ433" s="446">
        <f>IF($E433=0,0,IF(MIN(CJ$38,$E433)&lt;MAX($P$34*($B433+$I$38-1),IF(AND($L$37=0,$P$34=0),"",$L$37-1)),0,YEARFRAC(MAX($P$34*($B433+$I$38-1),IF(AND($L$37=0,$P$34=0),"",$L$37-1)),MIN(CJ$38,$E433),$P$20))-SUM($BF433:CI433))</f>
        <v>0</v>
      </c>
      <c r="CK433" s="446">
        <f>IF($E433=0,0,IF(MIN(CK$38,$E433)&lt;MAX($P$34*($B433+$I$38-1),IF(AND($L$37=0,$P$34=0),"",$L$37-1)),0,YEARFRAC(MAX($P$34*($B433+$I$38-1),IF(AND($L$37=0,$P$34=0),"",$L$37-1)),MIN(CK$38,$E433),$P$20))-SUM($BF433:CJ433))</f>
        <v>0</v>
      </c>
      <c r="CL433" s="446">
        <f>IF($E433=0,0,IF(MIN(CL$38,$E433)&lt;MAX($P$34*($B433+$I$38-1),IF(AND($L$37=0,$P$34=0),"",$L$37-1)),0,YEARFRAC(MAX($P$34*($B433+$I$38-1),IF(AND($L$37=0,$P$34=0),"",$L$37-1)),MIN(CL$38,$E433),$P$20))-SUM($BF433:CK433))</f>
        <v>0</v>
      </c>
      <c r="CM433" s="446">
        <f>IF($E433=0,0,IF(MIN(CM$38,$E433)&lt;MAX($P$34*($B433+$I$38-1),IF(AND($L$37=0,$P$34=0),"",$L$37-1)),0,YEARFRAC(MAX($P$34*($B433+$I$38-1),IF(AND($L$37=0,$P$34=0),"",$L$37-1)),MIN(CM$38,$E433),$P$20))-SUM($BF433:CL433))</f>
        <v>0</v>
      </c>
      <c r="CN433" s="446">
        <f>IF($E433=0,0,IF(MIN(CN$38,$E433)&lt;MAX($P$34*($B433+$I$38-1),IF(AND($L$37=0,$P$34=0),"",$L$37-1)),0,YEARFRAC(MAX($P$34*($B433+$I$38-1),IF(AND($L$37=0,$P$34=0),"",$L$37-1)),MIN(CN$38,$E433),$P$20))-SUM($BF433:CM433))</f>
        <v>0</v>
      </c>
      <c r="CO433" s="446">
        <f>IF($E433=0,0,IF(MIN(CO$38,$E433)&lt;MAX($P$34*($B433+$I$38-1),IF(AND($L$37=0,$P$34=0),"",$L$37-1)),0,YEARFRAC(MAX($P$34*($B433+$I$38-1),IF(AND($L$37=0,$P$34=0),"",$L$37-1)),MIN(CO$38,$E433),$P$20))-SUM($BF433:CN433))</f>
        <v>0</v>
      </c>
      <c r="CP433" s="446">
        <f>IF($E433=0,0,IF(MIN(CP$38,$E433)&lt;MAX($P$34*($B433+$I$38-1),IF(AND($L$37=0,$P$34=0),"",$L$37-1)),0,YEARFRAC(MAX($P$34*($B433+$I$38-1),IF(AND($L$37=0,$P$34=0),"",$L$37-1)),MIN(CP$38,$E433),$P$20))-SUM($BF433:CO433))</f>
        <v>0</v>
      </c>
      <c r="CQ433" s="446">
        <f>IF($E433=0,0,IF(MIN(CQ$38,$E433)&lt;MAX($P$34*($B433+$I$38-1),IF(AND($L$37=0,$P$34=0),"",$L$37-1)),0,YEARFRAC(MAX($P$34*($B433+$I$38-1),IF(AND($L$37=0,$P$34=0),"",$L$37-1)),MIN(CQ$38,$E433),$P$20))-SUM($BF433:CP433))</f>
        <v>0</v>
      </c>
    </row>
    <row r="434" spans="1:95" s="446" customFormat="1" ht="11.25" hidden="1" customHeight="1" x14ac:dyDescent="0.2">
      <c r="A434" s="152"/>
      <c r="B434" s="153" t="str">
        <f t="shared" si="81"/>
        <v/>
      </c>
      <c r="C434" s="29" t="str">
        <f>IF(B434="","",IF($L$35="SELIC - TRIBUTOS",VLOOKUP(DATE(YEAR($D$19),MONTH($D$19)-1,1),ÍNDICES!$A:$DE,HLOOKUP($BL$25,ÍNDICES!$B$3:$T$4,2)+11)-VLOOKUP(B434,ÍNDICES!$A:$DE,HLOOKUP($BL$25,ÍNDICES!$B$3:$T$4,2)+11)+1%,IF(C$38=$W$26,$J$35,IF(ISERROR(IF(B434&gt;$D$19,1,VLOOKUP(DATE(YEAR(B434),MONTH(B434)+IF($C$35=$S$23,1,0),1),ÍNDICES!$A:$DE,$Z$35+1))),"",IF(B434&gt;$D$19,1,VLOOKUP(DATE(YEAR(B434),MONTH(B434)+IF($C$35=$S$23,1,0),1),ÍNDICES!$A:$DE,$Z$35+1))))))</f>
        <v/>
      </c>
      <c r="D434" s="154" t="str">
        <f>IF(ISERROR(IF(OR($D$38=$Y$27,$B434=""),"",VLOOKUP(B434,ÍNDICES!A:DE,AF$35+1))),"",IF(OR($D$38=$Y$27,$B434=""),"",VLOOKUP(B434,ÍNDICES!A:DE,AF$35+1)))</f>
        <v/>
      </c>
      <c r="E434" s="153"/>
      <c r="F434" s="29" t="str">
        <f>IF(E434="","",IF($L$35="SELIC - TRIBUTOS",VLOOKUP(DATE(YEAR($D$19),MONTH($D$19)-1,1),ÍNDICES!$A:$DE,HLOOKUP($BL$25,ÍNDICES!$B$3:$T$4,2)+11)-VLOOKUP(E434,ÍNDICES!$A:$DE,HLOOKUP($BL$25,ÍNDICES!$B$3:$T$4,2)+11)+1%,IF(F$38=$W$26,$J$35,IF(ISERROR(IF(E434&gt;$D$19,1,VLOOKUP(DATE(YEAR(E434),MONTH(E434)+IF($C$35=$S$23,1,0),1),ÍNDICES!$A:$DE,$Z$35+1))),"",IF(E434&gt;$D$19,1,VLOOKUP(DATE(YEAR(E434),MONTH(E434)+IF($C$35=$S$23,1,0),1),ÍNDICES!$A:$DE,$Z$35+1))))))</f>
        <v/>
      </c>
      <c r="G434" s="155"/>
      <c r="H434" s="156" t="str">
        <f t="shared" si="77"/>
        <v/>
      </c>
      <c r="I434" s="29" t="str">
        <f t="shared" si="71"/>
        <v/>
      </c>
      <c r="J434" s="5">
        <f t="shared" si="72"/>
        <v>0</v>
      </c>
      <c r="K434" s="20">
        <f t="shared" ca="1" si="73"/>
        <v>0</v>
      </c>
      <c r="L434" s="5">
        <f t="shared" ca="1" si="74"/>
        <v>0</v>
      </c>
      <c r="M434" s="64">
        <f t="shared" si="78"/>
        <v>0</v>
      </c>
      <c r="N434" s="61">
        <f t="shared" ca="1" si="79"/>
        <v>0</v>
      </c>
      <c r="O434" s="5">
        <f t="shared" ca="1" si="80"/>
        <v>0</v>
      </c>
      <c r="P434" s="446" t="e">
        <f t="shared" si="75"/>
        <v>#VALUE!</v>
      </c>
      <c r="Q434" s="446" t="e">
        <f>IF(OR($B434="",MIN(Q$38,$D$19)&lt;MAX($P$34*($B434+IF($R$17="Distrato",$I$38-1,0)),IF(AND($L$37=0,$P$34=0),"",$L$37-1),IF($R$17="Distrato",$E434,0))),0,YEARFRAC(MAX($P$34*($B434+IF($R$17="Distrato",$I$38-1,0)),IF(AND($L$37=0,$P$34=0),"",$L$37-1),IF($R$17="Distrato",$E434,0)),MIN(Q$38,$D$19),$P$20))-SUM($P434:P434)</f>
        <v>#VALUE!</v>
      </c>
      <c r="R434" s="446" t="e">
        <f>IF(OR($B434="",MIN(R$38,$D$19)&lt;MAX($P$34*($B434+IF($R$17="Distrato",$I$38-1,0)),IF(AND($L$37=0,$P$34=0),"",$L$37-1),IF($R$17="Distrato",$E434,0))),0,YEARFRAC(MAX($P$34*($B434+IF($R$17="Distrato",$I$38-1,0)),IF(AND($L$37=0,$P$34=0),"",$L$37-1),IF($R$17="Distrato",$E434,0)),MIN(R$38,$D$19),$P$20))-SUM($P434:Q434)</f>
        <v>#VALUE!</v>
      </c>
      <c r="S434" s="446" t="e">
        <f>IF(OR($B434="",MIN(S$38,$D$19)&lt;MAX($P$34*($B434+IF($R$17="Distrato",$I$38-1,0)),IF(AND($L$37=0,$P$34=0),"",$L$37-1),IF($R$17="Distrato",$E434,0))),0,YEARFRAC(MAX($P$34*($B434+IF($R$17="Distrato",$I$38-1,0)),IF(AND($L$37=0,$P$34=0),"",$L$37-1),IF($R$17="Distrato",$E434,0)),MIN(S$38,$D$19),$P$20))-SUM($P434:R434)</f>
        <v>#VALUE!</v>
      </c>
      <c r="T434" s="446" t="e">
        <f>IF(OR($B434="",MIN(T$38,$D$19)&lt;MAX($P$34*($B434+IF($R$17="Distrato",$I$38-1,0)),IF(AND($L$37=0,$P$34=0),"",$L$37-1),IF($R$17="Distrato",$E434,0))),0,YEARFRAC(MAX($P$34*($B434+IF($R$17="Distrato",$I$38-1,0)),IF(AND($L$37=0,$P$34=0),"",$L$37-1),IF($R$17="Distrato",$E434,0)),MIN(T$38,$D$19),$P$20))-SUM($P434:S434)</f>
        <v>#VALUE!</v>
      </c>
      <c r="U434" s="446" t="e">
        <f>IF(OR($B434="",MIN(U$38,$D$19)&lt;MAX($P$34*($B434+IF($R$17="Distrato",$I$38-1,0)),IF(AND($L$37=0,$P$34=0),"",$L$37-1),IF($R$17="Distrato",$E434,0))),0,YEARFRAC(MAX($P$34*($B434+IF($R$17="Distrato",$I$38-1,0)),IF(AND($L$37=0,$P$34=0),"",$L$37-1),IF($R$17="Distrato",$E434,0)),MIN(U$38,$D$19),$P$20))-SUM($P434:T434)</f>
        <v>#VALUE!</v>
      </c>
      <c r="V434" s="446" t="e">
        <f>IF(OR($B434="",MIN(V$38,$D$19)&lt;MAX($P$34*($B434+IF($R$17="Distrato",$I$38-1,0)),IF(AND($L$37=0,$P$34=0),"",$L$37-1),IF($R$17="Distrato",$E434,0))),0,YEARFRAC(MAX($P$34*($B434+IF($R$17="Distrato",$I$38-1,0)),IF(AND($L$37=0,$P$34=0),"",$L$37-1),IF($R$17="Distrato",$E434,0)),MIN(V$38,$D$19),$P$20))-SUM($P434:U434)</f>
        <v>#VALUE!</v>
      </c>
      <c r="W434" s="446" t="e">
        <f>IF(OR($B434="",MIN(W$38,$D$19)&lt;MAX($P$34*($B434+IF($R$17="Distrato",$I$38-1,0)),IF(AND($L$37=0,$P$34=0),"",$L$37-1),IF($R$17="Distrato",$E434,0))),0,YEARFRAC(MAX($P$34*($B434+IF($R$17="Distrato",$I$38-1,0)),IF(AND($L$37=0,$P$34=0),"",$L$37-1),IF($R$17="Distrato",$E434,0)),MIN(W$38,$D$19),$P$20))-SUM($P434:V434)</f>
        <v>#VALUE!</v>
      </c>
      <c r="X434" s="446" t="e">
        <f>IF(OR($B434="",MIN(X$38,$D$19)&lt;MAX($P$34*($B434+IF($R$17="Distrato",$I$38-1,0)),IF(AND($L$37=0,$P$34=0),"",$L$37-1),IF($R$17="Distrato",$E434,0))),0,YEARFRAC(MAX($P$34*($B434+IF($R$17="Distrato",$I$38-1,0)),IF(AND($L$37=0,$P$34=0),"",$L$37-1),IF($R$17="Distrato",$E434,0)),MIN(X$38,$D$19),$P$20))-SUM($P434:W434)</f>
        <v>#VALUE!</v>
      </c>
      <c r="Y434" s="446" t="e">
        <f>IF(OR($B434="",MIN(Y$38,$D$19)&lt;MAX($P$34*($B434+IF($R$17="Distrato",$I$38-1,0)),IF(AND($L$37=0,$P$34=0),"",$L$37-1),IF($R$17="Distrato",$E434,0))),0,YEARFRAC(MAX($P$34*($B434+IF($R$17="Distrato",$I$38-1,0)),IF(AND($L$37=0,$P$34=0),"",$L$37-1),IF($R$17="Distrato",$E434,0)),MIN(Y$38,$D$19),$P$20))-SUM($P434:X434)</f>
        <v>#VALUE!</v>
      </c>
      <c r="Z434" s="446" t="e">
        <f>IF(OR($B434="",MIN(Z$38,$D$19)&lt;MAX($P$34*($B434+IF($R$17="Distrato",$I$38-1,0)),IF(AND($L$37=0,$P$34=0),"",$L$37-1),IF($R$17="Distrato",$E434,0))),0,YEARFRAC(MAX($P$34*($B434+IF($R$17="Distrato",$I$38-1,0)),IF(AND($L$37=0,$P$34=0),"",$L$37-1),IF($R$17="Distrato",$E434,0)),MIN(Z$38,$D$19),$P$20))-SUM($P434:Y434)</f>
        <v>#VALUE!</v>
      </c>
      <c r="AA434" s="446" t="e">
        <f>IF(OR($B434="",MIN(AA$38,$D$19)&lt;MAX($P$34*($B434+IF($R$17="Distrato",$I$38-1,0)),IF(AND($L$37=0,$P$34=0),"",$L$37-1),IF($R$17="Distrato",$E434,0))),0,YEARFRAC(MAX($P$34*($B434+IF($R$17="Distrato",$I$38-1,0)),IF(AND($L$37=0,$P$34=0),"",$L$37-1),IF($R$17="Distrato",$E434,0)),MIN(AA$38,$D$19),$P$20))-SUM($P434:Z434)</f>
        <v>#VALUE!</v>
      </c>
      <c r="AB434" s="446" t="e">
        <f>IF(OR($B434="",MIN(AB$38,$D$19)&lt;MAX($P$34*($B434+IF($R$17="Distrato",$I$38-1,0)),IF(AND($L$37=0,$P$34=0),"",$L$37-1),IF($R$17="Distrato",$E434,0))),0,YEARFRAC(MAX($P$34*($B434+IF($R$17="Distrato",$I$38-1,0)),IF(AND($L$37=0,$P$34=0),"",$L$37-1),IF($R$17="Distrato",$E434,0)),MIN(AB$38,$D$19),$P$20))-SUM($P434:AA434)</f>
        <v>#VALUE!</v>
      </c>
      <c r="AC434" s="446" t="e">
        <f>IF(OR($B434="",MIN(AC$38,$D$19)&lt;MAX($P$34*($B434+IF($R$17="Distrato",$I$38-1,0)),IF(AND($L$37=0,$P$34=0),"",$L$37-1),IF($R$17="Distrato",$E434,0))),0,YEARFRAC(MAX($P$34*($B434+IF($R$17="Distrato",$I$38-1,0)),IF(AND($L$37=0,$P$34=0),"",$L$37-1),IF($R$17="Distrato",$E434,0)),MIN(AC$38,$D$19),$P$20))-SUM($P434:AB434)</f>
        <v>#VALUE!</v>
      </c>
      <c r="AD434" s="446" t="e">
        <f>IF(OR($B434="",MIN(AD$38,$D$19)&lt;MAX($P$34*($B434+IF($R$17="Distrato",$I$38-1,0)),IF(AND($L$37=0,$P$34=0),"",$L$37-1),IF($R$17="Distrato",$E434,0))),0,YEARFRAC(MAX($P$34*($B434+IF($R$17="Distrato",$I$38-1,0)),IF(AND($L$37=0,$P$34=0),"",$L$37-1),IF($R$17="Distrato",$E434,0)),MIN(AD$38,$D$19),$P$20))-SUM($P434:AC434)</f>
        <v>#VALUE!</v>
      </c>
      <c r="AE434" s="446" t="e">
        <f>IF(OR($B434="",MIN(AE$38,$D$19)&lt;MAX($P$34*($B434+IF($R$17="Distrato",$I$38-1,0)),IF(AND($L$37=0,$P$34=0),"",$L$37-1),IF($R$17="Distrato",$E434,0))),0,YEARFRAC(MAX($P$34*($B434+IF($R$17="Distrato",$I$38-1,0)),IF(AND($L$37=0,$P$34=0),"",$L$37-1),IF($R$17="Distrato",$E434,0)),MIN(AE$38,$D$19),$P$20))-SUM($P434:AD434)</f>
        <v>#VALUE!</v>
      </c>
      <c r="AF434" s="446" t="e">
        <f>IF(OR($B434="",MIN(AF$38,$D$19)&lt;MAX($P$34*($B434+IF($R$17="Distrato",$I$38-1,0)),IF(AND($L$37=0,$P$34=0),"",$L$37-1),IF($R$17="Distrato",$E434,0))),0,YEARFRAC(MAX($P$34*($B434+IF($R$17="Distrato",$I$38-1,0)),IF(AND($L$37=0,$P$34=0),"",$L$37-1),IF($R$17="Distrato",$E434,0)),MIN(AF$38,$D$19),$P$20))-SUM($P434:AE434)</f>
        <v>#VALUE!</v>
      </c>
      <c r="AG434" s="446" t="e">
        <f>IF(OR($B434="",MIN(AG$38,$D$19)&lt;MAX($P$34*($B434+IF($R$17="Distrato",$I$38-1,0)),IF(AND($L$37=0,$P$34=0),"",$L$37-1),IF($R$17="Distrato",$E434,0))),0,YEARFRAC(MAX($P$34*($B434+IF($R$17="Distrato",$I$38-1,0)),IF(AND($L$37=0,$P$34=0),"",$L$37-1),IF($R$17="Distrato",$E434,0)),MIN(AG$38,$D$19),$P$20))-SUM($P434:AF434)</f>
        <v>#VALUE!</v>
      </c>
      <c r="AH434" s="446" t="e">
        <f>IF(OR($B434="",MIN(AH$38,$D$19)&lt;MAX($P$34*($B434+IF($R$17="Distrato",$I$38-1,0)),IF(AND($L$37=0,$P$34=0),"",$L$37-1),IF($R$17="Distrato",$E434,0))),0,YEARFRAC(MAX($P$34*($B434+IF($R$17="Distrato",$I$38-1,0)),IF(AND($L$37=0,$P$34=0),"",$L$37-1),IF($R$17="Distrato",$E434,0)),MIN(AH$38,$D$19),$P$20))-SUM($P434:AG434)</f>
        <v>#VALUE!</v>
      </c>
      <c r="AI434" s="446" t="e">
        <f>IF(OR($B434="",MIN(AI$38,$D$19)&lt;MAX($P$34*($B434+IF($R$17="Distrato",$I$38-1,0)),IF(AND($L$37=0,$P$34=0),"",$L$37-1),IF($R$17="Distrato",$E434,0))),0,YEARFRAC(MAX($P$34*($B434+IF($R$17="Distrato",$I$38-1,0)),IF(AND($L$37=0,$P$34=0),"",$L$37-1),IF($R$17="Distrato",$E434,0)),MIN(AI$38,$D$19),$P$20))-SUM($P434:AH434)</f>
        <v>#VALUE!</v>
      </c>
      <c r="AJ434" s="446" t="e">
        <f>IF(OR($B434="",MIN(AJ$38,$D$19)&lt;MAX($P$34*($B434+IF($R$17="Distrato",$I$38-1,0)),IF(AND($L$37=0,$P$34=0),"",$L$37-1),IF($R$17="Distrato",$E434,0))),0,YEARFRAC(MAX($P$34*($B434+IF($R$17="Distrato",$I$38-1,0)),IF(AND($L$37=0,$P$34=0),"",$L$37-1),IF($R$17="Distrato",$E434,0)),MIN(AJ$38,$D$19),$P$20))-SUM($P434:AI434)</f>
        <v>#VALUE!</v>
      </c>
      <c r="AK434" s="446" t="e">
        <f>IF(OR($B434="",MIN(AK$38,$D$19)&lt;MAX($P$34*($B434+IF($R$17="Distrato",$I$38-1,0)),IF(AND($L$37=0,$P$34=0),"",$L$37-1),IF($R$17="Distrato",$E434,0))),0,YEARFRAC(MAX($P$34*($B434+IF($R$17="Distrato",$I$38-1,0)),IF(AND($L$37=0,$P$34=0),"",$L$37-1),IF($R$17="Distrato",$E434,0)),MIN(AK$38,$D$19),$P$20))-SUM($P434:AJ434)</f>
        <v>#VALUE!</v>
      </c>
      <c r="AL434" s="446" t="e">
        <f>IF(OR($B434="",MIN(AL$38,$D$19)&lt;MAX($P$34*($B434+IF($R$17="Distrato",$I$38-1,0)),IF(AND($L$37=0,$P$34=0),"",$L$37-1),IF($R$17="Distrato",$E434,0))),0,YEARFRAC(MAX($P$34*($B434+IF($R$17="Distrato",$I$38-1,0)),IF(AND($L$37=0,$P$34=0),"",$L$37-1),IF($R$17="Distrato",$E434,0)),MIN(AL$38,$D$19),$P$20))-SUM($P434:AK434)</f>
        <v>#VALUE!</v>
      </c>
      <c r="AM434" s="446" t="e">
        <f>IF(OR($B434="",MIN(AM$38,$D$19)&lt;MAX($P$34*($B434+IF($R$17="Distrato",$I$38-1,0)),IF(AND($L$37=0,$P$34=0),"",$L$37-1),IF($R$17="Distrato",$E434,0))),0,YEARFRAC(MAX($P$34*($B434+IF($R$17="Distrato",$I$38-1,0)),IF(AND($L$37=0,$P$34=0),"",$L$37-1),IF($R$17="Distrato",$E434,0)),MIN(AM$38,$D$19),$P$20))-SUM($P434:AL434)</f>
        <v>#VALUE!</v>
      </c>
      <c r="AN434" s="446" t="e">
        <f>IF(OR($B434="",MIN(AN$38,$D$19)&lt;MAX($P$34*($B434+IF($R$17="Distrato",$I$38-1,0)),IF(AND($L$37=0,$P$34=0),"",$L$37-1),IF($R$17="Distrato",$E434,0))),0,YEARFRAC(MAX($P$34*($B434+IF($R$17="Distrato",$I$38-1,0)),IF(AND($L$37=0,$P$34=0),"",$L$37-1),IF($R$17="Distrato",$E434,0)),MIN(AN$38,$D$19),$P$20))-SUM($P434:AM434)</f>
        <v>#VALUE!</v>
      </c>
      <c r="AO434" s="446" t="e">
        <f>IF(OR($B434="",MIN(AO$38,$D$19)&lt;MAX($P$34*($B434+IF($R$17="Distrato",$I$38-1,0)),IF(AND($L$37=0,$P$34=0),"",$L$37-1),IF($R$17="Distrato",$E434,0))),0,YEARFRAC(MAX($P$34*($B434+IF($R$17="Distrato",$I$38-1,0)),IF(AND($L$37=0,$P$34=0),"",$L$37-1),IF($R$17="Distrato",$E434,0)),MIN(AO$38,$D$19),$P$20))-SUM($P434:AN434)</f>
        <v>#VALUE!</v>
      </c>
      <c r="AP434" s="446" t="e">
        <f>IF(OR($B434="",MIN(AP$38,$D$19)&lt;MAX($P$34*($B434+IF($R$17="Distrato",$I$38-1,0)),IF(AND($L$37=0,$P$34=0),"",$L$37-1),IF($R$17="Distrato",$E434,0))),0,YEARFRAC(MAX($P$34*($B434+IF($R$17="Distrato",$I$38-1,0)),IF(AND($L$37=0,$P$34=0),"",$L$37-1),IF($R$17="Distrato",$E434,0)),MIN(AP$38,$D$19),$P$20))-SUM($P434:AO434)</f>
        <v>#VALUE!</v>
      </c>
      <c r="AQ434" s="446" t="e">
        <f>IF(OR($B434="",MIN(AQ$38,$D$19)&lt;MAX($P$34*($B434+IF($R$17="Distrato",$I$38-1,0)),IF(AND($L$37=0,$P$34=0),"",$L$37-1),IF($R$17="Distrato",$E434,0))),0,YEARFRAC(MAX($P$34*($B434+IF($R$17="Distrato",$I$38-1,0)),IF(AND($L$37=0,$P$34=0),"",$L$37-1),IF($R$17="Distrato",$E434,0)),MIN(AQ$38,$D$19),$P$20))-SUM($P434:AP434)</f>
        <v>#VALUE!</v>
      </c>
      <c r="AR434" s="446" t="e">
        <f>IF(OR($B434="",MIN(AR$38,$D$19)&lt;MAX($P$34*($B434+IF($R$17="Distrato",$I$38-1,0)),IF(AND($L$37=0,$P$34=0),"",$L$37-1),IF($R$17="Distrato",$E434,0))),0,YEARFRAC(MAX($P$34*($B434+IF($R$17="Distrato",$I$38-1,0)),IF(AND($L$37=0,$P$34=0),"",$L$37-1),IF($R$17="Distrato",$E434,0)),MIN(AR$38,$D$19),$P$20))-SUM($P434:AQ434)</f>
        <v>#VALUE!</v>
      </c>
      <c r="AS434" s="446" t="e">
        <f>IF(OR($B434="",MIN(AS$38,$D$19)&lt;MAX($P$34*($B434+IF($R$17="Distrato",$I$38-1,0)),IF(AND($L$37=0,$P$34=0),"",$L$37-1),IF($R$17="Distrato",$E434,0))),0,YEARFRAC(MAX($P$34*($B434+IF($R$17="Distrato",$I$38-1,0)),IF(AND($L$37=0,$P$34=0),"",$L$37-1),IF($R$17="Distrato",$E434,0)),MIN(AS$38,$D$19),$P$20))-SUM($P434:AR434)</f>
        <v>#VALUE!</v>
      </c>
      <c r="AT434" s="446" t="e">
        <f>IF(OR($B434="",MIN(AT$38,$D$19)&lt;MAX($P$34*($B434+IF($R$17="Distrato",$I$38-1,0)),IF(AND($L$37=0,$P$34=0),"",$L$37-1),IF($R$17="Distrato",$E434,0))),0,YEARFRAC(MAX($P$34*($B434+IF($R$17="Distrato",$I$38-1,0)),IF(AND($L$37=0,$P$34=0),"",$L$37-1),IF($R$17="Distrato",$E434,0)),MIN(AT$38,$D$19),$P$20))-SUM($P434:AS434)</f>
        <v>#VALUE!</v>
      </c>
      <c r="AU434" s="446" t="e">
        <f>IF(OR($B434="",MIN(AU$38,$D$19)&lt;MAX($P$34*($B434+IF($R$17="Distrato",$I$38-1,0)),IF(AND($L$37=0,$P$34=0),"",$L$37-1),IF($R$17="Distrato",$E434,0))),0,YEARFRAC(MAX($P$34*($B434+IF($R$17="Distrato",$I$38-1,0)),IF(AND($L$37=0,$P$34=0),"",$L$37-1),IF($R$17="Distrato",$E434,0)),MIN(AU$38,$D$19),$P$20))-SUM($P434:AT434)</f>
        <v>#VALUE!</v>
      </c>
      <c r="AV434" s="446" t="e">
        <f>IF(OR($B434="",MIN(AV$38,$D$19)&lt;MAX($P$34*($B434+IF($R$17="Distrato",$I$38-1,0)),IF(AND($L$37=0,$P$34=0),"",$L$37-1),IF($R$17="Distrato",$E434,0))),0,YEARFRAC(MAX($P$34*($B434+IF($R$17="Distrato",$I$38-1,0)),IF(AND($L$37=0,$P$34=0),"",$L$37-1),IF($R$17="Distrato",$E434,0)),MIN(AV$38,$D$19),$P$20))-SUM($P434:AU434)</f>
        <v>#VALUE!</v>
      </c>
      <c r="AW434" s="446" t="e">
        <f>IF(OR($B434="",MIN(AW$38,$D$19)&lt;MAX($P$34*($B434+IF($R$17="Distrato",$I$38-1,0)),IF(AND($L$37=0,$P$34=0),"",$L$37-1),IF($R$17="Distrato",$E434,0))),0,YEARFRAC(MAX($P$34*($B434+IF($R$17="Distrato",$I$38-1,0)),IF(AND($L$37=0,$P$34=0),"",$L$37-1),IF($R$17="Distrato",$E434,0)),MIN(AW$38,$D$19),$P$20))-SUM($P434:AV434)</f>
        <v>#VALUE!</v>
      </c>
      <c r="AX434" s="446" t="e">
        <f>IF(OR($B434="",MIN(AX$38,$D$19)&lt;MAX($P$34*($B434+IF($R$17="Distrato",$I$38-1,0)),IF(AND($L$37=0,$P$34=0),"",$L$37-1),IF($R$17="Distrato",$E434,0))),0,YEARFRAC(MAX($P$34*($B434+IF($R$17="Distrato",$I$38-1,0)),IF(AND($L$37=0,$P$34=0),"",$L$37-1),IF($R$17="Distrato",$E434,0)),MIN(AX$38,$D$19),$P$20))-SUM($P434:AW434)</f>
        <v>#VALUE!</v>
      </c>
      <c r="AY434" s="446" t="e">
        <f>IF(OR($B434="",MIN(AY$38,$D$19)&lt;MAX($P$34*($B434+IF($R$17="Distrato",$I$38-1,0)),IF(AND($L$37=0,$P$34=0),"",$L$37-1),IF($R$17="Distrato",$E434,0))),0,YEARFRAC(MAX($P$34*($B434+IF($R$17="Distrato",$I$38-1,0)),IF(AND($L$37=0,$P$34=0),"",$L$37-1),IF($R$17="Distrato",$E434,0)),MIN(AY$38,$D$19),$P$20))-SUM($P434:AX434)</f>
        <v>#VALUE!</v>
      </c>
      <c r="AZ434" s="446" t="e">
        <f>IF(OR($B434="",MIN(AZ$38,$D$19)&lt;MAX($P$34*($B434+IF($R$17="Distrato",$I$38-1,0)),IF(AND($L$37=0,$P$34=0),"",$L$37-1),IF($R$17="Distrato",$E434,0))),0,YEARFRAC(MAX($P$34*($B434+IF($R$17="Distrato",$I$38-1,0)),IF(AND($L$37=0,$P$34=0),"",$L$37-1),IF($R$17="Distrato",$E434,0)),MIN(AZ$38,$D$19),$P$20))-SUM($P434:AY434)</f>
        <v>#VALUE!</v>
      </c>
      <c r="BA434" s="446" t="e">
        <f>IF(OR($B434="",MIN(BA$38,$D$19)&lt;MAX($P$34*($B434+IF($R$17="Distrato",$I$38-1,0)),IF(AND($L$37=0,$P$34=0),"",$L$37-1),IF($R$17="Distrato",$E434,0))),0,YEARFRAC(MAX($P$34*($B434+IF($R$17="Distrato",$I$38-1,0)),IF(AND($L$37=0,$P$34=0),"",$L$37-1),IF($R$17="Distrato",$E434,0)),MIN(BA$38,$D$19),$P$20))-SUM($P434:AZ434)</f>
        <v>#VALUE!</v>
      </c>
      <c r="BB434" s="447"/>
      <c r="BF434" s="446">
        <f t="shared" si="76"/>
        <v>0</v>
      </c>
      <c r="BG434" s="446">
        <f>IF($E434=0,0,IF(MIN(BG$38,$E434)&lt;MAX($P$34*($B434+$I$38-1),IF(AND($L$37=0,$P$34=0),"",$L$37-1)),0,YEARFRAC(MAX($P$34*($B434+$I$38-1),IF(AND($L$37=0,$P$34=0),"",$L$37-1)),MIN(BG$38,$E434),$P$20))-SUM($BF434:BF434))</f>
        <v>0</v>
      </c>
      <c r="BH434" s="446">
        <f>IF($E434=0,0,IF(MIN(BH$38,$E434)&lt;MAX($P$34*($B434+$I$38-1),IF(AND($L$37=0,$P$34=0),"",$L$37-1)),0,YEARFRAC(MAX($P$34*($B434+$I$38-1),IF(AND($L$37=0,$P$34=0),"",$L$37-1)),MIN(BH$38,$E434),$P$20))-SUM($BF434:BG434))</f>
        <v>0</v>
      </c>
      <c r="BI434" s="446">
        <f>IF($E434=0,0,IF(MIN(BI$38,$E434)&lt;MAX($P$34*($B434+$I$38-1),IF(AND($L$37=0,$P$34=0),"",$L$37-1)),0,YEARFRAC(MAX($P$34*($B434+$I$38-1),IF(AND($L$37=0,$P$34=0),"",$L$37-1)),MIN(BI$38,$E434),$P$20))-SUM($BF434:BH434))</f>
        <v>0</v>
      </c>
      <c r="BJ434" s="446">
        <f>IF($E434=0,0,IF(MIN(BJ$38,$E434)&lt;MAX($P$34*($B434+$I$38-1),IF(AND($L$37=0,$P$34=0),"",$L$37-1)),0,YEARFRAC(MAX($P$34*($B434+$I$38-1),IF(AND($L$37=0,$P$34=0),"",$L$37-1)),MIN(BJ$38,$E434),$P$20))-SUM($BF434:BI434))</f>
        <v>0</v>
      </c>
      <c r="BK434" s="446">
        <f>IF($E434=0,0,IF(MIN(BK$38,$E434)&lt;MAX($P$34*($B434+$I$38-1),IF(AND($L$37=0,$P$34=0),"",$L$37-1)),0,YEARFRAC(MAX($P$34*($B434+$I$38-1),IF(AND($L$37=0,$P$34=0),"",$L$37-1)),MIN(BK$38,$E434),$P$20))-SUM($BF434:BJ434))</f>
        <v>0</v>
      </c>
      <c r="BL434" s="446">
        <f>IF($E434=0,0,IF(MIN(BL$38,$E434)&lt;MAX($P$34*($B434+$I$38-1),IF(AND($L$37=0,$P$34=0),"",$L$37-1)),0,YEARFRAC(MAX($P$34*($B434+$I$38-1),IF(AND($L$37=0,$P$34=0),"",$L$37-1)),MIN(BL$38,$E434),$P$20))-SUM($BF434:BK434))</f>
        <v>0</v>
      </c>
      <c r="BM434" s="446">
        <f>IF($E434=0,0,IF(MIN(BM$38,$E434)&lt;MAX($P$34*($B434+$I$38-1),IF(AND($L$37=0,$P$34=0),"",$L$37-1)),0,YEARFRAC(MAX($P$34*($B434+$I$38-1),IF(AND($L$37=0,$P$34=0),"",$L$37-1)),MIN(BM$38,$E434),$P$20))-SUM($BF434:BL434))</f>
        <v>0</v>
      </c>
      <c r="BN434" s="446">
        <f>IF($E434=0,0,IF(MIN(BN$38,$E434)&lt;MAX($P$34*($B434+$I$38-1),IF(AND($L$37=0,$P$34=0),"",$L$37-1)),0,YEARFRAC(MAX($P$34*($B434+$I$38-1),IF(AND($L$37=0,$P$34=0),"",$L$37-1)),MIN(BN$38,$E434),$P$20))-SUM($BF434:BM434))</f>
        <v>0</v>
      </c>
      <c r="BO434" s="446">
        <f>IF($E434=0,0,IF(MIN(BO$38,$E434)&lt;MAX($P$34*($B434+$I$38-1),IF(AND($L$37=0,$P$34=0),"",$L$37-1)),0,YEARFRAC(MAX($P$34*($B434+$I$38-1),IF(AND($L$37=0,$P$34=0),"",$L$37-1)),MIN(BO$38,$E434),$P$20))-SUM($BF434:BN434))</f>
        <v>0</v>
      </c>
      <c r="BP434" s="446">
        <f>IF($E434=0,0,IF(MIN(BP$38,$E434)&lt;MAX($P$34*($B434+$I$38-1),IF(AND($L$37=0,$P$34=0),"",$L$37-1)),0,YEARFRAC(MAX($P$34*($B434+$I$38-1),IF(AND($L$37=0,$P$34=0),"",$L$37-1)),MIN(BP$38,$E434),$P$20))-SUM($BF434:BO434))</f>
        <v>0</v>
      </c>
      <c r="BQ434" s="446">
        <f>IF($E434=0,0,IF(MIN(BQ$38,$E434)&lt;MAX($P$34*($B434+$I$38-1),IF(AND($L$37=0,$P$34=0),"",$L$37-1)),0,YEARFRAC(MAX($P$34*($B434+$I$38-1),IF(AND($L$37=0,$P$34=0),"",$L$37-1)),MIN(BQ$38,$E434),$P$20))-SUM($BF434:BP434))</f>
        <v>0</v>
      </c>
      <c r="BR434" s="446">
        <f>IF($E434=0,0,IF(MIN(BR$38,$E434)&lt;MAX($P$34*($B434+$I$38-1),IF(AND($L$37=0,$P$34=0),"",$L$37-1)),0,YEARFRAC(MAX($P$34*($B434+$I$38-1),IF(AND($L$37=0,$P$34=0),"",$L$37-1)),MIN(BR$38,$E434),$P$20))-SUM($BF434:BQ434))</f>
        <v>0</v>
      </c>
      <c r="BS434" s="446">
        <f>IF($E434=0,0,IF(MIN(BS$38,$E434)&lt;MAX($P$34*($B434+$I$38-1),IF(AND($L$37=0,$P$34=0),"",$L$37-1)),0,YEARFRAC(MAX($P$34*($B434+$I$38-1),IF(AND($L$37=0,$P$34=0),"",$L$37-1)),MIN(BS$38,$E434),$P$20))-SUM($BF434:BR434))</f>
        <v>0</v>
      </c>
      <c r="BT434" s="446">
        <f>IF($E434=0,0,IF(MIN(BT$38,$E434)&lt;MAX($P$34*($B434+$I$38-1),IF(AND($L$37=0,$P$34=0),"",$L$37-1)),0,YEARFRAC(MAX($P$34*($B434+$I$38-1),IF(AND($L$37=0,$P$34=0),"",$L$37-1)),MIN(BT$38,$E434),$P$20))-SUM($BF434:BS434))</f>
        <v>0</v>
      </c>
      <c r="BU434" s="446">
        <f>IF($E434=0,0,IF(MIN(BU$38,$E434)&lt;MAX($P$34*($B434+$I$38-1),IF(AND($L$37=0,$P$34=0),"",$L$37-1)),0,YEARFRAC(MAX($P$34*($B434+$I$38-1),IF(AND($L$37=0,$P$34=0),"",$L$37-1)),MIN(BU$38,$E434),$P$20))-SUM($BF434:BT434))</f>
        <v>0</v>
      </c>
      <c r="BV434" s="446">
        <f>IF($E434=0,0,IF(MIN(BV$38,$E434)&lt;MAX($P$34*($B434+$I$38-1),IF(AND($L$37=0,$P$34=0),"",$L$37-1)),0,YEARFRAC(MAX($P$34*($B434+$I$38-1),IF(AND($L$37=0,$P$34=0),"",$L$37-1)),MIN(BV$38,$E434),$P$20))-SUM($BF434:BU434))</f>
        <v>0</v>
      </c>
      <c r="BW434" s="446">
        <f>IF($E434=0,0,IF(MIN(BW$38,$E434)&lt;MAX($P$34*($B434+$I$38-1),IF(AND($L$37=0,$P$34=0),"",$L$37-1)),0,YEARFRAC(MAX($P$34*($B434+$I$38-1),IF(AND($L$37=0,$P$34=0),"",$L$37-1)),MIN(BW$38,$E434),$P$20))-SUM($BF434:BV434))</f>
        <v>0</v>
      </c>
      <c r="BX434" s="446">
        <f>IF($E434=0,0,IF(MIN(BX$38,$E434)&lt;MAX($P$34*($B434+$I$38-1),IF(AND($L$37=0,$P$34=0),"",$L$37-1)),0,YEARFRAC(MAX($P$34*($B434+$I$38-1),IF(AND($L$37=0,$P$34=0),"",$L$37-1)),MIN(BX$38,$E434),$P$20))-SUM($BF434:BW434))</f>
        <v>0</v>
      </c>
      <c r="BY434" s="446">
        <f>IF($E434=0,0,IF(MIN(BY$38,$E434)&lt;MAX($P$34*($B434+$I$38-1),IF(AND($L$37=0,$P$34=0),"",$L$37-1)),0,YEARFRAC(MAX($P$34*($B434+$I$38-1),IF(AND($L$37=0,$P$34=0),"",$L$37-1)),MIN(BY$38,$E434),$P$20))-SUM($BF434:BX434))</f>
        <v>0</v>
      </c>
      <c r="BZ434" s="446">
        <f>IF($E434=0,0,IF(MIN(BZ$38,$E434)&lt;MAX($P$34*($B434+$I$38-1),IF(AND($L$37=0,$P$34=0),"",$L$37-1)),0,YEARFRAC(MAX($P$34*($B434+$I$38-1),IF(AND($L$37=0,$P$34=0),"",$L$37-1)),MIN(BZ$38,$E434),$P$20))-SUM($BF434:BY434))</f>
        <v>0</v>
      </c>
      <c r="CA434" s="446">
        <f>IF($E434=0,0,IF(MIN(CA$38,$E434)&lt;MAX($P$34*($B434+$I$38-1),IF(AND($L$37=0,$P$34=0),"",$L$37-1)),0,YEARFRAC(MAX($P$34*($B434+$I$38-1),IF(AND($L$37=0,$P$34=0),"",$L$37-1)),MIN(CA$38,$E434),$P$20))-SUM($BF434:BZ434))</f>
        <v>0</v>
      </c>
      <c r="CB434" s="446">
        <f>IF($E434=0,0,IF(MIN(CB$38,$E434)&lt;MAX($P$34*($B434+$I$38-1),IF(AND($L$37=0,$P$34=0),"",$L$37-1)),0,YEARFRAC(MAX($P$34*($B434+$I$38-1),IF(AND($L$37=0,$P$34=0),"",$L$37-1)),MIN(CB$38,$E434),$P$20))-SUM($BF434:CA434))</f>
        <v>0</v>
      </c>
      <c r="CC434" s="446">
        <f>IF($E434=0,0,IF(MIN(CC$38,$E434)&lt;MAX($P$34*($B434+$I$38-1),IF(AND($L$37=0,$P$34=0),"",$L$37-1)),0,YEARFRAC(MAX($P$34*($B434+$I$38-1),IF(AND($L$37=0,$P$34=0),"",$L$37-1)),MIN(CC$38,$E434),$P$20))-SUM($BF434:CB434))</f>
        <v>0</v>
      </c>
      <c r="CD434" s="446">
        <f>IF($E434=0,0,IF(MIN(CD$38,$E434)&lt;MAX($P$34*($B434+$I$38-1),IF(AND($L$37=0,$P$34=0),"",$L$37-1)),0,YEARFRAC(MAX($P$34*($B434+$I$38-1),IF(AND($L$37=0,$P$34=0),"",$L$37-1)),MIN(CD$38,$E434),$P$20))-SUM($BF434:CC434))</f>
        <v>0</v>
      </c>
      <c r="CE434" s="446">
        <f>IF($E434=0,0,IF(MIN(CE$38,$E434)&lt;MAX($P$34*($B434+$I$38-1),IF(AND($L$37=0,$P$34=0),"",$L$37-1)),0,YEARFRAC(MAX($P$34*($B434+$I$38-1),IF(AND($L$37=0,$P$34=0),"",$L$37-1)),MIN(CE$38,$E434),$P$20))-SUM($BF434:CD434))</f>
        <v>0</v>
      </c>
      <c r="CF434" s="446">
        <f>IF($E434=0,0,IF(MIN(CF$38,$E434)&lt;MAX($P$34*($B434+$I$38-1),IF(AND($L$37=0,$P$34=0),"",$L$37-1)),0,YEARFRAC(MAX($P$34*($B434+$I$38-1),IF(AND($L$37=0,$P$34=0),"",$L$37-1)),MIN(CF$38,$E434),$P$20))-SUM($BF434:CE434))</f>
        <v>0</v>
      </c>
      <c r="CG434" s="446">
        <f>IF($E434=0,0,IF(MIN(CG$38,$E434)&lt;MAX($P$34*($B434+$I$38-1),IF(AND($L$37=0,$P$34=0),"",$L$37-1)),0,YEARFRAC(MAX($P$34*($B434+$I$38-1),IF(AND($L$37=0,$P$34=0),"",$L$37-1)),MIN(CG$38,$E434),$P$20))-SUM($BF434:CF434))</f>
        <v>0</v>
      </c>
      <c r="CH434" s="446">
        <f>IF($E434=0,0,IF(MIN(CH$38,$E434)&lt;MAX($P$34*($B434+$I$38-1),IF(AND($L$37=0,$P$34=0),"",$L$37-1)),0,YEARFRAC(MAX($P$34*($B434+$I$38-1),IF(AND($L$37=0,$P$34=0),"",$L$37-1)),MIN(CH$38,$E434),$P$20))-SUM($BF434:CG434))</f>
        <v>0</v>
      </c>
      <c r="CI434" s="446">
        <f>IF($E434=0,0,IF(MIN(CI$38,$E434)&lt;MAX($P$34*($B434+$I$38-1),IF(AND($L$37=0,$P$34=0),"",$L$37-1)),0,YEARFRAC(MAX($P$34*($B434+$I$38-1),IF(AND($L$37=0,$P$34=0),"",$L$37-1)),MIN(CI$38,$E434),$P$20))-SUM($BF434:CH434))</f>
        <v>0</v>
      </c>
      <c r="CJ434" s="446">
        <f>IF($E434=0,0,IF(MIN(CJ$38,$E434)&lt;MAX($P$34*($B434+$I$38-1),IF(AND($L$37=0,$P$34=0),"",$L$37-1)),0,YEARFRAC(MAX($P$34*($B434+$I$38-1),IF(AND($L$37=0,$P$34=0),"",$L$37-1)),MIN(CJ$38,$E434),$P$20))-SUM($BF434:CI434))</f>
        <v>0</v>
      </c>
      <c r="CK434" s="446">
        <f>IF($E434=0,0,IF(MIN(CK$38,$E434)&lt;MAX($P$34*($B434+$I$38-1),IF(AND($L$37=0,$P$34=0),"",$L$37-1)),0,YEARFRAC(MAX($P$34*($B434+$I$38-1),IF(AND($L$37=0,$P$34=0),"",$L$37-1)),MIN(CK$38,$E434),$P$20))-SUM($BF434:CJ434))</f>
        <v>0</v>
      </c>
      <c r="CL434" s="446">
        <f>IF($E434=0,0,IF(MIN(CL$38,$E434)&lt;MAX($P$34*($B434+$I$38-1),IF(AND($L$37=0,$P$34=0),"",$L$37-1)),0,YEARFRAC(MAX($P$34*($B434+$I$38-1),IF(AND($L$37=0,$P$34=0),"",$L$37-1)),MIN(CL$38,$E434),$P$20))-SUM($BF434:CK434))</f>
        <v>0</v>
      </c>
      <c r="CM434" s="446">
        <f>IF($E434=0,0,IF(MIN(CM$38,$E434)&lt;MAX($P$34*($B434+$I$38-1),IF(AND($L$37=0,$P$34=0),"",$L$37-1)),0,YEARFRAC(MAX($P$34*($B434+$I$38-1),IF(AND($L$37=0,$P$34=0),"",$L$37-1)),MIN(CM$38,$E434),$P$20))-SUM($BF434:CL434))</f>
        <v>0</v>
      </c>
      <c r="CN434" s="446">
        <f>IF($E434=0,0,IF(MIN(CN$38,$E434)&lt;MAX($P$34*($B434+$I$38-1),IF(AND($L$37=0,$P$34=0),"",$L$37-1)),0,YEARFRAC(MAX($P$34*($B434+$I$38-1),IF(AND($L$37=0,$P$34=0),"",$L$37-1)),MIN(CN$38,$E434),$P$20))-SUM($BF434:CM434))</f>
        <v>0</v>
      </c>
      <c r="CO434" s="446">
        <f>IF($E434=0,0,IF(MIN(CO$38,$E434)&lt;MAX($P$34*($B434+$I$38-1),IF(AND($L$37=0,$P$34=0),"",$L$37-1)),0,YEARFRAC(MAX($P$34*($B434+$I$38-1),IF(AND($L$37=0,$P$34=0),"",$L$37-1)),MIN(CO$38,$E434),$P$20))-SUM($BF434:CN434))</f>
        <v>0</v>
      </c>
      <c r="CP434" s="446">
        <f>IF($E434=0,0,IF(MIN(CP$38,$E434)&lt;MAX($P$34*($B434+$I$38-1),IF(AND($L$37=0,$P$34=0),"",$L$37-1)),0,YEARFRAC(MAX($P$34*($B434+$I$38-1),IF(AND($L$37=0,$P$34=0),"",$L$37-1)),MIN(CP$38,$E434),$P$20))-SUM($BF434:CO434))</f>
        <v>0</v>
      </c>
      <c r="CQ434" s="446">
        <f>IF($E434=0,0,IF(MIN(CQ$38,$E434)&lt;MAX($P$34*($B434+$I$38-1),IF(AND($L$37=0,$P$34=0),"",$L$37-1)),0,YEARFRAC(MAX($P$34*($B434+$I$38-1),IF(AND($L$37=0,$P$34=0),"",$L$37-1)),MIN(CQ$38,$E434),$P$20))-SUM($BF434:CP434))</f>
        <v>0</v>
      </c>
    </row>
    <row r="435" spans="1:95" s="446" customFormat="1" ht="11.25" hidden="1" customHeight="1" x14ac:dyDescent="0.2">
      <c r="A435" s="152"/>
      <c r="B435" s="153" t="str">
        <f t="shared" si="81"/>
        <v/>
      </c>
      <c r="C435" s="29" t="str">
        <f>IF(B435="","",IF($L$35="SELIC - TRIBUTOS",VLOOKUP(DATE(YEAR($D$19),MONTH($D$19)-1,1),ÍNDICES!$A:$DE,HLOOKUP($BL$25,ÍNDICES!$B$3:$T$4,2)+11)-VLOOKUP(B435,ÍNDICES!$A:$DE,HLOOKUP($BL$25,ÍNDICES!$B$3:$T$4,2)+11)+1%,IF(C$38=$W$26,$J$35,IF(ISERROR(IF(B435&gt;$D$19,1,VLOOKUP(DATE(YEAR(B435),MONTH(B435)+IF($C$35=$S$23,1,0),1),ÍNDICES!$A:$DE,$Z$35+1))),"",IF(B435&gt;$D$19,1,VLOOKUP(DATE(YEAR(B435),MONTH(B435)+IF($C$35=$S$23,1,0),1),ÍNDICES!$A:$DE,$Z$35+1))))))</f>
        <v/>
      </c>
      <c r="D435" s="154" t="str">
        <f>IF(ISERROR(IF(OR($D$38=$Y$27,$B435=""),"",VLOOKUP(B435,ÍNDICES!A:DE,AF$35+1))),"",IF(OR($D$38=$Y$27,$B435=""),"",VLOOKUP(B435,ÍNDICES!A:DE,AF$35+1)))</f>
        <v/>
      </c>
      <c r="E435" s="153"/>
      <c r="F435" s="29" t="str">
        <f>IF(E435="","",IF($L$35="SELIC - TRIBUTOS",VLOOKUP(DATE(YEAR($D$19),MONTH($D$19)-1,1),ÍNDICES!$A:$DE,HLOOKUP($BL$25,ÍNDICES!$B$3:$T$4,2)+11)-VLOOKUP(E435,ÍNDICES!$A:$DE,HLOOKUP($BL$25,ÍNDICES!$B$3:$T$4,2)+11)+1%,IF(F$38=$W$26,$J$35,IF(ISERROR(IF(E435&gt;$D$19,1,VLOOKUP(DATE(YEAR(E435),MONTH(E435)+IF($C$35=$S$23,1,0),1),ÍNDICES!$A:$DE,$Z$35+1))),"",IF(E435&gt;$D$19,1,VLOOKUP(DATE(YEAR(E435),MONTH(E435)+IF($C$35=$S$23,1,0),1),ÍNDICES!$A:$DE,$Z$35+1))))))</f>
        <v/>
      </c>
      <c r="G435" s="155"/>
      <c r="H435" s="156" t="str">
        <f t="shared" si="77"/>
        <v/>
      </c>
      <c r="I435" s="29" t="str">
        <f t="shared" si="71"/>
        <v/>
      </c>
      <c r="J435" s="5">
        <f t="shared" si="72"/>
        <v>0</v>
      </c>
      <c r="K435" s="20">
        <f t="shared" ca="1" si="73"/>
        <v>0</v>
      </c>
      <c r="L435" s="5">
        <f t="shared" ca="1" si="74"/>
        <v>0</v>
      </c>
      <c r="M435" s="64">
        <f t="shared" si="78"/>
        <v>0</v>
      </c>
      <c r="N435" s="61">
        <f t="shared" ca="1" si="79"/>
        <v>0</v>
      </c>
      <c r="O435" s="5">
        <f t="shared" ca="1" si="80"/>
        <v>0</v>
      </c>
      <c r="P435" s="446" t="e">
        <f t="shared" si="75"/>
        <v>#VALUE!</v>
      </c>
      <c r="Q435" s="446" t="e">
        <f>IF(OR($B435="",MIN(Q$38,$D$19)&lt;MAX($P$34*($B435+IF($R$17="Distrato",$I$38-1,0)),IF(AND($L$37=0,$P$34=0),"",$L$37-1),IF($R$17="Distrato",$E435,0))),0,YEARFRAC(MAX($P$34*($B435+IF($R$17="Distrato",$I$38-1,0)),IF(AND($L$37=0,$P$34=0),"",$L$37-1),IF($R$17="Distrato",$E435,0)),MIN(Q$38,$D$19),$P$20))-SUM($P435:P435)</f>
        <v>#VALUE!</v>
      </c>
      <c r="R435" s="446" t="e">
        <f>IF(OR($B435="",MIN(R$38,$D$19)&lt;MAX($P$34*($B435+IF($R$17="Distrato",$I$38-1,0)),IF(AND($L$37=0,$P$34=0),"",$L$37-1),IF($R$17="Distrato",$E435,0))),0,YEARFRAC(MAX($P$34*($B435+IF($R$17="Distrato",$I$38-1,0)),IF(AND($L$37=0,$P$34=0),"",$L$37-1),IF($R$17="Distrato",$E435,0)),MIN(R$38,$D$19),$P$20))-SUM($P435:Q435)</f>
        <v>#VALUE!</v>
      </c>
      <c r="S435" s="446" t="e">
        <f>IF(OR($B435="",MIN(S$38,$D$19)&lt;MAX($P$34*($B435+IF($R$17="Distrato",$I$38-1,0)),IF(AND($L$37=0,$P$34=0),"",$L$37-1),IF($R$17="Distrato",$E435,0))),0,YEARFRAC(MAX($P$34*($B435+IF($R$17="Distrato",$I$38-1,0)),IF(AND($L$37=0,$P$34=0),"",$L$37-1),IF($R$17="Distrato",$E435,0)),MIN(S$38,$D$19),$P$20))-SUM($P435:R435)</f>
        <v>#VALUE!</v>
      </c>
      <c r="T435" s="446" t="e">
        <f>IF(OR($B435="",MIN(T$38,$D$19)&lt;MAX($P$34*($B435+IF($R$17="Distrato",$I$38-1,0)),IF(AND($L$37=0,$P$34=0),"",$L$37-1),IF($R$17="Distrato",$E435,0))),0,YEARFRAC(MAX($P$34*($B435+IF($R$17="Distrato",$I$38-1,0)),IF(AND($L$37=0,$P$34=0),"",$L$37-1),IF($R$17="Distrato",$E435,0)),MIN(T$38,$D$19),$P$20))-SUM($P435:S435)</f>
        <v>#VALUE!</v>
      </c>
      <c r="U435" s="446" t="e">
        <f>IF(OR($B435="",MIN(U$38,$D$19)&lt;MAX($P$34*($B435+IF($R$17="Distrato",$I$38-1,0)),IF(AND($L$37=0,$P$34=0),"",$L$37-1),IF($R$17="Distrato",$E435,0))),0,YEARFRAC(MAX($P$34*($B435+IF($R$17="Distrato",$I$38-1,0)),IF(AND($L$37=0,$P$34=0),"",$L$37-1),IF($R$17="Distrato",$E435,0)),MIN(U$38,$D$19),$P$20))-SUM($P435:T435)</f>
        <v>#VALUE!</v>
      </c>
      <c r="V435" s="446" t="e">
        <f>IF(OR($B435="",MIN(V$38,$D$19)&lt;MAX($P$34*($B435+IF($R$17="Distrato",$I$38-1,0)),IF(AND($L$37=0,$P$34=0),"",$L$37-1),IF($R$17="Distrato",$E435,0))),0,YEARFRAC(MAX($P$34*($B435+IF($R$17="Distrato",$I$38-1,0)),IF(AND($L$37=0,$P$34=0),"",$L$37-1),IF($R$17="Distrato",$E435,0)),MIN(V$38,$D$19),$P$20))-SUM($P435:U435)</f>
        <v>#VALUE!</v>
      </c>
      <c r="W435" s="446" t="e">
        <f>IF(OR($B435="",MIN(W$38,$D$19)&lt;MAX($P$34*($B435+IF($R$17="Distrato",$I$38-1,0)),IF(AND($L$37=0,$P$34=0),"",$L$37-1),IF($R$17="Distrato",$E435,0))),0,YEARFRAC(MAX($P$34*($B435+IF($R$17="Distrato",$I$38-1,0)),IF(AND($L$37=0,$P$34=0),"",$L$37-1),IF($R$17="Distrato",$E435,0)),MIN(W$38,$D$19),$P$20))-SUM($P435:V435)</f>
        <v>#VALUE!</v>
      </c>
      <c r="X435" s="446" t="e">
        <f>IF(OR($B435="",MIN(X$38,$D$19)&lt;MAX($P$34*($B435+IF($R$17="Distrato",$I$38-1,0)),IF(AND($L$37=0,$P$34=0),"",$L$37-1),IF($R$17="Distrato",$E435,0))),0,YEARFRAC(MAX($P$34*($B435+IF($R$17="Distrato",$I$38-1,0)),IF(AND($L$37=0,$P$34=0),"",$L$37-1),IF($R$17="Distrato",$E435,0)),MIN(X$38,$D$19),$P$20))-SUM($P435:W435)</f>
        <v>#VALUE!</v>
      </c>
      <c r="Y435" s="446" t="e">
        <f>IF(OR($B435="",MIN(Y$38,$D$19)&lt;MAX($P$34*($B435+IF($R$17="Distrato",$I$38-1,0)),IF(AND($L$37=0,$P$34=0),"",$L$37-1),IF($R$17="Distrato",$E435,0))),0,YEARFRAC(MAX($P$34*($B435+IF($R$17="Distrato",$I$38-1,0)),IF(AND($L$37=0,$P$34=0),"",$L$37-1),IF($R$17="Distrato",$E435,0)),MIN(Y$38,$D$19),$P$20))-SUM($P435:X435)</f>
        <v>#VALUE!</v>
      </c>
      <c r="Z435" s="446" t="e">
        <f>IF(OR($B435="",MIN(Z$38,$D$19)&lt;MAX($P$34*($B435+IF($R$17="Distrato",$I$38-1,0)),IF(AND($L$37=0,$P$34=0),"",$L$37-1),IF($R$17="Distrato",$E435,0))),0,YEARFRAC(MAX($P$34*($B435+IF($R$17="Distrato",$I$38-1,0)),IF(AND($L$37=0,$P$34=0),"",$L$37-1),IF($R$17="Distrato",$E435,0)),MIN(Z$38,$D$19),$P$20))-SUM($P435:Y435)</f>
        <v>#VALUE!</v>
      </c>
      <c r="AA435" s="446" t="e">
        <f>IF(OR($B435="",MIN(AA$38,$D$19)&lt;MAX($P$34*($B435+IF($R$17="Distrato",$I$38-1,0)),IF(AND($L$37=0,$P$34=0),"",$L$37-1),IF($R$17="Distrato",$E435,0))),0,YEARFRAC(MAX($P$34*($B435+IF($R$17="Distrato",$I$38-1,0)),IF(AND($L$37=0,$P$34=0),"",$L$37-1),IF($R$17="Distrato",$E435,0)),MIN(AA$38,$D$19),$P$20))-SUM($P435:Z435)</f>
        <v>#VALUE!</v>
      </c>
      <c r="AB435" s="446" t="e">
        <f>IF(OR($B435="",MIN(AB$38,$D$19)&lt;MAX($P$34*($B435+IF($R$17="Distrato",$I$38-1,0)),IF(AND($L$37=0,$P$34=0),"",$L$37-1),IF($R$17="Distrato",$E435,0))),0,YEARFRAC(MAX($P$34*($B435+IF($R$17="Distrato",$I$38-1,0)),IF(AND($L$37=0,$P$34=0),"",$L$37-1),IF($R$17="Distrato",$E435,0)),MIN(AB$38,$D$19),$P$20))-SUM($P435:AA435)</f>
        <v>#VALUE!</v>
      </c>
      <c r="AC435" s="446" t="e">
        <f>IF(OR($B435="",MIN(AC$38,$D$19)&lt;MAX($P$34*($B435+IF($R$17="Distrato",$I$38-1,0)),IF(AND($L$37=0,$P$34=0),"",$L$37-1),IF($R$17="Distrato",$E435,0))),0,YEARFRAC(MAX($P$34*($B435+IF($R$17="Distrato",$I$38-1,0)),IF(AND($L$37=0,$P$34=0),"",$L$37-1),IF($R$17="Distrato",$E435,0)),MIN(AC$38,$D$19),$P$20))-SUM($P435:AB435)</f>
        <v>#VALUE!</v>
      </c>
      <c r="AD435" s="446" t="e">
        <f>IF(OR($B435="",MIN(AD$38,$D$19)&lt;MAX($P$34*($B435+IF($R$17="Distrato",$I$38-1,0)),IF(AND($L$37=0,$P$34=0),"",$L$37-1),IF($R$17="Distrato",$E435,0))),0,YEARFRAC(MAX($P$34*($B435+IF($R$17="Distrato",$I$38-1,0)),IF(AND($L$37=0,$P$34=0),"",$L$37-1),IF($R$17="Distrato",$E435,0)),MIN(AD$38,$D$19),$P$20))-SUM($P435:AC435)</f>
        <v>#VALUE!</v>
      </c>
      <c r="AE435" s="446" t="e">
        <f>IF(OR($B435="",MIN(AE$38,$D$19)&lt;MAX($P$34*($B435+IF($R$17="Distrato",$I$38-1,0)),IF(AND($L$37=0,$P$34=0),"",$L$37-1),IF($R$17="Distrato",$E435,0))),0,YEARFRAC(MAX($P$34*($B435+IF($R$17="Distrato",$I$38-1,0)),IF(AND($L$37=0,$P$34=0),"",$L$37-1),IF($R$17="Distrato",$E435,0)),MIN(AE$38,$D$19),$P$20))-SUM($P435:AD435)</f>
        <v>#VALUE!</v>
      </c>
      <c r="AF435" s="446" t="e">
        <f>IF(OR($B435="",MIN(AF$38,$D$19)&lt;MAX($P$34*($B435+IF($R$17="Distrato",$I$38-1,0)),IF(AND($L$37=0,$P$34=0),"",$L$37-1),IF($R$17="Distrato",$E435,0))),0,YEARFRAC(MAX($P$34*($B435+IF($R$17="Distrato",$I$38-1,0)),IF(AND($L$37=0,$P$34=0),"",$L$37-1),IF($R$17="Distrato",$E435,0)),MIN(AF$38,$D$19),$P$20))-SUM($P435:AE435)</f>
        <v>#VALUE!</v>
      </c>
      <c r="AG435" s="446" t="e">
        <f>IF(OR($B435="",MIN(AG$38,$D$19)&lt;MAX($P$34*($B435+IF($R$17="Distrato",$I$38-1,0)),IF(AND($L$37=0,$P$34=0),"",$L$37-1),IF($R$17="Distrato",$E435,0))),0,YEARFRAC(MAX($P$34*($B435+IF($R$17="Distrato",$I$38-1,0)),IF(AND($L$37=0,$P$34=0),"",$L$37-1),IF($R$17="Distrato",$E435,0)),MIN(AG$38,$D$19),$P$20))-SUM($P435:AF435)</f>
        <v>#VALUE!</v>
      </c>
      <c r="AH435" s="446" t="e">
        <f>IF(OR($B435="",MIN(AH$38,$D$19)&lt;MAX($P$34*($B435+IF($R$17="Distrato",$I$38-1,0)),IF(AND($L$37=0,$P$34=0),"",$L$37-1),IF($R$17="Distrato",$E435,0))),0,YEARFRAC(MAX($P$34*($B435+IF($R$17="Distrato",$I$38-1,0)),IF(AND($L$37=0,$P$34=0),"",$L$37-1),IF($R$17="Distrato",$E435,0)),MIN(AH$38,$D$19),$P$20))-SUM($P435:AG435)</f>
        <v>#VALUE!</v>
      </c>
      <c r="AI435" s="446" t="e">
        <f>IF(OR($B435="",MIN(AI$38,$D$19)&lt;MAX($P$34*($B435+IF($R$17="Distrato",$I$38-1,0)),IF(AND($L$37=0,$P$34=0),"",$L$37-1),IF($R$17="Distrato",$E435,0))),0,YEARFRAC(MAX($P$34*($B435+IF($R$17="Distrato",$I$38-1,0)),IF(AND($L$37=0,$P$34=0),"",$L$37-1),IF($R$17="Distrato",$E435,0)),MIN(AI$38,$D$19),$P$20))-SUM($P435:AH435)</f>
        <v>#VALUE!</v>
      </c>
      <c r="AJ435" s="446" t="e">
        <f>IF(OR($B435="",MIN(AJ$38,$D$19)&lt;MAX($P$34*($B435+IF($R$17="Distrato",$I$38-1,0)),IF(AND($L$37=0,$P$34=0),"",$L$37-1),IF($R$17="Distrato",$E435,0))),0,YEARFRAC(MAX($P$34*($B435+IF($R$17="Distrato",$I$38-1,0)),IF(AND($L$37=0,$P$34=0),"",$L$37-1),IF($R$17="Distrato",$E435,0)),MIN(AJ$38,$D$19),$P$20))-SUM($P435:AI435)</f>
        <v>#VALUE!</v>
      </c>
      <c r="AK435" s="446" t="e">
        <f>IF(OR($B435="",MIN(AK$38,$D$19)&lt;MAX($P$34*($B435+IF($R$17="Distrato",$I$38-1,0)),IF(AND($L$37=0,$P$34=0),"",$L$37-1),IF($R$17="Distrato",$E435,0))),0,YEARFRAC(MAX($P$34*($B435+IF($R$17="Distrato",$I$38-1,0)),IF(AND($L$37=0,$P$34=0),"",$L$37-1),IF($R$17="Distrato",$E435,0)),MIN(AK$38,$D$19),$P$20))-SUM($P435:AJ435)</f>
        <v>#VALUE!</v>
      </c>
      <c r="AL435" s="446" t="e">
        <f>IF(OR($B435="",MIN(AL$38,$D$19)&lt;MAX($P$34*($B435+IF($R$17="Distrato",$I$38-1,0)),IF(AND($L$37=0,$P$34=0),"",$L$37-1),IF($R$17="Distrato",$E435,0))),0,YEARFRAC(MAX($P$34*($B435+IF($R$17="Distrato",$I$38-1,0)),IF(AND($L$37=0,$P$34=0),"",$L$37-1),IF($R$17="Distrato",$E435,0)),MIN(AL$38,$D$19),$P$20))-SUM($P435:AK435)</f>
        <v>#VALUE!</v>
      </c>
      <c r="AM435" s="446" t="e">
        <f>IF(OR($B435="",MIN(AM$38,$D$19)&lt;MAX($P$34*($B435+IF($R$17="Distrato",$I$38-1,0)),IF(AND($L$37=0,$P$34=0),"",$L$37-1),IF($R$17="Distrato",$E435,0))),0,YEARFRAC(MAX($P$34*($B435+IF($R$17="Distrato",$I$38-1,0)),IF(AND($L$37=0,$P$34=0),"",$L$37-1),IF($R$17="Distrato",$E435,0)),MIN(AM$38,$D$19),$P$20))-SUM($P435:AL435)</f>
        <v>#VALUE!</v>
      </c>
      <c r="AN435" s="446" t="e">
        <f>IF(OR($B435="",MIN(AN$38,$D$19)&lt;MAX($P$34*($B435+IF($R$17="Distrato",$I$38-1,0)),IF(AND($L$37=0,$P$34=0),"",$L$37-1),IF($R$17="Distrato",$E435,0))),0,YEARFRAC(MAX($P$34*($B435+IF($R$17="Distrato",$I$38-1,0)),IF(AND($L$37=0,$P$34=0),"",$L$37-1),IF($R$17="Distrato",$E435,0)),MIN(AN$38,$D$19),$P$20))-SUM($P435:AM435)</f>
        <v>#VALUE!</v>
      </c>
      <c r="AO435" s="446" t="e">
        <f>IF(OR($B435="",MIN(AO$38,$D$19)&lt;MAX($P$34*($B435+IF($R$17="Distrato",$I$38-1,0)),IF(AND($L$37=0,$P$34=0),"",$L$37-1),IF($R$17="Distrato",$E435,0))),0,YEARFRAC(MAX($P$34*($B435+IF($R$17="Distrato",$I$38-1,0)),IF(AND($L$37=0,$P$34=0),"",$L$37-1),IF($R$17="Distrato",$E435,0)),MIN(AO$38,$D$19),$P$20))-SUM($P435:AN435)</f>
        <v>#VALUE!</v>
      </c>
      <c r="AP435" s="446" t="e">
        <f>IF(OR($B435="",MIN(AP$38,$D$19)&lt;MAX($P$34*($B435+IF($R$17="Distrato",$I$38-1,0)),IF(AND($L$37=0,$P$34=0),"",$L$37-1),IF($R$17="Distrato",$E435,0))),0,YEARFRAC(MAX($P$34*($B435+IF($R$17="Distrato",$I$38-1,0)),IF(AND($L$37=0,$P$34=0),"",$L$37-1),IF($R$17="Distrato",$E435,0)),MIN(AP$38,$D$19),$P$20))-SUM($P435:AO435)</f>
        <v>#VALUE!</v>
      </c>
      <c r="AQ435" s="446" t="e">
        <f>IF(OR($B435="",MIN(AQ$38,$D$19)&lt;MAX($P$34*($B435+IF($R$17="Distrato",$I$38-1,0)),IF(AND($L$37=0,$P$34=0),"",$L$37-1),IF($R$17="Distrato",$E435,0))),0,YEARFRAC(MAX($P$34*($B435+IF($R$17="Distrato",$I$38-1,0)),IF(AND($L$37=0,$P$34=0),"",$L$37-1),IF($R$17="Distrato",$E435,0)),MIN(AQ$38,$D$19),$P$20))-SUM($P435:AP435)</f>
        <v>#VALUE!</v>
      </c>
      <c r="AR435" s="446" t="e">
        <f>IF(OR($B435="",MIN(AR$38,$D$19)&lt;MAX($P$34*($B435+IF($R$17="Distrato",$I$38-1,0)),IF(AND($L$37=0,$P$34=0),"",$L$37-1),IF($R$17="Distrato",$E435,0))),0,YEARFRAC(MAX($P$34*($B435+IF($R$17="Distrato",$I$38-1,0)),IF(AND($L$37=0,$P$34=0),"",$L$37-1),IF($R$17="Distrato",$E435,0)),MIN(AR$38,$D$19),$P$20))-SUM($P435:AQ435)</f>
        <v>#VALUE!</v>
      </c>
      <c r="AS435" s="446" t="e">
        <f>IF(OR($B435="",MIN(AS$38,$D$19)&lt;MAX($P$34*($B435+IF($R$17="Distrato",$I$38-1,0)),IF(AND($L$37=0,$P$34=0),"",$L$37-1),IF($R$17="Distrato",$E435,0))),0,YEARFRAC(MAX($P$34*($B435+IF($R$17="Distrato",$I$38-1,0)),IF(AND($L$37=0,$P$34=0),"",$L$37-1),IF($R$17="Distrato",$E435,0)),MIN(AS$38,$D$19),$P$20))-SUM($P435:AR435)</f>
        <v>#VALUE!</v>
      </c>
      <c r="AT435" s="446" t="e">
        <f>IF(OR($B435="",MIN(AT$38,$D$19)&lt;MAX($P$34*($B435+IF($R$17="Distrato",$I$38-1,0)),IF(AND($L$37=0,$P$34=0),"",$L$37-1),IF($R$17="Distrato",$E435,0))),0,YEARFRAC(MAX($P$34*($B435+IF($R$17="Distrato",$I$38-1,0)),IF(AND($L$37=0,$P$34=0),"",$L$37-1),IF($R$17="Distrato",$E435,0)),MIN(AT$38,$D$19),$P$20))-SUM($P435:AS435)</f>
        <v>#VALUE!</v>
      </c>
      <c r="AU435" s="446" t="e">
        <f>IF(OR($B435="",MIN(AU$38,$D$19)&lt;MAX($P$34*($B435+IF($R$17="Distrato",$I$38-1,0)),IF(AND($L$37=0,$P$34=0),"",$L$37-1),IF($R$17="Distrato",$E435,0))),0,YEARFRAC(MAX($P$34*($B435+IF($R$17="Distrato",$I$38-1,0)),IF(AND($L$37=0,$P$34=0),"",$L$37-1),IF($R$17="Distrato",$E435,0)),MIN(AU$38,$D$19),$P$20))-SUM($P435:AT435)</f>
        <v>#VALUE!</v>
      </c>
      <c r="AV435" s="446" t="e">
        <f>IF(OR($B435="",MIN(AV$38,$D$19)&lt;MAX($P$34*($B435+IF($R$17="Distrato",$I$38-1,0)),IF(AND($L$37=0,$P$34=0),"",$L$37-1),IF($R$17="Distrato",$E435,0))),0,YEARFRAC(MAX($P$34*($B435+IF($R$17="Distrato",$I$38-1,0)),IF(AND($L$37=0,$P$34=0),"",$L$37-1),IF($R$17="Distrato",$E435,0)),MIN(AV$38,$D$19),$P$20))-SUM($P435:AU435)</f>
        <v>#VALUE!</v>
      </c>
      <c r="AW435" s="446" t="e">
        <f>IF(OR($B435="",MIN(AW$38,$D$19)&lt;MAX($P$34*($B435+IF($R$17="Distrato",$I$38-1,0)),IF(AND($L$37=0,$P$34=0),"",$L$37-1),IF($R$17="Distrato",$E435,0))),0,YEARFRAC(MAX($P$34*($B435+IF($R$17="Distrato",$I$38-1,0)),IF(AND($L$37=0,$P$34=0),"",$L$37-1),IF($R$17="Distrato",$E435,0)),MIN(AW$38,$D$19),$P$20))-SUM($P435:AV435)</f>
        <v>#VALUE!</v>
      </c>
      <c r="AX435" s="446" t="e">
        <f>IF(OR($B435="",MIN(AX$38,$D$19)&lt;MAX($P$34*($B435+IF($R$17="Distrato",$I$38-1,0)),IF(AND($L$37=0,$P$34=0),"",$L$37-1),IF($R$17="Distrato",$E435,0))),0,YEARFRAC(MAX($P$34*($B435+IF($R$17="Distrato",$I$38-1,0)),IF(AND($L$37=0,$P$34=0),"",$L$37-1),IF($R$17="Distrato",$E435,0)),MIN(AX$38,$D$19),$P$20))-SUM($P435:AW435)</f>
        <v>#VALUE!</v>
      </c>
      <c r="AY435" s="446" t="e">
        <f>IF(OR($B435="",MIN(AY$38,$D$19)&lt;MAX($P$34*($B435+IF($R$17="Distrato",$I$38-1,0)),IF(AND($L$37=0,$P$34=0),"",$L$37-1),IF($R$17="Distrato",$E435,0))),0,YEARFRAC(MAX($P$34*($B435+IF($R$17="Distrato",$I$38-1,0)),IF(AND($L$37=0,$P$34=0),"",$L$37-1),IF($R$17="Distrato",$E435,0)),MIN(AY$38,$D$19),$P$20))-SUM($P435:AX435)</f>
        <v>#VALUE!</v>
      </c>
      <c r="AZ435" s="446" t="e">
        <f>IF(OR($B435="",MIN(AZ$38,$D$19)&lt;MAX($P$34*($B435+IF($R$17="Distrato",$I$38-1,0)),IF(AND($L$37=0,$P$34=0),"",$L$37-1),IF($R$17="Distrato",$E435,0))),0,YEARFRAC(MAX($P$34*($B435+IF($R$17="Distrato",$I$38-1,0)),IF(AND($L$37=0,$P$34=0),"",$L$37-1),IF($R$17="Distrato",$E435,0)),MIN(AZ$38,$D$19),$P$20))-SUM($P435:AY435)</f>
        <v>#VALUE!</v>
      </c>
      <c r="BA435" s="446" t="e">
        <f>IF(OR($B435="",MIN(BA$38,$D$19)&lt;MAX($P$34*($B435+IF($R$17="Distrato",$I$38-1,0)),IF(AND($L$37=0,$P$34=0),"",$L$37-1),IF($R$17="Distrato",$E435,0))),0,YEARFRAC(MAX($P$34*($B435+IF($R$17="Distrato",$I$38-1,0)),IF(AND($L$37=0,$P$34=0),"",$L$37-1),IF($R$17="Distrato",$E435,0)),MIN(BA$38,$D$19),$P$20))-SUM($P435:AZ435)</f>
        <v>#VALUE!</v>
      </c>
      <c r="BB435" s="447"/>
      <c r="BF435" s="446">
        <f t="shared" si="76"/>
        <v>0</v>
      </c>
      <c r="BG435" s="446">
        <f>IF($E435=0,0,IF(MIN(BG$38,$E435)&lt;MAX($P$34*($B435+$I$38-1),IF(AND($L$37=0,$P$34=0),"",$L$37-1)),0,YEARFRAC(MAX($P$34*($B435+$I$38-1),IF(AND($L$37=0,$P$34=0),"",$L$37-1)),MIN(BG$38,$E435),$P$20))-SUM($BF435:BF435))</f>
        <v>0</v>
      </c>
      <c r="BH435" s="446">
        <f>IF($E435=0,0,IF(MIN(BH$38,$E435)&lt;MAX($P$34*($B435+$I$38-1),IF(AND($L$37=0,$P$34=0),"",$L$37-1)),0,YEARFRAC(MAX($P$34*($B435+$I$38-1),IF(AND($L$37=0,$P$34=0),"",$L$37-1)),MIN(BH$38,$E435),$P$20))-SUM($BF435:BG435))</f>
        <v>0</v>
      </c>
      <c r="BI435" s="446">
        <f>IF($E435=0,0,IF(MIN(BI$38,$E435)&lt;MAX($P$34*($B435+$I$38-1),IF(AND($L$37=0,$P$34=0),"",$L$37-1)),0,YEARFRAC(MAX($P$34*($B435+$I$38-1),IF(AND($L$37=0,$P$34=0),"",$L$37-1)),MIN(BI$38,$E435),$P$20))-SUM($BF435:BH435))</f>
        <v>0</v>
      </c>
      <c r="BJ435" s="446">
        <f>IF($E435=0,0,IF(MIN(BJ$38,$E435)&lt;MAX($P$34*($B435+$I$38-1),IF(AND($L$37=0,$P$34=0),"",$L$37-1)),0,YEARFRAC(MAX($P$34*($B435+$I$38-1),IF(AND($L$37=0,$P$34=0),"",$L$37-1)),MIN(BJ$38,$E435),$P$20))-SUM($BF435:BI435))</f>
        <v>0</v>
      </c>
      <c r="BK435" s="446">
        <f>IF($E435=0,0,IF(MIN(BK$38,$E435)&lt;MAX($P$34*($B435+$I$38-1),IF(AND($L$37=0,$P$34=0),"",$L$37-1)),0,YEARFRAC(MAX($P$34*($B435+$I$38-1),IF(AND($L$37=0,$P$34=0),"",$L$37-1)),MIN(BK$38,$E435),$P$20))-SUM($BF435:BJ435))</f>
        <v>0</v>
      </c>
      <c r="BL435" s="446">
        <f>IF($E435=0,0,IF(MIN(BL$38,$E435)&lt;MAX($P$34*($B435+$I$38-1),IF(AND($L$37=0,$P$34=0),"",$L$37-1)),0,YEARFRAC(MAX($P$34*($B435+$I$38-1),IF(AND($L$37=0,$P$34=0),"",$L$37-1)),MIN(BL$38,$E435),$P$20))-SUM($BF435:BK435))</f>
        <v>0</v>
      </c>
      <c r="BM435" s="446">
        <f>IF($E435=0,0,IF(MIN(BM$38,$E435)&lt;MAX($P$34*($B435+$I$38-1),IF(AND($L$37=0,$P$34=0),"",$L$37-1)),0,YEARFRAC(MAX($P$34*($B435+$I$38-1),IF(AND($L$37=0,$P$34=0),"",$L$37-1)),MIN(BM$38,$E435),$P$20))-SUM($BF435:BL435))</f>
        <v>0</v>
      </c>
      <c r="BN435" s="446">
        <f>IF($E435=0,0,IF(MIN(BN$38,$E435)&lt;MAX($P$34*($B435+$I$38-1),IF(AND($L$37=0,$P$34=0),"",$L$37-1)),0,YEARFRAC(MAX($P$34*($B435+$I$38-1),IF(AND($L$37=0,$P$34=0),"",$L$37-1)),MIN(BN$38,$E435),$P$20))-SUM($BF435:BM435))</f>
        <v>0</v>
      </c>
      <c r="BO435" s="446">
        <f>IF($E435=0,0,IF(MIN(BO$38,$E435)&lt;MAX($P$34*($B435+$I$38-1),IF(AND($L$37=0,$P$34=0),"",$L$37-1)),0,YEARFRAC(MAX($P$34*($B435+$I$38-1),IF(AND($L$37=0,$P$34=0),"",$L$37-1)),MIN(BO$38,$E435),$P$20))-SUM($BF435:BN435))</f>
        <v>0</v>
      </c>
      <c r="BP435" s="446">
        <f>IF($E435=0,0,IF(MIN(BP$38,$E435)&lt;MAX($P$34*($B435+$I$38-1),IF(AND($L$37=0,$P$34=0),"",$L$37-1)),0,YEARFRAC(MAX($P$34*($B435+$I$38-1),IF(AND($L$37=0,$P$34=0),"",$L$37-1)),MIN(BP$38,$E435),$P$20))-SUM($BF435:BO435))</f>
        <v>0</v>
      </c>
      <c r="BQ435" s="446">
        <f>IF($E435=0,0,IF(MIN(BQ$38,$E435)&lt;MAX($P$34*($B435+$I$38-1),IF(AND($L$37=0,$P$34=0),"",$L$37-1)),0,YEARFRAC(MAX($P$34*($B435+$I$38-1),IF(AND($L$37=0,$P$34=0),"",$L$37-1)),MIN(BQ$38,$E435),$P$20))-SUM($BF435:BP435))</f>
        <v>0</v>
      </c>
      <c r="BR435" s="446">
        <f>IF($E435=0,0,IF(MIN(BR$38,$E435)&lt;MAX($P$34*($B435+$I$38-1),IF(AND($L$37=0,$P$34=0),"",$L$37-1)),0,YEARFRAC(MAX($P$34*($B435+$I$38-1),IF(AND($L$37=0,$P$34=0),"",$L$37-1)),MIN(BR$38,$E435),$P$20))-SUM($BF435:BQ435))</f>
        <v>0</v>
      </c>
      <c r="BS435" s="446">
        <f>IF($E435=0,0,IF(MIN(BS$38,$E435)&lt;MAX($P$34*($B435+$I$38-1),IF(AND($L$37=0,$P$34=0),"",$L$37-1)),0,YEARFRAC(MAX($P$34*($B435+$I$38-1),IF(AND($L$37=0,$P$34=0),"",$L$37-1)),MIN(BS$38,$E435),$P$20))-SUM($BF435:BR435))</f>
        <v>0</v>
      </c>
      <c r="BT435" s="446">
        <f>IF($E435=0,0,IF(MIN(BT$38,$E435)&lt;MAX($P$34*($B435+$I$38-1),IF(AND($L$37=0,$P$34=0),"",$L$37-1)),0,YEARFRAC(MAX($P$34*($B435+$I$38-1),IF(AND($L$37=0,$P$34=0),"",$L$37-1)),MIN(BT$38,$E435),$P$20))-SUM($BF435:BS435))</f>
        <v>0</v>
      </c>
      <c r="BU435" s="446">
        <f>IF($E435=0,0,IF(MIN(BU$38,$E435)&lt;MAX($P$34*($B435+$I$38-1),IF(AND($L$37=0,$P$34=0),"",$L$37-1)),0,YEARFRAC(MAX($P$34*($B435+$I$38-1),IF(AND($L$37=0,$P$34=0),"",$L$37-1)),MIN(BU$38,$E435),$P$20))-SUM($BF435:BT435))</f>
        <v>0</v>
      </c>
      <c r="BV435" s="446">
        <f>IF($E435=0,0,IF(MIN(BV$38,$E435)&lt;MAX($P$34*($B435+$I$38-1),IF(AND($L$37=0,$P$34=0),"",$L$37-1)),0,YEARFRAC(MAX($P$34*($B435+$I$38-1),IF(AND($L$37=0,$P$34=0),"",$L$37-1)),MIN(BV$38,$E435),$P$20))-SUM($BF435:BU435))</f>
        <v>0</v>
      </c>
      <c r="BW435" s="446">
        <f>IF($E435=0,0,IF(MIN(BW$38,$E435)&lt;MAX($P$34*($B435+$I$38-1),IF(AND($L$37=0,$P$34=0),"",$L$37-1)),0,YEARFRAC(MAX($P$34*($B435+$I$38-1),IF(AND($L$37=0,$P$34=0),"",$L$37-1)),MIN(BW$38,$E435),$P$20))-SUM($BF435:BV435))</f>
        <v>0</v>
      </c>
      <c r="BX435" s="446">
        <f>IF($E435=0,0,IF(MIN(BX$38,$E435)&lt;MAX($P$34*($B435+$I$38-1),IF(AND($L$37=0,$P$34=0),"",$L$37-1)),0,YEARFRAC(MAX($P$34*($B435+$I$38-1),IF(AND($L$37=0,$P$34=0),"",$L$37-1)),MIN(BX$38,$E435),$P$20))-SUM($BF435:BW435))</f>
        <v>0</v>
      </c>
      <c r="BY435" s="446">
        <f>IF($E435=0,0,IF(MIN(BY$38,$E435)&lt;MAX($P$34*($B435+$I$38-1),IF(AND($L$37=0,$P$34=0),"",$L$37-1)),0,YEARFRAC(MAX($P$34*($B435+$I$38-1),IF(AND($L$37=0,$P$34=0),"",$L$37-1)),MIN(BY$38,$E435),$P$20))-SUM($BF435:BX435))</f>
        <v>0</v>
      </c>
      <c r="BZ435" s="446">
        <f>IF($E435=0,0,IF(MIN(BZ$38,$E435)&lt;MAX($P$34*($B435+$I$38-1),IF(AND($L$37=0,$P$34=0),"",$L$37-1)),0,YEARFRAC(MAX($P$34*($B435+$I$38-1),IF(AND($L$37=0,$P$34=0),"",$L$37-1)),MIN(BZ$38,$E435),$P$20))-SUM($BF435:BY435))</f>
        <v>0</v>
      </c>
      <c r="CA435" s="446">
        <f>IF($E435=0,0,IF(MIN(CA$38,$E435)&lt;MAX($P$34*($B435+$I$38-1),IF(AND($L$37=0,$P$34=0),"",$L$37-1)),0,YEARFRAC(MAX($P$34*($B435+$I$38-1),IF(AND($L$37=0,$P$34=0),"",$L$37-1)),MIN(CA$38,$E435),$P$20))-SUM($BF435:BZ435))</f>
        <v>0</v>
      </c>
      <c r="CB435" s="446">
        <f>IF($E435=0,0,IF(MIN(CB$38,$E435)&lt;MAX($P$34*($B435+$I$38-1),IF(AND($L$37=0,$P$34=0),"",$L$37-1)),0,YEARFRAC(MAX($P$34*($B435+$I$38-1),IF(AND($L$37=0,$P$34=0),"",$L$37-1)),MIN(CB$38,$E435),$P$20))-SUM($BF435:CA435))</f>
        <v>0</v>
      </c>
      <c r="CC435" s="446">
        <f>IF($E435=0,0,IF(MIN(CC$38,$E435)&lt;MAX($P$34*($B435+$I$38-1),IF(AND($L$37=0,$P$34=0),"",$L$37-1)),0,YEARFRAC(MAX($P$34*($B435+$I$38-1),IF(AND($L$37=0,$P$34=0),"",$L$37-1)),MIN(CC$38,$E435),$P$20))-SUM($BF435:CB435))</f>
        <v>0</v>
      </c>
      <c r="CD435" s="446">
        <f>IF($E435=0,0,IF(MIN(CD$38,$E435)&lt;MAX($P$34*($B435+$I$38-1),IF(AND($L$37=0,$P$34=0),"",$L$37-1)),0,YEARFRAC(MAX($P$34*($B435+$I$38-1),IF(AND($L$37=0,$P$34=0),"",$L$37-1)),MIN(CD$38,$E435),$P$20))-SUM($BF435:CC435))</f>
        <v>0</v>
      </c>
      <c r="CE435" s="446">
        <f>IF($E435=0,0,IF(MIN(CE$38,$E435)&lt;MAX($P$34*($B435+$I$38-1),IF(AND($L$37=0,$P$34=0),"",$L$37-1)),0,YEARFRAC(MAX($P$34*($B435+$I$38-1),IF(AND($L$37=0,$P$34=0),"",$L$37-1)),MIN(CE$38,$E435),$P$20))-SUM($BF435:CD435))</f>
        <v>0</v>
      </c>
      <c r="CF435" s="446">
        <f>IF($E435=0,0,IF(MIN(CF$38,$E435)&lt;MAX($P$34*($B435+$I$38-1),IF(AND($L$37=0,$P$34=0),"",$L$37-1)),0,YEARFRAC(MAX($P$34*($B435+$I$38-1),IF(AND($L$37=0,$P$34=0),"",$L$37-1)),MIN(CF$38,$E435),$P$20))-SUM($BF435:CE435))</f>
        <v>0</v>
      </c>
      <c r="CG435" s="446">
        <f>IF($E435=0,0,IF(MIN(CG$38,$E435)&lt;MAX($P$34*($B435+$I$38-1),IF(AND($L$37=0,$P$34=0),"",$L$37-1)),0,YEARFRAC(MAX($P$34*($B435+$I$38-1),IF(AND($L$37=0,$P$34=0),"",$L$37-1)),MIN(CG$38,$E435),$P$20))-SUM($BF435:CF435))</f>
        <v>0</v>
      </c>
      <c r="CH435" s="446">
        <f>IF($E435=0,0,IF(MIN(CH$38,$E435)&lt;MAX($P$34*($B435+$I$38-1),IF(AND($L$37=0,$P$34=0),"",$L$37-1)),0,YEARFRAC(MAX($P$34*($B435+$I$38-1),IF(AND($L$37=0,$P$34=0),"",$L$37-1)),MIN(CH$38,$E435),$P$20))-SUM($BF435:CG435))</f>
        <v>0</v>
      </c>
      <c r="CI435" s="446">
        <f>IF($E435=0,0,IF(MIN(CI$38,$E435)&lt;MAX($P$34*($B435+$I$38-1),IF(AND($L$37=0,$P$34=0),"",$L$37-1)),0,YEARFRAC(MAX($P$34*($B435+$I$38-1),IF(AND($L$37=0,$P$34=0),"",$L$37-1)),MIN(CI$38,$E435),$P$20))-SUM($BF435:CH435))</f>
        <v>0</v>
      </c>
      <c r="CJ435" s="446">
        <f>IF($E435=0,0,IF(MIN(CJ$38,$E435)&lt;MAX($P$34*($B435+$I$38-1),IF(AND($L$37=0,$P$34=0),"",$L$37-1)),0,YEARFRAC(MAX($P$34*($B435+$I$38-1),IF(AND($L$37=0,$P$34=0),"",$L$37-1)),MIN(CJ$38,$E435),$P$20))-SUM($BF435:CI435))</f>
        <v>0</v>
      </c>
      <c r="CK435" s="446">
        <f>IF($E435=0,0,IF(MIN(CK$38,$E435)&lt;MAX($P$34*($B435+$I$38-1),IF(AND($L$37=0,$P$34=0),"",$L$37-1)),0,YEARFRAC(MAX($P$34*($B435+$I$38-1),IF(AND($L$37=0,$P$34=0),"",$L$37-1)),MIN(CK$38,$E435),$P$20))-SUM($BF435:CJ435))</f>
        <v>0</v>
      </c>
      <c r="CL435" s="446">
        <f>IF($E435=0,0,IF(MIN(CL$38,$E435)&lt;MAX($P$34*($B435+$I$38-1),IF(AND($L$37=0,$P$34=0),"",$L$37-1)),0,YEARFRAC(MAX($P$34*($B435+$I$38-1),IF(AND($L$37=0,$P$34=0),"",$L$37-1)),MIN(CL$38,$E435),$P$20))-SUM($BF435:CK435))</f>
        <v>0</v>
      </c>
      <c r="CM435" s="446">
        <f>IF($E435=0,0,IF(MIN(CM$38,$E435)&lt;MAX($P$34*($B435+$I$38-1),IF(AND($L$37=0,$P$34=0),"",$L$37-1)),0,YEARFRAC(MAX($P$34*($B435+$I$38-1),IF(AND($L$37=0,$P$34=0),"",$L$37-1)),MIN(CM$38,$E435),$P$20))-SUM($BF435:CL435))</f>
        <v>0</v>
      </c>
      <c r="CN435" s="446">
        <f>IF($E435=0,0,IF(MIN(CN$38,$E435)&lt;MAX($P$34*($B435+$I$38-1),IF(AND($L$37=0,$P$34=0),"",$L$37-1)),0,YEARFRAC(MAX($P$34*($B435+$I$38-1),IF(AND($L$37=0,$P$34=0),"",$L$37-1)),MIN(CN$38,$E435),$P$20))-SUM($BF435:CM435))</f>
        <v>0</v>
      </c>
      <c r="CO435" s="446">
        <f>IF($E435=0,0,IF(MIN(CO$38,$E435)&lt;MAX($P$34*($B435+$I$38-1),IF(AND($L$37=0,$P$34=0),"",$L$37-1)),0,YEARFRAC(MAX($P$34*($B435+$I$38-1),IF(AND($L$37=0,$P$34=0),"",$L$37-1)),MIN(CO$38,$E435),$P$20))-SUM($BF435:CN435))</f>
        <v>0</v>
      </c>
      <c r="CP435" s="446">
        <f>IF($E435=0,0,IF(MIN(CP$38,$E435)&lt;MAX($P$34*($B435+$I$38-1),IF(AND($L$37=0,$P$34=0),"",$L$37-1)),0,YEARFRAC(MAX($P$34*($B435+$I$38-1),IF(AND($L$37=0,$P$34=0),"",$L$37-1)),MIN(CP$38,$E435),$P$20))-SUM($BF435:CO435))</f>
        <v>0</v>
      </c>
      <c r="CQ435" s="446">
        <f>IF($E435=0,0,IF(MIN(CQ$38,$E435)&lt;MAX($P$34*($B435+$I$38-1),IF(AND($L$37=0,$P$34=0),"",$L$37-1)),0,YEARFRAC(MAX($P$34*($B435+$I$38-1),IF(AND($L$37=0,$P$34=0),"",$L$37-1)),MIN(CQ$38,$E435),$P$20))-SUM($BF435:CP435))</f>
        <v>0</v>
      </c>
    </row>
    <row r="436" spans="1:95" s="446" customFormat="1" ht="11.25" hidden="1" customHeight="1" x14ac:dyDescent="0.2">
      <c r="A436" s="152"/>
      <c r="B436" s="153" t="str">
        <f t="shared" si="81"/>
        <v/>
      </c>
      <c r="C436" s="29" t="str">
        <f>IF(B436="","",IF($L$35="SELIC - TRIBUTOS",VLOOKUP(DATE(YEAR($D$19),MONTH($D$19)-1,1),ÍNDICES!$A:$DE,HLOOKUP($BL$25,ÍNDICES!$B$3:$T$4,2)+11)-VLOOKUP(B436,ÍNDICES!$A:$DE,HLOOKUP($BL$25,ÍNDICES!$B$3:$T$4,2)+11)+1%,IF(C$38=$W$26,$J$35,IF(ISERROR(IF(B436&gt;$D$19,1,VLOOKUP(DATE(YEAR(B436),MONTH(B436)+IF($C$35=$S$23,1,0),1),ÍNDICES!$A:$DE,$Z$35+1))),"",IF(B436&gt;$D$19,1,VLOOKUP(DATE(YEAR(B436),MONTH(B436)+IF($C$35=$S$23,1,0),1),ÍNDICES!$A:$DE,$Z$35+1))))))</f>
        <v/>
      </c>
      <c r="D436" s="154" t="str">
        <f>IF(ISERROR(IF(OR($D$38=$Y$27,$B436=""),"",VLOOKUP(B436,ÍNDICES!A:DE,AF$35+1))),"",IF(OR($D$38=$Y$27,$B436=""),"",VLOOKUP(B436,ÍNDICES!A:DE,AF$35+1)))</f>
        <v/>
      </c>
      <c r="E436" s="153"/>
      <c r="F436" s="29" t="str">
        <f>IF(E436="","",IF($L$35="SELIC - TRIBUTOS",VLOOKUP(DATE(YEAR($D$19),MONTH($D$19)-1,1),ÍNDICES!$A:$DE,HLOOKUP($BL$25,ÍNDICES!$B$3:$T$4,2)+11)-VLOOKUP(E436,ÍNDICES!$A:$DE,HLOOKUP($BL$25,ÍNDICES!$B$3:$T$4,2)+11)+1%,IF(F$38=$W$26,$J$35,IF(ISERROR(IF(E436&gt;$D$19,1,VLOOKUP(DATE(YEAR(E436),MONTH(E436)+IF($C$35=$S$23,1,0),1),ÍNDICES!$A:$DE,$Z$35+1))),"",IF(E436&gt;$D$19,1,VLOOKUP(DATE(YEAR(E436),MONTH(E436)+IF($C$35=$S$23,1,0),1),ÍNDICES!$A:$DE,$Z$35+1))))))</f>
        <v/>
      </c>
      <c r="G436" s="155"/>
      <c r="H436" s="156" t="str">
        <f t="shared" si="77"/>
        <v/>
      </c>
      <c r="I436" s="29" t="str">
        <f t="shared" si="71"/>
        <v/>
      </c>
      <c r="J436" s="5">
        <f t="shared" si="72"/>
        <v>0</v>
      </c>
      <c r="K436" s="20">
        <f t="shared" ca="1" si="73"/>
        <v>0</v>
      </c>
      <c r="L436" s="5">
        <f t="shared" ca="1" si="74"/>
        <v>0</v>
      </c>
      <c r="M436" s="64">
        <f t="shared" si="78"/>
        <v>0</v>
      </c>
      <c r="N436" s="61">
        <f t="shared" ca="1" si="79"/>
        <v>0</v>
      </c>
      <c r="O436" s="5">
        <f t="shared" ca="1" si="80"/>
        <v>0</v>
      </c>
      <c r="P436" s="446" t="e">
        <f t="shared" si="75"/>
        <v>#VALUE!</v>
      </c>
      <c r="Q436" s="446" t="e">
        <f>IF(OR($B436="",MIN(Q$38,$D$19)&lt;MAX($P$34*($B436+IF($R$17="Distrato",$I$38-1,0)),IF(AND($L$37=0,$P$34=0),"",$L$37-1),IF($R$17="Distrato",$E436,0))),0,YEARFRAC(MAX($P$34*($B436+IF($R$17="Distrato",$I$38-1,0)),IF(AND($L$37=0,$P$34=0),"",$L$37-1),IF($R$17="Distrato",$E436,0)),MIN(Q$38,$D$19),$P$20))-SUM($P436:P436)</f>
        <v>#VALUE!</v>
      </c>
      <c r="R436" s="446" t="e">
        <f>IF(OR($B436="",MIN(R$38,$D$19)&lt;MAX($P$34*($B436+IF($R$17="Distrato",$I$38-1,0)),IF(AND($L$37=0,$P$34=0),"",$L$37-1),IF($R$17="Distrato",$E436,0))),0,YEARFRAC(MAX($P$34*($B436+IF($R$17="Distrato",$I$38-1,0)),IF(AND($L$37=0,$P$34=0),"",$L$37-1),IF($R$17="Distrato",$E436,0)),MIN(R$38,$D$19),$P$20))-SUM($P436:Q436)</f>
        <v>#VALUE!</v>
      </c>
      <c r="S436" s="446" t="e">
        <f>IF(OR($B436="",MIN(S$38,$D$19)&lt;MAX($P$34*($B436+IF($R$17="Distrato",$I$38-1,0)),IF(AND($L$37=0,$P$34=0),"",$L$37-1),IF($R$17="Distrato",$E436,0))),0,YEARFRAC(MAX($P$34*($B436+IF($R$17="Distrato",$I$38-1,0)),IF(AND($L$37=0,$P$34=0),"",$L$37-1),IF($R$17="Distrato",$E436,0)),MIN(S$38,$D$19),$P$20))-SUM($P436:R436)</f>
        <v>#VALUE!</v>
      </c>
      <c r="T436" s="446" t="e">
        <f>IF(OR($B436="",MIN(T$38,$D$19)&lt;MAX($P$34*($B436+IF($R$17="Distrato",$I$38-1,0)),IF(AND($L$37=0,$P$34=0),"",$L$37-1),IF($R$17="Distrato",$E436,0))),0,YEARFRAC(MAX($P$34*($B436+IF($R$17="Distrato",$I$38-1,0)),IF(AND($L$37=0,$P$34=0),"",$L$37-1),IF($R$17="Distrato",$E436,0)),MIN(T$38,$D$19),$P$20))-SUM($P436:S436)</f>
        <v>#VALUE!</v>
      </c>
      <c r="U436" s="446" t="e">
        <f>IF(OR($B436="",MIN(U$38,$D$19)&lt;MAX($P$34*($B436+IF($R$17="Distrato",$I$38-1,0)),IF(AND($L$37=0,$P$34=0),"",$L$37-1),IF($R$17="Distrato",$E436,0))),0,YEARFRAC(MAX($P$34*($B436+IF($R$17="Distrato",$I$38-1,0)),IF(AND($L$37=0,$P$34=0),"",$L$37-1),IF($R$17="Distrato",$E436,0)),MIN(U$38,$D$19),$P$20))-SUM($P436:T436)</f>
        <v>#VALUE!</v>
      </c>
      <c r="V436" s="446" t="e">
        <f>IF(OR($B436="",MIN(V$38,$D$19)&lt;MAX($P$34*($B436+IF($R$17="Distrato",$I$38-1,0)),IF(AND($L$37=0,$P$34=0),"",$L$37-1),IF($R$17="Distrato",$E436,0))),0,YEARFRAC(MAX($P$34*($B436+IF($R$17="Distrato",$I$38-1,0)),IF(AND($L$37=0,$P$34=0),"",$L$37-1),IF($R$17="Distrato",$E436,0)),MIN(V$38,$D$19),$P$20))-SUM($P436:U436)</f>
        <v>#VALUE!</v>
      </c>
      <c r="W436" s="446" t="e">
        <f>IF(OR($B436="",MIN(W$38,$D$19)&lt;MAX($P$34*($B436+IF($R$17="Distrato",$I$38-1,0)),IF(AND($L$37=0,$P$34=0),"",$L$37-1),IF($R$17="Distrato",$E436,0))),0,YEARFRAC(MAX($P$34*($B436+IF($R$17="Distrato",$I$38-1,0)),IF(AND($L$37=0,$P$34=0),"",$L$37-1),IF($R$17="Distrato",$E436,0)),MIN(W$38,$D$19),$P$20))-SUM($P436:V436)</f>
        <v>#VALUE!</v>
      </c>
      <c r="X436" s="446" t="e">
        <f>IF(OR($B436="",MIN(X$38,$D$19)&lt;MAX($P$34*($B436+IF($R$17="Distrato",$I$38-1,0)),IF(AND($L$37=0,$P$34=0),"",$L$37-1),IF($R$17="Distrato",$E436,0))),0,YEARFRAC(MAX($P$34*($B436+IF($R$17="Distrato",$I$38-1,0)),IF(AND($L$37=0,$P$34=0),"",$L$37-1),IF($R$17="Distrato",$E436,0)),MIN(X$38,$D$19),$P$20))-SUM($P436:W436)</f>
        <v>#VALUE!</v>
      </c>
      <c r="Y436" s="446" t="e">
        <f>IF(OR($B436="",MIN(Y$38,$D$19)&lt;MAX($P$34*($B436+IF($R$17="Distrato",$I$38-1,0)),IF(AND($L$37=0,$P$34=0),"",$L$37-1),IF($R$17="Distrato",$E436,0))),0,YEARFRAC(MAX($P$34*($B436+IF($R$17="Distrato",$I$38-1,0)),IF(AND($L$37=0,$P$34=0),"",$L$37-1),IF($R$17="Distrato",$E436,0)),MIN(Y$38,$D$19),$P$20))-SUM($P436:X436)</f>
        <v>#VALUE!</v>
      </c>
      <c r="Z436" s="446" t="e">
        <f>IF(OR($B436="",MIN(Z$38,$D$19)&lt;MAX($P$34*($B436+IF($R$17="Distrato",$I$38-1,0)),IF(AND($L$37=0,$P$34=0),"",$L$37-1),IF($R$17="Distrato",$E436,0))),0,YEARFRAC(MAX($P$34*($B436+IF($R$17="Distrato",$I$38-1,0)),IF(AND($L$37=0,$P$34=0),"",$L$37-1),IF($R$17="Distrato",$E436,0)),MIN(Z$38,$D$19),$P$20))-SUM($P436:Y436)</f>
        <v>#VALUE!</v>
      </c>
      <c r="AA436" s="446" t="e">
        <f>IF(OR($B436="",MIN(AA$38,$D$19)&lt;MAX($P$34*($B436+IF($R$17="Distrato",$I$38-1,0)),IF(AND($L$37=0,$P$34=0),"",$L$37-1),IF($R$17="Distrato",$E436,0))),0,YEARFRAC(MAX($P$34*($B436+IF($R$17="Distrato",$I$38-1,0)),IF(AND($L$37=0,$P$34=0),"",$L$37-1),IF($R$17="Distrato",$E436,0)),MIN(AA$38,$D$19),$P$20))-SUM($P436:Z436)</f>
        <v>#VALUE!</v>
      </c>
      <c r="AB436" s="446" t="e">
        <f>IF(OR($B436="",MIN(AB$38,$D$19)&lt;MAX($P$34*($B436+IF($R$17="Distrato",$I$38-1,0)),IF(AND($L$37=0,$P$34=0),"",$L$37-1),IF($R$17="Distrato",$E436,0))),0,YEARFRAC(MAX($P$34*($B436+IF($R$17="Distrato",$I$38-1,0)),IF(AND($L$37=0,$P$34=0),"",$L$37-1),IF($R$17="Distrato",$E436,0)),MIN(AB$38,$D$19),$P$20))-SUM($P436:AA436)</f>
        <v>#VALUE!</v>
      </c>
      <c r="AC436" s="446" t="e">
        <f>IF(OR($B436="",MIN(AC$38,$D$19)&lt;MAX($P$34*($B436+IF($R$17="Distrato",$I$38-1,0)),IF(AND($L$37=0,$P$34=0),"",$L$37-1),IF($R$17="Distrato",$E436,0))),0,YEARFRAC(MAX($P$34*($B436+IF($R$17="Distrato",$I$38-1,0)),IF(AND($L$37=0,$P$34=0),"",$L$37-1),IF($R$17="Distrato",$E436,0)),MIN(AC$38,$D$19),$P$20))-SUM($P436:AB436)</f>
        <v>#VALUE!</v>
      </c>
      <c r="AD436" s="446" t="e">
        <f>IF(OR($B436="",MIN(AD$38,$D$19)&lt;MAX($P$34*($B436+IF($R$17="Distrato",$I$38-1,0)),IF(AND($L$37=0,$P$34=0),"",$L$37-1),IF($R$17="Distrato",$E436,0))),0,YEARFRAC(MAX($P$34*($B436+IF($R$17="Distrato",$I$38-1,0)),IF(AND($L$37=0,$P$34=0),"",$L$37-1),IF($R$17="Distrato",$E436,0)),MIN(AD$38,$D$19),$P$20))-SUM($P436:AC436)</f>
        <v>#VALUE!</v>
      </c>
      <c r="AE436" s="446" t="e">
        <f>IF(OR($B436="",MIN(AE$38,$D$19)&lt;MAX($P$34*($B436+IF($R$17="Distrato",$I$38-1,0)),IF(AND($L$37=0,$P$34=0),"",$L$37-1),IF($R$17="Distrato",$E436,0))),0,YEARFRAC(MAX($P$34*($B436+IF($R$17="Distrato",$I$38-1,0)),IF(AND($L$37=0,$P$34=0),"",$L$37-1),IF($R$17="Distrato",$E436,0)),MIN(AE$38,$D$19),$P$20))-SUM($P436:AD436)</f>
        <v>#VALUE!</v>
      </c>
      <c r="AF436" s="446" t="e">
        <f>IF(OR($B436="",MIN(AF$38,$D$19)&lt;MAX($P$34*($B436+IF($R$17="Distrato",$I$38-1,0)),IF(AND($L$37=0,$P$34=0),"",$L$37-1),IF($R$17="Distrato",$E436,0))),0,YEARFRAC(MAX($P$34*($B436+IF($R$17="Distrato",$I$38-1,0)),IF(AND($L$37=0,$P$34=0),"",$L$37-1),IF($R$17="Distrato",$E436,0)),MIN(AF$38,$D$19),$P$20))-SUM($P436:AE436)</f>
        <v>#VALUE!</v>
      </c>
      <c r="AG436" s="446" t="e">
        <f>IF(OR($B436="",MIN(AG$38,$D$19)&lt;MAX($P$34*($B436+IF($R$17="Distrato",$I$38-1,0)),IF(AND($L$37=0,$P$34=0),"",$L$37-1),IF($R$17="Distrato",$E436,0))),0,YEARFRAC(MAX($P$34*($B436+IF($R$17="Distrato",$I$38-1,0)),IF(AND($L$37=0,$P$34=0),"",$L$37-1),IF($R$17="Distrato",$E436,0)),MIN(AG$38,$D$19),$P$20))-SUM($P436:AF436)</f>
        <v>#VALUE!</v>
      </c>
      <c r="AH436" s="446" t="e">
        <f>IF(OR($B436="",MIN(AH$38,$D$19)&lt;MAX($P$34*($B436+IF($R$17="Distrato",$I$38-1,0)),IF(AND($L$37=0,$P$34=0),"",$L$37-1),IF($R$17="Distrato",$E436,0))),0,YEARFRAC(MAX($P$34*($B436+IF($R$17="Distrato",$I$38-1,0)),IF(AND($L$37=0,$P$34=0),"",$L$37-1),IF($R$17="Distrato",$E436,0)),MIN(AH$38,$D$19),$P$20))-SUM($P436:AG436)</f>
        <v>#VALUE!</v>
      </c>
      <c r="AI436" s="446" t="e">
        <f>IF(OR($B436="",MIN(AI$38,$D$19)&lt;MAX($P$34*($B436+IF($R$17="Distrato",$I$38-1,0)),IF(AND($L$37=0,$P$34=0),"",$L$37-1),IF($R$17="Distrato",$E436,0))),0,YEARFRAC(MAX($P$34*($B436+IF($R$17="Distrato",$I$38-1,0)),IF(AND($L$37=0,$P$34=0),"",$L$37-1),IF($R$17="Distrato",$E436,0)),MIN(AI$38,$D$19),$P$20))-SUM($P436:AH436)</f>
        <v>#VALUE!</v>
      </c>
      <c r="AJ436" s="446" t="e">
        <f>IF(OR($B436="",MIN(AJ$38,$D$19)&lt;MAX($P$34*($B436+IF($R$17="Distrato",$I$38-1,0)),IF(AND($L$37=0,$P$34=0),"",$L$37-1),IF($R$17="Distrato",$E436,0))),0,YEARFRAC(MAX($P$34*($B436+IF($R$17="Distrato",$I$38-1,0)),IF(AND($L$37=0,$P$34=0),"",$L$37-1),IF($R$17="Distrato",$E436,0)),MIN(AJ$38,$D$19),$P$20))-SUM($P436:AI436)</f>
        <v>#VALUE!</v>
      </c>
      <c r="AK436" s="446" t="e">
        <f>IF(OR($B436="",MIN(AK$38,$D$19)&lt;MAX($P$34*($B436+IF($R$17="Distrato",$I$38-1,0)),IF(AND($L$37=0,$P$34=0),"",$L$37-1),IF($R$17="Distrato",$E436,0))),0,YEARFRAC(MAX($P$34*($B436+IF($R$17="Distrato",$I$38-1,0)),IF(AND($L$37=0,$P$34=0),"",$L$37-1),IF($R$17="Distrato",$E436,0)),MIN(AK$38,$D$19),$P$20))-SUM($P436:AJ436)</f>
        <v>#VALUE!</v>
      </c>
      <c r="AL436" s="446" t="e">
        <f>IF(OR($B436="",MIN(AL$38,$D$19)&lt;MAX($P$34*($B436+IF($R$17="Distrato",$I$38-1,0)),IF(AND($L$37=0,$P$34=0),"",$L$37-1),IF($R$17="Distrato",$E436,0))),0,YEARFRAC(MAX($P$34*($B436+IF($R$17="Distrato",$I$38-1,0)),IF(AND($L$37=0,$P$34=0),"",$L$37-1),IF($R$17="Distrato",$E436,0)),MIN(AL$38,$D$19),$P$20))-SUM($P436:AK436)</f>
        <v>#VALUE!</v>
      </c>
      <c r="AM436" s="446" t="e">
        <f>IF(OR($B436="",MIN(AM$38,$D$19)&lt;MAX($P$34*($B436+IF($R$17="Distrato",$I$38-1,0)),IF(AND($L$37=0,$P$34=0),"",$L$37-1),IF($R$17="Distrato",$E436,0))),0,YEARFRAC(MAX($P$34*($B436+IF($R$17="Distrato",$I$38-1,0)),IF(AND($L$37=0,$P$34=0),"",$L$37-1),IF($R$17="Distrato",$E436,0)),MIN(AM$38,$D$19),$P$20))-SUM($P436:AL436)</f>
        <v>#VALUE!</v>
      </c>
      <c r="AN436" s="446" t="e">
        <f>IF(OR($B436="",MIN(AN$38,$D$19)&lt;MAX($P$34*($B436+IF($R$17="Distrato",$I$38-1,0)),IF(AND($L$37=0,$P$34=0),"",$L$37-1),IF($R$17="Distrato",$E436,0))),0,YEARFRAC(MAX($P$34*($B436+IF($R$17="Distrato",$I$38-1,0)),IF(AND($L$37=0,$P$34=0),"",$L$37-1),IF($R$17="Distrato",$E436,0)),MIN(AN$38,$D$19),$P$20))-SUM($P436:AM436)</f>
        <v>#VALUE!</v>
      </c>
      <c r="AO436" s="446" t="e">
        <f>IF(OR($B436="",MIN(AO$38,$D$19)&lt;MAX($P$34*($B436+IF($R$17="Distrato",$I$38-1,0)),IF(AND($L$37=0,$P$34=0),"",$L$37-1),IF($R$17="Distrato",$E436,0))),0,YEARFRAC(MAX($P$34*($B436+IF($R$17="Distrato",$I$38-1,0)),IF(AND($L$37=0,$P$34=0),"",$L$37-1),IF($R$17="Distrato",$E436,0)),MIN(AO$38,$D$19),$P$20))-SUM($P436:AN436)</f>
        <v>#VALUE!</v>
      </c>
      <c r="AP436" s="446" t="e">
        <f>IF(OR($B436="",MIN(AP$38,$D$19)&lt;MAX($P$34*($B436+IF($R$17="Distrato",$I$38-1,0)),IF(AND($L$37=0,$P$34=0),"",$L$37-1),IF($R$17="Distrato",$E436,0))),0,YEARFRAC(MAX($P$34*($B436+IF($R$17="Distrato",$I$38-1,0)),IF(AND($L$37=0,$P$34=0),"",$L$37-1),IF($R$17="Distrato",$E436,0)),MIN(AP$38,$D$19),$P$20))-SUM($P436:AO436)</f>
        <v>#VALUE!</v>
      </c>
      <c r="AQ436" s="446" t="e">
        <f>IF(OR($B436="",MIN(AQ$38,$D$19)&lt;MAX($P$34*($B436+IF($R$17="Distrato",$I$38-1,0)),IF(AND($L$37=0,$P$34=0),"",$L$37-1),IF($R$17="Distrato",$E436,0))),0,YEARFRAC(MAX($P$34*($B436+IF($R$17="Distrato",$I$38-1,0)),IF(AND($L$37=0,$P$34=0),"",$L$37-1),IF($R$17="Distrato",$E436,0)),MIN(AQ$38,$D$19),$P$20))-SUM($P436:AP436)</f>
        <v>#VALUE!</v>
      </c>
      <c r="AR436" s="446" t="e">
        <f>IF(OR($B436="",MIN(AR$38,$D$19)&lt;MAX($P$34*($B436+IF($R$17="Distrato",$I$38-1,0)),IF(AND($L$37=0,$P$34=0),"",$L$37-1),IF($R$17="Distrato",$E436,0))),0,YEARFRAC(MAX($P$34*($B436+IF($R$17="Distrato",$I$38-1,0)),IF(AND($L$37=0,$P$34=0),"",$L$37-1),IF($R$17="Distrato",$E436,0)),MIN(AR$38,$D$19),$P$20))-SUM($P436:AQ436)</f>
        <v>#VALUE!</v>
      </c>
      <c r="AS436" s="446" t="e">
        <f>IF(OR($B436="",MIN(AS$38,$D$19)&lt;MAX($P$34*($B436+IF($R$17="Distrato",$I$38-1,0)),IF(AND($L$37=0,$P$34=0),"",$L$37-1),IF($R$17="Distrato",$E436,0))),0,YEARFRAC(MAX($P$34*($B436+IF($R$17="Distrato",$I$38-1,0)),IF(AND($L$37=0,$P$34=0),"",$L$37-1),IF($R$17="Distrato",$E436,0)),MIN(AS$38,$D$19),$P$20))-SUM($P436:AR436)</f>
        <v>#VALUE!</v>
      </c>
      <c r="AT436" s="446" t="e">
        <f>IF(OR($B436="",MIN(AT$38,$D$19)&lt;MAX($P$34*($B436+IF($R$17="Distrato",$I$38-1,0)),IF(AND($L$37=0,$P$34=0),"",$L$37-1),IF($R$17="Distrato",$E436,0))),0,YEARFRAC(MAX($P$34*($B436+IF($R$17="Distrato",$I$38-1,0)),IF(AND($L$37=0,$P$34=0),"",$L$37-1),IF($R$17="Distrato",$E436,0)),MIN(AT$38,$D$19),$P$20))-SUM($P436:AS436)</f>
        <v>#VALUE!</v>
      </c>
      <c r="AU436" s="446" t="e">
        <f>IF(OR($B436="",MIN(AU$38,$D$19)&lt;MAX($P$34*($B436+IF($R$17="Distrato",$I$38-1,0)),IF(AND($L$37=0,$P$34=0),"",$L$37-1),IF($R$17="Distrato",$E436,0))),0,YEARFRAC(MAX($P$34*($B436+IF($R$17="Distrato",$I$38-1,0)),IF(AND($L$37=0,$P$34=0),"",$L$37-1),IF($R$17="Distrato",$E436,0)),MIN(AU$38,$D$19),$P$20))-SUM($P436:AT436)</f>
        <v>#VALUE!</v>
      </c>
      <c r="AV436" s="446" t="e">
        <f>IF(OR($B436="",MIN(AV$38,$D$19)&lt;MAX($P$34*($B436+IF($R$17="Distrato",$I$38-1,0)),IF(AND($L$37=0,$P$34=0),"",$L$37-1),IF($R$17="Distrato",$E436,0))),0,YEARFRAC(MAX($P$34*($B436+IF($R$17="Distrato",$I$38-1,0)),IF(AND($L$37=0,$P$34=0),"",$L$37-1),IF($R$17="Distrato",$E436,0)),MIN(AV$38,$D$19),$P$20))-SUM($P436:AU436)</f>
        <v>#VALUE!</v>
      </c>
      <c r="AW436" s="446" t="e">
        <f>IF(OR($B436="",MIN(AW$38,$D$19)&lt;MAX($P$34*($B436+IF($R$17="Distrato",$I$38-1,0)),IF(AND($L$37=0,$P$34=0),"",$L$37-1),IF($R$17="Distrato",$E436,0))),0,YEARFRAC(MAX($P$34*($B436+IF($R$17="Distrato",$I$38-1,0)),IF(AND($L$37=0,$P$34=0),"",$L$37-1),IF($R$17="Distrato",$E436,0)),MIN(AW$38,$D$19),$P$20))-SUM($P436:AV436)</f>
        <v>#VALUE!</v>
      </c>
      <c r="AX436" s="446" t="e">
        <f>IF(OR($B436="",MIN(AX$38,$D$19)&lt;MAX($P$34*($B436+IF($R$17="Distrato",$I$38-1,0)),IF(AND($L$37=0,$P$34=0),"",$L$37-1),IF($R$17="Distrato",$E436,0))),0,YEARFRAC(MAX($P$34*($B436+IF($R$17="Distrato",$I$38-1,0)),IF(AND($L$37=0,$P$34=0),"",$L$37-1),IF($R$17="Distrato",$E436,0)),MIN(AX$38,$D$19),$P$20))-SUM($P436:AW436)</f>
        <v>#VALUE!</v>
      </c>
      <c r="AY436" s="446" t="e">
        <f>IF(OR($B436="",MIN(AY$38,$D$19)&lt;MAX($P$34*($B436+IF($R$17="Distrato",$I$38-1,0)),IF(AND($L$37=0,$P$34=0),"",$L$37-1),IF($R$17="Distrato",$E436,0))),0,YEARFRAC(MAX($P$34*($B436+IF($R$17="Distrato",$I$38-1,0)),IF(AND($L$37=0,$P$34=0),"",$L$37-1),IF($R$17="Distrato",$E436,0)),MIN(AY$38,$D$19),$P$20))-SUM($P436:AX436)</f>
        <v>#VALUE!</v>
      </c>
      <c r="AZ436" s="446" t="e">
        <f>IF(OR($B436="",MIN(AZ$38,$D$19)&lt;MAX($P$34*($B436+IF($R$17="Distrato",$I$38-1,0)),IF(AND($L$37=0,$P$34=0),"",$L$37-1),IF($R$17="Distrato",$E436,0))),0,YEARFRAC(MAX($P$34*($B436+IF($R$17="Distrato",$I$38-1,0)),IF(AND($L$37=0,$P$34=0),"",$L$37-1),IF($R$17="Distrato",$E436,0)),MIN(AZ$38,$D$19),$P$20))-SUM($P436:AY436)</f>
        <v>#VALUE!</v>
      </c>
      <c r="BA436" s="446" t="e">
        <f>IF(OR($B436="",MIN(BA$38,$D$19)&lt;MAX($P$34*($B436+IF($R$17="Distrato",$I$38-1,0)),IF(AND($L$37=0,$P$34=0),"",$L$37-1),IF($R$17="Distrato",$E436,0))),0,YEARFRAC(MAX($P$34*($B436+IF($R$17="Distrato",$I$38-1,0)),IF(AND($L$37=0,$P$34=0),"",$L$37-1),IF($R$17="Distrato",$E436,0)),MIN(BA$38,$D$19),$P$20))-SUM($P436:AZ436)</f>
        <v>#VALUE!</v>
      </c>
      <c r="BB436" s="447"/>
      <c r="BF436" s="446">
        <f t="shared" si="76"/>
        <v>0</v>
      </c>
      <c r="BG436" s="446">
        <f>IF($E436=0,0,IF(MIN(BG$38,$E436)&lt;MAX($P$34*($B436+$I$38-1),IF(AND($L$37=0,$P$34=0),"",$L$37-1)),0,YEARFRAC(MAX($P$34*($B436+$I$38-1),IF(AND($L$37=0,$P$34=0),"",$L$37-1)),MIN(BG$38,$E436),$P$20))-SUM($BF436:BF436))</f>
        <v>0</v>
      </c>
      <c r="BH436" s="446">
        <f>IF($E436=0,0,IF(MIN(BH$38,$E436)&lt;MAX($P$34*($B436+$I$38-1),IF(AND($L$37=0,$P$34=0),"",$L$37-1)),0,YEARFRAC(MAX($P$34*($B436+$I$38-1),IF(AND($L$37=0,$P$34=0),"",$L$37-1)),MIN(BH$38,$E436),$P$20))-SUM($BF436:BG436))</f>
        <v>0</v>
      </c>
      <c r="BI436" s="446">
        <f>IF($E436=0,0,IF(MIN(BI$38,$E436)&lt;MAX($P$34*($B436+$I$38-1),IF(AND($L$37=0,$P$34=0),"",$L$37-1)),0,YEARFRAC(MAX($P$34*($B436+$I$38-1),IF(AND($L$37=0,$P$34=0),"",$L$37-1)),MIN(BI$38,$E436),$P$20))-SUM($BF436:BH436))</f>
        <v>0</v>
      </c>
      <c r="BJ436" s="446">
        <f>IF($E436=0,0,IF(MIN(BJ$38,$E436)&lt;MAX($P$34*($B436+$I$38-1),IF(AND($L$37=0,$P$34=0),"",$L$37-1)),0,YEARFRAC(MAX($P$34*($B436+$I$38-1),IF(AND($L$37=0,$P$34=0),"",$L$37-1)),MIN(BJ$38,$E436),$P$20))-SUM($BF436:BI436))</f>
        <v>0</v>
      </c>
      <c r="BK436" s="446">
        <f>IF($E436=0,0,IF(MIN(BK$38,$E436)&lt;MAX($P$34*($B436+$I$38-1),IF(AND($L$37=0,$P$34=0),"",$L$37-1)),0,YEARFRAC(MAX($P$34*($B436+$I$38-1),IF(AND($L$37=0,$P$34=0),"",$L$37-1)),MIN(BK$38,$E436),$P$20))-SUM($BF436:BJ436))</f>
        <v>0</v>
      </c>
      <c r="BL436" s="446">
        <f>IF($E436=0,0,IF(MIN(BL$38,$E436)&lt;MAX($P$34*($B436+$I$38-1),IF(AND($L$37=0,$P$34=0),"",$L$37-1)),0,YEARFRAC(MAX($P$34*($B436+$I$38-1),IF(AND($L$37=0,$P$34=0),"",$L$37-1)),MIN(BL$38,$E436),$P$20))-SUM($BF436:BK436))</f>
        <v>0</v>
      </c>
      <c r="BM436" s="446">
        <f>IF($E436=0,0,IF(MIN(BM$38,$E436)&lt;MAX($P$34*($B436+$I$38-1),IF(AND($L$37=0,$P$34=0),"",$L$37-1)),0,YEARFRAC(MAX($P$34*($B436+$I$38-1),IF(AND($L$37=0,$P$34=0),"",$L$37-1)),MIN(BM$38,$E436),$P$20))-SUM($BF436:BL436))</f>
        <v>0</v>
      </c>
      <c r="BN436" s="446">
        <f>IF($E436=0,0,IF(MIN(BN$38,$E436)&lt;MAX($P$34*($B436+$I$38-1),IF(AND($L$37=0,$P$34=0),"",$L$37-1)),0,YEARFRAC(MAX($P$34*($B436+$I$38-1),IF(AND($L$37=0,$P$34=0),"",$L$37-1)),MIN(BN$38,$E436),$P$20))-SUM($BF436:BM436))</f>
        <v>0</v>
      </c>
      <c r="BO436" s="446">
        <f>IF($E436=0,0,IF(MIN(BO$38,$E436)&lt;MAX($P$34*($B436+$I$38-1),IF(AND($L$37=0,$P$34=0),"",$L$37-1)),0,YEARFRAC(MAX($P$34*($B436+$I$38-1),IF(AND($L$37=0,$P$34=0),"",$L$37-1)),MIN(BO$38,$E436),$P$20))-SUM($BF436:BN436))</f>
        <v>0</v>
      </c>
      <c r="BP436" s="446">
        <f>IF($E436=0,0,IF(MIN(BP$38,$E436)&lt;MAX($P$34*($B436+$I$38-1),IF(AND($L$37=0,$P$34=0),"",$L$37-1)),0,YEARFRAC(MAX($P$34*($B436+$I$38-1),IF(AND($L$37=0,$P$34=0),"",$L$37-1)),MIN(BP$38,$E436),$P$20))-SUM($BF436:BO436))</f>
        <v>0</v>
      </c>
      <c r="BQ436" s="446">
        <f>IF($E436=0,0,IF(MIN(BQ$38,$E436)&lt;MAX($P$34*($B436+$I$38-1),IF(AND($L$37=0,$P$34=0),"",$L$37-1)),0,YEARFRAC(MAX($P$34*($B436+$I$38-1),IF(AND($L$37=0,$P$34=0),"",$L$37-1)),MIN(BQ$38,$E436),$P$20))-SUM($BF436:BP436))</f>
        <v>0</v>
      </c>
      <c r="BR436" s="446">
        <f>IF($E436=0,0,IF(MIN(BR$38,$E436)&lt;MAX($P$34*($B436+$I$38-1),IF(AND($L$37=0,$P$34=0),"",$L$37-1)),0,YEARFRAC(MAX($P$34*($B436+$I$38-1),IF(AND($L$37=0,$P$34=0),"",$L$37-1)),MIN(BR$38,$E436),$P$20))-SUM($BF436:BQ436))</f>
        <v>0</v>
      </c>
      <c r="BS436" s="446">
        <f>IF($E436=0,0,IF(MIN(BS$38,$E436)&lt;MAX($P$34*($B436+$I$38-1),IF(AND($L$37=0,$P$34=0),"",$L$37-1)),0,YEARFRAC(MAX($P$34*($B436+$I$38-1),IF(AND($L$37=0,$P$34=0),"",$L$37-1)),MIN(BS$38,$E436),$P$20))-SUM($BF436:BR436))</f>
        <v>0</v>
      </c>
      <c r="BT436" s="446">
        <f>IF($E436=0,0,IF(MIN(BT$38,$E436)&lt;MAX($P$34*($B436+$I$38-1),IF(AND($L$37=0,$P$34=0),"",$L$37-1)),0,YEARFRAC(MAX($P$34*($B436+$I$38-1),IF(AND($L$37=0,$P$34=0),"",$L$37-1)),MIN(BT$38,$E436),$P$20))-SUM($BF436:BS436))</f>
        <v>0</v>
      </c>
      <c r="BU436" s="446">
        <f>IF($E436=0,0,IF(MIN(BU$38,$E436)&lt;MAX($P$34*($B436+$I$38-1),IF(AND($L$37=0,$P$34=0),"",$L$37-1)),0,YEARFRAC(MAX($P$34*($B436+$I$38-1),IF(AND($L$37=0,$P$34=0),"",$L$37-1)),MIN(BU$38,$E436),$P$20))-SUM($BF436:BT436))</f>
        <v>0</v>
      </c>
      <c r="BV436" s="446">
        <f>IF($E436=0,0,IF(MIN(BV$38,$E436)&lt;MAX($P$34*($B436+$I$38-1),IF(AND($L$37=0,$P$34=0),"",$L$37-1)),0,YEARFRAC(MAX($P$34*($B436+$I$38-1),IF(AND($L$37=0,$P$34=0),"",$L$37-1)),MIN(BV$38,$E436),$P$20))-SUM($BF436:BU436))</f>
        <v>0</v>
      </c>
      <c r="BW436" s="446">
        <f>IF($E436=0,0,IF(MIN(BW$38,$E436)&lt;MAX($P$34*($B436+$I$38-1),IF(AND($L$37=0,$P$34=0),"",$L$37-1)),0,YEARFRAC(MAX($P$34*($B436+$I$38-1),IF(AND($L$37=0,$P$34=0),"",$L$37-1)),MIN(BW$38,$E436),$P$20))-SUM($BF436:BV436))</f>
        <v>0</v>
      </c>
      <c r="BX436" s="446">
        <f>IF($E436=0,0,IF(MIN(BX$38,$E436)&lt;MAX($P$34*($B436+$I$38-1),IF(AND($L$37=0,$P$34=0),"",$L$37-1)),0,YEARFRAC(MAX($P$34*($B436+$I$38-1),IF(AND($L$37=0,$P$34=0),"",$L$37-1)),MIN(BX$38,$E436),$P$20))-SUM($BF436:BW436))</f>
        <v>0</v>
      </c>
      <c r="BY436" s="446">
        <f>IF($E436=0,0,IF(MIN(BY$38,$E436)&lt;MAX($P$34*($B436+$I$38-1),IF(AND($L$37=0,$P$34=0),"",$L$37-1)),0,YEARFRAC(MAX($P$34*($B436+$I$38-1),IF(AND($L$37=0,$P$34=0),"",$L$37-1)),MIN(BY$38,$E436),$P$20))-SUM($BF436:BX436))</f>
        <v>0</v>
      </c>
      <c r="BZ436" s="446">
        <f>IF($E436=0,0,IF(MIN(BZ$38,$E436)&lt;MAX($P$34*($B436+$I$38-1),IF(AND($L$37=0,$P$34=0),"",$L$37-1)),0,YEARFRAC(MAX($P$34*($B436+$I$38-1),IF(AND($L$37=0,$P$34=0),"",$L$37-1)),MIN(BZ$38,$E436),$P$20))-SUM($BF436:BY436))</f>
        <v>0</v>
      </c>
      <c r="CA436" s="446">
        <f>IF($E436=0,0,IF(MIN(CA$38,$E436)&lt;MAX($P$34*($B436+$I$38-1),IF(AND($L$37=0,$P$34=0),"",$L$37-1)),0,YEARFRAC(MAX($P$34*($B436+$I$38-1),IF(AND($L$37=0,$P$34=0),"",$L$37-1)),MIN(CA$38,$E436),$P$20))-SUM($BF436:BZ436))</f>
        <v>0</v>
      </c>
      <c r="CB436" s="446">
        <f>IF($E436=0,0,IF(MIN(CB$38,$E436)&lt;MAX($P$34*($B436+$I$38-1),IF(AND($L$37=0,$P$34=0),"",$L$37-1)),0,YEARFRAC(MAX($P$34*($B436+$I$38-1),IF(AND($L$37=0,$P$34=0),"",$L$37-1)),MIN(CB$38,$E436),$P$20))-SUM($BF436:CA436))</f>
        <v>0</v>
      </c>
      <c r="CC436" s="446">
        <f>IF($E436=0,0,IF(MIN(CC$38,$E436)&lt;MAX($P$34*($B436+$I$38-1),IF(AND($L$37=0,$P$34=0),"",$L$37-1)),0,YEARFRAC(MAX($P$34*($B436+$I$38-1),IF(AND($L$37=0,$P$34=0),"",$L$37-1)),MIN(CC$38,$E436),$P$20))-SUM($BF436:CB436))</f>
        <v>0</v>
      </c>
      <c r="CD436" s="446">
        <f>IF($E436=0,0,IF(MIN(CD$38,$E436)&lt;MAX($P$34*($B436+$I$38-1),IF(AND($L$37=0,$P$34=0),"",$L$37-1)),0,YEARFRAC(MAX($P$34*($B436+$I$38-1),IF(AND($L$37=0,$P$34=0),"",$L$37-1)),MIN(CD$38,$E436),$P$20))-SUM($BF436:CC436))</f>
        <v>0</v>
      </c>
      <c r="CE436" s="446">
        <f>IF($E436=0,0,IF(MIN(CE$38,$E436)&lt;MAX($P$34*($B436+$I$38-1),IF(AND($L$37=0,$P$34=0),"",$L$37-1)),0,YEARFRAC(MAX($P$34*($B436+$I$38-1),IF(AND($L$37=0,$P$34=0),"",$L$37-1)),MIN(CE$38,$E436),$P$20))-SUM($BF436:CD436))</f>
        <v>0</v>
      </c>
      <c r="CF436" s="446">
        <f>IF($E436=0,0,IF(MIN(CF$38,$E436)&lt;MAX($P$34*($B436+$I$38-1),IF(AND($L$37=0,$P$34=0),"",$L$37-1)),0,YEARFRAC(MAX($P$34*($B436+$I$38-1),IF(AND($L$37=0,$P$34=0),"",$L$37-1)),MIN(CF$38,$E436),$P$20))-SUM($BF436:CE436))</f>
        <v>0</v>
      </c>
      <c r="CG436" s="446">
        <f>IF($E436=0,0,IF(MIN(CG$38,$E436)&lt;MAX($P$34*($B436+$I$38-1),IF(AND($L$37=0,$P$34=0),"",$L$37-1)),0,YEARFRAC(MAX($P$34*($B436+$I$38-1),IF(AND($L$37=0,$P$34=0),"",$L$37-1)),MIN(CG$38,$E436),$P$20))-SUM($BF436:CF436))</f>
        <v>0</v>
      </c>
      <c r="CH436" s="446">
        <f>IF($E436=0,0,IF(MIN(CH$38,$E436)&lt;MAX($P$34*($B436+$I$38-1),IF(AND($L$37=0,$P$34=0),"",$L$37-1)),0,YEARFRAC(MAX($P$34*($B436+$I$38-1),IF(AND($L$37=0,$P$34=0),"",$L$37-1)),MIN(CH$38,$E436),$P$20))-SUM($BF436:CG436))</f>
        <v>0</v>
      </c>
      <c r="CI436" s="446">
        <f>IF($E436=0,0,IF(MIN(CI$38,$E436)&lt;MAX($P$34*($B436+$I$38-1),IF(AND($L$37=0,$P$34=0),"",$L$37-1)),0,YEARFRAC(MAX($P$34*($B436+$I$38-1),IF(AND($L$37=0,$P$34=0),"",$L$37-1)),MIN(CI$38,$E436),$P$20))-SUM($BF436:CH436))</f>
        <v>0</v>
      </c>
      <c r="CJ436" s="446">
        <f>IF($E436=0,0,IF(MIN(CJ$38,$E436)&lt;MAX($P$34*($B436+$I$38-1),IF(AND($L$37=0,$P$34=0),"",$L$37-1)),0,YEARFRAC(MAX($P$34*($B436+$I$38-1),IF(AND($L$37=0,$P$34=0),"",$L$37-1)),MIN(CJ$38,$E436),$P$20))-SUM($BF436:CI436))</f>
        <v>0</v>
      </c>
      <c r="CK436" s="446">
        <f>IF($E436=0,0,IF(MIN(CK$38,$E436)&lt;MAX($P$34*($B436+$I$38-1),IF(AND($L$37=0,$P$34=0),"",$L$37-1)),0,YEARFRAC(MAX($P$34*($B436+$I$38-1),IF(AND($L$37=0,$P$34=0),"",$L$37-1)),MIN(CK$38,$E436),$P$20))-SUM($BF436:CJ436))</f>
        <v>0</v>
      </c>
      <c r="CL436" s="446">
        <f>IF($E436=0,0,IF(MIN(CL$38,$E436)&lt;MAX($P$34*($B436+$I$38-1),IF(AND($L$37=0,$P$34=0),"",$L$37-1)),0,YEARFRAC(MAX($P$34*($B436+$I$38-1),IF(AND($L$37=0,$P$34=0),"",$L$37-1)),MIN(CL$38,$E436),$P$20))-SUM($BF436:CK436))</f>
        <v>0</v>
      </c>
      <c r="CM436" s="446">
        <f>IF($E436=0,0,IF(MIN(CM$38,$E436)&lt;MAX($P$34*($B436+$I$38-1),IF(AND($L$37=0,$P$34=0),"",$L$37-1)),0,YEARFRAC(MAX($P$34*($B436+$I$38-1),IF(AND($L$37=0,$P$34=0),"",$L$37-1)),MIN(CM$38,$E436),$P$20))-SUM($BF436:CL436))</f>
        <v>0</v>
      </c>
      <c r="CN436" s="446">
        <f>IF($E436=0,0,IF(MIN(CN$38,$E436)&lt;MAX($P$34*($B436+$I$38-1),IF(AND($L$37=0,$P$34=0),"",$L$37-1)),0,YEARFRAC(MAX($P$34*($B436+$I$38-1),IF(AND($L$37=0,$P$34=0),"",$L$37-1)),MIN(CN$38,$E436),$P$20))-SUM($BF436:CM436))</f>
        <v>0</v>
      </c>
      <c r="CO436" s="446">
        <f>IF($E436=0,0,IF(MIN(CO$38,$E436)&lt;MAX($P$34*($B436+$I$38-1),IF(AND($L$37=0,$P$34=0),"",$L$37-1)),0,YEARFRAC(MAX($P$34*($B436+$I$38-1),IF(AND($L$37=0,$P$34=0),"",$L$37-1)),MIN(CO$38,$E436),$P$20))-SUM($BF436:CN436))</f>
        <v>0</v>
      </c>
      <c r="CP436" s="446">
        <f>IF($E436=0,0,IF(MIN(CP$38,$E436)&lt;MAX($P$34*($B436+$I$38-1),IF(AND($L$37=0,$P$34=0),"",$L$37-1)),0,YEARFRAC(MAX($P$34*($B436+$I$38-1),IF(AND($L$37=0,$P$34=0),"",$L$37-1)),MIN(CP$38,$E436),$P$20))-SUM($BF436:CO436))</f>
        <v>0</v>
      </c>
      <c r="CQ436" s="446">
        <f>IF($E436=0,0,IF(MIN(CQ$38,$E436)&lt;MAX($P$34*($B436+$I$38-1),IF(AND($L$37=0,$P$34=0),"",$L$37-1)),0,YEARFRAC(MAX($P$34*($B436+$I$38-1),IF(AND($L$37=0,$P$34=0),"",$L$37-1)),MIN(CQ$38,$E436),$P$20))-SUM($BF436:CP436))</f>
        <v>0</v>
      </c>
    </row>
    <row r="437" spans="1:95" s="446" customFormat="1" ht="11.25" hidden="1" customHeight="1" x14ac:dyDescent="0.2">
      <c r="A437" s="152"/>
      <c r="B437" s="153" t="str">
        <f t="shared" si="81"/>
        <v/>
      </c>
      <c r="C437" s="29" t="str">
        <f>IF(B437="","",IF($L$35="SELIC - TRIBUTOS",VLOOKUP(DATE(YEAR($D$19),MONTH($D$19)-1,1),ÍNDICES!$A:$DE,HLOOKUP($BL$25,ÍNDICES!$B$3:$T$4,2)+11)-VLOOKUP(B437,ÍNDICES!$A:$DE,HLOOKUP($BL$25,ÍNDICES!$B$3:$T$4,2)+11)+1%,IF(C$38=$W$26,$J$35,IF(ISERROR(IF(B437&gt;$D$19,1,VLOOKUP(DATE(YEAR(B437),MONTH(B437)+IF($C$35=$S$23,1,0),1),ÍNDICES!$A:$DE,$Z$35+1))),"",IF(B437&gt;$D$19,1,VLOOKUP(DATE(YEAR(B437),MONTH(B437)+IF($C$35=$S$23,1,0),1),ÍNDICES!$A:$DE,$Z$35+1))))))</f>
        <v/>
      </c>
      <c r="D437" s="154" t="str">
        <f>IF(ISERROR(IF(OR($D$38=$Y$27,$B437=""),"",VLOOKUP(B437,ÍNDICES!A:DE,AF$35+1))),"",IF(OR($D$38=$Y$27,$B437=""),"",VLOOKUP(B437,ÍNDICES!A:DE,AF$35+1)))</f>
        <v/>
      </c>
      <c r="E437" s="153"/>
      <c r="F437" s="29" t="str">
        <f>IF(E437="","",IF($L$35="SELIC - TRIBUTOS",VLOOKUP(DATE(YEAR($D$19),MONTH($D$19)-1,1),ÍNDICES!$A:$DE,HLOOKUP($BL$25,ÍNDICES!$B$3:$T$4,2)+11)-VLOOKUP(E437,ÍNDICES!$A:$DE,HLOOKUP($BL$25,ÍNDICES!$B$3:$T$4,2)+11)+1%,IF(F$38=$W$26,$J$35,IF(ISERROR(IF(E437&gt;$D$19,1,VLOOKUP(DATE(YEAR(E437),MONTH(E437)+IF($C$35=$S$23,1,0),1),ÍNDICES!$A:$DE,$Z$35+1))),"",IF(E437&gt;$D$19,1,VLOOKUP(DATE(YEAR(E437),MONTH(E437)+IF($C$35=$S$23,1,0),1),ÍNDICES!$A:$DE,$Z$35+1))))))</f>
        <v/>
      </c>
      <c r="G437" s="155"/>
      <c r="H437" s="156" t="str">
        <f t="shared" si="77"/>
        <v/>
      </c>
      <c r="I437" s="29" t="str">
        <f t="shared" si="71"/>
        <v/>
      </c>
      <c r="J437" s="5">
        <f t="shared" si="72"/>
        <v>0</v>
      </c>
      <c r="K437" s="20">
        <f t="shared" ca="1" si="73"/>
        <v>0</v>
      </c>
      <c r="L437" s="5">
        <f t="shared" ca="1" si="74"/>
        <v>0</v>
      </c>
      <c r="M437" s="64">
        <f t="shared" si="78"/>
        <v>0</v>
      </c>
      <c r="N437" s="61">
        <f t="shared" ca="1" si="79"/>
        <v>0</v>
      </c>
      <c r="O437" s="5">
        <f t="shared" ca="1" si="80"/>
        <v>0</v>
      </c>
      <c r="P437" s="446" t="e">
        <f t="shared" si="75"/>
        <v>#VALUE!</v>
      </c>
      <c r="Q437" s="446" t="e">
        <f>IF(OR($B437="",MIN(Q$38,$D$19)&lt;MAX($P$34*($B437+IF($R$17="Distrato",$I$38-1,0)),IF(AND($L$37=0,$P$34=0),"",$L$37-1),IF($R$17="Distrato",$E437,0))),0,YEARFRAC(MAX($P$34*($B437+IF($R$17="Distrato",$I$38-1,0)),IF(AND($L$37=0,$P$34=0),"",$L$37-1),IF($R$17="Distrato",$E437,0)),MIN(Q$38,$D$19),$P$20))-SUM($P437:P437)</f>
        <v>#VALUE!</v>
      </c>
      <c r="R437" s="446" t="e">
        <f>IF(OR($B437="",MIN(R$38,$D$19)&lt;MAX($P$34*($B437+IF($R$17="Distrato",$I$38-1,0)),IF(AND($L$37=0,$P$34=0),"",$L$37-1),IF($R$17="Distrato",$E437,0))),0,YEARFRAC(MAX($P$34*($B437+IF($R$17="Distrato",$I$38-1,0)),IF(AND($L$37=0,$P$34=0),"",$L$37-1),IF($R$17="Distrato",$E437,0)),MIN(R$38,$D$19),$P$20))-SUM($P437:Q437)</f>
        <v>#VALUE!</v>
      </c>
      <c r="S437" s="446" t="e">
        <f>IF(OR($B437="",MIN(S$38,$D$19)&lt;MAX($P$34*($B437+IF($R$17="Distrato",$I$38-1,0)),IF(AND($L$37=0,$P$34=0),"",$L$37-1),IF($R$17="Distrato",$E437,0))),0,YEARFRAC(MAX($P$34*($B437+IF($R$17="Distrato",$I$38-1,0)),IF(AND($L$37=0,$P$34=0),"",$L$37-1),IF($R$17="Distrato",$E437,0)),MIN(S$38,$D$19),$P$20))-SUM($P437:R437)</f>
        <v>#VALUE!</v>
      </c>
      <c r="T437" s="446" t="e">
        <f>IF(OR($B437="",MIN(T$38,$D$19)&lt;MAX($P$34*($B437+IF($R$17="Distrato",$I$38-1,0)),IF(AND($L$37=0,$P$34=0),"",$L$37-1),IF($R$17="Distrato",$E437,0))),0,YEARFRAC(MAX($P$34*($B437+IF($R$17="Distrato",$I$38-1,0)),IF(AND($L$37=0,$P$34=0),"",$L$37-1),IF($R$17="Distrato",$E437,0)),MIN(T$38,$D$19),$P$20))-SUM($P437:S437)</f>
        <v>#VALUE!</v>
      </c>
      <c r="U437" s="446" t="e">
        <f>IF(OR($B437="",MIN(U$38,$D$19)&lt;MAX($P$34*($B437+IF($R$17="Distrato",$I$38-1,0)),IF(AND($L$37=0,$P$34=0),"",$L$37-1),IF($R$17="Distrato",$E437,0))),0,YEARFRAC(MAX($P$34*($B437+IF($R$17="Distrato",$I$38-1,0)),IF(AND($L$37=0,$P$34=0),"",$L$37-1),IF($R$17="Distrato",$E437,0)),MIN(U$38,$D$19),$P$20))-SUM($P437:T437)</f>
        <v>#VALUE!</v>
      </c>
      <c r="V437" s="446" t="e">
        <f>IF(OR($B437="",MIN(V$38,$D$19)&lt;MAX($P$34*($B437+IF($R$17="Distrato",$I$38-1,0)),IF(AND($L$37=0,$P$34=0),"",$L$37-1),IF($R$17="Distrato",$E437,0))),0,YEARFRAC(MAX($P$34*($B437+IF($R$17="Distrato",$I$38-1,0)),IF(AND($L$37=0,$P$34=0),"",$L$37-1),IF($R$17="Distrato",$E437,0)),MIN(V$38,$D$19),$P$20))-SUM($P437:U437)</f>
        <v>#VALUE!</v>
      </c>
      <c r="W437" s="446" t="e">
        <f>IF(OR($B437="",MIN(W$38,$D$19)&lt;MAX($P$34*($B437+IF($R$17="Distrato",$I$38-1,0)),IF(AND($L$37=0,$P$34=0),"",$L$37-1),IF($R$17="Distrato",$E437,0))),0,YEARFRAC(MAX($P$34*($B437+IF($R$17="Distrato",$I$38-1,0)),IF(AND($L$37=0,$P$34=0),"",$L$37-1),IF($R$17="Distrato",$E437,0)),MIN(W$38,$D$19),$P$20))-SUM($P437:V437)</f>
        <v>#VALUE!</v>
      </c>
      <c r="X437" s="446" t="e">
        <f>IF(OR($B437="",MIN(X$38,$D$19)&lt;MAX($P$34*($B437+IF($R$17="Distrato",$I$38-1,0)),IF(AND($L$37=0,$P$34=0),"",$L$37-1),IF($R$17="Distrato",$E437,0))),0,YEARFRAC(MAX($P$34*($B437+IF($R$17="Distrato",$I$38-1,0)),IF(AND($L$37=0,$P$34=0),"",$L$37-1),IF($R$17="Distrato",$E437,0)),MIN(X$38,$D$19),$P$20))-SUM($P437:W437)</f>
        <v>#VALUE!</v>
      </c>
      <c r="Y437" s="446" t="e">
        <f>IF(OR($B437="",MIN(Y$38,$D$19)&lt;MAX($P$34*($B437+IF($R$17="Distrato",$I$38-1,0)),IF(AND($L$37=0,$P$34=0),"",$L$37-1),IF($R$17="Distrato",$E437,0))),0,YEARFRAC(MAX($P$34*($B437+IF($R$17="Distrato",$I$38-1,0)),IF(AND($L$37=0,$P$34=0),"",$L$37-1),IF($R$17="Distrato",$E437,0)),MIN(Y$38,$D$19),$P$20))-SUM($P437:X437)</f>
        <v>#VALUE!</v>
      </c>
      <c r="Z437" s="446" t="e">
        <f>IF(OR($B437="",MIN(Z$38,$D$19)&lt;MAX($P$34*($B437+IF($R$17="Distrato",$I$38-1,0)),IF(AND($L$37=0,$P$34=0),"",$L$37-1),IF($R$17="Distrato",$E437,0))),0,YEARFRAC(MAX($P$34*($B437+IF($R$17="Distrato",$I$38-1,0)),IF(AND($L$37=0,$P$34=0),"",$L$37-1),IF($R$17="Distrato",$E437,0)),MIN(Z$38,$D$19),$P$20))-SUM($P437:Y437)</f>
        <v>#VALUE!</v>
      </c>
      <c r="AA437" s="446" t="e">
        <f>IF(OR($B437="",MIN(AA$38,$D$19)&lt;MAX($P$34*($B437+IF($R$17="Distrato",$I$38-1,0)),IF(AND($L$37=0,$P$34=0),"",$L$37-1),IF($R$17="Distrato",$E437,0))),0,YEARFRAC(MAX($P$34*($B437+IF($R$17="Distrato",$I$38-1,0)),IF(AND($L$37=0,$P$34=0),"",$L$37-1),IF($R$17="Distrato",$E437,0)),MIN(AA$38,$D$19),$P$20))-SUM($P437:Z437)</f>
        <v>#VALUE!</v>
      </c>
      <c r="AB437" s="446" t="e">
        <f>IF(OR($B437="",MIN(AB$38,$D$19)&lt;MAX($P$34*($B437+IF($R$17="Distrato",$I$38-1,0)),IF(AND($L$37=0,$P$34=0),"",$L$37-1),IF($R$17="Distrato",$E437,0))),0,YEARFRAC(MAX($P$34*($B437+IF($R$17="Distrato",$I$38-1,0)),IF(AND($L$37=0,$P$34=0),"",$L$37-1),IF($R$17="Distrato",$E437,0)),MIN(AB$38,$D$19),$P$20))-SUM($P437:AA437)</f>
        <v>#VALUE!</v>
      </c>
      <c r="AC437" s="446" t="e">
        <f>IF(OR($B437="",MIN(AC$38,$D$19)&lt;MAX($P$34*($B437+IF($R$17="Distrato",$I$38-1,0)),IF(AND($L$37=0,$P$34=0),"",$L$37-1),IF($R$17="Distrato",$E437,0))),0,YEARFRAC(MAX($P$34*($B437+IF($R$17="Distrato",$I$38-1,0)),IF(AND($L$37=0,$P$34=0),"",$L$37-1),IF($R$17="Distrato",$E437,0)),MIN(AC$38,$D$19),$P$20))-SUM($P437:AB437)</f>
        <v>#VALUE!</v>
      </c>
      <c r="AD437" s="446" t="e">
        <f>IF(OR($B437="",MIN(AD$38,$D$19)&lt;MAX($P$34*($B437+IF($R$17="Distrato",$I$38-1,0)),IF(AND($L$37=0,$P$34=0),"",$L$37-1),IF($R$17="Distrato",$E437,0))),0,YEARFRAC(MAX($P$34*($B437+IF($R$17="Distrato",$I$38-1,0)),IF(AND($L$37=0,$P$34=0),"",$L$37-1),IF($R$17="Distrato",$E437,0)),MIN(AD$38,$D$19),$P$20))-SUM($P437:AC437)</f>
        <v>#VALUE!</v>
      </c>
      <c r="AE437" s="446" t="e">
        <f>IF(OR($B437="",MIN(AE$38,$D$19)&lt;MAX($P$34*($B437+IF($R$17="Distrato",$I$38-1,0)),IF(AND($L$37=0,$P$34=0),"",$L$37-1),IF($R$17="Distrato",$E437,0))),0,YEARFRAC(MAX($P$34*($B437+IF($R$17="Distrato",$I$38-1,0)),IF(AND($L$37=0,$P$34=0),"",$L$37-1),IF($R$17="Distrato",$E437,0)),MIN(AE$38,$D$19),$P$20))-SUM($P437:AD437)</f>
        <v>#VALUE!</v>
      </c>
      <c r="AF437" s="446" t="e">
        <f>IF(OR($B437="",MIN(AF$38,$D$19)&lt;MAX($P$34*($B437+IF($R$17="Distrato",$I$38-1,0)),IF(AND($L$37=0,$P$34=0),"",$L$37-1),IF($R$17="Distrato",$E437,0))),0,YEARFRAC(MAX($P$34*($B437+IF($R$17="Distrato",$I$38-1,0)),IF(AND($L$37=0,$P$34=0),"",$L$37-1),IF($R$17="Distrato",$E437,0)),MIN(AF$38,$D$19),$P$20))-SUM($P437:AE437)</f>
        <v>#VALUE!</v>
      </c>
      <c r="AG437" s="446" t="e">
        <f>IF(OR($B437="",MIN(AG$38,$D$19)&lt;MAX($P$34*($B437+IF($R$17="Distrato",$I$38-1,0)),IF(AND($L$37=0,$P$34=0),"",$L$37-1),IF($R$17="Distrato",$E437,0))),0,YEARFRAC(MAX($P$34*($B437+IF($R$17="Distrato",$I$38-1,0)),IF(AND($L$37=0,$P$34=0),"",$L$37-1),IF($R$17="Distrato",$E437,0)),MIN(AG$38,$D$19),$P$20))-SUM($P437:AF437)</f>
        <v>#VALUE!</v>
      </c>
      <c r="AH437" s="446" t="e">
        <f>IF(OR($B437="",MIN(AH$38,$D$19)&lt;MAX($P$34*($B437+IF($R$17="Distrato",$I$38-1,0)),IF(AND($L$37=0,$P$34=0),"",$L$37-1),IF($R$17="Distrato",$E437,0))),0,YEARFRAC(MAX($P$34*($B437+IF($R$17="Distrato",$I$38-1,0)),IF(AND($L$37=0,$P$34=0),"",$L$37-1),IF($R$17="Distrato",$E437,0)),MIN(AH$38,$D$19),$P$20))-SUM($P437:AG437)</f>
        <v>#VALUE!</v>
      </c>
      <c r="AI437" s="446" t="e">
        <f>IF(OR($B437="",MIN(AI$38,$D$19)&lt;MAX($P$34*($B437+IF($R$17="Distrato",$I$38-1,0)),IF(AND($L$37=0,$P$34=0),"",$L$37-1),IF($R$17="Distrato",$E437,0))),0,YEARFRAC(MAX($P$34*($B437+IF($R$17="Distrato",$I$38-1,0)),IF(AND($L$37=0,$P$34=0),"",$L$37-1),IF($R$17="Distrato",$E437,0)),MIN(AI$38,$D$19),$P$20))-SUM($P437:AH437)</f>
        <v>#VALUE!</v>
      </c>
      <c r="AJ437" s="446" t="e">
        <f>IF(OR($B437="",MIN(AJ$38,$D$19)&lt;MAX($P$34*($B437+IF($R$17="Distrato",$I$38-1,0)),IF(AND($L$37=0,$P$34=0),"",$L$37-1),IF($R$17="Distrato",$E437,0))),0,YEARFRAC(MAX($P$34*($B437+IF($R$17="Distrato",$I$38-1,0)),IF(AND($L$37=0,$P$34=0),"",$L$37-1),IF($R$17="Distrato",$E437,0)),MIN(AJ$38,$D$19),$P$20))-SUM($P437:AI437)</f>
        <v>#VALUE!</v>
      </c>
      <c r="AK437" s="446" t="e">
        <f>IF(OR($B437="",MIN(AK$38,$D$19)&lt;MAX($P$34*($B437+IF($R$17="Distrato",$I$38-1,0)),IF(AND($L$37=0,$P$34=0),"",$L$37-1),IF($R$17="Distrato",$E437,0))),0,YEARFRAC(MAX($P$34*($B437+IF($R$17="Distrato",$I$38-1,0)),IF(AND($L$37=0,$P$34=0),"",$L$37-1),IF($R$17="Distrato",$E437,0)),MIN(AK$38,$D$19),$P$20))-SUM($P437:AJ437)</f>
        <v>#VALUE!</v>
      </c>
      <c r="AL437" s="446" t="e">
        <f>IF(OR($B437="",MIN(AL$38,$D$19)&lt;MAX($P$34*($B437+IF($R$17="Distrato",$I$38-1,0)),IF(AND($L$37=0,$P$34=0),"",$L$37-1),IF($R$17="Distrato",$E437,0))),0,YEARFRAC(MAX($P$34*($B437+IF($R$17="Distrato",$I$38-1,0)),IF(AND($L$37=0,$P$34=0),"",$L$37-1),IF($R$17="Distrato",$E437,0)),MIN(AL$38,$D$19),$P$20))-SUM($P437:AK437)</f>
        <v>#VALUE!</v>
      </c>
      <c r="AM437" s="446" t="e">
        <f>IF(OR($B437="",MIN(AM$38,$D$19)&lt;MAX($P$34*($B437+IF($R$17="Distrato",$I$38-1,0)),IF(AND($L$37=0,$P$34=0),"",$L$37-1),IF($R$17="Distrato",$E437,0))),0,YEARFRAC(MAX($P$34*($B437+IF($R$17="Distrato",$I$38-1,0)),IF(AND($L$37=0,$P$34=0),"",$L$37-1),IF($R$17="Distrato",$E437,0)),MIN(AM$38,$D$19),$P$20))-SUM($P437:AL437)</f>
        <v>#VALUE!</v>
      </c>
      <c r="AN437" s="446" t="e">
        <f>IF(OR($B437="",MIN(AN$38,$D$19)&lt;MAX($P$34*($B437+IF($R$17="Distrato",$I$38-1,0)),IF(AND($L$37=0,$P$34=0),"",$L$37-1),IF($R$17="Distrato",$E437,0))),0,YEARFRAC(MAX($P$34*($B437+IF($R$17="Distrato",$I$38-1,0)),IF(AND($L$37=0,$P$34=0),"",$L$37-1),IF($R$17="Distrato",$E437,0)),MIN(AN$38,$D$19),$P$20))-SUM($P437:AM437)</f>
        <v>#VALUE!</v>
      </c>
      <c r="AO437" s="446" t="e">
        <f>IF(OR($B437="",MIN(AO$38,$D$19)&lt;MAX($P$34*($B437+IF($R$17="Distrato",$I$38-1,0)),IF(AND($L$37=0,$P$34=0),"",$L$37-1),IF($R$17="Distrato",$E437,0))),0,YEARFRAC(MAX($P$34*($B437+IF($R$17="Distrato",$I$38-1,0)),IF(AND($L$37=0,$P$34=0),"",$L$37-1),IF($R$17="Distrato",$E437,0)),MIN(AO$38,$D$19),$P$20))-SUM($P437:AN437)</f>
        <v>#VALUE!</v>
      </c>
      <c r="AP437" s="446" t="e">
        <f>IF(OR($B437="",MIN(AP$38,$D$19)&lt;MAX($P$34*($B437+IF($R$17="Distrato",$I$38-1,0)),IF(AND($L$37=0,$P$34=0),"",$L$37-1),IF($R$17="Distrato",$E437,0))),0,YEARFRAC(MAX($P$34*($B437+IF($R$17="Distrato",$I$38-1,0)),IF(AND($L$37=0,$P$34=0),"",$L$37-1),IF($R$17="Distrato",$E437,0)),MIN(AP$38,$D$19),$P$20))-SUM($P437:AO437)</f>
        <v>#VALUE!</v>
      </c>
      <c r="AQ437" s="446" t="e">
        <f>IF(OR($B437="",MIN(AQ$38,$D$19)&lt;MAX($P$34*($B437+IF($R$17="Distrato",$I$38-1,0)),IF(AND($L$37=0,$P$34=0),"",$L$37-1),IF($R$17="Distrato",$E437,0))),0,YEARFRAC(MAX($P$34*($B437+IF($R$17="Distrato",$I$38-1,0)),IF(AND($L$37=0,$P$34=0),"",$L$37-1),IF($R$17="Distrato",$E437,0)),MIN(AQ$38,$D$19),$P$20))-SUM($P437:AP437)</f>
        <v>#VALUE!</v>
      </c>
      <c r="AR437" s="446" t="e">
        <f>IF(OR($B437="",MIN(AR$38,$D$19)&lt;MAX($P$34*($B437+IF($R$17="Distrato",$I$38-1,0)),IF(AND($L$37=0,$P$34=0),"",$L$37-1),IF($R$17="Distrato",$E437,0))),0,YEARFRAC(MAX($P$34*($B437+IF($R$17="Distrato",$I$38-1,0)),IF(AND($L$37=0,$P$34=0),"",$L$37-1),IF($R$17="Distrato",$E437,0)),MIN(AR$38,$D$19),$P$20))-SUM($P437:AQ437)</f>
        <v>#VALUE!</v>
      </c>
      <c r="AS437" s="446" t="e">
        <f>IF(OR($B437="",MIN(AS$38,$D$19)&lt;MAX($P$34*($B437+IF($R$17="Distrato",$I$38-1,0)),IF(AND($L$37=0,$P$34=0),"",$L$37-1),IF($R$17="Distrato",$E437,0))),0,YEARFRAC(MAX($P$34*($B437+IF($R$17="Distrato",$I$38-1,0)),IF(AND($L$37=0,$P$34=0),"",$L$37-1),IF($R$17="Distrato",$E437,0)),MIN(AS$38,$D$19),$P$20))-SUM($P437:AR437)</f>
        <v>#VALUE!</v>
      </c>
      <c r="AT437" s="446" t="e">
        <f>IF(OR($B437="",MIN(AT$38,$D$19)&lt;MAX($P$34*($B437+IF($R$17="Distrato",$I$38-1,0)),IF(AND($L$37=0,$P$34=0),"",$L$37-1),IF($R$17="Distrato",$E437,0))),0,YEARFRAC(MAX($P$34*($B437+IF($R$17="Distrato",$I$38-1,0)),IF(AND($L$37=0,$P$34=0),"",$L$37-1),IF($R$17="Distrato",$E437,0)),MIN(AT$38,$D$19),$P$20))-SUM($P437:AS437)</f>
        <v>#VALUE!</v>
      </c>
      <c r="AU437" s="446" t="e">
        <f>IF(OR($B437="",MIN(AU$38,$D$19)&lt;MAX($P$34*($B437+IF($R$17="Distrato",$I$38-1,0)),IF(AND($L$37=0,$P$34=0),"",$L$37-1),IF($R$17="Distrato",$E437,0))),0,YEARFRAC(MAX($P$34*($B437+IF($R$17="Distrato",$I$38-1,0)),IF(AND($L$37=0,$P$34=0),"",$L$37-1),IF($R$17="Distrato",$E437,0)),MIN(AU$38,$D$19),$P$20))-SUM($P437:AT437)</f>
        <v>#VALUE!</v>
      </c>
      <c r="AV437" s="446" t="e">
        <f>IF(OR($B437="",MIN(AV$38,$D$19)&lt;MAX($P$34*($B437+IF($R$17="Distrato",$I$38-1,0)),IF(AND($L$37=0,$P$34=0),"",$L$37-1),IF($R$17="Distrato",$E437,0))),0,YEARFRAC(MAX($P$34*($B437+IF($R$17="Distrato",$I$38-1,0)),IF(AND($L$37=0,$P$34=0),"",$L$37-1),IF($R$17="Distrato",$E437,0)),MIN(AV$38,$D$19),$P$20))-SUM($P437:AU437)</f>
        <v>#VALUE!</v>
      </c>
      <c r="AW437" s="446" t="e">
        <f>IF(OR($B437="",MIN(AW$38,$D$19)&lt;MAX($P$34*($B437+IF($R$17="Distrato",$I$38-1,0)),IF(AND($L$37=0,$P$34=0),"",$L$37-1),IF($R$17="Distrato",$E437,0))),0,YEARFRAC(MAX($P$34*($B437+IF($R$17="Distrato",$I$38-1,0)),IF(AND($L$37=0,$P$34=0),"",$L$37-1),IF($R$17="Distrato",$E437,0)),MIN(AW$38,$D$19),$P$20))-SUM($P437:AV437)</f>
        <v>#VALUE!</v>
      </c>
      <c r="AX437" s="446" t="e">
        <f>IF(OR($B437="",MIN(AX$38,$D$19)&lt;MAX($P$34*($B437+IF($R$17="Distrato",$I$38-1,0)),IF(AND($L$37=0,$P$34=0),"",$L$37-1),IF($R$17="Distrato",$E437,0))),0,YEARFRAC(MAX($P$34*($B437+IF($R$17="Distrato",$I$38-1,0)),IF(AND($L$37=0,$P$34=0),"",$L$37-1),IF($R$17="Distrato",$E437,0)),MIN(AX$38,$D$19),$P$20))-SUM($P437:AW437)</f>
        <v>#VALUE!</v>
      </c>
      <c r="AY437" s="446" t="e">
        <f>IF(OR($B437="",MIN(AY$38,$D$19)&lt;MAX($P$34*($B437+IF($R$17="Distrato",$I$38-1,0)),IF(AND($L$37=0,$P$34=0),"",$L$37-1),IF($R$17="Distrato",$E437,0))),0,YEARFRAC(MAX($P$34*($B437+IF($R$17="Distrato",$I$38-1,0)),IF(AND($L$37=0,$P$34=0),"",$L$37-1),IF($R$17="Distrato",$E437,0)),MIN(AY$38,$D$19),$P$20))-SUM($P437:AX437)</f>
        <v>#VALUE!</v>
      </c>
      <c r="AZ437" s="446" t="e">
        <f>IF(OR($B437="",MIN(AZ$38,$D$19)&lt;MAX($P$34*($B437+IF($R$17="Distrato",$I$38-1,0)),IF(AND($L$37=0,$P$34=0),"",$L$37-1),IF($R$17="Distrato",$E437,0))),0,YEARFRAC(MAX($P$34*($B437+IF($R$17="Distrato",$I$38-1,0)),IF(AND($L$37=0,$P$34=0),"",$L$37-1),IF($R$17="Distrato",$E437,0)),MIN(AZ$38,$D$19),$P$20))-SUM($P437:AY437)</f>
        <v>#VALUE!</v>
      </c>
      <c r="BA437" s="446" t="e">
        <f>IF(OR($B437="",MIN(BA$38,$D$19)&lt;MAX($P$34*($B437+IF($R$17="Distrato",$I$38-1,0)),IF(AND($L$37=0,$P$34=0),"",$L$37-1),IF($R$17="Distrato",$E437,0))),0,YEARFRAC(MAX($P$34*($B437+IF($R$17="Distrato",$I$38-1,0)),IF(AND($L$37=0,$P$34=0),"",$L$37-1),IF($R$17="Distrato",$E437,0)),MIN(BA$38,$D$19),$P$20))-SUM($P437:AZ437)</f>
        <v>#VALUE!</v>
      </c>
      <c r="BB437" s="447"/>
      <c r="BF437" s="446">
        <f t="shared" si="76"/>
        <v>0</v>
      </c>
      <c r="BG437" s="446">
        <f>IF($E437=0,0,IF(MIN(BG$38,$E437)&lt;MAX($P$34*($B437+$I$38-1),IF(AND($L$37=0,$P$34=0),"",$L$37-1)),0,YEARFRAC(MAX($P$34*($B437+$I$38-1),IF(AND($L$37=0,$P$34=0),"",$L$37-1)),MIN(BG$38,$E437),$P$20))-SUM($BF437:BF437))</f>
        <v>0</v>
      </c>
      <c r="BH437" s="446">
        <f>IF($E437=0,0,IF(MIN(BH$38,$E437)&lt;MAX($P$34*($B437+$I$38-1),IF(AND($L$37=0,$P$34=0),"",$L$37-1)),0,YEARFRAC(MAX($P$34*($B437+$I$38-1),IF(AND($L$37=0,$P$34=0),"",$L$37-1)),MIN(BH$38,$E437),$P$20))-SUM($BF437:BG437))</f>
        <v>0</v>
      </c>
      <c r="BI437" s="446">
        <f>IF($E437=0,0,IF(MIN(BI$38,$E437)&lt;MAX($P$34*($B437+$I$38-1),IF(AND($L$37=0,$P$34=0),"",$L$37-1)),0,YEARFRAC(MAX($P$34*($B437+$I$38-1),IF(AND($L$37=0,$P$34=0),"",$L$37-1)),MIN(BI$38,$E437),$P$20))-SUM($BF437:BH437))</f>
        <v>0</v>
      </c>
      <c r="BJ437" s="446">
        <f>IF($E437=0,0,IF(MIN(BJ$38,$E437)&lt;MAX($P$34*($B437+$I$38-1),IF(AND($L$37=0,$P$34=0),"",$L$37-1)),0,YEARFRAC(MAX($P$34*($B437+$I$38-1),IF(AND($L$37=0,$P$34=0),"",$L$37-1)),MIN(BJ$38,$E437),$P$20))-SUM($BF437:BI437))</f>
        <v>0</v>
      </c>
      <c r="BK437" s="446">
        <f>IF($E437=0,0,IF(MIN(BK$38,$E437)&lt;MAX($P$34*($B437+$I$38-1),IF(AND($L$37=0,$P$34=0),"",$L$37-1)),0,YEARFRAC(MAX($P$34*($B437+$I$38-1),IF(AND($L$37=0,$P$34=0),"",$L$37-1)),MIN(BK$38,$E437),$P$20))-SUM($BF437:BJ437))</f>
        <v>0</v>
      </c>
      <c r="BL437" s="446">
        <f>IF($E437=0,0,IF(MIN(BL$38,$E437)&lt;MAX($P$34*($B437+$I$38-1),IF(AND($L$37=0,$P$34=0),"",$L$37-1)),0,YEARFRAC(MAX($P$34*($B437+$I$38-1),IF(AND($L$37=0,$P$34=0),"",$L$37-1)),MIN(BL$38,$E437),$P$20))-SUM($BF437:BK437))</f>
        <v>0</v>
      </c>
      <c r="BM437" s="446">
        <f>IF($E437=0,0,IF(MIN(BM$38,$E437)&lt;MAX($P$34*($B437+$I$38-1),IF(AND($L$37=0,$P$34=0),"",$L$37-1)),0,YEARFRAC(MAX($P$34*($B437+$I$38-1),IF(AND($L$37=0,$P$34=0),"",$L$37-1)),MIN(BM$38,$E437),$P$20))-SUM($BF437:BL437))</f>
        <v>0</v>
      </c>
      <c r="BN437" s="446">
        <f>IF($E437=0,0,IF(MIN(BN$38,$E437)&lt;MAX($P$34*($B437+$I$38-1),IF(AND($L$37=0,$P$34=0),"",$L$37-1)),0,YEARFRAC(MAX($P$34*($B437+$I$38-1),IF(AND($L$37=0,$P$34=0),"",$L$37-1)),MIN(BN$38,$E437),$P$20))-SUM($BF437:BM437))</f>
        <v>0</v>
      </c>
      <c r="BO437" s="446">
        <f>IF($E437=0,0,IF(MIN(BO$38,$E437)&lt;MAX($P$34*($B437+$I$38-1),IF(AND($L$37=0,$P$34=0),"",$L$37-1)),0,YEARFRAC(MAX($P$34*($B437+$I$38-1),IF(AND($L$37=0,$P$34=0),"",$L$37-1)),MIN(BO$38,$E437),$P$20))-SUM($BF437:BN437))</f>
        <v>0</v>
      </c>
      <c r="BP437" s="446">
        <f>IF($E437=0,0,IF(MIN(BP$38,$E437)&lt;MAX($P$34*($B437+$I$38-1),IF(AND($L$37=0,$P$34=0),"",$L$37-1)),0,YEARFRAC(MAX($P$34*($B437+$I$38-1),IF(AND($L$37=0,$P$34=0),"",$L$37-1)),MIN(BP$38,$E437),$P$20))-SUM($BF437:BO437))</f>
        <v>0</v>
      </c>
      <c r="BQ437" s="446">
        <f>IF($E437=0,0,IF(MIN(BQ$38,$E437)&lt;MAX($P$34*($B437+$I$38-1),IF(AND($L$37=0,$P$34=0),"",$L$37-1)),0,YEARFRAC(MAX($P$34*($B437+$I$38-1),IF(AND($L$37=0,$P$34=0),"",$L$37-1)),MIN(BQ$38,$E437),$P$20))-SUM($BF437:BP437))</f>
        <v>0</v>
      </c>
      <c r="BR437" s="446">
        <f>IF($E437=0,0,IF(MIN(BR$38,$E437)&lt;MAX($P$34*($B437+$I$38-1),IF(AND($L$37=0,$P$34=0),"",$L$37-1)),0,YEARFRAC(MAX($P$34*($B437+$I$38-1),IF(AND($L$37=0,$P$34=0),"",$L$37-1)),MIN(BR$38,$E437),$P$20))-SUM($BF437:BQ437))</f>
        <v>0</v>
      </c>
      <c r="BS437" s="446">
        <f>IF($E437=0,0,IF(MIN(BS$38,$E437)&lt;MAX($P$34*($B437+$I$38-1),IF(AND($L$37=0,$P$34=0),"",$L$37-1)),0,YEARFRAC(MAX($P$34*($B437+$I$38-1),IF(AND($L$37=0,$P$34=0),"",$L$37-1)),MIN(BS$38,$E437),$P$20))-SUM($BF437:BR437))</f>
        <v>0</v>
      </c>
      <c r="BT437" s="446">
        <f>IF($E437=0,0,IF(MIN(BT$38,$E437)&lt;MAX($P$34*($B437+$I$38-1),IF(AND($L$37=0,$P$34=0),"",$L$37-1)),0,YEARFRAC(MAX($P$34*($B437+$I$38-1),IF(AND($L$37=0,$P$34=0),"",$L$37-1)),MIN(BT$38,$E437),$P$20))-SUM($BF437:BS437))</f>
        <v>0</v>
      </c>
      <c r="BU437" s="446">
        <f>IF($E437=0,0,IF(MIN(BU$38,$E437)&lt;MAX($P$34*($B437+$I$38-1),IF(AND($L$37=0,$P$34=0),"",$L$37-1)),0,YEARFRAC(MAX($P$34*($B437+$I$38-1),IF(AND($L$37=0,$P$34=0),"",$L$37-1)),MIN(BU$38,$E437),$P$20))-SUM($BF437:BT437))</f>
        <v>0</v>
      </c>
      <c r="BV437" s="446">
        <f>IF($E437=0,0,IF(MIN(BV$38,$E437)&lt;MAX($P$34*($B437+$I$38-1),IF(AND($L$37=0,$P$34=0),"",$L$37-1)),0,YEARFRAC(MAX($P$34*($B437+$I$38-1),IF(AND($L$37=0,$P$34=0),"",$L$37-1)),MIN(BV$38,$E437),$P$20))-SUM($BF437:BU437))</f>
        <v>0</v>
      </c>
      <c r="BW437" s="446">
        <f>IF($E437=0,0,IF(MIN(BW$38,$E437)&lt;MAX($P$34*($B437+$I$38-1),IF(AND($L$37=0,$P$34=0),"",$L$37-1)),0,YEARFRAC(MAX($P$34*($B437+$I$38-1),IF(AND($L$37=0,$P$34=0),"",$L$37-1)),MIN(BW$38,$E437),$P$20))-SUM($BF437:BV437))</f>
        <v>0</v>
      </c>
      <c r="BX437" s="446">
        <f>IF($E437=0,0,IF(MIN(BX$38,$E437)&lt;MAX($P$34*($B437+$I$38-1),IF(AND($L$37=0,$P$34=0),"",$L$37-1)),0,YEARFRAC(MAX($P$34*($B437+$I$38-1),IF(AND($L$37=0,$P$34=0),"",$L$37-1)),MIN(BX$38,$E437),$P$20))-SUM($BF437:BW437))</f>
        <v>0</v>
      </c>
      <c r="BY437" s="446">
        <f>IF($E437=0,0,IF(MIN(BY$38,$E437)&lt;MAX($P$34*($B437+$I$38-1),IF(AND($L$37=0,$P$34=0),"",$L$37-1)),0,YEARFRAC(MAX($P$34*($B437+$I$38-1),IF(AND($L$37=0,$P$34=0),"",$L$37-1)),MIN(BY$38,$E437),$P$20))-SUM($BF437:BX437))</f>
        <v>0</v>
      </c>
      <c r="BZ437" s="446">
        <f>IF($E437=0,0,IF(MIN(BZ$38,$E437)&lt;MAX($P$34*($B437+$I$38-1),IF(AND($L$37=0,$P$34=0),"",$L$37-1)),0,YEARFRAC(MAX($P$34*($B437+$I$38-1),IF(AND($L$37=0,$P$34=0),"",$L$37-1)),MIN(BZ$38,$E437),$P$20))-SUM($BF437:BY437))</f>
        <v>0</v>
      </c>
      <c r="CA437" s="446">
        <f>IF($E437=0,0,IF(MIN(CA$38,$E437)&lt;MAX($P$34*($B437+$I$38-1),IF(AND($L$37=0,$P$34=0),"",$L$37-1)),0,YEARFRAC(MAX($P$34*($B437+$I$38-1),IF(AND($L$37=0,$P$34=0),"",$L$37-1)),MIN(CA$38,$E437),$P$20))-SUM($BF437:BZ437))</f>
        <v>0</v>
      </c>
      <c r="CB437" s="446">
        <f>IF($E437=0,0,IF(MIN(CB$38,$E437)&lt;MAX($P$34*($B437+$I$38-1),IF(AND($L$37=0,$P$34=0),"",$L$37-1)),0,YEARFRAC(MAX($P$34*($B437+$I$38-1),IF(AND($L$37=0,$P$34=0),"",$L$37-1)),MIN(CB$38,$E437),$P$20))-SUM($BF437:CA437))</f>
        <v>0</v>
      </c>
      <c r="CC437" s="446">
        <f>IF($E437=0,0,IF(MIN(CC$38,$E437)&lt;MAX($P$34*($B437+$I$38-1),IF(AND($L$37=0,$P$34=0),"",$L$37-1)),0,YEARFRAC(MAX($P$34*($B437+$I$38-1),IF(AND($L$37=0,$P$34=0),"",$L$37-1)),MIN(CC$38,$E437),$P$20))-SUM($BF437:CB437))</f>
        <v>0</v>
      </c>
      <c r="CD437" s="446">
        <f>IF($E437=0,0,IF(MIN(CD$38,$E437)&lt;MAX($P$34*($B437+$I$38-1),IF(AND($L$37=0,$P$34=0),"",$L$37-1)),0,YEARFRAC(MAX($P$34*($B437+$I$38-1),IF(AND($L$37=0,$P$34=0),"",$L$37-1)),MIN(CD$38,$E437),$P$20))-SUM($BF437:CC437))</f>
        <v>0</v>
      </c>
      <c r="CE437" s="446">
        <f>IF($E437=0,0,IF(MIN(CE$38,$E437)&lt;MAX($P$34*($B437+$I$38-1),IF(AND($L$37=0,$P$34=0),"",$L$37-1)),0,YEARFRAC(MAX($P$34*($B437+$I$38-1),IF(AND($L$37=0,$P$34=0),"",$L$37-1)),MIN(CE$38,$E437),$P$20))-SUM($BF437:CD437))</f>
        <v>0</v>
      </c>
      <c r="CF437" s="446">
        <f>IF($E437=0,0,IF(MIN(CF$38,$E437)&lt;MAX($P$34*($B437+$I$38-1),IF(AND($L$37=0,$P$34=0),"",$L$37-1)),0,YEARFRAC(MAX($P$34*($B437+$I$38-1),IF(AND($L$37=0,$P$34=0),"",$L$37-1)),MIN(CF$38,$E437),$P$20))-SUM($BF437:CE437))</f>
        <v>0</v>
      </c>
      <c r="CG437" s="446">
        <f>IF($E437=0,0,IF(MIN(CG$38,$E437)&lt;MAX($P$34*($B437+$I$38-1),IF(AND($L$37=0,$P$34=0),"",$L$37-1)),0,YEARFRAC(MAX($P$34*($B437+$I$38-1),IF(AND($L$37=0,$P$34=0),"",$L$37-1)),MIN(CG$38,$E437),$P$20))-SUM($BF437:CF437))</f>
        <v>0</v>
      </c>
      <c r="CH437" s="446">
        <f>IF($E437=0,0,IF(MIN(CH$38,$E437)&lt;MAX($P$34*($B437+$I$38-1),IF(AND($L$37=0,$P$34=0),"",$L$37-1)),0,YEARFRAC(MAX($P$34*($B437+$I$38-1),IF(AND($L$37=0,$P$34=0),"",$L$37-1)),MIN(CH$38,$E437),$P$20))-SUM($BF437:CG437))</f>
        <v>0</v>
      </c>
      <c r="CI437" s="446">
        <f>IF($E437=0,0,IF(MIN(CI$38,$E437)&lt;MAX($P$34*($B437+$I$38-1),IF(AND($L$37=0,$P$34=0),"",$L$37-1)),0,YEARFRAC(MAX($P$34*($B437+$I$38-1),IF(AND($L$37=0,$P$34=0),"",$L$37-1)),MIN(CI$38,$E437),$P$20))-SUM($BF437:CH437))</f>
        <v>0</v>
      </c>
      <c r="CJ437" s="446">
        <f>IF($E437=0,0,IF(MIN(CJ$38,$E437)&lt;MAX($P$34*($B437+$I$38-1),IF(AND($L$37=0,$P$34=0),"",$L$37-1)),0,YEARFRAC(MAX($P$34*($B437+$I$38-1),IF(AND($L$37=0,$P$34=0),"",$L$37-1)),MIN(CJ$38,$E437),$P$20))-SUM($BF437:CI437))</f>
        <v>0</v>
      </c>
      <c r="CK437" s="446">
        <f>IF($E437=0,0,IF(MIN(CK$38,$E437)&lt;MAX($P$34*($B437+$I$38-1),IF(AND($L$37=0,$P$34=0),"",$L$37-1)),0,YEARFRAC(MAX($P$34*($B437+$I$38-1),IF(AND($L$37=0,$P$34=0),"",$L$37-1)),MIN(CK$38,$E437),$P$20))-SUM($BF437:CJ437))</f>
        <v>0</v>
      </c>
      <c r="CL437" s="446">
        <f>IF($E437=0,0,IF(MIN(CL$38,$E437)&lt;MAX($P$34*($B437+$I$38-1),IF(AND($L$37=0,$P$34=0),"",$L$37-1)),0,YEARFRAC(MAX($P$34*($B437+$I$38-1),IF(AND($L$37=0,$P$34=0),"",$L$37-1)),MIN(CL$38,$E437),$P$20))-SUM($BF437:CK437))</f>
        <v>0</v>
      </c>
      <c r="CM437" s="446">
        <f>IF($E437=0,0,IF(MIN(CM$38,$E437)&lt;MAX($P$34*($B437+$I$38-1),IF(AND($L$37=0,$P$34=0),"",$L$37-1)),0,YEARFRAC(MAX($P$34*($B437+$I$38-1),IF(AND($L$37=0,$P$34=0),"",$L$37-1)),MIN(CM$38,$E437),$P$20))-SUM($BF437:CL437))</f>
        <v>0</v>
      </c>
      <c r="CN437" s="446">
        <f>IF($E437=0,0,IF(MIN(CN$38,$E437)&lt;MAX($P$34*($B437+$I$38-1),IF(AND($L$37=0,$P$34=0),"",$L$37-1)),0,YEARFRAC(MAX($P$34*($B437+$I$38-1),IF(AND($L$37=0,$P$34=0),"",$L$37-1)),MIN(CN$38,$E437),$P$20))-SUM($BF437:CM437))</f>
        <v>0</v>
      </c>
      <c r="CO437" s="446">
        <f>IF($E437=0,0,IF(MIN(CO$38,$E437)&lt;MAX($P$34*($B437+$I$38-1),IF(AND($L$37=0,$P$34=0),"",$L$37-1)),0,YEARFRAC(MAX($P$34*($B437+$I$38-1),IF(AND($L$37=0,$P$34=0),"",$L$37-1)),MIN(CO$38,$E437),$P$20))-SUM($BF437:CN437))</f>
        <v>0</v>
      </c>
      <c r="CP437" s="446">
        <f>IF($E437=0,0,IF(MIN(CP$38,$E437)&lt;MAX($P$34*($B437+$I$38-1),IF(AND($L$37=0,$P$34=0),"",$L$37-1)),0,YEARFRAC(MAX($P$34*($B437+$I$38-1),IF(AND($L$37=0,$P$34=0),"",$L$37-1)),MIN(CP$38,$E437),$P$20))-SUM($BF437:CO437))</f>
        <v>0</v>
      </c>
      <c r="CQ437" s="446">
        <f>IF($E437=0,0,IF(MIN(CQ$38,$E437)&lt;MAX($P$34*($B437+$I$38-1),IF(AND($L$37=0,$P$34=0),"",$L$37-1)),0,YEARFRAC(MAX($P$34*($B437+$I$38-1),IF(AND($L$37=0,$P$34=0),"",$L$37-1)),MIN(CQ$38,$E437),$P$20))-SUM($BF437:CP437))</f>
        <v>0</v>
      </c>
    </row>
    <row r="438" spans="1:95" s="446" customFormat="1" ht="11.25" hidden="1" customHeight="1" x14ac:dyDescent="0.2">
      <c r="A438" s="152"/>
      <c r="B438" s="153" t="str">
        <f t="shared" si="81"/>
        <v/>
      </c>
      <c r="C438" s="29" t="str">
        <f>IF(B438="","",IF($L$35="SELIC - TRIBUTOS",VLOOKUP(DATE(YEAR($D$19),MONTH($D$19)-1,1),ÍNDICES!$A:$DE,HLOOKUP($BL$25,ÍNDICES!$B$3:$T$4,2)+11)-VLOOKUP(B438,ÍNDICES!$A:$DE,HLOOKUP($BL$25,ÍNDICES!$B$3:$T$4,2)+11)+1%,IF(C$38=$W$26,$J$35,IF(ISERROR(IF(B438&gt;$D$19,1,VLOOKUP(DATE(YEAR(B438),MONTH(B438)+IF($C$35=$S$23,1,0),1),ÍNDICES!$A:$DE,$Z$35+1))),"",IF(B438&gt;$D$19,1,VLOOKUP(DATE(YEAR(B438),MONTH(B438)+IF($C$35=$S$23,1,0),1),ÍNDICES!$A:$DE,$Z$35+1))))))</f>
        <v/>
      </c>
      <c r="D438" s="154" t="str">
        <f>IF(ISERROR(IF(OR($D$38=$Y$27,$B438=""),"",VLOOKUP(B438,ÍNDICES!A:DE,AF$35+1))),"",IF(OR($D$38=$Y$27,$B438=""),"",VLOOKUP(B438,ÍNDICES!A:DE,AF$35+1)))</f>
        <v/>
      </c>
      <c r="E438" s="153"/>
      <c r="F438" s="29" t="str">
        <f>IF(E438="","",IF($L$35="SELIC - TRIBUTOS",VLOOKUP(DATE(YEAR($D$19),MONTH($D$19)-1,1),ÍNDICES!$A:$DE,HLOOKUP($BL$25,ÍNDICES!$B$3:$T$4,2)+11)-VLOOKUP(E438,ÍNDICES!$A:$DE,HLOOKUP($BL$25,ÍNDICES!$B$3:$T$4,2)+11)+1%,IF(F$38=$W$26,$J$35,IF(ISERROR(IF(E438&gt;$D$19,1,VLOOKUP(DATE(YEAR(E438),MONTH(E438)+IF($C$35=$S$23,1,0),1),ÍNDICES!$A:$DE,$Z$35+1))),"",IF(E438&gt;$D$19,1,VLOOKUP(DATE(YEAR(E438),MONTH(E438)+IF($C$35=$S$23,1,0),1),ÍNDICES!$A:$DE,$Z$35+1))))))</f>
        <v/>
      </c>
      <c r="G438" s="155"/>
      <c r="H438" s="156" t="str">
        <f t="shared" si="77"/>
        <v/>
      </c>
      <c r="I438" s="29" t="str">
        <f t="shared" si="71"/>
        <v/>
      </c>
      <c r="J438" s="5">
        <f t="shared" si="72"/>
        <v>0</v>
      </c>
      <c r="K438" s="20">
        <f t="shared" ca="1" si="73"/>
        <v>0</v>
      </c>
      <c r="L438" s="5">
        <f t="shared" ca="1" si="74"/>
        <v>0</v>
      </c>
      <c r="M438" s="64">
        <f t="shared" si="78"/>
        <v>0</v>
      </c>
      <c r="N438" s="61">
        <f t="shared" ca="1" si="79"/>
        <v>0</v>
      </c>
      <c r="O438" s="5">
        <f t="shared" ca="1" si="80"/>
        <v>0</v>
      </c>
      <c r="P438" s="446" t="e">
        <f t="shared" si="75"/>
        <v>#VALUE!</v>
      </c>
      <c r="Q438" s="446" t="e">
        <f>IF(OR($B438="",MIN(Q$38,$D$19)&lt;MAX($P$34*($B438+IF($R$17="Distrato",$I$38-1,0)),IF(AND($L$37=0,$P$34=0),"",$L$37-1),IF($R$17="Distrato",$E438,0))),0,YEARFRAC(MAX($P$34*($B438+IF($R$17="Distrato",$I$38-1,0)),IF(AND($L$37=0,$P$34=0),"",$L$37-1),IF($R$17="Distrato",$E438,0)),MIN(Q$38,$D$19),$P$20))-SUM($P438:P438)</f>
        <v>#VALUE!</v>
      </c>
      <c r="R438" s="446" t="e">
        <f>IF(OR($B438="",MIN(R$38,$D$19)&lt;MAX($P$34*($B438+IF($R$17="Distrato",$I$38-1,0)),IF(AND($L$37=0,$P$34=0),"",$L$37-1),IF($R$17="Distrato",$E438,0))),0,YEARFRAC(MAX($P$34*($B438+IF($R$17="Distrato",$I$38-1,0)),IF(AND($L$37=0,$P$34=0),"",$L$37-1),IF($R$17="Distrato",$E438,0)),MIN(R$38,$D$19),$P$20))-SUM($P438:Q438)</f>
        <v>#VALUE!</v>
      </c>
      <c r="S438" s="446" t="e">
        <f>IF(OR($B438="",MIN(S$38,$D$19)&lt;MAX($P$34*($B438+IF($R$17="Distrato",$I$38-1,0)),IF(AND($L$37=0,$P$34=0),"",$L$37-1),IF($R$17="Distrato",$E438,0))),0,YEARFRAC(MAX($P$34*($B438+IF($R$17="Distrato",$I$38-1,0)),IF(AND($L$37=0,$P$34=0),"",$L$37-1),IF($R$17="Distrato",$E438,0)),MIN(S$38,$D$19),$P$20))-SUM($P438:R438)</f>
        <v>#VALUE!</v>
      </c>
      <c r="T438" s="446" t="e">
        <f>IF(OR($B438="",MIN(T$38,$D$19)&lt;MAX($P$34*($B438+IF($R$17="Distrato",$I$38-1,0)),IF(AND($L$37=0,$P$34=0),"",$L$37-1),IF($R$17="Distrato",$E438,0))),0,YEARFRAC(MAX($P$34*($B438+IF($R$17="Distrato",$I$38-1,0)),IF(AND($L$37=0,$P$34=0),"",$L$37-1),IF($R$17="Distrato",$E438,0)),MIN(T$38,$D$19),$P$20))-SUM($P438:S438)</f>
        <v>#VALUE!</v>
      </c>
      <c r="U438" s="446" t="e">
        <f>IF(OR($B438="",MIN(U$38,$D$19)&lt;MAX($P$34*($B438+IF($R$17="Distrato",$I$38-1,0)),IF(AND($L$37=0,$P$34=0),"",$L$37-1),IF($R$17="Distrato",$E438,0))),0,YEARFRAC(MAX($P$34*($B438+IF($R$17="Distrato",$I$38-1,0)),IF(AND($L$37=0,$P$34=0),"",$L$37-1),IF($R$17="Distrato",$E438,0)),MIN(U$38,$D$19),$P$20))-SUM($P438:T438)</f>
        <v>#VALUE!</v>
      </c>
      <c r="V438" s="446" t="e">
        <f>IF(OR($B438="",MIN(V$38,$D$19)&lt;MAX($P$34*($B438+IF($R$17="Distrato",$I$38-1,0)),IF(AND($L$37=0,$P$34=0),"",$L$37-1),IF($R$17="Distrato",$E438,0))),0,YEARFRAC(MAX($P$34*($B438+IF($R$17="Distrato",$I$38-1,0)),IF(AND($L$37=0,$P$34=0),"",$L$37-1),IF($R$17="Distrato",$E438,0)),MIN(V$38,$D$19),$P$20))-SUM($P438:U438)</f>
        <v>#VALUE!</v>
      </c>
      <c r="W438" s="446" t="e">
        <f>IF(OR($B438="",MIN(W$38,$D$19)&lt;MAX($P$34*($B438+IF($R$17="Distrato",$I$38-1,0)),IF(AND($L$37=0,$P$34=0),"",$L$37-1),IF($R$17="Distrato",$E438,0))),0,YEARFRAC(MAX($P$34*($B438+IF($R$17="Distrato",$I$38-1,0)),IF(AND($L$37=0,$P$34=0),"",$L$37-1),IF($R$17="Distrato",$E438,0)),MIN(W$38,$D$19),$P$20))-SUM($P438:V438)</f>
        <v>#VALUE!</v>
      </c>
      <c r="X438" s="446" t="e">
        <f>IF(OR($B438="",MIN(X$38,$D$19)&lt;MAX($P$34*($B438+IF($R$17="Distrato",$I$38-1,0)),IF(AND($L$37=0,$P$34=0),"",$L$37-1),IF($R$17="Distrato",$E438,0))),0,YEARFRAC(MAX($P$34*($B438+IF($R$17="Distrato",$I$38-1,0)),IF(AND($L$37=0,$P$34=0),"",$L$37-1),IF($R$17="Distrato",$E438,0)),MIN(X$38,$D$19),$P$20))-SUM($P438:W438)</f>
        <v>#VALUE!</v>
      </c>
      <c r="Y438" s="446" t="e">
        <f>IF(OR($B438="",MIN(Y$38,$D$19)&lt;MAX($P$34*($B438+IF($R$17="Distrato",$I$38-1,0)),IF(AND($L$37=0,$P$34=0),"",$L$37-1),IF($R$17="Distrato",$E438,0))),0,YEARFRAC(MAX($P$34*($B438+IF($R$17="Distrato",$I$38-1,0)),IF(AND($L$37=0,$P$34=0),"",$L$37-1),IF($R$17="Distrato",$E438,0)),MIN(Y$38,$D$19),$P$20))-SUM($P438:X438)</f>
        <v>#VALUE!</v>
      </c>
      <c r="Z438" s="446" t="e">
        <f>IF(OR($B438="",MIN(Z$38,$D$19)&lt;MAX($P$34*($B438+IF($R$17="Distrato",$I$38-1,0)),IF(AND($L$37=0,$P$34=0),"",$L$37-1),IF($R$17="Distrato",$E438,0))),0,YEARFRAC(MAX($P$34*($B438+IF($R$17="Distrato",$I$38-1,0)),IF(AND($L$37=0,$P$34=0),"",$L$37-1),IF($R$17="Distrato",$E438,0)),MIN(Z$38,$D$19),$P$20))-SUM($P438:Y438)</f>
        <v>#VALUE!</v>
      </c>
      <c r="AA438" s="446" t="e">
        <f>IF(OR($B438="",MIN(AA$38,$D$19)&lt;MAX($P$34*($B438+IF($R$17="Distrato",$I$38-1,0)),IF(AND($L$37=0,$P$34=0),"",$L$37-1),IF($R$17="Distrato",$E438,0))),0,YEARFRAC(MAX($P$34*($B438+IF($R$17="Distrato",$I$38-1,0)),IF(AND($L$37=0,$P$34=0),"",$L$37-1),IF($R$17="Distrato",$E438,0)),MIN(AA$38,$D$19),$P$20))-SUM($P438:Z438)</f>
        <v>#VALUE!</v>
      </c>
      <c r="AB438" s="446" t="e">
        <f>IF(OR($B438="",MIN(AB$38,$D$19)&lt;MAX($P$34*($B438+IF($R$17="Distrato",$I$38-1,0)),IF(AND($L$37=0,$P$34=0),"",$L$37-1),IF($R$17="Distrato",$E438,0))),0,YEARFRAC(MAX($P$34*($B438+IF($R$17="Distrato",$I$38-1,0)),IF(AND($L$37=0,$P$34=0),"",$L$37-1),IF($R$17="Distrato",$E438,0)),MIN(AB$38,$D$19),$P$20))-SUM($P438:AA438)</f>
        <v>#VALUE!</v>
      </c>
      <c r="AC438" s="446" t="e">
        <f>IF(OR($B438="",MIN(AC$38,$D$19)&lt;MAX($P$34*($B438+IF($R$17="Distrato",$I$38-1,0)),IF(AND($L$37=0,$P$34=0),"",$L$37-1),IF($R$17="Distrato",$E438,0))),0,YEARFRAC(MAX($P$34*($B438+IF($R$17="Distrato",$I$38-1,0)),IF(AND($L$37=0,$P$34=0),"",$L$37-1),IF($R$17="Distrato",$E438,0)),MIN(AC$38,$D$19),$P$20))-SUM($P438:AB438)</f>
        <v>#VALUE!</v>
      </c>
      <c r="AD438" s="446" t="e">
        <f>IF(OR($B438="",MIN(AD$38,$D$19)&lt;MAX($P$34*($B438+IF($R$17="Distrato",$I$38-1,0)),IF(AND($L$37=0,$P$34=0),"",$L$37-1),IF($R$17="Distrato",$E438,0))),0,YEARFRAC(MAX($P$34*($B438+IF($R$17="Distrato",$I$38-1,0)),IF(AND($L$37=0,$P$34=0),"",$L$37-1),IF($R$17="Distrato",$E438,0)),MIN(AD$38,$D$19),$P$20))-SUM($P438:AC438)</f>
        <v>#VALUE!</v>
      </c>
      <c r="AE438" s="446" t="e">
        <f>IF(OR($B438="",MIN(AE$38,$D$19)&lt;MAX($P$34*($B438+IF($R$17="Distrato",$I$38-1,0)),IF(AND($L$37=0,$P$34=0),"",$L$37-1),IF($R$17="Distrato",$E438,0))),0,YEARFRAC(MAX($P$34*($B438+IF($R$17="Distrato",$I$38-1,0)),IF(AND($L$37=0,$P$34=0),"",$L$37-1),IF($R$17="Distrato",$E438,0)),MIN(AE$38,$D$19),$P$20))-SUM($P438:AD438)</f>
        <v>#VALUE!</v>
      </c>
      <c r="AF438" s="446" t="e">
        <f>IF(OR($B438="",MIN(AF$38,$D$19)&lt;MAX($P$34*($B438+IF($R$17="Distrato",$I$38-1,0)),IF(AND($L$37=0,$P$34=0),"",$L$37-1),IF($R$17="Distrato",$E438,0))),0,YEARFRAC(MAX($P$34*($B438+IF($R$17="Distrato",$I$38-1,0)),IF(AND($L$37=0,$P$34=0),"",$L$37-1),IF($R$17="Distrato",$E438,0)),MIN(AF$38,$D$19),$P$20))-SUM($P438:AE438)</f>
        <v>#VALUE!</v>
      </c>
      <c r="AG438" s="446" t="e">
        <f>IF(OR($B438="",MIN(AG$38,$D$19)&lt;MAX($P$34*($B438+IF($R$17="Distrato",$I$38-1,0)),IF(AND($L$37=0,$P$34=0),"",$L$37-1),IF($R$17="Distrato",$E438,0))),0,YEARFRAC(MAX($P$34*($B438+IF($R$17="Distrato",$I$38-1,0)),IF(AND($L$37=0,$P$34=0),"",$L$37-1),IF($R$17="Distrato",$E438,0)),MIN(AG$38,$D$19),$P$20))-SUM($P438:AF438)</f>
        <v>#VALUE!</v>
      </c>
      <c r="AH438" s="446" t="e">
        <f>IF(OR($B438="",MIN(AH$38,$D$19)&lt;MAX($P$34*($B438+IF($R$17="Distrato",$I$38-1,0)),IF(AND($L$37=0,$P$34=0),"",$L$37-1),IF($R$17="Distrato",$E438,0))),0,YEARFRAC(MAX($P$34*($B438+IF($R$17="Distrato",$I$38-1,0)),IF(AND($L$37=0,$P$34=0),"",$L$37-1),IF($R$17="Distrato",$E438,0)),MIN(AH$38,$D$19),$P$20))-SUM($P438:AG438)</f>
        <v>#VALUE!</v>
      </c>
      <c r="AI438" s="446" t="e">
        <f>IF(OR($B438="",MIN(AI$38,$D$19)&lt;MAX($P$34*($B438+IF($R$17="Distrato",$I$38-1,0)),IF(AND($L$37=0,$P$34=0),"",$L$37-1),IF($R$17="Distrato",$E438,0))),0,YEARFRAC(MAX($P$34*($B438+IF($R$17="Distrato",$I$38-1,0)),IF(AND($L$37=0,$P$34=0),"",$L$37-1),IF($R$17="Distrato",$E438,0)),MIN(AI$38,$D$19),$P$20))-SUM($P438:AH438)</f>
        <v>#VALUE!</v>
      </c>
      <c r="AJ438" s="446" t="e">
        <f>IF(OR($B438="",MIN(AJ$38,$D$19)&lt;MAX($P$34*($B438+IF($R$17="Distrato",$I$38-1,0)),IF(AND($L$37=0,$P$34=0),"",$L$37-1),IF($R$17="Distrato",$E438,0))),0,YEARFRAC(MAX($P$34*($B438+IF($R$17="Distrato",$I$38-1,0)),IF(AND($L$37=0,$P$34=0),"",$L$37-1),IF($R$17="Distrato",$E438,0)),MIN(AJ$38,$D$19),$P$20))-SUM($P438:AI438)</f>
        <v>#VALUE!</v>
      </c>
      <c r="AK438" s="446" t="e">
        <f>IF(OR($B438="",MIN(AK$38,$D$19)&lt;MAX($P$34*($B438+IF($R$17="Distrato",$I$38-1,0)),IF(AND($L$37=0,$P$34=0),"",$L$37-1),IF($R$17="Distrato",$E438,0))),0,YEARFRAC(MAX($P$34*($B438+IF($R$17="Distrato",$I$38-1,0)),IF(AND($L$37=0,$P$34=0),"",$L$37-1),IF($R$17="Distrato",$E438,0)),MIN(AK$38,$D$19),$P$20))-SUM($P438:AJ438)</f>
        <v>#VALUE!</v>
      </c>
      <c r="AL438" s="446" t="e">
        <f>IF(OR($B438="",MIN(AL$38,$D$19)&lt;MAX($P$34*($B438+IF($R$17="Distrato",$I$38-1,0)),IF(AND($L$37=0,$P$34=0),"",$L$37-1),IF($R$17="Distrato",$E438,0))),0,YEARFRAC(MAX($P$34*($B438+IF($R$17="Distrato",$I$38-1,0)),IF(AND($L$37=0,$P$34=0),"",$L$37-1),IF($R$17="Distrato",$E438,0)),MIN(AL$38,$D$19),$P$20))-SUM($P438:AK438)</f>
        <v>#VALUE!</v>
      </c>
      <c r="AM438" s="446" t="e">
        <f>IF(OR($B438="",MIN(AM$38,$D$19)&lt;MAX($P$34*($B438+IF($R$17="Distrato",$I$38-1,0)),IF(AND($L$37=0,$P$34=0),"",$L$37-1),IF($R$17="Distrato",$E438,0))),0,YEARFRAC(MAX($P$34*($B438+IF($R$17="Distrato",$I$38-1,0)),IF(AND($L$37=0,$P$34=0),"",$L$37-1),IF($R$17="Distrato",$E438,0)),MIN(AM$38,$D$19),$P$20))-SUM($P438:AL438)</f>
        <v>#VALUE!</v>
      </c>
      <c r="AN438" s="446" t="e">
        <f>IF(OR($B438="",MIN(AN$38,$D$19)&lt;MAX($P$34*($B438+IF($R$17="Distrato",$I$38-1,0)),IF(AND($L$37=0,$P$34=0),"",$L$37-1),IF($R$17="Distrato",$E438,0))),0,YEARFRAC(MAX($P$34*($B438+IF($R$17="Distrato",$I$38-1,0)),IF(AND($L$37=0,$P$34=0),"",$L$37-1),IF($R$17="Distrato",$E438,0)),MIN(AN$38,$D$19),$P$20))-SUM($P438:AM438)</f>
        <v>#VALUE!</v>
      </c>
      <c r="AO438" s="446" t="e">
        <f>IF(OR($B438="",MIN(AO$38,$D$19)&lt;MAX($P$34*($B438+IF($R$17="Distrato",$I$38-1,0)),IF(AND($L$37=0,$P$34=0),"",$L$37-1),IF($R$17="Distrato",$E438,0))),0,YEARFRAC(MAX($P$34*($B438+IF($R$17="Distrato",$I$38-1,0)),IF(AND($L$37=0,$P$34=0),"",$L$37-1),IF($R$17="Distrato",$E438,0)),MIN(AO$38,$D$19),$P$20))-SUM($P438:AN438)</f>
        <v>#VALUE!</v>
      </c>
      <c r="AP438" s="446" t="e">
        <f>IF(OR($B438="",MIN(AP$38,$D$19)&lt;MAX($P$34*($B438+IF($R$17="Distrato",$I$38-1,0)),IF(AND($L$37=0,$P$34=0),"",$L$37-1),IF($R$17="Distrato",$E438,0))),0,YEARFRAC(MAX($P$34*($B438+IF($R$17="Distrato",$I$38-1,0)),IF(AND($L$37=0,$P$34=0),"",$L$37-1),IF($R$17="Distrato",$E438,0)),MIN(AP$38,$D$19),$P$20))-SUM($P438:AO438)</f>
        <v>#VALUE!</v>
      </c>
      <c r="AQ438" s="446" t="e">
        <f>IF(OR($B438="",MIN(AQ$38,$D$19)&lt;MAX($P$34*($B438+IF($R$17="Distrato",$I$38-1,0)),IF(AND($L$37=0,$P$34=0),"",$L$37-1),IF($R$17="Distrato",$E438,0))),0,YEARFRAC(MAX($P$34*($B438+IF($R$17="Distrato",$I$38-1,0)),IF(AND($L$37=0,$P$34=0),"",$L$37-1),IF($R$17="Distrato",$E438,0)),MIN(AQ$38,$D$19),$P$20))-SUM($P438:AP438)</f>
        <v>#VALUE!</v>
      </c>
      <c r="AR438" s="446" t="e">
        <f>IF(OR($B438="",MIN(AR$38,$D$19)&lt;MAX($P$34*($B438+IF($R$17="Distrato",$I$38-1,0)),IF(AND($L$37=0,$P$34=0),"",$L$37-1),IF($R$17="Distrato",$E438,0))),0,YEARFRAC(MAX($P$34*($B438+IF($R$17="Distrato",$I$38-1,0)),IF(AND($L$37=0,$P$34=0),"",$L$37-1),IF($R$17="Distrato",$E438,0)),MIN(AR$38,$D$19),$P$20))-SUM($P438:AQ438)</f>
        <v>#VALUE!</v>
      </c>
      <c r="AS438" s="446" t="e">
        <f>IF(OR($B438="",MIN(AS$38,$D$19)&lt;MAX($P$34*($B438+IF($R$17="Distrato",$I$38-1,0)),IF(AND($L$37=0,$P$34=0),"",$L$37-1),IF($R$17="Distrato",$E438,0))),0,YEARFRAC(MAX($P$34*($B438+IF($R$17="Distrato",$I$38-1,0)),IF(AND($L$37=0,$P$34=0),"",$L$37-1),IF($R$17="Distrato",$E438,0)),MIN(AS$38,$D$19),$P$20))-SUM($P438:AR438)</f>
        <v>#VALUE!</v>
      </c>
      <c r="AT438" s="446" t="e">
        <f>IF(OR($B438="",MIN(AT$38,$D$19)&lt;MAX($P$34*($B438+IF($R$17="Distrato",$I$38-1,0)),IF(AND($L$37=0,$P$34=0),"",$L$37-1),IF($R$17="Distrato",$E438,0))),0,YEARFRAC(MAX($P$34*($B438+IF($R$17="Distrato",$I$38-1,0)),IF(AND($L$37=0,$P$34=0),"",$L$37-1),IF($R$17="Distrato",$E438,0)),MIN(AT$38,$D$19),$P$20))-SUM($P438:AS438)</f>
        <v>#VALUE!</v>
      </c>
      <c r="AU438" s="446" t="e">
        <f>IF(OR($B438="",MIN(AU$38,$D$19)&lt;MAX($P$34*($B438+IF($R$17="Distrato",$I$38-1,0)),IF(AND($L$37=0,$P$34=0),"",$L$37-1),IF($R$17="Distrato",$E438,0))),0,YEARFRAC(MAX($P$34*($B438+IF($R$17="Distrato",$I$38-1,0)),IF(AND($L$37=0,$P$34=0),"",$L$37-1),IF($R$17="Distrato",$E438,0)),MIN(AU$38,$D$19),$P$20))-SUM($P438:AT438)</f>
        <v>#VALUE!</v>
      </c>
      <c r="AV438" s="446" t="e">
        <f>IF(OR($B438="",MIN(AV$38,$D$19)&lt;MAX($P$34*($B438+IF($R$17="Distrato",$I$38-1,0)),IF(AND($L$37=0,$P$34=0),"",$L$37-1),IF($R$17="Distrato",$E438,0))),0,YEARFRAC(MAX($P$34*($B438+IF($R$17="Distrato",$I$38-1,0)),IF(AND($L$37=0,$P$34=0),"",$L$37-1),IF($R$17="Distrato",$E438,0)),MIN(AV$38,$D$19),$P$20))-SUM($P438:AU438)</f>
        <v>#VALUE!</v>
      </c>
      <c r="AW438" s="446" t="e">
        <f>IF(OR($B438="",MIN(AW$38,$D$19)&lt;MAX($P$34*($B438+IF($R$17="Distrato",$I$38-1,0)),IF(AND($L$37=0,$P$34=0),"",$L$37-1),IF($R$17="Distrato",$E438,0))),0,YEARFRAC(MAX($P$34*($B438+IF($R$17="Distrato",$I$38-1,0)),IF(AND($L$37=0,$P$34=0),"",$L$37-1),IF($R$17="Distrato",$E438,0)),MIN(AW$38,$D$19),$P$20))-SUM($P438:AV438)</f>
        <v>#VALUE!</v>
      </c>
      <c r="AX438" s="446" t="e">
        <f>IF(OR($B438="",MIN(AX$38,$D$19)&lt;MAX($P$34*($B438+IF($R$17="Distrato",$I$38-1,0)),IF(AND($L$37=0,$P$34=0),"",$L$37-1),IF($R$17="Distrato",$E438,0))),0,YEARFRAC(MAX($P$34*($B438+IF($R$17="Distrato",$I$38-1,0)),IF(AND($L$37=0,$P$34=0),"",$L$37-1),IF($R$17="Distrato",$E438,0)),MIN(AX$38,$D$19),$P$20))-SUM($P438:AW438)</f>
        <v>#VALUE!</v>
      </c>
      <c r="AY438" s="446" t="e">
        <f>IF(OR($B438="",MIN(AY$38,$D$19)&lt;MAX($P$34*($B438+IF($R$17="Distrato",$I$38-1,0)),IF(AND($L$37=0,$P$34=0),"",$L$37-1),IF($R$17="Distrato",$E438,0))),0,YEARFRAC(MAX($P$34*($B438+IF($R$17="Distrato",$I$38-1,0)),IF(AND($L$37=0,$P$34=0),"",$L$37-1),IF($R$17="Distrato",$E438,0)),MIN(AY$38,$D$19),$P$20))-SUM($P438:AX438)</f>
        <v>#VALUE!</v>
      </c>
      <c r="AZ438" s="446" t="e">
        <f>IF(OR($B438="",MIN(AZ$38,$D$19)&lt;MAX($P$34*($B438+IF($R$17="Distrato",$I$38-1,0)),IF(AND($L$37=0,$P$34=0),"",$L$37-1),IF($R$17="Distrato",$E438,0))),0,YEARFRAC(MAX($P$34*($B438+IF($R$17="Distrato",$I$38-1,0)),IF(AND($L$37=0,$P$34=0),"",$L$37-1),IF($R$17="Distrato",$E438,0)),MIN(AZ$38,$D$19),$P$20))-SUM($P438:AY438)</f>
        <v>#VALUE!</v>
      </c>
      <c r="BA438" s="446" t="e">
        <f>IF(OR($B438="",MIN(BA$38,$D$19)&lt;MAX($P$34*($B438+IF($R$17="Distrato",$I$38-1,0)),IF(AND($L$37=0,$P$34=0),"",$L$37-1),IF($R$17="Distrato",$E438,0))),0,YEARFRAC(MAX($P$34*($B438+IF($R$17="Distrato",$I$38-1,0)),IF(AND($L$37=0,$P$34=0),"",$L$37-1),IF($R$17="Distrato",$E438,0)),MIN(BA$38,$D$19),$P$20))-SUM($P438:AZ438)</f>
        <v>#VALUE!</v>
      </c>
      <c r="BB438" s="447"/>
      <c r="BF438" s="446">
        <f t="shared" si="76"/>
        <v>0</v>
      </c>
      <c r="BG438" s="446">
        <f>IF($E438=0,0,IF(MIN(BG$38,$E438)&lt;MAX($P$34*($B438+$I$38-1),IF(AND($L$37=0,$P$34=0),"",$L$37-1)),0,YEARFRAC(MAX($P$34*($B438+$I$38-1),IF(AND($L$37=0,$P$34=0),"",$L$37-1)),MIN(BG$38,$E438),$P$20))-SUM($BF438:BF438))</f>
        <v>0</v>
      </c>
      <c r="BH438" s="446">
        <f>IF($E438=0,0,IF(MIN(BH$38,$E438)&lt;MAX($P$34*($B438+$I$38-1),IF(AND($L$37=0,$P$34=0),"",$L$37-1)),0,YEARFRAC(MAX($P$34*($B438+$I$38-1),IF(AND($L$37=0,$P$34=0),"",$L$37-1)),MIN(BH$38,$E438),$P$20))-SUM($BF438:BG438))</f>
        <v>0</v>
      </c>
      <c r="BI438" s="446">
        <f>IF($E438=0,0,IF(MIN(BI$38,$E438)&lt;MAX($P$34*($B438+$I$38-1),IF(AND($L$37=0,$P$34=0),"",$L$37-1)),0,YEARFRAC(MAX($P$34*($B438+$I$38-1),IF(AND($L$37=0,$P$34=0),"",$L$37-1)),MIN(BI$38,$E438),$P$20))-SUM($BF438:BH438))</f>
        <v>0</v>
      </c>
      <c r="BJ438" s="446">
        <f>IF($E438=0,0,IF(MIN(BJ$38,$E438)&lt;MAX($P$34*($B438+$I$38-1),IF(AND($L$37=0,$P$34=0),"",$L$37-1)),0,YEARFRAC(MAX($P$34*($B438+$I$38-1),IF(AND($L$37=0,$P$34=0),"",$L$37-1)),MIN(BJ$38,$E438),$P$20))-SUM($BF438:BI438))</f>
        <v>0</v>
      </c>
      <c r="BK438" s="446">
        <f>IF($E438=0,0,IF(MIN(BK$38,$E438)&lt;MAX($P$34*($B438+$I$38-1),IF(AND($L$37=0,$P$34=0),"",$L$37-1)),0,YEARFRAC(MAX($P$34*($B438+$I$38-1),IF(AND($L$37=0,$P$34=0),"",$L$37-1)),MIN(BK$38,$E438),$P$20))-SUM($BF438:BJ438))</f>
        <v>0</v>
      </c>
      <c r="BL438" s="446">
        <f>IF($E438=0,0,IF(MIN(BL$38,$E438)&lt;MAX($P$34*($B438+$I$38-1),IF(AND($L$37=0,$P$34=0),"",$L$37-1)),0,YEARFRAC(MAX($P$34*($B438+$I$38-1),IF(AND($L$37=0,$P$34=0),"",$L$37-1)),MIN(BL$38,$E438),$P$20))-SUM($BF438:BK438))</f>
        <v>0</v>
      </c>
      <c r="BM438" s="446">
        <f>IF($E438=0,0,IF(MIN(BM$38,$E438)&lt;MAX($P$34*($B438+$I$38-1),IF(AND($L$37=0,$P$34=0),"",$L$37-1)),0,YEARFRAC(MAX($P$34*($B438+$I$38-1),IF(AND($L$37=0,$P$34=0),"",$L$37-1)),MIN(BM$38,$E438),$P$20))-SUM($BF438:BL438))</f>
        <v>0</v>
      </c>
      <c r="BN438" s="446">
        <f>IF($E438=0,0,IF(MIN(BN$38,$E438)&lt;MAX($P$34*($B438+$I$38-1),IF(AND($L$37=0,$P$34=0),"",$L$37-1)),0,YEARFRAC(MAX($P$34*($B438+$I$38-1),IF(AND($L$37=0,$P$34=0),"",$L$37-1)),MIN(BN$38,$E438),$P$20))-SUM($BF438:BM438))</f>
        <v>0</v>
      </c>
      <c r="BO438" s="446">
        <f>IF($E438=0,0,IF(MIN(BO$38,$E438)&lt;MAX($P$34*($B438+$I$38-1),IF(AND($L$37=0,$P$34=0),"",$L$37-1)),0,YEARFRAC(MAX($P$34*($B438+$I$38-1),IF(AND($L$37=0,$P$34=0),"",$L$37-1)),MIN(BO$38,$E438),$P$20))-SUM($BF438:BN438))</f>
        <v>0</v>
      </c>
      <c r="BP438" s="446">
        <f>IF($E438=0,0,IF(MIN(BP$38,$E438)&lt;MAX($P$34*($B438+$I$38-1),IF(AND($L$37=0,$P$34=0),"",$L$37-1)),0,YEARFRAC(MAX($P$34*($B438+$I$38-1),IF(AND($L$37=0,$P$34=0),"",$L$37-1)),MIN(BP$38,$E438),$P$20))-SUM($BF438:BO438))</f>
        <v>0</v>
      </c>
      <c r="BQ438" s="446">
        <f>IF($E438=0,0,IF(MIN(BQ$38,$E438)&lt;MAX($P$34*($B438+$I$38-1),IF(AND($L$37=0,$P$34=0),"",$L$37-1)),0,YEARFRAC(MAX($P$34*($B438+$I$38-1),IF(AND($L$37=0,$P$34=0),"",$L$37-1)),MIN(BQ$38,$E438),$P$20))-SUM($BF438:BP438))</f>
        <v>0</v>
      </c>
      <c r="BR438" s="446">
        <f>IF($E438=0,0,IF(MIN(BR$38,$E438)&lt;MAX($P$34*($B438+$I$38-1),IF(AND($L$37=0,$P$34=0),"",$L$37-1)),0,YEARFRAC(MAX($P$34*($B438+$I$38-1),IF(AND($L$37=0,$P$34=0),"",$L$37-1)),MIN(BR$38,$E438),$P$20))-SUM($BF438:BQ438))</f>
        <v>0</v>
      </c>
      <c r="BS438" s="446">
        <f>IF($E438=0,0,IF(MIN(BS$38,$E438)&lt;MAX($P$34*($B438+$I$38-1),IF(AND($L$37=0,$P$34=0),"",$L$37-1)),0,YEARFRAC(MAX($P$34*($B438+$I$38-1),IF(AND($L$37=0,$P$34=0),"",$L$37-1)),MIN(BS$38,$E438),$P$20))-SUM($BF438:BR438))</f>
        <v>0</v>
      </c>
      <c r="BT438" s="446">
        <f>IF($E438=0,0,IF(MIN(BT$38,$E438)&lt;MAX($P$34*($B438+$I$38-1),IF(AND($L$37=0,$P$34=0),"",$L$37-1)),0,YEARFRAC(MAX($P$34*($B438+$I$38-1),IF(AND($L$37=0,$P$34=0),"",$L$37-1)),MIN(BT$38,$E438),$P$20))-SUM($BF438:BS438))</f>
        <v>0</v>
      </c>
      <c r="BU438" s="446">
        <f>IF($E438=0,0,IF(MIN(BU$38,$E438)&lt;MAX($P$34*($B438+$I$38-1),IF(AND($L$37=0,$P$34=0),"",$L$37-1)),0,YEARFRAC(MAX($P$34*($B438+$I$38-1),IF(AND($L$37=0,$P$34=0),"",$L$37-1)),MIN(BU$38,$E438),$P$20))-SUM($BF438:BT438))</f>
        <v>0</v>
      </c>
      <c r="BV438" s="446">
        <f>IF($E438=0,0,IF(MIN(BV$38,$E438)&lt;MAX($P$34*($B438+$I$38-1),IF(AND($L$37=0,$P$34=0),"",$L$37-1)),0,YEARFRAC(MAX($P$34*($B438+$I$38-1),IF(AND($L$37=0,$P$34=0),"",$L$37-1)),MIN(BV$38,$E438),$P$20))-SUM($BF438:BU438))</f>
        <v>0</v>
      </c>
      <c r="BW438" s="446">
        <f>IF($E438=0,0,IF(MIN(BW$38,$E438)&lt;MAX($P$34*($B438+$I$38-1),IF(AND($L$37=0,$P$34=0),"",$L$37-1)),0,YEARFRAC(MAX($P$34*($B438+$I$38-1),IF(AND($L$37=0,$P$34=0),"",$L$37-1)),MIN(BW$38,$E438),$P$20))-SUM($BF438:BV438))</f>
        <v>0</v>
      </c>
      <c r="BX438" s="446">
        <f>IF($E438=0,0,IF(MIN(BX$38,$E438)&lt;MAX($P$34*($B438+$I$38-1),IF(AND($L$37=0,$P$34=0),"",$L$37-1)),0,YEARFRAC(MAX($P$34*($B438+$I$38-1),IF(AND($L$37=0,$P$34=0),"",$L$37-1)),MIN(BX$38,$E438),$P$20))-SUM($BF438:BW438))</f>
        <v>0</v>
      </c>
      <c r="BY438" s="446">
        <f>IF($E438=0,0,IF(MIN(BY$38,$E438)&lt;MAX($P$34*($B438+$I$38-1),IF(AND($L$37=0,$P$34=0),"",$L$37-1)),0,YEARFRAC(MAX($P$34*($B438+$I$38-1),IF(AND($L$37=0,$P$34=0),"",$L$37-1)),MIN(BY$38,$E438),$P$20))-SUM($BF438:BX438))</f>
        <v>0</v>
      </c>
      <c r="BZ438" s="446">
        <f>IF($E438=0,0,IF(MIN(BZ$38,$E438)&lt;MAX($P$34*($B438+$I$38-1),IF(AND($L$37=0,$P$34=0),"",$L$37-1)),0,YEARFRAC(MAX($P$34*($B438+$I$38-1),IF(AND($L$37=0,$P$34=0),"",$L$37-1)),MIN(BZ$38,$E438),$P$20))-SUM($BF438:BY438))</f>
        <v>0</v>
      </c>
      <c r="CA438" s="446">
        <f>IF($E438=0,0,IF(MIN(CA$38,$E438)&lt;MAX($P$34*($B438+$I$38-1),IF(AND($L$37=0,$P$34=0),"",$L$37-1)),0,YEARFRAC(MAX($P$34*($B438+$I$38-1),IF(AND($L$37=0,$P$34=0),"",$L$37-1)),MIN(CA$38,$E438),$P$20))-SUM($BF438:BZ438))</f>
        <v>0</v>
      </c>
      <c r="CB438" s="446">
        <f>IF($E438=0,0,IF(MIN(CB$38,$E438)&lt;MAX($P$34*($B438+$I$38-1),IF(AND($L$37=0,$P$34=0),"",$L$37-1)),0,YEARFRAC(MAX($P$34*($B438+$I$38-1),IF(AND($L$37=0,$P$34=0),"",$L$37-1)),MIN(CB$38,$E438),$P$20))-SUM($BF438:CA438))</f>
        <v>0</v>
      </c>
      <c r="CC438" s="446">
        <f>IF($E438=0,0,IF(MIN(CC$38,$E438)&lt;MAX($P$34*($B438+$I$38-1),IF(AND($L$37=0,$P$34=0),"",$L$37-1)),0,YEARFRAC(MAX($P$34*($B438+$I$38-1),IF(AND($L$37=0,$P$34=0),"",$L$37-1)),MIN(CC$38,$E438),$P$20))-SUM($BF438:CB438))</f>
        <v>0</v>
      </c>
      <c r="CD438" s="446">
        <f>IF($E438=0,0,IF(MIN(CD$38,$E438)&lt;MAX($P$34*($B438+$I$38-1),IF(AND($L$37=0,$P$34=0),"",$L$37-1)),0,YEARFRAC(MAX($P$34*($B438+$I$38-1),IF(AND($L$37=0,$P$34=0),"",$L$37-1)),MIN(CD$38,$E438),$P$20))-SUM($BF438:CC438))</f>
        <v>0</v>
      </c>
      <c r="CE438" s="446">
        <f>IF($E438=0,0,IF(MIN(CE$38,$E438)&lt;MAX($P$34*($B438+$I$38-1),IF(AND($L$37=0,$P$34=0),"",$L$37-1)),0,YEARFRAC(MAX($P$34*($B438+$I$38-1),IF(AND($L$37=0,$P$34=0),"",$L$37-1)),MIN(CE$38,$E438),$P$20))-SUM($BF438:CD438))</f>
        <v>0</v>
      </c>
      <c r="CF438" s="446">
        <f>IF($E438=0,0,IF(MIN(CF$38,$E438)&lt;MAX($P$34*($B438+$I$38-1),IF(AND($L$37=0,$P$34=0),"",$L$37-1)),0,YEARFRAC(MAX($P$34*($B438+$I$38-1),IF(AND($L$37=0,$P$34=0),"",$L$37-1)),MIN(CF$38,$E438),$P$20))-SUM($BF438:CE438))</f>
        <v>0</v>
      </c>
      <c r="CG438" s="446">
        <f>IF($E438=0,0,IF(MIN(CG$38,$E438)&lt;MAX($P$34*($B438+$I$38-1),IF(AND($L$37=0,$P$34=0),"",$L$37-1)),0,YEARFRAC(MAX($P$34*($B438+$I$38-1),IF(AND($L$37=0,$P$34=0),"",$L$37-1)),MIN(CG$38,$E438),$P$20))-SUM($BF438:CF438))</f>
        <v>0</v>
      </c>
      <c r="CH438" s="446">
        <f>IF($E438=0,0,IF(MIN(CH$38,$E438)&lt;MAX($P$34*($B438+$I$38-1),IF(AND($L$37=0,$P$34=0),"",$L$37-1)),0,YEARFRAC(MAX($P$34*($B438+$I$38-1),IF(AND($L$37=0,$P$34=0),"",$L$37-1)),MIN(CH$38,$E438),$P$20))-SUM($BF438:CG438))</f>
        <v>0</v>
      </c>
      <c r="CI438" s="446">
        <f>IF($E438=0,0,IF(MIN(CI$38,$E438)&lt;MAX($P$34*($B438+$I$38-1),IF(AND($L$37=0,$P$34=0),"",$L$37-1)),0,YEARFRAC(MAX($P$34*($B438+$I$38-1),IF(AND($L$37=0,$P$34=0),"",$L$37-1)),MIN(CI$38,$E438),$P$20))-SUM($BF438:CH438))</f>
        <v>0</v>
      </c>
      <c r="CJ438" s="446">
        <f>IF($E438=0,0,IF(MIN(CJ$38,$E438)&lt;MAX($P$34*($B438+$I$38-1),IF(AND($L$37=0,$P$34=0),"",$L$37-1)),0,YEARFRAC(MAX($P$34*($B438+$I$38-1),IF(AND($L$37=0,$P$34=0),"",$L$37-1)),MIN(CJ$38,$E438),$P$20))-SUM($BF438:CI438))</f>
        <v>0</v>
      </c>
      <c r="CK438" s="446">
        <f>IF($E438=0,0,IF(MIN(CK$38,$E438)&lt;MAX($P$34*($B438+$I$38-1),IF(AND($L$37=0,$P$34=0),"",$L$37-1)),0,YEARFRAC(MAX($P$34*($B438+$I$38-1),IF(AND($L$37=0,$P$34=0),"",$L$37-1)),MIN(CK$38,$E438),$P$20))-SUM($BF438:CJ438))</f>
        <v>0</v>
      </c>
      <c r="CL438" s="446">
        <f>IF($E438=0,0,IF(MIN(CL$38,$E438)&lt;MAX($P$34*($B438+$I$38-1),IF(AND($L$37=0,$P$34=0),"",$L$37-1)),0,YEARFRAC(MAX($P$34*($B438+$I$38-1),IF(AND($L$37=0,$P$34=0),"",$L$37-1)),MIN(CL$38,$E438),$P$20))-SUM($BF438:CK438))</f>
        <v>0</v>
      </c>
      <c r="CM438" s="446">
        <f>IF($E438=0,0,IF(MIN(CM$38,$E438)&lt;MAX($P$34*($B438+$I$38-1),IF(AND($L$37=0,$P$34=0),"",$L$37-1)),0,YEARFRAC(MAX($P$34*($B438+$I$38-1),IF(AND($L$37=0,$P$34=0),"",$L$37-1)),MIN(CM$38,$E438),$P$20))-SUM($BF438:CL438))</f>
        <v>0</v>
      </c>
      <c r="CN438" s="446">
        <f>IF($E438=0,0,IF(MIN(CN$38,$E438)&lt;MAX($P$34*($B438+$I$38-1),IF(AND($L$37=0,$P$34=0),"",$L$37-1)),0,YEARFRAC(MAX($P$34*($B438+$I$38-1),IF(AND($L$37=0,$P$34=0),"",$L$37-1)),MIN(CN$38,$E438),$P$20))-SUM($BF438:CM438))</f>
        <v>0</v>
      </c>
      <c r="CO438" s="446">
        <f>IF($E438=0,0,IF(MIN(CO$38,$E438)&lt;MAX($P$34*($B438+$I$38-1),IF(AND($L$37=0,$P$34=0),"",$L$37-1)),0,YEARFRAC(MAX($P$34*($B438+$I$38-1),IF(AND($L$37=0,$P$34=0),"",$L$37-1)),MIN(CO$38,$E438),$P$20))-SUM($BF438:CN438))</f>
        <v>0</v>
      </c>
      <c r="CP438" s="446">
        <f>IF($E438=0,0,IF(MIN(CP$38,$E438)&lt;MAX($P$34*($B438+$I$38-1),IF(AND($L$37=0,$P$34=0),"",$L$37-1)),0,YEARFRAC(MAX($P$34*($B438+$I$38-1),IF(AND($L$37=0,$P$34=0),"",$L$37-1)),MIN(CP$38,$E438),$P$20))-SUM($BF438:CO438))</f>
        <v>0</v>
      </c>
      <c r="CQ438" s="446">
        <f>IF($E438=0,0,IF(MIN(CQ$38,$E438)&lt;MAX($P$34*($B438+$I$38-1),IF(AND($L$37=0,$P$34=0),"",$L$37-1)),0,YEARFRAC(MAX($P$34*($B438+$I$38-1),IF(AND($L$37=0,$P$34=0),"",$L$37-1)),MIN(CQ$38,$E438),$P$20))-SUM($BF438:CP438))</f>
        <v>0</v>
      </c>
    </row>
    <row r="439" spans="1:95" s="446" customFormat="1" ht="11.25" hidden="1" customHeight="1" x14ac:dyDescent="0.2">
      <c r="A439" s="152"/>
      <c r="B439" s="153" t="str">
        <f t="shared" si="81"/>
        <v/>
      </c>
      <c r="C439" s="29" t="str">
        <f>IF(B439="","",IF($L$35="SELIC - TRIBUTOS",VLOOKUP(DATE(YEAR($D$19),MONTH($D$19)-1,1),ÍNDICES!$A:$DE,HLOOKUP($BL$25,ÍNDICES!$B$3:$T$4,2)+11)-VLOOKUP(B439,ÍNDICES!$A:$DE,HLOOKUP($BL$25,ÍNDICES!$B$3:$T$4,2)+11)+1%,IF(C$38=$W$26,$J$35,IF(ISERROR(IF(B439&gt;$D$19,1,VLOOKUP(DATE(YEAR(B439),MONTH(B439)+IF($C$35=$S$23,1,0),1),ÍNDICES!$A:$DE,$Z$35+1))),"",IF(B439&gt;$D$19,1,VLOOKUP(DATE(YEAR(B439),MONTH(B439)+IF($C$35=$S$23,1,0),1),ÍNDICES!$A:$DE,$Z$35+1))))))</f>
        <v/>
      </c>
      <c r="D439" s="154" t="str">
        <f>IF(ISERROR(IF(OR($D$38=$Y$27,$B439=""),"",VLOOKUP(B439,ÍNDICES!A:DE,AF$35+1))),"",IF(OR($D$38=$Y$27,$B439=""),"",VLOOKUP(B439,ÍNDICES!A:DE,AF$35+1)))</f>
        <v/>
      </c>
      <c r="E439" s="153"/>
      <c r="F439" s="29" t="str">
        <f>IF(E439="","",IF($L$35="SELIC - TRIBUTOS",VLOOKUP(DATE(YEAR($D$19),MONTH($D$19)-1,1),ÍNDICES!$A:$DE,HLOOKUP($BL$25,ÍNDICES!$B$3:$T$4,2)+11)-VLOOKUP(E439,ÍNDICES!$A:$DE,HLOOKUP($BL$25,ÍNDICES!$B$3:$T$4,2)+11)+1%,IF(F$38=$W$26,$J$35,IF(ISERROR(IF(E439&gt;$D$19,1,VLOOKUP(DATE(YEAR(E439),MONTH(E439)+IF($C$35=$S$23,1,0),1),ÍNDICES!$A:$DE,$Z$35+1))),"",IF(E439&gt;$D$19,1,VLOOKUP(DATE(YEAR(E439),MONTH(E439)+IF($C$35=$S$23,1,0),1),ÍNDICES!$A:$DE,$Z$35+1))))))</f>
        <v/>
      </c>
      <c r="G439" s="155"/>
      <c r="H439" s="156" t="str">
        <f t="shared" si="77"/>
        <v/>
      </c>
      <c r="I439" s="29" t="str">
        <f t="shared" si="71"/>
        <v/>
      </c>
      <c r="J439" s="5">
        <f t="shared" si="72"/>
        <v>0</v>
      </c>
      <c r="K439" s="20">
        <f t="shared" ca="1" si="73"/>
        <v>0</v>
      </c>
      <c r="L439" s="5">
        <f t="shared" ca="1" si="74"/>
        <v>0</v>
      </c>
      <c r="M439" s="64">
        <f t="shared" si="78"/>
        <v>0</v>
      </c>
      <c r="N439" s="61">
        <f t="shared" ca="1" si="79"/>
        <v>0</v>
      </c>
      <c r="O439" s="5">
        <f t="shared" ca="1" si="80"/>
        <v>0</v>
      </c>
      <c r="P439" s="446" t="e">
        <f t="shared" si="75"/>
        <v>#VALUE!</v>
      </c>
      <c r="Q439" s="446" t="e">
        <f>IF(OR($B439="",MIN(Q$38,$D$19)&lt;MAX($P$34*($B439+IF($R$17="Distrato",$I$38-1,0)),IF(AND($L$37=0,$P$34=0),"",$L$37-1),IF($R$17="Distrato",$E439,0))),0,YEARFRAC(MAX($P$34*($B439+IF($R$17="Distrato",$I$38-1,0)),IF(AND($L$37=0,$P$34=0),"",$L$37-1),IF($R$17="Distrato",$E439,0)),MIN(Q$38,$D$19),$P$20))-SUM($P439:P439)</f>
        <v>#VALUE!</v>
      </c>
      <c r="R439" s="446" t="e">
        <f>IF(OR($B439="",MIN(R$38,$D$19)&lt;MAX($P$34*($B439+IF($R$17="Distrato",$I$38-1,0)),IF(AND($L$37=0,$P$34=0),"",$L$37-1),IF($R$17="Distrato",$E439,0))),0,YEARFRAC(MAX($P$34*($B439+IF($R$17="Distrato",$I$38-1,0)),IF(AND($L$37=0,$P$34=0),"",$L$37-1),IF($R$17="Distrato",$E439,0)),MIN(R$38,$D$19),$P$20))-SUM($P439:Q439)</f>
        <v>#VALUE!</v>
      </c>
      <c r="S439" s="446" t="e">
        <f>IF(OR($B439="",MIN(S$38,$D$19)&lt;MAX($P$34*($B439+IF($R$17="Distrato",$I$38-1,0)),IF(AND($L$37=0,$P$34=0),"",$L$37-1),IF($R$17="Distrato",$E439,0))),0,YEARFRAC(MAX($P$34*($B439+IF($R$17="Distrato",$I$38-1,0)),IF(AND($L$37=0,$P$34=0),"",$L$37-1),IF($R$17="Distrato",$E439,0)),MIN(S$38,$D$19),$P$20))-SUM($P439:R439)</f>
        <v>#VALUE!</v>
      </c>
      <c r="T439" s="446" t="e">
        <f>IF(OR($B439="",MIN(T$38,$D$19)&lt;MAX($P$34*($B439+IF($R$17="Distrato",$I$38-1,0)),IF(AND($L$37=0,$P$34=0),"",$L$37-1),IF($R$17="Distrato",$E439,0))),0,YEARFRAC(MAX($P$34*($B439+IF($R$17="Distrato",$I$38-1,0)),IF(AND($L$37=0,$P$34=0),"",$L$37-1),IF($R$17="Distrato",$E439,0)),MIN(T$38,$D$19),$P$20))-SUM($P439:S439)</f>
        <v>#VALUE!</v>
      </c>
      <c r="U439" s="446" t="e">
        <f>IF(OR($B439="",MIN(U$38,$D$19)&lt;MAX($P$34*($B439+IF($R$17="Distrato",$I$38-1,0)),IF(AND($L$37=0,$P$34=0),"",$L$37-1),IF($R$17="Distrato",$E439,0))),0,YEARFRAC(MAX($P$34*($B439+IF($R$17="Distrato",$I$38-1,0)),IF(AND($L$37=0,$P$34=0),"",$L$37-1),IF($R$17="Distrato",$E439,0)),MIN(U$38,$D$19),$P$20))-SUM($P439:T439)</f>
        <v>#VALUE!</v>
      </c>
      <c r="V439" s="446" t="e">
        <f>IF(OR($B439="",MIN(V$38,$D$19)&lt;MAX($P$34*($B439+IF($R$17="Distrato",$I$38-1,0)),IF(AND($L$37=0,$P$34=0),"",$L$37-1),IF($R$17="Distrato",$E439,0))),0,YEARFRAC(MAX($P$34*($B439+IF($R$17="Distrato",$I$38-1,0)),IF(AND($L$37=0,$P$34=0),"",$L$37-1),IF($R$17="Distrato",$E439,0)),MIN(V$38,$D$19),$P$20))-SUM($P439:U439)</f>
        <v>#VALUE!</v>
      </c>
      <c r="W439" s="446" t="e">
        <f>IF(OR($B439="",MIN(W$38,$D$19)&lt;MAX($P$34*($B439+IF($R$17="Distrato",$I$38-1,0)),IF(AND($L$37=0,$P$34=0),"",$L$37-1),IF($R$17="Distrato",$E439,0))),0,YEARFRAC(MAX($P$34*($B439+IF($R$17="Distrato",$I$38-1,0)),IF(AND($L$37=0,$P$34=0),"",$L$37-1),IF($R$17="Distrato",$E439,0)),MIN(W$38,$D$19),$P$20))-SUM($P439:V439)</f>
        <v>#VALUE!</v>
      </c>
      <c r="X439" s="446" t="e">
        <f>IF(OR($B439="",MIN(X$38,$D$19)&lt;MAX($P$34*($B439+IF($R$17="Distrato",$I$38-1,0)),IF(AND($L$37=0,$P$34=0),"",$L$37-1),IF($R$17="Distrato",$E439,0))),0,YEARFRAC(MAX($P$34*($B439+IF($R$17="Distrato",$I$38-1,0)),IF(AND($L$37=0,$P$34=0),"",$L$37-1),IF($R$17="Distrato",$E439,0)),MIN(X$38,$D$19),$P$20))-SUM($P439:W439)</f>
        <v>#VALUE!</v>
      </c>
      <c r="Y439" s="446" t="e">
        <f>IF(OR($B439="",MIN(Y$38,$D$19)&lt;MAX($P$34*($B439+IF($R$17="Distrato",$I$38-1,0)),IF(AND($L$37=0,$P$34=0),"",$L$37-1),IF($R$17="Distrato",$E439,0))),0,YEARFRAC(MAX($P$34*($B439+IF($R$17="Distrato",$I$38-1,0)),IF(AND($L$37=0,$P$34=0),"",$L$37-1),IF($R$17="Distrato",$E439,0)),MIN(Y$38,$D$19),$P$20))-SUM($P439:X439)</f>
        <v>#VALUE!</v>
      </c>
      <c r="Z439" s="446" t="e">
        <f>IF(OR($B439="",MIN(Z$38,$D$19)&lt;MAX($P$34*($B439+IF($R$17="Distrato",$I$38-1,0)),IF(AND($L$37=0,$P$34=0),"",$L$37-1),IF($R$17="Distrato",$E439,0))),0,YEARFRAC(MAX($P$34*($B439+IF($R$17="Distrato",$I$38-1,0)),IF(AND($L$37=0,$P$34=0),"",$L$37-1),IF($R$17="Distrato",$E439,0)),MIN(Z$38,$D$19),$P$20))-SUM($P439:Y439)</f>
        <v>#VALUE!</v>
      </c>
      <c r="AA439" s="446" t="e">
        <f>IF(OR($B439="",MIN(AA$38,$D$19)&lt;MAX($P$34*($B439+IF($R$17="Distrato",$I$38-1,0)),IF(AND($L$37=0,$P$34=0),"",$L$37-1),IF($R$17="Distrato",$E439,0))),0,YEARFRAC(MAX($P$34*($B439+IF($R$17="Distrato",$I$38-1,0)),IF(AND($L$37=0,$P$34=0),"",$L$37-1),IF($R$17="Distrato",$E439,0)),MIN(AA$38,$D$19),$P$20))-SUM($P439:Z439)</f>
        <v>#VALUE!</v>
      </c>
      <c r="AB439" s="446" t="e">
        <f>IF(OR($B439="",MIN(AB$38,$D$19)&lt;MAX($P$34*($B439+IF($R$17="Distrato",$I$38-1,0)),IF(AND($L$37=0,$P$34=0),"",$L$37-1),IF($R$17="Distrato",$E439,0))),0,YEARFRAC(MAX($P$34*($B439+IF($R$17="Distrato",$I$38-1,0)),IF(AND($L$37=0,$P$34=0),"",$L$37-1),IF($R$17="Distrato",$E439,0)),MIN(AB$38,$D$19),$P$20))-SUM($P439:AA439)</f>
        <v>#VALUE!</v>
      </c>
      <c r="AC439" s="446" t="e">
        <f>IF(OR($B439="",MIN(AC$38,$D$19)&lt;MAX($P$34*($B439+IF($R$17="Distrato",$I$38-1,0)),IF(AND($L$37=0,$P$34=0),"",$L$37-1),IF($R$17="Distrato",$E439,0))),0,YEARFRAC(MAX($P$34*($B439+IF($R$17="Distrato",$I$38-1,0)),IF(AND($L$37=0,$P$34=0),"",$L$37-1),IF($R$17="Distrato",$E439,0)),MIN(AC$38,$D$19),$P$20))-SUM($P439:AB439)</f>
        <v>#VALUE!</v>
      </c>
      <c r="AD439" s="446" t="e">
        <f>IF(OR($B439="",MIN(AD$38,$D$19)&lt;MAX($P$34*($B439+IF($R$17="Distrato",$I$38-1,0)),IF(AND($L$37=0,$P$34=0),"",$L$37-1),IF($R$17="Distrato",$E439,0))),0,YEARFRAC(MAX($P$34*($B439+IF($R$17="Distrato",$I$38-1,0)),IF(AND($L$37=0,$P$34=0),"",$L$37-1),IF($R$17="Distrato",$E439,0)),MIN(AD$38,$D$19),$P$20))-SUM($P439:AC439)</f>
        <v>#VALUE!</v>
      </c>
      <c r="AE439" s="446" t="e">
        <f>IF(OR($B439="",MIN(AE$38,$D$19)&lt;MAX($P$34*($B439+IF($R$17="Distrato",$I$38-1,0)),IF(AND($L$37=0,$P$34=0),"",$L$37-1),IF($R$17="Distrato",$E439,0))),0,YEARFRAC(MAX($P$34*($B439+IF($R$17="Distrato",$I$38-1,0)),IF(AND($L$37=0,$P$34=0),"",$L$37-1),IF($R$17="Distrato",$E439,0)),MIN(AE$38,$D$19),$P$20))-SUM($P439:AD439)</f>
        <v>#VALUE!</v>
      </c>
      <c r="AF439" s="446" t="e">
        <f>IF(OR($B439="",MIN(AF$38,$D$19)&lt;MAX($P$34*($B439+IF($R$17="Distrato",$I$38-1,0)),IF(AND($L$37=0,$P$34=0),"",$L$37-1),IF($R$17="Distrato",$E439,0))),0,YEARFRAC(MAX($P$34*($B439+IF($R$17="Distrato",$I$38-1,0)),IF(AND($L$37=0,$P$34=0),"",$L$37-1),IF($R$17="Distrato",$E439,0)),MIN(AF$38,$D$19),$P$20))-SUM($P439:AE439)</f>
        <v>#VALUE!</v>
      </c>
      <c r="AG439" s="446" t="e">
        <f>IF(OR($B439="",MIN(AG$38,$D$19)&lt;MAX($P$34*($B439+IF($R$17="Distrato",$I$38-1,0)),IF(AND($L$37=0,$P$34=0),"",$L$37-1),IF($R$17="Distrato",$E439,0))),0,YEARFRAC(MAX($P$34*($B439+IF($R$17="Distrato",$I$38-1,0)),IF(AND($L$37=0,$P$34=0),"",$L$37-1),IF($R$17="Distrato",$E439,0)),MIN(AG$38,$D$19),$P$20))-SUM($P439:AF439)</f>
        <v>#VALUE!</v>
      </c>
      <c r="AH439" s="446" t="e">
        <f>IF(OR($B439="",MIN(AH$38,$D$19)&lt;MAX($P$34*($B439+IF($R$17="Distrato",$I$38-1,0)),IF(AND($L$37=0,$P$34=0),"",$L$37-1),IF($R$17="Distrato",$E439,0))),0,YEARFRAC(MAX($P$34*($B439+IF($R$17="Distrato",$I$38-1,0)),IF(AND($L$37=0,$P$34=0),"",$L$37-1),IF($R$17="Distrato",$E439,0)),MIN(AH$38,$D$19),$P$20))-SUM($P439:AG439)</f>
        <v>#VALUE!</v>
      </c>
      <c r="AI439" s="446" t="e">
        <f>IF(OR($B439="",MIN(AI$38,$D$19)&lt;MAX($P$34*($B439+IF($R$17="Distrato",$I$38-1,0)),IF(AND($L$37=0,$P$34=0),"",$L$37-1),IF($R$17="Distrato",$E439,0))),0,YEARFRAC(MAX($P$34*($B439+IF($R$17="Distrato",$I$38-1,0)),IF(AND($L$37=0,$P$34=0),"",$L$37-1),IF($R$17="Distrato",$E439,0)),MIN(AI$38,$D$19),$P$20))-SUM($P439:AH439)</f>
        <v>#VALUE!</v>
      </c>
      <c r="AJ439" s="446" t="e">
        <f>IF(OR($B439="",MIN(AJ$38,$D$19)&lt;MAX($P$34*($B439+IF($R$17="Distrato",$I$38-1,0)),IF(AND($L$37=0,$P$34=0),"",$L$37-1),IF($R$17="Distrato",$E439,0))),0,YEARFRAC(MAX($P$34*($B439+IF($R$17="Distrato",$I$38-1,0)),IF(AND($L$37=0,$P$34=0),"",$L$37-1),IF($R$17="Distrato",$E439,0)),MIN(AJ$38,$D$19),$P$20))-SUM($P439:AI439)</f>
        <v>#VALUE!</v>
      </c>
      <c r="AK439" s="446" t="e">
        <f>IF(OR($B439="",MIN(AK$38,$D$19)&lt;MAX($P$34*($B439+IF($R$17="Distrato",$I$38-1,0)),IF(AND($L$37=0,$P$34=0),"",$L$37-1),IF($R$17="Distrato",$E439,0))),0,YEARFRAC(MAX($P$34*($B439+IF($R$17="Distrato",$I$38-1,0)),IF(AND($L$37=0,$P$34=0),"",$L$37-1),IF($R$17="Distrato",$E439,0)),MIN(AK$38,$D$19),$P$20))-SUM($P439:AJ439)</f>
        <v>#VALUE!</v>
      </c>
      <c r="AL439" s="446" t="e">
        <f>IF(OR($B439="",MIN(AL$38,$D$19)&lt;MAX($P$34*($B439+IF($R$17="Distrato",$I$38-1,0)),IF(AND($L$37=0,$P$34=0),"",$L$37-1),IF($R$17="Distrato",$E439,0))),0,YEARFRAC(MAX($P$34*($B439+IF($R$17="Distrato",$I$38-1,0)),IF(AND($L$37=0,$P$34=0),"",$L$37-1),IF($R$17="Distrato",$E439,0)),MIN(AL$38,$D$19),$P$20))-SUM($P439:AK439)</f>
        <v>#VALUE!</v>
      </c>
      <c r="AM439" s="446" t="e">
        <f>IF(OR($B439="",MIN(AM$38,$D$19)&lt;MAX($P$34*($B439+IF($R$17="Distrato",$I$38-1,0)),IF(AND($L$37=0,$P$34=0),"",$L$37-1),IF($R$17="Distrato",$E439,0))),0,YEARFRAC(MAX($P$34*($B439+IF($R$17="Distrato",$I$38-1,0)),IF(AND($L$37=0,$P$34=0),"",$L$37-1),IF($R$17="Distrato",$E439,0)),MIN(AM$38,$D$19),$P$20))-SUM($P439:AL439)</f>
        <v>#VALUE!</v>
      </c>
      <c r="AN439" s="446" t="e">
        <f>IF(OR($B439="",MIN(AN$38,$D$19)&lt;MAX($P$34*($B439+IF($R$17="Distrato",$I$38-1,0)),IF(AND($L$37=0,$P$34=0),"",$L$37-1),IF($R$17="Distrato",$E439,0))),0,YEARFRAC(MAX($P$34*($B439+IF($R$17="Distrato",$I$38-1,0)),IF(AND($L$37=0,$P$34=0),"",$L$37-1),IF($R$17="Distrato",$E439,0)),MIN(AN$38,$D$19),$P$20))-SUM($P439:AM439)</f>
        <v>#VALUE!</v>
      </c>
      <c r="AO439" s="446" t="e">
        <f>IF(OR($B439="",MIN(AO$38,$D$19)&lt;MAX($P$34*($B439+IF($R$17="Distrato",$I$38-1,0)),IF(AND($L$37=0,$P$34=0),"",$L$37-1),IF($R$17="Distrato",$E439,0))),0,YEARFRAC(MAX($P$34*($B439+IF($R$17="Distrato",$I$38-1,0)),IF(AND($L$37=0,$P$34=0),"",$L$37-1),IF($R$17="Distrato",$E439,0)),MIN(AO$38,$D$19),$P$20))-SUM($P439:AN439)</f>
        <v>#VALUE!</v>
      </c>
      <c r="AP439" s="446" t="e">
        <f>IF(OR($B439="",MIN(AP$38,$D$19)&lt;MAX($P$34*($B439+IF($R$17="Distrato",$I$38-1,0)),IF(AND($L$37=0,$P$34=0),"",$L$37-1),IF($R$17="Distrato",$E439,0))),0,YEARFRAC(MAX($P$34*($B439+IF($R$17="Distrato",$I$38-1,0)),IF(AND($L$37=0,$P$34=0),"",$L$37-1),IF($R$17="Distrato",$E439,0)),MIN(AP$38,$D$19),$P$20))-SUM($P439:AO439)</f>
        <v>#VALUE!</v>
      </c>
      <c r="AQ439" s="446" t="e">
        <f>IF(OR($B439="",MIN(AQ$38,$D$19)&lt;MAX($P$34*($B439+IF($R$17="Distrato",$I$38-1,0)),IF(AND($L$37=0,$P$34=0),"",$L$37-1),IF($R$17="Distrato",$E439,0))),0,YEARFRAC(MAX($P$34*($B439+IF($R$17="Distrato",$I$38-1,0)),IF(AND($L$37=0,$P$34=0),"",$L$37-1),IF($R$17="Distrato",$E439,0)),MIN(AQ$38,$D$19),$P$20))-SUM($P439:AP439)</f>
        <v>#VALUE!</v>
      </c>
      <c r="AR439" s="446" t="e">
        <f>IF(OR($B439="",MIN(AR$38,$D$19)&lt;MAX($P$34*($B439+IF($R$17="Distrato",$I$38-1,0)),IF(AND($L$37=0,$P$34=0),"",$L$37-1),IF($R$17="Distrato",$E439,0))),0,YEARFRAC(MAX($P$34*($B439+IF($R$17="Distrato",$I$38-1,0)),IF(AND($L$37=0,$P$34=0),"",$L$37-1),IF($R$17="Distrato",$E439,0)),MIN(AR$38,$D$19),$P$20))-SUM($P439:AQ439)</f>
        <v>#VALUE!</v>
      </c>
      <c r="AS439" s="446" t="e">
        <f>IF(OR($B439="",MIN(AS$38,$D$19)&lt;MAX($P$34*($B439+IF($R$17="Distrato",$I$38-1,0)),IF(AND($L$37=0,$P$34=0),"",$L$37-1),IF($R$17="Distrato",$E439,0))),0,YEARFRAC(MAX($P$34*($B439+IF($R$17="Distrato",$I$38-1,0)),IF(AND($L$37=0,$P$34=0),"",$L$37-1),IF($R$17="Distrato",$E439,0)),MIN(AS$38,$D$19),$P$20))-SUM($P439:AR439)</f>
        <v>#VALUE!</v>
      </c>
      <c r="AT439" s="446" t="e">
        <f>IF(OR($B439="",MIN(AT$38,$D$19)&lt;MAX($P$34*($B439+IF($R$17="Distrato",$I$38-1,0)),IF(AND($L$37=0,$P$34=0),"",$L$37-1),IF($R$17="Distrato",$E439,0))),0,YEARFRAC(MAX($P$34*($B439+IF($R$17="Distrato",$I$38-1,0)),IF(AND($L$37=0,$P$34=0),"",$L$37-1),IF($R$17="Distrato",$E439,0)),MIN(AT$38,$D$19),$P$20))-SUM($P439:AS439)</f>
        <v>#VALUE!</v>
      </c>
      <c r="AU439" s="446" t="e">
        <f>IF(OR($B439="",MIN(AU$38,$D$19)&lt;MAX($P$34*($B439+IF($R$17="Distrato",$I$38-1,0)),IF(AND($L$37=0,$P$34=0),"",$L$37-1),IF($R$17="Distrato",$E439,0))),0,YEARFRAC(MAX($P$34*($B439+IF($R$17="Distrato",$I$38-1,0)),IF(AND($L$37=0,$P$34=0),"",$L$37-1),IF($R$17="Distrato",$E439,0)),MIN(AU$38,$D$19),$P$20))-SUM($P439:AT439)</f>
        <v>#VALUE!</v>
      </c>
      <c r="AV439" s="446" t="e">
        <f>IF(OR($B439="",MIN(AV$38,$D$19)&lt;MAX($P$34*($B439+IF($R$17="Distrato",$I$38-1,0)),IF(AND($L$37=0,$P$34=0),"",$L$37-1),IF($R$17="Distrato",$E439,0))),0,YEARFRAC(MAX($P$34*($B439+IF($R$17="Distrato",$I$38-1,0)),IF(AND($L$37=0,$P$34=0),"",$L$37-1),IF($R$17="Distrato",$E439,0)),MIN(AV$38,$D$19),$P$20))-SUM($P439:AU439)</f>
        <v>#VALUE!</v>
      </c>
      <c r="AW439" s="446" t="e">
        <f>IF(OR($B439="",MIN(AW$38,$D$19)&lt;MAX($P$34*($B439+IF($R$17="Distrato",$I$38-1,0)),IF(AND($L$37=0,$P$34=0),"",$L$37-1),IF($R$17="Distrato",$E439,0))),0,YEARFRAC(MAX($P$34*($B439+IF($R$17="Distrato",$I$38-1,0)),IF(AND($L$37=0,$P$34=0),"",$L$37-1),IF($R$17="Distrato",$E439,0)),MIN(AW$38,$D$19),$P$20))-SUM($P439:AV439)</f>
        <v>#VALUE!</v>
      </c>
      <c r="AX439" s="446" t="e">
        <f>IF(OR($B439="",MIN(AX$38,$D$19)&lt;MAX($P$34*($B439+IF($R$17="Distrato",$I$38-1,0)),IF(AND($L$37=0,$P$34=0),"",$L$37-1),IF($R$17="Distrato",$E439,0))),0,YEARFRAC(MAX($P$34*($B439+IF($R$17="Distrato",$I$38-1,0)),IF(AND($L$37=0,$P$34=0),"",$L$37-1),IF($R$17="Distrato",$E439,0)),MIN(AX$38,$D$19),$P$20))-SUM($P439:AW439)</f>
        <v>#VALUE!</v>
      </c>
      <c r="AY439" s="446" t="e">
        <f>IF(OR($B439="",MIN(AY$38,$D$19)&lt;MAX($P$34*($B439+IF($R$17="Distrato",$I$38-1,0)),IF(AND($L$37=0,$P$34=0),"",$L$37-1),IF($R$17="Distrato",$E439,0))),0,YEARFRAC(MAX($P$34*($B439+IF($R$17="Distrato",$I$38-1,0)),IF(AND($L$37=0,$P$34=0),"",$L$37-1),IF($R$17="Distrato",$E439,0)),MIN(AY$38,$D$19),$P$20))-SUM($P439:AX439)</f>
        <v>#VALUE!</v>
      </c>
      <c r="AZ439" s="446" t="e">
        <f>IF(OR($B439="",MIN(AZ$38,$D$19)&lt;MAX($P$34*($B439+IF($R$17="Distrato",$I$38-1,0)),IF(AND($L$37=0,$P$34=0),"",$L$37-1),IF($R$17="Distrato",$E439,0))),0,YEARFRAC(MAX($P$34*($B439+IF($R$17="Distrato",$I$38-1,0)),IF(AND($L$37=0,$P$34=0),"",$L$37-1),IF($R$17="Distrato",$E439,0)),MIN(AZ$38,$D$19),$P$20))-SUM($P439:AY439)</f>
        <v>#VALUE!</v>
      </c>
      <c r="BA439" s="446" t="e">
        <f>IF(OR($B439="",MIN(BA$38,$D$19)&lt;MAX($P$34*($B439+IF($R$17="Distrato",$I$38-1,0)),IF(AND($L$37=0,$P$34=0),"",$L$37-1),IF($R$17="Distrato",$E439,0))),0,YEARFRAC(MAX($P$34*($B439+IF($R$17="Distrato",$I$38-1,0)),IF(AND($L$37=0,$P$34=0),"",$L$37-1),IF($R$17="Distrato",$E439,0)),MIN(BA$38,$D$19),$P$20))-SUM($P439:AZ439)</f>
        <v>#VALUE!</v>
      </c>
      <c r="BB439" s="447"/>
      <c r="BF439" s="446">
        <f t="shared" si="76"/>
        <v>0</v>
      </c>
      <c r="BG439" s="446">
        <f>IF($E439=0,0,IF(MIN(BG$38,$E439)&lt;MAX($P$34*($B439+$I$38-1),IF(AND($L$37=0,$P$34=0),"",$L$37-1)),0,YEARFRAC(MAX($P$34*($B439+$I$38-1),IF(AND($L$37=0,$P$34=0),"",$L$37-1)),MIN(BG$38,$E439),$P$20))-SUM($BF439:BF439))</f>
        <v>0</v>
      </c>
      <c r="BH439" s="446">
        <f>IF($E439=0,0,IF(MIN(BH$38,$E439)&lt;MAX($P$34*($B439+$I$38-1),IF(AND($L$37=0,$P$34=0),"",$L$37-1)),0,YEARFRAC(MAX($P$34*($B439+$I$38-1),IF(AND($L$37=0,$P$34=0),"",$L$37-1)),MIN(BH$38,$E439),$P$20))-SUM($BF439:BG439))</f>
        <v>0</v>
      </c>
      <c r="BI439" s="446">
        <f>IF($E439=0,0,IF(MIN(BI$38,$E439)&lt;MAX($P$34*($B439+$I$38-1),IF(AND($L$37=0,$P$34=0),"",$L$37-1)),0,YEARFRAC(MAX($P$34*($B439+$I$38-1),IF(AND($L$37=0,$P$34=0),"",$L$37-1)),MIN(BI$38,$E439),$P$20))-SUM($BF439:BH439))</f>
        <v>0</v>
      </c>
      <c r="BJ439" s="446">
        <f>IF($E439=0,0,IF(MIN(BJ$38,$E439)&lt;MAX($P$34*($B439+$I$38-1),IF(AND($L$37=0,$P$34=0),"",$L$37-1)),0,YEARFRAC(MAX($P$34*($B439+$I$38-1),IF(AND($L$37=0,$P$34=0),"",$L$37-1)),MIN(BJ$38,$E439),$P$20))-SUM($BF439:BI439))</f>
        <v>0</v>
      </c>
      <c r="BK439" s="446">
        <f>IF($E439=0,0,IF(MIN(BK$38,$E439)&lt;MAX($P$34*($B439+$I$38-1),IF(AND($L$37=0,$P$34=0),"",$L$37-1)),0,YEARFRAC(MAX($P$34*($B439+$I$38-1),IF(AND($L$37=0,$P$34=0),"",$L$37-1)),MIN(BK$38,$E439),$P$20))-SUM($BF439:BJ439))</f>
        <v>0</v>
      </c>
      <c r="BL439" s="446">
        <f>IF($E439=0,0,IF(MIN(BL$38,$E439)&lt;MAX($P$34*($B439+$I$38-1),IF(AND($L$37=0,$P$34=0),"",$L$37-1)),0,YEARFRAC(MAX($P$34*($B439+$I$38-1),IF(AND($L$37=0,$P$34=0),"",$L$37-1)),MIN(BL$38,$E439),$P$20))-SUM($BF439:BK439))</f>
        <v>0</v>
      </c>
      <c r="BM439" s="446">
        <f>IF($E439=0,0,IF(MIN(BM$38,$E439)&lt;MAX($P$34*($B439+$I$38-1),IF(AND($L$37=0,$P$34=0),"",$L$37-1)),0,YEARFRAC(MAX($P$34*($B439+$I$38-1),IF(AND($L$37=0,$P$34=0),"",$L$37-1)),MIN(BM$38,$E439),$P$20))-SUM($BF439:BL439))</f>
        <v>0</v>
      </c>
      <c r="BN439" s="446">
        <f>IF($E439=0,0,IF(MIN(BN$38,$E439)&lt;MAX($P$34*($B439+$I$38-1),IF(AND($L$37=0,$P$34=0),"",$L$37-1)),0,YEARFRAC(MAX($P$34*($B439+$I$38-1),IF(AND($L$37=0,$P$34=0),"",$L$37-1)),MIN(BN$38,$E439),$P$20))-SUM($BF439:BM439))</f>
        <v>0</v>
      </c>
      <c r="BO439" s="446">
        <f>IF($E439=0,0,IF(MIN(BO$38,$E439)&lt;MAX($P$34*($B439+$I$38-1),IF(AND($L$37=0,$P$34=0),"",$L$37-1)),0,YEARFRAC(MAX($P$34*($B439+$I$38-1),IF(AND($L$37=0,$P$34=0),"",$L$37-1)),MIN(BO$38,$E439),$P$20))-SUM($BF439:BN439))</f>
        <v>0</v>
      </c>
      <c r="BP439" s="446">
        <f>IF($E439=0,0,IF(MIN(BP$38,$E439)&lt;MAX($P$34*($B439+$I$38-1),IF(AND($L$37=0,$P$34=0),"",$L$37-1)),0,YEARFRAC(MAX($P$34*($B439+$I$38-1),IF(AND($L$37=0,$P$34=0),"",$L$37-1)),MIN(BP$38,$E439),$P$20))-SUM($BF439:BO439))</f>
        <v>0</v>
      </c>
      <c r="BQ439" s="446">
        <f>IF($E439=0,0,IF(MIN(BQ$38,$E439)&lt;MAX($P$34*($B439+$I$38-1),IF(AND($L$37=0,$P$34=0),"",$L$37-1)),0,YEARFRAC(MAX($P$34*($B439+$I$38-1),IF(AND($L$37=0,$P$34=0),"",$L$37-1)),MIN(BQ$38,$E439),$P$20))-SUM($BF439:BP439))</f>
        <v>0</v>
      </c>
      <c r="BR439" s="446">
        <f>IF($E439=0,0,IF(MIN(BR$38,$E439)&lt;MAX($P$34*($B439+$I$38-1),IF(AND($L$37=0,$P$34=0),"",$L$37-1)),0,YEARFRAC(MAX($P$34*($B439+$I$38-1),IF(AND($L$37=0,$P$34=0),"",$L$37-1)),MIN(BR$38,$E439),$P$20))-SUM($BF439:BQ439))</f>
        <v>0</v>
      </c>
      <c r="BS439" s="446">
        <f>IF($E439=0,0,IF(MIN(BS$38,$E439)&lt;MAX($P$34*($B439+$I$38-1),IF(AND($L$37=0,$P$34=0),"",$L$37-1)),0,YEARFRAC(MAX($P$34*($B439+$I$38-1),IF(AND($L$37=0,$P$34=0),"",$L$37-1)),MIN(BS$38,$E439),$P$20))-SUM($BF439:BR439))</f>
        <v>0</v>
      </c>
      <c r="BT439" s="446">
        <f>IF($E439=0,0,IF(MIN(BT$38,$E439)&lt;MAX($P$34*($B439+$I$38-1),IF(AND($L$37=0,$P$34=0),"",$L$37-1)),0,YEARFRAC(MAX($P$34*($B439+$I$38-1),IF(AND($L$37=0,$P$34=0),"",$L$37-1)),MIN(BT$38,$E439),$P$20))-SUM($BF439:BS439))</f>
        <v>0</v>
      </c>
      <c r="BU439" s="446">
        <f>IF($E439=0,0,IF(MIN(BU$38,$E439)&lt;MAX($P$34*($B439+$I$38-1),IF(AND($L$37=0,$P$34=0),"",$L$37-1)),0,YEARFRAC(MAX($P$34*($B439+$I$38-1),IF(AND($L$37=0,$P$34=0),"",$L$37-1)),MIN(BU$38,$E439),$P$20))-SUM($BF439:BT439))</f>
        <v>0</v>
      </c>
      <c r="BV439" s="446">
        <f>IF($E439=0,0,IF(MIN(BV$38,$E439)&lt;MAX($P$34*($B439+$I$38-1),IF(AND($L$37=0,$P$34=0),"",$L$37-1)),0,YEARFRAC(MAX($P$34*($B439+$I$38-1),IF(AND($L$37=0,$P$34=0),"",$L$37-1)),MIN(BV$38,$E439),$P$20))-SUM($BF439:BU439))</f>
        <v>0</v>
      </c>
      <c r="BW439" s="446">
        <f>IF($E439=0,0,IF(MIN(BW$38,$E439)&lt;MAX($P$34*($B439+$I$38-1),IF(AND($L$37=0,$P$34=0),"",$L$37-1)),0,YEARFRAC(MAX($P$34*($B439+$I$38-1),IF(AND($L$37=0,$P$34=0),"",$L$37-1)),MIN(BW$38,$E439),$P$20))-SUM($BF439:BV439))</f>
        <v>0</v>
      </c>
      <c r="BX439" s="446">
        <f>IF($E439=0,0,IF(MIN(BX$38,$E439)&lt;MAX($P$34*($B439+$I$38-1),IF(AND($L$37=0,$P$34=0),"",$L$37-1)),0,YEARFRAC(MAX($P$34*($B439+$I$38-1),IF(AND($L$37=0,$P$34=0),"",$L$37-1)),MIN(BX$38,$E439),$P$20))-SUM($BF439:BW439))</f>
        <v>0</v>
      </c>
      <c r="BY439" s="446">
        <f>IF($E439=0,0,IF(MIN(BY$38,$E439)&lt;MAX($P$34*($B439+$I$38-1),IF(AND($L$37=0,$P$34=0),"",$L$37-1)),0,YEARFRAC(MAX($P$34*($B439+$I$38-1),IF(AND($L$37=0,$P$34=0),"",$L$37-1)),MIN(BY$38,$E439),$P$20))-SUM($BF439:BX439))</f>
        <v>0</v>
      </c>
      <c r="BZ439" s="446">
        <f>IF($E439=0,0,IF(MIN(BZ$38,$E439)&lt;MAX($P$34*($B439+$I$38-1),IF(AND($L$37=0,$P$34=0),"",$L$37-1)),0,YEARFRAC(MAX($P$34*($B439+$I$38-1),IF(AND($L$37=0,$P$34=0),"",$L$37-1)),MIN(BZ$38,$E439),$P$20))-SUM($BF439:BY439))</f>
        <v>0</v>
      </c>
      <c r="CA439" s="446">
        <f>IF($E439=0,0,IF(MIN(CA$38,$E439)&lt;MAX($P$34*($B439+$I$38-1),IF(AND($L$37=0,$P$34=0),"",$L$37-1)),0,YEARFRAC(MAX($P$34*($B439+$I$38-1),IF(AND($L$37=0,$P$34=0),"",$L$37-1)),MIN(CA$38,$E439),$P$20))-SUM($BF439:BZ439))</f>
        <v>0</v>
      </c>
      <c r="CB439" s="446">
        <f>IF($E439=0,0,IF(MIN(CB$38,$E439)&lt;MAX($P$34*($B439+$I$38-1),IF(AND($L$37=0,$P$34=0),"",$L$37-1)),0,YEARFRAC(MAX($P$34*($B439+$I$38-1),IF(AND($L$37=0,$P$34=0),"",$L$37-1)),MIN(CB$38,$E439),$P$20))-SUM($BF439:CA439))</f>
        <v>0</v>
      </c>
      <c r="CC439" s="446">
        <f>IF($E439=0,0,IF(MIN(CC$38,$E439)&lt;MAX($P$34*($B439+$I$38-1),IF(AND($L$37=0,$P$34=0),"",$L$37-1)),0,YEARFRAC(MAX($P$34*($B439+$I$38-1),IF(AND($L$37=0,$P$34=0),"",$L$37-1)),MIN(CC$38,$E439),$P$20))-SUM($BF439:CB439))</f>
        <v>0</v>
      </c>
      <c r="CD439" s="446">
        <f>IF($E439=0,0,IF(MIN(CD$38,$E439)&lt;MAX($P$34*($B439+$I$38-1),IF(AND($L$37=0,$P$34=0),"",$L$37-1)),0,YEARFRAC(MAX($P$34*($B439+$I$38-1),IF(AND($L$37=0,$P$34=0),"",$L$37-1)),MIN(CD$38,$E439),$P$20))-SUM($BF439:CC439))</f>
        <v>0</v>
      </c>
      <c r="CE439" s="446">
        <f>IF($E439=0,0,IF(MIN(CE$38,$E439)&lt;MAX($P$34*($B439+$I$38-1),IF(AND($L$37=0,$P$34=0),"",$L$37-1)),0,YEARFRAC(MAX($P$34*($B439+$I$38-1),IF(AND($L$37=0,$P$34=0),"",$L$37-1)),MIN(CE$38,$E439),$P$20))-SUM($BF439:CD439))</f>
        <v>0</v>
      </c>
      <c r="CF439" s="446">
        <f>IF($E439=0,0,IF(MIN(CF$38,$E439)&lt;MAX($P$34*($B439+$I$38-1),IF(AND($L$37=0,$P$34=0),"",$L$37-1)),0,YEARFRAC(MAX($P$34*($B439+$I$38-1),IF(AND($L$37=0,$P$34=0),"",$L$37-1)),MIN(CF$38,$E439),$P$20))-SUM($BF439:CE439))</f>
        <v>0</v>
      </c>
      <c r="CG439" s="446">
        <f>IF($E439=0,0,IF(MIN(CG$38,$E439)&lt;MAX($P$34*($B439+$I$38-1),IF(AND($L$37=0,$P$34=0),"",$L$37-1)),0,YEARFRAC(MAX($P$34*($B439+$I$38-1),IF(AND($L$37=0,$P$34=0),"",$L$37-1)),MIN(CG$38,$E439),$P$20))-SUM($BF439:CF439))</f>
        <v>0</v>
      </c>
      <c r="CH439" s="446">
        <f>IF($E439=0,0,IF(MIN(CH$38,$E439)&lt;MAX($P$34*($B439+$I$38-1),IF(AND($L$37=0,$P$34=0),"",$L$37-1)),0,YEARFRAC(MAX($P$34*($B439+$I$38-1),IF(AND($L$37=0,$P$34=0),"",$L$37-1)),MIN(CH$38,$E439),$P$20))-SUM($BF439:CG439))</f>
        <v>0</v>
      </c>
      <c r="CI439" s="446">
        <f>IF($E439=0,0,IF(MIN(CI$38,$E439)&lt;MAX($P$34*($B439+$I$38-1),IF(AND($L$37=0,$P$34=0),"",$L$37-1)),0,YEARFRAC(MAX($P$34*($B439+$I$38-1),IF(AND($L$37=0,$P$34=0),"",$L$37-1)),MIN(CI$38,$E439),$P$20))-SUM($BF439:CH439))</f>
        <v>0</v>
      </c>
      <c r="CJ439" s="446">
        <f>IF($E439=0,0,IF(MIN(CJ$38,$E439)&lt;MAX($P$34*($B439+$I$38-1),IF(AND($L$37=0,$P$34=0),"",$L$37-1)),0,YEARFRAC(MAX($P$34*($B439+$I$38-1),IF(AND($L$37=0,$P$34=0),"",$L$37-1)),MIN(CJ$38,$E439),$P$20))-SUM($BF439:CI439))</f>
        <v>0</v>
      </c>
      <c r="CK439" s="446">
        <f>IF($E439=0,0,IF(MIN(CK$38,$E439)&lt;MAX($P$34*($B439+$I$38-1),IF(AND($L$37=0,$P$34=0),"",$L$37-1)),0,YEARFRAC(MAX($P$34*($B439+$I$38-1),IF(AND($L$37=0,$P$34=0),"",$L$37-1)),MIN(CK$38,$E439),$P$20))-SUM($BF439:CJ439))</f>
        <v>0</v>
      </c>
      <c r="CL439" s="446">
        <f>IF($E439=0,0,IF(MIN(CL$38,$E439)&lt;MAX($P$34*($B439+$I$38-1),IF(AND($L$37=0,$P$34=0),"",$L$37-1)),0,YEARFRAC(MAX($P$34*($B439+$I$38-1),IF(AND($L$37=0,$P$34=0),"",$L$37-1)),MIN(CL$38,$E439),$P$20))-SUM($BF439:CK439))</f>
        <v>0</v>
      </c>
      <c r="CM439" s="446">
        <f>IF($E439=0,0,IF(MIN(CM$38,$E439)&lt;MAX($P$34*($B439+$I$38-1),IF(AND($L$37=0,$P$34=0),"",$L$37-1)),0,YEARFRAC(MAX($P$34*($B439+$I$38-1),IF(AND($L$37=0,$P$34=0),"",$L$37-1)),MIN(CM$38,$E439),$P$20))-SUM($BF439:CL439))</f>
        <v>0</v>
      </c>
      <c r="CN439" s="446">
        <f>IF($E439=0,0,IF(MIN(CN$38,$E439)&lt;MAX($P$34*($B439+$I$38-1),IF(AND($L$37=0,$P$34=0),"",$L$37-1)),0,YEARFRAC(MAX($P$34*($B439+$I$38-1),IF(AND($L$37=0,$P$34=0),"",$L$37-1)),MIN(CN$38,$E439),$P$20))-SUM($BF439:CM439))</f>
        <v>0</v>
      </c>
      <c r="CO439" s="446">
        <f>IF($E439=0,0,IF(MIN(CO$38,$E439)&lt;MAX($P$34*($B439+$I$38-1),IF(AND($L$37=0,$P$34=0),"",$L$37-1)),0,YEARFRAC(MAX($P$34*($B439+$I$38-1),IF(AND($L$37=0,$P$34=0),"",$L$37-1)),MIN(CO$38,$E439),$P$20))-SUM($BF439:CN439))</f>
        <v>0</v>
      </c>
      <c r="CP439" s="446">
        <f>IF($E439=0,0,IF(MIN(CP$38,$E439)&lt;MAX($P$34*($B439+$I$38-1),IF(AND($L$37=0,$P$34=0),"",$L$37-1)),0,YEARFRAC(MAX($P$34*($B439+$I$38-1),IF(AND($L$37=0,$P$34=0),"",$L$37-1)),MIN(CP$38,$E439),$P$20))-SUM($BF439:CO439))</f>
        <v>0</v>
      </c>
      <c r="CQ439" s="446">
        <f>IF($E439=0,0,IF(MIN(CQ$38,$E439)&lt;MAX($P$34*($B439+$I$38-1),IF(AND($L$37=0,$P$34=0),"",$L$37-1)),0,YEARFRAC(MAX($P$34*($B439+$I$38-1),IF(AND($L$37=0,$P$34=0),"",$L$37-1)),MIN(CQ$38,$E439),$P$20))-SUM($BF439:CP439))</f>
        <v>0</v>
      </c>
    </row>
    <row r="440" spans="1:95" s="446" customFormat="1" ht="11.25" hidden="1" customHeight="1" x14ac:dyDescent="0.2">
      <c r="A440" s="152"/>
      <c r="B440" s="153" t="str">
        <f t="shared" si="81"/>
        <v/>
      </c>
      <c r="C440" s="29" t="str">
        <f>IF(B440="","",IF($L$35="SELIC - TRIBUTOS",VLOOKUP(DATE(YEAR($D$19),MONTH($D$19)-1,1),ÍNDICES!$A:$DE,HLOOKUP($BL$25,ÍNDICES!$B$3:$T$4,2)+11)-VLOOKUP(B440,ÍNDICES!$A:$DE,HLOOKUP($BL$25,ÍNDICES!$B$3:$T$4,2)+11)+1%,IF(C$38=$W$26,$J$35,IF(ISERROR(IF(B440&gt;$D$19,1,VLOOKUP(DATE(YEAR(B440),MONTH(B440)+IF($C$35=$S$23,1,0),1),ÍNDICES!$A:$DE,$Z$35+1))),"",IF(B440&gt;$D$19,1,VLOOKUP(DATE(YEAR(B440),MONTH(B440)+IF($C$35=$S$23,1,0),1),ÍNDICES!$A:$DE,$Z$35+1))))))</f>
        <v/>
      </c>
      <c r="D440" s="154" t="str">
        <f>IF(ISERROR(IF(OR($D$38=$Y$27,$B440=""),"",VLOOKUP(B440,ÍNDICES!A:DE,AF$35+1))),"",IF(OR($D$38=$Y$27,$B440=""),"",VLOOKUP(B440,ÍNDICES!A:DE,AF$35+1)))</f>
        <v/>
      </c>
      <c r="E440" s="153"/>
      <c r="F440" s="29" t="str">
        <f>IF(E440="","",IF($L$35="SELIC - TRIBUTOS",VLOOKUP(DATE(YEAR($D$19),MONTH($D$19)-1,1),ÍNDICES!$A:$DE,HLOOKUP($BL$25,ÍNDICES!$B$3:$T$4,2)+11)-VLOOKUP(E440,ÍNDICES!$A:$DE,HLOOKUP($BL$25,ÍNDICES!$B$3:$T$4,2)+11)+1%,IF(F$38=$W$26,$J$35,IF(ISERROR(IF(E440&gt;$D$19,1,VLOOKUP(DATE(YEAR(E440),MONTH(E440)+IF($C$35=$S$23,1,0),1),ÍNDICES!$A:$DE,$Z$35+1))),"",IF(E440&gt;$D$19,1,VLOOKUP(DATE(YEAR(E440),MONTH(E440)+IF($C$35=$S$23,1,0),1),ÍNDICES!$A:$DE,$Z$35+1))))))</f>
        <v/>
      </c>
      <c r="G440" s="155"/>
      <c r="H440" s="156" t="str">
        <f t="shared" si="77"/>
        <v/>
      </c>
      <c r="I440" s="29" t="str">
        <f t="shared" si="71"/>
        <v/>
      </c>
      <c r="J440" s="5">
        <f t="shared" si="72"/>
        <v>0</v>
      </c>
      <c r="K440" s="20">
        <f t="shared" ca="1" si="73"/>
        <v>0</v>
      </c>
      <c r="L440" s="5">
        <f t="shared" ca="1" si="74"/>
        <v>0</v>
      </c>
      <c r="M440" s="64">
        <f t="shared" si="78"/>
        <v>0</v>
      </c>
      <c r="N440" s="61">
        <f t="shared" ca="1" si="79"/>
        <v>0</v>
      </c>
      <c r="O440" s="5">
        <f t="shared" ca="1" si="80"/>
        <v>0</v>
      </c>
      <c r="P440" s="446" t="e">
        <f t="shared" si="75"/>
        <v>#VALUE!</v>
      </c>
      <c r="Q440" s="446" t="e">
        <f>IF(OR($B440="",MIN(Q$38,$D$19)&lt;MAX($P$34*($B440+IF($R$17="Distrato",$I$38-1,0)),IF(AND($L$37=0,$P$34=0),"",$L$37-1),IF($R$17="Distrato",$E440,0))),0,YEARFRAC(MAX($P$34*($B440+IF($R$17="Distrato",$I$38-1,0)),IF(AND($L$37=0,$P$34=0),"",$L$37-1),IF($R$17="Distrato",$E440,0)),MIN(Q$38,$D$19),$P$20))-SUM($P440:P440)</f>
        <v>#VALUE!</v>
      </c>
      <c r="R440" s="446" t="e">
        <f>IF(OR($B440="",MIN(R$38,$D$19)&lt;MAX($P$34*($B440+IF($R$17="Distrato",$I$38-1,0)),IF(AND($L$37=0,$P$34=0),"",$L$37-1),IF($R$17="Distrato",$E440,0))),0,YEARFRAC(MAX($P$34*($B440+IF($R$17="Distrato",$I$38-1,0)),IF(AND($L$37=0,$P$34=0),"",$L$37-1),IF($R$17="Distrato",$E440,0)),MIN(R$38,$D$19),$P$20))-SUM($P440:Q440)</f>
        <v>#VALUE!</v>
      </c>
      <c r="S440" s="446" t="e">
        <f>IF(OR($B440="",MIN(S$38,$D$19)&lt;MAX($P$34*($B440+IF($R$17="Distrato",$I$38-1,0)),IF(AND($L$37=0,$P$34=0),"",$L$37-1),IF($R$17="Distrato",$E440,0))),0,YEARFRAC(MAX($P$34*($B440+IF($R$17="Distrato",$I$38-1,0)),IF(AND($L$37=0,$P$34=0),"",$L$37-1),IF($R$17="Distrato",$E440,0)),MIN(S$38,$D$19),$P$20))-SUM($P440:R440)</f>
        <v>#VALUE!</v>
      </c>
      <c r="T440" s="446" t="e">
        <f>IF(OR($B440="",MIN(T$38,$D$19)&lt;MAX($P$34*($B440+IF($R$17="Distrato",$I$38-1,0)),IF(AND($L$37=0,$P$34=0),"",$L$37-1),IF($R$17="Distrato",$E440,0))),0,YEARFRAC(MAX($P$34*($B440+IF($R$17="Distrato",$I$38-1,0)),IF(AND($L$37=0,$P$34=0),"",$L$37-1),IF($R$17="Distrato",$E440,0)),MIN(T$38,$D$19),$P$20))-SUM($P440:S440)</f>
        <v>#VALUE!</v>
      </c>
      <c r="U440" s="446" t="e">
        <f>IF(OR($B440="",MIN(U$38,$D$19)&lt;MAX($P$34*($B440+IF($R$17="Distrato",$I$38-1,0)),IF(AND($L$37=0,$P$34=0),"",$L$37-1),IF($R$17="Distrato",$E440,0))),0,YEARFRAC(MAX($P$34*($B440+IF($R$17="Distrato",$I$38-1,0)),IF(AND($L$37=0,$P$34=0),"",$L$37-1),IF($R$17="Distrato",$E440,0)),MIN(U$38,$D$19),$P$20))-SUM($P440:T440)</f>
        <v>#VALUE!</v>
      </c>
      <c r="V440" s="446" t="e">
        <f>IF(OR($B440="",MIN(V$38,$D$19)&lt;MAX($P$34*($B440+IF($R$17="Distrato",$I$38-1,0)),IF(AND($L$37=0,$P$34=0),"",$L$37-1),IF($R$17="Distrato",$E440,0))),0,YEARFRAC(MAX($P$34*($B440+IF($R$17="Distrato",$I$38-1,0)),IF(AND($L$37=0,$P$34=0),"",$L$37-1),IF($R$17="Distrato",$E440,0)),MIN(V$38,$D$19),$P$20))-SUM($P440:U440)</f>
        <v>#VALUE!</v>
      </c>
      <c r="W440" s="446" t="e">
        <f>IF(OR($B440="",MIN(W$38,$D$19)&lt;MAX($P$34*($B440+IF($R$17="Distrato",$I$38-1,0)),IF(AND($L$37=0,$P$34=0),"",$L$37-1),IF($R$17="Distrato",$E440,0))),0,YEARFRAC(MAX($P$34*($B440+IF($R$17="Distrato",$I$38-1,0)),IF(AND($L$37=0,$P$34=0),"",$L$37-1),IF($R$17="Distrato",$E440,0)),MIN(W$38,$D$19),$P$20))-SUM($P440:V440)</f>
        <v>#VALUE!</v>
      </c>
      <c r="X440" s="446" t="e">
        <f>IF(OR($B440="",MIN(X$38,$D$19)&lt;MAX($P$34*($B440+IF($R$17="Distrato",$I$38-1,0)),IF(AND($L$37=0,$P$34=0),"",$L$37-1),IF($R$17="Distrato",$E440,0))),0,YEARFRAC(MAX($P$34*($B440+IF($R$17="Distrato",$I$38-1,0)),IF(AND($L$37=0,$P$34=0),"",$L$37-1),IF($R$17="Distrato",$E440,0)),MIN(X$38,$D$19),$P$20))-SUM($P440:W440)</f>
        <v>#VALUE!</v>
      </c>
      <c r="Y440" s="446" t="e">
        <f>IF(OR($B440="",MIN(Y$38,$D$19)&lt;MAX($P$34*($B440+IF($R$17="Distrato",$I$38-1,0)),IF(AND($L$37=0,$P$34=0),"",$L$37-1),IF($R$17="Distrato",$E440,0))),0,YEARFRAC(MAX($P$34*($B440+IF($R$17="Distrato",$I$38-1,0)),IF(AND($L$37=0,$P$34=0),"",$L$37-1),IF($R$17="Distrato",$E440,0)),MIN(Y$38,$D$19),$P$20))-SUM($P440:X440)</f>
        <v>#VALUE!</v>
      </c>
      <c r="Z440" s="446" t="e">
        <f>IF(OR($B440="",MIN(Z$38,$D$19)&lt;MAX($P$34*($B440+IF($R$17="Distrato",$I$38-1,0)),IF(AND($L$37=0,$P$34=0),"",$L$37-1),IF($R$17="Distrato",$E440,0))),0,YEARFRAC(MAX($P$34*($B440+IF($R$17="Distrato",$I$38-1,0)),IF(AND($L$37=0,$P$34=0),"",$L$37-1),IF($R$17="Distrato",$E440,0)),MIN(Z$38,$D$19),$P$20))-SUM($P440:Y440)</f>
        <v>#VALUE!</v>
      </c>
      <c r="AA440" s="446" t="e">
        <f>IF(OR($B440="",MIN(AA$38,$D$19)&lt;MAX($P$34*($B440+IF($R$17="Distrato",$I$38-1,0)),IF(AND($L$37=0,$P$34=0),"",$L$37-1),IF($R$17="Distrato",$E440,0))),0,YEARFRAC(MAX($P$34*($B440+IF($R$17="Distrato",$I$38-1,0)),IF(AND($L$37=0,$P$34=0),"",$L$37-1),IF($R$17="Distrato",$E440,0)),MIN(AA$38,$D$19),$P$20))-SUM($P440:Z440)</f>
        <v>#VALUE!</v>
      </c>
      <c r="AB440" s="446" t="e">
        <f>IF(OR($B440="",MIN(AB$38,$D$19)&lt;MAX($P$34*($B440+IF($R$17="Distrato",$I$38-1,0)),IF(AND($L$37=0,$P$34=0),"",$L$37-1),IF($R$17="Distrato",$E440,0))),0,YEARFRAC(MAX($P$34*($B440+IF($R$17="Distrato",$I$38-1,0)),IF(AND($L$37=0,$P$34=0),"",$L$37-1),IF($R$17="Distrato",$E440,0)),MIN(AB$38,$D$19),$P$20))-SUM($P440:AA440)</f>
        <v>#VALUE!</v>
      </c>
      <c r="AC440" s="446" t="e">
        <f>IF(OR($B440="",MIN(AC$38,$D$19)&lt;MAX($P$34*($B440+IF($R$17="Distrato",$I$38-1,0)),IF(AND($L$37=0,$P$34=0),"",$L$37-1),IF($R$17="Distrato",$E440,0))),0,YEARFRAC(MAX($P$34*($B440+IF($R$17="Distrato",$I$38-1,0)),IF(AND($L$37=0,$P$34=0),"",$L$37-1),IF($R$17="Distrato",$E440,0)),MIN(AC$38,$D$19),$P$20))-SUM($P440:AB440)</f>
        <v>#VALUE!</v>
      </c>
      <c r="AD440" s="446" t="e">
        <f>IF(OR($B440="",MIN(AD$38,$D$19)&lt;MAX($P$34*($B440+IF($R$17="Distrato",$I$38-1,0)),IF(AND($L$37=0,$P$34=0),"",$L$37-1),IF($R$17="Distrato",$E440,0))),0,YEARFRAC(MAX($P$34*($B440+IF($R$17="Distrato",$I$38-1,0)),IF(AND($L$37=0,$P$34=0),"",$L$37-1),IF($R$17="Distrato",$E440,0)),MIN(AD$38,$D$19),$P$20))-SUM($P440:AC440)</f>
        <v>#VALUE!</v>
      </c>
      <c r="AE440" s="446" t="e">
        <f>IF(OR($B440="",MIN(AE$38,$D$19)&lt;MAX($P$34*($B440+IF($R$17="Distrato",$I$38-1,0)),IF(AND($L$37=0,$P$34=0),"",$L$37-1),IF($R$17="Distrato",$E440,0))),0,YEARFRAC(MAX($P$34*($B440+IF($R$17="Distrato",$I$38-1,0)),IF(AND($L$37=0,$P$34=0),"",$L$37-1),IF($R$17="Distrato",$E440,0)),MIN(AE$38,$D$19),$P$20))-SUM($P440:AD440)</f>
        <v>#VALUE!</v>
      </c>
      <c r="AF440" s="446" t="e">
        <f>IF(OR($B440="",MIN(AF$38,$D$19)&lt;MAX($P$34*($B440+IF($R$17="Distrato",$I$38-1,0)),IF(AND($L$37=0,$P$34=0),"",$L$37-1),IF($R$17="Distrato",$E440,0))),0,YEARFRAC(MAX($P$34*($B440+IF($R$17="Distrato",$I$38-1,0)),IF(AND($L$37=0,$P$34=0),"",$L$37-1),IF($R$17="Distrato",$E440,0)),MIN(AF$38,$D$19),$P$20))-SUM($P440:AE440)</f>
        <v>#VALUE!</v>
      </c>
      <c r="AG440" s="446" t="e">
        <f>IF(OR($B440="",MIN(AG$38,$D$19)&lt;MAX($P$34*($B440+IF($R$17="Distrato",$I$38-1,0)),IF(AND($L$37=0,$P$34=0),"",$L$37-1),IF($R$17="Distrato",$E440,0))),0,YEARFRAC(MAX($P$34*($B440+IF($R$17="Distrato",$I$38-1,0)),IF(AND($L$37=0,$P$34=0),"",$L$37-1),IF($R$17="Distrato",$E440,0)),MIN(AG$38,$D$19),$P$20))-SUM($P440:AF440)</f>
        <v>#VALUE!</v>
      </c>
      <c r="AH440" s="446" t="e">
        <f>IF(OR($B440="",MIN(AH$38,$D$19)&lt;MAX($P$34*($B440+IF($R$17="Distrato",$I$38-1,0)),IF(AND($L$37=0,$P$34=0),"",$L$37-1),IF($R$17="Distrato",$E440,0))),0,YEARFRAC(MAX($P$34*($B440+IF($R$17="Distrato",$I$38-1,0)),IF(AND($L$37=0,$P$34=0),"",$L$37-1),IF($R$17="Distrato",$E440,0)),MIN(AH$38,$D$19),$P$20))-SUM($P440:AG440)</f>
        <v>#VALUE!</v>
      </c>
      <c r="AI440" s="446" t="e">
        <f>IF(OR($B440="",MIN(AI$38,$D$19)&lt;MAX($P$34*($B440+IF($R$17="Distrato",$I$38-1,0)),IF(AND($L$37=0,$P$34=0),"",$L$37-1),IF($R$17="Distrato",$E440,0))),0,YEARFRAC(MAX($P$34*($B440+IF($R$17="Distrato",$I$38-1,0)),IF(AND($L$37=0,$P$34=0),"",$L$37-1),IF($R$17="Distrato",$E440,0)),MIN(AI$38,$D$19),$P$20))-SUM($P440:AH440)</f>
        <v>#VALUE!</v>
      </c>
      <c r="AJ440" s="446" t="e">
        <f>IF(OR($B440="",MIN(AJ$38,$D$19)&lt;MAX($P$34*($B440+IF($R$17="Distrato",$I$38-1,0)),IF(AND($L$37=0,$P$34=0),"",$L$37-1),IF($R$17="Distrato",$E440,0))),0,YEARFRAC(MAX($P$34*($B440+IF($R$17="Distrato",$I$38-1,0)),IF(AND($L$37=0,$P$34=0),"",$L$37-1),IF($R$17="Distrato",$E440,0)),MIN(AJ$38,$D$19),$P$20))-SUM($P440:AI440)</f>
        <v>#VALUE!</v>
      </c>
      <c r="AK440" s="446" t="e">
        <f>IF(OR($B440="",MIN(AK$38,$D$19)&lt;MAX($P$34*($B440+IF($R$17="Distrato",$I$38-1,0)),IF(AND($L$37=0,$P$34=0),"",$L$37-1),IF($R$17="Distrato",$E440,0))),0,YEARFRAC(MAX($P$34*($B440+IF($R$17="Distrato",$I$38-1,0)),IF(AND($L$37=0,$P$34=0),"",$L$37-1),IF($R$17="Distrato",$E440,0)),MIN(AK$38,$D$19),$P$20))-SUM($P440:AJ440)</f>
        <v>#VALUE!</v>
      </c>
      <c r="AL440" s="446" t="e">
        <f>IF(OR($B440="",MIN(AL$38,$D$19)&lt;MAX($P$34*($B440+IF($R$17="Distrato",$I$38-1,0)),IF(AND($L$37=0,$P$34=0),"",$L$37-1),IF($R$17="Distrato",$E440,0))),0,YEARFRAC(MAX($P$34*($B440+IF($R$17="Distrato",$I$38-1,0)),IF(AND($L$37=0,$P$34=0),"",$L$37-1),IF($R$17="Distrato",$E440,0)),MIN(AL$38,$D$19),$P$20))-SUM($P440:AK440)</f>
        <v>#VALUE!</v>
      </c>
      <c r="AM440" s="446" t="e">
        <f>IF(OR($B440="",MIN(AM$38,$D$19)&lt;MAX($P$34*($B440+IF($R$17="Distrato",$I$38-1,0)),IF(AND($L$37=0,$P$34=0),"",$L$37-1),IF($R$17="Distrato",$E440,0))),0,YEARFRAC(MAX($P$34*($B440+IF($R$17="Distrato",$I$38-1,0)),IF(AND($L$37=0,$P$34=0),"",$L$37-1),IF($R$17="Distrato",$E440,0)),MIN(AM$38,$D$19),$P$20))-SUM($P440:AL440)</f>
        <v>#VALUE!</v>
      </c>
      <c r="AN440" s="446" t="e">
        <f>IF(OR($B440="",MIN(AN$38,$D$19)&lt;MAX($P$34*($B440+IF($R$17="Distrato",$I$38-1,0)),IF(AND($L$37=0,$P$34=0),"",$L$37-1),IF($R$17="Distrato",$E440,0))),0,YEARFRAC(MAX($P$34*($B440+IF($R$17="Distrato",$I$38-1,0)),IF(AND($L$37=0,$P$34=0),"",$L$37-1),IF($R$17="Distrato",$E440,0)),MIN(AN$38,$D$19),$P$20))-SUM($P440:AM440)</f>
        <v>#VALUE!</v>
      </c>
      <c r="AO440" s="446" t="e">
        <f>IF(OR($B440="",MIN(AO$38,$D$19)&lt;MAX($P$34*($B440+IF($R$17="Distrato",$I$38-1,0)),IF(AND($L$37=0,$P$34=0),"",$L$37-1),IF($R$17="Distrato",$E440,0))),0,YEARFRAC(MAX($P$34*($B440+IF($R$17="Distrato",$I$38-1,0)),IF(AND($L$37=0,$P$34=0),"",$L$37-1),IF($R$17="Distrato",$E440,0)),MIN(AO$38,$D$19),$P$20))-SUM($P440:AN440)</f>
        <v>#VALUE!</v>
      </c>
      <c r="AP440" s="446" t="e">
        <f>IF(OR($B440="",MIN(AP$38,$D$19)&lt;MAX($P$34*($B440+IF($R$17="Distrato",$I$38-1,0)),IF(AND($L$37=0,$P$34=0),"",$L$37-1),IF($R$17="Distrato",$E440,0))),0,YEARFRAC(MAX($P$34*($B440+IF($R$17="Distrato",$I$38-1,0)),IF(AND($L$37=0,$P$34=0),"",$L$37-1),IF($R$17="Distrato",$E440,0)),MIN(AP$38,$D$19),$P$20))-SUM($P440:AO440)</f>
        <v>#VALUE!</v>
      </c>
      <c r="AQ440" s="446" t="e">
        <f>IF(OR($B440="",MIN(AQ$38,$D$19)&lt;MAX($P$34*($B440+IF($R$17="Distrato",$I$38-1,0)),IF(AND($L$37=0,$P$34=0),"",$L$37-1),IF($R$17="Distrato",$E440,0))),0,YEARFRAC(MAX($P$34*($B440+IF($R$17="Distrato",$I$38-1,0)),IF(AND($L$37=0,$P$34=0),"",$L$37-1),IF($R$17="Distrato",$E440,0)),MIN(AQ$38,$D$19),$P$20))-SUM($P440:AP440)</f>
        <v>#VALUE!</v>
      </c>
      <c r="AR440" s="446" t="e">
        <f>IF(OR($B440="",MIN(AR$38,$D$19)&lt;MAX($P$34*($B440+IF($R$17="Distrato",$I$38-1,0)),IF(AND($L$37=0,$P$34=0),"",$L$37-1),IF($R$17="Distrato",$E440,0))),0,YEARFRAC(MAX($P$34*($B440+IF($R$17="Distrato",$I$38-1,0)),IF(AND($L$37=0,$P$34=0),"",$L$37-1),IF($R$17="Distrato",$E440,0)),MIN(AR$38,$D$19),$P$20))-SUM($P440:AQ440)</f>
        <v>#VALUE!</v>
      </c>
      <c r="AS440" s="446" t="e">
        <f>IF(OR($B440="",MIN(AS$38,$D$19)&lt;MAX($P$34*($B440+IF($R$17="Distrato",$I$38-1,0)),IF(AND($L$37=0,$P$34=0),"",$L$37-1),IF($R$17="Distrato",$E440,0))),0,YEARFRAC(MAX($P$34*($B440+IF($R$17="Distrato",$I$38-1,0)),IF(AND($L$37=0,$P$34=0),"",$L$37-1),IF($R$17="Distrato",$E440,0)),MIN(AS$38,$D$19),$P$20))-SUM($P440:AR440)</f>
        <v>#VALUE!</v>
      </c>
      <c r="AT440" s="446" t="e">
        <f>IF(OR($B440="",MIN(AT$38,$D$19)&lt;MAX($P$34*($B440+IF($R$17="Distrato",$I$38-1,0)),IF(AND($L$37=0,$P$34=0),"",$L$37-1),IF($R$17="Distrato",$E440,0))),0,YEARFRAC(MAX($P$34*($B440+IF($R$17="Distrato",$I$38-1,0)),IF(AND($L$37=0,$P$34=0),"",$L$37-1),IF($R$17="Distrato",$E440,0)),MIN(AT$38,$D$19),$P$20))-SUM($P440:AS440)</f>
        <v>#VALUE!</v>
      </c>
      <c r="AU440" s="446" t="e">
        <f>IF(OR($B440="",MIN(AU$38,$D$19)&lt;MAX($P$34*($B440+IF($R$17="Distrato",$I$38-1,0)),IF(AND($L$37=0,$P$34=0),"",$L$37-1),IF($R$17="Distrato",$E440,0))),0,YEARFRAC(MAX($P$34*($B440+IF($R$17="Distrato",$I$38-1,0)),IF(AND($L$37=0,$P$34=0),"",$L$37-1),IF($R$17="Distrato",$E440,0)),MIN(AU$38,$D$19),$P$20))-SUM($P440:AT440)</f>
        <v>#VALUE!</v>
      </c>
      <c r="AV440" s="446" t="e">
        <f>IF(OR($B440="",MIN(AV$38,$D$19)&lt;MAX($P$34*($B440+IF($R$17="Distrato",$I$38-1,0)),IF(AND($L$37=0,$P$34=0),"",$L$37-1),IF($R$17="Distrato",$E440,0))),0,YEARFRAC(MAX($P$34*($B440+IF($R$17="Distrato",$I$38-1,0)),IF(AND($L$37=0,$P$34=0),"",$L$37-1),IF($R$17="Distrato",$E440,0)),MIN(AV$38,$D$19),$P$20))-SUM($P440:AU440)</f>
        <v>#VALUE!</v>
      </c>
      <c r="AW440" s="446" t="e">
        <f>IF(OR($B440="",MIN(AW$38,$D$19)&lt;MAX($P$34*($B440+IF($R$17="Distrato",$I$38-1,0)),IF(AND($L$37=0,$P$34=0),"",$L$37-1),IF($R$17="Distrato",$E440,0))),0,YEARFRAC(MAX($P$34*($B440+IF($R$17="Distrato",$I$38-1,0)),IF(AND($L$37=0,$P$34=0),"",$L$37-1),IF($R$17="Distrato",$E440,0)),MIN(AW$38,$D$19),$P$20))-SUM($P440:AV440)</f>
        <v>#VALUE!</v>
      </c>
      <c r="AX440" s="446" t="e">
        <f>IF(OR($B440="",MIN(AX$38,$D$19)&lt;MAX($P$34*($B440+IF($R$17="Distrato",$I$38-1,0)),IF(AND($L$37=0,$P$34=0),"",$L$37-1),IF($R$17="Distrato",$E440,0))),0,YEARFRAC(MAX($P$34*($B440+IF($R$17="Distrato",$I$38-1,0)),IF(AND($L$37=0,$P$34=0),"",$L$37-1),IF($R$17="Distrato",$E440,0)),MIN(AX$38,$D$19),$P$20))-SUM($P440:AW440)</f>
        <v>#VALUE!</v>
      </c>
      <c r="AY440" s="446" t="e">
        <f>IF(OR($B440="",MIN(AY$38,$D$19)&lt;MAX($P$34*($B440+IF($R$17="Distrato",$I$38-1,0)),IF(AND($L$37=0,$P$34=0),"",$L$37-1),IF($R$17="Distrato",$E440,0))),0,YEARFRAC(MAX($P$34*($B440+IF($R$17="Distrato",$I$38-1,0)),IF(AND($L$37=0,$P$34=0),"",$L$37-1),IF($R$17="Distrato",$E440,0)),MIN(AY$38,$D$19),$P$20))-SUM($P440:AX440)</f>
        <v>#VALUE!</v>
      </c>
      <c r="AZ440" s="446" t="e">
        <f>IF(OR($B440="",MIN(AZ$38,$D$19)&lt;MAX($P$34*($B440+IF($R$17="Distrato",$I$38-1,0)),IF(AND($L$37=0,$P$34=0),"",$L$37-1),IF($R$17="Distrato",$E440,0))),0,YEARFRAC(MAX($P$34*($B440+IF($R$17="Distrato",$I$38-1,0)),IF(AND($L$37=0,$P$34=0),"",$L$37-1),IF($R$17="Distrato",$E440,0)),MIN(AZ$38,$D$19),$P$20))-SUM($P440:AY440)</f>
        <v>#VALUE!</v>
      </c>
      <c r="BA440" s="446" t="e">
        <f>IF(OR($B440="",MIN(BA$38,$D$19)&lt;MAX($P$34*($B440+IF($R$17="Distrato",$I$38-1,0)),IF(AND($L$37=0,$P$34=0),"",$L$37-1),IF($R$17="Distrato",$E440,0))),0,YEARFRAC(MAX($P$34*($B440+IF($R$17="Distrato",$I$38-1,0)),IF(AND($L$37=0,$P$34=0),"",$L$37-1),IF($R$17="Distrato",$E440,0)),MIN(BA$38,$D$19),$P$20))-SUM($P440:AZ440)</f>
        <v>#VALUE!</v>
      </c>
      <c r="BB440" s="447"/>
      <c r="BF440" s="446">
        <f t="shared" si="76"/>
        <v>0</v>
      </c>
      <c r="BG440" s="446">
        <f>IF($E440=0,0,IF(MIN(BG$38,$E440)&lt;MAX($P$34*($B440+$I$38-1),IF(AND($L$37=0,$P$34=0),"",$L$37-1)),0,YEARFRAC(MAX($P$34*($B440+$I$38-1),IF(AND($L$37=0,$P$34=0),"",$L$37-1)),MIN(BG$38,$E440),$P$20))-SUM($BF440:BF440))</f>
        <v>0</v>
      </c>
      <c r="BH440" s="446">
        <f>IF($E440=0,0,IF(MIN(BH$38,$E440)&lt;MAX($P$34*($B440+$I$38-1),IF(AND($L$37=0,$P$34=0),"",$L$37-1)),0,YEARFRAC(MAX($P$34*($B440+$I$38-1),IF(AND($L$37=0,$P$34=0),"",$L$37-1)),MIN(BH$38,$E440),$P$20))-SUM($BF440:BG440))</f>
        <v>0</v>
      </c>
      <c r="BI440" s="446">
        <f>IF($E440=0,0,IF(MIN(BI$38,$E440)&lt;MAX($P$34*($B440+$I$38-1),IF(AND($L$37=0,$P$34=0),"",$L$37-1)),0,YEARFRAC(MAX($P$34*($B440+$I$38-1),IF(AND($L$37=0,$P$34=0),"",$L$37-1)),MIN(BI$38,$E440),$P$20))-SUM($BF440:BH440))</f>
        <v>0</v>
      </c>
      <c r="BJ440" s="446">
        <f>IF($E440=0,0,IF(MIN(BJ$38,$E440)&lt;MAX($P$34*($B440+$I$38-1),IF(AND($L$37=0,$P$34=0),"",$L$37-1)),0,YEARFRAC(MAX($P$34*($B440+$I$38-1),IF(AND($L$37=0,$P$34=0),"",$L$37-1)),MIN(BJ$38,$E440),$P$20))-SUM($BF440:BI440))</f>
        <v>0</v>
      </c>
      <c r="BK440" s="446">
        <f>IF($E440=0,0,IF(MIN(BK$38,$E440)&lt;MAX($P$34*($B440+$I$38-1),IF(AND($L$37=0,$P$34=0),"",$L$37-1)),0,YEARFRAC(MAX($P$34*($B440+$I$38-1),IF(AND($L$37=0,$P$34=0),"",$L$37-1)),MIN(BK$38,$E440),$P$20))-SUM($BF440:BJ440))</f>
        <v>0</v>
      </c>
      <c r="BL440" s="446">
        <f>IF($E440=0,0,IF(MIN(BL$38,$E440)&lt;MAX($P$34*($B440+$I$38-1),IF(AND($L$37=0,$P$34=0),"",$L$37-1)),0,YEARFRAC(MAX($P$34*($B440+$I$38-1),IF(AND($L$37=0,$P$34=0),"",$L$37-1)),MIN(BL$38,$E440),$P$20))-SUM($BF440:BK440))</f>
        <v>0</v>
      </c>
      <c r="BM440" s="446">
        <f>IF($E440=0,0,IF(MIN(BM$38,$E440)&lt;MAX($P$34*($B440+$I$38-1),IF(AND($L$37=0,$P$34=0),"",$L$37-1)),0,YEARFRAC(MAX($P$34*($B440+$I$38-1),IF(AND($L$37=0,$P$34=0),"",$L$37-1)),MIN(BM$38,$E440),$P$20))-SUM($BF440:BL440))</f>
        <v>0</v>
      </c>
      <c r="BN440" s="446">
        <f>IF($E440=0,0,IF(MIN(BN$38,$E440)&lt;MAX($P$34*($B440+$I$38-1),IF(AND($L$37=0,$P$34=0),"",$L$37-1)),0,YEARFRAC(MAX($P$34*($B440+$I$38-1),IF(AND($L$37=0,$P$34=0),"",$L$37-1)),MIN(BN$38,$E440),$P$20))-SUM($BF440:BM440))</f>
        <v>0</v>
      </c>
      <c r="BO440" s="446">
        <f>IF($E440=0,0,IF(MIN(BO$38,$E440)&lt;MAX($P$34*($B440+$I$38-1),IF(AND($L$37=0,$P$34=0),"",$L$37-1)),0,YEARFRAC(MAX($P$34*($B440+$I$38-1),IF(AND($L$37=0,$P$34=0),"",$L$37-1)),MIN(BO$38,$E440),$P$20))-SUM($BF440:BN440))</f>
        <v>0</v>
      </c>
      <c r="BP440" s="446">
        <f>IF($E440=0,0,IF(MIN(BP$38,$E440)&lt;MAX($P$34*($B440+$I$38-1),IF(AND($L$37=0,$P$34=0),"",$L$37-1)),0,YEARFRAC(MAX($P$34*($B440+$I$38-1),IF(AND($L$37=0,$P$34=0),"",$L$37-1)),MIN(BP$38,$E440),$P$20))-SUM($BF440:BO440))</f>
        <v>0</v>
      </c>
      <c r="BQ440" s="446">
        <f>IF($E440=0,0,IF(MIN(BQ$38,$E440)&lt;MAX($P$34*($B440+$I$38-1),IF(AND($L$37=0,$P$34=0),"",$L$37-1)),0,YEARFRAC(MAX($P$34*($B440+$I$38-1),IF(AND($L$37=0,$P$34=0),"",$L$37-1)),MIN(BQ$38,$E440),$P$20))-SUM($BF440:BP440))</f>
        <v>0</v>
      </c>
      <c r="BR440" s="446">
        <f>IF($E440=0,0,IF(MIN(BR$38,$E440)&lt;MAX($P$34*($B440+$I$38-1),IF(AND($L$37=0,$P$34=0),"",$L$37-1)),0,YEARFRAC(MAX($P$34*($B440+$I$38-1),IF(AND($L$37=0,$P$34=0),"",$L$37-1)),MIN(BR$38,$E440),$P$20))-SUM($BF440:BQ440))</f>
        <v>0</v>
      </c>
      <c r="BS440" s="446">
        <f>IF($E440=0,0,IF(MIN(BS$38,$E440)&lt;MAX($P$34*($B440+$I$38-1),IF(AND($L$37=0,$P$34=0),"",$L$37-1)),0,YEARFRAC(MAX($P$34*($B440+$I$38-1),IF(AND($L$37=0,$P$34=0),"",$L$37-1)),MIN(BS$38,$E440),$P$20))-SUM($BF440:BR440))</f>
        <v>0</v>
      </c>
      <c r="BT440" s="446">
        <f>IF($E440=0,0,IF(MIN(BT$38,$E440)&lt;MAX($P$34*($B440+$I$38-1),IF(AND($L$37=0,$P$34=0),"",$L$37-1)),0,YEARFRAC(MAX($P$34*($B440+$I$38-1),IF(AND($L$37=0,$P$34=0),"",$L$37-1)),MIN(BT$38,$E440),$P$20))-SUM($BF440:BS440))</f>
        <v>0</v>
      </c>
      <c r="BU440" s="446">
        <f>IF($E440=0,0,IF(MIN(BU$38,$E440)&lt;MAX($P$34*($B440+$I$38-1),IF(AND($L$37=0,$P$34=0),"",$L$37-1)),0,YEARFRAC(MAX($P$34*($B440+$I$38-1),IF(AND($L$37=0,$P$34=0),"",$L$37-1)),MIN(BU$38,$E440),$P$20))-SUM($BF440:BT440))</f>
        <v>0</v>
      </c>
      <c r="BV440" s="446">
        <f>IF($E440=0,0,IF(MIN(BV$38,$E440)&lt;MAX($P$34*($B440+$I$38-1),IF(AND($L$37=0,$P$34=0),"",$L$37-1)),0,YEARFRAC(MAX($P$34*($B440+$I$38-1),IF(AND($L$37=0,$P$34=0),"",$L$37-1)),MIN(BV$38,$E440),$P$20))-SUM($BF440:BU440))</f>
        <v>0</v>
      </c>
      <c r="BW440" s="446">
        <f>IF($E440=0,0,IF(MIN(BW$38,$E440)&lt;MAX($P$34*($B440+$I$38-1),IF(AND($L$37=0,$P$34=0),"",$L$37-1)),0,YEARFRAC(MAX($P$34*($B440+$I$38-1),IF(AND($L$37=0,$P$34=0),"",$L$37-1)),MIN(BW$38,$E440),$P$20))-SUM($BF440:BV440))</f>
        <v>0</v>
      </c>
      <c r="BX440" s="446">
        <f>IF($E440=0,0,IF(MIN(BX$38,$E440)&lt;MAX($P$34*($B440+$I$38-1),IF(AND($L$37=0,$P$34=0),"",$L$37-1)),0,YEARFRAC(MAX($P$34*($B440+$I$38-1),IF(AND($L$37=0,$P$34=0),"",$L$37-1)),MIN(BX$38,$E440),$P$20))-SUM($BF440:BW440))</f>
        <v>0</v>
      </c>
      <c r="BY440" s="446">
        <f>IF($E440=0,0,IF(MIN(BY$38,$E440)&lt;MAX($P$34*($B440+$I$38-1),IF(AND($L$37=0,$P$34=0),"",$L$37-1)),0,YEARFRAC(MAX($P$34*($B440+$I$38-1),IF(AND($L$37=0,$P$34=0),"",$L$37-1)),MIN(BY$38,$E440),$P$20))-SUM($BF440:BX440))</f>
        <v>0</v>
      </c>
      <c r="BZ440" s="446">
        <f>IF($E440=0,0,IF(MIN(BZ$38,$E440)&lt;MAX($P$34*($B440+$I$38-1),IF(AND($L$37=0,$P$34=0),"",$L$37-1)),0,YEARFRAC(MAX($P$34*($B440+$I$38-1),IF(AND($L$37=0,$P$34=0),"",$L$37-1)),MIN(BZ$38,$E440),$P$20))-SUM($BF440:BY440))</f>
        <v>0</v>
      </c>
      <c r="CA440" s="446">
        <f>IF($E440=0,0,IF(MIN(CA$38,$E440)&lt;MAX($P$34*($B440+$I$38-1),IF(AND($L$37=0,$P$34=0),"",$L$37-1)),0,YEARFRAC(MAX($P$34*($B440+$I$38-1),IF(AND($L$37=0,$P$34=0),"",$L$37-1)),MIN(CA$38,$E440),$P$20))-SUM($BF440:BZ440))</f>
        <v>0</v>
      </c>
      <c r="CB440" s="446">
        <f>IF($E440=0,0,IF(MIN(CB$38,$E440)&lt;MAX($P$34*($B440+$I$38-1),IF(AND($L$37=0,$P$34=0),"",$L$37-1)),0,YEARFRAC(MAX($P$34*($B440+$I$38-1),IF(AND($L$37=0,$P$34=0),"",$L$37-1)),MIN(CB$38,$E440),$P$20))-SUM($BF440:CA440))</f>
        <v>0</v>
      </c>
      <c r="CC440" s="446">
        <f>IF($E440=0,0,IF(MIN(CC$38,$E440)&lt;MAX($P$34*($B440+$I$38-1),IF(AND($L$37=0,$P$34=0),"",$L$37-1)),0,YEARFRAC(MAX($P$34*($B440+$I$38-1),IF(AND($L$37=0,$P$34=0),"",$L$37-1)),MIN(CC$38,$E440),$P$20))-SUM($BF440:CB440))</f>
        <v>0</v>
      </c>
      <c r="CD440" s="446">
        <f>IF($E440=0,0,IF(MIN(CD$38,$E440)&lt;MAX($P$34*($B440+$I$38-1),IF(AND($L$37=0,$P$34=0),"",$L$37-1)),0,YEARFRAC(MAX($P$34*($B440+$I$38-1),IF(AND($L$37=0,$P$34=0),"",$L$37-1)),MIN(CD$38,$E440),$P$20))-SUM($BF440:CC440))</f>
        <v>0</v>
      </c>
      <c r="CE440" s="446">
        <f>IF($E440=0,0,IF(MIN(CE$38,$E440)&lt;MAX($P$34*($B440+$I$38-1),IF(AND($L$37=0,$P$34=0),"",$L$37-1)),0,YEARFRAC(MAX($P$34*($B440+$I$38-1),IF(AND($L$37=0,$P$34=0),"",$L$37-1)),MIN(CE$38,$E440),$P$20))-SUM($BF440:CD440))</f>
        <v>0</v>
      </c>
      <c r="CF440" s="446">
        <f>IF($E440=0,0,IF(MIN(CF$38,$E440)&lt;MAX($P$34*($B440+$I$38-1),IF(AND($L$37=0,$P$34=0),"",$L$37-1)),0,YEARFRAC(MAX($P$34*($B440+$I$38-1),IF(AND($L$37=0,$P$34=0),"",$L$37-1)),MIN(CF$38,$E440),$P$20))-SUM($BF440:CE440))</f>
        <v>0</v>
      </c>
      <c r="CG440" s="446">
        <f>IF($E440=0,0,IF(MIN(CG$38,$E440)&lt;MAX($P$34*($B440+$I$38-1),IF(AND($L$37=0,$P$34=0),"",$L$37-1)),0,YEARFRAC(MAX($P$34*($B440+$I$38-1),IF(AND($L$37=0,$P$34=0),"",$L$37-1)),MIN(CG$38,$E440),$P$20))-SUM($BF440:CF440))</f>
        <v>0</v>
      </c>
      <c r="CH440" s="446">
        <f>IF($E440=0,0,IF(MIN(CH$38,$E440)&lt;MAX($P$34*($B440+$I$38-1),IF(AND($L$37=0,$P$34=0),"",$L$37-1)),0,YEARFRAC(MAX($P$34*($B440+$I$38-1),IF(AND($L$37=0,$P$34=0),"",$L$37-1)),MIN(CH$38,$E440),$P$20))-SUM($BF440:CG440))</f>
        <v>0</v>
      </c>
      <c r="CI440" s="446">
        <f>IF($E440=0,0,IF(MIN(CI$38,$E440)&lt;MAX($P$34*($B440+$I$38-1),IF(AND($L$37=0,$P$34=0),"",$L$37-1)),0,YEARFRAC(MAX($P$34*($B440+$I$38-1),IF(AND($L$37=0,$P$34=0),"",$L$37-1)),MIN(CI$38,$E440),$P$20))-SUM($BF440:CH440))</f>
        <v>0</v>
      </c>
      <c r="CJ440" s="446">
        <f>IF($E440=0,0,IF(MIN(CJ$38,$E440)&lt;MAX($P$34*($B440+$I$38-1),IF(AND($L$37=0,$P$34=0),"",$L$37-1)),0,YEARFRAC(MAX($P$34*($B440+$I$38-1),IF(AND($L$37=0,$P$34=0),"",$L$37-1)),MIN(CJ$38,$E440),$P$20))-SUM($BF440:CI440))</f>
        <v>0</v>
      </c>
      <c r="CK440" s="446">
        <f>IF($E440=0,0,IF(MIN(CK$38,$E440)&lt;MAX($P$34*($B440+$I$38-1),IF(AND($L$37=0,$P$34=0),"",$L$37-1)),0,YEARFRAC(MAX($P$34*($B440+$I$38-1),IF(AND($L$37=0,$P$34=0),"",$L$37-1)),MIN(CK$38,$E440),$P$20))-SUM($BF440:CJ440))</f>
        <v>0</v>
      </c>
      <c r="CL440" s="446">
        <f>IF($E440=0,0,IF(MIN(CL$38,$E440)&lt;MAX($P$34*($B440+$I$38-1),IF(AND($L$37=0,$P$34=0),"",$L$37-1)),0,YEARFRAC(MAX($P$34*($B440+$I$38-1),IF(AND($L$37=0,$P$34=0),"",$L$37-1)),MIN(CL$38,$E440),$P$20))-SUM($BF440:CK440))</f>
        <v>0</v>
      </c>
      <c r="CM440" s="446">
        <f>IF($E440=0,0,IF(MIN(CM$38,$E440)&lt;MAX($P$34*($B440+$I$38-1),IF(AND($L$37=0,$P$34=0),"",$L$37-1)),0,YEARFRAC(MAX($P$34*($B440+$I$38-1),IF(AND($L$37=0,$P$34=0),"",$L$37-1)),MIN(CM$38,$E440),$P$20))-SUM($BF440:CL440))</f>
        <v>0</v>
      </c>
      <c r="CN440" s="446">
        <f>IF($E440=0,0,IF(MIN(CN$38,$E440)&lt;MAX($P$34*($B440+$I$38-1),IF(AND($L$37=0,$P$34=0),"",$L$37-1)),0,YEARFRAC(MAX($P$34*($B440+$I$38-1),IF(AND($L$37=0,$P$34=0),"",$L$37-1)),MIN(CN$38,$E440),$P$20))-SUM($BF440:CM440))</f>
        <v>0</v>
      </c>
      <c r="CO440" s="446">
        <f>IF($E440=0,0,IF(MIN(CO$38,$E440)&lt;MAX($P$34*($B440+$I$38-1),IF(AND($L$37=0,$P$34=0),"",$L$37-1)),0,YEARFRAC(MAX($P$34*($B440+$I$38-1),IF(AND($L$37=0,$P$34=0),"",$L$37-1)),MIN(CO$38,$E440),$P$20))-SUM($BF440:CN440))</f>
        <v>0</v>
      </c>
      <c r="CP440" s="446">
        <f>IF($E440=0,0,IF(MIN(CP$38,$E440)&lt;MAX($P$34*($B440+$I$38-1),IF(AND($L$37=0,$P$34=0),"",$L$37-1)),0,YEARFRAC(MAX($P$34*($B440+$I$38-1),IF(AND($L$37=0,$P$34=0),"",$L$37-1)),MIN(CP$38,$E440),$P$20))-SUM($BF440:CO440))</f>
        <v>0</v>
      </c>
      <c r="CQ440" s="446">
        <f>IF($E440=0,0,IF(MIN(CQ$38,$E440)&lt;MAX($P$34*($B440+$I$38-1),IF(AND($L$37=0,$P$34=0),"",$L$37-1)),0,YEARFRAC(MAX($P$34*($B440+$I$38-1),IF(AND($L$37=0,$P$34=0),"",$L$37-1)),MIN(CQ$38,$E440),$P$20))-SUM($BF440:CP440))</f>
        <v>0</v>
      </c>
    </row>
    <row r="441" spans="1:95" s="446" customFormat="1" ht="11.25" hidden="1" customHeight="1" x14ac:dyDescent="0.2">
      <c r="A441" s="152"/>
      <c r="B441" s="153" t="str">
        <f t="shared" si="81"/>
        <v/>
      </c>
      <c r="C441" s="29" t="str">
        <f>IF(B441="","",IF($L$35="SELIC - TRIBUTOS",VLOOKUP(DATE(YEAR($D$19),MONTH($D$19)-1,1),ÍNDICES!$A:$DE,HLOOKUP($BL$25,ÍNDICES!$B$3:$T$4,2)+11)-VLOOKUP(B441,ÍNDICES!$A:$DE,HLOOKUP($BL$25,ÍNDICES!$B$3:$T$4,2)+11)+1%,IF(C$38=$W$26,$J$35,IF(ISERROR(IF(B441&gt;$D$19,1,VLOOKUP(DATE(YEAR(B441),MONTH(B441)+IF($C$35=$S$23,1,0),1),ÍNDICES!$A:$DE,$Z$35+1))),"",IF(B441&gt;$D$19,1,VLOOKUP(DATE(YEAR(B441),MONTH(B441)+IF($C$35=$S$23,1,0),1),ÍNDICES!$A:$DE,$Z$35+1))))))</f>
        <v/>
      </c>
      <c r="D441" s="154" t="str">
        <f>IF(ISERROR(IF(OR($D$38=$Y$27,$B441=""),"",VLOOKUP(B441,ÍNDICES!A:DE,AF$35+1))),"",IF(OR($D$38=$Y$27,$B441=""),"",VLOOKUP(B441,ÍNDICES!A:DE,AF$35+1)))</f>
        <v/>
      </c>
      <c r="E441" s="153"/>
      <c r="F441" s="29" t="str">
        <f>IF(E441="","",IF($L$35="SELIC - TRIBUTOS",VLOOKUP(DATE(YEAR($D$19),MONTH($D$19)-1,1),ÍNDICES!$A:$DE,HLOOKUP($BL$25,ÍNDICES!$B$3:$T$4,2)+11)-VLOOKUP(E441,ÍNDICES!$A:$DE,HLOOKUP($BL$25,ÍNDICES!$B$3:$T$4,2)+11)+1%,IF(F$38=$W$26,$J$35,IF(ISERROR(IF(E441&gt;$D$19,1,VLOOKUP(DATE(YEAR(E441),MONTH(E441)+IF($C$35=$S$23,1,0),1),ÍNDICES!$A:$DE,$Z$35+1))),"",IF(E441&gt;$D$19,1,VLOOKUP(DATE(YEAR(E441),MONTH(E441)+IF($C$35=$S$23,1,0),1),ÍNDICES!$A:$DE,$Z$35+1))))))</f>
        <v/>
      </c>
      <c r="G441" s="155"/>
      <c r="H441" s="156" t="str">
        <f t="shared" si="77"/>
        <v/>
      </c>
      <c r="I441" s="29" t="str">
        <f t="shared" si="71"/>
        <v/>
      </c>
      <c r="J441" s="5">
        <f t="shared" si="72"/>
        <v>0</v>
      </c>
      <c r="K441" s="20">
        <f t="shared" ca="1" si="73"/>
        <v>0</v>
      </c>
      <c r="L441" s="5">
        <f t="shared" ca="1" si="74"/>
        <v>0</v>
      </c>
      <c r="M441" s="64">
        <f t="shared" si="78"/>
        <v>0</v>
      </c>
      <c r="N441" s="61">
        <f t="shared" ca="1" si="79"/>
        <v>0</v>
      </c>
      <c r="O441" s="5">
        <f t="shared" ca="1" si="80"/>
        <v>0</v>
      </c>
      <c r="P441" s="446" t="e">
        <f t="shared" si="75"/>
        <v>#VALUE!</v>
      </c>
      <c r="Q441" s="446" t="e">
        <f>IF(OR($B441="",MIN(Q$38,$D$19)&lt;MAX($P$34*($B441+IF($R$17="Distrato",$I$38-1,0)),IF(AND($L$37=0,$P$34=0),"",$L$37-1),IF($R$17="Distrato",$E441,0))),0,YEARFRAC(MAX($P$34*($B441+IF($R$17="Distrato",$I$38-1,0)),IF(AND($L$37=0,$P$34=0),"",$L$37-1),IF($R$17="Distrato",$E441,0)),MIN(Q$38,$D$19),$P$20))-SUM($P441:P441)</f>
        <v>#VALUE!</v>
      </c>
      <c r="R441" s="446" t="e">
        <f>IF(OR($B441="",MIN(R$38,$D$19)&lt;MAX($P$34*($B441+IF($R$17="Distrato",$I$38-1,0)),IF(AND($L$37=0,$P$34=0),"",$L$37-1),IF($R$17="Distrato",$E441,0))),0,YEARFRAC(MAX($P$34*($B441+IF($R$17="Distrato",$I$38-1,0)),IF(AND($L$37=0,$P$34=0),"",$L$37-1),IF($R$17="Distrato",$E441,0)),MIN(R$38,$D$19),$P$20))-SUM($P441:Q441)</f>
        <v>#VALUE!</v>
      </c>
      <c r="S441" s="446" t="e">
        <f>IF(OR($B441="",MIN(S$38,$D$19)&lt;MAX($P$34*($B441+IF($R$17="Distrato",$I$38-1,0)),IF(AND($L$37=0,$P$34=0),"",$L$37-1),IF($R$17="Distrato",$E441,0))),0,YEARFRAC(MAX($P$34*($B441+IF($R$17="Distrato",$I$38-1,0)),IF(AND($L$37=0,$P$34=0),"",$L$37-1),IF($R$17="Distrato",$E441,0)),MIN(S$38,$D$19),$P$20))-SUM($P441:R441)</f>
        <v>#VALUE!</v>
      </c>
      <c r="T441" s="446" t="e">
        <f>IF(OR($B441="",MIN(T$38,$D$19)&lt;MAX($P$34*($B441+IF($R$17="Distrato",$I$38-1,0)),IF(AND($L$37=0,$P$34=0),"",$L$37-1),IF($R$17="Distrato",$E441,0))),0,YEARFRAC(MAX($P$34*($B441+IF($R$17="Distrato",$I$38-1,0)),IF(AND($L$37=0,$P$34=0),"",$L$37-1),IF($R$17="Distrato",$E441,0)),MIN(T$38,$D$19),$P$20))-SUM($P441:S441)</f>
        <v>#VALUE!</v>
      </c>
      <c r="U441" s="446" t="e">
        <f>IF(OR($B441="",MIN(U$38,$D$19)&lt;MAX($P$34*($B441+IF($R$17="Distrato",$I$38-1,0)),IF(AND($L$37=0,$P$34=0),"",$L$37-1),IF($R$17="Distrato",$E441,0))),0,YEARFRAC(MAX($P$34*($B441+IF($R$17="Distrato",$I$38-1,0)),IF(AND($L$37=0,$P$34=0),"",$L$37-1),IF($R$17="Distrato",$E441,0)),MIN(U$38,$D$19),$P$20))-SUM($P441:T441)</f>
        <v>#VALUE!</v>
      </c>
      <c r="V441" s="446" t="e">
        <f>IF(OR($B441="",MIN(V$38,$D$19)&lt;MAX($P$34*($B441+IF($R$17="Distrato",$I$38-1,0)),IF(AND($L$37=0,$P$34=0),"",$L$37-1),IF($R$17="Distrato",$E441,0))),0,YEARFRAC(MAX($P$34*($B441+IF($R$17="Distrato",$I$38-1,0)),IF(AND($L$37=0,$P$34=0),"",$L$37-1),IF($R$17="Distrato",$E441,0)),MIN(V$38,$D$19),$P$20))-SUM($P441:U441)</f>
        <v>#VALUE!</v>
      </c>
      <c r="W441" s="446" t="e">
        <f>IF(OR($B441="",MIN(W$38,$D$19)&lt;MAX($P$34*($B441+IF($R$17="Distrato",$I$38-1,0)),IF(AND($L$37=0,$P$34=0),"",$L$37-1),IF($R$17="Distrato",$E441,0))),0,YEARFRAC(MAX($P$34*($B441+IF($R$17="Distrato",$I$38-1,0)),IF(AND($L$37=0,$P$34=0),"",$L$37-1),IF($R$17="Distrato",$E441,0)),MIN(W$38,$D$19),$P$20))-SUM($P441:V441)</f>
        <v>#VALUE!</v>
      </c>
      <c r="X441" s="446" t="e">
        <f>IF(OR($B441="",MIN(X$38,$D$19)&lt;MAX($P$34*($B441+IF($R$17="Distrato",$I$38-1,0)),IF(AND($L$37=0,$P$34=0),"",$L$37-1),IF($R$17="Distrato",$E441,0))),0,YEARFRAC(MAX($P$34*($B441+IF($R$17="Distrato",$I$38-1,0)),IF(AND($L$37=0,$P$34=0),"",$L$37-1),IF($R$17="Distrato",$E441,0)),MIN(X$38,$D$19),$P$20))-SUM($P441:W441)</f>
        <v>#VALUE!</v>
      </c>
      <c r="Y441" s="446" t="e">
        <f>IF(OR($B441="",MIN(Y$38,$D$19)&lt;MAX($P$34*($B441+IF($R$17="Distrato",$I$38-1,0)),IF(AND($L$37=0,$P$34=0),"",$L$37-1),IF($R$17="Distrato",$E441,0))),0,YEARFRAC(MAX($P$34*($B441+IF($R$17="Distrato",$I$38-1,0)),IF(AND($L$37=0,$P$34=0),"",$L$37-1),IF($R$17="Distrato",$E441,0)),MIN(Y$38,$D$19),$P$20))-SUM($P441:X441)</f>
        <v>#VALUE!</v>
      </c>
      <c r="Z441" s="446" t="e">
        <f>IF(OR($B441="",MIN(Z$38,$D$19)&lt;MAX($P$34*($B441+IF($R$17="Distrato",$I$38-1,0)),IF(AND($L$37=0,$P$34=0),"",$L$37-1),IF($R$17="Distrato",$E441,0))),0,YEARFRAC(MAX($P$34*($B441+IF($R$17="Distrato",$I$38-1,0)),IF(AND($L$37=0,$P$34=0),"",$L$37-1),IF($R$17="Distrato",$E441,0)),MIN(Z$38,$D$19),$P$20))-SUM($P441:Y441)</f>
        <v>#VALUE!</v>
      </c>
      <c r="AA441" s="446" t="e">
        <f>IF(OR($B441="",MIN(AA$38,$D$19)&lt;MAX($P$34*($B441+IF($R$17="Distrato",$I$38-1,0)),IF(AND($L$37=0,$P$34=0),"",$L$37-1),IF($R$17="Distrato",$E441,0))),0,YEARFRAC(MAX($P$34*($B441+IF($R$17="Distrato",$I$38-1,0)),IF(AND($L$37=0,$P$34=0),"",$L$37-1),IF($R$17="Distrato",$E441,0)),MIN(AA$38,$D$19),$P$20))-SUM($P441:Z441)</f>
        <v>#VALUE!</v>
      </c>
      <c r="AB441" s="446" t="e">
        <f>IF(OR($B441="",MIN(AB$38,$D$19)&lt;MAX($P$34*($B441+IF($R$17="Distrato",$I$38-1,0)),IF(AND($L$37=0,$P$34=0),"",$L$37-1),IF($R$17="Distrato",$E441,0))),0,YEARFRAC(MAX($P$34*($B441+IF($R$17="Distrato",$I$38-1,0)),IF(AND($L$37=0,$P$34=0),"",$L$37-1),IF($R$17="Distrato",$E441,0)),MIN(AB$38,$D$19),$P$20))-SUM($P441:AA441)</f>
        <v>#VALUE!</v>
      </c>
      <c r="AC441" s="446" t="e">
        <f>IF(OR($B441="",MIN(AC$38,$D$19)&lt;MAX($P$34*($B441+IF($R$17="Distrato",$I$38-1,0)),IF(AND($L$37=0,$P$34=0),"",$L$37-1),IF($R$17="Distrato",$E441,0))),0,YEARFRAC(MAX($P$34*($B441+IF($R$17="Distrato",$I$38-1,0)),IF(AND($L$37=0,$P$34=0),"",$L$37-1),IF($R$17="Distrato",$E441,0)),MIN(AC$38,$D$19),$P$20))-SUM($P441:AB441)</f>
        <v>#VALUE!</v>
      </c>
      <c r="AD441" s="446" t="e">
        <f>IF(OR($B441="",MIN(AD$38,$D$19)&lt;MAX($P$34*($B441+IF($R$17="Distrato",$I$38-1,0)),IF(AND($L$37=0,$P$34=0),"",$L$37-1),IF($R$17="Distrato",$E441,0))),0,YEARFRAC(MAX($P$34*($B441+IF($R$17="Distrato",$I$38-1,0)),IF(AND($L$37=0,$P$34=0),"",$L$37-1),IF($R$17="Distrato",$E441,0)),MIN(AD$38,$D$19),$P$20))-SUM($P441:AC441)</f>
        <v>#VALUE!</v>
      </c>
      <c r="AE441" s="446" t="e">
        <f>IF(OR($B441="",MIN(AE$38,$D$19)&lt;MAX($P$34*($B441+IF($R$17="Distrato",$I$38-1,0)),IF(AND($L$37=0,$P$34=0),"",$L$37-1),IF($R$17="Distrato",$E441,0))),0,YEARFRAC(MAX($P$34*($B441+IF($R$17="Distrato",$I$38-1,0)),IF(AND($L$37=0,$P$34=0),"",$L$37-1),IF($R$17="Distrato",$E441,0)),MIN(AE$38,$D$19),$P$20))-SUM($P441:AD441)</f>
        <v>#VALUE!</v>
      </c>
      <c r="AF441" s="446" t="e">
        <f>IF(OR($B441="",MIN(AF$38,$D$19)&lt;MAX($P$34*($B441+IF($R$17="Distrato",$I$38-1,0)),IF(AND($L$37=0,$P$34=0),"",$L$37-1),IF($R$17="Distrato",$E441,0))),0,YEARFRAC(MAX($P$34*($B441+IF($R$17="Distrato",$I$38-1,0)),IF(AND($L$37=0,$P$34=0),"",$L$37-1),IF($R$17="Distrato",$E441,0)),MIN(AF$38,$D$19),$P$20))-SUM($P441:AE441)</f>
        <v>#VALUE!</v>
      </c>
      <c r="AG441" s="446" t="e">
        <f>IF(OR($B441="",MIN(AG$38,$D$19)&lt;MAX($P$34*($B441+IF($R$17="Distrato",$I$38-1,0)),IF(AND($L$37=0,$P$34=0),"",$L$37-1),IF($R$17="Distrato",$E441,0))),0,YEARFRAC(MAX($P$34*($B441+IF($R$17="Distrato",$I$38-1,0)),IF(AND($L$37=0,$P$34=0),"",$L$37-1),IF($R$17="Distrato",$E441,0)),MIN(AG$38,$D$19),$P$20))-SUM($P441:AF441)</f>
        <v>#VALUE!</v>
      </c>
      <c r="AH441" s="446" t="e">
        <f>IF(OR($B441="",MIN(AH$38,$D$19)&lt;MAX($P$34*($B441+IF($R$17="Distrato",$I$38-1,0)),IF(AND($L$37=0,$P$34=0),"",$L$37-1),IF($R$17="Distrato",$E441,0))),0,YEARFRAC(MAX($P$34*($B441+IF($R$17="Distrato",$I$38-1,0)),IF(AND($L$37=0,$P$34=0),"",$L$37-1),IF($R$17="Distrato",$E441,0)),MIN(AH$38,$D$19),$P$20))-SUM($P441:AG441)</f>
        <v>#VALUE!</v>
      </c>
      <c r="AI441" s="446" t="e">
        <f>IF(OR($B441="",MIN(AI$38,$D$19)&lt;MAX($P$34*($B441+IF($R$17="Distrato",$I$38-1,0)),IF(AND($L$37=0,$P$34=0),"",$L$37-1),IF($R$17="Distrato",$E441,0))),0,YEARFRAC(MAX($P$34*($B441+IF($R$17="Distrato",$I$38-1,0)),IF(AND($L$37=0,$P$34=0),"",$L$37-1),IF($R$17="Distrato",$E441,0)),MIN(AI$38,$D$19),$P$20))-SUM($P441:AH441)</f>
        <v>#VALUE!</v>
      </c>
      <c r="AJ441" s="446" t="e">
        <f>IF(OR($B441="",MIN(AJ$38,$D$19)&lt;MAX($P$34*($B441+IF($R$17="Distrato",$I$38-1,0)),IF(AND($L$37=0,$P$34=0),"",$L$37-1),IF($R$17="Distrato",$E441,0))),0,YEARFRAC(MAX($P$34*($B441+IF($R$17="Distrato",$I$38-1,0)),IF(AND($L$37=0,$P$34=0),"",$L$37-1),IF($R$17="Distrato",$E441,0)),MIN(AJ$38,$D$19),$P$20))-SUM($P441:AI441)</f>
        <v>#VALUE!</v>
      </c>
      <c r="AK441" s="446" t="e">
        <f>IF(OR($B441="",MIN(AK$38,$D$19)&lt;MAX($P$34*($B441+IF($R$17="Distrato",$I$38-1,0)),IF(AND($L$37=0,$P$34=0),"",$L$37-1),IF($R$17="Distrato",$E441,0))),0,YEARFRAC(MAX($P$34*($B441+IF($R$17="Distrato",$I$38-1,0)),IF(AND($L$37=0,$P$34=0),"",$L$37-1),IF($R$17="Distrato",$E441,0)),MIN(AK$38,$D$19),$P$20))-SUM($P441:AJ441)</f>
        <v>#VALUE!</v>
      </c>
      <c r="AL441" s="446" t="e">
        <f>IF(OR($B441="",MIN(AL$38,$D$19)&lt;MAX($P$34*($B441+IF($R$17="Distrato",$I$38-1,0)),IF(AND($L$37=0,$P$34=0),"",$L$37-1),IF($R$17="Distrato",$E441,0))),0,YEARFRAC(MAX($P$34*($B441+IF($R$17="Distrato",$I$38-1,0)),IF(AND($L$37=0,$P$34=0),"",$L$37-1),IF($R$17="Distrato",$E441,0)),MIN(AL$38,$D$19),$P$20))-SUM($P441:AK441)</f>
        <v>#VALUE!</v>
      </c>
      <c r="AM441" s="446" t="e">
        <f>IF(OR($B441="",MIN(AM$38,$D$19)&lt;MAX($P$34*($B441+IF($R$17="Distrato",$I$38-1,0)),IF(AND($L$37=0,$P$34=0),"",$L$37-1),IF($R$17="Distrato",$E441,0))),0,YEARFRAC(MAX($P$34*($B441+IF($R$17="Distrato",$I$38-1,0)),IF(AND($L$37=0,$P$34=0),"",$L$37-1),IF($R$17="Distrato",$E441,0)),MIN(AM$38,$D$19),$P$20))-SUM($P441:AL441)</f>
        <v>#VALUE!</v>
      </c>
      <c r="AN441" s="446" t="e">
        <f>IF(OR($B441="",MIN(AN$38,$D$19)&lt;MAX($P$34*($B441+IF($R$17="Distrato",$I$38-1,0)),IF(AND($L$37=0,$P$34=0),"",$L$37-1),IF($R$17="Distrato",$E441,0))),0,YEARFRAC(MAX($P$34*($B441+IF($R$17="Distrato",$I$38-1,0)),IF(AND($L$37=0,$P$34=0),"",$L$37-1),IF($R$17="Distrato",$E441,0)),MIN(AN$38,$D$19),$P$20))-SUM($P441:AM441)</f>
        <v>#VALUE!</v>
      </c>
      <c r="AO441" s="446" t="e">
        <f>IF(OR($B441="",MIN(AO$38,$D$19)&lt;MAX($P$34*($B441+IF($R$17="Distrato",$I$38-1,0)),IF(AND($L$37=0,$P$34=0),"",$L$37-1),IF($R$17="Distrato",$E441,0))),0,YEARFRAC(MAX($P$34*($B441+IF($R$17="Distrato",$I$38-1,0)),IF(AND($L$37=0,$P$34=0),"",$L$37-1),IF($R$17="Distrato",$E441,0)),MIN(AO$38,$D$19),$P$20))-SUM($P441:AN441)</f>
        <v>#VALUE!</v>
      </c>
      <c r="AP441" s="446" t="e">
        <f>IF(OR($B441="",MIN(AP$38,$D$19)&lt;MAX($P$34*($B441+IF($R$17="Distrato",$I$38-1,0)),IF(AND($L$37=0,$P$34=0),"",$L$37-1),IF($R$17="Distrato",$E441,0))),0,YEARFRAC(MAX($P$34*($B441+IF($R$17="Distrato",$I$38-1,0)),IF(AND($L$37=0,$P$34=0),"",$L$37-1),IF($R$17="Distrato",$E441,0)),MIN(AP$38,$D$19),$P$20))-SUM($P441:AO441)</f>
        <v>#VALUE!</v>
      </c>
      <c r="AQ441" s="446" t="e">
        <f>IF(OR($B441="",MIN(AQ$38,$D$19)&lt;MAX($P$34*($B441+IF($R$17="Distrato",$I$38-1,0)),IF(AND($L$37=0,$P$34=0),"",$L$37-1),IF($R$17="Distrato",$E441,0))),0,YEARFRAC(MAX($P$34*($B441+IF($R$17="Distrato",$I$38-1,0)),IF(AND($L$37=0,$P$34=0),"",$L$37-1),IF($R$17="Distrato",$E441,0)),MIN(AQ$38,$D$19),$P$20))-SUM($P441:AP441)</f>
        <v>#VALUE!</v>
      </c>
      <c r="AR441" s="446" t="e">
        <f>IF(OR($B441="",MIN(AR$38,$D$19)&lt;MAX($P$34*($B441+IF($R$17="Distrato",$I$38-1,0)),IF(AND($L$37=0,$P$34=0),"",$L$37-1),IF($R$17="Distrato",$E441,0))),0,YEARFRAC(MAX($P$34*($B441+IF($R$17="Distrato",$I$38-1,0)),IF(AND($L$37=0,$P$34=0),"",$L$37-1),IF($R$17="Distrato",$E441,0)),MIN(AR$38,$D$19),$P$20))-SUM($P441:AQ441)</f>
        <v>#VALUE!</v>
      </c>
      <c r="AS441" s="446" t="e">
        <f>IF(OR($B441="",MIN(AS$38,$D$19)&lt;MAX($P$34*($B441+IF($R$17="Distrato",$I$38-1,0)),IF(AND($L$37=0,$P$34=0),"",$L$37-1),IF($R$17="Distrato",$E441,0))),0,YEARFRAC(MAX($P$34*($B441+IF($R$17="Distrato",$I$38-1,0)),IF(AND($L$37=0,$P$34=0),"",$L$37-1),IF($R$17="Distrato",$E441,0)),MIN(AS$38,$D$19),$P$20))-SUM($P441:AR441)</f>
        <v>#VALUE!</v>
      </c>
      <c r="AT441" s="446" t="e">
        <f>IF(OR($B441="",MIN(AT$38,$D$19)&lt;MAX($P$34*($B441+IF($R$17="Distrato",$I$38-1,0)),IF(AND($L$37=0,$P$34=0),"",$L$37-1),IF($R$17="Distrato",$E441,0))),0,YEARFRAC(MAX($P$34*($B441+IF($R$17="Distrato",$I$38-1,0)),IF(AND($L$37=0,$P$34=0),"",$L$37-1),IF($R$17="Distrato",$E441,0)),MIN(AT$38,$D$19),$P$20))-SUM($P441:AS441)</f>
        <v>#VALUE!</v>
      </c>
      <c r="AU441" s="446" t="e">
        <f>IF(OR($B441="",MIN(AU$38,$D$19)&lt;MAX($P$34*($B441+IF($R$17="Distrato",$I$38-1,0)),IF(AND($L$37=0,$P$34=0),"",$L$37-1),IF($R$17="Distrato",$E441,0))),0,YEARFRAC(MAX($P$34*($B441+IF($R$17="Distrato",$I$38-1,0)),IF(AND($L$37=0,$P$34=0),"",$L$37-1),IF($R$17="Distrato",$E441,0)),MIN(AU$38,$D$19),$P$20))-SUM($P441:AT441)</f>
        <v>#VALUE!</v>
      </c>
      <c r="AV441" s="446" t="e">
        <f>IF(OR($B441="",MIN(AV$38,$D$19)&lt;MAX($P$34*($B441+IF($R$17="Distrato",$I$38-1,0)),IF(AND($L$37=0,$P$34=0),"",$L$37-1),IF($R$17="Distrato",$E441,0))),0,YEARFRAC(MAX($P$34*($B441+IF($R$17="Distrato",$I$38-1,0)),IF(AND($L$37=0,$P$34=0),"",$L$37-1),IF($R$17="Distrato",$E441,0)),MIN(AV$38,$D$19),$P$20))-SUM($P441:AU441)</f>
        <v>#VALUE!</v>
      </c>
      <c r="AW441" s="446" t="e">
        <f>IF(OR($B441="",MIN(AW$38,$D$19)&lt;MAX($P$34*($B441+IF($R$17="Distrato",$I$38-1,0)),IF(AND($L$37=0,$P$34=0),"",$L$37-1),IF($R$17="Distrato",$E441,0))),0,YEARFRAC(MAX($P$34*($B441+IF($R$17="Distrato",$I$38-1,0)),IF(AND($L$37=0,$P$34=0),"",$L$37-1),IF($R$17="Distrato",$E441,0)),MIN(AW$38,$D$19),$P$20))-SUM($P441:AV441)</f>
        <v>#VALUE!</v>
      </c>
      <c r="AX441" s="446" t="e">
        <f>IF(OR($B441="",MIN(AX$38,$D$19)&lt;MAX($P$34*($B441+IF($R$17="Distrato",$I$38-1,0)),IF(AND($L$37=0,$P$34=0),"",$L$37-1),IF($R$17="Distrato",$E441,0))),0,YEARFRAC(MAX($P$34*($B441+IF($R$17="Distrato",$I$38-1,0)),IF(AND($L$37=0,$P$34=0),"",$L$37-1),IF($R$17="Distrato",$E441,0)),MIN(AX$38,$D$19),$P$20))-SUM($P441:AW441)</f>
        <v>#VALUE!</v>
      </c>
      <c r="AY441" s="446" t="e">
        <f>IF(OR($B441="",MIN(AY$38,$D$19)&lt;MAX($P$34*($B441+IF($R$17="Distrato",$I$38-1,0)),IF(AND($L$37=0,$P$34=0),"",$L$37-1),IF($R$17="Distrato",$E441,0))),0,YEARFRAC(MAX($P$34*($B441+IF($R$17="Distrato",$I$38-1,0)),IF(AND($L$37=0,$P$34=0),"",$L$37-1),IF($R$17="Distrato",$E441,0)),MIN(AY$38,$D$19),$P$20))-SUM($P441:AX441)</f>
        <v>#VALUE!</v>
      </c>
      <c r="AZ441" s="446" t="e">
        <f>IF(OR($B441="",MIN(AZ$38,$D$19)&lt;MAX($P$34*($B441+IF($R$17="Distrato",$I$38-1,0)),IF(AND($L$37=0,$P$34=0),"",$L$37-1),IF($R$17="Distrato",$E441,0))),0,YEARFRAC(MAX($P$34*($B441+IF($R$17="Distrato",$I$38-1,0)),IF(AND($L$37=0,$P$34=0),"",$L$37-1),IF($R$17="Distrato",$E441,0)),MIN(AZ$38,$D$19),$P$20))-SUM($P441:AY441)</f>
        <v>#VALUE!</v>
      </c>
      <c r="BA441" s="446" t="e">
        <f>IF(OR($B441="",MIN(BA$38,$D$19)&lt;MAX($P$34*($B441+IF($R$17="Distrato",$I$38-1,0)),IF(AND($L$37=0,$P$34=0),"",$L$37-1),IF($R$17="Distrato",$E441,0))),0,YEARFRAC(MAX($P$34*($B441+IF($R$17="Distrato",$I$38-1,0)),IF(AND($L$37=0,$P$34=0),"",$L$37-1),IF($R$17="Distrato",$E441,0)),MIN(BA$38,$D$19),$P$20))-SUM($P441:AZ441)</f>
        <v>#VALUE!</v>
      </c>
      <c r="BB441" s="447"/>
      <c r="BF441" s="446">
        <f t="shared" si="76"/>
        <v>0</v>
      </c>
      <c r="BG441" s="446">
        <f>IF($E441=0,0,IF(MIN(BG$38,$E441)&lt;MAX($P$34*($B441+$I$38-1),IF(AND($L$37=0,$P$34=0),"",$L$37-1)),0,YEARFRAC(MAX($P$34*($B441+$I$38-1),IF(AND($L$37=0,$P$34=0),"",$L$37-1)),MIN(BG$38,$E441),$P$20))-SUM($BF441:BF441))</f>
        <v>0</v>
      </c>
      <c r="BH441" s="446">
        <f>IF($E441=0,0,IF(MIN(BH$38,$E441)&lt;MAX($P$34*($B441+$I$38-1),IF(AND($L$37=0,$P$34=0),"",$L$37-1)),0,YEARFRAC(MAX($P$34*($B441+$I$38-1),IF(AND($L$37=0,$P$34=0),"",$L$37-1)),MIN(BH$38,$E441),$P$20))-SUM($BF441:BG441))</f>
        <v>0</v>
      </c>
      <c r="BI441" s="446">
        <f>IF($E441=0,0,IF(MIN(BI$38,$E441)&lt;MAX($P$34*($B441+$I$38-1),IF(AND($L$37=0,$P$34=0),"",$L$37-1)),0,YEARFRAC(MAX($P$34*($B441+$I$38-1),IF(AND($L$37=0,$P$34=0),"",$L$37-1)),MIN(BI$38,$E441),$P$20))-SUM($BF441:BH441))</f>
        <v>0</v>
      </c>
      <c r="BJ441" s="446">
        <f>IF($E441=0,0,IF(MIN(BJ$38,$E441)&lt;MAX($P$34*($B441+$I$38-1),IF(AND($L$37=0,$P$34=0),"",$L$37-1)),0,YEARFRAC(MAX($P$34*($B441+$I$38-1),IF(AND($L$37=0,$P$34=0),"",$L$37-1)),MIN(BJ$38,$E441),$P$20))-SUM($BF441:BI441))</f>
        <v>0</v>
      </c>
      <c r="BK441" s="446">
        <f>IF($E441=0,0,IF(MIN(BK$38,$E441)&lt;MAX($P$34*($B441+$I$38-1),IF(AND($L$37=0,$P$34=0),"",$L$37-1)),0,YEARFRAC(MAX($P$34*($B441+$I$38-1),IF(AND($L$37=0,$P$34=0),"",$L$37-1)),MIN(BK$38,$E441),$P$20))-SUM($BF441:BJ441))</f>
        <v>0</v>
      </c>
      <c r="BL441" s="446">
        <f>IF($E441=0,0,IF(MIN(BL$38,$E441)&lt;MAX($P$34*($B441+$I$38-1),IF(AND($L$37=0,$P$34=0),"",$L$37-1)),0,YEARFRAC(MAX($P$34*($B441+$I$38-1),IF(AND($L$37=0,$P$34=0),"",$L$37-1)),MIN(BL$38,$E441),$P$20))-SUM($BF441:BK441))</f>
        <v>0</v>
      </c>
      <c r="BM441" s="446">
        <f>IF($E441=0,0,IF(MIN(BM$38,$E441)&lt;MAX($P$34*($B441+$I$38-1),IF(AND($L$37=0,$P$34=0),"",$L$37-1)),0,YEARFRAC(MAX($P$34*($B441+$I$38-1),IF(AND($L$37=0,$P$34=0),"",$L$37-1)),MIN(BM$38,$E441),$P$20))-SUM($BF441:BL441))</f>
        <v>0</v>
      </c>
      <c r="BN441" s="446">
        <f>IF($E441=0,0,IF(MIN(BN$38,$E441)&lt;MAX($P$34*($B441+$I$38-1),IF(AND($L$37=0,$P$34=0),"",$L$37-1)),0,YEARFRAC(MAX($P$34*($B441+$I$38-1),IF(AND($L$37=0,$P$34=0),"",$L$37-1)),MIN(BN$38,$E441),$P$20))-SUM($BF441:BM441))</f>
        <v>0</v>
      </c>
      <c r="BO441" s="446">
        <f>IF($E441=0,0,IF(MIN(BO$38,$E441)&lt;MAX($P$34*($B441+$I$38-1),IF(AND($L$37=0,$P$34=0),"",$L$37-1)),0,YEARFRAC(MAX($P$34*($B441+$I$38-1),IF(AND($L$37=0,$P$34=0),"",$L$37-1)),MIN(BO$38,$E441),$P$20))-SUM($BF441:BN441))</f>
        <v>0</v>
      </c>
      <c r="BP441" s="446">
        <f>IF($E441=0,0,IF(MIN(BP$38,$E441)&lt;MAX($P$34*($B441+$I$38-1),IF(AND($L$37=0,$P$34=0),"",$L$37-1)),0,YEARFRAC(MAX($P$34*($B441+$I$38-1),IF(AND($L$37=0,$P$34=0),"",$L$37-1)),MIN(BP$38,$E441),$P$20))-SUM($BF441:BO441))</f>
        <v>0</v>
      </c>
      <c r="BQ441" s="446">
        <f>IF($E441=0,0,IF(MIN(BQ$38,$E441)&lt;MAX($P$34*($B441+$I$38-1),IF(AND($L$37=0,$P$34=0),"",$L$37-1)),0,YEARFRAC(MAX($P$34*($B441+$I$38-1),IF(AND($L$37=0,$P$34=0),"",$L$37-1)),MIN(BQ$38,$E441),$P$20))-SUM($BF441:BP441))</f>
        <v>0</v>
      </c>
      <c r="BR441" s="446">
        <f>IF($E441=0,0,IF(MIN(BR$38,$E441)&lt;MAX($P$34*($B441+$I$38-1),IF(AND($L$37=0,$P$34=0),"",$L$37-1)),0,YEARFRAC(MAX($P$34*($B441+$I$38-1),IF(AND($L$37=0,$P$34=0),"",$L$37-1)),MIN(BR$38,$E441),$P$20))-SUM($BF441:BQ441))</f>
        <v>0</v>
      </c>
      <c r="BS441" s="446">
        <f>IF($E441=0,0,IF(MIN(BS$38,$E441)&lt;MAX($P$34*($B441+$I$38-1),IF(AND($L$37=0,$P$34=0),"",$L$37-1)),0,YEARFRAC(MAX($P$34*($B441+$I$38-1),IF(AND($L$37=0,$P$34=0),"",$L$37-1)),MIN(BS$38,$E441),$P$20))-SUM($BF441:BR441))</f>
        <v>0</v>
      </c>
      <c r="BT441" s="446">
        <f>IF($E441=0,0,IF(MIN(BT$38,$E441)&lt;MAX($P$34*($B441+$I$38-1),IF(AND($L$37=0,$P$34=0),"",$L$37-1)),0,YEARFRAC(MAX($P$34*($B441+$I$38-1),IF(AND($L$37=0,$P$34=0),"",$L$37-1)),MIN(BT$38,$E441),$P$20))-SUM($BF441:BS441))</f>
        <v>0</v>
      </c>
      <c r="BU441" s="446">
        <f>IF($E441=0,0,IF(MIN(BU$38,$E441)&lt;MAX($P$34*($B441+$I$38-1),IF(AND($L$37=0,$P$34=0),"",$L$37-1)),0,YEARFRAC(MAX($P$34*($B441+$I$38-1),IF(AND($L$37=0,$P$34=0),"",$L$37-1)),MIN(BU$38,$E441),$P$20))-SUM($BF441:BT441))</f>
        <v>0</v>
      </c>
      <c r="BV441" s="446">
        <f>IF($E441=0,0,IF(MIN(BV$38,$E441)&lt;MAX($P$34*($B441+$I$38-1),IF(AND($L$37=0,$P$34=0),"",$L$37-1)),0,YEARFRAC(MAX($P$34*($B441+$I$38-1),IF(AND($L$37=0,$P$34=0),"",$L$37-1)),MIN(BV$38,$E441),$P$20))-SUM($BF441:BU441))</f>
        <v>0</v>
      </c>
      <c r="BW441" s="446">
        <f>IF($E441=0,0,IF(MIN(BW$38,$E441)&lt;MAX($P$34*($B441+$I$38-1),IF(AND($L$37=0,$P$34=0),"",$L$37-1)),0,YEARFRAC(MAX($P$34*($B441+$I$38-1),IF(AND($L$37=0,$P$34=0),"",$L$37-1)),MIN(BW$38,$E441),$P$20))-SUM($BF441:BV441))</f>
        <v>0</v>
      </c>
      <c r="BX441" s="446">
        <f>IF($E441=0,0,IF(MIN(BX$38,$E441)&lt;MAX($P$34*($B441+$I$38-1),IF(AND($L$37=0,$P$34=0),"",$L$37-1)),0,YEARFRAC(MAX($P$34*($B441+$I$38-1),IF(AND($L$37=0,$P$34=0),"",$L$37-1)),MIN(BX$38,$E441),$P$20))-SUM($BF441:BW441))</f>
        <v>0</v>
      </c>
      <c r="BY441" s="446">
        <f>IF($E441=0,0,IF(MIN(BY$38,$E441)&lt;MAX($P$34*($B441+$I$38-1),IF(AND($L$37=0,$P$34=0),"",$L$37-1)),0,YEARFRAC(MAX($P$34*($B441+$I$38-1),IF(AND($L$37=0,$P$34=0),"",$L$37-1)),MIN(BY$38,$E441),$P$20))-SUM($BF441:BX441))</f>
        <v>0</v>
      </c>
      <c r="BZ441" s="446">
        <f>IF($E441=0,0,IF(MIN(BZ$38,$E441)&lt;MAX($P$34*($B441+$I$38-1),IF(AND($L$37=0,$P$34=0),"",$L$37-1)),0,YEARFRAC(MAX($P$34*($B441+$I$38-1),IF(AND($L$37=0,$P$34=0),"",$L$37-1)),MIN(BZ$38,$E441),$P$20))-SUM($BF441:BY441))</f>
        <v>0</v>
      </c>
      <c r="CA441" s="446">
        <f>IF($E441=0,0,IF(MIN(CA$38,$E441)&lt;MAX($P$34*($B441+$I$38-1),IF(AND($L$37=0,$P$34=0),"",$L$37-1)),0,YEARFRAC(MAX($P$34*($B441+$I$38-1),IF(AND($L$37=0,$P$34=0),"",$L$37-1)),MIN(CA$38,$E441),$P$20))-SUM($BF441:BZ441))</f>
        <v>0</v>
      </c>
      <c r="CB441" s="446">
        <f>IF($E441=0,0,IF(MIN(CB$38,$E441)&lt;MAX($P$34*($B441+$I$38-1),IF(AND($L$37=0,$P$34=0),"",$L$37-1)),0,YEARFRAC(MAX($P$34*($B441+$I$38-1),IF(AND($L$37=0,$P$34=0),"",$L$37-1)),MIN(CB$38,$E441),$P$20))-SUM($BF441:CA441))</f>
        <v>0</v>
      </c>
      <c r="CC441" s="446">
        <f>IF($E441=0,0,IF(MIN(CC$38,$E441)&lt;MAX($P$34*($B441+$I$38-1),IF(AND($L$37=0,$P$34=0),"",$L$37-1)),0,YEARFRAC(MAX($P$34*($B441+$I$38-1),IF(AND($L$37=0,$P$34=0),"",$L$37-1)),MIN(CC$38,$E441),$P$20))-SUM($BF441:CB441))</f>
        <v>0</v>
      </c>
      <c r="CD441" s="446">
        <f>IF($E441=0,0,IF(MIN(CD$38,$E441)&lt;MAX($P$34*($B441+$I$38-1),IF(AND($L$37=0,$P$34=0),"",$L$37-1)),0,YEARFRAC(MAX($P$34*($B441+$I$38-1),IF(AND($L$37=0,$P$34=0),"",$L$37-1)),MIN(CD$38,$E441),$P$20))-SUM($BF441:CC441))</f>
        <v>0</v>
      </c>
      <c r="CE441" s="446">
        <f>IF($E441=0,0,IF(MIN(CE$38,$E441)&lt;MAX($P$34*($B441+$I$38-1),IF(AND($L$37=0,$P$34=0),"",$L$37-1)),0,YEARFRAC(MAX($P$34*($B441+$I$38-1),IF(AND($L$37=0,$P$34=0),"",$L$37-1)),MIN(CE$38,$E441),$P$20))-SUM($BF441:CD441))</f>
        <v>0</v>
      </c>
      <c r="CF441" s="446">
        <f>IF($E441=0,0,IF(MIN(CF$38,$E441)&lt;MAX($P$34*($B441+$I$38-1),IF(AND($L$37=0,$P$34=0),"",$L$37-1)),0,YEARFRAC(MAX($P$34*($B441+$I$38-1),IF(AND($L$37=0,$P$34=0),"",$L$37-1)),MIN(CF$38,$E441),$P$20))-SUM($BF441:CE441))</f>
        <v>0</v>
      </c>
      <c r="CG441" s="446">
        <f>IF($E441=0,0,IF(MIN(CG$38,$E441)&lt;MAX($P$34*($B441+$I$38-1),IF(AND($L$37=0,$P$34=0),"",$L$37-1)),0,YEARFRAC(MAX($P$34*($B441+$I$38-1),IF(AND($L$37=0,$P$34=0),"",$L$37-1)),MIN(CG$38,$E441),$P$20))-SUM($BF441:CF441))</f>
        <v>0</v>
      </c>
      <c r="CH441" s="446">
        <f>IF($E441=0,0,IF(MIN(CH$38,$E441)&lt;MAX($P$34*($B441+$I$38-1),IF(AND($L$37=0,$P$34=0),"",$L$37-1)),0,YEARFRAC(MAX($P$34*($B441+$I$38-1),IF(AND($L$37=0,$P$34=0),"",$L$37-1)),MIN(CH$38,$E441),$P$20))-SUM($BF441:CG441))</f>
        <v>0</v>
      </c>
      <c r="CI441" s="446">
        <f>IF($E441=0,0,IF(MIN(CI$38,$E441)&lt;MAX($P$34*($B441+$I$38-1),IF(AND($L$37=0,$P$34=0),"",$L$37-1)),0,YEARFRAC(MAX($P$34*($B441+$I$38-1),IF(AND($L$37=0,$P$34=0),"",$L$37-1)),MIN(CI$38,$E441),$P$20))-SUM($BF441:CH441))</f>
        <v>0</v>
      </c>
      <c r="CJ441" s="446">
        <f>IF($E441=0,0,IF(MIN(CJ$38,$E441)&lt;MAX($P$34*($B441+$I$38-1),IF(AND($L$37=0,$P$34=0),"",$L$37-1)),0,YEARFRAC(MAX($P$34*($B441+$I$38-1),IF(AND($L$37=0,$P$34=0),"",$L$37-1)),MIN(CJ$38,$E441),$P$20))-SUM($BF441:CI441))</f>
        <v>0</v>
      </c>
      <c r="CK441" s="446">
        <f>IF($E441=0,0,IF(MIN(CK$38,$E441)&lt;MAX($P$34*($B441+$I$38-1),IF(AND($L$37=0,$P$34=0),"",$L$37-1)),0,YEARFRAC(MAX($P$34*($B441+$I$38-1),IF(AND($L$37=0,$P$34=0),"",$L$37-1)),MIN(CK$38,$E441),$P$20))-SUM($BF441:CJ441))</f>
        <v>0</v>
      </c>
      <c r="CL441" s="446">
        <f>IF($E441=0,0,IF(MIN(CL$38,$E441)&lt;MAX($P$34*($B441+$I$38-1),IF(AND($L$37=0,$P$34=0),"",$L$37-1)),0,YEARFRAC(MAX($P$34*($B441+$I$38-1),IF(AND($L$37=0,$P$34=0),"",$L$37-1)),MIN(CL$38,$E441),$P$20))-SUM($BF441:CK441))</f>
        <v>0</v>
      </c>
      <c r="CM441" s="446">
        <f>IF($E441=0,0,IF(MIN(CM$38,$E441)&lt;MAX($P$34*($B441+$I$38-1),IF(AND($L$37=0,$P$34=0),"",$L$37-1)),0,YEARFRAC(MAX($P$34*($B441+$I$38-1),IF(AND($L$37=0,$P$34=0),"",$L$37-1)),MIN(CM$38,$E441),$P$20))-SUM($BF441:CL441))</f>
        <v>0</v>
      </c>
      <c r="CN441" s="446">
        <f>IF($E441=0,0,IF(MIN(CN$38,$E441)&lt;MAX($P$34*($B441+$I$38-1),IF(AND($L$37=0,$P$34=0),"",$L$37-1)),0,YEARFRAC(MAX($P$34*($B441+$I$38-1),IF(AND($L$37=0,$P$34=0),"",$L$37-1)),MIN(CN$38,$E441),$P$20))-SUM($BF441:CM441))</f>
        <v>0</v>
      </c>
      <c r="CO441" s="446">
        <f>IF($E441=0,0,IF(MIN(CO$38,$E441)&lt;MAX($P$34*($B441+$I$38-1),IF(AND($L$37=0,$P$34=0),"",$L$37-1)),0,YEARFRAC(MAX($P$34*($B441+$I$38-1),IF(AND($L$37=0,$P$34=0),"",$L$37-1)),MIN(CO$38,$E441),$P$20))-SUM($BF441:CN441))</f>
        <v>0</v>
      </c>
      <c r="CP441" s="446">
        <f>IF($E441=0,0,IF(MIN(CP$38,$E441)&lt;MAX($P$34*($B441+$I$38-1),IF(AND($L$37=0,$P$34=0),"",$L$37-1)),0,YEARFRAC(MAX($P$34*($B441+$I$38-1),IF(AND($L$37=0,$P$34=0),"",$L$37-1)),MIN(CP$38,$E441),$P$20))-SUM($BF441:CO441))</f>
        <v>0</v>
      </c>
      <c r="CQ441" s="446">
        <f>IF($E441=0,0,IF(MIN(CQ$38,$E441)&lt;MAX($P$34*($B441+$I$38-1),IF(AND($L$37=0,$P$34=0),"",$L$37-1)),0,YEARFRAC(MAX($P$34*($B441+$I$38-1),IF(AND($L$37=0,$P$34=0),"",$L$37-1)),MIN(CQ$38,$E441),$P$20))-SUM($BF441:CP441))</f>
        <v>0</v>
      </c>
    </row>
    <row r="442" spans="1:95" s="446" customFormat="1" ht="11.25" hidden="1" customHeight="1" x14ac:dyDescent="0.2">
      <c r="A442" s="152"/>
      <c r="B442" s="153" t="str">
        <f t="shared" si="81"/>
        <v/>
      </c>
      <c r="C442" s="29" t="str">
        <f>IF(B442="","",IF($L$35="SELIC - TRIBUTOS",VLOOKUP(DATE(YEAR($D$19),MONTH($D$19)-1,1),ÍNDICES!$A:$DE,HLOOKUP($BL$25,ÍNDICES!$B$3:$T$4,2)+11)-VLOOKUP(B442,ÍNDICES!$A:$DE,HLOOKUP($BL$25,ÍNDICES!$B$3:$T$4,2)+11)+1%,IF(C$38=$W$26,$J$35,IF(ISERROR(IF(B442&gt;$D$19,1,VLOOKUP(DATE(YEAR(B442),MONTH(B442)+IF($C$35=$S$23,1,0),1),ÍNDICES!$A:$DE,$Z$35+1))),"",IF(B442&gt;$D$19,1,VLOOKUP(DATE(YEAR(B442),MONTH(B442)+IF($C$35=$S$23,1,0),1),ÍNDICES!$A:$DE,$Z$35+1))))))</f>
        <v/>
      </c>
      <c r="D442" s="154" t="str">
        <f>IF(ISERROR(IF(OR($D$38=$Y$27,$B442=""),"",VLOOKUP(B442,ÍNDICES!A:DE,AF$35+1))),"",IF(OR($D$38=$Y$27,$B442=""),"",VLOOKUP(B442,ÍNDICES!A:DE,AF$35+1)))</f>
        <v/>
      </c>
      <c r="E442" s="153"/>
      <c r="F442" s="29" t="str">
        <f>IF(E442="","",IF($L$35="SELIC - TRIBUTOS",VLOOKUP(DATE(YEAR($D$19),MONTH($D$19)-1,1),ÍNDICES!$A:$DE,HLOOKUP($BL$25,ÍNDICES!$B$3:$T$4,2)+11)-VLOOKUP(E442,ÍNDICES!$A:$DE,HLOOKUP($BL$25,ÍNDICES!$B$3:$T$4,2)+11)+1%,IF(F$38=$W$26,$J$35,IF(ISERROR(IF(E442&gt;$D$19,1,VLOOKUP(DATE(YEAR(E442),MONTH(E442)+IF($C$35=$S$23,1,0),1),ÍNDICES!$A:$DE,$Z$35+1))),"",IF(E442&gt;$D$19,1,VLOOKUP(DATE(YEAR(E442),MONTH(E442)+IF($C$35=$S$23,1,0),1),ÍNDICES!$A:$DE,$Z$35+1))))))</f>
        <v/>
      </c>
      <c r="G442" s="155"/>
      <c r="H442" s="156" t="str">
        <f t="shared" si="77"/>
        <v/>
      </c>
      <c r="I442" s="29" t="str">
        <f t="shared" si="71"/>
        <v/>
      </c>
      <c r="J442" s="5">
        <f t="shared" si="72"/>
        <v>0</v>
      </c>
      <c r="K442" s="20">
        <f t="shared" ca="1" si="73"/>
        <v>0</v>
      </c>
      <c r="L442" s="5">
        <f t="shared" ca="1" si="74"/>
        <v>0</v>
      </c>
      <c r="M442" s="64">
        <f t="shared" si="78"/>
        <v>0</v>
      </c>
      <c r="N442" s="61">
        <f t="shared" ca="1" si="79"/>
        <v>0</v>
      </c>
      <c r="O442" s="5">
        <f t="shared" ca="1" si="80"/>
        <v>0</v>
      </c>
      <c r="P442" s="446" t="e">
        <f t="shared" si="75"/>
        <v>#VALUE!</v>
      </c>
      <c r="Q442" s="446" t="e">
        <f>IF(OR($B442="",MIN(Q$38,$D$19)&lt;MAX($P$34*($B442+IF($R$17="Distrato",$I$38-1,0)),IF(AND($L$37=0,$P$34=0),"",$L$37-1),IF($R$17="Distrato",$E442,0))),0,YEARFRAC(MAX($P$34*($B442+IF($R$17="Distrato",$I$38-1,0)),IF(AND($L$37=0,$P$34=0),"",$L$37-1),IF($R$17="Distrato",$E442,0)),MIN(Q$38,$D$19),$P$20))-SUM($P442:P442)</f>
        <v>#VALUE!</v>
      </c>
      <c r="R442" s="446" t="e">
        <f>IF(OR($B442="",MIN(R$38,$D$19)&lt;MAX($P$34*($B442+IF($R$17="Distrato",$I$38-1,0)),IF(AND($L$37=0,$P$34=0),"",$L$37-1),IF($R$17="Distrato",$E442,0))),0,YEARFRAC(MAX($P$34*($B442+IF($R$17="Distrato",$I$38-1,0)),IF(AND($L$37=0,$P$34=0),"",$L$37-1),IF($R$17="Distrato",$E442,0)),MIN(R$38,$D$19),$P$20))-SUM($P442:Q442)</f>
        <v>#VALUE!</v>
      </c>
      <c r="S442" s="446" t="e">
        <f>IF(OR($B442="",MIN(S$38,$D$19)&lt;MAX($P$34*($B442+IF($R$17="Distrato",$I$38-1,0)),IF(AND($L$37=0,$P$34=0),"",$L$37-1),IF($R$17="Distrato",$E442,0))),0,YEARFRAC(MAX($P$34*($B442+IF($R$17="Distrato",$I$38-1,0)),IF(AND($L$37=0,$P$34=0),"",$L$37-1),IF($R$17="Distrato",$E442,0)),MIN(S$38,$D$19),$P$20))-SUM($P442:R442)</f>
        <v>#VALUE!</v>
      </c>
      <c r="T442" s="446" t="e">
        <f>IF(OR($B442="",MIN(T$38,$D$19)&lt;MAX($P$34*($B442+IF($R$17="Distrato",$I$38-1,0)),IF(AND($L$37=0,$P$34=0),"",$L$37-1),IF($R$17="Distrato",$E442,0))),0,YEARFRAC(MAX($P$34*($B442+IF($R$17="Distrato",$I$38-1,0)),IF(AND($L$37=0,$P$34=0),"",$L$37-1),IF($R$17="Distrato",$E442,0)),MIN(T$38,$D$19),$P$20))-SUM($P442:S442)</f>
        <v>#VALUE!</v>
      </c>
      <c r="U442" s="446" t="e">
        <f>IF(OR($B442="",MIN(U$38,$D$19)&lt;MAX($P$34*($B442+IF($R$17="Distrato",$I$38-1,0)),IF(AND($L$37=0,$P$34=0),"",$L$37-1),IF($R$17="Distrato",$E442,0))),0,YEARFRAC(MAX($P$34*($B442+IF($R$17="Distrato",$I$38-1,0)),IF(AND($L$37=0,$P$34=0),"",$L$37-1),IF($R$17="Distrato",$E442,0)),MIN(U$38,$D$19),$P$20))-SUM($P442:T442)</f>
        <v>#VALUE!</v>
      </c>
      <c r="V442" s="446" t="e">
        <f>IF(OR($B442="",MIN(V$38,$D$19)&lt;MAX($P$34*($B442+IF($R$17="Distrato",$I$38-1,0)),IF(AND($L$37=0,$P$34=0),"",$L$37-1),IF($R$17="Distrato",$E442,0))),0,YEARFRAC(MAX($P$34*($B442+IF($R$17="Distrato",$I$38-1,0)),IF(AND($L$37=0,$P$34=0),"",$L$37-1),IF($R$17="Distrato",$E442,0)),MIN(V$38,$D$19),$P$20))-SUM($P442:U442)</f>
        <v>#VALUE!</v>
      </c>
      <c r="W442" s="446" t="e">
        <f>IF(OR($B442="",MIN(W$38,$D$19)&lt;MAX($P$34*($B442+IF($R$17="Distrato",$I$38-1,0)),IF(AND($L$37=0,$P$34=0),"",$L$37-1),IF($R$17="Distrato",$E442,0))),0,YEARFRAC(MAX($P$34*($B442+IF($R$17="Distrato",$I$38-1,0)),IF(AND($L$37=0,$P$34=0),"",$L$37-1),IF($R$17="Distrato",$E442,0)),MIN(W$38,$D$19),$P$20))-SUM($P442:V442)</f>
        <v>#VALUE!</v>
      </c>
      <c r="X442" s="446" t="e">
        <f>IF(OR($B442="",MIN(X$38,$D$19)&lt;MAX($P$34*($B442+IF($R$17="Distrato",$I$38-1,0)),IF(AND($L$37=0,$P$34=0),"",$L$37-1),IF($R$17="Distrato",$E442,0))),0,YEARFRAC(MAX($P$34*($B442+IF($R$17="Distrato",$I$38-1,0)),IF(AND($L$37=0,$P$34=0),"",$L$37-1),IF($R$17="Distrato",$E442,0)),MIN(X$38,$D$19),$P$20))-SUM($P442:W442)</f>
        <v>#VALUE!</v>
      </c>
      <c r="Y442" s="446" t="e">
        <f>IF(OR($B442="",MIN(Y$38,$D$19)&lt;MAX($P$34*($B442+IF($R$17="Distrato",$I$38-1,0)),IF(AND($L$37=0,$P$34=0),"",$L$37-1),IF($R$17="Distrato",$E442,0))),0,YEARFRAC(MAX($P$34*($B442+IF($R$17="Distrato",$I$38-1,0)),IF(AND($L$37=0,$P$34=0),"",$L$37-1),IF($R$17="Distrato",$E442,0)),MIN(Y$38,$D$19),$P$20))-SUM($P442:X442)</f>
        <v>#VALUE!</v>
      </c>
      <c r="Z442" s="446" t="e">
        <f>IF(OR($B442="",MIN(Z$38,$D$19)&lt;MAX($P$34*($B442+IF($R$17="Distrato",$I$38-1,0)),IF(AND($L$37=0,$P$34=0),"",$L$37-1),IF($R$17="Distrato",$E442,0))),0,YEARFRAC(MAX($P$34*($B442+IF($R$17="Distrato",$I$38-1,0)),IF(AND($L$37=0,$P$34=0),"",$L$37-1),IF($R$17="Distrato",$E442,0)),MIN(Z$38,$D$19),$P$20))-SUM($P442:Y442)</f>
        <v>#VALUE!</v>
      </c>
      <c r="AA442" s="446" t="e">
        <f>IF(OR($B442="",MIN(AA$38,$D$19)&lt;MAX($P$34*($B442+IF($R$17="Distrato",$I$38-1,0)),IF(AND($L$37=0,$P$34=0),"",$L$37-1),IF($R$17="Distrato",$E442,0))),0,YEARFRAC(MAX($P$34*($B442+IF($R$17="Distrato",$I$38-1,0)),IF(AND($L$37=0,$P$34=0),"",$L$37-1),IF($R$17="Distrato",$E442,0)),MIN(AA$38,$D$19),$P$20))-SUM($P442:Z442)</f>
        <v>#VALUE!</v>
      </c>
      <c r="AB442" s="446" t="e">
        <f>IF(OR($B442="",MIN(AB$38,$D$19)&lt;MAX($P$34*($B442+IF($R$17="Distrato",$I$38-1,0)),IF(AND($L$37=0,$P$34=0),"",$L$37-1),IF($R$17="Distrato",$E442,0))),0,YEARFRAC(MAX($P$34*($B442+IF($R$17="Distrato",$I$38-1,0)),IF(AND($L$37=0,$P$34=0),"",$L$37-1),IF($R$17="Distrato",$E442,0)),MIN(AB$38,$D$19),$P$20))-SUM($P442:AA442)</f>
        <v>#VALUE!</v>
      </c>
      <c r="AC442" s="446" t="e">
        <f>IF(OR($B442="",MIN(AC$38,$D$19)&lt;MAX($P$34*($B442+IF($R$17="Distrato",$I$38-1,0)),IF(AND($L$37=0,$P$34=0),"",$L$37-1),IF($R$17="Distrato",$E442,0))),0,YEARFRAC(MAX($P$34*($B442+IF($R$17="Distrato",$I$38-1,0)),IF(AND($L$37=0,$P$34=0),"",$L$37-1),IF($R$17="Distrato",$E442,0)),MIN(AC$38,$D$19),$P$20))-SUM($P442:AB442)</f>
        <v>#VALUE!</v>
      </c>
      <c r="AD442" s="446" t="e">
        <f>IF(OR($B442="",MIN(AD$38,$D$19)&lt;MAX($P$34*($B442+IF($R$17="Distrato",$I$38-1,0)),IF(AND($L$37=0,$P$34=0),"",$L$37-1),IF($R$17="Distrato",$E442,0))),0,YEARFRAC(MAX($P$34*($B442+IF($R$17="Distrato",$I$38-1,0)),IF(AND($L$37=0,$P$34=0),"",$L$37-1),IF($R$17="Distrato",$E442,0)),MIN(AD$38,$D$19),$P$20))-SUM($P442:AC442)</f>
        <v>#VALUE!</v>
      </c>
      <c r="AE442" s="446" t="e">
        <f>IF(OR($B442="",MIN(AE$38,$D$19)&lt;MAX($P$34*($B442+IF($R$17="Distrato",$I$38-1,0)),IF(AND($L$37=0,$P$34=0),"",$L$37-1),IF($R$17="Distrato",$E442,0))),0,YEARFRAC(MAX($P$34*($B442+IF($R$17="Distrato",$I$38-1,0)),IF(AND($L$37=0,$P$34=0),"",$L$37-1),IF($R$17="Distrato",$E442,0)),MIN(AE$38,$D$19),$P$20))-SUM($P442:AD442)</f>
        <v>#VALUE!</v>
      </c>
      <c r="AF442" s="446" t="e">
        <f>IF(OR($B442="",MIN(AF$38,$D$19)&lt;MAX($P$34*($B442+IF($R$17="Distrato",$I$38-1,0)),IF(AND($L$37=0,$P$34=0),"",$L$37-1),IF($R$17="Distrato",$E442,0))),0,YEARFRAC(MAX($P$34*($B442+IF($R$17="Distrato",$I$38-1,0)),IF(AND($L$37=0,$P$34=0),"",$L$37-1),IF($R$17="Distrato",$E442,0)),MIN(AF$38,$D$19),$P$20))-SUM($P442:AE442)</f>
        <v>#VALUE!</v>
      </c>
      <c r="AG442" s="446" t="e">
        <f>IF(OR($B442="",MIN(AG$38,$D$19)&lt;MAX($P$34*($B442+IF($R$17="Distrato",$I$38-1,0)),IF(AND($L$37=0,$P$34=0),"",$L$37-1),IF($R$17="Distrato",$E442,0))),0,YEARFRAC(MAX($P$34*($B442+IF($R$17="Distrato",$I$38-1,0)),IF(AND($L$37=0,$P$34=0),"",$L$37-1),IF($R$17="Distrato",$E442,0)),MIN(AG$38,$D$19),$P$20))-SUM($P442:AF442)</f>
        <v>#VALUE!</v>
      </c>
      <c r="AH442" s="446" t="e">
        <f>IF(OR($B442="",MIN(AH$38,$D$19)&lt;MAX($P$34*($B442+IF($R$17="Distrato",$I$38-1,0)),IF(AND($L$37=0,$P$34=0),"",$L$37-1),IF($R$17="Distrato",$E442,0))),0,YEARFRAC(MAX($P$34*($B442+IF($R$17="Distrato",$I$38-1,0)),IF(AND($L$37=0,$P$34=0),"",$L$37-1),IF($R$17="Distrato",$E442,0)),MIN(AH$38,$D$19),$P$20))-SUM($P442:AG442)</f>
        <v>#VALUE!</v>
      </c>
      <c r="AI442" s="446" t="e">
        <f>IF(OR($B442="",MIN(AI$38,$D$19)&lt;MAX($P$34*($B442+IF($R$17="Distrato",$I$38-1,0)),IF(AND($L$37=0,$P$34=0),"",$L$37-1),IF($R$17="Distrato",$E442,0))),0,YEARFRAC(MAX($P$34*($B442+IF($R$17="Distrato",$I$38-1,0)),IF(AND($L$37=0,$P$34=0),"",$L$37-1),IF($R$17="Distrato",$E442,0)),MIN(AI$38,$D$19),$P$20))-SUM($P442:AH442)</f>
        <v>#VALUE!</v>
      </c>
      <c r="AJ442" s="446" t="e">
        <f>IF(OR($B442="",MIN(AJ$38,$D$19)&lt;MAX($P$34*($B442+IF($R$17="Distrato",$I$38-1,0)),IF(AND($L$37=0,$P$34=0),"",$L$37-1),IF($R$17="Distrato",$E442,0))),0,YEARFRAC(MAX($P$34*($B442+IF($R$17="Distrato",$I$38-1,0)),IF(AND($L$37=0,$P$34=0),"",$L$37-1),IF($R$17="Distrato",$E442,0)),MIN(AJ$38,$D$19),$P$20))-SUM($P442:AI442)</f>
        <v>#VALUE!</v>
      </c>
      <c r="AK442" s="446" t="e">
        <f>IF(OR($B442="",MIN(AK$38,$D$19)&lt;MAX($P$34*($B442+IF($R$17="Distrato",$I$38-1,0)),IF(AND($L$37=0,$P$34=0),"",$L$37-1),IF($R$17="Distrato",$E442,0))),0,YEARFRAC(MAX($P$34*($B442+IF($R$17="Distrato",$I$38-1,0)),IF(AND($L$37=0,$P$34=0),"",$L$37-1),IF($R$17="Distrato",$E442,0)),MIN(AK$38,$D$19),$P$20))-SUM($P442:AJ442)</f>
        <v>#VALUE!</v>
      </c>
      <c r="AL442" s="446" t="e">
        <f>IF(OR($B442="",MIN(AL$38,$D$19)&lt;MAX($P$34*($B442+IF($R$17="Distrato",$I$38-1,0)),IF(AND($L$37=0,$P$34=0),"",$L$37-1),IF($R$17="Distrato",$E442,0))),0,YEARFRAC(MAX($P$34*($B442+IF($R$17="Distrato",$I$38-1,0)),IF(AND($L$37=0,$P$34=0),"",$L$37-1),IF($R$17="Distrato",$E442,0)),MIN(AL$38,$D$19),$P$20))-SUM($P442:AK442)</f>
        <v>#VALUE!</v>
      </c>
      <c r="AM442" s="446" t="e">
        <f>IF(OR($B442="",MIN(AM$38,$D$19)&lt;MAX($P$34*($B442+IF($R$17="Distrato",$I$38-1,0)),IF(AND($L$37=0,$P$34=0),"",$L$37-1),IF($R$17="Distrato",$E442,0))),0,YEARFRAC(MAX($P$34*($B442+IF($R$17="Distrato",$I$38-1,0)),IF(AND($L$37=0,$P$34=0),"",$L$37-1),IF($R$17="Distrato",$E442,0)),MIN(AM$38,$D$19),$P$20))-SUM($P442:AL442)</f>
        <v>#VALUE!</v>
      </c>
      <c r="AN442" s="446" t="e">
        <f>IF(OR($B442="",MIN(AN$38,$D$19)&lt;MAX($P$34*($B442+IF($R$17="Distrato",$I$38-1,0)),IF(AND($L$37=0,$P$34=0),"",$L$37-1),IF($R$17="Distrato",$E442,0))),0,YEARFRAC(MAX($P$34*($B442+IF($R$17="Distrato",$I$38-1,0)),IF(AND($L$37=0,$P$34=0),"",$L$37-1),IF($R$17="Distrato",$E442,0)),MIN(AN$38,$D$19),$P$20))-SUM($P442:AM442)</f>
        <v>#VALUE!</v>
      </c>
      <c r="AO442" s="446" t="e">
        <f>IF(OR($B442="",MIN(AO$38,$D$19)&lt;MAX($P$34*($B442+IF($R$17="Distrato",$I$38-1,0)),IF(AND($L$37=0,$P$34=0),"",$L$37-1),IF($R$17="Distrato",$E442,0))),0,YEARFRAC(MAX($P$34*($B442+IF($R$17="Distrato",$I$38-1,0)),IF(AND($L$37=0,$P$34=0),"",$L$37-1),IF($R$17="Distrato",$E442,0)),MIN(AO$38,$D$19),$P$20))-SUM($P442:AN442)</f>
        <v>#VALUE!</v>
      </c>
      <c r="AP442" s="446" t="e">
        <f>IF(OR($B442="",MIN(AP$38,$D$19)&lt;MAX($P$34*($B442+IF($R$17="Distrato",$I$38-1,0)),IF(AND($L$37=0,$P$34=0),"",$L$37-1),IF($R$17="Distrato",$E442,0))),0,YEARFRAC(MAX($P$34*($B442+IF($R$17="Distrato",$I$38-1,0)),IF(AND($L$37=0,$P$34=0),"",$L$37-1),IF($R$17="Distrato",$E442,0)),MIN(AP$38,$D$19),$P$20))-SUM($P442:AO442)</f>
        <v>#VALUE!</v>
      </c>
      <c r="AQ442" s="446" t="e">
        <f>IF(OR($B442="",MIN(AQ$38,$D$19)&lt;MAX($P$34*($B442+IF($R$17="Distrato",$I$38-1,0)),IF(AND($L$37=0,$P$34=0),"",$L$37-1),IF($R$17="Distrato",$E442,0))),0,YEARFRAC(MAX($P$34*($B442+IF($R$17="Distrato",$I$38-1,0)),IF(AND($L$37=0,$P$34=0),"",$L$37-1),IF($R$17="Distrato",$E442,0)),MIN(AQ$38,$D$19),$P$20))-SUM($P442:AP442)</f>
        <v>#VALUE!</v>
      </c>
      <c r="AR442" s="446" t="e">
        <f>IF(OR($B442="",MIN(AR$38,$D$19)&lt;MAX($P$34*($B442+IF($R$17="Distrato",$I$38-1,0)),IF(AND($L$37=0,$P$34=0),"",$L$37-1),IF($R$17="Distrato",$E442,0))),0,YEARFRAC(MAX($P$34*($B442+IF($R$17="Distrato",$I$38-1,0)),IF(AND($L$37=0,$P$34=0),"",$L$37-1),IF($R$17="Distrato",$E442,0)),MIN(AR$38,$D$19),$P$20))-SUM($P442:AQ442)</f>
        <v>#VALUE!</v>
      </c>
      <c r="AS442" s="446" t="e">
        <f>IF(OR($B442="",MIN(AS$38,$D$19)&lt;MAX($P$34*($B442+IF($R$17="Distrato",$I$38-1,0)),IF(AND($L$37=0,$P$34=0),"",$L$37-1),IF($R$17="Distrato",$E442,0))),0,YEARFRAC(MAX($P$34*($B442+IF($R$17="Distrato",$I$38-1,0)),IF(AND($L$37=0,$P$34=0),"",$L$37-1),IF($R$17="Distrato",$E442,0)),MIN(AS$38,$D$19),$P$20))-SUM($P442:AR442)</f>
        <v>#VALUE!</v>
      </c>
      <c r="AT442" s="446" t="e">
        <f>IF(OR($B442="",MIN(AT$38,$D$19)&lt;MAX($P$34*($B442+IF($R$17="Distrato",$I$38-1,0)),IF(AND($L$37=0,$P$34=0),"",$L$37-1),IF($R$17="Distrato",$E442,0))),0,YEARFRAC(MAX($P$34*($B442+IF($R$17="Distrato",$I$38-1,0)),IF(AND($L$37=0,$P$34=0),"",$L$37-1),IF($R$17="Distrato",$E442,0)),MIN(AT$38,$D$19),$P$20))-SUM($P442:AS442)</f>
        <v>#VALUE!</v>
      </c>
      <c r="AU442" s="446" t="e">
        <f>IF(OR($B442="",MIN(AU$38,$D$19)&lt;MAX($P$34*($B442+IF($R$17="Distrato",$I$38-1,0)),IF(AND($L$37=0,$P$34=0),"",$L$37-1),IF($R$17="Distrato",$E442,0))),0,YEARFRAC(MAX($P$34*($B442+IF($R$17="Distrato",$I$38-1,0)),IF(AND($L$37=0,$P$34=0),"",$L$37-1),IF($R$17="Distrato",$E442,0)),MIN(AU$38,$D$19),$P$20))-SUM($P442:AT442)</f>
        <v>#VALUE!</v>
      </c>
      <c r="AV442" s="446" t="e">
        <f>IF(OR($B442="",MIN(AV$38,$D$19)&lt;MAX($P$34*($B442+IF($R$17="Distrato",$I$38-1,0)),IF(AND($L$37=0,$P$34=0),"",$L$37-1),IF($R$17="Distrato",$E442,0))),0,YEARFRAC(MAX($P$34*($B442+IF($R$17="Distrato",$I$38-1,0)),IF(AND($L$37=0,$P$34=0),"",$L$37-1),IF($R$17="Distrato",$E442,0)),MIN(AV$38,$D$19),$P$20))-SUM($P442:AU442)</f>
        <v>#VALUE!</v>
      </c>
      <c r="AW442" s="446" t="e">
        <f>IF(OR($B442="",MIN(AW$38,$D$19)&lt;MAX($P$34*($B442+IF($R$17="Distrato",$I$38-1,0)),IF(AND($L$37=0,$P$34=0),"",$L$37-1),IF($R$17="Distrato",$E442,0))),0,YEARFRAC(MAX($P$34*($B442+IF($R$17="Distrato",$I$38-1,0)),IF(AND($L$37=0,$P$34=0),"",$L$37-1),IF($R$17="Distrato",$E442,0)),MIN(AW$38,$D$19),$P$20))-SUM($P442:AV442)</f>
        <v>#VALUE!</v>
      </c>
      <c r="AX442" s="446" t="e">
        <f>IF(OR($B442="",MIN(AX$38,$D$19)&lt;MAX($P$34*($B442+IF($R$17="Distrato",$I$38-1,0)),IF(AND($L$37=0,$P$34=0),"",$L$37-1),IF($R$17="Distrato",$E442,0))),0,YEARFRAC(MAX($P$34*($B442+IF($R$17="Distrato",$I$38-1,0)),IF(AND($L$37=0,$P$34=0),"",$L$37-1),IF($R$17="Distrato",$E442,0)),MIN(AX$38,$D$19),$P$20))-SUM($P442:AW442)</f>
        <v>#VALUE!</v>
      </c>
      <c r="AY442" s="446" t="e">
        <f>IF(OR($B442="",MIN(AY$38,$D$19)&lt;MAX($P$34*($B442+IF($R$17="Distrato",$I$38-1,0)),IF(AND($L$37=0,$P$34=0),"",$L$37-1),IF($R$17="Distrato",$E442,0))),0,YEARFRAC(MAX($P$34*($B442+IF($R$17="Distrato",$I$38-1,0)),IF(AND($L$37=0,$P$34=0),"",$L$37-1),IF($R$17="Distrato",$E442,0)),MIN(AY$38,$D$19),$P$20))-SUM($P442:AX442)</f>
        <v>#VALUE!</v>
      </c>
      <c r="AZ442" s="446" t="e">
        <f>IF(OR($B442="",MIN(AZ$38,$D$19)&lt;MAX($P$34*($B442+IF($R$17="Distrato",$I$38-1,0)),IF(AND($L$37=0,$P$34=0),"",$L$37-1),IF($R$17="Distrato",$E442,0))),0,YEARFRAC(MAX($P$34*($B442+IF($R$17="Distrato",$I$38-1,0)),IF(AND($L$37=0,$P$34=0),"",$L$37-1),IF($R$17="Distrato",$E442,0)),MIN(AZ$38,$D$19),$P$20))-SUM($P442:AY442)</f>
        <v>#VALUE!</v>
      </c>
      <c r="BA442" s="446" t="e">
        <f>IF(OR($B442="",MIN(BA$38,$D$19)&lt;MAX($P$34*($B442+IF($R$17="Distrato",$I$38-1,0)),IF(AND($L$37=0,$P$34=0),"",$L$37-1),IF($R$17="Distrato",$E442,0))),0,YEARFRAC(MAX($P$34*($B442+IF($R$17="Distrato",$I$38-1,0)),IF(AND($L$37=0,$P$34=0),"",$L$37-1),IF($R$17="Distrato",$E442,0)),MIN(BA$38,$D$19),$P$20))-SUM($P442:AZ442)</f>
        <v>#VALUE!</v>
      </c>
      <c r="BB442" s="447"/>
      <c r="BF442" s="446">
        <f t="shared" si="76"/>
        <v>0</v>
      </c>
      <c r="BG442" s="446">
        <f>IF($E442=0,0,IF(MIN(BG$38,$E442)&lt;MAX($P$34*($B442+$I$38-1),IF(AND($L$37=0,$P$34=0),"",$L$37-1)),0,YEARFRAC(MAX($P$34*($B442+$I$38-1),IF(AND($L$37=0,$P$34=0),"",$L$37-1)),MIN(BG$38,$E442),$P$20))-SUM($BF442:BF442))</f>
        <v>0</v>
      </c>
      <c r="BH442" s="446">
        <f>IF($E442=0,0,IF(MIN(BH$38,$E442)&lt;MAX($P$34*($B442+$I$38-1),IF(AND($L$37=0,$P$34=0),"",$L$37-1)),0,YEARFRAC(MAX($P$34*($B442+$I$38-1),IF(AND($L$37=0,$P$34=0),"",$L$37-1)),MIN(BH$38,$E442),$P$20))-SUM($BF442:BG442))</f>
        <v>0</v>
      </c>
      <c r="BI442" s="446">
        <f>IF($E442=0,0,IF(MIN(BI$38,$E442)&lt;MAX($P$34*($B442+$I$38-1),IF(AND($L$37=0,$P$34=0),"",$L$37-1)),0,YEARFRAC(MAX($P$34*($B442+$I$38-1),IF(AND($L$37=0,$P$34=0),"",$L$37-1)),MIN(BI$38,$E442),$P$20))-SUM($BF442:BH442))</f>
        <v>0</v>
      </c>
      <c r="BJ442" s="446">
        <f>IF($E442=0,0,IF(MIN(BJ$38,$E442)&lt;MAX($P$34*($B442+$I$38-1),IF(AND($L$37=0,$P$34=0),"",$L$37-1)),0,YEARFRAC(MAX($P$34*($B442+$I$38-1),IF(AND($L$37=0,$P$34=0),"",$L$37-1)),MIN(BJ$38,$E442),$P$20))-SUM($BF442:BI442))</f>
        <v>0</v>
      </c>
      <c r="BK442" s="446">
        <f>IF($E442=0,0,IF(MIN(BK$38,$E442)&lt;MAX($P$34*($B442+$I$38-1),IF(AND($L$37=0,$P$34=0),"",$L$37-1)),0,YEARFRAC(MAX($P$34*($B442+$I$38-1),IF(AND($L$37=0,$P$34=0),"",$L$37-1)),MIN(BK$38,$E442),$P$20))-SUM($BF442:BJ442))</f>
        <v>0</v>
      </c>
      <c r="BL442" s="446">
        <f>IF($E442=0,0,IF(MIN(BL$38,$E442)&lt;MAX($P$34*($B442+$I$38-1),IF(AND($L$37=0,$P$34=0),"",$L$37-1)),0,YEARFRAC(MAX($P$34*($B442+$I$38-1),IF(AND($L$37=0,$P$34=0),"",$L$37-1)),MIN(BL$38,$E442),$P$20))-SUM($BF442:BK442))</f>
        <v>0</v>
      </c>
      <c r="BM442" s="446">
        <f>IF($E442=0,0,IF(MIN(BM$38,$E442)&lt;MAX($P$34*($B442+$I$38-1),IF(AND($L$37=0,$P$34=0),"",$L$37-1)),0,YEARFRAC(MAX($P$34*($B442+$I$38-1),IF(AND($L$37=0,$P$34=0),"",$L$37-1)),MIN(BM$38,$E442),$P$20))-SUM($BF442:BL442))</f>
        <v>0</v>
      </c>
      <c r="BN442" s="446">
        <f>IF($E442=0,0,IF(MIN(BN$38,$E442)&lt;MAX($P$34*($B442+$I$38-1),IF(AND($L$37=0,$P$34=0),"",$L$37-1)),0,YEARFRAC(MAX($P$34*($B442+$I$38-1),IF(AND($L$37=0,$P$34=0),"",$L$37-1)),MIN(BN$38,$E442),$P$20))-SUM($BF442:BM442))</f>
        <v>0</v>
      </c>
      <c r="BO442" s="446">
        <f>IF($E442=0,0,IF(MIN(BO$38,$E442)&lt;MAX($P$34*($B442+$I$38-1),IF(AND($L$37=0,$P$34=0),"",$L$37-1)),0,YEARFRAC(MAX($P$34*($B442+$I$38-1),IF(AND($L$37=0,$P$34=0),"",$L$37-1)),MIN(BO$38,$E442),$P$20))-SUM($BF442:BN442))</f>
        <v>0</v>
      </c>
      <c r="BP442" s="446">
        <f>IF($E442=0,0,IF(MIN(BP$38,$E442)&lt;MAX($P$34*($B442+$I$38-1),IF(AND($L$37=0,$P$34=0),"",$L$37-1)),0,YEARFRAC(MAX($P$34*($B442+$I$38-1),IF(AND($L$37=0,$P$34=0),"",$L$37-1)),MIN(BP$38,$E442),$P$20))-SUM($BF442:BO442))</f>
        <v>0</v>
      </c>
      <c r="BQ442" s="446">
        <f>IF($E442=0,0,IF(MIN(BQ$38,$E442)&lt;MAX($P$34*($B442+$I$38-1),IF(AND($L$37=0,$P$34=0),"",$L$37-1)),0,YEARFRAC(MAX($P$34*($B442+$I$38-1),IF(AND($L$37=0,$P$34=0),"",$L$37-1)),MIN(BQ$38,$E442),$P$20))-SUM($BF442:BP442))</f>
        <v>0</v>
      </c>
      <c r="BR442" s="446">
        <f>IF($E442=0,0,IF(MIN(BR$38,$E442)&lt;MAX($P$34*($B442+$I$38-1),IF(AND($L$37=0,$P$34=0),"",$L$37-1)),0,YEARFRAC(MAX($P$34*($B442+$I$38-1),IF(AND($L$37=0,$P$34=0),"",$L$37-1)),MIN(BR$38,$E442),$P$20))-SUM($BF442:BQ442))</f>
        <v>0</v>
      </c>
      <c r="BS442" s="446">
        <f>IF($E442=0,0,IF(MIN(BS$38,$E442)&lt;MAX($P$34*($B442+$I$38-1),IF(AND($L$37=0,$P$34=0),"",$L$37-1)),0,YEARFRAC(MAX($P$34*($B442+$I$38-1),IF(AND($L$37=0,$P$34=0),"",$L$37-1)),MIN(BS$38,$E442),$P$20))-SUM($BF442:BR442))</f>
        <v>0</v>
      </c>
      <c r="BT442" s="446">
        <f>IF($E442=0,0,IF(MIN(BT$38,$E442)&lt;MAX($P$34*($B442+$I$38-1),IF(AND($L$37=0,$P$34=0),"",$L$37-1)),0,YEARFRAC(MAX($P$34*($B442+$I$38-1),IF(AND($L$37=0,$P$34=0),"",$L$37-1)),MIN(BT$38,$E442),$P$20))-SUM($BF442:BS442))</f>
        <v>0</v>
      </c>
      <c r="BU442" s="446">
        <f>IF($E442=0,0,IF(MIN(BU$38,$E442)&lt;MAX($P$34*($B442+$I$38-1),IF(AND($L$37=0,$P$34=0),"",$L$37-1)),0,YEARFRAC(MAX($P$34*($B442+$I$38-1),IF(AND($L$37=0,$P$34=0),"",$L$37-1)),MIN(BU$38,$E442),$P$20))-SUM($BF442:BT442))</f>
        <v>0</v>
      </c>
      <c r="BV442" s="446">
        <f>IF($E442=0,0,IF(MIN(BV$38,$E442)&lt;MAX($P$34*($B442+$I$38-1),IF(AND($L$37=0,$P$34=0),"",$L$37-1)),0,YEARFRAC(MAX($P$34*($B442+$I$38-1),IF(AND($L$37=0,$P$34=0),"",$L$37-1)),MIN(BV$38,$E442),$P$20))-SUM($BF442:BU442))</f>
        <v>0</v>
      </c>
      <c r="BW442" s="446">
        <f>IF($E442=0,0,IF(MIN(BW$38,$E442)&lt;MAX($P$34*($B442+$I$38-1),IF(AND($L$37=0,$P$34=0),"",$L$37-1)),0,YEARFRAC(MAX($P$34*($B442+$I$38-1),IF(AND($L$37=0,$P$34=0),"",$L$37-1)),MIN(BW$38,$E442),$P$20))-SUM($BF442:BV442))</f>
        <v>0</v>
      </c>
      <c r="BX442" s="446">
        <f>IF($E442=0,0,IF(MIN(BX$38,$E442)&lt;MAX($P$34*($B442+$I$38-1),IF(AND($L$37=0,$P$34=0),"",$L$37-1)),0,YEARFRAC(MAX($P$34*($B442+$I$38-1),IF(AND($L$37=0,$P$34=0),"",$L$37-1)),MIN(BX$38,$E442),$P$20))-SUM($BF442:BW442))</f>
        <v>0</v>
      </c>
      <c r="BY442" s="446">
        <f>IF($E442=0,0,IF(MIN(BY$38,$E442)&lt;MAX($P$34*($B442+$I$38-1),IF(AND($L$37=0,$P$34=0),"",$L$37-1)),0,YEARFRAC(MAX($P$34*($B442+$I$38-1),IF(AND($L$37=0,$P$34=0),"",$L$37-1)),MIN(BY$38,$E442),$P$20))-SUM($BF442:BX442))</f>
        <v>0</v>
      </c>
      <c r="BZ442" s="446">
        <f>IF($E442=0,0,IF(MIN(BZ$38,$E442)&lt;MAX($P$34*($B442+$I$38-1),IF(AND($L$37=0,$P$34=0),"",$L$37-1)),0,YEARFRAC(MAX($P$34*($B442+$I$38-1),IF(AND($L$37=0,$P$34=0),"",$L$37-1)),MIN(BZ$38,$E442),$P$20))-SUM($BF442:BY442))</f>
        <v>0</v>
      </c>
      <c r="CA442" s="446">
        <f>IF($E442=0,0,IF(MIN(CA$38,$E442)&lt;MAX($P$34*($B442+$I$38-1),IF(AND($L$37=0,$P$34=0),"",$L$37-1)),0,YEARFRAC(MAX($P$34*($B442+$I$38-1),IF(AND($L$37=0,$P$34=0),"",$L$37-1)),MIN(CA$38,$E442),$P$20))-SUM($BF442:BZ442))</f>
        <v>0</v>
      </c>
      <c r="CB442" s="446">
        <f>IF($E442=0,0,IF(MIN(CB$38,$E442)&lt;MAX($P$34*($B442+$I$38-1),IF(AND($L$37=0,$P$34=0),"",$L$37-1)),0,YEARFRAC(MAX($P$34*($B442+$I$38-1),IF(AND($L$37=0,$P$34=0),"",$L$37-1)),MIN(CB$38,$E442),$P$20))-SUM($BF442:CA442))</f>
        <v>0</v>
      </c>
      <c r="CC442" s="446">
        <f>IF($E442=0,0,IF(MIN(CC$38,$E442)&lt;MAX($P$34*($B442+$I$38-1),IF(AND($L$37=0,$P$34=0),"",$L$37-1)),0,YEARFRAC(MAX($P$34*($B442+$I$38-1),IF(AND($L$37=0,$P$34=0),"",$L$37-1)),MIN(CC$38,$E442),$P$20))-SUM($BF442:CB442))</f>
        <v>0</v>
      </c>
      <c r="CD442" s="446">
        <f>IF($E442=0,0,IF(MIN(CD$38,$E442)&lt;MAX($P$34*($B442+$I$38-1),IF(AND($L$37=0,$P$34=0),"",$L$37-1)),0,YEARFRAC(MAX($P$34*($B442+$I$38-1),IF(AND($L$37=0,$P$34=0),"",$L$37-1)),MIN(CD$38,$E442),$P$20))-SUM($BF442:CC442))</f>
        <v>0</v>
      </c>
      <c r="CE442" s="446">
        <f>IF($E442=0,0,IF(MIN(CE$38,$E442)&lt;MAX($P$34*($B442+$I$38-1),IF(AND($L$37=0,$P$34=0),"",$L$37-1)),0,YEARFRAC(MAX($P$34*($B442+$I$38-1),IF(AND($L$37=0,$P$34=0),"",$L$37-1)),MIN(CE$38,$E442),$P$20))-SUM($BF442:CD442))</f>
        <v>0</v>
      </c>
      <c r="CF442" s="446">
        <f>IF($E442=0,0,IF(MIN(CF$38,$E442)&lt;MAX($P$34*($B442+$I$38-1),IF(AND($L$37=0,$P$34=0),"",$L$37-1)),0,YEARFRAC(MAX($P$34*($B442+$I$38-1),IF(AND($L$37=0,$P$34=0),"",$L$37-1)),MIN(CF$38,$E442),$P$20))-SUM($BF442:CE442))</f>
        <v>0</v>
      </c>
      <c r="CG442" s="446">
        <f>IF($E442=0,0,IF(MIN(CG$38,$E442)&lt;MAX($P$34*($B442+$I$38-1),IF(AND($L$37=0,$P$34=0),"",$L$37-1)),0,YEARFRAC(MAX($P$34*($B442+$I$38-1),IF(AND($L$37=0,$P$34=0),"",$L$37-1)),MIN(CG$38,$E442),$P$20))-SUM($BF442:CF442))</f>
        <v>0</v>
      </c>
      <c r="CH442" s="446">
        <f>IF($E442=0,0,IF(MIN(CH$38,$E442)&lt;MAX($P$34*($B442+$I$38-1),IF(AND($L$37=0,$P$34=0),"",$L$37-1)),0,YEARFRAC(MAX($P$34*($B442+$I$38-1),IF(AND($L$37=0,$P$34=0),"",$L$37-1)),MIN(CH$38,$E442),$P$20))-SUM($BF442:CG442))</f>
        <v>0</v>
      </c>
      <c r="CI442" s="446">
        <f>IF($E442=0,0,IF(MIN(CI$38,$E442)&lt;MAX($P$34*($B442+$I$38-1),IF(AND($L$37=0,$P$34=0),"",$L$37-1)),0,YEARFRAC(MAX($P$34*($B442+$I$38-1),IF(AND($L$37=0,$P$34=0),"",$L$37-1)),MIN(CI$38,$E442),$P$20))-SUM($BF442:CH442))</f>
        <v>0</v>
      </c>
      <c r="CJ442" s="446">
        <f>IF($E442=0,0,IF(MIN(CJ$38,$E442)&lt;MAX($P$34*($B442+$I$38-1),IF(AND($L$37=0,$P$34=0),"",$L$37-1)),0,YEARFRAC(MAX($P$34*($B442+$I$38-1),IF(AND($L$37=0,$P$34=0),"",$L$37-1)),MIN(CJ$38,$E442),$P$20))-SUM($BF442:CI442))</f>
        <v>0</v>
      </c>
      <c r="CK442" s="446">
        <f>IF($E442=0,0,IF(MIN(CK$38,$E442)&lt;MAX($P$34*($B442+$I$38-1),IF(AND($L$37=0,$P$34=0),"",$L$37-1)),0,YEARFRAC(MAX($P$34*($B442+$I$38-1),IF(AND($L$37=0,$P$34=0),"",$L$37-1)),MIN(CK$38,$E442),$P$20))-SUM($BF442:CJ442))</f>
        <v>0</v>
      </c>
      <c r="CL442" s="446">
        <f>IF($E442=0,0,IF(MIN(CL$38,$E442)&lt;MAX($P$34*($B442+$I$38-1),IF(AND($L$37=0,$P$34=0),"",$L$37-1)),0,YEARFRAC(MAX($P$34*($B442+$I$38-1),IF(AND($L$37=0,$P$34=0),"",$L$37-1)),MIN(CL$38,$E442),$P$20))-SUM($BF442:CK442))</f>
        <v>0</v>
      </c>
      <c r="CM442" s="446">
        <f>IF($E442=0,0,IF(MIN(CM$38,$E442)&lt;MAX($P$34*($B442+$I$38-1),IF(AND($L$37=0,$P$34=0),"",$L$37-1)),0,YEARFRAC(MAX($P$34*($B442+$I$38-1),IF(AND($L$37=0,$P$34=0),"",$L$37-1)),MIN(CM$38,$E442),$P$20))-SUM($BF442:CL442))</f>
        <v>0</v>
      </c>
      <c r="CN442" s="446">
        <f>IF($E442=0,0,IF(MIN(CN$38,$E442)&lt;MAX($P$34*($B442+$I$38-1),IF(AND($L$37=0,$P$34=0),"",$L$37-1)),0,YEARFRAC(MAX($P$34*($B442+$I$38-1),IF(AND($L$37=0,$P$34=0),"",$L$37-1)),MIN(CN$38,$E442),$P$20))-SUM($BF442:CM442))</f>
        <v>0</v>
      </c>
      <c r="CO442" s="446">
        <f>IF($E442=0,0,IF(MIN(CO$38,$E442)&lt;MAX($P$34*($B442+$I$38-1),IF(AND($L$37=0,$P$34=0),"",$L$37-1)),0,YEARFRAC(MAX($P$34*($B442+$I$38-1),IF(AND($L$37=0,$P$34=0),"",$L$37-1)),MIN(CO$38,$E442),$P$20))-SUM($BF442:CN442))</f>
        <v>0</v>
      </c>
      <c r="CP442" s="446">
        <f>IF($E442=0,0,IF(MIN(CP$38,$E442)&lt;MAX($P$34*($B442+$I$38-1),IF(AND($L$37=0,$P$34=0),"",$L$37-1)),0,YEARFRAC(MAX($P$34*($B442+$I$38-1),IF(AND($L$37=0,$P$34=0),"",$L$37-1)),MIN(CP$38,$E442),$P$20))-SUM($BF442:CO442))</f>
        <v>0</v>
      </c>
      <c r="CQ442" s="446">
        <f>IF($E442=0,0,IF(MIN(CQ$38,$E442)&lt;MAX($P$34*($B442+$I$38-1),IF(AND($L$37=0,$P$34=0),"",$L$37-1)),0,YEARFRAC(MAX($P$34*($B442+$I$38-1),IF(AND($L$37=0,$P$34=0),"",$L$37-1)),MIN(CQ$38,$E442),$P$20))-SUM($BF442:CP442))</f>
        <v>0</v>
      </c>
    </row>
    <row r="443" spans="1:95" s="446" customFormat="1" ht="11.25" hidden="1" customHeight="1" x14ac:dyDescent="0.2">
      <c r="A443" s="152"/>
      <c r="B443" s="153" t="str">
        <f t="shared" si="81"/>
        <v/>
      </c>
      <c r="C443" s="29" t="str">
        <f>IF(B443="","",IF($L$35="SELIC - TRIBUTOS",VLOOKUP(DATE(YEAR($D$19),MONTH($D$19)-1,1),ÍNDICES!$A:$DE,HLOOKUP($BL$25,ÍNDICES!$B$3:$T$4,2)+11)-VLOOKUP(B443,ÍNDICES!$A:$DE,HLOOKUP($BL$25,ÍNDICES!$B$3:$T$4,2)+11)+1%,IF(C$38=$W$26,$J$35,IF(ISERROR(IF(B443&gt;$D$19,1,VLOOKUP(DATE(YEAR(B443),MONTH(B443)+IF($C$35=$S$23,1,0),1),ÍNDICES!$A:$DE,$Z$35+1))),"",IF(B443&gt;$D$19,1,VLOOKUP(DATE(YEAR(B443),MONTH(B443)+IF($C$35=$S$23,1,0),1),ÍNDICES!$A:$DE,$Z$35+1))))))</f>
        <v/>
      </c>
      <c r="D443" s="154" t="str">
        <f>IF(ISERROR(IF(OR($D$38=$Y$27,$B443=""),"",VLOOKUP(B443,ÍNDICES!A:DE,AF$35+1))),"",IF(OR($D$38=$Y$27,$B443=""),"",VLOOKUP(B443,ÍNDICES!A:DE,AF$35+1)))</f>
        <v/>
      </c>
      <c r="E443" s="153"/>
      <c r="F443" s="29" t="str">
        <f>IF(E443="","",IF($L$35="SELIC - TRIBUTOS",VLOOKUP(DATE(YEAR($D$19),MONTH($D$19)-1,1),ÍNDICES!$A:$DE,HLOOKUP($BL$25,ÍNDICES!$B$3:$T$4,2)+11)-VLOOKUP(E443,ÍNDICES!$A:$DE,HLOOKUP($BL$25,ÍNDICES!$B$3:$T$4,2)+11)+1%,IF(F$38=$W$26,$J$35,IF(ISERROR(IF(E443&gt;$D$19,1,VLOOKUP(DATE(YEAR(E443),MONTH(E443)+IF($C$35=$S$23,1,0),1),ÍNDICES!$A:$DE,$Z$35+1))),"",IF(E443&gt;$D$19,1,VLOOKUP(DATE(YEAR(E443),MONTH(E443)+IF($C$35=$S$23,1,0),1),ÍNDICES!$A:$DE,$Z$35+1))))))</f>
        <v/>
      </c>
      <c r="G443" s="155"/>
      <c r="H443" s="156" t="str">
        <f t="shared" si="77"/>
        <v/>
      </c>
      <c r="I443" s="29" t="str">
        <f t="shared" si="71"/>
        <v/>
      </c>
      <c r="J443" s="5">
        <f t="shared" si="72"/>
        <v>0</v>
      </c>
      <c r="K443" s="20">
        <f t="shared" ca="1" si="73"/>
        <v>0</v>
      </c>
      <c r="L443" s="5">
        <f t="shared" ca="1" si="74"/>
        <v>0</v>
      </c>
      <c r="M443" s="64">
        <f t="shared" si="78"/>
        <v>0</v>
      </c>
      <c r="N443" s="61">
        <f t="shared" ca="1" si="79"/>
        <v>0</v>
      </c>
      <c r="O443" s="5">
        <f t="shared" ca="1" si="80"/>
        <v>0</v>
      </c>
      <c r="P443" s="446" t="e">
        <f t="shared" si="75"/>
        <v>#VALUE!</v>
      </c>
      <c r="Q443" s="446" t="e">
        <f>IF(OR($B443="",MIN(Q$38,$D$19)&lt;MAX($P$34*($B443+IF($R$17="Distrato",$I$38-1,0)),IF(AND($L$37=0,$P$34=0),"",$L$37-1),IF($R$17="Distrato",$E443,0))),0,YEARFRAC(MAX($P$34*($B443+IF($R$17="Distrato",$I$38-1,0)),IF(AND($L$37=0,$P$34=0),"",$L$37-1),IF($R$17="Distrato",$E443,0)),MIN(Q$38,$D$19),$P$20))-SUM($P443:P443)</f>
        <v>#VALUE!</v>
      </c>
      <c r="R443" s="446" t="e">
        <f>IF(OR($B443="",MIN(R$38,$D$19)&lt;MAX($P$34*($B443+IF($R$17="Distrato",$I$38-1,0)),IF(AND($L$37=0,$P$34=0),"",$L$37-1),IF($R$17="Distrato",$E443,0))),0,YEARFRAC(MAX($P$34*($B443+IF($R$17="Distrato",$I$38-1,0)),IF(AND($L$37=0,$P$34=0),"",$L$37-1),IF($R$17="Distrato",$E443,0)),MIN(R$38,$D$19),$P$20))-SUM($P443:Q443)</f>
        <v>#VALUE!</v>
      </c>
      <c r="S443" s="446" t="e">
        <f>IF(OR($B443="",MIN(S$38,$D$19)&lt;MAX($P$34*($B443+IF($R$17="Distrato",$I$38-1,0)),IF(AND($L$37=0,$P$34=0),"",$L$37-1),IF($R$17="Distrato",$E443,0))),0,YEARFRAC(MAX($P$34*($B443+IF($R$17="Distrato",$I$38-1,0)),IF(AND($L$37=0,$P$34=0),"",$L$37-1),IF($R$17="Distrato",$E443,0)),MIN(S$38,$D$19),$P$20))-SUM($P443:R443)</f>
        <v>#VALUE!</v>
      </c>
      <c r="T443" s="446" t="e">
        <f>IF(OR($B443="",MIN(T$38,$D$19)&lt;MAX($P$34*($B443+IF($R$17="Distrato",$I$38-1,0)),IF(AND($L$37=0,$P$34=0),"",$L$37-1),IF($R$17="Distrato",$E443,0))),0,YEARFRAC(MAX($P$34*($B443+IF($R$17="Distrato",$I$38-1,0)),IF(AND($L$37=0,$P$34=0),"",$L$37-1),IF($R$17="Distrato",$E443,0)),MIN(T$38,$D$19),$P$20))-SUM($P443:S443)</f>
        <v>#VALUE!</v>
      </c>
      <c r="U443" s="446" t="e">
        <f>IF(OR($B443="",MIN(U$38,$D$19)&lt;MAX($P$34*($B443+IF($R$17="Distrato",$I$38-1,0)),IF(AND($L$37=0,$P$34=0),"",$L$37-1),IF($R$17="Distrato",$E443,0))),0,YEARFRAC(MAX($P$34*($B443+IF($R$17="Distrato",$I$38-1,0)),IF(AND($L$37=0,$P$34=0),"",$L$37-1),IF($R$17="Distrato",$E443,0)),MIN(U$38,$D$19),$P$20))-SUM($P443:T443)</f>
        <v>#VALUE!</v>
      </c>
      <c r="V443" s="446" t="e">
        <f>IF(OR($B443="",MIN(V$38,$D$19)&lt;MAX($P$34*($B443+IF($R$17="Distrato",$I$38-1,0)),IF(AND($L$37=0,$P$34=0),"",$L$37-1),IF($R$17="Distrato",$E443,0))),0,YEARFRAC(MAX($P$34*($B443+IF($R$17="Distrato",$I$38-1,0)),IF(AND($L$37=0,$P$34=0),"",$L$37-1),IF($R$17="Distrato",$E443,0)),MIN(V$38,$D$19),$P$20))-SUM($P443:U443)</f>
        <v>#VALUE!</v>
      </c>
      <c r="W443" s="446" t="e">
        <f>IF(OR($B443="",MIN(W$38,$D$19)&lt;MAX($P$34*($B443+IF($R$17="Distrato",$I$38-1,0)),IF(AND($L$37=0,$P$34=0),"",$L$37-1),IF($R$17="Distrato",$E443,0))),0,YEARFRAC(MAX($P$34*($B443+IF($R$17="Distrato",$I$38-1,0)),IF(AND($L$37=0,$P$34=0),"",$L$37-1),IF($R$17="Distrato",$E443,0)),MIN(W$38,$D$19),$P$20))-SUM($P443:V443)</f>
        <v>#VALUE!</v>
      </c>
      <c r="X443" s="446" t="e">
        <f>IF(OR($B443="",MIN(X$38,$D$19)&lt;MAX($P$34*($B443+IF($R$17="Distrato",$I$38-1,0)),IF(AND($L$37=0,$P$34=0),"",$L$37-1),IF($R$17="Distrato",$E443,0))),0,YEARFRAC(MAX($P$34*($B443+IF($R$17="Distrato",$I$38-1,0)),IF(AND($L$37=0,$P$34=0),"",$L$37-1),IF($R$17="Distrato",$E443,0)),MIN(X$38,$D$19),$P$20))-SUM($P443:W443)</f>
        <v>#VALUE!</v>
      </c>
      <c r="Y443" s="446" t="e">
        <f>IF(OR($B443="",MIN(Y$38,$D$19)&lt;MAX($P$34*($B443+IF($R$17="Distrato",$I$38-1,0)),IF(AND($L$37=0,$P$34=0),"",$L$37-1),IF($R$17="Distrato",$E443,0))),0,YEARFRAC(MAX($P$34*($B443+IF($R$17="Distrato",$I$38-1,0)),IF(AND($L$37=0,$P$34=0),"",$L$37-1),IF($R$17="Distrato",$E443,0)),MIN(Y$38,$D$19),$P$20))-SUM($P443:X443)</f>
        <v>#VALUE!</v>
      </c>
      <c r="Z443" s="446" t="e">
        <f>IF(OR($B443="",MIN(Z$38,$D$19)&lt;MAX($P$34*($B443+IF($R$17="Distrato",$I$38-1,0)),IF(AND($L$37=0,$P$34=0),"",$L$37-1),IF($R$17="Distrato",$E443,0))),0,YEARFRAC(MAX($P$34*($B443+IF($R$17="Distrato",$I$38-1,0)),IF(AND($L$37=0,$P$34=0),"",$L$37-1),IF($R$17="Distrato",$E443,0)),MIN(Z$38,$D$19),$P$20))-SUM($P443:Y443)</f>
        <v>#VALUE!</v>
      </c>
      <c r="AA443" s="446" t="e">
        <f>IF(OR($B443="",MIN(AA$38,$D$19)&lt;MAX($P$34*($B443+IF($R$17="Distrato",$I$38-1,0)),IF(AND($L$37=0,$P$34=0),"",$L$37-1),IF($R$17="Distrato",$E443,0))),0,YEARFRAC(MAX($P$34*($B443+IF($R$17="Distrato",$I$38-1,0)),IF(AND($L$37=0,$P$34=0),"",$L$37-1),IF($R$17="Distrato",$E443,0)),MIN(AA$38,$D$19),$P$20))-SUM($P443:Z443)</f>
        <v>#VALUE!</v>
      </c>
      <c r="AB443" s="446" t="e">
        <f>IF(OR($B443="",MIN(AB$38,$D$19)&lt;MAX($P$34*($B443+IF($R$17="Distrato",$I$38-1,0)),IF(AND($L$37=0,$P$34=0),"",$L$37-1),IF($R$17="Distrato",$E443,0))),0,YEARFRAC(MAX($P$34*($B443+IF($R$17="Distrato",$I$38-1,0)),IF(AND($L$37=0,$P$34=0),"",$L$37-1),IF($R$17="Distrato",$E443,0)),MIN(AB$38,$D$19),$P$20))-SUM($P443:AA443)</f>
        <v>#VALUE!</v>
      </c>
      <c r="AC443" s="446" t="e">
        <f>IF(OR($B443="",MIN(AC$38,$D$19)&lt;MAX($P$34*($B443+IF($R$17="Distrato",$I$38-1,0)),IF(AND($L$37=0,$P$34=0),"",$L$37-1),IF($R$17="Distrato",$E443,0))),0,YEARFRAC(MAX($P$34*($B443+IF($R$17="Distrato",$I$38-1,0)),IF(AND($L$37=0,$P$34=0),"",$L$37-1),IF($R$17="Distrato",$E443,0)),MIN(AC$38,$D$19),$P$20))-SUM($P443:AB443)</f>
        <v>#VALUE!</v>
      </c>
      <c r="AD443" s="446" t="e">
        <f>IF(OR($B443="",MIN(AD$38,$D$19)&lt;MAX($P$34*($B443+IF($R$17="Distrato",$I$38-1,0)),IF(AND($L$37=0,$P$34=0),"",$L$37-1),IF($R$17="Distrato",$E443,0))),0,YEARFRAC(MAX($P$34*($B443+IF($R$17="Distrato",$I$38-1,0)),IF(AND($L$37=0,$P$34=0),"",$L$37-1),IF($R$17="Distrato",$E443,0)),MIN(AD$38,$D$19),$P$20))-SUM($P443:AC443)</f>
        <v>#VALUE!</v>
      </c>
      <c r="AE443" s="446" t="e">
        <f>IF(OR($B443="",MIN(AE$38,$D$19)&lt;MAX($P$34*($B443+IF($R$17="Distrato",$I$38-1,0)),IF(AND($L$37=0,$P$34=0),"",$L$37-1),IF($R$17="Distrato",$E443,0))),0,YEARFRAC(MAX($P$34*($B443+IF($R$17="Distrato",$I$38-1,0)),IF(AND($L$37=0,$P$34=0),"",$L$37-1),IF($R$17="Distrato",$E443,0)),MIN(AE$38,$D$19),$P$20))-SUM($P443:AD443)</f>
        <v>#VALUE!</v>
      </c>
      <c r="AF443" s="446" t="e">
        <f>IF(OR($B443="",MIN(AF$38,$D$19)&lt;MAX($P$34*($B443+IF($R$17="Distrato",$I$38-1,0)),IF(AND($L$37=0,$P$34=0),"",$L$37-1),IF($R$17="Distrato",$E443,0))),0,YEARFRAC(MAX($P$34*($B443+IF($R$17="Distrato",$I$38-1,0)),IF(AND($L$37=0,$P$34=0),"",$L$37-1),IF($R$17="Distrato",$E443,0)),MIN(AF$38,$D$19),$P$20))-SUM($P443:AE443)</f>
        <v>#VALUE!</v>
      </c>
      <c r="AG443" s="446" t="e">
        <f>IF(OR($B443="",MIN(AG$38,$D$19)&lt;MAX($P$34*($B443+IF($R$17="Distrato",$I$38-1,0)),IF(AND($L$37=0,$P$34=0),"",$L$37-1),IF($R$17="Distrato",$E443,0))),0,YEARFRAC(MAX($P$34*($B443+IF($R$17="Distrato",$I$38-1,0)),IF(AND($L$37=0,$P$34=0),"",$L$37-1),IF($R$17="Distrato",$E443,0)),MIN(AG$38,$D$19),$P$20))-SUM($P443:AF443)</f>
        <v>#VALUE!</v>
      </c>
      <c r="AH443" s="446" t="e">
        <f>IF(OR($B443="",MIN(AH$38,$D$19)&lt;MAX($P$34*($B443+IF($R$17="Distrato",$I$38-1,0)),IF(AND($L$37=0,$P$34=0),"",$L$37-1),IF($R$17="Distrato",$E443,0))),0,YEARFRAC(MAX($P$34*($B443+IF($R$17="Distrato",$I$38-1,0)),IF(AND($L$37=0,$P$34=0),"",$L$37-1),IF($R$17="Distrato",$E443,0)),MIN(AH$38,$D$19),$P$20))-SUM($P443:AG443)</f>
        <v>#VALUE!</v>
      </c>
      <c r="AI443" s="446" t="e">
        <f>IF(OR($B443="",MIN(AI$38,$D$19)&lt;MAX($P$34*($B443+IF($R$17="Distrato",$I$38-1,0)),IF(AND($L$37=0,$P$34=0),"",$L$37-1),IF($R$17="Distrato",$E443,0))),0,YEARFRAC(MAX($P$34*($B443+IF($R$17="Distrato",$I$38-1,0)),IF(AND($L$37=0,$P$34=0),"",$L$37-1),IF($R$17="Distrato",$E443,0)),MIN(AI$38,$D$19),$P$20))-SUM($P443:AH443)</f>
        <v>#VALUE!</v>
      </c>
      <c r="AJ443" s="446" t="e">
        <f>IF(OR($B443="",MIN(AJ$38,$D$19)&lt;MAX($P$34*($B443+IF($R$17="Distrato",$I$38-1,0)),IF(AND($L$37=0,$P$34=0),"",$L$37-1),IF($R$17="Distrato",$E443,0))),0,YEARFRAC(MAX($P$34*($B443+IF($R$17="Distrato",$I$38-1,0)),IF(AND($L$37=0,$P$34=0),"",$L$37-1),IF($R$17="Distrato",$E443,0)),MIN(AJ$38,$D$19),$P$20))-SUM($P443:AI443)</f>
        <v>#VALUE!</v>
      </c>
      <c r="AK443" s="446" t="e">
        <f>IF(OR($B443="",MIN(AK$38,$D$19)&lt;MAX($P$34*($B443+IF($R$17="Distrato",$I$38-1,0)),IF(AND($L$37=0,$P$34=0),"",$L$37-1),IF($R$17="Distrato",$E443,0))),0,YEARFRAC(MAX($P$34*($B443+IF($R$17="Distrato",$I$38-1,0)),IF(AND($L$37=0,$P$34=0),"",$L$37-1),IF($R$17="Distrato",$E443,0)),MIN(AK$38,$D$19),$P$20))-SUM($P443:AJ443)</f>
        <v>#VALUE!</v>
      </c>
      <c r="AL443" s="446" t="e">
        <f>IF(OR($B443="",MIN(AL$38,$D$19)&lt;MAX($P$34*($B443+IF($R$17="Distrato",$I$38-1,0)),IF(AND($L$37=0,$P$34=0),"",$L$37-1),IF($R$17="Distrato",$E443,0))),0,YEARFRAC(MAX($P$34*($B443+IF($R$17="Distrato",$I$38-1,0)),IF(AND($L$37=0,$P$34=0),"",$L$37-1),IF($R$17="Distrato",$E443,0)),MIN(AL$38,$D$19),$P$20))-SUM($P443:AK443)</f>
        <v>#VALUE!</v>
      </c>
      <c r="AM443" s="446" t="e">
        <f>IF(OR($B443="",MIN(AM$38,$D$19)&lt;MAX($P$34*($B443+IF($R$17="Distrato",$I$38-1,0)),IF(AND($L$37=0,$P$34=0),"",$L$37-1),IF($R$17="Distrato",$E443,0))),0,YEARFRAC(MAX($P$34*($B443+IF($R$17="Distrato",$I$38-1,0)),IF(AND($L$37=0,$P$34=0),"",$L$37-1),IF($R$17="Distrato",$E443,0)),MIN(AM$38,$D$19),$P$20))-SUM($P443:AL443)</f>
        <v>#VALUE!</v>
      </c>
      <c r="AN443" s="446" t="e">
        <f>IF(OR($B443="",MIN(AN$38,$D$19)&lt;MAX($P$34*($B443+IF($R$17="Distrato",$I$38-1,0)),IF(AND($L$37=0,$P$34=0),"",$L$37-1),IF($R$17="Distrato",$E443,0))),0,YEARFRAC(MAX($P$34*($B443+IF($R$17="Distrato",$I$38-1,0)),IF(AND($L$37=0,$P$34=0),"",$L$37-1),IF($R$17="Distrato",$E443,0)),MIN(AN$38,$D$19),$P$20))-SUM($P443:AM443)</f>
        <v>#VALUE!</v>
      </c>
      <c r="AO443" s="446" t="e">
        <f>IF(OR($B443="",MIN(AO$38,$D$19)&lt;MAX($P$34*($B443+IF($R$17="Distrato",$I$38-1,0)),IF(AND($L$37=0,$P$34=0),"",$L$37-1),IF($R$17="Distrato",$E443,0))),0,YEARFRAC(MAX($P$34*($B443+IF($R$17="Distrato",$I$38-1,0)),IF(AND($L$37=0,$P$34=0),"",$L$37-1),IF($R$17="Distrato",$E443,0)),MIN(AO$38,$D$19),$P$20))-SUM($P443:AN443)</f>
        <v>#VALUE!</v>
      </c>
      <c r="AP443" s="446" t="e">
        <f>IF(OR($B443="",MIN(AP$38,$D$19)&lt;MAX($P$34*($B443+IF($R$17="Distrato",$I$38-1,0)),IF(AND($L$37=0,$P$34=0),"",$L$37-1),IF($R$17="Distrato",$E443,0))),0,YEARFRAC(MAX($P$34*($B443+IF($R$17="Distrato",$I$38-1,0)),IF(AND($L$37=0,$P$34=0),"",$L$37-1),IF($R$17="Distrato",$E443,0)),MIN(AP$38,$D$19),$P$20))-SUM($P443:AO443)</f>
        <v>#VALUE!</v>
      </c>
      <c r="AQ443" s="446" t="e">
        <f>IF(OR($B443="",MIN(AQ$38,$D$19)&lt;MAX($P$34*($B443+IF($R$17="Distrato",$I$38-1,0)),IF(AND($L$37=0,$P$34=0),"",$L$37-1),IF($R$17="Distrato",$E443,0))),0,YEARFRAC(MAX($P$34*($B443+IF($R$17="Distrato",$I$38-1,0)),IF(AND($L$37=0,$P$34=0),"",$L$37-1),IF($R$17="Distrato",$E443,0)),MIN(AQ$38,$D$19),$P$20))-SUM($P443:AP443)</f>
        <v>#VALUE!</v>
      </c>
      <c r="AR443" s="446" t="e">
        <f>IF(OR($B443="",MIN(AR$38,$D$19)&lt;MAX($P$34*($B443+IF($R$17="Distrato",$I$38-1,0)),IF(AND($L$37=0,$P$34=0),"",$L$37-1),IF($R$17="Distrato",$E443,0))),0,YEARFRAC(MAX($P$34*($B443+IF($R$17="Distrato",$I$38-1,0)),IF(AND($L$37=0,$P$34=0),"",$L$37-1),IF($R$17="Distrato",$E443,0)),MIN(AR$38,$D$19),$P$20))-SUM($P443:AQ443)</f>
        <v>#VALUE!</v>
      </c>
      <c r="AS443" s="446" t="e">
        <f>IF(OR($B443="",MIN(AS$38,$D$19)&lt;MAX($P$34*($B443+IF($R$17="Distrato",$I$38-1,0)),IF(AND($L$37=0,$P$34=0),"",$L$37-1),IF($R$17="Distrato",$E443,0))),0,YEARFRAC(MAX($P$34*($B443+IF($R$17="Distrato",$I$38-1,0)),IF(AND($L$37=0,$P$34=0),"",$L$37-1),IF($R$17="Distrato",$E443,0)),MIN(AS$38,$D$19),$P$20))-SUM($P443:AR443)</f>
        <v>#VALUE!</v>
      </c>
      <c r="AT443" s="446" t="e">
        <f>IF(OR($B443="",MIN(AT$38,$D$19)&lt;MAX($P$34*($B443+IF($R$17="Distrato",$I$38-1,0)),IF(AND($L$37=0,$P$34=0),"",$L$37-1),IF($R$17="Distrato",$E443,0))),0,YEARFRAC(MAX($P$34*($B443+IF($R$17="Distrato",$I$38-1,0)),IF(AND($L$37=0,$P$34=0),"",$L$37-1),IF($R$17="Distrato",$E443,0)),MIN(AT$38,$D$19),$P$20))-SUM($P443:AS443)</f>
        <v>#VALUE!</v>
      </c>
      <c r="AU443" s="446" t="e">
        <f>IF(OR($B443="",MIN(AU$38,$D$19)&lt;MAX($P$34*($B443+IF($R$17="Distrato",$I$38-1,0)),IF(AND($L$37=0,$P$34=0),"",$L$37-1),IF($R$17="Distrato",$E443,0))),0,YEARFRAC(MAX($P$34*($B443+IF($R$17="Distrato",$I$38-1,0)),IF(AND($L$37=0,$P$34=0),"",$L$37-1),IF($R$17="Distrato",$E443,0)),MIN(AU$38,$D$19),$P$20))-SUM($P443:AT443)</f>
        <v>#VALUE!</v>
      </c>
      <c r="AV443" s="446" t="e">
        <f>IF(OR($B443="",MIN(AV$38,$D$19)&lt;MAX($P$34*($B443+IF($R$17="Distrato",$I$38-1,0)),IF(AND($L$37=0,$P$34=0),"",$L$37-1),IF($R$17="Distrato",$E443,0))),0,YEARFRAC(MAX($P$34*($B443+IF($R$17="Distrato",$I$38-1,0)),IF(AND($L$37=0,$P$34=0),"",$L$37-1),IF($R$17="Distrato",$E443,0)),MIN(AV$38,$D$19),$P$20))-SUM($P443:AU443)</f>
        <v>#VALUE!</v>
      </c>
      <c r="AW443" s="446" t="e">
        <f>IF(OR($B443="",MIN(AW$38,$D$19)&lt;MAX($P$34*($B443+IF($R$17="Distrato",$I$38-1,0)),IF(AND($L$37=0,$P$34=0),"",$L$37-1),IF($R$17="Distrato",$E443,0))),0,YEARFRAC(MAX($P$34*($B443+IF($R$17="Distrato",$I$38-1,0)),IF(AND($L$37=0,$P$34=0),"",$L$37-1),IF($R$17="Distrato",$E443,0)),MIN(AW$38,$D$19),$P$20))-SUM($P443:AV443)</f>
        <v>#VALUE!</v>
      </c>
      <c r="AX443" s="446" t="e">
        <f>IF(OR($B443="",MIN(AX$38,$D$19)&lt;MAX($P$34*($B443+IF($R$17="Distrato",$I$38-1,0)),IF(AND($L$37=0,$P$34=0),"",$L$37-1),IF($R$17="Distrato",$E443,0))),0,YEARFRAC(MAX($P$34*($B443+IF($R$17="Distrato",$I$38-1,0)),IF(AND($L$37=0,$P$34=0),"",$L$37-1),IF($R$17="Distrato",$E443,0)),MIN(AX$38,$D$19),$P$20))-SUM($P443:AW443)</f>
        <v>#VALUE!</v>
      </c>
      <c r="AY443" s="446" t="e">
        <f>IF(OR($B443="",MIN(AY$38,$D$19)&lt;MAX($P$34*($B443+IF($R$17="Distrato",$I$38-1,0)),IF(AND($L$37=0,$P$34=0),"",$L$37-1),IF($R$17="Distrato",$E443,0))),0,YEARFRAC(MAX($P$34*($B443+IF($R$17="Distrato",$I$38-1,0)),IF(AND($L$37=0,$P$34=0),"",$L$37-1),IF($R$17="Distrato",$E443,0)),MIN(AY$38,$D$19),$P$20))-SUM($P443:AX443)</f>
        <v>#VALUE!</v>
      </c>
      <c r="AZ443" s="446" t="e">
        <f>IF(OR($B443="",MIN(AZ$38,$D$19)&lt;MAX($P$34*($B443+IF($R$17="Distrato",$I$38-1,0)),IF(AND($L$37=0,$P$34=0),"",$L$37-1),IF($R$17="Distrato",$E443,0))),0,YEARFRAC(MAX($P$34*($B443+IF($R$17="Distrato",$I$38-1,0)),IF(AND($L$37=0,$P$34=0),"",$L$37-1),IF($R$17="Distrato",$E443,0)),MIN(AZ$38,$D$19),$P$20))-SUM($P443:AY443)</f>
        <v>#VALUE!</v>
      </c>
      <c r="BA443" s="446" t="e">
        <f>IF(OR($B443="",MIN(BA$38,$D$19)&lt;MAX($P$34*($B443+IF($R$17="Distrato",$I$38-1,0)),IF(AND($L$37=0,$P$34=0),"",$L$37-1),IF($R$17="Distrato",$E443,0))),0,YEARFRAC(MAX($P$34*($B443+IF($R$17="Distrato",$I$38-1,0)),IF(AND($L$37=0,$P$34=0),"",$L$37-1),IF($R$17="Distrato",$E443,0)),MIN(BA$38,$D$19),$P$20))-SUM($P443:AZ443)</f>
        <v>#VALUE!</v>
      </c>
      <c r="BB443" s="447"/>
      <c r="BF443" s="446">
        <f t="shared" si="76"/>
        <v>0</v>
      </c>
      <c r="BG443" s="446">
        <f>IF($E443=0,0,IF(MIN(BG$38,$E443)&lt;MAX($P$34*($B443+$I$38-1),IF(AND($L$37=0,$P$34=0),"",$L$37-1)),0,YEARFRAC(MAX($P$34*($B443+$I$38-1),IF(AND($L$37=0,$P$34=0),"",$L$37-1)),MIN(BG$38,$E443),$P$20))-SUM($BF443:BF443))</f>
        <v>0</v>
      </c>
      <c r="BH443" s="446">
        <f>IF($E443=0,0,IF(MIN(BH$38,$E443)&lt;MAX($P$34*($B443+$I$38-1),IF(AND($L$37=0,$P$34=0),"",$L$37-1)),0,YEARFRAC(MAX($P$34*($B443+$I$38-1),IF(AND($L$37=0,$P$34=0),"",$L$37-1)),MIN(BH$38,$E443),$P$20))-SUM($BF443:BG443))</f>
        <v>0</v>
      </c>
      <c r="BI443" s="446">
        <f>IF($E443=0,0,IF(MIN(BI$38,$E443)&lt;MAX($P$34*($B443+$I$38-1),IF(AND($L$37=0,$P$34=0),"",$L$37-1)),0,YEARFRAC(MAX($P$34*($B443+$I$38-1),IF(AND($L$37=0,$P$34=0),"",$L$37-1)),MIN(BI$38,$E443),$P$20))-SUM($BF443:BH443))</f>
        <v>0</v>
      </c>
      <c r="BJ443" s="446">
        <f>IF($E443=0,0,IF(MIN(BJ$38,$E443)&lt;MAX($P$34*($B443+$I$38-1),IF(AND($L$37=0,$P$34=0),"",$L$37-1)),0,YEARFRAC(MAX($P$34*($B443+$I$38-1),IF(AND($L$37=0,$P$34=0),"",$L$37-1)),MIN(BJ$38,$E443),$P$20))-SUM($BF443:BI443))</f>
        <v>0</v>
      </c>
      <c r="BK443" s="446">
        <f>IF($E443=0,0,IF(MIN(BK$38,$E443)&lt;MAX($P$34*($B443+$I$38-1),IF(AND($L$37=0,$P$34=0),"",$L$37-1)),0,YEARFRAC(MAX($P$34*($B443+$I$38-1),IF(AND($L$37=0,$P$34=0),"",$L$37-1)),MIN(BK$38,$E443),$P$20))-SUM($BF443:BJ443))</f>
        <v>0</v>
      </c>
      <c r="BL443" s="446">
        <f>IF($E443=0,0,IF(MIN(BL$38,$E443)&lt;MAX($P$34*($B443+$I$38-1),IF(AND($L$37=0,$P$34=0),"",$L$37-1)),0,YEARFRAC(MAX($P$34*($B443+$I$38-1),IF(AND($L$37=0,$P$34=0),"",$L$37-1)),MIN(BL$38,$E443),$P$20))-SUM($BF443:BK443))</f>
        <v>0</v>
      </c>
      <c r="BM443" s="446">
        <f>IF($E443=0,0,IF(MIN(BM$38,$E443)&lt;MAX($P$34*($B443+$I$38-1),IF(AND($L$37=0,$P$34=0),"",$L$37-1)),0,YEARFRAC(MAX($P$34*($B443+$I$38-1),IF(AND($L$37=0,$P$34=0),"",$L$37-1)),MIN(BM$38,$E443),$P$20))-SUM($BF443:BL443))</f>
        <v>0</v>
      </c>
      <c r="BN443" s="446">
        <f>IF($E443=0,0,IF(MIN(BN$38,$E443)&lt;MAX($P$34*($B443+$I$38-1),IF(AND($L$37=0,$P$34=0),"",$L$37-1)),0,YEARFRAC(MAX($P$34*($B443+$I$38-1),IF(AND($L$37=0,$P$34=0),"",$L$37-1)),MIN(BN$38,$E443),$P$20))-SUM($BF443:BM443))</f>
        <v>0</v>
      </c>
      <c r="BO443" s="446">
        <f>IF($E443=0,0,IF(MIN(BO$38,$E443)&lt;MAX($P$34*($B443+$I$38-1),IF(AND($L$37=0,$P$34=0),"",$L$37-1)),0,YEARFRAC(MAX($P$34*($B443+$I$38-1),IF(AND($L$37=0,$P$34=0),"",$L$37-1)),MIN(BO$38,$E443),$P$20))-SUM($BF443:BN443))</f>
        <v>0</v>
      </c>
      <c r="BP443" s="446">
        <f>IF($E443=0,0,IF(MIN(BP$38,$E443)&lt;MAX($P$34*($B443+$I$38-1),IF(AND($L$37=0,$P$34=0),"",$L$37-1)),0,YEARFRAC(MAX($P$34*($B443+$I$38-1),IF(AND($L$37=0,$P$34=0),"",$L$37-1)),MIN(BP$38,$E443),$P$20))-SUM($BF443:BO443))</f>
        <v>0</v>
      </c>
      <c r="BQ443" s="446">
        <f>IF($E443=0,0,IF(MIN(BQ$38,$E443)&lt;MAX($P$34*($B443+$I$38-1),IF(AND($L$37=0,$P$34=0),"",$L$37-1)),0,YEARFRAC(MAX($P$34*($B443+$I$38-1),IF(AND($L$37=0,$P$34=0),"",$L$37-1)),MIN(BQ$38,$E443),$P$20))-SUM($BF443:BP443))</f>
        <v>0</v>
      </c>
      <c r="BR443" s="446">
        <f>IF($E443=0,0,IF(MIN(BR$38,$E443)&lt;MAX($P$34*($B443+$I$38-1),IF(AND($L$37=0,$P$34=0),"",$L$37-1)),0,YEARFRAC(MAX($P$34*($B443+$I$38-1),IF(AND($L$37=0,$P$34=0),"",$L$37-1)),MIN(BR$38,$E443),$P$20))-SUM($BF443:BQ443))</f>
        <v>0</v>
      </c>
      <c r="BS443" s="446">
        <f>IF($E443=0,0,IF(MIN(BS$38,$E443)&lt;MAX($P$34*($B443+$I$38-1),IF(AND($L$37=0,$P$34=0),"",$L$37-1)),0,YEARFRAC(MAX($P$34*($B443+$I$38-1),IF(AND($L$37=0,$P$34=0),"",$L$37-1)),MIN(BS$38,$E443),$P$20))-SUM($BF443:BR443))</f>
        <v>0</v>
      </c>
      <c r="BT443" s="446">
        <f>IF($E443=0,0,IF(MIN(BT$38,$E443)&lt;MAX($P$34*($B443+$I$38-1),IF(AND($L$37=0,$P$34=0),"",$L$37-1)),0,YEARFRAC(MAX($P$34*($B443+$I$38-1),IF(AND($L$37=0,$P$34=0),"",$L$37-1)),MIN(BT$38,$E443),$P$20))-SUM($BF443:BS443))</f>
        <v>0</v>
      </c>
      <c r="BU443" s="446">
        <f>IF($E443=0,0,IF(MIN(BU$38,$E443)&lt;MAX($P$34*($B443+$I$38-1),IF(AND($L$37=0,$P$34=0),"",$L$37-1)),0,YEARFRAC(MAX($P$34*($B443+$I$38-1),IF(AND($L$37=0,$P$34=0),"",$L$37-1)),MIN(BU$38,$E443),$P$20))-SUM($BF443:BT443))</f>
        <v>0</v>
      </c>
      <c r="BV443" s="446">
        <f>IF($E443=0,0,IF(MIN(BV$38,$E443)&lt;MAX($P$34*($B443+$I$38-1),IF(AND($L$37=0,$P$34=0),"",$L$37-1)),0,YEARFRAC(MAX($P$34*($B443+$I$38-1),IF(AND($L$37=0,$P$34=0),"",$L$37-1)),MIN(BV$38,$E443),$P$20))-SUM($BF443:BU443))</f>
        <v>0</v>
      </c>
      <c r="BW443" s="446">
        <f>IF($E443=0,0,IF(MIN(BW$38,$E443)&lt;MAX($P$34*($B443+$I$38-1),IF(AND($L$37=0,$P$34=0),"",$L$37-1)),0,YEARFRAC(MAX($P$34*($B443+$I$38-1),IF(AND($L$37=0,$P$34=0),"",$L$37-1)),MIN(BW$38,$E443),$P$20))-SUM($BF443:BV443))</f>
        <v>0</v>
      </c>
      <c r="BX443" s="446">
        <f>IF($E443=0,0,IF(MIN(BX$38,$E443)&lt;MAX($P$34*($B443+$I$38-1),IF(AND($L$37=0,$P$34=0),"",$L$37-1)),0,YEARFRAC(MAX($P$34*($B443+$I$38-1),IF(AND($L$37=0,$P$34=0),"",$L$37-1)),MIN(BX$38,$E443),$P$20))-SUM($BF443:BW443))</f>
        <v>0</v>
      </c>
      <c r="BY443" s="446">
        <f>IF($E443=0,0,IF(MIN(BY$38,$E443)&lt;MAX($P$34*($B443+$I$38-1),IF(AND($L$37=0,$P$34=0),"",$L$37-1)),0,YEARFRAC(MAX($P$34*($B443+$I$38-1),IF(AND($L$37=0,$P$34=0),"",$L$37-1)),MIN(BY$38,$E443),$P$20))-SUM($BF443:BX443))</f>
        <v>0</v>
      </c>
      <c r="BZ443" s="446">
        <f>IF($E443=0,0,IF(MIN(BZ$38,$E443)&lt;MAX($P$34*($B443+$I$38-1),IF(AND($L$37=0,$P$34=0),"",$L$37-1)),0,YEARFRAC(MAX($P$34*($B443+$I$38-1),IF(AND($L$37=0,$P$34=0),"",$L$37-1)),MIN(BZ$38,$E443),$P$20))-SUM($BF443:BY443))</f>
        <v>0</v>
      </c>
      <c r="CA443" s="446">
        <f>IF($E443=0,0,IF(MIN(CA$38,$E443)&lt;MAX($P$34*($B443+$I$38-1),IF(AND($L$37=0,$P$34=0),"",$L$37-1)),0,YEARFRAC(MAX($P$34*($B443+$I$38-1),IF(AND($L$37=0,$P$34=0),"",$L$37-1)),MIN(CA$38,$E443),$P$20))-SUM($BF443:BZ443))</f>
        <v>0</v>
      </c>
      <c r="CB443" s="446">
        <f>IF($E443=0,0,IF(MIN(CB$38,$E443)&lt;MAX($P$34*($B443+$I$38-1),IF(AND($L$37=0,$P$34=0),"",$L$37-1)),0,YEARFRAC(MAX($P$34*($B443+$I$38-1),IF(AND($L$37=0,$P$34=0),"",$L$37-1)),MIN(CB$38,$E443),$P$20))-SUM($BF443:CA443))</f>
        <v>0</v>
      </c>
      <c r="CC443" s="446">
        <f>IF($E443=0,0,IF(MIN(CC$38,$E443)&lt;MAX($P$34*($B443+$I$38-1),IF(AND($L$37=0,$P$34=0),"",$L$37-1)),0,YEARFRAC(MAX($P$34*($B443+$I$38-1),IF(AND($L$37=0,$P$34=0),"",$L$37-1)),MIN(CC$38,$E443),$P$20))-SUM($BF443:CB443))</f>
        <v>0</v>
      </c>
      <c r="CD443" s="446">
        <f>IF($E443=0,0,IF(MIN(CD$38,$E443)&lt;MAX($P$34*($B443+$I$38-1),IF(AND($L$37=0,$P$34=0),"",$L$37-1)),0,YEARFRAC(MAX($P$34*($B443+$I$38-1),IF(AND($L$37=0,$P$34=0),"",$L$37-1)),MIN(CD$38,$E443),$P$20))-SUM($BF443:CC443))</f>
        <v>0</v>
      </c>
      <c r="CE443" s="446">
        <f>IF($E443=0,0,IF(MIN(CE$38,$E443)&lt;MAX($P$34*($B443+$I$38-1),IF(AND($L$37=0,$P$34=0),"",$L$37-1)),0,YEARFRAC(MAX($P$34*($B443+$I$38-1),IF(AND($L$37=0,$P$34=0),"",$L$37-1)),MIN(CE$38,$E443),$P$20))-SUM($BF443:CD443))</f>
        <v>0</v>
      </c>
      <c r="CF443" s="446">
        <f>IF($E443=0,0,IF(MIN(CF$38,$E443)&lt;MAX($P$34*($B443+$I$38-1),IF(AND($L$37=0,$P$34=0),"",$L$37-1)),0,YEARFRAC(MAX($P$34*($B443+$I$38-1),IF(AND($L$37=0,$P$34=0),"",$L$37-1)),MIN(CF$38,$E443),$P$20))-SUM($BF443:CE443))</f>
        <v>0</v>
      </c>
      <c r="CG443" s="446">
        <f>IF($E443=0,0,IF(MIN(CG$38,$E443)&lt;MAX($P$34*($B443+$I$38-1),IF(AND($L$37=0,$P$34=0),"",$L$37-1)),0,YEARFRAC(MAX($P$34*($B443+$I$38-1),IF(AND($L$37=0,$P$34=0),"",$L$37-1)),MIN(CG$38,$E443),$P$20))-SUM($BF443:CF443))</f>
        <v>0</v>
      </c>
      <c r="CH443" s="446">
        <f>IF($E443=0,0,IF(MIN(CH$38,$E443)&lt;MAX($P$34*($B443+$I$38-1),IF(AND($L$37=0,$P$34=0),"",$L$37-1)),0,YEARFRAC(MAX($P$34*($B443+$I$38-1),IF(AND($L$37=0,$P$34=0),"",$L$37-1)),MIN(CH$38,$E443),$P$20))-SUM($BF443:CG443))</f>
        <v>0</v>
      </c>
      <c r="CI443" s="446">
        <f>IF($E443=0,0,IF(MIN(CI$38,$E443)&lt;MAX($P$34*($B443+$I$38-1),IF(AND($L$37=0,$P$34=0),"",$L$37-1)),0,YEARFRAC(MAX($P$34*($B443+$I$38-1),IF(AND($L$37=0,$P$34=0),"",$L$37-1)),MIN(CI$38,$E443),$P$20))-SUM($BF443:CH443))</f>
        <v>0</v>
      </c>
      <c r="CJ443" s="446">
        <f>IF($E443=0,0,IF(MIN(CJ$38,$E443)&lt;MAX($P$34*($B443+$I$38-1),IF(AND($L$37=0,$P$34=0),"",$L$37-1)),0,YEARFRAC(MAX($P$34*($B443+$I$38-1),IF(AND($L$37=0,$P$34=0),"",$L$37-1)),MIN(CJ$38,$E443),$P$20))-SUM($BF443:CI443))</f>
        <v>0</v>
      </c>
      <c r="CK443" s="446">
        <f>IF($E443=0,0,IF(MIN(CK$38,$E443)&lt;MAX($P$34*($B443+$I$38-1),IF(AND($L$37=0,$P$34=0),"",$L$37-1)),0,YEARFRAC(MAX($P$34*($B443+$I$38-1),IF(AND($L$37=0,$P$34=0),"",$L$37-1)),MIN(CK$38,$E443),$P$20))-SUM($BF443:CJ443))</f>
        <v>0</v>
      </c>
      <c r="CL443" s="446">
        <f>IF($E443=0,0,IF(MIN(CL$38,$E443)&lt;MAX($P$34*($B443+$I$38-1),IF(AND($L$37=0,$P$34=0),"",$L$37-1)),0,YEARFRAC(MAX($P$34*($B443+$I$38-1),IF(AND($L$37=0,$P$34=0),"",$L$37-1)),MIN(CL$38,$E443),$P$20))-SUM($BF443:CK443))</f>
        <v>0</v>
      </c>
      <c r="CM443" s="446">
        <f>IF($E443=0,0,IF(MIN(CM$38,$E443)&lt;MAX($P$34*($B443+$I$38-1),IF(AND($L$37=0,$P$34=0),"",$L$37-1)),0,YEARFRAC(MAX($P$34*($B443+$I$38-1),IF(AND($L$37=0,$P$34=0),"",$L$37-1)),MIN(CM$38,$E443),$P$20))-SUM($BF443:CL443))</f>
        <v>0</v>
      </c>
      <c r="CN443" s="446">
        <f>IF($E443=0,0,IF(MIN(CN$38,$E443)&lt;MAX($P$34*($B443+$I$38-1),IF(AND($L$37=0,$P$34=0),"",$L$37-1)),0,YEARFRAC(MAX($P$34*($B443+$I$38-1),IF(AND($L$37=0,$P$34=0),"",$L$37-1)),MIN(CN$38,$E443),$P$20))-SUM($BF443:CM443))</f>
        <v>0</v>
      </c>
      <c r="CO443" s="446">
        <f>IF($E443=0,0,IF(MIN(CO$38,$E443)&lt;MAX($P$34*($B443+$I$38-1),IF(AND($L$37=0,$P$34=0),"",$L$37-1)),0,YEARFRAC(MAX($P$34*($B443+$I$38-1),IF(AND($L$37=0,$P$34=0),"",$L$37-1)),MIN(CO$38,$E443),$P$20))-SUM($BF443:CN443))</f>
        <v>0</v>
      </c>
      <c r="CP443" s="446">
        <f>IF($E443=0,0,IF(MIN(CP$38,$E443)&lt;MAX($P$34*($B443+$I$38-1),IF(AND($L$37=0,$P$34=0),"",$L$37-1)),0,YEARFRAC(MAX($P$34*($B443+$I$38-1),IF(AND($L$37=0,$P$34=0),"",$L$37-1)),MIN(CP$38,$E443),$P$20))-SUM($BF443:CO443))</f>
        <v>0</v>
      </c>
      <c r="CQ443" s="446">
        <f>IF($E443=0,0,IF(MIN(CQ$38,$E443)&lt;MAX($P$34*($B443+$I$38-1),IF(AND($L$37=0,$P$34=0),"",$L$37-1)),0,YEARFRAC(MAX($P$34*($B443+$I$38-1),IF(AND($L$37=0,$P$34=0),"",$L$37-1)),MIN(CQ$38,$E443),$P$20))-SUM($BF443:CP443))</f>
        <v>0</v>
      </c>
    </row>
    <row r="444" spans="1:95" s="446" customFormat="1" ht="11.25" hidden="1" customHeight="1" x14ac:dyDescent="0.2">
      <c r="A444" s="152"/>
      <c r="B444" s="153" t="str">
        <f t="shared" si="81"/>
        <v/>
      </c>
      <c r="C444" s="29" t="str">
        <f>IF(B444="","",IF($L$35="SELIC - TRIBUTOS",VLOOKUP(DATE(YEAR($D$19),MONTH($D$19)-1,1),ÍNDICES!$A:$DE,HLOOKUP($BL$25,ÍNDICES!$B$3:$T$4,2)+11)-VLOOKUP(B444,ÍNDICES!$A:$DE,HLOOKUP($BL$25,ÍNDICES!$B$3:$T$4,2)+11)+1%,IF(C$38=$W$26,$J$35,IF(ISERROR(IF(B444&gt;$D$19,1,VLOOKUP(DATE(YEAR(B444),MONTH(B444)+IF($C$35=$S$23,1,0),1),ÍNDICES!$A:$DE,$Z$35+1))),"",IF(B444&gt;$D$19,1,VLOOKUP(DATE(YEAR(B444),MONTH(B444)+IF($C$35=$S$23,1,0),1),ÍNDICES!$A:$DE,$Z$35+1))))))</f>
        <v/>
      </c>
      <c r="D444" s="154" t="str">
        <f>IF(ISERROR(IF(OR($D$38=$Y$27,$B444=""),"",VLOOKUP(B444,ÍNDICES!A:DE,AF$35+1))),"",IF(OR($D$38=$Y$27,$B444=""),"",VLOOKUP(B444,ÍNDICES!A:DE,AF$35+1)))</f>
        <v/>
      </c>
      <c r="E444" s="153"/>
      <c r="F444" s="29" t="str">
        <f>IF(E444="","",IF($L$35="SELIC - TRIBUTOS",VLOOKUP(DATE(YEAR($D$19),MONTH($D$19)-1,1),ÍNDICES!$A:$DE,HLOOKUP($BL$25,ÍNDICES!$B$3:$T$4,2)+11)-VLOOKUP(E444,ÍNDICES!$A:$DE,HLOOKUP($BL$25,ÍNDICES!$B$3:$T$4,2)+11)+1%,IF(F$38=$W$26,$J$35,IF(ISERROR(IF(E444&gt;$D$19,1,VLOOKUP(DATE(YEAR(E444),MONTH(E444)+IF($C$35=$S$23,1,0),1),ÍNDICES!$A:$DE,$Z$35+1))),"",IF(E444&gt;$D$19,1,VLOOKUP(DATE(YEAR(E444),MONTH(E444)+IF($C$35=$S$23,1,0),1),ÍNDICES!$A:$DE,$Z$35+1))))))</f>
        <v/>
      </c>
      <c r="G444" s="155"/>
      <c r="H444" s="156" t="str">
        <f t="shared" si="77"/>
        <v/>
      </c>
      <c r="I444" s="29" t="str">
        <f t="shared" si="71"/>
        <v/>
      </c>
      <c r="J444" s="5">
        <f t="shared" si="72"/>
        <v>0</v>
      </c>
      <c r="K444" s="20">
        <f t="shared" ca="1" si="73"/>
        <v>0</v>
      </c>
      <c r="L444" s="5">
        <f t="shared" ca="1" si="74"/>
        <v>0</v>
      </c>
      <c r="M444" s="64">
        <f t="shared" si="78"/>
        <v>0</v>
      </c>
      <c r="N444" s="61">
        <f t="shared" ca="1" si="79"/>
        <v>0</v>
      </c>
      <c r="O444" s="5">
        <f t="shared" ca="1" si="80"/>
        <v>0</v>
      </c>
      <c r="P444" s="446" t="e">
        <f t="shared" si="75"/>
        <v>#VALUE!</v>
      </c>
      <c r="Q444" s="446" t="e">
        <f>IF(OR($B444="",MIN(Q$38,$D$19)&lt;MAX($P$34*($B444+IF($R$17="Distrato",$I$38-1,0)),IF(AND($L$37=0,$P$34=0),"",$L$37-1),IF($R$17="Distrato",$E444,0))),0,YEARFRAC(MAX($P$34*($B444+IF($R$17="Distrato",$I$38-1,0)),IF(AND($L$37=0,$P$34=0),"",$L$37-1),IF($R$17="Distrato",$E444,0)),MIN(Q$38,$D$19),$P$20))-SUM($P444:P444)</f>
        <v>#VALUE!</v>
      </c>
      <c r="R444" s="446" t="e">
        <f>IF(OR($B444="",MIN(R$38,$D$19)&lt;MAX($P$34*($B444+IF($R$17="Distrato",$I$38-1,0)),IF(AND($L$37=0,$P$34=0),"",$L$37-1),IF($R$17="Distrato",$E444,0))),0,YEARFRAC(MAX($P$34*($B444+IF($R$17="Distrato",$I$38-1,0)),IF(AND($L$37=0,$P$34=0),"",$L$37-1),IF($R$17="Distrato",$E444,0)),MIN(R$38,$D$19),$P$20))-SUM($P444:Q444)</f>
        <v>#VALUE!</v>
      </c>
      <c r="S444" s="446" t="e">
        <f>IF(OR($B444="",MIN(S$38,$D$19)&lt;MAX($P$34*($B444+IF($R$17="Distrato",$I$38-1,0)),IF(AND($L$37=0,$P$34=0),"",$L$37-1),IF($R$17="Distrato",$E444,0))),0,YEARFRAC(MAX($P$34*($B444+IF($R$17="Distrato",$I$38-1,0)),IF(AND($L$37=0,$P$34=0),"",$L$37-1),IF($R$17="Distrato",$E444,0)),MIN(S$38,$D$19),$P$20))-SUM($P444:R444)</f>
        <v>#VALUE!</v>
      </c>
      <c r="T444" s="446" t="e">
        <f>IF(OR($B444="",MIN(T$38,$D$19)&lt;MAX($P$34*($B444+IF($R$17="Distrato",$I$38-1,0)),IF(AND($L$37=0,$P$34=0),"",$L$37-1),IF($R$17="Distrato",$E444,0))),0,YEARFRAC(MAX($P$34*($B444+IF($R$17="Distrato",$I$38-1,0)),IF(AND($L$37=0,$P$34=0),"",$L$37-1),IF($R$17="Distrato",$E444,0)),MIN(T$38,$D$19),$P$20))-SUM($P444:S444)</f>
        <v>#VALUE!</v>
      </c>
      <c r="U444" s="446" t="e">
        <f>IF(OR($B444="",MIN(U$38,$D$19)&lt;MAX($P$34*($B444+IF($R$17="Distrato",$I$38-1,0)),IF(AND($L$37=0,$P$34=0),"",$L$37-1),IF($R$17="Distrato",$E444,0))),0,YEARFRAC(MAX($P$34*($B444+IF($R$17="Distrato",$I$38-1,0)),IF(AND($L$37=0,$P$34=0),"",$L$37-1),IF($R$17="Distrato",$E444,0)),MIN(U$38,$D$19),$P$20))-SUM($P444:T444)</f>
        <v>#VALUE!</v>
      </c>
      <c r="V444" s="446" t="e">
        <f>IF(OR($B444="",MIN(V$38,$D$19)&lt;MAX($P$34*($B444+IF($R$17="Distrato",$I$38-1,0)),IF(AND($L$37=0,$P$34=0),"",$L$37-1),IF($R$17="Distrato",$E444,0))),0,YEARFRAC(MAX($P$34*($B444+IF($R$17="Distrato",$I$38-1,0)),IF(AND($L$37=0,$P$34=0),"",$L$37-1),IF($R$17="Distrato",$E444,0)),MIN(V$38,$D$19),$P$20))-SUM($P444:U444)</f>
        <v>#VALUE!</v>
      </c>
      <c r="W444" s="446" t="e">
        <f>IF(OR($B444="",MIN(W$38,$D$19)&lt;MAX($P$34*($B444+IF($R$17="Distrato",$I$38-1,0)),IF(AND($L$37=0,$P$34=0),"",$L$37-1),IF($R$17="Distrato",$E444,0))),0,YEARFRAC(MAX($P$34*($B444+IF($R$17="Distrato",$I$38-1,0)),IF(AND($L$37=0,$P$34=0),"",$L$37-1),IF($R$17="Distrato",$E444,0)),MIN(W$38,$D$19),$P$20))-SUM($P444:V444)</f>
        <v>#VALUE!</v>
      </c>
      <c r="X444" s="446" t="e">
        <f>IF(OR($B444="",MIN(X$38,$D$19)&lt;MAX($P$34*($B444+IF($R$17="Distrato",$I$38-1,0)),IF(AND($L$37=0,$P$34=0),"",$L$37-1),IF($R$17="Distrato",$E444,0))),0,YEARFRAC(MAX($P$34*($B444+IF($R$17="Distrato",$I$38-1,0)),IF(AND($L$37=0,$P$34=0),"",$L$37-1),IF($R$17="Distrato",$E444,0)),MIN(X$38,$D$19),$P$20))-SUM($P444:W444)</f>
        <v>#VALUE!</v>
      </c>
      <c r="Y444" s="446" t="e">
        <f>IF(OR($B444="",MIN(Y$38,$D$19)&lt;MAX($P$34*($B444+IF($R$17="Distrato",$I$38-1,0)),IF(AND($L$37=0,$P$34=0),"",$L$37-1),IF($R$17="Distrato",$E444,0))),0,YEARFRAC(MAX($P$34*($B444+IF($R$17="Distrato",$I$38-1,0)),IF(AND($L$37=0,$P$34=0),"",$L$37-1),IF($R$17="Distrato",$E444,0)),MIN(Y$38,$D$19),$P$20))-SUM($P444:X444)</f>
        <v>#VALUE!</v>
      </c>
      <c r="Z444" s="446" t="e">
        <f>IF(OR($B444="",MIN(Z$38,$D$19)&lt;MAX($P$34*($B444+IF($R$17="Distrato",$I$38-1,0)),IF(AND($L$37=0,$P$34=0),"",$L$37-1),IF($R$17="Distrato",$E444,0))),0,YEARFRAC(MAX($P$34*($B444+IF($R$17="Distrato",$I$38-1,0)),IF(AND($L$37=0,$P$34=0),"",$L$37-1),IF($R$17="Distrato",$E444,0)),MIN(Z$38,$D$19),$P$20))-SUM($P444:Y444)</f>
        <v>#VALUE!</v>
      </c>
      <c r="AA444" s="446" t="e">
        <f>IF(OR($B444="",MIN(AA$38,$D$19)&lt;MAX($P$34*($B444+IF($R$17="Distrato",$I$38-1,0)),IF(AND($L$37=0,$P$34=0),"",$L$37-1),IF($R$17="Distrato",$E444,0))),0,YEARFRAC(MAX($P$34*($B444+IF($R$17="Distrato",$I$38-1,0)),IF(AND($L$37=0,$P$34=0),"",$L$37-1),IF($R$17="Distrato",$E444,0)),MIN(AA$38,$D$19),$P$20))-SUM($P444:Z444)</f>
        <v>#VALUE!</v>
      </c>
      <c r="AB444" s="446" t="e">
        <f>IF(OR($B444="",MIN(AB$38,$D$19)&lt;MAX($P$34*($B444+IF($R$17="Distrato",$I$38-1,0)),IF(AND($L$37=0,$P$34=0),"",$L$37-1),IF($R$17="Distrato",$E444,0))),0,YEARFRAC(MAX($P$34*($B444+IF($R$17="Distrato",$I$38-1,0)),IF(AND($L$37=0,$P$34=0),"",$L$37-1),IF($R$17="Distrato",$E444,0)),MIN(AB$38,$D$19),$P$20))-SUM($P444:AA444)</f>
        <v>#VALUE!</v>
      </c>
      <c r="AC444" s="446" t="e">
        <f>IF(OR($B444="",MIN(AC$38,$D$19)&lt;MAX($P$34*($B444+IF($R$17="Distrato",$I$38-1,0)),IF(AND($L$37=0,$P$34=0),"",$L$37-1),IF($R$17="Distrato",$E444,0))),0,YEARFRAC(MAX($P$34*($B444+IF($R$17="Distrato",$I$38-1,0)),IF(AND($L$37=0,$P$34=0),"",$L$37-1),IF($R$17="Distrato",$E444,0)),MIN(AC$38,$D$19),$P$20))-SUM($P444:AB444)</f>
        <v>#VALUE!</v>
      </c>
      <c r="AD444" s="446" t="e">
        <f>IF(OR($B444="",MIN(AD$38,$D$19)&lt;MAX($P$34*($B444+IF($R$17="Distrato",$I$38-1,0)),IF(AND($L$37=0,$P$34=0),"",$L$37-1),IF($R$17="Distrato",$E444,0))),0,YEARFRAC(MAX($P$34*($B444+IF($R$17="Distrato",$I$38-1,0)),IF(AND($L$37=0,$P$34=0),"",$L$37-1),IF($R$17="Distrato",$E444,0)),MIN(AD$38,$D$19),$P$20))-SUM($P444:AC444)</f>
        <v>#VALUE!</v>
      </c>
      <c r="AE444" s="446" t="e">
        <f>IF(OR($B444="",MIN(AE$38,$D$19)&lt;MAX($P$34*($B444+IF($R$17="Distrato",$I$38-1,0)),IF(AND($L$37=0,$P$34=0),"",$L$37-1),IF($R$17="Distrato",$E444,0))),0,YEARFRAC(MAX($P$34*($B444+IF($R$17="Distrato",$I$38-1,0)),IF(AND($L$37=0,$P$34=0),"",$L$37-1),IF($R$17="Distrato",$E444,0)),MIN(AE$38,$D$19),$P$20))-SUM($P444:AD444)</f>
        <v>#VALUE!</v>
      </c>
      <c r="AF444" s="446" t="e">
        <f>IF(OR($B444="",MIN(AF$38,$D$19)&lt;MAX($P$34*($B444+IF($R$17="Distrato",$I$38-1,0)),IF(AND($L$37=0,$P$34=0),"",$L$37-1),IF($R$17="Distrato",$E444,0))),0,YEARFRAC(MAX($P$34*($B444+IF($R$17="Distrato",$I$38-1,0)),IF(AND($L$37=0,$P$34=0),"",$L$37-1),IF($R$17="Distrato",$E444,0)),MIN(AF$38,$D$19),$P$20))-SUM($P444:AE444)</f>
        <v>#VALUE!</v>
      </c>
      <c r="AG444" s="446" t="e">
        <f>IF(OR($B444="",MIN(AG$38,$D$19)&lt;MAX($P$34*($B444+IF($R$17="Distrato",$I$38-1,0)),IF(AND($L$37=0,$P$34=0),"",$L$37-1),IF($R$17="Distrato",$E444,0))),0,YEARFRAC(MAX($P$34*($B444+IF($R$17="Distrato",$I$38-1,0)),IF(AND($L$37=0,$P$34=0),"",$L$37-1),IF($R$17="Distrato",$E444,0)),MIN(AG$38,$D$19),$P$20))-SUM($P444:AF444)</f>
        <v>#VALUE!</v>
      </c>
      <c r="AH444" s="446" t="e">
        <f>IF(OR($B444="",MIN(AH$38,$D$19)&lt;MAX($P$34*($B444+IF($R$17="Distrato",$I$38-1,0)),IF(AND($L$37=0,$P$34=0),"",$L$37-1),IF($R$17="Distrato",$E444,0))),0,YEARFRAC(MAX($P$34*($B444+IF($R$17="Distrato",$I$38-1,0)),IF(AND($L$37=0,$P$34=0),"",$L$37-1),IF($R$17="Distrato",$E444,0)),MIN(AH$38,$D$19),$P$20))-SUM($P444:AG444)</f>
        <v>#VALUE!</v>
      </c>
      <c r="AI444" s="446" t="e">
        <f>IF(OR($B444="",MIN(AI$38,$D$19)&lt;MAX($P$34*($B444+IF($R$17="Distrato",$I$38-1,0)),IF(AND($L$37=0,$P$34=0),"",$L$37-1),IF($R$17="Distrato",$E444,0))),0,YEARFRAC(MAX($P$34*($B444+IF($R$17="Distrato",$I$38-1,0)),IF(AND($L$37=0,$P$34=0),"",$L$37-1),IF($R$17="Distrato",$E444,0)),MIN(AI$38,$D$19),$P$20))-SUM($P444:AH444)</f>
        <v>#VALUE!</v>
      </c>
      <c r="AJ444" s="446" t="e">
        <f>IF(OR($B444="",MIN(AJ$38,$D$19)&lt;MAX($P$34*($B444+IF($R$17="Distrato",$I$38-1,0)),IF(AND($L$37=0,$P$34=0),"",$L$37-1),IF($R$17="Distrato",$E444,0))),0,YEARFRAC(MAX($P$34*($B444+IF($R$17="Distrato",$I$38-1,0)),IF(AND($L$37=0,$P$34=0),"",$L$37-1),IF($R$17="Distrato",$E444,0)),MIN(AJ$38,$D$19),$P$20))-SUM($P444:AI444)</f>
        <v>#VALUE!</v>
      </c>
      <c r="AK444" s="446" t="e">
        <f>IF(OR($B444="",MIN(AK$38,$D$19)&lt;MAX($P$34*($B444+IF($R$17="Distrato",$I$38-1,0)),IF(AND($L$37=0,$P$34=0),"",$L$37-1),IF($R$17="Distrato",$E444,0))),0,YEARFRAC(MAX($P$34*($B444+IF($R$17="Distrato",$I$38-1,0)),IF(AND($L$37=0,$P$34=0),"",$L$37-1),IF($R$17="Distrato",$E444,0)),MIN(AK$38,$D$19),$P$20))-SUM($P444:AJ444)</f>
        <v>#VALUE!</v>
      </c>
      <c r="AL444" s="446" t="e">
        <f>IF(OR($B444="",MIN(AL$38,$D$19)&lt;MAX($P$34*($B444+IF($R$17="Distrato",$I$38-1,0)),IF(AND($L$37=0,$P$34=0),"",$L$37-1),IF($R$17="Distrato",$E444,0))),0,YEARFRAC(MAX($P$34*($B444+IF($R$17="Distrato",$I$38-1,0)),IF(AND($L$37=0,$P$34=0),"",$L$37-1),IF($R$17="Distrato",$E444,0)),MIN(AL$38,$D$19),$P$20))-SUM($P444:AK444)</f>
        <v>#VALUE!</v>
      </c>
      <c r="AM444" s="446" t="e">
        <f>IF(OR($B444="",MIN(AM$38,$D$19)&lt;MAX($P$34*($B444+IF($R$17="Distrato",$I$38-1,0)),IF(AND($L$37=0,$P$34=0),"",$L$37-1),IF($R$17="Distrato",$E444,0))),0,YEARFRAC(MAX($P$34*($B444+IF($R$17="Distrato",$I$38-1,0)),IF(AND($L$37=0,$P$34=0),"",$L$37-1),IF($R$17="Distrato",$E444,0)),MIN(AM$38,$D$19),$P$20))-SUM($P444:AL444)</f>
        <v>#VALUE!</v>
      </c>
      <c r="AN444" s="446" t="e">
        <f>IF(OR($B444="",MIN(AN$38,$D$19)&lt;MAX($P$34*($B444+IF($R$17="Distrato",$I$38-1,0)),IF(AND($L$37=0,$P$34=0),"",$L$37-1),IF($R$17="Distrato",$E444,0))),0,YEARFRAC(MAX($P$34*($B444+IF($R$17="Distrato",$I$38-1,0)),IF(AND($L$37=0,$P$34=0),"",$L$37-1),IF($R$17="Distrato",$E444,0)),MIN(AN$38,$D$19),$P$20))-SUM($P444:AM444)</f>
        <v>#VALUE!</v>
      </c>
      <c r="AO444" s="446" t="e">
        <f>IF(OR($B444="",MIN(AO$38,$D$19)&lt;MAX($P$34*($B444+IF($R$17="Distrato",$I$38-1,0)),IF(AND($L$37=0,$P$34=0),"",$L$37-1),IF($R$17="Distrato",$E444,0))),0,YEARFRAC(MAX($P$34*($B444+IF($R$17="Distrato",$I$38-1,0)),IF(AND($L$37=0,$P$34=0),"",$L$37-1),IF($R$17="Distrato",$E444,0)),MIN(AO$38,$D$19),$P$20))-SUM($P444:AN444)</f>
        <v>#VALUE!</v>
      </c>
      <c r="AP444" s="446" t="e">
        <f>IF(OR($B444="",MIN(AP$38,$D$19)&lt;MAX($P$34*($B444+IF($R$17="Distrato",$I$38-1,0)),IF(AND($L$37=0,$P$34=0),"",$L$37-1),IF($R$17="Distrato",$E444,0))),0,YEARFRAC(MAX($P$34*($B444+IF($R$17="Distrato",$I$38-1,0)),IF(AND($L$37=0,$P$34=0),"",$L$37-1),IF($R$17="Distrato",$E444,0)),MIN(AP$38,$D$19),$P$20))-SUM($P444:AO444)</f>
        <v>#VALUE!</v>
      </c>
      <c r="AQ444" s="446" t="e">
        <f>IF(OR($B444="",MIN(AQ$38,$D$19)&lt;MAX($P$34*($B444+IF($R$17="Distrato",$I$38-1,0)),IF(AND($L$37=0,$P$34=0),"",$L$37-1),IF($R$17="Distrato",$E444,0))),0,YEARFRAC(MAX($P$34*($B444+IF($R$17="Distrato",$I$38-1,0)),IF(AND($L$37=0,$P$34=0),"",$L$37-1),IF($R$17="Distrato",$E444,0)),MIN(AQ$38,$D$19),$P$20))-SUM($P444:AP444)</f>
        <v>#VALUE!</v>
      </c>
      <c r="AR444" s="446" t="e">
        <f>IF(OR($B444="",MIN(AR$38,$D$19)&lt;MAX($P$34*($B444+IF($R$17="Distrato",$I$38-1,0)),IF(AND($L$37=0,$P$34=0),"",$L$37-1),IF($R$17="Distrato",$E444,0))),0,YEARFRAC(MAX($P$34*($B444+IF($R$17="Distrato",$I$38-1,0)),IF(AND($L$37=0,$P$34=0),"",$L$37-1),IF($R$17="Distrato",$E444,0)),MIN(AR$38,$D$19),$P$20))-SUM($P444:AQ444)</f>
        <v>#VALUE!</v>
      </c>
      <c r="AS444" s="446" t="e">
        <f>IF(OR($B444="",MIN(AS$38,$D$19)&lt;MAX($P$34*($B444+IF($R$17="Distrato",$I$38-1,0)),IF(AND($L$37=0,$P$34=0),"",$L$37-1),IF($R$17="Distrato",$E444,0))),0,YEARFRAC(MAX($P$34*($B444+IF($R$17="Distrato",$I$38-1,0)),IF(AND($L$37=0,$P$34=0),"",$L$37-1),IF($R$17="Distrato",$E444,0)),MIN(AS$38,$D$19),$P$20))-SUM($P444:AR444)</f>
        <v>#VALUE!</v>
      </c>
      <c r="AT444" s="446" t="e">
        <f>IF(OR($B444="",MIN(AT$38,$D$19)&lt;MAX($P$34*($B444+IF($R$17="Distrato",$I$38-1,0)),IF(AND($L$37=0,$P$34=0),"",$L$37-1),IF($R$17="Distrato",$E444,0))),0,YEARFRAC(MAX($P$34*($B444+IF($R$17="Distrato",$I$38-1,0)),IF(AND($L$37=0,$P$34=0),"",$L$37-1),IF($R$17="Distrato",$E444,0)),MIN(AT$38,$D$19),$P$20))-SUM($P444:AS444)</f>
        <v>#VALUE!</v>
      </c>
      <c r="AU444" s="446" t="e">
        <f>IF(OR($B444="",MIN(AU$38,$D$19)&lt;MAX($P$34*($B444+IF($R$17="Distrato",$I$38-1,0)),IF(AND($L$37=0,$P$34=0),"",$L$37-1),IF($R$17="Distrato",$E444,0))),0,YEARFRAC(MAX($P$34*($B444+IF($R$17="Distrato",$I$38-1,0)),IF(AND($L$37=0,$P$34=0),"",$L$37-1),IF($R$17="Distrato",$E444,0)),MIN(AU$38,$D$19),$P$20))-SUM($P444:AT444)</f>
        <v>#VALUE!</v>
      </c>
      <c r="AV444" s="446" t="e">
        <f>IF(OR($B444="",MIN(AV$38,$D$19)&lt;MAX($P$34*($B444+IF($R$17="Distrato",$I$38-1,0)),IF(AND($L$37=0,$P$34=0),"",$L$37-1),IF($R$17="Distrato",$E444,0))),0,YEARFRAC(MAX($P$34*($B444+IF($R$17="Distrato",$I$38-1,0)),IF(AND($L$37=0,$P$34=0),"",$L$37-1),IF($R$17="Distrato",$E444,0)),MIN(AV$38,$D$19),$P$20))-SUM($P444:AU444)</f>
        <v>#VALUE!</v>
      </c>
      <c r="AW444" s="446" t="e">
        <f>IF(OR($B444="",MIN(AW$38,$D$19)&lt;MAX($P$34*($B444+IF($R$17="Distrato",$I$38-1,0)),IF(AND($L$37=0,$P$34=0),"",$L$37-1),IF($R$17="Distrato",$E444,0))),0,YEARFRAC(MAX($P$34*($B444+IF($R$17="Distrato",$I$38-1,0)),IF(AND($L$37=0,$P$34=0),"",$L$37-1),IF($R$17="Distrato",$E444,0)),MIN(AW$38,$D$19),$P$20))-SUM($P444:AV444)</f>
        <v>#VALUE!</v>
      </c>
      <c r="AX444" s="446" t="e">
        <f>IF(OR($B444="",MIN(AX$38,$D$19)&lt;MAX($P$34*($B444+IF($R$17="Distrato",$I$38-1,0)),IF(AND($L$37=0,$P$34=0),"",$L$37-1),IF($R$17="Distrato",$E444,0))),0,YEARFRAC(MAX($P$34*($B444+IF($R$17="Distrato",$I$38-1,0)),IF(AND($L$37=0,$P$34=0),"",$L$37-1),IF($R$17="Distrato",$E444,0)),MIN(AX$38,$D$19),$P$20))-SUM($P444:AW444)</f>
        <v>#VALUE!</v>
      </c>
      <c r="AY444" s="446" t="e">
        <f>IF(OR($B444="",MIN(AY$38,$D$19)&lt;MAX($P$34*($B444+IF($R$17="Distrato",$I$38-1,0)),IF(AND($L$37=0,$P$34=0),"",$L$37-1),IF($R$17="Distrato",$E444,0))),0,YEARFRAC(MAX($P$34*($B444+IF($R$17="Distrato",$I$38-1,0)),IF(AND($L$37=0,$P$34=0),"",$L$37-1),IF($R$17="Distrato",$E444,0)),MIN(AY$38,$D$19),$P$20))-SUM($P444:AX444)</f>
        <v>#VALUE!</v>
      </c>
      <c r="AZ444" s="446" t="e">
        <f>IF(OR($B444="",MIN(AZ$38,$D$19)&lt;MAX($P$34*($B444+IF($R$17="Distrato",$I$38-1,0)),IF(AND($L$37=0,$P$34=0),"",$L$37-1),IF($R$17="Distrato",$E444,0))),0,YEARFRAC(MAX($P$34*($B444+IF($R$17="Distrato",$I$38-1,0)),IF(AND($L$37=0,$P$34=0),"",$L$37-1),IF($R$17="Distrato",$E444,0)),MIN(AZ$38,$D$19),$P$20))-SUM($P444:AY444)</f>
        <v>#VALUE!</v>
      </c>
      <c r="BA444" s="446" t="e">
        <f>IF(OR($B444="",MIN(BA$38,$D$19)&lt;MAX($P$34*($B444+IF($R$17="Distrato",$I$38-1,0)),IF(AND($L$37=0,$P$34=0),"",$L$37-1),IF($R$17="Distrato",$E444,0))),0,YEARFRAC(MAX($P$34*($B444+IF($R$17="Distrato",$I$38-1,0)),IF(AND($L$37=0,$P$34=0),"",$L$37-1),IF($R$17="Distrato",$E444,0)),MIN(BA$38,$D$19),$P$20))-SUM($P444:AZ444)</f>
        <v>#VALUE!</v>
      </c>
      <c r="BB444" s="447"/>
      <c r="BF444" s="446">
        <f t="shared" si="76"/>
        <v>0</v>
      </c>
      <c r="BG444" s="446">
        <f>IF($E444=0,0,IF(MIN(BG$38,$E444)&lt;MAX($P$34*($B444+$I$38-1),IF(AND($L$37=0,$P$34=0),"",$L$37-1)),0,YEARFRAC(MAX($P$34*($B444+$I$38-1),IF(AND($L$37=0,$P$34=0),"",$L$37-1)),MIN(BG$38,$E444),$P$20))-SUM($BF444:BF444))</f>
        <v>0</v>
      </c>
      <c r="BH444" s="446">
        <f>IF($E444=0,0,IF(MIN(BH$38,$E444)&lt;MAX($P$34*($B444+$I$38-1),IF(AND($L$37=0,$P$34=0),"",$L$37-1)),0,YEARFRAC(MAX($P$34*($B444+$I$38-1),IF(AND($L$37=0,$P$34=0),"",$L$37-1)),MIN(BH$38,$E444),$P$20))-SUM($BF444:BG444))</f>
        <v>0</v>
      </c>
      <c r="BI444" s="446">
        <f>IF($E444=0,0,IF(MIN(BI$38,$E444)&lt;MAX($P$34*($B444+$I$38-1),IF(AND($L$37=0,$P$34=0),"",$L$37-1)),0,YEARFRAC(MAX($P$34*($B444+$I$38-1),IF(AND($L$37=0,$P$34=0),"",$L$37-1)),MIN(BI$38,$E444),$P$20))-SUM($BF444:BH444))</f>
        <v>0</v>
      </c>
      <c r="BJ444" s="446">
        <f>IF($E444=0,0,IF(MIN(BJ$38,$E444)&lt;MAX($P$34*($B444+$I$38-1),IF(AND($L$37=0,$P$34=0),"",$L$37-1)),0,YEARFRAC(MAX($P$34*($B444+$I$38-1),IF(AND($L$37=0,$P$34=0),"",$L$37-1)),MIN(BJ$38,$E444),$P$20))-SUM($BF444:BI444))</f>
        <v>0</v>
      </c>
      <c r="BK444" s="446">
        <f>IF($E444=0,0,IF(MIN(BK$38,$E444)&lt;MAX($P$34*($B444+$I$38-1),IF(AND($L$37=0,$P$34=0),"",$L$37-1)),0,YEARFRAC(MAX($P$34*($B444+$I$38-1),IF(AND($L$37=0,$P$34=0),"",$L$37-1)),MIN(BK$38,$E444),$P$20))-SUM($BF444:BJ444))</f>
        <v>0</v>
      </c>
      <c r="BL444" s="446">
        <f>IF($E444=0,0,IF(MIN(BL$38,$E444)&lt;MAX($P$34*($B444+$I$38-1),IF(AND($L$37=0,$P$34=0),"",$L$37-1)),0,YEARFRAC(MAX($P$34*($B444+$I$38-1),IF(AND($L$37=0,$P$34=0),"",$L$37-1)),MIN(BL$38,$E444),$P$20))-SUM($BF444:BK444))</f>
        <v>0</v>
      </c>
      <c r="BM444" s="446">
        <f>IF($E444=0,0,IF(MIN(BM$38,$E444)&lt;MAX($P$34*($B444+$I$38-1),IF(AND($L$37=0,$P$34=0),"",$L$37-1)),0,YEARFRAC(MAX($P$34*($B444+$I$38-1),IF(AND($L$37=0,$P$34=0),"",$L$37-1)),MIN(BM$38,$E444),$P$20))-SUM($BF444:BL444))</f>
        <v>0</v>
      </c>
      <c r="BN444" s="446">
        <f>IF($E444=0,0,IF(MIN(BN$38,$E444)&lt;MAX($P$34*($B444+$I$38-1),IF(AND($L$37=0,$P$34=0),"",$L$37-1)),0,YEARFRAC(MAX($P$34*($B444+$I$38-1),IF(AND($L$37=0,$P$34=0),"",$L$37-1)),MIN(BN$38,$E444),$P$20))-SUM($BF444:BM444))</f>
        <v>0</v>
      </c>
      <c r="BO444" s="446">
        <f>IF($E444=0,0,IF(MIN(BO$38,$E444)&lt;MAX($P$34*($B444+$I$38-1),IF(AND($L$37=0,$P$34=0),"",$L$37-1)),0,YEARFRAC(MAX($P$34*($B444+$I$38-1),IF(AND($L$37=0,$P$34=0),"",$L$37-1)),MIN(BO$38,$E444),$P$20))-SUM($BF444:BN444))</f>
        <v>0</v>
      </c>
      <c r="BP444" s="446">
        <f>IF($E444=0,0,IF(MIN(BP$38,$E444)&lt;MAX($P$34*($B444+$I$38-1),IF(AND($L$37=0,$P$34=0),"",$L$37-1)),0,YEARFRAC(MAX($P$34*($B444+$I$38-1),IF(AND($L$37=0,$P$34=0),"",$L$37-1)),MIN(BP$38,$E444),$P$20))-SUM($BF444:BO444))</f>
        <v>0</v>
      </c>
      <c r="BQ444" s="446">
        <f>IF($E444=0,0,IF(MIN(BQ$38,$E444)&lt;MAX($P$34*($B444+$I$38-1),IF(AND($L$37=0,$P$34=0),"",$L$37-1)),0,YEARFRAC(MAX($P$34*($B444+$I$38-1),IF(AND($L$37=0,$P$34=0),"",$L$37-1)),MIN(BQ$38,$E444),$P$20))-SUM($BF444:BP444))</f>
        <v>0</v>
      </c>
      <c r="BR444" s="446">
        <f>IF($E444=0,0,IF(MIN(BR$38,$E444)&lt;MAX($P$34*($B444+$I$38-1),IF(AND($L$37=0,$P$34=0),"",$L$37-1)),0,YEARFRAC(MAX($P$34*($B444+$I$38-1),IF(AND($L$37=0,$P$34=0),"",$L$37-1)),MIN(BR$38,$E444),$P$20))-SUM($BF444:BQ444))</f>
        <v>0</v>
      </c>
      <c r="BS444" s="446">
        <f>IF($E444=0,0,IF(MIN(BS$38,$E444)&lt;MAX($P$34*($B444+$I$38-1),IF(AND($L$37=0,$P$34=0),"",$L$37-1)),0,YEARFRAC(MAX($P$34*($B444+$I$38-1),IF(AND($L$37=0,$P$34=0),"",$L$37-1)),MIN(BS$38,$E444),$P$20))-SUM($BF444:BR444))</f>
        <v>0</v>
      </c>
      <c r="BT444" s="446">
        <f>IF($E444=0,0,IF(MIN(BT$38,$E444)&lt;MAX($P$34*($B444+$I$38-1),IF(AND($L$37=0,$P$34=0),"",$L$37-1)),0,YEARFRAC(MAX($P$34*($B444+$I$38-1),IF(AND($L$37=0,$P$34=0),"",$L$37-1)),MIN(BT$38,$E444),$P$20))-SUM($BF444:BS444))</f>
        <v>0</v>
      </c>
      <c r="BU444" s="446">
        <f>IF($E444=0,0,IF(MIN(BU$38,$E444)&lt;MAX($P$34*($B444+$I$38-1),IF(AND($L$37=0,$P$34=0),"",$L$37-1)),0,YEARFRAC(MAX($P$34*($B444+$I$38-1),IF(AND($L$37=0,$P$34=0),"",$L$37-1)),MIN(BU$38,$E444),$P$20))-SUM($BF444:BT444))</f>
        <v>0</v>
      </c>
      <c r="BV444" s="446">
        <f>IF($E444=0,0,IF(MIN(BV$38,$E444)&lt;MAX($P$34*($B444+$I$38-1),IF(AND($L$37=0,$P$34=0),"",$L$37-1)),0,YEARFRAC(MAX($P$34*($B444+$I$38-1),IF(AND($L$37=0,$P$34=0),"",$L$37-1)),MIN(BV$38,$E444),$P$20))-SUM($BF444:BU444))</f>
        <v>0</v>
      </c>
      <c r="BW444" s="446">
        <f>IF($E444=0,0,IF(MIN(BW$38,$E444)&lt;MAX($P$34*($B444+$I$38-1),IF(AND($L$37=0,$P$34=0),"",$L$37-1)),0,YEARFRAC(MAX($P$34*($B444+$I$38-1),IF(AND($L$37=0,$P$34=0),"",$L$37-1)),MIN(BW$38,$E444),$P$20))-SUM($BF444:BV444))</f>
        <v>0</v>
      </c>
      <c r="BX444" s="446">
        <f>IF($E444=0,0,IF(MIN(BX$38,$E444)&lt;MAX($P$34*($B444+$I$38-1),IF(AND($L$37=0,$P$34=0),"",$L$37-1)),0,YEARFRAC(MAX($P$34*($B444+$I$38-1),IF(AND($L$37=0,$P$34=0),"",$L$37-1)),MIN(BX$38,$E444),$P$20))-SUM($BF444:BW444))</f>
        <v>0</v>
      </c>
      <c r="BY444" s="446">
        <f>IF($E444=0,0,IF(MIN(BY$38,$E444)&lt;MAX($P$34*($B444+$I$38-1),IF(AND($L$37=0,$P$34=0),"",$L$37-1)),0,YEARFRAC(MAX($P$34*($B444+$I$38-1),IF(AND($L$37=0,$P$34=0),"",$L$37-1)),MIN(BY$38,$E444),$P$20))-SUM($BF444:BX444))</f>
        <v>0</v>
      </c>
      <c r="BZ444" s="446">
        <f>IF($E444=0,0,IF(MIN(BZ$38,$E444)&lt;MAX($P$34*($B444+$I$38-1),IF(AND($L$37=0,$P$34=0),"",$L$37-1)),0,YEARFRAC(MAX($P$34*($B444+$I$38-1),IF(AND($L$37=0,$P$34=0),"",$L$37-1)),MIN(BZ$38,$E444),$P$20))-SUM($BF444:BY444))</f>
        <v>0</v>
      </c>
      <c r="CA444" s="446">
        <f>IF($E444=0,0,IF(MIN(CA$38,$E444)&lt;MAX($P$34*($B444+$I$38-1),IF(AND($L$37=0,$P$34=0),"",$L$37-1)),0,YEARFRAC(MAX($P$34*($B444+$I$38-1),IF(AND($L$37=0,$P$34=0),"",$L$37-1)),MIN(CA$38,$E444),$P$20))-SUM($BF444:BZ444))</f>
        <v>0</v>
      </c>
      <c r="CB444" s="446">
        <f>IF($E444=0,0,IF(MIN(CB$38,$E444)&lt;MAX($P$34*($B444+$I$38-1),IF(AND($L$37=0,$P$34=0),"",$L$37-1)),0,YEARFRAC(MAX($P$34*($B444+$I$38-1),IF(AND($L$37=0,$P$34=0),"",$L$37-1)),MIN(CB$38,$E444),$P$20))-SUM($BF444:CA444))</f>
        <v>0</v>
      </c>
      <c r="CC444" s="446">
        <f>IF($E444=0,0,IF(MIN(CC$38,$E444)&lt;MAX($P$34*($B444+$I$38-1),IF(AND($L$37=0,$P$34=0),"",$L$37-1)),0,YEARFRAC(MAX($P$34*($B444+$I$38-1),IF(AND($L$37=0,$P$34=0),"",$L$37-1)),MIN(CC$38,$E444),$P$20))-SUM($BF444:CB444))</f>
        <v>0</v>
      </c>
      <c r="CD444" s="446">
        <f>IF($E444=0,0,IF(MIN(CD$38,$E444)&lt;MAX($P$34*($B444+$I$38-1),IF(AND($L$37=0,$P$34=0),"",$L$37-1)),0,YEARFRAC(MAX($P$34*($B444+$I$38-1),IF(AND($L$37=0,$P$34=0),"",$L$37-1)),MIN(CD$38,$E444),$P$20))-SUM($BF444:CC444))</f>
        <v>0</v>
      </c>
      <c r="CE444" s="446">
        <f>IF($E444=0,0,IF(MIN(CE$38,$E444)&lt;MAX($P$34*($B444+$I$38-1),IF(AND($L$37=0,$P$34=0),"",$L$37-1)),0,YEARFRAC(MAX($P$34*($B444+$I$38-1),IF(AND($L$37=0,$P$34=0),"",$L$37-1)),MIN(CE$38,$E444),$P$20))-SUM($BF444:CD444))</f>
        <v>0</v>
      </c>
      <c r="CF444" s="446">
        <f>IF($E444=0,0,IF(MIN(CF$38,$E444)&lt;MAX($P$34*($B444+$I$38-1),IF(AND($L$37=0,$P$34=0),"",$L$37-1)),0,YEARFRAC(MAX($P$34*($B444+$I$38-1),IF(AND($L$37=0,$P$34=0),"",$L$37-1)),MIN(CF$38,$E444),$P$20))-SUM($BF444:CE444))</f>
        <v>0</v>
      </c>
      <c r="CG444" s="446">
        <f>IF($E444=0,0,IF(MIN(CG$38,$E444)&lt;MAX($P$34*($B444+$I$38-1),IF(AND($L$37=0,$P$34=0),"",$L$37-1)),0,YEARFRAC(MAX($P$34*($B444+$I$38-1),IF(AND($L$37=0,$P$34=0),"",$L$37-1)),MIN(CG$38,$E444),$P$20))-SUM($BF444:CF444))</f>
        <v>0</v>
      </c>
      <c r="CH444" s="446">
        <f>IF($E444=0,0,IF(MIN(CH$38,$E444)&lt;MAX($P$34*($B444+$I$38-1),IF(AND($L$37=0,$P$34=0),"",$L$37-1)),0,YEARFRAC(MAX($P$34*($B444+$I$38-1),IF(AND($L$37=0,$P$34=0),"",$L$37-1)),MIN(CH$38,$E444),$P$20))-SUM($BF444:CG444))</f>
        <v>0</v>
      </c>
      <c r="CI444" s="446">
        <f>IF($E444=0,0,IF(MIN(CI$38,$E444)&lt;MAX($P$34*($B444+$I$38-1),IF(AND($L$37=0,$P$34=0),"",$L$37-1)),0,YEARFRAC(MAX($P$34*($B444+$I$38-1),IF(AND($L$37=0,$P$34=0),"",$L$37-1)),MIN(CI$38,$E444),$P$20))-SUM($BF444:CH444))</f>
        <v>0</v>
      </c>
      <c r="CJ444" s="446">
        <f>IF($E444=0,0,IF(MIN(CJ$38,$E444)&lt;MAX($P$34*($B444+$I$38-1),IF(AND($L$37=0,$P$34=0),"",$L$37-1)),0,YEARFRAC(MAX($P$34*($B444+$I$38-1),IF(AND($L$37=0,$P$34=0),"",$L$37-1)),MIN(CJ$38,$E444),$P$20))-SUM($BF444:CI444))</f>
        <v>0</v>
      </c>
      <c r="CK444" s="446">
        <f>IF($E444=0,0,IF(MIN(CK$38,$E444)&lt;MAX($P$34*($B444+$I$38-1),IF(AND($L$37=0,$P$34=0),"",$L$37-1)),0,YEARFRAC(MAX($P$34*($B444+$I$38-1),IF(AND($L$37=0,$P$34=0),"",$L$37-1)),MIN(CK$38,$E444),$P$20))-SUM($BF444:CJ444))</f>
        <v>0</v>
      </c>
      <c r="CL444" s="446">
        <f>IF($E444=0,0,IF(MIN(CL$38,$E444)&lt;MAX($P$34*($B444+$I$38-1),IF(AND($L$37=0,$P$34=0),"",$L$37-1)),0,YEARFRAC(MAX($P$34*($B444+$I$38-1),IF(AND($L$37=0,$P$34=0),"",$L$37-1)),MIN(CL$38,$E444),$P$20))-SUM($BF444:CK444))</f>
        <v>0</v>
      </c>
      <c r="CM444" s="446">
        <f>IF($E444=0,0,IF(MIN(CM$38,$E444)&lt;MAX($P$34*($B444+$I$38-1),IF(AND($L$37=0,$P$34=0),"",$L$37-1)),0,YEARFRAC(MAX($P$34*($B444+$I$38-1),IF(AND($L$37=0,$P$34=0),"",$L$37-1)),MIN(CM$38,$E444),$P$20))-SUM($BF444:CL444))</f>
        <v>0</v>
      </c>
      <c r="CN444" s="446">
        <f>IF($E444=0,0,IF(MIN(CN$38,$E444)&lt;MAX($P$34*($B444+$I$38-1),IF(AND($L$37=0,$P$34=0),"",$L$37-1)),0,YEARFRAC(MAX($P$34*($B444+$I$38-1),IF(AND($L$37=0,$P$34=0),"",$L$37-1)),MIN(CN$38,$E444),$P$20))-SUM($BF444:CM444))</f>
        <v>0</v>
      </c>
      <c r="CO444" s="446">
        <f>IF($E444=0,0,IF(MIN(CO$38,$E444)&lt;MAX($P$34*($B444+$I$38-1),IF(AND($L$37=0,$P$34=0),"",$L$37-1)),0,YEARFRAC(MAX($P$34*($B444+$I$38-1),IF(AND($L$37=0,$P$34=0),"",$L$37-1)),MIN(CO$38,$E444),$P$20))-SUM($BF444:CN444))</f>
        <v>0</v>
      </c>
      <c r="CP444" s="446">
        <f>IF($E444=0,0,IF(MIN(CP$38,$E444)&lt;MAX($P$34*($B444+$I$38-1),IF(AND($L$37=0,$P$34=0),"",$L$37-1)),0,YEARFRAC(MAX($P$34*($B444+$I$38-1),IF(AND($L$37=0,$P$34=0),"",$L$37-1)),MIN(CP$38,$E444),$P$20))-SUM($BF444:CO444))</f>
        <v>0</v>
      </c>
      <c r="CQ444" s="446">
        <f>IF($E444=0,0,IF(MIN(CQ$38,$E444)&lt;MAX($P$34*($B444+$I$38-1),IF(AND($L$37=0,$P$34=0),"",$L$37-1)),0,YEARFRAC(MAX($P$34*($B444+$I$38-1),IF(AND($L$37=0,$P$34=0),"",$L$37-1)),MIN(CQ$38,$E444),$P$20))-SUM($BF444:CP444))</f>
        <v>0</v>
      </c>
    </row>
    <row r="445" spans="1:95" s="446" customFormat="1" ht="11.25" hidden="1" customHeight="1" x14ac:dyDescent="0.2">
      <c r="A445" s="152"/>
      <c r="B445" s="153" t="str">
        <f t="shared" si="81"/>
        <v/>
      </c>
      <c r="C445" s="29" t="str">
        <f>IF(B445="","",IF($L$35="SELIC - TRIBUTOS",VLOOKUP(DATE(YEAR($D$19),MONTH($D$19)-1,1),ÍNDICES!$A:$DE,HLOOKUP($BL$25,ÍNDICES!$B$3:$T$4,2)+11)-VLOOKUP(B445,ÍNDICES!$A:$DE,HLOOKUP($BL$25,ÍNDICES!$B$3:$T$4,2)+11)+1%,IF(C$38=$W$26,$J$35,IF(ISERROR(IF(B445&gt;$D$19,1,VLOOKUP(DATE(YEAR(B445),MONTH(B445)+IF($C$35=$S$23,1,0),1),ÍNDICES!$A:$DE,$Z$35+1))),"",IF(B445&gt;$D$19,1,VLOOKUP(DATE(YEAR(B445),MONTH(B445)+IF($C$35=$S$23,1,0),1),ÍNDICES!$A:$DE,$Z$35+1))))))</f>
        <v/>
      </c>
      <c r="D445" s="154" t="str">
        <f>IF(ISERROR(IF(OR($D$38=$Y$27,$B445=""),"",VLOOKUP(B445,ÍNDICES!A:DE,AF$35+1))),"",IF(OR($D$38=$Y$27,$B445=""),"",VLOOKUP(B445,ÍNDICES!A:DE,AF$35+1)))</f>
        <v/>
      </c>
      <c r="E445" s="153"/>
      <c r="F445" s="29" t="str">
        <f>IF(E445="","",IF($L$35="SELIC - TRIBUTOS",VLOOKUP(DATE(YEAR($D$19),MONTH($D$19)-1,1),ÍNDICES!$A:$DE,HLOOKUP($BL$25,ÍNDICES!$B$3:$T$4,2)+11)-VLOOKUP(E445,ÍNDICES!$A:$DE,HLOOKUP($BL$25,ÍNDICES!$B$3:$T$4,2)+11)+1%,IF(F$38=$W$26,$J$35,IF(ISERROR(IF(E445&gt;$D$19,1,VLOOKUP(DATE(YEAR(E445),MONTH(E445)+IF($C$35=$S$23,1,0),1),ÍNDICES!$A:$DE,$Z$35+1))),"",IF(E445&gt;$D$19,1,VLOOKUP(DATE(YEAR(E445),MONTH(E445)+IF($C$35=$S$23,1,0),1),ÍNDICES!$A:$DE,$Z$35+1))))))</f>
        <v/>
      </c>
      <c r="G445" s="155"/>
      <c r="H445" s="156" t="str">
        <f t="shared" si="77"/>
        <v/>
      </c>
      <c r="I445" s="29" t="str">
        <f t="shared" si="71"/>
        <v/>
      </c>
      <c r="J445" s="5">
        <f t="shared" si="72"/>
        <v>0</v>
      </c>
      <c r="K445" s="20">
        <f t="shared" ca="1" si="73"/>
        <v>0</v>
      </c>
      <c r="L445" s="5">
        <f t="shared" ca="1" si="74"/>
        <v>0</v>
      </c>
      <c r="M445" s="64">
        <f t="shared" si="78"/>
        <v>0</v>
      </c>
      <c r="N445" s="61">
        <f t="shared" ca="1" si="79"/>
        <v>0</v>
      </c>
      <c r="O445" s="5">
        <f t="shared" ca="1" si="80"/>
        <v>0</v>
      </c>
      <c r="P445" s="446" t="e">
        <f t="shared" si="75"/>
        <v>#VALUE!</v>
      </c>
      <c r="Q445" s="446" t="e">
        <f>IF(OR($B445="",MIN(Q$38,$D$19)&lt;MAX($P$34*($B445+IF($R$17="Distrato",$I$38-1,0)),IF(AND($L$37=0,$P$34=0),"",$L$37-1),IF($R$17="Distrato",$E445,0))),0,YEARFRAC(MAX($P$34*($B445+IF($R$17="Distrato",$I$38-1,0)),IF(AND($L$37=0,$P$34=0),"",$L$37-1),IF($R$17="Distrato",$E445,0)),MIN(Q$38,$D$19),$P$20))-SUM($P445:P445)</f>
        <v>#VALUE!</v>
      </c>
      <c r="R445" s="446" t="e">
        <f>IF(OR($B445="",MIN(R$38,$D$19)&lt;MAX($P$34*($B445+IF($R$17="Distrato",$I$38-1,0)),IF(AND($L$37=0,$P$34=0),"",$L$37-1),IF($R$17="Distrato",$E445,0))),0,YEARFRAC(MAX($P$34*($B445+IF($R$17="Distrato",$I$38-1,0)),IF(AND($L$37=0,$P$34=0),"",$L$37-1),IF($R$17="Distrato",$E445,0)),MIN(R$38,$D$19),$P$20))-SUM($P445:Q445)</f>
        <v>#VALUE!</v>
      </c>
      <c r="S445" s="446" t="e">
        <f>IF(OR($B445="",MIN(S$38,$D$19)&lt;MAX($P$34*($B445+IF($R$17="Distrato",$I$38-1,0)),IF(AND($L$37=0,$P$34=0),"",$L$37-1),IF($R$17="Distrato",$E445,0))),0,YEARFRAC(MAX($P$34*($B445+IF($R$17="Distrato",$I$38-1,0)),IF(AND($L$37=0,$P$34=0),"",$L$37-1),IF($R$17="Distrato",$E445,0)),MIN(S$38,$D$19),$P$20))-SUM($P445:R445)</f>
        <v>#VALUE!</v>
      </c>
      <c r="T445" s="446" t="e">
        <f>IF(OR($B445="",MIN(T$38,$D$19)&lt;MAX($P$34*($B445+IF($R$17="Distrato",$I$38-1,0)),IF(AND($L$37=0,$P$34=0),"",$L$37-1),IF($R$17="Distrato",$E445,0))),0,YEARFRAC(MAX($P$34*($B445+IF($R$17="Distrato",$I$38-1,0)),IF(AND($L$37=0,$P$34=0),"",$L$37-1),IF($R$17="Distrato",$E445,0)),MIN(T$38,$D$19),$P$20))-SUM($P445:S445)</f>
        <v>#VALUE!</v>
      </c>
      <c r="U445" s="446" t="e">
        <f>IF(OR($B445="",MIN(U$38,$D$19)&lt;MAX($P$34*($B445+IF($R$17="Distrato",$I$38-1,0)),IF(AND($L$37=0,$P$34=0),"",$L$37-1),IF($R$17="Distrato",$E445,0))),0,YEARFRAC(MAX($P$34*($B445+IF($R$17="Distrato",$I$38-1,0)),IF(AND($L$37=0,$P$34=0),"",$L$37-1),IF($R$17="Distrato",$E445,0)),MIN(U$38,$D$19),$P$20))-SUM($P445:T445)</f>
        <v>#VALUE!</v>
      </c>
      <c r="V445" s="446" t="e">
        <f>IF(OR($B445="",MIN(V$38,$D$19)&lt;MAX($P$34*($B445+IF($R$17="Distrato",$I$38-1,0)),IF(AND($L$37=0,$P$34=0),"",$L$37-1),IF($R$17="Distrato",$E445,0))),0,YEARFRAC(MAX($P$34*($B445+IF($R$17="Distrato",$I$38-1,0)),IF(AND($L$37=0,$P$34=0),"",$L$37-1),IF($R$17="Distrato",$E445,0)),MIN(V$38,$D$19),$P$20))-SUM($P445:U445)</f>
        <v>#VALUE!</v>
      </c>
      <c r="W445" s="446" t="e">
        <f>IF(OR($B445="",MIN(W$38,$D$19)&lt;MAX($P$34*($B445+IF($R$17="Distrato",$I$38-1,0)),IF(AND($L$37=0,$P$34=0),"",$L$37-1),IF($R$17="Distrato",$E445,0))),0,YEARFRAC(MAX($P$34*($B445+IF($R$17="Distrato",$I$38-1,0)),IF(AND($L$37=0,$P$34=0),"",$L$37-1),IF($R$17="Distrato",$E445,0)),MIN(W$38,$D$19),$P$20))-SUM($P445:V445)</f>
        <v>#VALUE!</v>
      </c>
      <c r="X445" s="446" t="e">
        <f>IF(OR($B445="",MIN(X$38,$D$19)&lt;MAX($P$34*($B445+IF($R$17="Distrato",$I$38-1,0)),IF(AND($L$37=0,$P$34=0),"",$L$37-1),IF($R$17="Distrato",$E445,0))),0,YEARFRAC(MAX($P$34*($B445+IF($R$17="Distrato",$I$38-1,0)),IF(AND($L$37=0,$P$34=0),"",$L$37-1),IF($R$17="Distrato",$E445,0)),MIN(X$38,$D$19),$P$20))-SUM($P445:W445)</f>
        <v>#VALUE!</v>
      </c>
      <c r="Y445" s="446" t="e">
        <f>IF(OR($B445="",MIN(Y$38,$D$19)&lt;MAX($P$34*($B445+IF($R$17="Distrato",$I$38-1,0)),IF(AND($L$37=0,$P$34=0),"",$L$37-1),IF($R$17="Distrato",$E445,0))),0,YEARFRAC(MAX($P$34*($B445+IF($R$17="Distrato",$I$38-1,0)),IF(AND($L$37=0,$P$34=0),"",$L$37-1),IF($R$17="Distrato",$E445,0)),MIN(Y$38,$D$19),$P$20))-SUM($P445:X445)</f>
        <v>#VALUE!</v>
      </c>
      <c r="Z445" s="446" t="e">
        <f>IF(OR($B445="",MIN(Z$38,$D$19)&lt;MAX($P$34*($B445+IF($R$17="Distrato",$I$38-1,0)),IF(AND($L$37=0,$P$34=0),"",$L$37-1),IF($R$17="Distrato",$E445,0))),0,YEARFRAC(MAX($P$34*($B445+IF($R$17="Distrato",$I$38-1,0)),IF(AND($L$37=0,$P$34=0),"",$L$37-1),IF($R$17="Distrato",$E445,0)),MIN(Z$38,$D$19),$P$20))-SUM($P445:Y445)</f>
        <v>#VALUE!</v>
      </c>
      <c r="AA445" s="446" t="e">
        <f>IF(OR($B445="",MIN(AA$38,$D$19)&lt;MAX($P$34*($B445+IF($R$17="Distrato",$I$38-1,0)),IF(AND($L$37=0,$P$34=0),"",$L$37-1),IF($R$17="Distrato",$E445,0))),0,YEARFRAC(MAX($P$34*($B445+IF($R$17="Distrato",$I$38-1,0)),IF(AND($L$37=0,$P$34=0),"",$L$37-1),IF($R$17="Distrato",$E445,0)),MIN(AA$38,$D$19),$P$20))-SUM($P445:Z445)</f>
        <v>#VALUE!</v>
      </c>
      <c r="AB445" s="446" t="e">
        <f>IF(OR($B445="",MIN(AB$38,$D$19)&lt;MAX($P$34*($B445+IF($R$17="Distrato",$I$38-1,0)),IF(AND($L$37=0,$P$34=0),"",$L$37-1),IF($R$17="Distrato",$E445,0))),0,YEARFRAC(MAX($P$34*($B445+IF($R$17="Distrato",$I$38-1,0)),IF(AND($L$37=0,$P$34=0),"",$L$37-1),IF($R$17="Distrato",$E445,0)),MIN(AB$38,$D$19),$P$20))-SUM($P445:AA445)</f>
        <v>#VALUE!</v>
      </c>
      <c r="AC445" s="446" t="e">
        <f>IF(OR($B445="",MIN(AC$38,$D$19)&lt;MAX($P$34*($B445+IF($R$17="Distrato",$I$38-1,0)),IF(AND($L$37=0,$P$34=0),"",$L$37-1),IF($R$17="Distrato",$E445,0))),0,YEARFRAC(MAX($P$34*($B445+IF($R$17="Distrato",$I$38-1,0)),IF(AND($L$37=0,$P$34=0),"",$L$37-1),IF($R$17="Distrato",$E445,0)),MIN(AC$38,$D$19),$P$20))-SUM($P445:AB445)</f>
        <v>#VALUE!</v>
      </c>
      <c r="AD445" s="446" t="e">
        <f>IF(OR($B445="",MIN(AD$38,$D$19)&lt;MAX($P$34*($B445+IF($R$17="Distrato",$I$38-1,0)),IF(AND($L$37=0,$P$34=0),"",$L$37-1),IF($R$17="Distrato",$E445,0))),0,YEARFRAC(MAX($P$34*($B445+IF($R$17="Distrato",$I$38-1,0)),IF(AND($L$37=0,$P$34=0),"",$L$37-1),IF($R$17="Distrato",$E445,0)),MIN(AD$38,$D$19),$P$20))-SUM($P445:AC445)</f>
        <v>#VALUE!</v>
      </c>
      <c r="AE445" s="446" t="e">
        <f>IF(OR($B445="",MIN(AE$38,$D$19)&lt;MAX($P$34*($B445+IF($R$17="Distrato",$I$38-1,0)),IF(AND($L$37=0,$P$34=0),"",$L$37-1),IF($R$17="Distrato",$E445,0))),0,YEARFRAC(MAX($P$34*($B445+IF($R$17="Distrato",$I$38-1,0)),IF(AND($L$37=0,$P$34=0),"",$L$37-1),IF($R$17="Distrato",$E445,0)),MIN(AE$38,$D$19),$P$20))-SUM($P445:AD445)</f>
        <v>#VALUE!</v>
      </c>
      <c r="AF445" s="446" t="e">
        <f>IF(OR($B445="",MIN(AF$38,$D$19)&lt;MAX($P$34*($B445+IF($R$17="Distrato",$I$38-1,0)),IF(AND($L$37=0,$P$34=0),"",$L$37-1),IF($R$17="Distrato",$E445,0))),0,YEARFRAC(MAX($P$34*($B445+IF($R$17="Distrato",$I$38-1,0)),IF(AND($L$37=0,$P$34=0),"",$L$37-1),IF($R$17="Distrato",$E445,0)),MIN(AF$38,$D$19),$P$20))-SUM($P445:AE445)</f>
        <v>#VALUE!</v>
      </c>
      <c r="AG445" s="446" t="e">
        <f>IF(OR($B445="",MIN(AG$38,$D$19)&lt;MAX($P$34*($B445+IF($R$17="Distrato",$I$38-1,0)),IF(AND($L$37=0,$P$34=0),"",$L$37-1),IF($R$17="Distrato",$E445,0))),0,YEARFRAC(MAX($P$34*($B445+IF($R$17="Distrato",$I$38-1,0)),IF(AND($L$37=0,$P$34=0),"",$L$37-1),IF($R$17="Distrato",$E445,0)),MIN(AG$38,$D$19),$P$20))-SUM($P445:AF445)</f>
        <v>#VALUE!</v>
      </c>
      <c r="AH445" s="446" t="e">
        <f>IF(OR($B445="",MIN(AH$38,$D$19)&lt;MAX($P$34*($B445+IF($R$17="Distrato",$I$38-1,0)),IF(AND($L$37=0,$P$34=0),"",$L$37-1),IF($R$17="Distrato",$E445,0))),0,YEARFRAC(MAX($P$34*($B445+IF($R$17="Distrato",$I$38-1,0)),IF(AND($L$37=0,$P$34=0),"",$L$37-1),IF($R$17="Distrato",$E445,0)),MIN(AH$38,$D$19),$P$20))-SUM($P445:AG445)</f>
        <v>#VALUE!</v>
      </c>
      <c r="AI445" s="446" t="e">
        <f>IF(OR($B445="",MIN(AI$38,$D$19)&lt;MAX($P$34*($B445+IF($R$17="Distrato",$I$38-1,0)),IF(AND($L$37=0,$P$34=0),"",$L$37-1),IF($R$17="Distrato",$E445,0))),0,YEARFRAC(MAX($P$34*($B445+IF($R$17="Distrato",$I$38-1,0)),IF(AND($L$37=0,$P$34=0),"",$L$37-1),IF($R$17="Distrato",$E445,0)),MIN(AI$38,$D$19),$P$20))-SUM($P445:AH445)</f>
        <v>#VALUE!</v>
      </c>
      <c r="AJ445" s="446" t="e">
        <f>IF(OR($B445="",MIN(AJ$38,$D$19)&lt;MAX($P$34*($B445+IF($R$17="Distrato",$I$38-1,0)),IF(AND($L$37=0,$P$34=0),"",$L$37-1),IF($R$17="Distrato",$E445,0))),0,YEARFRAC(MAX($P$34*($B445+IF($R$17="Distrato",$I$38-1,0)),IF(AND($L$37=0,$P$34=0),"",$L$37-1),IF($R$17="Distrato",$E445,0)),MIN(AJ$38,$D$19),$P$20))-SUM($P445:AI445)</f>
        <v>#VALUE!</v>
      </c>
      <c r="AK445" s="446" t="e">
        <f>IF(OR($B445="",MIN(AK$38,$D$19)&lt;MAX($P$34*($B445+IF($R$17="Distrato",$I$38-1,0)),IF(AND($L$37=0,$P$34=0),"",$L$37-1),IF($R$17="Distrato",$E445,0))),0,YEARFRAC(MAX($P$34*($B445+IF($R$17="Distrato",$I$38-1,0)),IF(AND($L$37=0,$P$34=0),"",$L$37-1),IF($R$17="Distrato",$E445,0)),MIN(AK$38,$D$19),$P$20))-SUM($P445:AJ445)</f>
        <v>#VALUE!</v>
      </c>
      <c r="AL445" s="446" t="e">
        <f>IF(OR($B445="",MIN(AL$38,$D$19)&lt;MAX($P$34*($B445+IF($R$17="Distrato",$I$38-1,0)),IF(AND($L$37=0,$P$34=0),"",$L$37-1),IF($R$17="Distrato",$E445,0))),0,YEARFRAC(MAX($P$34*($B445+IF($R$17="Distrato",$I$38-1,0)),IF(AND($L$37=0,$P$34=0),"",$L$37-1),IF($R$17="Distrato",$E445,0)),MIN(AL$38,$D$19),$P$20))-SUM($P445:AK445)</f>
        <v>#VALUE!</v>
      </c>
      <c r="AM445" s="446" t="e">
        <f>IF(OR($B445="",MIN(AM$38,$D$19)&lt;MAX($P$34*($B445+IF($R$17="Distrato",$I$38-1,0)),IF(AND($L$37=0,$P$34=0),"",$L$37-1),IF($R$17="Distrato",$E445,0))),0,YEARFRAC(MAX($P$34*($B445+IF($R$17="Distrato",$I$38-1,0)),IF(AND($L$37=0,$P$34=0),"",$L$37-1),IF($R$17="Distrato",$E445,0)),MIN(AM$38,$D$19),$P$20))-SUM($P445:AL445)</f>
        <v>#VALUE!</v>
      </c>
      <c r="AN445" s="446" t="e">
        <f>IF(OR($B445="",MIN(AN$38,$D$19)&lt;MAX($P$34*($B445+IF($R$17="Distrato",$I$38-1,0)),IF(AND($L$37=0,$P$34=0),"",$L$37-1),IF($R$17="Distrato",$E445,0))),0,YEARFRAC(MAX($P$34*($B445+IF($R$17="Distrato",$I$38-1,0)),IF(AND($L$37=0,$P$34=0),"",$L$37-1),IF($R$17="Distrato",$E445,0)),MIN(AN$38,$D$19),$P$20))-SUM($P445:AM445)</f>
        <v>#VALUE!</v>
      </c>
      <c r="AO445" s="446" t="e">
        <f>IF(OR($B445="",MIN(AO$38,$D$19)&lt;MAX($P$34*($B445+IF($R$17="Distrato",$I$38-1,0)),IF(AND($L$37=0,$P$34=0),"",$L$37-1),IF($R$17="Distrato",$E445,0))),0,YEARFRAC(MAX($P$34*($B445+IF($R$17="Distrato",$I$38-1,0)),IF(AND($L$37=0,$P$34=0),"",$L$37-1),IF($R$17="Distrato",$E445,0)),MIN(AO$38,$D$19),$P$20))-SUM($P445:AN445)</f>
        <v>#VALUE!</v>
      </c>
      <c r="AP445" s="446" t="e">
        <f>IF(OR($B445="",MIN(AP$38,$D$19)&lt;MAX($P$34*($B445+IF($R$17="Distrato",$I$38-1,0)),IF(AND($L$37=0,$P$34=0),"",$L$37-1),IF($R$17="Distrato",$E445,0))),0,YEARFRAC(MAX($P$34*($B445+IF($R$17="Distrato",$I$38-1,0)),IF(AND($L$37=0,$P$34=0),"",$L$37-1),IF($R$17="Distrato",$E445,0)),MIN(AP$38,$D$19),$P$20))-SUM($P445:AO445)</f>
        <v>#VALUE!</v>
      </c>
      <c r="AQ445" s="446" t="e">
        <f>IF(OR($B445="",MIN(AQ$38,$D$19)&lt;MAX($P$34*($B445+IF($R$17="Distrato",$I$38-1,0)),IF(AND($L$37=0,$P$34=0),"",$L$37-1),IF($R$17="Distrato",$E445,0))),0,YEARFRAC(MAX($P$34*($B445+IF($R$17="Distrato",$I$38-1,0)),IF(AND($L$37=0,$P$34=0),"",$L$37-1),IF($R$17="Distrato",$E445,0)),MIN(AQ$38,$D$19),$P$20))-SUM($P445:AP445)</f>
        <v>#VALUE!</v>
      </c>
      <c r="AR445" s="446" t="e">
        <f>IF(OR($B445="",MIN(AR$38,$D$19)&lt;MAX($P$34*($B445+IF($R$17="Distrato",$I$38-1,0)),IF(AND($L$37=0,$P$34=0),"",$L$37-1),IF($R$17="Distrato",$E445,0))),0,YEARFRAC(MAX($P$34*($B445+IF($R$17="Distrato",$I$38-1,0)),IF(AND($L$37=0,$P$34=0),"",$L$37-1),IF($R$17="Distrato",$E445,0)),MIN(AR$38,$D$19),$P$20))-SUM($P445:AQ445)</f>
        <v>#VALUE!</v>
      </c>
      <c r="AS445" s="446" t="e">
        <f>IF(OR($B445="",MIN(AS$38,$D$19)&lt;MAX($P$34*($B445+IF($R$17="Distrato",$I$38-1,0)),IF(AND($L$37=0,$P$34=0),"",$L$37-1),IF($R$17="Distrato",$E445,0))),0,YEARFRAC(MAX($P$34*($B445+IF($R$17="Distrato",$I$38-1,0)),IF(AND($L$37=0,$P$34=0),"",$L$37-1),IF($R$17="Distrato",$E445,0)),MIN(AS$38,$D$19),$P$20))-SUM($P445:AR445)</f>
        <v>#VALUE!</v>
      </c>
      <c r="AT445" s="446" t="e">
        <f>IF(OR($B445="",MIN(AT$38,$D$19)&lt;MAX($P$34*($B445+IF($R$17="Distrato",$I$38-1,0)),IF(AND($L$37=0,$P$34=0),"",$L$37-1),IF($R$17="Distrato",$E445,0))),0,YEARFRAC(MAX($P$34*($B445+IF($R$17="Distrato",$I$38-1,0)),IF(AND($L$37=0,$P$34=0),"",$L$37-1),IF($R$17="Distrato",$E445,0)),MIN(AT$38,$D$19),$P$20))-SUM($P445:AS445)</f>
        <v>#VALUE!</v>
      </c>
      <c r="AU445" s="446" t="e">
        <f>IF(OR($B445="",MIN(AU$38,$D$19)&lt;MAX($P$34*($B445+IF($R$17="Distrato",$I$38-1,0)),IF(AND($L$37=0,$P$34=0),"",$L$37-1),IF($R$17="Distrato",$E445,0))),0,YEARFRAC(MAX($P$34*($B445+IF($R$17="Distrato",$I$38-1,0)),IF(AND($L$37=0,$P$34=0),"",$L$37-1),IF($R$17="Distrato",$E445,0)),MIN(AU$38,$D$19),$P$20))-SUM($P445:AT445)</f>
        <v>#VALUE!</v>
      </c>
      <c r="AV445" s="446" t="e">
        <f>IF(OR($B445="",MIN(AV$38,$D$19)&lt;MAX($P$34*($B445+IF($R$17="Distrato",$I$38-1,0)),IF(AND($L$37=0,$P$34=0),"",$L$37-1),IF($R$17="Distrato",$E445,0))),0,YEARFRAC(MAX($P$34*($B445+IF($R$17="Distrato",$I$38-1,0)),IF(AND($L$37=0,$P$34=0),"",$L$37-1),IF($R$17="Distrato",$E445,0)),MIN(AV$38,$D$19),$P$20))-SUM($P445:AU445)</f>
        <v>#VALUE!</v>
      </c>
      <c r="AW445" s="446" t="e">
        <f>IF(OR($B445="",MIN(AW$38,$D$19)&lt;MAX($P$34*($B445+IF($R$17="Distrato",$I$38-1,0)),IF(AND($L$37=0,$P$34=0),"",$L$37-1),IF($R$17="Distrato",$E445,0))),0,YEARFRAC(MAX($P$34*($B445+IF($R$17="Distrato",$I$38-1,0)),IF(AND($L$37=0,$P$34=0),"",$L$37-1),IF($R$17="Distrato",$E445,0)),MIN(AW$38,$D$19),$P$20))-SUM($P445:AV445)</f>
        <v>#VALUE!</v>
      </c>
      <c r="AX445" s="446" t="e">
        <f>IF(OR($B445="",MIN(AX$38,$D$19)&lt;MAX($P$34*($B445+IF($R$17="Distrato",$I$38-1,0)),IF(AND($L$37=0,$P$34=0),"",$L$37-1),IF($R$17="Distrato",$E445,0))),0,YEARFRAC(MAX($P$34*($B445+IF($R$17="Distrato",$I$38-1,0)),IF(AND($L$37=0,$P$34=0),"",$L$37-1),IF($R$17="Distrato",$E445,0)),MIN(AX$38,$D$19),$P$20))-SUM($P445:AW445)</f>
        <v>#VALUE!</v>
      </c>
      <c r="AY445" s="446" t="e">
        <f>IF(OR($B445="",MIN(AY$38,$D$19)&lt;MAX($P$34*($B445+IF($R$17="Distrato",$I$38-1,0)),IF(AND($L$37=0,$P$34=0),"",$L$37-1),IF($R$17="Distrato",$E445,0))),0,YEARFRAC(MAX($P$34*($B445+IF($R$17="Distrato",$I$38-1,0)),IF(AND($L$37=0,$P$34=0),"",$L$37-1),IF($R$17="Distrato",$E445,0)),MIN(AY$38,$D$19),$P$20))-SUM($P445:AX445)</f>
        <v>#VALUE!</v>
      </c>
      <c r="AZ445" s="446" t="e">
        <f>IF(OR($B445="",MIN(AZ$38,$D$19)&lt;MAX($P$34*($B445+IF($R$17="Distrato",$I$38-1,0)),IF(AND($L$37=0,$P$34=0),"",$L$37-1),IF($R$17="Distrato",$E445,0))),0,YEARFRAC(MAX($P$34*($B445+IF($R$17="Distrato",$I$38-1,0)),IF(AND($L$37=0,$P$34=0),"",$L$37-1),IF($R$17="Distrato",$E445,0)),MIN(AZ$38,$D$19),$P$20))-SUM($P445:AY445)</f>
        <v>#VALUE!</v>
      </c>
      <c r="BA445" s="446" t="e">
        <f>IF(OR($B445="",MIN(BA$38,$D$19)&lt;MAX($P$34*($B445+IF($R$17="Distrato",$I$38-1,0)),IF(AND($L$37=0,$P$34=0),"",$L$37-1),IF($R$17="Distrato",$E445,0))),0,YEARFRAC(MAX($P$34*($B445+IF($R$17="Distrato",$I$38-1,0)),IF(AND($L$37=0,$P$34=0),"",$L$37-1),IF($R$17="Distrato",$E445,0)),MIN(BA$38,$D$19),$P$20))-SUM($P445:AZ445)</f>
        <v>#VALUE!</v>
      </c>
      <c r="BB445" s="447"/>
      <c r="BF445" s="446">
        <f t="shared" si="76"/>
        <v>0</v>
      </c>
      <c r="BG445" s="446">
        <f>IF($E445=0,0,IF(MIN(BG$38,$E445)&lt;MAX($P$34*($B445+$I$38-1),IF(AND($L$37=0,$P$34=0),"",$L$37-1)),0,YEARFRAC(MAX($P$34*($B445+$I$38-1),IF(AND($L$37=0,$P$34=0),"",$L$37-1)),MIN(BG$38,$E445),$P$20))-SUM($BF445:BF445))</f>
        <v>0</v>
      </c>
      <c r="BH445" s="446">
        <f>IF($E445=0,0,IF(MIN(BH$38,$E445)&lt;MAX($P$34*($B445+$I$38-1),IF(AND($L$37=0,$P$34=0),"",$L$37-1)),0,YEARFRAC(MAX($P$34*($B445+$I$38-1),IF(AND($L$37=0,$P$34=0),"",$L$37-1)),MIN(BH$38,$E445),$P$20))-SUM($BF445:BG445))</f>
        <v>0</v>
      </c>
      <c r="BI445" s="446">
        <f>IF($E445=0,0,IF(MIN(BI$38,$E445)&lt;MAX($P$34*($B445+$I$38-1),IF(AND($L$37=0,$P$34=0),"",$L$37-1)),0,YEARFRAC(MAX($P$34*($B445+$I$38-1),IF(AND($L$37=0,$P$34=0),"",$L$37-1)),MIN(BI$38,$E445),$P$20))-SUM($BF445:BH445))</f>
        <v>0</v>
      </c>
      <c r="BJ445" s="446">
        <f>IF($E445=0,0,IF(MIN(BJ$38,$E445)&lt;MAX($P$34*($B445+$I$38-1),IF(AND($L$37=0,$P$34=0),"",$L$37-1)),0,YEARFRAC(MAX($P$34*($B445+$I$38-1),IF(AND($L$37=0,$P$34=0),"",$L$37-1)),MIN(BJ$38,$E445),$P$20))-SUM($BF445:BI445))</f>
        <v>0</v>
      </c>
      <c r="BK445" s="446">
        <f>IF($E445=0,0,IF(MIN(BK$38,$E445)&lt;MAX($P$34*($B445+$I$38-1),IF(AND($L$37=0,$P$34=0),"",$L$37-1)),0,YEARFRAC(MAX($P$34*($B445+$I$38-1),IF(AND($L$37=0,$P$34=0),"",$L$37-1)),MIN(BK$38,$E445),$P$20))-SUM($BF445:BJ445))</f>
        <v>0</v>
      </c>
      <c r="BL445" s="446">
        <f>IF($E445=0,0,IF(MIN(BL$38,$E445)&lt;MAX($P$34*($B445+$I$38-1),IF(AND($L$37=0,$P$34=0),"",$L$37-1)),0,YEARFRAC(MAX($P$34*($B445+$I$38-1),IF(AND($L$37=0,$P$34=0),"",$L$37-1)),MIN(BL$38,$E445),$P$20))-SUM($BF445:BK445))</f>
        <v>0</v>
      </c>
      <c r="BM445" s="446">
        <f>IF($E445=0,0,IF(MIN(BM$38,$E445)&lt;MAX($P$34*($B445+$I$38-1),IF(AND($L$37=0,$P$34=0),"",$L$37-1)),0,YEARFRAC(MAX($P$34*($B445+$I$38-1),IF(AND($L$37=0,$P$34=0),"",$L$37-1)),MIN(BM$38,$E445),$P$20))-SUM($BF445:BL445))</f>
        <v>0</v>
      </c>
      <c r="BN445" s="446">
        <f>IF($E445=0,0,IF(MIN(BN$38,$E445)&lt;MAX($P$34*($B445+$I$38-1),IF(AND($L$37=0,$P$34=0),"",$L$37-1)),0,YEARFRAC(MAX($P$34*($B445+$I$38-1),IF(AND($L$37=0,$P$34=0),"",$L$37-1)),MIN(BN$38,$E445),$P$20))-SUM($BF445:BM445))</f>
        <v>0</v>
      </c>
      <c r="BO445" s="446">
        <f>IF($E445=0,0,IF(MIN(BO$38,$E445)&lt;MAX($P$34*($B445+$I$38-1),IF(AND($L$37=0,$P$34=0),"",$L$37-1)),0,YEARFRAC(MAX($P$34*($B445+$I$38-1),IF(AND($L$37=0,$P$34=0),"",$L$37-1)),MIN(BO$38,$E445),$P$20))-SUM($BF445:BN445))</f>
        <v>0</v>
      </c>
      <c r="BP445" s="446">
        <f>IF($E445=0,0,IF(MIN(BP$38,$E445)&lt;MAX($P$34*($B445+$I$38-1),IF(AND($L$37=0,$P$34=0),"",$L$37-1)),0,YEARFRAC(MAX($P$34*($B445+$I$38-1),IF(AND($L$37=0,$P$34=0),"",$L$37-1)),MIN(BP$38,$E445),$P$20))-SUM($BF445:BO445))</f>
        <v>0</v>
      </c>
      <c r="BQ445" s="446">
        <f>IF($E445=0,0,IF(MIN(BQ$38,$E445)&lt;MAX($P$34*($B445+$I$38-1),IF(AND($L$37=0,$P$34=0),"",$L$37-1)),0,YEARFRAC(MAX($P$34*($B445+$I$38-1),IF(AND($L$37=0,$P$34=0),"",$L$37-1)),MIN(BQ$38,$E445),$P$20))-SUM($BF445:BP445))</f>
        <v>0</v>
      </c>
      <c r="BR445" s="446">
        <f>IF($E445=0,0,IF(MIN(BR$38,$E445)&lt;MAX($P$34*($B445+$I$38-1),IF(AND($L$37=0,$P$34=0),"",$L$37-1)),0,YEARFRAC(MAX($P$34*($B445+$I$38-1),IF(AND($L$37=0,$P$34=0),"",$L$37-1)),MIN(BR$38,$E445),$P$20))-SUM($BF445:BQ445))</f>
        <v>0</v>
      </c>
      <c r="BS445" s="446">
        <f>IF($E445=0,0,IF(MIN(BS$38,$E445)&lt;MAX($P$34*($B445+$I$38-1),IF(AND($L$37=0,$P$34=0),"",$L$37-1)),0,YEARFRAC(MAX($P$34*($B445+$I$38-1),IF(AND($L$37=0,$P$34=0),"",$L$37-1)),MIN(BS$38,$E445),$P$20))-SUM($BF445:BR445))</f>
        <v>0</v>
      </c>
      <c r="BT445" s="446">
        <f>IF($E445=0,0,IF(MIN(BT$38,$E445)&lt;MAX($P$34*($B445+$I$38-1),IF(AND($L$37=0,$P$34=0),"",$L$37-1)),0,YEARFRAC(MAX($P$34*($B445+$I$38-1),IF(AND($L$37=0,$P$34=0),"",$L$37-1)),MIN(BT$38,$E445),$P$20))-SUM($BF445:BS445))</f>
        <v>0</v>
      </c>
      <c r="BU445" s="446">
        <f>IF($E445=0,0,IF(MIN(BU$38,$E445)&lt;MAX($P$34*($B445+$I$38-1),IF(AND($L$37=0,$P$34=0),"",$L$37-1)),0,YEARFRAC(MAX($P$34*($B445+$I$38-1),IF(AND($L$37=0,$P$34=0),"",$L$37-1)),MIN(BU$38,$E445),$P$20))-SUM($BF445:BT445))</f>
        <v>0</v>
      </c>
      <c r="BV445" s="446">
        <f>IF($E445=0,0,IF(MIN(BV$38,$E445)&lt;MAX($P$34*($B445+$I$38-1),IF(AND($L$37=0,$P$34=0),"",$L$37-1)),0,YEARFRAC(MAX($P$34*($B445+$I$38-1),IF(AND($L$37=0,$P$34=0),"",$L$37-1)),MIN(BV$38,$E445),$P$20))-SUM($BF445:BU445))</f>
        <v>0</v>
      </c>
      <c r="BW445" s="446">
        <f>IF($E445=0,0,IF(MIN(BW$38,$E445)&lt;MAX($P$34*($B445+$I$38-1),IF(AND($L$37=0,$P$34=0),"",$L$37-1)),0,YEARFRAC(MAX($P$34*($B445+$I$38-1),IF(AND($L$37=0,$P$34=0),"",$L$37-1)),MIN(BW$38,$E445),$P$20))-SUM($BF445:BV445))</f>
        <v>0</v>
      </c>
      <c r="BX445" s="446">
        <f>IF($E445=0,0,IF(MIN(BX$38,$E445)&lt;MAX($P$34*($B445+$I$38-1),IF(AND($L$37=0,$P$34=0),"",$L$37-1)),0,YEARFRAC(MAX($P$34*($B445+$I$38-1),IF(AND($L$37=0,$P$34=0),"",$L$37-1)),MIN(BX$38,$E445),$P$20))-SUM($BF445:BW445))</f>
        <v>0</v>
      </c>
      <c r="BY445" s="446">
        <f>IF($E445=0,0,IF(MIN(BY$38,$E445)&lt;MAX($P$34*($B445+$I$38-1),IF(AND($L$37=0,$P$34=0),"",$L$37-1)),0,YEARFRAC(MAX($P$34*($B445+$I$38-1),IF(AND($L$37=0,$P$34=0),"",$L$37-1)),MIN(BY$38,$E445),$P$20))-SUM($BF445:BX445))</f>
        <v>0</v>
      </c>
      <c r="BZ445" s="446">
        <f>IF($E445=0,0,IF(MIN(BZ$38,$E445)&lt;MAX($P$34*($B445+$I$38-1),IF(AND($L$37=0,$P$34=0),"",$L$37-1)),0,YEARFRAC(MAX($P$34*($B445+$I$38-1),IF(AND($L$37=0,$P$34=0),"",$L$37-1)),MIN(BZ$38,$E445),$P$20))-SUM($BF445:BY445))</f>
        <v>0</v>
      </c>
      <c r="CA445" s="446">
        <f>IF($E445=0,0,IF(MIN(CA$38,$E445)&lt;MAX($P$34*($B445+$I$38-1),IF(AND($L$37=0,$P$34=0),"",$L$37-1)),0,YEARFRAC(MAX($P$34*($B445+$I$38-1),IF(AND($L$37=0,$P$34=0),"",$L$37-1)),MIN(CA$38,$E445),$P$20))-SUM($BF445:BZ445))</f>
        <v>0</v>
      </c>
      <c r="CB445" s="446">
        <f>IF($E445=0,0,IF(MIN(CB$38,$E445)&lt;MAX($P$34*($B445+$I$38-1),IF(AND($L$37=0,$P$34=0),"",$L$37-1)),0,YEARFRAC(MAX($P$34*($B445+$I$38-1),IF(AND($L$37=0,$P$34=0),"",$L$37-1)),MIN(CB$38,$E445),$P$20))-SUM($BF445:CA445))</f>
        <v>0</v>
      </c>
      <c r="CC445" s="446">
        <f>IF($E445=0,0,IF(MIN(CC$38,$E445)&lt;MAX($P$34*($B445+$I$38-1),IF(AND($L$37=0,$P$34=0),"",$L$37-1)),0,YEARFRAC(MAX($P$34*($B445+$I$38-1),IF(AND($L$37=0,$P$34=0),"",$L$37-1)),MIN(CC$38,$E445),$P$20))-SUM($BF445:CB445))</f>
        <v>0</v>
      </c>
      <c r="CD445" s="446">
        <f>IF($E445=0,0,IF(MIN(CD$38,$E445)&lt;MAX($P$34*($B445+$I$38-1),IF(AND($L$37=0,$P$34=0),"",$L$37-1)),0,YEARFRAC(MAX($P$34*($B445+$I$38-1),IF(AND($L$37=0,$P$34=0),"",$L$37-1)),MIN(CD$38,$E445),$P$20))-SUM($BF445:CC445))</f>
        <v>0</v>
      </c>
      <c r="CE445" s="446">
        <f>IF($E445=0,0,IF(MIN(CE$38,$E445)&lt;MAX($P$34*($B445+$I$38-1),IF(AND($L$37=0,$P$34=0),"",$L$37-1)),0,YEARFRAC(MAX($P$34*($B445+$I$38-1),IF(AND($L$37=0,$P$34=0),"",$L$37-1)),MIN(CE$38,$E445),$P$20))-SUM($BF445:CD445))</f>
        <v>0</v>
      </c>
      <c r="CF445" s="446">
        <f>IF($E445=0,0,IF(MIN(CF$38,$E445)&lt;MAX($P$34*($B445+$I$38-1),IF(AND($L$37=0,$P$34=0),"",$L$37-1)),0,YEARFRAC(MAX($P$34*($B445+$I$38-1),IF(AND($L$37=0,$P$34=0),"",$L$37-1)),MIN(CF$38,$E445),$P$20))-SUM($BF445:CE445))</f>
        <v>0</v>
      </c>
      <c r="CG445" s="446">
        <f>IF($E445=0,0,IF(MIN(CG$38,$E445)&lt;MAX($P$34*($B445+$I$38-1),IF(AND($L$37=0,$P$34=0),"",$L$37-1)),0,YEARFRAC(MAX($P$34*($B445+$I$38-1),IF(AND($L$37=0,$P$34=0),"",$L$37-1)),MIN(CG$38,$E445),$P$20))-SUM($BF445:CF445))</f>
        <v>0</v>
      </c>
      <c r="CH445" s="446">
        <f>IF($E445=0,0,IF(MIN(CH$38,$E445)&lt;MAX($P$34*($B445+$I$38-1),IF(AND($L$37=0,$P$34=0),"",$L$37-1)),0,YEARFRAC(MAX($P$34*($B445+$I$38-1),IF(AND($L$37=0,$P$34=0),"",$L$37-1)),MIN(CH$38,$E445),$P$20))-SUM($BF445:CG445))</f>
        <v>0</v>
      </c>
      <c r="CI445" s="446">
        <f>IF($E445=0,0,IF(MIN(CI$38,$E445)&lt;MAX($P$34*($B445+$I$38-1),IF(AND($L$37=0,$P$34=0),"",$L$37-1)),0,YEARFRAC(MAX($P$34*($B445+$I$38-1),IF(AND($L$37=0,$P$34=0),"",$L$37-1)),MIN(CI$38,$E445),$P$20))-SUM($BF445:CH445))</f>
        <v>0</v>
      </c>
      <c r="CJ445" s="446">
        <f>IF($E445=0,0,IF(MIN(CJ$38,$E445)&lt;MAX($P$34*($B445+$I$38-1),IF(AND($L$37=0,$P$34=0),"",$L$37-1)),0,YEARFRAC(MAX($P$34*($B445+$I$38-1),IF(AND($L$37=0,$P$34=0),"",$L$37-1)),MIN(CJ$38,$E445),$P$20))-SUM($BF445:CI445))</f>
        <v>0</v>
      </c>
      <c r="CK445" s="446">
        <f>IF($E445=0,0,IF(MIN(CK$38,$E445)&lt;MAX($P$34*($B445+$I$38-1),IF(AND($L$37=0,$P$34=0),"",$L$37-1)),0,YEARFRAC(MAX($P$34*($B445+$I$38-1),IF(AND($L$37=0,$P$34=0),"",$L$37-1)),MIN(CK$38,$E445),$P$20))-SUM($BF445:CJ445))</f>
        <v>0</v>
      </c>
      <c r="CL445" s="446">
        <f>IF($E445=0,0,IF(MIN(CL$38,$E445)&lt;MAX($P$34*($B445+$I$38-1),IF(AND($L$37=0,$P$34=0),"",$L$37-1)),0,YEARFRAC(MAX($P$34*($B445+$I$38-1),IF(AND($L$37=0,$P$34=0),"",$L$37-1)),MIN(CL$38,$E445),$P$20))-SUM($BF445:CK445))</f>
        <v>0</v>
      </c>
      <c r="CM445" s="446">
        <f>IF($E445=0,0,IF(MIN(CM$38,$E445)&lt;MAX($P$34*($B445+$I$38-1),IF(AND($L$37=0,$P$34=0),"",$L$37-1)),0,YEARFRAC(MAX($P$34*($B445+$I$38-1),IF(AND($L$37=0,$P$34=0),"",$L$37-1)),MIN(CM$38,$E445),$P$20))-SUM($BF445:CL445))</f>
        <v>0</v>
      </c>
      <c r="CN445" s="446">
        <f>IF($E445=0,0,IF(MIN(CN$38,$E445)&lt;MAX($P$34*($B445+$I$38-1),IF(AND($L$37=0,$P$34=0),"",$L$37-1)),0,YEARFRAC(MAX($P$34*($B445+$I$38-1),IF(AND($L$37=0,$P$34=0),"",$L$37-1)),MIN(CN$38,$E445),$P$20))-SUM($BF445:CM445))</f>
        <v>0</v>
      </c>
      <c r="CO445" s="446">
        <f>IF($E445=0,0,IF(MIN(CO$38,$E445)&lt;MAX($P$34*($B445+$I$38-1),IF(AND($L$37=0,$P$34=0),"",$L$37-1)),0,YEARFRAC(MAX($P$34*($B445+$I$38-1),IF(AND($L$37=0,$P$34=0),"",$L$37-1)),MIN(CO$38,$E445),$P$20))-SUM($BF445:CN445))</f>
        <v>0</v>
      </c>
      <c r="CP445" s="446">
        <f>IF($E445=0,0,IF(MIN(CP$38,$E445)&lt;MAX($P$34*($B445+$I$38-1),IF(AND($L$37=0,$P$34=0),"",$L$37-1)),0,YEARFRAC(MAX($P$34*($B445+$I$38-1),IF(AND($L$37=0,$P$34=0),"",$L$37-1)),MIN(CP$38,$E445),$P$20))-SUM($BF445:CO445))</f>
        <v>0</v>
      </c>
      <c r="CQ445" s="446">
        <f>IF($E445=0,0,IF(MIN(CQ$38,$E445)&lt;MAX($P$34*($B445+$I$38-1),IF(AND($L$37=0,$P$34=0),"",$L$37-1)),0,YEARFRAC(MAX($P$34*($B445+$I$38-1),IF(AND($L$37=0,$P$34=0),"",$L$37-1)),MIN(CQ$38,$E445),$P$20))-SUM($BF445:CP445))</f>
        <v>0</v>
      </c>
    </row>
    <row r="446" spans="1:95" s="446" customFormat="1" ht="11.25" hidden="1" customHeight="1" x14ac:dyDescent="0.2">
      <c r="A446" s="152"/>
      <c r="B446" s="153" t="str">
        <f t="shared" si="81"/>
        <v/>
      </c>
      <c r="C446" s="29" t="str">
        <f>IF(B446="","",IF($L$35="SELIC - TRIBUTOS",VLOOKUP(DATE(YEAR($D$19),MONTH($D$19)-1,1),ÍNDICES!$A:$DE,HLOOKUP($BL$25,ÍNDICES!$B$3:$T$4,2)+11)-VLOOKUP(B446,ÍNDICES!$A:$DE,HLOOKUP($BL$25,ÍNDICES!$B$3:$T$4,2)+11)+1%,IF(C$38=$W$26,$J$35,IF(ISERROR(IF(B446&gt;$D$19,1,VLOOKUP(DATE(YEAR(B446),MONTH(B446)+IF($C$35=$S$23,1,0),1),ÍNDICES!$A:$DE,$Z$35+1))),"",IF(B446&gt;$D$19,1,VLOOKUP(DATE(YEAR(B446),MONTH(B446)+IF($C$35=$S$23,1,0),1),ÍNDICES!$A:$DE,$Z$35+1))))))</f>
        <v/>
      </c>
      <c r="D446" s="154" t="str">
        <f>IF(ISERROR(IF(OR($D$38=$Y$27,$B446=""),"",VLOOKUP(B446,ÍNDICES!A:DE,AF$35+1))),"",IF(OR($D$38=$Y$27,$B446=""),"",VLOOKUP(B446,ÍNDICES!A:DE,AF$35+1)))</f>
        <v/>
      </c>
      <c r="E446" s="153"/>
      <c r="F446" s="29" t="str">
        <f>IF(E446="","",IF($L$35="SELIC - TRIBUTOS",VLOOKUP(DATE(YEAR($D$19),MONTH($D$19)-1,1),ÍNDICES!$A:$DE,HLOOKUP($BL$25,ÍNDICES!$B$3:$T$4,2)+11)-VLOOKUP(E446,ÍNDICES!$A:$DE,HLOOKUP($BL$25,ÍNDICES!$B$3:$T$4,2)+11)+1%,IF(F$38=$W$26,$J$35,IF(ISERROR(IF(E446&gt;$D$19,1,VLOOKUP(DATE(YEAR(E446),MONTH(E446)+IF($C$35=$S$23,1,0),1),ÍNDICES!$A:$DE,$Z$35+1))),"",IF(E446&gt;$D$19,1,VLOOKUP(DATE(YEAR(E446),MONTH(E446)+IF($C$35=$S$23,1,0),1),ÍNDICES!$A:$DE,$Z$35+1))))))</f>
        <v/>
      </c>
      <c r="G446" s="155"/>
      <c r="H446" s="156" t="str">
        <f t="shared" si="77"/>
        <v/>
      </c>
      <c r="I446" s="29" t="str">
        <f t="shared" si="71"/>
        <v/>
      </c>
      <c r="J446" s="5">
        <f t="shared" si="72"/>
        <v>0</v>
      </c>
      <c r="K446" s="20">
        <f t="shared" ca="1" si="73"/>
        <v>0</v>
      </c>
      <c r="L446" s="5">
        <f t="shared" ca="1" si="74"/>
        <v>0</v>
      </c>
      <c r="M446" s="64">
        <f t="shared" si="78"/>
        <v>0</v>
      </c>
      <c r="N446" s="61">
        <f t="shared" ca="1" si="79"/>
        <v>0</v>
      </c>
      <c r="O446" s="5">
        <f t="shared" ca="1" si="80"/>
        <v>0</v>
      </c>
      <c r="P446" s="446" t="e">
        <f t="shared" si="75"/>
        <v>#VALUE!</v>
      </c>
      <c r="Q446" s="446" t="e">
        <f>IF(OR($B446="",MIN(Q$38,$D$19)&lt;MAX($P$34*($B446+IF($R$17="Distrato",$I$38-1,0)),IF(AND($L$37=0,$P$34=0),"",$L$37-1),IF($R$17="Distrato",$E446,0))),0,YEARFRAC(MAX($P$34*($B446+IF($R$17="Distrato",$I$38-1,0)),IF(AND($L$37=0,$P$34=0),"",$L$37-1),IF($R$17="Distrato",$E446,0)),MIN(Q$38,$D$19),$P$20))-SUM($P446:P446)</f>
        <v>#VALUE!</v>
      </c>
      <c r="R446" s="446" t="e">
        <f>IF(OR($B446="",MIN(R$38,$D$19)&lt;MAX($P$34*($B446+IF($R$17="Distrato",$I$38-1,0)),IF(AND($L$37=0,$P$34=0),"",$L$37-1),IF($R$17="Distrato",$E446,0))),0,YEARFRAC(MAX($P$34*($B446+IF($R$17="Distrato",$I$38-1,0)),IF(AND($L$37=0,$P$34=0),"",$L$37-1),IF($R$17="Distrato",$E446,0)),MIN(R$38,$D$19),$P$20))-SUM($P446:Q446)</f>
        <v>#VALUE!</v>
      </c>
      <c r="S446" s="446" t="e">
        <f>IF(OR($B446="",MIN(S$38,$D$19)&lt;MAX($P$34*($B446+IF($R$17="Distrato",$I$38-1,0)),IF(AND($L$37=0,$P$34=0),"",$L$37-1),IF($R$17="Distrato",$E446,0))),0,YEARFRAC(MAX($P$34*($B446+IF($R$17="Distrato",$I$38-1,0)),IF(AND($L$37=0,$P$34=0),"",$L$37-1),IF($R$17="Distrato",$E446,0)),MIN(S$38,$D$19),$P$20))-SUM($P446:R446)</f>
        <v>#VALUE!</v>
      </c>
      <c r="T446" s="446" t="e">
        <f>IF(OR($B446="",MIN(T$38,$D$19)&lt;MAX($P$34*($B446+IF($R$17="Distrato",$I$38-1,0)),IF(AND($L$37=0,$P$34=0),"",$L$37-1),IF($R$17="Distrato",$E446,0))),0,YEARFRAC(MAX($P$34*($B446+IF($R$17="Distrato",$I$38-1,0)),IF(AND($L$37=0,$P$34=0),"",$L$37-1),IF($R$17="Distrato",$E446,0)),MIN(T$38,$D$19),$P$20))-SUM($P446:S446)</f>
        <v>#VALUE!</v>
      </c>
      <c r="U446" s="446" t="e">
        <f>IF(OR($B446="",MIN(U$38,$D$19)&lt;MAX($P$34*($B446+IF($R$17="Distrato",$I$38-1,0)),IF(AND($L$37=0,$P$34=0),"",$L$37-1),IF($R$17="Distrato",$E446,0))),0,YEARFRAC(MAX($P$34*($B446+IF($R$17="Distrato",$I$38-1,0)),IF(AND($L$37=0,$P$34=0),"",$L$37-1),IF($R$17="Distrato",$E446,0)),MIN(U$38,$D$19),$P$20))-SUM($P446:T446)</f>
        <v>#VALUE!</v>
      </c>
      <c r="V446" s="446" t="e">
        <f>IF(OR($B446="",MIN(V$38,$D$19)&lt;MAX($P$34*($B446+IF($R$17="Distrato",$I$38-1,0)),IF(AND($L$37=0,$P$34=0),"",$L$37-1),IF($R$17="Distrato",$E446,0))),0,YEARFRAC(MAX($P$34*($B446+IF($R$17="Distrato",$I$38-1,0)),IF(AND($L$37=0,$P$34=0),"",$L$37-1),IF($R$17="Distrato",$E446,0)),MIN(V$38,$D$19),$P$20))-SUM($P446:U446)</f>
        <v>#VALUE!</v>
      </c>
      <c r="W446" s="446" t="e">
        <f>IF(OR($B446="",MIN(W$38,$D$19)&lt;MAX($P$34*($B446+IF($R$17="Distrato",$I$38-1,0)),IF(AND($L$37=0,$P$34=0),"",$L$37-1),IF($R$17="Distrato",$E446,0))),0,YEARFRAC(MAX($P$34*($B446+IF($R$17="Distrato",$I$38-1,0)),IF(AND($L$37=0,$P$34=0),"",$L$37-1),IF($R$17="Distrato",$E446,0)),MIN(W$38,$D$19),$P$20))-SUM($P446:V446)</f>
        <v>#VALUE!</v>
      </c>
      <c r="X446" s="446" t="e">
        <f>IF(OR($B446="",MIN(X$38,$D$19)&lt;MAX($P$34*($B446+IF($R$17="Distrato",$I$38-1,0)),IF(AND($L$37=0,$P$34=0),"",$L$37-1),IF($R$17="Distrato",$E446,0))),0,YEARFRAC(MAX($P$34*($B446+IF($R$17="Distrato",$I$38-1,0)),IF(AND($L$37=0,$P$34=0),"",$L$37-1),IF($R$17="Distrato",$E446,0)),MIN(X$38,$D$19),$P$20))-SUM($P446:W446)</f>
        <v>#VALUE!</v>
      </c>
      <c r="Y446" s="446" t="e">
        <f>IF(OR($B446="",MIN(Y$38,$D$19)&lt;MAX($P$34*($B446+IF($R$17="Distrato",$I$38-1,0)),IF(AND($L$37=0,$P$34=0),"",$L$37-1),IF($R$17="Distrato",$E446,0))),0,YEARFRAC(MAX($P$34*($B446+IF($R$17="Distrato",$I$38-1,0)),IF(AND($L$37=0,$P$34=0),"",$L$37-1),IF($R$17="Distrato",$E446,0)),MIN(Y$38,$D$19),$P$20))-SUM($P446:X446)</f>
        <v>#VALUE!</v>
      </c>
      <c r="Z446" s="446" t="e">
        <f>IF(OR($B446="",MIN(Z$38,$D$19)&lt;MAX($P$34*($B446+IF($R$17="Distrato",$I$38-1,0)),IF(AND($L$37=0,$P$34=0),"",$L$37-1),IF($R$17="Distrato",$E446,0))),0,YEARFRAC(MAX($P$34*($B446+IF($R$17="Distrato",$I$38-1,0)),IF(AND($L$37=0,$P$34=0),"",$L$37-1),IF($R$17="Distrato",$E446,0)),MIN(Z$38,$D$19),$P$20))-SUM($P446:Y446)</f>
        <v>#VALUE!</v>
      </c>
      <c r="AA446" s="446" t="e">
        <f>IF(OR($B446="",MIN(AA$38,$D$19)&lt;MAX($P$34*($B446+IF($R$17="Distrato",$I$38-1,0)),IF(AND($L$37=0,$P$34=0),"",$L$37-1),IF($R$17="Distrato",$E446,0))),0,YEARFRAC(MAX($P$34*($B446+IF($R$17="Distrato",$I$38-1,0)),IF(AND($L$37=0,$P$34=0),"",$L$37-1),IF($R$17="Distrato",$E446,0)),MIN(AA$38,$D$19),$P$20))-SUM($P446:Z446)</f>
        <v>#VALUE!</v>
      </c>
      <c r="AB446" s="446" t="e">
        <f>IF(OR($B446="",MIN(AB$38,$D$19)&lt;MAX($P$34*($B446+IF($R$17="Distrato",$I$38-1,0)),IF(AND($L$37=0,$P$34=0),"",$L$37-1),IF($R$17="Distrato",$E446,0))),0,YEARFRAC(MAX($P$34*($B446+IF($R$17="Distrato",$I$38-1,0)),IF(AND($L$37=0,$P$34=0),"",$L$37-1),IF($R$17="Distrato",$E446,0)),MIN(AB$38,$D$19),$P$20))-SUM($P446:AA446)</f>
        <v>#VALUE!</v>
      </c>
      <c r="AC446" s="446" t="e">
        <f>IF(OR($B446="",MIN(AC$38,$D$19)&lt;MAX($P$34*($B446+IF($R$17="Distrato",$I$38-1,0)),IF(AND($L$37=0,$P$34=0),"",$L$37-1),IF($R$17="Distrato",$E446,0))),0,YEARFRAC(MAX($P$34*($B446+IF($R$17="Distrato",$I$38-1,0)),IF(AND($L$37=0,$P$34=0),"",$L$37-1),IF($R$17="Distrato",$E446,0)),MIN(AC$38,$D$19),$P$20))-SUM($P446:AB446)</f>
        <v>#VALUE!</v>
      </c>
      <c r="AD446" s="446" t="e">
        <f>IF(OR($B446="",MIN(AD$38,$D$19)&lt;MAX($P$34*($B446+IF($R$17="Distrato",$I$38-1,0)),IF(AND($L$37=0,$P$34=0),"",$L$37-1),IF($R$17="Distrato",$E446,0))),0,YEARFRAC(MAX($P$34*($B446+IF($R$17="Distrato",$I$38-1,0)),IF(AND($L$37=0,$P$34=0),"",$L$37-1),IF($R$17="Distrato",$E446,0)),MIN(AD$38,$D$19),$P$20))-SUM($P446:AC446)</f>
        <v>#VALUE!</v>
      </c>
      <c r="AE446" s="446" t="e">
        <f>IF(OR($B446="",MIN(AE$38,$D$19)&lt;MAX($P$34*($B446+IF($R$17="Distrato",$I$38-1,0)),IF(AND($L$37=0,$P$34=0),"",$L$37-1),IF($R$17="Distrato",$E446,0))),0,YEARFRAC(MAX($P$34*($B446+IF($R$17="Distrato",$I$38-1,0)),IF(AND($L$37=0,$P$34=0),"",$L$37-1),IF($R$17="Distrato",$E446,0)),MIN(AE$38,$D$19),$P$20))-SUM($P446:AD446)</f>
        <v>#VALUE!</v>
      </c>
      <c r="AF446" s="446" t="e">
        <f>IF(OR($B446="",MIN(AF$38,$D$19)&lt;MAX($P$34*($B446+IF($R$17="Distrato",$I$38-1,0)),IF(AND($L$37=0,$P$34=0),"",$L$37-1),IF($R$17="Distrato",$E446,0))),0,YEARFRAC(MAX($P$34*($B446+IF($R$17="Distrato",$I$38-1,0)),IF(AND($L$37=0,$P$34=0),"",$L$37-1),IF($R$17="Distrato",$E446,0)),MIN(AF$38,$D$19),$P$20))-SUM($P446:AE446)</f>
        <v>#VALUE!</v>
      </c>
      <c r="AG446" s="446" t="e">
        <f>IF(OR($B446="",MIN(AG$38,$D$19)&lt;MAX($P$34*($B446+IF($R$17="Distrato",$I$38-1,0)),IF(AND($L$37=0,$P$34=0),"",$L$37-1),IF($R$17="Distrato",$E446,0))),0,YEARFRAC(MAX($P$34*($B446+IF($R$17="Distrato",$I$38-1,0)),IF(AND($L$37=0,$P$34=0),"",$L$37-1),IF($R$17="Distrato",$E446,0)),MIN(AG$38,$D$19),$P$20))-SUM($P446:AF446)</f>
        <v>#VALUE!</v>
      </c>
      <c r="AH446" s="446" t="e">
        <f>IF(OR($B446="",MIN(AH$38,$D$19)&lt;MAX($P$34*($B446+IF($R$17="Distrato",$I$38-1,0)),IF(AND($L$37=0,$P$34=0),"",$L$37-1),IF($R$17="Distrato",$E446,0))),0,YEARFRAC(MAX($P$34*($B446+IF($R$17="Distrato",$I$38-1,0)),IF(AND($L$37=0,$P$34=0),"",$L$37-1),IF($R$17="Distrato",$E446,0)),MIN(AH$38,$D$19),$P$20))-SUM($P446:AG446)</f>
        <v>#VALUE!</v>
      </c>
      <c r="AI446" s="446" t="e">
        <f>IF(OR($B446="",MIN(AI$38,$D$19)&lt;MAX($P$34*($B446+IF($R$17="Distrato",$I$38-1,0)),IF(AND($L$37=0,$P$34=0),"",$L$37-1),IF($R$17="Distrato",$E446,0))),0,YEARFRAC(MAX($P$34*($B446+IF($R$17="Distrato",$I$38-1,0)),IF(AND($L$37=0,$P$34=0),"",$L$37-1),IF($R$17="Distrato",$E446,0)),MIN(AI$38,$D$19),$P$20))-SUM($P446:AH446)</f>
        <v>#VALUE!</v>
      </c>
      <c r="AJ446" s="446" t="e">
        <f>IF(OR($B446="",MIN(AJ$38,$D$19)&lt;MAX($P$34*($B446+IF($R$17="Distrato",$I$38-1,0)),IF(AND($L$37=0,$P$34=0),"",$L$37-1),IF($R$17="Distrato",$E446,0))),0,YEARFRAC(MAX($P$34*($B446+IF($R$17="Distrato",$I$38-1,0)),IF(AND($L$37=0,$P$34=0),"",$L$37-1),IF($R$17="Distrato",$E446,0)),MIN(AJ$38,$D$19),$P$20))-SUM($P446:AI446)</f>
        <v>#VALUE!</v>
      </c>
      <c r="AK446" s="446" t="e">
        <f>IF(OR($B446="",MIN(AK$38,$D$19)&lt;MAX($P$34*($B446+IF($R$17="Distrato",$I$38-1,0)),IF(AND($L$37=0,$P$34=0),"",$L$37-1),IF($R$17="Distrato",$E446,0))),0,YEARFRAC(MAX($P$34*($B446+IF($R$17="Distrato",$I$38-1,0)),IF(AND($L$37=0,$P$34=0),"",$L$37-1),IF($R$17="Distrato",$E446,0)),MIN(AK$38,$D$19),$P$20))-SUM($P446:AJ446)</f>
        <v>#VALUE!</v>
      </c>
      <c r="AL446" s="446" t="e">
        <f>IF(OR($B446="",MIN(AL$38,$D$19)&lt;MAX($P$34*($B446+IF($R$17="Distrato",$I$38-1,0)),IF(AND($L$37=0,$P$34=0),"",$L$37-1),IF($R$17="Distrato",$E446,0))),0,YEARFRAC(MAX($P$34*($B446+IF($R$17="Distrato",$I$38-1,0)),IF(AND($L$37=0,$P$34=0),"",$L$37-1),IF($R$17="Distrato",$E446,0)),MIN(AL$38,$D$19),$P$20))-SUM($P446:AK446)</f>
        <v>#VALUE!</v>
      </c>
      <c r="AM446" s="446" t="e">
        <f>IF(OR($B446="",MIN(AM$38,$D$19)&lt;MAX($P$34*($B446+IF($R$17="Distrato",$I$38-1,0)),IF(AND($L$37=0,$P$34=0),"",$L$37-1),IF($R$17="Distrato",$E446,0))),0,YEARFRAC(MAX($P$34*($B446+IF($R$17="Distrato",$I$38-1,0)),IF(AND($L$37=0,$P$34=0),"",$L$37-1),IF($R$17="Distrato",$E446,0)),MIN(AM$38,$D$19),$P$20))-SUM($P446:AL446)</f>
        <v>#VALUE!</v>
      </c>
      <c r="AN446" s="446" t="e">
        <f>IF(OR($B446="",MIN(AN$38,$D$19)&lt;MAX($P$34*($B446+IF($R$17="Distrato",$I$38-1,0)),IF(AND($L$37=0,$P$34=0),"",$L$37-1),IF($R$17="Distrato",$E446,0))),0,YEARFRAC(MAX($P$34*($B446+IF($R$17="Distrato",$I$38-1,0)),IF(AND($L$37=0,$P$34=0),"",$L$37-1),IF($R$17="Distrato",$E446,0)),MIN(AN$38,$D$19),$P$20))-SUM($P446:AM446)</f>
        <v>#VALUE!</v>
      </c>
      <c r="AO446" s="446" t="e">
        <f>IF(OR($B446="",MIN(AO$38,$D$19)&lt;MAX($P$34*($B446+IF($R$17="Distrato",$I$38-1,0)),IF(AND($L$37=0,$P$34=0),"",$L$37-1),IF($R$17="Distrato",$E446,0))),0,YEARFRAC(MAX($P$34*($B446+IF($R$17="Distrato",$I$38-1,0)),IF(AND($L$37=0,$P$34=0),"",$L$37-1),IF($R$17="Distrato",$E446,0)),MIN(AO$38,$D$19),$P$20))-SUM($P446:AN446)</f>
        <v>#VALUE!</v>
      </c>
      <c r="AP446" s="446" t="e">
        <f>IF(OR($B446="",MIN(AP$38,$D$19)&lt;MAX($P$34*($B446+IF($R$17="Distrato",$I$38-1,0)),IF(AND($L$37=0,$P$34=0),"",$L$37-1),IF($R$17="Distrato",$E446,0))),0,YEARFRAC(MAX($P$34*($B446+IF($R$17="Distrato",$I$38-1,0)),IF(AND($L$37=0,$P$34=0),"",$L$37-1),IF($R$17="Distrato",$E446,0)),MIN(AP$38,$D$19),$P$20))-SUM($P446:AO446)</f>
        <v>#VALUE!</v>
      </c>
      <c r="AQ446" s="446" t="e">
        <f>IF(OR($B446="",MIN(AQ$38,$D$19)&lt;MAX($P$34*($B446+IF($R$17="Distrato",$I$38-1,0)),IF(AND($L$37=0,$P$34=0),"",$L$37-1),IF($R$17="Distrato",$E446,0))),0,YEARFRAC(MAX($P$34*($B446+IF($R$17="Distrato",$I$38-1,0)),IF(AND($L$37=0,$P$34=0),"",$L$37-1),IF($R$17="Distrato",$E446,0)),MIN(AQ$38,$D$19),$P$20))-SUM($P446:AP446)</f>
        <v>#VALUE!</v>
      </c>
      <c r="AR446" s="446" t="e">
        <f>IF(OR($B446="",MIN(AR$38,$D$19)&lt;MAX($P$34*($B446+IF($R$17="Distrato",$I$38-1,0)),IF(AND($L$37=0,$P$34=0),"",$L$37-1),IF($R$17="Distrato",$E446,0))),0,YEARFRAC(MAX($P$34*($B446+IF($R$17="Distrato",$I$38-1,0)),IF(AND($L$37=0,$P$34=0),"",$L$37-1),IF($R$17="Distrato",$E446,0)),MIN(AR$38,$D$19),$P$20))-SUM($P446:AQ446)</f>
        <v>#VALUE!</v>
      </c>
      <c r="AS446" s="446" t="e">
        <f>IF(OR($B446="",MIN(AS$38,$D$19)&lt;MAX($P$34*($B446+IF($R$17="Distrato",$I$38-1,0)),IF(AND($L$37=0,$P$34=0),"",$L$37-1),IF($R$17="Distrato",$E446,0))),0,YEARFRAC(MAX($P$34*($B446+IF($R$17="Distrato",$I$38-1,0)),IF(AND($L$37=0,$P$34=0),"",$L$37-1),IF($R$17="Distrato",$E446,0)),MIN(AS$38,$D$19),$P$20))-SUM($P446:AR446)</f>
        <v>#VALUE!</v>
      </c>
      <c r="AT446" s="446" t="e">
        <f>IF(OR($B446="",MIN(AT$38,$D$19)&lt;MAX($P$34*($B446+IF($R$17="Distrato",$I$38-1,0)),IF(AND($L$37=0,$P$34=0),"",$L$37-1),IF($R$17="Distrato",$E446,0))),0,YEARFRAC(MAX($P$34*($B446+IF($R$17="Distrato",$I$38-1,0)),IF(AND($L$37=0,$P$34=0),"",$L$37-1),IF($R$17="Distrato",$E446,0)),MIN(AT$38,$D$19),$P$20))-SUM($P446:AS446)</f>
        <v>#VALUE!</v>
      </c>
      <c r="AU446" s="446" t="e">
        <f>IF(OR($B446="",MIN(AU$38,$D$19)&lt;MAX($P$34*($B446+IF($R$17="Distrato",$I$38-1,0)),IF(AND($L$37=0,$P$34=0),"",$L$37-1),IF($R$17="Distrato",$E446,0))),0,YEARFRAC(MAX($P$34*($B446+IF($R$17="Distrato",$I$38-1,0)),IF(AND($L$37=0,$P$34=0),"",$L$37-1),IF($R$17="Distrato",$E446,0)),MIN(AU$38,$D$19),$P$20))-SUM($P446:AT446)</f>
        <v>#VALUE!</v>
      </c>
      <c r="AV446" s="446" t="e">
        <f>IF(OR($B446="",MIN(AV$38,$D$19)&lt;MAX($P$34*($B446+IF($R$17="Distrato",$I$38-1,0)),IF(AND($L$37=0,$P$34=0),"",$L$37-1),IF($R$17="Distrato",$E446,0))),0,YEARFRAC(MAX($P$34*($B446+IF($R$17="Distrato",$I$38-1,0)),IF(AND($L$37=0,$P$34=0),"",$L$37-1),IF($R$17="Distrato",$E446,0)),MIN(AV$38,$D$19),$P$20))-SUM($P446:AU446)</f>
        <v>#VALUE!</v>
      </c>
      <c r="AW446" s="446" t="e">
        <f>IF(OR($B446="",MIN(AW$38,$D$19)&lt;MAX($P$34*($B446+IF($R$17="Distrato",$I$38-1,0)),IF(AND($L$37=0,$P$34=0),"",$L$37-1),IF($R$17="Distrato",$E446,0))),0,YEARFRAC(MAX($P$34*($B446+IF($R$17="Distrato",$I$38-1,0)),IF(AND($L$37=0,$P$34=0),"",$L$37-1),IF($R$17="Distrato",$E446,0)),MIN(AW$38,$D$19),$P$20))-SUM($P446:AV446)</f>
        <v>#VALUE!</v>
      </c>
      <c r="AX446" s="446" t="e">
        <f>IF(OR($B446="",MIN(AX$38,$D$19)&lt;MAX($P$34*($B446+IF($R$17="Distrato",$I$38-1,0)),IF(AND($L$37=0,$P$34=0),"",$L$37-1),IF($R$17="Distrato",$E446,0))),0,YEARFRAC(MAX($P$34*($B446+IF($R$17="Distrato",$I$38-1,0)),IF(AND($L$37=0,$P$34=0),"",$L$37-1),IF($R$17="Distrato",$E446,0)),MIN(AX$38,$D$19),$P$20))-SUM($P446:AW446)</f>
        <v>#VALUE!</v>
      </c>
      <c r="AY446" s="446" t="e">
        <f>IF(OR($B446="",MIN(AY$38,$D$19)&lt;MAX($P$34*($B446+IF($R$17="Distrato",$I$38-1,0)),IF(AND($L$37=0,$P$34=0),"",$L$37-1),IF($R$17="Distrato",$E446,0))),0,YEARFRAC(MAX($P$34*($B446+IF($R$17="Distrato",$I$38-1,0)),IF(AND($L$37=0,$P$34=0),"",$L$37-1),IF($R$17="Distrato",$E446,0)),MIN(AY$38,$D$19),$P$20))-SUM($P446:AX446)</f>
        <v>#VALUE!</v>
      </c>
      <c r="AZ446" s="446" t="e">
        <f>IF(OR($B446="",MIN(AZ$38,$D$19)&lt;MAX($P$34*($B446+IF($R$17="Distrato",$I$38-1,0)),IF(AND($L$37=0,$P$34=0),"",$L$37-1),IF($R$17="Distrato",$E446,0))),0,YEARFRAC(MAX($P$34*($B446+IF($R$17="Distrato",$I$38-1,0)),IF(AND($L$37=0,$P$34=0),"",$L$37-1),IF($R$17="Distrato",$E446,0)),MIN(AZ$38,$D$19),$P$20))-SUM($P446:AY446)</f>
        <v>#VALUE!</v>
      </c>
      <c r="BA446" s="446" t="e">
        <f>IF(OR($B446="",MIN(BA$38,$D$19)&lt;MAX($P$34*($B446+IF($R$17="Distrato",$I$38-1,0)),IF(AND($L$37=0,$P$34=0),"",$L$37-1),IF($R$17="Distrato",$E446,0))),0,YEARFRAC(MAX($P$34*($B446+IF($R$17="Distrato",$I$38-1,0)),IF(AND($L$37=0,$P$34=0),"",$L$37-1),IF($R$17="Distrato",$E446,0)),MIN(BA$38,$D$19),$P$20))-SUM($P446:AZ446)</f>
        <v>#VALUE!</v>
      </c>
      <c r="BB446" s="447"/>
      <c r="BF446" s="446">
        <f t="shared" si="76"/>
        <v>0</v>
      </c>
      <c r="BG446" s="446">
        <f>IF($E446=0,0,IF(MIN(BG$38,$E446)&lt;MAX($P$34*($B446+$I$38-1),IF(AND($L$37=0,$P$34=0),"",$L$37-1)),0,YEARFRAC(MAX($P$34*($B446+$I$38-1),IF(AND($L$37=0,$P$34=0),"",$L$37-1)),MIN(BG$38,$E446),$P$20))-SUM($BF446:BF446))</f>
        <v>0</v>
      </c>
      <c r="BH446" s="446">
        <f>IF($E446=0,0,IF(MIN(BH$38,$E446)&lt;MAX($P$34*($B446+$I$38-1),IF(AND($L$37=0,$P$34=0),"",$L$37-1)),0,YEARFRAC(MAX($P$34*($B446+$I$38-1),IF(AND($L$37=0,$P$34=0),"",$L$37-1)),MIN(BH$38,$E446),$P$20))-SUM($BF446:BG446))</f>
        <v>0</v>
      </c>
      <c r="BI446" s="446">
        <f>IF($E446=0,0,IF(MIN(BI$38,$E446)&lt;MAX($P$34*($B446+$I$38-1),IF(AND($L$37=0,$P$34=0),"",$L$37-1)),0,YEARFRAC(MAX($P$34*($B446+$I$38-1),IF(AND($L$37=0,$P$34=0),"",$L$37-1)),MIN(BI$38,$E446),$P$20))-SUM($BF446:BH446))</f>
        <v>0</v>
      </c>
      <c r="BJ446" s="446">
        <f>IF($E446=0,0,IF(MIN(BJ$38,$E446)&lt;MAX($P$34*($B446+$I$38-1),IF(AND($L$37=0,$P$34=0),"",$L$37-1)),0,YEARFRAC(MAX($P$34*($B446+$I$38-1),IF(AND($L$37=0,$P$34=0),"",$L$37-1)),MIN(BJ$38,$E446),$P$20))-SUM($BF446:BI446))</f>
        <v>0</v>
      </c>
      <c r="BK446" s="446">
        <f>IF($E446=0,0,IF(MIN(BK$38,$E446)&lt;MAX($P$34*($B446+$I$38-1),IF(AND($L$37=0,$P$34=0),"",$L$37-1)),0,YEARFRAC(MAX($P$34*($B446+$I$38-1),IF(AND($L$37=0,$P$34=0),"",$L$37-1)),MIN(BK$38,$E446),$P$20))-SUM($BF446:BJ446))</f>
        <v>0</v>
      </c>
      <c r="BL446" s="446">
        <f>IF($E446=0,0,IF(MIN(BL$38,$E446)&lt;MAX($P$34*($B446+$I$38-1),IF(AND($L$37=0,$P$34=0),"",$L$37-1)),0,YEARFRAC(MAX($P$34*($B446+$I$38-1),IF(AND($L$37=0,$P$34=0),"",$L$37-1)),MIN(BL$38,$E446),$P$20))-SUM($BF446:BK446))</f>
        <v>0</v>
      </c>
      <c r="BM446" s="446">
        <f>IF($E446=0,0,IF(MIN(BM$38,$E446)&lt;MAX($P$34*($B446+$I$38-1),IF(AND($L$37=0,$P$34=0),"",$L$37-1)),0,YEARFRAC(MAX($P$34*($B446+$I$38-1),IF(AND($L$37=0,$P$34=0),"",$L$37-1)),MIN(BM$38,$E446),$P$20))-SUM($BF446:BL446))</f>
        <v>0</v>
      </c>
      <c r="BN446" s="446">
        <f>IF($E446=0,0,IF(MIN(BN$38,$E446)&lt;MAX($P$34*($B446+$I$38-1),IF(AND($L$37=0,$P$34=0),"",$L$37-1)),0,YEARFRAC(MAX($P$34*($B446+$I$38-1),IF(AND($L$37=0,$P$34=0),"",$L$37-1)),MIN(BN$38,$E446),$P$20))-SUM($BF446:BM446))</f>
        <v>0</v>
      </c>
      <c r="BO446" s="446">
        <f>IF($E446=0,0,IF(MIN(BO$38,$E446)&lt;MAX($P$34*($B446+$I$38-1),IF(AND($L$37=0,$P$34=0),"",$L$37-1)),0,YEARFRAC(MAX($P$34*($B446+$I$38-1),IF(AND($L$37=0,$P$34=0),"",$L$37-1)),MIN(BO$38,$E446),$P$20))-SUM($BF446:BN446))</f>
        <v>0</v>
      </c>
      <c r="BP446" s="446">
        <f>IF($E446=0,0,IF(MIN(BP$38,$E446)&lt;MAX($P$34*($B446+$I$38-1),IF(AND($L$37=0,$P$34=0),"",$L$37-1)),0,YEARFRAC(MAX($P$34*($B446+$I$38-1),IF(AND($L$37=0,$P$34=0),"",$L$37-1)),MIN(BP$38,$E446),$P$20))-SUM($BF446:BO446))</f>
        <v>0</v>
      </c>
      <c r="BQ446" s="446">
        <f>IF($E446=0,0,IF(MIN(BQ$38,$E446)&lt;MAX($P$34*($B446+$I$38-1),IF(AND($L$37=0,$P$34=0),"",$L$37-1)),0,YEARFRAC(MAX($P$34*($B446+$I$38-1),IF(AND($L$37=0,$P$34=0),"",$L$37-1)),MIN(BQ$38,$E446),$P$20))-SUM($BF446:BP446))</f>
        <v>0</v>
      </c>
      <c r="BR446" s="446">
        <f>IF($E446=0,0,IF(MIN(BR$38,$E446)&lt;MAX($P$34*($B446+$I$38-1),IF(AND($L$37=0,$P$34=0),"",$L$37-1)),0,YEARFRAC(MAX($P$34*($B446+$I$38-1),IF(AND($L$37=0,$P$34=0),"",$L$37-1)),MIN(BR$38,$E446),$P$20))-SUM($BF446:BQ446))</f>
        <v>0</v>
      </c>
      <c r="BS446" s="446">
        <f>IF($E446=0,0,IF(MIN(BS$38,$E446)&lt;MAX($P$34*($B446+$I$38-1),IF(AND($L$37=0,$P$34=0),"",$L$37-1)),0,YEARFRAC(MAX($P$34*($B446+$I$38-1),IF(AND($L$37=0,$P$34=0),"",$L$37-1)),MIN(BS$38,$E446),$P$20))-SUM($BF446:BR446))</f>
        <v>0</v>
      </c>
      <c r="BT446" s="446">
        <f>IF($E446=0,0,IF(MIN(BT$38,$E446)&lt;MAX($P$34*($B446+$I$38-1),IF(AND($L$37=0,$P$34=0),"",$L$37-1)),0,YEARFRAC(MAX($P$34*($B446+$I$38-1),IF(AND($L$37=0,$P$34=0),"",$L$37-1)),MIN(BT$38,$E446),$P$20))-SUM($BF446:BS446))</f>
        <v>0</v>
      </c>
      <c r="BU446" s="446">
        <f>IF($E446=0,0,IF(MIN(BU$38,$E446)&lt;MAX($P$34*($B446+$I$38-1),IF(AND($L$37=0,$P$34=0),"",$L$37-1)),0,YEARFRAC(MAX($P$34*($B446+$I$38-1),IF(AND($L$37=0,$P$34=0),"",$L$37-1)),MIN(BU$38,$E446),$P$20))-SUM($BF446:BT446))</f>
        <v>0</v>
      </c>
      <c r="BV446" s="446">
        <f>IF($E446=0,0,IF(MIN(BV$38,$E446)&lt;MAX($P$34*($B446+$I$38-1),IF(AND($L$37=0,$P$34=0),"",$L$37-1)),0,YEARFRAC(MAX($P$34*($B446+$I$38-1),IF(AND($L$37=0,$P$34=0),"",$L$37-1)),MIN(BV$38,$E446),$P$20))-SUM($BF446:BU446))</f>
        <v>0</v>
      </c>
      <c r="BW446" s="446">
        <f>IF($E446=0,0,IF(MIN(BW$38,$E446)&lt;MAX($P$34*($B446+$I$38-1),IF(AND($L$37=0,$P$34=0),"",$L$37-1)),0,YEARFRAC(MAX($P$34*($B446+$I$38-1),IF(AND($L$37=0,$P$34=0),"",$L$37-1)),MIN(BW$38,$E446),$P$20))-SUM($BF446:BV446))</f>
        <v>0</v>
      </c>
      <c r="BX446" s="446">
        <f>IF($E446=0,0,IF(MIN(BX$38,$E446)&lt;MAX($P$34*($B446+$I$38-1),IF(AND($L$37=0,$P$34=0),"",$L$37-1)),0,YEARFRAC(MAX($P$34*($B446+$I$38-1),IF(AND($L$37=0,$P$34=0),"",$L$37-1)),MIN(BX$38,$E446),$P$20))-SUM($BF446:BW446))</f>
        <v>0</v>
      </c>
      <c r="BY446" s="446">
        <f>IF($E446=0,0,IF(MIN(BY$38,$E446)&lt;MAX($P$34*($B446+$I$38-1),IF(AND($L$37=0,$P$34=0),"",$L$37-1)),0,YEARFRAC(MAX($P$34*($B446+$I$38-1),IF(AND($L$37=0,$P$34=0),"",$L$37-1)),MIN(BY$38,$E446),$P$20))-SUM($BF446:BX446))</f>
        <v>0</v>
      </c>
      <c r="BZ446" s="446">
        <f>IF($E446=0,0,IF(MIN(BZ$38,$E446)&lt;MAX($P$34*($B446+$I$38-1),IF(AND($L$37=0,$P$34=0),"",$L$37-1)),0,YEARFRAC(MAX($P$34*($B446+$I$38-1),IF(AND($L$37=0,$P$34=0),"",$L$37-1)),MIN(BZ$38,$E446),$P$20))-SUM($BF446:BY446))</f>
        <v>0</v>
      </c>
      <c r="CA446" s="446">
        <f>IF($E446=0,0,IF(MIN(CA$38,$E446)&lt;MAX($P$34*($B446+$I$38-1),IF(AND($L$37=0,$P$34=0),"",$L$37-1)),0,YEARFRAC(MAX($P$34*($B446+$I$38-1),IF(AND($L$37=0,$P$34=0),"",$L$37-1)),MIN(CA$38,$E446),$P$20))-SUM($BF446:BZ446))</f>
        <v>0</v>
      </c>
      <c r="CB446" s="446">
        <f>IF($E446=0,0,IF(MIN(CB$38,$E446)&lt;MAX($P$34*($B446+$I$38-1),IF(AND($L$37=0,$P$34=0),"",$L$37-1)),0,YEARFRAC(MAX($P$34*($B446+$I$38-1),IF(AND($L$37=0,$P$34=0),"",$L$37-1)),MIN(CB$38,$E446),$P$20))-SUM($BF446:CA446))</f>
        <v>0</v>
      </c>
      <c r="CC446" s="446">
        <f>IF($E446=0,0,IF(MIN(CC$38,$E446)&lt;MAX($P$34*($B446+$I$38-1),IF(AND($L$37=0,$P$34=0),"",$L$37-1)),0,YEARFRAC(MAX($P$34*($B446+$I$38-1),IF(AND($L$37=0,$P$34=0),"",$L$37-1)),MIN(CC$38,$E446),$P$20))-SUM($BF446:CB446))</f>
        <v>0</v>
      </c>
      <c r="CD446" s="446">
        <f>IF($E446=0,0,IF(MIN(CD$38,$E446)&lt;MAX($P$34*($B446+$I$38-1),IF(AND($L$37=0,$P$34=0),"",$L$37-1)),0,YEARFRAC(MAX($P$34*($B446+$I$38-1),IF(AND($L$37=0,$P$34=0),"",$L$37-1)),MIN(CD$38,$E446),$P$20))-SUM($BF446:CC446))</f>
        <v>0</v>
      </c>
      <c r="CE446" s="446">
        <f>IF($E446=0,0,IF(MIN(CE$38,$E446)&lt;MAX($P$34*($B446+$I$38-1),IF(AND($L$37=0,$P$34=0),"",$L$37-1)),0,YEARFRAC(MAX($P$34*($B446+$I$38-1),IF(AND($L$37=0,$P$34=0),"",$L$37-1)),MIN(CE$38,$E446),$P$20))-SUM($BF446:CD446))</f>
        <v>0</v>
      </c>
      <c r="CF446" s="446">
        <f>IF($E446=0,0,IF(MIN(CF$38,$E446)&lt;MAX($P$34*($B446+$I$38-1),IF(AND($L$37=0,$P$34=0),"",$L$37-1)),0,YEARFRAC(MAX($P$34*($B446+$I$38-1),IF(AND($L$37=0,$P$34=0),"",$L$37-1)),MIN(CF$38,$E446),$P$20))-SUM($BF446:CE446))</f>
        <v>0</v>
      </c>
      <c r="CG446" s="446">
        <f>IF($E446=0,0,IF(MIN(CG$38,$E446)&lt;MAX($P$34*($B446+$I$38-1),IF(AND($L$37=0,$P$34=0),"",$L$37-1)),0,YEARFRAC(MAX($P$34*($B446+$I$38-1),IF(AND($L$37=0,$P$34=0),"",$L$37-1)),MIN(CG$38,$E446),$P$20))-SUM($BF446:CF446))</f>
        <v>0</v>
      </c>
      <c r="CH446" s="446">
        <f>IF($E446=0,0,IF(MIN(CH$38,$E446)&lt;MAX($P$34*($B446+$I$38-1),IF(AND($L$37=0,$P$34=0),"",$L$37-1)),0,YEARFRAC(MAX($P$34*($B446+$I$38-1),IF(AND($L$37=0,$P$34=0),"",$L$37-1)),MIN(CH$38,$E446),$P$20))-SUM($BF446:CG446))</f>
        <v>0</v>
      </c>
      <c r="CI446" s="446">
        <f>IF($E446=0,0,IF(MIN(CI$38,$E446)&lt;MAX($P$34*($B446+$I$38-1),IF(AND($L$37=0,$P$34=0),"",$L$37-1)),0,YEARFRAC(MAX($P$34*($B446+$I$38-1),IF(AND($L$37=0,$P$34=0),"",$L$37-1)),MIN(CI$38,$E446),$P$20))-SUM($BF446:CH446))</f>
        <v>0</v>
      </c>
      <c r="CJ446" s="446">
        <f>IF($E446=0,0,IF(MIN(CJ$38,$E446)&lt;MAX($P$34*($B446+$I$38-1),IF(AND($L$37=0,$P$34=0),"",$L$37-1)),0,YEARFRAC(MAX($P$34*($B446+$I$38-1),IF(AND($L$37=0,$P$34=0),"",$L$37-1)),MIN(CJ$38,$E446),$P$20))-SUM($BF446:CI446))</f>
        <v>0</v>
      </c>
      <c r="CK446" s="446">
        <f>IF($E446=0,0,IF(MIN(CK$38,$E446)&lt;MAX($P$34*($B446+$I$38-1),IF(AND($L$37=0,$P$34=0),"",$L$37-1)),0,YEARFRAC(MAX($P$34*($B446+$I$38-1),IF(AND($L$37=0,$P$34=0),"",$L$37-1)),MIN(CK$38,$E446),$P$20))-SUM($BF446:CJ446))</f>
        <v>0</v>
      </c>
      <c r="CL446" s="446">
        <f>IF($E446=0,0,IF(MIN(CL$38,$E446)&lt;MAX($P$34*($B446+$I$38-1),IF(AND($L$37=0,$P$34=0),"",$L$37-1)),0,YEARFRAC(MAX($P$34*($B446+$I$38-1),IF(AND($L$37=0,$P$34=0),"",$L$37-1)),MIN(CL$38,$E446),$P$20))-SUM($BF446:CK446))</f>
        <v>0</v>
      </c>
      <c r="CM446" s="446">
        <f>IF($E446=0,0,IF(MIN(CM$38,$E446)&lt;MAX($P$34*($B446+$I$38-1),IF(AND($L$37=0,$P$34=0),"",$L$37-1)),0,YEARFRAC(MAX($P$34*($B446+$I$38-1),IF(AND($L$37=0,$P$34=0),"",$L$37-1)),MIN(CM$38,$E446),$P$20))-SUM($BF446:CL446))</f>
        <v>0</v>
      </c>
      <c r="CN446" s="446">
        <f>IF($E446=0,0,IF(MIN(CN$38,$E446)&lt;MAX($P$34*($B446+$I$38-1),IF(AND($L$37=0,$P$34=0),"",$L$37-1)),0,YEARFRAC(MAX($P$34*($B446+$I$38-1),IF(AND($L$37=0,$P$34=0),"",$L$37-1)),MIN(CN$38,$E446),$P$20))-SUM($BF446:CM446))</f>
        <v>0</v>
      </c>
      <c r="CO446" s="446">
        <f>IF($E446=0,0,IF(MIN(CO$38,$E446)&lt;MAX($P$34*($B446+$I$38-1),IF(AND($L$37=0,$P$34=0),"",$L$37-1)),0,YEARFRAC(MAX($P$34*($B446+$I$38-1),IF(AND($L$37=0,$P$34=0),"",$L$37-1)),MIN(CO$38,$E446),$P$20))-SUM($BF446:CN446))</f>
        <v>0</v>
      </c>
      <c r="CP446" s="446">
        <f>IF($E446=0,0,IF(MIN(CP$38,$E446)&lt;MAX($P$34*($B446+$I$38-1),IF(AND($L$37=0,$P$34=0),"",$L$37-1)),0,YEARFRAC(MAX($P$34*($B446+$I$38-1),IF(AND($L$37=0,$P$34=0),"",$L$37-1)),MIN(CP$38,$E446),$P$20))-SUM($BF446:CO446))</f>
        <v>0</v>
      </c>
      <c r="CQ446" s="446">
        <f>IF($E446=0,0,IF(MIN(CQ$38,$E446)&lt;MAX($P$34*($B446+$I$38-1),IF(AND($L$37=0,$P$34=0),"",$L$37-1)),0,YEARFRAC(MAX($P$34*($B446+$I$38-1),IF(AND($L$37=0,$P$34=0),"",$L$37-1)),MIN(CQ$38,$E446),$P$20))-SUM($BF446:CP446))</f>
        <v>0</v>
      </c>
    </row>
    <row r="447" spans="1:95" s="446" customFormat="1" ht="11.25" hidden="1" customHeight="1" x14ac:dyDescent="0.2">
      <c r="A447" s="152"/>
      <c r="B447" s="153" t="str">
        <f t="shared" si="81"/>
        <v/>
      </c>
      <c r="C447" s="29" t="str">
        <f>IF(B447="","",IF($L$35="SELIC - TRIBUTOS",VLOOKUP(DATE(YEAR($D$19),MONTH($D$19)-1,1),ÍNDICES!$A:$DE,HLOOKUP($BL$25,ÍNDICES!$B$3:$T$4,2)+11)-VLOOKUP(B447,ÍNDICES!$A:$DE,HLOOKUP($BL$25,ÍNDICES!$B$3:$T$4,2)+11)+1%,IF(C$38=$W$26,$J$35,IF(ISERROR(IF(B447&gt;$D$19,1,VLOOKUP(DATE(YEAR(B447),MONTH(B447)+IF($C$35=$S$23,1,0),1),ÍNDICES!$A:$DE,$Z$35+1))),"",IF(B447&gt;$D$19,1,VLOOKUP(DATE(YEAR(B447),MONTH(B447)+IF($C$35=$S$23,1,0),1),ÍNDICES!$A:$DE,$Z$35+1))))))</f>
        <v/>
      </c>
      <c r="D447" s="154" t="str">
        <f>IF(ISERROR(IF(OR($D$38=$Y$27,$B447=""),"",VLOOKUP(B447,ÍNDICES!A:DE,AF$35+1))),"",IF(OR($D$38=$Y$27,$B447=""),"",VLOOKUP(B447,ÍNDICES!A:DE,AF$35+1)))</f>
        <v/>
      </c>
      <c r="E447" s="153"/>
      <c r="F447" s="29" t="str">
        <f>IF(E447="","",IF($L$35="SELIC - TRIBUTOS",VLOOKUP(DATE(YEAR($D$19),MONTH($D$19)-1,1),ÍNDICES!$A:$DE,HLOOKUP($BL$25,ÍNDICES!$B$3:$T$4,2)+11)-VLOOKUP(E447,ÍNDICES!$A:$DE,HLOOKUP($BL$25,ÍNDICES!$B$3:$T$4,2)+11)+1%,IF(F$38=$W$26,$J$35,IF(ISERROR(IF(E447&gt;$D$19,1,VLOOKUP(DATE(YEAR(E447),MONTH(E447)+IF($C$35=$S$23,1,0),1),ÍNDICES!$A:$DE,$Z$35+1))),"",IF(E447&gt;$D$19,1,VLOOKUP(DATE(YEAR(E447),MONTH(E447)+IF($C$35=$S$23,1,0),1),ÍNDICES!$A:$DE,$Z$35+1))))))</f>
        <v/>
      </c>
      <c r="G447" s="155"/>
      <c r="H447" s="156" t="str">
        <f t="shared" si="77"/>
        <v/>
      </c>
      <c r="I447" s="29" t="str">
        <f t="shared" si="71"/>
        <v/>
      </c>
      <c r="J447" s="5">
        <f t="shared" si="72"/>
        <v>0</v>
      </c>
      <c r="K447" s="20">
        <f t="shared" ca="1" si="73"/>
        <v>0</v>
      </c>
      <c r="L447" s="5">
        <f t="shared" ca="1" si="74"/>
        <v>0</v>
      </c>
      <c r="M447" s="64">
        <f t="shared" si="78"/>
        <v>0</v>
      </c>
      <c r="N447" s="61">
        <f t="shared" ca="1" si="79"/>
        <v>0</v>
      </c>
      <c r="O447" s="5">
        <f t="shared" ca="1" si="80"/>
        <v>0</v>
      </c>
      <c r="P447" s="446" t="e">
        <f t="shared" si="75"/>
        <v>#VALUE!</v>
      </c>
      <c r="Q447" s="446" t="e">
        <f>IF(OR($B447="",MIN(Q$38,$D$19)&lt;MAX($P$34*($B447+IF($R$17="Distrato",$I$38-1,0)),IF(AND($L$37=0,$P$34=0),"",$L$37-1),IF($R$17="Distrato",$E447,0))),0,YEARFRAC(MAX($P$34*($B447+IF($R$17="Distrato",$I$38-1,0)),IF(AND($L$37=0,$P$34=0),"",$L$37-1),IF($R$17="Distrato",$E447,0)),MIN(Q$38,$D$19),$P$20))-SUM($P447:P447)</f>
        <v>#VALUE!</v>
      </c>
      <c r="R447" s="446" t="e">
        <f>IF(OR($B447="",MIN(R$38,$D$19)&lt;MAX($P$34*($B447+IF($R$17="Distrato",$I$38-1,0)),IF(AND($L$37=0,$P$34=0),"",$L$37-1),IF($R$17="Distrato",$E447,0))),0,YEARFRAC(MAX($P$34*($B447+IF($R$17="Distrato",$I$38-1,0)),IF(AND($L$37=0,$P$34=0),"",$L$37-1),IF($R$17="Distrato",$E447,0)),MIN(R$38,$D$19),$P$20))-SUM($P447:Q447)</f>
        <v>#VALUE!</v>
      </c>
      <c r="S447" s="446" t="e">
        <f>IF(OR($B447="",MIN(S$38,$D$19)&lt;MAX($P$34*($B447+IF($R$17="Distrato",$I$38-1,0)),IF(AND($L$37=0,$P$34=0),"",$L$37-1),IF($R$17="Distrato",$E447,0))),0,YEARFRAC(MAX($P$34*($B447+IF($R$17="Distrato",$I$38-1,0)),IF(AND($L$37=0,$P$34=0),"",$L$37-1),IF($R$17="Distrato",$E447,0)),MIN(S$38,$D$19),$P$20))-SUM($P447:R447)</f>
        <v>#VALUE!</v>
      </c>
      <c r="T447" s="446" t="e">
        <f>IF(OR($B447="",MIN(T$38,$D$19)&lt;MAX($P$34*($B447+IF($R$17="Distrato",$I$38-1,0)),IF(AND($L$37=0,$P$34=0),"",$L$37-1),IF($R$17="Distrato",$E447,0))),0,YEARFRAC(MAX($P$34*($B447+IF($R$17="Distrato",$I$38-1,0)),IF(AND($L$37=0,$P$34=0),"",$L$37-1),IF($R$17="Distrato",$E447,0)),MIN(T$38,$D$19),$P$20))-SUM($P447:S447)</f>
        <v>#VALUE!</v>
      </c>
      <c r="U447" s="446" t="e">
        <f>IF(OR($B447="",MIN(U$38,$D$19)&lt;MAX($P$34*($B447+IF($R$17="Distrato",$I$38-1,0)),IF(AND($L$37=0,$P$34=0),"",$L$37-1),IF($R$17="Distrato",$E447,0))),0,YEARFRAC(MAX($P$34*($B447+IF($R$17="Distrato",$I$38-1,0)),IF(AND($L$37=0,$P$34=0),"",$L$37-1),IF($R$17="Distrato",$E447,0)),MIN(U$38,$D$19),$P$20))-SUM($P447:T447)</f>
        <v>#VALUE!</v>
      </c>
      <c r="V447" s="446" t="e">
        <f>IF(OR($B447="",MIN(V$38,$D$19)&lt;MAX($P$34*($B447+IF($R$17="Distrato",$I$38-1,0)),IF(AND($L$37=0,$P$34=0),"",$L$37-1),IF($R$17="Distrato",$E447,0))),0,YEARFRAC(MAX($P$34*($B447+IF($R$17="Distrato",$I$38-1,0)),IF(AND($L$37=0,$P$34=0),"",$L$37-1),IF($R$17="Distrato",$E447,0)),MIN(V$38,$D$19),$P$20))-SUM($P447:U447)</f>
        <v>#VALUE!</v>
      </c>
      <c r="W447" s="446" t="e">
        <f>IF(OR($B447="",MIN(W$38,$D$19)&lt;MAX($P$34*($B447+IF($R$17="Distrato",$I$38-1,0)),IF(AND($L$37=0,$P$34=0),"",$L$37-1),IF($R$17="Distrato",$E447,0))),0,YEARFRAC(MAX($P$34*($B447+IF($R$17="Distrato",$I$38-1,0)),IF(AND($L$37=0,$P$34=0),"",$L$37-1),IF($R$17="Distrato",$E447,0)),MIN(W$38,$D$19),$P$20))-SUM($P447:V447)</f>
        <v>#VALUE!</v>
      </c>
      <c r="X447" s="446" t="e">
        <f>IF(OR($B447="",MIN(X$38,$D$19)&lt;MAX($P$34*($B447+IF($R$17="Distrato",$I$38-1,0)),IF(AND($L$37=0,$P$34=0),"",$L$37-1),IF($R$17="Distrato",$E447,0))),0,YEARFRAC(MAX($P$34*($B447+IF($R$17="Distrato",$I$38-1,0)),IF(AND($L$37=0,$P$34=0),"",$L$37-1),IF($R$17="Distrato",$E447,0)),MIN(X$38,$D$19),$P$20))-SUM($P447:W447)</f>
        <v>#VALUE!</v>
      </c>
      <c r="Y447" s="446" t="e">
        <f>IF(OR($B447="",MIN(Y$38,$D$19)&lt;MAX($P$34*($B447+IF($R$17="Distrato",$I$38-1,0)),IF(AND($L$37=0,$P$34=0),"",$L$37-1),IF($R$17="Distrato",$E447,0))),0,YEARFRAC(MAX($P$34*($B447+IF($R$17="Distrato",$I$38-1,0)),IF(AND($L$37=0,$P$34=0),"",$L$37-1),IF($R$17="Distrato",$E447,0)),MIN(Y$38,$D$19),$P$20))-SUM($P447:X447)</f>
        <v>#VALUE!</v>
      </c>
      <c r="Z447" s="446" t="e">
        <f>IF(OR($B447="",MIN(Z$38,$D$19)&lt;MAX($P$34*($B447+IF($R$17="Distrato",$I$38-1,0)),IF(AND($L$37=0,$P$34=0),"",$L$37-1),IF($R$17="Distrato",$E447,0))),0,YEARFRAC(MAX($P$34*($B447+IF($R$17="Distrato",$I$38-1,0)),IF(AND($L$37=0,$P$34=0),"",$L$37-1),IF($R$17="Distrato",$E447,0)),MIN(Z$38,$D$19),$P$20))-SUM($P447:Y447)</f>
        <v>#VALUE!</v>
      </c>
      <c r="AA447" s="446" t="e">
        <f>IF(OR($B447="",MIN(AA$38,$D$19)&lt;MAX($P$34*($B447+IF($R$17="Distrato",$I$38-1,0)),IF(AND($L$37=0,$P$34=0),"",$L$37-1),IF($R$17="Distrato",$E447,0))),0,YEARFRAC(MAX($P$34*($B447+IF($R$17="Distrato",$I$38-1,0)),IF(AND($L$37=0,$P$34=0),"",$L$37-1),IF($R$17="Distrato",$E447,0)),MIN(AA$38,$D$19),$P$20))-SUM($P447:Z447)</f>
        <v>#VALUE!</v>
      </c>
      <c r="AB447" s="446" t="e">
        <f>IF(OR($B447="",MIN(AB$38,$D$19)&lt;MAX($P$34*($B447+IF($R$17="Distrato",$I$38-1,0)),IF(AND($L$37=0,$P$34=0),"",$L$37-1),IF($R$17="Distrato",$E447,0))),0,YEARFRAC(MAX($P$34*($B447+IF($R$17="Distrato",$I$38-1,0)),IF(AND($L$37=0,$P$34=0),"",$L$37-1),IF($R$17="Distrato",$E447,0)),MIN(AB$38,$D$19),$P$20))-SUM($P447:AA447)</f>
        <v>#VALUE!</v>
      </c>
      <c r="AC447" s="446" t="e">
        <f>IF(OR($B447="",MIN(AC$38,$D$19)&lt;MAX($P$34*($B447+IF($R$17="Distrato",$I$38-1,0)),IF(AND($L$37=0,$P$34=0),"",$L$37-1),IF($R$17="Distrato",$E447,0))),0,YEARFRAC(MAX($P$34*($B447+IF($R$17="Distrato",$I$38-1,0)),IF(AND($L$37=0,$P$34=0),"",$L$37-1),IF($R$17="Distrato",$E447,0)),MIN(AC$38,$D$19),$P$20))-SUM($P447:AB447)</f>
        <v>#VALUE!</v>
      </c>
      <c r="AD447" s="446" t="e">
        <f>IF(OR($B447="",MIN(AD$38,$D$19)&lt;MAX($P$34*($B447+IF($R$17="Distrato",$I$38-1,0)),IF(AND($L$37=0,$P$34=0),"",$L$37-1),IF($R$17="Distrato",$E447,0))),0,YEARFRAC(MAX($P$34*($B447+IF($R$17="Distrato",$I$38-1,0)),IF(AND($L$37=0,$P$34=0),"",$L$37-1),IF($R$17="Distrato",$E447,0)),MIN(AD$38,$D$19),$P$20))-SUM($P447:AC447)</f>
        <v>#VALUE!</v>
      </c>
      <c r="AE447" s="446" t="e">
        <f>IF(OR($B447="",MIN(AE$38,$D$19)&lt;MAX($P$34*($B447+IF($R$17="Distrato",$I$38-1,0)),IF(AND($L$37=0,$P$34=0),"",$L$37-1),IF($R$17="Distrato",$E447,0))),0,YEARFRAC(MAX($P$34*($B447+IF($R$17="Distrato",$I$38-1,0)),IF(AND($L$37=0,$P$34=0),"",$L$37-1),IF($R$17="Distrato",$E447,0)),MIN(AE$38,$D$19),$P$20))-SUM($P447:AD447)</f>
        <v>#VALUE!</v>
      </c>
      <c r="AF447" s="446" t="e">
        <f>IF(OR($B447="",MIN(AF$38,$D$19)&lt;MAX($P$34*($B447+IF($R$17="Distrato",$I$38-1,0)),IF(AND($L$37=0,$P$34=0),"",$L$37-1),IF($R$17="Distrato",$E447,0))),0,YEARFRAC(MAX($P$34*($B447+IF($R$17="Distrato",$I$38-1,0)),IF(AND($L$37=0,$P$34=0),"",$L$37-1),IF($R$17="Distrato",$E447,0)),MIN(AF$38,$D$19),$P$20))-SUM($P447:AE447)</f>
        <v>#VALUE!</v>
      </c>
      <c r="AG447" s="446" t="e">
        <f>IF(OR($B447="",MIN(AG$38,$D$19)&lt;MAX($P$34*($B447+IF($R$17="Distrato",$I$38-1,0)),IF(AND($L$37=0,$P$34=0),"",$L$37-1),IF($R$17="Distrato",$E447,0))),0,YEARFRAC(MAX($P$34*($B447+IF($R$17="Distrato",$I$38-1,0)),IF(AND($L$37=0,$P$34=0),"",$L$37-1),IF($R$17="Distrato",$E447,0)),MIN(AG$38,$D$19),$P$20))-SUM($P447:AF447)</f>
        <v>#VALUE!</v>
      </c>
      <c r="AH447" s="446" t="e">
        <f>IF(OR($B447="",MIN(AH$38,$D$19)&lt;MAX($P$34*($B447+IF($R$17="Distrato",$I$38-1,0)),IF(AND($L$37=0,$P$34=0),"",$L$37-1),IF($R$17="Distrato",$E447,0))),0,YEARFRAC(MAX($P$34*($B447+IF($R$17="Distrato",$I$38-1,0)),IF(AND($L$37=0,$P$34=0),"",$L$37-1),IF($R$17="Distrato",$E447,0)),MIN(AH$38,$D$19),$P$20))-SUM($P447:AG447)</f>
        <v>#VALUE!</v>
      </c>
      <c r="AI447" s="446" t="e">
        <f>IF(OR($B447="",MIN(AI$38,$D$19)&lt;MAX($P$34*($B447+IF($R$17="Distrato",$I$38-1,0)),IF(AND($L$37=0,$P$34=0),"",$L$37-1),IF($R$17="Distrato",$E447,0))),0,YEARFRAC(MAX($P$34*($B447+IF($R$17="Distrato",$I$38-1,0)),IF(AND($L$37=0,$P$34=0),"",$L$37-1),IF($R$17="Distrato",$E447,0)),MIN(AI$38,$D$19),$P$20))-SUM($P447:AH447)</f>
        <v>#VALUE!</v>
      </c>
      <c r="AJ447" s="446" t="e">
        <f>IF(OR($B447="",MIN(AJ$38,$D$19)&lt;MAX($P$34*($B447+IF($R$17="Distrato",$I$38-1,0)),IF(AND($L$37=0,$P$34=0),"",$L$37-1),IF($R$17="Distrato",$E447,0))),0,YEARFRAC(MAX($P$34*($B447+IF($R$17="Distrato",$I$38-1,0)),IF(AND($L$37=0,$P$34=0),"",$L$37-1),IF($R$17="Distrato",$E447,0)),MIN(AJ$38,$D$19),$P$20))-SUM($P447:AI447)</f>
        <v>#VALUE!</v>
      </c>
      <c r="AK447" s="446" t="e">
        <f>IF(OR($B447="",MIN(AK$38,$D$19)&lt;MAX($P$34*($B447+IF($R$17="Distrato",$I$38-1,0)),IF(AND($L$37=0,$P$34=0),"",$L$37-1),IF($R$17="Distrato",$E447,0))),0,YEARFRAC(MAX($P$34*($B447+IF($R$17="Distrato",$I$38-1,0)),IF(AND($L$37=0,$P$34=0),"",$L$37-1),IF($R$17="Distrato",$E447,0)),MIN(AK$38,$D$19),$P$20))-SUM($P447:AJ447)</f>
        <v>#VALUE!</v>
      </c>
      <c r="AL447" s="446" t="e">
        <f>IF(OR($B447="",MIN(AL$38,$D$19)&lt;MAX($P$34*($B447+IF($R$17="Distrato",$I$38-1,0)),IF(AND($L$37=0,$P$34=0),"",$L$37-1),IF($R$17="Distrato",$E447,0))),0,YEARFRAC(MAX($P$34*($B447+IF($R$17="Distrato",$I$38-1,0)),IF(AND($L$37=0,$P$34=0),"",$L$37-1),IF($R$17="Distrato",$E447,0)),MIN(AL$38,$D$19),$P$20))-SUM($P447:AK447)</f>
        <v>#VALUE!</v>
      </c>
      <c r="AM447" s="446" t="e">
        <f>IF(OR($B447="",MIN(AM$38,$D$19)&lt;MAX($P$34*($B447+IF($R$17="Distrato",$I$38-1,0)),IF(AND($L$37=0,$P$34=0),"",$L$37-1),IF($R$17="Distrato",$E447,0))),0,YEARFRAC(MAX($P$34*($B447+IF($R$17="Distrato",$I$38-1,0)),IF(AND($L$37=0,$P$34=0),"",$L$37-1),IF($R$17="Distrato",$E447,0)),MIN(AM$38,$D$19),$P$20))-SUM($P447:AL447)</f>
        <v>#VALUE!</v>
      </c>
      <c r="AN447" s="446" t="e">
        <f>IF(OR($B447="",MIN(AN$38,$D$19)&lt;MAX($P$34*($B447+IF($R$17="Distrato",$I$38-1,0)),IF(AND($L$37=0,$P$34=0),"",$L$37-1),IF($R$17="Distrato",$E447,0))),0,YEARFRAC(MAX($P$34*($B447+IF($R$17="Distrato",$I$38-1,0)),IF(AND($L$37=0,$P$34=0),"",$L$37-1),IF($R$17="Distrato",$E447,0)),MIN(AN$38,$D$19),$P$20))-SUM($P447:AM447)</f>
        <v>#VALUE!</v>
      </c>
      <c r="AO447" s="446" t="e">
        <f>IF(OR($B447="",MIN(AO$38,$D$19)&lt;MAX($P$34*($B447+IF($R$17="Distrato",$I$38-1,0)),IF(AND($L$37=0,$P$34=0),"",$L$37-1),IF($R$17="Distrato",$E447,0))),0,YEARFRAC(MAX($P$34*($B447+IF($R$17="Distrato",$I$38-1,0)),IF(AND($L$37=0,$P$34=0),"",$L$37-1),IF($R$17="Distrato",$E447,0)),MIN(AO$38,$D$19),$P$20))-SUM($P447:AN447)</f>
        <v>#VALUE!</v>
      </c>
      <c r="AP447" s="446" t="e">
        <f>IF(OR($B447="",MIN(AP$38,$D$19)&lt;MAX($P$34*($B447+IF($R$17="Distrato",$I$38-1,0)),IF(AND($L$37=0,$P$34=0),"",$L$37-1),IF($R$17="Distrato",$E447,0))),0,YEARFRAC(MAX($P$34*($B447+IF($R$17="Distrato",$I$38-1,0)),IF(AND($L$37=0,$P$34=0),"",$L$37-1),IF($R$17="Distrato",$E447,0)),MIN(AP$38,$D$19),$P$20))-SUM($P447:AO447)</f>
        <v>#VALUE!</v>
      </c>
      <c r="AQ447" s="446" t="e">
        <f>IF(OR($B447="",MIN(AQ$38,$D$19)&lt;MAX($P$34*($B447+IF($R$17="Distrato",$I$38-1,0)),IF(AND($L$37=0,$P$34=0),"",$L$37-1),IF($R$17="Distrato",$E447,0))),0,YEARFRAC(MAX($P$34*($B447+IF($R$17="Distrato",$I$38-1,0)),IF(AND($L$37=0,$P$34=0),"",$L$37-1),IF($R$17="Distrato",$E447,0)),MIN(AQ$38,$D$19),$P$20))-SUM($P447:AP447)</f>
        <v>#VALUE!</v>
      </c>
      <c r="AR447" s="446" t="e">
        <f>IF(OR($B447="",MIN(AR$38,$D$19)&lt;MAX($P$34*($B447+IF($R$17="Distrato",$I$38-1,0)),IF(AND($L$37=0,$P$34=0),"",$L$37-1),IF($R$17="Distrato",$E447,0))),0,YEARFRAC(MAX($P$34*($B447+IF($R$17="Distrato",$I$38-1,0)),IF(AND($L$37=0,$P$34=0),"",$L$37-1),IF($R$17="Distrato",$E447,0)),MIN(AR$38,$D$19),$P$20))-SUM($P447:AQ447)</f>
        <v>#VALUE!</v>
      </c>
      <c r="AS447" s="446" t="e">
        <f>IF(OR($B447="",MIN(AS$38,$D$19)&lt;MAX($P$34*($B447+IF($R$17="Distrato",$I$38-1,0)),IF(AND($L$37=0,$P$34=0),"",$L$37-1),IF($R$17="Distrato",$E447,0))),0,YEARFRAC(MAX($P$34*($B447+IF($R$17="Distrato",$I$38-1,0)),IF(AND($L$37=0,$P$34=0),"",$L$37-1),IF($R$17="Distrato",$E447,0)),MIN(AS$38,$D$19),$P$20))-SUM($P447:AR447)</f>
        <v>#VALUE!</v>
      </c>
      <c r="AT447" s="446" t="e">
        <f>IF(OR($B447="",MIN(AT$38,$D$19)&lt;MAX($P$34*($B447+IF($R$17="Distrato",$I$38-1,0)),IF(AND($L$37=0,$P$34=0),"",$L$37-1),IF($R$17="Distrato",$E447,0))),0,YEARFRAC(MAX($P$34*($B447+IF($R$17="Distrato",$I$38-1,0)),IF(AND($L$37=0,$P$34=0),"",$L$37-1),IF($R$17="Distrato",$E447,0)),MIN(AT$38,$D$19),$P$20))-SUM($P447:AS447)</f>
        <v>#VALUE!</v>
      </c>
      <c r="AU447" s="446" t="e">
        <f>IF(OR($B447="",MIN(AU$38,$D$19)&lt;MAX($P$34*($B447+IF($R$17="Distrato",$I$38-1,0)),IF(AND($L$37=0,$P$34=0),"",$L$37-1),IF($R$17="Distrato",$E447,0))),0,YEARFRAC(MAX($P$34*($B447+IF($R$17="Distrato",$I$38-1,0)),IF(AND($L$37=0,$P$34=0),"",$L$37-1),IF($R$17="Distrato",$E447,0)),MIN(AU$38,$D$19),$P$20))-SUM($P447:AT447)</f>
        <v>#VALUE!</v>
      </c>
      <c r="AV447" s="446" t="e">
        <f>IF(OR($B447="",MIN(AV$38,$D$19)&lt;MAX($P$34*($B447+IF($R$17="Distrato",$I$38-1,0)),IF(AND($L$37=0,$P$34=0),"",$L$37-1),IF($R$17="Distrato",$E447,0))),0,YEARFRAC(MAX($P$34*($B447+IF($R$17="Distrato",$I$38-1,0)),IF(AND($L$37=0,$P$34=0),"",$L$37-1),IF($R$17="Distrato",$E447,0)),MIN(AV$38,$D$19),$P$20))-SUM($P447:AU447)</f>
        <v>#VALUE!</v>
      </c>
      <c r="AW447" s="446" t="e">
        <f>IF(OR($B447="",MIN(AW$38,$D$19)&lt;MAX($P$34*($B447+IF($R$17="Distrato",$I$38-1,0)),IF(AND($L$37=0,$P$34=0),"",$L$37-1),IF($R$17="Distrato",$E447,0))),0,YEARFRAC(MAX($P$34*($B447+IF($R$17="Distrato",$I$38-1,0)),IF(AND($L$37=0,$P$34=0),"",$L$37-1),IF($R$17="Distrato",$E447,0)),MIN(AW$38,$D$19),$P$20))-SUM($P447:AV447)</f>
        <v>#VALUE!</v>
      </c>
      <c r="AX447" s="446" t="e">
        <f>IF(OR($B447="",MIN(AX$38,$D$19)&lt;MAX($P$34*($B447+IF($R$17="Distrato",$I$38-1,0)),IF(AND($L$37=0,$P$34=0),"",$L$37-1),IF($R$17="Distrato",$E447,0))),0,YEARFRAC(MAX($P$34*($B447+IF($R$17="Distrato",$I$38-1,0)),IF(AND($L$37=0,$P$34=0),"",$L$37-1),IF($R$17="Distrato",$E447,0)),MIN(AX$38,$D$19),$P$20))-SUM($P447:AW447)</f>
        <v>#VALUE!</v>
      </c>
      <c r="AY447" s="446" t="e">
        <f>IF(OR($B447="",MIN(AY$38,$D$19)&lt;MAX($P$34*($B447+IF($R$17="Distrato",$I$38-1,0)),IF(AND($L$37=0,$P$34=0),"",$L$37-1),IF($R$17="Distrato",$E447,0))),0,YEARFRAC(MAX($P$34*($B447+IF($R$17="Distrato",$I$38-1,0)),IF(AND($L$37=0,$P$34=0),"",$L$37-1),IF($R$17="Distrato",$E447,0)),MIN(AY$38,$D$19),$P$20))-SUM($P447:AX447)</f>
        <v>#VALUE!</v>
      </c>
      <c r="AZ447" s="446" t="e">
        <f>IF(OR($B447="",MIN(AZ$38,$D$19)&lt;MAX($P$34*($B447+IF($R$17="Distrato",$I$38-1,0)),IF(AND($L$37=0,$P$34=0),"",$L$37-1),IF($R$17="Distrato",$E447,0))),0,YEARFRAC(MAX($P$34*($B447+IF($R$17="Distrato",$I$38-1,0)),IF(AND($L$37=0,$P$34=0),"",$L$37-1),IF($R$17="Distrato",$E447,0)),MIN(AZ$38,$D$19),$P$20))-SUM($P447:AY447)</f>
        <v>#VALUE!</v>
      </c>
      <c r="BA447" s="446" t="e">
        <f>IF(OR($B447="",MIN(BA$38,$D$19)&lt;MAX($P$34*($B447+IF($R$17="Distrato",$I$38-1,0)),IF(AND($L$37=0,$P$34=0),"",$L$37-1),IF($R$17="Distrato",$E447,0))),0,YEARFRAC(MAX($P$34*($B447+IF($R$17="Distrato",$I$38-1,0)),IF(AND($L$37=0,$P$34=0),"",$L$37-1),IF($R$17="Distrato",$E447,0)),MIN(BA$38,$D$19),$P$20))-SUM($P447:AZ447)</f>
        <v>#VALUE!</v>
      </c>
      <c r="BB447" s="447"/>
      <c r="BF447" s="446">
        <f t="shared" si="76"/>
        <v>0</v>
      </c>
      <c r="BG447" s="446">
        <f>IF($E447=0,0,IF(MIN(BG$38,$E447)&lt;MAX($P$34*($B447+$I$38-1),IF(AND($L$37=0,$P$34=0),"",$L$37-1)),0,YEARFRAC(MAX($P$34*($B447+$I$38-1),IF(AND($L$37=0,$P$34=0),"",$L$37-1)),MIN(BG$38,$E447),$P$20))-SUM($BF447:BF447))</f>
        <v>0</v>
      </c>
      <c r="BH447" s="446">
        <f>IF($E447=0,0,IF(MIN(BH$38,$E447)&lt;MAX($P$34*($B447+$I$38-1),IF(AND($L$37=0,$P$34=0),"",$L$37-1)),0,YEARFRAC(MAX($P$34*($B447+$I$38-1),IF(AND($L$37=0,$P$34=0),"",$L$37-1)),MIN(BH$38,$E447),$P$20))-SUM($BF447:BG447))</f>
        <v>0</v>
      </c>
      <c r="BI447" s="446">
        <f>IF($E447=0,0,IF(MIN(BI$38,$E447)&lt;MAX($P$34*($B447+$I$38-1),IF(AND($L$37=0,$P$34=0),"",$L$37-1)),0,YEARFRAC(MAX($P$34*($B447+$I$38-1),IF(AND($L$37=0,$P$34=0),"",$L$37-1)),MIN(BI$38,$E447),$P$20))-SUM($BF447:BH447))</f>
        <v>0</v>
      </c>
      <c r="BJ447" s="446">
        <f>IF($E447=0,0,IF(MIN(BJ$38,$E447)&lt;MAX($P$34*($B447+$I$38-1),IF(AND($L$37=0,$P$34=0),"",$L$37-1)),0,YEARFRAC(MAX($P$34*($B447+$I$38-1),IF(AND($L$37=0,$P$34=0),"",$L$37-1)),MIN(BJ$38,$E447),$P$20))-SUM($BF447:BI447))</f>
        <v>0</v>
      </c>
      <c r="BK447" s="446">
        <f>IF($E447=0,0,IF(MIN(BK$38,$E447)&lt;MAX($P$34*($B447+$I$38-1),IF(AND($L$37=0,$P$34=0),"",$L$37-1)),0,YEARFRAC(MAX($P$34*($B447+$I$38-1),IF(AND($L$37=0,$P$34=0),"",$L$37-1)),MIN(BK$38,$E447),$P$20))-SUM($BF447:BJ447))</f>
        <v>0</v>
      </c>
      <c r="BL447" s="446">
        <f>IF($E447=0,0,IF(MIN(BL$38,$E447)&lt;MAX($P$34*($B447+$I$38-1),IF(AND($L$37=0,$P$34=0),"",$L$37-1)),0,YEARFRAC(MAX($P$34*($B447+$I$38-1),IF(AND($L$37=0,$P$34=0),"",$L$37-1)),MIN(BL$38,$E447),$P$20))-SUM($BF447:BK447))</f>
        <v>0</v>
      </c>
      <c r="BM447" s="446">
        <f>IF($E447=0,0,IF(MIN(BM$38,$E447)&lt;MAX($P$34*($B447+$I$38-1),IF(AND($L$37=0,$P$34=0),"",$L$37-1)),0,YEARFRAC(MAX($P$34*($B447+$I$38-1),IF(AND($L$37=0,$P$34=0),"",$L$37-1)),MIN(BM$38,$E447),$P$20))-SUM($BF447:BL447))</f>
        <v>0</v>
      </c>
      <c r="BN447" s="446">
        <f>IF($E447=0,0,IF(MIN(BN$38,$E447)&lt;MAX($P$34*($B447+$I$38-1),IF(AND($L$37=0,$P$34=0),"",$L$37-1)),0,YEARFRAC(MAX($P$34*($B447+$I$38-1),IF(AND($L$37=0,$P$34=0),"",$L$37-1)),MIN(BN$38,$E447),$P$20))-SUM($BF447:BM447))</f>
        <v>0</v>
      </c>
      <c r="BO447" s="446">
        <f>IF($E447=0,0,IF(MIN(BO$38,$E447)&lt;MAX($P$34*($B447+$I$38-1),IF(AND($L$37=0,$P$34=0),"",$L$37-1)),0,YEARFRAC(MAX($P$34*($B447+$I$38-1),IF(AND($L$37=0,$P$34=0),"",$L$37-1)),MIN(BO$38,$E447),$P$20))-SUM($BF447:BN447))</f>
        <v>0</v>
      </c>
      <c r="BP447" s="446">
        <f>IF($E447=0,0,IF(MIN(BP$38,$E447)&lt;MAX($P$34*($B447+$I$38-1),IF(AND($L$37=0,$P$34=0),"",$L$37-1)),0,YEARFRAC(MAX($P$34*($B447+$I$38-1),IF(AND($L$37=0,$P$34=0),"",$L$37-1)),MIN(BP$38,$E447),$P$20))-SUM($BF447:BO447))</f>
        <v>0</v>
      </c>
      <c r="BQ447" s="446">
        <f>IF($E447=0,0,IF(MIN(BQ$38,$E447)&lt;MAX($P$34*($B447+$I$38-1),IF(AND($L$37=0,$P$34=0),"",$L$37-1)),0,YEARFRAC(MAX($P$34*($B447+$I$38-1),IF(AND($L$37=0,$P$34=0),"",$L$37-1)),MIN(BQ$38,$E447),$P$20))-SUM($BF447:BP447))</f>
        <v>0</v>
      </c>
      <c r="BR447" s="446">
        <f>IF($E447=0,0,IF(MIN(BR$38,$E447)&lt;MAX($P$34*($B447+$I$38-1),IF(AND($L$37=0,$P$34=0),"",$L$37-1)),0,YEARFRAC(MAX($P$34*($B447+$I$38-1),IF(AND($L$37=0,$P$34=0),"",$L$37-1)),MIN(BR$38,$E447),$P$20))-SUM($BF447:BQ447))</f>
        <v>0</v>
      </c>
      <c r="BS447" s="446">
        <f>IF($E447=0,0,IF(MIN(BS$38,$E447)&lt;MAX($P$34*($B447+$I$38-1),IF(AND($L$37=0,$P$34=0),"",$L$37-1)),0,YEARFRAC(MAX($P$34*($B447+$I$38-1),IF(AND($L$37=0,$P$34=0),"",$L$37-1)),MIN(BS$38,$E447),$P$20))-SUM($BF447:BR447))</f>
        <v>0</v>
      </c>
      <c r="BT447" s="446">
        <f>IF($E447=0,0,IF(MIN(BT$38,$E447)&lt;MAX($P$34*($B447+$I$38-1),IF(AND($L$37=0,$P$34=0),"",$L$37-1)),0,YEARFRAC(MAX($P$34*($B447+$I$38-1),IF(AND($L$37=0,$P$34=0),"",$L$37-1)),MIN(BT$38,$E447),$P$20))-SUM($BF447:BS447))</f>
        <v>0</v>
      </c>
      <c r="BU447" s="446">
        <f>IF($E447=0,0,IF(MIN(BU$38,$E447)&lt;MAX($P$34*($B447+$I$38-1),IF(AND($L$37=0,$P$34=0),"",$L$37-1)),0,YEARFRAC(MAX($P$34*($B447+$I$38-1),IF(AND($L$37=0,$P$34=0),"",$L$37-1)),MIN(BU$38,$E447),$P$20))-SUM($BF447:BT447))</f>
        <v>0</v>
      </c>
      <c r="BV447" s="446">
        <f>IF($E447=0,0,IF(MIN(BV$38,$E447)&lt;MAX($P$34*($B447+$I$38-1),IF(AND($L$37=0,$P$34=0),"",$L$37-1)),0,YEARFRAC(MAX($P$34*($B447+$I$38-1),IF(AND($L$37=0,$P$34=0),"",$L$37-1)),MIN(BV$38,$E447),$P$20))-SUM($BF447:BU447))</f>
        <v>0</v>
      </c>
      <c r="BW447" s="446">
        <f>IF($E447=0,0,IF(MIN(BW$38,$E447)&lt;MAX($P$34*($B447+$I$38-1),IF(AND($L$37=0,$P$34=0),"",$L$37-1)),0,YEARFRAC(MAX($P$34*($B447+$I$38-1),IF(AND($L$37=0,$P$34=0),"",$L$37-1)),MIN(BW$38,$E447),$P$20))-SUM($BF447:BV447))</f>
        <v>0</v>
      </c>
      <c r="BX447" s="446">
        <f>IF($E447=0,0,IF(MIN(BX$38,$E447)&lt;MAX($P$34*($B447+$I$38-1),IF(AND($L$37=0,$P$34=0),"",$L$37-1)),0,YEARFRAC(MAX($P$34*($B447+$I$38-1),IF(AND($L$37=0,$P$34=0),"",$L$37-1)),MIN(BX$38,$E447),$P$20))-SUM($BF447:BW447))</f>
        <v>0</v>
      </c>
      <c r="BY447" s="446">
        <f>IF($E447=0,0,IF(MIN(BY$38,$E447)&lt;MAX($P$34*($B447+$I$38-1),IF(AND($L$37=0,$P$34=0),"",$L$37-1)),0,YEARFRAC(MAX($P$34*($B447+$I$38-1),IF(AND($L$37=0,$P$34=0),"",$L$37-1)),MIN(BY$38,$E447),$P$20))-SUM($BF447:BX447))</f>
        <v>0</v>
      </c>
      <c r="BZ447" s="446">
        <f>IF($E447=0,0,IF(MIN(BZ$38,$E447)&lt;MAX($P$34*($B447+$I$38-1),IF(AND($L$37=0,$P$34=0),"",$L$37-1)),0,YEARFRAC(MAX($P$34*($B447+$I$38-1),IF(AND($L$37=0,$P$34=0),"",$L$37-1)),MIN(BZ$38,$E447),$P$20))-SUM($BF447:BY447))</f>
        <v>0</v>
      </c>
      <c r="CA447" s="446">
        <f>IF($E447=0,0,IF(MIN(CA$38,$E447)&lt;MAX($P$34*($B447+$I$38-1),IF(AND($L$37=0,$P$34=0),"",$L$37-1)),0,YEARFRAC(MAX($P$34*($B447+$I$38-1),IF(AND($L$37=0,$P$34=0),"",$L$37-1)),MIN(CA$38,$E447),$P$20))-SUM($BF447:BZ447))</f>
        <v>0</v>
      </c>
      <c r="CB447" s="446">
        <f>IF($E447=0,0,IF(MIN(CB$38,$E447)&lt;MAX($P$34*($B447+$I$38-1),IF(AND($L$37=0,$P$34=0),"",$L$37-1)),0,YEARFRAC(MAX($P$34*($B447+$I$38-1),IF(AND($L$37=0,$P$34=0),"",$L$37-1)),MIN(CB$38,$E447),$P$20))-SUM($BF447:CA447))</f>
        <v>0</v>
      </c>
      <c r="CC447" s="446">
        <f>IF($E447=0,0,IF(MIN(CC$38,$E447)&lt;MAX($P$34*($B447+$I$38-1),IF(AND($L$37=0,$P$34=0),"",$L$37-1)),0,YEARFRAC(MAX($P$34*($B447+$I$38-1),IF(AND($L$37=0,$P$34=0),"",$L$37-1)),MIN(CC$38,$E447),$P$20))-SUM($BF447:CB447))</f>
        <v>0</v>
      </c>
      <c r="CD447" s="446">
        <f>IF($E447=0,0,IF(MIN(CD$38,$E447)&lt;MAX($P$34*($B447+$I$38-1),IF(AND($L$37=0,$P$34=0),"",$L$37-1)),0,YEARFRAC(MAX($P$34*($B447+$I$38-1),IF(AND($L$37=0,$P$34=0),"",$L$37-1)),MIN(CD$38,$E447),$P$20))-SUM($BF447:CC447))</f>
        <v>0</v>
      </c>
      <c r="CE447" s="446">
        <f>IF($E447=0,0,IF(MIN(CE$38,$E447)&lt;MAX($P$34*($B447+$I$38-1),IF(AND($L$37=0,$P$34=0),"",$L$37-1)),0,YEARFRAC(MAX($P$34*($B447+$I$38-1),IF(AND($L$37=0,$P$34=0),"",$L$37-1)),MIN(CE$38,$E447),$P$20))-SUM($BF447:CD447))</f>
        <v>0</v>
      </c>
      <c r="CF447" s="446">
        <f>IF($E447=0,0,IF(MIN(CF$38,$E447)&lt;MAX($P$34*($B447+$I$38-1),IF(AND($L$37=0,$P$34=0),"",$L$37-1)),0,YEARFRAC(MAX($P$34*($B447+$I$38-1),IF(AND($L$37=0,$P$34=0),"",$L$37-1)),MIN(CF$38,$E447),$P$20))-SUM($BF447:CE447))</f>
        <v>0</v>
      </c>
      <c r="CG447" s="446">
        <f>IF($E447=0,0,IF(MIN(CG$38,$E447)&lt;MAX($P$34*($B447+$I$38-1),IF(AND($L$37=0,$P$34=0),"",$L$37-1)),0,YEARFRAC(MAX($P$34*($B447+$I$38-1),IF(AND($L$37=0,$P$34=0),"",$L$37-1)),MIN(CG$38,$E447),$P$20))-SUM($BF447:CF447))</f>
        <v>0</v>
      </c>
      <c r="CH447" s="446">
        <f>IF($E447=0,0,IF(MIN(CH$38,$E447)&lt;MAX($P$34*($B447+$I$38-1),IF(AND($L$37=0,$P$34=0),"",$L$37-1)),0,YEARFRAC(MAX($P$34*($B447+$I$38-1),IF(AND($L$37=0,$P$34=0),"",$L$37-1)),MIN(CH$38,$E447),$P$20))-SUM($BF447:CG447))</f>
        <v>0</v>
      </c>
      <c r="CI447" s="446">
        <f>IF($E447=0,0,IF(MIN(CI$38,$E447)&lt;MAX($P$34*($B447+$I$38-1),IF(AND($L$37=0,$P$34=0),"",$L$37-1)),0,YEARFRAC(MAX($P$34*($B447+$I$38-1),IF(AND($L$37=0,$P$34=0),"",$L$37-1)),MIN(CI$38,$E447),$P$20))-SUM($BF447:CH447))</f>
        <v>0</v>
      </c>
      <c r="CJ447" s="446">
        <f>IF($E447=0,0,IF(MIN(CJ$38,$E447)&lt;MAX($P$34*($B447+$I$38-1),IF(AND($L$37=0,$P$34=0),"",$L$37-1)),0,YEARFRAC(MAX($P$34*($B447+$I$38-1),IF(AND($L$37=0,$P$34=0),"",$L$37-1)),MIN(CJ$38,$E447),$P$20))-SUM($BF447:CI447))</f>
        <v>0</v>
      </c>
      <c r="CK447" s="446">
        <f>IF($E447=0,0,IF(MIN(CK$38,$E447)&lt;MAX($P$34*($B447+$I$38-1),IF(AND($L$37=0,$P$34=0),"",$L$37-1)),0,YEARFRAC(MAX($P$34*($B447+$I$38-1),IF(AND($L$37=0,$P$34=0),"",$L$37-1)),MIN(CK$38,$E447),$P$20))-SUM($BF447:CJ447))</f>
        <v>0</v>
      </c>
      <c r="CL447" s="446">
        <f>IF($E447=0,0,IF(MIN(CL$38,$E447)&lt;MAX($P$34*($B447+$I$38-1),IF(AND($L$37=0,$P$34=0),"",$L$37-1)),0,YEARFRAC(MAX($P$34*($B447+$I$38-1),IF(AND($L$37=0,$P$34=0),"",$L$37-1)),MIN(CL$38,$E447),$P$20))-SUM($BF447:CK447))</f>
        <v>0</v>
      </c>
      <c r="CM447" s="446">
        <f>IF($E447=0,0,IF(MIN(CM$38,$E447)&lt;MAX($P$34*($B447+$I$38-1),IF(AND($L$37=0,$P$34=0),"",$L$37-1)),0,YEARFRAC(MAX($P$34*($B447+$I$38-1),IF(AND($L$37=0,$P$34=0),"",$L$37-1)),MIN(CM$38,$E447),$P$20))-SUM($BF447:CL447))</f>
        <v>0</v>
      </c>
      <c r="CN447" s="446">
        <f>IF($E447=0,0,IF(MIN(CN$38,$E447)&lt;MAX($P$34*($B447+$I$38-1),IF(AND($L$37=0,$P$34=0),"",$L$37-1)),0,YEARFRAC(MAX($P$34*($B447+$I$38-1),IF(AND($L$37=0,$P$34=0),"",$L$37-1)),MIN(CN$38,$E447),$P$20))-SUM($BF447:CM447))</f>
        <v>0</v>
      </c>
      <c r="CO447" s="446">
        <f>IF($E447=0,0,IF(MIN(CO$38,$E447)&lt;MAX($P$34*($B447+$I$38-1),IF(AND($L$37=0,$P$34=0),"",$L$37-1)),0,YEARFRAC(MAX($P$34*($B447+$I$38-1),IF(AND($L$37=0,$P$34=0),"",$L$37-1)),MIN(CO$38,$E447),$P$20))-SUM($BF447:CN447))</f>
        <v>0</v>
      </c>
      <c r="CP447" s="446">
        <f>IF($E447=0,0,IF(MIN(CP$38,$E447)&lt;MAX($P$34*($B447+$I$38-1),IF(AND($L$37=0,$P$34=0),"",$L$37-1)),0,YEARFRAC(MAX($P$34*($B447+$I$38-1),IF(AND($L$37=0,$P$34=0),"",$L$37-1)),MIN(CP$38,$E447),$P$20))-SUM($BF447:CO447))</f>
        <v>0</v>
      </c>
      <c r="CQ447" s="446">
        <f>IF($E447=0,0,IF(MIN(CQ$38,$E447)&lt;MAX($P$34*($B447+$I$38-1),IF(AND($L$37=0,$P$34=0),"",$L$37-1)),0,YEARFRAC(MAX($P$34*($B447+$I$38-1),IF(AND($L$37=0,$P$34=0),"",$L$37-1)),MIN(CQ$38,$E447),$P$20))-SUM($BF447:CP447))</f>
        <v>0</v>
      </c>
    </row>
    <row r="448" spans="1:95" s="446" customFormat="1" ht="11.25" hidden="1" customHeight="1" x14ac:dyDescent="0.2">
      <c r="A448" s="152"/>
      <c r="B448" s="153" t="str">
        <f t="shared" si="81"/>
        <v/>
      </c>
      <c r="C448" s="29" t="str">
        <f>IF(B448="","",IF($L$35="SELIC - TRIBUTOS",VLOOKUP(DATE(YEAR($D$19),MONTH($D$19)-1,1),ÍNDICES!$A:$DE,HLOOKUP($BL$25,ÍNDICES!$B$3:$T$4,2)+11)-VLOOKUP(B448,ÍNDICES!$A:$DE,HLOOKUP($BL$25,ÍNDICES!$B$3:$T$4,2)+11)+1%,IF(C$38=$W$26,$J$35,IF(ISERROR(IF(B448&gt;$D$19,1,VLOOKUP(DATE(YEAR(B448),MONTH(B448)+IF($C$35=$S$23,1,0),1),ÍNDICES!$A:$DE,$Z$35+1))),"",IF(B448&gt;$D$19,1,VLOOKUP(DATE(YEAR(B448),MONTH(B448)+IF($C$35=$S$23,1,0),1),ÍNDICES!$A:$DE,$Z$35+1))))))</f>
        <v/>
      </c>
      <c r="D448" s="154" t="str">
        <f>IF(ISERROR(IF(OR($D$38=$Y$27,$B448=""),"",VLOOKUP(B448,ÍNDICES!A:DE,AF$35+1))),"",IF(OR($D$38=$Y$27,$B448=""),"",VLOOKUP(B448,ÍNDICES!A:DE,AF$35+1)))</f>
        <v/>
      </c>
      <c r="E448" s="153"/>
      <c r="F448" s="29" t="str">
        <f>IF(E448="","",IF($L$35="SELIC - TRIBUTOS",VLOOKUP(DATE(YEAR($D$19),MONTH($D$19)-1,1),ÍNDICES!$A:$DE,HLOOKUP($BL$25,ÍNDICES!$B$3:$T$4,2)+11)-VLOOKUP(E448,ÍNDICES!$A:$DE,HLOOKUP($BL$25,ÍNDICES!$B$3:$T$4,2)+11)+1%,IF(F$38=$W$26,$J$35,IF(ISERROR(IF(E448&gt;$D$19,1,VLOOKUP(DATE(YEAR(E448),MONTH(E448)+IF($C$35=$S$23,1,0),1),ÍNDICES!$A:$DE,$Z$35+1))),"",IF(E448&gt;$D$19,1,VLOOKUP(DATE(YEAR(E448),MONTH(E448)+IF($C$35=$S$23,1,0),1),ÍNDICES!$A:$DE,$Z$35+1))))))</f>
        <v/>
      </c>
      <c r="G448" s="155"/>
      <c r="H448" s="156" t="str">
        <f t="shared" si="77"/>
        <v/>
      </c>
      <c r="I448" s="29" t="str">
        <f t="shared" si="71"/>
        <v/>
      </c>
      <c r="J448" s="5">
        <f t="shared" si="72"/>
        <v>0</v>
      </c>
      <c r="K448" s="20">
        <f t="shared" ca="1" si="73"/>
        <v>0</v>
      </c>
      <c r="L448" s="5">
        <f t="shared" ca="1" si="74"/>
        <v>0</v>
      </c>
      <c r="M448" s="64">
        <f t="shared" si="78"/>
        <v>0</v>
      </c>
      <c r="N448" s="61">
        <f t="shared" ca="1" si="79"/>
        <v>0</v>
      </c>
      <c r="O448" s="5">
        <f t="shared" ca="1" si="80"/>
        <v>0</v>
      </c>
      <c r="P448" s="446" t="e">
        <f t="shared" si="75"/>
        <v>#VALUE!</v>
      </c>
      <c r="Q448" s="446" t="e">
        <f>IF(OR($B448="",MIN(Q$38,$D$19)&lt;MAX($P$34*($B448+IF($R$17="Distrato",$I$38-1,0)),IF(AND($L$37=0,$P$34=0),"",$L$37-1),IF($R$17="Distrato",$E448,0))),0,YEARFRAC(MAX($P$34*($B448+IF($R$17="Distrato",$I$38-1,0)),IF(AND($L$37=0,$P$34=0),"",$L$37-1),IF($R$17="Distrato",$E448,0)),MIN(Q$38,$D$19),$P$20))-SUM($P448:P448)</f>
        <v>#VALUE!</v>
      </c>
      <c r="R448" s="446" t="e">
        <f>IF(OR($B448="",MIN(R$38,$D$19)&lt;MAX($P$34*($B448+IF($R$17="Distrato",$I$38-1,0)),IF(AND($L$37=0,$P$34=0),"",$L$37-1),IF($R$17="Distrato",$E448,0))),0,YEARFRAC(MAX($P$34*($B448+IF($R$17="Distrato",$I$38-1,0)),IF(AND($L$37=0,$P$34=0),"",$L$37-1),IF($R$17="Distrato",$E448,0)),MIN(R$38,$D$19),$P$20))-SUM($P448:Q448)</f>
        <v>#VALUE!</v>
      </c>
      <c r="S448" s="446" t="e">
        <f>IF(OR($B448="",MIN(S$38,$D$19)&lt;MAX($P$34*($B448+IF($R$17="Distrato",$I$38-1,0)),IF(AND($L$37=0,$P$34=0),"",$L$37-1),IF($R$17="Distrato",$E448,0))),0,YEARFRAC(MAX($P$34*($B448+IF($R$17="Distrato",$I$38-1,0)),IF(AND($L$37=0,$P$34=0),"",$L$37-1),IF($R$17="Distrato",$E448,0)),MIN(S$38,$D$19),$P$20))-SUM($P448:R448)</f>
        <v>#VALUE!</v>
      </c>
      <c r="T448" s="446" t="e">
        <f>IF(OR($B448="",MIN(T$38,$D$19)&lt;MAX($P$34*($B448+IF($R$17="Distrato",$I$38-1,0)),IF(AND($L$37=0,$P$34=0),"",$L$37-1),IF($R$17="Distrato",$E448,0))),0,YEARFRAC(MAX($P$34*($B448+IF($R$17="Distrato",$I$38-1,0)),IF(AND($L$37=0,$P$34=0),"",$L$37-1),IF($R$17="Distrato",$E448,0)),MIN(T$38,$D$19),$P$20))-SUM($P448:S448)</f>
        <v>#VALUE!</v>
      </c>
      <c r="U448" s="446" t="e">
        <f>IF(OR($B448="",MIN(U$38,$D$19)&lt;MAX($P$34*($B448+IF($R$17="Distrato",$I$38-1,0)),IF(AND($L$37=0,$P$34=0),"",$L$37-1),IF($R$17="Distrato",$E448,0))),0,YEARFRAC(MAX($P$34*($B448+IF($R$17="Distrato",$I$38-1,0)),IF(AND($L$37=0,$P$34=0),"",$L$37-1),IF($R$17="Distrato",$E448,0)),MIN(U$38,$D$19),$P$20))-SUM($P448:T448)</f>
        <v>#VALUE!</v>
      </c>
      <c r="V448" s="446" t="e">
        <f>IF(OR($B448="",MIN(V$38,$D$19)&lt;MAX($P$34*($B448+IF($R$17="Distrato",$I$38-1,0)),IF(AND($L$37=0,$P$34=0),"",$L$37-1),IF($R$17="Distrato",$E448,0))),0,YEARFRAC(MAX($P$34*($B448+IF($R$17="Distrato",$I$38-1,0)),IF(AND($L$37=0,$P$34=0),"",$L$37-1),IF($R$17="Distrato",$E448,0)),MIN(V$38,$D$19),$P$20))-SUM($P448:U448)</f>
        <v>#VALUE!</v>
      </c>
      <c r="W448" s="446" t="e">
        <f>IF(OR($B448="",MIN(W$38,$D$19)&lt;MAX($P$34*($B448+IF($R$17="Distrato",$I$38-1,0)),IF(AND($L$37=0,$P$34=0),"",$L$37-1),IF($R$17="Distrato",$E448,0))),0,YEARFRAC(MAX($P$34*($B448+IF($R$17="Distrato",$I$38-1,0)),IF(AND($L$37=0,$P$34=0),"",$L$37-1),IF($R$17="Distrato",$E448,0)),MIN(W$38,$D$19),$P$20))-SUM($P448:V448)</f>
        <v>#VALUE!</v>
      </c>
      <c r="X448" s="446" t="e">
        <f>IF(OR($B448="",MIN(X$38,$D$19)&lt;MAX($P$34*($B448+IF($R$17="Distrato",$I$38-1,0)),IF(AND($L$37=0,$P$34=0),"",$L$37-1),IF($R$17="Distrato",$E448,0))),0,YEARFRAC(MAX($P$34*($B448+IF($R$17="Distrato",$I$38-1,0)),IF(AND($L$37=0,$P$34=0),"",$L$37-1),IF($R$17="Distrato",$E448,0)),MIN(X$38,$D$19),$P$20))-SUM($P448:W448)</f>
        <v>#VALUE!</v>
      </c>
      <c r="Y448" s="446" t="e">
        <f>IF(OR($B448="",MIN(Y$38,$D$19)&lt;MAX($P$34*($B448+IF($R$17="Distrato",$I$38-1,0)),IF(AND($L$37=0,$P$34=0),"",$L$37-1),IF($R$17="Distrato",$E448,0))),0,YEARFRAC(MAX($P$34*($B448+IF($R$17="Distrato",$I$38-1,0)),IF(AND($L$37=0,$P$34=0),"",$L$37-1),IF($R$17="Distrato",$E448,0)),MIN(Y$38,$D$19),$P$20))-SUM($P448:X448)</f>
        <v>#VALUE!</v>
      </c>
      <c r="Z448" s="446" t="e">
        <f>IF(OR($B448="",MIN(Z$38,$D$19)&lt;MAX($P$34*($B448+IF($R$17="Distrato",$I$38-1,0)),IF(AND($L$37=0,$P$34=0),"",$L$37-1),IF($R$17="Distrato",$E448,0))),0,YEARFRAC(MAX($P$34*($B448+IF($R$17="Distrato",$I$38-1,0)),IF(AND($L$37=0,$P$34=0),"",$L$37-1),IF($R$17="Distrato",$E448,0)),MIN(Z$38,$D$19),$P$20))-SUM($P448:Y448)</f>
        <v>#VALUE!</v>
      </c>
      <c r="AA448" s="446" t="e">
        <f>IF(OR($B448="",MIN(AA$38,$D$19)&lt;MAX($P$34*($B448+IF($R$17="Distrato",$I$38-1,0)),IF(AND($L$37=0,$P$34=0),"",$L$37-1),IF($R$17="Distrato",$E448,0))),0,YEARFRAC(MAX($P$34*($B448+IF($R$17="Distrato",$I$38-1,0)),IF(AND($L$37=0,$P$34=0),"",$L$37-1),IF($R$17="Distrato",$E448,0)),MIN(AA$38,$D$19),$P$20))-SUM($P448:Z448)</f>
        <v>#VALUE!</v>
      </c>
      <c r="AB448" s="446" t="e">
        <f>IF(OR($B448="",MIN(AB$38,$D$19)&lt;MAX($P$34*($B448+IF($R$17="Distrato",$I$38-1,0)),IF(AND($L$37=0,$P$34=0),"",$L$37-1),IF($R$17="Distrato",$E448,0))),0,YEARFRAC(MAX($P$34*($B448+IF($R$17="Distrato",$I$38-1,0)),IF(AND($L$37=0,$P$34=0),"",$L$37-1),IF($R$17="Distrato",$E448,0)),MIN(AB$38,$D$19),$P$20))-SUM($P448:AA448)</f>
        <v>#VALUE!</v>
      </c>
      <c r="AC448" s="446" t="e">
        <f>IF(OR($B448="",MIN(AC$38,$D$19)&lt;MAX($P$34*($B448+IF($R$17="Distrato",$I$38-1,0)),IF(AND($L$37=0,$P$34=0),"",$L$37-1),IF($R$17="Distrato",$E448,0))),0,YEARFRAC(MAX($P$34*($B448+IF($R$17="Distrato",$I$38-1,0)),IF(AND($L$37=0,$P$34=0),"",$L$37-1),IF($R$17="Distrato",$E448,0)),MIN(AC$38,$D$19),$P$20))-SUM($P448:AB448)</f>
        <v>#VALUE!</v>
      </c>
      <c r="AD448" s="446" t="e">
        <f>IF(OR($B448="",MIN(AD$38,$D$19)&lt;MAX($P$34*($B448+IF($R$17="Distrato",$I$38-1,0)),IF(AND($L$37=0,$P$34=0),"",$L$37-1),IF($R$17="Distrato",$E448,0))),0,YEARFRAC(MAX($P$34*($B448+IF($R$17="Distrato",$I$38-1,0)),IF(AND($L$37=0,$P$34=0),"",$L$37-1),IF($R$17="Distrato",$E448,0)),MIN(AD$38,$D$19),$P$20))-SUM($P448:AC448)</f>
        <v>#VALUE!</v>
      </c>
      <c r="AE448" s="446" t="e">
        <f>IF(OR($B448="",MIN(AE$38,$D$19)&lt;MAX($P$34*($B448+IF($R$17="Distrato",$I$38-1,0)),IF(AND($L$37=0,$P$34=0),"",$L$37-1),IF($R$17="Distrato",$E448,0))),0,YEARFRAC(MAX($P$34*($B448+IF($R$17="Distrato",$I$38-1,0)),IF(AND($L$37=0,$P$34=0),"",$L$37-1),IF($R$17="Distrato",$E448,0)),MIN(AE$38,$D$19),$P$20))-SUM($P448:AD448)</f>
        <v>#VALUE!</v>
      </c>
      <c r="AF448" s="446" t="e">
        <f>IF(OR($B448="",MIN(AF$38,$D$19)&lt;MAX($P$34*($B448+IF($R$17="Distrato",$I$38-1,0)),IF(AND($L$37=0,$P$34=0),"",$L$37-1),IF($R$17="Distrato",$E448,0))),0,YEARFRAC(MAX($P$34*($B448+IF($R$17="Distrato",$I$38-1,0)),IF(AND($L$37=0,$P$34=0),"",$L$37-1),IF($R$17="Distrato",$E448,0)),MIN(AF$38,$D$19),$P$20))-SUM($P448:AE448)</f>
        <v>#VALUE!</v>
      </c>
      <c r="AG448" s="446" t="e">
        <f>IF(OR($B448="",MIN(AG$38,$D$19)&lt;MAX($P$34*($B448+IF($R$17="Distrato",$I$38-1,0)),IF(AND($L$37=0,$P$34=0),"",$L$37-1),IF($R$17="Distrato",$E448,0))),0,YEARFRAC(MAX($P$34*($B448+IF($R$17="Distrato",$I$38-1,0)),IF(AND($L$37=0,$P$34=0),"",$L$37-1),IF($R$17="Distrato",$E448,0)),MIN(AG$38,$D$19),$P$20))-SUM($P448:AF448)</f>
        <v>#VALUE!</v>
      </c>
      <c r="AH448" s="446" t="e">
        <f>IF(OR($B448="",MIN(AH$38,$D$19)&lt;MAX($P$34*($B448+IF($R$17="Distrato",$I$38-1,0)),IF(AND($L$37=0,$P$34=0),"",$L$37-1),IF($R$17="Distrato",$E448,0))),0,YEARFRAC(MAX($P$34*($B448+IF($R$17="Distrato",$I$38-1,0)),IF(AND($L$37=0,$P$34=0),"",$L$37-1),IF($R$17="Distrato",$E448,0)),MIN(AH$38,$D$19),$P$20))-SUM($P448:AG448)</f>
        <v>#VALUE!</v>
      </c>
      <c r="AI448" s="446" t="e">
        <f>IF(OR($B448="",MIN(AI$38,$D$19)&lt;MAX($P$34*($B448+IF($R$17="Distrato",$I$38-1,0)),IF(AND($L$37=0,$P$34=0),"",$L$37-1),IF($R$17="Distrato",$E448,0))),0,YEARFRAC(MAX($P$34*($B448+IF($R$17="Distrato",$I$38-1,0)),IF(AND($L$37=0,$P$34=0),"",$L$37-1),IF($R$17="Distrato",$E448,0)),MIN(AI$38,$D$19),$P$20))-SUM($P448:AH448)</f>
        <v>#VALUE!</v>
      </c>
      <c r="AJ448" s="446" t="e">
        <f>IF(OR($B448="",MIN(AJ$38,$D$19)&lt;MAX($P$34*($B448+IF($R$17="Distrato",$I$38-1,0)),IF(AND($L$37=0,$P$34=0),"",$L$37-1),IF($R$17="Distrato",$E448,0))),0,YEARFRAC(MAX($P$34*($B448+IF($R$17="Distrato",$I$38-1,0)),IF(AND($L$37=0,$P$34=0),"",$L$37-1),IF($R$17="Distrato",$E448,0)),MIN(AJ$38,$D$19),$P$20))-SUM($P448:AI448)</f>
        <v>#VALUE!</v>
      </c>
      <c r="AK448" s="446" t="e">
        <f>IF(OR($B448="",MIN(AK$38,$D$19)&lt;MAX($P$34*($B448+IF($R$17="Distrato",$I$38-1,0)),IF(AND($L$37=0,$P$34=0),"",$L$37-1),IF($R$17="Distrato",$E448,0))),0,YEARFRAC(MAX($P$34*($B448+IF($R$17="Distrato",$I$38-1,0)),IF(AND($L$37=0,$P$34=0),"",$L$37-1),IF($R$17="Distrato",$E448,0)),MIN(AK$38,$D$19),$P$20))-SUM($P448:AJ448)</f>
        <v>#VALUE!</v>
      </c>
      <c r="AL448" s="446" t="e">
        <f>IF(OR($B448="",MIN(AL$38,$D$19)&lt;MAX($P$34*($B448+IF($R$17="Distrato",$I$38-1,0)),IF(AND($L$37=0,$P$34=0),"",$L$37-1),IF($R$17="Distrato",$E448,0))),0,YEARFRAC(MAX($P$34*($B448+IF($R$17="Distrato",$I$38-1,0)),IF(AND($L$37=0,$P$34=0),"",$L$37-1),IF($R$17="Distrato",$E448,0)),MIN(AL$38,$D$19),$P$20))-SUM($P448:AK448)</f>
        <v>#VALUE!</v>
      </c>
      <c r="AM448" s="446" t="e">
        <f>IF(OR($B448="",MIN(AM$38,$D$19)&lt;MAX($P$34*($B448+IF($R$17="Distrato",$I$38-1,0)),IF(AND($L$37=0,$P$34=0),"",$L$37-1),IF($R$17="Distrato",$E448,0))),0,YEARFRAC(MAX($P$34*($B448+IF($R$17="Distrato",$I$38-1,0)),IF(AND($L$37=0,$P$34=0),"",$L$37-1),IF($R$17="Distrato",$E448,0)),MIN(AM$38,$D$19),$P$20))-SUM($P448:AL448)</f>
        <v>#VALUE!</v>
      </c>
      <c r="AN448" s="446" t="e">
        <f>IF(OR($B448="",MIN(AN$38,$D$19)&lt;MAX($P$34*($B448+IF($R$17="Distrato",$I$38-1,0)),IF(AND($L$37=0,$P$34=0),"",$L$37-1),IF($R$17="Distrato",$E448,0))),0,YEARFRAC(MAX($P$34*($B448+IF($R$17="Distrato",$I$38-1,0)),IF(AND($L$37=0,$P$34=0),"",$L$37-1),IF($R$17="Distrato",$E448,0)),MIN(AN$38,$D$19),$P$20))-SUM($P448:AM448)</f>
        <v>#VALUE!</v>
      </c>
      <c r="AO448" s="446" t="e">
        <f>IF(OR($B448="",MIN(AO$38,$D$19)&lt;MAX($P$34*($B448+IF($R$17="Distrato",$I$38-1,0)),IF(AND($L$37=0,$P$34=0),"",$L$37-1),IF($R$17="Distrato",$E448,0))),0,YEARFRAC(MAX($P$34*($B448+IF($R$17="Distrato",$I$38-1,0)),IF(AND($L$37=0,$P$34=0),"",$L$37-1),IF($R$17="Distrato",$E448,0)),MIN(AO$38,$D$19),$P$20))-SUM($P448:AN448)</f>
        <v>#VALUE!</v>
      </c>
      <c r="AP448" s="446" t="e">
        <f>IF(OR($B448="",MIN(AP$38,$D$19)&lt;MAX($P$34*($B448+IF($R$17="Distrato",$I$38-1,0)),IF(AND($L$37=0,$P$34=0),"",$L$37-1),IF($R$17="Distrato",$E448,0))),0,YEARFRAC(MAX($P$34*($B448+IF($R$17="Distrato",$I$38-1,0)),IF(AND($L$37=0,$P$34=0),"",$L$37-1),IF($R$17="Distrato",$E448,0)),MIN(AP$38,$D$19),$P$20))-SUM($P448:AO448)</f>
        <v>#VALUE!</v>
      </c>
      <c r="AQ448" s="446" t="e">
        <f>IF(OR($B448="",MIN(AQ$38,$D$19)&lt;MAX($P$34*($B448+IF($R$17="Distrato",$I$38-1,0)),IF(AND($L$37=0,$P$34=0),"",$L$37-1),IF($R$17="Distrato",$E448,0))),0,YEARFRAC(MAX($P$34*($B448+IF($R$17="Distrato",$I$38-1,0)),IF(AND($L$37=0,$P$34=0),"",$L$37-1),IF($R$17="Distrato",$E448,0)),MIN(AQ$38,$D$19),$P$20))-SUM($P448:AP448)</f>
        <v>#VALUE!</v>
      </c>
      <c r="AR448" s="446" t="e">
        <f>IF(OR($B448="",MIN(AR$38,$D$19)&lt;MAX($P$34*($B448+IF($R$17="Distrato",$I$38-1,0)),IF(AND($L$37=0,$P$34=0),"",$L$37-1),IF($R$17="Distrato",$E448,0))),0,YEARFRAC(MAX($P$34*($B448+IF($R$17="Distrato",$I$38-1,0)),IF(AND($L$37=0,$P$34=0),"",$L$37-1),IF($R$17="Distrato",$E448,0)),MIN(AR$38,$D$19),$P$20))-SUM($P448:AQ448)</f>
        <v>#VALUE!</v>
      </c>
      <c r="AS448" s="446" t="e">
        <f>IF(OR($B448="",MIN(AS$38,$D$19)&lt;MAX($P$34*($B448+IF($R$17="Distrato",$I$38-1,0)),IF(AND($L$37=0,$P$34=0),"",$L$37-1),IF($R$17="Distrato",$E448,0))),0,YEARFRAC(MAX($P$34*($B448+IF($R$17="Distrato",$I$38-1,0)),IF(AND($L$37=0,$P$34=0),"",$L$37-1),IF($R$17="Distrato",$E448,0)),MIN(AS$38,$D$19),$P$20))-SUM($P448:AR448)</f>
        <v>#VALUE!</v>
      </c>
      <c r="AT448" s="446" t="e">
        <f>IF(OR($B448="",MIN(AT$38,$D$19)&lt;MAX($P$34*($B448+IF($R$17="Distrato",$I$38-1,0)),IF(AND($L$37=0,$P$34=0),"",$L$37-1),IF($R$17="Distrato",$E448,0))),0,YEARFRAC(MAX($P$34*($B448+IF($R$17="Distrato",$I$38-1,0)),IF(AND($L$37=0,$P$34=0),"",$L$37-1),IF($R$17="Distrato",$E448,0)),MIN(AT$38,$D$19),$P$20))-SUM($P448:AS448)</f>
        <v>#VALUE!</v>
      </c>
      <c r="AU448" s="446" t="e">
        <f>IF(OR($B448="",MIN(AU$38,$D$19)&lt;MAX($P$34*($B448+IF($R$17="Distrato",$I$38-1,0)),IF(AND($L$37=0,$P$34=0),"",$L$37-1),IF($R$17="Distrato",$E448,0))),0,YEARFRAC(MAX($P$34*($B448+IF($R$17="Distrato",$I$38-1,0)),IF(AND($L$37=0,$P$34=0),"",$L$37-1),IF($R$17="Distrato",$E448,0)),MIN(AU$38,$D$19),$P$20))-SUM($P448:AT448)</f>
        <v>#VALUE!</v>
      </c>
      <c r="AV448" s="446" t="e">
        <f>IF(OR($B448="",MIN(AV$38,$D$19)&lt;MAX($P$34*($B448+IF($R$17="Distrato",$I$38-1,0)),IF(AND($L$37=0,$P$34=0),"",$L$37-1),IF($R$17="Distrato",$E448,0))),0,YEARFRAC(MAX($P$34*($B448+IF($R$17="Distrato",$I$38-1,0)),IF(AND($L$37=0,$P$34=0),"",$L$37-1),IF($R$17="Distrato",$E448,0)),MIN(AV$38,$D$19),$P$20))-SUM($P448:AU448)</f>
        <v>#VALUE!</v>
      </c>
      <c r="AW448" s="446" t="e">
        <f>IF(OR($B448="",MIN(AW$38,$D$19)&lt;MAX($P$34*($B448+IF($R$17="Distrato",$I$38-1,0)),IF(AND($L$37=0,$P$34=0),"",$L$37-1),IF($R$17="Distrato",$E448,0))),0,YEARFRAC(MAX($P$34*($B448+IF($R$17="Distrato",$I$38-1,0)),IF(AND($L$37=0,$P$34=0),"",$L$37-1),IF($R$17="Distrato",$E448,0)),MIN(AW$38,$D$19),$P$20))-SUM($P448:AV448)</f>
        <v>#VALUE!</v>
      </c>
      <c r="AX448" s="446" t="e">
        <f>IF(OR($B448="",MIN(AX$38,$D$19)&lt;MAX($P$34*($B448+IF($R$17="Distrato",$I$38-1,0)),IF(AND($L$37=0,$P$34=0),"",$L$37-1),IF($R$17="Distrato",$E448,0))),0,YEARFRAC(MAX($P$34*($B448+IF($R$17="Distrato",$I$38-1,0)),IF(AND($L$37=0,$P$34=0),"",$L$37-1),IF($R$17="Distrato",$E448,0)),MIN(AX$38,$D$19),$P$20))-SUM($P448:AW448)</f>
        <v>#VALUE!</v>
      </c>
      <c r="AY448" s="446" t="e">
        <f>IF(OR($B448="",MIN(AY$38,$D$19)&lt;MAX($P$34*($B448+IF($R$17="Distrato",$I$38-1,0)),IF(AND($L$37=0,$P$34=0),"",$L$37-1),IF($R$17="Distrato",$E448,0))),0,YEARFRAC(MAX($P$34*($B448+IF($R$17="Distrato",$I$38-1,0)),IF(AND($L$37=0,$P$34=0),"",$L$37-1),IF($R$17="Distrato",$E448,0)),MIN(AY$38,$D$19),$P$20))-SUM($P448:AX448)</f>
        <v>#VALUE!</v>
      </c>
      <c r="AZ448" s="446" t="e">
        <f>IF(OR($B448="",MIN(AZ$38,$D$19)&lt;MAX($P$34*($B448+IF($R$17="Distrato",$I$38-1,0)),IF(AND($L$37=0,$P$34=0),"",$L$37-1),IF($R$17="Distrato",$E448,0))),0,YEARFRAC(MAX($P$34*($B448+IF($R$17="Distrato",$I$38-1,0)),IF(AND($L$37=0,$P$34=0),"",$L$37-1),IF($R$17="Distrato",$E448,0)),MIN(AZ$38,$D$19),$P$20))-SUM($P448:AY448)</f>
        <v>#VALUE!</v>
      </c>
      <c r="BA448" s="446" t="e">
        <f>IF(OR($B448="",MIN(BA$38,$D$19)&lt;MAX($P$34*($B448+IF($R$17="Distrato",$I$38-1,0)),IF(AND($L$37=0,$P$34=0),"",$L$37-1),IF($R$17="Distrato",$E448,0))),0,YEARFRAC(MAX($P$34*($B448+IF($R$17="Distrato",$I$38-1,0)),IF(AND($L$37=0,$P$34=0),"",$L$37-1),IF($R$17="Distrato",$E448,0)),MIN(BA$38,$D$19),$P$20))-SUM($P448:AZ448)</f>
        <v>#VALUE!</v>
      </c>
      <c r="BB448" s="447"/>
      <c r="BF448" s="446">
        <f t="shared" si="76"/>
        <v>0</v>
      </c>
      <c r="BG448" s="446">
        <f>IF($E448=0,0,IF(MIN(BG$38,$E448)&lt;MAX($P$34*($B448+$I$38-1),IF(AND($L$37=0,$P$34=0),"",$L$37-1)),0,YEARFRAC(MAX($P$34*($B448+$I$38-1),IF(AND($L$37=0,$P$34=0),"",$L$37-1)),MIN(BG$38,$E448),$P$20))-SUM($BF448:BF448))</f>
        <v>0</v>
      </c>
      <c r="BH448" s="446">
        <f>IF($E448=0,0,IF(MIN(BH$38,$E448)&lt;MAX($P$34*($B448+$I$38-1),IF(AND($L$37=0,$P$34=0),"",$L$37-1)),0,YEARFRAC(MAX($P$34*($B448+$I$38-1),IF(AND($L$37=0,$P$34=0),"",$L$37-1)),MIN(BH$38,$E448),$P$20))-SUM($BF448:BG448))</f>
        <v>0</v>
      </c>
      <c r="BI448" s="446">
        <f>IF($E448=0,0,IF(MIN(BI$38,$E448)&lt;MAX($P$34*($B448+$I$38-1),IF(AND($L$37=0,$P$34=0),"",$L$37-1)),0,YEARFRAC(MAX($P$34*($B448+$I$38-1),IF(AND($L$37=0,$P$34=0),"",$L$37-1)),MIN(BI$38,$E448),$P$20))-SUM($BF448:BH448))</f>
        <v>0</v>
      </c>
      <c r="BJ448" s="446">
        <f>IF($E448=0,0,IF(MIN(BJ$38,$E448)&lt;MAX($P$34*($B448+$I$38-1),IF(AND($L$37=0,$P$34=0),"",$L$37-1)),0,YEARFRAC(MAX($P$34*($B448+$I$38-1),IF(AND($L$37=0,$P$34=0),"",$L$37-1)),MIN(BJ$38,$E448),$P$20))-SUM($BF448:BI448))</f>
        <v>0</v>
      </c>
      <c r="BK448" s="446">
        <f>IF($E448=0,0,IF(MIN(BK$38,$E448)&lt;MAX($P$34*($B448+$I$38-1),IF(AND($L$37=0,$P$34=0),"",$L$37-1)),0,YEARFRAC(MAX($P$34*($B448+$I$38-1),IF(AND($L$37=0,$P$34=0),"",$L$37-1)),MIN(BK$38,$E448),$P$20))-SUM($BF448:BJ448))</f>
        <v>0</v>
      </c>
      <c r="BL448" s="446">
        <f>IF($E448=0,0,IF(MIN(BL$38,$E448)&lt;MAX($P$34*($B448+$I$38-1),IF(AND($L$37=0,$P$34=0),"",$L$37-1)),0,YEARFRAC(MAX($P$34*($B448+$I$38-1),IF(AND($L$37=0,$P$34=0),"",$L$37-1)),MIN(BL$38,$E448),$P$20))-SUM($BF448:BK448))</f>
        <v>0</v>
      </c>
      <c r="BM448" s="446">
        <f>IF($E448=0,0,IF(MIN(BM$38,$E448)&lt;MAX($P$34*($B448+$I$38-1),IF(AND($L$37=0,$P$34=0),"",$L$37-1)),0,YEARFRAC(MAX($P$34*($B448+$I$38-1),IF(AND($L$37=0,$P$34=0),"",$L$37-1)),MIN(BM$38,$E448),$P$20))-SUM($BF448:BL448))</f>
        <v>0</v>
      </c>
      <c r="BN448" s="446">
        <f>IF($E448=0,0,IF(MIN(BN$38,$E448)&lt;MAX($P$34*($B448+$I$38-1),IF(AND($L$37=0,$P$34=0),"",$L$37-1)),0,YEARFRAC(MAX($P$34*($B448+$I$38-1),IF(AND($L$37=0,$P$34=0),"",$L$37-1)),MIN(BN$38,$E448),$P$20))-SUM($BF448:BM448))</f>
        <v>0</v>
      </c>
      <c r="BO448" s="446">
        <f>IF($E448=0,0,IF(MIN(BO$38,$E448)&lt;MAX($P$34*($B448+$I$38-1),IF(AND($L$37=0,$P$34=0),"",$L$37-1)),0,YEARFRAC(MAX($P$34*($B448+$I$38-1),IF(AND($L$37=0,$P$34=0),"",$L$37-1)),MIN(BO$38,$E448),$P$20))-SUM($BF448:BN448))</f>
        <v>0</v>
      </c>
      <c r="BP448" s="446">
        <f>IF($E448=0,0,IF(MIN(BP$38,$E448)&lt;MAX($P$34*($B448+$I$38-1),IF(AND($L$37=0,$P$34=0),"",$L$37-1)),0,YEARFRAC(MAX($P$34*($B448+$I$38-1),IF(AND($L$37=0,$P$34=0),"",$L$37-1)),MIN(BP$38,$E448),$P$20))-SUM($BF448:BO448))</f>
        <v>0</v>
      </c>
      <c r="BQ448" s="446">
        <f>IF($E448=0,0,IF(MIN(BQ$38,$E448)&lt;MAX($P$34*($B448+$I$38-1),IF(AND($L$37=0,$P$34=0),"",$L$37-1)),0,YEARFRAC(MAX($P$34*($B448+$I$38-1),IF(AND($L$37=0,$P$34=0),"",$L$37-1)),MIN(BQ$38,$E448),$P$20))-SUM($BF448:BP448))</f>
        <v>0</v>
      </c>
      <c r="BR448" s="446">
        <f>IF($E448=0,0,IF(MIN(BR$38,$E448)&lt;MAX($P$34*($B448+$I$38-1),IF(AND($L$37=0,$P$34=0),"",$L$37-1)),0,YEARFRAC(MAX($P$34*($B448+$I$38-1),IF(AND($L$37=0,$P$34=0),"",$L$37-1)),MIN(BR$38,$E448),$P$20))-SUM($BF448:BQ448))</f>
        <v>0</v>
      </c>
      <c r="BS448" s="446">
        <f>IF($E448=0,0,IF(MIN(BS$38,$E448)&lt;MAX($P$34*($B448+$I$38-1),IF(AND($L$37=0,$P$34=0),"",$L$37-1)),0,YEARFRAC(MAX($P$34*($B448+$I$38-1),IF(AND($L$37=0,$P$34=0),"",$L$37-1)),MIN(BS$38,$E448),$P$20))-SUM($BF448:BR448))</f>
        <v>0</v>
      </c>
      <c r="BT448" s="446">
        <f>IF($E448=0,0,IF(MIN(BT$38,$E448)&lt;MAX($P$34*($B448+$I$38-1),IF(AND($L$37=0,$P$34=0),"",$L$37-1)),0,YEARFRAC(MAX($P$34*($B448+$I$38-1),IF(AND($L$37=0,$P$34=0),"",$L$37-1)),MIN(BT$38,$E448),$P$20))-SUM($BF448:BS448))</f>
        <v>0</v>
      </c>
      <c r="BU448" s="446">
        <f>IF($E448=0,0,IF(MIN(BU$38,$E448)&lt;MAX($P$34*($B448+$I$38-1),IF(AND($L$37=0,$P$34=0),"",$L$37-1)),0,YEARFRAC(MAX($P$34*($B448+$I$38-1),IF(AND($L$37=0,$P$34=0),"",$L$37-1)),MIN(BU$38,$E448),$P$20))-SUM($BF448:BT448))</f>
        <v>0</v>
      </c>
      <c r="BV448" s="446">
        <f>IF($E448=0,0,IF(MIN(BV$38,$E448)&lt;MAX($P$34*($B448+$I$38-1),IF(AND($L$37=0,$P$34=0),"",$L$37-1)),0,YEARFRAC(MAX($P$34*($B448+$I$38-1),IF(AND($L$37=0,$P$34=0),"",$L$37-1)),MIN(BV$38,$E448),$P$20))-SUM($BF448:BU448))</f>
        <v>0</v>
      </c>
      <c r="BW448" s="446">
        <f>IF($E448=0,0,IF(MIN(BW$38,$E448)&lt;MAX($P$34*($B448+$I$38-1),IF(AND($L$37=0,$P$34=0),"",$L$37-1)),0,YEARFRAC(MAX($P$34*($B448+$I$38-1),IF(AND($L$37=0,$P$34=0),"",$L$37-1)),MIN(BW$38,$E448),$P$20))-SUM($BF448:BV448))</f>
        <v>0</v>
      </c>
      <c r="BX448" s="446">
        <f>IF($E448=0,0,IF(MIN(BX$38,$E448)&lt;MAX($P$34*($B448+$I$38-1),IF(AND($L$37=0,$P$34=0),"",$L$37-1)),0,YEARFRAC(MAX($P$34*($B448+$I$38-1),IF(AND($L$37=0,$P$34=0),"",$L$37-1)),MIN(BX$38,$E448),$P$20))-SUM($BF448:BW448))</f>
        <v>0</v>
      </c>
      <c r="BY448" s="446">
        <f>IF($E448=0,0,IF(MIN(BY$38,$E448)&lt;MAX($P$34*($B448+$I$38-1),IF(AND($L$37=0,$P$34=0),"",$L$37-1)),0,YEARFRAC(MAX($P$34*($B448+$I$38-1),IF(AND($L$37=0,$P$34=0),"",$L$37-1)),MIN(BY$38,$E448),$P$20))-SUM($BF448:BX448))</f>
        <v>0</v>
      </c>
      <c r="BZ448" s="446">
        <f>IF($E448=0,0,IF(MIN(BZ$38,$E448)&lt;MAX($P$34*($B448+$I$38-1),IF(AND($L$37=0,$P$34=0),"",$L$37-1)),0,YEARFRAC(MAX($P$34*($B448+$I$38-1),IF(AND($L$37=0,$P$34=0),"",$L$37-1)),MIN(BZ$38,$E448),$P$20))-SUM($BF448:BY448))</f>
        <v>0</v>
      </c>
      <c r="CA448" s="446">
        <f>IF($E448=0,0,IF(MIN(CA$38,$E448)&lt;MAX($P$34*($B448+$I$38-1),IF(AND($L$37=0,$P$34=0),"",$L$37-1)),0,YEARFRAC(MAX($P$34*($B448+$I$38-1),IF(AND($L$37=0,$P$34=0),"",$L$37-1)),MIN(CA$38,$E448),$P$20))-SUM($BF448:BZ448))</f>
        <v>0</v>
      </c>
      <c r="CB448" s="446">
        <f>IF($E448=0,0,IF(MIN(CB$38,$E448)&lt;MAX($P$34*($B448+$I$38-1),IF(AND($L$37=0,$P$34=0),"",$L$37-1)),0,YEARFRAC(MAX($P$34*($B448+$I$38-1),IF(AND($L$37=0,$P$34=0),"",$L$37-1)),MIN(CB$38,$E448),$P$20))-SUM($BF448:CA448))</f>
        <v>0</v>
      </c>
      <c r="CC448" s="446">
        <f>IF($E448=0,0,IF(MIN(CC$38,$E448)&lt;MAX($P$34*($B448+$I$38-1),IF(AND($L$37=0,$P$34=0),"",$L$37-1)),0,YEARFRAC(MAX($P$34*($B448+$I$38-1),IF(AND($L$37=0,$P$34=0),"",$L$37-1)),MIN(CC$38,$E448),$P$20))-SUM($BF448:CB448))</f>
        <v>0</v>
      </c>
      <c r="CD448" s="446">
        <f>IF($E448=0,0,IF(MIN(CD$38,$E448)&lt;MAX($P$34*($B448+$I$38-1),IF(AND($L$37=0,$P$34=0),"",$L$37-1)),0,YEARFRAC(MAX($P$34*($B448+$I$38-1),IF(AND($L$37=0,$P$34=0),"",$L$37-1)),MIN(CD$38,$E448),$P$20))-SUM($BF448:CC448))</f>
        <v>0</v>
      </c>
      <c r="CE448" s="446">
        <f>IF($E448=0,0,IF(MIN(CE$38,$E448)&lt;MAX($P$34*($B448+$I$38-1),IF(AND($L$37=0,$P$34=0),"",$L$37-1)),0,YEARFRAC(MAX($P$34*($B448+$I$38-1),IF(AND($L$37=0,$P$34=0),"",$L$37-1)),MIN(CE$38,$E448),$P$20))-SUM($BF448:CD448))</f>
        <v>0</v>
      </c>
      <c r="CF448" s="446">
        <f>IF($E448=0,0,IF(MIN(CF$38,$E448)&lt;MAX($P$34*($B448+$I$38-1),IF(AND($L$37=0,$P$34=0),"",$L$37-1)),0,YEARFRAC(MAX($P$34*($B448+$I$38-1),IF(AND($L$37=0,$P$34=0),"",$L$37-1)),MIN(CF$38,$E448),$P$20))-SUM($BF448:CE448))</f>
        <v>0</v>
      </c>
      <c r="CG448" s="446">
        <f>IF($E448=0,0,IF(MIN(CG$38,$E448)&lt;MAX($P$34*($B448+$I$38-1),IF(AND($L$37=0,$P$34=0),"",$L$37-1)),0,YEARFRAC(MAX($P$34*($B448+$I$38-1),IF(AND($L$37=0,$P$34=0),"",$L$37-1)),MIN(CG$38,$E448),$P$20))-SUM($BF448:CF448))</f>
        <v>0</v>
      </c>
      <c r="CH448" s="446">
        <f>IF($E448=0,0,IF(MIN(CH$38,$E448)&lt;MAX($P$34*($B448+$I$38-1),IF(AND($L$37=0,$P$34=0),"",$L$37-1)),0,YEARFRAC(MAX($P$34*($B448+$I$38-1),IF(AND($L$37=0,$P$34=0),"",$L$37-1)),MIN(CH$38,$E448),$P$20))-SUM($BF448:CG448))</f>
        <v>0</v>
      </c>
      <c r="CI448" s="446">
        <f>IF($E448=0,0,IF(MIN(CI$38,$E448)&lt;MAX($P$34*($B448+$I$38-1),IF(AND($L$37=0,$P$34=0),"",$L$37-1)),0,YEARFRAC(MAX($P$34*($B448+$I$38-1),IF(AND($L$37=0,$P$34=0),"",$L$37-1)),MIN(CI$38,$E448),$P$20))-SUM($BF448:CH448))</f>
        <v>0</v>
      </c>
      <c r="CJ448" s="446">
        <f>IF($E448=0,0,IF(MIN(CJ$38,$E448)&lt;MAX($P$34*($B448+$I$38-1),IF(AND($L$37=0,$P$34=0),"",$L$37-1)),0,YEARFRAC(MAX($P$34*($B448+$I$38-1),IF(AND($L$37=0,$P$34=0),"",$L$37-1)),MIN(CJ$38,$E448),$P$20))-SUM($BF448:CI448))</f>
        <v>0</v>
      </c>
      <c r="CK448" s="446">
        <f>IF($E448=0,0,IF(MIN(CK$38,$E448)&lt;MAX($P$34*($B448+$I$38-1),IF(AND($L$37=0,$P$34=0),"",$L$37-1)),0,YEARFRAC(MAX($P$34*($B448+$I$38-1),IF(AND($L$37=0,$P$34=0),"",$L$37-1)),MIN(CK$38,$E448),$P$20))-SUM($BF448:CJ448))</f>
        <v>0</v>
      </c>
      <c r="CL448" s="446">
        <f>IF($E448=0,0,IF(MIN(CL$38,$E448)&lt;MAX($P$34*($B448+$I$38-1),IF(AND($L$37=0,$P$34=0),"",$L$37-1)),0,YEARFRAC(MAX($P$34*($B448+$I$38-1),IF(AND($L$37=0,$P$34=0),"",$L$37-1)),MIN(CL$38,$E448),$P$20))-SUM($BF448:CK448))</f>
        <v>0</v>
      </c>
      <c r="CM448" s="446">
        <f>IF($E448=0,0,IF(MIN(CM$38,$E448)&lt;MAX($P$34*($B448+$I$38-1),IF(AND($L$37=0,$P$34=0),"",$L$37-1)),0,YEARFRAC(MAX($P$34*($B448+$I$38-1),IF(AND($L$37=0,$P$34=0),"",$L$37-1)),MIN(CM$38,$E448),$P$20))-SUM($BF448:CL448))</f>
        <v>0</v>
      </c>
      <c r="CN448" s="446">
        <f>IF($E448=0,0,IF(MIN(CN$38,$E448)&lt;MAX($P$34*($B448+$I$38-1),IF(AND($L$37=0,$P$34=0),"",$L$37-1)),0,YEARFRAC(MAX($P$34*($B448+$I$38-1),IF(AND($L$37=0,$P$34=0),"",$L$37-1)),MIN(CN$38,$E448),$P$20))-SUM($BF448:CM448))</f>
        <v>0</v>
      </c>
      <c r="CO448" s="446">
        <f>IF($E448=0,0,IF(MIN(CO$38,$E448)&lt;MAX($P$34*($B448+$I$38-1),IF(AND($L$37=0,$P$34=0),"",$L$37-1)),0,YEARFRAC(MAX($P$34*($B448+$I$38-1),IF(AND($L$37=0,$P$34=0),"",$L$37-1)),MIN(CO$38,$E448),$P$20))-SUM($BF448:CN448))</f>
        <v>0</v>
      </c>
      <c r="CP448" s="446">
        <f>IF($E448=0,0,IF(MIN(CP$38,$E448)&lt;MAX($P$34*($B448+$I$38-1),IF(AND($L$37=0,$P$34=0),"",$L$37-1)),0,YEARFRAC(MAX($P$34*($B448+$I$38-1),IF(AND($L$37=0,$P$34=0),"",$L$37-1)),MIN(CP$38,$E448),$P$20))-SUM($BF448:CO448))</f>
        <v>0</v>
      </c>
      <c r="CQ448" s="446">
        <f>IF($E448=0,0,IF(MIN(CQ$38,$E448)&lt;MAX($P$34*($B448+$I$38-1),IF(AND($L$37=0,$P$34=0),"",$L$37-1)),0,YEARFRAC(MAX($P$34*($B448+$I$38-1),IF(AND($L$37=0,$P$34=0),"",$L$37-1)),MIN(CQ$38,$E448),$P$20))-SUM($BF448:CP448))</f>
        <v>0</v>
      </c>
    </row>
    <row r="449" spans="1:95" s="446" customFormat="1" ht="11.25" hidden="1" customHeight="1" x14ac:dyDescent="0.2">
      <c r="A449" s="152"/>
      <c r="B449" s="153" t="str">
        <f t="shared" si="81"/>
        <v/>
      </c>
      <c r="C449" s="29" t="str">
        <f>IF(B449="","",IF($L$35="SELIC - TRIBUTOS",VLOOKUP(DATE(YEAR($D$19),MONTH($D$19)-1,1),ÍNDICES!$A:$DE,HLOOKUP($BL$25,ÍNDICES!$B$3:$T$4,2)+11)-VLOOKUP(B449,ÍNDICES!$A:$DE,HLOOKUP($BL$25,ÍNDICES!$B$3:$T$4,2)+11)+1%,IF(C$38=$W$26,$J$35,IF(ISERROR(IF(B449&gt;$D$19,1,VLOOKUP(DATE(YEAR(B449),MONTH(B449)+IF($C$35=$S$23,1,0),1),ÍNDICES!$A:$DE,$Z$35+1))),"",IF(B449&gt;$D$19,1,VLOOKUP(DATE(YEAR(B449),MONTH(B449)+IF($C$35=$S$23,1,0),1),ÍNDICES!$A:$DE,$Z$35+1))))))</f>
        <v/>
      </c>
      <c r="D449" s="154" t="str">
        <f>IF(ISERROR(IF(OR($D$38=$Y$27,$B449=""),"",VLOOKUP(B449,ÍNDICES!A:DE,AF$35+1))),"",IF(OR($D$38=$Y$27,$B449=""),"",VLOOKUP(B449,ÍNDICES!A:DE,AF$35+1)))</f>
        <v/>
      </c>
      <c r="E449" s="153"/>
      <c r="F449" s="29" t="str">
        <f>IF(E449="","",IF($L$35="SELIC - TRIBUTOS",VLOOKUP(DATE(YEAR($D$19),MONTH($D$19)-1,1),ÍNDICES!$A:$DE,HLOOKUP($BL$25,ÍNDICES!$B$3:$T$4,2)+11)-VLOOKUP(E449,ÍNDICES!$A:$DE,HLOOKUP($BL$25,ÍNDICES!$B$3:$T$4,2)+11)+1%,IF(F$38=$W$26,$J$35,IF(ISERROR(IF(E449&gt;$D$19,1,VLOOKUP(DATE(YEAR(E449),MONTH(E449)+IF($C$35=$S$23,1,0),1),ÍNDICES!$A:$DE,$Z$35+1))),"",IF(E449&gt;$D$19,1,VLOOKUP(DATE(YEAR(E449),MONTH(E449)+IF($C$35=$S$23,1,0),1),ÍNDICES!$A:$DE,$Z$35+1))))))</f>
        <v/>
      </c>
      <c r="G449" s="155"/>
      <c r="H449" s="156" t="str">
        <f t="shared" si="77"/>
        <v/>
      </c>
      <c r="I449" s="29" t="str">
        <f t="shared" si="71"/>
        <v/>
      </c>
      <c r="J449" s="5">
        <f t="shared" si="72"/>
        <v>0</v>
      </c>
      <c r="K449" s="20">
        <f t="shared" ca="1" si="73"/>
        <v>0</v>
      </c>
      <c r="L449" s="5">
        <f t="shared" ca="1" si="74"/>
        <v>0</v>
      </c>
      <c r="M449" s="64">
        <f t="shared" si="78"/>
        <v>0</v>
      </c>
      <c r="N449" s="61">
        <f t="shared" ca="1" si="79"/>
        <v>0</v>
      </c>
      <c r="O449" s="5">
        <f t="shared" ca="1" si="80"/>
        <v>0</v>
      </c>
      <c r="P449" s="446" t="e">
        <f t="shared" si="75"/>
        <v>#VALUE!</v>
      </c>
      <c r="Q449" s="446" t="e">
        <f>IF(OR($B449="",MIN(Q$38,$D$19)&lt;MAX($P$34*($B449+IF($R$17="Distrato",$I$38-1,0)),IF(AND($L$37=0,$P$34=0),"",$L$37-1),IF($R$17="Distrato",$E449,0))),0,YEARFRAC(MAX($P$34*($B449+IF($R$17="Distrato",$I$38-1,0)),IF(AND($L$37=0,$P$34=0),"",$L$37-1),IF($R$17="Distrato",$E449,0)),MIN(Q$38,$D$19),$P$20))-SUM($P449:P449)</f>
        <v>#VALUE!</v>
      </c>
      <c r="R449" s="446" t="e">
        <f>IF(OR($B449="",MIN(R$38,$D$19)&lt;MAX($P$34*($B449+IF($R$17="Distrato",$I$38-1,0)),IF(AND($L$37=0,$P$34=0),"",$L$37-1),IF($R$17="Distrato",$E449,0))),0,YEARFRAC(MAX($P$34*($B449+IF($R$17="Distrato",$I$38-1,0)),IF(AND($L$37=0,$P$34=0),"",$L$37-1),IF($R$17="Distrato",$E449,0)),MIN(R$38,$D$19),$P$20))-SUM($P449:Q449)</f>
        <v>#VALUE!</v>
      </c>
      <c r="S449" s="446" t="e">
        <f>IF(OR($B449="",MIN(S$38,$D$19)&lt;MAX($P$34*($B449+IF($R$17="Distrato",$I$38-1,0)),IF(AND($L$37=0,$P$34=0),"",$L$37-1),IF($R$17="Distrato",$E449,0))),0,YEARFRAC(MAX($P$34*($B449+IF($R$17="Distrato",$I$38-1,0)),IF(AND($L$37=0,$P$34=0),"",$L$37-1),IF($R$17="Distrato",$E449,0)),MIN(S$38,$D$19),$P$20))-SUM($P449:R449)</f>
        <v>#VALUE!</v>
      </c>
      <c r="T449" s="446" t="e">
        <f>IF(OR($B449="",MIN(T$38,$D$19)&lt;MAX($P$34*($B449+IF($R$17="Distrato",$I$38-1,0)),IF(AND($L$37=0,$P$34=0),"",$L$37-1),IF($R$17="Distrato",$E449,0))),0,YEARFRAC(MAX($P$34*($B449+IF($R$17="Distrato",$I$38-1,0)),IF(AND($L$37=0,$P$34=0),"",$L$37-1),IF($R$17="Distrato",$E449,0)),MIN(T$38,$D$19),$P$20))-SUM($P449:S449)</f>
        <v>#VALUE!</v>
      </c>
      <c r="U449" s="446" t="e">
        <f>IF(OR($B449="",MIN(U$38,$D$19)&lt;MAX($P$34*($B449+IF($R$17="Distrato",$I$38-1,0)),IF(AND($L$37=0,$P$34=0),"",$L$37-1),IF($R$17="Distrato",$E449,0))),0,YEARFRAC(MAX($P$34*($B449+IF($R$17="Distrato",$I$38-1,0)),IF(AND($L$37=0,$P$34=0),"",$L$37-1),IF($R$17="Distrato",$E449,0)),MIN(U$38,$D$19),$P$20))-SUM($P449:T449)</f>
        <v>#VALUE!</v>
      </c>
      <c r="V449" s="446" t="e">
        <f>IF(OR($B449="",MIN(V$38,$D$19)&lt;MAX($P$34*($B449+IF($R$17="Distrato",$I$38-1,0)),IF(AND($L$37=0,$P$34=0),"",$L$37-1),IF($R$17="Distrato",$E449,0))),0,YEARFRAC(MAX($P$34*($B449+IF($R$17="Distrato",$I$38-1,0)),IF(AND($L$37=0,$P$34=0),"",$L$37-1),IF($R$17="Distrato",$E449,0)),MIN(V$38,$D$19),$P$20))-SUM($P449:U449)</f>
        <v>#VALUE!</v>
      </c>
      <c r="W449" s="446" t="e">
        <f>IF(OR($B449="",MIN(W$38,$D$19)&lt;MAX($P$34*($B449+IF($R$17="Distrato",$I$38-1,0)),IF(AND($L$37=0,$P$34=0),"",$L$37-1),IF($R$17="Distrato",$E449,0))),0,YEARFRAC(MAX($P$34*($B449+IF($R$17="Distrato",$I$38-1,0)),IF(AND($L$37=0,$P$34=0),"",$L$37-1),IF($R$17="Distrato",$E449,0)),MIN(W$38,$D$19),$P$20))-SUM($P449:V449)</f>
        <v>#VALUE!</v>
      </c>
      <c r="X449" s="446" t="e">
        <f>IF(OR($B449="",MIN(X$38,$D$19)&lt;MAX($P$34*($B449+IF($R$17="Distrato",$I$38-1,0)),IF(AND($L$37=0,$P$34=0),"",$L$37-1),IF($R$17="Distrato",$E449,0))),0,YEARFRAC(MAX($P$34*($B449+IF($R$17="Distrato",$I$38-1,0)),IF(AND($L$37=0,$P$34=0),"",$L$37-1),IF($R$17="Distrato",$E449,0)),MIN(X$38,$D$19),$P$20))-SUM($P449:W449)</f>
        <v>#VALUE!</v>
      </c>
      <c r="Y449" s="446" t="e">
        <f>IF(OR($B449="",MIN(Y$38,$D$19)&lt;MAX($P$34*($B449+IF($R$17="Distrato",$I$38-1,0)),IF(AND($L$37=0,$P$34=0),"",$L$37-1),IF($R$17="Distrato",$E449,0))),0,YEARFRAC(MAX($P$34*($B449+IF($R$17="Distrato",$I$38-1,0)),IF(AND($L$37=0,$P$34=0),"",$L$37-1),IF($R$17="Distrato",$E449,0)),MIN(Y$38,$D$19),$P$20))-SUM($P449:X449)</f>
        <v>#VALUE!</v>
      </c>
      <c r="Z449" s="446" t="e">
        <f>IF(OR($B449="",MIN(Z$38,$D$19)&lt;MAX($P$34*($B449+IF($R$17="Distrato",$I$38-1,0)),IF(AND($L$37=0,$P$34=0),"",$L$37-1),IF($R$17="Distrato",$E449,0))),0,YEARFRAC(MAX($P$34*($B449+IF($R$17="Distrato",$I$38-1,0)),IF(AND($L$37=0,$P$34=0),"",$L$37-1),IF($R$17="Distrato",$E449,0)),MIN(Z$38,$D$19),$P$20))-SUM($P449:Y449)</f>
        <v>#VALUE!</v>
      </c>
      <c r="AA449" s="446" t="e">
        <f>IF(OR($B449="",MIN(AA$38,$D$19)&lt;MAX($P$34*($B449+IF($R$17="Distrato",$I$38-1,0)),IF(AND($L$37=0,$P$34=0),"",$L$37-1),IF($R$17="Distrato",$E449,0))),0,YEARFRAC(MAX($P$34*($B449+IF($R$17="Distrato",$I$38-1,0)),IF(AND($L$37=0,$P$34=0),"",$L$37-1),IF($R$17="Distrato",$E449,0)),MIN(AA$38,$D$19),$P$20))-SUM($P449:Z449)</f>
        <v>#VALUE!</v>
      </c>
      <c r="AB449" s="446" t="e">
        <f>IF(OR($B449="",MIN(AB$38,$D$19)&lt;MAX($P$34*($B449+IF($R$17="Distrato",$I$38-1,0)),IF(AND($L$37=0,$P$34=0),"",$L$37-1),IF($R$17="Distrato",$E449,0))),0,YEARFRAC(MAX($P$34*($B449+IF($R$17="Distrato",$I$38-1,0)),IF(AND($L$37=0,$P$34=0),"",$L$37-1),IF($R$17="Distrato",$E449,0)),MIN(AB$38,$D$19),$P$20))-SUM($P449:AA449)</f>
        <v>#VALUE!</v>
      </c>
      <c r="AC449" s="446" t="e">
        <f>IF(OR($B449="",MIN(AC$38,$D$19)&lt;MAX($P$34*($B449+IF($R$17="Distrato",$I$38-1,0)),IF(AND($L$37=0,$P$34=0),"",$L$37-1),IF($R$17="Distrato",$E449,0))),0,YEARFRAC(MAX($P$34*($B449+IF($R$17="Distrato",$I$38-1,0)),IF(AND($L$37=0,$P$34=0),"",$L$37-1),IF($R$17="Distrato",$E449,0)),MIN(AC$38,$D$19),$P$20))-SUM($P449:AB449)</f>
        <v>#VALUE!</v>
      </c>
      <c r="AD449" s="446" t="e">
        <f>IF(OR($B449="",MIN(AD$38,$D$19)&lt;MAX($P$34*($B449+IF($R$17="Distrato",$I$38-1,0)),IF(AND($L$37=0,$P$34=0),"",$L$37-1),IF($R$17="Distrato",$E449,0))),0,YEARFRAC(MAX($P$34*($B449+IF($R$17="Distrato",$I$38-1,0)),IF(AND($L$37=0,$P$34=0),"",$L$37-1),IF($R$17="Distrato",$E449,0)),MIN(AD$38,$D$19),$P$20))-SUM($P449:AC449)</f>
        <v>#VALUE!</v>
      </c>
      <c r="AE449" s="446" t="e">
        <f>IF(OR($B449="",MIN(AE$38,$D$19)&lt;MAX($P$34*($B449+IF($R$17="Distrato",$I$38-1,0)),IF(AND($L$37=0,$P$34=0),"",$L$37-1),IF($R$17="Distrato",$E449,0))),0,YEARFRAC(MAX($P$34*($B449+IF($R$17="Distrato",$I$38-1,0)),IF(AND($L$37=0,$P$34=0),"",$L$37-1),IF($R$17="Distrato",$E449,0)),MIN(AE$38,$D$19),$P$20))-SUM($P449:AD449)</f>
        <v>#VALUE!</v>
      </c>
      <c r="AF449" s="446" t="e">
        <f>IF(OR($B449="",MIN(AF$38,$D$19)&lt;MAX($P$34*($B449+IF($R$17="Distrato",$I$38-1,0)),IF(AND($L$37=0,$P$34=0),"",$L$37-1),IF($R$17="Distrato",$E449,0))),0,YEARFRAC(MAX($P$34*($B449+IF($R$17="Distrato",$I$38-1,0)),IF(AND($L$37=0,$P$34=0),"",$L$37-1),IF($R$17="Distrato",$E449,0)),MIN(AF$38,$D$19),$P$20))-SUM($P449:AE449)</f>
        <v>#VALUE!</v>
      </c>
      <c r="AG449" s="446" t="e">
        <f>IF(OR($B449="",MIN(AG$38,$D$19)&lt;MAX($P$34*($B449+IF($R$17="Distrato",$I$38-1,0)),IF(AND($L$37=0,$P$34=0),"",$L$37-1),IF($R$17="Distrato",$E449,0))),0,YEARFRAC(MAX($P$34*($B449+IF($R$17="Distrato",$I$38-1,0)),IF(AND($L$37=0,$P$34=0),"",$L$37-1),IF($R$17="Distrato",$E449,0)),MIN(AG$38,$D$19),$P$20))-SUM($P449:AF449)</f>
        <v>#VALUE!</v>
      </c>
      <c r="AH449" s="446" t="e">
        <f>IF(OR($B449="",MIN(AH$38,$D$19)&lt;MAX($P$34*($B449+IF($R$17="Distrato",$I$38-1,0)),IF(AND($L$37=0,$P$34=0),"",$L$37-1),IF($R$17="Distrato",$E449,0))),0,YEARFRAC(MAX($P$34*($B449+IF($R$17="Distrato",$I$38-1,0)),IF(AND($L$37=0,$P$34=0),"",$L$37-1),IF($R$17="Distrato",$E449,0)),MIN(AH$38,$D$19),$P$20))-SUM($P449:AG449)</f>
        <v>#VALUE!</v>
      </c>
      <c r="AI449" s="446" t="e">
        <f>IF(OR($B449="",MIN(AI$38,$D$19)&lt;MAX($P$34*($B449+IF($R$17="Distrato",$I$38-1,0)),IF(AND($L$37=0,$P$34=0),"",$L$37-1),IF($R$17="Distrato",$E449,0))),0,YEARFRAC(MAX($P$34*($B449+IF($R$17="Distrato",$I$38-1,0)),IF(AND($L$37=0,$P$34=0),"",$L$37-1),IF($R$17="Distrato",$E449,0)),MIN(AI$38,$D$19),$P$20))-SUM($P449:AH449)</f>
        <v>#VALUE!</v>
      </c>
      <c r="AJ449" s="446" t="e">
        <f>IF(OR($B449="",MIN(AJ$38,$D$19)&lt;MAX($P$34*($B449+IF($R$17="Distrato",$I$38-1,0)),IF(AND($L$37=0,$P$34=0),"",$L$37-1),IF($R$17="Distrato",$E449,0))),0,YEARFRAC(MAX($P$34*($B449+IF($R$17="Distrato",$I$38-1,0)),IF(AND($L$37=0,$P$34=0),"",$L$37-1),IF($R$17="Distrato",$E449,0)),MIN(AJ$38,$D$19),$P$20))-SUM($P449:AI449)</f>
        <v>#VALUE!</v>
      </c>
      <c r="AK449" s="446" t="e">
        <f>IF(OR($B449="",MIN(AK$38,$D$19)&lt;MAX($P$34*($B449+IF($R$17="Distrato",$I$38-1,0)),IF(AND($L$37=0,$P$34=0),"",$L$37-1),IF($R$17="Distrato",$E449,0))),0,YEARFRAC(MAX($P$34*($B449+IF($R$17="Distrato",$I$38-1,0)),IF(AND($L$37=0,$P$34=0),"",$L$37-1),IF($R$17="Distrato",$E449,0)),MIN(AK$38,$D$19),$P$20))-SUM($P449:AJ449)</f>
        <v>#VALUE!</v>
      </c>
      <c r="AL449" s="446" t="e">
        <f>IF(OR($B449="",MIN(AL$38,$D$19)&lt;MAX($P$34*($B449+IF($R$17="Distrato",$I$38-1,0)),IF(AND($L$37=0,$P$34=0),"",$L$37-1),IF($R$17="Distrato",$E449,0))),0,YEARFRAC(MAX($P$34*($B449+IF($R$17="Distrato",$I$38-1,0)),IF(AND($L$37=0,$P$34=0),"",$L$37-1),IF($R$17="Distrato",$E449,0)),MIN(AL$38,$D$19),$P$20))-SUM($P449:AK449)</f>
        <v>#VALUE!</v>
      </c>
      <c r="AM449" s="446" t="e">
        <f>IF(OR($B449="",MIN(AM$38,$D$19)&lt;MAX($P$34*($B449+IF($R$17="Distrato",$I$38-1,0)),IF(AND($L$37=0,$P$34=0),"",$L$37-1),IF($R$17="Distrato",$E449,0))),0,YEARFRAC(MAX($P$34*($B449+IF($R$17="Distrato",$I$38-1,0)),IF(AND($L$37=0,$P$34=0),"",$L$37-1),IF($R$17="Distrato",$E449,0)),MIN(AM$38,$D$19),$P$20))-SUM($P449:AL449)</f>
        <v>#VALUE!</v>
      </c>
      <c r="AN449" s="446" t="e">
        <f>IF(OR($B449="",MIN(AN$38,$D$19)&lt;MAX($P$34*($B449+IF($R$17="Distrato",$I$38-1,0)),IF(AND($L$37=0,$P$34=0),"",$L$37-1),IF($R$17="Distrato",$E449,0))),0,YEARFRAC(MAX($P$34*($B449+IF($R$17="Distrato",$I$38-1,0)),IF(AND($L$37=0,$P$34=0),"",$L$37-1),IF($R$17="Distrato",$E449,0)),MIN(AN$38,$D$19),$P$20))-SUM($P449:AM449)</f>
        <v>#VALUE!</v>
      </c>
      <c r="AO449" s="446" t="e">
        <f>IF(OR($B449="",MIN(AO$38,$D$19)&lt;MAX($P$34*($B449+IF($R$17="Distrato",$I$38-1,0)),IF(AND($L$37=0,$P$34=0),"",$L$37-1),IF($R$17="Distrato",$E449,0))),0,YEARFRAC(MAX($P$34*($B449+IF($R$17="Distrato",$I$38-1,0)),IF(AND($L$37=0,$P$34=0),"",$L$37-1),IF($R$17="Distrato",$E449,0)),MIN(AO$38,$D$19),$P$20))-SUM($P449:AN449)</f>
        <v>#VALUE!</v>
      </c>
      <c r="AP449" s="446" t="e">
        <f>IF(OR($B449="",MIN(AP$38,$D$19)&lt;MAX($P$34*($B449+IF($R$17="Distrato",$I$38-1,0)),IF(AND($L$37=0,$P$34=0),"",$L$37-1),IF($R$17="Distrato",$E449,0))),0,YEARFRAC(MAX($P$34*($B449+IF($R$17="Distrato",$I$38-1,0)),IF(AND($L$37=0,$P$34=0),"",$L$37-1),IF($R$17="Distrato",$E449,0)),MIN(AP$38,$D$19),$P$20))-SUM($P449:AO449)</f>
        <v>#VALUE!</v>
      </c>
      <c r="AQ449" s="446" t="e">
        <f>IF(OR($B449="",MIN(AQ$38,$D$19)&lt;MAX($P$34*($B449+IF($R$17="Distrato",$I$38-1,0)),IF(AND($L$37=0,$P$34=0),"",$L$37-1),IF($R$17="Distrato",$E449,0))),0,YEARFRAC(MAX($P$34*($B449+IF($R$17="Distrato",$I$38-1,0)),IF(AND($L$37=0,$P$34=0),"",$L$37-1),IF($R$17="Distrato",$E449,0)),MIN(AQ$38,$D$19),$P$20))-SUM($P449:AP449)</f>
        <v>#VALUE!</v>
      </c>
      <c r="AR449" s="446" t="e">
        <f>IF(OR($B449="",MIN(AR$38,$D$19)&lt;MAX($P$34*($B449+IF($R$17="Distrato",$I$38-1,0)),IF(AND($L$37=0,$P$34=0),"",$L$37-1),IF($R$17="Distrato",$E449,0))),0,YEARFRAC(MAX($P$34*($B449+IF($R$17="Distrato",$I$38-1,0)),IF(AND($L$37=0,$P$34=0),"",$L$37-1),IF($R$17="Distrato",$E449,0)),MIN(AR$38,$D$19),$P$20))-SUM($P449:AQ449)</f>
        <v>#VALUE!</v>
      </c>
      <c r="AS449" s="446" t="e">
        <f>IF(OR($B449="",MIN(AS$38,$D$19)&lt;MAX($P$34*($B449+IF($R$17="Distrato",$I$38-1,0)),IF(AND($L$37=0,$P$34=0),"",$L$37-1),IF($R$17="Distrato",$E449,0))),0,YEARFRAC(MAX($P$34*($B449+IF($R$17="Distrato",$I$38-1,0)),IF(AND($L$37=0,$P$34=0),"",$L$37-1),IF($R$17="Distrato",$E449,0)),MIN(AS$38,$D$19),$P$20))-SUM($P449:AR449)</f>
        <v>#VALUE!</v>
      </c>
      <c r="AT449" s="446" t="e">
        <f>IF(OR($B449="",MIN(AT$38,$D$19)&lt;MAX($P$34*($B449+IF($R$17="Distrato",$I$38-1,0)),IF(AND($L$37=0,$P$34=0),"",$L$37-1),IF($R$17="Distrato",$E449,0))),0,YEARFRAC(MAX($P$34*($B449+IF($R$17="Distrato",$I$38-1,0)),IF(AND($L$37=0,$P$34=0),"",$L$37-1),IF($R$17="Distrato",$E449,0)),MIN(AT$38,$D$19),$P$20))-SUM($P449:AS449)</f>
        <v>#VALUE!</v>
      </c>
      <c r="AU449" s="446" t="e">
        <f>IF(OR($B449="",MIN(AU$38,$D$19)&lt;MAX($P$34*($B449+IF($R$17="Distrato",$I$38-1,0)),IF(AND($L$37=0,$P$34=0),"",$L$37-1),IF($R$17="Distrato",$E449,0))),0,YEARFRAC(MAX($P$34*($B449+IF($R$17="Distrato",$I$38-1,0)),IF(AND($L$37=0,$P$34=0),"",$L$37-1),IF($R$17="Distrato",$E449,0)),MIN(AU$38,$D$19),$P$20))-SUM($P449:AT449)</f>
        <v>#VALUE!</v>
      </c>
      <c r="AV449" s="446" t="e">
        <f>IF(OR($B449="",MIN(AV$38,$D$19)&lt;MAX($P$34*($B449+IF($R$17="Distrato",$I$38-1,0)),IF(AND($L$37=0,$P$34=0),"",$L$37-1),IF($R$17="Distrato",$E449,0))),0,YEARFRAC(MAX($P$34*($B449+IF($R$17="Distrato",$I$38-1,0)),IF(AND($L$37=0,$P$34=0),"",$L$37-1),IF($R$17="Distrato",$E449,0)),MIN(AV$38,$D$19),$P$20))-SUM($P449:AU449)</f>
        <v>#VALUE!</v>
      </c>
      <c r="AW449" s="446" t="e">
        <f>IF(OR($B449="",MIN(AW$38,$D$19)&lt;MAX($P$34*($B449+IF($R$17="Distrato",$I$38-1,0)),IF(AND($L$37=0,$P$34=0),"",$L$37-1),IF($R$17="Distrato",$E449,0))),0,YEARFRAC(MAX($P$34*($B449+IF($R$17="Distrato",$I$38-1,0)),IF(AND($L$37=0,$P$34=0),"",$L$37-1),IF($R$17="Distrato",$E449,0)),MIN(AW$38,$D$19),$P$20))-SUM($P449:AV449)</f>
        <v>#VALUE!</v>
      </c>
      <c r="AX449" s="446" t="e">
        <f>IF(OR($B449="",MIN(AX$38,$D$19)&lt;MAX($P$34*($B449+IF($R$17="Distrato",$I$38-1,0)),IF(AND($L$37=0,$P$34=0),"",$L$37-1),IF($R$17="Distrato",$E449,0))),0,YEARFRAC(MAX($P$34*($B449+IF($R$17="Distrato",$I$38-1,0)),IF(AND($L$37=0,$P$34=0),"",$L$37-1),IF($R$17="Distrato",$E449,0)),MIN(AX$38,$D$19),$P$20))-SUM($P449:AW449)</f>
        <v>#VALUE!</v>
      </c>
      <c r="AY449" s="446" t="e">
        <f>IF(OR($B449="",MIN(AY$38,$D$19)&lt;MAX($P$34*($B449+IF($R$17="Distrato",$I$38-1,0)),IF(AND($L$37=0,$P$34=0),"",$L$37-1),IF($R$17="Distrato",$E449,0))),0,YEARFRAC(MAX($P$34*($B449+IF($R$17="Distrato",$I$38-1,0)),IF(AND($L$37=0,$P$34=0),"",$L$37-1),IF($R$17="Distrato",$E449,0)),MIN(AY$38,$D$19),$P$20))-SUM($P449:AX449)</f>
        <v>#VALUE!</v>
      </c>
      <c r="AZ449" s="446" t="e">
        <f>IF(OR($B449="",MIN(AZ$38,$D$19)&lt;MAX($P$34*($B449+IF($R$17="Distrato",$I$38-1,0)),IF(AND($L$37=0,$P$34=0),"",$L$37-1),IF($R$17="Distrato",$E449,0))),0,YEARFRAC(MAX($P$34*($B449+IF($R$17="Distrato",$I$38-1,0)),IF(AND($L$37=0,$P$34=0),"",$L$37-1),IF($R$17="Distrato",$E449,0)),MIN(AZ$38,$D$19),$P$20))-SUM($P449:AY449)</f>
        <v>#VALUE!</v>
      </c>
      <c r="BA449" s="446" t="e">
        <f>IF(OR($B449="",MIN(BA$38,$D$19)&lt;MAX($P$34*($B449+IF($R$17="Distrato",$I$38-1,0)),IF(AND($L$37=0,$P$34=0),"",$L$37-1),IF($R$17="Distrato",$E449,0))),0,YEARFRAC(MAX($P$34*($B449+IF($R$17="Distrato",$I$38-1,0)),IF(AND($L$37=0,$P$34=0),"",$L$37-1),IF($R$17="Distrato",$E449,0)),MIN(BA$38,$D$19),$P$20))-SUM($P449:AZ449)</f>
        <v>#VALUE!</v>
      </c>
      <c r="BB449" s="447"/>
      <c r="BF449" s="446">
        <f t="shared" si="76"/>
        <v>0</v>
      </c>
      <c r="BG449" s="446">
        <f>IF($E449=0,0,IF(MIN(BG$38,$E449)&lt;MAX($P$34*($B449+$I$38-1),IF(AND($L$37=0,$P$34=0),"",$L$37-1)),0,YEARFRAC(MAX($P$34*($B449+$I$38-1),IF(AND($L$37=0,$P$34=0),"",$L$37-1)),MIN(BG$38,$E449),$P$20))-SUM($BF449:BF449))</f>
        <v>0</v>
      </c>
      <c r="BH449" s="446">
        <f>IF($E449=0,0,IF(MIN(BH$38,$E449)&lt;MAX($P$34*($B449+$I$38-1),IF(AND($L$37=0,$P$34=0),"",$L$37-1)),0,YEARFRAC(MAX($P$34*($B449+$I$38-1),IF(AND($L$37=0,$P$34=0),"",$L$37-1)),MIN(BH$38,$E449),$P$20))-SUM($BF449:BG449))</f>
        <v>0</v>
      </c>
      <c r="BI449" s="446">
        <f>IF($E449=0,0,IF(MIN(BI$38,$E449)&lt;MAX($P$34*($B449+$I$38-1),IF(AND($L$37=0,$P$34=0),"",$L$37-1)),0,YEARFRAC(MAX($P$34*($B449+$I$38-1),IF(AND($L$37=0,$P$34=0),"",$L$37-1)),MIN(BI$38,$E449),$P$20))-SUM($BF449:BH449))</f>
        <v>0</v>
      </c>
      <c r="BJ449" s="446">
        <f>IF($E449=0,0,IF(MIN(BJ$38,$E449)&lt;MAX($P$34*($B449+$I$38-1),IF(AND($L$37=0,$P$34=0),"",$L$37-1)),0,YEARFRAC(MAX($P$34*($B449+$I$38-1),IF(AND($L$37=0,$P$34=0),"",$L$37-1)),MIN(BJ$38,$E449),$P$20))-SUM($BF449:BI449))</f>
        <v>0</v>
      </c>
      <c r="BK449" s="446">
        <f>IF($E449=0,0,IF(MIN(BK$38,$E449)&lt;MAX($P$34*($B449+$I$38-1),IF(AND($L$37=0,$P$34=0),"",$L$37-1)),0,YEARFRAC(MAX($P$34*($B449+$I$38-1),IF(AND($L$37=0,$P$34=0),"",$L$37-1)),MIN(BK$38,$E449),$P$20))-SUM($BF449:BJ449))</f>
        <v>0</v>
      </c>
      <c r="BL449" s="446">
        <f>IF($E449=0,0,IF(MIN(BL$38,$E449)&lt;MAX($P$34*($B449+$I$38-1),IF(AND($L$37=0,$P$34=0),"",$L$37-1)),0,YEARFRAC(MAX($P$34*($B449+$I$38-1),IF(AND($L$37=0,$P$34=0),"",$L$37-1)),MIN(BL$38,$E449),$P$20))-SUM($BF449:BK449))</f>
        <v>0</v>
      </c>
      <c r="BM449" s="446">
        <f>IF($E449=0,0,IF(MIN(BM$38,$E449)&lt;MAX($P$34*($B449+$I$38-1),IF(AND($L$37=0,$P$34=0),"",$L$37-1)),0,YEARFRAC(MAX($P$34*($B449+$I$38-1),IF(AND($L$37=0,$P$34=0),"",$L$37-1)),MIN(BM$38,$E449),$P$20))-SUM($BF449:BL449))</f>
        <v>0</v>
      </c>
      <c r="BN449" s="446">
        <f>IF($E449=0,0,IF(MIN(BN$38,$E449)&lt;MAX($P$34*($B449+$I$38-1),IF(AND($L$37=0,$P$34=0),"",$L$37-1)),0,YEARFRAC(MAX($P$34*($B449+$I$38-1),IF(AND($L$37=0,$P$34=0),"",$L$37-1)),MIN(BN$38,$E449),$P$20))-SUM($BF449:BM449))</f>
        <v>0</v>
      </c>
      <c r="BO449" s="446">
        <f>IF($E449=0,0,IF(MIN(BO$38,$E449)&lt;MAX($P$34*($B449+$I$38-1),IF(AND($L$37=0,$P$34=0),"",$L$37-1)),0,YEARFRAC(MAX($P$34*($B449+$I$38-1),IF(AND($L$37=0,$P$34=0),"",$L$37-1)),MIN(BO$38,$E449),$P$20))-SUM($BF449:BN449))</f>
        <v>0</v>
      </c>
      <c r="BP449" s="446">
        <f>IF($E449=0,0,IF(MIN(BP$38,$E449)&lt;MAX($P$34*($B449+$I$38-1),IF(AND($L$37=0,$P$34=0),"",$L$37-1)),0,YEARFRAC(MAX($P$34*($B449+$I$38-1),IF(AND($L$37=0,$P$34=0),"",$L$37-1)),MIN(BP$38,$E449),$P$20))-SUM($BF449:BO449))</f>
        <v>0</v>
      </c>
      <c r="BQ449" s="446">
        <f>IF($E449=0,0,IF(MIN(BQ$38,$E449)&lt;MAX($P$34*($B449+$I$38-1),IF(AND($L$37=0,$P$34=0),"",$L$37-1)),0,YEARFRAC(MAX($P$34*($B449+$I$38-1),IF(AND($L$37=0,$P$34=0),"",$L$37-1)),MIN(BQ$38,$E449),$P$20))-SUM($BF449:BP449))</f>
        <v>0</v>
      </c>
      <c r="BR449" s="446">
        <f>IF($E449=0,0,IF(MIN(BR$38,$E449)&lt;MAX($P$34*($B449+$I$38-1),IF(AND($L$37=0,$P$34=0),"",$L$37-1)),0,YEARFRAC(MAX($P$34*($B449+$I$38-1),IF(AND($L$37=0,$P$34=0),"",$L$37-1)),MIN(BR$38,$E449),$P$20))-SUM($BF449:BQ449))</f>
        <v>0</v>
      </c>
      <c r="BS449" s="446">
        <f>IF($E449=0,0,IF(MIN(BS$38,$E449)&lt;MAX($P$34*($B449+$I$38-1),IF(AND($L$37=0,$P$34=0),"",$L$37-1)),0,YEARFRAC(MAX($P$34*($B449+$I$38-1),IF(AND($L$37=0,$P$34=0),"",$L$37-1)),MIN(BS$38,$E449),$P$20))-SUM($BF449:BR449))</f>
        <v>0</v>
      </c>
      <c r="BT449" s="446">
        <f>IF($E449=0,0,IF(MIN(BT$38,$E449)&lt;MAX($P$34*($B449+$I$38-1),IF(AND($L$37=0,$P$34=0),"",$L$37-1)),0,YEARFRAC(MAX($P$34*($B449+$I$38-1),IF(AND($L$37=0,$P$34=0),"",$L$37-1)),MIN(BT$38,$E449),$P$20))-SUM($BF449:BS449))</f>
        <v>0</v>
      </c>
      <c r="BU449" s="446">
        <f>IF($E449=0,0,IF(MIN(BU$38,$E449)&lt;MAX($P$34*($B449+$I$38-1),IF(AND($L$37=0,$P$34=0),"",$L$37-1)),0,YEARFRAC(MAX($P$34*($B449+$I$38-1),IF(AND($L$37=0,$P$34=0),"",$L$37-1)),MIN(BU$38,$E449),$P$20))-SUM($BF449:BT449))</f>
        <v>0</v>
      </c>
      <c r="BV449" s="446">
        <f>IF($E449=0,0,IF(MIN(BV$38,$E449)&lt;MAX($P$34*($B449+$I$38-1),IF(AND($L$37=0,$P$34=0),"",$L$37-1)),0,YEARFRAC(MAX($P$34*($B449+$I$38-1),IF(AND($L$37=0,$P$34=0),"",$L$37-1)),MIN(BV$38,$E449),$P$20))-SUM($BF449:BU449))</f>
        <v>0</v>
      </c>
      <c r="BW449" s="446">
        <f>IF($E449=0,0,IF(MIN(BW$38,$E449)&lt;MAX($P$34*($B449+$I$38-1),IF(AND($L$37=0,$P$34=0),"",$L$37-1)),0,YEARFRAC(MAX($P$34*($B449+$I$38-1),IF(AND($L$37=0,$P$34=0),"",$L$37-1)),MIN(BW$38,$E449),$P$20))-SUM($BF449:BV449))</f>
        <v>0</v>
      </c>
      <c r="BX449" s="446">
        <f>IF($E449=0,0,IF(MIN(BX$38,$E449)&lt;MAX($P$34*($B449+$I$38-1),IF(AND($L$37=0,$P$34=0),"",$L$37-1)),0,YEARFRAC(MAX($P$34*($B449+$I$38-1),IF(AND($L$37=0,$P$34=0),"",$L$37-1)),MIN(BX$38,$E449),$P$20))-SUM($BF449:BW449))</f>
        <v>0</v>
      </c>
      <c r="BY449" s="446">
        <f>IF($E449=0,0,IF(MIN(BY$38,$E449)&lt;MAX($P$34*($B449+$I$38-1),IF(AND($L$37=0,$P$34=0),"",$L$37-1)),0,YEARFRAC(MAX($P$34*($B449+$I$38-1),IF(AND($L$37=0,$P$34=0),"",$L$37-1)),MIN(BY$38,$E449),$P$20))-SUM($BF449:BX449))</f>
        <v>0</v>
      </c>
      <c r="BZ449" s="446">
        <f>IF($E449=0,0,IF(MIN(BZ$38,$E449)&lt;MAX($P$34*($B449+$I$38-1),IF(AND($L$37=0,$P$34=0),"",$L$37-1)),0,YEARFRAC(MAX($P$34*($B449+$I$38-1),IF(AND($L$37=0,$P$34=0),"",$L$37-1)),MIN(BZ$38,$E449),$P$20))-SUM($BF449:BY449))</f>
        <v>0</v>
      </c>
      <c r="CA449" s="446">
        <f>IF($E449=0,0,IF(MIN(CA$38,$E449)&lt;MAX($P$34*($B449+$I$38-1),IF(AND($L$37=0,$P$34=0),"",$L$37-1)),0,YEARFRAC(MAX($P$34*($B449+$I$38-1),IF(AND($L$37=0,$P$34=0),"",$L$37-1)),MIN(CA$38,$E449),$P$20))-SUM($BF449:BZ449))</f>
        <v>0</v>
      </c>
      <c r="CB449" s="446">
        <f>IF($E449=0,0,IF(MIN(CB$38,$E449)&lt;MAX($P$34*($B449+$I$38-1),IF(AND($L$37=0,$P$34=0),"",$L$37-1)),0,YEARFRAC(MAX($P$34*($B449+$I$38-1),IF(AND($L$37=0,$P$34=0),"",$L$37-1)),MIN(CB$38,$E449),$P$20))-SUM($BF449:CA449))</f>
        <v>0</v>
      </c>
      <c r="CC449" s="446">
        <f>IF($E449=0,0,IF(MIN(CC$38,$E449)&lt;MAX($P$34*($B449+$I$38-1),IF(AND($L$37=0,$P$34=0),"",$L$37-1)),0,YEARFRAC(MAX($P$34*($B449+$I$38-1),IF(AND($L$37=0,$P$34=0),"",$L$37-1)),MIN(CC$38,$E449),$P$20))-SUM($BF449:CB449))</f>
        <v>0</v>
      </c>
      <c r="CD449" s="446">
        <f>IF($E449=0,0,IF(MIN(CD$38,$E449)&lt;MAX($P$34*($B449+$I$38-1),IF(AND($L$37=0,$P$34=0),"",$L$37-1)),0,YEARFRAC(MAX($P$34*($B449+$I$38-1),IF(AND($L$37=0,$P$34=0),"",$L$37-1)),MIN(CD$38,$E449),$P$20))-SUM($BF449:CC449))</f>
        <v>0</v>
      </c>
      <c r="CE449" s="446">
        <f>IF($E449=0,0,IF(MIN(CE$38,$E449)&lt;MAX($P$34*($B449+$I$38-1),IF(AND($L$37=0,$P$34=0),"",$L$37-1)),0,YEARFRAC(MAX($P$34*($B449+$I$38-1),IF(AND($L$37=0,$P$34=0),"",$L$37-1)),MIN(CE$38,$E449),$P$20))-SUM($BF449:CD449))</f>
        <v>0</v>
      </c>
      <c r="CF449" s="446">
        <f>IF($E449=0,0,IF(MIN(CF$38,$E449)&lt;MAX($P$34*($B449+$I$38-1),IF(AND($L$37=0,$P$34=0),"",$L$37-1)),0,YEARFRAC(MAX($P$34*($B449+$I$38-1),IF(AND($L$37=0,$P$34=0),"",$L$37-1)),MIN(CF$38,$E449),$P$20))-SUM($BF449:CE449))</f>
        <v>0</v>
      </c>
      <c r="CG449" s="446">
        <f>IF($E449=0,0,IF(MIN(CG$38,$E449)&lt;MAX($P$34*($B449+$I$38-1),IF(AND($L$37=0,$P$34=0),"",$L$37-1)),0,YEARFRAC(MAX($P$34*($B449+$I$38-1),IF(AND($L$37=0,$P$34=0),"",$L$37-1)),MIN(CG$38,$E449),$P$20))-SUM($BF449:CF449))</f>
        <v>0</v>
      </c>
      <c r="CH449" s="446">
        <f>IF($E449=0,0,IF(MIN(CH$38,$E449)&lt;MAX($P$34*($B449+$I$38-1),IF(AND($L$37=0,$P$34=0),"",$L$37-1)),0,YEARFRAC(MAX($P$34*($B449+$I$38-1),IF(AND($L$37=0,$P$34=0),"",$L$37-1)),MIN(CH$38,$E449),$P$20))-SUM($BF449:CG449))</f>
        <v>0</v>
      </c>
      <c r="CI449" s="446">
        <f>IF($E449=0,0,IF(MIN(CI$38,$E449)&lt;MAX($P$34*($B449+$I$38-1),IF(AND($L$37=0,$P$34=0),"",$L$37-1)),0,YEARFRAC(MAX($P$34*($B449+$I$38-1),IF(AND($L$37=0,$P$34=0),"",$L$37-1)),MIN(CI$38,$E449),$P$20))-SUM($BF449:CH449))</f>
        <v>0</v>
      </c>
      <c r="CJ449" s="446">
        <f>IF($E449=0,0,IF(MIN(CJ$38,$E449)&lt;MAX($P$34*($B449+$I$38-1),IF(AND($L$37=0,$P$34=0),"",$L$37-1)),0,YEARFRAC(MAX($P$34*($B449+$I$38-1),IF(AND($L$37=0,$P$34=0),"",$L$37-1)),MIN(CJ$38,$E449),$P$20))-SUM($BF449:CI449))</f>
        <v>0</v>
      </c>
      <c r="CK449" s="446">
        <f>IF($E449=0,0,IF(MIN(CK$38,$E449)&lt;MAX($P$34*($B449+$I$38-1),IF(AND($L$37=0,$P$34=0),"",$L$37-1)),0,YEARFRAC(MAX($P$34*($B449+$I$38-1),IF(AND($L$37=0,$P$34=0),"",$L$37-1)),MIN(CK$38,$E449),$P$20))-SUM($BF449:CJ449))</f>
        <v>0</v>
      </c>
      <c r="CL449" s="446">
        <f>IF($E449=0,0,IF(MIN(CL$38,$E449)&lt;MAX($P$34*($B449+$I$38-1),IF(AND($L$37=0,$P$34=0),"",$L$37-1)),0,YEARFRAC(MAX($P$34*($B449+$I$38-1),IF(AND($L$37=0,$P$34=0),"",$L$37-1)),MIN(CL$38,$E449),$P$20))-SUM($BF449:CK449))</f>
        <v>0</v>
      </c>
      <c r="CM449" s="446">
        <f>IF($E449=0,0,IF(MIN(CM$38,$E449)&lt;MAX($P$34*($B449+$I$38-1),IF(AND($L$37=0,$P$34=0),"",$L$37-1)),0,YEARFRAC(MAX($P$34*($B449+$I$38-1),IF(AND($L$37=0,$P$34=0),"",$L$37-1)),MIN(CM$38,$E449),$P$20))-SUM($BF449:CL449))</f>
        <v>0</v>
      </c>
      <c r="CN449" s="446">
        <f>IF($E449=0,0,IF(MIN(CN$38,$E449)&lt;MAX($P$34*($B449+$I$38-1),IF(AND($L$37=0,$P$34=0),"",$L$37-1)),0,YEARFRAC(MAX($P$34*($B449+$I$38-1),IF(AND($L$37=0,$P$34=0),"",$L$37-1)),MIN(CN$38,$E449),$P$20))-SUM($BF449:CM449))</f>
        <v>0</v>
      </c>
      <c r="CO449" s="446">
        <f>IF($E449=0,0,IF(MIN(CO$38,$E449)&lt;MAX($P$34*($B449+$I$38-1),IF(AND($L$37=0,$P$34=0),"",$L$37-1)),0,YEARFRAC(MAX($P$34*($B449+$I$38-1),IF(AND($L$37=0,$P$34=0),"",$L$37-1)),MIN(CO$38,$E449),$P$20))-SUM($BF449:CN449))</f>
        <v>0</v>
      </c>
      <c r="CP449" s="446">
        <f>IF($E449=0,0,IF(MIN(CP$38,$E449)&lt;MAX($P$34*($B449+$I$38-1),IF(AND($L$37=0,$P$34=0),"",$L$37-1)),0,YEARFRAC(MAX($P$34*($B449+$I$38-1),IF(AND($L$37=0,$P$34=0),"",$L$37-1)),MIN(CP$38,$E449),$P$20))-SUM($BF449:CO449))</f>
        <v>0</v>
      </c>
      <c r="CQ449" s="446">
        <f>IF($E449=0,0,IF(MIN(CQ$38,$E449)&lt;MAX($P$34*($B449+$I$38-1),IF(AND($L$37=0,$P$34=0),"",$L$37-1)),0,YEARFRAC(MAX($P$34*($B449+$I$38-1),IF(AND($L$37=0,$P$34=0),"",$L$37-1)),MIN(CQ$38,$E449),$P$20))-SUM($BF449:CP449))</f>
        <v>0</v>
      </c>
    </row>
    <row r="450" spans="1:95" s="446" customFormat="1" ht="11.25" hidden="1" customHeight="1" x14ac:dyDescent="0.2">
      <c r="A450" s="152"/>
      <c r="B450" s="153" t="str">
        <f t="shared" si="81"/>
        <v/>
      </c>
      <c r="C450" s="29" t="str">
        <f>IF(B450="","",IF($L$35="SELIC - TRIBUTOS",VLOOKUP(DATE(YEAR($D$19),MONTH($D$19)-1,1),ÍNDICES!$A:$DE,HLOOKUP($BL$25,ÍNDICES!$B$3:$T$4,2)+11)-VLOOKUP(B450,ÍNDICES!$A:$DE,HLOOKUP($BL$25,ÍNDICES!$B$3:$T$4,2)+11)+1%,IF(C$38=$W$26,$J$35,IF(ISERROR(IF(B450&gt;$D$19,1,VLOOKUP(DATE(YEAR(B450),MONTH(B450)+IF($C$35=$S$23,1,0),1),ÍNDICES!$A:$DE,$Z$35+1))),"",IF(B450&gt;$D$19,1,VLOOKUP(DATE(YEAR(B450),MONTH(B450)+IF($C$35=$S$23,1,0),1),ÍNDICES!$A:$DE,$Z$35+1))))))</f>
        <v/>
      </c>
      <c r="D450" s="154" t="str">
        <f>IF(ISERROR(IF(OR($D$38=$Y$27,$B450=""),"",VLOOKUP(B450,ÍNDICES!A:DE,AF$35+1))),"",IF(OR($D$38=$Y$27,$B450=""),"",VLOOKUP(B450,ÍNDICES!A:DE,AF$35+1)))</f>
        <v/>
      </c>
      <c r="E450" s="153"/>
      <c r="F450" s="29" t="str">
        <f>IF(E450="","",IF($L$35="SELIC - TRIBUTOS",VLOOKUP(DATE(YEAR($D$19),MONTH($D$19)-1,1),ÍNDICES!$A:$DE,HLOOKUP($BL$25,ÍNDICES!$B$3:$T$4,2)+11)-VLOOKUP(E450,ÍNDICES!$A:$DE,HLOOKUP($BL$25,ÍNDICES!$B$3:$T$4,2)+11)+1%,IF(F$38=$W$26,$J$35,IF(ISERROR(IF(E450&gt;$D$19,1,VLOOKUP(DATE(YEAR(E450),MONTH(E450)+IF($C$35=$S$23,1,0),1),ÍNDICES!$A:$DE,$Z$35+1))),"",IF(E450&gt;$D$19,1,VLOOKUP(DATE(YEAR(E450),MONTH(E450)+IF($C$35=$S$23,1,0),1),ÍNDICES!$A:$DE,$Z$35+1))))))</f>
        <v/>
      </c>
      <c r="G450" s="155"/>
      <c r="H450" s="156" t="str">
        <f t="shared" si="77"/>
        <v/>
      </c>
      <c r="I450" s="29" t="str">
        <f t="shared" si="71"/>
        <v/>
      </c>
      <c r="J450" s="5">
        <f t="shared" si="72"/>
        <v>0</v>
      </c>
      <c r="K450" s="20">
        <f t="shared" ca="1" si="73"/>
        <v>0</v>
      </c>
      <c r="L450" s="5">
        <f t="shared" ca="1" si="74"/>
        <v>0</v>
      </c>
      <c r="M450" s="64">
        <f t="shared" si="78"/>
        <v>0</v>
      </c>
      <c r="N450" s="61">
        <f t="shared" ca="1" si="79"/>
        <v>0</v>
      </c>
      <c r="O450" s="5">
        <f t="shared" ca="1" si="80"/>
        <v>0</v>
      </c>
      <c r="P450" s="446" t="e">
        <f t="shared" si="75"/>
        <v>#VALUE!</v>
      </c>
      <c r="Q450" s="446" t="e">
        <f>IF(OR($B450="",MIN(Q$38,$D$19)&lt;MAX($P$34*($B450+IF($R$17="Distrato",$I$38-1,0)),IF(AND($L$37=0,$P$34=0),"",$L$37-1),IF($R$17="Distrato",$E450,0))),0,YEARFRAC(MAX($P$34*($B450+IF($R$17="Distrato",$I$38-1,0)),IF(AND($L$37=0,$P$34=0),"",$L$37-1),IF($R$17="Distrato",$E450,0)),MIN(Q$38,$D$19),$P$20))-SUM($P450:P450)</f>
        <v>#VALUE!</v>
      </c>
      <c r="R450" s="446" t="e">
        <f>IF(OR($B450="",MIN(R$38,$D$19)&lt;MAX($P$34*($B450+IF($R$17="Distrato",$I$38-1,0)),IF(AND($L$37=0,$P$34=0),"",$L$37-1),IF($R$17="Distrato",$E450,0))),0,YEARFRAC(MAX($P$34*($B450+IF($R$17="Distrato",$I$38-1,0)),IF(AND($L$37=0,$P$34=0),"",$L$37-1),IF($R$17="Distrato",$E450,0)),MIN(R$38,$D$19),$P$20))-SUM($P450:Q450)</f>
        <v>#VALUE!</v>
      </c>
      <c r="S450" s="446" t="e">
        <f>IF(OR($B450="",MIN(S$38,$D$19)&lt;MAX($P$34*($B450+IF($R$17="Distrato",$I$38-1,0)),IF(AND($L$37=0,$P$34=0),"",$L$37-1),IF($R$17="Distrato",$E450,0))),0,YEARFRAC(MAX($P$34*($B450+IF($R$17="Distrato",$I$38-1,0)),IF(AND($L$37=0,$P$34=0),"",$L$37-1),IF($R$17="Distrato",$E450,0)),MIN(S$38,$D$19),$P$20))-SUM($P450:R450)</f>
        <v>#VALUE!</v>
      </c>
      <c r="T450" s="446" t="e">
        <f>IF(OR($B450="",MIN(T$38,$D$19)&lt;MAX($P$34*($B450+IF($R$17="Distrato",$I$38-1,0)),IF(AND($L$37=0,$P$34=0),"",$L$37-1),IF($R$17="Distrato",$E450,0))),0,YEARFRAC(MAX($P$34*($B450+IF($R$17="Distrato",$I$38-1,0)),IF(AND($L$37=0,$P$34=0),"",$L$37-1),IF($R$17="Distrato",$E450,0)),MIN(T$38,$D$19),$P$20))-SUM($P450:S450)</f>
        <v>#VALUE!</v>
      </c>
      <c r="U450" s="446" t="e">
        <f>IF(OR($B450="",MIN(U$38,$D$19)&lt;MAX($P$34*($B450+IF($R$17="Distrato",$I$38-1,0)),IF(AND($L$37=0,$P$34=0),"",$L$37-1),IF($R$17="Distrato",$E450,0))),0,YEARFRAC(MAX($P$34*($B450+IF($R$17="Distrato",$I$38-1,0)),IF(AND($L$37=0,$P$34=0),"",$L$37-1),IF($R$17="Distrato",$E450,0)),MIN(U$38,$D$19),$P$20))-SUM($P450:T450)</f>
        <v>#VALUE!</v>
      </c>
      <c r="V450" s="446" t="e">
        <f>IF(OR($B450="",MIN(V$38,$D$19)&lt;MAX($P$34*($B450+IF($R$17="Distrato",$I$38-1,0)),IF(AND($L$37=0,$P$34=0),"",$L$37-1),IF($R$17="Distrato",$E450,0))),0,YEARFRAC(MAX($P$34*($B450+IF($R$17="Distrato",$I$38-1,0)),IF(AND($L$37=0,$P$34=0),"",$L$37-1),IF($R$17="Distrato",$E450,0)),MIN(V$38,$D$19),$P$20))-SUM($P450:U450)</f>
        <v>#VALUE!</v>
      </c>
      <c r="W450" s="446" t="e">
        <f>IF(OR($B450="",MIN(W$38,$D$19)&lt;MAX($P$34*($B450+IF($R$17="Distrato",$I$38-1,0)),IF(AND($L$37=0,$P$34=0),"",$L$37-1),IF($R$17="Distrato",$E450,0))),0,YEARFRAC(MAX($P$34*($B450+IF($R$17="Distrato",$I$38-1,0)),IF(AND($L$37=0,$P$34=0),"",$L$37-1),IF($R$17="Distrato",$E450,0)),MIN(W$38,$D$19),$P$20))-SUM($P450:V450)</f>
        <v>#VALUE!</v>
      </c>
      <c r="X450" s="446" t="e">
        <f>IF(OR($B450="",MIN(X$38,$D$19)&lt;MAX($P$34*($B450+IF($R$17="Distrato",$I$38-1,0)),IF(AND($L$37=0,$P$34=0),"",$L$37-1),IF($R$17="Distrato",$E450,0))),0,YEARFRAC(MAX($P$34*($B450+IF($R$17="Distrato",$I$38-1,0)),IF(AND($L$37=0,$P$34=0),"",$L$37-1),IF($R$17="Distrato",$E450,0)),MIN(X$38,$D$19),$P$20))-SUM($P450:W450)</f>
        <v>#VALUE!</v>
      </c>
      <c r="Y450" s="446" t="e">
        <f>IF(OR($B450="",MIN(Y$38,$D$19)&lt;MAX($P$34*($B450+IF($R$17="Distrato",$I$38-1,0)),IF(AND($L$37=0,$P$34=0),"",$L$37-1),IF($R$17="Distrato",$E450,0))),0,YEARFRAC(MAX($P$34*($B450+IF($R$17="Distrato",$I$38-1,0)),IF(AND($L$37=0,$P$34=0),"",$L$37-1),IF($R$17="Distrato",$E450,0)),MIN(Y$38,$D$19),$P$20))-SUM($P450:X450)</f>
        <v>#VALUE!</v>
      </c>
      <c r="Z450" s="446" t="e">
        <f>IF(OR($B450="",MIN(Z$38,$D$19)&lt;MAX($P$34*($B450+IF($R$17="Distrato",$I$38-1,0)),IF(AND($L$37=0,$P$34=0),"",$L$37-1),IF($R$17="Distrato",$E450,0))),0,YEARFRAC(MAX($P$34*($B450+IF($R$17="Distrato",$I$38-1,0)),IF(AND($L$37=0,$P$34=0),"",$L$37-1),IF($R$17="Distrato",$E450,0)),MIN(Z$38,$D$19),$P$20))-SUM($P450:Y450)</f>
        <v>#VALUE!</v>
      </c>
      <c r="AA450" s="446" t="e">
        <f>IF(OR($B450="",MIN(AA$38,$D$19)&lt;MAX($P$34*($B450+IF($R$17="Distrato",$I$38-1,0)),IF(AND($L$37=0,$P$34=0),"",$L$37-1),IF($R$17="Distrato",$E450,0))),0,YEARFRAC(MAX($P$34*($B450+IF($R$17="Distrato",$I$38-1,0)),IF(AND($L$37=0,$P$34=0),"",$L$37-1),IF($R$17="Distrato",$E450,0)),MIN(AA$38,$D$19),$P$20))-SUM($P450:Z450)</f>
        <v>#VALUE!</v>
      </c>
      <c r="AB450" s="446" t="e">
        <f>IF(OR($B450="",MIN(AB$38,$D$19)&lt;MAX($P$34*($B450+IF($R$17="Distrato",$I$38-1,0)),IF(AND($L$37=0,$P$34=0),"",$L$37-1),IF($R$17="Distrato",$E450,0))),0,YEARFRAC(MAX($P$34*($B450+IF($R$17="Distrato",$I$38-1,0)),IF(AND($L$37=0,$P$34=0),"",$L$37-1),IF($R$17="Distrato",$E450,0)),MIN(AB$38,$D$19),$P$20))-SUM($P450:AA450)</f>
        <v>#VALUE!</v>
      </c>
      <c r="AC450" s="446" t="e">
        <f>IF(OR($B450="",MIN(AC$38,$D$19)&lt;MAX($P$34*($B450+IF($R$17="Distrato",$I$38-1,0)),IF(AND($L$37=0,$P$34=0),"",$L$37-1),IF($R$17="Distrato",$E450,0))),0,YEARFRAC(MAX($P$34*($B450+IF($R$17="Distrato",$I$38-1,0)),IF(AND($L$37=0,$P$34=0),"",$L$37-1),IF($R$17="Distrato",$E450,0)),MIN(AC$38,$D$19),$P$20))-SUM($P450:AB450)</f>
        <v>#VALUE!</v>
      </c>
      <c r="AD450" s="446" t="e">
        <f>IF(OR($B450="",MIN(AD$38,$D$19)&lt;MAX($P$34*($B450+IF($R$17="Distrato",$I$38-1,0)),IF(AND($L$37=0,$P$34=0),"",$L$37-1),IF($R$17="Distrato",$E450,0))),0,YEARFRAC(MAX($P$34*($B450+IF($R$17="Distrato",$I$38-1,0)),IF(AND($L$37=0,$P$34=0),"",$L$37-1),IF($R$17="Distrato",$E450,0)),MIN(AD$38,$D$19),$P$20))-SUM($P450:AC450)</f>
        <v>#VALUE!</v>
      </c>
      <c r="AE450" s="446" t="e">
        <f>IF(OR($B450="",MIN(AE$38,$D$19)&lt;MAX($P$34*($B450+IF($R$17="Distrato",$I$38-1,0)),IF(AND($L$37=0,$P$34=0),"",$L$37-1),IF($R$17="Distrato",$E450,0))),0,YEARFRAC(MAX($P$34*($B450+IF($R$17="Distrato",$I$38-1,0)),IF(AND($L$37=0,$P$34=0),"",$L$37-1),IF($R$17="Distrato",$E450,0)),MIN(AE$38,$D$19),$P$20))-SUM($P450:AD450)</f>
        <v>#VALUE!</v>
      </c>
      <c r="AF450" s="446" t="e">
        <f>IF(OR($B450="",MIN(AF$38,$D$19)&lt;MAX($P$34*($B450+IF($R$17="Distrato",$I$38-1,0)),IF(AND($L$37=0,$P$34=0),"",$L$37-1),IF($R$17="Distrato",$E450,0))),0,YEARFRAC(MAX($P$34*($B450+IF($R$17="Distrato",$I$38-1,0)),IF(AND($L$37=0,$P$34=0),"",$L$37-1),IF($R$17="Distrato",$E450,0)),MIN(AF$38,$D$19),$P$20))-SUM($P450:AE450)</f>
        <v>#VALUE!</v>
      </c>
      <c r="AG450" s="446" t="e">
        <f>IF(OR($B450="",MIN(AG$38,$D$19)&lt;MAX($P$34*($B450+IF($R$17="Distrato",$I$38-1,0)),IF(AND($L$37=0,$P$34=0),"",$L$37-1),IF($R$17="Distrato",$E450,0))),0,YEARFRAC(MAX($P$34*($B450+IF($R$17="Distrato",$I$38-1,0)),IF(AND($L$37=0,$P$34=0),"",$L$37-1),IF($R$17="Distrato",$E450,0)),MIN(AG$38,$D$19),$P$20))-SUM($P450:AF450)</f>
        <v>#VALUE!</v>
      </c>
      <c r="AH450" s="446" t="e">
        <f>IF(OR($B450="",MIN(AH$38,$D$19)&lt;MAX($P$34*($B450+IF($R$17="Distrato",$I$38-1,0)),IF(AND($L$37=0,$P$34=0),"",$L$37-1),IF($R$17="Distrato",$E450,0))),0,YEARFRAC(MAX($P$34*($B450+IF($R$17="Distrato",$I$38-1,0)),IF(AND($L$37=0,$P$34=0),"",$L$37-1),IF($R$17="Distrato",$E450,0)),MIN(AH$38,$D$19),$P$20))-SUM($P450:AG450)</f>
        <v>#VALUE!</v>
      </c>
      <c r="AI450" s="446" t="e">
        <f>IF(OR($B450="",MIN(AI$38,$D$19)&lt;MAX($P$34*($B450+IF($R$17="Distrato",$I$38-1,0)),IF(AND($L$37=0,$P$34=0),"",$L$37-1),IF($R$17="Distrato",$E450,0))),0,YEARFRAC(MAX($P$34*($B450+IF($R$17="Distrato",$I$38-1,0)),IF(AND($L$37=0,$P$34=0),"",$L$37-1),IF($R$17="Distrato",$E450,0)),MIN(AI$38,$D$19),$P$20))-SUM($P450:AH450)</f>
        <v>#VALUE!</v>
      </c>
      <c r="AJ450" s="446" t="e">
        <f>IF(OR($B450="",MIN(AJ$38,$D$19)&lt;MAX($P$34*($B450+IF($R$17="Distrato",$I$38-1,0)),IF(AND($L$37=0,$P$34=0),"",$L$37-1),IF($R$17="Distrato",$E450,0))),0,YEARFRAC(MAX($P$34*($B450+IF($R$17="Distrato",$I$38-1,0)),IF(AND($L$37=0,$P$34=0),"",$L$37-1),IF($R$17="Distrato",$E450,0)),MIN(AJ$38,$D$19),$P$20))-SUM($P450:AI450)</f>
        <v>#VALUE!</v>
      </c>
      <c r="AK450" s="446" t="e">
        <f>IF(OR($B450="",MIN(AK$38,$D$19)&lt;MAX($P$34*($B450+IF($R$17="Distrato",$I$38-1,0)),IF(AND($L$37=0,$P$34=0),"",$L$37-1),IF($R$17="Distrato",$E450,0))),0,YEARFRAC(MAX($P$34*($B450+IF($R$17="Distrato",$I$38-1,0)),IF(AND($L$37=0,$P$34=0),"",$L$37-1),IF($R$17="Distrato",$E450,0)),MIN(AK$38,$D$19),$P$20))-SUM($P450:AJ450)</f>
        <v>#VALUE!</v>
      </c>
      <c r="AL450" s="446" t="e">
        <f>IF(OR($B450="",MIN(AL$38,$D$19)&lt;MAX($P$34*($B450+IF($R$17="Distrato",$I$38-1,0)),IF(AND($L$37=0,$P$34=0),"",$L$37-1),IF($R$17="Distrato",$E450,0))),0,YEARFRAC(MAX($P$34*($B450+IF($R$17="Distrato",$I$38-1,0)),IF(AND($L$37=0,$P$34=0),"",$L$37-1),IF($R$17="Distrato",$E450,0)),MIN(AL$38,$D$19),$P$20))-SUM($P450:AK450)</f>
        <v>#VALUE!</v>
      </c>
      <c r="AM450" s="446" t="e">
        <f>IF(OR($B450="",MIN(AM$38,$D$19)&lt;MAX($P$34*($B450+IF($R$17="Distrato",$I$38-1,0)),IF(AND($L$37=0,$P$34=0),"",$L$37-1),IF($R$17="Distrato",$E450,0))),0,YEARFRAC(MAX($P$34*($B450+IF($R$17="Distrato",$I$38-1,0)),IF(AND($L$37=0,$P$34=0),"",$L$37-1),IF($R$17="Distrato",$E450,0)),MIN(AM$38,$D$19),$P$20))-SUM($P450:AL450)</f>
        <v>#VALUE!</v>
      </c>
      <c r="AN450" s="446" t="e">
        <f>IF(OR($B450="",MIN(AN$38,$D$19)&lt;MAX($P$34*($B450+IF($R$17="Distrato",$I$38-1,0)),IF(AND($L$37=0,$P$34=0),"",$L$37-1),IF($R$17="Distrato",$E450,0))),0,YEARFRAC(MAX($P$34*($B450+IF($R$17="Distrato",$I$38-1,0)),IF(AND($L$37=0,$P$34=0),"",$L$37-1),IF($R$17="Distrato",$E450,0)),MIN(AN$38,$D$19),$P$20))-SUM($P450:AM450)</f>
        <v>#VALUE!</v>
      </c>
      <c r="AO450" s="446" t="e">
        <f>IF(OR($B450="",MIN(AO$38,$D$19)&lt;MAX($P$34*($B450+IF($R$17="Distrato",$I$38-1,0)),IF(AND($L$37=0,$P$34=0),"",$L$37-1),IF($R$17="Distrato",$E450,0))),0,YEARFRAC(MAX($P$34*($B450+IF($R$17="Distrato",$I$38-1,0)),IF(AND($L$37=0,$P$34=0),"",$L$37-1),IF($R$17="Distrato",$E450,0)),MIN(AO$38,$D$19),$P$20))-SUM($P450:AN450)</f>
        <v>#VALUE!</v>
      </c>
      <c r="AP450" s="446" t="e">
        <f>IF(OR($B450="",MIN(AP$38,$D$19)&lt;MAX($P$34*($B450+IF($R$17="Distrato",$I$38-1,0)),IF(AND($L$37=0,$P$34=0),"",$L$37-1),IF($R$17="Distrato",$E450,0))),0,YEARFRAC(MAX($P$34*($B450+IF($R$17="Distrato",$I$38-1,0)),IF(AND($L$37=0,$P$34=0),"",$L$37-1),IF($R$17="Distrato",$E450,0)),MIN(AP$38,$D$19),$P$20))-SUM($P450:AO450)</f>
        <v>#VALUE!</v>
      </c>
      <c r="AQ450" s="446" t="e">
        <f>IF(OR($B450="",MIN(AQ$38,$D$19)&lt;MAX($P$34*($B450+IF($R$17="Distrato",$I$38-1,0)),IF(AND($L$37=0,$P$34=0),"",$L$37-1),IF($R$17="Distrato",$E450,0))),0,YEARFRAC(MAX($P$34*($B450+IF($R$17="Distrato",$I$38-1,0)),IF(AND($L$37=0,$P$34=0),"",$L$37-1),IF($R$17="Distrato",$E450,0)),MIN(AQ$38,$D$19),$P$20))-SUM($P450:AP450)</f>
        <v>#VALUE!</v>
      </c>
      <c r="AR450" s="446" t="e">
        <f>IF(OR($B450="",MIN(AR$38,$D$19)&lt;MAX($P$34*($B450+IF($R$17="Distrato",$I$38-1,0)),IF(AND($L$37=0,$P$34=0),"",$L$37-1),IF($R$17="Distrato",$E450,0))),0,YEARFRAC(MAX($P$34*($B450+IF($R$17="Distrato",$I$38-1,0)),IF(AND($L$37=0,$P$34=0),"",$L$37-1),IF($R$17="Distrato",$E450,0)),MIN(AR$38,$D$19),$P$20))-SUM($P450:AQ450)</f>
        <v>#VALUE!</v>
      </c>
      <c r="AS450" s="446" t="e">
        <f>IF(OR($B450="",MIN(AS$38,$D$19)&lt;MAX($P$34*($B450+IF($R$17="Distrato",$I$38-1,0)),IF(AND($L$37=0,$P$34=0),"",$L$37-1),IF($R$17="Distrato",$E450,0))),0,YEARFRAC(MAX($P$34*($B450+IF($R$17="Distrato",$I$38-1,0)),IF(AND($L$37=0,$P$34=0),"",$L$37-1),IF($R$17="Distrato",$E450,0)),MIN(AS$38,$D$19),$P$20))-SUM($P450:AR450)</f>
        <v>#VALUE!</v>
      </c>
      <c r="AT450" s="446" t="e">
        <f>IF(OR($B450="",MIN(AT$38,$D$19)&lt;MAX($P$34*($B450+IF($R$17="Distrato",$I$38-1,0)),IF(AND($L$37=0,$P$34=0),"",$L$37-1),IF($R$17="Distrato",$E450,0))),0,YEARFRAC(MAX($P$34*($B450+IF($R$17="Distrato",$I$38-1,0)),IF(AND($L$37=0,$P$34=0),"",$L$37-1),IF($R$17="Distrato",$E450,0)),MIN(AT$38,$D$19),$P$20))-SUM($P450:AS450)</f>
        <v>#VALUE!</v>
      </c>
      <c r="AU450" s="446" t="e">
        <f>IF(OR($B450="",MIN(AU$38,$D$19)&lt;MAX($P$34*($B450+IF($R$17="Distrato",$I$38-1,0)),IF(AND($L$37=0,$P$34=0),"",$L$37-1),IF($R$17="Distrato",$E450,0))),0,YEARFRAC(MAX($P$34*($B450+IF($R$17="Distrato",$I$38-1,0)),IF(AND($L$37=0,$P$34=0),"",$L$37-1),IF($R$17="Distrato",$E450,0)),MIN(AU$38,$D$19),$P$20))-SUM($P450:AT450)</f>
        <v>#VALUE!</v>
      </c>
      <c r="AV450" s="446" t="e">
        <f>IF(OR($B450="",MIN(AV$38,$D$19)&lt;MAX($P$34*($B450+IF($R$17="Distrato",$I$38-1,0)),IF(AND($L$37=0,$P$34=0),"",$L$37-1),IF($R$17="Distrato",$E450,0))),0,YEARFRAC(MAX($P$34*($B450+IF($R$17="Distrato",$I$38-1,0)),IF(AND($L$37=0,$P$34=0),"",$L$37-1),IF($R$17="Distrato",$E450,0)),MIN(AV$38,$D$19),$P$20))-SUM($P450:AU450)</f>
        <v>#VALUE!</v>
      </c>
      <c r="AW450" s="446" t="e">
        <f>IF(OR($B450="",MIN(AW$38,$D$19)&lt;MAX($P$34*($B450+IF($R$17="Distrato",$I$38-1,0)),IF(AND($L$37=0,$P$34=0),"",$L$37-1),IF($R$17="Distrato",$E450,0))),0,YEARFRAC(MAX($P$34*($B450+IF($R$17="Distrato",$I$38-1,0)),IF(AND($L$37=0,$P$34=0),"",$L$37-1),IF($R$17="Distrato",$E450,0)),MIN(AW$38,$D$19),$P$20))-SUM($P450:AV450)</f>
        <v>#VALUE!</v>
      </c>
      <c r="AX450" s="446" t="e">
        <f>IF(OR($B450="",MIN(AX$38,$D$19)&lt;MAX($P$34*($B450+IF($R$17="Distrato",$I$38-1,0)),IF(AND($L$37=0,$P$34=0),"",$L$37-1),IF($R$17="Distrato",$E450,0))),0,YEARFRAC(MAX($P$34*($B450+IF($R$17="Distrato",$I$38-1,0)),IF(AND($L$37=0,$P$34=0),"",$L$37-1),IF($R$17="Distrato",$E450,0)),MIN(AX$38,$D$19),$P$20))-SUM($P450:AW450)</f>
        <v>#VALUE!</v>
      </c>
      <c r="AY450" s="446" t="e">
        <f>IF(OR($B450="",MIN(AY$38,$D$19)&lt;MAX($P$34*($B450+IF($R$17="Distrato",$I$38-1,0)),IF(AND($L$37=0,$P$34=0),"",$L$37-1),IF($R$17="Distrato",$E450,0))),0,YEARFRAC(MAX($P$34*($B450+IF($R$17="Distrato",$I$38-1,0)),IF(AND($L$37=0,$P$34=0),"",$L$37-1),IF($R$17="Distrato",$E450,0)),MIN(AY$38,$D$19),$P$20))-SUM($P450:AX450)</f>
        <v>#VALUE!</v>
      </c>
      <c r="AZ450" s="446" t="e">
        <f>IF(OR($B450="",MIN(AZ$38,$D$19)&lt;MAX($P$34*($B450+IF($R$17="Distrato",$I$38-1,0)),IF(AND($L$37=0,$P$34=0),"",$L$37-1),IF($R$17="Distrato",$E450,0))),0,YEARFRAC(MAX($P$34*($B450+IF($R$17="Distrato",$I$38-1,0)),IF(AND($L$37=0,$P$34=0),"",$L$37-1),IF($R$17="Distrato",$E450,0)),MIN(AZ$38,$D$19),$P$20))-SUM($P450:AY450)</f>
        <v>#VALUE!</v>
      </c>
      <c r="BA450" s="446" t="e">
        <f>IF(OR($B450="",MIN(BA$38,$D$19)&lt;MAX($P$34*($B450+IF($R$17="Distrato",$I$38-1,0)),IF(AND($L$37=0,$P$34=0),"",$L$37-1),IF($R$17="Distrato",$E450,0))),0,YEARFRAC(MAX($P$34*($B450+IF($R$17="Distrato",$I$38-1,0)),IF(AND($L$37=0,$P$34=0),"",$L$37-1),IF($R$17="Distrato",$E450,0)),MIN(BA$38,$D$19),$P$20))-SUM($P450:AZ450)</f>
        <v>#VALUE!</v>
      </c>
      <c r="BB450" s="447"/>
      <c r="BF450" s="446">
        <f t="shared" si="76"/>
        <v>0</v>
      </c>
      <c r="BG450" s="446">
        <f>IF($E450=0,0,IF(MIN(BG$38,$E450)&lt;MAX($P$34*($B450+$I$38-1),IF(AND($L$37=0,$P$34=0),"",$L$37-1)),0,YEARFRAC(MAX($P$34*($B450+$I$38-1),IF(AND($L$37=0,$P$34=0),"",$L$37-1)),MIN(BG$38,$E450),$P$20))-SUM($BF450:BF450))</f>
        <v>0</v>
      </c>
      <c r="BH450" s="446">
        <f>IF($E450=0,0,IF(MIN(BH$38,$E450)&lt;MAX($P$34*($B450+$I$38-1),IF(AND($L$37=0,$P$34=0),"",$L$37-1)),0,YEARFRAC(MAX($P$34*($B450+$I$38-1),IF(AND($L$37=0,$P$34=0),"",$L$37-1)),MIN(BH$38,$E450),$P$20))-SUM($BF450:BG450))</f>
        <v>0</v>
      </c>
      <c r="BI450" s="446">
        <f>IF($E450=0,0,IF(MIN(BI$38,$E450)&lt;MAX($P$34*($B450+$I$38-1),IF(AND($L$37=0,$P$34=0),"",$L$37-1)),0,YEARFRAC(MAX($P$34*($B450+$I$38-1),IF(AND($L$37=0,$P$34=0),"",$L$37-1)),MIN(BI$38,$E450),$P$20))-SUM($BF450:BH450))</f>
        <v>0</v>
      </c>
      <c r="BJ450" s="446">
        <f>IF($E450=0,0,IF(MIN(BJ$38,$E450)&lt;MAX($P$34*($B450+$I$38-1),IF(AND($L$37=0,$P$34=0),"",$L$37-1)),0,YEARFRAC(MAX($P$34*($B450+$I$38-1),IF(AND($L$37=0,$P$34=0),"",$L$37-1)),MIN(BJ$38,$E450),$P$20))-SUM($BF450:BI450))</f>
        <v>0</v>
      </c>
      <c r="BK450" s="446">
        <f>IF($E450=0,0,IF(MIN(BK$38,$E450)&lt;MAX($P$34*($B450+$I$38-1),IF(AND($L$37=0,$P$34=0),"",$L$37-1)),0,YEARFRAC(MAX($P$34*($B450+$I$38-1),IF(AND($L$37=0,$P$34=0),"",$L$37-1)),MIN(BK$38,$E450),$P$20))-SUM($BF450:BJ450))</f>
        <v>0</v>
      </c>
      <c r="BL450" s="446">
        <f>IF($E450=0,0,IF(MIN(BL$38,$E450)&lt;MAX($P$34*($B450+$I$38-1),IF(AND($L$37=0,$P$34=0),"",$L$37-1)),0,YEARFRAC(MAX($P$34*($B450+$I$38-1),IF(AND($L$37=0,$P$34=0),"",$L$37-1)),MIN(BL$38,$E450),$P$20))-SUM($BF450:BK450))</f>
        <v>0</v>
      </c>
      <c r="BM450" s="446">
        <f>IF($E450=0,0,IF(MIN(BM$38,$E450)&lt;MAX($P$34*($B450+$I$38-1),IF(AND($L$37=0,$P$34=0),"",$L$37-1)),0,YEARFRAC(MAX($P$34*($B450+$I$38-1),IF(AND($L$37=0,$P$34=0),"",$L$37-1)),MIN(BM$38,$E450),$P$20))-SUM($BF450:BL450))</f>
        <v>0</v>
      </c>
      <c r="BN450" s="446">
        <f>IF($E450=0,0,IF(MIN(BN$38,$E450)&lt;MAX($P$34*($B450+$I$38-1),IF(AND($L$37=0,$P$34=0),"",$L$37-1)),0,YEARFRAC(MAX($P$34*($B450+$I$38-1),IF(AND($L$37=0,$P$34=0),"",$L$37-1)),MIN(BN$38,$E450),$P$20))-SUM($BF450:BM450))</f>
        <v>0</v>
      </c>
      <c r="BO450" s="446">
        <f>IF($E450=0,0,IF(MIN(BO$38,$E450)&lt;MAX($P$34*($B450+$I$38-1),IF(AND($L$37=0,$P$34=0),"",$L$37-1)),0,YEARFRAC(MAX($P$34*($B450+$I$38-1),IF(AND($L$37=0,$P$34=0),"",$L$37-1)),MIN(BO$38,$E450),$P$20))-SUM($BF450:BN450))</f>
        <v>0</v>
      </c>
      <c r="BP450" s="446">
        <f>IF($E450=0,0,IF(MIN(BP$38,$E450)&lt;MAX($P$34*($B450+$I$38-1),IF(AND($L$37=0,$P$34=0),"",$L$37-1)),0,YEARFRAC(MAX($P$34*($B450+$I$38-1),IF(AND($L$37=0,$P$34=0),"",$L$37-1)),MIN(BP$38,$E450),$P$20))-SUM($BF450:BO450))</f>
        <v>0</v>
      </c>
      <c r="BQ450" s="446">
        <f>IF($E450=0,0,IF(MIN(BQ$38,$E450)&lt;MAX($P$34*($B450+$I$38-1),IF(AND($L$37=0,$P$34=0),"",$L$37-1)),0,YEARFRAC(MAX($P$34*($B450+$I$38-1),IF(AND($L$37=0,$P$34=0),"",$L$37-1)),MIN(BQ$38,$E450),$P$20))-SUM($BF450:BP450))</f>
        <v>0</v>
      </c>
      <c r="BR450" s="446">
        <f>IF($E450=0,0,IF(MIN(BR$38,$E450)&lt;MAX($P$34*($B450+$I$38-1),IF(AND($L$37=0,$P$34=0),"",$L$37-1)),0,YEARFRAC(MAX($P$34*($B450+$I$38-1),IF(AND($L$37=0,$P$34=0),"",$L$37-1)),MIN(BR$38,$E450),$P$20))-SUM($BF450:BQ450))</f>
        <v>0</v>
      </c>
      <c r="BS450" s="446">
        <f>IF($E450=0,0,IF(MIN(BS$38,$E450)&lt;MAX($P$34*($B450+$I$38-1),IF(AND($L$37=0,$P$34=0),"",$L$37-1)),0,YEARFRAC(MAX($P$34*($B450+$I$38-1),IF(AND($L$37=0,$P$34=0),"",$L$37-1)),MIN(BS$38,$E450),$P$20))-SUM($BF450:BR450))</f>
        <v>0</v>
      </c>
      <c r="BT450" s="446">
        <f>IF($E450=0,0,IF(MIN(BT$38,$E450)&lt;MAX($P$34*($B450+$I$38-1),IF(AND($L$37=0,$P$34=0),"",$L$37-1)),0,YEARFRAC(MAX($P$34*($B450+$I$38-1),IF(AND($L$37=0,$P$34=0),"",$L$37-1)),MIN(BT$38,$E450),$P$20))-SUM($BF450:BS450))</f>
        <v>0</v>
      </c>
      <c r="BU450" s="446">
        <f>IF($E450=0,0,IF(MIN(BU$38,$E450)&lt;MAX($P$34*($B450+$I$38-1),IF(AND($L$37=0,$P$34=0),"",$L$37-1)),0,YEARFRAC(MAX($P$34*($B450+$I$38-1),IF(AND($L$37=0,$P$34=0),"",$L$37-1)),MIN(BU$38,$E450),$P$20))-SUM($BF450:BT450))</f>
        <v>0</v>
      </c>
      <c r="BV450" s="446">
        <f>IF($E450=0,0,IF(MIN(BV$38,$E450)&lt;MAX($P$34*($B450+$I$38-1),IF(AND($L$37=0,$P$34=0),"",$L$37-1)),0,YEARFRAC(MAX($P$34*($B450+$I$38-1),IF(AND($L$37=0,$P$34=0),"",$L$37-1)),MIN(BV$38,$E450),$P$20))-SUM($BF450:BU450))</f>
        <v>0</v>
      </c>
      <c r="BW450" s="446">
        <f>IF($E450=0,0,IF(MIN(BW$38,$E450)&lt;MAX($P$34*($B450+$I$38-1),IF(AND($L$37=0,$P$34=0),"",$L$37-1)),0,YEARFRAC(MAX($P$34*($B450+$I$38-1),IF(AND($L$37=0,$P$34=0),"",$L$37-1)),MIN(BW$38,$E450),$P$20))-SUM($BF450:BV450))</f>
        <v>0</v>
      </c>
      <c r="BX450" s="446">
        <f>IF($E450=0,0,IF(MIN(BX$38,$E450)&lt;MAX($P$34*($B450+$I$38-1),IF(AND($L$37=0,$P$34=0),"",$L$37-1)),0,YEARFRAC(MAX($P$34*($B450+$I$38-1),IF(AND($L$37=0,$P$34=0),"",$L$37-1)),MIN(BX$38,$E450),$P$20))-SUM($BF450:BW450))</f>
        <v>0</v>
      </c>
      <c r="BY450" s="446">
        <f>IF($E450=0,0,IF(MIN(BY$38,$E450)&lt;MAX($P$34*($B450+$I$38-1),IF(AND($L$37=0,$P$34=0),"",$L$37-1)),0,YEARFRAC(MAX($P$34*($B450+$I$38-1),IF(AND($L$37=0,$P$34=0),"",$L$37-1)),MIN(BY$38,$E450),$P$20))-SUM($BF450:BX450))</f>
        <v>0</v>
      </c>
      <c r="BZ450" s="446">
        <f>IF($E450=0,0,IF(MIN(BZ$38,$E450)&lt;MAX($P$34*($B450+$I$38-1),IF(AND($L$37=0,$P$34=0),"",$L$37-1)),0,YEARFRAC(MAX($P$34*($B450+$I$38-1),IF(AND($L$37=0,$P$34=0),"",$L$37-1)),MIN(BZ$38,$E450),$P$20))-SUM($BF450:BY450))</f>
        <v>0</v>
      </c>
      <c r="CA450" s="446">
        <f>IF($E450=0,0,IF(MIN(CA$38,$E450)&lt;MAX($P$34*($B450+$I$38-1),IF(AND($L$37=0,$P$34=0),"",$L$37-1)),0,YEARFRAC(MAX($P$34*($B450+$I$38-1),IF(AND($L$37=0,$P$34=0),"",$L$37-1)),MIN(CA$38,$E450),$P$20))-SUM($BF450:BZ450))</f>
        <v>0</v>
      </c>
      <c r="CB450" s="446">
        <f>IF($E450=0,0,IF(MIN(CB$38,$E450)&lt;MAX($P$34*($B450+$I$38-1),IF(AND($L$37=0,$P$34=0),"",$L$37-1)),0,YEARFRAC(MAX($P$34*($B450+$I$38-1),IF(AND($L$37=0,$P$34=0),"",$L$37-1)),MIN(CB$38,$E450),$P$20))-SUM($BF450:CA450))</f>
        <v>0</v>
      </c>
      <c r="CC450" s="446">
        <f>IF($E450=0,0,IF(MIN(CC$38,$E450)&lt;MAX($P$34*($B450+$I$38-1),IF(AND($L$37=0,$P$34=0),"",$L$37-1)),0,YEARFRAC(MAX($P$34*($B450+$I$38-1),IF(AND($L$37=0,$P$34=0),"",$L$37-1)),MIN(CC$38,$E450),$P$20))-SUM($BF450:CB450))</f>
        <v>0</v>
      </c>
      <c r="CD450" s="446">
        <f>IF($E450=0,0,IF(MIN(CD$38,$E450)&lt;MAX($P$34*($B450+$I$38-1),IF(AND($L$37=0,$P$34=0),"",$L$37-1)),0,YEARFRAC(MAX($P$34*($B450+$I$38-1),IF(AND($L$37=0,$P$34=0),"",$L$37-1)),MIN(CD$38,$E450),$P$20))-SUM($BF450:CC450))</f>
        <v>0</v>
      </c>
      <c r="CE450" s="446">
        <f>IF($E450=0,0,IF(MIN(CE$38,$E450)&lt;MAX($P$34*($B450+$I$38-1),IF(AND($L$37=0,$P$34=0),"",$L$37-1)),0,YEARFRAC(MAX($P$34*($B450+$I$38-1),IF(AND($L$37=0,$P$34=0),"",$L$37-1)),MIN(CE$38,$E450),$P$20))-SUM($BF450:CD450))</f>
        <v>0</v>
      </c>
      <c r="CF450" s="446">
        <f>IF($E450=0,0,IF(MIN(CF$38,$E450)&lt;MAX($P$34*($B450+$I$38-1),IF(AND($L$37=0,$P$34=0),"",$L$37-1)),0,YEARFRAC(MAX($P$34*($B450+$I$38-1),IF(AND($L$37=0,$P$34=0),"",$L$37-1)),MIN(CF$38,$E450),$P$20))-SUM($BF450:CE450))</f>
        <v>0</v>
      </c>
      <c r="CG450" s="446">
        <f>IF($E450=0,0,IF(MIN(CG$38,$E450)&lt;MAX($P$34*($B450+$I$38-1),IF(AND($L$37=0,$P$34=0),"",$L$37-1)),0,YEARFRAC(MAX($P$34*($B450+$I$38-1),IF(AND($L$37=0,$P$34=0),"",$L$37-1)),MIN(CG$38,$E450),$P$20))-SUM($BF450:CF450))</f>
        <v>0</v>
      </c>
      <c r="CH450" s="446">
        <f>IF($E450=0,0,IF(MIN(CH$38,$E450)&lt;MAX($P$34*($B450+$I$38-1),IF(AND($L$37=0,$P$34=0),"",$L$37-1)),0,YEARFRAC(MAX($P$34*($B450+$I$38-1),IF(AND($L$37=0,$P$34=0),"",$L$37-1)),MIN(CH$38,$E450),$P$20))-SUM($BF450:CG450))</f>
        <v>0</v>
      </c>
      <c r="CI450" s="446">
        <f>IF($E450=0,0,IF(MIN(CI$38,$E450)&lt;MAX($P$34*($B450+$I$38-1),IF(AND($L$37=0,$P$34=0),"",$L$37-1)),0,YEARFRAC(MAX($P$34*($B450+$I$38-1),IF(AND($L$37=0,$P$34=0),"",$L$37-1)),MIN(CI$38,$E450),$P$20))-SUM($BF450:CH450))</f>
        <v>0</v>
      </c>
      <c r="CJ450" s="446">
        <f>IF($E450=0,0,IF(MIN(CJ$38,$E450)&lt;MAX($P$34*($B450+$I$38-1),IF(AND($L$37=0,$P$34=0),"",$L$37-1)),0,YEARFRAC(MAX($P$34*($B450+$I$38-1),IF(AND($L$37=0,$P$34=0),"",$L$37-1)),MIN(CJ$38,$E450),$P$20))-SUM($BF450:CI450))</f>
        <v>0</v>
      </c>
      <c r="CK450" s="446">
        <f>IF($E450=0,0,IF(MIN(CK$38,$E450)&lt;MAX($P$34*($B450+$I$38-1),IF(AND($L$37=0,$P$34=0),"",$L$37-1)),0,YEARFRAC(MAX($P$34*($B450+$I$38-1),IF(AND($L$37=0,$P$34=0),"",$L$37-1)),MIN(CK$38,$E450),$P$20))-SUM($BF450:CJ450))</f>
        <v>0</v>
      </c>
      <c r="CL450" s="446">
        <f>IF($E450=0,0,IF(MIN(CL$38,$E450)&lt;MAX($P$34*($B450+$I$38-1),IF(AND($L$37=0,$P$34=0),"",$L$37-1)),0,YEARFRAC(MAX($P$34*($B450+$I$38-1),IF(AND($L$37=0,$P$34=0),"",$L$37-1)),MIN(CL$38,$E450),$P$20))-SUM($BF450:CK450))</f>
        <v>0</v>
      </c>
      <c r="CM450" s="446">
        <f>IF($E450=0,0,IF(MIN(CM$38,$E450)&lt;MAX($P$34*($B450+$I$38-1),IF(AND($L$37=0,$P$34=0),"",$L$37-1)),0,YEARFRAC(MAX($P$34*($B450+$I$38-1),IF(AND($L$37=0,$P$34=0),"",$L$37-1)),MIN(CM$38,$E450),$P$20))-SUM($BF450:CL450))</f>
        <v>0</v>
      </c>
      <c r="CN450" s="446">
        <f>IF($E450=0,0,IF(MIN(CN$38,$E450)&lt;MAX($P$34*($B450+$I$38-1),IF(AND($L$37=0,$P$34=0),"",$L$37-1)),0,YEARFRAC(MAX($P$34*($B450+$I$38-1),IF(AND($L$37=0,$P$34=0),"",$L$37-1)),MIN(CN$38,$E450),$P$20))-SUM($BF450:CM450))</f>
        <v>0</v>
      </c>
      <c r="CO450" s="446">
        <f>IF($E450=0,0,IF(MIN(CO$38,$E450)&lt;MAX($P$34*($B450+$I$38-1),IF(AND($L$37=0,$P$34=0),"",$L$37-1)),0,YEARFRAC(MAX($P$34*($B450+$I$38-1),IF(AND($L$37=0,$P$34=0),"",$L$37-1)),MIN(CO$38,$E450),$P$20))-SUM($BF450:CN450))</f>
        <v>0</v>
      </c>
      <c r="CP450" s="446">
        <f>IF($E450=0,0,IF(MIN(CP$38,$E450)&lt;MAX($P$34*($B450+$I$38-1),IF(AND($L$37=0,$P$34=0),"",$L$37-1)),0,YEARFRAC(MAX($P$34*($B450+$I$38-1),IF(AND($L$37=0,$P$34=0),"",$L$37-1)),MIN(CP$38,$E450),$P$20))-SUM($BF450:CO450))</f>
        <v>0</v>
      </c>
      <c r="CQ450" s="446">
        <f>IF($E450=0,0,IF(MIN(CQ$38,$E450)&lt;MAX($P$34*($B450+$I$38-1),IF(AND($L$37=0,$P$34=0),"",$L$37-1)),0,YEARFRAC(MAX($P$34*($B450+$I$38-1),IF(AND($L$37=0,$P$34=0),"",$L$37-1)),MIN(CQ$38,$E450),$P$20))-SUM($BF450:CP450))</f>
        <v>0</v>
      </c>
    </row>
    <row r="451" spans="1:95" s="446" customFormat="1" ht="11.25" hidden="1" customHeight="1" x14ac:dyDescent="0.2">
      <c r="A451" s="152"/>
      <c r="B451" s="153" t="str">
        <f t="shared" si="81"/>
        <v/>
      </c>
      <c r="C451" s="29" t="str">
        <f>IF(B451="","",IF($L$35="SELIC - TRIBUTOS",VLOOKUP(DATE(YEAR($D$19),MONTH($D$19)-1,1),ÍNDICES!$A:$DE,HLOOKUP($BL$25,ÍNDICES!$B$3:$T$4,2)+11)-VLOOKUP(B451,ÍNDICES!$A:$DE,HLOOKUP($BL$25,ÍNDICES!$B$3:$T$4,2)+11)+1%,IF(C$38=$W$26,$J$35,IF(ISERROR(IF(B451&gt;$D$19,1,VLOOKUP(DATE(YEAR(B451),MONTH(B451)+IF($C$35=$S$23,1,0),1),ÍNDICES!$A:$DE,$Z$35+1))),"",IF(B451&gt;$D$19,1,VLOOKUP(DATE(YEAR(B451),MONTH(B451)+IF($C$35=$S$23,1,0),1),ÍNDICES!$A:$DE,$Z$35+1))))))</f>
        <v/>
      </c>
      <c r="D451" s="154" t="str">
        <f>IF(ISERROR(IF(OR($D$38=$Y$27,$B451=""),"",VLOOKUP(B451,ÍNDICES!A:DE,AF$35+1))),"",IF(OR($D$38=$Y$27,$B451=""),"",VLOOKUP(B451,ÍNDICES!A:DE,AF$35+1)))</f>
        <v/>
      </c>
      <c r="E451" s="153"/>
      <c r="F451" s="29" t="str">
        <f>IF(E451="","",IF($L$35="SELIC - TRIBUTOS",VLOOKUP(DATE(YEAR($D$19),MONTH($D$19)-1,1),ÍNDICES!$A:$DE,HLOOKUP($BL$25,ÍNDICES!$B$3:$T$4,2)+11)-VLOOKUP(E451,ÍNDICES!$A:$DE,HLOOKUP($BL$25,ÍNDICES!$B$3:$T$4,2)+11)+1%,IF(F$38=$W$26,$J$35,IF(ISERROR(IF(E451&gt;$D$19,1,VLOOKUP(DATE(YEAR(E451),MONTH(E451)+IF($C$35=$S$23,1,0),1),ÍNDICES!$A:$DE,$Z$35+1))),"",IF(E451&gt;$D$19,1,VLOOKUP(DATE(YEAR(E451),MONTH(E451)+IF($C$35=$S$23,1,0),1),ÍNDICES!$A:$DE,$Z$35+1))))))</f>
        <v/>
      </c>
      <c r="G451" s="155"/>
      <c r="H451" s="156" t="str">
        <f t="shared" si="77"/>
        <v/>
      </c>
      <c r="I451" s="29" t="str">
        <f t="shared" si="71"/>
        <v/>
      </c>
      <c r="J451" s="5">
        <f t="shared" si="72"/>
        <v>0</v>
      </c>
      <c r="K451" s="20">
        <f t="shared" ca="1" si="73"/>
        <v>0</v>
      </c>
      <c r="L451" s="5">
        <f t="shared" ca="1" si="74"/>
        <v>0</v>
      </c>
      <c r="M451" s="64">
        <f t="shared" si="78"/>
        <v>0</v>
      </c>
      <c r="N451" s="61">
        <f t="shared" ca="1" si="79"/>
        <v>0</v>
      </c>
      <c r="O451" s="5">
        <f t="shared" ca="1" si="80"/>
        <v>0</v>
      </c>
      <c r="P451" s="446" t="e">
        <f t="shared" si="75"/>
        <v>#VALUE!</v>
      </c>
      <c r="Q451" s="446" t="e">
        <f>IF(OR($B451="",MIN(Q$38,$D$19)&lt;MAX($P$34*($B451+IF($R$17="Distrato",$I$38-1,0)),IF(AND($L$37=0,$P$34=0),"",$L$37-1),IF($R$17="Distrato",$E451,0))),0,YEARFRAC(MAX($P$34*($B451+IF($R$17="Distrato",$I$38-1,0)),IF(AND($L$37=0,$P$34=0),"",$L$37-1),IF($R$17="Distrato",$E451,0)),MIN(Q$38,$D$19),$P$20))-SUM($P451:P451)</f>
        <v>#VALUE!</v>
      </c>
      <c r="R451" s="446" t="e">
        <f>IF(OR($B451="",MIN(R$38,$D$19)&lt;MAX($P$34*($B451+IF($R$17="Distrato",$I$38-1,0)),IF(AND($L$37=0,$P$34=0),"",$L$37-1),IF($R$17="Distrato",$E451,0))),0,YEARFRAC(MAX($P$34*($B451+IF($R$17="Distrato",$I$38-1,0)),IF(AND($L$37=0,$P$34=0),"",$L$37-1),IF($R$17="Distrato",$E451,0)),MIN(R$38,$D$19),$P$20))-SUM($P451:Q451)</f>
        <v>#VALUE!</v>
      </c>
      <c r="S451" s="446" t="e">
        <f>IF(OR($B451="",MIN(S$38,$D$19)&lt;MAX($P$34*($B451+IF($R$17="Distrato",$I$38-1,0)),IF(AND($L$37=0,$P$34=0),"",$L$37-1),IF($R$17="Distrato",$E451,0))),0,YEARFRAC(MAX($P$34*($B451+IF($R$17="Distrato",$I$38-1,0)),IF(AND($L$37=0,$P$34=0),"",$L$37-1),IF($R$17="Distrato",$E451,0)),MIN(S$38,$D$19),$P$20))-SUM($P451:R451)</f>
        <v>#VALUE!</v>
      </c>
      <c r="T451" s="446" t="e">
        <f>IF(OR($B451="",MIN(T$38,$D$19)&lt;MAX($P$34*($B451+IF($R$17="Distrato",$I$38-1,0)),IF(AND($L$37=0,$P$34=0),"",$L$37-1),IF($R$17="Distrato",$E451,0))),0,YEARFRAC(MAX($P$34*($B451+IF($R$17="Distrato",$I$38-1,0)),IF(AND($L$37=0,$P$34=0),"",$L$37-1),IF($R$17="Distrato",$E451,0)),MIN(T$38,$D$19),$P$20))-SUM($P451:S451)</f>
        <v>#VALUE!</v>
      </c>
      <c r="U451" s="446" t="e">
        <f>IF(OR($B451="",MIN(U$38,$D$19)&lt;MAX($P$34*($B451+IF($R$17="Distrato",$I$38-1,0)),IF(AND($L$37=0,$P$34=0),"",$L$37-1),IF($R$17="Distrato",$E451,0))),0,YEARFRAC(MAX($P$34*($B451+IF($R$17="Distrato",$I$38-1,0)),IF(AND($L$37=0,$P$34=0),"",$L$37-1),IF($R$17="Distrato",$E451,0)),MIN(U$38,$D$19),$P$20))-SUM($P451:T451)</f>
        <v>#VALUE!</v>
      </c>
      <c r="V451" s="446" t="e">
        <f>IF(OR($B451="",MIN(V$38,$D$19)&lt;MAX($P$34*($B451+IF($R$17="Distrato",$I$38-1,0)),IF(AND($L$37=0,$P$34=0),"",$L$37-1),IF($R$17="Distrato",$E451,0))),0,YEARFRAC(MAX($P$34*($B451+IF($R$17="Distrato",$I$38-1,0)),IF(AND($L$37=0,$P$34=0),"",$L$37-1),IF($R$17="Distrato",$E451,0)),MIN(V$38,$D$19),$P$20))-SUM($P451:U451)</f>
        <v>#VALUE!</v>
      </c>
      <c r="W451" s="446" t="e">
        <f>IF(OR($B451="",MIN(W$38,$D$19)&lt;MAX($P$34*($B451+IF($R$17="Distrato",$I$38-1,0)),IF(AND($L$37=0,$P$34=0),"",$L$37-1),IF($R$17="Distrato",$E451,0))),0,YEARFRAC(MAX($P$34*($B451+IF($R$17="Distrato",$I$38-1,0)),IF(AND($L$37=0,$P$34=0),"",$L$37-1),IF($R$17="Distrato",$E451,0)),MIN(W$38,$D$19),$P$20))-SUM($P451:V451)</f>
        <v>#VALUE!</v>
      </c>
      <c r="X451" s="446" t="e">
        <f>IF(OR($B451="",MIN(X$38,$D$19)&lt;MAX($P$34*($B451+IF($R$17="Distrato",$I$38-1,0)),IF(AND($L$37=0,$P$34=0),"",$L$37-1),IF($R$17="Distrato",$E451,0))),0,YEARFRAC(MAX($P$34*($B451+IF($R$17="Distrato",$I$38-1,0)),IF(AND($L$37=0,$P$34=0),"",$L$37-1),IF($R$17="Distrato",$E451,0)),MIN(X$38,$D$19),$P$20))-SUM($P451:W451)</f>
        <v>#VALUE!</v>
      </c>
      <c r="Y451" s="446" t="e">
        <f>IF(OR($B451="",MIN(Y$38,$D$19)&lt;MAX($P$34*($B451+IF($R$17="Distrato",$I$38-1,0)),IF(AND($L$37=0,$P$34=0),"",$L$37-1),IF($R$17="Distrato",$E451,0))),0,YEARFRAC(MAX($P$34*($B451+IF($R$17="Distrato",$I$38-1,0)),IF(AND($L$37=0,$P$34=0),"",$L$37-1),IF($R$17="Distrato",$E451,0)),MIN(Y$38,$D$19),$P$20))-SUM($P451:X451)</f>
        <v>#VALUE!</v>
      </c>
      <c r="Z451" s="446" t="e">
        <f>IF(OR($B451="",MIN(Z$38,$D$19)&lt;MAX($P$34*($B451+IF($R$17="Distrato",$I$38-1,0)),IF(AND($L$37=0,$P$34=0),"",$L$37-1),IF($R$17="Distrato",$E451,0))),0,YEARFRAC(MAX($P$34*($B451+IF($R$17="Distrato",$I$38-1,0)),IF(AND($L$37=0,$P$34=0),"",$L$37-1),IF($R$17="Distrato",$E451,0)),MIN(Z$38,$D$19),$P$20))-SUM($P451:Y451)</f>
        <v>#VALUE!</v>
      </c>
      <c r="AA451" s="446" t="e">
        <f>IF(OR($B451="",MIN(AA$38,$D$19)&lt;MAX($P$34*($B451+IF($R$17="Distrato",$I$38-1,0)),IF(AND($L$37=0,$P$34=0),"",$L$37-1),IF($R$17="Distrato",$E451,0))),0,YEARFRAC(MAX($P$34*($B451+IF($R$17="Distrato",$I$38-1,0)),IF(AND($L$37=0,$P$34=0),"",$L$37-1),IF($R$17="Distrato",$E451,0)),MIN(AA$38,$D$19),$P$20))-SUM($P451:Z451)</f>
        <v>#VALUE!</v>
      </c>
      <c r="AB451" s="446" t="e">
        <f>IF(OR($B451="",MIN(AB$38,$D$19)&lt;MAX($P$34*($B451+IF($R$17="Distrato",$I$38-1,0)),IF(AND($L$37=0,$P$34=0),"",$L$37-1),IF($R$17="Distrato",$E451,0))),0,YEARFRAC(MAX($P$34*($B451+IF($R$17="Distrato",$I$38-1,0)),IF(AND($L$37=0,$P$34=0),"",$L$37-1),IF($R$17="Distrato",$E451,0)),MIN(AB$38,$D$19),$P$20))-SUM($P451:AA451)</f>
        <v>#VALUE!</v>
      </c>
      <c r="AC451" s="446" t="e">
        <f>IF(OR($B451="",MIN(AC$38,$D$19)&lt;MAX($P$34*($B451+IF($R$17="Distrato",$I$38-1,0)),IF(AND($L$37=0,$P$34=0),"",$L$37-1),IF($R$17="Distrato",$E451,0))),0,YEARFRAC(MAX($P$34*($B451+IF($R$17="Distrato",$I$38-1,0)),IF(AND($L$37=0,$P$34=0),"",$L$37-1),IF($R$17="Distrato",$E451,0)),MIN(AC$38,$D$19),$P$20))-SUM($P451:AB451)</f>
        <v>#VALUE!</v>
      </c>
      <c r="AD451" s="446" t="e">
        <f>IF(OR($B451="",MIN(AD$38,$D$19)&lt;MAX($P$34*($B451+IF($R$17="Distrato",$I$38-1,0)),IF(AND($L$37=0,$P$34=0),"",$L$37-1),IF($R$17="Distrato",$E451,0))),0,YEARFRAC(MAX($P$34*($B451+IF($R$17="Distrato",$I$38-1,0)),IF(AND($L$37=0,$P$34=0),"",$L$37-1),IF($R$17="Distrato",$E451,0)),MIN(AD$38,$D$19),$P$20))-SUM($P451:AC451)</f>
        <v>#VALUE!</v>
      </c>
      <c r="AE451" s="446" t="e">
        <f>IF(OR($B451="",MIN(AE$38,$D$19)&lt;MAX($P$34*($B451+IF($R$17="Distrato",$I$38-1,0)),IF(AND($L$37=0,$P$34=0),"",$L$37-1),IF($R$17="Distrato",$E451,0))),0,YEARFRAC(MAX($P$34*($B451+IF($R$17="Distrato",$I$38-1,0)),IF(AND($L$37=0,$P$34=0),"",$L$37-1),IF($R$17="Distrato",$E451,0)),MIN(AE$38,$D$19),$P$20))-SUM($P451:AD451)</f>
        <v>#VALUE!</v>
      </c>
      <c r="AF451" s="446" t="e">
        <f>IF(OR($B451="",MIN(AF$38,$D$19)&lt;MAX($P$34*($B451+IF($R$17="Distrato",$I$38-1,0)),IF(AND($L$37=0,$P$34=0),"",$L$37-1),IF($R$17="Distrato",$E451,0))),0,YEARFRAC(MAX($P$34*($B451+IF($R$17="Distrato",$I$38-1,0)),IF(AND($L$37=0,$P$34=0),"",$L$37-1),IF($R$17="Distrato",$E451,0)),MIN(AF$38,$D$19),$P$20))-SUM($P451:AE451)</f>
        <v>#VALUE!</v>
      </c>
      <c r="AG451" s="446" t="e">
        <f>IF(OR($B451="",MIN(AG$38,$D$19)&lt;MAX($P$34*($B451+IF($R$17="Distrato",$I$38-1,0)),IF(AND($L$37=0,$P$34=0),"",$L$37-1),IF($R$17="Distrato",$E451,0))),0,YEARFRAC(MAX($P$34*($B451+IF($R$17="Distrato",$I$38-1,0)),IF(AND($L$37=0,$P$34=0),"",$L$37-1),IF($R$17="Distrato",$E451,0)),MIN(AG$38,$D$19),$P$20))-SUM($P451:AF451)</f>
        <v>#VALUE!</v>
      </c>
      <c r="AH451" s="446" t="e">
        <f>IF(OR($B451="",MIN(AH$38,$D$19)&lt;MAX($P$34*($B451+IF($R$17="Distrato",$I$38-1,0)),IF(AND($L$37=0,$P$34=0),"",$L$37-1),IF($R$17="Distrato",$E451,0))),0,YEARFRAC(MAX($P$34*($B451+IF($R$17="Distrato",$I$38-1,0)),IF(AND($L$37=0,$P$34=0),"",$L$37-1),IF($R$17="Distrato",$E451,0)),MIN(AH$38,$D$19),$P$20))-SUM($P451:AG451)</f>
        <v>#VALUE!</v>
      </c>
      <c r="AI451" s="446" t="e">
        <f>IF(OR($B451="",MIN(AI$38,$D$19)&lt;MAX($P$34*($B451+IF($R$17="Distrato",$I$38-1,0)),IF(AND($L$37=0,$P$34=0),"",$L$37-1),IF($R$17="Distrato",$E451,0))),0,YEARFRAC(MAX($P$34*($B451+IF($R$17="Distrato",$I$38-1,0)),IF(AND($L$37=0,$P$34=0),"",$L$37-1),IF($R$17="Distrato",$E451,0)),MIN(AI$38,$D$19),$P$20))-SUM($P451:AH451)</f>
        <v>#VALUE!</v>
      </c>
      <c r="AJ451" s="446" t="e">
        <f>IF(OR($B451="",MIN(AJ$38,$D$19)&lt;MAX($P$34*($B451+IF($R$17="Distrato",$I$38-1,0)),IF(AND($L$37=0,$P$34=0),"",$L$37-1),IF($R$17="Distrato",$E451,0))),0,YEARFRAC(MAX($P$34*($B451+IF($R$17="Distrato",$I$38-1,0)),IF(AND($L$37=0,$P$34=0),"",$L$37-1),IF($R$17="Distrato",$E451,0)),MIN(AJ$38,$D$19),$P$20))-SUM($P451:AI451)</f>
        <v>#VALUE!</v>
      </c>
      <c r="AK451" s="446" t="e">
        <f>IF(OR($B451="",MIN(AK$38,$D$19)&lt;MAX($P$34*($B451+IF($R$17="Distrato",$I$38-1,0)),IF(AND($L$37=0,$P$34=0),"",$L$37-1),IF($R$17="Distrato",$E451,0))),0,YEARFRAC(MAX($P$34*($B451+IF($R$17="Distrato",$I$38-1,0)),IF(AND($L$37=0,$P$34=0),"",$L$37-1),IF($R$17="Distrato",$E451,0)),MIN(AK$38,$D$19),$P$20))-SUM($P451:AJ451)</f>
        <v>#VALUE!</v>
      </c>
      <c r="AL451" s="446" t="e">
        <f>IF(OR($B451="",MIN(AL$38,$D$19)&lt;MAX($P$34*($B451+IF($R$17="Distrato",$I$38-1,0)),IF(AND($L$37=0,$P$34=0),"",$L$37-1),IF($R$17="Distrato",$E451,0))),0,YEARFRAC(MAX($P$34*($B451+IF($R$17="Distrato",$I$38-1,0)),IF(AND($L$37=0,$P$34=0),"",$L$37-1),IF($R$17="Distrato",$E451,0)),MIN(AL$38,$D$19),$P$20))-SUM($P451:AK451)</f>
        <v>#VALUE!</v>
      </c>
      <c r="AM451" s="446" t="e">
        <f>IF(OR($B451="",MIN(AM$38,$D$19)&lt;MAX($P$34*($B451+IF($R$17="Distrato",$I$38-1,0)),IF(AND($L$37=0,$P$34=0),"",$L$37-1),IF($R$17="Distrato",$E451,0))),0,YEARFRAC(MAX($P$34*($B451+IF($R$17="Distrato",$I$38-1,0)),IF(AND($L$37=0,$P$34=0),"",$L$37-1),IF($R$17="Distrato",$E451,0)),MIN(AM$38,$D$19),$P$20))-SUM($P451:AL451)</f>
        <v>#VALUE!</v>
      </c>
      <c r="AN451" s="446" t="e">
        <f>IF(OR($B451="",MIN(AN$38,$D$19)&lt;MAX($P$34*($B451+IF($R$17="Distrato",$I$38-1,0)),IF(AND($L$37=0,$P$34=0),"",$L$37-1),IF($R$17="Distrato",$E451,0))),0,YEARFRAC(MAX($P$34*($B451+IF($R$17="Distrato",$I$38-1,0)),IF(AND($L$37=0,$P$34=0),"",$L$37-1),IF($R$17="Distrato",$E451,0)),MIN(AN$38,$D$19),$P$20))-SUM($P451:AM451)</f>
        <v>#VALUE!</v>
      </c>
      <c r="AO451" s="446" t="e">
        <f>IF(OR($B451="",MIN(AO$38,$D$19)&lt;MAX($P$34*($B451+IF($R$17="Distrato",$I$38-1,0)),IF(AND($L$37=0,$P$34=0),"",$L$37-1),IF($R$17="Distrato",$E451,0))),0,YEARFRAC(MAX($P$34*($B451+IF($R$17="Distrato",$I$38-1,0)),IF(AND($L$37=0,$P$34=0),"",$L$37-1),IF($R$17="Distrato",$E451,0)),MIN(AO$38,$D$19),$P$20))-SUM($P451:AN451)</f>
        <v>#VALUE!</v>
      </c>
      <c r="AP451" s="446" t="e">
        <f>IF(OR($B451="",MIN(AP$38,$D$19)&lt;MAX($P$34*($B451+IF($R$17="Distrato",$I$38-1,0)),IF(AND($L$37=0,$P$34=0),"",$L$37-1),IF($R$17="Distrato",$E451,0))),0,YEARFRAC(MAX($P$34*($B451+IF($R$17="Distrato",$I$38-1,0)),IF(AND($L$37=0,$P$34=0),"",$L$37-1),IF($R$17="Distrato",$E451,0)),MIN(AP$38,$D$19),$P$20))-SUM($P451:AO451)</f>
        <v>#VALUE!</v>
      </c>
      <c r="AQ451" s="446" t="e">
        <f>IF(OR($B451="",MIN(AQ$38,$D$19)&lt;MAX($P$34*($B451+IF($R$17="Distrato",$I$38-1,0)),IF(AND($L$37=0,$P$34=0),"",$L$37-1),IF($R$17="Distrato",$E451,0))),0,YEARFRAC(MAX($P$34*($B451+IF($R$17="Distrato",$I$38-1,0)),IF(AND($L$37=0,$P$34=0),"",$L$37-1),IF($R$17="Distrato",$E451,0)),MIN(AQ$38,$D$19),$P$20))-SUM($P451:AP451)</f>
        <v>#VALUE!</v>
      </c>
      <c r="AR451" s="446" t="e">
        <f>IF(OR($B451="",MIN(AR$38,$D$19)&lt;MAX($P$34*($B451+IF($R$17="Distrato",$I$38-1,0)),IF(AND($L$37=0,$P$34=0),"",$L$37-1),IF($R$17="Distrato",$E451,0))),0,YEARFRAC(MAX($P$34*($B451+IF($R$17="Distrato",$I$38-1,0)),IF(AND($L$37=0,$P$34=0),"",$L$37-1),IF($R$17="Distrato",$E451,0)),MIN(AR$38,$D$19),$P$20))-SUM($P451:AQ451)</f>
        <v>#VALUE!</v>
      </c>
      <c r="AS451" s="446" t="e">
        <f>IF(OR($B451="",MIN(AS$38,$D$19)&lt;MAX($P$34*($B451+IF($R$17="Distrato",$I$38-1,0)),IF(AND($L$37=0,$P$34=0),"",$L$37-1),IF($R$17="Distrato",$E451,0))),0,YEARFRAC(MAX($P$34*($B451+IF($R$17="Distrato",$I$38-1,0)),IF(AND($L$37=0,$P$34=0),"",$L$37-1),IF($R$17="Distrato",$E451,0)),MIN(AS$38,$D$19),$P$20))-SUM($P451:AR451)</f>
        <v>#VALUE!</v>
      </c>
      <c r="AT451" s="446" t="e">
        <f>IF(OR($B451="",MIN(AT$38,$D$19)&lt;MAX($P$34*($B451+IF($R$17="Distrato",$I$38-1,0)),IF(AND($L$37=0,$P$34=0),"",$L$37-1),IF($R$17="Distrato",$E451,0))),0,YEARFRAC(MAX($P$34*($B451+IF($R$17="Distrato",$I$38-1,0)),IF(AND($L$37=0,$P$34=0),"",$L$37-1),IF($R$17="Distrato",$E451,0)),MIN(AT$38,$D$19),$P$20))-SUM($P451:AS451)</f>
        <v>#VALUE!</v>
      </c>
      <c r="AU451" s="446" t="e">
        <f>IF(OR($B451="",MIN(AU$38,$D$19)&lt;MAX($P$34*($B451+IF($R$17="Distrato",$I$38-1,0)),IF(AND($L$37=0,$P$34=0),"",$L$37-1),IF($R$17="Distrato",$E451,0))),0,YEARFRAC(MAX($P$34*($B451+IF($R$17="Distrato",$I$38-1,0)),IF(AND($L$37=0,$P$34=0),"",$L$37-1),IF($R$17="Distrato",$E451,0)),MIN(AU$38,$D$19),$P$20))-SUM($P451:AT451)</f>
        <v>#VALUE!</v>
      </c>
      <c r="AV451" s="446" t="e">
        <f>IF(OR($B451="",MIN(AV$38,$D$19)&lt;MAX($P$34*($B451+IF($R$17="Distrato",$I$38-1,0)),IF(AND($L$37=0,$P$34=0),"",$L$37-1),IF($R$17="Distrato",$E451,0))),0,YEARFRAC(MAX($P$34*($B451+IF($R$17="Distrato",$I$38-1,0)),IF(AND($L$37=0,$P$34=0),"",$L$37-1),IF($R$17="Distrato",$E451,0)),MIN(AV$38,$D$19),$P$20))-SUM($P451:AU451)</f>
        <v>#VALUE!</v>
      </c>
      <c r="AW451" s="446" t="e">
        <f>IF(OR($B451="",MIN(AW$38,$D$19)&lt;MAX($P$34*($B451+IF($R$17="Distrato",$I$38-1,0)),IF(AND($L$37=0,$P$34=0),"",$L$37-1),IF($R$17="Distrato",$E451,0))),0,YEARFRAC(MAX($P$34*($B451+IF($R$17="Distrato",$I$38-1,0)),IF(AND($L$37=0,$P$34=0),"",$L$37-1),IF($R$17="Distrato",$E451,0)),MIN(AW$38,$D$19),$P$20))-SUM($P451:AV451)</f>
        <v>#VALUE!</v>
      </c>
      <c r="AX451" s="446" t="e">
        <f>IF(OR($B451="",MIN(AX$38,$D$19)&lt;MAX($P$34*($B451+IF($R$17="Distrato",$I$38-1,0)),IF(AND($L$37=0,$P$34=0),"",$L$37-1),IF($R$17="Distrato",$E451,0))),0,YEARFRAC(MAX($P$34*($B451+IF($R$17="Distrato",$I$38-1,0)),IF(AND($L$37=0,$P$34=0),"",$L$37-1),IF($R$17="Distrato",$E451,0)),MIN(AX$38,$D$19),$P$20))-SUM($P451:AW451)</f>
        <v>#VALUE!</v>
      </c>
      <c r="AY451" s="446" t="e">
        <f>IF(OR($B451="",MIN(AY$38,$D$19)&lt;MAX($P$34*($B451+IF($R$17="Distrato",$I$38-1,0)),IF(AND($L$37=0,$P$34=0),"",$L$37-1),IF($R$17="Distrato",$E451,0))),0,YEARFRAC(MAX($P$34*($B451+IF($R$17="Distrato",$I$38-1,0)),IF(AND($L$37=0,$P$34=0),"",$L$37-1),IF($R$17="Distrato",$E451,0)),MIN(AY$38,$D$19),$P$20))-SUM($P451:AX451)</f>
        <v>#VALUE!</v>
      </c>
      <c r="AZ451" s="446" t="e">
        <f>IF(OR($B451="",MIN(AZ$38,$D$19)&lt;MAX($P$34*($B451+IF($R$17="Distrato",$I$38-1,0)),IF(AND($L$37=0,$P$34=0),"",$L$37-1),IF($R$17="Distrato",$E451,0))),0,YEARFRAC(MAX($P$34*($B451+IF($R$17="Distrato",$I$38-1,0)),IF(AND($L$37=0,$P$34=0),"",$L$37-1),IF($R$17="Distrato",$E451,0)),MIN(AZ$38,$D$19),$P$20))-SUM($P451:AY451)</f>
        <v>#VALUE!</v>
      </c>
      <c r="BA451" s="446" t="e">
        <f>IF(OR($B451="",MIN(BA$38,$D$19)&lt;MAX($P$34*($B451+IF($R$17="Distrato",$I$38-1,0)),IF(AND($L$37=0,$P$34=0),"",$L$37-1),IF($R$17="Distrato",$E451,0))),0,YEARFRAC(MAX($P$34*($B451+IF($R$17="Distrato",$I$38-1,0)),IF(AND($L$37=0,$P$34=0),"",$L$37-1),IF($R$17="Distrato",$E451,0)),MIN(BA$38,$D$19),$P$20))-SUM($P451:AZ451)</f>
        <v>#VALUE!</v>
      </c>
      <c r="BB451" s="447"/>
      <c r="BF451" s="446">
        <f t="shared" si="76"/>
        <v>0</v>
      </c>
      <c r="BG451" s="446">
        <f>IF($E451=0,0,IF(MIN(BG$38,$E451)&lt;MAX($P$34*($B451+$I$38-1),IF(AND($L$37=0,$P$34=0),"",$L$37-1)),0,YEARFRAC(MAX($P$34*($B451+$I$38-1),IF(AND($L$37=0,$P$34=0),"",$L$37-1)),MIN(BG$38,$E451),$P$20))-SUM($BF451:BF451))</f>
        <v>0</v>
      </c>
      <c r="BH451" s="446">
        <f>IF($E451=0,0,IF(MIN(BH$38,$E451)&lt;MAX($P$34*($B451+$I$38-1),IF(AND($L$37=0,$P$34=0),"",$L$37-1)),0,YEARFRAC(MAX($P$34*($B451+$I$38-1),IF(AND($L$37=0,$P$34=0),"",$L$37-1)),MIN(BH$38,$E451),$P$20))-SUM($BF451:BG451))</f>
        <v>0</v>
      </c>
      <c r="BI451" s="446">
        <f>IF($E451=0,0,IF(MIN(BI$38,$E451)&lt;MAX($P$34*($B451+$I$38-1),IF(AND($L$37=0,$P$34=0),"",$L$37-1)),0,YEARFRAC(MAX($P$34*($B451+$I$38-1),IF(AND($L$37=0,$P$34=0),"",$L$37-1)),MIN(BI$38,$E451),$P$20))-SUM($BF451:BH451))</f>
        <v>0</v>
      </c>
      <c r="BJ451" s="446">
        <f>IF($E451=0,0,IF(MIN(BJ$38,$E451)&lt;MAX($P$34*($B451+$I$38-1),IF(AND($L$37=0,$P$34=0),"",$L$37-1)),0,YEARFRAC(MAX($P$34*($B451+$I$38-1),IF(AND($L$37=0,$P$34=0),"",$L$37-1)),MIN(BJ$38,$E451),$P$20))-SUM($BF451:BI451))</f>
        <v>0</v>
      </c>
      <c r="BK451" s="446">
        <f>IF($E451=0,0,IF(MIN(BK$38,$E451)&lt;MAX($P$34*($B451+$I$38-1),IF(AND($L$37=0,$P$34=0),"",$L$37-1)),0,YEARFRAC(MAX($P$34*($B451+$I$38-1),IF(AND($L$37=0,$P$34=0),"",$L$37-1)),MIN(BK$38,$E451),$P$20))-SUM($BF451:BJ451))</f>
        <v>0</v>
      </c>
      <c r="BL451" s="446">
        <f>IF($E451=0,0,IF(MIN(BL$38,$E451)&lt;MAX($P$34*($B451+$I$38-1),IF(AND($L$37=0,$P$34=0),"",$L$37-1)),0,YEARFRAC(MAX($P$34*($B451+$I$38-1),IF(AND($L$37=0,$P$34=0),"",$L$37-1)),MIN(BL$38,$E451),$P$20))-SUM($BF451:BK451))</f>
        <v>0</v>
      </c>
      <c r="BM451" s="446">
        <f>IF($E451=0,0,IF(MIN(BM$38,$E451)&lt;MAX($P$34*($B451+$I$38-1),IF(AND($L$37=0,$P$34=0),"",$L$37-1)),0,YEARFRAC(MAX($P$34*($B451+$I$38-1),IF(AND($L$37=0,$P$34=0),"",$L$37-1)),MIN(BM$38,$E451),$P$20))-SUM($BF451:BL451))</f>
        <v>0</v>
      </c>
      <c r="BN451" s="446">
        <f>IF($E451=0,0,IF(MIN(BN$38,$E451)&lt;MAX($P$34*($B451+$I$38-1),IF(AND($L$37=0,$P$34=0),"",$L$37-1)),0,YEARFRAC(MAX($P$34*($B451+$I$38-1),IF(AND($L$37=0,$P$34=0),"",$L$37-1)),MIN(BN$38,$E451),$P$20))-SUM($BF451:BM451))</f>
        <v>0</v>
      </c>
      <c r="BO451" s="446">
        <f>IF($E451=0,0,IF(MIN(BO$38,$E451)&lt;MAX($P$34*($B451+$I$38-1),IF(AND($L$37=0,$P$34=0),"",$L$37-1)),0,YEARFRAC(MAX($P$34*($B451+$I$38-1),IF(AND($L$37=0,$P$34=0),"",$L$37-1)),MIN(BO$38,$E451),$P$20))-SUM($BF451:BN451))</f>
        <v>0</v>
      </c>
      <c r="BP451" s="446">
        <f>IF($E451=0,0,IF(MIN(BP$38,$E451)&lt;MAX($P$34*($B451+$I$38-1),IF(AND($L$37=0,$P$34=0),"",$L$37-1)),0,YEARFRAC(MAX($P$34*($B451+$I$38-1),IF(AND($L$37=0,$P$34=0),"",$L$37-1)),MIN(BP$38,$E451),$P$20))-SUM($BF451:BO451))</f>
        <v>0</v>
      </c>
      <c r="BQ451" s="446">
        <f>IF($E451=0,0,IF(MIN(BQ$38,$E451)&lt;MAX($P$34*($B451+$I$38-1),IF(AND($L$37=0,$P$34=0),"",$L$37-1)),0,YEARFRAC(MAX($P$34*($B451+$I$38-1),IF(AND($L$37=0,$P$34=0),"",$L$37-1)),MIN(BQ$38,$E451),$P$20))-SUM($BF451:BP451))</f>
        <v>0</v>
      </c>
      <c r="BR451" s="446">
        <f>IF($E451=0,0,IF(MIN(BR$38,$E451)&lt;MAX($P$34*($B451+$I$38-1),IF(AND($L$37=0,$P$34=0),"",$L$37-1)),0,YEARFRAC(MAX($P$34*($B451+$I$38-1),IF(AND($L$37=0,$P$34=0),"",$L$37-1)),MIN(BR$38,$E451),$P$20))-SUM($BF451:BQ451))</f>
        <v>0</v>
      </c>
      <c r="BS451" s="446">
        <f>IF($E451=0,0,IF(MIN(BS$38,$E451)&lt;MAX($P$34*($B451+$I$38-1),IF(AND($L$37=0,$P$34=0),"",$L$37-1)),0,YEARFRAC(MAX($P$34*($B451+$I$38-1),IF(AND($L$37=0,$P$34=0),"",$L$37-1)),MIN(BS$38,$E451),$P$20))-SUM($BF451:BR451))</f>
        <v>0</v>
      </c>
      <c r="BT451" s="446">
        <f>IF($E451=0,0,IF(MIN(BT$38,$E451)&lt;MAX($P$34*($B451+$I$38-1),IF(AND($L$37=0,$P$34=0),"",$L$37-1)),0,YEARFRAC(MAX($P$34*($B451+$I$38-1),IF(AND($L$37=0,$P$34=0),"",$L$37-1)),MIN(BT$38,$E451),$P$20))-SUM($BF451:BS451))</f>
        <v>0</v>
      </c>
      <c r="BU451" s="446">
        <f>IF($E451=0,0,IF(MIN(BU$38,$E451)&lt;MAX($P$34*($B451+$I$38-1),IF(AND($L$37=0,$P$34=0),"",$L$37-1)),0,YEARFRAC(MAX($P$34*($B451+$I$38-1),IF(AND($L$37=0,$P$34=0),"",$L$37-1)),MIN(BU$38,$E451),$P$20))-SUM($BF451:BT451))</f>
        <v>0</v>
      </c>
      <c r="BV451" s="446">
        <f>IF($E451=0,0,IF(MIN(BV$38,$E451)&lt;MAX($P$34*($B451+$I$38-1),IF(AND($L$37=0,$P$34=0),"",$L$37-1)),0,YEARFRAC(MAX($P$34*($B451+$I$38-1),IF(AND($L$37=0,$P$34=0),"",$L$37-1)),MIN(BV$38,$E451),$P$20))-SUM($BF451:BU451))</f>
        <v>0</v>
      </c>
      <c r="BW451" s="446">
        <f>IF($E451=0,0,IF(MIN(BW$38,$E451)&lt;MAX($P$34*($B451+$I$38-1),IF(AND($L$37=0,$P$34=0),"",$L$37-1)),0,YEARFRAC(MAX($P$34*($B451+$I$38-1),IF(AND($L$37=0,$P$34=0),"",$L$37-1)),MIN(BW$38,$E451),$P$20))-SUM($BF451:BV451))</f>
        <v>0</v>
      </c>
      <c r="BX451" s="446">
        <f>IF($E451=0,0,IF(MIN(BX$38,$E451)&lt;MAX($P$34*($B451+$I$38-1),IF(AND($L$37=0,$P$34=0),"",$L$37-1)),0,YEARFRAC(MAX($P$34*($B451+$I$38-1),IF(AND($L$37=0,$P$34=0),"",$L$37-1)),MIN(BX$38,$E451),$P$20))-SUM($BF451:BW451))</f>
        <v>0</v>
      </c>
      <c r="BY451" s="446">
        <f>IF($E451=0,0,IF(MIN(BY$38,$E451)&lt;MAX($P$34*($B451+$I$38-1),IF(AND($L$37=0,$P$34=0),"",$L$37-1)),0,YEARFRAC(MAX($P$34*($B451+$I$38-1),IF(AND($L$37=0,$P$34=0),"",$L$37-1)),MIN(BY$38,$E451),$P$20))-SUM($BF451:BX451))</f>
        <v>0</v>
      </c>
      <c r="BZ451" s="446">
        <f>IF($E451=0,0,IF(MIN(BZ$38,$E451)&lt;MAX($P$34*($B451+$I$38-1),IF(AND($L$37=0,$P$34=0),"",$L$37-1)),0,YEARFRAC(MAX($P$34*($B451+$I$38-1),IF(AND($L$37=0,$P$34=0),"",$L$37-1)),MIN(BZ$38,$E451),$P$20))-SUM($BF451:BY451))</f>
        <v>0</v>
      </c>
      <c r="CA451" s="446">
        <f>IF($E451=0,0,IF(MIN(CA$38,$E451)&lt;MAX($P$34*($B451+$I$38-1),IF(AND($L$37=0,$P$34=0),"",$L$37-1)),0,YEARFRAC(MAX($P$34*($B451+$I$38-1),IF(AND($L$37=0,$P$34=0),"",$L$37-1)),MIN(CA$38,$E451),$P$20))-SUM($BF451:BZ451))</f>
        <v>0</v>
      </c>
      <c r="CB451" s="446">
        <f>IF($E451=0,0,IF(MIN(CB$38,$E451)&lt;MAX($P$34*($B451+$I$38-1),IF(AND($L$37=0,$P$34=0),"",$L$37-1)),0,YEARFRAC(MAX($P$34*($B451+$I$38-1),IF(AND($L$37=0,$P$34=0),"",$L$37-1)),MIN(CB$38,$E451),$P$20))-SUM($BF451:CA451))</f>
        <v>0</v>
      </c>
      <c r="CC451" s="446">
        <f>IF($E451=0,0,IF(MIN(CC$38,$E451)&lt;MAX($P$34*($B451+$I$38-1),IF(AND($L$37=0,$P$34=0),"",$L$37-1)),0,YEARFRAC(MAX($P$34*($B451+$I$38-1),IF(AND($L$37=0,$P$34=0),"",$L$37-1)),MIN(CC$38,$E451),$P$20))-SUM($BF451:CB451))</f>
        <v>0</v>
      </c>
      <c r="CD451" s="446">
        <f>IF($E451=0,0,IF(MIN(CD$38,$E451)&lt;MAX($P$34*($B451+$I$38-1),IF(AND($L$37=0,$P$34=0),"",$L$37-1)),0,YEARFRAC(MAX($P$34*($B451+$I$38-1),IF(AND($L$37=0,$P$34=0),"",$L$37-1)),MIN(CD$38,$E451),$P$20))-SUM($BF451:CC451))</f>
        <v>0</v>
      </c>
      <c r="CE451" s="446">
        <f>IF($E451=0,0,IF(MIN(CE$38,$E451)&lt;MAX($P$34*($B451+$I$38-1),IF(AND($L$37=0,$P$34=0),"",$L$37-1)),0,YEARFRAC(MAX($P$34*($B451+$I$38-1),IF(AND($L$37=0,$P$34=0),"",$L$37-1)),MIN(CE$38,$E451),$P$20))-SUM($BF451:CD451))</f>
        <v>0</v>
      </c>
      <c r="CF451" s="446">
        <f>IF($E451=0,0,IF(MIN(CF$38,$E451)&lt;MAX($P$34*($B451+$I$38-1),IF(AND($L$37=0,$P$34=0),"",$L$37-1)),0,YEARFRAC(MAX($P$34*($B451+$I$38-1),IF(AND($L$37=0,$P$34=0),"",$L$37-1)),MIN(CF$38,$E451),$P$20))-SUM($BF451:CE451))</f>
        <v>0</v>
      </c>
      <c r="CG451" s="446">
        <f>IF($E451=0,0,IF(MIN(CG$38,$E451)&lt;MAX($P$34*($B451+$I$38-1),IF(AND($L$37=0,$P$34=0),"",$L$37-1)),0,YEARFRAC(MAX($P$34*($B451+$I$38-1),IF(AND($L$37=0,$P$34=0),"",$L$37-1)),MIN(CG$38,$E451),$P$20))-SUM($BF451:CF451))</f>
        <v>0</v>
      </c>
      <c r="CH451" s="446">
        <f>IF($E451=0,0,IF(MIN(CH$38,$E451)&lt;MAX($P$34*($B451+$I$38-1),IF(AND($L$37=0,$P$34=0),"",$L$37-1)),0,YEARFRAC(MAX($P$34*($B451+$I$38-1),IF(AND($L$37=0,$P$34=0),"",$L$37-1)),MIN(CH$38,$E451),$P$20))-SUM($BF451:CG451))</f>
        <v>0</v>
      </c>
      <c r="CI451" s="446">
        <f>IF($E451=0,0,IF(MIN(CI$38,$E451)&lt;MAX($P$34*($B451+$I$38-1),IF(AND($L$37=0,$P$34=0),"",$L$37-1)),0,YEARFRAC(MAX($P$34*($B451+$I$38-1),IF(AND($L$37=0,$P$34=0),"",$L$37-1)),MIN(CI$38,$E451),$P$20))-SUM($BF451:CH451))</f>
        <v>0</v>
      </c>
      <c r="CJ451" s="446">
        <f>IF($E451=0,0,IF(MIN(CJ$38,$E451)&lt;MAX($P$34*($B451+$I$38-1),IF(AND($L$37=0,$P$34=0),"",$L$37-1)),0,YEARFRAC(MAX($P$34*($B451+$I$38-1),IF(AND($L$37=0,$P$34=0),"",$L$37-1)),MIN(CJ$38,$E451),$P$20))-SUM($BF451:CI451))</f>
        <v>0</v>
      </c>
      <c r="CK451" s="446">
        <f>IF($E451=0,0,IF(MIN(CK$38,$E451)&lt;MAX($P$34*($B451+$I$38-1),IF(AND($L$37=0,$P$34=0),"",$L$37-1)),0,YEARFRAC(MAX($P$34*($B451+$I$38-1),IF(AND($L$37=0,$P$34=0),"",$L$37-1)),MIN(CK$38,$E451),$P$20))-SUM($BF451:CJ451))</f>
        <v>0</v>
      </c>
      <c r="CL451" s="446">
        <f>IF($E451=0,0,IF(MIN(CL$38,$E451)&lt;MAX($P$34*($B451+$I$38-1),IF(AND($L$37=0,$P$34=0),"",$L$37-1)),0,YEARFRAC(MAX($P$34*($B451+$I$38-1),IF(AND($L$37=0,$P$34=0),"",$L$37-1)),MIN(CL$38,$E451),$P$20))-SUM($BF451:CK451))</f>
        <v>0</v>
      </c>
      <c r="CM451" s="446">
        <f>IF($E451=0,0,IF(MIN(CM$38,$E451)&lt;MAX($P$34*($B451+$I$38-1),IF(AND($L$37=0,$P$34=0),"",$L$37-1)),0,YEARFRAC(MAX($P$34*($B451+$I$38-1),IF(AND($L$37=0,$P$34=0),"",$L$37-1)),MIN(CM$38,$E451),$P$20))-SUM($BF451:CL451))</f>
        <v>0</v>
      </c>
      <c r="CN451" s="446">
        <f>IF($E451=0,0,IF(MIN(CN$38,$E451)&lt;MAX($P$34*($B451+$I$38-1),IF(AND($L$37=0,$P$34=0),"",$L$37-1)),0,YEARFRAC(MAX($P$34*($B451+$I$38-1),IF(AND($L$37=0,$P$34=0),"",$L$37-1)),MIN(CN$38,$E451),$P$20))-SUM($BF451:CM451))</f>
        <v>0</v>
      </c>
      <c r="CO451" s="446">
        <f>IF($E451=0,0,IF(MIN(CO$38,$E451)&lt;MAX($P$34*($B451+$I$38-1),IF(AND($L$37=0,$P$34=0),"",$L$37-1)),0,YEARFRAC(MAX($P$34*($B451+$I$38-1),IF(AND($L$37=0,$P$34=0),"",$L$37-1)),MIN(CO$38,$E451),$P$20))-SUM($BF451:CN451))</f>
        <v>0</v>
      </c>
      <c r="CP451" s="446">
        <f>IF($E451=0,0,IF(MIN(CP$38,$E451)&lt;MAX($P$34*($B451+$I$38-1),IF(AND($L$37=0,$P$34=0),"",$L$37-1)),0,YEARFRAC(MAX($P$34*($B451+$I$38-1),IF(AND($L$37=0,$P$34=0),"",$L$37-1)),MIN(CP$38,$E451),$P$20))-SUM($BF451:CO451))</f>
        <v>0</v>
      </c>
      <c r="CQ451" s="446">
        <f>IF($E451=0,0,IF(MIN(CQ$38,$E451)&lt;MAX($P$34*($B451+$I$38-1),IF(AND($L$37=0,$P$34=0),"",$L$37-1)),0,YEARFRAC(MAX($P$34*($B451+$I$38-1),IF(AND($L$37=0,$P$34=0),"",$L$37-1)),MIN(CQ$38,$E451),$P$20))-SUM($BF451:CP451))</f>
        <v>0</v>
      </c>
    </row>
    <row r="452" spans="1:95" s="446" customFormat="1" ht="11.25" hidden="1" customHeight="1" x14ac:dyDescent="0.2">
      <c r="A452" s="152"/>
      <c r="B452" s="153" t="str">
        <f t="shared" si="81"/>
        <v/>
      </c>
      <c r="C452" s="29" t="str">
        <f>IF(B452="","",IF($L$35="SELIC - TRIBUTOS",VLOOKUP(DATE(YEAR($D$19),MONTH($D$19)-1,1),ÍNDICES!$A:$DE,HLOOKUP($BL$25,ÍNDICES!$B$3:$T$4,2)+11)-VLOOKUP(B452,ÍNDICES!$A:$DE,HLOOKUP($BL$25,ÍNDICES!$B$3:$T$4,2)+11)+1%,IF(C$38=$W$26,$J$35,IF(ISERROR(IF(B452&gt;$D$19,1,VLOOKUP(DATE(YEAR(B452),MONTH(B452)+IF($C$35=$S$23,1,0),1),ÍNDICES!$A:$DE,$Z$35+1))),"",IF(B452&gt;$D$19,1,VLOOKUP(DATE(YEAR(B452),MONTH(B452)+IF($C$35=$S$23,1,0),1),ÍNDICES!$A:$DE,$Z$35+1))))))</f>
        <v/>
      </c>
      <c r="D452" s="154" t="str">
        <f>IF(ISERROR(IF(OR($D$38=$Y$27,$B452=""),"",VLOOKUP(B452,ÍNDICES!A:DE,AF$35+1))),"",IF(OR($D$38=$Y$27,$B452=""),"",VLOOKUP(B452,ÍNDICES!A:DE,AF$35+1)))</f>
        <v/>
      </c>
      <c r="E452" s="153"/>
      <c r="F452" s="29" t="str">
        <f>IF(E452="","",IF($L$35="SELIC - TRIBUTOS",VLOOKUP(DATE(YEAR($D$19),MONTH($D$19)-1,1),ÍNDICES!$A:$DE,HLOOKUP($BL$25,ÍNDICES!$B$3:$T$4,2)+11)-VLOOKUP(E452,ÍNDICES!$A:$DE,HLOOKUP($BL$25,ÍNDICES!$B$3:$T$4,2)+11)+1%,IF(F$38=$W$26,$J$35,IF(ISERROR(IF(E452&gt;$D$19,1,VLOOKUP(DATE(YEAR(E452),MONTH(E452)+IF($C$35=$S$23,1,0),1),ÍNDICES!$A:$DE,$Z$35+1))),"",IF(E452&gt;$D$19,1,VLOOKUP(DATE(YEAR(E452),MONTH(E452)+IF($C$35=$S$23,1,0),1),ÍNDICES!$A:$DE,$Z$35+1))))))</f>
        <v/>
      </c>
      <c r="G452" s="155"/>
      <c r="H452" s="156" t="str">
        <f t="shared" si="77"/>
        <v/>
      </c>
      <c r="I452" s="29" t="str">
        <f t="shared" si="71"/>
        <v/>
      </c>
      <c r="J452" s="5">
        <f t="shared" si="72"/>
        <v>0</v>
      </c>
      <c r="K452" s="20">
        <f t="shared" ca="1" si="73"/>
        <v>0</v>
      </c>
      <c r="L452" s="5">
        <f t="shared" ca="1" si="74"/>
        <v>0</v>
      </c>
      <c r="M452" s="64">
        <f t="shared" si="78"/>
        <v>0</v>
      </c>
      <c r="N452" s="61">
        <f t="shared" ca="1" si="79"/>
        <v>0</v>
      </c>
      <c r="O452" s="5">
        <f t="shared" ca="1" si="80"/>
        <v>0</v>
      </c>
      <c r="P452" s="446" t="e">
        <f t="shared" si="75"/>
        <v>#VALUE!</v>
      </c>
      <c r="Q452" s="446" t="e">
        <f>IF(OR($B452="",MIN(Q$38,$D$19)&lt;MAX($P$34*($B452+IF($R$17="Distrato",$I$38-1,0)),IF(AND($L$37=0,$P$34=0),"",$L$37-1),IF($R$17="Distrato",$E452,0))),0,YEARFRAC(MAX($P$34*($B452+IF($R$17="Distrato",$I$38-1,0)),IF(AND($L$37=0,$P$34=0),"",$L$37-1),IF($R$17="Distrato",$E452,0)),MIN(Q$38,$D$19),$P$20))-SUM($P452:P452)</f>
        <v>#VALUE!</v>
      </c>
      <c r="R452" s="446" t="e">
        <f>IF(OR($B452="",MIN(R$38,$D$19)&lt;MAX($P$34*($B452+IF($R$17="Distrato",$I$38-1,0)),IF(AND($L$37=0,$P$34=0),"",$L$37-1),IF($R$17="Distrato",$E452,0))),0,YEARFRAC(MAX($P$34*($B452+IF($R$17="Distrato",$I$38-1,0)),IF(AND($L$37=0,$P$34=0),"",$L$37-1),IF($R$17="Distrato",$E452,0)),MIN(R$38,$D$19),$P$20))-SUM($P452:Q452)</f>
        <v>#VALUE!</v>
      </c>
      <c r="S452" s="446" t="e">
        <f>IF(OR($B452="",MIN(S$38,$D$19)&lt;MAX($P$34*($B452+IF($R$17="Distrato",$I$38-1,0)),IF(AND($L$37=0,$P$34=0),"",$L$37-1),IF($R$17="Distrato",$E452,0))),0,YEARFRAC(MAX($P$34*($B452+IF($R$17="Distrato",$I$38-1,0)),IF(AND($L$37=0,$P$34=0),"",$L$37-1),IF($R$17="Distrato",$E452,0)),MIN(S$38,$D$19),$P$20))-SUM($P452:R452)</f>
        <v>#VALUE!</v>
      </c>
      <c r="T452" s="446" t="e">
        <f>IF(OR($B452="",MIN(T$38,$D$19)&lt;MAX($P$34*($B452+IF($R$17="Distrato",$I$38-1,0)),IF(AND($L$37=0,$P$34=0),"",$L$37-1),IF($R$17="Distrato",$E452,0))),0,YEARFRAC(MAX($P$34*($B452+IF($R$17="Distrato",$I$38-1,0)),IF(AND($L$37=0,$P$34=0),"",$L$37-1),IF($R$17="Distrato",$E452,0)),MIN(T$38,$D$19),$P$20))-SUM($P452:S452)</f>
        <v>#VALUE!</v>
      </c>
      <c r="U452" s="446" t="e">
        <f>IF(OR($B452="",MIN(U$38,$D$19)&lt;MAX($P$34*($B452+IF($R$17="Distrato",$I$38-1,0)),IF(AND($L$37=0,$P$34=0),"",$L$37-1),IF($R$17="Distrato",$E452,0))),0,YEARFRAC(MAX($P$34*($B452+IF($R$17="Distrato",$I$38-1,0)),IF(AND($L$37=0,$P$34=0),"",$L$37-1),IF($R$17="Distrato",$E452,0)),MIN(U$38,$D$19),$P$20))-SUM($P452:T452)</f>
        <v>#VALUE!</v>
      </c>
      <c r="V452" s="446" t="e">
        <f>IF(OR($B452="",MIN(V$38,$D$19)&lt;MAX($P$34*($B452+IF($R$17="Distrato",$I$38-1,0)),IF(AND($L$37=0,$P$34=0),"",$L$37-1),IF($R$17="Distrato",$E452,0))),0,YEARFRAC(MAX($P$34*($B452+IF($R$17="Distrato",$I$38-1,0)),IF(AND($L$37=0,$P$34=0),"",$L$37-1),IF($R$17="Distrato",$E452,0)),MIN(V$38,$D$19),$P$20))-SUM($P452:U452)</f>
        <v>#VALUE!</v>
      </c>
      <c r="W452" s="446" t="e">
        <f>IF(OR($B452="",MIN(W$38,$D$19)&lt;MAX($P$34*($B452+IF($R$17="Distrato",$I$38-1,0)),IF(AND($L$37=0,$P$34=0),"",$L$37-1),IF($R$17="Distrato",$E452,0))),0,YEARFRAC(MAX($P$34*($B452+IF($R$17="Distrato",$I$38-1,0)),IF(AND($L$37=0,$P$34=0),"",$L$37-1),IF($R$17="Distrato",$E452,0)),MIN(W$38,$D$19),$P$20))-SUM($P452:V452)</f>
        <v>#VALUE!</v>
      </c>
      <c r="X452" s="446" t="e">
        <f>IF(OR($B452="",MIN(X$38,$D$19)&lt;MAX($P$34*($B452+IF($R$17="Distrato",$I$38-1,0)),IF(AND($L$37=0,$P$34=0),"",$L$37-1),IF($R$17="Distrato",$E452,0))),0,YEARFRAC(MAX($P$34*($B452+IF($R$17="Distrato",$I$38-1,0)),IF(AND($L$37=0,$P$34=0),"",$L$37-1),IF($R$17="Distrato",$E452,0)),MIN(X$38,$D$19),$P$20))-SUM($P452:W452)</f>
        <v>#VALUE!</v>
      </c>
      <c r="Y452" s="446" t="e">
        <f>IF(OR($B452="",MIN(Y$38,$D$19)&lt;MAX($P$34*($B452+IF($R$17="Distrato",$I$38-1,0)),IF(AND($L$37=0,$P$34=0),"",$L$37-1),IF($R$17="Distrato",$E452,0))),0,YEARFRAC(MAX($P$34*($B452+IF($R$17="Distrato",$I$38-1,0)),IF(AND($L$37=0,$P$34=0),"",$L$37-1),IF($R$17="Distrato",$E452,0)),MIN(Y$38,$D$19),$P$20))-SUM($P452:X452)</f>
        <v>#VALUE!</v>
      </c>
      <c r="Z452" s="446" t="e">
        <f>IF(OR($B452="",MIN(Z$38,$D$19)&lt;MAX($P$34*($B452+IF($R$17="Distrato",$I$38-1,0)),IF(AND($L$37=0,$P$34=0),"",$L$37-1),IF($R$17="Distrato",$E452,0))),0,YEARFRAC(MAX($P$34*($B452+IF($R$17="Distrato",$I$38-1,0)),IF(AND($L$37=0,$P$34=0),"",$L$37-1),IF($R$17="Distrato",$E452,0)),MIN(Z$38,$D$19),$P$20))-SUM($P452:Y452)</f>
        <v>#VALUE!</v>
      </c>
      <c r="AA452" s="446" t="e">
        <f>IF(OR($B452="",MIN(AA$38,$D$19)&lt;MAX($P$34*($B452+IF($R$17="Distrato",$I$38-1,0)),IF(AND($L$37=0,$P$34=0),"",$L$37-1),IF($R$17="Distrato",$E452,0))),0,YEARFRAC(MAX($P$34*($B452+IF($R$17="Distrato",$I$38-1,0)),IF(AND($L$37=0,$P$34=0),"",$L$37-1),IF($R$17="Distrato",$E452,0)),MIN(AA$38,$D$19),$P$20))-SUM($P452:Z452)</f>
        <v>#VALUE!</v>
      </c>
      <c r="AB452" s="446" t="e">
        <f>IF(OR($B452="",MIN(AB$38,$D$19)&lt;MAX($P$34*($B452+IF($R$17="Distrato",$I$38-1,0)),IF(AND($L$37=0,$P$34=0),"",$L$37-1),IF($R$17="Distrato",$E452,0))),0,YEARFRAC(MAX($P$34*($B452+IF($R$17="Distrato",$I$38-1,0)),IF(AND($L$37=0,$P$34=0),"",$L$37-1),IF($R$17="Distrato",$E452,0)),MIN(AB$38,$D$19),$P$20))-SUM($P452:AA452)</f>
        <v>#VALUE!</v>
      </c>
      <c r="AC452" s="446" t="e">
        <f>IF(OR($B452="",MIN(AC$38,$D$19)&lt;MAX($P$34*($B452+IF($R$17="Distrato",$I$38-1,0)),IF(AND($L$37=0,$P$34=0),"",$L$37-1),IF($R$17="Distrato",$E452,0))),0,YEARFRAC(MAX($P$34*($B452+IF($R$17="Distrato",$I$38-1,0)),IF(AND($L$37=0,$P$34=0),"",$L$37-1),IF($R$17="Distrato",$E452,0)),MIN(AC$38,$D$19),$P$20))-SUM($P452:AB452)</f>
        <v>#VALUE!</v>
      </c>
      <c r="AD452" s="446" t="e">
        <f>IF(OR($B452="",MIN(AD$38,$D$19)&lt;MAX($P$34*($B452+IF($R$17="Distrato",$I$38-1,0)),IF(AND($L$37=0,$P$34=0),"",$L$37-1),IF($R$17="Distrato",$E452,0))),0,YEARFRAC(MAX($P$34*($B452+IF($R$17="Distrato",$I$38-1,0)),IF(AND($L$37=0,$P$34=0),"",$L$37-1),IF($R$17="Distrato",$E452,0)),MIN(AD$38,$D$19),$P$20))-SUM($P452:AC452)</f>
        <v>#VALUE!</v>
      </c>
      <c r="AE452" s="446" t="e">
        <f>IF(OR($B452="",MIN(AE$38,$D$19)&lt;MAX($P$34*($B452+IF($R$17="Distrato",$I$38-1,0)),IF(AND($L$37=0,$P$34=0),"",$L$37-1),IF($R$17="Distrato",$E452,0))),0,YEARFRAC(MAX($P$34*($B452+IF($R$17="Distrato",$I$38-1,0)),IF(AND($L$37=0,$P$34=0),"",$L$37-1),IF($R$17="Distrato",$E452,0)),MIN(AE$38,$D$19),$P$20))-SUM($P452:AD452)</f>
        <v>#VALUE!</v>
      </c>
      <c r="AF452" s="446" t="e">
        <f>IF(OR($B452="",MIN(AF$38,$D$19)&lt;MAX($P$34*($B452+IF($R$17="Distrato",$I$38-1,0)),IF(AND($L$37=0,$P$34=0),"",$L$37-1),IF($R$17="Distrato",$E452,0))),0,YEARFRAC(MAX($P$34*($B452+IF($R$17="Distrato",$I$38-1,0)),IF(AND($L$37=0,$P$34=0),"",$L$37-1),IF($R$17="Distrato",$E452,0)),MIN(AF$38,$D$19),$P$20))-SUM($P452:AE452)</f>
        <v>#VALUE!</v>
      </c>
      <c r="AG452" s="446" t="e">
        <f>IF(OR($B452="",MIN(AG$38,$D$19)&lt;MAX($P$34*($B452+IF($R$17="Distrato",$I$38-1,0)),IF(AND($L$37=0,$P$34=0),"",$L$37-1),IF($R$17="Distrato",$E452,0))),0,YEARFRAC(MAX($P$34*($B452+IF($R$17="Distrato",$I$38-1,0)),IF(AND($L$37=0,$P$34=0),"",$L$37-1),IF($R$17="Distrato",$E452,0)),MIN(AG$38,$D$19),$P$20))-SUM($P452:AF452)</f>
        <v>#VALUE!</v>
      </c>
      <c r="AH452" s="446" t="e">
        <f>IF(OR($B452="",MIN(AH$38,$D$19)&lt;MAX($P$34*($B452+IF($R$17="Distrato",$I$38-1,0)),IF(AND($L$37=0,$P$34=0),"",$L$37-1),IF($R$17="Distrato",$E452,0))),0,YEARFRAC(MAX($P$34*($B452+IF($R$17="Distrato",$I$38-1,0)),IF(AND($L$37=0,$P$34=0),"",$L$37-1),IF($R$17="Distrato",$E452,0)),MIN(AH$38,$D$19),$P$20))-SUM($P452:AG452)</f>
        <v>#VALUE!</v>
      </c>
      <c r="AI452" s="446" t="e">
        <f>IF(OR($B452="",MIN(AI$38,$D$19)&lt;MAX($P$34*($B452+IF($R$17="Distrato",$I$38-1,0)),IF(AND($L$37=0,$P$34=0),"",$L$37-1),IF($R$17="Distrato",$E452,0))),0,YEARFRAC(MAX($P$34*($B452+IF($R$17="Distrato",$I$38-1,0)),IF(AND($L$37=0,$P$34=0),"",$L$37-1),IF($R$17="Distrato",$E452,0)),MIN(AI$38,$D$19),$P$20))-SUM($P452:AH452)</f>
        <v>#VALUE!</v>
      </c>
      <c r="AJ452" s="446" t="e">
        <f>IF(OR($B452="",MIN(AJ$38,$D$19)&lt;MAX($P$34*($B452+IF($R$17="Distrato",$I$38-1,0)),IF(AND($L$37=0,$P$34=0),"",$L$37-1),IF($R$17="Distrato",$E452,0))),0,YEARFRAC(MAX($P$34*($B452+IF($R$17="Distrato",$I$38-1,0)),IF(AND($L$37=0,$P$34=0),"",$L$37-1),IF($R$17="Distrato",$E452,0)),MIN(AJ$38,$D$19),$P$20))-SUM($P452:AI452)</f>
        <v>#VALUE!</v>
      </c>
      <c r="AK452" s="446" t="e">
        <f>IF(OR($B452="",MIN(AK$38,$D$19)&lt;MAX($P$34*($B452+IF($R$17="Distrato",$I$38-1,0)),IF(AND($L$37=0,$P$34=0),"",$L$37-1),IF($R$17="Distrato",$E452,0))),0,YEARFRAC(MAX($P$34*($B452+IF($R$17="Distrato",$I$38-1,0)),IF(AND($L$37=0,$P$34=0),"",$L$37-1),IF($R$17="Distrato",$E452,0)),MIN(AK$38,$D$19),$P$20))-SUM($P452:AJ452)</f>
        <v>#VALUE!</v>
      </c>
      <c r="AL452" s="446" t="e">
        <f>IF(OR($B452="",MIN(AL$38,$D$19)&lt;MAX($P$34*($B452+IF($R$17="Distrato",$I$38-1,0)),IF(AND($L$37=0,$P$34=0),"",$L$37-1),IF($R$17="Distrato",$E452,0))),0,YEARFRAC(MAX($P$34*($B452+IF($R$17="Distrato",$I$38-1,0)),IF(AND($L$37=0,$P$34=0),"",$L$37-1),IF($R$17="Distrato",$E452,0)),MIN(AL$38,$D$19),$P$20))-SUM($P452:AK452)</f>
        <v>#VALUE!</v>
      </c>
      <c r="AM452" s="446" t="e">
        <f>IF(OR($B452="",MIN(AM$38,$D$19)&lt;MAX($P$34*($B452+IF($R$17="Distrato",$I$38-1,0)),IF(AND($L$37=0,$P$34=0),"",$L$37-1),IF($R$17="Distrato",$E452,0))),0,YEARFRAC(MAX($P$34*($B452+IF($R$17="Distrato",$I$38-1,0)),IF(AND($L$37=0,$P$34=0),"",$L$37-1),IF($R$17="Distrato",$E452,0)),MIN(AM$38,$D$19),$P$20))-SUM($P452:AL452)</f>
        <v>#VALUE!</v>
      </c>
      <c r="AN452" s="446" t="e">
        <f>IF(OR($B452="",MIN(AN$38,$D$19)&lt;MAX($P$34*($B452+IF($R$17="Distrato",$I$38-1,0)),IF(AND($L$37=0,$P$34=0),"",$L$37-1),IF($R$17="Distrato",$E452,0))),0,YEARFRAC(MAX($P$34*($B452+IF($R$17="Distrato",$I$38-1,0)),IF(AND($L$37=0,$P$34=0),"",$L$37-1),IF($R$17="Distrato",$E452,0)),MIN(AN$38,$D$19),$P$20))-SUM($P452:AM452)</f>
        <v>#VALUE!</v>
      </c>
      <c r="AO452" s="446" t="e">
        <f>IF(OR($B452="",MIN(AO$38,$D$19)&lt;MAX($P$34*($B452+IF($R$17="Distrato",$I$38-1,0)),IF(AND($L$37=0,$P$34=0),"",$L$37-1),IF($R$17="Distrato",$E452,0))),0,YEARFRAC(MAX($P$34*($B452+IF($R$17="Distrato",$I$38-1,0)),IF(AND($L$37=0,$P$34=0),"",$L$37-1),IF($R$17="Distrato",$E452,0)),MIN(AO$38,$D$19),$P$20))-SUM($P452:AN452)</f>
        <v>#VALUE!</v>
      </c>
      <c r="AP452" s="446" t="e">
        <f>IF(OR($B452="",MIN(AP$38,$D$19)&lt;MAX($P$34*($B452+IF($R$17="Distrato",$I$38-1,0)),IF(AND($L$37=0,$P$34=0),"",$L$37-1),IF($R$17="Distrato",$E452,0))),0,YEARFRAC(MAX($P$34*($B452+IF($R$17="Distrato",$I$38-1,0)),IF(AND($L$37=0,$P$34=0),"",$L$37-1),IF($R$17="Distrato",$E452,0)),MIN(AP$38,$D$19),$P$20))-SUM($P452:AO452)</f>
        <v>#VALUE!</v>
      </c>
      <c r="AQ452" s="446" t="e">
        <f>IF(OR($B452="",MIN(AQ$38,$D$19)&lt;MAX($P$34*($B452+IF($R$17="Distrato",$I$38-1,0)),IF(AND($L$37=0,$P$34=0),"",$L$37-1),IF($R$17="Distrato",$E452,0))),0,YEARFRAC(MAX($P$34*($B452+IF($R$17="Distrato",$I$38-1,0)),IF(AND($L$37=0,$P$34=0),"",$L$37-1),IF($R$17="Distrato",$E452,0)),MIN(AQ$38,$D$19),$P$20))-SUM($P452:AP452)</f>
        <v>#VALUE!</v>
      </c>
      <c r="AR452" s="446" t="e">
        <f>IF(OR($B452="",MIN(AR$38,$D$19)&lt;MAX($P$34*($B452+IF($R$17="Distrato",$I$38-1,0)),IF(AND($L$37=0,$P$34=0),"",$L$37-1),IF($R$17="Distrato",$E452,0))),0,YEARFRAC(MAX($P$34*($B452+IF($R$17="Distrato",$I$38-1,0)),IF(AND($L$37=0,$P$34=0),"",$L$37-1),IF($R$17="Distrato",$E452,0)),MIN(AR$38,$D$19),$P$20))-SUM($P452:AQ452)</f>
        <v>#VALUE!</v>
      </c>
      <c r="AS452" s="446" t="e">
        <f>IF(OR($B452="",MIN(AS$38,$D$19)&lt;MAX($P$34*($B452+IF($R$17="Distrato",$I$38-1,0)),IF(AND($L$37=0,$P$34=0),"",$L$37-1),IF($R$17="Distrato",$E452,0))),0,YEARFRAC(MAX($P$34*($B452+IF($R$17="Distrato",$I$38-1,0)),IF(AND($L$37=0,$P$34=0),"",$L$37-1),IF($R$17="Distrato",$E452,0)),MIN(AS$38,$D$19),$P$20))-SUM($P452:AR452)</f>
        <v>#VALUE!</v>
      </c>
      <c r="AT452" s="446" t="e">
        <f>IF(OR($B452="",MIN(AT$38,$D$19)&lt;MAX($P$34*($B452+IF($R$17="Distrato",$I$38-1,0)),IF(AND($L$37=0,$P$34=0),"",$L$37-1),IF($R$17="Distrato",$E452,0))),0,YEARFRAC(MAX($P$34*($B452+IF($R$17="Distrato",$I$38-1,0)),IF(AND($L$37=0,$P$34=0),"",$L$37-1),IF($R$17="Distrato",$E452,0)),MIN(AT$38,$D$19),$P$20))-SUM($P452:AS452)</f>
        <v>#VALUE!</v>
      </c>
      <c r="AU452" s="446" t="e">
        <f>IF(OR($B452="",MIN(AU$38,$D$19)&lt;MAX($P$34*($B452+IF($R$17="Distrato",$I$38-1,0)),IF(AND($L$37=0,$P$34=0),"",$L$37-1),IF($R$17="Distrato",$E452,0))),0,YEARFRAC(MAX($P$34*($B452+IF($R$17="Distrato",$I$38-1,0)),IF(AND($L$37=0,$P$34=0),"",$L$37-1),IF($R$17="Distrato",$E452,0)),MIN(AU$38,$D$19),$P$20))-SUM($P452:AT452)</f>
        <v>#VALUE!</v>
      </c>
      <c r="AV452" s="446" t="e">
        <f>IF(OR($B452="",MIN(AV$38,$D$19)&lt;MAX($P$34*($B452+IF($R$17="Distrato",$I$38-1,0)),IF(AND($L$37=0,$P$34=0),"",$L$37-1),IF($R$17="Distrato",$E452,0))),0,YEARFRAC(MAX($P$34*($B452+IF($R$17="Distrato",$I$38-1,0)),IF(AND($L$37=0,$P$34=0),"",$L$37-1),IF($R$17="Distrato",$E452,0)),MIN(AV$38,$D$19),$P$20))-SUM($P452:AU452)</f>
        <v>#VALUE!</v>
      </c>
      <c r="AW452" s="446" t="e">
        <f>IF(OR($B452="",MIN(AW$38,$D$19)&lt;MAX($P$34*($B452+IF($R$17="Distrato",$I$38-1,0)),IF(AND($L$37=0,$P$34=0),"",$L$37-1),IF($R$17="Distrato",$E452,0))),0,YEARFRAC(MAX($P$34*($B452+IF($R$17="Distrato",$I$38-1,0)),IF(AND($L$37=0,$P$34=0),"",$L$37-1),IF($R$17="Distrato",$E452,0)),MIN(AW$38,$D$19),$P$20))-SUM($P452:AV452)</f>
        <v>#VALUE!</v>
      </c>
      <c r="AX452" s="446" t="e">
        <f>IF(OR($B452="",MIN(AX$38,$D$19)&lt;MAX($P$34*($B452+IF($R$17="Distrato",$I$38-1,0)),IF(AND($L$37=0,$P$34=0),"",$L$37-1),IF($R$17="Distrato",$E452,0))),0,YEARFRAC(MAX($P$34*($B452+IF($R$17="Distrato",$I$38-1,0)),IF(AND($L$37=0,$P$34=0),"",$L$37-1),IF($R$17="Distrato",$E452,0)),MIN(AX$38,$D$19),$P$20))-SUM($P452:AW452)</f>
        <v>#VALUE!</v>
      </c>
      <c r="AY452" s="446" t="e">
        <f>IF(OR($B452="",MIN(AY$38,$D$19)&lt;MAX($P$34*($B452+IF($R$17="Distrato",$I$38-1,0)),IF(AND($L$37=0,$P$34=0),"",$L$37-1),IF($R$17="Distrato",$E452,0))),0,YEARFRAC(MAX($P$34*($B452+IF($R$17="Distrato",$I$38-1,0)),IF(AND($L$37=0,$P$34=0),"",$L$37-1),IF($R$17="Distrato",$E452,0)),MIN(AY$38,$D$19),$P$20))-SUM($P452:AX452)</f>
        <v>#VALUE!</v>
      </c>
      <c r="AZ452" s="446" t="e">
        <f>IF(OR($B452="",MIN(AZ$38,$D$19)&lt;MAX($P$34*($B452+IF($R$17="Distrato",$I$38-1,0)),IF(AND($L$37=0,$P$34=0),"",$L$37-1),IF($R$17="Distrato",$E452,0))),0,YEARFRAC(MAX($P$34*($B452+IF($R$17="Distrato",$I$38-1,0)),IF(AND($L$37=0,$P$34=0),"",$L$37-1),IF($R$17="Distrato",$E452,0)),MIN(AZ$38,$D$19),$P$20))-SUM($P452:AY452)</f>
        <v>#VALUE!</v>
      </c>
      <c r="BA452" s="446" t="e">
        <f>IF(OR($B452="",MIN(BA$38,$D$19)&lt;MAX($P$34*($B452+IF($R$17="Distrato",$I$38-1,0)),IF(AND($L$37=0,$P$34=0),"",$L$37-1),IF($R$17="Distrato",$E452,0))),0,YEARFRAC(MAX($P$34*($B452+IF($R$17="Distrato",$I$38-1,0)),IF(AND($L$37=0,$P$34=0),"",$L$37-1),IF($R$17="Distrato",$E452,0)),MIN(BA$38,$D$19),$P$20))-SUM($P452:AZ452)</f>
        <v>#VALUE!</v>
      </c>
      <c r="BB452" s="447"/>
      <c r="BF452" s="446">
        <f t="shared" si="76"/>
        <v>0</v>
      </c>
      <c r="BG452" s="446">
        <f>IF($E452=0,0,IF(MIN(BG$38,$E452)&lt;MAX($P$34*($B452+$I$38-1),IF(AND($L$37=0,$P$34=0),"",$L$37-1)),0,YEARFRAC(MAX($P$34*($B452+$I$38-1),IF(AND($L$37=0,$P$34=0),"",$L$37-1)),MIN(BG$38,$E452),$P$20))-SUM($BF452:BF452))</f>
        <v>0</v>
      </c>
      <c r="BH452" s="446">
        <f>IF($E452=0,0,IF(MIN(BH$38,$E452)&lt;MAX($P$34*($B452+$I$38-1),IF(AND($L$37=0,$P$34=0),"",$L$37-1)),0,YEARFRAC(MAX($P$34*($B452+$I$38-1),IF(AND($L$37=0,$P$34=0),"",$L$37-1)),MIN(BH$38,$E452),$P$20))-SUM($BF452:BG452))</f>
        <v>0</v>
      </c>
      <c r="BI452" s="446">
        <f>IF($E452=0,0,IF(MIN(BI$38,$E452)&lt;MAX($P$34*($B452+$I$38-1),IF(AND($L$37=0,$P$34=0),"",$L$37-1)),0,YEARFRAC(MAX($P$34*($B452+$I$38-1),IF(AND($L$37=0,$P$34=0),"",$L$37-1)),MIN(BI$38,$E452),$P$20))-SUM($BF452:BH452))</f>
        <v>0</v>
      </c>
      <c r="BJ452" s="446">
        <f>IF($E452=0,0,IF(MIN(BJ$38,$E452)&lt;MAX($P$34*($B452+$I$38-1),IF(AND($L$37=0,$P$34=0),"",$L$37-1)),0,YEARFRAC(MAX($P$34*($B452+$I$38-1),IF(AND($L$37=0,$P$34=0),"",$L$37-1)),MIN(BJ$38,$E452),$P$20))-SUM($BF452:BI452))</f>
        <v>0</v>
      </c>
      <c r="BK452" s="446">
        <f>IF($E452=0,0,IF(MIN(BK$38,$E452)&lt;MAX($P$34*($B452+$I$38-1),IF(AND($L$37=0,$P$34=0),"",$L$37-1)),0,YEARFRAC(MAX($P$34*($B452+$I$38-1),IF(AND($L$37=0,$P$34=0),"",$L$37-1)),MIN(BK$38,$E452),$P$20))-SUM($BF452:BJ452))</f>
        <v>0</v>
      </c>
      <c r="BL452" s="446">
        <f>IF($E452=0,0,IF(MIN(BL$38,$E452)&lt;MAX($P$34*($B452+$I$38-1),IF(AND($L$37=0,$P$34=0),"",$L$37-1)),0,YEARFRAC(MAX($P$34*($B452+$I$38-1),IF(AND($L$37=0,$P$34=0),"",$L$37-1)),MIN(BL$38,$E452),$P$20))-SUM($BF452:BK452))</f>
        <v>0</v>
      </c>
      <c r="BM452" s="446">
        <f>IF($E452=0,0,IF(MIN(BM$38,$E452)&lt;MAX($P$34*($B452+$I$38-1),IF(AND($L$37=0,$P$34=0),"",$L$37-1)),0,YEARFRAC(MAX($P$34*($B452+$I$38-1),IF(AND($L$37=0,$P$34=0),"",$L$37-1)),MIN(BM$38,$E452),$P$20))-SUM($BF452:BL452))</f>
        <v>0</v>
      </c>
      <c r="BN452" s="446">
        <f>IF($E452=0,0,IF(MIN(BN$38,$E452)&lt;MAX($P$34*($B452+$I$38-1),IF(AND($L$37=0,$P$34=0),"",$L$37-1)),0,YEARFRAC(MAX($P$34*($B452+$I$38-1),IF(AND($L$37=0,$P$34=0),"",$L$37-1)),MIN(BN$38,$E452),$P$20))-SUM($BF452:BM452))</f>
        <v>0</v>
      </c>
      <c r="BO452" s="446">
        <f>IF($E452=0,0,IF(MIN(BO$38,$E452)&lt;MAX($P$34*($B452+$I$38-1),IF(AND($L$37=0,$P$34=0),"",$L$37-1)),0,YEARFRAC(MAX($P$34*($B452+$I$38-1),IF(AND($L$37=0,$P$34=0),"",$L$37-1)),MIN(BO$38,$E452),$P$20))-SUM($BF452:BN452))</f>
        <v>0</v>
      </c>
      <c r="BP452" s="446">
        <f>IF($E452=0,0,IF(MIN(BP$38,$E452)&lt;MAX($P$34*($B452+$I$38-1),IF(AND($L$37=0,$P$34=0),"",$L$37-1)),0,YEARFRAC(MAX($P$34*($B452+$I$38-1),IF(AND($L$37=0,$P$34=0),"",$L$37-1)),MIN(BP$38,$E452),$P$20))-SUM($BF452:BO452))</f>
        <v>0</v>
      </c>
      <c r="BQ452" s="446">
        <f>IF($E452=0,0,IF(MIN(BQ$38,$E452)&lt;MAX($P$34*($B452+$I$38-1),IF(AND($L$37=0,$P$34=0),"",$L$37-1)),0,YEARFRAC(MAX($P$34*($B452+$I$38-1),IF(AND($L$37=0,$P$34=0),"",$L$37-1)),MIN(BQ$38,$E452),$P$20))-SUM($BF452:BP452))</f>
        <v>0</v>
      </c>
      <c r="BR452" s="446">
        <f>IF($E452=0,0,IF(MIN(BR$38,$E452)&lt;MAX($P$34*($B452+$I$38-1),IF(AND($L$37=0,$P$34=0),"",$L$37-1)),0,YEARFRAC(MAX($P$34*($B452+$I$38-1),IF(AND($L$37=0,$P$34=0),"",$L$37-1)),MIN(BR$38,$E452),$P$20))-SUM($BF452:BQ452))</f>
        <v>0</v>
      </c>
      <c r="BS452" s="446">
        <f>IF($E452=0,0,IF(MIN(BS$38,$E452)&lt;MAX($P$34*($B452+$I$38-1),IF(AND($L$37=0,$P$34=0),"",$L$37-1)),0,YEARFRAC(MAX($P$34*($B452+$I$38-1),IF(AND($L$37=0,$P$34=0),"",$L$37-1)),MIN(BS$38,$E452),$P$20))-SUM($BF452:BR452))</f>
        <v>0</v>
      </c>
      <c r="BT452" s="446">
        <f>IF($E452=0,0,IF(MIN(BT$38,$E452)&lt;MAX($P$34*($B452+$I$38-1),IF(AND($L$37=0,$P$34=0),"",$L$37-1)),0,YEARFRAC(MAX($P$34*($B452+$I$38-1),IF(AND($L$37=0,$P$34=0),"",$L$37-1)),MIN(BT$38,$E452),$P$20))-SUM($BF452:BS452))</f>
        <v>0</v>
      </c>
      <c r="BU452" s="446">
        <f>IF($E452=0,0,IF(MIN(BU$38,$E452)&lt;MAX($P$34*($B452+$I$38-1),IF(AND($L$37=0,$P$34=0),"",$L$37-1)),0,YEARFRAC(MAX($P$34*($B452+$I$38-1),IF(AND($L$37=0,$P$34=0),"",$L$37-1)),MIN(BU$38,$E452),$P$20))-SUM($BF452:BT452))</f>
        <v>0</v>
      </c>
      <c r="BV452" s="446">
        <f>IF($E452=0,0,IF(MIN(BV$38,$E452)&lt;MAX($P$34*($B452+$I$38-1),IF(AND($L$37=0,$P$34=0),"",$L$37-1)),0,YEARFRAC(MAX($P$34*($B452+$I$38-1),IF(AND($L$37=0,$P$34=0),"",$L$37-1)),MIN(BV$38,$E452),$P$20))-SUM($BF452:BU452))</f>
        <v>0</v>
      </c>
      <c r="BW452" s="446">
        <f>IF($E452=0,0,IF(MIN(BW$38,$E452)&lt;MAX($P$34*($B452+$I$38-1),IF(AND($L$37=0,$P$34=0),"",$L$37-1)),0,YEARFRAC(MAX($P$34*($B452+$I$38-1),IF(AND($L$37=0,$P$34=0),"",$L$37-1)),MIN(BW$38,$E452),$P$20))-SUM($BF452:BV452))</f>
        <v>0</v>
      </c>
      <c r="BX452" s="446">
        <f>IF($E452=0,0,IF(MIN(BX$38,$E452)&lt;MAX($P$34*($B452+$I$38-1),IF(AND($L$37=0,$P$34=0),"",$L$37-1)),0,YEARFRAC(MAX($P$34*($B452+$I$38-1),IF(AND($L$37=0,$P$34=0),"",$L$37-1)),MIN(BX$38,$E452),$P$20))-SUM($BF452:BW452))</f>
        <v>0</v>
      </c>
      <c r="BY452" s="446">
        <f>IF($E452=0,0,IF(MIN(BY$38,$E452)&lt;MAX($P$34*($B452+$I$38-1),IF(AND($L$37=0,$P$34=0),"",$L$37-1)),0,YEARFRAC(MAX($P$34*($B452+$I$38-1),IF(AND($L$37=0,$P$34=0),"",$L$37-1)),MIN(BY$38,$E452),$P$20))-SUM($BF452:BX452))</f>
        <v>0</v>
      </c>
      <c r="BZ452" s="446">
        <f>IF($E452=0,0,IF(MIN(BZ$38,$E452)&lt;MAX($P$34*($B452+$I$38-1),IF(AND($L$37=0,$P$34=0),"",$L$37-1)),0,YEARFRAC(MAX($P$34*($B452+$I$38-1),IF(AND($L$37=0,$P$34=0),"",$L$37-1)),MIN(BZ$38,$E452),$P$20))-SUM($BF452:BY452))</f>
        <v>0</v>
      </c>
      <c r="CA452" s="446">
        <f>IF($E452=0,0,IF(MIN(CA$38,$E452)&lt;MAX($P$34*($B452+$I$38-1),IF(AND($L$37=0,$P$34=0),"",$L$37-1)),0,YEARFRAC(MAX($P$34*($B452+$I$38-1),IF(AND($L$37=0,$P$34=0),"",$L$37-1)),MIN(CA$38,$E452),$P$20))-SUM($BF452:BZ452))</f>
        <v>0</v>
      </c>
      <c r="CB452" s="446">
        <f>IF($E452=0,0,IF(MIN(CB$38,$E452)&lt;MAX($P$34*($B452+$I$38-1),IF(AND($L$37=0,$P$34=0),"",$L$37-1)),0,YEARFRAC(MAX($P$34*($B452+$I$38-1),IF(AND($L$37=0,$P$34=0),"",$L$37-1)),MIN(CB$38,$E452),$P$20))-SUM($BF452:CA452))</f>
        <v>0</v>
      </c>
      <c r="CC452" s="446">
        <f>IF($E452=0,0,IF(MIN(CC$38,$E452)&lt;MAX($P$34*($B452+$I$38-1),IF(AND($L$37=0,$P$34=0),"",$L$37-1)),0,YEARFRAC(MAX($P$34*($B452+$I$38-1),IF(AND($L$37=0,$P$34=0),"",$L$37-1)),MIN(CC$38,$E452),$P$20))-SUM($BF452:CB452))</f>
        <v>0</v>
      </c>
      <c r="CD452" s="446">
        <f>IF($E452=0,0,IF(MIN(CD$38,$E452)&lt;MAX($P$34*($B452+$I$38-1),IF(AND($L$37=0,$P$34=0),"",$L$37-1)),0,YEARFRAC(MAX($P$34*($B452+$I$38-1),IF(AND($L$37=0,$P$34=0),"",$L$37-1)),MIN(CD$38,$E452),$P$20))-SUM($BF452:CC452))</f>
        <v>0</v>
      </c>
      <c r="CE452" s="446">
        <f>IF($E452=0,0,IF(MIN(CE$38,$E452)&lt;MAX($P$34*($B452+$I$38-1),IF(AND($L$37=0,$P$34=0),"",$L$37-1)),0,YEARFRAC(MAX($P$34*($B452+$I$38-1),IF(AND($L$37=0,$P$34=0),"",$L$37-1)),MIN(CE$38,$E452),$P$20))-SUM($BF452:CD452))</f>
        <v>0</v>
      </c>
      <c r="CF452" s="446">
        <f>IF($E452=0,0,IF(MIN(CF$38,$E452)&lt;MAX($P$34*($B452+$I$38-1),IF(AND($L$37=0,$P$34=0),"",$L$37-1)),0,YEARFRAC(MAX($P$34*($B452+$I$38-1),IF(AND($L$37=0,$P$34=0),"",$L$37-1)),MIN(CF$38,$E452),$P$20))-SUM($BF452:CE452))</f>
        <v>0</v>
      </c>
      <c r="CG452" s="446">
        <f>IF($E452=0,0,IF(MIN(CG$38,$E452)&lt;MAX($P$34*($B452+$I$38-1),IF(AND($L$37=0,$P$34=0),"",$L$37-1)),0,YEARFRAC(MAX($P$34*($B452+$I$38-1),IF(AND($L$37=0,$P$34=0),"",$L$37-1)),MIN(CG$38,$E452),$P$20))-SUM($BF452:CF452))</f>
        <v>0</v>
      </c>
      <c r="CH452" s="446">
        <f>IF($E452=0,0,IF(MIN(CH$38,$E452)&lt;MAX($P$34*($B452+$I$38-1),IF(AND($L$37=0,$P$34=0),"",$L$37-1)),0,YEARFRAC(MAX($P$34*($B452+$I$38-1),IF(AND($L$37=0,$P$34=0),"",$L$37-1)),MIN(CH$38,$E452),$P$20))-SUM($BF452:CG452))</f>
        <v>0</v>
      </c>
      <c r="CI452" s="446">
        <f>IF($E452=0,0,IF(MIN(CI$38,$E452)&lt;MAX($P$34*($B452+$I$38-1),IF(AND($L$37=0,$P$34=0),"",$L$37-1)),0,YEARFRAC(MAX($P$34*($B452+$I$38-1),IF(AND($L$37=0,$P$34=0),"",$L$37-1)),MIN(CI$38,$E452),$P$20))-SUM($BF452:CH452))</f>
        <v>0</v>
      </c>
      <c r="CJ452" s="446">
        <f>IF($E452=0,0,IF(MIN(CJ$38,$E452)&lt;MAX($P$34*($B452+$I$38-1),IF(AND($L$37=0,$P$34=0),"",$L$37-1)),0,YEARFRAC(MAX($P$34*($B452+$I$38-1),IF(AND($L$37=0,$P$34=0),"",$L$37-1)),MIN(CJ$38,$E452),$P$20))-SUM($BF452:CI452))</f>
        <v>0</v>
      </c>
      <c r="CK452" s="446">
        <f>IF($E452=0,0,IF(MIN(CK$38,$E452)&lt;MAX($P$34*($B452+$I$38-1),IF(AND($L$37=0,$P$34=0),"",$L$37-1)),0,YEARFRAC(MAX($P$34*($B452+$I$38-1),IF(AND($L$37=0,$P$34=0),"",$L$37-1)),MIN(CK$38,$E452),$P$20))-SUM($BF452:CJ452))</f>
        <v>0</v>
      </c>
      <c r="CL452" s="446">
        <f>IF($E452=0,0,IF(MIN(CL$38,$E452)&lt;MAX($P$34*($B452+$I$38-1),IF(AND($L$37=0,$P$34=0),"",$L$37-1)),0,YEARFRAC(MAX($P$34*($B452+$I$38-1),IF(AND($L$37=0,$P$34=0),"",$L$37-1)),MIN(CL$38,$E452),$P$20))-SUM($BF452:CK452))</f>
        <v>0</v>
      </c>
      <c r="CM452" s="446">
        <f>IF($E452=0,0,IF(MIN(CM$38,$E452)&lt;MAX($P$34*($B452+$I$38-1),IF(AND($L$37=0,$P$34=0),"",$L$37-1)),0,YEARFRAC(MAX($P$34*($B452+$I$38-1),IF(AND($L$37=0,$P$34=0),"",$L$37-1)),MIN(CM$38,$E452),$P$20))-SUM($BF452:CL452))</f>
        <v>0</v>
      </c>
      <c r="CN452" s="446">
        <f>IF($E452=0,0,IF(MIN(CN$38,$E452)&lt;MAX($P$34*($B452+$I$38-1),IF(AND($L$37=0,$P$34=0),"",$L$37-1)),0,YEARFRAC(MAX($P$34*($B452+$I$38-1),IF(AND($L$37=0,$P$34=0),"",$L$37-1)),MIN(CN$38,$E452),$P$20))-SUM($BF452:CM452))</f>
        <v>0</v>
      </c>
      <c r="CO452" s="446">
        <f>IF($E452=0,0,IF(MIN(CO$38,$E452)&lt;MAX($P$34*($B452+$I$38-1),IF(AND($L$37=0,$P$34=0),"",$L$37-1)),0,YEARFRAC(MAX($P$34*($B452+$I$38-1),IF(AND($L$37=0,$P$34=0),"",$L$37-1)),MIN(CO$38,$E452),$P$20))-SUM($BF452:CN452))</f>
        <v>0</v>
      </c>
      <c r="CP452" s="446">
        <f>IF($E452=0,0,IF(MIN(CP$38,$E452)&lt;MAX($P$34*($B452+$I$38-1),IF(AND($L$37=0,$P$34=0),"",$L$37-1)),0,YEARFRAC(MAX($P$34*($B452+$I$38-1),IF(AND($L$37=0,$P$34=0),"",$L$37-1)),MIN(CP$38,$E452),$P$20))-SUM($BF452:CO452))</f>
        <v>0</v>
      </c>
      <c r="CQ452" s="446">
        <f>IF($E452=0,0,IF(MIN(CQ$38,$E452)&lt;MAX($P$34*($B452+$I$38-1),IF(AND($L$37=0,$P$34=0),"",$L$37-1)),0,YEARFRAC(MAX($P$34*($B452+$I$38-1),IF(AND($L$37=0,$P$34=0),"",$L$37-1)),MIN(CQ$38,$E452),$P$20))-SUM($BF452:CP452))</f>
        <v>0</v>
      </c>
    </row>
    <row r="453" spans="1:95" s="446" customFormat="1" ht="11.25" hidden="1" customHeight="1" x14ac:dyDescent="0.2">
      <c r="A453" s="152"/>
      <c r="B453" s="153" t="str">
        <f t="shared" si="81"/>
        <v/>
      </c>
      <c r="C453" s="29" t="str">
        <f>IF(B453="","",IF($L$35="SELIC - TRIBUTOS",VLOOKUP(DATE(YEAR($D$19),MONTH($D$19)-1,1),ÍNDICES!$A:$DE,HLOOKUP($BL$25,ÍNDICES!$B$3:$T$4,2)+11)-VLOOKUP(B453,ÍNDICES!$A:$DE,HLOOKUP($BL$25,ÍNDICES!$B$3:$T$4,2)+11)+1%,IF(C$38=$W$26,$J$35,IF(ISERROR(IF(B453&gt;$D$19,1,VLOOKUP(DATE(YEAR(B453),MONTH(B453)+IF($C$35=$S$23,1,0),1),ÍNDICES!$A:$DE,$Z$35+1))),"",IF(B453&gt;$D$19,1,VLOOKUP(DATE(YEAR(B453),MONTH(B453)+IF($C$35=$S$23,1,0),1),ÍNDICES!$A:$DE,$Z$35+1))))))</f>
        <v/>
      </c>
      <c r="D453" s="154" t="str">
        <f>IF(ISERROR(IF(OR($D$38=$Y$27,$B453=""),"",VLOOKUP(B453,ÍNDICES!A:DE,AF$35+1))),"",IF(OR($D$38=$Y$27,$B453=""),"",VLOOKUP(B453,ÍNDICES!A:DE,AF$35+1)))</f>
        <v/>
      </c>
      <c r="E453" s="153"/>
      <c r="F453" s="29" t="str">
        <f>IF(E453="","",IF($L$35="SELIC - TRIBUTOS",VLOOKUP(DATE(YEAR($D$19),MONTH($D$19)-1,1),ÍNDICES!$A:$DE,HLOOKUP($BL$25,ÍNDICES!$B$3:$T$4,2)+11)-VLOOKUP(E453,ÍNDICES!$A:$DE,HLOOKUP($BL$25,ÍNDICES!$B$3:$T$4,2)+11)+1%,IF(F$38=$W$26,$J$35,IF(ISERROR(IF(E453&gt;$D$19,1,VLOOKUP(DATE(YEAR(E453),MONTH(E453)+IF($C$35=$S$23,1,0),1),ÍNDICES!$A:$DE,$Z$35+1))),"",IF(E453&gt;$D$19,1,VLOOKUP(DATE(YEAR(E453),MONTH(E453)+IF($C$35=$S$23,1,0),1),ÍNDICES!$A:$DE,$Z$35+1))))))</f>
        <v/>
      </c>
      <c r="G453" s="155"/>
      <c r="H453" s="156" t="str">
        <f t="shared" si="77"/>
        <v/>
      </c>
      <c r="I453" s="29" t="str">
        <f t="shared" si="71"/>
        <v/>
      </c>
      <c r="J453" s="5">
        <f t="shared" si="72"/>
        <v>0</v>
      </c>
      <c r="K453" s="20">
        <f t="shared" ca="1" si="73"/>
        <v>0</v>
      </c>
      <c r="L453" s="5">
        <f t="shared" ca="1" si="74"/>
        <v>0</v>
      </c>
      <c r="M453" s="64">
        <f t="shared" si="78"/>
        <v>0</v>
      </c>
      <c r="N453" s="61">
        <f t="shared" ca="1" si="79"/>
        <v>0</v>
      </c>
      <c r="O453" s="5">
        <f t="shared" ca="1" si="80"/>
        <v>0</v>
      </c>
      <c r="P453" s="446" t="e">
        <f t="shared" si="75"/>
        <v>#VALUE!</v>
      </c>
      <c r="Q453" s="446" t="e">
        <f>IF(OR($B453="",MIN(Q$38,$D$19)&lt;MAX($P$34*($B453+IF($R$17="Distrato",$I$38-1,0)),IF(AND($L$37=0,$P$34=0),"",$L$37-1),IF($R$17="Distrato",$E453,0))),0,YEARFRAC(MAX($P$34*($B453+IF($R$17="Distrato",$I$38-1,0)),IF(AND($L$37=0,$P$34=0),"",$L$37-1),IF($R$17="Distrato",$E453,0)),MIN(Q$38,$D$19),$P$20))-SUM($P453:P453)</f>
        <v>#VALUE!</v>
      </c>
      <c r="R453" s="446" t="e">
        <f>IF(OR($B453="",MIN(R$38,$D$19)&lt;MAX($P$34*($B453+IF($R$17="Distrato",$I$38-1,0)),IF(AND($L$37=0,$P$34=0),"",$L$37-1),IF($R$17="Distrato",$E453,0))),0,YEARFRAC(MAX($P$34*($B453+IF($R$17="Distrato",$I$38-1,0)),IF(AND($L$37=0,$P$34=0),"",$L$37-1),IF($R$17="Distrato",$E453,0)),MIN(R$38,$D$19),$P$20))-SUM($P453:Q453)</f>
        <v>#VALUE!</v>
      </c>
      <c r="S453" s="446" t="e">
        <f>IF(OR($B453="",MIN(S$38,$D$19)&lt;MAX($P$34*($B453+IF($R$17="Distrato",$I$38-1,0)),IF(AND($L$37=0,$P$34=0),"",$L$37-1),IF($R$17="Distrato",$E453,0))),0,YEARFRAC(MAX($P$34*($B453+IF($R$17="Distrato",$I$38-1,0)),IF(AND($L$37=0,$P$34=0),"",$L$37-1),IF($R$17="Distrato",$E453,0)),MIN(S$38,$D$19),$P$20))-SUM($P453:R453)</f>
        <v>#VALUE!</v>
      </c>
      <c r="T453" s="446" t="e">
        <f>IF(OR($B453="",MIN(T$38,$D$19)&lt;MAX($P$34*($B453+IF($R$17="Distrato",$I$38-1,0)),IF(AND($L$37=0,$P$34=0),"",$L$37-1),IF($R$17="Distrato",$E453,0))),0,YEARFRAC(MAX($P$34*($B453+IF($R$17="Distrato",$I$38-1,0)),IF(AND($L$37=0,$P$34=0),"",$L$37-1),IF($R$17="Distrato",$E453,0)),MIN(T$38,$D$19),$P$20))-SUM($P453:S453)</f>
        <v>#VALUE!</v>
      </c>
      <c r="U453" s="446" t="e">
        <f>IF(OR($B453="",MIN(U$38,$D$19)&lt;MAX($P$34*($B453+IF($R$17="Distrato",$I$38-1,0)),IF(AND($L$37=0,$P$34=0),"",$L$37-1),IF($R$17="Distrato",$E453,0))),0,YEARFRAC(MAX($P$34*($B453+IF($R$17="Distrato",$I$38-1,0)),IF(AND($L$37=0,$P$34=0),"",$L$37-1),IF($R$17="Distrato",$E453,0)),MIN(U$38,$D$19),$P$20))-SUM($P453:T453)</f>
        <v>#VALUE!</v>
      </c>
      <c r="V453" s="446" t="e">
        <f>IF(OR($B453="",MIN(V$38,$D$19)&lt;MAX($P$34*($B453+IF($R$17="Distrato",$I$38-1,0)),IF(AND($L$37=0,$P$34=0),"",$L$37-1),IF($R$17="Distrato",$E453,0))),0,YEARFRAC(MAX($P$34*($B453+IF($R$17="Distrato",$I$38-1,0)),IF(AND($L$37=0,$P$34=0),"",$L$37-1),IF($R$17="Distrato",$E453,0)),MIN(V$38,$D$19),$P$20))-SUM($P453:U453)</f>
        <v>#VALUE!</v>
      </c>
      <c r="W453" s="446" t="e">
        <f>IF(OR($B453="",MIN(W$38,$D$19)&lt;MAX($P$34*($B453+IF($R$17="Distrato",$I$38-1,0)),IF(AND($L$37=0,$P$34=0),"",$L$37-1),IF($R$17="Distrato",$E453,0))),0,YEARFRAC(MAX($P$34*($B453+IF($R$17="Distrato",$I$38-1,0)),IF(AND($L$37=0,$P$34=0),"",$L$37-1),IF($R$17="Distrato",$E453,0)),MIN(W$38,$D$19),$P$20))-SUM($P453:V453)</f>
        <v>#VALUE!</v>
      </c>
      <c r="X453" s="446" t="e">
        <f>IF(OR($B453="",MIN(X$38,$D$19)&lt;MAX($P$34*($B453+IF($R$17="Distrato",$I$38-1,0)),IF(AND($L$37=0,$P$34=0),"",$L$37-1),IF($R$17="Distrato",$E453,0))),0,YEARFRAC(MAX($P$34*($B453+IF($R$17="Distrato",$I$38-1,0)),IF(AND($L$37=0,$P$34=0),"",$L$37-1),IF($R$17="Distrato",$E453,0)),MIN(X$38,$D$19),$P$20))-SUM($P453:W453)</f>
        <v>#VALUE!</v>
      </c>
      <c r="Y453" s="446" t="e">
        <f>IF(OR($B453="",MIN(Y$38,$D$19)&lt;MAX($P$34*($B453+IF($R$17="Distrato",$I$38-1,0)),IF(AND($L$37=0,$P$34=0),"",$L$37-1),IF($R$17="Distrato",$E453,0))),0,YEARFRAC(MAX($P$34*($B453+IF($R$17="Distrato",$I$38-1,0)),IF(AND($L$37=0,$P$34=0),"",$L$37-1),IF($R$17="Distrato",$E453,0)),MIN(Y$38,$D$19),$P$20))-SUM($P453:X453)</f>
        <v>#VALUE!</v>
      </c>
      <c r="Z453" s="446" t="e">
        <f>IF(OR($B453="",MIN(Z$38,$D$19)&lt;MAX($P$34*($B453+IF($R$17="Distrato",$I$38-1,0)),IF(AND($L$37=0,$P$34=0),"",$L$37-1),IF($R$17="Distrato",$E453,0))),0,YEARFRAC(MAX($P$34*($B453+IF($R$17="Distrato",$I$38-1,0)),IF(AND($L$37=0,$P$34=0),"",$L$37-1),IF($R$17="Distrato",$E453,0)),MIN(Z$38,$D$19),$P$20))-SUM($P453:Y453)</f>
        <v>#VALUE!</v>
      </c>
      <c r="AA453" s="446" t="e">
        <f>IF(OR($B453="",MIN(AA$38,$D$19)&lt;MAX($P$34*($B453+IF($R$17="Distrato",$I$38-1,0)),IF(AND($L$37=0,$P$34=0),"",$L$37-1),IF($R$17="Distrato",$E453,0))),0,YEARFRAC(MAX($P$34*($B453+IF($R$17="Distrato",$I$38-1,0)),IF(AND($L$37=0,$P$34=0),"",$L$37-1),IF($R$17="Distrato",$E453,0)),MIN(AA$38,$D$19),$P$20))-SUM($P453:Z453)</f>
        <v>#VALUE!</v>
      </c>
      <c r="AB453" s="446" t="e">
        <f>IF(OR($B453="",MIN(AB$38,$D$19)&lt;MAX($P$34*($B453+IF($R$17="Distrato",$I$38-1,0)),IF(AND($L$37=0,$P$34=0),"",$L$37-1),IF($R$17="Distrato",$E453,0))),0,YEARFRAC(MAX($P$34*($B453+IF($R$17="Distrato",$I$38-1,0)),IF(AND($L$37=0,$P$34=0),"",$L$37-1),IF($R$17="Distrato",$E453,0)),MIN(AB$38,$D$19),$P$20))-SUM($P453:AA453)</f>
        <v>#VALUE!</v>
      </c>
      <c r="AC453" s="446" t="e">
        <f>IF(OR($B453="",MIN(AC$38,$D$19)&lt;MAX($P$34*($B453+IF($R$17="Distrato",$I$38-1,0)),IF(AND($L$37=0,$P$34=0),"",$L$37-1),IF($R$17="Distrato",$E453,0))),0,YEARFRAC(MAX($P$34*($B453+IF($R$17="Distrato",$I$38-1,0)),IF(AND($L$37=0,$P$34=0),"",$L$37-1),IF($R$17="Distrato",$E453,0)),MIN(AC$38,$D$19),$P$20))-SUM($P453:AB453)</f>
        <v>#VALUE!</v>
      </c>
      <c r="AD453" s="446" t="e">
        <f>IF(OR($B453="",MIN(AD$38,$D$19)&lt;MAX($P$34*($B453+IF($R$17="Distrato",$I$38-1,0)),IF(AND($L$37=0,$P$34=0),"",$L$37-1),IF($R$17="Distrato",$E453,0))),0,YEARFRAC(MAX($P$34*($B453+IF($R$17="Distrato",$I$38-1,0)),IF(AND($L$37=0,$P$34=0),"",$L$37-1),IF($R$17="Distrato",$E453,0)),MIN(AD$38,$D$19),$P$20))-SUM($P453:AC453)</f>
        <v>#VALUE!</v>
      </c>
      <c r="AE453" s="446" t="e">
        <f>IF(OR($B453="",MIN(AE$38,$D$19)&lt;MAX($P$34*($B453+IF($R$17="Distrato",$I$38-1,0)),IF(AND($L$37=0,$P$34=0),"",$L$37-1),IF($R$17="Distrato",$E453,0))),0,YEARFRAC(MAX($P$34*($B453+IF($R$17="Distrato",$I$38-1,0)),IF(AND($L$37=0,$P$34=0),"",$L$37-1),IF($R$17="Distrato",$E453,0)),MIN(AE$38,$D$19),$P$20))-SUM($P453:AD453)</f>
        <v>#VALUE!</v>
      </c>
      <c r="AF453" s="446" t="e">
        <f>IF(OR($B453="",MIN(AF$38,$D$19)&lt;MAX($P$34*($B453+IF($R$17="Distrato",$I$38-1,0)),IF(AND($L$37=0,$P$34=0),"",$L$37-1),IF($R$17="Distrato",$E453,0))),0,YEARFRAC(MAX($P$34*($B453+IF($R$17="Distrato",$I$38-1,0)),IF(AND($L$37=0,$P$34=0),"",$L$37-1),IF($R$17="Distrato",$E453,0)),MIN(AF$38,$D$19),$P$20))-SUM($P453:AE453)</f>
        <v>#VALUE!</v>
      </c>
      <c r="AG453" s="446" t="e">
        <f>IF(OR($B453="",MIN(AG$38,$D$19)&lt;MAX($P$34*($B453+IF($R$17="Distrato",$I$38-1,0)),IF(AND($L$37=0,$P$34=0),"",$L$37-1),IF($R$17="Distrato",$E453,0))),0,YEARFRAC(MAX($P$34*($B453+IF($R$17="Distrato",$I$38-1,0)),IF(AND($L$37=0,$P$34=0),"",$L$37-1),IF($R$17="Distrato",$E453,0)),MIN(AG$38,$D$19),$P$20))-SUM($P453:AF453)</f>
        <v>#VALUE!</v>
      </c>
      <c r="AH453" s="446" t="e">
        <f>IF(OR($B453="",MIN(AH$38,$D$19)&lt;MAX($P$34*($B453+IF($R$17="Distrato",$I$38-1,0)),IF(AND($L$37=0,$P$34=0),"",$L$37-1),IF($R$17="Distrato",$E453,0))),0,YEARFRAC(MAX($P$34*($B453+IF($R$17="Distrato",$I$38-1,0)),IF(AND($L$37=0,$P$34=0),"",$L$37-1),IF($R$17="Distrato",$E453,0)),MIN(AH$38,$D$19),$P$20))-SUM($P453:AG453)</f>
        <v>#VALUE!</v>
      </c>
      <c r="AI453" s="446" t="e">
        <f>IF(OR($B453="",MIN(AI$38,$D$19)&lt;MAX($P$34*($B453+IF($R$17="Distrato",$I$38-1,0)),IF(AND($L$37=0,$P$34=0),"",$L$37-1),IF($R$17="Distrato",$E453,0))),0,YEARFRAC(MAX($P$34*($B453+IF($R$17="Distrato",$I$38-1,0)),IF(AND($L$37=0,$P$34=0),"",$L$37-1),IF($R$17="Distrato",$E453,0)),MIN(AI$38,$D$19),$P$20))-SUM($P453:AH453)</f>
        <v>#VALUE!</v>
      </c>
      <c r="AJ453" s="446" t="e">
        <f>IF(OR($B453="",MIN(AJ$38,$D$19)&lt;MAX($P$34*($B453+IF($R$17="Distrato",$I$38-1,0)),IF(AND($L$37=0,$P$34=0),"",$L$37-1),IF($R$17="Distrato",$E453,0))),0,YEARFRAC(MAX($P$34*($B453+IF($R$17="Distrato",$I$38-1,0)),IF(AND($L$37=0,$P$34=0),"",$L$37-1),IF($R$17="Distrato",$E453,0)),MIN(AJ$38,$D$19),$P$20))-SUM($P453:AI453)</f>
        <v>#VALUE!</v>
      </c>
      <c r="AK453" s="446" t="e">
        <f>IF(OR($B453="",MIN(AK$38,$D$19)&lt;MAX($P$34*($B453+IF($R$17="Distrato",$I$38-1,0)),IF(AND($L$37=0,$P$34=0),"",$L$37-1),IF($R$17="Distrato",$E453,0))),0,YEARFRAC(MAX($P$34*($B453+IF($R$17="Distrato",$I$38-1,0)),IF(AND($L$37=0,$P$34=0),"",$L$37-1),IF($R$17="Distrato",$E453,0)),MIN(AK$38,$D$19),$P$20))-SUM($P453:AJ453)</f>
        <v>#VALUE!</v>
      </c>
      <c r="AL453" s="446" t="e">
        <f>IF(OR($B453="",MIN(AL$38,$D$19)&lt;MAX($P$34*($B453+IF($R$17="Distrato",$I$38-1,0)),IF(AND($L$37=0,$P$34=0),"",$L$37-1),IF($R$17="Distrato",$E453,0))),0,YEARFRAC(MAX($P$34*($B453+IF($R$17="Distrato",$I$38-1,0)),IF(AND($L$37=0,$P$34=0),"",$L$37-1),IF($R$17="Distrato",$E453,0)),MIN(AL$38,$D$19),$P$20))-SUM($P453:AK453)</f>
        <v>#VALUE!</v>
      </c>
      <c r="AM453" s="446" t="e">
        <f>IF(OR($B453="",MIN(AM$38,$D$19)&lt;MAX($P$34*($B453+IF($R$17="Distrato",$I$38-1,0)),IF(AND($L$37=0,$P$34=0),"",$L$37-1),IF($R$17="Distrato",$E453,0))),0,YEARFRAC(MAX($P$34*($B453+IF($R$17="Distrato",$I$38-1,0)),IF(AND($L$37=0,$P$34=0),"",$L$37-1),IF($R$17="Distrato",$E453,0)),MIN(AM$38,$D$19),$P$20))-SUM($P453:AL453)</f>
        <v>#VALUE!</v>
      </c>
      <c r="AN453" s="446" t="e">
        <f>IF(OR($B453="",MIN(AN$38,$D$19)&lt;MAX($P$34*($B453+IF($R$17="Distrato",$I$38-1,0)),IF(AND($L$37=0,$P$34=0),"",$L$37-1),IF($R$17="Distrato",$E453,0))),0,YEARFRAC(MAX($P$34*($B453+IF($R$17="Distrato",$I$38-1,0)),IF(AND($L$37=0,$P$34=0),"",$L$37-1),IF($R$17="Distrato",$E453,0)),MIN(AN$38,$D$19),$P$20))-SUM($P453:AM453)</f>
        <v>#VALUE!</v>
      </c>
      <c r="AO453" s="446" t="e">
        <f>IF(OR($B453="",MIN(AO$38,$D$19)&lt;MAX($P$34*($B453+IF($R$17="Distrato",$I$38-1,0)),IF(AND($L$37=0,$P$34=0),"",$L$37-1),IF($R$17="Distrato",$E453,0))),0,YEARFRAC(MAX($P$34*($B453+IF($R$17="Distrato",$I$38-1,0)),IF(AND($L$37=0,$P$34=0),"",$L$37-1),IF($R$17="Distrato",$E453,0)),MIN(AO$38,$D$19),$P$20))-SUM($P453:AN453)</f>
        <v>#VALUE!</v>
      </c>
      <c r="AP453" s="446" t="e">
        <f>IF(OR($B453="",MIN(AP$38,$D$19)&lt;MAX($P$34*($B453+IF($R$17="Distrato",$I$38-1,0)),IF(AND($L$37=0,$P$34=0),"",$L$37-1),IF($R$17="Distrato",$E453,0))),0,YEARFRAC(MAX($P$34*($B453+IF($R$17="Distrato",$I$38-1,0)),IF(AND($L$37=0,$P$34=0),"",$L$37-1),IF($R$17="Distrato",$E453,0)),MIN(AP$38,$D$19),$P$20))-SUM($P453:AO453)</f>
        <v>#VALUE!</v>
      </c>
      <c r="AQ453" s="446" t="e">
        <f>IF(OR($B453="",MIN(AQ$38,$D$19)&lt;MAX($P$34*($B453+IF($R$17="Distrato",$I$38-1,0)),IF(AND($L$37=0,$P$34=0),"",$L$37-1),IF($R$17="Distrato",$E453,0))),0,YEARFRAC(MAX($P$34*($B453+IF($R$17="Distrato",$I$38-1,0)),IF(AND($L$37=0,$P$34=0),"",$L$37-1),IF($R$17="Distrato",$E453,0)),MIN(AQ$38,$D$19),$P$20))-SUM($P453:AP453)</f>
        <v>#VALUE!</v>
      </c>
      <c r="AR453" s="446" t="e">
        <f>IF(OR($B453="",MIN(AR$38,$D$19)&lt;MAX($P$34*($B453+IF($R$17="Distrato",$I$38-1,0)),IF(AND($L$37=0,$P$34=0),"",$L$37-1),IF($R$17="Distrato",$E453,0))),0,YEARFRAC(MAX($P$34*($B453+IF($R$17="Distrato",$I$38-1,0)),IF(AND($L$37=0,$P$34=0),"",$L$37-1),IF($R$17="Distrato",$E453,0)),MIN(AR$38,$D$19),$P$20))-SUM($P453:AQ453)</f>
        <v>#VALUE!</v>
      </c>
      <c r="AS453" s="446" t="e">
        <f>IF(OR($B453="",MIN(AS$38,$D$19)&lt;MAX($P$34*($B453+IF($R$17="Distrato",$I$38-1,0)),IF(AND($L$37=0,$P$34=0),"",$L$37-1),IF($R$17="Distrato",$E453,0))),0,YEARFRAC(MAX($P$34*($B453+IF($R$17="Distrato",$I$38-1,0)),IF(AND($L$37=0,$P$34=0),"",$L$37-1),IF($R$17="Distrato",$E453,0)),MIN(AS$38,$D$19),$P$20))-SUM($P453:AR453)</f>
        <v>#VALUE!</v>
      </c>
      <c r="AT453" s="446" t="e">
        <f>IF(OR($B453="",MIN(AT$38,$D$19)&lt;MAX($P$34*($B453+IF($R$17="Distrato",$I$38-1,0)),IF(AND($L$37=0,$P$34=0),"",$L$37-1),IF($R$17="Distrato",$E453,0))),0,YEARFRAC(MAX($P$34*($B453+IF($R$17="Distrato",$I$38-1,0)),IF(AND($L$37=0,$P$34=0),"",$L$37-1),IF($R$17="Distrato",$E453,0)),MIN(AT$38,$D$19),$P$20))-SUM($P453:AS453)</f>
        <v>#VALUE!</v>
      </c>
      <c r="AU453" s="446" t="e">
        <f>IF(OR($B453="",MIN(AU$38,$D$19)&lt;MAX($P$34*($B453+IF($R$17="Distrato",$I$38-1,0)),IF(AND($L$37=0,$P$34=0),"",$L$37-1),IF($R$17="Distrato",$E453,0))),0,YEARFRAC(MAX($P$34*($B453+IF($R$17="Distrato",$I$38-1,0)),IF(AND($L$37=0,$P$34=0),"",$L$37-1),IF($R$17="Distrato",$E453,0)),MIN(AU$38,$D$19),$P$20))-SUM($P453:AT453)</f>
        <v>#VALUE!</v>
      </c>
      <c r="AV453" s="446" t="e">
        <f>IF(OR($B453="",MIN(AV$38,$D$19)&lt;MAX($P$34*($B453+IF($R$17="Distrato",$I$38-1,0)),IF(AND($L$37=0,$P$34=0),"",$L$37-1),IF($R$17="Distrato",$E453,0))),0,YEARFRAC(MAX($P$34*($B453+IF($R$17="Distrato",$I$38-1,0)),IF(AND($L$37=0,$P$34=0),"",$L$37-1),IF($R$17="Distrato",$E453,0)),MIN(AV$38,$D$19),$P$20))-SUM($P453:AU453)</f>
        <v>#VALUE!</v>
      </c>
      <c r="AW453" s="446" t="e">
        <f>IF(OR($B453="",MIN(AW$38,$D$19)&lt;MAX($P$34*($B453+IF($R$17="Distrato",$I$38-1,0)),IF(AND($L$37=0,$P$34=0),"",$L$37-1),IF($R$17="Distrato",$E453,0))),0,YEARFRAC(MAX($P$34*($B453+IF($R$17="Distrato",$I$38-1,0)),IF(AND($L$37=0,$P$34=0),"",$L$37-1),IF($R$17="Distrato",$E453,0)),MIN(AW$38,$D$19),$P$20))-SUM($P453:AV453)</f>
        <v>#VALUE!</v>
      </c>
      <c r="AX453" s="446" t="e">
        <f>IF(OR($B453="",MIN(AX$38,$D$19)&lt;MAX($P$34*($B453+IF($R$17="Distrato",$I$38-1,0)),IF(AND($L$37=0,$P$34=0),"",$L$37-1),IF($R$17="Distrato",$E453,0))),0,YEARFRAC(MAX($P$34*($B453+IF($R$17="Distrato",$I$38-1,0)),IF(AND($L$37=0,$P$34=0),"",$L$37-1),IF($R$17="Distrato",$E453,0)),MIN(AX$38,$D$19),$P$20))-SUM($P453:AW453)</f>
        <v>#VALUE!</v>
      </c>
      <c r="AY453" s="446" t="e">
        <f>IF(OR($B453="",MIN(AY$38,$D$19)&lt;MAX($P$34*($B453+IF($R$17="Distrato",$I$38-1,0)),IF(AND($L$37=0,$P$34=0),"",$L$37-1),IF($R$17="Distrato",$E453,0))),0,YEARFRAC(MAX($P$34*($B453+IF($R$17="Distrato",$I$38-1,0)),IF(AND($L$37=0,$P$34=0),"",$L$37-1),IF($R$17="Distrato",$E453,0)),MIN(AY$38,$D$19),$P$20))-SUM($P453:AX453)</f>
        <v>#VALUE!</v>
      </c>
      <c r="AZ453" s="446" t="e">
        <f>IF(OR($B453="",MIN(AZ$38,$D$19)&lt;MAX($P$34*($B453+IF($R$17="Distrato",$I$38-1,0)),IF(AND($L$37=0,$P$34=0),"",$L$37-1),IF($R$17="Distrato",$E453,0))),0,YEARFRAC(MAX($P$34*($B453+IF($R$17="Distrato",$I$38-1,0)),IF(AND($L$37=0,$P$34=0),"",$L$37-1),IF($R$17="Distrato",$E453,0)),MIN(AZ$38,$D$19),$P$20))-SUM($P453:AY453)</f>
        <v>#VALUE!</v>
      </c>
      <c r="BA453" s="446" t="e">
        <f>IF(OR($B453="",MIN(BA$38,$D$19)&lt;MAX($P$34*($B453+IF($R$17="Distrato",$I$38-1,0)),IF(AND($L$37=0,$P$34=0),"",$L$37-1),IF($R$17="Distrato",$E453,0))),0,YEARFRAC(MAX($P$34*($B453+IF($R$17="Distrato",$I$38-1,0)),IF(AND($L$37=0,$P$34=0),"",$L$37-1),IF($R$17="Distrato",$E453,0)),MIN(BA$38,$D$19),$P$20))-SUM($P453:AZ453)</f>
        <v>#VALUE!</v>
      </c>
      <c r="BB453" s="447"/>
      <c r="BF453" s="446">
        <f t="shared" si="76"/>
        <v>0</v>
      </c>
      <c r="BG453" s="446">
        <f>IF($E453=0,0,IF(MIN(BG$38,$E453)&lt;MAX($P$34*($B453+$I$38-1),IF(AND($L$37=0,$P$34=0),"",$L$37-1)),0,YEARFRAC(MAX($P$34*($B453+$I$38-1),IF(AND($L$37=0,$P$34=0),"",$L$37-1)),MIN(BG$38,$E453),$P$20))-SUM($BF453:BF453))</f>
        <v>0</v>
      </c>
      <c r="BH453" s="446">
        <f>IF($E453=0,0,IF(MIN(BH$38,$E453)&lt;MAX($P$34*($B453+$I$38-1),IF(AND($L$37=0,$P$34=0),"",$L$37-1)),0,YEARFRAC(MAX($P$34*($B453+$I$38-1),IF(AND($L$37=0,$P$34=0),"",$L$37-1)),MIN(BH$38,$E453),$P$20))-SUM($BF453:BG453))</f>
        <v>0</v>
      </c>
      <c r="BI453" s="446">
        <f>IF($E453=0,0,IF(MIN(BI$38,$E453)&lt;MAX($P$34*($B453+$I$38-1),IF(AND($L$37=0,$P$34=0),"",$L$37-1)),0,YEARFRAC(MAX($P$34*($B453+$I$38-1),IF(AND($L$37=0,$P$34=0),"",$L$37-1)),MIN(BI$38,$E453),$P$20))-SUM($BF453:BH453))</f>
        <v>0</v>
      </c>
      <c r="BJ453" s="446">
        <f>IF($E453=0,0,IF(MIN(BJ$38,$E453)&lt;MAX($P$34*($B453+$I$38-1),IF(AND($L$37=0,$P$34=0),"",$L$37-1)),0,YEARFRAC(MAX($P$34*($B453+$I$38-1),IF(AND($L$37=0,$P$34=0),"",$L$37-1)),MIN(BJ$38,$E453),$P$20))-SUM($BF453:BI453))</f>
        <v>0</v>
      </c>
      <c r="BK453" s="446">
        <f>IF($E453=0,0,IF(MIN(BK$38,$E453)&lt;MAX($P$34*($B453+$I$38-1),IF(AND($L$37=0,$P$34=0),"",$L$37-1)),0,YEARFRAC(MAX($P$34*($B453+$I$38-1),IF(AND($L$37=0,$P$34=0),"",$L$37-1)),MIN(BK$38,$E453),$P$20))-SUM($BF453:BJ453))</f>
        <v>0</v>
      </c>
      <c r="BL453" s="446">
        <f>IF($E453=0,0,IF(MIN(BL$38,$E453)&lt;MAX($P$34*($B453+$I$38-1),IF(AND($L$37=0,$P$34=0),"",$L$37-1)),0,YEARFRAC(MAX($P$34*($B453+$I$38-1),IF(AND($L$37=0,$P$34=0),"",$L$37-1)),MIN(BL$38,$E453),$P$20))-SUM($BF453:BK453))</f>
        <v>0</v>
      </c>
      <c r="BM453" s="446">
        <f>IF($E453=0,0,IF(MIN(BM$38,$E453)&lt;MAX($P$34*($B453+$I$38-1),IF(AND($L$37=0,$P$34=0),"",$L$37-1)),0,YEARFRAC(MAX($P$34*($B453+$I$38-1),IF(AND($L$37=0,$P$34=0),"",$L$37-1)),MIN(BM$38,$E453),$P$20))-SUM($BF453:BL453))</f>
        <v>0</v>
      </c>
      <c r="BN453" s="446">
        <f>IF($E453=0,0,IF(MIN(BN$38,$E453)&lt;MAX($P$34*($B453+$I$38-1),IF(AND($L$37=0,$P$34=0),"",$L$37-1)),0,YEARFRAC(MAX($P$34*($B453+$I$38-1),IF(AND($L$37=0,$P$34=0),"",$L$37-1)),MIN(BN$38,$E453),$P$20))-SUM($BF453:BM453))</f>
        <v>0</v>
      </c>
      <c r="BO453" s="446">
        <f>IF($E453=0,0,IF(MIN(BO$38,$E453)&lt;MAX($P$34*($B453+$I$38-1),IF(AND($L$37=0,$P$34=0),"",$L$37-1)),0,YEARFRAC(MAX($P$34*($B453+$I$38-1),IF(AND($L$37=0,$P$34=0),"",$L$37-1)),MIN(BO$38,$E453),$P$20))-SUM($BF453:BN453))</f>
        <v>0</v>
      </c>
      <c r="BP453" s="446">
        <f>IF($E453=0,0,IF(MIN(BP$38,$E453)&lt;MAX($P$34*($B453+$I$38-1),IF(AND($L$37=0,$P$34=0),"",$L$37-1)),0,YEARFRAC(MAX($P$34*($B453+$I$38-1),IF(AND($L$37=0,$P$34=0),"",$L$37-1)),MIN(BP$38,$E453),$P$20))-SUM($BF453:BO453))</f>
        <v>0</v>
      </c>
      <c r="BQ453" s="446">
        <f>IF($E453=0,0,IF(MIN(BQ$38,$E453)&lt;MAX($P$34*($B453+$I$38-1),IF(AND($L$37=0,$P$34=0),"",$L$37-1)),0,YEARFRAC(MAX($P$34*($B453+$I$38-1),IF(AND($L$37=0,$P$34=0),"",$L$37-1)),MIN(BQ$38,$E453),$P$20))-SUM($BF453:BP453))</f>
        <v>0</v>
      </c>
      <c r="BR453" s="446">
        <f>IF($E453=0,0,IF(MIN(BR$38,$E453)&lt;MAX($P$34*($B453+$I$38-1),IF(AND($L$37=0,$P$34=0),"",$L$37-1)),0,YEARFRAC(MAX($P$34*($B453+$I$38-1),IF(AND($L$37=0,$P$34=0),"",$L$37-1)),MIN(BR$38,$E453),$P$20))-SUM($BF453:BQ453))</f>
        <v>0</v>
      </c>
      <c r="BS453" s="446">
        <f>IF($E453=0,0,IF(MIN(BS$38,$E453)&lt;MAX($P$34*($B453+$I$38-1),IF(AND($L$37=0,$P$34=0),"",$L$37-1)),0,YEARFRAC(MAX($P$34*($B453+$I$38-1),IF(AND($L$37=0,$P$34=0),"",$L$37-1)),MIN(BS$38,$E453),$P$20))-SUM($BF453:BR453))</f>
        <v>0</v>
      </c>
      <c r="BT453" s="446">
        <f>IF($E453=0,0,IF(MIN(BT$38,$E453)&lt;MAX($P$34*($B453+$I$38-1),IF(AND($L$37=0,$P$34=0),"",$L$37-1)),0,YEARFRAC(MAX($P$34*($B453+$I$38-1),IF(AND($L$37=0,$P$34=0),"",$L$37-1)),MIN(BT$38,$E453),$P$20))-SUM($BF453:BS453))</f>
        <v>0</v>
      </c>
      <c r="BU453" s="446">
        <f>IF($E453=0,0,IF(MIN(BU$38,$E453)&lt;MAX($P$34*($B453+$I$38-1),IF(AND($L$37=0,$P$34=0),"",$L$37-1)),0,YEARFRAC(MAX($P$34*($B453+$I$38-1),IF(AND($L$37=0,$P$34=0),"",$L$37-1)),MIN(BU$38,$E453),$P$20))-SUM($BF453:BT453))</f>
        <v>0</v>
      </c>
      <c r="BV453" s="446">
        <f>IF($E453=0,0,IF(MIN(BV$38,$E453)&lt;MAX($P$34*($B453+$I$38-1),IF(AND($L$37=0,$P$34=0),"",$L$37-1)),0,YEARFRAC(MAX($P$34*($B453+$I$38-1),IF(AND($L$37=0,$P$34=0),"",$L$37-1)),MIN(BV$38,$E453),$P$20))-SUM($BF453:BU453))</f>
        <v>0</v>
      </c>
      <c r="BW453" s="446">
        <f>IF($E453=0,0,IF(MIN(BW$38,$E453)&lt;MAX($P$34*($B453+$I$38-1),IF(AND($L$37=0,$P$34=0),"",$L$37-1)),0,YEARFRAC(MAX($P$34*($B453+$I$38-1),IF(AND($L$37=0,$P$34=0),"",$L$37-1)),MIN(BW$38,$E453),$P$20))-SUM($BF453:BV453))</f>
        <v>0</v>
      </c>
      <c r="BX453" s="446">
        <f>IF($E453=0,0,IF(MIN(BX$38,$E453)&lt;MAX($P$34*($B453+$I$38-1),IF(AND($L$37=0,$P$34=0),"",$L$37-1)),0,YEARFRAC(MAX($P$34*($B453+$I$38-1),IF(AND($L$37=0,$P$34=0),"",$L$37-1)),MIN(BX$38,$E453),$P$20))-SUM($BF453:BW453))</f>
        <v>0</v>
      </c>
      <c r="BY453" s="446">
        <f>IF($E453=0,0,IF(MIN(BY$38,$E453)&lt;MAX($P$34*($B453+$I$38-1),IF(AND($L$37=0,$P$34=0),"",$L$37-1)),0,YEARFRAC(MAX($P$34*($B453+$I$38-1),IF(AND($L$37=0,$P$34=0),"",$L$37-1)),MIN(BY$38,$E453),$P$20))-SUM($BF453:BX453))</f>
        <v>0</v>
      </c>
      <c r="BZ453" s="446">
        <f>IF($E453=0,0,IF(MIN(BZ$38,$E453)&lt;MAX($P$34*($B453+$I$38-1),IF(AND($L$37=0,$P$34=0),"",$L$37-1)),0,YEARFRAC(MAX($P$34*($B453+$I$38-1),IF(AND($L$37=0,$P$34=0),"",$L$37-1)),MIN(BZ$38,$E453),$P$20))-SUM($BF453:BY453))</f>
        <v>0</v>
      </c>
      <c r="CA453" s="446">
        <f>IF($E453=0,0,IF(MIN(CA$38,$E453)&lt;MAX($P$34*($B453+$I$38-1),IF(AND($L$37=0,$P$34=0),"",$L$37-1)),0,YEARFRAC(MAX($P$34*($B453+$I$38-1),IF(AND($L$37=0,$P$34=0),"",$L$37-1)),MIN(CA$38,$E453),$P$20))-SUM($BF453:BZ453))</f>
        <v>0</v>
      </c>
      <c r="CB453" s="446">
        <f>IF($E453=0,0,IF(MIN(CB$38,$E453)&lt;MAX($P$34*($B453+$I$38-1),IF(AND($L$37=0,$P$34=0),"",$L$37-1)),0,YEARFRAC(MAX($P$34*($B453+$I$38-1),IF(AND($L$37=0,$P$34=0),"",$L$37-1)),MIN(CB$38,$E453),$P$20))-SUM($BF453:CA453))</f>
        <v>0</v>
      </c>
      <c r="CC453" s="446">
        <f>IF($E453=0,0,IF(MIN(CC$38,$E453)&lt;MAX($P$34*($B453+$I$38-1),IF(AND($L$37=0,$P$34=0),"",$L$37-1)),0,YEARFRAC(MAX($P$34*($B453+$I$38-1),IF(AND($L$37=0,$P$34=0),"",$L$37-1)),MIN(CC$38,$E453),$P$20))-SUM($BF453:CB453))</f>
        <v>0</v>
      </c>
      <c r="CD453" s="446">
        <f>IF($E453=0,0,IF(MIN(CD$38,$E453)&lt;MAX($P$34*($B453+$I$38-1),IF(AND($L$37=0,$P$34=0),"",$L$37-1)),0,YEARFRAC(MAX($P$34*($B453+$I$38-1),IF(AND($L$37=0,$P$34=0),"",$L$37-1)),MIN(CD$38,$E453),$P$20))-SUM($BF453:CC453))</f>
        <v>0</v>
      </c>
      <c r="CE453" s="446">
        <f>IF($E453=0,0,IF(MIN(CE$38,$E453)&lt;MAX($P$34*($B453+$I$38-1),IF(AND($L$37=0,$P$34=0),"",$L$37-1)),0,YEARFRAC(MAX($P$34*($B453+$I$38-1),IF(AND($L$37=0,$P$34=0),"",$L$37-1)),MIN(CE$38,$E453),$P$20))-SUM($BF453:CD453))</f>
        <v>0</v>
      </c>
      <c r="CF453" s="446">
        <f>IF($E453=0,0,IF(MIN(CF$38,$E453)&lt;MAX($P$34*($B453+$I$38-1),IF(AND($L$37=0,$P$34=0),"",$L$37-1)),0,YEARFRAC(MAX($P$34*($B453+$I$38-1),IF(AND($L$37=0,$P$34=0),"",$L$37-1)),MIN(CF$38,$E453),$P$20))-SUM($BF453:CE453))</f>
        <v>0</v>
      </c>
      <c r="CG453" s="446">
        <f>IF($E453=0,0,IF(MIN(CG$38,$E453)&lt;MAX($P$34*($B453+$I$38-1),IF(AND($L$37=0,$P$34=0),"",$L$37-1)),0,YEARFRAC(MAX($P$34*($B453+$I$38-1),IF(AND($L$37=0,$P$34=0),"",$L$37-1)),MIN(CG$38,$E453),$P$20))-SUM($BF453:CF453))</f>
        <v>0</v>
      </c>
      <c r="CH453" s="446">
        <f>IF($E453=0,0,IF(MIN(CH$38,$E453)&lt;MAX($P$34*($B453+$I$38-1),IF(AND($L$37=0,$P$34=0),"",$L$37-1)),0,YEARFRAC(MAX($P$34*($B453+$I$38-1),IF(AND($L$37=0,$P$34=0),"",$L$37-1)),MIN(CH$38,$E453),$P$20))-SUM($BF453:CG453))</f>
        <v>0</v>
      </c>
      <c r="CI453" s="446">
        <f>IF($E453=0,0,IF(MIN(CI$38,$E453)&lt;MAX($P$34*($B453+$I$38-1),IF(AND($L$37=0,$P$34=0),"",$L$37-1)),0,YEARFRAC(MAX($P$34*($B453+$I$38-1),IF(AND($L$37=0,$P$34=0),"",$L$37-1)),MIN(CI$38,$E453),$P$20))-SUM($BF453:CH453))</f>
        <v>0</v>
      </c>
      <c r="CJ453" s="446">
        <f>IF($E453=0,0,IF(MIN(CJ$38,$E453)&lt;MAX($P$34*($B453+$I$38-1),IF(AND($L$37=0,$P$34=0),"",$L$37-1)),0,YEARFRAC(MAX($P$34*($B453+$I$38-1),IF(AND($L$37=0,$P$34=0),"",$L$37-1)),MIN(CJ$38,$E453),$P$20))-SUM($BF453:CI453))</f>
        <v>0</v>
      </c>
      <c r="CK453" s="446">
        <f>IF($E453=0,0,IF(MIN(CK$38,$E453)&lt;MAX($P$34*($B453+$I$38-1),IF(AND($L$37=0,$P$34=0),"",$L$37-1)),0,YEARFRAC(MAX($P$34*($B453+$I$38-1),IF(AND($L$37=0,$P$34=0),"",$L$37-1)),MIN(CK$38,$E453),$P$20))-SUM($BF453:CJ453))</f>
        <v>0</v>
      </c>
      <c r="CL453" s="446">
        <f>IF($E453=0,0,IF(MIN(CL$38,$E453)&lt;MAX($P$34*($B453+$I$38-1),IF(AND($L$37=0,$P$34=0),"",$L$37-1)),0,YEARFRAC(MAX($P$34*($B453+$I$38-1),IF(AND($L$37=0,$P$34=0),"",$L$37-1)),MIN(CL$38,$E453),$P$20))-SUM($BF453:CK453))</f>
        <v>0</v>
      </c>
      <c r="CM453" s="446">
        <f>IF($E453=0,0,IF(MIN(CM$38,$E453)&lt;MAX($P$34*($B453+$I$38-1),IF(AND($L$37=0,$P$34=0),"",$L$37-1)),0,YEARFRAC(MAX($P$34*($B453+$I$38-1),IF(AND($L$37=0,$P$34=0),"",$L$37-1)),MIN(CM$38,$E453),$P$20))-SUM($BF453:CL453))</f>
        <v>0</v>
      </c>
      <c r="CN453" s="446">
        <f>IF($E453=0,0,IF(MIN(CN$38,$E453)&lt;MAX($P$34*($B453+$I$38-1),IF(AND($L$37=0,$P$34=0),"",$L$37-1)),0,YEARFRAC(MAX($P$34*($B453+$I$38-1),IF(AND($L$37=0,$P$34=0),"",$L$37-1)),MIN(CN$38,$E453),$P$20))-SUM($BF453:CM453))</f>
        <v>0</v>
      </c>
      <c r="CO453" s="446">
        <f>IF($E453=0,0,IF(MIN(CO$38,$E453)&lt;MAX($P$34*($B453+$I$38-1),IF(AND($L$37=0,$P$34=0),"",$L$37-1)),0,YEARFRAC(MAX($P$34*($B453+$I$38-1),IF(AND($L$37=0,$P$34=0),"",$L$37-1)),MIN(CO$38,$E453),$P$20))-SUM($BF453:CN453))</f>
        <v>0</v>
      </c>
      <c r="CP453" s="446">
        <f>IF($E453=0,0,IF(MIN(CP$38,$E453)&lt;MAX($P$34*($B453+$I$38-1),IF(AND($L$37=0,$P$34=0),"",$L$37-1)),0,YEARFRAC(MAX($P$34*($B453+$I$38-1),IF(AND($L$37=0,$P$34=0),"",$L$37-1)),MIN(CP$38,$E453),$P$20))-SUM($BF453:CO453))</f>
        <v>0</v>
      </c>
      <c r="CQ453" s="446">
        <f>IF($E453=0,0,IF(MIN(CQ$38,$E453)&lt;MAX($P$34*($B453+$I$38-1),IF(AND($L$37=0,$P$34=0),"",$L$37-1)),0,YEARFRAC(MAX($P$34*($B453+$I$38-1),IF(AND($L$37=0,$P$34=0),"",$L$37-1)),MIN(CQ$38,$E453),$P$20))-SUM($BF453:CP453))</f>
        <v>0</v>
      </c>
    </row>
    <row r="454" spans="1:95" s="446" customFormat="1" ht="11.25" hidden="1" customHeight="1" x14ac:dyDescent="0.2">
      <c r="A454" s="152"/>
      <c r="B454" s="153" t="str">
        <f t="shared" si="81"/>
        <v/>
      </c>
      <c r="C454" s="29" t="str">
        <f>IF(B454="","",IF($L$35="SELIC - TRIBUTOS",VLOOKUP(DATE(YEAR($D$19),MONTH($D$19)-1,1),ÍNDICES!$A:$DE,HLOOKUP($BL$25,ÍNDICES!$B$3:$T$4,2)+11)-VLOOKUP(B454,ÍNDICES!$A:$DE,HLOOKUP($BL$25,ÍNDICES!$B$3:$T$4,2)+11)+1%,IF(C$38=$W$26,$J$35,IF(ISERROR(IF(B454&gt;$D$19,1,VLOOKUP(DATE(YEAR(B454),MONTH(B454)+IF($C$35=$S$23,1,0),1),ÍNDICES!$A:$DE,$Z$35+1))),"",IF(B454&gt;$D$19,1,VLOOKUP(DATE(YEAR(B454),MONTH(B454)+IF($C$35=$S$23,1,0),1),ÍNDICES!$A:$DE,$Z$35+1))))))</f>
        <v/>
      </c>
      <c r="D454" s="154" t="str">
        <f>IF(ISERROR(IF(OR($D$38=$Y$27,$B454=""),"",VLOOKUP(B454,ÍNDICES!A:DE,AF$35+1))),"",IF(OR($D$38=$Y$27,$B454=""),"",VLOOKUP(B454,ÍNDICES!A:DE,AF$35+1)))</f>
        <v/>
      </c>
      <c r="E454" s="153"/>
      <c r="F454" s="29" t="str">
        <f>IF(E454="","",IF($L$35="SELIC - TRIBUTOS",VLOOKUP(DATE(YEAR($D$19),MONTH($D$19)-1,1),ÍNDICES!$A:$DE,HLOOKUP($BL$25,ÍNDICES!$B$3:$T$4,2)+11)-VLOOKUP(E454,ÍNDICES!$A:$DE,HLOOKUP($BL$25,ÍNDICES!$B$3:$T$4,2)+11)+1%,IF(F$38=$W$26,$J$35,IF(ISERROR(IF(E454&gt;$D$19,1,VLOOKUP(DATE(YEAR(E454),MONTH(E454)+IF($C$35=$S$23,1,0),1),ÍNDICES!$A:$DE,$Z$35+1))),"",IF(E454&gt;$D$19,1,VLOOKUP(DATE(YEAR(E454),MONTH(E454)+IF($C$35=$S$23,1,0),1),ÍNDICES!$A:$DE,$Z$35+1))))))</f>
        <v/>
      </c>
      <c r="G454" s="155"/>
      <c r="H454" s="156" t="str">
        <f t="shared" si="77"/>
        <v/>
      </c>
      <c r="I454" s="29" t="str">
        <f t="shared" si="71"/>
        <v/>
      </c>
      <c r="J454" s="5">
        <f t="shared" si="72"/>
        <v>0</v>
      </c>
      <c r="K454" s="20">
        <f t="shared" ca="1" si="73"/>
        <v>0</v>
      </c>
      <c r="L454" s="5">
        <f t="shared" ca="1" si="74"/>
        <v>0</v>
      </c>
      <c r="M454" s="64">
        <f t="shared" si="78"/>
        <v>0</v>
      </c>
      <c r="N454" s="61">
        <f t="shared" ca="1" si="79"/>
        <v>0</v>
      </c>
      <c r="O454" s="5">
        <f t="shared" ca="1" si="80"/>
        <v>0</v>
      </c>
      <c r="P454" s="446" t="e">
        <f t="shared" si="75"/>
        <v>#VALUE!</v>
      </c>
      <c r="Q454" s="446" t="e">
        <f>IF(OR($B454="",MIN(Q$38,$D$19)&lt;MAX($P$34*($B454+IF($R$17="Distrato",$I$38-1,0)),IF(AND($L$37=0,$P$34=0),"",$L$37-1),IF($R$17="Distrato",$E454,0))),0,YEARFRAC(MAX($P$34*($B454+IF($R$17="Distrato",$I$38-1,0)),IF(AND($L$37=0,$P$34=0),"",$L$37-1),IF($R$17="Distrato",$E454,0)),MIN(Q$38,$D$19),$P$20))-SUM($P454:P454)</f>
        <v>#VALUE!</v>
      </c>
      <c r="R454" s="446" t="e">
        <f>IF(OR($B454="",MIN(R$38,$D$19)&lt;MAX($P$34*($B454+IF($R$17="Distrato",$I$38-1,0)),IF(AND($L$37=0,$P$34=0),"",$L$37-1),IF($R$17="Distrato",$E454,0))),0,YEARFRAC(MAX($P$34*($B454+IF($R$17="Distrato",$I$38-1,0)),IF(AND($L$37=0,$P$34=0),"",$L$37-1),IF($R$17="Distrato",$E454,0)),MIN(R$38,$D$19),$P$20))-SUM($P454:Q454)</f>
        <v>#VALUE!</v>
      </c>
      <c r="S454" s="446" t="e">
        <f>IF(OR($B454="",MIN(S$38,$D$19)&lt;MAX($P$34*($B454+IF($R$17="Distrato",$I$38-1,0)),IF(AND($L$37=0,$P$34=0),"",$L$37-1),IF($R$17="Distrato",$E454,0))),0,YEARFRAC(MAX($P$34*($B454+IF($R$17="Distrato",$I$38-1,0)),IF(AND($L$37=0,$P$34=0),"",$L$37-1),IF($R$17="Distrato",$E454,0)),MIN(S$38,$D$19),$P$20))-SUM($P454:R454)</f>
        <v>#VALUE!</v>
      </c>
      <c r="T454" s="446" t="e">
        <f>IF(OR($B454="",MIN(T$38,$D$19)&lt;MAX($P$34*($B454+IF($R$17="Distrato",$I$38-1,0)),IF(AND($L$37=0,$P$34=0),"",$L$37-1),IF($R$17="Distrato",$E454,0))),0,YEARFRAC(MAX($P$34*($B454+IF($R$17="Distrato",$I$38-1,0)),IF(AND($L$37=0,$P$34=0),"",$L$37-1),IF($R$17="Distrato",$E454,0)),MIN(T$38,$D$19),$P$20))-SUM($P454:S454)</f>
        <v>#VALUE!</v>
      </c>
      <c r="U454" s="446" t="e">
        <f>IF(OR($B454="",MIN(U$38,$D$19)&lt;MAX($P$34*($B454+IF($R$17="Distrato",$I$38-1,0)),IF(AND($L$37=0,$P$34=0),"",$L$37-1),IF($R$17="Distrato",$E454,0))),0,YEARFRAC(MAX($P$34*($B454+IF($R$17="Distrato",$I$38-1,0)),IF(AND($L$37=0,$P$34=0),"",$L$37-1),IF($R$17="Distrato",$E454,0)),MIN(U$38,$D$19),$P$20))-SUM($P454:T454)</f>
        <v>#VALUE!</v>
      </c>
      <c r="V454" s="446" t="e">
        <f>IF(OR($B454="",MIN(V$38,$D$19)&lt;MAX($P$34*($B454+IF($R$17="Distrato",$I$38-1,0)),IF(AND($L$37=0,$P$34=0),"",$L$37-1),IF($R$17="Distrato",$E454,0))),0,YEARFRAC(MAX($P$34*($B454+IF($R$17="Distrato",$I$38-1,0)),IF(AND($L$37=0,$P$34=0),"",$L$37-1),IF($R$17="Distrato",$E454,0)),MIN(V$38,$D$19),$P$20))-SUM($P454:U454)</f>
        <v>#VALUE!</v>
      </c>
      <c r="W454" s="446" t="e">
        <f>IF(OR($B454="",MIN(W$38,$D$19)&lt;MAX($P$34*($B454+IF($R$17="Distrato",$I$38-1,0)),IF(AND($L$37=0,$P$34=0),"",$L$37-1),IF($R$17="Distrato",$E454,0))),0,YEARFRAC(MAX($P$34*($B454+IF($R$17="Distrato",$I$38-1,0)),IF(AND($L$37=0,$P$34=0),"",$L$37-1),IF($R$17="Distrato",$E454,0)),MIN(W$38,$D$19),$P$20))-SUM($P454:V454)</f>
        <v>#VALUE!</v>
      </c>
      <c r="X454" s="446" t="e">
        <f>IF(OR($B454="",MIN(X$38,$D$19)&lt;MAX($P$34*($B454+IF($R$17="Distrato",$I$38-1,0)),IF(AND($L$37=0,$P$34=0),"",$L$37-1),IF($R$17="Distrato",$E454,0))),0,YEARFRAC(MAX($P$34*($B454+IF($R$17="Distrato",$I$38-1,0)),IF(AND($L$37=0,$P$34=0),"",$L$37-1),IF($R$17="Distrato",$E454,0)),MIN(X$38,$D$19),$P$20))-SUM($P454:W454)</f>
        <v>#VALUE!</v>
      </c>
      <c r="Y454" s="446" t="e">
        <f>IF(OR($B454="",MIN(Y$38,$D$19)&lt;MAX($P$34*($B454+IF($R$17="Distrato",$I$38-1,0)),IF(AND($L$37=0,$P$34=0),"",$L$37-1),IF($R$17="Distrato",$E454,0))),0,YEARFRAC(MAX($P$34*($B454+IF($R$17="Distrato",$I$38-1,0)),IF(AND($L$37=0,$P$34=0),"",$L$37-1),IF($R$17="Distrato",$E454,0)),MIN(Y$38,$D$19),$P$20))-SUM($P454:X454)</f>
        <v>#VALUE!</v>
      </c>
      <c r="Z454" s="446" t="e">
        <f>IF(OR($B454="",MIN(Z$38,$D$19)&lt;MAX($P$34*($B454+IF($R$17="Distrato",$I$38-1,0)),IF(AND($L$37=0,$P$34=0),"",$L$37-1),IF($R$17="Distrato",$E454,0))),0,YEARFRAC(MAX($P$34*($B454+IF($R$17="Distrato",$I$38-1,0)),IF(AND($L$37=0,$P$34=0),"",$L$37-1),IF($R$17="Distrato",$E454,0)),MIN(Z$38,$D$19),$P$20))-SUM($P454:Y454)</f>
        <v>#VALUE!</v>
      </c>
      <c r="AA454" s="446" t="e">
        <f>IF(OR($B454="",MIN(AA$38,$D$19)&lt;MAX($P$34*($B454+IF($R$17="Distrato",$I$38-1,0)),IF(AND($L$37=0,$P$34=0),"",$L$37-1),IF($R$17="Distrato",$E454,0))),0,YEARFRAC(MAX($P$34*($B454+IF($R$17="Distrato",$I$38-1,0)),IF(AND($L$37=0,$P$34=0),"",$L$37-1),IF($R$17="Distrato",$E454,0)),MIN(AA$38,$D$19),$P$20))-SUM($P454:Z454)</f>
        <v>#VALUE!</v>
      </c>
      <c r="AB454" s="446" t="e">
        <f>IF(OR($B454="",MIN(AB$38,$D$19)&lt;MAX($P$34*($B454+IF($R$17="Distrato",$I$38-1,0)),IF(AND($L$37=0,$P$34=0),"",$L$37-1),IF($R$17="Distrato",$E454,0))),0,YEARFRAC(MAX($P$34*($B454+IF($R$17="Distrato",$I$38-1,0)),IF(AND($L$37=0,$P$34=0),"",$L$37-1),IF($R$17="Distrato",$E454,0)),MIN(AB$38,$D$19),$P$20))-SUM($P454:AA454)</f>
        <v>#VALUE!</v>
      </c>
      <c r="AC454" s="446" t="e">
        <f>IF(OR($B454="",MIN(AC$38,$D$19)&lt;MAX($P$34*($B454+IF($R$17="Distrato",$I$38-1,0)),IF(AND($L$37=0,$P$34=0),"",$L$37-1),IF($R$17="Distrato",$E454,0))),0,YEARFRAC(MAX($P$34*($B454+IF($R$17="Distrato",$I$38-1,0)),IF(AND($L$37=0,$P$34=0),"",$L$37-1),IF($R$17="Distrato",$E454,0)),MIN(AC$38,$D$19),$P$20))-SUM($P454:AB454)</f>
        <v>#VALUE!</v>
      </c>
      <c r="AD454" s="446" t="e">
        <f>IF(OR($B454="",MIN(AD$38,$D$19)&lt;MAX($P$34*($B454+IF($R$17="Distrato",$I$38-1,0)),IF(AND($L$37=0,$P$34=0),"",$L$37-1),IF($R$17="Distrato",$E454,0))),0,YEARFRAC(MAX($P$34*($B454+IF($R$17="Distrato",$I$38-1,0)),IF(AND($L$37=0,$P$34=0),"",$L$37-1),IF($R$17="Distrato",$E454,0)),MIN(AD$38,$D$19),$P$20))-SUM($P454:AC454)</f>
        <v>#VALUE!</v>
      </c>
      <c r="AE454" s="446" t="e">
        <f>IF(OR($B454="",MIN(AE$38,$D$19)&lt;MAX($P$34*($B454+IF($R$17="Distrato",$I$38-1,0)),IF(AND($L$37=0,$P$34=0),"",$L$37-1),IF($R$17="Distrato",$E454,0))),0,YEARFRAC(MAX($P$34*($B454+IF($R$17="Distrato",$I$38-1,0)),IF(AND($L$37=0,$P$34=0),"",$L$37-1),IF($R$17="Distrato",$E454,0)),MIN(AE$38,$D$19),$P$20))-SUM($P454:AD454)</f>
        <v>#VALUE!</v>
      </c>
      <c r="AF454" s="446" t="e">
        <f>IF(OR($B454="",MIN(AF$38,$D$19)&lt;MAX($P$34*($B454+IF($R$17="Distrato",$I$38-1,0)),IF(AND($L$37=0,$P$34=0),"",$L$37-1),IF($R$17="Distrato",$E454,0))),0,YEARFRAC(MAX($P$34*($B454+IF($R$17="Distrato",$I$38-1,0)),IF(AND($L$37=0,$P$34=0),"",$L$37-1),IF($R$17="Distrato",$E454,0)),MIN(AF$38,$D$19),$P$20))-SUM($P454:AE454)</f>
        <v>#VALUE!</v>
      </c>
      <c r="AG454" s="446" t="e">
        <f>IF(OR($B454="",MIN(AG$38,$D$19)&lt;MAX($P$34*($B454+IF($R$17="Distrato",$I$38-1,0)),IF(AND($L$37=0,$P$34=0),"",$L$37-1),IF($R$17="Distrato",$E454,0))),0,YEARFRAC(MAX($P$34*($B454+IF($R$17="Distrato",$I$38-1,0)),IF(AND($L$37=0,$P$34=0),"",$L$37-1),IF($R$17="Distrato",$E454,0)),MIN(AG$38,$D$19),$P$20))-SUM($P454:AF454)</f>
        <v>#VALUE!</v>
      </c>
      <c r="AH454" s="446" t="e">
        <f>IF(OR($B454="",MIN(AH$38,$D$19)&lt;MAX($P$34*($B454+IF($R$17="Distrato",$I$38-1,0)),IF(AND($L$37=0,$P$34=0),"",$L$37-1),IF($R$17="Distrato",$E454,0))),0,YEARFRAC(MAX($P$34*($B454+IF($R$17="Distrato",$I$38-1,0)),IF(AND($L$37=0,$P$34=0),"",$L$37-1),IF($R$17="Distrato",$E454,0)),MIN(AH$38,$D$19),$P$20))-SUM($P454:AG454)</f>
        <v>#VALUE!</v>
      </c>
      <c r="AI454" s="446" t="e">
        <f>IF(OR($B454="",MIN(AI$38,$D$19)&lt;MAX($P$34*($B454+IF($R$17="Distrato",$I$38-1,0)),IF(AND($L$37=0,$P$34=0),"",$L$37-1),IF($R$17="Distrato",$E454,0))),0,YEARFRAC(MAX($P$34*($B454+IF($R$17="Distrato",$I$38-1,0)),IF(AND($L$37=0,$P$34=0),"",$L$37-1),IF($R$17="Distrato",$E454,0)),MIN(AI$38,$D$19),$P$20))-SUM($P454:AH454)</f>
        <v>#VALUE!</v>
      </c>
      <c r="AJ454" s="446" t="e">
        <f>IF(OR($B454="",MIN(AJ$38,$D$19)&lt;MAX($P$34*($B454+IF($R$17="Distrato",$I$38-1,0)),IF(AND($L$37=0,$P$34=0),"",$L$37-1),IF($R$17="Distrato",$E454,0))),0,YEARFRAC(MAX($P$34*($B454+IF($R$17="Distrato",$I$38-1,0)),IF(AND($L$37=0,$P$34=0),"",$L$37-1),IF($R$17="Distrato",$E454,0)),MIN(AJ$38,$D$19),$P$20))-SUM($P454:AI454)</f>
        <v>#VALUE!</v>
      </c>
      <c r="AK454" s="446" t="e">
        <f>IF(OR($B454="",MIN(AK$38,$D$19)&lt;MAX($P$34*($B454+IF($R$17="Distrato",$I$38-1,0)),IF(AND($L$37=0,$P$34=0),"",$L$37-1),IF($R$17="Distrato",$E454,0))),0,YEARFRAC(MAX($P$34*($B454+IF($R$17="Distrato",$I$38-1,0)),IF(AND($L$37=0,$P$34=0),"",$L$37-1),IF($R$17="Distrato",$E454,0)),MIN(AK$38,$D$19),$P$20))-SUM($P454:AJ454)</f>
        <v>#VALUE!</v>
      </c>
      <c r="AL454" s="446" t="e">
        <f>IF(OR($B454="",MIN(AL$38,$D$19)&lt;MAX($P$34*($B454+IF($R$17="Distrato",$I$38-1,0)),IF(AND($L$37=0,$P$34=0),"",$L$37-1),IF($R$17="Distrato",$E454,0))),0,YEARFRAC(MAX($P$34*($B454+IF($R$17="Distrato",$I$38-1,0)),IF(AND($L$37=0,$P$34=0),"",$L$37-1),IF($R$17="Distrato",$E454,0)),MIN(AL$38,$D$19),$P$20))-SUM($P454:AK454)</f>
        <v>#VALUE!</v>
      </c>
      <c r="AM454" s="446" t="e">
        <f>IF(OR($B454="",MIN(AM$38,$D$19)&lt;MAX($P$34*($B454+IF($R$17="Distrato",$I$38-1,0)),IF(AND($L$37=0,$P$34=0),"",$L$37-1),IF($R$17="Distrato",$E454,0))),0,YEARFRAC(MAX($P$34*($B454+IF($R$17="Distrato",$I$38-1,0)),IF(AND($L$37=0,$P$34=0),"",$L$37-1),IF($R$17="Distrato",$E454,0)),MIN(AM$38,$D$19),$P$20))-SUM($P454:AL454)</f>
        <v>#VALUE!</v>
      </c>
      <c r="AN454" s="446" t="e">
        <f>IF(OR($B454="",MIN(AN$38,$D$19)&lt;MAX($P$34*($B454+IF($R$17="Distrato",$I$38-1,0)),IF(AND($L$37=0,$P$34=0),"",$L$37-1),IF($R$17="Distrato",$E454,0))),0,YEARFRAC(MAX($P$34*($B454+IF($R$17="Distrato",$I$38-1,0)),IF(AND($L$37=0,$P$34=0),"",$L$37-1),IF($R$17="Distrato",$E454,0)),MIN(AN$38,$D$19),$P$20))-SUM($P454:AM454)</f>
        <v>#VALUE!</v>
      </c>
      <c r="AO454" s="446" t="e">
        <f>IF(OR($B454="",MIN(AO$38,$D$19)&lt;MAX($P$34*($B454+IF($R$17="Distrato",$I$38-1,0)),IF(AND($L$37=0,$P$34=0),"",$L$37-1),IF($R$17="Distrato",$E454,0))),0,YEARFRAC(MAX($P$34*($B454+IF($R$17="Distrato",$I$38-1,0)),IF(AND($L$37=0,$P$34=0),"",$L$37-1),IF($R$17="Distrato",$E454,0)),MIN(AO$38,$D$19),$P$20))-SUM($P454:AN454)</f>
        <v>#VALUE!</v>
      </c>
      <c r="AP454" s="446" t="e">
        <f>IF(OR($B454="",MIN(AP$38,$D$19)&lt;MAX($P$34*($B454+IF($R$17="Distrato",$I$38-1,0)),IF(AND($L$37=0,$P$34=0),"",$L$37-1),IF($R$17="Distrato",$E454,0))),0,YEARFRAC(MAX($P$34*($B454+IF($R$17="Distrato",$I$38-1,0)),IF(AND($L$37=0,$P$34=0),"",$L$37-1),IF($R$17="Distrato",$E454,0)),MIN(AP$38,$D$19),$P$20))-SUM($P454:AO454)</f>
        <v>#VALUE!</v>
      </c>
      <c r="AQ454" s="446" t="e">
        <f>IF(OR($B454="",MIN(AQ$38,$D$19)&lt;MAX($P$34*($B454+IF($R$17="Distrato",$I$38-1,0)),IF(AND($L$37=0,$P$34=0),"",$L$37-1),IF($R$17="Distrato",$E454,0))),0,YEARFRAC(MAX($P$34*($B454+IF($R$17="Distrato",$I$38-1,0)),IF(AND($L$37=0,$P$34=0),"",$L$37-1),IF($R$17="Distrato",$E454,0)),MIN(AQ$38,$D$19),$P$20))-SUM($P454:AP454)</f>
        <v>#VALUE!</v>
      </c>
      <c r="AR454" s="446" t="e">
        <f>IF(OR($B454="",MIN(AR$38,$D$19)&lt;MAX($P$34*($B454+IF($R$17="Distrato",$I$38-1,0)),IF(AND($L$37=0,$P$34=0),"",$L$37-1),IF($R$17="Distrato",$E454,0))),0,YEARFRAC(MAX($P$34*($B454+IF($R$17="Distrato",$I$38-1,0)),IF(AND($L$37=0,$P$34=0),"",$L$37-1),IF($R$17="Distrato",$E454,0)),MIN(AR$38,$D$19),$P$20))-SUM($P454:AQ454)</f>
        <v>#VALUE!</v>
      </c>
      <c r="AS454" s="446" t="e">
        <f>IF(OR($B454="",MIN(AS$38,$D$19)&lt;MAX($P$34*($B454+IF($R$17="Distrato",$I$38-1,0)),IF(AND($L$37=0,$P$34=0),"",$L$37-1),IF($R$17="Distrato",$E454,0))),0,YEARFRAC(MAX($P$34*($B454+IF($R$17="Distrato",$I$38-1,0)),IF(AND($L$37=0,$P$34=0),"",$L$37-1),IF($R$17="Distrato",$E454,0)),MIN(AS$38,$D$19),$P$20))-SUM($P454:AR454)</f>
        <v>#VALUE!</v>
      </c>
      <c r="AT454" s="446" t="e">
        <f>IF(OR($B454="",MIN(AT$38,$D$19)&lt;MAX($P$34*($B454+IF($R$17="Distrato",$I$38-1,0)),IF(AND($L$37=0,$P$34=0),"",$L$37-1),IF($R$17="Distrato",$E454,0))),0,YEARFRAC(MAX($P$34*($B454+IF($R$17="Distrato",$I$38-1,0)),IF(AND($L$37=0,$P$34=0),"",$L$37-1),IF($R$17="Distrato",$E454,0)),MIN(AT$38,$D$19),$P$20))-SUM($P454:AS454)</f>
        <v>#VALUE!</v>
      </c>
      <c r="AU454" s="446" t="e">
        <f>IF(OR($B454="",MIN(AU$38,$D$19)&lt;MAX($P$34*($B454+IF($R$17="Distrato",$I$38-1,0)),IF(AND($L$37=0,$P$34=0),"",$L$37-1),IF($R$17="Distrato",$E454,0))),0,YEARFRAC(MAX($P$34*($B454+IF($R$17="Distrato",$I$38-1,0)),IF(AND($L$37=0,$P$34=0),"",$L$37-1),IF($R$17="Distrato",$E454,0)),MIN(AU$38,$D$19),$P$20))-SUM($P454:AT454)</f>
        <v>#VALUE!</v>
      </c>
      <c r="AV454" s="446" t="e">
        <f>IF(OR($B454="",MIN(AV$38,$D$19)&lt;MAX($P$34*($B454+IF($R$17="Distrato",$I$38-1,0)),IF(AND($L$37=0,$P$34=0),"",$L$37-1),IF($R$17="Distrato",$E454,0))),0,YEARFRAC(MAX($P$34*($B454+IF($R$17="Distrato",$I$38-1,0)),IF(AND($L$37=0,$P$34=0),"",$L$37-1),IF($R$17="Distrato",$E454,0)),MIN(AV$38,$D$19),$P$20))-SUM($P454:AU454)</f>
        <v>#VALUE!</v>
      </c>
      <c r="AW454" s="446" t="e">
        <f>IF(OR($B454="",MIN(AW$38,$D$19)&lt;MAX($P$34*($B454+IF($R$17="Distrato",$I$38-1,0)),IF(AND($L$37=0,$P$34=0),"",$L$37-1),IF($R$17="Distrato",$E454,0))),0,YEARFRAC(MAX($P$34*($B454+IF($R$17="Distrato",$I$38-1,0)),IF(AND($L$37=0,$P$34=0),"",$L$37-1),IF($R$17="Distrato",$E454,0)),MIN(AW$38,$D$19),$P$20))-SUM($P454:AV454)</f>
        <v>#VALUE!</v>
      </c>
      <c r="AX454" s="446" t="e">
        <f>IF(OR($B454="",MIN(AX$38,$D$19)&lt;MAX($P$34*($B454+IF($R$17="Distrato",$I$38-1,0)),IF(AND($L$37=0,$P$34=0),"",$L$37-1),IF($R$17="Distrato",$E454,0))),0,YEARFRAC(MAX($P$34*($B454+IF($R$17="Distrato",$I$38-1,0)),IF(AND($L$37=0,$P$34=0),"",$L$37-1),IF($R$17="Distrato",$E454,0)),MIN(AX$38,$D$19),$P$20))-SUM($P454:AW454)</f>
        <v>#VALUE!</v>
      </c>
      <c r="AY454" s="446" t="e">
        <f>IF(OR($B454="",MIN(AY$38,$D$19)&lt;MAX($P$34*($B454+IF($R$17="Distrato",$I$38-1,0)),IF(AND($L$37=0,$P$34=0),"",$L$37-1),IF($R$17="Distrato",$E454,0))),0,YEARFRAC(MAX($P$34*($B454+IF($R$17="Distrato",$I$38-1,0)),IF(AND($L$37=0,$P$34=0),"",$L$37-1),IF($R$17="Distrato",$E454,0)),MIN(AY$38,$D$19),$P$20))-SUM($P454:AX454)</f>
        <v>#VALUE!</v>
      </c>
      <c r="AZ454" s="446" t="e">
        <f>IF(OR($B454="",MIN(AZ$38,$D$19)&lt;MAX($P$34*($B454+IF($R$17="Distrato",$I$38-1,0)),IF(AND($L$37=0,$P$34=0),"",$L$37-1),IF($R$17="Distrato",$E454,0))),0,YEARFRAC(MAX($P$34*($B454+IF($R$17="Distrato",$I$38-1,0)),IF(AND($L$37=0,$P$34=0),"",$L$37-1),IF($R$17="Distrato",$E454,0)),MIN(AZ$38,$D$19),$P$20))-SUM($P454:AY454)</f>
        <v>#VALUE!</v>
      </c>
      <c r="BA454" s="446" t="e">
        <f>IF(OR($B454="",MIN(BA$38,$D$19)&lt;MAX($P$34*($B454+IF($R$17="Distrato",$I$38-1,0)),IF(AND($L$37=0,$P$34=0),"",$L$37-1),IF($R$17="Distrato",$E454,0))),0,YEARFRAC(MAX($P$34*($B454+IF($R$17="Distrato",$I$38-1,0)),IF(AND($L$37=0,$P$34=0),"",$L$37-1),IF($R$17="Distrato",$E454,0)),MIN(BA$38,$D$19),$P$20))-SUM($P454:AZ454)</f>
        <v>#VALUE!</v>
      </c>
      <c r="BB454" s="447"/>
      <c r="BF454" s="446">
        <f t="shared" si="76"/>
        <v>0</v>
      </c>
      <c r="BG454" s="446">
        <f>IF($E454=0,0,IF(MIN(BG$38,$E454)&lt;MAX($P$34*($B454+$I$38-1),IF(AND($L$37=0,$P$34=0),"",$L$37-1)),0,YEARFRAC(MAX($P$34*($B454+$I$38-1),IF(AND($L$37=0,$P$34=0),"",$L$37-1)),MIN(BG$38,$E454),$P$20))-SUM($BF454:BF454))</f>
        <v>0</v>
      </c>
      <c r="BH454" s="446">
        <f>IF($E454=0,0,IF(MIN(BH$38,$E454)&lt;MAX($P$34*($B454+$I$38-1),IF(AND($L$37=0,$P$34=0),"",$L$37-1)),0,YEARFRAC(MAX($P$34*($B454+$I$38-1),IF(AND($L$37=0,$P$34=0),"",$L$37-1)),MIN(BH$38,$E454),$P$20))-SUM($BF454:BG454))</f>
        <v>0</v>
      </c>
      <c r="BI454" s="446">
        <f>IF($E454=0,0,IF(MIN(BI$38,$E454)&lt;MAX($P$34*($B454+$I$38-1),IF(AND($L$37=0,$P$34=0),"",$L$37-1)),0,YEARFRAC(MAX($P$34*($B454+$I$38-1),IF(AND($L$37=0,$P$34=0),"",$L$37-1)),MIN(BI$38,$E454),$P$20))-SUM($BF454:BH454))</f>
        <v>0</v>
      </c>
      <c r="BJ454" s="446">
        <f>IF($E454=0,0,IF(MIN(BJ$38,$E454)&lt;MAX($P$34*($B454+$I$38-1),IF(AND($L$37=0,$P$34=0),"",$L$37-1)),0,YEARFRAC(MAX($P$34*($B454+$I$38-1),IF(AND($L$37=0,$P$34=0),"",$L$37-1)),MIN(BJ$38,$E454),$P$20))-SUM($BF454:BI454))</f>
        <v>0</v>
      </c>
      <c r="BK454" s="446">
        <f>IF($E454=0,0,IF(MIN(BK$38,$E454)&lt;MAX($P$34*($B454+$I$38-1),IF(AND($L$37=0,$P$34=0),"",$L$37-1)),0,YEARFRAC(MAX($P$34*($B454+$I$38-1),IF(AND($L$37=0,$P$34=0),"",$L$37-1)),MIN(BK$38,$E454),$P$20))-SUM($BF454:BJ454))</f>
        <v>0</v>
      </c>
      <c r="BL454" s="446">
        <f>IF($E454=0,0,IF(MIN(BL$38,$E454)&lt;MAX($P$34*($B454+$I$38-1),IF(AND($L$37=0,$P$34=0),"",$L$37-1)),0,YEARFRAC(MAX($P$34*($B454+$I$38-1),IF(AND($L$37=0,$P$34=0),"",$L$37-1)),MIN(BL$38,$E454),$P$20))-SUM($BF454:BK454))</f>
        <v>0</v>
      </c>
      <c r="BM454" s="446">
        <f>IF($E454=0,0,IF(MIN(BM$38,$E454)&lt;MAX($P$34*($B454+$I$38-1),IF(AND($L$37=0,$P$34=0),"",$L$37-1)),0,YEARFRAC(MAX($P$34*($B454+$I$38-1),IF(AND($L$37=0,$P$34=0),"",$L$37-1)),MIN(BM$38,$E454),$P$20))-SUM($BF454:BL454))</f>
        <v>0</v>
      </c>
      <c r="BN454" s="446">
        <f>IF($E454=0,0,IF(MIN(BN$38,$E454)&lt;MAX($P$34*($B454+$I$38-1),IF(AND($L$37=0,$P$34=0),"",$L$37-1)),0,YEARFRAC(MAX($P$34*($B454+$I$38-1),IF(AND($L$37=0,$P$34=0),"",$L$37-1)),MIN(BN$38,$E454),$P$20))-SUM($BF454:BM454))</f>
        <v>0</v>
      </c>
      <c r="BO454" s="446">
        <f>IF($E454=0,0,IF(MIN(BO$38,$E454)&lt;MAX($P$34*($B454+$I$38-1),IF(AND($L$37=0,$P$34=0),"",$L$37-1)),0,YEARFRAC(MAX($P$34*($B454+$I$38-1),IF(AND($L$37=0,$P$34=0),"",$L$37-1)),MIN(BO$38,$E454),$P$20))-SUM($BF454:BN454))</f>
        <v>0</v>
      </c>
      <c r="BP454" s="446">
        <f>IF($E454=0,0,IF(MIN(BP$38,$E454)&lt;MAX($P$34*($B454+$I$38-1),IF(AND($L$37=0,$P$34=0),"",$L$37-1)),0,YEARFRAC(MAX($P$34*($B454+$I$38-1),IF(AND($L$37=0,$P$34=0),"",$L$37-1)),MIN(BP$38,$E454),$P$20))-SUM($BF454:BO454))</f>
        <v>0</v>
      </c>
      <c r="BQ454" s="446">
        <f>IF($E454=0,0,IF(MIN(BQ$38,$E454)&lt;MAX($P$34*($B454+$I$38-1),IF(AND($L$37=0,$P$34=0),"",$L$37-1)),0,YEARFRAC(MAX($P$34*($B454+$I$38-1),IF(AND($L$37=0,$P$34=0),"",$L$37-1)),MIN(BQ$38,$E454),$P$20))-SUM($BF454:BP454))</f>
        <v>0</v>
      </c>
      <c r="BR454" s="446">
        <f>IF($E454=0,0,IF(MIN(BR$38,$E454)&lt;MAX($P$34*($B454+$I$38-1),IF(AND($L$37=0,$P$34=0),"",$L$37-1)),0,YEARFRAC(MAX($P$34*($B454+$I$38-1),IF(AND($L$37=0,$P$34=0),"",$L$37-1)),MIN(BR$38,$E454),$P$20))-SUM($BF454:BQ454))</f>
        <v>0</v>
      </c>
      <c r="BS454" s="446">
        <f>IF($E454=0,0,IF(MIN(BS$38,$E454)&lt;MAX($P$34*($B454+$I$38-1),IF(AND($L$37=0,$P$34=0),"",$L$37-1)),0,YEARFRAC(MAX($P$34*($B454+$I$38-1),IF(AND($L$37=0,$P$34=0),"",$L$37-1)),MIN(BS$38,$E454),$P$20))-SUM($BF454:BR454))</f>
        <v>0</v>
      </c>
      <c r="BT454" s="446">
        <f>IF($E454=0,0,IF(MIN(BT$38,$E454)&lt;MAX($P$34*($B454+$I$38-1),IF(AND($L$37=0,$P$34=0),"",$L$37-1)),0,YEARFRAC(MAX($P$34*($B454+$I$38-1),IF(AND($L$37=0,$P$34=0),"",$L$37-1)),MIN(BT$38,$E454),$P$20))-SUM($BF454:BS454))</f>
        <v>0</v>
      </c>
      <c r="BU454" s="446">
        <f>IF($E454=0,0,IF(MIN(BU$38,$E454)&lt;MAX($P$34*($B454+$I$38-1),IF(AND($L$37=0,$P$34=0),"",$L$37-1)),0,YEARFRAC(MAX($P$34*($B454+$I$38-1),IF(AND($L$37=0,$P$34=0),"",$L$37-1)),MIN(BU$38,$E454),$P$20))-SUM($BF454:BT454))</f>
        <v>0</v>
      </c>
      <c r="BV454" s="446">
        <f>IF($E454=0,0,IF(MIN(BV$38,$E454)&lt;MAX($P$34*($B454+$I$38-1),IF(AND($L$37=0,$P$34=0),"",$L$37-1)),0,YEARFRAC(MAX($P$34*($B454+$I$38-1),IF(AND($L$37=0,$P$34=0),"",$L$37-1)),MIN(BV$38,$E454),$P$20))-SUM($BF454:BU454))</f>
        <v>0</v>
      </c>
      <c r="BW454" s="446">
        <f>IF($E454=0,0,IF(MIN(BW$38,$E454)&lt;MAX($P$34*($B454+$I$38-1),IF(AND($L$37=0,$P$34=0),"",$L$37-1)),0,YEARFRAC(MAX($P$34*($B454+$I$38-1),IF(AND($L$37=0,$P$34=0),"",$L$37-1)),MIN(BW$38,$E454),$P$20))-SUM($BF454:BV454))</f>
        <v>0</v>
      </c>
      <c r="BX454" s="446">
        <f>IF($E454=0,0,IF(MIN(BX$38,$E454)&lt;MAX($P$34*($B454+$I$38-1),IF(AND($L$37=0,$P$34=0),"",$L$37-1)),0,YEARFRAC(MAX($P$34*($B454+$I$38-1),IF(AND($L$37=0,$P$34=0),"",$L$37-1)),MIN(BX$38,$E454),$P$20))-SUM($BF454:BW454))</f>
        <v>0</v>
      </c>
      <c r="BY454" s="446">
        <f>IF($E454=0,0,IF(MIN(BY$38,$E454)&lt;MAX($P$34*($B454+$I$38-1),IF(AND($L$37=0,$P$34=0),"",$L$37-1)),0,YEARFRAC(MAX($P$34*($B454+$I$38-1),IF(AND($L$37=0,$P$34=0),"",$L$37-1)),MIN(BY$38,$E454),$P$20))-SUM($BF454:BX454))</f>
        <v>0</v>
      </c>
      <c r="BZ454" s="446">
        <f>IF($E454=0,0,IF(MIN(BZ$38,$E454)&lt;MAX($P$34*($B454+$I$38-1),IF(AND($L$37=0,$P$34=0),"",$L$37-1)),0,YEARFRAC(MAX($P$34*($B454+$I$38-1),IF(AND($L$37=0,$P$34=0),"",$L$37-1)),MIN(BZ$38,$E454),$P$20))-SUM($BF454:BY454))</f>
        <v>0</v>
      </c>
      <c r="CA454" s="446">
        <f>IF($E454=0,0,IF(MIN(CA$38,$E454)&lt;MAX($P$34*($B454+$I$38-1),IF(AND($L$37=0,$P$34=0),"",$L$37-1)),0,YEARFRAC(MAX($P$34*($B454+$I$38-1),IF(AND($L$37=0,$P$34=0),"",$L$37-1)),MIN(CA$38,$E454),$P$20))-SUM($BF454:BZ454))</f>
        <v>0</v>
      </c>
      <c r="CB454" s="446">
        <f>IF($E454=0,0,IF(MIN(CB$38,$E454)&lt;MAX($P$34*($B454+$I$38-1),IF(AND($L$37=0,$P$34=0),"",$L$37-1)),0,YEARFRAC(MAX($P$34*($B454+$I$38-1),IF(AND($L$37=0,$P$34=0),"",$L$37-1)),MIN(CB$38,$E454),$P$20))-SUM($BF454:CA454))</f>
        <v>0</v>
      </c>
      <c r="CC454" s="446">
        <f>IF($E454=0,0,IF(MIN(CC$38,$E454)&lt;MAX($P$34*($B454+$I$38-1),IF(AND($L$37=0,$P$34=0),"",$L$37-1)),0,YEARFRAC(MAX($P$34*($B454+$I$38-1),IF(AND($L$37=0,$P$34=0),"",$L$37-1)),MIN(CC$38,$E454),$P$20))-SUM($BF454:CB454))</f>
        <v>0</v>
      </c>
      <c r="CD454" s="446">
        <f>IF($E454=0,0,IF(MIN(CD$38,$E454)&lt;MAX($P$34*($B454+$I$38-1),IF(AND($L$37=0,$P$34=0),"",$L$37-1)),0,YEARFRAC(MAX($P$34*($B454+$I$38-1),IF(AND($L$37=0,$P$34=0),"",$L$37-1)),MIN(CD$38,$E454),$P$20))-SUM($BF454:CC454))</f>
        <v>0</v>
      </c>
      <c r="CE454" s="446">
        <f>IF($E454=0,0,IF(MIN(CE$38,$E454)&lt;MAX($P$34*($B454+$I$38-1),IF(AND($L$37=0,$P$34=0),"",$L$37-1)),0,YEARFRAC(MAX($P$34*($B454+$I$38-1),IF(AND($L$37=0,$P$34=0),"",$L$37-1)),MIN(CE$38,$E454),$P$20))-SUM($BF454:CD454))</f>
        <v>0</v>
      </c>
      <c r="CF454" s="446">
        <f>IF($E454=0,0,IF(MIN(CF$38,$E454)&lt;MAX($P$34*($B454+$I$38-1),IF(AND($L$37=0,$P$34=0),"",$L$37-1)),0,YEARFRAC(MAX($P$34*($B454+$I$38-1),IF(AND($L$37=0,$P$34=0),"",$L$37-1)),MIN(CF$38,$E454),$P$20))-SUM($BF454:CE454))</f>
        <v>0</v>
      </c>
      <c r="CG454" s="446">
        <f>IF($E454=0,0,IF(MIN(CG$38,$E454)&lt;MAX($P$34*($B454+$I$38-1),IF(AND($L$37=0,$P$34=0),"",$L$37-1)),0,YEARFRAC(MAX($P$34*($B454+$I$38-1),IF(AND($L$37=0,$P$34=0),"",$L$37-1)),MIN(CG$38,$E454),$P$20))-SUM($BF454:CF454))</f>
        <v>0</v>
      </c>
      <c r="CH454" s="446">
        <f>IF($E454=0,0,IF(MIN(CH$38,$E454)&lt;MAX($P$34*($B454+$I$38-1),IF(AND($L$37=0,$P$34=0),"",$L$37-1)),0,YEARFRAC(MAX($P$34*($B454+$I$38-1),IF(AND($L$37=0,$P$34=0),"",$L$37-1)),MIN(CH$38,$E454),$P$20))-SUM($BF454:CG454))</f>
        <v>0</v>
      </c>
      <c r="CI454" s="446">
        <f>IF($E454=0,0,IF(MIN(CI$38,$E454)&lt;MAX($P$34*($B454+$I$38-1),IF(AND($L$37=0,$P$34=0),"",$L$37-1)),0,YEARFRAC(MAX($P$34*($B454+$I$38-1),IF(AND($L$37=0,$P$34=0),"",$L$37-1)),MIN(CI$38,$E454),$P$20))-SUM($BF454:CH454))</f>
        <v>0</v>
      </c>
      <c r="CJ454" s="446">
        <f>IF($E454=0,0,IF(MIN(CJ$38,$E454)&lt;MAX($P$34*($B454+$I$38-1),IF(AND($L$37=0,$P$34=0),"",$L$37-1)),0,YEARFRAC(MAX($P$34*($B454+$I$38-1),IF(AND($L$37=0,$P$34=0),"",$L$37-1)),MIN(CJ$38,$E454),$P$20))-SUM($BF454:CI454))</f>
        <v>0</v>
      </c>
      <c r="CK454" s="446">
        <f>IF($E454=0,0,IF(MIN(CK$38,$E454)&lt;MAX($P$34*($B454+$I$38-1),IF(AND($L$37=0,$P$34=0),"",$L$37-1)),0,YEARFRAC(MAX($P$34*($B454+$I$38-1),IF(AND($L$37=0,$P$34=0),"",$L$37-1)),MIN(CK$38,$E454),$P$20))-SUM($BF454:CJ454))</f>
        <v>0</v>
      </c>
      <c r="CL454" s="446">
        <f>IF($E454=0,0,IF(MIN(CL$38,$E454)&lt;MAX($P$34*($B454+$I$38-1),IF(AND($L$37=0,$P$34=0),"",$L$37-1)),0,YEARFRAC(MAX($P$34*($B454+$I$38-1),IF(AND($L$37=0,$P$34=0),"",$L$37-1)),MIN(CL$38,$E454),$P$20))-SUM($BF454:CK454))</f>
        <v>0</v>
      </c>
      <c r="CM454" s="446">
        <f>IF($E454=0,0,IF(MIN(CM$38,$E454)&lt;MAX($P$34*($B454+$I$38-1),IF(AND($L$37=0,$P$34=0),"",$L$37-1)),0,YEARFRAC(MAX($P$34*($B454+$I$38-1),IF(AND($L$37=0,$P$34=0),"",$L$37-1)),MIN(CM$38,$E454),$P$20))-SUM($BF454:CL454))</f>
        <v>0</v>
      </c>
      <c r="CN454" s="446">
        <f>IF($E454=0,0,IF(MIN(CN$38,$E454)&lt;MAX($P$34*($B454+$I$38-1),IF(AND($L$37=0,$P$34=0),"",$L$37-1)),0,YEARFRAC(MAX($P$34*($B454+$I$38-1),IF(AND($L$37=0,$P$34=0),"",$L$37-1)),MIN(CN$38,$E454),$P$20))-SUM($BF454:CM454))</f>
        <v>0</v>
      </c>
      <c r="CO454" s="446">
        <f>IF($E454=0,0,IF(MIN(CO$38,$E454)&lt;MAX($P$34*($B454+$I$38-1),IF(AND($L$37=0,$P$34=0),"",$L$37-1)),0,YEARFRAC(MAX($P$34*($B454+$I$38-1),IF(AND($L$37=0,$P$34=0),"",$L$37-1)),MIN(CO$38,$E454),$P$20))-SUM($BF454:CN454))</f>
        <v>0</v>
      </c>
      <c r="CP454" s="446">
        <f>IF($E454=0,0,IF(MIN(CP$38,$E454)&lt;MAX($P$34*($B454+$I$38-1),IF(AND($L$37=0,$P$34=0),"",$L$37-1)),0,YEARFRAC(MAX($P$34*($B454+$I$38-1),IF(AND($L$37=0,$P$34=0),"",$L$37-1)),MIN(CP$38,$E454),$P$20))-SUM($BF454:CO454))</f>
        <v>0</v>
      </c>
      <c r="CQ454" s="446">
        <f>IF($E454=0,0,IF(MIN(CQ$38,$E454)&lt;MAX($P$34*($B454+$I$38-1),IF(AND($L$37=0,$P$34=0),"",$L$37-1)),0,YEARFRAC(MAX($P$34*($B454+$I$38-1),IF(AND($L$37=0,$P$34=0),"",$L$37-1)),MIN(CQ$38,$E454),$P$20))-SUM($BF454:CP454))</f>
        <v>0</v>
      </c>
    </row>
    <row r="455" spans="1:95" s="446" customFormat="1" ht="11.25" hidden="1" customHeight="1" x14ac:dyDescent="0.2">
      <c r="A455" s="152"/>
      <c r="B455" s="153" t="str">
        <f t="shared" si="81"/>
        <v/>
      </c>
      <c r="C455" s="29" t="str">
        <f>IF(B455="","",IF($L$35="SELIC - TRIBUTOS",VLOOKUP(DATE(YEAR($D$19),MONTH($D$19)-1,1),ÍNDICES!$A:$DE,HLOOKUP($BL$25,ÍNDICES!$B$3:$T$4,2)+11)-VLOOKUP(B455,ÍNDICES!$A:$DE,HLOOKUP($BL$25,ÍNDICES!$B$3:$T$4,2)+11)+1%,IF(C$38=$W$26,$J$35,IF(ISERROR(IF(B455&gt;$D$19,1,VLOOKUP(DATE(YEAR(B455),MONTH(B455)+IF($C$35=$S$23,1,0),1),ÍNDICES!$A:$DE,$Z$35+1))),"",IF(B455&gt;$D$19,1,VLOOKUP(DATE(YEAR(B455),MONTH(B455)+IF($C$35=$S$23,1,0),1),ÍNDICES!$A:$DE,$Z$35+1))))))</f>
        <v/>
      </c>
      <c r="D455" s="154" t="str">
        <f>IF(ISERROR(IF(OR($D$38=$Y$27,$B455=""),"",VLOOKUP(B455,ÍNDICES!A:DE,AF$35+1))),"",IF(OR($D$38=$Y$27,$B455=""),"",VLOOKUP(B455,ÍNDICES!A:DE,AF$35+1)))</f>
        <v/>
      </c>
      <c r="E455" s="153"/>
      <c r="F455" s="29" t="str">
        <f>IF(E455="","",IF($L$35="SELIC - TRIBUTOS",VLOOKUP(DATE(YEAR($D$19),MONTH($D$19)-1,1),ÍNDICES!$A:$DE,HLOOKUP($BL$25,ÍNDICES!$B$3:$T$4,2)+11)-VLOOKUP(E455,ÍNDICES!$A:$DE,HLOOKUP($BL$25,ÍNDICES!$B$3:$T$4,2)+11)+1%,IF(F$38=$W$26,$J$35,IF(ISERROR(IF(E455&gt;$D$19,1,VLOOKUP(DATE(YEAR(E455),MONTH(E455)+IF($C$35=$S$23,1,0),1),ÍNDICES!$A:$DE,$Z$35+1))),"",IF(E455&gt;$D$19,1,VLOOKUP(DATE(YEAR(E455),MONTH(E455)+IF($C$35=$S$23,1,0),1),ÍNDICES!$A:$DE,$Z$35+1))))))</f>
        <v/>
      </c>
      <c r="G455" s="155"/>
      <c r="H455" s="156" t="str">
        <f t="shared" si="77"/>
        <v/>
      </c>
      <c r="I455" s="29" t="str">
        <f t="shared" si="71"/>
        <v/>
      </c>
      <c r="J455" s="5">
        <f t="shared" si="72"/>
        <v>0</v>
      </c>
      <c r="K455" s="20">
        <f t="shared" ca="1" si="73"/>
        <v>0</v>
      </c>
      <c r="L455" s="5">
        <f t="shared" ca="1" si="74"/>
        <v>0</v>
      </c>
      <c r="M455" s="64">
        <f t="shared" si="78"/>
        <v>0</v>
      </c>
      <c r="N455" s="61">
        <f t="shared" ca="1" si="79"/>
        <v>0</v>
      </c>
      <c r="O455" s="5">
        <f t="shared" ca="1" si="80"/>
        <v>0</v>
      </c>
      <c r="P455" s="446" t="e">
        <f t="shared" si="75"/>
        <v>#VALUE!</v>
      </c>
      <c r="Q455" s="446" t="e">
        <f>IF(OR($B455="",MIN(Q$38,$D$19)&lt;MAX($P$34*($B455+IF($R$17="Distrato",$I$38-1,0)),IF(AND($L$37=0,$P$34=0),"",$L$37-1),IF($R$17="Distrato",$E455,0))),0,YEARFRAC(MAX($P$34*($B455+IF($R$17="Distrato",$I$38-1,0)),IF(AND($L$37=0,$P$34=0),"",$L$37-1),IF($R$17="Distrato",$E455,0)),MIN(Q$38,$D$19),$P$20))-SUM($P455:P455)</f>
        <v>#VALUE!</v>
      </c>
      <c r="R455" s="446" t="e">
        <f>IF(OR($B455="",MIN(R$38,$D$19)&lt;MAX($P$34*($B455+IF($R$17="Distrato",$I$38-1,0)),IF(AND($L$37=0,$P$34=0),"",$L$37-1),IF($R$17="Distrato",$E455,0))),0,YEARFRAC(MAX($P$34*($B455+IF($R$17="Distrato",$I$38-1,0)),IF(AND($L$37=0,$P$34=0),"",$L$37-1),IF($R$17="Distrato",$E455,0)),MIN(R$38,$D$19),$P$20))-SUM($P455:Q455)</f>
        <v>#VALUE!</v>
      </c>
      <c r="S455" s="446" t="e">
        <f>IF(OR($B455="",MIN(S$38,$D$19)&lt;MAX($P$34*($B455+IF($R$17="Distrato",$I$38-1,0)),IF(AND($L$37=0,$P$34=0),"",$L$37-1),IF($R$17="Distrato",$E455,0))),0,YEARFRAC(MAX($P$34*($B455+IF($R$17="Distrato",$I$38-1,0)),IF(AND($L$37=0,$P$34=0),"",$L$37-1),IF($R$17="Distrato",$E455,0)),MIN(S$38,$D$19),$P$20))-SUM($P455:R455)</f>
        <v>#VALUE!</v>
      </c>
      <c r="T455" s="446" t="e">
        <f>IF(OR($B455="",MIN(T$38,$D$19)&lt;MAX($P$34*($B455+IF($R$17="Distrato",$I$38-1,0)),IF(AND($L$37=0,$P$34=0),"",$L$37-1),IF($R$17="Distrato",$E455,0))),0,YEARFRAC(MAX($P$34*($B455+IF($R$17="Distrato",$I$38-1,0)),IF(AND($L$37=0,$P$34=0),"",$L$37-1),IF($R$17="Distrato",$E455,0)),MIN(T$38,$D$19),$P$20))-SUM($P455:S455)</f>
        <v>#VALUE!</v>
      </c>
      <c r="U455" s="446" t="e">
        <f>IF(OR($B455="",MIN(U$38,$D$19)&lt;MAX($P$34*($B455+IF($R$17="Distrato",$I$38-1,0)),IF(AND($L$37=0,$P$34=0),"",$L$37-1),IF($R$17="Distrato",$E455,0))),0,YEARFRAC(MAX($P$34*($B455+IF($R$17="Distrato",$I$38-1,0)),IF(AND($L$37=0,$P$34=0),"",$L$37-1),IF($R$17="Distrato",$E455,0)),MIN(U$38,$D$19),$P$20))-SUM($P455:T455)</f>
        <v>#VALUE!</v>
      </c>
      <c r="V455" s="446" t="e">
        <f>IF(OR($B455="",MIN(V$38,$D$19)&lt;MAX($P$34*($B455+IF($R$17="Distrato",$I$38-1,0)),IF(AND($L$37=0,$P$34=0),"",$L$37-1),IF($R$17="Distrato",$E455,0))),0,YEARFRAC(MAX($P$34*($B455+IF($R$17="Distrato",$I$38-1,0)),IF(AND($L$37=0,$P$34=0),"",$L$37-1),IF($R$17="Distrato",$E455,0)),MIN(V$38,$D$19),$P$20))-SUM($P455:U455)</f>
        <v>#VALUE!</v>
      </c>
      <c r="W455" s="446" t="e">
        <f>IF(OR($B455="",MIN(W$38,$D$19)&lt;MAX($P$34*($B455+IF($R$17="Distrato",$I$38-1,0)),IF(AND($L$37=0,$P$34=0),"",$L$37-1),IF($R$17="Distrato",$E455,0))),0,YEARFRAC(MAX($P$34*($B455+IF($R$17="Distrato",$I$38-1,0)),IF(AND($L$37=0,$P$34=0),"",$L$37-1),IF($R$17="Distrato",$E455,0)),MIN(W$38,$D$19),$P$20))-SUM($P455:V455)</f>
        <v>#VALUE!</v>
      </c>
      <c r="X455" s="446" t="e">
        <f>IF(OR($B455="",MIN(X$38,$D$19)&lt;MAX($P$34*($B455+IF($R$17="Distrato",$I$38-1,0)),IF(AND($L$37=0,$P$34=0),"",$L$37-1),IF($R$17="Distrato",$E455,0))),0,YEARFRAC(MAX($P$34*($B455+IF($R$17="Distrato",$I$38-1,0)),IF(AND($L$37=0,$P$34=0),"",$L$37-1),IF($R$17="Distrato",$E455,0)),MIN(X$38,$D$19),$P$20))-SUM($P455:W455)</f>
        <v>#VALUE!</v>
      </c>
      <c r="Y455" s="446" t="e">
        <f>IF(OR($B455="",MIN(Y$38,$D$19)&lt;MAX($P$34*($B455+IF($R$17="Distrato",$I$38-1,0)),IF(AND($L$37=0,$P$34=0),"",$L$37-1),IF($R$17="Distrato",$E455,0))),0,YEARFRAC(MAX($P$34*($B455+IF($R$17="Distrato",$I$38-1,0)),IF(AND($L$37=0,$P$34=0),"",$L$37-1),IF($R$17="Distrato",$E455,0)),MIN(Y$38,$D$19),$P$20))-SUM($P455:X455)</f>
        <v>#VALUE!</v>
      </c>
      <c r="Z455" s="446" t="e">
        <f>IF(OR($B455="",MIN(Z$38,$D$19)&lt;MAX($P$34*($B455+IF($R$17="Distrato",$I$38-1,0)),IF(AND($L$37=0,$P$34=0),"",$L$37-1),IF($R$17="Distrato",$E455,0))),0,YEARFRAC(MAX($P$34*($B455+IF($R$17="Distrato",$I$38-1,0)),IF(AND($L$37=0,$P$34=0),"",$L$37-1),IF($R$17="Distrato",$E455,0)),MIN(Z$38,$D$19),$P$20))-SUM($P455:Y455)</f>
        <v>#VALUE!</v>
      </c>
      <c r="AA455" s="446" t="e">
        <f>IF(OR($B455="",MIN(AA$38,$D$19)&lt;MAX($P$34*($B455+IF($R$17="Distrato",$I$38-1,0)),IF(AND($L$37=0,$P$34=0),"",$L$37-1),IF($R$17="Distrato",$E455,0))),0,YEARFRAC(MAX($P$34*($B455+IF($R$17="Distrato",$I$38-1,0)),IF(AND($L$37=0,$P$34=0),"",$L$37-1),IF($R$17="Distrato",$E455,0)),MIN(AA$38,$D$19),$P$20))-SUM($P455:Z455)</f>
        <v>#VALUE!</v>
      </c>
      <c r="AB455" s="446" t="e">
        <f>IF(OR($B455="",MIN(AB$38,$D$19)&lt;MAX($P$34*($B455+IF($R$17="Distrato",$I$38-1,0)),IF(AND($L$37=0,$P$34=0),"",$L$37-1),IF($R$17="Distrato",$E455,0))),0,YEARFRAC(MAX($P$34*($B455+IF($R$17="Distrato",$I$38-1,0)),IF(AND($L$37=0,$P$34=0),"",$L$37-1),IF($R$17="Distrato",$E455,0)),MIN(AB$38,$D$19),$P$20))-SUM($P455:AA455)</f>
        <v>#VALUE!</v>
      </c>
      <c r="AC455" s="446" t="e">
        <f>IF(OR($B455="",MIN(AC$38,$D$19)&lt;MAX($P$34*($B455+IF($R$17="Distrato",$I$38-1,0)),IF(AND($L$37=0,$P$34=0),"",$L$37-1),IF($R$17="Distrato",$E455,0))),0,YEARFRAC(MAX($P$34*($B455+IF($R$17="Distrato",$I$38-1,0)),IF(AND($L$37=0,$P$34=0),"",$L$37-1),IF($R$17="Distrato",$E455,0)),MIN(AC$38,$D$19),$P$20))-SUM($P455:AB455)</f>
        <v>#VALUE!</v>
      </c>
      <c r="AD455" s="446" t="e">
        <f>IF(OR($B455="",MIN(AD$38,$D$19)&lt;MAX($P$34*($B455+IF($R$17="Distrato",$I$38-1,0)),IF(AND($L$37=0,$P$34=0),"",$L$37-1),IF($R$17="Distrato",$E455,0))),0,YEARFRAC(MAX($P$34*($B455+IF($R$17="Distrato",$I$38-1,0)),IF(AND($L$37=0,$P$34=0),"",$L$37-1),IF($R$17="Distrato",$E455,0)),MIN(AD$38,$D$19),$P$20))-SUM($P455:AC455)</f>
        <v>#VALUE!</v>
      </c>
      <c r="AE455" s="446" t="e">
        <f>IF(OR($B455="",MIN(AE$38,$D$19)&lt;MAX($P$34*($B455+IF($R$17="Distrato",$I$38-1,0)),IF(AND($L$37=0,$P$34=0),"",$L$37-1),IF($R$17="Distrato",$E455,0))),0,YEARFRAC(MAX($P$34*($B455+IF($R$17="Distrato",$I$38-1,0)),IF(AND($L$37=0,$P$34=0),"",$L$37-1),IF($R$17="Distrato",$E455,0)),MIN(AE$38,$D$19),$P$20))-SUM($P455:AD455)</f>
        <v>#VALUE!</v>
      </c>
      <c r="AF455" s="446" t="e">
        <f>IF(OR($B455="",MIN(AF$38,$D$19)&lt;MAX($P$34*($B455+IF($R$17="Distrato",$I$38-1,0)),IF(AND($L$37=0,$P$34=0),"",$L$37-1),IF($R$17="Distrato",$E455,0))),0,YEARFRAC(MAX($P$34*($B455+IF($R$17="Distrato",$I$38-1,0)),IF(AND($L$37=0,$P$34=0),"",$L$37-1),IF($R$17="Distrato",$E455,0)),MIN(AF$38,$D$19),$P$20))-SUM($P455:AE455)</f>
        <v>#VALUE!</v>
      </c>
      <c r="AG455" s="446" t="e">
        <f>IF(OR($B455="",MIN(AG$38,$D$19)&lt;MAX($P$34*($B455+IF($R$17="Distrato",$I$38-1,0)),IF(AND($L$37=0,$P$34=0),"",$L$37-1),IF($R$17="Distrato",$E455,0))),0,YEARFRAC(MAX($P$34*($B455+IF($R$17="Distrato",$I$38-1,0)),IF(AND($L$37=0,$P$34=0),"",$L$37-1),IF($R$17="Distrato",$E455,0)),MIN(AG$38,$D$19),$P$20))-SUM($P455:AF455)</f>
        <v>#VALUE!</v>
      </c>
      <c r="AH455" s="446" t="e">
        <f>IF(OR($B455="",MIN(AH$38,$D$19)&lt;MAX($P$34*($B455+IF($R$17="Distrato",$I$38-1,0)),IF(AND($L$37=0,$P$34=0),"",$L$37-1),IF($R$17="Distrato",$E455,0))),0,YEARFRAC(MAX($P$34*($B455+IF($R$17="Distrato",$I$38-1,0)),IF(AND($L$37=0,$P$34=0),"",$L$37-1),IF($R$17="Distrato",$E455,0)),MIN(AH$38,$D$19),$P$20))-SUM($P455:AG455)</f>
        <v>#VALUE!</v>
      </c>
      <c r="AI455" s="446" t="e">
        <f>IF(OR($B455="",MIN(AI$38,$D$19)&lt;MAX($P$34*($B455+IF($R$17="Distrato",$I$38-1,0)),IF(AND($L$37=0,$P$34=0),"",$L$37-1),IF($R$17="Distrato",$E455,0))),0,YEARFRAC(MAX($P$34*($B455+IF($R$17="Distrato",$I$38-1,0)),IF(AND($L$37=0,$P$34=0),"",$L$37-1),IF($R$17="Distrato",$E455,0)),MIN(AI$38,$D$19),$P$20))-SUM($P455:AH455)</f>
        <v>#VALUE!</v>
      </c>
      <c r="AJ455" s="446" t="e">
        <f>IF(OR($B455="",MIN(AJ$38,$D$19)&lt;MAX($P$34*($B455+IF($R$17="Distrato",$I$38-1,0)),IF(AND($L$37=0,$P$34=0),"",$L$37-1),IF($R$17="Distrato",$E455,0))),0,YEARFRAC(MAX($P$34*($B455+IF($R$17="Distrato",$I$38-1,0)),IF(AND($L$37=0,$P$34=0),"",$L$37-1),IF($R$17="Distrato",$E455,0)),MIN(AJ$38,$D$19),$P$20))-SUM($P455:AI455)</f>
        <v>#VALUE!</v>
      </c>
      <c r="AK455" s="446" t="e">
        <f>IF(OR($B455="",MIN(AK$38,$D$19)&lt;MAX($P$34*($B455+IF($R$17="Distrato",$I$38-1,0)),IF(AND($L$37=0,$P$34=0),"",$L$37-1),IF($R$17="Distrato",$E455,0))),0,YEARFRAC(MAX($P$34*($B455+IF($R$17="Distrato",$I$38-1,0)),IF(AND($L$37=0,$P$34=0),"",$L$37-1),IF($R$17="Distrato",$E455,0)),MIN(AK$38,$D$19),$P$20))-SUM($P455:AJ455)</f>
        <v>#VALUE!</v>
      </c>
      <c r="AL455" s="446" t="e">
        <f>IF(OR($B455="",MIN(AL$38,$D$19)&lt;MAX($P$34*($B455+IF($R$17="Distrato",$I$38-1,0)),IF(AND($L$37=0,$P$34=0),"",$L$37-1),IF($R$17="Distrato",$E455,0))),0,YEARFRAC(MAX($P$34*($B455+IF($R$17="Distrato",$I$38-1,0)),IF(AND($L$37=0,$P$34=0),"",$L$37-1),IF($R$17="Distrato",$E455,0)),MIN(AL$38,$D$19),$P$20))-SUM($P455:AK455)</f>
        <v>#VALUE!</v>
      </c>
      <c r="AM455" s="446" t="e">
        <f>IF(OR($B455="",MIN(AM$38,$D$19)&lt;MAX($P$34*($B455+IF($R$17="Distrato",$I$38-1,0)),IF(AND($L$37=0,$P$34=0),"",$L$37-1),IF($R$17="Distrato",$E455,0))),0,YEARFRAC(MAX($P$34*($B455+IF($R$17="Distrato",$I$38-1,0)),IF(AND($L$37=0,$P$34=0),"",$L$37-1),IF($R$17="Distrato",$E455,0)),MIN(AM$38,$D$19),$P$20))-SUM($P455:AL455)</f>
        <v>#VALUE!</v>
      </c>
      <c r="AN455" s="446" t="e">
        <f>IF(OR($B455="",MIN(AN$38,$D$19)&lt;MAX($P$34*($B455+IF($R$17="Distrato",$I$38-1,0)),IF(AND($L$37=0,$P$34=0),"",$L$37-1),IF($R$17="Distrato",$E455,0))),0,YEARFRAC(MAX($P$34*($B455+IF($R$17="Distrato",$I$38-1,0)),IF(AND($L$37=0,$P$34=0),"",$L$37-1),IF($R$17="Distrato",$E455,0)),MIN(AN$38,$D$19),$P$20))-SUM($P455:AM455)</f>
        <v>#VALUE!</v>
      </c>
      <c r="AO455" s="446" t="e">
        <f>IF(OR($B455="",MIN(AO$38,$D$19)&lt;MAX($P$34*($B455+IF($R$17="Distrato",$I$38-1,0)),IF(AND($L$37=0,$P$34=0),"",$L$37-1),IF($R$17="Distrato",$E455,0))),0,YEARFRAC(MAX($P$34*($B455+IF($R$17="Distrato",$I$38-1,0)),IF(AND($L$37=0,$P$34=0),"",$L$37-1),IF($R$17="Distrato",$E455,0)),MIN(AO$38,$D$19),$P$20))-SUM($P455:AN455)</f>
        <v>#VALUE!</v>
      </c>
      <c r="AP455" s="446" t="e">
        <f>IF(OR($B455="",MIN(AP$38,$D$19)&lt;MAX($P$34*($B455+IF($R$17="Distrato",$I$38-1,0)),IF(AND($L$37=0,$P$34=0),"",$L$37-1),IF($R$17="Distrato",$E455,0))),0,YEARFRAC(MAX($P$34*($B455+IF($R$17="Distrato",$I$38-1,0)),IF(AND($L$37=0,$P$34=0),"",$L$37-1),IF($R$17="Distrato",$E455,0)),MIN(AP$38,$D$19),$P$20))-SUM($P455:AO455)</f>
        <v>#VALUE!</v>
      </c>
      <c r="AQ455" s="446" t="e">
        <f>IF(OR($B455="",MIN(AQ$38,$D$19)&lt;MAX($P$34*($B455+IF($R$17="Distrato",$I$38-1,0)),IF(AND($L$37=0,$P$34=0),"",$L$37-1),IF($R$17="Distrato",$E455,0))),0,YEARFRAC(MAX($P$34*($B455+IF($R$17="Distrato",$I$38-1,0)),IF(AND($L$37=0,$P$34=0),"",$L$37-1),IF($R$17="Distrato",$E455,0)),MIN(AQ$38,$D$19),$P$20))-SUM($P455:AP455)</f>
        <v>#VALUE!</v>
      </c>
      <c r="AR455" s="446" t="e">
        <f>IF(OR($B455="",MIN(AR$38,$D$19)&lt;MAX($P$34*($B455+IF($R$17="Distrato",$I$38-1,0)),IF(AND($L$37=0,$P$34=0),"",$L$37-1),IF($R$17="Distrato",$E455,0))),0,YEARFRAC(MAX($P$34*($B455+IF($R$17="Distrato",$I$38-1,0)),IF(AND($L$37=0,$P$34=0),"",$L$37-1),IF($R$17="Distrato",$E455,0)),MIN(AR$38,$D$19),$P$20))-SUM($P455:AQ455)</f>
        <v>#VALUE!</v>
      </c>
      <c r="AS455" s="446" t="e">
        <f>IF(OR($B455="",MIN(AS$38,$D$19)&lt;MAX($P$34*($B455+IF($R$17="Distrato",$I$38-1,0)),IF(AND($L$37=0,$P$34=0),"",$L$37-1),IF($R$17="Distrato",$E455,0))),0,YEARFRAC(MAX($P$34*($B455+IF($R$17="Distrato",$I$38-1,0)),IF(AND($L$37=0,$P$34=0),"",$L$37-1),IF($R$17="Distrato",$E455,0)),MIN(AS$38,$D$19),$P$20))-SUM($P455:AR455)</f>
        <v>#VALUE!</v>
      </c>
      <c r="AT455" s="446" t="e">
        <f>IF(OR($B455="",MIN(AT$38,$D$19)&lt;MAX($P$34*($B455+IF($R$17="Distrato",$I$38-1,0)),IF(AND($L$37=0,$P$34=0),"",$L$37-1),IF($R$17="Distrato",$E455,0))),0,YEARFRAC(MAX($P$34*($B455+IF($R$17="Distrato",$I$38-1,0)),IF(AND($L$37=0,$P$34=0),"",$L$37-1),IF($R$17="Distrato",$E455,0)),MIN(AT$38,$D$19),$P$20))-SUM($P455:AS455)</f>
        <v>#VALUE!</v>
      </c>
      <c r="AU455" s="446" t="e">
        <f>IF(OR($B455="",MIN(AU$38,$D$19)&lt;MAX($P$34*($B455+IF($R$17="Distrato",$I$38-1,0)),IF(AND($L$37=0,$P$34=0),"",$L$37-1),IF($R$17="Distrato",$E455,0))),0,YEARFRAC(MAX($P$34*($B455+IF($R$17="Distrato",$I$38-1,0)),IF(AND($L$37=0,$P$34=0),"",$L$37-1),IF($R$17="Distrato",$E455,0)),MIN(AU$38,$D$19),$P$20))-SUM($P455:AT455)</f>
        <v>#VALUE!</v>
      </c>
      <c r="AV455" s="446" t="e">
        <f>IF(OR($B455="",MIN(AV$38,$D$19)&lt;MAX($P$34*($B455+IF($R$17="Distrato",$I$38-1,0)),IF(AND($L$37=0,$P$34=0),"",$L$37-1),IF($R$17="Distrato",$E455,0))),0,YEARFRAC(MAX($P$34*($B455+IF($R$17="Distrato",$I$38-1,0)),IF(AND($L$37=0,$P$34=0),"",$L$37-1),IF($R$17="Distrato",$E455,0)),MIN(AV$38,$D$19),$P$20))-SUM($P455:AU455)</f>
        <v>#VALUE!</v>
      </c>
      <c r="AW455" s="446" t="e">
        <f>IF(OR($B455="",MIN(AW$38,$D$19)&lt;MAX($P$34*($B455+IF($R$17="Distrato",$I$38-1,0)),IF(AND($L$37=0,$P$34=0),"",$L$37-1),IF($R$17="Distrato",$E455,0))),0,YEARFRAC(MAX($P$34*($B455+IF($R$17="Distrato",$I$38-1,0)),IF(AND($L$37=0,$P$34=0),"",$L$37-1),IF($R$17="Distrato",$E455,0)),MIN(AW$38,$D$19),$P$20))-SUM($P455:AV455)</f>
        <v>#VALUE!</v>
      </c>
      <c r="AX455" s="446" t="e">
        <f>IF(OR($B455="",MIN(AX$38,$D$19)&lt;MAX($P$34*($B455+IF($R$17="Distrato",$I$38-1,0)),IF(AND($L$37=0,$P$34=0),"",$L$37-1),IF($R$17="Distrato",$E455,0))),0,YEARFRAC(MAX($P$34*($B455+IF($R$17="Distrato",$I$38-1,0)),IF(AND($L$37=0,$P$34=0),"",$L$37-1),IF($R$17="Distrato",$E455,0)),MIN(AX$38,$D$19),$P$20))-SUM($P455:AW455)</f>
        <v>#VALUE!</v>
      </c>
      <c r="AY455" s="446" t="e">
        <f>IF(OR($B455="",MIN(AY$38,$D$19)&lt;MAX($P$34*($B455+IF($R$17="Distrato",$I$38-1,0)),IF(AND($L$37=0,$P$34=0),"",$L$37-1),IF($R$17="Distrato",$E455,0))),0,YEARFRAC(MAX($P$34*($B455+IF($R$17="Distrato",$I$38-1,0)),IF(AND($L$37=0,$P$34=0),"",$L$37-1),IF($R$17="Distrato",$E455,0)),MIN(AY$38,$D$19),$P$20))-SUM($P455:AX455)</f>
        <v>#VALUE!</v>
      </c>
      <c r="AZ455" s="446" t="e">
        <f>IF(OR($B455="",MIN(AZ$38,$D$19)&lt;MAX($P$34*($B455+IF($R$17="Distrato",$I$38-1,0)),IF(AND($L$37=0,$P$34=0),"",$L$37-1),IF($R$17="Distrato",$E455,0))),0,YEARFRAC(MAX($P$34*($B455+IF($R$17="Distrato",$I$38-1,0)),IF(AND($L$37=0,$P$34=0),"",$L$37-1),IF($R$17="Distrato",$E455,0)),MIN(AZ$38,$D$19),$P$20))-SUM($P455:AY455)</f>
        <v>#VALUE!</v>
      </c>
      <c r="BA455" s="446" t="e">
        <f>IF(OR($B455="",MIN(BA$38,$D$19)&lt;MAX($P$34*($B455+IF($R$17="Distrato",$I$38-1,0)),IF(AND($L$37=0,$P$34=0),"",$L$37-1),IF($R$17="Distrato",$E455,0))),0,YEARFRAC(MAX($P$34*($B455+IF($R$17="Distrato",$I$38-1,0)),IF(AND($L$37=0,$P$34=0),"",$L$37-1),IF($R$17="Distrato",$E455,0)),MIN(BA$38,$D$19),$P$20))-SUM($P455:AZ455)</f>
        <v>#VALUE!</v>
      </c>
      <c r="BB455" s="447"/>
      <c r="BF455" s="446">
        <f t="shared" si="76"/>
        <v>0</v>
      </c>
      <c r="BG455" s="446">
        <f>IF($E455=0,0,IF(MIN(BG$38,$E455)&lt;MAX($P$34*($B455+$I$38-1),IF(AND($L$37=0,$P$34=0),"",$L$37-1)),0,YEARFRAC(MAX($P$34*($B455+$I$38-1),IF(AND($L$37=0,$P$34=0),"",$L$37-1)),MIN(BG$38,$E455),$P$20))-SUM($BF455:BF455))</f>
        <v>0</v>
      </c>
      <c r="BH455" s="446">
        <f>IF($E455=0,0,IF(MIN(BH$38,$E455)&lt;MAX($P$34*($B455+$I$38-1),IF(AND($L$37=0,$P$34=0),"",$L$37-1)),0,YEARFRAC(MAX($P$34*($B455+$I$38-1),IF(AND($L$37=0,$P$34=0),"",$L$37-1)),MIN(BH$38,$E455),$P$20))-SUM($BF455:BG455))</f>
        <v>0</v>
      </c>
      <c r="BI455" s="446">
        <f>IF($E455=0,0,IF(MIN(BI$38,$E455)&lt;MAX($P$34*($B455+$I$38-1),IF(AND($L$37=0,$P$34=0),"",$L$37-1)),0,YEARFRAC(MAX($P$34*($B455+$I$38-1),IF(AND($L$37=0,$P$34=0),"",$L$37-1)),MIN(BI$38,$E455),$P$20))-SUM($BF455:BH455))</f>
        <v>0</v>
      </c>
      <c r="BJ455" s="446">
        <f>IF($E455=0,0,IF(MIN(BJ$38,$E455)&lt;MAX($P$34*($B455+$I$38-1),IF(AND($L$37=0,$P$34=0),"",$L$37-1)),0,YEARFRAC(MAX($P$34*($B455+$I$38-1),IF(AND($L$37=0,$P$34=0),"",$L$37-1)),MIN(BJ$38,$E455),$P$20))-SUM($BF455:BI455))</f>
        <v>0</v>
      </c>
      <c r="BK455" s="446">
        <f>IF($E455=0,0,IF(MIN(BK$38,$E455)&lt;MAX($P$34*($B455+$I$38-1),IF(AND($L$37=0,$P$34=0),"",$L$37-1)),0,YEARFRAC(MAX($P$34*($B455+$I$38-1),IF(AND($L$37=0,$P$34=0),"",$L$37-1)),MIN(BK$38,$E455),$P$20))-SUM($BF455:BJ455))</f>
        <v>0</v>
      </c>
      <c r="BL455" s="446">
        <f>IF($E455=0,0,IF(MIN(BL$38,$E455)&lt;MAX($P$34*($B455+$I$38-1),IF(AND($L$37=0,$P$34=0),"",$L$37-1)),0,YEARFRAC(MAX($P$34*($B455+$I$38-1),IF(AND($L$37=0,$P$34=0),"",$L$37-1)),MIN(BL$38,$E455),$P$20))-SUM($BF455:BK455))</f>
        <v>0</v>
      </c>
      <c r="BM455" s="446">
        <f>IF($E455=0,0,IF(MIN(BM$38,$E455)&lt;MAX($P$34*($B455+$I$38-1),IF(AND($L$37=0,$P$34=0),"",$L$37-1)),0,YEARFRAC(MAX($P$34*($B455+$I$38-1),IF(AND($L$37=0,$P$34=0),"",$L$37-1)),MIN(BM$38,$E455),$P$20))-SUM($BF455:BL455))</f>
        <v>0</v>
      </c>
      <c r="BN455" s="446">
        <f>IF($E455=0,0,IF(MIN(BN$38,$E455)&lt;MAX($P$34*($B455+$I$38-1),IF(AND($L$37=0,$P$34=0),"",$L$37-1)),0,YEARFRAC(MAX($P$34*($B455+$I$38-1),IF(AND($L$37=0,$P$34=0),"",$L$37-1)),MIN(BN$38,$E455),$P$20))-SUM($BF455:BM455))</f>
        <v>0</v>
      </c>
      <c r="BO455" s="446">
        <f>IF($E455=0,0,IF(MIN(BO$38,$E455)&lt;MAX($P$34*($B455+$I$38-1),IF(AND($L$37=0,$P$34=0),"",$L$37-1)),0,YEARFRAC(MAX($P$34*($B455+$I$38-1),IF(AND($L$37=0,$P$34=0),"",$L$37-1)),MIN(BO$38,$E455),$P$20))-SUM($BF455:BN455))</f>
        <v>0</v>
      </c>
      <c r="BP455" s="446">
        <f>IF($E455=0,0,IF(MIN(BP$38,$E455)&lt;MAX($P$34*($B455+$I$38-1),IF(AND($L$37=0,$P$34=0),"",$L$37-1)),0,YEARFRAC(MAX($P$34*($B455+$I$38-1),IF(AND($L$37=0,$P$34=0),"",$L$37-1)),MIN(BP$38,$E455),$P$20))-SUM($BF455:BO455))</f>
        <v>0</v>
      </c>
      <c r="BQ455" s="446">
        <f>IF($E455=0,0,IF(MIN(BQ$38,$E455)&lt;MAX($P$34*($B455+$I$38-1),IF(AND($L$37=0,$P$34=0),"",$L$37-1)),0,YEARFRAC(MAX($P$34*($B455+$I$38-1),IF(AND($L$37=0,$P$34=0),"",$L$37-1)),MIN(BQ$38,$E455),$P$20))-SUM($BF455:BP455))</f>
        <v>0</v>
      </c>
      <c r="BR455" s="446">
        <f>IF($E455=0,0,IF(MIN(BR$38,$E455)&lt;MAX($P$34*($B455+$I$38-1),IF(AND($L$37=0,$P$34=0),"",$L$37-1)),0,YEARFRAC(MAX($P$34*($B455+$I$38-1),IF(AND($L$37=0,$P$34=0),"",$L$37-1)),MIN(BR$38,$E455),$P$20))-SUM($BF455:BQ455))</f>
        <v>0</v>
      </c>
      <c r="BS455" s="446">
        <f>IF($E455=0,0,IF(MIN(BS$38,$E455)&lt;MAX($P$34*($B455+$I$38-1),IF(AND($L$37=0,$P$34=0),"",$L$37-1)),0,YEARFRAC(MAX($P$34*($B455+$I$38-1),IF(AND($L$37=0,$P$34=0),"",$L$37-1)),MIN(BS$38,$E455),$P$20))-SUM($BF455:BR455))</f>
        <v>0</v>
      </c>
      <c r="BT455" s="446">
        <f>IF($E455=0,0,IF(MIN(BT$38,$E455)&lt;MAX($P$34*($B455+$I$38-1),IF(AND($L$37=0,$P$34=0),"",$L$37-1)),0,YEARFRAC(MAX($P$34*($B455+$I$38-1),IF(AND($L$37=0,$P$34=0),"",$L$37-1)),MIN(BT$38,$E455),$P$20))-SUM($BF455:BS455))</f>
        <v>0</v>
      </c>
      <c r="BU455" s="446">
        <f>IF($E455=0,0,IF(MIN(BU$38,$E455)&lt;MAX($P$34*($B455+$I$38-1),IF(AND($L$37=0,$P$34=0),"",$L$37-1)),0,YEARFRAC(MAX($P$34*($B455+$I$38-1),IF(AND($L$37=0,$P$34=0),"",$L$37-1)),MIN(BU$38,$E455),$P$20))-SUM($BF455:BT455))</f>
        <v>0</v>
      </c>
      <c r="BV455" s="446">
        <f>IF($E455=0,0,IF(MIN(BV$38,$E455)&lt;MAX($P$34*($B455+$I$38-1),IF(AND($L$37=0,$P$34=0),"",$L$37-1)),0,YEARFRAC(MAX($P$34*($B455+$I$38-1),IF(AND($L$37=0,$P$34=0),"",$L$37-1)),MIN(BV$38,$E455),$P$20))-SUM($BF455:BU455))</f>
        <v>0</v>
      </c>
      <c r="BW455" s="446">
        <f>IF($E455=0,0,IF(MIN(BW$38,$E455)&lt;MAX($P$34*($B455+$I$38-1),IF(AND($L$37=0,$P$34=0),"",$L$37-1)),0,YEARFRAC(MAX($P$34*($B455+$I$38-1),IF(AND($L$37=0,$P$34=0),"",$L$37-1)),MIN(BW$38,$E455),$P$20))-SUM($BF455:BV455))</f>
        <v>0</v>
      </c>
      <c r="BX455" s="446">
        <f>IF($E455=0,0,IF(MIN(BX$38,$E455)&lt;MAX($P$34*($B455+$I$38-1),IF(AND($L$37=0,$P$34=0),"",$L$37-1)),0,YEARFRAC(MAX($P$34*($B455+$I$38-1),IF(AND($L$37=0,$P$34=0),"",$L$37-1)),MIN(BX$38,$E455),$P$20))-SUM($BF455:BW455))</f>
        <v>0</v>
      </c>
      <c r="BY455" s="446">
        <f>IF($E455=0,0,IF(MIN(BY$38,$E455)&lt;MAX($P$34*($B455+$I$38-1),IF(AND($L$37=0,$P$34=0),"",$L$37-1)),0,YEARFRAC(MAX($P$34*($B455+$I$38-1),IF(AND($L$37=0,$P$34=0),"",$L$37-1)),MIN(BY$38,$E455),$P$20))-SUM($BF455:BX455))</f>
        <v>0</v>
      </c>
      <c r="BZ455" s="446">
        <f>IF($E455=0,0,IF(MIN(BZ$38,$E455)&lt;MAX($P$34*($B455+$I$38-1),IF(AND($L$37=0,$P$34=0),"",$L$37-1)),0,YEARFRAC(MAX($P$34*($B455+$I$38-1),IF(AND($L$37=0,$P$34=0),"",$L$37-1)),MIN(BZ$38,$E455),$P$20))-SUM($BF455:BY455))</f>
        <v>0</v>
      </c>
      <c r="CA455" s="446">
        <f>IF($E455=0,0,IF(MIN(CA$38,$E455)&lt;MAX($P$34*($B455+$I$38-1),IF(AND($L$37=0,$P$34=0),"",$L$37-1)),0,YEARFRAC(MAX($P$34*($B455+$I$38-1),IF(AND($L$37=0,$P$34=0),"",$L$37-1)),MIN(CA$38,$E455),$P$20))-SUM($BF455:BZ455))</f>
        <v>0</v>
      </c>
      <c r="CB455" s="446">
        <f>IF($E455=0,0,IF(MIN(CB$38,$E455)&lt;MAX($P$34*($B455+$I$38-1),IF(AND($L$37=0,$P$34=0),"",$L$37-1)),0,YEARFRAC(MAX($P$34*($B455+$I$38-1),IF(AND($L$37=0,$P$34=0),"",$L$37-1)),MIN(CB$38,$E455),$P$20))-SUM($BF455:CA455))</f>
        <v>0</v>
      </c>
      <c r="CC455" s="446">
        <f>IF($E455=0,0,IF(MIN(CC$38,$E455)&lt;MAX($P$34*($B455+$I$38-1),IF(AND($L$37=0,$P$34=0),"",$L$37-1)),0,YEARFRAC(MAX($P$34*($B455+$I$38-1),IF(AND($L$37=0,$P$34=0),"",$L$37-1)),MIN(CC$38,$E455),$P$20))-SUM($BF455:CB455))</f>
        <v>0</v>
      </c>
      <c r="CD455" s="446">
        <f>IF($E455=0,0,IF(MIN(CD$38,$E455)&lt;MAX($P$34*($B455+$I$38-1),IF(AND($L$37=0,$P$34=0),"",$L$37-1)),0,YEARFRAC(MAX($P$34*($B455+$I$38-1),IF(AND($L$37=0,$P$34=0),"",$L$37-1)),MIN(CD$38,$E455),$P$20))-SUM($BF455:CC455))</f>
        <v>0</v>
      </c>
      <c r="CE455" s="446">
        <f>IF($E455=0,0,IF(MIN(CE$38,$E455)&lt;MAX($P$34*($B455+$I$38-1),IF(AND($L$37=0,$P$34=0),"",$L$37-1)),0,YEARFRAC(MAX($P$34*($B455+$I$38-1),IF(AND($L$37=0,$P$34=0),"",$L$37-1)),MIN(CE$38,$E455),$P$20))-SUM($BF455:CD455))</f>
        <v>0</v>
      </c>
      <c r="CF455" s="446">
        <f>IF($E455=0,0,IF(MIN(CF$38,$E455)&lt;MAX($P$34*($B455+$I$38-1),IF(AND($L$37=0,$P$34=0),"",$L$37-1)),0,YEARFRAC(MAX($P$34*($B455+$I$38-1),IF(AND($L$37=0,$P$34=0),"",$L$37-1)),MIN(CF$38,$E455),$P$20))-SUM($BF455:CE455))</f>
        <v>0</v>
      </c>
      <c r="CG455" s="446">
        <f>IF($E455=0,0,IF(MIN(CG$38,$E455)&lt;MAX($P$34*($B455+$I$38-1),IF(AND($L$37=0,$P$34=0),"",$L$37-1)),0,YEARFRAC(MAX($P$34*($B455+$I$38-1),IF(AND($L$37=0,$P$34=0),"",$L$37-1)),MIN(CG$38,$E455),$P$20))-SUM($BF455:CF455))</f>
        <v>0</v>
      </c>
      <c r="CH455" s="446">
        <f>IF($E455=0,0,IF(MIN(CH$38,$E455)&lt;MAX($P$34*($B455+$I$38-1),IF(AND($L$37=0,$P$34=0),"",$L$37-1)),0,YEARFRAC(MAX($P$34*($B455+$I$38-1),IF(AND($L$37=0,$P$34=0),"",$L$37-1)),MIN(CH$38,$E455),$P$20))-SUM($BF455:CG455))</f>
        <v>0</v>
      </c>
      <c r="CI455" s="446">
        <f>IF($E455=0,0,IF(MIN(CI$38,$E455)&lt;MAX($P$34*($B455+$I$38-1),IF(AND($L$37=0,$P$34=0),"",$L$37-1)),0,YEARFRAC(MAX($P$34*($B455+$I$38-1),IF(AND($L$37=0,$P$34=0),"",$L$37-1)),MIN(CI$38,$E455),$P$20))-SUM($BF455:CH455))</f>
        <v>0</v>
      </c>
      <c r="CJ455" s="446">
        <f>IF($E455=0,0,IF(MIN(CJ$38,$E455)&lt;MAX($P$34*($B455+$I$38-1),IF(AND($L$37=0,$P$34=0),"",$L$37-1)),0,YEARFRAC(MAX($P$34*($B455+$I$38-1),IF(AND($L$37=0,$P$34=0),"",$L$37-1)),MIN(CJ$38,$E455),$P$20))-SUM($BF455:CI455))</f>
        <v>0</v>
      </c>
      <c r="CK455" s="446">
        <f>IF($E455=0,0,IF(MIN(CK$38,$E455)&lt;MAX($P$34*($B455+$I$38-1),IF(AND($L$37=0,$P$34=0),"",$L$37-1)),0,YEARFRAC(MAX($P$34*($B455+$I$38-1),IF(AND($L$37=0,$P$34=0),"",$L$37-1)),MIN(CK$38,$E455),$P$20))-SUM($BF455:CJ455))</f>
        <v>0</v>
      </c>
      <c r="CL455" s="446">
        <f>IF($E455=0,0,IF(MIN(CL$38,$E455)&lt;MAX($P$34*($B455+$I$38-1),IF(AND($L$37=0,$P$34=0),"",$L$37-1)),0,YEARFRAC(MAX($P$34*($B455+$I$38-1),IF(AND($L$37=0,$P$34=0),"",$L$37-1)),MIN(CL$38,$E455),$P$20))-SUM($BF455:CK455))</f>
        <v>0</v>
      </c>
      <c r="CM455" s="446">
        <f>IF($E455=0,0,IF(MIN(CM$38,$E455)&lt;MAX($P$34*($B455+$I$38-1),IF(AND($L$37=0,$P$34=0),"",$L$37-1)),0,YEARFRAC(MAX($P$34*($B455+$I$38-1),IF(AND($L$37=0,$P$34=0),"",$L$37-1)),MIN(CM$38,$E455),$P$20))-SUM($BF455:CL455))</f>
        <v>0</v>
      </c>
      <c r="CN455" s="446">
        <f>IF($E455=0,0,IF(MIN(CN$38,$E455)&lt;MAX($P$34*($B455+$I$38-1),IF(AND($L$37=0,$P$34=0),"",$L$37-1)),0,YEARFRAC(MAX($P$34*($B455+$I$38-1),IF(AND($L$37=0,$P$34=0),"",$L$37-1)),MIN(CN$38,$E455),$P$20))-SUM($BF455:CM455))</f>
        <v>0</v>
      </c>
      <c r="CO455" s="446">
        <f>IF($E455=0,0,IF(MIN(CO$38,$E455)&lt;MAX($P$34*($B455+$I$38-1),IF(AND($L$37=0,$P$34=0),"",$L$37-1)),0,YEARFRAC(MAX($P$34*($B455+$I$38-1),IF(AND($L$37=0,$P$34=0),"",$L$37-1)),MIN(CO$38,$E455),$P$20))-SUM($BF455:CN455))</f>
        <v>0</v>
      </c>
      <c r="CP455" s="446">
        <f>IF($E455=0,0,IF(MIN(CP$38,$E455)&lt;MAX($P$34*($B455+$I$38-1),IF(AND($L$37=0,$P$34=0),"",$L$37-1)),0,YEARFRAC(MAX($P$34*($B455+$I$38-1),IF(AND($L$37=0,$P$34=0),"",$L$37-1)),MIN(CP$38,$E455),$P$20))-SUM($BF455:CO455))</f>
        <v>0</v>
      </c>
      <c r="CQ455" s="446">
        <f>IF($E455=0,0,IF(MIN(CQ$38,$E455)&lt;MAX($P$34*($B455+$I$38-1),IF(AND($L$37=0,$P$34=0),"",$L$37-1)),0,YEARFRAC(MAX($P$34*($B455+$I$38-1),IF(AND($L$37=0,$P$34=0),"",$L$37-1)),MIN(CQ$38,$E455),$P$20))-SUM($BF455:CP455))</f>
        <v>0</v>
      </c>
    </row>
    <row r="456" spans="1:95" s="446" customFormat="1" ht="11.25" hidden="1" customHeight="1" x14ac:dyDescent="0.2">
      <c r="A456" s="152"/>
      <c r="B456" s="153" t="str">
        <f t="shared" si="81"/>
        <v/>
      </c>
      <c r="C456" s="29" t="str">
        <f>IF(B456="","",IF($L$35="SELIC - TRIBUTOS",VLOOKUP(DATE(YEAR($D$19),MONTH($D$19)-1,1),ÍNDICES!$A:$DE,HLOOKUP($BL$25,ÍNDICES!$B$3:$T$4,2)+11)-VLOOKUP(B456,ÍNDICES!$A:$DE,HLOOKUP($BL$25,ÍNDICES!$B$3:$T$4,2)+11)+1%,IF(C$38=$W$26,$J$35,IF(ISERROR(IF(B456&gt;$D$19,1,VLOOKUP(DATE(YEAR(B456),MONTH(B456)+IF($C$35=$S$23,1,0),1),ÍNDICES!$A:$DE,$Z$35+1))),"",IF(B456&gt;$D$19,1,VLOOKUP(DATE(YEAR(B456),MONTH(B456)+IF($C$35=$S$23,1,0),1),ÍNDICES!$A:$DE,$Z$35+1))))))</f>
        <v/>
      </c>
      <c r="D456" s="154" t="str">
        <f>IF(ISERROR(IF(OR($D$38=$Y$27,$B456=""),"",VLOOKUP(B456,ÍNDICES!A:DE,AF$35+1))),"",IF(OR($D$38=$Y$27,$B456=""),"",VLOOKUP(B456,ÍNDICES!A:DE,AF$35+1)))</f>
        <v/>
      </c>
      <c r="E456" s="153"/>
      <c r="F456" s="29" t="str">
        <f>IF(E456="","",IF($L$35="SELIC - TRIBUTOS",VLOOKUP(DATE(YEAR($D$19),MONTH($D$19)-1,1),ÍNDICES!$A:$DE,HLOOKUP($BL$25,ÍNDICES!$B$3:$T$4,2)+11)-VLOOKUP(E456,ÍNDICES!$A:$DE,HLOOKUP($BL$25,ÍNDICES!$B$3:$T$4,2)+11)+1%,IF(F$38=$W$26,$J$35,IF(ISERROR(IF(E456&gt;$D$19,1,VLOOKUP(DATE(YEAR(E456),MONTH(E456)+IF($C$35=$S$23,1,0),1),ÍNDICES!$A:$DE,$Z$35+1))),"",IF(E456&gt;$D$19,1,VLOOKUP(DATE(YEAR(E456),MONTH(E456)+IF($C$35=$S$23,1,0),1),ÍNDICES!$A:$DE,$Z$35+1))))))</f>
        <v/>
      </c>
      <c r="G456" s="155"/>
      <c r="H456" s="156" t="str">
        <f t="shared" si="77"/>
        <v/>
      </c>
      <c r="I456" s="29" t="str">
        <f t="shared" si="71"/>
        <v/>
      </c>
      <c r="J456" s="5">
        <f t="shared" si="72"/>
        <v>0</v>
      </c>
      <c r="K456" s="20">
        <f t="shared" ca="1" si="73"/>
        <v>0</v>
      </c>
      <c r="L456" s="5">
        <f t="shared" ca="1" si="74"/>
        <v>0</v>
      </c>
      <c r="M456" s="64">
        <f t="shared" si="78"/>
        <v>0</v>
      </c>
      <c r="N456" s="61">
        <f t="shared" ca="1" si="79"/>
        <v>0</v>
      </c>
      <c r="O456" s="5">
        <f t="shared" ca="1" si="80"/>
        <v>0</v>
      </c>
      <c r="P456" s="446" t="e">
        <f t="shared" si="75"/>
        <v>#VALUE!</v>
      </c>
      <c r="Q456" s="446" t="e">
        <f>IF(OR($B456="",MIN(Q$38,$D$19)&lt;MAX($P$34*($B456+IF($R$17="Distrato",$I$38-1,0)),IF(AND($L$37=0,$P$34=0),"",$L$37-1),IF($R$17="Distrato",$E456,0))),0,YEARFRAC(MAX($P$34*($B456+IF($R$17="Distrato",$I$38-1,0)),IF(AND($L$37=0,$P$34=0),"",$L$37-1),IF($R$17="Distrato",$E456,0)),MIN(Q$38,$D$19),$P$20))-SUM($P456:P456)</f>
        <v>#VALUE!</v>
      </c>
      <c r="R456" s="446" t="e">
        <f>IF(OR($B456="",MIN(R$38,$D$19)&lt;MAX($P$34*($B456+IF($R$17="Distrato",$I$38-1,0)),IF(AND($L$37=0,$P$34=0),"",$L$37-1),IF($R$17="Distrato",$E456,0))),0,YEARFRAC(MAX($P$34*($B456+IF($R$17="Distrato",$I$38-1,0)),IF(AND($L$37=0,$P$34=0),"",$L$37-1),IF($R$17="Distrato",$E456,0)),MIN(R$38,$D$19),$P$20))-SUM($P456:Q456)</f>
        <v>#VALUE!</v>
      </c>
      <c r="S456" s="446" t="e">
        <f>IF(OR($B456="",MIN(S$38,$D$19)&lt;MAX($P$34*($B456+IF($R$17="Distrato",$I$38-1,0)),IF(AND($L$37=0,$P$34=0),"",$L$37-1),IF($R$17="Distrato",$E456,0))),0,YEARFRAC(MAX($P$34*($B456+IF($R$17="Distrato",$I$38-1,0)),IF(AND($L$37=0,$P$34=0),"",$L$37-1),IF($R$17="Distrato",$E456,0)),MIN(S$38,$D$19),$P$20))-SUM($P456:R456)</f>
        <v>#VALUE!</v>
      </c>
      <c r="T456" s="446" t="e">
        <f>IF(OR($B456="",MIN(T$38,$D$19)&lt;MAX($P$34*($B456+IF($R$17="Distrato",$I$38-1,0)),IF(AND($L$37=0,$P$34=0),"",$L$37-1),IF($R$17="Distrato",$E456,0))),0,YEARFRAC(MAX($P$34*($B456+IF($R$17="Distrato",$I$38-1,0)),IF(AND($L$37=0,$P$34=0),"",$L$37-1),IF($R$17="Distrato",$E456,0)),MIN(T$38,$D$19),$P$20))-SUM($P456:S456)</f>
        <v>#VALUE!</v>
      </c>
      <c r="U456" s="446" t="e">
        <f>IF(OR($B456="",MIN(U$38,$D$19)&lt;MAX($P$34*($B456+IF($R$17="Distrato",$I$38-1,0)),IF(AND($L$37=0,$P$34=0),"",$L$37-1),IF($R$17="Distrato",$E456,0))),0,YEARFRAC(MAX($P$34*($B456+IF($R$17="Distrato",$I$38-1,0)),IF(AND($L$37=0,$P$34=0),"",$L$37-1),IF($R$17="Distrato",$E456,0)),MIN(U$38,$D$19),$P$20))-SUM($P456:T456)</f>
        <v>#VALUE!</v>
      </c>
      <c r="V456" s="446" t="e">
        <f>IF(OR($B456="",MIN(V$38,$D$19)&lt;MAX($P$34*($B456+IF($R$17="Distrato",$I$38-1,0)),IF(AND($L$37=0,$P$34=0),"",$L$37-1),IF($R$17="Distrato",$E456,0))),0,YEARFRAC(MAX($P$34*($B456+IF($R$17="Distrato",$I$38-1,0)),IF(AND($L$37=0,$P$34=0),"",$L$37-1),IF($R$17="Distrato",$E456,0)),MIN(V$38,$D$19),$P$20))-SUM($P456:U456)</f>
        <v>#VALUE!</v>
      </c>
      <c r="W456" s="446" t="e">
        <f>IF(OR($B456="",MIN(W$38,$D$19)&lt;MAX($P$34*($B456+IF($R$17="Distrato",$I$38-1,0)),IF(AND($L$37=0,$P$34=0),"",$L$37-1),IF($R$17="Distrato",$E456,0))),0,YEARFRAC(MAX($P$34*($B456+IF($R$17="Distrato",$I$38-1,0)),IF(AND($L$37=0,$P$34=0),"",$L$37-1),IF($R$17="Distrato",$E456,0)),MIN(W$38,$D$19),$P$20))-SUM($P456:V456)</f>
        <v>#VALUE!</v>
      </c>
      <c r="X456" s="446" t="e">
        <f>IF(OR($B456="",MIN(X$38,$D$19)&lt;MAX($P$34*($B456+IF($R$17="Distrato",$I$38-1,0)),IF(AND($L$37=0,$P$34=0),"",$L$37-1),IF($R$17="Distrato",$E456,0))),0,YEARFRAC(MAX($P$34*($B456+IF($R$17="Distrato",$I$38-1,0)),IF(AND($L$37=0,$P$34=0),"",$L$37-1),IF($R$17="Distrato",$E456,0)),MIN(X$38,$D$19),$P$20))-SUM($P456:W456)</f>
        <v>#VALUE!</v>
      </c>
      <c r="Y456" s="446" t="e">
        <f>IF(OR($B456="",MIN(Y$38,$D$19)&lt;MAX($P$34*($B456+IF($R$17="Distrato",$I$38-1,0)),IF(AND($L$37=0,$P$34=0),"",$L$37-1),IF($R$17="Distrato",$E456,0))),0,YEARFRAC(MAX($P$34*($B456+IF($R$17="Distrato",$I$38-1,0)),IF(AND($L$37=0,$P$34=0),"",$L$37-1),IF($R$17="Distrato",$E456,0)),MIN(Y$38,$D$19),$P$20))-SUM($P456:X456)</f>
        <v>#VALUE!</v>
      </c>
      <c r="Z456" s="446" t="e">
        <f>IF(OR($B456="",MIN(Z$38,$D$19)&lt;MAX($P$34*($B456+IF($R$17="Distrato",$I$38-1,0)),IF(AND($L$37=0,$P$34=0),"",$L$37-1),IF($R$17="Distrato",$E456,0))),0,YEARFRAC(MAX($P$34*($B456+IF($R$17="Distrato",$I$38-1,0)),IF(AND($L$37=0,$P$34=0),"",$L$37-1),IF($R$17="Distrato",$E456,0)),MIN(Z$38,$D$19),$P$20))-SUM($P456:Y456)</f>
        <v>#VALUE!</v>
      </c>
      <c r="AA456" s="446" t="e">
        <f>IF(OR($B456="",MIN(AA$38,$D$19)&lt;MAX($P$34*($B456+IF($R$17="Distrato",$I$38-1,0)),IF(AND($L$37=0,$P$34=0),"",$L$37-1),IF($R$17="Distrato",$E456,0))),0,YEARFRAC(MAX($P$34*($B456+IF($R$17="Distrato",$I$38-1,0)),IF(AND($L$37=0,$P$34=0),"",$L$37-1),IF($R$17="Distrato",$E456,0)),MIN(AA$38,$D$19),$P$20))-SUM($P456:Z456)</f>
        <v>#VALUE!</v>
      </c>
      <c r="AB456" s="446" t="e">
        <f>IF(OR($B456="",MIN(AB$38,$D$19)&lt;MAX($P$34*($B456+IF($R$17="Distrato",$I$38-1,0)),IF(AND($L$37=0,$P$34=0),"",$L$37-1),IF($R$17="Distrato",$E456,0))),0,YEARFRAC(MAX($P$34*($B456+IF($R$17="Distrato",$I$38-1,0)),IF(AND($L$37=0,$P$34=0),"",$L$37-1),IF($R$17="Distrato",$E456,0)),MIN(AB$38,$D$19),$P$20))-SUM($P456:AA456)</f>
        <v>#VALUE!</v>
      </c>
      <c r="AC456" s="446" t="e">
        <f>IF(OR($B456="",MIN(AC$38,$D$19)&lt;MAX($P$34*($B456+IF($R$17="Distrato",$I$38-1,0)),IF(AND($L$37=0,$P$34=0),"",$L$37-1),IF($R$17="Distrato",$E456,0))),0,YEARFRAC(MAX($P$34*($B456+IF($R$17="Distrato",$I$38-1,0)),IF(AND($L$37=0,$P$34=0),"",$L$37-1),IF($R$17="Distrato",$E456,0)),MIN(AC$38,$D$19),$P$20))-SUM($P456:AB456)</f>
        <v>#VALUE!</v>
      </c>
      <c r="AD456" s="446" t="e">
        <f>IF(OR($B456="",MIN(AD$38,$D$19)&lt;MAX($P$34*($B456+IF($R$17="Distrato",$I$38-1,0)),IF(AND($L$37=0,$P$34=0),"",$L$37-1),IF($R$17="Distrato",$E456,0))),0,YEARFRAC(MAX($P$34*($B456+IF($R$17="Distrato",$I$38-1,0)),IF(AND($L$37=0,$P$34=0),"",$L$37-1),IF($R$17="Distrato",$E456,0)),MIN(AD$38,$D$19),$P$20))-SUM($P456:AC456)</f>
        <v>#VALUE!</v>
      </c>
      <c r="AE456" s="446" t="e">
        <f>IF(OR($B456="",MIN(AE$38,$D$19)&lt;MAX($P$34*($B456+IF($R$17="Distrato",$I$38-1,0)),IF(AND($L$37=0,$P$34=0),"",$L$37-1),IF($R$17="Distrato",$E456,0))),0,YEARFRAC(MAX($P$34*($B456+IF($R$17="Distrato",$I$38-1,0)),IF(AND($L$37=0,$P$34=0),"",$L$37-1),IF($R$17="Distrato",$E456,0)),MIN(AE$38,$D$19),$P$20))-SUM($P456:AD456)</f>
        <v>#VALUE!</v>
      </c>
      <c r="AF456" s="446" t="e">
        <f>IF(OR($B456="",MIN(AF$38,$D$19)&lt;MAX($P$34*($B456+IF($R$17="Distrato",$I$38-1,0)),IF(AND($L$37=0,$P$34=0),"",$L$37-1),IF($R$17="Distrato",$E456,0))),0,YEARFRAC(MAX($P$34*($B456+IF($R$17="Distrato",$I$38-1,0)),IF(AND($L$37=0,$P$34=0),"",$L$37-1),IF($R$17="Distrato",$E456,0)),MIN(AF$38,$D$19),$P$20))-SUM($P456:AE456)</f>
        <v>#VALUE!</v>
      </c>
      <c r="AG456" s="446" t="e">
        <f>IF(OR($B456="",MIN(AG$38,$D$19)&lt;MAX($P$34*($B456+IF($R$17="Distrato",$I$38-1,0)),IF(AND($L$37=0,$P$34=0),"",$L$37-1),IF($R$17="Distrato",$E456,0))),0,YEARFRAC(MAX($P$34*($B456+IF($R$17="Distrato",$I$38-1,0)),IF(AND($L$37=0,$P$34=0),"",$L$37-1),IF($R$17="Distrato",$E456,0)),MIN(AG$38,$D$19),$P$20))-SUM($P456:AF456)</f>
        <v>#VALUE!</v>
      </c>
      <c r="AH456" s="446" t="e">
        <f>IF(OR($B456="",MIN(AH$38,$D$19)&lt;MAX($P$34*($B456+IF($R$17="Distrato",$I$38-1,0)),IF(AND($L$37=0,$P$34=0),"",$L$37-1),IF($R$17="Distrato",$E456,0))),0,YEARFRAC(MAX($P$34*($B456+IF($R$17="Distrato",$I$38-1,0)),IF(AND($L$37=0,$P$34=0),"",$L$37-1),IF($R$17="Distrato",$E456,0)),MIN(AH$38,$D$19),$P$20))-SUM($P456:AG456)</f>
        <v>#VALUE!</v>
      </c>
      <c r="AI456" s="446" t="e">
        <f>IF(OR($B456="",MIN(AI$38,$D$19)&lt;MAX($P$34*($B456+IF($R$17="Distrato",$I$38-1,0)),IF(AND($L$37=0,$P$34=0),"",$L$37-1),IF($R$17="Distrato",$E456,0))),0,YEARFRAC(MAX($P$34*($B456+IF($R$17="Distrato",$I$38-1,0)),IF(AND($L$37=0,$P$34=0),"",$L$37-1),IF($R$17="Distrato",$E456,0)),MIN(AI$38,$D$19),$P$20))-SUM($P456:AH456)</f>
        <v>#VALUE!</v>
      </c>
      <c r="AJ456" s="446" t="e">
        <f>IF(OR($B456="",MIN(AJ$38,$D$19)&lt;MAX($P$34*($B456+IF($R$17="Distrato",$I$38-1,0)),IF(AND($L$37=0,$P$34=0),"",$L$37-1),IF($R$17="Distrato",$E456,0))),0,YEARFRAC(MAX($P$34*($B456+IF($R$17="Distrato",$I$38-1,0)),IF(AND($L$37=0,$P$34=0),"",$L$37-1),IF($R$17="Distrato",$E456,0)),MIN(AJ$38,$D$19),$P$20))-SUM($P456:AI456)</f>
        <v>#VALUE!</v>
      </c>
      <c r="AK456" s="446" t="e">
        <f>IF(OR($B456="",MIN(AK$38,$D$19)&lt;MAX($P$34*($B456+IF($R$17="Distrato",$I$38-1,0)),IF(AND($L$37=0,$P$34=0),"",$L$37-1),IF($R$17="Distrato",$E456,0))),0,YEARFRAC(MAX($P$34*($B456+IF($R$17="Distrato",$I$38-1,0)),IF(AND($L$37=0,$P$34=0),"",$L$37-1),IF($R$17="Distrato",$E456,0)),MIN(AK$38,$D$19),$P$20))-SUM($P456:AJ456)</f>
        <v>#VALUE!</v>
      </c>
      <c r="AL456" s="446" t="e">
        <f>IF(OR($B456="",MIN(AL$38,$D$19)&lt;MAX($P$34*($B456+IF($R$17="Distrato",$I$38-1,0)),IF(AND($L$37=0,$P$34=0),"",$L$37-1),IF($R$17="Distrato",$E456,0))),0,YEARFRAC(MAX($P$34*($B456+IF($R$17="Distrato",$I$38-1,0)),IF(AND($L$37=0,$P$34=0),"",$L$37-1),IF($R$17="Distrato",$E456,0)),MIN(AL$38,$D$19),$P$20))-SUM($P456:AK456)</f>
        <v>#VALUE!</v>
      </c>
      <c r="AM456" s="446" t="e">
        <f>IF(OR($B456="",MIN(AM$38,$D$19)&lt;MAX($P$34*($B456+IF($R$17="Distrato",$I$38-1,0)),IF(AND($L$37=0,$P$34=0),"",$L$37-1),IF($R$17="Distrato",$E456,0))),0,YEARFRAC(MAX($P$34*($B456+IF($R$17="Distrato",$I$38-1,0)),IF(AND($L$37=0,$P$34=0),"",$L$37-1),IF($R$17="Distrato",$E456,0)),MIN(AM$38,$D$19),$P$20))-SUM($P456:AL456)</f>
        <v>#VALUE!</v>
      </c>
      <c r="AN456" s="446" t="e">
        <f>IF(OR($B456="",MIN(AN$38,$D$19)&lt;MAX($P$34*($B456+IF($R$17="Distrato",$I$38-1,0)),IF(AND($L$37=0,$P$34=0),"",$L$37-1),IF($R$17="Distrato",$E456,0))),0,YEARFRAC(MAX($P$34*($B456+IF($R$17="Distrato",$I$38-1,0)),IF(AND($L$37=0,$P$34=0),"",$L$37-1),IF($R$17="Distrato",$E456,0)),MIN(AN$38,$D$19),$P$20))-SUM($P456:AM456)</f>
        <v>#VALUE!</v>
      </c>
      <c r="AO456" s="446" t="e">
        <f>IF(OR($B456="",MIN(AO$38,$D$19)&lt;MAX($P$34*($B456+IF($R$17="Distrato",$I$38-1,0)),IF(AND($L$37=0,$P$34=0),"",$L$37-1),IF($R$17="Distrato",$E456,0))),0,YEARFRAC(MAX($P$34*($B456+IF($R$17="Distrato",$I$38-1,0)),IF(AND($L$37=0,$P$34=0),"",$L$37-1),IF($R$17="Distrato",$E456,0)),MIN(AO$38,$D$19),$P$20))-SUM($P456:AN456)</f>
        <v>#VALUE!</v>
      </c>
      <c r="AP456" s="446" t="e">
        <f>IF(OR($B456="",MIN(AP$38,$D$19)&lt;MAX($P$34*($B456+IF($R$17="Distrato",$I$38-1,0)),IF(AND($L$37=0,$P$34=0),"",$L$37-1),IF($R$17="Distrato",$E456,0))),0,YEARFRAC(MAX($P$34*($B456+IF($R$17="Distrato",$I$38-1,0)),IF(AND($L$37=0,$P$34=0),"",$L$37-1),IF($R$17="Distrato",$E456,0)),MIN(AP$38,$D$19),$P$20))-SUM($P456:AO456)</f>
        <v>#VALUE!</v>
      </c>
      <c r="AQ456" s="446" t="e">
        <f>IF(OR($B456="",MIN(AQ$38,$D$19)&lt;MAX($P$34*($B456+IF($R$17="Distrato",$I$38-1,0)),IF(AND($L$37=0,$P$34=0),"",$L$37-1),IF($R$17="Distrato",$E456,0))),0,YEARFRAC(MAX($P$34*($B456+IF($R$17="Distrato",$I$38-1,0)),IF(AND($L$37=0,$P$34=0),"",$L$37-1),IF($R$17="Distrato",$E456,0)),MIN(AQ$38,$D$19),$P$20))-SUM($P456:AP456)</f>
        <v>#VALUE!</v>
      </c>
      <c r="AR456" s="446" t="e">
        <f>IF(OR($B456="",MIN(AR$38,$D$19)&lt;MAX($P$34*($B456+IF($R$17="Distrato",$I$38-1,0)),IF(AND($L$37=0,$P$34=0),"",$L$37-1),IF($R$17="Distrato",$E456,0))),0,YEARFRAC(MAX($P$34*($B456+IF($R$17="Distrato",$I$38-1,0)),IF(AND($L$37=0,$P$34=0),"",$L$37-1),IF($R$17="Distrato",$E456,0)),MIN(AR$38,$D$19),$P$20))-SUM($P456:AQ456)</f>
        <v>#VALUE!</v>
      </c>
      <c r="AS456" s="446" t="e">
        <f>IF(OR($B456="",MIN(AS$38,$D$19)&lt;MAX($P$34*($B456+IF($R$17="Distrato",$I$38-1,0)),IF(AND($L$37=0,$P$34=0),"",$L$37-1),IF($R$17="Distrato",$E456,0))),0,YEARFRAC(MAX($P$34*($B456+IF($R$17="Distrato",$I$38-1,0)),IF(AND($L$37=0,$P$34=0),"",$L$37-1),IF($R$17="Distrato",$E456,0)),MIN(AS$38,$D$19),$P$20))-SUM($P456:AR456)</f>
        <v>#VALUE!</v>
      </c>
      <c r="AT456" s="446" t="e">
        <f>IF(OR($B456="",MIN(AT$38,$D$19)&lt;MAX($P$34*($B456+IF($R$17="Distrato",$I$38-1,0)),IF(AND($L$37=0,$P$34=0),"",$L$37-1),IF($R$17="Distrato",$E456,0))),0,YEARFRAC(MAX($P$34*($B456+IF($R$17="Distrato",$I$38-1,0)),IF(AND($L$37=0,$P$34=0),"",$L$37-1),IF($R$17="Distrato",$E456,0)),MIN(AT$38,$D$19),$P$20))-SUM($P456:AS456)</f>
        <v>#VALUE!</v>
      </c>
      <c r="AU456" s="446" t="e">
        <f>IF(OR($B456="",MIN(AU$38,$D$19)&lt;MAX($P$34*($B456+IF($R$17="Distrato",$I$38-1,0)),IF(AND($L$37=0,$P$34=0),"",$L$37-1),IF($R$17="Distrato",$E456,0))),0,YEARFRAC(MAX($P$34*($B456+IF($R$17="Distrato",$I$38-1,0)),IF(AND($L$37=0,$P$34=0),"",$L$37-1),IF($R$17="Distrato",$E456,0)),MIN(AU$38,$D$19),$P$20))-SUM($P456:AT456)</f>
        <v>#VALUE!</v>
      </c>
      <c r="AV456" s="446" t="e">
        <f>IF(OR($B456="",MIN(AV$38,$D$19)&lt;MAX($P$34*($B456+IF($R$17="Distrato",$I$38-1,0)),IF(AND($L$37=0,$P$34=0),"",$L$37-1),IF($R$17="Distrato",$E456,0))),0,YEARFRAC(MAX($P$34*($B456+IF($R$17="Distrato",$I$38-1,0)),IF(AND($L$37=0,$P$34=0),"",$L$37-1),IF($R$17="Distrato",$E456,0)),MIN(AV$38,$D$19),$P$20))-SUM($P456:AU456)</f>
        <v>#VALUE!</v>
      </c>
      <c r="AW456" s="446" t="e">
        <f>IF(OR($B456="",MIN(AW$38,$D$19)&lt;MAX($P$34*($B456+IF($R$17="Distrato",$I$38-1,0)),IF(AND($L$37=0,$P$34=0),"",$L$37-1),IF($R$17="Distrato",$E456,0))),0,YEARFRAC(MAX($P$34*($B456+IF($R$17="Distrato",$I$38-1,0)),IF(AND($L$37=0,$P$34=0),"",$L$37-1),IF($R$17="Distrato",$E456,0)),MIN(AW$38,$D$19),$P$20))-SUM($P456:AV456)</f>
        <v>#VALUE!</v>
      </c>
      <c r="AX456" s="446" t="e">
        <f>IF(OR($B456="",MIN(AX$38,$D$19)&lt;MAX($P$34*($B456+IF($R$17="Distrato",$I$38-1,0)),IF(AND($L$37=0,$P$34=0),"",$L$37-1),IF($R$17="Distrato",$E456,0))),0,YEARFRAC(MAX($P$34*($B456+IF($R$17="Distrato",$I$38-1,0)),IF(AND($L$37=0,$P$34=0),"",$L$37-1),IF($R$17="Distrato",$E456,0)),MIN(AX$38,$D$19),$P$20))-SUM($P456:AW456)</f>
        <v>#VALUE!</v>
      </c>
      <c r="AY456" s="446" t="e">
        <f>IF(OR($B456="",MIN(AY$38,$D$19)&lt;MAX($P$34*($B456+IF($R$17="Distrato",$I$38-1,0)),IF(AND($L$37=0,$P$34=0),"",$L$37-1),IF($R$17="Distrato",$E456,0))),0,YEARFRAC(MAX($P$34*($B456+IF($R$17="Distrato",$I$38-1,0)),IF(AND($L$37=0,$P$34=0),"",$L$37-1),IF($R$17="Distrato",$E456,0)),MIN(AY$38,$D$19),$P$20))-SUM($P456:AX456)</f>
        <v>#VALUE!</v>
      </c>
      <c r="AZ456" s="446" t="e">
        <f>IF(OR($B456="",MIN(AZ$38,$D$19)&lt;MAX($P$34*($B456+IF($R$17="Distrato",$I$38-1,0)),IF(AND($L$37=0,$P$34=0),"",$L$37-1),IF($R$17="Distrato",$E456,0))),0,YEARFRAC(MAX($P$34*($B456+IF($R$17="Distrato",$I$38-1,0)),IF(AND($L$37=0,$P$34=0),"",$L$37-1),IF($R$17="Distrato",$E456,0)),MIN(AZ$38,$D$19),$P$20))-SUM($P456:AY456)</f>
        <v>#VALUE!</v>
      </c>
      <c r="BA456" s="446" t="e">
        <f>IF(OR($B456="",MIN(BA$38,$D$19)&lt;MAX($P$34*($B456+IF($R$17="Distrato",$I$38-1,0)),IF(AND($L$37=0,$P$34=0),"",$L$37-1),IF($R$17="Distrato",$E456,0))),0,YEARFRAC(MAX($P$34*($B456+IF($R$17="Distrato",$I$38-1,0)),IF(AND($L$37=0,$P$34=0),"",$L$37-1),IF($R$17="Distrato",$E456,0)),MIN(BA$38,$D$19),$P$20))-SUM($P456:AZ456)</f>
        <v>#VALUE!</v>
      </c>
      <c r="BB456" s="447"/>
      <c r="BF456" s="446">
        <f t="shared" si="76"/>
        <v>0</v>
      </c>
      <c r="BG456" s="446">
        <f>IF($E456=0,0,IF(MIN(BG$38,$E456)&lt;MAX($P$34*($B456+$I$38-1),IF(AND($L$37=0,$P$34=0),"",$L$37-1)),0,YEARFRAC(MAX($P$34*($B456+$I$38-1),IF(AND($L$37=0,$P$34=0),"",$L$37-1)),MIN(BG$38,$E456),$P$20))-SUM($BF456:BF456))</f>
        <v>0</v>
      </c>
      <c r="BH456" s="446">
        <f>IF($E456=0,0,IF(MIN(BH$38,$E456)&lt;MAX($P$34*($B456+$I$38-1),IF(AND($L$37=0,$P$34=0),"",$L$37-1)),0,YEARFRAC(MAX($P$34*($B456+$I$38-1),IF(AND($L$37=0,$P$34=0),"",$L$37-1)),MIN(BH$38,$E456),$P$20))-SUM($BF456:BG456))</f>
        <v>0</v>
      </c>
      <c r="BI456" s="446">
        <f>IF($E456=0,0,IF(MIN(BI$38,$E456)&lt;MAX($P$34*($B456+$I$38-1),IF(AND($L$37=0,$P$34=0),"",$L$37-1)),0,YEARFRAC(MAX($P$34*($B456+$I$38-1),IF(AND($L$37=0,$P$34=0),"",$L$37-1)),MIN(BI$38,$E456),$P$20))-SUM($BF456:BH456))</f>
        <v>0</v>
      </c>
      <c r="BJ456" s="446">
        <f>IF($E456=0,0,IF(MIN(BJ$38,$E456)&lt;MAX($P$34*($B456+$I$38-1),IF(AND($L$37=0,$P$34=0),"",$L$37-1)),0,YEARFRAC(MAX($P$34*($B456+$I$38-1),IF(AND($L$37=0,$P$34=0),"",$L$37-1)),MIN(BJ$38,$E456),$P$20))-SUM($BF456:BI456))</f>
        <v>0</v>
      </c>
      <c r="BK456" s="446">
        <f>IF($E456=0,0,IF(MIN(BK$38,$E456)&lt;MAX($P$34*($B456+$I$38-1),IF(AND($L$37=0,$P$34=0),"",$L$37-1)),0,YEARFRAC(MAX($P$34*($B456+$I$38-1),IF(AND($L$37=0,$P$34=0),"",$L$37-1)),MIN(BK$38,$E456),$P$20))-SUM($BF456:BJ456))</f>
        <v>0</v>
      </c>
      <c r="BL456" s="446">
        <f>IF($E456=0,0,IF(MIN(BL$38,$E456)&lt;MAX($P$34*($B456+$I$38-1),IF(AND($L$37=0,$P$34=0),"",$L$37-1)),0,YEARFRAC(MAX($P$34*($B456+$I$38-1),IF(AND($L$37=0,$P$34=0),"",$L$37-1)),MIN(BL$38,$E456),$P$20))-SUM($BF456:BK456))</f>
        <v>0</v>
      </c>
      <c r="BM456" s="446">
        <f>IF($E456=0,0,IF(MIN(BM$38,$E456)&lt;MAX($P$34*($B456+$I$38-1),IF(AND($L$37=0,$P$34=0),"",$L$37-1)),0,YEARFRAC(MAX($P$34*($B456+$I$38-1),IF(AND($L$37=0,$P$34=0),"",$L$37-1)),MIN(BM$38,$E456),$P$20))-SUM($BF456:BL456))</f>
        <v>0</v>
      </c>
      <c r="BN456" s="446">
        <f>IF($E456=0,0,IF(MIN(BN$38,$E456)&lt;MAX($P$34*($B456+$I$38-1),IF(AND($L$37=0,$P$34=0),"",$L$37-1)),0,YEARFRAC(MAX($P$34*($B456+$I$38-1),IF(AND($L$37=0,$P$34=0),"",$L$37-1)),MIN(BN$38,$E456),$P$20))-SUM($BF456:BM456))</f>
        <v>0</v>
      </c>
      <c r="BO456" s="446">
        <f>IF($E456=0,0,IF(MIN(BO$38,$E456)&lt;MAX($P$34*($B456+$I$38-1),IF(AND($L$37=0,$P$34=0),"",$L$37-1)),0,YEARFRAC(MAX($P$34*($B456+$I$38-1),IF(AND($L$37=0,$P$34=0),"",$L$37-1)),MIN(BO$38,$E456),$P$20))-SUM($BF456:BN456))</f>
        <v>0</v>
      </c>
      <c r="BP456" s="446">
        <f>IF($E456=0,0,IF(MIN(BP$38,$E456)&lt;MAX($P$34*($B456+$I$38-1),IF(AND($L$37=0,$P$34=0),"",$L$37-1)),0,YEARFRAC(MAX($P$34*($B456+$I$38-1),IF(AND($L$37=0,$P$34=0),"",$L$37-1)),MIN(BP$38,$E456),$P$20))-SUM($BF456:BO456))</f>
        <v>0</v>
      </c>
      <c r="BQ456" s="446">
        <f>IF($E456=0,0,IF(MIN(BQ$38,$E456)&lt;MAX($P$34*($B456+$I$38-1),IF(AND($L$37=0,$P$34=0),"",$L$37-1)),0,YEARFRAC(MAX($P$34*($B456+$I$38-1),IF(AND($L$37=0,$P$34=0),"",$L$37-1)),MIN(BQ$38,$E456),$P$20))-SUM($BF456:BP456))</f>
        <v>0</v>
      </c>
      <c r="BR456" s="446">
        <f>IF($E456=0,0,IF(MIN(BR$38,$E456)&lt;MAX($P$34*($B456+$I$38-1),IF(AND($L$37=0,$P$34=0),"",$L$37-1)),0,YEARFRAC(MAX($P$34*($B456+$I$38-1),IF(AND($L$37=0,$P$34=0),"",$L$37-1)),MIN(BR$38,$E456),$P$20))-SUM($BF456:BQ456))</f>
        <v>0</v>
      </c>
      <c r="BS456" s="446">
        <f>IF($E456=0,0,IF(MIN(BS$38,$E456)&lt;MAX($P$34*($B456+$I$38-1),IF(AND($L$37=0,$P$34=0),"",$L$37-1)),0,YEARFRAC(MAX($P$34*($B456+$I$38-1),IF(AND($L$37=0,$P$34=0),"",$L$37-1)),MIN(BS$38,$E456),$P$20))-SUM($BF456:BR456))</f>
        <v>0</v>
      </c>
      <c r="BT456" s="446">
        <f>IF($E456=0,0,IF(MIN(BT$38,$E456)&lt;MAX($P$34*($B456+$I$38-1),IF(AND($L$37=0,$P$34=0),"",$L$37-1)),0,YEARFRAC(MAX($P$34*($B456+$I$38-1),IF(AND($L$37=0,$P$34=0),"",$L$37-1)),MIN(BT$38,$E456),$P$20))-SUM($BF456:BS456))</f>
        <v>0</v>
      </c>
      <c r="BU456" s="446">
        <f>IF($E456=0,0,IF(MIN(BU$38,$E456)&lt;MAX($P$34*($B456+$I$38-1),IF(AND($L$37=0,$P$34=0),"",$L$37-1)),0,YEARFRAC(MAX($P$34*($B456+$I$38-1),IF(AND($L$37=0,$P$34=0),"",$L$37-1)),MIN(BU$38,$E456),$P$20))-SUM($BF456:BT456))</f>
        <v>0</v>
      </c>
      <c r="BV456" s="446">
        <f>IF($E456=0,0,IF(MIN(BV$38,$E456)&lt;MAX($P$34*($B456+$I$38-1),IF(AND($L$37=0,$P$34=0),"",$L$37-1)),0,YEARFRAC(MAX($P$34*($B456+$I$38-1),IF(AND($L$37=0,$P$34=0),"",$L$37-1)),MIN(BV$38,$E456),$P$20))-SUM($BF456:BU456))</f>
        <v>0</v>
      </c>
      <c r="BW456" s="446">
        <f>IF($E456=0,0,IF(MIN(BW$38,$E456)&lt;MAX($P$34*($B456+$I$38-1),IF(AND($L$37=0,$P$34=0),"",$L$37-1)),0,YEARFRAC(MAX($P$34*($B456+$I$38-1),IF(AND($L$37=0,$P$34=0),"",$L$37-1)),MIN(BW$38,$E456),$P$20))-SUM($BF456:BV456))</f>
        <v>0</v>
      </c>
      <c r="BX456" s="446">
        <f>IF($E456=0,0,IF(MIN(BX$38,$E456)&lt;MAX($P$34*($B456+$I$38-1),IF(AND($L$37=0,$P$34=0),"",$L$37-1)),0,YEARFRAC(MAX($P$34*($B456+$I$38-1),IF(AND($L$37=0,$P$34=0),"",$L$37-1)),MIN(BX$38,$E456),$P$20))-SUM($BF456:BW456))</f>
        <v>0</v>
      </c>
      <c r="BY456" s="446">
        <f>IF($E456=0,0,IF(MIN(BY$38,$E456)&lt;MAX($P$34*($B456+$I$38-1),IF(AND($L$37=0,$P$34=0),"",$L$37-1)),0,YEARFRAC(MAX($P$34*($B456+$I$38-1),IF(AND($L$37=0,$P$34=0),"",$L$37-1)),MIN(BY$38,$E456),$P$20))-SUM($BF456:BX456))</f>
        <v>0</v>
      </c>
      <c r="BZ456" s="446">
        <f>IF($E456=0,0,IF(MIN(BZ$38,$E456)&lt;MAX($P$34*($B456+$I$38-1),IF(AND($L$37=0,$P$34=0),"",$L$37-1)),0,YEARFRAC(MAX($P$34*($B456+$I$38-1),IF(AND($L$37=0,$P$34=0),"",$L$37-1)),MIN(BZ$38,$E456),$P$20))-SUM($BF456:BY456))</f>
        <v>0</v>
      </c>
      <c r="CA456" s="446">
        <f>IF($E456=0,0,IF(MIN(CA$38,$E456)&lt;MAX($P$34*($B456+$I$38-1),IF(AND($L$37=0,$P$34=0),"",$L$37-1)),0,YEARFRAC(MAX($P$34*($B456+$I$38-1),IF(AND($L$37=0,$P$34=0),"",$L$37-1)),MIN(CA$38,$E456),$P$20))-SUM($BF456:BZ456))</f>
        <v>0</v>
      </c>
      <c r="CB456" s="446">
        <f>IF($E456=0,0,IF(MIN(CB$38,$E456)&lt;MAX($P$34*($B456+$I$38-1),IF(AND($L$37=0,$P$34=0),"",$L$37-1)),0,YEARFRAC(MAX($P$34*($B456+$I$38-1),IF(AND($L$37=0,$P$34=0),"",$L$37-1)),MIN(CB$38,$E456),$P$20))-SUM($BF456:CA456))</f>
        <v>0</v>
      </c>
      <c r="CC456" s="446">
        <f>IF($E456=0,0,IF(MIN(CC$38,$E456)&lt;MAX($P$34*($B456+$I$38-1),IF(AND($L$37=0,$P$34=0),"",$L$37-1)),0,YEARFRAC(MAX($P$34*($B456+$I$38-1),IF(AND($L$37=0,$P$34=0),"",$L$37-1)),MIN(CC$38,$E456),$P$20))-SUM($BF456:CB456))</f>
        <v>0</v>
      </c>
      <c r="CD456" s="446">
        <f>IF($E456=0,0,IF(MIN(CD$38,$E456)&lt;MAX($P$34*($B456+$I$38-1),IF(AND($L$37=0,$P$34=0),"",$L$37-1)),0,YEARFRAC(MAX($P$34*($B456+$I$38-1),IF(AND($L$37=0,$P$34=0),"",$L$37-1)),MIN(CD$38,$E456),$P$20))-SUM($BF456:CC456))</f>
        <v>0</v>
      </c>
      <c r="CE456" s="446">
        <f>IF($E456=0,0,IF(MIN(CE$38,$E456)&lt;MAX($P$34*($B456+$I$38-1),IF(AND($L$37=0,$P$34=0),"",$L$37-1)),0,YEARFRAC(MAX($P$34*($B456+$I$38-1),IF(AND($L$37=0,$P$34=0),"",$L$37-1)),MIN(CE$38,$E456),$P$20))-SUM($BF456:CD456))</f>
        <v>0</v>
      </c>
      <c r="CF456" s="446">
        <f>IF($E456=0,0,IF(MIN(CF$38,$E456)&lt;MAX($P$34*($B456+$I$38-1),IF(AND($L$37=0,$P$34=0),"",$L$37-1)),0,YEARFRAC(MAX($P$34*($B456+$I$38-1),IF(AND($L$37=0,$P$34=0),"",$L$37-1)),MIN(CF$38,$E456),$P$20))-SUM($BF456:CE456))</f>
        <v>0</v>
      </c>
      <c r="CG456" s="446">
        <f>IF($E456=0,0,IF(MIN(CG$38,$E456)&lt;MAX($P$34*($B456+$I$38-1),IF(AND($L$37=0,$P$34=0),"",$L$37-1)),0,YEARFRAC(MAX($P$34*($B456+$I$38-1),IF(AND($L$37=0,$P$34=0),"",$L$37-1)),MIN(CG$38,$E456),$P$20))-SUM($BF456:CF456))</f>
        <v>0</v>
      </c>
      <c r="CH456" s="446">
        <f>IF($E456=0,0,IF(MIN(CH$38,$E456)&lt;MAX($P$34*($B456+$I$38-1),IF(AND($L$37=0,$P$34=0),"",$L$37-1)),0,YEARFRAC(MAX($P$34*($B456+$I$38-1),IF(AND($L$37=0,$P$34=0),"",$L$37-1)),MIN(CH$38,$E456),$P$20))-SUM($BF456:CG456))</f>
        <v>0</v>
      </c>
      <c r="CI456" s="446">
        <f>IF($E456=0,0,IF(MIN(CI$38,$E456)&lt;MAX($P$34*($B456+$I$38-1),IF(AND($L$37=0,$P$34=0),"",$L$37-1)),0,YEARFRAC(MAX($P$34*($B456+$I$38-1),IF(AND($L$37=0,$P$34=0),"",$L$37-1)),MIN(CI$38,$E456),$P$20))-SUM($BF456:CH456))</f>
        <v>0</v>
      </c>
      <c r="CJ456" s="446">
        <f>IF($E456=0,0,IF(MIN(CJ$38,$E456)&lt;MAX($P$34*($B456+$I$38-1),IF(AND($L$37=0,$P$34=0),"",$L$37-1)),0,YEARFRAC(MAX($P$34*($B456+$I$38-1),IF(AND($L$37=0,$P$34=0),"",$L$37-1)),MIN(CJ$38,$E456),$P$20))-SUM($BF456:CI456))</f>
        <v>0</v>
      </c>
      <c r="CK456" s="446">
        <f>IF($E456=0,0,IF(MIN(CK$38,$E456)&lt;MAX($P$34*($B456+$I$38-1),IF(AND($L$37=0,$P$34=0),"",$L$37-1)),0,YEARFRAC(MAX($P$34*($B456+$I$38-1),IF(AND($L$37=0,$P$34=0),"",$L$37-1)),MIN(CK$38,$E456),$P$20))-SUM($BF456:CJ456))</f>
        <v>0</v>
      </c>
      <c r="CL456" s="446">
        <f>IF($E456=0,0,IF(MIN(CL$38,$E456)&lt;MAX($P$34*($B456+$I$38-1),IF(AND($L$37=0,$P$34=0),"",$L$37-1)),0,YEARFRAC(MAX($P$34*($B456+$I$38-1),IF(AND($L$37=0,$P$34=0),"",$L$37-1)),MIN(CL$38,$E456),$P$20))-SUM($BF456:CK456))</f>
        <v>0</v>
      </c>
      <c r="CM456" s="446">
        <f>IF($E456=0,0,IF(MIN(CM$38,$E456)&lt;MAX($P$34*($B456+$I$38-1),IF(AND($L$37=0,$P$34=0),"",$L$37-1)),0,YEARFRAC(MAX($P$34*($B456+$I$38-1),IF(AND($L$37=0,$P$34=0),"",$L$37-1)),MIN(CM$38,$E456),$P$20))-SUM($BF456:CL456))</f>
        <v>0</v>
      </c>
      <c r="CN456" s="446">
        <f>IF($E456=0,0,IF(MIN(CN$38,$E456)&lt;MAX($P$34*($B456+$I$38-1),IF(AND($L$37=0,$P$34=0),"",$L$37-1)),0,YEARFRAC(MAX($P$34*($B456+$I$38-1),IF(AND($L$37=0,$P$34=0),"",$L$37-1)),MIN(CN$38,$E456),$P$20))-SUM($BF456:CM456))</f>
        <v>0</v>
      </c>
      <c r="CO456" s="446">
        <f>IF($E456=0,0,IF(MIN(CO$38,$E456)&lt;MAX($P$34*($B456+$I$38-1),IF(AND($L$37=0,$P$34=0),"",$L$37-1)),0,YEARFRAC(MAX($P$34*($B456+$I$38-1),IF(AND($L$37=0,$P$34=0),"",$L$37-1)),MIN(CO$38,$E456),$P$20))-SUM($BF456:CN456))</f>
        <v>0</v>
      </c>
      <c r="CP456" s="446">
        <f>IF($E456=0,0,IF(MIN(CP$38,$E456)&lt;MAX($P$34*($B456+$I$38-1),IF(AND($L$37=0,$P$34=0),"",$L$37-1)),0,YEARFRAC(MAX($P$34*($B456+$I$38-1),IF(AND($L$37=0,$P$34=0),"",$L$37-1)),MIN(CP$38,$E456),$P$20))-SUM($BF456:CO456))</f>
        <v>0</v>
      </c>
      <c r="CQ456" s="446">
        <f>IF($E456=0,0,IF(MIN(CQ$38,$E456)&lt;MAX($P$34*($B456+$I$38-1),IF(AND($L$37=0,$P$34=0),"",$L$37-1)),0,YEARFRAC(MAX($P$34*($B456+$I$38-1),IF(AND($L$37=0,$P$34=0),"",$L$37-1)),MIN(CQ$38,$E456),$P$20))-SUM($BF456:CP456))</f>
        <v>0</v>
      </c>
    </row>
    <row r="457" spans="1:95" s="446" customFormat="1" ht="11.25" hidden="1" customHeight="1" x14ac:dyDescent="0.2">
      <c r="A457" s="152"/>
      <c r="B457" s="153" t="str">
        <f t="shared" si="81"/>
        <v/>
      </c>
      <c r="C457" s="29" t="str">
        <f>IF(B457="","",IF($L$35="SELIC - TRIBUTOS",VLOOKUP(DATE(YEAR($D$19),MONTH($D$19)-1,1),ÍNDICES!$A:$DE,HLOOKUP($BL$25,ÍNDICES!$B$3:$T$4,2)+11)-VLOOKUP(B457,ÍNDICES!$A:$DE,HLOOKUP($BL$25,ÍNDICES!$B$3:$T$4,2)+11)+1%,IF(C$38=$W$26,$J$35,IF(ISERROR(IF(B457&gt;$D$19,1,VLOOKUP(DATE(YEAR(B457),MONTH(B457)+IF($C$35=$S$23,1,0),1),ÍNDICES!$A:$DE,$Z$35+1))),"",IF(B457&gt;$D$19,1,VLOOKUP(DATE(YEAR(B457),MONTH(B457)+IF($C$35=$S$23,1,0),1),ÍNDICES!$A:$DE,$Z$35+1))))))</f>
        <v/>
      </c>
      <c r="D457" s="154" t="str">
        <f>IF(ISERROR(IF(OR($D$38=$Y$27,$B457=""),"",VLOOKUP(B457,ÍNDICES!A:DE,AF$35+1))),"",IF(OR($D$38=$Y$27,$B457=""),"",VLOOKUP(B457,ÍNDICES!A:DE,AF$35+1)))</f>
        <v/>
      </c>
      <c r="E457" s="153"/>
      <c r="F457" s="29" t="str">
        <f>IF(E457="","",IF($L$35="SELIC - TRIBUTOS",VLOOKUP(DATE(YEAR($D$19),MONTH($D$19)-1,1),ÍNDICES!$A:$DE,HLOOKUP($BL$25,ÍNDICES!$B$3:$T$4,2)+11)-VLOOKUP(E457,ÍNDICES!$A:$DE,HLOOKUP($BL$25,ÍNDICES!$B$3:$T$4,2)+11)+1%,IF(F$38=$W$26,$J$35,IF(ISERROR(IF(E457&gt;$D$19,1,VLOOKUP(DATE(YEAR(E457),MONTH(E457)+IF($C$35=$S$23,1,0),1),ÍNDICES!$A:$DE,$Z$35+1))),"",IF(E457&gt;$D$19,1,VLOOKUP(DATE(YEAR(E457),MONTH(E457)+IF($C$35=$S$23,1,0),1),ÍNDICES!$A:$DE,$Z$35+1))))))</f>
        <v/>
      </c>
      <c r="G457" s="155"/>
      <c r="H457" s="156" t="str">
        <f t="shared" si="77"/>
        <v/>
      </c>
      <c r="I457" s="29" t="str">
        <f t="shared" si="71"/>
        <v/>
      </c>
      <c r="J457" s="5">
        <f t="shared" si="72"/>
        <v>0</v>
      </c>
      <c r="K457" s="20">
        <f t="shared" ca="1" si="73"/>
        <v>0</v>
      </c>
      <c r="L457" s="5">
        <f t="shared" ca="1" si="74"/>
        <v>0</v>
      </c>
      <c r="M457" s="64">
        <f t="shared" si="78"/>
        <v>0</v>
      </c>
      <c r="N457" s="61">
        <f t="shared" ca="1" si="79"/>
        <v>0</v>
      </c>
      <c r="O457" s="5">
        <f t="shared" ca="1" si="80"/>
        <v>0</v>
      </c>
      <c r="P457" s="446" t="e">
        <f t="shared" si="75"/>
        <v>#VALUE!</v>
      </c>
      <c r="Q457" s="446" t="e">
        <f>IF(OR($B457="",MIN(Q$38,$D$19)&lt;MAX($P$34*($B457+IF($R$17="Distrato",$I$38-1,0)),IF(AND($L$37=0,$P$34=0),"",$L$37-1),IF($R$17="Distrato",$E457,0))),0,YEARFRAC(MAX($P$34*($B457+IF($R$17="Distrato",$I$38-1,0)),IF(AND($L$37=0,$P$34=0),"",$L$37-1),IF($R$17="Distrato",$E457,0)),MIN(Q$38,$D$19),$P$20))-SUM($P457:P457)</f>
        <v>#VALUE!</v>
      </c>
      <c r="R457" s="446" t="e">
        <f>IF(OR($B457="",MIN(R$38,$D$19)&lt;MAX($P$34*($B457+IF($R$17="Distrato",$I$38-1,0)),IF(AND($L$37=0,$P$34=0),"",$L$37-1),IF($R$17="Distrato",$E457,0))),0,YEARFRAC(MAX($P$34*($B457+IF($R$17="Distrato",$I$38-1,0)),IF(AND($L$37=0,$P$34=0),"",$L$37-1),IF($R$17="Distrato",$E457,0)),MIN(R$38,$D$19),$P$20))-SUM($P457:Q457)</f>
        <v>#VALUE!</v>
      </c>
      <c r="S457" s="446" t="e">
        <f>IF(OR($B457="",MIN(S$38,$D$19)&lt;MAX($P$34*($B457+IF($R$17="Distrato",$I$38-1,0)),IF(AND($L$37=0,$P$34=0),"",$L$37-1),IF($R$17="Distrato",$E457,0))),0,YEARFRAC(MAX($P$34*($B457+IF($R$17="Distrato",$I$38-1,0)),IF(AND($L$37=0,$P$34=0),"",$L$37-1),IF($R$17="Distrato",$E457,0)),MIN(S$38,$D$19),$P$20))-SUM($P457:R457)</f>
        <v>#VALUE!</v>
      </c>
      <c r="T457" s="446" t="e">
        <f>IF(OR($B457="",MIN(T$38,$D$19)&lt;MAX($P$34*($B457+IF($R$17="Distrato",$I$38-1,0)),IF(AND($L$37=0,$P$34=0),"",$L$37-1),IF($R$17="Distrato",$E457,0))),0,YEARFRAC(MAX($P$34*($B457+IF($R$17="Distrato",$I$38-1,0)),IF(AND($L$37=0,$P$34=0),"",$L$37-1),IF($R$17="Distrato",$E457,0)),MIN(T$38,$D$19),$P$20))-SUM($P457:S457)</f>
        <v>#VALUE!</v>
      </c>
      <c r="U457" s="446" t="e">
        <f>IF(OR($B457="",MIN(U$38,$D$19)&lt;MAX($P$34*($B457+IF($R$17="Distrato",$I$38-1,0)),IF(AND($L$37=0,$P$34=0),"",$L$37-1),IF($R$17="Distrato",$E457,0))),0,YEARFRAC(MAX($P$34*($B457+IF($R$17="Distrato",$I$38-1,0)),IF(AND($L$37=0,$P$34=0),"",$L$37-1),IF($R$17="Distrato",$E457,0)),MIN(U$38,$D$19),$P$20))-SUM($P457:T457)</f>
        <v>#VALUE!</v>
      </c>
      <c r="V457" s="446" t="e">
        <f>IF(OR($B457="",MIN(V$38,$D$19)&lt;MAX($P$34*($B457+IF($R$17="Distrato",$I$38-1,0)),IF(AND($L$37=0,$P$34=0),"",$L$37-1),IF($R$17="Distrato",$E457,0))),0,YEARFRAC(MAX($P$34*($B457+IF($R$17="Distrato",$I$38-1,0)),IF(AND($L$37=0,$P$34=0),"",$L$37-1),IF($R$17="Distrato",$E457,0)),MIN(V$38,$D$19),$P$20))-SUM($P457:U457)</f>
        <v>#VALUE!</v>
      </c>
      <c r="W457" s="446" t="e">
        <f>IF(OR($B457="",MIN(W$38,$D$19)&lt;MAX($P$34*($B457+IF($R$17="Distrato",$I$38-1,0)),IF(AND($L$37=0,$P$34=0),"",$L$37-1),IF($R$17="Distrato",$E457,0))),0,YEARFRAC(MAX($P$34*($B457+IF($R$17="Distrato",$I$38-1,0)),IF(AND($L$37=0,$P$34=0),"",$L$37-1),IF($R$17="Distrato",$E457,0)),MIN(W$38,$D$19),$P$20))-SUM($P457:V457)</f>
        <v>#VALUE!</v>
      </c>
      <c r="X457" s="446" t="e">
        <f>IF(OR($B457="",MIN(X$38,$D$19)&lt;MAX($P$34*($B457+IF($R$17="Distrato",$I$38-1,0)),IF(AND($L$37=0,$P$34=0),"",$L$37-1),IF($R$17="Distrato",$E457,0))),0,YEARFRAC(MAX($P$34*($B457+IF($R$17="Distrato",$I$38-1,0)),IF(AND($L$37=0,$P$34=0),"",$L$37-1),IF($R$17="Distrato",$E457,0)),MIN(X$38,$D$19),$P$20))-SUM($P457:W457)</f>
        <v>#VALUE!</v>
      </c>
      <c r="Y457" s="446" t="e">
        <f>IF(OR($B457="",MIN(Y$38,$D$19)&lt;MAX($P$34*($B457+IF($R$17="Distrato",$I$38-1,0)),IF(AND($L$37=0,$P$34=0),"",$L$37-1),IF($R$17="Distrato",$E457,0))),0,YEARFRAC(MAX($P$34*($B457+IF($R$17="Distrato",$I$38-1,0)),IF(AND($L$37=0,$P$34=0),"",$L$37-1),IF($R$17="Distrato",$E457,0)),MIN(Y$38,$D$19),$P$20))-SUM($P457:X457)</f>
        <v>#VALUE!</v>
      </c>
      <c r="Z457" s="446" t="e">
        <f>IF(OR($B457="",MIN(Z$38,$D$19)&lt;MAX($P$34*($B457+IF($R$17="Distrato",$I$38-1,0)),IF(AND($L$37=0,$P$34=0),"",$L$37-1),IF($R$17="Distrato",$E457,0))),0,YEARFRAC(MAX($P$34*($B457+IF($R$17="Distrato",$I$38-1,0)),IF(AND($L$37=0,$P$34=0),"",$L$37-1),IF($R$17="Distrato",$E457,0)),MIN(Z$38,$D$19),$P$20))-SUM($P457:Y457)</f>
        <v>#VALUE!</v>
      </c>
      <c r="AA457" s="446" t="e">
        <f>IF(OR($B457="",MIN(AA$38,$D$19)&lt;MAX($P$34*($B457+IF($R$17="Distrato",$I$38-1,0)),IF(AND($L$37=0,$P$34=0),"",$L$37-1),IF($R$17="Distrato",$E457,0))),0,YEARFRAC(MAX($P$34*($B457+IF($R$17="Distrato",$I$38-1,0)),IF(AND($L$37=0,$P$34=0),"",$L$37-1),IF($R$17="Distrato",$E457,0)),MIN(AA$38,$D$19),$P$20))-SUM($P457:Z457)</f>
        <v>#VALUE!</v>
      </c>
      <c r="AB457" s="446" t="e">
        <f>IF(OR($B457="",MIN(AB$38,$D$19)&lt;MAX($P$34*($B457+IF($R$17="Distrato",$I$38-1,0)),IF(AND($L$37=0,$P$34=0),"",$L$37-1),IF($R$17="Distrato",$E457,0))),0,YEARFRAC(MAX($P$34*($B457+IF($R$17="Distrato",$I$38-1,0)),IF(AND($L$37=0,$P$34=0),"",$L$37-1),IF($R$17="Distrato",$E457,0)),MIN(AB$38,$D$19),$P$20))-SUM($P457:AA457)</f>
        <v>#VALUE!</v>
      </c>
      <c r="AC457" s="446" t="e">
        <f>IF(OR($B457="",MIN(AC$38,$D$19)&lt;MAX($P$34*($B457+IF($R$17="Distrato",$I$38-1,0)),IF(AND($L$37=0,$P$34=0),"",$L$37-1),IF($R$17="Distrato",$E457,0))),0,YEARFRAC(MAX($P$34*($B457+IF($R$17="Distrato",$I$38-1,0)),IF(AND($L$37=0,$P$34=0),"",$L$37-1),IF($R$17="Distrato",$E457,0)),MIN(AC$38,$D$19),$P$20))-SUM($P457:AB457)</f>
        <v>#VALUE!</v>
      </c>
      <c r="AD457" s="446" t="e">
        <f>IF(OR($B457="",MIN(AD$38,$D$19)&lt;MAX($P$34*($B457+IF($R$17="Distrato",$I$38-1,0)),IF(AND($L$37=0,$P$34=0),"",$L$37-1),IF($R$17="Distrato",$E457,0))),0,YEARFRAC(MAX($P$34*($B457+IF($R$17="Distrato",$I$38-1,0)),IF(AND($L$37=0,$P$34=0),"",$L$37-1),IF($R$17="Distrato",$E457,0)),MIN(AD$38,$D$19),$P$20))-SUM($P457:AC457)</f>
        <v>#VALUE!</v>
      </c>
      <c r="AE457" s="446" t="e">
        <f>IF(OR($B457="",MIN(AE$38,$D$19)&lt;MAX($P$34*($B457+IF($R$17="Distrato",$I$38-1,0)),IF(AND($L$37=0,$P$34=0),"",$L$37-1),IF($R$17="Distrato",$E457,0))),0,YEARFRAC(MAX($P$34*($B457+IF($R$17="Distrato",$I$38-1,0)),IF(AND($L$37=0,$P$34=0),"",$L$37-1),IF($R$17="Distrato",$E457,0)),MIN(AE$38,$D$19),$P$20))-SUM($P457:AD457)</f>
        <v>#VALUE!</v>
      </c>
      <c r="AF457" s="446" t="e">
        <f>IF(OR($B457="",MIN(AF$38,$D$19)&lt;MAX($P$34*($B457+IF($R$17="Distrato",$I$38-1,0)),IF(AND($L$37=0,$P$34=0),"",$L$37-1),IF($R$17="Distrato",$E457,0))),0,YEARFRAC(MAX($P$34*($B457+IF($R$17="Distrato",$I$38-1,0)),IF(AND($L$37=0,$P$34=0),"",$L$37-1),IF($R$17="Distrato",$E457,0)),MIN(AF$38,$D$19),$P$20))-SUM($P457:AE457)</f>
        <v>#VALUE!</v>
      </c>
      <c r="AG457" s="446" t="e">
        <f>IF(OR($B457="",MIN(AG$38,$D$19)&lt;MAX($P$34*($B457+IF($R$17="Distrato",$I$38-1,0)),IF(AND($L$37=0,$P$34=0),"",$L$37-1),IF($R$17="Distrato",$E457,0))),0,YEARFRAC(MAX($P$34*($B457+IF($R$17="Distrato",$I$38-1,0)),IF(AND($L$37=0,$P$34=0),"",$L$37-1),IF($R$17="Distrato",$E457,0)),MIN(AG$38,$D$19),$P$20))-SUM($P457:AF457)</f>
        <v>#VALUE!</v>
      </c>
      <c r="AH457" s="446" t="e">
        <f>IF(OR($B457="",MIN(AH$38,$D$19)&lt;MAX($P$34*($B457+IF($R$17="Distrato",$I$38-1,0)),IF(AND($L$37=0,$P$34=0),"",$L$37-1),IF($R$17="Distrato",$E457,0))),0,YEARFRAC(MAX($P$34*($B457+IF($R$17="Distrato",$I$38-1,0)),IF(AND($L$37=0,$P$34=0),"",$L$37-1),IF($R$17="Distrato",$E457,0)),MIN(AH$38,$D$19),$P$20))-SUM($P457:AG457)</f>
        <v>#VALUE!</v>
      </c>
      <c r="AI457" s="446" t="e">
        <f>IF(OR($B457="",MIN(AI$38,$D$19)&lt;MAX($P$34*($B457+IF($R$17="Distrato",$I$38-1,0)),IF(AND($L$37=0,$P$34=0),"",$L$37-1),IF($R$17="Distrato",$E457,0))),0,YEARFRAC(MAX($P$34*($B457+IF($R$17="Distrato",$I$38-1,0)),IF(AND($L$37=0,$P$34=0),"",$L$37-1),IF($R$17="Distrato",$E457,0)),MIN(AI$38,$D$19),$P$20))-SUM($P457:AH457)</f>
        <v>#VALUE!</v>
      </c>
      <c r="AJ457" s="446" t="e">
        <f>IF(OR($B457="",MIN(AJ$38,$D$19)&lt;MAX($P$34*($B457+IF($R$17="Distrato",$I$38-1,0)),IF(AND($L$37=0,$P$34=0),"",$L$37-1),IF($R$17="Distrato",$E457,0))),0,YEARFRAC(MAX($P$34*($B457+IF($R$17="Distrato",$I$38-1,0)),IF(AND($L$37=0,$P$34=0),"",$L$37-1),IF($R$17="Distrato",$E457,0)),MIN(AJ$38,$D$19),$P$20))-SUM($P457:AI457)</f>
        <v>#VALUE!</v>
      </c>
      <c r="AK457" s="446" t="e">
        <f>IF(OR($B457="",MIN(AK$38,$D$19)&lt;MAX($P$34*($B457+IF($R$17="Distrato",$I$38-1,0)),IF(AND($L$37=0,$P$34=0),"",$L$37-1),IF($R$17="Distrato",$E457,0))),0,YEARFRAC(MAX($P$34*($B457+IF($R$17="Distrato",$I$38-1,0)),IF(AND($L$37=0,$P$34=0),"",$L$37-1),IF($R$17="Distrato",$E457,0)),MIN(AK$38,$D$19),$P$20))-SUM($P457:AJ457)</f>
        <v>#VALUE!</v>
      </c>
      <c r="AL457" s="446" t="e">
        <f>IF(OR($B457="",MIN(AL$38,$D$19)&lt;MAX($P$34*($B457+IF($R$17="Distrato",$I$38-1,0)),IF(AND($L$37=0,$P$34=0),"",$L$37-1),IF($R$17="Distrato",$E457,0))),0,YEARFRAC(MAX($P$34*($B457+IF($R$17="Distrato",$I$38-1,0)),IF(AND($L$37=0,$P$34=0),"",$L$37-1),IF($R$17="Distrato",$E457,0)),MIN(AL$38,$D$19),$P$20))-SUM($P457:AK457)</f>
        <v>#VALUE!</v>
      </c>
      <c r="AM457" s="446" t="e">
        <f>IF(OR($B457="",MIN(AM$38,$D$19)&lt;MAX($P$34*($B457+IF($R$17="Distrato",$I$38-1,0)),IF(AND($L$37=0,$P$34=0),"",$L$37-1),IF($R$17="Distrato",$E457,0))),0,YEARFRAC(MAX($P$34*($B457+IF($R$17="Distrato",$I$38-1,0)),IF(AND($L$37=0,$P$34=0),"",$L$37-1),IF($R$17="Distrato",$E457,0)),MIN(AM$38,$D$19),$P$20))-SUM($P457:AL457)</f>
        <v>#VALUE!</v>
      </c>
      <c r="AN457" s="446" t="e">
        <f>IF(OR($B457="",MIN(AN$38,$D$19)&lt;MAX($P$34*($B457+IF($R$17="Distrato",$I$38-1,0)),IF(AND($L$37=0,$P$34=0),"",$L$37-1),IF($R$17="Distrato",$E457,0))),0,YEARFRAC(MAX($P$34*($B457+IF($R$17="Distrato",$I$38-1,0)),IF(AND($L$37=0,$P$34=0),"",$L$37-1),IF($R$17="Distrato",$E457,0)),MIN(AN$38,$D$19),$P$20))-SUM($P457:AM457)</f>
        <v>#VALUE!</v>
      </c>
      <c r="AO457" s="446" t="e">
        <f>IF(OR($B457="",MIN(AO$38,$D$19)&lt;MAX($P$34*($B457+IF($R$17="Distrato",$I$38-1,0)),IF(AND($L$37=0,$P$34=0),"",$L$37-1),IF($R$17="Distrato",$E457,0))),0,YEARFRAC(MAX($P$34*($B457+IF($R$17="Distrato",$I$38-1,0)),IF(AND($L$37=0,$P$34=0),"",$L$37-1),IF($R$17="Distrato",$E457,0)),MIN(AO$38,$D$19),$P$20))-SUM($P457:AN457)</f>
        <v>#VALUE!</v>
      </c>
      <c r="AP457" s="446" t="e">
        <f>IF(OR($B457="",MIN(AP$38,$D$19)&lt;MAX($P$34*($B457+IF($R$17="Distrato",$I$38-1,0)),IF(AND($L$37=0,$P$34=0),"",$L$37-1),IF($R$17="Distrato",$E457,0))),0,YEARFRAC(MAX($P$34*($B457+IF($R$17="Distrato",$I$38-1,0)),IF(AND($L$37=0,$P$34=0),"",$L$37-1),IF($R$17="Distrato",$E457,0)),MIN(AP$38,$D$19),$P$20))-SUM($P457:AO457)</f>
        <v>#VALUE!</v>
      </c>
      <c r="AQ457" s="446" t="e">
        <f>IF(OR($B457="",MIN(AQ$38,$D$19)&lt;MAX($P$34*($B457+IF($R$17="Distrato",$I$38-1,0)),IF(AND($L$37=0,$P$34=0),"",$L$37-1),IF($R$17="Distrato",$E457,0))),0,YEARFRAC(MAX($P$34*($B457+IF($R$17="Distrato",$I$38-1,0)),IF(AND($L$37=0,$P$34=0),"",$L$37-1),IF($R$17="Distrato",$E457,0)),MIN(AQ$38,$D$19),$P$20))-SUM($P457:AP457)</f>
        <v>#VALUE!</v>
      </c>
      <c r="AR457" s="446" t="e">
        <f>IF(OR($B457="",MIN(AR$38,$D$19)&lt;MAX($P$34*($B457+IF($R$17="Distrato",$I$38-1,0)),IF(AND($L$37=0,$P$34=0),"",$L$37-1),IF($R$17="Distrato",$E457,0))),0,YEARFRAC(MAX($P$34*($B457+IF($R$17="Distrato",$I$38-1,0)),IF(AND($L$37=0,$P$34=0),"",$L$37-1),IF($R$17="Distrato",$E457,0)),MIN(AR$38,$D$19),$P$20))-SUM($P457:AQ457)</f>
        <v>#VALUE!</v>
      </c>
      <c r="AS457" s="446" t="e">
        <f>IF(OR($B457="",MIN(AS$38,$D$19)&lt;MAX($P$34*($B457+IF($R$17="Distrato",$I$38-1,0)),IF(AND($L$37=0,$P$34=0),"",$L$37-1),IF($R$17="Distrato",$E457,0))),0,YEARFRAC(MAX($P$34*($B457+IF($R$17="Distrato",$I$38-1,0)),IF(AND($L$37=0,$P$34=0),"",$L$37-1),IF($R$17="Distrato",$E457,0)),MIN(AS$38,$D$19),$P$20))-SUM($P457:AR457)</f>
        <v>#VALUE!</v>
      </c>
      <c r="AT457" s="446" t="e">
        <f>IF(OR($B457="",MIN(AT$38,$D$19)&lt;MAX($P$34*($B457+IF($R$17="Distrato",$I$38-1,0)),IF(AND($L$37=0,$P$34=0),"",$L$37-1),IF($R$17="Distrato",$E457,0))),0,YEARFRAC(MAX($P$34*($B457+IF($R$17="Distrato",$I$38-1,0)),IF(AND($L$37=0,$P$34=0),"",$L$37-1),IF($R$17="Distrato",$E457,0)),MIN(AT$38,$D$19),$P$20))-SUM($P457:AS457)</f>
        <v>#VALUE!</v>
      </c>
      <c r="AU457" s="446" t="e">
        <f>IF(OR($B457="",MIN(AU$38,$D$19)&lt;MAX($P$34*($B457+IF($R$17="Distrato",$I$38-1,0)),IF(AND($L$37=0,$P$34=0),"",$L$37-1),IF($R$17="Distrato",$E457,0))),0,YEARFRAC(MAX($P$34*($B457+IF($R$17="Distrato",$I$38-1,0)),IF(AND($L$37=0,$P$34=0),"",$L$37-1),IF($R$17="Distrato",$E457,0)),MIN(AU$38,$D$19),$P$20))-SUM($P457:AT457)</f>
        <v>#VALUE!</v>
      </c>
      <c r="AV457" s="446" t="e">
        <f>IF(OR($B457="",MIN(AV$38,$D$19)&lt;MAX($P$34*($B457+IF($R$17="Distrato",$I$38-1,0)),IF(AND($L$37=0,$P$34=0),"",$L$37-1),IF($R$17="Distrato",$E457,0))),0,YEARFRAC(MAX($P$34*($B457+IF($R$17="Distrato",$I$38-1,0)),IF(AND($L$37=0,$P$34=0),"",$L$37-1),IF($R$17="Distrato",$E457,0)),MIN(AV$38,$D$19),$P$20))-SUM($P457:AU457)</f>
        <v>#VALUE!</v>
      </c>
      <c r="AW457" s="446" t="e">
        <f>IF(OR($B457="",MIN(AW$38,$D$19)&lt;MAX($P$34*($B457+IF($R$17="Distrato",$I$38-1,0)),IF(AND($L$37=0,$P$34=0),"",$L$37-1),IF($R$17="Distrato",$E457,0))),0,YEARFRAC(MAX($P$34*($B457+IF($R$17="Distrato",$I$38-1,0)),IF(AND($L$37=0,$P$34=0),"",$L$37-1),IF($R$17="Distrato",$E457,0)),MIN(AW$38,$D$19),$P$20))-SUM($P457:AV457)</f>
        <v>#VALUE!</v>
      </c>
      <c r="AX457" s="446" t="e">
        <f>IF(OR($B457="",MIN(AX$38,$D$19)&lt;MAX($P$34*($B457+IF($R$17="Distrato",$I$38-1,0)),IF(AND($L$37=0,$P$34=0),"",$L$37-1),IF($R$17="Distrato",$E457,0))),0,YEARFRAC(MAX($P$34*($B457+IF($R$17="Distrato",$I$38-1,0)),IF(AND($L$37=0,$P$34=0),"",$L$37-1),IF($R$17="Distrato",$E457,0)),MIN(AX$38,$D$19),$P$20))-SUM($P457:AW457)</f>
        <v>#VALUE!</v>
      </c>
      <c r="AY457" s="446" t="e">
        <f>IF(OR($B457="",MIN(AY$38,$D$19)&lt;MAX($P$34*($B457+IF($R$17="Distrato",$I$38-1,0)),IF(AND($L$37=0,$P$34=0),"",$L$37-1),IF($R$17="Distrato",$E457,0))),0,YEARFRAC(MAX($P$34*($B457+IF($R$17="Distrato",$I$38-1,0)),IF(AND($L$37=0,$P$34=0),"",$L$37-1),IF($R$17="Distrato",$E457,0)),MIN(AY$38,$D$19),$P$20))-SUM($P457:AX457)</f>
        <v>#VALUE!</v>
      </c>
      <c r="AZ457" s="446" t="e">
        <f>IF(OR($B457="",MIN(AZ$38,$D$19)&lt;MAX($P$34*($B457+IF($R$17="Distrato",$I$38-1,0)),IF(AND($L$37=0,$P$34=0),"",$L$37-1),IF($R$17="Distrato",$E457,0))),0,YEARFRAC(MAX($P$34*($B457+IF($R$17="Distrato",$I$38-1,0)),IF(AND($L$37=0,$P$34=0),"",$L$37-1),IF($R$17="Distrato",$E457,0)),MIN(AZ$38,$D$19),$P$20))-SUM($P457:AY457)</f>
        <v>#VALUE!</v>
      </c>
      <c r="BA457" s="446" t="e">
        <f>IF(OR($B457="",MIN(BA$38,$D$19)&lt;MAX($P$34*($B457+IF($R$17="Distrato",$I$38-1,0)),IF(AND($L$37=0,$P$34=0),"",$L$37-1),IF($R$17="Distrato",$E457,0))),0,YEARFRAC(MAX($P$34*($B457+IF($R$17="Distrato",$I$38-1,0)),IF(AND($L$37=0,$P$34=0),"",$L$37-1),IF($R$17="Distrato",$E457,0)),MIN(BA$38,$D$19),$P$20))-SUM($P457:AZ457)</f>
        <v>#VALUE!</v>
      </c>
      <c r="BB457" s="447"/>
      <c r="BF457" s="446">
        <f t="shared" si="76"/>
        <v>0</v>
      </c>
      <c r="BG457" s="446">
        <f>IF($E457=0,0,IF(MIN(BG$38,$E457)&lt;MAX($P$34*($B457+$I$38-1),IF(AND($L$37=0,$P$34=0),"",$L$37-1)),0,YEARFRAC(MAX($P$34*($B457+$I$38-1),IF(AND($L$37=0,$P$34=0),"",$L$37-1)),MIN(BG$38,$E457),$P$20))-SUM($BF457:BF457))</f>
        <v>0</v>
      </c>
      <c r="BH457" s="446">
        <f>IF($E457=0,0,IF(MIN(BH$38,$E457)&lt;MAX($P$34*($B457+$I$38-1),IF(AND($L$37=0,$P$34=0),"",$L$37-1)),0,YEARFRAC(MAX($P$34*($B457+$I$38-1),IF(AND($L$37=0,$P$34=0),"",$L$37-1)),MIN(BH$38,$E457),$P$20))-SUM($BF457:BG457))</f>
        <v>0</v>
      </c>
      <c r="BI457" s="446">
        <f>IF($E457=0,0,IF(MIN(BI$38,$E457)&lt;MAX($P$34*($B457+$I$38-1),IF(AND($L$37=0,$P$34=0),"",$L$37-1)),0,YEARFRAC(MAX($P$34*($B457+$I$38-1),IF(AND($L$37=0,$P$34=0),"",$L$37-1)),MIN(BI$38,$E457),$P$20))-SUM($BF457:BH457))</f>
        <v>0</v>
      </c>
      <c r="BJ457" s="446">
        <f>IF($E457=0,0,IF(MIN(BJ$38,$E457)&lt;MAX($P$34*($B457+$I$38-1),IF(AND($L$37=0,$P$34=0),"",$L$37-1)),0,YEARFRAC(MAX($P$34*($B457+$I$38-1),IF(AND($L$37=0,$P$34=0),"",$L$37-1)),MIN(BJ$38,$E457),$P$20))-SUM($BF457:BI457))</f>
        <v>0</v>
      </c>
      <c r="BK457" s="446">
        <f>IF($E457=0,0,IF(MIN(BK$38,$E457)&lt;MAX($P$34*($B457+$I$38-1),IF(AND($L$37=0,$P$34=0),"",$L$37-1)),0,YEARFRAC(MAX($P$34*($B457+$I$38-1),IF(AND($L$37=0,$P$34=0),"",$L$37-1)),MIN(BK$38,$E457),$P$20))-SUM($BF457:BJ457))</f>
        <v>0</v>
      </c>
      <c r="BL457" s="446">
        <f>IF($E457=0,0,IF(MIN(BL$38,$E457)&lt;MAX($P$34*($B457+$I$38-1),IF(AND($L$37=0,$P$34=0),"",$L$37-1)),0,YEARFRAC(MAX($P$34*($B457+$I$38-1),IF(AND($L$37=0,$P$34=0),"",$L$37-1)),MIN(BL$38,$E457),$P$20))-SUM($BF457:BK457))</f>
        <v>0</v>
      </c>
      <c r="BM457" s="446">
        <f>IF($E457=0,0,IF(MIN(BM$38,$E457)&lt;MAX($P$34*($B457+$I$38-1),IF(AND($L$37=0,$P$34=0),"",$L$37-1)),0,YEARFRAC(MAX($P$34*($B457+$I$38-1),IF(AND($L$37=0,$P$34=0),"",$L$37-1)),MIN(BM$38,$E457),$P$20))-SUM($BF457:BL457))</f>
        <v>0</v>
      </c>
      <c r="BN457" s="446">
        <f>IF($E457=0,0,IF(MIN(BN$38,$E457)&lt;MAX($P$34*($B457+$I$38-1),IF(AND($L$37=0,$P$34=0),"",$L$37-1)),0,YEARFRAC(MAX($P$34*($B457+$I$38-1),IF(AND($L$37=0,$P$34=0),"",$L$37-1)),MIN(BN$38,$E457),$P$20))-SUM($BF457:BM457))</f>
        <v>0</v>
      </c>
      <c r="BO457" s="446">
        <f>IF($E457=0,0,IF(MIN(BO$38,$E457)&lt;MAX($P$34*($B457+$I$38-1),IF(AND($L$37=0,$P$34=0),"",$L$37-1)),0,YEARFRAC(MAX($P$34*($B457+$I$38-1),IF(AND($L$37=0,$P$34=0),"",$L$37-1)),MIN(BO$38,$E457),$P$20))-SUM($BF457:BN457))</f>
        <v>0</v>
      </c>
      <c r="BP457" s="446">
        <f>IF($E457=0,0,IF(MIN(BP$38,$E457)&lt;MAX($P$34*($B457+$I$38-1),IF(AND($L$37=0,$P$34=0),"",$L$37-1)),0,YEARFRAC(MAX($P$34*($B457+$I$38-1),IF(AND($L$37=0,$P$34=0),"",$L$37-1)),MIN(BP$38,$E457),$P$20))-SUM($BF457:BO457))</f>
        <v>0</v>
      </c>
      <c r="BQ457" s="446">
        <f>IF($E457=0,0,IF(MIN(BQ$38,$E457)&lt;MAX($P$34*($B457+$I$38-1),IF(AND($L$37=0,$P$34=0),"",$L$37-1)),0,YEARFRAC(MAX($P$34*($B457+$I$38-1),IF(AND($L$37=0,$P$34=0),"",$L$37-1)),MIN(BQ$38,$E457),$P$20))-SUM($BF457:BP457))</f>
        <v>0</v>
      </c>
      <c r="BR457" s="446">
        <f>IF($E457=0,0,IF(MIN(BR$38,$E457)&lt;MAX($P$34*($B457+$I$38-1),IF(AND($L$37=0,$P$34=0),"",$L$37-1)),0,YEARFRAC(MAX($P$34*($B457+$I$38-1),IF(AND($L$37=0,$P$34=0),"",$L$37-1)),MIN(BR$38,$E457),$P$20))-SUM($BF457:BQ457))</f>
        <v>0</v>
      </c>
      <c r="BS457" s="446">
        <f>IF($E457=0,0,IF(MIN(BS$38,$E457)&lt;MAX($P$34*($B457+$I$38-1),IF(AND($L$37=0,$P$34=0),"",$L$37-1)),0,YEARFRAC(MAX($P$34*($B457+$I$38-1),IF(AND($L$37=0,$P$34=0),"",$L$37-1)),MIN(BS$38,$E457),$P$20))-SUM($BF457:BR457))</f>
        <v>0</v>
      </c>
      <c r="BT457" s="446">
        <f>IF($E457=0,0,IF(MIN(BT$38,$E457)&lt;MAX($P$34*($B457+$I$38-1),IF(AND($L$37=0,$P$34=0),"",$L$37-1)),0,YEARFRAC(MAX($P$34*($B457+$I$38-1),IF(AND($L$37=0,$P$34=0),"",$L$37-1)),MIN(BT$38,$E457),$P$20))-SUM($BF457:BS457))</f>
        <v>0</v>
      </c>
      <c r="BU457" s="446">
        <f>IF($E457=0,0,IF(MIN(BU$38,$E457)&lt;MAX($P$34*($B457+$I$38-1),IF(AND($L$37=0,$P$34=0),"",$L$37-1)),0,YEARFRAC(MAX($P$34*($B457+$I$38-1),IF(AND($L$37=0,$P$34=0),"",$L$37-1)),MIN(BU$38,$E457),$P$20))-SUM($BF457:BT457))</f>
        <v>0</v>
      </c>
      <c r="BV457" s="446">
        <f>IF($E457=0,0,IF(MIN(BV$38,$E457)&lt;MAX($P$34*($B457+$I$38-1),IF(AND($L$37=0,$P$34=0),"",$L$37-1)),0,YEARFRAC(MAX($P$34*($B457+$I$38-1),IF(AND($L$37=0,$P$34=0),"",$L$37-1)),MIN(BV$38,$E457),$P$20))-SUM($BF457:BU457))</f>
        <v>0</v>
      </c>
      <c r="BW457" s="446">
        <f>IF($E457=0,0,IF(MIN(BW$38,$E457)&lt;MAX($P$34*($B457+$I$38-1),IF(AND($L$37=0,$P$34=0),"",$L$37-1)),0,YEARFRAC(MAX($P$34*($B457+$I$38-1),IF(AND($L$37=0,$P$34=0),"",$L$37-1)),MIN(BW$38,$E457),$P$20))-SUM($BF457:BV457))</f>
        <v>0</v>
      </c>
      <c r="BX457" s="446">
        <f>IF($E457=0,0,IF(MIN(BX$38,$E457)&lt;MAX($P$34*($B457+$I$38-1),IF(AND($L$37=0,$P$34=0),"",$L$37-1)),0,YEARFRAC(MAX($P$34*($B457+$I$38-1),IF(AND($L$37=0,$P$34=0),"",$L$37-1)),MIN(BX$38,$E457),$P$20))-SUM($BF457:BW457))</f>
        <v>0</v>
      </c>
      <c r="BY457" s="446">
        <f>IF($E457=0,0,IF(MIN(BY$38,$E457)&lt;MAX($P$34*($B457+$I$38-1),IF(AND($L$37=0,$P$34=0),"",$L$37-1)),0,YEARFRAC(MAX($P$34*($B457+$I$38-1),IF(AND($L$37=0,$P$34=0),"",$L$37-1)),MIN(BY$38,$E457),$P$20))-SUM($BF457:BX457))</f>
        <v>0</v>
      </c>
      <c r="BZ457" s="446">
        <f>IF($E457=0,0,IF(MIN(BZ$38,$E457)&lt;MAX($P$34*($B457+$I$38-1),IF(AND($L$37=0,$P$34=0),"",$L$37-1)),0,YEARFRAC(MAX($P$34*($B457+$I$38-1),IF(AND($L$37=0,$P$34=0),"",$L$37-1)),MIN(BZ$38,$E457),$P$20))-SUM($BF457:BY457))</f>
        <v>0</v>
      </c>
      <c r="CA457" s="446">
        <f>IF($E457=0,0,IF(MIN(CA$38,$E457)&lt;MAX($P$34*($B457+$I$38-1),IF(AND($L$37=0,$P$34=0),"",$L$37-1)),0,YEARFRAC(MAX($P$34*($B457+$I$38-1),IF(AND($L$37=0,$P$34=0),"",$L$37-1)),MIN(CA$38,$E457),$P$20))-SUM($BF457:BZ457))</f>
        <v>0</v>
      </c>
      <c r="CB457" s="446">
        <f>IF($E457=0,0,IF(MIN(CB$38,$E457)&lt;MAX($P$34*($B457+$I$38-1),IF(AND($L$37=0,$P$34=0),"",$L$37-1)),0,YEARFRAC(MAX($P$34*($B457+$I$38-1),IF(AND($L$37=0,$P$34=0),"",$L$37-1)),MIN(CB$38,$E457),$P$20))-SUM($BF457:CA457))</f>
        <v>0</v>
      </c>
      <c r="CC457" s="446">
        <f>IF($E457=0,0,IF(MIN(CC$38,$E457)&lt;MAX($P$34*($B457+$I$38-1),IF(AND($L$37=0,$P$34=0),"",$L$37-1)),0,YEARFRAC(MAX($P$34*($B457+$I$38-1),IF(AND($L$37=0,$P$34=0),"",$L$37-1)),MIN(CC$38,$E457),$P$20))-SUM($BF457:CB457))</f>
        <v>0</v>
      </c>
      <c r="CD457" s="446">
        <f>IF($E457=0,0,IF(MIN(CD$38,$E457)&lt;MAX($P$34*($B457+$I$38-1),IF(AND($L$37=0,$P$34=0),"",$L$37-1)),0,YEARFRAC(MAX($P$34*($B457+$I$38-1),IF(AND($L$37=0,$P$34=0),"",$L$37-1)),MIN(CD$38,$E457),$P$20))-SUM($BF457:CC457))</f>
        <v>0</v>
      </c>
      <c r="CE457" s="446">
        <f>IF($E457=0,0,IF(MIN(CE$38,$E457)&lt;MAX($P$34*($B457+$I$38-1),IF(AND($L$37=0,$P$34=0),"",$L$37-1)),0,YEARFRAC(MAX($P$34*($B457+$I$38-1),IF(AND($L$37=0,$P$34=0),"",$L$37-1)),MIN(CE$38,$E457),$P$20))-SUM($BF457:CD457))</f>
        <v>0</v>
      </c>
      <c r="CF457" s="446">
        <f>IF($E457=0,0,IF(MIN(CF$38,$E457)&lt;MAX($P$34*($B457+$I$38-1),IF(AND($L$37=0,$P$34=0),"",$L$37-1)),0,YEARFRAC(MAX($P$34*($B457+$I$38-1),IF(AND($L$37=0,$P$34=0),"",$L$37-1)),MIN(CF$38,$E457),$P$20))-SUM($BF457:CE457))</f>
        <v>0</v>
      </c>
      <c r="CG457" s="446">
        <f>IF($E457=0,0,IF(MIN(CG$38,$E457)&lt;MAX($P$34*($B457+$I$38-1),IF(AND($L$37=0,$P$34=0),"",$L$37-1)),0,YEARFRAC(MAX($P$34*($B457+$I$38-1),IF(AND($L$37=0,$P$34=0),"",$L$37-1)),MIN(CG$38,$E457),$P$20))-SUM($BF457:CF457))</f>
        <v>0</v>
      </c>
      <c r="CH457" s="446">
        <f>IF($E457=0,0,IF(MIN(CH$38,$E457)&lt;MAX($P$34*($B457+$I$38-1),IF(AND($L$37=0,$P$34=0),"",$L$37-1)),0,YEARFRAC(MAX($P$34*($B457+$I$38-1),IF(AND($L$37=0,$P$34=0),"",$L$37-1)),MIN(CH$38,$E457),$P$20))-SUM($BF457:CG457))</f>
        <v>0</v>
      </c>
      <c r="CI457" s="446">
        <f>IF($E457=0,0,IF(MIN(CI$38,$E457)&lt;MAX($P$34*($B457+$I$38-1),IF(AND($L$37=0,$P$34=0),"",$L$37-1)),0,YEARFRAC(MAX($P$34*($B457+$I$38-1),IF(AND($L$37=0,$P$34=0),"",$L$37-1)),MIN(CI$38,$E457),$P$20))-SUM($BF457:CH457))</f>
        <v>0</v>
      </c>
      <c r="CJ457" s="446">
        <f>IF($E457=0,0,IF(MIN(CJ$38,$E457)&lt;MAX($P$34*($B457+$I$38-1),IF(AND($L$37=0,$P$34=0),"",$L$37-1)),0,YEARFRAC(MAX($P$34*($B457+$I$38-1),IF(AND($L$37=0,$P$34=0),"",$L$37-1)),MIN(CJ$38,$E457),$P$20))-SUM($BF457:CI457))</f>
        <v>0</v>
      </c>
      <c r="CK457" s="446">
        <f>IF($E457=0,0,IF(MIN(CK$38,$E457)&lt;MAX($P$34*($B457+$I$38-1),IF(AND($L$37=0,$P$34=0),"",$L$37-1)),0,YEARFRAC(MAX($P$34*($B457+$I$38-1),IF(AND($L$37=0,$P$34=0),"",$L$37-1)),MIN(CK$38,$E457),$P$20))-SUM($BF457:CJ457))</f>
        <v>0</v>
      </c>
      <c r="CL457" s="446">
        <f>IF($E457=0,0,IF(MIN(CL$38,$E457)&lt;MAX($P$34*($B457+$I$38-1),IF(AND($L$37=0,$P$34=0),"",$L$37-1)),0,YEARFRAC(MAX($P$34*($B457+$I$38-1),IF(AND($L$37=0,$P$34=0),"",$L$37-1)),MIN(CL$38,$E457),$P$20))-SUM($BF457:CK457))</f>
        <v>0</v>
      </c>
      <c r="CM457" s="446">
        <f>IF($E457=0,0,IF(MIN(CM$38,$E457)&lt;MAX($P$34*($B457+$I$38-1),IF(AND($L$37=0,$P$34=0),"",$L$37-1)),0,YEARFRAC(MAX($P$34*($B457+$I$38-1),IF(AND($L$37=0,$P$34=0),"",$L$37-1)),MIN(CM$38,$E457),$P$20))-SUM($BF457:CL457))</f>
        <v>0</v>
      </c>
      <c r="CN457" s="446">
        <f>IF($E457=0,0,IF(MIN(CN$38,$E457)&lt;MAX($P$34*($B457+$I$38-1),IF(AND($L$37=0,$P$34=0),"",$L$37-1)),0,YEARFRAC(MAX($P$34*($B457+$I$38-1),IF(AND($L$37=0,$P$34=0),"",$L$37-1)),MIN(CN$38,$E457),$P$20))-SUM($BF457:CM457))</f>
        <v>0</v>
      </c>
      <c r="CO457" s="446">
        <f>IF($E457=0,0,IF(MIN(CO$38,$E457)&lt;MAX($P$34*($B457+$I$38-1),IF(AND($L$37=0,$P$34=0),"",$L$37-1)),0,YEARFRAC(MAX($P$34*($B457+$I$38-1),IF(AND($L$37=0,$P$34=0),"",$L$37-1)),MIN(CO$38,$E457),$P$20))-SUM($BF457:CN457))</f>
        <v>0</v>
      </c>
      <c r="CP457" s="446">
        <f>IF($E457=0,0,IF(MIN(CP$38,$E457)&lt;MAX($P$34*($B457+$I$38-1),IF(AND($L$37=0,$P$34=0),"",$L$37-1)),0,YEARFRAC(MAX($P$34*($B457+$I$38-1),IF(AND($L$37=0,$P$34=0),"",$L$37-1)),MIN(CP$38,$E457),$P$20))-SUM($BF457:CO457))</f>
        <v>0</v>
      </c>
      <c r="CQ457" s="446">
        <f>IF($E457=0,0,IF(MIN(CQ$38,$E457)&lt;MAX($P$34*($B457+$I$38-1),IF(AND($L$37=0,$P$34=0),"",$L$37-1)),0,YEARFRAC(MAX($P$34*($B457+$I$38-1),IF(AND($L$37=0,$P$34=0),"",$L$37-1)),MIN(CQ$38,$E457),$P$20))-SUM($BF457:CP457))</f>
        <v>0</v>
      </c>
    </row>
    <row r="458" spans="1:95" s="446" customFormat="1" ht="11.25" hidden="1" customHeight="1" x14ac:dyDescent="0.2">
      <c r="A458" s="152"/>
      <c r="B458" s="153" t="str">
        <f t="shared" si="81"/>
        <v/>
      </c>
      <c r="C458" s="29" t="str">
        <f>IF(B458="","",IF($L$35="SELIC - TRIBUTOS",VLOOKUP(DATE(YEAR($D$19),MONTH($D$19)-1,1),ÍNDICES!$A:$DE,HLOOKUP($BL$25,ÍNDICES!$B$3:$T$4,2)+11)-VLOOKUP(B458,ÍNDICES!$A:$DE,HLOOKUP($BL$25,ÍNDICES!$B$3:$T$4,2)+11)+1%,IF(C$38=$W$26,$J$35,IF(ISERROR(IF(B458&gt;$D$19,1,VLOOKUP(DATE(YEAR(B458),MONTH(B458)+IF($C$35=$S$23,1,0),1),ÍNDICES!$A:$DE,$Z$35+1))),"",IF(B458&gt;$D$19,1,VLOOKUP(DATE(YEAR(B458),MONTH(B458)+IF($C$35=$S$23,1,0),1),ÍNDICES!$A:$DE,$Z$35+1))))))</f>
        <v/>
      </c>
      <c r="D458" s="154" t="str">
        <f>IF(ISERROR(IF(OR($D$38=$Y$27,$B458=""),"",VLOOKUP(B458,ÍNDICES!A:DE,AF$35+1))),"",IF(OR($D$38=$Y$27,$B458=""),"",VLOOKUP(B458,ÍNDICES!A:DE,AF$35+1)))</f>
        <v/>
      </c>
      <c r="E458" s="153"/>
      <c r="F458" s="29" t="str">
        <f>IF(E458="","",IF($L$35="SELIC - TRIBUTOS",VLOOKUP(DATE(YEAR($D$19),MONTH($D$19)-1,1),ÍNDICES!$A:$DE,HLOOKUP($BL$25,ÍNDICES!$B$3:$T$4,2)+11)-VLOOKUP(E458,ÍNDICES!$A:$DE,HLOOKUP($BL$25,ÍNDICES!$B$3:$T$4,2)+11)+1%,IF(F$38=$W$26,$J$35,IF(ISERROR(IF(E458&gt;$D$19,1,VLOOKUP(DATE(YEAR(E458),MONTH(E458)+IF($C$35=$S$23,1,0),1),ÍNDICES!$A:$DE,$Z$35+1))),"",IF(E458&gt;$D$19,1,VLOOKUP(DATE(YEAR(E458),MONTH(E458)+IF($C$35=$S$23,1,0),1),ÍNDICES!$A:$DE,$Z$35+1))))))</f>
        <v/>
      </c>
      <c r="G458" s="155"/>
      <c r="H458" s="156" t="str">
        <f t="shared" si="77"/>
        <v/>
      </c>
      <c r="I458" s="29" t="str">
        <f t="shared" si="71"/>
        <v/>
      </c>
      <c r="J458" s="5">
        <f t="shared" si="72"/>
        <v>0</v>
      </c>
      <c r="K458" s="20">
        <f t="shared" ca="1" si="73"/>
        <v>0</v>
      </c>
      <c r="L458" s="5">
        <f t="shared" ca="1" si="74"/>
        <v>0</v>
      </c>
      <c r="M458" s="64">
        <f t="shared" si="78"/>
        <v>0</v>
      </c>
      <c r="N458" s="61">
        <f t="shared" ca="1" si="79"/>
        <v>0</v>
      </c>
      <c r="O458" s="5">
        <f t="shared" ca="1" si="80"/>
        <v>0</v>
      </c>
      <c r="P458" s="446" t="e">
        <f t="shared" si="75"/>
        <v>#VALUE!</v>
      </c>
      <c r="Q458" s="446" t="e">
        <f>IF(OR($B458="",MIN(Q$38,$D$19)&lt;MAX($P$34*($B458+IF($R$17="Distrato",$I$38-1,0)),IF(AND($L$37=0,$P$34=0),"",$L$37-1),IF($R$17="Distrato",$E458,0))),0,YEARFRAC(MAX($P$34*($B458+IF($R$17="Distrato",$I$38-1,0)),IF(AND($L$37=0,$P$34=0),"",$L$37-1),IF($R$17="Distrato",$E458,0)),MIN(Q$38,$D$19),$P$20))-SUM($P458:P458)</f>
        <v>#VALUE!</v>
      </c>
      <c r="R458" s="446" t="e">
        <f>IF(OR($B458="",MIN(R$38,$D$19)&lt;MAX($P$34*($B458+IF($R$17="Distrato",$I$38-1,0)),IF(AND($L$37=0,$P$34=0),"",$L$37-1),IF($R$17="Distrato",$E458,0))),0,YEARFRAC(MAX($P$34*($B458+IF($R$17="Distrato",$I$38-1,0)),IF(AND($L$37=0,$P$34=0),"",$L$37-1),IF($R$17="Distrato",$E458,0)),MIN(R$38,$D$19),$P$20))-SUM($P458:Q458)</f>
        <v>#VALUE!</v>
      </c>
      <c r="S458" s="446" t="e">
        <f>IF(OR($B458="",MIN(S$38,$D$19)&lt;MAX($P$34*($B458+IF($R$17="Distrato",$I$38-1,0)),IF(AND($L$37=0,$P$34=0),"",$L$37-1),IF($R$17="Distrato",$E458,0))),0,YEARFRAC(MAX($P$34*($B458+IF($R$17="Distrato",$I$38-1,0)),IF(AND($L$37=0,$P$34=0),"",$L$37-1),IF($R$17="Distrato",$E458,0)),MIN(S$38,$D$19),$P$20))-SUM($P458:R458)</f>
        <v>#VALUE!</v>
      </c>
      <c r="T458" s="446" t="e">
        <f>IF(OR($B458="",MIN(T$38,$D$19)&lt;MAX($P$34*($B458+IF($R$17="Distrato",$I$38-1,0)),IF(AND($L$37=0,$P$34=0),"",$L$37-1),IF($R$17="Distrato",$E458,0))),0,YEARFRAC(MAX($P$34*($B458+IF($R$17="Distrato",$I$38-1,0)),IF(AND($L$37=0,$P$34=0),"",$L$37-1),IF($R$17="Distrato",$E458,0)),MIN(T$38,$D$19),$P$20))-SUM($P458:S458)</f>
        <v>#VALUE!</v>
      </c>
      <c r="U458" s="446" t="e">
        <f>IF(OR($B458="",MIN(U$38,$D$19)&lt;MAX($P$34*($B458+IF($R$17="Distrato",$I$38-1,0)),IF(AND($L$37=0,$P$34=0),"",$L$37-1),IF($R$17="Distrato",$E458,0))),0,YEARFRAC(MAX($P$34*($B458+IF($R$17="Distrato",$I$38-1,0)),IF(AND($L$37=0,$P$34=0),"",$L$37-1),IF($R$17="Distrato",$E458,0)),MIN(U$38,$D$19),$P$20))-SUM($P458:T458)</f>
        <v>#VALUE!</v>
      </c>
      <c r="V458" s="446" t="e">
        <f>IF(OR($B458="",MIN(V$38,$D$19)&lt;MAX($P$34*($B458+IF($R$17="Distrato",$I$38-1,0)),IF(AND($L$37=0,$P$34=0),"",$L$37-1),IF($R$17="Distrato",$E458,0))),0,YEARFRAC(MAX($P$34*($B458+IF($R$17="Distrato",$I$38-1,0)),IF(AND($L$37=0,$P$34=0),"",$L$37-1),IF($R$17="Distrato",$E458,0)),MIN(V$38,$D$19),$P$20))-SUM($P458:U458)</f>
        <v>#VALUE!</v>
      </c>
      <c r="W458" s="446" t="e">
        <f>IF(OR($B458="",MIN(W$38,$D$19)&lt;MAX($P$34*($B458+IF($R$17="Distrato",$I$38-1,0)),IF(AND($L$37=0,$P$34=0),"",$L$37-1),IF($R$17="Distrato",$E458,0))),0,YEARFRAC(MAX($P$34*($B458+IF($R$17="Distrato",$I$38-1,0)),IF(AND($L$37=0,$P$34=0),"",$L$37-1),IF($R$17="Distrato",$E458,0)),MIN(W$38,$D$19),$P$20))-SUM($P458:V458)</f>
        <v>#VALUE!</v>
      </c>
      <c r="X458" s="446" t="e">
        <f>IF(OR($B458="",MIN(X$38,$D$19)&lt;MAX($P$34*($B458+IF($R$17="Distrato",$I$38-1,0)),IF(AND($L$37=0,$P$34=0),"",$L$37-1),IF($R$17="Distrato",$E458,0))),0,YEARFRAC(MAX($P$34*($B458+IF($R$17="Distrato",$I$38-1,0)),IF(AND($L$37=0,$P$34=0),"",$L$37-1),IF($R$17="Distrato",$E458,0)),MIN(X$38,$D$19),$P$20))-SUM($P458:W458)</f>
        <v>#VALUE!</v>
      </c>
      <c r="Y458" s="446" t="e">
        <f>IF(OR($B458="",MIN(Y$38,$D$19)&lt;MAX($P$34*($B458+IF($R$17="Distrato",$I$38-1,0)),IF(AND($L$37=0,$P$34=0),"",$L$37-1),IF($R$17="Distrato",$E458,0))),0,YEARFRAC(MAX($P$34*($B458+IF($R$17="Distrato",$I$38-1,0)),IF(AND($L$37=0,$P$34=0),"",$L$37-1),IF($R$17="Distrato",$E458,0)),MIN(Y$38,$D$19),$P$20))-SUM($P458:X458)</f>
        <v>#VALUE!</v>
      </c>
      <c r="Z458" s="446" t="e">
        <f>IF(OR($B458="",MIN(Z$38,$D$19)&lt;MAX($P$34*($B458+IF($R$17="Distrato",$I$38-1,0)),IF(AND($L$37=0,$P$34=0),"",$L$37-1),IF($R$17="Distrato",$E458,0))),0,YEARFRAC(MAX($P$34*($B458+IF($R$17="Distrato",$I$38-1,0)),IF(AND($L$37=0,$P$34=0),"",$L$37-1),IF($R$17="Distrato",$E458,0)),MIN(Z$38,$D$19),$P$20))-SUM($P458:Y458)</f>
        <v>#VALUE!</v>
      </c>
      <c r="AA458" s="446" t="e">
        <f>IF(OR($B458="",MIN(AA$38,$D$19)&lt;MAX($P$34*($B458+IF($R$17="Distrato",$I$38-1,0)),IF(AND($L$37=0,$P$34=0),"",$L$37-1),IF($R$17="Distrato",$E458,0))),0,YEARFRAC(MAX($P$34*($B458+IF($R$17="Distrato",$I$38-1,0)),IF(AND($L$37=0,$P$34=0),"",$L$37-1),IF($R$17="Distrato",$E458,0)),MIN(AA$38,$D$19),$P$20))-SUM($P458:Z458)</f>
        <v>#VALUE!</v>
      </c>
      <c r="AB458" s="446" t="e">
        <f>IF(OR($B458="",MIN(AB$38,$D$19)&lt;MAX($P$34*($B458+IF($R$17="Distrato",$I$38-1,0)),IF(AND($L$37=0,$P$34=0),"",$L$37-1),IF($R$17="Distrato",$E458,0))),0,YEARFRAC(MAX($P$34*($B458+IF($R$17="Distrato",$I$38-1,0)),IF(AND($L$37=0,$P$34=0),"",$L$37-1),IF($R$17="Distrato",$E458,0)),MIN(AB$38,$D$19),$P$20))-SUM($P458:AA458)</f>
        <v>#VALUE!</v>
      </c>
      <c r="AC458" s="446" t="e">
        <f>IF(OR($B458="",MIN(AC$38,$D$19)&lt;MAX($P$34*($B458+IF($R$17="Distrato",$I$38-1,0)),IF(AND($L$37=0,$P$34=0),"",$L$37-1),IF($R$17="Distrato",$E458,0))),0,YEARFRAC(MAX($P$34*($B458+IF($R$17="Distrato",$I$38-1,0)),IF(AND($L$37=0,$P$34=0),"",$L$37-1),IF($R$17="Distrato",$E458,0)),MIN(AC$38,$D$19),$P$20))-SUM($P458:AB458)</f>
        <v>#VALUE!</v>
      </c>
      <c r="AD458" s="446" t="e">
        <f>IF(OR($B458="",MIN(AD$38,$D$19)&lt;MAX($P$34*($B458+IF($R$17="Distrato",$I$38-1,0)),IF(AND($L$37=0,$P$34=0),"",$L$37-1),IF($R$17="Distrato",$E458,0))),0,YEARFRAC(MAX($P$34*($B458+IF($R$17="Distrato",$I$38-1,0)),IF(AND($L$37=0,$P$34=0),"",$L$37-1),IF($R$17="Distrato",$E458,0)),MIN(AD$38,$D$19),$P$20))-SUM($P458:AC458)</f>
        <v>#VALUE!</v>
      </c>
      <c r="AE458" s="446" t="e">
        <f>IF(OR($B458="",MIN(AE$38,$D$19)&lt;MAX($P$34*($B458+IF($R$17="Distrato",$I$38-1,0)),IF(AND($L$37=0,$P$34=0),"",$L$37-1),IF($R$17="Distrato",$E458,0))),0,YEARFRAC(MAX($P$34*($B458+IF($R$17="Distrato",$I$38-1,0)),IF(AND($L$37=0,$P$34=0),"",$L$37-1),IF($R$17="Distrato",$E458,0)),MIN(AE$38,$D$19),$P$20))-SUM($P458:AD458)</f>
        <v>#VALUE!</v>
      </c>
      <c r="AF458" s="446" t="e">
        <f>IF(OR($B458="",MIN(AF$38,$D$19)&lt;MAX($P$34*($B458+IF($R$17="Distrato",$I$38-1,0)),IF(AND($L$37=0,$P$34=0),"",$L$37-1),IF($R$17="Distrato",$E458,0))),0,YEARFRAC(MAX($P$34*($B458+IF($R$17="Distrato",$I$38-1,0)),IF(AND($L$37=0,$P$34=0),"",$L$37-1),IF($R$17="Distrato",$E458,0)),MIN(AF$38,$D$19),$P$20))-SUM($P458:AE458)</f>
        <v>#VALUE!</v>
      </c>
      <c r="AG458" s="446" t="e">
        <f>IF(OR($B458="",MIN(AG$38,$D$19)&lt;MAX($P$34*($B458+IF($R$17="Distrato",$I$38-1,0)),IF(AND($L$37=0,$P$34=0),"",$L$37-1),IF($R$17="Distrato",$E458,0))),0,YEARFRAC(MAX($P$34*($B458+IF($R$17="Distrato",$I$38-1,0)),IF(AND($L$37=0,$P$34=0),"",$L$37-1),IF($R$17="Distrato",$E458,0)),MIN(AG$38,$D$19),$P$20))-SUM($P458:AF458)</f>
        <v>#VALUE!</v>
      </c>
      <c r="AH458" s="446" t="e">
        <f>IF(OR($B458="",MIN(AH$38,$D$19)&lt;MAX($P$34*($B458+IF($R$17="Distrato",$I$38-1,0)),IF(AND($L$37=0,$P$34=0),"",$L$37-1),IF($R$17="Distrato",$E458,0))),0,YEARFRAC(MAX($P$34*($B458+IF($R$17="Distrato",$I$38-1,0)),IF(AND($L$37=0,$P$34=0),"",$L$37-1),IF($R$17="Distrato",$E458,0)),MIN(AH$38,$D$19),$P$20))-SUM($P458:AG458)</f>
        <v>#VALUE!</v>
      </c>
      <c r="AI458" s="446" t="e">
        <f>IF(OR($B458="",MIN(AI$38,$D$19)&lt;MAX($P$34*($B458+IF($R$17="Distrato",$I$38-1,0)),IF(AND($L$37=0,$P$34=0),"",$L$37-1),IF($R$17="Distrato",$E458,0))),0,YEARFRAC(MAX($P$34*($B458+IF($R$17="Distrato",$I$38-1,0)),IF(AND($L$37=0,$P$34=0),"",$L$37-1),IF($R$17="Distrato",$E458,0)),MIN(AI$38,$D$19),$P$20))-SUM($P458:AH458)</f>
        <v>#VALUE!</v>
      </c>
      <c r="AJ458" s="446" t="e">
        <f>IF(OR($B458="",MIN(AJ$38,$D$19)&lt;MAX($P$34*($B458+IF($R$17="Distrato",$I$38-1,0)),IF(AND($L$37=0,$P$34=0),"",$L$37-1),IF($R$17="Distrato",$E458,0))),0,YEARFRAC(MAX($P$34*($B458+IF($R$17="Distrato",$I$38-1,0)),IF(AND($L$37=0,$P$34=0),"",$L$37-1),IF($R$17="Distrato",$E458,0)),MIN(AJ$38,$D$19),$P$20))-SUM($P458:AI458)</f>
        <v>#VALUE!</v>
      </c>
      <c r="AK458" s="446" t="e">
        <f>IF(OR($B458="",MIN(AK$38,$D$19)&lt;MAX($P$34*($B458+IF($R$17="Distrato",$I$38-1,0)),IF(AND($L$37=0,$P$34=0),"",$L$37-1),IF($R$17="Distrato",$E458,0))),0,YEARFRAC(MAX($P$34*($B458+IF($R$17="Distrato",$I$38-1,0)),IF(AND($L$37=0,$P$34=0),"",$L$37-1),IF($R$17="Distrato",$E458,0)),MIN(AK$38,$D$19),$P$20))-SUM($P458:AJ458)</f>
        <v>#VALUE!</v>
      </c>
      <c r="AL458" s="446" t="e">
        <f>IF(OR($B458="",MIN(AL$38,$D$19)&lt;MAX($P$34*($B458+IF($R$17="Distrato",$I$38-1,0)),IF(AND($L$37=0,$P$34=0),"",$L$37-1),IF($R$17="Distrato",$E458,0))),0,YEARFRAC(MAX($P$34*($B458+IF($R$17="Distrato",$I$38-1,0)),IF(AND($L$37=0,$P$34=0),"",$L$37-1),IF($R$17="Distrato",$E458,0)),MIN(AL$38,$D$19),$P$20))-SUM($P458:AK458)</f>
        <v>#VALUE!</v>
      </c>
      <c r="AM458" s="446" t="e">
        <f>IF(OR($B458="",MIN(AM$38,$D$19)&lt;MAX($P$34*($B458+IF($R$17="Distrato",$I$38-1,0)),IF(AND($L$37=0,$P$34=0),"",$L$37-1),IF($R$17="Distrato",$E458,0))),0,YEARFRAC(MAX($P$34*($B458+IF($R$17="Distrato",$I$38-1,0)),IF(AND($L$37=0,$P$34=0),"",$L$37-1),IF($R$17="Distrato",$E458,0)),MIN(AM$38,$D$19),$P$20))-SUM($P458:AL458)</f>
        <v>#VALUE!</v>
      </c>
      <c r="AN458" s="446" t="e">
        <f>IF(OR($B458="",MIN(AN$38,$D$19)&lt;MAX($P$34*($B458+IF($R$17="Distrato",$I$38-1,0)),IF(AND($L$37=0,$P$34=0),"",$L$37-1),IF($R$17="Distrato",$E458,0))),0,YEARFRAC(MAX($P$34*($B458+IF($R$17="Distrato",$I$38-1,0)),IF(AND($L$37=0,$P$34=0),"",$L$37-1),IF($R$17="Distrato",$E458,0)),MIN(AN$38,$D$19),$P$20))-SUM($P458:AM458)</f>
        <v>#VALUE!</v>
      </c>
      <c r="AO458" s="446" t="e">
        <f>IF(OR($B458="",MIN(AO$38,$D$19)&lt;MAX($P$34*($B458+IF($R$17="Distrato",$I$38-1,0)),IF(AND($L$37=0,$P$34=0),"",$L$37-1),IF($R$17="Distrato",$E458,0))),0,YEARFRAC(MAX($P$34*($B458+IF($R$17="Distrato",$I$38-1,0)),IF(AND($L$37=0,$P$34=0),"",$L$37-1),IF($R$17="Distrato",$E458,0)),MIN(AO$38,$D$19),$P$20))-SUM($P458:AN458)</f>
        <v>#VALUE!</v>
      </c>
      <c r="AP458" s="446" t="e">
        <f>IF(OR($B458="",MIN(AP$38,$D$19)&lt;MAX($P$34*($B458+IF($R$17="Distrato",$I$38-1,0)),IF(AND($L$37=0,$P$34=0),"",$L$37-1),IF($R$17="Distrato",$E458,0))),0,YEARFRAC(MAX($P$34*($B458+IF($R$17="Distrato",$I$38-1,0)),IF(AND($L$37=0,$P$34=0),"",$L$37-1),IF($R$17="Distrato",$E458,0)),MIN(AP$38,$D$19),$P$20))-SUM($P458:AO458)</f>
        <v>#VALUE!</v>
      </c>
      <c r="AQ458" s="446" t="e">
        <f>IF(OR($B458="",MIN(AQ$38,$D$19)&lt;MAX($P$34*($B458+IF($R$17="Distrato",$I$38-1,0)),IF(AND($L$37=0,$P$34=0),"",$L$37-1),IF($R$17="Distrato",$E458,0))),0,YEARFRAC(MAX($P$34*($B458+IF($R$17="Distrato",$I$38-1,0)),IF(AND($L$37=0,$P$34=0),"",$L$37-1),IF($R$17="Distrato",$E458,0)),MIN(AQ$38,$D$19),$P$20))-SUM($P458:AP458)</f>
        <v>#VALUE!</v>
      </c>
      <c r="AR458" s="446" t="e">
        <f>IF(OR($B458="",MIN(AR$38,$D$19)&lt;MAX($P$34*($B458+IF($R$17="Distrato",$I$38-1,0)),IF(AND($L$37=0,$P$34=0),"",$L$37-1),IF($R$17="Distrato",$E458,0))),0,YEARFRAC(MAX($P$34*($B458+IF($R$17="Distrato",$I$38-1,0)),IF(AND($L$37=0,$P$34=0),"",$L$37-1),IF($R$17="Distrato",$E458,0)),MIN(AR$38,$D$19),$P$20))-SUM($P458:AQ458)</f>
        <v>#VALUE!</v>
      </c>
      <c r="AS458" s="446" t="e">
        <f>IF(OR($B458="",MIN(AS$38,$D$19)&lt;MAX($P$34*($B458+IF($R$17="Distrato",$I$38-1,0)),IF(AND($L$37=0,$P$34=0),"",$L$37-1),IF($R$17="Distrato",$E458,0))),0,YEARFRAC(MAX($P$34*($B458+IF($R$17="Distrato",$I$38-1,0)),IF(AND($L$37=0,$P$34=0),"",$L$37-1),IF($R$17="Distrato",$E458,0)),MIN(AS$38,$D$19),$P$20))-SUM($P458:AR458)</f>
        <v>#VALUE!</v>
      </c>
      <c r="AT458" s="446" t="e">
        <f>IF(OR($B458="",MIN(AT$38,$D$19)&lt;MAX($P$34*($B458+IF($R$17="Distrato",$I$38-1,0)),IF(AND($L$37=0,$P$34=0),"",$L$37-1),IF($R$17="Distrato",$E458,0))),0,YEARFRAC(MAX($P$34*($B458+IF($R$17="Distrato",$I$38-1,0)),IF(AND($L$37=0,$P$34=0),"",$L$37-1),IF($R$17="Distrato",$E458,0)),MIN(AT$38,$D$19),$P$20))-SUM($P458:AS458)</f>
        <v>#VALUE!</v>
      </c>
      <c r="AU458" s="446" t="e">
        <f>IF(OR($B458="",MIN(AU$38,$D$19)&lt;MAX($P$34*($B458+IF($R$17="Distrato",$I$38-1,0)),IF(AND($L$37=0,$P$34=0),"",$L$37-1),IF($R$17="Distrato",$E458,0))),0,YEARFRAC(MAX($P$34*($B458+IF($R$17="Distrato",$I$38-1,0)),IF(AND($L$37=0,$P$34=0),"",$L$37-1),IF($R$17="Distrato",$E458,0)),MIN(AU$38,$D$19),$P$20))-SUM($P458:AT458)</f>
        <v>#VALUE!</v>
      </c>
      <c r="AV458" s="446" t="e">
        <f>IF(OR($B458="",MIN(AV$38,$D$19)&lt;MAX($P$34*($B458+IF($R$17="Distrato",$I$38-1,0)),IF(AND($L$37=0,$P$34=0),"",$L$37-1),IF($R$17="Distrato",$E458,0))),0,YEARFRAC(MAX($P$34*($B458+IF($R$17="Distrato",$I$38-1,0)),IF(AND($L$37=0,$P$34=0),"",$L$37-1),IF($R$17="Distrato",$E458,0)),MIN(AV$38,$D$19),$P$20))-SUM($P458:AU458)</f>
        <v>#VALUE!</v>
      </c>
      <c r="AW458" s="446" t="e">
        <f>IF(OR($B458="",MIN(AW$38,$D$19)&lt;MAX($P$34*($B458+IF($R$17="Distrato",$I$38-1,0)),IF(AND($L$37=0,$P$34=0),"",$L$37-1),IF($R$17="Distrato",$E458,0))),0,YEARFRAC(MAX($P$34*($B458+IF($R$17="Distrato",$I$38-1,0)),IF(AND($L$37=0,$P$34=0),"",$L$37-1),IF($R$17="Distrato",$E458,0)),MIN(AW$38,$D$19),$P$20))-SUM($P458:AV458)</f>
        <v>#VALUE!</v>
      </c>
      <c r="AX458" s="446" t="e">
        <f>IF(OR($B458="",MIN(AX$38,$D$19)&lt;MAX($P$34*($B458+IF($R$17="Distrato",$I$38-1,0)),IF(AND($L$37=0,$P$34=0),"",$L$37-1),IF($R$17="Distrato",$E458,0))),0,YEARFRAC(MAX($P$34*($B458+IF($R$17="Distrato",$I$38-1,0)),IF(AND($L$37=0,$P$34=0),"",$L$37-1),IF($R$17="Distrato",$E458,0)),MIN(AX$38,$D$19),$P$20))-SUM($P458:AW458)</f>
        <v>#VALUE!</v>
      </c>
      <c r="AY458" s="446" t="e">
        <f>IF(OR($B458="",MIN(AY$38,$D$19)&lt;MAX($P$34*($B458+IF($R$17="Distrato",$I$38-1,0)),IF(AND($L$37=0,$P$34=0),"",$L$37-1),IF($R$17="Distrato",$E458,0))),0,YEARFRAC(MAX($P$34*($B458+IF($R$17="Distrato",$I$38-1,0)),IF(AND($L$37=0,$P$34=0),"",$L$37-1),IF($R$17="Distrato",$E458,0)),MIN(AY$38,$D$19),$P$20))-SUM($P458:AX458)</f>
        <v>#VALUE!</v>
      </c>
      <c r="AZ458" s="446" t="e">
        <f>IF(OR($B458="",MIN(AZ$38,$D$19)&lt;MAX($P$34*($B458+IF($R$17="Distrato",$I$38-1,0)),IF(AND($L$37=0,$P$34=0),"",$L$37-1),IF($R$17="Distrato",$E458,0))),0,YEARFRAC(MAX($P$34*($B458+IF($R$17="Distrato",$I$38-1,0)),IF(AND($L$37=0,$P$34=0),"",$L$37-1),IF($R$17="Distrato",$E458,0)),MIN(AZ$38,$D$19),$P$20))-SUM($P458:AY458)</f>
        <v>#VALUE!</v>
      </c>
      <c r="BA458" s="446" t="e">
        <f>IF(OR($B458="",MIN(BA$38,$D$19)&lt;MAX($P$34*($B458+IF($R$17="Distrato",$I$38-1,0)),IF(AND($L$37=0,$P$34=0),"",$L$37-1),IF($R$17="Distrato",$E458,0))),0,YEARFRAC(MAX($P$34*($B458+IF($R$17="Distrato",$I$38-1,0)),IF(AND($L$37=0,$P$34=0),"",$L$37-1),IF($R$17="Distrato",$E458,0)),MIN(BA$38,$D$19),$P$20))-SUM($P458:AZ458)</f>
        <v>#VALUE!</v>
      </c>
      <c r="BB458" s="447"/>
      <c r="BF458" s="446">
        <f t="shared" si="76"/>
        <v>0</v>
      </c>
      <c r="BG458" s="446">
        <f>IF($E458=0,0,IF(MIN(BG$38,$E458)&lt;MAX($P$34*($B458+$I$38-1),IF(AND($L$37=0,$P$34=0),"",$L$37-1)),0,YEARFRAC(MAX($P$34*($B458+$I$38-1),IF(AND($L$37=0,$P$34=0),"",$L$37-1)),MIN(BG$38,$E458),$P$20))-SUM($BF458:BF458))</f>
        <v>0</v>
      </c>
      <c r="BH458" s="446">
        <f>IF($E458=0,0,IF(MIN(BH$38,$E458)&lt;MAX($P$34*($B458+$I$38-1),IF(AND($L$37=0,$P$34=0),"",$L$37-1)),0,YEARFRAC(MAX($P$34*($B458+$I$38-1),IF(AND($L$37=0,$P$34=0),"",$L$37-1)),MIN(BH$38,$E458),$P$20))-SUM($BF458:BG458))</f>
        <v>0</v>
      </c>
      <c r="BI458" s="446">
        <f>IF($E458=0,0,IF(MIN(BI$38,$E458)&lt;MAX($P$34*($B458+$I$38-1),IF(AND($L$37=0,$P$34=0),"",$L$37-1)),0,YEARFRAC(MAX($P$34*($B458+$I$38-1),IF(AND($L$37=0,$P$34=0),"",$L$37-1)),MIN(BI$38,$E458),$P$20))-SUM($BF458:BH458))</f>
        <v>0</v>
      </c>
      <c r="BJ458" s="446">
        <f>IF($E458=0,0,IF(MIN(BJ$38,$E458)&lt;MAX($P$34*($B458+$I$38-1),IF(AND($L$37=0,$P$34=0),"",$L$37-1)),0,YEARFRAC(MAX($P$34*($B458+$I$38-1),IF(AND($L$37=0,$P$34=0),"",$L$37-1)),MIN(BJ$38,$E458),$P$20))-SUM($BF458:BI458))</f>
        <v>0</v>
      </c>
      <c r="BK458" s="446">
        <f>IF($E458=0,0,IF(MIN(BK$38,$E458)&lt;MAX($P$34*($B458+$I$38-1),IF(AND($L$37=0,$P$34=0),"",$L$37-1)),0,YEARFRAC(MAX($P$34*($B458+$I$38-1),IF(AND($L$37=0,$P$34=0),"",$L$37-1)),MIN(BK$38,$E458),$P$20))-SUM($BF458:BJ458))</f>
        <v>0</v>
      </c>
      <c r="BL458" s="446">
        <f>IF($E458=0,0,IF(MIN(BL$38,$E458)&lt;MAX($P$34*($B458+$I$38-1),IF(AND($L$37=0,$P$34=0),"",$L$37-1)),0,YEARFRAC(MAX($P$34*($B458+$I$38-1),IF(AND($L$37=0,$P$34=0),"",$L$37-1)),MIN(BL$38,$E458),$P$20))-SUM($BF458:BK458))</f>
        <v>0</v>
      </c>
      <c r="BM458" s="446">
        <f>IF($E458=0,0,IF(MIN(BM$38,$E458)&lt;MAX($P$34*($B458+$I$38-1),IF(AND($L$37=0,$P$34=0),"",$L$37-1)),0,YEARFRAC(MAX($P$34*($B458+$I$38-1),IF(AND($L$37=0,$P$34=0),"",$L$37-1)),MIN(BM$38,$E458),$P$20))-SUM($BF458:BL458))</f>
        <v>0</v>
      </c>
      <c r="BN458" s="446">
        <f>IF($E458=0,0,IF(MIN(BN$38,$E458)&lt;MAX($P$34*($B458+$I$38-1),IF(AND($L$37=0,$P$34=0),"",$L$37-1)),0,YEARFRAC(MAX($P$34*($B458+$I$38-1),IF(AND($L$37=0,$P$34=0),"",$L$37-1)),MIN(BN$38,$E458),$P$20))-SUM($BF458:BM458))</f>
        <v>0</v>
      </c>
      <c r="BO458" s="446">
        <f>IF($E458=0,0,IF(MIN(BO$38,$E458)&lt;MAX($P$34*($B458+$I$38-1),IF(AND($L$37=0,$P$34=0),"",$L$37-1)),0,YEARFRAC(MAX($P$34*($B458+$I$38-1),IF(AND($L$37=0,$P$34=0),"",$L$37-1)),MIN(BO$38,$E458),$P$20))-SUM($BF458:BN458))</f>
        <v>0</v>
      </c>
      <c r="BP458" s="446">
        <f>IF($E458=0,0,IF(MIN(BP$38,$E458)&lt;MAX($P$34*($B458+$I$38-1),IF(AND($L$37=0,$P$34=0),"",$L$37-1)),0,YEARFRAC(MAX($P$34*($B458+$I$38-1),IF(AND($L$37=0,$P$34=0),"",$L$37-1)),MIN(BP$38,$E458),$P$20))-SUM($BF458:BO458))</f>
        <v>0</v>
      </c>
      <c r="BQ458" s="446">
        <f>IF($E458=0,0,IF(MIN(BQ$38,$E458)&lt;MAX($P$34*($B458+$I$38-1),IF(AND($L$37=0,$P$34=0),"",$L$37-1)),0,YEARFRAC(MAX($P$34*($B458+$I$38-1),IF(AND($L$37=0,$P$34=0),"",$L$37-1)),MIN(BQ$38,$E458),$P$20))-SUM($BF458:BP458))</f>
        <v>0</v>
      </c>
      <c r="BR458" s="446">
        <f>IF($E458=0,0,IF(MIN(BR$38,$E458)&lt;MAX($P$34*($B458+$I$38-1),IF(AND($L$37=0,$P$34=0),"",$L$37-1)),0,YEARFRAC(MAX($P$34*($B458+$I$38-1),IF(AND($L$37=0,$P$34=0),"",$L$37-1)),MIN(BR$38,$E458),$P$20))-SUM($BF458:BQ458))</f>
        <v>0</v>
      </c>
      <c r="BS458" s="446">
        <f>IF($E458=0,0,IF(MIN(BS$38,$E458)&lt;MAX($P$34*($B458+$I$38-1),IF(AND($L$37=0,$P$34=0),"",$L$37-1)),0,YEARFRAC(MAX($P$34*($B458+$I$38-1),IF(AND($L$37=0,$P$34=0),"",$L$37-1)),MIN(BS$38,$E458),$P$20))-SUM($BF458:BR458))</f>
        <v>0</v>
      </c>
      <c r="BT458" s="446">
        <f>IF($E458=0,0,IF(MIN(BT$38,$E458)&lt;MAX($P$34*($B458+$I$38-1),IF(AND($L$37=0,$P$34=0),"",$L$37-1)),0,YEARFRAC(MAX($P$34*($B458+$I$38-1),IF(AND($L$37=0,$P$34=0),"",$L$37-1)),MIN(BT$38,$E458),$P$20))-SUM($BF458:BS458))</f>
        <v>0</v>
      </c>
      <c r="BU458" s="446">
        <f>IF($E458=0,0,IF(MIN(BU$38,$E458)&lt;MAX($P$34*($B458+$I$38-1),IF(AND($L$37=0,$P$34=0),"",$L$37-1)),0,YEARFRAC(MAX($P$34*($B458+$I$38-1),IF(AND($L$37=0,$P$34=0),"",$L$37-1)),MIN(BU$38,$E458),$P$20))-SUM($BF458:BT458))</f>
        <v>0</v>
      </c>
      <c r="BV458" s="446">
        <f>IF($E458=0,0,IF(MIN(BV$38,$E458)&lt;MAX($P$34*($B458+$I$38-1),IF(AND($L$37=0,$P$34=0),"",$L$37-1)),0,YEARFRAC(MAX($P$34*($B458+$I$38-1),IF(AND($L$37=0,$P$34=0),"",$L$37-1)),MIN(BV$38,$E458),$P$20))-SUM($BF458:BU458))</f>
        <v>0</v>
      </c>
      <c r="BW458" s="446">
        <f>IF($E458=0,0,IF(MIN(BW$38,$E458)&lt;MAX($P$34*($B458+$I$38-1),IF(AND($L$37=0,$P$34=0),"",$L$37-1)),0,YEARFRAC(MAX($P$34*($B458+$I$38-1),IF(AND($L$37=0,$P$34=0),"",$L$37-1)),MIN(BW$38,$E458),$P$20))-SUM($BF458:BV458))</f>
        <v>0</v>
      </c>
      <c r="BX458" s="446">
        <f>IF($E458=0,0,IF(MIN(BX$38,$E458)&lt;MAX($P$34*($B458+$I$38-1),IF(AND($L$37=0,$P$34=0),"",$L$37-1)),0,YEARFRAC(MAX($P$34*($B458+$I$38-1),IF(AND($L$37=0,$P$34=0),"",$L$37-1)),MIN(BX$38,$E458),$P$20))-SUM($BF458:BW458))</f>
        <v>0</v>
      </c>
      <c r="BY458" s="446">
        <f>IF($E458=0,0,IF(MIN(BY$38,$E458)&lt;MAX($P$34*($B458+$I$38-1),IF(AND($L$37=0,$P$34=0),"",$L$37-1)),0,YEARFRAC(MAX($P$34*($B458+$I$38-1),IF(AND($L$37=0,$P$34=0),"",$L$37-1)),MIN(BY$38,$E458),$P$20))-SUM($BF458:BX458))</f>
        <v>0</v>
      </c>
      <c r="BZ458" s="446">
        <f>IF($E458=0,0,IF(MIN(BZ$38,$E458)&lt;MAX($P$34*($B458+$I$38-1),IF(AND($L$37=0,$P$34=0),"",$L$37-1)),0,YEARFRAC(MAX($P$34*($B458+$I$38-1),IF(AND($L$37=0,$P$34=0),"",$L$37-1)),MIN(BZ$38,$E458),$P$20))-SUM($BF458:BY458))</f>
        <v>0</v>
      </c>
      <c r="CA458" s="446">
        <f>IF($E458=0,0,IF(MIN(CA$38,$E458)&lt;MAX($P$34*($B458+$I$38-1),IF(AND($L$37=0,$P$34=0),"",$L$37-1)),0,YEARFRAC(MAX($P$34*($B458+$I$38-1),IF(AND($L$37=0,$P$34=0),"",$L$37-1)),MIN(CA$38,$E458),$P$20))-SUM($BF458:BZ458))</f>
        <v>0</v>
      </c>
      <c r="CB458" s="446">
        <f>IF($E458=0,0,IF(MIN(CB$38,$E458)&lt;MAX($P$34*($B458+$I$38-1),IF(AND($L$37=0,$P$34=0),"",$L$37-1)),0,YEARFRAC(MAX($P$34*($B458+$I$38-1),IF(AND($L$37=0,$P$34=0),"",$L$37-1)),MIN(CB$38,$E458),$P$20))-SUM($BF458:CA458))</f>
        <v>0</v>
      </c>
      <c r="CC458" s="446">
        <f>IF($E458=0,0,IF(MIN(CC$38,$E458)&lt;MAX($P$34*($B458+$I$38-1),IF(AND($L$37=0,$P$34=0),"",$L$37-1)),0,YEARFRAC(MAX($P$34*($B458+$I$38-1),IF(AND($L$37=0,$P$34=0),"",$L$37-1)),MIN(CC$38,$E458),$P$20))-SUM($BF458:CB458))</f>
        <v>0</v>
      </c>
      <c r="CD458" s="446">
        <f>IF($E458=0,0,IF(MIN(CD$38,$E458)&lt;MAX($P$34*($B458+$I$38-1),IF(AND($L$37=0,$P$34=0),"",$L$37-1)),0,YEARFRAC(MAX($P$34*($B458+$I$38-1),IF(AND($L$37=0,$P$34=0),"",$L$37-1)),MIN(CD$38,$E458),$P$20))-SUM($BF458:CC458))</f>
        <v>0</v>
      </c>
      <c r="CE458" s="446">
        <f>IF($E458=0,0,IF(MIN(CE$38,$E458)&lt;MAX($P$34*($B458+$I$38-1),IF(AND($L$37=0,$P$34=0),"",$L$37-1)),0,YEARFRAC(MAX($P$34*($B458+$I$38-1),IF(AND($L$37=0,$P$34=0),"",$L$37-1)),MIN(CE$38,$E458),$P$20))-SUM($BF458:CD458))</f>
        <v>0</v>
      </c>
      <c r="CF458" s="446">
        <f>IF($E458=0,0,IF(MIN(CF$38,$E458)&lt;MAX($P$34*($B458+$I$38-1),IF(AND($L$37=0,$P$34=0),"",$L$37-1)),0,YEARFRAC(MAX($P$34*($B458+$I$38-1),IF(AND($L$37=0,$P$34=0),"",$L$37-1)),MIN(CF$38,$E458),$P$20))-SUM($BF458:CE458))</f>
        <v>0</v>
      </c>
      <c r="CG458" s="446">
        <f>IF($E458=0,0,IF(MIN(CG$38,$E458)&lt;MAX($P$34*($B458+$I$38-1),IF(AND($L$37=0,$P$34=0),"",$L$37-1)),0,YEARFRAC(MAX($P$34*($B458+$I$38-1),IF(AND($L$37=0,$P$34=0),"",$L$37-1)),MIN(CG$38,$E458),$P$20))-SUM($BF458:CF458))</f>
        <v>0</v>
      </c>
      <c r="CH458" s="446">
        <f>IF($E458=0,0,IF(MIN(CH$38,$E458)&lt;MAX($P$34*($B458+$I$38-1),IF(AND($L$37=0,$P$34=0),"",$L$37-1)),0,YEARFRAC(MAX($P$34*($B458+$I$38-1),IF(AND($L$37=0,$P$34=0),"",$L$37-1)),MIN(CH$38,$E458),$P$20))-SUM($BF458:CG458))</f>
        <v>0</v>
      </c>
      <c r="CI458" s="446">
        <f>IF($E458=0,0,IF(MIN(CI$38,$E458)&lt;MAX($P$34*($B458+$I$38-1),IF(AND($L$37=0,$P$34=0),"",$L$37-1)),0,YEARFRAC(MAX($P$34*($B458+$I$38-1),IF(AND($L$37=0,$P$34=0),"",$L$37-1)),MIN(CI$38,$E458),$P$20))-SUM($BF458:CH458))</f>
        <v>0</v>
      </c>
      <c r="CJ458" s="446">
        <f>IF($E458=0,0,IF(MIN(CJ$38,$E458)&lt;MAX($P$34*($B458+$I$38-1),IF(AND($L$37=0,$P$34=0),"",$L$37-1)),0,YEARFRAC(MAX($P$34*($B458+$I$38-1),IF(AND($L$37=0,$P$34=0),"",$L$37-1)),MIN(CJ$38,$E458),$P$20))-SUM($BF458:CI458))</f>
        <v>0</v>
      </c>
      <c r="CK458" s="446">
        <f>IF($E458=0,0,IF(MIN(CK$38,$E458)&lt;MAX($P$34*($B458+$I$38-1),IF(AND($L$37=0,$P$34=0),"",$L$37-1)),0,YEARFRAC(MAX($P$34*($B458+$I$38-1),IF(AND($L$37=0,$P$34=0),"",$L$37-1)),MIN(CK$38,$E458),$P$20))-SUM($BF458:CJ458))</f>
        <v>0</v>
      </c>
      <c r="CL458" s="446">
        <f>IF($E458=0,0,IF(MIN(CL$38,$E458)&lt;MAX($P$34*($B458+$I$38-1),IF(AND($L$37=0,$P$34=0),"",$L$37-1)),0,YEARFRAC(MAX($P$34*($B458+$I$38-1),IF(AND($L$37=0,$P$34=0),"",$L$37-1)),MIN(CL$38,$E458),$P$20))-SUM($BF458:CK458))</f>
        <v>0</v>
      </c>
      <c r="CM458" s="446">
        <f>IF($E458=0,0,IF(MIN(CM$38,$E458)&lt;MAX($P$34*($B458+$I$38-1),IF(AND($L$37=0,$P$34=0),"",$L$37-1)),0,YEARFRAC(MAX($P$34*($B458+$I$38-1),IF(AND($L$37=0,$P$34=0),"",$L$37-1)),MIN(CM$38,$E458),$P$20))-SUM($BF458:CL458))</f>
        <v>0</v>
      </c>
      <c r="CN458" s="446">
        <f>IF($E458=0,0,IF(MIN(CN$38,$E458)&lt;MAX($P$34*($B458+$I$38-1),IF(AND($L$37=0,$P$34=0),"",$L$37-1)),0,YEARFRAC(MAX($P$34*($B458+$I$38-1),IF(AND($L$37=0,$P$34=0),"",$L$37-1)),MIN(CN$38,$E458),$P$20))-SUM($BF458:CM458))</f>
        <v>0</v>
      </c>
      <c r="CO458" s="446">
        <f>IF($E458=0,0,IF(MIN(CO$38,$E458)&lt;MAX($P$34*($B458+$I$38-1),IF(AND($L$37=0,$P$34=0),"",$L$37-1)),0,YEARFRAC(MAX($P$34*($B458+$I$38-1),IF(AND($L$37=0,$P$34=0),"",$L$37-1)),MIN(CO$38,$E458),$P$20))-SUM($BF458:CN458))</f>
        <v>0</v>
      </c>
      <c r="CP458" s="446">
        <f>IF($E458=0,0,IF(MIN(CP$38,$E458)&lt;MAX($P$34*($B458+$I$38-1),IF(AND($L$37=0,$P$34=0),"",$L$37-1)),0,YEARFRAC(MAX($P$34*($B458+$I$38-1),IF(AND($L$37=0,$P$34=0),"",$L$37-1)),MIN(CP$38,$E458),$P$20))-SUM($BF458:CO458))</f>
        <v>0</v>
      </c>
      <c r="CQ458" s="446">
        <f>IF($E458=0,0,IF(MIN(CQ$38,$E458)&lt;MAX($P$34*($B458+$I$38-1),IF(AND($L$37=0,$P$34=0),"",$L$37-1)),0,YEARFRAC(MAX($P$34*($B458+$I$38-1),IF(AND($L$37=0,$P$34=0),"",$L$37-1)),MIN(CQ$38,$E458),$P$20))-SUM($BF458:CP458))</f>
        <v>0</v>
      </c>
    </row>
    <row r="459" spans="1:95" s="446" customFormat="1" ht="11.25" hidden="1" customHeight="1" x14ac:dyDescent="0.2">
      <c r="A459" s="152"/>
      <c r="B459" s="153" t="str">
        <f t="shared" si="81"/>
        <v/>
      </c>
      <c r="C459" s="29" t="str">
        <f>IF(B459="","",IF($L$35="SELIC - TRIBUTOS",VLOOKUP(DATE(YEAR($D$19),MONTH($D$19)-1,1),ÍNDICES!$A:$DE,HLOOKUP($BL$25,ÍNDICES!$B$3:$T$4,2)+11)-VLOOKUP(B459,ÍNDICES!$A:$DE,HLOOKUP($BL$25,ÍNDICES!$B$3:$T$4,2)+11)+1%,IF(C$38=$W$26,$J$35,IF(ISERROR(IF(B459&gt;$D$19,1,VLOOKUP(DATE(YEAR(B459),MONTH(B459)+IF($C$35=$S$23,1,0),1),ÍNDICES!$A:$DE,$Z$35+1))),"",IF(B459&gt;$D$19,1,VLOOKUP(DATE(YEAR(B459),MONTH(B459)+IF($C$35=$S$23,1,0),1),ÍNDICES!$A:$DE,$Z$35+1))))))</f>
        <v/>
      </c>
      <c r="D459" s="154" t="str">
        <f>IF(ISERROR(IF(OR($D$38=$Y$27,$B459=""),"",VLOOKUP(B459,ÍNDICES!A:DE,AF$35+1))),"",IF(OR($D$38=$Y$27,$B459=""),"",VLOOKUP(B459,ÍNDICES!A:DE,AF$35+1)))</f>
        <v/>
      </c>
      <c r="E459" s="153"/>
      <c r="F459" s="29" t="str">
        <f>IF(E459="","",IF($L$35="SELIC - TRIBUTOS",VLOOKUP(DATE(YEAR($D$19),MONTH($D$19)-1,1),ÍNDICES!$A:$DE,HLOOKUP($BL$25,ÍNDICES!$B$3:$T$4,2)+11)-VLOOKUP(E459,ÍNDICES!$A:$DE,HLOOKUP($BL$25,ÍNDICES!$B$3:$T$4,2)+11)+1%,IF(F$38=$W$26,$J$35,IF(ISERROR(IF(E459&gt;$D$19,1,VLOOKUP(DATE(YEAR(E459),MONTH(E459)+IF($C$35=$S$23,1,0),1),ÍNDICES!$A:$DE,$Z$35+1))),"",IF(E459&gt;$D$19,1,VLOOKUP(DATE(YEAR(E459),MONTH(E459)+IF($C$35=$S$23,1,0),1),ÍNDICES!$A:$DE,$Z$35+1))))))</f>
        <v/>
      </c>
      <c r="G459" s="155"/>
      <c r="H459" s="156" t="str">
        <f t="shared" si="77"/>
        <v/>
      </c>
      <c r="I459" s="29" t="str">
        <f t="shared" si="71"/>
        <v/>
      </c>
      <c r="J459" s="5">
        <f t="shared" si="72"/>
        <v>0</v>
      </c>
      <c r="K459" s="20">
        <f t="shared" ca="1" si="73"/>
        <v>0</v>
      </c>
      <c r="L459" s="5">
        <f t="shared" ca="1" si="74"/>
        <v>0</v>
      </c>
      <c r="M459" s="64">
        <f t="shared" si="78"/>
        <v>0</v>
      </c>
      <c r="N459" s="61">
        <f t="shared" ca="1" si="79"/>
        <v>0</v>
      </c>
      <c r="O459" s="5">
        <f t="shared" ca="1" si="80"/>
        <v>0</v>
      </c>
      <c r="P459" s="446" t="e">
        <f t="shared" si="75"/>
        <v>#VALUE!</v>
      </c>
      <c r="Q459" s="446" t="e">
        <f>IF(OR($B459="",MIN(Q$38,$D$19)&lt;MAX($P$34*($B459+IF($R$17="Distrato",$I$38-1,0)),IF(AND($L$37=0,$P$34=0),"",$L$37-1),IF($R$17="Distrato",$E459,0))),0,YEARFRAC(MAX($P$34*($B459+IF($R$17="Distrato",$I$38-1,0)),IF(AND($L$37=0,$P$34=0),"",$L$37-1),IF($R$17="Distrato",$E459,0)),MIN(Q$38,$D$19),$P$20))-SUM($P459:P459)</f>
        <v>#VALUE!</v>
      </c>
      <c r="R459" s="446" t="e">
        <f>IF(OR($B459="",MIN(R$38,$D$19)&lt;MAX($P$34*($B459+IF($R$17="Distrato",$I$38-1,0)),IF(AND($L$37=0,$P$34=0),"",$L$37-1),IF($R$17="Distrato",$E459,0))),0,YEARFRAC(MAX($P$34*($B459+IF($R$17="Distrato",$I$38-1,0)),IF(AND($L$37=0,$P$34=0),"",$L$37-1),IF($R$17="Distrato",$E459,0)),MIN(R$38,$D$19),$P$20))-SUM($P459:Q459)</f>
        <v>#VALUE!</v>
      </c>
      <c r="S459" s="446" t="e">
        <f>IF(OR($B459="",MIN(S$38,$D$19)&lt;MAX($P$34*($B459+IF($R$17="Distrato",$I$38-1,0)),IF(AND($L$37=0,$P$34=0),"",$L$37-1),IF($R$17="Distrato",$E459,0))),0,YEARFRAC(MAX($P$34*($B459+IF($R$17="Distrato",$I$38-1,0)),IF(AND($L$37=0,$P$34=0),"",$L$37-1),IF($R$17="Distrato",$E459,0)),MIN(S$38,$D$19),$P$20))-SUM($P459:R459)</f>
        <v>#VALUE!</v>
      </c>
      <c r="T459" s="446" t="e">
        <f>IF(OR($B459="",MIN(T$38,$D$19)&lt;MAX($P$34*($B459+IF($R$17="Distrato",$I$38-1,0)),IF(AND($L$37=0,$P$34=0),"",$L$37-1),IF($R$17="Distrato",$E459,0))),0,YEARFRAC(MAX($P$34*($B459+IF($R$17="Distrato",$I$38-1,0)),IF(AND($L$37=0,$P$34=0),"",$L$37-1),IF($R$17="Distrato",$E459,0)),MIN(T$38,$D$19),$P$20))-SUM($P459:S459)</f>
        <v>#VALUE!</v>
      </c>
      <c r="U459" s="446" t="e">
        <f>IF(OR($B459="",MIN(U$38,$D$19)&lt;MAX($P$34*($B459+IF($R$17="Distrato",$I$38-1,0)),IF(AND($L$37=0,$P$34=0),"",$L$37-1),IF($R$17="Distrato",$E459,0))),0,YEARFRAC(MAX($P$34*($B459+IF($R$17="Distrato",$I$38-1,0)),IF(AND($L$37=0,$P$34=0),"",$L$37-1),IF($R$17="Distrato",$E459,0)),MIN(U$38,$D$19),$P$20))-SUM($P459:T459)</f>
        <v>#VALUE!</v>
      </c>
      <c r="V459" s="446" t="e">
        <f>IF(OR($B459="",MIN(V$38,$D$19)&lt;MAX($P$34*($B459+IF($R$17="Distrato",$I$38-1,0)),IF(AND($L$37=0,$P$34=0),"",$L$37-1),IF($R$17="Distrato",$E459,0))),0,YEARFRAC(MAX($P$34*($B459+IF($R$17="Distrato",$I$38-1,0)),IF(AND($L$37=0,$P$34=0),"",$L$37-1),IF($R$17="Distrato",$E459,0)),MIN(V$38,$D$19),$P$20))-SUM($P459:U459)</f>
        <v>#VALUE!</v>
      </c>
      <c r="W459" s="446" t="e">
        <f>IF(OR($B459="",MIN(W$38,$D$19)&lt;MAX($P$34*($B459+IF($R$17="Distrato",$I$38-1,0)),IF(AND($L$37=0,$P$34=0),"",$L$37-1),IF($R$17="Distrato",$E459,0))),0,YEARFRAC(MAX($P$34*($B459+IF($R$17="Distrato",$I$38-1,0)),IF(AND($L$37=0,$P$34=0),"",$L$37-1),IF($R$17="Distrato",$E459,0)),MIN(W$38,$D$19),$P$20))-SUM($P459:V459)</f>
        <v>#VALUE!</v>
      </c>
      <c r="X459" s="446" t="e">
        <f>IF(OR($B459="",MIN(X$38,$D$19)&lt;MAX($P$34*($B459+IF($R$17="Distrato",$I$38-1,0)),IF(AND($L$37=0,$P$34=0),"",$L$37-1),IF($R$17="Distrato",$E459,0))),0,YEARFRAC(MAX($P$34*($B459+IF($R$17="Distrato",$I$38-1,0)),IF(AND($L$37=0,$P$34=0),"",$L$37-1),IF($R$17="Distrato",$E459,0)),MIN(X$38,$D$19),$P$20))-SUM($P459:W459)</f>
        <v>#VALUE!</v>
      </c>
      <c r="Y459" s="446" t="e">
        <f>IF(OR($B459="",MIN(Y$38,$D$19)&lt;MAX($P$34*($B459+IF($R$17="Distrato",$I$38-1,0)),IF(AND($L$37=0,$P$34=0),"",$L$37-1),IF($R$17="Distrato",$E459,0))),0,YEARFRAC(MAX($P$34*($B459+IF($R$17="Distrato",$I$38-1,0)),IF(AND($L$37=0,$P$34=0),"",$L$37-1),IF($R$17="Distrato",$E459,0)),MIN(Y$38,$D$19),$P$20))-SUM($P459:X459)</f>
        <v>#VALUE!</v>
      </c>
      <c r="Z459" s="446" t="e">
        <f>IF(OR($B459="",MIN(Z$38,$D$19)&lt;MAX($P$34*($B459+IF($R$17="Distrato",$I$38-1,0)),IF(AND($L$37=0,$P$34=0),"",$L$37-1),IF($R$17="Distrato",$E459,0))),0,YEARFRAC(MAX($P$34*($B459+IF($R$17="Distrato",$I$38-1,0)),IF(AND($L$37=0,$P$34=0),"",$L$37-1),IF($R$17="Distrato",$E459,0)),MIN(Z$38,$D$19),$P$20))-SUM($P459:Y459)</f>
        <v>#VALUE!</v>
      </c>
      <c r="AA459" s="446" t="e">
        <f>IF(OR($B459="",MIN(AA$38,$D$19)&lt;MAX($P$34*($B459+IF($R$17="Distrato",$I$38-1,0)),IF(AND($L$37=0,$P$34=0),"",$L$37-1),IF($R$17="Distrato",$E459,0))),0,YEARFRAC(MAX($P$34*($B459+IF($R$17="Distrato",$I$38-1,0)),IF(AND($L$37=0,$P$34=0),"",$L$37-1),IF($R$17="Distrato",$E459,0)),MIN(AA$38,$D$19),$P$20))-SUM($P459:Z459)</f>
        <v>#VALUE!</v>
      </c>
      <c r="AB459" s="446" t="e">
        <f>IF(OR($B459="",MIN(AB$38,$D$19)&lt;MAX($P$34*($B459+IF($R$17="Distrato",$I$38-1,0)),IF(AND($L$37=0,$P$34=0),"",$L$37-1),IF($R$17="Distrato",$E459,0))),0,YEARFRAC(MAX($P$34*($B459+IF($R$17="Distrato",$I$38-1,0)),IF(AND($L$37=0,$P$34=0),"",$L$37-1),IF($R$17="Distrato",$E459,0)),MIN(AB$38,$D$19),$P$20))-SUM($P459:AA459)</f>
        <v>#VALUE!</v>
      </c>
      <c r="AC459" s="446" t="e">
        <f>IF(OR($B459="",MIN(AC$38,$D$19)&lt;MAX($P$34*($B459+IF($R$17="Distrato",$I$38-1,0)),IF(AND($L$37=0,$P$34=0),"",$L$37-1),IF($R$17="Distrato",$E459,0))),0,YEARFRAC(MAX($P$34*($B459+IF($R$17="Distrato",$I$38-1,0)),IF(AND($L$37=0,$P$34=0),"",$L$37-1),IF($R$17="Distrato",$E459,0)),MIN(AC$38,$D$19),$P$20))-SUM($P459:AB459)</f>
        <v>#VALUE!</v>
      </c>
      <c r="AD459" s="446" t="e">
        <f>IF(OR($B459="",MIN(AD$38,$D$19)&lt;MAX($P$34*($B459+IF($R$17="Distrato",$I$38-1,0)),IF(AND($L$37=0,$P$34=0),"",$L$37-1),IF($R$17="Distrato",$E459,0))),0,YEARFRAC(MAX($P$34*($B459+IF($R$17="Distrato",$I$38-1,0)),IF(AND($L$37=0,$P$34=0),"",$L$37-1),IF($R$17="Distrato",$E459,0)),MIN(AD$38,$D$19),$P$20))-SUM($P459:AC459)</f>
        <v>#VALUE!</v>
      </c>
      <c r="AE459" s="446" t="e">
        <f>IF(OR($B459="",MIN(AE$38,$D$19)&lt;MAX($P$34*($B459+IF($R$17="Distrato",$I$38-1,0)),IF(AND($L$37=0,$P$34=0),"",$L$37-1),IF($R$17="Distrato",$E459,0))),0,YEARFRAC(MAX($P$34*($B459+IF($R$17="Distrato",$I$38-1,0)),IF(AND($L$37=0,$P$34=0),"",$L$37-1),IF($R$17="Distrato",$E459,0)),MIN(AE$38,$D$19),$P$20))-SUM($P459:AD459)</f>
        <v>#VALUE!</v>
      </c>
      <c r="AF459" s="446" t="e">
        <f>IF(OR($B459="",MIN(AF$38,$D$19)&lt;MAX($P$34*($B459+IF($R$17="Distrato",$I$38-1,0)),IF(AND($L$37=0,$P$34=0),"",$L$37-1),IF($R$17="Distrato",$E459,0))),0,YEARFRAC(MAX($P$34*($B459+IF($R$17="Distrato",$I$38-1,0)),IF(AND($L$37=0,$P$34=0),"",$L$37-1),IF($R$17="Distrato",$E459,0)),MIN(AF$38,$D$19),$P$20))-SUM($P459:AE459)</f>
        <v>#VALUE!</v>
      </c>
      <c r="AG459" s="446" t="e">
        <f>IF(OR($B459="",MIN(AG$38,$D$19)&lt;MAX($P$34*($B459+IF($R$17="Distrato",$I$38-1,0)),IF(AND($L$37=0,$P$34=0),"",$L$37-1),IF($R$17="Distrato",$E459,0))),0,YEARFRAC(MAX($P$34*($B459+IF($R$17="Distrato",$I$38-1,0)),IF(AND($L$37=0,$P$34=0),"",$L$37-1),IF($R$17="Distrato",$E459,0)),MIN(AG$38,$D$19),$P$20))-SUM($P459:AF459)</f>
        <v>#VALUE!</v>
      </c>
      <c r="AH459" s="446" t="e">
        <f>IF(OR($B459="",MIN(AH$38,$D$19)&lt;MAX($P$34*($B459+IF($R$17="Distrato",$I$38-1,0)),IF(AND($L$37=0,$P$34=0),"",$L$37-1),IF($R$17="Distrato",$E459,0))),0,YEARFRAC(MAX($P$34*($B459+IF($R$17="Distrato",$I$38-1,0)),IF(AND($L$37=0,$P$34=0),"",$L$37-1),IF($R$17="Distrato",$E459,0)),MIN(AH$38,$D$19),$P$20))-SUM($P459:AG459)</f>
        <v>#VALUE!</v>
      </c>
      <c r="AI459" s="446" t="e">
        <f>IF(OR($B459="",MIN(AI$38,$D$19)&lt;MAX($P$34*($B459+IF($R$17="Distrato",$I$38-1,0)),IF(AND($L$37=0,$P$34=0),"",$L$37-1),IF($R$17="Distrato",$E459,0))),0,YEARFRAC(MAX($P$34*($B459+IF($R$17="Distrato",$I$38-1,0)),IF(AND($L$37=0,$P$34=0),"",$L$37-1),IF($R$17="Distrato",$E459,0)),MIN(AI$38,$D$19),$P$20))-SUM($P459:AH459)</f>
        <v>#VALUE!</v>
      </c>
      <c r="AJ459" s="446" t="e">
        <f>IF(OR($B459="",MIN(AJ$38,$D$19)&lt;MAX($P$34*($B459+IF($R$17="Distrato",$I$38-1,0)),IF(AND($L$37=0,$P$34=0),"",$L$37-1),IF($R$17="Distrato",$E459,0))),0,YEARFRAC(MAX($P$34*($B459+IF($R$17="Distrato",$I$38-1,0)),IF(AND($L$37=0,$P$34=0),"",$L$37-1),IF($R$17="Distrato",$E459,0)),MIN(AJ$38,$D$19),$P$20))-SUM($P459:AI459)</f>
        <v>#VALUE!</v>
      </c>
      <c r="AK459" s="446" t="e">
        <f>IF(OR($B459="",MIN(AK$38,$D$19)&lt;MAX($P$34*($B459+IF($R$17="Distrato",$I$38-1,0)),IF(AND($L$37=0,$P$34=0),"",$L$37-1),IF($R$17="Distrato",$E459,0))),0,YEARFRAC(MAX($P$34*($B459+IF($R$17="Distrato",$I$38-1,0)),IF(AND($L$37=0,$P$34=0),"",$L$37-1),IF($R$17="Distrato",$E459,0)),MIN(AK$38,$D$19),$P$20))-SUM($P459:AJ459)</f>
        <v>#VALUE!</v>
      </c>
      <c r="AL459" s="446" t="e">
        <f>IF(OR($B459="",MIN(AL$38,$D$19)&lt;MAX($P$34*($B459+IF($R$17="Distrato",$I$38-1,0)),IF(AND($L$37=0,$P$34=0),"",$L$37-1),IF($R$17="Distrato",$E459,0))),0,YEARFRAC(MAX($P$34*($B459+IF($R$17="Distrato",$I$38-1,0)),IF(AND($L$37=0,$P$34=0),"",$L$37-1),IF($R$17="Distrato",$E459,0)),MIN(AL$38,$D$19),$P$20))-SUM($P459:AK459)</f>
        <v>#VALUE!</v>
      </c>
      <c r="AM459" s="446" t="e">
        <f>IF(OR($B459="",MIN(AM$38,$D$19)&lt;MAX($P$34*($B459+IF($R$17="Distrato",$I$38-1,0)),IF(AND($L$37=0,$P$34=0),"",$L$37-1),IF($R$17="Distrato",$E459,0))),0,YEARFRAC(MAX($P$34*($B459+IF($R$17="Distrato",$I$38-1,0)),IF(AND($L$37=0,$P$34=0),"",$L$37-1),IF($R$17="Distrato",$E459,0)),MIN(AM$38,$D$19),$P$20))-SUM($P459:AL459)</f>
        <v>#VALUE!</v>
      </c>
      <c r="AN459" s="446" t="e">
        <f>IF(OR($B459="",MIN(AN$38,$D$19)&lt;MAX($P$34*($B459+IF($R$17="Distrato",$I$38-1,0)),IF(AND($L$37=0,$P$34=0),"",$L$37-1),IF($R$17="Distrato",$E459,0))),0,YEARFRAC(MAX($P$34*($B459+IF($R$17="Distrato",$I$38-1,0)),IF(AND($L$37=0,$P$34=0),"",$L$37-1),IF($R$17="Distrato",$E459,0)),MIN(AN$38,$D$19),$P$20))-SUM($P459:AM459)</f>
        <v>#VALUE!</v>
      </c>
      <c r="AO459" s="446" t="e">
        <f>IF(OR($B459="",MIN(AO$38,$D$19)&lt;MAX($P$34*($B459+IF($R$17="Distrato",$I$38-1,0)),IF(AND($L$37=0,$P$34=0),"",$L$37-1),IF($R$17="Distrato",$E459,0))),0,YEARFRAC(MAX($P$34*($B459+IF($R$17="Distrato",$I$38-1,0)),IF(AND($L$37=0,$P$34=0),"",$L$37-1),IF($R$17="Distrato",$E459,0)),MIN(AO$38,$D$19),$P$20))-SUM($P459:AN459)</f>
        <v>#VALUE!</v>
      </c>
      <c r="AP459" s="446" t="e">
        <f>IF(OR($B459="",MIN(AP$38,$D$19)&lt;MAX($P$34*($B459+IF($R$17="Distrato",$I$38-1,0)),IF(AND($L$37=0,$P$34=0),"",$L$37-1),IF($R$17="Distrato",$E459,0))),0,YEARFRAC(MAX($P$34*($B459+IF($R$17="Distrato",$I$38-1,0)),IF(AND($L$37=0,$P$34=0),"",$L$37-1),IF($R$17="Distrato",$E459,0)),MIN(AP$38,$D$19),$P$20))-SUM($P459:AO459)</f>
        <v>#VALUE!</v>
      </c>
      <c r="AQ459" s="446" t="e">
        <f>IF(OR($B459="",MIN(AQ$38,$D$19)&lt;MAX($P$34*($B459+IF($R$17="Distrato",$I$38-1,0)),IF(AND($L$37=0,$P$34=0),"",$L$37-1),IF($R$17="Distrato",$E459,0))),0,YEARFRAC(MAX($P$34*($B459+IF($R$17="Distrato",$I$38-1,0)),IF(AND($L$37=0,$P$34=0),"",$L$37-1),IF($R$17="Distrato",$E459,0)),MIN(AQ$38,$D$19),$P$20))-SUM($P459:AP459)</f>
        <v>#VALUE!</v>
      </c>
      <c r="AR459" s="446" t="e">
        <f>IF(OR($B459="",MIN(AR$38,$D$19)&lt;MAX($P$34*($B459+IF($R$17="Distrato",$I$38-1,0)),IF(AND($L$37=0,$P$34=0),"",$L$37-1),IF($R$17="Distrato",$E459,0))),0,YEARFRAC(MAX($P$34*($B459+IF($R$17="Distrato",$I$38-1,0)),IF(AND($L$37=0,$P$34=0),"",$L$37-1),IF($R$17="Distrato",$E459,0)),MIN(AR$38,$D$19),$P$20))-SUM($P459:AQ459)</f>
        <v>#VALUE!</v>
      </c>
      <c r="AS459" s="446" t="e">
        <f>IF(OR($B459="",MIN(AS$38,$D$19)&lt;MAX($P$34*($B459+IF($R$17="Distrato",$I$38-1,0)),IF(AND($L$37=0,$P$34=0),"",$L$37-1),IF($R$17="Distrato",$E459,0))),0,YEARFRAC(MAX($P$34*($B459+IF($R$17="Distrato",$I$38-1,0)),IF(AND($L$37=0,$P$34=0),"",$L$37-1),IF($R$17="Distrato",$E459,0)),MIN(AS$38,$D$19),$P$20))-SUM($P459:AR459)</f>
        <v>#VALUE!</v>
      </c>
      <c r="AT459" s="446" t="e">
        <f>IF(OR($B459="",MIN(AT$38,$D$19)&lt;MAX($P$34*($B459+IF($R$17="Distrato",$I$38-1,0)),IF(AND($L$37=0,$P$34=0),"",$L$37-1),IF($R$17="Distrato",$E459,0))),0,YEARFRAC(MAX($P$34*($B459+IF($R$17="Distrato",$I$38-1,0)),IF(AND($L$37=0,$P$34=0),"",$L$37-1),IF($R$17="Distrato",$E459,0)),MIN(AT$38,$D$19),$P$20))-SUM($P459:AS459)</f>
        <v>#VALUE!</v>
      </c>
      <c r="AU459" s="446" t="e">
        <f>IF(OR($B459="",MIN(AU$38,$D$19)&lt;MAX($P$34*($B459+IF($R$17="Distrato",$I$38-1,0)),IF(AND($L$37=0,$P$34=0),"",$L$37-1),IF($R$17="Distrato",$E459,0))),0,YEARFRAC(MAX($P$34*($B459+IF($R$17="Distrato",$I$38-1,0)),IF(AND($L$37=0,$P$34=0),"",$L$37-1),IF($R$17="Distrato",$E459,0)),MIN(AU$38,$D$19),$P$20))-SUM($P459:AT459)</f>
        <v>#VALUE!</v>
      </c>
      <c r="AV459" s="446" t="e">
        <f>IF(OR($B459="",MIN(AV$38,$D$19)&lt;MAX($P$34*($B459+IF($R$17="Distrato",$I$38-1,0)),IF(AND($L$37=0,$P$34=0),"",$L$37-1),IF($R$17="Distrato",$E459,0))),0,YEARFRAC(MAX($P$34*($B459+IF($R$17="Distrato",$I$38-1,0)),IF(AND($L$37=0,$P$34=0),"",$L$37-1),IF($R$17="Distrato",$E459,0)),MIN(AV$38,$D$19),$P$20))-SUM($P459:AU459)</f>
        <v>#VALUE!</v>
      </c>
      <c r="AW459" s="446" t="e">
        <f>IF(OR($B459="",MIN(AW$38,$D$19)&lt;MAX($P$34*($B459+IF($R$17="Distrato",$I$38-1,0)),IF(AND($L$37=0,$P$34=0),"",$L$37-1),IF($R$17="Distrato",$E459,0))),0,YEARFRAC(MAX($P$34*($B459+IF($R$17="Distrato",$I$38-1,0)),IF(AND($L$37=0,$P$34=0),"",$L$37-1),IF($R$17="Distrato",$E459,0)),MIN(AW$38,$D$19),$P$20))-SUM($P459:AV459)</f>
        <v>#VALUE!</v>
      </c>
      <c r="AX459" s="446" t="e">
        <f>IF(OR($B459="",MIN(AX$38,$D$19)&lt;MAX($P$34*($B459+IF($R$17="Distrato",$I$38-1,0)),IF(AND($L$37=0,$P$34=0),"",$L$37-1),IF($R$17="Distrato",$E459,0))),0,YEARFRAC(MAX($P$34*($B459+IF($R$17="Distrato",$I$38-1,0)),IF(AND($L$37=0,$P$34=0),"",$L$37-1),IF($R$17="Distrato",$E459,0)),MIN(AX$38,$D$19),$P$20))-SUM($P459:AW459)</f>
        <v>#VALUE!</v>
      </c>
      <c r="AY459" s="446" t="e">
        <f>IF(OR($B459="",MIN(AY$38,$D$19)&lt;MAX($P$34*($B459+IF($R$17="Distrato",$I$38-1,0)),IF(AND($L$37=0,$P$34=0),"",$L$37-1),IF($R$17="Distrato",$E459,0))),0,YEARFRAC(MAX($P$34*($B459+IF($R$17="Distrato",$I$38-1,0)),IF(AND($L$37=0,$P$34=0),"",$L$37-1),IF($R$17="Distrato",$E459,0)),MIN(AY$38,$D$19),$P$20))-SUM($P459:AX459)</f>
        <v>#VALUE!</v>
      </c>
      <c r="AZ459" s="446" t="e">
        <f>IF(OR($B459="",MIN(AZ$38,$D$19)&lt;MAX($P$34*($B459+IF($R$17="Distrato",$I$38-1,0)),IF(AND($L$37=0,$P$34=0),"",$L$37-1),IF($R$17="Distrato",$E459,0))),0,YEARFRAC(MAX($P$34*($B459+IF($R$17="Distrato",$I$38-1,0)),IF(AND($L$37=0,$P$34=0),"",$L$37-1),IF($R$17="Distrato",$E459,0)),MIN(AZ$38,$D$19),$P$20))-SUM($P459:AY459)</f>
        <v>#VALUE!</v>
      </c>
      <c r="BA459" s="446" t="e">
        <f>IF(OR($B459="",MIN(BA$38,$D$19)&lt;MAX($P$34*($B459+IF($R$17="Distrato",$I$38-1,0)),IF(AND($L$37=0,$P$34=0),"",$L$37-1),IF($R$17="Distrato",$E459,0))),0,YEARFRAC(MAX($P$34*($B459+IF($R$17="Distrato",$I$38-1,0)),IF(AND($L$37=0,$P$34=0),"",$L$37-1),IF($R$17="Distrato",$E459,0)),MIN(BA$38,$D$19),$P$20))-SUM($P459:AZ459)</f>
        <v>#VALUE!</v>
      </c>
      <c r="BB459" s="447"/>
      <c r="BF459" s="446">
        <f t="shared" si="76"/>
        <v>0</v>
      </c>
      <c r="BG459" s="446">
        <f>IF($E459=0,0,IF(MIN(BG$38,$E459)&lt;MAX($P$34*($B459+$I$38-1),IF(AND($L$37=0,$P$34=0),"",$L$37-1)),0,YEARFRAC(MAX($P$34*($B459+$I$38-1),IF(AND($L$37=0,$P$34=0),"",$L$37-1)),MIN(BG$38,$E459),$P$20))-SUM($BF459:BF459))</f>
        <v>0</v>
      </c>
      <c r="BH459" s="446">
        <f>IF($E459=0,0,IF(MIN(BH$38,$E459)&lt;MAX($P$34*($B459+$I$38-1),IF(AND($L$37=0,$P$34=0),"",$L$37-1)),0,YEARFRAC(MAX($P$34*($B459+$I$38-1),IF(AND($L$37=0,$P$34=0),"",$L$37-1)),MIN(BH$38,$E459),$P$20))-SUM($BF459:BG459))</f>
        <v>0</v>
      </c>
      <c r="BI459" s="446">
        <f>IF($E459=0,0,IF(MIN(BI$38,$E459)&lt;MAX($P$34*($B459+$I$38-1),IF(AND($L$37=0,$P$34=0),"",$L$37-1)),0,YEARFRAC(MAX($P$34*($B459+$I$38-1),IF(AND($L$37=0,$P$34=0),"",$L$37-1)),MIN(BI$38,$E459),$P$20))-SUM($BF459:BH459))</f>
        <v>0</v>
      </c>
      <c r="BJ459" s="446">
        <f>IF($E459=0,0,IF(MIN(BJ$38,$E459)&lt;MAX($P$34*($B459+$I$38-1),IF(AND($L$37=0,$P$34=0),"",$L$37-1)),0,YEARFRAC(MAX($P$34*($B459+$I$38-1),IF(AND($L$37=0,$P$34=0),"",$L$37-1)),MIN(BJ$38,$E459),$P$20))-SUM($BF459:BI459))</f>
        <v>0</v>
      </c>
      <c r="BK459" s="446">
        <f>IF($E459=0,0,IF(MIN(BK$38,$E459)&lt;MAX($P$34*($B459+$I$38-1),IF(AND($L$37=0,$P$34=0),"",$L$37-1)),0,YEARFRAC(MAX($P$34*($B459+$I$38-1),IF(AND($L$37=0,$P$34=0),"",$L$37-1)),MIN(BK$38,$E459),$P$20))-SUM($BF459:BJ459))</f>
        <v>0</v>
      </c>
      <c r="BL459" s="446">
        <f>IF($E459=0,0,IF(MIN(BL$38,$E459)&lt;MAX($P$34*($B459+$I$38-1),IF(AND($L$37=0,$P$34=0),"",$L$37-1)),0,YEARFRAC(MAX($P$34*($B459+$I$38-1),IF(AND($L$37=0,$P$34=0),"",$L$37-1)),MIN(BL$38,$E459),$P$20))-SUM($BF459:BK459))</f>
        <v>0</v>
      </c>
      <c r="BM459" s="446">
        <f>IF($E459=0,0,IF(MIN(BM$38,$E459)&lt;MAX($P$34*($B459+$I$38-1),IF(AND($L$37=0,$P$34=0),"",$L$37-1)),0,YEARFRAC(MAX($P$34*($B459+$I$38-1),IF(AND($L$37=0,$P$34=0),"",$L$37-1)),MIN(BM$38,$E459),$P$20))-SUM($BF459:BL459))</f>
        <v>0</v>
      </c>
      <c r="BN459" s="446">
        <f>IF($E459=0,0,IF(MIN(BN$38,$E459)&lt;MAX($P$34*($B459+$I$38-1),IF(AND($L$37=0,$P$34=0),"",$L$37-1)),0,YEARFRAC(MAX($P$34*($B459+$I$38-1),IF(AND($L$37=0,$P$34=0),"",$L$37-1)),MIN(BN$38,$E459),$P$20))-SUM($BF459:BM459))</f>
        <v>0</v>
      </c>
      <c r="BO459" s="446">
        <f>IF($E459=0,0,IF(MIN(BO$38,$E459)&lt;MAX($P$34*($B459+$I$38-1),IF(AND($L$37=0,$P$34=0),"",$L$37-1)),0,YEARFRAC(MAX($P$34*($B459+$I$38-1),IF(AND($L$37=0,$P$34=0),"",$L$37-1)),MIN(BO$38,$E459),$P$20))-SUM($BF459:BN459))</f>
        <v>0</v>
      </c>
      <c r="BP459" s="446">
        <f>IF($E459=0,0,IF(MIN(BP$38,$E459)&lt;MAX($P$34*($B459+$I$38-1),IF(AND($L$37=0,$P$34=0),"",$L$37-1)),0,YEARFRAC(MAX($P$34*($B459+$I$38-1),IF(AND($L$37=0,$P$34=0),"",$L$37-1)),MIN(BP$38,$E459),$P$20))-SUM($BF459:BO459))</f>
        <v>0</v>
      </c>
      <c r="BQ459" s="446">
        <f>IF($E459=0,0,IF(MIN(BQ$38,$E459)&lt;MAX($P$34*($B459+$I$38-1),IF(AND($L$37=0,$P$34=0),"",$L$37-1)),0,YEARFRAC(MAX($P$34*($B459+$I$38-1),IF(AND($L$37=0,$P$34=0),"",$L$37-1)),MIN(BQ$38,$E459),$P$20))-SUM($BF459:BP459))</f>
        <v>0</v>
      </c>
      <c r="BR459" s="446">
        <f>IF($E459=0,0,IF(MIN(BR$38,$E459)&lt;MAX($P$34*($B459+$I$38-1),IF(AND($L$37=0,$P$34=0),"",$L$37-1)),0,YEARFRAC(MAX($P$34*($B459+$I$38-1),IF(AND($L$37=0,$P$34=0),"",$L$37-1)),MIN(BR$38,$E459),$P$20))-SUM($BF459:BQ459))</f>
        <v>0</v>
      </c>
      <c r="BS459" s="446">
        <f>IF($E459=0,0,IF(MIN(BS$38,$E459)&lt;MAX($P$34*($B459+$I$38-1),IF(AND($L$37=0,$P$34=0),"",$L$37-1)),0,YEARFRAC(MAX($P$34*($B459+$I$38-1),IF(AND($L$37=0,$P$34=0),"",$L$37-1)),MIN(BS$38,$E459),$P$20))-SUM($BF459:BR459))</f>
        <v>0</v>
      </c>
      <c r="BT459" s="446">
        <f>IF($E459=0,0,IF(MIN(BT$38,$E459)&lt;MAX($P$34*($B459+$I$38-1),IF(AND($L$37=0,$P$34=0),"",$L$37-1)),0,YEARFRAC(MAX($P$34*($B459+$I$38-1),IF(AND($L$37=0,$P$34=0),"",$L$37-1)),MIN(BT$38,$E459),$P$20))-SUM($BF459:BS459))</f>
        <v>0</v>
      </c>
      <c r="BU459" s="446">
        <f>IF($E459=0,0,IF(MIN(BU$38,$E459)&lt;MAX($P$34*($B459+$I$38-1),IF(AND($L$37=0,$P$34=0),"",$L$37-1)),0,YEARFRAC(MAX($P$34*($B459+$I$38-1),IF(AND($L$37=0,$P$34=0),"",$L$37-1)),MIN(BU$38,$E459),$P$20))-SUM($BF459:BT459))</f>
        <v>0</v>
      </c>
      <c r="BV459" s="446">
        <f>IF($E459=0,0,IF(MIN(BV$38,$E459)&lt;MAX($P$34*($B459+$I$38-1),IF(AND($L$37=0,$P$34=0),"",$L$37-1)),0,YEARFRAC(MAX($P$34*($B459+$I$38-1),IF(AND($L$37=0,$P$34=0),"",$L$37-1)),MIN(BV$38,$E459),$P$20))-SUM($BF459:BU459))</f>
        <v>0</v>
      </c>
      <c r="BW459" s="446">
        <f>IF($E459=0,0,IF(MIN(BW$38,$E459)&lt;MAX($P$34*($B459+$I$38-1),IF(AND($L$37=0,$P$34=0),"",$L$37-1)),0,YEARFRAC(MAX($P$34*($B459+$I$38-1),IF(AND($L$37=0,$P$34=0),"",$L$37-1)),MIN(BW$38,$E459),$P$20))-SUM($BF459:BV459))</f>
        <v>0</v>
      </c>
      <c r="BX459" s="446">
        <f>IF($E459=0,0,IF(MIN(BX$38,$E459)&lt;MAX($P$34*($B459+$I$38-1),IF(AND($L$37=0,$P$34=0),"",$L$37-1)),0,YEARFRAC(MAX($P$34*($B459+$I$38-1),IF(AND($L$37=0,$P$34=0),"",$L$37-1)),MIN(BX$38,$E459),$P$20))-SUM($BF459:BW459))</f>
        <v>0</v>
      </c>
      <c r="BY459" s="446">
        <f>IF($E459=0,0,IF(MIN(BY$38,$E459)&lt;MAX($P$34*($B459+$I$38-1),IF(AND($L$37=0,$P$34=0),"",$L$37-1)),0,YEARFRAC(MAX($P$34*($B459+$I$38-1),IF(AND($L$37=0,$P$34=0),"",$L$37-1)),MIN(BY$38,$E459),$P$20))-SUM($BF459:BX459))</f>
        <v>0</v>
      </c>
      <c r="BZ459" s="446">
        <f>IF($E459=0,0,IF(MIN(BZ$38,$E459)&lt;MAX($P$34*($B459+$I$38-1),IF(AND($L$37=0,$P$34=0),"",$L$37-1)),0,YEARFRAC(MAX($P$34*($B459+$I$38-1),IF(AND($L$37=0,$P$34=0),"",$L$37-1)),MIN(BZ$38,$E459),$P$20))-SUM($BF459:BY459))</f>
        <v>0</v>
      </c>
      <c r="CA459" s="446">
        <f>IF($E459=0,0,IF(MIN(CA$38,$E459)&lt;MAX($P$34*($B459+$I$38-1),IF(AND($L$37=0,$P$34=0),"",$L$37-1)),0,YEARFRAC(MAX($P$34*($B459+$I$38-1),IF(AND($L$37=0,$P$34=0),"",$L$37-1)),MIN(CA$38,$E459),$P$20))-SUM($BF459:BZ459))</f>
        <v>0</v>
      </c>
      <c r="CB459" s="446">
        <f>IF($E459=0,0,IF(MIN(CB$38,$E459)&lt;MAX($P$34*($B459+$I$38-1),IF(AND($L$37=0,$P$34=0),"",$L$37-1)),0,YEARFRAC(MAX($P$34*($B459+$I$38-1),IF(AND($L$37=0,$P$34=0),"",$L$37-1)),MIN(CB$38,$E459),$P$20))-SUM($BF459:CA459))</f>
        <v>0</v>
      </c>
      <c r="CC459" s="446">
        <f>IF($E459=0,0,IF(MIN(CC$38,$E459)&lt;MAX($P$34*($B459+$I$38-1),IF(AND($L$37=0,$P$34=0),"",$L$37-1)),0,YEARFRAC(MAX($P$34*($B459+$I$38-1),IF(AND($L$37=0,$P$34=0),"",$L$37-1)),MIN(CC$38,$E459),$P$20))-SUM($BF459:CB459))</f>
        <v>0</v>
      </c>
      <c r="CD459" s="446">
        <f>IF($E459=0,0,IF(MIN(CD$38,$E459)&lt;MAX($P$34*($B459+$I$38-1),IF(AND($L$37=0,$P$34=0),"",$L$37-1)),0,YEARFRAC(MAX($P$34*($B459+$I$38-1),IF(AND($L$37=0,$P$34=0),"",$L$37-1)),MIN(CD$38,$E459),$P$20))-SUM($BF459:CC459))</f>
        <v>0</v>
      </c>
      <c r="CE459" s="446">
        <f>IF($E459=0,0,IF(MIN(CE$38,$E459)&lt;MAX($P$34*($B459+$I$38-1),IF(AND($L$37=0,$P$34=0),"",$L$37-1)),0,YEARFRAC(MAX($P$34*($B459+$I$38-1),IF(AND($L$37=0,$P$34=0),"",$L$37-1)),MIN(CE$38,$E459),$P$20))-SUM($BF459:CD459))</f>
        <v>0</v>
      </c>
      <c r="CF459" s="446">
        <f>IF($E459=0,0,IF(MIN(CF$38,$E459)&lt;MAX($P$34*($B459+$I$38-1),IF(AND($L$37=0,$P$34=0),"",$L$37-1)),0,YEARFRAC(MAX($P$34*($B459+$I$38-1),IF(AND($L$37=0,$P$34=0),"",$L$37-1)),MIN(CF$38,$E459),$P$20))-SUM($BF459:CE459))</f>
        <v>0</v>
      </c>
      <c r="CG459" s="446">
        <f>IF($E459=0,0,IF(MIN(CG$38,$E459)&lt;MAX($P$34*($B459+$I$38-1),IF(AND($L$37=0,$P$34=0),"",$L$37-1)),0,YEARFRAC(MAX($P$34*($B459+$I$38-1),IF(AND($L$37=0,$P$34=0),"",$L$37-1)),MIN(CG$38,$E459),$P$20))-SUM($BF459:CF459))</f>
        <v>0</v>
      </c>
      <c r="CH459" s="446">
        <f>IF($E459=0,0,IF(MIN(CH$38,$E459)&lt;MAX($P$34*($B459+$I$38-1),IF(AND($L$37=0,$P$34=0),"",$L$37-1)),0,YEARFRAC(MAX($P$34*($B459+$I$38-1),IF(AND($L$37=0,$P$34=0),"",$L$37-1)),MIN(CH$38,$E459),$P$20))-SUM($BF459:CG459))</f>
        <v>0</v>
      </c>
      <c r="CI459" s="446">
        <f>IF($E459=0,0,IF(MIN(CI$38,$E459)&lt;MAX($P$34*($B459+$I$38-1),IF(AND($L$37=0,$P$34=0),"",$L$37-1)),0,YEARFRAC(MAX($P$34*($B459+$I$38-1),IF(AND($L$37=0,$P$34=0),"",$L$37-1)),MIN(CI$38,$E459),$P$20))-SUM($BF459:CH459))</f>
        <v>0</v>
      </c>
      <c r="CJ459" s="446">
        <f>IF($E459=0,0,IF(MIN(CJ$38,$E459)&lt;MAX($P$34*($B459+$I$38-1),IF(AND($L$37=0,$P$34=0),"",$L$37-1)),0,YEARFRAC(MAX($P$34*($B459+$I$38-1),IF(AND($L$37=0,$P$34=0),"",$L$37-1)),MIN(CJ$38,$E459),$P$20))-SUM($BF459:CI459))</f>
        <v>0</v>
      </c>
      <c r="CK459" s="446">
        <f>IF($E459=0,0,IF(MIN(CK$38,$E459)&lt;MAX($P$34*($B459+$I$38-1),IF(AND($L$37=0,$P$34=0),"",$L$37-1)),0,YEARFRAC(MAX($P$34*($B459+$I$38-1),IF(AND($L$37=0,$P$34=0),"",$L$37-1)),MIN(CK$38,$E459),$P$20))-SUM($BF459:CJ459))</f>
        <v>0</v>
      </c>
      <c r="CL459" s="446">
        <f>IF($E459=0,0,IF(MIN(CL$38,$E459)&lt;MAX($P$34*($B459+$I$38-1),IF(AND($L$37=0,$P$34=0),"",$L$37-1)),0,YEARFRAC(MAX($P$34*($B459+$I$38-1),IF(AND($L$37=0,$P$34=0),"",$L$37-1)),MIN(CL$38,$E459),$P$20))-SUM($BF459:CK459))</f>
        <v>0</v>
      </c>
      <c r="CM459" s="446">
        <f>IF($E459=0,0,IF(MIN(CM$38,$E459)&lt;MAX($P$34*($B459+$I$38-1),IF(AND($L$37=0,$P$34=0),"",$L$37-1)),0,YEARFRAC(MAX($P$34*($B459+$I$38-1),IF(AND($L$37=0,$P$34=0),"",$L$37-1)),MIN(CM$38,$E459),$P$20))-SUM($BF459:CL459))</f>
        <v>0</v>
      </c>
      <c r="CN459" s="446">
        <f>IF($E459=0,0,IF(MIN(CN$38,$E459)&lt;MAX($P$34*($B459+$I$38-1),IF(AND($L$37=0,$P$34=0),"",$L$37-1)),0,YEARFRAC(MAX($P$34*($B459+$I$38-1),IF(AND($L$37=0,$P$34=0),"",$L$37-1)),MIN(CN$38,$E459),$P$20))-SUM($BF459:CM459))</f>
        <v>0</v>
      </c>
      <c r="CO459" s="446">
        <f>IF($E459=0,0,IF(MIN(CO$38,$E459)&lt;MAX($P$34*($B459+$I$38-1),IF(AND($L$37=0,$P$34=0),"",$L$37-1)),0,YEARFRAC(MAX($P$34*($B459+$I$38-1),IF(AND($L$37=0,$P$34=0),"",$L$37-1)),MIN(CO$38,$E459),$P$20))-SUM($BF459:CN459))</f>
        <v>0</v>
      </c>
      <c r="CP459" s="446">
        <f>IF($E459=0,0,IF(MIN(CP$38,$E459)&lt;MAX($P$34*($B459+$I$38-1),IF(AND($L$37=0,$P$34=0),"",$L$37-1)),0,YEARFRAC(MAX($P$34*($B459+$I$38-1),IF(AND($L$37=0,$P$34=0),"",$L$37-1)),MIN(CP$38,$E459),$P$20))-SUM($BF459:CO459))</f>
        <v>0</v>
      </c>
      <c r="CQ459" s="446">
        <f>IF($E459=0,0,IF(MIN(CQ$38,$E459)&lt;MAX($P$34*($B459+$I$38-1),IF(AND($L$37=0,$P$34=0),"",$L$37-1)),0,YEARFRAC(MAX($P$34*($B459+$I$38-1),IF(AND($L$37=0,$P$34=0),"",$L$37-1)),MIN(CQ$38,$E459),$P$20))-SUM($BF459:CP459))</f>
        <v>0</v>
      </c>
    </row>
    <row r="460" spans="1:95" s="446" customFormat="1" ht="11.25" hidden="1" customHeight="1" x14ac:dyDescent="0.2">
      <c r="A460" s="152"/>
      <c r="B460" s="153" t="str">
        <f t="shared" si="81"/>
        <v/>
      </c>
      <c r="C460" s="29" t="str">
        <f>IF(B460="","",IF($L$35="SELIC - TRIBUTOS",VLOOKUP(DATE(YEAR($D$19),MONTH($D$19)-1,1),ÍNDICES!$A:$DE,HLOOKUP($BL$25,ÍNDICES!$B$3:$T$4,2)+11)-VLOOKUP(B460,ÍNDICES!$A:$DE,HLOOKUP($BL$25,ÍNDICES!$B$3:$T$4,2)+11)+1%,IF(C$38=$W$26,$J$35,IF(ISERROR(IF(B460&gt;$D$19,1,VLOOKUP(DATE(YEAR(B460),MONTH(B460)+IF($C$35=$S$23,1,0),1),ÍNDICES!$A:$DE,$Z$35+1))),"",IF(B460&gt;$D$19,1,VLOOKUP(DATE(YEAR(B460),MONTH(B460)+IF($C$35=$S$23,1,0),1),ÍNDICES!$A:$DE,$Z$35+1))))))</f>
        <v/>
      </c>
      <c r="D460" s="154" t="str">
        <f>IF(ISERROR(IF(OR($D$38=$Y$27,$B460=""),"",VLOOKUP(B460,ÍNDICES!A:DE,AF$35+1))),"",IF(OR($D$38=$Y$27,$B460=""),"",VLOOKUP(B460,ÍNDICES!A:DE,AF$35+1)))</f>
        <v/>
      </c>
      <c r="E460" s="153"/>
      <c r="F460" s="29" t="str">
        <f>IF(E460="","",IF($L$35="SELIC - TRIBUTOS",VLOOKUP(DATE(YEAR($D$19),MONTH($D$19)-1,1),ÍNDICES!$A:$DE,HLOOKUP($BL$25,ÍNDICES!$B$3:$T$4,2)+11)-VLOOKUP(E460,ÍNDICES!$A:$DE,HLOOKUP($BL$25,ÍNDICES!$B$3:$T$4,2)+11)+1%,IF(F$38=$W$26,$J$35,IF(ISERROR(IF(E460&gt;$D$19,1,VLOOKUP(DATE(YEAR(E460),MONTH(E460)+IF($C$35=$S$23,1,0),1),ÍNDICES!$A:$DE,$Z$35+1))),"",IF(E460&gt;$D$19,1,VLOOKUP(DATE(YEAR(E460),MONTH(E460)+IF($C$35=$S$23,1,0),1),ÍNDICES!$A:$DE,$Z$35+1))))))</f>
        <v/>
      </c>
      <c r="G460" s="155"/>
      <c r="H460" s="156" t="str">
        <f t="shared" si="77"/>
        <v/>
      </c>
      <c r="I460" s="29" t="str">
        <f t="shared" si="71"/>
        <v/>
      </c>
      <c r="J460" s="5">
        <f t="shared" si="72"/>
        <v>0</v>
      </c>
      <c r="K460" s="20">
        <f t="shared" ca="1" si="73"/>
        <v>0</v>
      </c>
      <c r="L460" s="5">
        <f t="shared" ca="1" si="74"/>
        <v>0</v>
      </c>
      <c r="M460" s="64">
        <f t="shared" si="78"/>
        <v>0</v>
      </c>
      <c r="N460" s="61">
        <f t="shared" ca="1" si="79"/>
        <v>0</v>
      </c>
      <c r="O460" s="5">
        <f t="shared" ca="1" si="80"/>
        <v>0</v>
      </c>
      <c r="P460" s="446" t="e">
        <f t="shared" si="75"/>
        <v>#VALUE!</v>
      </c>
      <c r="Q460" s="446" t="e">
        <f>IF(OR($B460="",MIN(Q$38,$D$19)&lt;MAX($P$34*($B460+IF($R$17="Distrato",$I$38-1,0)),IF(AND($L$37=0,$P$34=0),"",$L$37-1),IF($R$17="Distrato",$E460,0))),0,YEARFRAC(MAX($P$34*($B460+IF($R$17="Distrato",$I$38-1,0)),IF(AND($L$37=0,$P$34=0),"",$L$37-1),IF($R$17="Distrato",$E460,0)),MIN(Q$38,$D$19),$P$20))-SUM($P460:P460)</f>
        <v>#VALUE!</v>
      </c>
      <c r="R460" s="446" t="e">
        <f>IF(OR($B460="",MIN(R$38,$D$19)&lt;MAX($P$34*($B460+IF($R$17="Distrato",$I$38-1,0)),IF(AND($L$37=0,$P$34=0),"",$L$37-1),IF($R$17="Distrato",$E460,0))),0,YEARFRAC(MAX($P$34*($B460+IF($R$17="Distrato",$I$38-1,0)),IF(AND($L$37=0,$P$34=0),"",$L$37-1),IF($R$17="Distrato",$E460,0)),MIN(R$38,$D$19),$P$20))-SUM($P460:Q460)</f>
        <v>#VALUE!</v>
      </c>
      <c r="S460" s="446" t="e">
        <f>IF(OR($B460="",MIN(S$38,$D$19)&lt;MAX($P$34*($B460+IF($R$17="Distrato",$I$38-1,0)),IF(AND($L$37=0,$P$34=0),"",$L$37-1),IF($R$17="Distrato",$E460,0))),0,YEARFRAC(MAX($P$34*($B460+IF($R$17="Distrato",$I$38-1,0)),IF(AND($L$37=0,$P$34=0),"",$L$37-1),IF($R$17="Distrato",$E460,0)),MIN(S$38,$D$19),$P$20))-SUM($P460:R460)</f>
        <v>#VALUE!</v>
      </c>
      <c r="T460" s="446" t="e">
        <f>IF(OR($B460="",MIN(T$38,$D$19)&lt;MAX($P$34*($B460+IF($R$17="Distrato",$I$38-1,0)),IF(AND($L$37=0,$P$34=0),"",$L$37-1),IF($R$17="Distrato",$E460,0))),0,YEARFRAC(MAX($P$34*($B460+IF($R$17="Distrato",$I$38-1,0)),IF(AND($L$37=0,$P$34=0),"",$L$37-1),IF($R$17="Distrato",$E460,0)),MIN(T$38,$D$19),$P$20))-SUM($P460:S460)</f>
        <v>#VALUE!</v>
      </c>
      <c r="U460" s="446" t="e">
        <f>IF(OR($B460="",MIN(U$38,$D$19)&lt;MAX($P$34*($B460+IF($R$17="Distrato",$I$38-1,0)),IF(AND($L$37=0,$P$34=0),"",$L$37-1),IF($R$17="Distrato",$E460,0))),0,YEARFRAC(MAX($P$34*($B460+IF($R$17="Distrato",$I$38-1,0)),IF(AND($L$37=0,$P$34=0),"",$L$37-1),IF($R$17="Distrato",$E460,0)),MIN(U$38,$D$19),$P$20))-SUM($P460:T460)</f>
        <v>#VALUE!</v>
      </c>
      <c r="V460" s="446" t="e">
        <f>IF(OR($B460="",MIN(V$38,$D$19)&lt;MAX($P$34*($B460+IF($R$17="Distrato",$I$38-1,0)),IF(AND($L$37=0,$P$34=0),"",$L$37-1),IF($R$17="Distrato",$E460,0))),0,YEARFRAC(MAX($P$34*($B460+IF($R$17="Distrato",$I$38-1,0)),IF(AND($L$37=0,$P$34=0),"",$L$37-1),IF($R$17="Distrato",$E460,0)),MIN(V$38,$D$19),$P$20))-SUM($P460:U460)</f>
        <v>#VALUE!</v>
      </c>
      <c r="W460" s="446" t="e">
        <f>IF(OR($B460="",MIN(W$38,$D$19)&lt;MAX($P$34*($B460+IF($R$17="Distrato",$I$38-1,0)),IF(AND($L$37=0,$P$34=0),"",$L$37-1),IF($R$17="Distrato",$E460,0))),0,YEARFRAC(MAX($P$34*($B460+IF($R$17="Distrato",$I$38-1,0)),IF(AND($L$37=0,$P$34=0),"",$L$37-1),IF($R$17="Distrato",$E460,0)),MIN(W$38,$D$19),$P$20))-SUM($P460:V460)</f>
        <v>#VALUE!</v>
      </c>
      <c r="X460" s="446" t="e">
        <f>IF(OR($B460="",MIN(X$38,$D$19)&lt;MAX($P$34*($B460+IF($R$17="Distrato",$I$38-1,0)),IF(AND($L$37=0,$P$34=0),"",$L$37-1),IF($R$17="Distrato",$E460,0))),0,YEARFRAC(MAX($P$34*($B460+IF($R$17="Distrato",$I$38-1,0)),IF(AND($L$37=0,$P$34=0),"",$L$37-1),IF($R$17="Distrato",$E460,0)),MIN(X$38,$D$19),$P$20))-SUM($P460:W460)</f>
        <v>#VALUE!</v>
      </c>
      <c r="Y460" s="446" t="e">
        <f>IF(OR($B460="",MIN(Y$38,$D$19)&lt;MAX($P$34*($B460+IF($R$17="Distrato",$I$38-1,0)),IF(AND($L$37=0,$P$34=0),"",$L$37-1),IF($R$17="Distrato",$E460,0))),0,YEARFRAC(MAX($P$34*($B460+IF($R$17="Distrato",$I$38-1,0)),IF(AND($L$37=0,$P$34=0),"",$L$37-1),IF($R$17="Distrato",$E460,0)),MIN(Y$38,$D$19),$P$20))-SUM($P460:X460)</f>
        <v>#VALUE!</v>
      </c>
      <c r="Z460" s="446" t="e">
        <f>IF(OR($B460="",MIN(Z$38,$D$19)&lt;MAX($P$34*($B460+IF($R$17="Distrato",$I$38-1,0)),IF(AND($L$37=0,$P$34=0),"",$L$37-1),IF($R$17="Distrato",$E460,0))),0,YEARFRAC(MAX($P$34*($B460+IF($R$17="Distrato",$I$38-1,0)),IF(AND($L$37=0,$P$34=0),"",$L$37-1),IF($R$17="Distrato",$E460,0)),MIN(Z$38,$D$19),$P$20))-SUM($P460:Y460)</f>
        <v>#VALUE!</v>
      </c>
      <c r="AA460" s="446" t="e">
        <f>IF(OR($B460="",MIN(AA$38,$D$19)&lt;MAX($P$34*($B460+IF($R$17="Distrato",$I$38-1,0)),IF(AND($L$37=0,$P$34=0),"",$L$37-1),IF($R$17="Distrato",$E460,0))),0,YEARFRAC(MAX($P$34*($B460+IF($R$17="Distrato",$I$38-1,0)),IF(AND($L$37=0,$P$34=0),"",$L$37-1),IF($R$17="Distrato",$E460,0)),MIN(AA$38,$D$19),$P$20))-SUM($P460:Z460)</f>
        <v>#VALUE!</v>
      </c>
      <c r="AB460" s="446" t="e">
        <f>IF(OR($B460="",MIN(AB$38,$D$19)&lt;MAX($P$34*($B460+IF($R$17="Distrato",$I$38-1,0)),IF(AND($L$37=0,$P$34=0),"",$L$37-1),IF($R$17="Distrato",$E460,0))),0,YEARFRAC(MAX($P$34*($B460+IF($R$17="Distrato",$I$38-1,0)),IF(AND($L$37=0,$P$34=0),"",$L$37-1),IF($R$17="Distrato",$E460,0)),MIN(AB$38,$D$19),$P$20))-SUM($P460:AA460)</f>
        <v>#VALUE!</v>
      </c>
      <c r="AC460" s="446" t="e">
        <f>IF(OR($B460="",MIN(AC$38,$D$19)&lt;MAX($P$34*($B460+IF($R$17="Distrato",$I$38-1,0)),IF(AND($L$37=0,$P$34=0),"",$L$37-1),IF($R$17="Distrato",$E460,0))),0,YEARFRAC(MAX($P$34*($B460+IF($R$17="Distrato",$I$38-1,0)),IF(AND($L$37=0,$P$34=0),"",$L$37-1),IF($R$17="Distrato",$E460,0)),MIN(AC$38,$D$19),$P$20))-SUM($P460:AB460)</f>
        <v>#VALUE!</v>
      </c>
      <c r="AD460" s="446" t="e">
        <f>IF(OR($B460="",MIN(AD$38,$D$19)&lt;MAX($P$34*($B460+IF($R$17="Distrato",$I$38-1,0)),IF(AND($L$37=0,$P$34=0),"",$L$37-1),IF($R$17="Distrato",$E460,0))),0,YEARFRAC(MAX($P$34*($B460+IF($R$17="Distrato",$I$38-1,0)),IF(AND($L$37=0,$P$34=0),"",$L$37-1),IF($R$17="Distrato",$E460,0)),MIN(AD$38,$D$19),$P$20))-SUM($P460:AC460)</f>
        <v>#VALUE!</v>
      </c>
      <c r="AE460" s="446" t="e">
        <f>IF(OR($B460="",MIN(AE$38,$D$19)&lt;MAX($P$34*($B460+IF($R$17="Distrato",$I$38-1,0)),IF(AND($L$37=0,$P$34=0),"",$L$37-1),IF($R$17="Distrato",$E460,0))),0,YEARFRAC(MAX($P$34*($B460+IF($R$17="Distrato",$I$38-1,0)),IF(AND($L$37=0,$P$34=0),"",$L$37-1),IF($R$17="Distrato",$E460,0)),MIN(AE$38,$D$19),$P$20))-SUM($P460:AD460)</f>
        <v>#VALUE!</v>
      </c>
      <c r="AF460" s="446" t="e">
        <f>IF(OR($B460="",MIN(AF$38,$D$19)&lt;MAX($P$34*($B460+IF($R$17="Distrato",$I$38-1,0)),IF(AND($L$37=0,$P$34=0),"",$L$37-1),IF($R$17="Distrato",$E460,0))),0,YEARFRAC(MAX($P$34*($B460+IF($R$17="Distrato",$I$38-1,0)),IF(AND($L$37=0,$P$34=0),"",$L$37-1),IF($R$17="Distrato",$E460,0)),MIN(AF$38,$D$19),$P$20))-SUM($P460:AE460)</f>
        <v>#VALUE!</v>
      </c>
      <c r="AG460" s="446" t="e">
        <f>IF(OR($B460="",MIN(AG$38,$D$19)&lt;MAX($P$34*($B460+IF($R$17="Distrato",$I$38-1,0)),IF(AND($L$37=0,$P$34=0),"",$L$37-1),IF($R$17="Distrato",$E460,0))),0,YEARFRAC(MAX($P$34*($B460+IF($R$17="Distrato",$I$38-1,0)),IF(AND($L$37=0,$P$34=0),"",$L$37-1),IF($R$17="Distrato",$E460,0)),MIN(AG$38,$D$19),$P$20))-SUM($P460:AF460)</f>
        <v>#VALUE!</v>
      </c>
      <c r="AH460" s="446" t="e">
        <f>IF(OR($B460="",MIN(AH$38,$D$19)&lt;MAX($P$34*($B460+IF($R$17="Distrato",$I$38-1,0)),IF(AND($L$37=0,$P$34=0),"",$L$37-1),IF($R$17="Distrato",$E460,0))),0,YEARFRAC(MAX($P$34*($B460+IF($R$17="Distrato",$I$38-1,0)),IF(AND($L$37=0,$P$34=0),"",$L$37-1),IF($R$17="Distrato",$E460,0)),MIN(AH$38,$D$19),$P$20))-SUM($P460:AG460)</f>
        <v>#VALUE!</v>
      </c>
      <c r="AI460" s="446" t="e">
        <f>IF(OR($B460="",MIN(AI$38,$D$19)&lt;MAX($P$34*($B460+IF($R$17="Distrato",$I$38-1,0)),IF(AND($L$37=0,$P$34=0),"",$L$37-1),IF($R$17="Distrato",$E460,0))),0,YEARFRAC(MAX($P$34*($B460+IF($R$17="Distrato",$I$38-1,0)),IF(AND($L$37=0,$P$34=0),"",$L$37-1),IF($R$17="Distrato",$E460,0)),MIN(AI$38,$D$19),$P$20))-SUM($P460:AH460)</f>
        <v>#VALUE!</v>
      </c>
      <c r="AJ460" s="446" t="e">
        <f>IF(OR($B460="",MIN(AJ$38,$D$19)&lt;MAX($P$34*($B460+IF($R$17="Distrato",$I$38-1,0)),IF(AND($L$37=0,$P$34=0),"",$L$37-1),IF($R$17="Distrato",$E460,0))),0,YEARFRAC(MAX($P$34*($B460+IF($R$17="Distrato",$I$38-1,0)),IF(AND($L$37=0,$P$34=0),"",$L$37-1),IF($R$17="Distrato",$E460,0)),MIN(AJ$38,$D$19),$P$20))-SUM($P460:AI460)</f>
        <v>#VALUE!</v>
      </c>
      <c r="AK460" s="446" t="e">
        <f>IF(OR($B460="",MIN(AK$38,$D$19)&lt;MAX($P$34*($B460+IF($R$17="Distrato",$I$38-1,0)),IF(AND($L$37=0,$P$34=0),"",$L$37-1),IF($R$17="Distrato",$E460,0))),0,YEARFRAC(MAX($P$34*($B460+IF($R$17="Distrato",$I$38-1,0)),IF(AND($L$37=0,$P$34=0),"",$L$37-1),IF($R$17="Distrato",$E460,0)),MIN(AK$38,$D$19),$P$20))-SUM($P460:AJ460)</f>
        <v>#VALUE!</v>
      </c>
      <c r="AL460" s="446" t="e">
        <f>IF(OR($B460="",MIN(AL$38,$D$19)&lt;MAX($P$34*($B460+IF($R$17="Distrato",$I$38-1,0)),IF(AND($L$37=0,$P$34=0),"",$L$37-1),IF($R$17="Distrato",$E460,0))),0,YEARFRAC(MAX($P$34*($B460+IF($R$17="Distrato",$I$38-1,0)),IF(AND($L$37=0,$P$34=0),"",$L$37-1),IF($R$17="Distrato",$E460,0)),MIN(AL$38,$D$19),$P$20))-SUM($P460:AK460)</f>
        <v>#VALUE!</v>
      </c>
      <c r="AM460" s="446" t="e">
        <f>IF(OR($B460="",MIN(AM$38,$D$19)&lt;MAX($P$34*($B460+IF($R$17="Distrato",$I$38-1,0)),IF(AND($L$37=0,$P$34=0),"",$L$37-1),IF($R$17="Distrato",$E460,0))),0,YEARFRAC(MAX($P$34*($B460+IF($R$17="Distrato",$I$38-1,0)),IF(AND($L$37=0,$P$34=0),"",$L$37-1),IF($R$17="Distrato",$E460,0)),MIN(AM$38,$D$19),$P$20))-SUM($P460:AL460)</f>
        <v>#VALUE!</v>
      </c>
      <c r="AN460" s="446" t="e">
        <f>IF(OR($B460="",MIN(AN$38,$D$19)&lt;MAX($P$34*($B460+IF($R$17="Distrato",$I$38-1,0)),IF(AND($L$37=0,$P$34=0),"",$L$37-1),IF($R$17="Distrato",$E460,0))),0,YEARFRAC(MAX($P$34*($B460+IF($R$17="Distrato",$I$38-1,0)),IF(AND($L$37=0,$P$34=0),"",$L$37-1),IF($R$17="Distrato",$E460,0)),MIN(AN$38,$D$19),$P$20))-SUM($P460:AM460)</f>
        <v>#VALUE!</v>
      </c>
      <c r="AO460" s="446" t="e">
        <f>IF(OR($B460="",MIN(AO$38,$D$19)&lt;MAX($P$34*($B460+IF($R$17="Distrato",$I$38-1,0)),IF(AND($L$37=0,$P$34=0),"",$L$37-1),IF($R$17="Distrato",$E460,0))),0,YEARFRAC(MAX($P$34*($B460+IF($R$17="Distrato",$I$38-1,0)),IF(AND($L$37=0,$P$34=0),"",$L$37-1),IF($R$17="Distrato",$E460,0)),MIN(AO$38,$D$19),$P$20))-SUM($P460:AN460)</f>
        <v>#VALUE!</v>
      </c>
      <c r="AP460" s="446" t="e">
        <f>IF(OR($B460="",MIN(AP$38,$D$19)&lt;MAX($P$34*($B460+IF($R$17="Distrato",$I$38-1,0)),IF(AND($L$37=0,$P$34=0),"",$L$37-1),IF($R$17="Distrato",$E460,0))),0,YEARFRAC(MAX($P$34*($B460+IF($R$17="Distrato",$I$38-1,0)),IF(AND($L$37=0,$P$34=0),"",$L$37-1),IF($R$17="Distrato",$E460,0)),MIN(AP$38,$D$19),$P$20))-SUM($P460:AO460)</f>
        <v>#VALUE!</v>
      </c>
      <c r="AQ460" s="446" t="e">
        <f>IF(OR($B460="",MIN(AQ$38,$D$19)&lt;MAX($P$34*($B460+IF($R$17="Distrato",$I$38-1,0)),IF(AND($L$37=0,$P$34=0),"",$L$37-1),IF($R$17="Distrato",$E460,0))),0,YEARFRAC(MAX($P$34*($B460+IF($R$17="Distrato",$I$38-1,0)),IF(AND($L$37=0,$P$34=0),"",$L$37-1),IF($R$17="Distrato",$E460,0)),MIN(AQ$38,$D$19),$P$20))-SUM($P460:AP460)</f>
        <v>#VALUE!</v>
      </c>
      <c r="AR460" s="446" t="e">
        <f>IF(OR($B460="",MIN(AR$38,$D$19)&lt;MAX($P$34*($B460+IF($R$17="Distrato",$I$38-1,0)),IF(AND($L$37=0,$P$34=0),"",$L$37-1),IF($R$17="Distrato",$E460,0))),0,YEARFRAC(MAX($P$34*($B460+IF($R$17="Distrato",$I$38-1,0)),IF(AND($L$37=0,$P$34=0),"",$L$37-1),IF($R$17="Distrato",$E460,0)),MIN(AR$38,$D$19),$P$20))-SUM($P460:AQ460)</f>
        <v>#VALUE!</v>
      </c>
      <c r="AS460" s="446" t="e">
        <f>IF(OR($B460="",MIN(AS$38,$D$19)&lt;MAX($P$34*($B460+IF($R$17="Distrato",$I$38-1,0)),IF(AND($L$37=0,$P$34=0),"",$L$37-1),IF($R$17="Distrato",$E460,0))),0,YEARFRAC(MAX($P$34*($B460+IF($R$17="Distrato",$I$38-1,0)),IF(AND($L$37=0,$P$34=0),"",$L$37-1),IF($R$17="Distrato",$E460,0)),MIN(AS$38,$D$19),$P$20))-SUM($P460:AR460)</f>
        <v>#VALUE!</v>
      </c>
      <c r="AT460" s="446" t="e">
        <f>IF(OR($B460="",MIN(AT$38,$D$19)&lt;MAX($P$34*($B460+IF($R$17="Distrato",$I$38-1,0)),IF(AND($L$37=0,$P$34=0),"",$L$37-1),IF($R$17="Distrato",$E460,0))),0,YEARFRAC(MAX($P$34*($B460+IF($R$17="Distrato",$I$38-1,0)),IF(AND($L$37=0,$P$34=0),"",$L$37-1),IF($R$17="Distrato",$E460,0)),MIN(AT$38,$D$19),$P$20))-SUM($P460:AS460)</f>
        <v>#VALUE!</v>
      </c>
      <c r="AU460" s="446" t="e">
        <f>IF(OR($B460="",MIN(AU$38,$D$19)&lt;MAX($P$34*($B460+IF($R$17="Distrato",$I$38-1,0)),IF(AND($L$37=0,$P$34=0),"",$L$37-1),IF($R$17="Distrato",$E460,0))),0,YEARFRAC(MAX($P$34*($B460+IF($R$17="Distrato",$I$38-1,0)),IF(AND($L$37=0,$P$34=0),"",$L$37-1),IF($R$17="Distrato",$E460,0)),MIN(AU$38,$D$19),$P$20))-SUM($P460:AT460)</f>
        <v>#VALUE!</v>
      </c>
      <c r="AV460" s="446" t="e">
        <f>IF(OR($B460="",MIN(AV$38,$D$19)&lt;MAX($P$34*($B460+IF($R$17="Distrato",$I$38-1,0)),IF(AND($L$37=0,$P$34=0),"",$L$37-1),IF($R$17="Distrato",$E460,0))),0,YEARFRAC(MAX($P$34*($B460+IF($R$17="Distrato",$I$38-1,0)),IF(AND($L$37=0,$P$34=0),"",$L$37-1),IF($R$17="Distrato",$E460,0)),MIN(AV$38,$D$19),$P$20))-SUM($P460:AU460)</f>
        <v>#VALUE!</v>
      </c>
      <c r="AW460" s="446" t="e">
        <f>IF(OR($B460="",MIN(AW$38,$D$19)&lt;MAX($P$34*($B460+IF($R$17="Distrato",$I$38-1,0)),IF(AND($L$37=0,$P$34=0),"",$L$37-1),IF($R$17="Distrato",$E460,0))),0,YEARFRAC(MAX($P$34*($B460+IF($R$17="Distrato",$I$38-1,0)),IF(AND($L$37=0,$P$34=0),"",$L$37-1),IF($R$17="Distrato",$E460,0)),MIN(AW$38,$D$19),$P$20))-SUM($P460:AV460)</f>
        <v>#VALUE!</v>
      </c>
      <c r="AX460" s="446" t="e">
        <f>IF(OR($B460="",MIN(AX$38,$D$19)&lt;MAX($P$34*($B460+IF($R$17="Distrato",$I$38-1,0)),IF(AND($L$37=0,$P$34=0),"",$L$37-1),IF($R$17="Distrato",$E460,0))),0,YEARFRAC(MAX($P$34*($B460+IF($R$17="Distrato",$I$38-1,0)),IF(AND($L$37=0,$P$34=0),"",$L$37-1),IF($R$17="Distrato",$E460,0)),MIN(AX$38,$D$19),$P$20))-SUM($P460:AW460)</f>
        <v>#VALUE!</v>
      </c>
      <c r="AY460" s="446" t="e">
        <f>IF(OR($B460="",MIN(AY$38,$D$19)&lt;MAX($P$34*($B460+IF($R$17="Distrato",$I$38-1,0)),IF(AND($L$37=0,$P$34=0),"",$L$37-1),IF($R$17="Distrato",$E460,0))),0,YEARFRAC(MAX($P$34*($B460+IF($R$17="Distrato",$I$38-1,0)),IF(AND($L$37=0,$P$34=0),"",$L$37-1),IF($R$17="Distrato",$E460,0)),MIN(AY$38,$D$19),$P$20))-SUM($P460:AX460)</f>
        <v>#VALUE!</v>
      </c>
      <c r="AZ460" s="446" t="e">
        <f>IF(OR($B460="",MIN(AZ$38,$D$19)&lt;MAX($P$34*($B460+IF($R$17="Distrato",$I$38-1,0)),IF(AND($L$37=0,$P$34=0),"",$L$37-1),IF($R$17="Distrato",$E460,0))),0,YEARFRAC(MAX($P$34*($B460+IF($R$17="Distrato",$I$38-1,0)),IF(AND($L$37=0,$P$34=0),"",$L$37-1),IF($R$17="Distrato",$E460,0)),MIN(AZ$38,$D$19),$P$20))-SUM($P460:AY460)</f>
        <v>#VALUE!</v>
      </c>
      <c r="BA460" s="446" t="e">
        <f>IF(OR($B460="",MIN(BA$38,$D$19)&lt;MAX($P$34*($B460+IF($R$17="Distrato",$I$38-1,0)),IF(AND($L$37=0,$P$34=0),"",$L$37-1),IF($R$17="Distrato",$E460,0))),0,YEARFRAC(MAX($P$34*($B460+IF($R$17="Distrato",$I$38-1,0)),IF(AND($L$37=0,$P$34=0),"",$L$37-1),IF($R$17="Distrato",$E460,0)),MIN(BA$38,$D$19),$P$20))-SUM($P460:AZ460)</f>
        <v>#VALUE!</v>
      </c>
      <c r="BB460" s="447"/>
      <c r="BF460" s="446">
        <f t="shared" si="76"/>
        <v>0</v>
      </c>
      <c r="BG460" s="446">
        <f>IF($E460=0,0,IF(MIN(BG$38,$E460)&lt;MAX($P$34*($B460+$I$38-1),IF(AND($L$37=0,$P$34=0),"",$L$37-1)),0,YEARFRAC(MAX($P$34*($B460+$I$38-1),IF(AND($L$37=0,$P$34=0),"",$L$37-1)),MIN(BG$38,$E460),$P$20))-SUM($BF460:BF460))</f>
        <v>0</v>
      </c>
      <c r="BH460" s="446">
        <f>IF($E460=0,0,IF(MIN(BH$38,$E460)&lt;MAX($P$34*($B460+$I$38-1),IF(AND($L$37=0,$P$34=0),"",$L$37-1)),0,YEARFRAC(MAX($P$34*($B460+$I$38-1),IF(AND($L$37=0,$P$34=0),"",$L$37-1)),MIN(BH$38,$E460),$P$20))-SUM($BF460:BG460))</f>
        <v>0</v>
      </c>
      <c r="BI460" s="446">
        <f>IF($E460=0,0,IF(MIN(BI$38,$E460)&lt;MAX($P$34*($B460+$I$38-1),IF(AND($L$37=0,$P$34=0),"",$L$37-1)),0,YEARFRAC(MAX($P$34*($B460+$I$38-1),IF(AND($L$37=0,$P$34=0),"",$L$37-1)),MIN(BI$38,$E460),$P$20))-SUM($BF460:BH460))</f>
        <v>0</v>
      </c>
      <c r="BJ460" s="446">
        <f>IF($E460=0,0,IF(MIN(BJ$38,$E460)&lt;MAX($P$34*($B460+$I$38-1),IF(AND($L$37=0,$P$34=0),"",$L$37-1)),0,YEARFRAC(MAX($P$34*($B460+$I$38-1),IF(AND($L$37=0,$P$34=0),"",$L$37-1)),MIN(BJ$38,$E460),$P$20))-SUM($BF460:BI460))</f>
        <v>0</v>
      </c>
      <c r="BK460" s="446">
        <f>IF($E460=0,0,IF(MIN(BK$38,$E460)&lt;MAX($P$34*($B460+$I$38-1),IF(AND($L$37=0,$P$34=0),"",$L$37-1)),0,YEARFRAC(MAX($P$34*($B460+$I$38-1),IF(AND($L$37=0,$P$34=0),"",$L$37-1)),MIN(BK$38,$E460),$P$20))-SUM($BF460:BJ460))</f>
        <v>0</v>
      </c>
      <c r="BL460" s="446">
        <f>IF($E460=0,0,IF(MIN(BL$38,$E460)&lt;MAX($P$34*($B460+$I$38-1),IF(AND($L$37=0,$P$34=0),"",$L$37-1)),0,YEARFRAC(MAX($P$34*($B460+$I$38-1),IF(AND($L$37=0,$P$34=0),"",$L$37-1)),MIN(BL$38,$E460),$P$20))-SUM($BF460:BK460))</f>
        <v>0</v>
      </c>
      <c r="BM460" s="446">
        <f>IF($E460=0,0,IF(MIN(BM$38,$E460)&lt;MAX($P$34*($B460+$I$38-1),IF(AND($L$37=0,$P$34=0),"",$L$37-1)),0,YEARFRAC(MAX($P$34*($B460+$I$38-1),IF(AND($L$37=0,$P$34=0),"",$L$37-1)),MIN(BM$38,$E460),$P$20))-SUM($BF460:BL460))</f>
        <v>0</v>
      </c>
      <c r="BN460" s="446">
        <f>IF($E460=0,0,IF(MIN(BN$38,$E460)&lt;MAX($P$34*($B460+$I$38-1),IF(AND($L$37=0,$P$34=0),"",$L$37-1)),0,YEARFRAC(MAX($P$34*($B460+$I$38-1),IF(AND($L$37=0,$P$34=0),"",$L$37-1)),MIN(BN$38,$E460),$P$20))-SUM($BF460:BM460))</f>
        <v>0</v>
      </c>
      <c r="BO460" s="446">
        <f>IF($E460=0,0,IF(MIN(BO$38,$E460)&lt;MAX($P$34*($B460+$I$38-1),IF(AND($L$37=0,$P$34=0),"",$L$37-1)),0,YEARFRAC(MAX($P$34*($B460+$I$38-1),IF(AND($L$37=0,$P$34=0),"",$L$37-1)),MIN(BO$38,$E460),$P$20))-SUM($BF460:BN460))</f>
        <v>0</v>
      </c>
      <c r="BP460" s="446">
        <f>IF($E460=0,0,IF(MIN(BP$38,$E460)&lt;MAX($P$34*($B460+$I$38-1),IF(AND($L$37=0,$P$34=0),"",$L$37-1)),0,YEARFRAC(MAX($P$34*($B460+$I$38-1),IF(AND($L$37=0,$P$34=0),"",$L$37-1)),MIN(BP$38,$E460),$P$20))-SUM($BF460:BO460))</f>
        <v>0</v>
      </c>
      <c r="BQ460" s="446">
        <f>IF($E460=0,0,IF(MIN(BQ$38,$E460)&lt;MAX($P$34*($B460+$I$38-1),IF(AND($L$37=0,$P$34=0),"",$L$37-1)),0,YEARFRAC(MAX($P$34*($B460+$I$38-1),IF(AND($L$37=0,$P$34=0),"",$L$37-1)),MIN(BQ$38,$E460),$P$20))-SUM($BF460:BP460))</f>
        <v>0</v>
      </c>
      <c r="BR460" s="446">
        <f>IF($E460=0,0,IF(MIN(BR$38,$E460)&lt;MAX($P$34*($B460+$I$38-1),IF(AND($L$37=0,$P$34=0),"",$L$37-1)),0,YEARFRAC(MAX($P$34*($B460+$I$38-1),IF(AND($L$37=0,$P$34=0),"",$L$37-1)),MIN(BR$38,$E460),$P$20))-SUM($BF460:BQ460))</f>
        <v>0</v>
      </c>
      <c r="BS460" s="446">
        <f>IF($E460=0,0,IF(MIN(BS$38,$E460)&lt;MAX($P$34*($B460+$I$38-1),IF(AND($L$37=0,$P$34=0),"",$L$37-1)),0,YEARFRAC(MAX($P$34*($B460+$I$38-1),IF(AND($L$37=0,$P$34=0),"",$L$37-1)),MIN(BS$38,$E460),$P$20))-SUM($BF460:BR460))</f>
        <v>0</v>
      </c>
      <c r="BT460" s="446">
        <f>IF($E460=0,0,IF(MIN(BT$38,$E460)&lt;MAX($P$34*($B460+$I$38-1),IF(AND($L$37=0,$P$34=0),"",$L$37-1)),0,YEARFRAC(MAX($P$34*($B460+$I$38-1),IF(AND($L$37=0,$P$34=0),"",$L$37-1)),MIN(BT$38,$E460),$P$20))-SUM($BF460:BS460))</f>
        <v>0</v>
      </c>
      <c r="BU460" s="446">
        <f>IF($E460=0,0,IF(MIN(BU$38,$E460)&lt;MAX($P$34*($B460+$I$38-1),IF(AND($L$37=0,$P$34=0),"",$L$37-1)),0,YEARFRAC(MAX($P$34*($B460+$I$38-1),IF(AND($L$37=0,$P$34=0),"",$L$37-1)),MIN(BU$38,$E460),$P$20))-SUM($BF460:BT460))</f>
        <v>0</v>
      </c>
      <c r="BV460" s="446">
        <f>IF($E460=0,0,IF(MIN(BV$38,$E460)&lt;MAX($P$34*($B460+$I$38-1),IF(AND($L$37=0,$P$34=0),"",$L$37-1)),0,YEARFRAC(MAX($P$34*($B460+$I$38-1),IF(AND($L$37=0,$P$34=0),"",$L$37-1)),MIN(BV$38,$E460),$P$20))-SUM($BF460:BU460))</f>
        <v>0</v>
      </c>
      <c r="BW460" s="446">
        <f>IF($E460=0,0,IF(MIN(BW$38,$E460)&lt;MAX($P$34*($B460+$I$38-1),IF(AND($L$37=0,$P$34=0),"",$L$37-1)),0,YEARFRAC(MAX($P$34*($B460+$I$38-1),IF(AND($L$37=0,$P$34=0),"",$L$37-1)),MIN(BW$38,$E460),$P$20))-SUM($BF460:BV460))</f>
        <v>0</v>
      </c>
      <c r="BX460" s="446">
        <f>IF($E460=0,0,IF(MIN(BX$38,$E460)&lt;MAX($P$34*($B460+$I$38-1),IF(AND($L$37=0,$P$34=0),"",$L$37-1)),0,YEARFRAC(MAX($P$34*($B460+$I$38-1),IF(AND($L$37=0,$P$34=0),"",$L$37-1)),MIN(BX$38,$E460),$P$20))-SUM($BF460:BW460))</f>
        <v>0</v>
      </c>
      <c r="BY460" s="446">
        <f>IF($E460=0,0,IF(MIN(BY$38,$E460)&lt;MAX($P$34*($B460+$I$38-1),IF(AND($L$37=0,$P$34=0),"",$L$37-1)),0,YEARFRAC(MAX($P$34*($B460+$I$38-1),IF(AND($L$37=0,$P$34=0),"",$L$37-1)),MIN(BY$38,$E460),$P$20))-SUM($BF460:BX460))</f>
        <v>0</v>
      </c>
      <c r="BZ460" s="446">
        <f>IF($E460=0,0,IF(MIN(BZ$38,$E460)&lt;MAX($P$34*($B460+$I$38-1),IF(AND($L$37=0,$P$34=0),"",$L$37-1)),0,YEARFRAC(MAX($P$34*($B460+$I$38-1),IF(AND($L$37=0,$P$34=0),"",$L$37-1)),MIN(BZ$38,$E460),$P$20))-SUM($BF460:BY460))</f>
        <v>0</v>
      </c>
      <c r="CA460" s="446">
        <f>IF($E460=0,0,IF(MIN(CA$38,$E460)&lt;MAX($P$34*($B460+$I$38-1),IF(AND($L$37=0,$P$34=0),"",$L$37-1)),0,YEARFRAC(MAX($P$34*($B460+$I$38-1),IF(AND($L$37=0,$P$34=0),"",$L$37-1)),MIN(CA$38,$E460),$P$20))-SUM($BF460:BZ460))</f>
        <v>0</v>
      </c>
      <c r="CB460" s="446">
        <f>IF($E460=0,0,IF(MIN(CB$38,$E460)&lt;MAX($P$34*($B460+$I$38-1),IF(AND($L$37=0,$P$34=0),"",$L$37-1)),0,YEARFRAC(MAX($P$34*($B460+$I$38-1),IF(AND($L$37=0,$P$34=0),"",$L$37-1)),MIN(CB$38,$E460),$P$20))-SUM($BF460:CA460))</f>
        <v>0</v>
      </c>
      <c r="CC460" s="446">
        <f>IF($E460=0,0,IF(MIN(CC$38,$E460)&lt;MAX($P$34*($B460+$I$38-1),IF(AND($L$37=0,$P$34=0),"",$L$37-1)),0,YEARFRAC(MAX($P$34*($B460+$I$38-1),IF(AND($L$37=0,$P$34=0),"",$L$37-1)),MIN(CC$38,$E460),$P$20))-SUM($BF460:CB460))</f>
        <v>0</v>
      </c>
      <c r="CD460" s="446">
        <f>IF($E460=0,0,IF(MIN(CD$38,$E460)&lt;MAX($P$34*($B460+$I$38-1),IF(AND($L$37=0,$P$34=0),"",$L$37-1)),0,YEARFRAC(MAX($P$34*($B460+$I$38-1),IF(AND($L$37=0,$P$34=0),"",$L$37-1)),MIN(CD$38,$E460),$P$20))-SUM($BF460:CC460))</f>
        <v>0</v>
      </c>
      <c r="CE460" s="446">
        <f>IF($E460=0,0,IF(MIN(CE$38,$E460)&lt;MAX($P$34*($B460+$I$38-1),IF(AND($L$37=0,$P$34=0),"",$L$37-1)),0,YEARFRAC(MAX($P$34*($B460+$I$38-1),IF(AND($L$37=0,$P$34=0),"",$L$37-1)),MIN(CE$38,$E460),$P$20))-SUM($BF460:CD460))</f>
        <v>0</v>
      </c>
      <c r="CF460" s="446">
        <f>IF($E460=0,0,IF(MIN(CF$38,$E460)&lt;MAX($P$34*($B460+$I$38-1),IF(AND($L$37=0,$P$34=0),"",$L$37-1)),0,YEARFRAC(MAX($P$34*($B460+$I$38-1),IF(AND($L$37=0,$P$34=0),"",$L$37-1)),MIN(CF$38,$E460),$P$20))-SUM($BF460:CE460))</f>
        <v>0</v>
      </c>
      <c r="CG460" s="446">
        <f>IF($E460=0,0,IF(MIN(CG$38,$E460)&lt;MAX($P$34*($B460+$I$38-1),IF(AND($L$37=0,$P$34=0),"",$L$37-1)),0,YEARFRAC(MAX($P$34*($B460+$I$38-1),IF(AND($L$37=0,$P$34=0),"",$L$37-1)),MIN(CG$38,$E460),$P$20))-SUM($BF460:CF460))</f>
        <v>0</v>
      </c>
      <c r="CH460" s="446">
        <f>IF($E460=0,0,IF(MIN(CH$38,$E460)&lt;MAX($P$34*($B460+$I$38-1),IF(AND($L$37=0,$P$34=0),"",$L$37-1)),0,YEARFRAC(MAX($P$34*($B460+$I$38-1),IF(AND($L$37=0,$P$34=0),"",$L$37-1)),MIN(CH$38,$E460),$P$20))-SUM($BF460:CG460))</f>
        <v>0</v>
      </c>
      <c r="CI460" s="446">
        <f>IF($E460=0,0,IF(MIN(CI$38,$E460)&lt;MAX($P$34*($B460+$I$38-1),IF(AND($L$37=0,$P$34=0),"",$L$37-1)),0,YEARFRAC(MAX($P$34*($B460+$I$38-1),IF(AND($L$37=0,$P$34=0),"",$L$37-1)),MIN(CI$38,$E460),$P$20))-SUM($BF460:CH460))</f>
        <v>0</v>
      </c>
      <c r="CJ460" s="446">
        <f>IF($E460=0,0,IF(MIN(CJ$38,$E460)&lt;MAX($P$34*($B460+$I$38-1),IF(AND($L$37=0,$P$34=0),"",$L$37-1)),0,YEARFRAC(MAX($P$34*($B460+$I$38-1),IF(AND($L$37=0,$P$34=0),"",$L$37-1)),MIN(CJ$38,$E460),$P$20))-SUM($BF460:CI460))</f>
        <v>0</v>
      </c>
      <c r="CK460" s="446">
        <f>IF($E460=0,0,IF(MIN(CK$38,$E460)&lt;MAX($P$34*($B460+$I$38-1),IF(AND($L$37=0,$P$34=0),"",$L$37-1)),0,YEARFRAC(MAX($P$34*($B460+$I$38-1),IF(AND($L$37=0,$P$34=0),"",$L$37-1)),MIN(CK$38,$E460),$P$20))-SUM($BF460:CJ460))</f>
        <v>0</v>
      </c>
      <c r="CL460" s="446">
        <f>IF($E460=0,0,IF(MIN(CL$38,$E460)&lt;MAX($P$34*($B460+$I$38-1),IF(AND($L$37=0,$P$34=0),"",$L$37-1)),0,YEARFRAC(MAX($P$34*($B460+$I$38-1),IF(AND($L$37=0,$P$34=0),"",$L$37-1)),MIN(CL$38,$E460),$P$20))-SUM($BF460:CK460))</f>
        <v>0</v>
      </c>
      <c r="CM460" s="446">
        <f>IF($E460=0,0,IF(MIN(CM$38,$E460)&lt;MAX($P$34*($B460+$I$38-1),IF(AND($L$37=0,$P$34=0),"",$L$37-1)),0,YEARFRAC(MAX($P$34*($B460+$I$38-1),IF(AND($L$37=0,$P$34=0),"",$L$37-1)),MIN(CM$38,$E460),$P$20))-SUM($BF460:CL460))</f>
        <v>0</v>
      </c>
      <c r="CN460" s="446">
        <f>IF($E460=0,0,IF(MIN(CN$38,$E460)&lt;MAX($P$34*($B460+$I$38-1),IF(AND($L$37=0,$P$34=0),"",$L$37-1)),0,YEARFRAC(MAX($P$34*($B460+$I$38-1),IF(AND($L$37=0,$P$34=0),"",$L$37-1)),MIN(CN$38,$E460),$P$20))-SUM($BF460:CM460))</f>
        <v>0</v>
      </c>
      <c r="CO460" s="446">
        <f>IF($E460=0,0,IF(MIN(CO$38,$E460)&lt;MAX($P$34*($B460+$I$38-1),IF(AND($L$37=0,$P$34=0),"",$L$37-1)),0,YEARFRAC(MAX($P$34*($B460+$I$38-1),IF(AND($L$37=0,$P$34=0),"",$L$37-1)),MIN(CO$38,$E460),$P$20))-SUM($BF460:CN460))</f>
        <v>0</v>
      </c>
      <c r="CP460" s="446">
        <f>IF($E460=0,0,IF(MIN(CP$38,$E460)&lt;MAX($P$34*($B460+$I$38-1),IF(AND($L$37=0,$P$34=0),"",$L$37-1)),0,YEARFRAC(MAX($P$34*($B460+$I$38-1),IF(AND($L$37=0,$P$34=0),"",$L$37-1)),MIN(CP$38,$E460),$P$20))-SUM($BF460:CO460))</f>
        <v>0</v>
      </c>
      <c r="CQ460" s="446">
        <f>IF($E460=0,0,IF(MIN(CQ$38,$E460)&lt;MAX($P$34*($B460+$I$38-1),IF(AND($L$37=0,$P$34=0),"",$L$37-1)),0,YEARFRAC(MAX($P$34*($B460+$I$38-1),IF(AND($L$37=0,$P$34=0),"",$L$37-1)),MIN(CQ$38,$E460),$P$20))-SUM($BF460:CP460))</f>
        <v>0</v>
      </c>
    </row>
    <row r="461" spans="1:95" s="446" customFormat="1" ht="11.25" hidden="1" customHeight="1" x14ac:dyDescent="0.2">
      <c r="A461" s="152"/>
      <c r="B461" s="153" t="str">
        <f t="shared" si="81"/>
        <v/>
      </c>
      <c r="C461" s="29" t="str">
        <f>IF(B461="","",IF($L$35="SELIC - TRIBUTOS",VLOOKUP(DATE(YEAR($D$19),MONTH($D$19)-1,1),ÍNDICES!$A:$DE,HLOOKUP($BL$25,ÍNDICES!$B$3:$T$4,2)+11)-VLOOKUP(B461,ÍNDICES!$A:$DE,HLOOKUP($BL$25,ÍNDICES!$B$3:$T$4,2)+11)+1%,IF(C$38=$W$26,$J$35,IF(ISERROR(IF(B461&gt;$D$19,1,VLOOKUP(DATE(YEAR(B461),MONTH(B461)+IF($C$35=$S$23,1,0),1),ÍNDICES!$A:$DE,$Z$35+1))),"",IF(B461&gt;$D$19,1,VLOOKUP(DATE(YEAR(B461),MONTH(B461)+IF($C$35=$S$23,1,0),1),ÍNDICES!$A:$DE,$Z$35+1))))))</f>
        <v/>
      </c>
      <c r="D461" s="154" t="str">
        <f>IF(ISERROR(IF(OR($D$38=$Y$27,$B461=""),"",VLOOKUP(B461,ÍNDICES!A:DE,AF$35+1))),"",IF(OR($D$38=$Y$27,$B461=""),"",VLOOKUP(B461,ÍNDICES!A:DE,AF$35+1)))</f>
        <v/>
      </c>
      <c r="E461" s="153"/>
      <c r="F461" s="29" t="str">
        <f>IF(E461="","",IF($L$35="SELIC - TRIBUTOS",VLOOKUP(DATE(YEAR($D$19),MONTH($D$19)-1,1),ÍNDICES!$A:$DE,HLOOKUP($BL$25,ÍNDICES!$B$3:$T$4,2)+11)-VLOOKUP(E461,ÍNDICES!$A:$DE,HLOOKUP($BL$25,ÍNDICES!$B$3:$T$4,2)+11)+1%,IF(F$38=$W$26,$J$35,IF(ISERROR(IF(E461&gt;$D$19,1,VLOOKUP(DATE(YEAR(E461),MONTH(E461)+IF($C$35=$S$23,1,0),1),ÍNDICES!$A:$DE,$Z$35+1))),"",IF(E461&gt;$D$19,1,VLOOKUP(DATE(YEAR(E461),MONTH(E461)+IF($C$35=$S$23,1,0),1),ÍNDICES!$A:$DE,$Z$35+1))))))</f>
        <v/>
      </c>
      <c r="G461" s="155"/>
      <c r="H461" s="156" t="str">
        <f t="shared" si="77"/>
        <v/>
      </c>
      <c r="I461" s="29" t="str">
        <f t="shared" si="71"/>
        <v/>
      </c>
      <c r="J461" s="5">
        <f t="shared" si="72"/>
        <v>0</v>
      </c>
      <c r="K461" s="20">
        <f t="shared" ca="1" si="73"/>
        <v>0</v>
      </c>
      <c r="L461" s="5">
        <f t="shared" ca="1" si="74"/>
        <v>0</v>
      </c>
      <c r="M461" s="64">
        <f t="shared" si="78"/>
        <v>0</v>
      </c>
      <c r="N461" s="61">
        <f t="shared" ca="1" si="79"/>
        <v>0</v>
      </c>
      <c r="O461" s="5">
        <f t="shared" ca="1" si="80"/>
        <v>0</v>
      </c>
      <c r="P461" s="446" t="e">
        <f t="shared" si="75"/>
        <v>#VALUE!</v>
      </c>
      <c r="Q461" s="446" t="e">
        <f>IF(OR($B461="",MIN(Q$38,$D$19)&lt;MAX($P$34*($B461+IF($R$17="Distrato",$I$38-1,0)),IF(AND($L$37=0,$P$34=0),"",$L$37-1),IF($R$17="Distrato",$E461,0))),0,YEARFRAC(MAX($P$34*($B461+IF($R$17="Distrato",$I$38-1,0)),IF(AND($L$37=0,$P$34=0),"",$L$37-1),IF($R$17="Distrato",$E461,0)),MIN(Q$38,$D$19),$P$20))-SUM($P461:P461)</f>
        <v>#VALUE!</v>
      </c>
      <c r="R461" s="446" t="e">
        <f>IF(OR($B461="",MIN(R$38,$D$19)&lt;MAX($P$34*($B461+IF($R$17="Distrato",$I$38-1,0)),IF(AND($L$37=0,$P$34=0),"",$L$37-1),IF($R$17="Distrato",$E461,0))),0,YEARFRAC(MAX($P$34*($B461+IF($R$17="Distrato",$I$38-1,0)),IF(AND($L$37=0,$P$34=0),"",$L$37-1),IF($R$17="Distrato",$E461,0)),MIN(R$38,$D$19),$P$20))-SUM($P461:Q461)</f>
        <v>#VALUE!</v>
      </c>
      <c r="S461" s="446" t="e">
        <f>IF(OR($B461="",MIN(S$38,$D$19)&lt;MAX($P$34*($B461+IF($R$17="Distrato",$I$38-1,0)),IF(AND($L$37=0,$P$34=0),"",$L$37-1),IF($R$17="Distrato",$E461,0))),0,YEARFRAC(MAX($P$34*($B461+IF($R$17="Distrato",$I$38-1,0)),IF(AND($L$37=0,$P$34=0),"",$L$37-1),IF($R$17="Distrato",$E461,0)),MIN(S$38,$D$19),$P$20))-SUM($P461:R461)</f>
        <v>#VALUE!</v>
      </c>
      <c r="T461" s="446" t="e">
        <f>IF(OR($B461="",MIN(T$38,$D$19)&lt;MAX($P$34*($B461+IF($R$17="Distrato",$I$38-1,0)),IF(AND($L$37=0,$P$34=0),"",$L$37-1),IF($R$17="Distrato",$E461,0))),0,YEARFRAC(MAX($P$34*($B461+IF($R$17="Distrato",$I$38-1,0)),IF(AND($L$37=0,$P$34=0),"",$L$37-1),IF($R$17="Distrato",$E461,0)),MIN(T$38,$D$19),$P$20))-SUM($P461:S461)</f>
        <v>#VALUE!</v>
      </c>
      <c r="U461" s="446" t="e">
        <f>IF(OR($B461="",MIN(U$38,$D$19)&lt;MAX($P$34*($B461+IF($R$17="Distrato",$I$38-1,0)),IF(AND($L$37=0,$P$34=0),"",$L$37-1),IF($R$17="Distrato",$E461,0))),0,YEARFRAC(MAX($P$34*($B461+IF($R$17="Distrato",$I$38-1,0)),IF(AND($L$37=0,$P$34=0),"",$L$37-1),IF($R$17="Distrato",$E461,0)),MIN(U$38,$D$19),$P$20))-SUM($P461:T461)</f>
        <v>#VALUE!</v>
      </c>
      <c r="V461" s="446" t="e">
        <f>IF(OR($B461="",MIN(V$38,$D$19)&lt;MAX($P$34*($B461+IF($R$17="Distrato",$I$38-1,0)),IF(AND($L$37=0,$P$34=0),"",$L$37-1),IF($R$17="Distrato",$E461,0))),0,YEARFRAC(MAX($P$34*($B461+IF($R$17="Distrato",$I$38-1,0)),IF(AND($L$37=0,$P$34=0),"",$L$37-1),IF($R$17="Distrato",$E461,0)),MIN(V$38,$D$19),$P$20))-SUM($P461:U461)</f>
        <v>#VALUE!</v>
      </c>
      <c r="W461" s="446" t="e">
        <f>IF(OR($B461="",MIN(W$38,$D$19)&lt;MAX($P$34*($B461+IF($R$17="Distrato",$I$38-1,0)),IF(AND($L$37=0,$P$34=0),"",$L$37-1),IF($R$17="Distrato",$E461,0))),0,YEARFRAC(MAX($P$34*($B461+IF($R$17="Distrato",$I$38-1,0)),IF(AND($L$37=0,$P$34=0),"",$L$37-1),IF($R$17="Distrato",$E461,0)),MIN(W$38,$D$19),$P$20))-SUM($P461:V461)</f>
        <v>#VALUE!</v>
      </c>
      <c r="X461" s="446" t="e">
        <f>IF(OR($B461="",MIN(X$38,$D$19)&lt;MAX($P$34*($B461+IF($R$17="Distrato",$I$38-1,0)),IF(AND($L$37=0,$P$34=0),"",$L$37-1),IF($R$17="Distrato",$E461,0))),0,YEARFRAC(MAX($P$34*($B461+IF($R$17="Distrato",$I$38-1,0)),IF(AND($L$37=0,$P$34=0),"",$L$37-1),IF($R$17="Distrato",$E461,0)),MIN(X$38,$D$19),$P$20))-SUM($P461:W461)</f>
        <v>#VALUE!</v>
      </c>
      <c r="Y461" s="446" t="e">
        <f>IF(OR($B461="",MIN(Y$38,$D$19)&lt;MAX($P$34*($B461+IF($R$17="Distrato",$I$38-1,0)),IF(AND($L$37=0,$P$34=0),"",$L$37-1),IF($R$17="Distrato",$E461,0))),0,YEARFRAC(MAX($P$34*($B461+IF($R$17="Distrato",$I$38-1,0)),IF(AND($L$37=0,$P$34=0),"",$L$37-1),IF($R$17="Distrato",$E461,0)),MIN(Y$38,$D$19),$P$20))-SUM($P461:X461)</f>
        <v>#VALUE!</v>
      </c>
      <c r="Z461" s="446" t="e">
        <f>IF(OR($B461="",MIN(Z$38,$D$19)&lt;MAX($P$34*($B461+IF($R$17="Distrato",$I$38-1,0)),IF(AND($L$37=0,$P$34=0),"",$L$37-1),IF($R$17="Distrato",$E461,0))),0,YEARFRAC(MAX($P$34*($B461+IF($R$17="Distrato",$I$38-1,0)),IF(AND($L$37=0,$P$34=0),"",$L$37-1),IF($R$17="Distrato",$E461,0)),MIN(Z$38,$D$19),$P$20))-SUM($P461:Y461)</f>
        <v>#VALUE!</v>
      </c>
      <c r="AA461" s="446" t="e">
        <f>IF(OR($B461="",MIN(AA$38,$D$19)&lt;MAX($P$34*($B461+IF($R$17="Distrato",$I$38-1,0)),IF(AND($L$37=0,$P$34=0),"",$L$37-1),IF($R$17="Distrato",$E461,0))),0,YEARFRAC(MAX($P$34*($B461+IF($R$17="Distrato",$I$38-1,0)),IF(AND($L$37=0,$P$34=0),"",$L$37-1),IF($R$17="Distrato",$E461,0)),MIN(AA$38,$D$19),$P$20))-SUM($P461:Z461)</f>
        <v>#VALUE!</v>
      </c>
      <c r="AB461" s="446" t="e">
        <f>IF(OR($B461="",MIN(AB$38,$D$19)&lt;MAX($P$34*($B461+IF($R$17="Distrato",$I$38-1,0)),IF(AND($L$37=0,$P$34=0),"",$L$37-1),IF($R$17="Distrato",$E461,0))),0,YEARFRAC(MAX($P$34*($B461+IF($R$17="Distrato",$I$38-1,0)),IF(AND($L$37=0,$P$34=0),"",$L$37-1),IF($R$17="Distrato",$E461,0)),MIN(AB$38,$D$19),$P$20))-SUM($P461:AA461)</f>
        <v>#VALUE!</v>
      </c>
      <c r="AC461" s="446" t="e">
        <f>IF(OR($B461="",MIN(AC$38,$D$19)&lt;MAX($P$34*($B461+IF($R$17="Distrato",$I$38-1,0)),IF(AND($L$37=0,$P$34=0),"",$L$37-1),IF($R$17="Distrato",$E461,0))),0,YEARFRAC(MAX($P$34*($B461+IF($R$17="Distrato",$I$38-1,0)),IF(AND($L$37=0,$P$34=0),"",$L$37-1),IF($R$17="Distrato",$E461,0)),MIN(AC$38,$D$19),$P$20))-SUM($P461:AB461)</f>
        <v>#VALUE!</v>
      </c>
      <c r="AD461" s="446" t="e">
        <f>IF(OR($B461="",MIN(AD$38,$D$19)&lt;MAX($P$34*($B461+IF($R$17="Distrato",$I$38-1,0)),IF(AND($L$37=0,$P$34=0),"",$L$37-1),IF($R$17="Distrato",$E461,0))),0,YEARFRAC(MAX($P$34*($B461+IF($R$17="Distrato",$I$38-1,0)),IF(AND($L$37=0,$P$34=0),"",$L$37-1),IF($R$17="Distrato",$E461,0)),MIN(AD$38,$D$19),$P$20))-SUM($P461:AC461)</f>
        <v>#VALUE!</v>
      </c>
      <c r="AE461" s="446" t="e">
        <f>IF(OR($B461="",MIN(AE$38,$D$19)&lt;MAX($P$34*($B461+IF($R$17="Distrato",$I$38-1,0)),IF(AND($L$37=0,$P$34=0),"",$L$37-1),IF($R$17="Distrato",$E461,0))),0,YEARFRAC(MAX($P$34*($B461+IF($R$17="Distrato",$I$38-1,0)),IF(AND($L$37=0,$P$34=0),"",$L$37-1),IF($R$17="Distrato",$E461,0)),MIN(AE$38,$D$19),$P$20))-SUM($P461:AD461)</f>
        <v>#VALUE!</v>
      </c>
      <c r="AF461" s="446" t="e">
        <f>IF(OR($B461="",MIN(AF$38,$D$19)&lt;MAX($P$34*($B461+IF($R$17="Distrato",$I$38-1,0)),IF(AND($L$37=0,$P$34=0),"",$L$37-1),IF($R$17="Distrato",$E461,0))),0,YEARFRAC(MAX($P$34*($B461+IF($R$17="Distrato",$I$38-1,0)),IF(AND($L$37=0,$P$34=0),"",$L$37-1),IF($R$17="Distrato",$E461,0)),MIN(AF$38,$D$19),$P$20))-SUM($P461:AE461)</f>
        <v>#VALUE!</v>
      </c>
      <c r="AG461" s="446" t="e">
        <f>IF(OR($B461="",MIN(AG$38,$D$19)&lt;MAX($P$34*($B461+IF($R$17="Distrato",$I$38-1,0)),IF(AND($L$37=0,$P$34=0),"",$L$37-1),IF($R$17="Distrato",$E461,0))),0,YEARFRAC(MAX($P$34*($B461+IF($R$17="Distrato",$I$38-1,0)),IF(AND($L$37=0,$P$34=0),"",$L$37-1),IF($R$17="Distrato",$E461,0)),MIN(AG$38,$D$19),$P$20))-SUM($P461:AF461)</f>
        <v>#VALUE!</v>
      </c>
      <c r="AH461" s="446" t="e">
        <f>IF(OR($B461="",MIN(AH$38,$D$19)&lt;MAX($P$34*($B461+IF($R$17="Distrato",$I$38-1,0)),IF(AND($L$37=0,$P$34=0),"",$L$37-1),IF($R$17="Distrato",$E461,0))),0,YEARFRAC(MAX($P$34*($B461+IF($R$17="Distrato",$I$38-1,0)),IF(AND($L$37=0,$P$34=0),"",$L$37-1),IF($R$17="Distrato",$E461,0)),MIN(AH$38,$D$19),$P$20))-SUM($P461:AG461)</f>
        <v>#VALUE!</v>
      </c>
      <c r="AI461" s="446" t="e">
        <f>IF(OR($B461="",MIN(AI$38,$D$19)&lt;MAX($P$34*($B461+IF($R$17="Distrato",$I$38-1,0)),IF(AND($L$37=0,$P$34=0),"",$L$37-1),IF($R$17="Distrato",$E461,0))),0,YEARFRAC(MAX($P$34*($B461+IF($R$17="Distrato",$I$38-1,0)),IF(AND($L$37=0,$P$34=0),"",$L$37-1),IF($R$17="Distrato",$E461,0)),MIN(AI$38,$D$19),$P$20))-SUM($P461:AH461)</f>
        <v>#VALUE!</v>
      </c>
      <c r="AJ461" s="446" t="e">
        <f>IF(OR($B461="",MIN(AJ$38,$D$19)&lt;MAX($P$34*($B461+IF($R$17="Distrato",$I$38-1,0)),IF(AND($L$37=0,$P$34=0),"",$L$37-1),IF($R$17="Distrato",$E461,0))),0,YEARFRAC(MAX($P$34*($B461+IF($R$17="Distrato",$I$38-1,0)),IF(AND($L$37=0,$P$34=0),"",$L$37-1),IF($R$17="Distrato",$E461,0)),MIN(AJ$38,$D$19),$P$20))-SUM($P461:AI461)</f>
        <v>#VALUE!</v>
      </c>
      <c r="AK461" s="446" t="e">
        <f>IF(OR($B461="",MIN(AK$38,$D$19)&lt;MAX($P$34*($B461+IF($R$17="Distrato",$I$38-1,0)),IF(AND($L$37=0,$P$34=0),"",$L$37-1),IF($R$17="Distrato",$E461,0))),0,YEARFRAC(MAX($P$34*($B461+IF($R$17="Distrato",$I$38-1,0)),IF(AND($L$37=0,$P$34=0),"",$L$37-1),IF($R$17="Distrato",$E461,0)),MIN(AK$38,$D$19),$P$20))-SUM($P461:AJ461)</f>
        <v>#VALUE!</v>
      </c>
      <c r="AL461" s="446" t="e">
        <f>IF(OR($B461="",MIN(AL$38,$D$19)&lt;MAX($P$34*($B461+IF($R$17="Distrato",$I$38-1,0)),IF(AND($L$37=0,$P$34=0),"",$L$37-1),IF($R$17="Distrato",$E461,0))),0,YEARFRAC(MAX($P$34*($B461+IF($R$17="Distrato",$I$38-1,0)),IF(AND($L$37=0,$P$34=0),"",$L$37-1),IF($R$17="Distrato",$E461,0)),MIN(AL$38,$D$19),$P$20))-SUM($P461:AK461)</f>
        <v>#VALUE!</v>
      </c>
      <c r="AM461" s="446" t="e">
        <f>IF(OR($B461="",MIN(AM$38,$D$19)&lt;MAX($P$34*($B461+IF($R$17="Distrato",$I$38-1,0)),IF(AND($L$37=0,$P$34=0),"",$L$37-1),IF($R$17="Distrato",$E461,0))),0,YEARFRAC(MAX($P$34*($B461+IF($R$17="Distrato",$I$38-1,0)),IF(AND($L$37=0,$P$34=0),"",$L$37-1),IF($R$17="Distrato",$E461,0)),MIN(AM$38,$D$19),$P$20))-SUM($P461:AL461)</f>
        <v>#VALUE!</v>
      </c>
      <c r="AN461" s="446" t="e">
        <f>IF(OR($B461="",MIN(AN$38,$D$19)&lt;MAX($P$34*($B461+IF($R$17="Distrato",$I$38-1,0)),IF(AND($L$37=0,$P$34=0),"",$L$37-1),IF($R$17="Distrato",$E461,0))),0,YEARFRAC(MAX($P$34*($B461+IF($R$17="Distrato",$I$38-1,0)),IF(AND($L$37=0,$P$34=0),"",$L$37-1),IF($R$17="Distrato",$E461,0)),MIN(AN$38,$D$19),$P$20))-SUM($P461:AM461)</f>
        <v>#VALUE!</v>
      </c>
      <c r="AO461" s="446" t="e">
        <f>IF(OR($B461="",MIN(AO$38,$D$19)&lt;MAX($P$34*($B461+IF($R$17="Distrato",$I$38-1,0)),IF(AND($L$37=0,$P$34=0),"",$L$37-1),IF($R$17="Distrato",$E461,0))),0,YEARFRAC(MAX($P$34*($B461+IF($R$17="Distrato",$I$38-1,0)),IF(AND($L$37=0,$P$34=0),"",$L$37-1),IF($R$17="Distrato",$E461,0)),MIN(AO$38,$D$19),$P$20))-SUM($P461:AN461)</f>
        <v>#VALUE!</v>
      </c>
      <c r="AP461" s="446" t="e">
        <f>IF(OR($B461="",MIN(AP$38,$D$19)&lt;MAX($P$34*($B461+IF($R$17="Distrato",$I$38-1,0)),IF(AND($L$37=0,$P$34=0),"",$L$37-1),IF($R$17="Distrato",$E461,0))),0,YEARFRAC(MAX($P$34*($B461+IF($R$17="Distrato",$I$38-1,0)),IF(AND($L$37=0,$P$34=0),"",$L$37-1),IF($R$17="Distrato",$E461,0)),MIN(AP$38,$D$19),$P$20))-SUM($P461:AO461)</f>
        <v>#VALUE!</v>
      </c>
      <c r="AQ461" s="446" t="e">
        <f>IF(OR($B461="",MIN(AQ$38,$D$19)&lt;MAX($P$34*($B461+IF($R$17="Distrato",$I$38-1,0)),IF(AND($L$37=0,$P$34=0),"",$L$37-1),IF($R$17="Distrato",$E461,0))),0,YEARFRAC(MAX($P$34*($B461+IF($R$17="Distrato",$I$38-1,0)),IF(AND($L$37=0,$P$34=0),"",$L$37-1),IF($R$17="Distrato",$E461,0)),MIN(AQ$38,$D$19),$P$20))-SUM($P461:AP461)</f>
        <v>#VALUE!</v>
      </c>
      <c r="AR461" s="446" t="e">
        <f>IF(OR($B461="",MIN(AR$38,$D$19)&lt;MAX($P$34*($B461+IF($R$17="Distrato",$I$38-1,0)),IF(AND($L$37=0,$P$34=0),"",$L$37-1),IF($R$17="Distrato",$E461,0))),0,YEARFRAC(MAX($P$34*($B461+IF($R$17="Distrato",$I$38-1,0)),IF(AND($L$37=0,$P$34=0),"",$L$37-1),IF($R$17="Distrato",$E461,0)),MIN(AR$38,$D$19),$P$20))-SUM($P461:AQ461)</f>
        <v>#VALUE!</v>
      </c>
      <c r="AS461" s="446" t="e">
        <f>IF(OR($B461="",MIN(AS$38,$D$19)&lt;MAX($P$34*($B461+IF($R$17="Distrato",$I$38-1,0)),IF(AND($L$37=0,$P$34=0),"",$L$37-1),IF($R$17="Distrato",$E461,0))),0,YEARFRAC(MAX($P$34*($B461+IF($R$17="Distrato",$I$38-1,0)),IF(AND($L$37=0,$P$34=0),"",$L$37-1),IF($R$17="Distrato",$E461,0)),MIN(AS$38,$D$19),$P$20))-SUM($P461:AR461)</f>
        <v>#VALUE!</v>
      </c>
      <c r="AT461" s="446" t="e">
        <f>IF(OR($B461="",MIN(AT$38,$D$19)&lt;MAX($P$34*($B461+IF($R$17="Distrato",$I$38-1,0)),IF(AND($L$37=0,$P$34=0),"",$L$37-1),IF($R$17="Distrato",$E461,0))),0,YEARFRAC(MAX($P$34*($B461+IF($R$17="Distrato",$I$38-1,0)),IF(AND($L$37=0,$P$34=0),"",$L$37-1),IF($R$17="Distrato",$E461,0)),MIN(AT$38,$D$19),$P$20))-SUM($P461:AS461)</f>
        <v>#VALUE!</v>
      </c>
      <c r="AU461" s="446" t="e">
        <f>IF(OR($B461="",MIN(AU$38,$D$19)&lt;MAX($P$34*($B461+IF($R$17="Distrato",$I$38-1,0)),IF(AND($L$37=0,$P$34=0),"",$L$37-1),IF($R$17="Distrato",$E461,0))),0,YEARFRAC(MAX($P$34*($B461+IF($R$17="Distrato",$I$38-1,0)),IF(AND($L$37=0,$P$34=0),"",$L$37-1),IF($R$17="Distrato",$E461,0)),MIN(AU$38,$D$19),$P$20))-SUM($P461:AT461)</f>
        <v>#VALUE!</v>
      </c>
      <c r="AV461" s="446" t="e">
        <f>IF(OR($B461="",MIN(AV$38,$D$19)&lt;MAX($P$34*($B461+IF($R$17="Distrato",$I$38-1,0)),IF(AND($L$37=0,$P$34=0),"",$L$37-1),IF($R$17="Distrato",$E461,0))),0,YEARFRAC(MAX($P$34*($B461+IF($R$17="Distrato",$I$38-1,0)),IF(AND($L$37=0,$P$34=0),"",$L$37-1),IF($R$17="Distrato",$E461,0)),MIN(AV$38,$D$19),$P$20))-SUM($P461:AU461)</f>
        <v>#VALUE!</v>
      </c>
      <c r="AW461" s="446" t="e">
        <f>IF(OR($B461="",MIN(AW$38,$D$19)&lt;MAX($P$34*($B461+IF($R$17="Distrato",$I$38-1,0)),IF(AND($L$37=0,$P$34=0),"",$L$37-1),IF($R$17="Distrato",$E461,0))),0,YEARFRAC(MAX($P$34*($B461+IF($R$17="Distrato",$I$38-1,0)),IF(AND($L$37=0,$P$34=0),"",$L$37-1),IF($R$17="Distrato",$E461,0)),MIN(AW$38,$D$19),$P$20))-SUM($P461:AV461)</f>
        <v>#VALUE!</v>
      </c>
      <c r="AX461" s="446" t="e">
        <f>IF(OR($B461="",MIN(AX$38,$D$19)&lt;MAX($P$34*($B461+IF($R$17="Distrato",$I$38-1,0)),IF(AND($L$37=0,$P$34=0),"",$L$37-1),IF($R$17="Distrato",$E461,0))),0,YEARFRAC(MAX($P$34*($B461+IF($R$17="Distrato",$I$38-1,0)),IF(AND($L$37=0,$P$34=0),"",$L$37-1),IF($R$17="Distrato",$E461,0)),MIN(AX$38,$D$19),$P$20))-SUM($P461:AW461)</f>
        <v>#VALUE!</v>
      </c>
      <c r="AY461" s="446" t="e">
        <f>IF(OR($B461="",MIN(AY$38,$D$19)&lt;MAX($P$34*($B461+IF($R$17="Distrato",$I$38-1,0)),IF(AND($L$37=0,$P$34=0),"",$L$37-1),IF($R$17="Distrato",$E461,0))),0,YEARFRAC(MAX($P$34*($B461+IF($R$17="Distrato",$I$38-1,0)),IF(AND($L$37=0,$P$34=0),"",$L$37-1),IF($R$17="Distrato",$E461,0)),MIN(AY$38,$D$19),$P$20))-SUM($P461:AX461)</f>
        <v>#VALUE!</v>
      </c>
      <c r="AZ461" s="446" t="e">
        <f>IF(OR($B461="",MIN(AZ$38,$D$19)&lt;MAX($P$34*($B461+IF($R$17="Distrato",$I$38-1,0)),IF(AND($L$37=0,$P$34=0),"",$L$37-1),IF($R$17="Distrato",$E461,0))),0,YEARFRAC(MAX($P$34*($B461+IF($R$17="Distrato",$I$38-1,0)),IF(AND($L$37=0,$P$34=0),"",$L$37-1),IF($R$17="Distrato",$E461,0)),MIN(AZ$38,$D$19),$P$20))-SUM($P461:AY461)</f>
        <v>#VALUE!</v>
      </c>
      <c r="BA461" s="446" t="e">
        <f>IF(OR($B461="",MIN(BA$38,$D$19)&lt;MAX($P$34*($B461+IF($R$17="Distrato",$I$38-1,0)),IF(AND($L$37=0,$P$34=0),"",$L$37-1),IF($R$17="Distrato",$E461,0))),0,YEARFRAC(MAX($P$34*($B461+IF($R$17="Distrato",$I$38-1,0)),IF(AND($L$37=0,$P$34=0),"",$L$37-1),IF($R$17="Distrato",$E461,0)),MIN(BA$38,$D$19),$P$20))-SUM($P461:AZ461)</f>
        <v>#VALUE!</v>
      </c>
      <c r="BB461" s="447"/>
      <c r="BF461" s="446">
        <f t="shared" si="76"/>
        <v>0</v>
      </c>
      <c r="BG461" s="446">
        <f>IF($E461=0,0,IF(MIN(BG$38,$E461)&lt;MAX($P$34*($B461+$I$38-1),IF(AND($L$37=0,$P$34=0),"",$L$37-1)),0,YEARFRAC(MAX($P$34*($B461+$I$38-1),IF(AND($L$37=0,$P$34=0),"",$L$37-1)),MIN(BG$38,$E461),$P$20))-SUM($BF461:BF461))</f>
        <v>0</v>
      </c>
      <c r="BH461" s="446">
        <f>IF($E461=0,0,IF(MIN(BH$38,$E461)&lt;MAX($P$34*($B461+$I$38-1),IF(AND($L$37=0,$P$34=0),"",$L$37-1)),0,YEARFRAC(MAX($P$34*($B461+$I$38-1),IF(AND($L$37=0,$P$34=0),"",$L$37-1)),MIN(BH$38,$E461),$P$20))-SUM($BF461:BG461))</f>
        <v>0</v>
      </c>
      <c r="BI461" s="446">
        <f>IF($E461=0,0,IF(MIN(BI$38,$E461)&lt;MAX($P$34*($B461+$I$38-1),IF(AND($L$37=0,$P$34=0),"",$L$37-1)),0,YEARFRAC(MAX($P$34*($B461+$I$38-1),IF(AND($L$37=0,$P$34=0),"",$L$37-1)),MIN(BI$38,$E461),$P$20))-SUM($BF461:BH461))</f>
        <v>0</v>
      </c>
      <c r="BJ461" s="446">
        <f>IF($E461=0,0,IF(MIN(BJ$38,$E461)&lt;MAX($P$34*($B461+$I$38-1),IF(AND($L$37=0,$P$34=0),"",$L$37-1)),0,YEARFRAC(MAX($P$34*($B461+$I$38-1),IF(AND($L$37=0,$P$34=0),"",$L$37-1)),MIN(BJ$38,$E461),$P$20))-SUM($BF461:BI461))</f>
        <v>0</v>
      </c>
      <c r="BK461" s="446">
        <f>IF($E461=0,0,IF(MIN(BK$38,$E461)&lt;MAX($P$34*($B461+$I$38-1),IF(AND($L$37=0,$P$34=0),"",$L$37-1)),0,YEARFRAC(MAX($P$34*($B461+$I$38-1),IF(AND($L$37=0,$P$34=0),"",$L$37-1)),MIN(BK$38,$E461),$P$20))-SUM($BF461:BJ461))</f>
        <v>0</v>
      </c>
      <c r="BL461" s="446">
        <f>IF($E461=0,0,IF(MIN(BL$38,$E461)&lt;MAX($P$34*($B461+$I$38-1),IF(AND($L$37=0,$P$34=0),"",$L$37-1)),0,YEARFRAC(MAX($P$34*($B461+$I$38-1),IF(AND($L$37=0,$P$34=0),"",$L$37-1)),MIN(BL$38,$E461),$P$20))-SUM($BF461:BK461))</f>
        <v>0</v>
      </c>
      <c r="BM461" s="446">
        <f>IF($E461=0,0,IF(MIN(BM$38,$E461)&lt;MAX($P$34*($B461+$I$38-1),IF(AND($L$37=0,$P$34=0),"",$L$37-1)),0,YEARFRAC(MAX($P$34*($B461+$I$38-1),IF(AND($L$37=0,$P$34=0),"",$L$37-1)),MIN(BM$38,$E461),$P$20))-SUM($BF461:BL461))</f>
        <v>0</v>
      </c>
      <c r="BN461" s="446">
        <f>IF($E461=0,0,IF(MIN(BN$38,$E461)&lt;MAX($P$34*($B461+$I$38-1),IF(AND($L$37=0,$P$34=0),"",$L$37-1)),0,YEARFRAC(MAX($P$34*($B461+$I$38-1),IF(AND($L$37=0,$P$34=0),"",$L$37-1)),MIN(BN$38,$E461),$P$20))-SUM($BF461:BM461))</f>
        <v>0</v>
      </c>
      <c r="BO461" s="446">
        <f>IF($E461=0,0,IF(MIN(BO$38,$E461)&lt;MAX($P$34*($B461+$I$38-1),IF(AND($L$37=0,$P$34=0),"",$L$37-1)),0,YEARFRAC(MAX($P$34*($B461+$I$38-1),IF(AND($L$37=0,$P$34=0),"",$L$37-1)),MIN(BO$38,$E461),$P$20))-SUM($BF461:BN461))</f>
        <v>0</v>
      </c>
      <c r="BP461" s="446">
        <f>IF($E461=0,0,IF(MIN(BP$38,$E461)&lt;MAX($P$34*($B461+$I$38-1),IF(AND($L$37=0,$P$34=0),"",$L$37-1)),0,YEARFRAC(MAX($P$34*($B461+$I$38-1),IF(AND($L$37=0,$P$34=0),"",$L$37-1)),MIN(BP$38,$E461),$P$20))-SUM($BF461:BO461))</f>
        <v>0</v>
      </c>
      <c r="BQ461" s="446">
        <f>IF($E461=0,0,IF(MIN(BQ$38,$E461)&lt;MAX($P$34*($B461+$I$38-1),IF(AND($L$37=0,$P$34=0),"",$L$37-1)),0,YEARFRAC(MAX($P$34*($B461+$I$38-1),IF(AND($L$37=0,$P$34=0),"",$L$37-1)),MIN(BQ$38,$E461),$P$20))-SUM($BF461:BP461))</f>
        <v>0</v>
      </c>
      <c r="BR461" s="446">
        <f>IF($E461=0,0,IF(MIN(BR$38,$E461)&lt;MAX($P$34*($B461+$I$38-1),IF(AND($L$37=0,$P$34=0),"",$L$37-1)),0,YEARFRAC(MAX($P$34*($B461+$I$38-1),IF(AND($L$37=0,$P$34=0),"",$L$37-1)),MIN(BR$38,$E461),$P$20))-SUM($BF461:BQ461))</f>
        <v>0</v>
      </c>
      <c r="BS461" s="446">
        <f>IF($E461=0,0,IF(MIN(BS$38,$E461)&lt;MAX($P$34*($B461+$I$38-1),IF(AND($L$37=0,$P$34=0),"",$L$37-1)),0,YEARFRAC(MAX($P$34*($B461+$I$38-1),IF(AND($L$37=0,$P$34=0),"",$L$37-1)),MIN(BS$38,$E461),$P$20))-SUM($BF461:BR461))</f>
        <v>0</v>
      </c>
      <c r="BT461" s="446">
        <f>IF($E461=0,0,IF(MIN(BT$38,$E461)&lt;MAX($P$34*($B461+$I$38-1),IF(AND($L$37=0,$P$34=0),"",$L$37-1)),0,YEARFRAC(MAX($P$34*($B461+$I$38-1),IF(AND($L$37=0,$P$34=0),"",$L$37-1)),MIN(BT$38,$E461),$P$20))-SUM($BF461:BS461))</f>
        <v>0</v>
      </c>
      <c r="BU461" s="446">
        <f>IF($E461=0,0,IF(MIN(BU$38,$E461)&lt;MAX($P$34*($B461+$I$38-1),IF(AND($L$37=0,$P$34=0),"",$L$37-1)),0,YEARFRAC(MAX($P$34*($B461+$I$38-1),IF(AND($L$37=0,$P$34=0),"",$L$37-1)),MIN(BU$38,$E461),$P$20))-SUM($BF461:BT461))</f>
        <v>0</v>
      </c>
      <c r="BV461" s="446">
        <f>IF($E461=0,0,IF(MIN(BV$38,$E461)&lt;MAX($P$34*($B461+$I$38-1),IF(AND($L$37=0,$P$34=0),"",$L$37-1)),0,YEARFRAC(MAX($P$34*($B461+$I$38-1),IF(AND($L$37=0,$P$34=0),"",$L$37-1)),MIN(BV$38,$E461),$P$20))-SUM($BF461:BU461))</f>
        <v>0</v>
      </c>
      <c r="BW461" s="446">
        <f>IF($E461=0,0,IF(MIN(BW$38,$E461)&lt;MAX($P$34*($B461+$I$38-1),IF(AND($L$37=0,$P$34=0),"",$L$37-1)),0,YEARFRAC(MAX($P$34*($B461+$I$38-1),IF(AND($L$37=0,$P$34=0),"",$L$37-1)),MIN(BW$38,$E461),$P$20))-SUM($BF461:BV461))</f>
        <v>0</v>
      </c>
      <c r="BX461" s="446">
        <f>IF($E461=0,0,IF(MIN(BX$38,$E461)&lt;MAX($P$34*($B461+$I$38-1),IF(AND($L$37=0,$P$34=0),"",$L$37-1)),0,YEARFRAC(MAX($P$34*($B461+$I$38-1),IF(AND($L$37=0,$P$34=0),"",$L$37-1)),MIN(BX$38,$E461),$P$20))-SUM($BF461:BW461))</f>
        <v>0</v>
      </c>
      <c r="BY461" s="446">
        <f>IF($E461=0,0,IF(MIN(BY$38,$E461)&lt;MAX($P$34*($B461+$I$38-1),IF(AND($L$37=0,$P$34=0),"",$L$37-1)),0,YEARFRAC(MAX($P$34*($B461+$I$38-1),IF(AND($L$37=0,$P$34=0),"",$L$37-1)),MIN(BY$38,$E461),$P$20))-SUM($BF461:BX461))</f>
        <v>0</v>
      </c>
      <c r="BZ461" s="446">
        <f>IF($E461=0,0,IF(MIN(BZ$38,$E461)&lt;MAX($P$34*($B461+$I$38-1),IF(AND($L$37=0,$P$34=0),"",$L$37-1)),0,YEARFRAC(MAX($P$34*($B461+$I$38-1),IF(AND($L$37=0,$P$34=0),"",$L$37-1)),MIN(BZ$38,$E461),$P$20))-SUM($BF461:BY461))</f>
        <v>0</v>
      </c>
      <c r="CA461" s="446">
        <f>IF($E461=0,0,IF(MIN(CA$38,$E461)&lt;MAX($P$34*($B461+$I$38-1),IF(AND($L$37=0,$P$34=0),"",$L$37-1)),0,YEARFRAC(MAX($P$34*($B461+$I$38-1),IF(AND($L$37=0,$P$34=0),"",$L$37-1)),MIN(CA$38,$E461),$P$20))-SUM($BF461:BZ461))</f>
        <v>0</v>
      </c>
      <c r="CB461" s="446">
        <f>IF($E461=0,0,IF(MIN(CB$38,$E461)&lt;MAX($P$34*($B461+$I$38-1),IF(AND($L$37=0,$P$34=0),"",$L$37-1)),0,YEARFRAC(MAX($P$34*($B461+$I$38-1),IF(AND($L$37=0,$P$34=0),"",$L$37-1)),MIN(CB$38,$E461),$P$20))-SUM($BF461:CA461))</f>
        <v>0</v>
      </c>
      <c r="CC461" s="446">
        <f>IF($E461=0,0,IF(MIN(CC$38,$E461)&lt;MAX($P$34*($B461+$I$38-1),IF(AND($L$37=0,$P$34=0),"",$L$37-1)),0,YEARFRAC(MAX($P$34*($B461+$I$38-1),IF(AND($L$37=0,$P$34=0),"",$L$37-1)),MIN(CC$38,$E461),$P$20))-SUM($BF461:CB461))</f>
        <v>0</v>
      </c>
      <c r="CD461" s="446">
        <f>IF($E461=0,0,IF(MIN(CD$38,$E461)&lt;MAX($P$34*($B461+$I$38-1),IF(AND($L$37=0,$P$34=0),"",$L$37-1)),0,YEARFRAC(MAX($P$34*($B461+$I$38-1),IF(AND($L$37=0,$P$34=0),"",$L$37-1)),MIN(CD$38,$E461),$P$20))-SUM($BF461:CC461))</f>
        <v>0</v>
      </c>
      <c r="CE461" s="446">
        <f>IF($E461=0,0,IF(MIN(CE$38,$E461)&lt;MAX($P$34*($B461+$I$38-1),IF(AND($L$37=0,$P$34=0),"",$L$37-1)),0,YEARFRAC(MAX($P$34*($B461+$I$38-1),IF(AND($L$37=0,$P$34=0),"",$L$37-1)),MIN(CE$38,$E461),$P$20))-SUM($BF461:CD461))</f>
        <v>0</v>
      </c>
      <c r="CF461" s="446">
        <f>IF($E461=0,0,IF(MIN(CF$38,$E461)&lt;MAX($P$34*($B461+$I$38-1),IF(AND($L$37=0,$P$34=0),"",$L$37-1)),0,YEARFRAC(MAX($P$34*($B461+$I$38-1),IF(AND($L$37=0,$P$34=0),"",$L$37-1)),MIN(CF$38,$E461),$P$20))-SUM($BF461:CE461))</f>
        <v>0</v>
      </c>
      <c r="CG461" s="446">
        <f>IF($E461=0,0,IF(MIN(CG$38,$E461)&lt;MAX($P$34*($B461+$I$38-1),IF(AND($L$37=0,$P$34=0),"",$L$37-1)),0,YEARFRAC(MAX($P$34*($B461+$I$38-1),IF(AND($L$37=0,$P$34=0),"",$L$37-1)),MIN(CG$38,$E461),$P$20))-SUM($BF461:CF461))</f>
        <v>0</v>
      </c>
      <c r="CH461" s="446">
        <f>IF($E461=0,0,IF(MIN(CH$38,$E461)&lt;MAX($P$34*($B461+$I$38-1),IF(AND($L$37=0,$P$34=0),"",$L$37-1)),0,YEARFRAC(MAX($P$34*($B461+$I$38-1),IF(AND($L$37=0,$P$34=0),"",$L$37-1)),MIN(CH$38,$E461),$P$20))-SUM($BF461:CG461))</f>
        <v>0</v>
      </c>
      <c r="CI461" s="446">
        <f>IF($E461=0,0,IF(MIN(CI$38,$E461)&lt;MAX($P$34*($B461+$I$38-1),IF(AND($L$37=0,$P$34=0),"",$L$37-1)),0,YEARFRAC(MAX($P$34*($B461+$I$38-1),IF(AND($L$37=0,$P$34=0),"",$L$37-1)),MIN(CI$38,$E461),$P$20))-SUM($BF461:CH461))</f>
        <v>0</v>
      </c>
      <c r="CJ461" s="446">
        <f>IF($E461=0,0,IF(MIN(CJ$38,$E461)&lt;MAX($P$34*($B461+$I$38-1),IF(AND($L$37=0,$P$34=0),"",$L$37-1)),0,YEARFRAC(MAX($P$34*($B461+$I$38-1),IF(AND($L$37=0,$P$34=0),"",$L$37-1)),MIN(CJ$38,$E461),$P$20))-SUM($BF461:CI461))</f>
        <v>0</v>
      </c>
      <c r="CK461" s="446">
        <f>IF($E461=0,0,IF(MIN(CK$38,$E461)&lt;MAX($P$34*($B461+$I$38-1),IF(AND($L$37=0,$P$34=0),"",$L$37-1)),0,YEARFRAC(MAX($P$34*($B461+$I$38-1),IF(AND($L$37=0,$P$34=0),"",$L$37-1)),MIN(CK$38,$E461),$P$20))-SUM($BF461:CJ461))</f>
        <v>0</v>
      </c>
      <c r="CL461" s="446">
        <f>IF($E461=0,0,IF(MIN(CL$38,$E461)&lt;MAX($P$34*($B461+$I$38-1),IF(AND($L$37=0,$P$34=0),"",$L$37-1)),0,YEARFRAC(MAX($P$34*($B461+$I$38-1),IF(AND($L$37=0,$P$34=0),"",$L$37-1)),MIN(CL$38,$E461),$P$20))-SUM($BF461:CK461))</f>
        <v>0</v>
      </c>
      <c r="CM461" s="446">
        <f>IF($E461=0,0,IF(MIN(CM$38,$E461)&lt;MAX($P$34*($B461+$I$38-1),IF(AND($L$37=0,$P$34=0),"",$L$37-1)),0,YEARFRAC(MAX($P$34*($B461+$I$38-1),IF(AND($L$37=0,$P$34=0),"",$L$37-1)),MIN(CM$38,$E461),$P$20))-SUM($BF461:CL461))</f>
        <v>0</v>
      </c>
      <c r="CN461" s="446">
        <f>IF($E461=0,0,IF(MIN(CN$38,$E461)&lt;MAX($P$34*($B461+$I$38-1),IF(AND($L$37=0,$P$34=0),"",$L$37-1)),0,YEARFRAC(MAX($P$34*($B461+$I$38-1),IF(AND($L$37=0,$P$34=0),"",$L$37-1)),MIN(CN$38,$E461),$P$20))-SUM($BF461:CM461))</f>
        <v>0</v>
      </c>
      <c r="CO461" s="446">
        <f>IF($E461=0,0,IF(MIN(CO$38,$E461)&lt;MAX($P$34*($B461+$I$38-1),IF(AND($L$37=0,$P$34=0),"",$L$37-1)),0,YEARFRAC(MAX($P$34*($B461+$I$38-1),IF(AND($L$37=0,$P$34=0),"",$L$37-1)),MIN(CO$38,$E461),$P$20))-SUM($BF461:CN461))</f>
        <v>0</v>
      </c>
      <c r="CP461" s="446">
        <f>IF($E461=0,0,IF(MIN(CP$38,$E461)&lt;MAX($P$34*($B461+$I$38-1),IF(AND($L$37=0,$P$34=0),"",$L$37-1)),0,YEARFRAC(MAX($P$34*($B461+$I$38-1),IF(AND($L$37=0,$P$34=0),"",$L$37-1)),MIN(CP$38,$E461),$P$20))-SUM($BF461:CO461))</f>
        <v>0</v>
      </c>
      <c r="CQ461" s="446">
        <f>IF($E461=0,0,IF(MIN(CQ$38,$E461)&lt;MAX($P$34*($B461+$I$38-1),IF(AND($L$37=0,$P$34=0),"",$L$37-1)),0,YEARFRAC(MAX($P$34*($B461+$I$38-1),IF(AND($L$37=0,$P$34=0),"",$L$37-1)),MIN(CQ$38,$E461),$P$20))-SUM($BF461:CP461))</f>
        <v>0</v>
      </c>
    </row>
    <row r="462" spans="1:95" s="446" customFormat="1" ht="11.25" hidden="1" customHeight="1" x14ac:dyDescent="0.2">
      <c r="A462" s="152"/>
      <c r="B462" s="153" t="str">
        <f t="shared" si="81"/>
        <v/>
      </c>
      <c r="C462" s="29" t="str">
        <f>IF(B462="","",IF($L$35="SELIC - TRIBUTOS",VLOOKUP(DATE(YEAR($D$19),MONTH($D$19)-1,1),ÍNDICES!$A:$DE,HLOOKUP($BL$25,ÍNDICES!$B$3:$T$4,2)+11)-VLOOKUP(B462,ÍNDICES!$A:$DE,HLOOKUP($BL$25,ÍNDICES!$B$3:$T$4,2)+11)+1%,IF(C$38=$W$26,$J$35,IF(ISERROR(IF(B462&gt;$D$19,1,VLOOKUP(DATE(YEAR(B462),MONTH(B462)+IF($C$35=$S$23,1,0),1),ÍNDICES!$A:$DE,$Z$35+1))),"",IF(B462&gt;$D$19,1,VLOOKUP(DATE(YEAR(B462),MONTH(B462)+IF($C$35=$S$23,1,0),1),ÍNDICES!$A:$DE,$Z$35+1))))))</f>
        <v/>
      </c>
      <c r="D462" s="154" t="str">
        <f>IF(ISERROR(IF(OR($D$38=$Y$27,$B462=""),"",VLOOKUP(B462,ÍNDICES!A:DE,AF$35+1))),"",IF(OR($D$38=$Y$27,$B462=""),"",VLOOKUP(B462,ÍNDICES!A:DE,AF$35+1)))</f>
        <v/>
      </c>
      <c r="E462" s="153"/>
      <c r="F462" s="29" t="str">
        <f>IF(E462="","",IF($L$35="SELIC - TRIBUTOS",VLOOKUP(DATE(YEAR($D$19),MONTH($D$19)-1,1),ÍNDICES!$A:$DE,HLOOKUP($BL$25,ÍNDICES!$B$3:$T$4,2)+11)-VLOOKUP(E462,ÍNDICES!$A:$DE,HLOOKUP($BL$25,ÍNDICES!$B$3:$T$4,2)+11)+1%,IF(F$38=$W$26,$J$35,IF(ISERROR(IF(E462&gt;$D$19,1,VLOOKUP(DATE(YEAR(E462),MONTH(E462)+IF($C$35=$S$23,1,0),1),ÍNDICES!$A:$DE,$Z$35+1))),"",IF(E462&gt;$D$19,1,VLOOKUP(DATE(YEAR(E462),MONTH(E462)+IF($C$35=$S$23,1,0),1),ÍNDICES!$A:$DE,$Z$35+1))))))</f>
        <v/>
      </c>
      <c r="G462" s="155"/>
      <c r="H462" s="156" t="str">
        <f t="shared" si="77"/>
        <v/>
      </c>
      <c r="I462" s="29" t="str">
        <f t="shared" si="71"/>
        <v/>
      </c>
      <c r="J462" s="5">
        <f t="shared" si="72"/>
        <v>0</v>
      </c>
      <c r="K462" s="20">
        <f t="shared" ca="1" si="73"/>
        <v>0</v>
      </c>
      <c r="L462" s="5">
        <f t="shared" ca="1" si="74"/>
        <v>0</v>
      </c>
      <c r="M462" s="64">
        <f t="shared" si="78"/>
        <v>0</v>
      </c>
      <c r="N462" s="61">
        <f t="shared" ca="1" si="79"/>
        <v>0</v>
      </c>
      <c r="O462" s="5">
        <f t="shared" ca="1" si="80"/>
        <v>0</v>
      </c>
      <c r="P462" s="446" t="e">
        <f t="shared" si="75"/>
        <v>#VALUE!</v>
      </c>
      <c r="Q462" s="446" t="e">
        <f>IF(OR($B462="",MIN(Q$38,$D$19)&lt;MAX($P$34*($B462+IF($R$17="Distrato",$I$38-1,0)),IF(AND($L$37=0,$P$34=0),"",$L$37-1),IF($R$17="Distrato",$E462,0))),0,YEARFRAC(MAX($P$34*($B462+IF($R$17="Distrato",$I$38-1,0)),IF(AND($L$37=0,$P$34=0),"",$L$37-1),IF($R$17="Distrato",$E462,0)),MIN(Q$38,$D$19),$P$20))-SUM($P462:P462)</f>
        <v>#VALUE!</v>
      </c>
      <c r="R462" s="446" t="e">
        <f>IF(OR($B462="",MIN(R$38,$D$19)&lt;MAX($P$34*($B462+IF($R$17="Distrato",$I$38-1,0)),IF(AND($L$37=0,$P$34=0),"",$L$37-1),IF($R$17="Distrato",$E462,0))),0,YEARFRAC(MAX($P$34*($B462+IF($R$17="Distrato",$I$38-1,0)),IF(AND($L$37=0,$P$34=0),"",$L$37-1),IF($R$17="Distrato",$E462,0)),MIN(R$38,$D$19),$P$20))-SUM($P462:Q462)</f>
        <v>#VALUE!</v>
      </c>
      <c r="S462" s="446" t="e">
        <f>IF(OR($B462="",MIN(S$38,$D$19)&lt;MAX($P$34*($B462+IF($R$17="Distrato",$I$38-1,0)),IF(AND($L$37=0,$P$34=0),"",$L$37-1),IF($R$17="Distrato",$E462,0))),0,YEARFRAC(MAX($P$34*($B462+IF($R$17="Distrato",$I$38-1,0)),IF(AND($L$37=0,$P$34=0),"",$L$37-1),IF($R$17="Distrato",$E462,0)),MIN(S$38,$D$19),$P$20))-SUM($P462:R462)</f>
        <v>#VALUE!</v>
      </c>
      <c r="T462" s="446" t="e">
        <f>IF(OR($B462="",MIN(T$38,$D$19)&lt;MAX($P$34*($B462+IF($R$17="Distrato",$I$38-1,0)),IF(AND($L$37=0,$P$34=0),"",$L$37-1),IF($R$17="Distrato",$E462,0))),0,YEARFRAC(MAX($P$34*($B462+IF($R$17="Distrato",$I$38-1,0)),IF(AND($L$37=0,$P$34=0),"",$L$37-1),IF($R$17="Distrato",$E462,0)),MIN(T$38,$D$19),$P$20))-SUM($P462:S462)</f>
        <v>#VALUE!</v>
      </c>
      <c r="U462" s="446" t="e">
        <f>IF(OR($B462="",MIN(U$38,$D$19)&lt;MAX($P$34*($B462+IF($R$17="Distrato",$I$38-1,0)),IF(AND($L$37=0,$P$34=0),"",$L$37-1),IF($R$17="Distrato",$E462,0))),0,YEARFRAC(MAX($P$34*($B462+IF($R$17="Distrato",$I$38-1,0)),IF(AND($L$37=0,$P$34=0),"",$L$37-1),IF($R$17="Distrato",$E462,0)),MIN(U$38,$D$19),$P$20))-SUM($P462:T462)</f>
        <v>#VALUE!</v>
      </c>
      <c r="V462" s="446" t="e">
        <f>IF(OR($B462="",MIN(V$38,$D$19)&lt;MAX($P$34*($B462+IF($R$17="Distrato",$I$38-1,0)),IF(AND($L$37=0,$P$34=0),"",$L$37-1),IF($R$17="Distrato",$E462,0))),0,YEARFRAC(MAX($P$34*($B462+IF($R$17="Distrato",$I$38-1,0)),IF(AND($L$37=0,$P$34=0),"",$L$37-1),IF($R$17="Distrato",$E462,0)),MIN(V$38,$D$19),$P$20))-SUM($P462:U462)</f>
        <v>#VALUE!</v>
      </c>
      <c r="W462" s="446" t="e">
        <f>IF(OR($B462="",MIN(W$38,$D$19)&lt;MAX($P$34*($B462+IF($R$17="Distrato",$I$38-1,0)),IF(AND($L$37=0,$P$34=0),"",$L$37-1),IF($R$17="Distrato",$E462,0))),0,YEARFRAC(MAX($P$34*($B462+IF($R$17="Distrato",$I$38-1,0)),IF(AND($L$37=0,$P$34=0),"",$L$37-1),IF($R$17="Distrato",$E462,0)),MIN(W$38,$D$19),$P$20))-SUM($P462:V462)</f>
        <v>#VALUE!</v>
      </c>
      <c r="X462" s="446" t="e">
        <f>IF(OR($B462="",MIN(X$38,$D$19)&lt;MAX($P$34*($B462+IF($R$17="Distrato",$I$38-1,0)),IF(AND($L$37=0,$P$34=0),"",$L$37-1),IF($R$17="Distrato",$E462,0))),0,YEARFRAC(MAX($P$34*($B462+IF($R$17="Distrato",$I$38-1,0)),IF(AND($L$37=0,$P$34=0),"",$L$37-1),IF($R$17="Distrato",$E462,0)),MIN(X$38,$D$19),$P$20))-SUM($P462:W462)</f>
        <v>#VALUE!</v>
      </c>
      <c r="Y462" s="446" t="e">
        <f>IF(OR($B462="",MIN(Y$38,$D$19)&lt;MAX($P$34*($B462+IF($R$17="Distrato",$I$38-1,0)),IF(AND($L$37=0,$P$34=0),"",$L$37-1),IF($R$17="Distrato",$E462,0))),0,YEARFRAC(MAX($P$34*($B462+IF($R$17="Distrato",$I$38-1,0)),IF(AND($L$37=0,$P$34=0),"",$L$37-1),IF($R$17="Distrato",$E462,0)),MIN(Y$38,$D$19),$P$20))-SUM($P462:X462)</f>
        <v>#VALUE!</v>
      </c>
      <c r="Z462" s="446" t="e">
        <f>IF(OR($B462="",MIN(Z$38,$D$19)&lt;MAX($P$34*($B462+IF($R$17="Distrato",$I$38-1,0)),IF(AND($L$37=0,$P$34=0),"",$L$37-1),IF($R$17="Distrato",$E462,0))),0,YEARFRAC(MAX($P$34*($B462+IF($R$17="Distrato",$I$38-1,0)),IF(AND($L$37=0,$P$34=0),"",$L$37-1),IF($R$17="Distrato",$E462,0)),MIN(Z$38,$D$19),$P$20))-SUM($P462:Y462)</f>
        <v>#VALUE!</v>
      </c>
      <c r="AA462" s="446" t="e">
        <f>IF(OR($B462="",MIN(AA$38,$D$19)&lt;MAX($P$34*($B462+IF($R$17="Distrato",$I$38-1,0)),IF(AND($L$37=0,$P$34=0),"",$L$37-1),IF($R$17="Distrato",$E462,0))),0,YEARFRAC(MAX($P$34*($B462+IF($R$17="Distrato",$I$38-1,0)),IF(AND($L$37=0,$P$34=0),"",$L$37-1),IF($R$17="Distrato",$E462,0)),MIN(AA$38,$D$19),$P$20))-SUM($P462:Z462)</f>
        <v>#VALUE!</v>
      </c>
      <c r="AB462" s="446" t="e">
        <f>IF(OR($B462="",MIN(AB$38,$D$19)&lt;MAX($P$34*($B462+IF($R$17="Distrato",$I$38-1,0)),IF(AND($L$37=0,$P$34=0),"",$L$37-1),IF($R$17="Distrato",$E462,0))),0,YEARFRAC(MAX($P$34*($B462+IF($R$17="Distrato",$I$38-1,0)),IF(AND($L$37=0,$P$34=0),"",$L$37-1),IF($R$17="Distrato",$E462,0)),MIN(AB$38,$D$19),$P$20))-SUM($P462:AA462)</f>
        <v>#VALUE!</v>
      </c>
      <c r="AC462" s="446" t="e">
        <f>IF(OR($B462="",MIN(AC$38,$D$19)&lt;MAX($P$34*($B462+IF($R$17="Distrato",$I$38-1,0)),IF(AND($L$37=0,$P$34=0),"",$L$37-1),IF($R$17="Distrato",$E462,0))),0,YEARFRAC(MAX($P$34*($B462+IF($R$17="Distrato",$I$38-1,0)),IF(AND($L$37=0,$P$34=0),"",$L$37-1),IF($R$17="Distrato",$E462,0)),MIN(AC$38,$D$19),$P$20))-SUM($P462:AB462)</f>
        <v>#VALUE!</v>
      </c>
      <c r="AD462" s="446" t="e">
        <f>IF(OR($B462="",MIN(AD$38,$D$19)&lt;MAX($P$34*($B462+IF($R$17="Distrato",$I$38-1,0)),IF(AND($L$37=0,$P$34=0),"",$L$37-1),IF($R$17="Distrato",$E462,0))),0,YEARFRAC(MAX($P$34*($B462+IF($R$17="Distrato",$I$38-1,0)),IF(AND($L$37=0,$P$34=0),"",$L$37-1),IF($R$17="Distrato",$E462,0)),MIN(AD$38,$D$19),$P$20))-SUM($P462:AC462)</f>
        <v>#VALUE!</v>
      </c>
      <c r="AE462" s="446" t="e">
        <f>IF(OR($B462="",MIN(AE$38,$D$19)&lt;MAX($P$34*($B462+IF($R$17="Distrato",$I$38-1,0)),IF(AND($L$37=0,$P$34=0),"",$L$37-1),IF($R$17="Distrato",$E462,0))),0,YEARFRAC(MAX($P$34*($B462+IF($R$17="Distrato",$I$38-1,0)),IF(AND($L$37=0,$P$34=0),"",$L$37-1),IF($R$17="Distrato",$E462,0)),MIN(AE$38,$D$19),$P$20))-SUM($P462:AD462)</f>
        <v>#VALUE!</v>
      </c>
      <c r="AF462" s="446" t="e">
        <f>IF(OR($B462="",MIN(AF$38,$D$19)&lt;MAX($P$34*($B462+IF($R$17="Distrato",$I$38-1,0)),IF(AND($L$37=0,$P$34=0),"",$L$37-1),IF($R$17="Distrato",$E462,0))),0,YEARFRAC(MAX($P$34*($B462+IF($R$17="Distrato",$I$38-1,0)),IF(AND($L$37=0,$P$34=0),"",$L$37-1),IF($R$17="Distrato",$E462,0)),MIN(AF$38,$D$19),$P$20))-SUM($P462:AE462)</f>
        <v>#VALUE!</v>
      </c>
      <c r="AG462" s="446" t="e">
        <f>IF(OR($B462="",MIN(AG$38,$D$19)&lt;MAX($P$34*($B462+IF($R$17="Distrato",$I$38-1,0)),IF(AND($L$37=0,$P$34=0),"",$L$37-1),IF($R$17="Distrato",$E462,0))),0,YEARFRAC(MAX($P$34*($B462+IF($R$17="Distrato",$I$38-1,0)),IF(AND($L$37=0,$P$34=0),"",$L$37-1),IF($R$17="Distrato",$E462,0)),MIN(AG$38,$D$19),$P$20))-SUM($P462:AF462)</f>
        <v>#VALUE!</v>
      </c>
      <c r="AH462" s="446" t="e">
        <f>IF(OR($B462="",MIN(AH$38,$D$19)&lt;MAX($P$34*($B462+IF($R$17="Distrato",$I$38-1,0)),IF(AND($L$37=0,$P$34=0),"",$L$37-1),IF($R$17="Distrato",$E462,0))),0,YEARFRAC(MAX($P$34*($B462+IF($R$17="Distrato",$I$38-1,0)),IF(AND($L$37=0,$P$34=0),"",$L$37-1),IF($R$17="Distrato",$E462,0)),MIN(AH$38,$D$19),$P$20))-SUM($P462:AG462)</f>
        <v>#VALUE!</v>
      </c>
      <c r="AI462" s="446" t="e">
        <f>IF(OR($B462="",MIN(AI$38,$D$19)&lt;MAX($P$34*($B462+IF($R$17="Distrato",$I$38-1,0)),IF(AND($L$37=0,$P$34=0),"",$L$37-1),IF($R$17="Distrato",$E462,0))),0,YEARFRAC(MAX($P$34*($B462+IF($R$17="Distrato",$I$38-1,0)),IF(AND($L$37=0,$P$34=0),"",$L$37-1),IF($R$17="Distrato",$E462,0)),MIN(AI$38,$D$19),$P$20))-SUM($P462:AH462)</f>
        <v>#VALUE!</v>
      </c>
      <c r="AJ462" s="446" t="e">
        <f>IF(OR($B462="",MIN(AJ$38,$D$19)&lt;MAX($P$34*($B462+IF($R$17="Distrato",$I$38-1,0)),IF(AND($L$37=0,$P$34=0),"",$L$37-1),IF($R$17="Distrato",$E462,0))),0,YEARFRAC(MAX($P$34*($B462+IF($R$17="Distrato",$I$38-1,0)),IF(AND($L$37=0,$P$34=0),"",$L$37-1),IF($R$17="Distrato",$E462,0)),MIN(AJ$38,$D$19),$P$20))-SUM($P462:AI462)</f>
        <v>#VALUE!</v>
      </c>
      <c r="AK462" s="446" t="e">
        <f>IF(OR($B462="",MIN(AK$38,$D$19)&lt;MAX($P$34*($B462+IF($R$17="Distrato",$I$38-1,0)),IF(AND($L$37=0,$P$34=0),"",$L$37-1),IF($R$17="Distrato",$E462,0))),0,YEARFRAC(MAX($P$34*($B462+IF($R$17="Distrato",$I$38-1,0)),IF(AND($L$37=0,$P$34=0),"",$L$37-1),IF($R$17="Distrato",$E462,0)),MIN(AK$38,$D$19),$P$20))-SUM($P462:AJ462)</f>
        <v>#VALUE!</v>
      </c>
      <c r="AL462" s="446" t="e">
        <f>IF(OR($B462="",MIN(AL$38,$D$19)&lt;MAX($P$34*($B462+IF($R$17="Distrato",$I$38-1,0)),IF(AND($L$37=0,$P$34=0),"",$L$37-1),IF($R$17="Distrato",$E462,0))),0,YEARFRAC(MAX($P$34*($B462+IF($R$17="Distrato",$I$38-1,0)),IF(AND($L$37=0,$P$34=0),"",$L$37-1),IF($R$17="Distrato",$E462,0)),MIN(AL$38,$D$19),$P$20))-SUM($P462:AK462)</f>
        <v>#VALUE!</v>
      </c>
      <c r="AM462" s="446" t="e">
        <f>IF(OR($B462="",MIN(AM$38,$D$19)&lt;MAX($P$34*($B462+IF($R$17="Distrato",$I$38-1,0)),IF(AND($L$37=0,$P$34=0),"",$L$37-1),IF($R$17="Distrato",$E462,0))),0,YEARFRAC(MAX($P$34*($B462+IF($R$17="Distrato",$I$38-1,0)),IF(AND($L$37=0,$P$34=0),"",$L$37-1),IF($R$17="Distrato",$E462,0)),MIN(AM$38,$D$19),$P$20))-SUM($P462:AL462)</f>
        <v>#VALUE!</v>
      </c>
      <c r="AN462" s="446" t="e">
        <f>IF(OR($B462="",MIN(AN$38,$D$19)&lt;MAX($P$34*($B462+IF($R$17="Distrato",$I$38-1,0)),IF(AND($L$37=0,$P$34=0),"",$L$37-1),IF($R$17="Distrato",$E462,0))),0,YEARFRAC(MAX($P$34*($B462+IF($R$17="Distrato",$I$38-1,0)),IF(AND($L$37=0,$P$34=0),"",$L$37-1),IF($R$17="Distrato",$E462,0)),MIN(AN$38,$D$19),$P$20))-SUM($P462:AM462)</f>
        <v>#VALUE!</v>
      </c>
      <c r="AO462" s="446" t="e">
        <f>IF(OR($B462="",MIN(AO$38,$D$19)&lt;MAX($P$34*($B462+IF($R$17="Distrato",$I$38-1,0)),IF(AND($L$37=0,$P$34=0),"",$L$37-1),IF($R$17="Distrato",$E462,0))),0,YEARFRAC(MAX($P$34*($B462+IF($R$17="Distrato",$I$38-1,0)),IF(AND($L$37=0,$P$34=0),"",$L$37-1),IF($R$17="Distrato",$E462,0)),MIN(AO$38,$D$19),$P$20))-SUM($P462:AN462)</f>
        <v>#VALUE!</v>
      </c>
      <c r="AP462" s="446" t="e">
        <f>IF(OR($B462="",MIN(AP$38,$D$19)&lt;MAX($P$34*($B462+IF($R$17="Distrato",$I$38-1,0)),IF(AND($L$37=0,$P$34=0),"",$L$37-1),IF($R$17="Distrato",$E462,0))),0,YEARFRAC(MAX($P$34*($B462+IF($R$17="Distrato",$I$38-1,0)),IF(AND($L$37=0,$P$34=0),"",$L$37-1),IF($R$17="Distrato",$E462,0)),MIN(AP$38,$D$19),$P$20))-SUM($P462:AO462)</f>
        <v>#VALUE!</v>
      </c>
      <c r="AQ462" s="446" t="e">
        <f>IF(OR($B462="",MIN(AQ$38,$D$19)&lt;MAX($P$34*($B462+IF($R$17="Distrato",$I$38-1,0)),IF(AND($L$37=0,$P$34=0),"",$L$37-1),IF($R$17="Distrato",$E462,0))),0,YEARFRAC(MAX($P$34*($B462+IF($R$17="Distrato",$I$38-1,0)),IF(AND($L$37=0,$P$34=0),"",$L$37-1),IF($R$17="Distrato",$E462,0)),MIN(AQ$38,$D$19),$P$20))-SUM($P462:AP462)</f>
        <v>#VALUE!</v>
      </c>
      <c r="AR462" s="446" t="e">
        <f>IF(OR($B462="",MIN(AR$38,$D$19)&lt;MAX($P$34*($B462+IF($R$17="Distrato",$I$38-1,0)),IF(AND($L$37=0,$P$34=0),"",$L$37-1),IF($R$17="Distrato",$E462,0))),0,YEARFRAC(MAX($P$34*($B462+IF($R$17="Distrato",$I$38-1,0)),IF(AND($L$37=0,$P$34=0),"",$L$37-1),IF($R$17="Distrato",$E462,0)),MIN(AR$38,$D$19),$P$20))-SUM($P462:AQ462)</f>
        <v>#VALUE!</v>
      </c>
      <c r="AS462" s="446" t="e">
        <f>IF(OR($B462="",MIN(AS$38,$D$19)&lt;MAX($P$34*($B462+IF($R$17="Distrato",$I$38-1,0)),IF(AND($L$37=0,$P$34=0),"",$L$37-1),IF($R$17="Distrato",$E462,0))),0,YEARFRAC(MAX($P$34*($B462+IF($R$17="Distrato",$I$38-1,0)),IF(AND($L$37=0,$P$34=0),"",$L$37-1),IF($R$17="Distrato",$E462,0)),MIN(AS$38,$D$19),$P$20))-SUM($P462:AR462)</f>
        <v>#VALUE!</v>
      </c>
      <c r="AT462" s="446" t="e">
        <f>IF(OR($B462="",MIN(AT$38,$D$19)&lt;MAX($P$34*($B462+IF($R$17="Distrato",$I$38-1,0)),IF(AND($L$37=0,$P$34=0),"",$L$37-1),IF($R$17="Distrato",$E462,0))),0,YEARFRAC(MAX($P$34*($B462+IF($R$17="Distrato",$I$38-1,0)),IF(AND($L$37=0,$P$34=0),"",$L$37-1),IF($R$17="Distrato",$E462,0)),MIN(AT$38,$D$19),$P$20))-SUM($P462:AS462)</f>
        <v>#VALUE!</v>
      </c>
      <c r="AU462" s="446" t="e">
        <f>IF(OR($B462="",MIN(AU$38,$D$19)&lt;MAX($P$34*($B462+IF($R$17="Distrato",$I$38-1,0)),IF(AND($L$37=0,$P$34=0),"",$L$37-1),IF($R$17="Distrato",$E462,0))),0,YEARFRAC(MAX($P$34*($B462+IF($R$17="Distrato",$I$38-1,0)),IF(AND($L$37=0,$P$34=0),"",$L$37-1),IF($R$17="Distrato",$E462,0)),MIN(AU$38,$D$19),$P$20))-SUM($P462:AT462)</f>
        <v>#VALUE!</v>
      </c>
      <c r="AV462" s="446" t="e">
        <f>IF(OR($B462="",MIN(AV$38,$D$19)&lt;MAX($P$34*($B462+IF($R$17="Distrato",$I$38-1,0)),IF(AND($L$37=0,$P$34=0),"",$L$37-1),IF($R$17="Distrato",$E462,0))),0,YEARFRAC(MAX($P$34*($B462+IF($R$17="Distrato",$I$38-1,0)),IF(AND($L$37=0,$P$34=0),"",$L$37-1),IF($R$17="Distrato",$E462,0)),MIN(AV$38,$D$19),$P$20))-SUM($P462:AU462)</f>
        <v>#VALUE!</v>
      </c>
      <c r="AW462" s="446" t="e">
        <f>IF(OR($B462="",MIN(AW$38,$D$19)&lt;MAX($P$34*($B462+IF($R$17="Distrato",$I$38-1,0)),IF(AND($L$37=0,$P$34=0),"",$L$37-1),IF($R$17="Distrato",$E462,0))),0,YEARFRAC(MAX($P$34*($B462+IF($R$17="Distrato",$I$38-1,0)),IF(AND($L$37=0,$P$34=0),"",$L$37-1),IF($R$17="Distrato",$E462,0)),MIN(AW$38,$D$19),$P$20))-SUM($P462:AV462)</f>
        <v>#VALUE!</v>
      </c>
      <c r="AX462" s="446" t="e">
        <f>IF(OR($B462="",MIN(AX$38,$D$19)&lt;MAX($P$34*($B462+IF($R$17="Distrato",$I$38-1,0)),IF(AND($L$37=0,$P$34=0),"",$L$37-1),IF($R$17="Distrato",$E462,0))),0,YEARFRAC(MAX($P$34*($B462+IF($R$17="Distrato",$I$38-1,0)),IF(AND($L$37=0,$P$34=0),"",$L$37-1),IF($R$17="Distrato",$E462,0)),MIN(AX$38,$D$19),$P$20))-SUM($P462:AW462)</f>
        <v>#VALUE!</v>
      </c>
      <c r="AY462" s="446" t="e">
        <f>IF(OR($B462="",MIN(AY$38,$D$19)&lt;MAX($P$34*($B462+IF($R$17="Distrato",$I$38-1,0)),IF(AND($L$37=0,$P$34=0),"",$L$37-1),IF($R$17="Distrato",$E462,0))),0,YEARFRAC(MAX($P$34*($B462+IF($R$17="Distrato",$I$38-1,0)),IF(AND($L$37=0,$P$34=0),"",$L$37-1),IF($R$17="Distrato",$E462,0)),MIN(AY$38,$D$19),$P$20))-SUM($P462:AX462)</f>
        <v>#VALUE!</v>
      </c>
      <c r="AZ462" s="446" t="e">
        <f>IF(OR($B462="",MIN(AZ$38,$D$19)&lt;MAX($P$34*($B462+IF($R$17="Distrato",$I$38-1,0)),IF(AND($L$37=0,$P$34=0),"",$L$37-1),IF($R$17="Distrato",$E462,0))),0,YEARFRAC(MAX($P$34*($B462+IF($R$17="Distrato",$I$38-1,0)),IF(AND($L$37=0,$P$34=0),"",$L$37-1),IF($R$17="Distrato",$E462,0)),MIN(AZ$38,$D$19),$P$20))-SUM($P462:AY462)</f>
        <v>#VALUE!</v>
      </c>
      <c r="BA462" s="446" t="e">
        <f>IF(OR($B462="",MIN(BA$38,$D$19)&lt;MAX($P$34*($B462+IF($R$17="Distrato",$I$38-1,0)),IF(AND($L$37=0,$P$34=0),"",$L$37-1),IF($R$17="Distrato",$E462,0))),0,YEARFRAC(MAX($P$34*($B462+IF($R$17="Distrato",$I$38-1,0)),IF(AND($L$37=0,$P$34=0),"",$L$37-1),IF($R$17="Distrato",$E462,0)),MIN(BA$38,$D$19),$P$20))-SUM($P462:AZ462)</f>
        <v>#VALUE!</v>
      </c>
      <c r="BB462" s="447"/>
      <c r="BF462" s="446">
        <f t="shared" si="76"/>
        <v>0</v>
      </c>
      <c r="BG462" s="446">
        <f>IF($E462=0,0,IF(MIN(BG$38,$E462)&lt;MAX($P$34*($B462+$I$38-1),IF(AND($L$37=0,$P$34=0),"",$L$37-1)),0,YEARFRAC(MAX($P$34*($B462+$I$38-1),IF(AND($L$37=0,$P$34=0),"",$L$37-1)),MIN(BG$38,$E462),$P$20))-SUM($BF462:BF462))</f>
        <v>0</v>
      </c>
      <c r="BH462" s="446">
        <f>IF($E462=0,0,IF(MIN(BH$38,$E462)&lt;MAX($P$34*($B462+$I$38-1),IF(AND($L$37=0,$P$34=0),"",$L$37-1)),0,YEARFRAC(MAX($P$34*($B462+$I$38-1),IF(AND($L$37=0,$P$34=0),"",$L$37-1)),MIN(BH$38,$E462),$P$20))-SUM($BF462:BG462))</f>
        <v>0</v>
      </c>
      <c r="BI462" s="446">
        <f>IF($E462=0,0,IF(MIN(BI$38,$E462)&lt;MAX($P$34*($B462+$I$38-1),IF(AND($L$37=0,$P$34=0),"",$L$37-1)),0,YEARFRAC(MAX($P$34*($B462+$I$38-1),IF(AND($L$37=0,$P$34=0),"",$L$37-1)),MIN(BI$38,$E462),$P$20))-SUM($BF462:BH462))</f>
        <v>0</v>
      </c>
      <c r="BJ462" s="446">
        <f>IF($E462=0,0,IF(MIN(BJ$38,$E462)&lt;MAX($P$34*($B462+$I$38-1),IF(AND($L$37=0,$P$34=0),"",$L$37-1)),0,YEARFRAC(MAX($P$34*($B462+$I$38-1),IF(AND($L$37=0,$P$34=0),"",$L$37-1)),MIN(BJ$38,$E462),$P$20))-SUM($BF462:BI462))</f>
        <v>0</v>
      </c>
      <c r="BK462" s="446">
        <f>IF($E462=0,0,IF(MIN(BK$38,$E462)&lt;MAX($P$34*($B462+$I$38-1),IF(AND($L$37=0,$P$34=0),"",$L$37-1)),0,YEARFRAC(MAX($P$34*($B462+$I$38-1),IF(AND($L$37=0,$P$34=0),"",$L$37-1)),MIN(BK$38,$E462),$P$20))-SUM($BF462:BJ462))</f>
        <v>0</v>
      </c>
      <c r="BL462" s="446">
        <f>IF($E462=0,0,IF(MIN(BL$38,$E462)&lt;MAX($P$34*($B462+$I$38-1),IF(AND($L$37=0,$P$34=0),"",$L$37-1)),0,YEARFRAC(MAX($P$34*($B462+$I$38-1),IF(AND($L$37=0,$P$34=0),"",$L$37-1)),MIN(BL$38,$E462),$P$20))-SUM($BF462:BK462))</f>
        <v>0</v>
      </c>
      <c r="BM462" s="446">
        <f>IF($E462=0,0,IF(MIN(BM$38,$E462)&lt;MAX($P$34*($B462+$I$38-1),IF(AND($L$37=0,$P$34=0),"",$L$37-1)),0,YEARFRAC(MAX($P$34*($B462+$I$38-1),IF(AND($L$37=0,$P$34=0),"",$L$37-1)),MIN(BM$38,$E462),$P$20))-SUM($BF462:BL462))</f>
        <v>0</v>
      </c>
      <c r="BN462" s="446">
        <f>IF($E462=0,0,IF(MIN(BN$38,$E462)&lt;MAX($P$34*($B462+$I$38-1),IF(AND($L$37=0,$P$34=0),"",$L$37-1)),0,YEARFRAC(MAX($P$34*($B462+$I$38-1),IF(AND($L$37=0,$P$34=0),"",$L$37-1)),MIN(BN$38,$E462),$P$20))-SUM($BF462:BM462))</f>
        <v>0</v>
      </c>
      <c r="BO462" s="446">
        <f>IF($E462=0,0,IF(MIN(BO$38,$E462)&lt;MAX($P$34*($B462+$I$38-1),IF(AND($L$37=0,$P$34=0),"",$L$37-1)),0,YEARFRAC(MAX($P$34*($B462+$I$38-1),IF(AND($L$37=0,$P$34=0),"",$L$37-1)),MIN(BO$38,$E462),$P$20))-SUM($BF462:BN462))</f>
        <v>0</v>
      </c>
      <c r="BP462" s="446">
        <f>IF($E462=0,0,IF(MIN(BP$38,$E462)&lt;MAX($P$34*($B462+$I$38-1),IF(AND($L$37=0,$P$34=0),"",$L$37-1)),0,YEARFRAC(MAX($P$34*($B462+$I$38-1),IF(AND($L$37=0,$P$34=0),"",$L$37-1)),MIN(BP$38,$E462),$P$20))-SUM($BF462:BO462))</f>
        <v>0</v>
      </c>
      <c r="BQ462" s="446">
        <f>IF($E462=0,0,IF(MIN(BQ$38,$E462)&lt;MAX($P$34*($B462+$I$38-1),IF(AND($L$37=0,$P$34=0),"",$L$37-1)),0,YEARFRAC(MAX($P$34*($B462+$I$38-1),IF(AND($L$37=0,$P$34=0),"",$L$37-1)),MIN(BQ$38,$E462),$P$20))-SUM($BF462:BP462))</f>
        <v>0</v>
      </c>
      <c r="BR462" s="446">
        <f>IF($E462=0,0,IF(MIN(BR$38,$E462)&lt;MAX($P$34*($B462+$I$38-1),IF(AND($L$37=0,$P$34=0),"",$L$37-1)),0,YEARFRAC(MAX($P$34*($B462+$I$38-1),IF(AND($L$37=0,$P$34=0),"",$L$37-1)),MIN(BR$38,$E462),$P$20))-SUM($BF462:BQ462))</f>
        <v>0</v>
      </c>
      <c r="BS462" s="446">
        <f>IF($E462=0,0,IF(MIN(BS$38,$E462)&lt;MAX($P$34*($B462+$I$38-1),IF(AND($L$37=0,$P$34=0),"",$L$37-1)),0,YEARFRAC(MAX($P$34*($B462+$I$38-1),IF(AND($L$37=0,$P$34=0),"",$L$37-1)),MIN(BS$38,$E462),$P$20))-SUM($BF462:BR462))</f>
        <v>0</v>
      </c>
      <c r="BT462" s="446">
        <f>IF($E462=0,0,IF(MIN(BT$38,$E462)&lt;MAX($P$34*($B462+$I$38-1),IF(AND($L$37=0,$P$34=0),"",$L$37-1)),0,YEARFRAC(MAX($P$34*($B462+$I$38-1),IF(AND($L$37=0,$P$34=0),"",$L$37-1)),MIN(BT$38,$E462),$P$20))-SUM($BF462:BS462))</f>
        <v>0</v>
      </c>
      <c r="BU462" s="446">
        <f>IF($E462=0,0,IF(MIN(BU$38,$E462)&lt;MAX($P$34*($B462+$I$38-1),IF(AND($L$37=0,$P$34=0),"",$L$37-1)),0,YEARFRAC(MAX($P$34*($B462+$I$38-1),IF(AND($L$37=0,$P$34=0),"",$L$37-1)),MIN(BU$38,$E462),$P$20))-SUM($BF462:BT462))</f>
        <v>0</v>
      </c>
      <c r="BV462" s="446">
        <f>IF($E462=0,0,IF(MIN(BV$38,$E462)&lt;MAX($P$34*($B462+$I$38-1),IF(AND($L$37=0,$P$34=0),"",$L$37-1)),0,YEARFRAC(MAX($P$34*($B462+$I$38-1),IF(AND($L$37=0,$P$34=0),"",$L$37-1)),MIN(BV$38,$E462),$P$20))-SUM($BF462:BU462))</f>
        <v>0</v>
      </c>
      <c r="BW462" s="446">
        <f>IF($E462=0,0,IF(MIN(BW$38,$E462)&lt;MAX($P$34*($B462+$I$38-1),IF(AND($L$37=0,$P$34=0),"",$L$37-1)),0,YEARFRAC(MAX($P$34*($B462+$I$38-1),IF(AND($L$37=0,$P$34=0),"",$L$37-1)),MIN(BW$38,$E462),$P$20))-SUM($BF462:BV462))</f>
        <v>0</v>
      </c>
      <c r="BX462" s="446">
        <f>IF($E462=0,0,IF(MIN(BX$38,$E462)&lt;MAX($P$34*($B462+$I$38-1),IF(AND($L$37=0,$P$34=0),"",$L$37-1)),0,YEARFRAC(MAX($P$34*($B462+$I$38-1),IF(AND($L$37=0,$P$34=0),"",$L$37-1)),MIN(BX$38,$E462),$P$20))-SUM($BF462:BW462))</f>
        <v>0</v>
      </c>
      <c r="BY462" s="446">
        <f>IF($E462=0,0,IF(MIN(BY$38,$E462)&lt;MAX($P$34*($B462+$I$38-1),IF(AND($L$37=0,$P$34=0),"",$L$37-1)),0,YEARFRAC(MAX($P$34*($B462+$I$38-1),IF(AND($L$37=0,$P$34=0),"",$L$37-1)),MIN(BY$38,$E462),$P$20))-SUM($BF462:BX462))</f>
        <v>0</v>
      </c>
      <c r="BZ462" s="446">
        <f>IF($E462=0,0,IF(MIN(BZ$38,$E462)&lt;MAX($P$34*($B462+$I$38-1),IF(AND($L$37=0,$P$34=0),"",$L$37-1)),0,YEARFRAC(MAX($P$34*($B462+$I$38-1),IF(AND($L$37=0,$P$34=0),"",$L$37-1)),MIN(BZ$38,$E462),$P$20))-SUM($BF462:BY462))</f>
        <v>0</v>
      </c>
      <c r="CA462" s="446">
        <f>IF($E462=0,0,IF(MIN(CA$38,$E462)&lt;MAX($P$34*($B462+$I$38-1),IF(AND($L$37=0,$P$34=0),"",$L$37-1)),0,YEARFRAC(MAX($P$34*($B462+$I$38-1),IF(AND($L$37=0,$P$34=0),"",$L$37-1)),MIN(CA$38,$E462),$P$20))-SUM($BF462:BZ462))</f>
        <v>0</v>
      </c>
      <c r="CB462" s="446">
        <f>IF($E462=0,0,IF(MIN(CB$38,$E462)&lt;MAX($P$34*($B462+$I$38-1),IF(AND($L$37=0,$P$34=0),"",$L$37-1)),0,YEARFRAC(MAX($P$34*($B462+$I$38-1),IF(AND($L$37=0,$P$34=0),"",$L$37-1)),MIN(CB$38,$E462),$P$20))-SUM($BF462:CA462))</f>
        <v>0</v>
      </c>
      <c r="CC462" s="446">
        <f>IF($E462=0,0,IF(MIN(CC$38,$E462)&lt;MAX($P$34*($B462+$I$38-1),IF(AND($L$37=0,$P$34=0),"",$L$37-1)),0,YEARFRAC(MAX($P$34*($B462+$I$38-1),IF(AND($L$37=0,$P$34=0),"",$L$37-1)),MIN(CC$38,$E462),$P$20))-SUM($BF462:CB462))</f>
        <v>0</v>
      </c>
      <c r="CD462" s="446">
        <f>IF($E462=0,0,IF(MIN(CD$38,$E462)&lt;MAX($P$34*($B462+$I$38-1),IF(AND($L$37=0,$P$34=0),"",$L$37-1)),0,YEARFRAC(MAX($P$34*($B462+$I$38-1),IF(AND($L$37=0,$P$34=0),"",$L$37-1)),MIN(CD$38,$E462),$P$20))-SUM($BF462:CC462))</f>
        <v>0</v>
      </c>
      <c r="CE462" s="446">
        <f>IF($E462=0,0,IF(MIN(CE$38,$E462)&lt;MAX($P$34*($B462+$I$38-1),IF(AND($L$37=0,$P$34=0),"",$L$37-1)),0,YEARFRAC(MAX($P$34*($B462+$I$38-1),IF(AND($L$37=0,$P$34=0),"",$L$37-1)),MIN(CE$38,$E462),$P$20))-SUM($BF462:CD462))</f>
        <v>0</v>
      </c>
      <c r="CF462" s="446">
        <f>IF($E462=0,0,IF(MIN(CF$38,$E462)&lt;MAX($P$34*($B462+$I$38-1),IF(AND($L$37=0,$P$34=0),"",$L$37-1)),0,YEARFRAC(MAX($P$34*($B462+$I$38-1),IF(AND($L$37=0,$P$34=0),"",$L$37-1)),MIN(CF$38,$E462),$P$20))-SUM($BF462:CE462))</f>
        <v>0</v>
      </c>
      <c r="CG462" s="446">
        <f>IF($E462=0,0,IF(MIN(CG$38,$E462)&lt;MAX($P$34*($B462+$I$38-1),IF(AND($L$37=0,$P$34=0),"",$L$37-1)),0,YEARFRAC(MAX($P$34*($B462+$I$38-1),IF(AND($L$37=0,$P$34=0),"",$L$37-1)),MIN(CG$38,$E462),$P$20))-SUM($BF462:CF462))</f>
        <v>0</v>
      </c>
      <c r="CH462" s="446">
        <f>IF($E462=0,0,IF(MIN(CH$38,$E462)&lt;MAX($P$34*($B462+$I$38-1),IF(AND($L$37=0,$P$34=0),"",$L$37-1)),0,YEARFRAC(MAX($P$34*($B462+$I$38-1),IF(AND($L$37=0,$P$34=0),"",$L$37-1)),MIN(CH$38,$E462),$P$20))-SUM($BF462:CG462))</f>
        <v>0</v>
      </c>
      <c r="CI462" s="446">
        <f>IF($E462=0,0,IF(MIN(CI$38,$E462)&lt;MAX($P$34*($B462+$I$38-1),IF(AND($L$37=0,$P$34=0),"",$L$37-1)),0,YEARFRAC(MAX($P$34*($B462+$I$38-1),IF(AND($L$37=0,$P$34=0),"",$L$37-1)),MIN(CI$38,$E462),$P$20))-SUM($BF462:CH462))</f>
        <v>0</v>
      </c>
      <c r="CJ462" s="446">
        <f>IF($E462=0,0,IF(MIN(CJ$38,$E462)&lt;MAX($P$34*($B462+$I$38-1),IF(AND($L$37=0,$P$34=0),"",$L$37-1)),0,YEARFRAC(MAX($P$34*($B462+$I$38-1),IF(AND($L$37=0,$P$34=0),"",$L$37-1)),MIN(CJ$38,$E462),$P$20))-SUM($BF462:CI462))</f>
        <v>0</v>
      </c>
      <c r="CK462" s="446">
        <f>IF($E462=0,0,IF(MIN(CK$38,$E462)&lt;MAX($P$34*($B462+$I$38-1),IF(AND($L$37=0,$P$34=0),"",$L$37-1)),0,YEARFRAC(MAX($P$34*($B462+$I$38-1),IF(AND($L$37=0,$P$34=0),"",$L$37-1)),MIN(CK$38,$E462),$P$20))-SUM($BF462:CJ462))</f>
        <v>0</v>
      </c>
      <c r="CL462" s="446">
        <f>IF($E462=0,0,IF(MIN(CL$38,$E462)&lt;MAX($P$34*($B462+$I$38-1),IF(AND($L$37=0,$P$34=0),"",$L$37-1)),0,YEARFRAC(MAX($P$34*($B462+$I$38-1),IF(AND($L$37=0,$P$34=0),"",$L$37-1)),MIN(CL$38,$E462),$P$20))-SUM($BF462:CK462))</f>
        <v>0</v>
      </c>
      <c r="CM462" s="446">
        <f>IF($E462=0,0,IF(MIN(CM$38,$E462)&lt;MAX($P$34*($B462+$I$38-1),IF(AND($L$37=0,$P$34=0),"",$L$37-1)),0,YEARFRAC(MAX($P$34*($B462+$I$38-1),IF(AND($L$37=0,$P$34=0),"",$L$37-1)),MIN(CM$38,$E462),$P$20))-SUM($BF462:CL462))</f>
        <v>0</v>
      </c>
      <c r="CN462" s="446">
        <f>IF($E462=0,0,IF(MIN(CN$38,$E462)&lt;MAX($P$34*($B462+$I$38-1),IF(AND($L$37=0,$P$34=0),"",$L$37-1)),0,YEARFRAC(MAX($P$34*($B462+$I$38-1),IF(AND($L$37=0,$P$34=0),"",$L$37-1)),MIN(CN$38,$E462),$P$20))-SUM($BF462:CM462))</f>
        <v>0</v>
      </c>
      <c r="CO462" s="446">
        <f>IF($E462=0,0,IF(MIN(CO$38,$E462)&lt;MAX($P$34*($B462+$I$38-1),IF(AND($L$37=0,$P$34=0),"",$L$37-1)),0,YEARFRAC(MAX($P$34*($B462+$I$38-1),IF(AND($L$37=0,$P$34=0),"",$L$37-1)),MIN(CO$38,$E462),$P$20))-SUM($BF462:CN462))</f>
        <v>0</v>
      </c>
      <c r="CP462" s="446">
        <f>IF($E462=0,0,IF(MIN(CP$38,$E462)&lt;MAX($P$34*($B462+$I$38-1),IF(AND($L$37=0,$P$34=0),"",$L$37-1)),0,YEARFRAC(MAX($P$34*($B462+$I$38-1),IF(AND($L$37=0,$P$34=0),"",$L$37-1)),MIN(CP$38,$E462),$P$20))-SUM($BF462:CO462))</f>
        <v>0</v>
      </c>
      <c r="CQ462" s="446">
        <f>IF($E462=0,0,IF(MIN(CQ$38,$E462)&lt;MAX($P$34*($B462+$I$38-1),IF(AND($L$37=0,$P$34=0),"",$L$37-1)),0,YEARFRAC(MAX($P$34*($B462+$I$38-1),IF(AND($L$37=0,$P$34=0),"",$L$37-1)),MIN(CQ$38,$E462),$P$20))-SUM($BF462:CP462))</f>
        <v>0</v>
      </c>
    </row>
    <row r="463" spans="1:95" s="446" customFormat="1" ht="11.25" hidden="1" customHeight="1" x14ac:dyDescent="0.2">
      <c r="A463" s="152"/>
      <c r="B463" s="153" t="str">
        <f t="shared" si="81"/>
        <v/>
      </c>
      <c r="C463" s="29" t="str">
        <f>IF(B463="","",IF($L$35="SELIC - TRIBUTOS",VLOOKUP(DATE(YEAR($D$19),MONTH($D$19)-1,1),ÍNDICES!$A:$DE,HLOOKUP($BL$25,ÍNDICES!$B$3:$T$4,2)+11)-VLOOKUP(B463,ÍNDICES!$A:$DE,HLOOKUP($BL$25,ÍNDICES!$B$3:$T$4,2)+11)+1%,IF(C$38=$W$26,$J$35,IF(ISERROR(IF(B463&gt;$D$19,1,VLOOKUP(DATE(YEAR(B463),MONTH(B463)+IF($C$35=$S$23,1,0),1),ÍNDICES!$A:$DE,$Z$35+1))),"",IF(B463&gt;$D$19,1,VLOOKUP(DATE(YEAR(B463),MONTH(B463)+IF($C$35=$S$23,1,0),1),ÍNDICES!$A:$DE,$Z$35+1))))))</f>
        <v/>
      </c>
      <c r="D463" s="154" t="str">
        <f>IF(ISERROR(IF(OR($D$38=$Y$27,$B463=""),"",VLOOKUP(B463,ÍNDICES!A:DE,AF$35+1))),"",IF(OR($D$38=$Y$27,$B463=""),"",VLOOKUP(B463,ÍNDICES!A:DE,AF$35+1)))</f>
        <v/>
      </c>
      <c r="E463" s="153"/>
      <c r="F463" s="29" t="str">
        <f>IF(E463="","",IF($L$35="SELIC - TRIBUTOS",VLOOKUP(DATE(YEAR($D$19),MONTH($D$19)-1,1),ÍNDICES!$A:$DE,HLOOKUP($BL$25,ÍNDICES!$B$3:$T$4,2)+11)-VLOOKUP(E463,ÍNDICES!$A:$DE,HLOOKUP($BL$25,ÍNDICES!$B$3:$T$4,2)+11)+1%,IF(F$38=$W$26,$J$35,IF(ISERROR(IF(E463&gt;$D$19,1,VLOOKUP(DATE(YEAR(E463),MONTH(E463)+IF($C$35=$S$23,1,0),1),ÍNDICES!$A:$DE,$Z$35+1))),"",IF(E463&gt;$D$19,1,VLOOKUP(DATE(YEAR(E463),MONTH(E463)+IF($C$35=$S$23,1,0),1),ÍNDICES!$A:$DE,$Z$35+1))))))</f>
        <v/>
      </c>
      <c r="G463" s="155"/>
      <c r="H463" s="156" t="str">
        <f t="shared" si="77"/>
        <v/>
      </c>
      <c r="I463" s="29" t="str">
        <f t="shared" si="71"/>
        <v/>
      </c>
      <c r="J463" s="5">
        <f t="shared" si="72"/>
        <v>0</v>
      </c>
      <c r="K463" s="20">
        <f t="shared" ca="1" si="73"/>
        <v>0</v>
      </c>
      <c r="L463" s="5">
        <f t="shared" ca="1" si="74"/>
        <v>0</v>
      </c>
      <c r="M463" s="64">
        <f t="shared" si="78"/>
        <v>0</v>
      </c>
      <c r="N463" s="61">
        <f t="shared" ca="1" si="79"/>
        <v>0</v>
      </c>
      <c r="O463" s="5">
        <f t="shared" ca="1" si="80"/>
        <v>0</v>
      </c>
      <c r="P463" s="446" t="e">
        <f t="shared" si="75"/>
        <v>#VALUE!</v>
      </c>
      <c r="Q463" s="446" t="e">
        <f>IF(OR($B463="",MIN(Q$38,$D$19)&lt;MAX($P$34*($B463+IF($R$17="Distrato",$I$38-1,0)),IF(AND($L$37=0,$P$34=0),"",$L$37-1),IF($R$17="Distrato",$E463,0))),0,YEARFRAC(MAX($P$34*($B463+IF($R$17="Distrato",$I$38-1,0)),IF(AND($L$37=0,$P$34=0),"",$L$37-1),IF($R$17="Distrato",$E463,0)),MIN(Q$38,$D$19),$P$20))-SUM($P463:P463)</f>
        <v>#VALUE!</v>
      </c>
      <c r="R463" s="446" t="e">
        <f>IF(OR($B463="",MIN(R$38,$D$19)&lt;MAX($P$34*($B463+IF($R$17="Distrato",$I$38-1,0)),IF(AND($L$37=0,$P$34=0),"",$L$37-1),IF($R$17="Distrato",$E463,0))),0,YEARFRAC(MAX($P$34*($B463+IF($R$17="Distrato",$I$38-1,0)),IF(AND($L$37=0,$P$34=0),"",$L$37-1),IF($R$17="Distrato",$E463,0)),MIN(R$38,$D$19),$P$20))-SUM($P463:Q463)</f>
        <v>#VALUE!</v>
      </c>
      <c r="S463" s="446" t="e">
        <f>IF(OR($B463="",MIN(S$38,$D$19)&lt;MAX($P$34*($B463+IF($R$17="Distrato",$I$38-1,0)),IF(AND($L$37=0,$P$34=0),"",$L$37-1),IF($R$17="Distrato",$E463,0))),0,YEARFRAC(MAX($P$34*($B463+IF($R$17="Distrato",$I$38-1,0)),IF(AND($L$37=0,$P$34=0),"",$L$37-1),IF($R$17="Distrato",$E463,0)),MIN(S$38,$D$19),$P$20))-SUM($P463:R463)</f>
        <v>#VALUE!</v>
      </c>
      <c r="T463" s="446" t="e">
        <f>IF(OR($B463="",MIN(T$38,$D$19)&lt;MAX($P$34*($B463+IF($R$17="Distrato",$I$38-1,0)),IF(AND($L$37=0,$P$34=0),"",$L$37-1),IF($R$17="Distrato",$E463,0))),0,YEARFRAC(MAX($P$34*($B463+IF($R$17="Distrato",$I$38-1,0)),IF(AND($L$37=0,$P$34=0),"",$L$37-1),IF($R$17="Distrato",$E463,0)),MIN(T$38,$D$19),$P$20))-SUM($P463:S463)</f>
        <v>#VALUE!</v>
      </c>
      <c r="U463" s="446" t="e">
        <f>IF(OR($B463="",MIN(U$38,$D$19)&lt;MAX($P$34*($B463+IF($R$17="Distrato",$I$38-1,0)),IF(AND($L$37=0,$P$34=0),"",$L$37-1),IF($R$17="Distrato",$E463,0))),0,YEARFRAC(MAX($P$34*($B463+IF($R$17="Distrato",$I$38-1,0)),IF(AND($L$37=0,$P$34=0),"",$L$37-1),IF($R$17="Distrato",$E463,0)),MIN(U$38,$D$19),$P$20))-SUM($P463:T463)</f>
        <v>#VALUE!</v>
      </c>
      <c r="V463" s="446" t="e">
        <f>IF(OR($B463="",MIN(V$38,$D$19)&lt;MAX($P$34*($B463+IF($R$17="Distrato",$I$38-1,0)),IF(AND($L$37=0,$P$34=0),"",$L$37-1),IF($R$17="Distrato",$E463,0))),0,YEARFRAC(MAX($P$34*($B463+IF($R$17="Distrato",$I$38-1,0)),IF(AND($L$37=0,$P$34=0),"",$L$37-1),IF($R$17="Distrato",$E463,0)),MIN(V$38,$D$19),$P$20))-SUM($P463:U463)</f>
        <v>#VALUE!</v>
      </c>
      <c r="W463" s="446" t="e">
        <f>IF(OR($B463="",MIN(W$38,$D$19)&lt;MAX($P$34*($B463+IF($R$17="Distrato",$I$38-1,0)),IF(AND($L$37=0,$P$34=0),"",$L$37-1),IF($R$17="Distrato",$E463,0))),0,YEARFRAC(MAX($P$34*($B463+IF($R$17="Distrato",$I$38-1,0)),IF(AND($L$37=0,$P$34=0),"",$L$37-1),IF($R$17="Distrato",$E463,0)),MIN(W$38,$D$19),$P$20))-SUM($P463:V463)</f>
        <v>#VALUE!</v>
      </c>
      <c r="X463" s="446" t="e">
        <f>IF(OR($B463="",MIN(X$38,$D$19)&lt;MAX($P$34*($B463+IF($R$17="Distrato",$I$38-1,0)),IF(AND($L$37=0,$P$34=0),"",$L$37-1),IF($R$17="Distrato",$E463,0))),0,YEARFRAC(MAX($P$34*($B463+IF($R$17="Distrato",$I$38-1,0)),IF(AND($L$37=0,$P$34=0),"",$L$37-1),IF($R$17="Distrato",$E463,0)),MIN(X$38,$D$19),$P$20))-SUM($P463:W463)</f>
        <v>#VALUE!</v>
      </c>
      <c r="Y463" s="446" t="e">
        <f>IF(OR($B463="",MIN(Y$38,$D$19)&lt;MAX($P$34*($B463+IF($R$17="Distrato",$I$38-1,0)),IF(AND($L$37=0,$P$34=0),"",$L$37-1),IF($R$17="Distrato",$E463,0))),0,YEARFRAC(MAX($P$34*($B463+IF($R$17="Distrato",$I$38-1,0)),IF(AND($L$37=0,$P$34=0),"",$L$37-1),IF($R$17="Distrato",$E463,0)),MIN(Y$38,$D$19),$P$20))-SUM($P463:X463)</f>
        <v>#VALUE!</v>
      </c>
      <c r="Z463" s="446" t="e">
        <f>IF(OR($B463="",MIN(Z$38,$D$19)&lt;MAX($P$34*($B463+IF($R$17="Distrato",$I$38-1,0)),IF(AND($L$37=0,$P$34=0),"",$L$37-1),IF($R$17="Distrato",$E463,0))),0,YEARFRAC(MAX($P$34*($B463+IF($R$17="Distrato",$I$38-1,0)),IF(AND($L$37=0,$P$34=0),"",$L$37-1),IF($R$17="Distrato",$E463,0)),MIN(Z$38,$D$19),$P$20))-SUM($P463:Y463)</f>
        <v>#VALUE!</v>
      </c>
      <c r="AA463" s="446" t="e">
        <f>IF(OR($B463="",MIN(AA$38,$D$19)&lt;MAX($P$34*($B463+IF($R$17="Distrato",$I$38-1,0)),IF(AND($L$37=0,$P$34=0),"",$L$37-1),IF($R$17="Distrato",$E463,0))),0,YEARFRAC(MAX($P$34*($B463+IF($R$17="Distrato",$I$38-1,0)),IF(AND($L$37=0,$P$34=0),"",$L$37-1),IF($R$17="Distrato",$E463,0)),MIN(AA$38,$D$19),$P$20))-SUM($P463:Z463)</f>
        <v>#VALUE!</v>
      </c>
      <c r="AB463" s="446" t="e">
        <f>IF(OR($B463="",MIN(AB$38,$D$19)&lt;MAX($P$34*($B463+IF($R$17="Distrato",$I$38-1,0)),IF(AND($L$37=0,$P$34=0),"",$L$37-1),IF($R$17="Distrato",$E463,0))),0,YEARFRAC(MAX($P$34*($B463+IF($R$17="Distrato",$I$38-1,0)),IF(AND($L$37=0,$P$34=0),"",$L$37-1),IF($R$17="Distrato",$E463,0)),MIN(AB$38,$D$19),$P$20))-SUM($P463:AA463)</f>
        <v>#VALUE!</v>
      </c>
      <c r="AC463" s="446" t="e">
        <f>IF(OR($B463="",MIN(AC$38,$D$19)&lt;MAX($P$34*($B463+IF($R$17="Distrato",$I$38-1,0)),IF(AND($L$37=0,$P$34=0),"",$L$37-1),IF($R$17="Distrato",$E463,0))),0,YEARFRAC(MAX($P$34*($B463+IF($R$17="Distrato",$I$38-1,0)),IF(AND($L$37=0,$P$34=0),"",$L$37-1),IF($R$17="Distrato",$E463,0)),MIN(AC$38,$D$19),$P$20))-SUM($P463:AB463)</f>
        <v>#VALUE!</v>
      </c>
      <c r="AD463" s="446" t="e">
        <f>IF(OR($B463="",MIN(AD$38,$D$19)&lt;MAX($P$34*($B463+IF($R$17="Distrato",$I$38-1,0)),IF(AND($L$37=0,$P$34=0),"",$L$37-1),IF($R$17="Distrato",$E463,0))),0,YEARFRAC(MAX($P$34*($B463+IF($R$17="Distrato",$I$38-1,0)),IF(AND($L$37=0,$P$34=0),"",$L$37-1),IF($R$17="Distrato",$E463,0)),MIN(AD$38,$D$19),$P$20))-SUM($P463:AC463)</f>
        <v>#VALUE!</v>
      </c>
      <c r="AE463" s="446" t="e">
        <f>IF(OR($B463="",MIN(AE$38,$D$19)&lt;MAX($P$34*($B463+IF($R$17="Distrato",$I$38-1,0)),IF(AND($L$37=0,$P$34=0),"",$L$37-1),IF($R$17="Distrato",$E463,0))),0,YEARFRAC(MAX($P$34*($B463+IF($R$17="Distrato",$I$38-1,0)),IF(AND($L$37=0,$P$34=0),"",$L$37-1),IF($R$17="Distrato",$E463,0)),MIN(AE$38,$D$19),$P$20))-SUM($P463:AD463)</f>
        <v>#VALUE!</v>
      </c>
      <c r="AF463" s="446" t="e">
        <f>IF(OR($B463="",MIN(AF$38,$D$19)&lt;MAX($P$34*($B463+IF($R$17="Distrato",$I$38-1,0)),IF(AND($L$37=0,$P$34=0),"",$L$37-1),IF($R$17="Distrato",$E463,0))),0,YEARFRAC(MAX($P$34*($B463+IF($R$17="Distrato",$I$38-1,0)),IF(AND($L$37=0,$P$34=0),"",$L$37-1),IF($R$17="Distrato",$E463,0)),MIN(AF$38,$D$19),$P$20))-SUM($P463:AE463)</f>
        <v>#VALUE!</v>
      </c>
      <c r="AG463" s="446" t="e">
        <f>IF(OR($B463="",MIN(AG$38,$D$19)&lt;MAX($P$34*($B463+IF($R$17="Distrato",$I$38-1,0)),IF(AND($L$37=0,$P$34=0),"",$L$37-1),IF($R$17="Distrato",$E463,0))),0,YEARFRAC(MAX($P$34*($B463+IF($R$17="Distrato",$I$38-1,0)),IF(AND($L$37=0,$P$34=0),"",$L$37-1),IF($R$17="Distrato",$E463,0)),MIN(AG$38,$D$19),$P$20))-SUM($P463:AF463)</f>
        <v>#VALUE!</v>
      </c>
      <c r="AH463" s="446" t="e">
        <f>IF(OR($B463="",MIN(AH$38,$D$19)&lt;MAX($P$34*($B463+IF($R$17="Distrato",$I$38-1,0)),IF(AND($L$37=0,$P$34=0),"",$L$37-1),IF($R$17="Distrato",$E463,0))),0,YEARFRAC(MAX($P$34*($B463+IF($R$17="Distrato",$I$38-1,0)),IF(AND($L$37=0,$P$34=0),"",$L$37-1),IF($R$17="Distrato",$E463,0)),MIN(AH$38,$D$19),$P$20))-SUM($P463:AG463)</f>
        <v>#VALUE!</v>
      </c>
      <c r="AI463" s="446" t="e">
        <f>IF(OR($B463="",MIN(AI$38,$D$19)&lt;MAX($P$34*($B463+IF($R$17="Distrato",$I$38-1,0)),IF(AND($L$37=0,$P$34=0),"",$L$37-1),IF($R$17="Distrato",$E463,0))),0,YEARFRAC(MAX($P$34*($B463+IF($R$17="Distrato",$I$38-1,0)),IF(AND($L$37=0,$P$34=0),"",$L$37-1),IF($R$17="Distrato",$E463,0)),MIN(AI$38,$D$19),$P$20))-SUM($P463:AH463)</f>
        <v>#VALUE!</v>
      </c>
      <c r="AJ463" s="446" t="e">
        <f>IF(OR($B463="",MIN(AJ$38,$D$19)&lt;MAX($P$34*($B463+IF($R$17="Distrato",$I$38-1,0)),IF(AND($L$37=0,$P$34=0),"",$L$37-1),IF($R$17="Distrato",$E463,0))),0,YEARFRAC(MAX($P$34*($B463+IF($R$17="Distrato",$I$38-1,0)),IF(AND($L$37=0,$P$34=0),"",$L$37-1),IF($R$17="Distrato",$E463,0)),MIN(AJ$38,$D$19),$P$20))-SUM($P463:AI463)</f>
        <v>#VALUE!</v>
      </c>
      <c r="AK463" s="446" t="e">
        <f>IF(OR($B463="",MIN(AK$38,$D$19)&lt;MAX($P$34*($B463+IF($R$17="Distrato",$I$38-1,0)),IF(AND($L$37=0,$P$34=0),"",$L$37-1),IF($R$17="Distrato",$E463,0))),0,YEARFRAC(MAX($P$34*($B463+IF($R$17="Distrato",$I$38-1,0)),IF(AND($L$37=0,$P$34=0),"",$L$37-1),IF($R$17="Distrato",$E463,0)),MIN(AK$38,$D$19),$P$20))-SUM($P463:AJ463)</f>
        <v>#VALUE!</v>
      </c>
      <c r="AL463" s="446" t="e">
        <f>IF(OR($B463="",MIN(AL$38,$D$19)&lt;MAX($P$34*($B463+IF($R$17="Distrato",$I$38-1,0)),IF(AND($L$37=0,$P$34=0),"",$L$37-1),IF($R$17="Distrato",$E463,0))),0,YEARFRAC(MAX($P$34*($B463+IF($R$17="Distrato",$I$38-1,0)),IF(AND($L$37=0,$P$34=0),"",$L$37-1),IF($R$17="Distrato",$E463,0)),MIN(AL$38,$D$19),$P$20))-SUM($P463:AK463)</f>
        <v>#VALUE!</v>
      </c>
      <c r="AM463" s="446" t="e">
        <f>IF(OR($B463="",MIN(AM$38,$D$19)&lt;MAX($P$34*($B463+IF($R$17="Distrato",$I$38-1,0)),IF(AND($L$37=0,$P$34=0),"",$L$37-1),IF($R$17="Distrato",$E463,0))),0,YEARFRAC(MAX($P$34*($B463+IF($R$17="Distrato",$I$38-1,0)),IF(AND($L$37=0,$P$34=0),"",$L$37-1),IF($R$17="Distrato",$E463,0)),MIN(AM$38,$D$19),$P$20))-SUM($P463:AL463)</f>
        <v>#VALUE!</v>
      </c>
      <c r="AN463" s="446" t="e">
        <f>IF(OR($B463="",MIN(AN$38,$D$19)&lt;MAX($P$34*($B463+IF($R$17="Distrato",$I$38-1,0)),IF(AND($L$37=0,$P$34=0),"",$L$37-1),IF($R$17="Distrato",$E463,0))),0,YEARFRAC(MAX($P$34*($B463+IF($R$17="Distrato",$I$38-1,0)),IF(AND($L$37=0,$P$34=0),"",$L$37-1),IF($R$17="Distrato",$E463,0)),MIN(AN$38,$D$19),$P$20))-SUM($P463:AM463)</f>
        <v>#VALUE!</v>
      </c>
      <c r="AO463" s="446" t="e">
        <f>IF(OR($B463="",MIN(AO$38,$D$19)&lt;MAX($P$34*($B463+IF($R$17="Distrato",$I$38-1,0)),IF(AND($L$37=0,$P$34=0),"",$L$37-1),IF($R$17="Distrato",$E463,0))),0,YEARFRAC(MAX($P$34*($B463+IF($R$17="Distrato",$I$38-1,0)),IF(AND($L$37=0,$P$34=0),"",$L$37-1),IF($R$17="Distrato",$E463,0)),MIN(AO$38,$D$19),$P$20))-SUM($P463:AN463)</f>
        <v>#VALUE!</v>
      </c>
      <c r="AP463" s="446" t="e">
        <f>IF(OR($B463="",MIN(AP$38,$D$19)&lt;MAX($P$34*($B463+IF($R$17="Distrato",$I$38-1,0)),IF(AND($L$37=0,$P$34=0),"",$L$37-1),IF($R$17="Distrato",$E463,0))),0,YEARFRAC(MAX($P$34*($B463+IF($R$17="Distrato",$I$38-1,0)),IF(AND($L$37=0,$P$34=0),"",$L$37-1),IF($R$17="Distrato",$E463,0)),MIN(AP$38,$D$19),$P$20))-SUM($P463:AO463)</f>
        <v>#VALUE!</v>
      </c>
      <c r="AQ463" s="446" t="e">
        <f>IF(OR($B463="",MIN(AQ$38,$D$19)&lt;MAX($P$34*($B463+IF($R$17="Distrato",$I$38-1,0)),IF(AND($L$37=0,$P$34=0),"",$L$37-1),IF($R$17="Distrato",$E463,0))),0,YEARFRAC(MAX($P$34*($B463+IF($R$17="Distrato",$I$38-1,0)),IF(AND($L$37=0,$P$34=0),"",$L$37-1),IF($R$17="Distrato",$E463,0)),MIN(AQ$38,$D$19),$P$20))-SUM($P463:AP463)</f>
        <v>#VALUE!</v>
      </c>
      <c r="AR463" s="446" t="e">
        <f>IF(OR($B463="",MIN(AR$38,$D$19)&lt;MAX($P$34*($B463+IF($R$17="Distrato",$I$38-1,0)),IF(AND($L$37=0,$P$34=0),"",$L$37-1),IF($R$17="Distrato",$E463,0))),0,YEARFRAC(MAX($P$34*($B463+IF($R$17="Distrato",$I$38-1,0)),IF(AND($L$37=0,$P$34=0),"",$L$37-1),IF($R$17="Distrato",$E463,0)),MIN(AR$38,$D$19),$P$20))-SUM($P463:AQ463)</f>
        <v>#VALUE!</v>
      </c>
      <c r="AS463" s="446" t="e">
        <f>IF(OR($B463="",MIN(AS$38,$D$19)&lt;MAX($P$34*($B463+IF($R$17="Distrato",$I$38-1,0)),IF(AND($L$37=0,$P$34=0),"",$L$37-1),IF($R$17="Distrato",$E463,0))),0,YEARFRAC(MAX($P$34*($B463+IF($R$17="Distrato",$I$38-1,0)),IF(AND($L$37=0,$P$34=0),"",$L$37-1),IF($R$17="Distrato",$E463,0)),MIN(AS$38,$D$19),$P$20))-SUM($P463:AR463)</f>
        <v>#VALUE!</v>
      </c>
      <c r="AT463" s="446" t="e">
        <f>IF(OR($B463="",MIN(AT$38,$D$19)&lt;MAX($P$34*($B463+IF($R$17="Distrato",$I$38-1,0)),IF(AND($L$37=0,$P$34=0),"",$L$37-1),IF($R$17="Distrato",$E463,0))),0,YEARFRAC(MAX($P$34*($B463+IF($R$17="Distrato",$I$38-1,0)),IF(AND($L$37=0,$P$34=0),"",$L$37-1),IF($R$17="Distrato",$E463,0)),MIN(AT$38,$D$19),$P$20))-SUM($P463:AS463)</f>
        <v>#VALUE!</v>
      </c>
      <c r="AU463" s="446" t="e">
        <f>IF(OR($B463="",MIN(AU$38,$D$19)&lt;MAX($P$34*($B463+IF($R$17="Distrato",$I$38-1,0)),IF(AND($L$37=0,$P$34=0),"",$L$37-1),IF($R$17="Distrato",$E463,0))),0,YEARFRAC(MAX($P$34*($B463+IF($R$17="Distrato",$I$38-1,0)),IF(AND($L$37=0,$P$34=0),"",$L$37-1),IF($R$17="Distrato",$E463,0)),MIN(AU$38,$D$19),$P$20))-SUM($P463:AT463)</f>
        <v>#VALUE!</v>
      </c>
      <c r="AV463" s="446" t="e">
        <f>IF(OR($B463="",MIN(AV$38,$D$19)&lt;MAX($P$34*($B463+IF($R$17="Distrato",$I$38-1,0)),IF(AND($L$37=0,$P$34=0),"",$L$37-1),IF($R$17="Distrato",$E463,0))),0,YEARFRAC(MAX($P$34*($B463+IF($R$17="Distrato",$I$38-1,0)),IF(AND($L$37=0,$P$34=0),"",$L$37-1),IF($R$17="Distrato",$E463,0)),MIN(AV$38,$D$19),$P$20))-SUM($P463:AU463)</f>
        <v>#VALUE!</v>
      </c>
      <c r="AW463" s="446" t="e">
        <f>IF(OR($B463="",MIN(AW$38,$D$19)&lt;MAX($P$34*($B463+IF($R$17="Distrato",$I$38-1,0)),IF(AND($L$37=0,$P$34=0),"",$L$37-1),IF($R$17="Distrato",$E463,0))),0,YEARFRAC(MAX($P$34*($B463+IF($R$17="Distrato",$I$38-1,0)),IF(AND($L$37=0,$P$34=0),"",$L$37-1),IF($R$17="Distrato",$E463,0)),MIN(AW$38,$D$19),$P$20))-SUM($P463:AV463)</f>
        <v>#VALUE!</v>
      </c>
      <c r="AX463" s="446" t="e">
        <f>IF(OR($B463="",MIN(AX$38,$D$19)&lt;MAX($P$34*($B463+IF($R$17="Distrato",$I$38-1,0)),IF(AND($L$37=0,$P$34=0),"",$L$37-1),IF($R$17="Distrato",$E463,0))),0,YEARFRAC(MAX($P$34*($B463+IF($R$17="Distrato",$I$38-1,0)),IF(AND($L$37=0,$P$34=0),"",$L$37-1),IF($R$17="Distrato",$E463,0)),MIN(AX$38,$D$19),$P$20))-SUM($P463:AW463)</f>
        <v>#VALUE!</v>
      </c>
      <c r="AY463" s="446" t="e">
        <f>IF(OR($B463="",MIN(AY$38,$D$19)&lt;MAX($P$34*($B463+IF($R$17="Distrato",$I$38-1,0)),IF(AND($L$37=0,$P$34=0),"",$L$37-1),IF($R$17="Distrato",$E463,0))),0,YEARFRAC(MAX($P$34*($B463+IF($R$17="Distrato",$I$38-1,0)),IF(AND($L$37=0,$P$34=0),"",$L$37-1),IF($R$17="Distrato",$E463,0)),MIN(AY$38,$D$19),$P$20))-SUM($P463:AX463)</f>
        <v>#VALUE!</v>
      </c>
      <c r="AZ463" s="446" t="e">
        <f>IF(OR($B463="",MIN(AZ$38,$D$19)&lt;MAX($P$34*($B463+IF($R$17="Distrato",$I$38-1,0)),IF(AND($L$37=0,$P$34=0),"",$L$37-1),IF($R$17="Distrato",$E463,0))),0,YEARFRAC(MAX($P$34*($B463+IF($R$17="Distrato",$I$38-1,0)),IF(AND($L$37=0,$P$34=0),"",$L$37-1),IF($R$17="Distrato",$E463,0)),MIN(AZ$38,$D$19),$P$20))-SUM($P463:AY463)</f>
        <v>#VALUE!</v>
      </c>
      <c r="BA463" s="446" t="e">
        <f>IF(OR($B463="",MIN(BA$38,$D$19)&lt;MAX($P$34*($B463+IF($R$17="Distrato",$I$38-1,0)),IF(AND($L$37=0,$P$34=0),"",$L$37-1),IF($R$17="Distrato",$E463,0))),0,YEARFRAC(MAX($P$34*($B463+IF($R$17="Distrato",$I$38-1,0)),IF(AND($L$37=0,$P$34=0),"",$L$37-1),IF($R$17="Distrato",$E463,0)),MIN(BA$38,$D$19),$P$20))-SUM($P463:AZ463)</f>
        <v>#VALUE!</v>
      </c>
      <c r="BB463" s="447"/>
      <c r="BF463" s="446">
        <f t="shared" si="76"/>
        <v>0</v>
      </c>
      <c r="BG463" s="446">
        <f>IF($E463=0,0,IF(MIN(BG$38,$E463)&lt;MAX($P$34*($B463+$I$38-1),IF(AND($L$37=0,$P$34=0),"",$L$37-1)),0,YEARFRAC(MAX($P$34*($B463+$I$38-1),IF(AND($L$37=0,$P$34=0),"",$L$37-1)),MIN(BG$38,$E463),$P$20))-SUM($BF463:BF463))</f>
        <v>0</v>
      </c>
      <c r="BH463" s="446">
        <f>IF($E463=0,0,IF(MIN(BH$38,$E463)&lt;MAX($P$34*($B463+$I$38-1),IF(AND($L$37=0,$P$34=0),"",$L$37-1)),0,YEARFRAC(MAX($P$34*($B463+$I$38-1),IF(AND($L$37=0,$P$34=0),"",$L$37-1)),MIN(BH$38,$E463),$P$20))-SUM($BF463:BG463))</f>
        <v>0</v>
      </c>
      <c r="BI463" s="446">
        <f>IF($E463=0,0,IF(MIN(BI$38,$E463)&lt;MAX($P$34*($B463+$I$38-1),IF(AND($L$37=0,$P$34=0),"",$L$37-1)),0,YEARFRAC(MAX($P$34*($B463+$I$38-1),IF(AND($L$37=0,$P$34=0),"",$L$37-1)),MIN(BI$38,$E463),$P$20))-SUM($BF463:BH463))</f>
        <v>0</v>
      </c>
      <c r="BJ463" s="446">
        <f>IF($E463=0,0,IF(MIN(BJ$38,$E463)&lt;MAX($P$34*($B463+$I$38-1),IF(AND($L$37=0,$P$34=0),"",$L$37-1)),0,YEARFRAC(MAX($P$34*($B463+$I$38-1),IF(AND($L$37=0,$P$34=0),"",$L$37-1)),MIN(BJ$38,$E463),$P$20))-SUM($BF463:BI463))</f>
        <v>0</v>
      </c>
      <c r="BK463" s="446">
        <f>IF($E463=0,0,IF(MIN(BK$38,$E463)&lt;MAX($P$34*($B463+$I$38-1),IF(AND($L$37=0,$P$34=0),"",$L$37-1)),0,YEARFRAC(MAX($P$34*($B463+$I$38-1),IF(AND($L$37=0,$P$34=0),"",$L$37-1)),MIN(BK$38,$E463),$P$20))-SUM($BF463:BJ463))</f>
        <v>0</v>
      </c>
      <c r="BL463" s="446">
        <f>IF($E463=0,0,IF(MIN(BL$38,$E463)&lt;MAX($P$34*($B463+$I$38-1),IF(AND($L$37=0,$P$34=0),"",$L$37-1)),0,YEARFRAC(MAX($P$34*($B463+$I$38-1),IF(AND($L$37=0,$P$34=0),"",$L$37-1)),MIN(BL$38,$E463),$P$20))-SUM($BF463:BK463))</f>
        <v>0</v>
      </c>
      <c r="BM463" s="446">
        <f>IF($E463=0,0,IF(MIN(BM$38,$E463)&lt;MAX($P$34*($B463+$I$38-1),IF(AND($L$37=0,$P$34=0),"",$L$37-1)),0,YEARFRAC(MAX($P$34*($B463+$I$38-1),IF(AND($L$37=0,$P$34=0),"",$L$37-1)),MIN(BM$38,$E463),$P$20))-SUM($BF463:BL463))</f>
        <v>0</v>
      </c>
      <c r="BN463" s="446">
        <f>IF($E463=0,0,IF(MIN(BN$38,$E463)&lt;MAX($P$34*($B463+$I$38-1),IF(AND($L$37=0,$P$34=0),"",$L$37-1)),0,YEARFRAC(MAX($P$34*($B463+$I$38-1),IF(AND($L$37=0,$P$34=0),"",$L$37-1)),MIN(BN$38,$E463),$P$20))-SUM($BF463:BM463))</f>
        <v>0</v>
      </c>
      <c r="BO463" s="446">
        <f>IF($E463=0,0,IF(MIN(BO$38,$E463)&lt;MAX($P$34*($B463+$I$38-1),IF(AND($L$37=0,$P$34=0),"",$L$37-1)),0,YEARFRAC(MAX($P$34*($B463+$I$38-1),IF(AND($L$37=0,$P$34=0),"",$L$37-1)),MIN(BO$38,$E463),$P$20))-SUM($BF463:BN463))</f>
        <v>0</v>
      </c>
      <c r="BP463" s="446">
        <f>IF($E463=0,0,IF(MIN(BP$38,$E463)&lt;MAX($P$34*($B463+$I$38-1),IF(AND($L$37=0,$P$34=0),"",$L$37-1)),0,YEARFRAC(MAX($P$34*($B463+$I$38-1),IF(AND($L$37=0,$P$34=0),"",$L$37-1)),MIN(BP$38,$E463),$P$20))-SUM($BF463:BO463))</f>
        <v>0</v>
      </c>
      <c r="BQ463" s="446">
        <f>IF($E463=0,0,IF(MIN(BQ$38,$E463)&lt;MAX($P$34*($B463+$I$38-1),IF(AND($L$37=0,$P$34=0),"",$L$37-1)),0,YEARFRAC(MAX($P$34*($B463+$I$38-1),IF(AND($L$37=0,$P$34=0),"",$L$37-1)),MIN(BQ$38,$E463),$P$20))-SUM($BF463:BP463))</f>
        <v>0</v>
      </c>
      <c r="BR463" s="446">
        <f>IF($E463=0,0,IF(MIN(BR$38,$E463)&lt;MAX($P$34*($B463+$I$38-1),IF(AND($L$37=0,$P$34=0),"",$L$37-1)),0,YEARFRAC(MAX($P$34*($B463+$I$38-1),IF(AND($L$37=0,$P$34=0),"",$L$37-1)),MIN(BR$38,$E463),$P$20))-SUM($BF463:BQ463))</f>
        <v>0</v>
      </c>
      <c r="BS463" s="446">
        <f>IF($E463=0,0,IF(MIN(BS$38,$E463)&lt;MAX($P$34*($B463+$I$38-1),IF(AND($L$37=0,$P$34=0),"",$L$37-1)),0,YEARFRAC(MAX($P$34*($B463+$I$38-1),IF(AND($L$37=0,$P$34=0),"",$L$37-1)),MIN(BS$38,$E463),$P$20))-SUM($BF463:BR463))</f>
        <v>0</v>
      </c>
      <c r="BT463" s="446">
        <f>IF($E463=0,0,IF(MIN(BT$38,$E463)&lt;MAX($P$34*($B463+$I$38-1),IF(AND($L$37=0,$P$34=0),"",$L$37-1)),0,YEARFRAC(MAX($P$34*($B463+$I$38-1),IF(AND($L$37=0,$P$34=0),"",$L$37-1)),MIN(BT$38,$E463),$P$20))-SUM($BF463:BS463))</f>
        <v>0</v>
      </c>
      <c r="BU463" s="446">
        <f>IF($E463=0,0,IF(MIN(BU$38,$E463)&lt;MAX($P$34*($B463+$I$38-1),IF(AND($L$37=0,$P$34=0),"",$L$37-1)),0,YEARFRAC(MAX($P$34*($B463+$I$38-1),IF(AND($L$37=0,$P$34=0),"",$L$37-1)),MIN(BU$38,$E463),$P$20))-SUM($BF463:BT463))</f>
        <v>0</v>
      </c>
      <c r="BV463" s="446">
        <f>IF($E463=0,0,IF(MIN(BV$38,$E463)&lt;MAX($P$34*($B463+$I$38-1),IF(AND($L$37=0,$P$34=0),"",$L$37-1)),0,YEARFRAC(MAX($P$34*($B463+$I$38-1),IF(AND($L$37=0,$P$34=0),"",$L$37-1)),MIN(BV$38,$E463),$P$20))-SUM($BF463:BU463))</f>
        <v>0</v>
      </c>
      <c r="BW463" s="446">
        <f>IF($E463=0,0,IF(MIN(BW$38,$E463)&lt;MAX($P$34*($B463+$I$38-1),IF(AND($L$37=0,$P$34=0),"",$L$37-1)),0,YEARFRAC(MAX($P$34*($B463+$I$38-1),IF(AND($L$37=0,$P$34=0),"",$L$37-1)),MIN(BW$38,$E463),$P$20))-SUM($BF463:BV463))</f>
        <v>0</v>
      </c>
      <c r="BX463" s="446">
        <f>IF($E463=0,0,IF(MIN(BX$38,$E463)&lt;MAX($P$34*($B463+$I$38-1),IF(AND($L$37=0,$P$34=0),"",$L$37-1)),0,YEARFRAC(MAX($P$34*($B463+$I$38-1),IF(AND($L$37=0,$P$34=0),"",$L$37-1)),MIN(BX$38,$E463),$P$20))-SUM($BF463:BW463))</f>
        <v>0</v>
      </c>
      <c r="BY463" s="446">
        <f>IF($E463=0,0,IF(MIN(BY$38,$E463)&lt;MAX($P$34*($B463+$I$38-1),IF(AND($L$37=0,$P$34=0),"",$L$37-1)),0,YEARFRAC(MAX($P$34*($B463+$I$38-1),IF(AND($L$37=0,$P$34=0),"",$L$37-1)),MIN(BY$38,$E463),$P$20))-SUM($BF463:BX463))</f>
        <v>0</v>
      </c>
      <c r="BZ463" s="446">
        <f>IF($E463=0,0,IF(MIN(BZ$38,$E463)&lt;MAX($P$34*($B463+$I$38-1),IF(AND($L$37=0,$P$34=0),"",$L$37-1)),0,YEARFRAC(MAX($P$34*($B463+$I$38-1),IF(AND($L$37=0,$P$34=0),"",$L$37-1)),MIN(BZ$38,$E463),$P$20))-SUM($BF463:BY463))</f>
        <v>0</v>
      </c>
      <c r="CA463" s="446">
        <f>IF($E463=0,0,IF(MIN(CA$38,$E463)&lt;MAX($P$34*($B463+$I$38-1),IF(AND($L$37=0,$P$34=0),"",$L$37-1)),0,YEARFRAC(MAX($P$34*($B463+$I$38-1),IF(AND($L$37=0,$P$34=0),"",$L$37-1)),MIN(CA$38,$E463),$P$20))-SUM($BF463:BZ463))</f>
        <v>0</v>
      </c>
      <c r="CB463" s="446">
        <f>IF($E463=0,0,IF(MIN(CB$38,$E463)&lt;MAX($P$34*($B463+$I$38-1),IF(AND($L$37=0,$P$34=0),"",$L$37-1)),0,YEARFRAC(MAX($P$34*($B463+$I$38-1),IF(AND($L$37=0,$P$34=0),"",$L$37-1)),MIN(CB$38,$E463),$P$20))-SUM($BF463:CA463))</f>
        <v>0</v>
      </c>
      <c r="CC463" s="446">
        <f>IF($E463=0,0,IF(MIN(CC$38,$E463)&lt;MAX($P$34*($B463+$I$38-1),IF(AND($L$37=0,$P$34=0),"",$L$37-1)),0,YEARFRAC(MAX($P$34*($B463+$I$38-1),IF(AND($L$37=0,$P$34=0),"",$L$37-1)),MIN(CC$38,$E463),$P$20))-SUM($BF463:CB463))</f>
        <v>0</v>
      </c>
      <c r="CD463" s="446">
        <f>IF($E463=0,0,IF(MIN(CD$38,$E463)&lt;MAX($P$34*($B463+$I$38-1),IF(AND($L$37=0,$P$34=0),"",$L$37-1)),0,YEARFRAC(MAX($P$34*($B463+$I$38-1),IF(AND($L$37=0,$P$34=0),"",$L$37-1)),MIN(CD$38,$E463),$P$20))-SUM($BF463:CC463))</f>
        <v>0</v>
      </c>
      <c r="CE463" s="446">
        <f>IF($E463=0,0,IF(MIN(CE$38,$E463)&lt;MAX($P$34*($B463+$I$38-1),IF(AND($L$37=0,$P$34=0),"",$L$37-1)),0,YEARFRAC(MAX($P$34*($B463+$I$38-1),IF(AND($L$37=0,$P$34=0),"",$L$37-1)),MIN(CE$38,$E463),$P$20))-SUM($BF463:CD463))</f>
        <v>0</v>
      </c>
      <c r="CF463" s="446">
        <f>IF($E463=0,0,IF(MIN(CF$38,$E463)&lt;MAX($P$34*($B463+$I$38-1),IF(AND($L$37=0,$P$34=0),"",$L$37-1)),0,YEARFRAC(MAX($P$34*($B463+$I$38-1),IF(AND($L$37=0,$P$34=0),"",$L$37-1)),MIN(CF$38,$E463),$P$20))-SUM($BF463:CE463))</f>
        <v>0</v>
      </c>
      <c r="CG463" s="446">
        <f>IF($E463=0,0,IF(MIN(CG$38,$E463)&lt;MAX($P$34*($B463+$I$38-1),IF(AND($L$37=0,$P$34=0),"",$L$37-1)),0,YEARFRAC(MAX($P$34*($B463+$I$38-1),IF(AND($L$37=0,$P$34=0),"",$L$37-1)),MIN(CG$38,$E463),$P$20))-SUM($BF463:CF463))</f>
        <v>0</v>
      </c>
      <c r="CH463" s="446">
        <f>IF($E463=0,0,IF(MIN(CH$38,$E463)&lt;MAX($P$34*($B463+$I$38-1),IF(AND($L$37=0,$P$34=0),"",$L$37-1)),0,YEARFRAC(MAX($P$34*($B463+$I$38-1),IF(AND($L$37=0,$P$34=0),"",$L$37-1)),MIN(CH$38,$E463),$P$20))-SUM($BF463:CG463))</f>
        <v>0</v>
      </c>
      <c r="CI463" s="446">
        <f>IF($E463=0,0,IF(MIN(CI$38,$E463)&lt;MAX($P$34*($B463+$I$38-1),IF(AND($L$37=0,$P$34=0),"",$L$37-1)),0,YEARFRAC(MAX($P$34*($B463+$I$38-1),IF(AND($L$37=0,$P$34=0),"",$L$37-1)),MIN(CI$38,$E463),$P$20))-SUM($BF463:CH463))</f>
        <v>0</v>
      </c>
      <c r="CJ463" s="446">
        <f>IF($E463=0,0,IF(MIN(CJ$38,$E463)&lt;MAX($P$34*($B463+$I$38-1),IF(AND($L$37=0,$P$34=0),"",$L$37-1)),0,YEARFRAC(MAX($P$34*($B463+$I$38-1),IF(AND($L$37=0,$P$34=0),"",$L$37-1)),MIN(CJ$38,$E463),$P$20))-SUM($BF463:CI463))</f>
        <v>0</v>
      </c>
      <c r="CK463" s="446">
        <f>IF($E463=0,0,IF(MIN(CK$38,$E463)&lt;MAX($P$34*($B463+$I$38-1),IF(AND($L$37=0,$P$34=0),"",$L$37-1)),0,YEARFRAC(MAX($P$34*($B463+$I$38-1),IF(AND($L$37=0,$P$34=0),"",$L$37-1)),MIN(CK$38,$E463),$P$20))-SUM($BF463:CJ463))</f>
        <v>0</v>
      </c>
      <c r="CL463" s="446">
        <f>IF($E463=0,0,IF(MIN(CL$38,$E463)&lt;MAX($P$34*($B463+$I$38-1),IF(AND($L$37=0,$P$34=0),"",$L$37-1)),0,YEARFRAC(MAX($P$34*($B463+$I$38-1),IF(AND($L$37=0,$P$34=0),"",$L$37-1)),MIN(CL$38,$E463),$P$20))-SUM($BF463:CK463))</f>
        <v>0</v>
      </c>
      <c r="CM463" s="446">
        <f>IF($E463=0,0,IF(MIN(CM$38,$E463)&lt;MAX($P$34*($B463+$I$38-1),IF(AND($L$37=0,$P$34=0),"",$L$37-1)),0,YEARFRAC(MAX($P$34*($B463+$I$38-1),IF(AND($L$37=0,$P$34=0),"",$L$37-1)),MIN(CM$38,$E463),$P$20))-SUM($BF463:CL463))</f>
        <v>0</v>
      </c>
      <c r="CN463" s="446">
        <f>IF($E463=0,0,IF(MIN(CN$38,$E463)&lt;MAX($P$34*($B463+$I$38-1),IF(AND($L$37=0,$P$34=0),"",$L$37-1)),0,YEARFRAC(MAX($P$34*($B463+$I$38-1),IF(AND($L$37=0,$P$34=0),"",$L$37-1)),MIN(CN$38,$E463),$P$20))-SUM($BF463:CM463))</f>
        <v>0</v>
      </c>
      <c r="CO463" s="446">
        <f>IF($E463=0,0,IF(MIN(CO$38,$E463)&lt;MAX($P$34*($B463+$I$38-1),IF(AND($L$37=0,$P$34=0),"",$L$37-1)),0,YEARFRAC(MAX($P$34*($B463+$I$38-1),IF(AND($L$37=0,$P$34=0),"",$L$37-1)),MIN(CO$38,$E463),$P$20))-SUM($BF463:CN463))</f>
        <v>0</v>
      </c>
      <c r="CP463" s="446">
        <f>IF($E463=0,0,IF(MIN(CP$38,$E463)&lt;MAX($P$34*($B463+$I$38-1),IF(AND($L$37=0,$P$34=0),"",$L$37-1)),0,YEARFRAC(MAX($P$34*($B463+$I$38-1),IF(AND($L$37=0,$P$34=0),"",$L$37-1)),MIN(CP$38,$E463),$P$20))-SUM($BF463:CO463))</f>
        <v>0</v>
      </c>
      <c r="CQ463" s="446">
        <f>IF($E463=0,0,IF(MIN(CQ$38,$E463)&lt;MAX($P$34*($B463+$I$38-1),IF(AND($L$37=0,$P$34=0),"",$L$37-1)),0,YEARFRAC(MAX($P$34*($B463+$I$38-1),IF(AND($L$37=0,$P$34=0),"",$L$37-1)),MIN(CQ$38,$E463),$P$20))-SUM($BF463:CP463))</f>
        <v>0</v>
      </c>
    </row>
    <row r="464" spans="1:95" s="446" customFormat="1" ht="11.25" hidden="1" customHeight="1" x14ac:dyDescent="0.2">
      <c r="A464" s="152"/>
      <c r="B464" s="153" t="str">
        <f t="shared" si="81"/>
        <v/>
      </c>
      <c r="C464" s="29" t="str">
        <f>IF(B464="","",IF($L$35="SELIC - TRIBUTOS",VLOOKUP(DATE(YEAR($D$19),MONTH($D$19)-1,1),ÍNDICES!$A:$DE,HLOOKUP($BL$25,ÍNDICES!$B$3:$T$4,2)+11)-VLOOKUP(B464,ÍNDICES!$A:$DE,HLOOKUP($BL$25,ÍNDICES!$B$3:$T$4,2)+11)+1%,IF(C$38=$W$26,$J$35,IF(ISERROR(IF(B464&gt;$D$19,1,VLOOKUP(DATE(YEAR(B464),MONTH(B464)+IF($C$35=$S$23,1,0),1),ÍNDICES!$A:$DE,$Z$35+1))),"",IF(B464&gt;$D$19,1,VLOOKUP(DATE(YEAR(B464),MONTH(B464)+IF($C$35=$S$23,1,0),1),ÍNDICES!$A:$DE,$Z$35+1))))))</f>
        <v/>
      </c>
      <c r="D464" s="154" t="str">
        <f>IF(ISERROR(IF(OR($D$38=$Y$27,$B464=""),"",VLOOKUP(B464,ÍNDICES!A:DE,AF$35+1))),"",IF(OR($D$38=$Y$27,$B464=""),"",VLOOKUP(B464,ÍNDICES!A:DE,AF$35+1)))</f>
        <v/>
      </c>
      <c r="E464" s="153"/>
      <c r="F464" s="29" t="str">
        <f>IF(E464="","",IF($L$35="SELIC - TRIBUTOS",VLOOKUP(DATE(YEAR($D$19),MONTH($D$19)-1,1),ÍNDICES!$A:$DE,HLOOKUP($BL$25,ÍNDICES!$B$3:$T$4,2)+11)-VLOOKUP(E464,ÍNDICES!$A:$DE,HLOOKUP($BL$25,ÍNDICES!$B$3:$T$4,2)+11)+1%,IF(F$38=$W$26,$J$35,IF(ISERROR(IF(E464&gt;$D$19,1,VLOOKUP(DATE(YEAR(E464),MONTH(E464)+IF($C$35=$S$23,1,0),1),ÍNDICES!$A:$DE,$Z$35+1))),"",IF(E464&gt;$D$19,1,VLOOKUP(DATE(YEAR(E464),MONTH(E464)+IF($C$35=$S$23,1,0),1),ÍNDICES!$A:$DE,$Z$35+1))))))</f>
        <v/>
      </c>
      <c r="G464" s="155"/>
      <c r="H464" s="156" t="str">
        <f t="shared" si="77"/>
        <v/>
      </c>
      <c r="I464" s="29" t="str">
        <f t="shared" si="71"/>
        <v/>
      </c>
      <c r="J464" s="5">
        <f t="shared" si="72"/>
        <v>0</v>
      </c>
      <c r="K464" s="20">
        <f t="shared" ca="1" si="73"/>
        <v>0</v>
      </c>
      <c r="L464" s="5">
        <f t="shared" ca="1" si="74"/>
        <v>0</v>
      </c>
      <c r="M464" s="64">
        <f t="shared" si="78"/>
        <v>0</v>
      </c>
      <c r="N464" s="61">
        <f t="shared" ca="1" si="79"/>
        <v>0</v>
      </c>
      <c r="O464" s="5">
        <f t="shared" ca="1" si="80"/>
        <v>0</v>
      </c>
      <c r="P464" s="446" t="e">
        <f t="shared" si="75"/>
        <v>#VALUE!</v>
      </c>
      <c r="Q464" s="446" t="e">
        <f>IF(OR($B464="",MIN(Q$38,$D$19)&lt;MAX($P$34*($B464+IF($R$17="Distrato",$I$38-1,0)),IF(AND($L$37=0,$P$34=0),"",$L$37-1),IF($R$17="Distrato",$E464,0))),0,YEARFRAC(MAX($P$34*($B464+IF($R$17="Distrato",$I$38-1,0)),IF(AND($L$37=0,$P$34=0),"",$L$37-1),IF($R$17="Distrato",$E464,0)),MIN(Q$38,$D$19),$P$20))-SUM($P464:P464)</f>
        <v>#VALUE!</v>
      </c>
      <c r="R464" s="446" t="e">
        <f>IF(OR($B464="",MIN(R$38,$D$19)&lt;MAX($P$34*($B464+IF($R$17="Distrato",$I$38-1,0)),IF(AND($L$37=0,$P$34=0),"",$L$37-1),IF($R$17="Distrato",$E464,0))),0,YEARFRAC(MAX($P$34*($B464+IF($R$17="Distrato",$I$38-1,0)),IF(AND($L$37=0,$P$34=0),"",$L$37-1),IF($R$17="Distrato",$E464,0)),MIN(R$38,$D$19),$P$20))-SUM($P464:Q464)</f>
        <v>#VALUE!</v>
      </c>
      <c r="S464" s="446" t="e">
        <f>IF(OR($B464="",MIN(S$38,$D$19)&lt;MAX($P$34*($B464+IF($R$17="Distrato",$I$38-1,0)),IF(AND($L$37=0,$P$34=0),"",$L$37-1),IF($R$17="Distrato",$E464,0))),0,YEARFRAC(MAX($P$34*($B464+IF($R$17="Distrato",$I$38-1,0)),IF(AND($L$37=0,$P$34=0),"",$L$37-1),IF($R$17="Distrato",$E464,0)),MIN(S$38,$D$19),$P$20))-SUM($P464:R464)</f>
        <v>#VALUE!</v>
      </c>
      <c r="T464" s="446" t="e">
        <f>IF(OR($B464="",MIN(T$38,$D$19)&lt;MAX($P$34*($B464+IF($R$17="Distrato",$I$38-1,0)),IF(AND($L$37=0,$P$34=0),"",$L$37-1),IF($R$17="Distrato",$E464,0))),0,YEARFRAC(MAX($P$34*($B464+IF($R$17="Distrato",$I$38-1,0)),IF(AND($L$37=0,$P$34=0),"",$L$37-1),IF($R$17="Distrato",$E464,0)),MIN(T$38,$D$19),$P$20))-SUM($P464:S464)</f>
        <v>#VALUE!</v>
      </c>
      <c r="U464" s="446" t="e">
        <f>IF(OR($B464="",MIN(U$38,$D$19)&lt;MAX($P$34*($B464+IF($R$17="Distrato",$I$38-1,0)),IF(AND($L$37=0,$P$34=0),"",$L$37-1),IF($R$17="Distrato",$E464,0))),0,YEARFRAC(MAX($P$34*($B464+IF($R$17="Distrato",$I$38-1,0)),IF(AND($L$37=0,$P$34=0),"",$L$37-1),IF($R$17="Distrato",$E464,0)),MIN(U$38,$D$19),$P$20))-SUM($P464:T464)</f>
        <v>#VALUE!</v>
      </c>
      <c r="V464" s="446" t="e">
        <f>IF(OR($B464="",MIN(V$38,$D$19)&lt;MAX($P$34*($B464+IF($R$17="Distrato",$I$38-1,0)),IF(AND($L$37=0,$P$34=0),"",$L$37-1),IF($R$17="Distrato",$E464,0))),0,YEARFRAC(MAX($P$34*($B464+IF($R$17="Distrato",$I$38-1,0)),IF(AND($L$37=0,$P$34=0),"",$L$37-1),IF($R$17="Distrato",$E464,0)),MIN(V$38,$D$19),$P$20))-SUM($P464:U464)</f>
        <v>#VALUE!</v>
      </c>
      <c r="W464" s="446" t="e">
        <f>IF(OR($B464="",MIN(W$38,$D$19)&lt;MAX($P$34*($B464+IF($R$17="Distrato",$I$38-1,0)),IF(AND($L$37=0,$P$34=0),"",$L$37-1),IF($R$17="Distrato",$E464,0))),0,YEARFRAC(MAX($P$34*($B464+IF($R$17="Distrato",$I$38-1,0)),IF(AND($L$37=0,$P$34=0),"",$L$37-1),IF($R$17="Distrato",$E464,0)),MIN(W$38,$D$19),$P$20))-SUM($P464:V464)</f>
        <v>#VALUE!</v>
      </c>
      <c r="X464" s="446" t="e">
        <f>IF(OR($B464="",MIN(X$38,$D$19)&lt;MAX($P$34*($B464+IF($R$17="Distrato",$I$38-1,0)),IF(AND($L$37=0,$P$34=0),"",$L$37-1),IF($R$17="Distrato",$E464,0))),0,YEARFRAC(MAX($P$34*($B464+IF($R$17="Distrato",$I$38-1,0)),IF(AND($L$37=0,$P$34=0),"",$L$37-1),IF($R$17="Distrato",$E464,0)),MIN(X$38,$D$19),$P$20))-SUM($P464:W464)</f>
        <v>#VALUE!</v>
      </c>
      <c r="Y464" s="446" t="e">
        <f>IF(OR($B464="",MIN(Y$38,$D$19)&lt;MAX($P$34*($B464+IF($R$17="Distrato",$I$38-1,0)),IF(AND($L$37=0,$P$34=0),"",$L$37-1),IF($R$17="Distrato",$E464,0))),0,YEARFRAC(MAX($P$34*($B464+IF($R$17="Distrato",$I$38-1,0)),IF(AND($L$37=0,$P$34=0),"",$L$37-1),IF($R$17="Distrato",$E464,0)),MIN(Y$38,$D$19),$P$20))-SUM($P464:X464)</f>
        <v>#VALUE!</v>
      </c>
      <c r="Z464" s="446" t="e">
        <f>IF(OR($B464="",MIN(Z$38,$D$19)&lt;MAX($P$34*($B464+IF($R$17="Distrato",$I$38-1,0)),IF(AND($L$37=0,$P$34=0),"",$L$37-1),IF($R$17="Distrato",$E464,0))),0,YEARFRAC(MAX($P$34*($B464+IF($R$17="Distrato",$I$38-1,0)),IF(AND($L$37=0,$P$34=0),"",$L$37-1),IF($R$17="Distrato",$E464,0)),MIN(Z$38,$D$19),$P$20))-SUM($P464:Y464)</f>
        <v>#VALUE!</v>
      </c>
      <c r="AA464" s="446" t="e">
        <f>IF(OR($B464="",MIN(AA$38,$D$19)&lt;MAX($P$34*($B464+IF($R$17="Distrato",$I$38-1,0)),IF(AND($L$37=0,$P$34=0),"",$L$37-1),IF($R$17="Distrato",$E464,0))),0,YEARFRAC(MAX($P$34*($B464+IF($R$17="Distrato",$I$38-1,0)),IF(AND($L$37=0,$P$34=0),"",$L$37-1),IF($R$17="Distrato",$E464,0)),MIN(AA$38,$D$19),$P$20))-SUM($P464:Z464)</f>
        <v>#VALUE!</v>
      </c>
      <c r="AB464" s="446" t="e">
        <f>IF(OR($B464="",MIN(AB$38,$D$19)&lt;MAX($P$34*($B464+IF($R$17="Distrato",$I$38-1,0)),IF(AND($L$37=0,$P$34=0),"",$L$37-1),IF($R$17="Distrato",$E464,0))),0,YEARFRAC(MAX($P$34*($B464+IF($R$17="Distrato",$I$38-1,0)),IF(AND($L$37=0,$P$34=0),"",$L$37-1),IF($R$17="Distrato",$E464,0)),MIN(AB$38,$D$19),$P$20))-SUM($P464:AA464)</f>
        <v>#VALUE!</v>
      </c>
      <c r="AC464" s="446" t="e">
        <f>IF(OR($B464="",MIN(AC$38,$D$19)&lt;MAX($P$34*($B464+IF($R$17="Distrato",$I$38-1,0)),IF(AND($L$37=0,$P$34=0),"",$L$37-1),IF($R$17="Distrato",$E464,0))),0,YEARFRAC(MAX($P$34*($B464+IF($R$17="Distrato",$I$38-1,0)),IF(AND($L$37=0,$P$34=0),"",$L$37-1),IF($R$17="Distrato",$E464,0)),MIN(AC$38,$D$19),$P$20))-SUM($P464:AB464)</f>
        <v>#VALUE!</v>
      </c>
      <c r="AD464" s="446" t="e">
        <f>IF(OR($B464="",MIN(AD$38,$D$19)&lt;MAX($P$34*($B464+IF($R$17="Distrato",$I$38-1,0)),IF(AND($L$37=0,$P$34=0),"",$L$37-1),IF($R$17="Distrato",$E464,0))),0,YEARFRAC(MAX($P$34*($B464+IF($R$17="Distrato",$I$38-1,0)),IF(AND($L$37=0,$P$34=0),"",$L$37-1),IF($R$17="Distrato",$E464,0)),MIN(AD$38,$D$19),$P$20))-SUM($P464:AC464)</f>
        <v>#VALUE!</v>
      </c>
      <c r="AE464" s="446" t="e">
        <f>IF(OR($B464="",MIN(AE$38,$D$19)&lt;MAX($P$34*($B464+IF($R$17="Distrato",$I$38-1,0)),IF(AND($L$37=0,$P$34=0),"",$L$37-1),IF($R$17="Distrato",$E464,0))),0,YEARFRAC(MAX($P$34*($B464+IF($R$17="Distrato",$I$38-1,0)),IF(AND($L$37=0,$P$34=0),"",$L$37-1),IF($R$17="Distrato",$E464,0)),MIN(AE$38,$D$19),$P$20))-SUM($P464:AD464)</f>
        <v>#VALUE!</v>
      </c>
      <c r="AF464" s="446" t="e">
        <f>IF(OR($B464="",MIN(AF$38,$D$19)&lt;MAX($P$34*($B464+IF($R$17="Distrato",$I$38-1,0)),IF(AND($L$37=0,$P$34=0),"",$L$37-1),IF($R$17="Distrato",$E464,0))),0,YEARFRAC(MAX($P$34*($B464+IF($R$17="Distrato",$I$38-1,0)),IF(AND($L$37=0,$P$34=0),"",$L$37-1),IF($R$17="Distrato",$E464,0)),MIN(AF$38,$D$19),$P$20))-SUM($P464:AE464)</f>
        <v>#VALUE!</v>
      </c>
      <c r="AG464" s="446" t="e">
        <f>IF(OR($B464="",MIN(AG$38,$D$19)&lt;MAX($P$34*($B464+IF($R$17="Distrato",$I$38-1,0)),IF(AND($L$37=0,$P$34=0),"",$L$37-1),IF($R$17="Distrato",$E464,0))),0,YEARFRAC(MAX($P$34*($B464+IF($R$17="Distrato",$I$38-1,0)),IF(AND($L$37=0,$P$34=0),"",$L$37-1),IF($R$17="Distrato",$E464,0)),MIN(AG$38,$D$19),$P$20))-SUM($P464:AF464)</f>
        <v>#VALUE!</v>
      </c>
      <c r="AH464" s="446" t="e">
        <f>IF(OR($B464="",MIN(AH$38,$D$19)&lt;MAX($P$34*($B464+IF($R$17="Distrato",$I$38-1,0)),IF(AND($L$37=0,$P$34=0),"",$L$37-1),IF($R$17="Distrato",$E464,0))),0,YEARFRAC(MAX($P$34*($B464+IF($R$17="Distrato",$I$38-1,0)),IF(AND($L$37=0,$P$34=0),"",$L$37-1),IF($R$17="Distrato",$E464,0)),MIN(AH$38,$D$19),$P$20))-SUM($P464:AG464)</f>
        <v>#VALUE!</v>
      </c>
      <c r="AI464" s="446" t="e">
        <f>IF(OR($B464="",MIN(AI$38,$D$19)&lt;MAX($P$34*($B464+IF($R$17="Distrato",$I$38-1,0)),IF(AND($L$37=0,$P$34=0),"",$L$37-1),IF($R$17="Distrato",$E464,0))),0,YEARFRAC(MAX($P$34*($B464+IF($R$17="Distrato",$I$38-1,0)),IF(AND($L$37=0,$P$34=0),"",$L$37-1),IF($R$17="Distrato",$E464,0)),MIN(AI$38,$D$19),$P$20))-SUM($P464:AH464)</f>
        <v>#VALUE!</v>
      </c>
      <c r="AJ464" s="446" t="e">
        <f>IF(OR($B464="",MIN(AJ$38,$D$19)&lt;MAX($P$34*($B464+IF($R$17="Distrato",$I$38-1,0)),IF(AND($L$37=0,$P$34=0),"",$L$37-1),IF($R$17="Distrato",$E464,0))),0,YEARFRAC(MAX($P$34*($B464+IF($R$17="Distrato",$I$38-1,0)),IF(AND($L$37=0,$P$34=0),"",$L$37-1),IF($R$17="Distrato",$E464,0)),MIN(AJ$38,$D$19),$P$20))-SUM($P464:AI464)</f>
        <v>#VALUE!</v>
      </c>
      <c r="AK464" s="446" t="e">
        <f>IF(OR($B464="",MIN(AK$38,$D$19)&lt;MAX($P$34*($B464+IF($R$17="Distrato",$I$38-1,0)),IF(AND($L$37=0,$P$34=0),"",$L$37-1),IF($R$17="Distrato",$E464,0))),0,YEARFRAC(MAX($P$34*($B464+IF($R$17="Distrato",$I$38-1,0)),IF(AND($L$37=0,$P$34=0),"",$L$37-1),IF($R$17="Distrato",$E464,0)),MIN(AK$38,$D$19),$P$20))-SUM($P464:AJ464)</f>
        <v>#VALUE!</v>
      </c>
      <c r="AL464" s="446" t="e">
        <f>IF(OR($B464="",MIN(AL$38,$D$19)&lt;MAX($P$34*($B464+IF($R$17="Distrato",$I$38-1,0)),IF(AND($L$37=0,$P$34=0),"",$L$37-1),IF($R$17="Distrato",$E464,0))),0,YEARFRAC(MAX($P$34*($B464+IF($R$17="Distrato",$I$38-1,0)),IF(AND($L$37=0,$P$34=0),"",$L$37-1),IF($R$17="Distrato",$E464,0)),MIN(AL$38,$D$19),$P$20))-SUM($P464:AK464)</f>
        <v>#VALUE!</v>
      </c>
      <c r="AM464" s="446" t="e">
        <f>IF(OR($B464="",MIN(AM$38,$D$19)&lt;MAX($P$34*($B464+IF($R$17="Distrato",$I$38-1,0)),IF(AND($L$37=0,$P$34=0),"",$L$37-1),IF($R$17="Distrato",$E464,0))),0,YEARFRAC(MAX($P$34*($B464+IF($R$17="Distrato",$I$38-1,0)),IF(AND($L$37=0,$P$34=0),"",$L$37-1),IF($R$17="Distrato",$E464,0)),MIN(AM$38,$D$19),$P$20))-SUM($P464:AL464)</f>
        <v>#VALUE!</v>
      </c>
      <c r="AN464" s="446" t="e">
        <f>IF(OR($B464="",MIN(AN$38,$D$19)&lt;MAX($P$34*($B464+IF($R$17="Distrato",$I$38-1,0)),IF(AND($L$37=0,$P$34=0),"",$L$37-1),IF($R$17="Distrato",$E464,0))),0,YEARFRAC(MAX($P$34*($B464+IF($R$17="Distrato",$I$38-1,0)),IF(AND($L$37=0,$P$34=0),"",$L$37-1),IF($R$17="Distrato",$E464,0)),MIN(AN$38,$D$19),$P$20))-SUM($P464:AM464)</f>
        <v>#VALUE!</v>
      </c>
      <c r="AO464" s="446" t="e">
        <f>IF(OR($B464="",MIN(AO$38,$D$19)&lt;MAX($P$34*($B464+IF($R$17="Distrato",$I$38-1,0)),IF(AND($L$37=0,$P$34=0),"",$L$37-1),IF($R$17="Distrato",$E464,0))),0,YEARFRAC(MAX($P$34*($B464+IF($R$17="Distrato",$I$38-1,0)),IF(AND($L$37=0,$P$34=0),"",$L$37-1),IF($R$17="Distrato",$E464,0)),MIN(AO$38,$D$19),$P$20))-SUM($P464:AN464)</f>
        <v>#VALUE!</v>
      </c>
      <c r="AP464" s="446" t="e">
        <f>IF(OR($B464="",MIN(AP$38,$D$19)&lt;MAX($P$34*($B464+IF($R$17="Distrato",$I$38-1,0)),IF(AND($L$37=0,$P$34=0),"",$L$37-1),IF($R$17="Distrato",$E464,0))),0,YEARFRAC(MAX($P$34*($B464+IF($R$17="Distrato",$I$38-1,0)),IF(AND($L$37=0,$P$34=0),"",$L$37-1),IF($R$17="Distrato",$E464,0)),MIN(AP$38,$D$19),$P$20))-SUM($P464:AO464)</f>
        <v>#VALUE!</v>
      </c>
      <c r="AQ464" s="446" t="e">
        <f>IF(OR($B464="",MIN(AQ$38,$D$19)&lt;MAX($P$34*($B464+IF($R$17="Distrato",$I$38-1,0)),IF(AND($L$37=0,$P$34=0),"",$L$37-1),IF($R$17="Distrato",$E464,0))),0,YEARFRAC(MAX($P$34*($B464+IF($R$17="Distrato",$I$38-1,0)),IF(AND($L$37=0,$P$34=0),"",$L$37-1),IF($R$17="Distrato",$E464,0)),MIN(AQ$38,$D$19),$P$20))-SUM($P464:AP464)</f>
        <v>#VALUE!</v>
      </c>
      <c r="AR464" s="446" t="e">
        <f>IF(OR($B464="",MIN(AR$38,$D$19)&lt;MAX($P$34*($B464+IF($R$17="Distrato",$I$38-1,0)),IF(AND($L$37=0,$P$34=0),"",$L$37-1),IF($R$17="Distrato",$E464,0))),0,YEARFRAC(MAX($P$34*($B464+IF($R$17="Distrato",$I$38-1,0)),IF(AND($L$37=0,$P$34=0),"",$L$37-1),IF($R$17="Distrato",$E464,0)),MIN(AR$38,$D$19),$P$20))-SUM($P464:AQ464)</f>
        <v>#VALUE!</v>
      </c>
      <c r="AS464" s="446" t="e">
        <f>IF(OR($B464="",MIN(AS$38,$D$19)&lt;MAX($P$34*($B464+IF($R$17="Distrato",$I$38-1,0)),IF(AND($L$37=0,$P$34=0),"",$L$37-1),IF($R$17="Distrato",$E464,0))),0,YEARFRAC(MAX($P$34*($B464+IF($R$17="Distrato",$I$38-1,0)),IF(AND($L$37=0,$P$34=0),"",$L$37-1),IF($R$17="Distrato",$E464,0)),MIN(AS$38,$D$19),$P$20))-SUM($P464:AR464)</f>
        <v>#VALUE!</v>
      </c>
      <c r="AT464" s="446" t="e">
        <f>IF(OR($B464="",MIN(AT$38,$D$19)&lt;MAX($P$34*($B464+IF($R$17="Distrato",$I$38-1,0)),IF(AND($L$37=0,$P$34=0),"",$L$37-1),IF($R$17="Distrato",$E464,0))),0,YEARFRAC(MAX($P$34*($B464+IF($R$17="Distrato",$I$38-1,0)),IF(AND($L$37=0,$P$34=0),"",$L$37-1),IF($R$17="Distrato",$E464,0)),MIN(AT$38,$D$19),$P$20))-SUM($P464:AS464)</f>
        <v>#VALUE!</v>
      </c>
      <c r="AU464" s="446" t="e">
        <f>IF(OR($B464="",MIN(AU$38,$D$19)&lt;MAX($P$34*($B464+IF($R$17="Distrato",$I$38-1,0)),IF(AND($L$37=0,$P$34=0),"",$L$37-1),IF($R$17="Distrato",$E464,0))),0,YEARFRAC(MAX($P$34*($B464+IF($R$17="Distrato",$I$38-1,0)),IF(AND($L$37=0,$P$34=0),"",$L$37-1),IF($R$17="Distrato",$E464,0)),MIN(AU$38,$D$19),$P$20))-SUM($P464:AT464)</f>
        <v>#VALUE!</v>
      </c>
      <c r="AV464" s="446" t="e">
        <f>IF(OR($B464="",MIN(AV$38,$D$19)&lt;MAX($P$34*($B464+IF($R$17="Distrato",$I$38-1,0)),IF(AND($L$37=0,$P$34=0),"",$L$37-1),IF($R$17="Distrato",$E464,0))),0,YEARFRAC(MAX($P$34*($B464+IF($R$17="Distrato",$I$38-1,0)),IF(AND($L$37=0,$P$34=0),"",$L$37-1),IF($R$17="Distrato",$E464,0)),MIN(AV$38,$D$19),$P$20))-SUM($P464:AU464)</f>
        <v>#VALUE!</v>
      </c>
      <c r="AW464" s="446" t="e">
        <f>IF(OR($B464="",MIN(AW$38,$D$19)&lt;MAX($P$34*($B464+IF($R$17="Distrato",$I$38-1,0)),IF(AND($L$37=0,$P$34=0),"",$L$37-1),IF($R$17="Distrato",$E464,0))),0,YEARFRAC(MAX($P$34*($B464+IF($R$17="Distrato",$I$38-1,0)),IF(AND($L$37=0,$P$34=0),"",$L$37-1),IF($R$17="Distrato",$E464,0)),MIN(AW$38,$D$19),$P$20))-SUM($P464:AV464)</f>
        <v>#VALUE!</v>
      </c>
      <c r="AX464" s="446" t="e">
        <f>IF(OR($B464="",MIN(AX$38,$D$19)&lt;MAX($P$34*($B464+IF($R$17="Distrato",$I$38-1,0)),IF(AND($L$37=0,$P$34=0),"",$L$37-1),IF($R$17="Distrato",$E464,0))),0,YEARFRAC(MAX($P$34*($B464+IF($R$17="Distrato",$I$38-1,0)),IF(AND($L$37=0,$P$34=0),"",$L$37-1),IF($R$17="Distrato",$E464,0)),MIN(AX$38,$D$19),$P$20))-SUM($P464:AW464)</f>
        <v>#VALUE!</v>
      </c>
      <c r="AY464" s="446" t="e">
        <f>IF(OR($B464="",MIN(AY$38,$D$19)&lt;MAX($P$34*($B464+IF($R$17="Distrato",$I$38-1,0)),IF(AND($L$37=0,$P$34=0),"",$L$37-1),IF($R$17="Distrato",$E464,0))),0,YEARFRAC(MAX($P$34*($B464+IF($R$17="Distrato",$I$38-1,0)),IF(AND($L$37=0,$P$34=0),"",$L$37-1),IF($R$17="Distrato",$E464,0)),MIN(AY$38,$D$19),$P$20))-SUM($P464:AX464)</f>
        <v>#VALUE!</v>
      </c>
      <c r="AZ464" s="446" t="e">
        <f>IF(OR($B464="",MIN(AZ$38,$D$19)&lt;MAX($P$34*($B464+IF($R$17="Distrato",$I$38-1,0)),IF(AND($L$37=0,$P$34=0),"",$L$37-1),IF($R$17="Distrato",$E464,0))),0,YEARFRAC(MAX($P$34*($B464+IF($R$17="Distrato",$I$38-1,0)),IF(AND($L$37=0,$P$34=0),"",$L$37-1),IF($R$17="Distrato",$E464,0)),MIN(AZ$38,$D$19),$P$20))-SUM($P464:AY464)</f>
        <v>#VALUE!</v>
      </c>
      <c r="BA464" s="446" t="e">
        <f>IF(OR($B464="",MIN(BA$38,$D$19)&lt;MAX($P$34*($B464+IF($R$17="Distrato",$I$38-1,0)),IF(AND($L$37=0,$P$34=0),"",$L$37-1),IF($R$17="Distrato",$E464,0))),0,YEARFRAC(MAX($P$34*($B464+IF($R$17="Distrato",$I$38-1,0)),IF(AND($L$37=0,$P$34=0),"",$L$37-1),IF($R$17="Distrato",$E464,0)),MIN(BA$38,$D$19),$P$20))-SUM($P464:AZ464)</f>
        <v>#VALUE!</v>
      </c>
      <c r="BB464" s="447"/>
      <c r="BF464" s="446">
        <f t="shared" si="76"/>
        <v>0</v>
      </c>
      <c r="BG464" s="446">
        <f>IF($E464=0,0,IF(MIN(BG$38,$E464)&lt;MAX($P$34*($B464+$I$38-1),IF(AND($L$37=0,$P$34=0),"",$L$37-1)),0,YEARFRAC(MAX($P$34*($B464+$I$38-1),IF(AND($L$37=0,$P$34=0),"",$L$37-1)),MIN(BG$38,$E464),$P$20))-SUM($BF464:BF464))</f>
        <v>0</v>
      </c>
      <c r="BH464" s="446">
        <f>IF($E464=0,0,IF(MIN(BH$38,$E464)&lt;MAX($P$34*($B464+$I$38-1),IF(AND($L$37=0,$P$34=0),"",$L$37-1)),0,YEARFRAC(MAX($P$34*($B464+$I$38-1),IF(AND($L$37=0,$P$34=0),"",$L$37-1)),MIN(BH$38,$E464),$P$20))-SUM($BF464:BG464))</f>
        <v>0</v>
      </c>
      <c r="BI464" s="446">
        <f>IF($E464=0,0,IF(MIN(BI$38,$E464)&lt;MAX($P$34*($B464+$I$38-1),IF(AND($L$37=0,$P$34=0),"",$L$37-1)),0,YEARFRAC(MAX($P$34*($B464+$I$38-1),IF(AND($L$37=0,$P$34=0),"",$L$37-1)),MIN(BI$38,$E464),$P$20))-SUM($BF464:BH464))</f>
        <v>0</v>
      </c>
      <c r="BJ464" s="446">
        <f>IF($E464=0,0,IF(MIN(BJ$38,$E464)&lt;MAX($P$34*($B464+$I$38-1),IF(AND($L$37=0,$P$34=0),"",$L$37-1)),0,YEARFRAC(MAX($P$34*($B464+$I$38-1),IF(AND($L$37=0,$P$34=0),"",$L$37-1)),MIN(BJ$38,$E464),$P$20))-SUM($BF464:BI464))</f>
        <v>0</v>
      </c>
      <c r="BK464" s="446">
        <f>IF($E464=0,0,IF(MIN(BK$38,$E464)&lt;MAX($P$34*($B464+$I$38-1),IF(AND($L$37=0,$P$34=0),"",$L$37-1)),0,YEARFRAC(MAX($P$34*($B464+$I$38-1),IF(AND($L$37=0,$P$34=0),"",$L$37-1)),MIN(BK$38,$E464),$P$20))-SUM($BF464:BJ464))</f>
        <v>0</v>
      </c>
      <c r="BL464" s="446">
        <f>IF($E464=0,0,IF(MIN(BL$38,$E464)&lt;MAX($P$34*($B464+$I$38-1),IF(AND($L$37=0,$P$34=0),"",$L$37-1)),0,YEARFRAC(MAX($P$34*($B464+$I$38-1),IF(AND($L$37=0,$P$34=0),"",$L$37-1)),MIN(BL$38,$E464),$P$20))-SUM($BF464:BK464))</f>
        <v>0</v>
      </c>
      <c r="BM464" s="446">
        <f>IF($E464=0,0,IF(MIN(BM$38,$E464)&lt;MAX($P$34*($B464+$I$38-1),IF(AND($L$37=0,$P$34=0),"",$L$37-1)),0,YEARFRAC(MAX($P$34*($B464+$I$38-1),IF(AND($L$37=0,$P$34=0),"",$L$37-1)),MIN(BM$38,$E464),$P$20))-SUM($BF464:BL464))</f>
        <v>0</v>
      </c>
      <c r="BN464" s="446">
        <f>IF($E464=0,0,IF(MIN(BN$38,$E464)&lt;MAX($P$34*($B464+$I$38-1),IF(AND($L$37=0,$P$34=0),"",$L$37-1)),0,YEARFRAC(MAX($P$34*($B464+$I$38-1),IF(AND($L$37=0,$P$34=0),"",$L$37-1)),MIN(BN$38,$E464),$P$20))-SUM($BF464:BM464))</f>
        <v>0</v>
      </c>
      <c r="BO464" s="446">
        <f>IF($E464=0,0,IF(MIN(BO$38,$E464)&lt;MAX($P$34*($B464+$I$38-1),IF(AND($L$37=0,$P$34=0),"",$L$37-1)),0,YEARFRAC(MAX($P$34*($B464+$I$38-1),IF(AND($L$37=0,$P$34=0),"",$L$37-1)),MIN(BO$38,$E464),$P$20))-SUM($BF464:BN464))</f>
        <v>0</v>
      </c>
      <c r="BP464" s="446">
        <f>IF($E464=0,0,IF(MIN(BP$38,$E464)&lt;MAX($P$34*($B464+$I$38-1),IF(AND($L$37=0,$P$34=0),"",$L$37-1)),0,YEARFRAC(MAX($P$34*($B464+$I$38-1),IF(AND($L$37=0,$P$34=0),"",$L$37-1)),MIN(BP$38,$E464),$P$20))-SUM($BF464:BO464))</f>
        <v>0</v>
      </c>
      <c r="BQ464" s="446">
        <f>IF($E464=0,0,IF(MIN(BQ$38,$E464)&lt;MAX($P$34*($B464+$I$38-1),IF(AND($L$37=0,$P$34=0),"",$L$37-1)),0,YEARFRAC(MAX($P$34*($B464+$I$38-1),IF(AND($L$37=0,$P$34=0),"",$L$37-1)),MIN(BQ$38,$E464),$P$20))-SUM($BF464:BP464))</f>
        <v>0</v>
      </c>
      <c r="BR464" s="446">
        <f>IF($E464=0,0,IF(MIN(BR$38,$E464)&lt;MAX($P$34*($B464+$I$38-1),IF(AND($L$37=0,$P$34=0),"",$L$37-1)),0,YEARFRAC(MAX($P$34*($B464+$I$38-1),IF(AND($L$37=0,$P$34=0),"",$L$37-1)),MIN(BR$38,$E464),$P$20))-SUM($BF464:BQ464))</f>
        <v>0</v>
      </c>
      <c r="BS464" s="446">
        <f>IF($E464=0,0,IF(MIN(BS$38,$E464)&lt;MAX($P$34*($B464+$I$38-1),IF(AND($L$37=0,$P$34=0),"",$L$37-1)),0,YEARFRAC(MAX($P$34*($B464+$I$38-1),IF(AND($L$37=0,$P$34=0),"",$L$37-1)),MIN(BS$38,$E464),$P$20))-SUM($BF464:BR464))</f>
        <v>0</v>
      </c>
      <c r="BT464" s="446">
        <f>IF($E464=0,0,IF(MIN(BT$38,$E464)&lt;MAX($P$34*($B464+$I$38-1),IF(AND($L$37=0,$P$34=0),"",$L$37-1)),0,YEARFRAC(MAX($P$34*($B464+$I$38-1),IF(AND($L$37=0,$P$34=0),"",$L$37-1)),MIN(BT$38,$E464),$P$20))-SUM($BF464:BS464))</f>
        <v>0</v>
      </c>
      <c r="BU464" s="446">
        <f>IF($E464=0,0,IF(MIN(BU$38,$E464)&lt;MAX($P$34*($B464+$I$38-1),IF(AND($L$37=0,$P$34=0),"",$L$37-1)),0,YEARFRAC(MAX($P$34*($B464+$I$38-1),IF(AND($L$37=0,$P$34=0),"",$L$37-1)),MIN(BU$38,$E464),$P$20))-SUM($BF464:BT464))</f>
        <v>0</v>
      </c>
      <c r="BV464" s="446">
        <f>IF($E464=0,0,IF(MIN(BV$38,$E464)&lt;MAX($P$34*($B464+$I$38-1),IF(AND($L$37=0,$P$34=0),"",$L$37-1)),0,YEARFRAC(MAX($P$34*($B464+$I$38-1),IF(AND($L$37=0,$P$34=0),"",$L$37-1)),MIN(BV$38,$E464),$P$20))-SUM($BF464:BU464))</f>
        <v>0</v>
      </c>
      <c r="BW464" s="446">
        <f>IF($E464=0,0,IF(MIN(BW$38,$E464)&lt;MAX($P$34*($B464+$I$38-1),IF(AND($L$37=0,$P$34=0),"",$L$37-1)),0,YEARFRAC(MAX($P$34*($B464+$I$38-1),IF(AND($L$37=0,$P$34=0),"",$L$37-1)),MIN(BW$38,$E464),$P$20))-SUM($BF464:BV464))</f>
        <v>0</v>
      </c>
      <c r="BX464" s="446">
        <f>IF($E464=0,0,IF(MIN(BX$38,$E464)&lt;MAX($P$34*($B464+$I$38-1),IF(AND($L$37=0,$P$34=0),"",$L$37-1)),0,YEARFRAC(MAX($P$34*($B464+$I$38-1),IF(AND($L$37=0,$P$34=0),"",$L$37-1)),MIN(BX$38,$E464),$P$20))-SUM($BF464:BW464))</f>
        <v>0</v>
      </c>
      <c r="BY464" s="446">
        <f>IF($E464=0,0,IF(MIN(BY$38,$E464)&lt;MAX($P$34*($B464+$I$38-1),IF(AND($L$37=0,$P$34=0),"",$L$37-1)),0,YEARFRAC(MAX($P$34*($B464+$I$38-1),IF(AND($L$37=0,$P$34=0),"",$L$37-1)),MIN(BY$38,$E464),$P$20))-SUM($BF464:BX464))</f>
        <v>0</v>
      </c>
      <c r="BZ464" s="446">
        <f>IF($E464=0,0,IF(MIN(BZ$38,$E464)&lt;MAX($P$34*($B464+$I$38-1),IF(AND($L$37=0,$P$34=0),"",$L$37-1)),0,YEARFRAC(MAX($P$34*($B464+$I$38-1),IF(AND($L$37=0,$P$34=0),"",$L$37-1)),MIN(BZ$38,$E464),$P$20))-SUM($BF464:BY464))</f>
        <v>0</v>
      </c>
      <c r="CA464" s="446">
        <f>IF($E464=0,0,IF(MIN(CA$38,$E464)&lt;MAX($P$34*($B464+$I$38-1),IF(AND($L$37=0,$P$34=0),"",$L$37-1)),0,YEARFRAC(MAX($P$34*($B464+$I$38-1),IF(AND($L$37=0,$P$34=0),"",$L$37-1)),MIN(CA$38,$E464),$P$20))-SUM($BF464:BZ464))</f>
        <v>0</v>
      </c>
      <c r="CB464" s="446">
        <f>IF($E464=0,0,IF(MIN(CB$38,$E464)&lt;MAX($P$34*($B464+$I$38-1),IF(AND($L$37=0,$P$34=0),"",$L$37-1)),0,YEARFRAC(MAX($P$34*($B464+$I$38-1),IF(AND($L$37=0,$P$34=0),"",$L$37-1)),MIN(CB$38,$E464),$P$20))-SUM($BF464:CA464))</f>
        <v>0</v>
      </c>
      <c r="CC464" s="446">
        <f>IF($E464=0,0,IF(MIN(CC$38,$E464)&lt;MAX($P$34*($B464+$I$38-1),IF(AND($L$37=0,$P$34=0),"",$L$37-1)),0,YEARFRAC(MAX($P$34*($B464+$I$38-1),IF(AND($L$37=0,$P$34=0),"",$L$37-1)),MIN(CC$38,$E464),$P$20))-SUM($BF464:CB464))</f>
        <v>0</v>
      </c>
      <c r="CD464" s="446">
        <f>IF($E464=0,0,IF(MIN(CD$38,$E464)&lt;MAX($P$34*($B464+$I$38-1),IF(AND($L$37=0,$P$34=0),"",$L$37-1)),0,YEARFRAC(MAX($P$34*($B464+$I$38-1),IF(AND($L$37=0,$P$34=0),"",$L$37-1)),MIN(CD$38,$E464),$P$20))-SUM($BF464:CC464))</f>
        <v>0</v>
      </c>
      <c r="CE464" s="446">
        <f>IF($E464=0,0,IF(MIN(CE$38,$E464)&lt;MAX($P$34*($B464+$I$38-1),IF(AND($L$37=0,$P$34=0),"",$L$37-1)),0,YEARFRAC(MAX($P$34*($B464+$I$38-1),IF(AND($L$37=0,$P$34=0),"",$L$37-1)),MIN(CE$38,$E464),$P$20))-SUM($BF464:CD464))</f>
        <v>0</v>
      </c>
      <c r="CF464" s="446">
        <f>IF($E464=0,0,IF(MIN(CF$38,$E464)&lt;MAX($P$34*($B464+$I$38-1),IF(AND($L$37=0,$P$34=0),"",$L$37-1)),0,YEARFRAC(MAX($P$34*($B464+$I$38-1),IF(AND($L$37=0,$P$34=0),"",$L$37-1)),MIN(CF$38,$E464),$P$20))-SUM($BF464:CE464))</f>
        <v>0</v>
      </c>
      <c r="CG464" s="446">
        <f>IF($E464=0,0,IF(MIN(CG$38,$E464)&lt;MAX($P$34*($B464+$I$38-1),IF(AND($L$37=0,$P$34=0),"",$L$37-1)),0,YEARFRAC(MAX($P$34*($B464+$I$38-1),IF(AND($L$37=0,$P$34=0),"",$L$37-1)),MIN(CG$38,$E464),$P$20))-SUM($BF464:CF464))</f>
        <v>0</v>
      </c>
      <c r="CH464" s="446">
        <f>IF($E464=0,0,IF(MIN(CH$38,$E464)&lt;MAX($P$34*($B464+$I$38-1),IF(AND($L$37=0,$P$34=0),"",$L$37-1)),0,YEARFRAC(MAX($P$34*($B464+$I$38-1),IF(AND($L$37=0,$P$34=0),"",$L$37-1)),MIN(CH$38,$E464),$P$20))-SUM($BF464:CG464))</f>
        <v>0</v>
      </c>
      <c r="CI464" s="446">
        <f>IF($E464=0,0,IF(MIN(CI$38,$E464)&lt;MAX($P$34*($B464+$I$38-1),IF(AND($L$37=0,$P$34=0),"",$L$37-1)),0,YEARFRAC(MAX($P$34*($B464+$I$38-1),IF(AND($L$37=0,$P$34=0),"",$L$37-1)),MIN(CI$38,$E464),$P$20))-SUM($BF464:CH464))</f>
        <v>0</v>
      </c>
      <c r="CJ464" s="446">
        <f>IF($E464=0,0,IF(MIN(CJ$38,$E464)&lt;MAX($P$34*($B464+$I$38-1),IF(AND($L$37=0,$P$34=0),"",$L$37-1)),0,YEARFRAC(MAX($P$34*($B464+$I$38-1),IF(AND($L$37=0,$P$34=0),"",$L$37-1)),MIN(CJ$38,$E464),$P$20))-SUM($BF464:CI464))</f>
        <v>0</v>
      </c>
      <c r="CK464" s="446">
        <f>IF($E464=0,0,IF(MIN(CK$38,$E464)&lt;MAX($P$34*($B464+$I$38-1),IF(AND($L$37=0,$P$34=0),"",$L$37-1)),0,YEARFRAC(MAX($P$34*($B464+$I$38-1),IF(AND($L$37=0,$P$34=0),"",$L$37-1)),MIN(CK$38,$E464),$P$20))-SUM($BF464:CJ464))</f>
        <v>0</v>
      </c>
      <c r="CL464" s="446">
        <f>IF($E464=0,0,IF(MIN(CL$38,$E464)&lt;MAX($P$34*($B464+$I$38-1),IF(AND($L$37=0,$P$34=0),"",$L$37-1)),0,YEARFRAC(MAX($P$34*($B464+$I$38-1),IF(AND($L$37=0,$P$34=0),"",$L$37-1)),MIN(CL$38,$E464),$P$20))-SUM($BF464:CK464))</f>
        <v>0</v>
      </c>
      <c r="CM464" s="446">
        <f>IF($E464=0,0,IF(MIN(CM$38,$E464)&lt;MAX($P$34*($B464+$I$38-1),IF(AND($L$37=0,$P$34=0),"",$L$37-1)),0,YEARFRAC(MAX($P$34*($B464+$I$38-1),IF(AND($L$37=0,$P$34=0),"",$L$37-1)),MIN(CM$38,$E464),$P$20))-SUM($BF464:CL464))</f>
        <v>0</v>
      </c>
      <c r="CN464" s="446">
        <f>IF($E464=0,0,IF(MIN(CN$38,$E464)&lt;MAX($P$34*($B464+$I$38-1),IF(AND($L$37=0,$P$34=0),"",$L$37-1)),0,YEARFRAC(MAX($P$34*($B464+$I$38-1),IF(AND($L$37=0,$P$34=0),"",$L$37-1)),MIN(CN$38,$E464),$P$20))-SUM($BF464:CM464))</f>
        <v>0</v>
      </c>
      <c r="CO464" s="446">
        <f>IF($E464=0,0,IF(MIN(CO$38,$E464)&lt;MAX($P$34*($B464+$I$38-1),IF(AND($L$37=0,$P$34=0),"",$L$37-1)),0,YEARFRAC(MAX($P$34*($B464+$I$38-1),IF(AND($L$37=0,$P$34=0),"",$L$37-1)),MIN(CO$38,$E464),$P$20))-SUM($BF464:CN464))</f>
        <v>0</v>
      </c>
      <c r="CP464" s="446">
        <f>IF($E464=0,0,IF(MIN(CP$38,$E464)&lt;MAX($P$34*($B464+$I$38-1),IF(AND($L$37=0,$P$34=0),"",$L$37-1)),0,YEARFRAC(MAX($P$34*($B464+$I$38-1),IF(AND($L$37=0,$P$34=0),"",$L$37-1)),MIN(CP$38,$E464),$P$20))-SUM($BF464:CO464))</f>
        <v>0</v>
      </c>
      <c r="CQ464" s="446">
        <f>IF($E464=0,0,IF(MIN(CQ$38,$E464)&lt;MAX($P$34*($B464+$I$38-1),IF(AND($L$37=0,$P$34=0),"",$L$37-1)),0,YEARFRAC(MAX($P$34*($B464+$I$38-1),IF(AND($L$37=0,$P$34=0),"",$L$37-1)),MIN(CQ$38,$E464),$P$20))-SUM($BF464:CP464))</f>
        <v>0</v>
      </c>
    </row>
    <row r="465" spans="1:95" s="446" customFormat="1" ht="11.25" hidden="1" customHeight="1" x14ac:dyDescent="0.2">
      <c r="A465" s="152"/>
      <c r="B465" s="153" t="str">
        <f t="shared" si="81"/>
        <v/>
      </c>
      <c r="C465" s="29" t="str">
        <f>IF(B465="","",IF($L$35="SELIC - TRIBUTOS",VLOOKUP(DATE(YEAR($D$19),MONTH($D$19)-1,1),ÍNDICES!$A:$DE,HLOOKUP($BL$25,ÍNDICES!$B$3:$T$4,2)+11)-VLOOKUP(B465,ÍNDICES!$A:$DE,HLOOKUP($BL$25,ÍNDICES!$B$3:$T$4,2)+11)+1%,IF(C$38=$W$26,$J$35,IF(ISERROR(IF(B465&gt;$D$19,1,VLOOKUP(DATE(YEAR(B465),MONTH(B465)+IF($C$35=$S$23,1,0),1),ÍNDICES!$A:$DE,$Z$35+1))),"",IF(B465&gt;$D$19,1,VLOOKUP(DATE(YEAR(B465),MONTH(B465)+IF($C$35=$S$23,1,0),1),ÍNDICES!$A:$DE,$Z$35+1))))))</f>
        <v/>
      </c>
      <c r="D465" s="154" t="str">
        <f>IF(ISERROR(IF(OR($D$38=$Y$27,$B465=""),"",VLOOKUP(B465,ÍNDICES!A:DE,AF$35+1))),"",IF(OR($D$38=$Y$27,$B465=""),"",VLOOKUP(B465,ÍNDICES!A:DE,AF$35+1)))</f>
        <v/>
      </c>
      <c r="E465" s="153"/>
      <c r="F465" s="29" t="str">
        <f>IF(E465="","",IF($L$35="SELIC - TRIBUTOS",VLOOKUP(DATE(YEAR($D$19),MONTH($D$19)-1,1),ÍNDICES!$A:$DE,HLOOKUP($BL$25,ÍNDICES!$B$3:$T$4,2)+11)-VLOOKUP(E465,ÍNDICES!$A:$DE,HLOOKUP($BL$25,ÍNDICES!$B$3:$T$4,2)+11)+1%,IF(F$38=$W$26,$J$35,IF(ISERROR(IF(E465&gt;$D$19,1,VLOOKUP(DATE(YEAR(E465),MONTH(E465)+IF($C$35=$S$23,1,0),1),ÍNDICES!$A:$DE,$Z$35+1))),"",IF(E465&gt;$D$19,1,VLOOKUP(DATE(YEAR(E465),MONTH(E465)+IF($C$35=$S$23,1,0),1),ÍNDICES!$A:$DE,$Z$35+1))))))</f>
        <v/>
      </c>
      <c r="G465" s="155"/>
      <c r="H465" s="156" t="str">
        <f t="shared" si="77"/>
        <v/>
      </c>
      <c r="I465" s="29" t="str">
        <f t="shared" si="71"/>
        <v/>
      </c>
      <c r="J465" s="5">
        <f t="shared" si="72"/>
        <v>0</v>
      </c>
      <c r="K465" s="20">
        <f t="shared" ca="1" si="73"/>
        <v>0</v>
      </c>
      <c r="L465" s="5">
        <f t="shared" ca="1" si="74"/>
        <v>0</v>
      </c>
      <c r="M465" s="64">
        <f t="shared" si="78"/>
        <v>0</v>
      </c>
      <c r="N465" s="61">
        <f t="shared" ca="1" si="79"/>
        <v>0</v>
      </c>
      <c r="O465" s="5">
        <f t="shared" ca="1" si="80"/>
        <v>0</v>
      </c>
      <c r="P465" s="446" t="e">
        <f t="shared" si="75"/>
        <v>#VALUE!</v>
      </c>
      <c r="Q465" s="446" t="e">
        <f>IF(OR($B465="",MIN(Q$38,$D$19)&lt;MAX($P$34*($B465+IF($R$17="Distrato",$I$38-1,0)),IF(AND($L$37=0,$P$34=0),"",$L$37-1),IF($R$17="Distrato",$E465,0))),0,YEARFRAC(MAX($P$34*($B465+IF($R$17="Distrato",$I$38-1,0)),IF(AND($L$37=0,$P$34=0),"",$L$37-1),IF($R$17="Distrato",$E465,0)),MIN(Q$38,$D$19),$P$20))-SUM($P465:P465)</f>
        <v>#VALUE!</v>
      </c>
      <c r="R465" s="446" t="e">
        <f>IF(OR($B465="",MIN(R$38,$D$19)&lt;MAX($P$34*($B465+IF($R$17="Distrato",$I$38-1,0)),IF(AND($L$37=0,$P$34=0),"",$L$37-1),IF($R$17="Distrato",$E465,0))),0,YEARFRAC(MAX($P$34*($B465+IF($R$17="Distrato",$I$38-1,0)),IF(AND($L$37=0,$P$34=0),"",$L$37-1),IF($R$17="Distrato",$E465,0)),MIN(R$38,$D$19),$P$20))-SUM($P465:Q465)</f>
        <v>#VALUE!</v>
      </c>
      <c r="S465" s="446" t="e">
        <f>IF(OR($B465="",MIN(S$38,$D$19)&lt;MAX($P$34*($B465+IF($R$17="Distrato",$I$38-1,0)),IF(AND($L$37=0,$P$34=0),"",$L$37-1),IF($R$17="Distrato",$E465,0))),0,YEARFRAC(MAX($P$34*($B465+IF($R$17="Distrato",$I$38-1,0)),IF(AND($L$37=0,$P$34=0),"",$L$37-1),IF($R$17="Distrato",$E465,0)),MIN(S$38,$D$19),$P$20))-SUM($P465:R465)</f>
        <v>#VALUE!</v>
      </c>
      <c r="T465" s="446" t="e">
        <f>IF(OR($B465="",MIN(T$38,$D$19)&lt;MAX($P$34*($B465+IF($R$17="Distrato",$I$38-1,0)),IF(AND($L$37=0,$P$34=0),"",$L$37-1),IF($R$17="Distrato",$E465,0))),0,YEARFRAC(MAX($P$34*($B465+IF($R$17="Distrato",$I$38-1,0)),IF(AND($L$37=0,$P$34=0),"",$L$37-1),IF($R$17="Distrato",$E465,0)),MIN(T$38,$D$19),$P$20))-SUM($P465:S465)</f>
        <v>#VALUE!</v>
      </c>
      <c r="U465" s="446" t="e">
        <f>IF(OR($B465="",MIN(U$38,$D$19)&lt;MAX($P$34*($B465+IF($R$17="Distrato",$I$38-1,0)),IF(AND($L$37=0,$P$34=0),"",$L$37-1),IF($R$17="Distrato",$E465,0))),0,YEARFRAC(MAX($P$34*($B465+IF($R$17="Distrato",$I$38-1,0)),IF(AND($L$37=0,$P$34=0),"",$L$37-1),IF($R$17="Distrato",$E465,0)),MIN(U$38,$D$19),$P$20))-SUM($P465:T465)</f>
        <v>#VALUE!</v>
      </c>
      <c r="V465" s="446" t="e">
        <f>IF(OR($B465="",MIN(V$38,$D$19)&lt;MAX($P$34*($B465+IF($R$17="Distrato",$I$38-1,0)),IF(AND($L$37=0,$P$34=0),"",$L$37-1),IF($R$17="Distrato",$E465,0))),0,YEARFRAC(MAX($P$34*($B465+IF($R$17="Distrato",$I$38-1,0)),IF(AND($L$37=0,$P$34=0),"",$L$37-1),IF($R$17="Distrato",$E465,0)),MIN(V$38,$D$19),$P$20))-SUM($P465:U465)</f>
        <v>#VALUE!</v>
      </c>
      <c r="W465" s="446" t="e">
        <f>IF(OR($B465="",MIN(W$38,$D$19)&lt;MAX($P$34*($B465+IF($R$17="Distrato",$I$38-1,0)),IF(AND($L$37=0,$P$34=0),"",$L$37-1),IF($R$17="Distrato",$E465,0))),0,YEARFRAC(MAX($P$34*($B465+IF($R$17="Distrato",$I$38-1,0)),IF(AND($L$37=0,$P$34=0),"",$L$37-1),IF($R$17="Distrato",$E465,0)),MIN(W$38,$D$19),$P$20))-SUM($P465:V465)</f>
        <v>#VALUE!</v>
      </c>
      <c r="X465" s="446" t="e">
        <f>IF(OR($B465="",MIN(X$38,$D$19)&lt;MAX($P$34*($B465+IF($R$17="Distrato",$I$38-1,0)),IF(AND($L$37=0,$P$34=0),"",$L$37-1),IF($R$17="Distrato",$E465,0))),0,YEARFRAC(MAX($P$34*($B465+IF($R$17="Distrato",$I$38-1,0)),IF(AND($L$37=0,$P$34=0),"",$L$37-1),IF($R$17="Distrato",$E465,0)),MIN(X$38,$D$19),$P$20))-SUM($P465:W465)</f>
        <v>#VALUE!</v>
      </c>
      <c r="Y465" s="446" t="e">
        <f>IF(OR($B465="",MIN(Y$38,$D$19)&lt;MAX($P$34*($B465+IF($R$17="Distrato",$I$38-1,0)),IF(AND($L$37=0,$P$34=0),"",$L$37-1),IF($R$17="Distrato",$E465,0))),0,YEARFRAC(MAX($P$34*($B465+IF($R$17="Distrato",$I$38-1,0)),IF(AND($L$37=0,$P$34=0),"",$L$37-1),IF($R$17="Distrato",$E465,0)),MIN(Y$38,$D$19),$P$20))-SUM($P465:X465)</f>
        <v>#VALUE!</v>
      </c>
      <c r="Z465" s="446" t="e">
        <f>IF(OR($B465="",MIN(Z$38,$D$19)&lt;MAX($P$34*($B465+IF($R$17="Distrato",$I$38-1,0)),IF(AND($L$37=0,$P$34=0),"",$L$37-1),IF($R$17="Distrato",$E465,0))),0,YEARFRAC(MAX($P$34*($B465+IF($R$17="Distrato",$I$38-1,0)),IF(AND($L$37=0,$P$34=0),"",$L$37-1),IF($R$17="Distrato",$E465,0)),MIN(Z$38,$D$19),$P$20))-SUM($P465:Y465)</f>
        <v>#VALUE!</v>
      </c>
      <c r="AA465" s="446" t="e">
        <f>IF(OR($B465="",MIN(AA$38,$D$19)&lt;MAX($P$34*($B465+IF($R$17="Distrato",$I$38-1,0)),IF(AND($L$37=0,$P$34=0),"",$L$37-1),IF($R$17="Distrato",$E465,0))),0,YEARFRAC(MAX($P$34*($B465+IF($R$17="Distrato",$I$38-1,0)),IF(AND($L$37=0,$P$34=0),"",$L$37-1),IF($R$17="Distrato",$E465,0)),MIN(AA$38,$D$19),$P$20))-SUM($P465:Z465)</f>
        <v>#VALUE!</v>
      </c>
      <c r="AB465" s="446" t="e">
        <f>IF(OR($B465="",MIN(AB$38,$D$19)&lt;MAX($P$34*($B465+IF($R$17="Distrato",$I$38-1,0)),IF(AND($L$37=0,$P$34=0),"",$L$37-1),IF($R$17="Distrato",$E465,0))),0,YEARFRAC(MAX($P$34*($B465+IF($R$17="Distrato",$I$38-1,0)),IF(AND($L$37=0,$P$34=0),"",$L$37-1),IF($R$17="Distrato",$E465,0)),MIN(AB$38,$D$19),$P$20))-SUM($P465:AA465)</f>
        <v>#VALUE!</v>
      </c>
      <c r="AC465" s="446" t="e">
        <f>IF(OR($B465="",MIN(AC$38,$D$19)&lt;MAX($P$34*($B465+IF($R$17="Distrato",$I$38-1,0)),IF(AND($L$37=0,$P$34=0),"",$L$37-1),IF($R$17="Distrato",$E465,0))),0,YEARFRAC(MAX($P$34*($B465+IF($R$17="Distrato",$I$38-1,0)),IF(AND($L$37=0,$P$34=0),"",$L$37-1),IF($R$17="Distrato",$E465,0)),MIN(AC$38,$D$19),$P$20))-SUM($P465:AB465)</f>
        <v>#VALUE!</v>
      </c>
      <c r="AD465" s="446" t="e">
        <f>IF(OR($B465="",MIN(AD$38,$D$19)&lt;MAX($P$34*($B465+IF($R$17="Distrato",$I$38-1,0)),IF(AND($L$37=0,$P$34=0),"",$L$37-1),IF($R$17="Distrato",$E465,0))),0,YEARFRAC(MAX($P$34*($B465+IF($R$17="Distrato",$I$38-1,0)),IF(AND($L$37=0,$P$34=0),"",$L$37-1),IF($R$17="Distrato",$E465,0)),MIN(AD$38,$D$19),$P$20))-SUM($P465:AC465)</f>
        <v>#VALUE!</v>
      </c>
      <c r="AE465" s="446" t="e">
        <f>IF(OR($B465="",MIN(AE$38,$D$19)&lt;MAX($P$34*($B465+IF($R$17="Distrato",$I$38-1,0)),IF(AND($L$37=0,$P$34=0),"",$L$37-1),IF($R$17="Distrato",$E465,0))),0,YEARFRAC(MAX($P$34*($B465+IF($R$17="Distrato",$I$38-1,0)),IF(AND($L$37=0,$P$34=0),"",$L$37-1),IF($R$17="Distrato",$E465,0)),MIN(AE$38,$D$19),$P$20))-SUM($P465:AD465)</f>
        <v>#VALUE!</v>
      </c>
      <c r="AF465" s="446" t="e">
        <f>IF(OR($B465="",MIN(AF$38,$D$19)&lt;MAX($P$34*($B465+IF($R$17="Distrato",$I$38-1,0)),IF(AND($L$37=0,$P$34=0),"",$L$37-1),IF($R$17="Distrato",$E465,0))),0,YEARFRAC(MAX($P$34*($B465+IF($R$17="Distrato",$I$38-1,0)),IF(AND($L$37=0,$P$34=0),"",$L$37-1),IF($R$17="Distrato",$E465,0)),MIN(AF$38,$D$19),$P$20))-SUM($P465:AE465)</f>
        <v>#VALUE!</v>
      </c>
      <c r="AG465" s="446" t="e">
        <f>IF(OR($B465="",MIN(AG$38,$D$19)&lt;MAX($P$34*($B465+IF($R$17="Distrato",$I$38-1,0)),IF(AND($L$37=0,$P$34=0),"",$L$37-1),IF($R$17="Distrato",$E465,0))),0,YEARFRAC(MAX($P$34*($B465+IF($R$17="Distrato",$I$38-1,0)),IF(AND($L$37=0,$P$34=0),"",$L$37-1),IF($R$17="Distrato",$E465,0)),MIN(AG$38,$D$19),$P$20))-SUM($P465:AF465)</f>
        <v>#VALUE!</v>
      </c>
      <c r="AH465" s="446" t="e">
        <f>IF(OR($B465="",MIN(AH$38,$D$19)&lt;MAX($P$34*($B465+IF($R$17="Distrato",$I$38-1,0)),IF(AND($L$37=0,$P$34=0),"",$L$37-1),IF($R$17="Distrato",$E465,0))),0,YEARFRAC(MAX($P$34*($B465+IF($R$17="Distrato",$I$38-1,0)),IF(AND($L$37=0,$P$34=0),"",$L$37-1),IF($R$17="Distrato",$E465,0)),MIN(AH$38,$D$19),$P$20))-SUM($P465:AG465)</f>
        <v>#VALUE!</v>
      </c>
      <c r="AI465" s="446" t="e">
        <f>IF(OR($B465="",MIN(AI$38,$D$19)&lt;MAX($P$34*($B465+IF($R$17="Distrato",$I$38-1,0)),IF(AND($L$37=0,$P$34=0),"",$L$37-1),IF($R$17="Distrato",$E465,0))),0,YEARFRAC(MAX($P$34*($B465+IF($R$17="Distrato",$I$38-1,0)),IF(AND($L$37=0,$P$34=0),"",$L$37-1),IF($R$17="Distrato",$E465,0)),MIN(AI$38,$D$19),$P$20))-SUM($P465:AH465)</f>
        <v>#VALUE!</v>
      </c>
      <c r="AJ465" s="446" t="e">
        <f>IF(OR($B465="",MIN(AJ$38,$D$19)&lt;MAX($P$34*($B465+IF($R$17="Distrato",$I$38-1,0)),IF(AND($L$37=0,$P$34=0),"",$L$37-1),IF($R$17="Distrato",$E465,0))),0,YEARFRAC(MAX($P$34*($B465+IF($R$17="Distrato",$I$38-1,0)),IF(AND($L$37=0,$P$34=0),"",$L$37-1),IF($R$17="Distrato",$E465,0)),MIN(AJ$38,$D$19),$P$20))-SUM($P465:AI465)</f>
        <v>#VALUE!</v>
      </c>
      <c r="AK465" s="446" t="e">
        <f>IF(OR($B465="",MIN(AK$38,$D$19)&lt;MAX($P$34*($B465+IF($R$17="Distrato",$I$38-1,0)),IF(AND($L$37=0,$P$34=0),"",$L$37-1),IF($R$17="Distrato",$E465,0))),0,YEARFRAC(MAX($P$34*($B465+IF($R$17="Distrato",$I$38-1,0)),IF(AND($L$37=0,$P$34=0),"",$L$37-1),IF($R$17="Distrato",$E465,0)),MIN(AK$38,$D$19),$P$20))-SUM($P465:AJ465)</f>
        <v>#VALUE!</v>
      </c>
      <c r="AL465" s="446" t="e">
        <f>IF(OR($B465="",MIN(AL$38,$D$19)&lt;MAX($P$34*($B465+IF($R$17="Distrato",$I$38-1,0)),IF(AND($L$37=0,$P$34=0),"",$L$37-1),IF($R$17="Distrato",$E465,0))),0,YEARFRAC(MAX($P$34*($B465+IF($R$17="Distrato",$I$38-1,0)),IF(AND($L$37=0,$P$34=0),"",$L$37-1),IF($R$17="Distrato",$E465,0)),MIN(AL$38,$D$19),$P$20))-SUM($P465:AK465)</f>
        <v>#VALUE!</v>
      </c>
      <c r="AM465" s="446" t="e">
        <f>IF(OR($B465="",MIN(AM$38,$D$19)&lt;MAX($P$34*($B465+IF($R$17="Distrato",$I$38-1,0)),IF(AND($L$37=0,$P$34=0),"",$L$37-1),IF($R$17="Distrato",$E465,0))),0,YEARFRAC(MAX($P$34*($B465+IF($R$17="Distrato",$I$38-1,0)),IF(AND($L$37=0,$P$34=0),"",$L$37-1),IF($R$17="Distrato",$E465,0)),MIN(AM$38,$D$19),$P$20))-SUM($P465:AL465)</f>
        <v>#VALUE!</v>
      </c>
      <c r="AN465" s="446" t="e">
        <f>IF(OR($B465="",MIN(AN$38,$D$19)&lt;MAX($P$34*($B465+IF($R$17="Distrato",$I$38-1,0)),IF(AND($L$37=0,$P$34=0),"",$L$37-1),IF($R$17="Distrato",$E465,0))),0,YEARFRAC(MAX($P$34*($B465+IF($R$17="Distrato",$I$38-1,0)),IF(AND($L$37=0,$P$34=0),"",$L$37-1),IF($R$17="Distrato",$E465,0)),MIN(AN$38,$D$19),$P$20))-SUM($P465:AM465)</f>
        <v>#VALUE!</v>
      </c>
      <c r="AO465" s="446" t="e">
        <f>IF(OR($B465="",MIN(AO$38,$D$19)&lt;MAX($P$34*($B465+IF($R$17="Distrato",$I$38-1,0)),IF(AND($L$37=0,$P$34=0),"",$L$37-1),IF($R$17="Distrato",$E465,0))),0,YEARFRAC(MAX($P$34*($B465+IF($R$17="Distrato",$I$38-1,0)),IF(AND($L$37=0,$P$34=0),"",$L$37-1),IF($R$17="Distrato",$E465,0)),MIN(AO$38,$D$19),$P$20))-SUM($P465:AN465)</f>
        <v>#VALUE!</v>
      </c>
      <c r="AP465" s="446" t="e">
        <f>IF(OR($B465="",MIN(AP$38,$D$19)&lt;MAX($P$34*($B465+IF($R$17="Distrato",$I$38-1,0)),IF(AND($L$37=0,$P$34=0),"",$L$37-1),IF($R$17="Distrato",$E465,0))),0,YEARFRAC(MAX($P$34*($B465+IF($R$17="Distrato",$I$38-1,0)),IF(AND($L$37=0,$P$34=0),"",$L$37-1),IF($R$17="Distrato",$E465,0)),MIN(AP$38,$D$19),$P$20))-SUM($P465:AO465)</f>
        <v>#VALUE!</v>
      </c>
      <c r="AQ465" s="446" t="e">
        <f>IF(OR($B465="",MIN(AQ$38,$D$19)&lt;MAX($P$34*($B465+IF($R$17="Distrato",$I$38-1,0)),IF(AND($L$37=0,$P$34=0),"",$L$37-1),IF($R$17="Distrato",$E465,0))),0,YEARFRAC(MAX($P$34*($B465+IF($R$17="Distrato",$I$38-1,0)),IF(AND($L$37=0,$P$34=0),"",$L$37-1),IF($R$17="Distrato",$E465,0)),MIN(AQ$38,$D$19),$P$20))-SUM($P465:AP465)</f>
        <v>#VALUE!</v>
      </c>
      <c r="AR465" s="446" t="e">
        <f>IF(OR($B465="",MIN(AR$38,$D$19)&lt;MAX($P$34*($B465+IF($R$17="Distrato",$I$38-1,0)),IF(AND($L$37=0,$P$34=0),"",$L$37-1),IF($R$17="Distrato",$E465,0))),0,YEARFRAC(MAX($P$34*($B465+IF($R$17="Distrato",$I$38-1,0)),IF(AND($L$37=0,$P$34=0),"",$L$37-1),IF($R$17="Distrato",$E465,0)),MIN(AR$38,$D$19),$P$20))-SUM($P465:AQ465)</f>
        <v>#VALUE!</v>
      </c>
      <c r="AS465" s="446" t="e">
        <f>IF(OR($B465="",MIN(AS$38,$D$19)&lt;MAX($P$34*($B465+IF($R$17="Distrato",$I$38-1,0)),IF(AND($L$37=0,$P$34=0),"",$L$37-1),IF($R$17="Distrato",$E465,0))),0,YEARFRAC(MAX($P$34*($B465+IF($R$17="Distrato",$I$38-1,0)),IF(AND($L$37=0,$P$34=0),"",$L$37-1),IF($R$17="Distrato",$E465,0)),MIN(AS$38,$D$19),$P$20))-SUM($P465:AR465)</f>
        <v>#VALUE!</v>
      </c>
      <c r="AT465" s="446" t="e">
        <f>IF(OR($B465="",MIN(AT$38,$D$19)&lt;MAX($P$34*($B465+IF($R$17="Distrato",$I$38-1,0)),IF(AND($L$37=0,$P$34=0),"",$L$37-1),IF($R$17="Distrato",$E465,0))),0,YEARFRAC(MAX($P$34*($B465+IF($R$17="Distrato",$I$38-1,0)),IF(AND($L$37=0,$P$34=0),"",$L$37-1),IF($R$17="Distrato",$E465,0)),MIN(AT$38,$D$19),$P$20))-SUM($P465:AS465)</f>
        <v>#VALUE!</v>
      </c>
      <c r="AU465" s="446" t="e">
        <f>IF(OR($B465="",MIN(AU$38,$D$19)&lt;MAX($P$34*($B465+IF($R$17="Distrato",$I$38-1,0)),IF(AND($L$37=0,$P$34=0),"",$L$37-1),IF($R$17="Distrato",$E465,0))),0,YEARFRAC(MAX($P$34*($B465+IF($R$17="Distrato",$I$38-1,0)),IF(AND($L$37=0,$P$34=0),"",$L$37-1),IF($R$17="Distrato",$E465,0)),MIN(AU$38,$D$19),$P$20))-SUM($P465:AT465)</f>
        <v>#VALUE!</v>
      </c>
      <c r="AV465" s="446" t="e">
        <f>IF(OR($B465="",MIN(AV$38,$D$19)&lt;MAX($P$34*($B465+IF($R$17="Distrato",$I$38-1,0)),IF(AND($L$37=0,$P$34=0),"",$L$37-1),IF($R$17="Distrato",$E465,0))),0,YEARFRAC(MAX($P$34*($B465+IF($R$17="Distrato",$I$38-1,0)),IF(AND($L$37=0,$P$34=0),"",$L$37-1),IF($R$17="Distrato",$E465,0)),MIN(AV$38,$D$19),$P$20))-SUM($P465:AU465)</f>
        <v>#VALUE!</v>
      </c>
      <c r="AW465" s="446" t="e">
        <f>IF(OR($B465="",MIN(AW$38,$D$19)&lt;MAX($P$34*($B465+IF($R$17="Distrato",$I$38-1,0)),IF(AND($L$37=0,$P$34=0),"",$L$37-1),IF($R$17="Distrato",$E465,0))),0,YEARFRAC(MAX($P$34*($B465+IF($R$17="Distrato",$I$38-1,0)),IF(AND($L$37=0,$P$34=0),"",$L$37-1),IF($R$17="Distrato",$E465,0)),MIN(AW$38,$D$19),$P$20))-SUM($P465:AV465)</f>
        <v>#VALUE!</v>
      </c>
      <c r="AX465" s="446" t="e">
        <f>IF(OR($B465="",MIN(AX$38,$D$19)&lt;MAX($P$34*($B465+IF($R$17="Distrato",$I$38-1,0)),IF(AND($L$37=0,$P$34=0),"",$L$37-1),IF($R$17="Distrato",$E465,0))),0,YEARFRAC(MAX($P$34*($B465+IF($R$17="Distrato",$I$38-1,0)),IF(AND($L$37=0,$P$34=0),"",$L$37-1),IF($R$17="Distrato",$E465,0)),MIN(AX$38,$D$19),$P$20))-SUM($P465:AW465)</f>
        <v>#VALUE!</v>
      </c>
      <c r="AY465" s="446" t="e">
        <f>IF(OR($B465="",MIN(AY$38,$D$19)&lt;MAX($P$34*($B465+IF($R$17="Distrato",$I$38-1,0)),IF(AND($L$37=0,$P$34=0),"",$L$37-1),IF($R$17="Distrato",$E465,0))),0,YEARFRAC(MAX($P$34*($B465+IF($R$17="Distrato",$I$38-1,0)),IF(AND($L$37=0,$P$34=0),"",$L$37-1),IF($R$17="Distrato",$E465,0)),MIN(AY$38,$D$19),$P$20))-SUM($P465:AX465)</f>
        <v>#VALUE!</v>
      </c>
      <c r="AZ465" s="446" t="e">
        <f>IF(OR($B465="",MIN(AZ$38,$D$19)&lt;MAX($P$34*($B465+IF($R$17="Distrato",$I$38-1,0)),IF(AND($L$37=0,$P$34=0),"",$L$37-1),IF($R$17="Distrato",$E465,0))),0,YEARFRAC(MAX($P$34*($B465+IF($R$17="Distrato",$I$38-1,0)),IF(AND($L$37=0,$P$34=0),"",$L$37-1),IF($R$17="Distrato",$E465,0)),MIN(AZ$38,$D$19),$P$20))-SUM($P465:AY465)</f>
        <v>#VALUE!</v>
      </c>
      <c r="BA465" s="446" t="e">
        <f>IF(OR($B465="",MIN(BA$38,$D$19)&lt;MAX($P$34*($B465+IF($R$17="Distrato",$I$38-1,0)),IF(AND($L$37=0,$P$34=0),"",$L$37-1),IF($R$17="Distrato",$E465,0))),0,YEARFRAC(MAX($P$34*($B465+IF($R$17="Distrato",$I$38-1,0)),IF(AND($L$37=0,$P$34=0),"",$L$37-1),IF($R$17="Distrato",$E465,0)),MIN(BA$38,$D$19),$P$20))-SUM($P465:AZ465)</f>
        <v>#VALUE!</v>
      </c>
      <c r="BB465" s="447"/>
      <c r="BF465" s="446">
        <f t="shared" si="76"/>
        <v>0</v>
      </c>
      <c r="BG465" s="446">
        <f>IF($E465=0,0,IF(MIN(BG$38,$E465)&lt;MAX($P$34*($B465+$I$38-1),IF(AND($L$37=0,$P$34=0),"",$L$37-1)),0,YEARFRAC(MAX($P$34*($B465+$I$38-1),IF(AND($L$37=0,$P$34=0),"",$L$37-1)),MIN(BG$38,$E465),$P$20))-SUM($BF465:BF465))</f>
        <v>0</v>
      </c>
      <c r="BH465" s="446">
        <f>IF($E465=0,0,IF(MIN(BH$38,$E465)&lt;MAX($P$34*($B465+$I$38-1),IF(AND($L$37=0,$P$34=0),"",$L$37-1)),0,YEARFRAC(MAX($P$34*($B465+$I$38-1),IF(AND($L$37=0,$P$34=0),"",$L$37-1)),MIN(BH$38,$E465),$P$20))-SUM($BF465:BG465))</f>
        <v>0</v>
      </c>
      <c r="BI465" s="446">
        <f>IF($E465=0,0,IF(MIN(BI$38,$E465)&lt;MAX($P$34*($B465+$I$38-1),IF(AND($L$37=0,$P$34=0),"",$L$37-1)),0,YEARFRAC(MAX($P$34*($B465+$I$38-1),IF(AND($L$37=0,$P$34=0),"",$L$37-1)),MIN(BI$38,$E465),$P$20))-SUM($BF465:BH465))</f>
        <v>0</v>
      </c>
      <c r="BJ465" s="446">
        <f>IF($E465=0,0,IF(MIN(BJ$38,$E465)&lt;MAX($P$34*($B465+$I$38-1),IF(AND($L$37=0,$P$34=0),"",$L$37-1)),0,YEARFRAC(MAX($P$34*($B465+$I$38-1),IF(AND($L$37=0,$P$34=0),"",$L$37-1)),MIN(BJ$38,$E465),$P$20))-SUM($BF465:BI465))</f>
        <v>0</v>
      </c>
      <c r="BK465" s="446">
        <f>IF($E465=0,0,IF(MIN(BK$38,$E465)&lt;MAX($P$34*($B465+$I$38-1),IF(AND($L$37=0,$P$34=0),"",$L$37-1)),0,YEARFRAC(MAX($P$34*($B465+$I$38-1),IF(AND($L$37=0,$P$34=0),"",$L$37-1)),MIN(BK$38,$E465),$P$20))-SUM($BF465:BJ465))</f>
        <v>0</v>
      </c>
      <c r="BL465" s="446">
        <f>IF($E465=0,0,IF(MIN(BL$38,$E465)&lt;MAX($P$34*($B465+$I$38-1),IF(AND($L$37=0,$P$34=0),"",$L$37-1)),0,YEARFRAC(MAX($P$34*($B465+$I$38-1),IF(AND($L$37=0,$P$34=0),"",$L$37-1)),MIN(BL$38,$E465),$P$20))-SUM($BF465:BK465))</f>
        <v>0</v>
      </c>
      <c r="BM465" s="446">
        <f>IF($E465=0,0,IF(MIN(BM$38,$E465)&lt;MAX($P$34*($B465+$I$38-1),IF(AND($L$37=0,$P$34=0),"",$L$37-1)),0,YEARFRAC(MAX($P$34*($B465+$I$38-1),IF(AND($L$37=0,$P$34=0),"",$L$37-1)),MIN(BM$38,$E465),$P$20))-SUM($BF465:BL465))</f>
        <v>0</v>
      </c>
      <c r="BN465" s="446">
        <f>IF($E465=0,0,IF(MIN(BN$38,$E465)&lt;MAX($P$34*($B465+$I$38-1),IF(AND($L$37=0,$P$34=0),"",$L$37-1)),0,YEARFRAC(MAX($P$34*($B465+$I$38-1),IF(AND($L$37=0,$P$34=0),"",$L$37-1)),MIN(BN$38,$E465),$P$20))-SUM($BF465:BM465))</f>
        <v>0</v>
      </c>
      <c r="BO465" s="446">
        <f>IF($E465=0,0,IF(MIN(BO$38,$E465)&lt;MAX($P$34*($B465+$I$38-1),IF(AND($L$37=0,$P$34=0),"",$L$37-1)),0,YEARFRAC(MAX($P$34*($B465+$I$38-1),IF(AND($L$37=0,$P$34=0),"",$L$37-1)),MIN(BO$38,$E465),$P$20))-SUM($BF465:BN465))</f>
        <v>0</v>
      </c>
      <c r="BP465" s="446">
        <f>IF($E465=0,0,IF(MIN(BP$38,$E465)&lt;MAX($P$34*($B465+$I$38-1),IF(AND($L$37=0,$P$34=0),"",$L$37-1)),0,YEARFRAC(MAX($P$34*($B465+$I$38-1),IF(AND($L$37=0,$P$34=0),"",$L$37-1)),MIN(BP$38,$E465),$P$20))-SUM($BF465:BO465))</f>
        <v>0</v>
      </c>
      <c r="BQ465" s="446">
        <f>IF($E465=0,0,IF(MIN(BQ$38,$E465)&lt;MAX($P$34*($B465+$I$38-1),IF(AND($L$37=0,$P$34=0),"",$L$37-1)),0,YEARFRAC(MAX($P$34*($B465+$I$38-1),IF(AND($L$37=0,$P$34=0),"",$L$37-1)),MIN(BQ$38,$E465),$P$20))-SUM($BF465:BP465))</f>
        <v>0</v>
      </c>
      <c r="BR465" s="446">
        <f>IF($E465=0,0,IF(MIN(BR$38,$E465)&lt;MAX($P$34*($B465+$I$38-1),IF(AND($L$37=0,$P$34=0),"",$L$37-1)),0,YEARFRAC(MAX($P$34*($B465+$I$38-1),IF(AND($L$37=0,$P$34=0),"",$L$37-1)),MIN(BR$38,$E465),$P$20))-SUM($BF465:BQ465))</f>
        <v>0</v>
      </c>
      <c r="BS465" s="446">
        <f>IF($E465=0,0,IF(MIN(BS$38,$E465)&lt;MAX($P$34*($B465+$I$38-1),IF(AND($L$37=0,$P$34=0),"",$L$37-1)),0,YEARFRAC(MAX($P$34*($B465+$I$38-1),IF(AND($L$37=0,$P$34=0),"",$L$37-1)),MIN(BS$38,$E465),$P$20))-SUM($BF465:BR465))</f>
        <v>0</v>
      </c>
      <c r="BT465" s="446">
        <f>IF($E465=0,0,IF(MIN(BT$38,$E465)&lt;MAX($P$34*($B465+$I$38-1),IF(AND($L$37=0,$P$34=0),"",$L$37-1)),0,YEARFRAC(MAX($P$34*($B465+$I$38-1),IF(AND($L$37=0,$P$34=0),"",$L$37-1)),MIN(BT$38,$E465),$P$20))-SUM($BF465:BS465))</f>
        <v>0</v>
      </c>
      <c r="BU465" s="446">
        <f>IF($E465=0,0,IF(MIN(BU$38,$E465)&lt;MAX($P$34*($B465+$I$38-1),IF(AND($L$37=0,$P$34=0),"",$L$37-1)),0,YEARFRAC(MAX($P$34*($B465+$I$38-1),IF(AND($L$37=0,$P$34=0),"",$L$37-1)),MIN(BU$38,$E465),$P$20))-SUM($BF465:BT465))</f>
        <v>0</v>
      </c>
      <c r="BV465" s="446">
        <f>IF($E465=0,0,IF(MIN(BV$38,$E465)&lt;MAX($P$34*($B465+$I$38-1),IF(AND($L$37=0,$P$34=0),"",$L$37-1)),0,YEARFRAC(MAX($P$34*($B465+$I$38-1),IF(AND($L$37=0,$P$34=0),"",$L$37-1)),MIN(BV$38,$E465),$P$20))-SUM($BF465:BU465))</f>
        <v>0</v>
      </c>
      <c r="BW465" s="446">
        <f>IF($E465=0,0,IF(MIN(BW$38,$E465)&lt;MAX($P$34*($B465+$I$38-1),IF(AND($L$37=0,$P$34=0),"",$L$37-1)),0,YEARFRAC(MAX($P$34*($B465+$I$38-1),IF(AND($L$37=0,$P$34=0),"",$L$37-1)),MIN(BW$38,$E465),$P$20))-SUM($BF465:BV465))</f>
        <v>0</v>
      </c>
      <c r="BX465" s="446">
        <f>IF($E465=0,0,IF(MIN(BX$38,$E465)&lt;MAX($P$34*($B465+$I$38-1),IF(AND($L$37=0,$P$34=0),"",$L$37-1)),0,YEARFRAC(MAX($P$34*($B465+$I$38-1),IF(AND($L$37=0,$P$34=0),"",$L$37-1)),MIN(BX$38,$E465),$P$20))-SUM($BF465:BW465))</f>
        <v>0</v>
      </c>
      <c r="BY465" s="446">
        <f>IF($E465=0,0,IF(MIN(BY$38,$E465)&lt;MAX($P$34*($B465+$I$38-1),IF(AND($L$37=0,$P$34=0),"",$L$37-1)),0,YEARFRAC(MAX($P$34*($B465+$I$38-1),IF(AND($L$37=0,$P$34=0),"",$L$37-1)),MIN(BY$38,$E465),$P$20))-SUM($BF465:BX465))</f>
        <v>0</v>
      </c>
      <c r="BZ465" s="446">
        <f>IF($E465=0,0,IF(MIN(BZ$38,$E465)&lt;MAX($P$34*($B465+$I$38-1),IF(AND($L$37=0,$P$34=0),"",$L$37-1)),0,YEARFRAC(MAX($P$34*($B465+$I$38-1),IF(AND($L$37=0,$P$34=0),"",$L$37-1)),MIN(BZ$38,$E465),$P$20))-SUM($BF465:BY465))</f>
        <v>0</v>
      </c>
      <c r="CA465" s="446">
        <f>IF($E465=0,0,IF(MIN(CA$38,$E465)&lt;MAX($P$34*($B465+$I$38-1),IF(AND($L$37=0,$P$34=0),"",$L$37-1)),0,YEARFRAC(MAX($P$34*($B465+$I$38-1),IF(AND($L$37=0,$P$34=0),"",$L$37-1)),MIN(CA$38,$E465),$P$20))-SUM($BF465:BZ465))</f>
        <v>0</v>
      </c>
      <c r="CB465" s="446">
        <f>IF($E465=0,0,IF(MIN(CB$38,$E465)&lt;MAX($P$34*($B465+$I$38-1),IF(AND($L$37=0,$P$34=0),"",$L$37-1)),0,YEARFRAC(MAX($P$34*($B465+$I$38-1),IF(AND($L$37=0,$P$34=0),"",$L$37-1)),MIN(CB$38,$E465),$P$20))-SUM($BF465:CA465))</f>
        <v>0</v>
      </c>
      <c r="CC465" s="446">
        <f>IF($E465=0,0,IF(MIN(CC$38,$E465)&lt;MAX($P$34*($B465+$I$38-1),IF(AND($L$37=0,$P$34=0),"",$L$37-1)),0,YEARFRAC(MAX($P$34*($B465+$I$38-1),IF(AND($L$37=0,$P$34=0),"",$L$37-1)),MIN(CC$38,$E465),$P$20))-SUM($BF465:CB465))</f>
        <v>0</v>
      </c>
      <c r="CD465" s="446">
        <f>IF($E465=0,0,IF(MIN(CD$38,$E465)&lt;MAX($P$34*($B465+$I$38-1),IF(AND($L$37=0,$P$34=0),"",$L$37-1)),0,YEARFRAC(MAX($P$34*($B465+$I$38-1),IF(AND($L$37=0,$P$34=0),"",$L$37-1)),MIN(CD$38,$E465),$P$20))-SUM($BF465:CC465))</f>
        <v>0</v>
      </c>
      <c r="CE465" s="446">
        <f>IF($E465=0,0,IF(MIN(CE$38,$E465)&lt;MAX($P$34*($B465+$I$38-1),IF(AND($L$37=0,$P$34=0),"",$L$37-1)),0,YEARFRAC(MAX($P$34*($B465+$I$38-1),IF(AND($L$37=0,$P$34=0),"",$L$37-1)),MIN(CE$38,$E465),$P$20))-SUM($BF465:CD465))</f>
        <v>0</v>
      </c>
      <c r="CF465" s="446">
        <f>IF($E465=0,0,IF(MIN(CF$38,$E465)&lt;MAX($P$34*($B465+$I$38-1),IF(AND($L$37=0,$P$34=0),"",$L$37-1)),0,YEARFRAC(MAX($P$34*($B465+$I$38-1),IF(AND($L$37=0,$P$34=0),"",$L$37-1)),MIN(CF$38,$E465),$P$20))-SUM($BF465:CE465))</f>
        <v>0</v>
      </c>
      <c r="CG465" s="446">
        <f>IF($E465=0,0,IF(MIN(CG$38,$E465)&lt;MAX($P$34*($B465+$I$38-1),IF(AND($L$37=0,$P$34=0),"",$L$37-1)),0,YEARFRAC(MAX($P$34*($B465+$I$38-1),IF(AND($L$37=0,$P$34=0),"",$L$37-1)),MIN(CG$38,$E465),$P$20))-SUM($BF465:CF465))</f>
        <v>0</v>
      </c>
      <c r="CH465" s="446">
        <f>IF($E465=0,0,IF(MIN(CH$38,$E465)&lt;MAX($P$34*($B465+$I$38-1),IF(AND($L$37=0,$P$34=0),"",$L$37-1)),0,YEARFRAC(MAX($P$34*($B465+$I$38-1),IF(AND($L$37=0,$P$34=0),"",$L$37-1)),MIN(CH$38,$E465),$P$20))-SUM($BF465:CG465))</f>
        <v>0</v>
      </c>
      <c r="CI465" s="446">
        <f>IF($E465=0,0,IF(MIN(CI$38,$E465)&lt;MAX($P$34*($B465+$I$38-1),IF(AND($L$37=0,$P$34=0),"",$L$37-1)),0,YEARFRAC(MAX($P$34*($B465+$I$38-1),IF(AND($L$37=0,$P$34=0),"",$L$37-1)),MIN(CI$38,$E465),$P$20))-SUM($BF465:CH465))</f>
        <v>0</v>
      </c>
      <c r="CJ465" s="446">
        <f>IF($E465=0,0,IF(MIN(CJ$38,$E465)&lt;MAX($P$34*($B465+$I$38-1),IF(AND($L$37=0,$P$34=0),"",$L$37-1)),0,YEARFRAC(MAX($P$34*($B465+$I$38-1),IF(AND($L$37=0,$P$34=0),"",$L$37-1)),MIN(CJ$38,$E465),$P$20))-SUM($BF465:CI465))</f>
        <v>0</v>
      </c>
      <c r="CK465" s="446">
        <f>IF($E465=0,0,IF(MIN(CK$38,$E465)&lt;MAX($P$34*($B465+$I$38-1),IF(AND($L$37=0,$P$34=0),"",$L$37-1)),0,YEARFRAC(MAX($P$34*($B465+$I$38-1),IF(AND($L$37=0,$P$34=0),"",$L$37-1)),MIN(CK$38,$E465),$P$20))-SUM($BF465:CJ465))</f>
        <v>0</v>
      </c>
      <c r="CL465" s="446">
        <f>IF($E465=0,0,IF(MIN(CL$38,$E465)&lt;MAX($P$34*($B465+$I$38-1),IF(AND($L$37=0,$P$34=0),"",$L$37-1)),0,YEARFRAC(MAX($P$34*($B465+$I$38-1),IF(AND($L$37=0,$P$34=0),"",$L$37-1)),MIN(CL$38,$E465),$P$20))-SUM($BF465:CK465))</f>
        <v>0</v>
      </c>
      <c r="CM465" s="446">
        <f>IF($E465=0,0,IF(MIN(CM$38,$E465)&lt;MAX($P$34*($B465+$I$38-1),IF(AND($L$37=0,$P$34=0),"",$L$37-1)),0,YEARFRAC(MAX($P$34*($B465+$I$38-1),IF(AND($L$37=0,$P$34=0),"",$L$37-1)),MIN(CM$38,$E465),$P$20))-SUM($BF465:CL465))</f>
        <v>0</v>
      </c>
      <c r="CN465" s="446">
        <f>IF($E465=0,0,IF(MIN(CN$38,$E465)&lt;MAX($P$34*($B465+$I$38-1),IF(AND($L$37=0,$P$34=0),"",$L$37-1)),0,YEARFRAC(MAX($P$34*($B465+$I$38-1),IF(AND($L$37=0,$P$34=0),"",$L$37-1)),MIN(CN$38,$E465),$P$20))-SUM($BF465:CM465))</f>
        <v>0</v>
      </c>
      <c r="CO465" s="446">
        <f>IF($E465=0,0,IF(MIN(CO$38,$E465)&lt;MAX($P$34*($B465+$I$38-1),IF(AND($L$37=0,$P$34=0),"",$L$37-1)),0,YEARFRAC(MAX($P$34*($B465+$I$38-1),IF(AND($L$37=0,$P$34=0),"",$L$37-1)),MIN(CO$38,$E465),$P$20))-SUM($BF465:CN465))</f>
        <v>0</v>
      </c>
      <c r="CP465" s="446">
        <f>IF($E465=0,0,IF(MIN(CP$38,$E465)&lt;MAX($P$34*($B465+$I$38-1),IF(AND($L$37=0,$P$34=0),"",$L$37-1)),0,YEARFRAC(MAX($P$34*($B465+$I$38-1),IF(AND($L$37=0,$P$34=0),"",$L$37-1)),MIN(CP$38,$E465),$P$20))-SUM($BF465:CO465))</f>
        <v>0</v>
      </c>
      <c r="CQ465" s="446">
        <f>IF($E465=0,0,IF(MIN(CQ$38,$E465)&lt;MAX($P$34*($B465+$I$38-1),IF(AND($L$37=0,$P$34=0),"",$L$37-1)),0,YEARFRAC(MAX($P$34*($B465+$I$38-1),IF(AND($L$37=0,$P$34=0),"",$L$37-1)),MIN(CQ$38,$E465),$P$20))-SUM($BF465:CP465))</f>
        <v>0</v>
      </c>
    </row>
    <row r="466" spans="1:95" s="446" customFormat="1" ht="11.25" hidden="1" customHeight="1" x14ac:dyDescent="0.2">
      <c r="A466" s="152"/>
      <c r="B466" s="153" t="str">
        <f t="shared" si="81"/>
        <v/>
      </c>
      <c r="C466" s="29" t="str">
        <f>IF(B466="","",IF($L$35="SELIC - TRIBUTOS",VLOOKUP(DATE(YEAR($D$19),MONTH($D$19)-1,1),ÍNDICES!$A:$DE,HLOOKUP($BL$25,ÍNDICES!$B$3:$T$4,2)+11)-VLOOKUP(B466,ÍNDICES!$A:$DE,HLOOKUP($BL$25,ÍNDICES!$B$3:$T$4,2)+11)+1%,IF(C$38=$W$26,$J$35,IF(ISERROR(IF(B466&gt;$D$19,1,VLOOKUP(DATE(YEAR(B466),MONTH(B466)+IF($C$35=$S$23,1,0),1),ÍNDICES!$A:$DE,$Z$35+1))),"",IF(B466&gt;$D$19,1,VLOOKUP(DATE(YEAR(B466),MONTH(B466)+IF($C$35=$S$23,1,0),1),ÍNDICES!$A:$DE,$Z$35+1))))))</f>
        <v/>
      </c>
      <c r="D466" s="154" t="str">
        <f>IF(ISERROR(IF(OR($D$38=$Y$27,$B466=""),"",VLOOKUP(B466,ÍNDICES!A:DE,AF$35+1))),"",IF(OR($D$38=$Y$27,$B466=""),"",VLOOKUP(B466,ÍNDICES!A:DE,AF$35+1)))</f>
        <v/>
      </c>
      <c r="E466" s="153"/>
      <c r="F466" s="29" t="str">
        <f>IF(E466="","",IF($L$35="SELIC - TRIBUTOS",VLOOKUP(DATE(YEAR($D$19),MONTH($D$19)-1,1),ÍNDICES!$A:$DE,HLOOKUP($BL$25,ÍNDICES!$B$3:$T$4,2)+11)-VLOOKUP(E466,ÍNDICES!$A:$DE,HLOOKUP($BL$25,ÍNDICES!$B$3:$T$4,2)+11)+1%,IF(F$38=$W$26,$J$35,IF(ISERROR(IF(E466&gt;$D$19,1,VLOOKUP(DATE(YEAR(E466),MONTH(E466)+IF($C$35=$S$23,1,0),1),ÍNDICES!$A:$DE,$Z$35+1))),"",IF(E466&gt;$D$19,1,VLOOKUP(DATE(YEAR(E466),MONTH(E466)+IF($C$35=$S$23,1,0),1),ÍNDICES!$A:$DE,$Z$35+1))))))</f>
        <v/>
      </c>
      <c r="G466" s="155"/>
      <c r="H466" s="156" t="str">
        <f t="shared" si="77"/>
        <v/>
      </c>
      <c r="I466" s="29" t="str">
        <f t="shared" si="71"/>
        <v/>
      </c>
      <c r="J466" s="5">
        <f t="shared" si="72"/>
        <v>0</v>
      </c>
      <c r="K466" s="20">
        <f t="shared" ca="1" si="73"/>
        <v>0</v>
      </c>
      <c r="L466" s="5">
        <f t="shared" ca="1" si="74"/>
        <v>0</v>
      </c>
      <c r="M466" s="64">
        <f t="shared" si="78"/>
        <v>0</v>
      </c>
      <c r="N466" s="61">
        <f t="shared" ca="1" si="79"/>
        <v>0</v>
      </c>
      <c r="O466" s="5">
        <f t="shared" ca="1" si="80"/>
        <v>0</v>
      </c>
      <c r="P466" s="446" t="e">
        <f t="shared" si="75"/>
        <v>#VALUE!</v>
      </c>
      <c r="Q466" s="446" t="e">
        <f>IF(OR($B466="",MIN(Q$38,$D$19)&lt;MAX($P$34*($B466+IF($R$17="Distrato",$I$38-1,0)),IF(AND($L$37=0,$P$34=0),"",$L$37-1),IF($R$17="Distrato",$E466,0))),0,YEARFRAC(MAX($P$34*($B466+IF($R$17="Distrato",$I$38-1,0)),IF(AND($L$37=0,$P$34=0),"",$L$37-1),IF($R$17="Distrato",$E466,0)),MIN(Q$38,$D$19),$P$20))-SUM($P466:P466)</f>
        <v>#VALUE!</v>
      </c>
      <c r="R466" s="446" t="e">
        <f>IF(OR($B466="",MIN(R$38,$D$19)&lt;MAX($P$34*($B466+IF($R$17="Distrato",$I$38-1,0)),IF(AND($L$37=0,$P$34=0),"",$L$37-1),IF($R$17="Distrato",$E466,0))),0,YEARFRAC(MAX($P$34*($B466+IF($R$17="Distrato",$I$38-1,0)),IF(AND($L$37=0,$P$34=0),"",$L$37-1),IF($R$17="Distrato",$E466,0)),MIN(R$38,$D$19),$P$20))-SUM($P466:Q466)</f>
        <v>#VALUE!</v>
      </c>
      <c r="S466" s="446" t="e">
        <f>IF(OR($B466="",MIN(S$38,$D$19)&lt;MAX($P$34*($B466+IF($R$17="Distrato",$I$38-1,0)),IF(AND($L$37=0,$P$34=0),"",$L$37-1),IF($R$17="Distrato",$E466,0))),0,YEARFRAC(MAX($P$34*($B466+IF($R$17="Distrato",$I$38-1,0)),IF(AND($L$37=0,$P$34=0),"",$L$37-1),IF($R$17="Distrato",$E466,0)),MIN(S$38,$D$19),$P$20))-SUM($P466:R466)</f>
        <v>#VALUE!</v>
      </c>
      <c r="T466" s="446" t="e">
        <f>IF(OR($B466="",MIN(T$38,$D$19)&lt;MAX($P$34*($B466+IF($R$17="Distrato",$I$38-1,0)),IF(AND($L$37=0,$P$34=0),"",$L$37-1),IF($R$17="Distrato",$E466,0))),0,YEARFRAC(MAX($P$34*($B466+IF($R$17="Distrato",$I$38-1,0)),IF(AND($L$37=0,$P$34=0),"",$L$37-1),IF($R$17="Distrato",$E466,0)),MIN(T$38,$D$19),$P$20))-SUM($P466:S466)</f>
        <v>#VALUE!</v>
      </c>
      <c r="U466" s="446" t="e">
        <f>IF(OR($B466="",MIN(U$38,$D$19)&lt;MAX($P$34*($B466+IF($R$17="Distrato",$I$38-1,0)),IF(AND($L$37=0,$P$34=0),"",$L$37-1),IF($R$17="Distrato",$E466,0))),0,YEARFRAC(MAX($P$34*($B466+IF($R$17="Distrato",$I$38-1,0)),IF(AND($L$37=0,$P$34=0),"",$L$37-1),IF($R$17="Distrato",$E466,0)),MIN(U$38,$D$19),$P$20))-SUM($P466:T466)</f>
        <v>#VALUE!</v>
      </c>
      <c r="V466" s="446" t="e">
        <f>IF(OR($B466="",MIN(V$38,$D$19)&lt;MAX($P$34*($B466+IF($R$17="Distrato",$I$38-1,0)),IF(AND($L$37=0,$P$34=0),"",$L$37-1),IF($R$17="Distrato",$E466,0))),0,YEARFRAC(MAX($P$34*($B466+IF($R$17="Distrato",$I$38-1,0)),IF(AND($L$37=0,$P$34=0),"",$L$37-1),IF($R$17="Distrato",$E466,0)),MIN(V$38,$D$19),$P$20))-SUM($P466:U466)</f>
        <v>#VALUE!</v>
      </c>
      <c r="W466" s="446" t="e">
        <f>IF(OR($B466="",MIN(W$38,$D$19)&lt;MAX($P$34*($B466+IF($R$17="Distrato",$I$38-1,0)),IF(AND($L$37=0,$P$34=0),"",$L$37-1),IF($R$17="Distrato",$E466,0))),0,YEARFRAC(MAX($P$34*($B466+IF($R$17="Distrato",$I$38-1,0)),IF(AND($L$37=0,$P$34=0),"",$L$37-1),IF($R$17="Distrato",$E466,0)),MIN(W$38,$D$19),$P$20))-SUM($P466:V466)</f>
        <v>#VALUE!</v>
      </c>
      <c r="X466" s="446" t="e">
        <f>IF(OR($B466="",MIN(X$38,$D$19)&lt;MAX($P$34*($B466+IF($R$17="Distrato",$I$38-1,0)),IF(AND($L$37=0,$P$34=0),"",$L$37-1),IF($R$17="Distrato",$E466,0))),0,YEARFRAC(MAX($P$34*($B466+IF($R$17="Distrato",$I$38-1,0)),IF(AND($L$37=0,$P$34=0),"",$L$37-1),IF($R$17="Distrato",$E466,0)),MIN(X$38,$D$19),$P$20))-SUM($P466:W466)</f>
        <v>#VALUE!</v>
      </c>
      <c r="Y466" s="446" t="e">
        <f>IF(OR($B466="",MIN(Y$38,$D$19)&lt;MAX($P$34*($B466+IF($R$17="Distrato",$I$38-1,0)),IF(AND($L$37=0,$P$34=0),"",$L$37-1),IF($R$17="Distrato",$E466,0))),0,YEARFRAC(MAX($P$34*($B466+IF($R$17="Distrato",$I$38-1,0)),IF(AND($L$37=0,$P$34=0),"",$L$37-1),IF($R$17="Distrato",$E466,0)),MIN(Y$38,$D$19),$P$20))-SUM($P466:X466)</f>
        <v>#VALUE!</v>
      </c>
      <c r="Z466" s="446" t="e">
        <f>IF(OR($B466="",MIN(Z$38,$D$19)&lt;MAX($P$34*($B466+IF($R$17="Distrato",$I$38-1,0)),IF(AND($L$37=0,$P$34=0),"",$L$37-1),IF($R$17="Distrato",$E466,0))),0,YEARFRAC(MAX($P$34*($B466+IF($R$17="Distrato",$I$38-1,0)),IF(AND($L$37=0,$P$34=0),"",$L$37-1),IF($R$17="Distrato",$E466,0)),MIN(Z$38,$D$19),$P$20))-SUM($P466:Y466)</f>
        <v>#VALUE!</v>
      </c>
      <c r="AA466" s="446" t="e">
        <f>IF(OR($B466="",MIN(AA$38,$D$19)&lt;MAX($P$34*($B466+IF($R$17="Distrato",$I$38-1,0)),IF(AND($L$37=0,$P$34=0),"",$L$37-1),IF($R$17="Distrato",$E466,0))),0,YEARFRAC(MAX($P$34*($B466+IF($R$17="Distrato",$I$38-1,0)),IF(AND($L$37=0,$P$34=0),"",$L$37-1),IF($R$17="Distrato",$E466,0)),MIN(AA$38,$D$19),$P$20))-SUM($P466:Z466)</f>
        <v>#VALUE!</v>
      </c>
      <c r="AB466" s="446" t="e">
        <f>IF(OR($B466="",MIN(AB$38,$D$19)&lt;MAX($P$34*($B466+IF($R$17="Distrato",$I$38-1,0)),IF(AND($L$37=0,$P$34=0),"",$L$37-1),IF($R$17="Distrato",$E466,0))),0,YEARFRAC(MAX($P$34*($B466+IF($R$17="Distrato",$I$38-1,0)),IF(AND($L$37=0,$P$34=0),"",$L$37-1),IF($R$17="Distrato",$E466,0)),MIN(AB$38,$D$19),$P$20))-SUM($P466:AA466)</f>
        <v>#VALUE!</v>
      </c>
      <c r="AC466" s="446" t="e">
        <f>IF(OR($B466="",MIN(AC$38,$D$19)&lt;MAX($P$34*($B466+IF($R$17="Distrato",$I$38-1,0)),IF(AND($L$37=0,$P$34=0),"",$L$37-1),IF($R$17="Distrato",$E466,0))),0,YEARFRAC(MAX($P$34*($B466+IF($R$17="Distrato",$I$38-1,0)),IF(AND($L$37=0,$P$34=0),"",$L$37-1),IF($R$17="Distrato",$E466,0)),MIN(AC$38,$D$19),$P$20))-SUM($P466:AB466)</f>
        <v>#VALUE!</v>
      </c>
      <c r="AD466" s="446" t="e">
        <f>IF(OR($B466="",MIN(AD$38,$D$19)&lt;MAX($P$34*($B466+IF($R$17="Distrato",$I$38-1,0)),IF(AND($L$37=0,$P$34=0),"",$L$37-1),IF($R$17="Distrato",$E466,0))),0,YEARFRAC(MAX($P$34*($B466+IF($R$17="Distrato",$I$38-1,0)),IF(AND($L$37=0,$P$34=0),"",$L$37-1),IF($R$17="Distrato",$E466,0)),MIN(AD$38,$D$19),$P$20))-SUM($P466:AC466)</f>
        <v>#VALUE!</v>
      </c>
      <c r="AE466" s="446" t="e">
        <f>IF(OR($B466="",MIN(AE$38,$D$19)&lt;MAX($P$34*($B466+IF($R$17="Distrato",$I$38-1,0)),IF(AND($L$37=0,$P$34=0),"",$L$37-1),IF($R$17="Distrato",$E466,0))),0,YEARFRAC(MAX($P$34*($B466+IF($R$17="Distrato",$I$38-1,0)),IF(AND($L$37=0,$P$34=0),"",$L$37-1),IF($R$17="Distrato",$E466,0)),MIN(AE$38,$D$19),$P$20))-SUM($P466:AD466)</f>
        <v>#VALUE!</v>
      </c>
      <c r="AF466" s="446" t="e">
        <f>IF(OR($B466="",MIN(AF$38,$D$19)&lt;MAX($P$34*($B466+IF($R$17="Distrato",$I$38-1,0)),IF(AND($L$37=0,$P$34=0),"",$L$37-1),IF($R$17="Distrato",$E466,0))),0,YEARFRAC(MAX($P$34*($B466+IF($R$17="Distrato",$I$38-1,0)),IF(AND($L$37=0,$P$34=0),"",$L$37-1),IF($R$17="Distrato",$E466,0)),MIN(AF$38,$D$19),$P$20))-SUM($P466:AE466)</f>
        <v>#VALUE!</v>
      </c>
      <c r="AG466" s="446" t="e">
        <f>IF(OR($B466="",MIN(AG$38,$D$19)&lt;MAX($P$34*($B466+IF($R$17="Distrato",$I$38-1,0)),IF(AND($L$37=0,$P$34=0),"",$L$37-1),IF($R$17="Distrato",$E466,0))),0,YEARFRAC(MAX($P$34*($B466+IF($R$17="Distrato",$I$38-1,0)),IF(AND($L$37=0,$P$34=0),"",$L$37-1),IF($R$17="Distrato",$E466,0)),MIN(AG$38,$D$19),$P$20))-SUM($P466:AF466)</f>
        <v>#VALUE!</v>
      </c>
      <c r="AH466" s="446" t="e">
        <f>IF(OR($B466="",MIN(AH$38,$D$19)&lt;MAX($P$34*($B466+IF($R$17="Distrato",$I$38-1,0)),IF(AND($L$37=0,$P$34=0),"",$L$37-1),IF($R$17="Distrato",$E466,0))),0,YEARFRAC(MAX($P$34*($B466+IF($R$17="Distrato",$I$38-1,0)),IF(AND($L$37=0,$P$34=0),"",$L$37-1),IF($R$17="Distrato",$E466,0)),MIN(AH$38,$D$19),$P$20))-SUM($P466:AG466)</f>
        <v>#VALUE!</v>
      </c>
      <c r="AI466" s="446" t="e">
        <f>IF(OR($B466="",MIN(AI$38,$D$19)&lt;MAX($P$34*($B466+IF($R$17="Distrato",$I$38-1,0)),IF(AND($L$37=0,$P$34=0),"",$L$37-1),IF($R$17="Distrato",$E466,0))),0,YEARFRAC(MAX($P$34*($B466+IF($R$17="Distrato",$I$38-1,0)),IF(AND($L$37=0,$P$34=0),"",$L$37-1),IF($R$17="Distrato",$E466,0)),MIN(AI$38,$D$19),$P$20))-SUM($P466:AH466)</f>
        <v>#VALUE!</v>
      </c>
      <c r="AJ466" s="446" t="e">
        <f>IF(OR($B466="",MIN(AJ$38,$D$19)&lt;MAX($P$34*($B466+IF($R$17="Distrato",$I$38-1,0)),IF(AND($L$37=0,$P$34=0),"",$L$37-1),IF($R$17="Distrato",$E466,0))),0,YEARFRAC(MAX($P$34*($B466+IF($R$17="Distrato",$I$38-1,0)),IF(AND($L$37=0,$P$34=0),"",$L$37-1),IF($R$17="Distrato",$E466,0)),MIN(AJ$38,$D$19),$P$20))-SUM($P466:AI466)</f>
        <v>#VALUE!</v>
      </c>
      <c r="AK466" s="446" t="e">
        <f>IF(OR($B466="",MIN(AK$38,$D$19)&lt;MAX($P$34*($B466+IF($R$17="Distrato",$I$38-1,0)),IF(AND($L$37=0,$P$34=0),"",$L$37-1),IF($R$17="Distrato",$E466,0))),0,YEARFRAC(MAX($P$34*($B466+IF($R$17="Distrato",$I$38-1,0)),IF(AND($L$37=0,$P$34=0),"",$L$37-1),IF($R$17="Distrato",$E466,0)),MIN(AK$38,$D$19),$P$20))-SUM($P466:AJ466)</f>
        <v>#VALUE!</v>
      </c>
      <c r="AL466" s="446" t="e">
        <f>IF(OR($B466="",MIN(AL$38,$D$19)&lt;MAX($P$34*($B466+IF($R$17="Distrato",$I$38-1,0)),IF(AND($L$37=0,$P$34=0),"",$L$37-1),IF($R$17="Distrato",$E466,0))),0,YEARFRAC(MAX($P$34*($B466+IF($R$17="Distrato",$I$38-1,0)),IF(AND($L$37=0,$P$34=0),"",$L$37-1),IF($R$17="Distrato",$E466,0)),MIN(AL$38,$D$19),$P$20))-SUM($P466:AK466)</f>
        <v>#VALUE!</v>
      </c>
      <c r="AM466" s="446" t="e">
        <f>IF(OR($B466="",MIN(AM$38,$D$19)&lt;MAX($P$34*($B466+IF($R$17="Distrato",$I$38-1,0)),IF(AND($L$37=0,$P$34=0),"",$L$37-1),IF($R$17="Distrato",$E466,0))),0,YEARFRAC(MAX($P$34*($B466+IF($R$17="Distrato",$I$38-1,0)),IF(AND($L$37=0,$P$34=0),"",$L$37-1),IF($R$17="Distrato",$E466,0)),MIN(AM$38,$D$19),$P$20))-SUM($P466:AL466)</f>
        <v>#VALUE!</v>
      </c>
      <c r="AN466" s="446" t="e">
        <f>IF(OR($B466="",MIN(AN$38,$D$19)&lt;MAX($P$34*($B466+IF($R$17="Distrato",$I$38-1,0)),IF(AND($L$37=0,$P$34=0),"",$L$37-1),IF($R$17="Distrato",$E466,0))),0,YEARFRAC(MAX($P$34*($B466+IF($R$17="Distrato",$I$38-1,0)),IF(AND($L$37=0,$P$34=0),"",$L$37-1),IF($R$17="Distrato",$E466,0)),MIN(AN$38,$D$19),$P$20))-SUM($P466:AM466)</f>
        <v>#VALUE!</v>
      </c>
      <c r="AO466" s="446" t="e">
        <f>IF(OR($B466="",MIN(AO$38,$D$19)&lt;MAX($P$34*($B466+IF($R$17="Distrato",$I$38-1,0)),IF(AND($L$37=0,$P$34=0),"",$L$37-1),IF($R$17="Distrato",$E466,0))),0,YEARFRAC(MAX($P$34*($B466+IF($R$17="Distrato",$I$38-1,0)),IF(AND($L$37=0,$P$34=0),"",$L$37-1),IF($R$17="Distrato",$E466,0)),MIN(AO$38,$D$19),$P$20))-SUM($P466:AN466)</f>
        <v>#VALUE!</v>
      </c>
      <c r="AP466" s="446" t="e">
        <f>IF(OR($B466="",MIN(AP$38,$D$19)&lt;MAX($P$34*($B466+IF($R$17="Distrato",$I$38-1,0)),IF(AND($L$37=0,$P$34=0),"",$L$37-1),IF($R$17="Distrato",$E466,0))),0,YEARFRAC(MAX($P$34*($B466+IF($R$17="Distrato",$I$38-1,0)),IF(AND($L$37=0,$P$34=0),"",$L$37-1),IF($R$17="Distrato",$E466,0)),MIN(AP$38,$D$19),$P$20))-SUM($P466:AO466)</f>
        <v>#VALUE!</v>
      </c>
      <c r="AQ466" s="446" t="e">
        <f>IF(OR($B466="",MIN(AQ$38,$D$19)&lt;MAX($P$34*($B466+IF($R$17="Distrato",$I$38-1,0)),IF(AND($L$37=0,$P$34=0),"",$L$37-1),IF($R$17="Distrato",$E466,0))),0,YEARFRAC(MAX($P$34*($B466+IF($R$17="Distrato",$I$38-1,0)),IF(AND($L$37=0,$P$34=0),"",$L$37-1),IF($R$17="Distrato",$E466,0)),MIN(AQ$38,$D$19),$P$20))-SUM($P466:AP466)</f>
        <v>#VALUE!</v>
      </c>
      <c r="AR466" s="446" t="e">
        <f>IF(OR($B466="",MIN(AR$38,$D$19)&lt;MAX($P$34*($B466+IF($R$17="Distrato",$I$38-1,0)),IF(AND($L$37=0,$P$34=0),"",$L$37-1),IF($R$17="Distrato",$E466,0))),0,YEARFRAC(MAX($P$34*($B466+IF($R$17="Distrato",$I$38-1,0)),IF(AND($L$37=0,$P$34=0),"",$L$37-1),IF($R$17="Distrato",$E466,0)),MIN(AR$38,$D$19),$P$20))-SUM($P466:AQ466)</f>
        <v>#VALUE!</v>
      </c>
      <c r="AS466" s="446" t="e">
        <f>IF(OR($B466="",MIN(AS$38,$D$19)&lt;MAX($P$34*($B466+IF($R$17="Distrato",$I$38-1,0)),IF(AND($L$37=0,$P$34=0),"",$L$37-1),IF($R$17="Distrato",$E466,0))),0,YEARFRAC(MAX($P$34*($B466+IF($R$17="Distrato",$I$38-1,0)),IF(AND($L$37=0,$P$34=0),"",$L$37-1),IF($R$17="Distrato",$E466,0)),MIN(AS$38,$D$19),$P$20))-SUM($P466:AR466)</f>
        <v>#VALUE!</v>
      </c>
      <c r="AT466" s="446" t="e">
        <f>IF(OR($B466="",MIN(AT$38,$D$19)&lt;MAX($P$34*($B466+IF($R$17="Distrato",$I$38-1,0)),IF(AND($L$37=0,$P$34=0),"",$L$37-1),IF($R$17="Distrato",$E466,0))),0,YEARFRAC(MAX($P$34*($B466+IF($R$17="Distrato",$I$38-1,0)),IF(AND($L$37=0,$P$34=0),"",$L$37-1),IF($R$17="Distrato",$E466,0)),MIN(AT$38,$D$19),$P$20))-SUM($P466:AS466)</f>
        <v>#VALUE!</v>
      </c>
      <c r="AU466" s="446" t="e">
        <f>IF(OR($B466="",MIN(AU$38,$D$19)&lt;MAX($P$34*($B466+IF($R$17="Distrato",$I$38-1,0)),IF(AND($L$37=0,$P$34=0),"",$L$37-1),IF($R$17="Distrato",$E466,0))),0,YEARFRAC(MAX($P$34*($B466+IF($R$17="Distrato",$I$38-1,0)),IF(AND($L$37=0,$P$34=0),"",$L$37-1),IF($R$17="Distrato",$E466,0)),MIN(AU$38,$D$19),$P$20))-SUM($P466:AT466)</f>
        <v>#VALUE!</v>
      </c>
      <c r="AV466" s="446" t="e">
        <f>IF(OR($B466="",MIN(AV$38,$D$19)&lt;MAX($P$34*($B466+IF($R$17="Distrato",$I$38-1,0)),IF(AND($L$37=0,$P$34=0),"",$L$37-1),IF($R$17="Distrato",$E466,0))),0,YEARFRAC(MAX($P$34*($B466+IF($R$17="Distrato",$I$38-1,0)),IF(AND($L$37=0,$P$34=0),"",$L$37-1),IF($R$17="Distrato",$E466,0)),MIN(AV$38,$D$19),$P$20))-SUM($P466:AU466)</f>
        <v>#VALUE!</v>
      </c>
      <c r="AW466" s="446" t="e">
        <f>IF(OR($B466="",MIN(AW$38,$D$19)&lt;MAX($P$34*($B466+IF($R$17="Distrato",$I$38-1,0)),IF(AND($L$37=0,$P$34=0),"",$L$37-1),IF($R$17="Distrato",$E466,0))),0,YEARFRAC(MAX($P$34*($B466+IF($R$17="Distrato",$I$38-1,0)),IF(AND($L$37=0,$P$34=0),"",$L$37-1),IF($R$17="Distrato",$E466,0)),MIN(AW$38,$D$19),$P$20))-SUM($P466:AV466)</f>
        <v>#VALUE!</v>
      </c>
      <c r="AX466" s="446" t="e">
        <f>IF(OR($B466="",MIN(AX$38,$D$19)&lt;MAX($P$34*($B466+IF($R$17="Distrato",$I$38-1,0)),IF(AND($L$37=0,$P$34=0),"",$L$37-1),IF($R$17="Distrato",$E466,0))),0,YEARFRAC(MAX($P$34*($B466+IF($R$17="Distrato",$I$38-1,0)),IF(AND($L$37=0,$P$34=0),"",$L$37-1),IF($R$17="Distrato",$E466,0)),MIN(AX$38,$D$19),$P$20))-SUM($P466:AW466)</f>
        <v>#VALUE!</v>
      </c>
      <c r="AY466" s="446" t="e">
        <f>IF(OR($B466="",MIN(AY$38,$D$19)&lt;MAX($P$34*($B466+IF($R$17="Distrato",$I$38-1,0)),IF(AND($L$37=0,$P$34=0),"",$L$37-1),IF($R$17="Distrato",$E466,0))),0,YEARFRAC(MAX($P$34*($B466+IF($R$17="Distrato",$I$38-1,0)),IF(AND($L$37=0,$P$34=0),"",$L$37-1),IF($R$17="Distrato",$E466,0)),MIN(AY$38,$D$19),$P$20))-SUM($P466:AX466)</f>
        <v>#VALUE!</v>
      </c>
      <c r="AZ466" s="446" t="e">
        <f>IF(OR($B466="",MIN(AZ$38,$D$19)&lt;MAX($P$34*($B466+IF($R$17="Distrato",$I$38-1,0)),IF(AND($L$37=0,$P$34=0),"",$L$37-1),IF($R$17="Distrato",$E466,0))),0,YEARFRAC(MAX($P$34*($B466+IF($R$17="Distrato",$I$38-1,0)),IF(AND($L$37=0,$P$34=0),"",$L$37-1),IF($R$17="Distrato",$E466,0)),MIN(AZ$38,$D$19),$P$20))-SUM($P466:AY466)</f>
        <v>#VALUE!</v>
      </c>
      <c r="BA466" s="446" t="e">
        <f>IF(OR($B466="",MIN(BA$38,$D$19)&lt;MAX($P$34*($B466+IF($R$17="Distrato",$I$38-1,0)),IF(AND($L$37=0,$P$34=0),"",$L$37-1),IF($R$17="Distrato",$E466,0))),0,YEARFRAC(MAX($P$34*($B466+IF($R$17="Distrato",$I$38-1,0)),IF(AND($L$37=0,$P$34=0),"",$L$37-1),IF($R$17="Distrato",$E466,0)),MIN(BA$38,$D$19),$P$20))-SUM($P466:AZ466)</f>
        <v>#VALUE!</v>
      </c>
      <c r="BB466" s="447"/>
      <c r="BF466" s="446">
        <f t="shared" si="76"/>
        <v>0</v>
      </c>
      <c r="BG466" s="446">
        <f>IF($E466=0,0,IF(MIN(BG$38,$E466)&lt;MAX($P$34*($B466+$I$38-1),IF(AND($L$37=0,$P$34=0),"",$L$37-1)),0,YEARFRAC(MAX($P$34*($B466+$I$38-1),IF(AND($L$37=0,$P$34=0),"",$L$37-1)),MIN(BG$38,$E466),$P$20))-SUM($BF466:BF466))</f>
        <v>0</v>
      </c>
      <c r="BH466" s="446">
        <f>IF($E466=0,0,IF(MIN(BH$38,$E466)&lt;MAX($P$34*($B466+$I$38-1),IF(AND($L$37=0,$P$34=0),"",$L$37-1)),0,YEARFRAC(MAX($P$34*($B466+$I$38-1),IF(AND($L$37=0,$P$34=0),"",$L$37-1)),MIN(BH$38,$E466),$P$20))-SUM($BF466:BG466))</f>
        <v>0</v>
      </c>
      <c r="BI466" s="446">
        <f>IF($E466=0,0,IF(MIN(BI$38,$E466)&lt;MAX($P$34*($B466+$I$38-1),IF(AND($L$37=0,$P$34=0),"",$L$37-1)),0,YEARFRAC(MAX($P$34*($B466+$I$38-1),IF(AND($L$37=0,$P$34=0),"",$L$37-1)),MIN(BI$38,$E466),$P$20))-SUM($BF466:BH466))</f>
        <v>0</v>
      </c>
      <c r="BJ466" s="446">
        <f>IF($E466=0,0,IF(MIN(BJ$38,$E466)&lt;MAX($P$34*($B466+$I$38-1),IF(AND($L$37=0,$P$34=0),"",$L$37-1)),0,YEARFRAC(MAX($P$34*($B466+$I$38-1),IF(AND($L$37=0,$P$34=0),"",$L$37-1)),MIN(BJ$38,$E466),$P$20))-SUM($BF466:BI466))</f>
        <v>0</v>
      </c>
      <c r="BK466" s="446">
        <f>IF($E466=0,0,IF(MIN(BK$38,$E466)&lt;MAX($P$34*($B466+$I$38-1),IF(AND($L$37=0,$P$34=0),"",$L$37-1)),0,YEARFRAC(MAX($P$34*($B466+$I$38-1),IF(AND($L$37=0,$P$34=0),"",$L$37-1)),MIN(BK$38,$E466),$P$20))-SUM($BF466:BJ466))</f>
        <v>0</v>
      </c>
      <c r="BL466" s="446">
        <f>IF($E466=0,0,IF(MIN(BL$38,$E466)&lt;MAX($P$34*($B466+$I$38-1),IF(AND($L$37=0,$P$34=0),"",$L$37-1)),0,YEARFRAC(MAX($P$34*($B466+$I$38-1),IF(AND($L$37=0,$P$34=0),"",$L$37-1)),MIN(BL$38,$E466),$P$20))-SUM($BF466:BK466))</f>
        <v>0</v>
      </c>
      <c r="BM466" s="446">
        <f>IF($E466=0,0,IF(MIN(BM$38,$E466)&lt;MAX($P$34*($B466+$I$38-1),IF(AND($L$37=0,$P$34=0),"",$L$37-1)),0,YEARFRAC(MAX($P$34*($B466+$I$38-1),IF(AND($L$37=0,$P$34=0),"",$L$37-1)),MIN(BM$38,$E466),$P$20))-SUM($BF466:BL466))</f>
        <v>0</v>
      </c>
      <c r="BN466" s="446">
        <f>IF($E466=0,0,IF(MIN(BN$38,$E466)&lt;MAX($P$34*($B466+$I$38-1),IF(AND($L$37=0,$P$34=0),"",$L$37-1)),0,YEARFRAC(MAX($P$34*($B466+$I$38-1),IF(AND($L$37=0,$P$34=0),"",$L$37-1)),MIN(BN$38,$E466),$P$20))-SUM($BF466:BM466))</f>
        <v>0</v>
      </c>
      <c r="BO466" s="446">
        <f>IF($E466=0,0,IF(MIN(BO$38,$E466)&lt;MAX($P$34*($B466+$I$38-1),IF(AND($L$37=0,$P$34=0),"",$L$37-1)),0,YEARFRAC(MAX($P$34*($B466+$I$38-1),IF(AND($L$37=0,$P$34=0),"",$L$37-1)),MIN(BO$38,$E466),$P$20))-SUM($BF466:BN466))</f>
        <v>0</v>
      </c>
      <c r="BP466" s="446">
        <f>IF($E466=0,0,IF(MIN(BP$38,$E466)&lt;MAX($P$34*($B466+$I$38-1),IF(AND($L$37=0,$P$34=0),"",$L$37-1)),0,YEARFRAC(MAX($P$34*($B466+$I$38-1),IF(AND($L$37=0,$P$34=0),"",$L$37-1)),MIN(BP$38,$E466),$P$20))-SUM($BF466:BO466))</f>
        <v>0</v>
      </c>
      <c r="BQ466" s="446">
        <f>IF($E466=0,0,IF(MIN(BQ$38,$E466)&lt;MAX($P$34*($B466+$I$38-1),IF(AND($L$37=0,$P$34=0),"",$L$37-1)),0,YEARFRAC(MAX($P$34*($B466+$I$38-1),IF(AND($L$37=0,$P$34=0),"",$L$37-1)),MIN(BQ$38,$E466),$P$20))-SUM($BF466:BP466))</f>
        <v>0</v>
      </c>
      <c r="BR466" s="446">
        <f>IF($E466=0,0,IF(MIN(BR$38,$E466)&lt;MAX($P$34*($B466+$I$38-1),IF(AND($L$37=0,$P$34=0),"",$L$37-1)),0,YEARFRAC(MAX($P$34*($B466+$I$38-1),IF(AND($L$37=0,$P$34=0),"",$L$37-1)),MIN(BR$38,$E466),$P$20))-SUM($BF466:BQ466))</f>
        <v>0</v>
      </c>
      <c r="BS466" s="446">
        <f>IF($E466=0,0,IF(MIN(BS$38,$E466)&lt;MAX($P$34*($B466+$I$38-1),IF(AND($L$37=0,$P$34=0),"",$L$37-1)),0,YEARFRAC(MAX($P$34*($B466+$I$38-1),IF(AND($L$37=0,$P$34=0),"",$L$37-1)),MIN(BS$38,$E466),$P$20))-SUM($BF466:BR466))</f>
        <v>0</v>
      </c>
      <c r="BT466" s="446">
        <f>IF($E466=0,0,IF(MIN(BT$38,$E466)&lt;MAX($P$34*($B466+$I$38-1),IF(AND($L$37=0,$P$34=0),"",$L$37-1)),0,YEARFRAC(MAX($P$34*($B466+$I$38-1),IF(AND($L$37=0,$P$34=0),"",$L$37-1)),MIN(BT$38,$E466),$P$20))-SUM($BF466:BS466))</f>
        <v>0</v>
      </c>
      <c r="BU466" s="446">
        <f>IF($E466=0,0,IF(MIN(BU$38,$E466)&lt;MAX($P$34*($B466+$I$38-1),IF(AND($L$37=0,$P$34=0),"",$L$37-1)),0,YEARFRAC(MAX($P$34*($B466+$I$38-1),IF(AND($L$37=0,$P$34=0),"",$L$37-1)),MIN(BU$38,$E466),$P$20))-SUM($BF466:BT466))</f>
        <v>0</v>
      </c>
      <c r="BV466" s="446">
        <f>IF($E466=0,0,IF(MIN(BV$38,$E466)&lt;MAX($P$34*($B466+$I$38-1),IF(AND($L$37=0,$P$34=0),"",$L$37-1)),0,YEARFRAC(MAX($P$34*($B466+$I$38-1),IF(AND($L$37=0,$P$34=0),"",$L$37-1)),MIN(BV$38,$E466),$P$20))-SUM($BF466:BU466))</f>
        <v>0</v>
      </c>
      <c r="BW466" s="446">
        <f>IF($E466=0,0,IF(MIN(BW$38,$E466)&lt;MAX($P$34*($B466+$I$38-1),IF(AND($L$37=0,$P$34=0),"",$L$37-1)),0,YEARFRAC(MAX($P$34*($B466+$I$38-1),IF(AND($L$37=0,$P$34=0),"",$L$37-1)),MIN(BW$38,$E466),$P$20))-SUM($BF466:BV466))</f>
        <v>0</v>
      </c>
      <c r="BX466" s="446">
        <f>IF($E466=0,0,IF(MIN(BX$38,$E466)&lt;MAX($P$34*($B466+$I$38-1),IF(AND($L$37=0,$P$34=0),"",$L$37-1)),0,YEARFRAC(MAX($P$34*($B466+$I$38-1),IF(AND($L$37=0,$P$34=0),"",$L$37-1)),MIN(BX$38,$E466),$P$20))-SUM($BF466:BW466))</f>
        <v>0</v>
      </c>
      <c r="BY466" s="446">
        <f>IF($E466=0,0,IF(MIN(BY$38,$E466)&lt;MAX($P$34*($B466+$I$38-1),IF(AND($L$37=0,$P$34=0),"",$L$37-1)),0,YEARFRAC(MAX($P$34*($B466+$I$38-1),IF(AND($L$37=0,$P$34=0),"",$L$37-1)),MIN(BY$38,$E466),$P$20))-SUM($BF466:BX466))</f>
        <v>0</v>
      </c>
      <c r="BZ466" s="446">
        <f>IF($E466=0,0,IF(MIN(BZ$38,$E466)&lt;MAX($P$34*($B466+$I$38-1),IF(AND($L$37=0,$P$34=0),"",$L$37-1)),0,YEARFRAC(MAX($P$34*($B466+$I$38-1),IF(AND($L$37=0,$P$34=0),"",$L$37-1)),MIN(BZ$38,$E466),$P$20))-SUM($BF466:BY466))</f>
        <v>0</v>
      </c>
      <c r="CA466" s="446">
        <f>IF($E466=0,0,IF(MIN(CA$38,$E466)&lt;MAX($P$34*($B466+$I$38-1),IF(AND($L$37=0,$P$34=0),"",$L$37-1)),0,YEARFRAC(MAX($P$34*($B466+$I$38-1),IF(AND($L$37=0,$P$34=0),"",$L$37-1)),MIN(CA$38,$E466),$P$20))-SUM($BF466:BZ466))</f>
        <v>0</v>
      </c>
      <c r="CB466" s="446">
        <f>IF($E466=0,0,IF(MIN(CB$38,$E466)&lt;MAX($P$34*($B466+$I$38-1),IF(AND($L$37=0,$P$34=0),"",$L$37-1)),0,YEARFRAC(MAX($P$34*($B466+$I$38-1),IF(AND($L$37=0,$P$34=0),"",$L$37-1)),MIN(CB$38,$E466),$P$20))-SUM($BF466:CA466))</f>
        <v>0</v>
      </c>
      <c r="CC466" s="446">
        <f>IF($E466=0,0,IF(MIN(CC$38,$E466)&lt;MAX($P$34*($B466+$I$38-1),IF(AND($L$37=0,$P$34=0),"",$L$37-1)),0,YEARFRAC(MAX($P$34*($B466+$I$38-1),IF(AND($L$37=0,$P$34=0),"",$L$37-1)),MIN(CC$38,$E466),$P$20))-SUM($BF466:CB466))</f>
        <v>0</v>
      </c>
      <c r="CD466" s="446">
        <f>IF($E466=0,0,IF(MIN(CD$38,$E466)&lt;MAX($P$34*($B466+$I$38-1),IF(AND($L$37=0,$P$34=0),"",$L$37-1)),0,YEARFRAC(MAX($P$34*($B466+$I$38-1),IF(AND($L$37=0,$P$34=0),"",$L$37-1)),MIN(CD$38,$E466),$P$20))-SUM($BF466:CC466))</f>
        <v>0</v>
      </c>
      <c r="CE466" s="446">
        <f>IF($E466=0,0,IF(MIN(CE$38,$E466)&lt;MAX($P$34*($B466+$I$38-1),IF(AND($L$37=0,$P$34=0),"",$L$37-1)),0,YEARFRAC(MAX($P$34*($B466+$I$38-1),IF(AND($L$37=0,$P$34=0),"",$L$37-1)),MIN(CE$38,$E466),$P$20))-SUM($BF466:CD466))</f>
        <v>0</v>
      </c>
      <c r="CF466" s="446">
        <f>IF($E466=0,0,IF(MIN(CF$38,$E466)&lt;MAX($P$34*($B466+$I$38-1),IF(AND($L$37=0,$P$34=0),"",$L$37-1)),0,YEARFRAC(MAX($P$34*($B466+$I$38-1),IF(AND($L$37=0,$P$34=0),"",$L$37-1)),MIN(CF$38,$E466),$P$20))-SUM($BF466:CE466))</f>
        <v>0</v>
      </c>
      <c r="CG466" s="446">
        <f>IF($E466=0,0,IF(MIN(CG$38,$E466)&lt;MAX($P$34*($B466+$I$38-1),IF(AND($L$37=0,$P$34=0),"",$L$37-1)),0,YEARFRAC(MAX($P$34*($B466+$I$38-1),IF(AND($L$37=0,$P$34=0),"",$L$37-1)),MIN(CG$38,$E466),$P$20))-SUM($BF466:CF466))</f>
        <v>0</v>
      </c>
      <c r="CH466" s="446">
        <f>IF($E466=0,0,IF(MIN(CH$38,$E466)&lt;MAX($P$34*($B466+$I$38-1),IF(AND($L$37=0,$P$34=0),"",$L$37-1)),0,YEARFRAC(MAX($P$34*($B466+$I$38-1),IF(AND($L$37=0,$P$34=0),"",$L$37-1)),MIN(CH$38,$E466),$P$20))-SUM($BF466:CG466))</f>
        <v>0</v>
      </c>
      <c r="CI466" s="446">
        <f>IF($E466=0,0,IF(MIN(CI$38,$E466)&lt;MAX($P$34*($B466+$I$38-1),IF(AND($L$37=0,$P$34=0),"",$L$37-1)),0,YEARFRAC(MAX($P$34*($B466+$I$38-1),IF(AND($L$37=0,$P$34=0),"",$L$37-1)),MIN(CI$38,$E466),$P$20))-SUM($BF466:CH466))</f>
        <v>0</v>
      </c>
      <c r="CJ466" s="446">
        <f>IF($E466=0,0,IF(MIN(CJ$38,$E466)&lt;MAX($P$34*($B466+$I$38-1),IF(AND($L$37=0,$P$34=0),"",$L$37-1)),0,YEARFRAC(MAX($P$34*($B466+$I$38-1),IF(AND($L$37=0,$P$34=0),"",$L$37-1)),MIN(CJ$38,$E466),$P$20))-SUM($BF466:CI466))</f>
        <v>0</v>
      </c>
      <c r="CK466" s="446">
        <f>IF($E466=0,0,IF(MIN(CK$38,$E466)&lt;MAX($P$34*($B466+$I$38-1),IF(AND($L$37=0,$P$34=0),"",$L$37-1)),0,YEARFRAC(MAX($P$34*($B466+$I$38-1),IF(AND($L$37=0,$P$34=0),"",$L$37-1)),MIN(CK$38,$E466),$P$20))-SUM($BF466:CJ466))</f>
        <v>0</v>
      </c>
      <c r="CL466" s="446">
        <f>IF($E466=0,0,IF(MIN(CL$38,$E466)&lt;MAX($P$34*($B466+$I$38-1),IF(AND($L$37=0,$P$34=0),"",$L$37-1)),0,YEARFRAC(MAX($P$34*($B466+$I$38-1),IF(AND($L$37=0,$P$34=0),"",$L$37-1)),MIN(CL$38,$E466),$P$20))-SUM($BF466:CK466))</f>
        <v>0</v>
      </c>
      <c r="CM466" s="446">
        <f>IF($E466=0,0,IF(MIN(CM$38,$E466)&lt;MAX($P$34*($B466+$I$38-1),IF(AND($L$37=0,$P$34=0),"",$L$37-1)),0,YEARFRAC(MAX($P$34*($B466+$I$38-1),IF(AND($L$37=0,$P$34=0),"",$L$37-1)),MIN(CM$38,$E466),$P$20))-SUM($BF466:CL466))</f>
        <v>0</v>
      </c>
      <c r="CN466" s="446">
        <f>IF($E466=0,0,IF(MIN(CN$38,$E466)&lt;MAX($P$34*($B466+$I$38-1),IF(AND($L$37=0,$P$34=0),"",$L$37-1)),0,YEARFRAC(MAX($P$34*($B466+$I$38-1),IF(AND($L$37=0,$P$34=0),"",$L$37-1)),MIN(CN$38,$E466),$P$20))-SUM($BF466:CM466))</f>
        <v>0</v>
      </c>
      <c r="CO466" s="446">
        <f>IF($E466=0,0,IF(MIN(CO$38,$E466)&lt;MAX($P$34*($B466+$I$38-1),IF(AND($L$37=0,$P$34=0),"",$L$37-1)),0,YEARFRAC(MAX($P$34*($B466+$I$38-1),IF(AND($L$37=0,$P$34=0),"",$L$37-1)),MIN(CO$38,$E466),$P$20))-SUM($BF466:CN466))</f>
        <v>0</v>
      </c>
      <c r="CP466" s="446">
        <f>IF($E466=0,0,IF(MIN(CP$38,$E466)&lt;MAX($P$34*($B466+$I$38-1),IF(AND($L$37=0,$P$34=0),"",$L$37-1)),0,YEARFRAC(MAX($P$34*($B466+$I$38-1),IF(AND($L$37=0,$P$34=0),"",$L$37-1)),MIN(CP$38,$E466),$P$20))-SUM($BF466:CO466))</f>
        <v>0</v>
      </c>
      <c r="CQ466" s="446">
        <f>IF($E466=0,0,IF(MIN(CQ$38,$E466)&lt;MAX($P$34*($B466+$I$38-1),IF(AND($L$37=0,$P$34=0),"",$L$37-1)),0,YEARFRAC(MAX($P$34*($B466+$I$38-1),IF(AND($L$37=0,$P$34=0),"",$L$37-1)),MIN(CQ$38,$E466),$P$20))-SUM($BF466:CP466))</f>
        <v>0</v>
      </c>
    </row>
    <row r="467" spans="1:95" s="446" customFormat="1" ht="11.25" hidden="1" customHeight="1" x14ac:dyDescent="0.2">
      <c r="A467" s="152"/>
      <c r="B467" s="153" t="str">
        <f t="shared" si="81"/>
        <v/>
      </c>
      <c r="C467" s="29" t="str">
        <f>IF(B467="","",IF($L$35="SELIC - TRIBUTOS",VLOOKUP(DATE(YEAR($D$19),MONTH($D$19)-1,1),ÍNDICES!$A:$DE,HLOOKUP($BL$25,ÍNDICES!$B$3:$T$4,2)+11)-VLOOKUP(B467,ÍNDICES!$A:$DE,HLOOKUP($BL$25,ÍNDICES!$B$3:$T$4,2)+11)+1%,IF(C$38=$W$26,$J$35,IF(ISERROR(IF(B467&gt;$D$19,1,VLOOKUP(DATE(YEAR(B467),MONTH(B467)+IF($C$35=$S$23,1,0),1),ÍNDICES!$A:$DE,$Z$35+1))),"",IF(B467&gt;$D$19,1,VLOOKUP(DATE(YEAR(B467),MONTH(B467)+IF($C$35=$S$23,1,0),1),ÍNDICES!$A:$DE,$Z$35+1))))))</f>
        <v/>
      </c>
      <c r="D467" s="154" t="str">
        <f>IF(ISERROR(IF(OR($D$38=$Y$27,$B467=""),"",VLOOKUP(B467,ÍNDICES!A:DE,AF$35+1))),"",IF(OR($D$38=$Y$27,$B467=""),"",VLOOKUP(B467,ÍNDICES!A:DE,AF$35+1)))</f>
        <v/>
      </c>
      <c r="E467" s="153"/>
      <c r="F467" s="29" t="str">
        <f>IF(E467="","",IF($L$35="SELIC - TRIBUTOS",VLOOKUP(DATE(YEAR($D$19),MONTH($D$19)-1,1),ÍNDICES!$A:$DE,HLOOKUP($BL$25,ÍNDICES!$B$3:$T$4,2)+11)-VLOOKUP(E467,ÍNDICES!$A:$DE,HLOOKUP($BL$25,ÍNDICES!$B$3:$T$4,2)+11)+1%,IF(F$38=$W$26,$J$35,IF(ISERROR(IF(E467&gt;$D$19,1,VLOOKUP(DATE(YEAR(E467),MONTH(E467)+IF($C$35=$S$23,1,0),1),ÍNDICES!$A:$DE,$Z$35+1))),"",IF(E467&gt;$D$19,1,VLOOKUP(DATE(YEAR(E467),MONTH(E467)+IF($C$35=$S$23,1,0),1),ÍNDICES!$A:$DE,$Z$35+1))))))</f>
        <v/>
      </c>
      <c r="G467" s="155"/>
      <c r="H467" s="156" t="str">
        <f t="shared" si="77"/>
        <v/>
      </c>
      <c r="I467" s="29" t="str">
        <f t="shared" si="71"/>
        <v/>
      </c>
      <c r="J467" s="5">
        <f t="shared" si="72"/>
        <v>0</v>
      </c>
      <c r="K467" s="20">
        <f t="shared" ca="1" si="73"/>
        <v>0</v>
      </c>
      <c r="L467" s="5">
        <f t="shared" ca="1" si="74"/>
        <v>0</v>
      </c>
      <c r="M467" s="64">
        <f t="shared" si="78"/>
        <v>0</v>
      </c>
      <c r="N467" s="61">
        <f t="shared" ca="1" si="79"/>
        <v>0</v>
      </c>
      <c r="O467" s="5">
        <f t="shared" ca="1" si="80"/>
        <v>0</v>
      </c>
      <c r="P467" s="446" t="e">
        <f t="shared" si="75"/>
        <v>#VALUE!</v>
      </c>
      <c r="Q467" s="446" t="e">
        <f>IF(OR($B467="",MIN(Q$38,$D$19)&lt;MAX($P$34*($B467+IF($R$17="Distrato",$I$38-1,0)),IF(AND($L$37=0,$P$34=0),"",$L$37-1),IF($R$17="Distrato",$E467,0))),0,YEARFRAC(MAX($P$34*($B467+IF($R$17="Distrato",$I$38-1,0)),IF(AND($L$37=0,$P$34=0),"",$L$37-1),IF($R$17="Distrato",$E467,0)),MIN(Q$38,$D$19),$P$20))-SUM($P467:P467)</f>
        <v>#VALUE!</v>
      </c>
      <c r="R467" s="446" t="e">
        <f>IF(OR($B467="",MIN(R$38,$D$19)&lt;MAX($P$34*($B467+IF($R$17="Distrato",$I$38-1,0)),IF(AND($L$37=0,$P$34=0),"",$L$37-1),IF($R$17="Distrato",$E467,0))),0,YEARFRAC(MAX($P$34*($B467+IF($R$17="Distrato",$I$38-1,0)),IF(AND($L$37=0,$P$34=0),"",$L$37-1),IF($R$17="Distrato",$E467,0)),MIN(R$38,$D$19),$P$20))-SUM($P467:Q467)</f>
        <v>#VALUE!</v>
      </c>
      <c r="S467" s="446" t="e">
        <f>IF(OR($B467="",MIN(S$38,$D$19)&lt;MAX($P$34*($B467+IF($R$17="Distrato",$I$38-1,0)),IF(AND($L$37=0,$P$34=0),"",$L$37-1),IF($R$17="Distrato",$E467,0))),0,YEARFRAC(MAX($P$34*($B467+IF($R$17="Distrato",$I$38-1,0)),IF(AND($L$37=0,$P$34=0),"",$L$37-1),IF($R$17="Distrato",$E467,0)),MIN(S$38,$D$19),$P$20))-SUM($P467:R467)</f>
        <v>#VALUE!</v>
      </c>
      <c r="T467" s="446" t="e">
        <f>IF(OR($B467="",MIN(T$38,$D$19)&lt;MAX($P$34*($B467+IF($R$17="Distrato",$I$38-1,0)),IF(AND($L$37=0,$P$34=0),"",$L$37-1),IF($R$17="Distrato",$E467,0))),0,YEARFRAC(MAX($P$34*($B467+IF($R$17="Distrato",$I$38-1,0)),IF(AND($L$37=0,$P$34=0),"",$L$37-1),IF($R$17="Distrato",$E467,0)),MIN(T$38,$D$19),$P$20))-SUM($P467:S467)</f>
        <v>#VALUE!</v>
      </c>
      <c r="U467" s="446" t="e">
        <f>IF(OR($B467="",MIN(U$38,$D$19)&lt;MAX($P$34*($B467+IF($R$17="Distrato",$I$38-1,0)),IF(AND($L$37=0,$P$34=0),"",$L$37-1),IF($R$17="Distrato",$E467,0))),0,YEARFRAC(MAX($P$34*($B467+IF($R$17="Distrato",$I$38-1,0)),IF(AND($L$37=0,$P$34=0),"",$L$37-1),IF($R$17="Distrato",$E467,0)),MIN(U$38,$D$19),$P$20))-SUM($P467:T467)</f>
        <v>#VALUE!</v>
      </c>
      <c r="V467" s="446" t="e">
        <f>IF(OR($B467="",MIN(V$38,$D$19)&lt;MAX($P$34*($B467+IF($R$17="Distrato",$I$38-1,0)),IF(AND($L$37=0,$P$34=0),"",$L$37-1),IF($R$17="Distrato",$E467,0))),0,YEARFRAC(MAX($P$34*($B467+IF($R$17="Distrato",$I$38-1,0)),IF(AND($L$37=0,$P$34=0),"",$L$37-1),IF($R$17="Distrato",$E467,0)),MIN(V$38,$D$19),$P$20))-SUM($P467:U467)</f>
        <v>#VALUE!</v>
      </c>
      <c r="W467" s="446" t="e">
        <f>IF(OR($B467="",MIN(W$38,$D$19)&lt;MAX($P$34*($B467+IF($R$17="Distrato",$I$38-1,0)),IF(AND($L$37=0,$P$34=0),"",$L$37-1),IF($R$17="Distrato",$E467,0))),0,YEARFRAC(MAX($P$34*($B467+IF($R$17="Distrato",$I$38-1,0)),IF(AND($L$37=0,$P$34=0),"",$L$37-1),IF($R$17="Distrato",$E467,0)),MIN(W$38,$D$19),$P$20))-SUM($P467:V467)</f>
        <v>#VALUE!</v>
      </c>
      <c r="X467" s="446" t="e">
        <f>IF(OR($B467="",MIN(X$38,$D$19)&lt;MAX($P$34*($B467+IF($R$17="Distrato",$I$38-1,0)),IF(AND($L$37=0,$P$34=0),"",$L$37-1),IF($R$17="Distrato",$E467,0))),0,YEARFRAC(MAX($P$34*($B467+IF($R$17="Distrato",$I$38-1,0)),IF(AND($L$37=0,$P$34=0),"",$L$37-1),IF($R$17="Distrato",$E467,0)),MIN(X$38,$D$19),$P$20))-SUM($P467:W467)</f>
        <v>#VALUE!</v>
      </c>
      <c r="Y467" s="446" t="e">
        <f>IF(OR($B467="",MIN(Y$38,$D$19)&lt;MAX($P$34*($B467+IF($R$17="Distrato",$I$38-1,0)),IF(AND($L$37=0,$P$34=0),"",$L$37-1),IF($R$17="Distrato",$E467,0))),0,YEARFRAC(MAX($P$34*($B467+IF($R$17="Distrato",$I$38-1,0)),IF(AND($L$37=0,$P$34=0),"",$L$37-1),IF($R$17="Distrato",$E467,0)),MIN(Y$38,$D$19),$P$20))-SUM($P467:X467)</f>
        <v>#VALUE!</v>
      </c>
      <c r="Z467" s="446" t="e">
        <f>IF(OR($B467="",MIN(Z$38,$D$19)&lt;MAX($P$34*($B467+IF($R$17="Distrato",$I$38-1,0)),IF(AND($L$37=0,$P$34=0),"",$L$37-1),IF($R$17="Distrato",$E467,0))),0,YEARFRAC(MAX($P$34*($B467+IF($R$17="Distrato",$I$38-1,0)),IF(AND($L$37=0,$P$34=0),"",$L$37-1),IF($R$17="Distrato",$E467,0)),MIN(Z$38,$D$19),$P$20))-SUM($P467:Y467)</f>
        <v>#VALUE!</v>
      </c>
      <c r="AA467" s="446" t="e">
        <f>IF(OR($B467="",MIN(AA$38,$D$19)&lt;MAX($P$34*($B467+IF($R$17="Distrato",$I$38-1,0)),IF(AND($L$37=0,$P$34=0),"",$L$37-1),IF($R$17="Distrato",$E467,0))),0,YEARFRAC(MAX($P$34*($B467+IF($R$17="Distrato",$I$38-1,0)),IF(AND($L$37=0,$P$34=0),"",$L$37-1),IF($R$17="Distrato",$E467,0)),MIN(AA$38,$D$19),$P$20))-SUM($P467:Z467)</f>
        <v>#VALUE!</v>
      </c>
      <c r="AB467" s="446" t="e">
        <f>IF(OR($B467="",MIN(AB$38,$D$19)&lt;MAX($P$34*($B467+IF($R$17="Distrato",$I$38-1,0)),IF(AND($L$37=0,$P$34=0),"",$L$37-1),IF($R$17="Distrato",$E467,0))),0,YEARFRAC(MAX($P$34*($B467+IF($R$17="Distrato",$I$38-1,0)),IF(AND($L$37=0,$P$34=0),"",$L$37-1),IF($R$17="Distrato",$E467,0)),MIN(AB$38,$D$19),$P$20))-SUM($P467:AA467)</f>
        <v>#VALUE!</v>
      </c>
      <c r="AC467" s="446" t="e">
        <f>IF(OR($B467="",MIN(AC$38,$D$19)&lt;MAX($P$34*($B467+IF($R$17="Distrato",$I$38-1,0)),IF(AND($L$37=0,$P$34=0),"",$L$37-1),IF($R$17="Distrato",$E467,0))),0,YEARFRAC(MAX($P$34*($B467+IF($R$17="Distrato",$I$38-1,0)),IF(AND($L$37=0,$P$34=0),"",$L$37-1),IF($R$17="Distrato",$E467,0)),MIN(AC$38,$D$19),$P$20))-SUM($P467:AB467)</f>
        <v>#VALUE!</v>
      </c>
      <c r="AD467" s="446" t="e">
        <f>IF(OR($B467="",MIN(AD$38,$D$19)&lt;MAX($P$34*($B467+IF($R$17="Distrato",$I$38-1,0)),IF(AND($L$37=0,$P$34=0),"",$L$37-1),IF($R$17="Distrato",$E467,0))),0,YEARFRAC(MAX($P$34*($B467+IF($R$17="Distrato",$I$38-1,0)),IF(AND($L$37=0,$P$34=0),"",$L$37-1),IF($R$17="Distrato",$E467,0)),MIN(AD$38,$D$19),$P$20))-SUM($P467:AC467)</f>
        <v>#VALUE!</v>
      </c>
      <c r="AE467" s="446" t="e">
        <f>IF(OR($B467="",MIN(AE$38,$D$19)&lt;MAX($P$34*($B467+IF($R$17="Distrato",$I$38-1,0)),IF(AND($L$37=0,$P$34=0),"",$L$37-1),IF($R$17="Distrato",$E467,0))),0,YEARFRAC(MAX($P$34*($B467+IF($R$17="Distrato",$I$38-1,0)),IF(AND($L$37=0,$P$34=0),"",$L$37-1),IF($R$17="Distrato",$E467,0)),MIN(AE$38,$D$19),$P$20))-SUM($P467:AD467)</f>
        <v>#VALUE!</v>
      </c>
      <c r="AF467" s="446" t="e">
        <f>IF(OR($B467="",MIN(AF$38,$D$19)&lt;MAX($P$34*($B467+IF($R$17="Distrato",$I$38-1,0)),IF(AND($L$37=0,$P$34=0),"",$L$37-1),IF($R$17="Distrato",$E467,0))),0,YEARFRAC(MAX($P$34*($B467+IF($R$17="Distrato",$I$38-1,0)),IF(AND($L$37=0,$P$34=0),"",$L$37-1),IF($R$17="Distrato",$E467,0)),MIN(AF$38,$D$19),$P$20))-SUM($P467:AE467)</f>
        <v>#VALUE!</v>
      </c>
      <c r="AG467" s="446" t="e">
        <f>IF(OR($B467="",MIN(AG$38,$D$19)&lt;MAX($P$34*($B467+IF($R$17="Distrato",$I$38-1,0)),IF(AND($L$37=0,$P$34=0),"",$L$37-1),IF($R$17="Distrato",$E467,0))),0,YEARFRAC(MAX($P$34*($B467+IF($R$17="Distrato",$I$38-1,0)),IF(AND($L$37=0,$P$34=0),"",$L$37-1),IF($R$17="Distrato",$E467,0)),MIN(AG$38,$D$19),$P$20))-SUM($P467:AF467)</f>
        <v>#VALUE!</v>
      </c>
      <c r="AH467" s="446" t="e">
        <f>IF(OR($B467="",MIN(AH$38,$D$19)&lt;MAX($P$34*($B467+IF($R$17="Distrato",$I$38-1,0)),IF(AND($L$37=0,$P$34=0),"",$L$37-1),IF($R$17="Distrato",$E467,0))),0,YEARFRAC(MAX($P$34*($B467+IF($R$17="Distrato",$I$38-1,0)),IF(AND($L$37=0,$P$34=0),"",$L$37-1),IF($R$17="Distrato",$E467,0)),MIN(AH$38,$D$19),$P$20))-SUM($P467:AG467)</f>
        <v>#VALUE!</v>
      </c>
      <c r="AI467" s="446" t="e">
        <f>IF(OR($B467="",MIN(AI$38,$D$19)&lt;MAX($P$34*($B467+IF($R$17="Distrato",$I$38-1,0)),IF(AND($L$37=0,$P$34=0),"",$L$37-1),IF($R$17="Distrato",$E467,0))),0,YEARFRAC(MAX($P$34*($B467+IF($R$17="Distrato",$I$38-1,0)),IF(AND($L$37=0,$P$34=0),"",$L$37-1),IF($R$17="Distrato",$E467,0)),MIN(AI$38,$D$19),$P$20))-SUM($P467:AH467)</f>
        <v>#VALUE!</v>
      </c>
      <c r="AJ467" s="446" t="e">
        <f>IF(OR($B467="",MIN(AJ$38,$D$19)&lt;MAX($P$34*($B467+IF($R$17="Distrato",$I$38-1,0)),IF(AND($L$37=0,$P$34=0),"",$L$37-1),IF($R$17="Distrato",$E467,0))),0,YEARFRAC(MAX($P$34*($B467+IF($R$17="Distrato",$I$38-1,0)),IF(AND($L$37=0,$P$34=0),"",$L$37-1),IF($R$17="Distrato",$E467,0)),MIN(AJ$38,$D$19),$P$20))-SUM($P467:AI467)</f>
        <v>#VALUE!</v>
      </c>
      <c r="AK467" s="446" t="e">
        <f>IF(OR($B467="",MIN(AK$38,$D$19)&lt;MAX($P$34*($B467+IF($R$17="Distrato",$I$38-1,0)),IF(AND($L$37=0,$P$34=0),"",$L$37-1),IF($R$17="Distrato",$E467,0))),0,YEARFRAC(MAX($P$34*($B467+IF($R$17="Distrato",$I$38-1,0)),IF(AND($L$37=0,$P$34=0),"",$L$37-1),IF($R$17="Distrato",$E467,0)),MIN(AK$38,$D$19),$P$20))-SUM($P467:AJ467)</f>
        <v>#VALUE!</v>
      </c>
      <c r="AL467" s="446" t="e">
        <f>IF(OR($B467="",MIN(AL$38,$D$19)&lt;MAX($P$34*($B467+IF($R$17="Distrato",$I$38-1,0)),IF(AND($L$37=0,$P$34=0),"",$L$37-1),IF($R$17="Distrato",$E467,0))),0,YEARFRAC(MAX($P$34*($B467+IF($R$17="Distrato",$I$38-1,0)),IF(AND($L$37=0,$P$34=0),"",$L$37-1),IF($R$17="Distrato",$E467,0)),MIN(AL$38,$D$19),$P$20))-SUM($P467:AK467)</f>
        <v>#VALUE!</v>
      </c>
      <c r="AM467" s="446" t="e">
        <f>IF(OR($B467="",MIN(AM$38,$D$19)&lt;MAX($P$34*($B467+IF($R$17="Distrato",$I$38-1,0)),IF(AND($L$37=0,$P$34=0),"",$L$37-1),IF($R$17="Distrato",$E467,0))),0,YEARFRAC(MAX($P$34*($B467+IF($R$17="Distrato",$I$38-1,0)),IF(AND($L$37=0,$P$34=0),"",$L$37-1),IF($R$17="Distrato",$E467,0)),MIN(AM$38,$D$19),$P$20))-SUM($P467:AL467)</f>
        <v>#VALUE!</v>
      </c>
      <c r="AN467" s="446" t="e">
        <f>IF(OR($B467="",MIN(AN$38,$D$19)&lt;MAX($P$34*($B467+IF($R$17="Distrato",$I$38-1,0)),IF(AND($L$37=0,$P$34=0),"",$L$37-1),IF($R$17="Distrato",$E467,0))),0,YEARFRAC(MAX($P$34*($B467+IF($R$17="Distrato",$I$38-1,0)),IF(AND($L$37=0,$P$34=0),"",$L$37-1),IF($R$17="Distrato",$E467,0)),MIN(AN$38,$D$19),$P$20))-SUM($P467:AM467)</f>
        <v>#VALUE!</v>
      </c>
      <c r="AO467" s="446" t="e">
        <f>IF(OR($B467="",MIN(AO$38,$D$19)&lt;MAX($P$34*($B467+IF($R$17="Distrato",$I$38-1,0)),IF(AND($L$37=0,$P$34=0),"",$L$37-1),IF($R$17="Distrato",$E467,0))),0,YEARFRAC(MAX($P$34*($B467+IF($R$17="Distrato",$I$38-1,0)),IF(AND($L$37=0,$P$34=0),"",$L$37-1),IF($R$17="Distrato",$E467,0)),MIN(AO$38,$D$19),$P$20))-SUM($P467:AN467)</f>
        <v>#VALUE!</v>
      </c>
      <c r="AP467" s="446" t="e">
        <f>IF(OR($B467="",MIN(AP$38,$D$19)&lt;MAX($P$34*($B467+IF($R$17="Distrato",$I$38-1,0)),IF(AND($L$37=0,$P$34=0),"",$L$37-1),IF($R$17="Distrato",$E467,0))),0,YEARFRAC(MAX($P$34*($B467+IF($R$17="Distrato",$I$38-1,0)),IF(AND($L$37=0,$P$34=0),"",$L$37-1),IF($R$17="Distrato",$E467,0)),MIN(AP$38,$D$19),$P$20))-SUM($P467:AO467)</f>
        <v>#VALUE!</v>
      </c>
      <c r="AQ467" s="446" t="e">
        <f>IF(OR($B467="",MIN(AQ$38,$D$19)&lt;MAX($P$34*($B467+IF($R$17="Distrato",$I$38-1,0)),IF(AND($L$37=0,$P$34=0),"",$L$37-1),IF($R$17="Distrato",$E467,0))),0,YEARFRAC(MAX($P$34*($B467+IF($R$17="Distrato",$I$38-1,0)),IF(AND($L$37=0,$P$34=0),"",$L$37-1),IF($R$17="Distrato",$E467,0)),MIN(AQ$38,$D$19),$P$20))-SUM($P467:AP467)</f>
        <v>#VALUE!</v>
      </c>
      <c r="AR467" s="446" t="e">
        <f>IF(OR($B467="",MIN(AR$38,$D$19)&lt;MAX($P$34*($B467+IF($R$17="Distrato",$I$38-1,0)),IF(AND($L$37=0,$P$34=0),"",$L$37-1),IF($R$17="Distrato",$E467,0))),0,YEARFRAC(MAX($P$34*($B467+IF($R$17="Distrato",$I$38-1,0)),IF(AND($L$37=0,$P$34=0),"",$L$37-1),IF($R$17="Distrato",$E467,0)),MIN(AR$38,$D$19),$P$20))-SUM($P467:AQ467)</f>
        <v>#VALUE!</v>
      </c>
      <c r="AS467" s="446" t="e">
        <f>IF(OR($B467="",MIN(AS$38,$D$19)&lt;MAX($P$34*($B467+IF($R$17="Distrato",$I$38-1,0)),IF(AND($L$37=0,$P$34=0),"",$L$37-1),IF($R$17="Distrato",$E467,0))),0,YEARFRAC(MAX($P$34*($B467+IF($R$17="Distrato",$I$38-1,0)),IF(AND($L$37=0,$P$34=0),"",$L$37-1),IF($R$17="Distrato",$E467,0)),MIN(AS$38,$D$19),$P$20))-SUM($P467:AR467)</f>
        <v>#VALUE!</v>
      </c>
      <c r="AT467" s="446" t="e">
        <f>IF(OR($B467="",MIN(AT$38,$D$19)&lt;MAX($P$34*($B467+IF($R$17="Distrato",$I$38-1,0)),IF(AND($L$37=0,$P$34=0),"",$L$37-1),IF($R$17="Distrato",$E467,0))),0,YEARFRAC(MAX($P$34*($B467+IF($R$17="Distrato",$I$38-1,0)),IF(AND($L$37=0,$P$34=0),"",$L$37-1),IF($R$17="Distrato",$E467,0)),MIN(AT$38,$D$19),$P$20))-SUM($P467:AS467)</f>
        <v>#VALUE!</v>
      </c>
      <c r="AU467" s="446" t="e">
        <f>IF(OR($B467="",MIN(AU$38,$D$19)&lt;MAX($P$34*($B467+IF($R$17="Distrato",$I$38-1,0)),IF(AND($L$37=0,$P$34=0),"",$L$37-1),IF($R$17="Distrato",$E467,0))),0,YEARFRAC(MAX($P$34*($B467+IF($R$17="Distrato",$I$38-1,0)),IF(AND($L$37=0,$P$34=0),"",$L$37-1),IF($R$17="Distrato",$E467,0)),MIN(AU$38,$D$19),$P$20))-SUM($P467:AT467)</f>
        <v>#VALUE!</v>
      </c>
      <c r="AV467" s="446" t="e">
        <f>IF(OR($B467="",MIN(AV$38,$D$19)&lt;MAX($P$34*($B467+IF($R$17="Distrato",$I$38-1,0)),IF(AND($L$37=0,$P$34=0),"",$L$37-1),IF($R$17="Distrato",$E467,0))),0,YEARFRAC(MAX($P$34*($B467+IF($R$17="Distrato",$I$38-1,0)),IF(AND($L$37=0,$P$34=0),"",$L$37-1),IF($R$17="Distrato",$E467,0)),MIN(AV$38,$D$19),$P$20))-SUM($P467:AU467)</f>
        <v>#VALUE!</v>
      </c>
      <c r="AW467" s="446" t="e">
        <f>IF(OR($B467="",MIN(AW$38,$D$19)&lt;MAX($P$34*($B467+IF($R$17="Distrato",$I$38-1,0)),IF(AND($L$37=0,$P$34=0),"",$L$37-1),IF($R$17="Distrato",$E467,0))),0,YEARFRAC(MAX($P$34*($B467+IF($R$17="Distrato",$I$38-1,0)),IF(AND($L$37=0,$P$34=0),"",$L$37-1),IF($R$17="Distrato",$E467,0)),MIN(AW$38,$D$19),$P$20))-SUM($P467:AV467)</f>
        <v>#VALUE!</v>
      </c>
      <c r="AX467" s="446" t="e">
        <f>IF(OR($B467="",MIN(AX$38,$D$19)&lt;MAX($P$34*($B467+IF($R$17="Distrato",$I$38-1,0)),IF(AND($L$37=0,$P$34=0),"",$L$37-1),IF($R$17="Distrato",$E467,0))),0,YEARFRAC(MAX($P$34*($B467+IF($R$17="Distrato",$I$38-1,0)),IF(AND($L$37=0,$P$34=0),"",$L$37-1),IF($R$17="Distrato",$E467,0)),MIN(AX$38,$D$19),$P$20))-SUM($P467:AW467)</f>
        <v>#VALUE!</v>
      </c>
      <c r="AY467" s="446" t="e">
        <f>IF(OR($B467="",MIN(AY$38,$D$19)&lt;MAX($P$34*($B467+IF($R$17="Distrato",$I$38-1,0)),IF(AND($L$37=0,$P$34=0),"",$L$37-1),IF($R$17="Distrato",$E467,0))),0,YEARFRAC(MAX($P$34*($B467+IF($R$17="Distrato",$I$38-1,0)),IF(AND($L$37=0,$P$34=0),"",$L$37-1),IF($R$17="Distrato",$E467,0)),MIN(AY$38,$D$19),$P$20))-SUM($P467:AX467)</f>
        <v>#VALUE!</v>
      </c>
      <c r="AZ467" s="446" t="e">
        <f>IF(OR($B467="",MIN(AZ$38,$D$19)&lt;MAX($P$34*($B467+IF($R$17="Distrato",$I$38-1,0)),IF(AND($L$37=0,$P$34=0),"",$L$37-1),IF($R$17="Distrato",$E467,0))),0,YEARFRAC(MAX($P$34*($B467+IF($R$17="Distrato",$I$38-1,0)),IF(AND($L$37=0,$P$34=0),"",$L$37-1),IF($R$17="Distrato",$E467,0)),MIN(AZ$38,$D$19),$P$20))-SUM($P467:AY467)</f>
        <v>#VALUE!</v>
      </c>
      <c r="BA467" s="446" t="e">
        <f>IF(OR($B467="",MIN(BA$38,$D$19)&lt;MAX($P$34*($B467+IF($R$17="Distrato",$I$38-1,0)),IF(AND($L$37=0,$P$34=0),"",$L$37-1),IF($R$17="Distrato",$E467,0))),0,YEARFRAC(MAX($P$34*($B467+IF($R$17="Distrato",$I$38-1,0)),IF(AND($L$37=0,$P$34=0),"",$L$37-1),IF($R$17="Distrato",$E467,0)),MIN(BA$38,$D$19),$P$20))-SUM($P467:AZ467)</f>
        <v>#VALUE!</v>
      </c>
      <c r="BB467" s="447"/>
      <c r="BF467" s="446">
        <f t="shared" si="76"/>
        <v>0</v>
      </c>
      <c r="BG467" s="446">
        <f>IF($E467=0,0,IF(MIN(BG$38,$E467)&lt;MAX($P$34*($B467+$I$38-1),IF(AND($L$37=0,$P$34=0),"",$L$37-1)),0,YEARFRAC(MAX($P$34*($B467+$I$38-1),IF(AND($L$37=0,$P$34=0),"",$L$37-1)),MIN(BG$38,$E467),$P$20))-SUM($BF467:BF467))</f>
        <v>0</v>
      </c>
      <c r="BH467" s="446">
        <f>IF($E467=0,0,IF(MIN(BH$38,$E467)&lt;MAX($P$34*($B467+$I$38-1),IF(AND($L$37=0,$P$34=0),"",$L$37-1)),0,YEARFRAC(MAX($P$34*($B467+$I$38-1),IF(AND($L$37=0,$P$34=0),"",$L$37-1)),MIN(BH$38,$E467),$P$20))-SUM($BF467:BG467))</f>
        <v>0</v>
      </c>
      <c r="BI467" s="446">
        <f>IF($E467=0,0,IF(MIN(BI$38,$E467)&lt;MAX($P$34*($B467+$I$38-1),IF(AND($L$37=0,$P$34=0),"",$L$37-1)),0,YEARFRAC(MAX($P$34*($B467+$I$38-1),IF(AND($L$37=0,$P$34=0),"",$L$37-1)),MIN(BI$38,$E467),$P$20))-SUM($BF467:BH467))</f>
        <v>0</v>
      </c>
      <c r="BJ467" s="446">
        <f>IF($E467=0,0,IF(MIN(BJ$38,$E467)&lt;MAX($P$34*($B467+$I$38-1),IF(AND($L$37=0,$P$34=0),"",$L$37-1)),0,YEARFRAC(MAX($P$34*($B467+$I$38-1),IF(AND($L$37=0,$P$34=0),"",$L$37-1)),MIN(BJ$38,$E467),$P$20))-SUM($BF467:BI467))</f>
        <v>0</v>
      </c>
      <c r="BK467" s="446">
        <f>IF($E467=0,0,IF(MIN(BK$38,$E467)&lt;MAX($P$34*($B467+$I$38-1),IF(AND($L$37=0,$P$34=0),"",$L$37-1)),0,YEARFRAC(MAX($P$34*($B467+$I$38-1),IF(AND($L$37=0,$P$34=0),"",$L$37-1)),MIN(BK$38,$E467),$P$20))-SUM($BF467:BJ467))</f>
        <v>0</v>
      </c>
      <c r="BL467" s="446">
        <f>IF($E467=0,0,IF(MIN(BL$38,$E467)&lt;MAX($P$34*($B467+$I$38-1),IF(AND($L$37=0,$P$34=0),"",$L$37-1)),0,YEARFRAC(MAX($P$34*($B467+$I$38-1),IF(AND($L$37=0,$P$34=0),"",$L$37-1)),MIN(BL$38,$E467),$P$20))-SUM($BF467:BK467))</f>
        <v>0</v>
      </c>
      <c r="BM467" s="446">
        <f>IF($E467=0,0,IF(MIN(BM$38,$E467)&lt;MAX($P$34*($B467+$I$38-1),IF(AND($L$37=0,$P$34=0),"",$L$37-1)),0,YEARFRAC(MAX($P$34*($B467+$I$38-1),IF(AND($L$37=0,$P$34=0),"",$L$37-1)),MIN(BM$38,$E467),$P$20))-SUM($BF467:BL467))</f>
        <v>0</v>
      </c>
      <c r="BN467" s="446">
        <f>IF($E467=0,0,IF(MIN(BN$38,$E467)&lt;MAX($P$34*($B467+$I$38-1),IF(AND($L$37=0,$P$34=0),"",$L$37-1)),0,YEARFRAC(MAX($P$34*($B467+$I$38-1),IF(AND($L$37=0,$P$34=0),"",$L$37-1)),MIN(BN$38,$E467),$P$20))-SUM($BF467:BM467))</f>
        <v>0</v>
      </c>
      <c r="BO467" s="446">
        <f>IF($E467=0,0,IF(MIN(BO$38,$E467)&lt;MAX($P$34*($B467+$I$38-1),IF(AND($L$37=0,$P$34=0),"",$L$37-1)),0,YEARFRAC(MAX($P$34*($B467+$I$38-1),IF(AND($L$37=0,$P$34=0),"",$L$37-1)),MIN(BO$38,$E467),$P$20))-SUM($BF467:BN467))</f>
        <v>0</v>
      </c>
      <c r="BP467" s="446">
        <f>IF($E467=0,0,IF(MIN(BP$38,$E467)&lt;MAX($P$34*($B467+$I$38-1),IF(AND($L$37=0,$P$34=0),"",$L$37-1)),0,YEARFRAC(MAX($P$34*($B467+$I$38-1),IF(AND($L$37=0,$P$34=0),"",$L$37-1)),MIN(BP$38,$E467),$P$20))-SUM($BF467:BO467))</f>
        <v>0</v>
      </c>
      <c r="BQ467" s="446">
        <f>IF($E467=0,0,IF(MIN(BQ$38,$E467)&lt;MAX($P$34*($B467+$I$38-1),IF(AND($L$37=0,$P$34=0),"",$L$37-1)),0,YEARFRAC(MAX($P$34*($B467+$I$38-1),IF(AND($L$37=0,$P$34=0),"",$L$37-1)),MIN(BQ$38,$E467),$P$20))-SUM($BF467:BP467))</f>
        <v>0</v>
      </c>
      <c r="BR467" s="446">
        <f>IF($E467=0,0,IF(MIN(BR$38,$E467)&lt;MAX($P$34*($B467+$I$38-1),IF(AND($L$37=0,$P$34=0),"",$L$37-1)),0,YEARFRAC(MAX($P$34*($B467+$I$38-1),IF(AND($L$37=0,$P$34=0),"",$L$37-1)),MIN(BR$38,$E467),$P$20))-SUM($BF467:BQ467))</f>
        <v>0</v>
      </c>
      <c r="BS467" s="446">
        <f>IF($E467=0,0,IF(MIN(BS$38,$E467)&lt;MAX($P$34*($B467+$I$38-1),IF(AND($L$37=0,$P$34=0),"",$L$37-1)),0,YEARFRAC(MAX($P$34*($B467+$I$38-1),IF(AND($L$37=0,$P$34=0),"",$L$37-1)),MIN(BS$38,$E467),$P$20))-SUM($BF467:BR467))</f>
        <v>0</v>
      </c>
      <c r="BT467" s="446">
        <f>IF($E467=0,0,IF(MIN(BT$38,$E467)&lt;MAX($P$34*($B467+$I$38-1),IF(AND($L$37=0,$P$34=0),"",$L$37-1)),0,YEARFRAC(MAX($P$34*($B467+$I$38-1),IF(AND($L$37=0,$P$34=0),"",$L$37-1)),MIN(BT$38,$E467),$P$20))-SUM($BF467:BS467))</f>
        <v>0</v>
      </c>
      <c r="BU467" s="446">
        <f>IF($E467=0,0,IF(MIN(BU$38,$E467)&lt;MAX($P$34*($B467+$I$38-1),IF(AND($L$37=0,$P$34=0),"",$L$37-1)),0,YEARFRAC(MAX($P$34*($B467+$I$38-1),IF(AND($L$37=0,$P$34=0),"",$L$37-1)),MIN(BU$38,$E467),$P$20))-SUM($BF467:BT467))</f>
        <v>0</v>
      </c>
      <c r="BV467" s="446">
        <f>IF($E467=0,0,IF(MIN(BV$38,$E467)&lt;MAX($P$34*($B467+$I$38-1),IF(AND($L$37=0,$P$34=0),"",$L$37-1)),0,YEARFRAC(MAX($P$34*($B467+$I$38-1),IF(AND($L$37=0,$P$34=0),"",$L$37-1)),MIN(BV$38,$E467),$P$20))-SUM($BF467:BU467))</f>
        <v>0</v>
      </c>
      <c r="BW467" s="446">
        <f>IF($E467=0,0,IF(MIN(BW$38,$E467)&lt;MAX($P$34*($B467+$I$38-1),IF(AND($L$37=0,$P$34=0),"",$L$37-1)),0,YEARFRAC(MAX($P$34*($B467+$I$38-1),IF(AND($L$37=0,$P$34=0),"",$L$37-1)),MIN(BW$38,$E467),$P$20))-SUM($BF467:BV467))</f>
        <v>0</v>
      </c>
      <c r="BX467" s="446">
        <f>IF($E467=0,0,IF(MIN(BX$38,$E467)&lt;MAX($P$34*($B467+$I$38-1),IF(AND($L$37=0,$P$34=0),"",$L$37-1)),0,YEARFRAC(MAX($P$34*($B467+$I$38-1),IF(AND($L$37=0,$P$34=0),"",$L$37-1)),MIN(BX$38,$E467),$P$20))-SUM($BF467:BW467))</f>
        <v>0</v>
      </c>
      <c r="BY467" s="446">
        <f>IF($E467=0,0,IF(MIN(BY$38,$E467)&lt;MAX($P$34*($B467+$I$38-1),IF(AND($L$37=0,$P$34=0),"",$L$37-1)),0,YEARFRAC(MAX($P$34*($B467+$I$38-1),IF(AND($L$37=0,$P$34=0),"",$L$37-1)),MIN(BY$38,$E467),$P$20))-SUM($BF467:BX467))</f>
        <v>0</v>
      </c>
      <c r="BZ467" s="446">
        <f>IF($E467=0,0,IF(MIN(BZ$38,$E467)&lt;MAX($P$34*($B467+$I$38-1),IF(AND($L$37=0,$P$34=0),"",$L$37-1)),0,YEARFRAC(MAX($P$34*($B467+$I$38-1),IF(AND($L$37=0,$P$34=0),"",$L$37-1)),MIN(BZ$38,$E467),$P$20))-SUM($BF467:BY467))</f>
        <v>0</v>
      </c>
      <c r="CA467" s="446">
        <f>IF($E467=0,0,IF(MIN(CA$38,$E467)&lt;MAX($P$34*($B467+$I$38-1),IF(AND($L$37=0,$P$34=0),"",$L$37-1)),0,YEARFRAC(MAX($P$34*($B467+$I$38-1),IF(AND($L$37=0,$P$34=0),"",$L$37-1)),MIN(CA$38,$E467),$P$20))-SUM($BF467:BZ467))</f>
        <v>0</v>
      </c>
      <c r="CB467" s="446">
        <f>IF($E467=0,0,IF(MIN(CB$38,$E467)&lt;MAX($P$34*($B467+$I$38-1),IF(AND($L$37=0,$P$34=0),"",$L$37-1)),0,YEARFRAC(MAX($P$34*($B467+$I$38-1),IF(AND($L$37=0,$P$34=0),"",$L$37-1)),MIN(CB$38,$E467),$P$20))-SUM($BF467:CA467))</f>
        <v>0</v>
      </c>
      <c r="CC467" s="446">
        <f>IF($E467=0,0,IF(MIN(CC$38,$E467)&lt;MAX($P$34*($B467+$I$38-1),IF(AND($L$37=0,$P$34=0),"",$L$37-1)),0,YEARFRAC(MAX($P$34*($B467+$I$38-1),IF(AND($L$37=0,$P$34=0),"",$L$37-1)),MIN(CC$38,$E467),$P$20))-SUM($BF467:CB467))</f>
        <v>0</v>
      </c>
      <c r="CD467" s="446">
        <f>IF($E467=0,0,IF(MIN(CD$38,$E467)&lt;MAX($P$34*($B467+$I$38-1),IF(AND($L$37=0,$P$34=0),"",$L$37-1)),0,YEARFRAC(MAX($P$34*($B467+$I$38-1),IF(AND($L$37=0,$P$34=0),"",$L$37-1)),MIN(CD$38,$E467),$P$20))-SUM($BF467:CC467))</f>
        <v>0</v>
      </c>
      <c r="CE467" s="446">
        <f>IF($E467=0,0,IF(MIN(CE$38,$E467)&lt;MAX($P$34*($B467+$I$38-1),IF(AND($L$37=0,$P$34=0),"",$L$37-1)),0,YEARFRAC(MAX($P$34*($B467+$I$38-1),IF(AND($L$37=0,$P$34=0),"",$L$37-1)),MIN(CE$38,$E467),$P$20))-SUM($BF467:CD467))</f>
        <v>0</v>
      </c>
      <c r="CF467" s="446">
        <f>IF($E467=0,0,IF(MIN(CF$38,$E467)&lt;MAX($P$34*($B467+$I$38-1),IF(AND($L$37=0,$P$34=0),"",$L$37-1)),0,YEARFRAC(MAX($P$34*($B467+$I$38-1),IF(AND($L$37=0,$P$34=0),"",$L$37-1)),MIN(CF$38,$E467),$P$20))-SUM($BF467:CE467))</f>
        <v>0</v>
      </c>
      <c r="CG467" s="446">
        <f>IF($E467=0,0,IF(MIN(CG$38,$E467)&lt;MAX($P$34*($B467+$I$38-1),IF(AND($L$37=0,$P$34=0),"",$L$37-1)),0,YEARFRAC(MAX($P$34*($B467+$I$38-1),IF(AND($L$37=0,$P$34=0),"",$L$37-1)),MIN(CG$38,$E467),$P$20))-SUM($BF467:CF467))</f>
        <v>0</v>
      </c>
      <c r="CH467" s="446">
        <f>IF($E467=0,0,IF(MIN(CH$38,$E467)&lt;MAX($P$34*($B467+$I$38-1),IF(AND($L$37=0,$P$34=0),"",$L$37-1)),0,YEARFRAC(MAX($P$34*($B467+$I$38-1),IF(AND($L$37=0,$P$34=0),"",$L$37-1)),MIN(CH$38,$E467),$P$20))-SUM($BF467:CG467))</f>
        <v>0</v>
      </c>
      <c r="CI467" s="446">
        <f>IF($E467=0,0,IF(MIN(CI$38,$E467)&lt;MAX($P$34*($B467+$I$38-1),IF(AND($L$37=0,$P$34=0),"",$L$37-1)),0,YEARFRAC(MAX($P$34*($B467+$I$38-1),IF(AND($L$37=0,$P$34=0),"",$L$37-1)),MIN(CI$38,$E467),$P$20))-SUM($BF467:CH467))</f>
        <v>0</v>
      </c>
      <c r="CJ467" s="446">
        <f>IF($E467=0,0,IF(MIN(CJ$38,$E467)&lt;MAX($P$34*($B467+$I$38-1),IF(AND($L$37=0,$P$34=0),"",$L$37-1)),0,YEARFRAC(MAX($P$34*($B467+$I$38-1),IF(AND($L$37=0,$P$34=0),"",$L$37-1)),MIN(CJ$38,$E467),$P$20))-SUM($BF467:CI467))</f>
        <v>0</v>
      </c>
      <c r="CK467" s="446">
        <f>IF($E467=0,0,IF(MIN(CK$38,$E467)&lt;MAX($P$34*($B467+$I$38-1),IF(AND($L$37=0,$P$34=0),"",$L$37-1)),0,YEARFRAC(MAX($P$34*($B467+$I$38-1),IF(AND($L$37=0,$P$34=0),"",$L$37-1)),MIN(CK$38,$E467),$P$20))-SUM($BF467:CJ467))</f>
        <v>0</v>
      </c>
      <c r="CL467" s="446">
        <f>IF($E467=0,0,IF(MIN(CL$38,$E467)&lt;MAX($P$34*($B467+$I$38-1),IF(AND($L$37=0,$P$34=0),"",$L$37-1)),0,YEARFRAC(MAX($P$34*($B467+$I$38-1),IF(AND($L$37=0,$P$34=0),"",$L$37-1)),MIN(CL$38,$E467),$P$20))-SUM($BF467:CK467))</f>
        <v>0</v>
      </c>
      <c r="CM467" s="446">
        <f>IF($E467=0,0,IF(MIN(CM$38,$E467)&lt;MAX($P$34*($B467+$I$38-1),IF(AND($L$37=0,$P$34=0),"",$L$37-1)),0,YEARFRAC(MAX($P$34*($B467+$I$38-1),IF(AND($L$37=0,$P$34=0),"",$L$37-1)),MIN(CM$38,$E467),$P$20))-SUM($BF467:CL467))</f>
        <v>0</v>
      </c>
      <c r="CN467" s="446">
        <f>IF($E467=0,0,IF(MIN(CN$38,$E467)&lt;MAX($P$34*($B467+$I$38-1),IF(AND($L$37=0,$P$34=0),"",$L$37-1)),0,YEARFRAC(MAX($P$34*($B467+$I$38-1),IF(AND($L$37=0,$P$34=0),"",$L$37-1)),MIN(CN$38,$E467),$P$20))-SUM($BF467:CM467))</f>
        <v>0</v>
      </c>
      <c r="CO467" s="446">
        <f>IF($E467=0,0,IF(MIN(CO$38,$E467)&lt;MAX($P$34*($B467+$I$38-1),IF(AND($L$37=0,$P$34=0),"",$L$37-1)),0,YEARFRAC(MAX($P$34*($B467+$I$38-1),IF(AND($L$37=0,$P$34=0),"",$L$37-1)),MIN(CO$38,$E467),$P$20))-SUM($BF467:CN467))</f>
        <v>0</v>
      </c>
      <c r="CP467" s="446">
        <f>IF($E467=0,0,IF(MIN(CP$38,$E467)&lt;MAX($P$34*($B467+$I$38-1),IF(AND($L$37=0,$P$34=0),"",$L$37-1)),0,YEARFRAC(MAX($P$34*($B467+$I$38-1),IF(AND($L$37=0,$P$34=0),"",$L$37-1)),MIN(CP$38,$E467),$P$20))-SUM($BF467:CO467))</f>
        <v>0</v>
      </c>
      <c r="CQ467" s="446">
        <f>IF($E467=0,0,IF(MIN(CQ$38,$E467)&lt;MAX($P$34*($B467+$I$38-1),IF(AND($L$37=0,$P$34=0),"",$L$37-1)),0,YEARFRAC(MAX($P$34*($B467+$I$38-1),IF(AND($L$37=0,$P$34=0),"",$L$37-1)),MIN(CQ$38,$E467),$P$20))-SUM($BF467:CP467))</f>
        <v>0</v>
      </c>
    </row>
    <row r="468" spans="1:95" s="446" customFormat="1" ht="11.25" hidden="1" customHeight="1" x14ac:dyDescent="0.2">
      <c r="A468" s="152"/>
      <c r="B468" s="153" t="str">
        <f t="shared" si="81"/>
        <v/>
      </c>
      <c r="C468" s="29" t="str">
        <f>IF(B468="","",IF($L$35="SELIC - TRIBUTOS",VLOOKUP(DATE(YEAR($D$19),MONTH($D$19)-1,1),ÍNDICES!$A:$DE,HLOOKUP($BL$25,ÍNDICES!$B$3:$T$4,2)+11)-VLOOKUP(B468,ÍNDICES!$A:$DE,HLOOKUP($BL$25,ÍNDICES!$B$3:$T$4,2)+11)+1%,IF(C$38=$W$26,$J$35,IF(ISERROR(IF(B468&gt;$D$19,1,VLOOKUP(DATE(YEAR(B468),MONTH(B468)+IF($C$35=$S$23,1,0),1),ÍNDICES!$A:$DE,$Z$35+1))),"",IF(B468&gt;$D$19,1,VLOOKUP(DATE(YEAR(B468),MONTH(B468)+IF($C$35=$S$23,1,0),1),ÍNDICES!$A:$DE,$Z$35+1))))))</f>
        <v/>
      </c>
      <c r="D468" s="154" t="str">
        <f>IF(ISERROR(IF(OR($D$38=$Y$27,$B468=""),"",VLOOKUP(B468,ÍNDICES!A:DE,AF$35+1))),"",IF(OR($D$38=$Y$27,$B468=""),"",VLOOKUP(B468,ÍNDICES!A:DE,AF$35+1)))</f>
        <v/>
      </c>
      <c r="E468" s="153"/>
      <c r="F468" s="29" t="str">
        <f>IF(E468="","",IF($L$35="SELIC - TRIBUTOS",VLOOKUP(DATE(YEAR($D$19),MONTH($D$19)-1,1),ÍNDICES!$A:$DE,HLOOKUP($BL$25,ÍNDICES!$B$3:$T$4,2)+11)-VLOOKUP(E468,ÍNDICES!$A:$DE,HLOOKUP($BL$25,ÍNDICES!$B$3:$T$4,2)+11)+1%,IF(F$38=$W$26,$J$35,IF(ISERROR(IF(E468&gt;$D$19,1,VLOOKUP(DATE(YEAR(E468),MONTH(E468)+IF($C$35=$S$23,1,0),1),ÍNDICES!$A:$DE,$Z$35+1))),"",IF(E468&gt;$D$19,1,VLOOKUP(DATE(YEAR(E468),MONTH(E468)+IF($C$35=$S$23,1,0),1),ÍNDICES!$A:$DE,$Z$35+1))))))</f>
        <v/>
      </c>
      <c r="G468" s="155"/>
      <c r="H468" s="156" t="str">
        <f t="shared" si="77"/>
        <v/>
      </c>
      <c r="I468" s="29" t="str">
        <f t="shared" si="71"/>
        <v/>
      </c>
      <c r="J468" s="5">
        <f t="shared" si="72"/>
        <v>0</v>
      </c>
      <c r="K468" s="20">
        <f t="shared" ca="1" si="73"/>
        <v>0</v>
      </c>
      <c r="L468" s="5">
        <f t="shared" ca="1" si="74"/>
        <v>0</v>
      </c>
      <c r="M468" s="64">
        <f t="shared" si="78"/>
        <v>0</v>
      </c>
      <c r="N468" s="61">
        <f t="shared" ca="1" si="79"/>
        <v>0</v>
      </c>
      <c r="O468" s="5">
        <f t="shared" ca="1" si="80"/>
        <v>0</v>
      </c>
      <c r="P468" s="446" t="e">
        <f t="shared" si="75"/>
        <v>#VALUE!</v>
      </c>
      <c r="Q468" s="446" t="e">
        <f>IF(OR($B468="",MIN(Q$38,$D$19)&lt;MAX($P$34*($B468+IF($R$17="Distrato",$I$38-1,0)),IF(AND($L$37=0,$P$34=0),"",$L$37-1),IF($R$17="Distrato",$E468,0))),0,YEARFRAC(MAX($P$34*($B468+IF($R$17="Distrato",$I$38-1,0)),IF(AND($L$37=0,$P$34=0),"",$L$37-1),IF($R$17="Distrato",$E468,0)),MIN(Q$38,$D$19),$P$20))-SUM($P468:P468)</f>
        <v>#VALUE!</v>
      </c>
      <c r="R468" s="446" t="e">
        <f>IF(OR($B468="",MIN(R$38,$D$19)&lt;MAX($P$34*($B468+IF($R$17="Distrato",$I$38-1,0)),IF(AND($L$37=0,$P$34=0),"",$L$37-1),IF($R$17="Distrato",$E468,0))),0,YEARFRAC(MAX($P$34*($B468+IF($R$17="Distrato",$I$38-1,0)),IF(AND($L$37=0,$P$34=0),"",$L$37-1),IF($R$17="Distrato",$E468,0)),MIN(R$38,$D$19),$P$20))-SUM($P468:Q468)</f>
        <v>#VALUE!</v>
      </c>
      <c r="S468" s="446" t="e">
        <f>IF(OR($B468="",MIN(S$38,$D$19)&lt;MAX($P$34*($B468+IF($R$17="Distrato",$I$38-1,0)),IF(AND($L$37=0,$P$34=0),"",$L$37-1),IF($R$17="Distrato",$E468,0))),0,YEARFRAC(MAX($P$34*($B468+IF($R$17="Distrato",$I$38-1,0)),IF(AND($L$37=0,$P$34=0),"",$L$37-1),IF($R$17="Distrato",$E468,0)),MIN(S$38,$D$19),$P$20))-SUM($P468:R468)</f>
        <v>#VALUE!</v>
      </c>
      <c r="T468" s="446" t="e">
        <f>IF(OR($B468="",MIN(T$38,$D$19)&lt;MAX($P$34*($B468+IF($R$17="Distrato",$I$38-1,0)),IF(AND($L$37=0,$P$34=0),"",$L$37-1),IF($R$17="Distrato",$E468,0))),0,YEARFRAC(MAX($P$34*($B468+IF($R$17="Distrato",$I$38-1,0)),IF(AND($L$37=0,$P$34=0),"",$L$37-1),IF($R$17="Distrato",$E468,0)),MIN(T$38,$D$19),$P$20))-SUM($P468:S468)</f>
        <v>#VALUE!</v>
      </c>
      <c r="U468" s="446" t="e">
        <f>IF(OR($B468="",MIN(U$38,$D$19)&lt;MAX($P$34*($B468+IF($R$17="Distrato",$I$38-1,0)),IF(AND($L$37=0,$P$34=0),"",$L$37-1),IF($R$17="Distrato",$E468,0))),0,YEARFRAC(MAX($P$34*($B468+IF($R$17="Distrato",$I$38-1,0)),IF(AND($L$37=0,$P$34=0),"",$L$37-1),IF($R$17="Distrato",$E468,0)),MIN(U$38,$D$19),$P$20))-SUM($P468:T468)</f>
        <v>#VALUE!</v>
      </c>
      <c r="V468" s="446" t="e">
        <f>IF(OR($B468="",MIN(V$38,$D$19)&lt;MAX($P$34*($B468+IF($R$17="Distrato",$I$38-1,0)),IF(AND($L$37=0,$P$34=0),"",$L$37-1),IF($R$17="Distrato",$E468,0))),0,YEARFRAC(MAX($P$34*($B468+IF($R$17="Distrato",$I$38-1,0)),IF(AND($L$37=0,$P$34=0),"",$L$37-1),IF($R$17="Distrato",$E468,0)),MIN(V$38,$D$19),$P$20))-SUM($P468:U468)</f>
        <v>#VALUE!</v>
      </c>
      <c r="W468" s="446" t="e">
        <f>IF(OR($B468="",MIN(W$38,$D$19)&lt;MAX($P$34*($B468+IF($R$17="Distrato",$I$38-1,0)),IF(AND($L$37=0,$P$34=0),"",$L$37-1),IF($R$17="Distrato",$E468,0))),0,YEARFRAC(MAX($P$34*($B468+IF($R$17="Distrato",$I$38-1,0)),IF(AND($L$37=0,$P$34=0),"",$L$37-1),IF($R$17="Distrato",$E468,0)),MIN(W$38,$D$19),$P$20))-SUM($P468:V468)</f>
        <v>#VALUE!</v>
      </c>
      <c r="X468" s="446" t="e">
        <f>IF(OR($B468="",MIN(X$38,$D$19)&lt;MAX($P$34*($B468+IF($R$17="Distrato",$I$38-1,0)),IF(AND($L$37=0,$P$34=0),"",$L$37-1),IF($R$17="Distrato",$E468,0))),0,YEARFRAC(MAX($P$34*($B468+IF($R$17="Distrato",$I$38-1,0)),IF(AND($L$37=0,$P$34=0),"",$L$37-1),IF($R$17="Distrato",$E468,0)),MIN(X$38,$D$19),$P$20))-SUM($P468:W468)</f>
        <v>#VALUE!</v>
      </c>
      <c r="Y468" s="446" t="e">
        <f>IF(OR($B468="",MIN(Y$38,$D$19)&lt;MAX($P$34*($B468+IF($R$17="Distrato",$I$38-1,0)),IF(AND($L$37=0,$P$34=0),"",$L$37-1),IF($R$17="Distrato",$E468,0))),0,YEARFRAC(MAX($P$34*($B468+IF($R$17="Distrato",$I$38-1,0)),IF(AND($L$37=0,$P$34=0),"",$L$37-1),IF($R$17="Distrato",$E468,0)),MIN(Y$38,$D$19),$P$20))-SUM($P468:X468)</f>
        <v>#VALUE!</v>
      </c>
      <c r="Z468" s="446" t="e">
        <f>IF(OR($B468="",MIN(Z$38,$D$19)&lt;MAX($P$34*($B468+IF($R$17="Distrato",$I$38-1,0)),IF(AND($L$37=0,$P$34=0),"",$L$37-1),IF($R$17="Distrato",$E468,0))),0,YEARFRAC(MAX($P$34*($B468+IF($R$17="Distrato",$I$38-1,0)),IF(AND($L$37=0,$P$34=0),"",$L$37-1),IF($R$17="Distrato",$E468,0)),MIN(Z$38,$D$19),$P$20))-SUM($P468:Y468)</f>
        <v>#VALUE!</v>
      </c>
      <c r="AA468" s="446" t="e">
        <f>IF(OR($B468="",MIN(AA$38,$D$19)&lt;MAX($P$34*($B468+IF($R$17="Distrato",$I$38-1,0)),IF(AND($L$37=0,$P$34=0),"",$L$37-1),IF($R$17="Distrato",$E468,0))),0,YEARFRAC(MAX($P$34*($B468+IF($R$17="Distrato",$I$38-1,0)),IF(AND($L$37=0,$P$34=0),"",$L$37-1),IF($R$17="Distrato",$E468,0)),MIN(AA$38,$D$19),$P$20))-SUM($P468:Z468)</f>
        <v>#VALUE!</v>
      </c>
      <c r="AB468" s="446" t="e">
        <f>IF(OR($B468="",MIN(AB$38,$D$19)&lt;MAX($P$34*($B468+IF($R$17="Distrato",$I$38-1,0)),IF(AND($L$37=0,$P$34=0),"",$L$37-1),IF($R$17="Distrato",$E468,0))),0,YEARFRAC(MAX($P$34*($B468+IF($R$17="Distrato",$I$38-1,0)),IF(AND($L$37=0,$P$34=0),"",$L$37-1),IF($R$17="Distrato",$E468,0)),MIN(AB$38,$D$19),$P$20))-SUM($P468:AA468)</f>
        <v>#VALUE!</v>
      </c>
      <c r="AC468" s="446" t="e">
        <f>IF(OR($B468="",MIN(AC$38,$D$19)&lt;MAX($P$34*($B468+IF($R$17="Distrato",$I$38-1,0)),IF(AND($L$37=0,$P$34=0),"",$L$37-1),IF($R$17="Distrato",$E468,0))),0,YEARFRAC(MAX($P$34*($B468+IF($R$17="Distrato",$I$38-1,0)),IF(AND($L$37=0,$P$34=0),"",$L$37-1),IF($R$17="Distrato",$E468,0)),MIN(AC$38,$D$19),$P$20))-SUM($P468:AB468)</f>
        <v>#VALUE!</v>
      </c>
      <c r="AD468" s="446" t="e">
        <f>IF(OR($B468="",MIN(AD$38,$D$19)&lt;MAX($P$34*($B468+IF($R$17="Distrato",$I$38-1,0)),IF(AND($L$37=0,$P$34=0),"",$L$37-1),IF($R$17="Distrato",$E468,0))),0,YEARFRAC(MAX($P$34*($B468+IF($R$17="Distrato",$I$38-1,0)),IF(AND($L$37=0,$P$34=0),"",$L$37-1),IF($R$17="Distrato",$E468,0)),MIN(AD$38,$D$19),$P$20))-SUM($P468:AC468)</f>
        <v>#VALUE!</v>
      </c>
      <c r="AE468" s="446" t="e">
        <f>IF(OR($B468="",MIN(AE$38,$D$19)&lt;MAX($P$34*($B468+IF($R$17="Distrato",$I$38-1,0)),IF(AND($L$37=0,$P$34=0),"",$L$37-1),IF($R$17="Distrato",$E468,0))),0,YEARFRAC(MAX($P$34*($B468+IF($R$17="Distrato",$I$38-1,0)),IF(AND($L$37=0,$P$34=0),"",$L$37-1),IF($R$17="Distrato",$E468,0)),MIN(AE$38,$D$19),$P$20))-SUM($P468:AD468)</f>
        <v>#VALUE!</v>
      </c>
      <c r="AF468" s="446" t="e">
        <f>IF(OR($B468="",MIN(AF$38,$D$19)&lt;MAX($P$34*($B468+IF($R$17="Distrato",$I$38-1,0)),IF(AND($L$37=0,$P$34=0),"",$L$37-1),IF($R$17="Distrato",$E468,0))),0,YEARFRAC(MAX($P$34*($B468+IF($R$17="Distrato",$I$38-1,0)),IF(AND($L$37=0,$P$34=0),"",$L$37-1),IF($R$17="Distrato",$E468,0)),MIN(AF$38,$D$19),$P$20))-SUM($P468:AE468)</f>
        <v>#VALUE!</v>
      </c>
      <c r="AG468" s="446" t="e">
        <f>IF(OR($B468="",MIN(AG$38,$D$19)&lt;MAX($P$34*($B468+IF($R$17="Distrato",$I$38-1,0)),IF(AND($L$37=0,$P$34=0),"",$L$37-1),IF($R$17="Distrato",$E468,0))),0,YEARFRAC(MAX($P$34*($B468+IF($R$17="Distrato",$I$38-1,0)),IF(AND($L$37=0,$P$34=0),"",$L$37-1),IF($R$17="Distrato",$E468,0)),MIN(AG$38,$D$19),$P$20))-SUM($P468:AF468)</f>
        <v>#VALUE!</v>
      </c>
      <c r="AH468" s="446" t="e">
        <f>IF(OR($B468="",MIN(AH$38,$D$19)&lt;MAX($P$34*($B468+IF($R$17="Distrato",$I$38-1,0)),IF(AND($L$37=0,$P$34=0),"",$L$37-1),IF($R$17="Distrato",$E468,0))),0,YEARFRAC(MAX($P$34*($B468+IF($R$17="Distrato",$I$38-1,0)),IF(AND($L$37=0,$P$34=0),"",$L$37-1),IF($R$17="Distrato",$E468,0)),MIN(AH$38,$D$19),$P$20))-SUM($P468:AG468)</f>
        <v>#VALUE!</v>
      </c>
      <c r="AI468" s="446" t="e">
        <f>IF(OR($B468="",MIN(AI$38,$D$19)&lt;MAX($P$34*($B468+IF($R$17="Distrato",$I$38-1,0)),IF(AND($L$37=0,$P$34=0),"",$L$37-1),IF($R$17="Distrato",$E468,0))),0,YEARFRAC(MAX($P$34*($B468+IF($R$17="Distrato",$I$38-1,0)),IF(AND($L$37=0,$P$34=0),"",$L$37-1),IF($R$17="Distrato",$E468,0)),MIN(AI$38,$D$19),$P$20))-SUM($P468:AH468)</f>
        <v>#VALUE!</v>
      </c>
      <c r="AJ468" s="446" t="e">
        <f>IF(OR($B468="",MIN(AJ$38,$D$19)&lt;MAX($P$34*($B468+IF($R$17="Distrato",$I$38-1,0)),IF(AND($L$37=0,$P$34=0),"",$L$37-1),IF($R$17="Distrato",$E468,0))),0,YEARFRAC(MAX($P$34*($B468+IF($R$17="Distrato",$I$38-1,0)),IF(AND($L$37=0,$P$34=0),"",$L$37-1),IF($R$17="Distrato",$E468,0)),MIN(AJ$38,$D$19),$P$20))-SUM($P468:AI468)</f>
        <v>#VALUE!</v>
      </c>
      <c r="AK468" s="446" t="e">
        <f>IF(OR($B468="",MIN(AK$38,$D$19)&lt;MAX($P$34*($B468+IF($R$17="Distrato",$I$38-1,0)),IF(AND($L$37=0,$P$34=0),"",$L$37-1),IF($R$17="Distrato",$E468,0))),0,YEARFRAC(MAX($P$34*($B468+IF($R$17="Distrato",$I$38-1,0)),IF(AND($L$37=0,$P$34=0),"",$L$37-1),IF($R$17="Distrato",$E468,0)),MIN(AK$38,$D$19),$P$20))-SUM($P468:AJ468)</f>
        <v>#VALUE!</v>
      </c>
      <c r="AL468" s="446" t="e">
        <f>IF(OR($B468="",MIN(AL$38,$D$19)&lt;MAX($P$34*($B468+IF($R$17="Distrato",$I$38-1,0)),IF(AND($L$37=0,$P$34=0),"",$L$37-1),IF($R$17="Distrato",$E468,0))),0,YEARFRAC(MAX($P$34*($B468+IF($R$17="Distrato",$I$38-1,0)),IF(AND($L$37=0,$P$34=0),"",$L$37-1),IF($R$17="Distrato",$E468,0)),MIN(AL$38,$D$19),$P$20))-SUM($P468:AK468)</f>
        <v>#VALUE!</v>
      </c>
      <c r="AM468" s="446" t="e">
        <f>IF(OR($B468="",MIN(AM$38,$D$19)&lt;MAX($P$34*($B468+IF($R$17="Distrato",$I$38-1,0)),IF(AND($L$37=0,$P$34=0),"",$L$37-1),IF($R$17="Distrato",$E468,0))),0,YEARFRAC(MAX($P$34*($B468+IF($R$17="Distrato",$I$38-1,0)),IF(AND($L$37=0,$P$34=0),"",$L$37-1),IF($R$17="Distrato",$E468,0)),MIN(AM$38,$D$19),$P$20))-SUM($P468:AL468)</f>
        <v>#VALUE!</v>
      </c>
      <c r="AN468" s="446" t="e">
        <f>IF(OR($B468="",MIN(AN$38,$D$19)&lt;MAX($P$34*($B468+IF($R$17="Distrato",$I$38-1,0)),IF(AND($L$37=0,$P$34=0),"",$L$37-1),IF($R$17="Distrato",$E468,0))),0,YEARFRAC(MAX($P$34*($B468+IF($R$17="Distrato",$I$38-1,0)),IF(AND($L$37=0,$P$34=0),"",$L$37-1),IF($R$17="Distrato",$E468,0)),MIN(AN$38,$D$19),$P$20))-SUM($P468:AM468)</f>
        <v>#VALUE!</v>
      </c>
      <c r="AO468" s="446" t="e">
        <f>IF(OR($B468="",MIN(AO$38,$D$19)&lt;MAX($P$34*($B468+IF($R$17="Distrato",$I$38-1,0)),IF(AND($L$37=0,$P$34=0),"",$L$37-1),IF($R$17="Distrato",$E468,0))),0,YEARFRAC(MAX($P$34*($B468+IF($R$17="Distrato",$I$38-1,0)),IF(AND($L$37=0,$P$34=0),"",$L$37-1),IF($R$17="Distrato",$E468,0)),MIN(AO$38,$D$19),$P$20))-SUM($P468:AN468)</f>
        <v>#VALUE!</v>
      </c>
      <c r="AP468" s="446" t="e">
        <f>IF(OR($B468="",MIN(AP$38,$D$19)&lt;MAX($P$34*($B468+IF($R$17="Distrato",$I$38-1,0)),IF(AND($L$37=0,$P$34=0),"",$L$37-1),IF($R$17="Distrato",$E468,0))),0,YEARFRAC(MAX($P$34*($B468+IF($R$17="Distrato",$I$38-1,0)),IF(AND($L$37=0,$P$34=0),"",$L$37-1),IF($R$17="Distrato",$E468,0)),MIN(AP$38,$D$19),$P$20))-SUM($P468:AO468)</f>
        <v>#VALUE!</v>
      </c>
      <c r="AQ468" s="446" t="e">
        <f>IF(OR($B468="",MIN(AQ$38,$D$19)&lt;MAX($P$34*($B468+IF($R$17="Distrato",$I$38-1,0)),IF(AND($L$37=0,$P$34=0),"",$L$37-1),IF($R$17="Distrato",$E468,0))),0,YEARFRAC(MAX($P$34*($B468+IF($R$17="Distrato",$I$38-1,0)),IF(AND($L$37=0,$P$34=0),"",$L$37-1),IF($R$17="Distrato",$E468,0)),MIN(AQ$38,$D$19),$P$20))-SUM($P468:AP468)</f>
        <v>#VALUE!</v>
      </c>
      <c r="AR468" s="446" t="e">
        <f>IF(OR($B468="",MIN(AR$38,$D$19)&lt;MAX($P$34*($B468+IF($R$17="Distrato",$I$38-1,0)),IF(AND($L$37=0,$P$34=0),"",$L$37-1),IF($R$17="Distrato",$E468,0))),0,YEARFRAC(MAX($P$34*($B468+IF($R$17="Distrato",$I$38-1,0)),IF(AND($L$37=0,$P$34=0),"",$L$37-1),IF($R$17="Distrato",$E468,0)),MIN(AR$38,$D$19),$P$20))-SUM($P468:AQ468)</f>
        <v>#VALUE!</v>
      </c>
      <c r="AS468" s="446" t="e">
        <f>IF(OR($B468="",MIN(AS$38,$D$19)&lt;MAX($P$34*($B468+IF($R$17="Distrato",$I$38-1,0)),IF(AND($L$37=0,$P$34=0),"",$L$37-1),IF($R$17="Distrato",$E468,0))),0,YEARFRAC(MAX($P$34*($B468+IF($R$17="Distrato",$I$38-1,0)),IF(AND($L$37=0,$P$34=0),"",$L$37-1),IF($R$17="Distrato",$E468,0)),MIN(AS$38,$D$19),$P$20))-SUM($P468:AR468)</f>
        <v>#VALUE!</v>
      </c>
      <c r="AT468" s="446" t="e">
        <f>IF(OR($B468="",MIN(AT$38,$D$19)&lt;MAX($P$34*($B468+IF($R$17="Distrato",$I$38-1,0)),IF(AND($L$37=0,$P$34=0),"",$L$37-1),IF($R$17="Distrato",$E468,0))),0,YEARFRAC(MAX($P$34*($B468+IF($R$17="Distrato",$I$38-1,0)),IF(AND($L$37=0,$P$34=0),"",$L$37-1),IF($R$17="Distrato",$E468,0)),MIN(AT$38,$D$19),$P$20))-SUM($P468:AS468)</f>
        <v>#VALUE!</v>
      </c>
      <c r="AU468" s="446" t="e">
        <f>IF(OR($B468="",MIN(AU$38,$D$19)&lt;MAX($P$34*($B468+IF($R$17="Distrato",$I$38-1,0)),IF(AND($L$37=0,$P$34=0),"",$L$37-1),IF($R$17="Distrato",$E468,0))),0,YEARFRAC(MAX($P$34*($B468+IF($R$17="Distrato",$I$38-1,0)),IF(AND($L$37=0,$P$34=0),"",$L$37-1),IF($R$17="Distrato",$E468,0)),MIN(AU$38,$D$19),$P$20))-SUM($P468:AT468)</f>
        <v>#VALUE!</v>
      </c>
      <c r="AV468" s="446" t="e">
        <f>IF(OR($B468="",MIN(AV$38,$D$19)&lt;MAX($P$34*($B468+IF($R$17="Distrato",$I$38-1,0)),IF(AND($L$37=0,$P$34=0),"",$L$37-1),IF($R$17="Distrato",$E468,0))),0,YEARFRAC(MAX($P$34*($B468+IF($R$17="Distrato",$I$38-1,0)),IF(AND($L$37=0,$P$34=0),"",$L$37-1),IF($R$17="Distrato",$E468,0)),MIN(AV$38,$D$19),$P$20))-SUM($P468:AU468)</f>
        <v>#VALUE!</v>
      </c>
      <c r="AW468" s="446" t="e">
        <f>IF(OR($B468="",MIN(AW$38,$D$19)&lt;MAX($P$34*($B468+IF($R$17="Distrato",$I$38-1,0)),IF(AND($L$37=0,$P$34=0),"",$L$37-1),IF($R$17="Distrato",$E468,0))),0,YEARFRAC(MAX($P$34*($B468+IF($R$17="Distrato",$I$38-1,0)),IF(AND($L$37=0,$P$34=0),"",$L$37-1),IF($R$17="Distrato",$E468,0)),MIN(AW$38,$D$19),$P$20))-SUM($P468:AV468)</f>
        <v>#VALUE!</v>
      </c>
      <c r="AX468" s="446" t="e">
        <f>IF(OR($B468="",MIN(AX$38,$D$19)&lt;MAX($P$34*($B468+IF($R$17="Distrato",$I$38-1,0)),IF(AND($L$37=0,$P$34=0),"",$L$37-1),IF($R$17="Distrato",$E468,0))),0,YEARFRAC(MAX($P$34*($B468+IF($R$17="Distrato",$I$38-1,0)),IF(AND($L$37=0,$P$34=0),"",$L$37-1),IF($R$17="Distrato",$E468,0)),MIN(AX$38,$D$19),$P$20))-SUM($P468:AW468)</f>
        <v>#VALUE!</v>
      </c>
      <c r="AY468" s="446" t="e">
        <f>IF(OR($B468="",MIN(AY$38,$D$19)&lt;MAX($P$34*($B468+IF($R$17="Distrato",$I$38-1,0)),IF(AND($L$37=0,$P$34=0),"",$L$37-1),IF($R$17="Distrato",$E468,0))),0,YEARFRAC(MAX($P$34*($B468+IF($R$17="Distrato",$I$38-1,0)),IF(AND($L$37=0,$P$34=0),"",$L$37-1),IF($R$17="Distrato",$E468,0)),MIN(AY$38,$D$19),$P$20))-SUM($P468:AX468)</f>
        <v>#VALUE!</v>
      </c>
      <c r="AZ468" s="446" t="e">
        <f>IF(OR($B468="",MIN(AZ$38,$D$19)&lt;MAX($P$34*($B468+IF($R$17="Distrato",$I$38-1,0)),IF(AND($L$37=0,$P$34=0),"",$L$37-1),IF($R$17="Distrato",$E468,0))),0,YEARFRAC(MAX($P$34*($B468+IF($R$17="Distrato",$I$38-1,0)),IF(AND($L$37=0,$P$34=0),"",$L$37-1),IF($R$17="Distrato",$E468,0)),MIN(AZ$38,$D$19),$P$20))-SUM($P468:AY468)</f>
        <v>#VALUE!</v>
      </c>
      <c r="BA468" s="446" t="e">
        <f>IF(OR($B468="",MIN(BA$38,$D$19)&lt;MAX($P$34*($B468+IF($R$17="Distrato",$I$38-1,0)),IF(AND($L$37=0,$P$34=0),"",$L$37-1),IF($R$17="Distrato",$E468,0))),0,YEARFRAC(MAX($P$34*($B468+IF($R$17="Distrato",$I$38-1,0)),IF(AND($L$37=0,$P$34=0),"",$L$37-1),IF($R$17="Distrato",$E468,0)),MIN(BA$38,$D$19),$P$20))-SUM($P468:AZ468)</f>
        <v>#VALUE!</v>
      </c>
      <c r="BB468" s="447"/>
      <c r="BF468" s="446">
        <f t="shared" si="76"/>
        <v>0</v>
      </c>
      <c r="BG468" s="446">
        <f>IF($E468=0,0,IF(MIN(BG$38,$E468)&lt;MAX($P$34*($B468+$I$38-1),IF(AND($L$37=0,$P$34=0),"",$L$37-1)),0,YEARFRAC(MAX($P$34*($B468+$I$38-1),IF(AND($L$37=0,$P$34=0),"",$L$37-1)),MIN(BG$38,$E468),$P$20))-SUM($BF468:BF468))</f>
        <v>0</v>
      </c>
      <c r="BH468" s="446">
        <f>IF($E468=0,0,IF(MIN(BH$38,$E468)&lt;MAX($P$34*($B468+$I$38-1),IF(AND($L$37=0,$P$34=0),"",$L$37-1)),0,YEARFRAC(MAX($P$34*($B468+$I$38-1),IF(AND($L$37=0,$P$34=0),"",$L$37-1)),MIN(BH$38,$E468),$P$20))-SUM($BF468:BG468))</f>
        <v>0</v>
      </c>
      <c r="BI468" s="446">
        <f>IF($E468=0,0,IF(MIN(BI$38,$E468)&lt;MAX($P$34*($B468+$I$38-1),IF(AND($L$37=0,$P$34=0),"",$L$37-1)),0,YEARFRAC(MAX($P$34*($B468+$I$38-1),IF(AND($L$37=0,$P$34=0),"",$L$37-1)),MIN(BI$38,$E468),$P$20))-SUM($BF468:BH468))</f>
        <v>0</v>
      </c>
      <c r="BJ468" s="446">
        <f>IF($E468=0,0,IF(MIN(BJ$38,$E468)&lt;MAX($P$34*($B468+$I$38-1),IF(AND($L$37=0,$P$34=0),"",$L$37-1)),0,YEARFRAC(MAX($P$34*($B468+$I$38-1),IF(AND($L$37=0,$P$34=0),"",$L$37-1)),MIN(BJ$38,$E468),$P$20))-SUM($BF468:BI468))</f>
        <v>0</v>
      </c>
      <c r="BK468" s="446">
        <f>IF($E468=0,0,IF(MIN(BK$38,$E468)&lt;MAX($P$34*($B468+$I$38-1),IF(AND($L$37=0,$P$34=0),"",$L$37-1)),0,YEARFRAC(MAX($P$34*($B468+$I$38-1),IF(AND($L$37=0,$P$34=0),"",$L$37-1)),MIN(BK$38,$E468),$P$20))-SUM($BF468:BJ468))</f>
        <v>0</v>
      </c>
      <c r="BL468" s="446">
        <f>IF($E468=0,0,IF(MIN(BL$38,$E468)&lt;MAX($P$34*($B468+$I$38-1),IF(AND($L$37=0,$P$34=0),"",$L$37-1)),0,YEARFRAC(MAX($P$34*($B468+$I$38-1),IF(AND($L$37=0,$P$34=0),"",$L$37-1)),MIN(BL$38,$E468),$P$20))-SUM($BF468:BK468))</f>
        <v>0</v>
      </c>
      <c r="BM468" s="446">
        <f>IF($E468=0,0,IF(MIN(BM$38,$E468)&lt;MAX($P$34*($B468+$I$38-1),IF(AND($L$37=0,$P$34=0),"",$L$37-1)),0,YEARFRAC(MAX($P$34*($B468+$I$38-1),IF(AND($L$37=0,$P$34=0),"",$L$37-1)),MIN(BM$38,$E468),$P$20))-SUM($BF468:BL468))</f>
        <v>0</v>
      </c>
      <c r="BN468" s="446">
        <f>IF($E468=0,0,IF(MIN(BN$38,$E468)&lt;MAX($P$34*($B468+$I$38-1),IF(AND($L$37=0,$P$34=0),"",$L$37-1)),0,YEARFRAC(MAX($P$34*($B468+$I$38-1),IF(AND($L$37=0,$P$34=0),"",$L$37-1)),MIN(BN$38,$E468),$P$20))-SUM($BF468:BM468))</f>
        <v>0</v>
      </c>
      <c r="BO468" s="446">
        <f>IF($E468=0,0,IF(MIN(BO$38,$E468)&lt;MAX($P$34*($B468+$I$38-1),IF(AND($L$37=0,$P$34=0),"",$L$37-1)),0,YEARFRAC(MAX($P$34*($B468+$I$38-1),IF(AND($L$37=0,$P$34=0),"",$L$37-1)),MIN(BO$38,$E468),$P$20))-SUM($BF468:BN468))</f>
        <v>0</v>
      </c>
      <c r="BP468" s="446">
        <f>IF($E468=0,0,IF(MIN(BP$38,$E468)&lt;MAX($P$34*($B468+$I$38-1),IF(AND($L$37=0,$P$34=0),"",$L$37-1)),0,YEARFRAC(MAX($P$34*($B468+$I$38-1),IF(AND($L$37=0,$P$34=0),"",$L$37-1)),MIN(BP$38,$E468),$P$20))-SUM($BF468:BO468))</f>
        <v>0</v>
      </c>
      <c r="BQ468" s="446">
        <f>IF($E468=0,0,IF(MIN(BQ$38,$E468)&lt;MAX($P$34*($B468+$I$38-1),IF(AND($L$37=0,$P$34=0),"",$L$37-1)),0,YEARFRAC(MAX($P$34*($B468+$I$38-1),IF(AND($L$37=0,$P$34=0),"",$L$37-1)),MIN(BQ$38,$E468),$P$20))-SUM($BF468:BP468))</f>
        <v>0</v>
      </c>
      <c r="BR468" s="446">
        <f>IF($E468=0,0,IF(MIN(BR$38,$E468)&lt;MAX($P$34*($B468+$I$38-1),IF(AND($L$37=0,$P$34=0),"",$L$37-1)),0,YEARFRAC(MAX($P$34*($B468+$I$38-1),IF(AND($L$37=0,$P$34=0),"",$L$37-1)),MIN(BR$38,$E468),$P$20))-SUM($BF468:BQ468))</f>
        <v>0</v>
      </c>
      <c r="BS468" s="446">
        <f>IF($E468=0,0,IF(MIN(BS$38,$E468)&lt;MAX($P$34*($B468+$I$38-1),IF(AND($L$37=0,$P$34=0),"",$L$37-1)),0,YEARFRAC(MAX($P$34*($B468+$I$38-1),IF(AND($L$37=0,$P$34=0),"",$L$37-1)),MIN(BS$38,$E468),$P$20))-SUM($BF468:BR468))</f>
        <v>0</v>
      </c>
      <c r="BT468" s="446">
        <f>IF($E468=0,0,IF(MIN(BT$38,$E468)&lt;MAX($P$34*($B468+$I$38-1),IF(AND($L$37=0,$P$34=0),"",$L$37-1)),0,YEARFRAC(MAX($P$34*($B468+$I$38-1),IF(AND($L$37=0,$P$34=0),"",$L$37-1)),MIN(BT$38,$E468),$P$20))-SUM($BF468:BS468))</f>
        <v>0</v>
      </c>
      <c r="BU468" s="446">
        <f>IF($E468=0,0,IF(MIN(BU$38,$E468)&lt;MAX($P$34*($B468+$I$38-1),IF(AND($L$37=0,$P$34=0),"",$L$37-1)),0,YEARFRAC(MAX($P$34*($B468+$I$38-1),IF(AND($L$37=0,$P$34=0),"",$L$37-1)),MIN(BU$38,$E468),$P$20))-SUM($BF468:BT468))</f>
        <v>0</v>
      </c>
      <c r="BV468" s="446">
        <f>IF($E468=0,0,IF(MIN(BV$38,$E468)&lt;MAX($P$34*($B468+$I$38-1),IF(AND($L$37=0,$P$34=0),"",$L$37-1)),0,YEARFRAC(MAX($P$34*($B468+$I$38-1),IF(AND($L$37=0,$P$34=0),"",$L$37-1)),MIN(BV$38,$E468),$P$20))-SUM($BF468:BU468))</f>
        <v>0</v>
      </c>
      <c r="BW468" s="446">
        <f>IF($E468=0,0,IF(MIN(BW$38,$E468)&lt;MAX($P$34*($B468+$I$38-1),IF(AND($L$37=0,$P$34=0),"",$L$37-1)),0,YEARFRAC(MAX($P$34*($B468+$I$38-1),IF(AND($L$37=0,$P$34=0),"",$L$37-1)),MIN(BW$38,$E468),$P$20))-SUM($BF468:BV468))</f>
        <v>0</v>
      </c>
      <c r="BX468" s="446">
        <f>IF($E468=0,0,IF(MIN(BX$38,$E468)&lt;MAX($P$34*($B468+$I$38-1),IF(AND($L$37=0,$P$34=0),"",$L$37-1)),0,YEARFRAC(MAX($P$34*($B468+$I$38-1),IF(AND($L$37=0,$P$34=0),"",$L$37-1)),MIN(BX$38,$E468),$P$20))-SUM($BF468:BW468))</f>
        <v>0</v>
      </c>
      <c r="BY468" s="446">
        <f>IF($E468=0,0,IF(MIN(BY$38,$E468)&lt;MAX($P$34*($B468+$I$38-1),IF(AND($L$37=0,$P$34=0),"",$L$37-1)),0,YEARFRAC(MAX($P$34*($B468+$I$38-1),IF(AND($L$37=0,$P$34=0),"",$L$37-1)),MIN(BY$38,$E468),$P$20))-SUM($BF468:BX468))</f>
        <v>0</v>
      </c>
      <c r="BZ468" s="446">
        <f>IF($E468=0,0,IF(MIN(BZ$38,$E468)&lt;MAX($P$34*($B468+$I$38-1),IF(AND($L$37=0,$P$34=0),"",$L$37-1)),0,YEARFRAC(MAX($P$34*($B468+$I$38-1),IF(AND($L$37=0,$P$34=0),"",$L$37-1)),MIN(BZ$38,$E468),$P$20))-SUM($BF468:BY468))</f>
        <v>0</v>
      </c>
      <c r="CA468" s="446">
        <f>IF($E468=0,0,IF(MIN(CA$38,$E468)&lt;MAX($P$34*($B468+$I$38-1),IF(AND($L$37=0,$P$34=0),"",$L$37-1)),0,YEARFRAC(MAX($P$34*($B468+$I$38-1),IF(AND($L$37=0,$P$34=0),"",$L$37-1)),MIN(CA$38,$E468),$P$20))-SUM($BF468:BZ468))</f>
        <v>0</v>
      </c>
      <c r="CB468" s="446">
        <f>IF($E468=0,0,IF(MIN(CB$38,$E468)&lt;MAX($P$34*($B468+$I$38-1),IF(AND($L$37=0,$P$34=0),"",$L$37-1)),0,YEARFRAC(MAX($P$34*($B468+$I$38-1),IF(AND($L$37=0,$P$34=0),"",$L$37-1)),MIN(CB$38,$E468),$P$20))-SUM($BF468:CA468))</f>
        <v>0</v>
      </c>
      <c r="CC468" s="446">
        <f>IF($E468=0,0,IF(MIN(CC$38,$E468)&lt;MAX($P$34*($B468+$I$38-1),IF(AND($L$37=0,$P$34=0),"",$L$37-1)),0,YEARFRAC(MAX($P$34*($B468+$I$38-1),IF(AND($L$37=0,$P$34=0),"",$L$37-1)),MIN(CC$38,$E468),$P$20))-SUM($BF468:CB468))</f>
        <v>0</v>
      </c>
      <c r="CD468" s="446">
        <f>IF($E468=0,0,IF(MIN(CD$38,$E468)&lt;MAX($P$34*($B468+$I$38-1),IF(AND($L$37=0,$P$34=0),"",$L$37-1)),0,YEARFRAC(MAX($P$34*($B468+$I$38-1),IF(AND($L$37=0,$P$34=0),"",$L$37-1)),MIN(CD$38,$E468),$P$20))-SUM($BF468:CC468))</f>
        <v>0</v>
      </c>
      <c r="CE468" s="446">
        <f>IF($E468=0,0,IF(MIN(CE$38,$E468)&lt;MAX($P$34*($B468+$I$38-1),IF(AND($L$37=0,$P$34=0),"",$L$37-1)),0,YEARFRAC(MAX($P$34*($B468+$I$38-1),IF(AND($L$37=0,$P$34=0),"",$L$37-1)),MIN(CE$38,$E468),$P$20))-SUM($BF468:CD468))</f>
        <v>0</v>
      </c>
      <c r="CF468" s="446">
        <f>IF($E468=0,0,IF(MIN(CF$38,$E468)&lt;MAX($P$34*($B468+$I$38-1),IF(AND($L$37=0,$P$34=0),"",$L$37-1)),0,YEARFRAC(MAX($P$34*($B468+$I$38-1),IF(AND($L$37=0,$P$34=0),"",$L$37-1)),MIN(CF$38,$E468),$P$20))-SUM($BF468:CE468))</f>
        <v>0</v>
      </c>
      <c r="CG468" s="446">
        <f>IF($E468=0,0,IF(MIN(CG$38,$E468)&lt;MAX($P$34*($B468+$I$38-1),IF(AND($L$37=0,$P$34=0),"",$L$37-1)),0,YEARFRAC(MAX($P$34*($B468+$I$38-1),IF(AND($L$37=0,$P$34=0),"",$L$37-1)),MIN(CG$38,$E468),$P$20))-SUM($BF468:CF468))</f>
        <v>0</v>
      </c>
      <c r="CH468" s="446">
        <f>IF($E468=0,0,IF(MIN(CH$38,$E468)&lt;MAX($P$34*($B468+$I$38-1),IF(AND($L$37=0,$P$34=0),"",$L$37-1)),0,YEARFRAC(MAX($P$34*($B468+$I$38-1),IF(AND($L$37=0,$P$34=0),"",$L$37-1)),MIN(CH$38,$E468),$P$20))-SUM($BF468:CG468))</f>
        <v>0</v>
      </c>
      <c r="CI468" s="446">
        <f>IF($E468=0,0,IF(MIN(CI$38,$E468)&lt;MAX($P$34*($B468+$I$38-1),IF(AND($L$37=0,$P$34=0),"",$L$37-1)),0,YEARFRAC(MAX($P$34*($B468+$I$38-1),IF(AND($L$37=0,$P$34=0),"",$L$37-1)),MIN(CI$38,$E468),$P$20))-SUM($BF468:CH468))</f>
        <v>0</v>
      </c>
      <c r="CJ468" s="446">
        <f>IF($E468=0,0,IF(MIN(CJ$38,$E468)&lt;MAX($P$34*($B468+$I$38-1),IF(AND($L$37=0,$P$34=0),"",$L$37-1)),0,YEARFRAC(MAX($P$34*($B468+$I$38-1),IF(AND($L$37=0,$P$34=0),"",$L$37-1)),MIN(CJ$38,$E468),$P$20))-SUM($BF468:CI468))</f>
        <v>0</v>
      </c>
      <c r="CK468" s="446">
        <f>IF($E468=0,0,IF(MIN(CK$38,$E468)&lt;MAX($P$34*($B468+$I$38-1),IF(AND($L$37=0,$P$34=0),"",$L$37-1)),0,YEARFRAC(MAX($P$34*($B468+$I$38-1),IF(AND($L$37=0,$P$34=0),"",$L$37-1)),MIN(CK$38,$E468),$P$20))-SUM($BF468:CJ468))</f>
        <v>0</v>
      </c>
      <c r="CL468" s="446">
        <f>IF($E468=0,0,IF(MIN(CL$38,$E468)&lt;MAX($P$34*($B468+$I$38-1),IF(AND($L$37=0,$P$34=0),"",$L$37-1)),0,YEARFRAC(MAX($P$34*($B468+$I$38-1),IF(AND($L$37=0,$P$34=0),"",$L$37-1)),MIN(CL$38,$E468),$P$20))-SUM($BF468:CK468))</f>
        <v>0</v>
      </c>
      <c r="CM468" s="446">
        <f>IF($E468=0,0,IF(MIN(CM$38,$E468)&lt;MAX($P$34*($B468+$I$38-1),IF(AND($L$37=0,$P$34=0),"",$L$37-1)),0,YEARFRAC(MAX($P$34*($B468+$I$38-1),IF(AND($L$37=0,$P$34=0),"",$L$37-1)),MIN(CM$38,$E468),$P$20))-SUM($BF468:CL468))</f>
        <v>0</v>
      </c>
      <c r="CN468" s="446">
        <f>IF($E468=0,0,IF(MIN(CN$38,$E468)&lt;MAX($P$34*($B468+$I$38-1),IF(AND($L$37=0,$P$34=0),"",$L$37-1)),0,YEARFRAC(MAX($P$34*($B468+$I$38-1),IF(AND($L$37=0,$P$34=0),"",$L$37-1)),MIN(CN$38,$E468),$P$20))-SUM($BF468:CM468))</f>
        <v>0</v>
      </c>
      <c r="CO468" s="446">
        <f>IF($E468=0,0,IF(MIN(CO$38,$E468)&lt;MAX($P$34*($B468+$I$38-1),IF(AND($L$37=0,$P$34=0),"",$L$37-1)),0,YEARFRAC(MAX($P$34*($B468+$I$38-1),IF(AND($L$37=0,$P$34=0),"",$L$37-1)),MIN(CO$38,$E468),$P$20))-SUM($BF468:CN468))</f>
        <v>0</v>
      </c>
      <c r="CP468" s="446">
        <f>IF($E468=0,0,IF(MIN(CP$38,$E468)&lt;MAX($P$34*($B468+$I$38-1),IF(AND($L$37=0,$P$34=0),"",$L$37-1)),0,YEARFRAC(MAX($P$34*($B468+$I$38-1),IF(AND($L$37=0,$P$34=0),"",$L$37-1)),MIN(CP$38,$E468),$P$20))-SUM($BF468:CO468))</f>
        <v>0</v>
      </c>
      <c r="CQ468" s="446">
        <f>IF($E468=0,0,IF(MIN(CQ$38,$E468)&lt;MAX($P$34*($B468+$I$38-1),IF(AND($L$37=0,$P$34=0),"",$L$37-1)),0,YEARFRAC(MAX($P$34*($B468+$I$38-1),IF(AND($L$37=0,$P$34=0),"",$L$37-1)),MIN(CQ$38,$E468),$P$20))-SUM($BF468:CP468))</f>
        <v>0</v>
      </c>
    </row>
    <row r="469" spans="1:95" s="446" customFormat="1" ht="11.25" hidden="1" customHeight="1" x14ac:dyDescent="0.2">
      <c r="A469" s="152"/>
      <c r="B469" s="153" t="str">
        <f t="shared" si="81"/>
        <v/>
      </c>
      <c r="C469" s="29" t="str">
        <f>IF(B469="","",IF($L$35="SELIC - TRIBUTOS",VLOOKUP(DATE(YEAR($D$19),MONTH($D$19)-1,1),ÍNDICES!$A:$DE,HLOOKUP($BL$25,ÍNDICES!$B$3:$T$4,2)+11)-VLOOKUP(B469,ÍNDICES!$A:$DE,HLOOKUP($BL$25,ÍNDICES!$B$3:$T$4,2)+11)+1%,IF(C$38=$W$26,$J$35,IF(ISERROR(IF(B469&gt;$D$19,1,VLOOKUP(DATE(YEAR(B469),MONTH(B469)+IF($C$35=$S$23,1,0),1),ÍNDICES!$A:$DE,$Z$35+1))),"",IF(B469&gt;$D$19,1,VLOOKUP(DATE(YEAR(B469),MONTH(B469)+IF($C$35=$S$23,1,0),1),ÍNDICES!$A:$DE,$Z$35+1))))))</f>
        <v/>
      </c>
      <c r="D469" s="154" t="str">
        <f>IF(ISERROR(IF(OR($D$38=$Y$27,$B469=""),"",VLOOKUP(B469,ÍNDICES!A:DE,AF$35+1))),"",IF(OR($D$38=$Y$27,$B469=""),"",VLOOKUP(B469,ÍNDICES!A:DE,AF$35+1)))</f>
        <v/>
      </c>
      <c r="E469" s="153"/>
      <c r="F469" s="29" t="str">
        <f>IF(E469="","",IF($L$35="SELIC - TRIBUTOS",VLOOKUP(DATE(YEAR($D$19),MONTH($D$19)-1,1),ÍNDICES!$A:$DE,HLOOKUP($BL$25,ÍNDICES!$B$3:$T$4,2)+11)-VLOOKUP(E469,ÍNDICES!$A:$DE,HLOOKUP($BL$25,ÍNDICES!$B$3:$T$4,2)+11)+1%,IF(F$38=$W$26,$J$35,IF(ISERROR(IF(E469&gt;$D$19,1,VLOOKUP(DATE(YEAR(E469),MONTH(E469)+IF($C$35=$S$23,1,0),1),ÍNDICES!$A:$DE,$Z$35+1))),"",IF(E469&gt;$D$19,1,VLOOKUP(DATE(YEAR(E469),MONTH(E469)+IF($C$35=$S$23,1,0),1),ÍNDICES!$A:$DE,$Z$35+1))))))</f>
        <v/>
      </c>
      <c r="G469" s="155"/>
      <c r="H469" s="156" t="str">
        <f t="shared" si="77"/>
        <v/>
      </c>
      <c r="I469" s="29" t="str">
        <f t="shared" si="71"/>
        <v/>
      </c>
      <c r="J469" s="5">
        <f t="shared" si="72"/>
        <v>0</v>
      </c>
      <c r="K469" s="20">
        <f t="shared" ca="1" si="73"/>
        <v>0</v>
      </c>
      <c r="L469" s="5">
        <f t="shared" ca="1" si="74"/>
        <v>0</v>
      </c>
      <c r="M469" s="64">
        <f t="shared" si="78"/>
        <v>0</v>
      </c>
      <c r="N469" s="61">
        <f t="shared" ca="1" si="79"/>
        <v>0</v>
      </c>
      <c r="O469" s="5">
        <f t="shared" ca="1" si="80"/>
        <v>0</v>
      </c>
      <c r="P469" s="446" t="e">
        <f t="shared" si="75"/>
        <v>#VALUE!</v>
      </c>
      <c r="Q469" s="446" t="e">
        <f>IF(OR($B469="",MIN(Q$38,$D$19)&lt;MAX($P$34*($B469+IF($R$17="Distrato",$I$38-1,0)),IF(AND($L$37=0,$P$34=0),"",$L$37-1),IF($R$17="Distrato",$E469,0))),0,YEARFRAC(MAX($P$34*($B469+IF($R$17="Distrato",$I$38-1,0)),IF(AND($L$37=0,$P$34=0),"",$L$37-1),IF($R$17="Distrato",$E469,0)),MIN(Q$38,$D$19),$P$20))-SUM($P469:P469)</f>
        <v>#VALUE!</v>
      </c>
      <c r="R469" s="446" t="e">
        <f>IF(OR($B469="",MIN(R$38,$D$19)&lt;MAX($P$34*($B469+IF($R$17="Distrato",$I$38-1,0)),IF(AND($L$37=0,$P$34=0),"",$L$37-1),IF($R$17="Distrato",$E469,0))),0,YEARFRAC(MAX($P$34*($B469+IF($R$17="Distrato",$I$38-1,0)),IF(AND($L$37=0,$P$34=0),"",$L$37-1),IF($R$17="Distrato",$E469,0)),MIN(R$38,$D$19),$P$20))-SUM($P469:Q469)</f>
        <v>#VALUE!</v>
      </c>
      <c r="S469" s="446" t="e">
        <f>IF(OR($B469="",MIN(S$38,$D$19)&lt;MAX($P$34*($B469+IF($R$17="Distrato",$I$38-1,0)),IF(AND($L$37=0,$P$34=0),"",$L$37-1),IF($R$17="Distrato",$E469,0))),0,YEARFRAC(MAX($P$34*($B469+IF($R$17="Distrato",$I$38-1,0)),IF(AND($L$37=0,$P$34=0),"",$L$37-1),IF($R$17="Distrato",$E469,0)),MIN(S$38,$D$19),$P$20))-SUM($P469:R469)</f>
        <v>#VALUE!</v>
      </c>
      <c r="T469" s="446" t="e">
        <f>IF(OR($B469="",MIN(T$38,$D$19)&lt;MAX($P$34*($B469+IF($R$17="Distrato",$I$38-1,0)),IF(AND($L$37=0,$P$34=0),"",$L$37-1),IF($R$17="Distrato",$E469,0))),0,YEARFRAC(MAX($P$34*($B469+IF($R$17="Distrato",$I$38-1,0)),IF(AND($L$37=0,$P$34=0),"",$L$37-1),IF($R$17="Distrato",$E469,0)),MIN(T$38,$D$19),$P$20))-SUM($P469:S469)</f>
        <v>#VALUE!</v>
      </c>
      <c r="U469" s="446" t="e">
        <f>IF(OR($B469="",MIN(U$38,$D$19)&lt;MAX($P$34*($B469+IF($R$17="Distrato",$I$38-1,0)),IF(AND($L$37=0,$P$34=0),"",$L$37-1),IF($R$17="Distrato",$E469,0))),0,YEARFRAC(MAX($P$34*($B469+IF($R$17="Distrato",$I$38-1,0)),IF(AND($L$37=0,$P$34=0),"",$L$37-1),IF($R$17="Distrato",$E469,0)),MIN(U$38,$D$19),$P$20))-SUM($P469:T469)</f>
        <v>#VALUE!</v>
      </c>
      <c r="V469" s="446" t="e">
        <f>IF(OR($B469="",MIN(V$38,$D$19)&lt;MAX($P$34*($B469+IF($R$17="Distrato",$I$38-1,0)),IF(AND($L$37=0,$P$34=0),"",$L$37-1),IF($R$17="Distrato",$E469,0))),0,YEARFRAC(MAX($P$34*($B469+IF($R$17="Distrato",$I$38-1,0)),IF(AND($L$37=0,$P$34=0),"",$L$37-1),IF($R$17="Distrato",$E469,0)),MIN(V$38,$D$19),$P$20))-SUM($P469:U469)</f>
        <v>#VALUE!</v>
      </c>
      <c r="W469" s="446" t="e">
        <f>IF(OR($B469="",MIN(W$38,$D$19)&lt;MAX($P$34*($B469+IF($R$17="Distrato",$I$38-1,0)),IF(AND($L$37=0,$P$34=0),"",$L$37-1),IF($R$17="Distrato",$E469,0))),0,YEARFRAC(MAX($P$34*($B469+IF($R$17="Distrato",$I$38-1,0)),IF(AND($L$37=0,$P$34=0),"",$L$37-1),IF($R$17="Distrato",$E469,0)),MIN(W$38,$D$19),$P$20))-SUM($P469:V469)</f>
        <v>#VALUE!</v>
      </c>
      <c r="X469" s="446" t="e">
        <f>IF(OR($B469="",MIN(X$38,$D$19)&lt;MAX($P$34*($B469+IF($R$17="Distrato",$I$38-1,0)),IF(AND($L$37=0,$P$34=0),"",$L$37-1),IF($R$17="Distrato",$E469,0))),0,YEARFRAC(MAX($P$34*($B469+IF($R$17="Distrato",$I$38-1,0)),IF(AND($L$37=0,$P$34=0),"",$L$37-1),IF($R$17="Distrato",$E469,0)),MIN(X$38,$D$19),$P$20))-SUM($P469:W469)</f>
        <v>#VALUE!</v>
      </c>
      <c r="Y469" s="446" t="e">
        <f>IF(OR($B469="",MIN(Y$38,$D$19)&lt;MAX($P$34*($B469+IF($R$17="Distrato",$I$38-1,0)),IF(AND($L$37=0,$P$34=0),"",$L$37-1),IF($R$17="Distrato",$E469,0))),0,YEARFRAC(MAX($P$34*($B469+IF($R$17="Distrato",$I$38-1,0)),IF(AND($L$37=0,$P$34=0),"",$L$37-1),IF($R$17="Distrato",$E469,0)),MIN(Y$38,$D$19),$P$20))-SUM($P469:X469)</f>
        <v>#VALUE!</v>
      </c>
      <c r="Z469" s="446" t="e">
        <f>IF(OR($B469="",MIN(Z$38,$D$19)&lt;MAX($P$34*($B469+IF($R$17="Distrato",$I$38-1,0)),IF(AND($L$37=0,$P$34=0),"",$L$37-1),IF($R$17="Distrato",$E469,0))),0,YEARFRAC(MAX($P$34*($B469+IF($R$17="Distrato",$I$38-1,0)),IF(AND($L$37=0,$P$34=0),"",$L$37-1),IF($R$17="Distrato",$E469,0)),MIN(Z$38,$D$19),$P$20))-SUM($P469:Y469)</f>
        <v>#VALUE!</v>
      </c>
      <c r="AA469" s="446" t="e">
        <f>IF(OR($B469="",MIN(AA$38,$D$19)&lt;MAX($P$34*($B469+IF($R$17="Distrato",$I$38-1,0)),IF(AND($L$37=0,$P$34=0),"",$L$37-1),IF($R$17="Distrato",$E469,0))),0,YEARFRAC(MAX($P$34*($B469+IF($R$17="Distrato",$I$38-1,0)),IF(AND($L$37=0,$P$34=0),"",$L$37-1),IF($R$17="Distrato",$E469,0)),MIN(AA$38,$D$19),$P$20))-SUM($P469:Z469)</f>
        <v>#VALUE!</v>
      </c>
      <c r="AB469" s="446" t="e">
        <f>IF(OR($B469="",MIN(AB$38,$D$19)&lt;MAX($P$34*($B469+IF($R$17="Distrato",$I$38-1,0)),IF(AND($L$37=0,$P$34=0),"",$L$37-1),IF($R$17="Distrato",$E469,0))),0,YEARFRAC(MAX($P$34*($B469+IF($R$17="Distrato",$I$38-1,0)),IF(AND($L$37=0,$P$34=0),"",$L$37-1),IF($R$17="Distrato",$E469,0)),MIN(AB$38,$D$19),$P$20))-SUM($P469:AA469)</f>
        <v>#VALUE!</v>
      </c>
      <c r="AC469" s="446" t="e">
        <f>IF(OR($B469="",MIN(AC$38,$D$19)&lt;MAX($P$34*($B469+IF($R$17="Distrato",$I$38-1,0)),IF(AND($L$37=0,$P$34=0),"",$L$37-1),IF($R$17="Distrato",$E469,0))),0,YEARFRAC(MAX($P$34*($B469+IF($R$17="Distrato",$I$38-1,0)),IF(AND($L$37=0,$P$34=0),"",$L$37-1),IF($R$17="Distrato",$E469,0)),MIN(AC$38,$D$19),$P$20))-SUM($P469:AB469)</f>
        <v>#VALUE!</v>
      </c>
      <c r="AD469" s="446" t="e">
        <f>IF(OR($B469="",MIN(AD$38,$D$19)&lt;MAX($P$34*($B469+IF($R$17="Distrato",$I$38-1,0)),IF(AND($L$37=0,$P$34=0),"",$L$37-1),IF($R$17="Distrato",$E469,0))),0,YEARFRAC(MAX($P$34*($B469+IF($R$17="Distrato",$I$38-1,0)),IF(AND($L$37=0,$P$34=0),"",$L$37-1),IF($R$17="Distrato",$E469,0)),MIN(AD$38,$D$19),$P$20))-SUM($P469:AC469)</f>
        <v>#VALUE!</v>
      </c>
      <c r="AE469" s="446" t="e">
        <f>IF(OR($B469="",MIN(AE$38,$D$19)&lt;MAX($P$34*($B469+IF($R$17="Distrato",$I$38-1,0)),IF(AND($L$37=0,$P$34=0),"",$L$37-1),IF($R$17="Distrato",$E469,0))),0,YEARFRAC(MAX($P$34*($B469+IF($R$17="Distrato",$I$38-1,0)),IF(AND($L$37=0,$P$34=0),"",$L$37-1),IF($R$17="Distrato",$E469,0)),MIN(AE$38,$D$19),$P$20))-SUM($P469:AD469)</f>
        <v>#VALUE!</v>
      </c>
      <c r="AF469" s="446" t="e">
        <f>IF(OR($B469="",MIN(AF$38,$D$19)&lt;MAX($P$34*($B469+IF($R$17="Distrato",$I$38-1,0)),IF(AND($L$37=0,$P$34=0),"",$L$37-1),IF($R$17="Distrato",$E469,0))),0,YEARFRAC(MAX($P$34*($B469+IF($R$17="Distrato",$I$38-1,0)),IF(AND($L$37=0,$P$34=0),"",$L$37-1),IF($R$17="Distrato",$E469,0)),MIN(AF$38,$D$19),$P$20))-SUM($P469:AE469)</f>
        <v>#VALUE!</v>
      </c>
      <c r="AG469" s="446" t="e">
        <f>IF(OR($B469="",MIN(AG$38,$D$19)&lt;MAX($P$34*($B469+IF($R$17="Distrato",$I$38-1,0)),IF(AND($L$37=0,$P$34=0),"",$L$37-1),IF($R$17="Distrato",$E469,0))),0,YEARFRAC(MAX($P$34*($B469+IF($R$17="Distrato",$I$38-1,0)),IF(AND($L$37=0,$P$34=0),"",$L$37-1),IF($R$17="Distrato",$E469,0)),MIN(AG$38,$D$19),$P$20))-SUM($P469:AF469)</f>
        <v>#VALUE!</v>
      </c>
      <c r="AH469" s="446" t="e">
        <f>IF(OR($B469="",MIN(AH$38,$D$19)&lt;MAX($P$34*($B469+IF($R$17="Distrato",$I$38-1,0)),IF(AND($L$37=0,$P$34=0),"",$L$37-1),IF($R$17="Distrato",$E469,0))),0,YEARFRAC(MAX($P$34*($B469+IF($R$17="Distrato",$I$38-1,0)),IF(AND($L$37=0,$P$34=0),"",$L$37-1),IF($R$17="Distrato",$E469,0)),MIN(AH$38,$D$19),$P$20))-SUM($P469:AG469)</f>
        <v>#VALUE!</v>
      </c>
      <c r="AI469" s="446" t="e">
        <f>IF(OR($B469="",MIN(AI$38,$D$19)&lt;MAX($P$34*($B469+IF($R$17="Distrato",$I$38-1,0)),IF(AND($L$37=0,$P$34=0),"",$L$37-1),IF($R$17="Distrato",$E469,0))),0,YEARFRAC(MAX($P$34*($B469+IF($R$17="Distrato",$I$38-1,0)),IF(AND($L$37=0,$P$34=0),"",$L$37-1),IF($R$17="Distrato",$E469,0)),MIN(AI$38,$D$19),$P$20))-SUM($P469:AH469)</f>
        <v>#VALUE!</v>
      </c>
      <c r="AJ469" s="446" t="e">
        <f>IF(OR($B469="",MIN(AJ$38,$D$19)&lt;MAX($P$34*($B469+IF($R$17="Distrato",$I$38-1,0)),IF(AND($L$37=0,$P$34=0),"",$L$37-1),IF($R$17="Distrato",$E469,0))),0,YEARFRAC(MAX($P$34*($B469+IF($R$17="Distrato",$I$38-1,0)),IF(AND($L$37=0,$P$34=0),"",$L$37-1),IF($R$17="Distrato",$E469,0)),MIN(AJ$38,$D$19),$P$20))-SUM($P469:AI469)</f>
        <v>#VALUE!</v>
      </c>
      <c r="AK469" s="446" t="e">
        <f>IF(OR($B469="",MIN(AK$38,$D$19)&lt;MAX($P$34*($B469+IF($R$17="Distrato",$I$38-1,0)),IF(AND($L$37=0,$P$34=0),"",$L$37-1),IF($R$17="Distrato",$E469,0))),0,YEARFRAC(MAX($P$34*($B469+IF($R$17="Distrato",$I$38-1,0)),IF(AND($L$37=0,$P$34=0),"",$L$37-1),IF($R$17="Distrato",$E469,0)),MIN(AK$38,$D$19),$P$20))-SUM($P469:AJ469)</f>
        <v>#VALUE!</v>
      </c>
      <c r="AL469" s="446" t="e">
        <f>IF(OR($B469="",MIN(AL$38,$D$19)&lt;MAX($P$34*($B469+IF($R$17="Distrato",$I$38-1,0)),IF(AND($L$37=0,$P$34=0),"",$L$37-1),IF($R$17="Distrato",$E469,0))),0,YEARFRAC(MAX($P$34*($B469+IF($R$17="Distrato",$I$38-1,0)),IF(AND($L$37=0,$P$34=0),"",$L$37-1),IF($R$17="Distrato",$E469,0)),MIN(AL$38,$D$19),$P$20))-SUM($P469:AK469)</f>
        <v>#VALUE!</v>
      </c>
      <c r="AM469" s="446" t="e">
        <f>IF(OR($B469="",MIN(AM$38,$D$19)&lt;MAX($P$34*($B469+IF($R$17="Distrato",$I$38-1,0)),IF(AND($L$37=0,$P$34=0),"",$L$37-1),IF($R$17="Distrato",$E469,0))),0,YEARFRAC(MAX($P$34*($B469+IF($R$17="Distrato",$I$38-1,0)),IF(AND($L$37=0,$P$34=0),"",$L$37-1),IF($R$17="Distrato",$E469,0)),MIN(AM$38,$D$19),$P$20))-SUM($P469:AL469)</f>
        <v>#VALUE!</v>
      </c>
      <c r="AN469" s="446" t="e">
        <f>IF(OR($B469="",MIN(AN$38,$D$19)&lt;MAX($P$34*($B469+IF($R$17="Distrato",$I$38-1,0)),IF(AND($L$37=0,$P$34=0),"",$L$37-1),IF($R$17="Distrato",$E469,0))),0,YEARFRAC(MAX($P$34*($B469+IF($R$17="Distrato",$I$38-1,0)),IF(AND($L$37=0,$P$34=0),"",$L$37-1),IF($R$17="Distrato",$E469,0)),MIN(AN$38,$D$19),$P$20))-SUM($P469:AM469)</f>
        <v>#VALUE!</v>
      </c>
      <c r="AO469" s="446" t="e">
        <f>IF(OR($B469="",MIN(AO$38,$D$19)&lt;MAX($P$34*($B469+IF($R$17="Distrato",$I$38-1,0)),IF(AND($L$37=0,$P$34=0),"",$L$37-1),IF($R$17="Distrato",$E469,0))),0,YEARFRAC(MAX($P$34*($B469+IF($R$17="Distrato",$I$38-1,0)),IF(AND($L$37=0,$P$34=0),"",$L$37-1),IF($R$17="Distrato",$E469,0)),MIN(AO$38,$D$19),$P$20))-SUM($P469:AN469)</f>
        <v>#VALUE!</v>
      </c>
      <c r="AP469" s="446" t="e">
        <f>IF(OR($B469="",MIN(AP$38,$D$19)&lt;MAX($P$34*($B469+IF($R$17="Distrato",$I$38-1,0)),IF(AND($L$37=0,$P$34=0),"",$L$37-1),IF($R$17="Distrato",$E469,0))),0,YEARFRAC(MAX($P$34*($B469+IF($R$17="Distrato",$I$38-1,0)),IF(AND($L$37=0,$P$34=0),"",$L$37-1),IF($R$17="Distrato",$E469,0)),MIN(AP$38,$D$19),$P$20))-SUM($P469:AO469)</f>
        <v>#VALUE!</v>
      </c>
      <c r="AQ469" s="446" t="e">
        <f>IF(OR($B469="",MIN(AQ$38,$D$19)&lt;MAX($P$34*($B469+IF($R$17="Distrato",$I$38-1,0)),IF(AND($L$37=0,$P$34=0),"",$L$37-1),IF($R$17="Distrato",$E469,0))),0,YEARFRAC(MAX($P$34*($B469+IF($R$17="Distrato",$I$38-1,0)),IF(AND($L$37=0,$P$34=0),"",$L$37-1),IF($R$17="Distrato",$E469,0)),MIN(AQ$38,$D$19),$P$20))-SUM($P469:AP469)</f>
        <v>#VALUE!</v>
      </c>
      <c r="AR469" s="446" t="e">
        <f>IF(OR($B469="",MIN(AR$38,$D$19)&lt;MAX($P$34*($B469+IF($R$17="Distrato",$I$38-1,0)),IF(AND($L$37=0,$P$34=0),"",$L$37-1),IF($R$17="Distrato",$E469,0))),0,YEARFRAC(MAX($P$34*($B469+IF($R$17="Distrato",$I$38-1,0)),IF(AND($L$37=0,$P$34=0),"",$L$37-1),IF($R$17="Distrato",$E469,0)),MIN(AR$38,$D$19),$P$20))-SUM($P469:AQ469)</f>
        <v>#VALUE!</v>
      </c>
      <c r="AS469" s="446" t="e">
        <f>IF(OR($B469="",MIN(AS$38,$D$19)&lt;MAX($P$34*($B469+IF($R$17="Distrato",$I$38-1,0)),IF(AND($L$37=0,$P$34=0),"",$L$37-1),IF($R$17="Distrato",$E469,0))),0,YEARFRAC(MAX($P$34*($B469+IF($R$17="Distrato",$I$38-1,0)),IF(AND($L$37=0,$P$34=0),"",$L$37-1),IF($R$17="Distrato",$E469,0)),MIN(AS$38,$D$19),$P$20))-SUM($P469:AR469)</f>
        <v>#VALUE!</v>
      </c>
      <c r="AT469" s="446" t="e">
        <f>IF(OR($B469="",MIN(AT$38,$D$19)&lt;MAX($P$34*($B469+IF($R$17="Distrato",$I$38-1,0)),IF(AND($L$37=0,$P$34=0),"",$L$37-1),IF($R$17="Distrato",$E469,0))),0,YEARFRAC(MAX($P$34*($B469+IF($R$17="Distrato",$I$38-1,0)),IF(AND($L$37=0,$P$34=0),"",$L$37-1),IF($R$17="Distrato",$E469,0)),MIN(AT$38,$D$19),$P$20))-SUM($P469:AS469)</f>
        <v>#VALUE!</v>
      </c>
      <c r="AU469" s="446" t="e">
        <f>IF(OR($B469="",MIN(AU$38,$D$19)&lt;MAX($P$34*($B469+IF($R$17="Distrato",$I$38-1,0)),IF(AND($L$37=0,$P$34=0),"",$L$37-1),IF($R$17="Distrato",$E469,0))),0,YEARFRAC(MAX($P$34*($B469+IF($R$17="Distrato",$I$38-1,0)),IF(AND($L$37=0,$P$34=0),"",$L$37-1),IF($R$17="Distrato",$E469,0)),MIN(AU$38,$D$19),$P$20))-SUM($P469:AT469)</f>
        <v>#VALUE!</v>
      </c>
      <c r="AV469" s="446" t="e">
        <f>IF(OR($B469="",MIN(AV$38,$D$19)&lt;MAX($P$34*($B469+IF($R$17="Distrato",$I$38-1,0)),IF(AND($L$37=0,$P$34=0),"",$L$37-1),IF($R$17="Distrato",$E469,0))),0,YEARFRAC(MAX($P$34*($B469+IF($R$17="Distrato",$I$38-1,0)),IF(AND($L$37=0,$P$34=0),"",$L$37-1),IF($R$17="Distrato",$E469,0)),MIN(AV$38,$D$19),$P$20))-SUM($P469:AU469)</f>
        <v>#VALUE!</v>
      </c>
      <c r="AW469" s="446" t="e">
        <f>IF(OR($B469="",MIN(AW$38,$D$19)&lt;MAX($P$34*($B469+IF($R$17="Distrato",$I$38-1,0)),IF(AND($L$37=0,$P$34=0),"",$L$37-1),IF($R$17="Distrato",$E469,0))),0,YEARFRAC(MAX($P$34*($B469+IF($R$17="Distrato",$I$38-1,0)),IF(AND($L$37=0,$P$34=0),"",$L$37-1),IF($R$17="Distrato",$E469,0)),MIN(AW$38,$D$19),$P$20))-SUM($P469:AV469)</f>
        <v>#VALUE!</v>
      </c>
      <c r="AX469" s="446" t="e">
        <f>IF(OR($B469="",MIN(AX$38,$D$19)&lt;MAX($P$34*($B469+IF($R$17="Distrato",$I$38-1,0)),IF(AND($L$37=0,$P$34=0),"",$L$37-1),IF($R$17="Distrato",$E469,0))),0,YEARFRAC(MAX($P$34*($B469+IF($R$17="Distrato",$I$38-1,0)),IF(AND($L$37=0,$P$34=0),"",$L$37-1),IF($R$17="Distrato",$E469,0)),MIN(AX$38,$D$19),$P$20))-SUM($P469:AW469)</f>
        <v>#VALUE!</v>
      </c>
      <c r="AY469" s="446" t="e">
        <f>IF(OR($B469="",MIN(AY$38,$D$19)&lt;MAX($P$34*($B469+IF($R$17="Distrato",$I$38-1,0)),IF(AND($L$37=0,$P$34=0),"",$L$37-1),IF($R$17="Distrato",$E469,0))),0,YEARFRAC(MAX($P$34*($B469+IF($R$17="Distrato",$I$38-1,0)),IF(AND($L$37=0,$P$34=0),"",$L$37-1),IF($R$17="Distrato",$E469,0)),MIN(AY$38,$D$19),$P$20))-SUM($P469:AX469)</f>
        <v>#VALUE!</v>
      </c>
      <c r="AZ469" s="446" t="e">
        <f>IF(OR($B469="",MIN(AZ$38,$D$19)&lt;MAX($P$34*($B469+IF($R$17="Distrato",$I$38-1,0)),IF(AND($L$37=0,$P$34=0),"",$L$37-1),IF($R$17="Distrato",$E469,0))),0,YEARFRAC(MAX($P$34*($B469+IF($R$17="Distrato",$I$38-1,0)),IF(AND($L$37=0,$P$34=0),"",$L$37-1),IF($R$17="Distrato",$E469,0)),MIN(AZ$38,$D$19),$P$20))-SUM($P469:AY469)</f>
        <v>#VALUE!</v>
      </c>
      <c r="BA469" s="446" t="e">
        <f>IF(OR($B469="",MIN(BA$38,$D$19)&lt;MAX($P$34*($B469+IF($R$17="Distrato",$I$38-1,0)),IF(AND($L$37=0,$P$34=0),"",$L$37-1),IF($R$17="Distrato",$E469,0))),0,YEARFRAC(MAX($P$34*($B469+IF($R$17="Distrato",$I$38-1,0)),IF(AND($L$37=0,$P$34=0),"",$L$37-1),IF($R$17="Distrato",$E469,0)),MIN(BA$38,$D$19),$P$20))-SUM($P469:AZ469)</f>
        <v>#VALUE!</v>
      </c>
      <c r="BB469" s="447"/>
      <c r="BF469" s="446">
        <f t="shared" si="76"/>
        <v>0</v>
      </c>
      <c r="BG469" s="446">
        <f>IF($E469=0,0,IF(MIN(BG$38,$E469)&lt;MAX($P$34*($B469+$I$38-1),IF(AND($L$37=0,$P$34=0),"",$L$37-1)),0,YEARFRAC(MAX($P$34*($B469+$I$38-1),IF(AND($L$37=0,$P$34=0),"",$L$37-1)),MIN(BG$38,$E469),$P$20))-SUM($BF469:BF469))</f>
        <v>0</v>
      </c>
      <c r="BH469" s="446">
        <f>IF($E469=0,0,IF(MIN(BH$38,$E469)&lt;MAX($P$34*($B469+$I$38-1),IF(AND($L$37=0,$P$34=0),"",$L$37-1)),0,YEARFRAC(MAX($P$34*($B469+$I$38-1),IF(AND($L$37=0,$P$34=0),"",$L$37-1)),MIN(BH$38,$E469),$P$20))-SUM($BF469:BG469))</f>
        <v>0</v>
      </c>
      <c r="BI469" s="446">
        <f>IF($E469=0,0,IF(MIN(BI$38,$E469)&lt;MAX($P$34*($B469+$I$38-1),IF(AND($L$37=0,$P$34=0),"",$L$37-1)),0,YEARFRAC(MAX($P$34*($B469+$I$38-1),IF(AND($L$37=0,$P$34=0),"",$L$37-1)),MIN(BI$38,$E469),$P$20))-SUM($BF469:BH469))</f>
        <v>0</v>
      </c>
      <c r="BJ469" s="446">
        <f>IF($E469=0,0,IF(MIN(BJ$38,$E469)&lt;MAX($P$34*($B469+$I$38-1),IF(AND($L$37=0,$P$34=0),"",$L$37-1)),0,YEARFRAC(MAX($P$34*($B469+$I$38-1),IF(AND($L$37=0,$P$34=0),"",$L$37-1)),MIN(BJ$38,$E469),$P$20))-SUM($BF469:BI469))</f>
        <v>0</v>
      </c>
      <c r="BK469" s="446">
        <f>IF($E469=0,0,IF(MIN(BK$38,$E469)&lt;MAX($P$34*($B469+$I$38-1),IF(AND($L$37=0,$P$34=0),"",$L$37-1)),0,YEARFRAC(MAX($P$34*($B469+$I$38-1),IF(AND($L$37=0,$P$34=0),"",$L$37-1)),MIN(BK$38,$E469),$P$20))-SUM($BF469:BJ469))</f>
        <v>0</v>
      </c>
      <c r="BL469" s="446">
        <f>IF($E469=0,0,IF(MIN(BL$38,$E469)&lt;MAX($P$34*($B469+$I$38-1),IF(AND($L$37=0,$P$34=0),"",$L$37-1)),0,YEARFRAC(MAX($P$34*($B469+$I$38-1),IF(AND($L$37=0,$P$34=0),"",$L$37-1)),MIN(BL$38,$E469),$P$20))-SUM($BF469:BK469))</f>
        <v>0</v>
      </c>
      <c r="BM469" s="446">
        <f>IF($E469=0,0,IF(MIN(BM$38,$E469)&lt;MAX($P$34*($B469+$I$38-1),IF(AND($L$37=0,$P$34=0),"",$L$37-1)),0,YEARFRAC(MAX($P$34*($B469+$I$38-1),IF(AND($L$37=0,$P$34=0),"",$L$37-1)),MIN(BM$38,$E469),$P$20))-SUM($BF469:BL469))</f>
        <v>0</v>
      </c>
      <c r="BN469" s="446">
        <f>IF($E469=0,0,IF(MIN(BN$38,$E469)&lt;MAX($P$34*($B469+$I$38-1),IF(AND($L$37=0,$P$34=0),"",$L$37-1)),0,YEARFRAC(MAX($P$34*($B469+$I$38-1),IF(AND($L$37=0,$P$34=0),"",$L$37-1)),MIN(BN$38,$E469),$P$20))-SUM($BF469:BM469))</f>
        <v>0</v>
      </c>
      <c r="BO469" s="446">
        <f>IF($E469=0,0,IF(MIN(BO$38,$E469)&lt;MAX($P$34*($B469+$I$38-1),IF(AND($L$37=0,$P$34=0),"",$L$37-1)),0,YEARFRAC(MAX($P$34*($B469+$I$38-1),IF(AND($L$37=0,$P$34=0),"",$L$37-1)),MIN(BO$38,$E469),$P$20))-SUM($BF469:BN469))</f>
        <v>0</v>
      </c>
      <c r="BP469" s="446">
        <f>IF($E469=0,0,IF(MIN(BP$38,$E469)&lt;MAX($P$34*($B469+$I$38-1),IF(AND($L$37=0,$P$34=0),"",$L$37-1)),0,YEARFRAC(MAX($P$34*($B469+$I$38-1),IF(AND($L$37=0,$P$34=0),"",$L$37-1)),MIN(BP$38,$E469),$P$20))-SUM($BF469:BO469))</f>
        <v>0</v>
      </c>
      <c r="BQ469" s="446">
        <f>IF($E469=0,0,IF(MIN(BQ$38,$E469)&lt;MAX($P$34*($B469+$I$38-1),IF(AND($L$37=0,$P$34=0),"",$L$37-1)),0,YEARFRAC(MAX($P$34*($B469+$I$38-1),IF(AND($L$37=0,$P$34=0),"",$L$37-1)),MIN(BQ$38,$E469),$P$20))-SUM($BF469:BP469))</f>
        <v>0</v>
      </c>
      <c r="BR469" s="446">
        <f>IF($E469=0,0,IF(MIN(BR$38,$E469)&lt;MAX($P$34*($B469+$I$38-1),IF(AND($L$37=0,$P$34=0),"",$L$37-1)),0,YEARFRAC(MAX($P$34*($B469+$I$38-1),IF(AND($L$37=0,$P$34=0),"",$L$37-1)),MIN(BR$38,$E469),$P$20))-SUM($BF469:BQ469))</f>
        <v>0</v>
      </c>
      <c r="BS469" s="446">
        <f>IF($E469=0,0,IF(MIN(BS$38,$E469)&lt;MAX($P$34*($B469+$I$38-1),IF(AND($L$37=0,$P$34=0),"",$L$37-1)),0,YEARFRAC(MAX($P$34*($B469+$I$38-1),IF(AND($L$37=0,$P$34=0),"",$L$37-1)),MIN(BS$38,$E469),$P$20))-SUM($BF469:BR469))</f>
        <v>0</v>
      </c>
      <c r="BT469" s="446">
        <f>IF($E469=0,0,IF(MIN(BT$38,$E469)&lt;MAX($P$34*($B469+$I$38-1),IF(AND($L$37=0,$P$34=0),"",$L$37-1)),0,YEARFRAC(MAX($P$34*($B469+$I$38-1),IF(AND($L$37=0,$P$34=0),"",$L$37-1)),MIN(BT$38,$E469),$P$20))-SUM($BF469:BS469))</f>
        <v>0</v>
      </c>
      <c r="BU469" s="446">
        <f>IF($E469=0,0,IF(MIN(BU$38,$E469)&lt;MAX($P$34*($B469+$I$38-1),IF(AND($L$37=0,$P$34=0),"",$L$37-1)),0,YEARFRAC(MAX($P$34*($B469+$I$38-1),IF(AND($L$37=0,$P$34=0),"",$L$37-1)),MIN(BU$38,$E469),$P$20))-SUM($BF469:BT469))</f>
        <v>0</v>
      </c>
      <c r="BV469" s="446">
        <f>IF($E469=0,0,IF(MIN(BV$38,$E469)&lt;MAX($P$34*($B469+$I$38-1),IF(AND($L$37=0,$P$34=0),"",$L$37-1)),0,YEARFRAC(MAX($P$34*($B469+$I$38-1),IF(AND($L$37=0,$P$34=0),"",$L$37-1)),MIN(BV$38,$E469),$P$20))-SUM($BF469:BU469))</f>
        <v>0</v>
      </c>
      <c r="BW469" s="446">
        <f>IF($E469=0,0,IF(MIN(BW$38,$E469)&lt;MAX($P$34*($B469+$I$38-1),IF(AND($L$37=0,$P$34=0),"",$L$37-1)),0,YEARFRAC(MAX($P$34*($B469+$I$38-1),IF(AND($L$37=0,$P$34=0),"",$L$37-1)),MIN(BW$38,$E469),$P$20))-SUM($BF469:BV469))</f>
        <v>0</v>
      </c>
      <c r="BX469" s="446">
        <f>IF($E469=0,0,IF(MIN(BX$38,$E469)&lt;MAX($P$34*($B469+$I$38-1),IF(AND($L$37=0,$P$34=0),"",$L$37-1)),0,YEARFRAC(MAX($P$34*($B469+$I$38-1),IF(AND($L$37=0,$P$34=0),"",$L$37-1)),MIN(BX$38,$E469),$P$20))-SUM($BF469:BW469))</f>
        <v>0</v>
      </c>
      <c r="BY469" s="446">
        <f>IF($E469=0,0,IF(MIN(BY$38,$E469)&lt;MAX($P$34*($B469+$I$38-1),IF(AND($L$37=0,$P$34=0),"",$L$37-1)),0,YEARFRAC(MAX($P$34*($B469+$I$38-1),IF(AND($L$37=0,$P$34=0),"",$L$37-1)),MIN(BY$38,$E469),$P$20))-SUM($BF469:BX469))</f>
        <v>0</v>
      </c>
      <c r="BZ469" s="446">
        <f>IF($E469=0,0,IF(MIN(BZ$38,$E469)&lt;MAX($P$34*($B469+$I$38-1),IF(AND($L$37=0,$P$34=0),"",$L$37-1)),0,YEARFRAC(MAX($P$34*($B469+$I$38-1),IF(AND($L$37=0,$P$34=0),"",$L$37-1)),MIN(BZ$38,$E469),$P$20))-SUM($BF469:BY469))</f>
        <v>0</v>
      </c>
      <c r="CA469" s="446">
        <f>IF($E469=0,0,IF(MIN(CA$38,$E469)&lt;MAX($P$34*($B469+$I$38-1),IF(AND($L$37=0,$P$34=0),"",$L$37-1)),0,YEARFRAC(MAX($P$34*($B469+$I$38-1),IF(AND($L$37=0,$P$34=0),"",$L$37-1)),MIN(CA$38,$E469),$P$20))-SUM($BF469:BZ469))</f>
        <v>0</v>
      </c>
      <c r="CB469" s="446">
        <f>IF($E469=0,0,IF(MIN(CB$38,$E469)&lt;MAX($P$34*($B469+$I$38-1),IF(AND($L$37=0,$P$34=0),"",$L$37-1)),0,YEARFRAC(MAX($P$34*($B469+$I$38-1),IF(AND($L$37=0,$P$34=0),"",$L$37-1)),MIN(CB$38,$E469),$P$20))-SUM($BF469:CA469))</f>
        <v>0</v>
      </c>
      <c r="CC469" s="446">
        <f>IF($E469=0,0,IF(MIN(CC$38,$E469)&lt;MAX($P$34*($B469+$I$38-1),IF(AND($L$37=0,$P$34=0),"",$L$37-1)),0,YEARFRAC(MAX($P$34*($B469+$I$38-1),IF(AND($L$37=0,$P$34=0),"",$L$37-1)),MIN(CC$38,$E469),$P$20))-SUM($BF469:CB469))</f>
        <v>0</v>
      </c>
      <c r="CD469" s="446">
        <f>IF($E469=0,0,IF(MIN(CD$38,$E469)&lt;MAX($P$34*($B469+$I$38-1),IF(AND($L$37=0,$P$34=0),"",$L$37-1)),0,YEARFRAC(MAX($P$34*($B469+$I$38-1),IF(AND($L$37=0,$P$34=0),"",$L$37-1)),MIN(CD$38,$E469),$P$20))-SUM($BF469:CC469))</f>
        <v>0</v>
      </c>
      <c r="CE469" s="446">
        <f>IF($E469=0,0,IF(MIN(CE$38,$E469)&lt;MAX($P$34*($B469+$I$38-1),IF(AND($L$37=0,$P$34=0),"",$L$37-1)),0,YEARFRAC(MAX($P$34*($B469+$I$38-1),IF(AND($L$37=0,$P$34=0),"",$L$37-1)),MIN(CE$38,$E469),$P$20))-SUM($BF469:CD469))</f>
        <v>0</v>
      </c>
      <c r="CF469" s="446">
        <f>IF($E469=0,0,IF(MIN(CF$38,$E469)&lt;MAX($P$34*($B469+$I$38-1),IF(AND($L$37=0,$P$34=0),"",$L$37-1)),0,YEARFRAC(MAX($P$34*($B469+$I$38-1),IF(AND($L$37=0,$P$34=0),"",$L$37-1)),MIN(CF$38,$E469),$P$20))-SUM($BF469:CE469))</f>
        <v>0</v>
      </c>
      <c r="CG469" s="446">
        <f>IF($E469=0,0,IF(MIN(CG$38,$E469)&lt;MAX($P$34*($B469+$I$38-1),IF(AND($L$37=0,$P$34=0),"",$L$37-1)),0,YEARFRAC(MAX($P$34*($B469+$I$38-1),IF(AND($L$37=0,$P$34=0),"",$L$37-1)),MIN(CG$38,$E469),$P$20))-SUM($BF469:CF469))</f>
        <v>0</v>
      </c>
      <c r="CH469" s="446">
        <f>IF($E469=0,0,IF(MIN(CH$38,$E469)&lt;MAX($P$34*($B469+$I$38-1),IF(AND($L$37=0,$P$34=0),"",$L$37-1)),0,YEARFRAC(MAX($P$34*($B469+$I$38-1),IF(AND($L$37=0,$P$34=0),"",$L$37-1)),MIN(CH$38,$E469),$P$20))-SUM($BF469:CG469))</f>
        <v>0</v>
      </c>
      <c r="CI469" s="446">
        <f>IF($E469=0,0,IF(MIN(CI$38,$E469)&lt;MAX($P$34*($B469+$I$38-1),IF(AND($L$37=0,$P$34=0),"",$L$37-1)),0,YEARFRAC(MAX($P$34*($B469+$I$38-1),IF(AND($L$37=0,$P$34=0),"",$L$37-1)),MIN(CI$38,$E469),$P$20))-SUM($BF469:CH469))</f>
        <v>0</v>
      </c>
      <c r="CJ469" s="446">
        <f>IF($E469=0,0,IF(MIN(CJ$38,$E469)&lt;MAX($P$34*($B469+$I$38-1),IF(AND($L$37=0,$P$34=0),"",$L$37-1)),0,YEARFRAC(MAX($P$34*($B469+$I$38-1),IF(AND($L$37=0,$P$34=0),"",$L$37-1)),MIN(CJ$38,$E469),$P$20))-SUM($BF469:CI469))</f>
        <v>0</v>
      </c>
      <c r="CK469" s="446">
        <f>IF($E469=0,0,IF(MIN(CK$38,$E469)&lt;MAX($P$34*($B469+$I$38-1),IF(AND($L$37=0,$P$34=0),"",$L$37-1)),0,YEARFRAC(MAX($P$34*($B469+$I$38-1),IF(AND($L$37=0,$P$34=0),"",$L$37-1)),MIN(CK$38,$E469),$P$20))-SUM($BF469:CJ469))</f>
        <v>0</v>
      </c>
      <c r="CL469" s="446">
        <f>IF($E469=0,0,IF(MIN(CL$38,$E469)&lt;MAX($P$34*($B469+$I$38-1),IF(AND($L$37=0,$P$34=0),"",$L$37-1)),0,YEARFRAC(MAX($P$34*($B469+$I$38-1),IF(AND($L$37=0,$P$34=0),"",$L$37-1)),MIN(CL$38,$E469),$P$20))-SUM($BF469:CK469))</f>
        <v>0</v>
      </c>
      <c r="CM469" s="446">
        <f>IF($E469=0,0,IF(MIN(CM$38,$E469)&lt;MAX($P$34*($B469+$I$38-1),IF(AND($L$37=0,$P$34=0),"",$L$37-1)),0,YEARFRAC(MAX($P$34*($B469+$I$38-1),IF(AND($L$37=0,$P$34=0),"",$L$37-1)),MIN(CM$38,$E469),$P$20))-SUM($BF469:CL469))</f>
        <v>0</v>
      </c>
      <c r="CN469" s="446">
        <f>IF($E469=0,0,IF(MIN(CN$38,$E469)&lt;MAX($P$34*($B469+$I$38-1),IF(AND($L$37=0,$P$34=0),"",$L$37-1)),0,YEARFRAC(MAX($P$34*($B469+$I$38-1),IF(AND($L$37=0,$P$34=0),"",$L$37-1)),MIN(CN$38,$E469),$P$20))-SUM($BF469:CM469))</f>
        <v>0</v>
      </c>
      <c r="CO469" s="446">
        <f>IF($E469=0,0,IF(MIN(CO$38,$E469)&lt;MAX($P$34*($B469+$I$38-1),IF(AND($L$37=0,$P$34=0),"",$L$37-1)),0,YEARFRAC(MAX($P$34*($B469+$I$38-1),IF(AND($L$37=0,$P$34=0),"",$L$37-1)),MIN(CO$38,$E469),$P$20))-SUM($BF469:CN469))</f>
        <v>0</v>
      </c>
      <c r="CP469" s="446">
        <f>IF($E469=0,0,IF(MIN(CP$38,$E469)&lt;MAX($P$34*($B469+$I$38-1),IF(AND($L$37=0,$P$34=0),"",$L$37-1)),0,YEARFRAC(MAX($P$34*($B469+$I$38-1),IF(AND($L$37=0,$P$34=0),"",$L$37-1)),MIN(CP$38,$E469),$P$20))-SUM($BF469:CO469))</f>
        <v>0</v>
      </c>
      <c r="CQ469" s="446">
        <f>IF($E469=0,0,IF(MIN(CQ$38,$E469)&lt;MAX($P$34*($B469+$I$38-1),IF(AND($L$37=0,$P$34=0),"",$L$37-1)),0,YEARFRAC(MAX($P$34*($B469+$I$38-1),IF(AND($L$37=0,$P$34=0),"",$L$37-1)),MIN(CQ$38,$E469),$P$20))-SUM($BF469:CP469))</f>
        <v>0</v>
      </c>
    </row>
    <row r="470" spans="1:95" s="446" customFormat="1" ht="11.25" hidden="1" customHeight="1" x14ac:dyDescent="0.2">
      <c r="A470" s="152"/>
      <c r="B470" s="153" t="str">
        <f t="shared" si="81"/>
        <v/>
      </c>
      <c r="C470" s="29" t="str">
        <f>IF(B470="","",IF($L$35="SELIC - TRIBUTOS",VLOOKUP(DATE(YEAR($D$19),MONTH($D$19)-1,1),ÍNDICES!$A:$DE,HLOOKUP($BL$25,ÍNDICES!$B$3:$T$4,2)+11)-VLOOKUP(B470,ÍNDICES!$A:$DE,HLOOKUP($BL$25,ÍNDICES!$B$3:$T$4,2)+11)+1%,IF(C$38=$W$26,$J$35,IF(ISERROR(IF(B470&gt;$D$19,1,VLOOKUP(DATE(YEAR(B470),MONTH(B470)+IF($C$35=$S$23,1,0),1),ÍNDICES!$A:$DE,$Z$35+1))),"",IF(B470&gt;$D$19,1,VLOOKUP(DATE(YEAR(B470),MONTH(B470)+IF($C$35=$S$23,1,0),1),ÍNDICES!$A:$DE,$Z$35+1))))))</f>
        <v/>
      </c>
      <c r="D470" s="154" t="str">
        <f>IF(ISERROR(IF(OR($D$38=$Y$27,$B470=""),"",VLOOKUP(B470,ÍNDICES!A:DE,AF$35+1))),"",IF(OR($D$38=$Y$27,$B470=""),"",VLOOKUP(B470,ÍNDICES!A:DE,AF$35+1)))</f>
        <v/>
      </c>
      <c r="E470" s="153"/>
      <c r="F470" s="29" t="str">
        <f>IF(E470="","",IF($L$35="SELIC - TRIBUTOS",VLOOKUP(DATE(YEAR($D$19),MONTH($D$19)-1,1),ÍNDICES!$A:$DE,HLOOKUP($BL$25,ÍNDICES!$B$3:$T$4,2)+11)-VLOOKUP(E470,ÍNDICES!$A:$DE,HLOOKUP($BL$25,ÍNDICES!$B$3:$T$4,2)+11)+1%,IF(F$38=$W$26,$J$35,IF(ISERROR(IF(E470&gt;$D$19,1,VLOOKUP(DATE(YEAR(E470),MONTH(E470)+IF($C$35=$S$23,1,0),1),ÍNDICES!$A:$DE,$Z$35+1))),"",IF(E470&gt;$D$19,1,VLOOKUP(DATE(YEAR(E470),MONTH(E470)+IF($C$35=$S$23,1,0),1),ÍNDICES!$A:$DE,$Z$35+1))))))</f>
        <v/>
      </c>
      <c r="G470" s="155"/>
      <c r="H470" s="156" t="str">
        <f t="shared" si="77"/>
        <v/>
      </c>
      <c r="I470" s="29" t="str">
        <f t="shared" si="71"/>
        <v/>
      </c>
      <c r="J470" s="5">
        <f t="shared" si="72"/>
        <v>0</v>
      </c>
      <c r="K470" s="20">
        <f t="shared" ca="1" si="73"/>
        <v>0</v>
      </c>
      <c r="L470" s="5">
        <f t="shared" ca="1" si="74"/>
        <v>0</v>
      </c>
      <c r="M470" s="64">
        <f t="shared" si="78"/>
        <v>0</v>
      </c>
      <c r="N470" s="61">
        <f t="shared" ca="1" si="79"/>
        <v>0</v>
      </c>
      <c r="O470" s="5">
        <f t="shared" ca="1" si="80"/>
        <v>0</v>
      </c>
      <c r="P470" s="446" t="e">
        <f t="shared" si="75"/>
        <v>#VALUE!</v>
      </c>
      <c r="Q470" s="446" t="e">
        <f>IF(OR($B470="",MIN(Q$38,$D$19)&lt;MAX($P$34*($B470+IF($R$17="Distrato",$I$38-1,0)),IF(AND($L$37=0,$P$34=0),"",$L$37-1),IF($R$17="Distrato",$E470,0))),0,YEARFRAC(MAX($P$34*($B470+IF($R$17="Distrato",$I$38-1,0)),IF(AND($L$37=0,$P$34=0),"",$L$37-1),IF($R$17="Distrato",$E470,0)),MIN(Q$38,$D$19),$P$20))-SUM($P470:P470)</f>
        <v>#VALUE!</v>
      </c>
      <c r="R470" s="446" t="e">
        <f>IF(OR($B470="",MIN(R$38,$D$19)&lt;MAX($P$34*($B470+IF($R$17="Distrato",$I$38-1,0)),IF(AND($L$37=0,$P$34=0),"",$L$37-1),IF($R$17="Distrato",$E470,0))),0,YEARFRAC(MAX($P$34*($B470+IF($R$17="Distrato",$I$38-1,0)),IF(AND($L$37=0,$P$34=0),"",$L$37-1),IF($R$17="Distrato",$E470,0)),MIN(R$38,$D$19),$P$20))-SUM($P470:Q470)</f>
        <v>#VALUE!</v>
      </c>
      <c r="S470" s="446" t="e">
        <f>IF(OR($B470="",MIN(S$38,$D$19)&lt;MAX($P$34*($B470+IF($R$17="Distrato",$I$38-1,0)),IF(AND($L$37=0,$P$34=0),"",$L$37-1),IF($R$17="Distrato",$E470,0))),0,YEARFRAC(MAX($P$34*($B470+IF($R$17="Distrato",$I$38-1,0)),IF(AND($L$37=0,$P$34=0),"",$L$37-1),IF($R$17="Distrato",$E470,0)),MIN(S$38,$D$19),$P$20))-SUM($P470:R470)</f>
        <v>#VALUE!</v>
      </c>
      <c r="T470" s="446" t="e">
        <f>IF(OR($B470="",MIN(T$38,$D$19)&lt;MAX($P$34*($B470+IF($R$17="Distrato",$I$38-1,0)),IF(AND($L$37=0,$P$34=0),"",$L$37-1),IF($R$17="Distrato",$E470,0))),0,YEARFRAC(MAX($P$34*($B470+IF($R$17="Distrato",$I$38-1,0)),IF(AND($L$37=0,$P$34=0),"",$L$37-1),IF($R$17="Distrato",$E470,0)),MIN(T$38,$D$19),$P$20))-SUM($P470:S470)</f>
        <v>#VALUE!</v>
      </c>
      <c r="U470" s="446" t="e">
        <f>IF(OR($B470="",MIN(U$38,$D$19)&lt;MAX($P$34*($B470+IF($R$17="Distrato",$I$38-1,0)),IF(AND($L$37=0,$P$34=0),"",$L$37-1),IF($R$17="Distrato",$E470,0))),0,YEARFRAC(MAX($P$34*($B470+IF($R$17="Distrato",$I$38-1,0)),IF(AND($L$37=0,$P$34=0),"",$L$37-1),IF($R$17="Distrato",$E470,0)),MIN(U$38,$D$19),$P$20))-SUM($P470:T470)</f>
        <v>#VALUE!</v>
      </c>
      <c r="V470" s="446" t="e">
        <f>IF(OR($B470="",MIN(V$38,$D$19)&lt;MAX($P$34*($B470+IF($R$17="Distrato",$I$38-1,0)),IF(AND($L$37=0,$P$34=0),"",$L$37-1),IF($R$17="Distrato",$E470,0))),0,YEARFRAC(MAX($P$34*($B470+IF($R$17="Distrato",$I$38-1,0)),IF(AND($L$37=0,$P$34=0),"",$L$37-1),IF($R$17="Distrato",$E470,0)),MIN(V$38,$D$19),$P$20))-SUM($P470:U470)</f>
        <v>#VALUE!</v>
      </c>
      <c r="W470" s="446" t="e">
        <f>IF(OR($B470="",MIN(W$38,$D$19)&lt;MAX($P$34*($B470+IF($R$17="Distrato",$I$38-1,0)),IF(AND($L$37=0,$P$34=0),"",$L$37-1),IF($R$17="Distrato",$E470,0))),0,YEARFRAC(MAX($P$34*($B470+IF($R$17="Distrato",$I$38-1,0)),IF(AND($L$37=0,$P$34=0),"",$L$37-1),IF($R$17="Distrato",$E470,0)),MIN(W$38,$D$19),$P$20))-SUM($P470:V470)</f>
        <v>#VALUE!</v>
      </c>
      <c r="X470" s="446" t="e">
        <f>IF(OR($B470="",MIN(X$38,$D$19)&lt;MAX($P$34*($B470+IF($R$17="Distrato",$I$38-1,0)),IF(AND($L$37=0,$P$34=0),"",$L$37-1),IF($R$17="Distrato",$E470,0))),0,YEARFRAC(MAX($P$34*($B470+IF($R$17="Distrato",$I$38-1,0)),IF(AND($L$37=0,$P$34=0),"",$L$37-1),IF($R$17="Distrato",$E470,0)),MIN(X$38,$D$19),$P$20))-SUM($P470:W470)</f>
        <v>#VALUE!</v>
      </c>
      <c r="Y470" s="446" t="e">
        <f>IF(OR($B470="",MIN(Y$38,$D$19)&lt;MAX($P$34*($B470+IF($R$17="Distrato",$I$38-1,0)),IF(AND($L$37=0,$P$34=0),"",$L$37-1),IF($R$17="Distrato",$E470,0))),0,YEARFRAC(MAX($P$34*($B470+IF($R$17="Distrato",$I$38-1,0)),IF(AND($L$37=0,$P$34=0),"",$L$37-1),IF($R$17="Distrato",$E470,0)),MIN(Y$38,$D$19),$P$20))-SUM($P470:X470)</f>
        <v>#VALUE!</v>
      </c>
      <c r="Z470" s="446" t="e">
        <f>IF(OR($B470="",MIN(Z$38,$D$19)&lt;MAX($P$34*($B470+IF($R$17="Distrato",$I$38-1,0)),IF(AND($L$37=0,$P$34=0),"",$L$37-1),IF($R$17="Distrato",$E470,0))),0,YEARFRAC(MAX($P$34*($B470+IF($R$17="Distrato",$I$38-1,0)),IF(AND($L$37=0,$P$34=0),"",$L$37-1),IF($R$17="Distrato",$E470,0)),MIN(Z$38,$D$19),$P$20))-SUM($P470:Y470)</f>
        <v>#VALUE!</v>
      </c>
      <c r="AA470" s="446" t="e">
        <f>IF(OR($B470="",MIN(AA$38,$D$19)&lt;MAX($P$34*($B470+IF($R$17="Distrato",$I$38-1,0)),IF(AND($L$37=0,$P$34=0),"",$L$37-1),IF($R$17="Distrato",$E470,0))),0,YEARFRAC(MAX($P$34*($B470+IF($R$17="Distrato",$I$38-1,0)),IF(AND($L$37=0,$P$34=0),"",$L$37-1),IF($R$17="Distrato",$E470,0)),MIN(AA$38,$D$19),$P$20))-SUM($P470:Z470)</f>
        <v>#VALUE!</v>
      </c>
      <c r="AB470" s="446" t="e">
        <f>IF(OR($B470="",MIN(AB$38,$D$19)&lt;MAX($P$34*($B470+IF($R$17="Distrato",$I$38-1,0)),IF(AND($L$37=0,$P$34=0),"",$L$37-1),IF($R$17="Distrato",$E470,0))),0,YEARFRAC(MAX($P$34*($B470+IF($R$17="Distrato",$I$38-1,0)),IF(AND($L$37=0,$P$34=0),"",$L$37-1),IF($R$17="Distrato",$E470,0)),MIN(AB$38,$D$19),$P$20))-SUM($P470:AA470)</f>
        <v>#VALUE!</v>
      </c>
      <c r="AC470" s="446" t="e">
        <f>IF(OR($B470="",MIN(AC$38,$D$19)&lt;MAX($P$34*($B470+IF($R$17="Distrato",$I$38-1,0)),IF(AND($L$37=0,$P$34=0),"",$L$37-1),IF($R$17="Distrato",$E470,0))),0,YEARFRAC(MAX($P$34*($B470+IF($R$17="Distrato",$I$38-1,0)),IF(AND($L$37=0,$P$34=0),"",$L$37-1),IF($R$17="Distrato",$E470,0)),MIN(AC$38,$D$19),$P$20))-SUM($P470:AB470)</f>
        <v>#VALUE!</v>
      </c>
      <c r="AD470" s="446" t="e">
        <f>IF(OR($B470="",MIN(AD$38,$D$19)&lt;MAX($P$34*($B470+IF($R$17="Distrato",$I$38-1,0)),IF(AND($L$37=0,$P$34=0),"",$L$37-1),IF($R$17="Distrato",$E470,0))),0,YEARFRAC(MAX($P$34*($B470+IF($R$17="Distrato",$I$38-1,0)),IF(AND($L$37=0,$P$34=0),"",$L$37-1),IF($R$17="Distrato",$E470,0)),MIN(AD$38,$D$19),$P$20))-SUM($P470:AC470)</f>
        <v>#VALUE!</v>
      </c>
      <c r="AE470" s="446" t="e">
        <f>IF(OR($B470="",MIN(AE$38,$D$19)&lt;MAX($P$34*($B470+IF($R$17="Distrato",$I$38-1,0)),IF(AND($L$37=0,$P$34=0),"",$L$37-1),IF($R$17="Distrato",$E470,0))),0,YEARFRAC(MAX($P$34*($B470+IF($R$17="Distrato",$I$38-1,0)),IF(AND($L$37=0,$P$34=0),"",$L$37-1),IF($R$17="Distrato",$E470,0)),MIN(AE$38,$D$19),$P$20))-SUM($P470:AD470)</f>
        <v>#VALUE!</v>
      </c>
      <c r="AF470" s="446" t="e">
        <f>IF(OR($B470="",MIN(AF$38,$D$19)&lt;MAX($P$34*($B470+IF($R$17="Distrato",$I$38-1,0)),IF(AND($L$37=0,$P$34=0),"",$L$37-1),IF($R$17="Distrato",$E470,0))),0,YEARFRAC(MAX($P$34*($B470+IF($R$17="Distrato",$I$38-1,0)),IF(AND($L$37=0,$P$34=0),"",$L$37-1),IF($R$17="Distrato",$E470,0)),MIN(AF$38,$D$19),$P$20))-SUM($P470:AE470)</f>
        <v>#VALUE!</v>
      </c>
      <c r="AG470" s="446" t="e">
        <f>IF(OR($B470="",MIN(AG$38,$D$19)&lt;MAX($P$34*($B470+IF($R$17="Distrato",$I$38-1,0)),IF(AND($L$37=0,$P$34=0),"",$L$37-1),IF($R$17="Distrato",$E470,0))),0,YEARFRAC(MAX($P$34*($B470+IF($R$17="Distrato",$I$38-1,0)),IF(AND($L$37=0,$P$34=0),"",$L$37-1),IF($R$17="Distrato",$E470,0)),MIN(AG$38,$D$19),$P$20))-SUM($P470:AF470)</f>
        <v>#VALUE!</v>
      </c>
      <c r="AH470" s="446" t="e">
        <f>IF(OR($B470="",MIN(AH$38,$D$19)&lt;MAX($P$34*($B470+IF($R$17="Distrato",$I$38-1,0)),IF(AND($L$37=0,$P$34=0),"",$L$37-1),IF($R$17="Distrato",$E470,0))),0,YEARFRAC(MAX($P$34*($B470+IF($R$17="Distrato",$I$38-1,0)),IF(AND($L$37=0,$P$34=0),"",$L$37-1),IF($R$17="Distrato",$E470,0)),MIN(AH$38,$D$19),$P$20))-SUM($P470:AG470)</f>
        <v>#VALUE!</v>
      </c>
      <c r="AI470" s="446" t="e">
        <f>IF(OR($B470="",MIN(AI$38,$D$19)&lt;MAX($P$34*($B470+IF($R$17="Distrato",$I$38-1,0)),IF(AND($L$37=0,$P$34=0),"",$L$37-1),IF($R$17="Distrato",$E470,0))),0,YEARFRAC(MAX($P$34*($B470+IF($R$17="Distrato",$I$38-1,0)),IF(AND($L$37=0,$P$34=0),"",$L$37-1),IF($R$17="Distrato",$E470,0)),MIN(AI$38,$D$19),$P$20))-SUM($P470:AH470)</f>
        <v>#VALUE!</v>
      </c>
      <c r="AJ470" s="446" t="e">
        <f>IF(OR($B470="",MIN(AJ$38,$D$19)&lt;MAX($P$34*($B470+IF($R$17="Distrato",$I$38-1,0)),IF(AND($L$37=0,$P$34=0),"",$L$37-1),IF($R$17="Distrato",$E470,0))),0,YEARFRAC(MAX($P$34*($B470+IF($R$17="Distrato",$I$38-1,0)),IF(AND($L$37=0,$P$34=0),"",$L$37-1),IF($R$17="Distrato",$E470,0)),MIN(AJ$38,$D$19),$P$20))-SUM($P470:AI470)</f>
        <v>#VALUE!</v>
      </c>
      <c r="AK470" s="446" t="e">
        <f>IF(OR($B470="",MIN(AK$38,$D$19)&lt;MAX($P$34*($B470+IF($R$17="Distrato",$I$38-1,0)),IF(AND($L$37=0,$P$34=0),"",$L$37-1),IF($R$17="Distrato",$E470,0))),0,YEARFRAC(MAX($P$34*($B470+IF($R$17="Distrato",$I$38-1,0)),IF(AND($L$37=0,$P$34=0),"",$L$37-1),IF($R$17="Distrato",$E470,0)),MIN(AK$38,$D$19),$P$20))-SUM($P470:AJ470)</f>
        <v>#VALUE!</v>
      </c>
      <c r="AL470" s="446" t="e">
        <f>IF(OR($B470="",MIN(AL$38,$D$19)&lt;MAX($P$34*($B470+IF($R$17="Distrato",$I$38-1,0)),IF(AND($L$37=0,$P$34=0),"",$L$37-1),IF($R$17="Distrato",$E470,0))),0,YEARFRAC(MAX($P$34*($B470+IF($R$17="Distrato",$I$38-1,0)),IF(AND($L$37=0,$P$34=0),"",$L$37-1),IF($R$17="Distrato",$E470,0)),MIN(AL$38,$D$19),$P$20))-SUM($P470:AK470)</f>
        <v>#VALUE!</v>
      </c>
      <c r="AM470" s="446" t="e">
        <f>IF(OR($B470="",MIN(AM$38,$D$19)&lt;MAX($P$34*($B470+IF($R$17="Distrato",$I$38-1,0)),IF(AND($L$37=0,$P$34=0),"",$L$37-1),IF($R$17="Distrato",$E470,0))),0,YEARFRAC(MAX($P$34*($B470+IF($R$17="Distrato",$I$38-1,0)),IF(AND($L$37=0,$P$34=0),"",$L$37-1),IF($R$17="Distrato",$E470,0)),MIN(AM$38,$D$19),$P$20))-SUM($P470:AL470)</f>
        <v>#VALUE!</v>
      </c>
      <c r="AN470" s="446" t="e">
        <f>IF(OR($B470="",MIN(AN$38,$D$19)&lt;MAX($P$34*($B470+IF($R$17="Distrato",$I$38-1,0)),IF(AND($L$37=0,$P$34=0),"",$L$37-1),IF($R$17="Distrato",$E470,0))),0,YEARFRAC(MAX($P$34*($B470+IF($R$17="Distrato",$I$38-1,0)),IF(AND($L$37=0,$P$34=0),"",$L$37-1),IF($R$17="Distrato",$E470,0)),MIN(AN$38,$D$19),$P$20))-SUM($P470:AM470)</f>
        <v>#VALUE!</v>
      </c>
      <c r="AO470" s="446" t="e">
        <f>IF(OR($B470="",MIN(AO$38,$D$19)&lt;MAX($P$34*($B470+IF($R$17="Distrato",$I$38-1,0)),IF(AND($L$37=0,$P$34=0),"",$L$37-1),IF($R$17="Distrato",$E470,0))),0,YEARFRAC(MAX($P$34*($B470+IF($R$17="Distrato",$I$38-1,0)),IF(AND($L$37=0,$P$34=0),"",$L$37-1),IF($R$17="Distrato",$E470,0)),MIN(AO$38,$D$19),$P$20))-SUM($P470:AN470)</f>
        <v>#VALUE!</v>
      </c>
      <c r="AP470" s="446" t="e">
        <f>IF(OR($B470="",MIN(AP$38,$D$19)&lt;MAX($P$34*($B470+IF($R$17="Distrato",$I$38-1,0)),IF(AND($L$37=0,$P$34=0),"",$L$37-1),IF($R$17="Distrato",$E470,0))),0,YEARFRAC(MAX($P$34*($B470+IF($R$17="Distrato",$I$38-1,0)),IF(AND($L$37=0,$P$34=0),"",$L$37-1),IF($R$17="Distrato",$E470,0)),MIN(AP$38,$D$19),$P$20))-SUM($P470:AO470)</f>
        <v>#VALUE!</v>
      </c>
      <c r="AQ470" s="446" t="e">
        <f>IF(OR($B470="",MIN(AQ$38,$D$19)&lt;MAX($P$34*($B470+IF($R$17="Distrato",$I$38-1,0)),IF(AND($L$37=0,$P$34=0),"",$L$37-1),IF($R$17="Distrato",$E470,0))),0,YEARFRAC(MAX($P$34*($B470+IF($R$17="Distrato",$I$38-1,0)),IF(AND($L$37=0,$P$34=0),"",$L$37-1),IF($R$17="Distrato",$E470,0)),MIN(AQ$38,$D$19),$P$20))-SUM($P470:AP470)</f>
        <v>#VALUE!</v>
      </c>
      <c r="AR470" s="446" t="e">
        <f>IF(OR($B470="",MIN(AR$38,$D$19)&lt;MAX($P$34*($B470+IF($R$17="Distrato",$I$38-1,0)),IF(AND($L$37=0,$P$34=0),"",$L$37-1),IF($R$17="Distrato",$E470,0))),0,YEARFRAC(MAX($P$34*($B470+IF($R$17="Distrato",$I$38-1,0)),IF(AND($L$37=0,$P$34=0),"",$L$37-1),IF($R$17="Distrato",$E470,0)),MIN(AR$38,$D$19),$P$20))-SUM($P470:AQ470)</f>
        <v>#VALUE!</v>
      </c>
      <c r="AS470" s="446" t="e">
        <f>IF(OR($B470="",MIN(AS$38,$D$19)&lt;MAX($P$34*($B470+IF($R$17="Distrato",$I$38-1,0)),IF(AND($L$37=0,$P$34=0),"",$L$37-1),IF($R$17="Distrato",$E470,0))),0,YEARFRAC(MAX($P$34*($B470+IF($R$17="Distrato",$I$38-1,0)),IF(AND($L$37=0,$P$34=0),"",$L$37-1),IF($R$17="Distrato",$E470,0)),MIN(AS$38,$D$19),$P$20))-SUM($P470:AR470)</f>
        <v>#VALUE!</v>
      </c>
      <c r="AT470" s="446" t="e">
        <f>IF(OR($B470="",MIN(AT$38,$D$19)&lt;MAX($P$34*($B470+IF($R$17="Distrato",$I$38-1,0)),IF(AND($L$37=0,$P$34=0),"",$L$37-1),IF($R$17="Distrato",$E470,0))),0,YEARFRAC(MAX($P$34*($B470+IF($R$17="Distrato",$I$38-1,0)),IF(AND($L$37=0,$P$34=0),"",$L$37-1),IF($R$17="Distrato",$E470,0)),MIN(AT$38,$D$19),$P$20))-SUM($P470:AS470)</f>
        <v>#VALUE!</v>
      </c>
      <c r="AU470" s="446" t="e">
        <f>IF(OR($B470="",MIN(AU$38,$D$19)&lt;MAX($P$34*($B470+IF($R$17="Distrato",$I$38-1,0)),IF(AND($L$37=0,$P$34=0),"",$L$37-1),IF($R$17="Distrato",$E470,0))),0,YEARFRAC(MAX($P$34*($B470+IF($R$17="Distrato",$I$38-1,0)),IF(AND($L$37=0,$P$34=0),"",$L$37-1),IF($R$17="Distrato",$E470,0)),MIN(AU$38,$D$19),$P$20))-SUM($P470:AT470)</f>
        <v>#VALUE!</v>
      </c>
      <c r="AV470" s="446" t="e">
        <f>IF(OR($B470="",MIN(AV$38,$D$19)&lt;MAX($P$34*($B470+IF($R$17="Distrato",$I$38-1,0)),IF(AND($L$37=0,$P$34=0),"",$L$37-1),IF($R$17="Distrato",$E470,0))),0,YEARFRAC(MAX($P$34*($B470+IF($R$17="Distrato",$I$38-1,0)),IF(AND($L$37=0,$P$34=0),"",$L$37-1),IF($R$17="Distrato",$E470,0)),MIN(AV$38,$D$19),$P$20))-SUM($P470:AU470)</f>
        <v>#VALUE!</v>
      </c>
      <c r="AW470" s="446" t="e">
        <f>IF(OR($B470="",MIN(AW$38,$D$19)&lt;MAX($P$34*($B470+IF($R$17="Distrato",$I$38-1,0)),IF(AND($L$37=0,$P$34=0),"",$L$37-1),IF($R$17="Distrato",$E470,0))),0,YEARFRAC(MAX($P$34*($B470+IF($R$17="Distrato",$I$38-1,0)),IF(AND($L$37=0,$P$34=0),"",$L$37-1),IF($R$17="Distrato",$E470,0)),MIN(AW$38,$D$19),$P$20))-SUM($P470:AV470)</f>
        <v>#VALUE!</v>
      </c>
      <c r="AX470" s="446" t="e">
        <f>IF(OR($B470="",MIN(AX$38,$D$19)&lt;MAX($P$34*($B470+IF($R$17="Distrato",$I$38-1,0)),IF(AND($L$37=0,$P$34=0),"",$L$37-1),IF($R$17="Distrato",$E470,0))),0,YEARFRAC(MAX($P$34*($B470+IF($R$17="Distrato",$I$38-1,0)),IF(AND($L$37=0,$P$34=0),"",$L$37-1),IF($R$17="Distrato",$E470,0)),MIN(AX$38,$D$19),$P$20))-SUM($P470:AW470)</f>
        <v>#VALUE!</v>
      </c>
      <c r="AY470" s="446" t="e">
        <f>IF(OR($B470="",MIN(AY$38,$D$19)&lt;MAX($P$34*($B470+IF($R$17="Distrato",$I$38-1,0)),IF(AND($L$37=0,$P$34=0),"",$L$37-1),IF($R$17="Distrato",$E470,0))),0,YEARFRAC(MAX($P$34*($B470+IF($R$17="Distrato",$I$38-1,0)),IF(AND($L$37=0,$P$34=0),"",$L$37-1),IF($R$17="Distrato",$E470,0)),MIN(AY$38,$D$19),$P$20))-SUM($P470:AX470)</f>
        <v>#VALUE!</v>
      </c>
      <c r="AZ470" s="446" t="e">
        <f>IF(OR($B470="",MIN(AZ$38,$D$19)&lt;MAX($P$34*($B470+IF($R$17="Distrato",$I$38-1,0)),IF(AND($L$37=0,$P$34=0),"",$L$37-1),IF($R$17="Distrato",$E470,0))),0,YEARFRAC(MAX($P$34*($B470+IF($R$17="Distrato",$I$38-1,0)),IF(AND($L$37=0,$P$34=0),"",$L$37-1),IF($R$17="Distrato",$E470,0)),MIN(AZ$38,$D$19),$P$20))-SUM($P470:AY470)</f>
        <v>#VALUE!</v>
      </c>
      <c r="BA470" s="446" t="e">
        <f>IF(OR($B470="",MIN(BA$38,$D$19)&lt;MAX($P$34*($B470+IF($R$17="Distrato",$I$38-1,0)),IF(AND($L$37=0,$P$34=0),"",$L$37-1),IF($R$17="Distrato",$E470,0))),0,YEARFRAC(MAX($P$34*($B470+IF($R$17="Distrato",$I$38-1,0)),IF(AND($L$37=0,$P$34=0),"",$L$37-1),IF($R$17="Distrato",$E470,0)),MIN(BA$38,$D$19),$P$20))-SUM($P470:AZ470)</f>
        <v>#VALUE!</v>
      </c>
      <c r="BB470" s="447"/>
      <c r="BF470" s="446">
        <f t="shared" si="76"/>
        <v>0</v>
      </c>
      <c r="BG470" s="446">
        <f>IF($E470=0,0,IF(MIN(BG$38,$E470)&lt;MAX($P$34*($B470+$I$38-1),IF(AND($L$37=0,$P$34=0),"",$L$37-1)),0,YEARFRAC(MAX($P$34*($B470+$I$38-1),IF(AND($L$37=0,$P$34=0),"",$L$37-1)),MIN(BG$38,$E470),$P$20))-SUM($BF470:BF470))</f>
        <v>0</v>
      </c>
      <c r="BH470" s="446">
        <f>IF($E470=0,0,IF(MIN(BH$38,$E470)&lt;MAX($P$34*($B470+$I$38-1),IF(AND($L$37=0,$P$34=0),"",$L$37-1)),0,YEARFRAC(MAX($P$34*($B470+$I$38-1),IF(AND($L$37=0,$P$34=0),"",$L$37-1)),MIN(BH$38,$E470),$P$20))-SUM($BF470:BG470))</f>
        <v>0</v>
      </c>
      <c r="BI470" s="446">
        <f>IF($E470=0,0,IF(MIN(BI$38,$E470)&lt;MAX($P$34*($B470+$I$38-1),IF(AND($L$37=0,$P$34=0),"",$L$37-1)),0,YEARFRAC(MAX($P$34*($B470+$I$38-1),IF(AND($L$37=0,$P$34=0),"",$L$37-1)),MIN(BI$38,$E470),$P$20))-SUM($BF470:BH470))</f>
        <v>0</v>
      </c>
      <c r="BJ470" s="446">
        <f>IF($E470=0,0,IF(MIN(BJ$38,$E470)&lt;MAX($P$34*($B470+$I$38-1),IF(AND($L$37=0,$P$34=0),"",$L$37-1)),0,YEARFRAC(MAX($P$34*($B470+$I$38-1),IF(AND($L$37=0,$P$34=0),"",$L$37-1)),MIN(BJ$38,$E470),$P$20))-SUM($BF470:BI470))</f>
        <v>0</v>
      </c>
      <c r="BK470" s="446">
        <f>IF($E470=0,0,IF(MIN(BK$38,$E470)&lt;MAX($P$34*($B470+$I$38-1),IF(AND($L$37=0,$P$34=0),"",$L$37-1)),0,YEARFRAC(MAX($P$34*($B470+$I$38-1),IF(AND($L$37=0,$P$34=0),"",$L$37-1)),MIN(BK$38,$E470),$P$20))-SUM($BF470:BJ470))</f>
        <v>0</v>
      </c>
      <c r="BL470" s="446">
        <f>IF($E470=0,0,IF(MIN(BL$38,$E470)&lt;MAX($P$34*($B470+$I$38-1),IF(AND($L$37=0,$P$34=0),"",$L$37-1)),0,YEARFRAC(MAX($P$34*($B470+$I$38-1),IF(AND($L$37=0,$P$34=0),"",$L$37-1)),MIN(BL$38,$E470),$P$20))-SUM($BF470:BK470))</f>
        <v>0</v>
      </c>
      <c r="BM470" s="446">
        <f>IF($E470=0,0,IF(MIN(BM$38,$E470)&lt;MAX($P$34*($B470+$I$38-1),IF(AND($L$37=0,$P$34=0),"",$L$37-1)),0,YEARFRAC(MAX($P$34*($B470+$I$38-1),IF(AND($L$37=0,$P$34=0),"",$L$37-1)),MIN(BM$38,$E470),$P$20))-SUM($BF470:BL470))</f>
        <v>0</v>
      </c>
      <c r="BN470" s="446">
        <f>IF($E470=0,0,IF(MIN(BN$38,$E470)&lt;MAX($P$34*($B470+$I$38-1),IF(AND($L$37=0,$P$34=0),"",$L$37-1)),0,YEARFRAC(MAX($P$34*($B470+$I$38-1),IF(AND($L$37=0,$P$34=0),"",$L$37-1)),MIN(BN$38,$E470),$P$20))-SUM($BF470:BM470))</f>
        <v>0</v>
      </c>
      <c r="BO470" s="446">
        <f>IF($E470=0,0,IF(MIN(BO$38,$E470)&lt;MAX($P$34*($B470+$I$38-1),IF(AND($L$37=0,$P$34=0),"",$L$37-1)),0,YEARFRAC(MAX($P$34*($B470+$I$38-1),IF(AND($L$37=0,$P$34=0),"",$L$37-1)),MIN(BO$38,$E470),$P$20))-SUM($BF470:BN470))</f>
        <v>0</v>
      </c>
      <c r="BP470" s="446">
        <f>IF($E470=0,0,IF(MIN(BP$38,$E470)&lt;MAX($P$34*($B470+$I$38-1),IF(AND($L$37=0,$P$34=0),"",$L$37-1)),0,YEARFRAC(MAX($P$34*($B470+$I$38-1),IF(AND($L$37=0,$P$34=0),"",$L$37-1)),MIN(BP$38,$E470),$P$20))-SUM($BF470:BO470))</f>
        <v>0</v>
      </c>
      <c r="BQ470" s="446">
        <f>IF($E470=0,0,IF(MIN(BQ$38,$E470)&lt;MAX($P$34*($B470+$I$38-1),IF(AND($L$37=0,$P$34=0),"",$L$37-1)),0,YEARFRAC(MAX($P$34*($B470+$I$38-1),IF(AND($L$37=0,$P$34=0),"",$L$37-1)),MIN(BQ$38,$E470),$P$20))-SUM($BF470:BP470))</f>
        <v>0</v>
      </c>
      <c r="BR470" s="446">
        <f>IF($E470=0,0,IF(MIN(BR$38,$E470)&lt;MAX($P$34*($B470+$I$38-1),IF(AND($L$37=0,$P$34=0),"",$L$37-1)),0,YEARFRAC(MAX($P$34*($B470+$I$38-1),IF(AND($L$37=0,$P$34=0),"",$L$37-1)),MIN(BR$38,$E470),$P$20))-SUM($BF470:BQ470))</f>
        <v>0</v>
      </c>
      <c r="BS470" s="446">
        <f>IF($E470=0,0,IF(MIN(BS$38,$E470)&lt;MAX($P$34*($B470+$I$38-1),IF(AND($L$37=0,$P$34=0),"",$L$37-1)),0,YEARFRAC(MAX($P$34*($B470+$I$38-1),IF(AND($L$37=0,$P$34=0),"",$L$37-1)),MIN(BS$38,$E470),$P$20))-SUM($BF470:BR470))</f>
        <v>0</v>
      </c>
      <c r="BT470" s="446">
        <f>IF($E470=0,0,IF(MIN(BT$38,$E470)&lt;MAX($P$34*($B470+$I$38-1),IF(AND($L$37=0,$P$34=0),"",$L$37-1)),0,YEARFRAC(MAX($P$34*($B470+$I$38-1),IF(AND($L$37=0,$P$34=0),"",$L$37-1)),MIN(BT$38,$E470),$P$20))-SUM($BF470:BS470))</f>
        <v>0</v>
      </c>
      <c r="BU470" s="446">
        <f>IF($E470=0,0,IF(MIN(BU$38,$E470)&lt;MAX($P$34*($B470+$I$38-1),IF(AND($L$37=0,$P$34=0),"",$L$37-1)),0,YEARFRAC(MAX($P$34*($B470+$I$38-1),IF(AND($L$37=0,$P$34=0),"",$L$37-1)),MIN(BU$38,$E470),$P$20))-SUM($BF470:BT470))</f>
        <v>0</v>
      </c>
      <c r="BV470" s="446">
        <f>IF($E470=0,0,IF(MIN(BV$38,$E470)&lt;MAX($P$34*($B470+$I$38-1),IF(AND($L$37=0,$P$34=0),"",$L$37-1)),0,YEARFRAC(MAX($P$34*($B470+$I$38-1),IF(AND($L$37=0,$P$34=0),"",$L$37-1)),MIN(BV$38,$E470),$P$20))-SUM($BF470:BU470))</f>
        <v>0</v>
      </c>
      <c r="BW470" s="446">
        <f>IF($E470=0,0,IF(MIN(BW$38,$E470)&lt;MAX($P$34*($B470+$I$38-1),IF(AND($L$37=0,$P$34=0),"",$L$37-1)),0,YEARFRAC(MAX($P$34*($B470+$I$38-1),IF(AND($L$37=0,$P$34=0),"",$L$37-1)),MIN(BW$38,$E470),$P$20))-SUM($BF470:BV470))</f>
        <v>0</v>
      </c>
      <c r="BX470" s="446">
        <f>IF($E470=0,0,IF(MIN(BX$38,$E470)&lt;MAX($P$34*($B470+$I$38-1),IF(AND($L$37=0,$P$34=0),"",$L$37-1)),0,YEARFRAC(MAX($P$34*($B470+$I$38-1),IF(AND($L$37=0,$P$34=0),"",$L$37-1)),MIN(BX$38,$E470),$P$20))-SUM($BF470:BW470))</f>
        <v>0</v>
      </c>
      <c r="BY470" s="446">
        <f>IF($E470=0,0,IF(MIN(BY$38,$E470)&lt;MAX($P$34*($B470+$I$38-1),IF(AND($L$37=0,$P$34=0),"",$L$37-1)),0,YEARFRAC(MAX($P$34*($B470+$I$38-1),IF(AND($L$37=0,$P$34=0),"",$L$37-1)),MIN(BY$38,$E470),$P$20))-SUM($BF470:BX470))</f>
        <v>0</v>
      </c>
      <c r="BZ470" s="446">
        <f>IF($E470=0,0,IF(MIN(BZ$38,$E470)&lt;MAX($P$34*($B470+$I$38-1),IF(AND($L$37=0,$P$34=0),"",$L$37-1)),0,YEARFRAC(MAX($P$34*($B470+$I$38-1),IF(AND($L$37=0,$P$34=0),"",$L$37-1)),MIN(BZ$38,$E470),$P$20))-SUM($BF470:BY470))</f>
        <v>0</v>
      </c>
      <c r="CA470" s="446">
        <f>IF($E470=0,0,IF(MIN(CA$38,$E470)&lt;MAX($P$34*($B470+$I$38-1),IF(AND($L$37=0,$P$34=0),"",$L$37-1)),0,YEARFRAC(MAX($P$34*($B470+$I$38-1),IF(AND($L$37=0,$P$34=0),"",$L$37-1)),MIN(CA$38,$E470),$P$20))-SUM($BF470:BZ470))</f>
        <v>0</v>
      </c>
      <c r="CB470" s="446">
        <f>IF($E470=0,0,IF(MIN(CB$38,$E470)&lt;MAX($P$34*($B470+$I$38-1),IF(AND($L$37=0,$P$34=0),"",$L$37-1)),0,YEARFRAC(MAX($P$34*($B470+$I$38-1),IF(AND($L$37=0,$P$34=0),"",$L$37-1)),MIN(CB$38,$E470),$P$20))-SUM($BF470:CA470))</f>
        <v>0</v>
      </c>
      <c r="CC470" s="446">
        <f>IF($E470=0,0,IF(MIN(CC$38,$E470)&lt;MAX($P$34*($B470+$I$38-1),IF(AND($L$37=0,$P$34=0),"",$L$37-1)),0,YEARFRAC(MAX($P$34*($B470+$I$38-1),IF(AND($L$37=0,$P$34=0),"",$L$37-1)),MIN(CC$38,$E470),$P$20))-SUM($BF470:CB470))</f>
        <v>0</v>
      </c>
      <c r="CD470" s="446">
        <f>IF($E470=0,0,IF(MIN(CD$38,$E470)&lt;MAX($P$34*($B470+$I$38-1),IF(AND($L$37=0,$P$34=0),"",$L$37-1)),0,YEARFRAC(MAX($P$34*($B470+$I$38-1),IF(AND($L$37=0,$P$34=0),"",$L$37-1)),MIN(CD$38,$E470),$P$20))-SUM($BF470:CC470))</f>
        <v>0</v>
      </c>
      <c r="CE470" s="446">
        <f>IF($E470=0,0,IF(MIN(CE$38,$E470)&lt;MAX($P$34*($B470+$I$38-1),IF(AND($L$37=0,$P$34=0),"",$L$37-1)),0,YEARFRAC(MAX($P$34*($B470+$I$38-1),IF(AND($L$37=0,$P$34=0),"",$L$37-1)),MIN(CE$38,$E470),$P$20))-SUM($BF470:CD470))</f>
        <v>0</v>
      </c>
      <c r="CF470" s="446">
        <f>IF($E470=0,0,IF(MIN(CF$38,$E470)&lt;MAX($P$34*($B470+$I$38-1),IF(AND($L$37=0,$P$34=0),"",$L$37-1)),0,YEARFRAC(MAX($P$34*($B470+$I$38-1),IF(AND($L$37=0,$P$34=0),"",$L$37-1)),MIN(CF$38,$E470),$P$20))-SUM($BF470:CE470))</f>
        <v>0</v>
      </c>
      <c r="CG470" s="446">
        <f>IF($E470=0,0,IF(MIN(CG$38,$E470)&lt;MAX($P$34*($B470+$I$38-1),IF(AND($L$37=0,$P$34=0),"",$L$37-1)),0,YEARFRAC(MAX($P$34*($B470+$I$38-1),IF(AND($L$37=0,$P$34=0),"",$L$37-1)),MIN(CG$38,$E470),$P$20))-SUM($BF470:CF470))</f>
        <v>0</v>
      </c>
      <c r="CH470" s="446">
        <f>IF($E470=0,0,IF(MIN(CH$38,$E470)&lt;MAX($P$34*($B470+$I$38-1),IF(AND($L$37=0,$P$34=0),"",$L$37-1)),0,YEARFRAC(MAX($P$34*($B470+$I$38-1),IF(AND($L$37=0,$P$34=0),"",$L$37-1)),MIN(CH$38,$E470),$P$20))-SUM($BF470:CG470))</f>
        <v>0</v>
      </c>
      <c r="CI470" s="446">
        <f>IF($E470=0,0,IF(MIN(CI$38,$E470)&lt;MAX($P$34*($B470+$I$38-1),IF(AND($L$37=0,$P$34=0),"",$L$37-1)),0,YEARFRAC(MAX($P$34*($B470+$I$38-1),IF(AND($L$37=0,$P$34=0),"",$L$37-1)),MIN(CI$38,$E470),$P$20))-SUM($BF470:CH470))</f>
        <v>0</v>
      </c>
      <c r="CJ470" s="446">
        <f>IF($E470=0,0,IF(MIN(CJ$38,$E470)&lt;MAX($P$34*($B470+$I$38-1),IF(AND($L$37=0,$P$34=0),"",$L$37-1)),0,YEARFRAC(MAX($P$34*($B470+$I$38-1),IF(AND($L$37=0,$P$34=0),"",$L$37-1)),MIN(CJ$38,$E470),$P$20))-SUM($BF470:CI470))</f>
        <v>0</v>
      </c>
      <c r="CK470" s="446">
        <f>IF($E470=0,0,IF(MIN(CK$38,$E470)&lt;MAX($P$34*($B470+$I$38-1),IF(AND($L$37=0,$P$34=0),"",$L$37-1)),0,YEARFRAC(MAX($P$34*($B470+$I$38-1),IF(AND($L$37=0,$P$34=0),"",$L$37-1)),MIN(CK$38,$E470),$P$20))-SUM($BF470:CJ470))</f>
        <v>0</v>
      </c>
      <c r="CL470" s="446">
        <f>IF($E470=0,0,IF(MIN(CL$38,$E470)&lt;MAX($P$34*($B470+$I$38-1),IF(AND($L$37=0,$P$34=0),"",$L$37-1)),0,YEARFRAC(MAX($P$34*($B470+$I$38-1),IF(AND($L$37=0,$P$34=0),"",$L$37-1)),MIN(CL$38,$E470),$P$20))-SUM($BF470:CK470))</f>
        <v>0</v>
      </c>
      <c r="CM470" s="446">
        <f>IF($E470=0,0,IF(MIN(CM$38,$E470)&lt;MAX($P$34*($B470+$I$38-1),IF(AND($L$37=0,$P$34=0),"",$L$37-1)),0,YEARFRAC(MAX($P$34*($B470+$I$38-1),IF(AND($L$37=0,$P$34=0),"",$L$37-1)),MIN(CM$38,$E470),$P$20))-SUM($BF470:CL470))</f>
        <v>0</v>
      </c>
      <c r="CN470" s="446">
        <f>IF($E470=0,0,IF(MIN(CN$38,$E470)&lt;MAX($P$34*($B470+$I$38-1),IF(AND($L$37=0,$P$34=0),"",$L$37-1)),0,YEARFRAC(MAX($P$34*($B470+$I$38-1),IF(AND($L$37=0,$P$34=0),"",$L$37-1)),MIN(CN$38,$E470),$P$20))-SUM($BF470:CM470))</f>
        <v>0</v>
      </c>
      <c r="CO470" s="446">
        <f>IF($E470=0,0,IF(MIN(CO$38,$E470)&lt;MAX($P$34*($B470+$I$38-1),IF(AND($L$37=0,$P$34=0),"",$L$37-1)),0,YEARFRAC(MAX($P$34*($B470+$I$38-1),IF(AND($L$37=0,$P$34=0),"",$L$37-1)),MIN(CO$38,$E470),$P$20))-SUM($BF470:CN470))</f>
        <v>0</v>
      </c>
      <c r="CP470" s="446">
        <f>IF($E470=0,0,IF(MIN(CP$38,$E470)&lt;MAX($P$34*($B470+$I$38-1),IF(AND($L$37=0,$P$34=0),"",$L$37-1)),0,YEARFRAC(MAX($P$34*($B470+$I$38-1),IF(AND($L$37=0,$P$34=0),"",$L$37-1)),MIN(CP$38,$E470),$P$20))-SUM($BF470:CO470))</f>
        <v>0</v>
      </c>
      <c r="CQ470" s="446">
        <f>IF($E470=0,0,IF(MIN(CQ$38,$E470)&lt;MAX($P$34*($B470+$I$38-1),IF(AND($L$37=0,$P$34=0),"",$L$37-1)),0,YEARFRAC(MAX($P$34*($B470+$I$38-1),IF(AND($L$37=0,$P$34=0),"",$L$37-1)),MIN(CQ$38,$E470),$P$20))-SUM($BF470:CP470))</f>
        <v>0</v>
      </c>
    </row>
    <row r="471" spans="1:95" s="446" customFormat="1" ht="11.25" hidden="1" customHeight="1" x14ac:dyDescent="0.2">
      <c r="A471" s="152"/>
      <c r="B471" s="153" t="str">
        <f t="shared" si="81"/>
        <v/>
      </c>
      <c r="C471" s="29" t="str">
        <f>IF(B471="","",IF($L$35="SELIC - TRIBUTOS",VLOOKUP(DATE(YEAR($D$19),MONTH($D$19)-1,1),ÍNDICES!$A:$DE,HLOOKUP($BL$25,ÍNDICES!$B$3:$T$4,2)+11)-VLOOKUP(B471,ÍNDICES!$A:$DE,HLOOKUP($BL$25,ÍNDICES!$B$3:$T$4,2)+11)+1%,IF(C$38=$W$26,$J$35,IF(ISERROR(IF(B471&gt;$D$19,1,VLOOKUP(DATE(YEAR(B471),MONTH(B471)+IF($C$35=$S$23,1,0),1),ÍNDICES!$A:$DE,$Z$35+1))),"",IF(B471&gt;$D$19,1,VLOOKUP(DATE(YEAR(B471),MONTH(B471)+IF($C$35=$S$23,1,0),1),ÍNDICES!$A:$DE,$Z$35+1))))))</f>
        <v/>
      </c>
      <c r="D471" s="154" t="str">
        <f>IF(ISERROR(IF(OR($D$38=$Y$27,$B471=""),"",VLOOKUP(B471,ÍNDICES!A:DE,AF$35+1))),"",IF(OR($D$38=$Y$27,$B471=""),"",VLOOKUP(B471,ÍNDICES!A:DE,AF$35+1)))</f>
        <v/>
      </c>
      <c r="E471" s="153"/>
      <c r="F471" s="29" t="str">
        <f>IF(E471="","",IF($L$35="SELIC - TRIBUTOS",VLOOKUP(DATE(YEAR($D$19),MONTH($D$19)-1,1),ÍNDICES!$A:$DE,HLOOKUP($BL$25,ÍNDICES!$B$3:$T$4,2)+11)-VLOOKUP(E471,ÍNDICES!$A:$DE,HLOOKUP($BL$25,ÍNDICES!$B$3:$T$4,2)+11)+1%,IF(F$38=$W$26,$J$35,IF(ISERROR(IF(E471&gt;$D$19,1,VLOOKUP(DATE(YEAR(E471),MONTH(E471)+IF($C$35=$S$23,1,0),1),ÍNDICES!$A:$DE,$Z$35+1))),"",IF(E471&gt;$D$19,1,VLOOKUP(DATE(YEAR(E471),MONTH(E471)+IF($C$35=$S$23,1,0),1),ÍNDICES!$A:$DE,$Z$35+1))))))</f>
        <v/>
      </c>
      <c r="G471" s="155"/>
      <c r="H471" s="156" t="str">
        <f t="shared" si="77"/>
        <v/>
      </c>
      <c r="I471" s="29" t="str">
        <f t="shared" si="71"/>
        <v/>
      </c>
      <c r="J471" s="5">
        <f t="shared" si="72"/>
        <v>0</v>
      </c>
      <c r="K471" s="20">
        <f t="shared" ca="1" si="73"/>
        <v>0</v>
      </c>
      <c r="L471" s="5">
        <f t="shared" ca="1" si="74"/>
        <v>0</v>
      </c>
      <c r="M471" s="64">
        <f t="shared" si="78"/>
        <v>0</v>
      </c>
      <c r="N471" s="61">
        <f t="shared" ca="1" si="79"/>
        <v>0</v>
      </c>
      <c r="O471" s="5">
        <f t="shared" ca="1" si="80"/>
        <v>0</v>
      </c>
      <c r="P471" s="446" t="e">
        <f t="shared" si="75"/>
        <v>#VALUE!</v>
      </c>
      <c r="Q471" s="446" t="e">
        <f>IF(OR($B471="",MIN(Q$38,$D$19)&lt;MAX($P$34*($B471+IF($R$17="Distrato",$I$38-1,0)),IF(AND($L$37=0,$P$34=0),"",$L$37-1),IF($R$17="Distrato",$E471,0))),0,YEARFRAC(MAX($P$34*($B471+IF($R$17="Distrato",$I$38-1,0)),IF(AND($L$37=0,$P$34=0),"",$L$37-1),IF($R$17="Distrato",$E471,0)),MIN(Q$38,$D$19),$P$20))-SUM($P471:P471)</f>
        <v>#VALUE!</v>
      </c>
      <c r="R471" s="446" t="e">
        <f>IF(OR($B471="",MIN(R$38,$D$19)&lt;MAX($P$34*($B471+IF($R$17="Distrato",$I$38-1,0)),IF(AND($L$37=0,$P$34=0),"",$L$37-1),IF($R$17="Distrato",$E471,0))),0,YEARFRAC(MAX($P$34*($B471+IF($R$17="Distrato",$I$38-1,0)),IF(AND($L$37=0,$P$34=0),"",$L$37-1),IF($R$17="Distrato",$E471,0)),MIN(R$38,$D$19),$P$20))-SUM($P471:Q471)</f>
        <v>#VALUE!</v>
      </c>
      <c r="S471" s="446" t="e">
        <f>IF(OR($B471="",MIN(S$38,$D$19)&lt;MAX($P$34*($B471+IF($R$17="Distrato",$I$38-1,0)),IF(AND($L$37=0,$P$34=0),"",$L$37-1),IF($R$17="Distrato",$E471,0))),0,YEARFRAC(MAX($P$34*($B471+IF($R$17="Distrato",$I$38-1,0)),IF(AND($L$37=0,$P$34=0),"",$L$37-1),IF($R$17="Distrato",$E471,0)),MIN(S$38,$D$19),$P$20))-SUM($P471:R471)</f>
        <v>#VALUE!</v>
      </c>
      <c r="T471" s="446" t="e">
        <f>IF(OR($B471="",MIN(T$38,$D$19)&lt;MAX($P$34*($B471+IF($R$17="Distrato",$I$38-1,0)),IF(AND($L$37=0,$P$34=0),"",$L$37-1),IF($R$17="Distrato",$E471,0))),0,YEARFRAC(MAX($P$34*($B471+IF($R$17="Distrato",$I$38-1,0)),IF(AND($L$37=0,$P$34=0),"",$L$37-1),IF($R$17="Distrato",$E471,0)),MIN(T$38,$D$19),$P$20))-SUM($P471:S471)</f>
        <v>#VALUE!</v>
      </c>
      <c r="U471" s="446" t="e">
        <f>IF(OR($B471="",MIN(U$38,$D$19)&lt;MAX($P$34*($B471+IF($R$17="Distrato",$I$38-1,0)),IF(AND($L$37=0,$P$34=0),"",$L$37-1),IF($R$17="Distrato",$E471,0))),0,YEARFRAC(MAX($P$34*($B471+IF($R$17="Distrato",$I$38-1,0)),IF(AND($L$37=0,$P$34=0),"",$L$37-1),IF($R$17="Distrato",$E471,0)),MIN(U$38,$D$19),$P$20))-SUM($P471:T471)</f>
        <v>#VALUE!</v>
      </c>
      <c r="V471" s="446" t="e">
        <f>IF(OR($B471="",MIN(V$38,$D$19)&lt;MAX($P$34*($B471+IF($R$17="Distrato",$I$38-1,0)),IF(AND($L$37=0,$P$34=0),"",$L$37-1),IF($R$17="Distrato",$E471,0))),0,YEARFRAC(MAX($P$34*($B471+IF($R$17="Distrato",$I$38-1,0)),IF(AND($L$37=0,$P$34=0),"",$L$37-1),IF($R$17="Distrato",$E471,0)),MIN(V$38,$D$19),$P$20))-SUM($P471:U471)</f>
        <v>#VALUE!</v>
      </c>
      <c r="W471" s="446" t="e">
        <f>IF(OR($B471="",MIN(W$38,$D$19)&lt;MAX($P$34*($B471+IF($R$17="Distrato",$I$38-1,0)),IF(AND($L$37=0,$P$34=0),"",$L$37-1),IF($R$17="Distrato",$E471,0))),0,YEARFRAC(MAX($P$34*($B471+IF($R$17="Distrato",$I$38-1,0)),IF(AND($L$37=0,$P$34=0),"",$L$37-1),IF($R$17="Distrato",$E471,0)),MIN(W$38,$D$19),$P$20))-SUM($P471:V471)</f>
        <v>#VALUE!</v>
      </c>
      <c r="X471" s="446" t="e">
        <f>IF(OR($B471="",MIN(X$38,$D$19)&lt;MAX($P$34*($B471+IF($R$17="Distrato",$I$38-1,0)),IF(AND($L$37=0,$P$34=0),"",$L$37-1),IF($R$17="Distrato",$E471,0))),0,YEARFRAC(MAX($P$34*($B471+IF($R$17="Distrato",$I$38-1,0)),IF(AND($L$37=0,$P$34=0),"",$L$37-1),IF($R$17="Distrato",$E471,0)),MIN(X$38,$D$19),$P$20))-SUM($P471:W471)</f>
        <v>#VALUE!</v>
      </c>
      <c r="Y471" s="446" t="e">
        <f>IF(OR($B471="",MIN(Y$38,$D$19)&lt;MAX($P$34*($B471+IF($R$17="Distrato",$I$38-1,0)),IF(AND($L$37=0,$P$34=0),"",$L$37-1),IF($R$17="Distrato",$E471,0))),0,YEARFRAC(MAX($P$34*($B471+IF($R$17="Distrato",$I$38-1,0)),IF(AND($L$37=0,$P$34=0),"",$L$37-1),IF($R$17="Distrato",$E471,0)),MIN(Y$38,$D$19),$P$20))-SUM($P471:X471)</f>
        <v>#VALUE!</v>
      </c>
      <c r="Z471" s="446" t="e">
        <f>IF(OR($B471="",MIN(Z$38,$D$19)&lt;MAX($P$34*($B471+IF($R$17="Distrato",$I$38-1,0)),IF(AND($L$37=0,$P$34=0),"",$L$37-1),IF($R$17="Distrato",$E471,0))),0,YEARFRAC(MAX($P$34*($B471+IF($R$17="Distrato",$I$38-1,0)),IF(AND($L$37=0,$P$34=0),"",$L$37-1),IF($R$17="Distrato",$E471,0)),MIN(Z$38,$D$19),$P$20))-SUM($P471:Y471)</f>
        <v>#VALUE!</v>
      </c>
      <c r="AA471" s="446" t="e">
        <f>IF(OR($B471="",MIN(AA$38,$D$19)&lt;MAX($P$34*($B471+IF($R$17="Distrato",$I$38-1,0)),IF(AND($L$37=0,$P$34=0),"",$L$37-1),IF($R$17="Distrato",$E471,0))),0,YEARFRAC(MAX($P$34*($B471+IF($R$17="Distrato",$I$38-1,0)),IF(AND($L$37=0,$P$34=0),"",$L$37-1),IF($R$17="Distrato",$E471,0)),MIN(AA$38,$D$19),$P$20))-SUM($P471:Z471)</f>
        <v>#VALUE!</v>
      </c>
      <c r="AB471" s="446" t="e">
        <f>IF(OR($B471="",MIN(AB$38,$D$19)&lt;MAX($P$34*($B471+IF($R$17="Distrato",$I$38-1,0)),IF(AND($L$37=0,$P$34=0),"",$L$37-1),IF($R$17="Distrato",$E471,0))),0,YEARFRAC(MAX($P$34*($B471+IF($R$17="Distrato",$I$38-1,0)),IF(AND($L$37=0,$P$34=0),"",$L$37-1),IF($R$17="Distrato",$E471,0)),MIN(AB$38,$D$19),$P$20))-SUM($P471:AA471)</f>
        <v>#VALUE!</v>
      </c>
      <c r="AC471" s="446" t="e">
        <f>IF(OR($B471="",MIN(AC$38,$D$19)&lt;MAX($P$34*($B471+IF($R$17="Distrato",$I$38-1,0)),IF(AND($L$37=0,$P$34=0),"",$L$37-1),IF($R$17="Distrato",$E471,0))),0,YEARFRAC(MAX($P$34*($B471+IF($R$17="Distrato",$I$38-1,0)),IF(AND($L$37=0,$P$34=0),"",$L$37-1),IF($R$17="Distrato",$E471,0)),MIN(AC$38,$D$19),$P$20))-SUM($P471:AB471)</f>
        <v>#VALUE!</v>
      </c>
      <c r="AD471" s="446" t="e">
        <f>IF(OR($B471="",MIN(AD$38,$D$19)&lt;MAX($P$34*($B471+IF($R$17="Distrato",$I$38-1,0)),IF(AND($L$37=0,$P$34=0),"",$L$37-1),IF($R$17="Distrato",$E471,0))),0,YEARFRAC(MAX($P$34*($B471+IF($R$17="Distrato",$I$38-1,0)),IF(AND($L$37=0,$P$34=0),"",$L$37-1),IF($R$17="Distrato",$E471,0)),MIN(AD$38,$D$19),$P$20))-SUM($P471:AC471)</f>
        <v>#VALUE!</v>
      </c>
      <c r="AE471" s="446" t="e">
        <f>IF(OR($B471="",MIN(AE$38,$D$19)&lt;MAX($P$34*($B471+IF($R$17="Distrato",$I$38-1,0)),IF(AND($L$37=0,$P$34=0),"",$L$37-1),IF($R$17="Distrato",$E471,0))),0,YEARFRAC(MAX($P$34*($B471+IF($R$17="Distrato",$I$38-1,0)),IF(AND($L$37=0,$P$34=0),"",$L$37-1),IF($R$17="Distrato",$E471,0)),MIN(AE$38,$D$19),$P$20))-SUM($P471:AD471)</f>
        <v>#VALUE!</v>
      </c>
      <c r="AF471" s="446" t="e">
        <f>IF(OR($B471="",MIN(AF$38,$D$19)&lt;MAX($P$34*($B471+IF($R$17="Distrato",$I$38-1,0)),IF(AND($L$37=0,$P$34=0),"",$L$37-1),IF($R$17="Distrato",$E471,0))),0,YEARFRAC(MAX($P$34*($B471+IF($R$17="Distrato",$I$38-1,0)),IF(AND($L$37=0,$P$34=0),"",$L$37-1),IF($R$17="Distrato",$E471,0)),MIN(AF$38,$D$19),$P$20))-SUM($P471:AE471)</f>
        <v>#VALUE!</v>
      </c>
      <c r="AG471" s="446" t="e">
        <f>IF(OR($B471="",MIN(AG$38,$D$19)&lt;MAX($P$34*($B471+IF($R$17="Distrato",$I$38-1,0)),IF(AND($L$37=0,$P$34=0),"",$L$37-1),IF($R$17="Distrato",$E471,0))),0,YEARFRAC(MAX($P$34*($B471+IF($R$17="Distrato",$I$38-1,0)),IF(AND($L$37=0,$P$34=0),"",$L$37-1),IF($R$17="Distrato",$E471,0)),MIN(AG$38,$D$19),$P$20))-SUM($P471:AF471)</f>
        <v>#VALUE!</v>
      </c>
      <c r="AH471" s="446" t="e">
        <f>IF(OR($B471="",MIN(AH$38,$D$19)&lt;MAX($P$34*($B471+IF($R$17="Distrato",$I$38-1,0)),IF(AND($L$37=0,$P$34=0),"",$L$37-1),IF($R$17="Distrato",$E471,0))),0,YEARFRAC(MAX($P$34*($B471+IF($R$17="Distrato",$I$38-1,0)),IF(AND($L$37=0,$P$34=0),"",$L$37-1),IF($R$17="Distrato",$E471,0)),MIN(AH$38,$D$19),$P$20))-SUM($P471:AG471)</f>
        <v>#VALUE!</v>
      </c>
      <c r="AI471" s="446" t="e">
        <f>IF(OR($B471="",MIN(AI$38,$D$19)&lt;MAX($P$34*($B471+IF($R$17="Distrato",$I$38-1,0)),IF(AND($L$37=0,$P$34=0),"",$L$37-1),IF($R$17="Distrato",$E471,0))),0,YEARFRAC(MAX($P$34*($B471+IF($R$17="Distrato",$I$38-1,0)),IF(AND($L$37=0,$P$34=0),"",$L$37-1),IF($R$17="Distrato",$E471,0)),MIN(AI$38,$D$19),$P$20))-SUM($P471:AH471)</f>
        <v>#VALUE!</v>
      </c>
      <c r="AJ471" s="446" t="e">
        <f>IF(OR($B471="",MIN(AJ$38,$D$19)&lt;MAX($P$34*($B471+IF($R$17="Distrato",$I$38-1,0)),IF(AND($L$37=0,$P$34=0),"",$L$37-1),IF($R$17="Distrato",$E471,0))),0,YEARFRAC(MAX($P$34*($B471+IF($R$17="Distrato",$I$38-1,0)),IF(AND($L$37=0,$P$34=0),"",$L$37-1),IF($R$17="Distrato",$E471,0)),MIN(AJ$38,$D$19),$P$20))-SUM($P471:AI471)</f>
        <v>#VALUE!</v>
      </c>
      <c r="AK471" s="446" t="e">
        <f>IF(OR($B471="",MIN(AK$38,$D$19)&lt;MAX($P$34*($B471+IF($R$17="Distrato",$I$38-1,0)),IF(AND($L$37=0,$P$34=0),"",$L$37-1),IF($R$17="Distrato",$E471,0))),0,YEARFRAC(MAX($P$34*($B471+IF($R$17="Distrato",$I$38-1,0)),IF(AND($L$37=0,$P$34=0),"",$L$37-1),IF($R$17="Distrato",$E471,0)),MIN(AK$38,$D$19),$P$20))-SUM($P471:AJ471)</f>
        <v>#VALUE!</v>
      </c>
      <c r="AL471" s="446" t="e">
        <f>IF(OR($B471="",MIN(AL$38,$D$19)&lt;MAX($P$34*($B471+IF($R$17="Distrato",$I$38-1,0)),IF(AND($L$37=0,$P$34=0),"",$L$37-1),IF($R$17="Distrato",$E471,0))),0,YEARFRAC(MAX($P$34*($B471+IF($R$17="Distrato",$I$38-1,0)),IF(AND($L$37=0,$P$34=0),"",$L$37-1),IF($R$17="Distrato",$E471,0)),MIN(AL$38,$D$19),$P$20))-SUM($P471:AK471)</f>
        <v>#VALUE!</v>
      </c>
      <c r="AM471" s="446" t="e">
        <f>IF(OR($B471="",MIN(AM$38,$D$19)&lt;MAX($P$34*($B471+IF($R$17="Distrato",$I$38-1,0)),IF(AND($L$37=0,$P$34=0),"",$L$37-1),IF($R$17="Distrato",$E471,0))),0,YEARFRAC(MAX($P$34*($B471+IF($R$17="Distrato",$I$38-1,0)),IF(AND($L$37=0,$P$34=0),"",$L$37-1),IF($R$17="Distrato",$E471,0)),MIN(AM$38,$D$19),$P$20))-SUM($P471:AL471)</f>
        <v>#VALUE!</v>
      </c>
      <c r="AN471" s="446" t="e">
        <f>IF(OR($B471="",MIN(AN$38,$D$19)&lt;MAX($P$34*($B471+IF($R$17="Distrato",$I$38-1,0)),IF(AND($L$37=0,$P$34=0),"",$L$37-1),IF($R$17="Distrato",$E471,0))),0,YEARFRAC(MAX($P$34*($B471+IF($R$17="Distrato",$I$38-1,0)),IF(AND($L$37=0,$P$34=0),"",$L$37-1),IF($R$17="Distrato",$E471,0)),MIN(AN$38,$D$19),$P$20))-SUM($P471:AM471)</f>
        <v>#VALUE!</v>
      </c>
      <c r="AO471" s="446" t="e">
        <f>IF(OR($B471="",MIN(AO$38,$D$19)&lt;MAX($P$34*($B471+IF($R$17="Distrato",$I$38-1,0)),IF(AND($L$37=0,$P$34=0),"",$L$37-1),IF($R$17="Distrato",$E471,0))),0,YEARFRAC(MAX($P$34*($B471+IF($R$17="Distrato",$I$38-1,0)),IF(AND($L$37=0,$P$34=0),"",$L$37-1),IF($R$17="Distrato",$E471,0)),MIN(AO$38,$D$19),$P$20))-SUM($P471:AN471)</f>
        <v>#VALUE!</v>
      </c>
      <c r="AP471" s="446" t="e">
        <f>IF(OR($B471="",MIN(AP$38,$D$19)&lt;MAX($P$34*($B471+IF($R$17="Distrato",$I$38-1,0)),IF(AND($L$37=0,$P$34=0),"",$L$37-1),IF($R$17="Distrato",$E471,0))),0,YEARFRAC(MAX($P$34*($B471+IF($R$17="Distrato",$I$38-1,0)),IF(AND($L$37=0,$P$34=0),"",$L$37-1),IF($R$17="Distrato",$E471,0)),MIN(AP$38,$D$19),$P$20))-SUM($P471:AO471)</f>
        <v>#VALUE!</v>
      </c>
      <c r="AQ471" s="446" t="e">
        <f>IF(OR($B471="",MIN(AQ$38,$D$19)&lt;MAX($P$34*($B471+IF($R$17="Distrato",$I$38-1,0)),IF(AND($L$37=0,$P$34=0),"",$L$37-1),IF($R$17="Distrato",$E471,0))),0,YEARFRAC(MAX($P$34*($B471+IF($R$17="Distrato",$I$38-1,0)),IF(AND($L$37=0,$P$34=0),"",$L$37-1),IF($R$17="Distrato",$E471,0)),MIN(AQ$38,$D$19),$P$20))-SUM($P471:AP471)</f>
        <v>#VALUE!</v>
      </c>
      <c r="AR471" s="446" t="e">
        <f>IF(OR($B471="",MIN(AR$38,$D$19)&lt;MAX($P$34*($B471+IF($R$17="Distrato",$I$38-1,0)),IF(AND($L$37=0,$P$34=0),"",$L$37-1),IF($R$17="Distrato",$E471,0))),0,YEARFRAC(MAX($P$34*($B471+IF($R$17="Distrato",$I$38-1,0)),IF(AND($L$37=0,$P$34=0),"",$L$37-1),IF($R$17="Distrato",$E471,0)),MIN(AR$38,$D$19),$P$20))-SUM($P471:AQ471)</f>
        <v>#VALUE!</v>
      </c>
      <c r="AS471" s="446" t="e">
        <f>IF(OR($B471="",MIN(AS$38,$D$19)&lt;MAX($P$34*($B471+IF($R$17="Distrato",$I$38-1,0)),IF(AND($L$37=0,$P$34=0),"",$L$37-1),IF($R$17="Distrato",$E471,0))),0,YEARFRAC(MAX($P$34*($B471+IF($R$17="Distrato",$I$38-1,0)),IF(AND($L$37=0,$P$34=0),"",$L$37-1),IF($R$17="Distrato",$E471,0)),MIN(AS$38,$D$19),$P$20))-SUM($P471:AR471)</f>
        <v>#VALUE!</v>
      </c>
      <c r="AT471" s="446" t="e">
        <f>IF(OR($B471="",MIN(AT$38,$D$19)&lt;MAX($P$34*($B471+IF($R$17="Distrato",$I$38-1,0)),IF(AND($L$37=0,$P$34=0),"",$L$37-1),IF($R$17="Distrato",$E471,0))),0,YEARFRAC(MAX($P$34*($B471+IF($R$17="Distrato",$I$38-1,0)),IF(AND($L$37=0,$P$34=0),"",$L$37-1),IF($R$17="Distrato",$E471,0)),MIN(AT$38,$D$19),$P$20))-SUM($P471:AS471)</f>
        <v>#VALUE!</v>
      </c>
      <c r="AU471" s="446" t="e">
        <f>IF(OR($B471="",MIN(AU$38,$D$19)&lt;MAX($P$34*($B471+IF($R$17="Distrato",$I$38-1,0)),IF(AND($L$37=0,$P$34=0),"",$L$37-1),IF($R$17="Distrato",$E471,0))),0,YEARFRAC(MAX($P$34*($B471+IF($R$17="Distrato",$I$38-1,0)),IF(AND($L$37=0,$P$34=0),"",$L$37-1),IF($R$17="Distrato",$E471,0)),MIN(AU$38,$D$19),$P$20))-SUM($P471:AT471)</f>
        <v>#VALUE!</v>
      </c>
      <c r="AV471" s="446" t="e">
        <f>IF(OR($B471="",MIN(AV$38,$D$19)&lt;MAX($P$34*($B471+IF($R$17="Distrato",$I$38-1,0)),IF(AND($L$37=0,$P$34=0),"",$L$37-1),IF($R$17="Distrato",$E471,0))),0,YEARFRAC(MAX($P$34*($B471+IF($R$17="Distrato",$I$38-1,0)),IF(AND($L$37=0,$P$34=0),"",$L$37-1),IF($R$17="Distrato",$E471,0)),MIN(AV$38,$D$19),$P$20))-SUM($P471:AU471)</f>
        <v>#VALUE!</v>
      </c>
      <c r="AW471" s="446" t="e">
        <f>IF(OR($B471="",MIN(AW$38,$D$19)&lt;MAX($P$34*($B471+IF($R$17="Distrato",$I$38-1,0)),IF(AND($L$37=0,$P$34=0),"",$L$37-1),IF($R$17="Distrato",$E471,0))),0,YEARFRAC(MAX($P$34*($B471+IF($R$17="Distrato",$I$38-1,0)),IF(AND($L$37=0,$P$34=0),"",$L$37-1),IF($R$17="Distrato",$E471,0)),MIN(AW$38,$D$19),$P$20))-SUM($P471:AV471)</f>
        <v>#VALUE!</v>
      </c>
      <c r="AX471" s="446" t="e">
        <f>IF(OR($B471="",MIN(AX$38,$D$19)&lt;MAX($P$34*($B471+IF($R$17="Distrato",$I$38-1,0)),IF(AND($L$37=0,$P$34=0),"",$L$37-1),IF($R$17="Distrato",$E471,0))),0,YEARFRAC(MAX($P$34*($B471+IF($R$17="Distrato",$I$38-1,0)),IF(AND($L$37=0,$P$34=0),"",$L$37-1),IF($R$17="Distrato",$E471,0)),MIN(AX$38,$D$19),$P$20))-SUM($P471:AW471)</f>
        <v>#VALUE!</v>
      </c>
      <c r="AY471" s="446" t="e">
        <f>IF(OR($B471="",MIN(AY$38,$D$19)&lt;MAX($P$34*($B471+IF($R$17="Distrato",$I$38-1,0)),IF(AND($L$37=0,$P$34=0),"",$L$37-1),IF($R$17="Distrato",$E471,0))),0,YEARFRAC(MAX($P$34*($B471+IF($R$17="Distrato",$I$38-1,0)),IF(AND($L$37=0,$P$34=0),"",$L$37-1),IF($R$17="Distrato",$E471,0)),MIN(AY$38,$D$19),$P$20))-SUM($P471:AX471)</f>
        <v>#VALUE!</v>
      </c>
      <c r="AZ471" s="446" t="e">
        <f>IF(OR($B471="",MIN(AZ$38,$D$19)&lt;MAX($P$34*($B471+IF($R$17="Distrato",$I$38-1,0)),IF(AND($L$37=0,$P$34=0),"",$L$37-1),IF($R$17="Distrato",$E471,0))),0,YEARFRAC(MAX($P$34*($B471+IF($R$17="Distrato",$I$38-1,0)),IF(AND($L$37=0,$P$34=0),"",$L$37-1),IF($R$17="Distrato",$E471,0)),MIN(AZ$38,$D$19),$P$20))-SUM($P471:AY471)</f>
        <v>#VALUE!</v>
      </c>
      <c r="BA471" s="446" t="e">
        <f>IF(OR($B471="",MIN(BA$38,$D$19)&lt;MAX($P$34*($B471+IF($R$17="Distrato",$I$38-1,0)),IF(AND($L$37=0,$P$34=0),"",$L$37-1),IF($R$17="Distrato",$E471,0))),0,YEARFRAC(MAX($P$34*($B471+IF($R$17="Distrato",$I$38-1,0)),IF(AND($L$37=0,$P$34=0),"",$L$37-1),IF($R$17="Distrato",$E471,0)),MIN(BA$38,$D$19),$P$20))-SUM($P471:AZ471)</f>
        <v>#VALUE!</v>
      </c>
      <c r="BB471" s="447"/>
      <c r="BF471" s="446">
        <f t="shared" si="76"/>
        <v>0</v>
      </c>
      <c r="BG471" s="446">
        <f>IF($E471=0,0,IF(MIN(BG$38,$E471)&lt;MAX($P$34*($B471+$I$38-1),IF(AND($L$37=0,$P$34=0),"",$L$37-1)),0,YEARFRAC(MAX($P$34*($B471+$I$38-1),IF(AND($L$37=0,$P$34=0),"",$L$37-1)),MIN(BG$38,$E471),$P$20))-SUM($BF471:BF471))</f>
        <v>0</v>
      </c>
      <c r="BH471" s="446">
        <f>IF($E471=0,0,IF(MIN(BH$38,$E471)&lt;MAX($P$34*($B471+$I$38-1),IF(AND($L$37=0,$P$34=0),"",$L$37-1)),0,YEARFRAC(MAX($P$34*($B471+$I$38-1),IF(AND($L$37=0,$P$34=0),"",$L$37-1)),MIN(BH$38,$E471),$P$20))-SUM($BF471:BG471))</f>
        <v>0</v>
      </c>
      <c r="BI471" s="446">
        <f>IF($E471=0,0,IF(MIN(BI$38,$E471)&lt;MAX($P$34*($B471+$I$38-1),IF(AND($L$37=0,$P$34=0),"",$L$37-1)),0,YEARFRAC(MAX($P$34*($B471+$I$38-1),IF(AND($L$37=0,$P$34=0),"",$L$37-1)),MIN(BI$38,$E471),$P$20))-SUM($BF471:BH471))</f>
        <v>0</v>
      </c>
      <c r="BJ471" s="446">
        <f>IF($E471=0,0,IF(MIN(BJ$38,$E471)&lt;MAX($P$34*($B471+$I$38-1),IF(AND($L$37=0,$P$34=0),"",$L$37-1)),0,YEARFRAC(MAX($P$34*($B471+$I$38-1),IF(AND($L$37=0,$P$34=0),"",$L$37-1)),MIN(BJ$38,$E471),$P$20))-SUM($BF471:BI471))</f>
        <v>0</v>
      </c>
      <c r="BK471" s="446">
        <f>IF($E471=0,0,IF(MIN(BK$38,$E471)&lt;MAX($P$34*($B471+$I$38-1),IF(AND($L$37=0,$P$34=0),"",$L$37-1)),0,YEARFRAC(MAX($P$34*($B471+$I$38-1),IF(AND($L$37=0,$P$34=0),"",$L$37-1)),MIN(BK$38,$E471),$P$20))-SUM($BF471:BJ471))</f>
        <v>0</v>
      </c>
      <c r="BL471" s="446">
        <f>IF($E471=0,0,IF(MIN(BL$38,$E471)&lt;MAX($P$34*($B471+$I$38-1),IF(AND($L$37=0,$P$34=0),"",$L$37-1)),0,YEARFRAC(MAX($P$34*($B471+$I$38-1),IF(AND($L$37=0,$P$34=0),"",$L$37-1)),MIN(BL$38,$E471),$P$20))-SUM($BF471:BK471))</f>
        <v>0</v>
      </c>
      <c r="BM471" s="446">
        <f>IF($E471=0,0,IF(MIN(BM$38,$E471)&lt;MAX($P$34*($B471+$I$38-1),IF(AND($L$37=0,$P$34=0),"",$L$37-1)),0,YEARFRAC(MAX($P$34*($B471+$I$38-1),IF(AND($L$37=0,$P$34=0),"",$L$37-1)),MIN(BM$38,$E471),$P$20))-SUM($BF471:BL471))</f>
        <v>0</v>
      </c>
      <c r="BN471" s="446">
        <f>IF($E471=0,0,IF(MIN(BN$38,$E471)&lt;MAX($P$34*($B471+$I$38-1),IF(AND($L$37=0,$P$34=0),"",$L$37-1)),0,YEARFRAC(MAX($P$34*($B471+$I$38-1),IF(AND($L$37=0,$P$34=0),"",$L$37-1)),MIN(BN$38,$E471),$P$20))-SUM($BF471:BM471))</f>
        <v>0</v>
      </c>
      <c r="BO471" s="446">
        <f>IF($E471=0,0,IF(MIN(BO$38,$E471)&lt;MAX($P$34*($B471+$I$38-1),IF(AND($L$37=0,$P$34=0),"",$L$37-1)),0,YEARFRAC(MAX($P$34*($B471+$I$38-1),IF(AND($L$37=0,$P$34=0),"",$L$37-1)),MIN(BO$38,$E471),$P$20))-SUM($BF471:BN471))</f>
        <v>0</v>
      </c>
      <c r="BP471" s="446">
        <f>IF($E471=0,0,IF(MIN(BP$38,$E471)&lt;MAX($P$34*($B471+$I$38-1),IF(AND($L$37=0,$P$34=0),"",$L$37-1)),0,YEARFRAC(MAX($P$34*($B471+$I$38-1),IF(AND($L$37=0,$P$34=0),"",$L$37-1)),MIN(BP$38,$E471),$P$20))-SUM($BF471:BO471))</f>
        <v>0</v>
      </c>
      <c r="BQ471" s="446">
        <f>IF($E471=0,0,IF(MIN(BQ$38,$E471)&lt;MAX($P$34*($B471+$I$38-1),IF(AND($L$37=0,$P$34=0),"",$L$37-1)),0,YEARFRAC(MAX($P$34*($B471+$I$38-1),IF(AND($L$37=0,$P$34=0),"",$L$37-1)),MIN(BQ$38,$E471),$P$20))-SUM($BF471:BP471))</f>
        <v>0</v>
      </c>
      <c r="BR471" s="446">
        <f>IF($E471=0,0,IF(MIN(BR$38,$E471)&lt;MAX($P$34*($B471+$I$38-1),IF(AND($L$37=0,$P$34=0),"",$L$37-1)),0,YEARFRAC(MAX($P$34*($B471+$I$38-1),IF(AND($L$37=0,$P$34=0),"",$L$37-1)),MIN(BR$38,$E471),$P$20))-SUM($BF471:BQ471))</f>
        <v>0</v>
      </c>
      <c r="BS471" s="446">
        <f>IF($E471=0,0,IF(MIN(BS$38,$E471)&lt;MAX($P$34*($B471+$I$38-1),IF(AND($L$37=0,$P$34=0),"",$L$37-1)),0,YEARFRAC(MAX($P$34*($B471+$I$38-1),IF(AND($L$37=0,$P$34=0),"",$L$37-1)),MIN(BS$38,$E471),$P$20))-SUM($BF471:BR471))</f>
        <v>0</v>
      </c>
      <c r="BT471" s="446">
        <f>IF($E471=0,0,IF(MIN(BT$38,$E471)&lt;MAX($P$34*($B471+$I$38-1),IF(AND($L$37=0,$P$34=0),"",$L$37-1)),0,YEARFRAC(MAX($P$34*($B471+$I$38-1),IF(AND($L$37=0,$P$34=0),"",$L$37-1)),MIN(BT$38,$E471),$P$20))-SUM($BF471:BS471))</f>
        <v>0</v>
      </c>
      <c r="BU471" s="446">
        <f>IF($E471=0,0,IF(MIN(BU$38,$E471)&lt;MAX($P$34*($B471+$I$38-1),IF(AND($L$37=0,$P$34=0),"",$L$37-1)),0,YEARFRAC(MAX($P$34*($B471+$I$38-1),IF(AND($L$37=0,$P$34=0),"",$L$37-1)),MIN(BU$38,$E471),$P$20))-SUM($BF471:BT471))</f>
        <v>0</v>
      </c>
      <c r="BV471" s="446">
        <f>IF($E471=0,0,IF(MIN(BV$38,$E471)&lt;MAX($P$34*($B471+$I$38-1),IF(AND($L$37=0,$P$34=0),"",$L$37-1)),0,YEARFRAC(MAX($P$34*($B471+$I$38-1),IF(AND($L$37=0,$P$34=0),"",$L$37-1)),MIN(BV$38,$E471),$P$20))-SUM($BF471:BU471))</f>
        <v>0</v>
      </c>
      <c r="BW471" s="446">
        <f>IF($E471=0,0,IF(MIN(BW$38,$E471)&lt;MAX($P$34*($B471+$I$38-1),IF(AND($L$37=0,$P$34=0),"",$L$37-1)),0,YEARFRAC(MAX($P$34*($B471+$I$38-1),IF(AND($L$37=0,$P$34=0),"",$L$37-1)),MIN(BW$38,$E471),$P$20))-SUM($BF471:BV471))</f>
        <v>0</v>
      </c>
      <c r="BX471" s="446">
        <f>IF($E471=0,0,IF(MIN(BX$38,$E471)&lt;MAX($P$34*($B471+$I$38-1),IF(AND($L$37=0,$P$34=0),"",$L$37-1)),0,YEARFRAC(MAX($P$34*($B471+$I$38-1),IF(AND($L$37=0,$P$34=0),"",$L$37-1)),MIN(BX$38,$E471),$P$20))-SUM($BF471:BW471))</f>
        <v>0</v>
      </c>
      <c r="BY471" s="446">
        <f>IF($E471=0,0,IF(MIN(BY$38,$E471)&lt;MAX($P$34*($B471+$I$38-1),IF(AND($L$37=0,$P$34=0),"",$L$37-1)),0,YEARFRAC(MAX($P$34*($B471+$I$38-1),IF(AND($L$37=0,$P$34=0),"",$L$37-1)),MIN(BY$38,$E471),$P$20))-SUM($BF471:BX471))</f>
        <v>0</v>
      </c>
      <c r="BZ471" s="446">
        <f>IF($E471=0,0,IF(MIN(BZ$38,$E471)&lt;MAX($P$34*($B471+$I$38-1),IF(AND($L$37=0,$P$34=0),"",$L$37-1)),0,YEARFRAC(MAX($P$34*($B471+$I$38-1),IF(AND($L$37=0,$P$34=0),"",$L$37-1)),MIN(BZ$38,$E471),$P$20))-SUM($BF471:BY471))</f>
        <v>0</v>
      </c>
      <c r="CA471" s="446">
        <f>IF($E471=0,0,IF(MIN(CA$38,$E471)&lt;MAX($P$34*($B471+$I$38-1),IF(AND($L$37=0,$P$34=0),"",$L$37-1)),0,YEARFRAC(MAX($P$34*($B471+$I$38-1),IF(AND($L$37=0,$P$34=0),"",$L$37-1)),MIN(CA$38,$E471),$P$20))-SUM($BF471:BZ471))</f>
        <v>0</v>
      </c>
      <c r="CB471" s="446">
        <f>IF($E471=0,0,IF(MIN(CB$38,$E471)&lt;MAX($P$34*($B471+$I$38-1),IF(AND($L$37=0,$P$34=0),"",$L$37-1)),0,YEARFRAC(MAX($P$34*($B471+$I$38-1),IF(AND($L$37=0,$P$34=0),"",$L$37-1)),MIN(CB$38,$E471),$P$20))-SUM($BF471:CA471))</f>
        <v>0</v>
      </c>
      <c r="CC471" s="446">
        <f>IF($E471=0,0,IF(MIN(CC$38,$E471)&lt;MAX($P$34*($B471+$I$38-1),IF(AND($L$37=0,$P$34=0),"",$L$37-1)),0,YEARFRAC(MAX($P$34*($B471+$I$38-1),IF(AND($L$37=0,$P$34=0),"",$L$37-1)),MIN(CC$38,$E471),$P$20))-SUM($BF471:CB471))</f>
        <v>0</v>
      </c>
      <c r="CD471" s="446">
        <f>IF($E471=0,0,IF(MIN(CD$38,$E471)&lt;MAX($P$34*($B471+$I$38-1),IF(AND($L$37=0,$P$34=0),"",$L$37-1)),0,YEARFRAC(MAX($P$34*($B471+$I$38-1),IF(AND($L$37=0,$P$34=0),"",$L$37-1)),MIN(CD$38,$E471),$P$20))-SUM($BF471:CC471))</f>
        <v>0</v>
      </c>
      <c r="CE471" s="446">
        <f>IF($E471=0,0,IF(MIN(CE$38,$E471)&lt;MAX($P$34*($B471+$I$38-1),IF(AND($L$37=0,$P$34=0),"",$L$37-1)),0,YEARFRAC(MAX($P$34*($B471+$I$38-1),IF(AND($L$37=0,$P$34=0),"",$L$37-1)),MIN(CE$38,$E471),$P$20))-SUM($BF471:CD471))</f>
        <v>0</v>
      </c>
      <c r="CF471" s="446">
        <f>IF($E471=0,0,IF(MIN(CF$38,$E471)&lt;MAX($P$34*($B471+$I$38-1),IF(AND($L$37=0,$P$34=0),"",$L$37-1)),0,YEARFRAC(MAX($P$34*($B471+$I$38-1),IF(AND($L$37=0,$P$34=0),"",$L$37-1)),MIN(CF$38,$E471),$P$20))-SUM($BF471:CE471))</f>
        <v>0</v>
      </c>
      <c r="CG471" s="446">
        <f>IF($E471=0,0,IF(MIN(CG$38,$E471)&lt;MAX($P$34*($B471+$I$38-1),IF(AND($L$37=0,$P$34=0),"",$L$37-1)),0,YEARFRAC(MAX($P$34*($B471+$I$38-1),IF(AND($L$37=0,$P$34=0),"",$L$37-1)),MIN(CG$38,$E471),$P$20))-SUM($BF471:CF471))</f>
        <v>0</v>
      </c>
      <c r="CH471" s="446">
        <f>IF($E471=0,0,IF(MIN(CH$38,$E471)&lt;MAX($P$34*($B471+$I$38-1),IF(AND($L$37=0,$P$34=0),"",$L$37-1)),0,YEARFRAC(MAX($P$34*($B471+$I$38-1),IF(AND($L$37=0,$P$34=0),"",$L$37-1)),MIN(CH$38,$E471),$P$20))-SUM($BF471:CG471))</f>
        <v>0</v>
      </c>
      <c r="CI471" s="446">
        <f>IF($E471=0,0,IF(MIN(CI$38,$E471)&lt;MAX($P$34*($B471+$I$38-1),IF(AND($L$37=0,$P$34=0),"",$L$37-1)),0,YEARFRAC(MAX($P$34*($B471+$I$38-1),IF(AND($L$37=0,$P$34=0),"",$L$37-1)),MIN(CI$38,$E471),$P$20))-SUM($BF471:CH471))</f>
        <v>0</v>
      </c>
      <c r="CJ471" s="446">
        <f>IF($E471=0,0,IF(MIN(CJ$38,$E471)&lt;MAX($P$34*($B471+$I$38-1),IF(AND($L$37=0,$P$34=0),"",$L$37-1)),0,YEARFRAC(MAX($P$34*($B471+$I$38-1),IF(AND($L$37=0,$P$34=0),"",$L$37-1)),MIN(CJ$38,$E471),$P$20))-SUM($BF471:CI471))</f>
        <v>0</v>
      </c>
      <c r="CK471" s="446">
        <f>IF($E471=0,0,IF(MIN(CK$38,$E471)&lt;MAX($P$34*($B471+$I$38-1),IF(AND($L$37=0,$P$34=0),"",$L$37-1)),0,YEARFRAC(MAX($P$34*($B471+$I$38-1),IF(AND($L$37=0,$P$34=0),"",$L$37-1)),MIN(CK$38,$E471),$P$20))-SUM($BF471:CJ471))</f>
        <v>0</v>
      </c>
      <c r="CL471" s="446">
        <f>IF($E471=0,0,IF(MIN(CL$38,$E471)&lt;MAX($P$34*($B471+$I$38-1),IF(AND($L$37=0,$P$34=0),"",$L$37-1)),0,YEARFRAC(MAX($P$34*($B471+$I$38-1),IF(AND($L$37=0,$P$34=0),"",$L$37-1)),MIN(CL$38,$E471),$P$20))-SUM($BF471:CK471))</f>
        <v>0</v>
      </c>
      <c r="CM471" s="446">
        <f>IF($E471=0,0,IF(MIN(CM$38,$E471)&lt;MAX($P$34*($B471+$I$38-1),IF(AND($L$37=0,$P$34=0),"",$L$37-1)),0,YEARFRAC(MAX($P$34*($B471+$I$38-1),IF(AND($L$37=0,$P$34=0),"",$L$37-1)),MIN(CM$38,$E471),$P$20))-SUM($BF471:CL471))</f>
        <v>0</v>
      </c>
      <c r="CN471" s="446">
        <f>IF($E471=0,0,IF(MIN(CN$38,$E471)&lt;MAX($P$34*($B471+$I$38-1),IF(AND($L$37=0,$P$34=0),"",$L$37-1)),0,YEARFRAC(MAX($P$34*($B471+$I$38-1),IF(AND($L$37=0,$P$34=0),"",$L$37-1)),MIN(CN$38,$E471),$P$20))-SUM($BF471:CM471))</f>
        <v>0</v>
      </c>
      <c r="CO471" s="446">
        <f>IF($E471=0,0,IF(MIN(CO$38,$E471)&lt;MAX($P$34*($B471+$I$38-1),IF(AND($L$37=0,$P$34=0),"",$L$37-1)),0,YEARFRAC(MAX($P$34*($B471+$I$38-1),IF(AND($L$37=0,$P$34=0),"",$L$37-1)),MIN(CO$38,$E471),$P$20))-SUM($BF471:CN471))</f>
        <v>0</v>
      </c>
      <c r="CP471" s="446">
        <f>IF($E471=0,0,IF(MIN(CP$38,$E471)&lt;MAX($P$34*($B471+$I$38-1),IF(AND($L$37=0,$P$34=0),"",$L$37-1)),0,YEARFRAC(MAX($P$34*($B471+$I$38-1),IF(AND($L$37=0,$P$34=0),"",$L$37-1)),MIN(CP$38,$E471),$P$20))-SUM($BF471:CO471))</f>
        <v>0</v>
      </c>
      <c r="CQ471" s="446">
        <f>IF($E471=0,0,IF(MIN(CQ$38,$E471)&lt;MAX($P$34*($B471+$I$38-1),IF(AND($L$37=0,$P$34=0),"",$L$37-1)),0,YEARFRAC(MAX($P$34*($B471+$I$38-1),IF(AND($L$37=0,$P$34=0),"",$L$37-1)),MIN(CQ$38,$E471),$P$20))-SUM($BF471:CP471))</f>
        <v>0</v>
      </c>
    </row>
    <row r="472" spans="1:95" s="446" customFormat="1" ht="11.25" hidden="1" customHeight="1" x14ac:dyDescent="0.2">
      <c r="A472" s="152"/>
      <c r="B472" s="153" t="str">
        <f t="shared" si="81"/>
        <v/>
      </c>
      <c r="C472" s="29" t="str">
        <f>IF(B472="","",IF($L$35="SELIC - TRIBUTOS",VLOOKUP(DATE(YEAR($D$19),MONTH($D$19)-1,1),ÍNDICES!$A:$DE,HLOOKUP($BL$25,ÍNDICES!$B$3:$T$4,2)+11)-VLOOKUP(B472,ÍNDICES!$A:$DE,HLOOKUP($BL$25,ÍNDICES!$B$3:$T$4,2)+11)+1%,IF(C$38=$W$26,$J$35,IF(ISERROR(IF(B472&gt;$D$19,1,VLOOKUP(DATE(YEAR(B472),MONTH(B472)+IF($C$35=$S$23,1,0),1),ÍNDICES!$A:$DE,$Z$35+1))),"",IF(B472&gt;$D$19,1,VLOOKUP(DATE(YEAR(B472),MONTH(B472)+IF($C$35=$S$23,1,0),1),ÍNDICES!$A:$DE,$Z$35+1))))))</f>
        <v/>
      </c>
      <c r="D472" s="154" t="str">
        <f>IF(ISERROR(IF(OR($D$38=$Y$27,$B472=""),"",VLOOKUP(B472,ÍNDICES!A:DE,AF$35+1))),"",IF(OR($D$38=$Y$27,$B472=""),"",VLOOKUP(B472,ÍNDICES!A:DE,AF$35+1)))</f>
        <v/>
      </c>
      <c r="E472" s="153"/>
      <c r="F472" s="29" t="str">
        <f>IF(E472="","",IF($L$35="SELIC - TRIBUTOS",VLOOKUP(DATE(YEAR($D$19),MONTH($D$19)-1,1),ÍNDICES!$A:$DE,HLOOKUP($BL$25,ÍNDICES!$B$3:$T$4,2)+11)-VLOOKUP(E472,ÍNDICES!$A:$DE,HLOOKUP($BL$25,ÍNDICES!$B$3:$T$4,2)+11)+1%,IF(F$38=$W$26,$J$35,IF(ISERROR(IF(E472&gt;$D$19,1,VLOOKUP(DATE(YEAR(E472),MONTH(E472)+IF($C$35=$S$23,1,0),1),ÍNDICES!$A:$DE,$Z$35+1))),"",IF(E472&gt;$D$19,1,VLOOKUP(DATE(YEAR(E472),MONTH(E472)+IF($C$35=$S$23,1,0),1),ÍNDICES!$A:$DE,$Z$35+1))))))</f>
        <v/>
      </c>
      <c r="G472" s="155"/>
      <c r="H472" s="156" t="str">
        <f t="shared" si="77"/>
        <v/>
      </c>
      <c r="I472" s="29" t="str">
        <f t="shared" si="71"/>
        <v/>
      </c>
      <c r="J472" s="5">
        <f t="shared" si="72"/>
        <v>0</v>
      </c>
      <c r="K472" s="20">
        <f t="shared" ca="1" si="73"/>
        <v>0</v>
      </c>
      <c r="L472" s="5">
        <f t="shared" ca="1" si="74"/>
        <v>0</v>
      </c>
      <c r="M472" s="64">
        <f t="shared" si="78"/>
        <v>0</v>
      </c>
      <c r="N472" s="61">
        <f t="shared" ca="1" si="79"/>
        <v>0</v>
      </c>
      <c r="O472" s="5">
        <f t="shared" ca="1" si="80"/>
        <v>0</v>
      </c>
      <c r="P472" s="446" t="e">
        <f t="shared" si="75"/>
        <v>#VALUE!</v>
      </c>
      <c r="Q472" s="446" t="e">
        <f>IF(OR($B472="",MIN(Q$38,$D$19)&lt;MAX($P$34*($B472+IF($R$17="Distrato",$I$38-1,0)),IF(AND($L$37=0,$P$34=0),"",$L$37-1),IF($R$17="Distrato",$E472,0))),0,YEARFRAC(MAX($P$34*($B472+IF($R$17="Distrato",$I$38-1,0)),IF(AND($L$37=0,$P$34=0),"",$L$37-1),IF($R$17="Distrato",$E472,0)),MIN(Q$38,$D$19),$P$20))-SUM($P472:P472)</f>
        <v>#VALUE!</v>
      </c>
      <c r="R472" s="446" t="e">
        <f>IF(OR($B472="",MIN(R$38,$D$19)&lt;MAX($P$34*($B472+IF($R$17="Distrato",$I$38-1,0)),IF(AND($L$37=0,$P$34=0),"",$L$37-1),IF($R$17="Distrato",$E472,0))),0,YEARFRAC(MAX($P$34*($B472+IF($R$17="Distrato",$I$38-1,0)),IF(AND($L$37=0,$P$34=0),"",$L$37-1),IF($R$17="Distrato",$E472,0)),MIN(R$38,$D$19),$P$20))-SUM($P472:Q472)</f>
        <v>#VALUE!</v>
      </c>
      <c r="S472" s="446" t="e">
        <f>IF(OR($B472="",MIN(S$38,$D$19)&lt;MAX($P$34*($B472+IF($R$17="Distrato",$I$38-1,0)),IF(AND($L$37=0,$P$34=0),"",$L$37-1),IF($R$17="Distrato",$E472,0))),0,YEARFRAC(MAX($P$34*($B472+IF($R$17="Distrato",$I$38-1,0)),IF(AND($L$37=0,$P$34=0),"",$L$37-1),IF($R$17="Distrato",$E472,0)),MIN(S$38,$D$19),$P$20))-SUM($P472:R472)</f>
        <v>#VALUE!</v>
      </c>
      <c r="T472" s="446" t="e">
        <f>IF(OR($B472="",MIN(T$38,$D$19)&lt;MAX($P$34*($B472+IF($R$17="Distrato",$I$38-1,0)),IF(AND($L$37=0,$P$34=0),"",$L$37-1),IF($R$17="Distrato",$E472,0))),0,YEARFRAC(MAX($P$34*($B472+IF($R$17="Distrato",$I$38-1,0)),IF(AND($L$37=0,$P$34=0),"",$L$37-1),IF($R$17="Distrato",$E472,0)),MIN(T$38,$D$19),$P$20))-SUM($P472:S472)</f>
        <v>#VALUE!</v>
      </c>
      <c r="U472" s="446" t="e">
        <f>IF(OR($B472="",MIN(U$38,$D$19)&lt;MAX($P$34*($B472+IF($R$17="Distrato",$I$38-1,0)),IF(AND($L$37=0,$P$34=0),"",$L$37-1),IF($R$17="Distrato",$E472,0))),0,YEARFRAC(MAX($P$34*($B472+IF($R$17="Distrato",$I$38-1,0)),IF(AND($L$37=0,$P$34=0),"",$L$37-1),IF($R$17="Distrato",$E472,0)),MIN(U$38,$D$19),$P$20))-SUM($P472:T472)</f>
        <v>#VALUE!</v>
      </c>
      <c r="V472" s="446" t="e">
        <f>IF(OR($B472="",MIN(V$38,$D$19)&lt;MAX($P$34*($B472+IF($R$17="Distrato",$I$38-1,0)),IF(AND($L$37=0,$P$34=0),"",$L$37-1),IF($R$17="Distrato",$E472,0))),0,YEARFRAC(MAX($P$34*($B472+IF($R$17="Distrato",$I$38-1,0)),IF(AND($L$37=0,$P$34=0),"",$L$37-1),IF($R$17="Distrato",$E472,0)),MIN(V$38,$D$19),$P$20))-SUM($P472:U472)</f>
        <v>#VALUE!</v>
      </c>
      <c r="W472" s="446" t="e">
        <f>IF(OR($B472="",MIN(W$38,$D$19)&lt;MAX($P$34*($B472+IF($R$17="Distrato",$I$38-1,0)),IF(AND($L$37=0,$P$34=0),"",$L$37-1),IF($R$17="Distrato",$E472,0))),0,YEARFRAC(MAX($P$34*($B472+IF($R$17="Distrato",$I$38-1,0)),IF(AND($L$37=0,$P$34=0),"",$L$37-1),IF($R$17="Distrato",$E472,0)),MIN(W$38,$D$19),$P$20))-SUM($P472:V472)</f>
        <v>#VALUE!</v>
      </c>
      <c r="X472" s="446" t="e">
        <f>IF(OR($B472="",MIN(X$38,$D$19)&lt;MAX($P$34*($B472+IF($R$17="Distrato",$I$38-1,0)),IF(AND($L$37=0,$P$34=0),"",$L$37-1),IF($R$17="Distrato",$E472,0))),0,YEARFRAC(MAX($P$34*($B472+IF($R$17="Distrato",$I$38-1,0)),IF(AND($L$37=0,$P$34=0),"",$L$37-1),IF($R$17="Distrato",$E472,0)),MIN(X$38,$D$19),$P$20))-SUM($P472:W472)</f>
        <v>#VALUE!</v>
      </c>
      <c r="Y472" s="446" t="e">
        <f>IF(OR($B472="",MIN(Y$38,$D$19)&lt;MAX($P$34*($B472+IF($R$17="Distrato",$I$38-1,0)),IF(AND($L$37=0,$P$34=0),"",$L$37-1),IF($R$17="Distrato",$E472,0))),0,YEARFRAC(MAX($P$34*($B472+IF($R$17="Distrato",$I$38-1,0)),IF(AND($L$37=0,$P$34=0),"",$L$37-1),IF($R$17="Distrato",$E472,0)),MIN(Y$38,$D$19),$P$20))-SUM($P472:X472)</f>
        <v>#VALUE!</v>
      </c>
      <c r="Z472" s="446" t="e">
        <f>IF(OR($B472="",MIN(Z$38,$D$19)&lt;MAX($P$34*($B472+IF($R$17="Distrato",$I$38-1,0)),IF(AND($L$37=0,$P$34=0),"",$L$37-1),IF($R$17="Distrato",$E472,0))),0,YEARFRAC(MAX($P$34*($B472+IF($R$17="Distrato",$I$38-1,0)),IF(AND($L$37=0,$P$34=0),"",$L$37-1),IF($R$17="Distrato",$E472,0)),MIN(Z$38,$D$19),$P$20))-SUM($P472:Y472)</f>
        <v>#VALUE!</v>
      </c>
      <c r="AA472" s="446" t="e">
        <f>IF(OR($B472="",MIN(AA$38,$D$19)&lt;MAX($P$34*($B472+IF($R$17="Distrato",$I$38-1,0)),IF(AND($L$37=0,$P$34=0),"",$L$37-1),IF($R$17="Distrato",$E472,0))),0,YEARFRAC(MAX($P$34*($B472+IF($R$17="Distrato",$I$38-1,0)),IF(AND($L$37=0,$P$34=0),"",$L$37-1),IF($R$17="Distrato",$E472,0)),MIN(AA$38,$D$19),$P$20))-SUM($P472:Z472)</f>
        <v>#VALUE!</v>
      </c>
      <c r="AB472" s="446" t="e">
        <f>IF(OR($B472="",MIN(AB$38,$D$19)&lt;MAX($P$34*($B472+IF($R$17="Distrato",$I$38-1,0)),IF(AND($L$37=0,$P$34=0),"",$L$37-1),IF($R$17="Distrato",$E472,0))),0,YEARFRAC(MAX($P$34*($B472+IF($R$17="Distrato",$I$38-1,0)),IF(AND($L$37=0,$P$34=0),"",$L$37-1),IF($R$17="Distrato",$E472,0)),MIN(AB$38,$D$19),$P$20))-SUM($P472:AA472)</f>
        <v>#VALUE!</v>
      </c>
      <c r="AC472" s="446" t="e">
        <f>IF(OR($B472="",MIN(AC$38,$D$19)&lt;MAX($P$34*($B472+IF($R$17="Distrato",$I$38-1,0)),IF(AND($L$37=0,$P$34=0),"",$L$37-1),IF($R$17="Distrato",$E472,0))),0,YEARFRAC(MAX($P$34*($B472+IF($R$17="Distrato",$I$38-1,0)),IF(AND($L$37=0,$P$34=0),"",$L$37-1),IF($R$17="Distrato",$E472,0)),MIN(AC$38,$D$19),$P$20))-SUM($P472:AB472)</f>
        <v>#VALUE!</v>
      </c>
      <c r="AD472" s="446" t="e">
        <f>IF(OR($B472="",MIN(AD$38,$D$19)&lt;MAX($P$34*($B472+IF($R$17="Distrato",$I$38-1,0)),IF(AND($L$37=0,$P$34=0),"",$L$37-1),IF($R$17="Distrato",$E472,0))),0,YEARFRAC(MAX($P$34*($B472+IF($R$17="Distrato",$I$38-1,0)),IF(AND($L$37=0,$P$34=0),"",$L$37-1),IF($R$17="Distrato",$E472,0)),MIN(AD$38,$D$19),$P$20))-SUM($P472:AC472)</f>
        <v>#VALUE!</v>
      </c>
      <c r="AE472" s="446" t="e">
        <f>IF(OR($B472="",MIN(AE$38,$D$19)&lt;MAX($P$34*($B472+IF($R$17="Distrato",$I$38-1,0)),IF(AND($L$37=0,$P$34=0),"",$L$37-1),IF($R$17="Distrato",$E472,0))),0,YEARFRAC(MAX($P$34*($B472+IF($R$17="Distrato",$I$38-1,0)),IF(AND($L$37=0,$P$34=0),"",$L$37-1),IF($R$17="Distrato",$E472,0)),MIN(AE$38,$D$19),$P$20))-SUM($P472:AD472)</f>
        <v>#VALUE!</v>
      </c>
      <c r="AF472" s="446" t="e">
        <f>IF(OR($B472="",MIN(AF$38,$D$19)&lt;MAX($P$34*($B472+IF($R$17="Distrato",$I$38-1,0)),IF(AND($L$37=0,$P$34=0),"",$L$37-1),IF($R$17="Distrato",$E472,0))),0,YEARFRAC(MAX($P$34*($B472+IF($R$17="Distrato",$I$38-1,0)),IF(AND($L$37=0,$P$34=0),"",$L$37-1),IF($R$17="Distrato",$E472,0)),MIN(AF$38,$D$19),$P$20))-SUM($P472:AE472)</f>
        <v>#VALUE!</v>
      </c>
      <c r="AG472" s="446" t="e">
        <f>IF(OR($B472="",MIN(AG$38,$D$19)&lt;MAX($P$34*($B472+IF($R$17="Distrato",$I$38-1,0)),IF(AND($L$37=0,$P$34=0),"",$L$37-1),IF($R$17="Distrato",$E472,0))),0,YEARFRAC(MAX($P$34*($B472+IF($R$17="Distrato",$I$38-1,0)),IF(AND($L$37=0,$P$34=0),"",$L$37-1),IF($R$17="Distrato",$E472,0)),MIN(AG$38,$D$19),$P$20))-SUM($P472:AF472)</f>
        <v>#VALUE!</v>
      </c>
      <c r="AH472" s="446" t="e">
        <f>IF(OR($B472="",MIN(AH$38,$D$19)&lt;MAX($P$34*($B472+IF($R$17="Distrato",$I$38-1,0)),IF(AND($L$37=0,$P$34=0),"",$L$37-1),IF($R$17="Distrato",$E472,0))),0,YEARFRAC(MAX($P$34*($B472+IF($R$17="Distrato",$I$38-1,0)),IF(AND($L$37=0,$P$34=0),"",$L$37-1),IF($R$17="Distrato",$E472,0)),MIN(AH$38,$D$19),$P$20))-SUM($P472:AG472)</f>
        <v>#VALUE!</v>
      </c>
      <c r="AI472" s="446" t="e">
        <f>IF(OR($B472="",MIN(AI$38,$D$19)&lt;MAX($P$34*($B472+IF($R$17="Distrato",$I$38-1,0)),IF(AND($L$37=0,$P$34=0),"",$L$37-1),IF($R$17="Distrato",$E472,0))),0,YEARFRAC(MAX($P$34*($B472+IF($R$17="Distrato",$I$38-1,0)),IF(AND($L$37=0,$P$34=0),"",$L$37-1),IF($R$17="Distrato",$E472,0)),MIN(AI$38,$D$19),$P$20))-SUM($P472:AH472)</f>
        <v>#VALUE!</v>
      </c>
      <c r="AJ472" s="446" t="e">
        <f>IF(OR($B472="",MIN(AJ$38,$D$19)&lt;MAX($P$34*($B472+IF($R$17="Distrato",$I$38-1,0)),IF(AND($L$37=0,$P$34=0),"",$L$37-1),IF($R$17="Distrato",$E472,0))),0,YEARFRAC(MAX($P$34*($B472+IF($R$17="Distrato",$I$38-1,0)),IF(AND($L$37=0,$P$34=0),"",$L$37-1),IF($R$17="Distrato",$E472,0)),MIN(AJ$38,$D$19),$P$20))-SUM($P472:AI472)</f>
        <v>#VALUE!</v>
      </c>
      <c r="AK472" s="446" t="e">
        <f>IF(OR($B472="",MIN(AK$38,$D$19)&lt;MAX($P$34*($B472+IF($R$17="Distrato",$I$38-1,0)),IF(AND($L$37=0,$P$34=0),"",$L$37-1),IF($R$17="Distrato",$E472,0))),0,YEARFRAC(MAX($P$34*($B472+IF($R$17="Distrato",$I$38-1,0)),IF(AND($L$37=0,$P$34=0),"",$L$37-1),IF($R$17="Distrato",$E472,0)),MIN(AK$38,$D$19),$P$20))-SUM($P472:AJ472)</f>
        <v>#VALUE!</v>
      </c>
      <c r="AL472" s="446" t="e">
        <f>IF(OR($B472="",MIN(AL$38,$D$19)&lt;MAX($P$34*($B472+IF($R$17="Distrato",$I$38-1,0)),IF(AND($L$37=0,$P$34=0),"",$L$37-1),IF($R$17="Distrato",$E472,0))),0,YEARFRAC(MAX($P$34*($B472+IF($R$17="Distrato",$I$38-1,0)),IF(AND($L$37=0,$P$34=0),"",$L$37-1),IF($R$17="Distrato",$E472,0)),MIN(AL$38,$D$19),$P$20))-SUM($P472:AK472)</f>
        <v>#VALUE!</v>
      </c>
      <c r="AM472" s="446" t="e">
        <f>IF(OR($B472="",MIN(AM$38,$D$19)&lt;MAX($P$34*($B472+IF($R$17="Distrato",$I$38-1,0)),IF(AND($L$37=0,$P$34=0),"",$L$37-1),IF($R$17="Distrato",$E472,0))),0,YEARFRAC(MAX($P$34*($B472+IF($R$17="Distrato",$I$38-1,0)),IF(AND($L$37=0,$P$34=0),"",$L$37-1),IF($R$17="Distrato",$E472,0)),MIN(AM$38,$D$19),$P$20))-SUM($P472:AL472)</f>
        <v>#VALUE!</v>
      </c>
      <c r="AN472" s="446" t="e">
        <f>IF(OR($B472="",MIN(AN$38,$D$19)&lt;MAX($P$34*($B472+IF($R$17="Distrato",$I$38-1,0)),IF(AND($L$37=0,$P$34=0),"",$L$37-1),IF($R$17="Distrato",$E472,0))),0,YEARFRAC(MAX($P$34*($B472+IF($R$17="Distrato",$I$38-1,0)),IF(AND($L$37=0,$P$34=0),"",$L$37-1),IF($R$17="Distrato",$E472,0)),MIN(AN$38,$D$19),$P$20))-SUM($P472:AM472)</f>
        <v>#VALUE!</v>
      </c>
      <c r="AO472" s="446" t="e">
        <f>IF(OR($B472="",MIN(AO$38,$D$19)&lt;MAX($P$34*($B472+IF($R$17="Distrato",$I$38-1,0)),IF(AND($L$37=0,$P$34=0),"",$L$37-1),IF($R$17="Distrato",$E472,0))),0,YEARFRAC(MAX($P$34*($B472+IF($R$17="Distrato",$I$38-1,0)),IF(AND($L$37=0,$P$34=0),"",$L$37-1),IF($R$17="Distrato",$E472,0)),MIN(AO$38,$D$19),$P$20))-SUM($P472:AN472)</f>
        <v>#VALUE!</v>
      </c>
      <c r="AP472" s="446" t="e">
        <f>IF(OR($B472="",MIN(AP$38,$D$19)&lt;MAX($P$34*($B472+IF($R$17="Distrato",$I$38-1,0)),IF(AND($L$37=0,$P$34=0),"",$L$37-1),IF($R$17="Distrato",$E472,0))),0,YEARFRAC(MAX($P$34*($B472+IF($R$17="Distrato",$I$38-1,0)),IF(AND($L$37=0,$P$34=0),"",$L$37-1),IF($R$17="Distrato",$E472,0)),MIN(AP$38,$D$19),$P$20))-SUM($P472:AO472)</f>
        <v>#VALUE!</v>
      </c>
      <c r="AQ472" s="446" t="e">
        <f>IF(OR($B472="",MIN(AQ$38,$D$19)&lt;MAX($P$34*($B472+IF($R$17="Distrato",$I$38-1,0)),IF(AND($L$37=0,$P$34=0),"",$L$37-1),IF($R$17="Distrato",$E472,0))),0,YEARFRAC(MAX($P$34*($B472+IF($R$17="Distrato",$I$38-1,0)),IF(AND($L$37=0,$P$34=0),"",$L$37-1),IF($R$17="Distrato",$E472,0)),MIN(AQ$38,$D$19),$P$20))-SUM($P472:AP472)</f>
        <v>#VALUE!</v>
      </c>
      <c r="AR472" s="446" t="e">
        <f>IF(OR($B472="",MIN(AR$38,$D$19)&lt;MAX($P$34*($B472+IF($R$17="Distrato",$I$38-1,0)),IF(AND($L$37=0,$P$34=0),"",$L$37-1),IF($R$17="Distrato",$E472,0))),0,YEARFRAC(MAX($P$34*($B472+IF($R$17="Distrato",$I$38-1,0)),IF(AND($L$37=0,$P$34=0),"",$L$37-1),IF($R$17="Distrato",$E472,0)),MIN(AR$38,$D$19),$P$20))-SUM($P472:AQ472)</f>
        <v>#VALUE!</v>
      </c>
      <c r="AS472" s="446" t="e">
        <f>IF(OR($B472="",MIN(AS$38,$D$19)&lt;MAX($P$34*($B472+IF($R$17="Distrato",$I$38-1,0)),IF(AND($L$37=0,$P$34=0),"",$L$37-1),IF($R$17="Distrato",$E472,0))),0,YEARFRAC(MAX($P$34*($B472+IF($R$17="Distrato",$I$38-1,0)),IF(AND($L$37=0,$P$34=0),"",$L$37-1),IF($R$17="Distrato",$E472,0)),MIN(AS$38,$D$19),$P$20))-SUM($P472:AR472)</f>
        <v>#VALUE!</v>
      </c>
      <c r="AT472" s="446" t="e">
        <f>IF(OR($B472="",MIN(AT$38,$D$19)&lt;MAX($P$34*($B472+IF($R$17="Distrato",$I$38-1,0)),IF(AND($L$37=0,$P$34=0),"",$L$37-1),IF($R$17="Distrato",$E472,0))),0,YEARFRAC(MAX($P$34*($B472+IF($R$17="Distrato",$I$38-1,0)),IF(AND($L$37=0,$P$34=0),"",$L$37-1),IF($R$17="Distrato",$E472,0)),MIN(AT$38,$D$19),$P$20))-SUM($P472:AS472)</f>
        <v>#VALUE!</v>
      </c>
      <c r="AU472" s="446" t="e">
        <f>IF(OR($B472="",MIN(AU$38,$D$19)&lt;MAX($P$34*($B472+IF($R$17="Distrato",$I$38-1,0)),IF(AND($L$37=0,$P$34=0),"",$L$37-1),IF($R$17="Distrato",$E472,0))),0,YEARFRAC(MAX($P$34*($B472+IF($R$17="Distrato",$I$38-1,0)),IF(AND($L$37=0,$P$34=0),"",$L$37-1),IF($R$17="Distrato",$E472,0)),MIN(AU$38,$D$19),$P$20))-SUM($P472:AT472)</f>
        <v>#VALUE!</v>
      </c>
      <c r="AV472" s="446" t="e">
        <f>IF(OR($B472="",MIN(AV$38,$D$19)&lt;MAX($P$34*($B472+IF($R$17="Distrato",$I$38-1,0)),IF(AND($L$37=0,$P$34=0),"",$L$37-1),IF($R$17="Distrato",$E472,0))),0,YEARFRAC(MAX($P$34*($B472+IF($R$17="Distrato",$I$38-1,0)),IF(AND($L$37=0,$P$34=0),"",$L$37-1),IF($R$17="Distrato",$E472,0)),MIN(AV$38,$D$19),$P$20))-SUM($P472:AU472)</f>
        <v>#VALUE!</v>
      </c>
      <c r="AW472" s="446" t="e">
        <f>IF(OR($B472="",MIN(AW$38,$D$19)&lt;MAX($P$34*($B472+IF($R$17="Distrato",$I$38-1,0)),IF(AND($L$37=0,$P$34=0),"",$L$37-1),IF($R$17="Distrato",$E472,0))),0,YEARFRAC(MAX($P$34*($B472+IF($R$17="Distrato",$I$38-1,0)),IF(AND($L$37=0,$P$34=0),"",$L$37-1),IF($R$17="Distrato",$E472,0)),MIN(AW$38,$D$19),$P$20))-SUM($P472:AV472)</f>
        <v>#VALUE!</v>
      </c>
      <c r="AX472" s="446" t="e">
        <f>IF(OR($B472="",MIN(AX$38,$D$19)&lt;MAX($P$34*($B472+IF($R$17="Distrato",$I$38-1,0)),IF(AND($L$37=0,$P$34=0),"",$L$37-1),IF($R$17="Distrato",$E472,0))),0,YEARFRAC(MAX($P$34*($B472+IF($R$17="Distrato",$I$38-1,0)),IF(AND($L$37=0,$P$34=0),"",$L$37-1),IF($R$17="Distrato",$E472,0)),MIN(AX$38,$D$19),$P$20))-SUM($P472:AW472)</f>
        <v>#VALUE!</v>
      </c>
      <c r="AY472" s="446" t="e">
        <f>IF(OR($B472="",MIN(AY$38,$D$19)&lt;MAX($P$34*($B472+IF($R$17="Distrato",$I$38-1,0)),IF(AND($L$37=0,$P$34=0),"",$L$37-1),IF($R$17="Distrato",$E472,0))),0,YEARFRAC(MAX($P$34*($B472+IF($R$17="Distrato",$I$38-1,0)),IF(AND($L$37=0,$P$34=0),"",$L$37-1),IF($R$17="Distrato",$E472,0)),MIN(AY$38,$D$19),$P$20))-SUM($P472:AX472)</f>
        <v>#VALUE!</v>
      </c>
      <c r="AZ472" s="446" t="e">
        <f>IF(OR($B472="",MIN(AZ$38,$D$19)&lt;MAX($P$34*($B472+IF($R$17="Distrato",$I$38-1,0)),IF(AND($L$37=0,$P$34=0),"",$L$37-1),IF($R$17="Distrato",$E472,0))),0,YEARFRAC(MAX($P$34*($B472+IF($R$17="Distrato",$I$38-1,0)),IF(AND($L$37=0,$P$34=0),"",$L$37-1),IF($R$17="Distrato",$E472,0)),MIN(AZ$38,$D$19),$P$20))-SUM($P472:AY472)</f>
        <v>#VALUE!</v>
      </c>
      <c r="BA472" s="446" t="e">
        <f>IF(OR($B472="",MIN(BA$38,$D$19)&lt;MAX($P$34*($B472+IF($R$17="Distrato",$I$38-1,0)),IF(AND($L$37=0,$P$34=0),"",$L$37-1),IF($R$17="Distrato",$E472,0))),0,YEARFRAC(MAX($P$34*($B472+IF($R$17="Distrato",$I$38-1,0)),IF(AND($L$37=0,$P$34=0),"",$L$37-1),IF($R$17="Distrato",$E472,0)),MIN(BA$38,$D$19),$P$20))-SUM($P472:AZ472)</f>
        <v>#VALUE!</v>
      </c>
      <c r="BB472" s="447"/>
      <c r="BF472" s="446">
        <f t="shared" si="76"/>
        <v>0</v>
      </c>
      <c r="BG472" s="446">
        <f>IF($E472=0,0,IF(MIN(BG$38,$E472)&lt;MAX($P$34*($B472+$I$38-1),IF(AND($L$37=0,$P$34=0),"",$L$37-1)),0,YEARFRAC(MAX($P$34*($B472+$I$38-1),IF(AND($L$37=0,$P$34=0),"",$L$37-1)),MIN(BG$38,$E472),$P$20))-SUM($BF472:BF472))</f>
        <v>0</v>
      </c>
      <c r="BH472" s="446">
        <f>IF($E472=0,0,IF(MIN(BH$38,$E472)&lt;MAX($P$34*($B472+$I$38-1),IF(AND($L$37=0,$P$34=0),"",$L$37-1)),0,YEARFRAC(MAX($P$34*($B472+$I$38-1),IF(AND($L$37=0,$P$34=0),"",$L$37-1)),MIN(BH$38,$E472),$P$20))-SUM($BF472:BG472))</f>
        <v>0</v>
      </c>
      <c r="BI472" s="446">
        <f>IF($E472=0,0,IF(MIN(BI$38,$E472)&lt;MAX($P$34*($B472+$I$38-1),IF(AND($L$37=0,$P$34=0),"",$L$37-1)),0,YEARFRAC(MAX($P$34*($B472+$I$38-1),IF(AND($L$37=0,$P$34=0),"",$L$37-1)),MIN(BI$38,$E472),$P$20))-SUM($BF472:BH472))</f>
        <v>0</v>
      </c>
      <c r="BJ472" s="446">
        <f>IF($E472=0,0,IF(MIN(BJ$38,$E472)&lt;MAX($P$34*($B472+$I$38-1),IF(AND($L$37=0,$P$34=0),"",$L$37-1)),0,YEARFRAC(MAX($P$34*($B472+$I$38-1),IF(AND($L$37=0,$P$34=0),"",$L$37-1)),MIN(BJ$38,$E472),$P$20))-SUM($BF472:BI472))</f>
        <v>0</v>
      </c>
      <c r="BK472" s="446">
        <f>IF($E472=0,0,IF(MIN(BK$38,$E472)&lt;MAX($P$34*($B472+$I$38-1),IF(AND($L$37=0,$P$34=0),"",$L$37-1)),0,YEARFRAC(MAX($P$34*($B472+$I$38-1),IF(AND($L$37=0,$P$34=0),"",$L$37-1)),MIN(BK$38,$E472),$P$20))-SUM($BF472:BJ472))</f>
        <v>0</v>
      </c>
      <c r="BL472" s="446">
        <f>IF($E472=0,0,IF(MIN(BL$38,$E472)&lt;MAX($P$34*($B472+$I$38-1),IF(AND($L$37=0,$P$34=0),"",$L$37-1)),0,YEARFRAC(MAX($P$34*($B472+$I$38-1),IF(AND($L$37=0,$P$34=0),"",$L$37-1)),MIN(BL$38,$E472),$P$20))-SUM($BF472:BK472))</f>
        <v>0</v>
      </c>
      <c r="BM472" s="446">
        <f>IF($E472=0,0,IF(MIN(BM$38,$E472)&lt;MAX($P$34*($B472+$I$38-1),IF(AND($L$37=0,$P$34=0),"",$L$37-1)),0,YEARFRAC(MAX($P$34*($B472+$I$38-1),IF(AND($L$37=0,$P$34=0),"",$L$37-1)),MIN(BM$38,$E472),$P$20))-SUM($BF472:BL472))</f>
        <v>0</v>
      </c>
      <c r="BN472" s="446">
        <f>IF($E472=0,0,IF(MIN(BN$38,$E472)&lt;MAX($P$34*($B472+$I$38-1),IF(AND($L$37=0,$P$34=0),"",$L$37-1)),0,YEARFRAC(MAX($P$34*($B472+$I$38-1),IF(AND($L$37=0,$P$34=0),"",$L$37-1)),MIN(BN$38,$E472),$P$20))-SUM($BF472:BM472))</f>
        <v>0</v>
      </c>
      <c r="BO472" s="446">
        <f>IF($E472=0,0,IF(MIN(BO$38,$E472)&lt;MAX($P$34*($B472+$I$38-1),IF(AND($L$37=0,$P$34=0),"",$L$37-1)),0,YEARFRAC(MAX($P$34*($B472+$I$38-1),IF(AND($L$37=0,$P$34=0),"",$L$37-1)),MIN(BO$38,$E472),$P$20))-SUM($BF472:BN472))</f>
        <v>0</v>
      </c>
      <c r="BP472" s="446">
        <f>IF($E472=0,0,IF(MIN(BP$38,$E472)&lt;MAX($P$34*($B472+$I$38-1),IF(AND($L$37=0,$P$34=0),"",$L$37-1)),0,YEARFRAC(MAX($P$34*($B472+$I$38-1),IF(AND($L$37=0,$P$34=0),"",$L$37-1)),MIN(BP$38,$E472),$P$20))-SUM($BF472:BO472))</f>
        <v>0</v>
      </c>
      <c r="BQ472" s="446">
        <f>IF($E472=0,0,IF(MIN(BQ$38,$E472)&lt;MAX($P$34*($B472+$I$38-1),IF(AND($L$37=0,$P$34=0),"",$L$37-1)),0,YEARFRAC(MAX($P$34*($B472+$I$38-1),IF(AND($L$37=0,$P$34=0),"",$L$37-1)),MIN(BQ$38,$E472),$P$20))-SUM($BF472:BP472))</f>
        <v>0</v>
      </c>
      <c r="BR472" s="446">
        <f>IF($E472=0,0,IF(MIN(BR$38,$E472)&lt;MAX($P$34*($B472+$I$38-1),IF(AND($L$37=0,$P$34=0),"",$L$37-1)),0,YEARFRAC(MAX($P$34*($B472+$I$38-1),IF(AND($L$37=0,$P$34=0),"",$L$37-1)),MIN(BR$38,$E472),$P$20))-SUM($BF472:BQ472))</f>
        <v>0</v>
      </c>
      <c r="BS472" s="446">
        <f>IF($E472=0,0,IF(MIN(BS$38,$E472)&lt;MAX($P$34*($B472+$I$38-1),IF(AND($L$37=0,$P$34=0),"",$L$37-1)),0,YEARFRAC(MAX($P$34*($B472+$I$38-1),IF(AND($L$37=0,$P$34=0),"",$L$37-1)),MIN(BS$38,$E472),$P$20))-SUM($BF472:BR472))</f>
        <v>0</v>
      </c>
      <c r="BT472" s="446">
        <f>IF($E472=0,0,IF(MIN(BT$38,$E472)&lt;MAX($P$34*($B472+$I$38-1),IF(AND($L$37=0,$P$34=0),"",$L$37-1)),0,YEARFRAC(MAX($P$34*($B472+$I$38-1),IF(AND($L$37=0,$P$34=0),"",$L$37-1)),MIN(BT$38,$E472),$P$20))-SUM($BF472:BS472))</f>
        <v>0</v>
      </c>
      <c r="BU472" s="446">
        <f>IF($E472=0,0,IF(MIN(BU$38,$E472)&lt;MAX($P$34*($B472+$I$38-1),IF(AND($L$37=0,$P$34=0),"",$L$37-1)),0,YEARFRAC(MAX($P$34*($B472+$I$38-1),IF(AND($L$37=0,$P$34=0),"",$L$37-1)),MIN(BU$38,$E472),$P$20))-SUM($BF472:BT472))</f>
        <v>0</v>
      </c>
      <c r="BV472" s="446">
        <f>IF($E472=0,0,IF(MIN(BV$38,$E472)&lt;MAX($P$34*($B472+$I$38-1),IF(AND($L$37=0,$P$34=0),"",$L$37-1)),0,YEARFRAC(MAX($P$34*($B472+$I$38-1),IF(AND($L$37=0,$P$34=0),"",$L$37-1)),MIN(BV$38,$E472),$P$20))-SUM($BF472:BU472))</f>
        <v>0</v>
      </c>
      <c r="BW472" s="446">
        <f>IF($E472=0,0,IF(MIN(BW$38,$E472)&lt;MAX($P$34*($B472+$I$38-1),IF(AND($L$37=0,$P$34=0),"",$L$37-1)),0,YEARFRAC(MAX($P$34*($B472+$I$38-1),IF(AND($L$37=0,$P$34=0),"",$L$37-1)),MIN(BW$38,$E472),$P$20))-SUM($BF472:BV472))</f>
        <v>0</v>
      </c>
      <c r="BX472" s="446">
        <f>IF($E472=0,0,IF(MIN(BX$38,$E472)&lt;MAX($P$34*($B472+$I$38-1),IF(AND($L$37=0,$P$34=0),"",$L$37-1)),0,YEARFRAC(MAX($P$34*($B472+$I$38-1),IF(AND($L$37=0,$P$34=0),"",$L$37-1)),MIN(BX$38,$E472),$P$20))-SUM($BF472:BW472))</f>
        <v>0</v>
      </c>
      <c r="BY472" s="446">
        <f>IF($E472=0,0,IF(MIN(BY$38,$E472)&lt;MAX($P$34*($B472+$I$38-1),IF(AND($L$37=0,$P$34=0),"",$L$37-1)),0,YEARFRAC(MAX($P$34*($B472+$I$38-1),IF(AND($L$37=0,$P$34=0),"",$L$37-1)),MIN(BY$38,$E472),$P$20))-SUM($BF472:BX472))</f>
        <v>0</v>
      </c>
      <c r="BZ472" s="446">
        <f>IF($E472=0,0,IF(MIN(BZ$38,$E472)&lt;MAX($P$34*($B472+$I$38-1),IF(AND($L$37=0,$P$34=0),"",$L$37-1)),0,YEARFRAC(MAX($P$34*($B472+$I$38-1),IF(AND($L$37=0,$P$34=0),"",$L$37-1)),MIN(BZ$38,$E472),$P$20))-SUM($BF472:BY472))</f>
        <v>0</v>
      </c>
      <c r="CA472" s="446">
        <f>IF($E472=0,0,IF(MIN(CA$38,$E472)&lt;MAX($P$34*($B472+$I$38-1),IF(AND($L$37=0,$P$34=0),"",$L$37-1)),0,YEARFRAC(MAX($P$34*($B472+$I$38-1),IF(AND($L$37=0,$P$34=0),"",$L$37-1)),MIN(CA$38,$E472),$P$20))-SUM($BF472:BZ472))</f>
        <v>0</v>
      </c>
      <c r="CB472" s="446">
        <f>IF($E472=0,0,IF(MIN(CB$38,$E472)&lt;MAX($P$34*($B472+$I$38-1),IF(AND($L$37=0,$P$34=0),"",$L$37-1)),0,YEARFRAC(MAX($P$34*($B472+$I$38-1),IF(AND($L$37=0,$P$34=0),"",$L$37-1)),MIN(CB$38,$E472),$P$20))-SUM($BF472:CA472))</f>
        <v>0</v>
      </c>
      <c r="CC472" s="446">
        <f>IF($E472=0,0,IF(MIN(CC$38,$E472)&lt;MAX($P$34*($B472+$I$38-1),IF(AND($L$37=0,$P$34=0),"",$L$37-1)),0,YEARFRAC(MAX($P$34*($B472+$I$38-1),IF(AND($L$37=0,$P$34=0),"",$L$37-1)),MIN(CC$38,$E472),$P$20))-SUM($BF472:CB472))</f>
        <v>0</v>
      </c>
      <c r="CD472" s="446">
        <f>IF($E472=0,0,IF(MIN(CD$38,$E472)&lt;MAX($P$34*($B472+$I$38-1),IF(AND($L$37=0,$P$34=0),"",$L$37-1)),0,YEARFRAC(MAX($P$34*($B472+$I$38-1),IF(AND($L$37=0,$P$34=0),"",$L$37-1)),MIN(CD$38,$E472),$P$20))-SUM($BF472:CC472))</f>
        <v>0</v>
      </c>
      <c r="CE472" s="446">
        <f>IF($E472=0,0,IF(MIN(CE$38,$E472)&lt;MAX($P$34*($B472+$I$38-1),IF(AND($L$37=0,$P$34=0),"",$L$37-1)),0,YEARFRAC(MAX($P$34*($B472+$I$38-1),IF(AND($L$37=0,$P$34=0),"",$L$37-1)),MIN(CE$38,$E472),$P$20))-SUM($BF472:CD472))</f>
        <v>0</v>
      </c>
      <c r="CF472" s="446">
        <f>IF($E472=0,0,IF(MIN(CF$38,$E472)&lt;MAX($P$34*($B472+$I$38-1),IF(AND($L$37=0,$P$34=0),"",$L$37-1)),0,YEARFRAC(MAX($P$34*($B472+$I$38-1),IF(AND($L$37=0,$P$34=0),"",$L$37-1)),MIN(CF$38,$E472),$P$20))-SUM($BF472:CE472))</f>
        <v>0</v>
      </c>
      <c r="CG472" s="446">
        <f>IF($E472=0,0,IF(MIN(CG$38,$E472)&lt;MAX($P$34*($B472+$I$38-1),IF(AND($L$37=0,$P$34=0),"",$L$37-1)),0,YEARFRAC(MAX($P$34*($B472+$I$38-1),IF(AND($L$37=0,$P$34=0),"",$L$37-1)),MIN(CG$38,$E472),$P$20))-SUM($BF472:CF472))</f>
        <v>0</v>
      </c>
      <c r="CH472" s="446">
        <f>IF($E472=0,0,IF(MIN(CH$38,$E472)&lt;MAX($P$34*($B472+$I$38-1),IF(AND($L$37=0,$P$34=0),"",$L$37-1)),0,YEARFRAC(MAX($P$34*($B472+$I$38-1),IF(AND($L$37=0,$P$34=0),"",$L$37-1)),MIN(CH$38,$E472),$P$20))-SUM($BF472:CG472))</f>
        <v>0</v>
      </c>
      <c r="CI472" s="446">
        <f>IF($E472=0,0,IF(MIN(CI$38,$E472)&lt;MAX($P$34*($B472+$I$38-1),IF(AND($L$37=0,$P$34=0),"",$L$37-1)),0,YEARFRAC(MAX($P$34*($B472+$I$38-1),IF(AND($L$37=0,$P$34=0),"",$L$37-1)),MIN(CI$38,$E472),$P$20))-SUM($BF472:CH472))</f>
        <v>0</v>
      </c>
      <c r="CJ472" s="446">
        <f>IF($E472=0,0,IF(MIN(CJ$38,$E472)&lt;MAX($P$34*($B472+$I$38-1),IF(AND($L$37=0,$P$34=0),"",$L$37-1)),0,YEARFRAC(MAX($P$34*($B472+$I$38-1),IF(AND($L$37=0,$P$34=0),"",$L$37-1)),MIN(CJ$38,$E472),$P$20))-SUM($BF472:CI472))</f>
        <v>0</v>
      </c>
      <c r="CK472" s="446">
        <f>IF($E472=0,0,IF(MIN(CK$38,$E472)&lt;MAX($P$34*($B472+$I$38-1),IF(AND($L$37=0,$P$34=0),"",$L$37-1)),0,YEARFRAC(MAX($P$34*($B472+$I$38-1),IF(AND($L$37=0,$P$34=0),"",$L$37-1)),MIN(CK$38,$E472),$P$20))-SUM($BF472:CJ472))</f>
        <v>0</v>
      </c>
      <c r="CL472" s="446">
        <f>IF($E472=0,0,IF(MIN(CL$38,$E472)&lt;MAX($P$34*($B472+$I$38-1),IF(AND($L$37=0,$P$34=0),"",$L$37-1)),0,YEARFRAC(MAX($P$34*($B472+$I$38-1),IF(AND($L$37=0,$P$34=0),"",$L$37-1)),MIN(CL$38,$E472),$P$20))-SUM($BF472:CK472))</f>
        <v>0</v>
      </c>
      <c r="CM472" s="446">
        <f>IF($E472=0,0,IF(MIN(CM$38,$E472)&lt;MAX($P$34*($B472+$I$38-1),IF(AND($L$37=0,$P$34=0),"",$L$37-1)),0,YEARFRAC(MAX($P$34*($B472+$I$38-1),IF(AND($L$37=0,$P$34=0),"",$L$37-1)),MIN(CM$38,$E472),$P$20))-SUM($BF472:CL472))</f>
        <v>0</v>
      </c>
      <c r="CN472" s="446">
        <f>IF($E472=0,0,IF(MIN(CN$38,$E472)&lt;MAX($P$34*($B472+$I$38-1),IF(AND($L$37=0,$P$34=0),"",$L$37-1)),0,YEARFRAC(MAX($P$34*($B472+$I$38-1),IF(AND($L$37=0,$P$34=0),"",$L$37-1)),MIN(CN$38,$E472),$P$20))-SUM($BF472:CM472))</f>
        <v>0</v>
      </c>
      <c r="CO472" s="446">
        <f>IF($E472=0,0,IF(MIN(CO$38,$E472)&lt;MAX($P$34*($B472+$I$38-1),IF(AND($L$37=0,$P$34=0),"",$L$37-1)),0,YEARFRAC(MAX($P$34*($B472+$I$38-1),IF(AND($L$37=0,$P$34=0),"",$L$37-1)),MIN(CO$38,$E472),$P$20))-SUM($BF472:CN472))</f>
        <v>0</v>
      </c>
      <c r="CP472" s="446">
        <f>IF($E472=0,0,IF(MIN(CP$38,$E472)&lt;MAX($P$34*($B472+$I$38-1),IF(AND($L$37=0,$P$34=0),"",$L$37-1)),0,YEARFRAC(MAX($P$34*($B472+$I$38-1),IF(AND($L$37=0,$P$34=0),"",$L$37-1)),MIN(CP$38,$E472),$P$20))-SUM($BF472:CO472))</f>
        <v>0</v>
      </c>
      <c r="CQ472" s="446">
        <f>IF($E472=0,0,IF(MIN(CQ$38,$E472)&lt;MAX($P$34*($B472+$I$38-1),IF(AND($L$37=0,$P$34=0),"",$L$37-1)),0,YEARFRAC(MAX($P$34*($B472+$I$38-1),IF(AND($L$37=0,$P$34=0),"",$L$37-1)),MIN(CQ$38,$E472),$P$20))-SUM($BF472:CP472))</f>
        <v>0</v>
      </c>
    </row>
    <row r="473" spans="1:95" s="446" customFormat="1" ht="11.25" hidden="1" customHeight="1" x14ac:dyDescent="0.2">
      <c r="A473" s="152"/>
      <c r="B473" s="153" t="str">
        <f t="shared" si="81"/>
        <v/>
      </c>
      <c r="C473" s="29" t="str">
        <f>IF(B473="","",IF($L$35="SELIC - TRIBUTOS",VLOOKUP(DATE(YEAR($D$19),MONTH($D$19)-1,1),ÍNDICES!$A:$DE,HLOOKUP($BL$25,ÍNDICES!$B$3:$T$4,2)+11)-VLOOKUP(B473,ÍNDICES!$A:$DE,HLOOKUP($BL$25,ÍNDICES!$B$3:$T$4,2)+11)+1%,IF(C$38=$W$26,$J$35,IF(ISERROR(IF(B473&gt;$D$19,1,VLOOKUP(DATE(YEAR(B473),MONTH(B473)+IF($C$35=$S$23,1,0),1),ÍNDICES!$A:$DE,$Z$35+1))),"",IF(B473&gt;$D$19,1,VLOOKUP(DATE(YEAR(B473),MONTH(B473)+IF($C$35=$S$23,1,0),1),ÍNDICES!$A:$DE,$Z$35+1))))))</f>
        <v/>
      </c>
      <c r="D473" s="154" t="str">
        <f>IF(ISERROR(IF(OR($D$38=$Y$27,$B473=""),"",VLOOKUP(B473,ÍNDICES!A:DE,AF$35+1))),"",IF(OR($D$38=$Y$27,$B473=""),"",VLOOKUP(B473,ÍNDICES!A:DE,AF$35+1)))</f>
        <v/>
      </c>
      <c r="E473" s="153"/>
      <c r="F473" s="29" t="str">
        <f>IF(E473="","",IF($L$35="SELIC - TRIBUTOS",VLOOKUP(DATE(YEAR($D$19),MONTH($D$19)-1,1),ÍNDICES!$A:$DE,HLOOKUP($BL$25,ÍNDICES!$B$3:$T$4,2)+11)-VLOOKUP(E473,ÍNDICES!$A:$DE,HLOOKUP($BL$25,ÍNDICES!$B$3:$T$4,2)+11)+1%,IF(F$38=$W$26,$J$35,IF(ISERROR(IF(E473&gt;$D$19,1,VLOOKUP(DATE(YEAR(E473),MONTH(E473)+IF($C$35=$S$23,1,0),1),ÍNDICES!$A:$DE,$Z$35+1))),"",IF(E473&gt;$D$19,1,VLOOKUP(DATE(YEAR(E473),MONTH(E473)+IF($C$35=$S$23,1,0),1),ÍNDICES!$A:$DE,$Z$35+1))))))</f>
        <v/>
      </c>
      <c r="G473" s="155"/>
      <c r="H473" s="156" t="str">
        <f t="shared" si="77"/>
        <v/>
      </c>
      <c r="I473" s="29" t="str">
        <f t="shared" si="71"/>
        <v/>
      </c>
      <c r="J473" s="5">
        <f t="shared" si="72"/>
        <v>0</v>
      </c>
      <c r="K473" s="20">
        <f t="shared" ca="1" si="73"/>
        <v>0</v>
      </c>
      <c r="L473" s="5">
        <f t="shared" ca="1" si="74"/>
        <v>0</v>
      </c>
      <c r="M473" s="64">
        <f t="shared" si="78"/>
        <v>0</v>
      </c>
      <c r="N473" s="61">
        <f t="shared" ca="1" si="79"/>
        <v>0</v>
      </c>
      <c r="O473" s="5">
        <f t="shared" ca="1" si="80"/>
        <v>0</v>
      </c>
      <c r="P473" s="446" t="e">
        <f t="shared" si="75"/>
        <v>#VALUE!</v>
      </c>
      <c r="Q473" s="446" t="e">
        <f>IF(OR($B473="",MIN(Q$38,$D$19)&lt;MAX($P$34*($B473+IF($R$17="Distrato",$I$38-1,0)),IF(AND($L$37=0,$P$34=0),"",$L$37-1),IF($R$17="Distrato",$E473,0))),0,YEARFRAC(MAX($P$34*($B473+IF($R$17="Distrato",$I$38-1,0)),IF(AND($L$37=0,$P$34=0),"",$L$37-1),IF($R$17="Distrato",$E473,0)),MIN(Q$38,$D$19),$P$20))-SUM($P473:P473)</f>
        <v>#VALUE!</v>
      </c>
      <c r="R473" s="446" t="e">
        <f>IF(OR($B473="",MIN(R$38,$D$19)&lt;MAX($P$34*($B473+IF($R$17="Distrato",$I$38-1,0)),IF(AND($L$37=0,$P$34=0),"",$L$37-1),IF($R$17="Distrato",$E473,0))),0,YEARFRAC(MAX($P$34*($B473+IF($R$17="Distrato",$I$38-1,0)),IF(AND($L$37=0,$P$34=0),"",$L$37-1),IF($R$17="Distrato",$E473,0)),MIN(R$38,$D$19),$P$20))-SUM($P473:Q473)</f>
        <v>#VALUE!</v>
      </c>
      <c r="S473" s="446" t="e">
        <f>IF(OR($B473="",MIN(S$38,$D$19)&lt;MAX($P$34*($B473+IF($R$17="Distrato",$I$38-1,0)),IF(AND($L$37=0,$P$34=0),"",$L$37-1),IF($R$17="Distrato",$E473,0))),0,YEARFRAC(MAX($P$34*($B473+IF($R$17="Distrato",$I$38-1,0)),IF(AND($L$37=0,$P$34=0),"",$L$37-1),IF($R$17="Distrato",$E473,0)),MIN(S$38,$D$19),$P$20))-SUM($P473:R473)</f>
        <v>#VALUE!</v>
      </c>
      <c r="T473" s="446" t="e">
        <f>IF(OR($B473="",MIN(T$38,$D$19)&lt;MAX($P$34*($B473+IF($R$17="Distrato",$I$38-1,0)),IF(AND($L$37=0,$P$34=0),"",$L$37-1),IF($R$17="Distrato",$E473,0))),0,YEARFRAC(MAX($P$34*($B473+IF($R$17="Distrato",$I$38-1,0)),IF(AND($L$37=0,$P$34=0),"",$L$37-1),IF($R$17="Distrato",$E473,0)),MIN(T$38,$D$19),$P$20))-SUM($P473:S473)</f>
        <v>#VALUE!</v>
      </c>
      <c r="U473" s="446" t="e">
        <f>IF(OR($B473="",MIN(U$38,$D$19)&lt;MAX($P$34*($B473+IF($R$17="Distrato",$I$38-1,0)),IF(AND($L$37=0,$P$34=0),"",$L$37-1),IF($R$17="Distrato",$E473,0))),0,YEARFRAC(MAX($P$34*($B473+IF($R$17="Distrato",$I$38-1,0)),IF(AND($L$37=0,$P$34=0),"",$L$37-1),IF($R$17="Distrato",$E473,0)),MIN(U$38,$D$19),$P$20))-SUM($P473:T473)</f>
        <v>#VALUE!</v>
      </c>
      <c r="V473" s="446" t="e">
        <f>IF(OR($B473="",MIN(V$38,$D$19)&lt;MAX($P$34*($B473+IF($R$17="Distrato",$I$38-1,0)),IF(AND($L$37=0,$P$34=0),"",$L$37-1),IF($R$17="Distrato",$E473,0))),0,YEARFRAC(MAX($P$34*($B473+IF($R$17="Distrato",$I$38-1,0)),IF(AND($L$37=0,$P$34=0),"",$L$37-1),IF($R$17="Distrato",$E473,0)),MIN(V$38,$D$19),$P$20))-SUM($P473:U473)</f>
        <v>#VALUE!</v>
      </c>
      <c r="W473" s="446" t="e">
        <f>IF(OR($B473="",MIN(W$38,$D$19)&lt;MAX($P$34*($B473+IF($R$17="Distrato",$I$38-1,0)),IF(AND($L$37=0,$P$34=0),"",$L$37-1),IF($R$17="Distrato",$E473,0))),0,YEARFRAC(MAX($P$34*($B473+IF($R$17="Distrato",$I$38-1,0)),IF(AND($L$37=0,$P$34=0),"",$L$37-1),IF($R$17="Distrato",$E473,0)),MIN(W$38,$D$19),$P$20))-SUM($P473:V473)</f>
        <v>#VALUE!</v>
      </c>
      <c r="X473" s="446" t="e">
        <f>IF(OR($B473="",MIN(X$38,$D$19)&lt;MAX($P$34*($B473+IF($R$17="Distrato",$I$38-1,0)),IF(AND($L$37=0,$P$34=0),"",$L$37-1),IF($R$17="Distrato",$E473,0))),0,YEARFRAC(MAX($P$34*($B473+IF($R$17="Distrato",$I$38-1,0)),IF(AND($L$37=0,$P$34=0),"",$L$37-1),IF($R$17="Distrato",$E473,0)),MIN(X$38,$D$19),$P$20))-SUM($P473:W473)</f>
        <v>#VALUE!</v>
      </c>
      <c r="Y473" s="446" t="e">
        <f>IF(OR($B473="",MIN(Y$38,$D$19)&lt;MAX($P$34*($B473+IF($R$17="Distrato",$I$38-1,0)),IF(AND($L$37=0,$P$34=0),"",$L$37-1),IF($R$17="Distrato",$E473,0))),0,YEARFRAC(MAX($P$34*($B473+IF($R$17="Distrato",$I$38-1,0)),IF(AND($L$37=0,$P$34=0),"",$L$37-1),IF($R$17="Distrato",$E473,0)),MIN(Y$38,$D$19),$P$20))-SUM($P473:X473)</f>
        <v>#VALUE!</v>
      </c>
      <c r="Z473" s="446" t="e">
        <f>IF(OR($B473="",MIN(Z$38,$D$19)&lt;MAX($P$34*($B473+IF($R$17="Distrato",$I$38-1,0)),IF(AND($L$37=0,$P$34=0),"",$L$37-1),IF($R$17="Distrato",$E473,0))),0,YEARFRAC(MAX($P$34*($B473+IF($R$17="Distrato",$I$38-1,0)),IF(AND($L$37=0,$P$34=0),"",$L$37-1),IF($R$17="Distrato",$E473,0)),MIN(Z$38,$D$19),$P$20))-SUM($P473:Y473)</f>
        <v>#VALUE!</v>
      </c>
      <c r="AA473" s="446" t="e">
        <f>IF(OR($B473="",MIN(AA$38,$D$19)&lt;MAX($P$34*($B473+IF($R$17="Distrato",$I$38-1,0)),IF(AND($L$37=0,$P$34=0),"",$L$37-1),IF($R$17="Distrato",$E473,0))),0,YEARFRAC(MAX($P$34*($B473+IF($R$17="Distrato",$I$38-1,0)),IF(AND($L$37=0,$P$34=0),"",$L$37-1),IF($R$17="Distrato",$E473,0)),MIN(AA$38,$D$19),$P$20))-SUM($P473:Z473)</f>
        <v>#VALUE!</v>
      </c>
      <c r="AB473" s="446" t="e">
        <f>IF(OR($B473="",MIN(AB$38,$D$19)&lt;MAX($P$34*($B473+IF($R$17="Distrato",$I$38-1,0)),IF(AND($L$37=0,$P$34=0),"",$L$37-1),IF($R$17="Distrato",$E473,0))),0,YEARFRAC(MAX($P$34*($B473+IF($R$17="Distrato",$I$38-1,0)),IF(AND($L$37=0,$P$34=0),"",$L$37-1),IF($R$17="Distrato",$E473,0)),MIN(AB$38,$D$19),$P$20))-SUM($P473:AA473)</f>
        <v>#VALUE!</v>
      </c>
      <c r="AC473" s="446" t="e">
        <f>IF(OR($B473="",MIN(AC$38,$D$19)&lt;MAX($P$34*($B473+IF($R$17="Distrato",$I$38-1,0)),IF(AND($L$37=0,$P$34=0),"",$L$37-1),IF($R$17="Distrato",$E473,0))),0,YEARFRAC(MAX($P$34*($B473+IF($R$17="Distrato",$I$38-1,0)),IF(AND($L$37=0,$P$34=0),"",$L$37-1),IF($R$17="Distrato",$E473,0)),MIN(AC$38,$D$19),$P$20))-SUM($P473:AB473)</f>
        <v>#VALUE!</v>
      </c>
      <c r="AD473" s="446" t="e">
        <f>IF(OR($B473="",MIN(AD$38,$D$19)&lt;MAX($P$34*($B473+IF($R$17="Distrato",$I$38-1,0)),IF(AND($L$37=0,$P$34=0),"",$L$37-1),IF($R$17="Distrato",$E473,0))),0,YEARFRAC(MAX($P$34*($B473+IF($R$17="Distrato",$I$38-1,0)),IF(AND($L$37=0,$P$34=0),"",$L$37-1),IF($R$17="Distrato",$E473,0)),MIN(AD$38,$D$19),$P$20))-SUM($P473:AC473)</f>
        <v>#VALUE!</v>
      </c>
      <c r="AE473" s="446" t="e">
        <f>IF(OR($B473="",MIN(AE$38,$D$19)&lt;MAX($P$34*($B473+IF($R$17="Distrato",$I$38-1,0)),IF(AND($L$37=0,$P$34=0),"",$L$37-1),IF($R$17="Distrato",$E473,0))),0,YEARFRAC(MAX($P$34*($B473+IF($R$17="Distrato",$I$38-1,0)),IF(AND($L$37=0,$P$34=0),"",$L$37-1),IF($R$17="Distrato",$E473,0)),MIN(AE$38,$D$19),$P$20))-SUM($P473:AD473)</f>
        <v>#VALUE!</v>
      </c>
      <c r="AF473" s="446" t="e">
        <f>IF(OR($B473="",MIN(AF$38,$D$19)&lt;MAX($P$34*($B473+IF($R$17="Distrato",$I$38-1,0)),IF(AND($L$37=0,$P$34=0),"",$L$37-1),IF($R$17="Distrato",$E473,0))),0,YEARFRAC(MAX($P$34*($B473+IF($R$17="Distrato",$I$38-1,0)),IF(AND($L$37=0,$P$34=0),"",$L$37-1),IF($R$17="Distrato",$E473,0)),MIN(AF$38,$D$19),$P$20))-SUM($P473:AE473)</f>
        <v>#VALUE!</v>
      </c>
      <c r="AG473" s="446" t="e">
        <f>IF(OR($B473="",MIN(AG$38,$D$19)&lt;MAX($P$34*($B473+IF($R$17="Distrato",$I$38-1,0)),IF(AND($L$37=0,$P$34=0),"",$L$37-1),IF($R$17="Distrato",$E473,0))),0,YEARFRAC(MAX($P$34*($B473+IF($R$17="Distrato",$I$38-1,0)),IF(AND($L$37=0,$P$34=0),"",$L$37-1),IF($R$17="Distrato",$E473,0)),MIN(AG$38,$D$19),$P$20))-SUM($P473:AF473)</f>
        <v>#VALUE!</v>
      </c>
      <c r="AH473" s="446" t="e">
        <f>IF(OR($B473="",MIN(AH$38,$D$19)&lt;MAX($P$34*($B473+IF($R$17="Distrato",$I$38-1,0)),IF(AND($L$37=0,$P$34=0),"",$L$37-1),IF($R$17="Distrato",$E473,0))),0,YEARFRAC(MAX($P$34*($B473+IF($R$17="Distrato",$I$38-1,0)),IF(AND($L$37=0,$P$34=0),"",$L$37-1),IF($R$17="Distrato",$E473,0)),MIN(AH$38,$D$19),$P$20))-SUM($P473:AG473)</f>
        <v>#VALUE!</v>
      </c>
      <c r="AI473" s="446" t="e">
        <f>IF(OR($B473="",MIN(AI$38,$D$19)&lt;MAX($P$34*($B473+IF($R$17="Distrato",$I$38-1,0)),IF(AND($L$37=0,$P$34=0),"",$L$37-1),IF($R$17="Distrato",$E473,0))),0,YEARFRAC(MAX($P$34*($B473+IF($R$17="Distrato",$I$38-1,0)),IF(AND($L$37=0,$P$34=0),"",$L$37-1),IF($R$17="Distrato",$E473,0)),MIN(AI$38,$D$19),$P$20))-SUM($P473:AH473)</f>
        <v>#VALUE!</v>
      </c>
      <c r="AJ473" s="446" t="e">
        <f>IF(OR($B473="",MIN(AJ$38,$D$19)&lt;MAX($P$34*($B473+IF($R$17="Distrato",$I$38-1,0)),IF(AND($L$37=0,$P$34=0),"",$L$37-1),IF($R$17="Distrato",$E473,0))),0,YEARFRAC(MAX($P$34*($B473+IF($R$17="Distrato",$I$38-1,0)),IF(AND($L$37=0,$P$34=0),"",$L$37-1),IF($R$17="Distrato",$E473,0)),MIN(AJ$38,$D$19),$P$20))-SUM($P473:AI473)</f>
        <v>#VALUE!</v>
      </c>
      <c r="AK473" s="446" t="e">
        <f>IF(OR($B473="",MIN(AK$38,$D$19)&lt;MAX($P$34*($B473+IF($R$17="Distrato",$I$38-1,0)),IF(AND($L$37=0,$P$34=0),"",$L$37-1),IF($R$17="Distrato",$E473,0))),0,YEARFRAC(MAX($P$34*($B473+IF($R$17="Distrato",$I$38-1,0)),IF(AND($L$37=0,$P$34=0),"",$L$37-1),IF($R$17="Distrato",$E473,0)),MIN(AK$38,$D$19),$P$20))-SUM($P473:AJ473)</f>
        <v>#VALUE!</v>
      </c>
      <c r="AL473" s="446" t="e">
        <f>IF(OR($B473="",MIN(AL$38,$D$19)&lt;MAX($P$34*($B473+IF($R$17="Distrato",$I$38-1,0)),IF(AND($L$37=0,$P$34=0),"",$L$37-1),IF($R$17="Distrato",$E473,0))),0,YEARFRAC(MAX($P$34*($B473+IF($R$17="Distrato",$I$38-1,0)),IF(AND($L$37=0,$P$34=0),"",$L$37-1),IF($R$17="Distrato",$E473,0)),MIN(AL$38,$D$19),$P$20))-SUM($P473:AK473)</f>
        <v>#VALUE!</v>
      </c>
      <c r="AM473" s="446" t="e">
        <f>IF(OR($B473="",MIN(AM$38,$D$19)&lt;MAX($P$34*($B473+IF($R$17="Distrato",$I$38-1,0)),IF(AND($L$37=0,$P$34=0),"",$L$37-1),IF($R$17="Distrato",$E473,0))),0,YEARFRAC(MAX($P$34*($B473+IF($R$17="Distrato",$I$38-1,0)),IF(AND($L$37=0,$P$34=0),"",$L$37-1),IF($R$17="Distrato",$E473,0)),MIN(AM$38,$D$19),$P$20))-SUM($P473:AL473)</f>
        <v>#VALUE!</v>
      </c>
      <c r="AN473" s="446" t="e">
        <f>IF(OR($B473="",MIN(AN$38,$D$19)&lt;MAX($P$34*($B473+IF($R$17="Distrato",$I$38-1,0)),IF(AND($L$37=0,$P$34=0),"",$L$37-1),IF($R$17="Distrato",$E473,0))),0,YEARFRAC(MAX($P$34*($B473+IF($R$17="Distrato",$I$38-1,0)),IF(AND($L$37=0,$P$34=0),"",$L$37-1),IF($R$17="Distrato",$E473,0)),MIN(AN$38,$D$19),$P$20))-SUM($P473:AM473)</f>
        <v>#VALUE!</v>
      </c>
      <c r="AO473" s="446" t="e">
        <f>IF(OR($B473="",MIN(AO$38,$D$19)&lt;MAX($P$34*($B473+IF($R$17="Distrato",$I$38-1,0)),IF(AND($L$37=0,$P$34=0),"",$L$37-1),IF($R$17="Distrato",$E473,0))),0,YEARFRAC(MAX($P$34*($B473+IF($R$17="Distrato",$I$38-1,0)),IF(AND($L$37=0,$P$34=0),"",$L$37-1),IF($R$17="Distrato",$E473,0)),MIN(AO$38,$D$19),$P$20))-SUM($P473:AN473)</f>
        <v>#VALUE!</v>
      </c>
      <c r="AP473" s="446" t="e">
        <f>IF(OR($B473="",MIN(AP$38,$D$19)&lt;MAX($P$34*($B473+IF($R$17="Distrato",$I$38-1,0)),IF(AND($L$37=0,$P$34=0),"",$L$37-1),IF($R$17="Distrato",$E473,0))),0,YEARFRAC(MAX($P$34*($B473+IF($R$17="Distrato",$I$38-1,0)),IF(AND($L$37=0,$P$34=0),"",$L$37-1),IF($R$17="Distrato",$E473,0)),MIN(AP$38,$D$19),$P$20))-SUM($P473:AO473)</f>
        <v>#VALUE!</v>
      </c>
      <c r="AQ473" s="446" t="e">
        <f>IF(OR($B473="",MIN(AQ$38,$D$19)&lt;MAX($P$34*($B473+IF($R$17="Distrato",$I$38-1,0)),IF(AND($L$37=0,$P$34=0),"",$L$37-1),IF($R$17="Distrato",$E473,0))),0,YEARFRAC(MAX($P$34*($B473+IF($R$17="Distrato",$I$38-1,0)),IF(AND($L$37=0,$P$34=0),"",$L$37-1),IF($R$17="Distrato",$E473,0)),MIN(AQ$38,$D$19),$P$20))-SUM($P473:AP473)</f>
        <v>#VALUE!</v>
      </c>
      <c r="AR473" s="446" t="e">
        <f>IF(OR($B473="",MIN(AR$38,$D$19)&lt;MAX($P$34*($B473+IF($R$17="Distrato",$I$38-1,0)),IF(AND($L$37=0,$P$34=0),"",$L$37-1),IF($R$17="Distrato",$E473,0))),0,YEARFRAC(MAX($P$34*($B473+IF($R$17="Distrato",$I$38-1,0)),IF(AND($L$37=0,$P$34=0),"",$L$37-1),IF($R$17="Distrato",$E473,0)),MIN(AR$38,$D$19),$P$20))-SUM($P473:AQ473)</f>
        <v>#VALUE!</v>
      </c>
      <c r="AS473" s="446" t="e">
        <f>IF(OR($B473="",MIN(AS$38,$D$19)&lt;MAX($P$34*($B473+IF($R$17="Distrato",$I$38-1,0)),IF(AND($L$37=0,$P$34=0),"",$L$37-1),IF($R$17="Distrato",$E473,0))),0,YEARFRAC(MAX($P$34*($B473+IF($R$17="Distrato",$I$38-1,0)),IF(AND($L$37=0,$P$34=0),"",$L$37-1),IF($R$17="Distrato",$E473,0)),MIN(AS$38,$D$19),$P$20))-SUM($P473:AR473)</f>
        <v>#VALUE!</v>
      </c>
      <c r="AT473" s="446" t="e">
        <f>IF(OR($B473="",MIN(AT$38,$D$19)&lt;MAX($P$34*($B473+IF($R$17="Distrato",$I$38-1,0)),IF(AND($L$37=0,$P$34=0),"",$L$37-1),IF($R$17="Distrato",$E473,0))),0,YEARFRAC(MAX($P$34*($B473+IF($R$17="Distrato",$I$38-1,0)),IF(AND($L$37=0,$P$34=0),"",$L$37-1),IF($R$17="Distrato",$E473,0)),MIN(AT$38,$D$19),$P$20))-SUM($P473:AS473)</f>
        <v>#VALUE!</v>
      </c>
      <c r="AU473" s="446" t="e">
        <f>IF(OR($B473="",MIN(AU$38,$D$19)&lt;MAX($P$34*($B473+IF($R$17="Distrato",$I$38-1,0)),IF(AND($L$37=0,$P$34=0),"",$L$37-1),IF($R$17="Distrato",$E473,0))),0,YEARFRAC(MAX($P$34*($B473+IF($R$17="Distrato",$I$38-1,0)),IF(AND($L$37=0,$P$34=0),"",$L$37-1),IF($R$17="Distrato",$E473,0)),MIN(AU$38,$D$19),$P$20))-SUM($P473:AT473)</f>
        <v>#VALUE!</v>
      </c>
      <c r="AV473" s="446" t="e">
        <f>IF(OR($B473="",MIN(AV$38,$D$19)&lt;MAX($P$34*($B473+IF($R$17="Distrato",$I$38-1,0)),IF(AND($L$37=0,$P$34=0),"",$L$37-1),IF($R$17="Distrato",$E473,0))),0,YEARFRAC(MAX($P$34*($B473+IF($R$17="Distrato",$I$38-1,0)),IF(AND($L$37=0,$P$34=0),"",$L$37-1),IF($R$17="Distrato",$E473,0)),MIN(AV$38,$D$19),$P$20))-SUM($P473:AU473)</f>
        <v>#VALUE!</v>
      </c>
      <c r="AW473" s="446" t="e">
        <f>IF(OR($B473="",MIN(AW$38,$D$19)&lt;MAX($P$34*($B473+IF($R$17="Distrato",$I$38-1,0)),IF(AND($L$37=0,$P$34=0),"",$L$37-1),IF($R$17="Distrato",$E473,0))),0,YEARFRAC(MAX($P$34*($B473+IF($R$17="Distrato",$I$38-1,0)),IF(AND($L$37=0,$P$34=0),"",$L$37-1),IF($R$17="Distrato",$E473,0)),MIN(AW$38,$D$19),$P$20))-SUM($P473:AV473)</f>
        <v>#VALUE!</v>
      </c>
      <c r="AX473" s="446" t="e">
        <f>IF(OR($B473="",MIN(AX$38,$D$19)&lt;MAX($P$34*($B473+IF($R$17="Distrato",$I$38-1,0)),IF(AND($L$37=0,$P$34=0),"",$L$37-1),IF($R$17="Distrato",$E473,0))),0,YEARFRAC(MAX($P$34*($B473+IF($R$17="Distrato",$I$38-1,0)),IF(AND($L$37=0,$P$34=0),"",$L$37-1),IF($R$17="Distrato",$E473,0)),MIN(AX$38,$D$19),$P$20))-SUM($P473:AW473)</f>
        <v>#VALUE!</v>
      </c>
      <c r="AY473" s="446" t="e">
        <f>IF(OR($B473="",MIN(AY$38,$D$19)&lt;MAX($P$34*($B473+IF($R$17="Distrato",$I$38-1,0)),IF(AND($L$37=0,$P$34=0),"",$L$37-1),IF($R$17="Distrato",$E473,0))),0,YEARFRAC(MAX($P$34*($B473+IF($R$17="Distrato",$I$38-1,0)),IF(AND($L$37=0,$P$34=0),"",$L$37-1),IF($R$17="Distrato",$E473,0)),MIN(AY$38,$D$19),$P$20))-SUM($P473:AX473)</f>
        <v>#VALUE!</v>
      </c>
      <c r="AZ473" s="446" t="e">
        <f>IF(OR($B473="",MIN(AZ$38,$D$19)&lt;MAX($P$34*($B473+IF($R$17="Distrato",$I$38-1,0)),IF(AND($L$37=0,$P$34=0),"",$L$37-1),IF($R$17="Distrato",$E473,0))),0,YEARFRAC(MAX($P$34*($B473+IF($R$17="Distrato",$I$38-1,0)),IF(AND($L$37=0,$P$34=0),"",$L$37-1),IF($R$17="Distrato",$E473,0)),MIN(AZ$38,$D$19),$P$20))-SUM($P473:AY473)</f>
        <v>#VALUE!</v>
      </c>
      <c r="BA473" s="446" t="e">
        <f>IF(OR($B473="",MIN(BA$38,$D$19)&lt;MAX($P$34*($B473+IF($R$17="Distrato",$I$38-1,0)),IF(AND($L$37=0,$P$34=0),"",$L$37-1),IF($R$17="Distrato",$E473,0))),0,YEARFRAC(MAX($P$34*($B473+IF($R$17="Distrato",$I$38-1,0)),IF(AND($L$37=0,$P$34=0),"",$L$37-1),IF($R$17="Distrato",$E473,0)),MIN(BA$38,$D$19),$P$20))-SUM($P473:AZ473)</f>
        <v>#VALUE!</v>
      </c>
      <c r="BB473" s="447"/>
      <c r="BF473" s="446">
        <f t="shared" si="76"/>
        <v>0</v>
      </c>
      <c r="BG473" s="446">
        <f>IF($E473=0,0,IF(MIN(BG$38,$E473)&lt;MAX($P$34*($B473+$I$38-1),IF(AND($L$37=0,$P$34=0),"",$L$37-1)),0,YEARFRAC(MAX($P$34*($B473+$I$38-1),IF(AND($L$37=0,$P$34=0),"",$L$37-1)),MIN(BG$38,$E473),$P$20))-SUM($BF473:BF473))</f>
        <v>0</v>
      </c>
      <c r="BH473" s="446">
        <f>IF($E473=0,0,IF(MIN(BH$38,$E473)&lt;MAX($P$34*($B473+$I$38-1),IF(AND($L$37=0,$P$34=0),"",$L$37-1)),0,YEARFRAC(MAX($P$34*($B473+$I$38-1),IF(AND($L$37=0,$P$34=0),"",$L$37-1)),MIN(BH$38,$E473),$P$20))-SUM($BF473:BG473))</f>
        <v>0</v>
      </c>
      <c r="BI473" s="446">
        <f>IF($E473=0,0,IF(MIN(BI$38,$E473)&lt;MAX($P$34*($B473+$I$38-1),IF(AND($L$37=0,$P$34=0),"",$L$37-1)),0,YEARFRAC(MAX($P$34*($B473+$I$38-1),IF(AND($L$37=0,$P$34=0),"",$L$37-1)),MIN(BI$38,$E473),$P$20))-SUM($BF473:BH473))</f>
        <v>0</v>
      </c>
      <c r="BJ473" s="446">
        <f>IF($E473=0,0,IF(MIN(BJ$38,$E473)&lt;MAX($P$34*($B473+$I$38-1),IF(AND($L$37=0,$P$34=0),"",$L$37-1)),0,YEARFRAC(MAX($P$34*($B473+$I$38-1),IF(AND($L$37=0,$P$34=0),"",$L$37-1)),MIN(BJ$38,$E473),$P$20))-SUM($BF473:BI473))</f>
        <v>0</v>
      </c>
      <c r="BK473" s="446">
        <f>IF($E473=0,0,IF(MIN(BK$38,$E473)&lt;MAX($P$34*($B473+$I$38-1),IF(AND($L$37=0,$P$34=0),"",$L$37-1)),0,YEARFRAC(MAX($P$34*($B473+$I$38-1),IF(AND($L$37=0,$P$34=0),"",$L$37-1)),MIN(BK$38,$E473),$P$20))-SUM($BF473:BJ473))</f>
        <v>0</v>
      </c>
      <c r="BL473" s="446">
        <f>IF($E473=0,0,IF(MIN(BL$38,$E473)&lt;MAX($P$34*($B473+$I$38-1),IF(AND($L$37=0,$P$34=0),"",$L$37-1)),0,YEARFRAC(MAX($P$34*($B473+$I$38-1),IF(AND($L$37=0,$P$34=0),"",$L$37-1)),MIN(BL$38,$E473),$P$20))-SUM($BF473:BK473))</f>
        <v>0</v>
      </c>
      <c r="BM473" s="446">
        <f>IF($E473=0,0,IF(MIN(BM$38,$E473)&lt;MAX($P$34*($B473+$I$38-1),IF(AND($L$37=0,$P$34=0),"",$L$37-1)),0,YEARFRAC(MAX($P$34*($B473+$I$38-1),IF(AND($L$37=0,$P$34=0),"",$L$37-1)),MIN(BM$38,$E473),$P$20))-SUM($BF473:BL473))</f>
        <v>0</v>
      </c>
      <c r="BN473" s="446">
        <f>IF($E473=0,0,IF(MIN(BN$38,$E473)&lt;MAX($P$34*($B473+$I$38-1),IF(AND($L$37=0,$P$34=0),"",$L$37-1)),0,YEARFRAC(MAX($P$34*($B473+$I$38-1),IF(AND($L$37=0,$P$34=0),"",$L$37-1)),MIN(BN$38,$E473),$P$20))-SUM($BF473:BM473))</f>
        <v>0</v>
      </c>
      <c r="BO473" s="446">
        <f>IF($E473=0,0,IF(MIN(BO$38,$E473)&lt;MAX($P$34*($B473+$I$38-1),IF(AND($L$37=0,$P$34=0),"",$L$37-1)),0,YEARFRAC(MAX($P$34*($B473+$I$38-1),IF(AND($L$37=0,$P$34=0),"",$L$37-1)),MIN(BO$38,$E473),$P$20))-SUM($BF473:BN473))</f>
        <v>0</v>
      </c>
      <c r="BP473" s="446">
        <f>IF($E473=0,0,IF(MIN(BP$38,$E473)&lt;MAX($P$34*($B473+$I$38-1),IF(AND($L$37=0,$P$34=0),"",$L$37-1)),0,YEARFRAC(MAX($P$34*($B473+$I$38-1),IF(AND($L$37=0,$P$34=0),"",$L$37-1)),MIN(BP$38,$E473),$P$20))-SUM($BF473:BO473))</f>
        <v>0</v>
      </c>
      <c r="BQ473" s="446">
        <f>IF($E473=0,0,IF(MIN(BQ$38,$E473)&lt;MAX($P$34*($B473+$I$38-1),IF(AND($L$37=0,$P$34=0),"",$L$37-1)),0,YEARFRAC(MAX($P$34*($B473+$I$38-1),IF(AND($L$37=0,$P$34=0),"",$L$37-1)),MIN(BQ$38,$E473),$P$20))-SUM($BF473:BP473))</f>
        <v>0</v>
      </c>
      <c r="BR473" s="446">
        <f>IF($E473=0,0,IF(MIN(BR$38,$E473)&lt;MAX($P$34*($B473+$I$38-1),IF(AND($L$37=0,$P$34=0),"",$L$37-1)),0,YEARFRAC(MAX($P$34*($B473+$I$38-1),IF(AND($L$37=0,$P$34=0),"",$L$37-1)),MIN(BR$38,$E473),$P$20))-SUM($BF473:BQ473))</f>
        <v>0</v>
      </c>
      <c r="BS473" s="446">
        <f>IF($E473=0,0,IF(MIN(BS$38,$E473)&lt;MAX($P$34*($B473+$I$38-1),IF(AND($L$37=0,$P$34=0),"",$L$37-1)),0,YEARFRAC(MAX($P$34*($B473+$I$38-1),IF(AND($L$37=0,$P$34=0),"",$L$37-1)),MIN(BS$38,$E473),$P$20))-SUM($BF473:BR473))</f>
        <v>0</v>
      </c>
      <c r="BT473" s="446">
        <f>IF($E473=0,0,IF(MIN(BT$38,$E473)&lt;MAX($P$34*($B473+$I$38-1),IF(AND($L$37=0,$P$34=0),"",$L$37-1)),0,YEARFRAC(MAX($P$34*($B473+$I$38-1),IF(AND($L$37=0,$P$34=0),"",$L$37-1)),MIN(BT$38,$E473),$P$20))-SUM($BF473:BS473))</f>
        <v>0</v>
      </c>
      <c r="BU473" s="446">
        <f>IF($E473=0,0,IF(MIN(BU$38,$E473)&lt;MAX($P$34*($B473+$I$38-1),IF(AND($L$37=0,$P$34=0),"",$L$37-1)),0,YEARFRAC(MAX($P$34*($B473+$I$38-1),IF(AND($L$37=0,$P$34=0),"",$L$37-1)),MIN(BU$38,$E473),$P$20))-SUM($BF473:BT473))</f>
        <v>0</v>
      </c>
      <c r="BV473" s="446">
        <f>IF($E473=0,0,IF(MIN(BV$38,$E473)&lt;MAX($P$34*($B473+$I$38-1),IF(AND($L$37=0,$P$34=0),"",$L$37-1)),0,YEARFRAC(MAX($P$34*($B473+$I$38-1),IF(AND($L$37=0,$P$34=0),"",$L$37-1)),MIN(BV$38,$E473),$P$20))-SUM($BF473:BU473))</f>
        <v>0</v>
      </c>
      <c r="BW473" s="446">
        <f>IF($E473=0,0,IF(MIN(BW$38,$E473)&lt;MAX($P$34*($B473+$I$38-1),IF(AND($L$37=0,$P$34=0),"",$L$37-1)),0,YEARFRAC(MAX($P$34*($B473+$I$38-1),IF(AND($L$37=0,$P$34=0),"",$L$37-1)),MIN(BW$38,$E473),$P$20))-SUM($BF473:BV473))</f>
        <v>0</v>
      </c>
      <c r="BX473" s="446">
        <f>IF($E473=0,0,IF(MIN(BX$38,$E473)&lt;MAX($P$34*($B473+$I$38-1),IF(AND($L$37=0,$P$34=0),"",$L$37-1)),0,YEARFRAC(MAX($P$34*($B473+$I$38-1),IF(AND($L$37=0,$P$34=0),"",$L$37-1)),MIN(BX$38,$E473),$P$20))-SUM($BF473:BW473))</f>
        <v>0</v>
      </c>
      <c r="BY473" s="446">
        <f>IF($E473=0,0,IF(MIN(BY$38,$E473)&lt;MAX($P$34*($B473+$I$38-1),IF(AND($L$37=0,$P$34=0),"",$L$37-1)),0,YEARFRAC(MAX($P$34*($B473+$I$38-1),IF(AND($L$37=0,$P$34=0),"",$L$37-1)),MIN(BY$38,$E473),$P$20))-SUM($BF473:BX473))</f>
        <v>0</v>
      </c>
      <c r="BZ473" s="446">
        <f>IF($E473=0,0,IF(MIN(BZ$38,$E473)&lt;MAX($P$34*($B473+$I$38-1),IF(AND($L$37=0,$P$34=0),"",$L$37-1)),0,YEARFRAC(MAX($P$34*($B473+$I$38-1),IF(AND($L$37=0,$P$34=0),"",$L$37-1)),MIN(BZ$38,$E473),$P$20))-SUM($BF473:BY473))</f>
        <v>0</v>
      </c>
      <c r="CA473" s="446">
        <f>IF($E473=0,0,IF(MIN(CA$38,$E473)&lt;MAX($P$34*($B473+$I$38-1),IF(AND($L$37=0,$P$34=0),"",$L$37-1)),0,YEARFRAC(MAX($P$34*($B473+$I$38-1),IF(AND($L$37=0,$P$34=0),"",$L$37-1)),MIN(CA$38,$E473),$P$20))-SUM($BF473:BZ473))</f>
        <v>0</v>
      </c>
      <c r="CB473" s="446">
        <f>IF($E473=0,0,IF(MIN(CB$38,$E473)&lt;MAX($P$34*($B473+$I$38-1),IF(AND($L$37=0,$P$34=0),"",$L$37-1)),0,YEARFRAC(MAX($P$34*($B473+$I$38-1),IF(AND($L$37=0,$P$34=0),"",$L$37-1)),MIN(CB$38,$E473),$P$20))-SUM($BF473:CA473))</f>
        <v>0</v>
      </c>
      <c r="CC473" s="446">
        <f>IF($E473=0,0,IF(MIN(CC$38,$E473)&lt;MAX($P$34*($B473+$I$38-1),IF(AND($L$37=0,$P$34=0),"",$L$37-1)),0,YEARFRAC(MAX($P$34*($B473+$I$38-1),IF(AND($L$37=0,$P$34=0),"",$L$37-1)),MIN(CC$38,$E473),$P$20))-SUM($BF473:CB473))</f>
        <v>0</v>
      </c>
      <c r="CD473" s="446">
        <f>IF($E473=0,0,IF(MIN(CD$38,$E473)&lt;MAX($P$34*($B473+$I$38-1),IF(AND($L$37=0,$P$34=0),"",$L$37-1)),0,YEARFRAC(MAX($P$34*($B473+$I$38-1),IF(AND($L$37=0,$P$34=0),"",$L$37-1)),MIN(CD$38,$E473),$P$20))-SUM($BF473:CC473))</f>
        <v>0</v>
      </c>
      <c r="CE473" s="446">
        <f>IF($E473=0,0,IF(MIN(CE$38,$E473)&lt;MAX($P$34*($B473+$I$38-1),IF(AND($L$37=0,$P$34=0),"",$L$37-1)),0,YEARFRAC(MAX($P$34*($B473+$I$38-1),IF(AND($L$37=0,$P$34=0),"",$L$37-1)),MIN(CE$38,$E473),$P$20))-SUM($BF473:CD473))</f>
        <v>0</v>
      </c>
      <c r="CF473" s="446">
        <f>IF($E473=0,0,IF(MIN(CF$38,$E473)&lt;MAX($P$34*($B473+$I$38-1),IF(AND($L$37=0,$P$34=0),"",$L$37-1)),0,YEARFRAC(MAX($P$34*($B473+$I$38-1),IF(AND($L$37=0,$P$34=0),"",$L$37-1)),MIN(CF$38,$E473),$P$20))-SUM($BF473:CE473))</f>
        <v>0</v>
      </c>
      <c r="CG473" s="446">
        <f>IF($E473=0,0,IF(MIN(CG$38,$E473)&lt;MAX($P$34*($B473+$I$38-1),IF(AND($L$37=0,$P$34=0),"",$L$37-1)),0,YEARFRAC(MAX($P$34*($B473+$I$38-1),IF(AND($L$37=0,$P$34=0),"",$L$37-1)),MIN(CG$38,$E473),$P$20))-SUM($BF473:CF473))</f>
        <v>0</v>
      </c>
      <c r="CH473" s="446">
        <f>IF($E473=0,0,IF(MIN(CH$38,$E473)&lt;MAX($P$34*($B473+$I$38-1),IF(AND($L$37=0,$P$34=0),"",$L$37-1)),0,YEARFRAC(MAX($P$34*($B473+$I$38-1),IF(AND($L$37=0,$P$34=0),"",$L$37-1)),MIN(CH$38,$E473),$P$20))-SUM($BF473:CG473))</f>
        <v>0</v>
      </c>
      <c r="CI473" s="446">
        <f>IF($E473=0,0,IF(MIN(CI$38,$E473)&lt;MAX($P$34*($B473+$I$38-1),IF(AND($L$37=0,$P$34=0),"",$L$37-1)),0,YEARFRAC(MAX($P$34*($B473+$I$38-1),IF(AND($L$37=0,$P$34=0),"",$L$37-1)),MIN(CI$38,$E473),$P$20))-SUM($BF473:CH473))</f>
        <v>0</v>
      </c>
      <c r="CJ473" s="446">
        <f>IF($E473=0,0,IF(MIN(CJ$38,$E473)&lt;MAX($P$34*($B473+$I$38-1),IF(AND($L$37=0,$P$34=0),"",$L$37-1)),0,YEARFRAC(MAX($P$34*($B473+$I$38-1),IF(AND($L$37=0,$P$34=0),"",$L$37-1)),MIN(CJ$38,$E473),$P$20))-SUM($BF473:CI473))</f>
        <v>0</v>
      </c>
      <c r="CK473" s="446">
        <f>IF($E473=0,0,IF(MIN(CK$38,$E473)&lt;MAX($P$34*($B473+$I$38-1),IF(AND($L$37=0,$P$34=0),"",$L$37-1)),0,YEARFRAC(MAX($P$34*($B473+$I$38-1),IF(AND($L$37=0,$P$34=0),"",$L$37-1)),MIN(CK$38,$E473),$P$20))-SUM($BF473:CJ473))</f>
        <v>0</v>
      </c>
      <c r="CL473" s="446">
        <f>IF($E473=0,0,IF(MIN(CL$38,$E473)&lt;MAX($P$34*($B473+$I$38-1),IF(AND($L$37=0,$P$34=0),"",$L$37-1)),0,YEARFRAC(MAX($P$34*($B473+$I$38-1),IF(AND($L$37=0,$P$34=0),"",$L$37-1)),MIN(CL$38,$E473),$P$20))-SUM($BF473:CK473))</f>
        <v>0</v>
      </c>
      <c r="CM473" s="446">
        <f>IF($E473=0,0,IF(MIN(CM$38,$E473)&lt;MAX($P$34*($B473+$I$38-1),IF(AND($L$37=0,$P$34=0),"",$L$37-1)),0,YEARFRAC(MAX($P$34*($B473+$I$38-1),IF(AND($L$37=0,$P$34=0),"",$L$37-1)),MIN(CM$38,$E473),$P$20))-SUM($BF473:CL473))</f>
        <v>0</v>
      </c>
      <c r="CN473" s="446">
        <f>IF($E473=0,0,IF(MIN(CN$38,$E473)&lt;MAX($P$34*($B473+$I$38-1),IF(AND($L$37=0,$P$34=0),"",$L$37-1)),0,YEARFRAC(MAX($P$34*($B473+$I$38-1),IF(AND($L$37=0,$P$34=0),"",$L$37-1)),MIN(CN$38,$E473),$P$20))-SUM($BF473:CM473))</f>
        <v>0</v>
      </c>
      <c r="CO473" s="446">
        <f>IF($E473=0,0,IF(MIN(CO$38,$E473)&lt;MAX($P$34*($B473+$I$38-1),IF(AND($L$37=0,$P$34=0),"",$L$37-1)),0,YEARFRAC(MAX($P$34*($B473+$I$38-1),IF(AND($L$37=0,$P$34=0),"",$L$37-1)),MIN(CO$38,$E473),$P$20))-SUM($BF473:CN473))</f>
        <v>0</v>
      </c>
      <c r="CP473" s="446">
        <f>IF($E473=0,0,IF(MIN(CP$38,$E473)&lt;MAX($P$34*($B473+$I$38-1),IF(AND($L$37=0,$P$34=0),"",$L$37-1)),0,YEARFRAC(MAX($P$34*($B473+$I$38-1),IF(AND($L$37=0,$P$34=0),"",$L$37-1)),MIN(CP$38,$E473),$P$20))-SUM($BF473:CO473))</f>
        <v>0</v>
      </c>
      <c r="CQ473" s="446">
        <f>IF($E473=0,0,IF(MIN(CQ$38,$E473)&lt;MAX($P$34*($B473+$I$38-1),IF(AND($L$37=0,$P$34=0),"",$L$37-1)),0,YEARFRAC(MAX($P$34*($B473+$I$38-1),IF(AND($L$37=0,$P$34=0),"",$L$37-1)),MIN(CQ$38,$E473),$P$20))-SUM($BF473:CP473))</f>
        <v>0</v>
      </c>
    </row>
    <row r="474" spans="1:95" s="446" customFormat="1" ht="11.25" hidden="1" customHeight="1" x14ac:dyDescent="0.2">
      <c r="A474" s="152"/>
      <c r="B474" s="153" t="str">
        <f t="shared" si="81"/>
        <v/>
      </c>
      <c r="C474" s="29" t="str">
        <f>IF(B474="","",IF($L$35="SELIC - TRIBUTOS",VLOOKUP(DATE(YEAR($D$19),MONTH($D$19)-1,1),ÍNDICES!$A:$DE,HLOOKUP($BL$25,ÍNDICES!$B$3:$T$4,2)+11)-VLOOKUP(B474,ÍNDICES!$A:$DE,HLOOKUP($BL$25,ÍNDICES!$B$3:$T$4,2)+11)+1%,IF(C$38=$W$26,$J$35,IF(ISERROR(IF(B474&gt;$D$19,1,VLOOKUP(DATE(YEAR(B474),MONTH(B474)+IF($C$35=$S$23,1,0),1),ÍNDICES!$A:$DE,$Z$35+1))),"",IF(B474&gt;$D$19,1,VLOOKUP(DATE(YEAR(B474),MONTH(B474)+IF($C$35=$S$23,1,0),1),ÍNDICES!$A:$DE,$Z$35+1))))))</f>
        <v/>
      </c>
      <c r="D474" s="154" t="str">
        <f>IF(ISERROR(IF(OR($D$38=$Y$27,$B474=""),"",VLOOKUP(B474,ÍNDICES!A:DE,AF$35+1))),"",IF(OR($D$38=$Y$27,$B474=""),"",VLOOKUP(B474,ÍNDICES!A:DE,AF$35+1)))</f>
        <v/>
      </c>
      <c r="E474" s="153"/>
      <c r="F474" s="29" t="str">
        <f>IF(E474="","",IF($L$35="SELIC - TRIBUTOS",VLOOKUP(DATE(YEAR($D$19),MONTH($D$19)-1,1),ÍNDICES!$A:$DE,HLOOKUP($BL$25,ÍNDICES!$B$3:$T$4,2)+11)-VLOOKUP(E474,ÍNDICES!$A:$DE,HLOOKUP($BL$25,ÍNDICES!$B$3:$T$4,2)+11)+1%,IF(F$38=$W$26,$J$35,IF(ISERROR(IF(E474&gt;$D$19,1,VLOOKUP(DATE(YEAR(E474),MONTH(E474)+IF($C$35=$S$23,1,0),1),ÍNDICES!$A:$DE,$Z$35+1))),"",IF(E474&gt;$D$19,1,VLOOKUP(DATE(YEAR(E474),MONTH(E474)+IF($C$35=$S$23,1,0),1),ÍNDICES!$A:$DE,$Z$35+1))))))</f>
        <v/>
      </c>
      <c r="G474" s="155"/>
      <c r="H474" s="156" t="str">
        <f t="shared" si="77"/>
        <v/>
      </c>
      <c r="I474" s="29" t="str">
        <f t="shared" si="71"/>
        <v/>
      </c>
      <c r="J474" s="5">
        <f t="shared" si="72"/>
        <v>0</v>
      </c>
      <c r="K474" s="20">
        <f t="shared" ca="1" si="73"/>
        <v>0</v>
      </c>
      <c r="L474" s="5">
        <f t="shared" ca="1" si="74"/>
        <v>0</v>
      </c>
      <c r="M474" s="64">
        <f t="shared" si="78"/>
        <v>0</v>
      </c>
      <c r="N474" s="61">
        <f t="shared" ca="1" si="79"/>
        <v>0</v>
      </c>
      <c r="O474" s="5">
        <f t="shared" ca="1" si="80"/>
        <v>0</v>
      </c>
      <c r="P474" s="446" t="e">
        <f t="shared" si="75"/>
        <v>#VALUE!</v>
      </c>
      <c r="Q474" s="446" t="e">
        <f>IF(OR($B474="",MIN(Q$38,$D$19)&lt;MAX($P$34*($B474+IF($R$17="Distrato",$I$38-1,0)),IF(AND($L$37=0,$P$34=0),"",$L$37-1),IF($R$17="Distrato",$E474,0))),0,YEARFRAC(MAX($P$34*($B474+IF($R$17="Distrato",$I$38-1,0)),IF(AND($L$37=0,$P$34=0),"",$L$37-1),IF($R$17="Distrato",$E474,0)),MIN(Q$38,$D$19),$P$20))-SUM($P474:P474)</f>
        <v>#VALUE!</v>
      </c>
      <c r="R474" s="446" t="e">
        <f>IF(OR($B474="",MIN(R$38,$D$19)&lt;MAX($P$34*($B474+IF($R$17="Distrato",$I$38-1,0)),IF(AND($L$37=0,$P$34=0),"",$L$37-1),IF($R$17="Distrato",$E474,0))),0,YEARFRAC(MAX($P$34*($B474+IF($R$17="Distrato",$I$38-1,0)),IF(AND($L$37=0,$P$34=0),"",$L$37-1),IF($R$17="Distrato",$E474,0)),MIN(R$38,$D$19),$P$20))-SUM($P474:Q474)</f>
        <v>#VALUE!</v>
      </c>
      <c r="S474" s="446" t="e">
        <f>IF(OR($B474="",MIN(S$38,$D$19)&lt;MAX($P$34*($B474+IF($R$17="Distrato",$I$38-1,0)),IF(AND($L$37=0,$P$34=0),"",$L$37-1),IF($R$17="Distrato",$E474,0))),0,YEARFRAC(MAX($P$34*($B474+IF($R$17="Distrato",$I$38-1,0)),IF(AND($L$37=0,$P$34=0),"",$L$37-1),IF($R$17="Distrato",$E474,0)),MIN(S$38,$D$19),$P$20))-SUM($P474:R474)</f>
        <v>#VALUE!</v>
      </c>
      <c r="T474" s="446" t="e">
        <f>IF(OR($B474="",MIN(T$38,$D$19)&lt;MAX($P$34*($B474+IF($R$17="Distrato",$I$38-1,0)),IF(AND($L$37=0,$P$34=0),"",$L$37-1),IF($R$17="Distrato",$E474,0))),0,YEARFRAC(MAX($P$34*($B474+IF($R$17="Distrato",$I$38-1,0)),IF(AND($L$37=0,$P$34=0),"",$L$37-1),IF($R$17="Distrato",$E474,0)),MIN(T$38,$D$19),$P$20))-SUM($P474:S474)</f>
        <v>#VALUE!</v>
      </c>
      <c r="U474" s="446" t="e">
        <f>IF(OR($B474="",MIN(U$38,$D$19)&lt;MAX($P$34*($B474+IF($R$17="Distrato",$I$38-1,0)),IF(AND($L$37=0,$P$34=0),"",$L$37-1),IF($R$17="Distrato",$E474,0))),0,YEARFRAC(MAX($P$34*($B474+IF($R$17="Distrato",$I$38-1,0)),IF(AND($L$37=0,$P$34=0),"",$L$37-1),IF($R$17="Distrato",$E474,0)),MIN(U$38,$D$19),$P$20))-SUM($P474:T474)</f>
        <v>#VALUE!</v>
      </c>
      <c r="V474" s="446" t="e">
        <f>IF(OR($B474="",MIN(V$38,$D$19)&lt;MAX($P$34*($B474+IF($R$17="Distrato",$I$38-1,0)),IF(AND($L$37=0,$P$34=0),"",$L$37-1),IF($R$17="Distrato",$E474,0))),0,YEARFRAC(MAX($P$34*($B474+IF($R$17="Distrato",$I$38-1,0)),IF(AND($L$37=0,$P$34=0),"",$L$37-1),IF($R$17="Distrato",$E474,0)),MIN(V$38,$D$19),$P$20))-SUM($P474:U474)</f>
        <v>#VALUE!</v>
      </c>
      <c r="W474" s="446" t="e">
        <f>IF(OR($B474="",MIN(W$38,$D$19)&lt;MAX($P$34*($B474+IF($R$17="Distrato",$I$38-1,0)),IF(AND($L$37=0,$P$34=0),"",$L$37-1),IF($R$17="Distrato",$E474,0))),0,YEARFRAC(MAX($P$34*($B474+IF($R$17="Distrato",$I$38-1,0)),IF(AND($L$37=0,$P$34=0),"",$L$37-1),IF($R$17="Distrato",$E474,0)),MIN(W$38,$D$19),$P$20))-SUM($P474:V474)</f>
        <v>#VALUE!</v>
      </c>
      <c r="X474" s="446" t="e">
        <f>IF(OR($B474="",MIN(X$38,$D$19)&lt;MAX($P$34*($B474+IF($R$17="Distrato",$I$38-1,0)),IF(AND($L$37=0,$P$34=0),"",$L$37-1),IF($R$17="Distrato",$E474,0))),0,YEARFRAC(MAX($P$34*($B474+IF($R$17="Distrato",$I$38-1,0)),IF(AND($L$37=0,$P$34=0),"",$L$37-1),IF($R$17="Distrato",$E474,0)),MIN(X$38,$D$19),$P$20))-SUM($P474:W474)</f>
        <v>#VALUE!</v>
      </c>
      <c r="Y474" s="446" t="e">
        <f>IF(OR($B474="",MIN(Y$38,$D$19)&lt;MAX($P$34*($B474+IF($R$17="Distrato",$I$38-1,0)),IF(AND($L$37=0,$P$34=0),"",$L$37-1),IF($R$17="Distrato",$E474,0))),0,YEARFRAC(MAX($P$34*($B474+IF($R$17="Distrato",$I$38-1,0)),IF(AND($L$37=0,$P$34=0),"",$L$37-1),IF($R$17="Distrato",$E474,0)),MIN(Y$38,$D$19),$P$20))-SUM($P474:X474)</f>
        <v>#VALUE!</v>
      </c>
      <c r="Z474" s="446" t="e">
        <f>IF(OR($B474="",MIN(Z$38,$D$19)&lt;MAX($P$34*($B474+IF($R$17="Distrato",$I$38-1,0)),IF(AND($L$37=0,$P$34=0),"",$L$37-1),IF($R$17="Distrato",$E474,0))),0,YEARFRAC(MAX($P$34*($B474+IF($R$17="Distrato",$I$38-1,0)),IF(AND($L$37=0,$P$34=0),"",$L$37-1),IF($R$17="Distrato",$E474,0)),MIN(Z$38,$D$19),$P$20))-SUM($P474:Y474)</f>
        <v>#VALUE!</v>
      </c>
      <c r="AA474" s="446" t="e">
        <f>IF(OR($B474="",MIN(AA$38,$D$19)&lt;MAX($P$34*($B474+IF($R$17="Distrato",$I$38-1,0)),IF(AND($L$37=0,$P$34=0),"",$L$37-1),IF($R$17="Distrato",$E474,0))),0,YEARFRAC(MAX($P$34*($B474+IF($R$17="Distrato",$I$38-1,0)),IF(AND($L$37=0,$P$34=0),"",$L$37-1),IF($R$17="Distrato",$E474,0)),MIN(AA$38,$D$19),$P$20))-SUM($P474:Z474)</f>
        <v>#VALUE!</v>
      </c>
      <c r="AB474" s="446" t="e">
        <f>IF(OR($B474="",MIN(AB$38,$D$19)&lt;MAX($P$34*($B474+IF($R$17="Distrato",$I$38-1,0)),IF(AND($L$37=0,$P$34=0),"",$L$37-1),IF($R$17="Distrato",$E474,0))),0,YEARFRAC(MAX($P$34*($B474+IF($R$17="Distrato",$I$38-1,0)),IF(AND($L$37=0,$P$34=0),"",$L$37-1),IF($R$17="Distrato",$E474,0)),MIN(AB$38,$D$19),$P$20))-SUM($P474:AA474)</f>
        <v>#VALUE!</v>
      </c>
      <c r="AC474" s="446" t="e">
        <f>IF(OR($B474="",MIN(AC$38,$D$19)&lt;MAX($P$34*($B474+IF($R$17="Distrato",$I$38-1,0)),IF(AND($L$37=0,$P$34=0),"",$L$37-1),IF($R$17="Distrato",$E474,0))),0,YEARFRAC(MAX($P$34*($B474+IF($R$17="Distrato",$I$38-1,0)),IF(AND($L$37=0,$P$34=0),"",$L$37-1),IF($R$17="Distrato",$E474,0)),MIN(AC$38,$D$19),$P$20))-SUM($P474:AB474)</f>
        <v>#VALUE!</v>
      </c>
      <c r="AD474" s="446" t="e">
        <f>IF(OR($B474="",MIN(AD$38,$D$19)&lt;MAX($P$34*($B474+IF($R$17="Distrato",$I$38-1,0)),IF(AND($L$37=0,$P$34=0),"",$L$37-1),IF($R$17="Distrato",$E474,0))),0,YEARFRAC(MAX($P$34*($B474+IF($R$17="Distrato",$I$38-1,0)),IF(AND($L$37=0,$P$34=0),"",$L$37-1),IF($R$17="Distrato",$E474,0)),MIN(AD$38,$D$19),$P$20))-SUM($P474:AC474)</f>
        <v>#VALUE!</v>
      </c>
      <c r="AE474" s="446" t="e">
        <f>IF(OR($B474="",MIN(AE$38,$D$19)&lt;MAX($P$34*($B474+IF($R$17="Distrato",$I$38-1,0)),IF(AND($L$37=0,$P$34=0),"",$L$37-1),IF($R$17="Distrato",$E474,0))),0,YEARFRAC(MAX($P$34*($B474+IF($R$17="Distrato",$I$38-1,0)),IF(AND($L$37=0,$P$34=0),"",$L$37-1),IF($R$17="Distrato",$E474,0)),MIN(AE$38,$D$19),$P$20))-SUM($P474:AD474)</f>
        <v>#VALUE!</v>
      </c>
      <c r="AF474" s="446" t="e">
        <f>IF(OR($B474="",MIN(AF$38,$D$19)&lt;MAX($P$34*($B474+IF($R$17="Distrato",$I$38-1,0)),IF(AND($L$37=0,$P$34=0),"",$L$37-1),IF($R$17="Distrato",$E474,0))),0,YEARFRAC(MAX($P$34*($B474+IF($R$17="Distrato",$I$38-1,0)),IF(AND($L$37=0,$P$34=0),"",$L$37-1),IF($R$17="Distrato",$E474,0)),MIN(AF$38,$D$19),$P$20))-SUM($P474:AE474)</f>
        <v>#VALUE!</v>
      </c>
      <c r="AG474" s="446" t="e">
        <f>IF(OR($B474="",MIN(AG$38,$D$19)&lt;MAX($P$34*($B474+IF($R$17="Distrato",$I$38-1,0)),IF(AND($L$37=0,$P$34=0),"",$L$37-1),IF($R$17="Distrato",$E474,0))),0,YEARFRAC(MAX($P$34*($B474+IF($R$17="Distrato",$I$38-1,0)),IF(AND($L$37=0,$P$34=0),"",$L$37-1),IF($R$17="Distrato",$E474,0)),MIN(AG$38,$D$19),$P$20))-SUM($P474:AF474)</f>
        <v>#VALUE!</v>
      </c>
      <c r="AH474" s="446" t="e">
        <f>IF(OR($B474="",MIN(AH$38,$D$19)&lt;MAX($P$34*($B474+IF($R$17="Distrato",$I$38-1,0)),IF(AND($L$37=0,$P$34=0),"",$L$37-1),IF($R$17="Distrato",$E474,0))),0,YEARFRAC(MAX($P$34*($B474+IF($R$17="Distrato",$I$38-1,0)),IF(AND($L$37=0,$P$34=0),"",$L$37-1),IF($R$17="Distrato",$E474,0)),MIN(AH$38,$D$19),$P$20))-SUM($P474:AG474)</f>
        <v>#VALUE!</v>
      </c>
      <c r="AI474" s="446" t="e">
        <f>IF(OR($B474="",MIN(AI$38,$D$19)&lt;MAX($P$34*($B474+IF($R$17="Distrato",$I$38-1,0)),IF(AND($L$37=0,$P$34=0),"",$L$37-1),IF($R$17="Distrato",$E474,0))),0,YEARFRAC(MAX($P$34*($B474+IF($R$17="Distrato",$I$38-1,0)),IF(AND($L$37=0,$P$34=0),"",$L$37-1),IF($R$17="Distrato",$E474,0)),MIN(AI$38,$D$19),$P$20))-SUM($P474:AH474)</f>
        <v>#VALUE!</v>
      </c>
      <c r="AJ474" s="446" t="e">
        <f>IF(OR($B474="",MIN(AJ$38,$D$19)&lt;MAX($P$34*($B474+IF($R$17="Distrato",$I$38-1,0)),IF(AND($L$37=0,$P$34=0),"",$L$37-1),IF($R$17="Distrato",$E474,0))),0,YEARFRAC(MAX($P$34*($B474+IF($R$17="Distrato",$I$38-1,0)),IF(AND($L$37=0,$P$34=0),"",$L$37-1),IF($R$17="Distrato",$E474,0)),MIN(AJ$38,$D$19),$P$20))-SUM($P474:AI474)</f>
        <v>#VALUE!</v>
      </c>
      <c r="AK474" s="446" t="e">
        <f>IF(OR($B474="",MIN(AK$38,$D$19)&lt;MAX($P$34*($B474+IF($R$17="Distrato",$I$38-1,0)),IF(AND($L$37=0,$P$34=0),"",$L$37-1),IF($R$17="Distrato",$E474,0))),0,YEARFRAC(MAX($P$34*($B474+IF($R$17="Distrato",$I$38-1,0)),IF(AND($L$37=0,$P$34=0),"",$L$37-1),IF($R$17="Distrato",$E474,0)),MIN(AK$38,$D$19),$P$20))-SUM($P474:AJ474)</f>
        <v>#VALUE!</v>
      </c>
      <c r="AL474" s="446" t="e">
        <f>IF(OR($B474="",MIN(AL$38,$D$19)&lt;MAX($P$34*($B474+IF($R$17="Distrato",$I$38-1,0)),IF(AND($L$37=0,$P$34=0),"",$L$37-1),IF($R$17="Distrato",$E474,0))),0,YEARFRAC(MAX($P$34*($B474+IF($R$17="Distrato",$I$38-1,0)),IF(AND($L$37=0,$P$34=0),"",$L$37-1),IF($R$17="Distrato",$E474,0)),MIN(AL$38,$D$19),$P$20))-SUM($P474:AK474)</f>
        <v>#VALUE!</v>
      </c>
      <c r="AM474" s="446" t="e">
        <f>IF(OR($B474="",MIN(AM$38,$D$19)&lt;MAX($P$34*($B474+IF($R$17="Distrato",$I$38-1,0)),IF(AND($L$37=0,$P$34=0),"",$L$37-1),IF($R$17="Distrato",$E474,0))),0,YEARFRAC(MAX($P$34*($B474+IF($R$17="Distrato",$I$38-1,0)),IF(AND($L$37=0,$P$34=0),"",$L$37-1),IF($R$17="Distrato",$E474,0)),MIN(AM$38,$D$19),$P$20))-SUM($P474:AL474)</f>
        <v>#VALUE!</v>
      </c>
      <c r="AN474" s="446" t="e">
        <f>IF(OR($B474="",MIN(AN$38,$D$19)&lt;MAX($P$34*($B474+IF($R$17="Distrato",$I$38-1,0)),IF(AND($L$37=0,$P$34=0),"",$L$37-1),IF($R$17="Distrato",$E474,0))),0,YEARFRAC(MAX($P$34*($B474+IF($R$17="Distrato",$I$38-1,0)),IF(AND($L$37=0,$P$34=0),"",$L$37-1),IF($R$17="Distrato",$E474,0)),MIN(AN$38,$D$19),$P$20))-SUM($P474:AM474)</f>
        <v>#VALUE!</v>
      </c>
      <c r="AO474" s="446" t="e">
        <f>IF(OR($B474="",MIN(AO$38,$D$19)&lt;MAX($P$34*($B474+IF($R$17="Distrato",$I$38-1,0)),IF(AND($L$37=0,$P$34=0),"",$L$37-1),IF($R$17="Distrato",$E474,0))),0,YEARFRAC(MAX($P$34*($B474+IF($R$17="Distrato",$I$38-1,0)),IF(AND($L$37=0,$P$34=0),"",$L$37-1),IF($R$17="Distrato",$E474,0)),MIN(AO$38,$D$19),$P$20))-SUM($P474:AN474)</f>
        <v>#VALUE!</v>
      </c>
      <c r="AP474" s="446" t="e">
        <f>IF(OR($B474="",MIN(AP$38,$D$19)&lt;MAX($P$34*($B474+IF($R$17="Distrato",$I$38-1,0)),IF(AND($L$37=0,$P$34=0),"",$L$37-1),IF($R$17="Distrato",$E474,0))),0,YEARFRAC(MAX($P$34*($B474+IF($R$17="Distrato",$I$38-1,0)),IF(AND($L$37=0,$P$34=0),"",$L$37-1),IF($R$17="Distrato",$E474,0)),MIN(AP$38,$D$19),$P$20))-SUM($P474:AO474)</f>
        <v>#VALUE!</v>
      </c>
      <c r="AQ474" s="446" t="e">
        <f>IF(OR($B474="",MIN(AQ$38,$D$19)&lt;MAX($P$34*($B474+IF($R$17="Distrato",$I$38-1,0)),IF(AND($L$37=0,$P$34=0),"",$L$37-1),IF($R$17="Distrato",$E474,0))),0,YEARFRAC(MAX($P$34*($B474+IF($R$17="Distrato",$I$38-1,0)),IF(AND($L$37=0,$P$34=0),"",$L$37-1),IF($R$17="Distrato",$E474,0)),MIN(AQ$38,$D$19),$P$20))-SUM($P474:AP474)</f>
        <v>#VALUE!</v>
      </c>
      <c r="AR474" s="446" t="e">
        <f>IF(OR($B474="",MIN(AR$38,$D$19)&lt;MAX($P$34*($B474+IF($R$17="Distrato",$I$38-1,0)),IF(AND($L$37=0,$P$34=0),"",$L$37-1),IF($R$17="Distrato",$E474,0))),0,YEARFRAC(MAX($P$34*($B474+IF($R$17="Distrato",$I$38-1,0)),IF(AND($L$37=0,$P$34=0),"",$L$37-1),IF($R$17="Distrato",$E474,0)),MIN(AR$38,$D$19),$P$20))-SUM($P474:AQ474)</f>
        <v>#VALUE!</v>
      </c>
      <c r="AS474" s="446" t="e">
        <f>IF(OR($B474="",MIN(AS$38,$D$19)&lt;MAX($P$34*($B474+IF($R$17="Distrato",$I$38-1,0)),IF(AND($L$37=0,$P$34=0),"",$L$37-1),IF($R$17="Distrato",$E474,0))),0,YEARFRAC(MAX($P$34*($B474+IF($R$17="Distrato",$I$38-1,0)),IF(AND($L$37=0,$P$34=0),"",$L$37-1),IF($R$17="Distrato",$E474,0)),MIN(AS$38,$D$19),$P$20))-SUM($P474:AR474)</f>
        <v>#VALUE!</v>
      </c>
      <c r="AT474" s="446" t="e">
        <f>IF(OR($B474="",MIN(AT$38,$D$19)&lt;MAX($P$34*($B474+IF($R$17="Distrato",$I$38-1,0)),IF(AND($L$37=0,$P$34=0),"",$L$37-1),IF($R$17="Distrato",$E474,0))),0,YEARFRAC(MAX($P$34*($B474+IF($R$17="Distrato",$I$38-1,0)),IF(AND($L$37=0,$P$34=0),"",$L$37-1),IF($R$17="Distrato",$E474,0)),MIN(AT$38,$D$19),$P$20))-SUM($P474:AS474)</f>
        <v>#VALUE!</v>
      </c>
      <c r="AU474" s="446" t="e">
        <f>IF(OR($B474="",MIN(AU$38,$D$19)&lt;MAX($P$34*($B474+IF($R$17="Distrato",$I$38-1,0)),IF(AND($L$37=0,$P$34=0),"",$L$37-1),IF($R$17="Distrato",$E474,0))),0,YEARFRAC(MAX($P$34*($B474+IF($R$17="Distrato",$I$38-1,0)),IF(AND($L$37=0,$P$34=0),"",$L$37-1),IF($R$17="Distrato",$E474,0)),MIN(AU$38,$D$19),$P$20))-SUM($P474:AT474)</f>
        <v>#VALUE!</v>
      </c>
      <c r="AV474" s="446" t="e">
        <f>IF(OR($B474="",MIN(AV$38,$D$19)&lt;MAX($P$34*($B474+IF($R$17="Distrato",$I$38-1,0)),IF(AND($L$37=0,$P$34=0),"",$L$37-1),IF($R$17="Distrato",$E474,0))),0,YEARFRAC(MAX($P$34*($B474+IF($R$17="Distrato",$I$38-1,0)),IF(AND($L$37=0,$P$34=0),"",$L$37-1),IF($R$17="Distrato",$E474,0)),MIN(AV$38,$D$19),$P$20))-SUM($P474:AU474)</f>
        <v>#VALUE!</v>
      </c>
      <c r="AW474" s="446" t="e">
        <f>IF(OR($B474="",MIN(AW$38,$D$19)&lt;MAX($P$34*($B474+IF($R$17="Distrato",$I$38-1,0)),IF(AND($L$37=0,$P$34=0),"",$L$37-1),IF($R$17="Distrato",$E474,0))),0,YEARFRAC(MAX($P$34*($B474+IF($R$17="Distrato",$I$38-1,0)),IF(AND($L$37=0,$P$34=0),"",$L$37-1),IF($R$17="Distrato",$E474,0)),MIN(AW$38,$D$19),$P$20))-SUM($P474:AV474)</f>
        <v>#VALUE!</v>
      </c>
      <c r="AX474" s="446" t="e">
        <f>IF(OR($B474="",MIN(AX$38,$D$19)&lt;MAX($P$34*($B474+IF($R$17="Distrato",$I$38-1,0)),IF(AND($L$37=0,$P$34=0),"",$L$37-1),IF($R$17="Distrato",$E474,0))),0,YEARFRAC(MAX($P$34*($B474+IF($R$17="Distrato",$I$38-1,0)),IF(AND($L$37=0,$P$34=0),"",$L$37-1),IF($R$17="Distrato",$E474,0)),MIN(AX$38,$D$19),$P$20))-SUM($P474:AW474)</f>
        <v>#VALUE!</v>
      </c>
      <c r="AY474" s="446" t="e">
        <f>IF(OR($B474="",MIN(AY$38,$D$19)&lt;MAX($P$34*($B474+IF($R$17="Distrato",$I$38-1,0)),IF(AND($L$37=0,$P$34=0),"",$L$37-1),IF($R$17="Distrato",$E474,0))),0,YEARFRAC(MAX($P$34*($B474+IF($R$17="Distrato",$I$38-1,0)),IF(AND($L$37=0,$P$34=0),"",$L$37-1),IF($R$17="Distrato",$E474,0)),MIN(AY$38,$D$19),$P$20))-SUM($P474:AX474)</f>
        <v>#VALUE!</v>
      </c>
      <c r="AZ474" s="446" t="e">
        <f>IF(OR($B474="",MIN(AZ$38,$D$19)&lt;MAX($P$34*($B474+IF($R$17="Distrato",$I$38-1,0)),IF(AND($L$37=0,$P$34=0),"",$L$37-1),IF($R$17="Distrato",$E474,0))),0,YEARFRAC(MAX($P$34*($B474+IF($R$17="Distrato",$I$38-1,0)),IF(AND($L$37=0,$P$34=0),"",$L$37-1),IF($R$17="Distrato",$E474,0)),MIN(AZ$38,$D$19),$P$20))-SUM($P474:AY474)</f>
        <v>#VALUE!</v>
      </c>
      <c r="BA474" s="446" t="e">
        <f>IF(OR($B474="",MIN(BA$38,$D$19)&lt;MAX($P$34*($B474+IF($R$17="Distrato",$I$38-1,0)),IF(AND($L$37=0,$P$34=0),"",$L$37-1),IF($R$17="Distrato",$E474,0))),0,YEARFRAC(MAX($P$34*($B474+IF($R$17="Distrato",$I$38-1,0)),IF(AND($L$37=0,$P$34=0),"",$L$37-1),IF($R$17="Distrato",$E474,0)),MIN(BA$38,$D$19),$P$20))-SUM($P474:AZ474)</f>
        <v>#VALUE!</v>
      </c>
      <c r="BB474" s="447"/>
      <c r="BF474" s="446">
        <f t="shared" si="76"/>
        <v>0</v>
      </c>
      <c r="BG474" s="446">
        <f>IF($E474=0,0,IF(MIN(BG$38,$E474)&lt;MAX($P$34*($B474+$I$38-1),IF(AND($L$37=0,$P$34=0),"",$L$37-1)),0,YEARFRAC(MAX($P$34*($B474+$I$38-1),IF(AND($L$37=0,$P$34=0),"",$L$37-1)),MIN(BG$38,$E474),$P$20))-SUM($BF474:BF474))</f>
        <v>0</v>
      </c>
      <c r="BH474" s="446">
        <f>IF($E474=0,0,IF(MIN(BH$38,$E474)&lt;MAX($P$34*($B474+$I$38-1),IF(AND($L$37=0,$P$34=0),"",$L$37-1)),0,YEARFRAC(MAX($P$34*($B474+$I$38-1),IF(AND($L$37=0,$P$34=0),"",$L$37-1)),MIN(BH$38,$E474),$P$20))-SUM($BF474:BG474))</f>
        <v>0</v>
      </c>
      <c r="BI474" s="446">
        <f>IF($E474=0,0,IF(MIN(BI$38,$E474)&lt;MAX($P$34*($B474+$I$38-1),IF(AND($L$37=0,$P$34=0),"",$L$37-1)),0,YEARFRAC(MAX($P$34*($B474+$I$38-1),IF(AND($L$37=0,$P$34=0),"",$L$37-1)),MIN(BI$38,$E474),$P$20))-SUM($BF474:BH474))</f>
        <v>0</v>
      </c>
      <c r="BJ474" s="446">
        <f>IF($E474=0,0,IF(MIN(BJ$38,$E474)&lt;MAX($P$34*($B474+$I$38-1),IF(AND($L$37=0,$P$34=0),"",$L$37-1)),0,YEARFRAC(MAX($P$34*($B474+$I$38-1),IF(AND($L$37=0,$P$34=0),"",$L$37-1)),MIN(BJ$38,$E474),$P$20))-SUM($BF474:BI474))</f>
        <v>0</v>
      </c>
      <c r="BK474" s="446">
        <f>IF($E474=0,0,IF(MIN(BK$38,$E474)&lt;MAX($P$34*($B474+$I$38-1),IF(AND($L$37=0,$P$34=0),"",$L$37-1)),0,YEARFRAC(MAX($P$34*($B474+$I$38-1),IF(AND($L$37=0,$P$34=0),"",$L$37-1)),MIN(BK$38,$E474),$P$20))-SUM($BF474:BJ474))</f>
        <v>0</v>
      </c>
      <c r="BL474" s="446">
        <f>IF($E474=0,0,IF(MIN(BL$38,$E474)&lt;MAX($P$34*($B474+$I$38-1),IF(AND($L$37=0,$P$34=0),"",$L$37-1)),0,YEARFRAC(MAX($P$34*($B474+$I$38-1),IF(AND($L$37=0,$P$34=0),"",$L$37-1)),MIN(BL$38,$E474),$P$20))-SUM($BF474:BK474))</f>
        <v>0</v>
      </c>
      <c r="BM474" s="446">
        <f>IF($E474=0,0,IF(MIN(BM$38,$E474)&lt;MAX($P$34*($B474+$I$38-1),IF(AND($L$37=0,$P$34=0),"",$L$37-1)),0,YEARFRAC(MAX($P$34*($B474+$I$38-1),IF(AND($L$37=0,$P$34=0),"",$L$37-1)),MIN(BM$38,$E474),$P$20))-SUM($BF474:BL474))</f>
        <v>0</v>
      </c>
      <c r="BN474" s="446">
        <f>IF($E474=0,0,IF(MIN(BN$38,$E474)&lt;MAX($P$34*($B474+$I$38-1),IF(AND($L$37=0,$P$34=0),"",$L$37-1)),0,YEARFRAC(MAX($P$34*($B474+$I$38-1),IF(AND($L$37=0,$P$34=0),"",$L$37-1)),MIN(BN$38,$E474),$P$20))-SUM($BF474:BM474))</f>
        <v>0</v>
      </c>
      <c r="BO474" s="446">
        <f>IF($E474=0,0,IF(MIN(BO$38,$E474)&lt;MAX($P$34*($B474+$I$38-1),IF(AND($L$37=0,$P$34=0),"",$L$37-1)),0,YEARFRAC(MAX($P$34*($B474+$I$38-1),IF(AND($L$37=0,$P$34=0),"",$L$37-1)),MIN(BO$38,$E474),$P$20))-SUM($BF474:BN474))</f>
        <v>0</v>
      </c>
      <c r="BP474" s="446">
        <f>IF($E474=0,0,IF(MIN(BP$38,$E474)&lt;MAX($P$34*($B474+$I$38-1),IF(AND($L$37=0,$P$34=0),"",$L$37-1)),0,YEARFRAC(MAX($P$34*($B474+$I$38-1),IF(AND($L$37=0,$P$34=0),"",$L$37-1)),MIN(BP$38,$E474),$P$20))-SUM($BF474:BO474))</f>
        <v>0</v>
      </c>
      <c r="BQ474" s="446">
        <f>IF($E474=0,0,IF(MIN(BQ$38,$E474)&lt;MAX($P$34*($B474+$I$38-1),IF(AND($L$37=0,$P$34=0),"",$L$37-1)),0,YEARFRAC(MAX($P$34*($B474+$I$38-1),IF(AND($L$37=0,$P$34=0),"",$L$37-1)),MIN(BQ$38,$E474),$P$20))-SUM($BF474:BP474))</f>
        <v>0</v>
      </c>
      <c r="BR474" s="446">
        <f>IF($E474=0,0,IF(MIN(BR$38,$E474)&lt;MAX($P$34*($B474+$I$38-1),IF(AND($L$37=0,$P$34=0),"",$L$37-1)),0,YEARFRAC(MAX($P$34*($B474+$I$38-1),IF(AND($L$37=0,$P$34=0),"",$L$37-1)),MIN(BR$38,$E474),$P$20))-SUM($BF474:BQ474))</f>
        <v>0</v>
      </c>
      <c r="BS474" s="446">
        <f>IF($E474=0,0,IF(MIN(BS$38,$E474)&lt;MAX($P$34*($B474+$I$38-1),IF(AND($L$37=0,$P$34=0),"",$L$37-1)),0,YEARFRAC(MAX($P$34*($B474+$I$38-1),IF(AND($L$37=0,$P$34=0),"",$L$37-1)),MIN(BS$38,$E474),$P$20))-SUM($BF474:BR474))</f>
        <v>0</v>
      </c>
      <c r="BT474" s="446">
        <f>IF($E474=0,0,IF(MIN(BT$38,$E474)&lt;MAX($P$34*($B474+$I$38-1),IF(AND($L$37=0,$P$34=0),"",$L$37-1)),0,YEARFRAC(MAX($P$34*($B474+$I$38-1),IF(AND($L$37=0,$P$34=0),"",$L$37-1)),MIN(BT$38,$E474),$P$20))-SUM($BF474:BS474))</f>
        <v>0</v>
      </c>
      <c r="BU474" s="446">
        <f>IF($E474=0,0,IF(MIN(BU$38,$E474)&lt;MAX($P$34*($B474+$I$38-1),IF(AND($L$37=0,$P$34=0),"",$L$37-1)),0,YEARFRAC(MAX($P$34*($B474+$I$38-1),IF(AND($L$37=0,$P$34=0),"",$L$37-1)),MIN(BU$38,$E474),$P$20))-SUM($BF474:BT474))</f>
        <v>0</v>
      </c>
      <c r="BV474" s="446">
        <f>IF($E474=0,0,IF(MIN(BV$38,$E474)&lt;MAX($P$34*($B474+$I$38-1),IF(AND($L$37=0,$P$34=0),"",$L$37-1)),0,YEARFRAC(MAX($P$34*($B474+$I$38-1),IF(AND($L$37=0,$P$34=0),"",$L$37-1)),MIN(BV$38,$E474),$P$20))-SUM($BF474:BU474))</f>
        <v>0</v>
      </c>
      <c r="BW474" s="446">
        <f>IF($E474=0,0,IF(MIN(BW$38,$E474)&lt;MAX($P$34*($B474+$I$38-1),IF(AND($L$37=0,$P$34=0),"",$L$37-1)),0,YEARFRAC(MAX($P$34*($B474+$I$38-1),IF(AND($L$37=0,$P$34=0),"",$L$37-1)),MIN(BW$38,$E474),$P$20))-SUM($BF474:BV474))</f>
        <v>0</v>
      </c>
      <c r="BX474" s="446">
        <f>IF($E474=0,0,IF(MIN(BX$38,$E474)&lt;MAX($P$34*($B474+$I$38-1),IF(AND($L$37=0,$P$34=0),"",$L$37-1)),0,YEARFRAC(MAX($P$34*($B474+$I$38-1),IF(AND($L$37=0,$P$34=0),"",$L$37-1)),MIN(BX$38,$E474),$P$20))-SUM($BF474:BW474))</f>
        <v>0</v>
      </c>
      <c r="BY474" s="446">
        <f>IF($E474=0,0,IF(MIN(BY$38,$E474)&lt;MAX($P$34*($B474+$I$38-1),IF(AND($L$37=0,$P$34=0),"",$L$37-1)),0,YEARFRAC(MAX($P$34*($B474+$I$38-1),IF(AND($L$37=0,$P$34=0),"",$L$37-1)),MIN(BY$38,$E474),$P$20))-SUM($BF474:BX474))</f>
        <v>0</v>
      </c>
      <c r="BZ474" s="446">
        <f>IF($E474=0,0,IF(MIN(BZ$38,$E474)&lt;MAX($P$34*($B474+$I$38-1),IF(AND($L$37=0,$P$34=0),"",$L$37-1)),0,YEARFRAC(MAX($P$34*($B474+$I$38-1),IF(AND($L$37=0,$P$34=0),"",$L$37-1)),MIN(BZ$38,$E474),$P$20))-SUM($BF474:BY474))</f>
        <v>0</v>
      </c>
      <c r="CA474" s="446">
        <f>IF($E474=0,0,IF(MIN(CA$38,$E474)&lt;MAX($P$34*($B474+$I$38-1),IF(AND($L$37=0,$P$34=0),"",$L$37-1)),0,YEARFRAC(MAX($P$34*($B474+$I$38-1),IF(AND($L$37=0,$P$34=0),"",$L$37-1)),MIN(CA$38,$E474),$P$20))-SUM($BF474:BZ474))</f>
        <v>0</v>
      </c>
      <c r="CB474" s="446">
        <f>IF($E474=0,0,IF(MIN(CB$38,$E474)&lt;MAX($P$34*($B474+$I$38-1),IF(AND($L$37=0,$P$34=0),"",$L$37-1)),0,YEARFRAC(MAX($P$34*($B474+$I$38-1),IF(AND($L$37=0,$P$34=0),"",$L$37-1)),MIN(CB$38,$E474),$P$20))-SUM($BF474:CA474))</f>
        <v>0</v>
      </c>
      <c r="CC474" s="446">
        <f>IF($E474=0,0,IF(MIN(CC$38,$E474)&lt;MAX($P$34*($B474+$I$38-1),IF(AND($L$37=0,$P$34=0),"",$L$37-1)),0,YEARFRAC(MAX($P$34*($B474+$I$38-1),IF(AND($L$37=0,$P$34=0),"",$L$37-1)),MIN(CC$38,$E474),$P$20))-SUM($BF474:CB474))</f>
        <v>0</v>
      </c>
      <c r="CD474" s="446">
        <f>IF($E474=0,0,IF(MIN(CD$38,$E474)&lt;MAX($P$34*($B474+$I$38-1),IF(AND($L$37=0,$P$34=0),"",$L$37-1)),0,YEARFRAC(MAX($P$34*($B474+$I$38-1),IF(AND($L$37=0,$P$34=0),"",$L$37-1)),MIN(CD$38,$E474),$P$20))-SUM($BF474:CC474))</f>
        <v>0</v>
      </c>
      <c r="CE474" s="446">
        <f>IF($E474=0,0,IF(MIN(CE$38,$E474)&lt;MAX($P$34*($B474+$I$38-1),IF(AND($L$37=0,$P$34=0),"",$L$37-1)),0,YEARFRAC(MAX($P$34*($B474+$I$38-1),IF(AND($L$37=0,$P$34=0),"",$L$37-1)),MIN(CE$38,$E474),$P$20))-SUM($BF474:CD474))</f>
        <v>0</v>
      </c>
      <c r="CF474" s="446">
        <f>IF($E474=0,0,IF(MIN(CF$38,$E474)&lt;MAX($P$34*($B474+$I$38-1),IF(AND($L$37=0,$P$34=0),"",$L$37-1)),0,YEARFRAC(MAX($P$34*($B474+$I$38-1),IF(AND($L$37=0,$P$34=0),"",$L$37-1)),MIN(CF$38,$E474),$P$20))-SUM($BF474:CE474))</f>
        <v>0</v>
      </c>
      <c r="CG474" s="446">
        <f>IF($E474=0,0,IF(MIN(CG$38,$E474)&lt;MAX($P$34*($B474+$I$38-1),IF(AND($L$37=0,$P$34=0),"",$L$37-1)),0,YEARFRAC(MAX($P$34*($B474+$I$38-1),IF(AND($L$37=0,$P$34=0),"",$L$37-1)),MIN(CG$38,$E474),$P$20))-SUM($BF474:CF474))</f>
        <v>0</v>
      </c>
      <c r="CH474" s="446">
        <f>IF($E474=0,0,IF(MIN(CH$38,$E474)&lt;MAX($P$34*($B474+$I$38-1),IF(AND($L$37=0,$P$34=0),"",$L$37-1)),0,YEARFRAC(MAX($P$34*($B474+$I$38-1),IF(AND($L$37=0,$P$34=0),"",$L$37-1)),MIN(CH$38,$E474),$P$20))-SUM($BF474:CG474))</f>
        <v>0</v>
      </c>
      <c r="CI474" s="446">
        <f>IF($E474=0,0,IF(MIN(CI$38,$E474)&lt;MAX($P$34*($B474+$I$38-1),IF(AND($L$37=0,$P$34=0),"",$L$37-1)),0,YEARFRAC(MAX($P$34*($B474+$I$38-1),IF(AND($L$37=0,$P$34=0),"",$L$37-1)),MIN(CI$38,$E474),$P$20))-SUM($BF474:CH474))</f>
        <v>0</v>
      </c>
      <c r="CJ474" s="446">
        <f>IF($E474=0,0,IF(MIN(CJ$38,$E474)&lt;MAX($P$34*($B474+$I$38-1),IF(AND($L$37=0,$P$34=0),"",$L$37-1)),0,YEARFRAC(MAX($P$34*($B474+$I$38-1),IF(AND($L$37=0,$P$34=0),"",$L$37-1)),MIN(CJ$38,$E474),$P$20))-SUM($BF474:CI474))</f>
        <v>0</v>
      </c>
      <c r="CK474" s="446">
        <f>IF($E474=0,0,IF(MIN(CK$38,$E474)&lt;MAX($P$34*($B474+$I$38-1),IF(AND($L$37=0,$P$34=0),"",$L$37-1)),0,YEARFRAC(MAX($P$34*($B474+$I$38-1),IF(AND($L$37=0,$P$34=0),"",$L$37-1)),MIN(CK$38,$E474),$P$20))-SUM($BF474:CJ474))</f>
        <v>0</v>
      </c>
      <c r="CL474" s="446">
        <f>IF($E474=0,0,IF(MIN(CL$38,$E474)&lt;MAX($P$34*($B474+$I$38-1),IF(AND($L$37=0,$P$34=0),"",$L$37-1)),0,YEARFRAC(MAX($P$34*($B474+$I$38-1),IF(AND($L$37=0,$P$34=0),"",$L$37-1)),MIN(CL$38,$E474),$P$20))-SUM($BF474:CK474))</f>
        <v>0</v>
      </c>
      <c r="CM474" s="446">
        <f>IF($E474=0,0,IF(MIN(CM$38,$E474)&lt;MAX($P$34*($B474+$I$38-1),IF(AND($L$37=0,$P$34=0),"",$L$37-1)),0,YEARFRAC(MAX($P$34*($B474+$I$38-1),IF(AND($L$37=0,$P$34=0),"",$L$37-1)),MIN(CM$38,$E474),$P$20))-SUM($BF474:CL474))</f>
        <v>0</v>
      </c>
      <c r="CN474" s="446">
        <f>IF($E474=0,0,IF(MIN(CN$38,$E474)&lt;MAX($P$34*($B474+$I$38-1),IF(AND($L$37=0,$P$34=0),"",$L$37-1)),0,YEARFRAC(MAX($P$34*($B474+$I$38-1),IF(AND($L$37=0,$P$34=0),"",$L$37-1)),MIN(CN$38,$E474),$P$20))-SUM($BF474:CM474))</f>
        <v>0</v>
      </c>
      <c r="CO474" s="446">
        <f>IF($E474=0,0,IF(MIN(CO$38,$E474)&lt;MAX($P$34*($B474+$I$38-1),IF(AND($L$37=0,$P$34=0),"",$L$37-1)),0,YEARFRAC(MAX($P$34*($B474+$I$38-1),IF(AND($L$37=0,$P$34=0),"",$L$37-1)),MIN(CO$38,$E474),$P$20))-SUM($BF474:CN474))</f>
        <v>0</v>
      </c>
      <c r="CP474" s="446">
        <f>IF($E474=0,0,IF(MIN(CP$38,$E474)&lt;MAX($P$34*($B474+$I$38-1),IF(AND($L$37=0,$P$34=0),"",$L$37-1)),0,YEARFRAC(MAX($P$34*($B474+$I$38-1),IF(AND($L$37=0,$P$34=0),"",$L$37-1)),MIN(CP$38,$E474),$P$20))-SUM($BF474:CO474))</f>
        <v>0</v>
      </c>
      <c r="CQ474" s="446">
        <f>IF($E474=0,0,IF(MIN(CQ$38,$E474)&lt;MAX($P$34*($B474+$I$38-1),IF(AND($L$37=0,$P$34=0),"",$L$37-1)),0,YEARFRAC(MAX($P$34*($B474+$I$38-1),IF(AND($L$37=0,$P$34=0),"",$L$37-1)),MIN(CQ$38,$E474),$P$20))-SUM($BF474:CP474))</f>
        <v>0</v>
      </c>
    </row>
    <row r="475" spans="1:95" s="446" customFormat="1" ht="11.25" hidden="1" customHeight="1" x14ac:dyDescent="0.2">
      <c r="A475" s="152"/>
      <c r="B475" s="153" t="str">
        <f t="shared" si="81"/>
        <v/>
      </c>
      <c r="C475" s="29" t="str">
        <f>IF(B475="","",IF($L$35="SELIC - TRIBUTOS",VLOOKUP(DATE(YEAR($D$19),MONTH($D$19)-1,1),ÍNDICES!$A:$DE,HLOOKUP($BL$25,ÍNDICES!$B$3:$T$4,2)+11)-VLOOKUP(B475,ÍNDICES!$A:$DE,HLOOKUP($BL$25,ÍNDICES!$B$3:$T$4,2)+11)+1%,IF(C$38=$W$26,$J$35,IF(ISERROR(IF(B475&gt;$D$19,1,VLOOKUP(DATE(YEAR(B475),MONTH(B475)+IF($C$35=$S$23,1,0),1),ÍNDICES!$A:$DE,$Z$35+1))),"",IF(B475&gt;$D$19,1,VLOOKUP(DATE(YEAR(B475),MONTH(B475)+IF($C$35=$S$23,1,0),1),ÍNDICES!$A:$DE,$Z$35+1))))))</f>
        <v/>
      </c>
      <c r="D475" s="154" t="str">
        <f>IF(ISERROR(IF(OR($D$38=$Y$27,$B475=""),"",VLOOKUP(B475,ÍNDICES!A:DE,AF$35+1))),"",IF(OR($D$38=$Y$27,$B475=""),"",VLOOKUP(B475,ÍNDICES!A:DE,AF$35+1)))</f>
        <v/>
      </c>
      <c r="E475" s="153"/>
      <c r="F475" s="29" t="str">
        <f>IF(E475="","",IF($L$35="SELIC - TRIBUTOS",VLOOKUP(DATE(YEAR($D$19),MONTH($D$19)-1,1),ÍNDICES!$A:$DE,HLOOKUP($BL$25,ÍNDICES!$B$3:$T$4,2)+11)-VLOOKUP(E475,ÍNDICES!$A:$DE,HLOOKUP($BL$25,ÍNDICES!$B$3:$T$4,2)+11)+1%,IF(F$38=$W$26,$J$35,IF(ISERROR(IF(E475&gt;$D$19,1,VLOOKUP(DATE(YEAR(E475),MONTH(E475)+IF($C$35=$S$23,1,0),1),ÍNDICES!$A:$DE,$Z$35+1))),"",IF(E475&gt;$D$19,1,VLOOKUP(DATE(YEAR(E475),MONTH(E475)+IF($C$35=$S$23,1,0),1),ÍNDICES!$A:$DE,$Z$35+1))))))</f>
        <v/>
      </c>
      <c r="G475" s="155"/>
      <c r="H475" s="156" t="str">
        <f t="shared" si="77"/>
        <v/>
      </c>
      <c r="I475" s="29" t="str">
        <f t="shared" si="71"/>
        <v/>
      </c>
      <c r="J475" s="5">
        <f t="shared" si="72"/>
        <v>0</v>
      </c>
      <c r="K475" s="20">
        <f t="shared" ca="1" si="73"/>
        <v>0</v>
      </c>
      <c r="L475" s="5">
        <f t="shared" ca="1" si="74"/>
        <v>0</v>
      </c>
      <c r="M475" s="64">
        <f t="shared" si="78"/>
        <v>0</v>
      </c>
      <c r="N475" s="61">
        <f t="shared" ca="1" si="79"/>
        <v>0</v>
      </c>
      <c r="O475" s="5">
        <f t="shared" ca="1" si="80"/>
        <v>0</v>
      </c>
      <c r="P475" s="446" t="e">
        <f t="shared" si="75"/>
        <v>#VALUE!</v>
      </c>
      <c r="Q475" s="446" t="e">
        <f>IF(OR($B475="",MIN(Q$38,$D$19)&lt;MAX($P$34*($B475+IF($R$17="Distrato",$I$38-1,0)),IF(AND($L$37=0,$P$34=0),"",$L$37-1),IF($R$17="Distrato",$E475,0))),0,YEARFRAC(MAX($P$34*($B475+IF($R$17="Distrato",$I$38-1,0)),IF(AND($L$37=0,$P$34=0),"",$L$37-1),IF($R$17="Distrato",$E475,0)),MIN(Q$38,$D$19),$P$20))-SUM($P475:P475)</f>
        <v>#VALUE!</v>
      </c>
      <c r="R475" s="446" t="e">
        <f>IF(OR($B475="",MIN(R$38,$D$19)&lt;MAX($P$34*($B475+IF($R$17="Distrato",$I$38-1,0)),IF(AND($L$37=0,$P$34=0),"",$L$37-1),IF($R$17="Distrato",$E475,0))),0,YEARFRAC(MAX($P$34*($B475+IF($R$17="Distrato",$I$38-1,0)),IF(AND($L$37=0,$P$34=0),"",$L$37-1),IF($R$17="Distrato",$E475,0)),MIN(R$38,$D$19),$P$20))-SUM($P475:Q475)</f>
        <v>#VALUE!</v>
      </c>
      <c r="S475" s="446" t="e">
        <f>IF(OR($B475="",MIN(S$38,$D$19)&lt;MAX($P$34*($B475+IF($R$17="Distrato",$I$38-1,0)),IF(AND($L$37=0,$P$34=0),"",$L$37-1),IF($R$17="Distrato",$E475,0))),0,YEARFRAC(MAX($P$34*($B475+IF($R$17="Distrato",$I$38-1,0)),IF(AND($L$37=0,$P$34=0),"",$L$37-1),IF($R$17="Distrato",$E475,0)),MIN(S$38,$D$19),$P$20))-SUM($P475:R475)</f>
        <v>#VALUE!</v>
      </c>
      <c r="T475" s="446" t="e">
        <f>IF(OR($B475="",MIN(T$38,$D$19)&lt;MAX($P$34*($B475+IF($R$17="Distrato",$I$38-1,0)),IF(AND($L$37=0,$P$34=0),"",$L$37-1),IF($R$17="Distrato",$E475,0))),0,YEARFRAC(MAX($P$34*($B475+IF($R$17="Distrato",$I$38-1,0)),IF(AND($L$37=0,$P$34=0),"",$L$37-1),IF($R$17="Distrato",$E475,0)),MIN(T$38,$D$19),$P$20))-SUM($P475:S475)</f>
        <v>#VALUE!</v>
      </c>
      <c r="U475" s="446" t="e">
        <f>IF(OR($B475="",MIN(U$38,$D$19)&lt;MAX($P$34*($B475+IF($R$17="Distrato",$I$38-1,0)),IF(AND($L$37=0,$P$34=0),"",$L$37-1),IF($R$17="Distrato",$E475,0))),0,YEARFRAC(MAX($P$34*($B475+IF($R$17="Distrato",$I$38-1,0)),IF(AND($L$37=0,$P$34=0),"",$L$37-1),IF($R$17="Distrato",$E475,0)),MIN(U$38,$D$19),$P$20))-SUM($P475:T475)</f>
        <v>#VALUE!</v>
      </c>
      <c r="V475" s="446" t="e">
        <f>IF(OR($B475="",MIN(V$38,$D$19)&lt;MAX($P$34*($B475+IF($R$17="Distrato",$I$38-1,0)),IF(AND($L$37=0,$P$34=0),"",$L$37-1),IF($R$17="Distrato",$E475,0))),0,YEARFRAC(MAX($P$34*($B475+IF($R$17="Distrato",$I$38-1,0)),IF(AND($L$37=0,$P$34=0),"",$L$37-1),IF($R$17="Distrato",$E475,0)),MIN(V$38,$D$19),$P$20))-SUM($P475:U475)</f>
        <v>#VALUE!</v>
      </c>
      <c r="W475" s="446" t="e">
        <f>IF(OR($B475="",MIN(W$38,$D$19)&lt;MAX($P$34*($B475+IF($R$17="Distrato",$I$38-1,0)),IF(AND($L$37=0,$P$34=0),"",$L$37-1),IF($R$17="Distrato",$E475,0))),0,YEARFRAC(MAX($P$34*($B475+IF($R$17="Distrato",$I$38-1,0)),IF(AND($L$37=0,$P$34=0),"",$L$37-1),IF($R$17="Distrato",$E475,0)),MIN(W$38,$D$19),$P$20))-SUM($P475:V475)</f>
        <v>#VALUE!</v>
      </c>
      <c r="X475" s="446" t="e">
        <f>IF(OR($B475="",MIN(X$38,$D$19)&lt;MAX($P$34*($B475+IF($R$17="Distrato",$I$38-1,0)),IF(AND($L$37=0,$P$34=0),"",$L$37-1),IF($R$17="Distrato",$E475,0))),0,YEARFRAC(MAX($P$34*($B475+IF($R$17="Distrato",$I$38-1,0)),IF(AND($L$37=0,$P$34=0),"",$L$37-1),IF($R$17="Distrato",$E475,0)),MIN(X$38,$D$19),$P$20))-SUM($P475:W475)</f>
        <v>#VALUE!</v>
      </c>
      <c r="Y475" s="446" t="e">
        <f>IF(OR($B475="",MIN(Y$38,$D$19)&lt;MAX($P$34*($B475+IF($R$17="Distrato",$I$38-1,0)),IF(AND($L$37=0,$P$34=0),"",$L$37-1),IF($R$17="Distrato",$E475,0))),0,YEARFRAC(MAX($P$34*($B475+IF($R$17="Distrato",$I$38-1,0)),IF(AND($L$37=0,$P$34=0),"",$L$37-1),IF($R$17="Distrato",$E475,0)),MIN(Y$38,$D$19),$P$20))-SUM($P475:X475)</f>
        <v>#VALUE!</v>
      </c>
      <c r="Z475" s="446" t="e">
        <f>IF(OR($B475="",MIN(Z$38,$D$19)&lt;MAX($P$34*($B475+IF($R$17="Distrato",$I$38-1,0)),IF(AND($L$37=0,$P$34=0),"",$L$37-1),IF($R$17="Distrato",$E475,0))),0,YEARFRAC(MAX($P$34*($B475+IF($R$17="Distrato",$I$38-1,0)),IF(AND($L$37=0,$P$34=0),"",$L$37-1),IF($R$17="Distrato",$E475,0)),MIN(Z$38,$D$19),$P$20))-SUM($P475:Y475)</f>
        <v>#VALUE!</v>
      </c>
      <c r="AA475" s="446" t="e">
        <f>IF(OR($B475="",MIN(AA$38,$D$19)&lt;MAX($P$34*($B475+IF($R$17="Distrato",$I$38-1,0)),IF(AND($L$37=0,$P$34=0),"",$L$37-1),IF($R$17="Distrato",$E475,0))),0,YEARFRAC(MAX($P$34*($B475+IF($R$17="Distrato",$I$38-1,0)),IF(AND($L$37=0,$P$34=0),"",$L$37-1),IF($R$17="Distrato",$E475,0)),MIN(AA$38,$D$19),$P$20))-SUM($P475:Z475)</f>
        <v>#VALUE!</v>
      </c>
      <c r="AB475" s="446" t="e">
        <f>IF(OR($B475="",MIN(AB$38,$D$19)&lt;MAX($P$34*($B475+IF($R$17="Distrato",$I$38-1,0)),IF(AND($L$37=0,$P$34=0),"",$L$37-1),IF($R$17="Distrato",$E475,0))),0,YEARFRAC(MAX($P$34*($B475+IF($R$17="Distrato",$I$38-1,0)),IF(AND($L$37=0,$P$34=0),"",$L$37-1),IF($R$17="Distrato",$E475,0)),MIN(AB$38,$D$19),$P$20))-SUM($P475:AA475)</f>
        <v>#VALUE!</v>
      </c>
      <c r="AC475" s="446" t="e">
        <f>IF(OR($B475="",MIN(AC$38,$D$19)&lt;MAX($P$34*($B475+IF($R$17="Distrato",$I$38-1,0)),IF(AND($L$37=0,$P$34=0),"",$L$37-1),IF($R$17="Distrato",$E475,0))),0,YEARFRAC(MAX($P$34*($B475+IF($R$17="Distrato",$I$38-1,0)),IF(AND($L$37=0,$P$34=0),"",$L$37-1),IF($R$17="Distrato",$E475,0)),MIN(AC$38,$D$19),$P$20))-SUM($P475:AB475)</f>
        <v>#VALUE!</v>
      </c>
      <c r="AD475" s="446" t="e">
        <f>IF(OR($B475="",MIN(AD$38,$D$19)&lt;MAX($P$34*($B475+IF($R$17="Distrato",$I$38-1,0)),IF(AND($L$37=0,$P$34=0),"",$L$37-1),IF($R$17="Distrato",$E475,0))),0,YEARFRAC(MAX($P$34*($B475+IF($R$17="Distrato",$I$38-1,0)),IF(AND($L$37=0,$P$34=0),"",$L$37-1),IF($R$17="Distrato",$E475,0)),MIN(AD$38,$D$19),$P$20))-SUM($P475:AC475)</f>
        <v>#VALUE!</v>
      </c>
      <c r="AE475" s="446" t="e">
        <f>IF(OR($B475="",MIN(AE$38,$D$19)&lt;MAX($P$34*($B475+IF($R$17="Distrato",$I$38-1,0)),IF(AND($L$37=0,$P$34=0),"",$L$37-1),IF($R$17="Distrato",$E475,0))),0,YEARFRAC(MAX($P$34*($B475+IF($R$17="Distrato",$I$38-1,0)),IF(AND($L$37=0,$P$34=0),"",$L$37-1),IF($R$17="Distrato",$E475,0)),MIN(AE$38,$D$19),$P$20))-SUM($P475:AD475)</f>
        <v>#VALUE!</v>
      </c>
      <c r="AF475" s="446" t="e">
        <f>IF(OR($B475="",MIN(AF$38,$D$19)&lt;MAX($P$34*($B475+IF($R$17="Distrato",$I$38-1,0)),IF(AND($L$37=0,$P$34=0),"",$L$37-1),IF($R$17="Distrato",$E475,0))),0,YEARFRAC(MAX($P$34*($B475+IF($R$17="Distrato",$I$38-1,0)),IF(AND($L$37=0,$P$34=0),"",$L$37-1),IF($R$17="Distrato",$E475,0)),MIN(AF$38,$D$19),$P$20))-SUM($P475:AE475)</f>
        <v>#VALUE!</v>
      </c>
      <c r="AG475" s="446" t="e">
        <f>IF(OR($B475="",MIN(AG$38,$D$19)&lt;MAX($P$34*($B475+IF($R$17="Distrato",$I$38-1,0)),IF(AND($L$37=0,$P$34=0),"",$L$37-1),IF($R$17="Distrato",$E475,0))),0,YEARFRAC(MAX($P$34*($B475+IF($R$17="Distrato",$I$38-1,0)),IF(AND($L$37=0,$P$34=0),"",$L$37-1),IF($R$17="Distrato",$E475,0)),MIN(AG$38,$D$19),$P$20))-SUM($P475:AF475)</f>
        <v>#VALUE!</v>
      </c>
      <c r="AH475" s="446" t="e">
        <f>IF(OR($B475="",MIN(AH$38,$D$19)&lt;MAX($P$34*($B475+IF($R$17="Distrato",$I$38-1,0)),IF(AND($L$37=0,$P$34=0),"",$L$37-1),IF($R$17="Distrato",$E475,0))),0,YEARFRAC(MAX($P$34*($B475+IF($R$17="Distrato",$I$38-1,0)),IF(AND($L$37=0,$P$34=0),"",$L$37-1),IF($R$17="Distrato",$E475,0)),MIN(AH$38,$D$19),$P$20))-SUM($P475:AG475)</f>
        <v>#VALUE!</v>
      </c>
      <c r="AI475" s="446" t="e">
        <f>IF(OR($B475="",MIN(AI$38,$D$19)&lt;MAX($P$34*($B475+IF($R$17="Distrato",$I$38-1,0)),IF(AND($L$37=0,$P$34=0),"",$L$37-1),IF($R$17="Distrato",$E475,0))),0,YEARFRAC(MAX($P$34*($B475+IF($R$17="Distrato",$I$38-1,0)),IF(AND($L$37=0,$P$34=0),"",$L$37-1),IF($R$17="Distrato",$E475,0)),MIN(AI$38,$D$19),$P$20))-SUM($P475:AH475)</f>
        <v>#VALUE!</v>
      </c>
      <c r="AJ475" s="446" t="e">
        <f>IF(OR($B475="",MIN(AJ$38,$D$19)&lt;MAX($P$34*($B475+IF($R$17="Distrato",$I$38-1,0)),IF(AND($L$37=0,$P$34=0),"",$L$37-1),IF($R$17="Distrato",$E475,0))),0,YEARFRAC(MAX($P$34*($B475+IF($R$17="Distrato",$I$38-1,0)),IF(AND($L$37=0,$P$34=0),"",$L$37-1),IF($R$17="Distrato",$E475,0)),MIN(AJ$38,$D$19),$P$20))-SUM($P475:AI475)</f>
        <v>#VALUE!</v>
      </c>
      <c r="AK475" s="446" t="e">
        <f>IF(OR($B475="",MIN(AK$38,$D$19)&lt;MAX($P$34*($B475+IF($R$17="Distrato",$I$38-1,0)),IF(AND($L$37=0,$P$34=0),"",$L$37-1),IF($R$17="Distrato",$E475,0))),0,YEARFRAC(MAX($P$34*($B475+IF($R$17="Distrato",$I$38-1,0)),IF(AND($L$37=0,$P$34=0),"",$L$37-1),IF($R$17="Distrato",$E475,0)),MIN(AK$38,$D$19),$P$20))-SUM($P475:AJ475)</f>
        <v>#VALUE!</v>
      </c>
      <c r="AL475" s="446" t="e">
        <f>IF(OR($B475="",MIN(AL$38,$D$19)&lt;MAX($P$34*($B475+IF($R$17="Distrato",$I$38-1,0)),IF(AND($L$37=0,$P$34=0),"",$L$37-1),IF($R$17="Distrato",$E475,0))),0,YEARFRAC(MAX($P$34*($B475+IF($R$17="Distrato",$I$38-1,0)),IF(AND($L$37=0,$P$34=0),"",$L$37-1),IF($R$17="Distrato",$E475,0)),MIN(AL$38,$D$19),$P$20))-SUM($P475:AK475)</f>
        <v>#VALUE!</v>
      </c>
      <c r="AM475" s="446" t="e">
        <f>IF(OR($B475="",MIN(AM$38,$D$19)&lt;MAX($P$34*($B475+IF($R$17="Distrato",$I$38-1,0)),IF(AND($L$37=0,$P$34=0),"",$L$37-1),IF($R$17="Distrato",$E475,0))),0,YEARFRAC(MAX($P$34*($B475+IF($R$17="Distrato",$I$38-1,0)),IF(AND($L$37=0,$P$34=0),"",$L$37-1),IF($R$17="Distrato",$E475,0)),MIN(AM$38,$D$19),$P$20))-SUM($P475:AL475)</f>
        <v>#VALUE!</v>
      </c>
      <c r="AN475" s="446" t="e">
        <f>IF(OR($B475="",MIN(AN$38,$D$19)&lt;MAX($P$34*($B475+IF($R$17="Distrato",$I$38-1,0)),IF(AND($L$37=0,$P$34=0),"",$L$37-1),IF($R$17="Distrato",$E475,0))),0,YEARFRAC(MAX($P$34*($B475+IF($R$17="Distrato",$I$38-1,0)),IF(AND($L$37=0,$P$34=0),"",$L$37-1),IF($R$17="Distrato",$E475,0)),MIN(AN$38,$D$19),$P$20))-SUM($P475:AM475)</f>
        <v>#VALUE!</v>
      </c>
      <c r="AO475" s="446" t="e">
        <f>IF(OR($B475="",MIN(AO$38,$D$19)&lt;MAX($P$34*($B475+IF($R$17="Distrato",$I$38-1,0)),IF(AND($L$37=0,$P$34=0),"",$L$37-1),IF($R$17="Distrato",$E475,0))),0,YEARFRAC(MAX($P$34*($B475+IF($R$17="Distrato",$I$38-1,0)),IF(AND($L$37=0,$P$34=0),"",$L$37-1),IF($R$17="Distrato",$E475,0)),MIN(AO$38,$D$19),$P$20))-SUM($P475:AN475)</f>
        <v>#VALUE!</v>
      </c>
      <c r="AP475" s="446" t="e">
        <f>IF(OR($B475="",MIN(AP$38,$D$19)&lt;MAX($P$34*($B475+IF($R$17="Distrato",$I$38-1,0)),IF(AND($L$37=0,$P$34=0),"",$L$37-1),IF($R$17="Distrato",$E475,0))),0,YEARFRAC(MAX($P$34*($B475+IF($R$17="Distrato",$I$38-1,0)),IF(AND($L$37=0,$P$34=0),"",$L$37-1),IF($R$17="Distrato",$E475,0)),MIN(AP$38,$D$19),$P$20))-SUM($P475:AO475)</f>
        <v>#VALUE!</v>
      </c>
      <c r="AQ475" s="446" t="e">
        <f>IF(OR($B475="",MIN(AQ$38,$D$19)&lt;MAX($P$34*($B475+IF($R$17="Distrato",$I$38-1,0)),IF(AND($L$37=0,$P$34=0),"",$L$37-1),IF($R$17="Distrato",$E475,0))),0,YEARFRAC(MAX($P$34*($B475+IF($R$17="Distrato",$I$38-1,0)),IF(AND($L$37=0,$P$34=0),"",$L$37-1),IF($R$17="Distrato",$E475,0)),MIN(AQ$38,$D$19),$P$20))-SUM($P475:AP475)</f>
        <v>#VALUE!</v>
      </c>
      <c r="AR475" s="446" t="e">
        <f>IF(OR($B475="",MIN(AR$38,$D$19)&lt;MAX($P$34*($B475+IF($R$17="Distrato",$I$38-1,0)),IF(AND($L$37=0,$P$34=0),"",$L$37-1),IF($R$17="Distrato",$E475,0))),0,YEARFRAC(MAX($P$34*($B475+IF($R$17="Distrato",$I$38-1,0)),IF(AND($L$37=0,$P$34=0),"",$L$37-1),IF($R$17="Distrato",$E475,0)),MIN(AR$38,$D$19),$P$20))-SUM($P475:AQ475)</f>
        <v>#VALUE!</v>
      </c>
      <c r="AS475" s="446" t="e">
        <f>IF(OR($B475="",MIN(AS$38,$D$19)&lt;MAX($P$34*($B475+IF($R$17="Distrato",$I$38-1,0)),IF(AND($L$37=0,$P$34=0),"",$L$37-1),IF($R$17="Distrato",$E475,0))),0,YEARFRAC(MAX($P$34*($B475+IF($R$17="Distrato",$I$38-1,0)),IF(AND($L$37=0,$P$34=0),"",$L$37-1),IF($R$17="Distrato",$E475,0)),MIN(AS$38,$D$19),$P$20))-SUM($P475:AR475)</f>
        <v>#VALUE!</v>
      </c>
      <c r="AT475" s="446" t="e">
        <f>IF(OR($B475="",MIN(AT$38,$D$19)&lt;MAX($P$34*($B475+IF($R$17="Distrato",$I$38-1,0)),IF(AND($L$37=0,$P$34=0),"",$L$37-1),IF($R$17="Distrato",$E475,0))),0,YEARFRAC(MAX($P$34*($B475+IF($R$17="Distrato",$I$38-1,0)),IF(AND($L$37=0,$P$34=0),"",$L$37-1),IF($R$17="Distrato",$E475,0)),MIN(AT$38,$D$19),$P$20))-SUM($P475:AS475)</f>
        <v>#VALUE!</v>
      </c>
      <c r="AU475" s="446" t="e">
        <f>IF(OR($B475="",MIN(AU$38,$D$19)&lt;MAX($P$34*($B475+IF($R$17="Distrato",$I$38-1,0)),IF(AND($L$37=0,$P$34=0),"",$L$37-1),IF($R$17="Distrato",$E475,0))),0,YEARFRAC(MAX($P$34*($B475+IF($R$17="Distrato",$I$38-1,0)),IF(AND($L$37=0,$P$34=0),"",$L$37-1),IF($R$17="Distrato",$E475,0)),MIN(AU$38,$D$19),$P$20))-SUM($P475:AT475)</f>
        <v>#VALUE!</v>
      </c>
      <c r="AV475" s="446" t="e">
        <f>IF(OR($B475="",MIN(AV$38,$D$19)&lt;MAX($P$34*($B475+IF($R$17="Distrato",$I$38-1,0)),IF(AND($L$37=0,$P$34=0),"",$L$37-1),IF($R$17="Distrato",$E475,0))),0,YEARFRAC(MAX($P$34*($B475+IF($R$17="Distrato",$I$38-1,0)),IF(AND($L$37=0,$P$34=0),"",$L$37-1),IF($R$17="Distrato",$E475,0)),MIN(AV$38,$D$19),$P$20))-SUM($P475:AU475)</f>
        <v>#VALUE!</v>
      </c>
      <c r="AW475" s="446" t="e">
        <f>IF(OR($B475="",MIN(AW$38,$D$19)&lt;MAX($P$34*($B475+IF($R$17="Distrato",$I$38-1,0)),IF(AND($L$37=0,$P$34=0),"",$L$37-1),IF($R$17="Distrato",$E475,0))),0,YEARFRAC(MAX($P$34*($B475+IF($R$17="Distrato",$I$38-1,0)),IF(AND($L$37=0,$P$34=0),"",$L$37-1),IF($R$17="Distrato",$E475,0)),MIN(AW$38,$D$19),$P$20))-SUM($P475:AV475)</f>
        <v>#VALUE!</v>
      </c>
      <c r="AX475" s="446" t="e">
        <f>IF(OR($B475="",MIN(AX$38,$D$19)&lt;MAX($P$34*($B475+IF($R$17="Distrato",$I$38-1,0)),IF(AND($L$37=0,$P$34=0),"",$L$37-1),IF($R$17="Distrato",$E475,0))),0,YEARFRAC(MAX($P$34*($B475+IF($R$17="Distrato",$I$38-1,0)),IF(AND($L$37=0,$P$34=0),"",$L$37-1),IF($R$17="Distrato",$E475,0)),MIN(AX$38,$D$19),$P$20))-SUM($P475:AW475)</f>
        <v>#VALUE!</v>
      </c>
      <c r="AY475" s="446" t="e">
        <f>IF(OR($B475="",MIN(AY$38,$D$19)&lt;MAX($P$34*($B475+IF($R$17="Distrato",$I$38-1,0)),IF(AND($L$37=0,$P$34=0),"",$L$37-1),IF($R$17="Distrato",$E475,0))),0,YEARFRAC(MAX($P$34*($B475+IF($R$17="Distrato",$I$38-1,0)),IF(AND($L$37=0,$P$34=0),"",$L$37-1),IF($R$17="Distrato",$E475,0)),MIN(AY$38,$D$19),$P$20))-SUM($P475:AX475)</f>
        <v>#VALUE!</v>
      </c>
      <c r="AZ475" s="446" t="e">
        <f>IF(OR($B475="",MIN(AZ$38,$D$19)&lt;MAX($P$34*($B475+IF($R$17="Distrato",$I$38-1,0)),IF(AND($L$37=0,$P$34=0),"",$L$37-1),IF($R$17="Distrato",$E475,0))),0,YEARFRAC(MAX($P$34*($B475+IF($R$17="Distrato",$I$38-1,0)),IF(AND($L$37=0,$P$34=0),"",$L$37-1),IF($R$17="Distrato",$E475,0)),MIN(AZ$38,$D$19),$P$20))-SUM($P475:AY475)</f>
        <v>#VALUE!</v>
      </c>
      <c r="BA475" s="446" t="e">
        <f>IF(OR($B475="",MIN(BA$38,$D$19)&lt;MAX($P$34*($B475+IF($R$17="Distrato",$I$38-1,0)),IF(AND($L$37=0,$P$34=0),"",$L$37-1),IF($R$17="Distrato",$E475,0))),0,YEARFRAC(MAX($P$34*($B475+IF($R$17="Distrato",$I$38-1,0)),IF(AND($L$37=0,$P$34=0),"",$L$37-1),IF($R$17="Distrato",$E475,0)),MIN(BA$38,$D$19),$P$20))-SUM($P475:AZ475)</f>
        <v>#VALUE!</v>
      </c>
      <c r="BB475" s="447"/>
      <c r="BF475" s="446">
        <f t="shared" si="76"/>
        <v>0</v>
      </c>
      <c r="BG475" s="446">
        <f>IF($E475=0,0,IF(MIN(BG$38,$E475)&lt;MAX($P$34*($B475+$I$38-1),IF(AND($L$37=0,$P$34=0),"",$L$37-1)),0,YEARFRAC(MAX($P$34*($B475+$I$38-1),IF(AND($L$37=0,$P$34=0),"",$L$37-1)),MIN(BG$38,$E475),$P$20))-SUM($BF475:BF475))</f>
        <v>0</v>
      </c>
      <c r="BH475" s="446">
        <f>IF($E475=0,0,IF(MIN(BH$38,$E475)&lt;MAX($P$34*($B475+$I$38-1),IF(AND($L$37=0,$P$34=0),"",$L$37-1)),0,YEARFRAC(MAX($P$34*($B475+$I$38-1),IF(AND($L$37=0,$P$34=0),"",$L$37-1)),MIN(BH$38,$E475),$P$20))-SUM($BF475:BG475))</f>
        <v>0</v>
      </c>
      <c r="BI475" s="446">
        <f>IF($E475=0,0,IF(MIN(BI$38,$E475)&lt;MAX($P$34*($B475+$I$38-1),IF(AND($L$37=0,$P$34=0),"",$L$37-1)),0,YEARFRAC(MAX($P$34*($B475+$I$38-1),IF(AND($L$37=0,$P$34=0),"",$L$37-1)),MIN(BI$38,$E475),$P$20))-SUM($BF475:BH475))</f>
        <v>0</v>
      </c>
      <c r="BJ475" s="446">
        <f>IF($E475=0,0,IF(MIN(BJ$38,$E475)&lt;MAX($P$34*($B475+$I$38-1),IF(AND($L$37=0,$P$34=0),"",$L$37-1)),0,YEARFRAC(MAX($P$34*($B475+$I$38-1),IF(AND($L$37=0,$P$34=0),"",$L$37-1)),MIN(BJ$38,$E475),$P$20))-SUM($BF475:BI475))</f>
        <v>0</v>
      </c>
      <c r="BK475" s="446">
        <f>IF($E475=0,0,IF(MIN(BK$38,$E475)&lt;MAX($P$34*($B475+$I$38-1),IF(AND($L$37=0,$P$34=0),"",$L$37-1)),0,YEARFRAC(MAX($P$34*($B475+$I$38-1),IF(AND($L$37=0,$P$34=0),"",$L$37-1)),MIN(BK$38,$E475),$P$20))-SUM($BF475:BJ475))</f>
        <v>0</v>
      </c>
      <c r="BL475" s="446">
        <f>IF($E475=0,0,IF(MIN(BL$38,$E475)&lt;MAX($P$34*($B475+$I$38-1),IF(AND($L$37=0,$P$34=0),"",$L$37-1)),0,YEARFRAC(MAX($P$34*($B475+$I$38-1),IF(AND($L$37=0,$P$34=0),"",$L$37-1)),MIN(BL$38,$E475),$P$20))-SUM($BF475:BK475))</f>
        <v>0</v>
      </c>
      <c r="BM475" s="446">
        <f>IF($E475=0,0,IF(MIN(BM$38,$E475)&lt;MAX($P$34*($B475+$I$38-1),IF(AND($L$37=0,$P$34=0),"",$L$37-1)),0,YEARFRAC(MAX($P$34*($B475+$I$38-1),IF(AND($L$37=0,$P$34=0),"",$L$37-1)),MIN(BM$38,$E475),$P$20))-SUM($BF475:BL475))</f>
        <v>0</v>
      </c>
      <c r="BN475" s="446">
        <f>IF($E475=0,0,IF(MIN(BN$38,$E475)&lt;MAX($P$34*($B475+$I$38-1),IF(AND($L$37=0,$P$34=0),"",$L$37-1)),0,YEARFRAC(MAX($P$34*($B475+$I$38-1),IF(AND($L$37=0,$P$34=0),"",$L$37-1)),MIN(BN$38,$E475),$P$20))-SUM($BF475:BM475))</f>
        <v>0</v>
      </c>
      <c r="BO475" s="446">
        <f>IF($E475=0,0,IF(MIN(BO$38,$E475)&lt;MAX($P$34*($B475+$I$38-1),IF(AND($L$37=0,$P$34=0),"",$L$37-1)),0,YEARFRAC(MAX($P$34*($B475+$I$38-1),IF(AND($L$37=0,$P$34=0),"",$L$37-1)),MIN(BO$38,$E475),$P$20))-SUM($BF475:BN475))</f>
        <v>0</v>
      </c>
      <c r="BP475" s="446">
        <f>IF($E475=0,0,IF(MIN(BP$38,$E475)&lt;MAX($P$34*($B475+$I$38-1),IF(AND($L$37=0,$P$34=0),"",$L$37-1)),0,YEARFRAC(MAX($P$34*($B475+$I$38-1),IF(AND($L$37=0,$P$34=0),"",$L$37-1)),MIN(BP$38,$E475),$P$20))-SUM($BF475:BO475))</f>
        <v>0</v>
      </c>
      <c r="BQ475" s="446">
        <f>IF($E475=0,0,IF(MIN(BQ$38,$E475)&lt;MAX($P$34*($B475+$I$38-1),IF(AND($L$37=0,$P$34=0),"",$L$37-1)),0,YEARFRAC(MAX($P$34*($B475+$I$38-1),IF(AND($L$37=0,$P$34=0),"",$L$37-1)),MIN(BQ$38,$E475),$P$20))-SUM($BF475:BP475))</f>
        <v>0</v>
      </c>
      <c r="BR475" s="446">
        <f>IF($E475=0,0,IF(MIN(BR$38,$E475)&lt;MAX($P$34*($B475+$I$38-1),IF(AND($L$37=0,$P$34=0),"",$L$37-1)),0,YEARFRAC(MAX($P$34*($B475+$I$38-1),IF(AND($L$37=0,$P$34=0),"",$L$37-1)),MIN(BR$38,$E475),$P$20))-SUM($BF475:BQ475))</f>
        <v>0</v>
      </c>
      <c r="BS475" s="446">
        <f>IF($E475=0,0,IF(MIN(BS$38,$E475)&lt;MAX($P$34*($B475+$I$38-1),IF(AND($L$37=0,$P$34=0),"",$L$37-1)),0,YEARFRAC(MAX($P$34*($B475+$I$38-1),IF(AND($L$37=0,$P$34=0),"",$L$37-1)),MIN(BS$38,$E475),$P$20))-SUM($BF475:BR475))</f>
        <v>0</v>
      </c>
      <c r="BT475" s="446">
        <f>IF($E475=0,0,IF(MIN(BT$38,$E475)&lt;MAX($P$34*($B475+$I$38-1),IF(AND($L$37=0,$P$34=0),"",$L$37-1)),0,YEARFRAC(MAX($P$34*($B475+$I$38-1),IF(AND($L$37=0,$P$34=0),"",$L$37-1)),MIN(BT$38,$E475),$P$20))-SUM($BF475:BS475))</f>
        <v>0</v>
      </c>
      <c r="BU475" s="446">
        <f>IF($E475=0,0,IF(MIN(BU$38,$E475)&lt;MAX($P$34*($B475+$I$38-1),IF(AND($L$37=0,$P$34=0),"",$L$37-1)),0,YEARFRAC(MAX($P$34*($B475+$I$38-1),IF(AND($L$37=0,$P$34=0),"",$L$37-1)),MIN(BU$38,$E475),$P$20))-SUM($BF475:BT475))</f>
        <v>0</v>
      </c>
      <c r="BV475" s="446">
        <f>IF($E475=0,0,IF(MIN(BV$38,$E475)&lt;MAX($P$34*($B475+$I$38-1),IF(AND($L$37=0,$P$34=0),"",$L$37-1)),0,YEARFRAC(MAX($P$34*($B475+$I$38-1),IF(AND($L$37=0,$P$34=0),"",$L$37-1)),MIN(BV$38,$E475),$P$20))-SUM($BF475:BU475))</f>
        <v>0</v>
      </c>
      <c r="BW475" s="446">
        <f>IF($E475=0,0,IF(MIN(BW$38,$E475)&lt;MAX($P$34*($B475+$I$38-1),IF(AND($L$37=0,$P$34=0),"",$L$37-1)),0,YEARFRAC(MAX($P$34*($B475+$I$38-1),IF(AND($L$37=0,$P$34=0),"",$L$37-1)),MIN(BW$38,$E475),$P$20))-SUM($BF475:BV475))</f>
        <v>0</v>
      </c>
      <c r="BX475" s="446">
        <f>IF($E475=0,0,IF(MIN(BX$38,$E475)&lt;MAX($P$34*($B475+$I$38-1),IF(AND($L$37=0,$P$34=0),"",$L$37-1)),0,YEARFRAC(MAX($P$34*($B475+$I$38-1),IF(AND($L$37=0,$P$34=0),"",$L$37-1)),MIN(BX$38,$E475),$P$20))-SUM($BF475:BW475))</f>
        <v>0</v>
      </c>
      <c r="BY475" s="446">
        <f>IF($E475=0,0,IF(MIN(BY$38,$E475)&lt;MAX($P$34*($B475+$I$38-1),IF(AND($L$37=0,$P$34=0),"",$L$37-1)),0,YEARFRAC(MAX($P$34*($B475+$I$38-1),IF(AND($L$37=0,$P$34=0),"",$L$37-1)),MIN(BY$38,$E475),$P$20))-SUM($BF475:BX475))</f>
        <v>0</v>
      </c>
      <c r="BZ475" s="446">
        <f>IF($E475=0,0,IF(MIN(BZ$38,$E475)&lt;MAX($P$34*($B475+$I$38-1),IF(AND($L$37=0,$P$34=0),"",$L$37-1)),0,YEARFRAC(MAX($P$34*($B475+$I$38-1),IF(AND($L$37=0,$P$34=0),"",$L$37-1)),MIN(BZ$38,$E475),$P$20))-SUM($BF475:BY475))</f>
        <v>0</v>
      </c>
      <c r="CA475" s="446">
        <f>IF($E475=0,0,IF(MIN(CA$38,$E475)&lt;MAX($P$34*($B475+$I$38-1),IF(AND($L$37=0,$P$34=0),"",$L$37-1)),0,YEARFRAC(MAX($P$34*($B475+$I$38-1),IF(AND($L$37=0,$P$34=0),"",$L$37-1)),MIN(CA$38,$E475),$P$20))-SUM($BF475:BZ475))</f>
        <v>0</v>
      </c>
      <c r="CB475" s="446">
        <f>IF($E475=0,0,IF(MIN(CB$38,$E475)&lt;MAX($P$34*($B475+$I$38-1),IF(AND($L$37=0,$P$34=0),"",$L$37-1)),0,YEARFRAC(MAX($P$34*($B475+$I$38-1),IF(AND($L$37=0,$P$34=0),"",$L$37-1)),MIN(CB$38,$E475),$P$20))-SUM($BF475:CA475))</f>
        <v>0</v>
      </c>
      <c r="CC475" s="446">
        <f>IF($E475=0,0,IF(MIN(CC$38,$E475)&lt;MAX($P$34*($B475+$I$38-1),IF(AND($L$37=0,$P$34=0),"",$L$37-1)),0,YEARFRAC(MAX($P$34*($B475+$I$38-1),IF(AND($L$37=0,$P$34=0),"",$L$37-1)),MIN(CC$38,$E475),$P$20))-SUM($BF475:CB475))</f>
        <v>0</v>
      </c>
      <c r="CD475" s="446">
        <f>IF($E475=0,0,IF(MIN(CD$38,$E475)&lt;MAX($P$34*($B475+$I$38-1),IF(AND($L$37=0,$P$34=0),"",$L$37-1)),0,YEARFRAC(MAX($P$34*($B475+$I$38-1),IF(AND($L$37=0,$P$34=0),"",$L$37-1)),MIN(CD$38,$E475),$P$20))-SUM($BF475:CC475))</f>
        <v>0</v>
      </c>
      <c r="CE475" s="446">
        <f>IF($E475=0,0,IF(MIN(CE$38,$E475)&lt;MAX($P$34*($B475+$I$38-1),IF(AND($L$37=0,$P$34=0),"",$L$37-1)),0,YEARFRAC(MAX($P$34*($B475+$I$38-1),IF(AND($L$37=0,$P$34=0),"",$L$37-1)),MIN(CE$38,$E475),$P$20))-SUM($BF475:CD475))</f>
        <v>0</v>
      </c>
      <c r="CF475" s="446">
        <f>IF($E475=0,0,IF(MIN(CF$38,$E475)&lt;MAX($P$34*($B475+$I$38-1),IF(AND($L$37=0,$P$34=0),"",$L$37-1)),0,YEARFRAC(MAX($P$34*($B475+$I$38-1),IF(AND($L$37=0,$P$34=0),"",$L$37-1)),MIN(CF$38,$E475),$P$20))-SUM($BF475:CE475))</f>
        <v>0</v>
      </c>
      <c r="CG475" s="446">
        <f>IF($E475=0,0,IF(MIN(CG$38,$E475)&lt;MAX($P$34*($B475+$I$38-1),IF(AND($L$37=0,$P$34=0),"",$L$37-1)),0,YEARFRAC(MAX($P$34*($B475+$I$38-1),IF(AND($L$37=0,$P$34=0),"",$L$37-1)),MIN(CG$38,$E475),$P$20))-SUM($BF475:CF475))</f>
        <v>0</v>
      </c>
      <c r="CH475" s="446">
        <f>IF($E475=0,0,IF(MIN(CH$38,$E475)&lt;MAX($P$34*($B475+$I$38-1),IF(AND($L$37=0,$P$34=0),"",$L$37-1)),0,YEARFRAC(MAX($P$34*($B475+$I$38-1),IF(AND($L$37=0,$P$34=0),"",$L$37-1)),MIN(CH$38,$E475),$P$20))-SUM($BF475:CG475))</f>
        <v>0</v>
      </c>
      <c r="CI475" s="446">
        <f>IF($E475=0,0,IF(MIN(CI$38,$E475)&lt;MAX($P$34*($B475+$I$38-1),IF(AND($L$37=0,$P$34=0),"",$L$37-1)),0,YEARFRAC(MAX($P$34*($B475+$I$38-1),IF(AND($L$37=0,$P$34=0),"",$L$37-1)),MIN(CI$38,$E475),$P$20))-SUM($BF475:CH475))</f>
        <v>0</v>
      </c>
      <c r="CJ475" s="446">
        <f>IF($E475=0,0,IF(MIN(CJ$38,$E475)&lt;MAX($P$34*($B475+$I$38-1),IF(AND($L$37=0,$P$34=0),"",$L$37-1)),0,YEARFRAC(MAX($P$34*($B475+$I$38-1),IF(AND($L$37=0,$P$34=0),"",$L$37-1)),MIN(CJ$38,$E475),$P$20))-SUM($BF475:CI475))</f>
        <v>0</v>
      </c>
      <c r="CK475" s="446">
        <f>IF($E475=0,0,IF(MIN(CK$38,$E475)&lt;MAX($P$34*($B475+$I$38-1),IF(AND($L$37=0,$P$34=0),"",$L$37-1)),0,YEARFRAC(MAX($P$34*($B475+$I$38-1),IF(AND($L$37=0,$P$34=0),"",$L$37-1)),MIN(CK$38,$E475),$P$20))-SUM($BF475:CJ475))</f>
        <v>0</v>
      </c>
      <c r="CL475" s="446">
        <f>IF($E475=0,0,IF(MIN(CL$38,$E475)&lt;MAX($P$34*($B475+$I$38-1),IF(AND($L$37=0,$P$34=0),"",$L$37-1)),0,YEARFRAC(MAX($P$34*($B475+$I$38-1),IF(AND($L$37=0,$P$34=0),"",$L$37-1)),MIN(CL$38,$E475),$P$20))-SUM($BF475:CK475))</f>
        <v>0</v>
      </c>
      <c r="CM475" s="446">
        <f>IF($E475=0,0,IF(MIN(CM$38,$E475)&lt;MAX($P$34*($B475+$I$38-1),IF(AND($L$37=0,$P$34=0),"",$L$37-1)),0,YEARFRAC(MAX($P$34*($B475+$I$38-1),IF(AND($L$37=0,$P$34=0),"",$L$37-1)),MIN(CM$38,$E475),$P$20))-SUM($BF475:CL475))</f>
        <v>0</v>
      </c>
      <c r="CN475" s="446">
        <f>IF($E475=0,0,IF(MIN(CN$38,$E475)&lt;MAX($P$34*($B475+$I$38-1),IF(AND($L$37=0,$P$34=0),"",$L$37-1)),0,YEARFRAC(MAX($P$34*($B475+$I$38-1),IF(AND($L$37=0,$P$34=0),"",$L$37-1)),MIN(CN$38,$E475),$P$20))-SUM($BF475:CM475))</f>
        <v>0</v>
      </c>
      <c r="CO475" s="446">
        <f>IF($E475=0,0,IF(MIN(CO$38,$E475)&lt;MAX($P$34*($B475+$I$38-1),IF(AND($L$37=0,$P$34=0),"",$L$37-1)),0,YEARFRAC(MAX($P$34*($B475+$I$38-1),IF(AND($L$37=0,$P$34=0),"",$L$37-1)),MIN(CO$38,$E475),$P$20))-SUM($BF475:CN475))</f>
        <v>0</v>
      </c>
      <c r="CP475" s="446">
        <f>IF($E475=0,0,IF(MIN(CP$38,$E475)&lt;MAX($P$34*($B475+$I$38-1),IF(AND($L$37=0,$P$34=0),"",$L$37-1)),0,YEARFRAC(MAX($P$34*($B475+$I$38-1),IF(AND($L$37=0,$P$34=0),"",$L$37-1)),MIN(CP$38,$E475),$P$20))-SUM($BF475:CO475))</f>
        <v>0</v>
      </c>
      <c r="CQ475" s="446">
        <f>IF($E475=0,0,IF(MIN(CQ$38,$E475)&lt;MAX($P$34*($B475+$I$38-1),IF(AND($L$37=0,$P$34=0),"",$L$37-1)),0,YEARFRAC(MAX($P$34*($B475+$I$38-1),IF(AND($L$37=0,$P$34=0),"",$L$37-1)),MIN(CQ$38,$E475),$P$20))-SUM($BF475:CP475))</f>
        <v>0</v>
      </c>
    </row>
    <row r="476" spans="1:95" s="446" customFormat="1" ht="11.25" hidden="1" customHeight="1" x14ac:dyDescent="0.2">
      <c r="A476" s="152"/>
      <c r="B476" s="153" t="str">
        <f t="shared" si="81"/>
        <v/>
      </c>
      <c r="C476" s="29" t="str">
        <f>IF(B476="","",IF($L$35="SELIC - TRIBUTOS",VLOOKUP(DATE(YEAR($D$19),MONTH($D$19)-1,1),ÍNDICES!$A:$DE,HLOOKUP($BL$25,ÍNDICES!$B$3:$T$4,2)+11)-VLOOKUP(B476,ÍNDICES!$A:$DE,HLOOKUP($BL$25,ÍNDICES!$B$3:$T$4,2)+11)+1%,IF(C$38=$W$26,$J$35,IF(ISERROR(IF(B476&gt;$D$19,1,VLOOKUP(DATE(YEAR(B476),MONTH(B476)+IF($C$35=$S$23,1,0),1),ÍNDICES!$A:$DE,$Z$35+1))),"",IF(B476&gt;$D$19,1,VLOOKUP(DATE(YEAR(B476),MONTH(B476)+IF($C$35=$S$23,1,0),1),ÍNDICES!$A:$DE,$Z$35+1))))))</f>
        <v/>
      </c>
      <c r="D476" s="154" t="str">
        <f>IF(ISERROR(IF(OR($D$38=$Y$27,$B476=""),"",VLOOKUP(B476,ÍNDICES!A:DE,AF$35+1))),"",IF(OR($D$38=$Y$27,$B476=""),"",VLOOKUP(B476,ÍNDICES!A:DE,AF$35+1)))</f>
        <v/>
      </c>
      <c r="E476" s="153"/>
      <c r="F476" s="29" t="str">
        <f>IF(E476="","",IF($L$35="SELIC - TRIBUTOS",VLOOKUP(DATE(YEAR($D$19),MONTH($D$19)-1,1),ÍNDICES!$A:$DE,HLOOKUP($BL$25,ÍNDICES!$B$3:$T$4,2)+11)-VLOOKUP(E476,ÍNDICES!$A:$DE,HLOOKUP($BL$25,ÍNDICES!$B$3:$T$4,2)+11)+1%,IF(F$38=$W$26,$J$35,IF(ISERROR(IF(E476&gt;$D$19,1,VLOOKUP(DATE(YEAR(E476),MONTH(E476)+IF($C$35=$S$23,1,0),1),ÍNDICES!$A:$DE,$Z$35+1))),"",IF(E476&gt;$D$19,1,VLOOKUP(DATE(YEAR(E476),MONTH(E476)+IF($C$35=$S$23,1,0),1),ÍNDICES!$A:$DE,$Z$35+1))))))</f>
        <v/>
      </c>
      <c r="G476" s="155"/>
      <c r="H476" s="156" t="str">
        <f t="shared" si="77"/>
        <v/>
      </c>
      <c r="I476" s="29" t="str">
        <f t="shared" si="71"/>
        <v/>
      </c>
      <c r="J476" s="5">
        <f t="shared" si="72"/>
        <v>0</v>
      </c>
      <c r="K476" s="20">
        <f t="shared" ca="1" si="73"/>
        <v>0</v>
      </c>
      <c r="L476" s="5">
        <f t="shared" ca="1" si="74"/>
        <v>0</v>
      </c>
      <c r="M476" s="64">
        <f t="shared" si="78"/>
        <v>0</v>
      </c>
      <c r="N476" s="61">
        <f t="shared" ca="1" si="79"/>
        <v>0</v>
      </c>
      <c r="O476" s="5">
        <f t="shared" ca="1" si="80"/>
        <v>0</v>
      </c>
      <c r="P476" s="446" t="e">
        <f t="shared" si="75"/>
        <v>#VALUE!</v>
      </c>
      <c r="Q476" s="446" t="e">
        <f>IF(OR($B476="",MIN(Q$38,$D$19)&lt;MAX($P$34*($B476+IF($R$17="Distrato",$I$38-1,0)),IF(AND($L$37=0,$P$34=0),"",$L$37-1),IF($R$17="Distrato",$E476,0))),0,YEARFRAC(MAX($P$34*($B476+IF($R$17="Distrato",$I$38-1,0)),IF(AND($L$37=0,$P$34=0),"",$L$37-1),IF($R$17="Distrato",$E476,0)),MIN(Q$38,$D$19),$P$20))-SUM($P476:P476)</f>
        <v>#VALUE!</v>
      </c>
      <c r="R476" s="446" t="e">
        <f>IF(OR($B476="",MIN(R$38,$D$19)&lt;MAX($P$34*($B476+IF($R$17="Distrato",$I$38-1,0)),IF(AND($L$37=0,$P$34=0),"",$L$37-1),IF($R$17="Distrato",$E476,0))),0,YEARFRAC(MAX($P$34*($B476+IF($R$17="Distrato",$I$38-1,0)),IF(AND($L$37=0,$P$34=0),"",$L$37-1),IF($R$17="Distrato",$E476,0)),MIN(R$38,$D$19),$P$20))-SUM($P476:Q476)</f>
        <v>#VALUE!</v>
      </c>
      <c r="S476" s="446" t="e">
        <f>IF(OR($B476="",MIN(S$38,$D$19)&lt;MAX($P$34*($B476+IF($R$17="Distrato",$I$38-1,0)),IF(AND($L$37=0,$P$34=0),"",$L$37-1),IF($R$17="Distrato",$E476,0))),0,YEARFRAC(MAX($P$34*($B476+IF($R$17="Distrato",$I$38-1,0)),IF(AND($L$37=0,$P$34=0),"",$L$37-1),IF($R$17="Distrato",$E476,0)),MIN(S$38,$D$19),$P$20))-SUM($P476:R476)</f>
        <v>#VALUE!</v>
      </c>
      <c r="T476" s="446" t="e">
        <f>IF(OR($B476="",MIN(T$38,$D$19)&lt;MAX($P$34*($B476+IF($R$17="Distrato",$I$38-1,0)),IF(AND($L$37=0,$P$34=0),"",$L$37-1),IF($R$17="Distrato",$E476,0))),0,YEARFRAC(MAX($P$34*($B476+IF($R$17="Distrato",$I$38-1,0)),IF(AND($L$37=0,$P$34=0),"",$L$37-1),IF($R$17="Distrato",$E476,0)),MIN(T$38,$D$19),$P$20))-SUM($P476:S476)</f>
        <v>#VALUE!</v>
      </c>
      <c r="U476" s="446" t="e">
        <f>IF(OR($B476="",MIN(U$38,$D$19)&lt;MAX($P$34*($B476+IF($R$17="Distrato",$I$38-1,0)),IF(AND($L$37=0,$P$34=0),"",$L$37-1),IF($R$17="Distrato",$E476,0))),0,YEARFRAC(MAX($P$34*($B476+IF($R$17="Distrato",$I$38-1,0)),IF(AND($L$37=0,$P$34=0),"",$L$37-1),IF($R$17="Distrato",$E476,0)),MIN(U$38,$D$19),$P$20))-SUM($P476:T476)</f>
        <v>#VALUE!</v>
      </c>
      <c r="V476" s="446" t="e">
        <f>IF(OR($B476="",MIN(V$38,$D$19)&lt;MAX($P$34*($B476+IF($R$17="Distrato",$I$38-1,0)),IF(AND($L$37=0,$P$34=0),"",$L$37-1),IF($R$17="Distrato",$E476,0))),0,YEARFRAC(MAX($P$34*($B476+IF($R$17="Distrato",$I$38-1,0)),IF(AND($L$37=0,$P$34=0),"",$L$37-1),IF($R$17="Distrato",$E476,0)),MIN(V$38,$D$19),$P$20))-SUM($P476:U476)</f>
        <v>#VALUE!</v>
      </c>
      <c r="W476" s="446" t="e">
        <f>IF(OR($B476="",MIN(W$38,$D$19)&lt;MAX($P$34*($B476+IF($R$17="Distrato",$I$38-1,0)),IF(AND($L$37=0,$P$34=0),"",$L$37-1),IF($R$17="Distrato",$E476,0))),0,YEARFRAC(MAX($P$34*($B476+IF($R$17="Distrato",$I$38-1,0)),IF(AND($L$37=0,$P$34=0),"",$L$37-1),IF($R$17="Distrato",$E476,0)),MIN(W$38,$D$19),$P$20))-SUM($P476:V476)</f>
        <v>#VALUE!</v>
      </c>
      <c r="X476" s="446" t="e">
        <f>IF(OR($B476="",MIN(X$38,$D$19)&lt;MAX($P$34*($B476+IF($R$17="Distrato",$I$38-1,0)),IF(AND($L$37=0,$P$34=0),"",$L$37-1),IF($R$17="Distrato",$E476,0))),0,YEARFRAC(MAX($P$34*($B476+IF($R$17="Distrato",$I$38-1,0)),IF(AND($L$37=0,$P$34=0),"",$L$37-1),IF($R$17="Distrato",$E476,0)),MIN(X$38,$D$19),$P$20))-SUM($P476:W476)</f>
        <v>#VALUE!</v>
      </c>
      <c r="Y476" s="446" t="e">
        <f>IF(OR($B476="",MIN(Y$38,$D$19)&lt;MAX($P$34*($B476+IF($R$17="Distrato",$I$38-1,0)),IF(AND($L$37=0,$P$34=0),"",$L$37-1),IF($R$17="Distrato",$E476,0))),0,YEARFRAC(MAX($P$34*($B476+IF($R$17="Distrato",$I$38-1,0)),IF(AND($L$37=0,$P$34=0),"",$L$37-1),IF($R$17="Distrato",$E476,0)),MIN(Y$38,$D$19),$P$20))-SUM($P476:X476)</f>
        <v>#VALUE!</v>
      </c>
      <c r="Z476" s="446" t="e">
        <f>IF(OR($B476="",MIN(Z$38,$D$19)&lt;MAX($P$34*($B476+IF($R$17="Distrato",$I$38-1,0)),IF(AND($L$37=0,$P$34=0),"",$L$37-1),IF($R$17="Distrato",$E476,0))),0,YEARFRAC(MAX($P$34*($B476+IF($R$17="Distrato",$I$38-1,0)),IF(AND($L$37=0,$P$34=0),"",$L$37-1),IF($R$17="Distrato",$E476,0)),MIN(Z$38,$D$19),$P$20))-SUM($P476:Y476)</f>
        <v>#VALUE!</v>
      </c>
      <c r="AA476" s="446" t="e">
        <f>IF(OR($B476="",MIN(AA$38,$D$19)&lt;MAX($P$34*($B476+IF($R$17="Distrato",$I$38-1,0)),IF(AND($L$37=0,$P$34=0),"",$L$37-1),IF($R$17="Distrato",$E476,0))),0,YEARFRAC(MAX($P$34*($B476+IF($R$17="Distrato",$I$38-1,0)),IF(AND($L$37=0,$P$34=0),"",$L$37-1),IF($R$17="Distrato",$E476,0)),MIN(AA$38,$D$19),$P$20))-SUM($P476:Z476)</f>
        <v>#VALUE!</v>
      </c>
      <c r="AB476" s="446" t="e">
        <f>IF(OR($B476="",MIN(AB$38,$D$19)&lt;MAX($P$34*($B476+IF($R$17="Distrato",$I$38-1,0)),IF(AND($L$37=0,$P$34=0),"",$L$37-1),IF($R$17="Distrato",$E476,0))),0,YEARFRAC(MAX($P$34*($B476+IF($R$17="Distrato",$I$38-1,0)),IF(AND($L$37=0,$P$34=0),"",$L$37-1),IF($R$17="Distrato",$E476,0)),MIN(AB$38,$D$19),$P$20))-SUM($P476:AA476)</f>
        <v>#VALUE!</v>
      </c>
      <c r="AC476" s="446" t="e">
        <f>IF(OR($B476="",MIN(AC$38,$D$19)&lt;MAX($P$34*($B476+IF($R$17="Distrato",$I$38-1,0)),IF(AND($L$37=0,$P$34=0),"",$L$37-1),IF($R$17="Distrato",$E476,0))),0,YEARFRAC(MAX($P$34*($B476+IF($R$17="Distrato",$I$38-1,0)),IF(AND($L$37=0,$P$34=0),"",$L$37-1),IF($R$17="Distrato",$E476,0)),MIN(AC$38,$D$19),$P$20))-SUM($P476:AB476)</f>
        <v>#VALUE!</v>
      </c>
      <c r="AD476" s="446" t="e">
        <f>IF(OR($B476="",MIN(AD$38,$D$19)&lt;MAX($P$34*($B476+IF($R$17="Distrato",$I$38-1,0)),IF(AND($L$37=0,$P$34=0),"",$L$37-1),IF($R$17="Distrato",$E476,0))),0,YEARFRAC(MAX($P$34*($B476+IF($R$17="Distrato",$I$38-1,0)),IF(AND($L$37=0,$P$34=0),"",$L$37-1),IF($R$17="Distrato",$E476,0)),MIN(AD$38,$D$19),$P$20))-SUM($P476:AC476)</f>
        <v>#VALUE!</v>
      </c>
      <c r="AE476" s="446" t="e">
        <f>IF(OR($B476="",MIN(AE$38,$D$19)&lt;MAX($P$34*($B476+IF($R$17="Distrato",$I$38-1,0)),IF(AND($L$37=0,$P$34=0),"",$L$37-1),IF($R$17="Distrato",$E476,0))),0,YEARFRAC(MAX($P$34*($B476+IF($R$17="Distrato",$I$38-1,0)),IF(AND($L$37=0,$P$34=0),"",$L$37-1),IF($R$17="Distrato",$E476,0)),MIN(AE$38,$D$19),$P$20))-SUM($P476:AD476)</f>
        <v>#VALUE!</v>
      </c>
      <c r="AF476" s="446" t="e">
        <f>IF(OR($B476="",MIN(AF$38,$D$19)&lt;MAX($P$34*($B476+IF($R$17="Distrato",$I$38-1,0)),IF(AND($L$37=0,$P$34=0),"",$L$37-1),IF($R$17="Distrato",$E476,0))),0,YEARFRAC(MAX($P$34*($B476+IF($R$17="Distrato",$I$38-1,0)),IF(AND($L$37=0,$P$34=0),"",$L$37-1),IF($R$17="Distrato",$E476,0)),MIN(AF$38,$D$19),$P$20))-SUM($P476:AE476)</f>
        <v>#VALUE!</v>
      </c>
      <c r="AG476" s="446" t="e">
        <f>IF(OR($B476="",MIN(AG$38,$D$19)&lt;MAX($P$34*($B476+IF($R$17="Distrato",$I$38-1,0)),IF(AND($L$37=0,$P$34=0),"",$L$37-1),IF($R$17="Distrato",$E476,0))),0,YEARFRAC(MAX($P$34*($B476+IF($R$17="Distrato",$I$38-1,0)),IF(AND($L$37=0,$P$34=0),"",$L$37-1),IF($R$17="Distrato",$E476,0)),MIN(AG$38,$D$19),$P$20))-SUM($P476:AF476)</f>
        <v>#VALUE!</v>
      </c>
      <c r="AH476" s="446" t="e">
        <f>IF(OR($B476="",MIN(AH$38,$D$19)&lt;MAX($P$34*($B476+IF($R$17="Distrato",$I$38-1,0)),IF(AND($L$37=0,$P$34=0),"",$L$37-1),IF($R$17="Distrato",$E476,0))),0,YEARFRAC(MAX($P$34*($B476+IF($R$17="Distrato",$I$38-1,0)),IF(AND($L$37=0,$P$34=0),"",$L$37-1),IF($R$17="Distrato",$E476,0)),MIN(AH$38,$D$19),$P$20))-SUM($P476:AG476)</f>
        <v>#VALUE!</v>
      </c>
      <c r="AI476" s="446" t="e">
        <f>IF(OR($B476="",MIN(AI$38,$D$19)&lt;MAX($P$34*($B476+IF($R$17="Distrato",$I$38-1,0)),IF(AND($L$37=0,$P$34=0),"",$L$37-1),IF($R$17="Distrato",$E476,0))),0,YEARFRAC(MAX($P$34*($B476+IF($R$17="Distrato",$I$38-1,0)),IF(AND($L$37=0,$P$34=0),"",$L$37-1),IF($R$17="Distrato",$E476,0)),MIN(AI$38,$D$19),$P$20))-SUM($P476:AH476)</f>
        <v>#VALUE!</v>
      </c>
      <c r="AJ476" s="446" t="e">
        <f>IF(OR($B476="",MIN(AJ$38,$D$19)&lt;MAX($P$34*($B476+IF($R$17="Distrato",$I$38-1,0)),IF(AND($L$37=0,$P$34=0),"",$L$37-1),IF($R$17="Distrato",$E476,0))),0,YEARFRAC(MAX($P$34*($B476+IF($R$17="Distrato",$I$38-1,0)),IF(AND($L$37=0,$P$34=0),"",$L$37-1),IF($R$17="Distrato",$E476,0)),MIN(AJ$38,$D$19),$P$20))-SUM($P476:AI476)</f>
        <v>#VALUE!</v>
      </c>
      <c r="AK476" s="446" t="e">
        <f>IF(OR($B476="",MIN(AK$38,$D$19)&lt;MAX($P$34*($B476+IF($R$17="Distrato",$I$38-1,0)),IF(AND($L$37=0,$P$34=0),"",$L$37-1),IF($R$17="Distrato",$E476,0))),0,YEARFRAC(MAX($P$34*($B476+IF($R$17="Distrato",$I$38-1,0)),IF(AND($L$37=0,$P$34=0),"",$L$37-1),IF($R$17="Distrato",$E476,0)),MIN(AK$38,$D$19),$P$20))-SUM($P476:AJ476)</f>
        <v>#VALUE!</v>
      </c>
      <c r="AL476" s="446" t="e">
        <f>IF(OR($B476="",MIN(AL$38,$D$19)&lt;MAX($P$34*($B476+IF($R$17="Distrato",$I$38-1,0)),IF(AND($L$37=0,$P$34=0),"",$L$37-1),IF($R$17="Distrato",$E476,0))),0,YEARFRAC(MAX($P$34*($B476+IF($R$17="Distrato",$I$38-1,0)),IF(AND($L$37=0,$P$34=0),"",$L$37-1),IF($R$17="Distrato",$E476,0)),MIN(AL$38,$D$19),$P$20))-SUM($P476:AK476)</f>
        <v>#VALUE!</v>
      </c>
      <c r="AM476" s="446" t="e">
        <f>IF(OR($B476="",MIN(AM$38,$D$19)&lt;MAX($P$34*($B476+IF($R$17="Distrato",$I$38-1,0)),IF(AND($L$37=0,$P$34=0),"",$L$37-1),IF($R$17="Distrato",$E476,0))),0,YEARFRAC(MAX($P$34*($B476+IF($R$17="Distrato",$I$38-1,0)),IF(AND($L$37=0,$P$34=0),"",$L$37-1),IF($R$17="Distrato",$E476,0)),MIN(AM$38,$D$19),$P$20))-SUM($P476:AL476)</f>
        <v>#VALUE!</v>
      </c>
      <c r="AN476" s="446" t="e">
        <f>IF(OR($B476="",MIN(AN$38,$D$19)&lt;MAX($P$34*($B476+IF($R$17="Distrato",$I$38-1,0)),IF(AND($L$37=0,$P$34=0),"",$L$37-1),IF($R$17="Distrato",$E476,0))),0,YEARFRAC(MAX($P$34*($B476+IF($R$17="Distrato",$I$38-1,0)),IF(AND($L$37=0,$P$34=0),"",$L$37-1),IF($R$17="Distrato",$E476,0)),MIN(AN$38,$D$19),$P$20))-SUM($P476:AM476)</f>
        <v>#VALUE!</v>
      </c>
      <c r="AO476" s="446" t="e">
        <f>IF(OR($B476="",MIN(AO$38,$D$19)&lt;MAX($P$34*($B476+IF($R$17="Distrato",$I$38-1,0)),IF(AND($L$37=0,$P$34=0),"",$L$37-1),IF($R$17="Distrato",$E476,0))),0,YEARFRAC(MAX($P$34*($B476+IF($R$17="Distrato",$I$38-1,0)),IF(AND($L$37=0,$P$34=0),"",$L$37-1),IF($R$17="Distrato",$E476,0)),MIN(AO$38,$D$19),$P$20))-SUM($P476:AN476)</f>
        <v>#VALUE!</v>
      </c>
      <c r="AP476" s="446" t="e">
        <f>IF(OR($B476="",MIN(AP$38,$D$19)&lt;MAX($P$34*($B476+IF($R$17="Distrato",$I$38-1,0)),IF(AND($L$37=0,$P$34=0),"",$L$37-1),IF($R$17="Distrato",$E476,0))),0,YEARFRAC(MAX($P$34*($B476+IF($R$17="Distrato",$I$38-1,0)),IF(AND($L$37=0,$P$34=0),"",$L$37-1),IF($R$17="Distrato",$E476,0)),MIN(AP$38,$D$19),$P$20))-SUM($P476:AO476)</f>
        <v>#VALUE!</v>
      </c>
      <c r="AQ476" s="446" t="e">
        <f>IF(OR($B476="",MIN(AQ$38,$D$19)&lt;MAX($P$34*($B476+IF($R$17="Distrato",$I$38-1,0)),IF(AND($L$37=0,$P$34=0),"",$L$37-1),IF($R$17="Distrato",$E476,0))),0,YEARFRAC(MAX($P$34*($B476+IF($R$17="Distrato",$I$38-1,0)),IF(AND($L$37=0,$P$34=0),"",$L$37-1),IF($R$17="Distrato",$E476,0)),MIN(AQ$38,$D$19),$P$20))-SUM($P476:AP476)</f>
        <v>#VALUE!</v>
      </c>
      <c r="AR476" s="446" t="e">
        <f>IF(OR($B476="",MIN(AR$38,$D$19)&lt;MAX($P$34*($B476+IF($R$17="Distrato",$I$38-1,0)),IF(AND($L$37=0,$P$34=0),"",$L$37-1),IF($R$17="Distrato",$E476,0))),0,YEARFRAC(MAX($P$34*($B476+IF($R$17="Distrato",$I$38-1,0)),IF(AND($L$37=0,$P$34=0),"",$L$37-1),IF($R$17="Distrato",$E476,0)),MIN(AR$38,$D$19),$P$20))-SUM($P476:AQ476)</f>
        <v>#VALUE!</v>
      </c>
      <c r="AS476" s="446" t="e">
        <f>IF(OR($B476="",MIN(AS$38,$D$19)&lt;MAX($P$34*($B476+IF($R$17="Distrato",$I$38-1,0)),IF(AND($L$37=0,$P$34=0),"",$L$37-1),IF($R$17="Distrato",$E476,0))),0,YEARFRAC(MAX($P$34*($B476+IF($R$17="Distrato",$I$38-1,0)),IF(AND($L$37=0,$P$34=0),"",$L$37-1),IF($R$17="Distrato",$E476,0)),MIN(AS$38,$D$19),$P$20))-SUM($P476:AR476)</f>
        <v>#VALUE!</v>
      </c>
      <c r="AT476" s="446" t="e">
        <f>IF(OR($B476="",MIN(AT$38,$D$19)&lt;MAX($P$34*($B476+IF($R$17="Distrato",$I$38-1,0)),IF(AND($L$37=0,$P$34=0),"",$L$37-1),IF($R$17="Distrato",$E476,0))),0,YEARFRAC(MAX($P$34*($B476+IF($R$17="Distrato",$I$38-1,0)),IF(AND($L$37=0,$P$34=0),"",$L$37-1),IF($R$17="Distrato",$E476,0)),MIN(AT$38,$D$19),$P$20))-SUM($P476:AS476)</f>
        <v>#VALUE!</v>
      </c>
      <c r="AU476" s="446" t="e">
        <f>IF(OR($B476="",MIN(AU$38,$D$19)&lt;MAX($P$34*($B476+IF($R$17="Distrato",$I$38-1,0)),IF(AND($L$37=0,$P$34=0),"",$L$37-1),IF($R$17="Distrato",$E476,0))),0,YEARFRAC(MAX($P$34*($B476+IF($R$17="Distrato",$I$38-1,0)),IF(AND($L$37=0,$P$34=0),"",$L$37-1),IF($R$17="Distrato",$E476,0)),MIN(AU$38,$D$19),$P$20))-SUM($P476:AT476)</f>
        <v>#VALUE!</v>
      </c>
      <c r="AV476" s="446" t="e">
        <f>IF(OR($B476="",MIN(AV$38,$D$19)&lt;MAX($P$34*($B476+IF($R$17="Distrato",$I$38-1,0)),IF(AND($L$37=0,$P$34=0),"",$L$37-1),IF($R$17="Distrato",$E476,0))),0,YEARFRAC(MAX($P$34*($B476+IF($R$17="Distrato",$I$38-1,0)),IF(AND($L$37=0,$P$34=0),"",$L$37-1),IF($R$17="Distrato",$E476,0)),MIN(AV$38,$D$19),$P$20))-SUM($P476:AU476)</f>
        <v>#VALUE!</v>
      </c>
      <c r="AW476" s="446" t="e">
        <f>IF(OR($B476="",MIN(AW$38,$D$19)&lt;MAX($P$34*($B476+IF($R$17="Distrato",$I$38-1,0)),IF(AND($L$37=0,$P$34=0),"",$L$37-1),IF($R$17="Distrato",$E476,0))),0,YEARFRAC(MAX($P$34*($B476+IF($R$17="Distrato",$I$38-1,0)),IF(AND($L$37=0,$P$34=0),"",$L$37-1),IF($R$17="Distrato",$E476,0)),MIN(AW$38,$D$19),$P$20))-SUM($P476:AV476)</f>
        <v>#VALUE!</v>
      </c>
      <c r="AX476" s="446" t="e">
        <f>IF(OR($B476="",MIN(AX$38,$D$19)&lt;MAX($P$34*($B476+IF($R$17="Distrato",$I$38-1,0)),IF(AND($L$37=0,$P$34=0),"",$L$37-1),IF($R$17="Distrato",$E476,0))),0,YEARFRAC(MAX($P$34*($B476+IF($R$17="Distrato",$I$38-1,0)),IF(AND($L$37=0,$P$34=0),"",$L$37-1),IF($R$17="Distrato",$E476,0)),MIN(AX$38,$D$19),$P$20))-SUM($P476:AW476)</f>
        <v>#VALUE!</v>
      </c>
      <c r="AY476" s="446" t="e">
        <f>IF(OR($B476="",MIN(AY$38,$D$19)&lt;MAX($P$34*($B476+IF($R$17="Distrato",$I$38-1,0)),IF(AND($L$37=0,$P$34=0),"",$L$37-1),IF($R$17="Distrato",$E476,0))),0,YEARFRAC(MAX($P$34*($B476+IF($R$17="Distrato",$I$38-1,0)),IF(AND($L$37=0,$P$34=0),"",$L$37-1),IF($R$17="Distrato",$E476,0)),MIN(AY$38,$D$19),$P$20))-SUM($P476:AX476)</f>
        <v>#VALUE!</v>
      </c>
      <c r="AZ476" s="446" t="e">
        <f>IF(OR($B476="",MIN(AZ$38,$D$19)&lt;MAX($P$34*($B476+IF($R$17="Distrato",$I$38-1,0)),IF(AND($L$37=0,$P$34=0),"",$L$37-1),IF($R$17="Distrato",$E476,0))),0,YEARFRAC(MAX($P$34*($B476+IF($R$17="Distrato",$I$38-1,0)),IF(AND($L$37=0,$P$34=0),"",$L$37-1),IF($R$17="Distrato",$E476,0)),MIN(AZ$38,$D$19),$P$20))-SUM($P476:AY476)</f>
        <v>#VALUE!</v>
      </c>
      <c r="BA476" s="446" t="e">
        <f>IF(OR($B476="",MIN(BA$38,$D$19)&lt;MAX($P$34*($B476+IF($R$17="Distrato",$I$38-1,0)),IF(AND($L$37=0,$P$34=0),"",$L$37-1),IF($R$17="Distrato",$E476,0))),0,YEARFRAC(MAX($P$34*($B476+IF($R$17="Distrato",$I$38-1,0)),IF(AND($L$37=0,$P$34=0),"",$L$37-1),IF($R$17="Distrato",$E476,0)),MIN(BA$38,$D$19),$P$20))-SUM($P476:AZ476)</f>
        <v>#VALUE!</v>
      </c>
      <c r="BB476" s="447"/>
      <c r="BF476" s="446">
        <f t="shared" si="76"/>
        <v>0</v>
      </c>
      <c r="BG476" s="446">
        <f>IF($E476=0,0,IF(MIN(BG$38,$E476)&lt;MAX($P$34*($B476+$I$38-1),IF(AND($L$37=0,$P$34=0),"",$L$37-1)),0,YEARFRAC(MAX($P$34*($B476+$I$38-1),IF(AND($L$37=0,$P$34=0),"",$L$37-1)),MIN(BG$38,$E476),$P$20))-SUM($BF476:BF476))</f>
        <v>0</v>
      </c>
      <c r="BH476" s="446">
        <f>IF($E476=0,0,IF(MIN(BH$38,$E476)&lt;MAX($P$34*($B476+$I$38-1),IF(AND($L$37=0,$P$34=0),"",$L$37-1)),0,YEARFRAC(MAX($P$34*($B476+$I$38-1),IF(AND($L$37=0,$P$34=0),"",$L$37-1)),MIN(BH$38,$E476),$P$20))-SUM($BF476:BG476))</f>
        <v>0</v>
      </c>
      <c r="BI476" s="446">
        <f>IF($E476=0,0,IF(MIN(BI$38,$E476)&lt;MAX($P$34*($B476+$I$38-1),IF(AND($L$37=0,$P$34=0),"",$L$37-1)),0,YEARFRAC(MAX($P$34*($B476+$I$38-1),IF(AND($L$37=0,$P$34=0),"",$L$37-1)),MIN(BI$38,$E476),$P$20))-SUM($BF476:BH476))</f>
        <v>0</v>
      </c>
      <c r="BJ476" s="446">
        <f>IF($E476=0,0,IF(MIN(BJ$38,$E476)&lt;MAX($P$34*($B476+$I$38-1),IF(AND($L$37=0,$P$34=0),"",$L$37-1)),0,YEARFRAC(MAX($P$34*($B476+$I$38-1),IF(AND($L$37=0,$P$34=0),"",$L$37-1)),MIN(BJ$38,$E476),$P$20))-SUM($BF476:BI476))</f>
        <v>0</v>
      </c>
      <c r="BK476" s="446">
        <f>IF($E476=0,0,IF(MIN(BK$38,$E476)&lt;MAX($P$34*($B476+$I$38-1),IF(AND($L$37=0,$P$34=0),"",$L$37-1)),0,YEARFRAC(MAX($P$34*($B476+$I$38-1),IF(AND($L$37=0,$P$34=0),"",$L$37-1)),MIN(BK$38,$E476),$P$20))-SUM($BF476:BJ476))</f>
        <v>0</v>
      </c>
      <c r="BL476" s="446">
        <f>IF($E476=0,0,IF(MIN(BL$38,$E476)&lt;MAX($P$34*($B476+$I$38-1),IF(AND($L$37=0,$P$34=0),"",$L$37-1)),0,YEARFRAC(MAX($P$34*($B476+$I$38-1),IF(AND($L$37=0,$P$34=0),"",$L$37-1)),MIN(BL$38,$E476),$P$20))-SUM($BF476:BK476))</f>
        <v>0</v>
      </c>
      <c r="BM476" s="446">
        <f>IF($E476=0,0,IF(MIN(BM$38,$E476)&lt;MAX($P$34*($B476+$I$38-1),IF(AND($L$37=0,$P$34=0),"",$L$37-1)),0,YEARFRAC(MAX($P$34*($B476+$I$38-1),IF(AND($L$37=0,$P$34=0),"",$L$37-1)),MIN(BM$38,$E476),$P$20))-SUM($BF476:BL476))</f>
        <v>0</v>
      </c>
      <c r="BN476" s="446">
        <f>IF($E476=0,0,IF(MIN(BN$38,$E476)&lt;MAX($P$34*($B476+$I$38-1),IF(AND($L$37=0,$P$34=0),"",$L$37-1)),0,YEARFRAC(MAX($P$34*($B476+$I$38-1),IF(AND($L$37=0,$P$34=0),"",$L$37-1)),MIN(BN$38,$E476),$P$20))-SUM($BF476:BM476))</f>
        <v>0</v>
      </c>
      <c r="BO476" s="446">
        <f>IF($E476=0,0,IF(MIN(BO$38,$E476)&lt;MAX($P$34*($B476+$I$38-1),IF(AND($L$37=0,$P$34=0),"",$L$37-1)),0,YEARFRAC(MAX($P$34*($B476+$I$38-1),IF(AND($L$37=0,$P$34=0),"",$L$37-1)),MIN(BO$38,$E476),$P$20))-SUM($BF476:BN476))</f>
        <v>0</v>
      </c>
      <c r="BP476" s="446">
        <f>IF($E476=0,0,IF(MIN(BP$38,$E476)&lt;MAX($P$34*($B476+$I$38-1),IF(AND($L$37=0,$P$34=0),"",$L$37-1)),0,YEARFRAC(MAX($P$34*($B476+$I$38-1),IF(AND($L$37=0,$P$34=0),"",$L$37-1)),MIN(BP$38,$E476),$P$20))-SUM($BF476:BO476))</f>
        <v>0</v>
      </c>
      <c r="BQ476" s="446">
        <f>IF($E476=0,0,IF(MIN(BQ$38,$E476)&lt;MAX($P$34*($B476+$I$38-1),IF(AND($L$37=0,$P$34=0),"",$L$37-1)),0,YEARFRAC(MAX($P$34*($B476+$I$38-1),IF(AND($L$37=0,$P$34=0),"",$L$37-1)),MIN(BQ$38,$E476),$P$20))-SUM($BF476:BP476))</f>
        <v>0</v>
      </c>
      <c r="BR476" s="446">
        <f>IF($E476=0,0,IF(MIN(BR$38,$E476)&lt;MAX($P$34*($B476+$I$38-1),IF(AND($L$37=0,$P$34=0),"",$L$37-1)),0,YEARFRAC(MAX($P$34*($B476+$I$38-1),IF(AND($L$37=0,$P$34=0),"",$L$37-1)),MIN(BR$38,$E476),$P$20))-SUM($BF476:BQ476))</f>
        <v>0</v>
      </c>
      <c r="BS476" s="446">
        <f>IF($E476=0,0,IF(MIN(BS$38,$E476)&lt;MAX($P$34*($B476+$I$38-1),IF(AND($L$37=0,$P$34=0),"",$L$37-1)),0,YEARFRAC(MAX($P$34*($B476+$I$38-1),IF(AND($L$37=0,$P$34=0),"",$L$37-1)),MIN(BS$38,$E476),$P$20))-SUM($BF476:BR476))</f>
        <v>0</v>
      </c>
      <c r="BT476" s="446">
        <f>IF($E476=0,0,IF(MIN(BT$38,$E476)&lt;MAX($P$34*($B476+$I$38-1),IF(AND($L$37=0,$P$34=0),"",$L$37-1)),0,YEARFRAC(MAX($P$34*($B476+$I$38-1),IF(AND($L$37=0,$P$34=0),"",$L$37-1)),MIN(BT$38,$E476),$P$20))-SUM($BF476:BS476))</f>
        <v>0</v>
      </c>
      <c r="BU476" s="446">
        <f>IF($E476=0,0,IF(MIN(BU$38,$E476)&lt;MAX($P$34*($B476+$I$38-1),IF(AND($L$37=0,$P$34=0),"",$L$37-1)),0,YEARFRAC(MAX($P$34*($B476+$I$38-1),IF(AND($L$37=0,$P$34=0),"",$L$37-1)),MIN(BU$38,$E476),$P$20))-SUM($BF476:BT476))</f>
        <v>0</v>
      </c>
      <c r="BV476" s="446">
        <f>IF($E476=0,0,IF(MIN(BV$38,$E476)&lt;MAX($P$34*($B476+$I$38-1),IF(AND($L$37=0,$P$34=0),"",$L$37-1)),0,YEARFRAC(MAX($P$34*($B476+$I$38-1),IF(AND($L$37=0,$P$34=0),"",$L$37-1)),MIN(BV$38,$E476),$P$20))-SUM($BF476:BU476))</f>
        <v>0</v>
      </c>
      <c r="BW476" s="446">
        <f>IF($E476=0,0,IF(MIN(BW$38,$E476)&lt;MAX($P$34*($B476+$I$38-1),IF(AND($L$37=0,$P$34=0),"",$L$37-1)),0,YEARFRAC(MAX($P$34*($B476+$I$38-1),IF(AND($L$37=0,$P$34=0),"",$L$37-1)),MIN(BW$38,$E476),$P$20))-SUM($BF476:BV476))</f>
        <v>0</v>
      </c>
      <c r="BX476" s="446">
        <f>IF($E476=0,0,IF(MIN(BX$38,$E476)&lt;MAX($P$34*($B476+$I$38-1),IF(AND($L$37=0,$P$34=0),"",$L$37-1)),0,YEARFRAC(MAX($P$34*($B476+$I$38-1),IF(AND($L$37=0,$P$34=0),"",$L$37-1)),MIN(BX$38,$E476),$P$20))-SUM($BF476:BW476))</f>
        <v>0</v>
      </c>
      <c r="BY476" s="446">
        <f>IF($E476=0,0,IF(MIN(BY$38,$E476)&lt;MAX($P$34*($B476+$I$38-1),IF(AND($L$37=0,$P$34=0),"",$L$37-1)),0,YEARFRAC(MAX($P$34*($B476+$I$38-1),IF(AND($L$37=0,$P$34=0),"",$L$37-1)),MIN(BY$38,$E476),$P$20))-SUM($BF476:BX476))</f>
        <v>0</v>
      </c>
      <c r="BZ476" s="446">
        <f>IF($E476=0,0,IF(MIN(BZ$38,$E476)&lt;MAX($P$34*($B476+$I$38-1),IF(AND($L$37=0,$P$34=0),"",$L$37-1)),0,YEARFRAC(MAX($P$34*($B476+$I$38-1),IF(AND($L$37=0,$P$34=0),"",$L$37-1)),MIN(BZ$38,$E476),$P$20))-SUM($BF476:BY476))</f>
        <v>0</v>
      </c>
      <c r="CA476" s="446">
        <f>IF($E476=0,0,IF(MIN(CA$38,$E476)&lt;MAX($P$34*($B476+$I$38-1),IF(AND($L$37=0,$P$34=0),"",$L$37-1)),0,YEARFRAC(MAX($P$34*($B476+$I$38-1),IF(AND($L$37=0,$P$34=0),"",$L$37-1)),MIN(CA$38,$E476),$P$20))-SUM($BF476:BZ476))</f>
        <v>0</v>
      </c>
      <c r="CB476" s="446">
        <f>IF($E476=0,0,IF(MIN(CB$38,$E476)&lt;MAX($P$34*($B476+$I$38-1),IF(AND($L$37=0,$P$34=0),"",$L$37-1)),0,YEARFRAC(MAX($P$34*($B476+$I$38-1),IF(AND($L$37=0,$P$34=0),"",$L$37-1)),MIN(CB$38,$E476),$P$20))-SUM($BF476:CA476))</f>
        <v>0</v>
      </c>
      <c r="CC476" s="446">
        <f>IF($E476=0,0,IF(MIN(CC$38,$E476)&lt;MAX($P$34*($B476+$I$38-1),IF(AND($L$37=0,$P$34=0),"",$L$37-1)),0,YEARFRAC(MAX($P$34*($B476+$I$38-1),IF(AND($L$37=0,$P$34=0),"",$L$37-1)),MIN(CC$38,$E476),$P$20))-SUM($BF476:CB476))</f>
        <v>0</v>
      </c>
      <c r="CD476" s="446">
        <f>IF($E476=0,0,IF(MIN(CD$38,$E476)&lt;MAX($P$34*($B476+$I$38-1),IF(AND($L$37=0,$P$34=0),"",$L$37-1)),0,YEARFRAC(MAX($P$34*($B476+$I$38-1),IF(AND($L$37=0,$P$34=0),"",$L$37-1)),MIN(CD$38,$E476),$P$20))-SUM($BF476:CC476))</f>
        <v>0</v>
      </c>
      <c r="CE476" s="446">
        <f>IF($E476=0,0,IF(MIN(CE$38,$E476)&lt;MAX($P$34*($B476+$I$38-1),IF(AND($L$37=0,$P$34=0),"",$L$37-1)),0,YEARFRAC(MAX($P$34*($B476+$I$38-1),IF(AND($L$37=0,$P$34=0),"",$L$37-1)),MIN(CE$38,$E476),$P$20))-SUM($BF476:CD476))</f>
        <v>0</v>
      </c>
      <c r="CF476" s="446">
        <f>IF($E476=0,0,IF(MIN(CF$38,$E476)&lt;MAX($P$34*($B476+$I$38-1),IF(AND($L$37=0,$P$34=0),"",$L$37-1)),0,YEARFRAC(MAX($P$34*($B476+$I$38-1),IF(AND($L$37=0,$P$34=0),"",$L$37-1)),MIN(CF$38,$E476),$P$20))-SUM($BF476:CE476))</f>
        <v>0</v>
      </c>
      <c r="CG476" s="446">
        <f>IF($E476=0,0,IF(MIN(CG$38,$E476)&lt;MAX($P$34*($B476+$I$38-1),IF(AND($L$37=0,$P$34=0),"",$L$37-1)),0,YEARFRAC(MAX($P$34*($B476+$I$38-1),IF(AND($L$37=0,$P$34=0),"",$L$37-1)),MIN(CG$38,$E476),$P$20))-SUM($BF476:CF476))</f>
        <v>0</v>
      </c>
      <c r="CH476" s="446">
        <f>IF($E476=0,0,IF(MIN(CH$38,$E476)&lt;MAX($P$34*($B476+$I$38-1),IF(AND($L$37=0,$P$34=0),"",$L$37-1)),0,YEARFRAC(MAX($P$34*($B476+$I$38-1),IF(AND($L$37=0,$P$34=0),"",$L$37-1)),MIN(CH$38,$E476),$P$20))-SUM($BF476:CG476))</f>
        <v>0</v>
      </c>
      <c r="CI476" s="446">
        <f>IF($E476=0,0,IF(MIN(CI$38,$E476)&lt;MAX($P$34*($B476+$I$38-1),IF(AND($L$37=0,$P$34=0),"",$L$37-1)),0,YEARFRAC(MAX($P$34*($B476+$I$38-1),IF(AND($L$37=0,$P$34=0),"",$L$37-1)),MIN(CI$38,$E476),$P$20))-SUM($BF476:CH476))</f>
        <v>0</v>
      </c>
      <c r="CJ476" s="446">
        <f>IF($E476=0,0,IF(MIN(CJ$38,$E476)&lt;MAX($P$34*($B476+$I$38-1),IF(AND($L$37=0,$P$34=0),"",$L$37-1)),0,YEARFRAC(MAX($P$34*($B476+$I$38-1),IF(AND($L$37=0,$P$34=0),"",$L$37-1)),MIN(CJ$38,$E476),$P$20))-SUM($BF476:CI476))</f>
        <v>0</v>
      </c>
      <c r="CK476" s="446">
        <f>IF($E476=0,0,IF(MIN(CK$38,$E476)&lt;MAX($P$34*($B476+$I$38-1),IF(AND($L$37=0,$P$34=0),"",$L$37-1)),0,YEARFRAC(MAX($P$34*($B476+$I$38-1),IF(AND($L$37=0,$P$34=0),"",$L$37-1)),MIN(CK$38,$E476),$P$20))-SUM($BF476:CJ476))</f>
        <v>0</v>
      </c>
      <c r="CL476" s="446">
        <f>IF($E476=0,0,IF(MIN(CL$38,$E476)&lt;MAX($P$34*($B476+$I$38-1),IF(AND($L$37=0,$P$34=0),"",$L$37-1)),0,YEARFRAC(MAX($P$34*($B476+$I$38-1),IF(AND($L$37=0,$P$34=0),"",$L$37-1)),MIN(CL$38,$E476),$P$20))-SUM($BF476:CK476))</f>
        <v>0</v>
      </c>
      <c r="CM476" s="446">
        <f>IF($E476=0,0,IF(MIN(CM$38,$E476)&lt;MAX($P$34*($B476+$I$38-1),IF(AND($L$37=0,$P$34=0),"",$L$37-1)),0,YEARFRAC(MAX($P$34*($B476+$I$38-1),IF(AND($L$37=0,$P$34=0),"",$L$37-1)),MIN(CM$38,$E476),$P$20))-SUM($BF476:CL476))</f>
        <v>0</v>
      </c>
      <c r="CN476" s="446">
        <f>IF($E476=0,0,IF(MIN(CN$38,$E476)&lt;MAX($P$34*($B476+$I$38-1),IF(AND($L$37=0,$P$34=0),"",$L$37-1)),0,YEARFRAC(MAX($P$34*($B476+$I$38-1),IF(AND($L$37=0,$P$34=0),"",$L$37-1)),MIN(CN$38,$E476),$P$20))-SUM($BF476:CM476))</f>
        <v>0</v>
      </c>
      <c r="CO476" s="446">
        <f>IF($E476=0,0,IF(MIN(CO$38,$E476)&lt;MAX($P$34*($B476+$I$38-1),IF(AND($L$37=0,$P$34=0),"",$L$37-1)),0,YEARFRAC(MAX($P$34*($B476+$I$38-1),IF(AND($L$37=0,$P$34=0),"",$L$37-1)),MIN(CO$38,$E476),$P$20))-SUM($BF476:CN476))</f>
        <v>0</v>
      </c>
      <c r="CP476" s="446">
        <f>IF($E476=0,0,IF(MIN(CP$38,$E476)&lt;MAX($P$34*($B476+$I$38-1),IF(AND($L$37=0,$P$34=0),"",$L$37-1)),0,YEARFRAC(MAX($P$34*($B476+$I$38-1),IF(AND($L$37=0,$P$34=0),"",$L$37-1)),MIN(CP$38,$E476),$P$20))-SUM($BF476:CO476))</f>
        <v>0</v>
      </c>
      <c r="CQ476" s="446">
        <f>IF($E476=0,0,IF(MIN(CQ$38,$E476)&lt;MAX($P$34*($B476+$I$38-1),IF(AND($L$37=0,$P$34=0),"",$L$37-1)),0,YEARFRAC(MAX($P$34*($B476+$I$38-1),IF(AND($L$37=0,$P$34=0),"",$L$37-1)),MIN(CQ$38,$E476),$P$20))-SUM($BF476:CP476))</f>
        <v>0</v>
      </c>
    </row>
    <row r="477" spans="1:95" s="446" customFormat="1" ht="11.25" hidden="1" customHeight="1" x14ac:dyDescent="0.2">
      <c r="A477" s="152"/>
      <c r="B477" s="153" t="str">
        <f t="shared" si="81"/>
        <v/>
      </c>
      <c r="C477" s="29" t="str">
        <f>IF(B477="","",IF($L$35="SELIC - TRIBUTOS",VLOOKUP(DATE(YEAR($D$19),MONTH($D$19)-1,1),ÍNDICES!$A:$DE,HLOOKUP($BL$25,ÍNDICES!$B$3:$T$4,2)+11)-VLOOKUP(B477,ÍNDICES!$A:$DE,HLOOKUP($BL$25,ÍNDICES!$B$3:$T$4,2)+11)+1%,IF(C$38=$W$26,$J$35,IF(ISERROR(IF(B477&gt;$D$19,1,VLOOKUP(DATE(YEAR(B477),MONTH(B477)+IF($C$35=$S$23,1,0),1),ÍNDICES!$A:$DE,$Z$35+1))),"",IF(B477&gt;$D$19,1,VLOOKUP(DATE(YEAR(B477),MONTH(B477)+IF($C$35=$S$23,1,0),1),ÍNDICES!$A:$DE,$Z$35+1))))))</f>
        <v/>
      </c>
      <c r="D477" s="154" t="str">
        <f>IF(ISERROR(IF(OR($D$38=$Y$27,$B477=""),"",VLOOKUP(B477,ÍNDICES!A:DE,AF$35+1))),"",IF(OR($D$38=$Y$27,$B477=""),"",VLOOKUP(B477,ÍNDICES!A:DE,AF$35+1)))</f>
        <v/>
      </c>
      <c r="E477" s="153"/>
      <c r="F477" s="29" t="str">
        <f>IF(E477="","",IF($L$35="SELIC - TRIBUTOS",VLOOKUP(DATE(YEAR($D$19),MONTH($D$19)-1,1),ÍNDICES!$A:$DE,HLOOKUP($BL$25,ÍNDICES!$B$3:$T$4,2)+11)-VLOOKUP(E477,ÍNDICES!$A:$DE,HLOOKUP($BL$25,ÍNDICES!$B$3:$T$4,2)+11)+1%,IF(F$38=$W$26,$J$35,IF(ISERROR(IF(E477&gt;$D$19,1,VLOOKUP(DATE(YEAR(E477),MONTH(E477)+IF($C$35=$S$23,1,0),1),ÍNDICES!$A:$DE,$Z$35+1))),"",IF(E477&gt;$D$19,1,VLOOKUP(DATE(YEAR(E477),MONTH(E477)+IF($C$35=$S$23,1,0),1),ÍNDICES!$A:$DE,$Z$35+1))))))</f>
        <v/>
      </c>
      <c r="G477" s="155"/>
      <c r="H477" s="156" t="str">
        <f t="shared" si="77"/>
        <v/>
      </c>
      <c r="I477" s="29" t="str">
        <f t="shared" si="71"/>
        <v/>
      </c>
      <c r="J477" s="5">
        <f t="shared" si="72"/>
        <v>0</v>
      </c>
      <c r="K477" s="20">
        <f t="shared" ca="1" si="73"/>
        <v>0</v>
      </c>
      <c r="L477" s="5">
        <f t="shared" ca="1" si="74"/>
        <v>0</v>
      </c>
      <c r="M477" s="64">
        <f t="shared" si="78"/>
        <v>0</v>
      </c>
      <c r="N477" s="61">
        <f t="shared" ca="1" si="79"/>
        <v>0</v>
      </c>
      <c r="O477" s="5">
        <f t="shared" ca="1" si="80"/>
        <v>0</v>
      </c>
      <c r="P477" s="446" t="e">
        <f t="shared" si="75"/>
        <v>#VALUE!</v>
      </c>
      <c r="Q477" s="446" t="e">
        <f>IF(OR($B477="",MIN(Q$38,$D$19)&lt;MAX($P$34*($B477+IF($R$17="Distrato",$I$38-1,0)),IF(AND($L$37=0,$P$34=0),"",$L$37-1),IF($R$17="Distrato",$E477,0))),0,YEARFRAC(MAX($P$34*($B477+IF($R$17="Distrato",$I$38-1,0)),IF(AND($L$37=0,$P$34=0),"",$L$37-1),IF($R$17="Distrato",$E477,0)),MIN(Q$38,$D$19),$P$20))-SUM($P477:P477)</f>
        <v>#VALUE!</v>
      </c>
      <c r="R477" s="446" t="e">
        <f>IF(OR($B477="",MIN(R$38,$D$19)&lt;MAX($P$34*($B477+IF($R$17="Distrato",$I$38-1,0)),IF(AND($L$37=0,$P$34=0),"",$L$37-1),IF($R$17="Distrato",$E477,0))),0,YEARFRAC(MAX($P$34*($B477+IF($R$17="Distrato",$I$38-1,0)),IF(AND($L$37=0,$P$34=0),"",$L$37-1),IF($R$17="Distrato",$E477,0)),MIN(R$38,$D$19),$P$20))-SUM($P477:Q477)</f>
        <v>#VALUE!</v>
      </c>
      <c r="S477" s="446" t="e">
        <f>IF(OR($B477="",MIN(S$38,$D$19)&lt;MAX($P$34*($B477+IF($R$17="Distrato",$I$38-1,0)),IF(AND($L$37=0,$P$34=0),"",$L$37-1),IF($R$17="Distrato",$E477,0))),0,YEARFRAC(MAX($P$34*($B477+IF($R$17="Distrato",$I$38-1,0)),IF(AND($L$37=0,$P$34=0),"",$L$37-1),IF($R$17="Distrato",$E477,0)),MIN(S$38,$D$19),$P$20))-SUM($P477:R477)</f>
        <v>#VALUE!</v>
      </c>
      <c r="T477" s="446" t="e">
        <f>IF(OR($B477="",MIN(T$38,$D$19)&lt;MAX($P$34*($B477+IF($R$17="Distrato",$I$38-1,0)),IF(AND($L$37=0,$P$34=0),"",$L$37-1),IF($R$17="Distrato",$E477,0))),0,YEARFRAC(MAX($P$34*($B477+IF($R$17="Distrato",$I$38-1,0)),IF(AND($L$37=0,$P$34=0),"",$L$37-1),IF($R$17="Distrato",$E477,0)),MIN(T$38,$D$19),$P$20))-SUM($P477:S477)</f>
        <v>#VALUE!</v>
      </c>
      <c r="U477" s="446" t="e">
        <f>IF(OR($B477="",MIN(U$38,$D$19)&lt;MAX($P$34*($B477+IF($R$17="Distrato",$I$38-1,0)),IF(AND($L$37=0,$P$34=0),"",$L$37-1),IF($R$17="Distrato",$E477,0))),0,YEARFRAC(MAX($P$34*($B477+IF($R$17="Distrato",$I$38-1,0)),IF(AND($L$37=0,$P$34=0),"",$L$37-1),IF($R$17="Distrato",$E477,0)),MIN(U$38,$D$19),$P$20))-SUM($P477:T477)</f>
        <v>#VALUE!</v>
      </c>
      <c r="V477" s="446" t="e">
        <f>IF(OR($B477="",MIN(V$38,$D$19)&lt;MAX($P$34*($B477+IF($R$17="Distrato",$I$38-1,0)),IF(AND($L$37=0,$P$34=0),"",$L$37-1),IF($R$17="Distrato",$E477,0))),0,YEARFRAC(MAX($P$34*($B477+IF($R$17="Distrato",$I$38-1,0)),IF(AND($L$37=0,$P$34=0),"",$L$37-1),IF($R$17="Distrato",$E477,0)),MIN(V$38,$D$19),$P$20))-SUM($P477:U477)</f>
        <v>#VALUE!</v>
      </c>
      <c r="W477" s="446" t="e">
        <f>IF(OR($B477="",MIN(W$38,$D$19)&lt;MAX($P$34*($B477+IF($R$17="Distrato",$I$38-1,0)),IF(AND($L$37=0,$P$34=0),"",$L$37-1),IF($R$17="Distrato",$E477,0))),0,YEARFRAC(MAX($P$34*($B477+IF($R$17="Distrato",$I$38-1,0)),IF(AND($L$37=0,$P$34=0),"",$L$37-1),IF($R$17="Distrato",$E477,0)),MIN(W$38,$D$19),$P$20))-SUM($P477:V477)</f>
        <v>#VALUE!</v>
      </c>
      <c r="X477" s="446" t="e">
        <f>IF(OR($B477="",MIN(X$38,$D$19)&lt;MAX($P$34*($B477+IF($R$17="Distrato",$I$38-1,0)),IF(AND($L$37=0,$P$34=0),"",$L$37-1),IF($R$17="Distrato",$E477,0))),0,YEARFRAC(MAX($P$34*($B477+IF($R$17="Distrato",$I$38-1,0)),IF(AND($L$37=0,$P$34=0),"",$L$37-1),IF($R$17="Distrato",$E477,0)),MIN(X$38,$D$19),$P$20))-SUM($P477:W477)</f>
        <v>#VALUE!</v>
      </c>
      <c r="Y477" s="446" t="e">
        <f>IF(OR($B477="",MIN(Y$38,$D$19)&lt;MAX($P$34*($B477+IF($R$17="Distrato",$I$38-1,0)),IF(AND($L$37=0,$P$34=0),"",$L$37-1),IF($R$17="Distrato",$E477,0))),0,YEARFRAC(MAX($P$34*($B477+IF($R$17="Distrato",$I$38-1,0)),IF(AND($L$37=0,$P$34=0),"",$L$37-1),IF($R$17="Distrato",$E477,0)),MIN(Y$38,$D$19),$P$20))-SUM($P477:X477)</f>
        <v>#VALUE!</v>
      </c>
      <c r="Z477" s="446" t="e">
        <f>IF(OR($B477="",MIN(Z$38,$D$19)&lt;MAX($P$34*($B477+IF($R$17="Distrato",$I$38-1,0)),IF(AND($L$37=0,$P$34=0),"",$L$37-1),IF($R$17="Distrato",$E477,0))),0,YEARFRAC(MAX($P$34*($B477+IF($R$17="Distrato",$I$38-1,0)),IF(AND($L$37=0,$P$34=0),"",$L$37-1),IF($R$17="Distrato",$E477,0)),MIN(Z$38,$D$19),$P$20))-SUM($P477:Y477)</f>
        <v>#VALUE!</v>
      </c>
      <c r="AA477" s="446" t="e">
        <f>IF(OR($B477="",MIN(AA$38,$D$19)&lt;MAX($P$34*($B477+IF($R$17="Distrato",$I$38-1,0)),IF(AND($L$37=0,$P$34=0),"",$L$37-1),IF($R$17="Distrato",$E477,0))),0,YEARFRAC(MAX($P$34*($B477+IF($R$17="Distrato",$I$38-1,0)),IF(AND($L$37=0,$P$34=0),"",$L$37-1),IF($R$17="Distrato",$E477,0)),MIN(AA$38,$D$19),$P$20))-SUM($P477:Z477)</f>
        <v>#VALUE!</v>
      </c>
      <c r="AB477" s="446" t="e">
        <f>IF(OR($B477="",MIN(AB$38,$D$19)&lt;MAX($P$34*($B477+IF($R$17="Distrato",$I$38-1,0)),IF(AND($L$37=0,$P$34=0),"",$L$37-1),IF($R$17="Distrato",$E477,0))),0,YEARFRAC(MAX($P$34*($B477+IF($R$17="Distrato",$I$38-1,0)),IF(AND($L$37=0,$P$34=0),"",$L$37-1),IF($R$17="Distrato",$E477,0)),MIN(AB$38,$D$19),$P$20))-SUM($P477:AA477)</f>
        <v>#VALUE!</v>
      </c>
      <c r="AC477" s="446" t="e">
        <f>IF(OR($B477="",MIN(AC$38,$D$19)&lt;MAX($P$34*($B477+IF($R$17="Distrato",$I$38-1,0)),IF(AND($L$37=0,$P$34=0),"",$L$37-1),IF($R$17="Distrato",$E477,0))),0,YEARFRAC(MAX($P$34*($B477+IF($R$17="Distrato",$I$38-1,0)),IF(AND($L$37=0,$P$34=0),"",$L$37-1),IF($R$17="Distrato",$E477,0)),MIN(AC$38,$D$19),$P$20))-SUM($P477:AB477)</f>
        <v>#VALUE!</v>
      </c>
      <c r="AD477" s="446" t="e">
        <f>IF(OR($B477="",MIN(AD$38,$D$19)&lt;MAX($P$34*($B477+IF($R$17="Distrato",$I$38-1,0)),IF(AND($L$37=0,$P$34=0),"",$L$37-1),IF($R$17="Distrato",$E477,0))),0,YEARFRAC(MAX($P$34*($B477+IF($R$17="Distrato",$I$38-1,0)),IF(AND($L$37=0,$P$34=0),"",$L$37-1),IF($R$17="Distrato",$E477,0)),MIN(AD$38,$D$19),$P$20))-SUM($P477:AC477)</f>
        <v>#VALUE!</v>
      </c>
      <c r="AE477" s="446" t="e">
        <f>IF(OR($B477="",MIN(AE$38,$D$19)&lt;MAX($P$34*($B477+IF($R$17="Distrato",$I$38-1,0)),IF(AND($L$37=0,$P$34=0),"",$L$37-1),IF($R$17="Distrato",$E477,0))),0,YEARFRAC(MAX($P$34*($B477+IF($R$17="Distrato",$I$38-1,0)),IF(AND($L$37=0,$P$34=0),"",$L$37-1),IF($R$17="Distrato",$E477,0)),MIN(AE$38,$D$19),$P$20))-SUM($P477:AD477)</f>
        <v>#VALUE!</v>
      </c>
      <c r="AF477" s="446" t="e">
        <f>IF(OR($B477="",MIN(AF$38,$D$19)&lt;MAX($P$34*($B477+IF($R$17="Distrato",$I$38-1,0)),IF(AND($L$37=0,$P$34=0),"",$L$37-1),IF($R$17="Distrato",$E477,0))),0,YEARFRAC(MAX($P$34*($B477+IF($R$17="Distrato",$I$38-1,0)),IF(AND($L$37=0,$P$34=0),"",$L$37-1),IF($R$17="Distrato",$E477,0)),MIN(AF$38,$D$19),$P$20))-SUM($P477:AE477)</f>
        <v>#VALUE!</v>
      </c>
      <c r="AG477" s="446" t="e">
        <f>IF(OR($B477="",MIN(AG$38,$D$19)&lt;MAX($P$34*($B477+IF($R$17="Distrato",$I$38-1,0)),IF(AND($L$37=0,$P$34=0),"",$L$37-1),IF($R$17="Distrato",$E477,0))),0,YEARFRAC(MAX($P$34*($B477+IF($R$17="Distrato",$I$38-1,0)),IF(AND($L$37=0,$P$34=0),"",$L$37-1),IF($R$17="Distrato",$E477,0)),MIN(AG$38,$D$19),$P$20))-SUM($P477:AF477)</f>
        <v>#VALUE!</v>
      </c>
      <c r="AH477" s="446" t="e">
        <f>IF(OR($B477="",MIN(AH$38,$D$19)&lt;MAX($P$34*($B477+IF($R$17="Distrato",$I$38-1,0)),IF(AND($L$37=0,$P$34=0),"",$L$37-1),IF($R$17="Distrato",$E477,0))),0,YEARFRAC(MAX($P$34*($B477+IF($R$17="Distrato",$I$38-1,0)),IF(AND($L$37=0,$P$34=0),"",$L$37-1),IF($R$17="Distrato",$E477,0)),MIN(AH$38,$D$19),$P$20))-SUM($P477:AG477)</f>
        <v>#VALUE!</v>
      </c>
      <c r="AI477" s="446" t="e">
        <f>IF(OR($B477="",MIN(AI$38,$D$19)&lt;MAX($P$34*($B477+IF($R$17="Distrato",$I$38-1,0)),IF(AND($L$37=0,$P$34=0),"",$L$37-1),IF($R$17="Distrato",$E477,0))),0,YEARFRAC(MAX($P$34*($B477+IF($R$17="Distrato",$I$38-1,0)),IF(AND($L$37=0,$P$34=0),"",$L$37-1),IF($R$17="Distrato",$E477,0)),MIN(AI$38,$D$19),$P$20))-SUM($P477:AH477)</f>
        <v>#VALUE!</v>
      </c>
      <c r="AJ477" s="446" t="e">
        <f>IF(OR($B477="",MIN(AJ$38,$D$19)&lt;MAX($P$34*($B477+IF($R$17="Distrato",$I$38-1,0)),IF(AND($L$37=0,$P$34=0),"",$L$37-1),IF($R$17="Distrato",$E477,0))),0,YEARFRAC(MAX($P$34*($B477+IF($R$17="Distrato",$I$38-1,0)),IF(AND($L$37=0,$P$34=0),"",$L$37-1),IF($R$17="Distrato",$E477,0)),MIN(AJ$38,$D$19),$P$20))-SUM($P477:AI477)</f>
        <v>#VALUE!</v>
      </c>
      <c r="AK477" s="446" t="e">
        <f>IF(OR($B477="",MIN(AK$38,$D$19)&lt;MAX($P$34*($B477+IF($R$17="Distrato",$I$38-1,0)),IF(AND($L$37=0,$P$34=0),"",$L$37-1),IF($R$17="Distrato",$E477,0))),0,YEARFRAC(MAX($P$34*($B477+IF($R$17="Distrato",$I$38-1,0)),IF(AND($L$37=0,$P$34=0),"",$L$37-1),IF($R$17="Distrato",$E477,0)),MIN(AK$38,$D$19),$P$20))-SUM($P477:AJ477)</f>
        <v>#VALUE!</v>
      </c>
      <c r="AL477" s="446" t="e">
        <f>IF(OR($B477="",MIN(AL$38,$D$19)&lt;MAX($P$34*($B477+IF($R$17="Distrato",$I$38-1,0)),IF(AND($L$37=0,$P$34=0),"",$L$37-1),IF($R$17="Distrato",$E477,0))),0,YEARFRAC(MAX($P$34*($B477+IF($R$17="Distrato",$I$38-1,0)),IF(AND($L$37=0,$P$34=0),"",$L$37-1),IF($R$17="Distrato",$E477,0)),MIN(AL$38,$D$19),$P$20))-SUM($P477:AK477)</f>
        <v>#VALUE!</v>
      </c>
      <c r="AM477" s="446" t="e">
        <f>IF(OR($B477="",MIN(AM$38,$D$19)&lt;MAX($P$34*($B477+IF($R$17="Distrato",$I$38-1,0)),IF(AND($L$37=0,$P$34=0),"",$L$37-1),IF($R$17="Distrato",$E477,0))),0,YEARFRAC(MAX($P$34*($B477+IF($R$17="Distrato",$I$38-1,0)),IF(AND($L$37=0,$P$34=0),"",$L$37-1),IF($R$17="Distrato",$E477,0)),MIN(AM$38,$D$19),$P$20))-SUM($P477:AL477)</f>
        <v>#VALUE!</v>
      </c>
      <c r="AN477" s="446" t="e">
        <f>IF(OR($B477="",MIN(AN$38,$D$19)&lt;MAX($P$34*($B477+IF($R$17="Distrato",$I$38-1,0)),IF(AND($L$37=0,$P$34=0),"",$L$37-1),IF($R$17="Distrato",$E477,0))),0,YEARFRAC(MAX($P$34*($B477+IF($R$17="Distrato",$I$38-1,0)),IF(AND($L$37=0,$P$34=0),"",$L$37-1),IF($R$17="Distrato",$E477,0)),MIN(AN$38,$D$19),$P$20))-SUM($P477:AM477)</f>
        <v>#VALUE!</v>
      </c>
      <c r="AO477" s="446" t="e">
        <f>IF(OR($B477="",MIN(AO$38,$D$19)&lt;MAX($P$34*($B477+IF($R$17="Distrato",$I$38-1,0)),IF(AND($L$37=0,$P$34=0),"",$L$37-1),IF($R$17="Distrato",$E477,0))),0,YEARFRAC(MAX($P$34*($B477+IF($R$17="Distrato",$I$38-1,0)),IF(AND($L$37=0,$P$34=0),"",$L$37-1),IF($R$17="Distrato",$E477,0)),MIN(AO$38,$D$19),$P$20))-SUM($P477:AN477)</f>
        <v>#VALUE!</v>
      </c>
      <c r="AP477" s="446" t="e">
        <f>IF(OR($B477="",MIN(AP$38,$D$19)&lt;MAX($P$34*($B477+IF($R$17="Distrato",$I$38-1,0)),IF(AND($L$37=0,$P$34=0),"",$L$37-1),IF($R$17="Distrato",$E477,0))),0,YEARFRAC(MAX($P$34*($B477+IF($R$17="Distrato",$I$38-1,0)),IF(AND($L$37=0,$P$34=0),"",$L$37-1),IF($R$17="Distrato",$E477,0)),MIN(AP$38,$D$19),$P$20))-SUM($P477:AO477)</f>
        <v>#VALUE!</v>
      </c>
      <c r="AQ477" s="446" t="e">
        <f>IF(OR($B477="",MIN(AQ$38,$D$19)&lt;MAX($P$34*($B477+IF($R$17="Distrato",$I$38-1,0)),IF(AND($L$37=0,$P$34=0),"",$L$37-1),IF($R$17="Distrato",$E477,0))),0,YEARFRAC(MAX($P$34*($B477+IF($R$17="Distrato",$I$38-1,0)),IF(AND($L$37=0,$P$34=0),"",$L$37-1),IF($R$17="Distrato",$E477,0)),MIN(AQ$38,$D$19),$P$20))-SUM($P477:AP477)</f>
        <v>#VALUE!</v>
      </c>
      <c r="AR477" s="446" t="e">
        <f>IF(OR($B477="",MIN(AR$38,$D$19)&lt;MAX($P$34*($B477+IF($R$17="Distrato",$I$38-1,0)),IF(AND($L$37=0,$P$34=0),"",$L$37-1),IF($R$17="Distrato",$E477,0))),0,YEARFRAC(MAX($P$34*($B477+IF($R$17="Distrato",$I$38-1,0)),IF(AND($L$37=0,$P$34=0),"",$L$37-1),IF($R$17="Distrato",$E477,0)),MIN(AR$38,$D$19),$P$20))-SUM($P477:AQ477)</f>
        <v>#VALUE!</v>
      </c>
      <c r="AS477" s="446" t="e">
        <f>IF(OR($B477="",MIN(AS$38,$D$19)&lt;MAX($P$34*($B477+IF($R$17="Distrato",$I$38-1,0)),IF(AND($L$37=0,$P$34=0),"",$L$37-1),IF($R$17="Distrato",$E477,0))),0,YEARFRAC(MAX($P$34*($B477+IF($R$17="Distrato",$I$38-1,0)),IF(AND($L$37=0,$P$34=0),"",$L$37-1),IF($R$17="Distrato",$E477,0)),MIN(AS$38,$D$19),$P$20))-SUM($P477:AR477)</f>
        <v>#VALUE!</v>
      </c>
      <c r="AT477" s="446" t="e">
        <f>IF(OR($B477="",MIN(AT$38,$D$19)&lt;MAX($P$34*($B477+IF($R$17="Distrato",$I$38-1,0)),IF(AND($L$37=0,$P$34=0),"",$L$37-1),IF($R$17="Distrato",$E477,0))),0,YEARFRAC(MAX($P$34*($B477+IF($R$17="Distrato",$I$38-1,0)),IF(AND($L$37=0,$P$34=0),"",$L$37-1),IF($R$17="Distrato",$E477,0)),MIN(AT$38,$D$19),$P$20))-SUM($P477:AS477)</f>
        <v>#VALUE!</v>
      </c>
      <c r="AU477" s="446" t="e">
        <f>IF(OR($B477="",MIN(AU$38,$D$19)&lt;MAX($P$34*($B477+IF($R$17="Distrato",$I$38-1,0)),IF(AND($L$37=0,$P$34=0),"",$L$37-1),IF($R$17="Distrato",$E477,0))),0,YEARFRAC(MAX($P$34*($B477+IF($R$17="Distrato",$I$38-1,0)),IF(AND($L$37=0,$P$34=0),"",$L$37-1),IF($R$17="Distrato",$E477,0)),MIN(AU$38,$D$19),$P$20))-SUM($P477:AT477)</f>
        <v>#VALUE!</v>
      </c>
      <c r="AV477" s="446" t="e">
        <f>IF(OR($B477="",MIN(AV$38,$D$19)&lt;MAX($P$34*($B477+IF($R$17="Distrato",$I$38-1,0)),IF(AND($L$37=0,$P$34=0),"",$L$37-1),IF($R$17="Distrato",$E477,0))),0,YEARFRAC(MAX($P$34*($B477+IF($R$17="Distrato",$I$38-1,0)),IF(AND($L$37=0,$P$34=0),"",$L$37-1),IF($R$17="Distrato",$E477,0)),MIN(AV$38,$D$19),$P$20))-SUM($P477:AU477)</f>
        <v>#VALUE!</v>
      </c>
      <c r="AW477" s="446" t="e">
        <f>IF(OR($B477="",MIN(AW$38,$D$19)&lt;MAX($P$34*($B477+IF($R$17="Distrato",$I$38-1,0)),IF(AND($L$37=0,$P$34=0),"",$L$37-1),IF($R$17="Distrato",$E477,0))),0,YEARFRAC(MAX($P$34*($B477+IF($R$17="Distrato",$I$38-1,0)),IF(AND($L$37=0,$P$34=0),"",$L$37-1),IF($R$17="Distrato",$E477,0)),MIN(AW$38,$D$19),$P$20))-SUM($P477:AV477)</f>
        <v>#VALUE!</v>
      </c>
      <c r="AX477" s="446" t="e">
        <f>IF(OR($B477="",MIN(AX$38,$D$19)&lt;MAX($P$34*($B477+IF($R$17="Distrato",$I$38-1,0)),IF(AND($L$37=0,$P$34=0),"",$L$37-1),IF($R$17="Distrato",$E477,0))),0,YEARFRAC(MAX($P$34*($B477+IF($R$17="Distrato",$I$38-1,0)),IF(AND($L$37=0,$P$34=0),"",$L$37-1),IF($R$17="Distrato",$E477,0)),MIN(AX$38,$D$19),$P$20))-SUM($P477:AW477)</f>
        <v>#VALUE!</v>
      </c>
      <c r="AY477" s="446" t="e">
        <f>IF(OR($B477="",MIN(AY$38,$D$19)&lt;MAX($P$34*($B477+IF($R$17="Distrato",$I$38-1,0)),IF(AND($L$37=0,$P$34=0),"",$L$37-1),IF($R$17="Distrato",$E477,0))),0,YEARFRAC(MAX($P$34*($B477+IF($R$17="Distrato",$I$38-1,0)),IF(AND($L$37=0,$P$34=0),"",$L$37-1),IF($R$17="Distrato",$E477,0)),MIN(AY$38,$D$19),$P$20))-SUM($P477:AX477)</f>
        <v>#VALUE!</v>
      </c>
      <c r="AZ477" s="446" t="e">
        <f>IF(OR($B477="",MIN(AZ$38,$D$19)&lt;MAX($P$34*($B477+IF($R$17="Distrato",$I$38-1,0)),IF(AND($L$37=0,$P$34=0),"",$L$37-1),IF($R$17="Distrato",$E477,0))),0,YEARFRAC(MAX($P$34*($B477+IF($R$17="Distrato",$I$38-1,0)),IF(AND($L$37=0,$P$34=0),"",$L$37-1),IF($R$17="Distrato",$E477,0)),MIN(AZ$38,$D$19),$P$20))-SUM($P477:AY477)</f>
        <v>#VALUE!</v>
      </c>
      <c r="BA477" s="446" t="e">
        <f>IF(OR($B477="",MIN(BA$38,$D$19)&lt;MAX($P$34*($B477+IF($R$17="Distrato",$I$38-1,0)),IF(AND($L$37=0,$P$34=0),"",$L$37-1),IF($R$17="Distrato",$E477,0))),0,YEARFRAC(MAX($P$34*($B477+IF($R$17="Distrato",$I$38-1,0)),IF(AND($L$37=0,$P$34=0),"",$L$37-1),IF($R$17="Distrato",$E477,0)),MIN(BA$38,$D$19),$P$20))-SUM($P477:AZ477)</f>
        <v>#VALUE!</v>
      </c>
      <c r="BB477" s="447"/>
      <c r="BF477" s="446">
        <f t="shared" si="76"/>
        <v>0</v>
      </c>
      <c r="BG477" s="446">
        <f>IF($E477=0,0,IF(MIN(BG$38,$E477)&lt;MAX($P$34*($B477+$I$38-1),IF(AND($L$37=0,$P$34=0),"",$L$37-1)),0,YEARFRAC(MAX($P$34*($B477+$I$38-1),IF(AND($L$37=0,$P$34=0),"",$L$37-1)),MIN(BG$38,$E477),$P$20))-SUM($BF477:BF477))</f>
        <v>0</v>
      </c>
      <c r="BH477" s="446">
        <f>IF($E477=0,0,IF(MIN(BH$38,$E477)&lt;MAX($P$34*($B477+$I$38-1),IF(AND($L$37=0,$P$34=0),"",$L$37-1)),0,YEARFRAC(MAX($P$34*($B477+$I$38-1),IF(AND($L$37=0,$P$34=0),"",$L$37-1)),MIN(BH$38,$E477),$P$20))-SUM($BF477:BG477))</f>
        <v>0</v>
      </c>
      <c r="BI477" s="446">
        <f>IF($E477=0,0,IF(MIN(BI$38,$E477)&lt;MAX($P$34*($B477+$I$38-1),IF(AND($L$37=0,$P$34=0),"",$L$37-1)),0,YEARFRAC(MAX($P$34*($B477+$I$38-1),IF(AND($L$37=0,$P$34=0),"",$L$37-1)),MIN(BI$38,$E477),$P$20))-SUM($BF477:BH477))</f>
        <v>0</v>
      </c>
      <c r="BJ477" s="446">
        <f>IF($E477=0,0,IF(MIN(BJ$38,$E477)&lt;MAX($P$34*($B477+$I$38-1),IF(AND($L$37=0,$P$34=0),"",$L$37-1)),0,YEARFRAC(MAX($P$34*($B477+$I$38-1),IF(AND($L$37=0,$P$34=0),"",$L$37-1)),MIN(BJ$38,$E477),$P$20))-SUM($BF477:BI477))</f>
        <v>0</v>
      </c>
      <c r="BK477" s="446">
        <f>IF($E477=0,0,IF(MIN(BK$38,$E477)&lt;MAX($P$34*($B477+$I$38-1),IF(AND($L$37=0,$P$34=0),"",$L$37-1)),0,YEARFRAC(MAX($P$34*($B477+$I$38-1),IF(AND($L$37=0,$P$34=0),"",$L$37-1)),MIN(BK$38,$E477),$P$20))-SUM($BF477:BJ477))</f>
        <v>0</v>
      </c>
      <c r="BL477" s="446">
        <f>IF($E477=0,0,IF(MIN(BL$38,$E477)&lt;MAX($P$34*($B477+$I$38-1),IF(AND($L$37=0,$P$34=0),"",$L$37-1)),0,YEARFRAC(MAX($P$34*($B477+$I$38-1),IF(AND($L$37=0,$P$34=0),"",$L$37-1)),MIN(BL$38,$E477),$P$20))-SUM($BF477:BK477))</f>
        <v>0</v>
      </c>
      <c r="BM477" s="446">
        <f>IF($E477=0,0,IF(MIN(BM$38,$E477)&lt;MAX($P$34*($B477+$I$38-1),IF(AND($L$37=0,$P$34=0),"",$L$37-1)),0,YEARFRAC(MAX($P$34*($B477+$I$38-1),IF(AND($L$37=0,$P$34=0),"",$L$37-1)),MIN(BM$38,$E477),$P$20))-SUM($BF477:BL477))</f>
        <v>0</v>
      </c>
      <c r="BN477" s="446">
        <f>IF($E477=0,0,IF(MIN(BN$38,$E477)&lt;MAX($P$34*($B477+$I$38-1),IF(AND($L$37=0,$P$34=0),"",$L$37-1)),0,YEARFRAC(MAX($P$34*($B477+$I$38-1),IF(AND($L$37=0,$P$34=0),"",$L$37-1)),MIN(BN$38,$E477),$P$20))-SUM($BF477:BM477))</f>
        <v>0</v>
      </c>
      <c r="BO477" s="446">
        <f>IF($E477=0,0,IF(MIN(BO$38,$E477)&lt;MAX($P$34*($B477+$I$38-1),IF(AND($L$37=0,$P$34=0),"",$L$37-1)),0,YEARFRAC(MAX($P$34*($B477+$I$38-1),IF(AND($L$37=0,$P$34=0),"",$L$37-1)),MIN(BO$38,$E477),$P$20))-SUM($BF477:BN477))</f>
        <v>0</v>
      </c>
      <c r="BP477" s="446">
        <f>IF($E477=0,0,IF(MIN(BP$38,$E477)&lt;MAX($P$34*($B477+$I$38-1),IF(AND($L$37=0,$P$34=0),"",$L$37-1)),0,YEARFRAC(MAX($P$34*($B477+$I$38-1),IF(AND($L$37=0,$P$34=0),"",$L$37-1)),MIN(BP$38,$E477),$P$20))-SUM($BF477:BO477))</f>
        <v>0</v>
      </c>
      <c r="BQ477" s="446">
        <f>IF($E477=0,0,IF(MIN(BQ$38,$E477)&lt;MAX($P$34*($B477+$I$38-1),IF(AND($L$37=0,$P$34=0),"",$L$37-1)),0,YEARFRAC(MAX($P$34*($B477+$I$38-1),IF(AND($L$37=0,$P$34=0),"",$L$37-1)),MIN(BQ$38,$E477),$P$20))-SUM($BF477:BP477))</f>
        <v>0</v>
      </c>
      <c r="BR477" s="446">
        <f>IF($E477=0,0,IF(MIN(BR$38,$E477)&lt;MAX($P$34*($B477+$I$38-1),IF(AND($L$37=0,$P$34=0),"",$L$37-1)),0,YEARFRAC(MAX($P$34*($B477+$I$38-1),IF(AND($L$37=0,$P$34=0),"",$L$37-1)),MIN(BR$38,$E477),$P$20))-SUM($BF477:BQ477))</f>
        <v>0</v>
      </c>
      <c r="BS477" s="446">
        <f>IF($E477=0,0,IF(MIN(BS$38,$E477)&lt;MAX($P$34*($B477+$I$38-1),IF(AND($L$37=0,$P$34=0),"",$L$37-1)),0,YEARFRAC(MAX($P$34*($B477+$I$38-1),IF(AND($L$37=0,$P$34=0),"",$L$37-1)),MIN(BS$38,$E477),$P$20))-SUM($BF477:BR477))</f>
        <v>0</v>
      </c>
      <c r="BT477" s="446">
        <f>IF($E477=0,0,IF(MIN(BT$38,$E477)&lt;MAX($P$34*($B477+$I$38-1),IF(AND($L$37=0,$P$34=0),"",$L$37-1)),0,YEARFRAC(MAX($P$34*($B477+$I$38-1),IF(AND($L$37=0,$P$34=0),"",$L$37-1)),MIN(BT$38,$E477),$P$20))-SUM($BF477:BS477))</f>
        <v>0</v>
      </c>
      <c r="BU477" s="446">
        <f>IF($E477=0,0,IF(MIN(BU$38,$E477)&lt;MAX($P$34*($B477+$I$38-1),IF(AND($L$37=0,$P$34=0),"",$L$37-1)),0,YEARFRAC(MAX($P$34*($B477+$I$38-1),IF(AND($L$37=0,$P$34=0),"",$L$37-1)),MIN(BU$38,$E477),$P$20))-SUM($BF477:BT477))</f>
        <v>0</v>
      </c>
      <c r="BV477" s="446">
        <f>IF($E477=0,0,IF(MIN(BV$38,$E477)&lt;MAX($P$34*($B477+$I$38-1),IF(AND($L$37=0,$P$34=0),"",$L$37-1)),0,YEARFRAC(MAX($P$34*($B477+$I$38-1),IF(AND($L$37=0,$P$34=0),"",$L$37-1)),MIN(BV$38,$E477),$P$20))-SUM($BF477:BU477))</f>
        <v>0</v>
      </c>
      <c r="BW477" s="446">
        <f>IF($E477=0,0,IF(MIN(BW$38,$E477)&lt;MAX($P$34*($B477+$I$38-1),IF(AND($L$37=0,$P$34=0),"",$L$37-1)),0,YEARFRAC(MAX($P$34*($B477+$I$38-1),IF(AND($L$37=0,$P$34=0),"",$L$37-1)),MIN(BW$38,$E477),$P$20))-SUM($BF477:BV477))</f>
        <v>0</v>
      </c>
      <c r="BX477" s="446">
        <f>IF($E477=0,0,IF(MIN(BX$38,$E477)&lt;MAX($P$34*($B477+$I$38-1),IF(AND($L$37=0,$P$34=0),"",$L$37-1)),0,YEARFRAC(MAX($P$34*($B477+$I$38-1),IF(AND($L$37=0,$P$34=0),"",$L$37-1)),MIN(BX$38,$E477),$P$20))-SUM($BF477:BW477))</f>
        <v>0</v>
      </c>
      <c r="BY477" s="446">
        <f>IF($E477=0,0,IF(MIN(BY$38,$E477)&lt;MAX($P$34*($B477+$I$38-1),IF(AND($L$37=0,$P$34=0),"",$L$37-1)),0,YEARFRAC(MAX($P$34*($B477+$I$38-1),IF(AND($L$37=0,$P$34=0),"",$L$37-1)),MIN(BY$38,$E477),$P$20))-SUM($BF477:BX477))</f>
        <v>0</v>
      </c>
      <c r="BZ477" s="446">
        <f>IF($E477=0,0,IF(MIN(BZ$38,$E477)&lt;MAX($P$34*($B477+$I$38-1),IF(AND($L$37=0,$P$34=0),"",$L$37-1)),0,YEARFRAC(MAX($P$34*($B477+$I$38-1),IF(AND($L$37=0,$P$34=0),"",$L$37-1)),MIN(BZ$38,$E477),$P$20))-SUM($BF477:BY477))</f>
        <v>0</v>
      </c>
      <c r="CA477" s="446">
        <f>IF($E477=0,0,IF(MIN(CA$38,$E477)&lt;MAX($P$34*($B477+$I$38-1),IF(AND($L$37=0,$P$34=0),"",$L$37-1)),0,YEARFRAC(MAX($P$34*($B477+$I$38-1),IF(AND($L$37=0,$P$34=0),"",$L$37-1)),MIN(CA$38,$E477),$P$20))-SUM($BF477:BZ477))</f>
        <v>0</v>
      </c>
      <c r="CB477" s="446">
        <f>IF($E477=0,0,IF(MIN(CB$38,$E477)&lt;MAX($P$34*($B477+$I$38-1),IF(AND($L$37=0,$P$34=0),"",$L$37-1)),0,YEARFRAC(MAX($P$34*($B477+$I$38-1),IF(AND($L$37=0,$P$34=0),"",$L$37-1)),MIN(CB$38,$E477),$P$20))-SUM($BF477:CA477))</f>
        <v>0</v>
      </c>
      <c r="CC477" s="446">
        <f>IF($E477=0,0,IF(MIN(CC$38,$E477)&lt;MAX($P$34*($B477+$I$38-1),IF(AND($L$37=0,$P$34=0),"",$L$37-1)),0,YEARFRAC(MAX($P$34*($B477+$I$38-1),IF(AND($L$37=0,$P$34=0),"",$L$37-1)),MIN(CC$38,$E477),$P$20))-SUM($BF477:CB477))</f>
        <v>0</v>
      </c>
      <c r="CD477" s="446">
        <f>IF($E477=0,0,IF(MIN(CD$38,$E477)&lt;MAX($P$34*($B477+$I$38-1),IF(AND($L$37=0,$P$34=0),"",$L$37-1)),0,YEARFRAC(MAX($P$34*($B477+$I$38-1),IF(AND($L$37=0,$P$34=0),"",$L$37-1)),MIN(CD$38,$E477),$P$20))-SUM($BF477:CC477))</f>
        <v>0</v>
      </c>
      <c r="CE477" s="446">
        <f>IF($E477=0,0,IF(MIN(CE$38,$E477)&lt;MAX($P$34*($B477+$I$38-1),IF(AND($L$37=0,$P$34=0),"",$L$37-1)),0,YEARFRAC(MAX($P$34*($B477+$I$38-1),IF(AND($L$37=0,$P$34=0),"",$L$37-1)),MIN(CE$38,$E477),$P$20))-SUM($BF477:CD477))</f>
        <v>0</v>
      </c>
      <c r="CF477" s="446">
        <f>IF($E477=0,0,IF(MIN(CF$38,$E477)&lt;MAX($P$34*($B477+$I$38-1),IF(AND($L$37=0,$P$34=0),"",$L$37-1)),0,YEARFRAC(MAX($P$34*($B477+$I$38-1),IF(AND($L$37=0,$P$34=0),"",$L$37-1)),MIN(CF$38,$E477),$P$20))-SUM($BF477:CE477))</f>
        <v>0</v>
      </c>
      <c r="CG477" s="446">
        <f>IF($E477=0,0,IF(MIN(CG$38,$E477)&lt;MAX($P$34*($B477+$I$38-1),IF(AND($L$37=0,$P$34=0),"",$L$37-1)),0,YEARFRAC(MAX($P$34*($B477+$I$38-1),IF(AND($L$37=0,$P$34=0),"",$L$37-1)),MIN(CG$38,$E477),$P$20))-SUM($BF477:CF477))</f>
        <v>0</v>
      </c>
      <c r="CH477" s="446">
        <f>IF($E477=0,0,IF(MIN(CH$38,$E477)&lt;MAX($P$34*($B477+$I$38-1),IF(AND($L$37=0,$P$34=0),"",$L$37-1)),0,YEARFRAC(MAX($P$34*($B477+$I$38-1),IF(AND($L$37=0,$P$34=0),"",$L$37-1)),MIN(CH$38,$E477),$P$20))-SUM($BF477:CG477))</f>
        <v>0</v>
      </c>
      <c r="CI477" s="446">
        <f>IF($E477=0,0,IF(MIN(CI$38,$E477)&lt;MAX($P$34*($B477+$I$38-1),IF(AND($L$37=0,$P$34=0),"",$L$37-1)),0,YEARFRAC(MAX($P$34*($B477+$I$38-1),IF(AND($L$37=0,$P$34=0),"",$L$37-1)),MIN(CI$38,$E477),$P$20))-SUM($BF477:CH477))</f>
        <v>0</v>
      </c>
      <c r="CJ477" s="446">
        <f>IF($E477=0,0,IF(MIN(CJ$38,$E477)&lt;MAX($P$34*($B477+$I$38-1),IF(AND($L$37=0,$P$34=0),"",$L$37-1)),0,YEARFRAC(MAX($P$34*($B477+$I$38-1),IF(AND($L$37=0,$P$34=0),"",$L$37-1)),MIN(CJ$38,$E477),$P$20))-SUM($BF477:CI477))</f>
        <v>0</v>
      </c>
      <c r="CK477" s="446">
        <f>IF($E477=0,0,IF(MIN(CK$38,$E477)&lt;MAX($P$34*($B477+$I$38-1),IF(AND($L$37=0,$P$34=0),"",$L$37-1)),0,YEARFRAC(MAX($P$34*($B477+$I$38-1),IF(AND($L$37=0,$P$34=0),"",$L$37-1)),MIN(CK$38,$E477),$P$20))-SUM($BF477:CJ477))</f>
        <v>0</v>
      </c>
      <c r="CL477" s="446">
        <f>IF($E477=0,0,IF(MIN(CL$38,$E477)&lt;MAX($P$34*($B477+$I$38-1),IF(AND($L$37=0,$P$34=0),"",$L$37-1)),0,YEARFRAC(MAX($P$34*($B477+$I$38-1),IF(AND($L$37=0,$P$34=0),"",$L$37-1)),MIN(CL$38,$E477),$P$20))-SUM($BF477:CK477))</f>
        <v>0</v>
      </c>
      <c r="CM477" s="446">
        <f>IF($E477=0,0,IF(MIN(CM$38,$E477)&lt;MAX($P$34*($B477+$I$38-1),IF(AND($L$37=0,$P$34=0),"",$L$37-1)),0,YEARFRAC(MAX($P$34*($B477+$I$38-1),IF(AND($L$37=0,$P$34=0),"",$L$37-1)),MIN(CM$38,$E477),$P$20))-SUM($BF477:CL477))</f>
        <v>0</v>
      </c>
      <c r="CN477" s="446">
        <f>IF($E477=0,0,IF(MIN(CN$38,$E477)&lt;MAX($P$34*($B477+$I$38-1),IF(AND($L$37=0,$P$34=0),"",$L$37-1)),0,YEARFRAC(MAX($P$34*($B477+$I$38-1),IF(AND($L$37=0,$P$34=0),"",$L$37-1)),MIN(CN$38,$E477),$P$20))-SUM($BF477:CM477))</f>
        <v>0</v>
      </c>
      <c r="CO477" s="446">
        <f>IF($E477=0,0,IF(MIN(CO$38,$E477)&lt;MAX($P$34*($B477+$I$38-1),IF(AND($L$37=0,$P$34=0),"",$L$37-1)),0,YEARFRAC(MAX($P$34*($B477+$I$38-1),IF(AND($L$37=0,$P$34=0),"",$L$37-1)),MIN(CO$38,$E477),$P$20))-SUM($BF477:CN477))</f>
        <v>0</v>
      </c>
      <c r="CP477" s="446">
        <f>IF($E477=0,0,IF(MIN(CP$38,$E477)&lt;MAX($P$34*($B477+$I$38-1),IF(AND($L$37=0,$P$34=0),"",$L$37-1)),0,YEARFRAC(MAX($P$34*($B477+$I$38-1),IF(AND($L$37=0,$P$34=0),"",$L$37-1)),MIN(CP$38,$E477),$P$20))-SUM($BF477:CO477))</f>
        <v>0</v>
      </c>
      <c r="CQ477" s="446">
        <f>IF($E477=0,0,IF(MIN(CQ$38,$E477)&lt;MAX($P$34*($B477+$I$38-1),IF(AND($L$37=0,$P$34=0),"",$L$37-1)),0,YEARFRAC(MAX($P$34*($B477+$I$38-1),IF(AND($L$37=0,$P$34=0),"",$L$37-1)),MIN(CQ$38,$E477),$P$20))-SUM($BF477:CP477))</f>
        <v>0</v>
      </c>
    </row>
    <row r="478" spans="1:95" s="446" customFormat="1" ht="11.25" hidden="1" customHeight="1" x14ac:dyDescent="0.2">
      <c r="A478" s="152"/>
      <c r="B478" s="153" t="str">
        <f t="shared" si="81"/>
        <v/>
      </c>
      <c r="C478" s="29" t="str">
        <f>IF(B478="","",IF($L$35="SELIC - TRIBUTOS",VLOOKUP(DATE(YEAR($D$19),MONTH($D$19)-1,1),ÍNDICES!$A:$DE,HLOOKUP($BL$25,ÍNDICES!$B$3:$T$4,2)+11)-VLOOKUP(B478,ÍNDICES!$A:$DE,HLOOKUP($BL$25,ÍNDICES!$B$3:$T$4,2)+11)+1%,IF(C$38=$W$26,$J$35,IF(ISERROR(IF(B478&gt;$D$19,1,VLOOKUP(DATE(YEAR(B478),MONTH(B478)+IF($C$35=$S$23,1,0),1),ÍNDICES!$A:$DE,$Z$35+1))),"",IF(B478&gt;$D$19,1,VLOOKUP(DATE(YEAR(B478),MONTH(B478)+IF($C$35=$S$23,1,0),1),ÍNDICES!$A:$DE,$Z$35+1))))))</f>
        <v/>
      </c>
      <c r="D478" s="154" t="str">
        <f>IF(ISERROR(IF(OR($D$38=$Y$27,$B478=""),"",VLOOKUP(B478,ÍNDICES!A:DE,AF$35+1))),"",IF(OR($D$38=$Y$27,$B478=""),"",VLOOKUP(B478,ÍNDICES!A:DE,AF$35+1)))</f>
        <v/>
      </c>
      <c r="E478" s="153"/>
      <c r="F478" s="29" t="str">
        <f>IF(E478="","",IF($L$35="SELIC - TRIBUTOS",VLOOKUP(DATE(YEAR($D$19),MONTH($D$19)-1,1),ÍNDICES!$A:$DE,HLOOKUP($BL$25,ÍNDICES!$B$3:$T$4,2)+11)-VLOOKUP(E478,ÍNDICES!$A:$DE,HLOOKUP($BL$25,ÍNDICES!$B$3:$T$4,2)+11)+1%,IF(F$38=$W$26,$J$35,IF(ISERROR(IF(E478&gt;$D$19,1,VLOOKUP(DATE(YEAR(E478),MONTH(E478)+IF($C$35=$S$23,1,0),1),ÍNDICES!$A:$DE,$Z$35+1))),"",IF(E478&gt;$D$19,1,VLOOKUP(DATE(YEAR(E478),MONTH(E478)+IF($C$35=$S$23,1,0),1),ÍNDICES!$A:$DE,$Z$35+1))))))</f>
        <v/>
      </c>
      <c r="G478" s="155"/>
      <c r="H478" s="156" t="str">
        <f t="shared" si="77"/>
        <v/>
      </c>
      <c r="I478" s="29" t="str">
        <f t="shared" si="71"/>
        <v/>
      </c>
      <c r="J478" s="5">
        <f t="shared" si="72"/>
        <v>0</v>
      </c>
      <c r="K478" s="20">
        <f t="shared" ca="1" si="73"/>
        <v>0</v>
      </c>
      <c r="L478" s="5">
        <f t="shared" ca="1" si="74"/>
        <v>0</v>
      </c>
      <c r="M478" s="64">
        <f t="shared" si="78"/>
        <v>0</v>
      </c>
      <c r="N478" s="61">
        <f t="shared" ca="1" si="79"/>
        <v>0</v>
      </c>
      <c r="O478" s="5">
        <f t="shared" ca="1" si="80"/>
        <v>0</v>
      </c>
      <c r="P478" s="446" t="e">
        <f t="shared" si="75"/>
        <v>#VALUE!</v>
      </c>
      <c r="Q478" s="446" t="e">
        <f>IF(OR($B478="",MIN(Q$38,$D$19)&lt;MAX($P$34*($B478+IF($R$17="Distrato",$I$38-1,0)),IF(AND($L$37=0,$P$34=0),"",$L$37-1),IF($R$17="Distrato",$E478,0))),0,YEARFRAC(MAX($P$34*($B478+IF($R$17="Distrato",$I$38-1,0)),IF(AND($L$37=0,$P$34=0),"",$L$37-1),IF($R$17="Distrato",$E478,0)),MIN(Q$38,$D$19),$P$20))-SUM($P478:P478)</f>
        <v>#VALUE!</v>
      </c>
      <c r="R478" s="446" t="e">
        <f>IF(OR($B478="",MIN(R$38,$D$19)&lt;MAX($P$34*($B478+IF($R$17="Distrato",$I$38-1,0)),IF(AND($L$37=0,$P$34=0),"",$L$37-1),IF($R$17="Distrato",$E478,0))),0,YEARFRAC(MAX($P$34*($B478+IF($R$17="Distrato",$I$38-1,0)),IF(AND($L$37=0,$P$34=0),"",$L$37-1),IF($R$17="Distrato",$E478,0)),MIN(R$38,$D$19),$P$20))-SUM($P478:Q478)</f>
        <v>#VALUE!</v>
      </c>
      <c r="S478" s="446" t="e">
        <f>IF(OR($B478="",MIN(S$38,$D$19)&lt;MAX($P$34*($B478+IF($R$17="Distrato",$I$38-1,0)),IF(AND($L$37=0,$P$34=0),"",$L$37-1),IF($R$17="Distrato",$E478,0))),0,YEARFRAC(MAX($P$34*($B478+IF($R$17="Distrato",$I$38-1,0)),IF(AND($L$37=0,$P$34=0),"",$L$37-1),IF($R$17="Distrato",$E478,0)),MIN(S$38,$D$19),$P$20))-SUM($P478:R478)</f>
        <v>#VALUE!</v>
      </c>
      <c r="T478" s="446" t="e">
        <f>IF(OR($B478="",MIN(T$38,$D$19)&lt;MAX($P$34*($B478+IF($R$17="Distrato",$I$38-1,0)),IF(AND($L$37=0,$P$34=0),"",$L$37-1),IF($R$17="Distrato",$E478,0))),0,YEARFRAC(MAX($P$34*($B478+IF($R$17="Distrato",$I$38-1,0)),IF(AND($L$37=0,$P$34=0),"",$L$37-1),IF($R$17="Distrato",$E478,0)),MIN(T$38,$D$19),$P$20))-SUM($P478:S478)</f>
        <v>#VALUE!</v>
      </c>
      <c r="U478" s="446" t="e">
        <f>IF(OR($B478="",MIN(U$38,$D$19)&lt;MAX($P$34*($B478+IF($R$17="Distrato",$I$38-1,0)),IF(AND($L$37=0,$P$34=0),"",$L$37-1),IF($R$17="Distrato",$E478,0))),0,YEARFRAC(MAX($P$34*($B478+IF($R$17="Distrato",$I$38-1,0)),IF(AND($L$37=0,$P$34=0),"",$L$37-1),IF($R$17="Distrato",$E478,0)),MIN(U$38,$D$19),$P$20))-SUM($P478:T478)</f>
        <v>#VALUE!</v>
      </c>
      <c r="V478" s="446" t="e">
        <f>IF(OR($B478="",MIN(V$38,$D$19)&lt;MAX($P$34*($B478+IF($R$17="Distrato",$I$38-1,0)),IF(AND($L$37=0,$P$34=0),"",$L$37-1),IF($R$17="Distrato",$E478,0))),0,YEARFRAC(MAX($P$34*($B478+IF($R$17="Distrato",$I$38-1,0)),IF(AND($L$37=0,$P$34=0),"",$L$37-1),IF($R$17="Distrato",$E478,0)),MIN(V$38,$D$19),$P$20))-SUM($P478:U478)</f>
        <v>#VALUE!</v>
      </c>
      <c r="W478" s="446" t="e">
        <f>IF(OR($B478="",MIN(W$38,$D$19)&lt;MAX($P$34*($B478+IF($R$17="Distrato",$I$38-1,0)),IF(AND($L$37=0,$P$34=0),"",$L$37-1),IF($R$17="Distrato",$E478,0))),0,YEARFRAC(MAX($P$34*($B478+IF($R$17="Distrato",$I$38-1,0)),IF(AND($L$37=0,$P$34=0),"",$L$37-1),IF($R$17="Distrato",$E478,0)),MIN(W$38,$D$19),$P$20))-SUM($P478:V478)</f>
        <v>#VALUE!</v>
      </c>
      <c r="X478" s="446" t="e">
        <f>IF(OR($B478="",MIN(X$38,$D$19)&lt;MAX($P$34*($B478+IF($R$17="Distrato",$I$38-1,0)),IF(AND($L$37=0,$P$34=0),"",$L$37-1),IF($R$17="Distrato",$E478,0))),0,YEARFRAC(MAX($P$34*($B478+IF($R$17="Distrato",$I$38-1,0)),IF(AND($L$37=0,$P$34=0),"",$L$37-1),IF($R$17="Distrato",$E478,0)),MIN(X$38,$D$19),$P$20))-SUM($P478:W478)</f>
        <v>#VALUE!</v>
      </c>
      <c r="Y478" s="446" t="e">
        <f>IF(OR($B478="",MIN(Y$38,$D$19)&lt;MAX($P$34*($B478+IF($R$17="Distrato",$I$38-1,0)),IF(AND($L$37=0,$P$34=0),"",$L$37-1),IF($R$17="Distrato",$E478,0))),0,YEARFRAC(MAX($P$34*($B478+IF($R$17="Distrato",$I$38-1,0)),IF(AND($L$37=0,$P$34=0),"",$L$37-1),IF($R$17="Distrato",$E478,0)),MIN(Y$38,$D$19),$P$20))-SUM($P478:X478)</f>
        <v>#VALUE!</v>
      </c>
      <c r="Z478" s="446" t="e">
        <f>IF(OR($B478="",MIN(Z$38,$D$19)&lt;MAX($P$34*($B478+IF($R$17="Distrato",$I$38-1,0)),IF(AND($L$37=0,$P$34=0),"",$L$37-1),IF($R$17="Distrato",$E478,0))),0,YEARFRAC(MAX($P$34*($B478+IF($R$17="Distrato",$I$38-1,0)),IF(AND($L$37=0,$P$34=0),"",$L$37-1),IF($R$17="Distrato",$E478,0)),MIN(Z$38,$D$19),$P$20))-SUM($P478:Y478)</f>
        <v>#VALUE!</v>
      </c>
      <c r="AA478" s="446" t="e">
        <f>IF(OR($B478="",MIN(AA$38,$D$19)&lt;MAX($P$34*($B478+IF($R$17="Distrato",$I$38-1,0)),IF(AND($L$37=0,$P$34=0),"",$L$37-1),IF($R$17="Distrato",$E478,0))),0,YEARFRAC(MAX($P$34*($B478+IF($R$17="Distrato",$I$38-1,0)),IF(AND($L$37=0,$P$34=0),"",$L$37-1),IF($R$17="Distrato",$E478,0)),MIN(AA$38,$D$19),$P$20))-SUM($P478:Z478)</f>
        <v>#VALUE!</v>
      </c>
      <c r="AB478" s="446" t="e">
        <f>IF(OR($B478="",MIN(AB$38,$D$19)&lt;MAX($P$34*($B478+IF($R$17="Distrato",$I$38-1,0)),IF(AND($L$37=0,$P$34=0),"",$L$37-1),IF($R$17="Distrato",$E478,0))),0,YEARFRAC(MAX($P$34*($B478+IF($R$17="Distrato",$I$38-1,0)),IF(AND($L$37=0,$P$34=0),"",$L$37-1),IF($R$17="Distrato",$E478,0)),MIN(AB$38,$D$19),$P$20))-SUM($P478:AA478)</f>
        <v>#VALUE!</v>
      </c>
      <c r="AC478" s="446" t="e">
        <f>IF(OR($B478="",MIN(AC$38,$D$19)&lt;MAX($P$34*($B478+IF($R$17="Distrato",$I$38-1,0)),IF(AND($L$37=0,$P$34=0),"",$L$37-1),IF($R$17="Distrato",$E478,0))),0,YEARFRAC(MAX($P$34*($B478+IF($R$17="Distrato",$I$38-1,0)),IF(AND($L$37=0,$P$34=0),"",$L$37-1),IF($R$17="Distrato",$E478,0)),MIN(AC$38,$D$19),$P$20))-SUM($P478:AB478)</f>
        <v>#VALUE!</v>
      </c>
      <c r="AD478" s="446" t="e">
        <f>IF(OR($B478="",MIN(AD$38,$D$19)&lt;MAX($P$34*($B478+IF($R$17="Distrato",$I$38-1,0)),IF(AND($L$37=0,$P$34=0),"",$L$37-1),IF($R$17="Distrato",$E478,0))),0,YEARFRAC(MAX($P$34*($B478+IF($R$17="Distrato",$I$38-1,0)),IF(AND($L$37=0,$P$34=0),"",$L$37-1),IF($R$17="Distrato",$E478,0)),MIN(AD$38,$D$19),$P$20))-SUM($P478:AC478)</f>
        <v>#VALUE!</v>
      </c>
      <c r="AE478" s="446" t="e">
        <f>IF(OR($B478="",MIN(AE$38,$D$19)&lt;MAX($P$34*($B478+IF($R$17="Distrato",$I$38-1,0)),IF(AND($L$37=0,$P$34=0),"",$L$37-1),IF($R$17="Distrato",$E478,0))),0,YEARFRAC(MAX($P$34*($B478+IF($R$17="Distrato",$I$38-1,0)),IF(AND($L$37=0,$P$34=0),"",$L$37-1),IF($R$17="Distrato",$E478,0)),MIN(AE$38,$D$19),$P$20))-SUM($P478:AD478)</f>
        <v>#VALUE!</v>
      </c>
      <c r="AF478" s="446" t="e">
        <f>IF(OR($B478="",MIN(AF$38,$D$19)&lt;MAX($P$34*($B478+IF($R$17="Distrato",$I$38-1,0)),IF(AND($L$37=0,$P$34=0),"",$L$37-1),IF($R$17="Distrato",$E478,0))),0,YEARFRAC(MAX($P$34*($B478+IF($R$17="Distrato",$I$38-1,0)),IF(AND($L$37=0,$P$34=0),"",$L$37-1),IF($R$17="Distrato",$E478,0)),MIN(AF$38,$D$19),$P$20))-SUM($P478:AE478)</f>
        <v>#VALUE!</v>
      </c>
      <c r="AG478" s="446" t="e">
        <f>IF(OR($B478="",MIN(AG$38,$D$19)&lt;MAX($P$34*($B478+IF($R$17="Distrato",$I$38-1,0)),IF(AND($L$37=0,$P$34=0),"",$L$37-1),IF($R$17="Distrato",$E478,0))),0,YEARFRAC(MAX($P$34*($B478+IF($R$17="Distrato",$I$38-1,0)),IF(AND($L$37=0,$P$34=0),"",$L$37-1),IF($R$17="Distrato",$E478,0)),MIN(AG$38,$D$19),$P$20))-SUM($P478:AF478)</f>
        <v>#VALUE!</v>
      </c>
      <c r="AH478" s="446" t="e">
        <f>IF(OR($B478="",MIN(AH$38,$D$19)&lt;MAX($P$34*($B478+IF($R$17="Distrato",$I$38-1,0)),IF(AND($L$37=0,$P$34=0),"",$L$37-1),IF($R$17="Distrato",$E478,0))),0,YEARFRAC(MAX($P$34*($B478+IF($R$17="Distrato",$I$38-1,0)),IF(AND($L$37=0,$P$34=0),"",$L$37-1),IF($R$17="Distrato",$E478,0)),MIN(AH$38,$D$19),$P$20))-SUM($P478:AG478)</f>
        <v>#VALUE!</v>
      </c>
      <c r="AI478" s="446" t="e">
        <f>IF(OR($B478="",MIN(AI$38,$D$19)&lt;MAX($P$34*($B478+IF($R$17="Distrato",$I$38-1,0)),IF(AND($L$37=0,$P$34=0),"",$L$37-1),IF($R$17="Distrato",$E478,0))),0,YEARFRAC(MAX($P$34*($B478+IF($R$17="Distrato",$I$38-1,0)),IF(AND($L$37=0,$P$34=0),"",$L$37-1),IF($R$17="Distrato",$E478,0)),MIN(AI$38,$D$19),$P$20))-SUM($P478:AH478)</f>
        <v>#VALUE!</v>
      </c>
      <c r="AJ478" s="446" t="e">
        <f>IF(OR($B478="",MIN(AJ$38,$D$19)&lt;MAX($P$34*($B478+IF($R$17="Distrato",$I$38-1,0)),IF(AND($L$37=0,$P$34=0),"",$L$37-1),IF($R$17="Distrato",$E478,0))),0,YEARFRAC(MAX($P$34*($B478+IF($R$17="Distrato",$I$38-1,0)),IF(AND($L$37=0,$P$34=0),"",$L$37-1),IF($R$17="Distrato",$E478,0)),MIN(AJ$38,$D$19),$P$20))-SUM($P478:AI478)</f>
        <v>#VALUE!</v>
      </c>
      <c r="AK478" s="446" t="e">
        <f>IF(OR($B478="",MIN(AK$38,$D$19)&lt;MAX($P$34*($B478+IF($R$17="Distrato",$I$38-1,0)),IF(AND($L$37=0,$P$34=0),"",$L$37-1),IF($R$17="Distrato",$E478,0))),0,YEARFRAC(MAX($P$34*($B478+IF($R$17="Distrato",$I$38-1,0)),IF(AND($L$37=0,$P$34=0),"",$L$37-1),IF($R$17="Distrato",$E478,0)),MIN(AK$38,$D$19),$P$20))-SUM($P478:AJ478)</f>
        <v>#VALUE!</v>
      </c>
      <c r="AL478" s="446" t="e">
        <f>IF(OR($B478="",MIN(AL$38,$D$19)&lt;MAX($P$34*($B478+IF($R$17="Distrato",$I$38-1,0)),IF(AND($L$37=0,$P$34=0),"",$L$37-1),IF($R$17="Distrato",$E478,0))),0,YEARFRAC(MAX($P$34*($B478+IF($R$17="Distrato",$I$38-1,0)),IF(AND($L$37=0,$P$34=0),"",$L$37-1),IF($R$17="Distrato",$E478,0)),MIN(AL$38,$D$19),$P$20))-SUM($P478:AK478)</f>
        <v>#VALUE!</v>
      </c>
      <c r="AM478" s="446" t="e">
        <f>IF(OR($B478="",MIN(AM$38,$D$19)&lt;MAX($P$34*($B478+IF($R$17="Distrato",$I$38-1,0)),IF(AND($L$37=0,$P$34=0),"",$L$37-1),IF($R$17="Distrato",$E478,0))),0,YEARFRAC(MAX($P$34*($B478+IF($R$17="Distrato",$I$38-1,0)),IF(AND($L$37=0,$P$34=0),"",$L$37-1),IF($R$17="Distrato",$E478,0)),MIN(AM$38,$D$19),$P$20))-SUM($P478:AL478)</f>
        <v>#VALUE!</v>
      </c>
      <c r="AN478" s="446" t="e">
        <f>IF(OR($B478="",MIN(AN$38,$D$19)&lt;MAX($P$34*($B478+IF($R$17="Distrato",$I$38-1,0)),IF(AND($L$37=0,$P$34=0),"",$L$37-1),IF($R$17="Distrato",$E478,0))),0,YEARFRAC(MAX($P$34*($B478+IF($R$17="Distrato",$I$38-1,0)),IF(AND($L$37=0,$P$34=0),"",$L$37-1),IF($R$17="Distrato",$E478,0)),MIN(AN$38,$D$19),$P$20))-SUM($P478:AM478)</f>
        <v>#VALUE!</v>
      </c>
      <c r="AO478" s="446" t="e">
        <f>IF(OR($B478="",MIN(AO$38,$D$19)&lt;MAX($P$34*($B478+IF($R$17="Distrato",$I$38-1,0)),IF(AND($L$37=0,$P$34=0),"",$L$37-1),IF($R$17="Distrato",$E478,0))),0,YEARFRAC(MAX($P$34*($B478+IF($R$17="Distrato",$I$38-1,0)),IF(AND($L$37=0,$P$34=0),"",$L$37-1),IF($R$17="Distrato",$E478,0)),MIN(AO$38,$D$19),$P$20))-SUM($P478:AN478)</f>
        <v>#VALUE!</v>
      </c>
      <c r="AP478" s="446" t="e">
        <f>IF(OR($B478="",MIN(AP$38,$D$19)&lt;MAX($P$34*($B478+IF($R$17="Distrato",$I$38-1,0)),IF(AND($L$37=0,$P$34=0),"",$L$37-1),IF($R$17="Distrato",$E478,0))),0,YEARFRAC(MAX($P$34*($B478+IF($R$17="Distrato",$I$38-1,0)),IF(AND($L$37=0,$P$34=0),"",$L$37-1),IF($R$17="Distrato",$E478,0)),MIN(AP$38,$D$19),$P$20))-SUM($P478:AO478)</f>
        <v>#VALUE!</v>
      </c>
      <c r="AQ478" s="446" t="e">
        <f>IF(OR($B478="",MIN(AQ$38,$D$19)&lt;MAX($P$34*($B478+IF($R$17="Distrato",$I$38-1,0)),IF(AND($L$37=0,$P$34=0),"",$L$37-1),IF($R$17="Distrato",$E478,0))),0,YEARFRAC(MAX($P$34*($B478+IF($R$17="Distrato",$I$38-1,0)),IF(AND($L$37=0,$P$34=0),"",$L$37-1),IF($R$17="Distrato",$E478,0)),MIN(AQ$38,$D$19),$P$20))-SUM($P478:AP478)</f>
        <v>#VALUE!</v>
      </c>
      <c r="AR478" s="446" t="e">
        <f>IF(OR($B478="",MIN(AR$38,$D$19)&lt;MAX($P$34*($B478+IF($R$17="Distrato",$I$38-1,0)),IF(AND($L$37=0,$P$34=0),"",$L$37-1),IF($R$17="Distrato",$E478,0))),0,YEARFRAC(MAX($P$34*($B478+IF($R$17="Distrato",$I$38-1,0)),IF(AND($L$37=0,$P$34=0),"",$L$37-1),IF($R$17="Distrato",$E478,0)),MIN(AR$38,$D$19),$P$20))-SUM($P478:AQ478)</f>
        <v>#VALUE!</v>
      </c>
      <c r="AS478" s="446" t="e">
        <f>IF(OR($B478="",MIN(AS$38,$D$19)&lt;MAX($P$34*($B478+IF($R$17="Distrato",$I$38-1,0)),IF(AND($L$37=0,$P$34=0),"",$L$37-1),IF($R$17="Distrato",$E478,0))),0,YEARFRAC(MAX($P$34*($B478+IF($R$17="Distrato",$I$38-1,0)),IF(AND($L$37=0,$P$34=0),"",$L$37-1),IF($R$17="Distrato",$E478,0)),MIN(AS$38,$D$19),$P$20))-SUM($P478:AR478)</f>
        <v>#VALUE!</v>
      </c>
      <c r="AT478" s="446" t="e">
        <f>IF(OR($B478="",MIN(AT$38,$D$19)&lt;MAX($P$34*($B478+IF($R$17="Distrato",$I$38-1,0)),IF(AND($L$37=0,$P$34=0),"",$L$37-1),IF($R$17="Distrato",$E478,0))),0,YEARFRAC(MAX($P$34*($B478+IF($R$17="Distrato",$I$38-1,0)),IF(AND($L$37=0,$P$34=0),"",$L$37-1),IF($R$17="Distrato",$E478,0)),MIN(AT$38,$D$19),$P$20))-SUM($P478:AS478)</f>
        <v>#VALUE!</v>
      </c>
      <c r="AU478" s="446" t="e">
        <f>IF(OR($B478="",MIN(AU$38,$D$19)&lt;MAX($P$34*($B478+IF($R$17="Distrato",$I$38-1,0)),IF(AND($L$37=0,$P$34=0),"",$L$37-1),IF($R$17="Distrato",$E478,0))),0,YEARFRAC(MAX($P$34*($B478+IF($R$17="Distrato",$I$38-1,0)),IF(AND($L$37=0,$P$34=0),"",$L$37-1),IF($R$17="Distrato",$E478,0)),MIN(AU$38,$D$19),$P$20))-SUM($P478:AT478)</f>
        <v>#VALUE!</v>
      </c>
      <c r="AV478" s="446" t="e">
        <f>IF(OR($B478="",MIN(AV$38,$D$19)&lt;MAX($P$34*($B478+IF($R$17="Distrato",$I$38-1,0)),IF(AND($L$37=0,$P$34=0),"",$L$37-1),IF($R$17="Distrato",$E478,0))),0,YEARFRAC(MAX($P$34*($B478+IF($R$17="Distrato",$I$38-1,0)),IF(AND($L$37=0,$P$34=0),"",$L$37-1),IF($R$17="Distrato",$E478,0)),MIN(AV$38,$D$19),$P$20))-SUM($P478:AU478)</f>
        <v>#VALUE!</v>
      </c>
      <c r="AW478" s="446" t="e">
        <f>IF(OR($B478="",MIN(AW$38,$D$19)&lt;MAX($P$34*($B478+IF($R$17="Distrato",$I$38-1,0)),IF(AND($L$37=0,$P$34=0),"",$L$37-1),IF($R$17="Distrato",$E478,0))),0,YEARFRAC(MAX($P$34*($B478+IF($R$17="Distrato",$I$38-1,0)),IF(AND($L$37=0,$P$34=0),"",$L$37-1),IF($R$17="Distrato",$E478,0)),MIN(AW$38,$D$19),$P$20))-SUM($P478:AV478)</f>
        <v>#VALUE!</v>
      </c>
      <c r="AX478" s="446" t="e">
        <f>IF(OR($B478="",MIN(AX$38,$D$19)&lt;MAX($P$34*($B478+IF($R$17="Distrato",$I$38-1,0)),IF(AND($L$37=0,$P$34=0),"",$L$37-1),IF($R$17="Distrato",$E478,0))),0,YEARFRAC(MAX($P$34*($B478+IF($R$17="Distrato",$I$38-1,0)),IF(AND($L$37=0,$P$34=0),"",$L$37-1),IF($R$17="Distrato",$E478,0)),MIN(AX$38,$D$19),$P$20))-SUM($P478:AW478)</f>
        <v>#VALUE!</v>
      </c>
      <c r="AY478" s="446" t="e">
        <f>IF(OR($B478="",MIN(AY$38,$D$19)&lt;MAX($P$34*($B478+IF($R$17="Distrato",$I$38-1,0)),IF(AND($L$37=0,$P$34=0),"",$L$37-1),IF($R$17="Distrato",$E478,0))),0,YEARFRAC(MAX($P$34*($B478+IF($R$17="Distrato",$I$38-1,0)),IF(AND($L$37=0,$P$34=0),"",$L$37-1),IF($R$17="Distrato",$E478,0)),MIN(AY$38,$D$19),$P$20))-SUM($P478:AX478)</f>
        <v>#VALUE!</v>
      </c>
      <c r="AZ478" s="446" t="e">
        <f>IF(OR($B478="",MIN(AZ$38,$D$19)&lt;MAX($P$34*($B478+IF($R$17="Distrato",$I$38-1,0)),IF(AND($L$37=0,$P$34=0),"",$L$37-1),IF($R$17="Distrato",$E478,0))),0,YEARFRAC(MAX($P$34*($B478+IF($R$17="Distrato",$I$38-1,0)),IF(AND($L$37=0,$P$34=0),"",$L$37-1),IF($R$17="Distrato",$E478,0)),MIN(AZ$38,$D$19),$P$20))-SUM($P478:AY478)</f>
        <v>#VALUE!</v>
      </c>
      <c r="BA478" s="446" t="e">
        <f>IF(OR($B478="",MIN(BA$38,$D$19)&lt;MAX($P$34*($B478+IF($R$17="Distrato",$I$38-1,0)),IF(AND($L$37=0,$P$34=0),"",$L$37-1),IF($R$17="Distrato",$E478,0))),0,YEARFRAC(MAX($P$34*($B478+IF($R$17="Distrato",$I$38-1,0)),IF(AND($L$37=0,$P$34=0),"",$L$37-1),IF($R$17="Distrato",$E478,0)),MIN(BA$38,$D$19),$P$20))-SUM($P478:AZ478)</f>
        <v>#VALUE!</v>
      </c>
      <c r="BB478" s="447"/>
      <c r="BF478" s="446">
        <f t="shared" si="76"/>
        <v>0</v>
      </c>
      <c r="BG478" s="446">
        <f>IF($E478=0,0,IF(MIN(BG$38,$E478)&lt;MAX($P$34*($B478+$I$38-1),IF(AND($L$37=0,$P$34=0),"",$L$37-1)),0,YEARFRAC(MAX($P$34*($B478+$I$38-1),IF(AND($L$37=0,$P$34=0),"",$L$37-1)),MIN(BG$38,$E478),$P$20))-SUM($BF478:BF478))</f>
        <v>0</v>
      </c>
      <c r="BH478" s="446">
        <f>IF($E478=0,0,IF(MIN(BH$38,$E478)&lt;MAX($P$34*($B478+$I$38-1),IF(AND($L$37=0,$P$34=0),"",$L$37-1)),0,YEARFRAC(MAX($P$34*($B478+$I$38-1),IF(AND($L$37=0,$P$34=0),"",$L$37-1)),MIN(BH$38,$E478),$P$20))-SUM($BF478:BG478))</f>
        <v>0</v>
      </c>
      <c r="BI478" s="446">
        <f>IF($E478=0,0,IF(MIN(BI$38,$E478)&lt;MAX($P$34*($B478+$I$38-1),IF(AND($L$37=0,$P$34=0),"",$L$37-1)),0,YEARFRAC(MAX($P$34*($B478+$I$38-1),IF(AND($L$37=0,$P$34=0),"",$L$37-1)),MIN(BI$38,$E478),$P$20))-SUM($BF478:BH478))</f>
        <v>0</v>
      </c>
      <c r="BJ478" s="446">
        <f>IF($E478=0,0,IF(MIN(BJ$38,$E478)&lt;MAX($P$34*($B478+$I$38-1),IF(AND($L$37=0,$P$34=0),"",$L$37-1)),0,YEARFRAC(MAX($P$34*($B478+$I$38-1),IF(AND($L$37=0,$P$34=0),"",$L$37-1)),MIN(BJ$38,$E478),$P$20))-SUM($BF478:BI478))</f>
        <v>0</v>
      </c>
      <c r="BK478" s="446">
        <f>IF($E478=0,0,IF(MIN(BK$38,$E478)&lt;MAX($P$34*($B478+$I$38-1),IF(AND($L$37=0,$P$34=0),"",$L$37-1)),0,YEARFRAC(MAX($P$34*($B478+$I$38-1),IF(AND($L$37=0,$P$34=0),"",$L$37-1)),MIN(BK$38,$E478),$P$20))-SUM($BF478:BJ478))</f>
        <v>0</v>
      </c>
      <c r="BL478" s="446">
        <f>IF($E478=0,0,IF(MIN(BL$38,$E478)&lt;MAX($P$34*($B478+$I$38-1),IF(AND($L$37=0,$P$34=0),"",$L$37-1)),0,YEARFRAC(MAX($P$34*($B478+$I$38-1),IF(AND($L$37=0,$P$34=0),"",$L$37-1)),MIN(BL$38,$E478),$P$20))-SUM($BF478:BK478))</f>
        <v>0</v>
      </c>
      <c r="BM478" s="446">
        <f>IF($E478=0,0,IF(MIN(BM$38,$E478)&lt;MAX($P$34*($B478+$I$38-1),IF(AND($L$37=0,$P$34=0),"",$L$37-1)),0,YEARFRAC(MAX($P$34*($B478+$I$38-1),IF(AND($L$37=0,$P$34=0),"",$L$37-1)),MIN(BM$38,$E478),$P$20))-SUM($BF478:BL478))</f>
        <v>0</v>
      </c>
      <c r="BN478" s="446">
        <f>IF($E478=0,0,IF(MIN(BN$38,$E478)&lt;MAX($P$34*($B478+$I$38-1),IF(AND($L$37=0,$P$34=0),"",$L$37-1)),0,YEARFRAC(MAX($P$34*($B478+$I$38-1),IF(AND($L$37=0,$P$34=0),"",$L$37-1)),MIN(BN$38,$E478),$P$20))-SUM($BF478:BM478))</f>
        <v>0</v>
      </c>
      <c r="BO478" s="446">
        <f>IF($E478=0,0,IF(MIN(BO$38,$E478)&lt;MAX($P$34*($B478+$I$38-1),IF(AND($L$37=0,$P$34=0),"",$L$37-1)),0,YEARFRAC(MAX($P$34*($B478+$I$38-1),IF(AND($L$37=0,$P$34=0),"",$L$37-1)),MIN(BO$38,$E478),$P$20))-SUM($BF478:BN478))</f>
        <v>0</v>
      </c>
      <c r="BP478" s="446">
        <f>IF($E478=0,0,IF(MIN(BP$38,$E478)&lt;MAX($P$34*($B478+$I$38-1),IF(AND($L$37=0,$P$34=0),"",$L$37-1)),0,YEARFRAC(MAX($P$34*($B478+$I$38-1),IF(AND($L$37=0,$P$34=0),"",$L$37-1)),MIN(BP$38,$E478),$P$20))-SUM($BF478:BO478))</f>
        <v>0</v>
      </c>
      <c r="BQ478" s="446">
        <f>IF($E478=0,0,IF(MIN(BQ$38,$E478)&lt;MAX($P$34*($B478+$I$38-1),IF(AND($L$37=0,$P$34=0),"",$L$37-1)),0,YEARFRAC(MAX($P$34*($B478+$I$38-1),IF(AND($L$37=0,$P$34=0),"",$L$37-1)),MIN(BQ$38,$E478),$P$20))-SUM($BF478:BP478))</f>
        <v>0</v>
      </c>
      <c r="BR478" s="446">
        <f>IF($E478=0,0,IF(MIN(BR$38,$E478)&lt;MAX($P$34*($B478+$I$38-1),IF(AND($L$37=0,$P$34=0),"",$L$37-1)),0,YEARFRAC(MAX($P$34*($B478+$I$38-1),IF(AND($L$37=0,$P$34=0),"",$L$37-1)),MIN(BR$38,$E478),$P$20))-SUM($BF478:BQ478))</f>
        <v>0</v>
      </c>
      <c r="BS478" s="446">
        <f>IF($E478=0,0,IF(MIN(BS$38,$E478)&lt;MAX($P$34*($B478+$I$38-1),IF(AND($L$37=0,$P$34=0),"",$L$37-1)),0,YEARFRAC(MAX($P$34*($B478+$I$38-1),IF(AND($L$37=0,$P$34=0),"",$L$37-1)),MIN(BS$38,$E478),$P$20))-SUM($BF478:BR478))</f>
        <v>0</v>
      </c>
      <c r="BT478" s="446">
        <f>IF($E478=0,0,IF(MIN(BT$38,$E478)&lt;MAX($P$34*($B478+$I$38-1),IF(AND($L$37=0,$P$34=0),"",$L$37-1)),0,YEARFRAC(MAX($P$34*($B478+$I$38-1),IF(AND($L$37=0,$P$34=0),"",$L$37-1)),MIN(BT$38,$E478),$P$20))-SUM($BF478:BS478))</f>
        <v>0</v>
      </c>
      <c r="BU478" s="446">
        <f>IF($E478=0,0,IF(MIN(BU$38,$E478)&lt;MAX($P$34*($B478+$I$38-1),IF(AND($L$37=0,$P$34=0),"",$L$37-1)),0,YEARFRAC(MAX($P$34*($B478+$I$38-1),IF(AND($L$37=0,$P$34=0),"",$L$37-1)),MIN(BU$38,$E478),$P$20))-SUM($BF478:BT478))</f>
        <v>0</v>
      </c>
      <c r="BV478" s="446">
        <f>IF($E478=0,0,IF(MIN(BV$38,$E478)&lt;MAX($P$34*($B478+$I$38-1),IF(AND($L$37=0,$P$34=0),"",$L$37-1)),0,YEARFRAC(MAX($P$34*($B478+$I$38-1),IF(AND($L$37=0,$P$34=0),"",$L$37-1)),MIN(BV$38,$E478),$P$20))-SUM($BF478:BU478))</f>
        <v>0</v>
      </c>
      <c r="BW478" s="446">
        <f>IF($E478=0,0,IF(MIN(BW$38,$E478)&lt;MAX($P$34*($B478+$I$38-1),IF(AND($L$37=0,$P$34=0),"",$L$37-1)),0,YEARFRAC(MAX($P$34*($B478+$I$38-1),IF(AND($L$37=0,$P$34=0),"",$L$37-1)),MIN(BW$38,$E478),$P$20))-SUM($BF478:BV478))</f>
        <v>0</v>
      </c>
      <c r="BX478" s="446">
        <f>IF($E478=0,0,IF(MIN(BX$38,$E478)&lt;MAX($P$34*($B478+$I$38-1),IF(AND($L$37=0,$P$34=0),"",$L$37-1)),0,YEARFRAC(MAX($P$34*($B478+$I$38-1),IF(AND($L$37=0,$P$34=0),"",$L$37-1)),MIN(BX$38,$E478),$P$20))-SUM($BF478:BW478))</f>
        <v>0</v>
      </c>
      <c r="BY478" s="446">
        <f>IF($E478=0,0,IF(MIN(BY$38,$E478)&lt;MAX($P$34*($B478+$I$38-1),IF(AND($L$37=0,$P$34=0),"",$L$37-1)),0,YEARFRAC(MAX($P$34*($B478+$I$38-1),IF(AND($L$37=0,$P$34=0),"",$L$37-1)),MIN(BY$38,$E478),$P$20))-SUM($BF478:BX478))</f>
        <v>0</v>
      </c>
      <c r="BZ478" s="446">
        <f>IF($E478=0,0,IF(MIN(BZ$38,$E478)&lt;MAX($P$34*($B478+$I$38-1),IF(AND($L$37=0,$P$34=0),"",$L$37-1)),0,YEARFRAC(MAX($P$34*($B478+$I$38-1),IF(AND($L$37=0,$P$34=0),"",$L$37-1)),MIN(BZ$38,$E478),$P$20))-SUM($BF478:BY478))</f>
        <v>0</v>
      </c>
      <c r="CA478" s="446">
        <f>IF($E478=0,0,IF(MIN(CA$38,$E478)&lt;MAX($P$34*($B478+$I$38-1),IF(AND($L$37=0,$P$34=0),"",$L$37-1)),0,YEARFRAC(MAX($P$34*($B478+$I$38-1),IF(AND($L$37=0,$P$34=0),"",$L$37-1)),MIN(CA$38,$E478),$P$20))-SUM($BF478:BZ478))</f>
        <v>0</v>
      </c>
      <c r="CB478" s="446">
        <f>IF($E478=0,0,IF(MIN(CB$38,$E478)&lt;MAX($P$34*($B478+$I$38-1),IF(AND($L$37=0,$P$34=0),"",$L$37-1)),0,YEARFRAC(MAX($P$34*($B478+$I$38-1),IF(AND($L$37=0,$P$34=0),"",$L$37-1)),MIN(CB$38,$E478),$P$20))-SUM($BF478:CA478))</f>
        <v>0</v>
      </c>
      <c r="CC478" s="446">
        <f>IF($E478=0,0,IF(MIN(CC$38,$E478)&lt;MAX($P$34*($B478+$I$38-1),IF(AND($L$37=0,$P$34=0),"",$L$37-1)),0,YEARFRAC(MAX($P$34*($B478+$I$38-1),IF(AND($L$37=0,$P$34=0),"",$L$37-1)),MIN(CC$38,$E478),$P$20))-SUM($BF478:CB478))</f>
        <v>0</v>
      </c>
      <c r="CD478" s="446">
        <f>IF($E478=0,0,IF(MIN(CD$38,$E478)&lt;MAX($P$34*($B478+$I$38-1),IF(AND($L$37=0,$P$34=0),"",$L$37-1)),0,YEARFRAC(MAX($P$34*($B478+$I$38-1),IF(AND($L$37=0,$P$34=0),"",$L$37-1)),MIN(CD$38,$E478),$P$20))-SUM($BF478:CC478))</f>
        <v>0</v>
      </c>
      <c r="CE478" s="446">
        <f>IF($E478=0,0,IF(MIN(CE$38,$E478)&lt;MAX($P$34*($B478+$I$38-1),IF(AND($L$37=0,$P$34=0),"",$L$37-1)),0,YEARFRAC(MAX($P$34*($B478+$I$38-1),IF(AND($L$37=0,$P$34=0),"",$L$37-1)),MIN(CE$38,$E478),$P$20))-SUM($BF478:CD478))</f>
        <v>0</v>
      </c>
      <c r="CF478" s="446">
        <f>IF($E478=0,0,IF(MIN(CF$38,$E478)&lt;MAX($P$34*($B478+$I$38-1),IF(AND($L$37=0,$P$34=0),"",$L$37-1)),0,YEARFRAC(MAX($P$34*($B478+$I$38-1),IF(AND($L$37=0,$P$34=0),"",$L$37-1)),MIN(CF$38,$E478),$P$20))-SUM($BF478:CE478))</f>
        <v>0</v>
      </c>
      <c r="CG478" s="446">
        <f>IF($E478=0,0,IF(MIN(CG$38,$E478)&lt;MAX($P$34*($B478+$I$38-1),IF(AND($L$37=0,$P$34=0),"",$L$37-1)),0,YEARFRAC(MAX($P$34*($B478+$I$38-1),IF(AND($L$37=0,$P$34=0),"",$L$37-1)),MIN(CG$38,$E478),$P$20))-SUM($BF478:CF478))</f>
        <v>0</v>
      </c>
      <c r="CH478" s="446">
        <f>IF($E478=0,0,IF(MIN(CH$38,$E478)&lt;MAX($P$34*($B478+$I$38-1),IF(AND($L$37=0,$P$34=0),"",$L$37-1)),0,YEARFRAC(MAX($P$34*($B478+$I$38-1),IF(AND($L$37=0,$P$34=0),"",$L$37-1)),MIN(CH$38,$E478),$P$20))-SUM($BF478:CG478))</f>
        <v>0</v>
      </c>
      <c r="CI478" s="446">
        <f>IF($E478=0,0,IF(MIN(CI$38,$E478)&lt;MAX($P$34*($B478+$I$38-1),IF(AND($L$37=0,$P$34=0),"",$L$37-1)),0,YEARFRAC(MAX($P$34*($B478+$I$38-1),IF(AND($L$37=0,$P$34=0),"",$L$37-1)),MIN(CI$38,$E478),$P$20))-SUM($BF478:CH478))</f>
        <v>0</v>
      </c>
      <c r="CJ478" s="446">
        <f>IF($E478=0,0,IF(MIN(CJ$38,$E478)&lt;MAX($P$34*($B478+$I$38-1),IF(AND($L$37=0,$P$34=0),"",$L$37-1)),0,YEARFRAC(MAX($P$34*($B478+$I$38-1),IF(AND($L$37=0,$P$34=0),"",$L$37-1)),MIN(CJ$38,$E478),$P$20))-SUM($BF478:CI478))</f>
        <v>0</v>
      </c>
      <c r="CK478" s="446">
        <f>IF($E478=0,0,IF(MIN(CK$38,$E478)&lt;MAX($P$34*($B478+$I$38-1),IF(AND($L$37=0,$P$34=0),"",$L$37-1)),0,YEARFRAC(MAX($P$34*($B478+$I$38-1),IF(AND($L$37=0,$P$34=0),"",$L$37-1)),MIN(CK$38,$E478),$P$20))-SUM($BF478:CJ478))</f>
        <v>0</v>
      </c>
      <c r="CL478" s="446">
        <f>IF($E478=0,0,IF(MIN(CL$38,$E478)&lt;MAX($P$34*($B478+$I$38-1),IF(AND($L$37=0,$P$34=0),"",$L$37-1)),0,YEARFRAC(MAX($P$34*($B478+$I$38-1),IF(AND($L$37=0,$P$34=0),"",$L$37-1)),MIN(CL$38,$E478),$P$20))-SUM($BF478:CK478))</f>
        <v>0</v>
      </c>
      <c r="CM478" s="446">
        <f>IF($E478=0,0,IF(MIN(CM$38,$E478)&lt;MAX($P$34*($B478+$I$38-1),IF(AND($L$37=0,$P$34=0),"",$L$37-1)),0,YEARFRAC(MAX($P$34*($B478+$I$38-1),IF(AND($L$37=0,$P$34=0),"",$L$37-1)),MIN(CM$38,$E478),$P$20))-SUM($BF478:CL478))</f>
        <v>0</v>
      </c>
      <c r="CN478" s="446">
        <f>IF($E478=0,0,IF(MIN(CN$38,$E478)&lt;MAX($P$34*($B478+$I$38-1),IF(AND($L$37=0,$P$34=0),"",$L$37-1)),0,YEARFRAC(MAX($P$34*($B478+$I$38-1),IF(AND($L$37=0,$P$34=0),"",$L$37-1)),MIN(CN$38,$E478),$P$20))-SUM($BF478:CM478))</f>
        <v>0</v>
      </c>
      <c r="CO478" s="446">
        <f>IF($E478=0,0,IF(MIN(CO$38,$E478)&lt;MAX($P$34*($B478+$I$38-1),IF(AND($L$37=0,$P$34=0),"",$L$37-1)),0,YEARFRAC(MAX($P$34*($B478+$I$38-1),IF(AND($L$37=0,$P$34=0),"",$L$37-1)),MIN(CO$38,$E478),$P$20))-SUM($BF478:CN478))</f>
        <v>0</v>
      </c>
      <c r="CP478" s="446">
        <f>IF($E478=0,0,IF(MIN(CP$38,$E478)&lt;MAX($P$34*($B478+$I$38-1),IF(AND($L$37=0,$P$34=0),"",$L$37-1)),0,YEARFRAC(MAX($P$34*($B478+$I$38-1),IF(AND($L$37=0,$P$34=0),"",$L$37-1)),MIN(CP$38,$E478),$P$20))-SUM($BF478:CO478))</f>
        <v>0</v>
      </c>
      <c r="CQ478" s="446">
        <f>IF($E478=0,0,IF(MIN(CQ$38,$E478)&lt;MAX($P$34*($B478+$I$38-1),IF(AND($L$37=0,$P$34=0),"",$L$37-1)),0,YEARFRAC(MAX($P$34*($B478+$I$38-1),IF(AND($L$37=0,$P$34=0),"",$L$37-1)),MIN(CQ$38,$E478),$P$20))-SUM($BF478:CP478))</f>
        <v>0</v>
      </c>
    </row>
    <row r="479" spans="1:95" s="446" customFormat="1" ht="11.25" hidden="1" customHeight="1" x14ac:dyDescent="0.2">
      <c r="A479" s="152"/>
      <c r="B479" s="153" t="str">
        <f t="shared" si="81"/>
        <v/>
      </c>
      <c r="C479" s="29" t="str">
        <f>IF(B479="","",IF($L$35="SELIC - TRIBUTOS",VLOOKUP(DATE(YEAR($D$19),MONTH($D$19)-1,1),ÍNDICES!$A:$DE,HLOOKUP($BL$25,ÍNDICES!$B$3:$T$4,2)+11)-VLOOKUP(B479,ÍNDICES!$A:$DE,HLOOKUP($BL$25,ÍNDICES!$B$3:$T$4,2)+11)+1%,IF(C$38=$W$26,$J$35,IF(ISERROR(IF(B479&gt;$D$19,1,VLOOKUP(DATE(YEAR(B479),MONTH(B479)+IF($C$35=$S$23,1,0),1),ÍNDICES!$A:$DE,$Z$35+1))),"",IF(B479&gt;$D$19,1,VLOOKUP(DATE(YEAR(B479),MONTH(B479)+IF($C$35=$S$23,1,0),1),ÍNDICES!$A:$DE,$Z$35+1))))))</f>
        <v/>
      </c>
      <c r="D479" s="154" t="str">
        <f>IF(ISERROR(IF(OR($D$38=$Y$27,$B479=""),"",VLOOKUP(B479,ÍNDICES!A:DE,AF$35+1))),"",IF(OR($D$38=$Y$27,$B479=""),"",VLOOKUP(B479,ÍNDICES!A:DE,AF$35+1)))</f>
        <v/>
      </c>
      <c r="E479" s="153"/>
      <c r="F479" s="29" t="str">
        <f>IF(E479="","",IF($L$35="SELIC - TRIBUTOS",VLOOKUP(DATE(YEAR($D$19),MONTH($D$19)-1,1),ÍNDICES!$A:$DE,HLOOKUP($BL$25,ÍNDICES!$B$3:$T$4,2)+11)-VLOOKUP(E479,ÍNDICES!$A:$DE,HLOOKUP($BL$25,ÍNDICES!$B$3:$T$4,2)+11)+1%,IF(F$38=$W$26,$J$35,IF(ISERROR(IF(E479&gt;$D$19,1,VLOOKUP(DATE(YEAR(E479),MONTH(E479)+IF($C$35=$S$23,1,0),1),ÍNDICES!$A:$DE,$Z$35+1))),"",IF(E479&gt;$D$19,1,VLOOKUP(DATE(YEAR(E479),MONTH(E479)+IF($C$35=$S$23,1,0),1),ÍNDICES!$A:$DE,$Z$35+1))))))</f>
        <v/>
      </c>
      <c r="G479" s="155"/>
      <c r="H479" s="156" t="str">
        <f t="shared" si="77"/>
        <v/>
      </c>
      <c r="I479" s="29" t="str">
        <f t="shared" si="71"/>
        <v/>
      </c>
      <c r="J479" s="5">
        <f t="shared" si="72"/>
        <v>0</v>
      </c>
      <c r="K479" s="20">
        <f t="shared" ca="1" si="73"/>
        <v>0</v>
      </c>
      <c r="L479" s="5">
        <f t="shared" ca="1" si="74"/>
        <v>0</v>
      </c>
      <c r="M479" s="64">
        <f t="shared" si="78"/>
        <v>0</v>
      </c>
      <c r="N479" s="61">
        <f t="shared" ca="1" si="79"/>
        <v>0</v>
      </c>
      <c r="O479" s="5">
        <f t="shared" ca="1" si="80"/>
        <v>0</v>
      </c>
      <c r="P479" s="446" t="e">
        <f t="shared" si="75"/>
        <v>#VALUE!</v>
      </c>
      <c r="Q479" s="446" t="e">
        <f>IF(OR($B479="",MIN(Q$38,$D$19)&lt;MAX($P$34*($B479+IF($R$17="Distrato",$I$38-1,0)),IF(AND($L$37=0,$P$34=0),"",$L$37-1),IF($R$17="Distrato",$E479,0))),0,YEARFRAC(MAX($P$34*($B479+IF($R$17="Distrato",$I$38-1,0)),IF(AND($L$37=0,$P$34=0),"",$L$37-1),IF($R$17="Distrato",$E479,0)),MIN(Q$38,$D$19),$P$20))-SUM($P479:P479)</f>
        <v>#VALUE!</v>
      </c>
      <c r="R479" s="446" t="e">
        <f>IF(OR($B479="",MIN(R$38,$D$19)&lt;MAX($P$34*($B479+IF($R$17="Distrato",$I$38-1,0)),IF(AND($L$37=0,$P$34=0),"",$L$37-1),IF($R$17="Distrato",$E479,0))),0,YEARFRAC(MAX($P$34*($B479+IF($R$17="Distrato",$I$38-1,0)),IF(AND($L$37=0,$P$34=0),"",$L$37-1),IF($R$17="Distrato",$E479,0)),MIN(R$38,$D$19),$P$20))-SUM($P479:Q479)</f>
        <v>#VALUE!</v>
      </c>
      <c r="S479" s="446" t="e">
        <f>IF(OR($B479="",MIN(S$38,$D$19)&lt;MAX($P$34*($B479+IF($R$17="Distrato",$I$38-1,0)),IF(AND($L$37=0,$P$34=0),"",$L$37-1),IF($R$17="Distrato",$E479,0))),0,YEARFRAC(MAX($P$34*($B479+IF($R$17="Distrato",$I$38-1,0)),IF(AND($L$37=0,$P$34=0),"",$L$37-1),IF($R$17="Distrato",$E479,0)),MIN(S$38,$D$19),$P$20))-SUM($P479:R479)</f>
        <v>#VALUE!</v>
      </c>
      <c r="T479" s="446" t="e">
        <f>IF(OR($B479="",MIN(T$38,$D$19)&lt;MAX($P$34*($B479+IF($R$17="Distrato",$I$38-1,0)),IF(AND($L$37=0,$P$34=0),"",$L$37-1),IF($R$17="Distrato",$E479,0))),0,YEARFRAC(MAX($P$34*($B479+IF($R$17="Distrato",$I$38-1,0)),IF(AND($L$37=0,$P$34=0),"",$L$37-1),IF($R$17="Distrato",$E479,0)),MIN(T$38,$D$19),$P$20))-SUM($P479:S479)</f>
        <v>#VALUE!</v>
      </c>
      <c r="U479" s="446" t="e">
        <f>IF(OR($B479="",MIN(U$38,$D$19)&lt;MAX($P$34*($B479+IF($R$17="Distrato",$I$38-1,0)),IF(AND($L$37=0,$P$34=0),"",$L$37-1),IF($R$17="Distrato",$E479,0))),0,YEARFRAC(MAX($P$34*($B479+IF($R$17="Distrato",$I$38-1,0)),IF(AND($L$37=0,$P$34=0),"",$L$37-1),IF($R$17="Distrato",$E479,0)),MIN(U$38,$D$19),$P$20))-SUM($P479:T479)</f>
        <v>#VALUE!</v>
      </c>
      <c r="V479" s="446" t="e">
        <f>IF(OR($B479="",MIN(V$38,$D$19)&lt;MAX($P$34*($B479+IF($R$17="Distrato",$I$38-1,0)),IF(AND($L$37=0,$P$34=0),"",$L$37-1),IF($R$17="Distrato",$E479,0))),0,YEARFRAC(MAX($P$34*($B479+IF($R$17="Distrato",$I$38-1,0)),IF(AND($L$37=0,$P$34=0),"",$L$37-1),IF($R$17="Distrato",$E479,0)),MIN(V$38,$D$19),$P$20))-SUM($P479:U479)</f>
        <v>#VALUE!</v>
      </c>
      <c r="W479" s="446" t="e">
        <f>IF(OR($B479="",MIN(W$38,$D$19)&lt;MAX($P$34*($B479+IF($R$17="Distrato",$I$38-1,0)),IF(AND($L$37=0,$P$34=0),"",$L$37-1),IF($R$17="Distrato",$E479,0))),0,YEARFRAC(MAX($P$34*($B479+IF($R$17="Distrato",$I$38-1,0)),IF(AND($L$37=0,$P$34=0),"",$L$37-1),IF($R$17="Distrato",$E479,0)),MIN(W$38,$D$19),$P$20))-SUM($P479:V479)</f>
        <v>#VALUE!</v>
      </c>
      <c r="X479" s="446" t="e">
        <f>IF(OR($B479="",MIN(X$38,$D$19)&lt;MAX($P$34*($B479+IF($R$17="Distrato",$I$38-1,0)),IF(AND($L$37=0,$P$34=0),"",$L$37-1),IF($R$17="Distrato",$E479,0))),0,YEARFRAC(MAX($P$34*($B479+IF($R$17="Distrato",$I$38-1,0)),IF(AND($L$37=0,$P$34=0),"",$L$37-1),IF($R$17="Distrato",$E479,0)),MIN(X$38,$D$19),$P$20))-SUM($P479:W479)</f>
        <v>#VALUE!</v>
      </c>
      <c r="Y479" s="446" t="e">
        <f>IF(OR($B479="",MIN(Y$38,$D$19)&lt;MAX($P$34*($B479+IF($R$17="Distrato",$I$38-1,0)),IF(AND($L$37=0,$P$34=0),"",$L$37-1),IF($R$17="Distrato",$E479,0))),0,YEARFRAC(MAX($P$34*($B479+IF($R$17="Distrato",$I$38-1,0)),IF(AND($L$37=0,$P$34=0),"",$L$37-1),IF($R$17="Distrato",$E479,0)),MIN(Y$38,$D$19),$P$20))-SUM($P479:X479)</f>
        <v>#VALUE!</v>
      </c>
      <c r="Z479" s="446" t="e">
        <f>IF(OR($B479="",MIN(Z$38,$D$19)&lt;MAX($P$34*($B479+IF($R$17="Distrato",$I$38-1,0)),IF(AND($L$37=0,$P$34=0),"",$L$37-1),IF($R$17="Distrato",$E479,0))),0,YEARFRAC(MAX($P$34*($B479+IF($R$17="Distrato",$I$38-1,0)),IF(AND($L$37=0,$P$34=0),"",$L$37-1),IF($R$17="Distrato",$E479,0)),MIN(Z$38,$D$19),$P$20))-SUM($P479:Y479)</f>
        <v>#VALUE!</v>
      </c>
      <c r="AA479" s="446" t="e">
        <f>IF(OR($B479="",MIN(AA$38,$D$19)&lt;MAX($P$34*($B479+IF($R$17="Distrato",$I$38-1,0)),IF(AND($L$37=0,$P$34=0),"",$L$37-1),IF($R$17="Distrato",$E479,0))),0,YEARFRAC(MAX($P$34*($B479+IF($R$17="Distrato",$I$38-1,0)),IF(AND($L$37=0,$P$34=0),"",$L$37-1),IF($R$17="Distrato",$E479,0)),MIN(AA$38,$D$19),$P$20))-SUM($P479:Z479)</f>
        <v>#VALUE!</v>
      </c>
      <c r="AB479" s="446" t="e">
        <f>IF(OR($B479="",MIN(AB$38,$D$19)&lt;MAX($P$34*($B479+IF($R$17="Distrato",$I$38-1,0)),IF(AND($L$37=0,$P$34=0),"",$L$37-1),IF($R$17="Distrato",$E479,0))),0,YEARFRAC(MAX($P$34*($B479+IF($R$17="Distrato",$I$38-1,0)),IF(AND($L$37=0,$P$34=0),"",$L$37-1),IF($R$17="Distrato",$E479,0)),MIN(AB$38,$D$19),$P$20))-SUM($P479:AA479)</f>
        <v>#VALUE!</v>
      </c>
      <c r="AC479" s="446" t="e">
        <f>IF(OR($B479="",MIN(AC$38,$D$19)&lt;MAX($P$34*($B479+IF($R$17="Distrato",$I$38-1,0)),IF(AND($L$37=0,$P$34=0),"",$L$37-1),IF($R$17="Distrato",$E479,0))),0,YEARFRAC(MAX($P$34*($B479+IF($R$17="Distrato",$I$38-1,0)),IF(AND($L$37=0,$P$34=0),"",$L$37-1),IF($R$17="Distrato",$E479,0)),MIN(AC$38,$D$19),$P$20))-SUM($P479:AB479)</f>
        <v>#VALUE!</v>
      </c>
      <c r="AD479" s="446" t="e">
        <f>IF(OR($B479="",MIN(AD$38,$D$19)&lt;MAX($P$34*($B479+IF($R$17="Distrato",$I$38-1,0)),IF(AND($L$37=0,$P$34=0),"",$L$37-1),IF($R$17="Distrato",$E479,0))),0,YEARFRAC(MAX($P$34*($B479+IF($R$17="Distrato",$I$38-1,0)),IF(AND($L$37=0,$P$34=0),"",$L$37-1),IF($R$17="Distrato",$E479,0)),MIN(AD$38,$D$19),$P$20))-SUM($P479:AC479)</f>
        <v>#VALUE!</v>
      </c>
      <c r="AE479" s="446" t="e">
        <f>IF(OR($B479="",MIN(AE$38,$D$19)&lt;MAX($P$34*($B479+IF($R$17="Distrato",$I$38-1,0)),IF(AND($L$37=0,$P$34=0),"",$L$37-1),IF($R$17="Distrato",$E479,0))),0,YEARFRAC(MAX($P$34*($B479+IF($R$17="Distrato",$I$38-1,0)),IF(AND($L$37=0,$P$34=0),"",$L$37-1),IF($R$17="Distrato",$E479,0)),MIN(AE$38,$D$19),$P$20))-SUM($P479:AD479)</f>
        <v>#VALUE!</v>
      </c>
      <c r="AF479" s="446" t="e">
        <f>IF(OR($B479="",MIN(AF$38,$D$19)&lt;MAX($P$34*($B479+IF($R$17="Distrato",$I$38-1,0)),IF(AND($L$37=0,$P$34=0),"",$L$37-1),IF($R$17="Distrato",$E479,0))),0,YEARFRAC(MAX($P$34*($B479+IF($R$17="Distrato",$I$38-1,0)),IF(AND($L$37=0,$P$34=0),"",$L$37-1),IF($R$17="Distrato",$E479,0)),MIN(AF$38,$D$19),$P$20))-SUM($P479:AE479)</f>
        <v>#VALUE!</v>
      </c>
      <c r="AG479" s="446" t="e">
        <f>IF(OR($B479="",MIN(AG$38,$D$19)&lt;MAX($P$34*($B479+IF($R$17="Distrato",$I$38-1,0)),IF(AND($L$37=0,$P$34=0),"",$L$37-1),IF($R$17="Distrato",$E479,0))),0,YEARFRAC(MAX($P$34*($B479+IF($R$17="Distrato",$I$38-1,0)),IF(AND($L$37=0,$P$34=0),"",$L$37-1),IF($R$17="Distrato",$E479,0)),MIN(AG$38,$D$19),$P$20))-SUM($P479:AF479)</f>
        <v>#VALUE!</v>
      </c>
      <c r="AH479" s="446" t="e">
        <f>IF(OR($B479="",MIN(AH$38,$D$19)&lt;MAX($P$34*($B479+IF($R$17="Distrato",$I$38-1,0)),IF(AND($L$37=0,$P$34=0),"",$L$37-1),IF($R$17="Distrato",$E479,0))),0,YEARFRAC(MAX($P$34*($B479+IF($R$17="Distrato",$I$38-1,0)),IF(AND($L$37=0,$P$34=0),"",$L$37-1),IF($R$17="Distrato",$E479,0)),MIN(AH$38,$D$19),$P$20))-SUM($P479:AG479)</f>
        <v>#VALUE!</v>
      </c>
      <c r="AI479" s="446" t="e">
        <f>IF(OR($B479="",MIN(AI$38,$D$19)&lt;MAX($P$34*($B479+IF($R$17="Distrato",$I$38-1,0)),IF(AND($L$37=0,$P$34=0),"",$L$37-1),IF($R$17="Distrato",$E479,0))),0,YEARFRAC(MAX($P$34*($B479+IF($R$17="Distrato",$I$38-1,0)),IF(AND($L$37=0,$P$34=0),"",$L$37-1),IF($R$17="Distrato",$E479,0)),MIN(AI$38,$D$19),$P$20))-SUM($P479:AH479)</f>
        <v>#VALUE!</v>
      </c>
      <c r="AJ479" s="446" t="e">
        <f>IF(OR($B479="",MIN(AJ$38,$D$19)&lt;MAX($P$34*($B479+IF($R$17="Distrato",$I$38-1,0)),IF(AND($L$37=0,$P$34=0),"",$L$37-1),IF($R$17="Distrato",$E479,0))),0,YEARFRAC(MAX($P$34*($B479+IF($R$17="Distrato",$I$38-1,0)),IF(AND($L$37=0,$P$34=0),"",$L$37-1),IF($R$17="Distrato",$E479,0)),MIN(AJ$38,$D$19),$P$20))-SUM($P479:AI479)</f>
        <v>#VALUE!</v>
      </c>
      <c r="AK479" s="446" t="e">
        <f>IF(OR($B479="",MIN(AK$38,$D$19)&lt;MAX($P$34*($B479+IF($R$17="Distrato",$I$38-1,0)),IF(AND($L$37=0,$P$34=0),"",$L$37-1),IF($R$17="Distrato",$E479,0))),0,YEARFRAC(MAX($P$34*($B479+IF($R$17="Distrato",$I$38-1,0)),IF(AND($L$37=0,$P$34=0),"",$L$37-1),IF($R$17="Distrato",$E479,0)),MIN(AK$38,$D$19),$P$20))-SUM($P479:AJ479)</f>
        <v>#VALUE!</v>
      </c>
      <c r="AL479" s="446" t="e">
        <f>IF(OR($B479="",MIN(AL$38,$D$19)&lt;MAX($P$34*($B479+IF($R$17="Distrato",$I$38-1,0)),IF(AND($L$37=0,$P$34=0),"",$L$37-1),IF($R$17="Distrato",$E479,0))),0,YEARFRAC(MAX($P$34*($B479+IF($R$17="Distrato",$I$38-1,0)),IF(AND($L$37=0,$P$34=0),"",$L$37-1),IF($R$17="Distrato",$E479,0)),MIN(AL$38,$D$19),$P$20))-SUM($P479:AK479)</f>
        <v>#VALUE!</v>
      </c>
      <c r="AM479" s="446" t="e">
        <f>IF(OR($B479="",MIN(AM$38,$D$19)&lt;MAX($P$34*($B479+IF($R$17="Distrato",$I$38-1,0)),IF(AND($L$37=0,$P$34=0),"",$L$37-1),IF($R$17="Distrato",$E479,0))),0,YEARFRAC(MAX($P$34*($B479+IF($R$17="Distrato",$I$38-1,0)),IF(AND($L$37=0,$P$34=0),"",$L$37-1),IF($R$17="Distrato",$E479,0)),MIN(AM$38,$D$19),$P$20))-SUM($P479:AL479)</f>
        <v>#VALUE!</v>
      </c>
      <c r="AN479" s="446" t="e">
        <f>IF(OR($B479="",MIN(AN$38,$D$19)&lt;MAX($P$34*($B479+IF($R$17="Distrato",$I$38-1,0)),IF(AND($L$37=0,$P$34=0),"",$L$37-1),IF($R$17="Distrato",$E479,0))),0,YEARFRAC(MAX($P$34*($B479+IF($R$17="Distrato",$I$38-1,0)),IF(AND($L$37=0,$P$34=0),"",$L$37-1),IF($R$17="Distrato",$E479,0)),MIN(AN$38,$D$19),$P$20))-SUM($P479:AM479)</f>
        <v>#VALUE!</v>
      </c>
      <c r="AO479" s="446" t="e">
        <f>IF(OR($B479="",MIN(AO$38,$D$19)&lt;MAX($P$34*($B479+IF($R$17="Distrato",$I$38-1,0)),IF(AND($L$37=0,$P$34=0),"",$L$37-1),IF($R$17="Distrato",$E479,0))),0,YEARFRAC(MAX($P$34*($B479+IF($R$17="Distrato",$I$38-1,0)),IF(AND($L$37=0,$P$34=0),"",$L$37-1),IF($R$17="Distrato",$E479,0)),MIN(AO$38,$D$19),$P$20))-SUM($P479:AN479)</f>
        <v>#VALUE!</v>
      </c>
      <c r="AP479" s="446" t="e">
        <f>IF(OR($B479="",MIN(AP$38,$D$19)&lt;MAX($P$34*($B479+IF($R$17="Distrato",$I$38-1,0)),IF(AND($L$37=0,$P$34=0),"",$L$37-1),IF($R$17="Distrato",$E479,0))),0,YEARFRAC(MAX($P$34*($B479+IF($R$17="Distrato",$I$38-1,0)),IF(AND($L$37=0,$P$34=0),"",$L$37-1),IF($R$17="Distrato",$E479,0)),MIN(AP$38,$D$19),$P$20))-SUM($P479:AO479)</f>
        <v>#VALUE!</v>
      </c>
      <c r="AQ479" s="446" t="e">
        <f>IF(OR($B479="",MIN(AQ$38,$D$19)&lt;MAX($P$34*($B479+IF($R$17="Distrato",$I$38-1,0)),IF(AND($L$37=0,$P$34=0),"",$L$37-1),IF($R$17="Distrato",$E479,0))),0,YEARFRAC(MAX($P$34*($B479+IF($R$17="Distrato",$I$38-1,0)),IF(AND($L$37=0,$P$34=0),"",$L$37-1),IF($R$17="Distrato",$E479,0)),MIN(AQ$38,$D$19),$P$20))-SUM($P479:AP479)</f>
        <v>#VALUE!</v>
      </c>
      <c r="AR479" s="446" t="e">
        <f>IF(OR($B479="",MIN(AR$38,$D$19)&lt;MAX($P$34*($B479+IF($R$17="Distrato",$I$38-1,0)),IF(AND($L$37=0,$P$34=0),"",$L$37-1),IF($R$17="Distrato",$E479,0))),0,YEARFRAC(MAX($P$34*($B479+IF($R$17="Distrato",$I$38-1,0)),IF(AND($L$37=0,$P$34=0),"",$L$37-1),IF($R$17="Distrato",$E479,0)),MIN(AR$38,$D$19),$P$20))-SUM($P479:AQ479)</f>
        <v>#VALUE!</v>
      </c>
      <c r="AS479" s="446" t="e">
        <f>IF(OR($B479="",MIN(AS$38,$D$19)&lt;MAX($P$34*($B479+IF($R$17="Distrato",$I$38-1,0)),IF(AND($L$37=0,$P$34=0),"",$L$37-1),IF($R$17="Distrato",$E479,0))),0,YEARFRAC(MAX($P$34*($B479+IF($R$17="Distrato",$I$38-1,0)),IF(AND($L$37=0,$P$34=0),"",$L$37-1),IF($R$17="Distrato",$E479,0)),MIN(AS$38,$D$19),$P$20))-SUM($P479:AR479)</f>
        <v>#VALUE!</v>
      </c>
      <c r="AT479" s="446" t="e">
        <f>IF(OR($B479="",MIN(AT$38,$D$19)&lt;MAX($P$34*($B479+IF($R$17="Distrato",$I$38-1,0)),IF(AND($L$37=0,$P$34=0),"",$L$37-1),IF($R$17="Distrato",$E479,0))),0,YEARFRAC(MAX($P$34*($B479+IF($R$17="Distrato",$I$38-1,0)),IF(AND($L$37=0,$P$34=0),"",$L$37-1),IF($R$17="Distrato",$E479,0)),MIN(AT$38,$D$19),$P$20))-SUM($P479:AS479)</f>
        <v>#VALUE!</v>
      </c>
      <c r="AU479" s="446" t="e">
        <f>IF(OR($B479="",MIN(AU$38,$D$19)&lt;MAX($P$34*($B479+IF($R$17="Distrato",$I$38-1,0)),IF(AND($L$37=0,$P$34=0),"",$L$37-1),IF($R$17="Distrato",$E479,0))),0,YEARFRAC(MAX($P$34*($B479+IF($R$17="Distrato",$I$38-1,0)),IF(AND($L$37=0,$P$34=0),"",$L$37-1),IF($R$17="Distrato",$E479,0)),MIN(AU$38,$D$19),$P$20))-SUM($P479:AT479)</f>
        <v>#VALUE!</v>
      </c>
      <c r="AV479" s="446" t="e">
        <f>IF(OR($B479="",MIN(AV$38,$D$19)&lt;MAX($P$34*($B479+IF($R$17="Distrato",$I$38-1,0)),IF(AND($L$37=0,$P$34=0),"",$L$37-1),IF($R$17="Distrato",$E479,0))),0,YEARFRAC(MAX($P$34*($B479+IF($R$17="Distrato",$I$38-1,0)),IF(AND($L$37=0,$P$34=0),"",$L$37-1),IF($R$17="Distrato",$E479,0)),MIN(AV$38,$D$19),$P$20))-SUM($P479:AU479)</f>
        <v>#VALUE!</v>
      </c>
      <c r="AW479" s="446" t="e">
        <f>IF(OR($B479="",MIN(AW$38,$D$19)&lt;MAX($P$34*($B479+IF($R$17="Distrato",$I$38-1,0)),IF(AND($L$37=0,$P$34=0),"",$L$37-1),IF($R$17="Distrato",$E479,0))),0,YEARFRAC(MAX($P$34*($B479+IF($R$17="Distrato",$I$38-1,0)),IF(AND($L$37=0,$P$34=0),"",$L$37-1),IF($R$17="Distrato",$E479,0)),MIN(AW$38,$D$19),$P$20))-SUM($P479:AV479)</f>
        <v>#VALUE!</v>
      </c>
      <c r="AX479" s="446" t="e">
        <f>IF(OR($B479="",MIN(AX$38,$D$19)&lt;MAX($P$34*($B479+IF($R$17="Distrato",$I$38-1,0)),IF(AND($L$37=0,$P$34=0),"",$L$37-1),IF($R$17="Distrato",$E479,0))),0,YEARFRAC(MAX($P$34*($B479+IF($R$17="Distrato",$I$38-1,0)),IF(AND($L$37=0,$P$34=0),"",$L$37-1),IF($R$17="Distrato",$E479,0)),MIN(AX$38,$D$19),$P$20))-SUM($P479:AW479)</f>
        <v>#VALUE!</v>
      </c>
      <c r="AY479" s="446" t="e">
        <f>IF(OR($B479="",MIN(AY$38,$D$19)&lt;MAX($P$34*($B479+IF($R$17="Distrato",$I$38-1,0)),IF(AND($L$37=0,$P$34=0),"",$L$37-1),IF($R$17="Distrato",$E479,0))),0,YEARFRAC(MAX($P$34*($B479+IF($R$17="Distrato",$I$38-1,0)),IF(AND($L$37=0,$P$34=0),"",$L$37-1),IF($R$17="Distrato",$E479,0)),MIN(AY$38,$D$19),$P$20))-SUM($P479:AX479)</f>
        <v>#VALUE!</v>
      </c>
      <c r="AZ479" s="446" t="e">
        <f>IF(OR($B479="",MIN(AZ$38,$D$19)&lt;MAX($P$34*($B479+IF($R$17="Distrato",$I$38-1,0)),IF(AND($L$37=0,$P$34=0),"",$L$37-1),IF($R$17="Distrato",$E479,0))),0,YEARFRAC(MAX($P$34*($B479+IF($R$17="Distrato",$I$38-1,0)),IF(AND($L$37=0,$P$34=0),"",$L$37-1),IF($R$17="Distrato",$E479,0)),MIN(AZ$38,$D$19),$P$20))-SUM($P479:AY479)</f>
        <v>#VALUE!</v>
      </c>
      <c r="BA479" s="446" t="e">
        <f>IF(OR($B479="",MIN(BA$38,$D$19)&lt;MAX($P$34*($B479+IF($R$17="Distrato",$I$38-1,0)),IF(AND($L$37=0,$P$34=0),"",$L$37-1),IF($R$17="Distrato",$E479,0))),0,YEARFRAC(MAX($P$34*($B479+IF($R$17="Distrato",$I$38-1,0)),IF(AND($L$37=0,$P$34=0),"",$L$37-1),IF($R$17="Distrato",$E479,0)),MIN(BA$38,$D$19),$P$20))-SUM($P479:AZ479)</f>
        <v>#VALUE!</v>
      </c>
      <c r="BB479" s="447"/>
      <c r="BF479" s="446">
        <f t="shared" si="76"/>
        <v>0</v>
      </c>
      <c r="BG479" s="446">
        <f>IF($E479=0,0,IF(MIN(BG$38,$E479)&lt;MAX($P$34*($B479+$I$38-1),IF(AND($L$37=0,$P$34=0),"",$L$37-1)),0,YEARFRAC(MAX($P$34*($B479+$I$38-1),IF(AND($L$37=0,$P$34=0),"",$L$37-1)),MIN(BG$38,$E479),$P$20))-SUM($BF479:BF479))</f>
        <v>0</v>
      </c>
      <c r="BH479" s="446">
        <f>IF($E479=0,0,IF(MIN(BH$38,$E479)&lt;MAX($P$34*($B479+$I$38-1),IF(AND($L$37=0,$P$34=0),"",$L$37-1)),0,YEARFRAC(MAX($P$34*($B479+$I$38-1),IF(AND($L$37=0,$P$34=0),"",$L$37-1)),MIN(BH$38,$E479),$P$20))-SUM($BF479:BG479))</f>
        <v>0</v>
      </c>
      <c r="BI479" s="446">
        <f>IF($E479=0,0,IF(MIN(BI$38,$E479)&lt;MAX($P$34*($B479+$I$38-1),IF(AND($L$37=0,$P$34=0),"",$L$37-1)),0,YEARFRAC(MAX($P$34*($B479+$I$38-1),IF(AND($L$37=0,$P$34=0),"",$L$37-1)),MIN(BI$38,$E479),$P$20))-SUM($BF479:BH479))</f>
        <v>0</v>
      </c>
      <c r="BJ479" s="446">
        <f>IF($E479=0,0,IF(MIN(BJ$38,$E479)&lt;MAX($P$34*($B479+$I$38-1),IF(AND($L$37=0,$P$34=0),"",$L$37-1)),0,YEARFRAC(MAX($P$34*($B479+$I$38-1),IF(AND($L$37=0,$P$34=0),"",$L$37-1)),MIN(BJ$38,$E479),$P$20))-SUM($BF479:BI479))</f>
        <v>0</v>
      </c>
      <c r="BK479" s="446">
        <f>IF($E479=0,0,IF(MIN(BK$38,$E479)&lt;MAX($P$34*($B479+$I$38-1),IF(AND($L$37=0,$P$34=0),"",$L$37-1)),0,YEARFRAC(MAX($P$34*($B479+$I$38-1),IF(AND($L$37=0,$P$34=0),"",$L$37-1)),MIN(BK$38,$E479),$P$20))-SUM($BF479:BJ479))</f>
        <v>0</v>
      </c>
      <c r="BL479" s="446">
        <f>IF($E479=0,0,IF(MIN(BL$38,$E479)&lt;MAX($P$34*($B479+$I$38-1),IF(AND($L$37=0,$P$34=0),"",$L$37-1)),0,YEARFRAC(MAX($P$34*($B479+$I$38-1),IF(AND($L$37=0,$P$34=0),"",$L$37-1)),MIN(BL$38,$E479),$P$20))-SUM($BF479:BK479))</f>
        <v>0</v>
      </c>
      <c r="BM479" s="446">
        <f>IF($E479=0,0,IF(MIN(BM$38,$E479)&lt;MAX($P$34*($B479+$I$38-1),IF(AND($L$37=0,$P$34=0),"",$L$37-1)),0,YEARFRAC(MAX($P$34*($B479+$I$38-1),IF(AND($L$37=0,$P$34=0),"",$L$37-1)),MIN(BM$38,$E479),$P$20))-SUM($BF479:BL479))</f>
        <v>0</v>
      </c>
      <c r="BN479" s="446">
        <f>IF($E479=0,0,IF(MIN(BN$38,$E479)&lt;MAX($P$34*($B479+$I$38-1),IF(AND($L$37=0,$P$34=0),"",$L$37-1)),0,YEARFRAC(MAX($P$34*($B479+$I$38-1),IF(AND($L$37=0,$P$34=0),"",$L$37-1)),MIN(BN$38,$E479),$P$20))-SUM($BF479:BM479))</f>
        <v>0</v>
      </c>
      <c r="BO479" s="446">
        <f>IF($E479=0,0,IF(MIN(BO$38,$E479)&lt;MAX($P$34*($B479+$I$38-1),IF(AND($L$37=0,$P$34=0),"",$L$37-1)),0,YEARFRAC(MAX($P$34*($B479+$I$38-1),IF(AND($L$37=0,$P$34=0),"",$L$37-1)),MIN(BO$38,$E479),$P$20))-SUM($BF479:BN479))</f>
        <v>0</v>
      </c>
      <c r="BP479" s="446">
        <f>IF($E479=0,0,IF(MIN(BP$38,$E479)&lt;MAX($P$34*($B479+$I$38-1),IF(AND($L$37=0,$P$34=0),"",$L$37-1)),0,YEARFRAC(MAX($P$34*($B479+$I$38-1),IF(AND($L$37=0,$P$34=0),"",$L$37-1)),MIN(BP$38,$E479),$P$20))-SUM($BF479:BO479))</f>
        <v>0</v>
      </c>
      <c r="BQ479" s="446">
        <f>IF($E479=0,0,IF(MIN(BQ$38,$E479)&lt;MAX($P$34*($B479+$I$38-1),IF(AND($L$37=0,$P$34=0),"",$L$37-1)),0,YEARFRAC(MAX($P$34*($B479+$I$38-1),IF(AND($L$37=0,$P$34=0),"",$L$37-1)),MIN(BQ$38,$E479),$P$20))-SUM($BF479:BP479))</f>
        <v>0</v>
      </c>
      <c r="BR479" s="446">
        <f>IF($E479=0,0,IF(MIN(BR$38,$E479)&lt;MAX($P$34*($B479+$I$38-1),IF(AND($L$37=0,$P$34=0),"",$L$37-1)),0,YEARFRAC(MAX($P$34*($B479+$I$38-1),IF(AND($L$37=0,$P$34=0),"",$L$37-1)),MIN(BR$38,$E479),$P$20))-SUM($BF479:BQ479))</f>
        <v>0</v>
      </c>
      <c r="BS479" s="446">
        <f>IF($E479=0,0,IF(MIN(BS$38,$E479)&lt;MAX($P$34*($B479+$I$38-1),IF(AND($L$37=0,$P$34=0),"",$L$37-1)),0,YEARFRAC(MAX($P$34*($B479+$I$38-1),IF(AND($L$37=0,$P$34=0),"",$L$37-1)),MIN(BS$38,$E479),$P$20))-SUM($BF479:BR479))</f>
        <v>0</v>
      </c>
      <c r="BT479" s="446">
        <f>IF($E479=0,0,IF(MIN(BT$38,$E479)&lt;MAX($P$34*($B479+$I$38-1),IF(AND($L$37=0,$P$34=0),"",$L$37-1)),0,YEARFRAC(MAX($P$34*($B479+$I$38-1),IF(AND($L$37=0,$P$34=0),"",$L$37-1)),MIN(BT$38,$E479),$P$20))-SUM($BF479:BS479))</f>
        <v>0</v>
      </c>
      <c r="BU479" s="446">
        <f>IF($E479=0,0,IF(MIN(BU$38,$E479)&lt;MAX($P$34*($B479+$I$38-1),IF(AND($L$37=0,$P$34=0),"",$L$37-1)),0,YEARFRAC(MAX($P$34*($B479+$I$38-1),IF(AND($L$37=0,$P$34=0),"",$L$37-1)),MIN(BU$38,$E479),$P$20))-SUM($BF479:BT479))</f>
        <v>0</v>
      </c>
      <c r="BV479" s="446">
        <f>IF($E479=0,0,IF(MIN(BV$38,$E479)&lt;MAX($P$34*($B479+$I$38-1),IF(AND($L$37=0,$P$34=0),"",$L$37-1)),0,YEARFRAC(MAX($P$34*($B479+$I$38-1),IF(AND($L$37=0,$P$34=0),"",$L$37-1)),MIN(BV$38,$E479),$P$20))-SUM($BF479:BU479))</f>
        <v>0</v>
      </c>
      <c r="BW479" s="446">
        <f>IF($E479=0,0,IF(MIN(BW$38,$E479)&lt;MAX($P$34*($B479+$I$38-1),IF(AND($L$37=0,$P$34=0),"",$L$37-1)),0,YEARFRAC(MAX($P$34*($B479+$I$38-1),IF(AND($L$37=0,$P$34=0),"",$L$37-1)),MIN(BW$38,$E479),$P$20))-SUM($BF479:BV479))</f>
        <v>0</v>
      </c>
      <c r="BX479" s="446">
        <f>IF($E479=0,0,IF(MIN(BX$38,$E479)&lt;MAX($P$34*($B479+$I$38-1),IF(AND($L$37=0,$P$34=0),"",$L$37-1)),0,YEARFRAC(MAX($P$34*($B479+$I$38-1),IF(AND($L$37=0,$P$34=0),"",$L$37-1)),MIN(BX$38,$E479),$P$20))-SUM($BF479:BW479))</f>
        <v>0</v>
      </c>
      <c r="BY479" s="446">
        <f>IF($E479=0,0,IF(MIN(BY$38,$E479)&lt;MAX($P$34*($B479+$I$38-1),IF(AND($L$37=0,$P$34=0),"",$L$37-1)),0,YEARFRAC(MAX($P$34*($B479+$I$38-1),IF(AND($L$37=0,$P$34=0),"",$L$37-1)),MIN(BY$38,$E479),$P$20))-SUM($BF479:BX479))</f>
        <v>0</v>
      </c>
      <c r="BZ479" s="446">
        <f>IF($E479=0,0,IF(MIN(BZ$38,$E479)&lt;MAX($P$34*($B479+$I$38-1),IF(AND($L$37=0,$P$34=0),"",$L$37-1)),0,YEARFRAC(MAX($P$34*($B479+$I$38-1),IF(AND($L$37=0,$P$34=0),"",$L$37-1)),MIN(BZ$38,$E479),$P$20))-SUM($BF479:BY479))</f>
        <v>0</v>
      </c>
      <c r="CA479" s="446">
        <f>IF($E479=0,0,IF(MIN(CA$38,$E479)&lt;MAX($P$34*($B479+$I$38-1),IF(AND($L$37=0,$P$34=0),"",$L$37-1)),0,YEARFRAC(MAX($P$34*($B479+$I$38-1),IF(AND($L$37=0,$P$34=0),"",$L$37-1)),MIN(CA$38,$E479),$P$20))-SUM($BF479:BZ479))</f>
        <v>0</v>
      </c>
      <c r="CB479" s="446">
        <f>IF($E479=0,0,IF(MIN(CB$38,$E479)&lt;MAX($P$34*($B479+$I$38-1),IF(AND($L$37=0,$P$34=0),"",$L$37-1)),0,YEARFRAC(MAX($P$34*($B479+$I$38-1),IF(AND($L$37=0,$P$34=0),"",$L$37-1)),MIN(CB$38,$E479),$P$20))-SUM($BF479:CA479))</f>
        <v>0</v>
      </c>
      <c r="CC479" s="446">
        <f>IF($E479=0,0,IF(MIN(CC$38,$E479)&lt;MAX($P$34*($B479+$I$38-1),IF(AND($L$37=0,$P$34=0),"",$L$37-1)),0,YEARFRAC(MAX($P$34*($B479+$I$38-1),IF(AND($L$37=0,$P$34=0),"",$L$37-1)),MIN(CC$38,$E479),$P$20))-SUM($BF479:CB479))</f>
        <v>0</v>
      </c>
      <c r="CD479" s="446">
        <f>IF($E479=0,0,IF(MIN(CD$38,$E479)&lt;MAX($P$34*($B479+$I$38-1),IF(AND($L$37=0,$P$34=0),"",$L$37-1)),0,YEARFRAC(MAX($P$34*($B479+$I$38-1),IF(AND($L$37=0,$P$34=0),"",$L$37-1)),MIN(CD$38,$E479),$P$20))-SUM($BF479:CC479))</f>
        <v>0</v>
      </c>
      <c r="CE479" s="446">
        <f>IF($E479=0,0,IF(MIN(CE$38,$E479)&lt;MAX($P$34*($B479+$I$38-1),IF(AND($L$37=0,$P$34=0),"",$L$37-1)),0,YEARFRAC(MAX($P$34*($B479+$I$38-1),IF(AND($L$37=0,$P$34=0),"",$L$37-1)),MIN(CE$38,$E479),$P$20))-SUM($BF479:CD479))</f>
        <v>0</v>
      </c>
      <c r="CF479" s="446">
        <f>IF($E479=0,0,IF(MIN(CF$38,$E479)&lt;MAX($P$34*($B479+$I$38-1),IF(AND($L$37=0,$P$34=0),"",$L$37-1)),0,YEARFRAC(MAX($P$34*($B479+$I$38-1),IF(AND($L$37=0,$P$34=0),"",$L$37-1)),MIN(CF$38,$E479),$P$20))-SUM($BF479:CE479))</f>
        <v>0</v>
      </c>
      <c r="CG479" s="446">
        <f>IF($E479=0,0,IF(MIN(CG$38,$E479)&lt;MAX($P$34*($B479+$I$38-1),IF(AND($L$37=0,$P$34=0),"",$L$37-1)),0,YEARFRAC(MAX($P$34*($B479+$I$38-1),IF(AND($L$37=0,$P$34=0),"",$L$37-1)),MIN(CG$38,$E479),$P$20))-SUM($BF479:CF479))</f>
        <v>0</v>
      </c>
      <c r="CH479" s="446">
        <f>IF($E479=0,0,IF(MIN(CH$38,$E479)&lt;MAX($P$34*($B479+$I$38-1),IF(AND($L$37=0,$P$34=0),"",$L$37-1)),0,YEARFRAC(MAX($P$34*($B479+$I$38-1),IF(AND($L$37=0,$P$34=0),"",$L$37-1)),MIN(CH$38,$E479),$P$20))-SUM($BF479:CG479))</f>
        <v>0</v>
      </c>
      <c r="CI479" s="446">
        <f>IF($E479=0,0,IF(MIN(CI$38,$E479)&lt;MAX($P$34*($B479+$I$38-1),IF(AND($L$37=0,$P$34=0),"",$L$37-1)),0,YEARFRAC(MAX($P$34*($B479+$I$38-1),IF(AND($L$37=0,$P$34=0),"",$L$37-1)),MIN(CI$38,$E479),$P$20))-SUM($BF479:CH479))</f>
        <v>0</v>
      </c>
      <c r="CJ479" s="446">
        <f>IF($E479=0,0,IF(MIN(CJ$38,$E479)&lt;MAX($P$34*($B479+$I$38-1),IF(AND($L$37=0,$P$34=0),"",$L$37-1)),0,YEARFRAC(MAX($P$34*($B479+$I$38-1),IF(AND($L$37=0,$P$34=0),"",$L$37-1)),MIN(CJ$38,$E479),$P$20))-SUM($BF479:CI479))</f>
        <v>0</v>
      </c>
      <c r="CK479" s="446">
        <f>IF($E479=0,0,IF(MIN(CK$38,$E479)&lt;MAX($P$34*($B479+$I$38-1),IF(AND($L$37=0,$P$34=0),"",$L$37-1)),0,YEARFRAC(MAX($P$34*($B479+$I$38-1),IF(AND($L$37=0,$P$34=0),"",$L$37-1)),MIN(CK$38,$E479),$P$20))-SUM($BF479:CJ479))</f>
        <v>0</v>
      </c>
      <c r="CL479" s="446">
        <f>IF($E479=0,0,IF(MIN(CL$38,$E479)&lt;MAX($P$34*($B479+$I$38-1),IF(AND($L$37=0,$P$34=0),"",$L$37-1)),0,YEARFRAC(MAX($P$34*($B479+$I$38-1),IF(AND($L$37=0,$P$34=0),"",$L$37-1)),MIN(CL$38,$E479),$P$20))-SUM($BF479:CK479))</f>
        <v>0</v>
      </c>
      <c r="CM479" s="446">
        <f>IF($E479=0,0,IF(MIN(CM$38,$E479)&lt;MAX($P$34*($B479+$I$38-1),IF(AND($L$37=0,$P$34=0),"",$L$37-1)),0,YEARFRAC(MAX($P$34*($B479+$I$38-1),IF(AND($L$37=0,$P$34=0),"",$L$37-1)),MIN(CM$38,$E479),$P$20))-SUM($BF479:CL479))</f>
        <v>0</v>
      </c>
      <c r="CN479" s="446">
        <f>IF($E479=0,0,IF(MIN(CN$38,$E479)&lt;MAX($P$34*($B479+$I$38-1),IF(AND($L$37=0,$P$34=0),"",$L$37-1)),0,YEARFRAC(MAX($P$34*($B479+$I$38-1),IF(AND($L$37=0,$P$34=0),"",$L$37-1)),MIN(CN$38,$E479),$P$20))-SUM($BF479:CM479))</f>
        <v>0</v>
      </c>
      <c r="CO479" s="446">
        <f>IF($E479=0,0,IF(MIN(CO$38,$E479)&lt;MAX($P$34*($B479+$I$38-1),IF(AND($L$37=0,$P$34=0),"",$L$37-1)),0,YEARFRAC(MAX($P$34*($B479+$I$38-1),IF(AND($L$37=0,$P$34=0),"",$L$37-1)),MIN(CO$38,$E479),$P$20))-SUM($BF479:CN479))</f>
        <v>0</v>
      </c>
      <c r="CP479" s="446">
        <f>IF($E479=0,0,IF(MIN(CP$38,$E479)&lt;MAX($P$34*($B479+$I$38-1),IF(AND($L$37=0,$P$34=0),"",$L$37-1)),0,YEARFRAC(MAX($P$34*($B479+$I$38-1),IF(AND($L$37=0,$P$34=0),"",$L$37-1)),MIN(CP$38,$E479),$P$20))-SUM($BF479:CO479))</f>
        <v>0</v>
      </c>
      <c r="CQ479" s="446">
        <f>IF($E479=0,0,IF(MIN(CQ$38,$E479)&lt;MAX($P$34*($B479+$I$38-1),IF(AND($L$37=0,$P$34=0),"",$L$37-1)),0,YEARFRAC(MAX($P$34*($B479+$I$38-1),IF(AND($L$37=0,$P$34=0),"",$L$37-1)),MIN(CQ$38,$E479),$P$20))-SUM($BF479:CP479))</f>
        <v>0</v>
      </c>
    </row>
    <row r="480" spans="1:95" s="446" customFormat="1" ht="11.25" hidden="1" customHeight="1" x14ac:dyDescent="0.2">
      <c r="A480" s="152"/>
      <c r="B480" s="153" t="str">
        <f t="shared" si="81"/>
        <v/>
      </c>
      <c r="C480" s="29" t="str">
        <f>IF(B480="","",IF($L$35="SELIC - TRIBUTOS",VLOOKUP(DATE(YEAR($D$19),MONTH($D$19)-1,1),ÍNDICES!$A:$DE,HLOOKUP($BL$25,ÍNDICES!$B$3:$T$4,2)+11)-VLOOKUP(B480,ÍNDICES!$A:$DE,HLOOKUP($BL$25,ÍNDICES!$B$3:$T$4,2)+11)+1%,IF(C$38=$W$26,$J$35,IF(ISERROR(IF(B480&gt;$D$19,1,VLOOKUP(DATE(YEAR(B480),MONTH(B480)+IF($C$35=$S$23,1,0),1),ÍNDICES!$A:$DE,$Z$35+1))),"",IF(B480&gt;$D$19,1,VLOOKUP(DATE(YEAR(B480),MONTH(B480)+IF($C$35=$S$23,1,0),1),ÍNDICES!$A:$DE,$Z$35+1))))))</f>
        <v/>
      </c>
      <c r="D480" s="154" t="str">
        <f>IF(ISERROR(IF(OR($D$38=$Y$27,$B480=""),"",VLOOKUP(B480,ÍNDICES!A:DE,AF$35+1))),"",IF(OR($D$38=$Y$27,$B480=""),"",VLOOKUP(B480,ÍNDICES!A:DE,AF$35+1)))</f>
        <v/>
      </c>
      <c r="E480" s="153"/>
      <c r="F480" s="29" t="str">
        <f>IF(E480="","",IF($L$35="SELIC - TRIBUTOS",VLOOKUP(DATE(YEAR($D$19),MONTH($D$19)-1,1),ÍNDICES!$A:$DE,HLOOKUP($BL$25,ÍNDICES!$B$3:$T$4,2)+11)-VLOOKUP(E480,ÍNDICES!$A:$DE,HLOOKUP($BL$25,ÍNDICES!$B$3:$T$4,2)+11)+1%,IF(F$38=$W$26,$J$35,IF(ISERROR(IF(E480&gt;$D$19,1,VLOOKUP(DATE(YEAR(E480),MONTH(E480)+IF($C$35=$S$23,1,0),1),ÍNDICES!$A:$DE,$Z$35+1))),"",IF(E480&gt;$D$19,1,VLOOKUP(DATE(YEAR(E480),MONTH(E480)+IF($C$35=$S$23,1,0),1),ÍNDICES!$A:$DE,$Z$35+1))))))</f>
        <v/>
      </c>
      <c r="G480" s="155"/>
      <c r="H480" s="156" t="str">
        <f t="shared" si="77"/>
        <v/>
      </c>
      <c r="I480" s="29" t="str">
        <f t="shared" si="71"/>
        <v/>
      </c>
      <c r="J480" s="5">
        <f t="shared" si="72"/>
        <v>0</v>
      </c>
      <c r="K480" s="20">
        <f t="shared" ca="1" si="73"/>
        <v>0</v>
      </c>
      <c r="L480" s="5">
        <f t="shared" ca="1" si="74"/>
        <v>0</v>
      </c>
      <c r="M480" s="64">
        <f t="shared" si="78"/>
        <v>0</v>
      </c>
      <c r="N480" s="61">
        <f t="shared" ca="1" si="79"/>
        <v>0</v>
      </c>
      <c r="O480" s="5">
        <f t="shared" ca="1" si="80"/>
        <v>0</v>
      </c>
      <c r="P480" s="446" t="e">
        <f t="shared" si="75"/>
        <v>#VALUE!</v>
      </c>
      <c r="Q480" s="446" t="e">
        <f>IF(OR($B480="",MIN(Q$38,$D$19)&lt;MAX($P$34*($B480+IF($R$17="Distrato",$I$38-1,0)),IF(AND($L$37=0,$P$34=0),"",$L$37-1),IF($R$17="Distrato",$E480,0))),0,YEARFRAC(MAX($P$34*($B480+IF($R$17="Distrato",$I$38-1,0)),IF(AND($L$37=0,$P$34=0),"",$L$37-1),IF($R$17="Distrato",$E480,0)),MIN(Q$38,$D$19),$P$20))-SUM($P480:P480)</f>
        <v>#VALUE!</v>
      </c>
      <c r="R480" s="446" t="e">
        <f>IF(OR($B480="",MIN(R$38,$D$19)&lt;MAX($P$34*($B480+IF($R$17="Distrato",$I$38-1,0)),IF(AND($L$37=0,$P$34=0),"",$L$37-1),IF($R$17="Distrato",$E480,0))),0,YEARFRAC(MAX($P$34*($B480+IF($R$17="Distrato",$I$38-1,0)),IF(AND($L$37=0,$P$34=0),"",$L$37-1),IF($R$17="Distrato",$E480,0)),MIN(R$38,$D$19),$P$20))-SUM($P480:Q480)</f>
        <v>#VALUE!</v>
      </c>
      <c r="S480" s="446" t="e">
        <f>IF(OR($B480="",MIN(S$38,$D$19)&lt;MAX($P$34*($B480+IF($R$17="Distrato",$I$38-1,0)),IF(AND($L$37=0,$P$34=0),"",$L$37-1),IF($R$17="Distrato",$E480,0))),0,YEARFRAC(MAX($P$34*($B480+IF($R$17="Distrato",$I$38-1,0)),IF(AND($L$37=0,$P$34=0),"",$L$37-1),IF($R$17="Distrato",$E480,0)),MIN(S$38,$D$19),$P$20))-SUM($P480:R480)</f>
        <v>#VALUE!</v>
      </c>
      <c r="T480" s="446" t="e">
        <f>IF(OR($B480="",MIN(T$38,$D$19)&lt;MAX($P$34*($B480+IF($R$17="Distrato",$I$38-1,0)),IF(AND($L$37=0,$P$34=0),"",$L$37-1),IF($R$17="Distrato",$E480,0))),0,YEARFRAC(MAX($P$34*($B480+IF($R$17="Distrato",$I$38-1,0)),IF(AND($L$37=0,$P$34=0),"",$L$37-1),IF($R$17="Distrato",$E480,0)),MIN(T$38,$D$19),$P$20))-SUM($P480:S480)</f>
        <v>#VALUE!</v>
      </c>
      <c r="U480" s="446" t="e">
        <f>IF(OR($B480="",MIN(U$38,$D$19)&lt;MAX($P$34*($B480+IF($R$17="Distrato",$I$38-1,0)),IF(AND($L$37=0,$P$34=0),"",$L$37-1),IF($R$17="Distrato",$E480,0))),0,YEARFRAC(MAX($P$34*($B480+IF($R$17="Distrato",$I$38-1,0)),IF(AND($L$37=0,$P$34=0),"",$L$37-1),IF($R$17="Distrato",$E480,0)),MIN(U$38,$D$19),$P$20))-SUM($P480:T480)</f>
        <v>#VALUE!</v>
      </c>
      <c r="V480" s="446" t="e">
        <f>IF(OR($B480="",MIN(V$38,$D$19)&lt;MAX($P$34*($B480+IF($R$17="Distrato",$I$38-1,0)),IF(AND($L$37=0,$P$34=0),"",$L$37-1),IF($R$17="Distrato",$E480,0))),0,YEARFRAC(MAX($P$34*($B480+IF($R$17="Distrato",$I$38-1,0)),IF(AND($L$37=0,$P$34=0),"",$L$37-1),IF($R$17="Distrato",$E480,0)),MIN(V$38,$D$19),$P$20))-SUM($P480:U480)</f>
        <v>#VALUE!</v>
      </c>
      <c r="W480" s="446" t="e">
        <f>IF(OR($B480="",MIN(W$38,$D$19)&lt;MAX($P$34*($B480+IF($R$17="Distrato",$I$38-1,0)),IF(AND($L$37=0,$P$34=0),"",$L$37-1),IF($R$17="Distrato",$E480,0))),0,YEARFRAC(MAX($P$34*($B480+IF($R$17="Distrato",$I$38-1,0)),IF(AND($L$37=0,$P$34=0),"",$L$37-1),IF($R$17="Distrato",$E480,0)),MIN(W$38,$D$19),$P$20))-SUM($P480:V480)</f>
        <v>#VALUE!</v>
      </c>
      <c r="X480" s="446" t="e">
        <f>IF(OR($B480="",MIN(X$38,$D$19)&lt;MAX($P$34*($B480+IF($R$17="Distrato",$I$38-1,0)),IF(AND($L$37=0,$P$34=0),"",$L$37-1),IF($R$17="Distrato",$E480,0))),0,YEARFRAC(MAX($P$34*($B480+IF($R$17="Distrato",$I$38-1,0)),IF(AND($L$37=0,$P$34=0),"",$L$37-1),IF($R$17="Distrato",$E480,0)),MIN(X$38,$D$19),$P$20))-SUM($P480:W480)</f>
        <v>#VALUE!</v>
      </c>
      <c r="Y480" s="446" t="e">
        <f>IF(OR($B480="",MIN(Y$38,$D$19)&lt;MAX($P$34*($B480+IF($R$17="Distrato",$I$38-1,0)),IF(AND($L$37=0,$P$34=0),"",$L$37-1),IF($R$17="Distrato",$E480,0))),0,YEARFRAC(MAX($P$34*($B480+IF($R$17="Distrato",$I$38-1,0)),IF(AND($L$37=0,$P$34=0),"",$L$37-1),IF($R$17="Distrato",$E480,0)),MIN(Y$38,$D$19),$P$20))-SUM($P480:X480)</f>
        <v>#VALUE!</v>
      </c>
      <c r="Z480" s="446" t="e">
        <f>IF(OR($B480="",MIN(Z$38,$D$19)&lt;MAX($P$34*($B480+IF($R$17="Distrato",$I$38-1,0)),IF(AND($L$37=0,$P$34=0),"",$L$37-1),IF($R$17="Distrato",$E480,0))),0,YEARFRAC(MAX($P$34*($B480+IF($R$17="Distrato",$I$38-1,0)),IF(AND($L$37=0,$P$34=0),"",$L$37-1),IF($R$17="Distrato",$E480,0)),MIN(Z$38,$D$19),$P$20))-SUM($P480:Y480)</f>
        <v>#VALUE!</v>
      </c>
      <c r="AA480" s="446" t="e">
        <f>IF(OR($B480="",MIN(AA$38,$D$19)&lt;MAX($P$34*($B480+IF($R$17="Distrato",$I$38-1,0)),IF(AND($L$37=0,$P$34=0),"",$L$37-1),IF($R$17="Distrato",$E480,0))),0,YEARFRAC(MAX($P$34*($B480+IF($R$17="Distrato",$I$38-1,0)),IF(AND($L$37=0,$P$34=0),"",$L$37-1),IF($R$17="Distrato",$E480,0)),MIN(AA$38,$D$19),$P$20))-SUM($P480:Z480)</f>
        <v>#VALUE!</v>
      </c>
      <c r="AB480" s="446" t="e">
        <f>IF(OR($B480="",MIN(AB$38,$D$19)&lt;MAX($P$34*($B480+IF($R$17="Distrato",$I$38-1,0)),IF(AND($L$37=0,$P$34=0),"",$L$37-1),IF($R$17="Distrato",$E480,0))),0,YEARFRAC(MAX($P$34*($B480+IF($R$17="Distrato",$I$38-1,0)),IF(AND($L$37=0,$P$34=0),"",$L$37-1),IF($R$17="Distrato",$E480,0)),MIN(AB$38,$D$19),$P$20))-SUM($P480:AA480)</f>
        <v>#VALUE!</v>
      </c>
      <c r="AC480" s="446" t="e">
        <f>IF(OR($B480="",MIN(AC$38,$D$19)&lt;MAX($P$34*($B480+IF($R$17="Distrato",$I$38-1,0)),IF(AND($L$37=0,$P$34=0),"",$L$37-1),IF($R$17="Distrato",$E480,0))),0,YEARFRAC(MAX($P$34*($B480+IF($R$17="Distrato",$I$38-1,0)),IF(AND($L$37=0,$P$34=0),"",$L$37-1),IF($R$17="Distrato",$E480,0)),MIN(AC$38,$D$19),$P$20))-SUM($P480:AB480)</f>
        <v>#VALUE!</v>
      </c>
      <c r="AD480" s="446" t="e">
        <f>IF(OR($B480="",MIN(AD$38,$D$19)&lt;MAX($P$34*($B480+IF($R$17="Distrato",$I$38-1,0)),IF(AND($L$37=0,$P$34=0),"",$L$37-1),IF($R$17="Distrato",$E480,0))),0,YEARFRAC(MAX($P$34*($B480+IF($R$17="Distrato",$I$38-1,0)),IF(AND($L$37=0,$P$34=0),"",$L$37-1),IF($R$17="Distrato",$E480,0)),MIN(AD$38,$D$19),$P$20))-SUM($P480:AC480)</f>
        <v>#VALUE!</v>
      </c>
      <c r="AE480" s="446" t="e">
        <f>IF(OR($B480="",MIN(AE$38,$D$19)&lt;MAX($P$34*($B480+IF($R$17="Distrato",$I$38-1,0)),IF(AND($L$37=0,$P$34=0),"",$L$37-1),IF($R$17="Distrato",$E480,0))),0,YEARFRAC(MAX($P$34*($B480+IF($R$17="Distrato",$I$38-1,0)),IF(AND($L$37=0,$P$34=0),"",$L$37-1),IF($R$17="Distrato",$E480,0)),MIN(AE$38,$D$19),$P$20))-SUM($P480:AD480)</f>
        <v>#VALUE!</v>
      </c>
      <c r="AF480" s="446" t="e">
        <f>IF(OR($B480="",MIN(AF$38,$D$19)&lt;MAX($P$34*($B480+IF($R$17="Distrato",$I$38-1,0)),IF(AND($L$37=0,$P$34=0),"",$L$37-1),IF($R$17="Distrato",$E480,0))),0,YEARFRAC(MAX($P$34*($B480+IF($R$17="Distrato",$I$38-1,0)),IF(AND($L$37=0,$P$34=0),"",$L$37-1),IF($R$17="Distrato",$E480,0)),MIN(AF$38,$D$19),$P$20))-SUM($P480:AE480)</f>
        <v>#VALUE!</v>
      </c>
      <c r="AG480" s="446" t="e">
        <f>IF(OR($B480="",MIN(AG$38,$D$19)&lt;MAX($P$34*($B480+IF($R$17="Distrato",$I$38-1,0)),IF(AND($L$37=0,$P$34=0),"",$L$37-1),IF($R$17="Distrato",$E480,0))),0,YEARFRAC(MAX($P$34*($B480+IF($R$17="Distrato",$I$38-1,0)),IF(AND($L$37=0,$P$34=0),"",$L$37-1),IF($R$17="Distrato",$E480,0)),MIN(AG$38,$D$19),$P$20))-SUM($P480:AF480)</f>
        <v>#VALUE!</v>
      </c>
      <c r="AH480" s="446" t="e">
        <f>IF(OR($B480="",MIN(AH$38,$D$19)&lt;MAX($P$34*($B480+IF($R$17="Distrato",$I$38-1,0)),IF(AND($L$37=0,$P$34=0),"",$L$37-1),IF($R$17="Distrato",$E480,0))),0,YEARFRAC(MAX($P$34*($B480+IF($R$17="Distrato",$I$38-1,0)),IF(AND($L$37=0,$P$34=0),"",$L$37-1),IF($R$17="Distrato",$E480,0)),MIN(AH$38,$D$19),$P$20))-SUM($P480:AG480)</f>
        <v>#VALUE!</v>
      </c>
      <c r="AI480" s="446" t="e">
        <f>IF(OR($B480="",MIN(AI$38,$D$19)&lt;MAX($P$34*($B480+IF($R$17="Distrato",$I$38-1,0)),IF(AND($L$37=0,$P$34=0),"",$L$37-1),IF($R$17="Distrato",$E480,0))),0,YEARFRAC(MAX($P$34*($B480+IF($R$17="Distrato",$I$38-1,0)),IF(AND($L$37=0,$P$34=0),"",$L$37-1),IF($R$17="Distrato",$E480,0)),MIN(AI$38,$D$19),$P$20))-SUM($P480:AH480)</f>
        <v>#VALUE!</v>
      </c>
      <c r="AJ480" s="446" t="e">
        <f>IF(OR($B480="",MIN(AJ$38,$D$19)&lt;MAX($P$34*($B480+IF($R$17="Distrato",$I$38-1,0)),IF(AND($L$37=0,$P$34=0),"",$L$37-1),IF($R$17="Distrato",$E480,0))),0,YEARFRAC(MAX($P$34*($B480+IF($R$17="Distrato",$I$38-1,0)),IF(AND($L$37=0,$P$34=0),"",$L$37-1),IF($R$17="Distrato",$E480,0)),MIN(AJ$38,$D$19),$P$20))-SUM($P480:AI480)</f>
        <v>#VALUE!</v>
      </c>
      <c r="AK480" s="446" t="e">
        <f>IF(OR($B480="",MIN(AK$38,$D$19)&lt;MAX($P$34*($B480+IF($R$17="Distrato",$I$38-1,0)),IF(AND($L$37=0,$P$34=0),"",$L$37-1),IF($R$17="Distrato",$E480,0))),0,YEARFRAC(MAX($P$34*($B480+IF($R$17="Distrato",$I$38-1,0)),IF(AND($L$37=0,$P$34=0),"",$L$37-1),IF($R$17="Distrato",$E480,0)),MIN(AK$38,$D$19),$P$20))-SUM($P480:AJ480)</f>
        <v>#VALUE!</v>
      </c>
      <c r="AL480" s="446" t="e">
        <f>IF(OR($B480="",MIN(AL$38,$D$19)&lt;MAX($P$34*($B480+IF($R$17="Distrato",$I$38-1,0)),IF(AND($L$37=0,$P$34=0),"",$L$37-1),IF($R$17="Distrato",$E480,0))),0,YEARFRAC(MAX($P$34*($B480+IF($R$17="Distrato",$I$38-1,0)),IF(AND($L$37=0,$P$34=0),"",$L$37-1),IF($R$17="Distrato",$E480,0)),MIN(AL$38,$D$19),$P$20))-SUM($P480:AK480)</f>
        <v>#VALUE!</v>
      </c>
      <c r="AM480" s="446" t="e">
        <f>IF(OR($B480="",MIN(AM$38,$D$19)&lt;MAX($P$34*($B480+IF($R$17="Distrato",$I$38-1,0)),IF(AND($L$37=0,$P$34=0),"",$L$37-1),IF($R$17="Distrato",$E480,0))),0,YEARFRAC(MAX($P$34*($B480+IF($R$17="Distrato",$I$38-1,0)),IF(AND($L$37=0,$P$34=0),"",$L$37-1),IF($R$17="Distrato",$E480,0)),MIN(AM$38,$D$19),$P$20))-SUM($P480:AL480)</f>
        <v>#VALUE!</v>
      </c>
      <c r="AN480" s="446" t="e">
        <f>IF(OR($B480="",MIN(AN$38,$D$19)&lt;MAX($P$34*($B480+IF($R$17="Distrato",$I$38-1,0)),IF(AND($L$37=0,$P$34=0),"",$L$37-1),IF($R$17="Distrato",$E480,0))),0,YEARFRAC(MAX($P$34*($B480+IF($R$17="Distrato",$I$38-1,0)),IF(AND($L$37=0,$P$34=0),"",$L$37-1),IF($R$17="Distrato",$E480,0)),MIN(AN$38,$D$19),$P$20))-SUM($P480:AM480)</f>
        <v>#VALUE!</v>
      </c>
      <c r="AO480" s="446" t="e">
        <f>IF(OR($B480="",MIN(AO$38,$D$19)&lt;MAX($P$34*($B480+IF($R$17="Distrato",$I$38-1,0)),IF(AND($L$37=0,$P$34=0),"",$L$37-1),IF($R$17="Distrato",$E480,0))),0,YEARFRAC(MAX($P$34*($B480+IF($R$17="Distrato",$I$38-1,0)),IF(AND($L$37=0,$P$34=0),"",$L$37-1),IF($R$17="Distrato",$E480,0)),MIN(AO$38,$D$19),$P$20))-SUM($P480:AN480)</f>
        <v>#VALUE!</v>
      </c>
      <c r="AP480" s="446" t="e">
        <f>IF(OR($B480="",MIN(AP$38,$D$19)&lt;MAX($P$34*($B480+IF($R$17="Distrato",$I$38-1,0)),IF(AND($L$37=0,$P$34=0),"",$L$37-1),IF($R$17="Distrato",$E480,0))),0,YEARFRAC(MAX($P$34*($B480+IF($R$17="Distrato",$I$38-1,0)),IF(AND($L$37=0,$P$34=0),"",$L$37-1),IF($R$17="Distrato",$E480,0)),MIN(AP$38,$D$19),$P$20))-SUM($P480:AO480)</f>
        <v>#VALUE!</v>
      </c>
      <c r="AQ480" s="446" t="e">
        <f>IF(OR($B480="",MIN(AQ$38,$D$19)&lt;MAX($P$34*($B480+IF($R$17="Distrato",$I$38-1,0)),IF(AND($L$37=0,$P$34=0),"",$L$37-1),IF($R$17="Distrato",$E480,0))),0,YEARFRAC(MAX($P$34*($B480+IF($R$17="Distrato",$I$38-1,0)),IF(AND($L$37=0,$P$34=0),"",$L$37-1),IF($R$17="Distrato",$E480,0)),MIN(AQ$38,$D$19),$P$20))-SUM($P480:AP480)</f>
        <v>#VALUE!</v>
      </c>
      <c r="AR480" s="446" t="e">
        <f>IF(OR($B480="",MIN(AR$38,$D$19)&lt;MAX($P$34*($B480+IF($R$17="Distrato",$I$38-1,0)),IF(AND($L$37=0,$P$34=0),"",$L$37-1),IF($R$17="Distrato",$E480,0))),0,YEARFRAC(MAX($P$34*($B480+IF($R$17="Distrato",$I$38-1,0)),IF(AND($L$37=0,$P$34=0),"",$L$37-1),IF($R$17="Distrato",$E480,0)),MIN(AR$38,$D$19),$P$20))-SUM($P480:AQ480)</f>
        <v>#VALUE!</v>
      </c>
      <c r="AS480" s="446" t="e">
        <f>IF(OR($B480="",MIN(AS$38,$D$19)&lt;MAX($P$34*($B480+IF($R$17="Distrato",$I$38-1,0)),IF(AND($L$37=0,$P$34=0),"",$L$37-1),IF($R$17="Distrato",$E480,0))),0,YEARFRAC(MAX($P$34*($B480+IF($R$17="Distrato",$I$38-1,0)),IF(AND($L$37=0,$P$34=0),"",$L$37-1),IF($R$17="Distrato",$E480,0)),MIN(AS$38,$D$19),$P$20))-SUM($P480:AR480)</f>
        <v>#VALUE!</v>
      </c>
      <c r="AT480" s="446" t="e">
        <f>IF(OR($B480="",MIN(AT$38,$D$19)&lt;MAX($P$34*($B480+IF($R$17="Distrato",$I$38-1,0)),IF(AND($L$37=0,$P$34=0),"",$L$37-1),IF($R$17="Distrato",$E480,0))),0,YEARFRAC(MAX($P$34*($B480+IF($R$17="Distrato",$I$38-1,0)),IF(AND($L$37=0,$P$34=0),"",$L$37-1),IF($R$17="Distrato",$E480,0)),MIN(AT$38,$D$19),$P$20))-SUM($P480:AS480)</f>
        <v>#VALUE!</v>
      </c>
      <c r="AU480" s="446" t="e">
        <f>IF(OR($B480="",MIN(AU$38,$D$19)&lt;MAX($P$34*($B480+IF($R$17="Distrato",$I$38-1,0)),IF(AND($L$37=0,$P$34=0),"",$L$37-1),IF($R$17="Distrato",$E480,0))),0,YEARFRAC(MAX($P$34*($B480+IF($R$17="Distrato",$I$38-1,0)),IF(AND($L$37=0,$P$34=0),"",$L$37-1),IF($R$17="Distrato",$E480,0)),MIN(AU$38,$D$19),$P$20))-SUM($P480:AT480)</f>
        <v>#VALUE!</v>
      </c>
      <c r="AV480" s="446" t="e">
        <f>IF(OR($B480="",MIN(AV$38,$D$19)&lt;MAX($P$34*($B480+IF($R$17="Distrato",$I$38-1,0)),IF(AND($L$37=0,$P$34=0),"",$L$37-1),IF($R$17="Distrato",$E480,0))),0,YEARFRAC(MAX($P$34*($B480+IF($R$17="Distrato",$I$38-1,0)),IF(AND($L$37=0,$P$34=0),"",$L$37-1),IF($R$17="Distrato",$E480,0)),MIN(AV$38,$D$19),$P$20))-SUM($P480:AU480)</f>
        <v>#VALUE!</v>
      </c>
      <c r="AW480" s="446" t="e">
        <f>IF(OR($B480="",MIN(AW$38,$D$19)&lt;MAX($P$34*($B480+IF($R$17="Distrato",$I$38-1,0)),IF(AND($L$37=0,$P$34=0),"",$L$37-1),IF($R$17="Distrato",$E480,0))),0,YEARFRAC(MAX($P$34*($B480+IF($R$17="Distrato",$I$38-1,0)),IF(AND($L$37=0,$P$34=0),"",$L$37-1),IF($R$17="Distrato",$E480,0)),MIN(AW$38,$D$19),$P$20))-SUM($P480:AV480)</f>
        <v>#VALUE!</v>
      </c>
      <c r="AX480" s="446" t="e">
        <f>IF(OR($B480="",MIN(AX$38,$D$19)&lt;MAX($P$34*($B480+IF($R$17="Distrato",$I$38-1,0)),IF(AND($L$37=0,$P$34=0),"",$L$37-1),IF($R$17="Distrato",$E480,0))),0,YEARFRAC(MAX($P$34*($B480+IF($R$17="Distrato",$I$38-1,0)),IF(AND($L$37=0,$P$34=0),"",$L$37-1),IF($R$17="Distrato",$E480,0)),MIN(AX$38,$D$19),$P$20))-SUM($P480:AW480)</f>
        <v>#VALUE!</v>
      </c>
      <c r="AY480" s="446" t="e">
        <f>IF(OR($B480="",MIN(AY$38,$D$19)&lt;MAX($P$34*($B480+IF($R$17="Distrato",$I$38-1,0)),IF(AND($L$37=0,$P$34=0),"",$L$37-1),IF($R$17="Distrato",$E480,0))),0,YEARFRAC(MAX($P$34*($B480+IF($R$17="Distrato",$I$38-1,0)),IF(AND($L$37=0,$P$34=0),"",$L$37-1),IF($R$17="Distrato",$E480,0)),MIN(AY$38,$D$19),$P$20))-SUM($P480:AX480)</f>
        <v>#VALUE!</v>
      </c>
      <c r="AZ480" s="446" t="e">
        <f>IF(OR($B480="",MIN(AZ$38,$D$19)&lt;MAX($P$34*($B480+IF($R$17="Distrato",$I$38-1,0)),IF(AND($L$37=0,$P$34=0),"",$L$37-1),IF($R$17="Distrato",$E480,0))),0,YEARFRAC(MAX($P$34*($B480+IF($R$17="Distrato",$I$38-1,0)),IF(AND($L$37=0,$P$34=0),"",$L$37-1),IF($R$17="Distrato",$E480,0)),MIN(AZ$38,$D$19),$P$20))-SUM($P480:AY480)</f>
        <v>#VALUE!</v>
      </c>
      <c r="BA480" s="446" t="e">
        <f>IF(OR($B480="",MIN(BA$38,$D$19)&lt;MAX($P$34*($B480+IF($R$17="Distrato",$I$38-1,0)),IF(AND($L$37=0,$P$34=0),"",$L$37-1),IF($R$17="Distrato",$E480,0))),0,YEARFRAC(MAX($P$34*($B480+IF($R$17="Distrato",$I$38-1,0)),IF(AND($L$37=0,$P$34=0),"",$L$37-1),IF($R$17="Distrato",$E480,0)),MIN(BA$38,$D$19),$P$20))-SUM($P480:AZ480)</f>
        <v>#VALUE!</v>
      </c>
      <c r="BB480" s="447"/>
      <c r="BF480" s="446">
        <f t="shared" si="76"/>
        <v>0</v>
      </c>
      <c r="BG480" s="446">
        <f>IF($E480=0,0,IF(MIN(BG$38,$E480)&lt;MAX($P$34*($B480+$I$38-1),IF(AND($L$37=0,$P$34=0),"",$L$37-1)),0,YEARFRAC(MAX($P$34*($B480+$I$38-1),IF(AND($L$37=0,$P$34=0),"",$L$37-1)),MIN(BG$38,$E480),$P$20))-SUM($BF480:BF480))</f>
        <v>0</v>
      </c>
      <c r="BH480" s="446">
        <f>IF($E480=0,0,IF(MIN(BH$38,$E480)&lt;MAX($P$34*($B480+$I$38-1),IF(AND($L$37=0,$P$34=0),"",$L$37-1)),0,YEARFRAC(MAX($P$34*($B480+$I$38-1),IF(AND($L$37=0,$P$34=0),"",$L$37-1)),MIN(BH$38,$E480),$P$20))-SUM($BF480:BG480))</f>
        <v>0</v>
      </c>
      <c r="BI480" s="446">
        <f>IF($E480=0,0,IF(MIN(BI$38,$E480)&lt;MAX($P$34*($B480+$I$38-1),IF(AND($L$37=0,$P$34=0),"",$L$37-1)),0,YEARFRAC(MAX($P$34*($B480+$I$38-1),IF(AND($L$37=0,$P$34=0),"",$L$37-1)),MIN(BI$38,$E480),$P$20))-SUM($BF480:BH480))</f>
        <v>0</v>
      </c>
      <c r="BJ480" s="446">
        <f>IF($E480=0,0,IF(MIN(BJ$38,$E480)&lt;MAX($P$34*($B480+$I$38-1),IF(AND($L$37=0,$P$34=0),"",$L$37-1)),0,YEARFRAC(MAX($P$34*($B480+$I$38-1),IF(AND($L$37=0,$P$34=0),"",$L$37-1)),MIN(BJ$38,$E480),$P$20))-SUM($BF480:BI480))</f>
        <v>0</v>
      </c>
      <c r="BK480" s="446">
        <f>IF($E480=0,0,IF(MIN(BK$38,$E480)&lt;MAX($P$34*($B480+$I$38-1),IF(AND($L$37=0,$P$34=0),"",$L$37-1)),0,YEARFRAC(MAX($P$34*($B480+$I$38-1),IF(AND($L$37=0,$P$34=0),"",$L$37-1)),MIN(BK$38,$E480),$P$20))-SUM($BF480:BJ480))</f>
        <v>0</v>
      </c>
      <c r="BL480" s="446">
        <f>IF($E480=0,0,IF(MIN(BL$38,$E480)&lt;MAX($P$34*($B480+$I$38-1),IF(AND($L$37=0,$P$34=0),"",$L$37-1)),0,YEARFRAC(MAX($P$34*($B480+$I$38-1),IF(AND($L$37=0,$P$34=0),"",$L$37-1)),MIN(BL$38,$E480),$P$20))-SUM($BF480:BK480))</f>
        <v>0</v>
      </c>
      <c r="BM480" s="446">
        <f>IF($E480=0,0,IF(MIN(BM$38,$E480)&lt;MAX($P$34*($B480+$I$38-1),IF(AND($L$37=0,$P$34=0),"",$L$37-1)),0,YEARFRAC(MAX($P$34*($B480+$I$38-1),IF(AND($L$37=0,$P$34=0),"",$L$37-1)),MIN(BM$38,$E480),$P$20))-SUM($BF480:BL480))</f>
        <v>0</v>
      </c>
      <c r="BN480" s="446">
        <f>IF($E480=0,0,IF(MIN(BN$38,$E480)&lt;MAX($P$34*($B480+$I$38-1),IF(AND($L$37=0,$P$34=0),"",$L$37-1)),0,YEARFRAC(MAX($P$34*($B480+$I$38-1),IF(AND($L$37=0,$P$34=0),"",$L$37-1)),MIN(BN$38,$E480),$P$20))-SUM($BF480:BM480))</f>
        <v>0</v>
      </c>
      <c r="BO480" s="446">
        <f>IF($E480=0,0,IF(MIN(BO$38,$E480)&lt;MAX($P$34*($B480+$I$38-1),IF(AND($L$37=0,$P$34=0),"",$L$37-1)),0,YEARFRAC(MAX($P$34*($B480+$I$38-1),IF(AND($L$37=0,$P$34=0),"",$L$37-1)),MIN(BO$38,$E480),$P$20))-SUM($BF480:BN480))</f>
        <v>0</v>
      </c>
      <c r="BP480" s="446">
        <f>IF($E480=0,0,IF(MIN(BP$38,$E480)&lt;MAX($P$34*($B480+$I$38-1),IF(AND($L$37=0,$P$34=0),"",$L$37-1)),0,YEARFRAC(MAX($P$34*($B480+$I$38-1),IF(AND($L$37=0,$P$34=0),"",$L$37-1)),MIN(BP$38,$E480),$P$20))-SUM($BF480:BO480))</f>
        <v>0</v>
      </c>
      <c r="BQ480" s="446">
        <f>IF($E480=0,0,IF(MIN(BQ$38,$E480)&lt;MAX($P$34*($B480+$I$38-1),IF(AND($L$37=0,$P$34=0),"",$L$37-1)),0,YEARFRAC(MAX($P$34*($B480+$I$38-1),IF(AND($L$37=0,$P$34=0),"",$L$37-1)),MIN(BQ$38,$E480),$P$20))-SUM($BF480:BP480))</f>
        <v>0</v>
      </c>
      <c r="BR480" s="446">
        <f>IF($E480=0,0,IF(MIN(BR$38,$E480)&lt;MAX($P$34*($B480+$I$38-1),IF(AND($L$37=0,$P$34=0),"",$L$37-1)),0,YEARFRAC(MAX($P$34*($B480+$I$38-1),IF(AND($L$37=0,$P$34=0),"",$L$37-1)),MIN(BR$38,$E480),$P$20))-SUM($BF480:BQ480))</f>
        <v>0</v>
      </c>
      <c r="BS480" s="446">
        <f>IF($E480=0,0,IF(MIN(BS$38,$E480)&lt;MAX($P$34*($B480+$I$38-1),IF(AND($L$37=0,$P$34=0),"",$L$37-1)),0,YEARFRAC(MAX($P$34*($B480+$I$38-1),IF(AND($L$37=0,$P$34=0),"",$L$37-1)),MIN(BS$38,$E480),$P$20))-SUM($BF480:BR480))</f>
        <v>0</v>
      </c>
      <c r="BT480" s="446">
        <f>IF($E480=0,0,IF(MIN(BT$38,$E480)&lt;MAX($P$34*($B480+$I$38-1),IF(AND($L$37=0,$P$34=0),"",$L$37-1)),0,YEARFRAC(MAX($P$34*($B480+$I$38-1),IF(AND($L$37=0,$P$34=0),"",$L$37-1)),MIN(BT$38,$E480),$P$20))-SUM($BF480:BS480))</f>
        <v>0</v>
      </c>
      <c r="BU480" s="446">
        <f>IF($E480=0,0,IF(MIN(BU$38,$E480)&lt;MAX($P$34*($B480+$I$38-1),IF(AND($L$37=0,$P$34=0),"",$L$37-1)),0,YEARFRAC(MAX($P$34*($B480+$I$38-1),IF(AND($L$37=0,$P$34=0),"",$L$37-1)),MIN(BU$38,$E480),$P$20))-SUM($BF480:BT480))</f>
        <v>0</v>
      </c>
      <c r="BV480" s="446">
        <f>IF($E480=0,0,IF(MIN(BV$38,$E480)&lt;MAX($P$34*($B480+$I$38-1),IF(AND($L$37=0,$P$34=0),"",$L$37-1)),0,YEARFRAC(MAX($P$34*($B480+$I$38-1),IF(AND($L$37=0,$P$34=0),"",$L$37-1)),MIN(BV$38,$E480),$P$20))-SUM($BF480:BU480))</f>
        <v>0</v>
      </c>
      <c r="BW480" s="446">
        <f>IF($E480=0,0,IF(MIN(BW$38,$E480)&lt;MAX($P$34*($B480+$I$38-1),IF(AND($L$37=0,$P$34=0),"",$L$37-1)),0,YEARFRAC(MAX($P$34*($B480+$I$38-1),IF(AND($L$37=0,$P$34=0),"",$L$37-1)),MIN(BW$38,$E480),$P$20))-SUM($BF480:BV480))</f>
        <v>0</v>
      </c>
      <c r="BX480" s="446">
        <f>IF($E480=0,0,IF(MIN(BX$38,$E480)&lt;MAX($P$34*($B480+$I$38-1),IF(AND($L$37=0,$P$34=0),"",$L$37-1)),0,YEARFRAC(MAX($P$34*($B480+$I$38-1),IF(AND($L$37=0,$P$34=0),"",$L$37-1)),MIN(BX$38,$E480),$P$20))-SUM($BF480:BW480))</f>
        <v>0</v>
      </c>
      <c r="BY480" s="446">
        <f>IF($E480=0,0,IF(MIN(BY$38,$E480)&lt;MAX($P$34*($B480+$I$38-1),IF(AND($L$37=0,$P$34=0),"",$L$37-1)),0,YEARFRAC(MAX($P$34*($B480+$I$38-1),IF(AND($L$37=0,$P$34=0),"",$L$37-1)),MIN(BY$38,$E480),$P$20))-SUM($BF480:BX480))</f>
        <v>0</v>
      </c>
      <c r="BZ480" s="446">
        <f>IF($E480=0,0,IF(MIN(BZ$38,$E480)&lt;MAX($P$34*($B480+$I$38-1),IF(AND($L$37=0,$P$34=0),"",$L$37-1)),0,YEARFRAC(MAX($P$34*($B480+$I$38-1),IF(AND($L$37=0,$P$34=0),"",$L$37-1)),MIN(BZ$38,$E480),$P$20))-SUM($BF480:BY480))</f>
        <v>0</v>
      </c>
      <c r="CA480" s="446">
        <f>IF($E480=0,0,IF(MIN(CA$38,$E480)&lt;MAX($P$34*($B480+$I$38-1),IF(AND($L$37=0,$P$34=0),"",$L$37-1)),0,YEARFRAC(MAX($P$34*($B480+$I$38-1),IF(AND($L$37=0,$P$34=0),"",$L$37-1)),MIN(CA$38,$E480),$P$20))-SUM($BF480:BZ480))</f>
        <v>0</v>
      </c>
      <c r="CB480" s="446">
        <f>IF($E480=0,0,IF(MIN(CB$38,$E480)&lt;MAX($P$34*($B480+$I$38-1),IF(AND($L$37=0,$P$34=0),"",$L$37-1)),0,YEARFRAC(MAX($P$34*($B480+$I$38-1),IF(AND($L$37=0,$P$34=0),"",$L$37-1)),MIN(CB$38,$E480),$P$20))-SUM($BF480:CA480))</f>
        <v>0</v>
      </c>
      <c r="CC480" s="446">
        <f>IF($E480=0,0,IF(MIN(CC$38,$E480)&lt;MAX($P$34*($B480+$I$38-1),IF(AND($L$37=0,$P$34=0),"",$L$37-1)),0,YEARFRAC(MAX($P$34*($B480+$I$38-1),IF(AND($L$37=0,$P$34=0),"",$L$37-1)),MIN(CC$38,$E480),$P$20))-SUM($BF480:CB480))</f>
        <v>0</v>
      </c>
      <c r="CD480" s="446">
        <f>IF($E480=0,0,IF(MIN(CD$38,$E480)&lt;MAX($P$34*($B480+$I$38-1),IF(AND($L$37=0,$P$34=0),"",$L$37-1)),0,YEARFRAC(MAX($P$34*($B480+$I$38-1),IF(AND($L$37=0,$P$34=0),"",$L$37-1)),MIN(CD$38,$E480),$P$20))-SUM($BF480:CC480))</f>
        <v>0</v>
      </c>
      <c r="CE480" s="446">
        <f>IF($E480=0,0,IF(MIN(CE$38,$E480)&lt;MAX($P$34*($B480+$I$38-1),IF(AND($L$37=0,$P$34=0),"",$L$37-1)),0,YEARFRAC(MAX($P$34*($B480+$I$38-1),IF(AND($L$37=0,$P$34=0),"",$L$37-1)),MIN(CE$38,$E480),$P$20))-SUM($BF480:CD480))</f>
        <v>0</v>
      </c>
      <c r="CF480" s="446">
        <f>IF($E480=0,0,IF(MIN(CF$38,$E480)&lt;MAX($P$34*($B480+$I$38-1),IF(AND($L$37=0,$P$34=0),"",$L$37-1)),0,YEARFRAC(MAX($P$34*($B480+$I$38-1),IF(AND($L$37=0,$P$34=0),"",$L$37-1)),MIN(CF$38,$E480),$P$20))-SUM($BF480:CE480))</f>
        <v>0</v>
      </c>
      <c r="CG480" s="446">
        <f>IF($E480=0,0,IF(MIN(CG$38,$E480)&lt;MAX($P$34*($B480+$I$38-1),IF(AND($L$37=0,$P$34=0),"",$L$37-1)),0,YEARFRAC(MAX($P$34*($B480+$I$38-1),IF(AND($L$37=0,$P$34=0),"",$L$37-1)),MIN(CG$38,$E480),$P$20))-SUM($BF480:CF480))</f>
        <v>0</v>
      </c>
      <c r="CH480" s="446">
        <f>IF($E480=0,0,IF(MIN(CH$38,$E480)&lt;MAX($P$34*($B480+$I$38-1),IF(AND($L$37=0,$P$34=0),"",$L$37-1)),0,YEARFRAC(MAX($P$34*($B480+$I$38-1),IF(AND($L$37=0,$P$34=0),"",$L$37-1)),MIN(CH$38,$E480),$P$20))-SUM($BF480:CG480))</f>
        <v>0</v>
      </c>
      <c r="CI480" s="446">
        <f>IF($E480=0,0,IF(MIN(CI$38,$E480)&lt;MAX($P$34*($B480+$I$38-1),IF(AND($L$37=0,$P$34=0),"",$L$37-1)),0,YEARFRAC(MAX($P$34*($B480+$I$38-1),IF(AND($L$37=0,$P$34=0),"",$L$37-1)),MIN(CI$38,$E480),$P$20))-SUM($BF480:CH480))</f>
        <v>0</v>
      </c>
      <c r="CJ480" s="446">
        <f>IF($E480=0,0,IF(MIN(CJ$38,$E480)&lt;MAX($P$34*($B480+$I$38-1),IF(AND($L$37=0,$P$34=0),"",$L$37-1)),0,YEARFRAC(MAX($P$34*($B480+$I$38-1),IF(AND($L$37=0,$P$34=0),"",$L$37-1)),MIN(CJ$38,$E480),$P$20))-SUM($BF480:CI480))</f>
        <v>0</v>
      </c>
      <c r="CK480" s="446">
        <f>IF($E480=0,0,IF(MIN(CK$38,$E480)&lt;MAX($P$34*($B480+$I$38-1),IF(AND($L$37=0,$P$34=0),"",$L$37-1)),0,YEARFRAC(MAX($P$34*($B480+$I$38-1),IF(AND($L$37=0,$P$34=0),"",$L$37-1)),MIN(CK$38,$E480),$P$20))-SUM($BF480:CJ480))</f>
        <v>0</v>
      </c>
      <c r="CL480" s="446">
        <f>IF($E480=0,0,IF(MIN(CL$38,$E480)&lt;MAX($P$34*($B480+$I$38-1),IF(AND($L$37=0,$P$34=0),"",$L$37-1)),0,YEARFRAC(MAX($P$34*($B480+$I$38-1),IF(AND($L$37=0,$P$34=0),"",$L$37-1)),MIN(CL$38,$E480),$P$20))-SUM($BF480:CK480))</f>
        <v>0</v>
      </c>
      <c r="CM480" s="446">
        <f>IF($E480=0,0,IF(MIN(CM$38,$E480)&lt;MAX($P$34*($B480+$I$38-1),IF(AND($L$37=0,$P$34=0),"",$L$37-1)),0,YEARFRAC(MAX($P$34*($B480+$I$38-1),IF(AND($L$37=0,$P$34=0),"",$L$37-1)),MIN(CM$38,$E480),$P$20))-SUM($BF480:CL480))</f>
        <v>0</v>
      </c>
      <c r="CN480" s="446">
        <f>IF($E480=0,0,IF(MIN(CN$38,$E480)&lt;MAX($P$34*($B480+$I$38-1),IF(AND($L$37=0,$P$34=0),"",$L$37-1)),0,YEARFRAC(MAX($P$34*($B480+$I$38-1),IF(AND($L$37=0,$P$34=0),"",$L$37-1)),MIN(CN$38,$E480),$P$20))-SUM($BF480:CM480))</f>
        <v>0</v>
      </c>
      <c r="CO480" s="446">
        <f>IF($E480=0,0,IF(MIN(CO$38,$E480)&lt;MAX($P$34*($B480+$I$38-1),IF(AND($L$37=0,$P$34=0),"",$L$37-1)),0,YEARFRAC(MAX($P$34*($B480+$I$38-1),IF(AND($L$37=0,$P$34=0),"",$L$37-1)),MIN(CO$38,$E480),$P$20))-SUM($BF480:CN480))</f>
        <v>0</v>
      </c>
      <c r="CP480" s="446">
        <f>IF($E480=0,0,IF(MIN(CP$38,$E480)&lt;MAX($P$34*($B480+$I$38-1),IF(AND($L$37=0,$P$34=0),"",$L$37-1)),0,YEARFRAC(MAX($P$34*($B480+$I$38-1),IF(AND($L$37=0,$P$34=0),"",$L$37-1)),MIN(CP$38,$E480),$P$20))-SUM($BF480:CO480))</f>
        <v>0</v>
      </c>
      <c r="CQ480" s="446">
        <f>IF($E480=0,0,IF(MIN(CQ$38,$E480)&lt;MAX($P$34*($B480+$I$38-1),IF(AND($L$37=0,$P$34=0),"",$L$37-1)),0,YEARFRAC(MAX($P$34*($B480+$I$38-1),IF(AND($L$37=0,$P$34=0),"",$L$37-1)),MIN(CQ$38,$E480),$P$20))-SUM($BF480:CP480))</f>
        <v>0</v>
      </c>
    </row>
    <row r="481" spans="1:95" s="446" customFormat="1" ht="11.25" hidden="1" customHeight="1" x14ac:dyDescent="0.2">
      <c r="A481" s="152"/>
      <c r="B481" s="153" t="str">
        <f t="shared" si="81"/>
        <v/>
      </c>
      <c r="C481" s="29" t="str">
        <f>IF(B481="","",IF($L$35="SELIC - TRIBUTOS",VLOOKUP(DATE(YEAR($D$19),MONTH($D$19)-1,1),ÍNDICES!$A:$DE,HLOOKUP($BL$25,ÍNDICES!$B$3:$T$4,2)+11)-VLOOKUP(B481,ÍNDICES!$A:$DE,HLOOKUP($BL$25,ÍNDICES!$B$3:$T$4,2)+11)+1%,IF(C$38=$W$26,$J$35,IF(ISERROR(IF(B481&gt;$D$19,1,VLOOKUP(DATE(YEAR(B481),MONTH(B481)+IF($C$35=$S$23,1,0),1),ÍNDICES!$A:$DE,$Z$35+1))),"",IF(B481&gt;$D$19,1,VLOOKUP(DATE(YEAR(B481),MONTH(B481)+IF($C$35=$S$23,1,0),1),ÍNDICES!$A:$DE,$Z$35+1))))))</f>
        <v/>
      </c>
      <c r="D481" s="154" t="str">
        <f>IF(ISERROR(IF(OR($D$38=$Y$27,$B481=""),"",VLOOKUP(B481,ÍNDICES!A:DE,AF$35+1))),"",IF(OR($D$38=$Y$27,$B481=""),"",VLOOKUP(B481,ÍNDICES!A:DE,AF$35+1)))</f>
        <v/>
      </c>
      <c r="E481" s="153"/>
      <c r="F481" s="29" t="str">
        <f>IF(E481="","",IF($L$35="SELIC - TRIBUTOS",VLOOKUP(DATE(YEAR($D$19),MONTH($D$19)-1,1),ÍNDICES!$A:$DE,HLOOKUP($BL$25,ÍNDICES!$B$3:$T$4,2)+11)-VLOOKUP(E481,ÍNDICES!$A:$DE,HLOOKUP($BL$25,ÍNDICES!$B$3:$T$4,2)+11)+1%,IF(F$38=$W$26,$J$35,IF(ISERROR(IF(E481&gt;$D$19,1,VLOOKUP(DATE(YEAR(E481),MONTH(E481)+IF($C$35=$S$23,1,0),1),ÍNDICES!$A:$DE,$Z$35+1))),"",IF(E481&gt;$D$19,1,VLOOKUP(DATE(YEAR(E481),MONTH(E481)+IF($C$35=$S$23,1,0),1),ÍNDICES!$A:$DE,$Z$35+1))))))</f>
        <v/>
      </c>
      <c r="G481" s="155"/>
      <c r="H481" s="156" t="str">
        <f t="shared" si="77"/>
        <v/>
      </c>
      <c r="I481" s="29" t="str">
        <f t="shared" si="71"/>
        <v/>
      </c>
      <c r="J481" s="5">
        <f t="shared" si="72"/>
        <v>0</v>
      </c>
      <c r="K481" s="20">
        <f t="shared" ca="1" si="73"/>
        <v>0</v>
      </c>
      <c r="L481" s="5">
        <f t="shared" ca="1" si="74"/>
        <v>0</v>
      </c>
      <c r="M481" s="64">
        <f t="shared" si="78"/>
        <v>0</v>
      </c>
      <c r="N481" s="61">
        <f t="shared" ca="1" si="79"/>
        <v>0</v>
      </c>
      <c r="O481" s="5">
        <f t="shared" ca="1" si="80"/>
        <v>0</v>
      </c>
      <c r="P481" s="446" t="e">
        <f t="shared" si="75"/>
        <v>#VALUE!</v>
      </c>
      <c r="Q481" s="446" t="e">
        <f>IF(OR($B481="",MIN(Q$38,$D$19)&lt;MAX($P$34*($B481+IF($R$17="Distrato",$I$38-1,0)),IF(AND($L$37=0,$P$34=0),"",$L$37-1),IF($R$17="Distrato",$E481,0))),0,YEARFRAC(MAX($P$34*($B481+IF($R$17="Distrato",$I$38-1,0)),IF(AND($L$37=0,$P$34=0),"",$L$37-1),IF($R$17="Distrato",$E481,0)),MIN(Q$38,$D$19),$P$20))-SUM($P481:P481)</f>
        <v>#VALUE!</v>
      </c>
      <c r="R481" s="446" t="e">
        <f>IF(OR($B481="",MIN(R$38,$D$19)&lt;MAX($P$34*($B481+IF($R$17="Distrato",$I$38-1,0)),IF(AND($L$37=0,$P$34=0),"",$L$37-1),IF($R$17="Distrato",$E481,0))),0,YEARFRAC(MAX($P$34*($B481+IF($R$17="Distrato",$I$38-1,0)),IF(AND($L$37=0,$P$34=0),"",$L$37-1),IF($R$17="Distrato",$E481,0)),MIN(R$38,$D$19),$P$20))-SUM($P481:Q481)</f>
        <v>#VALUE!</v>
      </c>
      <c r="S481" s="446" t="e">
        <f>IF(OR($B481="",MIN(S$38,$D$19)&lt;MAX($P$34*($B481+IF($R$17="Distrato",$I$38-1,0)),IF(AND($L$37=0,$P$34=0),"",$L$37-1),IF($R$17="Distrato",$E481,0))),0,YEARFRAC(MAX($P$34*($B481+IF($R$17="Distrato",$I$38-1,0)),IF(AND($L$37=0,$P$34=0),"",$L$37-1),IF($R$17="Distrato",$E481,0)),MIN(S$38,$D$19),$P$20))-SUM($P481:R481)</f>
        <v>#VALUE!</v>
      </c>
      <c r="T481" s="446" t="e">
        <f>IF(OR($B481="",MIN(T$38,$D$19)&lt;MAX($P$34*($B481+IF($R$17="Distrato",$I$38-1,0)),IF(AND($L$37=0,$P$34=0),"",$L$37-1),IF($R$17="Distrato",$E481,0))),0,YEARFRAC(MAX($P$34*($B481+IF($R$17="Distrato",$I$38-1,0)),IF(AND($L$37=0,$P$34=0),"",$L$37-1),IF($R$17="Distrato",$E481,0)),MIN(T$38,$D$19),$P$20))-SUM($P481:S481)</f>
        <v>#VALUE!</v>
      </c>
      <c r="U481" s="446" t="e">
        <f>IF(OR($B481="",MIN(U$38,$D$19)&lt;MAX($P$34*($B481+IF($R$17="Distrato",$I$38-1,0)),IF(AND($L$37=0,$P$34=0),"",$L$37-1),IF($R$17="Distrato",$E481,0))),0,YEARFRAC(MAX($P$34*($B481+IF($R$17="Distrato",$I$38-1,0)),IF(AND($L$37=0,$P$34=0),"",$L$37-1),IF($R$17="Distrato",$E481,0)),MIN(U$38,$D$19),$P$20))-SUM($P481:T481)</f>
        <v>#VALUE!</v>
      </c>
      <c r="V481" s="446" t="e">
        <f>IF(OR($B481="",MIN(V$38,$D$19)&lt;MAX($P$34*($B481+IF($R$17="Distrato",$I$38-1,0)),IF(AND($L$37=0,$P$34=0),"",$L$37-1),IF($R$17="Distrato",$E481,0))),0,YEARFRAC(MAX($P$34*($B481+IF($R$17="Distrato",$I$38-1,0)),IF(AND($L$37=0,$P$34=0),"",$L$37-1),IF($R$17="Distrato",$E481,0)),MIN(V$38,$D$19),$P$20))-SUM($P481:U481)</f>
        <v>#VALUE!</v>
      </c>
      <c r="W481" s="446" t="e">
        <f>IF(OR($B481="",MIN(W$38,$D$19)&lt;MAX($P$34*($B481+IF($R$17="Distrato",$I$38-1,0)),IF(AND($L$37=0,$P$34=0),"",$L$37-1),IF($R$17="Distrato",$E481,0))),0,YEARFRAC(MAX($P$34*($B481+IF($R$17="Distrato",$I$38-1,0)),IF(AND($L$37=0,$P$34=0),"",$L$37-1),IF($R$17="Distrato",$E481,0)),MIN(W$38,$D$19),$P$20))-SUM($P481:V481)</f>
        <v>#VALUE!</v>
      </c>
      <c r="X481" s="446" t="e">
        <f>IF(OR($B481="",MIN(X$38,$D$19)&lt;MAX($P$34*($B481+IF($R$17="Distrato",$I$38-1,0)),IF(AND($L$37=0,$P$34=0),"",$L$37-1),IF($R$17="Distrato",$E481,0))),0,YEARFRAC(MAX($P$34*($B481+IF($R$17="Distrato",$I$38-1,0)),IF(AND($L$37=0,$P$34=0),"",$L$37-1),IF($R$17="Distrato",$E481,0)),MIN(X$38,$D$19),$P$20))-SUM($P481:W481)</f>
        <v>#VALUE!</v>
      </c>
      <c r="Y481" s="446" t="e">
        <f>IF(OR($B481="",MIN(Y$38,$D$19)&lt;MAX($P$34*($B481+IF($R$17="Distrato",$I$38-1,0)),IF(AND($L$37=0,$P$34=0),"",$L$37-1),IF($R$17="Distrato",$E481,0))),0,YEARFRAC(MAX($P$34*($B481+IF($R$17="Distrato",$I$38-1,0)),IF(AND($L$37=0,$P$34=0),"",$L$37-1),IF($R$17="Distrato",$E481,0)),MIN(Y$38,$D$19),$P$20))-SUM($P481:X481)</f>
        <v>#VALUE!</v>
      </c>
      <c r="Z481" s="446" t="e">
        <f>IF(OR($B481="",MIN(Z$38,$D$19)&lt;MAX($P$34*($B481+IF($R$17="Distrato",$I$38-1,0)),IF(AND($L$37=0,$P$34=0),"",$L$37-1),IF($R$17="Distrato",$E481,0))),0,YEARFRAC(MAX($P$34*($B481+IF($R$17="Distrato",$I$38-1,0)),IF(AND($L$37=0,$P$34=0),"",$L$37-1),IF($R$17="Distrato",$E481,0)),MIN(Z$38,$D$19),$P$20))-SUM($P481:Y481)</f>
        <v>#VALUE!</v>
      </c>
      <c r="AA481" s="446" t="e">
        <f>IF(OR($B481="",MIN(AA$38,$D$19)&lt;MAX($P$34*($B481+IF($R$17="Distrato",$I$38-1,0)),IF(AND($L$37=0,$P$34=0),"",$L$37-1),IF($R$17="Distrato",$E481,0))),0,YEARFRAC(MAX($P$34*($B481+IF($R$17="Distrato",$I$38-1,0)),IF(AND($L$37=0,$P$34=0),"",$L$37-1),IF($R$17="Distrato",$E481,0)),MIN(AA$38,$D$19),$P$20))-SUM($P481:Z481)</f>
        <v>#VALUE!</v>
      </c>
      <c r="AB481" s="446" t="e">
        <f>IF(OR($B481="",MIN(AB$38,$D$19)&lt;MAX($P$34*($B481+IF($R$17="Distrato",$I$38-1,0)),IF(AND($L$37=0,$P$34=0),"",$L$37-1),IF($R$17="Distrato",$E481,0))),0,YEARFRAC(MAX($P$34*($B481+IF($R$17="Distrato",$I$38-1,0)),IF(AND($L$37=0,$P$34=0),"",$L$37-1),IF($R$17="Distrato",$E481,0)),MIN(AB$38,$D$19),$P$20))-SUM($P481:AA481)</f>
        <v>#VALUE!</v>
      </c>
      <c r="AC481" s="446" t="e">
        <f>IF(OR($B481="",MIN(AC$38,$D$19)&lt;MAX($P$34*($B481+IF($R$17="Distrato",$I$38-1,0)),IF(AND($L$37=0,$P$34=0),"",$L$37-1),IF($R$17="Distrato",$E481,0))),0,YEARFRAC(MAX($P$34*($B481+IF($R$17="Distrato",$I$38-1,0)),IF(AND($L$37=0,$P$34=0),"",$L$37-1),IF($R$17="Distrato",$E481,0)),MIN(AC$38,$D$19),$P$20))-SUM($P481:AB481)</f>
        <v>#VALUE!</v>
      </c>
      <c r="AD481" s="446" t="e">
        <f>IF(OR($B481="",MIN(AD$38,$D$19)&lt;MAX($P$34*($B481+IF($R$17="Distrato",$I$38-1,0)),IF(AND($L$37=0,$P$34=0),"",$L$37-1),IF($R$17="Distrato",$E481,0))),0,YEARFRAC(MAX($P$34*($B481+IF($R$17="Distrato",$I$38-1,0)),IF(AND($L$37=0,$P$34=0),"",$L$37-1),IF($R$17="Distrato",$E481,0)),MIN(AD$38,$D$19),$P$20))-SUM($P481:AC481)</f>
        <v>#VALUE!</v>
      </c>
      <c r="AE481" s="446" t="e">
        <f>IF(OR($B481="",MIN(AE$38,$D$19)&lt;MAX($P$34*($B481+IF($R$17="Distrato",$I$38-1,0)),IF(AND($L$37=0,$P$34=0),"",$L$37-1),IF($R$17="Distrato",$E481,0))),0,YEARFRAC(MAX($P$34*($B481+IF($R$17="Distrato",$I$38-1,0)),IF(AND($L$37=0,$P$34=0),"",$L$37-1),IF($R$17="Distrato",$E481,0)),MIN(AE$38,$D$19),$P$20))-SUM($P481:AD481)</f>
        <v>#VALUE!</v>
      </c>
      <c r="AF481" s="446" t="e">
        <f>IF(OR($B481="",MIN(AF$38,$D$19)&lt;MAX($P$34*($B481+IF($R$17="Distrato",$I$38-1,0)),IF(AND($L$37=0,$P$34=0),"",$L$37-1),IF($R$17="Distrato",$E481,0))),0,YEARFRAC(MAX($P$34*($B481+IF($R$17="Distrato",$I$38-1,0)),IF(AND($L$37=0,$P$34=0),"",$L$37-1),IF($R$17="Distrato",$E481,0)),MIN(AF$38,$D$19),$P$20))-SUM($P481:AE481)</f>
        <v>#VALUE!</v>
      </c>
      <c r="AG481" s="446" t="e">
        <f>IF(OR($B481="",MIN(AG$38,$D$19)&lt;MAX($P$34*($B481+IF($R$17="Distrato",$I$38-1,0)),IF(AND($L$37=0,$P$34=0),"",$L$37-1),IF($R$17="Distrato",$E481,0))),0,YEARFRAC(MAX($P$34*($B481+IF($R$17="Distrato",$I$38-1,0)),IF(AND($L$37=0,$P$34=0),"",$L$37-1),IF($R$17="Distrato",$E481,0)),MIN(AG$38,$D$19),$P$20))-SUM($P481:AF481)</f>
        <v>#VALUE!</v>
      </c>
      <c r="AH481" s="446" t="e">
        <f>IF(OR($B481="",MIN(AH$38,$D$19)&lt;MAX($P$34*($B481+IF($R$17="Distrato",$I$38-1,0)),IF(AND($L$37=0,$P$34=0),"",$L$37-1),IF($R$17="Distrato",$E481,0))),0,YEARFRAC(MAX($P$34*($B481+IF($R$17="Distrato",$I$38-1,0)),IF(AND($L$37=0,$P$34=0),"",$L$37-1),IF($R$17="Distrato",$E481,0)),MIN(AH$38,$D$19),$P$20))-SUM($P481:AG481)</f>
        <v>#VALUE!</v>
      </c>
      <c r="AI481" s="446" t="e">
        <f>IF(OR($B481="",MIN(AI$38,$D$19)&lt;MAX($P$34*($B481+IF($R$17="Distrato",$I$38-1,0)),IF(AND($L$37=0,$P$34=0),"",$L$37-1),IF($R$17="Distrato",$E481,0))),0,YEARFRAC(MAX($P$34*($B481+IF($R$17="Distrato",$I$38-1,0)),IF(AND($L$37=0,$P$34=0),"",$L$37-1),IF($R$17="Distrato",$E481,0)),MIN(AI$38,$D$19),$P$20))-SUM($P481:AH481)</f>
        <v>#VALUE!</v>
      </c>
      <c r="AJ481" s="446" t="e">
        <f>IF(OR($B481="",MIN(AJ$38,$D$19)&lt;MAX($P$34*($B481+IF($R$17="Distrato",$I$38-1,0)),IF(AND($L$37=0,$P$34=0),"",$L$37-1),IF($R$17="Distrato",$E481,0))),0,YEARFRAC(MAX($P$34*($B481+IF($R$17="Distrato",$I$38-1,0)),IF(AND($L$37=0,$P$34=0),"",$L$37-1),IF($R$17="Distrato",$E481,0)),MIN(AJ$38,$D$19),$P$20))-SUM($P481:AI481)</f>
        <v>#VALUE!</v>
      </c>
      <c r="AK481" s="446" t="e">
        <f>IF(OR($B481="",MIN(AK$38,$D$19)&lt;MAX($P$34*($B481+IF($R$17="Distrato",$I$38-1,0)),IF(AND($L$37=0,$P$34=0),"",$L$37-1),IF($R$17="Distrato",$E481,0))),0,YEARFRAC(MAX($P$34*($B481+IF($R$17="Distrato",$I$38-1,0)),IF(AND($L$37=0,$P$34=0),"",$L$37-1),IF($R$17="Distrato",$E481,0)),MIN(AK$38,$D$19),$P$20))-SUM($P481:AJ481)</f>
        <v>#VALUE!</v>
      </c>
      <c r="AL481" s="446" t="e">
        <f>IF(OR($B481="",MIN(AL$38,$D$19)&lt;MAX($P$34*($B481+IF($R$17="Distrato",$I$38-1,0)),IF(AND($L$37=0,$P$34=0),"",$L$37-1),IF($R$17="Distrato",$E481,0))),0,YEARFRAC(MAX($P$34*($B481+IF($R$17="Distrato",$I$38-1,0)),IF(AND($L$37=0,$P$34=0),"",$L$37-1),IF($R$17="Distrato",$E481,0)),MIN(AL$38,$D$19),$P$20))-SUM($P481:AK481)</f>
        <v>#VALUE!</v>
      </c>
      <c r="AM481" s="446" t="e">
        <f>IF(OR($B481="",MIN(AM$38,$D$19)&lt;MAX($P$34*($B481+IF($R$17="Distrato",$I$38-1,0)),IF(AND($L$37=0,$P$34=0),"",$L$37-1),IF($R$17="Distrato",$E481,0))),0,YEARFRAC(MAX($P$34*($B481+IF($R$17="Distrato",$I$38-1,0)),IF(AND($L$37=0,$P$34=0),"",$L$37-1),IF($R$17="Distrato",$E481,0)),MIN(AM$38,$D$19),$P$20))-SUM($P481:AL481)</f>
        <v>#VALUE!</v>
      </c>
      <c r="AN481" s="446" t="e">
        <f>IF(OR($B481="",MIN(AN$38,$D$19)&lt;MAX($P$34*($B481+IF($R$17="Distrato",$I$38-1,0)),IF(AND($L$37=0,$P$34=0),"",$L$37-1),IF($R$17="Distrato",$E481,0))),0,YEARFRAC(MAX($P$34*($B481+IF($R$17="Distrato",$I$38-1,0)),IF(AND($L$37=0,$P$34=0),"",$L$37-1),IF($R$17="Distrato",$E481,0)),MIN(AN$38,$D$19),$P$20))-SUM($P481:AM481)</f>
        <v>#VALUE!</v>
      </c>
      <c r="AO481" s="446" t="e">
        <f>IF(OR($B481="",MIN(AO$38,$D$19)&lt;MAX($P$34*($B481+IF($R$17="Distrato",$I$38-1,0)),IF(AND($L$37=0,$P$34=0),"",$L$37-1),IF($R$17="Distrato",$E481,0))),0,YEARFRAC(MAX($P$34*($B481+IF($R$17="Distrato",$I$38-1,0)),IF(AND($L$37=0,$P$34=0),"",$L$37-1),IF($R$17="Distrato",$E481,0)),MIN(AO$38,$D$19),$P$20))-SUM($P481:AN481)</f>
        <v>#VALUE!</v>
      </c>
      <c r="AP481" s="446" t="e">
        <f>IF(OR($B481="",MIN(AP$38,$D$19)&lt;MAX($P$34*($B481+IF($R$17="Distrato",$I$38-1,0)),IF(AND($L$37=0,$P$34=0),"",$L$37-1),IF($R$17="Distrato",$E481,0))),0,YEARFRAC(MAX($P$34*($B481+IF($R$17="Distrato",$I$38-1,0)),IF(AND($L$37=0,$P$34=0),"",$L$37-1),IF($R$17="Distrato",$E481,0)),MIN(AP$38,$D$19),$P$20))-SUM($P481:AO481)</f>
        <v>#VALUE!</v>
      </c>
      <c r="AQ481" s="446" t="e">
        <f>IF(OR($B481="",MIN(AQ$38,$D$19)&lt;MAX($P$34*($B481+IF($R$17="Distrato",$I$38-1,0)),IF(AND($L$37=0,$P$34=0),"",$L$37-1),IF($R$17="Distrato",$E481,0))),0,YEARFRAC(MAX($P$34*($B481+IF($R$17="Distrato",$I$38-1,0)),IF(AND($L$37=0,$P$34=0),"",$L$37-1),IF($R$17="Distrato",$E481,0)),MIN(AQ$38,$D$19),$P$20))-SUM($P481:AP481)</f>
        <v>#VALUE!</v>
      </c>
      <c r="AR481" s="446" t="e">
        <f>IF(OR($B481="",MIN(AR$38,$D$19)&lt;MAX($P$34*($B481+IF($R$17="Distrato",$I$38-1,0)),IF(AND($L$37=0,$P$34=0),"",$L$37-1),IF($R$17="Distrato",$E481,0))),0,YEARFRAC(MAX($P$34*($B481+IF($R$17="Distrato",$I$38-1,0)),IF(AND($L$37=0,$P$34=0),"",$L$37-1),IF($R$17="Distrato",$E481,0)),MIN(AR$38,$D$19),$P$20))-SUM($P481:AQ481)</f>
        <v>#VALUE!</v>
      </c>
      <c r="AS481" s="446" t="e">
        <f>IF(OR($B481="",MIN(AS$38,$D$19)&lt;MAX($P$34*($B481+IF($R$17="Distrato",$I$38-1,0)),IF(AND($L$37=0,$P$34=0),"",$L$37-1),IF($R$17="Distrato",$E481,0))),0,YEARFRAC(MAX($P$34*($B481+IF($R$17="Distrato",$I$38-1,0)),IF(AND($L$37=0,$P$34=0),"",$L$37-1),IF($R$17="Distrato",$E481,0)),MIN(AS$38,$D$19),$P$20))-SUM($P481:AR481)</f>
        <v>#VALUE!</v>
      </c>
      <c r="AT481" s="446" t="e">
        <f>IF(OR($B481="",MIN(AT$38,$D$19)&lt;MAX($P$34*($B481+IF($R$17="Distrato",$I$38-1,0)),IF(AND($L$37=0,$P$34=0),"",$L$37-1),IF($R$17="Distrato",$E481,0))),0,YEARFRAC(MAX($P$34*($B481+IF($R$17="Distrato",$I$38-1,0)),IF(AND($L$37=0,$P$34=0),"",$L$37-1),IF($R$17="Distrato",$E481,0)),MIN(AT$38,$D$19),$P$20))-SUM($P481:AS481)</f>
        <v>#VALUE!</v>
      </c>
      <c r="AU481" s="446" t="e">
        <f>IF(OR($B481="",MIN(AU$38,$D$19)&lt;MAX($P$34*($B481+IF($R$17="Distrato",$I$38-1,0)),IF(AND($L$37=0,$P$34=0),"",$L$37-1),IF($R$17="Distrato",$E481,0))),0,YEARFRAC(MAX($P$34*($B481+IF($R$17="Distrato",$I$38-1,0)),IF(AND($L$37=0,$P$34=0),"",$L$37-1),IF($R$17="Distrato",$E481,0)),MIN(AU$38,$D$19),$P$20))-SUM($P481:AT481)</f>
        <v>#VALUE!</v>
      </c>
      <c r="AV481" s="446" t="e">
        <f>IF(OR($B481="",MIN(AV$38,$D$19)&lt;MAX($P$34*($B481+IF($R$17="Distrato",$I$38-1,0)),IF(AND($L$37=0,$P$34=0),"",$L$37-1),IF($R$17="Distrato",$E481,0))),0,YEARFRAC(MAX($P$34*($B481+IF($R$17="Distrato",$I$38-1,0)),IF(AND($L$37=0,$P$34=0),"",$L$37-1),IF($R$17="Distrato",$E481,0)),MIN(AV$38,$D$19),$P$20))-SUM($P481:AU481)</f>
        <v>#VALUE!</v>
      </c>
      <c r="AW481" s="446" t="e">
        <f>IF(OR($B481="",MIN(AW$38,$D$19)&lt;MAX($P$34*($B481+IF($R$17="Distrato",$I$38-1,0)),IF(AND($L$37=0,$P$34=0),"",$L$37-1),IF($R$17="Distrato",$E481,0))),0,YEARFRAC(MAX($P$34*($B481+IF($R$17="Distrato",$I$38-1,0)),IF(AND($L$37=0,$P$34=0),"",$L$37-1),IF($R$17="Distrato",$E481,0)),MIN(AW$38,$D$19),$P$20))-SUM($P481:AV481)</f>
        <v>#VALUE!</v>
      </c>
      <c r="AX481" s="446" t="e">
        <f>IF(OR($B481="",MIN(AX$38,$D$19)&lt;MAX($P$34*($B481+IF($R$17="Distrato",$I$38-1,0)),IF(AND($L$37=0,$P$34=0),"",$L$37-1),IF($R$17="Distrato",$E481,0))),0,YEARFRAC(MAX($P$34*($B481+IF($R$17="Distrato",$I$38-1,0)),IF(AND($L$37=0,$P$34=0),"",$L$37-1),IF($R$17="Distrato",$E481,0)),MIN(AX$38,$D$19),$P$20))-SUM($P481:AW481)</f>
        <v>#VALUE!</v>
      </c>
      <c r="AY481" s="446" t="e">
        <f>IF(OR($B481="",MIN(AY$38,$D$19)&lt;MAX($P$34*($B481+IF($R$17="Distrato",$I$38-1,0)),IF(AND($L$37=0,$P$34=0),"",$L$37-1),IF($R$17="Distrato",$E481,0))),0,YEARFRAC(MAX($P$34*($B481+IF($R$17="Distrato",$I$38-1,0)),IF(AND($L$37=0,$P$34=0),"",$L$37-1),IF($R$17="Distrato",$E481,0)),MIN(AY$38,$D$19),$P$20))-SUM($P481:AX481)</f>
        <v>#VALUE!</v>
      </c>
      <c r="AZ481" s="446" t="e">
        <f>IF(OR($B481="",MIN(AZ$38,$D$19)&lt;MAX($P$34*($B481+IF($R$17="Distrato",$I$38-1,0)),IF(AND($L$37=0,$P$34=0),"",$L$37-1),IF($R$17="Distrato",$E481,0))),0,YEARFRAC(MAX($P$34*($B481+IF($R$17="Distrato",$I$38-1,0)),IF(AND($L$37=0,$P$34=0),"",$L$37-1),IF($R$17="Distrato",$E481,0)),MIN(AZ$38,$D$19),$P$20))-SUM($P481:AY481)</f>
        <v>#VALUE!</v>
      </c>
      <c r="BA481" s="446" t="e">
        <f>IF(OR($B481="",MIN(BA$38,$D$19)&lt;MAX($P$34*($B481+IF($R$17="Distrato",$I$38-1,0)),IF(AND($L$37=0,$P$34=0),"",$L$37-1),IF($R$17="Distrato",$E481,0))),0,YEARFRAC(MAX($P$34*($B481+IF($R$17="Distrato",$I$38-1,0)),IF(AND($L$37=0,$P$34=0),"",$L$37-1),IF($R$17="Distrato",$E481,0)),MIN(BA$38,$D$19),$P$20))-SUM($P481:AZ481)</f>
        <v>#VALUE!</v>
      </c>
      <c r="BB481" s="447"/>
      <c r="BF481" s="446">
        <f t="shared" si="76"/>
        <v>0</v>
      </c>
      <c r="BG481" s="446">
        <f>IF($E481=0,0,IF(MIN(BG$38,$E481)&lt;MAX($P$34*($B481+$I$38-1),IF(AND($L$37=0,$P$34=0),"",$L$37-1)),0,YEARFRAC(MAX($P$34*($B481+$I$38-1),IF(AND($L$37=0,$P$34=0),"",$L$37-1)),MIN(BG$38,$E481),$P$20))-SUM($BF481:BF481))</f>
        <v>0</v>
      </c>
      <c r="BH481" s="446">
        <f>IF($E481=0,0,IF(MIN(BH$38,$E481)&lt;MAX($P$34*($B481+$I$38-1),IF(AND($L$37=0,$P$34=0),"",$L$37-1)),0,YEARFRAC(MAX($P$34*($B481+$I$38-1),IF(AND($L$37=0,$P$34=0),"",$L$37-1)),MIN(BH$38,$E481),$P$20))-SUM($BF481:BG481))</f>
        <v>0</v>
      </c>
      <c r="BI481" s="446">
        <f>IF($E481=0,0,IF(MIN(BI$38,$E481)&lt;MAX($P$34*($B481+$I$38-1),IF(AND($L$37=0,$P$34=0),"",$L$37-1)),0,YEARFRAC(MAX($P$34*($B481+$I$38-1),IF(AND($L$37=0,$P$34=0),"",$L$37-1)),MIN(BI$38,$E481),$P$20))-SUM($BF481:BH481))</f>
        <v>0</v>
      </c>
      <c r="BJ481" s="446">
        <f>IF($E481=0,0,IF(MIN(BJ$38,$E481)&lt;MAX($P$34*($B481+$I$38-1),IF(AND($L$37=0,$P$34=0),"",$L$37-1)),0,YEARFRAC(MAX($P$34*($B481+$I$38-1),IF(AND($L$37=0,$P$34=0),"",$L$37-1)),MIN(BJ$38,$E481),$P$20))-SUM($BF481:BI481))</f>
        <v>0</v>
      </c>
      <c r="BK481" s="446">
        <f>IF($E481=0,0,IF(MIN(BK$38,$E481)&lt;MAX($P$34*($B481+$I$38-1),IF(AND($L$37=0,$P$34=0),"",$L$37-1)),0,YEARFRAC(MAX($P$34*($B481+$I$38-1),IF(AND($L$37=0,$P$34=0),"",$L$37-1)),MIN(BK$38,$E481),$P$20))-SUM($BF481:BJ481))</f>
        <v>0</v>
      </c>
      <c r="BL481" s="446">
        <f>IF($E481=0,0,IF(MIN(BL$38,$E481)&lt;MAX($P$34*($B481+$I$38-1),IF(AND($L$37=0,$P$34=0),"",$L$37-1)),0,YEARFRAC(MAX($P$34*($B481+$I$38-1),IF(AND($L$37=0,$P$34=0),"",$L$37-1)),MIN(BL$38,$E481),$P$20))-SUM($BF481:BK481))</f>
        <v>0</v>
      </c>
      <c r="BM481" s="446">
        <f>IF($E481=0,0,IF(MIN(BM$38,$E481)&lt;MAX($P$34*($B481+$I$38-1),IF(AND($L$37=0,$P$34=0),"",$L$37-1)),0,YEARFRAC(MAX($P$34*($B481+$I$38-1),IF(AND($L$37=0,$P$34=0),"",$L$37-1)),MIN(BM$38,$E481),$P$20))-SUM($BF481:BL481))</f>
        <v>0</v>
      </c>
      <c r="BN481" s="446">
        <f>IF($E481=0,0,IF(MIN(BN$38,$E481)&lt;MAX($P$34*($B481+$I$38-1),IF(AND($L$37=0,$P$34=0),"",$L$37-1)),0,YEARFRAC(MAX($P$34*($B481+$I$38-1),IF(AND($L$37=0,$P$34=0),"",$L$37-1)),MIN(BN$38,$E481),$P$20))-SUM($BF481:BM481))</f>
        <v>0</v>
      </c>
      <c r="BO481" s="446">
        <f>IF($E481=0,0,IF(MIN(BO$38,$E481)&lt;MAX($P$34*($B481+$I$38-1),IF(AND($L$37=0,$P$34=0),"",$L$37-1)),0,YEARFRAC(MAX($P$34*($B481+$I$38-1),IF(AND($L$37=0,$P$34=0),"",$L$37-1)),MIN(BO$38,$E481),$P$20))-SUM($BF481:BN481))</f>
        <v>0</v>
      </c>
      <c r="BP481" s="446">
        <f>IF($E481=0,0,IF(MIN(BP$38,$E481)&lt;MAX($P$34*($B481+$I$38-1),IF(AND($L$37=0,$P$34=0),"",$L$37-1)),0,YEARFRAC(MAX($P$34*($B481+$I$38-1),IF(AND($L$37=0,$P$34=0),"",$L$37-1)),MIN(BP$38,$E481),$P$20))-SUM($BF481:BO481))</f>
        <v>0</v>
      </c>
      <c r="BQ481" s="446">
        <f>IF($E481=0,0,IF(MIN(BQ$38,$E481)&lt;MAX($P$34*($B481+$I$38-1),IF(AND($L$37=0,$P$34=0),"",$L$37-1)),0,YEARFRAC(MAX($P$34*($B481+$I$38-1),IF(AND($L$37=0,$P$34=0),"",$L$37-1)),MIN(BQ$38,$E481),$P$20))-SUM($BF481:BP481))</f>
        <v>0</v>
      </c>
      <c r="BR481" s="446">
        <f>IF($E481=0,0,IF(MIN(BR$38,$E481)&lt;MAX($P$34*($B481+$I$38-1),IF(AND($L$37=0,$P$34=0),"",$L$37-1)),0,YEARFRAC(MAX($P$34*($B481+$I$38-1),IF(AND($L$37=0,$P$34=0),"",$L$37-1)),MIN(BR$38,$E481),$P$20))-SUM($BF481:BQ481))</f>
        <v>0</v>
      </c>
      <c r="BS481" s="446">
        <f>IF($E481=0,0,IF(MIN(BS$38,$E481)&lt;MAX($P$34*($B481+$I$38-1),IF(AND($L$37=0,$P$34=0),"",$L$37-1)),0,YEARFRAC(MAX($P$34*($B481+$I$38-1),IF(AND($L$37=0,$P$34=0),"",$L$37-1)),MIN(BS$38,$E481),$P$20))-SUM($BF481:BR481))</f>
        <v>0</v>
      </c>
      <c r="BT481" s="446">
        <f>IF($E481=0,0,IF(MIN(BT$38,$E481)&lt;MAX($P$34*($B481+$I$38-1),IF(AND($L$37=0,$P$34=0),"",$L$37-1)),0,YEARFRAC(MAX($P$34*($B481+$I$38-1),IF(AND($L$37=0,$P$34=0),"",$L$37-1)),MIN(BT$38,$E481),$P$20))-SUM($BF481:BS481))</f>
        <v>0</v>
      </c>
      <c r="BU481" s="446">
        <f>IF($E481=0,0,IF(MIN(BU$38,$E481)&lt;MAX($P$34*($B481+$I$38-1),IF(AND($L$37=0,$P$34=0),"",$L$37-1)),0,YEARFRAC(MAX($P$34*($B481+$I$38-1),IF(AND($L$37=0,$P$34=0),"",$L$37-1)),MIN(BU$38,$E481),$P$20))-SUM($BF481:BT481))</f>
        <v>0</v>
      </c>
      <c r="BV481" s="446">
        <f>IF($E481=0,0,IF(MIN(BV$38,$E481)&lt;MAX($P$34*($B481+$I$38-1),IF(AND($L$37=0,$P$34=0),"",$L$37-1)),0,YEARFRAC(MAX($P$34*($B481+$I$38-1),IF(AND($L$37=0,$P$34=0),"",$L$37-1)),MIN(BV$38,$E481),$P$20))-SUM($BF481:BU481))</f>
        <v>0</v>
      </c>
      <c r="BW481" s="446">
        <f>IF($E481=0,0,IF(MIN(BW$38,$E481)&lt;MAX($P$34*($B481+$I$38-1),IF(AND($L$37=0,$P$34=0),"",$L$37-1)),0,YEARFRAC(MAX($P$34*($B481+$I$38-1),IF(AND($L$37=0,$P$34=0),"",$L$37-1)),MIN(BW$38,$E481),$P$20))-SUM($BF481:BV481))</f>
        <v>0</v>
      </c>
      <c r="BX481" s="446">
        <f>IF($E481=0,0,IF(MIN(BX$38,$E481)&lt;MAX($P$34*($B481+$I$38-1),IF(AND($L$37=0,$P$34=0),"",$L$37-1)),0,YEARFRAC(MAX($P$34*($B481+$I$38-1),IF(AND($L$37=0,$P$34=0),"",$L$37-1)),MIN(BX$38,$E481),$P$20))-SUM($BF481:BW481))</f>
        <v>0</v>
      </c>
      <c r="BY481" s="446">
        <f>IF($E481=0,0,IF(MIN(BY$38,$E481)&lt;MAX($P$34*($B481+$I$38-1),IF(AND($L$37=0,$P$34=0),"",$L$37-1)),0,YEARFRAC(MAX($P$34*($B481+$I$38-1),IF(AND($L$37=0,$P$34=0),"",$L$37-1)),MIN(BY$38,$E481),$P$20))-SUM($BF481:BX481))</f>
        <v>0</v>
      </c>
      <c r="BZ481" s="446">
        <f>IF($E481=0,0,IF(MIN(BZ$38,$E481)&lt;MAX($P$34*($B481+$I$38-1),IF(AND($L$37=0,$P$34=0),"",$L$37-1)),0,YEARFRAC(MAX($P$34*($B481+$I$38-1),IF(AND($L$37=0,$P$34=0),"",$L$37-1)),MIN(BZ$38,$E481),$P$20))-SUM($BF481:BY481))</f>
        <v>0</v>
      </c>
      <c r="CA481" s="446">
        <f>IF($E481=0,0,IF(MIN(CA$38,$E481)&lt;MAX($P$34*($B481+$I$38-1),IF(AND($L$37=0,$P$34=0),"",$L$37-1)),0,YEARFRAC(MAX($P$34*($B481+$I$38-1),IF(AND($L$37=0,$P$34=0),"",$L$37-1)),MIN(CA$38,$E481),$P$20))-SUM($BF481:BZ481))</f>
        <v>0</v>
      </c>
      <c r="CB481" s="446">
        <f>IF($E481=0,0,IF(MIN(CB$38,$E481)&lt;MAX($P$34*($B481+$I$38-1),IF(AND($L$37=0,$P$34=0),"",$L$37-1)),0,YEARFRAC(MAX($P$34*($B481+$I$38-1),IF(AND($L$37=0,$P$34=0),"",$L$37-1)),MIN(CB$38,$E481),$P$20))-SUM($BF481:CA481))</f>
        <v>0</v>
      </c>
      <c r="CC481" s="446">
        <f>IF($E481=0,0,IF(MIN(CC$38,$E481)&lt;MAX($P$34*($B481+$I$38-1),IF(AND($L$37=0,$P$34=0),"",$L$37-1)),0,YEARFRAC(MAX($P$34*($B481+$I$38-1),IF(AND($L$37=0,$P$34=0),"",$L$37-1)),MIN(CC$38,$E481),$P$20))-SUM($BF481:CB481))</f>
        <v>0</v>
      </c>
      <c r="CD481" s="446">
        <f>IF($E481=0,0,IF(MIN(CD$38,$E481)&lt;MAX($P$34*($B481+$I$38-1),IF(AND($L$37=0,$P$34=0),"",$L$37-1)),0,YEARFRAC(MAX($P$34*($B481+$I$38-1),IF(AND($L$37=0,$P$34=0),"",$L$37-1)),MIN(CD$38,$E481),$P$20))-SUM($BF481:CC481))</f>
        <v>0</v>
      </c>
      <c r="CE481" s="446">
        <f>IF($E481=0,0,IF(MIN(CE$38,$E481)&lt;MAX($P$34*($B481+$I$38-1),IF(AND($L$37=0,$P$34=0),"",$L$37-1)),0,YEARFRAC(MAX($P$34*($B481+$I$38-1),IF(AND($L$37=0,$P$34=0),"",$L$37-1)),MIN(CE$38,$E481),$P$20))-SUM($BF481:CD481))</f>
        <v>0</v>
      </c>
      <c r="CF481" s="446">
        <f>IF($E481=0,0,IF(MIN(CF$38,$E481)&lt;MAX($P$34*($B481+$I$38-1),IF(AND($L$37=0,$P$34=0),"",$L$37-1)),0,YEARFRAC(MAX($P$34*($B481+$I$38-1),IF(AND($L$37=0,$P$34=0),"",$L$37-1)),MIN(CF$38,$E481),$P$20))-SUM($BF481:CE481))</f>
        <v>0</v>
      </c>
      <c r="CG481" s="446">
        <f>IF($E481=0,0,IF(MIN(CG$38,$E481)&lt;MAX($P$34*($B481+$I$38-1),IF(AND($L$37=0,$P$34=0),"",$L$37-1)),0,YEARFRAC(MAX($P$34*($B481+$I$38-1),IF(AND($L$37=0,$P$34=0),"",$L$37-1)),MIN(CG$38,$E481),$P$20))-SUM($BF481:CF481))</f>
        <v>0</v>
      </c>
      <c r="CH481" s="446">
        <f>IF($E481=0,0,IF(MIN(CH$38,$E481)&lt;MAX($P$34*($B481+$I$38-1),IF(AND($L$37=0,$P$34=0),"",$L$37-1)),0,YEARFRAC(MAX($P$34*($B481+$I$38-1),IF(AND($L$37=0,$P$34=0),"",$L$37-1)),MIN(CH$38,$E481),$P$20))-SUM($BF481:CG481))</f>
        <v>0</v>
      </c>
      <c r="CI481" s="446">
        <f>IF($E481=0,0,IF(MIN(CI$38,$E481)&lt;MAX($P$34*($B481+$I$38-1),IF(AND($L$37=0,$P$34=0),"",$L$37-1)),0,YEARFRAC(MAX($P$34*($B481+$I$38-1),IF(AND($L$37=0,$P$34=0),"",$L$37-1)),MIN(CI$38,$E481),$P$20))-SUM($BF481:CH481))</f>
        <v>0</v>
      </c>
      <c r="CJ481" s="446">
        <f>IF($E481=0,0,IF(MIN(CJ$38,$E481)&lt;MAX($P$34*($B481+$I$38-1),IF(AND($L$37=0,$P$34=0),"",$L$37-1)),0,YEARFRAC(MAX($P$34*($B481+$I$38-1),IF(AND($L$37=0,$P$34=0),"",$L$37-1)),MIN(CJ$38,$E481),$P$20))-SUM($BF481:CI481))</f>
        <v>0</v>
      </c>
      <c r="CK481" s="446">
        <f>IF($E481=0,0,IF(MIN(CK$38,$E481)&lt;MAX($P$34*($B481+$I$38-1),IF(AND($L$37=0,$P$34=0),"",$L$37-1)),0,YEARFRAC(MAX($P$34*($B481+$I$38-1),IF(AND($L$37=0,$P$34=0),"",$L$37-1)),MIN(CK$38,$E481),$P$20))-SUM($BF481:CJ481))</f>
        <v>0</v>
      </c>
      <c r="CL481" s="446">
        <f>IF($E481=0,0,IF(MIN(CL$38,$E481)&lt;MAX($P$34*($B481+$I$38-1),IF(AND($L$37=0,$P$34=0),"",$L$37-1)),0,YEARFRAC(MAX($P$34*($B481+$I$38-1),IF(AND($L$37=0,$P$34=0),"",$L$37-1)),MIN(CL$38,$E481),$P$20))-SUM($BF481:CK481))</f>
        <v>0</v>
      </c>
      <c r="CM481" s="446">
        <f>IF($E481=0,0,IF(MIN(CM$38,$E481)&lt;MAX($P$34*($B481+$I$38-1),IF(AND($L$37=0,$P$34=0),"",$L$37-1)),0,YEARFRAC(MAX($P$34*($B481+$I$38-1),IF(AND($L$37=0,$P$34=0),"",$L$37-1)),MIN(CM$38,$E481),$P$20))-SUM($BF481:CL481))</f>
        <v>0</v>
      </c>
      <c r="CN481" s="446">
        <f>IF($E481=0,0,IF(MIN(CN$38,$E481)&lt;MAX($P$34*($B481+$I$38-1),IF(AND($L$37=0,$P$34=0),"",$L$37-1)),0,YEARFRAC(MAX($P$34*($B481+$I$38-1),IF(AND($L$37=0,$P$34=0),"",$L$37-1)),MIN(CN$38,$E481),$P$20))-SUM($BF481:CM481))</f>
        <v>0</v>
      </c>
      <c r="CO481" s="446">
        <f>IF($E481=0,0,IF(MIN(CO$38,$E481)&lt;MAX($P$34*($B481+$I$38-1),IF(AND($L$37=0,$P$34=0),"",$L$37-1)),0,YEARFRAC(MAX($P$34*($B481+$I$38-1),IF(AND($L$37=0,$P$34=0),"",$L$37-1)),MIN(CO$38,$E481),$P$20))-SUM($BF481:CN481))</f>
        <v>0</v>
      </c>
      <c r="CP481" s="446">
        <f>IF($E481=0,0,IF(MIN(CP$38,$E481)&lt;MAX($P$34*($B481+$I$38-1),IF(AND($L$37=0,$P$34=0),"",$L$37-1)),0,YEARFRAC(MAX($P$34*($B481+$I$38-1),IF(AND($L$37=0,$P$34=0),"",$L$37-1)),MIN(CP$38,$E481),$P$20))-SUM($BF481:CO481))</f>
        <v>0</v>
      </c>
      <c r="CQ481" s="446">
        <f>IF($E481=0,0,IF(MIN(CQ$38,$E481)&lt;MAX($P$34*($B481+$I$38-1),IF(AND($L$37=0,$P$34=0),"",$L$37-1)),0,YEARFRAC(MAX($P$34*($B481+$I$38-1),IF(AND($L$37=0,$P$34=0),"",$L$37-1)),MIN(CQ$38,$E481),$P$20))-SUM($BF481:CP481))</f>
        <v>0</v>
      </c>
    </row>
    <row r="482" spans="1:95" s="446" customFormat="1" ht="11.25" hidden="1" customHeight="1" x14ac:dyDescent="0.2">
      <c r="A482" s="152"/>
      <c r="B482" s="153" t="str">
        <f t="shared" si="81"/>
        <v/>
      </c>
      <c r="C482" s="29" t="str">
        <f>IF(B482="","",IF($L$35="SELIC - TRIBUTOS",VLOOKUP(DATE(YEAR($D$19),MONTH($D$19)-1,1),ÍNDICES!$A:$DE,HLOOKUP($BL$25,ÍNDICES!$B$3:$T$4,2)+11)-VLOOKUP(B482,ÍNDICES!$A:$DE,HLOOKUP($BL$25,ÍNDICES!$B$3:$T$4,2)+11)+1%,IF(C$38=$W$26,$J$35,IF(ISERROR(IF(B482&gt;$D$19,1,VLOOKUP(DATE(YEAR(B482),MONTH(B482)+IF($C$35=$S$23,1,0),1),ÍNDICES!$A:$DE,$Z$35+1))),"",IF(B482&gt;$D$19,1,VLOOKUP(DATE(YEAR(B482),MONTH(B482)+IF($C$35=$S$23,1,0),1),ÍNDICES!$A:$DE,$Z$35+1))))))</f>
        <v/>
      </c>
      <c r="D482" s="154" t="str">
        <f>IF(ISERROR(IF(OR($D$38=$Y$27,$B482=""),"",VLOOKUP(B482,ÍNDICES!A:DE,AF$35+1))),"",IF(OR($D$38=$Y$27,$B482=""),"",VLOOKUP(B482,ÍNDICES!A:DE,AF$35+1)))</f>
        <v/>
      </c>
      <c r="E482" s="153"/>
      <c r="F482" s="29" t="str">
        <f>IF(E482="","",IF($L$35="SELIC - TRIBUTOS",VLOOKUP(DATE(YEAR($D$19),MONTH($D$19)-1,1),ÍNDICES!$A:$DE,HLOOKUP($BL$25,ÍNDICES!$B$3:$T$4,2)+11)-VLOOKUP(E482,ÍNDICES!$A:$DE,HLOOKUP($BL$25,ÍNDICES!$B$3:$T$4,2)+11)+1%,IF(F$38=$W$26,$J$35,IF(ISERROR(IF(E482&gt;$D$19,1,VLOOKUP(DATE(YEAR(E482),MONTH(E482)+IF($C$35=$S$23,1,0),1),ÍNDICES!$A:$DE,$Z$35+1))),"",IF(E482&gt;$D$19,1,VLOOKUP(DATE(YEAR(E482),MONTH(E482)+IF($C$35=$S$23,1,0),1),ÍNDICES!$A:$DE,$Z$35+1))))))</f>
        <v/>
      </c>
      <c r="G482" s="155"/>
      <c r="H482" s="156" t="str">
        <f t="shared" si="77"/>
        <v/>
      </c>
      <c r="I482" s="29" t="str">
        <f t="shared" si="71"/>
        <v/>
      </c>
      <c r="J482" s="5">
        <f t="shared" si="72"/>
        <v>0</v>
      </c>
      <c r="K482" s="20">
        <f t="shared" ca="1" si="73"/>
        <v>0</v>
      </c>
      <c r="L482" s="5">
        <f t="shared" ca="1" si="74"/>
        <v>0</v>
      </c>
      <c r="M482" s="64">
        <f t="shared" si="78"/>
        <v>0</v>
      </c>
      <c r="N482" s="61">
        <f t="shared" ca="1" si="79"/>
        <v>0</v>
      </c>
      <c r="O482" s="5">
        <f t="shared" ca="1" si="80"/>
        <v>0</v>
      </c>
      <c r="P482" s="446" t="e">
        <f t="shared" si="75"/>
        <v>#VALUE!</v>
      </c>
      <c r="Q482" s="446" t="e">
        <f>IF(OR($B482="",MIN(Q$38,$D$19)&lt;MAX($P$34*($B482+IF($R$17="Distrato",$I$38-1,0)),IF(AND($L$37=0,$P$34=0),"",$L$37-1),IF($R$17="Distrato",$E482,0))),0,YEARFRAC(MAX($P$34*($B482+IF($R$17="Distrato",$I$38-1,0)),IF(AND($L$37=0,$P$34=0),"",$L$37-1),IF($R$17="Distrato",$E482,0)),MIN(Q$38,$D$19),$P$20))-SUM($P482:P482)</f>
        <v>#VALUE!</v>
      </c>
      <c r="R482" s="446" t="e">
        <f>IF(OR($B482="",MIN(R$38,$D$19)&lt;MAX($P$34*($B482+IF($R$17="Distrato",$I$38-1,0)),IF(AND($L$37=0,$P$34=0),"",$L$37-1),IF($R$17="Distrato",$E482,0))),0,YEARFRAC(MAX($P$34*($B482+IF($R$17="Distrato",$I$38-1,0)),IF(AND($L$37=0,$P$34=0),"",$L$37-1),IF($R$17="Distrato",$E482,0)),MIN(R$38,$D$19),$P$20))-SUM($P482:Q482)</f>
        <v>#VALUE!</v>
      </c>
      <c r="S482" s="446" t="e">
        <f>IF(OR($B482="",MIN(S$38,$D$19)&lt;MAX($P$34*($B482+IF($R$17="Distrato",$I$38-1,0)),IF(AND($L$37=0,$P$34=0),"",$L$37-1),IF($R$17="Distrato",$E482,0))),0,YEARFRAC(MAX($P$34*($B482+IF($R$17="Distrato",$I$38-1,0)),IF(AND($L$37=0,$P$34=0),"",$L$37-1),IF($R$17="Distrato",$E482,0)),MIN(S$38,$D$19),$P$20))-SUM($P482:R482)</f>
        <v>#VALUE!</v>
      </c>
      <c r="T482" s="446" t="e">
        <f>IF(OR($B482="",MIN(T$38,$D$19)&lt;MAX($P$34*($B482+IF($R$17="Distrato",$I$38-1,0)),IF(AND($L$37=0,$P$34=0),"",$L$37-1),IF($R$17="Distrato",$E482,0))),0,YEARFRAC(MAX($P$34*($B482+IF($R$17="Distrato",$I$38-1,0)),IF(AND($L$37=0,$P$34=0),"",$L$37-1),IF($R$17="Distrato",$E482,0)),MIN(T$38,$D$19),$P$20))-SUM($P482:S482)</f>
        <v>#VALUE!</v>
      </c>
      <c r="U482" s="446" t="e">
        <f>IF(OR($B482="",MIN(U$38,$D$19)&lt;MAX($P$34*($B482+IF($R$17="Distrato",$I$38-1,0)),IF(AND($L$37=0,$P$34=0),"",$L$37-1),IF($R$17="Distrato",$E482,0))),0,YEARFRAC(MAX($P$34*($B482+IF($R$17="Distrato",$I$38-1,0)),IF(AND($L$37=0,$P$34=0),"",$L$37-1),IF($R$17="Distrato",$E482,0)),MIN(U$38,$D$19),$P$20))-SUM($P482:T482)</f>
        <v>#VALUE!</v>
      </c>
      <c r="V482" s="446" t="e">
        <f>IF(OR($B482="",MIN(V$38,$D$19)&lt;MAX($P$34*($B482+IF($R$17="Distrato",$I$38-1,0)),IF(AND($L$37=0,$P$34=0),"",$L$37-1),IF($R$17="Distrato",$E482,0))),0,YEARFRAC(MAX($P$34*($B482+IF($R$17="Distrato",$I$38-1,0)),IF(AND($L$37=0,$P$34=0),"",$L$37-1),IF($R$17="Distrato",$E482,0)),MIN(V$38,$D$19),$P$20))-SUM($P482:U482)</f>
        <v>#VALUE!</v>
      </c>
      <c r="W482" s="446" t="e">
        <f>IF(OR($B482="",MIN(W$38,$D$19)&lt;MAX($P$34*($B482+IF($R$17="Distrato",$I$38-1,0)),IF(AND($L$37=0,$P$34=0),"",$L$37-1),IF($R$17="Distrato",$E482,0))),0,YEARFRAC(MAX($P$34*($B482+IF($R$17="Distrato",$I$38-1,0)),IF(AND($L$37=0,$P$34=0),"",$L$37-1),IF($R$17="Distrato",$E482,0)),MIN(W$38,$D$19),$P$20))-SUM($P482:V482)</f>
        <v>#VALUE!</v>
      </c>
      <c r="X482" s="446" t="e">
        <f>IF(OR($B482="",MIN(X$38,$D$19)&lt;MAX($P$34*($B482+IF($R$17="Distrato",$I$38-1,0)),IF(AND($L$37=0,$P$34=0),"",$L$37-1),IF($R$17="Distrato",$E482,0))),0,YEARFRAC(MAX($P$34*($B482+IF($R$17="Distrato",$I$38-1,0)),IF(AND($L$37=0,$P$34=0),"",$L$37-1),IF($R$17="Distrato",$E482,0)),MIN(X$38,$D$19),$P$20))-SUM($P482:W482)</f>
        <v>#VALUE!</v>
      </c>
      <c r="Y482" s="446" t="e">
        <f>IF(OR($B482="",MIN(Y$38,$D$19)&lt;MAX($P$34*($B482+IF($R$17="Distrato",$I$38-1,0)),IF(AND($L$37=0,$P$34=0),"",$L$37-1),IF($R$17="Distrato",$E482,0))),0,YEARFRAC(MAX($P$34*($B482+IF($R$17="Distrato",$I$38-1,0)),IF(AND($L$37=0,$P$34=0),"",$L$37-1),IF($R$17="Distrato",$E482,0)),MIN(Y$38,$D$19),$P$20))-SUM($P482:X482)</f>
        <v>#VALUE!</v>
      </c>
      <c r="Z482" s="446" t="e">
        <f>IF(OR($B482="",MIN(Z$38,$D$19)&lt;MAX($P$34*($B482+IF($R$17="Distrato",$I$38-1,0)),IF(AND($L$37=0,$P$34=0),"",$L$37-1),IF($R$17="Distrato",$E482,0))),0,YEARFRAC(MAX($P$34*($B482+IF($R$17="Distrato",$I$38-1,0)),IF(AND($L$37=0,$P$34=0),"",$L$37-1),IF($R$17="Distrato",$E482,0)),MIN(Z$38,$D$19),$P$20))-SUM($P482:Y482)</f>
        <v>#VALUE!</v>
      </c>
      <c r="AA482" s="446" t="e">
        <f>IF(OR($B482="",MIN(AA$38,$D$19)&lt;MAX($P$34*($B482+IF($R$17="Distrato",$I$38-1,0)),IF(AND($L$37=0,$P$34=0),"",$L$37-1),IF($R$17="Distrato",$E482,0))),0,YEARFRAC(MAX($P$34*($B482+IF($R$17="Distrato",$I$38-1,0)),IF(AND($L$37=0,$P$34=0),"",$L$37-1),IF($R$17="Distrato",$E482,0)),MIN(AA$38,$D$19),$P$20))-SUM($P482:Z482)</f>
        <v>#VALUE!</v>
      </c>
      <c r="AB482" s="446" t="e">
        <f>IF(OR($B482="",MIN(AB$38,$D$19)&lt;MAX($P$34*($B482+IF($R$17="Distrato",$I$38-1,0)),IF(AND($L$37=0,$P$34=0),"",$L$37-1),IF($R$17="Distrato",$E482,0))),0,YEARFRAC(MAX($P$34*($B482+IF($R$17="Distrato",$I$38-1,0)),IF(AND($L$37=0,$P$34=0),"",$L$37-1),IF($R$17="Distrato",$E482,0)),MIN(AB$38,$D$19),$P$20))-SUM($P482:AA482)</f>
        <v>#VALUE!</v>
      </c>
      <c r="AC482" s="446" t="e">
        <f>IF(OR($B482="",MIN(AC$38,$D$19)&lt;MAX($P$34*($B482+IF($R$17="Distrato",$I$38-1,0)),IF(AND($L$37=0,$P$34=0),"",$L$37-1),IF($R$17="Distrato",$E482,0))),0,YEARFRAC(MAX($P$34*($B482+IF($R$17="Distrato",$I$38-1,0)),IF(AND($L$37=0,$P$34=0),"",$L$37-1),IF($R$17="Distrato",$E482,0)),MIN(AC$38,$D$19),$P$20))-SUM($P482:AB482)</f>
        <v>#VALUE!</v>
      </c>
      <c r="AD482" s="446" t="e">
        <f>IF(OR($B482="",MIN(AD$38,$D$19)&lt;MAX($P$34*($B482+IF($R$17="Distrato",$I$38-1,0)),IF(AND($L$37=0,$P$34=0),"",$L$37-1),IF($R$17="Distrato",$E482,0))),0,YEARFRAC(MAX($P$34*($B482+IF($R$17="Distrato",$I$38-1,0)),IF(AND($L$37=0,$P$34=0),"",$L$37-1),IF($R$17="Distrato",$E482,0)),MIN(AD$38,$D$19),$P$20))-SUM($P482:AC482)</f>
        <v>#VALUE!</v>
      </c>
      <c r="AE482" s="446" t="e">
        <f>IF(OR($B482="",MIN(AE$38,$D$19)&lt;MAX($P$34*($B482+IF($R$17="Distrato",$I$38-1,0)),IF(AND($L$37=0,$P$34=0),"",$L$37-1),IF($R$17="Distrato",$E482,0))),0,YEARFRAC(MAX($P$34*($B482+IF($R$17="Distrato",$I$38-1,0)),IF(AND($L$37=0,$P$34=0),"",$L$37-1),IF($R$17="Distrato",$E482,0)),MIN(AE$38,$D$19),$P$20))-SUM($P482:AD482)</f>
        <v>#VALUE!</v>
      </c>
      <c r="AF482" s="446" t="e">
        <f>IF(OR($B482="",MIN(AF$38,$D$19)&lt;MAX($P$34*($B482+IF($R$17="Distrato",$I$38-1,0)),IF(AND($L$37=0,$P$34=0),"",$L$37-1),IF($R$17="Distrato",$E482,0))),0,YEARFRAC(MAX($P$34*($B482+IF($R$17="Distrato",$I$38-1,0)),IF(AND($L$37=0,$P$34=0),"",$L$37-1),IF($R$17="Distrato",$E482,0)),MIN(AF$38,$D$19),$P$20))-SUM($P482:AE482)</f>
        <v>#VALUE!</v>
      </c>
      <c r="AG482" s="446" t="e">
        <f>IF(OR($B482="",MIN(AG$38,$D$19)&lt;MAX($P$34*($B482+IF($R$17="Distrato",$I$38-1,0)),IF(AND($L$37=0,$P$34=0),"",$L$37-1),IF($R$17="Distrato",$E482,0))),0,YEARFRAC(MAX($P$34*($B482+IF($R$17="Distrato",$I$38-1,0)),IF(AND($L$37=0,$P$34=0),"",$L$37-1),IF($R$17="Distrato",$E482,0)),MIN(AG$38,$D$19),$P$20))-SUM($P482:AF482)</f>
        <v>#VALUE!</v>
      </c>
      <c r="AH482" s="446" t="e">
        <f>IF(OR($B482="",MIN(AH$38,$D$19)&lt;MAX($P$34*($B482+IF($R$17="Distrato",$I$38-1,0)),IF(AND($L$37=0,$P$34=0),"",$L$37-1),IF($R$17="Distrato",$E482,0))),0,YEARFRAC(MAX($P$34*($B482+IF($R$17="Distrato",$I$38-1,0)),IF(AND($L$37=0,$P$34=0),"",$L$37-1),IF($R$17="Distrato",$E482,0)),MIN(AH$38,$D$19),$P$20))-SUM($P482:AG482)</f>
        <v>#VALUE!</v>
      </c>
      <c r="AI482" s="446" t="e">
        <f>IF(OR($B482="",MIN(AI$38,$D$19)&lt;MAX($P$34*($B482+IF($R$17="Distrato",$I$38-1,0)),IF(AND($L$37=0,$P$34=0),"",$L$37-1),IF($R$17="Distrato",$E482,0))),0,YEARFRAC(MAX($P$34*($B482+IF($R$17="Distrato",$I$38-1,0)),IF(AND($L$37=0,$P$34=0),"",$L$37-1),IF($R$17="Distrato",$E482,0)),MIN(AI$38,$D$19),$P$20))-SUM($P482:AH482)</f>
        <v>#VALUE!</v>
      </c>
      <c r="AJ482" s="446" t="e">
        <f>IF(OR($B482="",MIN(AJ$38,$D$19)&lt;MAX($P$34*($B482+IF($R$17="Distrato",$I$38-1,0)),IF(AND($L$37=0,$P$34=0),"",$L$37-1),IF($R$17="Distrato",$E482,0))),0,YEARFRAC(MAX($P$34*($B482+IF($R$17="Distrato",$I$38-1,0)),IF(AND($L$37=0,$P$34=0),"",$L$37-1),IF($R$17="Distrato",$E482,0)),MIN(AJ$38,$D$19),$P$20))-SUM($P482:AI482)</f>
        <v>#VALUE!</v>
      </c>
      <c r="AK482" s="446" t="e">
        <f>IF(OR($B482="",MIN(AK$38,$D$19)&lt;MAX($P$34*($B482+IF($R$17="Distrato",$I$38-1,0)),IF(AND($L$37=0,$P$34=0),"",$L$37-1),IF($R$17="Distrato",$E482,0))),0,YEARFRAC(MAX($P$34*($B482+IF($R$17="Distrato",$I$38-1,0)),IF(AND($L$37=0,$P$34=0),"",$L$37-1),IF($R$17="Distrato",$E482,0)),MIN(AK$38,$D$19),$P$20))-SUM($P482:AJ482)</f>
        <v>#VALUE!</v>
      </c>
      <c r="AL482" s="446" t="e">
        <f>IF(OR($B482="",MIN(AL$38,$D$19)&lt;MAX($P$34*($B482+IF($R$17="Distrato",$I$38-1,0)),IF(AND($L$37=0,$P$34=0),"",$L$37-1),IF($R$17="Distrato",$E482,0))),0,YEARFRAC(MAX($P$34*($B482+IF($R$17="Distrato",$I$38-1,0)),IF(AND($L$37=0,$P$34=0),"",$L$37-1),IF($R$17="Distrato",$E482,0)),MIN(AL$38,$D$19),$P$20))-SUM($P482:AK482)</f>
        <v>#VALUE!</v>
      </c>
      <c r="AM482" s="446" t="e">
        <f>IF(OR($B482="",MIN(AM$38,$D$19)&lt;MAX($P$34*($B482+IF($R$17="Distrato",$I$38-1,0)),IF(AND($L$37=0,$P$34=0),"",$L$37-1),IF($R$17="Distrato",$E482,0))),0,YEARFRAC(MAX($P$34*($B482+IF($R$17="Distrato",$I$38-1,0)),IF(AND($L$37=0,$P$34=0),"",$L$37-1),IF($R$17="Distrato",$E482,0)),MIN(AM$38,$D$19),$P$20))-SUM($P482:AL482)</f>
        <v>#VALUE!</v>
      </c>
      <c r="AN482" s="446" t="e">
        <f>IF(OR($B482="",MIN(AN$38,$D$19)&lt;MAX($P$34*($B482+IF($R$17="Distrato",$I$38-1,0)),IF(AND($L$37=0,$P$34=0),"",$L$37-1),IF($R$17="Distrato",$E482,0))),0,YEARFRAC(MAX($P$34*($B482+IF($R$17="Distrato",$I$38-1,0)),IF(AND($L$37=0,$P$34=0),"",$L$37-1),IF($R$17="Distrato",$E482,0)),MIN(AN$38,$D$19),$P$20))-SUM($P482:AM482)</f>
        <v>#VALUE!</v>
      </c>
      <c r="AO482" s="446" t="e">
        <f>IF(OR($B482="",MIN(AO$38,$D$19)&lt;MAX($P$34*($B482+IF($R$17="Distrato",$I$38-1,0)),IF(AND($L$37=0,$P$34=0),"",$L$37-1),IF($R$17="Distrato",$E482,0))),0,YEARFRAC(MAX($P$34*($B482+IF($R$17="Distrato",$I$38-1,0)),IF(AND($L$37=0,$P$34=0),"",$L$37-1),IF($R$17="Distrato",$E482,0)),MIN(AO$38,$D$19),$P$20))-SUM($P482:AN482)</f>
        <v>#VALUE!</v>
      </c>
      <c r="AP482" s="446" t="e">
        <f>IF(OR($B482="",MIN(AP$38,$D$19)&lt;MAX($P$34*($B482+IF($R$17="Distrato",$I$38-1,0)),IF(AND($L$37=0,$P$34=0),"",$L$37-1),IF($R$17="Distrato",$E482,0))),0,YEARFRAC(MAX($P$34*($B482+IF($R$17="Distrato",$I$38-1,0)),IF(AND($L$37=0,$P$34=0),"",$L$37-1),IF($R$17="Distrato",$E482,0)),MIN(AP$38,$D$19),$P$20))-SUM($P482:AO482)</f>
        <v>#VALUE!</v>
      </c>
      <c r="AQ482" s="446" t="e">
        <f>IF(OR($B482="",MIN(AQ$38,$D$19)&lt;MAX($P$34*($B482+IF($R$17="Distrato",$I$38-1,0)),IF(AND($L$37=0,$P$34=0),"",$L$37-1),IF($R$17="Distrato",$E482,0))),0,YEARFRAC(MAX($P$34*($B482+IF($R$17="Distrato",$I$38-1,0)),IF(AND($L$37=0,$P$34=0),"",$L$37-1),IF($R$17="Distrato",$E482,0)),MIN(AQ$38,$D$19),$P$20))-SUM($P482:AP482)</f>
        <v>#VALUE!</v>
      </c>
      <c r="AR482" s="446" t="e">
        <f>IF(OR($B482="",MIN(AR$38,$D$19)&lt;MAX($P$34*($B482+IF($R$17="Distrato",$I$38-1,0)),IF(AND($L$37=0,$P$34=0),"",$L$37-1),IF($R$17="Distrato",$E482,0))),0,YEARFRAC(MAX($P$34*($B482+IF($R$17="Distrato",$I$38-1,0)),IF(AND($L$37=0,$P$34=0),"",$L$37-1),IF($R$17="Distrato",$E482,0)),MIN(AR$38,$D$19),$P$20))-SUM($P482:AQ482)</f>
        <v>#VALUE!</v>
      </c>
      <c r="AS482" s="446" t="e">
        <f>IF(OR($B482="",MIN(AS$38,$D$19)&lt;MAX($P$34*($B482+IF($R$17="Distrato",$I$38-1,0)),IF(AND($L$37=0,$P$34=0),"",$L$37-1),IF($R$17="Distrato",$E482,0))),0,YEARFRAC(MAX($P$34*($B482+IF($R$17="Distrato",$I$38-1,0)),IF(AND($L$37=0,$P$34=0),"",$L$37-1),IF($R$17="Distrato",$E482,0)),MIN(AS$38,$D$19),$P$20))-SUM($P482:AR482)</f>
        <v>#VALUE!</v>
      </c>
      <c r="AT482" s="446" t="e">
        <f>IF(OR($B482="",MIN(AT$38,$D$19)&lt;MAX($P$34*($B482+IF($R$17="Distrato",$I$38-1,0)),IF(AND($L$37=0,$P$34=0),"",$L$37-1),IF($R$17="Distrato",$E482,0))),0,YEARFRAC(MAX($P$34*($B482+IF($R$17="Distrato",$I$38-1,0)),IF(AND($L$37=0,$P$34=0),"",$L$37-1),IF($R$17="Distrato",$E482,0)),MIN(AT$38,$D$19),$P$20))-SUM($P482:AS482)</f>
        <v>#VALUE!</v>
      </c>
      <c r="AU482" s="446" t="e">
        <f>IF(OR($B482="",MIN(AU$38,$D$19)&lt;MAX($P$34*($B482+IF($R$17="Distrato",$I$38-1,0)),IF(AND($L$37=0,$P$34=0),"",$L$37-1),IF($R$17="Distrato",$E482,0))),0,YEARFRAC(MAX($P$34*($B482+IF($R$17="Distrato",$I$38-1,0)),IF(AND($L$37=0,$P$34=0),"",$L$37-1),IF($R$17="Distrato",$E482,0)),MIN(AU$38,$D$19),$P$20))-SUM($P482:AT482)</f>
        <v>#VALUE!</v>
      </c>
      <c r="AV482" s="446" t="e">
        <f>IF(OR($B482="",MIN(AV$38,$D$19)&lt;MAX($P$34*($B482+IF($R$17="Distrato",$I$38-1,0)),IF(AND($L$37=0,$P$34=0),"",$L$37-1),IF($R$17="Distrato",$E482,0))),0,YEARFRAC(MAX($P$34*($B482+IF($R$17="Distrato",$I$38-1,0)),IF(AND($L$37=0,$P$34=0),"",$L$37-1),IF($R$17="Distrato",$E482,0)),MIN(AV$38,$D$19),$P$20))-SUM($P482:AU482)</f>
        <v>#VALUE!</v>
      </c>
      <c r="AW482" s="446" t="e">
        <f>IF(OR($B482="",MIN(AW$38,$D$19)&lt;MAX($P$34*($B482+IF($R$17="Distrato",$I$38-1,0)),IF(AND($L$37=0,$P$34=0),"",$L$37-1),IF($R$17="Distrato",$E482,0))),0,YEARFRAC(MAX($P$34*($B482+IF($R$17="Distrato",$I$38-1,0)),IF(AND($L$37=0,$P$34=0),"",$L$37-1),IF($R$17="Distrato",$E482,0)),MIN(AW$38,$D$19),$P$20))-SUM($P482:AV482)</f>
        <v>#VALUE!</v>
      </c>
      <c r="AX482" s="446" t="e">
        <f>IF(OR($B482="",MIN(AX$38,$D$19)&lt;MAX($P$34*($B482+IF($R$17="Distrato",$I$38-1,0)),IF(AND($L$37=0,$P$34=0),"",$L$37-1),IF($R$17="Distrato",$E482,0))),0,YEARFRAC(MAX($P$34*($B482+IF($R$17="Distrato",$I$38-1,0)),IF(AND($L$37=0,$P$34=0),"",$L$37-1),IF($R$17="Distrato",$E482,0)),MIN(AX$38,$D$19),$P$20))-SUM($P482:AW482)</f>
        <v>#VALUE!</v>
      </c>
      <c r="AY482" s="446" t="e">
        <f>IF(OR($B482="",MIN(AY$38,$D$19)&lt;MAX($P$34*($B482+IF($R$17="Distrato",$I$38-1,0)),IF(AND($L$37=0,$P$34=0),"",$L$37-1),IF($R$17="Distrato",$E482,0))),0,YEARFRAC(MAX($P$34*($B482+IF($R$17="Distrato",$I$38-1,0)),IF(AND($L$37=0,$P$34=0),"",$L$37-1),IF($R$17="Distrato",$E482,0)),MIN(AY$38,$D$19),$P$20))-SUM($P482:AX482)</f>
        <v>#VALUE!</v>
      </c>
      <c r="AZ482" s="446" t="e">
        <f>IF(OR($B482="",MIN(AZ$38,$D$19)&lt;MAX($P$34*($B482+IF($R$17="Distrato",$I$38-1,0)),IF(AND($L$37=0,$P$34=0),"",$L$37-1),IF($R$17="Distrato",$E482,0))),0,YEARFRAC(MAX($P$34*($B482+IF($R$17="Distrato",$I$38-1,0)),IF(AND($L$37=0,$P$34=0),"",$L$37-1),IF($R$17="Distrato",$E482,0)),MIN(AZ$38,$D$19),$P$20))-SUM($P482:AY482)</f>
        <v>#VALUE!</v>
      </c>
      <c r="BA482" s="446" t="e">
        <f>IF(OR($B482="",MIN(BA$38,$D$19)&lt;MAX($P$34*($B482+IF($R$17="Distrato",$I$38-1,0)),IF(AND($L$37=0,$P$34=0),"",$L$37-1),IF($R$17="Distrato",$E482,0))),0,YEARFRAC(MAX($P$34*($B482+IF($R$17="Distrato",$I$38-1,0)),IF(AND($L$37=0,$P$34=0),"",$L$37-1),IF($R$17="Distrato",$E482,0)),MIN(BA$38,$D$19),$P$20))-SUM($P482:AZ482)</f>
        <v>#VALUE!</v>
      </c>
      <c r="BB482" s="447"/>
      <c r="BF482" s="446">
        <f t="shared" si="76"/>
        <v>0</v>
      </c>
      <c r="BG482" s="446">
        <f>IF($E482=0,0,IF(MIN(BG$38,$E482)&lt;MAX($P$34*($B482+$I$38-1),IF(AND($L$37=0,$P$34=0),"",$L$37-1)),0,YEARFRAC(MAX($P$34*($B482+$I$38-1),IF(AND($L$37=0,$P$34=0),"",$L$37-1)),MIN(BG$38,$E482),$P$20))-SUM($BF482:BF482))</f>
        <v>0</v>
      </c>
      <c r="BH482" s="446">
        <f>IF($E482=0,0,IF(MIN(BH$38,$E482)&lt;MAX($P$34*($B482+$I$38-1),IF(AND($L$37=0,$P$34=0),"",$L$37-1)),0,YEARFRAC(MAX($P$34*($B482+$I$38-1),IF(AND($L$37=0,$P$34=0),"",$L$37-1)),MIN(BH$38,$E482),$P$20))-SUM($BF482:BG482))</f>
        <v>0</v>
      </c>
      <c r="BI482" s="446">
        <f>IF($E482=0,0,IF(MIN(BI$38,$E482)&lt;MAX($P$34*($B482+$I$38-1),IF(AND($L$37=0,$P$34=0),"",$L$37-1)),0,YEARFRAC(MAX($P$34*($B482+$I$38-1),IF(AND($L$37=0,$P$34=0),"",$L$37-1)),MIN(BI$38,$E482),$P$20))-SUM($BF482:BH482))</f>
        <v>0</v>
      </c>
      <c r="BJ482" s="446">
        <f>IF($E482=0,0,IF(MIN(BJ$38,$E482)&lt;MAX($P$34*($B482+$I$38-1),IF(AND($L$37=0,$P$34=0),"",$L$37-1)),0,YEARFRAC(MAX($P$34*($B482+$I$38-1),IF(AND($L$37=0,$P$34=0),"",$L$37-1)),MIN(BJ$38,$E482),$P$20))-SUM($BF482:BI482))</f>
        <v>0</v>
      </c>
      <c r="BK482" s="446">
        <f>IF($E482=0,0,IF(MIN(BK$38,$E482)&lt;MAX($P$34*($B482+$I$38-1),IF(AND($L$37=0,$P$34=0),"",$L$37-1)),0,YEARFRAC(MAX($P$34*($B482+$I$38-1),IF(AND($L$37=0,$P$34=0),"",$L$37-1)),MIN(BK$38,$E482),$P$20))-SUM($BF482:BJ482))</f>
        <v>0</v>
      </c>
      <c r="BL482" s="446">
        <f>IF($E482=0,0,IF(MIN(BL$38,$E482)&lt;MAX($P$34*($B482+$I$38-1),IF(AND($L$37=0,$P$34=0),"",$L$37-1)),0,YEARFRAC(MAX($P$34*($B482+$I$38-1),IF(AND($L$37=0,$P$34=0),"",$L$37-1)),MIN(BL$38,$E482),$P$20))-SUM($BF482:BK482))</f>
        <v>0</v>
      </c>
      <c r="BM482" s="446">
        <f>IF($E482=0,0,IF(MIN(BM$38,$E482)&lt;MAX($P$34*($B482+$I$38-1),IF(AND($L$37=0,$P$34=0),"",$L$37-1)),0,YEARFRAC(MAX($P$34*($B482+$I$38-1),IF(AND($L$37=0,$P$34=0),"",$L$37-1)),MIN(BM$38,$E482),$P$20))-SUM($BF482:BL482))</f>
        <v>0</v>
      </c>
      <c r="BN482" s="446">
        <f>IF($E482=0,0,IF(MIN(BN$38,$E482)&lt;MAX($P$34*($B482+$I$38-1),IF(AND($L$37=0,$P$34=0),"",$L$37-1)),0,YEARFRAC(MAX($P$34*($B482+$I$38-1),IF(AND($L$37=0,$P$34=0),"",$L$37-1)),MIN(BN$38,$E482),$P$20))-SUM($BF482:BM482))</f>
        <v>0</v>
      </c>
      <c r="BO482" s="446">
        <f>IF($E482=0,0,IF(MIN(BO$38,$E482)&lt;MAX($P$34*($B482+$I$38-1),IF(AND($L$37=0,$P$34=0),"",$L$37-1)),0,YEARFRAC(MAX($P$34*($B482+$I$38-1),IF(AND($L$37=0,$P$34=0),"",$L$37-1)),MIN(BO$38,$E482),$P$20))-SUM($BF482:BN482))</f>
        <v>0</v>
      </c>
      <c r="BP482" s="446">
        <f>IF($E482=0,0,IF(MIN(BP$38,$E482)&lt;MAX($P$34*($B482+$I$38-1),IF(AND($L$37=0,$P$34=0),"",$L$37-1)),0,YEARFRAC(MAX($P$34*($B482+$I$38-1),IF(AND($L$37=0,$P$34=0),"",$L$37-1)),MIN(BP$38,$E482),$P$20))-SUM($BF482:BO482))</f>
        <v>0</v>
      </c>
      <c r="BQ482" s="446">
        <f>IF($E482=0,0,IF(MIN(BQ$38,$E482)&lt;MAX($P$34*($B482+$I$38-1),IF(AND($L$37=0,$P$34=0),"",$L$37-1)),0,YEARFRAC(MAX($P$34*($B482+$I$38-1),IF(AND($L$37=0,$P$34=0),"",$L$37-1)),MIN(BQ$38,$E482),$P$20))-SUM($BF482:BP482))</f>
        <v>0</v>
      </c>
      <c r="BR482" s="446">
        <f>IF($E482=0,0,IF(MIN(BR$38,$E482)&lt;MAX($P$34*($B482+$I$38-1),IF(AND($L$37=0,$P$34=0),"",$L$37-1)),0,YEARFRAC(MAX($P$34*($B482+$I$38-1),IF(AND($L$37=0,$P$34=0),"",$L$37-1)),MIN(BR$38,$E482),$P$20))-SUM($BF482:BQ482))</f>
        <v>0</v>
      </c>
      <c r="BS482" s="446">
        <f>IF($E482=0,0,IF(MIN(BS$38,$E482)&lt;MAX($P$34*($B482+$I$38-1),IF(AND($L$37=0,$P$34=0),"",$L$37-1)),0,YEARFRAC(MAX($P$34*($B482+$I$38-1),IF(AND($L$37=0,$P$34=0),"",$L$37-1)),MIN(BS$38,$E482),$P$20))-SUM($BF482:BR482))</f>
        <v>0</v>
      </c>
      <c r="BT482" s="446">
        <f>IF($E482=0,0,IF(MIN(BT$38,$E482)&lt;MAX($P$34*($B482+$I$38-1),IF(AND($L$37=0,$P$34=0),"",$L$37-1)),0,YEARFRAC(MAX($P$34*($B482+$I$38-1),IF(AND($L$37=0,$P$34=0),"",$L$37-1)),MIN(BT$38,$E482),$P$20))-SUM($BF482:BS482))</f>
        <v>0</v>
      </c>
      <c r="BU482" s="446">
        <f>IF($E482=0,0,IF(MIN(BU$38,$E482)&lt;MAX($P$34*($B482+$I$38-1),IF(AND($L$37=0,$P$34=0),"",$L$37-1)),0,YEARFRAC(MAX($P$34*($B482+$I$38-1),IF(AND($L$37=0,$P$34=0),"",$L$37-1)),MIN(BU$38,$E482),$P$20))-SUM($BF482:BT482))</f>
        <v>0</v>
      </c>
      <c r="BV482" s="446">
        <f>IF($E482=0,0,IF(MIN(BV$38,$E482)&lt;MAX($P$34*($B482+$I$38-1),IF(AND($L$37=0,$P$34=0),"",$L$37-1)),0,YEARFRAC(MAX($P$34*($B482+$I$38-1),IF(AND($L$37=0,$P$34=0),"",$L$37-1)),MIN(BV$38,$E482),$P$20))-SUM($BF482:BU482))</f>
        <v>0</v>
      </c>
      <c r="BW482" s="446">
        <f>IF($E482=0,0,IF(MIN(BW$38,$E482)&lt;MAX($P$34*($B482+$I$38-1),IF(AND($L$37=0,$P$34=0),"",$L$37-1)),0,YEARFRAC(MAX($P$34*($B482+$I$38-1),IF(AND($L$37=0,$P$34=0),"",$L$37-1)),MIN(BW$38,$E482),$P$20))-SUM($BF482:BV482))</f>
        <v>0</v>
      </c>
      <c r="BX482" s="446">
        <f>IF($E482=0,0,IF(MIN(BX$38,$E482)&lt;MAX($P$34*($B482+$I$38-1),IF(AND($L$37=0,$P$34=0),"",$L$37-1)),0,YEARFRAC(MAX($P$34*($B482+$I$38-1),IF(AND($L$37=0,$P$34=0),"",$L$37-1)),MIN(BX$38,$E482),$P$20))-SUM($BF482:BW482))</f>
        <v>0</v>
      </c>
      <c r="BY482" s="446">
        <f>IF($E482=0,0,IF(MIN(BY$38,$E482)&lt;MAX($P$34*($B482+$I$38-1),IF(AND($L$37=0,$P$34=0),"",$L$37-1)),0,YEARFRAC(MAX($P$34*($B482+$I$38-1),IF(AND($L$37=0,$P$34=0),"",$L$37-1)),MIN(BY$38,$E482),$P$20))-SUM($BF482:BX482))</f>
        <v>0</v>
      </c>
      <c r="BZ482" s="446">
        <f>IF($E482=0,0,IF(MIN(BZ$38,$E482)&lt;MAX($P$34*($B482+$I$38-1),IF(AND($L$37=0,$P$34=0),"",$L$37-1)),0,YEARFRAC(MAX($P$34*($B482+$I$38-1),IF(AND($L$37=0,$P$34=0),"",$L$37-1)),MIN(BZ$38,$E482),$P$20))-SUM($BF482:BY482))</f>
        <v>0</v>
      </c>
      <c r="CA482" s="446">
        <f>IF($E482=0,0,IF(MIN(CA$38,$E482)&lt;MAX($P$34*($B482+$I$38-1),IF(AND($L$37=0,$P$34=0),"",$L$37-1)),0,YEARFRAC(MAX($P$34*($B482+$I$38-1),IF(AND($L$37=0,$P$34=0),"",$L$37-1)),MIN(CA$38,$E482),$P$20))-SUM($BF482:BZ482))</f>
        <v>0</v>
      </c>
      <c r="CB482" s="446">
        <f>IF($E482=0,0,IF(MIN(CB$38,$E482)&lt;MAX($P$34*($B482+$I$38-1),IF(AND($L$37=0,$P$34=0),"",$L$37-1)),0,YEARFRAC(MAX($P$34*($B482+$I$38-1),IF(AND($L$37=0,$P$34=0),"",$L$37-1)),MIN(CB$38,$E482),$P$20))-SUM($BF482:CA482))</f>
        <v>0</v>
      </c>
      <c r="CC482" s="446">
        <f>IF($E482=0,0,IF(MIN(CC$38,$E482)&lt;MAX($P$34*($B482+$I$38-1),IF(AND($L$37=0,$P$34=0),"",$L$37-1)),0,YEARFRAC(MAX($P$34*($B482+$I$38-1),IF(AND($L$37=0,$P$34=0),"",$L$37-1)),MIN(CC$38,$E482),$P$20))-SUM($BF482:CB482))</f>
        <v>0</v>
      </c>
      <c r="CD482" s="446">
        <f>IF($E482=0,0,IF(MIN(CD$38,$E482)&lt;MAX($P$34*($B482+$I$38-1),IF(AND($L$37=0,$P$34=0),"",$L$37-1)),0,YEARFRAC(MAX($P$34*($B482+$I$38-1),IF(AND($L$37=0,$P$34=0),"",$L$37-1)),MIN(CD$38,$E482),$P$20))-SUM($BF482:CC482))</f>
        <v>0</v>
      </c>
      <c r="CE482" s="446">
        <f>IF($E482=0,0,IF(MIN(CE$38,$E482)&lt;MAX($P$34*($B482+$I$38-1),IF(AND($L$37=0,$P$34=0),"",$L$37-1)),0,YEARFRAC(MAX($P$34*($B482+$I$38-1),IF(AND($L$37=0,$P$34=0),"",$L$37-1)),MIN(CE$38,$E482),$P$20))-SUM($BF482:CD482))</f>
        <v>0</v>
      </c>
      <c r="CF482" s="446">
        <f>IF($E482=0,0,IF(MIN(CF$38,$E482)&lt;MAX($P$34*($B482+$I$38-1),IF(AND($L$37=0,$P$34=0),"",$L$37-1)),0,YEARFRAC(MAX($P$34*($B482+$I$38-1),IF(AND($L$37=0,$P$34=0),"",$L$37-1)),MIN(CF$38,$E482),$P$20))-SUM($BF482:CE482))</f>
        <v>0</v>
      </c>
      <c r="CG482" s="446">
        <f>IF($E482=0,0,IF(MIN(CG$38,$E482)&lt;MAX($P$34*($B482+$I$38-1),IF(AND($L$37=0,$P$34=0),"",$L$37-1)),0,YEARFRAC(MAX($P$34*($B482+$I$38-1),IF(AND($L$37=0,$P$34=0),"",$L$37-1)),MIN(CG$38,$E482),$P$20))-SUM($BF482:CF482))</f>
        <v>0</v>
      </c>
      <c r="CH482" s="446">
        <f>IF($E482=0,0,IF(MIN(CH$38,$E482)&lt;MAX($P$34*($B482+$I$38-1),IF(AND($L$37=0,$P$34=0),"",$L$37-1)),0,YEARFRAC(MAX($P$34*($B482+$I$38-1),IF(AND($L$37=0,$P$34=0),"",$L$37-1)),MIN(CH$38,$E482),$P$20))-SUM($BF482:CG482))</f>
        <v>0</v>
      </c>
      <c r="CI482" s="446">
        <f>IF($E482=0,0,IF(MIN(CI$38,$E482)&lt;MAX($P$34*($B482+$I$38-1),IF(AND($L$37=0,$P$34=0),"",$L$37-1)),0,YEARFRAC(MAX($P$34*($B482+$I$38-1),IF(AND($L$37=0,$P$34=0),"",$L$37-1)),MIN(CI$38,$E482),$P$20))-SUM($BF482:CH482))</f>
        <v>0</v>
      </c>
      <c r="CJ482" s="446">
        <f>IF($E482=0,0,IF(MIN(CJ$38,$E482)&lt;MAX($P$34*($B482+$I$38-1),IF(AND($L$37=0,$P$34=0),"",$L$37-1)),0,YEARFRAC(MAX($P$34*($B482+$I$38-1),IF(AND($L$37=0,$P$34=0),"",$L$37-1)),MIN(CJ$38,$E482),$P$20))-SUM($BF482:CI482))</f>
        <v>0</v>
      </c>
      <c r="CK482" s="446">
        <f>IF($E482=0,0,IF(MIN(CK$38,$E482)&lt;MAX($P$34*($B482+$I$38-1),IF(AND($L$37=0,$P$34=0),"",$L$37-1)),0,YEARFRAC(MAX($P$34*($B482+$I$38-1),IF(AND($L$37=0,$P$34=0),"",$L$37-1)),MIN(CK$38,$E482),$P$20))-SUM($BF482:CJ482))</f>
        <v>0</v>
      </c>
      <c r="CL482" s="446">
        <f>IF($E482=0,0,IF(MIN(CL$38,$E482)&lt;MAX($P$34*($B482+$I$38-1),IF(AND($L$37=0,$P$34=0),"",$L$37-1)),0,YEARFRAC(MAX($P$34*($B482+$I$38-1),IF(AND($L$37=0,$P$34=0),"",$L$37-1)),MIN(CL$38,$E482),$P$20))-SUM($BF482:CK482))</f>
        <v>0</v>
      </c>
      <c r="CM482" s="446">
        <f>IF($E482=0,0,IF(MIN(CM$38,$E482)&lt;MAX($P$34*($B482+$I$38-1),IF(AND($L$37=0,$P$34=0),"",$L$37-1)),0,YEARFRAC(MAX($P$34*($B482+$I$38-1),IF(AND($L$37=0,$P$34=0),"",$L$37-1)),MIN(CM$38,$E482),$P$20))-SUM($BF482:CL482))</f>
        <v>0</v>
      </c>
      <c r="CN482" s="446">
        <f>IF($E482=0,0,IF(MIN(CN$38,$E482)&lt;MAX($P$34*($B482+$I$38-1),IF(AND($L$37=0,$P$34=0),"",$L$37-1)),0,YEARFRAC(MAX($P$34*($B482+$I$38-1),IF(AND($L$37=0,$P$34=0),"",$L$37-1)),MIN(CN$38,$E482),$P$20))-SUM($BF482:CM482))</f>
        <v>0</v>
      </c>
      <c r="CO482" s="446">
        <f>IF($E482=0,0,IF(MIN(CO$38,$E482)&lt;MAX($P$34*($B482+$I$38-1),IF(AND($L$37=0,$P$34=0),"",$L$37-1)),0,YEARFRAC(MAX($P$34*($B482+$I$38-1),IF(AND($L$37=0,$P$34=0),"",$L$37-1)),MIN(CO$38,$E482),$P$20))-SUM($BF482:CN482))</f>
        <v>0</v>
      </c>
      <c r="CP482" s="446">
        <f>IF($E482=0,0,IF(MIN(CP$38,$E482)&lt;MAX($P$34*($B482+$I$38-1),IF(AND($L$37=0,$P$34=0),"",$L$37-1)),0,YEARFRAC(MAX($P$34*($B482+$I$38-1),IF(AND($L$37=0,$P$34=0),"",$L$37-1)),MIN(CP$38,$E482),$P$20))-SUM($BF482:CO482))</f>
        <v>0</v>
      </c>
      <c r="CQ482" s="446">
        <f>IF($E482=0,0,IF(MIN(CQ$38,$E482)&lt;MAX($P$34*($B482+$I$38-1),IF(AND($L$37=0,$P$34=0),"",$L$37-1)),0,YEARFRAC(MAX($P$34*($B482+$I$38-1),IF(AND($L$37=0,$P$34=0),"",$L$37-1)),MIN(CQ$38,$E482),$P$20))-SUM($BF482:CP482))</f>
        <v>0</v>
      </c>
    </row>
    <row r="483" spans="1:95" s="446" customFormat="1" ht="11.25" hidden="1" customHeight="1" x14ac:dyDescent="0.2">
      <c r="A483" s="152"/>
      <c r="B483" s="153" t="str">
        <f t="shared" si="81"/>
        <v/>
      </c>
      <c r="C483" s="29" t="str">
        <f>IF(B483="","",IF($L$35="SELIC - TRIBUTOS",VLOOKUP(DATE(YEAR($D$19),MONTH($D$19)-1,1),ÍNDICES!$A:$DE,HLOOKUP($BL$25,ÍNDICES!$B$3:$T$4,2)+11)-VLOOKUP(B483,ÍNDICES!$A:$DE,HLOOKUP($BL$25,ÍNDICES!$B$3:$T$4,2)+11)+1%,IF(C$38=$W$26,$J$35,IF(ISERROR(IF(B483&gt;$D$19,1,VLOOKUP(DATE(YEAR(B483),MONTH(B483)+IF($C$35=$S$23,1,0),1),ÍNDICES!$A:$DE,$Z$35+1))),"",IF(B483&gt;$D$19,1,VLOOKUP(DATE(YEAR(B483),MONTH(B483)+IF($C$35=$S$23,1,0),1),ÍNDICES!$A:$DE,$Z$35+1))))))</f>
        <v/>
      </c>
      <c r="D483" s="154" t="str">
        <f>IF(ISERROR(IF(OR($D$38=$Y$27,$B483=""),"",VLOOKUP(B483,ÍNDICES!A:DE,AF$35+1))),"",IF(OR($D$38=$Y$27,$B483=""),"",VLOOKUP(B483,ÍNDICES!A:DE,AF$35+1)))</f>
        <v/>
      </c>
      <c r="E483" s="153"/>
      <c r="F483" s="29" t="str">
        <f>IF(E483="","",IF($L$35="SELIC - TRIBUTOS",VLOOKUP(DATE(YEAR($D$19),MONTH($D$19)-1,1),ÍNDICES!$A:$DE,HLOOKUP($BL$25,ÍNDICES!$B$3:$T$4,2)+11)-VLOOKUP(E483,ÍNDICES!$A:$DE,HLOOKUP($BL$25,ÍNDICES!$B$3:$T$4,2)+11)+1%,IF(F$38=$W$26,$J$35,IF(ISERROR(IF(E483&gt;$D$19,1,VLOOKUP(DATE(YEAR(E483),MONTH(E483)+IF($C$35=$S$23,1,0),1),ÍNDICES!$A:$DE,$Z$35+1))),"",IF(E483&gt;$D$19,1,VLOOKUP(DATE(YEAR(E483),MONTH(E483)+IF($C$35=$S$23,1,0),1),ÍNDICES!$A:$DE,$Z$35+1))))))</f>
        <v/>
      </c>
      <c r="G483" s="155"/>
      <c r="H483" s="156" t="str">
        <f t="shared" si="77"/>
        <v/>
      </c>
      <c r="I483" s="29" t="str">
        <f t="shared" si="71"/>
        <v/>
      </c>
      <c r="J483" s="5">
        <f t="shared" si="72"/>
        <v>0</v>
      </c>
      <c r="K483" s="20">
        <f t="shared" ca="1" si="73"/>
        <v>0</v>
      </c>
      <c r="L483" s="5">
        <f t="shared" ca="1" si="74"/>
        <v>0</v>
      </c>
      <c r="M483" s="64">
        <f t="shared" si="78"/>
        <v>0</v>
      </c>
      <c r="N483" s="61">
        <f t="shared" ca="1" si="79"/>
        <v>0</v>
      </c>
      <c r="O483" s="5">
        <f t="shared" ca="1" si="80"/>
        <v>0</v>
      </c>
      <c r="P483" s="446" t="e">
        <f t="shared" si="75"/>
        <v>#VALUE!</v>
      </c>
      <c r="Q483" s="446" t="e">
        <f>IF(OR($B483="",MIN(Q$38,$D$19)&lt;MAX($P$34*($B483+IF($R$17="Distrato",$I$38-1,0)),IF(AND($L$37=0,$P$34=0),"",$L$37-1),IF($R$17="Distrato",$E483,0))),0,YEARFRAC(MAX($P$34*($B483+IF($R$17="Distrato",$I$38-1,0)),IF(AND($L$37=0,$P$34=0),"",$L$37-1),IF($R$17="Distrato",$E483,0)),MIN(Q$38,$D$19),$P$20))-SUM($P483:P483)</f>
        <v>#VALUE!</v>
      </c>
      <c r="R483" s="446" t="e">
        <f>IF(OR($B483="",MIN(R$38,$D$19)&lt;MAX($P$34*($B483+IF($R$17="Distrato",$I$38-1,0)),IF(AND($L$37=0,$P$34=0),"",$L$37-1),IF($R$17="Distrato",$E483,0))),0,YEARFRAC(MAX($P$34*($B483+IF($R$17="Distrato",$I$38-1,0)),IF(AND($L$37=0,$P$34=0),"",$L$37-1),IF($R$17="Distrato",$E483,0)),MIN(R$38,$D$19),$P$20))-SUM($P483:Q483)</f>
        <v>#VALUE!</v>
      </c>
      <c r="S483" s="446" t="e">
        <f>IF(OR($B483="",MIN(S$38,$D$19)&lt;MAX($P$34*($B483+IF($R$17="Distrato",$I$38-1,0)),IF(AND($L$37=0,$P$34=0),"",$L$37-1),IF($R$17="Distrato",$E483,0))),0,YEARFRAC(MAX($P$34*($B483+IF($R$17="Distrato",$I$38-1,0)),IF(AND($L$37=0,$P$34=0),"",$L$37-1),IF($R$17="Distrato",$E483,0)),MIN(S$38,$D$19),$P$20))-SUM($P483:R483)</f>
        <v>#VALUE!</v>
      </c>
      <c r="T483" s="446" t="e">
        <f>IF(OR($B483="",MIN(T$38,$D$19)&lt;MAX($P$34*($B483+IF($R$17="Distrato",$I$38-1,0)),IF(AND($L$37=0,$P$34=0),"",$L$37-1),IF($R$17="Distrato",$E483,0))),0,YEARFRAC(MAX($P$34*($B483+IF($R$17="Distrato",$I$38-1,0)),IF(AND($L$37=0,$P$34=0),"",$L$37-1),IF($R$17="Distrato",$E483,0)),MIN(T$38,$D$19),$P$20))-SUM($P483:S483)</f>
        <v>#VALUE!</v>
      </c>
      <c r="U483" s="446" t="e">
        <f>IF(OR($B483="",MIN(U$38,$D$19)&lt;MAX($P$34*($B483+IF($R$17="Distrato",$I$38-1,0)),IF(AND($L$37=0,$P$34=0),"",$L$37-1),IF($R$17="Distrato",$E483,0))),0,YEARFRAC(MAX($P$34*($B483+IF($R$17="Distrato",$I$38-1,0)),IF(AND($L$37=0,$P$34=0),"",$L$37-1),IF($R$17="Distrato",$E483,0)),MIN(U$38,$D$19),$P$20))-SUM($P483:T483)</f>
        <v>#VALUE!</v>
      </c>
      <c r="V483" s="446" t="e">
        <f>IF(OR($B483="",MIN(V$38,$D$19)&lt;MAX($P$34*($B483+IF($R$17="Distrato",$I$38-1,0)),IF(AND($L$37=0,$P$34=0),"",$L$37-1),IF($R$17="Distrato",$E483,0))),0,YEARFRAC(MAX($P$34*($B483+IF($R$17="Distrato",$I$38-1,0)),IF(AND($L$37=0,$P$34=0),"",$L$37-1),IF($R$17="Distrato",$E483,0)),MIN(V$38,$D$19),$P$20))-SUM($P483:U483)</f>
        <v>#VALUE!</v>
      </c>
      <c r="W483" s="446" t="e">
        <f>IF(OR($B483="",MIN(W$38,$D$19)&lt;MAX($P$34*($B483+IF($R$17="Distrato",$I$38-1,0)),IF(AND($L$37=0,$P$34=0),"",$L$37-1),IF($R$17="Distrato",$E483,0))),0,YEARFRAC(MAX($P$34*($B483+IF($R$17="Distrato",$I$38-1,0)),IF(AND($L$37=0,$P$34=0),"",$L$37-1),IF($R$17="Distrato",$E483,0)),MIN(W$38,$D$19),$P$20))-SUM($P483:V483)</f>
        <v>#VALUE!</v>
      </c>
      <c r="X483" s="446" t="e">
        <f>IF(OR($B483="",MIN(X$38,$D$19)&lt;MAX($P$34*($B483+IF($R$17="Distrato",$I$38-1,0)),IF(AND($L$37=0,$P$34=0),"",$L$37-1),IF($R$17="Distrato",$E483,0))),0,YEARFRAC(MAX($P$34*($B483+IF($R$17="Distrato",$I$38-1,0)),IF(AND($L$37=0,$P$34=0),"",$L$37-1),IF($R$17="Distrato",$E483,0)),MIN(X$38,$D$19),$P$20))-SUM($P483:W483)</f>
        <v>#VALUE!</v>
      </c>
      <c r="Y483" s="446" t="e">
        <f>IF(OR($B483="",MIN(Y$38,$D$19)&lt;MAX($P$34*($B483+IF($R$17="Distrato",$I$38-1,0)),IF(AND($L$37=0,$P$34=0),"",$L$37-1),IF($R$17="Distrato",$E483,0))),0,YEARFRAC(MAX($P$34*($B483+IF($R$17="Distrato",$I$38-1,0)),IF(AND($L$37=0,$P$34=0),"",$L$37-1),IF($R$17="Distrato",$E483,0)),MIN(Y$38,$D$19),$P$20))-SUM($P483:X483)</f>
        <v>#VALUE!</v>
      </c>
      <c r="Z483" s="446" t="e">
        <f>IF(OR($B483="",MIN(Z$38,$D$19)&lt;MAX($P$34*($B483+IF($R$17="Distrato",$I$38-1,0)),IF(AND($L$37=0,$P$34=0),"",$L$37-1),IF($R$17="Distrato",$E483,0))),0,YEARFRAC(MAX($P$34*($B483+IF($R$17="Distrato",$I$38-1,0)),IF(AND($L$37=0,$P$34=0),"",$L$37-1),IF($R$17="Distrato",$E483,0)),MIN(Z$38,$D$19),$P$20))-SUM($P483:Y483)</f>
        <v>#VALUE!</v>
      </c>
      <c r="AA483" s="446" t="e">
        <f>IF(OR($B483="",MIN(AA$38,$D$19)&lt;MAX($P$34*($B483+IF($R$17="Distrato",$I$38-1,0)),IF(AND($L$37=0,$P$34=0),"",$L$37-1),IF($R$17="Distrato",$E483,0))),0,YEARFRAC(MAX($P$34*($B483+IF($R$17="Distrato",$I$38-1,0)),IF(AND($L$37=0,$P$34=0),"",$L$37-1),IF($R$17="Distrato",$E483,0)),MIN(AA$38,$D$19),$P$20))-SUM($P483:Z483)</f>
        <v>#VALUE!</v>
      </c>
      <c r="AB483" s="446" t="e">
        <f>IF(OR($B483="",MIN(AB$38,$D$19)&lt;MAX($P$34*($B483+IF($R$17="Distrato",$I$38-1,0)),IF(AND($L$37=0,$P$34=0),"",$L$37-1),IF($R$17="Distrato",$E483,0))),0,YEARFRAC(MAX($P$34*($B483+IF($R$17="Distrato",$I$38-1,0)),IF(AND($L$37=0,$P$34=0),"",$L$37-1),IF($R$17="Distrato",$E483,0)),MIN(AB$38,$D$19),$P$20))-SUM($P483:AA483)</f>
        <v>#VALUE!</v>
      </c>
      <c r="AC483" s="446" t="e">
        <f>IF(OR($B483="",MIN(AC$38,$D$19)&lt;MAX($P$34*($B483+IF($R$17="Distrato",$I$38-1,0)),IF(AND($L$37=0,$P$34=0),"",$L$37-1),IF($R$17="Distrato",$E483,0))),0,YEARFRAC(MAX($P$34*($B483+IF($R$17="Distrato",$I$38-1,0)),IF(AND($L$37=0,$P$34=0),"",$L$37-1),IF($R$17="Distrato",$E483,0)),MIN(AC$38,$D$19),$P$20))-SUM($P483:AB483)</f>
        <v>#VALUE!</v>
      </c>
      <c r="AD483" s="446" t="e">
        <f>IF(OR($B483="",MIN(AD$38,$D$19)&lt;MAX($P$34*($B483+IF($R$17="Distrato",$I$38-1,0)),IF(AND($L$37=0,$P$34=0),"",$L$37-1),IF($R$17="Distrato",$E483,0))),0,YEARFRAC(MAX($P$34*($B483+IF($R$17="Distrato",$I$38-1,0)),IF(AND($L$37=0,$P$34=0),"",$L$37-1),IF($R$17="Distrato",$E483,0)),MIN(AD$38,$D$19),$P$20))-SUM($P483:AC483)</f>
        <v>#VALUE!</v>
      </c>
      <c r="AE483" s="446" t="e">
        <f>IF(OR($B483="",MIN(AE$38,$D$19)&lt;MAX($P$34*($B483+IF($R$17="Distrato",$I$38-1,0)),IF(AND($L$37=0,$P$34=0),"",$L$37-1),IF($R$17="Distrato",$E483,0))),0,YEARFRAC(MAX($P$34*($B483+IF($R$17="Distrato",$I$38-1,0)),IF(AND($L$37=0,$P$34=0),"",$L$37-1),IF($R$17="Distrato",$E483,0)),MIN(AE$38,$D$19),$P$20))-SUM($P483:AD483)</f>
        <v>#VALUE!</v>
      </c>
      <c r="AF483" s="446" t="e">
        <f>IF(OR($B483="",MIN(AF$38,$D$19)&lt;MAX($P$34*($B483+IF($R$17="Distrato",$I$38-1,0)),IF(AND($L$37=0,$P$34=0),"",$L$37-1),IF($R$17="Distrato",$E483,0))),0,YEARFRAC(MAX($P$34*($B483+IF($R$17="Distrato",$I$38-1,0)),IF(AND($L$37=0,$P$34=0),"",$L$37-1),IF($R$17="Distrato",$E483,0)),MIN(AF$38,$D$19),$P$20))-SUM($P483:AE483)</f>
        <v>#VALUE!</v>
      </c>
      <c r="AG483" s="446" t="e">
        <f>IF(OR($B483="",MIN(AG$38,$D$19)&lt;MAX($P$34*($B483+IF($R$17="Distrato",$I$38-1,0)),IF(AND($L$37=0,$P$34=0),"",$L$37-1),IF($R$17="Distrato",$E483,0))),0,YEARFRAC(MAX($P$34*($B483+IF($R$17="Distrato",$I$38-1,0)),IF(AND($L$37=0,$P$34=0),"",$L$37-1),IF($R$17="Distrato",$E483,0)),MIN(AG$38,$D$19),$P$20))-SUM($P483:AF483)</f>
        <v>#VALUE!</v>
      </c>
      <c r="AH483" s="446" t="e">
        <f>IF(OR($B483="",MIN(AH$38,$D$19)&lt;MAX($P$34*($B483+IF($R$17="Distrato",$I$38-1,0)),IF(AND($L$37=0,$P$34=0),"",$L$37-1),IF($R$17="Distrato",$E483,0))),0,YEARFRAC(MAX($P$34*($B483+IF($R$17="Distrato",$I$38-1,0)),IF(AND($L$37=0,$P$34=0),"",$L$37-1),IF($R$17="Distrato",$E483,0)),MIN(AH$38,$D$19),$P$20))-SUM($P483:AG483)</f>
        <v>#VALUE!</v>
      </c>
      <c r="AI483" s="446" t="e">
        <f>IF(OR($B483="",MIN(AI$38,$D$19)&lt;MAX($P$34*($B483+IF($R$17="Distrato",$I$38-1,0)),IF(AND($L$37=0,$P$34=0),"",$L$37-1),IF($R$17="Distrato",$E483,0))),0,YEARFRAC(MAX($P$34*($B483+IF($R$17="Distrato",$I$38-1,0)),IF(AND($L$37=0,$P$34=0),"",$L$37-1),IF($R$17="Distrato",$E483,0)),MIN(AI$38,$D$19),$P$20))-SUM($P483:AH483)</f>
        <v>#VALUE!</v>
      </c>
      <c r="AJ483" s="446" t="e">
        <f>IF(OR($B483="",MIN(AJ$38,$D$19)&lt;MAX($P$34*($B483+IF($R$17="Distrato",$I$38-1,0)),IF(AND($L$37=0,$P$34=0),"",$L$37-1),IF($R$17="Distrato",$E483,0))),0,YEARFRAC(MAX($P$34*($B483+IF($R$17="Distrato",$I$38-1,0)),IF(AND($L$37=0,$P$34=0),"",$L$37-1),IF($R$17="Distrato",$E483,0)),MIN(AJ$38,$D$19),$P$20))-SUM($P483:AI483)</f>
        <v>#VALUE!</v>
      </c>
      <c r="AK483" s="446" t="e">
        <f>IF(OR($B483="",MIN(AK$38,$D$19)&lt;MAX($P$34*($B483+IF($R$17="Distrato",$I$38-1,0)),IF(AND($L$37=0,$P$34=0),"",$L$37-1),IF($R$17="Distrato",$E483,0))),0,YEARFRAC(MAX($P$34*($B483+IF($R$17="Distrato",$I$38-1,0)),IF(AND($L$37=0,$P$34=0),"",$L$37-1),IF($R$17="Distrato",$E483,0)),MIN(AK$38,$D$19),$P$20))-SUM($P483:AJ483)</f>
        <v>#VALUE!</v>
      </c>
      <c r="AL483" s="446" t="e">
        <f>IF(OR($B483="",MIN(AL$38,$D$19)&lt;MAX($P$34*($B483+IF($R$17="Distrato",$I$38-1,0)),IF(AND($L$37=0,$P$34=0),"",$L$37-1),IF($R$17="Distrato",$E483,0))),0,YEARFRAC(MAX($P$34*($B483+IF($R$17="Distrato",$I$38-1,0)),IF(AND($L$37=0,$P$34=0),"",$L$37-1),IF($R$17="Distrato",$E483,0)),MIN(AL$38,$D$19),$P$20))-SUM($P483:AK483)</f>
        <v>#VALUE!</v>
      </c>
      <c r="AM483" s="446" t="e">
        <f>IF(OR($B483="",MIN(AM$38,$D$19)&lt;MAX($P$34*($B483+IF($R$17="Distrato",$I$38-1,0)),IF(AND($L$37=0,$P$34=0),"",$L$37-1),IF($R$17="Distrato",$E483,0))),0,YEARFRAC(MAX($P$34*($B483+IF($R$17="Distrato",$I$38-1,0)),IF(AND($L$37=0,$P$34=0),"",$L$37-1),IF($R$17="Distrato",$E483,0)),MIN(AM$38,$D$19),$P$20))-SUM($P483:AL483)</f>
        <v>#VALUE!</v>
      </c>
      <c r="AN483" s="446" t="e">
        <f>IF(OR($B483="",MIN(AN$38,$D$19)&lt;MAX($P$34*($B483+IF($R$17="Distrato",$I$38-1,0)),IF(AND($L$37=0,$P$34=0),"",$L$37-1),IF($R$17="Distrato",$E483,0))),0,YEARFRAC(MAX($P$34*($B483+IF($R$17="Distrato",$I$38-1,0)),IF(AND($L$37=0,$P$34=0),"",$L$37-1),IF($R$17="Distrato",$E483,0)),MIN(AN$38,$D$19),$P$20))-SUM($P483:AM483)</f>
        <v>#VALUE!</v>
      </c>
      <c r="AO483" s="446" t="e">
        <f>IF(OR($B483="",MIN(AO$38,$D$19)&lt;MAX($P$34*($B483+IF($R$17="Distrato",$I$38-1,0)),IF(AND($L$37=0,$P$34=0),"",$L$37-1),IF($R$17="Distrato",$E483,0))),0,YEARFRAC(MAX($P$34*($B483+IF($R$17="Distrato",$I$38-1,0)),IF(AND($L$37=0,$P$34=0),"",$L$37-1),IF($R$17="Distrato",$E483,0)),MIN(AO$38,$D$19),$P$20))-SUM($P483:AN483)</f>
        <v>#VALUE!</v>
      </c>
      <c r="AP483" s="446" t="e">
        <f>IF(OR($B483="",MIN(AP$38,$D$19)&lt;MAX($P$34*($B483+IF($R$17="Distrato",$I$38-1,0)),IF(AND($L$37=0,$P$34=0),"",$L$37-1),IF($R$17="Distrato",$E483,0))),0,YEARFRAC(MAX($P$34*($B483+IF($R$17="Distrato",$I$38-1,0)),IF(AND($L$37=0,$P$34=0),"",$L$37-1),IF($R$17="Distrato",$E483,0)),MIN(AP$38,$D$19),$P$20))-SUM($P483:AO483)</f>
        <v>#VALUE!</v>
      </c>
      <c r="AQ483" s="446" t="e">
        <f>IF(OR($B483="",MIN(AQ$38,$D$19)&lt;MAX($P$34*($B483+IF($R$17="Distrato",$I$38-1,0)),IF(AND($L$37=0,$P$34=0),"",$L$37-1),IF($R$17="Distrato",$E483,0))),0,YEARFRAC(MAX($P$34*($B483+IF($R$17="Distrato",$I$38-1,0)),IF(AND($L$37=0,$P$34=0),"",$L$37-1),IF($R$17="Distrato",$E483,0)),MIN(AQ$38,$D$19),$P$20))-SUM($P483:AP483)</f>
        <v>#VALUE!</v>
      </c>
      <c r="AR483" s="446" t="e">
        <f>IF(OR($B483="",MIN(AR$38,$D$19)&lt;MAX($P$34*($B483+IF($R$17="Distrato",$I$38-1,0)),IF(AND($L$37=0,$P$34=0),"",$L$37-1),IF($R$17="Distrato",$E483,0))),0,YEARFRAC(MAX($P$34*($B483+IF($R$17="Distrato",$I$38-1,0)),IF(AND($L$37=0,$P$34=0),"",$L$37-1),IF($R$17="Distrato",$E483,0)),MIN(AR$38,$D$19),$P$20))-SUM($P483:AQ483)</f>
        <v>#VALUE!</v>
      </c>
      <c r="AS483" s="446" t="e">
        <f>IF(OR($B483="",MIN(AS$38,$D$19)&lt;MAX($P$34*($B483+IF($R$17="Distrato",$I$38-1,0)),IF(AND($L$37=0,$P$34=0),"",$L$37-1),IF($R$17="Distrato",$E483,0))),0,YEARFRAC(MAX($P$34*($B483+IF($R$17="Distrato",$I$38-1,0)),IF(AND($L$37=0,$P$34=0),"",$L$37-1),IF($R$17="Distrato",$E483,0)),MIN(AS$38,$D$19),$P$20))-SUM($P483:AR483)</f>
        <v>#VALUE!</v>
      </c>
      <c r="AT483" s="446" t="e">
        <f>IF(OR($B483="",MIN(AT$38,$D$19)&lt;MAX($P$34*($B483+IF($R$17="Distrato",$I$38-1,0)),IF(AND($L$37=0,$P$34=0),"",$L$37-1),IF($R$17="Distrato",$E483,0))),0,YEARFRAC(MAX($P$34*($B483+IF($R$17="Distrato",$I$38-1,0)),IF(AND($L$37=0,$P$34=0),"",$L$37-1),IF($R$17="Distrato",$E483,0)),MIN(AT$38,$D$19),$P$20))-SUM($P483:AS483)</f>
        <v>#VALUE!</v>
      </c>
      <c r="AU483" s="446" t="e">
        <f>IF(OR($B483="",MIN(AU$38,$D$19)&lt;MAX($P$34*($B483+IF($R$17="Distrato",$I$38-1,0)),IF(AND($L$37=0,$P$34=0),"",$L$37-1),IF($R$17="Distrato",$E483,0))),0,YEARFRAC(MAX($P$34*($B483+IF($R$17="Distrato",$I$38-1,0)),IF(AND($L$37=0,$P$34=0),"",$L$37-1),IF($R$17="Distrato",$E483,0)),MIN(AU$38,$D$19),$P$20))-SUM($P483:AT483)</f>
        <v>#VALUE!</v>
      </c>
      <c r="AV483" s="446" t="e">
        <f>IF(OR($B483="",MIN(AV$38,$D$19)&lt;MAX($P$34*($B483+IF($R$17="Distrato",$I$38-1,0)),IF(AND($L$37=0,$P$34=0),"",$L$37-1),IF($R$17="Distrato",$E483,0))),0,YEARFRAC(MAX($P$34*($B483+IF($R$17="Distrato",$I$38-1,0)),IF(AND($L$37=0,$P$34=0),"",$L$37-1),IF($R$17="Distrato",$E483,0)),MIN(AV$38,$D$19),$P$20))-SUM($P483:AU483)</f>
        <v>#VALUE!</v>
      </c>
      <c r="AW483" s="446" t="e">
        <f>IF(OR($B483="",MIN(AW$38,$D$19)&lt;MAX($P$34*($B483+IF($R$17="Distrato",$I$38-1,0)),IF(AND($L$37=0,$P$34=0),"",$L$37-1),IF($R$17="Distrato",$E483,0))),0,YEARFRAC(MAX($P$34*($B483+IF($R$17="Distrato",$I$38-1,0)),IF(AND($L$37=0,$P$34=0),"",$L$37-1),IF($R$17="Distrato",$E483,0)),MIN(AW$38,$D$19),$P$20))-SUM($P483:AV483)</f>
        <v>#VALUE!</v>
      </c>
      <c r="AX483" s="446" t="e">
        <f>IF(OR($B483="",MIN(AX$38,$D$19)&lt;MAX($P$34*($B483+IF($R$17="Distrato",$I$38-1,0)),IF(AND($L$37=0,$P$34=0),"",$L$37-1),IF($R$17="Distrato",$E483,0))),0,YEARFRAC(MAX($P$34*($B483+IF($R$17="Distrato",$I$38-1,0)),IF(AND($L$37=0,$P$34=0),"",$L$37-1),IF($R$17="Distrato",$E483,0)),MIN(AX$38,$D$19),$P$20))-SUM($P483:AW483)</f>
        <v>#VALUE!</v>
      </c>
      <c r="AY483" s="446" t="e">
        <f>IF(OR($B483="",MIN(AY$38,$D$19)&lt;MAX($P$34*($B483+IF($R$17="Distrato",$I$38-1,0)),IF(AND($L$37=0,$P$34=0),"",$L$37-1),IF($R$17="Distrato",$E483,0))),0,YEARFRAC(MAX($P$34*($B483+IF($R$17="Distrato",$I$38-1,0)),IF(AND($L$37=0,$P$34=0),"",$L$37-1),IF($R$17="Distrato",$E483,0)),MIN(AY$38,$D$19),$P$20))-SUM($P483:AX483)</f>
        <v>#VALUE!</v>
      </c>
      <c r="AZ483" s="446" t="e">
        <f>IF(OR($B483="",MIN(AZ$38,$D$19)&lt;MAX($P$34*($B483+IF($R$17="Distrato",$I$38-1,0)),IF(AND($L$37=0,$P$34=0),"",$L$37-1),IF($R$17="Distrato",$E483,0))),0,YEARFRAC(MAX($P$34*($B483+IF($R$17="Distrato",$I$38-1,0)),IF(AND($L$37=0,$P$34=0),"",$L$37-1),IF($R$17="Distrato",$E483,0)),MIN(AZ$38,$D$19),$P$20))-SUM($P483:AY483)</f>
        <v>#VALUE!</v>
      </c>
      <c r="BA483" s="446" t="e">
        <f>IF(OR($B483="",MIN(BA$38,$D$19)&lt;MAX($P$34*($B483+IF($R$17="Distrato",$I$38-1,0)),IF(AND($L$37=0,$P$34=0),"",$L$37-1),IF($R$17="Distrato",$E483,0))),0,YEARFRAC(MAX($P$34*($B483+IF($R$17="Distrato",$I$38-1,0)),IF(AND($L$37=0,$P$34=0),"",$L$37-1),IF($R$17="Distrato",$E483,0)),MIN(BA$38,$D$19),$P$20))-SUM($P483:AZ483)</f>
        <v>#VALUE!</v>
      </c>
      <c r="BB483" s="447"/>
      <c r="BF483" s="446">
        <f t="shared" si="76"/>
        <v>0</v>
      </c>
      <c r="BG483" s="446">
        <f>IF($E483=0,0,IF(MIN(BG$38,$E483)&lt;MAX($P$34*($B483+$I$38-1),IF(AND($L$37=0,$P$34=0),"",$L$37-1)),0,YEARFRAC(MAX($P$34*($B483+$I$38-1),IF(AND($L$37=0,$P$34=0),"",$L$37-1)),MIN(BG$38,$E483),$P$20))-SUM($BF483:BF483))</f>
        <v>0</v>
      </c>
      <c r="BH483" s="446">
        <f>IF($E483=0,0,IF(MIN(BH$38,$E483)&lt;MAX($P$34*($B483+$I$38-1),IF(AND($L$37=0,$P$34=0),"",$L$37-1)),0,YEARFRAC(MAX($P$34*($B483+$I$38-1),IF(AND($L$37=0,$P$34=0),"",$L$37-1)),MIN(BH$38,$E483),$P$20))-SUM($BF483:BG483))</f>
        <v>0</v>
      </c>
      <c r="BI483" s="446">
        <f>IF($E483=0,0,IF(MIN(BI$38,$E483)&lt;MAX($P$34*($B483+$I$38-1),IF(AND($L$37=0,$P$34=0),"",$L$37-1)),0,YEARFRAC(MAX($P$34*($B483+$I$38-1),IF(AND($L$37=0,$P$34=0),"",$L$37-1)),MIN(BI$38,$E483),$P$20))-SUM($BF483:BH483))</f>
        <v>0</v>
      </c>
      <c r="BJ483" s="446">
        <f>IF($E483=0,0,IF(MIN(BJ$38,$E483)&lt;MAX($P$34*($B483+$I$38-1),IF(AND($L$37=0,$P$34=0),"",$L$37-1)),0,YEARFRAC(MAX($P$34*($B483+$I$38-1),IF(AND($L$37=0,$P$34=0),"",$L$37-1)),MIN(BJ$38,$E483),$P$20))-SUM($BF483:BI483))</f>
        <v>0</v>
      </c>
      <c r="BK483" s="446">
        <f>IF($E483=0,0,IF(MIN(BK$38,$E483)&lt;MAX($P$34*($B483+$I$38-1),IF(AND($L$37=0,$P$34=0),"",$L$37-1)),0,YEARFRAC(MAX($P$34*($B483+$I$38-1),IF(AND($L$37=0,$P$34=0),"",$L$37-1)),MIN(BK$38,$E483),$P$20))-SUM($BF483:BJ483))</f>
        <v>0</v>
      </c>
      <c r="BL483" s="446">
        <f>IF($E483=0,0,IF(MIN(BL$38,$E483)&lt;MAX($P$34*($B483+$I$38-1),IF(AND($L$37=0,$P$34=0),"",$L$37-1)),0,YEARFRAC(MAX($P$34*($B483+$I$38-1),IF(AND($L$37=0,$P$34=0),"",$L$37-1)),MIN(BL$38,$E483),$P$20))-SUM($BF483:BK483))</f>
        <v>0</v>
      </c>
      <c r="BM483" s="446">
        <f>IF($E483=0,0,IF(MIN(BM$38,$E483)&lt;MAX($P$34*($B483+$I$38-1),IF(AND($L$37=0,$P$34=0),"",$L$37-1)),0,YEARFRAC(MAX($P$34*($B483+$I$38-1),IF(AND($L$37=0,$P$34=0),"",$L$37-1)),MIN(BM$38,$E483),$P$20))-SUM($BF483:BL483))</f>
        <v>0</v>
      </c>
      <c r="BN483" s="446">
        <f>IF($E483=0,0,IF(MIN(BN$38,$E483)&lt;MAX($P$34*($B483+$I$38-1),IF(AND($L$37=0,$P$34=0),"",$L$37-1)),0,YEARFRAC(MAX($P$34*($B483+$I$38-1),IF(AND($L$37=0,$P$34=0),"",$L$37-1)),MIN(BN$38,$E483),$P$20))-SUM($BF483:BM483))</f>
        <v>0</v>
      </c>
      <c r="BO483" s="446">
        <f>IF($E483=0,0,IF(MIN(BO$38,$E483)&lt;MAX($P$34*($B483+$I$38-1),IF(AND($L$37=0,$P$34=0),"",$L$37-1)),0,YEARFRAC(MAX($P$34*($B483+$I$38-1),IF(AND($L$37=0,$P$34=0),"",$L$37-1)),MIN(BO$38,$E483),$P$20))-SUM($BF483:BN483))</f>
        <v>0</v>
      </c>
      <c r="BP483" s="446">
        <f>IF($E483=0,0,IF(MIN(BP$38,$E483)&lt;MAX($P$34*($B483+$I$38-1),IF(AND($L$37=0,$P$34=0),"",$L$37-1)),0,YEARFRAC(MAX($P$34*($B483+$I$38-1),IF(AND($L$37=0,$P$34=0),"",$L$37-1)),MIN(BP$38,$E483),$P$20))-SUM($BF483:BO483))</f>
        <v>0</v>
      </c>
      <c r="BQ483" s="446">
        <f>IF($E483=0,0,IF(MIN(BQ$38,$E483)&lt;MAX($P$34*($B483+$I$38-1),IF(AND($L$37=0,$P$34=0),"",$L$37-1)),0,YEARFRAC(MAX($P$34*($B483+$I$38-1),IF(AND($L$37=0,$P$34=0),"",$L$37-1)),MIN(BQ$38,$E483),$P$20))-SUM($BF483:BP483))</f>
        <v>0</v>
      </c>
      <c r="BR483" s="446">
        <f>IF($E483=0,0,IF(MIN(BR$38,$E483)&lt;MAX($P$34*($B483+$I$38-1),IF(AND($L$37=0,$P$34=0),"",$L$37-1)),0,YEARFRAC(MAX($P$34*($B483+$I$38-1),IF(AND($L$37=0,$P$34=0),"",$L$37-1)),MIN(BR$38,$E483),$P$20))-SUM($BF483:BQ483))</f>
        <v>0</v>
      </c>
      <c r="BS483" s="446">
        <f>IF($E483=0,0,IF(MIN(BS$38,$E483)&lt;MAX($P$34*($B483+$I$38-1),IF(AND($L$37=0,$P$34=0),"",$L$37-1)),0,YEARFRAC(MAX($P$34*($B483+$I$38-1),IF(AND($L$37=0,$P$34=0),"",$L$37-1)),MIN(BS$38,$E483),$P$20))-SUM($BF483:BR483))</f>
        <v>0</v>
      </c>
      <c r="BT483" s="446">
        <f>IF($E483=0,0,IF(MIN(BT$38,$E483)&lt;MAX($P$34*($B483+$I$38-1),IF(AND($L$37=0,$P$34=0),"",$L$37-1)),0,YEARFRAC(MAX($P$34*($B483+$I$38-1),IF(AND($L$37=0,$P$34=0),"",$L$37-1)),MIN(BT$38,$E483),$P$20))-SUM($BF483:BS483))</f>
        <v>0</v>
      </c>
      <c r="BU483" s="446">
        <f>IF($E483=0,0,IF(MIN(BU$38,$E483)&lt;MAX($P$34*($B483+$I$38-1),IF(AND($L$37=0,$P$34=0),"",$L$37-1)),0,YEARFRAC(MAX($P$34*($B483+$I$38-1),IF(AND($L$37=0,$P$34=0),"",$L$37-1)),MIN(BU$38,$E483),$P$20))-SUM($BF483:BT483))</f>
        <v>0</v>
      </c>
      <c r="BV483" s="446">
        <f>IF($E483=0,0,IF(MIN(BV$38,$E483)&lt;MAX($P$34*($B483+$I$38-1),IF(AND($L$37=0,$P$34=0),"",$L$37-1)),0,YEARFRAC(MAX($P$34*($B483+$I$38-1),IF(AND($L$37=0,$P$34=0),"",$L$37-1)),MIN(BV$38,$E483),$P$20))-SUM($BF483:BU483))</f>
        <v>0</v>
      </c>
      <c r="BW483" s="446">
        <f>IF($E483=0,0,IF(MIN(BW$38,$E483)&lt;MAX($P$34*($B483+$I$38-1),IF(AND($L$37=0,$P$34=0),"",$L$37-1)),0,YEARFRAC(MAX($P$34*($B483+$I$38-1),IF(AND($L$37=0,$P$34=0),"",$L$37-1)),MIN(BW$38,$E483),$P$20))-SUM($BF483:BV483))</f>
        <v>0</v>
      </c>
      <c r="BX483" s="446">
        <f>IF($E483=0,0,IF(MIN(BX$38,$E483)&lt;MAX($P$34*($B483+$I$38-1),IF(AND($L$37=0,$P$34=0),"",$L$37-1)),0,YEARFRAC(MAX($P$34*($B483+$I$38-1),IF(AND($L$37=0,$P$34=0),"",$L$37-1)),MIN(BX$38,$E483),$P$20))-SUM($BF483:BW483))</f>
        <v>0</v>
      </c>
      <c r="BY483" s="446">
        <f>IF($E483=0,0,IF(MIN(BY$38,$E483)&lt;MAX($P$34*($B483+$I$38-1),IF(AND($L$37=0,$P$34=0),"",$L$37-1)),0,YEARFRAC(MAX($P$34*($B483+$I$38-1),IF(AND($L$37=0,$P$34=0),"",$L$37-1)),MIN(BY$38,$E483),$P$20))-SUM($BF483:BX483))</f>
        <v>0</v>
      </c>
      <c r="BZ483" s="446">
        <f>IF($E483=0,0,IF(MIN(BZ$38,$E483)&lt;MAX($P$34*($B483+$I$38-1),IF(AND($L$37=0,$P$34=0),"",$L$37-1)),0,YEARFRAC(MAX($P$34*($B483+$I$38-1),IF(AND($L$37=0,$P$34=0),"",$L$37-1)),MIN(BZ$38,$E483),$P$20))-SUM($BF483:BY483))</f>
        <v>0</v>
      </c>
      <c r="CA483" s="446">
        <f>IF($E483=0,0,IF(MIN(CA$38,$E483)&lt;MAX($P$34*($B483+$I$38-1),IF(AND($L$37=0,$P$34=0),"",$L$37-1)),0,YEARFRAC(MAX($P$34*($B483+$I$38-1),IF(AND($L$37=0,$P$34=0),"",$L$37-1)),MIN(CA$38,$E483),$P$20))-SUM($BF483:BZ483))</f>
        <v>0</v>
      </c>
      <c r="CB483" s="446">
        <f>IF($E483=0,0,IF(MIN(CB$38,$E483)&lt;MAX($P$34*($B483+$I$38-1),IF(AND($L$37=0,$P$34=0),"",$L$37-1)),0,YEARFRAC(MAX($P$34*($B483+$I$38-1),IF(AND($L$37=0,$P$34=0),"",$L$37-1)),MIN(CB$38,$E483),$P$20))-SUM($BF483:CA483))</f>
        <v>0</v>
      </c>
      <c r="CC483" s="446">
        <f>IF($E483=0,0,IF(MIN(CC$38,$E483)&lt;MAX($P$34*($B483+$I$38-1),IF(AND($L$37=0,$P$34=0),"",$L$37-1)),0,YEARFRAC(MAX($P$34*($B483+$I$38-1),IF(AND($L$37=0,$P$34=0),"",$L$37-1)),MIN(CC$38,$E483),$P$20))-SUM($BF483:CB483))</f>
        <v>0</v>
      </c>
      <c r="CD483" s="446">
        <f>IF($E483=0,0,IF(MIN(CD$38,$E483)&lt;MAX($P$34*($B483+$I$38-1),IF(AND($L$37=0,$P$34=0),"",$L$37-1)),0,YEARFRAC(MAX($P$34*($B483+$I$38-1),IF(AND($L$37=0,$P$34=0),"",$L$37-1)),MIN(CD$38,$E483),$P$20))-SUM($BF483:CC483))</f>
        <v>0</v>
      </c>
      <c r="CE483" s="446">
        <f>IF($E483=0,0,IF(MIN(CE$38,$E483)&lt;MAX($P$34*($B483+$I$38-1),IF(AND($L$37=0,$P$34=0),"",$L$37-1)),0,YEARFRAC(MAX($P$34*($B483+$I$38-1),IF(AND($L$37=0,$P$34=0),"",$L$37-1)),MIN(CE$38,$E483),$P$20))-SUM($BF483:CD483))</f>
        <v>0</v>
      </c>
      <c r="CF483" s="446">
        <f>IF($E483=0,0,IF(MIN(CF$38,$E483)&lt;MAX($P$34*($B483+$I$38-1),IF(AND($L$37=0,$P$34=0),"",$L$37-1)),0,YEARFRAC(MAX($P$34*($B483+$I$38-1),IF(AND($L$37=0,$P$34=0),"",$L$37-1)),MIN(CF$38,$E483),$P$20))-SUM($BF483:CE483))</f>
        <v>0</v>
      </c>
      <c r="CG483" s="446">
        <f>IF($E483=0,0,IF(MIN(CG$38,$E483)&lt;MAX($P$34*($B483+$I$38-1),IF(AND($L$37=0,$P$34=0),"",$L$37-1)),0,YEARFRAC(MAX($P$34*($B483+$I$38-1),IF(AND($L$37=0,$P$34=0),"",$L$37-1)),MIN(CG$38,$E483),$P$20))-SUM($BF483:CF483))</f>
        <v>0</v>
      </c>
      <c r="CH483" s="446">
        <f>IF($E483=0,0,IF(MIN(CH$38,$E483)&lt;MAX($P$34*($B483+$I$38-1),IF(AND($L$37=0,$P$34=0),"",$L$37-1)),0,YEARFRAC(MAX($P$34*($B483+$I$38-1),IF(AND($L$37=0,$P$34=0),"",$L$37-1)),MIN(CH$38,$E483),$P$20))-SUM($BF483:CG483))</f>
        <v>0</v>
      </c>
      <c r="CI483" s="446">
        <f>IF($E483=0,0,IF(MIN(CI$38,$E483)&lt;MAX($P$34*($B483+$I$38-1),IF(AND($L$37=0,$P$34=0),"",$L$37-1)),0,YEARFRAC(MAX($P$34*($B483+$I$38-1),IF(AND($L$37=0,$P$34=0),"",$L$37-1)),MIN(CI$38,$E483),$P$20))-SUM($BF483:CH483))</f>
        <v>0</v>
      </c>
      <c r="CJ483" s="446">
        <f>IF($E483=0,0,IF(MIN(CJ$38,$E483)&lt;MAX($P$34*($B483+$I$38-1),IF(AND($L$37=0,$P$34=0),"",$L$37-1)),0,YEARFRAC(MAX($P$34*($B483+$I$38-1),IF(AND($L$37=0,$P$34=0),"",$L$37-1)),MIN(CJ$38,$E483),$P$20))-SUM($BF483:CI483))</f>
        <v>0</v>
      </c>
      <c r="CK483" s="446">
        <f>IF($E483=0,0,IF(MIN(CK$38,$E483)&lt;MAX($P$34*($B483+$I$38-1),IF(AND($L$37=0,$P$34=0),"",$L$37-1)),0,YEARFRAC(MAX($P$34*($B483+$I$38-1),IF(AND($L$37=0,$P$34=0),"",$L$37-1)),MIN(CK$38,$E483),$P$20))-SUM($BF483:CJ483))</f>
        <v>0</v>
      </c>
      <c r="CL483" s="446">
        <f>IF($E483=0,0,IF(MIN(CL$38,$E483)&lt;MAX($P$34*($B483+$I$38-1),IF(AND($L$37=0,$P$34=0),"",$L$37-1)),0,YEARFRAC(MAX($P$34*($B483+$I$38-1),IF(AND($L$37=0,$P$34=0),"",$L$37-1)),MIN(CL$38,$E483),$P$20))-SUM($BF483:CK483))</f>
        <v>0</v>
      </c>
      <c r="CM483" s="446">
        <f>IF($E483=0,0,IF(MIN(CM$38,$E483)&lt;MAX($P$34*($B483+$I$38-1),IF(AND($L$37=0,$P$34=0),"",$L$37-1)),0,YEARFRAC(MAX($P$34*($B483+$I$38-1),IF(AND($L$37=0,$P$34=0),"",$L$37-1)),MIN(CM$38,$E483),$P$20))-SUM($BF483:CL483))</f>
        <v>0</v>
      </c>
      <c r="CN483" s="446">
        <f>IF($E483=0,0,IF(MIN(CN$38,$E483)&lt;MAX($P$34*($B483+$I$38-1),IF(AND($L$37=0,$P$34=0),"",$L$37-1)),0,YEARFRAC(MAX($P$34*($B483+$I$38-1),IF(AND($L$37=0,$P$34=0),"",$L$37-1)),MIN(CN$38,$E483),$P$20))-SUM($BF483:CM483))</f>
        <v>0</v>
      </c>
      <c r="CO483" s="446">
        <f>IF($E483=0,0,IF(MIN(CO$38,$E483)&lt;MAX($P$34*($B483+$I$38-1),IF(AND($L$37=0,$P$34=0),"",$L$37-1)),0,YEARFRAC(MAX($P$34*($B483+$I$38-1),IF(AND($L$37=0,$P$34=0),"",$L$37-1)),MIN(CO$38,$E483),$P$20))-SUM($BF483:CN483))</f>
        <v>0</v>
      </c>
      <c r="CP483" s="446">
        <f>IF($E483=0,0,IF(MIN(CP$38,$E483)&lt;MAX($P$34*($B483+$I$38-1),IF(AND($L$37=0,$P$34=0),"",$L$37-1)),0,YEARFRAC(MAX($P$34*($B483+$I$38-1),IF(AND($L$37=0,$P$34=0),"",$L$37-1)),MIN(CP$38,$E483),$P$20))-SUM($BF483:CO483))</f>
        <v>0</v>
      </c>
      <c r="CQ483" s="446">
        <f>IF($E483=0,0,IF(MIN(CQ$38,$E483)&lt;MAX($P$34*($B483+$I$38-1),IF(AND($L$37=0,$P$34=0),"",$L$37-1)),0,YEARFRAC(MAX($P$34*($B483+$I$38-1),IF(AND($L$37=0,$P$34=0),"",$L$37-1)),MIN(CQ$38,$E483),$P$20))-SUM($BF483:CP483))</f>
        <v>0</v>
      </c>
    </row>
    <row r="484" spans="1:95" s="446" customFormat="1" ht="11.25" hidden="1" customHeight="1" x14ac:dyDescent="0.2">
      <c r="A484" s="152"/>
      <c r="B484" s="153" t="str">
        <f t="shared" si="81"/>
        <v/>
      </c>
      <c r="C484" s="29" t="str">
        <f>IF(B484="","",IF($L$35="SELIC - TRIBUTOS",VLOOKUP(DATE(YEAR($D$19),MONTH($D$19)-1,1),ÍNDICES!$A:$DE,HLOOKUP($BL$25,ÍNDICES!$B$3:$T$4,2)+11)-VLOOKUP(B484,ÍNDICES!$A:$DE,HLOOKUP($BL$25,ÍNDICES!$B$3:$T$4,2)+11)+1%,IF(C$38=$W$26,$J$35,IF(ISERROR(IF(B484&gt;$D$19,1,VLOOKUP(DATE(YEAR(B484),MONTH(B484)+IF($C$35=$S$23,1,0),1),ÍNDICES!$A:$DE,$Z$35+1))),"",IF(B484&gt;$D$19,1,VLOOKUP(DATE(YEAR(B484),MONTH(B484)+IF($C$35=$S$23,1,0),1),ÍNDICES!$A:$DE,$Z$35+1))))))</f>
        <v/>
      </c>
      <c r="D484" s="154" t="str">
        <f>IF(ISERROR(IF(OR($D$38=$Y$27,$B484=""),"",VLOOKUP(B484,ÍNDICES!A:DE,AF$35+1))),"",IF(OR($D$38=$Y$27,$B484=""),"",VLOOKUP(B484,ÍNDICES!A:DE,AF$35+1)))</f>
        <v/>
      </c>
      <c r="E484" s="153"/>
      <c r="F484" s="29" t="str">
        <f>IF(E484="","",IF($L$35="SELIC - TRIBUTOS",VLOOKUP(DATE(YEAR($D$19),MONTH($D$19)-1,1),ÍNDICES!$A:$DE,HLOOKUP($BL$25,ÍNDICES!$B$3:$T$4,2)+11)-VLOOKUP(E484,ÍNDICES!$A:$DE,HLOOKUP($BL$25,ÍNDICES!$B$3:$T$4,2)+11)+1%,IF(F$38=$W$26,$J$35,IF(ISERROR(IF(E484&gt;$D$19,1,VLOOKUP(DATE(YEAR(E484),MONTH(E484)+IF($C$35=$S$23,1,0),1),ÍNDICES!$A:$DE,$Z$35+1))),"",IF(E484&gt;$D$19,1,VLOOKUP(DATE(YEAR(E484),MONTH(E484)+IF($C$35=$S$23,1,0),1),ÍNDICES!$A:$DE,$Z$35+1))))))</f>
        <v/>
      </c>
      <c r="G484" s="155"/>
      <c r="H484" s="156" t="str">
        <f t="shared" si="77"/>
        <v/>
      </c>
      <c r="I484" s="29" t="str">
        <f t="shared" si="71"/>
        <v/>
      </c>
      <c r="J484" s="5">
        <f t="shared" si="72"/>
        <v>0</v>
      </c>
      <c r="K484" s="20">
        <f t="shared" ca="1" si="73"/>
        <v>0</v>
      </c>
      <c r="L484" s="5">
        <f t="shared" ca="1" si="74"/>
        <v>0</v>
      </c>
      <c r="M484" s="64">
        <f t="shared" si="78"/>
        <v>0</v>
      </c>
      <c r="N484" s="61">
        <f t="shared" ca="1" si="79"/>
        <v>0</v>
      </c>
      <c r="O484" s="5">
        <f t="shared" ca="1" si="80"/>
        <v>0</v>
      </c>
      <c r="P484" s="446" t="e">
        <f t="shared" si="75"/>
        <v>#VALUE!</v>
      </c>
      <c r="Q484" s="446" t="e">
        <f>IF(OR($B484="",MIN(Q$38,$D$19)&lt;MAX($P$34*($B484+IF($R$17="Distrato",$I$38-1,0)),IF(AND($L$37=0,$P$34=0),"",$L$37-1),IF($R$17="Distrato",$E484,0))),0,YEARFRAC(MAX($P$34*($B484+IF($R$17="Distrato",$I$38-1,0)),IF(AND($L$37=0,$P$34=0),"",$L$37-1),IF($R$17="Distrato",$E484,0)),MIN(Q$38,$D$19),$P$20))-SUM($P484:P484)</f>
        <v>#VALUE!</v>
      </c>
      <c r="R484" s="446" t="e">
        <f>IF(OR($B484="",MIN(R$38,$D$19)&lt;MAX($P$34*($B484+IF($R$17="Distrato",$I$38-1,0)),IF(AND($L$37=0,$P$34=0),"",$L$37-1),IF($R$17="Distrato",$E484,0))),0,YEARFRAC(MAX($P$34*($B484+IF($R$17="Distrato",$I$38-1,0)),IF(AND($L$37=0,$P$34=0),"",$L$37-1),IF($R$17="Distrato",$E484,0)),MIN(R$38,$D$19),$P$20))-SUM($P484:Q484)</f>
        <v>#VALUE!</v>
      </c>
      <c r="S484" s="446" t="e">
        <f>IF(OR($B484="",MIN(S$38,$D$19)&lt;MAX($P$34*($B484+IF($R$17="Distrato",$I$38-1,0)),IF(AND($L$37=0,$P$34=0),"",$L$37-1),IF($R$17="Distrato",$E484,0))),0,YEARFRAC(MAX($P$34*($B484+IF($R$17="Distrato",$I$38-1,0)),IF(AND($L$37=0,$P$34=0),"",$L$37-1),IF($R$17="Distrato",$E484,0)),MIN(S$38,$D$19),$P$20))-SUM($P484:R484)</f>
        <v>#VALUE!</v>
      </c>
      <c r="T484" s="446" t="e">
        <f>IF(OR($B484="",MIN(T$38,$D$19)&lt;MAX($P$34*($B484+IF($R$17="Distrato",$I$38-1,0)),IF(AND($L$37=0,$P$34=0),"",$L$37-1),IF($R$17="Distrato",$E484,0))),0,YEARFRAC(MAX($P$34*($B484+IF($R$17="Distrato",$I$38-1,0)),IF(AND($L$37=0,$P$34=0),"",$L$37-1),IF($R$17="Distrato",$E484,0)),MIN(T$38,$D$19),$P$20))-SUM($P484:S484)</f>
        <v>#VALUE!</v>
      </c>
      <c r="U484" s="446" t="e">
        <f>IF(OR($B484="",MIN(U$38,$D$19)&lt;MAX($P$34*($B484+IF($R$17="Distrato",$I$38-1,0)),IF(AND($L$37=0,$P$34=0),"",$L$37-1),IF($R$17="Distrato",$E484,0))),0,YEARFRAC(MAX($P$34*($B484+IF($R$17="Distrato",$I$38-1,0)),IF(AND($L$37=0,$P$34=0),"",$L$37-1),IF($R$17="Distrato",$E484,0)),MIN(U$38,$D$19),$P$20))-SUM($P484:T484)</f>
        <v>#VALUE!</v>
      </c>
      <c r="V484" s="446" t="e">
        <f>IF(OR($B484="",MIN(V$38,$D$19)&lt;MAX($P$34*($B484+IF($R$17="Distrato",$I$38-1,0)),IF(AND($L$37=0,$P$34=0),"",$L$37-1),IF($R$17="Distrato",$E484,0))),0,YEARFRAC(MAX($P$34*($B484+IF($R$17="Distrato",$I$38-1,0)),IF(AND($L$37=0,$P$34=0),"",$L$37-1),IF($R$17="Distrato",$E484,0)),MIN(V$38,$D$19),$P$20))-SUM($P484:U484)</f>
        <v>#VALUE!</v>
      </c>
      <c r="W484" s="446" t="e">
        <f>IF(OR($B484="",MIN(W$38,$D$19)&lt;MAX($P$34*($B484+IF($R$17="Distrato",$I$38-1,0)),IF(AND($L$37=0,$P$34=0),"",$L$37-1),IF($R$17="Distrato",$E484,0))),0,YEARFRAC(MAX($P$34*($B484+IF($R$17="Distrato",$I$38-1,0)),IF(AND($L$37=0,$P$34=0),"",$L$37-1),IF($R$17="Distrato",$E484,0)),MIN(W$38,$D$19),$P$20))-SUM($P484:V484)</f>
        <v>#VALUE!</v>
      </c>
      <c r="X484" s="446" t="e">
        <f>IF(OR($B484="",MIN(X$38,$D$19)&lt;MAX($P$34*($B484+IF($R$17="Distrato",$I$38-1,0)),IF(AND($L$37=0,$P$34=0),"",$L$37-1),IF($R$17="Distrato",$E484,0))),0,YEARFRAC(MAX($P$34*($B484+IF($R$17="Distrato",$I$38-1,0)),IF(AND($L$37=0,$P$34=0),"",$L$37-1),IF($R$17="Distrato",$E484,0)),MIN(X$38,$D$19),$P$20))-SUM($P484:W484)</f>
        <v>#VALUE!</v>
      </c>
      <c r="Y484" s="446" t="e">
        <f>IF(OR($B484="",MIN(Y$38,$D$19)&lt;MAX($P$34*($B484+IF($R$17="Distrato",$I$38-1,0)),IF(AND($L$37=0,$P$34=0),"",$L$37-1),IF($R$17="Distrato",$E484,0))),0,YEARFRAC(MAX($P$34*($B484+IF($R$17="Distrato",$I$38-1,0)),IF(AND($L$37=0,$P$34=0),"",$L$37-1),IF($R$17="Distrato",$E484,0)),MIN(Y$38,$D$19),$P$20))-SUM($P484:X484)</f>
        <v>#VALUE!</v>
      </c>
      <c r="Z484" s="446" t="e">
        <f>IF(OR($B484="",MIN(Z$38,$D$19)&lt;MAX($P$34*($B484+IF($R$17="Distrato",$I$38-1,0)),IF(AND($L$37=0,$P$34=0),"",$L$37-1),IF($R$17="Distrato",$E484,0))),0,YEARFRAC(MAX($P$34*($B484+IF($R$17="Distrato",$I$38-1,0)),IF(AND($L$37=0,$P$34=0),"",$L$37-1),IF($R$17="Distrato",$E484,0)),MIN(Z$38,$D$19),$P$20))-SUM($P484:Y484)</f>
        <v>#VALUE!</v>
      </c>
      <c r="AA484" s="446" t="e">
        <f>IF(OR($B484="",MIN(AA$38,$D$19)&lt;MAX($P$34*($B484+IF($R$17="Distrato",$I$38-1,0)),IF(AND($L$37=0,$P$34=0),"",$L$37-1),IF($R$17="Distrato",$E484,0))),0,YEARFRAC(MAX($P$34*($B484+IF($R$17="Distrato",$I$38-1,0)),IF(AND($L$37=0,$P$34=0),"",$L$37-1),IF($R$17="Distrato",$E484,0)),MIN(AA$38,$D$19),$P$20))-SUM($P484:Z484)</f>
        <v>#VALUE!</v>
      </c>
      <c r="AB484" s="446" t="e">
        <f>IF(OR($B484="",MIN(AB$38,$D$19)&lt;MAX($P$34*($B484+IF($R$17="Distrato",$I$38-1,0)),IF(AND($L$37=0,$P$34=0),"",$L$37-1),IF($R$17="Distrato",$E484,0))),0,YEARFRAC(MAX($P$34*($B484+IF($R$17="Distrato",$I$38-1,0)),IF(AND($L$37=0,$P$34=0),"",$L$37-1),IF($R$17="Distrato",$E484,0)),MIN(AB$38,$D$19),$P$20))-SUM($P484:AA484)</f>
        <v>#VALUE!</v>
      </c>
      <c r="AC484" s="446" t="e">
        <f>IF(OR($B484="",MIN(AC$38,$D$19)&lt;MAX($P$34*($B484+IF($R$17="Distrato",$I$38-1,0)),IF(AND($L$37=0,$P$34=0),"",$L$37-1),IF($R$17="Distrato",$E484,0))),0,YEARFRAC(MAX($P$34*($B484+IF($R$17="Distrato",$I$38-1,0)),IF(AND($L$37=0,$P$34=0),"",$L$37-1),IF($R$17="Distrato",$E484,0)),MIN(AC$38,$D$19),$P$20))-SUM($P484:AB484)</f>
        <v>#VALUE!</v>
      </c>
      <c r="AD484" s="446" t="e">
        <f>IF(OR($B484="",MIN(AD$38,$D$19)&lt;MAX($P$34*($B484+IF($R$17="Distrato",$I$38-1,0)),IF(AND($L$37=0,$P$34=0),"",$L$37-1),IF($R$17="Distrato",$E484,0))),0,YEARFRAC(MAX($P$34*($B484+IF($R$17="Distrato",$I$38-1,0)),IF(AND($L$37=0,$P$34=0),"",$L$37-1),IF($R$17="Distrato",$E484,0)),MIN(AD$38,$D$19),$P$20))-SUM($P484:AC484)</f>
        <v>#VALUE!</v>
      </c>
      <c r="AE484" s="446" t="e">
        <f>IF(OR($B484="",MIN(AE$38,$D$19)&lt;MAX($P$34*($B484+IF($R$17="Distrato",$I$38-1,0)),IF(AND($L$37=0,$P$34=0),"",$L$37-1),IF($R$17="Distrato",$E484,0))),0,YEARFRAC(MAX($P$34*($B484+IF($R$17="Distrato",$I$38-1,0)),IF(AND($L$37=0,$P$34=0),"",$L$37-1),IF($R$17="Distrato",$E484,0)),MIN(AE$38,$D$19),$P$20))-SUM($P484:AD484)</f>
        <v>#VALUE!</v>
      </c>
      <c r="AF484" s="446" t="e">
        <f>IF(OR($B484="",MIN(AF$38,$D$19)&lt;MAX($P$34*($B484+IF($R$17="Distrato",$I$38-1,0)),IF(AND($L$37=0,$P$34=0),"",$L$37-1),IF($R$17="Distrato",$E484,0))),0,YEARFRAC(MAX($P$34*($B484+IF($R$17="Distrato",$I$38-1,0)),IF(AND($L$37=0,$P$34=0),"",$L$37-1),IF($R$17="Distrato",$E484,0)),MIN(AF$38,$D$19),$P$20))-SUM($P484:AE484)</f>
        <v>#VALUE!</v>
      </c>
      <c r="AG484" s="446" t="e">
        <f>IF(OR($B484="",MIN(AG$38,$D$19)&lt;MAX($P$34*($B484+IF($R$17="Distrato",$I$38-1,0)),IF(AND($L$37=0,$P$34=0),"",$L$37-1),IF($R$17="Distrato",$E484,0))),0,YEARFRAC(MAX($P$34*($B484+IF($R$17="Distrato",$I$38-1,0)),IF(AND($L$37=0,$P$34=0),"",$L$37-1),IF($R$17="Distrato",$E484,0)),MIN(AG$38,$D$19),$P$20))-SUM($P484:AF484)</f>
        <v>#VALUE!</v>
      </c>
      <c r="AH484" s="446" t="e">
        <f>IF(OR($B484="",MIN(AH$38,$D$19)&lt;MAX($P$34*($B484+IF($R$17="Distrato",$I$38-1,0)),IF(AND($L$37=0,$P$34=0),"",$L$37-1),IF($R$17="Distrato",$E484,0))),0,YEARFRAC(MAX($P$34*($B484+IF($R$17="Distrato",$I$38-1,0)),IF(AND($L$37=0,$P$34=0),"",$L$37-1),IF($R$17="Distrato",$E484,0)),MIN(AH$38,$D$19),$P$20))-SUM($P484:AG484)</f>
        <v>#VALUE!</v>
      </c>
      <c r="AI484" s="446" t="e">
        <f>IF(OR($B484="",MIN(AI$38,$D$19)&lt;MAX($P$34*($B484+IF($R$17="Distrato",$I$38-1,0)),IF(AND($L$37=0,$P$34=0),"",$L$37-1),IF($R$17="Distrato",$E484,0))),0,YEARFRAC(MAX($P$34*($B484+IF($R$17="Distrato",$I$38-1,0)),IF(AND($L$37=0,$P$34=0),"",$L$37-1),IF($R$17="Distrato",$E484,0)),MIN(AI$38,$D$19),$P$20))-SUM($P484:AH484)</f>
        <v>#VALUE!</v>
      </c>
      <c r="AJ484" s="446" t="e">
        <f>IF(OR($B484="",MIN(AJ$38,$D$19)&lt;MAX($P$34*($B484+IF($R$17="Distrato",$I$38-1,0)),IF(AND($L$37=0,$P$34=0),"",$L$37-1),IF($R$17="Distrato",$E484,0))),0,YEARFRAC(MAX($P$34*($B484+IF($R$17="Distrato",$I$38-1,0)),IF(AND($L$37=0,$P$34=0),"",$L$37-1),IF($R$17="Distrato",$E484,0)),MIN(AJ$38,$D$19),$P$20))-SUM($P484:AI484)</f>
        <v>#VALUE!</v>
      </c>
      <c r="AK484" s="446" t="e">
        <f>IF(OR($B484="",MIN(AK$38,$D$19)&lt;MAX($P$34*($B484+IF($R$17="Distrato",$I$38-1,0)),IF(AND($L$37=0,$P$34=0),"",$L$37-1),IF($R$17="Distrato",$E484,0))),0,YEARFRAC(MAX($P$34*($B484+IF($R$17="Distrato",$I$38-1,0)),IF(AND($L$37=0,$P$34=0),"",$L$37-1),IF($R$17="Distrato",$E484,0)),MIN(AK$38,$D$19),$P$20))-SUM($P484:AJ484)</f>
        <v>#VALUE!</v>
      </c>
      <c r="AL484" s="446" t="e">
        <f>IF(OR($B484="",MIN(AL$38,$D$19)&lt;MAX($P$34*($B484+IF($R$17="Distrato",$I$38-1,0)),IF(AND($L$37=0,$P$34=0),"",$L$37-1),IF($R$17="Distrato",$E484,0))),0,YEARFRAC(MAX($P$34*($B484+IF($R$17="Distrato",$I$38-1,0)),IF(AND($L$37=0,$P$34=0),"",$L$37-1),IF($R$17="Distrato",$E484,0)),MIN(AL$38,$D$19),$P$20))-SUM($P484:AK484)</f>
        <v>#VALUE!</v>
      </c>
      <c r="AM484" s="446" t="e">
        <f>IF(OR($B484="",MIN(AM$38,$D$19)&lt;MAX($P$34*($B484+IF($R$17="Distrato",$I$38-1,0)),IF(AND($L$37=0,$P$34=0),"",$L$37-1),IF($R$17="Distrato",$E484,0))),0,YEARFRAC(MAX($P$34*($B484+IF($R$17="Distrato",$I$38-1,0)),IF(AND($L$37=0,$P$34=0),"",$L$37-1),IF($R$17="Distrato",$E484,0)),MIN(AM$38,$D$19),$P$20))-SUM($P484:AL484)</f>
        <v>#VALUE!</v>
      </c>
      <c r="AN484" s="446" t="e">
        <f>IF(OR($B484="",MIN(AN$38,$D$19)&lt;MAX($P$34*($B484+IF($R$17="Distrato",$I$38-1,0)),IF(AND($L$37=0,$P$34=0),"",$L$37-1),IF($R$17="Distrato",$E484,0))),0,YEARFRAC(MAX($P$34*($B484+IF($R$17="Distrato",$I$38-1,0)),IF(AND($L$37=0,$P$34=0),"",$L$37-1),IF($R$17="Distrato",$E484,0)),MIN(AN$38,$D$19),$P$20))-SUM($P484:AM484)</f>
        <v>#VALUE!</v>
      </c>
      <c r="AO484" s="446" t="e">
        <f>IF(OR($B484="",MIN(AO$38,$D$19)&lt;MAX($P$34*($B484+IF($R$17="Distrato",$I$38-1,0)),IF(AND($L$37=0,$P$34=0),"",$L$37-1),IF($R$17="Distrato",$E484,0))),0,YEARFRAC(MAX($P$34*($B484+IF($R$17="Distrato",$I$38-1,0)),IF(AND($L$37=0,$P$34=0),"",$L$37-1),IF($R$17="Distrato",$E484,0)),MIN(AO$38,$D$19),$P$20))-SUM($P484:AN484)</f>
        <v>#VALUE!</v>
      </c>
      <c r="AP484" s="446" t="e">
        <f>IF(OR($B484="",MIN(AP$38,$D$19)&lt;MAX($P$34*($B484+IF($R$17="Distrato",$I$38-1,0)),IF(AND($L$37=0,$P$34=0),"",$L$37-1),IF($R$17="Distrato",$E484,0))),0,YEARFRAC(MAX($P$34*($B484+IF($R$17="Distrato",$I$38-1,0)),IF(AND($L$37=0,$P$34=0),"",$L$37-1),IF($R$17="Distrato",$E484,0)),MIN(AP$38,$D$19),$P$20))-SUM($P484:AO484)</f>
        <v>#VALUE!</v>
      </c>
      <c r="AQ484" s="446" t="e">
        <f>IF(OR($B484="",MIN(AQ$38,$D$19)&lt;MAX($P$34*($B484+IF($R$17="Distrato",$I$38-1,0)),IF(AND($L$37=0,$P$34=0),"",$L$37-1),IF($R$17="Distrato",$E484,0))),0,YEARFRAC(MAX($P$34*($B484+IF($R$17="Distrato",$I$38-1,0)),IF(AND($L$37=0,$P$34=0),"",$L$37-1),IF($R$17="Distrato",$E484,0)),MIN(AQ$38,$D$19),$P$20))-SUM($P484:AP484)</f>
        <v>#VALUE!</v>
      </c>
      <c r="AR484" s="446" t="e">
        <f>IF(OR($B484="",MIN(AR$38,$D$19)&lt;MAX($P$34*($B484+IF($R$17="Distrato",$I$38-1,0)),IF(AND($L$37=0,$P$34=0),"",$L$37-1),IF($R$17="Distrato",$E484,0))),0,YEARFRAC(MAX($P$34*($B484+IF($R$17="Distrato",$I$38-1,0)),IF(AND($L$37=0,$P$34=0),"",$L$37-1),IF($R$17="Distrato",$E484,0)),MIN(AR$38,$D$19),$P$20))-SUM($P484:AQ484)</f>
        <v>#VALUE!</v>
      </c>
      <c r="AS484" s="446" t="e">
        <f>IF(OR($B484="",MIN(AS$38,$D$19)&lt;MAX($P$34*($B484+IF($R$17="Distrato",$I$38-1,0)),IF(AND($L$37=0,$P$34=0),"",$L$37-1),IF($R$17="Distrato",$E484,0))),0,YEARFRAC(MAX($P$34*($B484+IF($R$17="Distrato",$I$38-1,0)),IF(AND($L$37=0,$P$34=0),"",$L$37-1),IF($R$17="Distrato",$E484,0)),MIN(AS$38,$D$19),$P$20))-SUM($P484:AR484)</f>
        <v>#VALUE!</v>
      </c>
      <c r="AT484" s="446" t="e">
        <f>IF(OR($B484="",MIN(AT$38,$D$19)&lt;MAX($P$34*($B484+IF($R$17="Distrato",$I$38-1,0)),IF(AND($L$37=0,$P$34=0),"",$L$37-1),IF($R$17="Distrato",$E484,0))),0,YEARFRAC(MAX($P$34*($B484+IF($R$17="Distrato",$I$38-1,0)),IF(AND($L$37=0,$P$34=0),"",$L$37-1),IF($R$17="Distrato",$E484,0)),MIN(AT$38,$D$19),$P$20))-SUM($P484:AS484)</f>
        <v>#VALUE!</v>
      </c>
      <c r="AU484" s="446" t="e">
        <f>IF(OR($B484="",MIN(AU$38,$D$19)&lt;MAX($P$34*($B484+IF($R$17="Distrato",$I$38-1,0)),IF(AND($L$37=0,$P$34=0),"",$L$37-1),IF($R$17="Distrato",$E484,0))),0,YEARFRAC(MAX($P$34*($B484+IF($R$17="Distrato",$I$38-1,0)),IF(AND($L$37=0,$P$34=0),"",$L$37-1),IF($R$17="Distrato",$E484,0)),MIN(AU$38,$D$19),$P$20))-SUM($P484:AT484)</f>
        <v>#VALUE!</v>
      </c>
      <c r="AV484" s="446" t="e">
        <f>IF(OR($B484="",MIN(AV$38,$D$19)&lt;MAX($P$34*($B484+IF($R$17="Distrato",$I$38-1,0)),IF(AND($L$37=0,$P$34=0),"",$L$37-1),IF($R$17="Distrato",$E484,0))),0,YEARFRAC(MAX($P$34*($B484+IF($R$17="Distrato",$I$38-1,0)),IF(AND($L$37=0,$P$34=0),"",$L$37-1),IF($R$17="Distrato",$E484,0)),MIN(AV$38,$D$19),$P$20))-SUM($P484:AU484)</f>
        <v>#VALUE!</v>
      </c>
      <c r="AW484" s="446" t="e">
        <f>IF(OR($B484="",MIN(AW$38,$D$19)&lt;MAX($P$34*($B484+IF($R$17="Distrato",$I$38-1,0)),IF(AND($L$37=0,$P$34=0),"",$L$37-1),IF($R$17="Distrato",$E484,0))),0,YEARFRAC(MAX($P$34*($B484+IF($R$17="Distrato",$I$38-1,0)),IF(AND($L$37=0,$P$34=0),"",$L$37-1),IF($R$17="Distrato",$E484,0)),MIN(AW$38,$D$19),$P$20))-SUM($P484:AV484)</f>
        <v>#VALUE!</v>
      </c>
      <c r="AX484" s="446" t="e">
        <f>IF(OR($B484="",MIN(AX$38,$D$19)&lt;MAX($P$34*($B484+IF($R$17="Distrato",$I$38-1,0)),IF(AND($L$37=0,$P$34=0),"",$L$37-1),IF($R$17="Distrato",$E484,0))),0,YEARFRAC(MAX($P$34*($B484+IF($R$17="Distrato",$I$38-1,0)),IF(AND($L$37=0,$P$34=0),"",$L$37-1),IF($R$17="Distrato",$E484,0)),MIN(AX$38,$D$19),$P$20))-SUM($P484:AW484)</f>
        <v>#VALUE!</v>
      </c>
      <c r="AY484" s="446" t="e">
        <f>IF(OR($B484="",MIN(AY$38,$D$19)&lt;MAX($P$34*($B484+IF($R$17="Distrato",$I$38-1,0)),IF(AND($L$37=0,$P$34=0),"",$L$37-1),IF($R$17="Distrato",$E484,0))),0,YEARFRAC(MAX($P$34*($B484+IF($R$17="Distrato",$I$38-1,0)),IF(AND($L$37=0,$P$34=0),"",$L$37-1),IF($R$17="Distrato",$E484,0)),MIN(AY$38,$D$19),$P$20))-SUM($P484:AX484)</f>
        <v>#VALUE!</v>
      </c>
      <c r="AZ484" s="446" t="e">
        <f>IF(OR($B484="",MIN(AZ$38,$D$19)&lt;MAX($P$34*($B484+IF($R$17="Distrato",$I$38-1,0)),IF(AND($L$37=0,$P$34=0),"",$L$37-1),IF($R$17="Distrato",$E484,0))),0,YEARFRAC(MAX($P$34*($B484+IF($R$17="Distrato",$I$38-1,0)),IF(AND($L$37=0,$P$34=0),"",$L$37-1),IF($R$17="Distrato",$E484,0)),MIN(AZ$38,$D$19),$P$20))-SUM($P484:AY484)</f>
        <v>#VALUE!</v>
      </c>
      <c r="BA484" s="446" t="e">
        <f>IF(OR($B484="",MIN(BA$38,$D$19)&lt;MAX($P$34*($B484+IF($R$17="Distrato",$I$38-1,0)),IF(AND($L$37=0,$P$34=0),"",$L$37-1),IF($R$17="Distrato",$E484,0))),0,YEARFRAC(MAX($P$34*($B484+IF($R$17="Distrato",$I$38-1,0)),IF(AND($L$37=0,$P$34=0),"",$L$37-1),IF($R$17="Distrato",$E484,0)),MIN(BA$38,$D$19),$P$20))-SUM($P484:AZ484)</f>
        <v>#VALUE!</v>
      </c>
      <c r="BB484" s="447"/>
      <c r="BF484" s="446">
        <f t="shared" si="76"/>
        <v>0</v>
      </c>
      <c r="BG484" s="446">
        <f>IF($E484=0,0,IF(MIN(BG$38,$E484)&lt;MAX($P$34*($B484+$I$38-1),IF(AND($L$37=0,$P$34=0),"",$L$37-1)),0,YEARFRAC(MAX($P$34*($B484+$I$38-1),IF(AND($L$37=0,$P$34=0),"",$L$37-1)),MIN(BG$38,$E484),$P$20))-SUM($BF484:BF484))</f>
        <v>0</v>
      </c>
      <c r="BH484" s="446">
        <f>IF($E484=0,0,IF(MIN(BH$38,$E484)&lt;MAX($P$34*($B484+$I$38-1),IF(AND($L$37=0,$P$34=0),"",$L$37-1)),0,YEARFRAC(MAX($P$34*($B484+$I$38-1),IF(AND($L$37=0,$P$34=0),"",$L$37-1)),MIN(BH$38,$E484),$P$20))-SUM($BF484:BG484))</f>
        <v>0</v>
      </c>
      <c r="BI484" s="446">
        <f>IF($E484=0,0,IF(MIN(BI$38,$E484)&lt;MAX($P$34*($B484+$I$38-1),IF(AND($L$37=0,$P$34=0),"",$L$37-1)),0,YEARFRAC(MAX($P$34*($B484+$I$38-1),IF(AND($L$37=0,$P$34=0),"",$L$37-1)),MIN(BI$38,$E484),$P$20))-SUM($BF484:BH484))</f>
        <v>0</v>
      </c>
      <c r="BJ484" s="446">
        <f>IF($E484=0,0,IF(MIN(BJ$38,$E484)&lt;MAX($P$34*($B484+$I$38-1),IF(AND($L$37=0,$P$34=0),"",$L$37-1)),0,YEARFRAC(MAX($P$34*($B484+$I$38-1),IF(AND($L$37=0,$P$34=0),"",$L$37-1)),MIN(BJ$38,$E484),$P$20))-SUM($BF484:BI484))</f>
        <v>0</v>
      </c>
      <c r="BK484" s="446">
        <f>IF($E484=0,0,IF(MIN(BK$38,$E484)&lt;MAX($P$34*($B484+$I$38-1),IF(AND($L$37=0,$P$34=0),"",$L$37-1)),0,YEARFRAC(MAX($P$34*($B484+$I$38-1),IF(AND($L$37=0,$P$34=0),"",$L$37-1)),MIN(BK$38,$E484),$P$20))-SUM($BF484:BJ484))</f>
        <v>0</v>
      </c>
      <c r="BL484" s="446">
        <f>IF($E484=0,0,IF(MIN(BL$38,$E484)&lt;MAX($P$34*($B484+$I$38-1),IF(AND($L$37=0,$P$34=0),"",$L$37-1)),0,YEARFRAC(MAX($P$34*($B484+$I$38-1),IF(AND($L$37=0,$P$34=0),"",$L$37-1)),MIN(BL$38,$E484),$P$20))-SUM($BF484:BK484))</f>
        <v>0</v>
      </c>
      <c r="BM484" s="446">
        <f>IF($E484=0,0,IF(MIN(BM$38,$E484)&lt;MAX($P$34*($B484+$I$38-1),IF(AND($L$37=0,$P$34=0),"",$L$37-1)),0,YEARFRAC(MAX($P$34*($B484+$I$38-1),IF(AND($L$37=0,$P$34=0),"",$L$37-1)),MIN(BM$38,$E484),$P$20))-SUM($BF484:BL484))</f>
        <v>0</v>
      </c>
      <c r="BN484" s="446">
        <f>IF($E484=0,0,IF(MIN(BN$38,$E484)&lt;MAX($P$34*($B484+$I$38-1),IF(AND($L$37=0,$P$34=0),"",$L$37-1)),0,YEARFRAC(MAX($P$34*($B484+$I$38-1),IF(AND($L$37=0,$P$34=0),"",$L$37-1)),MIN(BN$38,$E484),$P$20))-SUM($BF484:BM484))</f>
        <v>0</v>
      </c>
      <c r="BO484" s="446">
        <f>IF($E484=0,0,IF(MIN(BO$38,$E484)&lt;MAX($P$34*($B484+$I$38-1),IF(AND($L$37=0,$P$34=0),"",$L$37-1)),0,YEARFRAC(MAX($P$34*($B484+$I$38-1),IF(AND($L$37=0,$P$34=0),"",$L$37-1)),MIN(BO$38,$E484),$P$20))-SUM($BF484:BN484))</f>
        <v>0</v>
      </c>
      <c r="BP484" s="446">
        <f>IF($E484=0,0,IF(MIN(BP$38,$E484)&lt;MAX($P$34*($B484+$I$38-1),IF(AND($L$37=0,$P$34=0),"",$L$37-1)),0,YEARFRAC(MAX($P$34*($B484+$I$38-1),IF(AND($L$37=0,$P$34=0),"",$L$37-1)),MIN(BP$38,$E484),$P$20))-SUM($BF484:BO484))</f>
        <v>0</v>
      </c>
      <c r="BQ484" s="446">
        <f>IF($E484=0,0,IF(MIN(BQ$38,$E484)&lt;MAX($P$34*($B484+$I$38-1),IF(AND($L$37=0,$P$34=0),"",$L$37-1)),0,YEARFRAC(MAX($P$34*($B484+$I$38-1),IF(AND($L$37=0,$P$34=0),"",$L$37-1)),MIN(BQ$38,$E484),$P$20))-SUM($BF484:BP484))</f>
        <v>0</v>
      </c>
      <c r="BR484" s="446">
        <f>IF($E484=0,0,IF(MIN(BR$38,$E484)&lt;MAX($P$34*($B484+$I$38-1),IF(AND($L$37=0,$P$34=0),"",$L$37-1)),0,YEARFRAC(MAX($P$34*($B484+$I$38-1),IF(AND($L$37=0,$P$34=0),"",$L$37-1)),MIN(BR$38,$E484),$P$20))-SUM($BF484:BQ484))</f>
        <v>0</v>
      </c>
      <c r="BS484" s="446">
        <f>IF($E484=0,0,IF(MIN(BS$38,$E484)&lt;MAX($P$34*($B484+$I$38-1),IF(AND($L$37=0,$P$34=0),"",$L$37-1)),0,YEARFRAC(MAX($P$34*($B484+$I$38-1),IF(AND($L$37=0,$P$34=0),"",$L$37-1)),MIN(BS$38,$E484),$P$20))-SUM($BF484:BR484))</f>
        <v>0</v>
      </c>
      <c r="BT484" s="446">
        <f>IF($E484=0,0,IF(MIN(BT$38,$E484)&lt;MAX($P$34*($B484+$I$38-1),IF(AND($L$37=0,$P$34=0),"",$L$37-1)),0,YEARFRAC(MAX($P$34*($B484+$I$38-1),IF(AND($L$37=0,$P$34=0),"",$L$37-1)),MIN(BT$38,$E484),$P$20))-SUM($BF484:BS484))</f>
        <v>0</v>
      </c>
      <c r="BU484" s="446">
        <f>IF($E484=0,0,IF(MIN(BU$38,$E484)&lt;MAX($P$34*($B484+$I$38-1),IF(AND($L$37=0,$P$34=0),"",$L$37-1)),0,YEARFRAC(MAX($P$34*($B484+$I$38-1),IF(AND($L$37=0,$P$34=0),"",$L$37-1)),MIN(BU$38,$E484),$P$20))-SUM($BF484:BT484))</f>
        <v>0</v>
      </c>
      <c r="BV484" s="446">
        <f>IF($E484=0,0,IF(MIN(BV$38,$E484)&lt;MAX($P$34*($B484+$I$38-1),IF(AND($L$37=0,$P$34=0),"",$L$37-1)),0,YEARFRAC(MAX($P$34*($B484+$I$38-1),IF(AND($L$37=0,$P$34=0),"",$L$37-1)),MIN(BV$38,$E484),$P$20))-SUM($BF484:BU484))</f>
        <v>0</v>
      </c>
      <c r="BW484" s="446">
        <f>IF($E484=0,0,IF(MIN(BW$38,$E484)&lt;MAX($P$34*($B484+$I$38-1),IF(AND($L$37=0,$P$34=0),"",$L$37-1)),0,YEARFRAC(MAX($P$34*($B484+$I$38-1),IF(AND($L$37=0,$P$34=0),"",$L$37-1)),MIN(BW$38,$E484),$P$20))-SUM($BF484:BV484))</f>
        <v>0</v>
      </c>
      <c r="BX484" s="446">
        <f>IF($E484=0,0,IF(MIN(BX$38,$E484)&lt;MAX($P$34*($B484+$I$38-1),IF(AND($L$37=0,$P$34=0),"",$L$37-1)),0,YEARFRAC(MAX($P$34*($B484+$I$38-1),IF(AND($L$37=0,$P$34=0),"",$L$37-1)),MIN(BX$38,$E484),$P$20))-SUM($BF484:BW484))</f>
        <v>0</v>
      </c>
      <c r="BY484" s="446">
        <f>IF($E484=0,0,IF(MIN(BY$38,$E484)&lt;MAX($P$34*($B484+$I$38-1),IF(AND($L$37=0,$P$34=0),"",$L$37-1)),0,YEARFRAC(MAX($P$34*($B484+$I$38-1),IF(AND($L$37=0,$P$34=0),"",$L$37-1)),MIN(BY$38,$E484),$P$20))-SUM($BF484:BX484))</f>
        <v>0</v>
      </c>
      <c r="BZ484" s="446">
        <f>IF($E484=0,0,IF(MIN(BZ$38,$E484)&lt;MAX($P$34*($B484+$I$38-1),IF(AND($L$37=0,$P$34=0),"",$L$37-1)),0,YEARFRAC(MAX($P$34*($B484+$I$38-1),IF(AND($L$37=0,$P$34=0),"",$L$37-1)),MIN(BZ$38,$E484),$P$20))-SUM($BF484:BY484))</f>
        <v>0</v>
      </c>
      <c r="CA484" s="446">
        <f>IF($E484=0,0,IF(MIN(CA$38,$E484)&lt;MAX($P$34*($B484+$I$38-1),IF(AND($L$37=0,$P$34=0),"",$L$37-1)),0,YEARFRAC(MAX($P$34*($B484+$I$38-1),IF(AND($L$37=0,$P$34=0),"",$L$37-1)),MIN(CA$38,$E484),$P$20))-SUM($BF484:BZ484))</f>
        <v>0</v>
      </c>
      <c r="CB484" s="446">
        <f>IF($E484=0,0,IF(MIN(CB$38,$E484)&lt;MAX($P$34*($B484+$I$38-1),IF(AND($L$37=0,$P$34=0),"",$L$37-1)),0,YEARFRAC(MAX($P$34*($B484+$I$38-1),IF(AND($L$37=0,$P$34=0),"",$L$37-1)),MIN(CB$38,$E484),$P$20))-SUM($BF484:CA484))</f>
        <v>0</v>
      </c>
      <c r="CC484" s="446">
        <f>IF($E484=0,0,IF(MIN(CC$38,$E484)&lt;MAX($P$34*($B484+$I$38-1),IF(AND($L$37=0,$P$34=0),"",$L$37-1)),0,YEARFRAC(MAX($P$34*($B484+$I$38-1),IF(AND($L$37=0,$P$34=0),"",$L$37-1)),MIN(CC$38,$E484),$P$20))-SUM($BF484:CB484))</f>
        <v>0</v>
      </c>
      <c r="CD484" s="446">
        <f>IF($E484=0,0,IF(MIN(CD$38,$E484)&lt;MAX($P$34*($B484+$I$38-1),IF(AND($L$37=0,$P$34=0),"",$L$37-1)),0,YEARFRAC(MAX($P$34*($B484+$I$38-1),IF(AND($L$37=0,$P$34=0),"",$L$37-1)),MIN(CD$38,$E484),$P$20))-SUM($BF484:CC484))</f>
        <v>0</v>
      </c>
      <c r="CE484" s="446">
        <f>IF($E484=0,0,IF(MIN(CE$38,$E484)&lt;MAX($P$34*($B484+$I$38-1),IF(AND($L$37=0,$P$34=0),"",$L$37-1)),0,YEARFRAC(MAX($P$34*($B484+$I$38-1),IF(AND($L$37=0,$P$34=0),"",$L$37-1)),MIN(CE$38,$E484),$P$20))-SUM($BF484:CD484))</f>
        <v>0</v>
      </c>
      <c r="CF484" s="446">
        <f>IF($E484=0,0,IF(MIN(CF$38,$E484)&lt;MAX($P$34*($B484+$I$38-1),IF(AND($L$37=0,$P$34=0),"",$L$37-1)),0,YEARFRAC(MAX($P$34*($B484+$I$38-1),IF(AND($L$37=0,$P$34=0),"",$L$37-1)),MIN(CF$38,$E484),$P$20))-SUM($BF484:CE484))</f>
        <v>0</v>
      </c>
      <c r="CG484" s="446">
        <f>IF($E484=0,0,IF(MIN(CG$38,$E484)&lt;MAX($P$34*($B484+$I$38-1),IF(AND($L$37=0,$P$34=0),"",$L$37-1)),0,YEARFRAC(MAX($P$34*($B484+$I$38-1),IF(AND($L$37=0,$P$34=0),"",$L$37-1)),MIN(CG$38,$E484),$P$20))-SUM($BF484:CF484))</f>
        <v>0</v>
      </c>
      <c r="CH484" s="446">
        <f>IF($E484=0,0,IF(MIN(CH$38,$E484)&lt;MAX($P$34*($B484+$I$38-1),IF(AND($L$37=0,$P$34=0),"",$L$37-1)),0,YEARFRAC(MAX($P$34*($B484+$I$38-1),IF(AND($L$37=0,$P$34=0),"",$L$37-1)),MIN(CH$38,$E484),$P$20))-SUM($BF484:CG484))</f>
        <v>0</v>
      </c>
      <c r="CI484" s="446">
        <f>IF($E484=0,0,IF(MIN(CI$38,$E484)&lt;MAX($P$34*($B484+$I$38-1),IF(AND($L$37=0,$P$34=0),"",$L$37-1)),0,YEARFRAC(MAX($P$34*($B484+$I$38-1),IF(AND($L$37=0,$P$34=0),"",$L$37-1)),MIN(CI$38,$E484),$P$20))-SUM($BF484:CH484))</f>
        <v>0</v>
      </c>
      <c r="CJ484" s="446">
        <f>IF($E484=0,0,IF(MIN(CJ$38,$E484)&lt;MAX($P$34*($B484+$I$38-1),IF(AND($L$37=0,$P$34=0),"",$L$37-1)),0,YEARFRAC(MAX($P$34*($B484+$I$38-1),IF(AND($L$37=0,$P$34=0),"",$L$37-1)),MIN(CJ$38,$E484),$P$20))-SUM($BF484:CI484))</f>
        <v>0</v>
      </c>
      <c r="CK484" s="446">
        <f>IF($E484=0,0,IF(MIN(CK$38,$E484)&lt;MAX($P$34*($B484+$I$38-1),IF(AND($L$37=0,$P$34=0),"",$L$37-1)),0,YEARFRAC(MAX($P$34*($B484+$I$38-1),IF(AND($L$37=0,$P$34=0),"",$L$37-1)),MIN(CK$38,$E484),$P$20))-SUM($BF484:CJ484))</f>
        <v>0</v>
      </c>
      <c r="CL484" s="446">
        <f>IF($E484=0,0,IF(MIN(CL$38,$E484)&lt;MAX($P$34*($B484+$I$38-1),IF(AND($L$37=0,$P$34=0),"",$L$37-1)),0,YEARFRAC(MAX($P$34*($B484+$I$38-1),IF(AND($L$37=0,$P$34=0),"",$L$37-1)),MIN(CL$38,$E484),$P$20))-SUM($BF484:CK484))</f>
        <v>0</v>
      </c>
      <c r="CM484" s="446">
        <f>IF($E484=0,0,IF(MIN(CM$38,$E484)&lt;MAX($P$34*($B484+$I$38-1),IF(AND($L$37=0,$P$34=0),"",$L$37-1)),0,YEARFRAC(MAX($P$34*($B484+$I$38-1),IF(AND($L$37=0,$P$34=0),"",$L$37-1)),MIN(CM$38,$E484),$P$20))-SUM($BF484:CL484))</f>
        <v>0</v>
      </c>
      <c r="CN484" s="446">
        <f>IF($E484=0,0,IF(MIN(CN$38,$E484)&lt;MAX($P$34*($B484+$I$38-1),IF(AND($L$37=0,$P$34=0),"",$L$37-1)),0,YEARFRAC(MAX($P$34*($B484+$I$38-1),IF(AND($L$37=0,$P$34=0),"",$L$37-1)),MIN(CN$38,$E484),$P$20))-SUM($BF484:CM484))</f>
        <v>0</v>
      </c>
      <c r="CO484" s="446">
        <f>IF($E484=0,0,IF(MIN(CO$38,$E484)&lt;MAX($P$34*($B484+$I$38-1),IF(AND($L$37=0,$P$34=0),"",$L$37-1)),0,YEARFRAC(MAX($P$34*($B484+$I$38-1),IF(AND($L$37=0,$P$34=0),"",$L$37-1)),MIN(CO$38,$E484),$P$20))-SUM($BF484:CN484))</f>
        <v>0</v>
      </c>
      <c r="CP484" s="446">
        <f>IF($E484=0,0,IF(MIN(CP$38,$E484)&lt;MAX($P$34*($B484+$I$38-1),IF(AND($L$37=0,$P$34=0),"",$L$37-1)),0,YEARFRAC(MAX($P$34*($B484+$I$38-1),IF(AND($L$37=0,$P$34=0),"",$L$37-1)),MIN(CP$38,$E484),$P$20))-SUM($BF484:CO484))</f>
        <v>0</v>
      </c>
      <c r="CQ484" s="446">
        <f>IF($E484=0,0,IF(MIN(CQ$38,$E484)&lt;MAX($P$34*($B484+$I$38-1),IF(AND($L$37=0,$P$34=0),"",$L$37-1)),0,YEARFRAC(MAX($P$34*($B484+$I$38-1),IF(AND($L$37=0,$P$34=0),"",$L$37-1)),MIN(CQ$38,$E484),$P$20))-SUM($BF484:CP484))</f>
        <v>0</v>
      </c>
    </row>
    <row r="485" spans="1:95" s="446" customFormat="1" ht="11.25" hidden="1" customHeight="1" x14ac:dyDescent="0.2">
      <c r="A485" s="152"/>
      <c r="B485" s="153" t="str">
        <f t="shared" si="81"/>
        <v/>
      </c>
      <c r="C485" s="29" t="str">
        <f>IF(B485="","",IF($L$35="SELIC - TRIBUTOS",VLOOKUP(DATE(YEAR($D$19),MONTH($D$19)-1,1),ÍNDICES!$A:$DE,HLOOKUP($BL$25,ÍNDICES!$B$3:$T$4,2)+11)-VLOOKUP(B485,ÍNDICES!$A:$DE,HLOOKUP($BL$25,ÍNDICES!$B$3:$T$4,2)+11)+1%,IF(C$38=$W$26,$J$35,IF(ISERROR(IF(B485&gt;$D$19,1,VLOOKUP(DATE(YEAR(B485),MONTH(B485)+IF($C$35=$S$23,1,0),1),ÍNDICES!$A:$DE,$Z$35+1))),"",IF(B485&gt;$D$19,1,VLOOKUP(DATE(YEAR(B485),MONTH(B485)+IF($C$35=$S$23,1,0),1),ÍNDICES!$A:$DE,$Z$35+1))))))</f>
        <v/>
      </c>
      <c r="D485" s="154" t="str">
        <f>IF(ISERROR(IF(OR($D$38=$Y$27,$B485=""),"",VLOOKUP(B485,ÍNDICES!A:DE,AF$35+1))),"",IF(OR($D$38=$Y$27,$B485=""),"",VLOOKUP(B485,ÍNDICES!A:DE,AF$35+1)))</f>
        <v/>
      </c>
      <c r="E485" s="153"/>
      <c r="F485" s="29" t="str">
        <f>IF(E485="","",IF($L$35="SELIC - TRIBUTOS",VLOOKUP(DATE(YEAR($D$19),MONTH($D$19)-1,1),ÍNDICES!$A:$DE,HLOOKUP($BL$25,ÍNDICES!$B$3:$T$4,2)+11)-VLOOKUP(E485,ÍNDICES!$A:$DE,HLOOKUP($BL$25,ÍNDICES!$B$3:$T$4,2)+11)+1%,IF(F$38=$W$26,$J$35,IF(ISERROR(IF(E485&gt;$D$19,1,VLOOKUP(DATE(YEAR(E485),MONTH(E485)+IF($C$35=$S$23,1,0),1),ÍNDICES!$A:$DE,$Z$35+1))),"",IF(E485&gt;$D$19,1,VLOOKUP(DATE(YEAR(E485),MONTH(E485)+IF($C$35=$S$23,1,0),1),ÍNDICES!$A:$DE,$Z$35+1))))))</f>
        <v/>
      </c>
      <c r="G485" s="155"/>
      <c r="H485" s="156" t="str">
        <f t="shared" si="77"/>
        <v/>
      </c>
      <c r="I485" s="29" t="str">
        <f t="shared" si="71"/>
        <v/>
      </c>
      <c r="J485" s="5">
        <f t="shared" si="72"/>
        <v>0</v>
      </c>
      <c r="K485" s="20">
        <f t="shared" ca="1" si="73"/>
        <v>0</v>
      </c>
      <c r="L485" s="5">
        <f t="shared" ca="1" si="74"/>
        <v>0</v>
      </c>
      <c r="M485" s="64">
        <f t="shared" si="78"/>
        <v>0</v>
      </c>
      <c r="N485" s="61">
        <f t="shared" ca="1" si="79"/>
        <v>0</v>
      </c>
      <c r="O485" s="5">
        <f t="shared" ca="1" si="80"/>
        <v>0</v>
      </c>
      <c r="P485" s="446" t="e">
        <f t="shared" si="75"/>
        <v>#VALUE!</v>
      </c>
      <c r="Q485" s="446" t="e">
        <f>IF(OR($B485="",MIN(Q$38,$D$19)&lt;MAX($P$34*($B485+IF($R$17="Distrato",$I$38-1,0)),IF(AND($L$37=0,$P$34=0),"",$L$37-1),IF($R$17="Distrato",$E485,0))),0,YEARFRAC(MAX($P$34*($B485+IF($R$17="Distrato",$I$38-1,0)),IF(AND($L$37=0,$P$34=0),"",$L$37-1),IF($R$17="Distrato",$E485,0)),MIN(Q$38,$D$19),$P$20))-SUM($P485:P485)</f>
        <v>#VALUE!</v>
      </c>
      <c r="R485" s="446" t="e">
        <f>IF(OR($B485="",MIN(R$38,$D$19)&lt;MAX($P$34*($B485+IF($R$17="Distrato",$I$38-1,0)),IF(AND($L$37=0,$P$34=0),"",$L$37-1),IF($R$17="Distrato",$E485,0))),0,YEARFRAC(MAX($P$34*($B485+IF($R$17="Distrato",$I$38-1,0)),IF(AND($L$37=0,$P$34=0),"",$L$37-1),IF($R$17="Distrato",$E485,0)),MIN(R$38,$D$19),$P$20))-SUM($P485:Q485)</f>
        <v>#VALUE!</v>
      </c>
      <c r="S485" s="446" t="e">
        <f>IF(OR($B485="",MIN(S$38,$D$19)&lt;MAX($P$34*($B485+IF($R$17="Distrato",$I$38-1,0)),IF(AND($L$37=0,$P$34=0),"",$L$37-1),IF($R$17="Distrato",$E485,0))),0,YEARFRAC(MAX($P$34*($B485+IF($R$17="Distrato",$I$38-1,0)),IF(AND($L$37=0,$P$34=0),"",$L$37-1),IF($R$17="Distrato",$E485,0)),MIN(S$38,$D$19),$P$20))-SUM($P485:R485)</f>
        <v>#VALUE!</v>
      </c>
      <c r="T485" s="446" t="e">
        <f>IF(OR($B485="",MIN(T$38,$D$19)&lt;MAX($P$34*($B485+IF($R$17="Distrato",$I$38-1,0)),IF(AND($L$37=0,$P$34=0),"",$L$37-1),IF($R$17="Distrato",$E485,0))),0,YEARFRAC(MAX($P$34*($B485+IF($R$17="Distrato",$I$38-1,0)),IF(AND($L$37=0,$P$34=0),"",$L$37-1),IF($R$17="Distrato",$E485,0)),MIN(T$38,$D$19),$P$20))-SUM($P485:S485)</f>
        <v>#VALUE!</v>
      </c>
      <c r="U485" s="446" t="e">
        <f>IF(OR($B485="",MIN(U$38,$D$19)&lt;MAX($P$34*($B485+IF($R$17="Distrato",$I$38-1,0)),IF(AND($L$37=0,$P$34=0),"",$L$37-1),IF($R$17="Distrato",$E485,0))),0,YEARFRAC(MAX($P$34*($B485+IF($R$17="Distrato",$I$38-1,0)),IF(AND($L$37=0,$P$34=0),"",$L$37-1),IF($R$17="Distrato",$E485,0)),MIN(U$38,$D$19),$P$20))-SUM($P485:T485)</f>
        <v>#VALUE!</v>
      </c>
      <c r="V485" s="446" t="e">
        <f>IF(OR($B485="",MIN(V$38,$D$19)&lt;MAX($P$34*($B485+IF($R$17="Distrato",$I$38-1,0)),IF(AND($L$37=0,$P$34=0),"",$L$37-1),IF($R$17="Distrato",$E485,0))),0,YEARFRAC(MAX($P$34*($B485+IF($R$17="Distrato",$I$38-1,0)),IF(AND($L$37=0,$P$34=0),"",$L$37-1),IF($R$17="Distrato",$E485,0)),MIN(V$38,$D$19),$P$20))-SUM($P485:U485)</f>
        <v>#VALUE!</v>
      </c>
      <c r="W485" s="446" t="e">
        <f>IF(OR($B485="",MIN(W$38,$D$19)&lt;MAX($P$34*($B485+IF($R$17="Distrato",$I$38-1,0)),IF(AND($L$37=0,$P$34=0),"",$L$37-1),IF($R$17="Distrato",$E485,0))),0,YEARFRAC(MAX($P$34*($B485+IF($R$17="Distrato",$I$38-1,0)),IF(AND($L$37=0,$P$34=0),"",$L$37-1),IF($R$17="Distrato",$E485,0)),MIN(W$38,$D$19),$P$20))-SUM($P485:V485)</f>
        <v>#VALUE!</v>
      </c>
      <c r="X485" s="446" t="e">
        <f>IF(OR($B485="",MIN(X$38,$D$19)&lt;MAX($P$34*($B485+IF($R$17="Distrato",$I$38-1,0)),IF(AND($L$37=0,$P$34=0),"",$L$37-1),IF($R$17="Distrato",$E485,0))),0,YEARFRAC(MAX($P$34*($B485+IF($R$17="Distrato",$I$38-1,0)),IF(AND($L$37=0,$P$34=0),"",$L$37-1),IF($R$17="Distrato",$E485,0)),MIN(X$38,$D$19),$P$20))-SUM($P485:W485)</f>
        <v>#VALUE!</v>
      </c>
      <c r="Y485" s="446" t="e">
        <f>IF(OR($B485="",MIN(Y$38,$D$19)&lt;MAX($P$34*($B485+IF($R$17="Distrato",$I$38-1,0)),IF(AND($L$37=0,$P$34=0),"",$L$37-1),IF($R$17="Distrato",$E485,0))),0,YEARFRAC(MAX($P$34*($B485+IF($R$17="Distrato",$I$38-1,0)),IF(AND($L$37=0,$P$34=0),"",$L$37-1),IF($R$17="Distrato",$E485,0)),MIN(Y$38,$D$19),$P$20))-SUM($P485:X485)</f>
        <v>#VALUE!</v>
      </c>
      <c r="Z485" s="446" t="e">
        <f>IF(OR($B485="",MIN(Z$38,$D$19)&lt;MAX($P$34*($B485+IF($R$17="Distrato",$I$38-1,0)),IF(AND($L$37=0,$P$34=0),"",$L$37-1),IF($R$17="Distrato",$E485,0))),0,YEARFRAC(MAX($P$34*($B485+IF($R$17="Distrato",$I$38-1,0)),IF(AND($L$37=0,$P$34=0),"",$L$37-1),IF($R$17="Distrato",$E485,0)),MIN(Z$38,$D$19),$P$20))-SUM($P485:Y485)</f>
        <v>#VALUE!</v>
      </c>
      <c r="AA485" s="446" t="e">
        <f>IF(OR($B485="",MIN(AA$38,$D$19)&lt;MAX($P$34*($B485+IF($R$17="Distrato",$I$38-1,0)),IF(AND($L$37=0,$P$34=0),"",$L$37-1),IF($R$17="Distrato",$E485,0))),0,YEARFRAC(MAX($P$34*($B485+IF($R$17="Distrato",$I$38-1,0)),IF(AND($L$37=0,$P$34=0),"",$L$37-1),IF($R$17="Distrato",$E485,0)),MIN(AA$38,$D$19),$P$20))-SUM($P485:Z485)</f>
        <v>#VALUE!</v>
      </c>
      <c r="AB485" s="446" t="e">
        <f>IF(OR($B485="",MIN(AB$38,$D$19)&lt;MAX($P$34*($B485+IF($R$17="Distrato",$I$38-1,0)),IF(AND($L$37=0,$P$34=0),"",$L$37-1),IF($R$17="Distrato",$E485,0))),0,YEARFRAC(MAX($P$34*($B485+IF($R$17="Distrato",$I$38-1,0)),IF(AND($L$37=0,$P$34=0),"",$L$37-1),IF($R$17="Distrato",$E485,0)),MIN(AB$38,$D$19),$P$20))-SUM($P485:AA485)</f>
        <v>#VALUE!</v>
      </c>
      <c r="AC485" s="446" t="e">
        <f>IF(OR($B485="",MIN(AC$38,$D$19)&lt;MAX($P$34*($B485+IF($R$17="Distrato",$I$38-1,0)),IF(AND($L$37=0,$P$34=0),"",$L$37-1),IF($R$17="Distrato",$E485,0))),0,YEARFRAC(MAX($P$34*($B485+IF($R$17="Distrato",$I$38-1,0)),IF(AND($L$37=0,$P$34=0),"",$L$37-1),IF($R$17="Distrato",$E485,0)),MIN(AC$38,$D$19),$P$20))-SUM($P485:AB485)</f>
        <v>#VALUE!</v>
      </c>
      <c r="AD485" s="446" t="e">
        <f>IF(OR($B485="",MIN(AD$38,$D$19)&lt;MAX($P$34*($B485+IF($R$17="Distrato",$I$38-1,0)),IF(AND($L$37=0,$P$34=0),"",$L$37-1),IF($R$17="Distrato",$E485,0))),0,YEARFRAC(MAX($P$34*($B485+IF($R$17="Distrato",$I$38-1,0)),IF(AND($L$37=0,$P$34=0),"",$L$37-1),IF($R$17="Distrato",$E485,0)),MIN(AD$38,$D$19),$P$20))-SUM($P485:AC485)</f>
        <v>#VALUE!</v>
      </c>
      <c r="AE485" s="446" t="e">
        <f>IF(OR($B485="",MIN(AE$38,$D$19)&lt;MAX($P$34*($B485+IF($R$17="Distrato",$I$38-1,0)),IF(AND($L$37=0,$P$34=0),"",$L$37-1),IF($R$17="Distrato",$E485,0))),0,YEARFRAC(MAX($P$34*($B485+IF($R$17="Distrato",$I$38-1,0)),IF(AND($L$37=0,$P$34=0),"",$L$37-1),IF($R$17="Distrato",$E485,0)),MIN(AE$38,$D$19),$P$20))-SUM($P485:AD485)</f>
        <v>#VALUE!</v>
      </c>
      <c r="AF485" s="446" t="e">
        <f>IF(OR($B485="",MIN(AF$38,$D$19)&lt;MAX($P$34*($B485+IF($R$17="Distrato",$I$38-1,0)),IF(AND($L$37=0,$P$34=0),"",$L$37-1),IF($R$17="Distrato",$E485,0))),0,YEARFRAC(MAX($P$34*($B485+IF($R$17="Distrato",$I$38-1,0)),IF(AND($L$37=0,$P$34=0),"",$L$37-1),IF($R$17="Distrato",$E485,0)),MIN(AF$38,$D$19),$P$20))-SUM($P485:AE485)</f>
        <v>#VALUE!</v>
      </c>
      <c r="AG485" s="446" t="e">
        <f>IF(OR($B485="",MIN(AG$38,$D$19)&lt;MAX($P$34*($B485+IF($R$17="Distrato",$I$38-1,0)),IF(AND($L$37=0,$P$34=0),"",$L$37-1),IF($R$17="Distrato",$E485,0))),0,YEARFRAC(MAX($P$34*($B485+IF($R$17="Distrato",$I$38-1,0)),IF(AND($L$37=0,$P$34=0),"",$L$37-1),IF($R$17="Distrato",$E485,0)),MIN(AG$38,$D$19),$P$20))-SUM($P485:AF485)</f>
        <v>#VALUE!</v>
      </c>
      <c r="AH485" s="446" t="e">
        <f>IF(OR($B485="",MIN(AH$38,$D$19)&lt;MAX($P$34*($B485+IF($R$17="Distrato",$I$38-1,0)),IF(AND($L$37=0,$P$34=0),"",$L$37-1),IF($R$17="Distrato",$E485,0))),0,YEARFRAC(MAX($P$34*($B485+IF($R$17="Distrato",$I$38-1,0)),IF(AND($L$37=0,$P$34=0),"",$L$37-1),IF($R$17="Distrato",$E485,0)),MIN(AH$38,$D$19),$P$20))-SUM($P485:AG485)</f>
        <v>#VALUE!</v>
      </c>
      <c r="AI485" s="446" t="e">
        <f>IF(OR($B485="",MIN(AI$38,$D$19)&lt;MAX($P$34*($B485+IF($R$17="Distrato",$I$38-1,0)),IF(AND($L$37=0,$P$34=0),"",$L$37-1),IF($R$17="Distrato",$E485,0))),0,YEARFRAC(MAX($P$34*($B485+IF($R$17="Distrato",$I$38-1,0)),IF(AND($L$37=0,$P$34=0),"",$L$37-1),IF($R$17="Distrato",$E485,0)),MIN(AI$38,$D$19),$P$20))-SUM($P485:AH485)</f>
        <v>#VALUE!</v>
      </c>
      <c r="AJ485" s="446" t="e">
        <f>IF(OR($B485="",MIN(AJ$38,$D$19)&lt;MAX($P$34*($B485+IF($R$17="Distrato",$I$38-1,0)),IF(AND($L$37=0,$P$34=0),"",$L$37-1),IF($R$17="Distrato",$E485,0))),0,YEARFRAC(MAX($P$34*($B485+IF($R$17="Distrato",$I$38-1,0)),IF(AND($L$37=0,$P$34=0),"",$L$37-1),IF($R$17="Distrato",$E485,0)),MIN(AJ$38,$D$19),$P$20))-SUM($P485:AI485)</f>
        <v>#VALUE!</v>
      </c>
      <c r="AK485" s="446" t="e">
        <f>IF(OR($B485="",MIN(AK$38,$D$19)&lt;MAX($P$34*($B485+IF($R$17="Distrato",$I$38-1,0)),IF(AND($L$37=0,$P$34=0),"",$L$37-1),IF($R$17="Distrato",$E485,0))),0,YEARFRAC(MAX($P$34*($B485+IF($R$17="Distrato",$I$38-1,0)),IF(AND($L$37=0,$P$34=0),"",$L$37-1),IF($R$17="Distrato",$E485,0)),MIN(AK$38,$D$19),$P$20))-SUM($P485:AJ485)</f>
        <v>#VALUE!</v>
      </c>
      <c r="AL485" s="446" t="e">
        <f>IF(OR($B485="",MIN(AL$38,$D$19)&lt;MAX($P$34*($B485+IF($R$17="Distrato",$I$38-1,0)),IF(AND($L$37=0,$P$34=0),"",$L$37-1),IF($R$17="Distrato",$E485,0))),0,YEARFRAC(MAX($P$34*($B485+IF($R$17="Distrato",$I$38-1,0)),IF(AND($L$37=0,$P$34=0),"",$L$37-1),IF($R$17="Distrato",$E485,0)),MIN(AL$38,$D$19),$P$20))-SUM($P485:AK485)</f>
        <v>#VALUE!</v>
      </c>
      <c r="AM485" s="446" t="e">
        <f>IF(OR($B485="",MIN(AM$38,$D$19)&lt;MAX($P$34*($B485+IF($R$17="Distrato",$I$38-1,0)),IF(AND($L$37=0,$P$34=0),"",$L$37-1),IF($R$17="Distrato",$E485,0))),0,YEARFRAC(MAX($P$34*($B485+IF($R$17="Distrato",$I$38-1,0)),IF(AND($L$37=0,$P$34=0),"",$L$37-1),IF($R$17="Distrato",$E485,0)),MIN(AM$38,$D$19),$P$20))-SUM($P485:AL485)</f>
        <v>#VALUE!</v>
      </c>
      <c r="AN485" s="446" t="e">
        <f>IF(OR($B485="",MIN(AN$38,$D$19)&lt;MAX($P$34*($B485+IF($R$17="Distrato",$I$38-1,0)),IF(AND($L$37=0,$P$34=0),"",$L$37-1),IF($R$17="Distrato",$E485,0))),0,YEARFRAC(MAX($P$34*($B485+IF($R$17="Distrato",$I$38-1,0)),IF(AND($L$37=0,$P$34=0),"",$L$37-1),IF($R$17="Distrato",$E485,0)),MIN(AN$38,$D$19),$P$20))-SUM($P485:AM485)</f>
        <v>#VALUE!</v>
      </c>
      <c r="AO485" s="446" t="e">
        <f>IF(OR($B485="",MIN(AO$38,$D$19)&lt;MAX($P$34*($B485+IF($R$17="Distrato",$I$38-1,0)),IF(AND($L$37=0,$P$34=0),"",$L$37-1),IF($R$17="Distrato",$E485,0))),0,YEARFRAC(MAX($P$34*($B485+IF($R$17="Distrato",$I$38-1,0)),IF(AND($L$37=0,$P$34=0),"",$L$37-1),IF($R$17="Distrato",$E485,0)),MIN(AO$38,$D$19),$P$20))-SUM($P485:AN485)</f>
        <v>#VALUE!</v>
      </c>
      <c r="AP485" s="446" t="e">
        <f>IF(OR($B485="",MIN(AP$38,$D$19)&lt;MAX($P$34*($B485+IF($R$17="Distrato",$I$38-1,0)),IF(AND($L$37=0,$P$34=0),"",$L$37-1),IF($R$17="Distrato",$E485,0))),0,YEARFRAC(MAX($P$34*($B485+IF($R$17="Distrato",$I$38-1,0)),IF(AND($L$37=0,$P$34=0),"",$L$37-1),IF($R$17="Distrato",$E485,0)),MIN(AP$38,$D$19),$P$20))-SUM($P485:AO485)</f>
        <v>#VALUE!</v>
      </c>
      <c r="AQ485" s="446" t="e">
        <f>IF(OR($B485="",MIN(AQ$38,$D$19)&lt;MAX($P$34*($B485+IF($R$17="Distrato",$I$38-1,0)),IF(AND($L$37=0,$P$34=0),"",$L$37-1),IF($R$17="Distrato",$E485,0))),0,YEARFRAC(MAX($P$34*($B485+IF($R$17="Distrato",$I$38-1,0)),IF(AND($L$37=0,$P$34=0),"",$L$37-1),IF($R$17="Distrato",$E485,0)),MIN(AQ$38,$D$19),$P$20))-SUM($P485:AP485)</f>
        <v>#VALUE!</v>
      </c>
      <c r="AR485" s="446" t="e">
        <f>IF(OR($B485="",MIN(AR$38,$D$19)&lt;MAX($P$34*($B485+IF($R$17="Distrato",$I$38-1,0)),IF(AND($L$37=0,$P$34=0),"",$L$37-1),IF($R$17="Distrato",$E485,0))),0,YEARFRAC(MAX($P$34*($B485+IF($R$17="Distrato",$I$38-1,0)),IF(AND($L$37=0,$P$34=0),"",$L$37-1),IF($R$17="Distrato",$E485,0)),MIN(AR$38,$D$19),$P$20))-SUM($P485:AQ485)</f>
        <v>#VALUE!</v>
      </c>
      <c r="AS485" s="446" t="e">
        <f>IF(OR($B485="",MIN(AS$38,$D$19)&lt;MAX($P$34*($B485+IF($R$17="Distrato",$I$38-1,0)),IF(AND($L$37=0,$P$34=0),"",$L$37-1),IF($R$17="Distrato",$E485,0))),0,YEARFRAC(MAX($P$34*($B485+IF($R$17="Distrato",$I$38-1,0)),IF(AND($L$37=0,$P$34=0),"",$L$37-1),IF($R$17="Distrato",$E485,0)),MIN(AS$38,$D$19),$P$20))-SUM($P485:AR485)</f>
        <v>#VALUE!</v>
      </c>
      <c r="AT485" s="446" t="e">
        <f>IF(OR($B485="",MIN(AT$38,$D$19)&lt;MAX($P$34*($B485+IF($R$17="Distrato",$I$38-1,0)),IF(AND($L$37=0,$P$34=0),"",$L$37-1),IF($R$17="Distrato",$E485,0))),0,YEARFRAC(MAX($P$34*($B485+IF($R$17="Distrato",$I$38-1,0)),IF(AND($L$37=0,$P$34=0),"",$L$37-1),IF($R$17="Distrato",$E485,0)),MIN(AT$38,$D$19),$P$20))-SUM($P485:AS485)</f>
        <v>#VALUE!</v>
      </c>
      <c r="AU485" s="446" t="e">
        <f>IF(OR($B485="",MIN(AU$38,$D$19)&lt;MAX($P$34*($B485+IF($R$17="Distrato",$I$38-1,0)),IF(AND($L$37=0,$P$34=0),"",$L$37-1),IF($R$17="Distrato",$E485,0))),0,YEARFRAC(MAX($P$34*($B485+IF($R$17="Distrato",$I$38-1,0)),IF(AND($L$37=0,$P$34=0),"",$L$37-1),IF($R$17="Distrato",$E485,0)),MIN(AU$38,$D$19),$P$20))-SUM($P485:AT485)</f>
        <v>#VALUE!</v>
      </c>
      <c r="AV485" s="446" t="e">
        <f>IF(OR($B485="",MIN(AV$38,$D$19)&lt;MAX($P$34*($B485+IF($R$17="Distrato",$I$38-1,0)),IF(AND($L$37=0,$P$34=0),"",$L$37-1),IF($R$17="Distrato",$E485,0))),0,YEARFRAC(MAX($P$34*($B485+IF($R$17="Distrato",$I$38-1,0)),IF(AND($L$37=0,$P$34=0),"",$L$37-1),IF($R$17="Distrato",$E485,0)),MIN(AV$38,$D$19),$P$20))-SUM($P485:AU485)</f>
        <v>#VALUE!</v>
      </c>
      <c r="AW485" s="446" t="e">
        <f>IF(OR($B485="",MIN(AW$38,$D$19)&lt;MAX($P$34*($B485+IF($R$17="Distrato",$I$38-1,0)),IF(AND($L$37=0,$P$34=0),"",$L$37-1),IF($R$17="Distrato",$E485,0))),0,YEARFRAC(MAX($P$34*($B485+IF($R$17="Distrato",$I$38-1,0)),IF(AND($L$37=0,$P$34=0),"",$L$37-1),IF($R$17="Distrato",$E485,0)),MIN(AW$38,$D$19),$P$20))-SUM($P485:AV485)</f>
        <v>#VALUE!</v>
      </c>
      <c r="AX485" s="446" t="e">
        <f>IF(OR($B485="",MIN(AX$38,$D$19)&lt;MAX($P$34*($B485+IF($R$17="Distrato",$I$38-1,0)),IF(AND($L$37=0,$P$34=0),"",$L$37-1),IF($R$17="Distrato",$E485,0))),0,YEARFRAC(MAX($P$34*($B485+IF($R$17="Distrato",$I$38-1,0)),IF(AND($L$37=0,$P$34=0),"",$L$37-1),IF($R$17="Distrato",$E485,0)),MIN(AX$38,$D$19),$P$20))-SUM($P485:AW485)</f>
        <v>#VALUE!</v>
      </c>
      <c r="AY485" s="446" t="e">
        <f>IF(OR($B485="",MIN(AY$38,$D$19)&lt;MAX($P$34*($B485+IF($R$17="Distrato",$I$38-1,0)),IF(AND($L$37=0,$P$34=0),"",$L$37-1),IF($R$17="Distrato",$E485,0))),0,YEARFRAC(MAX($P$34*($B485+IF($R$17="Distrato",$I$38-1,0)),IF(AND($L$37=0,$P$34=0),"",$L$37-1),IF($R$17="Distrato",$E485,0)),MIN(AY$38,$D$19),$P$20))-SUM($P485:AX485)</f>
        <v>#VALUE!</v>
      </c>
      <c r="AZ485" s="446" t="e">
        <f>IF(OR($B485="",MIN(AZ$38,$D$19)&lt;MAX($P$34*($B485+IF($R$17="Distrato",$I$38-1,0)),IF(AND($L$37=0,$P$34=0),"",$L$37-1),IF($R$17="Distrato",$E485,0))),0,YEARFRAC(MAX($P$34*($B485+IF($R$17="Distrato",$I$38-1,0)),IF(AND($L$37=0,$P$34=0),"",$L$37-1),IF($R$17="Distrato",$E485,0)),MIN(AZ$38,$D$19),$P$20))-SUM($P485:AY485)</f>
        <v>#VALUE!</v>
      </c>
      <c r="BA485" s="446" t="e">
        <f>IF(OR($B485="",MIN(BA$38,$D$19)&lt;MAX($P$34*($B485+IF($R$17="Distrato",$I$38-1,0)),IF(AND($L$37=0,$P$34=0),"",$L$37-1),IF($R$17="Distrato",$E485,0))),0,YEARFRAC(MAX($P$34*($B485+IF($R$17="Distrato",$I$38-1,0)),IF(AND($L$37=0,$P$34=0),"",$L$37-1),IF($R$17="Distrato",$E485,0)),MIN(BA$38,$D$19),$P$20))-SUM($P485:AZ485)</f>
        <v>#VALUE!</v>
      </c>
      <c r="BB485" s="447"/>
      <c r="BF485" s="446">
        <f t="shared" si="76"/>
        <v>0</v>
      </c>
      <c r="BG485" s="446">
        <f>IF($E485=0,0,IF(MIN(BG$38,$E485)&lt;MAX($P$34*($B485+$I$38-1),IF(AND($L$37=0,$P$34=0),"",$L$37-1)),0,YEARFRAC(MAX($P$34*($B485+$I$38-1),IF(AND($L$37=0,$P$34=0),"",$L$37-1)),MIN(BG$38,$E485),$P$20))-SUM($BF485:BF485))</f>
        <v>0</v>
      </c>
      <c r="BH485" s="446">
        <f>IF($E485=0,0,IF(MIN(BH$38,$E485)&lt;MAX($P$34*($B485+$I$38-1),IF(AND($L$37=0,$P$34=0),"",$L$37-1)),0,YEARFRAC(MAX($P$34*($B485+$I$38-1),IF(AND($L$37=0,$P$34=0),"",$L$37-1)),MIN(BH$38,$E485),$P$20))-SUM($BF485:BG485))</f>
        <v>0</v>
      </c>
      <c r="BI485" s="446">
        <f>IF($E485=0,0,IF(MIN(BI$38,$E485)&lt;MAX($P$34*($B485+$I$38-1),IF(AND($L$37=0,$P$34=0),"",$L$37-1)),0,YEARFRAC(MAX($P$34*($B485+$I$38-1),IF(AND($L$37=0,$P$34=0),"",$L$37-1)),MIN(BI$38,$E485),$P$20))-SUM($BF485:BH485))</f>
        <v>0</v>
      </c>
      <c r="BJ485" s="446">
        <f>IF($E485=0,0,IF(MIN(BJ$38,$E485)&lt;MAX($P$34*($B485+$I$38-1),IF(AND($L$37=0,$P$34=0),"",$L$37-1)),0,YEARFRAC(MAX($P$34*($B485+$I$38-1),IF(AND($L$37=0,$P$34=0),"",$L$37-1)),MIN(BJ$38,$E485),$P$20))-SUM($BF485:BI485))</f>
        <v>0</v>
      </c>
      <c r="BK485" s="446">
        <f>IF($E485=0,0,IF(MIN(BK$38,$E485)&lt;MAX($P$34*($B485+$I$38-1),IF(AND($L$37=0,$P$34=0),"",$L$37-1)),0,YEARFRAC(MAX($P$34*($B485+$I$38-1),IF(AND($L$37=0,$P$34=0),"",$L$37-1)),MIN(BK$38,$E485),$P$20))-SUM($BF485:BJ485))</f>
        <v>0</v>
      </c>
      <c r="BL485" s="446">
        <f>IF($E485=0,0,IF(MIN(BL$38,$E485)&lt;MAX($P$34*($B485+$I$38-1),IF(AND($L$37=0,$P$34=0),"",$L$37-1)),0,YEARFRAC(MAX($P$34*($B485+$I$38-1),IF(AND($L$37=0,$P$34=0),"",$L$37-1)),MIN(BL$38,$E485),$P$20))-SUM($BF485:BK485))</f>
        <v>0</v>
      </c>
      <c r="BM485" s="446">
        <f>IF($E485=0,0,IF(MIN(BM$38,$E485)&lt;MAX($P$34*($B485+$I$38-1),IF(AND($L$37=0,$P$34=0),"",$L$37-1)),0,YEARFRAC(MAX($P$34*($B485+$I$38-1),IF(AND($L$37=0,$P$34=0),"",$L$37-1)),MIN(BM$38,$E485),$P$20))-SUM($BF485:BL485))</f>
        <v>0</v>
      </c>
      <c r="BN485" s="446">
        <f>IF($E485=0,0,IF(MIN(BN$38,$E485)&lt;MAX($P$34*($B485+$I$38-1),IF(AND($L$37=0,$P$34=0),"",$L$37-1)),0,YEARFRAC(MAX($P$34*($B485+$I$38-1),IF(AND($L$37=0,$P$34=0),"",$L$37-1)),MIN(BN$38,$E485),$P$20))-SUM($BF485:BM485))</f>
        <v>0</v>
      </c>
      <c r="BO485" s="446">
        <f>IF($E485=0,0,IF(MIN(BO$38,$E485)&lt;MAX($P$34*($B485+$I$38-1),IF(AND($L$37=0,$P$34=0),"",$L$37-1)),0,YEARFRAC(MAX($P$34*($B485+$I$38-1),IF(AND($L$37=0,$P$34=0),"",$L$37-1)),MIN(BO$38,$E485),$P$20))-SUM($BF485:BN485))</f>
        <v>0</v>
      </c>
      <c r="BP485" s="446">
        <f>IF($E485=0,0,IF(MIN(BP$38,$E485)&lt;MAX($P$34*($B485+$I$38-1),IF(AND($L$37=0,$P$34=0),"",$L$37-1)),0,YEARFRAC(MAX($P$34*($B485+$I$38-1),IF(AND($L$37=0,$P$34=0),"",$L$37-1)),MIN(BP$38,$E485),$P$20))-SUM($BF485:BO485))</f>
        <v>0</v>
      </c>
      <c r="BQ485" s="446">
        <f>IF($E485=0,0,IF(MIN(BQ$38,$E485)&lt;MAX($P$34*($B485+$I$38-1),IF(AND($L$37=0,$P$34=0),"",$L$37-1)),0,YEARFRAC(MAX($P$34*($B485+$I$38-1),IF(AND($L$37=0,$P$34=0),"",$L$37-1)),MIN(BQ$38,$E485),$P$20))-SUM($BF485:BP485))</f>
        <v>0</v>
      </c>
      <c r="BR485" s="446">
        <f>IF($E485=0,0,IF(MIN(BR$38,$E485)&lt;MAX($P$34*($B485+$I$38-1),IF(AND($L$37=0,$P$34=0),"",$L$37-1)),0,YEARFRAC(MAX($P$34*($B485+$I$38-1),IF(AND($L$37=0,$P$34=0),"",$L$37-1)),MIN(BR$38,$E485),$P$20))-SUM($BF485:BQ485))</f>
        <v>0</v>
      </c>
      <c r="BS485" s="446">
        <f>IF($E485=0,0,IF(MIN(BS$38,$E485)&lt;MAX($P$34*($B485+$I$38-1),IF(AND($L$37=0,$P$34=0),"",$L$37-1)),0,YEARFRAC(MAX($P$34*($B485+$I$38-1),IF(AND($L$37=0,$P$34=0),"",$L$37-1)),MIN(BS$38,$E485),$P$20))-SUM($BF485:BR485))</f>
        <v>0</v>
      </c>
      <c r="BT485" s="446">
        <f>IF($E485=0,0,IF(MIN(BT$38,$E485)&lt;MAX($P$34*($B485+$I$38-1),IF(AND($L$37=0,$P$34=0),"",$L$37-1)),0,YEARFRAC(MAX($P$34*($B485+$I$38-1),IF(AND($L$37=0,$P$34=0),"",$L$37-1)),MIN(BT$38,$E485),$P$20))-SUM($BF485:BS485))</f>
        <v>0</v>
      </c>
      <c r="BU485" s="446">
        <f>IF($E485=0,0,IF(MIN(BU$38,$E485)&lt;MAX($P$34*($B485+$I$38-1),IF(AND($L$37=0,$P$34=0),"",$L$37-1)),0,YEARFRAC(MAX($P$34*($B485+$I$38-1),IF(AND($L$37=0,$P$34=0),"",$L$37-1)),MIN(BU$38,$E485),$P$20))-SUM($BF485:BT485))</f>
        <v>0</v>
      </c>
      <c r="BV485" s="446">
        <f>IF($E485=0,0,IF(MIN(BV$38,$E485)&lt;MAX($P$34*($B485+$I$38-1),IF(AND($L$37=0,$P$34=0),"",$L$37-1)),0,YEARFRAC(MAX($P$34*($B485+$I$38-1),IF(AND($L$37=0,$P$34=0),"",$L$37-1)),MIN(BV$38,$E485),$P$20))-SUM($BF485:BU485))</f>
        <v>0</v>
      </c>
      <c r="BW485" s="446">
        <f>IF($E485=0,0,IF(MIN(BW$38,$E485)&lt;MAX($P$34*($B485+$I$38-1),IF(AND($L$37=0,$P$34=0),"",$L$37-1)),0,YEARFRAC(MAX($P$34*($B485+$I$38-1),IF(AND($L$37=0,$P$34=0),"",$L$37-1)),MIN(BW$38,$E485),$P$20))-SUM($BF485:BV485))</f>
        <v>0</v>
      </c>
      <c r="BX485" s="446">
        <f>IF($E485=0,0,IF(MIN(BX$38,$E485)&lt;MAX($P$34*($B485+$I$38-1),IF(AND($L$37=0,$P$34=0),"",$L$37-1)),0,YEARFRAC(MAX($P$34*($B485+$I$38-1),IF(AND($L$37=0,$P$34=0),"",$L$37-1)),MIN(BX$38,$E485),$P$20))-SUM($BF485:BW485))</f>
        <v>0</v>
      </c>
      <c r="BY485" s="446">
        <f>IF($E485=0,0,IF(MIN(BY$38,$E485)&lt;MAX($P$34*($B485+$I$38-1),IF(AND($L$37=0,$P$34=0),"",$L$37-1)),0,YEARFRAC(MAX($P$34*($B485+$I$38-1),IF(AND($L$37=0,$P$34=0),"",$L$37-1)),MIN(BY$38,$E485),$P$20))-SUM($BF485:BX485))</f>
        <v>0</v>
      </c>
      <c r="BZ485" s="446">
        <f>IF($E485=0,0,IF(MIN(BZ$38,$E485)&lt;MAX($P$34*($B485+$I$38-1),IF(AND($L$37=0,$P$34=0),"",$L$37-1)),0,YEARFRAC(MAX($P$34*($B485+$I$38-1),IF(AND($L$37=0,$P$34=0),"",$L$37-1)),MIN(BZ$38,$E485),$P$20))-SUM($BF485:BY485))</f>
        <v>0</v>
      </c>
      <c r="CA485" s="446">
        <f>IF($E485=0,0,IF(MIN(CA$38,$E485)&lt;MAX($P$34*($B485+$I$38-1),IF(AND($L$37=0,$P$34=0),"",$L$37-1)),0,YEARFRAC(MAX($P$34*($B485+$I$38-1),IF(AND($L$37=0,$P$34=0),"",$L$37-1)),MIN(CA$38,$E485),$P$20))-SUM($BF485:BZ485))</f>
        <v>0</v>
      </c>
      <c r="CB485" s="446">
        <f>IF($E485=0,0,IF(MIN(CB$38,$E485)&lt;MAX($P$34*($B485+$I$38-1),IF(AND($L$37=0,$P$34=0),"",$L$37-1)),0,YEARFRAC(MAX($P$34*($B485+$I$38-1),IF(AND($L$37=0,$P$34=0),"",$L$37-1)),MIN(CB$38,$E485),$P$20))-SUM($BF485:CA485))</f>
        <v>0</v>
      </c>
      <c r="CC485" s="446">
        <f>IF($E485=0,0,IF(MIN(CC$38,$E485)&lt;MAX($P$34*($B485+$I$38-1),IF(AND($L$37=0,$P$34=0),"",$L$37-1)),0,YEARFRAC(MAX($P$34*($B485+$I$38-1),IF(AND($L$37=0,$P$34=0),"",$L$37-1)),MIN(CC$38,$E485),$P$20))-SUM($BF485:CB485))</f>
        <v>0</v>
      </c>
      <c r="CD485" s="446">
        <f>IF($E485=0,0,IF(MIN(CD$38,$E485)&lt;MAX($P$34*($B485+$I$38-1),IF(AND($L$37=0,$P$34=0),"",$L$37-1)),0,YEARFRAC(MAX($P$34*($B485+$I$38-1),IF(AND($L$37=0,$P$34=0),"",$L$37-1)),MIN(CD$38,$E485),$P$20))-SUM($BF485:CC485))</f>
        <v>0</v>
      </c>
      <c r="CE485" s="446">
        <f>IF($E485=0,0,IF(MIN(CE$38,$E485)&lt;MAX($P$34*($B485+$I$38-1),IF(AND($L$37=0,$P$34=0),"",$L$37-1)),0,YEARFRAC(MAX($P$34*($B485+$I$38-1),IF(AND($L$37=0,$P$34=0),"",$L$37-1)),MIN(CE$38,$E485),$P$20))-SUM($BF485:CD485))</f>
        <v>0</v>
      </c>
      <c r="CF485" s="446">
        <f>IF($E485=0,0,IF(MIN(CF$38,$E485)&lt;MAX($P$34*($B485+$I$38-1),IF(AND($L$37=0,$P$34=0),"",$L$37-1)),0,YEARFRAC(MAX($P$34*($B485+$I$38-1),IF(AND($L$37=0,$P$34=0),"",$L$37-1)),MIN(CF$38,$E485),$P$20))-SUM($BF485:CE485))</f>
        <v>0</v>
      </c>
      <c r="CG485" s="446">
        <f>IF($E485=0,0,IF(MIN(CG$38,$E485)&lt;MAX($P$34*($B485+$I$38-1),IF(AND($L$37=0,$P$34=0),"",$L$37-1)),0,YEARFRAC(MAX($P$34*($B485+$I$38-1),IF(AND($L$37=0,$P$34=0),"",$L$37-1)),MIN(CG$38,$E485),$P$20))-SUM($BF485:CF485))</f>
        <v>0</v>
      </c>
      <c r="CH485" s="446">
        <f>IF($E485=0,0,IF(MIN(CH$38,$E485)&lt;MAX($P$34*($B485+$I$38-1),IF(AND($L$37=0,$P$34=0),"",$L$37-1)),0,YEARFRAC(MAX($P$34*($B485+$I$38-1),IF(AND($L$37=0,$P$34=0),"",$L$37-1)),MIN(CH$38,$E485),$P$20))-SUM($BF485:CG485))</f>
        <v>0</v>
      </c>
      <c r="CI485" s="446">
        <f>IF($E485=0,0,IF(MIN(CI$38,$E485)&lt;MAX($P$34*($B485+$I$38-1),IF(AND($L$37=0,$P$34=0),"",$L$37-1)),0,YEARFRAC(MAX($P$34*($B485+$I$38-1),IF(AND($L$37=0,$P$34=0),"",$L$37-1)),MIN(CI$38,$E485),$P$20))-SUM($BF485:CH485))</f>
        <v>0</v>
      </c>
      <c r="CJ485" s="446">
        <f>IF($E485=0,0,IF(MIN(CJ$38,$E485)&lt;MAX($P$34*($B485+$I$38-1),IF(AND($L$37=0,$P$34=0),"",$L$37-1)),0,YEARFRAC(MAX($P$34*($B485+$I$38-1),IF(AND($L$37=0,$P$34=0),"",$L$37-1)),MIN(CJ$38,$E485),$P$20))-SUM($BF485:CI485))</f>
        <v>0</v>
      </c>
      <c r="CK485" s="446">
        <f>IF($E485=0,0,IF(MIN(CK$38,$E485)&lt;MAX($P$34*($B485+$I$38-1),IF(AND($L$37=0,$P$34=0),"",$L$37-1)),0,YEARFRAC(MAX($P$34*($B485+$I$38-1),IF(AND($L$37=0,$P$34=0),"",$L$37-1)),MIN(CK$38,$E485),$P$20))-SUM($BF485:CJ485))</f>
        <v>0</v>
      </c>
      <c r="CL485" s="446">
        <f>IF($E485=0,0,IF(MIN(CL$38,$E485)&lt;MAX($P$34*($B485+$I$38-1),IF(AND($L$37=0,$P$34=0),"",$L$37-1)),0,YEARFRAC(MAX($P$34*($B485+$I$38-1),IF(AND($L$37=0,$P$34=0),"",$L$37-1)),MIN(CL$38,$E485),$P$20))-SUM($BF485:CK485))</f>
        <v>0</v>
      </c>
      <c r="CM485" s="446">
        <f>IF($E485=0,0,IF(MIN(CM$38,$E485)&lt;MAX($P$34*($B485+$I$38-1),IF(AND($L$37=0,$P$34=0),"",$L$37-1)),0,YEARFRAC(MAX($P$34*($B485+$I$38-1),IF(AND($L$37=0,$P$34=0),"",$L$37-1)),MIN(CM$38,$E485),$P$20))-SUM($BF485:CL485))</f>
        <v>0</v>
      </c>
      <c r="CN485" s="446">
        <f>IF($E485=0,0,IF(MIN(CN$38,$E485)&lt;MAX($P$34*($B485+$I$38-1),IF(AND($L$37=0,$P$34=0),"",$L$37-1)),0,YEARFRAC(MAX($P$34*($B485+$I$38-1),IF(AND($L$37=0,$P$34=0),"",$L$37-1)),MIN(CN$38,$E485),$P$20))-SUM($BF485:CM485))</f>
        <v>0</v>
      </c>
      <c r="CO485" s="446">
        <f>IF($E485=0,0,IF(MIN(CO$38,$E485)&lt;MAX($P$34*($B485+$I$38-1),IF(AND($L$37=0,$P$34=0),"",$L$37-1)),0,YEARFRAC(MAX($P$34*($B485+$I$38-1),IF(AND($L$37=0,$P$34=0),"",$L$37-1)),MIN(CO$38,$E485),$P$20))-SUM($BF485:CN485))</f>
        <v>0</v>
      </c>
      <c r="CP485" s="446">
        <f>IF($E485=0,0,IF(MIN(CP$38,$E485)&lt;MAX($P$34*($B485+$I$38-1),IF(AND($L$37=0,$P$34=0),"",$L$37-1)),0,YEARFRAC(MAX($P$34*($B485+$I$38-1),IF(AND($L$37=0,$P$34=0),"",$L$37-1)),MIN(CP$38,$E485),$P$20))-SUM($BF485:CO485))</f>
        <v>0</v>
      </c>
      <c r="CQ485" s="446">
        <f>IF($E485=0,0,IF(MIN(CQ$38,$E485)&lt;MAX($P$34*($B485+$I$38-1),IF(AND($L$37=0,$P$34=0),"",$L$37-1)),0,YEARFRAC(MAX($P$34*($B485+$I$38-1),IF(AND($L$37=0,$P$34=0),"",$L$37-1)),MIN(CQ$38,$E485),$P$20))-SUM($BF485:CP485))</f>
        <v>0</v>
      </c>
    </row>
    <row r="486" spans="1:95" s="446" customFormat="1" ht="11.25" hidden="1" customHeight="1" x14ac:dyDescent="0.2">
      <c r="A486" s="152"/>
      <c r="B486" s="153" t="str">
        <f t="shared" si="81"/>
        <v/>
      </c>
      <c r="C486" s="29" t="str">
        <f>IF(B486="","",IF($L$35="SELIC - TRIBUTOS",VLOOKUP(DATE(YEAR($D$19),MONTH($D$19)-1,1),ÍNDICES!$A:$DE,HLOOKUP($BL$25,ÍNDICES!$B$3:$T$4,2)+11)-VLOOKUP(B486,ÍNDICES!$A:$DE,HLOOKUP($BL$25,ÍNDICES!$B$3:$T$4,2)+11)+1%,IF(C$38=$W$26,$J$35,IF(ISERROR(IF(B486&gt;$D$19,1,VLOOKUP(DATE(YEAR(B486),MONTH(B486)+IF($C$35=$S$23,1,0),1),ÍNDICES!$A:$DE,$Z$35+1))),"",IF(B486&gt;$D$19,1,VLOOKUP(DATE(YEAR(B486),MONTH(B486)+IF($C$35=$S$23,1,0),1),ÍNDICES!$A:$DE,$Z$35+1))))))</f>
        <v/>
      </c>
      <c r="D486" s="154" t="str">
        <f>IF(ISERROR(IF(OR($D$38=$Y$27,$B486=""),"",VLOOKUP(B486,ÍNDICES!A:DE,AF$35+1))),"",IF(OR($D$38=$Y$27,$B486=""),"",VLOOKUP(B486,ÍNDICES!A:DE,AF$35+1)))</f>
        <v/>
      </c>
      <c r="E486" s="153"/>
      <c r="F486" s="29" t="str">
        <f>IF(E486="","",IF($L$35="SELIC - TRIBUTOS",VLOOKUP(DATE(YEAR($D$19),MONTH($D$19)-1,1),ÍNDICES!$A:$DE,HLOOKUP($BL$25,ÍNDICES!$B$3:$T$4,2)+11)-VLOOKUP(E486,ÍNDICES!$A:$DE,HLOOKUP($BL$25,ÍNDICES!$B$3:$T$4,2)+11)+1%,IF(F$38=$W$26,$J$35,IF(ISERROR(IF(E486&gt;$D$19,1,VLOOKUP(DATE(YEAR(E486),MONTH(E486)+IF($C$35=$S$23,1,0),1),ÍNDICES!$A:$DE,$Z$35+1))),"",IF(E486&gt;$D$19,1,VLOOKUP(DATE(YEAR(E486),MONTH(E486)+IF($C$35=$S$23,1,0),1),ÍNDICES!$A:$DE,$Z$35+1))))))</f>
        <v/>
      </c>
      <c r="G486" s="155"/>
      <c r="H486" s="156" t="str">
        <f t="shared" si="77"/>
        <v/>
      </c>
      <c r="I486" s="29" t="str">
        <f t="shared" si="71"/>
        <v/>
      </c>
      <c r="J486" s="5">
        <f t="shared" si="72"/>
        <v>0</v>
      </c>
      <c r="K486" s="20">
        <f t="shared" ca="1" si="73"/>
        <v>0</v>
      </c>
      <c r="L486" s="5">
        <f t="shared" ca="1" si="74"/>
        <v>0</v>
      </c>
      <c r="M486" s="64">
        <f t="shared" si="78"/>
        <v>0</v>
      </c>
      <c r="N486" s="61">
        <f t="shared" ca="1" si="79"/>
        <v>0</v>
      </c>
      <c r="O486" s="5">
        <f t="shared" ca="1" si="80"/>
        <v>0</v>
      </c>
      <c r="P486" s="446" t="e">
        <f t="shared" si="75"/>
        <v>#VALUE!</v>
      </c>
      <c r="Q486" s="446" t="e">
        <f>IF(OR($B486="",MIN(Q$38,$D$19)&lt;MAX($P$34*($B486+IF($R$17="Distrato",$I$38-1,0)),IF(AND($L$37=0,$P$34=0),"",$L$37-1),IF($R$17="Distrato",$E486,0))),0,YEARFRAC(MAX($P$34*($B486+IF($R$17="Distrato",$I$38-1,0)),IF(AND($L$37=0,$P$34=0),"",$L$37-1),IF($R$17="Distrato",$E486,0)),MIN(Q$38,$D$19),$P$20))-SUM($P486:P486)</f>
        <v>#VALUE!</v>
      </c>
      <c r="R486" s="446" t="e">
        <f>IF(OR($B486="",MIN(R$38,$D$19)&lt;MAX($P$34*($B486+IF($R$17="Distrato",$I$38-1,0)),IF(AND($L$37=0,$P$34=0),"",$L$37-1),IF($R$17="Distrato",$E486,0))),0,YEARFRAC(MAX($P$34*($B486+IF($R$17="Distrato",$I$38-1,0)),IF(AND($L$37=0,$P$34=0),"",$L$37-1),IF($R$17="Distrato",$E486,0)),MIN(R$38,$D$19),$P$20))-SUM($P486:Q486)</f>
        <v>#VALUE!</v>
      </c>
      <c r="S486" s="446" t="e">
        <f>IF(OR($B486="",MIN(S$38,$D$19)&lt;MAX($P$34*($B486+IF($R$17="Distrato",$I$38-1,0)),IF(AND($L$37=0,$P$34=0),"",$L$37-1),IF($R$17="Distrato",$E486,0))),0,YEARFRAC(MAX($P$34*($B486+IF($R$17="Distrato",$I$38-1,0)),IF(AND($L$37=0,$P$34=0),"",$L$37-1),IF($R$17="Distrato",$E486,0)),MIN(S$38,$D$19),$P$20))-SUM($P486:R486)</f>
        <v>#VALUE!</v>
      </c>
      <c r="T486" s="446" t="e">
        <f>IF(OR($B486="",MIN(T$38,$D$19)&lt;MAX($P$34*($B486+IF($R$17="Distrato",$I$38-1,0)),IF(AND($L$37=0,$P$34=0),"",$L$37-1),IF($R$17="Distrato",$E486,0))),0,YEARFRAC(MAX($P$34*($B486+IF($R$17="Distrato",$I$38-1,0)),IF(AND($L$37=0,$P$34=0),"",$L$37-1),IF($R$17="Distrato",$E486,0)),MIN(T$38,$D$19),$P$20))-SUM($P486:S486)</f>
        <v>#VALUE!</v>
      </c>
      <c r="U486" s="446" t="e">
        <f>IF(OR($B486="",MIN(U$38,$D$19)&lt;MAX($P$34*($B486+IF($R$17="Distrato",$I$38-1,0)),IF(AND($L$37=0,$P$34=0),"",$L$37-1),IF($R$17="Distrato",$E486,0))),0,YEARFRAC(MAX($P$34*($B486+IF($R$17="Distrato",$I$38-1,0)),IF(AND($L$37=0,$P$34=0),"",$L$37-1),IF($R$17="Distrato",$E486,0)),MIN(U$38,$D$19),$P$20))-SUM($P486:T486)</f>
        <v>#VALUE!</v>
      </c>
      <c r="V486" s="446" t="e">
        <f>IF(OR($B486="",MIN(V$38,$D$19)&lt;MAX($P$34*($B486+IF($R$17="Distrato",$I$38-1,0)),IF(AND($L$37=0,$P$34=0),"",$L$37-1),IF($R$17="Distrato",$E486,0))),0,YEARFRAC(MAX($P$34*($B486+IF($R$17="Distrato",$I$38-1,0)),IF(AND($L$37=0,$P$34=0),"",$L$37-1),IF($R$17="Distrato",$E486,0)),MIN(V$38,$D$19),$P$20))-SUM($P486:U486)</f>
        <v>#VALUE!</v>
      </c>
      <c r="W486" s="446" t="e">
        <f>IF(OR($B486="",MIN(W$38,$D$19)&lt;MAX($P$34*($B486+IF($R$17="Distrato",$I$38-1,0)),IF(AND($L$37=0,$P$34=0),"",$L$37-1),IF($R$17="Distrato",$E486,0))),0,YEARFRAC(MAX($P$34*($B486+IF($R$17="Distrato",$I$38-1,0)),IF(AND($L$37=0,$P$34=0),"",$L$37-1),IF($R$17="Distrato",$E486,0)),MIN(W$38,$D$19),$P$20))-SUM($P486:V486)</f>
        <v>#VALUE!</v>
      </c>
      <c r="X486" s="446" t="e">
        <f>IF(OR($B486="",MIN(X$38,$D$19)&lt;MAX($P$34*($B486+IF($R$17="Distrato",$I$38-1,0)),IF(AND($L$37=0,$P$34=0),"",$L$37-1),IF($R$17="Distrato",$E486,0))),0,YEARFRAC(MAX($P$34*($B486+IF($R$17="Distrato",$I$38-1,0)),IF(AND($L$37=0,$P$34=0),"",$L$37-1),IF($R$17="Distrato",$E486,0)),MIN(X$38,$D$19),$P$20))-SUM($P486:W486)</f>
        <v>#VALUE!</v>
      </c>
      <c r="Y486" s="446" t="e">
        <f>IF(OR($B486="",MIN(Y$38,$D$19)&lt;MAX($P$34*($B486+IF($R$17="Distrato",$I$38-1,0)),IF(AND($L$37=0,$P$34=0),"",$L$37-1),IF($R$17="Distrato",$E486,0))),0,YEARFRAC(MAX($P$34*($B486+IF($R$17="Distrato",$I$38-1,0)),IF(AND($L$37=0,$P$34=0),"",$L$37-1),IF($R$17="Distrato",$E486,0)),MIN(Y$38,$D$19),$P$20))-SUM($P486:X486)</f>
        <v>#VALUE!</v>
      </c>
      <c r="Z486" s="446" t="e">
        <f>IF(OR($B486="",MIN(Z$38,$D$19)&lt;MAX($P$34*($B486+IF($R$17="Distrato",$I$38-1,0)),IF(AND($L$37=0,$P$34=0),"",$L$37-1),IF($R$17="Distrato",$E486,0))),0,YEARFRAC(MAX($P$34*($B486+IF($R$17="Distrato",$I$38-1,0)),IF(AND($L$37=0,$P$34=0),"",$L$37-1),IF($R$17="Distrato",$E486,0)),MIN(Z$38,$D$19),$P$20))-SUM($P486:Y486)</f>
        <v>#VALUE!</v>
      </c>
      <c r="AA486" s="446" t="e">
        <f>IF(OR($B486="",MIN(AA$38,$D$19)&lt;MAX($P$34*($B486+IF($R$17="Distrato",$I$38-1,0)),IF(AND($L$37=0,$P$34=0),"",$L$37-1),IF($R$17="Distrato",$E486,0))),0,YEARFRAC(MAX($P$34*($B486+IF($R$17="Distrato",$I$38-1,0)),IF(AND($L$37=0,$P$34=0),"",$L$37-1),IF($R$17="Distrato",$E486,0)),MIN(AA$38,$D$19),$P$20))-SUM($P486:Z486)</f>
        <v>#VALUE!</v>
      </c>
      <c r="AB486" s="446" t="e">
        <f>IF(OR($B486="",MIN(AB$38,$D$19)&lt;MAX($P$34*($B486+IF($R$17="Distrato",$I$38-1,0)),IF(AND($L$37=0,$P$34=0),"",$L$37-1),IF($R$17="Distrato",$E486,0))),0,YEARFRAC(MAX($P$34*($B486+IF($R$17="Distrato",$I$38-1,0)),IF(AND($L$37=0,$P$34=0),"",$L$37-1),IF($R$17="Distrato",$E486,0)),MIN(AB$38,$D$19),$P$20))-SUM($P486:AA486)</f>
        <v>#VALUE!</v>
      </c>
      <c r="AC486" s="446" t="e">
        <f>IF(OR($B486="",MIN(AC$38,$D$19)&lt;MAX($P$34*($B486+IF($R$17="Distrato",$I$38-1,0)),IF(AND($L$37=0,$P$34=0),"",$L$37-1),IF($R$17="Distrato",$E486,0))),0,YEARFRAC(MAX($P$34*($B486+IF($R$17="Distrato",$I$38-1,0)),IF(AND($L$37=0,$P$34=0),"",$L$37-1),IF($R$17="Distrato",$E486,0)),MIN(AC$38,$D$19),$P$20))-SUM($P486:AB486)</f>
        <v>#VALUE!</v>
      </c>
      <c r="AD486" s="446" t="e">
        <f>IF(OR($B486="",MIN(AD$38,$D$19)&lt;MAX($P$34*($B486+IF($R$17="Distrato",$I$38-1,0)),IF(AND($L$37=0,$P$34=0),"",$L$37-1),IF($R$17="Distrato",$E486,0))),0,YEARFRAC(MAX($P$34*($B486+IF($R$17="Distrato",$I$38-1,0)),IF(AND($L$37=0,$P$34=0),"",$L$37-1),IF($R$17="Distrato",$E486,0)),MIN(AD$38,$D$19),$P$20))-SUM($P486:AC486)</f>
        <v>#VALUE!</v>
      </c>
      <c r="AE486" s="446" t="e">
        <f>IF(OR($B486="",MIN(AE$38,$D$19)&lt;MAX($P$34*($B486+IF($R$17="Distrato",$I$38-1,0)),IF(AND($L$37=0,$P$34=0),"",$L$37-1),IF($R$17="Distrato",$E486,0))),0,YEARFRAC(MAX($P$34*($B486+IF($R$17="Distrato",$I$38-1,0)),IF(AND($L$37=0,$P$34=0),"",$L$37-1),IF($R$17="Distrato",$E486,0)),MIN(AE$38,$D$19),$P$20))-SUM($P486:AD486)</f>
        <v>#VALUE!</v>
      </c>
      <c r="AF486" s="446" t="e">
        <f>IF(OR($B486="",MIN(AF$38,$D$19)&lt;MAX($P$34*($B486+IF($R$17="Distrato",$I$38-1,0)),IF(AND($L$37=0,$P$34=0),"",$L$37-1),IF($R$17="Distrato",$E486,0))),0,YEARFRAC(MAX($P$34*($B486+IF($R$17="Distrato",$I$38-1,0)),IF(AND($L$37=0,$P$34=0),"",$L$37-1),IF($R$17="Distrato",$E486,0)),MIN(AF$38,$D$19),$P$20))-SUM($P486:AE486)</f>
        <v>#VALUE!</v>
      </c>
      <c r="AG486" s="446" t="e">
        <f>IF(OR($B486="",MIN(AG$38,$D$19)&lt;MAX($P$34*($B486+IF($R$17="Distrato",$I$38-1,0)),IF(AND($L$37=0,$P$34=0),"",$L$37-1),IF($R$17="Distrato",$E486,0))),0,YEARFRAC(MAX($P$34*($B486+IF($R$17="Distrato",$I$38-1,0)),IF(AND($L$37=0,$P$34=0),"",$L$37-1),IF($R$17="Distrato",$E486,0)),MIN(AG$38,$D$19),$P$20))-SUM($P486:AF486)</f>
        <v>#VALUE!</v>
      </c>
      <c r="AH486" s="446" t="e">
        <f>IF(OR($B486="",MIN(AH$38,$D$19)&lt;MAX($P$34*($B486+IF($R$17="Distrato",$I$38-1,0)),IF(AND($L$37=0,$P$34=0),"",$L$37-1),IF($R$17="Distrato",$E486,0))),0,YEARFRAC(MAX($P$34*($B486+IF($R$17="Distrato",$I$38-1,0)),IF(AND($L$37=0,$P$34=0),"",$L$37-1),IF($R$17="Distrato",$E486,0)),MIN(AH$38,$D$19),$P$20))-SUM($P486:AG486)</f>
        <v>#VALUE!</v>
      </c>
      <c r="AI486" s="446" t="e">
        <f>IF(OR($B486="",MIN(AI$38,$D$19)&lt;MAX($P$34*($B486+IF($R$17="Distrato",$I$38-1,0)),IF(AND($L$37=0,$P$34=0),"",$L$37-1),IF($R$17="Distrato",$E486,0))),0,YEARFRAC(MAX($P$34*($B486+IF($R$17="Distrato",$I$38-1,0)),IF(AND($L$37=0,$P$34=0),"",$L$37-1),IF($R$17="Distrato",$E486,0)),MIN(AI$38,$D$19),$P$20))-SUM($P486:AH486)</f>
        <v>#VALUE!</v>
      </c>
      <c r="AJ486" s="446" t="e">
        <f>IF(OR($B486="",MIN(AJ$38,$D$19)&lt;MAX($P$34*($B486+IF($R$17="Distrato",$I$38-1,0)),IF(AND($L$37=0,$P$34=0),"",$L$37-1),IF($R$17="Distrato",$E486,0))),0,YEARFRAC(MAX($P$34*($B486+IF($R$17="Distrato",$I$38-1,0)),IF(AND($L$37=0,$P$34=0),"",$L$37-1),IF($R$17="Distrato",$E486,0)),MIN(AJ$38,$D$19),$P$20))-SUM($P486:AI486)</f>
        <v>#VALUE!</v>
      </c>
      <c r="AK486" s="446" t="e">
        <f>IF(OR($B486="",MIN(AK$38,$D$19)&lt;MAX($P$34*($B486+IF($R$17="Distrato",$I$38-1,0)),IF(AND($L$37=0,$P$34=0),"",$L$37-1),IF($R$17="Distrato",$E486,0))),0,YEARFRAC(MAX($P$34*($B486+IF($R$17="Distrato",$I$38-1,0)),IF(AND($L$37=0,$P$34=0),"",$L$37-1),IF($R$17="Distrato",$E486,0)),MIN(AK$38,$D$19),$P$20))-SUM($P486:AJ486)</f>
        <v>#VALUE!</v>
      </c>
      <c r="AL486" s="446" t="e">
        <f>IF(OR($B486="",MIN(AL$38,$D$19)&lt;MAX($P$34*($B486+IF($R$17="Distrato",$I$38-1,0)),IF(AND($L$37=0,$P$34=0),"",$L$37-1),IF($R$17="Distrato",$E486,0))),0,YEARFRAC(MAX($P$34*($B486+IF($R$17="Distrato",$I$38-1,0)),IF(AND($L$37=0,$P$34=0),"",$L$37-1),IF($R$17="Distrato",$E486,0)),MIN(AL$38,$D$19),$P$20))-SUM($P486:AK486)</f>
        <v>#VALUE!</v>
      </c>
      <c r="AM486" s="446" t="e">
        <f>IF(OR($B486="",MIN(AM$38,$D$19)&lt;MAX($P$34*($B486+IF($R$17="Distrato",$I$38-1,0)),IF(AND($L$37=0,$P$34=0),"",$L$37-1),IF($R$17="Distrato",$E486,0))),0,YEARFRAC(MAX($P$34*($B486+IF($R$17="Distrato",$I$38-1,0)),IF(AND($L$37=0,$P$34=0),"",$L$37-1),IF($R$17="Distrato",$E486,0)),MIN(AM$38,$D$19),$P$20))-SUM($P486:AL486)</f>
        <v>#VALUE!</v>
      </c>
      <c r="AN486" s="446" t="e">
        <f>IF(OR($B486="",MIN(AN$38,$D$19)&lt;MAX($P$34*($B486+IF($R$17="Distrato",$I$38-1,0)),IF(AND($L$37=0,$P$34=0),"",$L$37-1),IF($R$17="Distrato",$E486,0))),0,YEARFRAC(MAX($P$34*($B486+IF($R$17="Distrato",$I$38-1,0)),IF(AND($L$37=0,$P$34=0),"",$L$37-1),IF($R$17="Distrato",$E486,0)),MIN(AN$38,$D$19),$P$20))-SUM($P486:AM486)</f>
        <v>#VALUE!</v>
      </c>
      <c r="AO486" s="446" t="e">
        <f>IF(OR($B486="",MIN(AO$38,$D$19)&lt;MAX($P$34*($B486+IF($R$17="Distrato",$I$38-1,0)),IF(AND($L$37=0,$P$34=0),"",$L$37-1),IF($R$17="Distrato",$E486,0))),0,YEARFRAC(MAX($P$34*($B486+IF($R$17="Distrato",$I$38-1,0)),IF(AND($L$37=0,$P$34=0),"",$L$37-1),IF($R$17="Distrato",$E486,0)),MIN(AO$38,$D$19),$P$20))-SUM($P486:AN486)</f>
        <v>#VALUE!</v>
      </c>
      <c r="AP486" s="446" t="e">
        <f>IF(OR($B486="",MIN(AP$38,$D$19)&lt;MAX($P$34*($B486+IF($R$17="Distrato",$I$38-1,0)),IF(AND($L$37=0,$P$34=0),"",$L$37-1),IF($R$17="Distrato",$E486,0))),0,YEARFRAC(MAX($P$34*($B486+IF($R$17="Distrato",$I$38-1,0)),IF(AND($L$37=0,$P$34=0),"",$L$37-1),IF($R$17="Distrato",$E486,0)),MIN(AP$38,$D$19),$P$20))-SUM($P486:AO486)</f>
        <v>#VALUE!</v>
      </c>
      <c r="AQ486" s="446" t="e">
        <f>IF(OR($B486="",MIN(AQ$38,$D$19)&lt;MAX($P$34*($B486+IF($R$17="Distrato",$I$38-1,0)),IF(AND($L$37=0,$P$34=0),"",$L$37-1),IF($R$17="Distrato",$E486,0))),0,YEARFRAC(MAX($P$34*($B486+IF($R$17="Distrato",$I$38-1,0)),IF(AND($L$37=0,$P$34=0),"",$L$37-1),IF($R$17="Distrato",$E486,0)),MIN(AQ$38,$D$19),$P$20))-SUM($P486:AP486)</f>
        <v>#VALUE!</v>
      </c>
      <c r="AR486" s="446" t="e">
        <f>IF(OR($B486="",MIN(AR$38,$D$19)&lt;MAX($P$34*($B486+IF($R$17="Distrato",$I$38-1,0)),IF(AND($L$37=0,$P$34=0),"",$L$37-1),IF($R$17="Distrato",$E486,0))),0,YEARFRAC(MAX($P$34*($B486+IF($R$17="Distrato",$I$38-1,0)),IF(AND($L$37=0,$P$34=0),"",$L$37-1),IF($R$17="Distrato",$E486,0)),MIN(AR$38,$D$19),$P$20))-SUM($P486:AQ486)</f>
        <v>#VALUE!</v>
      </c>
      <c r="AS486" s="446" t="e">
        <f>IF(OR($B486="",MIN(AS$38,$D$19)&lt;MAX($P$34*($B486+IF($R$17="Distrato",$I$38-1,0)),IF(AND($L$37=0,$P$34=0),"",$L$37-1),IF($R$17="Distrato",$E486,0))),0,YEARFRAC(MAX($P$34*($B486+IF($R$17="Distrato",$I$38-1,0)),IF(AND($L$37=0,$P$34=0),"",$L$37-1),IF($R$17="Distrato",$E486,0)),MIN(AS$38,$D$19),$P$20))-SUM($P486:AR486)</f>
        <v>#VALUE!</v>
      </c>
      <c r="AT486" s="446" t="e">
        <f>IF(OR($B486="",MIN(AT$38,$D$19)&lt;MAX($P$34*($B486+IF($R$17="Distrato",$I$38-1,0)),IF(AND($L$37=0,$P$34=0),"",$L$37-1),IF($R$17="Distrato",$E486,0))),0,YEARFRAC(MAX($P$34*($B486+IF($R$17="Distrato",$I$38-1,0)),IF(AND($L$37=0,$P$34=0),"",$L$37-1),IF($R$17="Distrato",$E486,0)),MIN(AT$38,$D$19),$P$20))-SUM($P486:AS486)</f>
        <v>#VALUE!</v>
      </c>
      <c r="AU486" s="446" t="e">
        <f>IF(OR($B486="",MIN(AU$38,$D$19)&lt;MAX($P$34*($B486+IF($R$17="Distrato",$I$38-1,0)),IF(AND($L$37=0,$P$34=0),"",$L$37-1),IF($R$17="Distrato",$E486,0))),0,YEARFRAC(MAX($P$34*($B486+IF($R$17="Distrato",$I$38-1,0)),IF(AND($L$37=0,$P$34=0),"",$L$37-1),IF($R$17="Distrato",$E486,0)),MIN(AU$38,$D$19),$P$20))-SUM($P486:AT486)</f>
        <v>#VALUE!</v>
      </c>
      <c r="AV486" s="446" t="e">
        <f>IF(OR($B486="",MIN(AV$38,$D$19)&lt;MAX($P$34*($B486+IF($R$17="Distrato",$I$38-1,0)),IF(AND($L$37=0,$P$34=0),"",$L$37-1),IF($R$17="Distrato",$E486,0))),0,YEARFRAC(MAX($P$34*($B486+IF($R$17="Distrato",$I$38-1,0)),IF(AND($L$37=0,$P$34=0),"",$L$37-1),IF($R$17="Distrato",$E486,0)),MIN(AV$38,$D$19),$P$20))-SUM($P486:AU486)</f>
        <v>#VALUE!</v>
      </c>
      <c r="AW486" s="446" t="e">
        <f>IF(OR($B486="",MIN(AW$38,$D$19)&lt;MAX($P$34*($B486+IF($R$17="Distrato",$I$38-1,0)),IF(AND($L$37=0,$P$34=0),"",$L$37-1),IF($R$17="Distrato",$E486,0))),0,YEARFRAC(MAX($P$34*($B486+IF($R$17="Distrato",$I$38-1,0)),IF(AND($L$37=0,$P$34=0),"",$L$37-1),IF($R$17="Distrato",$E486,0)),MIN(AW$38,$D$19),$P$20))-SUM($P486:AV486)</f>
        <v>#VALUE!</v>
      </c>
      <c r="AX486" s="446" t="e">
        <f>IF(OR($B486="",MIN(AX$38,$D$19)&lt;MAX($P$34*($B486+IF($R$17="Distrato",$I$38-1,0)),IF(AND($L$37=0,$P$34=0),"",$L$37-1),IF($R$17="Distrato",$E486,0))),0,YEARFRAC(MAX($P$34*($B486+IF($R$17="Distrato",$I$38-1,0)),IF(AND($L$37=0,$P$34=0),"",$L$37-1),IF($R$17="Distrato",$E486,0)),MIN(AX$38,$D$19),$P$20))-SUM($P486:AW486)</f>
        <v>#VALUE!</v>
      </c>
      <c r="AY486" s="446" t="e">
        <f>IF(OR($B486="",MIN(AY$38,$D$19)&lt;MAX($P$34*($B486+IF($R$17="Distrato",$I$38-1,0)),IF(AND($L$37=0,$P$34=0),"",$L$37-1),IF($R$17="Distrato",$E486,0))),0,YEARFRAC(MAX($P$34*($B486+IF($R$17="Distrato",$I$38-1,0)),IF(AND($L$37=0,$P$34=0),"",$L$37-1),IF($R$17="Distrato",$E486,0)),MIN(AY$38,$D$19),$P$20))-SUM($P486:AX486)</f>
        <v>#VALUE!</v>
      </c>
      <c r="AZ486" s="446" t="e">
        <f>IF(OR($B486="",MIN(AZ$38,$D$19)&lt;MAX($P$34*($B486+IF($R$17="Distrato",$I$38-1,0)),IF(AND($L$37=0,$P$34=0),"",$L$37-1),IF($R$17="Distrato",$E486,0))),0,YEARFRAC(MAX($P$34*($B486+IF($R$17="Distrato",$I$38-1,0)),IF(AND($L$37=0,$P$34=0),"",$L$37-1),IF($R$17="Distrato",$E486,0)),MIN(AZ$38,$D$19),$P$20))-SUM($P486:AY486)</f>
        <v>#VALUE!</v>
      </c>
      <c r="BA486" s="446" t="e">
        <f>IF(OR($B486="",MIN(BA$38,$D$19)&lt;MAX($P$34*($B486+IF($R$17="Distrato",$I$38-1,0)),IF(AND($L$37=0,$P$34=0),"",$L$37-1),IF($R$17="Distrato",$E486,0))),0,YEARFRAC(MAX($P$34*($B486+IF($R$17="Distrato",$I$38-1,0)),IF(AND($L$37=0,$P$34=0),"",$L$37-1),IF($R$17="Distrato",$E486,0)),MIN(BA$38,$D$19),$P$20))-SUM($P486:AZ486)</f>
        <v>#VALUE!</v>
      </c>
      <c r="BB486" s="447"/>
      <c r="BF486" s="446">
        <f t="shared" si="76"/>
        <v>0</v>
      </c>
      <c r="BG486" s="446">
        <f>IF($E486=0,0,IF(MIN(BG$38,$E486)&lt;MAX($P$34*($B486+$I$38-1),IF(AND($L$37=0,$P$34=0),"",$L$37-1)),0,YEARFRAC(MAX($P$34*($B486+$I$38-1),IF(AND($L$37=0,$P$34=0),"",$L$37-1)),MIN(BG$38,$E486),$P$20))-SUM($BF486:BF486))</f>
        <v>0</v>
      </c>
      <c r="BH486" s="446">
        <f>IF($E486=0,0,IF(MIN(BH$38,$E486)&lt;MAX($P$34*($B486+$I$38-1),IF(AND($L$37=0,$P$34=0),"",$L$37-1)),0,YEARFRAC(MAX($P$34*($B486+$I$38-1),IF(AND($L$37=0,$P$34=0),"",$L$37-1)),MIN(BH$38,$E486),$P$20))-SUM($BF486:BG486))</f>
        <v>0</v>
      </c>
      <c r="BI486" s="446">
        <f>IF($E486=0,0,IF(MIN(BI$38,$E486)&lt;MAX($P$34*($B486+$I$38-1),IF(AND($L$37=0,$P$34=0),"",$L$37-1)),0,YEARFRAC(MAX($P$34*($B486+$I$38-1),IF(AND($L$37=0,$P$34=0),"",$L$37-1)),MIN(BI$38,$E486),$P$20))-SUM($BF486:BH486))</f>
        <v>0</v>
      </c>
      <c r="BJ486" s="446">
        <f>IF($E486=0,0,IF(MIN(BJ$38,$E486)&lt;MAX($P$34*($B486+$I$38-1),IF(AND($L$37=0,$P$34=0),"",$L$37-1)),0,YEARFRAC(MAX($P$34*($B486+$I$38-1),IF(AND($L$37=0,$P$34=0),"",$L$37-1)),MIN(BJ$38,$E486),$P$20))-SUM($BF486:BI486))</f>
        <v>0</v>
      </c>
      <c r="BK486" s="446">
        <f>IF($E486=0,0,IF(MIN(BK$38,$E486)&lt;MAX($P$34*($B486+$I$38-1),IF(AND($L$37=0,$P$34=0),"",$L$37-1)),0,YEARFRAC(MAX($P$34*($B486+$I$38-1),IF(AND($L$37=0,$P$34=0),"",$L$37-1)),MIN(BK$38,$E486),$P$20))-SUM($BF486:BJ486))</f>
        <v>0</v>
      </c>
      <c r="BL486" s="446">
        <f>IF($E486=0,0,IF(MIN(BL$38,$E486)&lt;MAX($P$34*($B486+$I$38-1),IF(AND($L$37=0,$P$34=0),"",$L$37-1)),0,YEARFRAC(MAX($P$34*($B486+$I$38-1),IF(AND($L$37=0,$P$34=0),"",$L$37-1)),MIN(BL$38,$E486),$P$20))-SUM($BF486:BK486))</f>
        <v>0</v>
      </c>
      <c r="BM486" s="446">
        <f>IF($E486=0,0,IF(MIN(BM$38,$E486)&lt;MAX($P$34*($B486+$I$38-1),IF(AND($L$37=0,$P$34=0),"",$L$37-1)),0,YEARFRAC(MAX($P$34*($B486+$I$38-1),IF(AND($L$37=0,$P$34=0),"",$L$37-1)),MIN(BM$38,$E486),$P$20))-SUM($BF486:BL486))</f>
        <v>0</v>
      </c>
      <c r="BN486" s="446">
        <f>IF($E486=0,0,IF(MIN(BN$38,$E486)&lt;MAX($P$34*($B486+$I$38-1),IF(AND($L$37=0,$P$34=0),"",$L$37-1)),0,YEARFRAC(MAX($P$34*($B486+$I$38-1),IF(AND($L$37=0,$P$34=0),"",$L$37-1)),MIN(BN$38,$E486),$P$20))-SUM($BF486:BM486))</f>
        <v>0</v>
      </c>
      <c r="BO486" s="446">
        <f>IF($E486=0,0,IF(MIN(BO$38,$E486)&lt;MAX($P$34*($B486+$I$38-1),IF(AND($L$37=0,$P$34=0),"",$L$37-1)),0,YEARFRAC(MAX($P$34*($B486+$I$38-1),IF(AND($L$37=0,$P$34=0),"",$L$37-1)),MIN(BO$38,$E486),$P$20))-SUM($BF486:BN486))</f>
        <v>0</v>
      </c>
      <c r="BP486" s="446">
        <f>IF($E486=0,0,IF(MIN(BP$38,$E486)&lt;MAX($P$34*($B486+$I$38-1),IF(AND($L$37=0,$P$34=0),"",$L$37-1)),0,YEARFRAC(MAX($P$34*($B486+$I$38-1),IF(AND($L$37=0,$P$34=0),"",$L$37-1)),MIN(BP$38,$E486),$P$20))-SUM($BF486:BO486))</f>
        <v>0</v>
      </c>
      <c r="BQ486" s="446">
        <f>IF($E486=0,0,IF(MIN(BQ$38,$E486)&lt;MAX($P$34*($B486+$I$38-1),IF(AND($L$37=0,$P$34=0),"",$L$37-1)),0,YEARFRAC(MAX($P$34*($B486+$I$38-1),IF(AND($L$37=0,$P$34=0),"",$L$37-1)),MIN(BQ$38,$E486),$P$20))-SUM($BF486:BP486))</f>
        <v>0</v>
      </c>
      <c r="BR486" s="446">
        <f>IF($E486=0,0,IF(MIN(BR$38,$E486)&lt;MAX($P$34*($B486+$I$38-1),IF(AND($L$37=0,$P$34=0),"",$L$37-1)),0,YEARFRAC(MAX($P$34*($B486+$I$38-1),IF(AND($L$37=0,$P$34=0),"",$L$37-1)),MIN(BR$38,$E486),$P$20))-SUM($BF486:BQ486))</f>
        <v>0</v>
      </c>
      <c r="BS486" s="446">
        <f>IF($E486=0,0,IF(MIN(BS$38,$E486)&lt;MAX($P$34*($B486+$I$38-1),IF(AND($L$37=0,$P$34=0),"",$L$37-1)),0,YEARFRAC(MAX($P$34*($B486+$I$38-1),IF(AND($L$37=0,$P$34=0),"",$L$37-1)),MIN(BS$38,$E486),$P$20))-SUM($BF486:BR486))</f>
        <v>0</v>
      </c>
      <c r="BT486" s="446">
        <f>IF($E486=0,0,IF(MIN(BT$38,$E486)&lt;MAX($P$34*($B486+$I$38-1),IF(AND($L$37=0,$P$34=0),"",$L$37-1)),0,YEARFRAC(MAX($P$34*($B486+$I$38-1),IF(AND($L$37=0,$P$34=0),"",$L$37-1)),MIN(BT$38,$E486),$P$20))-SUM($BF486:BS486))</f>
        <v>0</v>
      </c>
      <c r="BU486" s="446">
        <f>IF($E486=0,0,IF(MIN(BU$38,$E486)&lt;MAX($P$34*($B486+$I$38-1),IF(AND($L$37=0,$P$34=0),"",$L$37-1)),0,YEARFRAC(MAX($P$34*($B486+$I$38-1),IF(AND($L$37=0,$P$34=0),"",$L$37-1)),MIN(BU$38,$E486),$P$20))-SUM($BF486:BT486))</f>
        <v>0</v>
      </c>
      <c r="BV486" s="446">
        <f>IF($E486=0,0,IF(MIN(BV$38,$E486)&lt;MAX($P$34*($B486+$I$38-1),IF(AND($L$37=0,$P$34=0),"",$L$37-1)),0,YEARFRAC(MAX($P$34*($B486+$I$38-1),IF(AND($L$37=0,$P$34=0),"",$L$37-1)),MIN(BV$38,$E486),$P$20))-SUM($BF486:BU486))</f>
        <v>0</v>
      </c>
      <c r="BW486" s="446">
        <f>IF($E486=0,0,IF(MIN(BW$38,$E486)&lt;MAX($P$34*($B486+$I$38-1),IF(AND($L$37=0,$P$34=0),"",$L$37-1)),0,YEARFRAC(MAX($P$34*($B486+$I$38-1),IF(AND($L$37=0,$P$34=0),"",$L$37-1)),MIN(BW$38,$E486),$P$20))-SUM($BF486:BV486))</f>
        <v>0</v>
      </c>
      <c r="BX486" s="446">
        <f>IF($E486=0,0,IF(MIN(BX$38,$E486)&lt;MAX($P$34*($B486+$I$38-1),IF(AND($L$37=0,$P$34=0),"",$L$37-1)),0,YEARFRAC(MAX($P$34*($B486+$I$38-1),IF(AND($L$37=0,$P$34=0),"",$L$37-1)),MIN(BX$38,$E486),$P$20))-SUM($BF486:BW486))</f>
        <v>0</v>
      </c>
      <c r="BY486" s="446">
        <f>IF($E486=0,0,IF(MIN(BY$38,$E486)&lt;MAX($P$34*($B486+$I$38-1),IF(AND($L$37=0,$P$34=0),"",$L$37-1)),0,YEARFRAC(MAX($P$34*($B486+$I$38-1),IF(AND($L$37=0,$P$34=0),"",$L$37-1)),MIN(BY$38,$E486),$P$20))-SUM($BF486:BX486))</f>
        <v>0</v>
      </c>
      <c r="BZ486" s="446">
        <f>IF($E486=0,0,IF(MIN(BZ$38,$E486)&lt;MAX($P$34*($B486+$I$38-1),IF(AND($L$37=0,$P$34=0),"",$L$37-1)),0,YEARFRAC(MAX($P$34*($B486+$I$38-1),IF(AND($L$37=0,$P$34=0),"",$L$37-1)),MIN(BZ$38,$E486),$P$20))-SUM($BF486:BY486))</f>
        <v>0</v>
      </c>
      <c r="CA486" s="446">
        <f>IF($E486=0,0,IF(MIN(CA$38,$E486)&lt;MAX($P$34*($B486+$I$38-1),IF(AND($L$37=0,$P$34=0),"",$L$37-1)),0,YEARFRAC(MAX($P$34*($B486+$I$38-1),IF(AND($L$37=0,$P$34=0),"",$L$37-1)),MIN(CA$38,$E486),$P$20))-SUM($BF486:BZ486))</f>
        <v>0</v>
      </c>
      <c r="CB486" s="446">
        <f>IF($E486=0,0,IF(MIN(CB$38,$E486)&lt;MAX($P$34*($B486+$I$38-1),IF(AND($L$37=0,$P$34=0),"",$L$37-1)),0,YEARFRAC(MAX($P$34*($B486+$I$38-1),IF(AND($L$37=0,$P$34=0),"",$L$37-1)),MIN(CB$38,$E486),$P$20))-SUM($BF486:CA486))</f>
        <v>0</v>
      </c>
      <c r="CC486" s="446">
        <f>IF($E486=0,0,IF(MIN(CC$38,$E486)&lt;MAX($P$34*($B486+$I$38-1),IF(AND($L$37=0,$P$34=0),"",$L$37-1)),0,YEARFRAC(MAX($P$34*($B486+$I$38-1),IF(AND($L$37=0,$P$34=0),"",$L$37-1)),MIN(CC$38,$E486),$P$20))-SUM($BF486:CB486))</f>
        <v>0</v>
      </c>
      <c r="CD486" s="446">
        <f>IF($E486=0,0,IF(MIN(CD$38,$E486)&lt;MAX($P$34*($B486+$I$38-1),IF(AND($L$37=0,$P$34=0),"",$L$37-1)),0,YEARFRAC(MAX($P$34*($B486+$I$38-1),IF(AND($L$37=0,$P$34=0),"",$L$37-1)),MIN(CD$38,$E486),$P$20))-SUM($BF486:CC486))</f>
        <v>0</v>
      </c>
      <c r="CE486" s="446">
        <f>IF($E486=0,0,IF(MIN(CE$38,$E486)&lt;MAX($P$34*($B486+$I$38-1),IF(AND($L$37=0,$P$34=0),"",$L$37-1)),0,YEARFRAC(MAX($P$34*($B486+$I$38-1),IF(AND($L$37=0,$P$34=0),"",$L$37-1)),MIN(CE$38,$E486),$P$20))-SUM($BF486:CD486))</f>
        <v>0</v>
      </c>
      <c r="CF486" s="446">
        <f>IF($E486=0,0,IF(MIN(CF$38,$E486)&lt;MAX($P$34*($B486+$I$38-1),IF(AND($L$37=0,$P$34=0),"",$L$37-1)),0,YEARFRAC(MAX($P$34*($B486+$I$38-1),IF(AND($L$37=0,$P$34=0),"",$L$37-1)),MIN(CF$38,$E486),$P$20))-SUM($BF486:CE486))</f>
        <v>0</v>
      </c>
      <c r="CG486" s="446">
        <f>IF($E486=0,0,IF(MIN(CG$38,$E486)&lt;MAX($P$34*($B486+$I$38-1),IF(AND($L$37=0,$P$34=0),"",$L$37-1)),0,YEARFRAC(MAX($P$34*($B486+$I$38-1),IF(AND($L$37=0,$P$34=0),"",$L$37-1)),MIN(CG$38,$E486),$P$20))-SUM($BF486:CF486))</f>
        <v>0</v>
      </c>
      <c r="CH486" s="446">
        <f>IF($E486=0,0,IF(MIN(CH$38,$E486)&lt;MAX($P$34*($B486+$I$38-1),IF(AND($L$37=0,$P$34=0),"",$L$37-1)),0,YEARFRAC(MAX($P$34*($B486+$I$38-1),IF(AND($L$37=0,$P$34=0),"",$L$37-1)),MIN(CH$38,$E486),$P$20))-SUM($BF486:CG486))</f>
        <v>0</v>
      </c>
      <c r="CI486" s="446">
        <f>IF($E486=0,0,IF(MIN(CI$38,$E486)&lt;MAX($P$34*($B486+$I$38-1),IF(AND($L$37=0,$P$34=0),"",$L$37-1)),0,YEARFRAC(MAX($P$34*($B486+$I$38-1),IF(AND($L$37=0,$P$34=0),"",$L$37-1)),MIN(CI$38,$E486),$P$20))-SUM($BF486:CH486))</f>
        <v>0</v>
      </c>
      <c r="CJ486" s="446">
        <f>IF($E486=0,0,IF(MIN(CJ$38,$E486)&lt;MAX($P$34*($B486+$I$38-1),IF(AND($L$37=0,$P$34=0),"",$L$37-1)),0,YEARFRAC(MAX($P$34*($B486+$I$38-1),IF(AND($L$37=0,$P$34=0),"",$L$37-1)),MIN(CJ$38,$E486),$P$20))-SUM($BF486:CI486))</f>
        <v>0</v>
      </c>
      <c r="CK486" s="446">
        <f>IF($E486=0,0,IF(MIN(CK$38,$E486)&lt;MAX($P$34*($B486+$I$38-1),IF(AND($L$37=0,$P$34=0),"",$L$37-1)),0,YEARFRAC(MAX($P$34*($B486+$I$38-1),IF(AND($L$37=0,$P$34=0),"",$L$37-1)),MIN(CK$38,$E486),$P$20))-SUM($BF486:CJ486))</f>
        <v>0</v>
      </c>
      <c r="CL486" s="446">
        <f>IF($E486=0,0,IF(MIN(CL$38,$E486)&lt;MAX($P$34*($B486+$I$38-1),IF(AND($L$37=0,$P$34=0),"",$L$37-1)),0,YEARFRAC(MAX($P$34*($B486+$I$38-1),IF(AND($L$37=0,$P$34=0),"",$L$37-1)),MIN(CL$38,$E486),$P$20))-SUM($BF486:CK486))</f>
        <v>0</v>
      </c>
      <c r="CM486" s="446">
        <f>IF($E486=0,0,IF(MIN(CM$38,$E486)&lt;MAX($P$34*($B486+$I$38-1),IF(AND($L$37=0,$P$34=0),"",$L$37-1)),0,YEARFRAC(MAX($P$34*($B486+$I$38-1),IF(AND($L$37=0,$P$34=0),"",$L$37-1)),MIN(CM$38,$E486),$P$20))-SUM($BF486:CL486))</f>
        <v>0</v>
      </c>
      <c r="CN486" s="446">
        <f>IF($E486=0,0,IF(MIN(CN$38,$E486)&lt;MAX($P$34*($B486+$I$38-1),IF(AND($L$37=0,$P$34=0),"",$L$37-1)),0,YEARFRAC(MAX($P$34*($B486+$I$38-1),IF(AND($L$37=0,$P$34=0),"",$L$37-1)),MIN(CN$38,$E486),$P$20))-SUM($BF486:CM486))</f>
        <v>0</v>
      </c>
      <c r="CO486" s="446">
        <f>IF($E486=0,0,IF(MIN(CO$38,$E486)&lt;MAX($P$34*($B486+$I$38-1),IF(AND($L$37=0,$P$34=0),"",$L$37-1)),0,YEARFRAC(MAX($P$34*($B486+$I$38-1),IF(AND($L$37=0,$P$34=0),"",$L$37-1)),MIN(CO$38,$E486),$P$20))-SUM($BF486:CN486))</f>
        <v>0</v>
      </c>
      <c r="CP486" s="446">
        <f>IF($E486=0,0,IF(MIN(CP$38,$E486)&lt;MAX($P$34*($B486+$I$38-1),IF(AND($L$37=0,$P$34=0),"",$L$37-1)),0,YEARFRAC(MAX($P$34*($B486+$I$38-1),IF(AND($L$37=0,$P$34=0),"",$L$37-1)),MIN(CP$38,$E486),$P$20))-SUM($BF486:CO486))</f>
        <v>0</v>
      </c>
      <c r="CQ486" s="446">
        <f>IF($E486=0,0,IF(MIN(CQ$38,$E486)&lt;MAX($P$34*($B486+$I$38-1),IF(AND($L$37=0,$P$34=0),"",$L$37-1)),0,YEARFRAC(MAX($P$34*($B486+$I$38-1),IF(AND($L$37=0,$P$34=0),"",$L$37-1)),MIN(CQ$38,$E486),$P$20))-SUM($BF486:CP486))</f>
        <v>0</v>
      </c>
    </row>
    <row r="487" spans="1:95" s="446" customFormat="1" ht="11.25" hidden="1" customHeight="1" x14ac:dyDescent="0.2">
      <c r="A487" s="152"/>
      <c r="B487" s="153" t="str">
        <f t="shared" si="81"/>
        <v/>
      </c>
      <c r="C487" s="29" t="str">
        <f>IF(B487="","",IF($L$35="SELIC - TRIBUTOS",VLOOKUP(DATE(YEAR($D$19),MONTH($D$19)-1,1),ÍNDICES!$A:$DE,HLOOKUP($BL$25,ÍNDICES!$B$3:$T$4,2)+11)-VLOOKUP(B487,ÍNDICES!$A:$DE,HLOOKUP($BL$25,ÍNDICES!$B$3:$T$4,2)+11)+1%,IF(C$38=$W$26,$J$35,IF(ISERROR(IF(B487&gt;$D$19,1,VLOOKUP(DATE(YEAR(B487),MONTH(B487)+IF($C$35=$S$23,1,0),1),ÍNDICES!$A:$DE,$Z$35+1))),"",IF(B487&gt;$D$19,1,VLOOKUP(DATE(YEAR(B487),MONTH(B487)+IF($C$35=$S$23,1,0),1),ÍNDICES!$A:$DE,$Z$35+1))))))</f>
        <v/>
      </c>
      <c r="D487" s="154" t="str">
        <f>IF(ISERROR(IF(OR($D$38=$Y$27,$B487=""),"",VLOOKUP(B487,ÍNDICES!A:DE,AF$35+1))),"",IF(OR($D$38=$Y$27,$B487=""),"",VLOOKUP(B487,ÍNDICES!A:DE,AF$35+1)))</f>
        <v/>
      </c>
      <c r="E487" s="153"/>
      <c r="F487" s="29" t="str">
        <f>IF(E487="","",IF($L$35="SELIC - TRIBUTOS",VLOOKUP(DATE(YEAR($D$19),MONTH($D$19)-1,1),ÍNDICES!$A:$DE,HLOOKUP($BL$25,ÍNDICES!$B$3:$T$4,2)+11)-VLOOKUP(E487,ÍNDICES!$A:$DE,HLOOKUP($BL$25,ÍNDICES!$B$3:$T$4,2)+11)+1%,IF(F$38=$W$26,$J$35,IF(ISERROR(IF(E487&gt;$D$19,1,VLOOKUP(DATE(YEAR(E487),MONTH(E487)+IF($C$35=$S$23,1,0),1),ÍNDICES!$A:$DE,$Z$35+1))),"",IF(E487&gt;$D$19,1,VLOOKUP(DATE(YEAR(E487),MONTH(E487)+IF($C$35=$S$23,1,0),1),ÍNDICES!$A:$DE,$Z$35+1))))))</f>
        <v/>
      </c>
      <c r="G487" s="155"/>
      <c r="H487" s="156" t="str">
        <f t="shared" si="77"/>
        <v/>
      </c>
      <c r="I487" s="29" t="str">
        <f t="shared" si="71"/>
        <v/>
      </c>
      <c r="J487" s="5">
        <f t="shared" si="72"/>
        <v>0</v>
      </c>
      <c r="K487" s="20">
        <f t="shared" ca="1" si="73"/>
        <v>0</v>
      </c>
      <c r="L487" s="5">
        <f t="shared" ca="1" si="74"/>
        <v>0</v>
      </c>
      <c r="M487" s="64">
        <f t="shared" si="78"/>
        <v>0</v>
      </c>
      <c r="N487" s="61">
        <f t="shared" ca="1" si="79"/>
        <v>0</v>
      </c>
      <c r="O487" s="5">
        <f t="shared" ca="1" si="80"/>
        <v>0</v>
      </c>
      <c r="P487" s="446" t="e">
        <f t="shared" si="75"/>
        <v>#VALUE!</v>
      </c>
      <c r="Q487" s="446" t="e">
        <f>IF(OR($B487="",MIN(Q$38,$D$19)&lt;MAX($P$34*($B487+IF($R$17="Distrato",$I$38-1,0)),IF(AND($L$37=0,$P$34=0),"",$L$37-1),IF($R$17="Distrato",$E487,0))),0,YEARFRAC(MAX($P$34*($B487+IF($R$17="Distrato",$I$38-1,0)),IF(AND($L$37=0,$P$34=0),"",$L$37-1),IF($R$17="Distrato",$E487,0)),MIN(Q$38,$D$19),$P$20))-SUM($P487:P487)</f>
        <v>#VALUE!</v>
      </c>
      <c r="R487" s="446" t="e">
        <f>IF(OR($B487="",MIN(R$38,$D$19)&lt;MAX($P$34*($B487+IF($R$17="Distrato",$I$38-1,0)),IF(AND($L$37=0,$P$34=0),"",$L$37-1),IF($R$17="Distrato",$E487,0))),0,YEARFRAC(MAX($P$34*($B487+IF($R$17="Distrato",$I$38-1,0)),IF(AND($L$37=0,$P$34=0),"",$L$37-1),IF($R$17="Distrato",$E487,0)),MIN(R$38,$D$19),$P$20))-SUM($P487:Q487)</f>
        <v>#VALUE!</v>
      </c>
      <c r="S487" s="446" t="e">
        <f>IF(OR($B487="",MIN(S$38,$D$19)&lt;MAX($P$34*($B487+IF($R$17="Distrato",$I$38-1,0)),IF(AND($L$37=0,$P$34=0),"",$L$37-1),IF($R$17="Distrato",$E487,0))),0,YEARFRAC(MAX($P$34*($B487+IF($R$17="Distrato",$I$38-1,0)),IF(AND($L$37=0,$P$34=0),"",$L$37-1),IF($R$17="Distrato",$E487,0)),MIN(S$38,$D$19),$P$20))-SUM($P487:R487)</f>
        <v>#VALUE!</v>
      </c>
      <c r="T487" s="446" t="e">
        <f>IF(OR($B487="",MIN(T$38,$D$19)&lt;MAX($P$34*($B487+IF($R$17="Distrato",$I$38-1,0)),IF(AND($L$37=0,$P$34=0),"",$L$37-1),IF($R$17="Distrato",$E487,0))),0,YEARFRAC(MAX($P$34*($B487+IF($R$17="Distrato",$I$38-1,0)),IF(AND($L$37=0,$P$34=0),"",$L$37-1),IF($R$17="Distrato",$E487,0)),MIN(T$38,$D$19),$P$20))-SUM($P487:S487)</f>
        <v>#VALUE!</v>
      </c>
      <c r="U487" s="446" t="e">
        <f>IF(OR($B487="",MIN(U$38,$D$19)&lt;MAX($P$34*($B487+IF($R$17="Distrato",$I$38-1,0)),IF(AND($L$37=0,$P$34=0),"",$L$37-1),IF($R$17="Distrato",$E487,0))),0,YEARFRAC(MAX($P$34*($B487+IF($R$17="Distrato",$I$38-1,0)),IF(AND($L$37=0,$P$34=0),"",$L$37-1),IF($R$17="Distrato",$E487,0)),MIN(U$38,$D$19),$P$20))-SUM($P487:T487)</f>
        <v>#VALUE!</v>
      </c>
      <c r="V487" s="446" t="e">
        <f>IF(OR($B487="",MIN(V$38,$D$19)&lt;MAX($P$34*($B487+IF($R$17="Distrato",$I$38-1,0)),IF(AND($L$37=0,$P$34=0),"",$L$37-1),IF($R$17="Distrato",$E487,0))),0,YEARFRAC(MAX($P$34*($B487+IF($R$17="Distrato",$I$38-1,0)),IF(AND($L$37=0,$P$34=0),"",$L$37-1),IF($R$17="Distrato",$E487,0)),MIN(V$38,$D$19),$P$20))-SUM($P487:U487)</f>
        <v>#VALUE!</v>
      </c>
      <c r="W487" s="446" t="e">
        <f>IF(OR($B487="",MIN(W$38,$D$19)&lt;MAX($P$34*($B487+IF($R$17="Distrato",$I$38-1,0)),IF(AND($L$37=0,$P$34=0),"",$L$37-1),IF($R$17="Distrato",$E487,0))),0,YEARFRAC(MAX($P$34*($B487+IF($R$17="Distrato",$I$38-1,0)),IF(AND($L$37=0,$P$34=0),"",$L$37-1),IF($R$17="Distrato",$E487,0)),MIN(W$38,$D$19),$P$20))-SUM($P487:V487)</f>
        <v>#VALUE!</v>
      </c>
      <c r="X487" s="446" t="e">
        <f>IF(OR($B487="",MIN(X$38,$D$19)&lt;MAX($P$34*($B487+IF($R$17="Distrato",$I$38-1,0)),IF(AND($L$37=0,$P$34=0),"",$L$37-1),IF($R$17="Distrato",$E487,0))),0,YEARFRAC(MAX($P$34*($B487+IF($R$17="Distrato",$I$38-1,0)),IF(AND($L$37=0,$P$34=0),"",$L$37-1),IF($R$17="Distrato",$E487,0)),MIN(X$38,$D$19),$P$20))-SUM($P487:W487)</f>
        <v>#VALUE!</v>
      </c>
      <c r="Y487" s="446" t="e">
        <f>IF(OR($B487="",MIN(Y$38,$D$19)&lt;MAX($P$34*($B487+IF($R$17="Distrato",$I$38-1,0)),IF(AND($L$37=0,$P$34=0),"",$L$37-1),IF($R$17="Distrato",$E487,0))),0,YEARFRAC(MAX($P$34*($B487+IF($R$17="Distrato",$I$38-1,0)),IF(AND($L$37=0,$P$34=0),"",$L$37-1),IF($R$17="Distrato",$E487,0)),MIN(Y$38,$D$19),$P$20))-SUM($P487:X487)</f>
        <v>#VALUE!</v>
      </c>
      <c r="Z487" s="446" t="e">
        <f>IF(OR($B487="",MIN(Z$38,$D$19)&lt;MAX($P$34*($B487+IF($R$17="Distrato",$I$38-1,0)),IF(AND($L$37=0,$P$34=0),"",$L$37-1),IF($R$17="Distrato",$E487,0))),0,YEARFRAC(MAX($P$34*($B487+IF($R$17="Distrato",$I$38-1,0)),IF(AND($L$37=0,$P$34=0),"",$L$37-1),IF($R$17="Distrato",$E487,0)),MIN(Z$38,$D$19),$P$20))-SUM($P487:Y487)</f>
        <v>#VALUE!</v>
      </c>
      <c r="AA487" s="446" t="e">
        <f>IF(OR($B487="",MIN(AA$38,$D$19)&lt;MAX($P$34*($B487+IF($R$17="Distrato",$I$38-1,0)),IF(AND($L$37=0,$P$34=0),"",$L$37-1),IF($R$17="Distrato",$E487,0))),0,YEARFRAC(MAX($P$34*($B487+IF($R$17="Distrato",$I$38-1,0)),IF(AND($L$37=0,$P$34=0),"",$L$37-1),IF($R$17="Distrato",$E487,0)),MIN(AA$38,$D$19),$P$20))-SUM($P487:Z487)</f>
        <v>#VALUE!</v>
      </c>
      <c r="AB487" s="446" t="e">
        <f>IF(OR($B487="",MIN(AB$38,$D$19)&lt;MAX($P$34*($B487+IF($R$17="Distrato",$I$38-1,0)),IF(AND($L$37=0,$P$34=0),"",$L$37-1),IF($R$17="Distrato",$E487,0))),0,YEARFRAC(MAX($P$34*($B487+IF($R$17="Distrato",$I$38-1,0)),IF(AND($L$37=0,$P$34=0),"",$L$37-1),IF($R$17="Distrato",$E487,0)),MIN(AB$38,$D$19),$P$20))-SUM($P487:AA487)</f>
        <v>#VALUE!</v>
      </c>
      <c r="AC487" s="446" t="e">
        <f>IF(OR($B487="",MIN(AC$38,$D$19)&lt;MAX($P$34*($B487+IF($R$17="Distrato",$I$38-1,0)),IF(AND($L$37=0,$P$34=0),"",$L$37-1),IF($R$17="Distrato",$E487,0))),0,YEARFRAC(MAX($P$34*($B487+IF($R$17="Distrato",$I$38-1,0)),IF(AND($L$37=0,$P$34=0),"",$L$37-1),IF($R$17="Distrato",$E487,0)),MIN(AC$38,$D$19),$P$20))-SUM($P487:AB487)</f>
        <v>#VALUE!</v>
      </c>
      <c r="AD487" s="446" t="e">
        <f>IF(OR($B487="",MIN(AD$38,$D$19)&lt;MAX($P$34*($B487+IF($R$17="Distrato",$I$38-1,0)),IF(AND($L$37=0,$P$34=0),"",$L$37-1),IF($R$17="Distrato",$E487,0))),0,YEARFRAC(MAX($P$34*($B487+IF($R$17="Distrato",$I$38-1,0)),IF(AND($L$37=0,$P$34=0),"",$L$37-1),IF($R$17="Distrato",$E487,0)),MIN(AD$38,$D$19),$P$20))-SUM($P487:AC487)</f>
        <v>#VALUE!</v>
      </c>
      <c r="AE487" s="446" t="e">
        <f>IF(OR($B487="",MIN(AE$38,$D$19)&lt;MAX($P$34*($B487+IF($R$17="Distrato",$I$38-1,0)),IF(AND($L$37=0,$P$34=0),"",$L$37-1),IF($R$17="Distrato",$E487,0))),0,YEARFRAC(MAX($P$34*($B487+IF($R$17="Distrato",$I$38-1,0)),IF(AND($L$37=0,$P$34=0),"",$L$37-1),IF($R$17="Distrato",$E487,0)),MIN(AE$38,$D$19),$P$20))-SUM($P487:AD487)</f>
        <v>#VALUE!</v>
      </c>
      <c r="AF487" s="446" t="e">
        <f>IF(OR($B487="",MIN(AF$38,$D$19)&lt;MAX($P$34*($B487+IF($R$17="Distrato",$I$38-1,0)),IF(AND($L$37=0,$P$34=0),"",$L$37-1),IF($R$17="Distrato",$E487,0))),0,YEARFRAC(MAX($P$34*($B487+IF($R$17="Distrato",$I$38-1,0)),IF(AND($L$37=0,$P$34=0),"",$L$37-1),IF($R$17="Distrato",$E487,0)),MIN(AF$38,$D$19),$P$20))-SUM($P487:AE487)</f>
        <v>#VALUE!</v>
      </c>
      <c r="AG487" s="446" t="e">
        <f>IF(OR($B487="",MIN(AG$38,$D$19)&lt;MAX($P$34*($B487+IF($R$17="Distrato",$I$38-1,0)),IF(AND($L$37=0,$P$34=0),"",$L$37-1),IF($R$17="Distrato",$E487,0))),0,YEARFRAC(MAX($P$34*($B487+IF($R$17="Distrato",$I$38-1,0)),IF(AND($L$37=0,$P$34=0),"",$L$37-1),IF($R$17="Distrato",$E487,0)),MIN(AG$38,$D$19),$P$20))-SUM($P487:AF487)</f>
        <v>#VALUE!</v>
      </c>
      <c r="AH487" s="446" t="e">
        <f>IF(OR($B487="",MIN(AH$38,$D$19)&lt;MAX($P$34*($B487+IF($R$17="Distrato",$I$38-1,0)),IF(AND($L$37=0,$P$34=0),"",$L$37-1),IF($R$17="Distrato",$E487,0))),0,YEARFRAC(MAX($P$34*($B487+IF($R$17="Distrato",$I$38-1,0)),IF(AND($L$37=0,$P$34=0),"",$L$37-1),IF($R$17="Distrato",$E487,0)),MIN(AH$38,$D$19),$P$20))-SUM($P487:AG487)</f>
        <v>#VALUE!</v>
      </c>
      <c r="AI487" s="446" t="e">
        <f>IF(OR($B487="",MIN(AI$38,$D$19)&lt;MAX($P$34*($B487+IF($R$17="Distrato",$I$38-1,0)),IF(AND($L$37=0,$P$34=0),"",$L$37-1),IF($R$17="Distrato",$E487,0))),0,YEARFRAC(MAX($P$34*($B487+IF($R$17="Distrato",$I$38-1,0)),IF(AND($L$37=0,$P$34=0),"",$L$37-1),IF($R$17="Distrato",$E487,0)),MIN(AI$38,$D$19),$P$20))-SUM($P487:AH487)</f>
        <v>#VALUE!</v>
      </c>
      <c r="AJ487" s="446" t="e">
        <f>IF(OR($B487="",MIN(AJ$38,$D$19)&lt;MAX($P$34*($B487+IF($R$17="Distrato",$I$38-1,0)),IF(AND($L$37=0,$P$34=0),"",$L$37-1),IF($R$17="Distrato",$E487,0))),0,YEARFRAC(MAX($P$34*($B487+IF($R$17="Distrato",$I$38-1,0)),IF(AND($L$37=0,$P$34=0),"",$L$37-1),IF($R$17="Distrato",$E487,0)),MIN(AJ$38,$D$19),$P$20))-SUM($P487:AI487)</f>
        <v>#VALUE!</v>
      </c>
      <c r="AK487" s="446" t="e">
        <f>IF(OR($B487="",MIN(AK$38,$D$19)&lt;MAX($P$34*($B487+IF($R$17="Distrato",$I$38-1,0)),IF(AND($L$37=0,$P$34=0),"",$L$37-1),IF($R$17="Distrato",$E487,0))),0,YEARFRAC(MAX($P$34*($B487+IF($R$17="Distrato",$I$38-1,0)),IF(AND($L$37=0,$P$34=0),"",$L$37-1),IF($R$17="Distrato",$E487,0)),MIN(AK$38,$D$19),$P$20))-SUM($P487:AJ487)</f>
        <v>#VALUE!</v>
      </c>
      <c r="AL487" s="446" t="e">
        <f>IF(OR($B487="",MIN(AL$38,$D$19)&lt;MAX($P$34*($B487+IF($R$17="Distrato",$I$38-1,0)),IF(AND($L$37=0,$P$34=0),"",$L$37-1),IF($R$17="Distrato",$E487,0))),0,YEARFRAC(MAX($P$34*($B487+IF($R$17="Distrato",$I$38-1,0)),IF(AND($L$37=0,$P$34=0),"",$L$37-1),IF($R$17="Distrato",$E487,0)),MIN(AL$38,$D$19),$P$20))-SUM($P487:AK487)</f>
        <v>#VALUE!</v>
      </c>
      <c r="AM487" s="446" t="e">
        <f>IF(OR($B487="",MIN(AM$38,$D$19)&lt;MAX($P$34*($B487+IF($R$17="Distrato",$I$38-1,0)),IF(AND($L$37=0,$P$34=0),"",$L$37-1),IF($R$17="Distrato",$E487,0))),0,YEARFRAC(MAX($P$34*($B487+IF($R$17="Distrato",$I$38-1,0)),IF(AND($L$37=0,$P$34=0),"",$L$37-1),IF($R$17="Distrato",$E487,0)),MIN(AM$38,$D$19),$P$20))-SUM($P487:AL487)</f>
        <v>#VALUE!</v>
      </c>
      <c r="AN487" s="446" t="e">
        <f>IF(OR($B487="",MIN(AN$38,$D$19)&lt;MAX($P$34*($B487+IF($R$17="Distrato",$I$38-1,0)),IF(AND($L$37=0,$P$34=0),"",$L$37-1),IF($R$17="Distrato",$E487,0))),0,YEARFRAC(MAX($P$34*($B487+IF($R$17="Distrato",$I$38-1,0)),IF(AND($L$37=0,$P$34=0),"",$L$37-1),IF($R$17="Distrato",$E487,0)),MIN(AN$38,$D$19),$P$20))-SUM($P487:AM487)</f>
        <v>#VALUE!</v>
      </c>
      <c r="AO487" s="446" t="e">
        <f>IF(OR($B487="",MIN(AO$38,$D$19)&lt;MAX($P$34*($B487+IF($R$17="Distrato",$I$38-1,0)),IF(AND($L$37=0,$P$34=0),"",$L$37-1),IF($R$17="Distrato",$E487,0))),0,YEARFRAC(MAX($P$34*($B487+IF($R$17="Distrato",$I$38-1,0)),IF(AND($L$37=0,$P$34=0),"",$L$37-1),IF($R$17="Distrato",$E487,0)),MIN(AO$38,$D$19),$P$20))-SUM($P487:AN487)</f>
        <v>#VALUE!</v>
      </c>
      <c r="AP487" s="446" t="e">
        <f>IF(OR($B487="",MIN(AP$38,$D$19)&lt;MAX($P$34*($B487+IF($R$17="Distrato",$I$38-1,0)),IF(AND($L$37=0,$P$34=0),"",$L$37-1),IF($R$17="Distrato",$E487,0))),0,YEARFRAC(MAX($P$34*($B487+IF($R$17="Distrato",$I$38-1,0)),IF(AND($L$37=0,$P$34=0),"",$L$37-1),IF($R$17="Distrato",$E487,0)),MIN(AP$38,$D$19),$P$20))-SUM($P487:AO487)</f>
        <v>#VALUE!</v>
      </c>
      <c r="AQ487" s="446" t="e">
        <f>IF(OR($B487="",MIN(AQ$38,$D$19)&lt;MAX($P$34*($B487+IF($R$17="Distrato",$I$38-1,0)),IF(AND($L$37=0,$P$34=0),"",$L$37-1),IF($R$17="Distrato",$E487,0))),0,YEARFRAC(MAX($P$34*($B487+IF($R$17="Distrato",$I$38-1,0)),IF(AND($L$37=0,$P$34=0),"",$L$37-1),IF($R$17="Distrato",$E487,0)),MIN(AQ$38,$D$19),$P$20))-SUM($P487:AP487)</f>
        <v>#VALUE!</v>
      </c>
      <c r="AR487" s="446" t="e">
        <f>IF(OR($B487="",MIN(AR$38,$D$19)&lt;MAX($P$34*($B487+IF($R$17="Distrato",$I$38-1,0)),IF(AND($L$37=0,$P$34=0),"",$L$37-1),IF($R$17="Distrato",$E487,0))),0,YEARFRAC(MAX($P$34*($B487+IF($R$17="Distrato",$I$38-1,0)),IF(AND($L$37=0,$P$34=0),"",$L$37-1),IF($R$17="Distrato",$E487,0)),MIN(AR$38,$D$19),$P$20))-SUM($P487:AQ487)</f>
        <v>#VALUE!</v>
      </c>
      <c r="AS487" s="446" t="e">
        <f>IF(OR($B487="",MIN(AS$38,$D$19)&lt;MAX($P$34*($B487+IF($R$17="Distrato",$I$38-1,0)),IF(AND($L$37=0,$P$34=0),"",$L$37-1),IF($R$17="Distrato",$E487,0))),0,YEARFRAC(MAX($P$34*($B487+IF($R$17="Distrato",$I$38-1,0)),IF(AND($L$37=0,$P$34=0),"",$L$37-1),IF($R$17="Distrato",$E487,0)),MIN(AS$38,$D$19),$P$20))-SUM($P487:AR487)</f>
        <v>#VALUE!</v>
      </c>
      <c r="AT487" s="446" t="e">
        <f>IF(OR($B487="",MIN(AT$38,$D$19)&lt;MAX($P$34*($B487+IF($R$17="Distrato",$I$38-1,0)),IF(AND($L$37=0,$P$34=0),"",$L$37-1),IF($R$17="Distrato",$E487,0))),0,YEARFRAC(MAX($P$34*($B487+IF($R$17="Distrato",$I$38-1,0)),IF(AND($L$37=0,$P$34=0),"",$L$37-1),IF($R$17="Distrato",$E487,0)),MIN(AT$38,$D$19),$P$20))-SUM($P487:AS487)</f>
        <v>#VALUE!</v>
      </c>
      <c r="AU487" s="446" t="e">
        <f>IF(OR($B487="",MIN(AU$38,$D$19)&lt;MAX($P$34*($B487+IF($R$17="Distrato",$I$38-1,0)),IF(AND($L$37=0,$P$34=0),"",$L$37-1),IF($R$17="Distrato",$E487,0))),0,YEARFRAC(MAX($P$34*($B487+IF($R$17="Distrato",$I$38-1,0)),IF(AND($L$37=0,$P$34=0),"",$L$37-1),IF($R$17="Distrato",$E487,0)),MIN(AU$38,$D$19),$P$20))-SUM($P487:AT487)</f>
        <v>#VALUE!</v>
      </c>
      <c r="AV487" s="446" t="e">
        <f>IF(OR($B487="",MIN(AV$38,$D$19)&lt;MAX($P$34*($B487+IF($R$17="Distrato",$I$38-1,0)),IF(AND($L$37=0,$P$34=0),"",$L$37-1),IF($R$17="Distrato",$E487,0))),0,YEARFRAC(MAX($P$34*($B487+IF($R$17="Distrato",$I$38-1,0)),IF(AND($L$37=0,$P$34=0),"",$L$37-1),IF($R$17="Distrato",$E487,0)),MIN(AV$38,$D$19),$P$20))-SUM($P487:AU487)</f>
        <v>#VALUE!</v>
      </c>
      <c r="AW487" s="446" t="e">
        <f>IF(OR($B487="",MIN(AW$38,$D$19)&lt;MAX($P$34*($B487+IF($R$17="Distrato",$I$38-1,0)),IF(AND($L$37=0,$P$34=0),"",$L$37-1),IF($R$17="Distrato",$E487,0))),0,YEARFRAC(MAX($P$34*($B487+IF($R$17="Distrato",$I$38-1,0)),IF(AND($L$37=0,$P$34=0),"",$L$37-1),IF($R$17="Distrato",$E487,0)),MIN(AW$38,$D$19),$P$20))-SUM($P487:AV487)</f>
        <v>#VALUE!</v>
      </c>
      <c r="AX487" s="446" t="e">
        <f>IF(OR($B487="",MIN(AX$38,$D$19)&lt;MAX($P$34*($B487+IF($R$17="Distrato",$I$38-1,0)),IF(AND($L$37=0,$P$34=0),"",$L$37-1),IF($R$17="Distrato",$E487,0))),0,YEARFRAC(MAX($P$34*($B487+IF($R$17="Distrato",$I$38-1,0)),IF(AND($L$37=0,$P$34=0),"",$L$37-1),IF($R$17="Distrato",$E487,0)),MIN(AX$38,$D$19),$P$20))-SUM($P487:AW487)</f>
        <v>#VALUE!</v>
      </c>
      <c r="AY487" s="446" t="e">
        <f>IF(OR($B487="",MIN(AY$38,$D$19)&lt;MAX($P$34*($B487+IF($R$17="Distrato",$I$38-1,0)),IF(AND($L$37=0,$P$34=0),"",$L$37-1),IF($R$17="Distrato",$E487,0))),0,YEARFRAC(MAX($P$34*($B487+IF($R$17="Distrato",$I$38-1,0)),IF(AND($L$37=0,$P$34=0),"",$L$37-1),IF($R$17="Distrato",$E487,0)),MIN(AY$38,$D$19),$P$20))-SUM($P487:AX487)</f>
        <v>#VALUE!</v>
      </c>
      <c r="AZ487" s="446" t="e">
        <f>IF(OR($B487="",MIN(AZ$38,$D$19)&lt;MAX($P$34*($B487+IF($R$17="Distrato",$I$38-1,0)),IF(AND($L$37=0,$P$34=0),"",$L$37-1),IF($R$17="Distrato",$E487,0))),0,YEARFRAC(MAX($P$34*($B487+IF($R$17="Distrato",$I$38-1,0)),IF(AND($L$37=0,$P$34=0),"",$L$37-1),IF($R$17="Distrato",$E487,0)),MIN(AZ$38,$D$19),$P$20))-SUM($P487:AY487)</f>
        <v>#VALUE!</v>
      </c>
      <c r="BA487" s="446" t="e">
        <f>IF(OR($B487="",MIN(BA$38,$D$19)&lt;MAX($P$34*($B487+IF($R$17="Distrato",$I$38-1,0)),IF(AND($L$37=0,$P$34=0),"",$L$37-1),IF($R$17="Distrato",$E487,0))),0,YEARFRAC(MAX($P$34*($B487+IF($R$17="Distrato",$I$38-1,0)),IF(AND($L$37=0,$P$34=0),"",$L$37-1),IF($R$17="Distrato",$E487,0)),MIN(BA$38,$D$19),$P$20))-SUM($P487:AZ487)</f>
        <v>#VALUE!</v>
      </c>
      <c r="BB487" s="447"/>
      <c r="BF487" s="446">
        <f t="shared" si="76"/>
        <v>0</v>
      </c>
      <c r="BG487" s="446">
        <f>IF($E487=0,0,IF(MIN(BG$38,$E487)&lt;MAX($P$34*($B487+$I$38-1),IF(AND($L$37=0,$P$34=0),"",$L$37-1)),0,YEARFRAC(MAX($P$34*($B487+$I$38-1),IF(AND($L$37=0,$P$34=0),"",$L$37-1)),MIN(BG$38,$E487),$P$20))-SUM($BF487:BF487))</f>
        <v>0</v>
      </c>
      <c r="BH487" s="446">
        <f>IF($E487=0,0,IF(MIN(BH$38,$E487)&lt;MAX($P$34*($B487+$I$38-1),IF(AND($L$37=0,$P$34=0),"",$L$37-1)),0,YEARFRAC(MAX($P$34*($B487+$I$38-1),IF(AND($L$37=0,$P$34=0),"",$L$37-1)),MIN(BH$38,$E487),$P$20))-SUM($BF487:BG487))</f>
        <v>0</v>
      </c>
      <c r="BI487" s="446">
        <f>IF($E487=0,0,IF(MIN(BI$38,$E487)&lt;MAX($P$34*($B487+$I$38-1),IF(AND($L$37=0,$P$34=0),"",$L$37-1)),0,YEARFRAC(MAX($P$34*($B487+$I$38-1),IF(AND($L$37=0,$P$34=0),"",$L$37-1)),MIN(BI$38,$E487),$P$20))-SUM($BF487:BH487))</f>
        <v>0</v>
      </c>
      <c r="BJ487" s="446">
        <f>IF($E487=0,0,IF(MIN(BJ$38,$E487)&lt;MAX($P$34*($B487+$I$38-1),IF(AND($L$37=0,$P$34=0),"",$L$37-1)),0,YEARFRAC(MAX($P$34*($B487+$I$38-1),IF(AND($L$37=0,$P$34=0),"",$L$37-1)),MIN(BJ$38,$E487),$P$20))-SUM($BF487:BI487))</f>
        <v>0</v>
      </c>
      <c r="BK487" s="446">
        <f>IF($E487=0,0,IF(MIN(BK$38,$E487)&lt;MAX($P$34*($B487+$I$38-1),IF(AND($L$37=0,$P$34=0),"",$L$37-1)),0,YEARFRAC(MAX($P$34*($B487+$I$38-1),IF(AND($L$37=0,$P$34=0),"",$L$37-1)),MIN(BK$38,$E487),$P$20))-SUM($BF487:BJ487))</f>
        <v>0</v>
      </c>
      <c r="BL487" s="446">
        <f>IF($E487=0,0,IF(MIN(BL$38,$E487)&lt;MAX($P$34*($B487+$I$38-1),IF(AND($L$37=0,$P$34=0),"",$L$37-1)),0,YEARFRAC(MAX($P$34*($B487+$I$38-1),IF(AND($L$37=0,$P$34=0),"",$L$37-1)),MIN(BL$38,$E487),$P$20))-SUM($BF487:BK487))</f>
        <v>0</v>
      </c>
      <c r="BM487" s="446">
        <f>IF($E487=0,0,IF(MIN(BM$38,$E487)&lt;MAX($P$34*($B487+$I$38-1),IF(AND($L$37=0,$P$34=0),"",$L$37-1)),0,YEARFRAC(MAX($P$34*($B487+$I$38-1),IF(AND($L$37=0,$P$34=0),"",$L$37-1)),MIN(BM$38,$E487),$P$20))-SUM($BF487:BL487))</f>
        <v>0</v>
      </c>
      <c r="BN487" s="446">
        <f>IF($E487=0,0,IF(MIN(BN$38,$E487)&lt;MAX($P$34*($B487+$I$38-1),IF(AND($L$37=0,$P$34=0),"",$L$37-1)),0,YEARFRAC(MAX($P$34*($B487+$I$38-1),IF(AND($L$37=0,$P$34=0),"",$L$37-1)),MIN(BN$38,$E487),$P$20))-SUM($BF487:BM487))</f>
        <v>0</v>
      </c>
      <c r="BO487" s="446">
        <f>IF($E487=0,0,IF(MIN(BO$38,$E487)&lt;MAX($P$34*($B487+$I$38-1),IF(AND($L$37=0,$P$34=0),"",$L$37-1)),0,YEARFRAC(MAX($P$34*($B487+$I$38-1),IF(AND($L$37=0,$P$34=0),"",$L$37-1)),MIN(BO$38,$E487),$P$20))-SUM($BF487:BN487))</f>
        <v>0</v>
      </c>
      <c r="BP487" s="446">
        <f>IF($E487=0,0,IF(MIN(BP$38,$E487)&lt;MAX($P$34*($B487+$I$38-1),IF(AND($L$37=0,$P$34=0),"",$L$37-1)),0,YEARFRAC(MAX($P$34*($B487+$I$38-1),IF(AND($L$37=0,$P$34=0),"",$L$37-1)),MIN(BP$38,$E487),$P$20))-SUM($BF487:BO487))</f>
        <v>0</v>
      </c>
      <c r="BQ487" s="446">
        <f>IF($E487=0,0,IF(MIN(BQ$38,$E487)&lt;MAX($P$34*($B487+$I$38-1),IF(AND($L$37=0,$P$34=0),"",$L$37-1)),0,YEARFRAC(MAX($P$34*($B487+$I$38-1),IF(AND($L$37=0,$P$34=0),"",$L$37-1)),MIN(BQ$38,$E487),$P$20))-SUM($BF487:BP487))</f>
        <v>0</v>
      </c>
      <c r="BR487" s="446">
        <f>IF($E487=0,0,IF(MIN(BR$38,$E487)&lt;MAX($P$34*($B487+$I$38-1),IF(AND($L$37=0,$P$34=0),"",$L$37-1)),0,YEARFRAC(MAX($P$34*($B487+$I$38-1),IF(AND($L$37=0,$P$34=0),"",$L$37-1)),MIN(BR$38,$E487),$P$20))-SUM($BF487:BQ487))</f>
        <v>0</v>
      </c>
      <c r="BS487" s="446">
        <f>IF($E487=0,0,IF(MIN(BS$38,$E487)&lt;MAX($P$34*($B487+$I$38-1),IF(AND($L$37=0,$P$34=0),"",$L$37-1)),0,YEARFRAC(MAX($P$34*($B487+$I$38-1),IF(AND($L$37=0,$P$34=0),"",$L$37-1)),MIN(BS$38,$E487),$P$20))-SUM($BF487:BR487))</f>
        <v>0</v>
      </c>
      <c r="BT487" s="446">
        <f>IF($E487=0,0,IF(MIN(BT$38,$E487)&lt;MAX($P$34*($B487+$I$38-1),IF(AND($L$37=0,$P$34=0),"",$L$37-1)),0,YEARFRAC(MAX($P$34*($B487+$I$38-1),IF(AND($L$37=0,$P$34=0),"",$L$37-1)),MIN(BT$38,$E487),$P$20))-SUM($BF487:BS487))</f>
        <v>0</v>
      </c>
      <c r="BU487" s="446">
        <f>IF($E487=0,0,IF(MIN(BU$38,$E487)&lt;MAX($P$34*($B487+$I$38-1),IF(AND($L$37=0,$P$34=0),"",$L$37-1)),0,YEARFRAC(MAX($P$34*($B487+$I$38-1),IF(AND($L$37=0,$P$34=0),"",$L$37-1)),MIN(BU$38,$E487),$P$20))-SUM($BF487:BT487))</f>
        <v>0</v>
      </c>
      <c r="BV487" s="446">
        <f>IF($E487=0,0,IF(MIN(BV$38,$E487)&lt;MAX($P$34*($B487+$I$38-1),IF(AND($L$37=0,$P$34=0),"",$L$37-1)),0,YEARFRAC(MAX($P$34*($B487+$I$38-1),IF(AND($L$37=0,$P$34=0),"",$L$37-1)),MIN(BV$38,$E487),$P$20))-SUM($BF487:BU487))</f>
        <v>0</v>
      </c>
      <c r="BW487" s="446">
        <f>IF($E487=0,0,IF(MIN(BW$38,$E487)&lt;MAX($P$34*($B487+$I$38-1),IF(AND($L$37=0,$P$34=0),"",$L$37-1)),0,YEARFRAC(MAX($P$34*($B487+$I$38-1),IF(AND($L$37=0,$P$34=0),"",$L$37-1)),MIN(BW$38,$E487),$P$20))-SUM($BF487:BV487))</f>
        <v>0</v>
      </c>
      <c r="BX487" s="446">
        <f>IF($E487=0,0,IF(MIN(BX$38,$E487)&lt;MAX($P$34*($B487+$I$38-1),IF(AND($L$37=0,$P$34=0),"",$L$37-1)),0,YEARFRAC(MAX($P$34*($B487+$I$38-1),IF(AND($L$37=0,$P$34=0),"",$L$37-1)),MIN(BX$38,$E487),$P$20))-SUM($BF487:BW487))</f>
        <v>0</v>
      </c>
      <c r="BY487" s="446">
        <f>IF($E487=0,0,IF(MIN(BY$38,$E487)&lt;MAX($P$34*($B487+$I$38-1),IF(AND($L$37=0,$P$34=0),"",$L$37-1)),0,YEARFRAC(MAX($P$34*($B487+$I$38-1),IF(AND($L$37=0,$P$34=0),"",$L$37-1)),MIN(BY$38,$E487),$P$20))-SUM($BF487:BX487))</f>
        <v>0</v>
      </c>
      <c r="BZ487" s="446">
        <f>IF($E487=0,0,IF(MIN(BZ$38,$E487)&lt;MAX($P$34*($B487+$I$38-1),IF(AND($L$37=0,$P$34=0),"",$L$37-1)),0,YEARFRAC(MAX($P$34*($B487+$I$38-1),IF(AND($L$37=0,$P$34=0),"",$L$37-1)),MIN(BZ$38,$E487),$P$20))-SUM($BF487:BY487))</f>
        <v>0</v>
      </c>
      <c r="CA487" s="446">
        <f>IF($E487=0,0,IF(MIN(CA$38,$E487)&lt;MAX($P$34*($B487+$I$38-1),IF(AND($L$37=0,$P$34=0),"",$L$37-1)),0,YEARFRAC(MAX($P$34*($B487+$I$38-1),IF(AND($L$37=0,$P$34=0),"",$L$37-1)),MIN(CA$38,$E487),$P$20))-SUM($BF487:BZ487))</f>
        <v>0</v>
      </c>
      <c r="CB487" s="446">
        <f>IF($E487=0,0,IF(MIN(CB$38,$E487)&lt;MAX($P$34*($B487+$I$38-1),IF(AND($L$37=0,$P$34=0),"",$L$37-1)),0,YEARFRAC(MAX($P$34*($B487+$I$38-1),IF(AND($L$37=0,$P$34=0),"",$L$37-1)),MIN(CB$38,$E487),$P$20))-SUM($BF487:CA487))</f>
        <v>0</v>
      </c>
      <c r="CC487" s="446">
        <f>IF($E487=0,0,IF(MIN(CC$38,$E487)&lt;MAX($P$34*($B487+$I$38-1),IF(AND($L$37=0,$P$34=0),"",$L$37-1)),0,YEARFRAC(MAX($P$34*($B487+$I$38-1),IF(AND($L$37=0,$P$34=0),"",$L$37-1)),MIN(CC$38,$E487),$P$20))-SUM($BF487:CB487))</f>
        <v>0</v>
      </c>
      <c r="CD487" s="446">
        <f>IF($E487=0,0,IF(MIN(CD$38,$E487)&lt;MAX($P$34*($B487+$I$38-1),IF(AND($L$37=0,$P$34=0),"",$L$37-1)),0,YEARFRAC(MAX($P$34*($B487+$I$38-1),IF(AND($L$37=0,$P$34=0),"",$L$37-1)),MIN(CD$38,$E487),$P$20))-SUM($BF487:CC487))</f>
        <v>0</v>
      </c>
      <c r="CE487" s="446">
        <f>IF($E487=0,0,IF(MIN(CE$38,$E487)&lt;MAX($P$34*($B487+$I$38-1),IF(AND($L$37=0,$P$34=0),"",$L$37-1)),0,YEARFRAC(MAX($P$34*($B487+$I$38-1),IF(AND($L$37=0,$P$34=0),"",$L$37-1)),MIN(CE$38,$E487),$P$20))-SUM($BF487:CD487))</f>
        <v>0</v>
      </c>
      <c r="CF487" s="446">
        <f>IF($E487=0,0,IF(MIN(CF$38,$E487)&lt;MAX($P$34*($B487+$I$38-1),IF(AND($L$37=0,$P$34=0),"",$L$37-1)),0,YEARFRAC(MAX($P$34*($B487+$I$38-1),IF(AND($L$37=0,$P$34=0),"",$L$37-1)),MIN(CF$38,$E487),$P$20))-SUM($BF487:CE487))</f>
        <v>0</v>
      </c>
      <c r="CG487" s="446">
        <f>IF($E487=0,0,IF(MIN(CG$38,$E487)&lt;MAX($P$34*($B487+$I$38-1),IF(AND($L$37=0,$P$34=0),"",$L$37-1)),0,YEARFRAC(MAX($P$34*($B487+$I$38-1),IF(AND($L$37=0,$P$34=0),"",$L$37-1)),MIN(CG$38,$E487),$P$20))-SUM($BF487:CF487))</f>
        <v>0</v>
      </c>
      <c r="CH487" s="446">
        <f>IF($E487=0,0,IF(MIN(CH$38,$E487)&lt;MAX($P$34*($B487+$I$38-1),IF(AND($L$37=0,$P$34=0),"",$L$37-1)),0,YEARFRAC(MAX($P$34*($B487+$I$38-1),IF(AND($L$37=0,$P$34=0),"",$L$37-1)),MIN(CH$38,$E487),$P$20))-SUM($BF487:CG487))</f>
        <v>0</v>
      </c>
      <c r="CI487" s="446">
        <f>IF($E487=0,0,IF(MIN(CI$38,$E487)&lt;MAX($P$34*($B487+$I$38-1),IF(AND($L$37=0,$P$34=0),"",$L$37-1)),0,YEARFRAC(MAX($P$34*($B487+$I$38-1),IF(AND($L$37=0,$P$34=0),"",$L$37-1)),MIN(CI$38,$E487),$P$20))-SUM($BF487:CH487))</f>
        <v>0</v>
      </c>
      <c r="CJ487" s="446">
        <f>IF($E487=0,0,IF(MIN(CJ$38,$E487)&lt;MAX($P$34*($B487+$I$38-1),IF(AND($L$37=0,$P$34=0),"",$L$37-1)),0,YEARFRAC(MAX($P$34*($B487+$I$38-1),IF(AND($L$37=0,$P$34=0),"",$L$37-1)),MIN(CJ$38,$E487),$P$20))-SUM($BF487:CI487))</f>
        <v>0</v>
      </c>
      <c r="CK487" s="446">
        <f>IF($E487=0,0,IF(MIN(CK$38,$E487)&lt;MAX($P$34*($B487+$I$38-1),IF(AND($L$37=0,$P$34=0),"",$L$37-1)),0,YEARFRAC(MAX($P$34*($B487+$I$38-1),IF(AND($L$37=0,$P$34=0),"",$L$37-1)),MIN(CK$38,$E487),$P$20))-SUM($BF487:CJ487))</f>
        <v>0</v>
      </c>
      <c r="CL487" s="446">
        <f>IF($E487=0,0,IF(MIN(CL$38,$E487)&lt;MAX($P$34*($B487+$I$38-1),IF(AND($L$37=0,$P$34=0),"",$L$37-1)),0,YEARFRAC(MAX($P$34*($B487+$I$38-1),IF(AND($L$37=0,$P$34=0),"",$L$37-1)),MIN(CL$38,$E487),$P$20))-SUM($BF487:CK487))</f>
        <v>0</v>
      </c>
      <c r="CM487" s="446">
        <f>IF($E487=0,0,IF(MIN(CM$38,$E487)&lt;MAX($P$34*($B487+$I$38-1),IF(AND($L$37=0,$P$34=0),"",$L$37-1)),0,YEARFRAC(MAX($P$34*($B487+$I$38-1),IF(AND($L$37=0,$P$34=0),"",$L$37-1)),MIN(CM$38,$E487),$P$20))-SUM($BF487:CL487))</f>
        <v>0</v>
      </c>
      <c r="CN487" s="446">
        <f>IF($E487=0,0,IF(MIN(CN$38,$E487)&lt;MAX($P$34*($B487+$I$38-1),IF(AND($L$37=0,$P$34=0),"",$L$37-1)),0,YEARFRAC(MAX($P$34*($B487+$I$38-1),IF(AND($L$37=0,$P$34=0),"",$L$37-1)),MIN(CN$38,$E487),$P$20))-SUM($BF487:CM487))</f>
        <v>0</v>
      </c>
      <c r="CO487" s="446">
        <f>IF($E487=0,0,IF(MIN(CO$38,$E487)&lt;MAX($P$34*($B487+$I$38-1),IF(AND($L$37=0,$P$34=0),"",$L$37-1)),0,YEARFRAC(MAX($P$34*($B487+$I$38-1),IF(AND($L$37=0,$P$34=0),"",$L$37-1)),MIN(CO$38,$E487),$P$20))-SUM($BF487:CN487))</f>
        <v>0</v>
      </c>
      <c r="CP487" s="446">
        <f>IF($E487=0,0,IF(MIN(CP$38,$E487)&lt;MAX($P$34*($B487+$I$38-1),IF(AND($L$37=0,$P$34=0),"",$L$37-1)),0,YEARFRAC(MAX($P$34*($B487+$I$38-1),IF(AND($L$37=0,$P$34=0),"",$L$37-1)),MIN(CP$38,$E487),$P$20))-SUM($BF487:CO487))</f>
        <v>0</v>
      </c>
      <c r="CQ487" s="446">
        <f>IF($E487=0,0,IF(MIN(CQ$38,$E487)&lt;MAX($P$34*($B487+$I$38-1),IF(AND($L$37=0,$P$34=0),"",$L$37-1)),0,YEARFRAC(MAX($P$34*($B487+$I$38-1),IF(AND($L$37=0,$P$34=0),"",$L$37-1)),MIN(CQ$38,$E487),$P$20))-SUM($BF487:CP487))</f>
        <v>0</v>
      </c>
    </row>
    <row r="488" spans="1:95" s="446" customFormat="1" ht="11.25" hidden="1" customHeight="1" x14ac:dyDescent="0.2">
      <c r="A488" s="152"/>
      <c r="B488" s="153" t="str">
        <f t="shared" si="81"/>
        <v/>
      </c>
      <c r="C488" s="29" t="str">
        <f>IF(B488="","",IF($L$35="SELIC - TRIBUTOS",VLOOKUP(DATE(YEAR($D$19),MONTH($D$19)-1,1),ÍNDICES!$A:$DE,HLOOKUP($BL$25,ÍNDICES!$B$3:$T$4,2)+11)-VLOOKUP(B488,ÍNDICES!$A:$DE,HLOOKUP($BL$25,ÍNDICES!$B$3:$T$4,2)+11)+1%,IF(C$38=$W$26,$J$35,IF(ISERROR(IF(B488&gt;$D$19,1,VLOOKUP(DATE(YEAR(B488),MONTH(B488)+IF($C$35=$S$23,1,0),1),ÍNDICES!$A:$DE,$Z$35+1))),"",IF(B488&gt;$D$19,1,VLOOKUP(DATE(YEAR(B488),MONTH(B488)+IF($C$35=$S$23,1,0),1),ÍNDICES!$A:$DE,$Z$35+1))))))</f>
        <v/>
      </c>
      <c r="D488" s="154" t="str">
        <f>IF(ISERROR(IF(OR($D$38=$Y$27,$B488=""),"",VLOOKUP(B488,ÍNDICES!A:DE,AF$35+1))),"",IF(OR($D$38=$Y$27,$B488=""),"",VLOOKUP(B488,ÍNDICES!A:DE,AF$35+1)))</f>
        <v/>
      </c>
      <c r="E488" s="153"/>
      <c r="F488" s="29" t="str">
        <f>IF(E488="","",IF($L$35="SELIC - TRIBUTOS",VLOOKUP(DATE(YEAR($D$19),MONTH($D$19)-1,1),ÍNDICES!$A:$DE,HLOOKUP($BL$25,ÍNDICES!$B$3:$T$4,2)+11)-VLOOKUP(E488,ÍNDICES!$A:$DE,HLOOKUP($BL$25,ÍNDICES!$B$3:$T$4,2)+11)+1%,IF(F$38=$W$26,$J$35,IF(ISERROR(IF(E488&gt;$D$19,1,VLOOKUP(DATE(YEAR(E488),MONTH(E488)+IF($C$35=$S$23,1,0),1),ÍNDICES!$A:$DE,$Z$35+1))),"",IF(E488&gt;$D$19,1,VLOOKUP(DATE(YEAR(E488),MONTH(E488)+IF($C$35=$S$23,1,0),1),ÍNDICES!$A:$DE,$Z$35+1))))))</f>
        <v/>
      </c>
      <c r="G488" s="155"/>
      <c r="H488" s="156" t="str">
        <f t="shared" si="77"/>
        <v/>
      </c>
      <c r="I488" s="29" t="str">
        <f t="shared" ref="I488:I551" si="82">IF(OR($L$35=$BL$25,B488=""),"",SUM(BF488:CF488))</f>
        <v/>
      </c>
      <c r="J488" s="5">
        <f t="shared" ref="J488:J551" si="83">IF(OR($L$35="SELIC - TRIBUTOS",B488=""),0,IF(D488="",0,D488)/C488*J$35*SUMPRODUCT($BF$37:$DD$37,$BF488:$DD488))</f>
        <v>0</v>
      </c>
      <c r="K488" s="20">
        <f t="shared" ref="K488:K551" ca="1" si="84">IF($L$35="SELIC - TRIBUTOS",$K$38*(-IFERROR(D488*(1+C488),0)-IF($R$17="Distrato",IFERROR(G488*(1+F488),0),0)),$K$38*(IFERROR(D488/C488*$J$35,0)-IF($R$17="Distrato",IFERROR(G488/F488*$J$35,0),0)))</f>
        <v>0</v>
      </c>
      <c r="L488" s="5">
        <f t="shared" ref="L488:L551" ca="1" si="85">IF(L$35="SELIC - TRIBUTOS",0,IFERROR(K488*SUMPRODUCT($P$37:$BA$37,$P488:$BA488),0))</f>
        <v>0</v>
      </c>
      <c r="M488" s="64">
        <f t="shared" si="78"/>
        <v>0</v>
      </c>
      <c r="N488" s="61">
        <f t="shared" ca="1" si="79"/>
        <v>0</v>
      </c>
      <c r="O488" s="5">
        <f t="shared" ca="1" si="80"/>
        <v>0</v>
      </c>
      <c r="P488" s="446" t="e">
        <f t="shared" ref="P488:P551" si="86">IF(OR($B488="",MIN(P$38,$D$19)&lt;MAX($P$34*($B488+IF($R$17="Distrato",$I$38-1,0)),IF(AND($L$37=0,$P$34=0),"",$L$37-1),IF($R$17="Distrato",$E488,0))),0,YEARFRAC(MAX($P$34*($B488+IF($R$17="Distrato",$I$38-1,0)),IF(AND($L$37=0,$P$34=0),"",$L$37-1),IF($R$17="Distrato",$E488,0)),MIN(P$38,$D$19),$P$20))</f>
        <v>#VALUE!</v>
      </c>
      <c r="Q488" s="446" t="e">
        <f>IF(OR($B488="",MIN(Q$38,$D$19)&lt;MAX($P$34*($B488+IF($R$17="Distrato",$I$38-1,0)),IF(AND($L$37=0,$P$34=0),"",$L$37-1),IF($R$17="Distrato",$E488,0))),0,YEARFRAC(MAX($P$34*($B488+IF($R$17="Distrato",$I$38-1,0)),IF(AND($L$37=0,$P$34=0),"",$L$37-1),IF($R$17="Distrato",$E488,0)),MIN(Q$38,$D$19),$P$20))-SUM($P488:P488)</f>
        <v>#VALUE!</v>
      </c>
      <c r="R488" s="446" t="e">
        <f>IF(OR($B488="",MIN(R$38,$D$19)&lt;MAX($P$34*($B488+IF($R$17="Distrato",$I$38-1,0)),IF(AND($L$37=0,$P$34=0),"",$L$37-1),IF($R$17="Distrato",$E488,0))),0,YEARFRAC(MAX($P$34*($B488+IF($R$17="Distrato",$I$38-1,0)),IF(AND($L$37=0,$P$34=0),"",$L$37-1),IF($R$17="Distrato",$E488,0)),MIN(R$38,$D$19),$P$20))-SUM($P488:Q488)</f>
        <v>#VALUE!</v>
      </c>
      <c r="S488" s="446" t="e">
        <f>IF(OR($B488="",MIN(S$38,$D$19)&lt;MAX($P$34*($B488+IF($R$17="Distrato",$I$38-1,0)),IF(AND($L$37=0,$P$34=0),"",$L$37-1),IF($R$17="Distrato",$E488,0))),0,YEARFRAC(MAX($P$34*($B488+IF($R$17="Distrato",$I$38-1,0)),IF(AND($L$37=0,$P$34=0),"",$L$37-1),IF($R$17="Distrato",$E488,0)),MIN(S$38,$D$19),$P$20))-SUM($P488:R488)</f>
        <v>#VALUE!</v>
      </c>
      <c r="T488" s="446" t="e">
        <f>IF(OR($B488="",MIN(T$38,$D$19)&lt;MAX($P$34*($B488+IF($R$17="Distrato",$I$38-1,0)),IF(AND($L$37=0,$P$34=0),"",$L$37-1),IF($R$17="Distrato",$E488,0))),0,YEARFRAC(MAX($P$34*($B488+IF($R$17="Distrato",$I$38-1,0)),IF(AND($L$37=0,$P$34=0),"",$L$37-1),IF($R$17="Distrato",$E488,0)),MIN(T$38,$D$19),$P$20))-SUM($P488:S488)</f>
        <v>#VALUE!</v>
      </c>
      <c r="U488" s="446" t="e">
        <f>IF(OR($B488="",MIN(U$38,$D$19)&lt;MAX($P$34*($B488+IF($R$17="Distrato",$I$38-1,0)),IF(AND($L$37=0,$P$34=0),"",$L$37-1),IF($R$17="Distrato",$E488,0))),0,YEARFRAC(MAX($P$34*($B488+IF($R$17="Distrato",$I$38-1,0)),IF(AND($L$37=0,$P$34=0),"",$L$37-1),IF($R$17="Distrato",$E488,0)),MIN(U$38,$D$19),$P$20))-SUM($P488:T488)</f>
        <v>#VALUE!</v>
      </c>
      <c r="V488" s="446" t="e">
        <f>IF(OR($B488="",MIN(V$38,$D$19)&lt;MAX($P$34*($B488+IF($R$17="Distrato",$I$38-1,0)),IF(AND($L$37=0,$P$34=0),"",$L$37-1),IF($R$17="Distrato",$E488,0))),0,YEARFRAC(MAX($P$34*($B488+IF($R$17="Distrato",$I$38-1,0)),IF(AND($L$37=0,$P$34=0),"",$L$37-1),IF($R$17="Distrato",$E488,0)),MIN(V$38,$D$19),$P$20))-SUM($P488:U488)</f>
        <v>#VALUE!</v>
      </c>
      <c r="W488" s="446" t="e">
        <f>IF(OR($B488="",MIN(W$38,$D$19)&lt;MAX($P$34*($B488+IF($R$17="Distrato",$I$38-1,0)),IF(AND($L$37=0,$P$34=0),"",$L$37-1),IF($R$17="Distrato",$E488,0))),0,YEARFRAC(MAX($P$34*($B488+IF($R$17="Distrato",$I$38-1,0)),IF(AND($L$37=0,$P$34=0),"",$L$37-1),IF($R$17="Distrato",$E488,0)),MIN(W$38,$D$19),$P$20))-SUM($P488:V488)</f>
        <v>#VALUE!</v>
      </c>
      <c r="X488" s="446" t="e">
        <f>IF(OR($B488="",MIN(X$38,$D$19)&lt;MAX($P$34*($B488+IF($R$17="Distrato",$I$38-1,0)),IF(AND($L$37=0,$P$34=0),"",$L$37-1),IF($R$17="Distrato",$E488,0))),0,YEARFRAC(MAX($P$34*($B488+IF($R$17="Distrato",$I$38-1,0)),IF(AND($L$37=0,$P$34=0),"",$L$37-1),IF($R$17="Distrato",$E488,0)),MIN(X$38,$D$19),$P$20))-SUM($P488:W488)</f>
        <v>#VALUE!</v>
      </c>
      <c r="Y488" s="446" t="e">
        <f>IF(OR($B488="",MIN(Y$38,$D$19)&lt;MAX($P$34*($B488+IF($R$17="Distrato",$I$38-1,0)),IF(AND($L$37=0,$P$34=0),"",$L$37-1),IF($R$17="Distrato",$E488,0))),0,YEARFRAC(MAX($P$34*($B488+IF($R$17="Distrato",$I$38-1,0)),IF(AND($L$37=0,$P$34=0),"",$L$37-1),IF($R$17="Distrato",$E488,0)),MIN(Y$38,$D$19),$P$20))-SUM($P488:X488)</f>
        <v>#VALUE!</v>
      </c>
      <c r="Z488" s="446" t="e">
        <f>IF(OR($B488="",MIN(Z$38,$D$19)&lt;MAX($P$34*($B488+IF($R$17="Distrato",$I$38-1,0)),IF(AND($L$37=0,$P$34=0),"",$L$37-1),IF($R$17="Distrato",$E488,0))),0,YEARFRAC(MAX($P$34*($B488+IF($R$17="Distrato",$I$38-1,0)),IF(AND($L$37=0,$P$34=0),"",$L$37-1),IF($R$17="Distrato",$E488,0)),MIN(Z$38,$D$19),$P$20))-SUM($P488:Y488)</f>
        <v>#VALUE!</v>
      </c>
      <c r="AA488" s="446" t="e">
        <f>IF(OR($B488="",MIN(AA$38,$D$19)&lt;MAX($P$34*($B488+IF($R$17="Distrato",$I$38-1,0)),IF(AND($L$37=0,$P$34=0),"",$L$37-1),IF($R$17="Distrato",$E488,0))),0,YEARFRAC(MAX($P$34*($B488+IF($R$17="Distrato",$I$38-1,0)),IF(AND($L$37=0,$P$34=0),"",$L$37-1),IF($R$17="Distrato",$E488,0)),MIN(AA$38,$D$19),$P$20))-SUM($P488:Z488)</f>
        <v>#VALUE!</v>
      </c>
      <c r="AB488" s="446" t="e">
        <f>IF(OR($B488="",MIN(AB$38,$D$19)&lt;MAX($P$34*($B488+IF($R$17="Distrato",$I$38-1,0)),IF(AND($L$37=0,$P$34=0),"",$L$37-1),IF($R$17="Distrato",$E488,0))),0,YEARFRAC(MAX($P$34*($B488+IF($R$17="Distrato",$I$38-1,0)),IF(AND($L$37=0,$P$34=0),"",$L$37-1),IF($R$17="Distrato",$E488,0)),MIN(AB$38,$D$19),$P$20))-SUM($P488:AA488)</f>
        <v>#VALUE!</v>
      </c>
      <c r="AC488" s="446" t="e">
        <f>IF(OR($B488="",MIN(AC$38,$D$19)&lt;MAX($P$34*($B488+IF($R$17="Distrato",$I$38-1,0)),IF(AND($L$37=0,$P$34=0),"",$L$37-1),IF($R$17="Distrato",$E488,0))),0,YEARFRAC(MAX($P$34*($B488+IF($R$17="Distrato",$I$38-1,0)),IF(AND($L$37=0,$P$34=0),"",$L$37-1),IF($R$17="Distrato",$E488,0)),MIN(AC$38,$D$19),$P$20))-SUM($P488:AB488)</f>
        <v>#VALUE!</v>
      </c>
      <c r="AD488" s="446" t="e">
        <f>IF(OR($B488="",MIN(AD$38,$D$19)&lt;MAX($P$34*($B488+IF($R$17="Distrato",$I$38-1,0)),IF(AND($L$37=0,$P$34=0),"",$L$37-1),IF($R$17="Distrato",$E488,0))),0,YEARFRAC(MAX($P$34*($B488+IF($R$17="Distrato",$I$38-1,0)),IF(AND($L$37=0,$P$34=0),"",$L$37-1),IF($R$17="Distrato",$E488,0)),MIN(AD$38,$D$19),$P$20))-SUM($P488:AC488)</f>
        <v>#VALUE!</v>
      </c>
      <c r="AE488" s="446" t="e">
        <f>IF(OR($B488="",MIN(AE$38,$D$19)&lt;MAX($P$34*($B488+IF($R$17="Distrato",$I$38-1,0)),IF(AND($L$37=0,$P$34=0),"",$L$37-1),IF($R$17="Distrato",$E488,0))),0,YEARFRAC(MAX($P$34*($B488+IF($R$17="Distrato",$I$38-1,0)),IF(AND($L$37=0,$P$34=0),"",$L$37-1),IF($R$17="Distrato",$E488,0)),MIN(AE$38,$D$19),$P$20))-SUM($P488:AD488)</f>
        <v>#VALUE!</v>
      </c>
      <c r="AF488" s="446" t="e">
        <f>IF(OR($B488="",MIN(AF$38,$D$19)&lt;MAX($P$34*($B488+IF($R$17="Distrato",$I$38-1,0)),IF(AND($L$37=0,$P$34=0),"",$L$37-1),IF($R$17="Distrato",$E488,0))),0,YEARFRAC(MAX($P$34*($B488+IF($R$17="Distrato",$I$38-1,0)),IF(AND($L$37=0,$P$34=0),"",$L$37-1),IF($R$17="Distrato",$E488,0)),MIN(AF$38,$D$19),$P$20))-SUM($P488:AE488)</f>
        <v>#VALUE!</v>
      </c>
      <c r="AG488" s="446" t="e">
        <f>IF(OR($B488="",MIN(AG$38,$D$19)&lt;MAX($P$34*($B488+IF($R$17="Distrato",$I$38-1,0)),IF(AND($L$37=0,$P$34=0),"",$L$37-1),IF($R$17="Distrato",$E488,0))),0,YEARFRAC(MAX($P$34*($B488+IF($R$17="Distrato",$I$38-1,0)),IF(AND($L$37=0,$P$34=0),"",$L$37-1),IF($R$17="Distrato",$E488,0)),MIN(AG$38,$D$19),$P$20))-SUM($P488:AF488)</f>
        <v>#VALUE!</v>
      </c>
      <c r="AH488" s="446" t="e">
        <f>IF(OR($B488="",MIN(AH$38,$D$19)&lt;MAX($P$34*($B488+IF($R$17="Distrato",$I$38-1,0)),IF(AND($L$37=0,$P$34=0),"",$L$37-1),IF($R$17="Distrato",$E488,0))),0,YEARFRAC(MAX($P$34*($B488+IF($R$17="Distrato",$I$38-1,0)),IF(AND($L$37=0,$P$34=0),"",$L$37-1),IF($R$17="Distrato",$E488,0)),MIN(AH$38,$D$19),$P$20))-SUM($P488:AG488)</f>
        <v>#VALUE!</v>
      </c>
      <c r="AI488" s="446" t="e">
        <f>IF(OR($B488="",MIN(AI$38,$D$19)&lt;MAX($P$34*($B488+IF($R$17="Distrato",$I$38-1,0)),IF(AND($L$37=0,$P$34=0),"",$L$37-1),IF($R$17="Distrato",$E488,0))),0,YEARFRAC(MAX($P$34*($B488+IF($R$17="Distrato",$I$38-1,0)),IF(AND($L$37=0,$P$34=0),"",$L$37-1),IF($R$17="Distrato",$E488,0)),MIN(AI$38,$D$19),$P$20))-SUM($P488:AH488)</f>
        <v>#VALUE!</v>
      </c>
      <c r="AJ488" s="446" t="e">
        <f>IF(OR($B488="",MIN(AJ$38,$D$19)&lt;MAX($P$34*($B488+IF($R$17="Distrato",$I$38-1,0)),IF(AND($L$37=0,$P$34=0),"",$L$37-1),IF($R$17="Distrato",$E488,0))),0,YEARFRAC(MAX($P$34*($B488+IF($R$17="Distrato",$I$38-1,0)),IF(AND($L$37=0,$P$34=0),"",$L$37-1),IF($R$17="Distrato",$E488,0)),MIN(AJ$38,$D$19),$P$20))-SUM($P488:AI488)</f>
        <v>#VALUE!</v>
      </c>
      <c r="AK488" s="446" t="e">
        <f>IF(OR($B488="",MIN(AK$38,$D$19)&lt;MAX($P$34*($B488+IF($R$17="Distrato",$I$38-1,0)),IF(AND($L$37=0,$P$34=0),"",$L$37-1),IF($R$17="Distrato",$E488,0))),0,YEARFRAC(MAX($P$34*($B488+IF($R$17="Distrato",$I$38-1,0)),IF(AND($L$37=0,$P$34=0),"",$L$37-1),IF($R$17="Distrato",$E488,0)),MIN(AK$38,$D$19),$P$20))-SUM($P488:AJ488)</f>
        <v>#VALUE!</v>
      </c>
      <c r="AL488" s="446" t="e">
        <f>IF(OR($B488="",MIN(AL$38,$D$19)&lt;MAX($P$34*($B488+IF($R$17="Distrato",$I$38-1,0)),IF(AND($L$37=0,$P$34=0),"",$L$37-1),IF($R$17="Distrato",$E488,0))),0,YEARFRAC(MAX($P$34*($B488+IF($R$17="Distrato",$I$38-1,0)),IF(AND($L$37=0,$P$34=0),"",$L$37-1),IF($R$17="Distrato",$E488,0)),MIN(AL$38,$D$19),$P$20))-SUM($P488:AK488)</f>
        <v>#VALUE!</v>
      </c>
      <c r="AM488" s="446" t="e">
        <f>IF(OR($B488="",MIN(AM$38,$D$19)&lt;MAX($P$34*($B488+IF($R$17="Distrato",$I$38-1,0)),IF(AND($L$37=0,$P$34=0),"",$L$37-1),IF($R$17="Distrato",$E488,0))),0,YEARFRAC(MAX($P$34*($B488+IF($R$17="Distrato",$I$38-1,0)),IF(AND($L$37=0,$P$34=0),"",$L$37-1),IF($R$17="Distrato",$E488,0)),MIN(AM$38,$D$19),$P$20))-SUM($P488:AL488)</f>
        <v>#VALUE!</v>
      </c>
      <c r="AN488" s="446" t="e">
        <f>IF(OR($B488="",MIN(AN$38,$D$19)&lt;MAX($P$34*($B488+IF($R$17="Distrato",$I$38-1,0)),IF(AND($L$37=0,$P$34=0),"",$L$37-1),IF($R$17="Distrato",$E488,0))),0,YEARFRAC(MAX($P$34*($B488+IF($R$17="Distrato",$I$38-1,0)),IF(AND($L$37=0,$P$34=0),"",$L$37-1),IF($R$17="Distrato",$E488,0)),MIN(AN$38,$D$19),$P$20))-SUM($P488:AM488)</f>
        <v>#VALUE!</v>
      </c>
      <c r="AO488" s="446" t="e">
        <f>IF(OR($B488="",MIN(AO$38,$D$19)&lt;MAX($P$34*($B488+IF($R$17="Distrato",$I$38-1,0)),IF(AND($L$37=0,$P$34=0),"",$L$37-1),IF($R$17="Distrato",$E488,0))),0,YEARFRAC(MAX($P$34*($B488+IF($R$17="Distrato",$I$38-1,0)),IF(AND($L$37=0,$P$34=0),"",$L$37-1),IF($R$17="Distrato",$E488,0)),MIN(AO$38,$D$19),$P$20))-SUM($P488:AN488)</f>
        <v>#VALUE!</v>
      </c>
      <c r="AP488" s="446" t="e">
        <f>IF(OR($B488="",MIN(AP$38,$D$19)&lt;MAX($P$34*($B488+IF($R$17="Distrato",$I$38-1,0)),IF(AND($L$37=0,$P$34=0),"",$L$37-1),IF($R$17="Distrato",$E488,0))),0,YEARFRAC(MAX($P$34*($B488+IF($R$17="Distrato",$I$38-1,0)),IF(AND($L$37=0,$P$34=0),"",$L$37-1),IF($R$17="Distrato",$E488,0)),MIN(AP$38,$D$19),$P$20))-SUM($P488:AO488)</f>
        <v>#VALUE!</v>
      </c>
      <c r="AQ488" s="446" t="e">
        <f>IF(OR($B488="",MIN(AQ$38,$D$19)&lt;MAX($P$34*($B488+IF($R$17="Distrato",$I$38-1,0)),IF(AND($L$37=0,$P$34=0),"",$L$37-1),IF($R$17="Distrato",$E488,0))),0,YEARFRAC(MAX($P$34*($B488+IF($R$17="Distrato",$I$38-1,0)),IF(AND($L$37=0,$P$34=0),"",$L$37-1),IF($R$17="Distrato",$E488,0)),MIN(AQ$38,$D$19),$P$20))-SUM($P488:AP488)</f>
        <v>#VALUE!</v>
      </c>
      <c r="AR488" s="446" t="e">
        <f>IF(OR($B488="",MIN(AR$38,$D$19)&lt;MAX($P$34*($B488+IF($R$17="Distrato",$I$38-1,0)),IF(AND($L$37=0,$P$34=0),"",$L$37-1),IF($R$17="Distrato",$E488,0))),0,YEARFRAC(MAX($P$34*($B488+IF($R$17="Distrato",$I$38-1,0)),IF(AND($L$37=0,$P$34=0),"",$L$37-1),IF($R$17="Distrato",$E488,0)),MIN(AR$38,$D$19),$P$20))-SUM($P488:AQ488)</f>
        <v>#VALUE!</v>
      </c>
      <c r="AS488" s="446" t="e">
        <f>IF(OR($B488="",MIN(AS$38,$D$19)&lt;MAX($P$34*($B488+IF($R$17="Distrato",$I$38-1,0)),IF(AND($L$37=0,$P$34=0),"",$L$37-1),IF($R$17="Distrato",$E488,0))),0,YEARFRAC(MAX($P$34*($B488+IF($R$17="Distrato",$I$38-1,0)),IF(AND($L$37=0,$P$34=0),"",$L$37-1),IF($R$17="Distrato",$E488,0)),MIN(AS$38,$D$19),$P$20))-SUM($P488:AR488)</f>
        <v>#VALUE!</v>
      </c>
      <c r="AT488" s="446" t="e">
        <f>IF(OR($B488="",MIN(AT$38,$D$19)&lt;MAX($P$34*($B488+IF($R$17="Distrato",$I$38-1,0)),IF(AND($L$37=0,$P$34=0),"",$L$37-1),IF($R$17="Distrato",$E488,0))),0,YEARFRAC(MAX($P$34*($B488+IF($R$17="Distrato",$I$38-1,0)),IF(AND($L$37=0,$P$34=0),"",$L$37-1),IF($R$17="Distrato",$E488,0)),MIN(AT$38,$D$19),$P$20))-SUM($P488:AS488)</f>
        <v>#VALUE!</v>
      </c>
      <c r="AU488" s="446" t="e">
        <f>IF(OR($B488="",MIN(AU$38,$D$19)&lt;MAX($P$34*($B488+IF($R$17="Distrato",$I$38-1,0)),IF(AND($L$37=0,$P$34=0),"",$L$37-1),IF($R$17="Distrato",$E488,0))),0,YEARFRAC(MAX($P$34*($B488+IF($R$17="Distrato",$I$38-1,0)),IF(AND($L$37=0,$P$34=0),"",$L$37-1),IF($R$17="Distrato",$E488,0)),MIN(AU$38,$D$19),$P$20))-SUM($P488:AT488)</f>
        <v>#VALUE!</v>
      </c>
      <c r="AV488" s="446" t="e">
        <f>IF(OR($B488="",MIN(AV$38,$D$19)&lt;MAX($P$34*($B488+IF($R$17="Distrato",$I$38-1,0)),IF(AND($L$37=0,$P$34=0),"",$L$37-1),IF($R$17="Distrato",$E488,0))),0,YEARFRAC(MAX($P$34*($B488+IF($R$17="Distrato",$I$38-1,0)),IF(AND($L$37=0,$P$34=0),"",$L$37-1),IF($R$17="Distrato",$E488,0)),MIN(AV$38,$D$19),$P$20))-SUM($P488:AU488)</f>
        <v>#VALUE!</v>
      </c>
      <c r="AW488" s="446" t="e">
        <f>IF(OR($B488="",MIN(AW$38,$D$19)&lt;MAX($P$34*($B488+IF($R$17="Distrato",$I$38-1,0)),IF(AND($L$37=0,$P$34=0),"",$L$37-1),IF($R$17="Distrato",$E488,0))),0,YEARFRAC(MAX($P$34*($B488+IF($R$17="Distrato",$I$38-1,0)),IF(AND($L$37=0,$P$34=0),"",$L$37-1),IF($R$17="Distrato",$E488,0)),MIN(AW$38,$D$19),$P$20))-SUM($P488:AV488)</f>
        <v>#VALUE!</v>
      </c>
      <c r="AX488" s="446" t="e">
        <f>IF(OR($B488="",MIN(AX$38,$D$19)&lt;MAX($P$34*($B488+IF($R$17="Distrato",$I$38-1,0)),IF(AND($L$37=0,$P$34=0),"",$L$37-1),IF($R$17="Distrato",$E488,0))),0,YEARFRAC(MAX($P$34*($B488+IF($R$17="Distrato",$I$38-1,0)),IF(AND($L$37=0,$P$34=0),"",$L$37-1),IF($R$17="Distrato",$E488,0)),MIN(AX$38,$D$19),$P$20))-SUM($P488:AW488)</f>
        <v>#VALUE!</v>
      </c>
      <c r="AY488" s="446" t="e">
        <f>IF(OR($B488="",MIN(AY$38,$D$19)&lt;MAX($P$34*($B488+IF($R$17="Distrato",$I$38-1,0)),IF(AND($L$37=0,$P$34=0),"",$L$37-1),IF($R$17="Distrato",$E488,0))),0,YEARFRAC(MAX($P$34*($B488+IF($R$17="Distrato",$I$38-1,0)),IF(AND($L$37=0,$P$34=0),"",$L$37-1),IF($R$17="Distrato",$E488,0)),MIN(AY$38,$D$19),$P$20))-SUM($P488:AX488)</f>
        <v>#VALUE!</v>
      </c>
      <c r="AZ488" s="446" t="e">
        <f>IF(OR($B488="",MIN(AZ$38,$D$19)&lt;MAX($P$34*($B488+IF($R$17="Distrato",$I$38-1,0)),IF(AND($L$37=0,$P$34=0),"",$L$37-1),IF($R$17="Distrato",$E488,0))),0,YEARFRAC(MAX($P$34*($B488+IF($R$17="Distrato",$I$38-1,0)),IF(AND($L$37=0,$P$34=0),"",$L$37-1),IF($R$17="Distrato",$E488,0)),MIN(AZ$38,$D$19),$P$20))-SUM($P488:AY488)</f>
        <v>#VALUE!</v>
      </c>
      <c r="BA488" s="446" t="e">
        <f>IF(OR($B488="",MIN(BA$38,$D$19)&lt;MAX($P$34*($B488+IF($R$17="Distrato",$I$38-1,0)),IF(AND($L$37=0,$P$34=0),"",$L$37-1),IF($R$17="Distrato",$E488,0))),0,YEARFRAC(MAX($P$34*($B488+IF($R$17="Distrato",$I$38-1,0)),IF(AND($L$37=0,$P$34=0),"",$L$37-1),IF($R$17="Distrato",$E488,0)),MIN(BA$38,$D$19),$P$20))-SUM($P488:AZ488)</f>
        <v>#VALUE!</v>
      </c>
      <c r="BB488" s="447"/>
      <c r="BF488" s="446">
        <f t="shared" ref="BF488:BF551" si="87">IF($E488=0,0,IF(MIN(BF$38,$E488)&lt;MAX($P$34*($B488+$I$38-1),IF(AND($L$37=0,$P$34=0),"",$L$37-1)),0,YEARFRAC(MAX($P$34*($B488+$I$38-1),IF(AND($L$37=0,$P$34=0),"",$L$37-1)),MIN(BF$38,$E488),$P$20)))</f>
        <v>0</v>
      </c>
      <c r="BG488" s="446">
        <f>IF($E488=0,0,IF(MIN(BG$38,$E488)&lt;MAX($P$34*($B488+$I$38-1),IF(AND($L$37=0,$P$34=0),"",$L$37-1)),0,YEARFRAC(MAX($P$34*($B488+$I$38-1),IF(AND($L$37=0,$P$34=0),"",$L$37-1)),MIN(BG$38,$E488),$P$20))-SUM($BF488:BF488))</f>
        <v>0</v>
      </c>
      <c r="BH488" s="446">
        <f>IF($E488=0,0,IF(MIN(BH$38,$E488)&lt;MAX($P$34*($B488+$I$38-1),IF(AND($L$37=0,$P$34=0),"",$L$37-1)),0,YEARFRAC(MAX($P$34*($B488+$I$38-1),IF(AND($L$37=0,$P$34=0),"",$L$37-1)),MIN(BH$38,$E488),$P$20))-SUM($BF488:BG488))</f>
        <v>0</v>
      </c>
      <c r="BI488" s="446">
        <f>IF($E488=0,0,IF(MIN(BI$38,$E488)&lt;MAX($P$34*($B488+$I$38-1),IF(AND($L$37=0,$P$34=0),"",$L$37-1)),0,YEARFRAC(MAX($P$34*($B488+$I$38-1),IF(AND($L$37=0,$P$34=0),"",$L$37-1)),MIN(BI$38,$E488),$P$20))-SUM($BF488:BH488))</f>
        <v>0</v>
      </c>
      <c r="BJ488" s="446">
        <f>IF($E488=0,0,IF(MIN(BJ$38,$E488)&lt;MAX($P$34*($B488+$I$38-1),IF(AND($L$37=0,$P$34=0),"",$L$37-1)),0,YEARFRAC(MAX($P$34*($B488+$I$38-1),IF(AND($L$37=0,$P$34=0),"",$L$37-1)),MIN(BJ$38,$E488),$P$20))-SUM($BF488:BI488))</f>
        <v>0</v>
      </c>
      <c r="BK488" s="446">
        <f>IF($E488=0,0,IF(MIN(BK$38,$E488)&lt;MAX($P$34*($B488+$I$38-1),IF(AND($L$37=0,$P$34=0),"",$L$37-1)),0,YEARFRAC(MAX($P$34*($B488+$I$38-1),IF(AND($L$37=0,$P$34=0),"",$L$37-1)),MIN(BK$38,$E488),$P$20))-SUM($BF488:BJ488))</f>
        <v>0</v>
      </c>
      <c r="BL488" s="446">
        <f>IF($E488=0,0,IF(MIN(BL$38,$E488)&lt;MAX($P$34*($B488+$I$38-1),IF(AND($L$37=0,$P$34=0),"",$L$37-1)),0,YEARFRAC(MAX($P$34*($B488+$I$38-1),IF(AND($L$37=0,$P$34=0),"",$L$37-1)),MIN(BL$38,$E488),$P$20))-SUM($BF488:BK488))</f>
        <v>0</v>
      </c>
      <c r="BM488" s="446">
        <f>IF($E488=0,0,IF(MIN(BM$38,$E488)&lt;MAX($P$34*($B488+$I$38-1),IF(AND($L$37=0,$P$34=0),"",$L$37-1)),0,YEARFRAC(MAX($P$34*($B488+$I$38-1),IF(AND($L$37=0,$P$34=0),"",$L$37-1)),MIN(BM$38,$E488),$P$20))-SUM($BF488:BL488))</f>
        <v>0</v>
      </c>
      <c r="BN488" s="446">
        <f>IF($E488=0,0,IF(MIN(BN$38,$E488)&lt;MAX($P$34*($B488+$I$38-1),IF(AND($L$37=0,$P$34=0),"",$L$37-1)),0,YEARFRAC(MAX($P$34*($B488+$I$38-1),IF(AND($L$37=0,$P$34=0),"",$L$37-1)),MIN(BN$38,$E488),$P$20))-SUM($BF488:BM488))</f>
        <v>0</v>
      </c>
      <c r="BO488" s="446">
        <f>IF($E488=0,0,IF(MIN(BO$38,$E488)&lt;MAX($P$34*($B488+$I$38-1),IF(AND($L$37=0,$P$34=0),"",$L$37-1)),0,YEARFRAC(MAX($P$34*($B488+$I$38-1),IF(AND($L$37=0,$P$34=0),"",$L$37-1)),MIN(BO$38,$E488),$P$20))-SUM($BF488:BN488))</f>
        <v>0</v>
      </c>
      <c r="BP488" s="446">
        <f>IF($E488=0,0,IF(MIN(BP$38,$E488)&lt;MAX($P$34*($B488+$I$38-1),IF(AND($L$37=0,$P$34=0),"",$L$37-1)),0,YEARFRAC(MAX($P$34*($B488+$I$38-1),IF(AND($L$37=0,$P$34=0),"",$L$37-1)),MIN(BP$38,$E488),$P$20))-SUM($BF488:BO488))</f>
        <v>0</v>
      </c>
      <c r="BQ488" s="446">
        <f>IF($E488=0,0,IF(MIN(BQ$38,$E488)&lt;MAX($P$34*($B488+$I$38-1),IF(AND($L$37=0,$P$34=0),"",$L$37-1)),0,YEARFRAC(MAX($P$34*($B488+$I$38-1),IF(AND($L$37=0,$P$34=0),"",$L$37-1)),MIN(BQ$38,$E488),$P$20))-SUM($BF488:BP488))</f>
        <v>0</v>
      </c>
      <c r="BR488" s="446">
        <f>IF($E488=0,0,IF(MIN(BR$38,$E488)&lt;MAX($P$34*($B488+$I$38-1),IF(AND($L$37=0,$P$34=0),"",$L$37-1)),0,YEARFRAC(MAX($P$34*($B488+$I$38-1),IF(AND($L$37=0,$P$34=0),"",$L$37-1)),MIN(BR$38,$E488),$P$20))-SUM($BF488:BQ488))</f>
        <v>0</v>
      </c>
      <c r="BS488" s="446">
        <f>IF($E488=0,0,IF(MIN(BS$38,$E488)&lt;MAX($P$34*($B488+$I$38-1),IF(AND($L$37=0,$P$34=0),"",$L$37-1)),0,YEARFRAC(MAX($P$34*($B488+$I$38-1),IF(AND($L$37=0,$P$34=0),"",$L$37-1)),MIN(BS$38,$E488),$P$20))-SUM($BF488:BR488))</f>
        <v>0</v>
      </c>
      <c r="BT488" s="446">
        <f>IF($E488=0,0,IF(MIN(BT$38,$E488)&lt;MAX($P$34*($B488+$I$38-1),IF(AND($L$37=0,$P$34=0),"",$L$37-1)),0,YEARFRAC(MAX($P$34*($B488+$I$38-1),IF(AND($L$37=0,$P$34=0),"",$L$37-1)),MIN(BT$38,$E488),$P$20))-SUM($BF488:BS488))</f>
        <v>0</v>
      </c>
      <c r="BU488" s="446">
        <f>IF($E488=0,0,IF(MIN(BU$38,$E488)&lt;MAX($P$34*($B488+$I$38-1),IF(AND($L$37=0,$P$34=0),"",$L$37-1)),0,YEARFRAC(MAX($P$34*($B488+$I$38-1),IF(AND($L$37=0,$P$34=0),"",$L$37-1)),MIN(BU$38,$E488),$P$20))-SUM($BF488:BT488))</f>
        <v>0</v>
      </c>
      <c r="BV488" s="446">
        <f>IF($E488=0,0,IF(MIN(BV$38,$E488)&lt;MAX($P$34*($B488+$I$38-1),IF(AND($L$37=0,$P$34=0),"",$L$37-1)),0,YEARFRAC(MAX($P$34*($B488+$I$38-1),IF(AND($L$37=0,$P$34=0),"",$L$37-1)),MIN(BV$38,$E488),$P$20))-SUM($BF488:BU488))</f>
        <v>0</v>
      </c>
      <c r="BW488" s="446">
        <f>IF($E488=0,0,IF(MIN(BW$38,$E488)&lt;MAX($P$34*($B488+$I$38-1),IF(AND($L$37=0,$P$34=0),"",$L$37-1)),0,YEARFRAC(MAX($P$34*($B488+$I$38-1),IF(AND($L$37=0,$P$34=0),"",$L$37-1)),MIN(BW$38,$E488),$P$20))-SUM($BF488:BV488))</f>
        <v>0</v>
      </c>
      <c r="BX488" s="446">
        <f>IF($E488=0,0,IF(MIN(BX$38,$E488)&lt;MAX($P$34*($B488+$I$38-1),IF(AND($L$37=0,$P$34=0),"",$L$37-1)),0,YEARFRAC(MAX($P$34*($B488+$I$38-1),IF(AND($L$37=0,$P$34=0),"",$L$37-1)),MIN(BX$38,$E488),$P$20))-SUM($BF488:BW488))</f>
        <v>0</v>
      </c>
      <c r="BY488" s="446">
        <f>IF($E488=0,0,IF(MIN(BY$38,$E488)&lt;MAX($P$34*($B488+$I$38-1),IF(AND($L$37=0,$P$34=0),"",$L$37-1)),0,YEARFRAC(MAX($P$34*($B488+$I$38-1),IF(AND($L$37=0,$P$34=0),"",$L$37-1)),MIN(BY$38,$E488),$P$20))-SUM($BF488:BX488))</f>
        <v>0</v>
      </c>
      <c r="BZ488" s="446">
        <f>IF($E488=0,0,IF(MIN(BZ$38,$E488)&lt;MAX($P$34*($B488+$I$38-1),IF(AND($L$37=0,$P$34=0),"",$L$37-1)),0,YEARFRAC(MAX($P$34*($B488+$I$38-1),IF(AND($L$37=0,$P$34=0),"",$L$37-1)),MIN(BZ$38,$E488),$P$20))-SUM($BF488:BY488))</f>
        <v>0</v>
      </c>
      <c r="CA488" s="446">
        <f>IF($E488=0,0,IF(MIN(CA$38,$E488)&lt;MAX($P$34*($B488+$I$38-1),IF(AND($L$37=0,$P$34=0),"",$L$37-1)),0,YEARFRAC(MAX($P$34*($B488+$I$38-1),IF(AND($L$37=0,$P$34=0),"",$L$37-1)),MIN(CA$38,$E488),$P$20))-SUM($BF488:BZ488))</f>
        <v>0</v>
      </c>
      <c r="CB488" s="446">
        <f>IF($E488=0,0,IF(MIN(CB$38,$E488)&lt;MAX($P$34*($B488+$I$38-1),IF(AND($L$37=0,$P$34=0),"",$L$37-1)),0,YEARFRAC(MAX($P$34*($B488+$I$38-1),IF(AND($L$37=0,$P$34=0),"",$L$37-1)),MIN(CB$38,$E488),$P$20))-SUM($BF488:CA488))</f>
        <v>0</v>
      </c>
      <c r="CC488" s="446">
        <f>IF($E488=0,0,IF(MIN(CC$38,$E488)&lt;MAX($P$34*($B488+$I$38-1),IF(AND($L$37=0,$P$34=0),"",$L$37-1)),0,YEARFRAC(MAX($P$34*($B488+$I$38-1),IF(AND($L$37=0,$P$34=0),"",$L$37-1)),MIN(CC$38,$E488),$P$20))-SUM($BF488:CB488))</f>
        <v>0</v>
      </c>
      <c r="CD488" s="446">
        <f>IF($E488=0,0,IF(MIN(CD$38,$E488)&lt;MAX($P$34*($B488+$I$38-1),IF(AND($L$37=0,$P$34=0),"",$L$37-1)),0,YEARFRAC(MAX($P$34*($B488+$I$38-1),IF(AND($L$37=0,$P$34=0),"",$L$37-1)),MIN(CD$38,$E488),$P$20))-SUM($BF488:CC488))</f>
        <v>0</v>
      </c>
      <c r="CE488" s="446">
        <f>IF($E488=0,0,IF(MIN(CE$38,$E488)&lt;MAX($P$34*($B488+$I$38-1),IF(AND($L$37=0,$P$34=0),"",$L$37-1)),0,YEARFRAC(MAX($P$34*($B488+$I$38-1),IF(AND($L$37=0,$P$34=0),"",$L$37-1)),MIN(CE$38,$E488),$P$20))-SUM($BF488:CD488))</f>
        <v>0</v>
      </c>
      <c r="CF488" s="446">
        <f>IF($E488=0,0,IF(MIN(CF$38,$E488)&lt;MAX($P$34*($B488+$I$38-1),IF(AND($L$37=0,$P$34=0),"",$L$37-1)),0,YEARFRAC(MAX($P$34*($B488+$I$38-1),IF(AND($L$37=0,$P$34=0),"",$L$37-1)),MIN(CF$38,$E488),$P$20))-SUM($BF488:CE488))</f>
        <v>0</v>
      </c>
      <c r="CG488" s="446">
        <f>IF($E488=0,0,IF(MIN(CG$38,$E488)&lt;MAX($P$34*($B488+$I$38-1),IF(AND($L$37=0,$P$34=0),"",$L$37-1)),0,YEARFRAC(MAX($P$34*($B488+$I$38-1),IF(AND($L$37=0,$P$34=0),"",$L$37-1)),MIN(CG$38,$E488),$P$20))-SUM($BF488:CF488))</f>
        <v>0</v>
      </c>
      <c r="CH488" s="446">
        <f>IF($E488=0,0,IF(MIN(CH$38,$E488)&lt;MAX($P$34*($B488+$I$38-1),IF(AND($L$37=0,$P$34=0),"",$L$37-1)),0,YEARFRAC(MAX($P$34*($B488+$I$38-1),IF(AND($L$37=0,$P$34=0),"",$L$37-1)),MIN(CH$38,$E488),$P$20))-SUM($BF488:CG488))</f>
        <v>0</v>
      </c>
      <c r="CI488" s="446">
        <f>IF($E488=0,0,IF(MIN(CI$38,$E488)&lt;MAX($P$34*($B488+$I$38-1),IF(AND($L$37=0,$P$34=0),"",$L$37-1)),0,YEARFRAC(MAX($P$34*($B488+$I$38-1),IF(AND($L$37=0,$P$34=0),"",$L$37-1)),MIN(CI$38,$E488),$P$20))-SUM($BF488:CH488))</f>
        <v>0</v>
      </c>
      <c r="CJ488" s="446">
        <f>IF($E488=0,0,IF(MIN(CJ$38,$E488)&lt;MAX($P$34*($B488+$I$38-1),IF(AND($L$37=0,$P$34=0),"",$L$37-1)),0,YEARFRAC(MAX($P$34*($B488+$I$38-1),IF(AND($L$37=0,$P$34=0),"",$L$37-1)),MIN(CJ$38,$E488),$P$20))-SUM($BF488:CI488))</f>
        <v>0</v>
      </c>
      <c r="CK488" s="446">
        <f>IF($E488=0,0,IF(MIN(CK$38,$E488)&lt;MAX($P$34*($B488+$I$38-1),IF(AND($L$37=0,$P$34=0),"",$L$37-1)),0,YEARFRAC(MAX($P$34*($B488+$I$38-1),IF(AND($L$37=0,$P$34=0),"",$L$37-1)),MIN(CK$38,$E488),$P$20))-SUM($BF488:CJ488))</f>
        <v>0</v>
      </c>
      <c r="CL488" s="446">
        <f>IF($E488=0,0,IF(MIN(CL$38,$E488)&lt;MAX($P$34*($B488+$I$38-1),IF(AND($L$37=0,$P$34=0),"",$L$37-1)),0,YEARFRAC(MAX($P$34*($B488+$I$38-1),IF(AND($L$37=0,$P$34=0),"",$L$37-1)),MIN(CL$38,$E488),$P$20))-SUM($BF488:CK488))</f>
        <v>0</v>
      </c>
      <c r="CM488" s="446">
        <f>IF($E488=0,0,IF(MIN(CM$38,$E488)&lt;MAX($P$34*($B488+$I$38-1),IF(AND($L$37=0,$P$34=0),"",$L$37-1)),0,YEARFRAC(MAX($P$34*($B488+$I$38-1),IF(AND($L$37=0,$P$34=0),"",$L$37-1)),MIN(CM$38,$E488),$P$20))-SUM($BF488:CL488))</f>
        <v>0</v>
      </c>
      <c r="CN488" s="446">
        <f>IF($E488=0,0,IF(MIN(CN$38,$E488)&lt;MAX($P$34*($B488+$I$38-1),IF(AND($L$37=0,$P$34=0),"",$L$37-1)),0,YEARFRAC(MAX($P$34*($B488+$I$38-1),IF(AND($L$37=0,$P$34=0),"",$L$37-1)),MIN(CN$38,$E488),$P$20))-SUM($BF488:CM488))</f>
        <v>0</v>
      </c>
      <c r="CO488" s="446">
        <f>IF($E488=0,0,IF(MIN(CO$38,$E488)&lt;MAX($P$34*($B488+$I$38-1),IF(AND($L$37=0,$P$34=0),"",$L$37-1)),0,YEARFRAC(MAX($P$34*($B488+$I$38-1),IF(AND($L$37=0,$P$34=0),"",$L$37-1)),MIN(CO$38,$E488),$P$20))-SUM($BF488:CN488))</f>
        <v>0</v>
      </c>
      <c r="CP488" s="446">
        <f>IF($E488=0,0,IF(MIN(CP$38,$E488)&lt;MAX($P$34*($B488+$I$38-1),IF(AND($L$37=0,$P$34=0),"",$L$37-1)),0,YEARFRAC(MAX($P$34*($B488+$I$38-1),IF(AND($L$37=0,$P$34=0),"",$L$37-1)),MIN(CP$38,$E488),$P$20))-SUM($BF488:CO488))</f>
        <v>0</v>
      </c>
      <c r="CQ488" s="446">
        <f>IF($E488=0,0,IF(MIN(CQ$38,$E488)&lt;MAX($P$34*($B488+$I$38-1),IF(AND($L$37=0,$P$34=0),"",$L$37-1)),0,YEARFRAC(MAX($P$34*($B488+$I$38-1),IF(AND($L$37=0,$P$34=0),"",$L$37-1)),MIN(CQ$38,$E488),$P$20))-SUM($BF488:CP488))</f>
        <v>0</v>
      </c>
    </row>
    <row r="489" spans="1:95" s="446" customFormat="1" ht="11.25" hidden="1" customHeight="1" x14ac:dyDescent="0.2">
      <c r="A489" s="152"/>
      <c r="B489" s="153" t="str">
        <f t="shared" si="81"/>
        <v/>
      </c>
      <c r="C489" s="29" t="str">
        <f>IF(B489="","",IF($L$35="SELIC - TRIBUTOS",VLOOKUP(DATE(YEAR($D$19),MONTH($D$19)-1,1),ÍNDICES!$A:$DE,HLOOKUP($BL$25,ÍNDICES!$B$3:$T$4,2)+11)-VLOOKUP(B489,ÍNDICES!$A:$DE,HLOOKUP($BL$25,ÍNDICES!$B$3:$T$4,2)+11)+1%,IF(C$38=$W$26,$J$35,IF(ISERROR(IF(B489&gt;$D$19,1,VLOOKUP(DATE(YEAR(B489),MONTH(B489)+IF($C$35=$S$23,1,0),1),ÍNDICES!$A:$DE,$Z$35+1))),"",IF(B489&gt;$D$19,1,VLOOKUP(DATE(YEAR(B489),MONTH(B489)+IF($C$35=$S$23,1,0),1),ÍNDICES!$A:$DE,$Z$35+1))))))</f>
        <v/>
      </c>
      <c r="D489" s="154" t="str">
        <f>IF(ISERROR(IF(OR($D$38=$Y$27,$B489=""),"",VLOOKUP(B489,ÍNDICES!A:DE,AF$35+1))),"",IF(OR($D$38=$Y$27,$B489=""),"",VLOOKUP(B489,ÍNDICES!A:DE,AF$35+1)))</f>
        <v/>
      </c>
      <c r="E489" s="153"/>
      <c r="F489" s="29" t="str">
        <f>IF(E489="","",IF($L$35="SELIC - TRIBUTOS",VLOOKUP(DATE(YEAR($D$19),MONTH($D$19)-1,1),ÍNDICES!$A:$DE,HLOOKUP($BL$25,ÍNDICES!$B$3:$T$4,2)+11)-VLOOKUP(E489,ÍNDICES!$A:$DE,HLOOKUP($BL$25,ÍNDICES!$B$3:$T$4,2)+11)+1%,IF(F$38=$W$26,$J$35,IF(ISERROR(IF(E489&gt;$D$19,1,VLOOKUP(DATE(YEAR(E489),MONTH(E489)+IF($C$35=$S$23,1,0),1),ÍNDICES!$A:$DE,$Z$35+1))),"",IF(E489&gt;$D$19,1,VLOOKUP(DATE(YEAR(E489),MONTH(E489)+IF($C$35=$S$23,1,0),1),ÍNDICES!$A:$DE,$Z$35+1))))))</f>
        <v/>
      </c>
      <c r="G489" s="155"/>
      <c r="H489" s="156" t="str">
        <f t="shared" ref="H489:H552" si="88">IF(E489="",IF(D489="","",D489),IF(ISERROR(D489/(IF(E489&lt;B489,1,C489/F489))-G489),-G489,D489/(IF(E489&lt;B489,1,C489/F489))-G489))</f>
        <v/>
      </c>
      <c r="I489" s="29" t="str">
        <f t="shared" si="82"/>
        <v/>
      </c>
      <c r="J489" s="5">
        <f t="shared" si="83"/>
        <v>0</v>
      </c>
      <c r="K489" s="20">
        <f t="shared" ca="1" si="84"/>
        <v>0</v>
      </c>
      <c r="L489" s="5">
        <f t="shared" ca="1" si="85"/>
        <v>0</v>
      </c>
      <c r="M489" s="64">
        <f t="shared" ref="M489:M552" si="89">IFERROR(SUM(P489:BA489),0)</f>
        <v>0</v>
      </c>
      <c r="N489" s="61">
        <f t="shared" ref="N489:N552" ca="1" si="90">IFERROR($N$38*(K489+IF(OR(L$35="SELIC - TRIBUTOS",$N$37="sobre principal"),0,J489+L489)),0)</f>
        <v>0</v>
      </c>
      <c r="O489" s="5">
        <f t="shared" ref="O489:O552" ca="1" si="91">IF(ISERROR((K489+J489+L489+N489)*O$38),"",(K489+J489+L489+N489)*O$38)</f>
        <v>0</v>
      </c>
      <c r="P489" s="446" t="e">
        <f t="shared" si="86"/>
        <v>#VALUE!</v>
      </c>
      <c r="Q489" s="446" t="e">
        <f>IF(OR($B489="",MIN(Q$38,$D$19)&lt;MAX($P$34*($B489+IF($R$17="Distrato",$I$38-1,0)),IF(AND($L$37=0,$P$34=0),"",$L$37-1),IF($R$17="Distrato",$E489,0))),0,YEARFRAC(MAX($P$34*($B489+IF($R$17="Distrato",$I$38-1,0)),IF(AND($L$37=0,$P$34=0),"",$L$37-1),IF($R$17="Distrato",$E489,0)),MIN(Q$38,$D$19),$P$20))-SUM($P489:P489)</f>
        <v>#VALUE!</v>
      </c>
      <c r="R489" s="446" t="e">
        <f>IF(OR($B489="",MIN(R$38,$D$19)&lt;MAX($P$34*($B489+IF($R$17="Distrato",$I$38-1,0)),IF(AND($L$37=0,$P$34=0),"",$L$37-1),IF($R$17="Distrato",$E489,0))),0,YEARFRAC(MAX($P$34*($B489+IF($R$17="Distrato",$I$38-1,0)),IF(AND($L$37=0,$P$34=0),"",$L$37-1),IF($R$17="Distrato",$E489,0)),MIN(R$38,$D$19),$P$20))-SUM($P489:Q489)</f>
        <v>#VALUE!</v>
      </c>
      <c r="S489" s="446" t="e">
        <f>IF(OR($B489="",MIN(S$38,$D$19)&lt;MAX($P$34*($B489+IF($R$17="Distrato",$I$38-1,0)),IF(AND($L$37=0,$P$34=0),"",$L$37-1),IF($R$17="Distrato",$E489,0))),0,YEARFRAC(MAX($P$34*($B489+IF($R$17="Distrato",$I$38-1,0)),IF(AND($L$37=0,$P$34=0),"",$L$37-1),IF($R$17="Distrato",$E489,0)),MIN(S$38,$D$19),$P$20))-SUM($P489:R489)</f>
        <v>#VALUE!</v>
      </c>
      <c r="T489" s="446" t="e">
        <f>IF(OR($B489="",MIN(T$38,$D$19)&lt;MAX($P$34*($B489+IF($R$17="Distrato",$I$38-1,0)),IF(AND($L$37=0,$P$34=0),"",$L$37-1),IF($R$17="Distrato",$E489,0))),0,YEARFRAC(MAX($P$34*($B489+IF($R$17="Distrato",$I$38-1,0)),IF(AND($L$37=0,$P$34=0),"",$L$37-1),IF($R$17="Distrato",$E489,0)),MIN(T$38,$D$19),$P$20))-SUM($P489:S489)</f>
        <v>#VALUE!</v>
      </c>
      <c r="U489" s="446" t="e">
        <f>IF(OR($B489="",MIN(U$38,$D$19)&lt;MAX($P$34*($B489+IF($R$17="Distrato",$I$38-1,0)),IF(AND($L$37=0,$P$34=0),"",$L$37-1),IF($R$17="Distrato",$E489,0))),0,YEARFRAC(MAX($P$34*($B489+IF($R$17="Distrato",$I$38-1,0)),IF(AND($L$37=0,$P$34=0),"",$L$37-1),IF($R$17="Distrato",$E489,0)),MIN(U$38,$D$19),$P$20))-SUM($P489:T489)</f>
        <v>#VALUE!</v>
      </c>
      <c r="V489" s="446" t="e">
        <f>IF(OR($B489="",MIN(V$38,$D$19)&lt;MAX($P$34*($B489+IF($R$17="Distrato",$I$38-1,0)),IF(AND($L$37=0,$P$34=0),"",$L$37-1),IF($R$17="Distrato",$E489,0))),0,YEARFRAC(MAX($P$34*($B489+IF($R$17="Distrato",$I$38-1,0)),IF(AND($L$37=0,$P$34=0),"",$L$37-1),IF($R$17="Distrato",$E489,0)),MIN(V$38,$D$19),$P$20))-SUM($P489:U489)</f>
        <v>#VALUE!</v>
      </c>
      <c r="W489" s="446" t="e">
        <f>IF(OR($B489="",MIN(W$38,$D$19)&lt;MAX($P$34*($B489+IF($R$17="Distrato",$I$38-1,0)),IF(AND($L$37=0,$P$34=0),"",$L$37-1),IF($R$17="Distrato",$E489,0))),0,YEARFRAC(MAX($P$34*($B489+IF($R$17="Distrato",$I$38-1,0)),IF(AND($L$37=0,$P$34=0),"",$L$37-1),IF($R$17="Distrato",$E489,0)),MIN(W$38,$D$19),$P$20))-SUM($P489:V489)</f>
        <v>#VALUE!</v>
      </c>
      <c r="X489" s="446" t="e">
        <f>IF(OR($B489="",MIN(X$38,$D$19)&lt;MAX($P$34*($B489+IF($R$17="Distrato",$I$38-1,0)),IF(AND($L$37=0,$P$34=0),"",$L$37-1),IF($R$17="Distrato",$E489,0))),0,YEARFRAC(MAX($P$34*($B489+IF($R$17="Distrato",$I$38-1,0)),IF(AND($L$37=0,$P$34=0),"",$L$37-1),IF($R$17="Distrato",$E489,0)),MIN(X$38,$D$19),$P$20))-SUM($P489:W489)</f>
        <v>#VALUE!</v>
      </c>
      <c r="Y489" s="446" t="e">
        <f>IF(OR($B489="",MIN(Y$38,$D$19)&lt;MAX($P$34*($B489+IF($R$17="Distrato",$I$38-1,0)),IF(AND($L$37=0,$P$34=0),"",$L$37-1),IF($R$17="Distrato",$E489,0))),0,YEARFRAC(MAX($P$34*($B489+IF($R$17="Distrato",$I$38-1,0)),IF(AND($L$37=0,$P$34=0),"",$L$37-1),IF($R$17="Distrato",$E489,0)),MIN(Y$38,$D$19),$P$20))-SUM($P489:X489)</f>
        <v>#VALUE!</v>
      </c>
      <c r="Z489" s="446" t="e">
        <f>IF(OR($B489="",MIN(Z$38,$D$19)&lt;MAX($P$34*($B489+IF($R$17="Distrato",$I$38-1,0)),IF(AND($L$37=0,$P$34=0),"",$L$37-1),IF($R$17="Distrato",$E489,0))),0,YEARFRAC(MAX($P$34*($B489+IF($R$17="Distrato",$I$38-1,0)),IF(AND($L$37=0,$P$34=0),"",$L$37-1),IF($R$17="Distrato",$E489,0)),MIN(Z$38,$D$19),$P$20))-SUM($P489:Y489)</f>
        <v>#VALUE!</v>
      </c>
      <c r="AA489" s="446" t="e">
        <f>IF(OR($B489="",MIN(AA$38,$D$19)&lt;MAX($P$34*($B489+IF($R$17="Distrato",$I$38-1,0)),IF(AND($L$37=0,$P$34=0),"",$L$37-1),IF($R$17="Distrato",$E489,0))),0,YEARFRAC(MAX($P$34*($B489+IF($R$17="Distrato",$I$38-1,0)),IF(AND($L$37=0,$P$34=0),"",$L$37-1),IF($R$17="Distrato",$E489,0)),MIN(AA$38,$D$19),$P$20))-SUM($P489:Z489)</f>
        <v>#VALUE!</v>
      </c>
      <c r="AB489" s="446" t="e">
        <f>IF(OR($B489="",MIN(AB$38,$D$19)&lt;MAX($P$34*($B489+IF($R$17="Distrato",$I$38-1,0)),IF(AND($L$37=0,$P$34=0),"",$L$37-1),IF($R$17="Distrato",$E489,0))),0,YEARFRAC(MAX($P$34*($B489+IF($R$17="Distrato",$I$38-1,0)),IF(AND($L$37=0,$P$34=0),"",$L$37-1),IF($R$17="Distrato",$E489,0)),MIN(AB$38,$D$19),$P$20))-SUM($P489:AA489)</f>
        <v>#VALUE!</v>
      </c>
      <c r="AC489" s="446" t="e">
        <f>IF(OR($B489="",MIN(AC$38,$D$19)&lt;MAX($P$34*($B489+IF($R$17="Distrato",$I$38-1,0)),IF(AND($L$37=0,$P$34=0),"",$L$37-1),IF($R$17="Distrato",$E489,0))),0,YEARFRAC(MAX($P$34*($B489+IF($R$17="Distrato",$I$38-1,0)),IF(AND($L$37=0,$P$34=0),"",$L$37-1),IF($R$17="Distrato",$E489,0)),MIN(AC$38,$D$19),$P$20))-SUM($P489:AB489)</f>
        <v>#VALUE!</v>
      </c>
      <c r="AD489" s="446" t="e">
        <f>IF(OR($B489="",MIN(AD$38,$D$19)&lt;MAX($P$34*($B489+IF($R$17="Distrato",$I$38-1,0)),IF(AND($L$37=0,$P$34=0),"",$L$37-1),IF($R$17="Distrato",$E489,0))),0,YEARFRAC(MAX($P$34*($B489+IF($R$17="Distrato",$I$38-1,0)),IF(AND($L$37=0,$P$34=0),"",$L$37-1),IF($R$17="Distrato",$E489,0)),MIN(AD$38,$D$19),$P$20))-SUM($P489:AC489)</f>
        <v>#VALUE!</v>
      </c>
      <c r="AE489" s="446" t="e">
        <f>IF(OR($B489="",MIN(AE$38,$D$19)&lt;MAX($P$34*($B489+IF($R$17="Distrato",$I$38-1,0)),IF(AND($L$37=0,$P$34=0),"",$L$37-1),IF($R$17="Distrato",$E489,0))),0,YEARFRAC(MAX($P$34*($B489+IF($R$17="Distrato",$I$38-1,0)),IF(AND($L$37=0,$P$34=0),"",$L$37-1),IF($R$17="Distrato",$E489,0)),MIN(AE$38,$D$19),$P$20))-SUM($P489:AD489)</f>
        <v>#VALUE!</v>
      </c>
      <c r="AF489" s="446" t="e">
        <f>IF(OR($B489="",MIN(AF$38,$D$19)&lt;MAX($P$34*($B489+IF($R$17="Distrato",$I$38-1,0)),IF(AND($L$37=0,$P$34=0),"",$L$37-1),IF($R$17="Distrato",$E489,0))),0,YEARFRAC(MAX($P$34*($B489+IF($R$17="Distrato",$I$38-1,0)),IF(AND($L$37=0,$P$34=0),"",$L$37-1),IF($R$17="Distrato",$E489,0)),MIN(AF$38,$D$19),$P$20))-SUM($P489:AE489)</f>
        <v>#VALUE!</v>
      </c>
      <c r="AG489" s="446" t="e">
        <f>IF(OR($B489="",MIN(AG$38,$D$19)&lt;MAX($P$34*($B489+IF($R$17="Distrato",$I$38-1,0)),IF(AND($L$37=0,$P$34=0),"",$L$37-1),IF($R$17="Distrato",$E489,0))),0,YEARFRAC(MAX($P$34*($B489+IF($R$17="Distrato",$I$38-1,0)),IF(AND($L$37=0,$P$34=0),"",$L$37-1),IF($R$17="Distrato",$E489,0)),MIN(AG$38,$D$19),$P$20))-SUM($P489:AF489)</f>
        <v>#VALUE!</v>
      </c>
      <c r="AH489" s="446" t="e">
        <f>IF(OR($B489="",MIN(AH$38,$D$19)&lt;MAX($P$34*($B489+IF($R$17="Distrato",$I$38-1,0)),IF(AND($L$37=0,$P$34=0),"",$L$37-1),IF($R$17="Distrato",$E489,0))),0,YEARFRAC(MAX($P$34*($B489+IF($R$17="Distrato",$I$38-1,0)),IF(AND($L$37=0,$P$34=0),"",$L$37-1),IF($R$17="Distrato",$E489,0)),MIN(AH$38,$D$19),$P$20))-SUM($P489:AG489)</f>
        <v>#VALUE!</v>
      </c>
      <c r="AI489" s="446" t="e">
        <f>IF(OR($B489="",MIN(AI$38,$D$19)&lt;MAX($P$34*($B489+IF($R$17="Distrato",$I$38-1,0)),IF(AND($L$37=0,$P$34=0),"",$L$37-1),IF($R$17="Distrato",$E489,0))),0,YEARFRAC(MAX($P$34*($B489+IF($R$17="Distrato",$I$38-1,0)),IF(AND($L$37=0,$P$34=0),"",$L$37-1),IF($R$17="Distrato",$E489,0)),MIN(AI$38,$D$19),$P$20))-SUM($P489:AH489)</f>
        <v>#VALUE!</v>
      </c>
      <c r="AJ489" s="446" t="e">
        <f>IF(OR($B489="",MIN(AJ$38,$D$19)&lt;MAX($P$34*($B489+IF($R$17="Distrato",$I$38-1,0)),IF(AND($L$37=0,$P$34=0),"",$L$37-1),IF($R$17="Distrato",$E489,0))),0,YEARFRAC(MAX($P$34*($B489+IF($R$17="Distrato",$I$38-1,0)),IF(AND($L$37=0,$P$34=0),"",$L$37-1),IF($R$17="Distrato",$E489,0)),MIN(AJ$38,$D$19),$P$20))-SUM($P489:AI489)</f>
        <v>#VALUE!</v>
      </c>
      <c r="AK489" s="446" t="e">
        <f>IF(OR($B489="",MIN(AK$38,$D$19)&lt;MAX($P$34*($B489+IF($R$17="Distrato",$I$38-1,0)),IF(AND($L$37=0,$P$34=0),"",$L$37-1),IF($R$17="Distrato",$E489,0))),0,YEARFRAC(MAX($P$34*($B489+IF($R$17="Distrato",$I$38-1,0)),IF(AND($L$37=0,$P$34=0),"",$L$37-1),IF($R$17="Distrato",$E489,0)),MIN(AK$38,$D$19),$P$20))-SUM($P489:AJ489)</f>
        <v>#VALUE!</v>
      </c>
      <c r="AL489" s="446" t="e">
        <f>IF(OR($B489="",MIN(AL$38,$D$19)&lt;MAX($P$34*($B489+IF($R$17="Distrato",$I$38-1,0)),IF(AND($L$37=0,$P$34=0),"",$L$37-1),IF($R$17="Distrato",$E489,0))),0,YEARFRAC(MAX($P$34*($B489+IF($R$17="Distrato",$I$38-1,0)),IF(AND($L$37=0,$P$34=0),"",$L$37-1),IF($R$17="Distrato",$E489,0)),MIN(AL$38,$D$19),$P$20))-SUM($P489:AK489)</f>
        <v>#VALUE!</v>
      </c>
      <c r="AM489" s="446" t="e">
        <f>IF(OR($B489="",MIN(AM$38,$D$19)&lt;MAX($P$34*($B489+IF($R$17="Distrato",$I$38-1,0)),IF(AND($L$37=0,$P$34=0),"",$L$37-1),IF($R$17="Distrato",$E489,0))),0,YEARFRAC(MAX($P$34*($B489+IF($R$17="Distrato",$I$38-1,0)),IF(AND($L$37=0,$P$34=0),"",$L$37-1),IF($R$17="Distrato",$E489,0)),MIN(AM$38,$D$19),$P$20))-SUM($P489:AL489)</f>
        <v>#VALUE!</v>
      </c>
      <c r="AN489" s="446" t="e">
        <f>IF(OR($B489="",MIN(AN$38,$D$19)&lt;MAX($P$34*($B489+IF($R$17="Distrato",$I$38-1,0)),IF(AND($L$37=0,$P$34=0),"",$L$37-1),IF($R$17="Distrato",$E489,0))),0,YEARFRAC(MAX($P$34*($B489+IF($R$17="Distrato",$I$38-1,0)),IF(AND($L$37=0,$P$34=0),"",$L$37-1),IF($R$17="Distrato",$E489,0)),MIN(AN$38,$D$19),$P$20))-SUM($P489:AM489)</f>
        <v>#VALUE!</v>
      </c>
      <c r="AO489" s="446" t="e">
        <f>IF(OR($B489="",MIN(AO$38,$D$19)&lt;MAX($P$34*($B489+IF($R$17="Distrato",$I$38-1,0)),IF(AND($L$37=0,$P$34=0),"",$L$37-1),IF($R$17="Distrato",$E489,0))),0,YEARFRAC(MAX($P$34*($B489+IF($R$17="Distrato",$I$38-1,0)),IF(AND($L$37=0,$P$34=0),"",$L$37-1),IF($R$17="Distrato",$E489,0)),MIN(AO$38,$D$19),$P$20))-SUM($P489:AN489)</f>
        <v>#VALUE!</v>
      </c>
      <c r="AP489" s="446" t="e">
        <f>IF(OR($B489="",MIN(AP$38,$D$19)&lt;MAX($P$34*($B489+IF($R$17="Distrato",$I$38-1,0)),IF(AND($L$37=0,$P$34=0),"",$L$37-1),IF($R$17="Distrato",$E489,0))),0,YEARFRAC(MAX($P$34*($B489+IF($R$17="Distrato",$I$38-1,0)),IF(AND($L$37=0,$P$34=0),"",$L$37-1),IF($R$17="Distrato",$E489,0)),MIN(AP$38,$D$19),$P$20))-SUM($P489:AO489)</f>
        <v>#VALUE!</v>
      </c>
      <c r="AQ489" s="446" t="e">
        <f>IF(OR($B489="",MIN(AQ$38,$D$19)&lt;MAX($P$34*($B489+IF($R$17="Distrato",$I$38-1,0)),IF(AND($L$37=0,$P$34=0),"",$L$37-1),IF($R$17="Distrato",$E489,0))),0,YEARFRAC(MAX($P$34*($B489+IF($R$17="Distrato",$I$38-1,0)),IF(AND($L$37=0,$P$34=0),"",$L$37-1),IF($R$17="Distrato",$E489,0)),MIN(AQ$38,$D$19),$P$20))-SUM($P489:AP489)</f>
        <v>#VALUE!</v>
      </c>
      <c r="AR489" s="446" t="e">
        <f>IF(OR($B489="",MIN(AR$38,$D$19)&lt;MAX($P$34*($B489+IF($R$17="Distrato",$I$38-1,0)),IF(AND($L$37=0,$P$34=0),"",$L$37-1),IF($R$17="Distrato",$E489,0))),0,YEARFRAC(MAX($P$34*($B489+IF($R$17="Distrato",$I$38-1,0)),IF(AND($L$37=0,$P$34=0),"",$L$37-1),IF($R$17="Distrato",$E489,0)),MIN(AR$38,$D$19),$P$20))-SUM($P489:AQ489)</f>
        <v>#VALUE!</v>
      </c>
      <c r="AS489" s="446" t="e">
        <f>IF(OR($B489="",MIN(AS$38,$D$19)&lt;MAX($P$34*($B489+IF($R$17="Distrato",$I$38-1,0)),IF(AND($L$37=0,$P$34=0),"",$L$37-1),IF($R$17="Distrato",$E489,0))),0,YEARFRAC(MAX($P$34*($B489+IF($R$17="Distrato",$I$38-1,0)),IF(AND($L$37=0,$P$34=0),"",$L$37-1),IF($R$17="Distrato",$E489,0)),MIN(AS$38,$D$19),$P$20))-SUM($P489:AR489)</f>
        <v>#VALUE!</v>
      </c>
      <c r="AT489" s="446" t="e">
        <f>IF(OR($B489="",MIN(AT$38,$D$19)&lt;MAX($P$34*($B489+IF($R$17="Distrato",$I$38-1,0)),IF(AND($L$37=0,$P$34=0),"",$L$37-1),IF($R$17="Distrato",$E489,0))),0,YEARFRAC(MAX($P$34*($B489+IF($R$17="Distrato",$I$38-1,0)),IF(AND($L$37=0,$P$34=0),"",$L$37-1),IF($R$17="Distrato",$E489,0)),MIN(AT$38,$D$19),$P$20))-SUM($P489:AS489)</f>
        <v>#VALUE!</v>
      </c>
      <c r="AU489" s="446" t="e">
        <f>IF(OR($B489="",MIN(AU$38,$D$19)&lt;MAX($P$34*($B489+IF($R$17="Distrato",$I$38-1,0)),IF(AND($L$37=0,$P$34=0),"",$L$37-1),IF($R$17="Distrato",$E489,0))),0,YEARFRAC(MAX($P$34*($B489+IF($R$17="Distrato",$I$38-1,0)),IF(AND($L$37=0,$P$34=0),"",$L$37-1),IF($R$17="Distrato",$E489,0)),MIN(AU$38,$D$19),$P$20))-SUM($P489:AT489)</f>
        <v>#VALUE!</v>
      </c>
      <c r="AV489" s="446" t="e">
        <f>IF(OR($B489="",MIN(AV$38,$D$19)&lt;MAX($P$34*($B489+IF($R$17="Distrato",$I$38-1,0)),IF(AND($L$37=0,$P$34=0),"",$L$37-1),IF($R$17="Distrato",$E489,0))),0,YEARFRAC(MAX($P$34*($B489+IF($R$17="Distrato",$I$38-1,0)),IF(AND($L$37=0,$P$34=0),"",$L$37-1),IF($R$17="Distrato",$E489,0)),MIN(AV$38,$D$19),$P$20))-SUM($P489:AU489)</f>
        <v>#VALUE!</v>
      </c>
      <c r="AW489" s="446" t="e">
        <f>IF(OR($B489="",MIN(AW$38,$D$19)&lt;MAX($P$34*($B489+IF($R$17="Distrato",$I$38-1,0)),IF(AND($L$37=0,$P$34=0),"",$L$37-1),IF($R$17="Distrato",$E489,0))),0,YEARFRAC(MAX($P$34*($B489+IF($R$17="Distrato",$I$38-1,0)),IF(AND($L$37=0,$P$34=0),"",$L$37-1),IF($R$17="Distrato",$E489,0)),MIN(AW$38,$D$19),$P$20))-SUM($P489:AV489)</f>
        <v>#VALUE!</v>
      </c>
      <c r="AX489" s="446" t="e">
        <f>IF(OR($B489="",MIN(AX$38,$D$19)&lt;MAX($P$34*($B489+IF($R$17="Distrato",$I$38-1,0)),IF(AND($L$37=0,$P$34=0),"",$L$37-1),IF($R$17="Distrato",$E489,0))),0,YEARFRAC(MAX($P$34*($B489+IF($R$17="Distrato",$I$38-1,0)),IF(AND($L$37=0,$P$34=0),"",$L$37-1),IF($R$17="Distrato",$E489,0)),MIN(AX$38,$D$19),$P$20))-SUM($P489:AW489)</f>
        <v>#VALUE!</v>
      </c>
      <c r="AY489" s="446" t="e">
        <f>IF(OR($B489="",MIN(AY$38,$D$19)&lt;MAX($P$34*($B489+IF($R$17="Distrato",$I$38-1,0)),IF(AND($L$37=0,$P$34=0),"",$L$37-1),IF($R$17="Distrato",$E489,0))),0,YEARFRAC(MAX($P$34*($B489+IF($R$17="Distrato",$I$38-1,0)),IF(AND($L$37=0,$P$34=0),"",$L$37-1),IF($R$17="Distrato",$E489,0)),MIN(AY$38,$D$19),$P$20))-SUM($P489:AX489)</f>
        <v>#VALUE!</v>
      </c>
      <c r="AZ489" s="446" t="e">
        <f>IF(OR($B489="",MIN(AZ$38,$D$19)&lt;MAX($P$34*($B489+IF($R$17="Distrato",$I$38-1,0)),IF(AND($L$37=0,$P$34=0),"",$L$37-1),IF($R$17="Distrato",$E489,0))),0,YEARFRAC(MAX($P$34*($B489+IF($R$17="Distrato",$I$38-1,0)),IF(AND($L$37=0,$P$34=0),"",$L$37-1),IF($R$17="Distrato",$E489,0)),MIN(AZ$38,$D$19),$P$20))-SUM($P489:AY489)</f>
        <v>#VALUE!</v>
      </c>
      <c r="BA489" s="446" t="e">
        <f>IF(OR($B489="",MIN(BA$38,$D$19)&lt;MAX($P$34*($B489+IF($R$17="Distrato",$I$38-1,0)),IF(AND($L$37=0,$P$34=0),"",$L$37-1),IF($R$17="Distrato",$E489,0))),0,YEARFRAC(MAX($P$34*($B489+IF($R$17="Distrato",$I$38-1,0)),IF(AND($L$37=0,$P$34=0),"",$L$37-1),IF($R$17="Distrato",$E489,0)),MIN(BA$38,$D$19),$P$20))-SUM($P489:AZ489)</f>
        <v>#VALUE!</v>
      </c>
      <c r="BB489" s="447"/>
      <c r="BF489" s="446">
        <f t="shared" si="87"/>
        <v>0</v>
      </c>
      <c r="BG489" s="446">
        <f>IF($E489=0,0,IF(MIN(BG$38,$E489)&lt;MAX($P$34*($B489+$I$38-1),IF(AND($L$37=0,$P$34=0),"",$L$37-1)),0,YEARFRAC(MAX($P$34*($B489+$I$38-1),IF(AND($L$37=0,$P$34=0),"",$L$37-1)),MIN(BG$38,$E489),$P$20))-SUM($BF489:BF489))</f>
        <v>0</v>
      </c>
      <c r="BH489" s="446">
        <f>IF($E489=0,0,IF(MIN(BH$38,$E489)&lt;MAX($P$34*($B489+$I$38-1),IF(AND($L$37=0,$P$34=0),"",$L$37-1)),0,YEARFRAC(MAX($P$34*($B489+$I$38-1),IF(AND($L$37=0,$P$34=0),"",$L$37-1)),MIN(BH$38,$E489),$P$20))-SUM($BF489:BG489))</f>
        <v>0</v>
      </c>
      <c r="BI489" s="446">
        <f>IF($E489=0,0,IF(MIN(BI$38,$E489)&lt;MAX($P$34*($B489+$I$38-1),IF(AND($L$37=0,$P$34=0),"",$L$37-1)),0,YEARFRAC(MAX($P$34*($B489+$I$38-1),IF(AND($L$37=0,$P$34=0),"",$L$37-1)),MIN(BI$38,$E489),$P$20))-SUM($BF489:BH489))</f>
        <v>0</v>
      </c>
      <c r="BJ489" s="446">
        <f>IF($E489=0,0,IF(MIN(BJ$38,$E489)&lt;MAX($P$34*($B489+$I$38-1),IF(AND($L$37=0,$P$34=0),"",$L$37-1)),0,YEARFRAC(MAX($P$34*($B489+$I$38-1),IF(AND($L$37=0,$P$34=0),"",$L$37-1)),MIN(BJ$38,$E489),$P$20))-SUM($BF489:BI489))</f>
        <v>0</v>
      </c>
      <c r="BK489" s="446">
        <f>IF($E489=0,0,IF(MIN(BK$38,$E489)&lt;MAX($P$34*($B489+$I$38-1),IF(AND($L$37=0,$P$34=0),"",$L$37-1)),0,YEARFRAC(MAX($P$34*($B489+$I$38-1),IF(AND($L$37=0,$P$34=0),"",$L$37-1)),MIN(BK$38,$E489),$P$20))-SUM($BF489:BJ489))</f>
        <v>0</v>
      </c>
      <c r="BL489" s="446">
        <f>IF($E489=0,0,IF(MIN(BL$38,$E489)&lt;MAX($P$34*($B489+$I$38-1),IF(AND($L$37=0,$P$34=0),"",$L$37-1)),0,YEARFRAC(MAX($P$34*($B489+$I$38-1),IF(AND($L$37=0,$P$34=0),"",$L$37-1)),MIN(BL$38,$E489),$P$20))-SUM($BF489:BK489))</f>
        <v>0</v>
      </c>
      <c r="BM489" s="446">
        <f>IF($E489=0,0,IF(MIN(BM$38,$E489)&lt;MAX($P$34*($B489+$I$38-1),IF(AND($L$37=0,$P$34=0),"",$L$37-1)),0,YEARFRAC(MAX($P$34*($B489+$I$38-1),IF(AND($L$37=0,$P$34=0),"",$L$37-1)),MIN(BM$38,$E489),$P$20))-SUM($BF489:BL489))</f>
        <v>0</v>
      </c>
      <c r="BN489" s="446">
        <f>IF($E489=0,0,IF(MIN(BN$38,$E489)&lt;MAX($P$34*($B489+$I$38-1),IF(AND($L$37=0,$P$34=0),"",$L$37-1)),0,YEARFRAC(MAX($P$34*($B489+$I$38-1),IF(AND($L$37=0,$P$34=0),"",$L$37-1)),MIN(BN$38,$E489),$P$20))-SUM($BF489:BM489))</f>
        <v>0</v>
      </c>
      <c r="BO489" s="446">
        <f>IF($E489=0,0,IF(MIN(BO$38,$E489)&lt;MAX($P$34*($B489+$I$38-1),IF(AND($L$37=0,$P$34=0),"",$L$37-1)),0,YEARFRAC(MAX($P$34*($B489+$I$38-1),IF(AND($L$37=0,$P$34=0),"",$L$37-1)),MIN(BO$38,$E489),$P$20))-SUM($BF489:BN489))</f>
        <v>0</v>
      </c>
      <c r="BP489" s="446">
        <f>IF($E489=0,0,IF(MIN(BP$38,$E489)&lt;MAX($P$34*($B489+$I$38-1),IF(AND($L$37=0,$P$34=0),"",$L$37-1)),0,YEARFRAC(MAX($P$34*($B489+$I$38-1),IF(AND($L$37=0,$P$34=0),"",$L$37-1)),MIN(BP$38,$E489),$P$20))-SUM($BF489:BO489))</f>
        <v>0</v>
      </c>
      <c r="BQ489" s="446">
        <f>IF($E489=0,0,IF(MIN(BQ$38,$E489)&lt;MAX($P$34*($B489+$I$38-1),IF(AND($L$37=0,$P$34=0),"",$L$37-1)),0,YEARFRAC(MAX($P$34*($B489+$I$38-1),IF(AND($L$37=0,$P$34=0),"",$L$37-1)),MIN(BQ$38,$E489),$P$20))-SUM($BF489:BP489))</f>
        <v>0</v>
      </c>
      <c r="BR489" s="446">
        <f>IF($E489=0,0,IF(MIN(BR$38,$E489)&lt;MAX($P$34*($B489+$I$38-1),IF(AND($L$37=0,$P$34=0),"",$L$37-1)),0,YEARFRAC(MAX($P$34*($B489+$I$38-1),IF(AND($L$37=0,$P$34=0),"",$L$37-1)),MIN(BR$38,$E489),$P$20))-SUM($BF489:BQ489))</f>
        <v>0</v>
      </c>
      <c r="BS489" s="446">
        <f>IF($E489=0,0,IF(MIN(BS$38,$E489)&lt;MAX($P$34*($B489+$I$38-1),IF(AND($L$37=0,$P$34=0),"",$L$37-1)),0,YEARFRAC(MAX($P$34*($B489+$I$38-1),IF(AND($L$37=0,$P$34=0),"",$L$37-1)),MIN(BS$38,$E489),$P$20))-SUM($BF489:BR489))</f>
        <v>0</v>
      </c>
      <c r="BT489" s="446">
        <f>IF($E489=0,0,IF(MIN(BT$38,$E489)&lt;MAX($P$34*($B489+$I$38-1),IF(AND($L$37=0,$P$34=0),"",$L$37-1)),0,YEARFRAC(MAX($P$34*($B489+$I$38-1),IF(AND($L$37=0,$P$34=0),"",$L$37-1)),MIN(BT$38,$E489),$P$20))-SUM($BF489:BS489))</f>
        <v>0</v>
      </c>
      <c r="BU489" s="446">
        <f>IF($E489=0,0,IF(MIN(BU$38,$E489)&lt;MAX($P$34*($B489+$I$38-1),IF(AND($L$37=0,$P$34=0),"",$L$37-1)),0,YEARFRAC(MAX($P$34*($B489+$I$38-1),IF(AND($L$37=0,$P$34=0),"",$L$37-1)),MIN(BU$38,$E489),$P$20))-SUM($BF489:BT489))</f>
        <v>0</v>
      </c>
      <c r="BV489" s="446">
        <f>IF($E489=0,0,IF(MIN(BV$38,$E489)&lt;MAX($P$34*($B489+$I$38-1),IF(AND($L$37=0,$P$34=0),"",$L$37-1)),0,YEARFRAC(MAX($P$34*($B489+$I$38-1),IF(AND($L$37=0,$P$34=0),"",$L$37-1)),MIN(BV$38,$E489),$P$20))-SUM($BF489:BU489))</f>
        <v>0</v>
      </c>
      <c r="BW489" s="446">
        <f>IF($E489=0,0,IF(MIN(BW$38,$E489)&lt;MAX($P$34*($B489+$I$38-1),IF(AND($L$37=0,$P$34=0),"",$L$37-1)),0,YEARFRAC(MAX($P$34*($B489+$I$38-1),IF(AND($L$37=0,$P$34=0),"",$L$37-1)),MIN(BW$38,$E489),$P$20))-SUM($BF489:BV489))</f>
        <v>0</v>
      </c>
      <c r="BX489" s="446">
        <f>IF($E489=0,0,IF(MIN(BX$38,$E489)&lt;MAX($P$34*($B489+$I$38-1),IF(AND($L$37=0,$P$34=0),"",$L$37-1)),0,YEARFRAC(MAX($P$34*($B489+$I$38-1),IF(AND($L$37=0,$P$34=0),"",$L$37-1)),MIN(BX$38,$E489),$P$20))-SUM($BF489:BW489))</f>
        <v>0</v>
      </c>
      <c r="BY489" s="446">
        <f>IF($E489=0,0,IF(MIN(BY$38,$E489)&lt;MAX($P$34*($B489+$I$38-1),IF(AND($L$37=0,$P$34=0),"",$L$37-1)),0,YEARFRAC(MAX($P$34*($B489+$I$38-1),IF(AND($L$37=0,$P$34=0),"",$L$37-1)),MIN(BY$38,$E489),$P$20))-SUM($BF489:BX489))</f>
        <v>0</v>
      </c>
      <c r="BZ489" s="446">
        <f>IF($E489=0,0,IF(MIN(BZ$38,$E489)&lt;MAX($P$34*($B489+$I$38-1),IF(AND($L$37=0,$P$34=0),"",$L$37-1)),0,YEARFRAC(MAX($P$34*($B489+$I$38-1),IF(AND($L$37=0,$P$34=0),"",$L$37-1)),MIN(BZ$38,$E489),$P$20))-SUM($BF489:BY489))</f>
        <v>0</v>
      </c>
      <c r="CA489" s="446">
        <f>IF($E489=0,0,IF(MIN(CA$38,$E489)&lt;MAX($P$34*($B489+$I$38-1),IF(AND($L$37=0,$P$34=0),"",$L$37-1)),0,YEARFRAC(MAX($P$34*($B489+$I$38-1),IF(AND($L$37=0,$P$34=0),"",$L$37-1)),MIN(CA$38,$E489),$P$20))-SUM($BF489:BZ489))</f>
        <v>0</v>
      </c>
      <c r="CB489" s="446">
        <f>IF($E489=0,0,IF(MIN(CB$38,$E489)&lt;MAX($P$34*($B489+$I$38-1),IF(AND($L$37=0,$P$34=0),"",$L$37-1)),0,YEARFRAC(MAX($P$34*($B489+$I$38-1),IF(AND($L$37=0,$P$34=0),"",$L$37-1)),MIN(CB$38,$E489),$P$20))-SUM($BF489:CA489))</f>
        <v>0</v>
      </c>
      <c r="CC489" s="446">
        <f>IF($E489=0,0,IF(MIN(CC$38,$E489)&lt;MAX($P$34*($B489+$I$38-1),IF(AND($L$37=0,$P$34=0),"",$L$37-1)),0,YEARFRAC(MAX($P$34*($B489+$I$38-1),IF(AND($L$37=0,$P$34=0),"",$L$37-1)),MIN(CC$38,$E489),$P$20))-SUM($BF489:CB489))</f>
        <v>0</v>
      </c>
      <c r="CD489" s="446">
        <f>IF($E489=0,0,IF(MIN(CD$38,$E489)&lt;MAX($P$34*($B489+$I$38-1),IF(AND($L$37=0,$P$34=0),"",$L$37-1)),0,YEARFRAC(MAX($P$34*($B489+$I$38-1),IF(AND($L$37=0,$P$34=0),"",$L$37-1)),MIN(CD$38,$E489),$P$20))-SUM($BF489:CC489))</f>
        <v>0</v>
      </c>
      <c r="CE489" s="446">
        <f>IF($E489=0,0,IF(MIN(CE$38,$E489)&lt;MAX($P$34*($B489+$I$38-1),IF(AND($L$37=0,$P$34=0),"",$L$37-1)),0,YEARFRAC(MAX($P$34*($B489+$I$38-1),IF(AND($L$37=0,$P$34=0),"",$L$37-1)),MIN(CE$38,$E489),$P$20))-SUM($BF489:CD489))</f>
        <v>0</v>
      </c>
      <c r="CF489" s="446">
        <f>IF($E489=0,0,IF(MIN(CF$38,$E489)&lt;MAX($P$34*($B489+$I$38-1),IF(AND($L$37=0,$P$34=0),"",$L$37-1)),0,YEARFRAC(MAX($P$34*($B489+$I$38-1),IF(AND($L$37=0,$P$34=0),"",$L$37-1)),MIN(CF$38,$E489),$P$20))-SUM($BF489:CE489))</f>
        <v>0</v>
      </c>
      <c r="CG489" s="446">
        <f>IF($E489=0,0,IF(MIN(CG$38,$E489)&lt;MAX($P$34*($B489+$I$38-1),IF(AND($L$37=0,$P$34=0),"",$L$37-1)),0,YEARFRAC(MAX($P$34*($B489+$I$38-1),IF(AND($L$37=0,$P$34=0),"",$L$37-1)),MIN(CG$38,$E489),$P$20))-SUM($BF489:CF489))</f>
        <v>0</v>
      </c>
      <c r="CH489" s="446">
        <f>IF($E489=0,0,IF(MIN(CH$38,$E489)&lt;MAX($P$34*($B489+$I$38-1),IF(AND($L$37=0,$P$34=0),"",$L$37-1)),0,YEARFRAC(MAX($P$34*($B489+$I$38-1),IF(AND($L$37=0,$P$34=0),"",$L$37-1)),MIN(CH$38,$E489),$P$20))-SUM($BF489:CG489))</f>
        <v>0</v>
      </c>
      <c r="CI489" s="446">
        <f>IF($E489=0,0,IF(MIN(CI$38,$E489)&lt;MAX($P$34*($B489+$I$38-1),IF(AND($L$37=0,$P$34=0),"",$L$37-1)),0,YEARFRAC(MAX($P$34*($B489+$I$38-1),IF(AND($L$37=0,$P$34=0),"",$L$37-1)),MIN(CI$38,$E489),$P$20))-SUM($BF489:CH489))</f>
        <v>0</v>
      </c>
      <c r="CJ489" s="446">
        <f>IF($E489=0,0,IF(MIN(CJ$38,$E489)&lt;MAX($P$34*($B489+$I$38-1),IF(AND($L$37=0,$P$34=0),"",$L$37-1)),0,YEARFRAC(MAX($P$34*($B489+$I$38-1),IF(AND($L$37=0,$P$34=0),"",$L$37-1)),MIN(CJ$38,$E489),$P$20))-SUM($BF489:CI489))</f>
        <v>0</v>
      </c>
      <c r="CK489" s="446">
        <f>IF($E489=0,0,IF(MIN(CK$38,$E489)&lt;MAX($P$34*($B489+$I$38-1),IF(AND($L$37=0,$P$34=0),"",$L$37-1)),0,YEARFRAC(MAX($P$34*($B489+$I$38-1),IF(AND($L$37=0,$P$34=0),"",$L$37-1)),MIN(CK$38,$E489),$P$20))-SUM($BF489:CJ489))</f>
        <v>0</v>
      </c>
      <c r="CL489" s="446">
        <f>IF($E489=0,0,IF(MIN(CL$38,$E489)&lt;MAX($P$34*($B489+$I$38-1),IF(AND($L$37=0,$P$34=0),"",$L$37-1)),0,YEARFRAC(MAX($P$34*($B489+$I$38-1),IF(AND($L$37=0,$P$34=0),"",$L$37-1)),MIN(CL$38,$E489),$P$20))-SUM($BF489:CK489))</f>
        <v>0</v>
      </c>
      <c r="CM489" s="446">
        <f>IF($E489=0,0,IF(MIN(CM$38,$E489)&lt;MAX($P$34*($B489+$I$38-1),IF(AND($L$37=0,$P$34=0),"",$L$37-1)),0,YEARFRAC(MAX($P$34*($B489+$I$38-1),IF(AND($L$37=0,$P$34=0),"",$L$37-1)),MIN(CM$38,$E489),$P$20))-SUM($BF489:CL489))</f>
        <v>0</v>
      </c>
      <c r="CN489" s="446">
        <f>IF($E489=0,0,IF(MIN(CN$38,$E489)&lt;MAX($P$34*($B489+$I$38-1),IF(AND($L$37=0,$P$34=0),"",$L$37-1)),0,YEARFRAC(MAX($P$34*($B489+$I$38-1),IF(AND($L$37=0,$P$34=0),"",$L$37-1)),MIN(CN$38,$E489),$P$20))-SUM($BF489:CM489))</f>
        <v>0</v>
      </c>
      <c r="CO489" s="446">
        <f>IF($E489=0,0,IF(MIN(CO$38,$E489)&lt;MAX($P$34*($B489+$I$38-1),IF(AND($L$37=0,$P$34=0),"",$L$37-1)),0,YEARFRAC(MAX($P$34*($B489+$I$38-1),IF(AND($L$37=0,$P$34=0),"",$L$37-1)),MIN(CO$38,$E489),$P$20))-SUM($BF489:CN489))</f>
        <v>0</v>
      </c>
      <c r="CP489" s="446">
        <f>IF($E489=0,0,IF(MIN(CP$38,$E489)&lt;MAX($P$34*($B489+$I$38-1),IF(AND($L$37=0,$P$34=0),"",$L$37-1)),0,YEARFRAC(MAX($P$34*($B489+$I$38-1),IF(AND($L$37=0,$P$34=0),"",$L$37-1)),MIN(CP$38,$E489),$P$20))-SUM($BF489:CO489))</f>
        <v>0</v>
      </c>
      <c r="CQ489" s="446">
        <f>IF($E489=0,0,IF(MIN(CQ$38,$E489)&lt;MAX($P$34*($B489+$I$38-1),IF(AND($L$37=0,$P$34=0),"",$L$37-1)),0,YEARFRAC(MAX($P$34*($B489+$I$38-1),IF(AND($L$37=0,$P$34=0),"",$L$37-1)),MIN(CQ$38,$E489),$P$20))-SUM($BF489:CP489))</f>
        <v>0</v>
      </c>
    </row>
    <row r="490" spans="1:95" s="446" customFormat="1" ht="11.25" hidden="1" customHeight="1" x14ac:dyDescent="0.2">
      <c r="A490" s="152"/>
      <c r="B490" s="153" t="str">
        <f t="shared" ref="B490:B553" si="92">IF(B489="","",IF(AND(MONTH(B489)=12,MONTH(B488)=11,$B$38="com 13º"),IF(B489&gt;$D$19,"",B489),IF(DATE(YEAR(B489),MONTH(B489)+1,DAY(B489))&gt;$D$19,"",DATE(YEAR(B489),MONTH(B489)+1,DAY(B489)))))</f>
        <v/>
      </c>
      <c r="C490" s="29" t="str">
        <f>IF(B490="","",IF($L$35="SELIC - TRIBUTOS",VLOOKUP(DATE(YEAR($D$19),MONTH($D$19)-1,1),ÍNDICES!$A:$DE,HLOOKUP($BL$25,ÍNDICES!$B$3:$T$4,2)+11)-VLOOKUP(B490,ÍNDICES!$A:$DE,HLOOKUP($BL$25,ÍNDICES!$B$3:$T$4,2)+11)+1%,IF(C$38=$W$26,$J$35,IF(ISERROR(IF(B490&gt;$D$19,1,VLOOKUP(DATE(YEAR(B490),MONTH(B490)+IF($C$35=$S$23,1,0),1),ÍNDICES!$A:$DE,$Z$35+1))),"",IF(B490&gt;$D$19,1,VLOOKUP(DATE(YEAR(B490),MONTH(B490)+IF($C$35=$S$23,1,0),1),ÍNDICES!$A:$DE,$Z$35+1))))))</f>
        <v/>
      </c>
      <c r="D490" s="154" t="str">
        <f>IF(ISERROR(IF(OR($D$38=$Y$27,$B490=""),"",VLOOKUP(B490,ÍNDICES!A:DE,AF$35+1))),"",IF(OR($D$38=$Y$27,$B490=""),"",VLOOKUP(B490,ÍNDICES!A:DE,AF$35+1)))</f>
        <v/>
      </c>
      <c r="E490" s="153"/>
      <c r="F490" s="29" t="str">
        <f>IF(E490="","",IF($L$35="SELIC - TRIBUTOS",VLOOKUP(DATE(YEAR($D$19),MONTH($D$19)-1,1),ÍNDICES!$A:$DE,HLOOKUP($BL$25,ÍNDICES!$B$3:$T$4,2)+11)-VLOOKUP(E490,ÍNDICES!$A:$DE,HLOOKUP($BL$25,ÍNDICES!$B$3:$T$4,2)+11)+1%,IF(F$38=$W$26,$J$35,IF(ISERROR(IF(E490&gt;$D$19,1,VLOOKUP(DATE(YEAR(E490),MONTH(E490)+IF($C$35=$S$23,1,0),1),ÍNDICES!$A:$DE,$Z$35+1))),"",IF(E490&gt;$D$19,1,VLOOKUP(DATE(YEAR(E490),MONTH(E490)+IF($C$35=$S$23,1,0),1),ÍNDICES!$A:$DE,$Z$35+1))))))</f>
        <v/>
      </c>
      <c r="G490" s="155"/>
      <c r="H490" s="156" t="str">
        <f t="shared" si="88"/>
        <v/>
      </c>
      <c r="I490" s="29" t="str">
        <f t="shared" si="82"/>
        <v/>
      </c>
      <c r="J490" s="5">
        <f t="shared" si="83"/>
        <v>0</v>
      </c>
      <c r="K490" s="20">
        <f t="shared" ca="1" si="84"/>
        <v>0</v>
      </c>
      <c r="L490" s="5">
        <f t="shared" ca="1" si="85"/>
        <v>0</v>
      </c>
      <c r="M490" s="64">
        <f t="shared" si="89"/>
        <v>0</v>
      </c>
      <c r="N490" s="61">
        <f t="shared" ca="1" si="90"/>
        <v>0</v>
      </c>
      <c r="O490" s="5">
        <f t="shared" ca="1" si="91"/>
        <v>0</v>
      </c>
      <c r="P490" s="446" t="e">
        <f t="shared" si="86"/>
        <v>#VALUE!</v>
      </c>
      <c r="Q490" s="446" t="e">
        <f>IF(OR($B490="",MIN(Q$38,$D$19)&lt;MAX($P$34*($B490+IF($R$17="Distrato",$I$38-1,0)),IF(AND($L$37=0,$P$34=0),"",$L$37-1),IF($R$17="Distrato",$E490,0))),0,YEARFRAC(MAX($P$34*($B490+IF($R$17="Distrato",$I$38-1,0)),IF(AND($L$37=0,$P$34=0),"",$L$37-1),IF($R$17="Distrato",$E490,0)),MIN(Q$38,$D$19),$P$20))-SUM($P490:P490)</f>
        <v>#VALUE!</v>
      </c>
      <c r="R490" s="446" t="e">
        <f>IF(OR($B490="",MIN(R$38,$D$19)&lt;MAX($P$34*($B490+IF($R$17="Distrato",$I$38-1,0)),IF(AND($L$37=0,$P$34=0),"",$L$37-1),IF($R$17="Distrato",$E490,0))),0,YEARFRAC(MAX($P$34*($B490+IF($R$17="Distrato",$I$38-1,0)),IF(AND($L$37=0,$P$34=0),"",$L$37-1),IF($R$17="Distrato",$E490,0)),MIN(R$38,$D$19),$P$20))-SUM($P490:Q490)</f>
        <v>#VALUE!</v>
      </c>
      <c r="S490" s="446" t="e">
        <f>IF(OR($B490="",MIN(S$38,$D$19)&lt;MAX($P$34*($B490+IF($R$17="Distrato",$I$38-1,0)),IF(AND($L$37=0,$P$34=0),"",$L$37-1),IF($R$17="Distrato",$E490,0))),0,YEARFRAC(MAX($P$34*($B490+IF($R$17="Distrato",$I$38-1,0)),IF(AND($L$37=0,$P$34=0),"",$L$37-1),IF($R$17="Distrato",$E490,0)),MIN(S$38,$D$19),$P$20))-SUM($P490:R490)</f>
        <v>#VALUE!</v>
      </c>
      <c r="T490" s="446" t="e">
        <f>IF(OR($B490="",MIN(T$38,$D$19)&lt;MAX($P$34*($B490+IF($R$17="Distrato",$I$38-1,0)),IF(AND($L$37=0,$P$34=0),"",$L$37-1),IF($R$17="Distrato",$E490,0))),0,YEARFRAC(MAX($P$34*($B490+IF($R$17="Distrato",$I$38-1,0)),IF(AND($L$37=0,$P$34=0),"",$L$37-1),IF($R$17="Distrato",$E490,0)),MIN(T$38,$D$19),$P$20))-SUM($P490:S490)</f>
        <v>#VALUE!</v>
      </c>
      <c r="U490" s="446" t="e">
        <f>IF(OR($B490="",MIN(U$38,$D$19)&lt;MAX($P$34*($B490+IF($R$17="Distrato",$I$38-1,0)),IF(AND($L$37=0,$P$34=0),"",$L$37-1),IF($R$17="Distrato",$E490,0))),0,YEARFRAC(MAX($P$34*($B490+IF($R$17="Distrato",$I$38-1,0)),IF(AND($L$37=0,$P$34=0),"",$L$37-1),IF($R$17="Distrato",$E490,0)),MIN(U$38,$D$19),$P$20))-SUM($P490:T490)</f>
        <v>#VALUE!</v>
      </c>
      <c r="V490" s="446" t="e">
        <f>IF(OR($B490="",MIN(V$38,$D$19)&lt;MAX($P$34*($B490+IF($R$17="Distrato",$I$38-1,0)),IF(AND($L$37=0,$P$34=0),"",$L$37-1),IF($R$17="Distrato",$E490,0))),0,YEARFRAC(MAX($P$34*($B490+IF($R$17="Distrato",$I$38-1,0)),IF(AND($L$37=0,$P$34=0),"",$L$37-1),IF($R$17="Distrato",$E490,0)),MIN(V$38,$D$19),$P$20))-SUM($P490:U490)</f>
        <v>#VALUE!</v>
      </c>
      <c r="W490" s="446" t="e">
        <f>IF(OR($B490="",MIN(W$38,$D$19)&lt;MAX($P$34*($B490+IF($R$17="Distrato",$I$38-1,0)),IF(AND($L$37=0,$P$34=0),"",$L$37-1),IF($R$17="Distrato",$E490,0))),0,YEARFRAC(MAX($P$34*($B490+IF($R$17="Distrato",$I$38-1,0)),IF(AND($L$37=0,$P$34=0),"",$L$37-1),IF($R$17="Distrato",$E490,0)),MIN(W$38,$D$19),$P$20))-SUM($P490:V490)</f>
        <v>#VALUE!</v>
      </c>
      <c r="X490" s="446" t="e">
        <f>IF(OR($B490="",MIN(X$38,$D$19)&lt;MAX($P$34*($B490+IF($R$17="Distrato",$I$38-1,0)),IF(AND($L$37=0,$P$34=0),"",$L$37-1),IF($R$17="Distrato",$E490,0))),0,YEARFRAC(MAX($P$34*($B490+IF($R$17="Distrato",$I$38-1,0)),IF(AND($L$37=0,$P$34=0),"",$L$37-1),IF($R$17="Distrato",$E490,0)),MIN(X$38,$D$19),$P$20))-SUM($P490:W490)</f>
        <v>#VALUE!</v>
      </c>
      <c r="Y490" s="446" t="e">
        <f>IF(OR($B490="",MIN(Y$38,$D$19)&lt;MAX($P$34*($B490+IF($R$17="Distrato",$I$38-1,0)),IF(AND($L$37=0,$P$34=0),"",$L$37-1),IF($R$17="Distrato",$E490,0))),0,YEARFRAC(MAX($P$34*($B490+IF($R$17="Distrato",$I$38-1,0)),IF(AND($L$37=0,$P$34=0),"",$L$37-1),IF($R$17="Distrato",$E490,0)),MIN(Y$38,$D$19),$P$20))-SUM($P490:X490)</f>
        <v>#VALUE!</v>
      </c>
      <c r="Z490" s="446" t="e">
        <f>IF(OR($B490="",MIN(Z$38,$D$19)&lt;MAX($P$34*($B490+IF($R$17="Distrato",$I$38-1,0)),IF(AND($L$37=0,$P$34=0),"",$L$37-1),IF($R$17="Distrato",$E490,0))),0,YEARFRAC(MAX($P$34*($B490+IF($R$17="Distrato",$I$38-1,0)),IF(AND($L$37=0,$P$34=0),"",$L$37-1),IF($R$17="Distrato",$E490,0)),MIN(Z$38,$D$19),$P$20))-SUM($P490:Y490)</f>
        <v>#VALUE!</v>
      </c>
      <c r="AA490" s="446" t="e">
        <f>IF(OR($B490="",MIN(AA$38,$D$19)&lt;MAX($P$34*($B490+IF($R$17="Distrato",$I$38-1,0)),IF(AND($L$37=0,$P$34=0),"",$L$37-1),IF($R$17="Distrato",$E490,0))),0,YEARFRAC(MAX($P$34*($B490+IF($R$17="Distrato",$I$38-1,0)),IF(AND($L$37=0,$P$34=0),"",$L$37-1),IF($R$17="Distrato",$E490,0)),MIN(AA$38,$D$19),$P$20))-SUM($P490:Z490)</f>
        <v>#VALUE!</v>
      </c>
      <c r="AB490" s="446" t="e">
        <f>IF(OR($B490="",MIN(AB$38,$D$19)&lt;MAX($P$34*($B490+IF($R$17="Distrato",$I$38-1,0)),IF(AND($L$37=0,$P$34=0),"",$L$37-1),IF($R$17="Distrato",$E490,0))),0,YEARFRAC(MAX($P$34*($B490+IF($R$17="Distrato",$I$38-1,0)),IF(AND($L$37=0,$P$34=0),"",$L$37-1),IF($R$17="Distrato",$E490,0)),MIN(AB$38,$D$19),$P$20))-SUM($P490:AA490)</f>
        <v>#VALUE!</v>
      </c>
      <c r="AC490" s="446" t="e">
        <f>IF(OR($B490="",MIN(AC$38,$D$19)&lt;MAX($P$34*($B490+IF($R$17="Distrato",$I$38-1,0)),IF(AND($L$37=0,$P$34=0),"",$L$37-1),IF($R$17="Distrato",$E490,0))),0,YEARFRAC(MAX($P$34*($B490+IF($R$17="Distrato",$I$38-1,0)),IF(AND($L$37=0,$P$34=0),"",$L$37-1),IF($R$17="Distrato",$E490,0)),MIN(AC$38,$D$19),$P$20))-SUM($P490:AB490)</f>
        <v>#VALUE!</v>
      </c>
      <c r="AD490" s="446" t="e">
        <f>IF(OR($B490="",MIN(AD$38,$D$19)&lt;MAX($P$34*($B490+IF($R$17="Distrato",$I$38-1,0)),IF(AND($L$37=0,$P$34=0),"",$L$37-1),IF($R$17="Distrato",$E490,0))),0,YEARFRAC(MAX($P$34*($B490+IF($R$17="Distrato",$I$38-1,0)),IF(AND($L$37=0,$P$34=0),"",$L$37-1),IF($R$17="Distrato",$E490,0)),MIN(AD$38,$D$19),$P$20))-SUM($P490:AC490)</f>
        <v>#VALUE!</v>
      </c>
      <c r="AE490" s="446" t="e">
        <f>IF(OR($B490="",MIN(AE$38,$D$19)&lt;MAX($P$34*($B490+IF($R$17="Distrato",$I$38-1,0)),IF(AND($L$37=0,$P$34=0),"",$L$37-1),IF($R$17="Distrato",$E490,0))),0,YEARFRAC(MAX($P$34*($B490+IF($R$17="Distrato",$I$38-1,0)),IF(AND($L$37=0,$P$34=0),"",$L$37-1),IF($R$17="Distrato",$E490,0)),MIN(AE$38,$D$19),$P$20))-SUM($P490:AD490)</f>
        <v>#VALUE!</v>
      </c>
      <c r="AF490" s="446" t="e">
        <f>IF(OR($B490="",MIN(AF$38,$D$19)&lt;MAX($P$34*($B490+IF($R$17="Distrato",$I$38-1,0)),IF(AND($L$37=0,$P$34=0),"",$L$37-1),IF($R$17="Distrato",$E490,0))),0,YEARFRAC(MAX($P$34*($B490+IF($R$17="Distrato",$I$38-1,0)),IF(AND($L$37=0,$P$34=0),"",$L$37-1),IF($R$17="Distrato",$E490,0)),MIN(AF$38,$D$19),$P$20))-SUM($P490:AE490)</f>
        <v>#VALUE!</v>
      </c>
      <c r="AG490" s="446" t="e">
        <f>IF(OR($B490="",MIN(AG$38,$D$19)&lt;MAX($P$34*($B490+IF($R$17="Distrato",$I$38-1,0)),IF(AND($L$37=0,$P$34=0),"",$L$37-1),IF($R$17="Distrato",$E490,0))),0,YEARFRAC(MAX($P$34*($B490+IF($R$17="Distrato",$I$38-1,0)),IF(AND($L$37=0,$P$34=0),"",$L$37-1),IF($R$17="Distrato",$E490,0)),MIN(AG$38,$D$19),$P$20))-SUM($P490:AF490)</f>
        <v>#VALUE!</v>
      </c>
      <c r="AH490" s="446" t="e">
        <f>IF(OR($B490="",MIN(AH$38,$D$19)&lt;MAX($P$34*($B490+IF($R$17="Distrato",$I$38-1,0)),IF(AND($L$37=0,$P$34=0),"",$L$37-1),IF($R$17="Distrato",$E490,0))),0,YEARFRAC(MAX($P$34*($B490+IF($R$17="Distrato",$I$38-1,0)),IF(AND($L$37=0,$P$34=0),"",$L$37-1),IF($R$17="Distrato",$E490,0)),MIN(AH$38,$D$19),$P$20))-SUM($P490:AG490)</f>
        <v>#VALUE!</v>
      </c>
      <c r="AI490" s="446" t="e">
        <f>IF(OR($B490="",MIN(AI$38,$D$19)&lt;MAX($P$34*($B490+IF($R$17="Distrato",$I$38-1,0)),IF(AND($L$37=0,$P$34=0),"",$L$37-1),IF($R$17="Distrato",$E490,0))),0,YEARFRAC(MAX($P$34*($B490+IF($R$17="Distrato",$I$38-1,0)),IF(AND($L$37=0,$P$34=0),"",$L$37-1),IF($R$17="Distrato",$E490,0)),MIN(AI$38,$D$19),$P$20))-SUM($P490:AH490)</f>
        <v>#VALUE!</v>
      </c>
      <c r="AJ490" s="446" t="e">
        <f>IF(OR($B490="",MIN(AJ$38,$D$19)&lt;MAX($P$34*($B490+IF($R$17="Distrato",$I$38-1,0)),IF(AND($L$37=0,$P$34=0),"",$L$37-1),IF($R$17="Distrato",$E490,0))),0,YEARFRAC(MAX($P$34*($B490+IF($R$17="Distrato",$I$38-1,0)),IF(AND($L$37=0,$P$34=0),"",$L$37-1),IF($R$17="Distrato",$E490,0)),MIN(AJ$38,$D$19),$P$20))-SUM($P490:AI490)</f>
        <v>#VALUE!</v>
      </c>
      <c r="AK490" s="446" t="e">
        <f>IF(OR($B490="",MIN(AK$38,$D$19)&lt;MAX($P$34*($B490+IF($R$17="Distrato",$I$38-1,0)),IF(AND($L$37=0,$P$34=0),"",$L$37-1),IF($R$17="Distrato",$E490,0))),0,YEARFRAC(MAX($P$34*($B490+IF($R$17="Distrato",$I$38-1,0)),IF(AND($L$37=0,$P$34=0),"",$L$37-1),IF($R$17="Distrato",$E490,0)),MIN(AK$38,$D$19),$P$20))-SUM($P490:AJ490)</f>
        <v>#VALUE!</v>
      </c>
      <c r="AL490" s="446" t="e">
        <f>IF(OR($B490="",MIN(AL$38,$D$19)&lt;MAX($P$34*($B490+IF($R$17="Distrato",$I$38-1,0)),IF(AND($L$37=0,$P$34=0),"",$L$37-1),IF($R$17="Distrato",$E490,0))),0,YEARFRAC(MAX($P$34*($B490+IF($R$17="Distrato",$I$38-1,0)),IF(AND($L$37=0,$P$34=0),"",$L$37-1),IF($R$17="Distrato",$E490,0)),MIN(AL$38,$D$19),$P$20))-SUM($P490:AK490)</f>
        <v>#VALUE!</v>
      </c>
      <c r="AM490" s="446" t="e">
        <f>IF(OR($B490="",MIN(AM$38,$D$19)&lt;MAX($P$34*($B490+IF($R$17="Distrato",$I$38-1,0)),IF(AND($L$37=0,$P$34=0),"",$L$37-1),IF($R$17="Distrato",$E490,0))),0,YEARFRAC(MAX($P$34*($B490+IF($R$17="Distrato",$I$38-1,0)),IF(AND($L$37=0,$P$34=0),"",$L$37-1),IF($R$17="Distrato",$E490,0)),MIN(AM$38,$D$19),$P$20))-SUM($P490:AL490)</f>
        <v>#VALUE!</v>
      </c>
      <c r="AN490" s="446" t="e">
        <f>IF(OR($B490="",MIN(AN$38,$D$19)&lt;MAX($P$34*($B490+IF($R$17="Distrato",$I$38-1,0)),IF(AND($L$37=0,$P$34=0),"",$L$37-1),IF($R$17="Distrato",$E490,0))),0,YEARFRAC(MAX($P$34*($B490+IF($R$17="Distrato",$I$38-1,0)),IF(AND($L$37=0,$P$34=0),"",$L$37-1),IF($R$17="Distrato",$E490,0)),MIN(AN$38,$D$19),$P$20))-SUM($P490:AM490)</f>
        <v>#VALUE!</v>
      </c>
      <c r="AO490" s="446" t="e">
        <f>IF(OR($B490="",MIN(AO$38,$D$19)&lt;MAX($P$34*($B490+IF($R$17="Distrato",$I$38-1,0)),IF(AND($L$37=0,$P$34=0),"",$L$37-1),IF($R$17="Distrato",$E490,0))),0,YEARFRAC(MAX($P$34*($B490+IF($R$17="Distrato",$I$38-1,0)),IF(AND($L$37=0,$P$34=0),"",$L$37-1),IF($R$17="Distrato",$E490,0)),MIN(AO$38,$D$19),$P$20))-SUM($P490:AN490)</f>
        <v>#VALUE!</v>
      </c>
      <c r="AP490" s="446" t="e">
        <f>IF(OR($B490="",MIN(AP$38,$D$19)&lt;MAX($P$34*($B490+IF($R$17="Distrato",$I$38-1,0)),IF(AND($L$37=0,$P$34=0),"",$L$37-1),IF($R$17="Distrato",$E490,0))),0,YEARFRAC(MAX($P$34*($B490+IF($R$17="Distrato",$I$38-1,0)),IF(AND($L$37=0,$P$34=0),"",$L$37-1),IF($R$17="Distrato",$E490,0)),MIN(AP$38,$D$19),$P$20))-SUM($P490:AO490)</f>
        <v>#VALUE!</v>
      </c>
      <c r="AQ490" s="446" t="e">
        <f>IF(OR($B490="",MIN(AQ$38,$D$19)&lt;MAX($P$34*($B490+IF($R$17="Distrato",$I$38-1,0)),IF(AND($L$37=0,$P$34=0),"",$L$37-1),IF($R$17="Distrato",$E490,0))),0,YEARFRAC(MAX($P$34*($B490+IF($R$17="Distrato",$I$38-1,0)),IF(AND($L$37=0,$P$34=0),"",$L$37-1),IF($R$17="Distrato",$E490,0)),MIN(AQ$38,$D$19),$P$20))-SUM($P490:AP490)</f>
        <v>#VALUE!</v>
      </c>
      <c r="AR490" s="446" t="e">
        <f>IF(OR($B490="",MIN(AR$38,$D$19)&lt;MAX($P$34*($B490+IF($R$17="Distrato",$I$38-1,0)),IF(AND($L$37=0,$P$34=0),"",$L$37-1),IF($R$17="Distrato",$E490,0))),0,YEARFRAC(MAX($P$34*($B490+IF($R$17="Distrato",$I$38-1,0)),IF(AND($L$37=0,$P$34=0),"",$L$37-1),IF($R$17="Distrato",$E490,0)),MIN(AR$38,$D$19),$P$20))-SUM($P490:AQ490)</f>
        <v>#VALUE!</v>
      </c>
      <c r="AS490" s="446" t="e">
        <f>IF(OR($B490="",MIN(AS$38,$D$19)&lt;MAX($P$34*($B490+IF($R$17="Distrato",$I$38-1,0)),IF(AND($L$37=0,$P$34=0),"",$L$37-1),IF($R$17="Distrato",$E490,0))),0,YEARFRAC(MAX($P$34*($B490+IF($R$17="Distrato",$I$38-1,0)),IF(AND($L$37=0,$P$34=0),"",$L$37-1),IF($R$17="Distrato",$E490,0)),MIN(AS$38,$D$19),$P$20))-SUM($P490:AR490)</f>
        <v>#VALUE!</v>
      </c>
      <c r="AT490" s="446" t="e">
        <f>IF(OR($B490="",MIN(AT$38,$D$19)&lt;MAX($P$34*($B490+IF($R$17="Distrato",$I$38-1,0)),IF(AND($L$37=0,$P$34=0),"",$L$37-1),IF($R$17="Distrato",$E490,0))),0,YEARFRAC(MAX($P$34*($B490+IF($R$17="Distrato",$I$38-1,0)),IF(AND($L$37=0,$P$34=0),"",$L$37-1),IF($R$17="Distrato",$E490,0)),MIN(AT$38,$D$19),$P$20))-SUM($P490:AS490)</f>
        <v>#VALUE!</v>
      </c>
      <c r="AU490" s="446" t="e">
        <f>IF(OR($B490="",MIN(AU$38,$D$19)&lt;MAX($P$34*($B490+IF($R$17="Distrato",$I$38-1,0)),IF(AND($L$37=0,$P$34=0),"",$L$37-1),IF($R$17="Distrato",$E490,0))),0,YEARFRAC(MAX($P$34*($B490+IF($R$17="Distrato",$I$38-1,0)),IF(AND($L$37=0,$P$34=0),"",$L$37-1),IF($R$17="Distrato",$E490,0)),MIN(AU$38,$D$19),$P$20))-SUM($P490:AT490)</f>
        <v>#VALUE!</v>
      </c>
      <c r="AV490" s="446" t="e">
        <f>IF(OR($B490="",MIN(AV$38,$D$19)&lt;MAX($P$34*($B490+IF($R$17="Distrato",$I$38-1,0)),IF(AND($L$37=0,$P$34=0),"",$L$37-1),IF($R$17="Distrato",$E490,0))),0,YEARFRAC(MAX($P$34*($B490+IF($R$17="Distrato",$I$38-1,0)),IF(AND($L$37=0,$P$34=0),"",$L$37-1),IF($R$17="Distrato",$E490,0)),MIN(AV$38,$D$19),$P$20))-SUM($P490:AU490)</f>
        <v>#VALUE!</v>
      </c>
      <c r="AW490" s="446" t="e">
        <f>IF(OR($B490="",MIN(AW$38,$D$19)&lt;MAX($P$34*($B490+IF($R$17="Distrato",$I$38-1,0)),IF(AND($L$37=0,$P$34=0),"",$L$37-1),IF($R$17="Distrato",$E490,0))),0,YEARFRAC(MAX($P$34*($B490+IF($R$17="Distrato",$I$38-1,0)),IF(AND($L$37=0,$P$34=0),"",$L$37-1),IF($R$17="Distrato",$E490,0)),MIN(AW$38,$D$19),$P$20))-SUM($P490:AV490)</f>
        <v>#VALUE!</v>
      </c>
      <c r="AX490" s="446" t="e">
        <f>IF(OR($B490="",MIN(AX$38,$D$19)&lt;MAX($P$34*($B490+IF($R$17="Distrato",$I$38-1,0)),IF(AND($L$37=0,$P$34=0),"",$L$37-1),IF($R$17="Distrato",$E490,0))),0,YEARFRAC(MAX($P$34*($B490+IF($R$17="Distrato",$I$38-1,0)),IF(AND($L$37=0,$P$34=0),"",$L$37-1),IF($R$17="Distrato",$E490,0)),MIN(AX$38,$D$19),$P$20))-SUM($P490:AW490)</f>
        <v>#VALUE!</v>
      </c>
      <c r="AY490" s="446" t="e">
        <f>IF(OR($B490="",MIN(AY$38,$D$19)&lt;MAX($P$34*($B490+IF($R$17="Distrato",$I$38-1,0)),IF(AND($L$37=0,$P$34=0),"",$L$37-1),IF($R$17="Distrato",$E490,0))),0,YEARFRAC(MAX($P$34*($B490+IF($R$17="Distrato",$I$38-1,0)),IF(AND($L$37=0,$P$34=0),"",$L$37-1),IF($R$17="Distrato",$E490,0)),MIN(AY$38,$D$19),$P$20))-SUM($P490:AX490)</f>
        <v>#VALUE!</v>
      </c>
      <c r="AZ490" s="446" t="e">
        <f>IF(OR($B490="",MIN(AZ$38,$D$19)&lt;MAX($P$34*($B490+IF($R$17="Distrato",$I$38-1,0)),IF(AND($L$37=0,$P$34=0),"",$L$37-1),IF($R$17="Distrato",$E490,0))),0,YEARFRAC(MAX($P$34*($B490+IF($R$17="Distrato",$I$38-1,0)),IF(AND($L$37=0,$P$34=0),"",$L$37-1),IF($R$17="Distrato",$E490,0)),MIN(AZ$38,$D$19),$P$20))-SUM($P490:AY490)</f>
        <v>#VALUE!</v>
      </c>
      <c r="BA490" s="446" t="e">
        <f>IF(OR($B490="",MIN(BA$38,$D$19)&lt;MAX($P$34*($B490+IF($R$17="Distrato",$I$38-1,0)),IF(AND($L$37=0,$P$34=0),"",$L$37-1),IF($R$17="Distrato",$E490,0))),0,YEARFRAC(MAX($P$34*($B490+IF($R$17="Distrato",$I$38-1,0)),IF(AND($L$37=0,$P$34=0),"",$L$37-1),IF($R$17="Distrato",$E490,0)),MIN(BA$38,$D$19),$P$20))-SUM($P490:AZ490)</f>
        <v>#VALUE!</v>
      </c>
      <c r="BB490" s="447"/>
      <c r="BF490" s="446">
        <f t="shared" si="87"/>
        <v>0</v>
      </c>
      <c r="BG490" s="446">
        <f>IF($E490=0,0,IF(MIN(BG$38,$E490)&lt;MAX($P$34*($B490+$I$38-1),IF(AND($L$37=0,$P$34=0),"",$L$37-1)),0,YEARFRAC(MAX($P$34*($B490+$I$38-1),IF(AND($L$37=0,$P$34=0),"",$L$37-1)),MIN(BG$38,$E490),$P$20))-SUM($BF490:BF490))</f>
        <v>0</v>
      </c>
      <c r="BH490" s="446">
        <f>IF($E490=0,0,IF(MIN(BH$38,$E490)&lt;MAX($P$34*($B490+$I$38-1),IF(AND($L$37=0,$P$34=0),"",$L$37-1)),0,YEARFRAC(MAX($P$34*($B490+$I$38-1),IF(AND($L$37=0,$P$34=0),"",$L$37-1)),MIN(BH$38,$E490),$P$20))-SUM($BF490:BG490))</f>
        <v>0</v>
      </c>
      <c r="BI490" s="446">
        <f>IF($E490=0,0,IF(MIN(BI$38,$E490)&lt;MAX($P$34*($B490+$I$38-1),IF(AND($L$37=0,$P$34=0),"",$L$37-1)),0,YEARFRAC(MAX($P$34*($B490+$I$38-1),IF(AND($L$37=0,$P$34=0),"",$L$37-1)),MIN(BI$38,$E490),$P$20))-SUM($BF490:BH490))</f>
        <v>0</v>
      </c>
      <c r="BJ490" s="446">
        <f>IF($E490=0,0,IF(MIN(BJ$38,$E490)&lt;MAX($P$34*($B490+$I$38-1),IF(AND($L$37=0,$P$34=0),"",$L$37-1)),0,YEARFRAC(MAX($P$34*($B490+$I$38-1),IF(AND($L$37=0,$P$34=0),"",$L$37-1)),MIN(BJ$38,$E490),$P$20))-SUM($BF490:BI490))</f>
        <v>0</v>
      </c>
      <c r="BK490" s="446">
        <f>IF($E490=0,0,IF(MIN(BK$38,$E490)&lt;MAX($P$34*($B490+$I$38-1),IF(AND($L$37=0,$P$34=0),"",$L$37-1)),0,YEARFRAC(MAX($P$34*($B490+$I$38-1),IF(AND($L$37=0,$P$34=0),"",$L$37-1)),MIN(BK$38,$E490),$P$20))-SUM($BF490:BJ490))</f>
        <v>0</v>
      </c>
      <c r="BL490" s="446">
        <f>IF($E490=0,0,IF(MIN(BL$38,$E490)&lt;MAX($P$34*($B490+$I$38-1),IF(AND($L$37=0,$P$34=0),"",$L$37-1)),0,YEARFRAC(MAX($P$34*($B490+$I$38-1),IF(AND($L$37=0,$P$34=0),"",$L$37-1)),MIN(BL$38,$E490),$P$20))-SUM($BF490:BK490))</f>
        <v>0</v>
      </c>
      <c r="BM490" s="446">
        <f>IF($E490=0,0,IF(MIN(BM$38,$E490)&lt;MAX($P$34*($B490+$I$38-1),IF(AND($L$37=0,$P$34=0),"",$L$37-1)),0,YEARFRAC(MAX($P$34*($B490+$I$38-1),IF(AND($L$37=0,$P$34=0),"",$L$37-1)),MIN(BM$38,$E490),$P$20))-SUM($BF490:BL490))</f>
        <v>0</v>
      </c>
      <c r="BN490" s="446">
        <f>IF($E490=0,0,IF(MIN(BN$38,$E490)&lt;MAX($P$34*($B490+$I$38-1),IF(AND($L$37=0,$P$34=0),"",$L$37-1)),0,YEARFRAC(MAX($P$34*($B490+$I$38-1),IF(AND($L$37=0,$P$34=0),"",$L$37-1)),MIN(BN$38,$E490),$P$20))-SUM($BF490:BM490))</f>
        <v>0</v>
      </c>
      <c r="BO490" s="446">
        <f>IF($E490=0,0,IF(MIN(BO$38,$E490)&lt;MAX($P$34*($B490+$I$38-1),IF(AND($L$37=0,$P$34=0),"",$L$37-1)),0,YEARFRAC(MAX($P$34*($B490+$I$38-1),IF(AND($L$37=0,$P$34=0),"",$L$37-1)),MIN(BO$38,$E490),$P$20))-SUM($BF490:BN490))</f>
        <v>0</v>
      </c>
      <c r="BP490" s="446">
        <f>IF($E490=0,0,IF(MIN(BP$38,$E490)&lt;MAX($P$34*($B490+$I$38-1),IF(AND($L$37=0,$P$34=0),"",$L$37-1)),0,YEARFRAC(MAX($P$34*($B490+$I$38-1),IF(AND($L$37=0,$P$34=0),"",$L$37-1)),MIN(BP$38,$E490),$P$20))-SUM($BF490:BO490))</f>
        <v>0</v>
      </c>
      <c r="BQ490" s="446">
        <f>IF($E490=0,0,IF(MIN(BQ$38,$E490)&lt;MAX($P$34*($B490+$I$38-1),IF(AND($L$37=0,$P$34=0),"",$L$37-1)),0,YEARFRAC(MAX($P$34*($B490+$I$38-1),IF(AND($L$37=0,$P$34=0),"",$L$37-1)),MIN(BQ$38,$E490),$P$20))-SUM($BF490:BP490))</f>
        <v>0</v>
      </c>
      <c r="BR490" s="446">
        <f>IF($E490=0,0,IF(MIN(BR$38,$E490)&lt;MAX($P$34*($B490+$I$38-1),IF(AND($L$37=0,$P$34=0),"",$L$37-1)),0,YEARFRAC(MAX($P$34*($B490+$I$38-1),IF(AND($L$37=0,$P$34=0),"",$L$37-1)),MIN(BR$38,$E490),$P$20))-SUM($BF490:BQ490))</f>
        <v>0</v>
      </c>
      <c r="BS490" s="446">
        <f>IF($E490=0,0,IF(MIN(BS$38,$E490)&lt;MAX($P$34*($B490+$I$38-1),IF(AND($L$37=0,$P$34=0),"",$L$37-1)),0,YEARFRAC(MAX($P$34*($B490+$I$38-1),IF(AND($L$37=0,$P$34=0),"",$L$37-1)),MIN(BS$38,$E490),$P$20))-SUM($BF490:BR490))</f>
        <v>0</v>
      </c>
      <c r="BT490" s="446">
        <f>IF($E490=0,0,IF(MIN(BT$38,$E490)&lt;MAX($P$34*($B490+$I$38-1),IF(AND($L$37=0,$P$34=0),"",$L$37-1)),0,YEARFRAC(MAX($P$34*($B490+$I$38-1),IF(AND($L$37=0,$P$34=0),"",$L$37-1)),MIN(BT$38,$E490),$P$20))-SUM($BF490:BS490))</f>
        <v>0</v>
      </c>
      <c r="BU490" s="446">
        <f>IF($E490=0,0,IF(MIN(BU$38,$E490)&lt;MAX($P$34*($B490+$I$38-1),IF(AND($L$37=0,$P$34=0),"",$L$37-1)),0,YEARFRAC(MAX($P$34*($B490+$I$38-1),IF(AND($L$37=0,$P$34=0),"",$L$37-1)),MIN(BU$38,$E490),$P$20))-SUM($BF490:BT490))</f>
        <v>0</v>
      </c>
      <c r="BV490" s="446">
        <f>IF($E490=0,0,IF(MIN(BV$38,$E490)&lt;MAX($P$34*($B490+$I$38-1),IF(AND($L$37=0,$P$34=0),"",$L$37-1)),0,YEARFRAC(MAX($P$34*($B490+$I$38-1),IF(AND($L$37=0,$P$34=0),"",$L$37-1)),MIN(BV$38,$E490),$P$20))-SUM($BF490:BU490))</f>
        <v>0</v>
      </c>
      <c r="BW490" s="446">
        <f>IF($E490=0,0,IF(MIN(BW$38,$E490)&lt;MAX($P$34*($B490+$I$38-1),IF(AND($L$37=0,$P$34=0),"",$L$37-1)),0,YEARFRAC(MAX($P$34*($B490+$I$38-1),IF(AND($L$37=0,$P$34=0),"",$L$37-1)),MIN(BW$38,$E490),$P$20))-SUM($BF490:BV490))</f>
        <v>0</v>
      </c>
      <c r="BX490" s="446">
        <f>IF($E490=0,0,IF(MIN(BX$38,$E490)&lt;MAX($P$34*($B490+$I$38-1),IF(AND($L$37=0,$P$34=0),"",$L$37-1)),0,YEARFRAC(MAX($P$34*($B490+$I$38-1),IF(AND($L$37=0,$P$34=0),"",$L$37-1)),MIN(BX$38,$E490),$P$20))-SUM($BF490:BW490))</f>
        <v>0</v>
      </c>
      <c r="BY490" s="446">
        <f>IF($E490=0,0,IF(MIN(BY$38,$E490)&lt;MAX($P$34*($B490+$I$38-1),IF(AND($L$37=0,$P$34=0),"",$L$37-1)),0,YEARFRAC(MAX($P$34*($B490+$I$38-1),IF(AND($L$37=0,$P$34=0),"",$L$37-1)),MIN(BY$38,$E490),$P$20))-SUM($BF490:BX490))</f>
        <v>0</v>
      </c>
      <c r="BZ490" s="446">
        <f>IF($E490=0,0,IF(MIN(BZ$38,$E490)&lt;MAX($P$34*($B490+$I$38-1),IF(AND($L$37=0,$P$34=0),"",$L$37-1)),0,YEARFRAC(MAX($P$34*($B490+$I$38-1),IF(AND($L$37=0,$P$34=0),"",$L$37-1)),MIN(BZ$38,$E490),$P$20))-SUM($BF490:BY490))</f>
        <v>0</v>
      </c>
      <c r="CA490" s="446">
        <f>IF($E490=0,0,IF(MIN(CA$38,$E490)&lt;MAX($P$34*($B490+$I$38-1),IF(AND($L$37=0,$P$34=0),"",$L$37-1)),0,YEARFRAC(MAX($P$34*($B490+$I$38-1),IF(AND($L$37=0,$P$34=0),"",$L$37-1)),MIN(CA$38,$E490),$P$20))-SUM($BF490:BZ490))</f>
        <v>0</v>
      </c>
      <c r="CB490" s="446">
        <f>IF($E490=0,0,IF(MIN(CB$38,$E490)&lt;MAX($P$34*($B490+$I$38-1),IF(AND($L$37=0,$P$34=0),"",$L$37-1)),0,YEARFRAC(MAX($P$34*($B490+$I$38-1),IF(AND($L$37=0,$P$34=0),"",$L$37-1)),MIN(CB$38,$E490),$P$20))-SUM($BF490:CA490))</f>
        <v>0</v>
      </c>
      <c r="CC490" s="446">
        <f>IF($E490=0,0,IF(MIN(CC$38,$E490)&lt;MAX($P$34*($B490+$I$38-1),IF(AND($L$37=0,$P$34=0),"",$L$37-1)),0,YEARFRAC(MAX($P$34*($B490+$I$38-1),IF(AND($L$37=0,$P$34=0),"",$L$37-1)),MIN(CC$38,$E490),$P$20))-SUM($BF490:CB490))</f>
        <v>0</v>
      </c>
      <c r="CD490" s="446">
        <f>IF($E490=0,0,IF(MIN(CD$38,$E490)&lt;MAX($P$34*($B490+$I$38-1),IF(AND($L$37=0,$P$34=0),"",$L$37-1)),0,YEARFRAC(MAX($P$34*($B490+$I$38-1),IF(AND($L$37=0,$P$34=0),"",$L$37-1)),MIN(CD$38,$E490),$P$20))-SUM($BF490:CC490))</f>
        <v>0</v>
      </c>
      <c r="CE490" s="446">
        <f>IF($E490=0,0,IF(MIN(CE$38,$E490)&lt;MAX($P$34*($B490+$I$38-1),IF(AND($L$37=0,$P$34=0),"",$L$37-1)),0,YEARFRAC(MAX($P$34*($B490+$I$38-1),IF(AND($L$37=0,$P$34=0),"",$L$37-1)),MIN(CE$38,$E490),$P$20))-SUM($BF490:CD490))</f>
        <v>0</v>
      </c>
      <c r="CF490" s="446">
        <f>IF($E490=0,0,IF(MIN(CF$38,$E490)&lt;MAX($P$34*($B490+$I$38-1),IF(AND($L$37=0,$P$34=0),"",$L$37-1)),0,YEARFRAC(MAX($P$34*($B490+$I$38-1),IF(AND($L$37=0,$P$34=0),"",$L$37-1)),MIN(CF$38,$E490),$P$20))-SUM($BF490:CE490))</f>
        <v>0</v>
      </c>
      <c r="CG490" s="446">
        <f>IF($E490=0,0,IF(MIN(CG$38,$E490)&lt;MAX($P$34*($B490+$I$38-1),IF(AND($L$37=0,$P$34=0),"",$L$37-1)),0,YEARFRAC(MAX($P$34*($B490+$I$38-1),IF(AND($L$37=0,$P$34=0),"",$L$37-1)),MIN(CG$38,$E490),$P$20))-SUM($BF490:CF490))</f>
        <v>0</v>
      </c>
      <c r="CH490" s="446">
        <f>IF($E490=0,0,IF(MIN(CH$38,$E490)&lt;MAX($P$34*($B490+$I$38-1),IF(AND($L$37=0,$P$34=0),"",$L$37-1)),0,YEARFRAC(MAX($P$34*($B490+$I$38-1),IF(AND($L$37=0,$P$34=0),"",$L$37-1)),MIN(CH$38,$E490),$P$20))-SUM($BF490:CG490))</f>
        <v>0</v>
      </c>
      <c r="CI490" s="446">
        <f>IF($E490=0,0,IF(MIN(CI$38,$E490)&lt;MAX($P$34*($B490+$I$38-1),IF(AND($L$37=0,$P$34=0),"",$L$37-1)),0,YEARFRAC(MAX($P$34*($B490+$I$38-1),IF(AND($L$37=0,$P$34=0),"",$L$37-1)),MIN(CI$38,$E490),$P$20))-SUM($BF490:CH490))</f>
        <v>0</v>
      </c>
      <c r="CJ490" s="446">
        <f>IF($E490=0,0,IF(MIN(CJ$38,$E490)&lt;MAX($P$34*($B490+$I$38-1),IF(AND($L$37=0,$P$34=0),"",$L$37-1)),0,YEARFRAC(MAX($P$34*($B490+$I$38-1),IF(AND($L$37=0,$P$34=0),"",$L$37-1)),MIN(CJ$38,$E490),$P$20))-SUM($BF490:CI490))</f>
        <v>0</v>
      </c>
      <c r="CK490" s="446">
        <f>IF($E490=0,0,IF(MIN(CK$38,$E490)&lt;MAX($P$34*($B490+$I$38-1),IF(AND($L$37=0,$P$34=0),"",$L$37-1)),0,YEARFRAC(MAX($P$34*($B490+$I$38-1),IF(AND($L$37=0,$P$34=0),"",$L$37-1)),MIN(CK$38,$E490),$P$20))-SUM($BF490:CJ490))</f>
        <v>0</v>
      </c>
      <c r="CL490" s="446">
        <f>IF($E490=0,0,IF(MIN(CL$38,$E490)&lt;MAX($P$34*($B490+$I$38-1),IF(AND($L$37=0,$P$34=0),"",$L$37-1)),0,YEARFRAC(MAX($P$34*($B490+$I$38-1),IF(AND($L$37=0,$P$34=0),"",$L$37-1)),MIN(CL$38,$E490),$P$20))-SUM($BF490:CK490))</f>
        <v>0</v>
      </c>
      <c r="CM490" s="446">
        <f>IF($E490=0,0,IF(MIN(CM$38,$E490)&lt;MAX($P$34*($B490+$I$38-1),IF(AND($L$37=0,$P$34=0),"",$L$37-1)),0,YEARFRAC(MAX($P$34*($B490+$I$38-1),IF(AND($L$37=0,$P$34=0),"",$L$37-1)),MIN(CM$38,$E490),$P$20))-SUM($BF490:CL490))</f>
        <v>0</v>
      </c>
      <c r="CN490" s="446">
        <f>IF($E490=0,0,IF(MIN(CN$38,$E490)&lt;MAX($P$34*($B490+$I$38-1),IF(AND($L$37=0,$P$34=0),"",$L$37-1)),0,YEARFRAC(MAX($P$34*($B490+$I$38-1),IF(AND($L$37=0,$P$34=0),"",$L$37-1)),MIN(CN$38,$E490),$P$20))-SUM($BF490:CM490))</f>
        <v>0</v>
      </c>
      <c r="CO490" s="446">
        <f>IF($E490=0,0,IF(MIN(CO$38,$E490)&lt;MAX($P$34*($B490+$I$38-1),IF(AND($L$37=0,$P$34=0),"",$L$37-1)),0,YEARFRAC(MAX($P$34*($B490+$I$38-1),IF(AND($L$37=0,$P$34=0),"",$L$37-1)),MIN(CO$38,$E490),$P$20))-SUM($BF490:CN490))</f>
        <v>0</v>
      </c>
      <c r="CP490" s="446">
        <f>IF($E490=0,0,IF(MIN(CP$38,$E490)&lt;MAX($P$34*($B490+$I$38-1),IF(AND($L$37=0,$P$34=0),"",$L$37-1)),0,YEARFRAC(MAX($P$34*($B490+$I$38-1),IF(AND($L$37=0,$P$34=0),"",$L$37-1)),MIN(CP$38,$E490),$P$20))-SUM($BF490:CO490))</f>
        <v>0</v>
      </c>
      <c r="CQ490" s="446">
        <f>IF($E490=0,0,IF(MIN(CQ$38,$E490)&lt;MAX($P$34*($B490+$I$38-1),IF(AND($L$37=0,$P$34=0),"",$L$37-1)),0,YEARFRAC(MAX($P$34*($B490+$I$38-1),IF(AND($L$37=0,$P$34=0),"",$L$37-1)),MIN(CQ$38,$E490),$P$20))-SUM($BF490:CP490))</f>
        <v>0</v>
      </c>
    </row>
    <row r="491" spans="1:95" s="446" customFormat="1" ht="11.25" hidden="1" customHeight="1" x14ac:dyDescent="0.2">
      <c r="A491" s="152"/>
      <c r="B491" s="153" t="str">
        <f t="shared" si="92"/>
        <v/>
      </c>
      <c r="C491" s="29" t="str">
        <f>IF(B491="","",IF($L$35="SELIC - TRIBUTOS",VLOOKUP(DATE(YEAR($D$19),MONTH($D$19)-1,1),ÍNDICES!$A:$DE,HLOOKUP($BL$25,ÍNDICES!$B$3:$T$4,2)+11)-VLOOKUP(B491,ÍNDICES!$A:$DE,HLOOKUP($BL$25,ÍNDICES!$B$3:$T$4,2)+11)+1%,IF(C$38=$W$26,$J$35,IF(ISERROR(IF(B491&gt;$D$19,1,VLOOKUP(DATE(YEAR(B491),MONTH(B491)+IF($C$35=$S$23,1,0),1),ÍNDICES!$A:$DE,$Z$35+1))),"",IF(B491&gt;$D$19,1,VLOOKUP(DATE(YEAR(B491),MONTH(B491)+IF($C$35=$S$23,1,0),1),ÍNDICES!$A:$DE,$Z$35+1))))))</f>
        <v/>
      </c>
      <c r="D491" s="154" t="str">
        <f>IF(ISERROR(IF(OR($D$38=$Y$27,$B491=""),"",VLOOKUP(B491,ÍNDICES!A:DE,AF$35+1))),"",IF(OR($D$38=$Y$27,$B491=""),"",VLOOKUP(B491,ÍNDICES!A:DE,AF$35+1)))</f>
        <v/>
      </c>
      <c r="E491" s="153"/>
      <c r="F491" s="29" t="str">
        <f>IF(E491="","",IF($L$35="SELIC - TRIBUTOS",VLOOKUP(DATE(YEAR($D$19),MONTH($D$19)-1,1),ÍNDICES!$A:$DE,HLOOKUP($BL$25,ÍNDICES!$B$3:$T$4,2)+11)-VLOOKUP(E491,ÍNDICES!$A:$DE,HLOOKUP($BL$25,ÍNDICES!$B$3:$T$4,2)+11)+1%,IF(F$38=$W$26,$J$35,IF(ISERROR(IF(E491&gt;$D$19,1,VLOOKUP(DATE(YEAR(E491),MONTH(E491)+IF($C$35=$S$23,1,0),1),ÍNDICES!$A:$DE,$Z$35+1))),"",IF(E491&gt;$D$19,1,VLOOKUP(DATE(YEAR(E491),MONTH(E491)+IF($C$35=$S$23,1,0),1),ÍNDICES!$A:$DE,$Z$35+1))))))</f>
        <v/>
      </c>
      <c r="G491" s="155"/>
      <c r="H491" s="156" t="str">
        <f t="shared" si="88"/>
        <v/>
      </c>
      <c r="I491" s="29" t="str">
        <f t="shared" si="82"/>
        <v/>
      </c>
      <c r="J491" s="5">
        <f t="shared" si="83"/>
        <v>0</v>
      </c>
      <c r="K491" s="20">
        <f t="shared" ca="1" si="84"/>
        <v>0</v>
      </c>
      <c r="L491" s="5">
        <f t="shared" ca="1" si="85"/>
        <v>0</v>
      </c>
      <c r="M491" s="64">
        <f t="shared" si="89"/>
        <v>0</v>
      </c>
      <c r="N491" s="61">
        <f t="shared" ca="1" si="90"/>
        <v>0</v>
      </c>
      <c r="O491" s="5">
        <f t="shared" ca="1" si="91"/>
        <v>0</v>
      </c>
      <c r="P491" s="446" t="e">
        <f t="shared" si="86"/>
        <v>#VALUE!</v>
      </c>
      <c r="Q491" s="446" t="e">
        <f>IF(OR($B491="",MIN(Q$38,$D$19)&lt;MAX($P$34*($B491+IF($R$17="Distrato",$I$38-1,0)),IF(AND($L$37=0,$P$34=0),"",$L$37-1),IF($R$17="Distrato",$E491,0))),0,YEARFRAC(MAX($P$34*($B491+IF($R$17="Distrato",$I$38-1,0)),IF(AND($L$37=0,$P$34=0),"",$L$37-1),IF($R$17="Distrato",$E491,0)),MIN(Q$38,$D$19),$P$20))-SUM($P491:P491)</f>
        <v>#VALUE!</v>
      </c>
      <c r="R491" s="446" t="e">
        <f>IF(OR($B491="",MIN(R$38,$D$19)&lt;MAX($P$34*($B491+IF($R$17="Distrato",$I$38-1,0)),IF(AND($L$37=0,$P$34=0),"",$L$37-1),IF($R$17="Distrato",$E491,0))),0,YEARFRAC(MAX($P$34*($B491+IF($R$17="Distrato",$I$38-1,0)),IF(AND($L$37=0,$P$34=0),"",$L$37-1),IF($R$17="Distrato",$E491,0)),MIN(R$38,$D$19),$P$20))-SUM($P491:Q491)</f>
        <v>#VALUE!</v>
      </c>
      <c r="S491" s="446" t="e">
        <f>IF(OR($B491="",MIN(S$38,$D$19)&lt;MAX($P$34*($B491+IF($R$17="Distrato",$I$38-1,0)),IF(AND($L$37=0,$P$34=0),"",$L$37-1),IF($R$17="Distrato",$E491,0))),0,YEARFRAC(MAX($P$34*($B491+IF($R$17="Distrato",$I$38-1,0)),IF(AND($L$37=0,$P$34=0),"",$L$37-1),IF($R$17="Distrato",$E491,0)),MIN(S$38,$D$19),$P$20))-SUM($P491:R491)</f>
        <v>#VALUE!</v>
      </c>
      <c r="T491" s="446" t="e">
        <f>IF(OR($B491="",MIN(T$38,$D$19)&lt;MAX($P$34*($B491+IF($R$17="Distrato",$I$38-1,0)),IF(AND($L$37=0,$P$34=0),"",$L$37-1),IF($R$17="Distrato",$E491,0))),0,YEARFRAC(MAX($P$34*($B491+IF($R$17="Distrato",$I$38-1,0)),IF(AND($L$37=0,$P$34=0),"",$L$37-1),IF($R$17="Distrato",$E491,0)),MIN(T$38,$D$19),$P$20))-SUM($P491:S491)</f>
        <v>#VALUE!</v>
      </c>
      <c r="U491" s="446" t="e">
        <f>IF(OR($B491="",MIN(U$38,$D$19)&lt;MAX($P$34*($B491+IF($R$17="Distrato",$I$38-1,0)),IF(AND($L$37=0,$P$34=0),"",$L$37-1),IF($R$17="Distrato",$E491,0))),0,YEARFRAC(MAX($P$34*($B491+IF($R$17="Distrato",$I$38-1,0)),IF(AND($L$37=0,$P$34=0),"",$L$37-1),IF($R$17="Distrato",$E491,0)),MIN(U$38,$D$19),$P$20))-SUM($P491:T491)</f>
        <v>#VALUE!</v>
      </c>
      <c r="V491" s="446" t="e">
        <f>IF(OR($B491="",MIN(V$38,$D$19)&lt;MAX($P$34*($B491+IF($R$17="Distrato",$I$38-1,0)),IF(AND($L$37=0,$P$34=0),"",$L$37-1),IF($R$17="Distrato",$E491,0))),0,YEARFRAC(MAX($P$34*($B491+IF($R$17="Distrato",$I$38-1,0)),IF(AND($L$37=0,$P$34=0),"",$L$37-1),IF($R$17="Distrato",$E491,0)),MIN(V$38,$D$19),$P$20))-SUM($P491:U491)</f>
        <v>#VALUE!</v>
      </c>
      <c r="W491" s="446" t="e">
        <f>IF(OR($B491="",MIN(W$38,$D$19)&lt;MAX($P$34*($B491+IF($R$17="Distrato",$I$38-1,0)),IF(AND($L$37=0,$P$34=0),"",$L$37-1),IF($R$17="Distrato",$E491,0))),0,YEARFRAC(MAX($P$34*($B491+IF($R$17="Distrato",$I$38-1,0)),IF(AND($L$37=0,$P$34=0),"",$L$37-1),IF($R$17="Distrato",$E491,0)),MIN(W$38,$D$19),$P$20))-SUM($P491:V491)</f>
        <v>#VALUE!</v>
      </c>
      <c r="X491" s="446" t="e">
        <f>IF(OR($B491="",MIN(X$38,$D$19)&lt;MAX($P$34*($B491+IF($R$17="Distrato",$I$38-1,0)),IF(AND($L$37=0,$P$34=0),"",$L$37-1),IF($R$17="Distrato",$E491,0))),0,YEARFRAC(MAX($P$34*($B491+IF($R$17="Distrato",$I$38-1,0)),IF(AND($L$37=0,$P$34=0),"",$L$37-1),IF($R$17="Distrato",$E491,0)),MIN(X$38,$D$19),$P$20))-SUM($P491:W491)</f>
        <v>#VALUE!</v>
      </c>
      <c r="Y491" s="446" t="e">
        <f>IF(OR($B491="",MIN(Y$38,$D$19)&lt;MAX($P$34*($B491+IF($R$17="Distrato",$I$38-1,0)),IF(AND($L$37=0,$P$34=0),"",$L$37-1),IF($R$17="Distrato",$E491,0))),0,YEARFRAC(MAX($P$34*($B491+IF($R$17="Distrato",$I$38-1,0)),IF(AND($L$37=0,$P$34=0),"",$L$37-1),IF($R$17="Distrato",$E491,0)),MIN(Y$38,$D$19),$P$20))-SUM($P491:X491)</f>
        <v>#VALUE!</v>
      </c>
      <c r="Z491" s="446" t="e">
        <f>IF(OR($B491="",MIN(Z$38,$D$19)&lt;MAX($P$34*($B491+IF($R$17="Distrato",$I$38-1,0)),IF(AND($L$37=0,$P$34=0),"",$L$37-1),IF($R$17="Distrato",$E491,0))),0,YEARFRAC(MAX($P$34*($B491+IF($R$17="Distrato",$I$38-1,0)),IF(AND($L$37=0,$P$34=0),"",$L$37-1),IF($R$17="Distrato",$E491,0)),MIN(Z$38,$D$19),$P$20))-SUM($P491:Y491)</f>
        <v>#VALUE!</v>
      </c>
      <c r="AA491" s="446" t="e">
        <f>IF(OR($B491="",MIN(AA$38,$D$19)&lt;MAX($P$34*($B491+IF($R$17="Distrato",$I$38-1,0)),IF(AND($L$37=0,$P$34=0),"",$L$37-1),IF($R$17="Distrato",$E491,0))),0,YEARFRAC(MAX($P$34*($B491+IF($R$17="Distrato",$I$38-1,0)),IF(AND($L$37=0,$P$34=0),"",$L$37-1),IF($R$17="Distrato",$E491,0)),MIN(AA$38,$D$19),$P$20))-SUM($P491:Z491)</f>
        <v>#VALUE!</v>
      </c>
      <c r="AB491" s="446" t="e">
        <f>IF(OR($B491="",MIN(AB$38,$D$19)&lt;MAX($P$34*($B491+IF($R$17="Distrato",$I$38-1,0)),IF(AND($L$37=0,$P$34=0),"",$L$37-1),IF($R$17="Distrato",$E491,0))),0,YEARFRAC(MAX($P$34*($B491+IF($R$17="Distrato",$I$38-1,0)),IF(AND($L$37=0,$P$34=0),"",$L$37-1),IF($R$17="Distrato",$E491,0)),MIN(AB$38,$D$19),$P$20))-SUM($P491:AA491)</f>
        <v>#VALUE!</v>
      </c>
      <c r="AC491" s="446" t="e">
        <f>IF(OR($B491="",MIN(AC$38,$D$19)&lt;MAX($P$34*($B491+IF($R$17="Distrato",$I$38-1,0)),IF(AND($L$37=0,$P$34=0),"",$L$37-1),IF($R$17="Distrato",$E491,0))),0,YEARFRAC(MAX($P$34*($B491+IF($R$17="Distrato",$I$38-1,0)),IF(AND($L$37=0,$P$34=0),"",$L$37-1),IF($R$17="Distrato",$E491,0)),MIN(AC$38,$D$19),$P$20))-SUM($P491:AB491)</f>
        <v>#VALUE!</v>
      </c>
      <c r="AD491" s="446" t="e">
        <f>IF(OR($B491="",MIN(AD$38,$D$19)&lt;MAX($P$34*($B491+IF($R$17="Distrato",$I$38-1,0)),IF(AND($L$37=0,$P$34=0),"",$L$37-1),IF($R$17="Distrato",$E491,0))),0,YEARFRAC(MAX($P$34*($B491+IF($R$17="Distrato",$I$38-1,0)),IF(AND($L$37=0,$P$34=0),"",$L$37-1),IF($R$17="Distrato",$E491,0)),MIN(AD$38,$D$19),$P$20))-SUM($P491:AC491)</f>
        <v>#VALUE!</v>
      </c>
      <c r="AE491" s="446" t="e">
        <f>IF(OR($B491="",MIN(AE$38,$D$19)&lt;MAX($P$34*($B491+IF($R$17="Distrato",$I$38-1,0)),IF(AND($L$37=0,$P$34=0),"",$L$37-1),IF($R$17="Distrato",$E491,0))),0,YEARFRAC(MAX($P$34*($B491+IF($R$17="Distrato",$I$38-1,0)),IF(AND($L$37=0,$P$34=0),"",$L$37-1),IF($R$17="Distrato",$E491,0)),MIN(AE$38,$D$19),$P$20))-SUM($P491:AD491)</f>
        <v>#VALUE!</v>
      </c>
      <c r="AF491" s="446" t="e">
        <f>IF(OR($B491="",MIN(AF$38,$D$19)&lt;MAX($P$34*($B491+IF($R$17="Distrato",$I$38-1,0)),IF(AND($L$37=0,$P$34=0),"",$L$37-1),IF($R$17="Distrato",$E491,0))),0,YEARFRAC(MAX($P$34*($B491+IF($R$17="Distrato",$I$38-1,0)),IF(AND($L$37=0,$P$34=0),"",$L$37-1),IF($R$17="Distrato",$E491,0)),MIN(AF$38,$D$19),$P$20))-SUM($P491:AE491)</f>
        <v>#VALUE!</v>
      </c>
      <c r="AG491" s="446" t="e">
        <f>IF(OR($B491="",MIN(AG$38,$D$19)&lt;MAX($P$34*($B491+IF($R$17="Distrato",$I$38-1,0)),IF(AND($L$37=0,$P$34=0),"",$L$37-1),IF($R$17="Distrato",$E491,0))),0,YEARFRAC(MAX($P$34*($B491+IF($R$17="Distrato",$I$38-1,0)),IF(AND($L$37=0,$P$34=0),"",$L$37-1),IF($R$17="Distrato",$E491,0)),MIN(AG$38,$D$19),$P$20))-SUM($P491:AF491)</f>
        <v>#VALUE!</v>
      </c>
      <c r="AH491" s="446" t="e">
        <f>IF(OR($B491="",MIN(AH$38,$D$19)&lt;MAX($P$34*($B491+IF($R$17="Distrato",$I$38-1,0)),IF(AND($L$37=0,$P$34=0),"",$L$37-1),IF($R$17="Distrato",$E491,0))),0,YEARFRAC(MAX($P$34*($B491+IF($R$17="Distrato",$I$38-1,0)),IF(AND($L$37=0,$P$34=0),"",$L$37-1),IF($R$17="Distrato",$E491,0)),MIN(AH$38,$D$19),$P$20))-SUM($P491:AG491)</f>
        <v>#VALUE!</v>
      </c>
      <c r="AI491" s="446" t="e">
        <f>IF(OR($B491="",MIN(AI$38,$D$19)&lt;MAX($P$34*($B491+IF($R$17="Distrato",$I$38-1,0)),IF(AND($L$37=0,$P$34=0),"",$L$37-1),IF($R$17="Distrato",$E491,0))),0,YEARFRAC(MAX($P$34*($B491+IF($R$17="Distrato",$I$38-1,0)),IF(AND($L$37=0,$P$34=0),"",$L$37-1),IF($R$17="Distrato",$E491,0)),MIN(AI$38,$D$19),$P$20))-SUM($P491:AH491)</f>
        <v>#VALUE!</v>
      </c>
      <c r="AJ491" s="446" t="e">
        <f>IF(OR($B491="",MIN(AJ$38,$D$19)&lt;MAX($P$34*($B491+IF($R$17="Distrato",$I$38-1,0)),IF(AND($L$37=0,$P$34=0),"",$L$37-1),IF($R$17="Distrato",$E491,0))),0,YEARFRAC(MAX($P$34*($B491+IF($R$17="Distrato",$I$38-1,0)),IF(AND($L$37=0,$P$34=0),"",$L$37-1),IF($R$17="Distrato",$E491,0)),MIN(AJ$38,$D$19),$P$20))-SUM($P491:AI491)</f>
        <v>#VALUE!</v>
      </c>
      <c r="AK491" s="446" t="e">
        <f>IF(OR($B491="",MIN(AK$38,$D$19)&lt;MAX($P$34*($B491+IF($R$17="Distrato",$I$38-1,0)),IF(AND($L$37=0,$P$34=0),"",$L$37-1),IF($R$17="Distrato",$E491,0))),0,YEARFRAC(MAX($P$34*($B491+IF($R$17="Distrato",$I$38-1,0)),IF(AND($L$37=0,$P$34=0),"",$L$37-1),IF($R$17="Distrato",$E491,0)),MIN(AK$38,$D$19),$P$20))-SUM($P491:AJ491)</f>
        <v>#VALUE!</v>
      </c>
      <c r="AL491" s="446" t="e">
        <f>IF(OR($B491="",MIN(AL$38,$D$19)&lt;MAX($P$34*($B491+IF($R$17="Distrato",$I$38-1,0)),IF(AND($L$37=0,$P$34=0),"",$L$37-1),IF($R$17="Distrato",$E491,0))),0,YEARFRAC(MAX($P$34*($B491+IF($R$17="Distrato",$I$38-1,0)),IF(AND($L$37=0,$P$34=0),"",$L$37-1),IF($R$17="Distrato",$E491,0)),MIN(AL$38,$D$19),$P$20))-SUM($P491:AK491)</f>
        <v>#VALUE!</v>
      </c>
      <c r="AM491" s="446" t="e">
        <f>IF(OR($B491="",MIN(AM$38,$D$19)&lt;MAX($P$34*($B491+IF($R$17="Distrato",$I$38-1,0)),IF(AND($L$37=0,$P$34=0),"",$L$37-1),IF($R$17="Distrato",$E491,0))),0,YEARFRAC(MAX($P$34*($B491+IF($R$17="Distrato",$I$38-1,0)),IF(AND($L$37=0,$P$34=0),"",$L$37-1),IF($R$17="Distrato",$E491,0)),MIN(AM$38,$D$19),$P$20))-SUM($P491:AL491)</f>
        <v>#VALUE!</v>
      </c>
      <c r="AN491" s="446" t="e">
        <f>IF(OR($B491="",MIN(AN$38,$D$19)&lt;MAX($P$34*($B491+IF($R$17="Distrato",$I$38-1,0)),IF(AND($L$37=0,$P$34=0),"",$L$37-1),IF($R$17="Distrato",$E491,0))),0,YEARFRAC(MAX($P$34*($B491+IF($R$17="Distrato",$I$38-1,0)),IF(AND($L$37=0,$P$34=0),"",$L$37-1),IF($R$17="Distrato",$E491,0)),MIN(AN$38,$D$19),$P$20))-SUM($P491:AM491)</f>
        <v>#VALUE!</v>
      </c>
      <c r="AO491" s="446" t="e">
        <f>IF(OR($B491="",MIN(AO$38,$D$19)&lt;MAX($P$34*($B491+IF($R$17="Distrato",$I$38-1,0)),IF(AND($L$37=0,$P$34=0),"",$L$37-1),IF($R$17="Distrato",$E491,0))),0,YEARFRAC(MAX($P$34*($B491+IF($R$17="Distrato",$I$38-1,0)),IF(AND($L$37=0,$P$34=0),"",$L$37-1),IF($R$17="Distrato",$E491,0)),MIN(AO$38,$D$19),$P$20))-SUM($P491:AN491)</f>
        <v>#VALUE!</v>
      </c>
      <c r="AP491" s="446" t="e">
        <f>IF(OR($B491="",MIN(AP$38,$D$19)&lt;MAX($P$34*($B491+IF($R$17="Distrato",$I$38-1,0)),IF(AND($L$37=0,$P$34=0),"",$L$37-1),IF($R$17="Distrato",$E491,0))),0,YEARFRAC(MAX($P$34*($B491+IF($R$17="Distrato",$I$38-1,0)),IF(AND($L$37=0,$P$34=0),"",$L$37-1),IF($R$17="Distrato",$E491,0)),MIN(AP$38,$D$19),$P$20))-SUM($P491:AO491)</f>
        <v>#VALUE!</v>
      </c>
      <c r="AQ491" s="446" t="e">
        <f>IF(OR($B491="",MIN(AQ$38,$D$19)&lt;MAX($P$34*($B491+IF($R$17="Distrato",$I$38-1,0)),IF(AND($L$37=0,$P$34=0),"",$L$37-1),IF($R$17="Distrato",$E491,0))),0,YEARFRAC(MAX($P$34*($B491+IF($R$17="Distrato",$I$38-1,0)),IF(AND($L$37=0,$P$34=0),"",$L$37-1),IF($R$17="Distrato",$E491,0)),MIN(AQ$38,$D$19),$P$20))-SUM($P491:AP491)</f>
        <v>#VALUE!</v>
      </c>
      <c r="AR491" s="446" t="e">
        <f>IF(OR($B491="",MIN(AR$38,$D$19)&lt;MAX($P$34*($B491+IF($R$17="Distrato",$I$38-1,0)),IF(AND($L$37=0,$P$34=0),"",$L$37-1),IF($R$17="Distrato",$E491,0))),0,YEARFRAC(MAX($P$34*($B491+IF($R$17="Distrato",$I$38-1,0)),IF(AND($L$37=0,$P$34=0),"",$L$37-1),IF($R$17="Distrato",$E491,0)),MIN(AR$38,$D$19),$P$20))-SUM($P491:AQ491)</f>
        <v>#VALUE!</v>
      </c>
      <c r="AS491" s="446" t="e">
        <f>IF(OR($B491="",MIN(AS$38,$D$19)&lt;MAX($P$34*($B491+IF($R$17="Distrato",$I$38-1,0)),IF(AND($L$37=0,$P$34=0),"",$L$37-1),IF($R$17="Distrato",$E491,0))),0,YEARFRAC(MAX($P$34*($B491+IF($R$17="Distrato",$I$38-1,0)),IF(AND($L$37=0,$P$34=0),"",$L$37-1),IF($R$17="Distrato",$E491,0)),MIN(AS$38,$D$19),$P$20))-SUM($P491:AR491)</f>
        <v>#VALUE!</v>
      </c>
      <c r="AT491" s="446" t="e">
        <f>IF(OR($B491="",MIN(AT$38,$D$19)&lt;MAX($P$34*($B491+IF($R$17="Distrato",$I$38-1,0)),IF(AND($L$37=0,$P$34=0),"",$L$37-1),IF($R$17="Distrato",$E491,0))),0,YEARFRAC(MAX($P$34*($B491+IF($R$17="Distrato",$I$38-1,0)),IF(AND($L$37=0,$P$34=0),"",$L$37-1),IF($R$17="Distrato",$E491,0)),MIN(AT$38,$D$19),$P$20))-SUM($P491:AS491)</f>
        <v>#VALUE!</v>
      </c>
      <c r="AU491" s="446" t="e">
        <f>IF(OR($B491="",MIN(AU$38,$D$19)&lt;MAX($P$34*($B491+IF($R$17="Distrato",$I$38-1,0)),IF(AND($L$37=0,$P$34=0),"",$L$37-1),IF($R$17="Distrato",$E491,0))),0,YEARFRAC(MAX($P$34*($B491+IF($R$17="Distrato",$I$38-1,0)),IF(AND($L$37=0,$P$34=0),"",$L$37-1),IF($R$17="Distrato",$E491,0)),MIN(AU$38,$D$19),$P$20))-SUM($P491:AT491)</f>
        <v>#VALUE!</v>
      </c>
      <c r="AV491" s="446" t="e">
        <f>IF(OR($B491="",MIN(AV$38,$D$19)&lt;MAX($P$34*($B491+IF($R$17="Distrato",$I$38-1,0)),IF(AND($L$37=0,$P$34=0),"",$L$37-1),IF($R$17="Distrato",$E491,0))),0,YEARFRAC(MAX($P$34*($B491+IF($R$17="Distrato",$I$38-1,0)),IF(AND($L$37=0,$P$34=0),"",$L$37-1),IF($R$17="Distrato",$E491,0)),MIN(AV$38,$D$19),$P$20))-SUM($P491:AU491)</f>
        <v>#VALUE!</v>
      </c>
      <c r="AW491" s="446" t="e">
        <f>IF(OR($B491="",MIN(AW$38,$D$19)&lt;MAX($P$34*($B491+IF($R$17="Distrato",$I$38-1,0)),IF(AND($L$37=0,$P$34=0),"",$L$37-1),IF($R$17="Distrato",$E491,0))),0,YEARFRAC(MAX($P$34*($B491+IF($R$17="Distrato",$I$38-1,0)),IF(AND($L$37=0,$P$34=0),"",$L$37-1),IF($R$17="Distrato",$E491,0)),MIN(AW$38,$D$19),$P$20))-SUM($P491:AV491)</f>
        <v>#VALUE!</v>
      </c>
      <c r="AX491" s="446" t="e">
        <f>IF(OR($B491="",MIN(AX$38,$D$19)&lt;MAX($P$34*($B491+IF($R$17="Distrato",$I$38-1,0)),IF(AND($L$37=0,$P$34=0),"",$L$37-1),IF($R$17="Distrato",$E491,0))),0,YEARFRAC(MAX($P$34*($B491+IF($R$17="Distrato",$I$38-1,0)),IF(AND($L$37=0,$P$34=0),"",$L$37-1),IF($R$17="Distrato",$E491,0)),MIN(AX$38,$D$19),$P$20))-SUM($P491:AW491)</f>
        <v>#VALUE!</v>
      </c>
      <c r="AY491" s="446" t="e">
        <f>IF(OR($B491="",MIN(AY$38,$D$19)&lt;MAX($P$34*($B491+IF($R$17="Distrato",$I$38-1,0)),IF(AND($L$37=0,$P$34=0),"",$L$37-1),IF($R$17="Distrato",$E491,0))),0,YEARFRAC(MAX($P$34*($B491+IF($R$17="Distrato",$I$38-1,0)),IF(AND($L$37=0,$P$34=0),"",$L$37-1),IF($R$17="Distrato",$E491,0)),MIN(AY$38,$D$19),$P$20))-SUM($P491:AX491)</f>
        <v>#VALUE!</v>
      </c>
      <c r="AZ491" s="446" t="e">
        <f>IF(OR($B491="",MIN(AZ$38,$D$19)&lt;MAX($P$34*($B491+IF($R$17="Distrato",$I$38-1,0)),IF(AND($L$37=0,$P$34=0),"",$L$37-1),IF($R$17="Distrato",$E491,0))),0,YEARFRAC(MAX($P$34*($B491+IF($R$17="Distrato",$I$38-1,0)),IF(AND($L$37=0,$P$34=0),"",$L$37-1),IF($R$17="Distrato",$E491,0)),MIN(AZ$38,$D$19),$P$20))-SUM($P491:AY491)</f>
        <v>#VALUE!</v>
      </c>
      <c r="BA491" s="446" t="e">
        <f>IF(OR($B491="",MIN(BA$38,$D$19)&lt;MAX($P$34*($B491+IF($R$17="Distrato",$I$38-1,0)),IF(AND($L$37=0,$P$34=0),"",$L$37-1),IF($R$17="Distrato",$E491,0))),0,YEARFRAC(MAX($P$34*($B491+IF($R$17="Distrato",$I$38-1,0)),IF(AND($L$37=0,$P$34=0),"",$L$37-1),IF($R$17="Distrato",$E491,0)),MIN(BA$38,$D$19),$P$20))-SUM($P491:AZ491)</f>
        <v>#VALUE!</v>
      </c>
      <c r="BB491" s="447"/>
      <c r="BF491" s="446">
        <f t="shared" si="87"/>
        <v>0</v>
      </c>
      <c r="BG491" s="446">
        <f>IF($E491=0,0,IF(MIN(BG$38,$E491)&lt;MAX($P$34*($B491+$I$38-1),IF(AND($L$37=0,$P$34=0),"",$L$37-1)),0,YEARFRAC(MAX($P$34*($B491+$I$38-1),IF(AND($L$37=0,$P$34=0),"",$L$37-1)),MIN(BG$38,$E491),$P$20))-SUM($BF491:BF491))</f>
        <v>0</v>
      </c>
      <c r="BH491" s="446">
        <f>IF($E491=0,0,IF(MIN(BH$38,$E491)&lt;MAX($P$34*($B491+$I$38-1),IF(AND($L$37=0,$P$34=0),"",$L$37-1)),0,YEARFRAC(MAX($P$34*($B491+$I$38-1),IF(AND($L$37=0,$P$34=0),"",$L$37-1)),MIN(BH$38,$E491),$P$20))-SUM($BF491:BG491))</f>
        <v>0</v>
      </c>
      <c r="BI491" s="446">
        <f>IF($E491=0,0,IF(MIN(BI$38,$E491)&lt;MAX($P$34*($B491+$I$38-1),IF(AND($L$37=0,$P$34=0),"",$L$37-1)),0,YEARFRAC(MAX($P$34*($B491+$I$38-1),IF(AND($L$37=0,$P$34=0),"",$L$37-1)),MIN(BI$38,$E491),$P$20))-SUM($BF491:BH491))</f>
        <v>0</v>
      </c>
      <c r="BJ491" s="446">
        <f>IF($E491=0,0,IF(MIN(BJ$38,$E491)&lt;MAX($P$34*($B491+$I$38-1),IF(AND($L$37=0,$P$34=0),"",$L$37-1)),0,YEARFRAC(MAX($P$34*($B491+$I$38-1),IF(AND($L$37=0,$P$34=0),"",$L$37-1)),MIN(BJ$38,$E491),$P$20))-SUM($BF491:BI491))</f>
        <v>0</v>
      </c>
      <c r="BK491" s="446">
        <f>IF($E491=0,0,IF(MIN(BK$38,$E491)&lt;MAX($P$34*($B491+$I$38-1),IF(AND($L$37=0,$P$34=0),"",$L$37-1)),0,YEARFRAC(MAX($P$34*($B491+$I$38-1),IF(AND($L$37=0,$P$34=0),"",$L$37-1)),MIN(BK$38,$E491),$P$20))-SUM($BF491:BJ491))</f>
        <v>0</v>
      </c>
      <c r="BL491" s="446">
        <f>IF($E491=0,0,IF(MIN(BL$38,$E491)&lt;MAX($P$34*($B491+$I$38-1),IF(AND($L$37=0,$P$34=0),"",$L$37-1)),0,YEARFRAC(MAX($P$34*($B491+$I$38-1),IF(AND($L$37=0,$P$34=0),"",$L$37-1)),MIN(BL$38,$E491),$P$20))-SUM($BF491:BK491))</f>
        <v>0</v>
      </c>
      <c r="BM491" s="446">
        <f>IF($E491=0,0,IF(MIN(BM$38,$E491)&lt;MAX($P$34*($B491+$I$38-1),IF(AND($L$37=0,$P$34=0),"",$L$37-1)),0,YEARFRAC(MAX($P$34*($B491+$I$38-1),IF(AND($L$37=0,$P$34=0),"",$L$37-1)),MIN(BM$38,$E491),$P$20))-SUM($BF491:BL491))</f>
        <v>0</v>
      </c>
      <c r="BN491" s="446">
        <f>IF($E491=0,0,IF(MIN(BN$38,$E491)&lt;MAX($P$34*($B491+$I$38-1),IF(AND($L$37=0,$P$34=0),"",$L$37-1)),0,YEARFRAC(MAX($P$34*($B491+$I$38-1),IF(AND($L$37=0,$P$34=0),"",$L$37-1)),MIN(BN$38,$E491),$P$20))-SUM($BF491:BM491))</f>
        <v>0</v>
      </c>
      <c r="BO491" s="446">
        <f>IF($E491=0,0,IF(MIN(BO$38,$E491)&lt;MAX($P$34*($B491+$I$38-1),IF(AND($L$37=0,$P$34=0),"",$L$37-1)),0,YEARFRAC(MAX($P$34*($B491+$I$38-1),IF(AND($L$37=0,$P$34=0),"",$L$37-1)),MIN(BO$38,$E491),$P$20))-SUM($BF491:BN491))</f>
        <v>0</v>
      </c>
      <c r="BP491" s="446">
        <f>IF($E491=0,0,IF(MIN(BP$38,$E491)&lt;MAX($P$34*($B491+$I$38-1),IF(AND($L$37=0,$P$34=0),"",$L$37-1)),0,YEARFRAC(MAX($P$34*($B491+$I$38-1),IF(AND($L$37=0,$P$34=0),"",$L$37-1)),MIN(BP$38,$E491),$P$20))-SUM($BF491:BO491))</f>
        <v>0</v>
      </c>
      <c r="BQ491" s="446">
        <f>IF($E491=0,0,IF(MIN(BQ$38,$E491)&lt;MAX($P$34*($B491+$I$38-1),IF(AND($L$37=0,$P$34=0),"",$L$37-1)),0,YEARFRAC(MAX($P$34*($B491+$I$38-1),IF(AND($L$37=0,$P$34=0),"",$L$37-1)),MIN(BQ$38,$E491),$P$20))-SUM($BF491:BP491))</f>
        <v>0</v>
      </c>
      <c r="BR491" s="446">
        <f>IF($E491=0,0,IF(MIN(BR$38,$E491)&lt;MAX($P$34*($B491+$I$38-1),IF(AND($L$37=0,$P$34=0),"",$L$37-1)),0,YEARFRAC(MAX($P$34*($B491+$I$38-1),IF(AND($L$37=0,$P$34=0),"",$L$37-1)),MIN(BR$38,$E491),$P$20))-SUM($BF491:BQ491))</f>
        <v>0</v>
      </c>
      <c r="BS491" s="446">
        <f>IF($E491=0,0,IF(MIN(BS$38,$E491)&lt;MAX($P$34*($B491+$I$38-1),IF(AND($L$37=0,$P$34=0),"",$L$37-1)),0,YEARFRAC(MAX($P$34*($B491+$I$38-1),IF(AND($L$37=0,$P$34=0),"",$L$37-1)),MIN(BS$38,$E491),$P$20))-SUM($BF491:BR491))</f>
        <v>0</v>
      </c>
      <c r="BT491" s="446">
        <f>IF($E491=0,0,IF(MIN(BT$38,$E491)&lt;MAX($P$34*($B491+$I$38-1),IF(AND($L$37=0,$P$34=0),"",$L$37-1)),0,YEARFRAC(MAX($P$34*($B491+$I$38-1),IF(AND($L$37=0,$P$34=0),"",$L$37-1)),MIN(BT$38,$E491),$P$20))-SUM($BF491:BS491))</f>
        <v>0</v>
      </c>
      <c r="BU491" s="446">
        <f>IF($E491=0,0,IF(MIN(BU$38,$E491)&lt;MAX($P$34*($B491+$I$38-1),IF(AND($L$37=0,$P$34=0),"",$L$37-1)),0,YEARFRAC(MAX($P$34*($B491+$I$38-1),IF(AND($L$37=0,$P$34=0),"",$L$37-1)),MIN(BU$38,$E491),$P$20))-SUM($BF491:BT491))</f>
        <v>0</v>
      </c>
      <c r="BV491" s="446">
        <f>IF($E491=0,0,IF(MIN(BV$38,$E491)&lt;MAX($P$34*($B491+$I$38-1),IF(AND($L$37=0,$P$34=0),"",$L$37-1)),0,YEARFRAC(MAX($P$34*($B491+$I$38-1),IF(AND($L$37=0,$P$34=0),"",$L$37-1)),MIN(BV$38,$E491),$P$20))-SUM($BF491:BU491))</f>
        <v>0</v>
      </c>
      <c r="BW491" s="446">
        <f>IF($E491=0,0,IF(MIN(BW$38,$E491)&lt;MAX($P$34*($B491+$I$38-1),IF(AND($L$37=0,$P$34=0),"",$L$37-1)),0,YEARFRAC(MAX($P$34*($B491+$I$38-1),IF(AND($L$37=0,$P$34=0),"",$L$37-1)),MIN(BW$38,$E491),$P$20))-SUM($BF491:BV491))</f>
        <v>0</v>
      </c>
      <c r="BX491" s="446">
        <f>IF($E491=0,0,IF(MIN(BX$38,$E491)&lt;MAX($P$34*($B491+$I$38-1),IF(AND($L$37=0,$P$34=0),"",$L$37-1)),0,YEARFRAC(MAX($P$34*($B491+$I$38-1),IF(AND($L$37=0,$P$34=0),"",$L$37-1)),MIN(BX$38,$E491),$P$20))-SUM($BF491:BW491))</f>
        <v>0</v>
      </c>
      <c r="BY491" s="446">
        <f>IF($E491=0,0,IF(MIN(BY$38,$E491)&lt;MAX($P$34*($B491+$I$38-1),IF(AND($L$37=0,$P$34=0),"",$L$37-1)),0,YEARFRAC(MAX($P$34*($B491+$I$38-1),IF(AND($L$37=0,$P$34=0),"",$L$37-1)),MIN(BY$38,$E491),$P$20))-SUM($BF491:BX491))</f>
        <v>0</v>
      </c>
      <c r="BZ491" s="446">
        <f>IF($E491=0,0,IF(MIN(BZ$38,$E491)&lt;MAX($P$34*($B491+$I$38-1),IF(AND($L$37=0,$P$34=0),"",$L$37-1)),0,YEARFRAC(MAX($P$34*($B491+$I$38-1),IF(AND($L$37=0,$P$34=0),"",$L$37-1)),MIN(BZ$38,$E491),$P$20))-SUM($BF491:BY491))</f>
        <v>0</v>
      </c>
      <c r="CA491" s="446">
        <f>IF($E491=0,0,IF(MIN(CA$38,$E491)&lt;MAX($P$34*($B491+$I$38-1),IF(AND($L$37=0,$P$34=0),"",$L$37-1)),0,YEARFRAC(MAX($P$34*($B491+$I$38-1),IF(AND($L$37=0,$P$34=0),"",$L$37-1)),MIN(CA$38,$E491),$P$20))-SUM($BF491:BZ491))</f>
        <v>0</v>
      </c>
      <c r="CB491" s="446">
        <f>IF($E491=0,0,IF(MIN(CB$38,$E491)&lt;MAX($P$34*($B491+$I$38-1),IF(AND($L$37=0,$P$34=0),"",$L$37-1)),0,YEARFRAC(MAX($P$34*($B491+$I$38-1),IF(AND($L$37=0,$P$34=0),"",$L$37-1)),MIN(CB$38,$E491),$P$20))-SUM($BF491:CA491))</f>
        <v>0</v>
      </c>
      <c r="CC491" s="446">
        <f>IF($E491=0,0,IF(MIN(CC$38,$E491)&lt;MAX($P$34*($B491+$I$38-1),IF(AND($L$37=0,$P$34=0),"",$L$37-1)),0,YEARFRAC(MAX($P$34*($B491+$I$38-1),IF(AND($L$37=0,$P$34=0),"",$L$37-1)),MIN(CC$38,$E491),$P$20))-SUM($BF491:CB491))</f>
        <v>0</v>
      </c>
      <c r="CD491" s="446">
        <f>IF($E491=0,0,IF(MIN(CD$38,$E491)&lt;MAX($P$34*($B491+$I$38-1),IF(AND($L$37=0,$P$34=0),"",$L$37-1)),0,YEARFRAC(MAX($P$34*($B491+$I$38-1),IF(AND($L$37=0,$P$34=0),"",$L$37-1)),MIN(CD$38,$E491),$P$20))-SUM($BF491:CC491))</f>
        <v>0</v>
      </c>
      <c r="CE491" s="446">
        <f>IF($E491=0,0,IF(MIN(CE$38,$E491)&lt;MAX($P$34*($B491+$I$38-1),IF(AND($L$37=0,$P$34=0),"",$L$37-1)),0,YEARFRAC(MAX($P$34*($B491+$I$38-1),IF(AND($L$37=0,$P$34=0),"",$L$37-1)),MIN(CE$38,$E491),$P$20))-SUM($BF491:CD491))</f>
        <v>0</v>
      </c>
      <c r="CF491" s="446">
        <f>IF($E491=0,0,IF(MIN(CF$38,$E491)&lt;MAX($P$34*($B491+$I$38-1),IF(AND($L$37=0,$P$34=0),"",$L$37-1)),0,YEARFRAC(MAX($P$34*($B491+$I$38-1),IF(AND($L$37=0,$P$34=0),"",$L$37-1)),MIN(CF$38,$E491),$P$20))-SUM($BF491:CE491))</f>
        <v>0</v>
      </c>
      <c r="CG491" s="446">
        <f>IF($E491=0,0,IF(MIN(CG$38,$E491)&lt;MAX($P$34*($B491+$I$38-1),IF(AND($L$37=0,$P$34=0),"",$L$37-1)),0,YEARFRAC(MAX($P$34*($B491+$I$38-1),IF(AND($L$37=0,$P$34=0),"",$L$37-1)),MIN(CG$38,$E491),$P$20))-SUM($BF491:CF491))</f>
        <v>0</v>
      </c>
      <c r="CH491" s="446">
        <f>IF($E491=0,0,IF(MIN(CH$38,$E491)&lt;MAX($P$34*($B491+$I$38-1),IF(AND($L$37=0,$P$34=0),"",$L$37-1)),0,YEARFRAC(MAX($P$34*($B491+$I$38-1),IF(AND($L$37=0,$P$34=0),"",$L$37-1)),MIN(CH$38,$E491),$P$20))-SUM($BF491:CG491))</f>
        <v>0</v>
      </c>
      <c r="CI491" s="446">
        <f>IF($E491=0,0,IF(MIN(CI$38,$E491)&lt;MAX($P$34*($B491+$I$38-1),IF(AND($L$37=0,$P$34=0),"",$L$37-1)),0,YEARFRAC(MAX($P$34*($B491+$I$38-1),IF(AND($L$37=0,$P$34=0),"",$L$37-1)),MIN(CI$38,$E491),$P$20))-SUM($BF491:CH491))</f>
        <v>0</v>
      </c>
      <c r="CJ491" s="446">
        <f>IF($E491=0,0,IF(MIN(CJ$38,$E491)&lt;MAX($P$34*($B491+$I$38-1),IF(AND($L$37=0,$P$34=0),"",$L$37-1)),0,YEARFRAC(MAX($P$34*($B491+$I$38-1),IF(AND($L$37=0,$P$34=0),"",$L$37-1)),MIN(CJ$38,$E491),$P$20))-SUM($BF491:CI491))</f>
        <v>0</v>
      </c>
      <c r="CK491" s="446">
        <f>IF($E491=0,0,IF(MIN(CK$38,$E491)&lt;MAX($P$34*($B491+$I$38-1),IF(AND($L$37=0,$P$34=0),"",$L$37-1)),0,YEARFRAC(MAX($P$34*($B491+$I$38-1),IF(AND($L$37=0,$P$34=0),"",$L$37-1)),MIN(CK$38,$E491),$P$20))-SUM($BF491:CJ491))</f>
        <v>0</v>
      </c>
      <c r="CL491" s="446">
        <f>IF($E491=0,0,IF(MIN(CL$38,$E491)&lt;MAX($P$34*($B491+$I$38-1),IF(AND($L$37=0,$P$34=0),"",$L$37-1)),0,YEARFRAC(MAX($P$34*($B491+$I$38-1),IF(AND($L$37=0,$P$34=0),"",$L$37-1)),MIN(CL$38,$E491),$P$20))-SUM($BF491:CK491))</f>
        <v>0</v>
      </c>
      <c r="CM491" s="446">
        <f>IF($E491=0,0,IF(MIN(CM$38,$E491)&lt;MAX($P$34*($B491+$I$38-1),IF(AND($L$37=0,$P$34=0),"",$L$37-1)),0,YEARFRAC(MAX($P$34*($B491+$I$38-1),IF(AND($L$37=0,$P$34=0),"",$L$37-1)),MIN(CM$38,$E491),$P$20))-SUM($BF491:CL491))</f>
        <v>0</v>
      </c>
      <c r="CN491" s="446">
        <f>IF($E491=0,0,IF(MIN(CN$38,$E491)&lt;MAX($P$34*($B491+$I$38-1),IF(AND($L$37=0,$P$34=0),"",$L$37-1)),0,YEARFRAC(MAX($P$34*($B491+$I$38-1),IF(AND($L$37=0,$P$34=0),"",$L$37-1)),MIN(CN$38,$E491),$P$20))-SUM($BF491:CM491))</f>
        <v>0</v>
      </c>
      <c r="CO491" s="446">
        <f>IF($E491=0,0,IF(MIN(CO$38,$E491)&lt;MAX($P$34*($B491+$I$38-1),IF(AND($L$37=0,$P$34=0),"",$L$37-1)),0,YEARFRAC(MAX($P$34*($B491+$I$38-1),IF(AND($L$37=0,$P$34=0),"",$L$37-1)),MIN(CO$38,$E491),$P$20))-SUM($BF491:CN491))</f>
        <v>0</v>
      </c>
      <c r="CP491" s="446">
        <f>IF($E491=0,0,IF(MIN(CP$38,$E491)&lt;MAX($P$34*($B491+$I$38-1),IF(AND($L$37=0,$P$34=0),"",$L$37-1)),0,YEARFRAC(MAX($P$34*($B491+$I$38-1),IF(AND($L$37=0,$P$34=0),"",$L$37-1)),MIN(CP$38,$E491),$P$20))-SUM($BF491:CO491))</f>
        <v>0</v>
      </c>
      <c r="CQ491" s="446">
        <f>IF($E491=0,0,IF(MIN(CQ$38,$E491)&lt;MAX($P$34*($B491+$I$38-1),IF(AND($L$37=0,$P$34=0),"",$L$37-1)),0,YEARFRAC(MAX($P$34*($B491+$I$38-1),IF(AND($L$37=0,$P$34=0),"",$L$37-1)),MIN(CQ$38,$E491),$P$20))-SUM($BF491:CP491))</f>
        <v>0</v>
      </c>
    </row>
    <row r="492" spans="1:95" s="446" customFormat="1" ht="11.25" hidden="1" customHeight="1" x14ac:dyDescent="0.2">
      <c r="A492" s="152"/>
      <c r="B492" s="153" t="str">
        <f t="shared" si="92"/>
        <v/>
      </c>
      <c r="C492" s="29" t="str">
        <f>IF(B492="","",IF($L$35="SELIC - TRIBUTOS",VLOOKUP(DATE(YEAR($D$19),MONTH($D$19)-1,1),ÍNDICES!$A:$DE,HLOOKUP($BL$25,ÍNDICES!$B$3:$T$4,2)+11)-VLOOKUP(B492,ÍNDICES!$A:$DE,HLOOKUP($BL$25,ÍNDICES!$B$3:$T$4,2)+11)+1%,IF(C$38=$W$26,$J$35,IF(ISERROR(IF(B492&gt;$D$19,1,VLOOKUP(DATE(YEAR(B492),MONTH(B492)+IF($C$35=$S$23,1,0),1),ÍNDICES!$A:$DE,$Z$35+1))),"",IF(B492&gt;$D$19,1,VLOOKUP(DATE(YEAR(B492),MONTH(B492)+IF($C$35=$S$23,1,0),1),ÍNDICES!$A:$DE,$Z$35+1))))))</f>
        <v/>
      </c>
      <c r="D492" s="154" t="str">
        <f>IF(ISERROR(IF(OR($D$38=$Y$27,$B492=""),"",VLOOKUP(B492,ÍNDICES!A:DE,AF$35+1))),"",IF(OR($D$38=$Y$27,$B492=""),"",VLOOKUP(B492,ÍNDICES!A:DE,AF$35+1)))</f>
        <v/>
      </c>
      <c r="E492" s="153"/>
      <c r="F492" s="29" t="str">
        <f>IF(E492="","",IF($L$35="SELIC - TRIBUTOS",VLOOKUP(DATE(YEAR($D$19),MONTH($D$19)-1,1),ÍNDICES!$A:$DE,HLOOKUP($BL$25,ÍNDICES!$B$3:$T$4,2)+11)-VLOOKUP(E492,ÍNDICES!$A:$DE,HLOOKUP($BL$25,ÍNDICES!$B$3:$T$4,2)+11)+1%,IF(F$38=$W$26,$J$35,IF(ISERROR(IF(E492&gt;$D$19,1,VLOOKUP(DATE(YEAR(E492),MONTH(E492)+IF($C$35=$S$23,1,0),1),ÍNDICES!$A:$DE,$Z$35+1))),"",IF(E492&gt;$D$19,1,VLOOKUP(DATE(YEAR(E492),MONTH(E492)+IF($C$35=$S$23,1,0),1),ÍNDICES!$A:$DE,$Z$35+1))))))</f>
        <v/>
      </c>
      <c r="G492" s="155"/>
      <c r="H492" s="156" t="str">
        <f t="shared" si="88"/>
        <v/>
      </c>
      <c r="I492" s="29" t="str">
        <f t="shared" si="82"/>
        <v/>
      </c>
      <c r="J492" s="5">
        <f t="shared" si="83"/>
        <v>0</v>
      </c>
      <c r="K492" s="20">
        <f t="shared" ca="1" si="84"/>
        <v>0</v>
      </c>
      <c r="L492" s="5">
        <f t="shared" ca="1" si="85"/>
        <v>0</v>
      </c>
      <c r="M492" s="64">
        <f t="shared" si="89"/>
        <v>0</v>
      </c>
      <c r="N492" s="61">
        <f t="shared" ca="1" si="90"/>
        <v>0</v>
      </c>
      <c r="O492" s="5">
        <f t="shared" ca="1" si="91"/>
        <v>0</v>
      </c>
      <c r="P492" s="446" t="e">
        <f t="shared" si="86"/>
        <v>#VALUE!</v>
      </c>
      <c r="Q492" s="446" t="e">
        <f>IF(OR($B492="",MIN(Q$38,$D$19)&lt;MAX($P$34*($B492+IF($R$17="Distrato",$I$38-1,0)),IF(AND($L$37=0,$P$34=0),"",$L$37-1),IF($R$17="Distrato",$E492,0))),0,YEARFRAC(MAX($P$34*($B492+IF($R$17="Distrato",$I$38-1,0)),IF(AND($L$37=0,$P$34=0),"",$L$37-1),IF($R$17="Distrato",$E492,0)),MIN(Q$38,$D$19),$P$20))-SUM($P492:P492)</f>
        <v>#VALUE!</v>
      </c>
      <c r="R492" s="446" t="e">
        <f>IF(OR($B492="",MIN(R$38,$D$19)&lt;MAX($P$34*($B492+IF($R$17="Distrato",$I$38-1,0)),IF(AND($L$37=0,$P$34=0),"",$L$37-1),IF($R$17="Distrato",$E492,0))),0,YEARFRAC(MAX($P$34*($B492+IF($R$17="Distrato",$I$38-1,0)),IF(AND($L$37=0,$P$34=0),"",$L$37-1),IF($R$17="Distrato",$E492,0)),MIN(R$38,$D$19),$P$20))-SUM($P492:Q492)</f>
        <v>#VALUE!</v>
      </c>
      <c r="S492" s="446" t="e">
        <f>IF(OR($B492="",MIN(S$38,$D$19)&lt;MAX($P$34*($B492+IF($R$17="Distrato",$I$38-1,0)),IF(AND($L$37=0,$P$34=0),"",$L$37-1),IF($R$17="Distrato",$E492,0))),0,YEARFRAC(MAX($P$34*($B492+IF($R$17="Distrato",$I$38-1,0)),IF(AND($L$37=0,$P$34=0),"",$L$37-1),IF($R$17="Distrato",$E492,0)),MIN(S$38,$D$19),$P$20))-SUM($P492:R492)</f>
        <v>#VALUE!</v>
      </c>
      <c r="T492" s="446" t="e">
        <f>IF(OR($B492="",MIN(T$38,$D$19)&lt;MAX($P$34*($B492+IF($R$17="Distrato",$I$38-1,0)),IF(AND($L$37=0,$P$34=0),"",$L$37-1),IF($R$17="Distrato",$E492,0))),0,YEARFRAC(MAX($P$34*($B492+IF($R$17="Distrato",$I$38-1,0)),IF(AND($L$37=0,$P$34=0),"",$L$37-1),IF($R$17="Distrato",$E492,0)),MIN(T$38,$D$19),$P$20))-SUM($P492:S492)</f>
        <v>#VALUE!</v>
      </c>
      <c r="U492" s="446" t="e">
        <f>IF(OR($B492="",MIN(U$38,$D$19)&lt;MAX($P$34*($B492+IF($R$17="Distrato",$I$38-1,0)),IF(AND($L$37=0,$P$34=0),"",$L$37-1),IF($R$17="Distrato",$E492,0))),0,YEARFRAC(MAX($P$34*($B492+IF($R$17="Distrato",$I$38-1,0)),IF(AND($L$37=0,$P$34=0),"",$L$37-1),IF($R$17="Distrato",$E492,0)),MIN(U$38,$D$19),$P$20))-SUM($P492:T492)</f>
        <v>#VALUE!</v>
      </c>
      <c r="V492" s="446" t="e">
        <f>IF(OR($B492="",MIN(V$38,$D$19)&lt;MAX($P$34*($B492+IF($R$17="Distrato",$I$38-1,0)),IF(AND($L$37=0,$P$34=0),"",$L$37-1),IF($R$17="Distrato",$E492,0))),0,YEARFRAC(MAX($P$34*($B492+IF($R$17="Distrato",$I$38-1,0)),IF(AND($L$37=0,$P$34=0),"",$L$37-1),IF($R$17="Distrato",$E492,0)),MIN(V$38,$D$19),$P$20))-SUM($P492:U492)</f>
        <v>#VALUE!</v>
      </c>
      <c r="W492" s="446" t="e">
        <f>IF(OR($B492="",MIN(W$38,$D$19)&lt;MAX($P$34*($B492+IF($R$17="Distrato",$I$38-1,0)),IF(AND($L$37=0,$P$34=0),"",$L$37-1),IF($R$17="Distrato",$E492,0))),0,YEARFRAC(MAX($P$34*($B492+IF($R$17="Distrato",$I$38-1,0)),IF(AND($L$37=0,$P$34=0),"",$L$37-1),IF($R$17="Distrato",$E492,0)),MIN(W$38,$D$19),$P$20))-SUM($P492:V492)</f>
        <v>#VALUE!</v>
      </c>
      <c r="X492" s="446" t="e">
        <f>IF(OR($B492="",MIN(X$38,$D$19)&lt;MAX($P$34*($B492+IF($R$17="Distrato",$I$38-1,0)),IF(AND($L$37=0,$P$34=0),"",$L$37-1),IF($R$17="Distrato",$E492,0))),0,YEARFRAC(MAX($P$34*($B492+IF($R$17="Distrato",$I$38-1,0)),IF(AND($L$37=0,$P$34=0),"",$L$37-1),IF($R$17="Distrato",$E492,0)),MIN(X$38,$D$19),$P$20))-SUM($P492:W492)</f>
        <v>#VALUE!</v>
      </c>
      <c r="Y492" s="446" t="e">
        <f>IF(OR($B492="",MIN(Y$38,$D$19)&lt;MAX($P$34*($B492+IF($R$17="Distrato",$I$38-1,0)),IF(AND($L$37=0,$P$34=0),"",$L$37-1),IF($R$17="Distrato",$E492,0))),0,YEARFRAC(MAX($P$34*($B492+IF($R$17="Distrato",$I$38-1,0)),IF(AND($L$37=0,$P$34=0),"",$L$37-1),IF($R$17="Distrato",$E492,0)),MIN(Y$38,$D$19),$P$20))-SUM($P492:X492)</f>
        <v>#VALUE!</v>
      </c>
      <c r="Z492" s="446" t="e">
        <f>IF(OR($B492="",MIN(Z$38,$D$19)&lt;MAX($P$34*($B492+IF($R$17="Distrato",$I$38-1,0)),IF(AND($L$37=0,$P$34=0),"",$L$37-1),IF($R$17="Distrato",$E492,0))),0,YEARFRAC(MAX($P$34*($B492+IF($R$17="Distrato",$I$38-1,0)),IF(AND($L$37=0,$P$34=0),"",$L$37-1),IF($R$17="Distrato",$E492,0)),MIN(Z$38,$D$19),$P$20))-SUM($P492:Y492)</f>
        <v>#VALUE!</v>
      </c>
      <c r="AA492" s="446" t="e">
        <f>IF(OR($B492="",MIN(AA$38,$D$19)&lt;MAX($P$34*($B492+IF($R$17="Distrato",$I$38-1,0)),IF(AND($L$37=0,$P$34=0),"",$L$37-1),IF($R$17="Distrato",$E492,0))),0,YEARFRAC(MAX($P$34*($B492+IF($R$17="Distrato",$I$38-1,0)),IF(AND($L$37=0,$P$34=0),"",$L$37-1),IF($R$17="Distrato",$E492,0)),MIN(AA$38,$D$19),$P$20))-SUM($P492:Z492)</f>
        <v>#VALUE!</v>
      </c>
      <c r="AB492" s="446" t="e">
        <f>IF(OR($B492="",MIN(AB$38,$D$19)&lt;MAX($P$34*($B492+IF($R$17="Distrato",$I$38-1,0)),IF(AND($L$37=0,$P$34=0),"",$L$37-1),IF($R$17="Distrato",$E492,0))),0,YEARFRAC(MAX($P$34*($B492+IF($R$17="Distrato",$I$38-1,0)),IF(AND($L$37=0,$P$34=0),"",$L$37-1),IF($R$17="Distrato",$E492,0)),MIN(AB$38,$D$19),$P$20))-SUM($P492:AA492)</f>
        <v>#VALUE!</v>
      </c>
      <c r="AC492" s="446" t="e">
        <f>IF(OR($B492="",MIN(AC$38,$D$19)&lt;MAX($P$34*($B492+IF($R$17="Distrato",$I$38-1,0)),IF(AND($L$37=0,$P$34=0),"",$L$37-1),IF($R$17="Distrato",$E492,0))),0,YEARFRAC(MAX($P$34*($B492+IF($R$17="Distrato",$I$38-1,0)),IF(AND($L$37=0,$P$34=0),"",$L$37-1),IF($R$17="Distrato",$E492,0)),MIN(AC$38,$D$19),$P$20))-SUM($P492:AB492)</f>
        <v>#VALUE!</v>
      </c>
      <c r="AD492" s="446" t="e">
        <f>IF(OR($B492="",MIN(AD$38,$D$19)&lt;MAX($P$34*($B492+IF($R$17="Distrato",$I$38-1,0)),IF(AND($L$37=0,$P$34=0),"",$L$37-1),IF($R$17="Distrato",$E492,0))),0,YEARFRAC(MAX($P$34*($B492+IF($R$17="Distrato",$I$38-1,0)),IF(AND($L$37=0,$P$34=0),"",$L$37-1),IF($R$17="Distrato",$E492,0)),MIN(AD$38,$D$19),$P$20))-SUM($P492:AC492)</f>
        <v>#VALUE!</v>
      </c>
      <c r="AE492" s="446" t="e">
        <f>IF(OR($B492="",MIN(AE$38,$D$19)&lt;MAX($P$34*($B492+IF($R$17="Distrato",$I$38-1,0)),IF(AND($L$37=0,$P$34=0),"",$L$37-1),IF($R$17="Distrato",$E492,0))),0,YEARFRAC(MAX($P$34*($B492+IF($R$17="Distrato",$I$38-1,0)),IF(AND($L$37=0,$P$34=0),"",$L$37-1),IF($R$17="Distrato",$E492,0)),MIN(AE$38,$D$19),$P$20))-SUM($P492:AD492)</f>
        <v>#VALUE!</v>
      </c>
      <c r="AF492" s="446" t="e">
        <f>IF(OR($B492="",MIN(AF$38,$D$19)&lt;MAX($P$34*($B492+IF($R$17="Distrato",$I$38-1,0)),IF(AND($L$37=0,$P$34=0),"",$L$37-1),IF($R$17="Distrato",$E492,0))),0,YEARFRAC(MAX($P$34*($B492+IF($R$17="Distrato",$I$38-1,0)),IF(AND($L$37=0,$P$34=0),"",$L$37-1),IF($R$17="Distrato",$E492,0)),MIN(AF$38,$D$19),$P$20))-SUM($P492:AE492)</f>
        <v>#VALUE!</v>
      </c>
      <c r="AG492" s="446" t="e">
        <f>IF(OR($B492="",MIN(AG$38,$D$19)&lt;MAX($P$34*($B492+IF($R$17="Distrato",$I$38-1,0)),IF(AND($L$37=0,$P$34=0),"",$L$37-1),IF($R$17="Distrato",$E492,0))),0,YEARFRAC(MAX($P$34*($B492+IF($R$17="Distrato",$I$38-1,0)),IF(AND($L$37=0,$P$34=0),"",$L$37-1),IF($R$17="Distrato",$E492,0)),MIN(AG$38,$D$19),$P$20))-SUM($P492:AF492)</f>
        <v>#VALUE!</v>
      </c>
      <c r="AH492" s="446" t="e">
        <f>IF(OR($B492="",MIN(AH$38,$D$19)&lt;MAX($P$34*($B492+IF($R$17="Distrato",$I$38-1,0)),IF(AND($L$37=0,$P$34=0),"",$L$37-1),IF($R$17="Distrato",$E492,0))),0,YEARFRAC(MAX($P$34*($B492+IF($R$17="Distrato",$I$38-1,0)),IF(AND($L$37=0,$P$34=0),"",$L$37-1),IF($R$17="Distrato",$E492,0)),MIN(AH$38,$D$19),$P$20))-SUM($P492:AG492)</f>
        <v>#VALUE!</v>
      </c>
      <c r="AI492" s="446" t="e">
        <f>IF(OR($B492="",MIN(AI$38,$D$19)&lt;MAX($P$34*($B492+IF($R$17="Distrato",$I$38-1,0)),IF(AND($L$37=0,$P$34=0),"",$L$37-1),IF($R$17="Distrato",$E492,0))),0,YEARFRAC(MAX($P$34*($B492+IF($R$17="Distrato",$I$38-1,0)),IF(AND($L$37=0,$P$34=0),"",$L$37-1),IF($R$17="Distrato",$E492,0)),MIN(AI$38,$D$19),$P$20))-SUM($P492:AH492)</f>
        <v>#VALUE!</v>
      </c>
      <c r="AJ492" s="446" t="e">
        <f>IF(OR($B492="",MIN(AJ$38,$D$19)&lt;MAX($P$34*($B492+IF($R$17="Distrato",$I$38-1,0)),IF(AND($L$37=0,$P$34=0),"",$L$37-1),IF($R$17="Distrato",$E492,0))),0,YEARFRAC(MAX($P$34*($B492+IF($R$17="Distrato",$I$38-1,0)),IF(AND($L$37=0,$P$34=0),"",$L$37-1),IF($R$17="Distrato",$E492,0)),MIN(AJ$38,$D$19),$P$20))-SUM($P492:AI492)</f>
        <v>#VALUE!</v>
      </c>
      <c r="AK492" s="446" t="e">
        <f>IF(OR($B492="",MIN(AK$38,$D$19)&lt;MAX($P$34*($B492+IF($R$17="Distrato",$I$38-1,0)),IF(AND($L$37=0,$P$34=0),"",$L$37-1),IF($R$17="Distrato",$E492,0))),0,YEARFRAC(MAX($P$34*($B492+IF($R$17="Distrato",$I$38-1,0)),IF(AND($L$37=0,$P$34=0),"",$L$37-1),IF($R$17="Distrato",$E492,0)),MIN(AK$38,$D$19),$P$20))-SUM($P492:AJ492)</f>
        <v>#VALUE!</v>
      </c>
      <c r="AL492" s="446" t="e">
        <f>IF(OR($B492="",MIN(AL$38,$D$19)&lt;MAX($P$34*($B492+IF($R$17="Distrato",$I$38-1,0)),IF(AND($L$37=0,$P$34=0),"",$L$37-1),IF($R$17="Distrato",$E492,0))),0,YEARFRAC(MAX($P$34*($B492+IF($R$17="Distrato",$I$38-1,0)),IF(AND($L$37=0,$P$34=0),"",$L$37-1),IF($R$17="Distrato",$E492,0)),MIN(AL$38,$D$19),$P$20))-SUM($P492:AK492)</f>
        <v>#VALUE!</v>
      </c>
      <c r="AM492" s="446" t="e">
        <f>IF(OR($B492="",MIN(AM$38,$D$19)&lt;MAX($P$34*($B492+IF($R$17="Distrato",$I$38-1,0)),IF(AND($L$37=0,$P$34=0),"",$L$37-1),IF($R$17="Distrato",$E492,0))),0,YEARFRAC(MAX($P$34*($B492+IF($R$17="Distrato",$I$38-1,0)),IF(AND($L$37=0,$P$34=0),"",$L$37-1),IF($R$17="Distrato",$E492,0)),MIN(AM$38,$D$19),$P$20))-SUM($P492:AL492)</f>
        <v>#VALUE!</v>
      </c>
      <c r="AN492" s="446" t="e">
        <f>IF(OR($B492="",MIN(AN$38,$D$19)&lt;MAX($P$34*($B492+IF($R$17="Distrato",$I$38-1,0)),IF(AND($L$37=0,$P$34=0),"",$L$37-1),IF($R$17="Distrato",$E492,0))),0,YEARFRAC(MAX($P$34*($B492+IF($R$17="Distrato",$I$38-1,0)),IF(AND($L$37=0,$P$34=0),"",$L$37-1),IF($R$17="Distrato",$E492,0)),MIN(AN$38,$D$19),$P$20))-SUM($P492:AM492)</f>
        <v>#VALUE!</v>
      </c>
      <c r="AO492" s="446" t="e">
        <f>IF(OR($B492="",MIN(AO$38,$D$19)&lt;MAX($P$34*($B492+IF($R$17="Distrato",$I$38-1,0)),IF(AND($L$37=0,$P$34=0),"",$L$37-1),IF($R$17="Distrato",$E492,0))),0,YEARFRAC(MAX($P$34*($B492+IF($R$17="Distrato",$I$38-1,0)),IF(AND($L$37=0,$P$34=0),"",$L$37-1),IF($R$17="Distrato",$E492,0)),MIN(AO$38,$D$19),$P$20))-SUM($P492:AN492)</f>
        <v>#VALUE!</v>
      </c>
      <c r="AP492" s="446" t="e">
        <f>IF(OR($B492="",MIN(AP$38,$D$19)&lt;MAX($P$34*($B492+IF($R$17="Distrato",$I$38-1,0)),IF(AND($L$37=0,$P$34=0),"",$L$37-1),IF($R$17="Distrato",$E492,0))),0,YEARFRAC(MAX($P$34*($B492+IF($R$17="Distrato",$I$38-1,0)),IF(AND($L$37=0,$P$34=0),"",$L$37-1),IF($R$17="Distrato",$E492,0)),MIN(AP$38,$D$19),$P$20))-SUM($P492:AO492)</f>
        <v>#VALUE!</v>
      </c>
      <c r="AQ492" s="446" t="e">
        <f>IF(OR($B492="",MIN(AQ$38,$D$19)&lt;MAX($P$34*($B492+IF($R$17="Distrato",$I$38-1,0)),IF(AND($L$37=0,$P$34=0),"",$L$37-1),IF($R$17="Distrato",$E492,0))),0,YEARFRAC(MAX($P$34*($B492+IF($R$17="Distrato",$I$38-1,0)),IF(AND($L$37=0,$P$34=0),"",$L$37-1),IF($R$17="Distrato",$E492,0)),MIN(AQ$38,$D$19),$P$20))-SUM($P492:AP492)</f>
        <v>#VALUE!</v>
      </c>
      <c r="AR492" s="446" t="e">
        <f>IF(OR($B492="",MIN(AR$38,$D$19)&lt;MAX($P$34*($B492+IF($R$17="Distrato",$I$38-1,0)),IF(AND($L$37=0,$P$34=0),"",$L$37-1),IF($R$17="Distrato",$E492,0))),0,YEARFRAC(MAX($P$34*($B492+IF($R$17="Distrato",$I$38-1,0)),IF(AND($L$37=0,$P$34=0),"",$L$37-1),IF($R$17="Distrato",$E492,0)),MIN(AR$38,$D$19),$P$20))-SUM($P492:AQ492)</f>
        <v>#VALUE!</v>
      </c>
      <c r="AS492" s="446" t="e">
        <f>IF(OR($B492="",MIN(AS$38,$D$19)&lt;MAX($P$34*($B492+IF($R$17="Distrato",$I$38-1,0)),IF(AND($L$37=0,$P$34=0),"",$L$37-1),IF($R$17="Distrato",$E492,0))),0,YEARFRAC(MAX($P$34*($B492+IF($R$17="Distrato",$I$38-1,0)),IF(AND($L$37=0,$P$34=0),"",$L$37-1),IF($R$17="Distrato",$E492,0)),MIN(AS$38,$D$19),$P$20))-SUM($P492:AR492)</f>
        <v>#VALUE!</v>
      </c>
      <c r="AT492" s="446" t="e">
        <f>IF(OR($B492="",MIN(AT$38,$D$19)&lt;MAX($P$34*($B492+IF($R$17="Distrato",$I$38-1,0)),IF(AND($L$37=0,$P$34=0),"",$L$37-1),IF($R$17="Distrato",$E492,0))),0,YEARFRAC(MAX($P$34*($B492+IF($R$17="Distrato",$I$38-1,0)),IF(AND($L$37=0,$P$34=0),"",$L$37-1),IF($R$17="Distrato",$E492,0)),MIN(AT$38,$D$19),$P$20))-SUM($P492:AS492)</f>
        <v>#VALUE!</v>
      </c>
      <c r="AU492" s="446" t="e">
        <f>IF(OR($B492="",MIN(AU$38,$D$19)&lt;MAX($P$34*($B492+IF($R$17="Distrato",$I$38-1,0)),IF(AND($L$37=0,$P$34=0),"",$L$37-1),IF($R$17="Distrato",$E492,0))),0,YEARFRAC(MAX($P$34*($B492+IF($R$17="Distrato",$I$38-1,0)),IF(AND($L$37=0,$P$34=0),"",$L$37-1),IF($R$17="Distrato",$E492,0)),MIN(AU$38,$D$19),$P$20))-SUM($P492:AT492)</f>
        <v>#VALUE!</v>
      </c>
      <c r="AV492" s="446" t="e">
        <f>IF(OR($B492="",MIN(AV$38,$D$19)&lt;MAX($P$34*($B492+IF($R$17="Distrato",$I$38-1,0)),IF(AND($L$37=0,$P$34=0),"",$L$37-1),IF($R$17="Distrato",$E492,0))),0,YEARFRAC(MAX($P$34*($B492+IF($R$17="Distrato",$I$38-1,0)),IF(AND($L$37=0,$P$34=0),"",$L$37-1),IF($R$17="Distrato",$E492,0)),MIN(AV$38,$D$19),$P$20))-SUM($P492:AU492)</f>
        <v>#VALUE!</v>
      </c>
      <c r="AW492" s="446" t="e">
        <f>IF(OR($B492="",MIN(AW$38,$D$19)&lt;MAX($P$34*($B492+IF($R$17="Distrato",$I$38-1,0)),IF(AND($L$37=0,$P$34=0),"",$L$37-1),IF($R$17="Distrato",$E492,0))),0,YEARFRAC(MAX($P$34*($B492+IF($R$17="Distrato",$I$38-1,0)),IF(AND($L$37=0,$P$34=0),"",$L$37-1),IF($R$17="Distrato",$E492,0)),MIN(AW$38,$D$19),$P$20))-SUM($P492:AV492)</f>
        <v>#VALUE!</v>
      </c>
      <c r="AX492" s="446" t="e">
        <f>IF(OR($B492="",MIN(AX$38,$D$19)&lt;MAX($P$34*($B492+IF($R$17="Distrato",$I$38-1,0)),IF(AND($L$37=0,$P$34=0),"",$L$37-1),IF($R$17="Distrato",$E492,0))),0,YEARFRAC(MAX($P$34*($B492+IF($R$17="Distrato",$I$38-1,0)),IF(AND($L$37=0,$P$34=0),"",$L$37-1),IF($R$17="Distrato",$E492,0)),MIN(AX$38,$D$19),$P$20))-SUM($P492:AW492)</f>
        <v>#VALUE!</v>
      </c>
      <c r="AY492" s="446" t="e">
        <f>IF(OR($B492="",MIN(AY$38,$D$19)&lt;MAX($P$34*($B492+IF($R$17="Distrato",$I$38-1,0)),IF(AND($L$37=0,$P$34=0),"",$L$37-1),IF($R$17="Distrato",$E492,0))),0,YEARFRAC(MAX($P$34*($B492+IF($R$17="Distrato",$I$38-1,0)),IF(AND($L$37=0,$P$34=0),"",$L$37-1),IF($R$17="Distrato",$E492,0)),MIN(AY$38,$D$19),$P$20))-SUM($P492:AX492)</f>
        <v>#VALUE!</v>
      </c>
      <c r="AZ492" s="446" t="e">
        <f>IF(OR($B492="",MIN(AZ$38,$D$19)&lt;MAX($P$34*($B492+IF($R$17="Distrato",$I$38-1,0)),IF(AND($L$37=0,$P$34=0),"",$L$37-1),IF($R$17="Distrato",$E492,0))),0,YEARFRAC(MAX($P$34*($B492+IF($R$17="Distrato",$I$38-1,0)),IF(AND($L$37=0,$P$34=0),"",$L$37-1),IF($R$17="Distrato",$E492,0)),MIN(AZ$38,$D$19),$P$20))-SUM($P492:AY492)</f>
        <v>#VALUE!</v>
      </c>
      <c r="BA492" s="446" t="e">
        <f>IF(OR($B492="",MIN(BA$38,$D$19)&lt;MAX($P$34*($B492+IF($R$17="Distrato",$I$38-1,0)),IF(AND($L$37=0,$P$34=0),"",$L$37-1),IF($R$17="Distrato",$E492,0))),0,YEARFRAC(MAX($P$34*($B492+IF($R$17="Distrato",$I$38-1,0)),IF(AND($L$37=0,$P$34=0),"",$L$37-1),IF($R$17="Distrato",$E492,0)),MIN(BA$38,$D$19),$P$20))-SUM($P492:AZ492)</f>
        <v>#VALUE!</v>
      </c>
      <c r="BB492" s="447"/>
      <c r="BF492" s="446">
        <f t="shared" si="87"/>
        <v>0</v>
      </c>
      <c r="BG492" s="446">
        <f>IF($E492=0,0,IF(MIN(BG$38,$E492)&lt;MAX($P$34*($B492+$I$38-1),IF(AND($L$37=0,$P$34=0),"",$L$37-1)),0,YEARFRAC(MAX($P$34*($B492+$I$38-1),IF(AND($L$37=0,$P$34=0),"",$L$37-1)),MIN(BG$38,$E492),$P$20))-SUM($BF492:BF492))</f>
        <v>0</v>
      </c>
      <c r="BH492" s="446">
        <f>IF($E492=0,0,IF(MIN(BH$38,$E492)&lt;MAX($P$34*($B492+$I$38-1),IF(AND($L$37=0,$P$34=0),"",$L$37-1)),0,YEARFRAC(MAX($P$34*($B492+$I$38-1),IF(AND($L$37=0,$P$34=0),"",$L$37-1)),MIN(BH$38,$E492),$P$20))-SUM($BF492:BG492))</f>
        <v>0</v>
      </c>
      <c r="BI492" s="446">
        <f>IF($E492=0,0,IF(MIN(BI$38,$E492)&lt;MAX($P$34*($B492+$I$38-1),IF(AND($L$37=0,$P$34=0),"",$L$37-1)),0,YEARFRAC(MAX($P$34*($B492+$I$38-1),IF(AND($L$37=0,$P$34=0),"",$L$37-1)),MIN(BI$38,$E492),$P$20))-SUM($BF492:BH492))</f>
        <v>0</v>
      </c>
      <c r="BJ492" s="446">
        <f>IF($E492=0,0,IF(MIN(BJ$38,$E492)&lt;MAX($P$34*($B492+$I$38-1),IF(AND($L$37=0,$P$34=0),"",$L$37-1)),0,YEARFRAC(MAX($P$34*($B492+$I$38-1),IF(AND($L$37=0,$P$34=0),"",$L$37-1)),MIN(BJ$38,$E492),$P$20))-SUM($BF492:BI492))</f>
        <v>0</v>
      </c>
      <c r="BK492" s="446">
        <f>IF($E492=0,0,IF(MIN(BK$38,$E492)&lt;MAX($P$34*($B492+$I$38-1),IF(AND($L$37=0,$P$34=0),"",$L$37-1)),0,YEARFRAC(MAX($P$34*($B492+$I$38-1),IF(AND($L$37=0,$P$34=0),"",$L$37-1)),MIN(BK$38,$E492),$P$20))-SUM($BF492:BJ492))</f>
        <v>0</v>
      </c>
      <c r="BL492" s="446">
        <f>IF($E492=0,0,IF(MIN(BL$38,$E492)&lt;MAX($P$34*($B492+$I$38-1),IF(AND($L$37=0,$P$34=0),"",$L$37-1)),0,YEARFRAC(MAX($P$34*($B492+$I$38-1),IF(AND($L$37=0,$P$34=0),"",$L$37-1)),MIN(BL$38,$E492),$P$20))-SUM($BF492:BK492))</f>
        <v>0</v>
      </c>
      <c r="BM492" s="446">
        <f>IF($E492=0,0,IF(MIN(BM$38,$E492)&lt;MAX($P$34*($B492+$I$38-1),IF(AND($L$37=0,$P$34=0),"",$L$37-1)),0,YEARFRAC(MAX($P$34*($B492+$I$38-1),IF(AND($L$37=0,$P$34=0),"",$L$37-1)),MIN(BM$38,$E492),$P$20))-SUM($BF492:BL492))</f>
        <v>0</v>
      </c>
      <c r="BN492" s="446">
        <f>IF($E492=0,0,IF(MIN(BN$38,$E492)&lt;MAX($P$34*($B492+$I$38-1),IF(AND($L$37=0,$P$34=0),"",$L$37-1)),0,YEARFRAC(MAX($P$34*($B492+$I$38-1),IF(AND($L$37=0,$P$34=0),"",$L$37-1)),MIN(BN$38,$E492),$P$20))-SUM($BF492:BM492))</f>
        <v>0</v>
      </c>
      <c r="BO492" s="446">
        <f>IF($E492=0,0,IF(MIN(BO$38,$E492)&lt;MAX($P$34*($B492+$I$38-1),IF(AND($L$37=0,$P$34=0),"",$L$37-1)),0,YEARFRAC(MAX($P$34*($B492+$I$38-1),IF(AND($L$37=0,$P$34=0),"",$L$37-1)),MIN(BO$38,$E492),$P$20))-SUM($BF492:BN492))</f>
        <v>0</v>
      </c>
      <c r="BP492" s="446">
        <f>IF($E492=0,0,IF(MIN(BP$38,$E492)&lt;MAX($P$34*($B492+$I$38-1),IF(AND($L$37=0,$P$34=0),"",$L$37-1)),0,YEARFRAC(MAX($P$34*($B492+$I$38-1),IF(AND($L$37=0,$P$34=0),"",$L$37-1)),MIN(BP$38,$E492),$P$20))-SUM($BF492:BO492))</f>
        <v>0</v>
      </c>
      <c r="BQ492" s="446">
        <f>IF($E492=0,0,IF(MIN(BQ$38,$E492)&lt;MAX($P$34*($B492+$I$38-1),IF(AND($L$37=0,$P$34=0),"",$L$37-1)),0,YEARFRAC(MAX($P$34*($B492+$I$38-1),IF(AND($L$37=0,$P$34=0),"",$L$37-1)),MIN(BQ$38,$E492),$P$20))-SUM($BF492:BP492))</f>
        <v>0</v>
      </c>
      <c r="BR492" s="446">
        <f>IF($E492=0,0,IF(MIN(BR$38,$E492)&lt;MAX($P$34*($B492+$I$38-1),IF(AND($L$37=0,$P$34=0),"",$L$37-1)),0,YEARFRAC(MAX($P$34*($B492+$I$38-1),IF(AND($L$37=0,$P$34=0),"",$L$37-1)),MIN(BR$38,$E492),$P$20))-SUM($BF492:BQ492))</f>
        <v>0</v>
      </c>
      <c r="BS492" s="446">
        <f>IF($E492=0,0,IF(MIN(BS$38,$E492)&lt;MAX($P$34*($B492+$I$38-1),IF(AND($L$37=0,$P$34=0),"",$L$37-1)),0,YEARFRAC(MAX($P$34*($B492+$I$38-1),IF(AND($L$37=0,$P$34=0),"",$L$37-1)),MIN(BS$38,$E492),$P$20))-SUM($BF492:BR492))</f>
        <v>0</v>
      </c>
      <c r="BT492" s="446">
        <f>IF($E492=0,0,IF(MIN(BT$38,$E492)&lt;MAX($P$34*($B492+$I$38-1),IF(AND($L$37=0,$P$34=0),"",$L$37-1)),0,YEARFRAC(MAX($P$34*($B492+$I$38-1),IF(AND($L$37=0,$P$34=0),"",$L$37-1)),MIN(BT$38,$E492),$P$20))-SUM($BF492:BS492))</f>
        <v>0</v>
      </c>
      <c r="BU492" s="446">
        <f>IF($E492=0,0,IF(MIN(BU$38,$E492)&lt;MAX($P$34*($B492+$I$38-1),IF(AND($L$37=0,$P$34=0),"",$L$37-1)),0,YEARFRAC(MAX($P$34*($B492+$I$38-1),IF(AND($L$37=0,$P$34=0),"",$L$37-1)),MIN(BU$38,$E492),$P$20))-SUM($BF492:BT492))</f>
        <v>0</v>
      </c>
      <c r="BV492" s="446">
        <f>IF($E492=0,0,IF(MIN(BV$38,$E492)&lt;MAX($P$34*($B492+$I$38-1),IF(AND($L$37=0,$P$34=0),"",$L$37-1)),0,YEARFRAC(MAX($P$34*($B492+$I$38-1),IF(AND($L$37=0,$P$34=0),"",$L$37-1)),MIN(BV$38,$E492),$P$20))-SUM($BF492:BU492))</f>
        <v>0</v>
      </c>
      <c r="BW492" s="446">
        <f>IF($E492=0,0,IF(MIN(BW$38,$E492)&lt;MAX($P$34*($B492+$I$38-1),IF(AND($L$37=0,$P$34=0),"",$L$37-1)),0,YEARFRAC(MAX($P$34*($B492+$I$38-1),IF(AND($L$37=0,$P$34=0),"",$L$37-1)),MIN(BW$38,$E492),$P$20))-SUM($BF492:BV492))</f>
        <v>0</v>
      </c>
      <c r="BX492" s="446">
        <f>IF($E492=0,0,IF(MIN(BX$38,$E492)&lt;MAX($P$34*($B492+$I$38-1),IF(AND($L$37=0,$P$34=0),"",$L$37-1)),0,YEARFRAC(MAX($P$34*($B492+$I$38-1),IF(AND($L$37=0,$P$34=0),"",$L$37-1)),MIN(BX$38,$E492),$P$20))-SUM($BF492:BW492))</f>
        <v>0</v>
      </c>
      <c r="BY492" s="446">
        <f>IF($E492=0,0,IF(MIN(BY$38,$E492)&lt;MAX($P$34*($B492+$I$38-1),IF(AND($L$37=0,$P$34=0),"",$L$37-1)),0,YEARFRAC(MAX($P$34*($B492+$I$38-1),IF(AND($L$37=0,$P$34=0),"",$L$37-1)),MIN(BY$38,$E492),$P$20))-SUM($BF492:BX492))</f>
        <v>0</v>
      </c>
      <c r="BZ492" s="446">
        <f>IF($E492=0,0,IF(MIN(BZ$38,$E492)&lt;MAX($P$34*($B492+$I$38-1),IF(AND($L$37=0,$P$34=0),"",$L$37-1)),0,YEARFRAC(MAX($P$34*($B492+$I$38-1),IF(AND($L$37=0,$P$34=0),"",$L$37-1)),MIN(BZ$38,$E492),$P$20))-SUM($BF492:BY492))</f>
        <v>0</v>
      </c>
      <c r="CA492" s="446">
        <f>IF($E492=0,0,IF(MIN(CA$38,$E492)&lt;MAX($P$34*($B492+$I$38-1),IF(AND($L$37=0,$P$34=0),"",$L$37-1)),0,YEARFRAC(MAX($P$34*($B492+$I$38-1),IF(AND($L$37=0,$P$34=0),"",$L$37-1)),MIN(CA$38,$E492),$P$20))-SUM($BF492:BZ492))</f>
        <v>0</v>
      </c>
      <c r="CB492" s="446">
        <f>IF($E492=0,0,IF(MIN(CB$38,$E492)&lt;MAX($P$34*($B492+$I$38-1),IF(AND($L$37=0,$P$34=0),"",$L$37-1)),0,YEARFRAC(MAX($P$34*($B492+$I$38-1),IF(AND($L$37=0,$P$34=0),"",$L$37-1)),MIN(CB$38,$E492),$P$20))-SUM($BF492:CA492))</f>
        <v>0</v>
      </c>
      <c r="CC492" s="446">
        <f>IF($E492=0,0,IF(MIN(CC$38,$E492)&lt;MAX($P$34*($B492+$I$38-1),IF(AND($L$37=0,$P$34=0),"",$L$37-1)),0,YEARFRAC(MAX($P$34*($B492+$I$38-1),IF(AND($L$37=0,$P$34=0),"",$L$37-1)),MIN(CC$38,$E492),$P$20))-SUM($BF492:CB492))</f>
        <v>0</v>
      </c>
      <c r="CD492" s="446">
        <f>IF($E492=0,0,IF(MIN(CD$38,$E492)&lt;MAX($P$34*($B492+$I$38-1),IF(AND($L$37=0,$P$34=0),"",$L$37-1)),0,YEARFRAC(MAX($P$34*($B492+$I$38-1),IF(AND($L$37=0,$P$34=0),"",$L$37-1)),MIN(CD$38,$E492),$P$20))-SUM($BF492:CC492))</f>
        <v>0</v>
      </c>
      <c r="CE492" s="446">
        <f>IF($E492=0,0,IF(MIN(CE$38,$E492)&lt;MAX($P$34*($B492+$I$38-1),IF(AND($L$37=0,$P$34=0),"",$L$37-1)),0,YEARFRAC(MAX($P$34*($B492+$I$38-1),IF(AND($L$37=0,$P$34=0),"",$L$37-1)),MIN(CE$38,$E492),$P$20))-SUM($BF492:CD492))</f>
        <v>0</v>
      </c>
      <c r="CF492" s="446">
        <f>IF($E492=0,0,IF(MIN(CF$38,$E492)&lt;MAX($P$34*($B492+$I$38-1),IF(AND($L$37=0,$P$34=0),"",$L$37-1)),0,YEARFRAC(MAX($P$34*($B492+$I$38-1),IF(AND($L$37=0,$P$34=0),"",$L$37-1)),MIN(CF$38,$E492),$P$20))-SUM($BF492:CE492))</f>
        <v>0</v>
      </c>
      <c r="CG492" s="446">
        <f>IF($E492=0,0,IF(MIN(CG$38,$E492)&lt;MAX($P$34*($B492+$I$38-1),IF(AND($L$37=0,$P$34=0),"",$L$37-1)),0,YEARFRAC(MAX($P$34*($B492+$I$38-1),IF(AND($L$37=0,$P$34=0),"",$L$37-1)),MIN(CG$38,$E492),$P$20))-SUM($BF492:CF492))</f>
        <v>0</v>
      </c>
      <c r="CH492" s="446">
        <f>IF($E492=0,0,IF(MIN(CH$38,$E492)&lt;MAX($P$34*($B492+$I$38-1),IF(AND($L$37=0,$P$34=0),"",$L$37-1)),0,YEARFRAC(MAX($P$34*($B492+$I$38-1),IF(AND($L$37=0,$P$34=0),"",$L$37-1)),MIN(CH$38,$E492),$P$20))-SUM($BF492:CG492))</f>
        <v>0</v>
      </c>
      <c r="CI492" s="446">
        <f>IF($E492=0,0,IF(MIN(CI$38,$E492)&lt;MAX($P$34*($B492+$I$38-1),IF(AND($L$37=0,$P$34=0),"",$L$37-1)),0,YEARFRAC(MAX($P$34*($B492+$I$38-1),IF(AND($L$37=0,$P$34=0),"",$L$37-1)),MIN(CI$38,$E492),$P$20))-SUM($BF492:CH492))</f>
        <v>0</v>
      </c>
      <c r="CJ492" s="446">
        <f>IF($E492=0,0,IF(MIN(CJ$38,$E492)&lt;MAX($P$34*($B492+$I$38-1),IF(AND($L$37=0,$P$34=0),"",$L$37-1)),0,YEARFRAC(MAX($P$34*($B492+$I$38-1),IF(AND($L$37=0,$P$34=0),"",$L$37-1)),MIN(CJ$38,$E492),$P$20))-SUM($BF492:CI492))</f>
        <v>0</v>
      </c>
      <c r="CK492" s="446">
        <f>IF($E492=0,0,IF(MIN(CK$38,$E492)&lt;MAX($P$34*($B492+$I$38-1),IF(AND($L$37=0,$P$34=0),"",$L$37-1)),0,YEARFRAC(MAX($P$34*($B492+$I$38-1),IF(AND($L$37=0,$P$34=0),"",$L$37-1)),MIN(CK$38,$E492),$P$20))-SUM($BF492:CJ492))</f>
        <v>0</v>
      </c>
      <c r="CL492" s="446">
        <f>IF($E492=0,0,IF(MIN(CL$38,$E492)&lt;MAX($P$34*($B492+$I$38-1),IF(AND($L$37=0,$P$34=0),"",$L$37-1)),0,YEARFRAC(MAX($P$34*($B492+$I$38-1),IF(AND($L$37=0,$P$34=0),"",$L$37-1)),MIN(CL$38,$E492),$P$20))-SUM($BF492:CK492))</f>
        <v>0</v>
      </c>
      <c r="CM492" s="446">
        <f>IF($E492=0,0,IF(MIN(CM$38,$E492)&lt;MAX($P$34*($B492+$I$38-1),IF(AND($L$37=0,$P$34=0),"",$L$37-1)),0,YEARFRAC(MAX($P$34*($B492+$I$38-1),IF(AND($L$37=0,$P$34=0),"",$L$37-1)),MIN(CM$38,$E492),$P$20))-SUM($BF492:CL492))</f>
        <v>0</v>
      </c>
      <c r="CN492" s="446">
        <f>IF($E492=0,0,IF(MIN(CN$38,$E492)&lt;MAX($P$34*($B492+$I$38-1),IF(AND($L$37=0,$P$34=0),"",$L$37-1)),0,YEARFRAC(MAX($P$34*($B492+$I$38-1),IF(AND($L$37=0,$P$34=0),"",$L$37-1)),MIN(CN$38,$E492),$P$20))-SUM($BF492:CM492))</f>
        <v>0</v>
      </c>
      <c r="CO492" s="446">
        <f>IF($E492=0,0,IF(MIN(CO$38,$E492)&lt;MAX($P$34*($B492+$I$38-1),IF(AND($L$37=0,$P$34=0),"",$L$37-1)),0,YEARFRAC(MAX($P$34*($B492+$I$38-1),IF(AND($L$37=0,$P$34=0),"",$L$37-1)),MIN(CO$38,$E492),$P$20))-SUM($BF492:CN492))</f>
        <v>0</v>
      </c>
      <c r="CP492" s="446">
        <f>IF($E492=0,0,IF(MIN(CP$38,$E492)&lt;MAX($P$34*($B492+$I$38-1),IF(AND($L$37=0,$P$34=0),"",$L$37-1)),0,YEARFRAC(MAX($P$34*($B492+$I$38-1),IF(AND($L$37=0,$P$34=0),"",$L$37-1)),MIN(CP$38,$E492),$P$20))-SUM($BF492:CO492))</f>
        <v>0</v>
      </c>
      <c r="CQ492" s="446">
        <f>IF($E492=0,0,IF(MIN(CQ$38,$E492)&lt;MAX($P$34*($B492+$I$38-1),IF(AND($L$37=0,$P$34=0),"",$L$37-1)),0,YEARFRAC(MAX($P$34*($B492+$I$38-1),IF(AND($L$37=0,$P$34=0),"",$L$37-1)),MIN(CQ$38,$E492),$P$20))-SUM($BF492:CP492))</f>
        <v>0</v>
      </c>
    </row>
    <row r="493" spans="1:95" s="446" customFormat="1" ht="11.25" hidden="1" customHeight="1" x14ac:dyDescent="0.2">
      <c r="A493" s="152"/>
      <c r="B493" s="153" t="str">
        <f t="shared" si="92"/>
        <v/>
      </c>
      <c r="C493" s="29" t="str">
        <f>IF(B493="","",IF($L$35="SELIC - TRIBUTOS",VLOOKUP(DATE(YEAR($D$19),MONTH($D$19)-1,1),ÍNDICES!$A:$DE,HLOOKUP($BL$25,ÍNDICES!$B$3:$T$4,2)+11)-VLOOKUP(B493,ÍNDICES!$A:$DE,HLOOKUP($BL$25,ÍNDICES!$B$3:$T$4,2)+11)+1%,IF(C$38=$W$26,$J$35,IF(ISERROR(IF(B493&gt;$D$19,1,VLOOKUP(DATE(YEAR(B493),MONTH(B493)+IF($C$35=$S$23,1,0),1),ÍNDICES!$A:$DE,$Z$35+1))),"",IF(B493&gt;$D$19,1,VLOOKUP(DATE(YEAR(B493),MONTH(B493)+IF($C$35=$S$23,1,0),1),ÍNDICES!$A:$DE,$Z$35+1))))))</f>
        <v/>
      </c>
      <c r="D493" s="154" t="str">
        <f>IF(ISERROR(IF(OR($D$38=$Y$27,$B493=""),"",VLOOKUP(B493,ÍNDICES!A:DE,AF$35+1))),"",IF(OR($D$38=$Y$27,$B493=""),"",VLOOKUP(B493,ÍNDICES!A:DE,AF$35+1)))</f>
        <v/>
      </c>
      <c r="E493" s="153"/>
      <c r="F493" s="29" t="str">
        <f>IF(E493="","",IF($L$35="SELIC - TRIBUTOS",VLOOKUP(DATE(YEAR($D$19),MONTH($D$19)-1,1),ÍNDICES!$A:$DE,HLOOKUP($BL$25,ÍNDICES!$B$3:$T$4,2)+11)-VLOOKUP(E493,ÍNDICES!$A:$DE,HLOOKUP($BL$25,ÍNDICES!$B$3:$T$4,2)+11)+1%,IF(F$38=$W$26,$J$35,IF(ISERROR(IF(E493&gt;$D$19,1,VLOOKUP(DATE(YEAR(E493),MONTH(E493)+IF($C$35=$S$23,1,0),1),ÍNDICES!$A:$DE,$Z$35+1))),"",IF(E493&gt;$D$19,1,VLOOKUP(DATE(YEAR(E493),MONTH(E493)+IF($C$35=$S$23,1,0),1),ÍNDICES!$A:$DE,$Z$35+1))))))</f>
        <v/>
      </c>
      <c r="G493" s="155"/>
      <c r="H493" s="156" t="str">
        <f t="shared" si="88"/>
        <v/>
      </c>
      <c r="I493" s="29" t="str">
        <f t="shared" si="82"/>
        <v/>
      </c>
      <c r="J493" s="5">
        <f t="shared" si="83"/>
        <v>0</v>
      </c>
      <c r="K493" s="20">
        <f t="shared" ca="1" si="84"/>
        <v>0</v>
      </c>
      <c r="L493" s="5">
        <f t="shared" ca="1" si="85"/>
        <v>0</v>
      </c>
      <c r="M493" s="64">
        <f t="shared" si="89"/>
        <v>0</v>
      </c>
      <c r="N493" s="61">
        <f t="shared" ca="1" si="90"/>
        <v>0</v>
      </c>
      <c r="O493" s="5">
        <f t="shared" ca="1" si="91"/>
        <v>0</v>
      </c>
      <c r="P493" s="446" t="e">
        <f t="shared" si="86"/>
        <v>#VALUE!</v>
      </c>
      <c r="Q493" s="446" t="e">
        <f>IF(OR($B493="",MIN(Q$38,$D$19)&lt;MAX($P$34*($B493+IF($R$17="Distrato",$I$38-1,0)),IF(AND($L$37=0,$P$34=0),"",$L$37-1),IF($R$17="Distrato",$E493,0))),0,YEARFRAC(MAX($P$34*($B493+IF($R$17="Distrato",$I$38-1,0)),IF(AND($L$37=0,$P$34=0),"",$L$37-1),IF($R$17="Distrato",$E493,0)),MIN(Q$38,$D$19),$P$20))-SUM($P493:P493)</f>
        <v>#VALUE!</v>
      </c>
      <c r="R493" s="446" t="e">
        <f>IF(OR($B493="",MIN(R$38,$D$19)&lt;MAX($P$34*($B493+IF($R$17="Distrato",$I$38-1,0)),IF(AND($L$37=0,$P$34=0),"",$L$37-1),IF($R$17="Distrato",$E493,0))),0,YEARFRAC(MAX($P$34*($B493+IF($R$17="Distrato",$I$38-1,0)),IF(AND($L$37=0,$P$34=0),"",$L$37-1),IF($R$17="Distrato",$E493,0)),MIN(R$38,$D$19),$P$20))-SUM($P493:Q493)</f>
        <v>#VALUE!</v>
      </c>
      <c r="S493" s="446" t="e">
        <f>IF(OR($B493="",MIN(S$38,$D$19)&lt;MAX($P$34*($B493+IF($R$17="Distrato",$I$38-1,0)),IF(AND($L$37=0,$P$34=0),"",$L$37-1),IF($R$17="Distrato",$E493,0))),0,YEARFRAC(MAX($P$34*($B493+IF($R$17="Distrato",$I$38-1,0)),IF(AND($L$37=0,$P$34=0),"",$L$37-1),IF($R$17="Distrato",$E493,0)),MIN(S$38,$D$19),$P$20))-SUM($P493:R493)</f>
        <v>#VALUE!</v>
      </c>
      <c r="T493" s="446" t="e">
        <f>IF(OR($B493="",MIN(T$38,$D$19)&lt;MAX($P$34*($B493+IF($R$17="Distrato",$I$38-1,0)),IF(AND($L$37=0,$P$34=0),"",$L$37-1),IF($R$17="Distrato",$E493,0))),0,YEARFRAC(MAX($P$34*($B493+IF($R$17="Distrato",$I$38-1,0)),IF(AND($L$37=0,$P$34=0),"",$L$37-1),IF($R$17="Distrato",$E493,0)),MIN(T$38,$D$19),$P$20))-SUM($P493:S493)</f>
        <v>#VALUE!</v>
      </c>
      <c r="U493" s="446" t="e">
        <f>IF(OR($B493="",MIN(U$38,$D$19)&lt;MAX($P$34*($B493+IF($R$17="Distrato",$I$38-1,0)),IF(AND($L$37=0,$P$34=0),"",$L$37-1),IF($R$17="Distrato",$E493,0))),0,YEARFRAC(MAX($P$34*($B493+IF($R$17="Distrato",$I$38-1,0)),IF(AND($L$37=0,$P$34=0),"",$L$37-1),IF($R$17="Distrato",$E493,0)),MIN(U$38,$D$19),$P$20))-SUM($P493:T493)</f>
        <v>#VALUE!</v>
      </c>
      <c r="V493" s="446" t="e">
        <f>IF(OR($B493="",MIN(V$38,$D$19)&lt;MAX($P$34*($B493+IF($R$17="Distrato",$I$38-1,0)),IF(AND($L$37=0,$P$34=0),"",$L$37-1),IF($R$17="Distrato",$E493,0))),0,YEARFRAC(MAX($P$34*($B493+IF($R$17="Distrato",$I$38-1,0)),IF(AND($L$37=0,$P$34=0),"",$L$37-1),IF($R$17="Distrato",$E493,0)),MIN(V$38,$D$19),$P$20))-SUM($P493:U493)</f>
        <v>#VALUE!</v>
      </c>
      <c r="W493" s="446" t="e">
        <f>IF(OR($B493="",MIN(W$38,$D$19)&lt;MAX($P$34*($B493+IF($R$17="Distrato",$I$38-1,0)),IF(AND($L$37=0,$P$34=0),"",$L$37-1),IF($R$17="Distrato",$E493,0))),0,YEARFRAC(MAX($P$34*($B493+IF($R$17="Distrato",$I$38-1,0)),IF(AND($L$37=0,$P$34=0),"",$L$37-1),IF($R$17="Distrato",$E493,0)),MIN(W$38,$D$19),$P$20))-SUM($P493:V493)</f>
        <v>#VALUE!</v>
      </c>
      <c r="X493" s="446" t="e">
        <f>IF(OR($B493="",MIN(X$38,$D$19)&lt;MAX($P$34*($B493+IF($R$17="Distrato",$I$38-1,0)),IF(AND($L$37=0,$P$34=0),"",$L$37-1),IF($R$17="Distrato",$E493,0))),0,YEARFRAC(MAX($P$34*($B493+IF($R$17="Distrato",$I$38-1,0)),IF(AND($L$37=0,$P$34=0),"",$L$37-1),IF($R$17="Distrato",$E493,0)),MIN(X$38,$D$19),$P$20))-SUM($P493:W493)</f>
        <v>#VALUE!</v>
      </c>
      <c r="Y493" s="446" t="e">
        <f>IF(OR($B493="",MIN(Y$38,$D$19)&lt;MAX($P$34*($B493+IF($R$17="Distrato",$I$38-1,0)),IF(AND($L$37=0,$P$34=0),"",$L$37-1),IF($R$17="Distrato",$E493,0))),0,YEARFRAC(MAX($P$34*($B493+IF($R$17="Distrato",$I$38-1,0)),IF(AND($L$37=0,$P$34=0),"",$L$37-1),IF($R$17="Distrato",$E493,0)),MIN(Y$38,$D$19),$P$20))-SUM($P493:X493)</f>
        <v>#VALUE!</v>
      </c>
      <c r="Z493" s="446" t="e">
        <f>IF(OR($B493="",MIN(Z$38,$D$19)&lt;MAX($P$34*($B493+IF($R$17="Distrato",$I$38-1,0)),IF(AND($L$37=0,$P$34=0),"",$L$37-1),IF($R$17="Distrato",$E493,0))),0,YEARFRAC(MAX($P$34*($B493+IF($R$17="Distrato",$I$38-1,0)),IF(AND($L$37=0,$P$34=0),"",$L$37-1),IF($R$17="Distrato",$E493,0)),MIN(Z$38,$D$19),$P$20))-SUM($P493:Y493)</f>
        <v>#VALUE!</v>
      </c>
      <c r="AA493" s="446" t="e">
        <f>IF(OR($B493="",MIN(AA$38,$D$19)&lt;MAX($P$34*($B493+IF($R$17="Distrato",$I$38-1,0)),IF(AND($L$37=0,$P$34=0),"",$L$37-1),IF($R$17="Distrato",$E493,0))),0,YEARFRAC(MAX($P$34*($B493+IF($R$17="Distrato",$I$38-1,0)),IF(AND($L$37=0,$P$34=0),"",$L$37-1),IF($R$17="Distrato",$E493,0)),MIN(AA$38,$D$19),$P$20))-SUM($P493:Z493)</f>
        <v>#VALUE!</v>
      </c>
      <c r="AB493" s="446" t="e">
        <f>IF(OR($B493="",MIN(AB$38,$D$19)&lt;MAX($P$34*($B493+IF($R$17="Distrato",$I$38-1,0)),IF(AND($L$37=0,$P$34=0),"",$L$37-1),IF($R$17="Distrato",$E493,0))),0,YEARFRAC(MAX($P$34*($B493+IF($R$17="Distrato",$I$38-1,0)),IF(AND($L$37=0,$P$34=0),"",$L$37-1),IF($R$17="Distrato",$E493,0)),MIN(AB$38,$D$19),$P$20))-SUM($P493:AA493)</f>
        <v>#VALUE!</v>
      </c>
      <c r="AC493" s="446" t="e">
        <f>IF(OR($B493="",MIN(AC$38,$D$19)&lt;MAX($P$34*($B493+IF($R$17="Distrato",$I$38-1,0)),IF(AND($L$37=0,$P$34=0),"",$L$37-1),IF($R$17="Distrato",$E493,0))),0,YEARFRAC(MAX($P$34*($B493+IF($R$17="Distrato",$I$38-1,0)),IF(AND($L$37=0,$P$34=0),"",$L$37-1),IF($R$17="Distrato",$E493,0)),MIN(AC$38,$D$19),$P$20))-SUM($P493:AB493)</f>
        <v>#VALUE!</v>
      </c>
      <c r="AD493" s="446" t="e">
        <f>IF(OR($B493="",MIN(AD$38,$D$19)&lt;MAX($P$34*($B493+IF($R$17="Distrato",$I$38-1,0)),IF(AND($L$37=0,$P$34=0),"",$L$37-1),IF($R$17="Distrato",$E493,0))),0,YEARFRAC(MAX($P$34*($B493+IF($R$17="Distrato",$I$38-1,0)),IF(AND($L$37=0,$P$34=0),"",$L$37-1),IF($R$17="Distrato",$E493,0)),MIN(AD$38,$D$19),$P$20))-SUM($P493:AC493)</f>
        <v>#VALUE!</v>
      </c>
      <c r="AE493" s="446" t="e">
        <f>IF(OR($B493="",MIN(AE$38,$D$19)&lt;MAX($P$34*($B493+IF($R$17="Distrato",$I$38-1,0)),IF(AND($L$37=0,$P$34=0),"",$L$37-1),IF($R$17="Distrato",$E493,0))),0,YEARFRAC(MAX($P$34*($B493+IF($R$17="Distrato",$I$38-1,0)),IF(AND($L$37=0,$P$34=0),"",$L$37-1),IF($R$17="Distrato",$E493,0)),MIN(AE$38,$D$19),$P$20))-SUM($P493:AD493)</f>
        <v>#VALUE!</v>
      </c>
      <c r="AF493" s="446" t="e">
        <f>IF(OR($B493="",MIN(AF$38,$D$19)&lt;MAX($P$34*($B493+IF($R$17="Distrato",$I$38-1,0)),IF(AND($L$37=0,$P$34=0),"",$L$37-1),IF($R$17="Distrato",$E493,0))),0,YEARFRAC(MAX($P$34*($B493+IF($R$17="Distrato",$I$38-1,0)),IF(AND($L$37=0,$P$34=0),"",$L$37-1),IF($R$17="Distrato",$E493,0)),MIN(AF$38,$D$19),$P$20))-SUM($P493:AE493)</f>
        <v>#VALUE!</v>
      </c>
      <c r="AG493" s="446" t="e">
        <f>IF(OR($B493="",MIN(AG$38,$D$19)&lt;MAX($P$34*($B493+IF($R$17="Distrato",$I$38-1,0)),IF(AND($L$37=0,$P$34=0),"",$L$37-1),IF($R$17="Distrato",$E493,0))),0,YEARFRAC(MAX($P$34*($B493+IF($R$17="Distrato",$I$38-1,0)),IF(AND($L$37=0,$P$34=0),"",$L$37-1),IF($R$17="Distrato",$E493,0)),MIN(AG$38,$D$19),$P$20))-SUM($P493:AF493)</f>
        <v>#VALUE!</v>
      </c>
      <c r="AH493" s="446" t="e">
        <f>IF(OR($B493="",MIN(AH$38,$D$19)&lt;MAX($P$34*($B493+IF($R$17="Distrato",$I$38-1,0)),IF(AND($L$37=0,$P$34=0),"",$L$37-1),IF($R$17="Distrato",$E493,0))),0,YEARFRAC(MAX($P$34*($B493+IF($R$17="Distrato",$I$38-1,0)),IF(AND($L$37=0,$P$34=0),"",$L$37-1),IF($R$17="Distrato",$E493,0)),MIN(AH$38,$D$19),$P$20))-SUM($P493:AG493)</f>
        <v>#VALUE!</v>
      </c>
      <c r="AI493" s="446" t="e">
        <f>IF(OR($B493="",MIN(AI$38,$D$19)&lt;MAX($P$34*($B493+IF($R$17="Distrato",$I$38-1,0)),IF(AND($L$37=0,$P$34=0),"",$L$37-1),IF($R$17="Distrato",$E493,0))),0,YEARFRAC(MAX($P$34*($B493+IF($R$17="Distrato",$I$38-1,0)),IF(AND($L$37=0,$P$34=0),"",$L$37-1),IF($R$17="Distrato",$E493,0)),MIN(AI$38,$D$19),$P$20))-SUM($P493:AH493)</f>
        <v>#VALUE!</v>
      </c>
      <c r="AJ493" s="446" t="e">
        <f>IF(OR($B493="",MIN(AJ$38,$D$19)&lt;MAX($P$34*($B493+IF($R$17="Distrato",$I$38-1,0)),IF(AND($L$37=0,$P$34=0),"",$L$37-1),IF($R$17="Distrato",$E493,0))),0,YEARFRAC(MAX($P$34*($B493+IF($R$17="Distrato",$I$38-1,0)),IF(AND($L$37=0,$P$34=0),"",$L$37-1),IF($R$17="Distrato",$E493,0)),MIN(AJ$38,$D$19),$P$20))-SUM($P493:AI493)</f>
        <v>#VALUE!</v>
      </c>
      <c r="AK493" s="446" t="e">
        <f>IF(OR($B493="",MIN(AK$38,$D$19)&lt;MAX($P$34*($B493+IF($R$17="Distrato",$I$38-1,0)),IF(AND($L$37=0,$P$34=0),"",$L$37-1),IF($R$17="Distrato",$E493,0))),0,YEARFRAC(MAX($P$34*($B493+IF($R$17="Distrato",$I$38-1,0)),IF(AND($L$37=0,$P$34=0),"",$L$37-1),IF($R$17="Distrato",$E493,0)),MIN(AK$38,$D$19),$P$20))-SUM($P493:AJ493)</f>
        <v>#VALUE!</v>
      </c>
      <c r="AL493" s="446" t="e">
        <f>IF(OR($B493="",MIN(AL$38,$D$19)&lt;MAX($P$34*($B493+IF($R$17="Distrato",$I$38-1,0)),IF(AND($L$37=0,$P$34=0),"",$L$37-1),IF($R$17="Distrato",$E493,0))),0,YEARFRAC(MAX($P$34*($B493+IF($R$17="Distrato",$I$38-1,0)),IF(AND($L$37=0,$P$34=0),"",$L$37-1),IF($R$17="Distrato",$E493,0)),MIN(AL$38,$D$19),$P$20))-SUM($P493:AK493)</f>
        <v>#VALUE!</v>
      </c>
      <c r="AM493" s="446" t="e">
        <f>IF(OR($B493="",MIN(AM$38,$D$19)&lt;MAX($P$34*($B493+IF($R$17="Distrato",$I$38-1,0)),IF(AND($L$37=0,$P$34=0),"",$L$37-1),IF($R$17="Distrato",$E493,0))),0,YEARFRAC(MAX($P$34*($B493+IF($R$17="Distrato",$I$38-1,0)),IF(AND($L$37=0,$P$34=0),"",$L$37-1),IF($R$17="Distrato",$E493,0)),MIN(AM$38,$D$19),$P$20))-SUM($P493:AL493)</f>
        <v>#VALUE!</v>
      </c>
      <c r="AN493" s="446" t="e">
        <f>IF(OR($B493="",MIN(AN$38,$D$19)&lt;MAX($P$34*($B493+IF($R$17="Distrato",$I$38-1,0)),IF(AND($L$37=0,$P$34=0),"",$L$37-1),IF($R$17="Distrato",$E493,0))),0,YEARFRAC(MAX($P$34*($B493+IF($R$17="Distrato",$I$38-1,0)),IF(AND($L$37=0,$P$34=0),"",$L$37-1),IF($R$17="Distrato",$E493,0)),MIN(AN$38,$D$19),$P$20))-SUM($P493:AM493)</f>
        <v>#VALUE!</v>
      </c>
      <c r="AO493" s="446" t="e">
        <f>IF(OR($B493="",MIN(AO$38,$D$19)&lt;MAX($P$34*($B493+IF($R$17="Distrato",$I$38-1,0)),IF(AND($L$37=0,$P$34=0),"",$L$37-1),IF($R$17="Distrato",$E493,0))),0,YEARFRAC(MAX($P$34*($B493+IF($R$17="Distrato",$I$38-1,0)),IF(AND($L$37=0,$P$34=0),"",$L$37-1),IF($R$17="Distrato",$E493,0)),MIN(AO$38,$D$19),$P$20))-SUM($P493:AN493)</f>
        <v>#VALUE!</v>
      </c>
      <c r="AP493" s="446" t="e">
        <f>IF(OR($B493="",MIN(AP$38,$D$19)&lt;MAX($P$34*($B493+IF($R$17="Distrato",$I$38-1,0)),IF(AND($L$37=0,$P$34=0),"",$L$37-1),IF($R$17="Distrato",$E493,0))),0,YEARFRAC(MAX($P$34*($B493+IF($R$17="Distrato",$I$38-1,0)),IF(AND($L$37=0,$P$34=0),"",$L$37-1),IF($R$17="Distrato",$E493,0)),MIN(AP$38,$D$19),$P$20))-SUM($P493:AO493)</f>
        <v>#VALUE!</v>
      </c>
      <c r="AQ493" s="446" t="e">
        <f>IF(OR($B493="",MIN(AQ$38,$D$19)&lt;MAX($P$34*($B493+IF($R$17="Distrato",$I$38-1,0)),IF(AND($L$37=0,$P$34=0),"",$L$37-1),IF($R$17="Distrato",$E493,0))),0,YEARFRAC(MAX($P$34*($B493+IF($R$17="Distrato",$I$38-1,0)),IF(AND($L$37=0,$P$34=0),"",$L$37-1),IF($R$17="Distrato",$E493,0)),MIN(AQ$38,$D$19),$P$20))-SUM($P493:AP493)</f>
        <v>#VALUE!</v>
      </c>
      <c r="AR493" s="446" t="e">
        <f>IF(OR($B493="",MIN(AR$38,$D$19)&lt;MAX($P$34*($B493+IF($R$17="Distrato",$I$38-1,0)),IF(AND($L$37=0,$P$34=0),"",$L$37-1),IF($R$17="Distrato",$E493,0))),0,YEARFRAC(MAX($P$34*($B493+IF($R$17="Distrato",$I$38-1,0)),IF(AND($L$37=0,$P$34=0),"",$L$37-1),IF($R$17="Distrato",$E493,0)),MIN(AR$38,$D$19),$P$20))-SUM($P493:AQ493)</f>
        <v>#VALUE!</v>
      </c>
      <c r="AS493" s="446" t="e">
        <f>IF(OR($B493="",MIN(AS$38,$D$19)&lt;MAX($P$34*($B493+IF($R$17="Distrato",$I$38-1,0)),IF(AND($L$37=0,$P$34=0),"",$L$37-1),IF($R$17="Distrato",$E493,0))),0,YEARFRAC(MAX($P$34*($B493+IF($R$17="Distrato",$I$38-1,0)),IF(AND($L$37=0,$P$34=0),"",$L$37-1),IF($R$17="Distrato",$E493,0)),MIN(AS$38,$D$19),$P$20))-SUM($P493:AR493)</f>
        <v>#VALUE!</v>
      </c>
      <c r="AT493" s="446" t="e">
        <f>IF(OR($B493="",MIN(AT$38,$D$19)&lt;MAX($P$34*($B493+IF($R$17="Distrato",$I$38-1,0)),IF(AND($L$37=0,$P$34=0),"",$L$37-1),IF($R$17="Distrato",$E493,0))),0,YEARFRAC(MAX($P$34*($B493+IF($R$17="Distrato",$I$38-1,0)),IF(AND($L$37=0,$P$34=0),"",$L$37-1),IF($R$17="Distrato",$E493,0)),MIN(AT$38,$D$19),$P$20))-SUM($P493:AS493)</f>
        <v>#VALUE!</v>
      </c>
      <c r="AU493" s="446" t="e">
        <f>IF(OR($B493="",MIN(AU$38,$D$19)&lt;MAX($P$34*($B493+IF($R$17="Distrato",$I$38-1,0)),IF(AND($L$37=0,$P$34=0),"",$L$37-1),IF($R$17="Distrato",$E493,0))),0,YEARFRAC(MAX($P$34*($B493+IF($R$17="Distrato",$I$38-1,0)),IF(AND($L$37=0,$P$34=0),"",$L$37-1),IF($R$17="Distrato",$E493,0)),MIN(AU$38,$D$19),$P$20))-SUM($P493:AT493)</f>
        <v>#VALUE!</v>
      </c>
      <c r="AV493" s="446" t="e">
        <f>IF(OR($B493="",MIN(AV$38,$D$19)&lt;MAX($P$34*($B493+IF($R$17="Distrato",$I$38-1,0)),IF(AND($L$37=0,$P$34=0),"",$L$37-1),IF($R$17="Distrato",$E493,0))),0,YEARFRAC(MAX($P$34*($B493+IF($R$17="Distrato",$I$38-1,0)),IF(AND($L$37=0,$P$34=0),"",$L$37-1),IF($R$17="Distrato",$E493,0)),MIN(AV$38,$D$19),$P$20))-SUM($P493:AU493)</f>
        <v>#VALUE!</v>
      </c>
      <c r="AW493" s="446" t="e">
        <f>IF(OR($B493="",MIN(AW$38,$D$19)&lt;MAX($P$34*($B493+IF($R$17="Distrato",$I$38-1,0)),IF(AND($L$37=0,$P$34=0),"",$L$37-1),IF($R$17="Distrato",$E493,0))),0,YEARFRAC(MAX($P$34*($B493+IF($R$17="Distrato",$I$38-1,0)),IF(AND($L$37=0,$P$34=0),"",$L$37-1),IF($R$17="Distrato",$E493,0)),MIN(AW$38,$D$19),$P$20))-SUM($P493:AV493)</f>
        <v>#VALUE!</v>
      </c>
      <c r="AX493" s="446" t="e">
        <f>IF(OR($B493="",MIN(AX$38,$D$19)&lt;MAX($P$34*($B493+IF($R$17="Distrato",$I$38-1,0)),IF(AND($L$37=0,$P$34=0),"",$L$37-1),IF($R$17="Distrato",$E493,0))),0,YEARFRAC(MAX($P$34*($B493+IF($R$17="Distrato",$I$38-1,0)),IF(AND($L$37=0,$P$34=0),"",$L$37-1),IF($R$17="Distrato",$E493,0)),MIN(AX$38,$D$19),$P$20))-SUM($P493:AW493)</f>
        <v>#VALUE!</v>
      </c>
      <c r="AY493" s="446" t="e">
        <f>IF(OR($B493="",MIN(AY$38,$D$19)&lt;MAX($P$34*($B493+IF($R$17="Distrato",$I$38-1,0)),IF(AND($L$37=0,$P$34=0),"",$L$37-1),IF($R$17="Distrato",$E493,0))),0,YEARFRAC(MAX($P$34*($B493+IF($R$17="Distrato",$I$38-1,0)),IF(AND($L$37=0,$P$34=0),"",$L$37-1),IF($R$17="Distrato",$E493,0)),MIN(AY$38,$D$19),$P$20))-SUM($P493:AX493)</f>
        <v>#VALUE!</v>
      </c>
      <c r="AZ493" s="446" t="e">
        <f>IF(OR($B493="",MIN(AZ$38,$D$19)&lt;MAX($P$34*($B493+IF($R$17="Distrato",$I$38-1,0)),IF(AND($L$37=0,$P$34=0),"",$L$37-1),IF($R$17="Distrato",$E493,0))),0,YEARFRAC(MAX($P$34*($B493+IF($R$17="Distrato",$I$38-1,0)),IF(AND($L$37=0,$P$34=0),"",$L$37-1),IF($R$17="Distrato",$E493,0)),MIN(AZ$38,$D$19),$P$20))-SUM($P493:AY493)</f>
        <v>#VALUE!</v>
      </c>
      <c r="BA493" s="446" t="e">
        <f>IF(OR($B493="",MIN(BA$38,$D$19)&lt;MAX($P$34*($B493+IF($R$17="Distrato",$I$38-1,0)),IF(AND($L$37=0,$P$34=0),"",$L$37-1),IF($R$17="Distrato",$E493,0))),0,YEARFRAC(MAX($P$34*($B493+IF($R$17="Distrato",$I$38-1,0)),IF(AND($L$37=0,$P$34=0),"",$L$37-1),IF($R$17="Distrato",$E493,0)),MIN(BA$38,$D$19),$P$20))-SUM($P493:AZ493)</f>
        <v>#VALUE!</v>
      </c>
      <c r="BB493" s="447"/>
      <c r="BF493" s="446">
        <f t="shared" si="87"/>
        <v>0</v>
      </c>
      <c r="BG493" s="446">
        <f>IF($E493=0,0,IF(MIN(BG$38,$E493)&lt;MAX($P$34*($B493+$I$38-1),IF(AND($L$37=0,$P$34=0),"",$L$37-1)),0,YEARFRAC(MAX($P$34*($B493+$I$38-1),IF(AND($L$37=0,$P$34=0),"",$L$37-1)),MIN(BG$38,$E493),$P$20))-SUM($BF493:BF493))</f>
        <v>0</v>
      </c>
      <c r="BH493" s="446">
        <f>IF($E493=0,0,IF(MIN(BH$38,$E493)&lt;MAX($P$34*($B493+$I$38-1),IF(AND($L$37=0,$P$34=0),"",$L$37-1)),0,YEARFRAC(MAX($P$34*($B493+$I$38-1),IF(AND($L$37=0,$P$34=0),"",$L$37-1)),MIN(BH$38,$E493),$P$20))-SUM($BF493:BG493))</f>
        <v>0</v>
      </c>
      <c r="BI493" s="446">
        <f>IF($E493=0,0,IF(MIN(BI$38,$E493)&lt;MAX($P$34*($B493+$I$38-1),IF(AND($L$37=0,$P$34=0),"",$L$37-1)),0,YEARFRAC(MAX($P$34*($B493+$I$38-1),IF(AND($L$37=0,$P$34=0),"",$L$37-1)),MIN(BI$38,$E493),$P$20))-SUM($BF493:BH493))</f>
        <v>0</v>
      </c>
      <c r="BJ493" s="446">
        <f>IF($E493=0,0,IF(MIN(BJ$38,$E493)&lt;MAX($P$34*($B493+$I$38-1),IF(AND($L$37=0,$P$34=0),"",$L$37-1)),0,YEARFRAC(MAX($P$34*($B493+$I$38-1),IF(AND($L$37=0,$P$34=0),"",$L$37-1)),MIN(BJ$38,$E493),$P$20))-SUM($BF493:BI493))</f>
        <v>0</v>
      </c>
      <c r="BK493" s="446">
        <f>IF($E493=0,0,IF(MIN(BK$38,$E493)&lt;MAX($P$34*($B493+$I$38-1),IF(AND($L$37=0,$P$34=0),"",$L$37-1)),0,YEARFRAC(MAX($P$34*($B493+$I$38-1),IF(AND($L$37=0,$P$34=0),"",$L$37-1)),MIN(BK$38,$E493),$P$20))-SUM($BF493:BJ493))</f>
        <v>0</v>
      </c>
      <c r="BL493" s="446">
        <f>IF($E493=0,0,IF(MIN(BL$38,$E493)&lt;MAX($P$34*($B493+$I$38-1),IF(AND($L$37=0,$P$34=0),"",$L$37-1)),0,YEARFRAC(MAX($P$34*($B493+$I$38-1),IF(AND($L$37=0,$P$34=0),"",$L$37-1)),MIN(BL$38,$E493),$P$20))-SUM($BF493:BK493))</f>
        <v>0</v>
      </c>
      <c r="BM493" s="446">
        <f>IF($E493=0,0,IF(MIN(BM$38,$E493)&lt;MAX($P$34*($B493+$I$38-1),IF(AND($L$37=0,$P$34=0),"",$L$37-1)),0,YEARFRAC(MAX($P$34*($B493+$I$38-1),IF(AND($L$37=0,$P$34=0),"",$L$37-1)),MIN(BM$38,$E493),$P$20))-SUM($BF493:BL493))</f>
        <v>0</v>
      </c>
      <c r="BN493" s="446">
        <f>IF($E493=0,0,IF(MIN(BN$38,$E493)&lt;MAX($P$34*($B493+$I$38-1),IF(AND($L$37=0,$P$34=0),"",$L$37-1)),0,YEARFRAC(MAX($P$34*($B493+$I$38-1),IF(AND($L$37=0,$P$34=0),"",$L$37-1)),MIN(BN$38,$E493),$P$20))-SUM($BF493:BM493))</f>
        <v>0</v>
      </c>
      <c r="BO493" s="446">
        <f>IF($E493=0,0,IF(MIN(BO$38,$E493)&lt;MAX($P$34*($B493+$I$38-1),IF(AND($L$37=0,$P$34=0),"",$L$37-1)),0,YEARFRAC(MAX($P$34*($B493+$I$38-1),IF(AND($L$37=0,$P$34=0),"",$L$37-1)),MIN(BO$38,$E493),$P$20))-SUM($BF493:BN493))</f>
        <v>0</v>
      </c>
      <c r="BP493" s="446">
        <f>IF($E493=0,0,IF(MIN(BP$38,$E493)&lt;MAX($P$34*($B493+$I$38-1),IF(AND($L$37=0,$P$34=0),"",$L$37-1)),0,YEARFRAC(MAX($P$34*($B493+$I$38-1),IF(AND($L$37=0,$P$34=0),"",$L$37-1)),MIN(BP$38,$E493),$P$20))-SUM($BF493:BO493))</f>
        <v>0</v>
      </c>
      <c r="BQ493" s="446">
        <f>IF($E493=0,0,IF(MIN(BQ$38,$E493)&lt;MAX($P$34*($B493+$I$38-1),IF(AND($L$37=0,$P$34=0),"",$L$37-1)),0,YEARFRAC(MAX($P$34*($B493+$I$38-1),IF(AND($L$37=0,$P$34=0),"",$L$37-1)),MIN(BQ$38,$E493),$P$20))-SUM($BF493:BP493))</f>
        <v>0</v>
      </c>
      <c r="BR493" s="446">
        <f>IF($E493=0,0,IF(MIN(BR$38,$E493)&lt;MAX($P$34*($B493+$I$38-1),IF(AND($L$37=0,$P$34=0),"",$L$37-1)),0,YEARFRAC(MAX($P$34*($B493+$I$38-1),IF(AND($L$37=0,$P$34=0),"",$L$37-1)),MIN(BR$38,$E493),$P$20))-SUM($BF493:BQ493))</f>
        <v>0</v>
      </c>
      <c r="BS493" s="446">
        <f>IF($E493=0,0,IF(MIN(BS$38,$E493)&lt;MAX($P$34*($B493+$I$38-1),IF(AND($L$37=0,$P$34=0),"",$L$37-1)),0,YEARFRAC(MAX($P$34*($B493+$I$38-1),IF(AND($L$37=0,$P$34=0),"",$L$37-1)),MIN(BS$38,$E493),$P$20))-SUM($BF493:BR493))</f>
        <v>0</v>
      </c>
      <c r="BT493" s="446">
        <f>IF($E493=0,0,IF(MIN(BT$38,$E493)&lt;MAX($P$34*($B493+$I$38-1),IF(AND($L$37=0,$P$34=0),"",$L$37-1)),0,YEARFRAC(MAX($P$34*($B493+$I$38-1),IF(AND($L$37=0,$P$34=0),"",$L$37-1)),MIN(BT$38,$E493),$P$20))-SUM($BF493:BS493))</f>
        <v>0</v>
      </c>
      <c r="BU493" s="446">
        <f>IF($E493=0,0,IF(MIN(BU$38,$E493)&lt;MAX($P$34*($B493+$I$38-1),IF(AND($L$37=0,$P$34=0),"",$L$37-1)),0,YEARFRAC(MAX($P$34*($B493+$I$38-1),IF(AND($L$37=0,$P$34=0),"",$L$37-1)),MIN(BU$38,$E493),$P$20))-SUM($BF493:BT493))</f>
        <v>0</v>
      </c>
      <c r="BV493" s="446">
        <f>IF($E493=0,0,IF(MIN(BV$38,$E493)&lt;MAX($P$34*($B493+$I$38-1),IF(AND($L$37=0,$P$34=0),"",$L$37-1)),0,YEARFRAC(MAX($P$34*($B493+$I$38-1),IF(AND($L$37=0,$P$34=0),"",$L$37-1)),MIN(BV$38,$E493),$P$20))-SUM($BF493:BU493))</f>
        <v>0</v>
      </c>
      <c r="BW493" s="446">
        <f>IF($E493=0,0,IF(MIN(BW$38,$E493)&lt;MAX($P$34*($B493+$I$38-1),IF(AND($L$37=0,$P$34=0),"",$L$37-1)),0,YEARFRAC(MAX($P$34*($B493+$I$38-1),IF(AND($L$37=0,$P$34=0),"",$L$37-1)),MIN(BW$38,$E493),$P$20))-SUM($BF493:BV493))</f>
        <v>0</v>
      </c>
      <c r="BX493" s="446">
        <f>IF($E493=0,0,IF(MIN(BX$38,$E493)&lt;MAX($P$34*($B493+$I$38-1),IF(AND($L$37=0,$P$34=0),"",$L$37-1)),0,YEARFRAC(MAX($P$34*($B493+$I$38-1),IF(AND($L$37=0,$P$34=0),"",$L$37-1)),MIN(BX$38,$E493),$P$20))-SUM($BF493:BW493))</f>
        <v>0</v>
      </c>
      <c r="BY493" s="446">
        <f>IF($E493=0,0,IF(MIN(BY$38,$E493)&lt;MAX($P$34*($B493+$I$38-1),IF(AND($L$37=0,$P$34=0),"",$L$37-1)),0,YEARFRAC(MAX($P$34*($B493+$I$38-1),IF(AND($L$37=0,$P$34=0),"",$L$37-1)),MIN(BY$38,$E493),$P$20))-SUM($BF493:BX493))</f>
        <v>0</v>
      </c>
      <c r="BZ493" s="446">
        <f>IF($E493=0,0,IF(MIN(BZ$38,$E493)&lt;MAX($P$34*($B493+$I$38-1),IF(AND($L$37=0,$P$34=0),"",$L$37-1)),0,YEARFRAC(MAX($P$34*($B493+$I$38-1),IF(AND($L$37=0,$P$34=0),"",$L$37-1)),MIN(BZ$38,$E493),$P$20))-SUM($BF493:BY493))</f>
        <v>0</v>
      </c>
      <c r="CA493" s="446">
        <f>IF($E493=0,0,IF(MIN(CA$38,$E493)&lt;MAX($P$34*($B493+$I$38-1),IF(AND($L$37=0,$P$34=0),"",$L$37-1)),0,YEARFRAC(MAX($P$34*($B493+$I$38-1),IF(AND($L$37=0,$P$34=0),"",$L$37-1)),MIN(CA$38,$E493),$P$20))-SUM($BF493:BZ493))</f>
        <v>0</v>
      </c>
      <c r="CB493" s="446">
        <f>IF($E493=0,0,IF(MIN(CB$38,$E493)&lt;MAX($P$34*($B493+$I$38-1),IF(AND($L$37=0,$P$34=0),"",$L$37-1)),0,YEARFRAC(MAX($P$34*($B493+$I$38-1),IF(AND($L$37=0,$P$34=0),"",$L$37-1)),MIN(CB$38,$E493),$P$20))-SUM($BF493:CA493))</f>
        <v>0</v>
      </c>
      <c r="CC493" s="446">
        <f>IF($E493=0,0,IF(MIN(CC$38,$E493)&lt;MAX($P$34*($B493+$I$38-1),IF(AND($L$37=0,$P$34=0),"",$L$37-1)),0,YEARFRAC(MAX($P$34*($B493+$I$38-1),IF(AND($L$37=0,$P$34=0),"",$L$37-1)),MIN(CC$38,$E493),$P$20))-SUM($BF493:CB493))</f>
        <v>0</v>
      </c>
      <c r="CD493" s="446">
        <f>IF($E493=0,0,IF(MIN(CD$38,$E493)&lt;MAX($P$34*($B493+$I$38-1),IF(AND($L$37=0,$P$34=0),"",$L$37-1)),0,YEARFRAC(MAX($P$34*($B493+$I$38-1),IF(AND($L$37=0,$P$34=0),"",$L$37-1)),MIN(CD$38,$E493),$P$20))-SUM($BF493:CC493))</f>
        <v>0</v>
      </c>
      <c r="CE493" s="446">
        <f>IF($E493=0,0,IF(MIN(CE$38,$E493)&lt;MAX($P$34*($B493+$I$38-1),IF(AND($L$37=0,$P$34=0),"",$L$37-1)),0,YEARFRAC(MAX($P$34*($B493+$I$38-1),IF(AND($L$37=0,$P$34=0),"",$L$37-1)),MIN(CE$38,$E493),$P$20))-SUM($BF493:CD493))</f>
        <v>0</v>
      </c>
      <c r="CF493" s="446">
        <f>IF($E493=0,0,IF(MIN(CF$38,$E493)&lt;MAX($P$34*($B493+$I$38-1),IF(AND($L$37=0,$P$34=0),"",$L$37-1)),0,YEARFRAC(MAX($P$34*($B493+$I$38-1),IF(AND($L$37=0,$P$34=0),"",$L$37-1)),MIN(CF$38,$E493),$P$20))-SUM($BF493:CE493))</f>
        <v>0</v>
      </c>
      <c r="CG493" s="446">
        <f>IF($E493=0,0,IF(MIN(CG$38,$E493)&lt;MAX($P$34*($B493+$I$38-1),IF(AND($L$37=0,$P$34=0),"",$L$37-1)),0,YEARFRAC(MAX($P$34*($B493+$I$38-1),IF(AND($L$37=0,$P$34=0),"",$L$37-1)),MIN(CG$38,$E493),$P$20))-SUM($BF493:CF493))</f>
        <v>0</v>
      </c>
      <c r="CH493" s="446">
        <f>IF($E493=0,0,IF(MIN(CH$38,$E493)&lt;MAX($P$34*($B493+$I$38-1),IF(AND($L$37=0,$P$34=0),"",$L$37-1)),0,YEARFRAC(MAX($P$34*($B493+$I$38-1),IF(AND($L$37=0,$P$34=0),"",$L$37-1)),MIN(CH$38,$E493),$P$20))-SUM($BF493:CG493))</f>
        <v>0</v>
      </c>
      <c r="CI493" s="446">
        <f>IF($E493=0,0,IF(MIN(CI$38,$E493)&lt;MAX($P$34*($B493+$I$38-1),IF(AND($L$37=0,$P$34=0),"",$L$37-1)),0,YEARFRAC(MAX($P$34*($B493+$I$38-1),IF(AND($L$37=0,$P$34=0),"",$L$37-1)),MIN(CI$38,$E493),$P$20))-SUM($BF493:CH493))</f>
        <v>0</v>
      </c>
      <c r="CJ493" s="446">
        <f>IF($E493=0,0,IF(MIN(CJ$38,$E493)&lt;MAX($P$34*($B493+$I$38-1),IF(AND($L$37=0,$P$34=0),"",$L$37-1)),0,YEARFRAC(MAX($P$34*($B493+$I$38-1),IF(AND($L$37=0,$P$34=0),"",$L$37-1)),MIN(CJ$38,$E493),$P$20))-SUM($BF493:CI493))</f>
        <v>0</v>
      </c>
      <c r="CK493" s="446">
        <f>IF($E493=0,0,IF(MIN(CK$38,$E493)&lt;MAX($P$34*($B493+$I$38-1),IF(AND($L$37=0,$P$34=0),"",$L$37-1)),0,YEARFRAC(MAX($P$34*($B493+$I$38-1),IF(AND($L$37=0,$P$34=0),"",$L$37-1)),MIN(CK$38,$E493),$P$20))-SUM($BF493:CJ493))</f>
        <v>0</v>
      </c>
      <c r="CL493" s="446">
        <f>IF($E493=0,0,IF(MIN(CL$38,$E493)&lt;MAX($P$34*($B493+$I$38-1),IF(AND($L$37=0,$P$34=0),"",$L$37-1)),0,YEARFRAC(MAX($P$34*($B493+$I$38-1),IF(AND($L$37=0,$P$34=0),"",$L$37-1)),MIN(CL$38,$E493),$P$20))-SUM($BF493:CK493))</f>
        <v>0</v>
      </c>
      <c r="CM493" s="446">
        <f>IF($E493=0,0,IF(MIN(CM$38,$E493)&lt;MAX($P$34*($B493+$I$38-1),IF(AND($L$37=0,$P$34=0),"",$L$37-1)),0,YEARFRAC(MAX($P$34*($B493+$I$38-1),IF(AND($L$37=0,$P$34=0),"",$L$37-1)),MIN(CM$38,$E493),$P$20))-SUM($BF493:CL493))</f>
        <v>0</v>
      </c>
      <c r="CN493" s="446">
        <f>IF($E493=0,0,IF(MIN(CN$38,$E493)&lt;MAX($P$34*($B493+$I$38-1),IF(AND($L$37=0,$P$34=0),"",$L$37-1)),0,YEARFRAC(MAX($P$34*($B493+$I$38-1),IF(AND($L$37=0,$P$34=0),"",$L$37-1)),MIN(CN$38,$E493),$P$20))-SUM($BF493:CM493))</f>
        <v>0</v>
      </c>
      <c r="CO493" s="446">
        <f>IF($E493=0,0,IF(MIN(CO$38,$E493)&lt;MAX($P$34*($B493+$I$38-1),IF(AND($L$37=0,$P$34=0),"",$L$37-1)),0,YEARFRAC(MAX($P$34*($B493+$I$38-1),IF(AND($L$37=0,$P$34=0),"",$L$37-1)),MIN(CO$38,$E493),$P$20))-SUM($BF493:CN493))</f>
        <v>0</v>
      </c>
      <c r="CP493" s="446">
        <f>IF($E493=0,0,IF(MIN(CP$38,$E493)&lt;MAX($P$34*($B493+$I$38-1),IF(AND($L$37=0,$P$34=0),"",$L$37-1)),0,YEARFRAC(MAX($P$34*($B493+$I$38-1),IF(AND($L$37=0,$P$34=0),"",$L$37-1)),MIN(CP$38,$E493),$P$20))-SUM($BF493:CO493))</f>
        <v>0</v>
      </c>
      <c r="CQ493" s="446">
        <f>IF($E493=0,0,IF(MIN(CQ$38,$E493)&lt;MAX($P$34*($B493+$I$38-1),IF(AND($L$37=0,$P$34=0),"",$L$37-1)),0,YEARFRAC(MAX($P$34*($B493+$I$38-1),IF(AND($L$37=0,$P$34=0),"",$L$37-1)),MIN(CQ$38,$E493),$P$20))-SUM($BF493:CP493))</f>
        <v>0</v>
      </c>
    </row>
    <row r="494" spans="1:95" s="446" customFormat="1" ht="11.25" hidden="1" customHeight="1" x14ac:dyDescent="0.2">
      <c r="A494" s="152"/>
      <c r="B494" s="153" t="str">
        <f t="shared" si="92"/>
        <v/>
      </c>
      <c r="C494" s="29" t="str">
        <f>IF(B494="","",IF($L$35="SELIC - TRIBUTOS",VLOOKUP(DATE(YEAR($D$19),MONTH($D$19)-1,1),ÍNDICES!$A:$DE,HLOOKUP($BL$25,ÍNDICES!$B$3:$T$4,2)+11)-VLOOKUP(B494,ÍNDICES!$A:$DE,HLOOKUP($BL$25,ÍNDICES!$B$3:$T$4,2)+11)+1%,IF(C$38=$W$26,$J$35,IF(ISERROR(IF(B494&gt;$D$19,1,VLOOKUP(DATE(YEAR(B494),MONTH(B494)+IF($C$35=$S$23,1,0),1),ÍNDICES!$A:$DE,$Z$35+1))),"",IF(B494&gt;$D$19,1,VLOOKUP(DATE(YEAR(B494),MONTH(B494)+IF($C$35=$S$23,1,0),1),ÍNDICES!$A:$DE,$Z$35+1))))))</f>
        <v/>
      </c>
      <c r="D494" s="154" t="str">
        <f>IF(ISERROR(IF(OR($D$38=$Y$27,$B494=""),"",VLOOKUP(B494,ÍNDICES!A:DE,AF$35+1))),"",IF(OR($D$38=$Y$27,$B494=""),"",VLOOKUP(B494,ÍNDICES!A:DE,AF$35+1)))</f>
        <v/>
      </c>
      <c r="E494" s="153"/>
      <c r="F494" s="29" t="str">
        <f>IF(E494="","",IF($L$35="SELIC - TRIBUTOS",VLOOKUP(DATE(YEAR($D$19),MONTH($D$19)-1,1),ÍNDICES!$A:$DE,HLOOKUP($BL$25,ÍNDICES!$B$3:$T$4,2)+11)-VLOOKUP(E494,ÍNDICES!$A:$DE,HLOOKUP($BL$25,ÍNDICES!$B$3:$T$4,2)+11)+1%,IF(F$38=$W$26,$J$35,IF(ISERROR(IF(E494&gt;$D$19,1,VLOOKUP(DATE(YEAR(E494),MONTH(E494)+IF($C$35=$S$23,1,0),1),ÍNDICES!$A:$DE,$Z$35+1))),"",IF(E494&gt;$D$19,1,VLOOKUP(DATE(YEAR(E494),MONTH(E494)+IF($C$35=$S$23,1,0),1),ÍNDICES!$A:$DE,$Z$35+1))))))</f>
        <v/>
      </c>
      <c r="G494" s="155"/>
      <c r="H494" s="156" t="str">
        <f t="shared" si="88"/>
        <v/>
      </c>
      <c r="I494" s="29" t="str">
        <f t="shared" si="82"/>
        <v/>
      </c>
      <c r="J494" s="5">
        <f t="shared" si="83"/>
        <v>0</v>
      </c>
      <c r="K494" s="20">
        <f t="shared" ca="1" si="84"/>
        <v>0</v>
      </c>
      <c r="L494" s="5">
        <f t="shared" ca="1" si="85"/>
        <v>0</v>
      </c>
      <c r="M494" s="64">
        <f t="shared" si="89"/>
        <v>0</v>
      </c>
      <c r="N494" s="61">
        <f t="shared" ca="1" si="90"/>
        <v>0</v>
      </c>
      <c r="O494" s="5">
        <f t="shared" ca="1" si="91"/>
        <v>0</v>
      </c>
      <c r="P494" s="446" t="e">
        <f t="shared" si="86"/>
        <v>#VALUE!</v>
      </c>
      <c r="Q494" s="446" t="e">
        <f>IF(OR($B494="",MIN(Q$38,$D$19)&lt;MAX($P$34*($B494+IF($R$17="Distrato",$I$38-1,0)),IF(AND($L$37=0,$P$34=0),"",$L$37-1),IF($R$17="Distrato",$E494,0))),0,YEARFRAC(MAX($P$34*($B494+IF($R$17="Distrato",$I$38-1,0)),IF(AND($L$37=0,$P$34=0),"",$L$37-1),IF($R$17="Distrato",$E494,0)),MIN(Q$38,$D$19),$P$20))-SUM($P494:P494)</f>
        <v>#VALUE!</v>
      </c>
      <c r="R494" s="446" t="e">
        <f>IF(OR($B494="",MIN(R$38,$D$19)&lt;MAX($P$34*($B494+IF($R$17="Distrato",$I$38-1,0)),IF(AND($L$37=0,$P$34=0),"",$L$37-1),IF($R$17="Distrato",$E494,0))),0,YEARFRAC(MAX($P$34*($B494+IF($R$17="Distrato",$I$38-1,0)),IF(AND($L$37=0,$P$34=0),"",$L$37-1),IF($R$17="Distrato",$E494,0)),MIN(R$38,$D$19),$P$20))-SUM($P494:Q494)</f>
        <v>#VALUE!</v>
      </c>
      <c r="S494" s="446" t="e">
        <f>IF(OR($B494="",MIN(S$38,$D$19)&lt;MAX($P$34*($B494+IF($R$17="Distrato",$I$38-1,0)),IF(AND($L$37=0,$P$34=0),"",$L$37-1),IF($R$17="Distrato",$E494,0))),0,YEARFRAC(MAX($P$34*($B494+IF($R$17="Distrato",$I$38-1,0)),IF(AND($L$37=0,$P$34=0),"",$L$37-1),IF($R$17="Distrato",$E494,0)),MIN(S$38,$D$19),$P$20))-SUM($P494:R494)</f>
        <v>#VALUE!</v>
      </c>
      <c r="T494" s="446" t="e">
        <f>IF(OR($B494="",MIN(T$38,$D$19)&lt;MAX($P$34*($B494+IF($R$17="Distrato",$I$38-1,0)),IF(AND($L$37=0,$P$34=0),"",$L$37-1),IF($R$17="Distrato",$E494,0))),0,YEARFRAC(MAX($P$34*($B494+IF($R$17="Distrato",$I$38-1,0)),IF(AND($L$37=0,$P$34=0),"",$L$37-1),IF($R$17="Distrato",$E494,0)),MIN(T$38,$D$19),$P$20))-SUM($P494:S494)</f>
        <v>#VALUE!</v>
      </c>
      <c r="U494" s="446" t="e">
        <f>IF(OR($B494="",MIN(U$38,$D$19)&lt;MAX($P$34*($B494+IF($R$17="Distrato",$I$38-1,0)),IF(AND($L$37=0,$P$34=0),"",$L$37-1),IF($R$17="Distrato",$E494,0))),0,YEARFRAC(MAX($P$34*($B494+IF($R$17="Distrato",$I$38-1,0)),IF(AND($L$37=0,$P$34=0),"",$L$37-1),IF($R$17="Distrato",$E494,0)),MIN(U$38,$D$19),$P$20))-SUM($P494:T494)</f>
        <v>#VALUE!</v>
      </c>
      <c r="V494" s="446" t="e">
        <f>IF(OR($B494="",MIN(V$38,$D$19)&lt;MAX($P$34*($B494+IF($R$17="Distrato",$I$38-1,0)),IF(AND($L$37=0,$P$34=0),"",$L$37-1),IF($R$17="Distrato",$E494,0))),0,YEARFRAC(MAX($P$34*($B494+IF($R$17="Distrato",$I$38-1,0)),IF(AND($L$37=0,$P$34=0),"",$L$37-1),IF($R$17="Distrato",$E494,0)),MIN(V$38,$D$19),$P$20))-SUM($P494:U494)</f>
        <v>#VALUE!</v>
      </c>
      <c r="W494" s="446" t="e">
        <f>IF(OR($B494="",MIN(W$38,$D$19)&lt;MAX($P$34*($B494+IF($R$17="Distrato",$I$38-1,0)),IF(AND($L$37=0,$P$34=0),"",$L$37-1),IF($R$17="Distrato",$E494,0))),0,YEARFRAC(MAX($P$34*($B494+IF($R$17="Distrato",$I$38-1,0)),IF(AND($L$37=0,$P$34=0),"",$L$37-1),IF($R$17="Distrato",$E494,0)),MIN(W$38,$D$19),$P$20))-SUM($P494:V494)</f>
        <v>#VALUE!</v>
      </c>
      <c r="X494" s="446" t="e">
        <f>IF(OR($B494="",MIN(X$38,$D$19)&lt;MAX($P$34*($B494+IF($R$17="Distrato",$I$38-1,0)),IF(AND($L$37=0,$P$34=0),"",$L$37-1),IF($R$17="Distrato",$E494,0))),0,YEARFRAC(MAX($P$34*($B494+IF($R$17="Distrato",$I$38-1,0)),IF(AND($L$37=0,$P$34=0),"",$L$37-1),IF($R$17="Distrato",$E494,0)),MIN(X$38,$D$19),$P$20))-SUM($P494:W494)</f>
        <v>#VALUE!</v>
      </c>
      <c r="Y494" s="446" t="e">
        <f>IF(OR($B494="",MIN(Y$38,$D$19)&lt;MAX($P$34*($B494+IF($R$17="Distrato",$I$38-1,0)),IF(AND($L$37=0,$P$34=0),"",$L$37-1),IF($R$17="Distrato",$E494,0))),0,YEARFRAC(MAX($P$34*($B494+IF($R$17="Distrato",$I$38-1,0)),IF(AND($L$37=0,$P$34=0),"",$L$37-1),IF($R$17="Distrato",$E494,0)),MIN(Y$38,$D$19),$P$20))-SUM($P494:X494)</f>
        <v>#VALUE!</v>
      </c>
      <c r="Z494" s="446" t="e">
        <f>IF(OR($B494="",MIN(Z$38,$D$19)&lt;MAX($P$34*($B494+IF($R$17="Distrato",$I$38-1,0)),IF(AND($L$37=0,$P$34=0),"",$L$37-1),IF($R$17="Distrato",$E494,0))),0,YEARFRAC(MAX($P$34*($B494+IF($R$17="Distrato",$I$38-1,0)),IF(AND($L$37=0,$P$34=0),"",$L$37-1),IF($R$17="Distrato",$E494,0)),MIN(Z$38,$D$19),$P$20))-SUM($P494:Y494)</f>
        <v>#VALUE!</v>
      </c>
      <c r="AA494" s="446" t="e">
        <f>IF(OR($B494="",MIN(AA$38,$D$19)&lt;MAX($P$34*($B494+IF($R$17="Distrato",$I$38-1,0)),IF(AND($L$37=0,$P$34=0),"",$L$37-1),IF($R$17="Distrato",$E494,0))),0,YEARFRAC(MAX($P$34*($B494+IF($R$17="Distrato",$I$38-1,0)),IF(AND($L$37=0,$P$34=0),"",$L$37-1),IF($R$17="Distrato",$E494,0)),MIN(AA$38,$D$19),$P$20))-SUM($P494:Z494)</f>
        <v>#VALUE!</v>
      </c>
      <c r="AB494" s="446" t="e">
        <f>IF(OR($B494="",MIN(AB$38,$D$19)&lt;MAX($P$34*($B494+IF($R$17="Distrato",$I$38-1,0)),IF(AND($L$37=0,$P$34=0),"",$L$37-1),IF($R$17="Distrato",$E494,0))),0,YEARFRAC(MAX($P$34*($B494+IF($R$17="Distrato",$I$38-1,0)),IF(AND($L$37=0,$P$34=0),"",$L$37-1),IF($R$17="Distrato",$E494,0)),MIN(AB$38,$D$19),$P$20))-SUM($P494:AA494)</f>
        <v>#VALUE!</v>
      </c>
      <c r="AC494" s="446" t="e">
        <f>IF(OR($B494="",MIN(AC$38,$D$19)&lt;MAX($P$34*($B494+IF($R$17="Distrato",$I$38-1,0)),IF(AND($L$37=0,$P$34=0),"",$L$37-1),IF($R$17="Distrato",$E494,0))),0,YEARFRAC(MAX($P$34*($B494+IF($R$17="Distrato",$I$38-1,0)),IF(AND($L$37=0,$P$34=0),"",$L$37-1),IF($R$17="Distrato",$E494,0)),MIN(AC$38,$D$19),$P$20))-SUM($P494:AB494)</f>
        <v>#VALUE!</v>
      </c>
      <c r="AD494" s="446" t="e">
        <f>IF(OR($B494="",MIN(AD$38,$D$19)&lt;MAX($P$34*($B494+IF($R$17="Distrato",$I$38-1,0)),IF(AND($L$37=0,$P$34=0),"",$L$37-1),IF($R$17="Distrato",$E494,0))),0,YEARFRAC(MAX($P$34*($B494+IF($R$17="Distrato",$I$38-1,0)),IF(AND($L$37=0,$P$34=0),"",$L$37-1),IF($R$17="Distrato",$E494,0)),MIN(AD$38,$D$19),$P$20))-SUM($P494:AC494)</f>
        <v>#VALUE!</v>
      </c>
      <c r="AE494" s="446" t="e">
        <f>IF(OR($B494="",MIN(AE$38,$D$19)&lt;MAX($P$34*($B494+IF($R$17="Distrato",$I$38-1,0)),IF(AND($L$37=0,$P$34=0),"",$L$37-1),IF($R$17="Distrato",$E494,0))),0,YEARFRAC(MAX($P$34*($B494+IF($R$17="Distrato",$I$38-1,0)),IF(AND($L$37=0,$P$34=0),"",$L$37-1),IF($R$17="Distrato",$E494,0)),MIN(AE$38,$D$19),$P$20))-SUM($P494:AD494)</f>
        <v>#VALUE!</v>
      </c>
      <c r="AF494" s="446" t="e">
        <f>IF(OR($B494="",MIN(AF$38,$D$19)&lt;MAX($P$34*($B494+IF($R$17="Distrato",$I$38-1,0)),IF(AND($L$37=0,$P$34=0),"",$L$37-1),IF($R$17="Distrato",$E494,0))),0,YEARFRAC(MAX($P$34*($B494+IF($R$17="Distrato",$I$38-1,0)),IF(AND($L$37=0,$P$34=0),"",$L$37-1),IF($R$17="Distrato",$E494,0)),MIN(AF$38,$D$19),$P$20))-SUM($P494:AE494)</f>
        <v>#VALUE!</v>
      </c>
      <c r="AG494" s="446" t="e">
        <f>IF(OR($B494="",MIN(AG$38,$D$19)&lt;MAX($P$34*($B494+IF($R$17="Distrato",$I$38-1,0)),IF(AND($L$37=0,$P$34=0),"",$L$37-1),IF($R$17="Distrato",$E494,0))),0,YEARFRAC(MAX($P$34*($B494+IF($R$17="Distrato",$I$38-1,0)),IF(AND($L$37=0,$P$34=0),"",$L$37-1),IF($R$17="Distrato",$E494,0)),MIN(AG$38,$D$19),$P$20))-SUM($P494:AF494)</f>
        <v>#VALUE!</v>
      </c>
      <c r="AH494" s="446" t="e">
        <f>IF(OR($B494="",MIN(AH$38,$D$19)&lt;MAX($P$34*($B494+IF($R$17="Distrato",$I$38-1,0)),IF(AND($L$37=0,$P$34=0),"",$L$37-1),IF($R$17="Distrato",$E494,0))),0,YEARFRAC(MAX($P$34*($B494+IF($R$17="Distrato",$I$38-1,0)),IF(AND($L$37=0,$P$34=0),"",$L$37-1),IF($R$17="Distrato",$E494,0)),MIN(AH$38,$D$19),$P$20))-SUM($P494:AG494)</f>
        <v>#VALUE!</v>
      </c>
      <c r="AI494" s="446" t="e">
        <f>IF(OR($B494="",MIN(AI$38,$D$19)&lt;MAX($P$34*($B494+IF($R$17="Distrato",$I$38-1,0)),IF(AND($L$37=0,$P$34=0),"",$L$37-1),IF($R$17="Distrato",$E494,0))),0,YEARFRAC(MAX($P$34*($B494+IF($R$17="Distrato",$I$38-1,0)),IF(AND($L$37=0,$P$34=0),"",$L$37-1),IF($R$17="Distrato",$E494,0)),MIN(AI$38,$D$19),$P$20))-SUM($P494:AH494)</f>
        <v>#VALUE!</v>
      </c>
      <c r="AJ494" s="446" t="e">
        <f>IF(OR($B494="",MIN(AJ$38,$D$19)&lt;MAX($P$34*($B494+IF($R$17="Distrato",$I$38-1,0)),IF(AND($L$37=0,$P$34=0),"",$L$37-1),IF($R$17="Distrato",$E494,0))),0,YEARFRAC(MAX($P$34*($B494+IF($R$17="Distrato",$I$38-1,0)),IF(AND($L$37=0,$P$34=0),"",$L$37-1),IF($R$17="Distrato",$E494,0)),MIN(AJ$38,$D$19),$P$20))-SUM($P494:AI494)</f>
        <v>#VALUE!</v>
      </c>
      <c r="AK494" s="446" t="e">
        <f>IF(OR($B494="",MIN(AK$38,$D$19)&lt;MAX($P$34*($B494+IF($R$17="Distrato",$I$38-1,0)),IF(AND($L$37=0,$P$34=0),"",$L$37-1),IF($R$17="Distrato",$E494,0))),0,YEARFRAC(MAX($P$34*($B494+IF($R$17="Distrato",$I$38-1,0)),IF(AND($L$37=0,$P$34=0),"",$L$37-1),IF($R$17="Distrato",$E494,0)),MIN(AK$38,$D$19),$P$20))-SUM($P494:AJ494)</f>
        <v>#VALUE!</v>
      </c>
      <c r="AL494" s="446" t="e">
        <f>IF(OR($B494="",MIN(AL$38,$D$19)&lt;MAX($P$34*($B494+IF($R$17="Distrato",$I$38-1,0)),IF(AND($L$37=0,$P$34=0),"",$L$37-1),IF($R$17="Distrato",$E494,0))),0,YEARFRAC(MAX($P$34*($B494+IF($R$17="Distrato",$I$38-1,0)),IF(AND($L$37=0,$P$34=0),"",$L$37-1),IF($R$17="Distrato",$E494,0)),MIN(AL$38,$D$19),$P$20))-SUM($P494:AK494)</f>
        <v>#VALUE!</v>
      </c>
      <c r="AM494" s="446" t="e">
        <f>IF(OR($B494="",MIN(AM$38,$D$19)&lt;MAX($P$34*($B494+IF($R$17="Distrato",$I$38-1,0)),IF(AND($L$37=0,$P$34=0),"",$L$37-1),IF($R$17="Distrato",$E494,0))),0,YEARFRAC(MAX($P$34*($B494+IF($R$17="Distrato",$I$38-1,0)),IF(AND($L$37=0,$P$34=0),"",$L$37-1),IF($R$17="Distrato",$E494,0)),MIN(AM$38,$D$19),$P$20))-SUM($P494:AL494)</f>
        <v>#VALUE!</v>
      </c>
      <c r="AN494" s="446" t="e">
        <f>IF(OR($B494="",MIN(AN$38,$D$19)&lt;MAX($P$34*($B494+IF($R$17="Distrato",$I$38-1,0)),IF(AND($L$37=0,$P$34=0),"",$L$37-1),IF($R$17="Distrato",$E494,0))),0,YEARFRAC(MAX($P$34*($B494+IF($R$17="Distrato",$I$38-1,0)),IF(AND($L$37=0,$P$34=0),"",$L$37-1),IF($R$17="Distrato",$E494,0)),MIN(AN$38,$D$19),$P$20))-SUM($P494:AM494)</f>
        <v>#VALUE!</v>
      </c>
      <c r="AO494" s="446" t="e">
        <f>IF(OR($B494="",MIN(AO$38,$D$19)&lt;MAX($P$34*($B494+IF($R$17="Distrato",$I$38-1,0)),IF(AND($L$37=0,$P$34=0),"",$L$37-1),IF($R$17="Distrato",$E494,0))),0,YEARFRAC(MAX($P$34*($B494+IF($R$17="Distrato",$I$38-1,0)),IF(AND($L$37=0,$P$34=0),"",$L$37-1),IF($R$17="Distrato",$E494,0)),MIN(AO$38,$D$19),$P$20))-SUM($P494:AN494)</f>
        <v>#VALUE!</v>
      </c>
      <c r="AP494" s="446" t="e">
        <f>IF(OR($B494="",MIN(AP$38,$D$19)&lt;MAX($P$34*($B494+IF($R$17="Distrato",$I$38-1,0)),IF(AND($L$37=0,$P$34=0),"",$L$37-1),IF($R$17="Distrato",$E494,0))),0,YEARFRAC(MAX($P$34*($B494+IF($R$17="Distrato",$I$38-1,0)),IF(AND($L$37=0,$P$34=0),"",$L$37-1),IF($R$17="Distrato",$E494,0)),MIN(AP$38,$D$19),$P$20))-SUM($P494:AO494)</f>
        <v>#VALUE!</v>
      </c>
      <c r="AQ494" s="446" t="e">
        <f>IF(OR($B494="",MIN(AQ$38,$D$19)&lt;MAX($P$34*($B494+IF($R$17="Distrato",$I$38-1,0)),IF(AND($L$37=0,$P$34=0),"",$L$37-1),IF($R$17="Distrato",$E494,0))),0,YEARFRAC(MAX($P$34*($B494+IF($R$17="Distrato",$I$38-1,0)),IF(AND($L$37=0,$P$34=0),"",$L$37-1),IF($R$17="Distrato",$E494,0)),MIN(AQ$38,$D$19),$P$20))-SUM($P494:AP494)</f>
        <v>#VALUE!</v>
      </c>
      <c r="AR494" s="446" t="e">
        <f>IF(OR($B494="",MIN(AR$38,$D$19)&lt;MAX($P$34*($B494+IF($R$17="Distrato",$I$38-1,0)),IF(AND($L$37=0,$P$34=0),"",$L$37-1),IF($R$17="Distrato",$E494,0))),0,YEARFRAC(MAX($P$34*($B494+IF($R$17="Distrato",$I$38-1,0)),IF(AND($L$37=0,$P$34=0),"",$L$37-1),IF($R$17="Distrato",$E494,0)),MIN(AR$38,$D$19),$P$20))-SUM($P494:AQ494)</f>
        <v>#VALUE!</v>
      </c>
      <c r="AS494" s="446" t="e">
        <f>IF(OR($B494="",MIN(AS$38,$D$19)&lt;MAX($P$34*($B494+IF($R$17="Distrato",$I$38-1,0)),IF(AND($L$37=0,$P$34=0),"",$L$37-1),IF($R$17="Distrato",$E494,0))),0,YEARFRAC(MAX($P$34*($B494+IF($R$17="Distrato",$I$38-1,0)),IF(AND($L$37=0,$P$34=0),"",$L$37-1),IF($R$17="Distrato",$E494,0)),MIN(AS$38,$D$19),$P$20))-SUM($P494:AR494)</f>
        <v>#VALUE!</v>
      </c>
      <c r="AT494" s="446" t="e">
        <f>IF(OR($B494="",MIN(AT$38,$D$19)&lt;MAX($P$34*($B494+IF($R$17="Distrato",$I$38-1,0)),IF(AND($L$37=0,$P$34=0),"",$L$37-1),IF($R$17="Distrato",$E494,0))),0,YEARFRAC(MAX($P$34*($B494+IF($R$17="Distrato",$I$38-1,0)),IF(AND($L$37=0,$P$34=0),"",$L$37-1),IF($R$17="Distrato",$E494,0)),MIN(AT$38,$D$19),$P$20))-SUM($P494:AS494)</f>
        <v>#VALUE!</v>
      </c>
      <c r="AU494" s="446" t="e">
        <f>IF(OR($B494="",MIN(AU$38,$D$19)&lt;MAX($P$34*($B494+IF($R$17="Distrato",$I$38-1,0)),IF(AND($L$37=0,$P$34=0),"",$L$37-1),IF($R$17="Distrato",$E494,0))),0,YEARFRAC(MAX($P$34*($B494+IF($R$17="Distrato",$I$38-1,0)),IF(AND($L$37=0,$P$34=0),"",$L$37-1),IF($R$17="Distrato",$E494,0)),MIN(AU$38,$D$19),$P$20))-SUM($P494:AT494)</f>
        <v>#VALUE!</v>
      </c>
      <c r="AV494" s="446" t="e">
        <f>IF(OR($B494="",MIN(AV$38,$D$19)&lt;MAX($P$34*($B494+IF($R$17="Distrato",$I$38-1,0)),IF(AND($L$37=0,$P$34=0),"",$L$37-1),IF($R$17="Distrato",$E494,0))),0,YEARFRAC(MAX($P$34*($B494+IF($R$17="Distrato",$I$38-1,0)),IF(AND($L$37=0,$P$34=0),"",$L$37-1),IF($R$17="Distrato",$E494,0)),MIN(AV$38,$D$19),$P$20))-SUM($P494:AU494)</f>
        <v>#VALUE!</v>
      </c>
      <c r="AW494" s="446" t="e">
        <f>IF(OR($B494="",MIN(AW$38,$D$19)&lt;MAX($P$34*($B494+IF($R$17="Distrato",$I$38-1,0)),IF(AND($L$37=0,$P$34=0),"",$L$37-1),IF($R$17="Distrato",$E494,0))),0,YEARFRAC(MAX($P$34*($B494+IF($R$17="Distrato",$I$38-1,0)),IF(AND($L$37=0,$P$34=0),"",$L$37-1),IF($R$17="Distrato",$E494,0)),MIN(AW$38,$D$19),$P$20))-SUM($P494:AV494)</f>
        <v>#VALUE!</v>
      </c>
      <c r="AX494" s="446" t="e">
        <f>IF(OR($B494="",MIN(AX$38,$D$19)&lt;MAX($P$34*($B494+IF($R$17="Distrato",$I$38-1,0)),IF(AND($L$37=0,$P$34=0),"",$L$37-1),IF($R$17="Distrato",$E494,0))),0,YEARFRAC(MAX($P$34*($B494+IF($R$17="Distrato",$I$38-1,0)),IF(AND($L$37=0,$P$34=0),"",$L$37-1),IF($R$17="Distrato",$E494,0)),MIN(AX$38,$D$19),$P$20))-SUM($P494:AW494)</f>
        <v>#VALUE!</v>
      </c>
      <c r="AY494" s="446" t="e">
        <f>IF(OR($B494="",MIN(AY$38,$D$19)&lt;MAX($P$34*($B494+IF($R$17="Distrato",$I$38-1,0)),IF(AND($L$37=0,$P$34=0),"",$L$37-1),IF($R$17="Distrato",$E494,0))),0,YEARFRAC(MAX($P$34*($B494+IF($R$17="Distrato",$I$38-1,0)),IF(AND($L$37=0,$P$34=0),"",$L$37-1),IF($R$17="Distrato",$E494,0)),MIN(AY$38,$D$19),$P$20))-SUM($P494:AX494)</f>
        <v>#VALUE!</v>
      </c>
      <c r="AZ494" s="446" t="e">
        <f>IF(OR($B494="",MIN(AZ$38,$D$19)&lt;MAX($P$34*($B494+IF($R$17="Distrato",$I$38-1,0)),IF(AND($L$37=0,$P$34=0),"",$L$37-1),IF($R$17="Distrato",$E494,0))),0,YEARFRAC(MAX($P$34*($B494+IF($R$17="Distrato",$I$38-1,0)),IF(AND($L$37=0,$P$34=0),"",$L$37-1),IF($R$17="Distrato",$E494,0)),MIN(AZ$38,$D$19),$P$20))-SUM($P494:AY494)</f>
        <v>#VALUE!</v>
      </c>
      <c r="BA494" s="446" t="e">
        <f>IF(OR($B494="",MIN(BA$38,$D$19)&lt;MAX($P$34*($B494+IF($R$17="Distrato",$I$38-1,0)),IF(AND($L$37=0,$P$34=0),"",$L$37-1),IF($R$17="Distrato",$E494,0))),0,YEARFRAC(MAX($P$34*($B494+IF($R$17="Distrato",$I$38-1,0)),IF(AND($L$37=0,$P$34=0),"",$L$37-1),IF($R$17="Distrato",$E494,0)),MIN(BA$38,$D$19),$P$20))-SUM($P494:AZ494)</f>
        <v>#VALUE!</v>
      </c>
      <c r="BB494" s="447"/>
      <c r="BF494" s="446">
        <f t="shared" si="87"/>
        <v>0</v>
      </c>
      <c r="BG494" s="446">
        <f>IF($E494=0,0,IF(MIN(BG$38,$E494)&lt;MAX($P$34*($B494+$I$38-1),IF(AND($L$37=0,$P$34=0),"",$L$37-1)),0,YEARFRAC(MAX($P$34*($B494+$I$38-1),IF(AND($L$37=0,$P$34=0),"",$L$37-1)),MIN(BG$38,$E494),$P$20))-SUM($BF494:BF494))</f>
        <v>0</v>
      </c>
      <c r="BH494" s="446">
        <f>IF($E494=0,0,IF(MIN(BH$38,$E494)&lt;MAX($P$34*($B494+$I$38-1),IF(AND($L$37=0,$P$34=0),"",$L$37-1)),0,YEARFRAC(MAX($P$34*($B494+$I$38-1),IF(AND($L$37=0,$P$34=0),"",$L$37-1)),MIN(BH$38,$E494),$P$20))-SUM($BF494:BG494))</f>
        <v>0</v>
      </c>
      <c r="BI494" s="446">
        <f>IF($E494=0,0,IF(MIN(BI$38,$E494)&lt;MAX($P$34*($B494+$I$38-1),IF(AND($L$37=0,$P$34=0),"",$L$37-1)),0,YEARFRAC(MAX($P$34*($B494+$I$38-1),IF(AND($L$37=0,$P$34=0),"",$L$37-1)),MIN(BI$38,$E494),$P$20))-SUM($BF494:BH494))</f>
        <v>0</v>
      </c>
      <c r="BJ494" s="446">
        <f>IF($E494=0,0,IF(MIN(BJ$38,$E494)&lt;MAX($P$34*($B494+$I$38-1),IF(AND($L$37=0,$P$34=0),"",$L$37-1)),0,YEARFRAC(MAX($P$34*($B494+$I$38-1),IF(AND($L$37=0,$P$34=0),"",$L$37-1)),MIN(BJ$38,$E494),$P$20))-SUM($BF494:BI494))</f>
        <v>0</v>
      </c>
      <c r="BK494" s="446">
        <f>IF($E494=0,0,IF(MIN(BK$38,$E494)&lt;MAX($P$34*($B494+$I$38-1),IF(AND($L$37=0,$P$34=0),"",$L$37-1)),0,YEARFRAC(MAX($P$34*($B494+$I$38-1),IF(AND($L$37=0,$P$34=0),"",$L$37-1)),MIN(BK$38,$E494),$P$20))-SUM($BF494:BJ494))</f>
        <v>0</v>
      </c>
      <c r="BL494" s="446">
        <f>IF($E494=0,0,IF(MIN(BL$38,$E494)&lt;MAX($P$34*($B494+$I$38-1),IF(AND($L$37=0,$P$34=0),"",$L$37-1)),0,YEARFRAC(MAX($P$34*($B494+$I$38-1),IF(AND($L$37=0,$P$34=0),"",$L$37-1)),MIN(BL$38,$E494),$P$20))-SUM($BF494:BK494))</f>
        <v>0</v>
      </c>
      <c r="BM494" s="446">
        <f>IF($E494=0,0,IF(MIN(BM$38,$E494)&lt;MAX($P$34*($B494+$I$38-1),IF(AND($L$37=0,$P$34=0),"",$L$37-1)),0,YEARFRAC(MAX($P$34*($B494+$I$38-1),IF(AND($L$37=0,$P$34=0),"",$L$37-1)),MIN(BM$38,$E494),$P$20))-SUM($BF494:BL494))</f>
        <v>0</v>
      </c>
      <c r="BN494" s="446">
        <f>IF($E494=0,0,IF(MIN(BN$38,$E494)&lt;MAX($P$34*($B494+$I$38-1),IF(AND($L$37=0,$P$34=0),"",$L$37-1)),0,YEARFRAC(MAX($P$34*($B494+$I$38-1),IF(AND($L$37=0,$P$34=0),"",$L$37-1)),MIN(BN$38,$E494),$P$20))-SUM($BF494:BM494))</f>
        <v>0</v>
      </c>
      <c r="BO494" s="446">
        <f>IF($E494=0,0,IF(MIN(BO$38,$E494)&lt;MAX($P$34*($B494+$I$38-1),IF(AND($L$37=0,$P$34=0),"",$L$37-1)),0,YEARFRAC(MAX($P$34*($B494+$I$38-1),IF(AND($L$37=0,$P$34=0),"",$L$37-1)),MIN(BO$38,$E494),$P$20))-SUM($BF494:BN494))</f>
        <v>0</v>
      </c>
      <c r="BP494" s="446">
        <f>IF($E494=0,0,IF(MIN(BP$38,$E494)&lt;MAX($P$34*($B494+$I$38-1),IF(AND($L$37=0,$P$34=0),"",$L$37-1)),0,YEARFRAC(MAX($P$34*($B494+$I$38-1),IF(AND($L$37=0,$P$34=0),"",$L$37-1)),MIN(BP$38,$E494),$P$20))-SUM($BF494:BO494))</f>
        <v>0</v>
      </c>
      <c r="BQ494" s="446">
        <f>IF($E494=0,0,IF(MIN(BQ$38,$E494)&lt;MAX($P$34*($B494+$I$38-1),IF(AND($L$37=0,$P$34=0),"",$L$37-1)),0,YEARFRAC(MAX($P$34*($B494+$I$38-1),IF(AND($L$37=0,$P$34=0),"",$L$37-1)),MIN(BQ$38,$E494),$P$20))-SUM($BF494:BP494))</f>
        <v>0</v>
      </c>
      <c r="BR494" s="446">
        <f>IF($E494=0,0,IF(MIN(BR$38,$E494)&lt;MAX($P$34*($B494+$I$38-1),IF(AND($L$37=0,$P$34=0),"",$L$37-1)),0,YEARFRAC(MAX($P$34*($B494+$I$38-1),IF(AND($L$37=0,$P$34=0),"",$L$37-1)),MIN(BR$38,$E494),$P$20))-SUM($BF494:BQ494))</f>
        <v>0</v>
      </c>
      <c r="BS494" s="446">
        <f>IF($E494=0,0,IF(MIN(BS$38,$E494)&lt;MAX($P$34*($B494+$I$38-1),IF(AND($L$37=0,$P$34=0),"",$L$37-1)),0,YEARFRAC(MAX($P$34*($B494+$I$38-1),IF(AND($L$37=0,$P$34=0),"",$L$37-1)),MIN(BS$38,$E494),$P$20))-SUM($BF494:BR494))</f>
        <v>0</v>
      </c>
      <c r="BT494" s="446">
        <f>IF($E494=0,0,IF(MIN(BT$38,$E494)&lt;MAX($P$34*($B494+$I$38-1),IF(AND($L$37=0,$P$34=0),"",$L$37-1)),0,YEARFRAC(MAX($P$34*($B494+$I$38-1),IF(AND($L$37=0,$P$34=0),"",$L$37-1)),MIN(BT$38,$E494),$P$20))-SUM($BF494:BS494))</f>
        <v>0</v>
      </c>
      <c r="BU494" s="446">
        <f>IF($E494=0,0,IF(MIN(BU$38,$E494)&lt;MAX($P$34*($B494+$I$38-1),IF(AND($L$37=0,$P$34=0),"",$L$37-1)),0,YEARFRAC(MAX($P$34*($B494+$I$38-1),IF(AND($L$37=0,$P$34=0),"",$L$37-1)),MIN(BU$38,$E494),$P$20))-SUM($BF494:BT494))</f>
        <v>0</v>
      </c>
      <c r="BV494" s="446">
        <f>IF($E494=0,0,IF(MIN(BV$38,$E494)&lt;MAX($P$34*($B494+$I$38-1),IF(AND($L$37=0,$P$34=0),"",$L$37-1)),0,YEARFRAC(MAX($P$34*($B494+$I$38-1),IF(AND($L$37=0,$P$34=0),"",$L$37-1)),MIN(BV$38,$E494),$P$20))-SUM($BF494:BU494))</f>
        <v>0</v>
      </c>
      <c r="BW494" s="446">
        <f>IF($E494=0,0,IF(MIN(BW$38,$E494)&lt;MAX($P$34*($B494+$I$38-1),IF(AND($L$37=0,$P$34=0),"",$L$37-1)),0,YEARFRAC(MAX($P$34*($B494+$I$38-1),IF(AND($L$37=0,$P$34=0),"",$L$37-1)),MIN(BW$38,$E494),$P$20))-SUM($BF494:BV494))</f>
        <v>0</v>
      </c>
      <c r="BX494" s="446">
        <f>IF($E494=0,0,IF(MIN(BX$38,$E494)&lt;MAX($P$34*($B494+$I$38-1),IF(AND($L$37=0,$P$34=0),"",$L$37-1)),0,YEARFRAC(MAX($P$34*($B494+$I$38-1),IF(AND($L$37=0,$P$34=0),"",$L$37-1)),MIN(BX$38,$E494),$P$20))-SUM($BF494:BW494))</f>
        <v>0</v>
      </c>
      <c r="BY494" s="446">
        <f>IF($E494=0,0,IF(MIN(BY$38,$E494)&lt;MAX($P$34*($B494+$I$38-1),IF(AND($L$37=0,$P$34=0),"",$L$37-1)),0,YEARFRAC(MAX($P$34*($B494+$I$38-1),IF(AND($L$37=0,$P$34=0),"",$L$37-1)),MIN(BY$38,$E494),$P$20))-SUM($BF494:BX494))</f>
        <v>0</v>
      </c>
      <c r="BZ494" s="446">
        <f>IF($E494=0,0,IF(MIN(BZ$38,$E494)&lt;MAX($P$34*($B494+$I$38-1),IF(AND($L$37=0,$P$34=0),"",$L$37-1)),0,YEARFRAC(MAX($P$34*($B494+$I$38-1),IF(AND($L$37=0,$P$34=0),"",$L$37-1)),MIN(BZ$38,$E494),$P$20))-SUM($BF494:BY494))</f>
        <v>0</v>
      </c>
      <c r="CA494" s="446">
        <f>IF($E494=0,0,IF(MIN(CA$38,$E494)&lt;MAX($P$34*($B494+$I$38-1),IF(AND($L$37=0,$P$34=0),"",$L$37-1)),0,YEARFRAC(MAX($P$34*($B494+$I$38-1),IF(AND($L$37=0,$P$34=0),"",$L$37-1)),MIN(CA$38,$E494),$P$20))-SUM($BF494:BZ494))</f>
        <v>0</v>
      </c>
      <c r="CB494" s="446">
        <f>IF($E494=0,0,IF(MIN(CB$38,$E494)&lt;MAX($P$34*($B494+$I$38-1),IF(AND($L$37=0,$P$34=0),"",$L$37-1)),0,YEARFRAC(MAX($P$34*($B494+$I$38-1),IF(AND($L$37=0,$P$34=0),"",$L$37-1)),MIN(CB$38,$E494),$P$20))-SUM($BF494:CA494))</f>
        <v>0</v>
      </c>
      <c r="CC494" s="446">
        <f>IF($E494=0,0,IF(MIN(CC$38,$E494)&lt;MAX($P$34*($B494+$I$38-1),IF(AND($L$37=0,$P$34=0),"",$L$37-1)),0,YEARFRAC(MAX($P$34*($B494+$I$38-1),IF(AND($L$37=0,$P$34=0),"",$L$37-1)),MIN(CC$38,$E494),$P$20))-SUM($BF494:CB494))</f>
        <v>0</v>
      </c>
      <c r="CD494" s="446">
        <f>IF($E494=0,0,IF(MIN(CD$38,$E494)&lt;MAX($P$34*($B494+$I$38-1),IF(AND($L$37=0,$P$34=0),"",$L$37-1)),0,YEARFRAC(MAX($P$34*($B494+$I$38-1),IF(AND($L$37=0,$P$34=0),"",$L$37-1)),MIN(CD$38,$E494),$P$20))-SUM($BF494:CC494))</f>
        <v>0</v>
      </c>
      <c r="CE494" s="446">
        <f>IF($E494=0,0,IF(MIN(CE$38,$E494)&lt;MAX($P$34*($B494+$I$38-1),IF(AND($L$37=0,$P$34=0),"",$L$37-1)),0,YEARFRAC(MAX($P$34*($B494+$I$38-1),IF(AND($L$37=0,$P$34=0),"",$L$37-1)),MIN(CE$38,$E494),$P$20))-SUM($BF494:CD494))</f>
        <v>0</v>
      </c>
      <c r="CF494" s="446">
        <f>IF($E494=0,0,IF(MIN(CF$38,$E494)&lt;MAX($P$34*($B494+$I$38-1),IF(AND($L$37=0,$P$34=0),"",$L$37-1)),0,YEARFRAC(MAX($P$34*($B494+$I$38-1),IF(AND($L$37=0,$P$34=0),"",$L$37-1)),MIN(CF$38,$E494),$P$20))-SUM($BF494:CE494))</f>
        <v>0</v>
      </c>
      <c r="CG494" s="446">
        <f>IF($E494=0,0,IF(MIN(CG$38,$E494)&lt;MAX($P$34*($B494+$I$38-1),IF(AND($L$37=0,$P$34=0),"",$L$37-1)),0,YEARFRAC(MAX($P$34*($B494+$I$38-1),IF(AND($L$37=0,$P$34=0),"",$L$37-1)),MIN(CG$38,$E494),$P$20))-SUM($BF494:CF494))</f>
        <v>0</v>
      </c>
      <c r="CH494" s="446">
        <f>IF($E494=0,0,IF(MIN(CH$38,$E494)&lt;MAX($P$34*($B494+$I$38-1),IF(AND($L$37=0,$P$34=0),"",$L$37-1)),0,YEARFRAC(MAX($P$34*($B494+$I$38-1),IF(AND($L$37=0,$P$34=0),"",$L$37-1)),MIN(CH$38,$E494),$P$20))-SUM($BF494:CG494))</f>
        <v>0</v>
      </c>
      <c r="CI494" s="446">
        <f>IF($E494=0,0,IF(MIN(CI$38,$E494)&lt;MAX($P$34*($B494+$I$38-1),IF(AND($L$37=0,$P$34=0),"",$L$37-1)),0,YEARFRAC(MAX($P$34*($B494+$I$38-1),IF(AND($L$37=0,$P$34=0),"",$L$37-1)),MIN(CI$38,$E494),$P$20))-SUM($BF494:CH494))</f>
        <v>0</v>
      </c>
      <c r="CJ494" s="446">
        <f>IF($E494=0,0,IF(MIN(CJ$38,$E494)&lt;MAX($P$34*($B494+$I$38-1),IF(AND($L$37=0,$P$34=0),"",$L$37-1)),0,YEARFRAC(MAX($P$34*($B494+$I$38-1),IF(AND($L$37=0,$P$34=0),"",$L$37-1)),MIN(CJ$38,$E494),$P$20))-SUM($BF494:CI494))</f>
        <v>0</v>
      </c>
      <c r="CK494" s="446">
        <f>IF($E494=0,0,IF(MIN(CK$38,$E494)&lt;MAX($P$34*($B494+$I$38-1),IF(AND($L$37=0,$P$34=0),"",$L$37-1)),0,YEARFRAC(MAX($P$34*($B494+$I$38-1),IF(AND($L$37=0,$P$34=0),"",$L$37-1)),MIN(CK$38,$E494),$P$20))-SUM($BF494:CJ494))</f>
        <v>0</v>
      </c>
      <c r="CL494" s="446">
        <f>IF($E494=0,0,IF(MIN(CL$38,$E494)&lt;MAX($P$34*($B494+$I$38-1),IF(AND($L$37=0,$P$34=0),"",$L$37-1)),0,YEARFRAC(MAX($P$34*($B494+$I$38-1),IF(AND($L$37=0,$P$34=0),"",$L$37-1)),MIN(CL$38,$E494),$P$20))-SUM($BF494:CK494))</f>
        <v>0</v>
      </c>
      <c r="CM494" s="446">
        <f>IF($E494=0,0,IF(MIN(CM$38,$E494)&lt;MAX($P$34*($B494+$I$38-1),IF(AND($L$37=0,$P$34=0),"",$L$37-1)),0,YEARFRAC(MAX($P$34*($B494+$I$38-1),IF(AND($L$37=0,$P$34=0),"",$L$37-1)),MIN(CM$38,$E494),$P$20))-SUM($BF494:CL494))</f>
        <v>0</v>
      </c>
      <c r="CN494" s="446">
        <f>IF($E494=0,0,IF(MIN(CN$38,$E494)&lt;MAX($P$34*($B494+$I$38-1),IF(AND($L$37=0,$P$34=0),"",$L$37-1)),0,YEARFRAC(MAX($P$34*($B494+$I$38-1),IF(AND($L$37=0,$P$34=0),"",$L$37-1)),MIN(CN$38,$E494),$P$20))-SUM($BF494:CM494))</f>
        <v>0</v>
      </c>
      <c r="CO494" s="446">
        <f>IF($E494=0,0,IF(MIN(CO$38,$E494)&lt;MAX($P$34*($B494+$I$38-1),IF(AND($L$37=0,$P$34=0),"",$L$37-1)),0,YEARFRAC(MAX($P$34*($B494+$I$38-1),IF(AND($L$37=0,$P$34=0),"",$L$37-1)),MIN(CO$38,$E494),$P$20))-SUM($BF494:CN494))</f>
        <v>0</v>
      </c>
      <c r="CP494" s="446">
        <f>IF($E494=0,0,IF(MIN(CP$38,$E494)&lt;MAX($P$34*($B494+$I$38-1),IF(AND($L$37=0,$P$34=0),"",$L$37-1)),0,YEARFRAC(MAX($P$34*($B494+$I$38-1),IF(AND($L$37=0,$P$34=0),"",$L$37-1)),MIN(CP$38,$E494),$P$20))-SUM($BF494:CO494))</f>
        <v>0</v>
      </c>
      <c r="CQ494" s="446">
        <f>IF($E494=0,0,IF(MIN(CQ$38,$E494)&lt;MAX($P$34*($B494+$I$38-1),IF(AND($L$37=0,$P$34=0),"",$L$37-1)),0,YEARFRAC(MAX($P$34*($B494+$I$38-1),IF(AND($L$37=0,$P$34=0),"",$L$37-1)),MIN(CQ$38,$E494),$P$20))-SUM($BF494:CP494))</f>
        <v>0</v>
      </c>
    </row>
    <row r="495" spans="1:95" s="446" customFormat="1" ht="11.25" hidden="1" customHeight="1" x14ac:dyDescent="0.2">
      <c r="A495" s="152"/>
      <c r="B495" s="153" t="str">
        <f t="shared" si="92"/>
        <v/>
      </c>
      <c r="C495" s="29" t="str">
        <f>IF(B495="","",IF($L$35="SELIC - TRIBUTOS",VLOOKUP(DATE(YEAR($D$19),MONTH($D$19)-1,1),ÍNDICES!$A:$DE,HLOOKUP($BL$25,ÍNDICES!$B$3:$T$4,2)+11)-VLOOKUP(B495,ÍNDICES!$A:$DE,HLOOKUP($BL$25,ÍNDICES!$B$3:$T$4,2)+11)+1%,IF(C$38=$W$26,$J$35,IF(ISERROR(IF(B495&gt;$D$19,1,VLOOKUP(DATE(YEAR(B495),MONTH(B495)+IF($C$35=$S$23,1,0),1),ÍNDICES!$A:$DE,$Z$35+1))),"",IF(B495&gt;$D$19,1,VLOOKUP(DATE(YEAR(B495),MONTH(B495)+IF($C$35=$S$23,1,0),1),ÍNDICES!$A:$DE,$Z$35+1))))))</f>
        <v/>
      </c>
      <c r="D495" s="154" t="str">
        <f>IF(ISERROR(IF(OR($D$38=$Y$27,$B495=""),"",VLOOKUP(B495,ÍNDICES!A:DE,AF$35+1))),"",IF(OR($D$38=$Y$27,$B495=""),"",VLOOKUP(B495,ÍNDICES!A:DE,AF$35+1)))</f>
        <v/>
      </c>
      <c r="E495" s="153"/>
      <c r="F495" s="29" t="str">
        <f>IF(E495="","",IF($L$35="SELIC - TRIBUTOS",VLOOKUP(DATE(YEAR($D$19),MONTH($D$19)-1,1),ÍNDICES!$A:$DE,HLOOKUP($BL$25,ÍNDICES!$B$3:$T$4,2)+11)-VLOOKUP(E495,ÍNDICES!$A:$DE,HLOOKUP($BL$25,ÍNDICES!$B$3:$T$4,2)+11)+1%,IF(F$38=$W$26,$J$35,IF(ISERROR(IF(E495&gt;$D$19,1,VLOOKUP(DATE(YEAR(E495),MONTH(E495)+IF($C$35=$S$23,1,0),1),ÍNDICES!$A:$DE,$Z$35+1))),"",IF(E495&gt;$D$19,1,VLOOKUP(DATE(YEAR(E495),MONTH(E495)+IF($C$35=$S$23,1,0),1),ÍNDICES!$A:$DE,$Z$35+1))))))</f>
        <v/>
      </c>
      <c r="G495" s="155"/>
      <c r="H495" s="156" t="str">
        <f t="shared" si="88"/>
        <v/>
      </c>
      <c r="I495" s="29" t="str">
        <f t="shared" si="82"/>
        <v/>
      </c>
      <c r="J495" s="5">
        <f t="shared" si="83"/>
        <v>0</v>
      </c>
      <c r="K495" s="20">
        <f t="shared" ca="1" si="84"/>
        <v>0</v>
      </c>
      <c r="L495" s="5">
        <f t="shared" ca="1" si="85"/>
        <v>0</v>
      </c>
      <c r="M495" s="64">
        <f t="shared" si="89"/>
        <v>0</v>
      </c>
      <c r="N495" s="61">
        <f t="shared" ca="1" si="90"/>
        <v>0</v>
      </c>
      <c r="O495" s="5">
        <f t="shared" ca="1" si="91"/>
        <v>0</v>
      </c>
      <c r="P495" s="446" t="e">
        <f t="shared" si="86"/>
        <v>#VALUE!</v>
      </c>
      <c r="Q495" s="446" t="e">
        <f>IF(OR($B495="",MIN(Q$38,$D$19)&lt;MAX($P$34*($B495+IF($R$17="Distrato",$I$38-1,0)),IF(AND($L$37=0,$P$34=0),"",$L$37-1),IF($R$17="Distrato",$E495,0))),0,YEARFRAC(MAX($P$34*($B495+IF($R$17="Distrato",$I$38-1,0)),IF(AND($L$37=0,$P$34=0),"",$L$37-1),IF($R$17="Distrato",$E495,0)),MIN(Q$38,$D$19),$P$20))-SUM($P495:P495)</f>
        <v>#VALUE!</v>
      </c>
      <c r="R495" s="446" t="e">
        <f>IF(OR($B495="",MIN(R$38,$D$19)&lt;MAX($P$34*($B495+IF($R$17="Distrato",$I$38-1,0)),IF(AND($L$37=0,$P$34=0),"",$L$37-1),IF($R$17="Distrato",$E495,0))),0,YEARFRAC(MAX($P$34*($B495+IF($R$17="Distrato",$I$38-1,0)),IF(AND($L$37=0,$P$34=0),"",$L$37-1),IF($R$17="Distrato",$E495,0)),MIN(R$38,$D$19),$P$20))-SUM($P495:Q495)</f>
        <v>#VALUE!</v>
      </c>
      <c r="S495" s="446" t="e">
        <f>IF(OR($B495="",MIN(S$38,$D$19)&lt;MAX($P$34*($B495+IF($R$17="Distrato",$I$38-1,0)),IF(AND($L$37=0,$P$34=0),"",$L$37-1),IF($R$17="Distrato",$E495,0))),0,YEARFRAC(MAX($P$34*($B495+IF($R$17="Distrato",$I$38-1,0)),IF(AND($L$37=0,$P$34=0),"",$L$37-1),IF($R$17="Distrato",$E495,0)),MIN(S$38,$D$19),$P$20))-SUM($P495:R495)</f>
        <v>#VALUE!</v>
      </c>
      <c r="T495" s="446" t="e">
        <f>IF(OR($B495="",MIN(T$38,$D$19)&lt;MAX($P$34*($B495+IF($R$17="Distrato",$I$38-1,0)),IF(AND($L$37=0,$P$34=0),"",$L$37-1),IF($R$17="Distrato",$E495,0))),0,YEARFRAC(MAX($P$34*($B495+IF($R$17="Distrato",$I$38-1,0)),IF(AND($L$37=0,$P$34=0),"",$L$37-1),IF($R$17="Distrato",$E495,0)),MIN(T$38,$D$19),$P$20))-SUM($P495:S495)</f>
        <v>#VALUE!</v>
      </c>
      <c r="U495" s="446" t="e">
        <f>IF(OR($B495="",MIN(U$38,$D$19)&lt;MAX($P$34*($B495+IF($R$17="Distrato",$I$38-1,0)),IF(AND($L$37=0,$P$34=0),"",$L$37-1),IF($R$17="Distrato",$E495,0))),0,YEARFRAC(MAX($P$34*($B495+IF($R$17="Distrato",$I$38-1,0)),IF(AND($L$37=0,$P$34=0),"",$L$37-1),IF($R$17="Distrato",$E495,0)),MIN(U$38,$D$19),$P$20))-SUM($P495:T495)</f>
        <v>#VALUE!</v>
      </c>
      <c r="V495" s="446" t="e">
        <f>IF(OR($B495="",MIN(V$38,$D$19)&lt;MAX($P$34*($B495+IF($R$17="Distrato",$I$38-1,0)),IF(AND($L$37=0,$P$34=0),"",$L$37-1),IF($R$17="Distrato",$E495,0))),0,YEARFRAC(MAX($P$34*($B495+IF($R$17="Distrato",$I$38-1,0)),IF(AND($L$37=0,$P$34=0),"",$L$37-1),IF($R$17="Distrato",$E495,0)),MIN(V$38,$D$19),$P$20))-SUM($P495:U495)</f>
        <v>#VALUE!</v>
      </c>
      <c r="W495" s="446" t="e">
        <f>IF(OR($B495="",MIN(W$38,$D$19)&lt;MAX($P$34*($B495+IF($R$17="Distrato",$I$38-1,0)),IF(AND($L$37=0,$P$34=0),"",$L$37-1),IF($R$17="Distrato",$E495,0))),0,YEARFRAC(MAX($P$34*($B495+IF($R$17="Distrato",$I$38-1,0)),IF(AND($L$37=0,$P$34=0),"",$L$37-1),IF($R$17="Distrato",$E495,0)),MIN(W$38,$D$19),$P$20))-SUM($P495:V495)</f>
        <v>#VALUE!</v>
      </c>
      <c r="X495" s="446" t="e">
        <f>IF(OR($B495="",MIN(X$38,$D$19)&lt;MAX($P$34*($B495+IF($R$17="Distrato",$I$38-1,0)),IF(AND($L$37=0,$P$34=0),"",$L$37-1),IF($R$17="Distrato",$E495,0))),0,YEARFRAC(MAX($P$34*($B495+IF($R$17="Distrato",$I$38-1,0)),IF(AND($L$37=0,$P$34=0),"",$L$37-1),IF($R$17="Distrato",$E495,0)),MIN(X$38,$D$19),$P$20))-SUM($P495:W495)</f>
        <v>#VALUE!</v>
      </c>
      <c r="Y495" s="446" t="e">
        <f>IF(OR($B495="",MIN(Y$38,$D$19)&lt;MAX($P$34*($B495+IF($R$17="Distrato",$I$38-1,0)),IF(AND($L$37=0,$P$34=0),"",$L$37-1),IF($R$17="Distrato",$E495,0))),0,YEARFRAC(MAX($P$34*($B495+IF($R$17="Distrato",$I$38-1,0)),IF(AND($L$37=0,$P$34=0),"",$L$37-1),IF($R$17="Distrato",$E495,0)),MIN(Y$38,$D$19),$P$20))-SUM($P495:X495)</f>
        <v>#VALUE!</v>
      </c>
      <c r="Z495" s="446" t="e">
        <f>IF(OR($B495="",MIN(Z$38,$D$19)&lt;MAX($P$34*($B495+IF($R$17="Distrato",$I$38-1,0)),IF(AND($L$37=0,$P$34=0),"",$L$37-1),IF($R$17="Distrato",$E495,0))),0,YEARFRAC(MAX($P$34*($B495+IF($R$17="Distrato",$I$38-1,0)),IF(AND($L$37=0,$P$34=0),"",$L$37-1),IF($R$17="Distrato",$E495,0)),MIN(Z$38,$D$19),$P$20))-SUM($P495:Y495)</f>
        <v>#VALUE!</v>
      </c>
      <c r="AA495" s="446" t="e">
        <f>IF(OR($B495="",MIN(AA$38,$D$19)&lt;MAX($P$34*($B495+IF($R$17="Distrato",$I$38-1,0)),IF(AND($L$37=0,$P$34=0),"",$L$37-1),IF($R$17="Distrato",$E495,0))),0,YEARFRAC(MAX($P$34*($B495+IF($R$17="Distrato",$I$38-1,0)),IF(AND($L$37=0,$P$34=0),"",$L$37-1),IF($R$17="Distrato",$E495,0)),MIN(AA$38,$D$19),$P$20))-SUM($P495:Z495)</f>
        <v>#VALUE!</v>
      </c>
      <c r="AB495" s="446" t="e">
        <f>IF(OR($B495="",MIN(AB$38,$D$19)&lt;MAX($P$34*($B495+IF($R$17="Distrato",$I$38-1,0)),IF(AND($L$37=0,$P$34=0),"",$L$37-1),IF($R$17="Distrato",$E495,0))),0,YEARFRAC(MAX($P$34*($B495+IF($R$17="Distrato",$I$38-1,0)),IF(AND($L$37=0,$P$34=0),"",$L$37-1),IF($R$17="Distrato",$E495,0)),MIN(AB$38,$D$19),$P$20))-SUM($P495:AA495)</f>
        <v>#VALUE!</v>
      </c>
      <c r="AC495" s="446" t="e">
        <f>IF(OR($B495="",MIN(AC$38,$D$19)&lt;MAX($P$34*($B495+IF($R$17="Distrato",$I$38-1,0)),IF(AND($L$37=0,$P$34=0),"",$L$37-1),IF($R$17="Distrato",$E495,0))),0,YEARFRAC(MAX($P$34*($B495+IF($R$17="Distrato",$I$38-1,0)),IF(AND($L$37=0,$P$34=0),"",$L$37-1),IF($R$17="Distrato",$E495,0)),MIN(AC$38,$D$19),$P$20))-SUM($P495:AB495)</f>
        <v>#VALUE!</v>
      </c>
      <c r="AD495" s="446" t="e">
        <f>IF(OR($B495="",MIN(AD$38,$D$19)&lt;MAX($P$34*($B495+IF($R$17="Distrato",$I$38-1,0)),IF(AND($L$37=0,$P$34=0),"",$L$37-1),IF($R$17="Distrato",$E495,0))),0,YEARFRAC(MAX($P$34*($B495+IF($R$17="Distrato",$I$38-1,0)),IF(AND($L$37=0,$P$34=0),"",$L$37-1),IF($R$17="Distrato",$E495,0)),MIN(AD$38,$D$19),$P$20))-SUM($P495:AC495)</f>
        <v>#VALUE!</v>
      </c>
      <c r="AE495" s="446" t="e">
        <f>IF(OR($B495="",MIN(AE$38,$D$19)&lt;MAX($P$34*($B495+IF($R$17="Distrato",$I$38-1,0)),IF(AND($L$37=0,$P$34=0),"",$L$37-1),IF($R$17="Distrato",$E495,0))),0,YEARFRAC(MAX($P$34*($B495+IF($R$17="Distrato",$I$38-1,0)),IF(AND($L$37=0,$P$34=0),"",$L$37-1),IF($R$17="Distrato",$E495,0)),MIN(AE$38,$D$19),$P$20))-SUM($P495:AD495)</f>
        <v>#VALUE!</v>
      </c>
      <c r="AF495" s="446" t="e">
        <f>IF(OR($B495="",MIN(AF$38,$D$19)&lt;MAX($P$34*($B495+IF($R$17="Distrato",$I$38-1,0)),IF(AND($L$37=0,$P$34=0),"",$L$37-1),IF($R$17="Distrato",$E495,0))),0,YEARFRAC(MAX($P$34*($B495+IF($R$17="Distrato",$I$38-1,0)),IF(AND($L$37=0,$P$34=0),"",$L$37-1),IF($R$17="Distrato",$E495,0)),MIN(AF$38,$D$19),$P$20))-SUM($P495:AE495)</f>
        <v>#VALUE!</v>
      </c>
      <c r="AG495" s="446" t="e">
        <f>IF(OR($B495="",MIN(AG$38,$D$19)&lt;MAX($P$34*($B495+IF($R$17="Distrato",$I$38-1,0)),IF(AND($L$37=0,$P$34=0),"",$L$37-1),IF($R$17="Distrato",$E495,0))),0,YEARFRAC(MAX($P$34*($B495+IF($R$17="Distrato",$I$38-1,0)),IF(AND($L$37=0,$P$34=0),"",$L$37-1),IF($R$17="Distrato",$E495,0)),MIN(AG$38,$D$19),$P$20))-SUM($P495:AF495)</f>
        <v>#VALUE!</v>
      </c>
      <c r="AH495" s="446" t="e">
        <f>IF(OR($B495="",MIN(AH$38,$D$19)&lt;MAX($P$34*($B495+IF($R$17="Distrato",$I$38-1,0)),IF(AND($L$37=0,$P$34=0),"",$L$37-1),IF($R$17="Distrato",$E495,0))),0,YEARFRAC(MAX($P$34*($B495+IF($R$17="Distrato",$I$38-1,0)),IF(AND($L$37=0,$P$34=0),"",$L$37-1),IF($R$17="Distrato",$E495,0)),MIN(AH$38,$D$19),$P$20))-SUM($P495:AG495)</f>
        <v>#VALUE!</v>
      </c>
      <c r="AI495" s="446" t="e">
        <f>IF(OR($B495="",MIN(AI$38,$D$19)&lt;MAX($P$34*($B495+IF($R$17="Distrato",$I$38-1,0)),IF(AND($L$37=0,$P$34=0),"",$L$37-1),IF($R$17="Distrato",$E495,0))),0,YEARFRAC(MAX($P$34*($B495+IF($R$17="Distrato",$I$38-1,0)),IF(AND($L$37=0,$P$34=0),"",$L$37-1),IF($R$17="Distrato",$E495,0)),MIN(AI$38,$D$19),$P$20))-SUM($P495:AH495)</f>
        <v>#VALUE!</v>
      </c>
      <c r="AJ495" s="446" t="e">
        <f>IF(OR($B495="",MIN(AJ$38,$D$19)&lt;MAX($P$34*($B495+IF($R$17="Distrato",$I$38-1,0)),IF(AND($L$37=0,$P$34=0),"",$L$37-1),IF($R$17="Distrato",$E495,0))),0,YEARFRAC(MAX($P$34*($B495+IF($R$17="Distrato",$I$38-1,0)),IF(AND($L$37=0,$P$34=0),"",$L$37-1),IF($R$17="Distrato",$E495,0)),MIN(AJ$38,$D$19),$P$20))-SUM($P495:AI495)</f>
        <v>#VALUE!</v>
      </c>
      <c r="AK495" s="446" t="e">
        <f>IF(OR($B495="",MIN(AK$38,$D$19)&lt;MAX($P$34*($B495+IF($R$17="Distrato",$I$38-1,0)),IF(AND($L$37=0,$P$34=0),"",$L$37-1),IF($R$17="Distrato",$E495,0))),0,YEARFRAC(MAX($P$34*($B495+IF($R$17="Distrato",$I$38-1,0)),IF(AND($L$37=0,$P$34=0),"",$L$37-1),IF($R$17="Distrato",$E495,0)),MIN(AK$38,$D$19),$P$20))-SUM($P495:AJ495)</f>
        <v>#VALUE!</v>
      </c>
      <c r="AL495" s="446" t="e">
        <f>IF(OR($B495="",MIN(AL$38,$D$19)&lt;MAX($P$34*($B495+IF($R$17="Distrato",$I$38-1,0)),IF(AND($L$37=0,$P$34=0),"",$L$37-1),IF($R$17="Distrato",$E495,0))),0,YEARFRAC(MAX($P$34*($B495+IF($R$17="Distrato",$I$38-1,0)),IF(AND($L$37=0,$P$34=0),"",$L$37-1),IF($R$17="Distrato",$E495,0)),MIN(AL$38,$D$19),$P$20))-SUM($P495:AK495)</f>
        <v>#VALUE!</v>
      </c>
      <c r="AM495" s="446" t="e">
        <f>IF(OR($B495="",MIN(AM$38,$D$19)&lt;MAX($P$34*($B495+IF($R$17="Distrato",$I$38-1,0)),IF(AND($L$37=0,$P$34=0),"",$L$37-1),IF($R$17="Distrato",$E495,0))),0,YEARFRAC(MAX($P$34*($B495+IF($R$17="Distrato",$I$38-1,0)),IF(AND($L$37=0,$P$34=0),"",$L$37-1),IF($R$17="Distrato",$E495,0)),MIN(AM$38,$D$19),$P$20))-SUM($P495:AL495)</f>
        <v>#VALUE!</v>
      </c>
      <c r="AN495" s="446" t="e">
        <f>IF(OR($B495="",MIN(AN$38,$D$19)&lt;MAX($P$34*($B495+IF($R$17="Distrato",$I$38-1,0)),IF(AND($L$37=0,$P$34=0),"",$L$37-1),IF($R$17="Distrato",$E495,0))),0,YEARFRAC(MAX($P$34*($B495+IF($R$17="Distrato",$I$38-1,0)),IF(AND($L$37=0,$P$34=0),"",$L$37-1),IF($R$17="Distrato",$E495,0)),MIN(AN$38,$D$19),$P$20))-SUM($P495:AM495)</f>
        <v>#VALUE!</v>
      </c>
      <c r="AO495" s="446" t="e">
        <f>IF(OR($B495="",MIN(AO$38,$D$19)&lt;MAX($P$34*($B495+IF($R$17="Distrato",$I$38-1,0)),IF(AND($L$37=0,$P$34=0),"",$L$37-1),IF($R$17="Distrato",$E495,0))),0,YEARFRAC(MAX($P$34*($B495+IF($R$17="Distrato",$I$38-1,0)),IF(AND($L$37=0,$P$34=0),"",$L$37-1),IF($R$17="Distrato",$E495,0)),MIN(AO$38,$D$19),$P$20))-SUM($P495:AN495)</f>
        <v>#VALUE!</v>
      </c>
      <c r="AP495" s="446" t="e">
        <f>IF(OR($B495="",MIN(AP$38,$D$19)&lt;MAX($P$34*($B495+IF($R$17="Distrato",$I$38-1,0)),IF(AND($L$37=0,$P$34=0),"",$L$37-1),IF($R$17="Distrato",$E495,0))),0,YEARFRAC(MAX($P$34*($B495+IF($R$17="Distrato",$I$38-1,0)),IF(AND($L$37=0,$P$34=0),"",$L$37-1),IF($R$17="Distrato",$E495,0)),MIN(AP$38,$D$19),$P$20))-SUM($P495:AO495)</f>
        <v>#VALUE!</v>
      </c>
      <c r="AQ495" s="446" t="e">
        <f>IF(OR($B495="",MIN(AQ$38,$D$19)&lt;MAX($P$34*($B495+IF($R$17="Distrato",$I$38-1,0)),IF(AND($L$37=0,$P$34=0),"",$L$37-1),IF($R$17="Distrato",$E495,0))),0,YEARFRAC(MAX($P$34*($B495+IF($R$17="Distrato",$I$38-1,0)),IF(AND($L$37=0,$P$34=0),"",$L$37-1),IF($R$17="Distrato",$E495,0)),MIN(AQ$38,$D$19),$P$20))-SUM($P495:AP495)</f>
        <v>#VALUE!</v>
      </c>
      <c r="AR495" s="446" t="e">
        <f>IF(OR($B495="",MIN(AR$38,$D$19)&lt;MAX($P$34*($B495+IF($R$17="Distrato",$I$38-1,0)),IF(AND($L$37=0,$P$34=0),"",$L$37-1),IF($R$17="Distrato",$E495,0))),0,YEARFRAC(MAX($P$34*($B495+IF($R$17="Distrato",$I$38-1,0)),IF(AND($L$37=0,$P$34=0),"",$L$37-1),IF($R$17="Distrato",$E495,0)),MIN(AR$38,$D$19),$P$20))-SUM($P495:AQ495)</f>
        <v>#VALUE!</v>
      </c>
      <c r="AS495" s="446" t="e">
        <f>IF(OR($B495="",MIN(AS$38,$D$19)&lt;MAX($P$34*($B495+IF($R$17="Distrato",$I$38-1,0)),IF(AND($L$37=0,$P$34=0),"",$L$37-1),IF($R$17="Distrato",$E495,0))),0,YEARFRAC(MAX($P$34*($B495+IF($R$17="Distrato",$I$38-1,0)),IF(AND($L$37=0,$P$34=0),"",$L$37-1),IF($R$17="Distrato",$E495,0)),MIN(AS$38,$D$19),$P$20))-SUM($P495:AR495)</f>
        <v>#VALUE!</v>
      </c>
      <c r="AT495" s="446" t="e">
        <f>IF(OR($B495="",MIN(AT$38,$D$19)&lt;MAX($P$34*($B495+IF($R$17="Distrato",$I$38-1,0)),IF(AND($L$37=0,$P$34=0),"",$L$37-1),IF($R$17="Distrato",$E495,0))),0,YEARFRAC(MAX($P$34*($B495+IF($R$17="Distrato",$I$38-1,0)),IF(AND($L$37=0,$P$34=0),"",$L$37-1),IF($R$17="Distrato",$E495,0)),MIN(AT$38,$D$19),$P$20))-SUM($P495:AS495)</f>
        <v>#VALUE!</v>
      </c>
      <c r="AU495" s="446" t="e">
        <f>IF(OR($B495="",MIN(AU$38,$D$19)&lt;MAX($P$34*($B495+IF($R$17="Distrato",$I$38-1,0)),IF(AND($L$37=0,$P$34=0),"",$L$37-1),IF($R$17="Distrato",$E495,0))),0,YEARFRAC(MAX($P$34*($B495+IF($R$17="Distrato",$I$38-1,0)),IF(AND($L$37=0,$P$34=0),"",$L$37-1),IF($R$17="Distrato",$E495,0)),MIN(AU$38,$D$19),$P$20))-SUM($P495:AT495)</f>
        <v>#VALUE!</v>
      </c>
      <c r="AV495" s="446" t="e">
        <f>IF(OR($B495="",MIN(AV$38,$D$19)&lt;MAX($P$34*($B495+IF($R$17="Distrato",$I$38-1,0)),IF(AND($L$37=0,$P$34=0),"",$L$37-1),IF($R$17="Distrato",$E495,0))),0,YEARFRAC(MAX($P$34*($B495+IF($R$17="Distrato",$I$38-1,0)),IF(AND($L$37=0,$P$34=0),"",$L$37-1),IF($R$17="Distrato",$E495,0)),MIN(AV$38,$D$19),$P$20))-SUM($P495:AU495)</f>
        <v>#VALUE!</v>
      </c>
      <c r="AW495" s="446" t="e">
        <f>IF(OR($B495="",MIN(AW$38,$D$19)&lt;MAX($P$34*($B495+IF($R$17="Distrato",$I$38-1,0)),IF(AND($L$37=0,$P$34=0),"",$L$37-1),IF($R$17="Distrato",$E495,0))),0,YEARFRAC(MAX($P$34*($B495+IF($R$17="Distrato",$I$38-1,0)),IF(AND($L$37=0,$P$34=0),"",$L$37-1),IF($R$17="Distrato",$E495,0)),MIN(AW$38,$D$19),$P$20))-SUM($P495:AV495)</f>
        <v>#VALUE!</v>
      </c>
      <c r="AX495" s="446" t="e">
        <f>IF(OR($B495="",MIN(AX$38,$D$19)&lt;MAX($P$34*($B495+IF($R$17="Distrato",$I$38-1,0)),IF(AND($L$37=0,$P$34=0),"",$L$37-1),IF($R$17="Distrato",$E495,0))),0,YEARFRAC(MAX($P$34*($B495+IF($R$17="Distrato",$I$38-1,0)),IF(AND($L$37=0,$P$34=0),"",$L$37-1),IF($R$17="Distrato",$E495,0)),MIN(AX$38,$D$19),$P$20))-SUM($P495:AW495)</f>
        <v>#VALUE!</v>
      </c>
      <c r="AY495" s="446" t="e">
        <f>IF(OR($B495="",MIN(AY$38,$D$19)&lt;MAX($P$34*($B495+IF($R$17="Distrato",$I$38-1,0)),IF(AND($L$37=0,$P$34=0),"",$L$37-1),IF($R$17="Distrato",$E495,0))),0,YEARFRAC(MAX($P$34*($B495+IF($R$17="Distrato",$I$38-1,0)),IF(AND($L$37=0,$P$34=0),"",$L$37-1),IF($R$17="Distrato",$E495,0)),MIN(AY$38,$D$19),$P$20))-SUM($P495:AX495)</f>
        <v>#VALUE!</v>
      </c>
      <c r="AZ495" s="446" t="e">
        <f>IF(OR($B495="",MIN(AZ$38,$D$19)&lt;MAX($P$34*($B495+IF($R$17="Distrato",$I$38-1,0)),IF(AND($L$37=0,$P$34=0),"",$L$37-1),IF($R$17="Distrato",$E495,0))),0,YEARFRAC(MAX($P$34*($B495+IF($R$17="Distrato",$I$38-1,0)),IF(AND($L$37=0,$P$34=0),"",$L$37-1),IF($R$17="Distrato",$E495,0)),MIN(AZ$38,$D$19),$P$20))-SUM($P495:AY495)</f>
        <v>#VALUE!</v>
      </c>
      <c r="BA495" s="446" t="e">
        <f>IF(OR($B495="",MIN(BA$38,$D$19)&lt;MAX($P$34*($B495+IF($R$17="Distrato",$I$38-1,0)),IF(AND($L$37=0,$P$34=0),"",$L$37-1),IF($R$17="Distrato",$E495,0))),0,YEARFRAC(MAX($P$34*($B495+IF($R$17="Distrato",$I$38-1,0)),IF(AND($L$37=0,$P$34=0),"",$L$37-1),IF($R$17="Distrato",$E495,0)),MIN(BA$38,$D$19),$P$20))-SUM($P495:AZ495)</f>
        <v>#VALUE!</v>
      </c>
      <c r="BB495" s="447"/>
      <c r="BF495" s="446">
        <f t="shared" si="87"/>
        <v>0</v>
      </c>
      <c r="BG495" s="446">
        <f>IF($E495=0,0,IF(MIN(BG$38,$E495)&lt;MAX($P$34*($B495+$I$38-1),IF(AND($L$37=0,$P$34=0),"",$L$37-1)),0,YEARFRAC(MAX($P$34*($B495+$I$38-1),IF(AND($L$37=0,$P$34=0),"",$L$37-1)),MIN(BG$38,$E495),$P$20))-SUM($BF495:BF495))</f>
        <v>0</v>
      </c>
      <c r="BH495" s="446">
        <f>IF($E495=0,0,IF(MIN(BH$38,$E495)&lt;MAX($P$34*($B495+$I$38-1),IF(AND($L$37=0,$P$34=0),"",$L$37-1)),0,YEARFRAC(MAX($P$34*($B495+$I$38-1),IF(AND($L$37=0,$P$34=0),"",$L$37-1)),MIN(BH$38,$E495),$P$20))-SUM($BF495:BG495))</f>
        <v>0</v>
      </c>
      <c r="BI495" s="446">
        <f>IF($E495=0,0,IF(MIN(BI$38,$E495)&lt;MAX($P$34*($B495+$I$38-1),IF(AND($L$37=0,$P$34=0),"",$L$37-1)),0,YEARFRAC(MAX($P$34*($B495+$I$38-1),IF(AND($L$37=0,$P$34=0),"",$L$37-1)),MIN(BI$38,$E495),$P$20))-SUM($BF495:BH495))</f>
        <v>0</v>
      </c>
      <c r="BJ495" s="446">
        <f>IF($E495=0,0,IF(MIN(BJ$38,$E495)&lt;MAX($P$34*($B495+$I$38-1),IF(AND($L$37=0,$P$34=0),"",$L$37-1)),0,YEARFRAC(MAX($P$34*($B495+$I$38-1),IF(AND($L$37=0,$P$34=0),"",$L$37-1)),MIN(BJ$38,$E495),$P$20))-SUM($BF495:BI495))</f>
        <v>0</v>
      </c>
      <c r="BK495" s="446">
        <f>IF($E495=0,0,IF(MIN(BK$38,$E495)&lt;MAX($P$34*($B495+$I$38-1),IF(AND($L$37=0,$P$34=0),"",$L$37-1)),0,YEARFRAC(MAX($P$34*($B495+$I$38-1),IF(AND($L$37=0,$P$34=0),"",$L$37-1)),MIN(BK$38,$E495),$P$20))-SUM($BF495:BJ495))</f>
        <v>0</v>
      </c>
      <c r="BL495" s="446">
        <f>IF($E495=0,0,IF(MIN(BL$38,$E495)&lt;MAX($P$34*($B495+$I$38-1),IF(AND($L$37=0,$P$34=0),"",$L$37-1)),0,YEARFRAC(MAX($P$34*($B495+$I$38-1),IF(AND($L$37=0,$P$34=0),"",$L$37-1)),MIN(BL$38,$E495),$P$20))-SUM($BF495:BK495))</f>
        <v>0</v>
      </c>
      <c r="BM495" s="446">
        <f>IF($E495=0,0,IF(MIN(BM$38,$E495)&lt;MAX($P$34*($B495+$I$38-1),IF(AND($L$37=0,$P$34=0),"",$L$37-1)),0,YEARFRAC(MAX($P$34*($B495+$I$38-1),IF(AND($L$37=0,$P$34=0),"",$L$37-1)),MIN(BM$38,$E495),$P$20))-SUM($BF495:BL495))</f>
        <v>0</v>
      </c>
      <c r="BN495" s="446">
        <f>IF($E495=0,0,IF(MIN(BN$38,$E495)&lt;MAX($P$34*($B495+$I$38-1),IF(AND($L$37=0,$P$34=0),"",$L$37-1)),0,YEARFRAC(MAX($P$34*($B495+$I$38-1),IF(AND($L$37=0,$P$34=0),"",$L$37-1)),MIN(BN$38,$E495),$P$20))-SUM($BF495:BM495))</f>
        <v>0</v>
      </c>
      <c r="BO495" s="446">
        <f>IF($E495=0,0,IF(MIN(BO$38,$E495)&lt;MAX($P$34*($B495+$I$38-1),IF(AND($L$37=0,$P$34=0),"",$L$37-1)),0,YEARFRAC(MAX($P$34*($B495+$I$38-1),IF(AND($L$37=0,$P$34=0),"",$L$37-1)),MIN(BO$38,$E495),$P$20))-SUM($BF495:BN495))</f>
        <v>0</v>
      </c>
      <c r="BP495" s="446">
        <f>IF($E495=0,0,IF(MIN(BP$38,$E495)&lt;MAX($P$34*($B495+$I$38-1),IF(AND($L$37=0,$P$34=0),"",$L$37-1)),0,YEARFRAC(MAX($P$34*($B495+$I$38-1),IF(AND($L$37=0,$P$34=0),"",$L$37-1)),MIN(BP$38,$E495),$P$20))-SUM($BF495:BO495))</f>
        <v>0</v>
      </c>
      <c r="BQ495" s="446">
        <f>IF($E495=0,0,IF(MIN(BQ$38,$E495)&lt;MAX($P$34*($B495+$I$38-1),IF(AND($L$37=0,$P$34=0),"",$L$37-1)),0,YEARFRAC(MAX($P$34*($B495+$I$38-1),IF(AND($L$37=0,$P$34=0),"",$L$37-1)),MIN(BQ$38,$E495),$P$20))-SUM($BF495:BP495))</f>
        <v>0</v>
      </c>
      <c r="BR495" s="446">
        <f>IF($E495=0,0,IF(MIN(BR$38,$E495)&lt;MAX($P$34*($B495+$I$38-1),IF(AND($L$37=0,$P$34=0),"",$L$37-1)),0,YEARFRAC(MAX($P$34*($B495+$I$38-1),IF(AND($L$37=0,$P$34=0),"",$L$37-1)),MIN(BR$38,$E495),$P$20))-SUM($BF495:BQ495))</f>
        <v>0</v>
      </c>
      <c r="BS495" s="446">
        <f>IF($E495=0,0,IF(MIN(BS$38,$E495)&lt;MAX($P$34*($B495+$I$38-1),IF(AND($L$37=0,$P$34=0),"",$L$37-1)),0,YEARFRAC(MAX($P$34*($B495+$I$38-1),IF(AND($L$37=0,$P$34=0),"",$L$37-1)),MIN(BS$38,$E495),$P$20))-SUM($BF495:BR495))</f>
        <v>0</v>
      </c>
      <c r="BT495" s="446">
        <f>IF($E495=0,0,IF(MIN(BT$38,$E495)&lt;MAX($P$34*($B495+$I$38-1),IF(AND($L$37=0,$P$34=0),"",$L$37-1)),0,YEARFRAC(MAX($P$34*($B495+$I$38-1),IF(AND($L$37=0,$P$34=0),"",$L$37-1)),MIN(BT$38,$E495),$P$20))-SUM($BF495:BS495))</f>
        <v>0</v>
      </c>
      <c r="BU495" s="446">
        <f>IF($E495=0,0,IF(MIN(BU$38,$E495)&lt;MAX($P$34*($B495+$I$38-1),IF(AND($L$37=0,$P$34=0),"",$L$37-1)),0,YEARFRAC(MAX($P$34*($B495+$I$38-1),IF(AND($L$37=0,$P$34=0),"",$L$37-1)),MIN(BU$38,$E495),$P$20))-SUM($BF495:BT495))</f>
        <v>0</v>
      </c>
      <c r="BV495" s="446">
        <f>IF($E495=0,0,IF(MIN(BV$38,$E495)&lt;MAX($P$34*($B495+$I$38-1),IF(AND($L$37=0,$P$34=0),"",$L$37-1)),0,YEARFRAC(MAX($P$34*($B495+$I$38-1),IF(AND($L$37=0,$P$34=0),"",$L$37-1)),MIN(BV$38,$E495),$P$20))-SUM($BF495:BU495))</f>
        <v>0</v>
      </c>
      <c r="BW495" s="446">
        <f>IF($E495=0,0,IF(MIN(BW$38,$E495)&lt;MAX($P$34*($B495+$I$38-1),IF(AND($L$37=0,$P$34=0),"",$L$37-1)),0,YEARFRAC(MAX($P$34*($B495+$I$38-1),IF(AND($L$37=0,$P$34=0),"",$L$37-1)),MIN(BW$38,$E495),$P$20))-SUM($BF495:BV495))</f>
        <v>0</v>
      </c>
      <c r="BX495" s="446">
        <f>IF($E495=0,0,IF(MIN(BX$38,$E495)&lt;MAX($P$34*($B495+$I$38-1),IF(AND($L$37=0,$P$34=0),"",$L$37-1)),0,YEARFRAC(MAX($P$34*($B495+$I$38-1),IF(AND($L$37=0,$P$34=0),"",$L$37-1)),MIN(BX$38,$E495),$P$20))-SUM($BF495:BW495))</f>
        <v>0</v>
      </c>
      <c r="BY495" s="446">
        <f>IF($E495=0,0,IF(MIN(BY$38,$E495)&lt;MAX($P$34*($B495+$I$38-1),IF(AND($L$37=0,$P$34=0),"",$L$37-1)),0,YEARFRAC(MAX($P$34*($B495+$I$38-1),IF(AND($L$37=0,$P$34=0),"",$L$37-1)),MIN(BY$38,$E495),$P$20))-SUM($BF495:BX495))</f>
        <v>0</v>
      </c>
      <c r="BZ495" s="446">
        <f>IF($E495=0,0,IF(MIN(BZ$38,$E495)&lt;MAX($P$34*($B495+$I$38-1),IF(AND($L$37=0,$P$34=0),"",$L$37-1)),0,YEARFRAC(MAX($P$34*($B495+$I$38-1),IF(AND($L$37=0,$P$34=0),"",$L$37-1)),MIN(BZ$38,$E495),$P$20))-SUM($BF495:BY495))</f>
        <v>0</v>
      </c>
      <c r="CA495" s="446">
        <f>IF($E495=0,0,IF(MIN(CA$38,$E495)&lt;MAX($P$34*($B495+$I$38-1),IF(AND($L$37=0,$P$34=0),"",$L$37-1)),0,YEARFRAC(MAX($P$34*($B495+$I$38-1),IF(AND($L$37=0,$P$34=0),"",$L$37-1)),MIN(CA$38,$E495),$P$20))-SUM($BF495:BZ495))</f>
        <v>0</v>
      </c>
      <c r="CB495" s="446">
        <f>IF($E495=0,0,IF(MIN(CB$38,$E495)&lt;MAX($P$34*($B495+$I$38-1),IF(AND($L$37=0,$P$34=0),"",$L$37-1)),0,YEARFRAC(MAX($P$34*($B495+$I$38-1),IF(AND($L$37=0,$P$34=0),"",$L$37-1)),MIN(CB$38,$E495),$P$20))-SUM($BF495:CA495))</f>
        <v>0</v>
      </c>
      <c r="CC495" s="446">
        <f>IF($E495=0,0,IF(MIN(CC$38,$E495)&lt;MAX($P$34*($B495+$I$38-1),IF(AND($L$37=0,$P$34=0),"",$L$37-1)),0,YEARFRAC(MAX($P$34*($B495+$I$38-1),IF(AND($L$37=0,$P$34=0),"",$L$37-1)),MIN(CC$38,$E495),$P$20))-SUM($BF495:CB495))</f>
        <v>0</v>
      </c>
      <c r="CD495" s="446">
        <f>IF($E495=0,0,IF(MIN(CD$38,$E495)&lt;MAX($P$34*($B495+$I$38-1),IF(AND($L$37=0,$P$34=0),"",$L$37-1)),0,YEARFRAC(MAX($P$34*($B495+$I$38-1),IF(AND($L$37=0,$P$34=0),"",$L$37-1)),MIN(CD$38,$E495),$P$20))-SUM($BF495:CC495))</f>
        <v>0</v>
      </c>
      <c r="CE495" s="446">
        <f>IF($E495=0,0,IF(MIN(CE$38,$E495)&lt;MAX($P$34*($B495+$I$38-1),IF(AND($L$37=0,$P$34=0),"",$L$37-1)),0,YEARFRAC(MAX($P$34*($B495+$I$38-1),IF(AND($L$37=0,$P$34=0),"",$L$37-1)),MIN(CE$38,$E495),$P$20))-SUM($BF495:CD495))</f>
        <v>0</v>
      </c>
      <c r="CF495" s="446">
        <f>IF($E495=0,0,IF(MIN(CF$38,$E495)&lt;MAX($P$34*($B495+$I$38-1),IF(AND($L$37=0,$P$34=0),"",$L$37-1)),0,YEARFRAC(MAX($P$34*($B495+$I$38-1),IF(AND($L$37=0,$P$34=0),"",$L$37-1)),MIN(CF$38,$E495),$P$20))-SUM($BF495:CE495))</f>
        <v>0</v>
      </c>
      <c r="CG495" s="446">
        <f>IF($E495=0,0,IF(MIN(CG$38,$E495)&lt;MAX($P$34*($B495+$I$38-1),IF(AND($L$37=0,$P$34=0),"",$L$37-1)),0,YEARFRAC(MAX($P$34*($B495+$I$38-1),IF(AND($L$37=0,$P$34=0),"",$L$37-1)),MIN(CG$38,$E495),$P$20))-SUM($BF495:CF495))</f>
        <v>0</v>
      </c>
      <c r="CH495" s="446">
        <f>IF($E495=0,0,IF(MIN(CH$38,$E495)&lt;MAX($P$34*($B495+$I$38-1),IF(AND($L$37=0,$P$34=0),"",$L$37-1)),0,YEARFRAC(MAX($P$34*($B495+$I$38-1),IF(AND($L$37=0,$P$34=0),"",$L$37-1)),MIN(CH$38,$E495),$P$20))-SUM($BF495:CG495))</f>
        <v>0</v>
      </c>
      <c r="CI495" s="446">
        <f>IF($E495=0,0,IF(MIN(CI$38,$E495)&lt;MAX($P$34*($B495+$I$38-1),IF(AND($L$37=0,$P$34=0),"",$L$37-1)),0,YEARFRAC(MAX($P$34*($B495+$I$38-1),IF(AND($L$37=0,$P$34=0),"",$L$37-1)),MIN(CI$38,$E495),$P$20))-SUM($BF495:CH495))</f>
        <v>0</v>
      </c>
      <c r="CJ495" s="446">
        <f>IF($E495=0,0,IF(MIN(CJ$38,$E495)&lt;MAX($P$34*($B495+$I$38-1),IF(AND($L$37=0,$P$34=0),"",$L$37-1)),0,YEARFRAC(MAX($P$34*($B495+$I$38-1),IF(AND($L$37=0,$P$34=0),"",$L$37-1)),MIN(CJ$38,$E495),$P$20))-SUM($BF495:CI495))</f>
        <v>0</v>
      </c>
      <c r="CK495" s="446">
        <f>IF($E495=0,0,IF(MIN(CK$38,$E495)&lt;MAX($P$34*($B495+$I$38-1),IF(AND($L$37=0,$P$34=0),"",$L$37-1)),0,YEARFRAC(MAX($P$34*($B495+$I$38-1),IF(AND($L$37=0,$P$34=0),"",$L$37-1)),MIN(CK$38,$E495),$P$20))-SUM($BF495:CJ495))</f>
        <v>0</v>
      </c>
      <c r="CL495" s="446">
        <f>IF($E495=0,0,IF(MIN(CL$38,$E495)&lt;MAX($P$34*($B495+$I$38-1),IF(AND($L$37=0,$P$34=0),"",$L$37-1)),0,YEARFRAC(MAX($P$34*($B495+$I$38-1),IF(AND($L$37=0,$P$34=0),"",$L$37-1)),MIN(CL$38,$E495),$P$20))-SUM($BF495:CK495))</f>
        <v>0</v>
      </c>
      <c r="CM495" s="446">
        <f>IF($E495=0,0,IF(MIN(CM$38,$E495)&lt;MAX($P$34*($B495+$I$38-1),IF(AND($L$37=0,$P$34=0),"",$L$37-1)),0,YEARFRAC(MAX($P$34*($B495+$I$38-1),IF(AND($L$37=0,$P$34=0),"",$L$37-1)),MIN(CM$38,$E495),$P$20))-SUM($BF495:CL495))</f>
        <v>0</v>
      </c>
      <c r="CN495" s="446">
        <f>IF($E495=0,0,IF(MIN(CN$38,$E495)&lt;MAX($P$34*($B495+$I$38-1),IF(AND($L$37=0,$P$34=0),"",$L$37-1)),0,YEARFRAC(MAX($P$34*($B495+$I$38-1),IF(AND($L$37=0,$P$34=0),"",$L$37-1)),MIN(CN$38,$E495),$P$20))-SUM($BF495:CM495))</f>
        <v>0</v>
      </c>
      <c r="CO495" s="446">
        <f>IF($E495=0,0,IF(MIN(CO$38,$E495)&lt;MAX($P$34*($B495+$I$38-1),IF(AND($L$37=0,$P$34=0),"",$L$37-1)),0,YEARFRAC(MAX($P$34*($B495+$I$38-1),IF(AND($L$37=0,$P$34=0),"",$L$37-1)),MIN(CO$38,$E495),$P$20))-SUM($BF495:CN495))</f>
        <v>0</v>
      </c>
      <c r="CP495" s="446">
        <f>IF($E495=0,0,IF(MIN(CP$38,$E495)&lt;MAX($P$34*($B495+$I$38-1),IF(AND($L$37=0,$P$34=0),"",$L$37-1)),0,YEARFRAC(MAX($P$34*($B495+$I$38-1),IF(AND($L$37=0,$P$34=0),"",$L$37-1)),MIN(CP$38,$E495),$P$20))-SUM($BF495:CO495))</f>
        <v>0</v>
      </c>
      <c r="CQ495" s="446">
        <f>IF($E495=0,0,IF(MIN(CQ$38,$E495)&lt;MAX($P$34*($B495+$I$38-1),IF(AND($L$37=0,$P$34=0),"",$L$37-1)),0,YEARFRAC(MAX($P$34*($B495+$I$38-1),IF(AND($L$37=0,$P$34=0),"",$L$37-1)),MIN(CQ$38,$E495),$P$20))-SUM($BF495:CP495))</f>
        <v>0</v>
      </c>
    </row>
    <row r="496" spans="1:95" s="446" customFormat="1" ht="11.25" hidden="1" customHeight="1" x14ac:dyDescent="0.2">
      <c r="A496" s="152"/>
      <c r="B496" s="153" t="str">
        <f t="shared" si="92"/>
        <v/>
      </c>
      <c r="C496" s="29" t="str">
        <f>IF(B496="","",IF($L$35="SELIC - TRIBUTOS",VLOOKUP(DATE(YEAR($D$19),MONTH($D$19)-1,1),ÍNDICES!$A:$DE,HLOOKUP($BL$25,ÍNDICES!$B$3:$T$4,2)+11)-VLOOKUP(B496,ÍNDICES!$A:$DE,HLOOKUP($BL$25,ÍNDICES!$B$3:$T$4,2)+11)+1%,IF(C$38=$W$26,$J$35,IF(ISERROR(IF(B496&gt;$D$19,1,VLOOKUP(DATE(YEAR(B496),MONTH(B496)+IF($C$35=$S$23,1,0),1),ÍNDICES!$A:$DE,$Z$35+1))),"",IF(B496&gt;$D$19,1,VLOOKUP(DATE(YEAR(B496),MONTH(B496)+IF($C$35=$S$23,1,0),1),ÍNDICES!$A:$DE,$Z$35+1))))))</f>
        <v/>
      </c>
      <c r="D496" s="154" t="str">
        <f>IF(ISERROR(IF(OR($D$38=$Y$27,$B496=""),"",VLOOKUP(B496,ÍNDICES!A:DE,AF$35+1))),"",IF(OR($D$38=$Y$27,$B496=""),"",VLOOKUP(B496,ÍNDICES!A:DE,AF$35+1)))</f>
        <v/>
      </c>
      <c r="E496" s="153"/>
      <c r="F496" s="29" t="str">
        <f>IF(E496="","",IF($L$35="SELIC - TRIBUTOS",VLOOKUP(DATE(YEAR($D$19),MONTH($D$19)-1,1),ÍNDICES!$A:$DE,HLOOKUP($BL$25,ÍNDICES!$B$3:$T$4,2)+11)-VLOOKUP(E496,ÍNDICES!$A:$DE,HLOOKUP($BL$25,ÍNDICES!$B$3:$T$4,2)+11)+1%,IF(F$38=$W$26,$J$35,IF(ISERROR(IF(E496&gt;$D$19,1,VLOOKUP(DATE(YEAR(E496),MONTH(E496)+IF($C$35=$S$23,1,0),1),ÍNDICES!$A:$DE,$Z$35+1))),"",IF(E496&gt;$D$19,1,VLOOKUP(DATE(YEAR(E496),MONTH(E496)+IF($C$35=$S$23,1,0),1),ÍNDICES!$A:$DE,$Z$35+1))))))</f>
        <v/>
      </c>
      <c r="G496" s="155"/>
      <c r="H496" s="156" t="str">
        <f t="shared" si="88"/>
        <v/>
      </c>
      <c r="I496" s="29" t="str">
        <f t="shared" si="82"/>
        <v/>
      </c>
      <c r="J496" s="5">
        <f t="shared" si="83"/>
        <v>0</v>
      </c>
      <c r="K496" s="20">
        <f t="shared" ca="1" si="84"/>
        <v>0</v>
      </c>
      <c r="L496" s="5">
        <f t="shared" ca="1" si="85"/>
        <v>0</v>
      </c>
      <c r="M496" s="64">
        <f t="shared" si="89"/>
        <v>0</v>
      </c>
      <c r="N496" s="61">
        <f t="shared" ca="1" si="90"/>
        <v>0</v>
      </c>
      <c r="O496" s="5">
        <f t="shared" ca="1" si="91"/>
        <v>0</v>
      </c>
      <c r="P496" s="446" t="e">
        <f t="shared" si="86"/>
        <v>#VALUE!</v>
      </c>
      <c r="Q496" s="446" t="e">
        <f>IF(OR($B496="",MIN(Q$38,$D$19)&lt;MAX($P$34*($B496+IF($R$17="Distrato",$I$38-1,0)),IF(AND($L$37=0,$P$34=0),"",$L$37-1),IF($R$17="Distrato",$E496,0))),0,YEARFRAC(MAX($P$34*($B496+IF($R$17="Distrato",$I$38-1,0)),IF(AND($L$37=0,$P$34=0),"",$L$37-1),IF($R$17="Distrato",$E496,0)),MIN(Q$38,$D$19),$P$20))-SUM($P496:P496)</f>
        <v>#VALUE!</v>
      </c>
      <c r="R496" s="446" t="e">
        <f>IF(OR($B496="",MIN(R$38,$D$19)&lt;MAX($P$34*($B496+IF($R$17="Distrato",$I$38-1,0)),IF(AND($L$37=0,$P$34=0),"",$L$37-1),IF($R$17="Distrato",$E496,0))),0,YEARFRAC(MAX($P$34*($B496+IF($R$17="Distrato",$I$38-1,0)),IF(AND($L$37=0,$P$34=0),"",$L$37-1),IF($R$17="Distrato",$E496,0)),MIN(R$38,$D$19),$P$20))-SUM($P496:Q496)</f>
        <v>#VALUE!</v>
      </c>
      <c r="S496" s="446" t="e">
        <f>IF(OR($B496="",MIN(S$38,$D$19)&lt;MAX($P$34*($B496+IF($R$17="Distrato",$I$38-1,0)),IF(AND($L$37=0,$P$34=0),"",$L$37-1),IF($R$17="Distrato",$E496,0))),0,YEARFRAC(MAX($P$34*($B496+IF($R$17="Distrato",$I$38-1,0)),IF(AND($L$37=0,$P$34=0),"",$L$37-1),IF($R$17="Distrato",$E496,0)),MIN(S$38,$D$19),$P$20))-SUM($P496:R496)</f>
        <v>#VALUE!</v>
      </c>
      <c r="T496" s="446" t="e">
        <f>IF(OR($B496="",MIN(T$38,$D$19)&lt;MAX($P$34*($B496+IF($R$17="Distrato",$I$38-1,0)),IF(AND($L$37=0,$P$34=0),"",$L$37-1),IF($R$17="Distrato",$E496,0))),0,YEARFRAC(MAX($P$34*($B496+IF($R$17="Distrato",$I$38-1,0)),IF(AND($L$37=0,$P$34=0),"",$L$37-1),IF($R$17="Distrato",$E496,0)),MIN(T$38,$D$19),$P$20))-SUM($P496:S496)</f>
        <v>#VALUE!</v>
      </c>
      <c r="U496" s="446" t="e">
        <f>IF(OR($B496="",MIN(U$38,$D$19)&lt;MAX($P$34*($B496+IF($R$17="Distrato",$I$38-1,0)),IF(AND($L$37=0,$P$34=0),"",$L$37-1),IF($R$17="Distrato",$E496,0))),0,YEARFRAC(MAX($P$34*($B496+IF($R$17="Distrato",$I$38-1,0)),IF(AND($L$37=0,$P$34=0),"",$L$37-1),IF($R$17="Distrato",$E496,0)),MIN(U$38,$D$19),$P$20))-SUM($P496:T496)</f>
        <v>#VALUE!</v>
      </c>
      <c r="V496" s="446" t="e">
        <f>IF(OR($B496="",MIN(V$38,$D$19)&lt;MAX($P$34*($B496+IF($R$17="Distrato",$I$38-1,0)),IF(AND($L$37=0,$P$34=0),"",$L$37-1),IF($R$17="Distrato",$E496,0))),0,YEARFRAC(MAX($P$34*($B496+IF($R$17="Distrato",$I$38-1,0)),IF(AND($L$37=0,$P$34=0),"",$L$37-1),IF($R$17="Distrato",$E496,0)),MIN(V$38,$D$19),$P$20))-SUM($P496:U496)</f>
        <v>#VALUE!</v>
      </c>
      <c r="W496" s="446" t="e">
        <f>IF(OR($B496="",MIN(W$38,$D$19)&lt;MAX($P$34*($B496+IF($R$17="Distrato",$I$38-1,0)),IF(AND($L$37=0,$P$34=0),"",$L$37-1),IF($R$17="Distrato",$E496,0))),0,YEARFRAC(MAX($P$34*($B496+IF($R$17="Distrato",$I$38-1,0)),IF(AND($L$37=0,$P$34=0),"",$L$37-1),IF($R$17="Distrato",$E496,0)),MIN(W$38,$D$19),$P$20))-SUM($P496:V496)</f>
        <v>#VALUE!</v>
      </c>
      <c r="X496" s="446" t="e">
        <f>IF(OR($B496="",MIN(X$38,$D$19)&lt;MAX($P$34*($B496+IF($R$17="Distrato",$I$38-1,0)),IF(AND($L$37=0,$P$34=0),"",$L$37-1),IF($R$17="Distrato",$E496,0))),0,YEARFRAC(MAX($P$34*($B496+IF($R$17="Distrato",$I$38-1,0)),IF(AND($L$37=0,$P$34=0),"",$L$37-1),IF($R$17="Distrato",$E496,0)),MIN(X$38,$D$19),$P$20))-SUM($P496:W496)</f>
        <v>#VALUE!</v>
      </c>
      <c r="Y496" s="446" t="e">
        <f>IF(OR($B496="",MIN(Y$38,$D$19)&lt;MAX($P$34*($B496+IF($R$17="Distrato",$I$38-1,0)),IF(AND($L$37=0,$P$34=0),"",$L$37-1),IF($R$17="Distrato",$E496,0))),0,YEARFRAC(MAX($P$34*($B496+IF($R$17="Distrato",$I$38-1,0)),IF(AND($L$37=0,$P$34=0),"",$L$37-1),IF($R$17="Distrato",$E496,0)),MIN(Y$38,$D$19),$P$20))-SUM($P496:X496)</f>
        <v>#VALUE!</v>
      </c>
      <c r="Z496" s="446" t="e">
        <f>IF(OR($B496="",MIN(Z$38,$D$19)&lt;MAX($P$34*($B496+IF($R$17="Distrato",$I$38-1,0)),IF(AND($L$37=0,$P$34=0),"",$L$37-1),IF($R$17="Distrato",$E496,0))),0,YEARFRAC(MAX($P$34*($B496+IF($R$17="Distrato",$I$38-1,0)),IF(AND($L$37=0,$P$34=0),"",$L$37-1),IF($R$17="Distrato",$E496,0)),MIN(Z$38,$D$19),$P$20))-SUM($P496:Y496)</f>
        <v>#VALUE!</v>
      </c>
      <c r="AA496" s="446" t="e">
        <f>IF(OR($B496="",MIN(AA$38,$D$19)&lt;MAX($P$34*($B496+IF($R$17="Distrato",$I$38-1,0)),IF(AND($L$37=0,$P$34=0),"",$L$37-1),IF($R$17="Distrato",$E496,0))),0,YEARFRAC(MAX($P$34*($B496+IF($R$17="Distrato",$I$38-1,0)),IF(AND($L$37=0,$P$34=0),"",$L$37-1),IF($R$17="Distrato",$E496,0)),MIN(AA$38,$D$19),$P$20))-SUM($P496:Z496)</f>
        <v>#VALUE!</v>
      </c>
      <c r="AB496" s="446" t="e">
        <f>IF(OR($B496="",MIN(AB$38,$D$19)&lt;MAX($P$34*($B496+IF($R$17="Distrato",$I$38-1,0)),IF(AND($L$37=0,$P$34=0),"",$L$37-1),IF($R$17="Distrato",$E496,0))),0,YEARFRAC(MAX($P$34*($B496+IF($R$17="Distrato",$I$38-1,0)),IF(AND($L$37=0,$P$34=0),"",$L$37-1),IF($R$17="Distrato",$E496,0)),MIN(AB$38,$D$19),$P$20))-SUM($P496:AA496)</f>
        <v>#VALUE!</v>
      </c>
      <c r="AC496" s="446" t="e">
        <f>IF(OR($B496="",MIN(AC$38,$D$19)&lt;MAX($P$34*($B496+IF($R$17="Distrato",$I$38-1,0)),IF(AND($L$37=0,$P$34=0),"",$L$37-1),IF($R$17="Distrato",$E496,0))),0,YEARFRAC(MAX($P$34*($B496+IF($R$17="Distrato",$I$38-1,0)),IF(AND($L$37=0,$P$34=0),"",$L$37-1),IF($R$17="Distrato",$E496,0)),MIN(AC$38,$D$19),$P$20))-SUM($P496:AB496)</f>
        <v>#VALUE!</v>
      </c>
      <c r="AD496" s="446" t="e">
        <f>IF(OR($B496="",MIN(AD$38,$D$19)&lt;MAX($P$34*($B496+IF($R$17="Distrato",$I$38-1,0)),IF(AND($L$37=0,$P$34=0),"",$L$37-1),IF($R$17="Distrato",$E496,0))),0,YEARFRAC(MAX($P$34*($B496+IF($R$17="Distrato",$I$38-1,0)),IF(AND($L$37=0,$P$34=0),"",$L$37-1),IF($R$17="Distrato",$E496,0)),MIN(AD$38,$D$19),$P$20))-SUM($P496:AC496)</f>
        <v>#VALUE!</v>
      </c>
      <c r="AE496" s="446" t="e">
        <f>IF(OR($B496="",MIN(AE$38,$D$19)&lt;MAX($P$34*($B496+IF($R$17="Distrato",$I$38-1,0)),IF(AND($L$37=0,$P$34=0),"",$L$37-1),IF($R$17="Distrato",$E496,0))),0,YEARFRAC(MAX($P$34*($B496+IF($R$17="Distrato",$I$38-1,0)),IF(AND($L$37=0,$P$34=0),"",$L$37-1),IF($R$17="Distrato",$E496,0)),MIN(AE$38,$D$19),$P$20))-SUM($P496:AD496)</f>
        <v>#VALUE!</v>
      </c>
      <c r="AF496" s="446" t="e">
        <f>IF(OR($B496="",MIN(AF$38,$D$19)&lt;MAX($P$34*($B496+IF($R$17="Distrato",$I$38-1,0)),IF(AND($L$37=0,$P$34=0),"",$L$37-1),IF($R$17="Distrato",$E496,0))),0,YEARFRAC(MAX($P$34*($B496+IF($R$17="Distrato",$I$38-1,0)),IF(AND($L$37=0,$P$34=0),"",$L$37-1),IF($R$17="Distrato",$E496,0)),MIN(AF$38,$D$19),$P$20))-SUM($P496:AE496)</f>
        <v>#VALUE!</v>
      </c>
      <c r="AG496" s="446" t="e">
        <f>IF(OR($B496="",MIN(AG$38,$D$19)&lt;MAX($P$34*($B496+IF($R$17="Distrato",$I$38-1,0)),IF(AND($L$37=0,$P$34=0),"",$L$37-1),IF($R$17="Distrato",$E496,0))),0,YEARFRAC(MAX($P$34*($B496+IF($R$17="Distrato",$I$38-1,0)),IF(AND($L$37=0,$P$34=0),"",$L$37-1),IF($R$17="Distrato",$E496,0)),MIN(AG$38,$D$19),$P$20))-SUM($P496:AF496)</f>
        <v>#VALUE!</v>
      </c>
      <c r="AH496" s="446" t="e">
        <f>IF(OR($B496="",MIN(AH$38,$D$19)&lt;MAX($P$34*($B496+IF($R$17="Distrato",$I$38-1,0)),IF(AND($L$37=0,$P$34=0),"",$L$37-1),IF($R$17="Distrato",$E496,0))),0,YEARFRAC(MAX($P$34*($B496+IF($R$17="Distrato",$I$38-1,0)),IF(AND($L$37=0,$P$34=0),"",$L$37-1),IF($R$17="Distrato",$E496,0)),MIN(AH$38,$D$19),$P$20))-SUM($P496:AG496)</f>
        <v>#VALUE!</v>
      </c>
      <c r="AI496" s="446" t="e">
        <f>IF(OR($B496="",MIN(AI$38,$D$19)&lt;MAX($P$34*($B496+IF($R$17="Distrato",$I$38-1,0)),IF(AND($L$37=0,$P$34=0),"",$L$37-1),IF($R$17="Distrato",$E496,0))),0,YEARFRAC(MAX($P$34*($B496+IF($R$17="Distrato",$I$38-1,0)),IF(AND($L$37=0,$P$34=0),"",$L$37-1),IF($R$17="Distrato",$E496,0)),MIN(AI$38,$D$19),$P$20))-SUM($P496:AH496)</f>
        <v>#VALUE!</v>
      </c>
      <c r="AJ496" s="446" t="e">
        <f>IF(OR($B496="",MIN(AJ$38,$D$19)&lt;MAX($P$34*($B496+IF($R$17="Distrato",$I$38-1,0)),IF(AND($L$37=0,$P$34=0),"",$L$37-1),IF($R$17="Distrato",$E496,0))),0,YEARFRAC(MAX($P$34*($B496+IF($R$17="Distrato",$I$38-1,0)),IF(AND($L$37=0,$P$34=0),"",$L$37-1),IF($R$17="Distrato",$E496,0)),MIN(AJ$38,$D$19),$P$20))-SUM($P496:AI496)</f>
        <v>#VALUE!</v>
      </c>
      <c r="AK496" s="446" t="e">
        <f>IF(OR($B496="",MIN(AK$38,$D$19)&lt;MAX($P$34*($B496+IF($R$17="Distrato",$I$38-1,0)),IF(AND($L$37=0,$P$34=0),"",$L$37-1),IF($R$17="Distrato",$E496,0))),0,YEARFRAC(MAX($P$34*($B496+IF($R$17="Distrato",$I$38-1,0)),IF(AND($L$37=0,$P$34=0),"",$L$37-1),IF($R$17="Distrato",$E496,0)),MIN(AK$38,$D$19),$P$20))-SUM($P496:AJ496)</f>
        <v>#VALUE!</v>
      </c>
      <c r="AL496" s="446" t="e">
        <f>IF(OR($B496="",MIN(AL$38,$D$19)&lt;MAX($P$34*($B496+IF($R$17="Distrato",$I$38-1,0)),IF(AND($L$37=0,$P$34=0),"",$L$37-1),IF($R$17="Distrato",$E496,0))),0,YEARFRAC(MAX($P$34*($B496+IF($R$17="Distrato",$I$38-1,0)),IF(AND($L$37=0,$P$34=0),"",$L$37-1),IF($R$17="Distrato",$E496,0)),MIN(AL$38,$D$19),$P$20))-SUM($P496:AK496)</f>
        <v>#VALUE!</v>
      </c>
      <c r="AM496" s="446" t="e">
        <f>IF(OR($B496="",MIN(AM$38,$D$19)&lt;MAX($P$34*($B496+IF($R$17="Distrato",$I$38-1,0)),IF(AND($L$37=0,$P$34=0),"",$L$37-1),IF($R$17="Distrato",$E496,0))),0,YEARFRAC(MAX($P$34*($B496+IF($R$17="Distrato",$I$38-1,0)),IF(AND($L$37=0,$P$34=0),"",$L$37-1),IF($R$17="Distrato",$E496,0)),MIN(AM$38,$D$19),$P$20))-SUM($P496:AL496)</f>
        <v>#VALUE!</v>
      </c>
      <c r="AN496" s="446" t="e">
        <f>IF(OR($B496="",MIN(AN$38,$D$19)&lt;MAX($P$34*($B496+IF($R$17="Distrato",$I$38-1,0)),IF(AND($L$37=0,$P$34=0),"",$L$37-1),IF($R$17="Distrato",$E496,0))),0,YEARFRAC(MAX($P$34*($B496+IF($R$17="Distrato",$I$38-1,0)),IF(AND($L$37=0,$P$34=0),"",$L$37-1),IF($R$17="Distrato",$E496,0)),MIN(AN$38,$D$19),$P$20))-SUM($P496:AM496)</f>
        <v>#VALUE!</v>
      </c>
      <c r="AO496" s="446" t="e">
        <f>IF(OR($B496="",MIN(AO$38,$D$19)&lt;MAX($P$34*($B496+IF($R$17="Distrato",$I$38-1,0)),IF(AND($L$37=0,$P$34=0),"",$L$37-1),IF($R$17="Distrato",$E496,0))),0,YEARFRAC(MAX($P$34*($B496+IF($R$17="Distrato",$I$38-1,0)),IF(AND($L$37=0,$P$34=0),"",$L$37-1),IF($R$17="Distrato",$E496,0)),MIN(AO$38,$D$19),$P$20))-SUM($P496:AN496)</f>
        <v>#VALUE!</v>
      </c>
      <c r="AP496" s="446" t="e">
        <f>IF(OR($B496="",MIN(AP$38,$D$19)&lt;MAX($P$34*($B496+IF($R$17="Distrato",$I$38-1,0)),IF(AND($L$37=0,$P$34=0),"",$L$37-1),IF($R$17="Distrato",$E496,0))),0,YEARFRAC(MAX($P$34*($B496+IF($R$17="Distrato",$I$38-1,0)),IF(AND($L$37=0,$P$34=0),"",$L$37-1),IF($R$17="Distrato",$E496,0)),MIN(AP$38,$D$19),$P$20))-SUM($P496:AO496)</f>
        <v>#VALUE!</v>
      </c>
      <c r="AQ496" s="446" t="e">
        <f>IF(OR($B496="",MIN(AQ$38,$D$19)&lt;MAX($P$34*($B496+IF($R$17="Distrato",$I$38-1,0)),IF(AND($L$37=0,$P$34=0),"",$L$37-1),IF($R$17="Distrato",$E496,0))),0,YEARFRAC(MAX($P$34*($B496+IF($R$17="Distrato",$I$38-1,0)),IF(AND($L$37=0,$P$34=0),"",$L$37-1),IF($R$17="Distrato",$E496,0)),MIN(AQ$38,$D$19),$P$20))-SUM($P496:AP496)</f>
        <v>#VALUE!</v>
      </c>
      <c r="AR496" s="446" t="e">
        <f>IF(OR($B496="",MIN(AR$38,$D$19)&lt;MAX($P$34*($B496+IF($R$17="Distrato",$I$38-1,0)),IF(AND($L$37=0,$P$34=0),"",$L$37-1),IF($R$17="Distrato",$E496,0))),0,YEARFRAC(MAX($P$34*($B496+IF($R$17="Distrato",$I$38-1,0)),IF(AND($L$37=0,$P$34=0),"",$L$37-1),IF($R$17="Distrato",$E496,0)),MIN(AR$38,$D$19),$P$20))-SUM($P496:AQ496)</f>
        <v>#VALUE!</v>
      </c>
      <c r="AS496" s="446" t="e">
        <f>IF(OR($B496="",MIN(AS$38,$D$19)&lt;MAX($P$34*($B496+IF($R$17="Distrato",$I$38-1,0)),IF(AND($L$37=0,$P$34=0),"",$L$37-1),IF($R$17="Distrato",$E496,0))),0,YEARFRAC(MAX($P$34*($B496+IF($R$17="Distrato",$I$38-1,0)),IF(AND($L$37=0,$P$34=0),"",$L$37-1),IF($R$17="Distrato",$E496,0)),MIN(AS$38,$D$19),$P$20))-SUM($P496:AR496)</f>
        <v>#VALUE!</v>
      </c>
      <c r="AT496" s="446" t="e">
        <f>IF(OR($B496="",MIN(AT$38,$D$19)&lt;MAX($P$34*($B496+IF($R$17="Distrato",$I$38-1,0)),IF(AND($L$37=0,$P$34=0),"",$L$37-1),IF($R$17="Distrato",$E496,0))),0,YEARFRAC(MAX($P$34*($B496+IF($R$17="Distrato",$I$38-1,0)),IF(AND($L$37=0,$P$34=0),"",$L$37-1),IF($R$17="Distrato",$E496,0)),MIN(AT$38,$D$19),$P$20))-SUM($P496:AS496)</f>
        <v>#VALUE!</v>
      </c>
      <c r="AU496" s="446" t="e">
        <f>IF(OR($B496="",MIN(AU$38,$D$19)&lt;MAX($P$34*($B496+IF($R$17="Distrato",$I$38-1,0)),IF(AND($L$37=0,$P$34=0),"",$L$37-1),IF($R$17="Distrato",$E496,0))),0,YEARFRAC(MAX($P$34*($B496+IF($R$17="Distrato",$I$38-1,0)),IF(AND($L$37=0,$P$34=0),"",$L$37-1),IF($R$17="Distrato",$E496,0)),MIN(AU$38,$D$19),$P$20))-SUM($P496:AT496)</f>
        <v>#VALUE!</v>
      </c>
      <c r="AV496" s="446" t="e">
        <f>IF(OR($B496="",MIN(AV$38,$D$19)&lt;MAX($P$34*($B496+IF($R$17="Distrato",$I$38-1,0)),IF(AND($L$37=0,$P$34=0),"",$L$37-1),IF($R$17="Distrato",$E496,0))),0,YEARFRAC(MAX($P$34*($B496+IF($R$17="Distrato",$I$38-1,0)),IF(AND($L$37=0,$P$34=0),"",$L$37-1),IF($R$17="Distrato",$E496,0)),MIN(AV$38,$D$19),$P$20))-SUM($P496:AU496)</f>
        <v>#VALUE!</v>
      </c>
      <c r="AW496" s="446" t="e">
        <f>IF(OR($B496="",MIN(AW$38,$D$19)&lt;MAX($P$34*($B496+IF($R$17="Distrato",$I$38-1,0)),IF(AND($L$37=0,$P$34=0),"",$L$37-1),IF($R$17="Distrato",$E496,0))),0,YEARFRAC(MAX($P$34*($B496+IF($R$17="Distrato",$I$38-1,0)),IF(AND($L$37=0,$P$34=0),"",$L$37-1),IF($R$17="Distrato",$E496,0)),MIN(AW$38,$D$19),$P$20))-SUM($P496:AV496)</f>
        <v>#VALUE!</v>
      </c>
      <c r="AX496" s="446" t="e">
        <f>IF(OR($B496="",MIN(AX$38,$D$19)&lt;MAX($P$34*($B496+IF($R$17="Distrato",$I$38-1,0)),IF(AND($L$37=0,$P$34=0),"",$L$37-1),IF($R$17="Distrato",$E496,0))),0,YEARFRAC(MAX($P$34*($B496+IF($R$17="Distrato",$I$38-1,0)),IF(AND($L$37=0,$P$34=0),"",$L$37-1),IF($R$17="Distrato",$E496,0)),MIN(AX$38,$D$19),$P$20))-SUM($P496:AW496)</f>
        <v>#VALUE!</v>
      </c>
      <c r="AY496" s="446" t="e">
        <f>IF(OR($B496="",MIN(AY$38,$D$19)&lt;MAX($P$34*($B496+IF($R$17="Distrato",$I$38-1,0)),IF(AND($L$37=0,$P$34=0),"",$L$37-1),IF($R$17="Distrato",$E496,0))),0,YEARFRAC(MAX($P$34*($B496+IF($R$17="Distrato",$I$38-1,0)),IF(AND($L$37=0,$P$34=0),"",$L$37-1),IF($R$17="Distrato",$E496,0)),MIN(AY$38,$D$19),$P$20))-SUM($P496:AX496)</f>
        <v>#VALUE!</v>
      </c>
      <c r="AZ496" s="446" t="e">
        <f>IF(OR($B496="",MIN(AZ$38,$D$19)&lt;MAX($P$34*($B496+IF($R$17="Distrato",$I$38-1,0)),IF(AND($L$37=0,$P$34=0),"",$L$37-1),IF($R$17="Distrato",$E496,0))),0,YEARFRAC(MAX($P$34*($B496+IF($R$17="Distrato",$I$38-1,0)),IF(AND($L$37=0,$P$34=0),"",$L$37-1),IF($R$17="Distrato",$E496,0)),MIN(AZ$38,$D$19),$P$20))-SUM($P496:AY496)</f>
        <v>#VALUE!</v>
      </c>
      <c r="BA496" s="446" t="e">
        <f>IF(OR($B496="",MIN(BA$38,$D$19)&lt;MAX($P$34*($B496+IF($R$17="Distrato",$I$38-1,0)),IF(AND($L$37=0,$P$34=0),"",$L$37-1),IF($R$17="Distrato",$E496,0))),0,YEARFRAC(MAX($P$34*($B496+IF($R$17="Distrato",$I$38-1,0)),IF(AND($L$37=0,$P$34=0),"",$L$37-1),IF($R$17="Distrato",$E496,0)),MIN(BA$38,$D$19),$P$20))-SUM($P496:AZ496)</f>
        <v>#VALUE!</v>
      </c>
      <c r="BB496" s="447"/>
      <c r="BF496" s="446">
        <f t="shared" si="87"/>
        <v>0</v>
      </c>
      <c r="BG496" s="446">
        <f>IF($E496=0,0,IF(MIN(BG$38,$E496)&lt;MAX($P$34*($B496+$I$38-1),IF(AND($L$37=0,$P$34=0),"",$L$37-1)),0,YEARFRAC(MAX($P$34*($B496+$I$38-1),IF(AND($L$37=0,$P$34=0),"",$L$37-1)),MIN(BG$38,$E496),$P$20))-SUM($BF496:BF496))</f>
        <v>0</v>
      </c>
      <c r="BH496" s="446">
        <f>IF($E496=0,0,IF(MIN(BH$38,$E496)&lt;MAX($P$34*($B496+$I$38-1),IF(AND($L$37=0,$P$34=0),"",$L$37-1)),0,YEARFRAC(MAX($P$34*($B496+$I$38-1),IF(AND($L$37=0,$P$34=0),"",$L$37-1)),MIN(BH$38,$E496),$P$20))-SUM($BF496:BG496))</f>
        <v>0</v>
      </c>
      <c r="BI496" s="446">
        <f>IF($E496=0,0,IF(MIN(BI$38,$E496)&lt;MAX($P$34*($B496+$I$38-1),IF(AND($L$37=0,$P$34=0),"",$L$37-1)),0,YEARFRAC(MAX($P$34*($B496+$I$38-1),IF(AND($L$37=0,$P$34=0),"",$L$37-1)),MIN(BI$38,$E496),$P$20))-SUM($BF496:BH496))</f>
        <v>0</v>
      </c>
      <c r="BJ496" s="446">
        <f>IF($E496=0,0,IF(MIN(BJ$38,$E496)&lt;MAX($P$34*($B496+$I$38-1),IF(AND($L$37=0,$P$34=0),"",$L$37-1)),0,YEARFRAC(MAX($P$34*($B496+$I$38-1),IF(AND($L$37=0,$P$34=0),"",$L$37-1)),MIN(BJ$38,$E496),$P$20))-SUM($BF496:BI496))</f>
        <v>0</v>
      </c>
      <c r="BK496" s="446">
        <f>IF($E496=0,0,IF(MIN(BK$38,$E496)&lt;MAX($P$34*($B496+$I$38-1),IF(AND($L$37=0,$P$34=0),"",$L$37-1)),0,YEARFRAC(MAX($P$34*($B496+$I$38-1),IF(AND($L$37=0,$P$34=0),"",$L$37-1)),MIN(BK$38,$E496),$P$20))-SUM($BF496:BJ496))</f>
        <v>0</v>
      </c>
      <c r="BL496" s="446">
        <f>IF($E496=0,0,IF(MIN(BL$38,$E496)&lt;MAX($P$34*($B496+$I$38-1),IF(AND($L$37=0,$P$34=0),"",$L$37-1)),0,YEARFRAC(MAX($P$34*($B496+$I$38-1),IF(AND($L$37=0,$P$34=0),"",$L$37-1)),MIN(BL$38,$E496),$P$20))-SUM($BF496:BK496))</f>
        <v>0</v>
      </c>
      <c r="BM496" s="446">
        <f>IF($E496=0,0,IF(MIN(BM$38,$E496)&lt;MAX($P$34*($B496+$I$38-1),IF(AND($L$37=0,$P$34=0),"",$L$37-1)),0,YEARFRAC(MAX($P$34*($B496+$I$38-1),IF(AND($L$37=0,$P$34=0),"",$L$37-1)),MIN(BM$38,$E496),$P$20))-SUM($BF496:BL496))</f>
        <v>0</v>
      </c>
      <c r="BN496" s="446">
        <f>IF($E496=0,0,IF(MIN(BN$38,$E496)&lt;MAX($P$34*($B496+$I$38-1),IF(AND($L$37=0,$P$34=0),"",$L$37-1)),0,YEARFRAC(MAX($P$34*($B496+$I$38-1),IF(AND($L$37=0,$P$34=0),"",$L$37-1)),MIN(BN$38,$E496),$P$20))-SUM($BF496:BM496))</f>
        <v>0</v>
      </c>
      <c r="BO496" s="446">
        <f>IF($E496=0,0,IF(MIN(BO$38,$E496)&lt;MAX($P$34*($B496+$I$38-1),IF(AND($L$37=0,$P$34=0),"",$L$37-1)),0,YEARFRAC(MAX($P$34*($B496+$I$38-1),IF(AND($L$37=0,$P$34=0),"",$L$37-1)),MIN(BO$38,$E496),$P$20))-SUM($BF496:BN496))</f>
        <v>0</v>
      </c>
      <c r="BP496" s="446">
        <f>IF($E496=0,0,IF(MIN(BP$38,$E496)&lt;MAX($P$34*($B496+$I$38-1),IF(AND($L$37=0,$P$34=0),"",$L$37-1)),0,YEARFRAC(MAX($P$34*($B496+$I$38-1),IF(AND($L$37=0,$P$34=0),"",$L$37-1)),MIN(BP$38,$E496),$P$20))-SUM($BF496:BO496))</f>
        <v>0</v>
      </c>
      <c r="BQ496" s="446">
        <f>IF($E496=0,0,IF(MIN(BQ$38,$E496)&lt;MAX($P$34*($B496+$I$38-1),IF(AND($L$37=0,$P$34=0),"",$L$37-1)),0,YEARFRAC(MAX($P$34*($B496+$I$38-1),IF(AND($L$37=0,$P$34=0),"",$L$37-1)),MIN(BQ$38,$E496),$P$20))-SUM($BF496:BP496))</f>
        <v>0</v>
      </c>
      <c r="BR496" s="446">
        <f>IF($E496=0,0,IF(MIN(BR$38,$E496)&lt;MAX($P$34*($B496+$I$38-1),IF(AND($L$37=0,$P$34=0),"",$L$37-1)),0,YEARFRAC(MAX($P$34*($B496+$I$38-1),IF(AND($L$37=0,$P$34=0),"",$L$37-1)),MIN(BR$38,$E496),$P$20))-SUM($BF496:BQ496))</f>
        <v>0</v>
      </c>
      <c r="BS496" s="446">
        <f>IF($E496=0,0,IF(MIN(BS$38,$E496)&lt;MAX($P$34*($B496+$I$38-1),IF(AND($L$37=0,$P$34=0),"",$L$37-1)),0,YEARFRAC(MAX($P$34*($B496+$I$38-1),IF(AND($L$37=0,$P$34=0),"",$L$37-1)),MIN(BS$38,$E496),$P$20))-SUM($BF496:BR496))</f>
        <v>0</v>
      </c>
      <c r="BT496" s="446">
        <f>IF($E496=0,0,IF(MIN(BT$38,$E496)&lt;MAX($P$34*($B496+$I$38-1),IF(AND($L$37=0,$P$34=0),"",$L$37-1)),0,YEARFRAC(MAX($P$34*($B496+$I$38-1),IF(AND($L$37=0,$P$34=0),"",$L$37-1)),MIN(BT$38,$E496),$P$20))-SUM($BF496:BS496))</f>
        <v>0</v>
      </c>
      <c r="BU496" s="446">
        <f>IF($E496=0,0,IF(MIN(BU$38,$E496)&lt;MAX($P$34*($B496+$I$38-1),IF(AND($L$37=0,$P$34=0),"",$L$37-1)),0,YEARFRAC(MAX($P$34*($B496+$I$38-1),IF(AND($L$37=0,$P$34=0),"",$L$37-1)),MIN(BU$38,$E496),$P$20))-SUM($BF496:BT496))</f>
        <v>0</v>
      </c>
      <c r="BV496" s="446">
        <f>IF($E496=0,0,IF(MIN(BV$38,$E496)&lt;MAX($P$34*($B496+$I$38-1),IF(AND($L$37=0,$P$34=0),"",$L$37-1)),0,YEARFRAC(MAX($P$34*($B496+$I$38-1),IF(AND($L$37=0,$P$34=0),"",$L$37-1)),MIN(BV$38,$E496),$P$20))-SUM($BF496:BU496))</f>
        <v>0</v>
      </c>
      <c r="BW496" s="446">
        <f>IF($E496=0,0,IF(MIN(BW$38,$E496)&lt;MAX($P$34*($B496+$I$38-1),IF(AND($L$37=0,$P$34=0),"",$L$37-1)),0,YEARFRAC(MAX($P$34*($B496+$I$38-1),IF(AND($L$37=0,$P$34=0),"",$L$37-1)),MIN(BW$38,$E496),$P$20))-SUM($BF496:BV496))</f>
        <v>0</v>
      </c>
      <c r="BX496" s="446">
        <f>IF($E496=0,0,IF(MIN(BX$38,$E496)&lt;MAX($P$34*($B496+$I$38-1),IF(AND($L$37=0,$P$34=0),"",$L$37-1)),0,YEARFRAC(MAX($P$34*($B496+$I$38-1),IF(AND($L$37=0,$P$34=0),"",$L$37-1)),MIN(BX$38,$E496),$P$20))-SUM($BF496:BW496))</f>
        <v>0</v>
      </c>
      <c r="BY496" s="446">
        <f>IF($E496=0,0,IF(MIN(BY$38,$E496)&lt;MAX($P$34*($B496+$I$38-1),IF(AND($L$37=0,$P$34=0),"",$L$37-1)),0,YEARFRAC(MAX($P$34*($B496+$I$38-1),IF(AND($L$37=0,$P$34=0),"",$L$37-1)),MIN(BY$38,$E496),$P$20))-SUM($BF496:BX496))</f>
        <v>0</v>
      </c>
      <c r="BZ496" s="446">
        <f>IF($E496=0,0,IF(MIN(BZ$38,$E496)&lt;MAX($P$34*($B496+$I$38-1),IF(AND($L$37=0,$P$34=0),"",$L$37-1)),0,YEARFRAC(MAX($P$34*($B496+$I$38-1),IF(AND($L$37=0,$P$34=0),"",$L$37-1)),MIN(BZ$38,$E496),$P$20))-SUM($BF496:BY496))</f>
        <v>0</v>
      </c>
      <c r="CA496" s="446">
        <f>IF($E496=0,0,IF(MIN(CA$38,$E496)&lt;MAX($P$34*($B496+$I$38-1),IF(AND($L$37=0,$P$34=0),"",$L$37-1)),0,YEARFRAC(MAX($P$34*($B496+$I$38-1),IF(AND($L$37=0,$P$34=0),"",$L$37-1)),MIN(CA$38,$E496),$P$20))-SUM($BF496:BZ496))</f>
        <v>0</v>
      </c>
      <c r="CB496" s="446">
        <f>IF($E496=0,0,IF(MIN(CB$38,$E496)&lt;MAX($P$34*($B496+$I$38-1),IF(AND($L$37=0,$P$34=0),"",$L$37-1)),0,YEARFRAC(MAX($P$34*($B496+$I$38-1),IF(AND($L$37=0,$P$34=0),"",$L$37-1)),MIN(CB$38,$E496),$P$20))-SUM($BF496:CA496))</f>
        <v>0</v>
      </c>
      <c r="CC496" s="446">
        <f>IF($E496=0,0,IF(MIN(CC$38,$E496)&lt;MAX($P$34*($B496+$I$38-1),IF(AND($L$37=0,$P$34=0),"",$L$37-1)),0,YEARFRAC(MAX($P$34*($B496+$I$38-1),IF(AND($L$37=0,$P$34=0),"",$L$37-1)),MIN(CC$38,$E496),$P$20))-SUM($BF496:CB496))</f>
        <v>0</v>
      </c>
      <c r="CD496" s="446">
        <f>IF($E496=0,0,IF(MIN(CD$38,$E496)&lt;MAX($P$34*($B496+$I$38-1),IF(AND($L$37=0,$P$34=0),"",$L$37-1)),0,YEARFRAC(MAX($P$34*($B496+$I$38-1),IF(AND($L$37=0,$P$34=0),"",$L$37-1)),MIN(CD$38,$E496),$P$20))-SUM($BF496:CC496))</f>
        <v>0</v>
      </c>
      <c r="CE496" s="446">
        <f>IF($E496=0,0,IF(MIN(CE$38,$E496)&lt;MAX($P$34*($B496+$I$38-1),IF(AND($L$37=0,$P$34=0),"",$L$37-1)),0,YEARFRAC(MAX($P$34*($B496+$I$38-1),IF(AND($L$37=0,$P$34=0),"",$L$37-1)),MIN(CE$38,$E496),$P$20))-SUM($BF496:CD496))</f>
        <v>0</v>
      </c>
      <c r="CF496" s="446">
        <f>IF($E496=0,0,IF(MIN(CF$38,$E496)&lt;MAX($P$34*($B496+$I$38-1),IF(AND($L$37=0,$P$34=0),"",$L$37-1)),0,YEARFRAC(MAX($P$34*($B496+$I$38-1),IF(AND($L$37=0,$P$34=0),"",$L$37-1)),MIN(CF$38,$E496),$P$20))-SUM($BF496:CE496))</f>
        <v>0</v>
      </c>
      <c r="CG496" s="446">
        <f>IF($E496=0,0,IF(MIN(CG$38,$E496)&lt;MAX($P$34*($B496+$I$38-1),IF(AND($L$37=0,$P$34=0),"",$L$37-1)),0,YEARFRAC(MAX($P$34*($B496+$I$38-1),IF(AND($L$37=0,$P$34=0),"",$L$37-1)),MIN(CG$38,$E496),$P$20))-SUM($BF496:CF496))</f>
        <v>0</v>
      </c>
      <c r="CH496" s="446">
        <f>IF($E496=0,0,IF(MIN(CH$38,$E496)&lt;MAX($P$34*($B496+$I$38-1),IF(AND($L$37=0,$P$34=0),"",$L$37-1)),0,YEARFRAC(MAX($P$34*($B496+$I$38-1),IF(AND($L$37=0,$P$34=0),"",$L$37-1)),MIN(CH$38,$E496),$P$20))-SUM($BF496:CG496))</f>
        <v>0</v>
      </c>
      <c r="CI496" s="446">
        <f>IF($E496=0,0,IF(MIN(CI$38,$E496)&lt;MAX($P$34*($B496+$I$38-1),IF(AND($L$37=0,$P$34=0),"",$L$37-1)),0,YEARFRAC(MAX($P$34*($B496+$I$38-1),IF(AND($L$37=0,$P$34=0),"",$L$37-1)),MIN(CI$38,$E496),$P$20))-SUM($BF496:CH496))</f>
        <v>0</v>
      </c>
      <c r="CJ496" s="446">
        <f>IF($E496=0,0,IF(MIN(CJ$38,$E496)&lt;MAX($P$34*($B496+$I$38-1),IF(AND($L$37=0,$P$34=0),"",$L$37-1)),0,YEARFRAC(MAX($P$34*($B496+$I$38-1),IF(AND($L$37=0,$P$34=0),"",$L$37-1)),MIN(CJ$38,$E496),$P$20))-SUM($BF496:CI496))</f>
        <v>0</v>
      </c>
      <c r="CK496" s="446">
        <f>IF($E496=0,0,IF(MIN(CK$38,$E496)&lt;MAX($P$34*($B496+$I$38-1),IF(AND($L$37=0,$P$34=0),"",$L$37-1)),0,YEARFRAC(MAX($P$34*($B496+$I$38-1),IF(AND($L$37=0,$P$34=0),"",$L$37-1)),MIN(CK$38,$E496),$P$20))-SUM($BF496:CJ496))</f>
        <v>0</v>
      </c>
      <c r="CL496" s="446">
        <f>IF($E496=0,0,IF(MIN(CL$38,$E496)&lt;MAX($P$34*($B496+$I$38-1),IF(AND($L$37=0,$P$34=0),"",$L$37-1)),0,YEARFRAC(MAX($P$34*($B496+$I$38-1),IF(AND($L$37=0,$P$34=0),"",$L$37-1)),MIN(CL$38,$E496),$P$20))-SUM($BF496:CK496))</f>
        <v>0</v>
      </c>
      <c r="CM496" s="446">
        <f>IF($E496=0,0,IF(MIN(CM$38,$E496)&lt;MAX($P$34*($B496+$I$38-1),IF(AND($L$37=0,$P$34=0),"",$L$37-1)),0,YEARFRAC(MAX($P$34*($B496+$I$38-1),IF(AND($L$37=0,$P$34=0),"",$L$37-1)),MIN(CM$38,$E496),$P$20))-SUM($BF496:CL496))</f>
        <v>0</v>
      </c>
      <c r="CN496" s="446">
        <f>IF($E496=0,0,IF(MIN(CN$38,$E496)&lt;MAX($P$34*($B496+$I$38-1),IF(AND($L$37=0,$P$34=0),"",$L$37-1)),0,YEARFRAC(MAX($P$34*($B496+$I$38-1),IF(AND($L$37=0,$P$34=0),"",$L$37-1)),MIN(CN$38,$E496),$P$20))-SUM($BF496:CM496))</f>
        <v>0</v>
      </c>
      <c r="CO496" s="446">
        <f>IF($E496=0,0,IF(MIN(CO$38,$E496)&lt;MAX($P$34*($B496+$I$38-1),IF(AND($L$37=0,$P$34=0),"",$L$37-1)),0,YEARFRAC(MAX($P$34*($B496+$I$38-1),IF(AND($L$37=0,$P$34=0),"",$L$37-1)),MIN(CO$38,$E496),$P$20))-SUM($BF496:CN496))</f>
        <v>0</v>
      </c>
      <c r="CP496" s="446">
        <f>IF($E496=0,0,IF(MIN(CP$38,$E496)&lt;MAX($P$34*($B496+$I$38-1),IF(AND($L$37=0,$P$34=0),"",$L$37-1)),0,YEARFRAC(MAX($P$34*($B496+$I$38-1),IF(AND($L$37=0,$P$34=0),"",$L$37-1)),MIN(CP$38,$E496),$P$20))-SUM($BF496:CO496))</f>
        <v>0</v>
      </c>
      <c r="CQ496" s="446">
        <f>IF($E496=0,0,IF(MIN(CQ$38,$E496)&lt;MAX($P$34*($B496+$I$38-1),IF(AND($L$37=0,$P$34=0),"",$L$37-1)),0,YEARFRAC(MAX($P$34*($B496+$I$38-1),IF(AND($L$37=0,$P$34=0),"",$L$37-1)),MIN(CQ$38,$E496),$P$20))-SUM($BF496:CP496))</f>
        <v>0</v>
      </c>
    </row>
    <row r="497" spans="1:95" s="446" customFormat="1" ht="11.25" hidden="1" customHeight="1" x14ac:dyDescent="0.2">
      <c r="A497" s="152"/>
      <c r="B497" s="153" t="str">
        <f t="shared" si="92"/>
        <v/>
      </c>
      <c r="C497" s="29" t="str">
        <f>IF(B497="","",IF($L$35="SELIC - TRIBUTOS",VLOOKUP(DATE(YEAR($D$19),MONTH($D$19)-1,1),ÍNDICES!$A:$DE,HLOOKUP($BL$25,ÍNDICES!$B$3:$T$4,2)+11)-VLOOKUP(B497,ÍNDICES!$A:$DE,HLOOKUP($BL$25,ÍNDICES!$B$3:$T$4,2)+11)+1%,IF(C$38=$W$26,$J$35,IF(ISERROR(IF(B497&gt;$D$19,1,VLOOKUP(DATE(YEAR(B497),MONTH(B497)+IF($C$35=$S$23,1,0),1),ÍNDICES!$A:$DE,$Z$35+1))),"",IF(B497&gt;$D$19,1,VLOOKUP(DATE(YEAR(B497),MONTH(B497)+IF($C$35=$S$23,1,0),1),ÍNDICES!$A:$DE,$Z$35+1))))))</f>
        <v/>
      </c>
      <c r="D497" s="154" t="str">
        <f>IF(ISERROR(IF(OR($D$38=$Y$27,$B497=""),"",VLOOKUP(B497,ÍNDICES!A:DE,AF$35+1))),"",IF(OR($D$38=$Y$27,$B497=""),"",VLOOKUP(B497,ÍNDICES!A:DE,AF$35+1)))</f>
        <v/>
      </c>
      <c r="E497" s="153"/>
      <c r="F497" s="29" t="str">
        <f>IF(E497="","",IF($L$35="SELIC - TRIBUTOS",VLOOKUP(DATE(YEAR($D$19),MONTH($D$19)-1,1),ÍNDICES!$A:$DE,HLOOKUP($BL$25,ÍNDICES!$B$3:$T$4,2)+11)-VLOOKUP(E497,ÍNDICES!$A:$DE,HLOOKUP($BL$25,ÍNDICES!$B$3:$T$4,2)+11)+1%,IF(F$38=$W$26,$J$35,IF(ISERROR(IF(E497&gt;$D$19,1,VLOOKUP(DATE(YEAR(E497),MONTH(E497)+IF($C$35=$S$23,1,0),1),ÍNDICES!$A:$DE,$Z$35+1))),"",IF(E497&gt;$D$19,1,VLOOKUP(DATE(YEAR(E497),MONTH(E497)+IF($C$35=$S$23,1,0),1),ÍNDICES!$A:$DE,$Z$35+1))))))</f>
        <v/>
      </c>
      <c r="G497" s="155"/>
      <c r="H497" s="156" t="str">
        <f t="shared" si="88"/>
        <v/>
      </c>
      <c r="I497" s="29" t="str">
        <f t="shared" si="82"/>
        <v/>
      </c>
      <c r="J497" s="5">
        <f t="shared" si="83"/>
        <v>0</v>
      </c>
      <c r="K497" s="20">
        <f t="shared" ca="1" si="84"/>
        <v>0</v>
      </c>
      <c r="L497" s="5">
        <f t="shared" ca="1" si="85"/>
        <v>0</v>
      </c>
      <c r="M497" s="64">
        <f t="shared" si="89"/>
        <v>0</v>
      </c>
      <c r="N497" s="61">
        <f t="shared" ca="1" si="90"/>
        <v>0</v>
      </c>
      <c r="O497" s="5">
        <f t="shared" ca="1" si="91"/>
        <v>0</v>
      </c>
      <c r="P497" s="446" t="e">
        <f t="shared" si="86"/>
        <v>#VALUE!</v>
      </c>
      <c r="Q497" s="446" t="e">
        <f>IF(OR($B497="",MIN(Q$38,$D$19)&lt;MAX($P$34*($B497+IF($R$17="Distrato",$I$38-1,0)),IF(AND($L$37=0,$P$34=0),"",$L$37-1),IF($R$17="Distrato",$E497,0))),0,YEARFRAC(MAX($P$34*($B497+IF($R$17="Distrato",$I$38-1,0)),IF(AND($L$37=0,$P$34=0),"",$L$37-1),IF($R$17="Distrato",$E497,0)),MIN(Q$38,$D$19),$P$20))-SUM($P497:P497)</f>
        <v>#VALUE!</v>
      </c>
      <c r="R497" s="446" t="e">
        <f>IF(OR($B497="",MIN(R$38,$D$19)&lt;MAX($P$34*($B497+IF($R$17="Distrato",$I$38-1,0)),IF(AND($L$37=0,$P$34=0),"",$L$37-1),IF($R$17="Distrato",$E497,0))),0,YEARFRAC(MAX($P$34*($B497+IF($R$17="Distrato",$I$38-1,0)),IF(AND($L$37=0,$P$34=0),"",$L$37-1),IF($R$17="Distrato",$E497,0)),MIN(R$38,$D$19),$P$20))-SUM($P497:Q497)</f>
        <v>#VALUE!</v>
      </c>
      <c r="S497" s="446" t="e">
        <f>IF(OR($B497="",MIN(S$38,$D$19)&lt;MAX($P$34*($B497+IF($R$17="Distrato",$I$38-1,0)),IF(AND($L$37=0,$P$34=0),"",$L$37-1),IF($R$17="Distrato",$E497,0))),0,YEARFRAC(MAX($P$34*($B497+IF($R$17="Distrato",$I$38-1,0)),IF(AND($L$37=0,$P$34=0),"",$L$37-1),IF($R$17="Distrato",$E497,0)),MIN(S$38,$D$19),$P$20))-SUM($P497:R497)</f>
        <v>#VALUE!</v>
      </c>
      <c r="T497" s="446" t="e">
        <f>IF(OR($B497="",MIN(T$38,$D$19)&lt;MAX($P$34*($B497+IF($R$17="Distrato",$I$38-1,0)),IF(AND($L$37=0,$P$34=0),"",$L$37-1),IF($R$17="Distrato",$E497,0))),0,YEARFRAC(MAX($P$34*($B497+IF($R$17="Distrato",$I$38-1,0)),IF(AND($L$37=0,$P$34=0),"",$L$37-1),IF($R$17="Distrato",$E497,0)),MIN(T$38,$D$19),$P$20))-SUM($P497:S497)</f>
        <v>#VALUE!</v>
      </c>
      <c r="U497" s="446" t="e">
        <f>IF(OR($B497="",MIN(U$38,$D$19)&lt;MAX($P$34*($B497+IF($R$17="Distrato",$I$38-1,0)),IF(AND($L$37=0,$P$34=0),"",$L$37-1),IF($R$17="Distrato",$E497,0))),0,YEARFRAC(MAX($P$34*($B497+IF($R$17="Distrato",$I$38-1,0)),IF(AND($L$37=0,$P$34=0),"",$L$37-1),IF($R$17="Distrato",$E497,0)),MIN(U$38,$D$19),$P$20))-SUM($P497:T497)</f>
        <v>#VALUE!</v>
      </c>
      <c r="V497" s="446" t="e">
        <f>IF(OR($B497="",MIN(V$38,$D$19)&lt;MAX($P$34*($B497+IF($R$17="Distrato",$I$38-1,0)),IF(AND($L$37=0,$P$34=0),"",$L$37-1),IF($R$17="Distrato",$E497,0))),0,YEARFRAC(MAX($P$34*($B497+IF($R$17="Distrato",$I$38-1,0)),IF(AND($L$37=0,$P$34=0),"",$L$37-1),IF($R$17="Distrato",$E497,0)),MIN(V$38,$D$19),$P$20))-SUM($P497:U497)</f>
        <v>#VALUE!</v>
      </c>
      <c r="W497" s="446" t="e">
        <f>IF(OR($B497="",MIN(W$38,$D$19)&lt;MAX($P$34*($B497+IF($R$17="Distrato",$I$38-1,0)),IF(AND($L$37=0,$P$34=0),"",$L$37-1),IF($R$17="Distrato",$E497,0))),0,YEARFRAC(MAX($P$34*($B497+IF($R$17="Distrato",$I$38-1,0)),IF(AND($L$37=0,$P$34=0),"",$L$37-1),IF($R$17="Distrato",$E497,0)),MIN(W$38,$D$19),$P$20))-SUM($P497:V497)</f>
        <v>#VALUE!</v>
      </c>
      <c r="X497" s="446" t="e">
        <f>IF(OR($B497="",MIN(X$38,$D$19)&lt;MAX($P$34*($B497+IF($R$17="Distrato",$I$38-1,0)),IF(AND($L$37=0,$P$34=0),"",$L$37-1),IF($R$17="Distrato",$E497,0))),0,YEARFRAC(MAX($P$34*($B497+IF($R$17="Distrato",$I$38-1,0)),IF(AND($L$37=0,$P$34=0),"",$L$37-1),IF($R$17="Distrato",$E497,0)),MIN(X$38,$D$19),$P$20))-SUM($P497:W497)</f>
        <v>#VALUE!</v>
      </c>
      <c r="Y497" s="446" t="e">
        <f>IF(OR($B497="",MIN(Y$38,$D$19)&lt;MAX($P$34*($B497+IF($R$17="Distrato",$I$38-1,0)),IF(AND($L$37=0,$P$34=0),"",$L$37-1),IF($R$17="Distrato",$E497,0))),0,YEARFRAC(MAX($P$34*($B497+IF($R$17="Distrato",$I$38-1,0)),IF(AND($L$37=0,$P$34=0),"",$L$37-1),IF($R$17="Distrato",$E497,0)),MIN(Y$38,$D$19),$P$20))-SUM($P497:X497)</f>
        <v>#VALUE!</v>
      </c>
      <c r="Z497" s="446" t="e">
        <f>IF(OR($B497="",MIN(Z$38,$D$19)&lt;MAX($P$34*($B497+IF($R$17="Distrato",$I$38-1,0)),IF(AND($L$37=0,$P$34=0),"",$L$37-1),IF($R$17="Distrato",$E497,0))),0,YEARFRAC(MAX($P$34*($B497+IF($R$17="Distrato",$I$38-1,0)),IF(AND($L$37=0,$P$34=0),"",$L$37-1),IF($R$17="Distrato",$E497,0)),MIN(Z$38,$D$19),$P$20))-SUM($P497:Y497)</f>
        <v>#VALUE!</v>
      </c>
      <c r="AA497" s="446" t="e">
        <f>IF(OR($B497="",MIN(AA$38,$D$19)&lt;MAX($P$34*($B497+IF($R$17="Distrato",$I$38-1,0)),IF(AND($L$37=0,$P$34=0),"",$L$37-1),IF($R$17="Distrato",$E497,0))),0,YEARFRAC(MAX($P$34*($B497+IF($R$17="Distrato",$I$38-1,0)),IF(AND($L$37=0,$P$34=0),"",$L$37-1),IF($R$17="Distrato",$E497,0)),MIN(AA$38,$D$19),$P$20))-SUM($P497:Z497)</f>
        <v>#VALUE!</v>
      </c>
      <c r="AB497" s="446" t="e">
        <f>IF(OR($B497="",MIN(AB$38,$D$19)&lt;MAX($P$34*($B497+IF($R$17="Distrato",$I$38-1,0)),IF(AND($L$37=0,$P$34=0),"",$L$37-1),IF($R$17="Distrato",$E497,0))),0,YEARFRAC(MAX($P$34*($B497+IF($R$17="Distrato",$I$38-1,0)),IF(AND($L$37=0,$P$34=0),"",$L$37-1),IF($R$17="Distrato",$E497,0)),MIN(AB$38,$D$19),$P$20))-SUM($P497:AA497)</f>
        <v>#VALUE!</v>
      </c>
      <c r="AC497" s="446" t="e">
        <f>IF(OR($B497="",MIN(AC$38,$D$19)&lt;MAX($P$34*($B497+IF($R$17="Distrato",$I$38-1,0)),IF(AND($L$37=0,$P$34=0),"",$L$37-1),IF($R$17="Distrato",$E497,0))),0,YEARFRAC(MAX($P$34*($B497+IF($R$17="Distrato",$I$38-1,0)),IF(AND($L$37=0,$P$34=0),"",$L$37-1),IF($R$17="Distrato",$E497,0)),MIN(AC$38,$D$19),$P$20))-SUM($P497:AB497)</f>
        <v>#VALUE!</v>
      </c>
      <c r="AD497" s="446" t="e">
        <f>IF(OR($B497="",MIN(AD$38,$D$19)&lt;MAX($P$34*($B497+IF($R$17="Distrato",$I$38-1,0)),IF(AND($L$37=0,$P$34=0),"",$L$37-1),IF($R$17="Distrato",$E497,0))),0,YEARFRAC(MAX($P$34*($B497+IF($R$17="Distrato",$I$38-1,0)),IF(AND($L$37=0,$P$34=0),"",$L$37-1),IF($R$17="Distrato",$E497,0)),MIN(AD$38,$D$19),$P$20))-SUM($P497:AC497)</f>
        <v>#VALUE!</v>
      </c>
      <c r="AE497" s="446" t="e">
        <f>IF(OR($B497="",MIN(AE$38,$D$19)&lt;MAX($P$34*($B497+IF($R$17="Distrato",$I$38-1,0)),IF(AND($L$37=0,$P$34=0),"",$L$37-1),IF($R$17="Distrato",$E497,0))),0,YEARFRAC(MAX($P$34*($B497+IF($R$17="Distrato",$I$38-1,0)),IF(AND($L$37=0,$P$34=0),"",$L$37-1),IF($R$17="Distrato",$E497,0)),MIN(AE$38,$D$19),$P$20))-SUM($P497:AD497)</f>
        <v>#VALUE!</v>
      </c>
      <c r="AF497" s="446" t="e">
        <f>IF(OR($B497="",MIN(AF$38,$D$19)&lt;MAX($P$34*($B497+IF($R$17="Distrato",$I$38-1,0)),IF(AND($L$37=0,$P$34=0),"",$L$37-1),IF($R$17="Distrato",$E497,0))),0,YEARFRAC(MAX($P$34*($B497+IF($R$17="Distrato",$I$38-1,0)),IF(AND($L$37=0,$P$34=0),"",$L$37-1),IF($R$17="Distrato",$E497,0)),MIN(AF$38,$D$19),$P$20))-SUM($P497:AE497)</f>
        <v>#VALUE!</v>
      </c>
      <c r="AG497" s="446" t="e">
        <f>IF(OR($B497="",MIN(AG$38,$D$19)&lt;MAX($P$34*($B497+IF($R$17="Distrato",$I$38-1,0)),IF(AND($L$37=0,$P$34=0),"",$L$37-1),IF($R$17="Distrato",$E497,0))),0,YEARFRAC(MAX($P$34*($B497+IF($R$17="Distrato",$I$38-1,0)),IF(AND($L$37=0,$P$34=0),"",$L$37-1),IF($R$17="Distrato",$E497,0)),MIN(AG$38,$D$19),$P$20))-SUM($P497:AF497)</f>
        <v>#VALUE!</v>
      </c>
      <c r="AH497" s="446" t="e">
        <f>IF(OR($B497="",MIN(AH$38,$D$19)&lt;MAX($P$34*($B497+IF($R$17="Distrato",$I$38-1,0)),IF(AND($L$37=0,$P$34=0),"",$L$37-1),IF($R$17="Distrato",$E497,0))),0,YEARFRAC(MAX($P$34*($B497+IF($R$17="Distrato",$I$38-1,0)),IF(AND($L$37=0,$P$34=0),"",$L$37-1),IF($R$17="Distrato",$E497,0)),MIN(AH$38,$D$19),$P$20))-SUM($P497:AG497)</f>
        <v>#VALUE!</v>
      </c>
      <c r="AI497" s="446" t="e">
        <f>IF(OR($B497="",MIN(AI$38,$D$19)&lt;MAX($P$34*($B497+IF($R$17="Distrato",$I$38-1,0)),IF(AND($L$37=0,$P$34=0),"",$L$37-1),IF($R$17="Distrato",$E497,0))),0,YEARFRAC(MAX($P$34*($B497+IF($R$17="Distrato",$I$38-1,0)),IF(AND($L$37=0,$P$34=0),"",$L$37-1),IF($R$17="Distrato",$E497,0)),MIN(AI$38,$D$19),$P$20))-SUM($P497:AH497)</f>
        <v>#VALUE!</v>
      </c>
      <c r="AJ497" s="446" t="e">
        <f>IF(OR($B497="",MIN(AJ$38,$D$19)&lt;MAX($P$34*($B497+IF($R$17="Distrato",$I$38-1,0)),IF(AND($L$37=0,$P$34=0),"",$L$37-1),IF($R$17="Distrato",$E497,0))),0,YEARFRAC(MAX($P$34*($B497+IF($R$17="Distrato",$I$38-1,0)),IF(AND($L$37=0,$P$34=0),"",$L$37-1),IF($R$17="Distrato",$E497,0)),MIN(AJ$38,$D$19),$P$20))-SUM($P497:AI497)</f>
        <v>#VALUE!</v>
      </c>
      <c r="AK497" s="446" t="e">
        <f>IF(OR($B497="",MIN(AK$38,$D$19)&lt;MAX($P$34*($B497+IF($R$17="Distrato",$I$38-1,0)),IF(AND($L$37=0,$P$34=0),"",$L$37-1),IF($R$17="Distrato",$E497,0))),0,YEARFRAC(MAX($P$34*($B497+IF($R$17="Distrato",$I$38-1,0)),IF(AND($L$37=0,$P$34=0),"",$L$37-1),IF($R$17="Distrato",$E497,0)),MIN(AK$38,$D$19),$P$20))-SUM($P497:AJ497)</f>
        <v>#VALUE!</v>
      </c>
      <c r="AL497" s="446" t="e">
        <f>IF(OR($B497="",MIN(AL$38,$D$19)&lt;MAX($P$34*($B497+IF($R$17="Distrato",$I$38-1,0)),IF(AND($L$37=0,$P$34=0),"",$L$37-1),IF($R$17="Distrato",$E497,0))),0,YEARFRAC(MAX($P$34*($B497+IF($R$17="Distrato",$I$38-1,0)),IF(AND($L$37=0,$P$34=0),"",$L$37-1),IF($R$17="Distrato",$E497,0)),MIN(AL$38,$D$19),$P$20))-SUM($P497:AK497)</f>
        <v>#VALUE!</v>
      </c>
      <c r="AM497" s="446" t="e">
        <f>IF(OR($B497="",MIN(AM$38,$D$19)&lt;MAX($P$34*($B497+IF($R$17="Distrato",$I$38-1,0)),IF(AND($L$37=0,$P$34=0),"",$L$37-1),IF($R$17="Distrato",$E497,0))),0,YEARFRAC(MAX($P$34*($B497+IF($R$17="Distrato",$I$38-1,0)),IF(AND($L$37=0,$P$34=0),"",$L$37-1),IF($R$17="Distrato",$E497,0)),MIN(AM$38,$D$19),$P$20))-SUM($P497:AL497)</f>
        <v>#VALUE!</v>
      </c>
      <c r="AN497" s="446" t="e">
        <f>IF(OR($B497="",MIN(AN$38,$D$19)&lt;MAX($P$34*($B497+IF($R$17="Distrato",$I$38-1,0)),IF(AND($L$37=0,$P$34=0),"",$L$37-1),IF($R$17="Distrato",$E497,0))),0,YEARFRAC(MAX($P$34*($B497+IF($R$17="Distrato",$I$38-1,0)),IF(AND($L$37=0,$P$34=0),"",$L$37-1),IF($R$17="Distrato",$E497,0)),MIN(AN$38,$D$19),$P$20))-SUM($P497:AM497)</f>
        <v>#VALUE!</v>
      </c>
      <c r="AO497" s="446" t="e">
        <f>IF(OR($B497="",MIN(AO$38,$D$19)&lt;MAX($P$34*($B497+IF($R$17="Distrato",$I$38-1,0)),IF(AND($L$37=0,$P$34=0),"",$L$37-1),IF($R$17="Distrato",$E497,0))),0,YEARFRAC(MAX($P$34*($B497+IF($R$17="Distrato",$I$38-1,0)),IF(AND($L$37=0,$P$34=0),"",$L$37-1),IF($R$17="Distrato",$E497,0)),MIN(AO$38,$D$19),$P$20))-SUM($P497:AN497)</f>
        <v>#VALUE!</v>
      </c>
      <c r="AP497" s="446" t="e">
        <f>IF(OR($B497="",MIN(AP$38,$D$19)&lt;MAX($P$34*($B497+IF($R$17="Distrato",$I$38-1,0)),IF(AND($L$37=0,$P$34=0),"",$L$37-1),IF($R$17="Distrato",$E497,0))),0,YEARFRAC(MAX($P$34*($B497+IF($R$17="Distrato",$I$38-1,0)),IF(AND($L$37=0,$P$34=0),"",$L$37-1),IF($R$17="Distrato",$E497,0)),MIN(AP$38,$D$19),$P$20))-SUM($P497:AO497)</f>
        <v>#VALUE!</v>
      </c>
      <c r="AQ497" s="446" t="e">
        <f>IF(OR($B497="",MIN(AQ$38,$D$19)&lt;MAX($P$34*($B497+IF($R$17="Distrato",$I$38-1,0)),IF(AND($L$37=0,$P$34=0),"",$L$37-1),IF($R$17="Distrato",$E497,0))),0,YEARFRAC(MAX($P$34*($B497+IF($R$17="Distrato",$I$38-1,0)),IF(AND($L$37=0,$P$34=0),"",$L$37-1),IF($R$17="Distrato",$E497,0)),MIN(AQ$38,$D$19),$P$20))-SUM($P497:AP497)</f>
        <v>#VALUE!</v>
      </c>
      <c r="AR497" s="446" t="e">
        <f>IF(OR($B497="",MIN(AR$38,$D$19)&lt;MAX($P$34*($B497+IF($R$17="Distrato",$I$38-1,0)),IF(AND($L$37=0,$P$34=0),"",$L$37-1),IF($R$17="Distrato",$E497,0))),0,YEARFRAC(MAX($P$34*($B497+IF($R$17="Distrato",$I$38-1,0)),IF(AND($L$37=0,$P$34=0),"",$L$37-1),IF($R$17="Distrato",$E497,0)),MIN(AR$38,$D$19),$P$20))-SUM($P497:AQ497)</f>
        <v>#VALUE!</v>
      </c>
      <c r="AS497" s="446" t="e">
        <f>IF(OR($B497="",MIN(AS$38,$D$19)&lt;MAX($P$34*($B497+IF($R$17="Distrato",$I$38-1,0)),IF(AND($L$37=0,$P$34=0),"",$L$37-1),IF($R$17="Distrato",$E497,0))),0,YEARFRAC(MAX($P$34*($B497+IF($R$17="Distrato",$I$38-1,0)),IF(AND($L$37=0,$P$34=0),"",$L$37-1),IF($R$17="Distrato",$E497,0)),MIN(AS$38,$D$19),$P$20))-SUM($P497:AR497)</f>
        <v>#VALUE!</v>
      </c>
      <c r="AT497" s="446" t="e">
        <f>IF(OR($B497="",MIN(AT$38,$D$19)&lt;MAX($P$34*($B497+IF($R$17="Distrato",$I$38-1,0)),IF(AND($L$37=0,$P$34=0),"",$L$37-1),IF($R$17="Distrato",$E497,0))),0,YEARFRAC(MAX($P$34*($B497+IF($R$17="Distrato",$I$38-1,0)),IF(AND($L$37=0,$P$34=0),"",$L$37-1),IF($R$17="Distrato",$E497,0)),MIN(AT$38,$D$19),$P$20))-SUM($P497:AS497)</f>
        <v>#VALUE!</v>
      </c>
      <c r="AU497" s="446" t="e">
        <f>IF(OR($B497="",MIN(AU$38,$D$19)&lt;MAX($P$34*($B497+IF($R$17="Distrato",$I$38-1,0)),IF(AND($L$37=0,$P$34=0),"",$L$37-1),IF($R$17="Distrato",$E497,0))),0,YEARFRAC(MAX($P$34*($B497+IF($R$17="Distrato",$I$38-1,0)),IF(AND($L$37=0,$P$34=0),"",$L$37-1),IF($R$17="Distrato",$E497,0)),MIN(AU$38,$D$19),$P$20))-SUM($P497:AT497)</f>
        <v>#VALUE!</v>
      </c>
      <c r="AV497" s="446" t="e">
        <f>IF(OR($B497="",MIN(AV$38,$D$19)&lt;MAX($P$34*($B497+IF($R$17="Distrato",$I$38-1,0)),IF(AND($L$37=0,$P$34=0),"",$L$37-1),IF($R$17="Distrato",$E497,0))),0,YEARFRAC(MAX($P$34*($B497+IF($R$17="Distrato",$I$38-1,0)),IF(AND($L$37=0,$P$34=0),"",$L$37-1),IF($R$17="Distrato",$E497,0)),MIN(AV$38,$D$19),$P$20))-SUM($P497:AU497)</f>
        <v>#VALUE!</v>
      </c>
      <c r="AW497" s="446" t="e">
        <f>IF(OR($B497="",MIN(AW$38,$D$19)&lt;MAX($P$34*($B497+IF($R$17="Distrato",$I$38-1,0)),IF(AND($L$37=0,$P$34=0),"",$L$37-1),IF($R$17="Distrato",$E497,0))),0,YEARFRAC(MAX($P$34*($B497+IF($R$17="Distrato",$I$38-1,0)),IF(AND($L$37=0,$P$34=0),"",$L$37-1),IF($R$17="Distrato",$E497,0)),MIN(AW$38,$D$19),$P$20))-SUM($P497:AV497)</f>
        <v>#VALUE!</v>
      </c>
      <c r="AX497" s="446" t="e">
        <f>IF(OR($B497="",MIN(AX$38,$D$19)&lt;MAX($P$34*($B497+IF($R$17="Distrato",$I$38-1,0)),IF(AND($L$37=0,$P$34=0),"",$L$37-1),IF($R$17="Distrato",$E497,0))),0,YEARFRAC(MAX($P$34*($B497+IF($R$17="Distrato",$I$38-1,0)),IF(AND($L$37=0,$P$34=0),"",$L$37-1),IF($R$17="Distrato",$E497,0)),MIN(AX$38,$D$19),$P$20))-SUM($P497:AW497)</f>
        <v>#VALUE!</v>
      </c>
      <c r="AY497" s="446" t="e">
        <f>IF(OR($B497="",MIN(AY$38,$D$19)&lt;MAX($P$34*($B497+IF($R$17="Distrato",$I$38-1,0)),IF(AND($L$37=0,$P$34=0),"",$L$37-1),IF($R$17="Distrato",$E497,0))),0,YEARFRAC(MAX($P$34*($B497+IF($R$17="Distrato",$I$38-1,0)),IF(AND($L$37=0,$P$34=0),"",$L$37-1),IF($R$17="Distrato",$E497,0)),MIN(AY$38,$D$19),$P$20))-SUM($P497:AX497)</f>
        <v>#VALUE!</v>
      </c>
      <c r="AZ497" s="446" t="e">
        <f>IF(OR($B497="",MIN(AZ$38,$D$19)&lt;MAX($P$34*($B497+IF($R$17="Distrato",$I$38-1,0)),IF(AND($L$37=0,$P$34=0),"",$L$37-1),IF($R$17="Distrato",$E497,0))),0,YEARFRAC(MAX($P$34*($B497+IF($R$17="Distrato",$I$38-1,0)),IF(AND($L$37=0,$P$34=0),"",$L$37-1),IF($R$17="Distrato",$E497,0)),MIN(AZ$38,$D$19),$P$20))-SUM($P497:AY497)</f>
        <v>#VALUE!</v>
      </c>
      <c r="BA497" s="446" t="e">
        <f>IF(OR($B497="",MIN(BA$38,$D$19)&lt;MAX($P$34*($B497+IF($R$17="Distrato",$I$38-1,0)),IF(AND($L$37=0,$P$34=0),"",$L$37-1),IF($R$17="Distrato",$E497,0))),0,YEARFRAC(MAX($P$34*($B497+IF($R$17="Distrato",$I$38-1,0)),IF(AND($L$37=0,$P$34=0),"",$L$37-1),IF($R$17="Distrato",$E497,0)),MIN(BA$38,$D$19),$P$20))-SUM($P497:AZ497)</f>
        <v>#VALUE!</v>
      </c>
      <c r="BB497" s="447"/>
      <c r="BF497" s="446">
        <f t="shared" si="87"/>
        <v>0</v>
      </c>
      <c r="BG497" s="446">
        <f>IF($E497=0,0,IF(MIN(BG$38,$E497)&lt;MAX($P$34*($B497+$I$38-1),IF(AND($L$37=0,$P$34=0),"",$L$37-1)),0,YEARFRAC(MAX($P$34*($B497+$I$38-1),IF(AND($L$37=0,$P$34=0),"",$L$37-1)),MIN(BG$38,$E497),$P$20))-SUM($BF497:BF497))</f>
        <v>0</v>
      </c>
      <c r="BH497" s="446">
        <f>IF($E497=0,0,IF(MIN(BH$38,$E497)&lt;MAX($P$34*($B497+$I$38-1),IF(AND($L$37=0,$P$34=0),"",$L$37-1)),0,YEARFRAC(MAX($P$34*($B497+$I$38-1),IF(AND($L$37=0,$P$34=0),"",$L$37-1)),MIN(BH$38,$E497),$P$20))-SUM($BF497:BG497))</f>
        <v>0</v>
      </c>
      <c r="BI497" s="446">
        <f>IF($E497=0,0,IF(MIN(BI$38,$E497)&lt;MAX($P$34*($B497+$I$38-1),IF(AND($L$37=0,$P$34=0),"",$L$37-1)),0,YEARFRAC(MAX($P$34*($B497+$I$38-1),IF(AND($L$37=0,$P$34=0),"",$L$37-1)),MIN(BI$38,$E497),$P$20))-SUM($BF497:BH497))</f>
        <v>0</v>
      </c>
      <c r="BJ497" s="446">
        <f>IF($E497=0,0,IF(MIN(BJ$38,$E497)&lt;MAX($P$34*($B497+$I$38-1),IF(AND($L$37=0,$P$34=0),"",$L$37-1)),0,YEARFRAC(MAX($P$34*($B497+$I$38-1),IF(AND($L$37=0,$P$34=0),"",$L$37-1)),MIN(BJ$38,$E497),$P$20))-SUM($BF497:BI497))</f>
        <v>0</v>
      </c>
      <c r="BK497" s="446">
        <f>IF($E497=0,0,IF(MIN(BK$38,$E497)&lt;MAX($P$34*($B497+$I$38-1),IF(AND($L$37=0,$P$34=0),"",$L$37-1)),0,YEARFRAC(MAX($P$34*($B497+$I$38-1),IF(AND($L$37=0,$P$34=0),"",$L$37-1)),MIN(BK$38,$E497),$P$20))-SUM($BF497:BJ497))</f>
        <v>0</v>
      </c>
      <c r="BL497" s="446">
        <f>IF($E497=0,0,IF(MIN(BL$38,$E497)&lt;MAX($P$34*($B497+$I$38-1),IF(AND($L$37=0,$P$34=0),"",$L$37-1)),0,YEARFRAC(MAX($P$34*($B497+$I$38-1),IF(AND($L$37=0,$P$34=0),"",$L$37-1)),MIN(BL$38,$E497),$P$20))-SUM($BF497:BK497))</f>
        <v>0</v>
      </c>
      <c r="BM497" s="446">
        <f>IF($E497=0,0,IF(MIN(BM$38,$E497)&lt;MAX($P$34*($B497+$I$38-1),IF(AND($L$37=0,$P$34=0),"",$L$37-1)),0,YEARFRAC(MAX($P$34*($B497+$I$38-1),IF(AND($L$37=0,$P$34=0),"",$L$37-1)),MIN(BM$38,$E497),$P$20))-SUM($BF497:BL497))</f>
        <v>0</v>
      </c>
      <c r="BN497" s="446">
        <f>IF($E497=0,0,IF(MIN(BN$38,$E497)&lt;MAX($P$34*($B497+$I$38-1),IF(AND($L$37=0,$P$34=0),"",$L$37-1)),0,YEARFRAC(MAX($P$34*($B497+$I$38-1),IF(AND($L$37=0,$P$34=0),"",$L$37-1)),MIN(BN$38,$E497),$P$20))-SUM($BF497:BM497))</f>
        <v>0</v>
      </c>
      <c r="BO497" s="446">
        <f>IF($E497=0,0,IF(MIN(BO$38,$E497)&lt;MAX($P$34*($B497+$I$38-1),IF(AND($L$37=0,$P$34=0),"",$L$37-1)),0,YEARFRAC(MAX($P$34*($B497+$I$38-1),IF(AND($L$37=0,$P$34=0),"",$L$37-1)),MIN(BO$38,$E497),$P$20))-SUM($BF497:BN497))</f>
        <v>0</v>
      </c>
      <c r="BP497" s="446">
        <f>IF($E497=0,0,IF(MIN(BP$38,$E497)&lt;MAX($P$34*($B497+$I$38-1),IF(AND($L$37=0,$P$34=0),"",$L$37-1)),0,YEARFRAC(MAX($P$34*($B497+$I$38-1),IF(AND($L$37=0,$P$34=0),"",$L$37-1)),MIN(BP$38,$E497),$P$20))-SUM($BF497:BO497))</f>
        <v>0</v>
      </c>
      <c r="BQ497" s="446">
        <f>IF($E497=0,0,IF(MIN(BQ$38,$E497)&lt;MAX($P$34*($B497+$I$38-1),IF(AND($L$37=0,$P$34=0),"",$L$37-1)),0,YEARFRAC(MAX($P$34*($B497+$I$38-1),IF(AND($L$37=0,$P$34=0),"",$L$37-1)),MIN(BQ$38,$E497),$P$20))-SUM($BF497:BP497))</f>
        <v>0</v>
      </c>
      <c r="BR497" s="446">
        <f>IF($E497=0,0,IF(MIN(BR$38,$E497)&lt;MAX($P$34*($B497+$I$38-1),IF(AND($L$37=0,$P$34=0),"",$L$37-1)),0,YEARFRAC(MAX($P$34*($B497+$I$38-1),IF(AND($L$37=0,$P$34=0),"",$L$37-1)),MIN(BR$38,$E497),$P$20))-SUM($BF497:BQ497))</f>
        <v>0</v>
      </c>
      <c r="BS497" s="446">
        <f>IF($E497=0,0,IF(MIN(BS$38,$E497)&lt;MAX($P$34*($B497+$I$38-1),IF(AND($L$37=0,$P$34=0),"",$L$37-1)),0,YEARFRAC(MAX($P$34*($B497+$I$38-1),IF(AND($L$37=0,$P$34=0),"",$L$37-1)),MIN(BS$38,$E497),$P$20))-SUM($BF497:BR497))</f>
        <v>0</v>
      </c>
      <c r="BT497" s="446">
        <f>IF($E497=0,0,IF(MIN(BT$38,$E497)&lt;MAX($P$34*($B497+$I$38-1),IF(AND($L$37=0,$P$34=0),"",$L$37-1)),0,YEARFRAC(MAX($P$34*($B497+$I$38-1),IF(AND($L$37=0,$P$34=0),"",$L$37-1)),MIN(BT$38,$E497),$P$20))-SUM($BF497:BS497))</f>
        <v>0</v>
      </c>
      <c r="BU497" s="446">
        <f>IF($E497=0,0,IF(MIN(BU$38,$E497)&lt;MAX($P$34*($B497+$I$38-1),IF(AND($L$37=0,$P$34=0),"",$L$37-1)),0,YEARFRAC(MAX($P$34*($B497+$I$38-1),IF(AND($L$37=0,$P$34=0),"",$L$37-1)),MIN(BU$38,$E497),$P$20))-SUM($BF497:BT497))</f>
        <v>0</v>
      </c>
      <c r="BV497" s="446">
        <f>IF($E497=0,0,IF(MIN(BV$38,$E497)&lt;MAX($P$34*($B497+$I$38-1),IF(AND($L$37=0,$P$34=0),"",$L$37-1)),0,YEARFRAC(MAX($P$34*($B497+$I$38-1),IF(AND($L$37=0,$P$34=0),"",$L$37-1)),MIN(BV$38,$E497),$P$20))-SUM($BF497:BU497))</f>
        <v>0</v>
      </c>
      <c r="BW497" s="446">
        <f>IF($E497=0,0,IF(MIN(BW$38,$E497)&lt;MAX($P$34*($B497+$I$38-1),IF(AND($L$37=0,$P$34=0),"",$L$37-1)),0,YEARFRAC(MAX($P$34*($B497+$I$38-1),IF(AND($L$37=0,$P$34=0),"",$L$37-1)),MIN(BW$38,$E497),$P$20))-SUM($BF497:BV497))</f>
        <v>0</v>
      </c>
      <c r="BX497" s="446">
        <f>IF($E497=0,0,IF(MIN(BX$38,$E497)&lt;MAX($P$34*($B497+$I$38-1),IF(AND($L$37=0,$P$34=0),"",$L$37-1)),0,YEARFRAC(MAX($P$34*($B497+$I$38-1),IF(AND($L$37=0,$P$34=0),"",$L$37-1)),MIN(BX$38,$E497),$P$20))-SUM($BF497:BW497))</f>
        <v>0</v>
      </c>
      <c r="BY497" s="446">
        <f>IF($E497=0,0,IF(MIN(BY$38,$E497)&lt;MAX($P$34*($B497+$I$38-1),IF(AND($L$37=0,$P$34=0),"",$L$37-1)),0,YEARFRAC(MAX($P$34*($B497+$I$38-1),IF(AND($L$37=0,$P$34=0),"",$L$37-1)),MIN(BY$38,$E497),$P$20))-SUM($BF497:BX497))</f>
        <v>0</v>
      </c>
      <c r="BZ497" s="446">
        <f>IF($E497=0,0,IF(MIN(BZ$38,$E497)&lt;MAX($P$34*($B497+$I$38-1),IF(AND($L$37=0,$P$34=0),"",$L$37-1)),0,YEARFRAC(MAX($P$34*($B497+$I$38-1),IF(AND($L$37=0,$P$34=0),"",$L$37-1)),MIN(BZ$38,$E497),$P$20))-SUM($BF497:BY497))</f>
        <v>0</v>
      </c>
      <c r="CA497" s="446">
        <f>IF($E497=0,0,IF(MIN(CA$38,$E497)&lt;MAX($P$34*($B497+$I$38-1),IF(AND($L$37=0,$P$34=0),"",$L$37-1)),0,YEARFRAC(MAX($P$34*($B497+$I$38-1),IF(AND($L$37=0,$P$34=0),"",$L$37-1)),MIN(CA$38,$E497),$P$20))-SUM($BF497:BZ497))</f>
        <v>0</v>
      </c>
      <c r="CB497" s="446">
        <f>IF($E497=0,0,IF(MIN(CB$38,$E497)&lt;MAX($P$34*($B497+$I$38-1),IF(AND($L$37=0,$P$34=0),"",$L$37-1)),0,YEARFRAC(MAX($P$34*($B497+$I$38-1),IF(AND($L$37=0,$P$34=0),"",$L$37-1)),MIN(CB$38,$E497),$P$20))-SUM($BF497:CA497))</f>
        <v>0</v>
      </c>
      <c r="CC497" s="446">
        <f>IF($E497=0,0,IF(MIN(CC$38,$E497)&lt;MAX($P$34*($B497+$I$38-1),IF(AND($L$37=0,$P$34=0),"",$L$37-1)),0,YEARFRAC(MAX($P$34*($B497+$I$38-1),IF(AND($L$37=0,$P$34=0),"",$L$37-1)),MIN(CC$38,$E497),$P$20))-SUM($BF497:CB497))</f>
        <v>0</v>
      </c>
      <c r="CD497" s="446">
        <f>IF($E497=0,0,IF(MIN(CD$38,$E497)&lt;MAX($P$34*($B497+$I$38-1),IF(AND($L$37=0,$P$34=0),"",$L$37-1)),0,YEARFRAC(MAX($P$34*($B497+$I$38-1),IF(AND($L$37=0,$P$34=0),"",$L$37-1)),MIN(CD$38,$E497),$P$20))-SUM($BF497:CC497))</f>
        <v>0</v>
      </c>
      <c r="CE497" s="446">
        <f>IF($E497=0,0,IF(MIN(CE$38,$E497)&lt;MAX($P$34*($B497+$I$38-1),IF(AND($L$37=0,$P$34=0),"",$L$37-1)),0,YEARFRAC(MAX($P$34*($B497+$I$38-1),IF(AND($L$37=0,$P$34=0),"",$L$37-1)),MIN(CE$38,$E497),$P$20))-SUM($BF497:CD497))</f>
        <v>0</v>
      </c>
      <c r="CF497" s="446">
        <f>IF($E497=0,0,IF(MIN(CF$38,$E497)&lt;MAX($P$34*($B497+$I$38-1),IF(AND($L$37=0,$P$34=0),"",$L$37-1)),0,YEARFRAC(MAX($P$34*($B497+$I$38-1),IF(AND($L$37=0,$P$34=0),"",$L$37-1)),MIN(CF$38,$E497),$P$20))-SUM($BF497:CE497))</f>
        <v>0</v>
      </c>
      <c r="CG497" s="446">
        <f>IF($E497=0,0,IF(MIN(CG$38,$E497)&lt;MAX($P$34*($B497+$I$38-1),IF(AND($L$37=0,$P$34=0),"",$L$37-1)),0,YEARFRAC(MAX($P$34*($B497+$I$38-1),IF(AND($L$37=0,$P$34=0),"",$L$37-1)),MIN(CG$38,$E497),$P$20))-SUM($BF497:CF497))</f>
        <v>0</v>
      </c>
      <c r="CH497" s="446">
        <f>IF($E497=0,0,IF(MIN(CH$38,$E497)&lt;MAX($P$34*($B497+$I$38-1),IF(AND($L$37=0,$P$34=0),"",$L$37-1)),0,YEARFRAC(MAX($P$34*($B497+$I$38-1),IF(AND($L$37=0,$P$34=0),"",$L$37-1)),MIN(CH$38,$E497),$P$20))-SUM($BF497:CG497))</f>
        <v>0</v>
      </c>
      <c r="CI497" s="446">
        <f>IF($E497=0,0,IF(MIN(CI$38,$E497)&lt;MAX($P$34*($B497+$I$38-1),IF(AND($L$37=0,$P$34=0),"",$L$37-1)),0,YEARFRAC(MAX($P$34*($B497+$I$38-1),IF(AND($L$37=0,$P$34=0),"",$L$37-1)),MIN(CI$38,$E497),$P$20))-SUM($BF497:CH497))</f>
        <v>0</v>
      </c>
      <c r="CJ497" s="446">
        <f>IF($E497=0,0,IF(MIN(CJ$38,$E497)&lt;MAX($P$34*($B497+$I$38-1),IF(AND($L$37=0,$P$34=0),"",$L$37-1)),0,YEARFRAC(MAX($P$34*($B497+$I$38-1),IF(AND($L$37=0,$P$34=0),"",$L$37-1)),MIN(CJ$38,$E497),$P$20))-SUM($BF497:CI497))</f>
        <v>0</v>
      </c>
      <c r="CK497" s="446">
        <f>IF($E497=0,0,IF(MIN(CK$38,$E497)&lt;MAX($P$34*($B497+$I$38-1),IF(AND($L$37=0,$P$34=0),"",$L$37-1)),0,YEARFRAC(MAX($P$34*($B497+$I$38-1),IF(AND($L$37=0,$P$34=0),"",$L$37-1)),MIN(CK$38,$E497),$P$20))-SUM($BF497:CJ497))</f>
        <v>0</v>
      </c>
      <c r="CL497" s="446">
        <f>IF($E497=0,0,IF(MIN(CL$38,$E497)&lt;MAX($P$34*($B497+$I$38-1),IF(AND($L$37=0,$P$34=0),"",$L$37-1)),0,YEARFRAC(MAX($P$34*($B497+$I$38-1),IF(AND($L$37=0,$P$34=0),"",$L$37-1)),MIN(CL$38,$E497),$P$20))-SUM($BF497:CK497))</f>
        <v>0</v>
      </c>
      <c r="CM497" s="446">
        <f>IF($E497=0,0,IF(MIN(CM$38,$E497)&lt;MAX($P$34*($B497+$I$38-1),IF(AND($L$37=0,$P$34=0),"",$L$37-1)),0,YEARFRAC(MAX($P$34*($B497+$I$38-1),IF(AND($L$37=0,$P$34=0),"",$L$37-1)),MIN(CM$38,$E497),$P$20))-SUM($BF497:CL497))</f>
        <v>0</v>
      </c>
      <c r="CN497" s="446">
        <f>IF($E497=0,0,IF(MIN(CN$38,$E497)&lt;MAX($P$34*($B497+$I$38-1),IF(AND($L$37=0,$P$34=0),"",$L$37-1)),0,YEARFRAC(MAX($P$34*($B497+$I$38-1),IF(AND($L$37=0,$P$34=0),"",$L$37-1)),MIN(CN$38,$E497),$P$20))-SUM($BF497:CM497))</f>
        <v>0</v>
      </c>
      <c r="CO497" s="446">
        <f>IF($E497=0,0,IF(MIN(CO$38,$E497)&lt;MAX($P$34*($B497+$I$38-1),IF(AND($L$37=0,$P$34=0),"",$L$37-1)),0,YEARFRAC(MAX($P$34*($B497+$I$38-1),IF(AND($L$37=0,$P$34=0),"",$L$37-1)),MIN(CO$38,$E497),$P$20))-SUM($BF497:CN497))</f>
        <v>0</v>
      </c>
      <c r="CP497" s="446">
        <f>IF($E497=0,0,IF(MIN(CP$38,$E497)&lt;MAX($P$34*($B497+$I$38-1),IF(AND($L$37=0,$P$34=0),"",$L$37-1)),0,YEARFRAC(MAX($P$34*($B497+$I$38-1),IF(AND($L$37=0,$P$34=0),"",$L$37-1)),MIN(CP$38,$E497),$P$20))-SUM($BF497:CO497))</f>
        <v>0</v>
      </c>
      <c r="CQ497" s="446">
        <f>IF($E497=0,0,IF(MIN(CQ$38,$E497)&lt;MAX($P$34*($B497+$I$38-1),IF(AND($L$37=0,$P$34=0),"",$L$37-1)),0,YEARFRAC(MAX($P$34*($B497+$I$38-1),IF(AND($L$37=0,$P$34=0),"",$L$37-1)),MIN(CQ$38,$E497),$P$20))-SUM($BF497:CP497))</f>
        <v>0</v>
      </c>
    </row>
    <row r="498" spans="1:95" s="446" customFormat="1" ht="11.25" hidden="1" customHeight="1" x14ac:dyDescent="0.2">
      <c r="A498" s="152"/>
      <c r="B498" s="153" t="str">
        <f t="shared" si="92"/>
        <v/>
      </c>
      <c r="C498" s="29" t="str">
        <f>IF(B498="","",IF($L$35="SELIC - TRIBUTOS",VLOOKUP(DATE(YEAR($D$19),MONTH($D$19)-1,1),ÍNDICES!$A:$DE,HLOOKUP($BL$25,ÍNDICES!$B$3:$T$4,2)+11)-VLOOKUP(B498,ÍNDICES!$A:$DE,HLOOKUP($BL$25,ÍNDICES!$B$3:$T$4,2)+11)+1%,IF(C$38=$W$26,$J$35,IF(ISERROR(IF(B498&gt;$D$19,1,VLOOKUP(DATE(YEAR(B498),MONTH(B498)+IF($C$35=$S$23,1,0),1),ÍNDICES!$A:$DE,$Z$35+1))),"",IF(B498&gt;$D$19,1,VLOOKUP(DATE(YEAR(B498),MONTH(B498)+IF($C$35=$S$23,1,0),1),ÍNDICES!$A:$DE,$Z$35+1))))))</f>
        <v/>
      </c>
      <c r="D498" s="154" t="str">
        <f>IF(ISERROR(IF(OR($D$38=$Y$27,$B498=""),"",VLOOKUP(B498,ÍNDICES!A:DE,AF$35+1))),"",IF(OR($D$38=$Y$27,$B498=""),"",VLOOKUP(B498,ÍNDICES!A:DE,AF$35+1)))</f>
        <v/>
      </c>
      <c r="E498" s="153"/>
      <c r="F498" s="29" t="str">
        <f>IF(E498="","",IF($L$35="SELIC - TRIBUTOS",VLOOKUP(DATE(YEAR($D$19),MONTH($D$19)-1,1),ÍNDICES!$A:$DE,HLOOKUP($BL$25,ÍNDICES!$B$3:$T$4,2)+11)-VLOOKUP(E498,ÍNDICES!$A:$DE,HLOOKUP($BL$25,ÍNDICES!$B$3:$T$4,2)+11)+1%,IF(F$38=$W$26,$J$35,IF(ISERROR(IF(E498&gt;$D$19,1,VLOOKUP(DATE(YEAR(E498),MONTH(E498)+IF($C$35=$S$23,1,0),1),ÍNDICES!$A:$DE,$Z$35+1))),"",IF(E498&gt;$D$19,1,VLOOKUP(DATE(YEAR(E498),MONTH(E498)+IF($C$35=$S$23,1,0),1),ÍNDICES!$A:$DE,$Z$35+1))))))</f>
        <v/>
      </c>
      <c r="G498" s="155"/>
      <c r="H498" s="156" t="str">
        <f t="shared" si="88"/>
        <v/>
      </c>
      <c r="I498" s="29" t="str">
        <f t="shared" si="82"/>
        <v/>
      </c>
      <c r="J498" s="5">
        <f t="shared" si="83"/>
        <v>0</v>
      </c>
      <c r="K498" s="20">
        <f t="shared" ca="1" si="84"/>
        <v>0</v>
      </c>
      <c r="L498" s="5">
        <f t="shared" ca="1" si="85"/>
        <v>0</v>
      </c>
      <c r="M498" s="64">
        <f t="shared" si="89"/>
        <v>0</v>
      </c>
      <c r="N498" s="61">
        <f t="shared" ca="1" si="90"/>
        <v>0</v>
      </c>
      <c r="O498" s="5">
        <f t="shared" ca="1" si="91"/>
        <v>0</v>
      </c>
      <c r="P498" s="446" t="e">
        <f t="shared" si="86"/>
        <v>#VALUE!</v>
      </c>
      <c r="Q498" s="446" t="e">
        <f>IF(OR($B498="",MIN(Q$38,$D$19)&lt;MAX($P$34*($B498+IF($R$17="Distrato",$I$38-1,0)),IF(AND($L$37=0,$P$34=0),"",$L$37-1),IF($R$17="Distrato",$E498,0))),0,YEARFRAC(MAX($P$34*($B498+IF($R$17="Distrato",$I$38-1,0)),IF(AND($L$37=0,$P$34=0),"",$L$37-1),IF($R$17="Distrato",$E498,0)),MIN(Q$38,$D$19),$P$20))-SUM($P498:P498)</f>
        <v>#VALUE!</v>
      </c>
      <c r="R498" s="446" t="e">
        <f>IF(OR($B498="",MIN(R$38,$D$19)&lt;MAX($P$34*($B498+IF($R$17="Distrato",$I$38-1,0)),IF(AND($L$37=0,$P$34=0),"",$L$37-1),IF($R$17="Distrato",$E498,0))),0,YEARFRAC(MAX($P$34*($B498+IF($R$17="Distrato",$I$38-1,0)),IF(AND($L$37=0,$P$34=0),"",$L$37-1),IF($R$17="Distrato",$E498,0)),MIN(R$38,$D$19),$P$20))-SUM($P498:Q498)</f>
        <v>#VALUE!</v>
      </c>
      <c r="S498" s="446" t="e">
        <f>IF(OR($B498="",MIN(S$38,$D$19)&lt;MAX($P$34*($B498+IF($R$17="Distrato",$I$38-1,0)),IF(AND($L$37=0,$P$34=0),"",$L$37-1),IF($R$17="Distrato",$E498,0))),0,YEARFRAC(MAX($P$34*($B498+IF($R$17="Distrato",$I$38-1,0)),IF(AND($L$37=0,$P$34=0),"",$L$37-1),IF($R$17="Distrato",$E498,0)),MIN(S$38,$D$19),$P$20))-SUM($P498:R498)</f>
        <v>#VALUE!</v>
      </c>
      <c r="T498" s="446" t="e">
        <f>IF(OR($B498="",MIN(T$38,$D$19)&lt;MAX($P$34*($B498+IF($R$17="Distrato",$I$38-1,0)),IF(AND($L$37=0,$P$34=0),"",$L$37-1),IF($R$17="Distrato",$E498,0))),0,YEARFRAC(MAX($P$34*($B498+IF($R$17="Distrato",$I$38-1,0)),IF(AND($L$37=0,$P$34=0),"",$L$37-1),IF($R$17="Distrato",$E498,0)),MIN(T$38,$D$19),$P$20))-SUM($P498:S498)</f>
        <v>#VALUE!</v>
      </c>
      <c r="U498" s="446" t="e">
        <f>IF(OR($B498="",MIN(U$38,$D$19)&lt;MAX($P$34*($B498+IF($R$17="Distrato",$I$38-1,0)),IF(AND($L$37=0,$P$34=0),"",$L$37-1),IF($R$17="Distrato",$E498,0))),0,YEARFRAC(MAX($P$34*($B498+IF($R$17="Distrato",$I$38-1,0)),IF(AND($L$37=0,$P$34=0),"",$L$37-1),IF($R$17="Distrato",$E498,0)),MIN(U$38,$D$19),$P$20))-SUM($P498:T498)</f>
        <v>#VALUE!</v>
      </c>
      <c r="V498" s="446" t="e">
        <f>IF(OR($B498="",MIN(V$38,$D$19)&lt;MAX($P$34*($B498+IF($R$17="Distrato",$I$38-1,0)),IF(AND($L$37=0,$P$34=0),"",$L$37-1),IF($R$17="Distrato",$E498,0))),0,YEARFRAC(MAX($P$34*($B498+IF($R$17="Distrato",$I$38-1,0)),IF(AND($L$37=0,$P$34=0),"",$L$37-1),IF($R$17="Distrato",$E498,0)),MIN(V$38,$D$19),$P$20))-SUM($P498:U498)</f>
        <v>#VALUE!</v>
      </c>
      <c r="W498" s="446" t="e">
        <f>IF(OR($B498="",MIN(W$38,$D$19)&lt;MAX($P$34*($B498+IF($R$17="Distrato",$I$38-1,0)),IF(AND($L$37=0,$P$34=0),"",$L$37-1),IF($R$17="Distrato",$E498,0))),0,YEARFRAC(MAX($P$34*($B498+IF($R$17="Distrato",$I$38-1,0)),IF(AND($L$37=0,$P$34=0),"",$L$37-1),IF($R$17="Distrato",$E498,0)),MIN(W$38,$D$19),$P$20))-SUM($P498:V498)</f>
        <v>#VALUE!</v>
      </c>
      <c r="X498" s="446" t="e">
        <f>IF(OR($B498="",MIN(X$38,$D$19)&lt;MAX($P$34*($B498+IF($R$17="Distrato",$I$38-1,0)),IF(AND($L$37=0,$P$34=0),"",$L$37-1),IF($R$17="Distrato",$E498,0))),0,YEARFRAC(MAX($P$34*($B498+IF($R$17="Distrato",$I$38-1,0)),IF(AND($L$37=0,$P$34=0),"",$L$37-1),IF($R$17="Distrato",$E498,0)),MIN(X$38,$D$19),$P$20))-SUM($P498:W498)</f>
        <v>#VALUE!</v>
      </c>
      <c r="Y498" s="446" t="e">
        <f>IF(OR($B498="",MIN(Y$38,$D$19)&lt;MAX($P$34*($B498+IF($R$17="Distrato",$I$38-1,0)),IF(AND($L$37=0,$P$34=0),"",$L$37-1),IF($R$17="Distrato",$E498,0))),0,YEARFRAC(MAX($P$34*($B498+IF($R$17="Distrato",$I$38-1,0)),IF(AND($L$37=0,$P$34=0),"",$L$37-1),IF($R$17="Distrato",$E498,0)),MIN(Y$38,$D$19),$P$20))-SUM($P498:X498)</f>
        <v>#VALUE!</v>
      </c>
      <c r="Z498" s="446" t="e">
        <f>IF(OR($B498="",MIN(Z$38,$D$19)&lt;MAX($P$34*($B498+IF($R$17="Distrato",$I$38-1,0)),IF(AND($L$37=0,$P$34=0),"",$L$37-1),IF($R$17="Distrato",$E498,0))),0,YEARFRAC(MAX($P$34*($B498+IF($R$17="Distrato",$I$38-1,0)),IF(AND($L$37=0,$P$34=0),"",$L$37-1),IF($R$17="Distrato",$E498,0)),MIN(Z$38,$D$19),$P$20))-SUM($P498:Y498)</f>
        <v>#VALUE!</v>
      </c>
      <c r="AA498" s="446" t="e">
        <f>IF(OR($B498="",MIN(AA$38,$D$19)&lt;MAX($P$34*($B498+IF($R$17="Distrato",$I$38-1,0)),IF(AND($L$37=0,$P$34=0),"",$L$37-1),IF($R$17="Distrato",$E498,0))),0,YEARFRAC(MAX($P$34*($B498+IF($R$17="Distrato",$I$38-1,0)),IF(AND($L$37=0,$P$34=0),"",$L$37-1),IF($R$17="Distrato",$E498,0)),MIN(AA$38,$D$19),$P$20))-SUM($P498:Z498)</f>
        <v>#VALUE!</v>
      </c>
      <c r="AB498" s="446" t="e">
        <f>IF(OR($B498="",MIN(AB$38,$D$19)&lt;MAX($P$34*($B498+IF($R$17="Distrato",$I$38-1,0)),IF(AND($L$37=0,$P$34=0),"",$L$37-1),IF($R$17="Distrato",$E498,0))),0,YEARFRAC(MAX($P$34*($B498+IF($R$17="Distrato",$I$38-1,0)),IF(AND($L$37=0,$P$34=0),"",$L$37-1),IF($R$17="Distrato",$E498,0)),MIN(AB$38,$D$19),$P$20))-SUM($P498:AA498)</f>
        <v>#VALUE!</v>
      </c>
      <c r="AC498" s="446" t="e">
        <f>IF(OR($B498="",MIN(AC$38,$D$19)&lt;MAX($P$34*($B498+IF($R$17="Distrato",$I$38-1,0)),IF(AND($L$37=0,$P$34=0),"",$L$37-1),IF($R$17="Distrato",$E498,0))),0,YEARFRAC(MAX($P$34*($B498+IF($R$17="Distrato",$I$38-1,0)),IF(AND($L$37=0,$P$34=0),"",$L$37-1),IF($R$17="Distrato",$E498,0)),MIN(AC$38,$D$19),$P$20))-SUM($P498:AB498)</f>
        <v>#VALUE!</v>
      </c>
      <c r="AD498" s="446" t="e">
        <f>IF(OR($B498="",MIN(AD$38,$D$19)&lt;MAX($P$34*($B498+IF($R$17="Distrato",$I$38-1,0)),IF(AND($L$37=0,$P$34=0),"",$L$37-1),IF($R$17="Distrato",$E498,0))),0,YEARFRAC(MAX($P$34*($B498+IF($R$17="Distrato",$I$38-1,0)),IF(AND($L$37=0,$P$34=0),"",$L$37-1),IF($R$17="Distrato",$E498,0)),MIN(AD$38,$D$19),$P$20))-SUM($P498:AC498)</f>
        <v>#VALUE!</v>
      </c>
      <c r="AE498" s="446" t="e">
        <f>IF(OR($B498="",MIN(AE$38,$D$19)&lt;MAX($P$34*($B498+IF($R$17="Distrato",$I$38-1,0)),IF(AND($L$37=0,$P$34=0),"",$L$37-1),IF($R$17="Distrato",$E498,0))),0,YEARFRAC(MAX($P$34*($B498+IF($R$17="Distrato",$I$38-1,0)),IF(AND($L$37=0,$P$34=0),"",$L$37-1),IF($R$17="Distrato",$E498,0)),MIN(AE$38,$D$19),$P$20))-SUM($P498:AD498)</f>
        <v>#VALUE!</v>
      </c>
      <c r="AF498" s="446" t="e">
        <f>IF(OR($B498="",MIN(AF$38,$D$19)&lt;MAX($P$34*($B498+IF($R$17="Distrato",$I$38-1,0)),IF(AND($L$37=0,$P$34=0),"",$L$37-1),IF($R$17="Distrato",$E498,0))),0,YEARFRAC(MAX($P$34*($B498+IF($R$17="Distrato",$I$38-1,0)),IF(AND($L$37=0,$P$34=0),"",$L$37-1),IF($R$17="Distrato",$E498,0)),MIN(AF$38,$D$19),$P$20))-SUM($P498:AE498)</f>
        <v>#VALUE!</v>
      </c>
      <c r="AG498" s="446" t="e">
        <f>IF(OR($B498="",MIN(AG$38,$D$19)&lt;MAX($P$34*($B498+IF($R$17="Distrato",$I$38-1,0)),IF(AND($L$37=0,$P$34=0),"",$L$37-1),IF($R$17="Distrato",$E498,0))),0,YEARFRAC(MAX($P$34*($B498+IF($R$17="Distrato",$I$38-1,0)),IF(AND($L$37=0,$P$34=0),"",$L$37-1),IF($R$17="Distrato",$E498,0)),MIN(AG$38,$D$19),$P$20))-SUM($P498:AF498)</f>
        <v>#VALUE!</v>
      </c>
      <c r="AH498" s="446" t="e">
        <f>IF(OR($B498="",MIN(AH$38,$D$19)&lt;MAX($P$34*($B498+IF($R$17="Distrato",$I$38-1,0)),IF(AND($L$37=0,$P$34=0),"",$L$37-1),IF($R$17="Distrato",$E498,0))),0,YEARFRAC(MAX($P$34*($B498+IF($R$17="Distrato",$I$38-1,0)),IF(AND($L$37=0,$P$34=0),"",$L$37-1),IF($R$17="Distrato",$E498,0)),MIN(AH$38,$D$19),$P$20))-SUM($P498:AG498)</f>
        <v>#VALUE!</v>
      </c>
      <c r="AI498" s="446" t="e">
        <f>IF(OR($B498="",MIN(AI$38,$D$19)&lt;MAX($P$34*($B498+IF($R$17="Distrato",$I$38-1,0)),IF(AND($L$37=0,$P$34=0),"",$L$37-1),IF($R$17="Distrato",$E498,0))),0,YEARFRAC(MAX($P$34*($B498+IF($R$17="Distrato",$I$38-1,0)),IF(AND($L$37=0,$P$34=0),"",$L$37-1),IF($R$17="Distrato",$E498,0)),MIN(AI$38,$D$19),$P$20))-SUM($P498:AH498)</f>
        <v>#VALUE!</v>
      </c>
      <c r="AJ498" s="446" t="e">
        <f>IF(OR($B498="",MIN(AJ$38,$D$19)&lt;MAX($P$34*($B498+IF($R$17="Distrato",$I$38-1,0)),IF(AND($L$37=0,$P$34=0),"",$L$37-1),IF($R$17="Distrato",$E498,0))),0,YEARFRAC(MAX($P$34*($B498+IF($R$17="Distrato",$I$38-1,0)),IF(AND($L$37=0,$P$34=0),"",$L$37-1),IF($R$17="Distrato",$E498,0)),MIN(AJ$38,$D$19),$P$20))-SUM($P498:AI498)</f>
        <v>#VALUE!</v>
      </c>
      <c r="AK498" s="446" t="e">
        <f>IF(OR($B498="",MIN(AK$38,$D$19)&lt;MAX($P$34*($B498+IF($R$17="Distrato",$I$38-1,0)),IF(AND($L$37=0,$P$34=0),"",$L$37-1),IF($R$17="Distrato",$E498,0))),0,YEARFRAC(MAX($P$34*($B498+IF($R$17="Distrato",$I$38-1,0)),IF(AND($L$37=0,$P$34=0),"",$L$37-1),IF($R$17="Distrato",$E498,0)),MIN(AK$38,$D$19),$P$20))-SUM($P498:AJ498)</f>
        <v>#VALUE!</v>
      </c>
      <c r="AL498" s="446" t="e">
        <f>IF(OR($B498="",MIN(AL$38,$D$19)&lt;MAX($P$34*($B498+IF($R$17="Distrato",$I$38-1,0)),IF(AND($L$37=0,$P$34=0),"",$L$37-1),IF($R$17="Distrato",$E498,0))),0,YEARFRAC(MAX($P$34*($B498+IF($R$17="Distrato",$I$38-1,0)),IF(AND($L$37=0,$P$34=0),"",$L$37-1),IF($R$17="Distrato",$E498,0)),MIN(AL$38,$D$19),$P$20))-SUM($P498:AK498)</f>
        <v>#VALUE!</v>
      </c>
      <c r="AM498" s="446" t="e">
        <f>IF(OR($B498="",MIN(AM$38,$D$19)&lt;MAX($P$34*($B498+IF($R$17="Distrato",$I$38-1,0)),IF(AND($L$37=0,$P$34=0),"",$L$37-1),IF($R$17="Distrato",$E498,0))),0,YEARFRAC(MAX($P$34*($B498+IF($R$17="Distrato",$I$38-1,0)),IF(AND($L$37=0,$P$34=0),"",$L$37-1),IF($R$17="Distrato",$E498,0)),MIN(AM$38,$D$19),$P$20))-SUM($P498:AL498)</f>
        <v>#VALUE!</v>
      </c>
      <c r="AN498" s="446" t="e">
        <f>IF(OR($B498="",MIN(AN$38,$D$19)&lt;MAX($P$34*($B498+IF($R$17="Distrato",$I$38-1,0)),IF(AND($L$37=0,$P$34=0),"",$L$37-1),IF($R$17="Distrato",$E498,0))),0,YEARFRAC(MAX($P$34*($B498+IF($R$17="Distrato",$I$38-1,0)),IF(AND($L$37=0,$P$34=0),"",$L$37-1),IF($R$17="Distrato",$E498,0)),MIN(AN$38,$D$19),$P$20))-SUM($P498:AM498)</f>
        <v>#VALUE!</v>
      </c>
      <c r="AO498" s="446" t="e">
        <f>IF(OR($B498="",MIN(AO$38,$D$19)&lt;MAX($P$34*($B498+IF($R$17="Distrato",$I$38-1,0)),IF(AND($L$37=0,$P$34=0),"",$L$37-1),IF($R$17="Distrato",$E498,0))),0,YEARFRAC(MAX($P$34*($B498+IF($R$17="Distrato",$I$38-1,0)),IF(AND($L$37=0,$P$34=0),"",$L$37-1),IF($R$17="Distrato",$E498,0)),MIN(AO$38,$D$19),$P$20))-SUM($P498:AN498)</f>
        <v>#VALUE!</v>
      </c>
      <c r="AP498" s="446" t="e">
        <f>IF(OR($B498="",MIN(AP$38,$D$19)&lt;MAX($P$34*($B498+IF($R$17="Distrato",$I$38-1,0)),IF(AND($L$37=0,$P$34=0),"",$L$37-1),IF($R$17="Distrato",$E498,0))),0,YEARFRAC(MAX($P$34*($B498+IF($R$17="Distrato",$I$38-1,0)),IF(AND($L$37=0,$P$34=0),"",$L$37-1),IF($R$17="Distrato",$E498,0)),MIN(AP$38,$D$19),$P$20))-SUM($P498:AO498)</f>
        <v>#VALUE!</v>
      </c>
      <c r="AQ498" s="446" t="e">
        <f>IF(OR($B498="",MIN(AQ$38,$D$19)&lt;MAX($P$34*($B498+IF($R$17="Distrato",$I$38-1,0)),IF(AND($L$37=0,$P$34=0),"",$L$37-1),IF($R$17="Distrato",$E498,0))),0,YEARFRAC(MAX($P$34*($B498+IF($R$17="Distrato",$I$38-1,0)),IF(AND($L$37=0,$P$34=0),"",$L$37-1),IF($R$17="Distrato",$E498,0)),MIN(AQ$38,$D$19),$P$20))-SUM($P498:AP498)</f>
        <v>#VALUE!</v>
      </c>
      <c r="AR498" s="446" t="e">
        <f>IF(OR($B498="",MIN(AR$38,$D$19)&lt;MAX($P$34*($B498+IF($R$17="Distrato",$I$38-1,0)),IF(AND($L$37=0,$P$34=0),"",$L$37-1),IF($R$17="Distrato",$E498,0))),0,YEARFRAC(MAX($P$34*($B498+IF($R$17="Distrato",$I$38-1,0)),IF(AND($L$37=0,$P$34=0),"",$L$37-1),IF($R$17="Distrato",$E498,0)),MIN(AR$38,$D$19),$P$20))-SUM($P498:AQ498)</f>
        <v>#VALUE!</v>
      </c>
      <c r="AS498" s="446" t="e">
        <f>IF(OR($B498="",MIN(AS$38,$D$19)&lt;MAX($P$34*($B498+IF($R$17="Distrato",$I$38-1,0)),IF(AND($L$37=0,$P$34=0),"",$L$37-1),IF($R$17="Distrato",$E498,0))),0,YEARFRAC(MAX($P$34*($B498+IF($R$17="Distrato",$I$38-1,0)),IF(AND($L$37=0,$P$34=0),"",$L$37-1),IF($R$17="Distrato",$E498,0)),MIN(AS$38,$D$19),$P$20))-SUM($P498:AR498)</f>
        <v>#VALUE!</v>
      </c>
      <c r="AT498" s="446" t="e">
        <f>IF(OR($B498="",MIN(AT$38,$D$19)&lt;MAX($P$34*($B498+IF($R$17="Distrato",$I$38-1,0)),IF(AND($L$37=0,$P$34=0),"",$L$37-1),IF($R$17="Distrato",$E498,0))),0,YEARFRAC(MAX($P$34*($B498+IF($R$17="Distrato",$I$38-1,0)),IF(AND($L$37=0,$P$34=0),"",$L$37-1),IF($R$17="Distrato",$E498,0)),MIN(AT$38,$D$19),$P$20))-SUM($P498:AS498)</f>
        <v>#VALUE!</v>
      </c>
      <c r="AU498" s="446" t="e">
        <f>IF(OR($B498="",MIN(AU$38,$D$19)&lt;MAX($P$34*($B498+IF($R$17="Distrato",$I$38-1,0)),IF(AND($L$37=0,$P$34=0),"",$L$37-1),IF($R$17="Distrato",$E498,0))),0,YEARFRAC(MAX($P$34*($B498+IF($R$17="Distrato",$I$38-1,0)),IF(AND($L$37=0,$P$34=0),"",$L$37-1),IF($R$17="Distrato",$E498,0)),MIN(AU$38,$D$19),$P$20))-SUM($P498:AT498)</f>
        <v>#VALUE!</v>
      </c>
      <c r="AV498" s="446" t="e">
        <f>IF(OR($B498="",MIN(AV$38,$D$19)&lt;MAX($P$34*($B498+IF($R$17="Distrato",$I$38-1,0)),IF(AND($L$37=0,$P$34=0),"",$L$37-1),IF($R$17="Distrato",$E498,0))),0,YEARFRAC(MAX($P$34*($B498+IF($R$17="Distrato",$I$38-1,0)),IF(AND($L$37=0,$P$34=0),"",$L$37-1),IF($R$17="Distrato",$E498,0)),MIN(AV$38,$D$19),$P$20))-SUM($P498:AU498)</f>
        <v>#VALUE!</v>
      </c>
      <c r="AW498" s="446" t="e">
        <f>IF(OR($B498="",MIN(AW$38,$D$19)&lt;MAX($P$34*($B498+IF($R$17="Distrato",$I$38-1,0)),IF(AND($L$37=0,$P$34=0),"",$L$37-1),IF($R$17="Distrato",$E498,0))),0,YEARFRAC(MAX($P$34*($B498+IF($R$17="Distrato",$I$38-1,0)),IF(AND($L$37=0,$P$34=0),"",$L$37-1),IF($R$17="Distrato",$E498,0)),MIN(AW$38,$D$19),$P$20))-SUM($P498:AV498)</f>
        <v>#VALUE!</v>
      </c>
      <c r="AX498" s="446" t="e">
        <f>IF(OR($B498="",MIN(AX$38,$D$19)&lt;MAX($P$34*($B498+IF($R$17="Distrato",$I$38-1,0)),IF(AND($L$37=0,$P$34=0),"",$L$37-1),IF($R$17="Distrato",$E498,0))),0,YEARFRAC(MAX($P$34*($B498+IF($R$17="Distrato",$I$38-1,0)),IF(AND($L$37=0,$P$34=0),"",$L$37-1),IF($R$17="Distrato",$E498,0)),MIN(AX$38,$D$19),$P$20))-SUM($P498:AW498)</f>
        <v>#VALUE!</v>
      </c>
      <c r="AY498" s="446" t="e">
        <f>IF(OR($B498="",MIN(AY$38,$D$19)&lt;MAX($P$34*($B498+IF($R$17="Distrato",$I$38-1,0)),IF(AND($L$37=0,$P$34=0),"",$L$37-1),IF($R$17="Distrato",$E498,0))),0,YEARFRAC(MAX($P$34*($B498+IF($R$17="Distrato",$I$38-1,0)),IF(AND($L$37=0,$P$34=0),"",$L$37-1),IF($R$17="Distrato",$E498,0)),MIN(AY$38,$D$19),$P$20))-SUM($P498:AX498)</f>
        <v>#VALUE!</v>
      </c>
      <c r="AZ498" s="446" t="e">
        <f>IF(OR($B498="",MIN(AZ$38,$D$19)&lt;MAX($P$34*($B498+IF($R$17="Distrato",$I$38-1,0)),IF(AND($L$37=0,$P$34=0),"",$L$37-1),IF($R$17="Distrato",$E498,0))),0,YEARFRAC(MAX($P$34*($B498+IF($R$17="Distrato",$I$38-1,0)),IF(AND($L$37=0,$P$34=0),"",$L$37-1),IF($R$17="Distrato",$E498,0)),MIN(AZ$38,$D$19),$P$20))-SUM($P498:AY498)</f>
        <v>#VALUE!</v>
      </c>
      <c r="BA498" s="446" t="e">
        <f>IF(OR($B498="",MIN(BA$38,$D$19)&lt;MAX($P$34*($B498+IF($R$17="Distrato",$I$38-1,0)),IF(AND($L$37=0,$P$34=0),"",$L$37-1),IF($R$17="Distrato",$E498,0))),0,YEARFRAC(MAX($P$34*($B498+IF($R$17="Distrato",$I$38-1,0)),IF(AND($L$37=0,$P$34=0),"",$L$37-1),IF($R$17="Distrato",$E498,0)),MIN(BA$38,$D$19),$P$20))-SUM($P498:AZ498)</f>
        <v>#VALUE!</v>
      </c>
      <c r="BB498" s="447"/>
      <c r="BF498" s="446">
        <f t="shared" si="87"/>
        <v>0</v>
      </c>
      <c r="BG498" s="446">
        <f>IF($E498=0,0,IF(MIN(BG$38,$E498)&lt;MAX($P$34*($B498+$I$38-1),IF(AND($L$37=0,$P$34=0),"",$L$37-1)),0,YEARFRAC(MAX($P$34*($B498+$I$38-1),IF(AND($L$37=0,$P$34=0),"",$L$37-1)),MIN(BG$38,$E498),$P$20))-SUM($BF498:BF498))</f>
        <v>0</v>
      </c>
      <c r="BH498" s="446">
        <f>IF($E498=0,0,IF(MIN(BH$38,$E498)&lt;MAX($P$34*($B498+$I$38-1),IF(AND($L$37=0,$P$34=0),"",$L$37-1)),0,YEARFRAC(MAX($P$34*($B498+$I$38-1),IF(AND($L$37=0,$P$34=0),"",$L$37-1)),MIN(BH$38,$E498),$P$20))-SUM($BF498:BG498))</f>
        <v>0</v>
      </c>
      <c r="BI498" s="446">
        <f>IF($E498=0,0,IF(MIN(BI$38,$E498)&lt;MAX($P$34*($B498+$I$38-1),IF(AND($L$37=0,$P$34=0),"",$L$37-1)),0,YEARFRAC(MAX($P$34*($B498+$I$38-1),IF(AND($L$37=0,$P$34=0),"",$L$37-1)),MIN(BI$38,$E498),$P$20))-SUM($BF498:BH498))</f>
        <v>0</v>
      </c>
      <c r="BJ498" s="446">
        <f>IF($E498=0,0,IF(MIN(BJ$38,$E498)&lt;MAX($P$34*($B498+$I$38-1),IF(AND($L$37=0,$P$34=0),"",$L$37-1)),0,YEARFRAC(MAX($P$34*($B498+$I$38-1),IF(AND($L$37=0,$P$34=0),"",$L$37-1)),MIN(BJ$38,$E498),$P$20))-SUM($BF498:BI498))</f>
        <v>0</v>
      </c>
      <c r="BK498" s="446">
        <f>IF($E498=0,0,IF(MIN(BK$38,$E498)&lt;MAX($P$34*($B498+$I$38-1),IF(AND($L$37=0,$P$34=0),"",$L$37-1)),0,YEARFRAC(MAX($P$34*($B498+$I$38-1),IF(AND($L$37=0,$P$34=0),"",$L$37-1)),MIN(BK$38,$E498),$P$20))-SUM($BF498:BJ498))</f>
        <v>0</v>
      </c>
      <c r="BL498" s="446">
        <f>IF($E498=0,0,IF(MIN(BL$38,$E498)&lt;MAX($P$34*($B498+$I$38-1),IF(AND($L$37=0,$P$34=0),"",$L$37-1)),0,YEARFRAC(MAX($P$34*($B498+$I$38-1),IF(AND($L$37=0,$P$34=0),"",$L$37-1)),MIN(BL$38,$E498),$P$20))-SUM($BF498:BK498))</f>
        <v>0</v>
      </c>
      <c r="BM498" s="446">
        <f>IF($E498=0,0,IF(MIN(BM$38,$E498)&lt;MAX($P$34*($B498+$I$38-1),IF(AND($L$37=0,$P$34=0),"",$L$37-1)),0,YEARFRAC(MAX($P$34*($B498+$I$38-1),IF(AND($L$37=0,$P$34=0),"",$L$37-1)),MIN(BM$38,$E498),$P$20))-SUM($BF498:BL498))</f>
        <v>0</v>
      </c>
      <c r="BN498" s="446">
        <f>IF($E498=0,0,IF(MIN(BN$38,$E498)&lt;MAX($P$34*($B498+$I$38-1),IF(AND($L$37=0,$P$34=0),"",$L$37-1)),0,YEARFRAC(MAX($P$34*($B498+$I$38-1),IF(AND($L$37=0,$P$34=0),"",$L$37-1)),MIN(BN$38,$E498),$P$20))-SUM($BF498:BM498))</f>
        <v>0</v>
      </c>
      <c r="BO498" s="446">
        <f>IF($E498=0,0,IF(MIN(BO$38,$E498)&lt;MAX($P$34*($B498+$I$38-1),IF(AND($L$37=0,$P$34=0),"",$L$37-1)),0,YEARFRAC(MAX($P$34*($B498+$I$38-1),IF(AND($L$37=0,$P$34=0),"",$L$37-1)),MIN(BO$38,$E498),$P$20))-SUM($BF498:BN498))</f>
        <v>0</v>
      </c>
      <c r="BP498" s="446">
        <f>IF($E498=0,0,IF(MIN(BP$38,$E498)&lt;MAX($P$34*($B498+$I$38-1),IF(AND($L$37=0,$P$34=0),"",$L$37-1)),0,YEARFRAC(MAX($P$34*($B498+$I$38-1),IF(AND($L$37=0,$P$34=0),"",$L$37-1)),MIN(BP$38,$E498),$P$20))-SUM($BF498:BO498))</f>
        <v>0</v>
      </c>
      <c r="BQ498" s="446">
        <f>IF($E498=0,0,IF(MIN(BQ$38,$E498)&lt;MAX($P$34*($B498+$I$38-1),IF(AND($L$37=0,$P$34=0),"",$L$37-1)),0,YEARFRAC(MAX($P$34*($B498+$I$38-1),IF(AND($L$37=0,$P$34=0),"",$L$37-1)),MIN(BQ$38,$E498),$P$20))-SUM($BF498:BP498))</f>
        <v>0</v>
      </c>
      <c r="BR498" s="446">
        <f>IF($E498=0,0,IF(MIN(BR$38,$E498)&lt;MAX($P$34*($B498+$I$38-1),IF(AND($L$37=0,$P$34=0),"",$L$37-1)),0,YEARFRAC(MAX($P$34*($B498+$I$38-1),IF(AND($L$37=0,$P$34=0),"",$L$37-1)),MIN(BR$38,$E498),$P$20))-SUM($BF498:BQ498))</f>
        <v>0</v>
      </c>
      <c r="BS498" s="446">
        <f>IF($E498=0,0,IF(MIN(BS$38,$E498)&lt;MAX($P$34*($B498+$I$38-1),IF(AND($L$37=0,$P$34=0),"",$L$37-1)),0,YEARFRAC(MAX($P$34*($B498+$I$38-1),IF(AND($L$37=0,$P$34=0),"",$L$37-1)),MIN(BS$38,$E498),$P$20))-SUM($BF498:BR498))</f>
        <v>0</v>
      </c>
      <c r="BT498" s="446">
        <f>IF($E498=0,0,IF(MIN(BT$38,$E498)&lt;MAX($P$34*($B498+$I$38-1),IF(AND($L$37=0,$P$34=0),"",$L$37-1)),0,YEARFRAC(MAX($P$34*($B498+$I$38-1),IF(AND($L$37=0,$P$34=0),"",$L$37-1)),MIN(BT$38,$E498),$P$20))-SUM($BF498:BS498))</f>
        <v>0</v>
      </c>
      <c r="BU498" s="446">
        <f>IF($E498=0,0,IF(MIN(BU$38,$E498)&lt;MAX($P$34*($B498+$I$38-1),IF(AND($L$37=0,$P$34=0),"",$L$37-1)),0,YEARFRAC(MAX($P$34*($B498+$I$38-1),IF(AND($L$37=0,$P$34=0),"",$L$37-1)),MIN(BU$38,$E498),$P$20))-SUM($BF498:BT498))</f>
        <v>0</v>
      </c>
      <c r="BV498" s="446">
        <f>IF($E498=0,0,IF(MIN(BV$38,$E498)&lt;MAX($P$34*($B498+$I$38-1),IF(AND($L$37=0,$P$34=0),"",$L$37-1)),0,YEARFRAC(MAX($P$34*($B498+$I$38-1),IF(AND($L$37=0,$P$34=0),"",$L$37-1)),MIN(BV$38,$E498),$P$20))-SUM($BF498:BU498))</f>
        <v>0</v>
      </c>
      <c r="BW498" s="446">
        <f>IF($E498=0,0,IF(MIN(BW$38,$E498)&lt;MAX($P$34*($B498+$I$38-1),IF(AND($L$37=0,$P$34=0),"",$L$37-1)),0,YEARFRAC(MAX($P$34*($B498+$I$38-1),IF(AND($L$37=0,$P$34=0),"",$L$37-1)),MIN(BW$38,$E498),$P$20))-SUM($BF498:BV498))</f>
        <v>0</v>
      </c>
      <c r="BX498" s="446">
        <f>IF($E498=0,0,IF(MIN(BX$38,$E498)&lt;MAX($P$34*($B498+$I$38-1),IF(AND($L$37=0,$P$34=0),"",$L$37-1)),0,YEARFRAC(MAX($P$34*($B498+$I$38-1),IF(AND($L$37=0,$P$34=0),"",$L$37-1)),MIN(BX$38,$E498),$P$20))-SUM($BF498:BW498))</f>
        <v>0</v>
      </c>
      <c r="BY498" s="446">
        <f>IF($E498=0,0,IF(MIN(BY$38,$E498)&lt;MAX($P$34*($B498+$I$38-1),IF(AND($L$37=0,$P$34=0),"",$L$37-1)),0,YEARFRAC(MAX($P$34*($B498+$I$38-1),IF(AND($L$37=0,$P$34=0),"",$L$37-1)),MIN(BY$38,$E498),$P$20))-SUM($BF498:BX498))</f>
        <v>0</v>
      </c>
      <c r="BZ498" s="446">
        <f>IF($E498=0,0,IF(MIN(BZ$38,$E498)&lt;MAX($P$34*($B498+$I$38-1),IF(AND($L$37=0,$P$34=0),"",$L$37-1)),0,YEARFRAC(MAX($P$34*($B498+$I$38-1),IF(AND($L$37=0,$P$34=0),"",$L$37-1)),MIN(BZ$38,$E498),$P$20))-SUM($BF498:BY498))</f>
        <v>0</v>
      </c>
      <c r="CA498" s="446">
        <f>IF($E498=0,0,IF(MIN(CA$38,$E498)&lt;MAX($P$34*($B498+$I$38-1),IF(AND($L$37=0,$P$34=0),"",$L$37-1)),0,YEARFRAC(MAX($P$34*($B498+$I$38-1),IF(AND($L$37=0,$P$34=0),"",$L$37-1)),MIN(CA$38,$E498),$P$20))-SUM($BF498:BZ498))</f>
        <v>0</v>
      </c>
      <c r="CB498" s="446">
        <f>IF($E498=0,0,IF(MIN(CB$38,$E498)&lt;MAX($P$34*($B498+$I$38-1),IF(AND($L$37=0,$P$34=0),"",$L$37-1)),0,YEARFRAC(MAX($P$34*($B498+$I$38-1),IF(AND($L$37=0,$P$34=0),"",$L$37-1)),MIN(CB$38,$E498),$P$20))-SUM($BF498:CA498))</f>
        <v>0</v>
      </c>
      <c r="CC498" s="446">
        <f>IF($E498=0,0,IF(MIN(CC$38,$E498)&lt;MAX($P$34*($B498+$I$38-1),IF(AND($L$37=0,$P$34=0),"",$L$37-1)),0,YEARFRAC(MAX($P$34*($B498+$I$38-1),IF(AND($L$37=0,$P$34=0),"",$L$37-1)),MIN(CC$38,$E498),$P$20))-SUM($BF498:CB498))</f>
        <v>0</v>
      </c>
      <c r="CD498" s="446">
        <f>IF($E498=0,0,IF(MIN(CD$38,$E498)&lt;MAX($P$34*($B498+$I$38-1),IF(AND($L$37=0,$P$34=0),"",$L$37-1)),0,YEARFRAC(MAX($P$34*($B498+$I$38-1),IF(AND($L$37=0,$P$34=0),"",$L$37-1)),MIN(CD$38,$E498),$P$20))-SUM($BF498:CC498))</f>
        <v>0</v>
      </c>
      <c r="CE498" s="446">
        <f>IF($E498=0,0,IF(MIN(CE$38,$E498)&lt;MAX($P$34*($B498+$I$38-1),IF(AND($L$37=0,$P$34=0),"",$L$37-1)),0,YEARFRAC(MAX($P$34*($B498+$I$38-1),IF(AND($L$37=0,$P$34=0),"",$L$37-1)),MIN(CE$38,$E498),$P$20))-SUM($BF498:CD498))</f>
        <v>0</v>
      </c>
      <c r="CF498" s="446">
        <f>IF($E498=0,0,IF(MIN(CF$38,$E498)&lt;MAX($P$34*($B498+$I$38-1),IF(AND($L$37=0,$P$34=0),"",$L$37-1)),0,YEARFRAC(MAX($P$34*($B498+$I$38-1),IF(AND($L$37=0,$P$34=0),"",$L$37-1)),MIN(CF$38,$E498),$P$20))-SUM($BF498:CE498))</f>
        <v>0</v>
      </c>
      <c r="CG498" s="446">
        <f>IF($E498=0,0,IF(MIN(CG$38,$E498)&lt;MAX($P$34*($B498+$I$38-1),IF(AND($L$37=0,$P$34=0),"",$L$37-1)),0,YEARFRAC(MAX($P$34*($B498+$I$38-1),IF(AND($L$37=0,$P$34=0),"",$L$37-1)),MIN(CG$38,$E498),$P$20))-SUM($BF498:CF498))</f>
        <v>0</v>
      </c>
      <c r="CH498" s="446">
        <f>IF($E498=0,0,IF(MIN(CH$38,$E498)&lt;MAX($P$34*($B498+$I$38-1),IF(AND($L$37=0,$P$34=0),"",$L$37-1)),0,YEARFRAC(MAX($P$34*($B498+$I$38-1),IF(AND($L$37=0,$P$34=0),"",$L$37-1)),MIN(CH$38,$E498),$P$20))-SUM($BF498:CG498))</f>
        <v>0</v>
      </c>
      <c r="CI498" s="446">
        <f>IF($E498=0,0,IF(MIN(CI$38,$E498)&lt;MAX($P$34*($B498+$I$38-1),IF(AND($L$37=0,$P$34=0),"",$L$37-1)),0,YEARFRAC(MAX($P$34*($B498+$I$38-1),IF(AND($L$37=0,$P$34=0),"",$L$37-1)),MIN(CI$38,$E498),$P$20))-SUM($BF498:CH498))</f>
        <v>0</v>
      </c>
      <c r="CJ498" s="446">
        <f>IF($E498=0,0,IF(MIN(CJ$38,$E498)&lt;MAX($P$34*($B498+$I$38-1),IF(AND($L$37=0,$P$34=0),"",$L$37-1)),0,YEARFRAC(MAX($P$34*($B498+$I$38-1),IF(AND($L$37=0,$P$34=0),"",$L$37-1)),MIN(CJ$38,$E498),$P$20))-SUM($BF498:CI498))</f>
        <v>0</v>
      </c>
      <c r="CK498" s="446">
        <f>IF($E498=0,0,IF(MIN(CK$38,$E498)&lt;MAX($P$34*($B498+$I$38-1),IF(AND($L$37=0,$P$34=0),"",$L$37-1)),0,YEARFRAC(MAX($P$34*($B498+$I$38-1),IF(AND($L$37=0,$P$34=0),"",$L$37-1)),MIN(CK$38,$E498),$P$20))-SUM($BF498:CJ498))</f>
        <v>0</v>
      </c>
      <c r="CL498" s="446">
        <f>IF($E498=0,0,IF(MIN(CL$38,$E498)&lt;MAX($P$34*($B498+$I$38-1),IF(AND($L$37=0,$P$34=0),"",$L$37-1)),0,YEARFRAC(MAX($P$34*($B498+$I$38-1),IF(AND($L$37=0,$P$34=0),"",$L$37-1)),MIN(CL$38,$E498),$P$20))-SUM($BF498:CK498))</f>
        <v>0</v>
      </c>
      <c r="CM498" s="446">
        <f>IF($E498=0,0,IF(MIN(CM$38,$E498)&lt;MAX($P$34*($B498+$I$38-1),IF(AND($L$37=0,$P$34=0),"",$L$37-1)),0,YEARFRAC(MAX($P$34*($B498+$I$38-1),IF(AND($L$37=0,$P$34=0),"",$L$37-1)),MIN(CM$38,$E498),$P$20))-SUM($BF498:CL498))</f>
        <v>0</v>
      </c>
      <c r="CN498" s="446">
        <f>IF($E498=0,0,IF(MIN(CN$38,$E498)&lt;MAX($P$34*($B498+$I$38-1),IF(AND($L$37=0,$P$34=0),"",$L$37-1)),0,YEARFRAC(MAX($P$34*($B498+$I$38-1),IF(AND($L$37=0,$P$34=0),"",$L$37-1)),MIN(CN$38,$E498),$P$20))-SUM($BF498:CM498))</f>
        <v>0</v>
      </c>
      <c r="CO498" s="446">
        <f>IF($E498=0,0,IF(MIN(CO$38,$E498)&lt;MAX($P$34*($B498+$I$38-1),IF(AND($L$37=0,$P$34=0),"",$L$37-1)),0,YEARFRAC(MAX($P$34*($B498+$I$38-1),IF(AND($L$37=0,$P$34=0),"",$L$37-1)),MIN(CO$38,$E498),$P$20))-SUM($BF498:CN498))</f>
        <v>0</v>
      </c>
      <c r="CP498" s="446">
        <f>IF($E498=0,0,IF(MIN(CP$38,$E498)&lt;MAX($P$34*($B498+$I$38-1),IF(AND($L$37=0,$P$34=0),"",$L$37-1)),0,YEARFRAC(MAX($P$34*($B498+$I$38-1),IF(AND($L$37=0,$P$34=0),"",$L$37-1)),MIN(CP$38,$E498),$P$20))-SUM($BF498:CO498))</f>
        <v>0</v>
      </c>
      <c r="CQ498" s="446">
        <f>IF($E498=0,0,IF(MIN(CQ$38,$E498)&lt;MAX($P$34*($B498+$I$38-1),IF(AND($L$37=0,$P$34=0),"",$L$37-1)),0,YEARFRAC(MAX($P$34*($B498+$I$38-1),IF(AND($L$37=0,$P$34=0),"",$L$37-1)),MIN(CQ$38,$E498),$P$20))-SUM($BF498:CP498))</f>
        <v>0</v>
      </c>
    </row>
    <row r="499" spans="1:95" s="446" customFormat="1" ht="11.25" hidden="1" customHeight="1" x14ac:dyDescent="0.2">
      <c r="A499" s="152"/>
      <c r="B499" s="153" t="str">
        <f t="shared" si="92"/>
        <v/>
      </c>
      <c r="C499" s="29" t="str">
        <f>IF(B499="","",IF($L$35="SELIC - TRIBUTOS",VLOOKUP(DATE(YEAR($D$19),MONTH($D$19)-1,1),ÍNDICES!$A:$DE,HLOOKUP($BL$25,ÍNDICES!$B$3:$T$4,2)+11)-VLOOKUP(B499,ÍNDICES!$A:$DE,HLOOKUP($BL$25,ÍNDICES!$B$3:$T$4,2)+11)+1%,IF(C$38=$W$26,$J$35,IF(ISERROR(IF(B499&gt;$D$19,1,VLOOKUP(DATE(YEAR(B499),MONTH(B499)+IF($C$35=$S$23,1,0),1),ÍNDICES!$A:$DE,$Z$35+1))),"",IF(B499&gt;$D$19,1,VLOOKUP(DATE(YEAR(B499),MONTH(B499)+IF($C$35=$S$23,1,0),1),ÍNDICES!$A:$DE,$Z$35+1))))))</f>
        <v/>
      </c>
      <c r="D499" s="154" t="str">
        <f>IF(ISERROR(IF(OR($D$38=$Y$27,$B499=""),"",VLOOKUP(B499,ÍNDICES!A:DE,AF$35+1))),"",IF(OR($D$38=$Y$27,$B499=""),"",VLOOKUP(B499,ÍNDICES!A:DE,AF$35+1)))</f>
        <v/>
      </c>
      <c r="E499" s="153"/>
      <c r="F499" s="29" t="str">
        <f>IF(E499="","",IF($L$35="SELIC - TRIBUTOS",VLOOKUP(DATE(YEAR($D$19),MONTH($D$19)-1,1),ÍNDICES!$A:$DE,HLOOKUP($BL$25,ÍNDICES!$B$3:$T$4,2)+11)-VLOOKUP(E499,ÍNDICES!$A:$DE,HLOOKUP($BL$25,ÍNDICES!$B$3:$T$4,2)+11)+1%,IF(F$38=$W$26,$J$35,IF(ISERROR(IF(E499&gt;$D$19,1,VLOOKUP(DATE(YEAR(E499),MONTH(E499)+IF($C$35=$S$23,1,0),1),ÍNDICES!$A:$DE,$Z$35+1))),"",IF(E499&gt;$D$19,1,VLOOKUP(DATE(YEAR(E499),MONTH(E499)+IF($C$35=$S$23,1,0),1),ÍNDICES!$A:$DE,$Z$35+1))))))</f>
        <v/>
      </c>
      <c r="G499" s="155"/>
      <c r="H499" s="156" t="str">
        <f t="shared" si="88"/>
        <v/>
      </c>
      <c r="I499" s="29" t="str">
        <f t="shared" si="82"/>
        <v/>
      </c>
      <c r="J499" s="5">
        <f t="shared" si="83"/>
        <v>0</v>
      </c>
      <c r="K499" s="20">
        <f t="shared" ca="1" si="84"/>
        <v>0</v>
      </c>
      <c r="L499" s="5">
        <f t="shared" ca="1" si="85"/>
        <v>0</v>
      </c>
      <c r="M499" s="64">
        <f t="shared" si="89"/>
        <v>0</v>
      </c>
      <c r="N499" s="61">
        <f t="shared" ca="1" si="90"/>
        <v>0</v>
      </c>
      <c r="O499" s="5">
        <f t="shared" ca="1" si="91"/>
        <v>0</v>
      </c>
      <c r="P499" s="446" t="e">
        <f t="shared" si="86"/>
        <v>#VALUE!</v>
      </c>
      <c r="Q499" s="446" t="e">
        <f>IF(OR($B499="",MIN(Q$38,$D$19)&lt;MAX($P$34*($B499+IF($R$17="Distrato",$I$38-1,0)),IF(AND($L$37=0,$P$34=0),"",$L$37-1),IF($R$17="Distrato",$E499,0))),0,YEARFRAC(MAX($P$34*($B499+IF($R$17="Distrato",$I$38-1,0)),IF(AND($L$37=0,$P$34=0),"",$L$37-1),IF($R$17="Distrato",$E499,0)),MIN(Q$38,$D$19),$P$20))-SUM($P499:P499)</f>
        <v>#VALUE!</v>
      </c>
      <c r="R499" s="446" t="e">
        <f>IF(OR($B499="",MIN(R$38,$D$19)&lt;MAX($P$34*($B499+IF($R$17="Distrato",$I$38-1,0)),IF(AND($L$37=0,$P$34=0),"",$L$37-1),IF($R$17="Distrato",$E499,0))),0,YEARFRAC(MAX($P$34*($B499+IF($R$17="Distrato",$I$38-1,0)),IF(AND($L$37=0,$P$34=0),"",$L$37-1),IF($R$17="Distrato",$E499,0)),MIN(R$38,$D$19),$P$20))-SUM($P499:Q499)</f>
        <v>#VALUE!</v>
      </c>
      <c r="S499" s="446" t="e">
        <f>IF(OR($B499="",MIN(S$38,$D$19)&lt;MAX($P$34*($B499+IF($R$17="Distrato",$I$38-1,0)),IF(AND($L$37=0,$P$34=0),"",$L$37-1),IF($R$17="Distrato",$E499,0))),0,YEARFRAC(MAX($P$34*($B499+IF($R$17="Distrato",$I$38-1,0)),IF(AND($L$37=0,$P$34=0),"",$L$37-1),IF($R$17="Distrato",$E499,0)),MIN(S$38,$D$19),$P$20))-SUM($P499:R499)</f>
        <v>#VALUE!</v>
      </c>
      <c r="T499" s="446" t="e">
        <f>IF(OR($B499="",MIN(T$38,$D$19)&lt;MAX($P$34*($B499+IF($R$17="Distrato",$I$38-1,0)),IF(AND($L$37=0,$P$34=0),"",$L$37-1),IF($R$17="Distrato",$E499,0))),0,YEARFRAC(MAX($P$34*($B499+IF($R$17="Distrato",$I$38-1,0)),IF(AND($L$37=0,$P$34=0),"",$L$37-1),IF($R$17="Distrato",$E499,0)),MIN(T$38,$D$19),$P$20))-SUM($P499:S499)</f>
        <v>#VALUE!</v>
      </c>
      <c r="U499" s="446" t="e">
        <f>IF(OR($B499="",MIN(U$38,$D$19)&lt;MAX($P$34*($B499+IF($R$17="Distrato",$I$38-1,0)),IF(AND($L$37=0,$P$34=0),"",$L$37-1),IF($R$17="Distrato",$E499,0))),0,YEARFRAC(MAX($P$34*($B499+IF($R$17="Distrato",$I$38-1,0)),IF(AND($L$37=0,$P$34=0),"",$L$37-1),IF($R$17="Distrato",$E499,0)),MIN(U$38,$D$19),$P$20))-SUM($P499:T499)</f>
        <v>#VALUE!</v>
      </c>
      <c r="V499" s="446" t="e">
        <f>IF(OR($B499="",MIN(V$38,$D$19)&lt;MAX($P$34*($B499+IF($R$17="Distrato",$I$38-1,0)),IF(AND($L$37=0,$P$34=0),"",$L$37-1),IF($R$17="Distrato",$E499,0))),0,YEARFRAC(MAX($P$34*($B499+IF($R$17="Distrato",$I$38-1,0)),IF(AND($L$37=0,$P$34=0),"",$L$37-1),IF($R$17="Distrato",$E499,0)),MIN(V$38,$D$19),$P$20))-SUM($P499:U499)</f>
        <v>#VALUE!</v>
      </c>
      <c r="W499" s="446" t="e">
        <f>IF(OR($B499="",MIN(W$38,$D$19)&lt;MAX($P$34*($B499+IF($R$17="Distrato",$I$38-1,0)),IF(AND($L$37=0,$P$34=0),"",$L$37-1),IF($R$17="Distrato",$E499,0))),0,YEARFRAC(MAX($P$34*($B499+IF($R$17="Distrato",$I$38-1,0)),IF(AND($L$37=0,$P$34=0),"",$L$37-1),IF($R$17="Distrato",$E499,0)),MIN(W$38,$D$19),$P$20))-SUM($P499:V499)</f>
        <v>#VALUE!</v>
      </c>
      <c r="X499" s="446" t="e">
        <f>IF(OR($B499="",MIN(X$38,$D$19)&lt;MAX($P$34*($B499+IF($R$17="Distrato",$I$38-1,0)),IF(AND($L$37=0,$P$34=0),"",$L$37-1),IF($R$17="Distrato",$E499,0))),0,YEARFRAC(MAX($P$34*($B499+IF($R$17="Distrato",$I$38-1,0)),IF(AND($L$37=0,$P$34=0),"",$L$37-1),IF($R$17="Distrato",$E499,0)),MIN(X$38,$D$19),$P$20))-SUM($P499:W499)</f>
        <v>#VALUE!</v>
      </c>
      <c r="Y499" s="446" t="e">
        <f>IF(OR($B499="",MIN(Y$38,$D$19)&lt;MAX($P$34*($B499+IF($R$17="Distrato",$I$38-1,0)),IF(AND($L$37=0,$P$34=0),"",$L$37-1),IF($R$17="Distrato",$E499,0))),0,YEARFRAC(MAX($P$34*($B499+IF($R$17="Distrato",$I$38-1,0)),IF(AND($L$37=0,$P$34=0),"",$L$37-1),IF($R$17="Distrato",$E499,0)),MIN(Y$38,$D$19),$P$20))-SUM($P499:X499)</f>
        <v>#VALUE!</v>
      </c>
      <c r="Z499" s="446" t="e">
        <f>IF(OR($B499="",MIN(Z$38,$D$19)&lt;MAX($P$34*($B499+IF($R$17="Distrato",$I$38-1,0)),IF(AND($L$37=0,$P$34=0),"",$L$37-1),IF($R$17="Distrato",$E499,0))),0,YEARFRAC(MAX($P$34*($B499+IF($R$17="Distrato",$I$38-1,0)),IF(AND($L$37=0,$P$34=0),"",$L$37-1),IF($R$17="Distrato",$E499,0)),MIN(Z$38,$D$19),$P$20))-SUM($P499:Y499)</f>
        <v>#VALUE!</v>
      </c>
      <c r="AA499" s="446" t="e">
        <f>IF(OR($B499="",MIN(AA$38,$D$19)&lt;MAX($P$34*($B499+IF($R$17="Distrato",$I$38-1,0)),IF(AND($L$37=0,$P$34=0),"",$L$37-1),IF($R$17="Distrato",$E499,0))),0,YEARFRAC(MAX($P$34*($B499+IF($R$17="Distrato",$I$38-1,0)),IF(AND($L$37=0,$P$34=0),"",$L$37-1),IF($R$17="Distrato",$E499,0)),MIN(AA$38,$D$19),$P$20))-SUM($P499:Z499)</f>
        <v>#VALUE!</v>
      </c>
      <c r="AB499" s="446" t="e">
        <f>IF(OR($B499="",MIN(AB$38,$D$19)&lt;MAX($P$34*($B499+IF($R$17="Distrato",$I$38-1,0)),IF(AND($L$37=0,$P$34=0),"",$L$37-1),IF($R$17="Distrato",$E499,0))),0,YEARFRAC(MAX($P$34*($B499+IF($R$17="Distrato",$I$38-1,0)),IF(AND($L$37=0,$P$34=0),"",$L$37-1),IF($R$17="Distrato",$E499,0)),MIN(AB$38,$D$19),$P$20))-SUM($P499:AA499)</f>
        <v>#VALUE!</v>
      </c>
      <c r="AC499" s="446" t="e">
        <f>IF(OR($B499="",MIN(AC$38,$D$19)&lt;MAX($P$34*($B499+IF($R$17="Distrato",$I$38-1,0)),IF(AND($L$37=0,$P$34=0),"",$L$37-1),IF($R$17="Distrato",$E499,0))),0,YEARFRAC(MAX($P$34*($B499+IF($R$17="Distrato",$I$38-1,0)),IF(AND($L$37=0,$P$34=0),"",$L$37-1),IF($R$17="Distrato",$E499,0)),MIN(AC$38,$D$19),$P$20))-SUM($P499:AB499)</f>
        <v>#VALUE!</v>
      </c>
      <c r="AD499" s="446" t="e">
        <f>IF(OR($B499="",MIN(AD$38,$D$19)&lt;MAX($P$34*($B499+IF($R$17="Distrato",$I$38-1,0)),IF(AND($L$37=0,$P$34=0),"",$L$37-1),IF($R$17="Distrato",$E499,0))),0,YEARFRAC(MAX($P$34*($B499+IF($R$17="Distrato",$I$38-1,0)),IF(AND($L$37=0,$P$34=0),"",$L$37-1),IF($R$17="Distrato",$E499,0)),MIN(AD$38,$D$19),$P$20))-SUM($P499:AC499)</f>
        <v>#VALUE!</v>
      </c>
      <c r="AE499" s="446" t="e">
        <f>IF(OR($B499="",MIN(AE$38,$D$19)&lt;MAX($P$34*($B499+IF($R$17="Distrato",$I$38-1,0)),IF(AND($L$37=0,$P$34=0),"",$L$37-1),IF($R$17="Distrato",$E499,0))),0,YEARFRAC(MAX($P$34*($B499+IF($R$17="Distrato",$I$38-1,0)),IF(AND($L$37=0,$P$34=0),"",$L$37-1),IF($R$17="Distrato",$E499,0)),MIN(AE$38,$D$19),$P$20))-SUM($P499:AD499)</f>
        <v>#VALUE!</v>
      </c>
      <c r="AF499" s="446" t="e">
        <f>IF(OR($B499="",MIN(AF$38,$D$19)&lt;MAX($P$34*($B499+IF($R$17="Distrato",$I$38-1,0)),IF(AND($L$37=0,$P$34=0),"",$L$37-1),IF($R$17="Distrato",$E499,0))),0,YEARFRAC(MAX($P$34*($B499+IF($R$17="Distrato",$I$38-1,0)),IF(AND($L$37=0,$P$34=0),"",$L$37-1),IF($R$17="Distrato",$E499,0)),MIN(AF$38,$D$19),$P$20))-SUM($P499:AE499)</f>
        <v>#VALUE!</v>
      </c>
      <c r="AG499" s="446" t="e">
        <f>IF(OR($B499="",MIN(AG$38,$D$19)&lt;MAX($P$34*($B499+IF($R$17="Distrato",$I$38-1,0)),IF(AND($L$37=0,$P$34=0),"",$L$37-1),IF($R$17="Distrato",$E499,0))),0,YEARFRAC(MAX($P$34*($B499+IF($R$17="Distrato",$I$38-1,0)),IF(AND($L$37=0,$P$34=0),"",$L$37-1),IF($R$17="Distrato",$E499,0)),MIN(AG$38,$D$19),$P$20))-SUM($P499:AF499)</f>
        <v>#VALUE!</v>
      </c>
      <c r="AH499" s="446" t="e">
        <f>IF(OR($B499="",MIN(AH$38,$D$19)&lt;MAX($P$34*($B499+IF($R$17="Distrato",$I$38-1,0)),IF(AND($L$37=0,$P$34=0),"",$L$37-1),IF($R$17="Distrato",$E499,0))),0,YEARFRAC(MAX($P$34*($B499+IF($R$17="Distrato",$I$38-1,0)),IF(AND($L$37=0,$P$34=0),"",$L$37-1),IF($R$17="Distrato",$E499,0)),MIN(AH$38,$D$19),$P$20))-SUM($P499:AG499)</f>
        <v>#VALUE!</v>
      </c>
      <c r="AI499" s="446" t="e">
        <f>IF(OR($B499="",MIN(AI$38,$D$19)&lt;MAX($P$34*($B499+IF($R$17="Distrato",$I$38-1,0)),IF(AND($L$37=0,$P$34=0),"",$L$37-1),IF($R$17="Distrato",$E499,0))),0,YEARFRAC(MAX($P$34*($B499+IF($R$17="Distrato",$I$38-1,0)),IF(AND($L$37=0,$P$34=0),"",$L$37-1),IF($R$17="Distrato",$E499,0)),MIN(AI$38,$D$19),$P$20))-SUM($P499:AH499)</f>
        <v>#VALUE!</v>
      </c>
      <c r="AJ499" s="446" t="e">
        <f>IF(OR($B499="",MIN(AJ$38,$D$19)&lt;MAX($P$34*($B499+IF($R$17="Distrato",$I$38-1,0)),IF(AND($L$37=0,$P$34=0),"",$L$37-1),IF($R$17="Distrato",$E499,0))),0,YEARFRAC(MAX($P$34*($B499+IF($R$17="Distrato",$I$38-1,0)),IF(AND($L$37=0,$P$34=0),"",$L$37-1),IF($R$17="Distrato",$E499,0)),MIN(AJ$38,$D$19),$P$20))-SUM($P499:AI499)</f>
        <v>#VALUE!</v>
      </c>
      <c r="AK499" s="446" t="e">
        <f>IF(OR($B499="",MIN(AK$38,$D$19)&lt;MAX($P$34*($B499+IF($R$17="Distrato",$I$38-1,0)),IF(AND($L$37=0,$P$34=0),"",$L$37-1),IF($R$17="Distrato",$E499,0))),0,YEARFRAC(MAX($P$34*($B499+IF($R$17="Distrato",$I$38-1,0)),IF(AND($L$37=0,$P$34=0),"",$L$37-1),IF($R$17="Distrato",$E499,0)),MIN(AK$38,$D$19),$P$20))-SUM($P499:AJ499)</f>
        <v>#VALUE!</v>
      </c>
      <c r="AL499" s="446" t="e">
        <f>IF(OR($B499="",MIN(AL$38,$D$19)&lt;MAX($P$34*($B499+IF($R$17="Distrato",$I$38-1,0)),IF(AND($L$37=0,$P$34=0),"",$L$37-1),IF($R$17="Distrato",$E499,0))),0,YEARFRAC(MAX($P$34*($B499+IF($R$17="Distrato",$I$38-1,0)),IF(AND($L$37=0,$P$34=0),"",$L$37-1),IF($R$17="Distrato",$E499,0)),MIN(AL$38,$D$19),$P$20))-SUM($P499:AK499)</f>
        <v>#VALUE!</v>
      </c>
      <c r="AM499" s="446" t="e">
        <f>IF(OR($B499="",MIN(AM$38,$D$19)&lt;MAX($P$34*($B499+IF($R$17="Distrato",$I$38-1,0)),IF(AND($L$37=0,$P$34=0),"",$L$37-1),IF($R$17="Distrato",$E499,0))),0,YEARFRAC(MAX($P$34*($B499+IF($R$17="Distrato",$I$38-1,0)),IF(AND($L$37=0,$P$34=0),"",$L$37-1),IF($R$17="Distrato",$E499,0)),MIN(AM$38,$D$19),$P$20))-SUM($P499:AL499)</f>
        <v>#VALUE!</v>
      </c>
      <c r="AN499" s="446" t="e">
        <f>IF(OR($B499="",MIN(AN$38,$D$19)&lt;MAX($P$34*($B499+IF($R$17="Distrato",$I$38-1,0)),IF(AND($L$37=0,$P$34=0),"",$L$37-1),IF($R$17="Distrato",$E499,0))),0,YEARFRAC(MAX($P$34*($B499+IF($R$17="Distrato",$I$38-1,0)),IF(AND($L$37=0,$P$34=0),"",$L$37-1),IF($R$17="Distrato",$E499,0)),MIN(AN$38,$D$19),$P$20))-SUM($P499:AM499)</f>
        <v>#VALUE!</v>
      </c>
      <c r="AO499" s="446" t="e">
        <f>IF(OR($B499="",MIN(AO$38,$D$19)&lt;MAX($P$34*($B499+IF($R$17="Distrato",$I$38-1,0)),IF(AND($L$37=0,$P$34=0),"",$L$37-1),IF($R$17="Distrato",$E499,0))),0,YEARFRAC(MAX($P$34*($B499+IF($R$17="Distrato",$I$38-1,0)),IF(AND($L$37=0,$P$34=0),"",$L$37-1),IF($R$17="Distrato",$E499,0)),MIN(AO$38,$D$19),$P$20))-SUM($P499:AN499)</f>
        <v>#VALUE!</v>
      </c>
      <c r="AP499" s="446" t="e">
        <f>IF(OR($B499="",MIN(AP$38,$D$19)&lt;MAX($P$34*($B499+IF($R$17="Distrato",$I$38-1,0)),IF(AND($L$37=0,$P$34=0),"",$L$37-1),IF($R$17="Distrato",$E499,0))),0,YEARFRAC(MAX($P$34*($B499+IF($R$17="Distrato",$I$38-1,0)),IF(AND($L$37=0,$P$34=0),"",$L$37-1),IF($R$17="Distrato",$E499,0)),MIN(AP$38,$D$19),$P$20))-SUM($P499:AO499)</f>
        <v>#VALUE!</v>
      </c>
      <c r="AQ499" s="446" t="e">
        <f>IF(OR($B499="",MIN(AQ$38,$D$19)&lt;MAX($P$34*($B499+IF($R$17="Distrato",$I$38-1,0)),IF(AND($L$37=0,$P$34=0),"",$L$37-1),IF($R$17="Distrato",$E499,0))),0,YEARFRAC(MAX($P$34*($B499+IF($R$17="Distrato",$I$38-1,0)),IF(AND($L$37=0,$P$34=0),"",$L$37-1),IF($R$17="Distrato",$E499,0)),MIN(AQ$38,$D$19),$P$20))-SUM($P499:AP499)</f>
        <v>#VALUE!</v>
      </c>
      <c r="AR499" s="446" t="e">
        <f>IF(OR($B499="",MIN(AR$38,$D$19)&lt;MAX($P$34*($B499+IF($R$17="Distrato",$I$38-1,0)),IF(AND($L$37=0,$P$34=0),"",$L$37-1),IF($R$17="Distrato",$E499,0))),0,YEARFRAC(MAX($P$34*($B499+IF($R$17="Distrato",$I$38-1,0)),IF(AND($L$37=0,$P$34=0),"",$L$37-1),IF($R$17="Distrato",$E499,0)),MIN(AR$38,$D$19),$P$20))-SUM($P499:AQ499)</f>
        <v>#VALUE!</v>
      </c>
      <c r="AS499" s="446" t="e">
        <f>IF(OR($B499="",MIN(AS$38,$D$19)&lt;MAX($P$34*($B499+IF($R$17="Distrato",$I$38-1,0)),IF(AND($L$37=0,$P$34=0),"",$L$37-1),IF($R$17="Distrato",$E499,0))),0,YEARFRAC(MAX($P$34*($B499+IF($R$17="Distrato",$I$38-1,0)),IF(AND($L$37=0,$P$34=0),"",$L$37-1),IF($R$17="Distrato",$E499,0)),MIN(AS$38,$D$19),$P$20))-SUM($P499:AR499)</f>
        <v>#VALUE!</v>
      </c>
      <c r="AT499" s="446" t="e">
        <f>IF(OR($B499="",MIN(AT$38,$D$19)&lt;MAX($P$34*($B499+IF($R$17="Distrato",$I$38-1,0)),IF(AND($L$37=0,$P$34=0),"",$L$37-1),IF($R$17="Distrato",$E499,0))),0,YEARFRAC(MAX($P$34*($B499+IF($R$17="Distrato",$I$38-1,0)),IF(AND($L$37=0,$P$34=0),"",$L$37-1),IF($R$17="Distrato",$E499,0)),MIN(AT$38,$D$19),$P$20))-SUM($P499:AS499)</f>
        <v>#VALUE!</v>
      </c>
      <c r="AU499" s="446" t="e">
        <f>IF(OR($B499="",MIN(AU$38,$D$19)&lt;MAX($P$34*($B499+IF($R$17="Distrato",$I$38-1,0)),IF(AND($L$37=0,$P$34=0),"",$L$37-1),IF($R$17="Distrato",$E499,0))),0,YEARFRAC(MAX($P$34*($B499+IF($R$17="Distrato",$I$38-1,0)),IF(AND($L$37=0,$P$34=0),"",$L$37-1),IF($R$17="Distrato",$E499,0)),MIN(AU$38,$D$19),$P$20))-SUM($P499:AT499)</f>
        <v>#VALUE!</v>
      </c>
      <c r="AV499" s="446" t="e">
        <f>IF(OR($B499="",MIN(AV$38,$D$19)&lt;MAX($P$34*($B499+IF($R$17="Distrato",$I$38-1,0)),IF(AND($L$37=0,$P$34=0),"",$L$37-1),IF($R$17="Distrato",$E499,0))),0,YEARFRAC(MAX($P$34*($B499+IF($R$17="Distrato",$I$38-1,0)),IF(AND($L$37=0,$P$34=0),"",$L$37-1),IF($R$17="Distrato",$E499,0)),MIN(AV$38,$D$19),$P$20))-SUM($P499:AU499)</f>
        <v>#VALUE!</v>
      </c>
      <c r="AW499" s="446" t="e">
        <f>IF(OR($B499="",MIN(AW$38,$D$19)&lt;MAX($P$34*($B499+IF($R$17="Distrato",$I$38-1,0)),IF(AND($L$37=0,$P$34=0),"",$L$37-1),IF($R$17="Distrato",$E499,0))),0,YEARFRAC(MAX($P$34*($B499+IF($R$17="Distrato",$I$38-1,0)),IF(AND($L$37=0,$P$34=0),"",$L$37-1),IF($R$17="Distrato",$E499,0)),MIN(AW$38,$D$19),$P$20))-SUM($P499:AV499)</f>
        <v>#VALUE!</v>
      </c>
      <c r="AX499" s="446" t="e">
        <f>IF(OR($B499="",MIN(AX$38,$D$19)&lt;MAX($P$34*($B499+IF($R$17="Distrato",$I$38-1,0)),IF(AND($L$37=0,$P$34=0),"",$L$37-1),IF($R$17="Distrato",$E499,0))),0,YEARFRAC(MAX($P$34*($B499+IF($R$17="Distrato",$I$38-1,0)),IF(AND($L$37=0,$P$34=0),"",$L$37-1),IF($R$17="Distrato",$E499,0)),MIN(AX$38,$D$19),$P$20))-SUM($P499:AW499)</f>
        <v>#VALUE!</v>
      </c>
      <c r="AY499" s="446" t="e">
        <f>IF(OR($B499="",MIN(AY$38,$D$19)&lt;MAX($P$34*($B499+IF($R$17="Distrato",$I$38-1,0)),IF(AND($L$37=0,$P$34=0),"",$L$37-1),IF($R$17="Distrato",$E499,0))),0,YEARFRAC(MAX($P$34*($B499+IF($R$17="Distrato",$I$38-1,0)),IF(AND($L$37=0,$P$34=0),"",$L$37-1),IF($R$17="Distrato",$E499,0)),MIN(AY$38,$D$19),$P$20))-SUM($P499:AX499)</f>
        <v>#VALUE!</v>
      </c>
      <c r="AZ499" s="446" t="e">
        <f>IF(OR($B499="",MIN(AZ$38,$D$19)&lt;MAX($P$34*($B499+IF($R$17="Distrato",$I$38-1,0)),IF(AND($L$37=0,$P$34=0),"",$L$37-1),IF($R$17="Distrato",$E499,0))),0,YEARFRAC(MAX($P$34*($B499+IF($R$17="Distrato",$I$38-1,0)),IF(AND($L$37=0,$P$34=0),"",$L$37-1),IF($R$17="Distrato",$E499,0)),MIN(AZ$38,$D$19),$P$20))-SUM($P499:AY499)</f>
        <v>#VALUE!</v>
      </c>
      <c r="BA499" s="446" t="e">
        <f>IF(OR($B499="",MIN(BA$38,$D$19)&lt;MAX($P$34*($B499+IF($R$17="Distrato",$I$38-1,0)),IF(AND($L$37=0,$P$34=0),"",$L$37-1),IF($R$17="Distrato",$E499,0))),0,YEARFRAC(MAX($P$34*($B499+IF($R$17="Distrato",$I$38-1,0)),IF(AND($L$37=0,$P$34=0),"",$L$37-1),IF($R$17="Distrato",$E499,0)),MIN(BA$38,$D$19),$P$20))-SUM($P499:AZ499)</f>
        <v>#VALUE!</v>
      </c>
      <c r="BB499" s="447"/>
      <c r="BF499" s="446">
        <f t="shared" si="87"/>
        <v>0</v>
      </c>
      <c r="BG499" s="446">
        <f>IF($E499=0,0,IF(MIN(BG$38,$E499)&lt;MAX($P$34*($B499+$I$38-1),IF(AND($L$37=0,$P$34=0),"",$L$37-1)),0,YEARFRAC(MAX($P$34*($B499+$I$38-1),IF(AND($L$37=0,$P$34=0),"",$L$37-1)),MIN(BG$38,$E499),$P$20))-SUM($BF499:BF499))</f>
        <v>0</v>
      </c>
      <c r="BH499" s="446">
        <f>IF($E499=0,0,IF(MIN(BH$38,$E499)&lt;MAX($P$34*($B499+$I$38-1),IF(AND($L$37=0,$P$34=0),"",$L$37-1)),0,YEARFRAC(MAX($P$34*($B499+$I$38-1),IF(AND($L$37=0,$P$34=0),"",$L$37-1)),MIN(BH$38,$E499),$P$20))-SUM($BF499:BG499))</f>
        <v>0</v>
      </c>
      <c r="BI499" s="446">
        <f>IF($E499=0,0,IF(MIN(BI$38,$E499)&lt;MAX($P$34*($B499+$I$38-1),IF(AND($L$37=0,$P$34=0),"",$L$37-1)),0,YEARFRAC(MAX($P$34*($B499+$I$38-1),IF(AND($L$37=0,$P$34=0),"",$L$37-1)),MIN(BI$38,$E499),$P$20))-SUM($BF499:BH499))</f>
        <v>0</v>
      </c>
      <c r="BJ499" s="446">
        <f>IF($E499=0,0,IF(MIN(BJ$38,$E499)&lt;MAX($P$34*($B499+$I$38-1),IF(AND($L$37=0,$P$34=0),"",$L$37-1)),0,YEARFRAC(MAX($P$34*($B499+$I$38-1),IF(AND($L$37=0,$P$34=0),"",$L$37-1)),MIN(BJ$38,$E499),$P$20))-SUM($BF499:BI499))</f>
        <v>0</v>
      </c>
      <c r="BK499" s="446">
        <f>IF($E499=0,0,IF(MIN(BK$38,$E499)&lt;MAX($P$34*($B499+$I$38-1),IF(AND($L$37=0,$P$34=0),"",$L$37-1)),0,YEARFRAC(MAX($P$34*($B499+$I$38-1),IF(AND($L$37=0,$P$34=0),"",$L$37-1)),MIN(BK$38,$E499),$P$20))-SUM($BF499:BJ499))</f>
        <v>0</v>
      </c>
      <c r="BL499" s="446">
        <f>IF($E499=0,0,IF(MIN(BL$38,$E499)&lt;MAX($P$34*($B499+$I$38-1),IF(AND($L$37=0,$P$34=0),"",$L$37-1)),0,YEARFRAC(MAX($P$34*($B499+$I$38-1),IF(AND($L$37=0,$P$34=0),"",$L$37-1)),MIN(BL$38,$E499),$P$20))-SUM($BF499:BK499))</f>
        <v>0</v>
      </c>
      <c r="BM499" s="446">
        <f>IF($E499=0,0,IF(MIN(BM$38,$E499)&lt;MAX($P$34*($B499+$I$38-1),IF(AND($L$37=0,$P$34=0),"",$L$37-1)),0,YEARFRAC(MAX($P$34*($B499+$I$38-1),IF(AND($L$37=0,$P$34=0),"",$L$37-1)),MIN(BM$38,$E499),$P$20))-SUM($BF499:BL499))</f>
        <v>0</v>
      </c>
      <c r="BN499" s="446">
        <f>IF($E499=0,0,IF(MIN(BN$38,$E499)&lt;MAX($P$34*($B499+$I$38-1),IF(AND($L$37=0,$P$34=0),"",$L$37-1)),0,YEARFRAC(MAX($P$34*($B499+$I$38-1),IF(AND($L$37=0,$P$34=0),"",$L$37-1)),MIN(BN$38,$E499),$P$20))-SUM($BF499:BM499))</f>
        <v>0</v>
      </c>
      <c r="BO499" s="446">
        <f>IF($E499=0,0,IF(MIN(BO$38,$E499)&lt;MAX($P$34*($B499+$I$38-1),IF(AND($L$37=0,$P$34=0),"",$L$37-1)),0,YEARFRAC(MAX($P$34*($B499+$I$38-1),IF(AND($L$37=0,$P$34=0),"",$L$37-1)),MIN(BO$38,$E499),$P$20))-SUM($BF499:BN499))</f>
        <v>0</v>
      </c>
      <c r="BP499" s="446">
        <f>IF($E499=0,0,IF(MIN(BP$38,$E499)&lt;MAX($P$34*($B499+$I$38-1),IF(AND($L$37=0,$P$34=0),"",$L$37-1)),0,YEARFRAC(MAX($P$34*($B499+$I$38-1),IF(AND($L$37=0,$P$34=0),"",$L$37-1)),MIN(BP$38,$E499),$P$20))-SUM($BF499:BO499))</f>
        <v>0</v>
      </c>
      <c r="BQ499" s="446">
        <f>IF($E499=0,0,IF(MIN(BQ$38,$E499)&lt;MAX($P$34*($B499+$I$38-1),IF(AND($L$37=0,$P$34=0),"",$L$37-1)),0,YEARFRAC(MAX($P$34*($B499+$I$38-1),IF(AND($L$37=0,$P$34=0),"",$L$37-1)),MIN(BQ$38,$E499),$P$20))-SUM($BF499:BP499))</f>
        <v>0</v>
      </c>
      <c r="BR499" s="446">
        <f>IF($E499=0,0,IF(MIN(BR$38,$E499)&lt;MAX($P$34*($B499+$I$38-1),IF(AND($L$37=0,$P$34=0),"",$L$37-1)),0,YEARFRAC(MAX($P$34*($B499+$I$38-1),IF(AND($L$37=0,$P$34=0),"",$L$37-1)),MIN(BR$38,$E499),$P$20))-SUM($BF499:BQ499))</f>
        <v>0</v>
      </c>
      <c r="BS499" s="446">
        <f>IF($E499=0,0,IF(MIN(BS$38,$E499)&lt;MAX($P$34*($B499+$I$38-1),IF(AND($L$37=0,$P$34=0),"",$L$37-1)),0,YEARFRAC(MAX($P$34*($B499+$I$38-1),IF(AND($L$37=0,$P$34=0),"",$L$37-1)),MIN(BS$38,$E499),$P$20))-SUM($BF499:BR499))</f>
        <v>0</v>
      </c>
      <c r="BT499" s="446">
        <f>IF($E499=0,0,IF(MIN(BT$38,$E499)&lt;MAX($P$34*($B499+$I$38-1),IF(AND($L$37=0,$P$34=0),"",$L$37-1)),0,YEARFRAC(MAX($P$34*($B499+$I$38-1),IF(AND($L$37=0,$P$34=0),"",$L$37-1)),MIN(BT$38,$E499),$P$20))-SUM($BF499:BS499))</f>
        <v>0</v>
      </c>
      <c r="BU499" s="446">
        <f>IF($E499=0,0,IF(MIN(BU$38,$E499)&lt;MAX($P$34*($B499+$I$38-1),IF(AND($L$37=0,$P$34=0),"",$L$37-1)),0,YEARFRAC(MAX($P$34*($B499+$I$38-1),IF(AND($L$37=0,$P$34=0),"",$L$37-1)),MIN(BU$38,$E499),$P$20))-SUM($BF499:BT499))</f>
        <v>0</v>
      </c>
      <c r="BV499" s="446">
        <f>IF($E499=0,0,IF(MIN(BV$38,$E499)&lt;MAX($P$34*($B499+$I$38-1),IF(AND($L$37=0,$P$34=0),"",$L$37-1)),0,YEARFRAC(MAX($P$34*($B499+$I$38-1),IF(AND($L$37=0,$P$34=0),"",$L$37-1)),MIN(BV$38,$E499),$P$20))-SUM($BF499:BU499))</f>
        <v>0</v>
      </c>
      <c r="BW499" s="446">
        <f>IF($E499=0,0,IF(MIN(BW$38,$E499)&lt;MAX($P$34*($B499+$I$38-1),IF(AND($L$37=0,$P$34=0),"",$L$37-1)),0,YEARFRAC(MAX($P$34*($B499+$I$38-1),IF(AND($L$37=0,$P$34=0),"",$L$37-1)),MIN(BW$38,$E499),$P$20))-SUM($BF499:BV499))</f>
        <v>0</v>
      </c>
      <c r="BX499" s="446">
        <f>IF($E499=0,0,IF(MIN(BX$38,$E499)&lt;MAX($P$34*($B499+$I$38-1),IF(AND($L$37=0,$P$34=0),"",$L$37-1)),0,YEARFRAC(MAX($P$34*($B499+$I$38-1),IF(AND($L$37=0,$P$34=0),"",$L$37-1)),MIN(BX$38,$E499),$P$20))-SUM($BF499:BW499))</f>
        <v>0</v>
      </c>
      <c r="BY499" s="446">
        <f>IF($E499=0,0,IF(MIN(BY$38,$E499)&lt;MAX($P$34*($B499+$I$38-1),IF(AND($L$37=0,$P$34=0),"",$L$37-1)),0,YEARFRAC(MAX($P$34*($B499+$I$38-1),IF(AND($L$37=0,$P$34=0),"",$L$37-1)),MIN(BY$38,$E499),$P$20))-SUM($BF499:BX499))</f>
        <v>0</v>
      </c>
      <c r="BZ499" s="446">
        <f>IF($E499=0,0,IF(MIN(BZ$38,$E499)&lt;MAX($P$34*($B499+$I$38-1),IF(AND($L$37=0,$P$34=0),"",$L$37-1)),0,YEARFRAC(MAX($P$34*($B499+$I$38-1),IF(AND($L$37=0,$P$34=0),"",$L$37-1)),MIN(BZ$38,$E499),$P$20))-SUM($BF499:BY499))</f>
        <v>0</v>
      </c>
      <c r="CA499" s="446">
        <f>IF($E499=0,0,IF(MIN(CA$38,$E499)&lt;MAX($P$34*($B499+$I$38-1),IF(AND($L$37=0,$P$34=0),"",$L$37-1)),0,YEARFRAC(MAX($P$34*($B499+$I$38-1),IF(AND($L$37=0,$P$34=0),"",$L$37-1)),MIN(CA$38,$E499),$P$20))-SUM($BF499:BZ499))</f>
        <v>0</v>
      </c>
      <c r="CB499" s="446">
        <f>IF($E499=0,0,IF(MIN(CB$38,$E499)&lt;MAX($P$34*($B499+$I$38-1),IF(AND($L$37=0,$P$34=0),"",$L$37-1)),0,YEARFRAC(MAX($P$34*($B499+$I$38-1),IF(AND($L$37=0,$P$34=0),"",$L$37-1)),MIN(CB$38,$E499),$P$20))-SUM($BF499:CA499))</f>
        <v>0</v>
      </c>
      <c r="CC499" s="446">
        <f>IF($E499=0,0,IF(MIN(CC$38,$E499)&lt;MAX($P$34*($B499+$I$38-1),IF(AND($L$37=0,$P$34=0),"",$L$37-1)),0,YEARFRAC(MAX($P$34*($B499+$I$38-1),IF(AND($L$37=0,$P$34=0),"",$L$37-1)),MIN(CC$38,$E499),$P$20))-SUM($BF499:CB499))</f>
        <v>0</v>
      </c>
      <c r="CD499" s="446">
        <f>IF($E499=0,0,IF(MIN(CD$38,$E499)&lt;MAX($P$34*($B499+$I$38-1),IF(AND($L$37=0,$P$34=0),"",$L$37-1)),0,YEARFRAC(MAX($P$34*($B499+$I$38-1),IF(AND($L$37=0,$P$34=0),"",$L$37-1)),MIN(CD$38,$E499),$P$20))-SUM($BF499:CC499))</f>
        <v>0</v>
      </c>
      <c r="CE499" s="446">
        <f>IF($E499=0,0,IF(MIN(CE$38,$E499)&lt;MAX($P$34*($B499+$I$38-1),IF(AND($L$37=0,$P$34=0),"",$L$37-1)),0,YEARFRAC(MAX($P$34*($B499+$I$38-1),IF(AND($L$37=0,$P$34=0),"",$L$37-1)),MIN(CE$38,$E499),$P$20))-SUM($BF499:CD499))</f>
        <v>0</v>
      </c>
      <c r="CF499" s="446">
        <f>IF($E499=0,0,IF(MIN(CF$38,$E499)&lt;MAX($P$34*($B499+$I$38-1),IF(AND($L$37=0,$P$34=0),"",$L$37-1)),0,YEARFRAC(MAX($P$34*($B499+$I$38-1),IF(AND($L$37=0,$P$34=0),"",$L$37-1)),MIN(CF$38,$E499),$P$20))-SUM($BF499:CE499))</f>
        <v>0</v>
      </c>
      <c r="CG499" s="446">
        <f>IF($E499=0,0,IF(MIN(CG$38,$E499)&lt;MAX($P$34*($B499+$I$38-1),IF(AND($L$37=0,$P$34=0),"",$L$37-1)),0,YEARFRAC(MAX($P$34*($B499+$I$38-1),IF(AND($L$37=0,$P$34=0),"",$L$37-1)),MIN(CG$38,$E499),$P$20))-SUM($BF499:CF499))</f>
        <v>0</v>
      </c>
      <c r="CH499" s="446">
        <f>IF($E499=0,0,IF(MIN(CH$38,$E499)&lt;MAX($P$34*($B499+$I$38-1),IF(AND($L$37=0,$P$34=0),"",$L$37-1)),0,YEARFRAC(MAX($P$34*($B499+$I$38-1),IF(AND($L$37=0,$P$34=0),"",$L$37-1)),MIN(CH$38,$E499),$P$20))-SUM($BF499:CG499))</f>
        <v>0</v>
      </c>
      <c r="CI499" s="446">
        <f>IF($E499=0,0,IF(MIN(CI$38,$E499)&lt;MAX($P$34*($B499+$I$38-1),IF(AND($L$37=0,$P$34=0),"",$L$37-1)),0,YEARFRAC(MAX($P$34*($B499+$I$38-1),IF(AND($L$37=0,$P$34=0),"",$L$37-1)),MIN(CI$38,$E499),$P$20))-SUM($BF499:CH499))</f>
        <v>0</v>
      </c>
      <c r="CJ499" s="446">
        <f>IF($E499=0,0,IF(MIN(CJ$38,$E499)&lt;MAX($P$34*($B499+$I$38-1),IF(AND($L$37=0,$P$34=0),"",$L$37-1)),0,YEARFRAC(MAX($P$34*($B499+$I$38-1),IF(AND($L$37=0,$P$34=0),"",$L$37-1)),MIN(CJ$38,$E499),$P$20))-SUM($BF499:CI499))</f>
        <v>0</v>
      </c>
      <c r="CK499" s="446">
        <f>IF($E499=0,0,IF(MIN(CK$38,$E499)&lt;MAX($P$34*($B499+$I$38-1),IF(AND($L$37=0,$P$34=0),"",$L$37-1)),0,YEARFRAC(MAX($P$34*($B499+$I$38-1),IF(AND($L$37=0,$P$34=0),"",$L$37-1)),MIN(CK$38,$E499),$P$20))-SUM($BF499:CJ499))</f>
        <v>0</v>
      </c>
      <c r="CL499" s="446">
        <f>IF($E499=0,0,IF(MIN(CL$38,$E499)&lt;MAX($P$34*($B499+$I$38-1),IF(AND($L$37=0,$P$34=0),"",$L$37-1)),0,YEARFRAC(MAX($P$34*($B499+$I$38-1),IF(AND($L$37=0,$P$34=0),"",$L$37-1)),MIN(CL$38,$E499),$P$20))-SUM($BF499:CK499))</f>
        <v>0</v>
      </c>
      <c r="CM499" s="446">
        <f>IF($E499=0,0,IF(MIN(CM$38,$E499)&lt;MAX($P$34*($B499+$I$38-1),IF(AND($L$37=0,$P$34=0),"",$L$37-1)),0,YEARFRAC(MAX($P$34*($B499+$I$38-1),IF(AND($L$37=0,$P$34=0),"",$L$37-1)),MIN(CM$38,$E499),$P$20))-SUM($BF499:CL499))</f>
        <v>0</v>
      </c>
      <c r="CN499" s="446">
        <f>IF($E499=0,0,IF(MIN(CN$38,$E499)&lt;MAX($P$34*($B499+$I$38-1),IF(AND($L$37=0,$P$34=0),"",$L$37-1)),0,YEARFRAC(MAX($P$34*($B499+$I$38-1),IF(AND($L$37=0,$P$34=0),"",$L$37-1)),MIN(CN$38,$E499),$P$20))-SUM($BF499:CM499))</f>
        <v>0</v>
      </c>
      <c r="CO499" s="446">
        <f>IF($E499=0,0,IF(MIN(CO$38,$E499)&lt;MAX($P$34*($B499+$I$38-1),IF(AND($L$37=0,$P$34=0),"",$L$37-1)),0,YEARFRAC(MAX($P$34*($B499+$I$38-1),IF(AND($L$37=0,$P$34=0),"",$L$37-1)),MIN(CO$38,$E499),$P$20))-SUM($BF499:CN499))</f>
        <v>0</v>
      </c>
      <c r="CP499" s="446">
        <f>IF($E499=0,0,IF(MIN(CP$38,$E499)&lt;MAX($P$34*($B499+$I$38-1),IF(AND($L$37=0,$P$34=0),"",$L$37-1)),0,YEARFRAC(MAX($P$34*($B499+$I$38-1),IF(AND($L$37=0,$P$34=0),"",$L$37-1)),MIN(CP$38,$E499),$P$20))-SUM($BF499:CO499))</f>
        <v>0</v>
      </c>
      <c r="CQ499" s="446">
        <f>IF($E499=0,0,IF(MIN(CQ$38,$E499)&lt;MAX($P$34*($B499+$I$38-1),IF(AND($L$37=0,$P$34=0),"",$L$37-1)),0,YEARFRAC(MAX($P$34*($B499+$I$38-1),IF(AND($L$37=0,$P$34=0),"",$L$37-1)),MIN(CQ$38,$E499),$P$20))-SUM($BF499:CP499))</f>
        <v>0</v>
      </c>
    </row>
    <row r="500" spans="1:95" s="446" customFormat="1" ht="11.25" hidden="1" customHeight="1" x14ac:dyDescent="0.2">
      <c r="A500" s="152"/>
      <c r="B500" s="153" t="str">
        <f t="shared" si="92"/>
        <v/>
      </c>
      <c r="C500" s="29" t="str">
        <f>IF(B500="","",IF($L$35="SELIC - TRIBUTOS",VLOOKUP(DATE(YEAR($D$19),MONTH($D$19)-1,1),ÍNDICES!$A:$DE,HLOOKUP($BL$25,ÍNDICES!$B$3:$T$4,2)+11)-VLOOKUP(B500,ÍNDICES!$A:$DE,HLOOKUP($BL$25,ÍNDICES!$B$3:$T$4,2)+11)+1%,IF(C$38=$W$26,$J$35,IF(ISERROR(IF(B500&gt;$D$19,1,VLOOKUP(DATE(YEAR(B500),MONTH(B500)+IF($C$35=$S$23,1,0),1),ÍNDICES!$A:$DE,$Z$35+1))),"",IF(B500&gt;$D$19,1,VLOOKUP(DATE(YEAR(B500),MONTH(B500)+IF($C$35=$S$23,1,0),1),ÍNDICES!$A:$DE,$Z$35+1))))))</f>
        <v/>
      </c>
      <c r="D500" s="154" t="str">
        <f>IF(ISERROR(IF(OR($D$38=$Y$27,$B500=""),"",VLOOKUP(B500,ÍNDICES!A:DE,AF$35+1))),"",IF(OR($D$38=$Y$27,$B500=""),"",VLOOKUP(B500,ÍNDICES!A:DE,AF$35+1)))</f>
        <v/>
      </c>
      <c r="E500" s="153"/>
      <c r="F500" s="29" t="str">
        <f>IF(E500="","",IF($L$35="SELIC - TRIBUTOS",VLOOKUP(DATE(YEAR($D$19),MONTH($D$19)-1,1),ÍNDICES!$A:$DE,HLOOKUP($BL$25,ÍNDICES!$B$3:$T$4,2)+11)-VLOOKUP(E500,ÍNDICES!$A:$DE,HLOOKUP($BL$25,ÍNDICES!$B$3:$T$4,2)+11)+1%,IF(F$38=$W$26,$J$35,IF(ISERROR(IF(E500&gt;$D$19,1,VLOOKUP(DATE(YEAR(E500),MONTH(E500)+IF($C$35=$S$23,1,0),1),ÍNDICES!$A:$DE,$Z$35+1))),"",IF(E500&gt;$D$19,1,VLOOKUP(DATE(YEAR(E500),MONTH(E500)+IF($C$35=$S$23,1,0),1),ÍNDICES!$A:$DE,$Z$35+1))))))</f>
        <v/>
      </c>
      <c r="G500" s="155"/>
      <c r="H500" s="156" t="str">
        <f t="shared" si="88"/>
        <v/>
      </c>
      <c r="I500" s="29" t="str">
        <f t="shared" si="82"/>
        <v/>
      </c>
      <c r="J500" s="5">
        <f t="shared" si="83"/>
        <v>0</v>
      </c>
      <c r="K500" s="20">
        <f t="shared" ca="1" si="84"/>
        <v>0</v>
      </c>
      <c r="L500" s="5">
        <f t="shared" ca="1" si="85"/>
        <v>0</v>
      </c>
      <c r="M500" s="64">
        <f t="shared" si="89"/>
        <v>0</v>
      </c>
      <c r="N500" s="61">
        <f t="shared" ca="1" si="90"/>
        <v>0</v>
      </c>
      <c r="O500" s="5">
        <f t="shared" ca="1" si="91"/>
        <v>0</v>
      </c>
      <c r="P500" s="446" t="e">
        <f t="shared" si="86"/>
        <v>#VALUE!</v>
      </c>
      <c r="Q500" s="446" t="e">
        <f>IF(OR($B500="",MIN(Q$38,$D$19)&lt;MAX($P$34*($B500+IF($R$17="Distrato",$I$38-1,0)),IF(AND($L$37=0,$P$34=0),"",$L$37-1),IF($R$17="Distrato",$E500,0))),0,YEARFRAC(MAX($P$34*($B500+IF($R$17="Distrato",$I$38-1,0)),IF(AND($L$37=0,$P$34=0),"",$L$37-1),IF($R$17="Distrato",$E500,0)),MIN(Q$38,$D$19),$P$20))-SUM($P500:P500)</f>
        <v>#VALUE!</v>
      </c>
      <c r="R500" s="446" t="e">
        <f>IF(OR($B500="",MIN(R$38,$D$19)&lt;MAX($P$34*($B500+IF($R$17="Distrato",$I$38-1,0)),IF(AND($L$37=0,$P$34=0),"",$L$37-1),IF($R$17="Distrato",$E500,0))),0,YEARFRAC(MAX($P$34*($B500+IF($R$17="Distrato",$I$38-1,0)),IF(AND($L$37=0,$P$34=0),"",$L$37-1),IF($R$17="Distrato",$E500,0)),MIN(R$38,$D$19),$P$20))-SUM($P500:Q500)</f>
        <v>#VALUE!</v>
      </c>
      <c r="S500" s="446" t="e">
        <f>IF(OR($B500="",MIN(S$38,$D$19)&lt;MAX($P$34*($B500+IF($R$17="Distrato",$I$38-1,0)),IF(AND($L$37=0,$P$34=0),"",$L$37-1),IF($R$17="Distrato",$E500,0))),0,YEARFRAC(MAX($P$34*($B500+IF($R$17="Distrato",$I$38-1,0)),IF(AND($L$37=0,$P$34=0),"",$L$37-1),IF($R$17="Distrato",$E500,0)),MIN(S$38,$D$19),$P$20))-SUM($P500:R500)</f>
        <v>#VALUE!</v>
      </c>
      <c r="T500" s="446" t="e">
        <f>IF(OR($B500="",MIN(T$38,$D$19)&lt;MAX($P$34*($B500+IF($R$17="Distrato",$I$38-1,0)),IF(AND($L$37=0,$P$34=0),"",$L$37-1),IF($R$17="Distrato",$E500,0))),0,YEARFRAC(MAX($P$34*($B500+IF($R$17="Distrato",$I$38-1,0)),IF(AND($L$37=0,$P$34=0),"",$L$37-1),IF($R$17="Distrato",$E500,0)),MIN(T$38,$D$19),$P$20))-SUM($P500:S500)</f>
        <v>#VALUE!</v>
      </c>
      <c r="U500" s="446" t="e">
        <f>IF(OR($B500="",MIN(U$38,$D$19)&lt;MAX($P$34*($B500+IF($R$17="Distrato",$I$38-1,0)),IF(AND($L$37=0,$P$34=0),"",$L$37-1),IF($R$17="Distrato",$E500,0))),0,YEARFRAC(MAX($P$34*($B500+IF($R$17="Distrato",$I$38-1,0)),IF(AND($L$37=0,$P$34=0),"",$L$37-1),IF($R$17="Distrato",$E500,0)),MIN(U$38,$D$19),$P$20))-SUM($P500:T500)</f>
        <v>#VALUE!</v>
      </c>
      <c r="V500" s="446" t="e">
        <f>IF(OR($B500="",MIN(V$38,$D$19)&lt;MAX($P$34*($B500+IF($R$17="Distrato",$I$38-1,0)),IF(AND($L$37=0,$P$34=0),"",$L$37-1),IF($R$17="Distrato",$E500,0))),0,YEARFRAC(MAX($P$34*($B500+IF($R$17="Distrato",$I$38-1,0)),IF(AND($L$37=0,$P$34=0),"",$L$37-1),IF($R$17="Distrato",$E500,0)),MIN(V$38,$D$19),$P$20))-SUM($P500:U500)</f>
        <v>#VALUE!</v>
      </c>
      <c r="W500" s="446" t="e">
        <f>IF(OR($B500="",MIN(W$38,$D$19)&lt;MAX($P$34*($B500+IF($R$17="Distrato",$I$38-1,0)),IF(AND($L$37=0,$P$34=0),"",$L$37-1),IF($R$17="Distrato",$E500,0))),0,YEARFRAC(MAX($P$34*($B500+IF($R$17="Distrato",$I$38-1,0)),IF(AND($L$37=0,$P$34=0),"",$L$37-1),IF($R$17="Distrato",$E500,0)),MIN(W$38,$D$19),$P$20))-SUM($P500:V500)</f>
        <v>#VALUE!</v>
      </c>
      <c r="X500" s="446" t="e">
        <f>IF(OR($B500="",MIN(X$38,$D$19)&lt;MAX($P$34*($B500+IF($R$17="Distrato",$I$38-1,0)),IF(AND($L$37=0,$P$34=0),"",$L$37-1),IF($R$17="Distrato",$E500,0))),0,YEARFRAC(MAX($P$34*($B500+IF($R$17="Distrato",$I$38-1,0)),IF(AND($L$37=0,$P$34=0),"",$L$37-1),IF($R$17="Distrato",$E500,0)),MIN(X$38,$D$19),$P$20))-SUM($P500:W500)</f>
        <v>#VALUE!</v>
      </c>
      <c r="Y500" s="446" t="e">
        <f>IF(OR($B500="",MIN(Y$38,$D$19)&lt;MAX($P$34*($B500+IF($R$17="Distrato",$I$38-1,0)),IF(AND($L$37=0,$P$34=0),"",$L$37-1),IF($R$17="Distrato",$E500,0))),0,YEARFRAC(MAX($P$34*($B500+IF($R$17="Distrato",$I$38-1,0)),IF(AND($L$37=0,$P$34=0),"",$L$37-1),IF($R$17="Distrato",$E500,0)),MIN(Y$38,$D$19),$P$20))-SUM($P500:X500)</f>
        <v>#VALUE!</v>
      </c>
      <c r="Z500" s="446" t="e">
        <f>IF(OR($B500="",MIN(Z$38,$D$19)&lt;MAX($P$34*($B500+IF($R$17="Distrato",$I$38-1,0)),IF(AND($L$37=0,$P$34=0),"",$L$37-1),IF($R$17="Distrato",$E500,0))),0,YEARFRAC(MAX($P$34*($B500+IF($R$17="Distrato",$I$38-1,0)),IF(AND($L$37=0,$P$34=0),"",$L$37-1),IF($R$17="Distrato",$E500,0)),MIN(Z$38,$D$19),$P$20))-SUM($P500:Y500)</f>
        <v>#VALUE!</v>
      </c>
      <c r="AA500" s="446" t="e">
        <f>IF(OR($B500="",MIN(AA$38,$D$19)&lt;MAX($P$34*($B500+IF($R$17="Distrato",$I$38-1,0)),IF(AND($L$37=0,$P$34=0),"",$L$37-1),IF($R$17="Distrato",$E500,0))),0,YEARFRAC(MAX($P$34*($B500+IF($R$17="Distrato",$I$38-1,0)),IF(AND($L$37=0,$P$34=0),"",$L$37-1),IF($R$17="Distrato",$E500,0)),MIN(AA$38,$D$19),$P$20))-SUM($P500:Z500)</f>
        <v>#VALUE!</v>
      </c>
      <c r="AB500" s="446" t="e">
        <f>IF(OR($B500="",MIN(AB$38,$D$19)&lt;MAX($P$34*($B500+IF($R$17="Distrato",$I$38-1,0)),IF(AND($L$37=0,$P$34=0),"",$L$37-1),IF($R$17="Distrato",$E500,0))),0,YEARFRAC(MAX($P$34*($B500+IF($R$17="Distrato",$I$38-1,0)),IF(AND($L$37=0,$P$34=0),"",$L$37-1),IF($R$17="Distrato",$E500,0)),MIN(AB$38,$D$19),$P$20))-SUM($P500:AA500)</f>
        <v>#VALUE!</v>
      </c>
      <c r="AC500" s="446" t="e">
        <f>IF(OR($B500="",MIN(AC$38,$D$19)&lt;MAX($P$34*($B500+IF($R$17="Distrato",$I$38-1,0)),IF(AND($L$37=0,$P$34=0),"",$L$37-1),IF($R$17="Distrato",$E500,0))),0,YEARFRAC(MAX($P$34*($B500+IF($R$17="Distrato",$I$38-1,0)),IF(AND($L$37=0,$P$34=0),"",$L$37-1),IF($R$17="Distrato",$E500,0)),MIN(AC$38,$D$19),$P$20))-SUM($P500:AB500)</f>
        <v>#VALUE!</v>
      </c>
      <c r="AD500" s="446" t="e">
        <f>IF(OR($B500="",MIN(AD$38,$D$19)&lt;MAX($P$34*($B500+IF($R$17="Distrato",$I$38-1,0)),IF(AND($L$37=0,$P$34=0),"",$L$37-1),IF($R$17="Distrato",$E500,0))),0,YEARFRAC(MAX($P$34*($B500+IF($R$17="Distrato",$I$38-1,0)),IF(AND($L$37=0,$P$34=0),"",$L$37-1),IF($R$17="Distrato",$E500,0)),MIN(AD$38,$D$19),$P$20))-SUM($P500:AC500)</f>
        <v>#VALUE!</v>
      </c>
      <c r="AE500" s="446" t="e">
        <f>IF(OR($B500="",MIN(AE$38,$D$19)&lt;MAX($P$34*($B500+IF($R$17="Distrato",$I$38-1,0)),IF(AND($L$37=0,$P$34=0),"",$L$37-1),IF($R$17="Distrato",$E500,0))),0,YEARFRAC(MAX($P$34*($B500+IF($R$17="Distrato",$I$38-1,0)),IF(AND($L$37=0,$P$34=0),"",$L$37-1),IF($R$17="Distrato",$E500,0)),MIN(AE$38,$D$19),$P$20))-SUM($P500:AD500)</f>
        <v>#VALUE!</v>
      </c>
      <c r="AF500" s="446" t="e">
        <f>IF(OR($B500="",MIN(AF$38,$D$19)&lt;MAX($P$34*($B500+IF($R$17="Distrato",$I$38-1,0)),IF(AND($L$37=0,$P$34=0),"",$L$37-1),IF($R$17="Distrato",$E500,0))),0,YEARFRAC(MAX($P$34*($B500+IF($R$17="Distrato",$I$38-1,0)),IF(AND($L$37=0,$P$34=0),"",$L$37-1),IF($R$17="Distrato",$E500,0)),MIN(AF$38,$D$19),$P$20))-SUM($P500:AE500)</f>
        <v>#VALUE!</v>
      </c>
      <c r="AG500" s="446" t="e">
        <f>IF(OR($B500="",MIN(AG$38,$D$19)&lt;MAX($P$34*($B500+IF($R$17="Distrato",$I$38-1,0)),IF(AND($L$37=0,$P$34=0),"",$L$37-1),IF($R$17="Distrato",$E500,0))),0,YEARFRAC(MAX($P$34*($B500+IF($R$17="Distrato",$I$38-1,0)),IF(AND($L$37=0,$P$34=0),"",$L$37-1),IF($R$17="Distrato",$E500,0)),MIN(AG$38,$D$19),$P$20))-SUM($P500:AF500)</f>
        <v>#VALUE!</v>
      </c>
      <c r="AH500" s="446" t="e">
        <f>IF(OR($B500="",MIN(AH$38,$D$19)&lt;MAX($P$34*($B500+IF($R$17="Distrato",$I$38-1,0)),IF(AND($L$37=0,$P$34=0),"",$L$37-1),IF($R$17="Distrato",$E500,0))),0,YEARFRAC(MAX($P$34*($B500+IF($R$17="Distrato",$I$38-1,0)),IF(AND($L$37=0,$P$34=0),"",$L$37-1),IF($R$17="Distrato",$E500,0)),MIN(AH$38,$D$19),$P$20))-SUM($P500:AG500)</f>
        <v>#VALUE!</v>
      </c>
      <c r="AI500" s="446" t="e">
        <f>IF(OR($B500="",MIN(AI$38,$D$19)&lt;MAX($P$34*($B500+IF($R$17="Distrato",$I$38-1,0)),IF(AND($L$37=0,$P$34=0),"",$L$37-1),IF($R$17="Distrato",$E500,0))),0,YEARFRAC(MAX($P$34*($B500+IF($R$17="Distrato",$I$38-1,0)),IF(AND($L$37=0,$P$34=0),"",$L$37-1),IF($R$17="Distrato",$E500,0)),MIN(AI$38,$D$19),$P$20))-SUM($P500:AH500)</f>
        <v>#VALUE!</v>
      </c>
      <c r="AJ500" s="446" t="e">
        <f>IF(OR($B500="",MIN(AJ$38,$D$19)&lt;MAX($P$34*($B500+IF($R$17="Distrato",$I$38-1,0)),IF(AND($L$37=0,$P$34=0),"",$L$37-1),IF($R$17="Distrato",$E500,0))),0,YEARFRAC(MAX($P$34*($B500+IF($R$17="Distrato",$I$38-1,0)),IF(AND($L$37=0,$P$34=0),"",$L$37-1),IF($R$17="Distrato",$E500,0)),MIN(AJ$38,$D$19),$P$20))-SUM($P500:AI500)</f>
        <v>#VALUE!</v>
      </c>
      <c r="AK500" s="446" t="e">
        <f>IF(OR($B500="",MIN(AK$38,$D$19)&lt;MAX($P$34*($B500+IF($R$17="Distrato",$I$38-1,0)),IF(AND($L$37=0,$P$34=0),"",$L$37-1),IF($R$17="Distrato",$E500,0))),0,YEARFRAC(MAX($P$34*($B500+IF($R$17="Distrato",$I$38-1,0)),IF(AND($L$37=0,$P$34=0),"",$L$37-1),IF($R$17="Distrato",$E500,0)),MIN(AK$38,$D$19),$P$20))-SUM($P500:AJ500)</f>
        <v>#VALUE!</v>
      </c>
      <c r="AL500" s="446" t="e">
        <f>IF(OR($B500="",MIN(AL$38,$D$19)&lt;MAX($P$34*($B500+IF($R$17="Distrato",$I$38-1,0)),IF(AND($L$37=0,$P$34=0),"",$L$37-1),IF($R$17="Distrato",$E500,0))),0,YEARFRAC(MAX($P$34*($B500+IF($R$17="Distrato",$I$38-1,0)),IF(AND($L$37=0,$P$34=0),"",$L$37-1),IF($R$17="Distrato",$E500,0)),MIN(AL$38,$D$19),$P$20))-SUM($P500:AK500)</f>
        <v>#VALUE!</v>
      </c>
      <c r="AM500" s="446" t="e">
        <f>IF(OR($B500="",MIN(AM$38,$D$19)&lt;MAX($P$34*($B500+IF($R$17="Distrato",$I$38-1,0)),IF(AND($L$37=0,$P$34=0),"",$L$37-1),IF($R$17="Distrato",$E500,0))),0,YEARFRAC(MAX($P$34*($B500+IF($R$17="Distrato",$I$38-1,0)),IF(AND($L$37=0,$P$34=0),"",$L$37-1),IF($R$17="Distrato",$E500,0)),MIN(AM$38,$D$19),$P$20))-SUM($P500:AL500)</f>
        <v>#VALUE!</v>
      </c>
      <c r="AN500" s="446" t="e">
        <f>IF(OR($B500="",MIN(AN$38,$D$19)&lt;MAX($P$34*($B500+IF($R$17="Distrato",$I$38-1,0)),IF(AND($L$37=0,$P$34=0),"",$L$37-1),IF($R$17="Distrato",$E500,0))),0,YEARFRAC(MAX($P$34*($B500+IF($R$17="Distrato",$I$38-1,0)),IF(AND($L$37=0,$P$34=0),"",$L$37-1),IF($R$17="Distrato",$E500,0)),MIN(AN$38,$D$19),$P$20))-SUM($P500:AM500)</f>
        <v>#VALUE!</v>
      </c>
      <c r="AO500" s="446" t="e">
        <f>IF(OR($B500="",MIN(AO$38,$D$19)&lt;MAX($P$34*($B500+IF($R$17="Distrato",$I$38-1,0)),IF(AND($L$37=0,$P$34=0),"",$L$37-1),IF($R$17="Distrato",$E500,0))),0,YEARFRAC(MAX($P$34*($B500+IF($R$17="Distrato",$I$38-1,0)),IF(AND($L$37=0,$P$34=0),"",$L$37-1),IF($R$17="Distrato",$E500,0)),MIN(AO$38,$D$19),$P$20))-SUM($P500:AN500)</f>
        <v>#VALUE!</v>
      </c>
      <c r="AP500" s="446" t="e">
        <f>IF(OR($B500="",MIN(AP$38,$D$19)&lt;MAX($P$34*($B500+IF($R$17="Distrato",$I$38-1,0)),IF(AND($L$37=0,$P$34=0),"",$L$37-1),IF($R$17="Distrato",$E500,0))),0,YEARFRAC(MAX($P$34*($B500+IF($R$17="Distrato",$I$38-1,0)),IF(AND($L$37=0,$P$34=0),"",$L$37-1),IF($R$17="Distrato",$E500,0)),MIN(AP$38,$D$19),$P$20))-SUM($P500:AO500)</f>
        <v>#VALUE!</v>
      </c>
      <c r="AQ500" s="446" t="e">
        <f>IF(OR($B500="",MIN(AQ$38,$D$19)&lt;MAX($P$34*($B500+IF($R$17="Distrato",$I$38-1,0)),IF(AND($L$37=0,$P$34=0),"",$L$37-1),IF($R$17="Distrato",$E500,0))),0,YEARFRAC(MAX($P$34*($B500+IF($R$17="Distrato",$I$38-1,0)),IF(AND($L$37=0,$P$34=0),"",$L$37-1),IF($R$17="Distrato",$E500,0)),MIN(AQ$38,$D$19),$P$20))-SUM($P500:AP500)</f>
        <v>#VALUE!</v>
      </c>
      <c r="AR500" s="446" t="e">
        <f>IF(OR($B500="",MIN(AR$38,$D$19)&lt;MAX($P$34*($B500+IF($R$17="Distrato",$I$38-1,0)),IF(AND($L$37=0,$P$34=0),"",$L$37-1),IF($R$17="Distrato",$E500,0))),0,YEARFRAC(MAX($P$34*($B500+IF($R$17="Distrato",$I$38-1,0)),IF(AND($L$37=0,$P$34=0),"",$L$37-1),IF($R$17="Distrato",$E500,0)),MIN(AR$38,$D$19),$P$20))-SUM($P500:AQ500)</f>
        <v>#VALUE!</v>
      </c>
      <c r="AS500" s="446" t="e">
        <f>IF(OR($B500="",MIN(AS$38,$D$19)&lt;MAX($P$34*($B500+IF($R$17="Distrato",$I$38-1,0)),IF(AND($L$37=0,$P$34=0),"",$L$37-1),IF($R$17="Distrato",$E500,0))),0,YEARFRAC(MAX($P$34*($B500+IF($R$17="Distrato",$I$38-1,0)),IF(AND($L$37=0,$P$34=0),"",$L$37-1),IF($R$17="Distrato",$E500,0)),MIN(AS$38,$D$19),$P$20))-SUM($P500:AR500)</f>
        <v>#VALUE!</v>
      </c>
      <c r="AT500" s="446" t="e">
        <f>IF(OR($B500="",MIN(AT$38,$D$19)&lt;MAX($P$34*($B500+IF($R$17="Distrato",$I$38-1,0)),IF(AND($L$37=0,$P$34=0),"",$L$37-1),IF($R$17="Distrato",$E500,0))),0,YEARFRAC(MAX($P$34*($B500+IF($R$17="Distrato",$I$38-1,0)),IF(AND($L$37=0,$P$34=0),"",$L$37-1),IF($R$17="Distrato",$E500,0)),MIN(AT$38,$D$19),$P$20))-SUM($P500:AS500)</f>
        <v>#VALUE!</v>
      </c>
      <c r="AU500" s="446" t="e">
        <f>IF(OR($B500="",MIN(AU$38,$D$19)&lt;MAX($P$34*($B500+IF($R$17="Distrato",$I$38-1,0)),IF(AND($L$37=0,$P$34=0),"",$L$37-1),IF($R$17="Distrato",$E500,0))),0,YEARFRAC(MAX($P$34*($B500+IF($R$17="Distrato",$I$38-1,0)),IF(AND($L$37=0,$P$34=0),"",$L$37-1),IF($R$17="Distrato",$E500,0)),MIN(AU$38,$D$19),$P$20))-SUM($P500:AT500)</f>
        <v>#VALUE!</v>
      </c>
      <c r="AV500" s="446" t="e">
        <f>IF(OR($B500="",MIN(AV$38,$D$19)&lt;MAX($P$34*($B500+IF($R$17="Distrato",$I$38-1,0)),IF(AND($L$37=0,$P$34=0),"",$L$37-1),IF($R$17="Distrato",$E500,0))),0,YEARFRAC(MAX($P$34*($B500+IF($R$17="Distrato",$I$38-1,0)),IF(AND($L$37=0,$P$34=0),"",$L$37-1),IF($R$17="Distrato",$E500,0)),MIN(AV$38,$D$19),$P$20))-SUM($P500:AU500)</f>
        <v>#VALUE!</v>
      </c>
      <c r="AW500" s="446" t="e">
        <f>IF(OR($B500="",MIN(AW$38,$D$19)&lt;MAX($P$34*($B500+IF($R$17="Distrato",$I$38-1,0)),IF(AND($L$37=0,$P$34=0),"",$L$37-1),IF($R$17="Distrato",$E500,0))),0,YEARFRAC(MAX($P$34*($B500+IF($R$17="Distrato",$I$38-1,0)),IF(AND($L$37=0,$P$34=0),"",$L$37-1),IF($R$17="Distrato",$E500,0)),MIN(AW$38,$D$19),$P$20))-SUM($P500:AV500)</f>
        <v>#VALUE!</v>
      </c>
      <c r="AX500" s="446" t="e">
        <f>IF(OR($B500="",MIN(AX$38,$D$19)&lt;MAX($P$34*($B500+IF($R$17="Distrato",$I$38-1,0)),IF(AND($L$37=0,$P$34=0),"",$L$37-1),IF($R$17="Distrato",$E500,0))),0,YEARFRAC(MAX($P$34*($B500+IF($R$17="Distrato",$I$38-1,0)),IF(AND($L$37=0,$P$34=0),"",$L$37-1),IF($R$17="Distrato",$E500,0)),MIN(AX$38,$D$19),$P$20))-SUM($P500:AW500)</f>
        <v>#VALUE!</v>
      </c>
      <c r="AY500" s="446" t="e">
        <f>IF(OR($B500="",MIN(AY$38,$D$19)&lt;MAX($P$34*($B500+IF($R$17="Distrato",$I$38-1,0)),IF(AND($L$37=0,$P$34=0),"",$L$37-1),IF($R$17="Distrato",$E500,0))),0,YEARFRAC(MAX($P$34*($B500+IF($R$17="Distrato",$I$38-1,0)),IF(AND($L$37=0,$P$34=0),"",$L$37-1),IF($R$17="Distrato",$E500,0)),MIN(AY$38,$D$19),$P$20))-SUM($P500:AX500)</f>
        <v>#VALUE!</v>
      </c>
      <c r="AZ500" s="446" t="e">
        <f>IF(OR($B500="",MIN(AZ$38,$D$19)&lt;MAX($P$34*($B500+IF($R$17="Distrato",$I$38-1,0)),IF(AND($L$37=0,$P$34=0),"",$L$37-1),IF($R$17="Distrato",$E500,0))),0,YEARFRAC(MAX($P$34*($B500+IF($R$17="Distrato",$I$38-1,0)),IF(AND($L$37=0,$P$34=0),"",$L$37-1),IF($R$17="Distrato",$E500,0)),MIN(AZ$38,$D$19),$P$20))-SUM($P500:AY500)</f>
        <v>#VALUE!</v>
      </c>
      <c r="BA500" s="446" t="e">
        <f>IF(OR($B500="",MIN(BA$38,$D$19)&lt;MAX($P$34*($B500+IF($R$17="Distrato",$I$38-1,0)),IF(AND($L$37=0,$P$34=0),"",$L$37-1),IF($R$17="Distrato",$E500,0))),0,YEARFRAC(MAX($P$34*($B500+IF($R$17="Distrato",$I$38-1,0)),IF(AND($L$37=0,$P$34=0),"",$L$37-1),IF($R$17="Distrato",$E500,0)),MIN(BA$38,$D$19),$P$20))-SUM($P500:AZ500)</f>
        <v>#VALUE!</v>
      </c>
      <c r="BB500" s="447"/>
      <c r="BF500" s="446">
        <f t="shared" si="87"/>
        <v>0</v>
      </c>
      <c r="BG500" s="446">
        <f>IF($E500=0,0,IF(MIN(BG$38,$E500)&lt;MAX($P$34*($B500+$I$38-1),IF(AND($L$37=0,$P$34=0),"",$L$37-1)),0,YEARFRAC(MAX($P$34*($B500+$I$38-1),IF(AND($L$37=0,$P$34=0),"",$L$37-1)),MIN(BG$38,$E500),$P$20))-SUM($BF500:BF500))</f>
        <v>0</v>
      </c>
      <c r="BH500" s="446">
        <f>IF($E500=0,0,IF(MIN(BH$38,$E500)&lt;MAX($P$34*($B500+$I$38-1),IF(AND($L$37=0,$P$34=0),"",$L$37-1)),0,YEARFRAC(MAX($P$34*($B500+$I$38-1),IF(AND($L$37=0,$P$34=0),"",$L$37-1)),MIN(BH$38,$E500),$P$20))-SUM($BF500:BG500))</f>
        <v>0</v>
      </c>
      <c r="BI500" s="446">
        <f>IF($E500=0,0,IF(MIN(BI$38,$E500)&lt;MAX($P$34*($B500+$I$38-1),IF(AND($L$37=0,$P$34=0),"",$L$37-1)),0,YEARFRAC(MAX($P$34*($B500+$I$38-1),IF(AND($L$37=0,$P$34=0),"",$L$37-1)),MIN(BI$38,$E500),$P$20))-SUM($BF500:BH500))</f>
        <v>0</v>
      </c>
      <c r="BJ500" s="446">
        <f>IF($E500=0,0,IF(MIN(BJ$38,$E500)&lt;MAX($P$34*($B500+$I$38-1),IF(AND($L$37=0,$P$34=0),"",$L$37-1)),0,YEARFRAC(MAX($P$34*($B500+$I$38-1),IF(AND($L$37=0,$P$34=0),"",$L$37-1)),MIN(BJ$38,$E500),$P$20))-SUM($BF500:BI500))</f>
        <v>0</v>
      </c>
      <c r="BK500" s="446">
        <f>IF($E500=0,0,IF(MIN(BK$38,$E500)&lt;MAX($P$34*($B500+$I$38-1),IF(AND($L$37=0,$P$34=0),"",$L$37-1)),0,YEARFRAC(MAX($P$34*($B500+$I$38-1),IF(AND($L$37=0,$P$34=0),"",$L$37-1)),MIN(BK$38,$E500),$P$20))-SUM($BF500:BJ500))</f>
        <v>0</v>
      </c>
      <c r="BL500" s="446">
        <f>IF($E500=0,0,IF(MIN(BL$38,$E500)&lt;MAX($P$34*($B500+$I$38-1),IF(AND($L$37=0,$P$34=0),"",$L$37-1)),0,YEARFRAC(MAX($P$34*($B500+$I$38-1),IF(AND($L$37=0,$P$34=0),"",$L$37-1)),MIN(BL$38,$E500),$P$20))-SUM($BF500:BK500))</f>
        <v>0</v>
      </c>
      <c r="BM500" s="446">
        <f>IF($E500=0,0,IF(MIN(BM$38,$E500)&lt;MAX($P$34*($B500+$I$38-1),IF(AND($L$37=0,$P$34=0),"",$L$37-1)),0,YEARFRAC(MAX($P$34*($B500+$I$38-1),IF(AND($L$37=0,$P$34=0),"",$L$37-1)),MIN(BM$38,$E500),$P$20))-SUM($BF500:BL500))</f>
        <v>0</v>
      </c>
      <c r="BN500" s="446">
        <f>IF($E500=0,0,IF(MIN(BN$38,$E500)&lt;MAX($P$34*($B500+$I$38-1),IF(AND($L$37=0,$P$34=0),"",$L$37-1)),0,YEARFRAC(MAX($P$34*($B500+$I$38-1),IF(AND($L$37=0,$P$34=0),"",$L$37-1)),MIN(BN$38,$E500),$P$20))-SUM($BF500:BM500))</f>
        <v>0</v>
      </c>
      <c r="BO500" s="446">
        <f>IF($E500=0,0,IF(MIN(BO$38,$E500)&lt;MAX($P$34*($B500+$I$38-1),IF(AND($L$37=0,$P$34=0),"",$L$37-1)),0,YEARFRAC(MAX($P$34*($B500+$I$38-1),IF(AND($L$37=0,$P$34=0),"",$L$37-1)),MIN(BO$38,$E500),$P$20))-SUM($BF500:BN500))</f>
        <v>0</v>
      </c>
      <c r="BP500" s="446">
        <f>IF($E500=0,0,IF(MIN(BP$38,$E500)&lt;MAX($P$34*($B500+$I$38-1),IF(AND($L$37=0,$P$34=0),"",$L$37-1)),0,YEARFRAC(MAX($P$34*($B500+$I$38-1),IF(AND($L$37=0,$P$34=0),"",$L$37-1)),MIN(BP$38,$E500),$P$20))-SUM($BF500:BO500))</f>
        <v>0</v>
      </c>
      <c r="BQ500" s="446">
        <f>IF($E500=0,0,IF(MIN(BQ$38,$E500)&lt;MAX($P$34*($B500+$I$38-1),IF(AND($L$37=0,$P$34=0),"",$L$37-1)),0,YEARFRAC(MAX($P$34*($B500+$I$38-1),IF(AND($L$37=0,$P$34=0),"",$L$37-1)),MIN(BQ$38,$E500),$P$20))-SUM($BF500:BP500))</f>
        <v>0</v>
      </c>
      <c r="BR500" s="446">
        <f>IF($E500=0,0,IF(MIN(BR$38,$E500)&lt;MAX($P$34*($B500+$I$38-1),IF(AND($L$37=0,$P$34=0),"",$L$37-1)),0,YEARFRAC(MAX($P$34*($B500+$I$38-1),IF(AND($L$37=0,$P$34=0),"",$L$37-1)),MIN(BR$38,$E500),$P$20))-SUM($BF500:BQ500))</f>
        <v>0</v>
      </c>
      <c r="BS500" s="446">
        <f>IF($E500=0,0,IF(MIN(BS$38,$E500)&lt;MAX($P$34*($B500+$I$38-1),IF(AND($L$37=0,$P$34=0),"",$L$37-1)),0,YEARFRAC(MAX($P$34*($B500+$I$38-1),IF(AND($L$37=0,$P$34=0),"",$L$37-1)),MIN(BS$38,$E500),$P$20))-SUM($BF500:BR500))</f>
        <v>0</v>
      </c>
      <c r="BT500" s="446">
        <f>IF($E500=0,0,IF(MIN(BT$38,$E500)&lt;MAX($P$34*($B500+$I$38-1),IF(AND($L$37=0,$P$34=0),"",$L$37-1)),0,YEARFRAC(MAX($P$34*($B500+$I$38-1),IF(AND($L$37=0,$P$34=0),"",$L$37-1)),MIN(BT$38,$E500),$P$20))-SUM($BF500:BS500))</f>
        <v>0</v>
      </c>
      <c r="BU500" s="446">
        <f>IF($E500=0,0,IF(MIN(BU$38,$E500)&lt;MAX($P$34*($B500+$I$38-1),IF(AND($L$37=0,$P$34=0),"",$L$37-1)),0,YEARFRAC(MAX($P$34*($B500+$I$38-1),IF(AND($L$37=0,$P$34=0),"",$L$37-1)),MIN(BU$38,$E500),$P$20))-SUM($BF500:BT500))</f>
        <v>0</v>
      </c>
      <c r="BV500" s="446">
        <f>IF($E500=0,0,IF(MIN(BV$38,$E500)&lt;MAX($P$34*($B500+$I$38-1),IF(AND($L$37=0,$P$34=0),"",$L$37-1)),0,YEARFRAC(MAX($P$34*($B500+$I$38-1),IF(AND($L$37=0,$P$34=0),"",$L$37-1)),MIN(BV$38,$E500),$P$20))-SUM($BF500:BU500))</f>
        <v>0</v>
      </c>
      <c r="BW500" s="446">
        <f>IF($E500=0,0,IF(MIN(BW$38,$E500)&lt;MAX($P$34*($B500+$I$38-1),IF(AND($L$37=0,$P$34=0),"",$L$37-1)),0,YEARFRAC(MAX($P$34*($B500+$I$38-1),IF(AND($L$37=0,$P$34=0),"",$L$37-1)),MIN(BW$38,$E500),$P$20))-SUM($BF500:BV500))</f>
        <v>0</v>
      </c>
      <c r="BX500" s="446">
        <f>IF($E500=0,0,IF(MIN(BX$38,$E500)&lt;MAX($P$34*($B500+$I$38-1),IF(AND($L$37=0,$P$34=0),"",$L$37-1)),0,YEARFRAC(MAX($P$34*($B500+$I$38-1),IF(AND($L$37=0,$P$34=0),"",$L$37-1)),MIN(BX$38,$E500),$P$20))-SUM($BF500:BW500))</f>
        <v>0</v>
      </c>
      <c r="BY500" s="446">
        <f>IF($E500=0,0,IF(MIN(BY$38,$E500)&lt;MAX($P$34*($B500+$I$38-1),IF(AND($L$37=0,$P$34=0),"",$L$37-1)),0,YEARFRAC(MAX($P$34*($B500+$I$38-1),IF(AND($L$37=0,$P$34=0),"",$L$37-1)),MIN(BY$38,$E500),$P$20))-SUM($BF500:BX500))</f>
        <v>0</v>
      </c>
      <c r="BZ500" s="446">
        <f>IF($E500=0,0,IF(MIN(BZ$38,$E500)&lt;MAX($P$34*($B500+$I$38-1),IF(AND($L$37=0,$P$34=0),"",$L$37-1)),0,YEARFRAC(MAX($P$34*($B500+$I$38-1),IF(AND($L$37=0,$P$34=0),"",$L$37-1)),MIN(BZ$38,$E500),$P$20))-SUM($BF500:BY500))</f>
        <v>0</v>
      </c>
      <c r="CA500" s="446">
        <f>IF($E500=0,0,IF(MIN(CA$38,$E500)&lt;MAX($P$34*($B500+$I$38-1),IF(AND($L$37=0,$P$34=0),"",$L$37-1)),0,YEARFRAC(MAX($P$34*($B500+$I$38-1),IF(AND($L$37=0,$P$34=0),"",$L$37-1)),MIN(CA$38,$E500),$P$20))-SUM($BF500:BZ500))</f>
        <v>0</v>
      </c>
      <c r="CB500" s="446">
        <f>IF($E500=0,0,IF(MIN(CB$38,$E500)&lt;MAX($P$34*($B500+$I$38-1),IF(AND($L$37=0,$P$34=0),"",$L$37-1)),0,YEARFRAC(MAX($P$34*($B500+$I$38-1),IF(AND($L$37=0,$P$34=0),"",$L$37-1)),MIN(CB$38,$E500),$P$20))-SUM($BF500:CA500))</f>
        <v>0</v>
      </c>
      <c r="CC500" s="446">
        <f>IF($E500=0,0,IF(MIN(CC$38,$E500)&lt;MAX($P$34*($B500+$I$38-1),IF(AND($L$37=0,$P$34=0),"",$L$37-1)),0,YEARFRAC(MAX($P$34*($B500+$I$38-1),IF(AND($L$37=0,$P$34=0),"",$L$37-1)),MIN(CC$38,$E500),$P$20))-SUM($BF500:CB500))</f>
        <v>0</v>
      </c>
      <c r="CD500" s="446">
        <f>IF($E500=0,0,IF(MIN(CD$38,$E500)&lt;MAX($P$34*($B500+$I$38-1),IF(AND($L$37=0,$P$34=0),"",$L$37-1)),0,YEARFRAC(MAX($P$34*($B500+$I$38-1),IF(AND($L$37=0,$P$34=0),"",$L$37-1)),MIN(CD$38,$E500),$P$20))-SUM($BF500:CC500))</f>
        <v>0</v>
      </c>
      <c r="CE500" s="446">
        <f>IF($E500=0,0,IF(MIN(CE$38,$E500)&lt;MAX($P$34*($B500+$I$38-1),IF(AND($L$37=0,$P$34=0),"",$L$37-1)),0,YEARFRAC(MAX($P$34*($B500+$I$38-1),IF(AND($L$37=0,$P$34=0),"",$L$37-1)),MIN(CE$38,$E500),$P$20))-SUM($BF500:CD500))</f>
        <v>0</v>
      </c>
      <c r="CF500" s="446">
        <f>IF($E500=0,0,IF(MIN(CF$38,$E500)&lt;MAX($P$34*($B500+$I$38-1),IF(AND($L$37=0,$P$34=0),"",$L$37-1)),0,YEARFRAC(MAX($P$34*($B500+$I$38-1),IF(AND($L$37=0,$P$34=0),"",$L$37-1)),MIN(CF$38,$E500),$P$20))-SUM($BF500:CE500))</f>
        <v>0</v>
      </c>
      <c r="CG500" s="446">
        <f>IF($E500=0,0,IF(MIN(CG$38,$E500)&lt;MAX($P$34*($B500+$I$38-1),IF(AND($L$37=0,$P$34=0),"",$L$37-1)),0,YEARFRAC(MAX($P$34*($B500+$I$38-1),IF(AND($L$37=0,$P$34=0),"",$L$37-1)),MIN(CG$38,$E500),$P$20))-SUM($BF500:CF500))</f>
        <v>0</v>
      </c>
      <c r="CH500" s="446">
        <f>IF($E500=0,0,IF(MIN(CH$38,$E500)&lt;MAX($P$34*($B500+$I$38-1),IF(AND($L$37=0,$P$34=0),"",$L$37-1)),0,YEARFRAC(MAX($P$34*($B500+$I$38-1),IF(AND($L$37=0,$P$34=0),"",$L$37-1)),MIN(CH$38,$E500),$P$20))-SUM($BF500:CG500))</f>
        <v>0</v>
      </c>
      <c r="CI500" s="446">
        <f>IF($E500=0,0,IF(MIN(CI$38,$E500)&lt;MAX($P$34*($B500+$I$38-1),IF(AND($L$37=0,$P$34=0),"",$L$37-1)),0,YEARFRAC(MAX($P$34*($B500+$I$38-1),IF(AND($L$37=0,$P$34=0),"",$L$37-1)),MIN(CI$38,$E500),$P$20))-SUM($BF500:CH500))</f>
        <v>0</v>
      </c>
      <c r="CJ500" s="446">
        <f>IF($E500=0,0,IF(MIN(CJ$38,$E500)&lt;MAX($P$34*($B500+$I$38-1),IF(AND($L$37=0,$P$34=0),"",$L$37-1)),0,YEARFRAC(MAX($P$34*($B500+$I$38-1),IF(AND($L$37=0,$P$34=0),"",$L$37-1)),MIN(CJ$38,$E500),$P$20))-SUM($BF500:CI500))</f>
        <v>0</v>
      </c>
      <c r="CK500" s="446">
        <f>IF($E500=0,0,IF(MIN(CK$38,$E500)&lt;MAX($P$34*($B500+$I$38-1),IF(AND($L$37=0,$P$34=0),"",$L$37-1)),0,YEARFRAC(MAX($P$34*($B500+$I$38-1),IF(AND($L$37=0,$P$34=0),"",$L$37-1)),MIN(CK$38,$E500),$P$20))-SUM($BF500:CJ500))</f>
        <v>0</v>
      </c>
      <c r="CL500" s="446">
        <f>IF($E500=0,0,IF(MIN(CL$38,$E500)&lt;MAX($P$34*($B500+$I$38-1),IF(AND($L$37=0,$P$34=0),"",$L$37-1)),0,YEARFRAC(MAX($P$34*($B500+$I$38-1),IF(AND($L$37=0,$P$34=0),"",$L$37-1)),MIN(CL$38,$E500),$P$20))-SUM($BF500:CK500))</f>
        <v>0</v>
      </c>
      <c r="CM500" s="446">
        <f>IF($E500=0,0,IF(MIN(CM$38,$E500)&lt;MAX($P$34*($B500+$I$38-1),IF(AND($L$37=0,$P$34=0),"",$L$37-1)),0,YEARFRAC(MAX($P$34*($B500+$I$38-1),IF(AND($L$37=0,$P$34=0),"",$L$37-1)),MIN(CM$38,$E500),$P$20))-SUM($BF500:CL500))</f>
        <v>0</v>
      </c>
      <c r="CN500" s="446">
        <f>IF($E500=0,0,IF(MIN(CN$38,$E500)&lt;MAX($P$34*($B500+$I$38-1),IF(AND($L$37=0,$P$34=0),"",$L$37-1)),0,YEARFRAC(MAX($P$34*($B500+$I$38-1),IF(AND($L$37=0,$P$34=0),"",$L$37-1)),MIN(CN$38,$E500),$P$20))-SUM($BF500:CM500))</f>
        <v>0</v>
      </c>
      <c r="CO500" s="446">
        <f>IF($E500=0,0,IF(MIN(CO$38,$E500)&lt;MAX($P$34*($B500+$I$38-1),IF(AND($L$37=0,$P$34=0),"",$L$37-1)),0,YEARFRAC(MAX($P$34*($B500+$I$38-1),IF(AND($L$37=0,$P$34=0),"",$L$37-1)),MIN(CO$38,$E500),$P$20))-SUM($BF500:CN500))</f>
        <v>0</v>
      </c>
      <c r="CP500" s="446">
        <f>IF($E500=0,0,IF(MIN(CP$38,$E500)&lt;MAX($P$34*($B500+$I$38-1),IF(AND($L$37=0,$P$34=0),"",$L$37-1)),0,YEARFRAC(MAX($P$34*($B500+$I$38-1),IF(AND($L$37=0,$P$34=0),"",$L$37-1)),MIN(CP$38,$E500),$P$20))-SUM($BF500:CO500))</f>
        <v>0</v>
      </c>
      <c r="CQ500" s="446">
        <f>IF($E500=0,0,IF(MIN(CQ$38,$E500)&lt;MAX($P$34*($B500+$I$38-1),IF(AND($L$37=0,$P$34=0),"",$L$37-1)),0,YEARFRAC(MAX($P$34*($B500+$I$38-1),IF(AND($L$37=0,$P$34=0),"",$L$37-1)),MIN(CQ$38,$E500),$P$20))-SUM($BF500:CP500))</f>
        <v>0</v>
      </c>
    </row>
    <row r="501" spans="1:95" s="446" customFormat="1" ht="11.25" hidden="1" customHeight="1" x14ac:dyDescent="0.2">
      <c r="A501" s="152"/>
      <c r="B501" s="153" t="str">
        <f t="shared" si="92"/>
        <v/>
      </c>
      <c r="C501" s="29" t="str">
        <f>IF(B501="","",IF($L$35="SELIC - TRIBUTOS",VLOOKUP(DATE(YEAR($D$19),MONTH($D$19)-1,1),ÍNDICES!$A:$DE,HLOOKUP($BL$25,ÍNDICES!$B$3:$T$4,2)+11)-VLOOKUP(B501,ÍNDICES!$A:$DE,HLOOKUP($BL$25,ÍNDICES!$B$3:$T$4,2)+11)+1%,IF(C$38=$W$26,$J$35,IF(ISERROR(IF(B501&gt;$D$19,1,VLOOKUP(DATE(YEAR(B501),MONTH(B501)+IF($C$35=$S$23,1,0),1),ÍNDICES!$A:$DE,$Z$35+1))),"",IF(B501&gt;$D$19,1,VLOOKUP(DATE(YEAR(B501),MONTH(B501)+IF($C$35=$S$23,1,0),1),ÍNDICES!$A:$DE,$Z$35+1))))))</f>
        <v/>
      </c>
      <c r="D501" s="154" t="str">
        <f>IF(ISERROR(IF(OR($D$38=$Y$27,$B501=""),"",VLOOKUP(B501,ÍNDICES!A:DE,AF$35+1))),"",IF(OR($D$38=$Y$27,$B501=""),"",VLOOKUP(B501,ÍNDICES!A:DE,AF$35+1)))</f>
        <v/>
      </c>
      <c r="E501" s="153"/>
      <c r="F501" s="29" t="str">
        <f>IF(E501="","",IF($L$35="SELIC - TRIBUTOS",VLOOKUP(DATE(YEAR($D$19),MONTH($D$19)-1,1),ÍNDICES!$A:$DE,HLOOKUP($BL$25,ÍNDICES!$B$3:$T$4,2)+11)-VLOOKUP(E501,ÍNDICES!$A:$DE,HLOOKUP($BL$25,ÍNDICES!$B$3:$T$4,2)+11)+1%,IF(F$38=$W$26,$J$35,IF(ISERROR(IF(E501&gt;$D$19,1,VLOOKUP(DATE(YEAR(E501),MONTH(E501)+IF($C$35=$S$23,1,0),1),ÍNDICES!$A:$DE,$Z$35+1))),"",IF(E501&gt;$D$19,1,VLOOKUP(DATE(YEAR(E501),MONTH(E501)+IF($C$35=$S$23,1,0),1),ÍNDICES!$A:$DE,$Z$35+1))))))</f>
        <v/>
      </c>
      <c r="G501" s="155"/>
      <c r="H501" s="156" t="str">
        <f t="shared" si="88"/>
        <v/>
      </c>
      <c r="I501" s="29" t="str">
        <f t="shared" si="82"/>
        <v/>
      </c>
      <c r="J501" s="5">
        <f t="shared" si="83"/>
        <v>0</v>
      </c>
      <c r="K501" s="20">
        <f t="shared" ca="1" si="84"/>
        <v>0</v>
      </c>
      <c r="L501" s="5">
        <f t="shared" ca="1" si="85"/>
        <v>0</v>
      </c>
      <c r="M501" s="64">
        <f t="shared" si="89"/>
        <v>0</v>
      </c>
      <c r="N501" s="61">
        <f t="shared" ca="1" si="90"/>
        <v>0</v>
      </c>
      <c r="O501" s="5">
        <f t="shared" ca="1" si="91"/>
        <v>0</v>
      </c>
      <c r="P501" s="446" t="e">
        <f t="shared" si="86"/>
        <v>#VALUE!</v>
      </c>
      <c r="Q501" s="446" t="e">
        <f>IF(OR($B501="",MIN(Q$38,$D$19)&lt;MAX($P$34*($B501+IF($R$17="Distrato",$I$38-1,0)),IF(AND($L$37=0,$P$34=0),"",$L$37-1),IF($R$17="Distrato",$E501,0))),0,YEARFRAC(MAX($P$34*($B501+IF($R$17="Distrato",$I$38-1,0)),IF(AND($L$37=0,$P$34=0),"",$L$37-1),IF($R$17="Distrato",$E501,0)),MIN(Q$38,$D$19),$P$20))-SUM($P501:P501)</f>
        <v>#VALUE!</v>
      </c>
      <c r="R501" s="446" t="e">
        <f>IF(OR($B501="",MIN(R$38,$D$19)&lt;MAX($P$34*($B501+IF($R$17="Distrato",$I$38-1,0)),IF(AND($L$37=0,$P$34=0),"",$L$37-1),IF($R$17="Distrato",$E501,0))),0,YEARFRAC(MAX($P$34*($B501+IF($R$17="Distrato",$I$38-1,0)),IF(AND($L$37=0,$P$34=0),"",$L$37-1),IF($R$17="Distrato",$E501,0)),MIN(R$38,$D$19),$P$20))-SUM($P501:Q501)</f>
        <v>#VALUE!</v>
      </c>
      <c r="S501" s="446" t="e">
        <f>IF(OR($B501="",MIN(S$38,$D$19)&lt;MAX($P$34*($B501+IF($R$17="Distrato",$I$38-1,0)),IF(AND($L$37=0,$P$34=0),"",$L$37-1),IF($R$17="Distrato",$E501,0))),0,YEARFRAC(MAX($P$34*($B501+IF($R$17="Distrato",$I$38-1,0)),IF(AND($L$37=0,$P$34=0),"",$L$37-1),IF($R$17="Distrato",$E501,0)),MIN(S$38,$D$19),$P$20))-SUM($P501:R501)</f>
        <v>#VALUE!</v>
      </c>
      <c r="T501" s="446" t="e">
        <f>IF(OR($B501="",MIN(T$38,$D$19)&lt;MAX($P$34*($B501+IF($R$17="Distrato",$I$38-1,0)),IF(AND($L$37=0,$P$34=0),"",$L$37-1),IF($R$17="Distrato",$E501,0))),0,YEARFRAC(MAX($P$34*($B501+IF($R$17="Distrato",$I$38-1,0)),IF(AND($L$37=0,$P$34=0),"",$L$37-1),IF($R$17="Distrato",$E501,0)),MIN(T$38,$D$19),$P$20))-SUM($P501:S501)</f>
        <v>#VALUE!</v>
      </c>
      <c r="U501" s="446" t="e">
        <f>IF(OR($B501="",MIN(U$38,$D$19)&lt;MAX($P$34*($B501+IF($R$17="Distrato",$I$38-1,0)),IF(AND($L$37=0,$P$34=0),"",$L$37-1),IF($R$17="Distrato",$E501,0))),0,YEARFRAC(MAX($P$34*($B501+IF($R$17="Distrato",$I$38-1,0)),IF(AND($L$37=0,$P$34=0),"",$L$37-1),IF($R$17="Distrato",$E501,0)),MIN(U$38,$D$19),$P$20))-SUM($P501:T501)</f>
        <v>#VALUE!</v>
      </c>
      <c r="V501" s="446" t="e">
        <f>IF(OR($B501="",MIN(V$38,$D$19)&lt;MAX($P$34*($B501+IF($R$17="Distrato",$I$38-1,0)),IF(AND($L$37=0,$P$34=0),"",$L$37-1),IF($R$17="Distrato",$E501,0))),0,YEARFRAC(MAX($P$34*($B501+IF($R$17="Distrato",$I$38-1,0)),IF(AND($L$37=0,$P$34=0),"",$L$37-1),IF($R$17="Distrato",$E501,0)),MIN(V$38,$D$19),$P$20))-SUM($P501:U501)</f>
        <v>#VALUE!</v>
      </c>
      <c r="W501" s="446" t="e">
        <f>IF(OR($B501="",MIN(W$38,$D$19)&lt;MAX($P$34*($B501+IF($R$17="Distrato",$I$38-1,0)),IF(AND($L$37=0,$P$34=0),"",$L$37-1),IF($R$17="Distrato",$E501,0))),0,YEARFRAC(MAX($P$34*($B501+IF($R$17="Distrato",$I$38-1,0)),IF(AND($L$37=0,$P$34=0),"",$L$37-1),IF($R$17="Distrato",$E501,0)),MIN(W$38,$D$19),$P$20))-SUM($P501:V501)</f>
        <v>#VALUE!</v>
      </c>
      <c r="X501" s="446" t="e">
        <f>IF(OR($B501="",MIN(X$38,$D$19)&lt;MAX($P$34*($B501+IF($R$17="Distrato",$I$38-1,0)),IF(AND($L$37=0,$P$34=0),"",$L$37-1),IF($R$17="Distrato",$E501,0))),0,YEARFRAC(MAX($P$34*($B501+IF($R$17="Distrato",$I$38-1,0)),IF(AND($L$37=0,$P$34=0),"",$L$37-1),IF($R$17="Distrato",$E501,0)),MIN(X$38,$D$19),$P$20))-SUM($P501:W501)</f>
        <v>#VALUE!</v>
      </c>
      <c r="Y501" s="446" t="e">
        <f>IF(OR($B501="",MIN(Y$38,$D$19)&lt;MAX($P$34*($B501+IF($R$17="Distrato",$I$38-1,0)),IF(AND($L$37=0,$P$34=0),"",$L$37-1),IF($R$17="Distrato",$E501,0))),0,YEARFRAC(MAX($P$34*($B501+IF($R$17="Distrato",$I$38-1,0)),IF(AND($L$37=0,$P$34=0),"",$L$37-1),IF($R$17="Distrato",$E501,0)),MIN(Y$38,$D$19),$P$20))-SUM($P501:X501)</f>
        <v>#VALUE!</v>
      </c>
      <c r="Z501" s="446" t="e">
        <f>IF(OR($B501="",MIN(Z$38,$D$19)&lt;MAX($P$34*($B501+IF($R$17="Distrato",$I$38-1,0)),IF(AND($L$37=0,$P$34=0),"",$L$37-1),IF($R$17="Distrato",$E501,0))),0,YEARFRAC(MAX($P$34*($B501+IF($R$17="Distrato",$I$38-1,0)),IF(AND($L$37=0,$P$34=0),"",$L$37-1),IF($R$17="Distrato",$E501,0)),MIN(Z$38,$D$19),$P$20))-SUM($P501:Y501)</f>
        <v>#VALUE!</v>
      </c>
      <c r="AA501" s="446" t="e">
        <f>IF(OR($B501="",MIN(AA$38,$D$19)&lt;MAX($P$34*($B501+IF($R$17="Distrato",$I$38-1,0)),IF(AND($L$37=0,$P$34=0),"",$L$37-1),IF($R$17="Distrato",$E501,0))),0,YEARFRAC(MAX($P$34*($B501+IF($R$17="Distrato",$I$38-1,0)),IF(AND($L$37=0,$P$34=0),"",$L$37-1),IF($R$17="Distrato",$E501,0)),MIN(AA$38,$D$19),$P$20))-SUM($P501:Z501)</f>
        <v>#VALUE!</v>
      </c>
      <c r="AB501" s="446" t="e">
        <f>IF(OR($B501="",MIN(AB$38,$D$19)&lt;MAX($P$34*($B501+IF($R$17="Distrato",$I$38-1,0)),IF(AND($L$37=0,$P$34=0),"",$L$37-1),IF($R$17="Distrato",$E501,0))),0,YEARFRAC(MAX($P$34*($B501+IF($R$17="Distrato",$I$38-1,0)),IF(AND($L$37=0,$P$34=0),"",$L$37-1),IF($R$17="Distrato",$E501,0)),MIN(AB$38,$D$19),$P$20))-SUM($P501:AA501)</f>
        <v>#VALUE!</v>
      </c>
      <c r="AC501" s="446" t="e">
        <f>IF(OR($B501="",MIN(AC$38,$D$19)&lt;MAX($P$34*($B501+IF($R$17="Distrato",$I$38-1,0)),IF(AND($L$37=0,$P$34=0),"",$L$37-1),IF($R$17="Distrato",$E501,0))),0,YEARFRAC(MAX($P$34*($B501+IF($R$17="Distrato",$I$38-1,0)),IF(AND($L$37=0,$P$34=0),"",$L$37-1),IF($R$17="Distrato",$E501,0)),MIN(AC$38,$D$19),$P$20))-SUM($P501:AB501)</f>
        <v>#VALUE!</v>
      </c>
      <c r="AD501" s="446" t="e">
        <f>IF(OR($B501="",MIN(AD$38,$D$19)&lt;MAX($P$34*($B501+IF($R$17="Distrato",$I$38-1,0)),IF(AND($L$37=0,$P$34=0),"",$L$37-1),IF($R$17="Distrato",$E501,0))),0,YEARFRAC(MAX($P$34*($B501+IF($R$17="Distrato",$I$38-1,0)),IF(AND($L$37=0,$P$34=0),"",$L$37-1),IF($R$17="Distrato",$E501,0)),MIN(AD$38,$D$19),$P$20))-SUM($P501:AC501)</f>
        <v>#VALUE!</v>
      </c>
      <c r="AE501" s="446" t="e">
        <f>IF(OR($B501="",MIN(AE$38,$D$19)&lt;MAX($P$34*($B501+IF($R$17="Distrato",$I$38-1,0)),IF(AND($L$37=0,$P$34=0),"",$L$37-1),IF($R$17="Distrato",$E501,0))),0,YEARFRAC(MAX($P$34*($B501+IF($R$17="Distrato",$I$38-1,0)),IF(AND($L$37=0,$P$34=0),"",$L$37-1),IF($R$17="Distrato",$E501,0)),MIN(AE$38,$D$19),$P$20))-SUM($P501:AD501)</f>
        <v>#VALUE!</v>
      </c>
      <c r="AF501" s="446" t="e">
        <f>IF(OR($B501="",MIN(AF$38,$D$19)&lt;MAX($P$34*($B501+IF($R$17="Distrato",$I$38-1,0)),IF(AND($L$37=0,$P$34=0),"",$L$37-1),IF($R$17="Distrato",$E501,0))),0,YEARFRAC(MAX($P$34*($B501+IF($R$17="Distrato",$I$38-1,0)),IF(AND($L$37=0,$P$34=0),"",$L$37-1),IF($R$17="Distrato",$E501,0)),MIN(AF$38,$D$19),$P$20))-SUM($P501:AE501)</f>
        <v>#VALUE!</v>
      </c>
      <c r="AG501" s="446" t="e">
        <f>IF(OR($B501="",MIN(AG$38,$D$19)&lt;MAX($P$34*($B501+IF($R$17="Distrato",$I$38-1,0)),IF(AND($L$37=0,$P$34=0),"",$L$37-1),IF($R$17="Distrato",$E501,0))),0,YEARFRAC(MAX($P$34*($B501+IF($R$17="Distrato",$I$38-1,0)),IF(AND($L$37=0,$P$34=0),"",$L$37-1),IF($R$17="Distrato",$E501,0)),MIN(AG$38,$D$19),$P$20))-SUM($P501:AF501)</f>
        <v>#VALUE!</v>
      </c>
      <c r="AH501" s="446" t="e">
        <f>IF(OR($B501="",MIN(AH$38,$D$19)&lt;MAX($P$34*($B501+IF($R$17="Distrato",$I$38-1,0)),IF(AND($L$37=0,$P$34=0),"",$L$37-1),IF($R$17="Distrato",$E501,0))),0,YEARFRAC(MAX($P$34*($B501+IF($R$17="Distrato",$I$38-1,0)),IF(AND($L$37=0,$P$34=0),"",$L$37-1),IF($R$17="Distrato",$E501,0)),MIN(AH$38,$D$19),$P$20))-SUM($P501:AG501)</f>
        <v>#VALUE!</v>
      </c>
      <c r="AI501" s="446" t="e">
        <f>IF(OR($B501="",MIN(AI$38,$D$19)&lt;MAX($P$34*($B501+IF($R$17="Distrato",$I$38-1,0)),IF(AND($L$37=0,$P$34=0),"",$L$37-1),IF($R$17="Distrato",$E501,0))),0,YEARFRAC(MAX($P$34*($B501+IF($R$17="Distrato",$I$38-1,0)),IF(AND($L$37=0,$P$34=0),"",$L$37-1),IF($R$17="Distrato",$E501,0)),MIN(AI$38,$D$19),$P$20))-SUM($P501:AH501)</f>
        <v>#VALUE!</v>
      </c>
      <c r="AJ501" s="446" t="e">
        <f>IF(OR($B501="",MIN(AJ$38,$D$19)&lt;MAX($P$34*($B501+IF($R$17="Distrato",$I$38-1,0)),IF(AND($L$37=0,$P$34=0),"",$L$37-1),IF($R$17="Distrato",$E501,0))),0,YEARFRAC(MAX($P$34*($B501+IF($R$17="Distrato",$I$38-1,0)),IF(AND($L$37=0,$P$34=0),"",$L$37-1),IF($R$17="Distrato",$E501,0)),MIN(AJ$38,$D$19),$P$20))-SUM($P501:AI501)</f>
        <v>#VALUE!</v>
      </c>
      <c r="AK501" s="446" t="e">
        <f>IF(OR($B501="",MIN(AK$38,$D$19)&lt;MAX($P$34*($B501+IF($R$17="Distrato",$I$38-1,0)),IF(AND($L$37=0,$P$34=0),"",$L$37-1),IF($R$17="Distrato",$E501,0))),0,YEARFRAC(MAX($P$34*($B501+IF($R$17="Distrato",$I$38-1,0)),IF(AND($L$37=0,$P$34=0),"",$L$37-1),IF($R$17="Distrato",$E501,0)),MIN(AK$38,$D$19),$P$20))-SUM($P501:AJ501)</f>
        <v>#VALUE!</v>
      </c>
      <c r="AL501" s="446" t="e">
        <f>IF(OR($B501="",MIN(AL$38,$D$19)&lt;MAX($P$34*($B501+IF($R$17="Distrato",$I$38-1,0)),IF(AND($L$37=0,$P$34=0),"",$L$37-1),IF($R$17="Distrato",$E501,0))),0,YEARFRAC(MAX($P$34*($B501+IF($R$17="Distrato",$I$38-1,0)),IF(AND($L$37=0,$P$34=0),"",$L$37-1),IF($R$17="Distrato",$E501,0)),MIN(AL$38,$D$19),$P$20))-SUM($P501:AK501)</f>
        <v>#VALUE!</v>
      </c>
      <c r="AM501" s="446" t="e">
        <f>IF(OR($B501="",MIN(AM$38,$D$19)&lt;MAX($P$34*($B501+IF($R$17="Distrato",$I$38-1,0)),IF(AND($L$37=0,$P$34=0),"",$L$37-1),IF($R$17="Distrato",$E501,0))),0,YEARFRAC(MAX($P$34*($B501+IF($R$17="Distrato",$I$38-1,0)),IF(AND($L$37=0,$P$34=0),"",$L$37-1),IF($R$17="Distrato",$E501,0)),MIN(AM$38,$D$19),$P$20))-SUM($P501:AL501)</f>
        <v>#VALUE!</v>
      </c>
      <c r="AN501" s="446" t="e">
        <f>IF(OR($B501="",MIN(AN$38,$D$19)&lt;MAX($P$34*($B501+IF($R$17="Distrato",$I$38-1,0)),IF(AND($L$37=0,$P$34=0),"",$L$37-1),IF($R$17="Distrato",$E501,0))),0,YEARFRAC(MAX($P$34*($B501+IF($R$17="Distrato",$I$38-1,0)),IF(AND($L$37=0,$P$34=0),"",$L$37-1),IF($R$17="Distrato",$E501,0)),MIN(AN$38,$D$19),$P$20))-SUM($P501:AM501)</f>
        <v>#VALUE!</v>
      </c>
      <c r="AO501" s="446" t="e">
        <f>IF(OR($B501="",MIN(AO$38,$D$19)&lt;MAX($P$34*($B501+IF($R$17="Distrato",$I$38-1,0)),IF(AND($L$37=0,$P$34=0),"",$L$37-1),IF($R$17="Distrato",$E501,0))),0,YEARFRAC(MAX($P$34*($B501+IF($R$17="Distrato",$I$38-1,0)),IF(AND($L$37=0,$P$34=0),"",$L$37-1),IF($R$17="Distrato",$E501,0)),MIN(AO$38,$D$19),$P$20))-SUM($P501:AN501)</f>
        <v>#VALUE!</v>
      </c>
      <c r="AP501" s="446" t="e">
        <f>IF(OR($B501="",MIN(AP$38,$D$19)&lt;MAX($P$34*($B501+IF($R$17="Distrato",$I$38-1,0)),IF(AND($L$37=0,$P$34=0),"",$L$37-1),IF($R$17="Distrato",$E501,0))),0,YEARFRAC(MAX($P$34*($B501+IF($R$17="Distrato",$I$38-1,0)),IF(AND($L$37=0,$P$34=0),"",$L$37-1),IF($R$17="Distrato",$E501,0)),MIN(AP$38,$D$19),$P$20))-SUM($P501:AO501)</f>
        <v>#VALUE!</v>
      </c>
      <c r="AQ501" s="446" t="e">
        <f>IF(OR($B501="",MIN(AQ$38,$D$19)&lt;MAX($P$34*($B501+IF($R$17="Distrato",$I$38-1,0)),IF(AND($L$37=0,$P$34=0),"",$L$37-1),IF($R$17="Distrato",$E501,0))),0,YEARFRAC(MAX($P$34*($B501+IF($R$17="Distrato",$I$38-1,0)),IF(AND($L$37=0,$P$34=0),"",$L$37-1),IF($R$17="Distrato",$E501,0)),MIN(AQ$38,$D$19),$P$20))-SUM($P501:AP501)</f>
        <v>#VALUE!</v>
      </c>
      <c r="AR501" s="446" t="e">
        <f>IF(OR($B501="",MIN(AR$38,$D$19)&lt;MAX($P$34*($B501+IF($R$17="Distrato",$I$38-1,0)),IF(AND($L$37=0,$P$34=0),"",$L$37-1),IF($R$17="Distrato",$E501,0))),0,YEARFRAC(MAX($P$34*($B501+IF($R$17="Distrato",$I$38-1,0)),IF(AND($L$37=0,$P$34=0),"",$L$37-1),IF($R$17="Distrato",$E501,0)),MIN(AR$38,$D$19),$P$20))-SUM($P501:AQ501)</f>
        <v>#VALUE!</v>
      </c>
      <c r="AS501" s="446" t="e">
        <f>IF(OR($B501="",MIN(AS$38,$D$19)&lt;MAX($P$34*($B501+IF($R$17="Distrato",$I$38-1,0)),IF(AND($L$37=0,$P$34=0),"",$L$37-1),IF($R$17="Distrato",$E501,0))),0,YEARFRAC(MAX($P$34*($B501+IF($R$17="Distrato",$I$38-1,0)),IF(AND($L$37=0,$P$34=0),"",$L$37-1),IF($R$17="Distrato",$E501,0)),MIN(AS$38,$D$19),$P$20))-SUM($P501:AR501)</f>
        <v>#VALUE!</v>
      </c>
      <c r="AT501" s="446" t="e">
        <f>IF(OR($B501="",MIN(AT$38,$D$19)&lt;MAX($P$34*($B501+IF($R$17="Distrato",$I$38-1,0)),IF(AND($L$37=0,$P$34=0),"",$L$37-1),IF($R$17="Distrato",$E501,0))),0,YEARFRAC(MAX($P$34*($B501+IF($R$17="Distrato",$I$38-1,0)),IF(AND($L$37=0,$P$34=0),"",$L$37-1),IF($R$17="Distrato",$E501,0)),MIN(AT$38,$D$19),$P$20))-SUM($P501:AS501)</f>
        <v>#VALUE!</v>
      </c>
      <c r="AU501" s="446" t="e">
        <f>IF(OR($B501="",MIN(AU$38,$D$19)&lt;MAX($P$34*($B501+IF($R$17="Distrato",$I$38-1,0)),IF(AND($L$37=0,$P$34=0),"",$L$37-1),IF($R$17="Distrato",$E501,0))),0,YEARFRAC(MAX($P$34*($B501+IF($R$17="Distrato",$I$38-1,0)),IF(AND($L$37=0,$P$34=0),"",$L$37-1),IF($R$17="Distrato",$E501,0)),MIN(AU$38,$D$19),$P$20))-SUM($P501:AT501)</f>
        <v>#VALUE!</v>
      </c>
      <c r="AV501" s="446" t="e">
        <f>IF(OR($B501="",MIN(AV$38,$D$19)&lt;MAX($P$34*($B501+IF($R$17="Distrato",$I$38-1,0)),IF(AND($L$37=0,$P$34=0),"",$L$37-1),IF($R$17="Distrato",$E501,0))),0,YEARFRAC(MAX($P$34*($B501+IF($R$17="Distrato",$I$38-1,0)),IF(AND($L$37=0,$P$34=0),"",$L$37-1),IF($R$17="Distrato",$E501,0)),MIN(AV$38,$D$19),$P$20))-SUM($P501:AU501)</f>
        <v>#VALUE!</v>
      </c>
      <c r="AW501" s="446" t="e">
        <f>IF(OR($B501="",MIN(AW$38,$D$19)&lt;MAX($P$34*($B501+IF($R$17="Distrato",$I$38-1,0)),IF(AND($L$37=0,$P$34=0),"",$L$37-1),IF($R$17="Distrato",$E501,0))),0,YEARFRAC(MAX($P$34*($B501+IF($R$17="Distrato",$I$38-1,0)),IF(AND($L$37=0,$P$34=0),"",$L$37-1),IF($R$17="Distrato",$E501,0)),MIN(AW$38,$D$19),$P$20))-SUM($P501:AV501)</f>
        <v>#VALUE!</v>
      </c>
      <c r="AX501" s="446" t="e">
        <f>IF(OR($B501="",MIN(AX$38,$D$19)&lt;MAX($P$34*($B501+IF($R$17="Distrato",$I$38-1,0)),IF(AND($L$37=0,$P$34=0),"",$L$37-1),IF($R$17="Distrato",$E501,0))),0,YEARFRAC(MAX($P$34*($B501+IF($R$17="Distrato",$I$38-1,0)),IF(AND($L$37=0,$P$34=0),"",$L$37-1),IF($R$17="Distrato",$E501,0)),MIN(AX$38,$D$19),$P$20))-SUM($P501:AW501)</f>
        <v>#VALUE!</v>
      </c>
      <c r="AY501" s="446" t="e">
        <f>IF(OR($B501="",MIN(AY$38,$D$19)&lt;MAX($P$34*($B501+IF($R$17="Distrato",$I$38-1,0)),IF(AND($L$37=0,$P$34=0),"",$L$37-1),IF($R$17="Distrato",$E501,0))),0,YEARFRAC(MAX($P$34*($B501+IF($R$17="Distrato",$I$38-1,0)),IF(AND($L$37=0,$P$34=0),"",$L$37-1),IF($R$17="Distrato",$E501,0)),MIN(AY$38,$D$19),$P$20))-SUM($P501:AX501)</f>
        <v>#VALUE!</v>
      </c>
      <c r="AZ501" s="446" t="e">
        <f>IF(OR($B501="",MIN(AZ$38,$D$19)&lt;MAX($P$34*($B501+IF($R$17="Distrato",$I$38-1,0)),IF(AND($L$37=0,$P$34=0),"",$L$37-1),IF($R$17="Distrato",$E501,0))),0,YEARFRAC(MAX($P$34*($B501+IF($R$17="Distrato",$I$38-1,0)),IF(AND($L$37=0,$P$34=0),"",$L$37-1),IF($R$17="Distrato",$E501,0)),MIN(AZ$38,$D$19),$P$20))-SUM($P501:AY501)</f>
        <v>#VALUE!</v>
      </c>
      <c r="BA501" s="446" t="e">
        <f>IF(OR($B501="",MIN(BA$38,$D$19)&lt;MAX($P$34*($B501+IF($R$17="Distrato",$I$38-1,0)),IF(AND($L$37=0,$P$34=0),"",$L$37-1),IF($R$17="Distrato",$E501,0))),0,YEARFRAC(MAX($P$34*($B501+IF($R$17="Distrato",$I$38-1,0)),IF(AND($L$37=0,$P$34=0),"",$L$37-1),IF($R$17="Distrato",$E501,0)),MIN(BA$38,$D$19),$P$20))-SUM($P501:AZ501)</f>
        <v>#VALUE!</v>
      </c>
      <c r="BB501" s="447"/>
      <c r="BF501" s="446">
        <f t="shared" si="87"/>
        <v>0</v>
      </c>
      <c r="BG501" s="446">
        <f>IF($E501=0,0,IF(MIN(BG$38,$E501)&lt;MAX($P$34*($B501+$I$38-1),IF(AND($L$37=0,$P$34=0),"",$L$37-1)),0,YEARFRAC(MAX($P$34*($B501+$I$38-1),IF(AND($L$37=0,$P$34=0),"",$L$37-1)),MIN(BG$38,$E501),$P$20))-SUM($BF501:BF501))</f>
        <v>0</v>
      </c>
      <c r="BH501" s="446">
        <f>IF($E501=0,0,IF(MIN(BH$38,$E501)&lt;MAX($P$34*($B501+$I$38-1),IF(AND($L$37=0,$P$34=0),"",$L$37-1)),0,YEARFRAC(MAX($P$34*($B501+$I$38-1),IF(AND($L$37=0,$P$34=0),"",$L$37-1)),MIN(BH$38,$E501),$P$20))-SUM($BF501:BG501))</f>
        <v>0</v>
      </c>
      <c r="BI501" s="446">
        <f>IF($E501=0,0,IF(MIN(BI$38,$E501)&lt;MAX($P$34*($B501+$I$38-1),IF(AND($L$37=0,$P$34=0),"",$L$37-1)),0,YEARFRAC(MAX($P$34*($B501+$I$38-1),IF(AND($L$37=0,$P$34=0),"",$L$37-1)),MIN(BI$38,$E501),$P$20))-SUM($BF501:BH501))</f>
        <v>0</v>
      </c>
      <c r="BJ501" s="446">
        <f>IF($E501=0,0,IF(MIN(BJ$38,$E501)&lt;MAX($P$34*($B501+$I$38-1),IF(AND($L$37=0,$P$34=0),"",$L$37-1)),0,YEARFRAC(MAX($P$34*($B501+$I$38-1),IF(AND($L$37=0,$P$34=0),"",$L$37-1)),MIN(BJ$38,$E501),$P$20))-SUM($BF501:BI501))</f>
        <v>0</v>
      </c>
      <c r="BK501" s="446">
        <f>IF($E501=0,0,IF(MIN(BK$38,$E501)&lt;MAX($P$34*($B501+$I$38-1),IF(AND($L$37=0,$P$34=0),"",$L$37-1)),0,YEARFRAC(MAX($P$34*($B501+$I$38-1),IF(AND($L$37=0,$P$34=0),"",$L$37-1)),MIN(BK$38,$E501),$P$20))-SUM($BF501:BJ501))</f>
        <v>0</v>
      </c>
      <c r="BL501" s="446">
        <f>IF($E501=0,0,IF(MIN(BL$38,$E501)&lt;MAX($P$34*($B501+$I$38-1),IF(AND($L$37=0,$P$34=0),"",$L$37-1)),0,YEARFRAC(MAX($P$34*($B501+$I$38-1),IF(AND($L$37=0,$P$34=0),"",$L$37-1)),MIN(BL$38,$E501),$P$20))-SUM($BF501:BK501))</f>
        <v>0</v>
      </c>
      <c r="BM501" s="446">
        <f>IF($E501=0,0,IF(MIN(BM$38,$E501)&lt;MAX($P$34*($B501+$I$38-1),IF(AND($L$37=0,$P$34=0),"",$L$37-1)),0,YEARFRAC(MAX($P$34*($B501+$I$38-1),IF(AND($L$37=0,$P$34=0),"",$L$37-1)),MIN(BM$38,$E501),$P$20))-SUM($BF501:BL501))</f>
        <v>0</v>
      </c>
      <c r="BN501" s="446">
        <f>IF($E501=0,0,IF(MIN(BN$38,$E501)&lt;MAX($P$34*($B501+$I$38-1),IF(AND($L$37=0,$P$34=0),"",$L$37-1)),0,YEARFRAC(MAX($P$34*($B501+$I$38-1),IF(AND($L$37=0,$P$34=0),"",$L$37-1)),MIN(BN$38,$E501),$P$20))-SUM($BF501:BM501))</f>
        <v>0</v>
      </c>
      <c r="BO501" s="446">
        <f>IF($E501=0,0,IF(MIN(BO$38,$E501)&lt;MAX($P$34*($B501+$I$38-1),IF(AND($L$37=0,$P$34=0),"",$L$37-1)),0,YEARFRAC(MAX($P$34*($B501+$I$38-1),IF(AND($L$37=0,$P$34=0),"",$L$37-1)),MIN(BO$38,$E501),$P$20))-SUM($BF501:BN501))</f>
        <v>0</v>
      </c>
      <c r="BP501" s="446">
        <f>IF($E501=0,0,IF(MIN(BP$38,$E501)&lt;MAX($P$34*($B501+$I$38-1),IF(AND($L$37=0,$P$34=0),"",$L$37-1)),0,YEARFRAC(MAX($P$34*($B501+$I$38-1),IF(AND($L$37=0,$P$34=0),"",$L$37-1)),MIN(BP$38,$E501),$P$20))-SUM($BF501:BO501))</f>
        <v>0</v>
      </c>
      <c r="BQ501" s="446">
        <f>IF($E501=0,0,IF(MIN(BQ$38,$E501)&lt;MAX($P$34*($B501+$I$38-1),IF(AND($L$37=0,$P$34=0),"",$L$37-1)),0,YEARFRAC(MAX($P$34*($B501+$I$38-1),IF(AND($L$37=0,$P$34=0),"",$L$37-1)),MIN(BQ$38,$E501),$P$20))-SUM($BF501:BP501))</f>
        <v>0</v>
      </c>
      <c r="BR501" s="446">
        <f>IF($E501=0,0,IF(MIN(BR$38,$E501)&lt;MAX($P$34*($B501+$I$38-1),IF(AND($L$37=0,$P$34=0),"",$L$37-1)),0,YEARFRAC(MAX($P$34*($B501+$I$38-1),IF(AND($L$37=0,$P$34=0),"",$L$37-1)),MIN(BR$38,$E501),$P$20))-SUM($BF501:BQ501))</f>
        <v>0</v>
      </c>
      <c r="BS501" s="446">
        <f>IF($E501=0,0,IF(MIN(BS$38,$E501)&lt;MAX($P$34*($B501+$I$38-1),IF(AND($L$37=0,$P$34=0),"",$L$37-1)),0,YEARFRAC(MAX($P$34*($B501+$I$38-1),IF(AND($L$37=0,$P$34=0),"",$L$37-1)),MIN(BS$38,$E501),$P$20))-SUM($BF501:BR501))</f>
        <v>0</v>
      </c>
      <c r="BT501" s="446">
        <f>IF($E501=0,0,IF(MIN(BT$38,$E501)&lt;MAX($P$34*($B501+$I$38-1),IF(AND($L$37=0,$P$34=0),"",$L$37-1)),0,YEARFRAC(MAX($P$34*($B501+$I$38-1),IF(AND($L$37=0,$P$34=0),"",$L$37-1)),MIN(BT$38,$E501),$P$20))-SUM($BF501:BS501))</f>
        <v>0</v>
      </c>
      <c r="BU501" s="446">
        <f>IF($E501=0,0,IF(MIN(BU$38,$E501)&lt;MAX($P$34*($B501+$I$38-1),IF(AND($L$37=0,$P$34=0),"",$L$37-1)),0,YEARFRAC(MAX($P$34*($B501+$I$38-1),IF(AND($L$37=0,$P$34=0),"",$L$37-1)),MIN(BU$38,$E501),$P$20))-SUM($BF501:BT501))</f>
        <v>0</v>
      </c>
      <c r="BV501" s="446">
        <f>IF($E501=0,0,IF(MIN(BV$38,$E501)&lt;MAX($P$34*($B501+$I$38-1),IF(AND($L$37=0,$P$34=0),"",$L$37-1)),0,YEARFRAC(MAX($P$34*($B501+$I$38-1),IF(AND($L$37=0,$P$34=0),"",$L$37-1)),MIN(BV$38,$E501),$P$20))-SUM($BF501:BU501))</f>
        <v>0</v>
      </c>
      <c r="BW501" s="446">
        <f>IF($E501=0,0,IF(MIN(BW$38,$E501)&lt;MAX($P$34*($B501+$I$38-1),IF(AND($L$37=0,$P$34=0),"",$L$37-1)),0,YEARFRAC(MAX($P$34*($B501+$I$38-1),IF(AND($L$37=0,$P$34=0),"",$L$37-1)),MIN(BW$38,$E501),$P$20))-SUM($BF501:BV501))</f>
        <v>0</v>
      </c>
      <c r="BX501" s="446">
        <f>IF($E501=0,0,IF(MIN(BX$38,$E501)&lt;MAX($P$34*($B501+$I$38-1),IF(AND($L$37=0,$P$34=0),"",$L$37-1)),0,YEARFRAC(MAX($P$34*($B501+$I$38-1),IF(AND($L$37=0,$P$34=0),"",$L$37-1)),MIN(BX$38,$E501),$P$20))-SUM($BF501:BW501))</f>
        <v>0</v>
      </c>
      <c r="BY501" s="446">
        <f>IF($E501=0,0,IF(MIN(BY$38,$E501)&lt;MAX($P$34*($B501+$I$38-1),IF(AND($L$37=0,$P$34=0),"",$L$37-1)),0,YEARFRAC(MAX($P$34*($B501+$I$38-1),IF(AND($L$37=0,$P$34=0),"",$L$37-1)),MIN(BY$38,$E501),$P$20))-SUM($BF501:BX501))</f>
        <v>0</v>
      </c>
      <c r="BZ501" s="446">
        <f>IF($E501=0,0,IF(MIN(BZ$38,$E501)&lt;MAX($P$34*($B501+$I$38-1),IF(AND($L$37=0,$P$34=0),"",$L$37-1)),0,YEARFRAC(MAX($P$34*($B501+$I$38-1),IF(AND($L$37=0,$P$34=0),"",$L$37-1)),MIN(BZ$38,$E501),$P$20))-SUM($BF501:BY501))</f>
        <v>0</v>
      </c>
      <c r="CA501" s="446">
        <f>IF($E501=0,0,IF(MIN(CA$38,$E501)&lt;MAX($P$34*($B501+$I$38-1),IF(AND($L$37=0,$P$34=0),"",$L$37-1)),0,YEARFRAC(MAX($P$34*($B501+$I$38-1),IF(AND($L$37=0,$P$34=0),"",$L$37-1)),MIN(CA$38,$E501),$P$20))-SUM($BF501:BZ501))</f>
        <v>0</v>
      </c>
      <c r="CB501" s="446">
        <f>IF($E501=0,0,IF(MIN(CB$38,$E501)&lt;MAX($P$34*($B501+$I$38-1),IF(AND($L$37=0,$P$34=0),"",$L$37-1)),0,YEARFRAC(MAX($P$34*($B501+$I$38-1),IF(AND($L$37=0,$P$34=0),"",$L$37-1)),MIN(CB$38,$E501),$P$20))-SUM($BF501:CA501))</f>
        <v>0</v>
      </c>
      <c r="CC501" s="446">
        <f>IF($E501=0,0,IF(MIN(CC$38,$E501)&lt;MAX($P$34*($B501+$I$38-1),IF(AND($L$37=0,$P$34=0),"",$L$37-1)),0,YEARFRAC(MAX($P$34*($B501+$I$38-1),IF(AND($L$37=0,$P$34=0),"",$L$37-1)),MIN(CC$38,$E501),$P$20))-SUM($BF501:CB501))</f>
        <v>0</v>
      </c>
      <c r="CD501" s="446">
        <f>IF($E501=0,0,IF(MIN(CD$38,$E501)&lt;MAX($P$34*($B501+$I$38-1),IF(AND($L$37=0,$P$34=0),"",$L$37-1)),0,YEARFRAC(MAX($P$34*($B501+$I$38-1),IF(AND($L$37=0,$P$34=0),"",$L$37-1)),MIN(CD$38,$E501),$P$20))-SUM($BF501:CC501))</f>
        <v>0</v>
      </c>
      <c r="CE501" s="446">
        <f>IF($E501=0,0,IF(MIN(CE$38,$E501)&lt;MAX($P$34*($B501+$I$38-1),IF(AND($L$37=0,$P$34=0),"",$L$37-1)),0,YEARFRAC(MAX($P$34*($B501+$I$38-1),IF(AND($L$37=0,$P$34=0),"",$L$37-1)),MIN(CE$38,$E501),$P$20))-SUM($BF501:CD501))</f>
        <v>0</v>
      </c>
      <c r="CF501" s="446">
        <f>IF($E501=0,0,IF(MIN(CF$38,$E501)&lt;MAX($P$34*($B501+$I$38-1),IF(AND($L$37=0,$P$34=0),"",$L$37-1)),0,YEARFRAC(MAX($P$34*($B501+$I$38-1),IF(AND($L$37=0,$P$34=0),"",$L$37-1)),MIN(CF$38,$E501),$P$20))-SUM($BF501:CE501))</f>
        <v>0</v>
      </c>
      <c r="CG501" s="446">
        <f>IF($E501=0,0,IF(MIN(CG$38,$E501)&lt;MAX($P$34*($B501+$I$38-1),IF(AND($L$37=0,$P$34=0),"",$L$37-1)),0,YEARFRAC(MAX($P$34*($B501+$I$38-1),IF(AND($L$37=0,$P$34=0),"",$L$37-1)),MIN(CG$38,$E501),$P$20))-SUM($BF501:CF501))</f>
        <v>0</v>
      </c>
      <c r="CH501" s="446">
        <f>IF($E501=0,0,IF(MIN(CH$38,$E501)&lt;MAX($P$34*($B501+$I$38-1),IF(AND($L$37=0,$P$34=0),"",$L$37-1)),0,YEARFRAC(MAX($P$34*($B501+$I$38-1),IF(AND($L$37=0,$P$34=0),"",$L$37-1)),MIN(CH$38,$E501),$P$20))-SUM($BF501:CG501))</f>
        <v>0</v>
      </c>
      <c r="CI501" s="446">
        <f>IF($E501=0,0,IF(MIN(CI$38,$E501)&lt;MAX($P$34*($B501+$I$38-1),IF(AND($L$37=0,$P$34=0),"",$L$37-1)),0,YEARFRAC(MAX($P$34*($B501+$I$38-1),IF(AND($L$37=0,$P$34=0),"",$L$37-1)),MIN(CI$38,$E501),$P$20))-SUM($BF501:CH501))</f>
        <v>0</v>
      </c>
      <c r="CJ501" s="446">
        <f>IF($E501=0,0,IF(MIN(CJ$38,$E501)&lt;MAX($P$34*($B501+$I$38-1),IF(AND($L$37=0,$P$34=0),"",$L$37-1)),0,YEARFRAC(MAX($P$34*($B501+$I$38-1),IF(AND($L$37=0,$P$34=0),"",$L$37-1)),MIN(CJ$38,$E501),$P$20))-SUM($BF501:CI501))</f>
        <v>0</v>
      </c>
      <c r="CK501" s="446">
        <f>IF($E501=0,0,IF(MIN(CK$38,$E501)&lt;MAX($P$34*($B501+$I$38-1),IF(AND($L$37=0,$P$34=0),"",$L$37-1)),0,YEARFRAC(MAX($P$34*($B501+$I$38-1),IF(AND($L$37=0,$P$34=0),"",$L$37-1)),MIN(CK$38,$E501),$P$20))-SUM($BF501:CJ501))</f>
        <v>0</v>
      </c>
      <c r="CL501" s="446">
        <f>IF($E501=0,0,IF(MIN(CL$38,$E501)&lt;MAX($P$34*($B501+$I$38-1),IF(AND($L$37=0,$P$34=0),"",$L$37-1)),0,YEARFRAC(MAX($P$34*($B501+$I$38-1),IF(AND($L$37=0,$P$34=0),"",$L$37-1)),MIN(CL$38,$E501),$P$20))-SUM($BF501:CK501))</f>
        <v>0</v>
      </c>
      <c r="CM501" s="446">
        <f>IF($E501=0,0,IF(MIN(CM$38,$E501)&lt;MAX($P$34*($B501+$I$38-1),IF(AND($L$37=0,$P$34=0),"",$L$37-1)),0,YEARFRAC(MAX($P$34*($B501+$I$38-1),IF(AND($L$37=0,$P$34=0),"",$L$37-1)),MIN(CM$38,$E501),$P$20))-SUM($BF501:CL501))</f>
        <v>0</v>
      </c>
      <c r="CN501" s="446">
        <f>IF($E501=0,0,IF(MIN(CN$38,$E501)&lt;MAX($P$34*($B501+$I$38-1),IF(AND($L$37=0,$P$34=0),"",$L$37-1)),0,YEARFRAC(MAX($P$34*($B501+$I$38-1),IF(AND($L$37=0,$P$34=0),"",$L$37-1)),MIN(CN$38,$E501),$P$20))-SUM($BF501:CM501))</f>
        <v>0</v>
      </c>
      <c r="CO501" s="446">
        <f>IF($E501=0,0,IF(MIN(CO$38,$E501)&lt;MAX($P$34*($B501+$I$38-1),IF(AND($L$37=0,$P$34=0),"",$L$37-1)),0,YEARFRAC(MAX($P$34*($B501+$I$38-1),IF(AND($L$37=0,$P$34=0),"",$L$37-1)),MIN(CO$38,$E501),$P$20))-SUM($BF501:CN501))</f>
        <v>0</v>
      </c>
      <c r="CP501" s="446">
        <f>IF($E501=0,0,IF(MIN(CP$38,$E501)&lt;MAX($P$34*($B501+$I$38-1),IF(AND($L$37=0,$P$34=0),"",$L$37-1)),0,YEARFRAC(MAX($P$34*($B501+$I$38-1),IF(AND($L$37=0,$P$34=0),"",$L$37-1)),MIN(CP$38,$E501),$P$20))-SUM($BF501:CO501))</f>
        <v>0</v>
      </c>
      <c r="CQ501" s="446">
        <f>IF($E501=0,0,IF(MIN(CQ$38,$E501)&lt;MAX($P$34*($B501+$I$38-1),IF(AND($L$37=0,$P$34=0),"",$L$37-1)),0,YEARFRAC(MAX($P$34*($B501+$I$38-1),IF(AND($L$37=0,$P$34=0),"",$L$37-1)),MIN(CQ$38,$E501),$P$20))-SUM($BF501:CP501))</f>
        <v>0</v>
      </c>
    </row>
    <row r="502" spans="1:95" s="446" customFormat="1" ht="11.25" hidden="1" customHeight="1" x14ac:dyDescent="0.2">
      <c r="A502" s="152"/>
      <c r="B502" s="153" t="str">
        <f t="shared" si="92"/>
        <v/>
      </c>
      <c r="C502" s="29" t="str">
        <f>IF(B502="","",IF($L$35="SELIC - TRIBUTOS",VLOOKUP(DATE(YEAR($D$19),MONTH($D$19)-1,1),ÍNDICES!$A:$DE,HLOOKUP($BL$25,ÍNDICES!$B$3:$T$4,2)+11)-VLOOKUP(B502,ÍNDICES!$A:$DE,HLOOKUP($BL$25,ÍNDICES!$B$3:$T$4,2)+11)+1%,IF(C$38=$W$26,$J$35,IF(ISERROR(IF(B502&gt;$D$19,1,VLOOKUP(DATE(YEAR(B502),MONTH(B502)+IF($C$35=$S$23,1,0),1),ÍNDICES!$A:$DE,$Z$35+1))),"",IF(B502&gt;$D$19,1,VLOOKUP(DATE(YEAR(B502),MONTH(B502)+IF($C$35=$S$23,1,0),1),ÍNDICES!$A:$DE,$Z$35+1))))))</f>
        <v/>
      </c>
      <c r="D502" s="154" t="str">
        <f>IF(ISERROR(IF(OR($D$38=$Y$27,$B502=""),"",VLOOKUP(B502,ÍNDICES!A:DE,AF$35+1))),"",IF(OR($D$38=$Y$27,$B502=""),"",VLOOKUP(B502,ÍNDICES!A:DE,AF$35+1)))</f>
        <v/>
      </c>
      <c r="E502" s="153"/>
      <c r="F502" s="29" t="str">
        <f>IF(E502="","",IF($L$35="SELIC - TRIBUTOS",VLOOKUP(DATE(YEAR($D$19),MONTH($D$19)-1,1),ÍNDICES!$A:$DE,HLOOKUP($BL$25,ÍNDICES!$B$3:$T$4,2)+11)-VLOOKUP(E502,ÍNDICES!$A:$DE,HLOOKUP($BL$25,ÍNDICES!$B$3:$T$4,2)+11)+1%,IF(F$38=$W$26,$J$35,IF(ISERROR(IF(E502&gt;$D$19,1,VLOOKUP(DATE(YEAR(E502),MONTH(E502)+IF($C$35=$S$23,1,0),1),ÍNDICES!$A:$DE,$Z$35+1))),"",IF(E502&gt;$D$19,1,VLOOKUP(DATE(YEAR(E502),MONTH(E502)+IF($C$35=$S$23,1,0),1),ÍNDICES!$A:$DE,$Z$35+1))))))</f>
        <v/>
      </c>
      <c r="G502" s="155"/>
      <c r="H502" s="156" t="str">
        <f t="shared" si="88"/>
        <v/>
      </c>
      <c r="I502" s="29" t="str">
        <f t="shared" si="82"/>
        <v/>
      </c>
      <c r="J502" s="5">
        <f t="shared" si="83"/>
        <v>0</v>
      </c>
      <c r="K502" s="20">
        <f t="shared" ca="1" si="84"/>
        <v>0</v>
      </c>
      <c r="L502" s="5">
        <f t="shared" ca="1" si="85"/>
        <v>0</v>
      </c>
      <c r="M502" s="64">
        <f t="shared" si="89"/>
        <v>0</v>
      </c>
      <c r="N502" s="61">
        <f t="shared" ca="1" si="90"/>
        <v>0</v>
      </c>
      <c r="O502" s="5">
        <f t="shared" ca="1" si="91"/>
        <v>0</v>
      </c>
      <c r="P502" s="446" t="e">
        <f t="shared" si="86"/>
        <v>#VALUE!</v>
      </c>
      <c r="Q502" s="446" t="e">
        <f>IF(OR($B502="",MIN(Q$38,$D$19)&lt;MAX($P$34*($B502+IF($R$17="Distrato",$I$38-1,0)),IF(AND($L$37=0,$P$34=0),"",$L$37-1),IF($R$17="Distrato",$E502,0))),0,YEARFRAC(MAX($P$34*($B502+IF($R$17="Distrato",$I$38-1,0)),IF(AND($L$37=0,$P$34=0),"",$L$37-1),IF($R$17="Distrato",$E502,0)),MIN(Q$38,$D$19),$P$20))-SUM($P502:P502)</f>
        <v>#VALUE!</v>
      </c>
      <c r="R502" s="446" t="e">
        <f>IF(OR($B502="",MIN(R$38,$D$19)&lt;MAX($P$34*($B502+IF($R$17="Distrato",$I$38-1,0)),IF(AND($L$37=0,$P$34=0),"",$L$37-1),IF($R$17="Distrato",$E502,0))),0,YEARFRAC(MAX($P$34*($B502+IF($R$17="Distrato",$I$38-1,0)),IF(AND($L$37=0,$P$34=0),"",$L$37-1),IF($R$17="Distrato",$E502,0)),MIN(R$38,$D$19),$P$20))-SUM($P502:Q502)</f>
        <v>#VALUE!</v>
      </c>
      <c r="S502" s="446" t="e">
        <f>IF(OR($B502="",MIN(S$38,$D$19)&lt;MAX($P$34*($B502+IF($R$17="Distrato",$I$38-1,0)),IF(AND($L$37=0,$P$34=0),"",$L$37-1),IF($R$17="Distrato",$E502,0))),0,YEARFRAC(MAX($P$34*($B502+IF($R$17="Distrato",$I$38-1,0)),IF(AND($L$37=0,$P$34=0),"",$L$37-1),IF($R$17="Distrato",$E502,0)),MIN(S$38,$D$19),$P$20))-SUM($P502:R502)</f>
        <v>#VALUE!</v>
      </c>
      <c r="T502" s="446" t="e">
        <f>IF(OR($B502="",MIN(T$38,$D$19)&lt;MAX($P$34*($B502+IF($R$17="Distrato",$I$38-1,0)),IF(AND($L$37=0,$P$34=0),"",$L$37-1),IF($R$17="Distrato",$E502,0))),0,YEARFRAC(MAX($P$34*($B502+IF($R$17="Distrato",$I$38-1,0)),IF(AND($L$37=0,$P$34=0),"",$L$37-1),IF($R$17="Distrato",$E502,0)),MIN(T$38,$D$19),$P$20))-SUM($P502:S502)</f>
        <v>#VALUE!</v>
      </c>
      <c r="U502" s="446" t="e">
        <f>IF(OR($B502="",MIN(U$38,$D$19)&lt;MAX($P$34*($B502+IF($R$17="Distrato",$I$38-1,0)),IF(AND($L$37=0,$P$34=0),"",$L$37-1),IF($R$17="Distrato",$E502,0))),0,YEARFRAC(MAX($P$34*($B502+IF($R$17="Distrato",$I$38-1,0)),IF(AND($L$37=0,$P$34=0),"",$L$37-1),IF($R$17="Distrato",$E502,0)),MIN(U$38,$D$19),$P$20))-SUM($P502:T502)</f>
        <v>#VALUE!</v>
      </c>
      <c r="V502" s="446" t="e">
        <f>IF(OR($B502="",MIN(V$38,$D$19)&lt;MAX($P$34*($B502+IF($R$17="Distrato",$I$38-1,0)),IF(AND($L$37=0,$P$34=0),"",$L$37-1),IF($R$17="Distrato",$E502,0))),0,YEARFRAC(MAX($P$34*($B502+IF($R$17="Distrato",$I$38-1,0)),IF(AND($L$37=0,$P$34=0),"",$L$37-1),IF($R$17="Distrato",$E502,0)),MIN(V$38,$D$19),$P$20))-SUM($P502:U502)</f>
        <v>#VALUE!</v>
      </c>
      <c r="W502" s="446" t="e">
        <f>IF(OR($B502="",MIN(W$38,$D$19)&lt;MAX($P$34*($B502+IF($R$17="Distrato",$I$38-1,0)),IF(AND($L$37=0,$P$34=0),"",$L$37-1),IF($R$17="Distrato",$E502,0))),0,YEARFRAC(MAX($P$34*($B502+IF($R$17="Distrato",$I$38-1,0)),IF(AND($L$37=0,$P$34=0),"",$L$37-1),IF($R$17="Distrato",$E502,0)),MIN(W$38,$D$19),$P$20))-SUM($P502:V502)</f>
        <v>#VALUE!</v>
      </c>
      <c r="X502" s="446" t="e">
        <f>IF(OR($B502="",MIN(X$38,$D$19)&lt;MAX($P$34*($B502+IF($R$17="Distrato",$I$38-1,0)),IF(AND($L$37=0,$P$34=0),"",$L$37-1),IF($R$17="Distrato",$E502,0))),0,YEARFRAC(MAX($P$34*($B502+IF($R$17="Distrato",$I$38-1,0)),IF(AND($L$37=0,$P$34=0),"",$L$37-1),IF($R$17="Distrato",$E502,0)),MIN(X$38,$D$19),$P$20))-SUM($P502:W502)</f>
        <v>#VALUE!</v>
      </c>
      <c r="Y502" s="446" t="e">
        <f>IF(OR($B502="",MIN(Y$38,$D$19)&lt;MAX($P$34*($B502+IF($R$17="Distrato",$I$38-1,0)),IF(AND($L$37=0,$P$34=0),"",$L$37-1),IF($R$17="Distrato",$E502,0))),0,YEARFRAC(MAX($P$34*($B502+IF($R$17="Distrato",$I$38-1,0)),IF(AND($L$37=0,$P$34=0),"",$L$37-1),IF($R$17="Distrato",$E502,0)),MIN(Y$38,$D$19),$P$20))-SUM($P502:X502)</f>
        <v>#VALUE!</v>
      </c>
      <c r="Z502" s="446" t="e">
        <f>IF(OR($B502="",MIN(Z$38,$D$19)&lt;MAX($P$34*($B502+IF($R$17="Distrato",$I$38-1,0)),IF(AND($L$37=0,$P$34=0),"",$L$37-1),IF($R$17="Distrato",$E502,0))),0,YEARFRAC(MAX($P$34*($B502+IF($R$17="Distrato",$I$38-1,0)),IF(AND($L$37=0,$P$34=0),"",$L$37-1),IF($R$17="Distrato",$E502,0)),MIN(Z$38,$D$19),$P$20))-SUM($P502:Y502)</f>
        <v>#VALUE!</v>
      </c>
      <c r="AA502" s="446" t="e">
        <f>IF(OR($B502="",MIN(AA$38,$D$19)&lt;MAX($P$34*($B502+IF($R$17="Distrato",$I$38-1,0)),IF(AND($L$37=0,$P$34=0),"",$L$37-1),IF($R$17="Distrato",$E502,0))),0,YEARFRAC(MAX($P$34*($B502+IF($R$17="Distrato",$I$38-1,0)),IF(AND($L$37=0,$P$34=0),"",$L$37-1),IF($R$17="Distrato",$E502,0)),MIN(AA$38,$D$19),$P$20))-SUM($P502:Z502)</f>
        <v>#VALUE!</v>
      </c>
      <c r="AB502" s="446" t="e">
        <f>IF(OR($B502="",MIN(AB$38,$D$19)&lt;MAX($P$34*($B502+IF($R$17="Distrato",$I$38-1,0)),IF(AND($L$37=0,$P$34=0),"",$L$37-1),IF($R$17="Distrato",$E502,0))),0,YEARFRAC(MAX($P$34*($B502+IF($R$17="Distrato",$I$38-1,0)),IF(AND($L$37=0,$P$34=0),"",$L$37-1),IF($R$17="Distrato",$E502,0)),MIN(AB$38,$D$19),$P$20))-SUM($P502:AA502)</f>
        <v>#VALUE!</v>
      </c>
      <c r="AC502" s="446" t="e">
        <f>IF(OR($B502="",MIN(AC$38,$D$19)&lt;MAX($P$34*($B502+IF($R$17="Distrato",$I$38-1,0)),IF(AND($L$37=0,$P$34=0),"",$L$37-1),IF($R$17="Distrato",$E502,0))),0,YEARFRAC(MAX($P$34*($B502+IF($R$17="Distrato",$I$38-1,0)),IF(AND($L$37=0,$P$34=0),"",$L$37-1),IF($R$17="Distrato",$E502,0)),MIN(AC$38,$D$19),$P$20))-SUM($P502:AB502)</f>
        <v>#VALUE!</v>
      </c>
      <c r="AD502" s="446" t="e">
        <f>IF(OR($B502="",MIN(AD$38,$D$19)&lt;MAX($P$34*($B502+IF($R$17="Distrato",$I$38-1,0)),IF(AND($L$37=0,$P$34=0),"",$L$37-1),IF($R$17="Distrato",$E502,0))),0,YEARFRAC(MAX($P$34*($B502+IF($R$17="Distrato",$I$38-1,0)),IF(AND($L$37=0,$P$34=0),"",$L$37-1),IF($R$17="Distrato",$E502,0)),MIN(AD$38,$D$19),$P$20))-SUM($P502:AC502)</f>
        <v>#VALUE!</v>
      </c>
      <c r="AE502" s="446" t="e">
        <f>IF(OR($B502="",MIN(AE$38,$D$19)&lt;MAX($P$34*($B502+IF($R$17="Distrato",$I$38-1,0)),IF(AND($L$37=0,$P$34=0),"",$L$37-1),IF($R$17="Distrato",$E502,0))),0,YEARFRAC(MAX($P$34*($B502+IF($R$17="Distrato",$I$38-1,0)),IF(AND($L$37=0,$P$34=0),"",$L$37-1),IF($R$17="Distrato",$E502,0)),MIN(AE$38,$D$19),$P$20))-SUM($P502:AD502)</f>
        <v>#VALUE!</v>
      </c>
      <c r="AF502" s="446" t="e">
        <f>IF(OR($B502="",MIN(AF$38,$D$19)&lt;MAX($P$34*($B502+IF($R$17="Distrato",$I$38-1,0)),IF(AND($L$37=0,$P$34=0),"",$L$37-1),IF($R$17="Distrato",$E502,0))),0,YEARFRAC(MAX($P$34*($B502+IF($R$17="Distrato",$I$38-1,0)),IF(AND($L$37=0,$P$34=0),"",$L$37-1),IF($R$17="Distrato",$E502,0)),MIN(AF$38,$D$19),$P$20))-SUM($P502:AE502)</f>
        <v>#VALUE!</v>
      </c>
      <c r="AG502" s="446" t="e">
        <f>IF(OR($B502="",MIN(AG$38,$D$19)&lt;MAX($P$34*($B502+IF($R$17="Distrato",$I$38-1,0)),IF(AND($L$37=0,$P$34=0),"",$L$37-1),IF($R$17="Distrato",$E502,0))),0,YEARFRAC(MAX($P$34*($B502+IF($R$17="Distrato",$I$38-1,0)),IF(AND($L$37=0,$P$34=0),"",$L$37-1),IF($R$17="Distrato",$E502,0)),MIN(AG$38,$D$19),$P$20))-SUM($P502:AF502)</f>
        <v>#VALUE!</v>
      </c>
      <c r="AH502" s="446" t="e">
        <f>IF(OR($B502="",MIN(AH$38,$D$19)&lt;MAX($P$34*($B502+IF($R$17="Distrato",$I$38-1,0)),IF(AND($L$37=0,$P$34=0),"",$L$37-1),IF($R$17="Distrato",$E502,0))),0,YEARFRAC(MAX($P$34*($B502+IF($R$17="Distrato",$I$38-1,0)),IF(AND($L$37=0,$P$34=0),"",$L$37-1),IF($R$17="Distrato",$E502,0)),MIN(AH$38,$D$19),$P$20))-SUM($P502:AG502)</f>
        <v>#VALUE!</v>
      </c>
      <c r="AI502" s="446" t="e">
        <f>IF(OR($B502="",MIN(AI$38,$D$19)&lt;MAX($P$34*($B502+IF($R$17="Distrato",$I$38-1,0)),IF(AND($L$37=0,$P$34=0),"",$L$37-1),IF($R$17="Distrato",$E502,0))),0,YEARFRAC(MAX($P$34*($B502+IF($R$17="Distrato",$I$38-1,0)),IF(AND($L$37=0,$P$34=0),"",$L$37-1),IF($R$17="Distrato",$E502,0)),MIN(AI$38,$D$19),$P$20))-SUM($P502:AH502)</f>
        <v>#VALUE!</v>
      </c>
      <c r="AJ502" s="446" t="e">
        <f>IF(OR($B502="",MIN(AJ$38,$D$19)&lt;MAX($P$34*($B502+IF($R$17="Distrato",$I$38-1,0)),IF(AND($L$37=0,$P$34=0),"",$L$37-1),IF($R$17="Distrato",$E502,0))),0,YEARFRAC(MAX($P$34*($B502+IF($R$17="Distrato",$I$38-1,0)),IF(AND($L$37=0,$P$34=0),"",$L$37-1),IF($R$17="Distrato",$E502,0)),MIN(AJ$38,$D$19),$P$20))-SUM($P502:AI502)</f>
        <v>#VALUE!</v>
      </c>
      <c r="AK502" s="446" t="e">
        <f>IF(OR($B502="",MIN(AK$38,$D$19)&lt;MAX($P$34*($B502+IF($R$17="Distrato",$I$38-1,0)),IF(AND($L$37=0,$P$34=0),"",$L$37-1),IF($R$17="Distrato",$E502,0))),0,YEARFRAC(MAX($P$34*($B502+IF($R$17="Distrato",$I$38-1,0)),IF(AND($L$37=0,$P$34=0),"",$L$37-1),IF($R$17="Distrato",$E502,0)),MIN(AK$38,$D$19),$P$20))-SUM($P502:AJ502)</f>
        <v>#VALUE!</v>
      </c>
      <c r="AL502" s="446" t="e">
        <f>IF(OR($B502="",MIN(AL$38,$D$19)&lt;MAX($P$34*($B502+IF($R$17="Distrato",$I$38-1,0)),IF(AND($L$37=0,$P$34=0),"",$L$37-1),IF($R$17="Distrato",$E502,0))),0,YEARFRAC(MAX($P$34*($B502+IF($R$17="Distrato",$I$38-1,0)),IF(AND($L$37=0,$P$34=0),"",$L$37-1),IF($R$17="Distrato",$E502,0)),MIN(AL$38,$D$19),$P$20))-SUM($P502:AK502)</f>
        <v>#VALUE!</v>
      </c>
      <c r="AM502" s="446" t="e">
        <f>IF(OR($B502="",MIN(AM$38,$D$19)&lt;MAX($P$34*($B502+IF($R$17="Distrato",$I$38-1,0)),IF(AND($L$37=0,$P$34=0),"",$L$37-1),IF($R$17="Distrato",$E502,0))),0,YEARFRAC(MAX($P$34*($B502+IF($R$17="Distrato",$I$38-1,0)),IF(AND($L$37=0,$P$34=0),"",$L$37-1),IF($R$17="Distrato",$E502,0)),MIN(AM$38,$D$19),$P$20))-SUM($P502:AL502)</f>
        <v>#VALUE!</v>
      </c>
      <c r="AN502" s="446" t="e">
        <f>IF(OR($B502="",MIN(AN$38,$D$19)&lt;MAX($P$34*($B502+IF($R$17="Distrato",$I$38-1,0)),IF(AND($L$37=0,$P$34=0),"",$L$37-1),IF($R$17="Distrato",$E502,0))),0,YEARFRAC(MAX($P$34*($B502+IF($R$17="Distrato",$I$38-1,0)),IF(AND($L$37=0,$P$34=0),"",$L$37-1),IF($R$17="Distrato",$E502,0)),MIN(AN$38,$D$19),$P$20))-SUM($P502:AM502)</f>
        <v>#VALUE!</v>
      </c>
      <c r="AO502" s="446" t="e">
        <f>IF(OR($B502="",MIN(AO$38,$D$19)&lt;MAX($P$34*($B502+IF($R$17="Distrato",$I$38-1,0)),IF(AND($L$37=0,$P$34=0),"",$L$37-1),IF($R$17="Distrato",$E502,0))),0,YEARFRAC(MAX($P$34*($B502+IF($R$17="Distrato",$I$38-1,0)),IF(AND($L$37=0,$P$34=0),"",$L$37-1),IF($R$17="Distrato",$E502,0)),MIN(AO$38,$D$19),$P$20))-SUM($P502:AN502)</f>
        <v>#VALUE!</v>
      </c>
      <c r="AP502" s="446" t="e">
        <f>IF(OR($B502="",MIN(AP$38,$D$19)&lt;MAX($P$34*($B502+IF($R$17="Distrato",$I$38-1,0)),IF(AND($L$37=0,$P$34=0),"",$L$37-1),IF($R$17="Distrato",$E502,0))),0,YEARFRAC(MAX($P$34*($B502+IF($R$17="Distrato",$I$38-1,0)),IF(AND($L$37=0,$P$34=0),"",$L$37-1),IF($R$17="Distrato",$E502,0)),MIN(AP$38,$D$19),$P$20))-SUM($P502:AO502)</f>
        <v>#VALUE!</v>
      </c>
      <c r="AQ502" s="446" t="e">
        <f>IF(OR($B502="",MIN(AQ$38,$D$19)&lt;MAX($P$34*($B502+IF($R$17="Distrato",$I$38-1,0)),IF(AND($L$37=0,$P$34=0),"",$L$37-1),IF($R$17="Distrato",$E502,0))),0,YEARFRAC(MAX($P$34*($B502+IF($R$17="Distrato",$I$38-1,0)),IF(AND($L$37=0,$P$34=0),"",$L$37-1),IF($R$17="Distrato",$E502,0)),MIN(AQ$38,$D$19),$P$20))-SUM($P502:AP502)</f>
        <v>#VALUE!</v>
      </c>
      <c r="AR502" s="446" t="e">
        <f>IF(OR($B502="",MIN(AR$38,$D$19)&lt;MAX($P$34*($B502+IF($R$17="Distrato",$I$38-1,0)),IF(AND($L$37=0,$P$34=0),"",$L$37-1),IF($R$17="Distrato",$E502,0))),0,YEARFRAC(MAX($P$34*($B502+IF($R$17="Distrato",$I$38-1,0)),IF(AND($L$37=0,$P$34=0),"",$L$37-1),IF($R$17="Distrato",$E502,0)),MIN(AR$38,$D$19),$P$20))-SUM($P502:AQ502)</f>
        <v>#VALUE!</v>
      </c>
      <c r="AS502" s="446" t="e">
        <f>IF(OR($B502="",MIN(AS$38,$D$19)&lt;MAX($P$34*($B502+IF($R$17="Distrato",$I$38-1,0)),IF(AND($L$37=0,$P$34=0),"",$L$37-1),IF($R$17="Distrato",$E502,0))),0,YEARFRAC(MAX($P$34*($B502+IF($R$17="Distrato",$I$38-1,0)),IF(AND($L$37=0,$P$34=0),"",$L$37-1),IF($R$17="Distrato",$E502,0)),MIN(AS$38,$D$19),$P$20))-SUM($P502:AR502)</f>
        <v>#VALUE!</v>
      </c>
      <c r="AT502" s="446" t="e">
        <f>IF(OR($B502="",MIN(AT$38,$D$19)&lt;MAX($P$34*($B502+IF($R$17="Distrato",$I$38-1,0)),IF(AND($L$37=0,$P$34=0),"",$L$37-1),IF($R$17="Distrato",$E502,0))),0,YEARFRAC(MAX($P$34*($B502+IF($R$17="Distrato",$I$38-1,0)),IF(AND($L$37=0,$P$34=0),"",$L$37-1),IF($R$17="Distrato",$E502,0)),MIN(AT$38,$D$19),$P$20))-SUM($P502:AS502)</f>
        <v>#VALUE!</v>
      </c>
      <c r="AU502" s="446" t="e">
        <f>IF(OR($B502="",MIN(AU$38,$D$19)&lt;MAX($P$34*($B502+IF($R$17="Distrato",$I$38-1,0)),IF(AND($L$37=0,$P$34=0),"",$L$37-1),IF($R$17="Distrato",$E502,0))),0,YEARFRAC(MAX($P$34*($B502+IF($R$17="Distrato",$I$38-1,0)),IF(AND($L$37=0,$P$34=0),"",$L$37-1),IF($R$17="Distrato",$E502,0)),MIN(AU$38,$D$19),$P$20))-SUM($P502:AT502)</f>
        <v>#VALUE!</v>
      </c>
      <c r="AV502" s="446" t="e">
        <f>IF(OR($B502="",MIN(AV$38,$D$19)&lt;MAX($P$34*($B502+IF($R$17="Distrato",$I$38-1,0)),IF(AND($L$37=0,$P$34=0),"",$L$37-1),IF($R$17="Distrato",$E502,0))),0,YEARFRAC(MAX($P$34*($B502+IF($R$17="Distrato",$I$38-1,0)),IF(AND($L$37=0,$P$34=0),"",$L$37-1),IF($R$17="Distrato",$E502,0)),MIN(AV$38,$D$19),$P$20))-SUM($P502:AU502)</f>
        <v>#VALUE!</v>
      </c>
      <c r="AW502" s="446" t="e">
        <f>IF(OR($B502="",MIN(AW$38,$D$19)&lt;MAX($P$34*($B502+IF($R$17="Distrato",$I$38-1,0)),IF(AND($L$37=0,$P$34=0),"",$L$37-1),IF($R$17="Distrato",$E502,0))),0,YEARFRAC(MAX($P$34*($B502+IF($R$17="Distrato",$I$38-1,0)),IF(AND($L$37=0,$P$34=0),"",$L$37-1),IF($R$17="Distrato",$E502,0)),MIN(AW$38,$D$19),$P$20))-SUM($P502:AV502)</f>
        <v>#VALUE!</v>
      </c>
      <c r="AX502" s="446" t="e">
        <f>IF(OR($B502="",MIN(AX$38,$D$19)&lt;MAX($P$34*($B502+IF($R$17="Distrato",$I$38-1,0)),IF(AND($L$37=0,$P$34=0),"",$L$37-1),IF($R$17="Distrato",$E502,0))),0,YEARFRAC(MAX($P$34*($B502+IF($R$17="Distrato",$I$38-1,0)),IF(AND($L$37=0,$P$34=0),"",$L$37-1),IF($R$17="Distrato",$E502,0)),MIN(AX$38,$D$19),$P$20))-SUM($P502:AW502)</f>
        <v>#VALUE!</v>
      </c>
      <c r="AY502" s="446" t="e">
        <f>IF(OR($B502="",MIN(AY$38,$D$19)&lt;MAX($P$34*($B502+IF($R$17="Distrato",$I$38-1,0)),IF(AND($L$37=0,$P$34=0),"",$L$37-1),IF($R$17="Distrato",$E502,0))),0,YEARFRAC(MAX($P$34*($B502+IF($R$17="Distrato",$I$38-1,0)),IF(AND($L$37=0,$P$34=0),"",$L$37-1),IF($R$17="Distrato",$E502,0)),MIN(AY$38,$D$19),$P$20))-SUM($P502:AX502)</f>
        <v>#VALUE!</v>
      </c>
      <c r="AZ502" s="446" t="e">
        <f>IF(OR($B502="",MIN(AZ$38,$D$19)&lt;MAX($P$34*($B502+IF($R$17="Distrato",$I$38-1,0)),IF(AND($L$37=0,$P$34=0),"",$L$37-1),IF($R$17="Distrato",$E502,0))),0,YEARFRAC(MAX($P$34*($B502+IF($R$17="Distrato",$I$38-1,0)),IF(AND($L$37=0,$P$34=0),"",$L$37-1),IF($R$17="Distrato",$E502,0)),MIN(AZ$38,$D$19),$P$20))-SUM($P502:AY502)</f>
        <v>#VALUE!</v>
      </c>
      <c r="BA502" s="446" t="e">
        <f>IF(OR($B502="",MIN(BA$38,$D$19)&lt;MAX($P$34*($B502+IF($R$17="Distrato",$I$38-1,0)),IF(AND($L$37=0,$P$34=0),"",$L$37-1),IF($R$17="Distrato",$E502,0))),0,YEARFRAC(MAX($P$34*($B502+IF($R$17="Distrato",$I$38-1,0)),IF(AND($L$37=0,$P$34=0),"",$L$37-1),IF($R$17="Distrato",$E502,0)),MIN(BA$38,$D$19),$P$20))-SUM($P502:AZ502)</f>
        <v>#VALUE!</v>
      </c>
      <c r="BB502" s="447"/>
      <c r="BF502" s="446">
        <f t="shared" si="87"/>
        <v>0</v>
      </c>
      <c r="BG502" s="446">
        <f>IF($E502=0,0,IF(MIN(BG$38,$E502)&lt;MAX($P$34*($B502+$I$38-1),IF(AND($L$37=0,$P$34=0),"",$L$37-1)),0,YEARFRAC(MAX($P$34*($B502+$I$38-1),IF(AND($L$37=0,$P$34=0),"",$L$37-1)),MIN(BG$38,$E502),$P$20))-SUM($BF502:BF502))</f>
        <v>0</v>
      </c>
      <c r="BH502" s="446">
        <f>IF($E502=0,0,IF(MIN(BH$38,$E502)&lt;MAX($P$34*($B502+$I$38-1),IF(AND($L$37=0,$P$34=0),"",$L$37-1)),0,YEARFRAC(MAX($P$34*($B502+$I$38-1),IF(AND($L$37=0,$P$34=0),"",$L$37-1)),MIN(BH$38,$E502),$P$20))-SUM($BF502:BG502))</f>
        <v>0</v>
      </c>
      <c r="BI502" s="446">
        <f>IF($E502=0,0,IF(MIN(BI$38,$E502)&lt;MAX($P$34*($B502+$I$38-1),IF(AND($L$37=0,$P$34=0),"",$L$37-1)),0,YEARFRAC(MAX($P$34*($B502+$I$38-1),IF(AND($L$37=0,$P$34=0),"",$L$37-1)),MIN(BI$38,$E502),$P$20))-SUM($BF502:BH502))</f>
        <v>0</v>
      </c>
      <c r="BJ502" s="446">
        <f>IF($E502=0,0,IF(MIN(BJ$38,$E502)&lt;MAX($P$34*($B502+$I$38-1),IF(AND($L$37=0,$P$34=0),"",$L$37-1)),0,YEARFRAC(MAX($P$34*($B502+$I$38-1),IF(AND($L$37=0,$P$34=0),"",$L$37-1)),MIN(BJ$38,$E502),$P$20))-SUM($BF502:BI502))</f>
        <v>0</v>
      </c>
      <c r="BK502" s="446">
        <f>IF($E502=0,0,IF(MIN(BK$38,$E502)&lt;MAX($P$34*($B502+$I$38-1),IF(AND($L$37=0,$P$34=0),"",$L$37-1)),0,YEARFRAC(MAX($P$34*($B502+$I$38-1),IF(AND($L$37=0,$P$34=0),"",$L$37-1)),MIN(BK$38,$E502),$P$20))-SUM($BF502:BJ502))</f>
        <v>0</v>
      </c>
      <c r="BL502" s="446">
        <f>IF($E502=0,0,IF(MIN(BL$38,$E502)&lt;MAX($P$34*($B502+$I$38-1),IF(AND($L$37=0,$P$34=0),"",$L$37-1)),0,YEARFRAC(MAX($P$34*($B502+$I$38-1),IF(AND($L$37=0,$P$34=0),"",$L$37-1)),MIN(BL$38,$E502),$P$20))-SUM($BF502:BK502))</f>
        <v>0</v>
      </c>
      <c r="BM502" s="446">
        <f>IF($E502=0,0,IF(MIN(BM$38,$E502)&lt;MAX($P$34*($B502+$I$38-1),IF(AND($L$37=0,$P$34=0),"",$L$37-1)),0,YEARFRAC(MAX($P$34*($B502+$I$38-1),IF(AND($L$37=0,$P$34=0),"",$L$37-1)),MIN(BM$38,$E502),$P$20))-SUM($BF502:BL502))</f>
        <v>0</v>
      </c>
      <c r="BN502" s="446">
        <f>IF($E502=0,0,IF(MIN(BN$38,$E502)&lt;MAX($P$34*($B502+$I$38-1),IF(AND($L$37=0,$P$34=0),"",$L$37-1)),0,YEARFRAC(MAX($P$34*($B502+$I$38-1),IF(AND($L$37=0,$P$34=0),"",$L$37-1)),MIN(BN$38,$E502),$P$20))-SUM($BF502:BM502))</f>
        <v>0</v>
      </c>
      <c r="BO502" s="446">
        <f>IF($E502=0,0,IF(MIN(BO$38,$E502)&lt;MAX($P$34*($B502+$I$38-1),IF(AND($L$37=0,$P$34=0),"",$L$37-1)),0,YEARFRAC(MAX($P$34*($B502+$I$38-1),IF(AND($L$37=0,$P$34=0),"",$L$37-1)),MIN(BO$38,$E502),$P$20))-SUM($BF502:BN502))</f>
        <v>0</v>
      </c>
      <c r="BP502" s="446">
        <f>IF($E502=0,0,IF(MIN(BP$38,$E502)&lt;MAX($P$34*($B502+$I$38-1),IF(AND($L$37=0,$P$34=0),"",$L$37-1)),0,YEARFRAC(MAX($P$34*($B502+$I$38-1),IF(AND($L$37=0,$P$34=0),"",$L$37-1)),MIN(BP$38,$E502),$P$20))-SUM($BF502:BO502))</f>
        <v>0</v>
      </c>
      <c r="BQ502" s="446">
        <f>IF($E502=0,0,IF(MIN(BQ$38,$E502)&lt;MAX($P$34*($B502+$I$38-1),IF(AND($L$37=0,$P$34=0),"",$L$37-1)),0,YEARFRAC(MAX($P$34*($B502+$I$38-1),IF(AND($L$37=0,$P$34=0),"",$L$37-1)),MIN(BQ$38,$E502),$P$20))-SUM($BF502:BP502))</f>
        <v>0</v>
      </c>
      <c r="BR502" s="446">
        <f>IF($E502=0,0,IF(MIN(BR$38,$E502)&lt;MAX($P$34*($B502+$I$38-1),IF(AND($L$37=0,$P$34=0),"",$L$37-1)),0,YEARFRAC(MAX($P$34*($B502+$I$38-1),IF(AND($L$37=0,$P$34=0),"",$L$37-1)),MIN(BR$38,$E502),$P$20))-SUM($BF502:BQ502))</f>
        <v>0</v>
      </c>
      <c r="BS502" s="446">
        <f>IF($E502=0,0,IF(MIN(BS$38,$E502)&lt;MAX($P$34*($B502+$I$38-1),IF(AND($L$37=0,$P$34=0),"",$L$37-1)),0,YEARFRAC(MAX($P$34*($B502+$I$38-1),IF(AND($L$37=0,$P$34=0),"",$L$37-1)),MIN(BS$38,$E502),$P$20))-SUM($BF502:BR502))</f>
        <v>0</v>
      </c>
      <c r="BT502" s="446">
        <f>IF($E502=0,0,IF(MIN(BT$38,$E502)&lt;MAX($P$34*($B502+$I$38-1),IF(AND($L$37=0,$P$34=0),"",$L$37-1)),0,YEARFRAC(MAX($P$34*($B502+$I$38-1),IF(AND($L$37=0,$P$34=0),"",$L$37-1)),MIN(BT$38,$E502),$P$20))-SUM($BF502:BS502))</f>
        <v>0</v>
      </c>
      <c r="BU502" s="446">
        <f>IF($E502=0,0,IF(MIN(BU$38,$E502)&lt;MAX($P$34*($B502+$I$38-1),IF(AND($L$37=0,$P$34=0),"",$L$37-1)),0,YEARFRAC(MAX($P$34*($B502+$I$38-1),IF(AND($L$37=0,$P$34=0),"",$L$37-1)),MIN(BU$38,$E502),$P$20))-SUM($BF502:BT502))</f>
        <v>0</v>
      </c>
      <c r="BV502" s="446">
        <f>IF($E502=0,0,IF(MIN(BV$38,$E502)&lt;MAX($P$34*($B502+$I$38-1),IF(AND($L$37=0,$P$34=0),"",$L$37-1)),0,YEARFRAC(MAX($P$34*($B502+$I$38-1),IF(AND($L$37=0,$P$34=0),"",$L$37-1)),MIN(BV$38,$E502),$P$20))-SUM($BF502:BU502))</f>
        <v>0</v>
      </c>
      <c r="BW502" s="446">
        <f>IF($E502=0,0,IF(MIN(BW$38,$E502)&lt;MAX($P$34*($B502+$I$38-1),IF(AND($L$37=0,$P$34=0),"",$L$37-1)),0,YEARFRAC(MAX($P$34*($B502+$I$38-1),IF(AND($L$37=0,$P$34=0),"",$L$37-1)),MIN(BW$38,$E502),$P$20))-SUM($BF502:BV502))</f>
        <v>0</v>
      </c>
      <c r="BX502" s="446">
        <f>IF($E502=0,0,IF(MIN(BX$38,$E502)&lt;MAX($P$34*($B502+$I$38-1),IF(AND($L$37=0,$P$34=0),"",$L$37-1)),0,YEARFRAC(MAX($P$34*($B502+$I$38-1),IF(AND($L$37=0,$P$34=0),"",$L$37-1)),MIN(BX$38,$E502),$P$20))-SUM($BF502:BW502))</f>
        <v>0</v>
      </c>
      <c r="BY502" s="446">
        <f>IF($E502=0,0,IF(MIN(BY$38,$E502)&lt;MAX($P$34*($B502+$I$38-1),IF(AND($L$37=0,$P$34=0),"",$L$37-1)),0,YEARFRAC(MAX($P$34*($B502+$I$38-1),IF(AND($L$37=0,$P$34=0),"",$L$37-1)),MIN(BY$38,$E502),$P$20))-SUM($BF502:BX502))</f>
        <v>0</v>
      </c>
      <c r="BZ502" s="446">
        <f>IF($E502=0,0,IF(MIN(BZ$38,$E502)&lt;MAX($P$34*($B502+$I$38-1),IF(AND($L$37=0,$P$34=0),"",$L$37-1)),0,YEARFRAC(MAX($P$34*($B502+$I$38-1),IF(AND($L$37=0,$P$34=0),"",$L$37-1)),MIN(BZ$38,$E502),$P$20))-SUM($BF502:BY502))</f>
        <v>0</v>
      </c>
      <c r="CA502" s="446">
        <f>IF($E502=0,0,IF(MIN(CA$38,$E502)&lt;MAX($P$34*($B502+$I$38-1),IF(AND($L$37=0,$P$34=0),"",$L$37-1)),0,YEARFRAC(MAX($P$34*($B502+$I$38-1),IF(AND($L$37=0,$P$34=0),"",$L$37-1)),MIN(CA$38,$E502),$P$20))-SUM($BF502:BZ502))</f>
        <v>0</v>
      </c>
      <c r="CB502" s="446">
        <f>IF($E502=0,0,IF(MIN(CB$38,$E502)&lt;MAX($P$34*($B502+$I$38-1),IF(AND($L$37=0,$P$34=0),"",$L$37-1)),0,YEARFRAC(MAX($P$34*($B502+$I$38-1),IF(AND($L$37=0,$P$34=0),"",$L$37-1)),MIN(CB$38,$E502),$P$20))-SUM($BF502:CA502))</f>
        <v>0</v>
      </c>
      <c r="CC502" s="446">
        <f>IF($E502=0,0,IF(MIN(CC$38,$E502)&lt;MAX($P$34*($B502+$I$38-1),IF(AND($L$37=0,$P$34=0),"",$L$37-1)),0,YEARFRAC(MAX($P$34*($B502+$I$38-1),IF(AND($L$37=0,$P$34=0),"",$L$37-1)),MIN(CC$38,$E502),$P$20))-SUM($BF502:CB502))</f>
        <v>0</v>
      </c>
      <c r="CD502" s="446">
        <f>IF($E502=0,0,IF(MIN(CD$38,$E502)&lt;MAX($P$34*($B502+$I$38-1),IF(AND($L$37=0,$P$34=0),"",$L$37-1)),0,YEARFRAC(MAX($P$34*($B502+$I$38-1),IF(AND($L$37=0,$P$34=0),"",$L$37-1)),MIN(CD$38,$E502),$P$20))-SUM($BF502:CC502))</f>
        <v>0</v>
      </c>
      <c r="CE502" s="446">
        <f>IF($E502=0,0,IF(MIN(CE$38,$E502)&lt;MAX($P$34*($B502+$I$38-1),IF(AND($L$37=0,$P$34=0),"",$L$37-1)),0,YEARFRAC(MAX($P$34*($B502+$I$38-1),IF(AND($L$37=0,$P$34=0),"",$L$37-1)),MIN(CE$38,$E502),$P$20))-SUM($BF502:CD502))</f>
        <v>0</v>
      </c>
      <c r="CF502" s="446">
        <f>IF($E502=0,0,IF(MIN(CF$38,$E502)&lt;MAX($P$34*($B502+$I$38-1),IF(AND($L$37=0,$P$34=0),"",$L$37-1)),0,YEARFRAC(MAX($P$34*($B502+$I$38-1),IF(AND($L$37=0,$P$34=0),"",$L$37-1)),MIN(CF$38,$E502),$P$20))-SUM($BF502:CE502))</f>
        <v>0</v>
      </c>
      <c r="CG502" s="446">
        <f>IF($E502=0,0,IF(MIN(CG$38,$E502)&lt;MAX($P$34*($B502+$I$38-1),IF(AND($L$37=0,$P$34=0),"",$L$37-1)),0,YEARFRAC(MAX($P$34*($B502+$I$38-1),IF(AND($L$37=0,$P$34=0),"",$L$37-1)),MIN(CG$38,$E502),$P$20))-SUM($BF502:CF502))</f>
        <v>0</v>
      </c>
      <c r="CH502" s="446">
        <f>IF($E502=0,0,IF(MIN(CH$38,$E502)&lt;MAX($P$34*($B502+$I$38-1),IF(AND($L$37=0,$P$34=0),"",$L$37-1)),0,YEARFRAC(MAX($P$34*($B502+$I$38-1),IF(AND($L$37=0,$P$34=0),"",$L$37-1)),MIN(CH$38,$E502),$P$20))-SUM($BF502:CG502))</f>
        <v>0</v>
      </c>
      <c r="CI502" s="446">
        <f>IF($E502=0,0,IF(MIN(CI$38,$E502)&lt;MAX($P$34*($B502+$I$38-1),IF(AND($L$37=0,$P$34=0),"",$L$37-1)),0,YEARFRAC(MAX($P$34*($B502+$I$38-1),IF(AND($L$37=0,$P$34=0),"",$L$37-1)),MIN(CI$38,$E502),$P$20))-SUM($BF502:CH502))</f>
        <v>0</v>
      </c>
      <c r="CJ502" s="446">
        <f>IF($E502=0,0,IF(MIN(CJ$38,$E502)&lt;MAX($P$34*($B502+$I$38-1),IF(AND($L$37=0,$P$34=0),"",$L$37-1)),0,YEARFRAC(MAX($P$34*($B502+$I$38-1),IF(AND($L$37=0,$P$34=0),"",$L$37-1)),MIN(CJ$38,$E502),$P$20))-SUM($BF502:CI502))</f>
        <v>0</v>
      </c>
      <c r="CK502" s="446">
        <f>IF($E502=0,0,IF(MIN(CK$38,$E502)&lt;MAX($P$34*($B502+$I$38-1),IF(AND($L$37=0,$P$34=0),"",$L$37-1)),0,YEARFRAC(MAX($P$34*($B502+$I$38-1),IF(AND($L$37=0,$P$34=0),"",$L$37-1)),MIN(CK$38,$E502),$P$20))-SUM($BF502:CJ502))</f>
        <v>0</v>
      </c>
      <c r="CL502" s="446">
        <f>IF($E502=0,0,IF(MIN(CL$38,$E502)&lt;MAX($P$34*($B502+$I$38-1),IF(AND($L$37=0,$P$34=0),"",$L$37-1)),0,YEARFRAC(MAX($P$34*($B502+$I$38-1),IF(AND($L$37=0,$P$34=0),"",$L$37-1)),MIN(CL$38,$E502),$P$20))-SUM($BF502:CK502))</f>
        <v>0</v>
      </c>
      <c r="CM502" s="446">
        <f>IF($E502=0,0,IF(MIN(CM$38,$E502)&lt;MAX($P$34*($B502+$I$38-1),IF(AND($L$37=0,$P$34=0),"",$L$37-1)),0,YEARFRAC(MAX($P$34*($B502+$I$38-1),IF(AND($L$37=0,$P$34=0),"",$L$37-1)),MIN(CM$38,$E502),$P$20))-SUM($BF502:CL502))</f>
        <v>0</v>
      </c>
      <c r="CN502" s="446">
        <f>IF($E502=0,0,IF(MIN(CN$38,$E502)&lt;MAX($P$34*($B502+$I$38-1),IF(AND($L$37=0,$P$34=0),"",$L$37-1)),0,YEARFRAC(MAX($P$34*($B502+$I$38-1),IF(AND($L$37=0,$P$34=0),"",$L$37-1)),MIN(CN$38,$E502),$P$20))-SUM($BF502:CM502))</f>
        <v>0</v>
      </c>
      <c r="CO502" s="446">
        <f>IF($E502=0,0,IF(MIN(CO$38,$E502)&lt;MAX($P$34*($B502+$I$38-1),IF(AND($L$37=0,$P$34=0),"",$L$37-1)),0,YEARFRAC(MAX($P$34*($B502+$I$38-1),IF(AND($L$37=0,$P$34=0),"",$L$37-1)),MIN(CO$38,$E502),$P$20))-SUM($BF502:CN502))</f>
        <v>0</v>
      </c>
      <c r="CP502" s="446">
        <f>IF($E502=0,0,IF(MIN(CP$38,$E502)&lt;MAX($P$34*($B502+$I$38-1),IF(AND($L$37=0,$P$34=0),"",$L$37-1)),0,YEARFRAC(MAX($P$34*($B502+$I$38-1),IF(AND($L$37=0,$P$34=0),"",$L$37-1)),MIN(CP$38,$E502),$P$20))-SUM($BF502:CO502))</f>
        <v>0</v>
      </c>
      <c r="CQ502" s="446">
        <f>IF($E502=0,0,IF(MIN(CQ$38,$E502)&lt;MAX($P$34*($B502+$I$38-1),IF(AND($L$37=0,$P$34=0),"",$L$37-1)),0,YEARFRAC(MAX($P$34*($B502+$I$38-1),IF(AND($L$37=0,$P$34=0),"",$L$37-1)),MIN(CQ$38,$E502),$P$20))-SUM($BF502:CP502))</f>
        <v>0</v>
      </c>
    </row>
    <row r="503" spans="1:95" s="446" customFormat="1" ht="11.25" hidden="1" customHeight="1" x14ac:dyDescent="0.2">
      <c r="A503" s="152"/>
      <c r="B503" s="153" t="str">
        <f t="shared" si="92"/>
        <v/>
      </c>
      <c r="C503" s="29" t="str">
        <f>IF(B503="","",IF($L$35="SELIC - TRIBUTOS",VLOOKUP(DATE(YEAR($D$19),MONTH($D$19)-1,1),ÍNDICES!$A:$DE,HLOOKUP($BL$25,ÍNDICES!$B$3:$T$4,2)+11)-VLOOKUP(B503,ÍNDICES!$A:$DE,HLOOKUP($BL$25,ÍNDICES!$B$3:$T$4,2)+11)+1%,IF(C$38=$W$26,$J$35,IF(ISERROR(IF(B503&gt;$D$19,1,VLOOKUP(DATE(YEAR(B503),MONTH(B503)+IF($C$35=$S$23,1,0),1),ÍNDICES!$A:$DE,$Z$35+1))),"",IF(B503&gt;$D$19,1,VLOOKUP(DATE(YEAR(B503),MONTH(B503)+IF($C$35=$S$23,1,0),1),ÍNDICES!$A:$DE,$Z$35+1))))))</f>
        <v/>
      </c>
      <c r="D503" s="154" t="str">
        <f>IF(ISERROR(IF(OR($D$38=$Y$27,$B503=""),"",VLOOKUP(B503,ÍNDICES!A:DE,AF$35+1))),"",IF(OR($D$38=$Y$27,$B503=""),"",VLOOKUP(B503,ÍNDICES!A:DE,AF$35+1)))</f>
        <v/>
      </c>
      <c r="E503" s="153"/>
      <c r="F503" s="29" t="str">
        <f>IF(E503="","",IF($L$35="SELIC - TRIBUTOS",VLOOKUP(DATE(YEAR($D$19),MONTH($D$19)-1,1),ÍNDICES!$A:$DE,HLOOKUP($BL$25,ÍNDICES!$B$3:$T$4,2)+11)-VLOOKUP(E503,ÍNDICES!$A:$DE,HLOOKUP($BL$25,ÍNDICES!$B$3:$T$4,2)+11)+1%,IF(F$38=$W$26,$J$35,IF(ISERROR(IF(E503&gt;$D$19,1,VLOOKUP(DATE(YEAR(E503),MONTH(E503)+IF($C$35=$S$23,1,0),1),ÍNDICES!$A:$DE,$Z$35+1))),"",IF(E503&gt;$D$19,1,VLOOKUP(DATE(YEAR(E503),MONTH(E503)+IF($C$35=$S$23,1,0),1),ÍNDICES!$A:$DE,$Z$35+1))))))</f>
        <v/>
      </c>
      <c r="G503" s="155"/>
      <c r="H503" s="156" t="str">
        <f t="shared" si="88"/>
        <v/>
      </c>
      <c r="I503" s="29" t="str">
        <f t="shared" si="82"/>
        <v/>
      </c>
      <c r="J503" s="5">
        <f t="shared" si="83"/>
        <v>0</v>
      </c>
      <c r="K503" s="20">
        <f t="shared" ca="1" si="84"/>
        <v>0</v>
      </c>
      <c r="L503" s="5">
        <f t="shared" ca="1" si="85"/>
        <v>0</v>
      </c>
      <c r="M503" s="64">
        <f t="shared" si="89"/>
        <v>0</v>
      </c>
      <c r="N503" s="61">
        <f t="shared" ca="1" si="90"/>
        <v>0</v>
      </c>
      <c r="O503" s="5">
        <f t="shared" ca="1" si="91"/>
        <v>0</v>
      </c>
      <c r="P503" s="446" t="e">
        <f t="shared" si="86"/>
        <v>#VALUE!</v>
      </c>
      <c r="Q503" s="446" t="e">
        <f>IF(OR($B503="",MIN(Q$38,$D$19)&lt;MAX($P$34*($B503+IF($R$17="Distrato",$I$38-1,0)),IF(AND($L$37=0,$P$34=0),"",$L$37-1),IF($R$17="Distrato",$E503,0))),0,YEARFRAC(MAX($P$34*($B503+IF($R$17="Distrato",$I$38-1,0)),IF(AND($L$37=0,$P$34=0),"",$L$37-1),IF($R$17="Distrato",$E503,0)),MIN(Q$38,$D$19),$P$20))-SUM($P503:P503)</f>
        <v>#VALUE!</v>
      </c>
      <c r="R503" s="446" t="e">
        <f>IF(OR($B503="",MIN(R$38,$D$19)&lt;MAX($P$34*($B503+IF($R$17="Distrato",$I$38-1,0)),IF(AND($L$37=0,$P$34=0),"",$L$37-1),IF($R$17="Distrato",$E503,0))),0,YEARFRAC(MAX($P$34*($B503+IF($R$17="Distrato",$I$38-1,0)),IF(AND($L$37=0,$P$34=0),"",$L$37-1),IF($R$17="Distrato",$E503,0)),MIN(R$38,$D$19),$P$20))-SUM($P503:Q503)</f>
        <v>#VALUE!</v>
      </c>
      <c r="S503" s="446" t="e">
        <f>IF(OR($B503="",MIN(S$38,$D$19)&lt;MAX($P$34*($B503+IF($R$17="Distrato",$I$38-1,0)),IF(AND($L$37=0,$P$34=0),"",$L$37-1),IF($R$17="Distrato",$E503,0))),0,YEARFRAC(MAX($P$34*($B503+IF($R$17="Distrato",$I$38-1,0)),IF(AND($L$37=0,$P$34=0),"",$L$37-1),IF($R$17="Distrato",$E503,0)),MIN(S$38,$D$19),$P$20))-SUM($P503:R503)</f>
        <v>#VALUE!</v>
      </c>
      <c r="T503" s="446" t="e">
        <f>IF(OR($B503="",MIN(T$38,$D$19)&lt;MAX($P$34*($B503+IF($R$17="Distrato",$I$38-1,0)),IF(AND($L$37=0,$P$34=0),"",$L$37-1),IF($R$17="Distrato",$E503,0))),0,YEARFRAC(MAX($P$34*($B503+IF($R$17="Distrato",$I$38-1,0)),IF(AND($L$37=0,$P$34=0),"",$L$37-1),IF($R$17="Distrato",$E503,0)),MIN(T$38,$D$19),$P$20))-SUM($P503:S503)</f>
        <v>#VALUE!</v>
      </c>
      <c r="U503" s="446" t="e">
        <f>IF(OR($B503="",MIN(U$38,$D$19)&lt;MAX($P$34*($B503+IF($R$17="Distrato",$I$38-1,0)),IF(AND($L$37=0,$P$34=0),"",$L$37-1),IF($R$17="Distrato",$E503,0))),0,YEARFRAC(MAX($P$34*($B503+IF($R$17="Distrato",$I$38-1,0)),IF(AND($L$37=0,$P$34=0),"",$L$37-1),IF($R$17="Distrato",$E503,0)),MIN(U$38,$D$19),$P$20))-SUM($P503:T503)</f>
        <v>#VALUE!</v>
      </c>
      <c r="V503" s="446" t="e">
        <f>IF(OR($B503="",MIN(V$38,$D$19)&lt;MAX($P$34*($B503+IF($R$17="Distrato",$I$38-1,0)),IF(AND($L$37=0,$P$34=0),"",$L$37-1),IF($R$17="Distrato",$E503,0))),0,YEARFRAC(MAX($P$34*($B503+IF($R$17="Distrato",$I$38-1,0)),IF(AND($L$37=0,$P$34=0),"",$L$37-1),IF($R$17="Distrato",$E503,0)),MIN(V$38,$D$19),$P$20))-SUM($P503:U503)</f>
        <v>#VALUE!</v>
      </c>
      <c r="W503" s="446" t="e">
        <f>IF(OR($B503="",MIN(W$38,$D$19)&lt;MAX($P$34*($B503+IF($R$17="Distrato",$I$38-1,0)),IF(AND($L$37=0,$P$34=0),"",$L$37-1),IF($R$17="Distrato",$E503,0))),0,YEARFRAC(MAX($P$34*($B503+IF($R$17="Distrato",$I$38-1,0)),IF(AND($L$37=0,$P$34=0),"",$L$37-1),IF($R$17="Distrato",$E503,0)),MIN(W$38,$D$19),$P$20))-SUM($P503:V503)</f>
        <v>#VALUE!</v>
      </c>
      <c r="X503" s="446" t="e">
        <f>IF(OR($B503="",MIN(X$38,$D$19)&lt;MAX($P$34*($B503+IF($R$17="Distrato",$I$38-1,0)),IF(AND($L$37=0,$P$34=0),"",$L$37-1),IF($R$17="Distrato",$E503,0))),0,YEARFRAC(MAX($P$34*($B503+IF($R$17="Distrato",$I$38-1,0)),IF(AND($L$37=0,$P$34=0),"",$L$37-1),IF($R$17="Distrato",$E503,0)),MIN(X$38,$D$19),$P$20))-SUM($P503:W503)</f>
        <v>#VALUE!</v>
      </c>
      <c r="Y503" s="446" t="e">
        <f>IF(OR($B503="",MIN(Y$38,$D$19)&lt;MAX($P$34*($B503+IF($R$17="Distrato",$I$38-1,0)),IF(AND($L$37=0,$P$34=0),"",$L$37-1),IF($R$17="Distrato",$E503,0))),0,YEARFRAC(MAX($P$34*($B503+IF($R$17="Distrato",$I$38-1,0)),IF(AND($L$37=0,$P$34=0),"",$L$37-1),IF($R$17="Distrato",$E503,0)),MIN(Y$38,$D$19),$P$20))-SUM($P503:X503)</f>
        <v>#VALUE!</v>
      </c>
      <c r="Z503" s="446" t="e">
        <f>IF(OR($B503="",MIN(Z$38,$D$19)&lt;MAX($P$34*($B503+IF($R$17="Distrato",$I$38-1,0)),IF(AND($L$37=0,$P$34=0),"",$L$37-1),IF($R$17="Distrato",$E503,0))),0,YEARFRAC(MAX($P$34*($B503+IF($R$17="Distrato",$I$38-1,0)),IF(AND($L$37=0,$P$34=0),"",$L$37-1),IF($R$17="Distrato",$E503,0)),MIN(Z$38,$D$19),$P$20))-SUM($P503:Y503)</f>
        <v>#VALUE!</v>
      </c>
      <c r="AA503" s="446" t="e">
        <f>IF(OR($B503="",MIN(AA$38,$D$19)&lt;MAX($P$34*($B503+IF($R$17="Distrato",$I$38-1,0)),IF(AND($L$37=0,$P$34=0),"",$L$37-1),IF($R$17="Distrato",$E503,0))),0,YEARFRAC(MAX($P$34*($B503+IF($R$17="Distrato",$I$38-1,0)),IF(AND($L$37=0,$P$34=0),"",$L$37-1),IF($R$17="Distrato",$E503,0)),MIN(AA$38,$D$19),$P$20))-SUM($P503:Z503)</f>
        <v>#VALUE!</v>
      </c>
      <c r="AB503" s="446" t="e">
        <f>IF(OR($B503="",MIN(AB$38,$D$19)&lt;MAX($P$34*($B503+IF($R$17="Distrato",$I$38-1,0)),IF(AND($L$37=0,$P$34=0),"",$L$37-1),IF($R$17="Distrato",$E503,0))),0,YEARFRAC(MAX($P$34*($B503+IF($R$17="Distrato",$I$38-1,0)),IF(AND($L$37=0,$P$34=0),"",$L$37-1),IF($R$17="Distrato",$E503,0)),MIN(AB$38,$D$19),$P$20))-SUM($P503:AA503)</f>
        <v>#VALUE!</v>
      </c>
      <c r="AC503" s="446" t="e">
        <f>IF(OR($B503="",MIN(AC$38,$D$19)&lt;MAX($P$34*($B503+IF($R$17="Distrato",$I$38-1,0)),IF(AND($L$37=0,$P$34=0),"",$L$37-1),IF($R$17="Distrato",$E503,0))),0,YEARFRAC(MAX($P$34*($B503+IF($R$17="Distrato",$I$38-1,0)),IF(AND($L$37=0,$P$34=0),"",$L$37-1),IF($R$17="Distrato",$E503,0)),MIN(AC$38,$D$19),$P$20))-SUM($P503:AB503)</f>
        <v>#VALUE!</v>
      </c>
      <c r="AD503" s="446" t="e">
        <f>IF(OR($B503="",MIN(AD$38,$D$19)&lt;MAX($P$34*($B503+IF($R$17="Distrato",$I$38-1,0)),IF(AND($L$37=0,$P$34=0),"",$L$37-1),IF($R$17="Distrato",$E503,0))),0,YEARFRAC(MAX($P$34*($B503+IF($R$17="Distrato",$I$38-1,0)),IF(AND($L$37=0,$P$34=0),"",$L$37-1),IF($R$17="Distrato",$E503,0)),MIN(AD$38,$D$19),$P$20))-SUM($P503:AC503)</f>
        <v>#VALUE!</v>
      </c>
      <c r="AE503" s="446" t="e">
        <f>IF(OR($B503="",MIN(AE$38,$D$19)&lt;MAX($P$34*($B503+IF($R$17="Distrato",$I$38-1,0)),IF(AND($L$37=0,$P$34=0),"",$L$37-1),IF($R$17="Distrato",$E503,0))),0,YEARFRAC(MAX($P$34*($B503+IF($R$17="Distrato",$I$38-1,0)),IF(AND($L$37=0,$P$34=0),"",$L$37-1),IF($R$17="Distrato",$E503,0)),MIN(AE$38,$D$19),$P$20))-SUM($P503:AD503)</f>
        <v>#VALUE!</v>
      </c>
      <c r="AF503" s="446" t="e">
        <f>IF(OR($B503="",MIN(AF$38,$D$19)&lt;MAX($P$34*($B503+IF($R$17="Distrato",$I$38-1,0)),IF(AND($L$37=0,$P$34=0),"",$L$37-1),IF($R$17="Distrato",$E503,0))),0,YEARFRAC(MAX($P$34*($B503+IF($R$17="Distrato",$I$38-1,0)),IF(AND($L$37=0,$P$34=0),"",$L$37-1),IF($R$17="Distrato",$E503,0)),MIN(AF$38,$D$19),$P$20))-SUM($P503:AE503)</f>
        <v>#VALUE!</v>
      </c>
      <c r="AG503" s="446" t="e">
        <f>IF(OR($B503="",MIN(AG$38,$D$19)&lt;MAX($P$34*($B503+IF($R$17="Distrato",$I$38-1,0)),IF(AND($L$37=0,$P$34=0),"",$L$37-1),IF($R$17="Distrato",$E503,0))),0,YEARFRAC(MAX($P$34*($B503+IF($R$17="Distrato",$I$38-1,0)),IF(AND($L$37=0,$P$34=0),"",$L$37-1),IF($R$17="Distrato",$E503,0)),MIN(AG$38,$D$19),$P$20))-SUM($P503:AF503)</f>
        <v>#VALUE!</v>
      </c>
      <c r="AH503" s="446" t="e">
        <f>IF(OR($B503="",MIN(AH$38,$D$19)&lt;MAX($P$34*($B503+IF($R$17="Distrato",$I$38-1,0)),IF(AND($L$37=0,$P$34=0),"",$L$37-1),IF($R$17="Distrato",$E503,0))),0,YEARFRAC(MAX($P$34*($B503+IF($R$17="Distrato",$I$38-1,0)),IF(AND($L$37=0,$P$34=0),"",$L$37-1),IF($R$17="Distrato",$E503,0)),MIN(AH$38,$D$19),$P$20))-SUM($P503:AG503)</f>
        <v>#VALUE!</v>
      </c>
      <c r="AI503" s="446" t="e">
        <f>IF(OR($B503="",MIN(AI$38,$D$19)&lt;MAX($P$34*($B503+IF($R$17="Distrato",$I$38-1,0)),IF(AND($L$37=0,$P$34=0),"",$L$37-1),IF($R$17="Distrato",$E503,0))),0,YEARFRAC(MAX($P$34*($B503+IF($R$17="Distrato",$I$38-1,0)),IF(AND($L$37=0,$P$34=0),"",$L$37-1),IF($R$17="Distrato",$E503,0)),MIN(AI$38,$D$19),$P$20))-SUM($P503:AH503)</f>
        <v>#VALUE!</v>
      </c>
      <c r="AJ503" s="446" t="e">
        <f>IF(OR($B503="",MIN(AJ$38,$D$19)&lt;MAX($P$34*($B503+IF($R$17="Distrato",$I$38-1,0)),IF(AND($L$37=0,$P$34=0),"",$L$37-1),IF($R$17="Distrato",$E503,0))),0,YEARFRAC(MAX($P$34*($B503+IF($R$17="Distrato",$I$38-1,0)),IF(AND($L$37=0,$P$34=0),"",$L$37-1),IF($R$17="Distrato",$E503,0)),MIN(AJ$38,$D$19),$P$20))-SUM($P503:AI503)</f>
        <v>#VALUE!</v>
      </c>
      <c r="AK503" s="446" t="e">
        <f>IF(OR($B503="",MIN(AK$38,$D$19)&lt;MAX($P$34*($B503+IF($R$17="Distrato",$I$38-1,0)),IF(AND($L$37=0,$P$34=0),"",$L$37-1),IF($R$17="Distrato",$E503,0))),0,YEARFRAC(MAX($P$34*($B503+IF($R$17="Distrato",$I$38-1,0)),IF(AND($L$37=0,$P$34=0),"",$L$37-1),IF($R$17="Distrato",$E503,0)),MIN(AK$38,$D$19),$P$20))-SUM($P503:AJ503)</f>
        <v>#VALUE!</v>
      </c>
      <c r="AL503" s="446" t="e">
        <f>IF(OR($B503="",MIN(AL$38,$D$19)&lt;MAX($P$34*($B503+IF($R$17="Distrato",$I$38-1,0)),IF(AND($L$37=0,$P$34=0),"",$L$37-1),IF($R$17="Distrato",$E503,0))),0,YEARFRAC(MAX($P$34*($B503+IF($R$17="Distrato",$I$38-1,0)),IF(AND($L$37=0,$P$34=0),"",$L$37-1),IF($R$17="Distrato",$E503,0)),MIN(AL$38,$D$19),$P$20))-SUM($P503:AK503)</f>
        <v>#VALUE!</v>
      </c>
      <c r="AM503" s="446" t="e">
        <f>IF(OR($B503="",MIN(AM$38,$D$19)&lt;MAX($P$34*($B503+IF($R$17="Distrato",$I$38-1,0)),IF(AND($L$37=0,$P$34=0),"",$L$37-1),IF($R$17="Distrato",$E503,0))),0,YEARFRAC(MAX($P$34*($B503+IF($R$17="Distrato",$I$38-1,0)),IF(AND($L$37=0,$P$34=0),"",$L$37-1),IF($R$17="Distrato",$E503,0)),MIN(AM$38,$D$19),$P$20))-SUM($P503:AL503)</f>
        <v>#VALUE!</v>
      </c>
      <c r="AN503" s="446" t="e">
        <f>IF(OR($B503="",MIN(AN$38,$D$19)&lt;MAX($P$34*($B503+IF($R$17="Distrato",$I$38-1,0)),IF(AND($L$37=0,$P$34=0),"",$L$37-1),IF($R$17="Distrato",$E503,0))),0,YEARFRAC(MAX($P$34*($B503+IF($R$17="Distrato",$I$38-1,0)),IF(AND($L$37=0,$P$34=0),"",$L$37-1),IF($R$17="Distrato",$E503,0)),MIN(AN$38,$D$19),$P$20))-SUM($P503:AM503)</f>
        <v>#VALUE!</v>
      </c>
      <c r="AO503" s="446" t="e">
        <f>IF(OR($B503="",MIN(AO$38,$D$19)&lt;MAX($P$34*($B503+IF($R$17="Distrato",$I$38-1,0)),IF(AND($L$37=0,$P$34=0),"",$L$37-1),IF($R$17="Distrato",$E503,0))),0,YEARFRAC(MAX($P$34*($B503+IF($R$17="Distrato",$I$38-1,0)),IF(AND($L$37=0,$P$34=0),"",$L$37-1),IF($R$17="Distrato",$E503,0)),MIN(AO$38,$D$19),$P$20))-SUM($P503:AN503)</f>
        <v>#VALUE!</v>
      </c>
      <c r="AP503" s="446" t="e">
        <f>IF(OR($B503="",MIN(AP$38,$D$19)&lt;MAX($P$34*($B503+IF($R$17="Distrato",$I$38-1,0)),IF(AND($L$37=0,$P$34=0),"",$L$37-1),IF($R$17="Distrato",$E503,0))),0,YEARFRAC(MAX($P$34*($B503+IF($R$17="Distrato",$I$38-1,0)),IF(AND($L$37=0,$P$34=0),"",$L$37-1),IF($R$17="Distrato",$E503,0)),MIN(AP$38,$D$19),$P$20))-SUM($P503:AO503)</f>
        <v>#VALUE!</v>
      </c>
      <c r="AQ503" s="446" t="e">
        <f>IF(OR($B503="",MIN(AQ$38,$D$19)&lt;MAX($P$34*($B503+IF($R$17="Distrato",$I$38-1,0)),IF(AND($L$37=0,$P$34=0),"",$L$37-1),IF($R$17="Distrato",$E503,0))),0,YEARFRAC(MAX($P$34*($B503+IF($R$17="Distrato",$I$38-1,0)),IF(AND($L$37=0,$P$34=0),"",$L$37-1),IF($R$17="Distrato",$E503,0)),MIN(AQ$38,$D$19),$P$20))-SUM($P503:AP503)</f>
        <v>#VALUE!</v>
      </c>
      <c r="AR503" s="446" t="e">
        <f>IF(OR($B503="",MIN(AR$38,$D$19)&lt;MAX($P$34*($B503+IF($R$17="Distrato",$I$38-1,0)),IF(AND($L$37=0,$P$34=0),"",$L$37-1),IF($R$17="Distrato",$E503,0))),0,YEARFRAC(MAX($P$34*($B503+IF($R$17="Distrato",$I$38-1,0)),IF(AND($L$37=0,$P$34=0),"",$L$37-1),IF($R$17="Distrato",$E503,0)),MIN(AR$38,$D$19),$P$20))-SUM($P503:AQ503)</f>
        <v>#VALUE!</v>
      </c>
      <c r="AS503" s="446" t="e">
        <f>IF(OR($B503="",MIN(AS$38,$D$19)&lt;MAX($P$34*($B503+IF($R$17="Distrato",$I$38-1,0)),IF(AND($L$37=0,$P$34=0),"",$L$37-1),IF($R$17="Distrato",$E503,0))),0,YEARFRAC(MAX($P$34*($B503+IF($R$17="Distrato",$I$38-1,0)),IF(AND($L$37=0,$P$34=0),"",$L$37-1),IF($R$17="Distrato",$E503,0)),MIN(AS$38,$D$19),$P$20))-SUM($P503:AR503)</f>
        <v>#VALUE!</v>
      </c>
      <c r="AT503" s="446" t="e">
        <f>IF(OR($B503="",MIN(AT$38,$D$19)&lt;MAX($P$34*($B503+IF($R$17="Distrato",$I$38-1,0)),IF(AND($L$37=0,$P$34=0),"",$L$37-1),IF($R$17="Distrato",$E503,0))),0,YEARFRAC(MAX($P$34*($B503+IF($R$17="Distrato",$I$38-1,0)),IF(AND($L$37=0,$P$34=0),"",$L$37-1),IF($R$17="Distrato",$E503,0)),MIN(AT$38,$D$19),$P$20))-SUM($P503:AS503)</f>
        <v>#VALUE!</v>
      </c>
      <c r="AU503" s="446" t="e">
        <f>IF(OR($B503="",MIN(AU$38,$D$19)&lt;MAX($P$34*($B503+IF($R$17="Distrato",$I$38-1,0)),IF(AND($L$37=0,$P$34=0),"",$L$37-1),IF($R$17="Distrato",$E503,0))),0,YEARFRAC(MAX($P$34*($B503+IF($R$17="Distrato",$I$38-1,0)),IF(AND($L$37=0,$P$34=0),"",$L$37-1),IF($R$17="Distrato",$E503,0)),MIN(AU$38,$D$19),$P$20))-SUM($P503:AT503)</f>
        <v>#VALUE!</v>
      </c>
      <c r="AV503" s="446" t="e">
        <f>IF(OR($B503="",MIN(AV$38,$D$19)&lt;MAX($P$34*($B503+IF($R$17="Distrato",$I$38-1,0)),IF(AND($L$37=0,$P$34=0),"",$L$37-1),IF($R$17="Distrato",$E503,0))),0,YEARFRAC(MAX($P$34*($B503+IF($R$17="Distrato",$I$38-1,0)),IF(AND($L$37=0,$P$34=0),"",$L$37-1),IF($R$17="Distrato",$E503,0)),MIN(AV$38,$D$19),$P$20))-SUM($P503:AU503)</f>
        <v>#VALUE!</v>
      </c>
      <c r="AW503" s="446" t="e">
        <f>IF(OR($B503="",MIN(AW$38,$D$19)&lt;MAX($P$34*($B503+IF($R$17="Distrato",$I$38-1,0)),IF(AND($L$37=0,$P$34=0),"",$L$37-1),IF($R$17="Distrato",$E503,0))),0,YEARFRAC(MAX($P$34*($B503+IF($R$17="Distrato",$I$38-1,0)),IF(AND($L$37=0,$P$34=0),"",$L$37-1),IF($R$17="Distrato",$E503,0)),MIN(AW$38,$D$19),$P$20))-SUM($P503:AV503)</f>
        <v>#VALUE!</v>
      </c>
      <c r="AX503" s="446" t="e">
        <f>IF(OR($B503="",MIN(AX$38,$D$19)&lt;MAX($P$34*($B503+IF($R$17="Distrato",$I$38-1,0)),IF(AND($L$37=0,$P$34=0),"",$L$37-1),IF($R$17="Distrato",$E503,0))),0,YEARFRAC(MAX($P$34*($B503+IF($R$17="Distrato",$I$38-1,0)),IF(AND($L$37=0,$P$34=0),"",$L$37-1),IF($R$17="Distrato",$E503,0)),MIN(AX$38,$D$19),$P$20))-SUM($P503:AW503)</f>
        <v>#VALUE!</v>
      </c>
      <c r="AY503" s="446" t="e">
        <f>IF(OR($B503="",MIN(AY$38,$D$19)&lt;MAX($P$34*($B503+IF($R$17="Distrato",$I$38-1,0)),IF(AND($L$37=0,$P$34=0),"",$L$37-1),IF($R$17="Distrato",$E503,0))),0,YEARFRAC(MAX($P$34*($B503+IF($R$17="Distrato",$I$38-1,0)),IF(AND($L$37=0,$P$34=0),"",$L$37-1),IF($R$17="Distrato",$E503,0)),MIN(AY$38,$D$19),$P$20))-SUM($P503:AX503)</f>
        <v>#VALUE!</v>
      </c>
      <c r="AZ503" s="446" t="e">
        <f>IF(OR($B503="",MIN(AZ$38,$D$19)&lt;MAX($P$34*($B503+IF($R$17="Distrato",$I$38-1,0)),IF(AND($L$37=0,$P$34=0),"",$L$37-1),IF($R$17="Distrato",$E503,0))),0,YEARFRAC(MAX($P$34*($B503+IF($R$17="Distrato",$I$38-1,0)),IF(AND($L$37=0,$P$34=0),"",$L$37-1),IF($R$17="Distrato",$E503,0)),MIN(AZ$38,$D$19),$P$20))-SUM($P503:AY503)</f>
        <v>#VALUE!</v>
      </c>
      <c r="BA503" s="446" t="e">
        <f>IF(OR($B503="",MIN(BA$38,$D$19)&lt;MAX($P$34*($B503+IF($R$17="Distrato",$I$38-1,0)),IF(AND($L$37=0,$P$34=0),"",$L$37-1),IF($R$17="Distrato",$E503,0))),0,YEARFRAC(MAX($P$34*($B503+IF($R$17="Distrato",$I$38-1,0)),IF(AND($L$37=0,$P$34=0),"",$L$37-1),IF($R$17="Distrato",$E503,0)),MIN(BA$38,$D$19),$P$20))-SUM($P503:AZ503)</f>
        <v>#VALUE!</v>
      </c>
      <c r="BB503" s="447"/>
      <c r="BF503" s="446">
        <f t="shared" si="87"/>
        <v>0</v>
      </c>
      <c r="BG503" s="446">
        <f>IF($E503=0,0,IF(MIN(BG$38,$E503)&lt;MAX($P$34*($B503+$I$38-1),IF(AND($L$37=0,$P$34=0),"",$L$37-1)),0,YEARFRAC(MAX($P$34*($B503+$I$38-1),IF(AND($L$37=0,$P$34=0),"",$L$37-1)),MIN(BG$38,$E503),$P$20))-SUM($BF503:BF503))</f>
        <v>0</v>
      </c>
      <c r="BH503" s="446">
        <f>IF($E503=0,0,IF(MIN(BH$38,$E503)&lt;MAX($P$34*($B503+$I$38-1),IF(AND($L$37=0,$P$34=0),"",$L$37-1)),0,YEARFRAC(MAX($P$34*($B503+$I$38-1),IF(AND($L$37=0,$P$34=0),"",$L$37-1)),MIN(BH$38,$E503),$P$20))-SUM($BF503:BG503))</f>
        <v>0</v>
      </c>
      <c r="BI503" s="446">
        <f>IF($E503=0,0,IF(MIN(BI$38,$E503)&lt;MAX($P$34*($B503+$I$38-1),IF(AND($L$37=0,$P$34=0),"",$L$37-1)),0,YEARFRAC(MAX($P$34*($B503+$I$38-1),IF(AND($L$37=0,$P$34=0),"",$L$37-1)),MIN(BI$38,$E503),$P$20))-SUM($BF503:BH503))</f>
        <v>0</v>
      </c>
      <c r="BJ503" s="446">
        <f>IF($E503=0,0,IF(MIN(BJ$38,$E503)&lt;MAX($P$34*($B503+$I$38-1),IF(AND($L$37=0,$P$34=0),"",$L$37-1)),0,YEARFRAC(MAX($P$34*($B503+$I$38-1),IF(AND($L$37=0,$P$34=0),"",$L$37-1)),MIN(BJ$38,$E503),$P$20))-SUM($BF503:BI503))</f>
        <v>0</v>
      </c>
      <c r="BK503" s="446">
        <f>IF($E503=0,0,IF(MIN(BK$38,$E503)&lt;MAX($P$34*($B503+$I$38-1),IF(AND($L$37=0,$P$34=0),"",$L$37-1)),0,YEARFRAC(MAX($P$34*($B503+$I$38-1),IF(AND($L$37=0,$P$34=0),"",$L$37-1)),MIN(BK$38,$E503),$P$20))-SUM($BF503:BJ503))</f>
        <v>0</v>
      </c>
      <c r="BL503" s="446">
        <f>IF($E503=0,0,IF(MIN(BL$38,$E503)&lt;MAX($P$34*($B503+$I$38-1),IF(AND($L$37=0,$P$34=0),"",$L$37-1)),0,YEARFRAC(MAX($P$34*($B503+$I$38-1),IF(AND($L$37=0,$P$34=0),"",$L$37-1)),MIN(BL$38,$E503),$P$20))-SUM($BF503:BK503))</f>
        <v>0</v>
      </c>
      <c r="BM503" s="446">
        <f>IF($E503=0,0,IF(MIN(BM$38,$E503)&lt;MAX($P$34*($B503+$I$38-1),IF(AND($L$37=0,$P$34=0),"",$L$37-1)),0,YEARFRAC(MAX($P$34*($B503+$I$38-1),IF(AND($L$37=0,$P$34=0),"",$L$37-1)),MIN(BM$38,$E503),$P$20))-SUM($BF503:BL503))</f>
        <v>0</v>
      </c>
      <c r="BN503" s="446">
        <f>IF($E503=0,0,IF(MIN(BN$38,$E503)&lt;MAX($P$34*($B503+$I$38-1),IF(AND($L$37=0,$P$34=0),"",$L$37-1)),0,YEARFRAC(MAX($P$34*($B503+$I$38-1),IF(AND($L$37=0,$P$34=0),"",$L$37-1)),MIN(BN$38,$E503),$P$20))-SUM($BF503:BM503))</f>
        <v>0</v>
      </c>
      <c r="BO503" s="446">
        <f>IF($E503=0,0,IF(MIN(BO$38,$E503)&lt;MAX($P$34*($B503+$I$38-1),IF(AND($L$37=0,$P$34=0),"",$L$37-1)),0,YEARFRAC(MAX($P$34*($B503+$I$38-1),IF(AND($L$37=0,$P$34=0),"",$L$37-1)),MIN(BO$38,$E503),$P$20))-SUM($BF503:BN503))</f>
        <v>0</v>
      </c>
      <c r="BP503" s="446">
        <f>IF($E503=0,0,IF(MIN(BP$38,$E503)&lt;MAX($P$34*($B503+$I$38-1),IF(AND($L$37=0,$P$34=0),"",$L$37-1)),0,YEARFRAC(MAX($P$34*($B503+$I$38-1),IF(AND($L$37=0,$P$34=0),"",$L$37-1)),MIN(BP$38,$E503),$P$20))-SUM($BF503:BO503))</f>
        <v>0</v>
      </c>
      <c r="BQ503" s="446">
        <f>IF($E503=0,0,IF(MIN(BQ$38,$E503)&lt;MAX($P$34*($B503+$I$38-1),IF(AND($L$37=0,$P$34=0),"",$L$37-1)),0,YEARFRAC(MAX($P$34*($B503+$I$38-1),IF(AND($L$37=0,$P$34=0),"",$L$37-1)),MIN(BQ$38,$E503),$P$20))-SUM($BF503:BP503))</f>
        <v>0</v>
      </c>
      <c r="BR503" s="446">
        <f>IF($E503=0,0,IF(MIN(BR$38,$E503)&lt;MAX($P$34*($B503+$I$38-1),IF(AND($L$37=0,$P$34=0),"",$L$37-1)),0,YEARFRAC(MAX($P$34*($B503+$I$38-1),IF(AND($L$37=0,$P$34=0),"",$L$37-1)),MIN(BR$38,$E503),$P$20))-SUM($BF503:BQ503))</f>
        <v>0</v>
      </c>
      <c r="BS503" s="446">
        <f>IF($E503=0,0,IF(MIN(BS$38,$E503)&lt;MAX($P$34*($B503+$I$38-1),IF(AND($L$37=0,$P$34=0),"",$L$37-1)),0,YEARFRAC(MAX($P$34*($B503+$I$38-1),IF(AND($L$37=0,$P$34=0),"",$L$37-1)),MIN(BS$38,$E503),$P$20))-SUM($BF503:BR503))</f>
        <v>0</v>
      </c>
      <c r="BT503" s="446">
        <f>IF($E503=0,0,IF(MIN(BT$38,$E503)&lt;MAX($P$34*($B503+$I$38-1),IF(AND($L$37=0,$P$34=0),"",$L$37-1)),0,YEARFRAC(MAX($P$34*($B503+$I$38-1),IF(AND($L$37=0,$P$34=0),"",$L$37-1)),MIN(BT$38,$E503),$P$20))-SUM($BF503:BS503))</f>
        <v>0</v>
      </c>
      <c r="BU503" s="446">
        <f>IF($E503=0,0,IF(MIN(BU$38,$E503)&lt;MAX($P$34*($B503+$I$38-1),IF(AND($L$37=0,$P$34=0),"",$L$37-1)),0,YEARFRAC(MAX($P$34*($B503+$I$38-1),IF(AND($L$37=0,$P$34=0),"",$L$37-1)),MIN(BU$38,$E503),$P$20))-SUM($BF503:BT503))</f>
        <v>0</v>
      </c>
      <c r="BV503" s="446">
        <f>IF($E503=0,0,IF(MIN(BV$38,$E503)&lt;MAX($P$34*($B503+$I$38-1),IF(AND($L$37=0,$P$34=0),"",$L$37-1)),0,YEARFRAC(MAX($P$34*($B503+$I$38-1),IF(AND($L$37=0,$P$34=0),"",$L$37-1)),MIN(BV$38,$E503),$P$20))-SUM($BF503:BU503))</f>
        <v>0</v>
      </c>
      <c r="BW503" s="446">
        <f>IF($E503=0,0,IF(MIN(BW$38,$E503)&lt;MAX($P$34*($B503+$I$38-1),IF(AND($L$37=0,$P$34=0),"",$L$37-1)),0,YEARFRAC(MAX($P$34*($B503+$I$38-1),IF(AND($L$37=0,$P$34=0),"",$L$37-1)),MIN(BW$38,$E503),$P$20))-SUM($BF503:BV503))</f>
        <v>0</v>
      </c>
      <c r="BX503" s="446">
        <f>IF($E503=0,0,IF(MIN(BX$38,$E503)&lt;MAX($P$34*($B503+$I$38-1),IF(AND($L$37=0,$P$34=0),"",$L$37-1)),0,YEARFRAC(MAX($P$34*($B503+$I$38-1),IF(AND($L$37=0,$P$34=0),"",$L$37-1)),MIN(BX$38,$E503),$P$20))-SUM($BF503:BW503))</f>
        <v>0</v>
      </c>
      <c r="BY503" s="446">
        <f>IF($E503=0,0,IF(MIN(BY$38,$E503)&lt;MAX($P$34*($B503+$I$38-1),IF(AND($L$37=0,$P$34=0),"",$L$37-1)),0,YEARFRAC(MAX($P$34*($B503+$I$38-1),IF(AND($L$37=0,$P$34=0),"",$L$37-1)),MIN(BY$38,$E503),$P$20))-SUM($BF503:BX503))</f>
        <v>0</v>
      </c>
      <c r="BZ503" s="446">
        <f>IF($E503=0,0,IF(MIN(BZ$38,$E503)&lt;MAX($P$34*($B503+$I$38-1),IF(AND($L$37=0,$P$34=0),"",$L$37-1)),0,YEARFRAC(MAX($P$34*($B503+$I$38-1),IF(AND($L$37=0,$P$34=0),"",$L$37-1)),MIN(BZ$38,$E503),$P$20))-SUM($BF503:BY503))</f>
        <v>0</v>
      </c>
      <c r="CA503" s="446">
        <f>IF($E503=0,0,IF(MIN(CA$38,$E503)&lt;MAX($P$34*($B503+$I$38-1),IF(AND($L$37=0,$P$34=0),"",$L$37-1)),0,YEARFRAC(MAX($P$34*($B503+$I$38-1),IF(AND($L$37=0,$P$34=0),"",$L$37-1)),MIN(CA$38,$E503),$P$20))-SUM($BF503:BZ503))</f>
        <v>0</v>
      </c>
      <c r="CB503" s="446">
        <f>IF($E503=0,0,IF(MIN(CB$38,$E503)&lt;MAX($P$34*($B503+$I$38-1),IF(AND($L$37=0,$P$34=0),"",$L$37-1)),0,YEARFRAC(MAX($P$34*($B503+$I$38-1),IF(AND($L$37=0,$P$34=0),"",$L$37-1)),MIN(CB$38,$E503),$P$20))-SUM($BF503:CA503))</f>
        <v>0</v>
      </c>
      <c r="CC503" s="446">
        <f>IF($E503=0,0,IF(MIN(CC$38,$E503)&lt;MAX($P$34*($B503+$I$38-1),IF(AND($L$37=0,$P$34=0),"",$L$37-1)),0,YEARFRAC(MAX($P$34*($B503+$I$38-1),IF(AND($L$37=0,$P$34=0),"",$L$37-1)),MIN(CC$38,$E503),$P$20))-SUM($BF503:CB503))</f>
        <v>0</v>
      </c>
      <c r="CD503" s="446">
        <f>IF($E503=0,0,IF(MIN(CD$38,$E503)&lt;MAX($P$34*($B503+$I$38-1),IF(AND($L$37=0,$P$34=0),"",$L$37-1)),0,YEARFRAC(MAX($P$34*($B503+$I$38-1),IF(AND($L$37=0,$P$34=0),"",$L$37-1)),MIN(CD$38,$E503),$P$20))-SUM($BF503:CC503))</f>
        <v>0</v>
      </c>
      <c r="CE503" s="446">
        <f>IF($E503=0,0,IF(MIN(CE$38,$E503)&lt;MAX($P$34*($B503+$I$38-1),IF(AND($L$37=0,$P$34=0),"",$L$37-1)),0,YEARFRAC(MAX($P$34*($B503+$I$38-1),IF(AND($L$37=0,$P$34=0),"",$L$37-1)),MIN(CE$38,$E503),$P$20))-SUM($BF503:CD503))</f>
        <v>0</v>
      </c>
      <c r="CF503" s="446">
        <f>IF($E503=0,0,IF(MIN(CF$38,$E503)&lt;MAX($P$34*($B503+$I$38-1),IF(AND($L$37=0,$P$34=0),"",$L$37-1)),0,YEARFRAC(MAX($P$34*($B503+$I$38-1),IF(AND($L$37=0,$P$34=0),"",$L$37-1)),MIN(CF$38,$E503),$P$20))-SUM($BF503:CE503))</f>
        <v>0</v>
      </c>
      <c r="CG503" s="446">
        <f>IF($E503=0,0,IF(MIN(CG$38,$E503)&lt;MAX($P$34*($B503+$I$38-1),IF(AND($L$37=0,$P$34=0),"",$L$37-1)),0,YEARFRAC(MAX($P$34*($B503+$I$38-1),IF(AND($L$37=0,$P$34=0),"",$L$37-1)),MIN(CG$38,$E503),$P$20))-SUM($BF503:CF503))</f>
        <v>0</v>
      </c>
      <c r="CH503" s="446">
        <f>IF($E503=0,0,IF(MIN(CH$38,$E503)&lt;MAX($P$34*($B503+$I$38-1),IF(AND($L$37=0,$P$34=0),"",$L$37-1)),0,YEARFRAC(MAX($P$34*($B503+$I$38-1),IF(AND($L$37=0,$P$34=0),"",$L$37-1)),MIN(CH$38,$E503),$P$20))-SUM($BF503:CG503))</f>
        <v>0</v>
      </c>
      <c r="CI503" s="446">
        <f>IF($E503=0,0,IF(MIN(CI$38,$E503)&lt;MAX($P$34*($B503+$I$38-1),IF(AND($L$37=0,$P$34=0),"",$L$37-1)),0,YEARFRAC(MAX($P$34*($B503+$I$38-1),IF(AND($L$37=0,$P$34=0),"",$L$37-1)),MIN(CI$38,$E503),$P$20))-SUM($BF503:CH503))</f>
        <v>0</v>
      </c>
      <c r="CJ503" s="446">
        <f>IF($E503=0,0,IF(MIN(CJ$38,$E503)&lt;MAX($P$34*($B503+$I$38-1),IF(AND($L$37=0,$P$34=0),"",$L$37-1)),0,YEARFRAC(MAX($P$34*($B503+$I$38-1),IF(AND($L$37=0,$P$34=0),"",$L$37-1)),MIN(CJ$38,$E503),$P$20))-SUM($BF503:CI503))</f>
        <v>0</v>
      </c>
      <c r="CK503" s="446">
        <f>IF($E503=0,0,IF(MIN(CK$38,$E503)&lt;MAX($P$34*($B503+$I$38-1),IF(AND($L$37=0,$P$34=0),"",$L$37-1)),0,YEARFRAC(MAX($P$34*($B503+$I$38-1),IF(AND($L$37=0,$P$34=0),"",$L$37-1)),MIN(CK$38,$E503),$P$20))-SUM($BF503:CJ503))</f>
        <v>0</v>
      </c>
      <c r="CL503" s="446">
        <f>IF($E503=0,0,IF(MIN(CL$38,$E503)&lt;MAX($P$34*($B503+$I$38-1),IF(AND($L$37=0,$P$34=0),"",$L$37-1)),0,YEARFRAC(MAX($P$34*($B503+$I$38-1),IF(AND($L$37=0,$P$34=0),"",$L$37-1)),MIN(CL$38,$E503),$P$20))-SUM($BF503:CK503))</f>
        <v>0</v>
      </c>
      <c r="CM503" s="446">
        <f>IF($E503=0,0,IF(MIN(CM$38,$E503)&lt;MAX($P$34*($B503+$I$38-1),IF(AND($L$37=0,$P$34=0),"",$L$37-1)),0,YEARFRAC(MAX($P$34*($B503+$I$38-1),IF(AND($L$37=0,$P$34=0),"",$L$37-1)),MIN(CM$38,$E503),$P$20))-SUM($BF503:CL503))</f>
        <v>0</v>
      </c>
      <c r="CN503" s="446">
        <f>IF($E503=0,0,IF(MIN(CN$38,$E503)&lt;MAX($P$34*($B503+$I$38-1),IF(AND($L$37=0,$P$34=0),"",$L$37-1)),0,YEARFRAC(MAX($P$34*($B503+$I$38-1),IF(AND($L$37=0,$P$34=0),"",$L$37-1)),MIN(CN$38,$E503),$P$20))-SUM($BF503:CM503))</f>
        <v>0</v>
      </c>
      <c r="CO503" s="446">
        <f>IF($E503=0,0,IF(MIN(CO$38,$E503)&lt;MAX($P$34*($B503+$I$38-1),IF(AND($L$37=0,$P$34=0),"",$L$37-1)),0,YEARFRAC(MAX($P$34*($B503+$I$38-1),IF(AND($L$37=0,$P$34=0),"",$L$37-1)),MIN(CO$38,$E503),$P$20))-SUM($BF503:CN503))</f>
        <v>0</v>
      </c>
      <c r="CP503" s="446">
        <f>IF($E503=0,0,IF(MIN(CP$38,$E503)&lt;MAX($P$34*($B503+$I$38-1),IF(AND($L$37=0,$P$34=0),"",$L$37-1)),0,YEARFRAC(MAX($P$34*($B503+$I$38-1),IF(AND($L$37=0,$P$34=0),"",$L$37-1)),MIN(CP$38,$E503),$P$20))-SUM($BF503:CO503))</f>
        <v>0</v>
      </c>
      <c r="CQ503" s="446">
        <f>IF($E503=0,0,IF(MIN(CQ$38,$E503)&lt;MAX($P$34*($B503+$I$38-1),IF(AND($L$37=0,$P$34=0),"",$L$37-1)),0,YEARFRAC(MAX($P$34*($B503+$I$38-1),IF(AND($L$37=0,$P$34=0),"",$L$37-1)),MIN(CQ$38,$E503),$P$20))-SUM($BF503:CP503))</f>
        <v>0</v>
      </c>
    </row>
    <row r="504" spans="1:95" s="446" customFormat="1" ht="11.25" hidden="1" customHeight="1" x14ac:dyDescent="0.2">
      <c r="A504" s="152"/>
      <c r="B504" s="153" t="str">
        <f t="shared" si="92"/>
        <v/>
      </c>
      <c r="C504" s="29" t="str">
        <f>IF(B504="","",IF($L$35="SELIC - TRIBUTOS",VLOOKUP(DATE(YEAR($D$19),MONTH($D$19)-1,1),ÍNDICES!$A:$DE,HLOOKUP($BL$25,ÍNDICES!$B$3:$T$4,2)+11)-VLOOKUP(B504,ÍNDICES!$A:$DE,HLOOKUP($BL$25,ÍNDICES!$B$3:$T$4,2)+11)+1%,IF(C$38=$W$26,$J$35,IF(ISERROR(IF(B504&gt;$D$19,1,VLOOKUP(DATE(YEAR(B504),MONTH(B504)+IF($C$35=$S$23,1,0),1),ÍNDICES!$A:$DE,$Z$35+1))),"",IF(B504&gt;$D$19,1,VLOOKUP(DATE(YEAR(B504),MONTH(B504)+IF($C$35=$S$23,1,0),1),ÍNDICES!$A:$DE,$Z$35+1))))))</f>
        <v/>
      </c>
      <c r="D504" s="154" t="str">
        <f>IF(ISERROR(IF(OR($D$38=$Y$27,$B504=""),"",VLOOKUP(B504,ÍNDICES!A:DE,AF$35+1))),"",IF(OR($D$38=$Y$27,$B504=""),"",VLOOKUP(B504,ÍNDICES!A:DE,AF$35+1)))</f>
        <v/>
      </c>
      <c r="E504" s="153"/>
      <c r="F504" s="29" t="str">
        <f>IF(E504="","",IF($L$35="SELIC - TRIBUTOS",VLOOKUP(DATE(YEAR($D$19),MONTH($D$19)-1,1),ÍNDICES!$A:$DE,HLOOKUP($BL$25,ÍNDICES!$B$3:$T$4,2)+11)-VLOOKUP(E504,ÍNDICES!$A:$DE,HLOOKUP($BL$25,ÍNDICES!$B$3:$T$4,2)+11)+1%,IF(F$38=$W$26,$J$35,IF(ISERROR(IF(E504&gt;$D$19,1,VLOOKUP(DATE(YEAR(E504),MONTH(E504)+IF($C$35=$S$23,1,0),1),ÍNDICES!$A:$DE,$Z$35+1))),"",IF(E504&gt;$D$19,1,VLOOKUP(DATE(YEAR(E504),MONTH(E504)+IF($C$35=$S$23,1,0),1),ÍNDICES!$A:$DE,$Z$35+1))))))</f>
        <v/>
      </c>
      <c r="G504" s="155"/>
      <c r="H504" s="156" t="str">
        <f t="shared" si="88"/>
        <v/>
      </c>
      <c r="I504" s="29" t="str">
        <f t="shared" si="82"/>
        <v/>
      </c>
      <c r="J504" s="5">
        <f t="shared" si="83"/>
        <v>0</v>
      </c>
      <c r="K504" s="20">
        <f t="shared" ca="1" si="84"/>
        <v>0</v>
      </c>
      <c r="L504" s="5">
        <f t="shared" ca="1" si="85"/>
        <v>0</v>
      </c>
      <c r="M504" s="64">
        <f t="shared" si="89"/>
        <v>0</v>
      </c>
      <c r="N504" s="61">
        <f t="shared" ca="1" si="90"/>
        <v>0</v>
      </c>
      <c r="O504" s="5">
        <f t="shared" ca="1" si="91"/>
        <v>0</v>
      </c>
      <c r="P504" s="446" t="e">
        <f t="shared" si="86"/>
        <v>#VALUE!</v>
      </c>
      <c r="Q504" s="446" t="e">
        <f>IF(OR($B504="",MIN(Q$38,$D$19)&lt;MAX($P$34*($B504+IF($R$17="Distrato",$I$38-1,0)),IF(AND($L$37=0,$P$34=0),"",$L$37-1),IF($R$17="Distrato",$E504,0))),0,YEARFRAC(MAX($P$34*($B504+IF($R$17="Distrato",$I$38-1,0)),IF(AND($L$37=0,$P$34=0),"",$L$37-1),IF($R$17="Distrato",$E504,0)),MIN(Q$38,$D$19),$P$20))-SUM($P504:P504)</f>
        <v>#VALUE!</v>
      </c>
      <c r="R504" s="446" t="e">
        <f>IF(OR($B504="",MIN(R$38,$D$19)&lt;MAX($P$34*($B504+IF($R$17="Distrato",$I$38-1,0)),IF(AND($L$37=0,$P$34=0),"",$L$37-1),IF($R$17="Distrato",$E504,0))),0,YEARFRAC(MAX($P$34*($B504+IF($R$17="Distrato",$I$38-1,0)),IF(AND($L$37=0,$P$34=0),"",$L$37-1),IF($R$17="Distrato",$E504,0)),MIN(R$38,$D$19),$P$20))-SUM($P504:Q504)</f>
        <v>#VALUE!</v>
      </c>
      <c r="S504" s="446" t="e">
        <f>IF(OR($B504="",MIN(S$38,$D$19)&lt;MAX($P$34*($B504+IF($R$17="Distrato",$I$38-1,0)),IF(AND($L$37=0,$P$34=0),"",$L$37-1),IF($R$17="Distrato",$E504,0))),0,YEARFRAC(MAX($P$34*($B504+IF($R$17="Distrato",$I$38-1,0)),IF(AND($L$37=0,$P$34=0),"",$L$37-1),IF($R$17="Distrato",$E504,0)),MIN(S$38,$D$19),$P$20))-SUM($P504:R504)</f>
        <v>#VALUE!</v>
      </c>
      <c r="T504" s="446" t="e">
        <f>IF(OR($B504="",MIN(T$38,$D$19)&lt;MAX($P$34*($B504+IF($R$17="Distrato",$I$38-1,0)),IF(AND($L$37=0,$P$34=0),"",$L$37-1),IF($R$17="Distrato",$E504,0))),0,YEARFRAC(MAX($P$34*($B504+IF($R$17="Distrato",$I$38-1,0)),IF(AND($L$37=0,$P$34=0),"",$L$37-1),IF($R$17="Distrato",$E504,0)),MIN(T$38,$D$19),$P$20))-SUM($P504:S504)</f>
        <v>#VALUE!</v>
      </c>
      <c r="U504" s="446" t="e">
        <f>IF(OR($B504="",MIN(U$38,$D$19)&lt;MAX($P$34*($B504+IF($R$17="Distrato",$I$38-1,0)),IF(AND($L$37=0,$P$34=0),"",$L$37-1),IF($R$17="Distrato",$E504,0))),0,YEARFRAC(MAX($P$34*($B504+IF($R$17="Distrato",$I$38-1,0)),IF(AND($L$37=0,$P$34=0),"",$L$37-1),IF($R$17="Distrato",$E504,0)),MIN(U$38,$D$19),$P$20))-SUM($P504:T504)</f>
        <v>#VALUE!</v>
      </c>
      <c r="V504" s="446" t="e">
        <f>IF(OR($B504="",MIN(V$38,$D$19)&lt;MAX($P$34*($B504+IF($R$17="Distrato",$I$38-1,0)),IF(AND($L$37=0,$P$34=0),"",$L$37-1),IF($R$17="Distrato",$E504,0))),0,YEARFRAC(MAX($P$34*($B504+IF($R$17="Distrato",$I$38-1,0)),IF(AND($L$37=0,$P$34=0),"",$L$37-1),IF($R$17="Distrato",$E504,0)),MIN(V$38,$D$19),$P$20))-SUM($P504:U504)</f>
        <v>#VALUE!</v>
      </c>
      <c r="W504" s="446" t="e">
        <f>IF(OR($B504="",MIN(W$38,$D$19)&lt;MAX($P$34*($B504+IF($R$17="Distrato",$I$38-1,0)),IF(AND($L$37=0,$P$34=0),"",$L$37-1),IF($R$17="Distrato",$E504,0))),0,YEARFRAC(MAX($P$34*($B504+IF($R$17="Distrato",$I$38-1,0)),IF(AND($L$37=0,$P$34=0),"",$L$37-1),IF($R$17="Distrato",$E504,0)),MIN(W$38,$D$19),$P$20))-SUM($P504:V504)</f>
        <v>#VALUE!</v>
      </c>
      <c r="X504" s="446" t="e">
        <f>IF(OR($B504="",MIN(X$38,$D$19)&lt;MAX($P$34*($B504+IF($R$17="Distrato",$I$38-1,0)),IF(AND($L$37=0,$P$34=0),"",$L$37-1),IF($R$17="Distrato",$E504,0))),0,YEARFRAC(MAX($P$34*($B504+IF($R$17="Distrato",$I$38-1,0)),IF(AND($L$37=0,$P$34=0),"",$L$37-1),IF($R$17="Distrato",$E504,0)),MIN(X$38,$D$19),$P$20))-SUM($P504:W504)</f>
        <v>#VALUE!</v>
      </c>
      <c r="Y504" s="446" t="e">
        <f>IF(OR($B504="",MIN(Y$38,$D$19)&lt;MAX($P$34*($B504+IF($R$17="Distrato",$I$38-1,0)),IF(AND($L$37=0,$P$34=0),"",$L$37-1),IF($R$17="Distrato",$E504,0))),0,YEARFRAC(MAX($P$34*($B504+IF($R$17="Distrato",$I$38-1,0)),IF(AND($L$37=0,$P$34=0),"",$L$37-1),IF($R$17="Distrato",$E504,0)),MIN(Y$38,$D$19),$P$20))-SUM($P504:X504)</f>
        <v>#VALUE!</v>
      </c>
      <c r="Z504" s="446" t="e">
        <f>IF(OR($B504="",MIN(Z$38,$D$19)&lt;MAX($P$34*($B504+IF($R$17="Distrato",$I$38-1,0)),IF(AND($L$37=0,$P$34=0),"",$L$37-1),IF($R$17="Distrato",$E504,0))),0,YEARFRAC(MAX($P$34*($B504+IF($R$17="Distrato",$I$38-1,0)),IF(AND($L$37=0,$P$34=0),"",$L$37-1),IF($R$17="Distrato",$E504,0)),MIN(Z$38,$D$19),$P$20))-SUM($P504:Y504)</f>
        <v>#VALUE!</v>
      </c>
      <c r="AA504" s="446" t="e">
        <f>IF(OR($B504="",MIN(AA$38,$D$19)&lt;MAX($P$34*($B504+IF($R$17="Distrato",$I$38-1,0)),IF(AND($L$37=0,$P$34=0),"",$L$37-1),IF($R$17="Distrato",$E504,0))),0,YEARFRAC(MAX($P$34*($B504+IF($R$17="Distrato",$I$38-1,0)),IF(AND($L$37=0,$P$34=0),"",$L$37-1),IF($R$17="Distrato",$E504,0)),MIN(AA$38,$D$19),$P$20))-SUM($P504:Z504)</f>
        <v>#VALUE!</v>
      </c>
      <c r="AB504" s="446" t="e">
        <f>IF(OR($B504="",MIN(AB$38,$D$19)&lt;MAX($P$34*($B504+IF($R$17="Distrato",$I$38-1,0)),IF(AND($L$37=0,$P$34=0),"",$L$37-1),IF($R$17="Distrato",$E504,0))),0,YEARFRAC(MAX($P$34*($B504+IF($R$17="Distrato",$I$38-1,0)),IF(AND($L$37=0,$P$34=0),"",$L$37-1),IF($R$17="Distrato",$E504,0)),MIN(AB$38,$D$19),$P$20))-SUM($P504:AA504)</f>
        <v>#VALUE!</v>
      </c>
      <c r="AC504" s="446" t="e">
        <f>IF(OR($B504="",MIN(AC$38,$D$19)&lt;MAX($P$34*($B504+IF($R$17="Distrato",$I$38-1,0)),IF(AND($L$37=0,$P$34=0),"",$L$37-1),IF($R$17="Distrato",$E504,0))),0,YEARFRAC(MAX($P$34*($B504+IF($R$17="Distrato",$I$38-1,0)),IF(AND($L$37=0,$P$34=0),"",$L$37-1),IF($R$17="Distrato",$E504,0)),MIN(AC$38,$D$19),$P$20))-SUM($P504:AB504)</f>
        <v>#VALUE!</v>
      </c>
      <c r="AD504" s="446" t="e">
        <f>IF(OR($B504="",MIN(AD$38,$D$19)&lt;MAX($P$34*($B504+IF($R$17="Distrato",$I$38-1,0)),IF(AND($L$37=0,$P$34=0),"",$L$37-1),IF($R$17="Distrato",$E504,0))),0,YEARFRAC(MAX($P$34*($B504+IF($R$17="Distrato",$I$38-1,0)),IF(AND($L$37=0,$P$34=0),"",$L$37-1),IF($R$17="Distrato",$E504,0)),MIN(AD$38,$D$19),$P$20))-SUM($P504:AC504)</f>
        <v>#VALUE!</v>
      </c>
      <c r="AE504" s="446" t="e">
        <f>IF(OR($B504="",MIN(AE$38,$D$19)&lt;MAX($P$34*($B504+IF($R$17="Distrato",$I$38-1,0)),IF(AND($L$37=0,$P$34=0),"",$L$37-1),IF($R$17="Distrato",$E504,0))),0,YEARFRAC(MAX($P$34*($B504+IF($R$17="Distrato",$I$38-1,0)),IF(AND($L$37=0,$P$34=0),"",$L$37-1),IF($R$17="Distrato",$E504,0)),MIN(AE$38,$D$19),$P$20))-SUM($P504:AD504)</f>
        <v>#VALUE!</v>
      </c>
      <c r="AF504" s="446" t="e">
        <f>IF(OR($B504="",MIN(AF$38,$D$19)&lt;MAX($P$34*($B504+IF($R$17="Distrato",$I$38-1,0)),IF(AND($L$37=0,$P$34=0),"",$L$37-1),IF($R$17="Distrato",$E504,0))),0,YEARFRAC(MAX($P$34*($B504+IF($R$17="Distrato",$I$38-1,0)),IF(AND($L$37=0,$P$34=0),"",$L$37-1),IF($R$17="Distrato",$E504,0)),MIN(AF$38,$D$19),$P$20))-SUM($P504:AE504)</f>
        <v>#VALUE!</v>
      </c>
      <c r="AG504" s="446" t="e">
        <f>IF(OR($B504="",MIN(AG$38,$D$19)&lt;MAX($P$34*($B504+IF($R$17="Distrato",$I$38-1,0)),IF(AND($L$37=0,$P$34=0),"",$L$37-1),IF($R$17="Distrato",$E504,0))),0,YEARFRAC(MAX($P$34*($B504+IF($R$17="Distrato",$I$38-1,0)),IF(AND($L$37=0,$P$34=0),"",$L$37-1),IF($R$17="Distrato",$E504,0)),MIN(AG$38,$D$19),$P$20))-SUM($P504:AF504)</f>
        <v>#VALUE!</v>
      </c>
      <c r="AH504" s="446" t="e">
        <f>IF(OR($B504="",MIN(AH$38,$D$19)&lt;MAX($P$34*($B504+IF($R$17="Distrato",$I$38-1,0)),IF(AND($L$37=0,$P$34=0),"",$L$37-1),IF($R$17="Distrato",$E504,0))),0,YEARFRAC(MAX($P$34*($B504+IF($R$17="Distrato",$I$38-1,0)),IF(AND($L$37=0,$P$34=0),"",$L$37-1),IF($R$17="Distrato",$E504,0)),MIN(AH$38,$D$19),$P$20))-SUM($P504:AG504)</f>
        <v>#VALUE!</v>
      </c>
      <c r="AI504" s="446" t="e">
        <f>IF(OR($B504="",MIN(AI$38,$D$19)&lt;MAX($P$34*($B504+IF($R$17="Distrato",$I$38-1,0)),IF(AND($L$37=0,$P$34=0),"",$L$37-1),IF($R$17="Distrato",$E504,0))),0,YEARFRAC(MAX($P$34*($B504+IF($R$17="Distrato",$I$38-1,0)),IF(AND($L$37=0,$P$34=0),"",$L$37-1),IF($R$17="Distrato",$E504,0)),MIN(AI$38,$D$19),$P$20))-SUM($P504:AH504)</f>
        <v>#VALUE!</v>
      </c>
      <c r="AJ504" s="446" t="e">
        <f>IF(OR($B504="",MIN(AJ$38,$D$19)&lt;MAX($P$34*($B504+IF($R$17="Distrato",$I$38-1,0)),IF(AND($L$37=0,$P$34=0),"",$L$37-1),IF($R$17="Distrato",$E504,0))),0,YEARFRAC(MAX($P$34*($B504+IF($R$17="Distrato",$I$38-1,0)),IF(AND($L$37=0,$P$34=0),"",$L$37-1),IF($R$17="Distrato",$E504,0)),MIN(AJ$38,$D$19),$P$20))-SUM($P504:AI504)</f>
        <v>#VALUE!</v>
      </c>
      <c r="AK504" s="446" t="e">
        <f>IF(OR($B504="",MIN(AK$38,$D$19)&lt;MAX($P$34*($B504+IF($R$17="Distrato",$I$38-1,0)),IF(AND($L$37=0,$P$34=0),"",$L$37-1),IF($R$17="Distrato",$E504,0))),0,YEARFRAC(MAX($P$34*($B504+IF($R$17="Distrato",$I$38-1,0)),IF(AND($L$37=0,$P$34=0),"",$L$37-1),IF($R$17="Distrato",$E504,0)),MIN(AK$38,$D$19),$P$20))-SUM($P504:AJ504)</f>
        <v>#VALUE!</v>
      </c>
      <c r="AL504" s="446" t="e">
        <f>IF(OR($B504="",MIN(AL$38,$D$19)&lt;MAX($P$34*($B504+IF($R$17="Distrato",$I$38-1,0)),IF(AND($L$37=0,$P$34=0),"",$L$37-1),IF($R$17="Distrato",$E504,0))),0,YEARFRAC(MAX($P$34*($B504+IF($R$17="Distrato",$I$38-1,0)),IF(AND($L$37=0,$P$34=0),"",$L$37-1),IF($R$17="Distrato",$E504,0)),MIN(AL$38,$D$19),$P$20))-SUM($P504:AK504)</f>
        <v>#VALUE!</v>
      </c>
      <c r="AM504" s="446" t="e">
        <f>IF(OR($B504="",MIN(AM$38,$D$19)&lt;MAX($P$34*($B504+IF($R$17="Distrato",$I$38-1,0)),IF(AND($L$37=0,$P$34=0),"",$L$37-1),IF($R$17="Distrato",$E504,0))),0,YEARFRAC(MAX($P$34*($B504+IF($R$17="Distrato",$I$38-1,0)),IF(AND($L$37=0,$P$34=0),"",$L$37-1),IF($R$17="Distrato",$E504,0)),MIN(AM$38,$D$19),$P$20))-SUM($P504:AL504)</f>
        <v>#VALUE!</v>
      </c>
      <c r="AN504" s="446" t="e">
        <f>IF(OR($B504="",MIN(AN$38,$D$19)&lt;MAX($P$34*($B504+IF($R$17="Distrato",$I$38-1,0)),IF(AND($L$37=0,$P$34=0),"",$L$37-1),IF($R$17="Distrato",$E504,0))),0,YEARFRAC(MAX($P$34*($B504+IF($R$17="Distrato",$I$38-1,0)),IF(AND($L$37=0,$P$34=0),"",$L$37-1),IF($R$17="Distrato",$E504,0)),MIN(AN$38,$D$19),$P$20))-SUM($P504:AM504)</f>
        <v>#VALUE!</v>
      </c>
      <c r="AO504" s="446" t="e">
        <f>IF(OR($B504="",MIN(AO$38,$D$19)&lt;MAX($P$34*($B504+IF($R$17="Distrato",$I$38-1,0)),IF(AND($L$37=0,$P$34=0),"",$L$37-1),IF($R$17="Distrato",$E504,0))),0,YEARFRAC(MAX($P$34*($B504+IF($R$17="Distrato",$I$38-1,0)),IF(AND($L$37=0,$P$34=0),"",$L$37-1),IF($R$17="Distrato",$E504,0)),MIN(AO$38,$D$19),$P$20))-SUM($P504:AN504)</f>
        <v>#VALUE!</v>
      </c>
      <c r="AP504" s="446" t="e">
        <f>IF(OR($B504="",MIN(AP$38,$D$19)&lt;MAX($P$34*($B504+IF($R$17="Distrato",$I$38-1,0)),IF(AND($L$37=0,$P$34=0),"",$L$37-1),IF($R$17="Distrato",$E504,0))),0,YEARFRAC(MAX($P$34*($B504+IF($R$17="Distrato",$I$38-1,0)),IF(AND($L$37=0,$P$34=0),"",$L$37-1),IF($R$17="Distrato",$E504,0)),MIN(AP$38,$D$19),$P$20))-SUM($P504:AO504)</f>
        <v>#VALUE!</v>
      </c>
      <c r="AQ504" s="446" t="e">
        <f>IF(OR($B504="",MIN(AQ$38,$D$19)&lt;MAX($P$34*($B504+IF($R$17="Distrato",$I$38-1,0)),IF(AND($L$37=0,$P$34=0),"",$L$37-1),IF($R$17="Distrato",$E504,0))),0,YEARFRAC(MAX($P$34*($B504+IF($R$17="Distrato",$I$38-1,0)),IF(AND($L$37=0,$P$34=0),"",$L$37-1),IF($R$17="Distrato",$E504,0)),MIN(AQ$38,$D$19),$P$20))-SUM($P504:AP504)</f>
        <v>#VALUE!</v>
      </c>
      <c r="AR504" s="446" t="e">
        <f>IF(OR($B504="",MIN(AR$38,$D$19)&lt;MAX($P$34*($B504+IF($R$17="Distrato",$I$38-1,0)),IF(AND($L$37=0,$P$34=0),"",$L$37-1),IF($R$17="Distrato",$E504,0))),0,YEARFRAC(MAX($P$34*($B504+IF($R$17="Distrato",$I$38-1,0)),IF(AND($L$37=0,$P$34=0),"",$L$37-1),IF($R$17="Distrato",$E504,0)),MIN(AR$38,$D$19),$P$20))-SUM($P504:AQ504)</f>
        <v>#VALUE!</v>
      </c>
      <c r="AS504" s="446" t="e">
        <f>IF(OR($B504="",MIN(AS$38,$D$19)&lt;MAX($P$34*($B504+IF($R$17="Distrato",$I$38-1,0)),IF(AND($L$37=0,$P$34=0),"",$L$37-1),IF($R$17="Distrato",$E504,0))),0,YEARFRAC(MAX($P$34*($B504+IF($R$17="Distrato",$I$38-1,0)),IF(AND($L$37=0,$P$34=0),"",$L$37-1),IF($R$17="Distrato",$E504,0)),MIN(AS$38,$D$19),$P$20))-SUM($P504:AR504)</f>
        <v>#VALUE!</v>
      </c>
      <c r="AT504" s="446" t="e">
        <f>IF(OR($B504="",MIN(AT$38,$D$19)&lt;MAX($P$34*($B504+IF($R$17="Distrato",$I$38-1,0)),IF(AND($L$37=0,$P$34=0),"",$L$37-1),IF($R$17="Distrato",$E504,0))),0,YEARFRAC(MAX($P$34*($B504+IF($R$17="Distrato",$I$38-1,0)),IF(AND($L$37=0,$P$34=0),"",$L$37-1),IF($R$17="Distrato",$E504,0)),MIN(AT$38,$D$19),$P$20))-SUM($P504:AS504)</f>
        <v>#VALUE!</v>
      </c>
      <c r="AU504" s="446" t="e">
        <f>IF(OR($B504="",MIN(AU$38,$D$19)&lt;MAX($P$34*($B504+IF($R$17="Distrato",$I$38-1,0)),IF(AND($L$37=0,$P$34=0),"",$L$37-1),IF($R$17="Distrato",$E504,0))),0,YEARFRAC(MAX($P$34*($B504+IF($R$17="Distrato",$I$38-1,0)),IF(AND($L$37=0,$P$34=0),"",$L$37-1),IF($R$17="Distrato",$E504,0)),MIN(AU$38,$D$19),$P$20))-SUM($P504:AT504)</f>
        <v>#VALUE!</v>
      </c>
      <c r="AV504" s="446" t="e">
        <f>IF(OR($B504="",MIN(AV$38,$D$19)&lt;MAX($P$34*($B504+IF($R$17="Distrato",$I$38-1,0)),IF(AND($L$37=0,$P$34=0),"",$L$37-1),IF($R$17="Distrato",$E504,0))),0,YEARFRAC(MAX($P$34*($B504+IF($R$17="Distrato",$I$38-1,0)),IF(AND($L$37=0,$P$34=0),"",$L$37-1),IF($R$17="Distrato",$E504,0)),MIN(AV$38,$D$19),$P$20))-SUM($P504:AU504)</f>
        <v>#VALUE!</v>
      </c>
      <c r="AW504" s="446" t="e">
        <f>IF(OR($B504="",MIN(AW$38,$D$19)&lt;MAX($P$34*($B504+IF($R$17="Distrato",$I$38-1,0)),IF(AND($L$37=0,$P$34=0),"",$L$37-1),IF($R$17="Distrato",$E504,0))),0,YEARFRAC(MAX($P$34*($B504+IF($R$17="Distrato",$I$38-1,0)),IF(AND($L$37=0,$P$34=0),"",$L$37-1),IF($R$17="Distrato",$E504,0)),MIN(AW$38,$D$19),$P$20))-SUM($P504:AV504)</f>
        <v>#VALUE!</v>
      </c>
      <c r="AX504" s="446" t="e">
        <f>IF(OR($B504="",MIN(AX$38,$D$19)&lt;MAX($P$34*($B504+IF($R$17="Distrato",$I$38-1,0)),IF(AND($L$37=0,$P$34=0),"",$L$37-1),IF($R$17="Distrato",$E504,0))),0,YEARFRAC(MAX($P$34*($B504+IF($R$17="Distrato",$I$38-1,0)),IF(AND($L$37=0,$P$34=0),"",$L$37-1),IF($R$17="Distrato",$E504,0)),MIN(AX$38,$D$19),$P$20))-SUM($P504:AW504)</f>
        <v>#VALUE!</v>
      </c>
      <c r="AY504" s="446" t="e">
        <f>IF(OR($B504="",MIN(AY$38,$D$19)&lt;MAX($P$34*($B504+IF($R$17="Distrato",$I$38-1,0)),IF(AND($L$37=0,$P$34=0),"",$L$37-1),IF($R$17="Distrato",$E504,0))),0,YEARFRAC(MAX($P$34*($B504+IF($R$17="Distrato",$I$38-1,0)),IF(AND($L$37=0,$P$34=0),"",$L$37-1),IF($R$17="Distrato",$E504,0)),MIN(AY$38,$D$19),$P$20))-SUM($P504:AX504)</f>
        <v>#VALUE!</v>
      </c>
      <c r="AZ504" s="446" t="e">
        <f>IF(OR($B504="",MIN(AZ$38,$D$19)&lt;MAX($P$34*($B504+IF($R$17="Distrato",$I$38-1,0)),IF(AND($L$37=0,$P$34=0),"",$L$37-1),IF($R$17="Distrato",$E504,0))),0,YEARFRAC(MAX($P$34*($B504+IF($R$17="Distrato",$I$38-1,0)),IF(AND($L$37=0,$P$34=0),"",$L$37-1),IF($R$17="Distrato",$E504,0)),MIN(AZ$38,$D$19),$P$20))-SUM($P504:AY504)</f>
        <v>#VALUE!</v>
      </c>
      <c r="BA504" s="446" t="e">
        <f>IF(OR($B504="",MIN(BA$38,$D$19)&lt;MAX($P$34*($B504+IF($R$17="Distrato",$I$38-1,0)),IF(AND($L$37=0,$P$34=0),"",$L$37-1),IF($R$17="Distrato",$E504,0))),0,YEARFRAC(MAX($P$34*($B504+IF($R$17="Distrato",$I$38-1,0)),IF(AND($L$37=0,$P$34=0),"",$L$37-1),IF($R$17="Distrato",$E504,0)),MIN(BA$38,$D$19),$P$20))-SUM($P504:AZ504)</f>
        <v>#VALUE!</v>
      </c>
      <c r="BB504" s="447"/>
      <c r="BF504" s="446">
        <f t="shared" si="87"/>
        <v>0</v>
      </c>
      <c r="BG504" s="446">
        <f>IF($E504=0,0,IF(MIN(BG$38,$E504)&lt;MAX($P$34*($B504+$I$38-1),IF(AND($L$37=0,$P$34=0),"",$L$37-1)),0,YEARFRAC(MAX($P$34*($B504+$I$38-1),IF(AND($L$37=0,$P$34=0),"",$L$37-1)),MIN(BG$38,$E504),$P$20))-SUM($BF504:BF504))</f>
        <v>0</v>
      </c>
      <c r="BH504" s="446">
        <f>IF($E504=0,0,IF(MIN(BH$38,$E504)&lt;MAX($P$34*($B504+$I$38-1),IF(AND($L$37=0,$P$34=0),"",$L$37-1)),0,YEARFRAC(MAX($P$34*($B504+$I$38-1),IF(AND($L$37=0,$P$34=0),"",$L$37-1)),MIN(BH$38,$E504),$P$20))-SUM($BF504:BG504))</f>
        <v>0</v>
      </c>
      <c r="BI504" s="446">
        <f>IF($E504=0,0,IF(MIN(BI$38,$E504)&lt;MAX($P$34*($B504+$I$38-1),IF(AND($L$37=0,$P$34=0),"",$L$37-1)),0,YEARFRAC(MAX($P$34*($B504+$I$38-1),IF(AND($L$37=0,$P$34=0),"",$L$37-1)),MIN(BI$38,$E504),$P$20))-SUM($BF504:BH504))</f>
        <v>0</v>
      </c>
      <c r="BJ504" s="446">
        <f>IF($E504=0,0,IF(MIN(BJ$38,$E504)&lt;MAX($P$34*($B504+$I$38-1),IF(AND($L$37=0,$P$34=0),"",$L$37-1)),0,YEARFRAC(MAX($P$34*($B504+$I$38-1),IF(AND($L$37=0,$P$34=0),"",$L$37-1)),MIN(BJ$38,$E504),$P$20))-SUM($BF504:BI504))</f>
        <v>0</v>
      </c>
      <c r="BK504" s="446">
        <f>IF($E504=0,0,IF(MIN(BK$38,$E504)&lt;MAX($P$34*($B504+$I$38-1),IF(AND($L$37=0,$P$34=0),"",$L$37-1)),0,YEARFRAC(MAX($P$34*($B504+$I$38-1),IF(AND($L$37=0,$P$34=0),"",$L$37-1)),MIN(BK$38,$E504),$P$20))-SUM($BF504:BJ504))</f>
        <v>0</v>
      </c>
      <c r="BL504" s="446">
        <f>IF($E504=0,0,IF(MIN(BL$38,$E504)&lt;MAX($P$34*($B504+$I$38-1),IF(AND($L$37=0,$P$34=0),"",$L$37-1)),0,YEARFRAC(MAX($P$34*($B504+$I$38-1),IF(AND($L$37=0,$P$34=0),"",$L$37-1)),MIN(BL$38,$E504),$P$20))-SUM($BF504:BK504))</f>
        <v>0</v>
      </c>
      <c r="BM504" s="446">
        <f>IF($E504=0,0,IF(MIN(BM$38,$E504)&lt;MAX($P$34*($B504+$I$38-1),IF(AND($L$37=0,$P$34=0),"",$L$37-1)),0,YEARFRAC(MAX($P$34*($B504+$I$38-1),IF(AND($L$37=0,$P$34=0),"",$L$37-1)),MIN(BM$38,$E504),$P$20))-SUM($BF504:BL504))</f>
        <v>0</v>
      </c>
      <c r="BN504" s="446">
        <f>IF($E504=0,0,IF(MIN(BN$38,$E504)&lt;MAX($P$34*($B504+$I$38-1),IF(AND($L$37=0,$P$34=0),"",$L$37-1)),0,YEARFRAC(MAX($P$34*($B504+$I$38-1),IF(AND($L$37=0,$P$34=0),"",$L$37-1)),MIN(BN$38,$E504),$P$20))-SUM($BF504:BM504))</f>
        <v>0</v>
      </c>
      <c r="BO504" s="446">
        <f>IF($E504=0,0,IF(MIN(BO$38,$E504)&lt;MAX($P$34*($B504+$I$38-1),IF(AND($L$37=0,$P$34=0),"",$L$37-1)),0,YEARFRAC(MAX($P$34*($B504+$I$38-1),IF(AND($L$37=0,$P$34=0),"",$L$37-1)),MIN(BO$38,$E504),$P$20))-SUM($BF504:BN504))</f>
        <v>0</v>
      </c>
      <c r="BP504" s="446">
        <f>IF($E504=0,0,IF(MIN(BP$38,$E504)&lt;MAX($P$34*($B504+$I$38-1),IF(AND($L$37=0,$P$34=0),"",$L$37-1)),0,YEARFRAC(MAX($P$34*($B504+$I$38-1),IF(AND($L$37=0,$P$34=0),"",$L$37-1)),MIN(BP$38,$E504),$P$20))-SUM($BF504:BO504))</f>
        <v>0</v>
      </c>
      <c r="BQ504" s="446">
        <f>IF($E504=0,0,IF(MIN(BQ$38,$E504)&lt;MAX($P$34*($B504+$I$38-1),IF(AND($L$37=0,$P$34=0),"",$L$37-1)),0,YEARFRAC(MAX($P$34*($B504+$I$38-1),IF(AND($L$37=0,$P$34=0),"",$L$37-1)),MIN(BQ$38,$E504),$P$20))-SUM($BF504:BP504))</f>
        <v>0</v>
      </c>
      <c r="BR504" s="446">
        <f>IF($E504=0,0,IF(MIN(BR$38,$E504)&lt;MAX($P$34*($B504+$I$38-1),IF(AND($L$37=0,$P$34=0),"",$L$37-1)),0,YEARFRAC(MAX($P$34*($B504+$I$38-1),IF(AND($L$37=0,$P$34=0),"",$L$37-1)),MIN(BR$38,$E504),$P$20))-SUM($BF504:BQ504))</f>
        <v>0</v>
      </c>
      <c r="BS504" s="446">
        <f>IF($E504=0,0,IF(MIN(BS$38,$E504)&lt;MAX($P$34*($B504+$I$38-1),IF(AND($L$37=0,$P$34=0),"",$L$37-1)),0,YEARFRAC(MAX($P$34*($B504+$I$38-1),IF(AND($L$37=0,$P$34=0),"",$L$37-1)),MIN(BS$38,$E504),$P$20))-SUM($BF504:BR504))</f>
        <v>0</v>
      </c>
      <c r="BT504" s="446">
        <f>IF($E504=0,0,IF(MIN(BT$38,$E504)&lt;MAX($P$34*($B504+$I$38-1),IF(AND($L$37=0,$P$34=0),"",$L$37-1)),0,YEARFRAC(MAX($P$34*($B504+$I$38-1),IF(AND($L$37=0,$P$34=0),"",$L$37-1)),MIN(BT$38,$E504),$P$20))-SUM($BF504:BS504))</f>
        <v>0</v>
      </c>
      <c r="BU504" s="446">
        <f>IF($E504=0,0,IF(MIN(BU$38,$E504)&lt;MAX($P$34*($B504+$I$38-1),IF(AND($L$37=0,$P$34=0),"",$L$37-1)),0,YEARFRAC(MAX($P$34*($B504+$I$38-1),IF(AND($L$37=0,$P$34=0),"",$L$37-1)),MIN(BU$38,$E504),$P$20))-SUM($BF504:BT504))</f>
        <v>0</v>
      </c>
      <c r="BV504" s="446">
        <f>IF($E504=0,0,IF(MIN(BV$38,$E504)&lt;MAX($P$34*($B504+$I$38-1),IF(AND($L$37=0,$P$34=0),"",$L$37-1)),0,YEARFRAC(MAX($P$34*($B504+$I$38-1),IF(AND($L$37=0,$P$34=0),"",$L$37-1)),MIN(BV$38,$E504),$P$20))-SUM($BF504:BU504))</f>
        <v>0</v>
      </c>
      <c r="BW504" s="446">
        <f>IF($E504=0,0,IF(MIN(BW$38,$E504)&lt;MAX($P$34*($B504+$I$38-1),IF(AND($L$37=0,$P$34=0),"",$L$37-1)),0,YEARFRAC(MAX($P$34*($B504+$I$38-1),IF(AND($L$37=0,$P$34=0),"",$L$37-1)),MIN(BW$38,$E504),$P$20))-SUM($BF504:BV504))</f>
        <v>0</v>
      </c>
      <c r="BX504" s="446">
        <f>IF($E504=0,0,IF(MIN(BX$38,$E504)&lt;MAX($P$34*($B504+$I$38-1),IF(AND($L$37=0,$P$34=0),"",$L$37-1)),0,YEARFRAC(MAX($P$34*($B504+$I$38-1),IF(AND($L$37=0,$P$34=0),"",$L$37-1)),MIN(BX$38,$E504),$P$20))-SUM($BF504:BW504))</f>
        <v>0</v>
      </c>
      <c r="BY504" s="446">
        <f>IF($E504=0,0,IF(MIN(BY$38,$E504)&lt;MAX($P$34*($B504+$I$38-1),IF(AND($L$37=0,$P$34=0),"",$L$37-1)),0,YEARFRAC(MAX($P$34*($B504+$I$38-1),IF(AND($L$37=0,$P$34=0),"",$L$37-1)),MIN(BY$38,$E504),$P$20))-SUM($BF504:BX504))</f>
        <v>0</v>
      </c>
      <c r="BZ504" s="446">
        <f>IF($E504=0,0,IF(MIN(BZ$38,$E504)&lt;MAX($P$34*($B504+$I$38-1),IF(AND($L$37=0,$P$34=0),"",$L$37-1)),0,YEARFRAC(MAX($P$34*($B504+$I$38-1),IF(AND($L$37=0,$P$34=0),"",$L$37-1)),MIN(BZ$38,$E504),$P$20))-SUM($BF504:BY504))</f>
        <v>0</v>
      </c>
      <c r="CA504" s="446">
        <f>IF($E504=0,0,IF(MIN(CA$38,$E504)&lt;MAX($P$34*($B504+$I$38-1),IF(AND($L$37=0,$P$34=0),"",$L$37-1)),0,YEARFRAC(MAX($P$34*($B504+$I$38-1),IF(AND($L$37=0,$P$34=0),"",$L$37-1)),MIN(CA$38,$E504),$P$20))-SUM($BF504:BZ504))</f>
        <v>0</v>
      </c>
      <c r="CB504" s="446">
        <f>IF($E504=0,0,IF(MIN(CB$38,$E504)&lt;MAX($P$34*($B504+$I$38-1),IF(AND($L$37=0,$P$34=0),"",$L$37-1)),0,YEARFRAC(MAX($P$34*($B504+$I$38-1),IF(AND($L$37=0,$P$34=0),"",$L$37-1)),MIN(CB$38,$E504),$P$20))-SUM($BF504:CA504))</f>
        <v>0</v>
      </c>
      <c r="CC504" s="446">
        <f>IF($E504=0,0,IF(MIN(CC$38,$E504)&lt;MAX($P$34*($B504+$I$38-1),IF(AND($L$37=0,$P$34=0),"",$L$37-1)),0,YEARFRAC(MAX($P$34*($B504+$I$38-1),IF(AND($L$37=0,$P$34=0),"",$L$37-1)),MIN(CC$38,$E504),$P$20))-SUM($BF504:CB504))</f>
        <v>0</v>
      </c>
      <c r="CD504" s="446">
        <f>IF($E504=0,0,IF(MIN(CD$38,$E504)&lt;MAX($P$34*($B504+$I$38-1),IF(AND($L$37=0,$P$34=0),"",$L$37-1)),0,YEARFRAC(MAX($P$34*($B504+$I$38-1),IF(AND($L$37=0,$P$34=0),"",$L$37-1)),MIN(CD$38,$E504),$P$20))-SUM($BF504:CC504))</f>
        <v>0</v>
      </c>
      <c r="CE504" s="446">
        <f>IF($E504=0,0,IF(MIN(CE$38,$E504)&lt;MAX($P$34*($B504+$I$38-1),IF(AND($L$37=0,$P$34=0),"",$L$37-1)),0,YEARFRAC(MAX($P$34*($B504+$I$38-1),IF(AND($L$37=0,$P$34=0),"",$L$37-1)),MIN(CE$38,$E504),$P$20))-SUM($BF504:CD504))</f>
        <v>0</v>
      </c>
      <c r="CF504" s="446">
        <f>IF($E504=0,0,IF(MIN(CF$38,$E504)&lt;MAX($P$34*($B504+$I$38-1),IF(AND($L$37=0,$P$34=0),"",$L$37-1)),0,YEARFRAC(MAX($P$34*($B504+$I$38-1),IF(AND($L$37=0,$P$34=0),"",$L$37-1)),MIN(CF$38,$E504),$P$20))-SUM($BF504:CE504))</f>
        <v>0</v>
      </c>
      <c r="CG504" s="446">
        <f>IF($E504=0,0,IF(MIN(CG$38,$E504)&lt;MAX($P$34*($B504+$I$38-1),IF(AND($L$37=0,$P$34=0),"",$L$37-1)),0,YEARFRAC(MAX($P$34*($B504+$I$38-1),IF(AND($L$37=0,$P$34=0),"",$L$37-1)),MIN(CG$38,$E504),$P$20))-SUM($BF504:CF504))</f>
        <v>0</v>
      </c>
      <c r="CH504" s="446">
        <f>IF($E504=0,0,IF(MIN(CH$38,$E504)&lt;MAX($P$34*($B504+$I$38-1),IF(AND($L$37=0,$P$34=0),"",$L$37-1)),0,YEARFRAC(MAX($P$34*($B504+$I$38-1),IF(AND($L$37=0,$P$34=0),"",$L$37-1)),MIN(CH$38,$E504),$P$20))-SUM($BF504:CG504))</f>
        <v>0</v>
      </c>
      <c r="CI504" s="446">
        <f>IF($E504=0,0,IF(MIN(CI$38,$E504)&lt;MAX($P$34*($B504+$I$38-1),IF(AND($L$37=0,$P$34=0),"",$L$37-1)),0,YEARFRAC(MAX($P$34*($B504+$I$38-1),IF(AND($L$37=0,$P$34=0),"",$L$37-1)),MIN(CI$38,$E504),$P$20))-SUM($BF504:CH504))</f>
        <v>0</v>
      </c>
      <c r="CJ504" s="446">
        <f>IF($E504=0,0,IF(MIN(CJ$38,$E504)&lt;MAX($P$34*($B504+$I$38-1),IF(AND($L$37=0,$P$34=0),"",$L$37-1)),0,YEARFRAC(MAX($P$34*($B504+$I$38-1),IF(AND($L$37=0,$P$34=0),"",$L$37-1)),MIN(CJ$38,$E504),$P$20))-SUM($BF504:CI504))</f>
        <v>0</v>
      </c>
      <c r="CK504" s="446">
        <f>IF($E504=0,0,IF(MIN(CK$38,$E504)&lt;MAX($P$34*($B504+$I$38-1),IF(AND($L$37=0,$P$34=0),"",$L$37-1)),0,YEARFRAC(MAX($P$34*($B504+$I$38-1),IF(AND($L$37=0,$P$34=0),"",$L$37-1)),MIN(CK$38,$E504),$P$20))-SUM($BF504:CJ504))</f>
        <v>0</v>
      </c>
      <c r="CL504" s="446">
        <f>IF($E504=0,0,IF(MIN(CL$38,$E504)&lt;MAX($P$34*($B504+$I$38-1),IF(AND($L$37=0,$P$34=0),"",$L$37-1)),0,YEARFRAC(MAX($P$34*($B504+$I$38-1),IF(AND($L$37=0,$P$34=0),"",$L$37-1)),MIN(CL$38,$E504),$P$20))-SUM($BF504:CK504))</f>
        <v>0</v>
      </c>
      <c r="CM504" s="446">
        <f>IF($E504=0,0,IF(MIN(CM$38,$E504)&lt;MAX($P$34*($B504+$I$38-1),IF(AND($L$37=0,$P$34=0),"",$L$37-1)),0,YEARFRAC(MAX($P$34*($B504+$I$38-1),IF(AND($L$37=0,$P$34=0),"",$L$37-1)),MIN(CM$38,$E504),$P$20))-SUM($BF504:CL504))</f>
        <v>0</v>
      </c>
      <c r="CN504" s="446">
        <f>IF($E504=0,0,IF(MIN(CN$38,$E504)&lt;MAX($P$34*($B504+$I$38-1),IF(AND($L$37=0,$P$34=0),"",$L$37-1)),0,YEARFRAC(MAX($P$34*($B504+$I$38-1),IF(AND($L$37=0,$P$34=0),"",$L$37-1)),MIN(CN$38,$E504),$P$20))-SUM($BF504:CM504))</f>
        <v>0</v>
      </c>
      <c r="CO504" s="446">
        <f>IF($E504=0,0,IF(MIN(CO$38,$E504)&lt;MAX($P$34*($B504+$I$38-1),IF(AND($L$37=0,$P$34=0),"",$L$37-1)),0,YEARFRAC(MAX($P$34*($B504+$I$38-1),IF(AND($L$37=0,$P$34=0),"",$L$37-1)),MIN(CO$38,$E504),$P$20))-SUM($BF504:CN504))</f>
        <v>0</v>
      </c>
      <c r="CP504" s="446">
        <f>IF($E504=0,0,IF(MIN(CP$38,$E504)&lt;MAX($P$34*($B504+$I$38-1),IF(AND($L$37=0,$P$34=0),"",$L$37-1)),0,YEARFRAC(MAX($P$34*($B504+$I$38-1),IF(AND($L$37=0,$P$34=0),"",$L$37-1)),MIN(CP$38,$E504),$P$20))-SUM($BF504:CO504))</f>
        <v>0</v>
      </c>
      <c r="CQ504" s="446">
        <f>IF($E504=0,0,IF(MIN(CQ$38,$E504)&lt;MAX($P$34*($B504+$I$38-1),IF(AND($L$37=0,$P$34=0),"",$L$37-1)),0,YEARFRAC(MAX($P$34*($B504+$I$38-1),IF(AND($L$37=0,$P$34=0),"",$L$37-1)),MIN(CQ$38,$E504),$P$20))-SUM($BF504:CP504))</f>
        <v>0</v>
      </c>
    </row>
    <row r="505" spans="1:95" s="446" customFormat="1" ht="11.25" hidden="1" customHeight="1" x14ac:dyDescent="0.2">
      <c r="A505" s="152"/>
      <c r="B505" s="153" t="str">
        <f t="shared" si="92"/>
        <v/>
      </c>
      <c r="C505" s="29" t="str">
        <f>IF(B505="","",IF($L$35="SELIC - TRIBUTOS",VLOOKUP(DATE(YEAR($D$19),MONTH($D$19)-1,1),ÍNDICES!$A:$DE,HLOOKUP($BL$25,ÍNDICES!$B$3:$T$4,2)+11)-VLOOKUP(B505,ÍNDICES!$A:$DE,HLOOKUP($BL$25,ÍNDICES!$B$3:$T$4,2)+11)+1%,IF(C$38=$W$26,$J$35,IF(ISERROR(IF(B505&gt;$D$19,1,VLOOKUP(DATE(YEAR(B505),MONTH(B505)+IF($C$35=$S$23,1,0),1),ÍNDICES!$A:$DE,$Z$35+1))),"",IF(B505&gt;$D$19,1,VLOOKUP(DATE(YEAR(B505),MONTH(B505)+IF($C$35=$S$23,1,0),1),ÍNDICES!$A:$DE,$Z$35+1))))))</f>
        <v/>
      </c>
      <c r="D505" s="154" t="str">
        <f>IF(ISERROR(IF(OR($D$38=$Y$27,$B505=""),"",VLOOKUP(B505,ÍNDICES!A:DE,AF$35+1))),"",IF(OR($D$38=$Y$27,$B505=""),"",VLOOKUP(B505,ÍNDICES!A:DE,AF$35+1)))</f>
        <v/>
      </c>
      <c r="E505" s="153"/>
      <c r="F505" s="29" t="str">
        <f>IF(E505="","",IF($L$35="SELIC - TRIBUTOS",VLOOKUP(DATE(YEAR($D$19),MONTH($D$19)-1,1),ÍNDICES!$A:$DE,HLOOKUP($BL$25,ÍNDICES!$B$3:$T$4,2)+11)-VLOOKUP(E505,ÍNDICES!$A:$DE,HLOOKUP($BL$25,ÍNDICES!$B$3:$T$4,2)+11)+1%,IF(F$38=$W$26,$J$35,IF(ISERROR(IF(E505&gt;$D$19,1,VLOOKUP(DATE(YEAR(E505),MONTH(E505)+IF($C$35=$S$23,1,0),1),ÍNDICES!$A:$DE,$Z$35+1))),"",IF(E505&gt;$D$19,1,VLOOKUP(DATE(YEAR(E505),MONTH(E505)+IF($C$35=$S$23,1,0),1),ÍNDICES!$A:$DE,$Z$35+1))))))</f>
        <v/>
      </c>
      <c r="G505" s="155"/>
      <c r="H505" s="156" t="str">
        <f t="shared" si="88"/>
        <v/>
      </c>
      <c r="I505" s="29" t="str">
        <f t="shared" si="82"/>
        <v/>
      </c>
      <c r="J505" s="5">
        <f t="shared" si="83"/>
        <v>0</v>
      </c>
      <c r="K505" s="20">
        <f t="shared" ca="1" si="84"/>
        <v>0</v>
      </c>
      <c r="L505" s="5">
        <f t="shared" ca="1" si="85"/>
        <v>0</v>
      </c>
      <c r="M505" s="64">
        <f t="shared" si="89"/>
        <v>0</v>
      </c>
      <c r="N505" s="61">
        <f t="shared" ca="1" si="90"/>
        <v>0</v>
      </c>
      <c r="O505" s="5">
        <f t="shared" ca="1" si="91"/>
        <v>0</v>
      </c>
      <c r="P505" s="446" t="e">
        <f t="shared" si="86"/>
        <v>#VALUE!</v>
      </c>
      <c r="Q505" s="446" t="e">
        <f>IF(OR($B505="",MIN(Q$38,$D$19)&lt;MAX($P$34*($B505+IF($R$17="Distrato",$I$38-1,0)),IF(AND($L$37=0,$P$34=0),"",$L$37-1),IF($R$17="Distrato",$E505,0))),0,YEARFRAC(MAX($P$34*($B505+IF($R$17="Distrato",$I$38-1,0)),IF(AND($L$37=0,$P$34=0),"",$L$37-1),IF($R$17="Distrato",$E505,0)),MIN(Q$38,$D$19),$P$20))-SUM($P505:P505)</f>
        <v>#VALUE!</v>
      </c>
      <c r="R505" s="446" t="e">
        <f>IF(OR($B505="",MIN(R$38,$D$19)&lt;MAX($P$34*($B505+IF($R$17="Distrato",$I$38-1,0)),IF(AND($L$37=0,$P$34=0),"",$L$37-1),IF($R$17="Distrato",$E505,0))),0,YEARFRAC(MAX($P$34*($B505+IF($R$17="Distrato",$I$38-1,0)),IF(AND($L$37=0,$P$34=0),"",$L$37-1),IF($R$17="Distrato",$E505,0)),MIN(R$38,$D$19),$P$20))-SUM($P505:Q505)</f>
        <v>#VALUE!</v>
      </c>
      <c r="S505" s="446" t="e">
        <f>IF(OR($B505="",MIN(S$38,$D$19)&lt;MAX($P$34*($B505+IF($R$17="Distrato",$I$38-1,0)),IF(AND($L$37=0,$P$34=0),"",$L$37-1),IF($R$17="Distrato",$E505,0))),0,YEARFRAC(MAX($P$34*($B505+IF($R$17="Distrato",$I$38-1,0)),IF(AND($L$37=0,$P$34=0),"",$L$37-1),IF($R$17="Distrato",$E505,0)),MIN(S$38,$D$19),$P$20))-SUM($P505:R505)</f>
        <v>#VALUE!</v>
      </c>
      <c r="T505" s="446" t="e">
        <f>IF(OR($B505="",MIN(T$38,$D$19)&lt;MAX($P$34*($B505+IF($R$17="Distrato",$I$38-1,0)),IF(AND($L$37=0,$P$34=0),"",$L$37-1),IF($R$17="Distrato",$E505,0))),0,YEARFRAC(MAX($P$34*($B505+IF($R$17="Distrato",$I$38-1,0)),IF(AND($L$37=0,$P$34=0),"",$L$37-1),IF($R$17="Distrato",$E505,0)),MIN(T$38,$D$19),$P$20))-SUM($P505:S505)</f>
        <v>#VALUE!</v>
      </c>
      <c r="U505" s="446" t="e">
        <f>IF(OR($B505="",MIN(U$38,$D$19)&lt;MAX($P$34*($B505+IF($R$17="Distrato",$I$38-1,0)),IF(AND($L$37=0,$P$34=0),"",$L$37-1),IF($R$17="Distrato",$E505,0))),0,YEARFRAC(MAX($P$34*($B505+IF($R$17="Distrato",$I$38-1,0)),IF(AND($L$37=0,$P$34=0),"",$L$37-1),IF($R$17="Distrato",$E505,0)),MIN(U$38,$D$19),$P$20))-SUM($P505:T505)</f>
        <v>#VALUE!</v>
      </c>
      <c r="V505" s="446" t="e">
        <f>IF(OR($B505="",MIN(V$38,$D$19)&lt;MAX($P$34*($B505+IF($R$17="Distrato",$I$38-1,0)),IF(AND($L$37=0,$P$34=0),"",$L$37-1),IF($R$17="Distrato",$E505,0))),0,YEARFRAC(MAX($P$34*($B505+IF($R$17="Distrato",$I$38-1,0)),IF(AND($L$37=0,$P$34=0),"",$L$37-1),IF($R$17="Distrato",$E505,0)),MIN(V$38,$D$19),$P$20))-SUM($P505:U505)</f>
        <v>#VALUE!</v>
      </c>
      <c r="W505" s="446" t="e">
        <f>IF(OR($B505="",MIN(W$38,$D$19)&lt;MAX($P$34*($B505+IF($R$17="Distrato",$I$38-1,0)),IF(AND($L$37=0,$P$34=0),"",$L$37-1),IF($R$17="Distrato",$E505,0))),0,YEARFRAC(MAX($P$34*($B505+IF($R$17="Distrato",$I$38-1,0)),IF(AND($L$37=0,$P$34=0),"",$L$37-1),IF($R$17="Distrato",$E505,0)),MIN(W$38,$D$19),$P$20))-SUM($P505:V505)</f>
        <v>#VALUE!</v>
      </c>
      <c r="X505" s="446" t="e">
        <f>IF(OR($B505="",MIN(X$38,$D$19)&lt;MAX($P$34*($B505+IF($R$17="Distrato",$I$38-1,0)),IF(AND($L$37=0,$P$34=0),"",$L$37-1),IF($R$17="Distrato",$E505,0))),0,YEARFRAC(MAX($P$34*($B505+IF($R$17="Distrato",$I$38-1,0)),IF(AND($L$37=0,$P$34=0),"",$L$37-1),IF($R$17="Distrato",$E505,0)),MIN(X$38,$D$19),$P$20))-SUM($P505:W505)</f>
        <v>#VALUE!</v>
      </c>
      <c r="Y505" s="446" t="e">
        <f>IF(OR($B505="",MIN(Y$38,$D$19)&lt;MAX($P$34*($B505+IF($R$17="Distrato",$I$38-1,0)),IF(AND($L$37=0,$P$34=0),"",$L$37-1),IF($R$17="Distrato",$E505,0))),0,YEARFRAC(MAX($P$34*($B505+IF($R$17="Distrato",$I$38-1,0)),IF(AND($L$37=0,$P$34=0),"",$L$37-1),IF($R$17="Distrato",$E505,0)),MIN(Y$38,$D$19),$P$20))-SUM($P505:X505)</f>
        <v>#VALUE!</v>
      </c>
      <c r="Z505" s="446" t="e">
        <f>IF(OR($B505="",MIN(Z$38,$D$19)&lt;MAX($P$34*($B505+IF($R$17="Distrato",$I$38-1,0)),IF(AND($L$37=0,$P$34=0),"",$L$37-1),IF($R$17="Distrato",$E505,0))),0,YEARFRAC(MAX($P$34*($B505+IF($R$17="Distrato",$I$38-1,0)),IF(AND($L$37=0,$P$34=0),"",$L$37-1),IF($R$17="Distrato",$E505,0)),MIN(Z$38,$D$19),$P$20))-SUM($P505:Y505)</f>
        <v>#VALUE!</v>
      </c>
      <c r="AA505" s="446" t="e">
        <f>IF(OR($B505="",MIN(AA$38,$D$19)&lt;MAX($P$34*($B505+IF($R$17="Distrato",$I$38-1,0)),IF(AND($L$37=0,$P$34=0),"",$L$37-1),IF($R$17="Distrato",$E505,0))),0,YEARFRAC(MAX($P$34*($B505+IF($R$17="Distrato",$I$38-1,0)),IF(AND($L$37=0,$P$34=0),"",$L$37-1),IF($R$17="Distrato",$E505,0)),MIN(AA$38,$D$19),$P$20))-SUM($P505:Z505)</f>
        <v>#VALUE!</v>
      </c>
      <c r="AB505" s="446" t="e">
        <f>IF(OR($B505="",MIN(AB$38,$D$19)&lt;MAX($P$34*($B505+IF($R$17="Distrato",$I$38-1,0)),IF(AND($L$37=0,$P$34=0),"",$L$37-1),IF($R$17="Distrato",$E505,0))),0,YEARFRAC(MAX($P$34*($B505+IF($R$17="Distrato",$I$38-1,0)),IF(AND($L$37=0,$P$34=0),"",$L$37-1),IF($R$17="Distrato",$E505,0)),MIN(AB$38,$D$19),$P$20))-SUM($P505:AA505)</f>
        <v>#VALUE!</v>
      </c>
      <c r="AC505" s="446" t="e">
        <f>IF(OR($B505="",MIN(AC$38,$D$19)&lt;MAX($P$34*($B505+IF($R$17="Distrato",$I$38-1,0)),IF(AND($L$37=0,$P$34=0),"",$L$37-1),IF($R$17="Distrato",$E505,0))),0,YEARFRAC(MAX($P$34*($B505+IF($R$17="Distrato",$I$38-1,0)),IF(AND($L$37=0,$P$34=0),"",$L$37-1),IF($R$17="Distrato",$E505,0)),MIN(AC$38,$D$19),$P$20))-SUM($P505:AB505)</f>
        <v>#VALUE!</v>
      </c>
      <c r="AD505" s="446" t="e">
        <f>IF(OR($B505="",MIN(AD$38,$D$19)&lt;MAX($P$34*($B505+IF($R$17="Distrato",$I$38-1,0)),IF(AND($L$37=0,$P$34=0),"",$L$37-1),IF($R$17="Distrato",$E505,0))),0,YEARFRAC(MAX($P$34*($B505+IF($R$17="Distrato",$I$38-1,0)),IF(AND($L$37=0,$P$34=0),"",$L$37-1),IF($R$17="Distrato",$E505,0)),MIN(AD$38,$D$19),$P$20))-SUM($P505:AC505)</f>
        <v>#VALUE!</v>
      </c>
      <c r="AE505" s="446" t="e">
        <f>IF(OR($B505="",MIN(AE$38,$D$19)&lt;MAX($P$34*($B505+IF($R$17="Distrato",$I$38-1,0)),IF(AND($L$37=0,$P$34=0),"",$L$37-1),IF($R$17="Distrato",$E505,0))),0,YEARFRAC(MAX($P$34*($B505+IF($R$17="Distrato",$I$38-1,0)),IF(AND($L$37=0,$P$34=0),"",$L$37-1),IF($R$17="Distrato",$E505,0)),MIN(AE$38,$D$19),$P$20))-SUM($P505:AD505)</f>
        <v>#VALUE!</v>
      </c>
      <c r="AF505" s="446" t="e">
        <f>IF(OR($B505="",MIN(AF$38,$D$19)&lt;MAX($P$34*($B505+IF($R$17="Distrato",$I$38-1,0)),IF(AND($L$37=0,$P$34=0),"",$L$37-1),IF($R$17="Distrato",$E505,0))),0,YEARFRAC(MAX($P$34*($B505+IF($R$17="Distrato",$I$38-1,0)),IF(AND($L$37=0,$P$34=0),"",$L$37-1),IF($R$17="Distrato",$E505,0)),MIN(AF$38,$D$19),$P$20))-SUM($P505:AE505)</f>
        <v>#VALUE!</v>
      </c>
      <c r="AG505" s="446" t="e">
        <f>IF(OR($B505="",MIN(AG$38,$D$19)&lt;MAX($P$34*($B505+IF($R$17="Distrato",$I$38-1,0)),IF(AND($L$37=0,$P$34=0),"",$L$37-1),IF($R$17="Distrato",$E505,0))),0,YEARFRAC(MAX($P$34*($B505+IF($R$17="Distrato",$I$38-1,0)),IF(AND($L$37=0,$P$34=0),"",$L$37-1),IF($R$17="Distrato",$E505,0)),MIN(AG$38,$D$19),$P$20))-SUM($P505:AF505)</f>
        <v>#VALUE!</v>
      </c>
      <c r="AH505" s="446" t="e">
        <f>IF(OR($B505="",MIN(AH$38,$D$19)&lt;MAX($P$34*($B505+IF($R$17="Distrato",$I$38-1,0)),IF(AND($L$37=0,$P$34=0),"",$L$37-1),IF($R$17="Distrato",$E505,0))),0,YEARFRAC(MAX($P$34*($B505+IF($R$17="Distrato",$I$38-1,0)),IF(AND($L$37=0,$P$34=0),"",$L$37-1),IF($R$17="Distrato",$E505,0)),MIN(AH$38,$D$19),$P$20))-SUM($P505:AG505)</f>
        <v>#VALUE!</v>
      </c>
      <c r="AI505" s="446" t="e">
        <f>IF(OR($B505="",MIN(AI$38,$D$19)&lt;MAX($P$34*($B505+IF($R$17="Distrato",$I$38-1,0)),IF(AND($L$37=0,$P$34=0),"",$L$37-1),IF($R$17="Distrato",$E505,0))),0,YEARFRAC(MAX($P$34*($B505+IF($R$17="Distrato",$I$38-1,0)),IF(AND($L$37=0,$P$34=0),"",$L$37-1),IF($R$17="Distrato",$E505,0)),MIN(AI$38,$D$19),$P$20))-SUM($P505:AH505)</f>
        <v>#VALUE!</v>
      </c>
      <c r="AJ505" s="446" t="e">
        <f>IF(OR($B505="",MIN(AJ$38,$D$19)&lt;MAX($P$34*($B505+IF($R$17="Distrato",$I$38-1,0)),IF(AND($L$37=0,$P$34=0),"",$L$37-1),IF($R$17="Distrato",$E505,0))),0,YEARFRAC(MAX($P$34*($B505+IF($R$17="Distrato",$I$38-1,0)),IF(AND($L$37=0,$P$34=0),"",$L$37-1),IF($R$17="Distrato",$E505,0)),MIN(AJ$38,$D$19),$P$20))-SUM($P505:AI505)</f>
        <v>#VALUE!</v>
      </c>
      <c r="AK505" s="446" t="e">
        <f>IF(OR($B505="",MIN(AK$38,$D$19)&lt;MAX($P$34*($B505+IF($R$17="Distrato",$I$38-1,0)),IF(AND($L$37=0,$P$34=0),"",$L$37-1),IF($R$17="Distrato",$E505,0))),0,YEARFRAC(MAX($P$34*($B505+IF($R$17="Distrato",$I$38-1,0)),IF(AND($L$37=0,$P$34=0),"",$L$37-1),IF($R$17="Distrato",$E505,0)),MIN(AK$38,$D$19),$P$20))-SUM($P505:AJ505)</f>
        <v>#VALUE!</v>
      </c>
      <c r="AL505" s="446" t="e">
        <f>IF(OR($B505="",MIN(AL$38,$D$19)&lt;MAX($P$34*($B505+IF($R$17="Distrato",$I$38-1,0)),IF(AND($L$37=0,$P$34=0),"",$L$37-1),IF($R$17="Distrato",$E505,0))),0,YEARFRAC(MAX($P$34*($B505+IF($R$17="Distrato",$I$38-1,0)),IF(AND($L$37=0,$P$34=0),"",$L$37-1),IF($R$17="Distrato",$E505,0)),MIN(AL$38,$D$19),$P$20))-SUM($P505:AK505)</f>
        <v>#VALUE!</v>
      </c>
      <c r="AM505" s="446" t="e">
        <f>IF(OR($B505="",MIN(AM$38,$D$19)&lt;MAX($P$34*($B505+IF($R$17="Distrato",$I$38-1,0)),IF(AND($L$37=0,$P$34=0),"",$L$37-1),IF($R$17="Distrato",$E505,0))),0,YEARFRAC(MAX($P$34*($B505+IF($R$17="Distrato",$I$38-1,0)),IF(AND($L$37=0,$P$34=0),"",$L$37-1),IF($R$17="Distrato",$E505,0)),MIN(AM$38,$D$19),$P$20))-SUM($P505:AL505)</f>
        <v>#VALUE!</v>
      </c>
      <c r="AN505" s="446" t="e">
        <f>IF(OR($B505="",MIN(AN$38,$D$19)&lt;MAX($P$34*($B505+IF($R$17="Distrato",$I$38-1,0)),IF(AND($L$37=0,$P$34=0),"",$L$37-1),IF($R$17="Distrato",$E505,0))),0,YEARFRAC(MAX($P$34*($B505+IF($R$17="Distrato",$I$38-1,0)),IF(AND($L$37=0,$P$34=0),"",$L$37-1),IF($R$17="Distrato",$E505,0)),MIN(AN$38,$D$19),$P$20))-SUM($P505:AM505)</f>
        <v>#VALUE!</v>
      </c>
      <c r="AO505" s="446" t="e">
        <f>IF(OR($B505="",MIN(AO$38,$D$19)&lt;MAX($P$34*($B505+IF($R$17="Distrato",$I$38-1,0)),IF(AND($L$37=0,$P$34=0),"",$L$37-1),IF($R$17="Distrato",$E505,0))),0,YEARFRAC(MAX($P$34*($B505+IF($R$17="Distrato",$I$38-1,0)),IF(AND($L$37=0,$P$34=0),"",$L$37-1),IF($R$17="Distrato",$E505,0)),MIN(AO$38,$D$19),$P$20))-SUM($P505:AN505)</f>
        <v>#VALUE!</v>
      </c>
      <c r="AP505" s="446" t="e">
        <f>IF(OR($B505="",MIN(AP$38,$D$19)&lt;MAX($P$34*($B505+IF($R$17="Distrato",$I$38-1,0)),IF(AND($L$37=0,$P$34=0),"",$L$37-1),IF($R$17="Distrato",$E505,0))),0,YEARFRAC(MAX($P$34*($B505+IF($R$17="Distrato",$I$38-1,0)),IF(AND($L$37=0,$P$34=0),"",$L$37-1),IF($R$17="Distrato",$E505,0)),MIN(AP$38,$D$19),$P$20))-SUM($P505:AO505)</f>
        <v>#VALUE!</v>
      </c>
      <c r="AQ505" s="446" t="e">
        <f>IF(OR($B505="",MIN(AQ$38,$D$19)&lt;MAX($P$34*($B505+IF($R$17="Distrato",$I$38-1,0)),IF(AND($L$37=0,$P$34=0),"",$L$37-1),IF($R$17="Distrato",$E505,0))),0,YEARFRAC(MAX($P$34*($B505+IF($R$17="Distrato",$I$38-1,0)),IF(AND($L$37=0,$P$34=0),"",$L$37-1),IF($R$17="Distrato",$E505,0)),MIN(AQ$38,$D$19),$P$20))-SUM($P505:AP505)</f>
        <v>#VALUE!</v>
      </c>
      <c r="AR505" s="446" t="e">
        <f>IF(OR($B505="",MIN(AR$38,$D$19)&lt;MAX($P$34*($B505+IF($R$17="Distrato",$I$38-1,0)),IF(AND($L$37=0,$P$34=0),"",$L$37-1),IF($R$17="Distrato",$E505,0))),0,YEARFRAC(MAX($P$34*($B505+IF($R$17="Distrato",$I$38-1,0)),IF(AND($L$37=0,$P$34=0),"",$L$37-1),IF($R$17="Distrato",$E505,0)),MIN(AR$38,$D$19),$P$20))-SUM($P505:AQ505)</f>
        <v>#VALUE!</v>
      </c>
      <c r="AS505" s="446" t="e">
        <f>IF(OR($B505="",MIN(AS$38,$D$19)&lt;MAX($P$34*($B505+IF($R$17="Distrato",$I$38-1,0)),IF(AND($L$37=0,$P$34=0),"",$L$37-1),IF($R$17="Distrato",$E505,0))),0,YEARFRAC(MAX($P$34*($B505+IF($R$17="Distrato",$I$38-1,0)),IF(AND($L$37=0,$P$34=0),"",$L$37-1),IF($R$17="Distrato",$E505,0)),MIN(AS$38,$D$19),$P$20))-SUM($P505:AR505)</f>
        <v>#VALUE!</v>
      </c>
      <c r="AT505" s="446" t="e">
        <f>IF(OR($B505="",MIN(AT$38,$D$19)&lt;MAX($P$34*($B505+IF($R$17="Distrato",$I$38-1,0)),IF(AND($L$37=0,$P$34=0),"",$L$37-1),IF($R$17="Distrato",$E505,0))),0,YEARFRAC(MAX($P$34*($B505+IF($R$17="Distrato",$I$38-1,0)),IF(AND($L$37=0,$P$34=0),"",$L$37-1),IF($R$17="Distrato",$E505,0)),MIN(AT$38,$D$19),$P$20))-SUM($P505:AS505)</f>
        <v>#VALUE!</v>
      </c>
      <c r="AU505" s="446" t="e">
        <f>IF(OR($B505="",MIN(AU$38,$D$19)&lt;MAX($P$34*($B505+IF($R$17="Distrato",$I$38-1,0)),IF(AND($L$37=0,$P$34=0),"",$L$37-1),IF($R$17="Distrato",$E505,0))),0,YEARFRAC(MAX($P$34*($B505+IF($R$17="Distrato",$I$38-1,0)),IF(AND($L$37=0,$P$34=0),"",$L$37-1),IF($R$17="Distrato",$E505,0)),MIN(AU$38,$D$19),$P$20))-SUM($P505:AT505)</f>
        <v>#VALUE!</v>
      </c>
      <c r="AV505" s="446" t="e">
        <f>IF(OR($B505="",MIN(AV$38,$D$19)&lt;MAX($P$34*($B505+IF($R$17="Distrato",$I$38-1,0)),IF(AND($L$37=0,$P$34=0),"",$L$37-1),IF($R$17="Distrato",$E505,0))),0,YEARFRAC(MAX($P$34*($B505+IF($R$17="Distrato",$I$38-1,0)),IF(AND($L$37=0,$P$34=0),"",$L$37-1),IF($R$17="Distrato",$E505,0)),MIN(AV$38,$D$19),$P$20))-SUM($P505:AU505)</f>
        <v>#VALUE!</v>
      </c>
      <c r="AW505" s="446" t="e">
        <f>IF(OR($B505="",MIN(AW$38,$D$19)&lt;MAX($P$34*($B505+IF($R$17="Distrato",$I$38-1,0)),IF(AND($L$37=0,$P$34=0),"",$L$37-1),IF($R$17="Distrato",$E505,0))),0,YEARFRAC(MAX($P$34*($B505+IF($R$17="Distrato",$I$38-1,0)),IF(AND($L$37=0,$P$34=0),"",$L$37-1),IF($R$17="Distrato",$E505,0)),MIN(AW$38,$D$19),$P$20))-SUM($P505:AV505)</f>
        <v>#VALUE!</v>
      </c>
      <c r="AX505" s="446" t="e">
        <f>IF(OR($B505="",MIN(AX$38,$D$19)&lt;MAX($P$34*($B505+IF($R$17="Distrato",$I$38-1,0)),IF(AND($L$37=0,$P$34=0),"",$L$37-1),IF($R$17="Distrato",$E505,0))),0,YEARFRAC(MAX($P$34*($B505+IF($R$17="Distrato",$I$38-1,0)),IF(AND($L$37=0,$P$34=0),"",$L$37-1),IF($R$17="Distrato",$E505,0)),MIN(AX$38,$D$19),$P$20))-SUM($P505:AW505)</f>
        <v>#VALUE!</v>
      </c>
      <c r="AY505" s="446" t="e">
        <f>IF(OR($B505="",MIN(AY$38,$D$19)&lt;MAX($P$34*($B505+IF($R$17="Distrato",$I$38-1,0)),IF(AND($L$37=0,$P$34=0),"",$L$37-1),IF($R$17="Distrato",$E505,0))),0,YEARFRAC(MAX($P$34*($B505+IF($R$17="Distrato",$I$38-1,0)),IF(AND($L$37=0,$P$34=0),"",$L$37-1),IF($R$17="Distrato",$E505,0)),MIN(AY$38,$D$19),$P$20))-SUM($P505:AX505)</f>
        <v>#VALUE!</v>
      </c>
      <c r="AZ505" s="446" t="e">
        <f>IF(OR($B505="",MIN(AZ$38,$D$19)&lt;MAX($P$34*($B505+IF($R$17="Distrato",$I$38-1,0)),IF(AND($L$37=0,$P$34=0),"",$L$37-1),IF($R$17="Distrato",$E505,0))),0,YEARFRAC(MAX($P$34*($B505+IF($R$17="Distrato",$I$38-1,0)),IF(AND($L$37=0,$P$34=0),"",$L$37-1),IF($R$17="Distrato",$E505,0)),MIN(AZ$38,$D$19),$P$20))-SUM($P505:AY505)</f>
        <v>#VALUE!</v>
      </c>
      <c r="BA505" s="446" t="e">
        <f>IF(OR($B505="",MIN(BA$38,$D$19)&lt;MAX($P$34*($B505+IF($R$17="Distrato",$I$38-1,0)),IF(AND($L$37=0,$P$34=0),"",$L$37-1),IF($R$17="Distrato",$E505,0))),0,YEARFRAC(MAX($P$34*($B505+IF($R$17="Distrato",$I$38-1,0)),IF(AND($L$37=0,$P$34=0),"",$L$37-1),IF($R$17="Distrato",$E505,0)),MIN(BA$38,$D$19),$P$20))-SUM($P505:AZ505)</f>
        <v>#VALUE!</v>
      </c>
      <c r="BB505" s="447"/>
      <c r="BF505" s="446">
        <f t="shared" si="87"/>
        <v>0</v>
      </c>
      <c r="BG505" s="446">
        <f>IF($E505=0,0,IF(MIN(BG$38,$E505)&lt;MAX($P$34*($B505+$I$38-1),IF(AND($L$37=0,$P$34=0),"",$L$37-1)),0,YEARFRAC(MAX($P$34*($B505+$I$38-1),IF(AND($L$37=0,$P$34=0),"",$L$37-1)),MIN(BG$38,$E505),$P$20))-SUM($BF505:BF505))</f>
        <v>0</v>
      </c>
      <c r="BH505" s="446">
        <f>IF($E505=0,0,IF(MIN(BH$38,$E505)&lt;MAX($P$34*($B505+$I$38-1),IF(AND($L$37=0,$P$34=0),"",$L$37-1)),0,YEARFRAC(MAX($P$34*($B505+$I$38-1),IF(AND($L$37=0,$P$34=0),"",$L$37-1)),MIN(BH$38,$E505),$P$20))-SUM($BF505:BG505))</f>
        <v>0</v>
      </c>
      <c r="BI505" s="446">
        <f>IF($E505=0,0,IF(MIN(BI$38,$E505)&lt;MAX($P$34*($B505+$I$38-1),IF(AND($L$37=0,$P$34=0),"",$L$37-1)),0,YEARFRAC(MAX($P$34*($B505+$I$38-1),IF(AND($L$37=0,$P$34=0),"",$L$37-1)),MIN(BI$38,$E505),$P$20))-SUM($BF505:BH505))</f>
        <v>0</v>
      </c>
      <c r="BJ505" s="446">
        <f>IF($E505=0,0,IF(MIN(BJ$38,$E505)&lt;MAX($P$34*($B505+$I$38-1),IF(AND($L$37=0,$P$34=0),"",$L$37-1)),0,YEARFRAC(MAX($P$34*($B505+$I$38-1),IF(AND($L$37=0,$P$34=0),"",$L$37-1)),MIN(BJ$38,$E505),$P$20))-SUM($BF505:BI505))</f>
        <v>0</v>
      </c>
      <c r="BK505" s="446">
        <f>IF($E505=0,0,IF(MIN(BK$38,$E505)&lt;MAX($P$34*($B505+$I$38-1),IF(AND($L$37=0,$P$34=0),"",$L$37-1)),0,YEARFRAC(MAX($P$34*($B505+$I$38-1),IF(AND($L$37=0,$P$34=0),"",$L$37-1)),MIN(BK$38,$E505),$P$20))-SUM($BF505:BJ505))</f>
        <v>0</v>
      </c>
      <c r="BL505" s="446">
        <f>IF($E505=0,0,IF(MIN(BL$38,$E505)&lt;MAX($P$34*($B505+$I$38-1),IF(AND($L$37=0,$P$34=0),"",$L$37-1)),0,YEARFRAC(MAX($P$34*($B505+$I$38-1),IF(AND($L$37=0,$P$34=0),"",$L$37-1)),MIN(BL$38,$E505),$P$20))-SUM($BF505:BK505))</f>
        <v>0</v>
      </c>
      <c r="BM505" s="446">
        <f>IF($E505=0,0,IF(MIN(BM$38,$E505)&lt;MAX($P$34*($B505+$I$38-1),IF(AND($L$37=0,$P$34=0),"",$L$37-1)),0,YEARFRAC(MAX($P$34*($B505+$I$38-1),IF(AND($L$37=0,$P$34=0),"",$L$37-1)),MIN(BM$38,$E505),$P$20))-SUM($BF505:BL505))</f>
        <v>0</v>
      </c>
      <c r="BN505" s="446">
        <f>IF($E505=0,0,IF(MIN(BN$38,$E505)&lt;MAX($P$34*($B505+$I$38-1),IF(AND($L$37=0,$P$34=0),"",$L$37-1)),0,YEARFRAC(MAX($P$34*($B505+$I$38-1),IF(AND($L$37=0,$P$34=0),"",$L$37-1)),MIN(BN$38,$E505),$P$20))-SUM($BF505:BM505))</f>
        <v>0</v>
      </c>
      <c r="BO505" s="446">
        <f>IF($E505=0,0,IF(MIN(BO$38,$E505)&lt;MAX($P$34*($B505+$I$38-1),IF(AND($L$37=0,$P$34=0),"",$L$37-1)),0,YEARFRAC(MAX($P$34*($B505+$I$38-1),IF(AND($L$37=0,$P$34=0),"",$L$37-1)),MIN(BO$38,$E505),$P$20))-SUM($BF505:BN505))</f>
        <v>0</v>
      </c>
      <c r="BP505" s="446">
        <f>IF($E505=0,0,IF(MIN(BP$38,$E505)&lt;MAX($P$34*($B505+$I$38-1),IF(AND($L$37=0,$P$34=0),"",$L$37-1)),0,YEARFRAC(MAX($P$34*($B505+$I$38-1),IF(AND($L$37=0,$P$34=0),"",$L$37-1)),MIN(BP$38,$E505),$P$20))-SUM($BF505:BO505))</f>
        <v>0</v>
      </c>
      <c r="BQ505" s="446">
        <f>IF($E505=0,0,IF(MIN(BQ$38,$E505)&lt;MAX($P$34*($B505+$I$38-1),IF(AND($L$37=0,$P$34=0),"",$L$37-1)),0,YEARFRAC(MAX($P$34*($B505+$I$38-1),IF(AND($L$37=0,$P$34=0),"",$L$37-1)),MIN(BQ$38,$E505),$P$20))-SUM($BF505:BP505))</f>
        <v>0</v>
      </c>
      <c r="BR505" s="446">
        <f>IF($E505=0,0,IF(MIN(BR$38,$E505)&lt;MAX($P$34*($B505+$I$38-1),IF(AND($L$37=0,$P$34=0),"",$L$37-1)),0,YEARFRAC(MAX($P$34*($B505+$I$38-1),IF(AND($L$37=0,$P$34=0),"",$L$37-1)),MIN(BR$38,$E505),$P$20))-SUM($BF505:BQ505))</f>
        <v>0</v>
      </c>
      <c r="BS505" s="446">
        <f>IF($E505=0,0,IF(MIN(BS$38,$E505)&lt;MAX($P$34*($B505+$I$38-1),IF(AND($L$37=0,$P$34=0),"",$L$37-1)),0,YEARFRAC(MAX($P$34*($B505+$I$38-1),IF(AND($L$37=0,$P$34=0),"",$L$37-1)),MIN(BS$38,$E505),$P$20))-SUM($BF505:BR505))</f>
        <v>0</v>
      </c>
      <c r="BT505" s="446">
        <f>IF($E505=0,0,IF(MIN(BT$38,$E505)&lt;MAX($P$34*($B505+$I$38-1),IF(AND($L$37=0,$P$34=0),"",$L$37-1)),0,YEARFRAC(MAX($P$34*($B505+$I$38-1),IF(AND($L$37=0,$P$34=0),"",$L$37-1)),MIN(BT$38,$E505),$P$20))-SUM($BF505:BS505))</f>
        <v>0</v>
      </c>
      <c r="BU505" s="446">
        <f>IF($E505=0,0,IF(MIN(BU$38,$E505)&lt;MAX($P$34*($B505+$I$38-1),IF(AND($L$37=0,$P$34=0),"",$L$37-1)),0,YEARFRAC(MAX($P$34*($B505+$I$38-1),IF(AND($L$37=0,$P$34=0),"",$L$37-1)),MIN(BU$38,$E505),$P$20))-SUM($BF505:BT505))</f>
        <v>0</v>
      </c>
      <c r="BV505" s="446">
        <f>IF($E505=0,0,IF(MIN(BV$38,$E505)&lt;MAX($P$34*($B505+$I$38-1),IF(AND($L$37=0,$P$34=0),"",$L$37-1)),0,YEARFRAC(MAX($P$34*($B505+$I$38-1),IF(AND($L$37=0,$P$34=0),"",$L$37-1)),MIN(BV$38,$E505),$P$20))-SUM($BF505:BU505))</f>
        <v>0</v>
      </c>
      <c r="BW505" s="446">
        <f>IF($E505=0,0,IF(MIN(BW$38,$E505)&lt;MAX($P$34*($B505+$I$38-1),IF(AND($L$37=0,$P$34=0),"",$L$37-1)),0,YEARFRAC(MAX($P$34*($B505+$I$38-1),IF(AND($L$37=0,$P$34=0),"",$L$37-1)),MIN(BW$38,$E505),$P$20))-SUM($BF505:BV505))</f>
        <v>0</v>
      </c>
      <c r="BX505" s="446">
        <f>IF($E505=0,0,IF(MIN(BX$38,$E505)&lt;MAX($P$34*($B505+$I$38-1),IF(AND($L$37=0,$P$34=0),"",$L$37-1)),0,YEARFRAC(MAX($P$34*($B505+$I$38-1),IF(AND($L$37=0,$P$34=0),"",$L$37-1)),MIN(BX$38,$E505),$P$20))-SUM($BF505:BW505))</f>
        <v>0</v>
      </c>
      <c r="BY505" s="446">
        <f>IF($E505=0,0,IF(MIN(BY$38,$E505)&lt;MAX($P$34*($B505+$I$38-1),IF(AND($L$37=0,$P$34=0),"",$L$37-1)),0,YEARFRAC(MAX($P$34*($B505+$I$38-1),IF(AND($L$37=0,$P$34=0),"",$L$37-1)),MIN(BY$38,$E505),$P$20))-SUM($BF505:BX505))</f>
        <v>0</v>
      </c>
      <c r="BZ505" s="446">
        <f>IF($E505=0,0,IF(MIN(BZ$38,$E505)&lt;MAX($P$34*($B505+$I$38-1),IF(AND($L$37=0,$P$34=0),"",$L$37-1)),0,YEARFRAC(MAX($P$34*($B505+$I$38-1),IF(AND($L$37=0,$P$34=0),"",$L$37-1)),MIN(BZ$38,$E505),$P$20))-SUM($BF505:BY505))</f>
        <v>0</v>
      </c>
      <c r="CA505" s="446">
        <f>IF($E505=0,0,IF(MIN(CA$38,$E505)&lt;MAX($P$34*($B505+$I$38-1),IF(AND($L$37=0,$P$34=0),"",$L$37-1)),0,YEARFRAC(MAX($P$34*($B505+$I$38-1),IF(AND($L$37=0,$P$34=0),"",$L$37-1)),MIN(CA$38,$E505),$P$20))-SUM($BF505:BZ505))</f>
        <v>0</v>
      </c>
      <c r="CB505" s="446">
        <f>IF($E505=0,0,IF(MIN(CB$38,$E505)&lt;MAX($P$34*($B505+$I$38-1),IF(AND($L$37=0,$P$34=0),"",$L$37-1)),0,YEARFRAC(MAX($P$34*($B505+$I$38-1),IF(AND($L$37=0,$P$34=0),"",$L$37-1)),MIN(CB$38,$E505),$P$20))-SUM($BF505:CA505))</f>
        <v>0</v>
      </c>
      <c r="CC505" s="446">
        <f>IF($E505=0,0,IF(MIN(CC$38,$E505)&lt;MAX($P$34*($B505+$I$38-1),IF(AND($L$37=0,$P$34=0),"",$L$37-1)),0,YEARFRAC(MAX($P$34*($B505+$I$38-1),IF(AND($L$37=0,$P$34=0),"",$L$37-1)),MIN(CC$38,$E505),$P$20))-SUM($BF505:CB505))</f>
        <v>0</v>
      </c>
      <c r="CD505" s="446">
        <f>IF($E505=0,0,IF(MIN(CD$38,$E505)&lt;MAX($P$34*($B505+$I$38-1),IF(AND($L$37=0,$P$34=0),"",$L$37-1)),0,YEARFRAC(MAX($P$34*($B505+$I$38-1),IF(AND($L$37=0,$P$34=0),"",$L$37-1)),MIN(CD$38,$E505),$P$20))-SUM($BF505:CC505))</f>
        <v>0</v>
      </c>
      <c r="CE505" s="446">
        <f>IF($E505=0,0,IF(MIN(CE$38,$E505)&lt;MAX($P$34*($B505+$I$38-1),IF(AND($L$37=0,$P$34=0),"",$L$37-1)),0,YEARFRAC(MAX($P$34*($B505+$I$38-1),IF(AND($L$37=0,$P$34=0),"",$L$37-1)),MIN(CE$38,$E505),$P$20))-SUM($BF505:CD505))</f>
        <v>0</v>
      </c>
      <c r="CF505" s="446">
        <f>IF($E505=0,0,IF(MIN(CF$38,$E505)&lt;MAX($P$34*($B505+$I$38-1),IF(AND($L$37=0,$P$34=0),"",$L$37-1)),0,YEARFRAC(MAX($P$34*($B505+$I$38-1),IF(AND($L$37=0,$P$34=0),"",$L$37-1)),MIN(CF$38,$E505),$P$20))-SUM($BF505:CE505))</f>
        <v>0</v>
      </c>
      <c r="CG505" s="446">
        <f>IF($E505=0,0,IF(MIN(CG$38,$E505)&lt;MAX($P$34*($B505+$I$38-1),IF(AND($L$37=0,$P$34=0),"",$L$37-1)),0,YEARFRAC(MAX($P$34*($B505+$I$38-1),IF(AND($L$37=0,$P$34=0),"",$L$37-1)),MIN(CG$38,$E505),$P$20))-SUM($BF505:CF505))</f>
        <v>0</v>
      </c>
      <c r="CH505" s="446">
        <f>IF($E505=0,0,IF(MIN(CH$38,$E505)&lt;MAX($P$34*($B505+$I$38-1),IF(AND($L$37=0,$P$34=0),"",$L$37-1)),0,YEARFRAC(MAX($P$34*($B505+$I$38-1),IF(AND($L$37=0,$P$34=0),"",$L$37-1)),MIN(CH$38,$E505),$P$20))-SUM($BF505:CG505))</f>
        <v>0</v>
      </c>
      <c r="CI505" s="446">
        <f>IF($E505=0,0,IF(MIN(CI$38,$E505)&lt;MAX($P$34*($B505+$I$38-1),IF(AND($L$37=0,$P$34=0),"",$L$37-1)),0,YEARFRAC(MAX($P$34*($B505+$I$38-1),IF(AND($L$37=0,$P$34=0),"",$L$37-1)),MIN(CI$38,$E505),$P$20))-SUM($BF505:CH505))</f>
        <v>0</v>
      </c>
      <c r="CJ505" s="446">
        <f>IF($E505=0,0,IF(MIN(CJ$38,$E505)&lt;MAX($P$34*($B505+$I$38-1),IF(AND($L$37=0,$P$34=0),"",$L$37-1)),0,YEARFRAC(MAX($P$34*($B505+$I$38-1),IF(AND($L$37=0,$P$34=0),"",$L$37-1)),MIN(CJ$38,$E505),$P$20))-SUM($BF505:CI505))</f>
        <v>0</v>
      </c>
      <c r="CK505" s="446">
        <f>IF($E505=0,0,IF(MIN(CK$38,$E505)&lt;MAX($P$34*($B505+$I$38-1),IF(AND($L$37=0,$P$34=0),"",$L$37-1)),0,YEARFRAC(MAX($P$34*($B505+$I$38-1),IF(AND($L$37=0,$P$34=0),"",$L$37-1)),MIN(CK$38,$E505),$P$20))-SUM($BF505:CJ505))</f>
        <v>0</v>
      </c>
      <c r="CL505" s="446">
        <f>IF($E505=0,0,IF(MIN(CL$38,$E505)&lt;MAX($P$34*($B505+$I$38-1),IF(AND($L$37=0,$P$34=0),"",$L$37-1)),0,YEARFRAC(MAX($P$34*($B505+$I$38-1),IF(AND($L$37=0,$P$34=0),"",$L$37-1)),MIN(CL$38,$E505),$P$20))-SUM($BF505:CK505))</f>
        <v>0</v>
      </c>
      <c r="CM505" s="446">
        <f>IF($E505=0,0,IF(MIN(CM$38,$E505)&lt;MAX($P$34*($B505+$I$38-1),IF(AND($L$37=0,$P$34=0),"",$L$37-1)),0,YEARFRAC(MAX($P$34*($B505+$I$38-1),IF(AND($L$37=0,$P$34=0),"",$L$37-1)),MIN(CM$38,$E505),$P$20))-SUM($BF505:CL505))</f>
        <v>0</v>
      </c>
      <c r="CN505" s="446">
        <f>IF($E505=0,0,IF(MIN(CN$38,$E505)&lt;MAX($P$34*($B505+$I$38-1),IF(AND($L$37=0,$P$34=0),"",$L$37-1)),0,YEARFRAC(MAX($P$34*($B505+$I$38-1),IF(AND($L$37=0,$P$34=0),"",$L$37-1)),MIN(CN$38,$E505),$P$20))-SUM($BF505:CM505))</f>
        <v>0</v>
      </c>
      <c r="CO505" s="446">
        <f>IF($E505=0,0,IF(MIN(CO$38,$E505)&lt;MAX($P$34*($B505+$I$38-1),IF(AND($L$37=0,$P$34=0),"",$L$37-1)),0,YEARFRAC(MAX($P$34*($B505+$I$38-1),IF(AND($L$37=0,$P$34=0),"",$L$37-1)),MIN(CO$38,$E505),$P$20))-SUM($BF505:CN505))</f>
        <v>0</v>
      </c>
      <c r="CP505" s="446">
        <f>IF($E505=0,0,IF(MIN(CP$38,$E505)&lt;MAX($P$34*($B505+$I$38-1),IF(AND($L$37=0,$P$34=0),"",$L$37-1)),0,YEARFRAC(MAX($P$34*($B505+$I$38-1),IF(AND($L$37=0,$P$34=0),"",$L$37-1)),MIN(CP$38,$E505),$P$20))-SUM($BF505:CO505))</f>
        <v>0</v>
      </c>
      <c r="CQ505" s="446">
        <f>IF($E505=0,0,IF(MIN(CQ$38,$E505)&lt;MAX($P$34*($B505+$I$38-1),IF(AND($L$37=0,$P$34=0),"",$L$37-1)),0,YEARFRAC(MAX($P$34*($B505+$I$38-1),IF(AND($L$37=0,$P$34=0),"",$L$37-1)),MIN(CQ$38,$E505),$P$20))-SUM($BF505:CP505))</f>
        <v>0</v>
      </c>
    </row>
    <row r="506" spans="1:95" s="446" customFormat="1" ht="11.25" hidden="1" customHeight="1" x14ac:dyDescent="0.2">
      <c r="A506" s="152"/>
      <c r="B506" s="153" t="str">
        <f t="shared" si="92"/>
        <v/>
      </c>
      <c r="C506" s="29" t="str">
        <f>IF(B506="","",IF($L$35="SELIC - TRIBUTOS",VLOOKUP(DATE(YEAR($D$19),MONTH($D$19)-1,1),ÍNDICES!$A:$DE,HLOOKUP($BL$25,ÍNDICES!$B$3:$T$4,2)+11)-VLOOKUP(B506,ÍNDICES!$A:$DE,HLOOKUP($BL$25,ÍNDICES!$B$3:$T$4,2)+11)+1%,IF(C$38=$W$26,$J$35,IF(ISERROR(IF(B506&gt;$D$19,1,VLOOKUP(DATE(YEAR(B506),MONTH(B506)+IF($C$35=$S$23,1,0),1),ÍNDICES!$A:$DE,$Z$35+1))),"",IF(B506&gt;$D$19,1,VLOOKUP(DATE(YEAR(B506),MONTH(B506)+IF($C$35=$S$23,1,0),1),ÍNDICES!$A:$DE,$Z$35+1))))))</f>
        <v/>
      </c>
      <c r="D506" s="154" t="str">
        <f>IF(ISERROR(IF(OR($D$38=$Y$27,$B506=""),"",VLOOKUP(B506,ÍNDICES!A:DE,AF$35+1))),"",IF(OR($D$38=$Y$27,$B506=""),"",VLOOKUP(B506,ÍNDICES!A:DE,AF$35+1)))</f>
        <v/>
      </c>
      <c r="E506" s="153"/>
      <c r="F506" s="29" t="str">
        <f>IF(E506="","",IF($L$35="SELIC - TRIBUTOS",VLOOKUP(DATE(YEAR($D$19),MONTH($D$19)-1,1),ÍNDICES!$A:$DE,HLOOKUP($BL$25,ÍNDICES!$B$3:$T$4,2)+11)-VLOOKUP(E506,ÍNDICES!$A:$DE,HLOOKUP($BL$25,ÍNDICES!$B$3:$T$4,2)+11)+1%,IF(F$38=$W$26,$J$35,IF(ISERROR(IF(E506&gt;$D$19,1,VLOOKUP(DATE(YEAR(E506),MONTH(E506)+IF($C$35=$S$23,1,0),1),ÍNDICES!$A:$DE,$Z$35+1))),"",IF(E506&gt;$D$19,1,VLOOKUP(DATE(YEAR(E506),MONTH(E506)+IF($C$35=$S$23,1,0),1),ÍNDICES!$A:$DE,$Z$35+1))))))</f>
        <v/>
      </c>
      <c r="G506" s="155"/>
      <c r="H506" s="156" t="str">
        <f t="shared" si="88"/>
        <v/>
      </c>
      <c r="I506" s="29" t="str">
        <f t="shared" si="82"/>
        <v/>
      </c>
      <c r="J506" s="5">
        <f t="shared" si="83"/>
        <v>0</v>
      </c>
      <c r="K506" s="20">
        <f t="shared" ca="1" si="84"/>
        <v>0</v>
      </c>
      <c r="L506" s="5">
        <f t="shared" ca="1" si="85"/>
        <v>0</v>
      </c>
      <c r="M506" s="64">
        <f t="shared" si="89"/>
        <v>0</v>
      </c>
      <c r="N506" s="61">
        <f t="shared" ca="1" si="90"/>
        <v>0</v>
      </c>
      <c r="O506" s="5">
        <f t="shared" ca="1" si="91"/>
        <v>0</v>
      </c>
      <c r="P506" s="446" t="e">
        <f t="shared" si="86"/>
        <v>#VALUE!</v>
      </c>
      <c r="Q506" s="446" t="e">
        <f>IF(OR($B506="",MIN(Q$38,$D$19)&lt;MAX($P$34*($B506+IF($R$17="Distrato",$I$38-1,0)),IF(AND($L$37=0,$P$34=0),"",$L$37-1),IF($R$17="Distrato",$E506,0))),0,YEARFRAC(MAX($P$34*($B506+IF($R$17="Distrato",$I$38-1,0)),IF(AND($L$37=0,$P$34=0),"",$L$37-1),IF($R$17="Distrato",$E506,0)),MIN(Q$38,$D$19),$P$20))-SUM($P506:P506)</f>
        <v>#VALUE!</v>
      </c>
      <c r="R506" s="446" t="e">
        <f>IF(OR($B506="",MIN(R$38,$D$19)&lt;MAX($P$34*($B506+IF($R$17="Distrato",$I$38-1,0)),IF(AND($L$37=0,$P$34=0),"",$L$37-1),IF($R$17="Distrato",$E506,0))),0,YEARFRAC(MAX($P$34*($B506+IF($R$17="Distrato",$I$38-1,0)),IF(AND($L$37=0,$P$34=0),"",$L$37-1),IF($R$17="Distrato",$E506,0)),MIN(R$38,$D$19),$P$20))-SUM($P506:Q506)</f>
        <v>#VALUE!</v>
      </c>
      <c r="S506" s="446" t="e">
        <f>IF(OR($B506="",MIN(S$38,$D$19)&lt;MAX($P$34*($B506+IF($R$17="Distrato",$I$38-1,0)),IF(AND($L$37=0,$P$34=0),"",$L$37-1),IF($R$17="Distrato",$E506,0))),0,YEARFRAC(MAX($P$34*($B506+IF($R$17="Distrato",$I$38-1,0)),IF(AND($L$37=0,$P$34=0),"",$L$37-1),IF($R$17="Distrato",$E506,0)),MIN(S$38,$D$19),$P$20))-SUM($P506:R506)</f>
        <v>#VALUE!</v>
      </c>
      <c r="T506" s="446" t="e">
        <f>IF(OR($B506="",MIN(T$38,$D$19)&lt;MAX($P$34*($B506+IF($R$17="Distrato",$I$38-1,0)),IF(AND($L$37=0,$P$34=0),"",$L$37-1),IF($R$17="Distrato",$E506,0))),0,YEARFRAC(MAX($P$34*($B506+IF($R$17="Distrato",$I$38-1,0)),IF(AND($L$37=0,$P$34=0),"",$L$37-1),IF($R$17="Distrato",$E506,0)),MIN(T$38,$D$19),$P$20))-SUM($P506:S506)</f>
        <v>#VALUE!</v>
      </c>
      <c r="U506" s="446" t="e">
        <f>IF(OR($B506="",MIN(U$38,$D$19)&lt;MAX($P$34*($B506+IF($R$17="Distrato",$I$38-1,0)),IF(AND($L$37=0,$P$34=0),"",$L$37-1),IF($R$17="Distrato",$E506,0))),0,YEARFRAC(MAX($P$34*($B506+IF($R$17="Distrato",$I$38-1,0)),IF(AND($L$37=0,$P$34=0),"",$L$37-1),IF($R$17="Distrato",$E506,0)),MIN(U$38,$D$19),$P$20))-SUM($P506:T506)</f>
        <v>#VALUE!</v>
      </c>
      <c r="V506" s="446" t="e">
        <f>IF(OR($B506="",MIN(V$38,$D$19)&lt;MAX($P$34*($B506+IF($R$17="Distrato",$I$38-1,0)),IF(AND($L$37=0,$P$34=0),"",$L$37-1),IF($R$17="Distrato",$E506,0))),0,YEARFRAC(MAX($P$34*($B506+IF($R$17="Distrato",$I$38-1,0)),IF(AND($L$37=0,$P$34=0),"",$L$37-1),IF($R$17="Distrato",$E506,0)),MIN(V$38,$D$19),$P$20))-SUM($P506:U506)</f>
        <v>#VALUE!</v>
      </c>
      <c r="W506" s="446" t="e">
        <f>IF(OR($B506="",MIN(W$38,$D$19)&lt;MAX($P$34*($B506+IF($R$17="Distrato",$I$38-1,0)),IF(AND($L$37=0,$P$34=0),"",$L$37-1),IF($R$17="Distrato",$E506,0))),0,YEARFRAC(MAX($P$34*($B506+IF($R$17="Distrato",$I$38-1,0)),IF(AND($L$37=0,$P$34=0),"",$L$37-1),IF($R$17="Distrato",$E506,0)),MIN(W$38,$D$19),$P$20))-SUM($P506:V506)</f>
        <v>#VALUE!</v>
      </c>
      <c r="X506" s="446" t="e">
        <f>IF(OR($B506="",MIN(X$38,$D$19)&lt;MAX($P$34*($B506+IF($R$17="Distrato",$I$38-1,0)),IF(AND($L$37=0,$P$34=0),"",$L$37-1),IF($R$17="Distrato",$E506,0))),0,YEARFRAC(MAX($P$34*($B506+IF($R$17="Distrato",$I$38-1,0)),IF(AND($L$37=0,$P$34=0),"",$L$37-1),IF($R$17="Distrato",$E506,0)),MIN(X$38,$D$19),$P$20))-SUM($P506:W506)</f>
        <v>#VALUE!</v>
      </c>
      <c r="Y506" s="446" t="e">
        <f>IF(OR($B506="",MIN(Y$38,$D$19)&lt;MAX($P$34*($B506+IF($R$17="Distrato",$I$38-1,0)),IF(AND($L$37=0,$P$34=0),"",$L$37-1),IF($R$17="Distrato",$E506,0))),0,YEARFRAC(MAX($P$34*($B506+IF($R$17="Distrato",$I$38-1,0)),IF(AND($L$37=0,$P$34=0),"",$L$37-1),IF($R$17="Distrato",$E506,0)),MIN(Y$38,$D$19),$P$20))-SUM($P506:X506)</f>
        <v>#VALUE!</v>
      </c>
      <c r="Z506" s="446" t="e">
        <f>IF(OR($B506="",MIN(Z$38,$D$19)&lt;MAX($P$34*($B506+IF($R$17="Distrato",$I$38-1,0)),IF(AND($L$37=0,$P$34=0),"",$L$37-1),IF($R$17="Distrato",$E506,0))),0,YEARFRAC(MAX($P$34*($B506+IF($R$17="Distrato",$I$38-1,0)),IF(AND($L$37=0,$P$34=0),"",$L$37-1),IF($R$17="Distrato",$E506,0)),MIN(Z$38,$D$19),$P$20))-SUM($P506:Y506)</f>
        <v>#VALUE!</v>
      </c>
      <c r="AA506" s="446" t="e">
        <f>IF(OR($B506="",MIN(AA$38,$D$19)&lt;MAX($P$34*($B506+IF($R$17="Distrato",$I$38-1,0)),IF(AND($L$37=0,$P$34=0),"",$L$37-1),IF($R$17="Distrato",$E506,0))),0,YEARFRAC(MAX($P$34*($B506+IF($R$17="Distrato",$I$38-1,0)),IF(AND($L$37=0,$P$34=0),"",$L$37-1),IF($R$17="Distrato",$E506,0)),MIN(AA$38,$D$19),$P$20))-SUM($P506:Z506)</f>
        <v>#VALUE!</v>
      </c>
      <c r="AB506" s="446" t="e">
        <f>IF(OR($B506="",MIN(AB$38,$D$19)&lt;MAX($P$34*($B506+IF($R$17="Distrato",$I$38-1,0)),IF(AND($L$37=0,$P$34=0),"",$L$37-1),IF($R$17="Distrato",$E506,0))),0,YEARFRAC(MAX($P$34*($B506+IF($R$17="Distrato",$I$38-1,0)),IF(AND($L$37=0,$P$34=0),"",$L$37-1),IF($R$17="Distrato",$E506,0)),MIN(AB$38,$D$19),$P$20))-SUM($P506:AA506)</f>
        <v>#VALUE!</v>
      </c>
      <c r="AC506" s="446" t="e">
        <f>IF(OR($B506="",MIN(AC$38,$D$19)&lt;MAX($P$34*($B506+IF($R$17="Distrato",$I$38-1,0)),IF(AND($L$37=0,$P$34=0),"",$L$37-1),IF($R$17="Distrato",$E506,0))),0,YEARFRAC(MAX($P$34*($B506+IF($R$17="Distrato",$I$38-1,0)),IF(AND($L$37=0,$P$34=0),"",$L$37-1),IF($R$17="Distrato",$E506,0)),MIN(AC$38,$D$19),$P$20))-SUM($P506:AB506)</f>
        <v>#VALUE!</v>
      </c>
      <c r="AD506" s="446" t="e">
        <f>IF(OR($B506="",MIN(AD$38,$D$19)&lt;MAX($P$34*($B506+IF($R$17="Distrato",$I$38-1,0)),IF(AND($L$37=0,$P$34=0),"",$L$37-1),IF($R$17="Distrato",$E506,0))),0,YEARFRAC(MAX($P$34*($B506+IF($R$17="Distrato",$I$38-1,0)),IF(AND($L$37=0,$P$34=0),"",$L$37-1),IF($R$17="Distrato",$E506,0)),MIN(AD$38,$D$19),$P$20))-SUM($P506:AC506)</f>
        <v>#VALUE!</v>
      </c>
      <c r="AE506" s="446" t="e">
        <f>IF(OR($B506="",MIN(AE$38,$D$19)&lt;MAX($P$34*($B506+IF($R$17="Distrato",$I$38-1,0)),IF(AND($L$37=0,$P$34=0),"",$L$37-1),IF($R$17="Distrato",$E506,0))),0,YEARFRAC(MAX($P$34*($B506+IF($R$17="Distrato",$I$38-1,0)),IF(AND($L$37=0,$P$34=0),"",$L$37-1),IF($R$17="Distrato",$E506,0)),MIN(AE$38,$D$19),$P$20))-SUM($P506:AD506)</f>
        <v>#VALUE!</v>
      </c>
      <c r="AF506" s="446" t="e">
        <f>IF(OR($B506="",MIN(AF$38,$D$19)&lt;MAX($P$34*($B506+IF($R$17="Distrato",$I$38-1,0)),IF(AND($L$37=0,$P$34=0),"",$L$37-1),IF($R$17="Distrato",$E506,0))),0,YEARFRAC(MAX($P$34*($B506+IF($R$17="Distrato",$I$38-1,0)),IF(AND($L$37=0,$P$34=0),"",$L$37-1),IF($R$17="Distrato",$E506,0)),MIN(AF$38,$D$19),$P$20))-SUM($P506:AE506)</f>
        <v>#VALUE!</v>
      </c>
      <c r="AG506" s="446" t="e">
        <f>IF(OR($B506="",MIN(AG$38,$D$19)&lt;MAX($P$34*($B506+IF($R$17="Distrato",$I$38-1,0)),IF(AND($L$37=0,$P$34=0),"",$L$37-1),IF($R$17="Distrato",$E506,0))),0,YEARFRAC(MAX($P$34*($B506+IF($R$17="Distrato",$I$38-1,0)),IF(AND($L$37=0,$P$34=0),"",$L$37-1),IF($R$17="Distrato",$E506,0)),MIN(AG$38,$D$19),$P$20))-SUM($P506:AF506)</f>
        <v>#VALUE!</v>
      </c>
      <c r="AH506" s="446" t="e">
        <f>IF(OR($B506="",MIN(AH$38,$D$19)&lt;MAX($P$34*($B506+IF($R$17="Distrato",$I$38-1,0)),IF(AND($L$37=0,$P$34=0),"",$L$37-1),IF($R$17="Distrato",$E506,0))),0,YEARFRAC(MAX($P$34*($B506+IF($R$17="Distrato",$I$38-1,0)),IF(AND($L$37=0,$P$34=0),"",$L$37-1),IF($R$17="Distrato",$E506,0)),MIN(AH$38,$D$19),$P$20))-SUM($P506:AG506)</f>
        <v>#VALUE!</v>
      </c>
      <c r="AI506" s="446" t="e">
        <f>IF(OR($B506="",MIN(AI$38,$D$19)&lt;MAX($P$34*($B506+IF($R$17="Distrato",$I$38-1,0)),IF(AND($L$37=0,$P$34=0),"",$L$37-1),IF($R$17="Distrato",$E506,0))),0,YEARFRAC(MAX($P$34*($B506+IF($R$17="Distrato",$I$38-1,0)),IF(AND($L$37=0,$P$34=0),"",$L$37-1),IF($R$17="Distrato",$E506,0)),MIN(AI$38,$D$19),$P$20))-SUM($P506:AH506)</f>
        <v>#VALUE!</v>
      </c>
      <c r="AJ506" s="446" t="e">
        <f>IF(OR($B506="",MIN(AJ$38,$D$19)&lt;MAX($P$34*($B506+IF($R$17="Distrato",$I$38-1,0)),IF(AND($L$37=0,$P$34=0),"",$L$37-1),IF($R$17="Distrato",$E506,0))),0,YEARFRAC(MAX($P$34*($B506+IF($R$17="Distrato",$I$38-1,0)),IF(AND($L$37=0,$P$34=0),"",$L$37-1),IF($R$17="Distrato",$E506,0)),MIN(AJ$38,$D$19),$P$20))-SUM($P506:AI506)</f>
        <v>#VALUE!</v>
      </c>
      <c r="AK506" s="446" t="e">
        <f>IF(OR($B506="",MIN(AK$38,$D$19)&lt;MAX($P$34*($B506+IF($R$17="Distrato",$I$38-1,0)),IF(AND($L$37=0,$P$34=0),"",$L$37-1),IF($R$17="Distrato",$E506,0))),0,YEARFRAC(MAX($P$34*($B506+IF($R$17="Distrato",$I$38-1,0)),IF(AND($L$37=0,$P$34=0),"",$L$37-1),IF($R$17="Distrato",$E506,0)),MIN(AK$38,$D$19),$P$20))-SUM($P506:AJ506)</f>
        <v>#VALUE!</v>
      </c>
      <c r="AL506" s="446" t="e">
        <f>IF(OR($B506="",MIN(AL$38,$D$19)&lt;MAX($P$34*($B506+IF($R$17="Distrato",$I$38-1,0)),IF(AND($L$37=0,$P$34=0),"",$L$37-1),IF($R$17="Distrato",$E506,0))),0,YEARFRAC(MAX($P$34*($B506+IF($R$17="Distrato",$I$38-1,0)),IF(AND($L$37=0,$P$34=0),"",$L$37-1),IF($R$17="Distrato",$E506,0)),MIN(AL$38,$D$19),$P$20))-SUM($P506:AK506)</f>
        <v>#VALUE!</v>
      </c>
      <c r="AM506" s="446" t="e">
        <f>IF(OR($B506="",MIN(AM$38,$D$19)&lt;MAX($P$34*($B506+IF($R$17="Distrato",$I$38-1,0)),IF(AND($L$37=0,$P$34=0),"",$L$37-1),IF($R$17="Distrato",$E506,0))),0,YEARFRAC(MAX($P$34*($B506+IF($R$17="Distrato",$I$38-1,0)),IF(AND($L$37=0,$P$34=0),"",$L$37-1),IF($R$17="Distrato",$E506,0)),MIN(AM$38,$D$19),$P$20))-SUM($P506:AL506)</f>
        <v>#VALUE!</v>
      </c>
      <c r="AN506" s="446" t="e">
        <f>IF(OR($B506="",MIN(AN$38,$D$19)&lt;MAX($P$34*($B506+IF($R$17="Distrato",$I$38-1,0)),IF(AND($L$37=0,$P$34=0),"",$L$37-1),IF($R$17="Distrato",$E506,0))),0,YEARFRAC(MAX($P$34*($B506+IF($R$17="Distrato",$I$38-1,0)),IF(AND($L$37=0,$P$34=0),"",$L$37-1),IF($R$17="Distrato",$E506,0)),MIN(AN$38,$D$19),$P$20))-SUM($P506:AM506)</f>
        <v>#VALUE!</v>
      </c>
      <c r="AO506" s="446" t="e">
        <f>IF(OR($B506="",MIN(AO$38,$D$19)&lt;MAX($P$34*($B506+IF($R$17="Distrato",$I$38-1,0)),IF(AND($L$37=0,$P$34=0),"",$L$37-1),IF($R$17="Distrato",$E506,0))),0,YEARFRAC(MAX($P$34*($B506+IF($R$17="Distrato",$I$38-1,0)),IF(AND($L$37=0,$P$34=0),"",$L$37-1),IF($R$17="Distrato",$E506,0)),MIN(AO$38,$D$19),$P$20))-SUM($P506:AN506)</f>
        <v>#VALUE!</v>
      </c>
      <c r="AP506" s="446" t="e">
        <f>IF(OR($B506="",MIN(AP$38,$D$19)&lt;MAX($P$34*($B506+IF($R$17="Distrato",$I$38-1,0)),IF(AND($L$37=0,$P$34=0),"",$L$37-1),IF($R$17="Distrato",$E506,0))),0,YEARFRAC(MAX($P$34*($B506+IF($R$17="Distrato",$I$38-1,0)),IF(AND($L$37=0,$P$34=0),"",$L$37-1),IF($R$17="Distrato",$E506,0)),MIN(AP$38,$D$19),$P$20))-SUM($P506:AO506)</f>
        <v>#VALUE!</v>
      </c>
      <c r="AQ506" s="446" t="e">
        <f>IF(OR($B506="",MIN(AQ$38,$D$19)&lt;MAX($P$34*($B506+IF($R$17="Distrato",$I$38-1,0)),IF(AND($L$37=0,$P$34=0),"",$L$37-1),IF($R$17="Distrato",$E506,0))),0,YEARFRAC(MAX($P$34*($B506+IF($R$17="Distrato",$I$38-1,0)),IF(AND($L$37=0,$P$34=0),"",$L$37-1),IF($R$17="Distrato",$E506,0)),MIN(AQ$38,$D$19),$P$20))-SUM($P506:AP506)</f>
        <v>#VALUE!</v>
      </c>
      <c r="AR506" s="446" t="e">
        <f>IF(OR($B506="",MIN(AR$38,$D$19)&lt;MAX($P$34*($B506+IF($R$17="Distrato",$I$38-1,0)),IF(AND($L$37=0,$P$34=0),"",$L$37-1),IF($R$17="Distrato",$E506,0))),0,YEARFRAC(MAX($P$34*($B506+IF($R$17="Distrato",$I$38-1,0)),IF(AND($L$37=0,$P$34=0),"",$L$37-1),IF($R$17="Distrato",$E506,0)),MIN(AR$38,$D$19),$P$20))-SUM($P506:AQ506)</f>
        <v>#VALUE!</v>
      </c>
      <c r="AS506" s="446" t="e">
        <f>IF(OR($B506="",MIN(AS$38,$D$19)&lt;MAX($P$34*($B506+IF($R$17="Distrato",$I$38-1,0)),IF(AND($L$37=0,$P$34=0),"",$L$37-1),IF($R$17="Distrato",$E506,0))),0,YEARFRAC(MAX($P$34*($B506+IF($R$17="Distrato",$I$38-1,0)),IF(AND($L$37=0,$P$34=0),"",$L$37-1),IF($R$17="Distrato",$E506,0)),MIN(AS$38,$D$19),$P$20))-SUM($P506:AR506)</f>
        <v>#VALUE!</v>
      </c>
      <c r="AT506" s="446" t="e">
        <f>IF(OR($B506="",MIN(AT$38,$D$19)&lt;MAX($P$34*($B506+IF($R$17="Distrato",$I$38-1,0)),IF(AND($L$37=0,$P$34=0),"",$L$37-1),IF($R$17="Distrato",$E506,0))),0,YEARFRAC(MAX($P$34*($B506+IF($R$17="Distrato",$I$38-1,0)),IF(AND($L$37=0,$P$34=0),"",$L$37-1),IF($R$17="Distrato",$E506,0)),MIN(AT$38,$D$19),$P$20))-SUM($P506:AS506)</f>
        <v>#VALUE!</v>
      </c>
      <c r="AU506" s="446" t="e">
        <f>IF(OR($B506="",MIN(AU$38,$D$19)&lt;MAX($P$34*($B506+IF($R$17="Distrato",$I$38-1,0)),IF(AND($L$37=0,$P$34=0),"",$L$37-1),IF($R$17="Distrato",$E506,0))),0,YEARFRAC(MAX($P$34*($B506+IF($R$17="Distrato",$I$38-1,0)),IF(AND($L$37=0,$P$34=0),"",$L$37-1),IF($R$17="Distrato",$E506,0)),MIN(AU$38,$D$19),$P$20))-SUM($P506:AT506)</f>
        <v>#VALUE!</v>
      </c>
      <c r="AV506" s="446" t="e">
        <f>IF(OR($B506="",MIN(AV$38,$D$19)&lt;MAX($P$34*($B506+IF($R$17="Distrato",$I$38-1,0)),IF(AND($L$37=0,$P$34=0),"",$L$37-1),IF($R$17="Distrato",$E506,0))),0,YEARFRAC(MAX($P$34*($B506+IF($R$17="Distrato",$I$38-1,0)),IF(AND($L$37=0,$P$34=0),"",$L$37-1),IF($R$17="Distrato",$E506,0)),MIN(AV$38,$D$19),$P$20))-SUM($P506:AU506)</f>
        <v>#VALUE!</v>
      </c>
      <c r="AW506" s="446" t="e">
        <f>IF(OR($B506="",MIN(AW$38,$D$19)&lt;MAX($P$34*($B506+IF($R$17="Distrato",$I$38-1,0)),IF(AND($L$37=0,$P$34=0),"",$L$37-1),IF($R$17="Distrato",$E506,0))),0,YEARFRAC(MAX($P$34*($B506+IF($R$17="Distrato",$I$38-1,0)),IF(AND($L$37=0,$P$34=0),"",$L$37-1),IF($R$17="Distrato",$E506,0)),MIN(AW$38,$D$19),$P$20))-SUM($P506:AV506)</f>
        <v>#VALUE!</v>
      </c>
      <c r="AX506" s="446" t="e">
        <f>IF(OR($B506="",MIN(AX$38,$D$19)&lt;MAX($P$34*($B506+IF($R$17="Distrato",$I$38-1,0)),IF(AND($L$37=0,$P$34=0),"",$L$37-1),IF($R$17="Distrato",$E506,0))),0,YEARFRAC(MAX($P$34*($B506+IF($R$17="Distrato",$I$38-1,0)),IF(AND($L$37=0,$P$34=0),"",$L$37-1),IF($R$17="Distrato",$E506,0)),MIN(AX$38,$D$19),$P$20))-SUM($P506:AW506)</f>
        <v>#VALUE!</v>
      </c>
      <c r="AY506" s="446" t="e">
        <f>IF(OR($B506="",MIN(AY$38,$D$19)&lt;MAX($P$34*($B506+IF($R$17="Distrato",$I$38-1,0)),IF(AND($L$37=0,$P$34=0),"",$L$37-1),IF($R$17="Distrato",$E506,0))),0,YEARFRAC(MAX($P$34*($B506+IF($R$17="Distrato",$I$38-1,0)),IF(AND($L$37=0,$P$34=0),"",$L$37-1),IF($R$17="Distrato",$E506,0)),MIN(AY$38,$D$19),$P$20))-SUM($P506:AX506)</f>
        <v>#VALUE!</v>
      </c>
      <c r="AZ506" s="446" t="e">
        <f>IF(OR($B506="",MIN(AZ$38,$D$19)&lt;MAX($P$34*($B506+IF($R$17="Distrato",$I$38-1,0)),IF(AND($L$37=0,$P$34=0),"",$L$37-1),IF($R$17="Distrato",$E506,0))),0,YEARFRAC(MAX($P$34*($B506+IF($R$17="Distrato",$I$38-1,0)),IF(AND($L$37=0,$P$34=0),"",$L$37-1),IF($R$17="Distrato",$E506,0)),MIN(AZ$38,$D$19),$P$20))-SUM($P506:AY506)</f>
        <v>#VALUE!</v>
      </c>
      <c r="BA506" s="446" t="e">
        <f>IF(OR($B506="",MIN(BA$38,$D$19)&lt;MAX($P$34*($B506+IF($R$17="Distrato",$I$38-1,0)),IF(AND($L$37=0,$P$34=0),"",$L$37-1),IF($R$17="Distrato",$E506,0))),0,YEARFRAC(MAX($P$34*($B506+IF($R$17="Distrato",$I$38-1,0)),IF(AND($L$37=0,$P$34=0),"",$L$37-1),IF($R$17="Distrato",$E506,0)),MIN(BA$38,$D$19),$P$20))-SUM($P506:AZ506)</f>
        <v>#VALUE!</v>
      </c>
      <c r="BB506" s="447"/>
      <c r="BF506" s="446">
        <f t="shared" si="87"/>
        <v>0</v>
      </c>
      <c r="BG506" s="446">
        <f>IF($E506=0,0,IF(MIN(BG$38,$E506)&lt;MAX($P$34*($B506+$I$38-1),IF(AND($L$37=0,$P$34=0),"",$L$37-1)),0,YEARFRAC(MAX($P$34*($B506+$I$38-1),IF(AND($L$37=0,$P$34=0),"",$L$37-1)),MIN(BG$38,$E506),$P$20))-SUM($BF506:BF506))</f>
        <v>0</v>
      </c>
      <c r="BH506" s="446">
        <f>IF($E506=0,0,IF(MIN(BH$38,$E506)&lt;MAX($P$34*($B506+$I$38-1),IF(AND($L$37=0,$P$34=0),"",$L$37-1)),0,YEARFRAC(MAX($P$34*($B506+$I$38-1),IF(AND($L$37=0,$P$34=0),"",$L$37-1)),MIN(BH$38,$E506),$P$20))-SUM($BF506:BG506))</f>
        <v>0</v>
      </c>
      <c r="BI506" s="446">
        <f>IF($E506=0,0,IF(MIN(BI$38,$E506)&lt;MAX($P$34*($B506+$I$38-1),IF(AND($L$37=0,$P$34=0),"",$L$37-1)),0,YEARFRAC(MAX($P$34*($B506+$I$38-1),IF(AND($L$37=0,$P$34=0),"",$L$37-1)),MIN(BI$38,$E506),$P$20))-SUM($BF506:BH506))</f>
        <v>0</v>
      </c>
      <c r="BJ506" s="446">
        <f>IF($E506=0,0,IF(MIN(BJ$38,$E506)&lt;MAX($P$34*($B506+$I$38-1),IF(AND($L$37=0,$P$34=0),"",$L$37-1)),0,YEARFRAC(MAX($P$34*($B506+$I$38-1),IF(AND($L$37=0,$P$34=0),"",$L$37-1)),MIN(BJ$38,$E506),$P$20))-SUM($BF506:BI506))</f>
        <v>0</v>
      </c>
      <c r="BK506" s="446">
        <f>IF($E506=0,0,IF(MIN(BK$38,$E506)&lt;MAX($P$34*($B506+$I$38-1),IF(AND($L$37=0,$P$34=0),"",$L$37-1)),0,YEARFRAC(MAX($P$34*($B506+$I$38-1),IF(AND($L$37=0,$P$34=0),"",$L$37-1)),MIN(BK$38,$E506),$P$20))-SUM($BF506:BJ506))</f>
        <v>0</v>
      </c>
      <c r="BL506" s="446">
        <f>IF($E506=0,0,IF(MIN(BL$38,$E506)&lt;MAX($P$34*($B506+$I$38-1),IF(AND($L$37=0,$P$34=0),"",$L$37-1)),0,YEARFRAC(MAX($P$34*($B506+$I$38-1),IF(AND($L$37=0,$P$34=0),"",$L$37-1)),MIN(BL$38,$E506),$P$20))-SUM($BF506:BK506))</f>
        <v>0</v>
      </c>
      <c r="BM506" s="446">
        <f>IF($E506=0,0,IF(MIN(BM$38,$E506)&lt;MAX($P$34*($B506+$I$38-1),IF(AND($L$37=0,$P$34=0),"",$L$37-1)),0,YEARFRAC(MAX($P$34*($B506+$I$38-1),IF(AND($L$37=0,$P$34=0),"",$L$37-1)),MIN(BM$38,$E506),$P$20))-SUM($BF506:BL506))</f>
        <v>0</v>
      </c>
      <c r="BN506" s="446">
        <f>IF($E506=0,0,IF(MIN(BN$38,$E506)&lt;MAX($P$34*($B506+$I$38-1),IF(AND($L$37=0,$P$34=0),"",$L$37-1)),0,YEARFRAC(MAX($P$34*($B506+$I$38-1),IF(AND($L$37=0,$P$34=0),"",$L$37-1)),MIN(BN$38,$E506),$P$20))-SUM($BF506:BM506))</f>
        <v>0</v>
      </c>
      <c r="BO506" s="446">
        <f>IF($E506=0,0,IF(MIN(BO$38,$E506)&lt;MAX($P$34*($B506+$I$38-1),IF(AND($L$37=0,$P$34=0),"",$L$37-1)),0,YEARFRAC(MAX($P$34*($B506+$I$38-1),IF(AND($L$37=0,$P$34=0),"",$L$37-1)),MIN(BO$38,$E506),$P$20))-SUM($BF506:BN506))</f>
        <v>0</v>
      </c>
      <c r="BP506" s="446">
        <f>IF($E506=0,0,IF(MIN(BP$38,$E506)&lt;MAX($P$34*($B506+$I$38-1),IF(AND($L$37=0,$P$34=0),"",$L$37-1)),0,YEARFRAC(MAX($P$34*($B506+$I$38-1),IF(AND($L$37=0,$P$34=0),"",$L$37-1)),MIN(BP$38,$E506),$P$20))-SUM($BF506:BO506))</f>
        <v>0</v>
      </c>
      <c r="BQ506" s="446">
        <f>IF($E506=0,0,IF(MIN(BQ$38,$E506)&lt;MAX($P$34*($B506+$I$38-1),IF(AND($L$37=0,$P$34=0),"",$L$37-1)),0,YEARFRAC(MAX($P$34*($B506+$I$38-1),IF(AND($L$37=0,$P$34=0),"",$L$37-1)),MIN(BQ$38,$E506),$P$20))-SUM($BF506:BP506))</f>
        <v>0</v>
      </c>
      <c r="BR506" s="446">
        <f>IF($E506=0,0,IF(MIN(BR$38,$E506)&lt;MAX($P$34*($B506+$I$38-1),IF(AND($L$37=0,$P$34=0),"",$L$37-1)),0,YEARFRAC(MAX($P$34*($B506+$I$38-1),IF(AND($L$37=0,$P$34=0),"",$L$37-1)),MIN(BR$38,$E506),$P$20))-SUM($BF506:BQ506))</f>
        <v>0</v>
      </c>
      <c r="BS506" s="446">
        <f>IF($E506=0,0,IF(MIN(BS$38,$E506)&lt;MAX($P$34*($B506+$I$38-1),IF(AND($L$37=0,$P$34=0),"",$L$37-1)),0,YEARFRAC(MAX($P$34*($B506+$I$38-1),IF(AND($L$37=0,$P$34=0),"",$L$37-1)),MIN(BS$38,$E506),$P$20))-SUM($BF506:BR506))</f>
        <v>0</v>
      </c>
      <c r="BT506" s="446">
        <f>IF($E506=0,0,IF(MIN(BT$38,$E506)&lt;MAX($P$34*($B506+$I$38-1),IF(AND($L$37=0,$P$34=0),"",$L$37-1)),0,YEARFRAC(MAX($P$34*($B506+$I$38-1),IF(AND($L$37=0,$P$34=0),"",$L$37-1)),MIN(BT$38,$E506),$P$20))-SUM($BF506:BS506))</f>
        <v>0</v>
      </c>
      <c r="BU506" s="446">
        <f>IF($E506=0,0,IF(MIN(BU$38,$E506)&lt;MAX($P$34*($B506+$I$38-1),IF(AND($L$37=0,$P$34=0),"",$L$37-1)),0,YEARFRAC(MAX($P$34*($B506+$I$38-1),IF(AND($L$37=0,$P$34=0),"",$L$37-1)),MIN(BU$38,$E506),$P$20))-SUM($BF506:BT506))</f>
        <v>0</v>
      </c>
      <c r="BV506" s="446">
        <f>IF($E506=0,0,IF(MIN(BV$38,$E506)&lt;MAX($P$34*($B506+$I$38-1),IF(AND($L$37=0,$P$34=0),"",$L$37-1)),0,YEARFRAC(MAX($P$34*($B506+$I$38-1),IF(AND($L$37=0,$P$34=0),"",$L$37-1)),MIN(BV$38,$E506),$P$20))-SUM($BF506:BU506))</f>
        <v>0</v>
      </c>
      <c r="BW506" s="446">
        <f>IF($E506=0,0,IF(MIN(BW$38,$E506)&lt;MAX($P$34*($B506+$I$38-1),IF(AND($L$37=0,$P$34=0),"",$L$37-1)),0,YEARFRAC(MAX($P$34*($B506+$I$38-1),IF(AND($L$37=0,$P$34=0),"",$L$37-1)),MIN(BW$38,$E506),$P$20))-SUM($BF506:BV506))</f>
        <v>0</v>
      </c>
      <c r="BX506" s="446">
        <f>IF($E506=0,0,IF(MIN(BX$38,$E506)&lt;MAX($P$34*($B506+$I$38-1),IF(AND($L$37=0,$P$34=0),"",$L$37-1)),0,YEARFRAC(MAX($P$34*($B506+$I$38-1),IF(AND($L$37=0,$P$34=0),"",$L$37-1)),MIN(BX$38,$E506),$P$20))-SUM($BF506:BW506))</f>
        <v>0</v>
      </c>
      <c r="BY506" s="446">
        <f>IF($E506=0,0,IF(MIN(BY$38,$E506)&lt;MAX($P$34*($B506+$I$38-1),IF(AND($L$37=0,$P$34=0),"",$L$37-1)),0,YEARFRAC(MAX($P$34*($B506+$I$38-1),IF(AND($L$37=0,$P$34=0),"",$L$37-1)),MIN(BY$38,$E506),$P$20))-SUM($BF506:BX506))</f>
        <v>0</v>
      </c>
      <c r="BZ506" s="446">
        <f>IF($E506=0,0,IF(MIN(BZ$38,$E506)&lt;MAX($P$34*($B506+$I$38-1),IF(AND($L$37=0,$P$34=0),"",$L$37-1)),0,YEARFRAC(MAX($P$34*($B506+$I$38-1),IF(AND($L$37=0,$P$34=0),"",$L$37-1)),MIN(BZ$38,$E506),$P$20))-SUM($BF506:BY506))</f>
        <v>0</v>
      </c>
      <c r="CA506" s="446">
        <f>IF($E506=0,0,IF(MIN(CA$38,$E506)&lt;MAX($P$34*($B506+$I$38-1),IF(AND($L$37=0,$P$34=0),"",$L$37-1)),0,YEARFRAC(MAX($P$34*($B506+$I$38-1),IF(AND($L$37=0,$P$34=0),"",$L$37-1)),MIN(CA$38,$E506),$P$20))-SUM($BF506:BZ506))</f>
        <v>0</v>
      </c>
      <c r="CB506" s="446">
        <f>IF($E506=0,0,IF(MIN(CB$38,$E506)&lt;MAX($P$34*($B506+$I$38-1),IF(AND($L$37=0,$P$34=0),"",$L$37-1)),0,YEARFRAC(MAX($P$34*($B506+$I$38-1),IF(AND($L$37=0,$P$34=0),"",$L$37-1)),MIN(CB$38,$E506),$P$20))-SUM($BF506:CA506))</f>
        <v>0</v>
      </c>
      <c r="CC506" s="446">
        <f>IF($E506=0,0,IF(MIN(CC$38,$E506)&lt;MAX($P$34*($B506+$I$38-1),IF(AND($L$37=0,$P$34=0),"",$L$37-1)),0,YEARFRAC(MAX($P$34*($B506+$I$38-1),IF(AND($L$37=0,$P$34=0),"",$L$37-1)),MIN(CC$38,$E506),$P$20))-SUM($BF506:CB506))</f>
        <v>0</v>
      </c>
      <c r="CD506" s="446">
        <f>IF($E506=0,0,IF(MIN(CD$38,$E506)&lt;MAX($P$34*($B506+$I$38-1),IF(AND($L$37=0,$P$34=0),"",$L$37-1)),0,YEARFRAC(MAX($P$34*($B506+$I$38-1),IF(AND($L$37=0,$P$34=0),"",$L$37-1)),MIN(CD$38,$E506),$P$20))-SUM($BF506:CC506))</f>
        <v>0</v>
      </c>
      <c r="CE506" s="446">
        <f>IF($E506=0,0,IF(MIN(CE$38,$E506)&lt;MAX($P$34*($B506+$I$38-1),IF(AND($L$37=0,$P$34=0),"",$L$37-1)),0,YEARFRAC(MAX($P$34*($B506+$I$38-1),IF(AND($L$37=0,$P$34=0),"",$L$37-1)),MIN(CE$38,$E506),$P$20))-SUM($BF506:CD506))</f>
        <v>0</v>
      </c>
      <c r="CF506" s="446">
        <f>IF($E506=0,0,IF(MIN(CF$38,$E506)&lt;MAX($P$34*($B506+$I$38-1),IF(AND($L$37=0,$P$34=0),"",$L$37-1)),0,YEARFRAC(MAX($P$34*($B506+$I$38-1),IF(AND($L$37=0,$P$34=0),"",$L$37-1)),MIN(CF$38,$E506),$P$20))-SUM($BF506:CE506))</f>
        <v>0</v>
      </c>
      <c r="CG506" s="446">
        <f>IF($E506=0,0,IF(MIN(CG$38,$E506)&lt;MAX($P$34*($B506+$I$38-1),IF(AND($L$37=0,$P$34=0),"",$L$37-1)),0,YEARFRAC(MAX($P$34*($B506+$I$38-1),IF(AND($L$37=0,$P$34=0),"",$L$37-1)),MIN(CG$38,$E506),$P$20))-SUM($BF506:CF506))</f>
        <v>0</v>
      </c>
      <c r="CH506" s="446">
        <f>IF($E506=0,0,IF(MIN(CH$38,$E506)&lt;MAX($P$34*($B506+$I$38-1),IF(AND($L$37=0,$P$34=0),"",$L$37-1)),0,YEARFRAC(MAX($P$34*($B506+$I$38-1),IF(AND($L$37=0,$P$34=0),"",$L$37-1)),MIN(CH$38,$E506),$P$20))-SUM($BF506:CG506))</f>
        <v>0</v>
      </c>
      <c r="CI506" s="446">
        <f>IF($E506=0,0,IF(MIN(CI$38,$E506)&lt;MAX($P$34*($B506+$I$38-1),IF(AND($L$37=0,$P$34=0),"",$L$37-1)),0,YEARFRAC(MAX($P$34*($B506+$I$38-1),IF(AND($L$37=0,$P$34=0),"",$L$37-1)),MIN(CI$38,$E506),$P$20))-SUM($BF506:CH506))</f>
        <v>0</v>
      </c>
      <c r="CJ506" s="446">
        <f>IF($E506=0,0,IF(MIN(CJ$38,$E506)&lt;MAX($P$34*($B506+$I$38-1),IF(AND($L$37=0,$P$34=0),"",$L$37-1)),0,YEARFRAC(MAX($P$34*($B506+$I$38-1),IF(AND($L$37=0,$P$34=0),"",$L$37-1)),MIN(CJ$38,$E506),$P$20))-SUM($BF506:CI506))</f>
        <v>0</v>
      </c>
      <c r="CK506" s="446">
        <f>IF($E506=0,0,IF(MIN(CK$38,$E506)&lt;MAX($P$34*($B506+$I$38-1),IF(AND($L$37=0,$P$34=0),"",$L$37-1)),0,YEARFRAC(MAX($P$34*($B506+$I$38-1),IF(AND($L$37=0,$P$34=0),"",$L$37-1)),MIN(CK$38,$E506),$P$20))-SUM($BF506:CJ506))</f>
        <v>0</v>
      </c>
      <c r="CL506" s="446">
        <f>IF($E506=0,0,IF(MIN(CL$38,$E506)&lt;MAX($P$34*($B506+$I$38-1),IF(AND($L$37=0,$P$34=0),"",$L$37-1)),0,YEARFRAC(MAX($P$34*($B506+$I$38-1),IF(AND($L$37=0,$P$34=0),"",$L$37-1)),MIN(CL$38,$E506),$P$20))-SUM($BF506:CK506))</f>
        <v>0</v>
      </c>
      <c r="CM506" s="446">
        <f>IF($E506=0,0,IF(MIN(CM$38,$E506)&lt;MAX($P$34*($B506+$I$38-1),IF(AND($L$37=0,$P$34=0),"",$L$37-1)),0,YEARFRAC(MAX($P$34*($B506+$I$38-1),IF(AND($L$37=0,$P$34=0),"",$L$37-1)),MIN(CM$38,$E506),$P$20))-SUM($BF506:CL506))</f>
        <v>0</v>
      </c>
      <c r="CN506" s="446">
        <f>IF($E506=0,0,IF(MIN(CN$38,$E506)&lt;MAX($P$34*($B506+$I$38-1),IF(AND($L$37=0,$P$34=0),"",$L$37-1)),0,YEARFRAC(MAX($P$34*($B506+$I$38-1),IF(AND($L$37=0,$P$34=0),"",$L$37-1)),MIN(CN$38,$E506),$P$20))-SUM($BF506:CM506))</f>
        <v>0</v>
      </c>
      <c r="CO506" s="446">
        <f>IF($E506=0,0,IF(MIN(CO$38,$E506)&lt;MAX($P$34*($B506+$I$38-1),IF(AND($L$37=0,$P$34=0),"",$L$37-1)),0,YEARFRAC(MAX($P$34*($B506+$I$38-1),IF(AND($L$37=0,$P$34=0),"",$L$37-1)),MIN(CO$38,$E506),$P$20))-SUM($BF506:CN506))</f>
        <v>0</v>
      </c>
      <c r="CP506" s="446">
        <f>IF($E506=0,0,IF(MIN(CP$38,$E506)&lt;MAX($P$34*($B506+$I$38-1),IF(AND($L$37=0,$P$34=0),"",$L$37-1)),0,YEARFRAC(MAX($P$34*($B506+$I$38-1),IF(AND($L$37=0,$P$34=0),"",$L$37-1)),MIN(CP$38,$E506),$P$20))-SUM($BF506:CO506))</f>
        <v>0</v>
      </c>
      <c r="CQ506" s="446">
        <f>IF($E506=0,0,IF(MIN(CQ$38,$E506)&lt;MAX($P$34*($B506+$I$38-1),IF(AND($L$37=0,$P$34=0),"",$L$37-1)),0,YEARFRAC(MAX($P$34*($B506+$I$38-1),IF(AND($L$37=0,$P$34=0),"",$L$37-1)),MIN(CQ$38,$E506),$P$20))-SUM($BF506:CP506))</f>
        <v>0</v>
      </c>
    </row>
    <row r="507" spans="1:95" s="446" customFormat="1" ht="11.25" hidden="1" customHeight="1" x14ac:dyDescent="0.2">
      <c r="A507" s="152"/>
      <c r="B507" s="153" t="str">
        <f t="shared" si="92"/>
        <v/>
      </c>
      <c r="C507" s="29" t="str">
        <f>IF(B507="","",IF($L$35="SELIC - TRIBUTOS",VLOOKUP(DATE(YEAR($D$19),MONTH($D$19)-1,1),ÍNDICES!$A:$DE,HLOOKUP($BL$25,ÍNDICES!$B$3:$T$4,2)+11)-VLOOKUP(B507,ÍNDICES!$A:$DE,HLOOKUP($BL$25,ÍNDICES!$B$3:$T$4,2)+11)+1%,IF(C$38=$W$26,$J$35,IF(ISERROR(IF(B507&gt;$D$19,1,VLOOKUP(DATE(YEAR(B507),MONTH(B507)+IF($C$35=$S$23,1,0),1),ÍNDICES!$A:$DE,$Z$35+1))),"",IF(B507&gt;$D$19,1,VLOOKUP(DATE(YEAR(B507),MONTH(B507)+IF($C$35=$S$23,1,0),1),ÍNDICES!$A:$DE,$Z$35+1))))))</f>
        <v/>
      </c>
      <c r="D507" s="154" t="str">
        <f>IF(ISERROR(IF(OR($D$38=$Y$27,$B507=""),"",VLOOKUP(B507,ÍNDICES!A:DE,AF$35+1))),"",IF(OR($D$38=$Y$27,$B507=""),"",VLOOKUP(B507,ÍNDICES!A:DE,AF$35+1)))</f>
        <v/>
      </c>
      <c r="E507" s="153"/>
      <c r="F507" s="29" t="str">
        <f>IF(E507="","",IF($L$35="SELIC - TRIBUTOS",VLOOKUP(DATE(YEAR($D$19),MONTH($D$19)-1,1),ÍNDICES!$A:$DE,HLOOKUP($BL$25,ÍNDICES!$B$3:$T$4,2)+11)-VLOOKUP(E507,ÍNDICES!$A:$DE,HLOOKUP($BL$25,ÍNDICES!$B$3:$T$4,2)+11)+1%,IF(F$38=$W$26,$J$35,IF(ISERROR(IF(E507&gt;$D$19,1,VLOOKUP(DATE(YEAR(E507),MONTH(E507)+IF($C$35=$S$23,1,0),1),ÍNDICES!$A:$DE,$Z$35+1))),"",IF(E507&gt;$D$19,1,VLOOKUP(DATE(YEAR(E507),MONTH(E507)+IF($C$35=$S$23,1,0),1),ÍNDICES!$A:$DE,$Z$35+1))))))</f>
        <v/>
      </c>
      <c r="G507" s="155"/>
      <c r="H507" s="156" t="str">
        <f t="shared" si="88"/>
        <v/>
      </c>
      <c r="I507" s="29" t="str">
        <f t="shared" si="82"/>
        <v/>
      </c>
      <c r="J507" s="5">
        <f t="shared" si="83"/>
        <v>0</v>
      </c>
      <c r="K507" s="20">
        <f t="shared" ca="1" si="84"/>
        <v>0</v>
      </c>
      <c r="L507" s="5">
        <f t="shared" ca="1" si="85"/>
        <v>0</v>
      </c>
      <c r="M507" s="64">
        <f t="shared" si="89"/>
        <v>0</v>
      </c>
      <c r="N507" s="61">
        <f t="shared" ca="1" si="90"/>
        <v>0</v>
      </c>
      <c r="O507" s="5">
        <f t="shared" ca="1" si="91"/>
        <v>0</v>
      </c>
      <c r="P507" s="446" t="e">
        <f t="shared" si="86"/>
        <v>#VALUE!</v>
      </c>
      <c r="Q507" s="446" t="e">
        <f>IF(OR($B507="",MIN(Q$38,$D$19)&lt;MAX($P$34*($B507+IF($R$17="Distrato",$I$38-1,0)),IF(AND($L$37=0,$P$34=0),"",$L$37-1),IF($R$17="Distrato",$E507,0))),0,YEARFRAC(MAX($P$34*($B507+IF($R$17="Distrato",$I$38-1,0)),IF(AND($L$37=0,$P$34=0),"",$L$37-1),IF($R$17="Distrato",$E507,0)),MIN(Q$38,$D$19),$P$20))-SUM($P507:P507)</f>
        <v>#VALUE!</v>
      </c>
      <c r="R507" s="446" t="e">
        <f>IF(OR($B507="",MIN(R$38,$D$19)&lt;MAX($P$34*($B507+IF($R$17="Distrato",$I$38-1,0)),IF(AND($L$37=0,$P$34=0),"",$L$37-1),IF($R$17="Distrato",$E507,0))),0,YEARFRAC(MAX($P$34*($B507+IF($R$17="Distrato",$I$38-1,0)),IF(AND($L$37=0,$P$34=0),"",$L$37-1),IF($R$17="Distrato",$E507,0)),MIN(R$38,$D$19),$P$20))-SUM($P507:Q507)</f>
        <v>#VALUE!</v>
      </c>
      <c r="S507" s="446" t="e">
        <f>IF(OR($B507="",MIN(S$38,$D$19)&lt;MAX($P$34*($B507+IF($R$17="Distrato",$I$38-1,0)),IF(AND($L$37=0,$P$34=0),"",$L$37-1),IF($R$17="Distrato",$E507,0))),0,YEARFRAC(MAX($P$34*($B507+IF($R$17="Distrato",$I$38-1,0)),IF(AND($L$37=0,$P$34=0),"",$L$37-1),IF($R$17="Distrato",$E507,0)),MIN(S$38,$D$19),$P$20))-SUM($P507:R507)</f>
        <v>#VALUE!</v>
      </c>
      <c r="T507" s="446" t="e">
        <f>IF(OR($B507="",MIN(T$38,$D$19)&lt;MAX($P$34*($B507+IF($R$17="Distrato",$I$38-1,0)),IF(AND($L$37=0,$P$34=0),"",$L$37-1),IF($R$17="Distrato",$E507,0))),0,YEARFRAC(MAX($P$34*($B507+IF($R$17="Distrato",$I$38-1,0)),IF(AND($L$37=0,$P$34=0),"",$L$37-1),IF($R$17="Distrato",$E507,0)),MIN(T$38,$D$19),$P$20))-SUM($P507:S507)</f>
        <v>#VALUE!</v>
      </c>
      <c r="U507" s="446" t="e">
        <f>IF(OR($B507="",MIN(U$38,$D$19)&lt;MAX($P$34*($B507+IF($R$17="Distrato",$I$38-1,0)),IF(AND($L$37=0,$P$34=0),"",$L$37-1),IF($R$17="Distrato",$E507,0))),0,YEARFRAC(MAX($P$34*($B507+IF($R$17="Distrato",$I$38-1,0)),IF(AND($L$37=0,$P$34=0),"",$L$37-1),IF($R$17="Distrato",$E507,0)),MIN(U$38,$D$19),$P$20))-SUM($P507:T507)</f>
        <v>#VALUE!</v>
      </c>
      <c r="V507" s="446" t="e">
        <f>IF(OR($B507="",MIN(V$38,$D$19)&lt;MAX($P$34*($B507+IF($R$17="Distrato",$I$38-1,0)),IF(AND($L$37=0,$P$34=0),"",$L$37-1),IF($R$17="Distrato",$E507,0))),0,YEARFRAC(MAX($P$34*($B507+IF($R$17="Distrato",$I$38-1,0)),IF(AND($L$37=0,$P$34=0),"",$L$37-1),IF($R$17="Distrato",$E507,0)),MIN(V$38,$D$19),$P$20))-SUM($P507:U507)</f>
        <v>#VALUE!</v>
      </c>
      <c r="W507" s="446" t="e">
        <f>IF(OR($B507="",MIN(W$38,$D$19)&lt;MAX($P$34*($B507+IF($R$17="Distrato",$I$38-1,0)),IF(AND($L$37=0,$P$34=0),"",$L$37-1),IF($R$17="Distrato",$E507,0))),0,YEARFRAC(MAX($P$34*($B507+IF($R$17="Distrato",$I$38-1,0)),IF(AND($L$37=0,$P$34=0),"",$L$37-1),IF($R$17="Distrato",$E507,0)),MIN(W$38,$D$19),$P$20))-SUM($P507:V507)</f>
        <v>#VALUE!</v>
      </c>
      <c r="X507" s="446" t="e">
        <f>IF(OR($B507="",MIN(X$38,$D$19)&lt;MAX($P$34*($B507+IF($R$17="Distrato",$I$38-1,0)),IF(AND($L$37=0,$P$34=0),"",$L$37-1),IF($R$17="Distrato",$E507,0))),0,YEARFRAC(MAX($P$34*($B507+IF($R$17="Distrato",$I$38-1,0)),IF(AND($L$37=0,$P$34=0),"",$L$37-1),IF($R$17="Distrato",$E507,0)),MIN(X$38,$D$19),$P$20))-SUM($P507:W507)</f>
        <v>#VALUE!</v>
      </c>
      <c r="Y507" s="446" t="e">
        <f>IF(OR($B507="",MIN(Y$38,$D$19)&lt;MAX($P$34*($B507+IF($R$17="Distrato",$I$38-1,0)),IF(AND($L$37=0,$P$34=0),"",$L$37-1),IF($R$17="Distrato",$E507,0))),0,YEARFRAC(MAX($P$34*($B507+IF($R$17="Distrato",$I$38-1,0)),IF(AND($L$37=0,$P$34=0),"",$L$37-1),IF($R$17="Distrato",$E507,0)),MIN(Y$38,$D$19),$P$20))-SUM($P507:X507)</f>
        <v>#VALUE!</v>
      </c>
      <c r="Z507" s="446" t="e">
        <f>IF(OR($B507="",MIN(Z$38,$D$19)&lt;MAX($P$34*($B507+IF($R$17="Distrato",$I$38-1,0)),IF(AND($L$37=0,$P$34=0),"",$L$37-1),IF($R$17="Distrato",$E507,0))),0,YEARFRAC(MAX($P$34*($B507+IF($R$17="Distrato",$I$38-1,0)),IF(AND($L$37=0,$P$34=0),"",$L$37-1),IF($R$17="Distrato",$E507,0)),MIN(Z$38,$D$19),$P$20))-SUM($P507:Y507)</f>
        <v>#VALUE!</v>
      </c>
      <c r="AA507" s="446" t="e">
        <f>IF(OR($B507="",MIN(AA$38,$D$19)&lt;MAX($P$34*($B507+IF($R$17="Distrato",$I$38-1,0)),IF(AND($L$37=0,$P$34=0),"",$L$37-1),IF($R$17="Distrato",$E507,0))),0,YEARFRAC(MAX($P$34*($B507+IF($R$17="Distrato",$I$38-1,0)),IF(AND($L$37=0,$P$34=0),"",$L$37-1),IF($R$17="Distrato",$E507,0)),MIN(AA$38,$D$19),$P$20))-SUM($P507:Z507)</f>
        <v>#VALUE!</v>
      </c>
      <c r="AB507" s="446" t="e">
        <f>IF(OR($B507="",MIN(AB$38,$D$19)&lt;MAX($P$34*($B507+IF($R$17="Distrato",$I$38-1,0)),IF(AND($L$37=0,$P$34=0),"",$L$37-1),IF($R$17="Distrato",$E507,0))),0,YEARFRAC(MAX($P$34*($B507+IF($R$17="Distrato",$I$38-1,0)),IF(AND($L$37=0,$P$34=0),"",$L$37-1),IF($R$17="Distrato",$E507,0)),MIN(AB$38,$D$19),$P$20))-SUM($P507:AA507)</f>
        <v>#VALUE!</v>
      </c>
      <c r="AC507" s="446" t="e">
        <f>IF(OR($B507="",MIN(AC$38,$D$19)&lt;MAX($P$34*($B507+IF($R$17="Distrato",$I$38-1,0)),IF(AND($L$37=0,$P$34=0),"",$L$37-1),IF($R$17="Distrato",$E507,0))),0,YEARFRAC(MAX($P$34*($B507+IF($R$17="Distrato",$I$38-1,0)),IF(AND($L$37=0,$P$34=0),"",$L$37-1),IF($R$17="Distrato",$E507,0)),MIN(AC$38,$D$19),$P$20))-SUM($P507:AB507)</f>
        <v>#VALUE!</v>
      </c>
      <c r="AD507" s="446" t="e">
        <f>IF(OR($B507="",MIN(AD$38,$D$19)&lt;MAX($P$34*($B507+IF($R$17="Distrato",$I$38-1,0)),IF(AND($L$37=0,$P$34=0),"",$L$37-1),IF($R$17="Distrato",$E507,0))),0,YEARFRAC(MAX($P$34*($B507+IF($R$17="Distrato",$I$38-1,0)),IF(AND($L$37=0,$P$34=0),"",$L$37-1),IF($R$17="Distrato",$E507,0)),MIN(AD$38,$D$19),$P$20))-SUM($P507:AC507)</f>
        <v>#VALUE!</v>
      </c>
      <c r="AE507" s="446" t="e">
        <f>IF(OR($B507="",MIN(AE$38,$D$19)&lt;MAX($P$34*($B507+IF($R$17="Distrato",$I$38-1,0)),IF(AND($L$37=0,$P$34=0),"",$L$37-1),IF($R$17="Distrato",$E507,0))),0,YEARFRAC(MAX($P$34*($B507+IF($R$17="Distrato",$I$38-1,0)),IF(AND($L$37=0,$P$34=0),"",$L$37-1),IF($R$17="Distrato",$E507,0)),MIN(AE$38,$D$19),$P$20))-SUM($P507:AD507)</f>
        <v>#VALUE!</v>
      </c>
      <c r="AF507" s="446" t="e">
        <f>IF(OR($B507="",MIN(AF$38,$D$19)&lt;MAX($P$34*($B507+IF($R$17="Distrato",$I$38-1,0)),IF(AND($L$37=0,$P$34=0),"",$L$37-1),IF($R$17="Distrato",$E507,0))),0,YEARFRAC(MAX($P$34*($B507+IF($R$17="Distrato",$I$38-1,0)),IF(AND($L$37=0,$P$34=0),"",$L$37-1),IF($R$17="Distrato",$E507,0)),MIN(AF$38,$D$19),$P$20))-SUM($P507:AE507)</f>
        <v>#VALUE!</v>
      </c>
      <c r="AG507" s="446" t="e">
        <f>IF(OR($B507="",MIN(AG$38,$D$19)&lt;MAX($P$34*($B507+IF($R$17="Distrato",$I$38-1,0)),IF(AND($L$37=0,$P$34=0),"",$L$37-1),IF($R$17="Distrato",$E507,0))),0,YEARFRAC(MAX($P$34*($B507+IF($R$17="Distrato",$I$38-1,0)),IF(AND($L$37=0,$P$34=0),"",$L$37-1),IF($R$17="Distrato",$E507,0)),MIN(AG$38,$D$19),$P$20))-SUM($P507:AF507)</f>
        <v>#VALUE!</v>
      </c>
      <c r="AH507" s="446" t="e">
        <f>IF(OR($B507="",MIN(AH$38,$D$19)&lt;MAX($P$34*($B507+IF($R$17="Distrato",$I$38-1,0)),IF(AND($L$37=0,$P$34=0),"",$L$37-1),IF($R$17="Distrato",$E507,0))),0,YEARFRAC(MAX($P$34*($B507+IF($R$17="Distrato",$I$38-1,0)),IF(AND($L$37=0,$P$34=0),"",$L$37-1),IF($R$17="Distrato",$E507,0)),MIN(AH$38,$D$19),$P$20))-SUM($P507:AG507)</f>
        <v>#VALUE!</v>
      </c>
      <c r="AI507" s="446" t="e">
        <f>IF(OR($B507="",MIN(AI$38,$D$19)&lt;MAX($P$34*($B507+IF($R$17="Distrato",$I$38-1,0)),IF(AND($L$37=0,$P$34=0),"",$L$37-1),IF($R$17="Distrato",$E507,0))),0,YEARFRAC(MAX($P$34*($B507+IF($R$17="Distrato",$I$38-1,0)),IF(AND($L$37=0,$P$34=0),"",$L$37-1),IF($R$17="Distrato",$E507,0)),MIN(AI$38,$D$19),$P$20))-SUM($P507:AH507)</f>
        <v>#VALUE!</v>
      </c>
      <c r="AJ507" s="446" t="e">
        <f>IF(OR($B507="",MIN(AJ$38,$D$19)&lt;MAX($P$34*($B507+IF($R$17="Distrato",$I$38-1,0)),IF(AND($L$37=0,$P$34=0),"",$L$37-1),IF($R$17="Distrato",$E507,0))),0,YEARFRAC(MAX($P$34*($B507+IF($R$17="Distrato",$I$38-1,0)),IF(AND($L$37=0,$P$34=0),"",$L$37-1),IF($R$17="Distrato",$E507,0)),MIN(AJ$38,$D$19),$P$20))-SUM($P507:AI507)</f>
        <v>#VALUE!</v>
      </c>
      <c r="AK507" s="446" t="e">
        <f>IF(OR($B507="",MIN(AK$38,$D$19)&lt;MAX($P$34*($B507+IF($R$17="Distrato",$I$38-1,0)),IF(AND($L$37=0,$P$34=0),"",$L$37-1),IF($R$17="Distrato",$E507,0))),0,YEARFRAC(MAX($P$34*($B507+IF($R$17="Distrato",$I$38-1,0)),IF(AND($L$37=0,$P$34=0),"",$L$37-1),IF($R$17="Distrato",$E507,0)),MIN(AK$38,$D$19),$P$20))-SUM($P507:AJ507)</f>
        <v>#VALUE!</v>
      </c>
      <c r="AL507" s="446" t="e">
        <f>IF(OR($B507="",MIN(AL$38,$D$19)&lt;MAX($P$34*($B507+IF($R$17="Distrato",$I$38-1,0)),IF(AND($L$37=0,$P$34=0),"",$L$37-1),IF($R$17="Distrato",$E507,0))),0,YEARFRAC(MAX($P$34*($B507+IF($R$17="Distrato",$I$38-1,0)),IF(AND($L$37=0,$P$34=0),"",$L$37-1),IF($R$17="Distrato",$E507,0)),MIN(AL$38,$D$19),$P$20))-SUM($P507:AK507)</f>
        <v>#VALUE!</v>
      </c>
      <c r="AM507" s="446" t="e">
        <f>IF(OR($B507="",MIN(AM$38,$D$19)&lt;MAX($P$34*($B507+IF($R$17="Distrato",$I$38-1,0)),IF(AND($L$37=0,$P$34=0),"",$L$37-1),IF($R$17="Distrato",$E507,0))),0,YEARFRAC(MAX($P$34*($B507+IF($R$17="Distrato",$I$38-1,0)),IF(AND($L$37=0,$P$34=0),"",$L$37-1),IF($R$17="Distrato",$E507,0)),MIN(AM$38,$D$19),$P$20))-SUM($P507:AL507)</f>
        <v>#VALUE!</v>
      </c>
      <c r="AN507" s="446" t="e">
        <f>IF(OR($B507="",MIN(AN$38,$D$19)&lt;MAX($P$34*($B507+IF($R$17="Distrato",$I$38-1,0)),IF(AND($L$37=0,$P$34=0),"",$L$37-1),IF($R$17="Distrato",$E507,0))),0,YEARFRAC(MAX($P$34*($B507+IF($R$17="Distrato",$I$38-1,0)),IF(AND($L$37=0,$P$34=0),"",$L$37-1),IF($R$17="Distrato",$E507,0)),MIN(AN$38,$D$19),$P$20))-SUM($P507:AM507)</f>
        <v>#VALUE!</v>
      </c>
      <c r="AO507" s="446" t="e">
        <f>IF(OR($B507="",MIN(AO$38,$D$19)&lt;MAX($P$34*($B507+IF($R$17="Distrato",$I$38-1,0)),IF(AND($L$37=0,$P$34=0),"",$L$37-1),IF($R$17="Distrato",$E507,0))),0,YEARFRAC(MAX($P$34*($B507+IF($R$17="Distrato",$I$38-1,0)),IF(AND($L$37=0,$P$34=0),"",$L$37-1),IF($R$17="Distrato",$E507,0)),MIN(AO$38,$D$19),$P$20))-SUM($P507:AN507)</f>
        <v>#VALUE!</v>
      </c>
      <c r="AP507" s="446" t="e">
        <f>IF(OR($B507="",MIN(AP$38,$D$19)&lt;MAX($P$34*($B507+IF($R$17="Distrato",$I$38-1,0)),IF(AND($L$37=0,$P$34=0),"",$L$37-1),IF($R$17="Distrato",$E507,0))),0,YEARFRAC(MAX($P$34*($B507+IF($R$17="Distrato",$I$38-1,0)),IF(AND($L$37=0,$P$34=0),"",$L$37-1),IF($R$17="Distrato",$E507,0)),MIN(AP$38,$D$19),$P$20))-SUM($P507:AO507)</f>
        <v>#VALUE!</v>
      </c>
      <c r="AQ507" s="446" t="e">
        <f>IF(OR($B507="",MIN(AQ$38,$D$19)&lt;MAX($P$34*($B507+IF($R$17="Distrato",$I$38-1,0)),IF(AND($L$37=0,$P$34=0),"",$L$37-1),IF($R$17="Distrato",$E507,0))),0,YEARFRAC(MAX($P$34*($B507+IF($R$17="Distrato",$I$38-1,0)),IF(AND($L$37=0,$P$34=0),"",$L$37-1),IF($R$17="Distrato",$E507,0)),MIN(AQ$38,$D$19),$P$20))-SUM($P507:AP507)</f>
        <v>#VALUE!</v>
      </c>
      <c r="AR507" s="446" t="e">
        <f>IF(OR($B507="",MIN(AR$38,$D$19)&lt;MAX($P$34*($B507+IF($R$17="Distrato",$I$38-1,0)),IF(AND($L$37=0,$P$34=0),"",$L$37-1),IF($R$17="Distrato",$E507,0))),0,YEARFRAC(MAX($P$34*($B507+IF($R$17="Distrato",$I$38-1,0)),IF(AND($L$37=0,$P$34=0),"",$L$37-1),IF($R$17="Distrato",$E507,0)),MIN(AR$38,$D$19),$P$20))-SUM($P507:AQ507)</f>
        <v>#VALUE!</v>
      </c>
      <c r="AS507" s="446" t="e">
        <f>IF(OR($B507="",MIN(AS$38,$D$19)&lt;MAX($P$34*($B507+IF($R$17="Distrato",$I$38-1,0)),IF(AND($L$37=0,$P$34=0),"",$L$37-1),IF($R$17="Distrato",$E507,0))),0,YEARFRAC(MAX($P$34*($B507+IF($R$17="Distrato",$I$38-1,0)),IF(AND($L$37=0,$P$34=0),"",$L$37-1),IF($R$17="Distrato",$E507,0)),MIN(AS$38,$D$19),$P$20))-SUM($P507:AR507)</f>
        <v>#VALUE!</v>
      </c>
      <c r="AT507" s="446" t="e">
        <f>IF(OR($B507="",MIN(AT$38,$D$19)&lt;MAX($P$34*($B507+IF($R$17="Distrato",$I$38-1,0)),IF(AND($L$37=0,$P$34=0),"",$L$37-1),IF($R$17="Distrato",$E507,0))),0,YEARFRAC(MAX($P$34*($B507+IF($R$17="Distrato",$I$38-1,0)),IF(AND($L$37=0,$P$34=0),"",$L$37-1),IF($R$17="Distrato",$E507,0)),MIN(AT$38,$D$19),$P$20))-SUM($P507:AS507)</f>
        <v>#VALUE!</v>
      </c>
      <c r="AU507" s="446" t="e">
        <f>IF(OR($B507="",MIN(AU$38,$D$19)&lt;MAX($P$34*($B507+IF($R$17="Distrato",$I$38-1,0)),IF(AND($L$37=0,$P$34=0),"",$L$37-1),IF($R$17="Distrato",$E507,0))),0,YEARFRAC(MAX($P$34*($B507+IF($R$17="Distrato",$I$38-1,0)),IF(AND($L$37=0,$P$34=0),"",$L$37-1),IF($R$17="Distrato",$E507,0)),MIN(AU$38,$D$19),$P$20))-SUM($P507:AT507)</f>
        <v>#VALUE!</v>
      </c>
      <c r="AV507" s="446" t="e">
        <f>IF(OR($B507="",MIN(AV$38,$D$19)&lt;MAX($P$34*($B507+IF($R$17="Distrato",$I$38-1,0)),IF(AND($L$37=0,$P$34=0),"",$L$37-1),IF($R$17="Distrato",$E507,0))),0,YEARFRAC(MAX($P$34*($B507+IF($R$17="Distrato",$I$38-1,0)),IF(AND($L$37=0,$P$34=0),"",$L$37-1),IF($R$17="Distrato",$E507,0)),MIN(AV$38,$D$19),$P$20))-SUM($P507:AU507)</f>
        <v>#VALUE!</v>
      </c>
      <c r="AW507" s="446" t="e">
        <f>IF(OR($B507="",MIN(AW$38,$D$19)&lt;MAX($P$34*($B507+IF($R$17="Distrato",$I$38-1,0)),IF(AND($L$37=0,$P$34=0),"",$L$37-1),IF($R$17="Distrato",$E507,0))),0,YEARFRAC(MAX($P$34*($B507+IF($R$17="Distrato",$I$38-1,0)),IF(AND($L$37=0,$P$34=0),"",$L$37-1),IF($R$17="Distrato",$E507,0)),MIN(AW$38,$D$19),$P$20))-SUM($P507:AV507)</f>
        <v>#VALUE!</v>
      </c>
      <c r="AX507" s="446" t="e">
        <f>IF(OR($B507="",MIN(AX$38,$D$19)&lt;MAX($P$34*($B507+IF($R$17="Distrato",$I$38-1,0)),IF(AND($L$37=0,$P$34=0),"",$L$37-1),IF($R$17="Distrato",$E507,0))),0,YEARFRAC(MAX($P$34*($B507+IF($R$17="Distrato",$I$38-1,0)),IF(AND($L$37=0,$P$34=0),"",$L$37-1),IF($R$17="Distrato",$E507,0)),MIN(AX$38,$D$19),$P$20))-SUM($P507:AW507)</f>
        <v>#VALUE!</v>
      </c>
      <c r="AY507" s="446" t="e">
        <f>IF(OR($B507="",MIN(AY$38,$D$19)&lt;MAX($P$34*($B507+IF($R$17="Distrato",$I$38-1,0)),IF(AND($L$37=0,$P$34=0),"",$L$37-1),IF($R$17="Distrato",$E507,0))),0,YEARFRAC(MAX($P$34*($B507+IF($R$17="Distrato",$I$38-1,0)),IF(AND($L$37=0,$P$34=0),"",$L$37-1),IF($R$17="Distrato",$E507,0)),MIN(AY$38,$D$19),$P$20))-SUM($P507:AX507)</f>
        <v>#VALUE!</v>
      </c>
      <c r="AZ507" s="446" t="e">
        <f>IF(OR($B507="",MIN(AZ$38,$D$19)&lt;MAX($P$34*($B507+IF($R$17="Distrato",$I$38-1,0)),IF(AND($L$37=0,$P$34=0),"",$L$37-1),IF($R$17="Distrato",$E507,0))),0,YEARFRAC(MAX($P$34*($B507+IF($R$17="Distrato",$I$38-1,0)),IF(AND($L$37=0,$P$34=0),"",$L$37-1),IF($R$17="Distrato",$E507,0)),MIN(AZ$38,$D$19),$P$20))-SUM($P507:AY507)</f>
        <v>#VALUE!</v>
      </c>
      <c r="BA507" s="446" t="e">
        <f>IF(OR($B507="",MIN(BA$38,$D$19)&lt;MAX($P$34*($B507+IF($R$17="Distrato",$I$38-1,0)),IF(AND($L$37=0,$P$34=0),"",$L$37-1),IF($R$17="Distrato",$E507,0))),0,YEARFRAC(MAX($P$34*($B507+IF($R$17="Distrato",$I$38-1,0)),IF(AND($L$37=0,$P$34=0),"",$L$37-1),IF($R$17="Distrato",$E507,0)),MIN(BA$38,$D$19),$P$20))-SUM($P507:AZ507)</f>
        <v>#VALUE!</v>
      </c>
      <c r="BB507" s="447"/>
      <c r="BF507" s="446">
        <f t="shared" si="87"/>
        <v>0</v>
      </c>
      <c r="BG507" s="446">
        <f>IF($E507=0,0,IF(MIN(BG$38,$E507)&lt;MAX($P$34*($B507+$I$38-1),IF(AND($L$37=0,$P$34=0),"",$L$37-1)),0,YEARFRAC(MAX($P$34*($B507+$I$38-1),IF(AND($L$37=0,$P$34=0),"",$L$37-1)),MIN(BG$38,$E507),$P$20))-SUM($BF507:BF507))</f>
        <v>0</v>
      </c>
      <c r="BH507" s="446">
        <f>IF($E507=0,0,IF(MIN(BH$38,$E507)&lt;MAX($P$34*($B507+$I$38-1),IF(AND($L$37=0,$P$34=0),"",$L$37-1)),0,YEARFRAC(MAX($P$34*($B507+$I$38-1),IF(AND($L$37=0,$P$34=0),"",$L$37-1)),MIN(BH$38,$E507),$P$20))-SUM($BF507:BG507))</f>
        <v>0</v>
      </c>
      <c r="BI507" s="446">
        <f>IF($E507=0,0,IF(MIN(BI$38,$E507)&lt;MAX($P$34*($B507+$I$38-1),IF(AND($L$37=0,$P$34=0),"",$L$37-1)),0,YEARFRAC(MAX($P$34*($B507+$I$38-1),IF(AND($L$37=0,$P$34=0),"",$L$37-1)),MIN(BI$38,$E507),$P$20))-SUM($BF507:BH507))</f>
        <v>0</v>
      </c>
      <c r="BJ507" s="446">
        <f>IF($E507=0,0,IF(MIN(BJ$38,$E507)&lt;MAX($P$34*($B507+$I$38-1),IF(AND($L$37=0,$P$34=0),"",$L$37-1)),0,YEARFRAC(MAX($P$34*($B507+$I$38-1),IF(AND($L$37=0,$P$34=0),"",$L$37-1)),MIN(BJ$38,$E507),$P$20))-SUM($BF507:BI507))</f>
        <v>0</v>
      </c>
      <c r="BK507" s="446">
        <f>IF($E507=0,0,IF(MIN(BK$38,$E507)&lt;MAX($P$34*($B507+$I$38-1),IF(AND($L$37=0,$P$34=0),"",$L$37-1)),0,YEARFRAC(MAX($P$34*($B507+$I$38-1),IF(AND($L$37=0,$P$34=0),"",$L$37-1)),MIN(BK$38,$E507),$P$20))-SUM($BF507:BJ507))</f>
        <v>0</v>
      </c>
      <c r="BL507" s="446">
        <f>IF($E507=0,0,IF(MIN(BL$38,$E507)&lt;MAX($P$34*($B507+$I$38-1),IF(AND($L$37=0,$P$34=0),"",$L$37-1)),0,YEARFRAC(MAX($P$34*($B507+$I$38-1),IF(AND($L$37=0,$P$34=0),"",$L$37-1)),MIN(BL$38,$E507),$P$20))-SUM($BF507:BK507))</f>
        <v>0</v>
      </c>
      <c r="BM507" s="446">
        <f>IF($E507=0,0,IF(MIN(BM$38,$E507)&lt;MAX($P$34*($B507+$I$38-1),IF(AND($L$37=0,$P$34=0),"",$L$37-1)),0,YEARFRAC(MAX($P$34*($B507+$I$38-1),IF(AND($L$37=0,$P$34=0),"",$L$37-1)),MIN(BM$38,$E507),$P$20))-SUM($BF507:BL507))</f>
        <v>0</v>
      </c>
      <c r="BN507" s="446">
        <f>IF($E507=0,0,IF(MIN(BN$38,$E507)&lt;MAX($P$34*($B507+$I$38-1),IF(AND($L$37=0,$P$34=0),"",$L$37-1)),0,YEARFRAC(MAX($P$34*($B507+$I$38-1),IF(AND($L$37=0,$P$34=0),"",$L$37-1)),MIN(BN$38,$E507),$P$20))-SUM($BF507:BM507))</f>
        <v>0</v>
      </c>
      <c r="BO507" s="446">
        <f>IF($E507=0,0,IF(MIN(BO$38,$E507)&lt;MAX($P$34*($B507+$I$38-1),IF(AND($L$37=0,$P$34=0),"",$L$37-1)),0,YEARFRAC(MAX($P$34*($B507+$I$38-1),IF(AND($L$37=0,$P$34=0),"",$L$37-1)),MIN(BO$38,$E507),$P$20))-SUM($BF507:BN507))</f>
        <v>0</v>
      </c>
      <c r="BP507" s="446">
        <f>IF($E507=0,0,IF(MIN(BP$38,$E507)&lt;MAX($P$34*($B507+$I$38-1),IF(AND($L$37=0,$P$34=0),"",$L$37-1)),0,YEARFRAC(MAX($P$34*($B507+$I$38-1),IF(AND($L$37=0,$P$34=0),"",$L$37-1)),MIN(BP$38,$E507),$P$20))-SUM($BF507:BO507))</f>
        <v>0</v>
      </c>
      <c r="BQ507" s="446">
        <f>IF($E507=0,0,IF(MIN(BQ$38,$E507)&lt;MAX($P$34*($B507+$I$38-1),IF(AND($L$37=0,$P$34=0),"",$L$37-1)),0,YEARFRAC(MAX($P$34*($B507+$I$38-1),IF(AND($L$37=0,$P$34=0),"",$L$37-1)),MIN(BQ$38,$E507),$P$20))-SUM($BF507:BP507))</f>
        <v>0</v>
      </c>
      <c r="BR507" s="446">
        <f>IF($E507=0,0,IF(MIN(BR$38,$E507)&lt;MAX($P$34*($B507+$I$38-1),IF(AND($L$37=0,$P$34=0),"",$L$37-1)),0,YEARFRAC(MAX($P$34*($B507+$I$38-1),IF(AND($L$37=0,$P$34=0),"",$L$37-1)),MIN(BR$38,$E507),$P$20))-SUM($BF507:BQ507))</f>
        <v>0</v>
      </c>
      <c r="BS507" s="446">
        <f>IF($E507=0,0,IF(MIN(BS$38,$E507)&lt;MAX($P$34*($B507+$I$38-1),IF(AND($L$37=0,$P$34=0),"",$L$37-1)),0,YEARFRAC(MAX($P$34*($B507+$I$38-1),IF(AND($L$37=0,$P$34=0),"",$L$37-1)),MIN(BS$38,$E507),$P$20))-SUM($BF507:BR507))</f>
        <v>0</v>
      </c>
      <c r="BT507" s="446">
        <f>IF($E507=0,0,IF(MIN(BT$38,$E507)&lt;MAX($P$34*($B507+$I$38-1),IF(AND($L$37=0,$P$34=0),"",$L$37-1)),0,YEARFRAC(MAX($P$34*($B507+$I$38-1),IF(AND($L$37=0,$P$34=0),"",$L$37-1)),MIN(BT$38,$E507),$P$20))-SUM($BF507:BS507))</f>
        <v>0</v>
      </c>
      <c r="BU507" s="446">
        <f>IF($E507=0,0,IF(MIN(BU$38,$E507)&lt;MAX($P$34*($B507+$I$38-1),IF(AND($L$37=0,$P$34=0),"",$L$37-1)),0,YEARFRAC(MAX($P$34*($B507+$I$38-1),IF(AND($L$37=0,$P$34=0),"",$L$37-1)),MIN(BU$38,$E507),$P$20))-SUM($BF507:BT507))</f>
        <v>0</v>
      </c>
      <c r="BV507" s="446">
        <f>IF($E507=0,0,IF(MIN(BV$38,$E507)&lt;MAX($P$34*($B507+$I$38-1),IF(AND($L$37=0,$P$34=0),"",$L$37-1)),0,YEARFRAC(MAX($P$34*($B507+$I$38-1),IF(AND($L$37=0,$P$34=0),"",$L$37-1)),MIN(BV$38,$E507),$P$20))-SUM($BF507:BU507))</f>
        <v>0</v>
      </c>
      <c r="BW507" s="446">
        <f>IF($E507=0,0,IF(MIN(BW$38,$E507)&lt;MAX($P$34*($B507+$I$38-1),IF(AND($L$37=0,$P$34=0),"",$L$37-1)),0,YEARFRAC(MAX($P$34*($B507+$I$38-1),IF(AND($L$37=0,$P$34=0),"",$L$37-1)),MIN(BW$38,$E507),$P$20))-SUM($BF507:BV507))</f>
        <v>0</v>
      </c>
      <c r="BX507" s="446">
        <f>IF($E507=0,0,IF(MIN(BX$38,$E507)&lt;MAX($P$34*($B507+$I$38-1),IF(AND($L$37=0,$P$34=0),"",$L$37-1)),0,YEARFRAC(MAX($P$34*($B507+$I$38-1),IF(AND($L$37=0,$P$34=0),"",$L$37-1)),MIN(BX$38,$E507),$P$20))-SUM($BF507:BW507))</f>
        <v>0</v>
      </c>
      <c r="BY507" s="446">
        <f>IF($E507=0,0,IF(MIN(BY$38,$E507)&lt;MAX($P$34*($B507+$I$38-1),IF(AND($L$37=0,$P$34=0),"",$L$37-1)),0,YEARFRAC(MAX($P$34*($B507+$I$38-1),IF(AND($L$37=0,$P$34=0),"",$L$37-1)),MIN(BY$38,$E507),$P$20))-SUM($BF507:BX507))</f>
        <v>0</v>
      </c>
      <c r="BZ507" s="446">
        <f>IF($E507=0,0,IF(MIN(BZ$38,$E507)&lt;MAX($P$34*($B507+$I$38-1),IF(AND($L$37=0,$P$34=0),"",$L$37-1)),0,YEARFRAC(MAX($P$34*($B507+$I$38-1),IF(AND($L$37=0,$P$34=0),"",$L$37-1)),MIN(BZ$38,$E507),$P$20))-SUM($BF507:BY507))</f>
        <v>0</v>
      </c>
      <c r="CA507" s="446">
        <f>IF($E507=0,0,IF(MIN(CA$38,$E507)&lt;MAX($P$34*($B507+$I$38-1),IF(AND($L$37=0,$P$34=0),"",$L$37-1)),0,YEARFRAC(MAX($P$34*($B507+$I$38-1),IF(AND($L$37=0,$P$34=0),"",$L$37-1)),MIN(CA$38,$E507),$P$20))-SUM($BF507:BZ507))</f>
        <v>0</v>
      </c>
      <c r="CB507" s="446">
        <f>IF($E507=0,0,IF(MIN(CB$38,$E507)&lt;MAX($P$34*($B507+$I$38-1),IF(AND($L$37=0,$P$34=0),"",$L$37-1)),0,YEARFRAC(MAX($P$34*($B507+$I$38-1),IF(AND($L$37=0,$P$34=0),"",$L$37-1)),MIN(CB$38,$E507),$P$20))-SUM($BF507:CA507))</f>
        <v>0</v>
      </c>
      <c r="CC507" s="446">
        <f>IF($E507=0,0,IF(MIN(CC$38,$E507)&lt;MAX($P$34*($B507+$I$38-1),IF(AND($L$37=0,$P$34=0),"",$L$37-1)),0,YEARFRAC(MAX($P$34*($B507+$I$38-1),IF(AND($L$37=0,$P$34=0),"",$L$37-1)),MIN(CC$38,$E507),$P$20))-SUM($BF507:CB507))</f>
        <v>0</v>
      </c>
      <c r="CD507" s="446">
        <f>IF($E507=0,0,IF(MIN(CD$38,$E507)&lt;MAX($P$34*($B507+$I$38-1),IF(AND($L$37=0,$P$34=0),"",$L$37-1)),0,YEARFRAC(MAX($P$34*($B507+$I$38-1),IF(AND($L$37=0,$P$34=0),"",$L$37-1)),MIN(CD$38,$E507),$P$20))-SUM($BF507:CC507))</f>
        <v>0</v>
      </c>
      <c r="CE507" s="446">
        <f>IF($E507=0,0,IF(MIN(CE$38,$E507)&lt;MAX($P$34*($B507+$I$38-1),IF(AND($L$37=0,$P$34=0),"",$L$37-1)),0,YEARFRAC(MAX($P$34*($B507+$I$38-1),IF(AND($L$37=0,$P$34=0),"",$L$37-1)),MIN(CE$38,$E507),$P$20))-SUM($BF507:CD507))</f>
        <v>0</v>
      </c>
      <c r="CF507" s="446">
        <f>IF($E507=0,0,IF(MIN(CF$38,$E507)&lt;MAX($P$34*($B507+$I$38-1),IF(AND($L$37=0,$P$34=0),"",$L$37-1)),0,YEARFRAC(MAX($P$34*($B507+$I$38-1),IF(AND($L$37=0,$P$34=0),"",$L$37-1)),MIN(CF$38,$E507),$P$20))-SUM($BF507:CE507))</f>
        <v>0</v>
      </c>
      <c r="CG507" s="446">
        <f>IF($E507=0,0,IF(MIN(CG$38,$E507)&lt;MAX($P$34*($B507+$I$38-1),IF(AND($L$37=0,$P$34=0),"",$L$37-1)),0,YEARFRAC(MAX($P$34*($B507+$I$38-1),IF(AND($L$37=0,$P$34=0),"",$L$37-1)),MIN(CG$38,$E507),$P$20))-SUM($BF507:CF507))</f>
        <v>0</v>
      </c>
      <c r="CH507" s="446">
        <f>IF($E507=0,0,IF(MIN(CH$38,$E507)&lt;MAX($P$34*($B507+$I$38-1),IF(AND($L$37=0,$P$34=0),"",$L$37-1)),0,YEARFRAC(MAX($P$34*($B507+$I$38-1),IF(AND($L$37=0,$P$34=0),"",$L$37-1)),MIN(CH$38,$E507),$P$20))-SUM($BF507:CG507))</f>
        <v>0</v>
      </c>
      <c r="CI507" s="446">
        <f>IF($E507=0,0,IF(MIN(CI$38,$E507)&lt;MAX($P$34*($B507+$I$38-1),IF(AND($L$37=0,$P$34=0),"",$L$37-1)),0,YEARFRAC(MAX($P$34*($B507+$I$38-1),IF(AND($L$37=0,$P$34=0),"",$L$37-1)),MIN(CI$38,$E507),$P$20))-SUM($BF507:CH507))</f>
        <v>0</v>
      </c>
      <c r="CJ507" s="446">
        <f>IF($E507=0,0,IF(MIN(CJ$38,$E507)&lt;MAX($P$34*($B507+$I$38-1),IF(AND($L$37=0,$P$34=0),"",$L$37-1)),0,YEARFRAC(MAX($P$34*($B507+$I$38-1),IF(AND($L$37=0,$P$34=0),"",$L$37-1)),MIN(CJ$38,$E507),$P$20))-SUM($BF507:CI507))</f>
        <v>0</v>
      </c>
      <c r="CK507" s="446">
        <f>IF($E507=0,0,IF(MIN(CK$38,$E507)&lt;MAX($P$34*($B507+$I$38-1),IF(AND($L$37=0,$P$34=0),"",$L$37-1)),0,YEARFRAC(MAX($P$34*($B507+$I$38-1),IF(AND($L$37=0,$P$34=0),"",$L$37-1)),MIN(CK$38,$E507),$P$20))-SUM($BF507:CJ507))</f>
        <v>0</v>
      </c>
      <c r="CL507" s="446">
        <f>IF($E507=0,0,IF(MIN(CL$38,$E507)&lt;MAX($P$34*($B507+$I$38-1),IF(AND($L$37=0,$P$34=0),"",$L$37-1)),0,YEARFRAC(MAX($P$34*($B507+$I$38-1),IF(AND($L$37=0,$P$34=0),"",$L$37-1)),MIN(CL$38,$E507),$P$20))-SUM($BF507:CK507))</f>
        <v>0</v>
      </c>
      <c r="CM507" s="446">
        <f>IF($E507=0,0,IF(MIN(CM$38,$E507)&lt;MAX($P$34*($B507+$I$38-1),IF(AND($L$37=0,$P$34=0),"",$L$37-1)),0,YEARFRAC(MAX($P$34*($B507+$I$38-1),IF(AND($L$37=0,$P$34=0),"",$L$37-1)),MIN(CM$38,$E507),$P$20))-SUM($BF507:CL507))</f>
        <v>0</v>
      </c>
      <c r="CN507" s="446">
        <f>IF($E507=0,0,IF(MIN(CN$38,$E507)&lt;MAX($P$34*($B507+$I$38-1),IF(AND($L$37=0,$P$34=0),"",$L$37-1)),0,YEARFRAC(MAX($P$34*($B507+$I$38-1),IF(AND($L$37=0,$P$34=0),"",$L$37-1)),MIN(CN$38,$E507),$P$20))-SUM($BF507:CM507))</f>
        <v>0</v>
      </c>
      <c r="CO507" s="446">
        <f>IF($E507=0,0,IF(MIN(CO$38,$E507)&lt;MAX($P$34*($B507+$I$38-1),IF(AND($L$37=0,$P$34=0),"",$L$37-1)),0,YEARFRAC(MAX($P$34*($B507+$I$38-1),IF(AND($L$37=0,$P$34=0),"",$L$37-1)),MIN(CO$38,$E507),$P$20))-SUM($BF507:CN507))</f>
        <v>0</v>
      </c>
      <c r="CP507" s="446">
        <f>IF($E507=0,0,IF(MIN(CP$38,$E507)&lt;MAX($P$34*($B507+$I$38-1),IF(AND($L$37=0,$P$34=0),"",$L$37-1)),0,YEARFRAC(MAX($P$34*($B507+$I$38-1),IF(AND($L$37=0,$P$34=0),"",$L$37-1)),MIN(CP$38,$E507),$P$20))-SUM($BF507:CO507))</f>
        <v>0</v>
      </c>
      <c r="CQ507" s="446">
        <f>IF($E507=0,0,IF(MIN(CQ$38,$E507)&lt;MAX($P$34*($B507+$I$38-1),IF(AND($L$37=0,$P$34=0),"",$L$37-1)),0,YEARFRAC(MAX($P$34*($B507+$I$38-1),IF(AND($L$37=0,$P$34=0),"",$L$37-1)),MIN(CQ$38,$E507),$P$20))-SUM($BF507:CP507))</f>
        <v>0</v>
      </c>
    </row>
    <row r="508" spans="1:95" s="446" customFormat="1" ht="11.25" hidden="1" customHeight="1" x14ac:dyDescent="0.2">
      <c r="A508" s="152"/>
      <c r="B508" s="153" t="str">
        <f t="shared" si="92"/>
        <v/>
      </c>
      <c r="C508" s="29" t="str">
        <f>IF(B508="","",IF($L$35="SELIC - TRIBUTOS",VLOOKUP(DATE(YEAR($D$19),MONTH($D$19)-1,1),ÍNDICES!$A:$DE,HLOOKUP($BL$25,ÍNDICES!$B$3:$T$4,2)+11)-VLOOKUP(B508,ÍNDICES!$A:$DE,HLOOKUP($BL$25,ÍNDICES!$B$3:$T$4,2)+11)+1%,IF(C$38=$W$26,$J$35,IF(ISERROR(IF(B508&gt;$D$19,1,VLOOKUP(DATE(YEAR(B508),MONTH(B508)+IF($C$35=$S$23,1,0),1),ÍNDICES!$A:$DE,$Z$35+1))),"",IF(B508&gt;$D$19,1,VLOOKUP(DATE(YEAR(B508),MONTH(B508)+IF($C$35=$S$23,1,0),1),ÍNDICES!$A:$DE,$Z$35+1))))))</f>
        <v/>
      </c>
      <c r="D508" s="154" t="str">
        <f>IF(ISERROR(IF(OR($D$38=$Y$27,$B508=""),"",VLOOKUP(B508,ÍNDICES!A:DE,AF$35+1))),"",IF(OR($D$38=$Y$27,$B508=""),"",VLOOKUP(B508,ÍNDICES!A:DE,AF$35+1)))</f>
        <v/>
      </c>
      <c r="E508" s="153"/>
      <c r="F508" s="29" t="str">
        <f>IF(E508="","",IF($L$35="SELIC - TRIBUTOS",VLOOKUP(DATE(YEAR($D$19),MONTH($D$19)-1,1),ÍNDICES!$A:$DE,HLOOKUP($BL$25,ÍNDICES!$B$3:$T$4,2)+11)-VLOOKUP(E508,ÍNDICES!$A:$DE,HLOOKUP($BL$25,ÍNDICES!$B$3:$T$4,2)+11)+1%,IF(F$38=$W$26,$J$35,IF(ISERROR(IF(E508&gt;$D$19,1,VLOOKUP(DATE(YEAR(E508),MONTH(E508)+IF($C$35=$S$23,1,0),1),ÍNDICES!$A:$DE,$Z$35+1))),"",IF(E508&gt;$D$19,1,VLOOKUP(DATE(YEAR(E508),MONTH(E508)+IF($C$35=$S$23,1,0),1),ÍNDICES!$A:$DE,$Z$35+1))))))</f>
        <v/>
      </c>
      <c r="G508" s="155"/>
      <c r="H508" s="156" t="str">
        <f t="shared" si="88"/>
        <v/>
      </c>
      <c r="I508" s="29" t="str">
        <f t="shared" si="82"/>
        <v/>
      </c>
      <c r="J508" s="5">
        <f t="shared" si="83"/>
        <v>0</v>
      </c>
      <c r="K508" s="20">
        <f t="shared" ca="1" si="84"/>
        <v>0</v>
      </c>
      <c r="L508" s="5">
        <f t="shared" ca="1" si="85"/>
        <v>0</v>
      </c>
      <c r="M508" s="64">
        <f t="shared" si="89"/>
        <v>0</v>
      </c>
      <c r="N508" s="61">
        <f t="shared" ca="1" si="90"/>
        <v>0</v>
      </c>
      <c r="O508" s="5">
        <f t="shared" ca="1" si="91"/>
        <v>0</v>
      </c>
      <c r="P508" s="446" t="e">
        <f t="shared" si="86"/>
        <v>#VALUE!</v>
      </c>
      <c r="Q508" s="446" t="e">
        <f>IF(OR($B508="",MIN(Q$38,$D$19)&lt;MAX($P$34*($B508+IF($R$17="Distrato",$I$38-1,0)),IF(AND($L$37=0,$P$34=0),"",$L$37-1),IF($R$17="Distrato",$E508,0))),0,YEARFRAC(MAX($P$34*($B508+IF($R$17="Distrato",$I$38-1,0)),IF(AND($L$37=0,$P$34=0),"",$L$37-1),IF($R$17="Distrato",$E508,0)),MIN(Q$38,$D$19),$P$20))-SUM($P508:P508)</f>
        <v>#VALUE!</v>
      </c>
      <c r="R508" s="446" t="e">
        <f>IF(OR($B508="",MIN(R$38,$D$19)&lt;MAX($P$34*($B508+IF($R$17="Distrato",$I$38-1,0)),IF(AND($L$37=0,$P$34=0),"",$L$37-1),IF($R$17="Distrato",$E508,0))),0,YEARFRAC(MAX($P$34*($B508+IF($R$17="Distrato",$I$38-1,0)),IF(AND($L$37=0,$P$34=0),"",$L$37-1),IF($R$17="Distrato",$E508,0)),MIN(R$38,$D$19),$P$20))-SUM($P508:Q508)</f>
        <v>#VALUE!</v>
      </c>
      <c r="S508" s="446" t="e">
        <f>IF(OR($B508="",MIN(S$38,$D$19)&lt;MAX($P$34*($B508+IF($R$17="Distrato",$I$38-1,0)),IF(AND($L$37=0,$P$34=0),"",$L$37-1),IF($R$17="Distrato",$E508,0))),0,YEARFRAC(MAX($P$34*($B508+IF($R$17="Distrato",$I$38-1,0)),IF(AND($L$37=0,$P$34=0),"",$L$37-1),IF($R$17="Distrato",$E508,0)),MIN(S$38,$D$19),$P$20))-SUM($P508:R508)</f>
        <v>#VALUE!</v>
      </c>
      <c r="T508" s="446" t="e">
        <f>IF(OR($B508="",MIN(T$38,$D$19)&lt;MAX($P$34*($B508+IF($R$17="Distrato",$I$38-1,0)),IF(AND($L$37=0,$P$34=0),"",$L$37-1),IF($R$17="Distrato",$E508,0))),0,YEARFRAC(MAX($P$34*($B508+IF($R$17="Distrato",$I$38-1,0)),IF(AND($L$37=0,$P$34=0),"",$L$37-1),IF($R$17="Distrato",$E508,0)),MIN(T$38,$D$19),$P$20))-SUM($P508:S508)</f>
        <v>#VALUE!</v>
      </c>
      <c r="U508" s="446" t="e">
        <f>IF(OR($B508="",MIN(U$38,$D$19)&lt;MAX($P$34*($B508+IF($R$17="Distrato",$I$38-1,0)),IF(AND($L$37=0,$P$34=0),"",$L$37-1),IF($R$17="Distrato",$E508,0))),0,YEARFRAC(MAX($P$34*($B508+IF($R$17="Distrato",$I$38-1,0)),IF(AND($L$37=0,$P$34=0),"",$L$37-1),IF($R$17="Distrato",$E508,0)),MIN(U$38,$D$19),$P$20))-SUM($P508:T508)</f>
        <v>#VALUE!</v>
      </c>
      <c r="V508" s="446" t="e">
        <f>IF(OR($B508="",MIN(V$38,$D$19)&lt;MAX($P$34*($B508+IF($R$17="Distrato",$I$38-1,0)),IF(AND($L$37=0,$P$34=0),"",$L$37-1),IF($R$17="Distrato",$E508,0))),0,YEARFRAC(MAX($P$34*($B508+IF($R$17="Distrato",$I$38-1,0)),IF(AND($L$37=0,$P$34=0),"",$L$37-1),IF($R$17="Distrato",$E508,0)),MIN(V$38,$D$19),$P$20))-SUM($P508:U508)</f>
        <v>#VALUE!</v>
      </c>
      <c r="W508" s="446" t="e">
        <f>IF(OR($B508="",MIN(W$38,$D$19)&lt;MAX($P$34*($B508+IF($R$17="Distrato",$I$38-1,0)),IF(AND($L$37=0,$P$34=0),"",$L$37-1),IF($R$17="Distrato",$E508,0))),0,YEARFRAC(MAX($P$34*($B508+IF($R$17="Distrato",$I$38-1,0)),IF(AND($L$37=0,$P$34=0),"",$L$37-1),IF($R$17="Distrato",$E508,0)),MIN(W$38,$D$19),$P$20))-SUM($P508:V508)</f>
        <v>#VALUE!</v>
      </c>
      <c r="X508" s="446" t="e">
        <f>IF(OR($B508="",MIN(X$38,$D$19)&lt;MAX($P$34*($B508+IF($R$17="Distrato",$I$38-1,0)),IF(AND($L$37=0,$P$34=0),"",$L$37-1),IF($R$17="Distrato",$E508,0))),0,YEARFRAC(MAX($P$34*($B508+IF($R$17="Distrato",$I$38-1,0)),IF(AND($L$37=0,$P$34=0),"",$L$37-1),IF($R$17="Distrato",$E508,0)),MIN(X$38,$D$19),$P$20))-SUM($P508:W508)</f>
        <v>#VALUE!</v>
      </c>
      <c r="Y508" s="446" t="e">
        <f>IF(OR($B508="",MIN(Y$38,$D$19)&lt;MAX($P$34*($B508+IF($R$17="Distrato",$I$38-1,0)),IF(AND($L$37=0,$P$34=0),"",$L$37-1),IF($R$17="Distrato",$E508,0))),0,YEARFRAC(MAX($P$34*($B508+IF($R$17="Distrato",$I$38-1,0)),IF(AND($L$37=0,$P$34=0),"",$L$37-1),IF($R$17="Distrato",$E508,0)),MIN(Y$38,$D$19),$P$20))-SUM($P508:X508)</f>
        <v>#VALUE!</v>
      </c>
      <c r="Z508" s="446" t="e">
        <f>IF(OR($B508="",MIN(Z$38,$D$19)&lt;MAX($P$34*($B508+IF($R$17="Distrato",$I$38-1,0)),IF(AND($L$37=0,$P$34=0),"",$L$37-1),IF($R$17="Distrato",$E508,0))),0,YEARFRAC(MAX($P$34*($B508+IF($R$17="Distrato",$I$38-1,0)),IF(AND($L$37=0,$P$34=0),"",$L$37-1),IF($R$17="Distrato",$E508,0)),MIN(Z$38,$D$19),$P$20))-SUM($P508:Y508)</f>
        <v>#VALUE!</v>
      </c>
      <c r="AA508" s="446" t="e">
        <f>IF(OR($B508="",MIN(AA$38,$D$19)&lt;MAX($P$34*($B508+IF($R$17="Distrato",$I$38-1,0)),IF(AND($L$37=0,$P$34=0),"",$L$37-1),IF($R$17="Distrato",$E508,0))),0,YEARFRAC(MAX($P$34*($B508+IF($R$17="Distrato",$I$38-1,0)),IF(AND($L$37=0,$P$34=0),"",$L$37-1),IF($R$17="Distrato",$E508,0)),MIN(AA$38,$D$19),$P$20))-SUM($P508:Z508)</f>
        <v>#VALUE!</v>
      </c>
      <c r="AB508" s="446" t="e">
        <f>IF(OR($B508="",MIN(AB$38,$D$19)&lt;MAX($P$34*($B508+IF($R$17="Distrato",$I$38-1,0)),IF(AND($L$37=0,$P$34=0),"",$L$37-1),IF($R$17="Distrato",$E508,0))),0,YEARFRAC(MAX($P$34*($B508+IF($R$17="Distrato",$I$38-1,0)),IF(AND($L$37=0,$P$34=0),"",$L$37-1),IF($R$17="Distrato",$E508,0)),MIN(AB$38,$D$19),$P$20))-SUM($P508:AA508)</f>
        <v>#VALUE!</v>
      </c>
      <c r="AC508" s="446" t="e">
        <f>IF(OR($B508="",MIN(AC$38,$D$19)&lt;MAX($P$34*($B508+IF($R$17="Distrato",$I$38-1,0)),IF(AND($L$37=0,$P$34=0),"",$L$37-1),IF($R$17="Distrato",$E508,0))),0,YEARFRAC(MAX($P$34*($B508+IF($R$17="Distrato",$I$38-1,0)),IF(AND($L$37=0,$P$34=0),"",$L$37-1),IF($R$17="Distrato",$E508,0)),MIN(AC$38,$D$19),$P$20))-SUM($P508:AB508)</f>
        <v>#VALUE!</v>
      </c>
      <c r="AD508" s="446" t="e">
        <f>IF(OR($B508="",MIN(AD$38,$D$19)&lt;MAX($P$34*($B508+IF($R$17="Distrato",$I$38-1,0)),IF(AND($L$37=0,$P$34=0),"",$L$37-1),IF($R$17="Distrato",$E508,0))),0,YEARFRAC(MAX($P$34*($B508+IF($R$17="Distrato",$I$38-1,0)),IF(AND($L$37=0,$P$34=0),"",$L$37-1),IF($R$17="Distrato",$E508,0)),MIN(AD$38,$D$19),$P$20))-SUM($P508:AC508)</f>
        <v>#VALUE!</v>
      </c>
      <c r="AE508" s="446" t="e">
        <f>IF(OR($B508="",MIN(AE$38,$D$19)&lt;MAX($P$34*($B508+IF($R$17="Distrato",$I$38-1,0)),IF(AND($L$37=0,$P$34=0),"",$L$37-1),IF($R$17="Distrato",$E508,0))),0,YEARFRAC(MAX($P$34*($B508+IF($R$17="Distrato",$I$38-1,0)),IF(AND($L$37=0,$P$34=0),"",$L$37-1),IF($R$17="Distrato",$E508,0)),MIN(AE$38,$D$19),$P$20))-SUM($P508:AD508)</f>
        <v>#VALUE!</v>
      </c>
      <c r="AF508" s="446" t="e">
        <f>IF(OR($B508="",MIN(AF$38,$D$19)&lt;MAX($P$34*($B508+IF($R$17="Distrato",$I$38-1,0)),IF(AND($L$37=0,$P$34=0),"",$L$37-1),IF($R$17="Distrato",$E508,0))),0,YEARFRAC(MAX($P$34*($B508+IF($R$17="Distrato",$I$38-1,0)),IF(AND($L$37=0,$P$34=0),"",$L$37-1),IF($R$17="Distrato",$E508,0)),MIN(AF$38,$D$19),$P$20))-SUM($P508:AE508)</f>
        <v>#VALUE!</v>
      </c>
      <c r="AG508" s="446" t="e">
        <f>IF(OR($B508="",MIN(AG$38,$D$19)&lt;MAX($P$34*($B508+IF($R$17="Distrato",$I$38-1,0)),IF(AND($L$37=0,$P$34=0),"",$L$37-1),IF($R$17="Distrato",$E508,0))),0,YEARFRAC(MAX($P$34*($B508+IF($R$17="Distrato",$I$38-1,0)),IF(AND($L$37=0,$P$34=0),"",$L$37-1),IF($R$17="Distrato",$E508,0)),MIN(AG$38,$D$19),$P$20))-SUM($P508:AF508)</f>
        <v>#VALUE!</v>
      </c>
      <c r="AH508" s="446" t="e">
        <f>IF(OR($B508="",MIN(AH$38,$D$19)&lt;MAX($P$34*($B508+IF($R$17="Distrato",$I$38-1,0)),IF(AND($L$37=0,$P$34=0),"",$L$37-1),IF($R$17="Distrato",$E508,0))),0,YEARFRAC(MAX($P$34*($B508+IF($R$17="Distrato",$I$38-1,0)),IF(AND($L$37=0,$P$34=0),"",$L$37-1),IF($R$17="Distrato",$E508,0)),MIN(AH$38,$D$19),$P$20))-SUM($P508:AG508)</f>
        <v>#VALUE!</v>
      </c>
      <c r="AI508" s="446" t="e">
        <f>IF(OR($B508="",MIN(AI$38,$D$19)&lt;MAX($P$34*($B508+IF($R$17="Distrato",$I$38-1,0)),IF(AND($L$37=0,$P$34=0),"",$L$37-1),IF($R$17="Distrato",$E508,0))),0,YEARFRAC(MAX($P$34*($B508+IF($R$17="Distrato",$I$38-1,0)),IF(AND($L$37=0,$P$34=0),"",$L$37-1),IF($R$17="Distrato",$E508,0)),MIN(AI$38,$D$19),$P$20))-SUM($P508:AH508)</f>
        <v>#VALUE!</v>
      </c>
      <c r="AJ508" s="446" t="e">
        <f>IF(OR($B508="",MIN(AJ$38,$D$19)&lt;MAX($P$34*($B508+IF($R$17="Distrato",$I$38-1,0)),IF(AND($L$37=0,$P$34=0),"",$L$37-1),IF($R$17="Distrato",$E508,0))),0,YEARFRAC(MAX($P$34*($B508+IF($R$17="Distrato",$I$38-1,0)),IF(AND($L$37=0,$P$34=0),"",$L$37-1),IF($R$17="Distrato",$E508,0)),MIN(AJ$38,$D$19),$P$20))-SUM($P508:AI508)</f>
        <v>#VALUE!</v>
      </c>
      <c r="AK508" s="446" t="e">
        <f>IF(OR($B508="",MIN(AK$38,$D$19)&lt;MAX($P$34*($B508+IF($R$17="Distrato",$I$38-1,0)),IF(AND($L$37=0,$P$34=0),"",$L$37-1),IF($R$17="Distrato",$E508,0))),0,YEARFRAC(MAX($P$34*($B508+IF($R$17="Distrato",$I$38-1,0)),IF(AND($L$37=0,$P$34=0),"",$L$37-1),IF($R$17="Distrato",$E508,0)),MIN(AK$38,$D$19),$P$20))-SUM($P508:AJ508)</f>
        <v>#VALUE!</v>
      </c>
      <c r="AL508" s="446" t="e">
        <f>IF(OR($B508="",MIN(AL$38,$D$19)&lt;MAX($P$34*($B508+IF($R$17="Distrato",$I$38-1,0)),IF(AND($L$37=0,$P$34=0),"",$L$37-1),IF($R$17="Distrato",$E508,0))),0,YEARFRAC(MAX($P$34*($B508+IF($R$17="Distrato",$I$38-1,0)),IF(AND($L$37=0,$P$34=0),"",$L$37-1),IF($R$17="Distrato",$E508,0)),MIN(AL$38,$D$19),$P$20))-SUM($P508:AK508)</f>
        <v>#VALUE!</v>
      </c>
      <c r="AM508" s="446" t="e">
        <f>IF(OR($B508="",MIN(AM$38,$D$19)&lt;MAX($P$34*($B508+IF($R$17="Distrato",$I$38-1,0)),IF(AND($L$37=0,$P$34=0),"",$L$37-1),IF($R$17="Distrato",$E508,0))),0,YEARFRAC(MAX($P$34*($B508+IF($R$17="Distrato",$I$38-1,0)),IF(AND($L$37=0,$P$34=0),"",$L$37-1),IF($R$17="Distrato",$E508,0)),MIN(AM$38,$D$19),$P$20))-SUM($P508:AL508)</f>
        <v>#VALUE!</v>
      </c>
      <c r="AN508" s="446" t="e">
        <f>IF(OR($B508="",MIN(AN$38,$D$19)&lt;MAX($P$34*($B508+IF($R$17="Distrato",$I$38-1,0)),IF(AND($L$37=0,$P$34=0),"",$L$37-1),IF($R$17="Distrato",$E508,0))),0,YEARFRAC(MAX($P$34*($B508+IF($R$17="Distrato",$I$38-1,0)),IF(AND($L$37=0,$P$34=0),"",$L$37-1),IF($R$17="Distrato",$E508,0)),MIN(AN$38,$D$19),$P$20))-SUM($P508:AM508)</f>
        <v>#VALUE!</v>
      </c>
      <c r="AO508" s="446" t="e">
        <f>IF(OR($B508="",MIN(AO$38,$D$19)&lt;MAX($P$34*($B508+IF($R$17="Distrato",$I$38-1,0)),IF(AND($L$37=0,$P$34=0),"",$L$37-1),IF($R$17="Distrato",$E508,0))),0,YEARFRAC(MAX($P$34*($B508+IF($R$17="Distrato",$I$38-1,0)),IF(AND($L$37=0,$P$34=0),"",$L$37-1),IF($R$17="Distrato",$E508,0)),MIN(AO$38,$D$19),$P$20))-SUM($P508:AN508)</f>
        <v>#VALUE!</v>
      </c>
      <c r="AP508" s="446" t="e">
        <f>IF(OR($B508="",MIN(AP$38,$D$19)&lt;MAX($P$34*($B508+IF($R$17="Distrato",$I$38-1,0)),IF(AND($L$37=0,$P$34=0),"",$L$37-1),IF($R$17="Distrato",$E508,0))),0,YEARFRAC(MAX($P$34*($B508+IF($R$17="Distrato",$I$38-1,0)),IF(AND($L$37=0,$P$34=0),"",$L$37-1),IF($R$17="Distrato",$E508,0)),MIN(AP$38,$D$19),$P$20))-SUM($P508:AO508)</f>
        <v>#VALUE!</v>
      </c>
      <c r="AQ508" s="446" t="e">
        <f>IF(OR($B508="",MIN(AQ$38,$D$19)&lt;MAX($P$34*($B508+IF($R$17="Distrato",$I$38-1,0)),IF(AND($L$37=0,$P$34=0),"",$L$37-1),IF($R$17="Distrato",$E508,0))),0,YEARFRAC(MAX($P$34*($B508+IF($R$17="Distrato",$I$38-1,0)),IF(AND($L$37=0,$P$34=0),"",$L$37-1),IF($R$17="Distrato",$E508,0)),MIN(AQ$38,$D$19),$P$20))-SUM($P508:AP508)</f>
        <v>#VALUE!</v>
      </c>
      <c r="AR508" s="446" t="e">
        <f>IF(OR($B508="",MIN(AR$38,$D$19)&lt;MAX($P$34*($B508+IF($R$17="Distrato",$I$38-1,0)),IF(AND($L$37=0,$P$34=0),"",$L$37-1),IF($R$17="Distrato",$E508,0))),0,YEARFRAC(MAX($P$34*($B508+IF($R$17="Distrato",$I$38-1,0)),IF(AND($L$37=0,$P$34=0),"",$L$37-1),IF($R$17="Distrato",$E508,0)),MIN(AR$38,$D$19),$P$20))-SUM($P508:AQ508)</f>
        <v>#VALUE!</v>
      </c>
      <c r="AS508" s="446" t="e">
        <f>IF(OR($B508="",MIN(AS$38,$D$19)&lt;MAX($P$34*($B508+IF($R$17="Distrato",$I$38-1,0)),IF(AND($L$37=0,$P$34=0),"",$L$37-1),IF($R$17="Distrato",$E508,0))),0,YEARFRAC(MAX($P$34*($B508+IF($R$17="Distrato",$I$38-1,0)),IF(AND($L$37=0,$P$34=0),"",$L$37-1),IF($R$17="Distrato",$E508,0)),MIN(AS$38,$D$19),$P$20))-SUM($P508:AR508)</f>
        <v>#VALUE!</v>
      </c>
      <c r="AT508" s="446" t="e">
        <f>IF(OR($B508="",MIN(AT$38,$D$19)&lt;MAX($P$34*($B508+IF($R$17="Distrato",$I$38-1,0)),IF(AND($L$37=0,$P$34=0),"",$L$37-1),IF($R$17="Distrato",$E508,0))),0,YEARFRAC(MAX($P$34*($B508+IF($R$17="Distrato",$I$38-1,0)),IF(AND($L$37=0,$P$34=0),"",$L$37-1),IF($R$17="Distrato",$E508,0)),MIN(AT$38,$D$19),$P$20))-SUM($P508:AS508)</f>
        <v>#VALUE!</v>
      </c>
      <c r="AU508" s="446" t="e">
        <f>IF(OR($B508="",MIN(AU$38,$D$19)&lt;MAX($P$34*($B508+IF($R$17="Distrato",$I$38-1,0)),IF(AND($L$37=0,$P$34=0),"",$L$37-1),IF($R$17="Distrato",$E508,0))),0,YEARFRAC(MAX($P$34*($B508+IF($R$17="Distrato",$I$38-1,0)),IF(AND($L$37=0,$P$34=0),"",$L$37-1),IF($R$17="Distrato",$E508,0)),MIN(AU$38,$D$19),$P$20))-SUM($P508:AT508)</f>
        <v>#VALUE!</v>
      </c>
      <c r="AV508" s="446" t="e">
        <f>IF(OR($B508="",MIN(AV$38,$D$19)&lt;MAX($P$34*($B508+IF($R$17="Distrato",$I$38-1,0)),IF(AND($L$37=0,$P$34=0),"",$L$37-1),IF($R$17="Distrato",$E508,0))),0,YEARFRAC(MAX($P$34*($B508+IF($R$17="Distrato",$I$38-1,0)),IF(AND($L$37=0,$P$34=0),"",$L$37-1),IF($R$17="Distrato",$E508,0)),MIN(AV$38,$D$19),$P$20))-SUM($P508:AU508)</f>
        <v>#VALUE!</v>
      </c>
      <c r="AW508" s="446" t="e">
        <f>IF(OR($B508="",MIN(AW$38,$D$19)&lt;MAX($P$34*($B508+IF($R$17="Distrato",$I$38-1,0)),IF(AND($L$37=0,$P$34=0),"",$L$37-1),IF($R$17="Distrato",$E508,0))),0,YEARFRAC(MAX($P$34*($B508+IF($R$17="Distrato",$I$38-1,0)),IF(AND($L$37=0,$P$34=0),"",$L$37-1),IF($R$17="Distrato",$E508,0)),MIN(AW$38,$D$19),$P$20))-SUM($P508:AV508)</f>
        <v>#VALUE!</v>
      </c>
      <c r="AX508" s="446" t="e">
        <f>IF(OR($B508="",MIN(AX$38,$D$19)&lt;MAX($P$34*($B508+IF($R$17="Distrato",$I$38-1,0)),IF(AND($L$37=0,$P$34=0),"",$L$37-1),IF($R$17="Distrato",$E508,0))),0,YEARFRAC(MAX($P$34*($B508+IF($R$17="Distrato",$I$38-1,0)),IF(AND($L$37=0,$P$34=0),"",$L$37-1),IF($R$17="Distrato",$E508,0)),MIN(AX$38,$D$19),$P$20))-SUM($P508:AW508)</f>
        <v>#VALUE!</v>
      </c>
      <c r="AY508" s="446" t="e">
        <f>IF(OR($B508="",MIN(AY$38,$D$19)&lt;MAX($P$34*($B508+IF($R$17="Distrato",$I$38-1,0)),IF(AND($L$37=0,$P$34=0),"",$L$37-1),IF($R$17="Distrato",$E508,0))),0,YEARFRAC(MAX($P$34*($B508+IF($R$17="Distrato",$I$38-1,0)),IF(AND($L$37=0,$P$34=0),"",$L$37-1),IF($R$17="Distrato",$E508,0)),MIN(AY$38,$D$19),$P$20))-SUM($P508:AX508)</f>
        <v>#VALUE!</v>
      </c>
      <c r="AZ508" s="446" t="e">
        <f>IF(OR($B508="",MIN(AZ$38,$D$19)&lt;MAX($P$34*($B508+IF($R$17="Distrato",$I$38-1,0)),IF(AND($L$37=0,$P$34=0),"",$L$37-1),IF($R$17="Distrato",$E508,0))),0,YEARFRAC(MAX($P$34*($B508+IF($R$17="Distrato",$I$38-1,0)),IF(AND($L$37=0,$P$34=0),"",$L$37-1),IF($R$17="Distrato",$E508,0)),MIN(AZ$38,$D$19),$P$20))-SUM($P508:AY508)</f>
        <v>#VALUE!</v>
      </c>
      <c r="BA508" s="446" t="e">
        <f>IF(OR($B508="",MIN(BA$38,$D$19)&lt;MAX($P$34*($B508+IF($R$17="Distrato",$I$38-1,0)),IF(AND($L$37=0,$P$34=0),"",$L$37-1),IF($R$17="Distrato",$E508,0))),0,YEARFRAC(MAX($P$34*($B508+IF($R$17="Distrato",$I$38-1,0)),IF(AND($L$37=0,$P$34=0),"",$L$37-1),IF($R$17="Distrato",$E508,0)),MIN(BA$38,$D$19),$P$20))-SUM($P508:AZ508)</f>
        <v>#VALUE!</v>
      </c>
      <c r="BB508" s="447"/>
      <c r="BF508" s="446">
        <f t="shared" si="87"/>
        <v>0</v>
      </c>
      <c r="BG508" s="446">
        <f>IF($E508=0,0,IF(MIN(BG$38,$E508)&lt;MAX($P$34*($B508+$I$38-1),IF(AND($L$37=0,$P$34=0),"",$L$37-1)),0,YEARFRAC(MAX($P$34*($B508+$I$38-1),IF(AND($L$37=0,$P$34=0),"",$L$37-1)),MIN(BG$38,$E508),$P$20))-SUM($BF508:BF508))</f>
        <v>0</v>
      </c>
      <c r="BH508" s="446">
        <f>IF($E508=0,0,IF(MIN(BH$38,$E508)&lt;MAX($P$34*($B508+$I$38-1),IF(AND($L$37=0,$P$34=0),"",$L$37-1)),0,YEARFRAC(MAX($P$34*($B508+$I$38-1),IF(AND($L$37=0,$P$34=0),"",$L$37-1)),MIN(BH$38,$E508),$P$20))-SUM($BF508:BG508))</f>
        <v>0</v>
      </c>
      <c r="BI508" s="446">
        <f>IF($E508=0,0,IF(MIN(BI$38,$E508)&lt;MAX($P$34*($B508+$I$38-1),IF(AND($L$37=0,$P$34=0),"",$L$37-1)),0,YEARFRAC(MAX($P$34*($B508+$I$38-1),IF(AND($L$37=0,$P$34=0),"",$L$37-1)),MIN(BI$38,$E508),$P$20))-SUM($BF508:BH508))</f>
        <v>0</v>
      </c>
      <c r="BJ508" s="446">
        <f>IF($E508=0,0,IF(MIN(BJ$38,$E508)&lt;MAX($P$34*($B508+$I$38-1),IF(AND($L$37=0,$P$34=0),"",$L$37-1)),0,YEARFRAC(MAX($P$34*($B508+$I$38-1),IF(AND($L$37=0,$P$34=0),"",$L$37-1)),MIN(BJ$38,$E508),$P$20))-SUM($BF508:BI508))</f>
        <v>0</v>
      </c>
      <c r="BK508" s="446">
        <f>IF($E508=0,0,IF(MIN(BK$38,$E508)&lt;MAX($P$34*($B508+$I$38-1),IF(AND($L$37=0,$P$34=0),"",$L$37-1)),0,YEARFRAC(MAX($P$34*($B508+$I$38-1),IF(AND($L$37=0,$P$34=0),"",$L$37-1)),MIN(BK$38,$E508),$P$20))-SUM($BF508:BJ508))</f>
        <v>0</v>
      </c>
      <c r="BL508" s="446">
        <f>IF($E508=0,0,IF(MIN(BL$38,$E508)&lt;MAX($P$34*($B508+$I$38-1),IF(AND($L$37=0,$P$34=0),"",$L$37-1)),0,YEARFRAC(MAX($P$34*($B508+$I$38-1),IF(AND($L$37=0,$P$34=0),"",$L$37-1)),MIN(BL$38,$E508),$P$20))-SUM($BF508:BK508))</f>
        <v>0</v>
      </c>
      <c r="BM508" s="446">
        <f>IF($E508=0,0,IF(MIN(BM$38,$E508)&lt;MAX($P$34*($B508+$I$38-1),IF(AND($L$37=0,$P$34=0),"",$L$37-1)),0,YEARFRAC(MAX($P$34*($B508+$I$38-1),IF(AND($L$37=0,$P$34=0),"",$L$37-1)),MIN(BM$38,$E508),$P$20))-SUM($BF508:BL508))</f>
        <v>0</v>
      </c>
      <c r="BN508" s="446">
        <f>IF($E508=0,0,IF(MIN(BN$38,$E508)&lt;MAX($P$34*($B508+$I$38-1),IF(AND($L$37=0,$P$34=0),"",$L$37-1)),0,YEARFRAC(MAX($P$34*($B508+$I$38-1),IF(AND($L$37=0,$P$34=0),"",$L$37-1)),MIN(BN$38,$E508),$P$20))-SUM($BF508:BM508))</f>
        <v>0</v>
      </c>
      <c r="BO508" s="446">
        <f>IF($E508=0,0,IF(MIN(BO$38,$E508)&lt;MAX($P$34*($B508+$I$38-1),IF(AND($L$37=0,$P$34=0),"",$L$37-1)),0,YEARFRAC(MAX($P$34*($B508+$I$38-1),IF(AND($L$37=0,$P$34=0),"",$L$37-1)),MIN(BO$38,$E508),$P$20))-SUM($BF508:BN508))</f>
        <v>0</v>
      </c>
      <c r="BP508" s="446">
        <f>IF($E508=0,0,IF(MIN(BP$38,$E508)&lt;MAX($P$34*($B508+$I$38-1),IF(AND($L$37=0,$P$34=0),"",$L$37-1)),0,YEARFRAC(MAX($P$34*($B508+$I$38-1),IF(AND($L$37=0,$P$34=0),"",$L$37-1)),MIN(BP$38,$E508),$P$20))-SUM($BF508:BO508))</f>
        <v>0</v>
      </c>
      <c r="BQ508" s="446">
        <f>IF($E508=0,0,IF(MIN(BQ$38,$E508)&lt;MAX($P$34*($B508+$I$38-1),IF(AND($L$37=0,$P$34=0),"",$L$37-1)),0,YEARFRAC(MAX($P$34*($B508+$I$38-1),IF(AND($L$37=0,$P$34=0),"",$L$37-1)),MIN(BQ$38,$E508),$P$20))-SUM($BF508:BP508))</f>
        <v>0</v>
      </c>
      <c r="BR508" s="446">
        <f>IF($E508=0,0,IF(MIN(BR$38,$E508)&lt;MAX($P$34*($B508+$I$38-1),IF(AND($L$37=0,$P$34=0),"",$L$37-1)),0,YEARFRAC(MAX($P$34*($B508+$I$38-1),IF(AND($L$37=0,$P$34=0),"",$L$37-1)),MIN(BR$38,$E508),$P$20))-SUM($BF508:BQ508))</f>
        <v>0</v>
      </c>
      <c r="BS508" s="446">
        <f>IF($E508=0,0,IF(MIN(BS$38,$E508)&lt;MAX($P$34*($B508+$I$38-1),IF(AND($L$37=0,$P$34=0),"",$L$37-1)),0,YEARFRAC(MAX($P$34*($B508+$I$38-1),IF(AND($L$37=0,$P$34=0),"",$L$37-1)),MIN(BS$38,$E508),$P$20))-SUM($BF508:BR508))</f>
        <v>0</v>
      </c>
      <c r="BT508" s="446">
        <f>IF($E508=0,0,IF(MIN(BT$38,$E508)&lt;MAX($P$34*($B508+$I$38-1),IF(AND($L$37=0,$P$34=0),"",$L$37-1)),0,YEARFRAC(MAX($P$34*($B508+$I$38-1),IF(AND($L$37=0,$P$34=0),"",$L$37-1)),MIN(BT$38,$E508),$P$20))-SUM($BF508:BS508))</f>
        <v>0</v>
      </c>
      <c r="BU508" s="446">
        <f>IF($E508=0,0,IF(MIN(BU$38,$E508)&lt;MAX($P$34*($B508+$I$38-1),IF(AND($L$37=0,$P$34=0),"",$L$37-1)),0,YEARFRAC(MAX($P$34*($B508+$I$38-1),IF(AND($L$37=0,$P$34=0),"",$L$37-1)),MIN(BU$38,$E508),$P$20))-SUM($BF508:BT508))</f>
        <v>0</v>
      </c>
      <c r="BV508" s="446">
        <f>IF($E508=0,0,IF(MIN(BV$38,$E508)&lt;MAX($P$34*($B508+$I$38-1),IF(AND($L$37=0,$P$34=0),"",$L$37-1)),0,YEARFRAC(MAX($P$34*($B508+$I$38-1),IF(AND($L$37=0,$P$34=0),"",$L$37-1)),MIN(BV$38,$E508),$P$20))-SUM($BF508:BU508))</f>
        <v>0</v>
      </c>
      <c r="BW508" s="446">
        <f>IF($E508=0,0,IF(MIN(BW$38,$E508)&lt;MAX($P$34*($B508+$I$38-1),IF(AND($L$37=0,$P$34=0),"",$L$37-1)),0,YEARFRAC(MAX($P$34*($B508+$I$38-1),IF(AND($L$37=0,$P$34=0),"",$L$37-1)),MIN(BW$38,$E508),$P$20))-SUM($BF508:BV508))</f>
        <v>0</v>
      </c>
      <c r="BX508" s="446">
        <f>IF($E508=0,0,IF(MIN(BX$38,$E508)&lt;MAX($P$34*($B508+$I$38-1),IF(AND($L$37=0,$P$34=0),"",$L$37-1)),0,YEARFRAC(MAX($P$34*($B508+$I$38-1),IF(AND($L$37=0,$P$34=0),"",$L$37-1)),MIN(BX$38,$E508),$P$20))-SUM($BF508:BW508))</f>
        <v>0</v>
      </c>
      <c r="BY508" s="446">
        <f>IF($E508=0,0,IF(MIN(BY$38,$E508)&lt;MAX($P$34*($B508+$I$38-1),IF(AND($L$37=0,$P$34=0),"",$L$37-1)),0,YEARFRAC(MAX($P$34*($B508+$I$38-1),IF(AND($L$37=0,$P$34=0),"",$L$37-1)),MIN(BY$38,$E508),$P$20))-SUM($BF508:BX508))</f>
        <v>0</v>
      </c>
      <c r="BZ508" s="446">
        <f>IF($E508=0,0,IF(MIN(BZ$38,$E508)&lt;MAX($P$34*($B508+$I$38-1),IF(AND($L$37=0,$P$34=0),"",$L$37-1)),0,YEARFRAC(MAX($P$34*($B508+$I$38-1),IF(AND($L$37=0,$P$34=0),"",$L$37-1)),MIN(BZ$38,$E508),$P$20))-SUM($BF508:BY508))</f>
        <v>0</v>
      </c>
      <c r="CA508" s="446">
        <f>IF($E508=0,0,IF(MIN(CA$38,$E508)&lt;MAX($P$34*($B508+$I$38-1),IF(AND($L$37=0,$P$34=0),"",$L$37-1)),0,YEARFRAC(MAX($P$34*($B508+$I$38-1),IF(AND($L$37=0,$P$34=0),"",$L$37-1)),MIN(CA$38,$E508),$P$20))-SUM($BF508:BZ508))</f>
        <v>0</v>
      </c>
      <c r="CB508" s="446">
        <f>IF($E508=0,0,IF(MIN(CB$38,$E508)&lt;MAX($P$34*($B508+$I$38-1),IF(AND($L$37=0,$P$34=0),"",$L$37-1)),0,YEARFRAC(MAX($P$34*($B508+$I$38-1),IF(AND($L$37=0,$P$34=0),"",$L$37-1)),MIN(CB$38,$E508),$P$20))-SUM($BF508:CA508))</f>
        <v>0</v>
      </c>
      <c r="CC508" s="446">
        <f>IF($E508=0,0,IF(MIN(CC$38,$E508)&lt;MAX($P$34*($B508+$I$38-1),IF(AND($L$37=0,$P$34=0),"",$L$37-1)),0,YEARFRAC(MAX($P$34*($B508+$I$38-1),IF(AND($L$37=0,$P$34=0),"",$L$37-1)),MIN(CC$38,$E508),$P$20))-SUM($BF508:CB508))</f>
        <v>0</v>
      </c>
      <c r="CD508" s="446">
        <f>IF($E508=0,0,IF(MIN(CD$38,$E508)&lt;MAX($P$34*($B508+$I$38-1),IF(AND($L$37=0,$P$34=0),"",$L$37-1)),0,YEARFRAC(MAX($P$34*($B508+$I$38-1),IF(AND($L$37=0,$P$34=0),"",$L$37-1)),MIN(CD$38,$E508),$P$20))-SUM($BF508:CC508))</f>
        <v>0</v>
      </c>
      <c r="CE508" s="446">
        <f>IF($E508=0,0,IF(MIN(CE$38,$E508)&lt;MAX($P$34*($B508+$I$38-1),IF(AND($L$37=0,$P$34=0),"",$L$37-1)),0,YEARFRAC(MAX($P$34*($B508+$I$38-1),IF(AND($L$37=0,$P$34=0),"",$L$37-1)),MIN(CE$38,$E508),$P$20))-SUM($BF508:CD508))</f>
        <v>0</v>
      </c>
      <c r="CF508" s="446">
        <f>IF($E508=0,0,IF(MIN(CF$38,$E508)&lt;MAX($P$34*($B508+$I$38-1),IF(AND($L$37=0,$P$34=0),"",$L$37-1)),0,YEARFRAC(MAX($P$34*($B508+$I$38-1),IF(AND($L$37=0,$P$34=0),"",$L$37-1)),MIN(CF$38,$E508),$P$20))-SUM($BF508:CE508))</f>
        <v>0</v>
      </c>
      <c r="CG508" s="446">
        <f>IF($E508=0,0,IF(MIN(CG$38,$E508)&lt;MAX($P$34*($B508+$I$38-1),IF(AND($L$37=0,$P$34=0),"",$L$37-1)),0,YEARFRAC(MAX($P$34*($B508+$I$38-1),IF(AND($L$37=0,$P$34=0),"",$L$37-1)),MIN(CG$38,$E508),$P$20))-SUM($BF508:CF508))</f>
        <v>0</v>
      </c>
      <c r="CH508" s="446">
        <f>IF($E508=0,0,IF(MIN(CH$38,$E508)&lt;MAX($P$34*($B508+$I$38-1),IF(AND($L$37=0,$P$34=0),"",$L$37-1)),0,YEARFRAC(MAX($P$34*($B508+$I$38-1),IF(AND($L$37=0,$P$34=0),"",$L$37-1)),MIN(CH$38,$E508),$P$20))-SUM($BF508:CG508))</f>
        <v>0</v>
      </c>
      <c r="CI508" s="446">
        <f>IF($E508=0,0,IF(MIN(CI$38,$E508)&lt;MAX($P$34*($B508+$I$38-1),IF(AND($L$37=0,$P$34=0),"",$L$37-1)),0,YEARFRAC(MAX($P$34*($B508+$I$38-1),IF(AND($L$37=0,$P$34=0),"",$L$37-1)),MIN(CI$38,$E508),$P$20))-SUM($BF508:CH508))</f>
        <v>0</v>
      </c>
      <c r="CJ508" s="446">
        <f>IF($E508=0,0,IF(MIN(CJ$38,$E508)&lt;MAX($P$34*($B508+$I$38-1),IF(AND($L$37=0,$P$34=0),"",$L$37-1)),0,YEARFRAC(MAX($P$34*($B508+$I$38-1),IF(AND($L$37=0,$P$34=0),"",$L$37-1)),MIN(CJ$38,$E508),$P$20))-SUM($BF508:CI508))</f>
        <v>0</v>
      </c>
      <c r="CK508" s="446">
        <f>IF($E508=0,0,IF(MIN(CK$38,$E508)&lt;MAX($P$34*($B508+$I$38-1),IF(AND($L$37=0,$P$34=0),"",$L$37-1)),0,YEARFRAC(MAX($P$34*($B508+$I$38-1),IF(AND($L$37=0,$P$34=0),"",$L$37-1)),MIN(CK$38,$E508),$P$20))-SUM($BF508:CJ508))</f>
        <v>0</v>
      </c>
      <c r="CL508" s="446">
        <f>IF($E508=0,0,IF(MIN(CL$38,$E508)&lt;MAX($P$34*($B508+$I$38-1),IF(AND($L$37=0,$P$34=0),"",$L$37-1)),0,YEARFRAC(MAX($P$34*($B508+$I$38-1),IF(AND($L$37=0,$P$34=0),"",$L$37-1)),MIN(CL$38,$E508),$P$20))-SUM($BF508:CK508))</f>
        <v>0</v>
      </c>
      <c r="CM508" s="446">
        <f>IF($E508=0,0,IF(MIN(CM$38,$E508)&lt;MAX($P$34*($B508+$I$38-1),IF(AND($L$37=0,$P$34=0),"",$L$37-1)),0,YEARFRAC(MAX($P$34*($B508+$I$38-1),IF(AND($L$37=0,$P$34=0),"",$L$37-1)),MIN(CM$38,$E508),$P$20))-SUM($BF508:CL508))</f>
        <v>0</v>
      </c>
      <c r="CN508" s="446">
        <f>IF($E508=0,0,IF(MIN(CN$38,$E508)&lt;MAX($P$34*($B508+$I$38-1),IF(AND($L$37=0,$P$34=0),"",$L$37-1)),0,YEARFRAC(MAX($P$34*($B508+$I$38-1),IF(AND($L$37=0,$P$34=0),"",$L$37-1)),MIN(CN$38,$E508),$P$20))-SUM($BF508:CM508))</f>
        <v>0</v>
      </c>
      <c r="CO508" s="446">
        <f>IF($E508=0,0,IF(MIN(CO$38,$E508)&lt;MAX($P$34*($B508+$I$38-1),IF(AND($L$37=0,$P$34=0),"",$L$37-1)),0,YEARFRAC(MAX($P$34*($B508+$I$38-1),IF(AND($L$37=0,$P$34=0),"",$L$37-1)),MIN(CO$38,$E508),$P$20))-SUM($BF508:CN508))</f>
        <v>0</v>
      </c>
      <c r="CP508" s="446">
        <f>IF($E508=0,0,IF(MIN(CP$38,$E508)&lt;MAX($P$34*($B508+$I$38-1),IF(AND($L$37=0,$P$34=0),"",$L$37-1)),0,YEARFRAC(MAX($P$34*($B508+$I$38-1),IF(AND($L$37=0,$P$34=0),"",$L$37-1)),MIN(CP$38,$E508),$P$20))-SUM($BF508:CO508))</f>
        <v>0</v>
      </c>
      <c r="CQ508" s="446">
        <f>IF($E508=0,0,IF(MIN(CQ$38,$E508)&lt;MAX($P$34*($B508+$I$38-1),IF(AND($L$37=0,$P$34=0),"",$L$37-1)),0,YEARFRAC(MAX($P$34*($B508+$I$38-1),IF(AND($L$37=0,$P$34=0),"",$L$37-1)),MIN(CQ$38,$E508),$P$20))-SUM($BF508:CP508))</f>
        <v>0</v>
      </c>
    </row>
    <row r="509" spans="1:95" s="446" customFormat="1" ht="11.25" hidden="1" customHeight="1" x14ac:dyDescent="0.2">
      <c r="A509" s="152"/>
      <c r="B509" s="153" t="str">
        <f t="shared" si="92"/>
        <v/>
      </c>
      <c r="C509" s="29" t="str">
        <f>IF(B509="","",IF($L$35="SELIC - TRIBUTOS",VLOOKUP(DATE(YEAR($D$19),MONTH($D$19)-1,1),ÍNDICES!$A:$DE,HLOOKUP($BL$25,ÍNDICES!$B$3:$T$4,2)+11)-VLOOKUP(B509,ÍNDICES!$A:$DE,HLOOKUP($BL$25,ÍNDICES!$B$3:$T$4,2)+11)+1%,IF(C$38=$W$26,$J$35,IF(ISERROR(IF(B509&gt;$D$19,1,VLOOKUP(DATE(YEAR(B509),MONTH(B509)+IF($C$35=$S$23,1,0),1),ÍNDICES!$A:$DE,$Z$35+1))),"",IF(B509&gt;$D$19,1,VLOOKUP(DATE(YEAR(B509),MONTH(B509)+IF($C$35=$S$23,1,0),1),ÍNDICES!$A:$DE,$Z$35+1))))))</f>
        <v/>
      </c>
      <c r="D509" s="154" t="str">
        <f>IF(ISERROR(IF(OR($D$38=$Y$27,$B509=""),"",VLOOKUP(B509,ÍNDICES!A:DE,AF$35+1))),"",IF(OR($D$38=$Y$27,$B509=""),"",VLOOKUP(B509,ÍNDICES!A:DE,AF$35+1)))</f>
        <v/>
      </c>
      <c r="E509" s="153"/>
      <c r="F509" s="29" t="str">
        <f>IF(E509="","",IF($L$35="SELIC - TRIBUTOS",VLOOKUP(DATE(YEAR($D$19),MONTH($D$19)-1,1),ÍNDICES!$A:$DE,HLOOKUP($BL$25,ÍNDICES!$B$3:$T$4,2)+11)-VLOOKUP(E509,ÍNDICES!$A:$DE,HLOOKUP($BL$25,ÍNDICES!$B$3:$T$4,2)+11)+1%,IF(F$38=$W$26,$J$35,IF(ISERROR(IF(E509&gt;$D$19,1,VLOOKUP(DATE(YEAR(E509),MONTH(E509)+IF($C$35=$S$23,1,0),1),ÍNDICES!$A:$DE,$Z$35+1))),"",IF(E509&gt;$D$19,1,VLOOKUP(DATE(YEAR(E509),MONTH(E509)+IF($C$35=$S$23,1,0),1),ÍNDICES!$A:$DE,$Z$35+1))))))</f>
        <v/>
      </c>
      <c r="G509" s="155"/>
      <c r="H509" s="156" t="str">
        <f t="shared" si="88"/>
        <v/>
      </c>
      <c r="I509" s="29" t="str">
        <f t="shared" si="82"/>
        <v/>
      </c>
      <c r="J509" s="5">
        <f t="shared" si="83"/>
        <v>0</v>
      </c>
      <c r="K509" s="20">
        <f t="shared" ca="1" si="84"/>
        <v>0</v>
      </c>
      <c r="L509" s="5">
        <f t="shared" ca="1" si="85"/>
        <v>0</v>
      </c>
      <c r="M509" s="64">
        <f t="shared" si="89"/>
        <v>0</v>
      </c>
      <c r="N509" s="61">
        <f t="shared" ca="1" si="90"/>
        <v>0</v>
      </c>
      <c r="O509" s="5">
        <f t="shared" ca="1" si="91"/>
        <v>0</v>
      </c>
      <c r="P509" s="446" t="e">
        <f t="shared" si="86"/>
        <v>#VALUE!</v>
      </c>
      <c r="Q509" s="446" t="e">
        <f>IF(OR($B509="",MIN(Q$38,$D$19)&lt;MAX($P$34*($B509+IF($R$17="Distrato",$I$38-1,0)),IF(AND($L$37=0,$P$34=0),"",$L$37-1),IF($R$17="Distrato",$E509,0))),0,YEARFRAC(MAX($P$34*($B509+IF($R$17="Distrato",$I$38-1,0)),IF(AND($L$37=0,$P$34=0),"",$L$37-1),IF($R$17="Distrato",$E509,0)),MIN(Q$38,$D$19),$P$20))-SUM($P509:P509)</f>
        <v>#VALUE!</v>
      </c>
      <c r="R509" s="446" t="e">
        <f>IF(OR($B509="",MIN(R$38,$D$19)&lt;MAX($P$34*($B509+IF($R$17="Distrato",$I$38-1,0)),IF(AND($L$37=0,$P$34=0),"",$L$37-1),IF($R$17="Distrato",$E509,0))),0,YEARFRAC(MAX($P$34*($B509+IF($R$17="Distrato",$I$38-1,0)),IF(AND($L$37=0,$P$34=0),"",$L$37-1),IF($R$17="Distrato",$E509,0)),MIN(R$38,$D$19),$P$20))-SUM($P509:Q509)</f>
        <v>#VALUE!</v>
      </c>
      <c r="S509" s="446" t="e">
        <f>IF(OR($B509="",MIN(S$38,$D$19)&lt;MAX($P$34*($B509+IF($R$17="Distrato",$I$38-1,0)),IF(AND($L$37=0,$P$34=0),"",$L$37-1),IF($R$17="Distrato",$E509,0))),0,YEARFRAC(MAX($P$34*($B509+IF($R$17="Distrato",$I$38-1,0)),IF(AND($L$37=0,$P$34=0),"",$L$37-1),IF($R$17="Distrato",$E509,0)),MIN(S$38,$D$19),$P$20))-SUM($P509:R509)</f>
        <v>#VALUE!</v>
      </c>
      <c r="T509" s="446" t="e">
        <f>IF(OR($B509="",MIN(T$38,$D$19)&lt;MAX($P$34*($B509+IF($R$17="Distrato",$I$38-1,0)),IF(AND($L$37=0,$P$34=0),"",$L$37-1),IF($R$17="Distrato",$E509,0))),0,YEARFRAC(MAX($P$34*($B509+IF($R$17="Distrato",$I$38-1,0)),IF(AND($L$37=0,$P$34=0),"",$L$37-1),IF($R$17="Distrato",$E509,0)),MIN(T$38,$D$19),$P$20))-SUM($P509:S509)</f>
        <v>#VALUE!</v>
      </c>
      <c r="U509" s="446" t="e">
        <f>IF(OR($B509="",MIN(U$38,$D$19)&lt;MAX($P$34*($B509+IF($R$17="Distrato",$I$38-1,0)),IF(AND($L$37=0,$P$34=0),"",$L$37-1),IF($R$17="Distrato",$E509,0))),0,YEARFRAC(MAX($P$34*($B509+IF($R$17="Distrato",$I$38-1,0)),IF(AND($L$37=0,$P$34=0),"",$L$37-1),IF($R$17="Distrato",$E509,0)),MIN(U$38,$D$19),$P$20))-SUM($P509:T509)</f>
        <v>#VALUE!</v>
      </c>
      <c r="V509" s="446" t="e">
        <f>IF(OR($B509="",MIN(V$38,$D$19)&lt;MAX($P$34*($B509+IF($R$17="Distrato",$I$38-1,0)),IF(AND($L$37=0,$P$34=0),"",$L$37-1),IF($R$17="Distrato",$E509,0))),0,YEARFRAC(MAX($P$34*($B509+IF($R$17="Distrato",$I$38-1,0)),IF(AND($L$37=0,$P$34=0),"",$L$37-1),IF($R$17="Distrato",$E509,0)),MIN(V$38,$D$19),$P$20))-SUM($P509:U509)</f>
        <v>#VALUE!</v>
      </c>
      <c r="W509" s="446" t="e">
        <f>IF(OR($B509="",MIN(W$38,$D$19)&lt;MAX($P$34*($B509+IF($R$17="Distrato",$I$38-1,0)),IF(AND($L$37=0,$P$34=0),"",$L$37-1),IF($R$17="Distrato",$E509,0))),0,YEARFRAC(MAX($P$34*($B509+IF($R$17="Distrato",$I$38-1,0)),IF(AND($L$37=0,$P$34=0),"",$L$37-1),IF($R$17="Distrato",$E509,0)),MIN(W$38,$D$19),$P$20))-SUM($P509:V509)</f>
        <v>#VALUE!</v>
      </c>
      <c r="X509" s="446" t="e">
        <f>IF(OR($B509="",MIN(X$38,$D$19)&lt;MAX($P$34*($B509+IF($R$17="Distrato",$I$38-1,0)),IF(AND($L$37=0,$P$34=0),"",$L$37-1),IF($R$17="Distrato",$E509,0))),0,YEARFRAC(MAX($P$34*($B509+IF($R$17="Distrato",$I$38-1,0)),IF(AND($L$37=0,$P$34=0),"",$L$37-1),IF($R$17="Distrato",$E509,0)),MIN(X$38,$D$19),$P$20))-SUM($P509:W509)</f>
        <v>#VALUE!</v>
      </c>
      <c r="Y509" s="446" t="e">
        <f>IF(OR($B509="",MIN(Y$38,$D$19)&lt;MAX($P$34*($B509+IF($R$17="Distrato",$I$38-1,0)),IF(AND($L$37=0,$P$34=0),"",$L$37-1),IF($R$17="Distrato",$E509,0))),0,YEARFRAC(MAX($P$34*($B509+IF($R$17="Distrato",$I$38-1,0)),IF(AND($L$37=0,$P$34=0),"",$L$37-1),IF($R$17="Distrato",$E509,0)),MIN(Y$38,$D$19),$P$20))-SUM($P509:X509)</f>
        <v>#VALUE!</v>
      </c>
      <c r="Z509" s="446" t="e">
        <f>IF(OR($B509="",MIN(Z$38,$D$19)&lt;MAX($P$34*($B509+IF($R$17="Distrato",$I$38-1,0)),IF(AND($L$37=0,$P$34=0),"",$L$37-1),IF($R$17="Distrato",$E509,0))),0,YEARFRAC(MAX($P$34*($B509+IF($R$17="Distrato",$I$38-1,0)),IF(AND($L$37=0,$P$34=0),"",$L$37-1),IF($R$17="Distrato",$E509,0)),MIN(Z$38,$D$19),$P$20))-SUM($P509:Y509)</f>
        <v>#VALUE!</v>
      </c>
      <c r="AA509" s="446" t="e">
        <f>IF(OR($B509="",MIN(AA$38,$D$19)&lt;MAX($P$34*($B509+IF($R$17="Distrato",$I$38-1,0)),IF(AND($L$37=0,$P$34=0),"",$L$37-1),IF($R$17="Distrato",$E509,0))),0,YEARFRAC(MAX($P$34*($B509+IF($R$17="Distrato",$I$38-1,0)),IF(AND($L$37=0,$P$34=0),"",$L$37-1),IF($R$17="Distrato",$E509,0)),MIN(AA$38,$D$19),$P$20))-SUM($P509:Z509)</f>
        <v>#VALUE!</v>
      </c>
      <c r="AB509" s="446" t="e">
        <f>IF(OR($B509="",MIN(AB$38,$D$19)&lt;MAX($P$34*($B509+IF($R$17="Distrato",$I$38-1,0)),IF(AND($L$37=0,$P$34=0),"",$L$37-1),IF($R$17="Distrato",$E509,0))),0,YEARFRAC(MAX($P$34*($B509+IF($R$17="Distrato",$I$38-1,0)),IF(AND($L$37=0,$P$34=0),"",$L$37-1),IF($R$17="Distrato",$E509,0)),MIN(AB$38,$D$19),$P$20))-SUM($P509:AA509)</f>
        <v>#VALUE!</v>
      </c>
      <c r="AC509" s="446" t="e">
        <f>IF(OR($B509="",MIN(AC$38,$D$19)&lt;MAX($P$34*($B509+IF($R$17="Distrato",$I$38-1,0)),IF(AND($L$37=0,$P$34=0),"",$L$37-1),IF($R$17="Distrato",$E509,0))),0,YEARFRAC(MAX($P$34*($B509+IF($R$17="Distrato",$I$38-1,0)),IF(AND($L$37=0,$P$34=0),"",$L$37-1),IF($R$17="Distrato",$E509,0)),MIN(AC$38,$D$19),$P$20))-SUM($P509:AB509)</f>
        <v>#VALUE!</v>
      </c>
      <c r="AD509" s="446" t="e">
        <f>IF(OR($B509="",MIN(AD$38,$D$19)&lt;MAX($P$34*($B509+IF($R$17="Distrato",$I$38-1,0)),IF(AND($L$37=0,$P$34=0),"",$L$37-1),IF($R$17="Distrato",$E509,0))),0,YEARFRAC(MAX($P$34*($B509+IF($R$17="Distrato",$I$38-1,0)),IF(AND($L$37=0,$P$34=0),"",$L$37-1),IF($R$17="Distrato",$E509,0)),MIN(AD$38,$D$19),$P$20))-SUM($P509:AC509)</f>
        <v>#VALUE!</v>
      </c>
      <c r="AE509" s="446" t="e">
        <f>IF(OR($B509="",MIN(AE$38,$D$19)&lt;MAX($P$34*($B509+IF($R$17="Distrato",$I$38-1,0)),IF(AND($L$37=0,$P$34=0),"",$L$37-1),IF($R$17="Distrato",$E509,0))),0,YEARFRAC(MAX($P$34*($B509+IF($R$17="Distrato",$I$38-1,0)),IF(AND($L$37=0,$P$34=0),"",$L$37-1),IF($R$17="Distrato",$E509,0)),MIN(AE$38,$D$19),$P$20))-SUM($P509:AD509)</f>
        <v>#VALUE!</v>
      </c>
      <c r="AF509" s="446" t="e">
        <f>IF(OR($B509="",MIN(AF$38,$D$19)&lt;MAX($P$34*($B509+IF($R$17="Distrato",$I$38-1,0)),IF(AND($L$37=0,$P$34=0),"",$L$37-1),IF($R$17="Distrato",$E509,0))),0,YEARFRAC(MAX($P$34*($B509+IF($R$17="Distrato",$I$38-1,0)),IF(AND($L$37=0,$P$34=0),"",$L$37-1),IF($R$17="Distrato",$E509,0)),MIN(AF$38,$D$19),$P$20))-SUM($P509:AE509)</f>
        <v>#VALUE!</v>
      </c>
      <c r="AG509" s="446" t="e">
        <f>IF(OR($B509="",MIN(AG$38,$D$19)&lt;MAX($P$34*($B509+IF($R$17="Distrato",$I$38-1,0)),IF(AND($L$37=0,$P$34=0),"",$L$37-1),IF($R$17="Distrato",$E509,0))),0,YEARFRAC(MAX($P$34*($B509+IF($R$17="Distrato",$I$38-1,0)),IF(AND($L$37=0,$P$34=0),"",$L$37-1),IF($R$17="Distrato",$E509,0)),MIN(AG$38,$D$19),$P$20))-SUM($P509:AF509)</f>
        <v>#VALUE!</v>
      </c>
      <c r="AH509" s="446" t="e">
        <f>IF(OR($B509="",MIN(AH$38,$D$19)&lt;MAX($P$34*($B509+IF($R$17="Distrato",$I$38-1,0)),IF(AND($L$37=0,$P$34=0),"",$L$37-1),IF($R$17="Distrato",$E509,0))),0,YEARFRAC(MAX($P$34*($B509+IF($R$17="Distrato",$I$38-1,0)),IF(AND($L$37=0,$P$34=0),"",$L$37-1),IF($R$17="Distrato",$E509,0)),MIN(AH$38,$D$19),$P$20))-SUM($P509:AG509)</f>
        <v>#VALUE!</v>
      </c>
      <c r="AI509" s="446" t="e">
        <f>IF(OR($B509="",MIN(AI$38,$D$19)&lt;MAX($P$34*($B509+IF($R$17="Distrato",$I$38-1,0)),IF(AND($L$37=0,$P$34=0),"",$L$37-1),IF($R$17="Distrato",$E509,0))),0,YEARFRAC(MAX($P$34*($B509+IF($R$17="Distrato",$I$38-1,0)),IF(AND($L$37=0,$P$34=0),"",$L$37-1),IF($R$17="Distrato",$E509,0)),MIN(AI$38,$D$19),$P$20))-SUM($P509:AH509)</f>
        <v>#VALUE!</v>
      </c>
      <c r="AJ509" s="446" t="e">
        <f>IF(OR($B509="",MIN(AJ$38,$D$19)&lt;MAX($P$34*($B509+IF($R$17="Distrato",$I$38-1,0)),IF(AND($L$37=0,$P$34=0),"",$L$37-1),IF($R$17="Distrato",$E509,0))),0,YEARFRAC(MAX($P$34*($B509+IF($R$17="Distrato",$I$38-1,0)),IF(AND($L$37=0,$P$34=0),"",$L$37-1),IF($R$17="Distrato",$E509,0)),MIN(AJ$38,$D$19),$P$20))-SUM($P509:AI509)</f>
        <v>#VALUE!</v>
      </c>
      <c r="AK509" s="446" t="e">
        <f>IF(OR($B509="",MIN(AK$38,$D$19)&lt;MAX($P$34*($B509+IF($R$17="Distrato",$I$38-1,0)),IF(AND($L$37=0,$P$34=0),"",$L$37-1),IF($R$17="Distrato",$E509,0))),0,YEARFRAC(MAX($P$34*($B509+IF($R$17="Distrato",$I$38-1,0)),IF(AND($L$37=0,$P$34=0),"",$L$37-1),IF($R$17="Distrato",$E509,0)),MIN(AK$38,$D$19),$P$20))-SUM($P509:AJ509)</f>
        <v>#VALUE!</v>
      </c>
      <c r="AL509" s="446" t="e">
        <f>IF(OR($B509="",MIN(AL$38,$D$19)&lt;MAX($P$34*($B509+IF($R$17="Distrato",$I$38-1,0)),IF(AND($L$37=0,$P$34=0),"",$L$37-1),IF($R$17="Distrato",$E509,0))),0,YEARFRAC(MAX($P$34*($B509+IF($R$17="Distrato",$I$38-1,0)),IF(AND($L$37=0,$P$34=0),"",$L$37-1),IF($R$17="Distrato",$E509,0)),MIN(AL$38,$D$19),$P$20))-SUM($P509:AK509)</f>
        <v>#VALUE!</v>
      </c>
      <c r="AM509" s="446" t="e">
        <f>IF(OR($B509="",MIN(AM$38,$D$19)&lt;MAX($P$34*($B509+IF($R$17="Distrato",$I$38-1,0)),IF(AND($L$37=0,$P$34=0),"",$L$37-1),IF($R$17="Distrato",$E509,0))),0,YEARFRAC(MAX($P$34*($B509+IF($R$17="Distrato",$I$38-1,0)),IF(AND($L$37=0,$P$34=0),"",$L$37-1),IF($R$17="Distrato",$E509,0)),MIN(AM$38,$D$19),$P$20))-SUM($P509:AL509)</f>
        <v>#VALUE!</v>
      </c>
      <c r="AN509" s="446" t="e">
        <f>IF(OR($B509="",MIN(AN$38,$D$19)&lt;MAX($P$34*($B509+IF($R$17="Distrato",$I$38-1,0)),IF(AND($L$37=0,$P$34=0),"",$L$37-1),IF($R$17="Distrato",$E509,0))),0,YEARFRAC(MAX($P$34*($B509+IF($R$17="Distrato",$I$38-1,0)),IF(AND($L$37=0,$P$34=0),"",$L$37-1),IF($R$17="Distrato",$E509,0)),MIN(AN$38,$D$19),$P$20))-SUM($P509:AM509)</f>
        <v>#VALUE!</v>
      </c>
      <c r="AO509" s="446" t="e">
        <f>IF(OR($B509="",MIN(AO$38,$D$19)&lt;MAX($P$34*($B509+IF($R$17="Distrato",$I$38-1,0)),IF(AND($L$37=0,$P$34=0),"",$L$37-1),IF($R$17="Distrato",$E509,0))),0,YEARFRAC(MAX($P$34*($B509+IF($R$17="Distrato",$I$38-1,0)),IF(AND($L$37=0,$P$34=0),"",$L$37-1),IF($R$17="Distrato",$E509,0)),MIN(AO$38,$D$19),$P$20))-SUM($P509:AN509)</f>
        <v>#VALUE!</v>
      </c>
      <c r="AP509" s="446" t="e">
        <f>IF(OR($B509="",MIN(AP$38,$D$19)&lt;MAX($P$34*($B509+IF($R$17="Distrato",$I$38-1,0)),IF(AND($L$37=0,$P$34=0),"",$L$37-1),IF($R$17="Distrato",$E509,0))),0,YEARFRAC(MAX($P$34*($B509+IF($R$17="Distrato",$I$38-1,0)),IF(AND($L$37=0,$P$34=0),"",$L$37-1),IF($R$17="Distrato",$E509,0)),MIN(AP$38,$D$19),$P$20))-SUM($P509:AO509)</f>
        <v>#VALUE!</v>
      </c>
      <c r="AQ509" s="446" t="e">
        <f>IF(OR($B509="",MIN(AQ$38,$D$19)&lt;MAX($P$34*($B509+IF($R$17="Distrato",$I$38-1,0)),IF(AND($L$37=0,$P$34=0),"",$L$37-1),IF($R$17="Distrato",$E509,0))),0,YEARFRAC(MAX($P$34*($B509+IF($R$17="Distrato",$I$38-1,0)),IF(AND($L$37=0,$P$34=0),"",$L$37-1),IF($R$17="Distrato",$E509,0)),MIN(AQ$38,$D$19),$P$20))-SUM($P509:AP509)</f>
        <v>#VALUE!</v>
      </c>
      <c r="AR509" s="446" t="e">
        <f>IF(OR($B509="",MIN(AR$38,$D$19)&lt;MAX($P$34*($B509+IF($R$17="Distrato",$I$38-1,0)),IF(AND($L$37=0,$P$34=0),"",$L$37-1),IF($R$17="Distrato",$E509,0))),0,YEARFRAC(MAX($P$34*($B509+IF($R$17="Distrato",$I$38-1,0)),IF(AND($L$37=0,$P$34=0),"",$L$37-1),IF($R$17="Distrato",$E509,0)),MIN(AR$38,$D$19),$P$20))-SUM($P509:AQ509)</f>
        <v>#VALUE!</v>
      </c>
      <c r="AS509" s="446" t="e">
        <f>IF(OR($B509="",MIN(AS$38,$D$19)&lt;MAX($P$34*($B509+IF($R$17="Distrato",$I$38-1,0)),IF(AND($L$37=0,$P$34=0),"",$L$37-1),IF($R$17="Distrato",$E509,0))),0,YEARFRAC(MAX($P$34*($B509+IF($R$17="Distrato",$I$38-1,0)),IF(AND($L$37=0,$P$34=0),"",$L$37-1),IF($R$17="Distrato",$E509,0)),MIN(AS$38,$D$19),$P$20))-SUM($P509:AR509)</f>
        <v>#VALUE!</v>
      </c>
      <c r="AT509" s="446" t="e">
        <f>IF(OR($B509="",MIN(AT$38,$D$19)&lt;MAX($P$34*($B509+IF($R$17="Distrato",$I$38-1,0)),IF(AND($L$37=0,$P$34=0),"",$L$37-1),IF($R$17="Distrato",$E509,0))),0,YEARFRAC(MAX($P$34*($B509+IF($R$17="Distrato",$I$38-1,0)),IF(AND($L$37=0,$P$34=0),"",$L$37-1),IF($R$17="Distrato",$E509,0)),MIN(AT$38,$D$19),$P$20))-SUM($P509:AS509)</f>
        <v>#VALUE!</v>
      </c>
      <c r="AU509" s="446" t="e">
        <f>IF(OR($B509="",MIN(AU$38,$D$19)&lt;MAX($P$34*($B509+IF($R$17="Distrato",$I$38-1,0)),IF(AND($L$37=0,$P$34=0),"",$L$37-1),IF($R$17="Distrato",$E509,0))),0,YEARFRAC(MAX($P$34*($B509+IF($R$17="Distrato",$I$38-1,0)),IF(AND($L$37=0,$P$34=0),"",$L$37-1),IF($R$17="Distrato",$E509,0)),MIN(AU$38,$D$19),$P$20))-SUM($P509:AT509)</f>
        <v>#VALUE!</v>
      </c>
      <c r="AV509" s="446" t="e">
        <f>IF(OR($B509="",MIN(AV$38,$D$19)&lt;MAX($P$34*($B509+IF($R$17="Distrato",$I$38-1,0)),IF(AND($L$37=0,$P$34=0),"",$L$37-1),IF($R$17="Distrato",$E509,0))),0,YEARFRAC(MAX($P$34*($B509+IF($R$17="Distrato",$I$38-1,0)),IF(AND($L$37=0,$P$34=0),"",$L$37-1),IF($R$17="Distrato",$E509,0)),MIN(AV$38,$D$19),$P$20))-SUM($P509:AU509)</f>
        <v>#VALUE!</v>
      </c>
      <c r="AW509" s="446" t="e">
        <f>IF(OR($B509="",MIN(AW$38,$D$19)&lt;MAX($P$34*($B509+IF($R$17="Distrato",$I$38-1,0)),IF(AND($L$37=0,$P$34=0),"",$L$37-1),IF($R$17="Distrato",$E509,0))),0,YEARFRAC(MAX($P$34*($B509+IF($R$17="Distrato",$I$38-1,0)),IF(AND($L$37=0,$P$34=0),"",$L$37-1),IF($R$17="Distrato",$E509,0)),MIN(AW$38,$D$19),$P$20))-SUM($P509:AV509)</f>
        <v>#VALUE!</v>
      </c>
      <c r="AX509" s="446" t="e">
        <f>IF(OR($B509="",MIN(AX$38,$D$19)&lt;MAX($P$34*($B509+IF($R$17="Distrato",$I$38-1,0)),IF(AND($L$37=0,$P$34=0),"",$L$37-1),IF($R$17="Distrato",$E509,0))),0,YEARFRAC(MAX($P$34*($B509+IF($R$17="Distrato",$I$38-1,0)),IF(AND($L$37=0,$P$34=0),"",$L$37-1),IF($R$17="Distrato",$E509,0)),MIN(AX$38,$D$19),$P$20))-SUM($P509:AW509)</f>
        <v>#VALUE!</v>
      </c>
      <c r="AY509" s="446" t="e">
        <f>IF(OR($B509="",MIN(AY$38,$D$19)&lt;MAX($P$34*($B509+IF($R$17="Distrato",$I$38-1,0)),IF(AND($L$37=0,$P$34=0),"",$L$37-1),IF($R$17="Distrato",$E509,0))),0,YEARFRAC(MAX($P$34*($B509+IF($R$17="Distrato",$I$38-1,0)),IF(AND($L$37=0,$P$34=0),"",$L$37-1),IF($R$17="Distrato",$E509,0)),MIN(AY$38,$D$19),$P$20))-SUM($P509:AX509)</f>
        <v>#VALUE!</v>
      </c>
      <c r="AZ509" s="446" t="e">
        <f>IF(OR($B509="",MIN(AZ$38,$D$19)&lt;MAX($P$34*($B509+IF($R$17="Distrato",$I$38-1,0)),IF(AND($L$37=0,$P$34=0),"",$L$37-1),IF($R$17="Distrato",$E509,0))),0,YEARFRAC(MAX($P$34*($B509+IF($R$17="Distrato",$I$38-1,0)),IF(AND($L$37=0,$P$34=0),"",$L$37-1),IF($R$17="Distrato",$E509,0)),MIN(AZ$38,$D$19),$P$20))-SUM($P509:AY509)</f>
        <v>#VALUE!</v>
      </c>
      <c r="BA509" s="446" t="e">
        <f>IF(OR($B509="",MIN(BA$38,$D$19)&lt;MAX($P$34*($B509+IF($R$17="Distrato",$I$38-1,0)),IF(AND($L$37=0,$P$34=0),"",$L$37-1),IF($R$17="Distrato",$E509,0))),0,YEARFRAC(MAX($P$34*($B509+IF($R$17="Distrato",$I$38-1,0)),IF(AND($L$37=0,$P$34=0),"",$L$37-1),IF($R$17="Distrato",$E509,0)),MIN(BA$38,$D$19),$P$20))-SUM($P509:AZ509)</f>
        <v>#VALUE!</v>
      </c>
      <c r="BB509" s="447"/>
      <c r="BF509" s="446">
        <f t="shared" si="87"/>
        <v>0</v>
      </c>
      <c r="BG509" s="446">
        <f>IF($E509=0,0,IF(MIN(BG$38,$E509)&lt;MAX($P$34*($B509+$I$38-1),IF(AND($L$37=0,$P$34=0),"",$L$37-1)),0,YEARFRAC(MAX($P$34*($B509+$I$38-1),IF(AND($L$37=0,$P$34=0),"",$L$37-1)),MIN(BG$38,$E509),$P$20))-SUM($BF509:BF509))</f>
        <v>0</v>
      </c>
      <c r="BH509" s="446">
        <f>IF($E509=0,0,IF(MIN(BH$38,$E509)&lt;MAX($P$34*($B509+$I$38-1),IF(AND($L$37=0,$P$34=0),"",$L$37-1)),0,YEARFRAC(MAX($P$34*($B509+$I$38-1),IF(AND($L$37=0,$P$34=0),"",$L$37-1)),MIN(BH$38,$E509),$P$20))-SUM($BF509:BG509))</f>
        <v>0</v>
      </c>
      <c r="BI509" s="446">
        <f>IF($E509=0,0,IF(MIN(BI$38,$E509)&lt;MAX($P$34*($B509+$I$38-1),IF(AND($L$37=0,$P$34=0),"",$L$37-1)),0,YEARFRAC(MAX($P$34*($B509+$I$38-1),IF(AND($L$37=0,$P$34=0),"",$L$37-1)),MIN(BI$38,$E509),$P$20))-SUM($BF509:BH509))</f>
        <v>0</v>
      </c>
      <c r="BJ509" s="446">
        <f>IF($E509=0,0,IF(MIN(BJ$38,$E509)&lt;MAX($P$34*($B509+$I$38-1),IF(AND($L$37=0,$P$34=0),"",$L$37-1)),0,YEARFRAC(MAX($P$34*($B509+$I$38-1),IF(AND($L$37=0,$P$34=0),"",$L$37-1)),MIN(BJ$38,$E509),$P$20))-SUM($BF509:BI509))</f>
        <v>0</v>
      </c>
      <c r="BK509" s="446">
        <f>IF($E509=0,0,IF(MIN(BK$38,$E509)&lt;MAX($P$34*($B509+$I$38-1),IF(AND($L$37=0,$P$34=0),"",$L$37-1)),0,YEARFRAC(MAX($P$34*($B509+$I$38-1),IF(AND($L$37=0,$P$34=0),"",$L$37-1)),MIN(BK$38,$E509),$P$20))-SUM($BF509:BJ509))</f>
        <v>0</v>
      </c>
      <c r="BL509" s="446">
        <f>IF($E509=0,0,IF(MIN(BL$38,$E509)&lt;MAX($P$34*($B509+$I$38-1),IF(AND($L$37=0,$P$34=0),"",$L$37-1)),0,YEARFRAC(MAX($P$34*($B509+$I$38-1),IF(AND($L$37=0,$P$34=0),"",$L$37-1)),MIN(BL$38,$E509),$P$20))-SUM($BF509:BK509))</f>
        <v>0</v>
      </c>
      <c r="BM509" s="446">
        <f>IF($E509=0,0,IF(MIN(BM$38,$E509)&lt;MAX($P$34*($B509+$I$38-1),IF(AND($L$37=0,$P$34=0),"",$L$37-1)),0,YEARFRAC(MAX($P$34*($B509+$I$38-1),IF(AND($L$37=0,$P$34=0),"",$L$37-1)),MIN(BM$38,$E509),$P$20))-SUM($BF509:BL509))</f>
        <v>0</v>
      </c>
      <c r="BN509" s="446">
        <f>IF($E509=0,0,IF(MIN(BN$38,$E509)&lt;MAX($P$34*($B509+$I$38-1),IF(AND($L$37=0,$P$34=0),"",$L$37-1)),0,YEARFRAC(MAX($P$34*($B509+$I$38-1),IF(AND($L$37=0,$P$34=0),"",$L$37-1)),MIN(BN$38,$E509),$P$20))-SUM($BF509:BM509))</f>
        <v>0</v>
      </c>
      <c r="BO509" s="446">
        <f>IF($E509=0,0,IF(MIN(BO$38,$E509)&lt;MAX($P$34*($B509+$I$38-1),IF(AND($L$37=0,$P$34=0),"",$L$37-1)),0,YEARFRAC(MAX($P$34*($B509+$I$38-1),IF(AND($L$37=0,$P$34=0),"",$L$37-1)),MIN(BO$38,$E509),$P$20))-SUM($BF509:BN509))</f>
        <v>0</v>
      </c>
      <c r="BP509" s="446">
        <f>IF($E509=0,0,IF(MIN(BP$38,$E509)&lt;MAX($P$34*($B509+$I$38-1),IF(AND($L$37=0,$P$34=0),"",$L$37-1)),0,YEARFRAC(MAX($P$34*($B509+$I$38-1),IF(AND($L$37=0,$P$34=0),"",$L$37-1)),MIN(BP$38,$E509),$P$20))-SUM($BF509:BO509))</f>
        <v>0</v>
      </c>
      <c r="BQ509" s="446">
        <f>IF($E509=0,0,IF(MIN(BQ$38,$E509)&lt;MAX($P$34*($B509+$I$38-1),IF(AND($L$37=0,$P$34=0),"",$L$37-1)),0,YEARFRAC(MAX($P$34*($B509+$I$38-1),IF(AND($L$37=0,$P$34=0),"",$L$37-1)),MIN(BQ$38,$E509),$P$20))-SUM($BF509:BP509))</f>
        <v>0</v>
      </c>
      <c r="BR509" s="446">
        <f>IF($E509=0,0,IF(MIN(BR$38,$E509)&lt;MAX($P$34*($B509+$I$38-1),IF(AND($L$37=0,$P$34=0),"",$L$37-1)),0,YEARFRAC(MAX($P$34*($B509+$I$38-1),IF(AND($L$37=0,$P$34=0),"",$L$37-1)),MIN(BR$38,$E509),$P$20))-SUM($BF509:BQ509))</f>
        <v>0</v>
      </c>
      <c r="BS509" s="446">
        <f>IF($E509=0,0,IF(MIN(BS$38,$E509)&lt;MAX($P$34*($B509+$I$38-1),IF(AND($L$37=0,$P$34=0),"",$L$37-1)),0,YEARFRAC(MAX($P$34*($B509+$I$38-1),IF(AND($L$37=0,$P$34=0),"",$L$37-1)),MIN(BS$38,$E509),$P$20))-SUM($BF509:BR509))</f>
        <v>0</v>
      </c>
      <c r="BT509" s="446">
        <f>IF($E509=0,0,IF(MIN(BT$38,$E509)&lt;MAX($P$34*($B509+$I$38-1),IF(AND($L$37=0,$P$34=0),"",$L$37-1)),0,YEARFRAC(MAX($P$34*($B509+$I$38-1),IF(AND($L$37=0,$P$34=0),"",$L$37-1)),MIN(BT$38,$E509),$P$20))-SUM($BF509:BS509))</f>
        <v>0</v>
      </c>
      <c r="BU509" s="446">
        <f>IF($E509=0,0,IF(MIN(BU$38,$E509)&lt;MAX($P$34*($B509+$I$38-1),IF(AND($L$37=0,$P$34=0),"",$L$37-1)),0,YEARFRAC(MAX($P$34*($B509+$I$38-1),IF(AND($L$37=0,$P$34=0),"",$L$37-1)),MIN(BU$38,$E509),$P$20))-SUM($BF509:BT509))</f>
        <v>0</v>
      </c>
      <c r="BV509" s="446">
        <f>IF($E509=0,0,IF(MIN(BV$38,$E509)&lt;MAX($P$34*($B509+$I$38-1),IF(AND($L$37=0,$P$34=0),"",$L$37-1)),0,YEARFRAC(MAX($P$34*($B509+$I$38-1),IF(AND($L$37=0,$P$34=0),"",$L$37-1)),MIN(BV$38,$E509),$P$20))-SUM($BF509:BU509))</f>
        <v>0</v>
      </c>
      <c r="BW509" s="446">
        <f>IF($E509=0,0,IF(MIN(BW$38,$E509)&lt;MAX($P$34*($B509+$I$38-1),IF(AND($L$37=0,$P$34=0),"",$L$37-1)),0,YEARFRAC(MAX($P$34*($B509+$I$38-1),IF(AND($L$37=0,$P$34=0),"",$L$37-1)),MIN(BW$38,$E509),$P$20))-SUM($BF509:BV509))</f>
        <v>0</v>
      </c>
      <c r="BX509" s="446">
        <f>IF($E509=0,0,IF(MIN(BX$38,$E509)&lt;MAX($P$34*($B509+$I$38-1),IF(AND($L$37=0,$P$34=0),"",$L$37-1)),0,YEARFRAC(MAX($P$34*($B509+$I$38-1),IF(AND($L$37=0,$P$34=0),"",$L$37-1)),MIN(BX$38,$E509),$P$20))-SUM($BF509:BW509))</f>
        <v>0</v>
      </c>
      <c r="BY509" s="446">
        <f>IF($E509=0,0,IF(MIN(BY$38,$E509)&lt;MAX($P$34*($B509+$I$38-1),IF(AND($L$37=0,$P$34=0),"",$L$37-1)),0,YEARFRAC(MAX($P$34*($B509+$I$38-1),IF(AND($L$37=0,$P$34=0),"",$L$37-1)),MIN(BY$38,$E509),$P$20))-SUM($BF509:BX509))</f>
        <v>0</v>
      </c>
      <c r="BZ509" s="446">
        <f>IF($E509=0,0,IF(MIN(BZ$38,$E509)&lt;MAX($P$34*($B509+$I$38-1),IF(AND($L$37=0,$P$34=0),"",$L$37-1)),0,YEARFRAC(MAX($P$34*($B509+$I$38-1),IF(AND($L$37=0,$P$34=0),"",$L$37-1)),MIN(BZ$38,$E509),$P$20))-SUM($BF509:BY509))</f>
        <v>0</v>
      </c>
      <c r="CA509" s="446">
        <f>IF($E509=0,0,IF(MIN(CA$38,$E509)&lt;MAX($P$34*($B509+$I$38-1),IF(AND($L$37=0,$P$34=0),"",$L$37-1)),0,YEARFRAC(MAX($P$34*($B509+$I$38-1),IF(AND($L$37=0,$P$34=0),"",$L$37-1)),MIN(CA$38,$E509),$P$20))-SUM($BF509:BZ509))</f>
        <v>0</v>
      </c>
      <c r="CB509" s="446">
        <f>IF($E509=0,0,IF(MIN(CB$38,$E509)&lt;MAX($P$34*($B509+$I$38-1),IF(AND($L$37=0,$P$34=0),"",$L$37-1)),0,YEARFRAC(MAX($P$34*($B509+$I$38-1),IF(AND($L$37=0,$P$34=0),"",$L$37-1)),MIN(CB$38,$E509),$P$20))-SUM($BF509:CA509))</f>
        <v>0</v>
      </c>
      <c r="CC509" s="446">
        <f>IF($E509=0,0,IF(MIN(CC$38,$E509)&lt;MAX($P$34*($B509+$I$38-1),IF(AND($L$37=0,$P$34=0),"",$L$37-1)),0,YEARFRAC(MAX($P$34*($B509+$I$38-1),IF(AND($L$37=0,$P$34=0),"",$L$37-1)),MIN(CC$38,$E509),$P$20))-SUM($BF509:CB509))</f>
        <v>0</v>
      </c>
      <c r="CD509" s="446">
        <f>IF($E509=0,0,IF(MIN(CD$38,$E509)&lt;MAX($P$34*($B509+$I$38-1),IF(AND($L$37=0,$P$34=0),"",$L$37-1)),0,YEARFRAC(MAX($P$34*($B509+$I$38-1),IF(AND($L$37=0,$P$34=0),"",$L$37-1)),MIN(CD$38,$E509),$P$20))-SUM($BF509:CC509))</f>
        <v>0</v>
      </c>
      <c r="CE509" s="446">
        <f>IF($E509=0,0,IF(MIN(CE$38,$E509)&lt;MAX($P$34*($B509+$I$38-1),IF(AND($L$37=0,$P$34=0),"",$L$37-1)),0,YEARFRAC(MAX($P$34*($B509+$I$38-1),IF(AND($L$37=0,$P$34=0),"",$L$37-1)),MIN(CE$38,$E509),$P$20))-SUM($BF509:CD509))</f>
        <v>0</v>
      </c>
      <c r="CF509" s="446">
        <f>IF($E509=0,0,IF(MIN(CF$38,$E509)&lt;MAX($P$34*($B509+$I$38-1),IF(AND($L$37=0,$P$34=0),"",$L$37-1)),0,YEARFRAC(MAX($P$34*($B509+$I$38-1),IF(AND($L$37=0,$P$34=0),"",$L$37-1)),MIN(CF$38,$E509),$P$20))-SUM($BF509:CE509))</f>
        <v>0</v>
      </c>
      <c r="CG509" s="446">
        <f>IF($E509=0,0,IF(MIN(CG$38,$E509)&lt;MAX($P$34*($B509+$I$38-1),IF(AND($L$37=0,$P$34=0),"",$L$37-1)),0,YEARFRAC(MAX($P$34*($B509+$I$38-1),IF(AND($L$37=0,$P$34=0),"",$L$37-1)),MIN(CG$38,$E509),$P$20))-SUM($BF509:CF509))</f>
        <v>0</v>
      </c>
      <c r="CH509" s="446">
        <f>IF($E509=0,0,IF(MIN(CH$38,$E509)&lt;MAX($P$34*($B509+$I$38-1),IF(AND($L$37=0,$P$34=0),"",$L$37-1)),0,YEARFRAC(MAX($P$34*($B509+$I$38-1),IF(AND($L$37=0,$P$34=0),"",$L$37-1)),MIN(CH$38,$E509),$P$20))-SUM($BF509:CG509))</f>
        <v>0</v>
      </c>
      <c r="CI509" s="446">
        <f>IF($E509=0,0,IF(MIN(CI$38,$E509)&lt;MAX($P$34*($B509+$I$38-1),IF(AND($L$37=0,$P$34=0),"",$L$37-1)),0,YEARFRAC(MAX($P$34*($B509+$I$38-1),IF(AND($L$37=0,$P$34=0),"",$L$37-1)),MIN(CI$38,$E509),$P$20))-SUM($BF509:CH509))</f>
        <v>0</v>
      </c>
      <c r="CJ509" s="446">
        <f>IF($E509=0,0,IF(MIN(CJ$38,$E509)&lt;MAX($P$34*($B509+$I$38-1),IF(AND($L$37=0,$P$34=0),"",$L$37-1)),0,YEARFRAC(MAX($P$34*($B509+$I$38-1),IF(AND($L$37=0,$P$34=0),"",$L$37-1)),MIN(CJ$38,$E509),$P$20))-SUM($BF509:CI509))</f>
        <v>0</v>
      </c>
      <c r="CK509" s="446">
        <f>IF($E509=0,0,IF(MIN(CK$38,$E509)&lt;MAX($P$34*($B509+$I$38-1),IF(AND($L$37=0,$P$34=0),"",$L$37-1)),0,YEARFRAC(MAX($P$34*($B509+$I$38-1),IF(AND($L$37=0,$P$34=0),"",$L$37-1)),MIN(CK$38,$E509),$P$20))-SUM($BF509:CJ509))</f>
        <v>0</v>
      </c>
      <c r="CL509" s="446">
        <f>IF($E509=0,0,IF(MIN(CL$38,$E509)&lt;MAX($P$34*($B509+$I$38-1),IF(AND($L$37=0,$P$34=0),"",$L$37-1)),0,YEARFRAC(MAX($P$34*($B509+$I$38-1),IF(AND($L$37=0,$P$34=0),"",$L$37-1)),MIN(CL$38,$E509),$P$20))-SUM($BF509:CK509))</f>
        <v>0</v>
      </c>
      <c r="CM509" s="446">
        <f>IF($E509=0,0,IF(MIN(CM$38,$E509)&lt;MAX($P$34*($B509+$I$38-1),IF(AND($L$37=0,$P$34=0),"",$L$37-1)),0,YEARFRAC(MAX($P$34*($B509+$I$38-1),IF(AND($L$37=0,$P$34=0),"",$L$37-1)),MIN(CM$38,$E509),$P$20))-SUM($BF509:CL509))</f>
        <v>0</v>
      </c>
      <c r="CN509" s="446">
        <f>IF($E509=0,0,IF(MIN(CN$38,$E509)&lt;MAX($P$34*($B509+$I$38-1),IF(AND($L$37=0,$P$34=0),"",$L$37-1)),0,YEARFRAC(MAX($P$34*($B509+$I$38-1),IF(AND($L$37=0,$P$34=0),"",$L$37-1)),MIN(CN$38,$E509),$P$20))-SUM($BF509:CM509))</f>
        <v>0</v>
      </c>
      <c r="CO509" s="446">
        <f>IF($E509=0,0,IF(MIN(CO$38,$E509)&lt;MAX($P$34*($B509+$I$38-1),IF(AND($L$37=0,$P$34=0),"",$L$37-1)),0,YEARFRAC(MAX($P$34*($B509+$I$38-1),IF(AND($L$37=0,$P$34=0),"",$L$37-1)),MIN(CO$38,$E509),$P$20))-SUM($BF509:CN509))</f>
        <v>0</v>
      </c>
      <c r="CP509" s="446">
        <f>IF($E509=0,0,IF(MIN(CP$38,$E509)&lt;MAX($P$34*($B509+$I$38-1),IF(AND($L$37=0,$P$34=0),"",$L$37-1)),0,YEARFRAC(MAX($P$34*($B509+$I$38-1),IF(AND($L$37=0,$P$34=0),"",$L$37-1)),MIN(CP$38,$E509),$P$20))-SUM($BF509:CO509))</f>
        <v>0</v>
      </c>
      <c r="CQ509" s="446">
        <f>IF($E509=0,0,IF(MIN(CQ$38,$E509)&lt;MAX($P$34*($B509+$I$38-1),IF(AND($L$37=0,$P$34=0),"",$L$37-1)),0,YEARFRAC(MAX($P$34*($B509+$I$38-1),IF(AND($L$37=0,$P$34=0),"",$L$37-1)),MIN(CQ$38,$E509),$P$20))-SUM($BF509:CP509))</f>
        <v>0</v>
      </c>
    </row>
    <row r="510" spans="1:95" s="446" customFormat="1" ht="11.25" hidden="1" customHeight="1" x14ac:dyDescent="0.2">
      <c r="A510" s="152"/>
      <c r="B510" s="153" t="str">
        <f t="shared" si="92"/>
        <v/>
      </c>
      <c r="C510" s="29" t="str">
        <f>IF(B510="","",IF($L$35="SELIC - TRIBUTOS",VLOOKUP(DATE(YEAR($D$19),MONTH($D$19)-1,1),ÍNDICES!$A:$DE,HLOOKUP($BL$25,ÍNDICES!$B$3:$T$4,2)+11)-VLOOKUP(B510,ÍNDICES!$A:$DE,HLOOKUP($BL$25,ÍNDICES!$B$3:$T$4,2)+11)+1%,IF(C$38=$W$26,$J$35,IF(ISERROR(IF(B510&gt;$D$19,1,VLOOKUP(DATE(YEAR(B510),MONTH(B510)+IF($C$35=$S$23,1,0),1),ÍNDICES!$A:$DE,$Z$35+1))),"",IF(B510&gt;$D$19,1,VLOOKUP(DATE(YEAR(B510),MONTH(B510)+IF($C$35=$S$23,1,0),1),ÍNDICES!$A:$DE,$Z$35+1))))))</f>
        <v/>
      </c>
      <c r="D510" s="154" t="str">
        <f>IF(ISERROR(IF(OR($D$38=$Y$27,$B510=""),"",VLOOKUP(B510,ÍNDICES!A:DE,AF$35+1))),"",IF(OR($D$38=$Y$27,$B510=""),"",VLOOKUP(B510,ÍNDICES!A:DE,AF$35+1)))</f>
        <v/>
      </c>
      <c r="E510" s="153"/>
      <c r="F510" s="29" t="str">
        <f>IF(E510="","",IF($L$35="SELIC - TRIBUTOS",VLOOKUP(DATE(YEAR($D$19),MONTH($D$19)-1,1),ÍNDICES!$A:$DE,HLOOKUP($BL$25,ÍNDICES!$B$3:$T$4,2)+11)-VLOOKUP(E510,ÍNDICES!$A:$DE,HLOOKUP($BL$25,ÍNDICES!$B$3:$T$4,2)+11)+1%,IF(F$38=$W$26,$J$35,IF(ISERROR(IF(E510&gt;$D$19,1,VLOOKUP(DATE(YEAR(E510),MONTH(E510)+IF($C$35=$S$23,1,0),1),ÍNDICES!$A:$DE,$Z$35+1))),"",IF(E510&gt;$D$19,1,VLOOKUP(DATE(YEAR(E510),MONTH(E510)+IF($C$35=$S$23,1,0),1),ÍNDICES!$A:$DE,$Z$35+1))))))</f>
        <v/>
      </c>
      <c r="G510" s="155"/>
      <c r="H510" s="156" t="str">
        <f t="shared" si="88"/>
        <v/>
      </c>
      <c r="I510" s="29" t="str">
        <f t="shared" si="82"/>
        <v/>
      </c>
      <c r="J510" s="5">
        <f t="shared" si="83"/>
        <v>0</v>
      </c>
      <c r="K510" s="20">
        <f t="shared" ca="1" si="84"/>
        <v>0</v>
      </c>
      <c r="L510" s="5">
        <f t="shared" ca="1" si="85"/>
        <v>0</v>
      </c>
      <c r="M510" s="64">
        <f t="shared" si="89"/>
        <v>0</v>
      </c>
      <c r="N510" s="61">
        <f t="shared" ca="1" si="90"/>
        <v>0</v>
      </c>
      <c r="O510" s="5">
        <f t="shared" ca="1" si="91"/>
        <v>0</v>
      </c>
      <c r="P510" s="446" t="e">
        <f t="shared" si="86"/>
        <v>#VALUE!</v>
      </c>
      <c r="Q510" s="446" t="e">
        <f>IF(OR($B510="",MIN(Q$38,$D$19)&lt;MAX($P$34*($B510+IF($R$17="Distrato",$I$38-1,0)),IF(AND($L$37=0,$P$34=0),"",$L$37-1),IF($R$17="Distrato",$E510,0))),0,YEARFRAC(MAX($P$34*($B510+IF($R$17="Distrato",$I$38-1,0)),IF(AND($L$37=0,$P$34=0),"",$L$37-1),IF($R$17="Distrato",$E510,0)),MIN(Q$38,$D$19),$P$20))-SUM($P510:P510)</f>
        <v>#VALUE!</v>
      </c>
      <c r="R510" s="446" t="e">
        <f>IF(OR($B510="",MIN(R$38,$D$19)&lt;MAX($P$34*($B510+IF($R$17="Distrato",$I$38-1,0)),IF(AND($L$37=0,$P$34=0),"",$L$37-1),IF($R$17="Distrato",$E510,0))),0,YEARFRAC(MAX($P$34*($B510+IF($R$17="Distrato",$I$38-1,0)),IF(AND($L$37=0,$P$34=0),"",$L$37-1),IF($R$17="Distrato",$E510,0)),MIN(R$38,$D$19),$P$20))-SUM($P510:Q510)</f>
        <v>#VALUE!</v>
      </c>
      <c r="S510" s="446" t="e">
        <f>IF(OR($B510="",MIN(S$38,$D$19)&lt;MAX($P$34*($B510+IF($R$17="Distrato",$I$38-1,0)),IF(AND($L$37=0,$P$34=0),"",$L$37-1),IF($R$17="Distrato",$E510,0))),0,YEARFRAC(MAX($P$34*($B510+IF($R$17="Distrato",$I$38-1,0)),IF(AND($L$37=0,$P$34=0),"",$L$37-1),IF($R$17="Distrato",$E510,0)),MIN(S$38,$D$19),$P$20))-SUM($P510:R510)</f>
        <v>#VALUE!</v>
      </c>
      <c r="T510" s="446" t="e">
        <f>IF(OR($B510="",MIN(T$38,$D$19)&lt;MAX($P$34*($B510+IF($R$17="Distrato",$I$38-1,0)),IF(AND($L$37=0,$P$34=0),"",$L$37-1),IF($R$17="Distrato",$E510,0))),0,YEARFRAC(MAX($P$34*($B510+IF($R$17="Distrato",$I$38-1,0)),IF(AND($L$37=0,$P$34=0),"",$L$37-1),IF($R$17="Distrato",$E510,0)),MIN(T$38,$D$19),$P$20))-SUM($P510:S510)</f>
        <v>#VALUE!</v>
      </c>
      <c r="U510" s="446" t="e">
        <f>IF(OR($B510="",MIN(U$38,$D$19)&lt;MAX($P$34*($B510+IF($R$17="Distrato",$I$38-1,0)),IF(AND($L$37=0,$P$34=0),"",$L$37-1),IF($R$17="Distrato",$E510,0))),0,YEARFRAC(MAX($P$34*($B510+IF($R$17="Distrato",$I$38-1,0)),IF(AND($L$37=0,$P$34=0),"",$L$37-1),IF($R$17="Distrato",$E510,0)),MIN(U$38,$D$19),$P$20))-SUM($P510:T510)</f>
        <v>#VALUE!</v>
      </c>
      <c r="V510" s="446" t="e">
        <f>IF(OR($B510="",MIN(V$38,$D$19)&lt;MAX($P$34*($B510+IF($R$17="Distrato",$I$38-1,0)),IF(AND($L$37=0,$P$34=0),"",$L$37-1),IF($R$17="Distrato",$E510,0))),0,YEARFRAC(MAX($P$34*($B510+IF($R$17="Distrato",$I$38-1,0)),IF(AND($L$37=0,$P$34=0),"",$L$37-1),IF($R$17="Distrato",$E510,0)),MIN(V$38,$D$19),$P$20))-SUM($P510:U510)</f>
        <v>#VALUE!</v>
      </c>
      <c r="W510" s="446" t="e">
        <f>IF(OR($B510="",MIN(W$38,$D$19)&lt;MAX($P$34*($B510+IF($R$17="Distrato",$I$38-1,0)),IF(AND($L$37=0,$P$34=0),"",$L$37-1),IF($R$17="Distrato",$E510,0))),0,YEARFRAC(MAX($P$34*($B510+IF($R$17="Distrato",$I$38-1,0)),IF(AND($L$37=0,$P$34=0),"",$L$37-1),IF($R$17="Distrato",$E510,0)),MIN(W$38,$D$19),$P$20))-SUM($P510:V510)</f>
        <v>#VALUE!</v>
      </c>
      <c r="X510" s="446" t="e">
        <f>IF(OR($B510="",MIN(X$38,$D$19)&lt;MAX($P$34*($B510+IF($R$17="Distrato",$I$38-1,0)),IF(AND($L$37=0,$P$34=0),"",$L$37-1),IF($R$17="Distrato",$E510,0))),0,YEARFRAC(MAX($P$34*($B510+IF($R$17="Distrato",$I$38-1,0)),IF(AND($L$37=0,$P$34=0),"",$L$37-1),IF($R$17="Distrato",$E510,0)),MIN(X$38,$D$19),$P$20))-SUM($P510:W510)</f>
        <v>#VALUE!</v>
      </c>
      <c r="Y510" s="446" t="e">
        <f>IF(OR($B510="",MIN(Y$38,$D$19)&lt;MAX($P$34*($B510+IF($R$17="Distrato",$I$38-1,0)),IF(AND($L$37=0,$P$34=0),"",$L$37-1),IF($R$17="Distrato",$E510,0))),0,YEARFRAC(MAX($P$34*($B510+IF($R$17="Distrato",$I$38-1,0)),IF(AND($L$37=0,$P$34=0),"",$L$37-1),IF($R$17="Distrato",$E510,0)),MIN(Y$38,$D$19),$P$20))-SUM($P510:X510)</f>
        <v>#VALUE!</v>
      </c>
      <c r="Z510" s="446" t="e">
        <f>IF(OR($B510="",MIN(Z$38,$D$19)&lt;MAX($P$34*($B510+IF($R$17="Distrato",$I$38-1,0)),IF(AND($L$37=0,$P$34=0),"",$L$37-1),IF($R$17="Distrato",$E510,0))),0,YEARFRAC(MAX($P$34*($B510+IF($R$17="Distrato",$I$38-1,0)),IF(AND($L$37=0,$P$34=0),"",$L$37-1),IF($R$17="Distrato",$E510,0)),MIN(Z$38,$D$19),$P$20))-SUM($P510:Y510)</f>
        <v>#VALUE!</v>
      </c>
      <c r="AA510" s="446" t="e">
        <f>IF(OR($B510="",MIN(AA$38,$D$19)&lt;MAX($P$34*($B510+IF($R$17="Distrato",$I$38-1,0)),IF(AND($L$37=0,$P$34=0),"",$L$37-1),IF($R$17="Distrato",$E510,0))),0,YEARFRAC(MAX($P$34*($B510+IF($R$17="Distrato",$I$38-1,0)),IF(AND($L$37=0,$P$34=0),"",$L$37-1),IF($R$17="Distrato",$E510,0)),MIN(AA$38,$D$19),$P$20))-SUM($P510:Z510)</f>
        <v>#VALUE!</v>
      </c>
      <c r="AB510" s="446" t="e">
        <f>IF(OR($B510="",MIN(AB$38,$D$19)&lt;MAX($P$34*($B510+IF($R$17="Distrato",$I$38-1,0)),IF(AND($L$37=0,$P$34=0),"",$L$37-1),IF($R$17="Distrato",$E510,0))),0,YEARFRAC(MAX($P$34*($B510+IF($R$17="Distrato",$I$38-1,0)),IF(AND($L$37=0,$P$34=0),"",$L$37-1),IF($R$17="Distrato",$E510,0)),MIN(AB$38,$D$19),$P$20))-SUM($P510:AA510)</f>
        <v>#VALUE!</v>
      </c>
      <c r="AC510" s="446" t="e">
        <f>IF(OR($B510="",MIN(AC$38,$D$19)&lt;MAX($P$34*($B510+IF($R$17="Distrato",$I$38-1,0)),IF(AND($L$37=0,$P$34=0),"",$L$37-1),IF($R$17="Distrato",$E510,0))),0,YEARFRAC(MAX($P$34*($B510+IF($R$17="Distrato",$I$38-1,0)),IF(AND($L$37=0,$P$34=0),"",$L$37-1),IF($R$17="Distrato",$E510,0)),MIN(AC$38,$D$19),$P$20))-SUM($P510:AB510)</f>
        <v>#VALUE!</v>
      </c>
      <c r="AD510" s="446" t="e">
        <f>IF(OR($B510="",MIN(AD$38,$D$19)&lt;MAX($P$34*($B510+IF($R$17="Distrato",$I$38-1,0)),IF(AND($L$37=0,$P$34=0),"",$L$37-1),IF($R$17="Distrato",$E510,0))),0,YEARFRAC(MAX($P$34*($B510+IF($R$17="Distrato",$I$38-1,0)),IF(AND($L$37=0,$P$34=0),"",$L$37-1),IF($R$17="Distrato",$E510,0)),MIN(AD$38,$D$19),$P$20))-SUM($P510:AC510)</f>
        <v>#VALUE!</v>
      </c>
      <c r="AE510" s="446" t="e">
        <f>IF(OR($B510="",MIN(AE$38,$D$19)&lt;MAX($P$34*($B510+IF($R$17="Distrato",$I$38-1,0)),IF(AND($L$37=0,$P$34=0),"",$L$37-1),IF($R$17="Distrato",$E510,0))),0,YEARFRAC(MAX($P$34*($B510+IF($R$17="Distrato",$I$38-1,0)),IF(AND($L$37=0,$P$34=0),"",$L$37-1),IF($R$17="Distrato",$E510,0)),MIN(AE$38,$D$19),$P$20))-SUM($P510:AD510)</f>
        <v>#VALUE!</v>
      </c>
      <c r="AF510" s="446" t="e">
        <f>IF(OR($B510="",MIN(AF$38,$D$19)&lt;MAX($P$34*($B510+IF($R$17="Distrato",$I$38-1,0)),IF(AND($L$37=0,$P$34=0),"",$L$37-1),IF($R$17="Distrato",$E510,0))),0,YEARFRAC(MAX($P$34*($B510+IF($R$17="Distrato",$I$38-1,0)),IF(AND($L$37=0,$P$34=0),"",$L$37-1),IF($R$17="Distrato",$E510,0)),MIN(AF$38,$D$19),$P$20))-SUM($P510:AE510)</f>
        <v>#VALUE!</v>
      </c>
      <c r="AG510" s="446" t="e">
        <f>IF(OR($B510="",MIN(AG$38,$D$19)&lt;MAX($P$34*($B510+IF($R$17="Distrato",$I$38-1,0)),IF(AND($L$37=0,$P$34=0),"",$L$37-1),IF($R$17="Distrato",$E510,0))),0,YEARFRAC(MAX($P$34*($B510+IF($R$17="Distrato",$I$38-1,0)),IF(AND($L$37=0,$P$34=0),"",$L$37-1),IF($R$17="Distrato",$E510,0)),MIN(AG$38,$D$19),$P$20))-SUM($P510:AF510)</f>
        <v>#VALUE!</v>
      </c>
      <c r="AH510" s="446" t="e">
        <f>IF(OR($B510="",MIN(AH$38,$D$19)&lt;MAX($P$34*($B510+IF($R$17="Distrato",$I$38-1,0)),IF(AND($L$37=0,$P$34=0),"",$L$37-1),IF($R$17="Distrato",$E510,0))),0,YEARFRAC(MAX($P$34*($B510+IF($R$17="Distrato",$I$38-1,0)),IF(AND($L$37=0,$P$34=0),"",$L$37-1),IF($R$17="Distrato",$E510,0)),MIN(AH$38,$D$19),$P$20))-SUM($P510:AG510)</f>
        <v>#VALUE!</v>
      </c>
      <c r="AI510" s="446" t="e">
        <f>IF(OR($B510="",MIN(AI$38,$D$19)&lt;MAX($P$34*($B510+IF($R$17="Distrato",$I$38-1,0)),IF(AND($L$37=0,$P$34=0),"",$L$37-1),IF($R$17="Distrato",$E510,0))),0,YEARFRAC(MAX($P$34*($B510+IF($R$17="Distrato",$I$38-1,0)),IF(AND($L$37=0,$P$34=0),"",$L$37-1),IF($R$17="Distrato",$E510,0)),MIN(AI$38,$D$19),$P$20))-SUM($P510:AH510)</f>
        <v>#VALUE!</v>
      </c>
      <c r="AJ510" s="446" t="e">
        <f>IF(OR($B510="",MIN(AJ$38,$D$19)&lt;MAX($P$34*($B510+IF($R$17="Distrato",$I$38-1,0)),IF(AND($L$37=0,$P$34=0),"",$L$37-1),IF($R$17="Distrato",$E510,0))),0,YEARFRAC(MAX($P$34*($B510+IF($R$17="Distrato",$I$38-1,0)),IF(AND($L$37=0,$P$34=0),"",$L$37-1),IF($R$17="Distrato",$E510,0)),MIN(AJ$38,$D$19),$P$20))-SUM($P510:AI510)</f>
        <v>#VALUE!</v>
      </c>
      <c r="AK510" s="446" t="e">
        <f>IF(OR($B510="",MIN(AK$38,$D$19)&lt;MAX($P$34*($B510+IF($R$17="Distrato",$I$38-1,0)),IF(AND($L$37=0,$P$34=0),"",$L$37-1),IF($R$17="Distrato",$E510,0))),0,YEARFRAC(MAX($P$34*($B510+IF($R$17="Distrato",$I$38-1,0)),IF(AND($L$37=0,$P$34=0),"",$L$37-1),IF($R$17="Distrato",$E510,0)),MIN(AK$38,$D$19),$P$20))-SUM($P510:AJ510)</f>
        <v>#VALUE!</v>
      </c>
      <c r="AL510" s="446" t="e">
        <f>IF(OR($B510="",MIN(AL$38,$D$19)&lt;MAX($P$34*($B510+IF($R$17="Distrato",$I$38-1,0)),IF(AND($L$37=0,$P$34=0),"",$L$37-1),IF($R$17="Distrato",$E510,0))),0,YEARFRAC(MAX($P$34*($B510+IF($R$17="Distrato",$I$38-1,0)),IF(AND($L$37=0,$P$34=0),"",$L$37-1),IF($R$17="Distrato",$E510,0)),MIN(AL$38,$D$19),$P$20))-SUM($P510:AK510)</f>
        <v>#VALUE!</v>
      </c>
      <c r="AM510" s="446" t="e">
        <f>IF(OR($B510="",MIN(AM$38,$D$19)&lt;MAX($P$34*($B510+IF($R$17="Distrato",$I$38-1,0)),IF(AND($L$37=0,$P$34=0),"",$L$37-1),IF($R$17="Distrato",$E510,0))),0,YEARFRAC(MAX($P$34*($B510+IF($R$17="Distrato",$I$38-1,0)),IF(AND($L$37=0,$P$34=0),"",$L$37-1),IF($R$17="Distrato",$E510,0)),MIN(AM$38,$D$19),$P$20))-SUM($P510:AL510)</f>
        <v>#VALUE!</v>
      </c>
      <c r="AN510" s="446" t="e">
        <f>IF(OR($B510="",MIN(AN$38,$D$19)&lt;MAX($P$34*($B510+IF($R$17="Distrato",$I$38-1,0)),IF(AND($L$37=0,$P$34=0),"",$L$37-1),IF($R$17="Distrato",$E510,0))),0,YEARFRAC(MAX($P$34*($B510+IF($R$17="Distrato",$I$38-1,0)),IF(AND($L$37=0,$P$34=0),"",$L$37-1),IF($R$17="Distrato",$E510,0)),MIN(AN$38,$D$19),$P$20))-SUM($P510:AM510)</f>
        <v>#VALUE!</v>
      </c>
      <c r="AO510" s="446" t="e">
        <f>IF(OR($B510="",MIN(AO$38,$D$19)&lt;MAX($P$34*($B510+IF($R$17="Distrato",$I$38-1,0)),IF(AND($L$37=0,$P$34=0),"",$L$37-1),IF($R$17="Distrato",$E510,0))),0,YEARFRAC(MAX($P$34*($B510+IF($R$17="Distrato",$I$38-1,0)),IF(AND($L$37=0,$P$34=0),"",$L$37-1),IF($R$17="Distrato",$E510,0)),MIN(AO$38,$D$19),$P$20))-SUM($P510:AN510)</f>
        <v>#VALUE!</v>
      </c>
      <c r="AP510" s="446" t="e">
        <f>IF(OR($B510="",MIN(AP$38,$D$19)&lt;MAX($P$34*($B510+IF($R$17="Distrato",$I$38-1,0)),IF(AND($L$37=0,$P$34=0),"",$L$37-1),IF($R$17="Distrato",$E510,0))),0,YEARFRAC(MAX($P$34*($B510+IF($R$17="Distrato",$I$38-1,0)),IF(AND($L$37=0,$P$34=0),"",$L$37-1),IF($R$17="Distrato",$E510,0)),MIN(AP$38,$D$19),$P$20))-SUM($P510:AO510)</f>
        <v>#VALUE!</v>
      </c>
      <c r="AQ510" s="446" t="e">
        <f>IF(OR($B510="",MIN(AQ$38,$D$19)&lt;MAX($P$34*($B510+IF($R$17="Distrato",$I$38-1,0)),IF(AND($L$37=0,$P$34=0),"",$L$37-1),IF($R$17="Distrato",$E510,0))),0,YEARFRAC(MAX($P$34*($B510+IF($R$17="Distrato",$I$38-1,0)),IF(AND($L$37=0,$P$34=0),"",$L$37-1),IF($R$17="Distrato",$E510,0)),MIN(AQ$38,$D$19),$P$20))-SUM($P510:AP510)</f>
        <v>#VALUE!</v>
      </c>
      <c r="AR510" s="446" t="e">
        <f>IF(OR($B510="",MIN(AR$38,$D$19)&lt;MAX($P$34*($B510+IF($R$17="Distrato",$I$38-1,0)),IF(AND($L$37=0,$P$34=0),"",$L$37-1),IF($R$17="Distrato",$E510,0))),0,YEARFRAC(MAX($P$34*($B510+IF($R$17="Distrato",$I$38-1,0)),IF(AND($L$37=0,$P$34=0),"",$L$37-1),IF($R$17="Distrato",$E510,0)),MIN(AR$38,$D$19),$P$20))-SUM($P510:AQ510)</f>
        <v>#VALUE!</v>
      </c>
      <c r="AS510" s="446" t="e">
        <f>IF(OR($B510="",MIN(AS$38,$D$19)&lt;MAX($P$34*($B510+IF($R$17="Distrato",$I$38-1,0)),IF(AND($L$37=0,$P$34=0),"",$L$37-1),IF($R$17="Distrato",$E510,0))),0,YEARFRAC(MAX($P$34*($B510+IF($R$17="Distrato",$I$38-1,0)),IF(AND($L$37=0,$P$34=0),"",$L$37-1),IF($R$17="Distrato",$E510,0)),MIN(AS$38,$D$19),$P$20))-SUM($P510:AR510)</f>
        <v>#VALUE!</v>
      </c>
      <c r="AT510" s="446" t="e">
        <f>IF(OR($B510="",MIN(AT$38,$D$19)&lt;MAX($P$34*($B510+IF($R$17="Distrato",$I$38-1,0)),IF(AND($L$37=0,$P$34=0),"",$L$37-1),IF($R$17="Distrato",$E510,0))),0,YEARFRAC(MAX($P$34*($B510+IF($R$17="Distrato",$I$38-1,0)),IF(AND($L$37=0,$P$34=0),"",$L$37-1),IF($R$17="Distrato",$E510,0)),MIN(AT$38,$D$19),$P$20))-SUM($P510:AS510)</f>
        <v>#VALUE!</v>
      </c>
      <c r="AU510" s="446" t="e">
        <f>IF(OR($B510="",MIN(AU$38,$D$19)&lt;MAX($P$34*($B510+IF($R$17="Distrato",$I$38-1,0)),IF(AND($L$37=0,$P$34=0),"",$L$37-1),IF($R$17="Distrato",$E510,0))),0,YEARFRAC(MAX($P$34*($B510+IF($R$17="Distrato",$I$38-1,0)),IF(AND($L$37=0,$P$34=0),"",$L$37-1),IF($R$17="Distrato",$E510,0)),MIN(AU$38,$D$19),$P$20))-SUM($P510:AT510)</f>
        <v>#VALUE!</v>
      </c>
      <c r="AV510" s="446" t="e">
        <f>IF(OR($B510="",MIN(AV$38,$D$19)&lt;MAX($P$34*($B510+IF($R$17="Distrato",$I$38-1,0)),IF(AND($L$37=0,$P$34=0),"",$L$37-1),IF($R$17="Distrato",$E510,0))),0,YEARFRAC(MAX($P$34*($B510+IF($R$17="Distrato",$I$38-1,0)),IF(AND($L$37=0,$P$34=0),"",$L$37-1),IF($R$17="Distrato",$E510,0)),MIN(AV$38,$D$19),$P$20))-SUM($P510:AU510)</f>
        <v>#VALUE!</v>
      </c>
      <c r="AW510" s="446" t="e">
        <f>IF(OR($B510="",MIN(AW$38,$D$19)&lt;MAX($P$34*($B510+IF($R$17="Distrato",$I$38-1,0)),IF(AND($L$37=0,$P$34=0),"",$L$37-1),IF($R$17="Distrato",$E510,0))),0,YEARFRAC(MAX($P$34*($B510+IF($R$17="Distrato",$I$38-1,0)),IF(AND($L$37=0,$P$34=0),"",$L$37-1),IF($R$17="Distrato",$E510,0)),MIN(AW$38,$D$19),$P$20))-SUM($P510:AV510)</f>
        <v>#VALUE!</v>
      </c>
      <c r="AX510" s="446" t="e">
        <f>IF(OR($B510="",MIN(AX$38,$D$19)&lt;MAX($P$34*($B510+IF($R$17="Distrato",$I$38-1,0)),IF(AND($L$37=0,$P$34=0),"",$L$37-1),IF($R$17="Distrato",$E510,0))),0,YEARFRAC(MAX($P$34*($B510+IF($R$17="Distrato",$I$38-1,0)),IF(AND($L$37=0,$P$34=0),"",$L$37-1),IF($R$17="Distrato",$E510,0)),MIN(AX$38,$D$19),$P$20))-SUM($P510:AW510)</f>
        <v>#VALUE!</v>
      </c>
      <c r="AY510" s="446" t="e">
        <f>IF(OR($B510="",MIN(AY$38,$D$19)&lt;MAX($P$34*($B510+IF($R$17="Distrato",$I$38-1,0)),IF(AND($L$37=0,$P$34=0),"",$L$37-1),IF($R$17="Distrato",$E510,0))),0,YEARFRAC(MAX($P$34*($B510+IF($R$17="Distrato",$I$38-1,0)),IF(AND($L$37=0,$P$34=0),"",$L$37-1),IF($R$17="Distrato",$E510,0)),MIN(AY$38,$D$19),$P$20))-SUM($P510:AX510)</f>
        <v>#VALUE!</v>
      </c>
      <c r="AZ510" s="446" t="e">
        <f>IF(OR($B510="",MIN(AZ$38,$D$19)&lt;MAX($P$34*($B510+IF($R$17="Distrato",$I$38-1,0)),IF(AND($L$37=0,$P$34=0),"",$L$37-1),IF($R$17="Distrato",$E510,0))),0,YEARFRAC(MAX($P$34*($B510+IF($R$17="Distrato",$I$38-1,0)),IF(AND($L$37=0,$P$34=0),"",$L$37-1),IF($R$17="Distrato",$E510,0)),MIN(AZ$38,$D$19),$P$20))-SUM($P510:AY510)</f>
        <v>#VALUE!</v>
      </c>
      <c r="BA510" s="446" t="e">
        <f>IF(OR($B510="",MIN(BA$38,$D$19)&lt;MAX($P$34*($B510+IF($R$17="Distrato",$I$38-1,0)),IF(AND($L$37=0,$P$34=0),"",$L$37-1),IF($R$17="Distrato",$E510,0))),0,YEARFRAC(MAX($P$34*($B510+IF($R$17="Distrato",$I$38-1,0)),IF(AND($L$37=0,$P$34=0),"",$L$37-1),IF($R$17="Distrato",$E510,0)),MIN(BA$38,$D$19),$P$20))-SUM($P510:AZ510)</f>
        <v>#VALUE!</v>
      </c>
      <c r="BB510" s="447"/>
      <c r="BF510" s="446">
        <f t="shared" si="87"/>
        <v>0</v>
      </c>
      <c r="BG510" s="446">
        <f>IF($E510=0,0,IF(MIN(BG$38,$E510)&lt;MAX($P$34*($B510+$I$38-1),IF(AND($L$37=0,$P$34=0),"",$L$37-1)),0,YEARFRAC(MAX($P$34*($B510+$I$38-1),IF(AND($L$37=0,$P$34=0),"",$L$37-1)),MIN(BG$38,$E510),$P$20))-SUM($BF510:BF510))</f>
        <v>0</v>
      </c>
      <c r="BH510" s="446">
        <f>IF($E510=0,0,IF(MIN(BH$38,$E510)&lt;MAX($P$34*($B510+$I$38-1),IF(AND($L$37=0,$P$34=0),"",$L$37-1)),0,YEARFRAC(MAX($P$34*($B510+$I$38-1),IF(AND($L$37=0,$P$34=0),"",$L$37-1)),MIN(BH$38,$E510),$P$20))-SUM($BF510:BG510))</f>
        <v>0</v>
      </c>
      <c r="BI510" s="446">
        <f>IF($E510=0,0,IF(MIN(BI$38,$E510)&lt;MAX($P$34*($B510+$I$38-1),IF(AND($L$37=0,$P$34=0),"",$L$37-1)),0,YEARFRAC(MAX($P$34*($B510+$I$38-1),IF(AND($L$37=0,$P$34=0),"",$L$37-1)),MIN(BI$38,$E510),$P$20))-SUM($BF510:BH510))</f>
        <v>0</v>
      </c>
      <c r="BJ510" s="446">
        <f>IF($E510=0,0,IF(MIN(BJ$38,$E510)&lt;MAX($P$34*($B510+$I$38-1),IF(AND($L$37=0,$P$34=0),"",$L$37-1)),0,YEARFRAC(MAX($P$34*($B510+$I$38-1),IF(AND($L$37=0,$P$34=0),"",$L$37-1)),MIN(BJ$38,$E510),$P$20))-SUM($BF510:BI510))</f>
        <v>0</v>
      </c>
      <c r="BK510" s="446">
        <f>IF($E510=0,0,IF(MIN(BK$38,$E510)&lt;MAX($P$34*($B510+$I$38-1),IF(AND($L$37=0,$P$34=0),"",$L$37-1)),0,YEARFRAC(MAX($P$34*($B510+$I$38-1),IF(AND($L$37=0,$P$34=0),"",$L$37-1)),MIN(BK$38,$E510),$P$20))-SUM($BF510:BJ510))</f>
        <v>0</v>
      </c>
      <c r="BL510" s="446">
        <f>IF($E510=0,0,IF(MIN(BL$38,$E510)&lt;MAX($P$34*($B510+$I$38-1),IF(AND($L$37=0,$P$34=0),"",$L$37-1)),0,YEARFRAC(MAX($P$34*($B510+$I$38-1),IF(AND($L$37=0,$P$34=0),"",$L$37-1)),MIN(BL$38,$E510),$P$20))-SUM($BF510:BK510))</f>
        <v>0</v>
      </c>
      <c r="BM510" s="446">
        <f>IF($E510=0,0,IF(MIN(BM$38,$E510)&lt;MAX($P$34*($B510+$I$38-1),IF(AND($L$37=0,$P$34=0),"",$L$37-1)),0,YEARFRAC(MAX($P$34*($B510+$I$38-1),IF(AND($L$37=0,$P$34=0),"",$L$37-1)),MIN(BM$38,$E510),$P$20))-SUM($BF510:BL510))</f>
        <v>0</v>
      </c>
      <c r="BN510" s="446">
        <f>IF($E510=0,0,IF(MIN(BN$38,$E510)&lt;MAX($P$34*($B510+$I$38-1),IF(AND($L$37=0,$P$34=0),"",$L$37-1)),0,YEARFRAC(MAX($P$34*($B510+$I$38-1),IF(AND($L$37=0,$P$34=0),"",$L$37-1)),MIN(BN$38,$E510),$P$20))-SUM($BF510:BM510))</f>
        <v>0</v>
      </c>
      <c r="BO510" s="446">
        <f>IF($E510=0,0,IF(MIN(BO$38,$E510)&lt;MAX($P$34*($B510+$I$38-1),IF(AND($L$37=0,$P$34=0),"",$L$37-1)),0,YEARFRAC(MAX($P$34*($B510+$I$38-1),IF(AND($L$37=0,$P$34=0),"",$L$37-1)),MIN(BO$38,$E510),$P$20))-SUM($BF510:BN510))</f>
        <v>0</v>
      </c>
      <c r="BP510" s="446">
        <f>IF($E510=0,0,IF(MIN(BP$38,$E510)&lt;MAX($P$34*($B510+$I$38-1),IF(AND($L$37=0,$P$34=0),"",$L$37-1)),0,YEARFRAC(MAX($P$34*($B510+$I$38-1),IF(AND($L$37=0,$P$34=0),"",$L$37-1)),MIN(BP$38,$E510),$P$20))-SUM($BF510:BO510))</f>
        <v>0</v>
      </c>
      <c r="BQ510" s="446">
        <f>IF($E510=0,0,IF(MIN(BQ$38,$E510)&lt;MAX($P$34*($B510+$I$38-1),IF(AND($L$37=0,$P$34=0),"",$L$37-1)),0,YEARFRAC(MAX($P$34*($B510+$I$38-1),IF(AND($L$37=0,$P$34=0),"",$L$37-1)),MIN(BQ$38,$E510),$P$20))-SUM($BF510:BP510))</f>
        <v>0</v>
      </c>
      <c r="BR510" s="446">
        <f>IF($E510=0,0,IF(MIN(BR$38,$E510)&lt;MAX($P$34*($B510+$I$38-1),IF(AND($L$37=0,$P$34=0),"",$L$37-1)),0,YEARFRAC(MAX($P$34*($B510+$I$38-1),IF(AND($L$37=0,$P$34=0),"",$L$37-1)),MIN(BR$38,$E510),$P$20))-SUM($BF510:BQ510))</f>
        <v>0</v>
      </c>
      <c r="BS510" s="446">
        <f>IF($E510=0,0,IF(MIN(BS$38,$E510)&lt;MAX($P$34*($B510+$I$38-1),IF(AND($L$37=0,$P$34=0),"",$L$37-1)),0,YEARFRAC(MAX($P$34*($B510+$I$38-1),IF(AND($L$37=0,$P$34=0),"",$L$37-1)),MIN(BS$38,$E510),$P$20))-SUM($BF510:BR510))</f>
        <v>0</v>
      </c>
      <c r="BT510" s="446">
        <f>IF($E510=0,0,IF(MIN(BT$38,$E510)&lt;MAX($P$34*($B510+$I$38-1),IF(AND($L$37=0,$P$34=0),"",$L$37-1)),0,YEARFRAC(MAX($P$34*($B510+$I$38-1),IF(AND($L$37=0,$P$34=0),"",$L$37-1)),MIN(BT$38,$E510),$P$20))-SUM($BF510:BS510))</f>
        <v>0</v>
      </c>
      <c r="BU510" s="446">
        <f>IF($E510=0,0,IF(MIN(BU$38,$E510)&lt;MAX($P$34*($B510+$I$38-1),IF(AND($L$37=0,$P$34=0),"",$L$37-1)),0,YEARFRAC(MAX($P$34*($B510+$I$38-1),IF(AND($L$37=0,$P$34=0),"",$L$37-1)),MIN(BU$38,$E510),$P$20))-SUM($BF510:BT510))</f>
        <v>0</v>
      </c>
      <c r="BV510" s="446">
        <f>IF($E510=0,0,IF(MIN(BV$38,$E510)&lt;MAX($P$34*($B510+$I$38-1),IF(AND($L$37=0,$P$34=0),"",$L$37-1)),0,YEARFRAC(MAX($P$34*($B510+$I$38-1),IF(AND($L$37=0,$P$34=0),"",$L$37-1)),MIN(BV$38,$E510),$P$20))-SUM($BF510:BU510))</f>
        <v>0</v>
      </c>
      <c r="BW510" s="446">
        <f>IF($E510=0,0,IF(MIN(BW$38,$E510)&lt;MAX($P$34*($B510+$I$38-1),IF(AND($L$37=0,$P$34=0),"",$L$37-1)),0,YEARFRAC(MAX($P$34*($B510+$I$38-1),IF(AND($L$37=0,$P$34=0),"",$L$37-1)),MIN(BW$38,$E510),$P$20))-SUM($BF510:BV510))</f>
        <v>0</v>
      </c>
      <c r="BX510" s="446">
        <f>IF($E510=0,0,IF(MIN(BX$38,$E510)&lt;MAX($P$34*($B510+$I$38-1),IF(AND($L$37=0,$P$34=0),"",$L$37-1)),0,YEARFRAC(MAX($P$34*($B510+$I$38-1),IF(AND($L$37=0,$P$34=0),"",$L$37-1)),MIN(BX$38,$E510),$P$20))-SUM($BF510:BW510))</f>
        <v>0</v>
      </c>
      <c r="BY510" s="446">
        <f>IF($E510=0,0,IF(MIN(BY$38,$E510)&lt;MAX($P$34*($B510+$I$38-1),IF(AND($L$37=0,$P$34=0),"",$L$37-1)),0,YEARFRAC(MAX($P$34*($B510+$I$38-1),IF(AND($L$37=0,$P$34=0),"",$L$37-1)),MIN(BY$38,$E510),$P$20))-SUM($BF510:BX510))</f>
        <v>0</v>
      </c>
      <c r="BZ510" s="446">
        <f>IF($E510=0,0,IF(MIN(BZ$38,$E510)&lt;MAX($P$34*($B510+$I$38-1),IF(AND($L$37=0,$P$34=0),"",$L$37-1)),0,YEARFRAC(MAX($P$34*($B510+$I$38-1),IF(AND($L$37=0,$P$34=0),"",$L$37-1)),MIN(BZ$38,$E510),$P$20))-SUM($BF510:BY510))</f>
        <v>0</v>
      </c>
      <c r="CA510" s="446">
        <f>IF($E510=0,0,IF(MIN(CA$38,$E510)&lt;MAX($P$34*($B510+$I$38-1),IF(AND($L$37=0,$P$34=0),"",$L$37-1)),0,YEARFRAC(MAX($P$34*($B510+$I$38-1),IF(AND($L$37=0,$P$34=0),"",$L$37-1)),MIN(CA$38,$E510),$P$20))-SUM($BF510:BZ510))</f>
        <v>0</v>
      </c>
      <c r="CB510" s="446">
        <f>IF($E510=0,0,IF(MIN(CB$38,$E510)&lt;MAX($P$34*($B510+$I$38-1),IF(AND($L$37=0,$P$34=0),"",$L$37-1)),0,YEARFRAC(MAX($P$34*($B510+$I$38-1),IF(AND($L$37=0,$P$34=0),"",$L$37-1)),MIN(CB$38,$E510),$P$20))-SUM($BF510:CA510))</f>
        <v>0</v>
      </c>
      <c r="CC510" s="446">
        <f>IF($E510=0,0,IF(MIN(CC$38,$E510)&lt;MAX($P$34*($B510+$I$38-1),IF(AND($L$37=0,$P$34=0),"",$L$37-1)),0,YEARFRAC(MAX($P$34*($B510+$I$38-1),IF(AND($L$37=0,$P$34=0),"",$L$37-1)),MIN(CC$38,$E510),$P$20))-SUM($BF510:CB510))</f>
        <v>0</v>
      </c>
      <c r="CD510" s="446">
        <f>IF($E510=0,0,IF(MIN(CD$38,$E510)&lt;MAX($P$34*($B510+$I$38-1),IF(AND($L$37=0,$P$34=0),"",$L$37-1)),0,YEARFRAC(MAX($P$34*($B510+$I$38-1),IF(AND($L$37=0,$P$34=0),"",$L$37-1)),MIN(CD$38,$E510),$P$20))-SUM($BF510:CC510))</f>
        <v>0</v>
      </c>
      <c r="CE510" s="446">
        <f>IF($E510=0,0,IF(MIN(CE$38,$E510)&lt;MAX($P$34*($B510+$I$38-1),IF(AND($L$37=0,$P$34=0),"",$L$37-1)),0,YEARFRAC(MAX($P$34*($B510+$I$38-1),IF(AND($L$37=0,$P$34=0),"",$L$37-1)),MIN(CE$38,$E510),$P$20))-SUM($BF510:CD510))</f>
        <v>0</v>
      </c>
      <c r="CF510" s="446">
        <f>IF($E510=0,0,IF(MIN(CF$38,$E510)&lt;MAX($P$34*($B510+$I$38-1),IF(AND($L$37=0,$P$34=0),"",$L$37-1)),0,YEARFRAC(MAX($P$34*($B510+$I$38-1),IF(AND($L$37=0,$P$34=0),"",$L$37-1)),MIN(CF$38,$E510),$P$20))-SUM($BF510:CE510))</f>
        <v>0</v>
      </c>
      <c r="CG510" s="446">
        <f>IF($E510=0,0,IF(MIN(CG$38,$E510)&lt;MAX($P$34*($B510+$I$38-1),IF(AND($L$37=0,$P$34=0),"",$L$37-1)),0,YEARFRAC(MAX($P$34*($B510+$I$38-1),IF(AND($L$37=0,$P$34=0),"",$L$37-1)),MIN(CG$38,$E510),$P$20))-SUM($BF510:CF510))</f>
        <v>0</v>
      </c>
      <c r="CH510" s="446">
        <f>IF($E510=0,0,IF(MIN(CH$38,$E510)&lt;MAX($P$34*($B510+$I$38-1),IF(AND($L$37=0,$P$34=0),"",$L$37-1)),0,YEARFRAC(MAX($P$34*($B510+$I$38-1),IF(AND($L$37=0,$P$34=0),"",$L$37-1)),MIN(CH$38,$E510),$P$20))-SUM($BF510:CG510))</f>
        <v>0</v>
      </c>
      <c r="CI510" s="446">
        <f>IF($E510=0,0,IF(MIN(CI$38,$E510)&lt;MAX($P$34*($B510+$I$38-1),IF(AND($L$37=0,$P$34=0),"",$L$37-1)),0,YEARFRAC(MAX($P$34*($B510+$I$38-1),IF(AND($L$37=0,$P$34=0),"",$L$37-1)),MIN(CI$38,$E510),$P$20))-SUM($BF510:CH510))</f>
        <v>0</v>
      </c>
      <c r="CJ510" s="446">
        <f>IF($E510=0,0,IF(MIN(CJ$38,$E510)&lt;MAX($P$34*($B510+$I$38-1),IF(AND($L$37=0,$P$34=0),"",$L$37-1)),0,YEARFRAC(MAX($P$34*($B510+$I$38-1),IF(AND($L$37=0,$P$34=0),"",$L$37-1)),MIN(CJ$38,$E510),$P$20))-SUM($BF510:CI510))</f>
        <v>0</v>
      </c>
      <c r="CK510" s="446">
        <f>IF($E510=0,0,IF(MIN(CK$38,$E510)&lt;MAX($P$34*($B510+$I$38-1),IF(AND($L$37=0,$P$34=0),"",$L$37-1)),0,YEARFRAC(MAX($P$34*($B510+$I$38-1),IF(AND($L$37=0,$P$34=0),"",$L$37-1)),MIN(CK$38,$E510),$P$20))-SUM($BF510:CJ510))</f>
        <v>0</v>
      </c>
      <c r="CL510" s="446">
        <f>IF($E510=0,0,IF(MIN(CL$38,$E510)&lt;MAX($P$34*($B510+$I$38-1),IF(AND($L$37=0,$P$34=0),"",$L$37-1)),0,YEARFRAC(MAX($P$34*($B510+$I$38-1),IF(AND($L$37=0,$P$34=0),"",$L$37-1)),MIN(CL$38,$E510),$P$20))-SUM($BF510:CK510))</f>
        <v>0</v>
      </c>
      <c r="CM510" s="446">
        <f>IF($E510=0,0,IF(MIN(CM$38,$E510)&lt;MAX($P$34*($B510+$I$38-1),IF(AND($L$37=0,$P$34=0),"",$L$37-1)),0,YEARFRAC(MAX($P$34*($B510+$I$38-1),IF(AND($L$37=0,$P$34=0),"",$L$37-1)),MIN(CM$38,$E510),$P$20))-SUM($BF510:CL510))</f>
        <v>0</v>
      </c>
      <c r="CN510" s="446">
        <f>IF($E510=0,0,IF(MIN(CN$38,$E510)&lt;MAX($P$34*($B510+$I$38-1),IF(AND($L$37=0,$P$34=0),"",$L$37-1)),0,YEARFRAC(MAX($P$34*($B510+$I$38-1),IF(AND($L$37=0,$P$34=0),"",$L$37-1)),MIN(CN$38,$E510),$P$20))-SUM($BF510:CM510))</f>
        <v>0</v>
      </c>
      <c r="CO510" s="446">
        <f>IF($E510=0,0,IF(MIN(CO$38,$E510)&lt;MAX($P$34*($B510+$I$38-1),IF(AND($L$37=0,$P$34=0),"",$L$37-1)),0,YEARFRAC(MAX($P$34*($B510+$I$38-1),IF(AND($L$37=0,$P$34=0),"",$L$37-1)),MIN(CO$38,$E510),$P$20))-SUM($BF510:CN510))</f>
        <v>0</v>
      </c>
      <c r="CP510" s="446">
        <f>IF($E510=0,0,IF(MIN(CP$38,$E510)&lt;MAX($P$34*($B510+$I$38-1),IF(AND($L$37=0,$P$34=0),"",$L$37-1)),0,YEARFRAC(MAX($P$34*($B510+$I$38-1),IF(AND($L$37=0,$P$34=0),"",$L$37-1)),MIN(CP$38,$E510),$P$20))-SUM($BF510:CO510))</f>
        <v>0</v>
      </c>
      <c r="CQ510" s="446">
        <f>IF($E510=0,0,IF(MIN(CQ$38,$E510)&lt;MAX($P$34*($B510+$I$38-1),IF(AND($L$37=0,$P$34=0),"",$L$37-1)),0,YEARFRAC(MAX($P$34*($B510+$I$38-1),IF(AND($L$37=0,$P$34=0),"",$L$37-1)),MIN(CQ$38,$E510),$P$20))-SUM($BF510:CP510))</f>
        <v>0</v>
      </c>
    </row>
    <row r="511" spans="1:95" s="446" customFormat="1" ht="11.25" hidden="1" customHeight="1" x14ac:dyDescent="0.2">
      <c r="A511" s="152"/>
      <c r="B511" s="153" t="str">
        <f t="shared" si="92"/>
        <v/>
      </c>
      <c r="C511" s="29" t="str">
        <f>IF(B511="","",IF($L$35="SELIC - TRIBUTOS",VLOOKUP(DATE(YEAR($D$19),MONTH($D$19)-1,1),ÍNDICES!$A:$DE,HLOOKUP($BL$25,ÍNDICES!$B$3:$T$4,2)+11)-VLOOKUP(B511,ÍNDICES!$A:$DE,HLOOKUP($BL$25,ÍNDICES!$B$3:$T$4,2)+11)+1%,IF(C$38=$W$26,$J$35,IF(ISERROR(IF(B511&gt;$D$19,1,VLOOKUP(DATE(YEAR(B511),MONTH(B511)+IF($C$35=$S$23,1,0),1),ÍNDICES!$A:$DE,$Z$35+1))),"",IF(B511&gt;$D$19,1,VLOOKUP(DATE(YEAR(B511),MONTH(B511)+IF($C$35=$S$23,1,0),1),ÍNDICES!$A:$DE,$Z$35+1))))))</f>
        <v/>
      </c>
      <c r="D511" s="154" t="str">
        <f>IF(ISERROR(IF(OR($D$38=$Y$27,$B511=""),"",VLOOKUP(B511,ÍNDICES!A:DE,AF$35+1))),"",IF(OR($D$38=$Y$27,$B511=""),"",VLOOKUP(B511,ÍNDICES!A:DE,AF$35+1)))</f>
        <v/>
      </c>
      <c r="E511" s="153"/>
      <c r="F511" s="29" t="str">
        <f>IF(E511="","",IF($L$35="SELIC - TRIBUTOS",VLOOKUP(DATE(YEAR($D$19),MONTH($D$19)-1,1),ÍNDICES!$A:$DE,HLOOKUP($BL$25,ÍNDICES!$B$3:$T$4,2)+11)-VLOOKUP(E511,ÍNDICES!$A:$DE,HLOOKUP($BL$25,ÍNDICES!$B$3:$T$4,2)+11)+1%,IF(F$38=$W$26,$J$35,IF(ISERROR(IF(E511&gt;$D$19,1,VLOOKUP(DATE(YEAR(E511),MONTH(E511)+IF($C$35=$S$23,1,0),1),ÍNDICES!$A:$DE,$Z$35+1))),"",IF(E511&gt;$D$19,1,VLOOKUP(DATE(YEAR(E511),MONTH(E511)+IF($C$35=$S$23,1,0),1),ÍNDICES!$A:$DE,$Z$35+1))))))</f>
        <v/>
      </c>
      <c r="G511" s="155"/>
      <c r="H511" s="156" t="str">
        <f t="shared" si="88"/>
        <v/>
      </c>
      <c r="I511" s="29" t="str">
        <f t="shared" si="82"/>
        <v/>
      </c>
      <c r="J511" s="5">
        <f t="shared" si="83"/>
        <v>0</v>
      </c>
      <c r="K511" s="20">
        <f t="shared" ca="1" si="84"/>
        <v>0</v>
      </c>
      <c r="L511" s="5">
        <f t="shared" ca="1" si="85"/>
        <v>0</v>
      </c>
      <c r="M511" s="64">
        <f t="shared" si="89"/>
        <v>0</v>
      </c>
      <c r="N511" s="61">
        <f t="shared" ca="1" si="90"/>
        <v>0</v>
      </c>
      <c r="O511" s="5">
        <f t="shared" ca="1" si="91"/>
        <v>0</v>
      </c>
      <c r="P511" s="446" t="e">
        <f t="shared" si="86"/>
        <v>#VALUE!</v>
      </c>
      <c r="Q511" s="446" t="e">
        <f>IF(OR($B511="",MIN(Q$38,$D$19)&lt;MAX($P$34*($B511+IF($R$17="Distrato",$I$38-1,0)),IF(AND($L$37=0,$P$34=0),"",$L$37-1),IF($R$17="Distrato",$E511,0))),0,YEARFRAC(MAX($P$34*($B511+IF($R$17="Distrato",$I$38-1,0)),IF(AND($L$37=0,$P$34=0),"",$L$37-1),IF($R$17="Distrato",$E511,0)),MIN(Q$38,$D$19),$P$20))-SUM($P511:P511)</f>
        <v>#VALUE!</v>
      </c>
      <c r="R511" s="446" t="e">
        <f>IF(OR($B511="",MIN(R$38,$D$19)&lt;MAX($P$34*($B511+IF($R$17="Distrato",$I$38-1,0)),IF(AND($L$37=0,$P$34=0),"",$L$37-1),IF($R$17="Distrato",$E511,0))),0,YEARFRAC(MAX($P$34*($B511+IF($R$17="Distrato",$I$38-1,0)),IF(AND($L$37=0,$P$34=0),"",$L$37-1),IF($R$17="Distrato",$E511,0)),MIN(R$38,$D$19),$P$20))-SUM($P511:Q511)</f>
        <v>#VALUE!</v>
      </c>
      <c r="S511" s="446" t="e">
        <f>IF(OR($B511="",MIN(S$38,$D$19)&lt;MAX($P$34*($B511+IF($R$17="Distrato",$I$38-1,0)),IF(AND($L$37=0,$P$34=0),"",$L$37-1),IF($R$17="Distrato",$E511,0))),0,YEARFRAC(MAX($P$34*($B511+IF($R$17="Distrato",$I$38-1,0)),IF(AND($L$37=0,$P$34=0),"",$L$37-1),IF($R$17="Distrato",$E511,0)),MIN(S$38,$D$19),$P$20))-SUM($P511:R511)</f>
        <v>#VALUE!</v>
      </c>
      <c r="T511" s="446" t="e">
        <f>IF(OR($B511="",MIN(T$38,$D$19)&lt;MAX($P$34*($B511+IF($R$17="Distrato",$I$38-1,0)),IF(AND($L$37=0,$P$34=0),"",$L$37-1),IF($R$17="Distrato",$E511,0))),0,YEARFRAC(MAX($P$34*($B511+IF($R$17="Distrato",$I$38-1,0)),IF(AND($L$37=0,$P$34=0),"",$L$37-1),IF($R$17="Distrato",$E511,0)),MIN(T$38,$D$19),$P$20))-SUM($P511:S511)</f>
        <v>#VALUE!</v>
      </c>
      <c r="U511" s="446" t="e">
        <f>IF(OR($B511="",MIN(U$38,$D$19)&lt;MAX($P$34*($B511+IF($R$17="Distrato",$I$38-1,0)),IF(AND($L$37=0,$P$34=0),"",$L$37-1),IF($R$17="Distrato",$E511,0))),0,YEARFRAC(MAX($P$34*($B511+IF($R$17="Distrato",$I$38-1,0)),IF(AND($L$37=0,$P$34=0),"",$L$37-1),IF($R$17="Distrato",$E511,0)),MIN(U$38,$D$19),$P$20))-SUM($P511:T511)</f>
        <v>#VALUE!</v>
      </c>
      <c r="V511" s="446" t="e">
        <f>IF(OR($B511="",MIN(V$38,$D$19)&lt;MAX($P$34*($B511+IF($R$17="Distrato",$I$38-1,0)),IF(AND($L$37=0,$P$34=0),"",$L$37-1),IF($R$17="Distrato",$E511,0))),0,YEARFRAC(MAX($P$34*($B511+IF($R$17="Distrato",$I$38-1,0)),IF(AND($L$37=0,$P$34=0),"",$L$37-1),IF($R$17="Distrato",$E511,0)),MIN(V$38,$D$19),$P$20))-SUM($P511:U511)</f>
        <v>#VALUE!</v>
      </c>
      <c r="W511" s="446" t="e">
        <f>IF(OR($B511="",MIN(W$38,$D$19)&lt;MAX($P$34*($B511+IF($R$17="Distrato",$I$38-1,0)),IF(AND($L$37=0,$P$34=0),"",$L$37-1),IF($R$17="Distrato",$E511,0))),0,YEARFRAC(MAX($P$34*($B511+IF($R$17="Distrato",$I$38-1,0)),IF(AND($L$37=0,$P$34=0),"",$L$37-1),IF($R$17="Distrato",$E511,0)),MIN(W$38,$D$19),$P$20))-SUM($P511:V511)</f>
        <v>#VALUE!</v>
      </c>
      <c r="X511" s="446" t="e">
        <f>IF(OR($B511="",MIN(X$38,$D$19)&lt;MAX($P$34*($B511+IF($R$17="Distrato",$I$38-1,0)),IF(AND($L$37=0,$P$34=0),"",$L$37-1),IF($R$17="Distrato",$E511,0))),0,YEARFRAC(MAX($P$34*($B511+IF($R$17="Distrato",$I$38-1,0)),IF(AND($L$37=0,$P$34=0),"",$L$37-1),IF($R$17="Distrato",$E511,0)),MIN(X$38,$D$19),$P$20))-SUM($P511:W511)</f>
        <v>#VALUE!</v>
      </c>
      <c r="Y511" s="446" t="e">
        <f>IF(OR($B511="",MIN(Y$38,$D$19)&lt;MAX($P$34*($B511+IF($R$17="Distrato",$I$38-1,0)),IF(AND($L$37=0,$P$34=0),"",$L$37-1),IF($R$17="Distrato",$E511,0))),0,YEARFRAC(MAX($P$34*($B511+IF($R$17="Distrato",$I$38-1,0)),IF(AND($L$37=0,$P$34=0),"",$L$37-1),IF($R$17="Distrato",$E511,0)),MIN(Y$38,$D$19),$P$20))-SUM($P511:X511)</f>
        <v>#VALUE!</v>
      </c>
      <c r="Z511" s="446" t="e">
        <f>IF(OR($B511="",MIN(Z$38,$D$19)&lt;MAX($P$34*($B511+IF($R$17="Distrato",$I$38-1,0)),IF(AND($L$37=0,$P$34=0),"",$L$37-1),IF($R$17="Distrato",$E511,0))),0,YEARFRAC(MAX($P$34*($B511+IF($R$17="Distrato",$I$38-1,0)),IF(AND($L$37=0,$P$34=0),"",$L$37-1),IF($R$17="Distrato",$E511,0)),MIN(Z$38,$D$19),$P$20))-SUM($P511:Y511)</f>
        <v>#VALUE!</v>
      </c>
      <c r="AA511" s="446" t="e">
        <f>IF(OR($B511="",MIN(AA$38,$D$19)&lt;MAX($P$34*($B511+IF($R$17="Distrato",$I$38-1,0)),IF(AND($L$37=0,$P$34=0),"",$L$37-1),IF($R$17="Distrato",$E511,0))),0,YEARFRAC(MAX($P$34*($B511+IF($R$17="Distrato",$I$38-1,0)),IF(AND($L$37=0,$P$34=0),"",$L$37-1),IF($R$17="Distrato",$E511,0)),MIN(AA$38,$D$19),$P$20))-SUM($P511:Z511)</f>
        <v>#VALUE!</v>
      </c>
      <c r="AB511" s="446" t="e">
        <f>IF(OR($B511="",MIN(AB$38,$D$19)&lt;MAX($P$34*($B511+IF($R$17="Distrato",$I$38-1,0)),IF(AND($L$37=0,$P$34=0),"",$L$37-1),IF($R$17="Distrato",$E511,0))),0,YEARFRAC(MAX($P$34*($B511+IF($R$17="Distrato",$I$38-1,0)),IF(AND($L$37=0,$P$34=0),"",$L$37-1),IF($R$17="Distrato",$E511,0)),MIN(AB$38,$D$19),$P$20))-SUM($P511:AA511)</f>
        <v>#VALUE!</v>
      </c>
      <c r="AC511" s="446" t="e">
        <f>IF(OR($B511="",MIN(AC$38,$D$19)&lt;MAX($P$34*($B511+IF($R$17="Distrato",$I$38-1,0)),IF(AND($L$37=0,$P$34=0),"",$L$37-1),IF($R$17="Distrato",$E511,0))),0,YEARFRAC(MAX($P$34*($B511+IF($R$17="Distrato",$I$38-1,0)),IF(AND($L$37=0,$P$34=0),"",$L$37-1),IF($R$17="Distrato",$E511,0)),MIN(AC$38,$D$19),$P$20))-SUM($P511:AB511)</f>
        <v>#VALUE!</v>
      </c>
      <c r="AD511" s="446" t="e">
        <f>IF(OR($B511="",MIN(AD$38,$D$19)&lt;MAX($P$34*($B511+IF($R$17="Distrato",$I$38-1,0)),IF(AND($L$37=0,$P$34=0),"",$L$37-1),IF($R$17="Distrato",$E511,0))),0,YEARFRAC(MAX($P$34*($B511+IF($R$17="Distrato",$I$38-1,0)),IF(AND($L$37=0,$P$34=0),"",$L$37-1),IF($R$17="Distrato",$E511,0)),MIN(AD$38,$D$19),$P$20))-SUM($P511:AC511)</f>
        <v>#VALUE!</v>
      </c>
      <c r="AE511" s="446" t="e">
        <f>IF(OR($B511="",MIN(AE$38,$D$19)&lt;MAX($P$34*($B511+IF($R$17="Distrato",$I$38-1,0)),IF(AND($L$37=0,$P$34=0),"",$L$37-1),IF($R$17="Distrato",$E511,0))),0,YEARFRAC(MAX($P$34*($B511+IF($R$17="Distrato",$I$38-1,0)),IF(AND($L$37=0,$P$34=0),"",$L$37-1),IF($R$17="Distrato",$E511,0)),MIN(AE$38,$D$19),$P$20))-SUM($P511:AD511)</f>
        <v>#VALUE!</v>
      </c>
      <c r="AF511" s="446" t="e">
        <f>IF(OR($B511="",MIN(AF$38,$D$19)&lt;MAX($P$34*($B511+IF($R$17="Distrato",$I$38-1,0)),IF(AND($L$37=0,$P$34=0),"",$L$37-1),IF($R$17="Distrato",$E511,0))),0,YEARFRAC(MAX($P$34*($B511+IF($R$17="Distrato",$I$38-1,0)),IF(AND($L$37=0,$P$34=0),"",$L$37-1),IF($R$17="Distrato",$E511,0)),MIN(AF$38,$D$19),$P$20))-SUM($P511:AE511)</f>
        <v>#VALUE!</v>
      </c>
      <c r="AG511" s="446" t="e">
        <f>IF(OR($B511="",MIN(AG$38,$D$19)&lt;MAX($P$34*($B511+IF($R$17="Distrato",$I$38-1,0)),IF(AND($L$37=0,$P$34=0),"",$L$37-1),IF($R$17="Distrato",$E511,0))),0,YEARFRAC(MAX($P$34*($B511+IF($R$17="Distrato",$I$38-1,0)),IF(AND($L$37=0,$P$34=0),"",$L$37-1),IF($R$17="Distrato",$E511,0)),MIN(AG$38,$D$19),$P$20))-SUM($P511:AF511)</f>
        <v>#VALUE!</v>
      </c>
      <c r="AH511" s="446" t="e">
        <f>IF(OR($B511="",MIN(AH$38,$D$19)&lt;MAX($P$34*($B511+IF($R$17="Distrato",$I$38-1,0)),IF(AND($L$37=0,$P$34=0),"",$L$37-1),IF($R$17="Distrato",$E511,0))),0,YEARFRAC(MAX($P$34*($B511+IF($R$17="Distrato",$I$38-1,0)),IF(AND($L$37=0,$P$34=0),"",$L$37-1),IF($R$17="Distrato",$E511,0)),MIN(AH$38,$D$19),$P$20))-SUM($P511:AG511)</f>
        <v>#VALUE!</v>
      </c>
      <c r="AI511" s="446" t="e">
        <f>IF(OR($B511="",MIN(AI$38,$D$19)&lt;MAX($P$34*($B511+IF($R$17="Distrato",$I$38-1,0)),IF(AND($L$37=0,$P$34=0),"",$L$37-1),IF($R$17="Distrato",$E511,0))),0,YEARFRAC(MAX($P$34*($B511+IF($R$17="Distrato",$I$38-1,0)),IF(AND($L$37=0,$P$34=0),"",$L$37-1),IF($R$17="Distrato",$E511,0)),MIN(AI$38,$D$19),$P$20))-SUM($P511:AH511)</f>
        <v>#VALUE!</v>
      </c>
      <c r="AJ511" s="446" t="e">
        <f>IF(OR($B511="",MIN(AJ$38,$D$19)&lt;MAX($P$34*($B511+IF($R$17="Distrato",$I$38-1,0)),IF(AND($L$37=0,$P$34=0),"",$L$37-1),IF($R$17="Distrato",$E511,0))),0,YEARFRAC(MAX($P$34*($B511+IF($R$17="Distrato",$I$38-1,0)),IF(AND($L$37=0,$P$34=0),"",$L$37-1),IF($R$17="Distrato",$E511,0)),MIN(AJ$38,$D$19),$P$20))-SUM($P511:AI511)</f>
        <v>#VALUE!</v>
      </c>
      <c r="AK511" s="446" t="e">
        <f>IF(OR($B511="",MIN(AK$38,$D$19)&lt;MAX($P$34*($B511+IF($R$17="Distrato",$I$38-1,0)),IF(AND($L$37=0,$P$34=0),"",$L$37-1),IF($R$17="Distrato",$E511,0))),0,YEARFRAC(MAX($P$34*($B511+IF($R$17="Distrato",$I$38-1,0)),IF(AND($L$37=0,$P$34=0),"",$L$37-1),IF($R$17="Distrato",$E511,0)),MIN(AK$38,$D$19),$P$20))-SUM($P511:AJ511)</f>
        <v>#VALUE!</v>
      </c>
      <c r="AL511" s="446" t="e">
        <f>IF(OR($B511="",MIN(AL$38,$D$19)&lt;MAX($P$34*($B511+IF($R$17="Distrato",$I$38-1,0)),IF(AND($L$37=0,$P$34=0),"",$L$37-1),IF($R$17="Distrato",$E511,0))),0,YEARFRAC(MAX($P$34*($B511+IF($R$17="Distrato",$I$38-1,0)),IF(AND($L$37=0,$P$34=0),"",$L$37-1),IF($R$17="Distrato",$E511,0)),MIN(AL$38,$D$19),$P$20))-SUM($P511:AK511)</f>
        <v>#VALUE!</v>
      </c>
      <c r="AM511" s="446" t="e">
        <f>IF(OR($B511="",MIN(AM$38,$D$19)&lt;MAX($P$34*($B511+IF($R$17="Distrato",$I$38-1,0)),IF(AND($L$37=0,$P$34=0),"",$L$37-1),IF($R$17="Distrato",$E511,0))),0,YEARFRAC(MAX($P$34*($B511+IF($R$17="Distrato",$I$38-1,0)),IF(AND($L$37=0,$P$34=0),"",$L$37-1),IF($R$17="Distrato",$E511,0)),MIN(AM$38,$D$19),$P$20))-SUM($P511:AL511)</f>
        <v>#VALUE!</v>
      </c>
      <c r="AN511" s="446" t="e">
        <f>IF(OR($B511="",MIN(AN$38,$D$19)&lt;MAX($P$34*($B511+IF($R$17="Distrato",$I$38-1,0)),IF(AND($L$37=0,$P$34=0),"",$L$37-1),IF($R$17="Distrato",$E511,0))),0,YEARFRAC(MAX($P$34*($B511+IF($R$17="Distrato",$I$38-1,0)),IF(AND($L$37=0,$P$34=0),"",$L$37-1),IF($R$17="Distrato",$E511,0)),MIN(AN$38,$D$19),$P$20))-SUM($P511:AM511)</f>
        <v>#VALUE!</v>
      </c>
      <c r="AO511" s="446" t="e">
        <f>IF(OR($B511="",MIN(AO$38,$D$19)&lt;MAX($P$34*($B511+IF($R$17="Distrato",$I$38-1,0)),IF(AND($L$37=0,$P$34=0),"",$L$37-1),IF($R$17="Distrato",$E511,0))),0,YEARFRAC(MAX($P$34*($B511+IF($R$17="Distrato",$I$38-1,0)),IF(AND($L$37=0,$P$34=0),"",$L$37-1),IF($R$17="Distrato",$E511,0)),MIN(AO$38,$D$19),$P$20))-SUM($P511:AN511)</f>
        <v>#VALUE!</v>
      </c>
      <c r="AP511" s="446" t="e">
        <f>IF(OR($B511="",MIN(AP$38,$D$19)&lt;MAX($P$34*($B511+IF($R$17="Distrato",$I$38-1,0)),IF(AND($L$37=0,$P$34=0),"",$L$37-1),IF($R$17="Distrato",$E511,0))),0,YEARFRAC(MAX($P$34*($B511+IF($R$17="Distrato",$I$38-1,0)),IF(AND($L$37=0,$P$34=0),"",$L$37-1),IF($R$17="Distrato",$E511,0)),MIN(AP$38,$D$19),$P$20))-SUM($P511:AO511)</f>
        <v>#VALUE!</v>
      </c>
      <c r="AQ511" s="446" t="e">
        <f>IF(OR($B511="",MIN(AQ$38,$D$19)&lt;MAX($P$34*($B511+IF($R$17="Distrato",$I$38-1,0)),IF(AND($L$37=0,$P$34=0),"",$L$37-1),IF($R$17="Distrato",$E511,0))),0,YEARFRAC(MAX($P$34*($B511+IF($R$17="Distrato",$I$38-1,0)),IF(AND($L$37=0,$P$34=0),"",$L$37-1),IF($R$17="Distrato",$E511,0)),MIN(AQ$38,$D$19),$P$20))-SUM($P511:AP511)</f>
        <v>#VALUE!</v>
      </c>
      <c r="AR511" s="446" t="e">
        <f>IF(OR($B511="",MIN(AR$38,$D$19)&lt;MAX($P$34*($B511+IF($R$17="Distrato",$I$38-1,0)),IF(AND($L$37=0,$P$34=0),"",$L$37-1),IF($R$17="Distrato",$E511,0))),0,YEARFRAC(MAX($P$34*($B511+IF($R$17="Distrato",$I$38-1,0)),IF(AND($L$37=0,$P$34=0),"",$L$37-1),IF($R$17="Distrato",$E511,0)),MIN(AR$38,$D$19),$P$20))-SUM($P511:AQ511)</f>
        <v>#VALUE!</v>
      </c>
      <c r="AS511" s="446" t="e">
        <f>IF(OR($B511="",MIN(AS$38,$D$19)&lt;MAX($P$34*($B511+IF($R$17="Distrato",$I$38-1,0)),IF(AND($L$37=0,$P$34=0),"",$L$37-1),IF($R$17="Distrato",$E511,0))),0,YEARFRAC(MAX($P$34*($B511+IF($R$17="Distrato",$I$38-1,0)),IF(AND($L$37=0,$P$34=0),"",$L$37-1),IF($R$17="Distrato",$E511,0)),MIN(AS$38,$D$19),$P$20))-SUM($P511:AR511)</f>
        <v>#VALUE!</v>
      </c>
      <c r="AT511" s="446" t="e">
        <f>IF(OR($B511="",MIN(AT$38,$D$19)&lt;MAX($P$34*($B511+IF($R$17="Distrato",$I$38-1,0)),IF(AND($L$37=0,$P$34=0),"",$L$37-1),IF($R$17="Distrato",$E511,0))),0,YEARFRAC(MAX($P$34*($B511+IF($R$17="Distrato",$I$38-1,0)),IF(AND($L$37=0,$P$34=0),"",$L$37-1),IF($R$17="Distrato",$E511,0)),MIN(AT$38,$D$19),$P$20))-SUM($P511:AS511)</f>
        <v>#VALUE!</v>
      </c>
      <c r="AU511" s="446" t="e">
        <f>IF(OR($B511="",MIN(AU$38,$D$19)&lt;MAX($P$34*($B511+IF($R$17="Distrato",$I$38-1,0)),IF(AND($L$37=0,$P$34=0),"",$L$37-1),IF($R$17="Distrato",$E511,0))),0,YEARFRAC(MAX($P$34*($B511+IF($R$17="Distrato",$I$38-1,0)),IF(AND($L$37=0,$P$34=0),"",$L$37-1),IF($R$17="Distrato",$E511,0)),MIN(AU$38,$D$19),$P$20))-SUM($P511:AT511)</f>
        <v>#VALUE!</v>
      </c>
      <c r="AV511" s="446" t="e">
        <f>IF(OR($B511="",MIN(AV$38,$D$19)&lt;MAX($P$34*($B511+IF($R$17="Distrato",$I$38-1,0)),IF(AND($L$37=0,$P$34=0),"",$L$37-1),IF($R$17="Distrato",$E511,0))),0,YEARFRAC(MAX($P$34*($B511+IF($R$17="Distrato",$I$38-1,0)),IF(AND($L$37=0,$P$34=0),"",$L$37-1),IF($R$17="Distrato",$E511,0)),MIN(AV$38,$D$19),$P$20))-SUM($P511:AU511)</f>
        <v>#VALUE!</v>
      </c>
      <c r="AW511" s="446" t="e">
        <f>IF(OR($B511="",MIN(AW$38,$D$19)&lt;MAX($P$34*($B511+IF($R$17="Distrato",$I$38-1,0)),IF(AND($L$37=0,$P$34=0),"",$L$37-1),IF($R$17="Distrato",$E511,0))),0,YEARFRAC(MAX($P$34*($B511+IF($R$17="Distrato",$I$38-1,0)),IF(AND($L$37=0,$P$34=0),"",$L$37-1),IF($R$17="Distrato",$E511,0)),MIN(AW$38,$D$19),$P$20))-SUM($P511:AV511)</f>
        <v>#VALUE!</v>
      </c>
      <c r="AX511" s="446" t="e">
        <f>IF(OR($B511="",MIN(AX$38,$D$19)&lt;MAX($P$34*($B511+IF($R$17="Distrato",$I$38-1,0)),IF(AND($L$37=0,$P$34=0),"",$L$37-1),IF($R$17="Distrato",$E511,0))),0,YEARFRAC(MAX($P$34*($B511+IF($R$17="Distrato",$I$38-1,0)),IF(AND($L$37=0,$P$34=0),"",$L$37-1),IF($R$17="Distrato",$E511,0)),MIN(AX$38,$D$19),$P$20))-SUM($P511:AW511)</f>
        <v>#VALUE!</v>
      </c>
      <c r="AY511" s="446" t="e">
        <f>IF(OR($B511="",MIN(AY$38,$D$19)&lt;MAX($P$34*($B511+IF($R$17="Distrato",$I$38-1,0)),IF(AND($L$37=0,$P$34=0),"",$L$37-1),IF($R$17="Distrato",$E511,0))),0,YEARFRAC(MAX($P$34*($B511+IF($R$17="Distrato",$I$38-1,0)),IF(AND($L$37=0,$P$34=0),"",$L$37-1),IF($R$17="Distrato",$E511,0)),MIN(AY$38,$D$19),$P$20))-SUM($P511:AX511)</f>
        <v>#VALUE!</v>
      </c>
      <c r="AZ511" s="446" t="e">
        <f>IF(OR($B511="",MIN(AZ$38,$D$19)&lt;MAX($P$34*($B511+IF($R$17="Distrato",$I$38-1,0)),IF(AND($L$37=0,$P$34=0),"",$L$37-1),IF($R$17="Distrato",$E511,0))),0,YEARFRAC(MAX($P$34*($B511+IF($R$17="Distrato",$I$38-1,0)),IF(AND($L$37=0,$P$34=0),"",$L$37-1),IF($R$17="Distrato",$E511,0)),MIN(AZ$38,$D$19),$P$20))-SUM($P511:AY511)</f>
        <v>#VALUE!</v>
      </c>
      <c r="BA511" s="446" t="e">
        <f>IF(OR($B511="",MIN(BA$38,$D$19)&lt;MAX($P$34*($B511+IF($R$17="Distrato",$I$38-1,0)),IF(AND($L$37=0,$P$34=0),"",$L$37-1),IF($R$17="Distrato",$E511,0))),0,YEARFRAC(MAX($P$34*($B511+IF($R$17="Distrato",$I$38-1,0)),IF(AND($L$37=0,$P$34=0),"",$L$37-1),IF($R$17="Distrato",$E511,0)),MIN(BA$38,$D$19),$P$20))-SUM($P511:AZ511)</f>
        <v>#VALUE!</v>
      </c>
      <c r="BB511" s="447"/>
      <c r="BF511" s="446">
        <f t="shared" si="87"/>
        <v>0</v>
      </c>
      <c r="BG511" s="446">
        <f>IF($E511=0,0,IF(MIN(BG$38,$E511)&lt;MAX($P$34*($B511+$I$38-1),IF(AND($L$37=0,$P$34=0),"",$L$37-1)),0,YEARFRAC(MAX($P$34*($B511+$I$38-1),IF(AND($L$37=0,$P$34=0),"",$L$37-1)),MIN(BG$38,$E511),$P$20))-SUM($BF511:BF511))</f>
        <v>0</v>
      </c>
      <c r="BH511" s="446">
        <f>IF($E511=0,0,IF(MIN(BH$38,$E511)&lt;MAX($P$34*($B511+$I$38-1),IF(AND($L$37=0,$P$34=0),"",$L$37-1)),0,YEARFRAC(MAX($P$34*($B511+$I$38-1),IF(AND($L$37=0,$P$34=0),"",$L$37-1)),MIN(BH$38,$E511),$P$20))-SUM($BF511:BG511))</f>
        <v>0</v>
      </c>
      <c r="BI511" s="446">
        <f>IF($E511=0,0,IF(MIN(BI$38,$E511)&lt;MAX($P$34*($B511+$I$38-1),IF(AND($L$37=0,$P$34=0),"",$L$37-1)),0,YEARFRAC(MAX($P$34*($B511+$I$38-1),IF(AND($L$37=0,$P$34=0),"",$L$37-1)),MIN(BI$38,$E511),$P$20))-SUM($BF511:BH511))</f>
        <v>0</v>
      </c>
      <c r="BJ511" s="446">
        <f>IF($E511=0,0,IF(MIN(BJ$38,$E511)&lt;MAX($P$34*($B511+$I$38-1),IF(AND($L$37=0,$P$34=0),"",$L$37-1)),0,YEARFRAC(MAX($P$34*($B511+$I$38-1),IF(AND($L$37=0,$P$34=0),"",$L$37-1)),MIN(BJ$38,$E511),$P$20))-SUM($BF511:BI511))</f>
        <v>0</v>
      </c>
      <c r="BK511" s="446">
        <f>IF($E511=0,0,IF(MIN(BK$38,$E511)&lt;MAX($P$34*($B511+$I$38-1),IF(AND($L$37=0,$P$34=0),"",$L$37-1)),0,YEARFRAC(MAX($P$34*($B511+$I$38-1),IF(AND($L$37=0,$P$34=0),"",$L$37-1)),MIN(BK$38,$E511),$P$20))-SUM($BF511:BJ511))</f>
        <v>0</v>
      </c>
      <c r="BL511" s="446">
        <f>IF($E511=0,0,IF(MIN(BL$38,$E511)&lt;MAX($P$34*($B511+$I$38-1),IF(AND($L$37=0,$P$34=0),"",$L$37-1)),0,YEARFRAC(MAX($P$34*($B511+$I$38-1),IF(AND($L$37=0,$P$34=0),"",$L$37-1)),MIN(BL$38,$E511),$P$20))-SUM($BF511:BK511))</f>
        <v>0</v>
      </c>
      <c r="BM511" s="446">
        <f>IF($E511=0,0,IF(MIN(BM$38,$E511)&lt;MAX($P$34*($B511+$I$38-1),IF(AND($L$37=0,$P$34=0),"",$L$37-1)),0,YEARFRAC(MAX($P$34*($B511+$I$38-1),IF(AND($L$37=0,$P$34=0),"",$L$37-1)),MIN(BM$38,$E511),$P$20))-SUM($BF511:BL511))</f>
        <v>0</v>
      </c>
      <c r="BN511" s="446">
        <f>IF($E511=0,0,IF(MIN(BN$38,$E511)&lt;MAX($P$34*($B511+$I$38-1),IF(AND($L$37=0,$P$34=0),"",$L$37-1)),0,YEARFRAC(MAX($P$34*($B511+$I$38-1),IF(AND($L$37=0,$P$34=0),"",$L$37-1)),MIN(BN$38,$E511),$P$20))-SUM($BF511:BM511))</f>
        <v>0</v>
      </c>
      <c r="BO511" s="446">
        <f>IF($E511=0,0,IF(MIN(BO$38,$E511)&lt;MAX($P$34*($B511+$I$38-1),IF(AND($L$37=0,$P$34=0),"",$L$37-1)),0,YEARFRAC(MAX($P$34*($B511+$I$38-1),IF(AND($L$37=0,$P$34=0),"",$L$37-1)),MIN(BO$38,$E511),$P$20))-SUM($BF511:BN511))</f>
        <v>0</v>
      </c>
      <c r="BP511" s="446">
        <f>IF($E511=0,0,IF(MIN(BP$38,$E511)&lt;MAX($P$34*($B511+$I$38-1),IF(AND($L$37=0,$P$34=0),"",$L$37-1)),0,YEARFRAC(MAX($P$34*($B511+$I$38-1),IF(AND($L$37=0,$P$34=0),"",$L$37-1)),MIN(BP$38,$E511),$P$20))-SUM($BF511:BO511))</f>
        <v>0</v>
      </c>
      <c r="BQ511" s="446">
        <f>IF($E511=0,0,IF(MIN(BQ$38,$E511)&lt;MAX($P$34*($B511+$I$38-1),IF(AND($L$37=0,$P$34=0),"",$L$37-1)),0,YEARFRAC(MAX($P$34*($B511+$I$38-1),IF(AND($L$37=0,$P$34=0),"",$L$37-1)),MIN(BQ$38,$E511),$P$20))-SUM($BF511:BP511))</f>
        <v>0</v>
      </c>
      <c r="BR511" s="446">
        <f>IF($E511=0,0,IF(MIN(BR$38,$E511)&lt;MAX($P$34*($B511+$I$38-1),IF(AND($L$37=0,$P$34=0),"",$L$37-1)),0,YEARFRAC(MAX($P$34*($B511+$I$38-1),IF(AND($L$37=0,$P$34=0),"",$L$37-1)),MIN(BR$38,$E511),$P$20))-SUM($BF511:BQ511))</f>
        <v>0</v>
      </c>
      <c r="BS511" s="446">
        <f>IF($E511=0,0,IF(MIN(BS$38,$E511)&lt;MAX($P$34*($B511+$I$38-1),IF(AND($L$37=0,$P$34=0),"",$L$37-1)),0,YEARFRAC(MAX($P$34*($B511+$I$38-1),IF(AND($L$37=0,$P$34=0),"",$L$37-1)),MIN(BS$38,$E511),$P$20))-SUM($BF511:BR511))</f>
        <v>0</v>
      </c>
      <c r="BT511" s="446">
        <f>IF($E511=0,0,IF(MIN(BT$38,$E511)&lt;MAX($P$34*($B511+$I$38-1),IF(AND($L$37=0,$P$34=0),"",$L$37-1)),0,YEARFRAC(MAX($P$34*($B511+$I$38-1),IF(AND($L$37=0,$P$34=0),"",$L$37-1)),MIN(BT$38,$E511),$P$20))-SUM($BF511:BS511))</f>
        <v>0</v>
      </c>
      <c r="BU511" s="446">
        <f>IF($E511=0,0,IF(MIN(BU$38,$E511)&lt;MAX($P$34*($B511+$I$38-1),IF(AND($L$37=0,$P$34=0),"",$L$37-1)),0,YEARFRAC(MAX($P$34*($B511+$I$38-1),IF(AND($L$37=0,$P$34=0),"",$L$37-1)),MIN(BU$38,$E511),$P$20))-SUM($BF511:BT511))</f>
        <v>0</v>
      </c>
      <c r="BV511" s="446">
        <f>IF($E511=0,0,IF(MIN(BV$38,$E511)&lt;MAX($P$34*($B511+$I$38-1),IF(AND($L$37=0,$P$34=0),"",$L$37-1)),0,YEARFRAC(MAX($P$34*($B511+$I$38-1),IF(AND($L$37=0,$P$34=0),"",$L$37-1)),MIN(BV$38,$E511),$P$20))-SUM($BF511:BU511))</f>
        <v>0</v>
      </c>
      <c r="BW511" s="446">
        <f>IF($E511=0,0,IF(MIN(BW$38,$E511)&lt;MAX($P$34*($B511+$I$38-1),IF(AND($L$37=0,$P$34=0),"",$L$37-1)),0,YEARFRAC(MAX($P$34*($B511+$I$38-1),IF(AND($L$37=0,$P$34=0),"",$L$37-1)),MIN(BW$38,$E511),$P$20))-SUM($BF511:BV511))</f>
        <v>0</v>
      </c>
      <c r="BX511" s="446">
        <f>IF($E511=0,0,IF(MIN(BX$38,$E511)&lt;MAX($P$34*($B511+$I$38-1),IF(AND($L$37=0,$P$34=0),"",$L$37-1)),0,YEARFRAC(MAX($P$34*($B511+$I$38-1),IF(AND($L$37=0,$P$34=0),"",$L$37-1)),MIN(BX$38,$E511),$P$20))-SUM($BF511:BW511))</f>
        <v>0</v>
      </c>
      <c r="BY511" s="446">
        <f>IF($E511=0,0,IF(MIN(BY$38,$E511)&lt;MAX($P$34*($B511+$I$38-1),IF(AND($L$37=0,$P$34=0),"",$L$37-1)),0,YEARFRAC(MAX($P$34*($B511+$I$38-1),IF(AND($L$37=0,$P$34=0),"",$L$37-1)),MIN(BY$38,$E511),$P$20))-SUM($BF511:BX511))</f>
        <v>0</v>
      </c>
      <c r="BZ511" s="446">
        <f>IF($E511=0,0,IF(MIN(BZ$38,$E511)&lt;MAX($P$34*($B511+$I$38-1),IF(AND($L$37=0,$P$34=0),"",$L$37-1)),0,YEARFRAC(MAX($P$34*($B511+$I$38-1),IF(AND($L$37=0,$P$34=0),"",$L$37-1)),MIN(BZ$38,$E511),$P$20))-SUM($BF511:BY511))</f>
        <v>0</v>
      </c>
      <c r="CA511" s="446">
        <f>IF($E511=0,0,IF(MIN(CA$38,$E511)&lt;MAX($P$34*($B511+$I$38-1),IF(AND($L$37=0,$P$34=0),"",$L$37-1)),0,YEARFRAC(MAX($P$34*($B511+$I$38-1),IF(AND($L$37=0,$P$34=0),"",$L$37-1)),MIN(CA$38,$E511),$P$20))-SUM($BF511:BZ511))</f>
        <v>0</v>
      </c>
      <c r="CB511" s="446">
        <f>IF($E511=0,0,IF(MIN(CB$38,$E511)&lt;MAX($P$34*($B511+$I$38-1),IF(AND($L$37=0,$P$34=0),"",$L$37-1)),0,YEARFRAC(MAX($P$34*($B511+$I$38-1),IF(AND($L$37=0,$P$34=0),"",$L$37-1)),MIN(CB$38,$E511),$P$20))-SUM($BF511:CA511))</f>
        <v>0</v>
      </c>
      <c r="CC511" s="446">
        <f>IF($E511=0,0,IF(MIN(CC$38,$E511)&lt;MAX($P$34*($B511+$I$38-1),IF(AND($L$37=0,$P$34=0),"",$L$37-1)),0,YEARFRAC(MAX($P$34*($B511+$I$38-1),IF(AND($L$37=0,$P$34=0),"",$L$37-1)),MIN(CC$38,$E511),$P$20))-SUM($BF511:CB511))</f>
        <v>0</v>
      </c>
      <c r="CD511" s="446">
        <f>IF($E511=0,0,IF(MIN(CD$38,$E511)&lt;MAX($P$34*($B511+$I$38-1),IF(AND($L$37=0,$P$34=0),"",$L$37-1)),0,YEARFRAC(MAX($P$34*($B511+$I$38-1),IF(AND($L$37=0,$P$34=0),"",$L$37-1)),MIN(CD$38,$E511),$P$20))-SUM($BF511:CC511))</f>
        <v>0</v>
      </c>
      <c r="CE511" s="446">
        <f>IF($E511=0,0,IF(MIN(CE$38,$E511)&lt;MAX($P$34*($B511+$I$38-1),IF(AND($L$37=0,$P$34=0),"",$L$37-1)),0,YEARFRAC(MAX($P$34*($B511+$I$38-1),IF(AND($L$37=0,$P$34=0),"",$L$37-1)),MIN(CE$38,$E511),$P$20))-SUM($BF511:CD511))</f>
        <v>0</v>
      </c>
      <c r="CF511" s="446">
        <f>IF($E511=0,0,IF(MIN(CF$38,$E511)&lt;MAX($P$34*($B511+$I$38-1),IF(AND($L$37=0,$P$34=0),"",$L$37-1)),0,YEARFRAC(MAX($P$34*($B511+$I$38-1),IF(AND($L$37=0,$P$34=0),"",$L$37-1)),MIN(CF$38,$E511),$P$20))-SUM($BF511:CE511))</f>
        <v>0</v>
      </c>
      <c r="CG511" s="446">
        <f>IF($E511=0,0,IF(MIN(CG$38,$E511)&lt;MAX($P$34*($B511+$I$38-1),IF(AND($L$37=0,$P$34=0),"",$L$37-1)),0,YEARFRAC(MAX($P$34*($B511+$I$38-1),IF(AND($L$37=0,$P$34=0),"",$L$37-1)),MIN(CG$38,$E511),$P$20))-SUM($BF511:CF511))</f>
        <v>0</v>
      </c>
      <c r="CH511" s="446">
        <f>IF($E511=0,0,IF(MIN(CH$38,$E511)&lt;MAX($P$34*($B511+$I$38-1),IF(AND($L$37=0,$P$34=0),"",$L$37-1)),0,YEARFRAC(MAX($P$34*($B511+$I$38-1),IF(AND($L$37=0,$P$34=0),"",$L$37-1)),MIN(CH$38,$E511),$P$20))-SUM($BF511:CG511))</f>
        <v>0</v>
      </c>
      <c r="CI511" s="446">
        <f>IF($E511=0,0,IF(MIN(CI$38,$E511)&lt;MAX($P$34*($B511+$I$38-1),IF(AND($L$37=0,$P$34=0),"",$L$37-1)),0,YEARFRAC(MAX($P$34*($B511+$I$38-1),IF(AND($L$37=0,$P$34=0),"",$L$37-1)),MIN(CI$38,$E511),$P$20))-SUM($BF511:CH511))</f>
        <v>0</v>
      </c>
      <c r="CJ511" s="446">
        <f>IF($E511=0,0,IF(MIN(CJ$38,$E511)&lt;MAX($P$34*($B511+$I$38-1),IF(AND($L$37=0,$P$34=0),"",$L$37-1)),0,YEARFRAC(MAX($P$34*($B511+$I$38-1),IF(AND($L$37=0,$P$34=0),"",$L$37-1)),MIN(CJ$38,$E511),$P$20))-SUM($BF511:CI511))</f>
        <v>0</v>
      </c>
      <c r="CK511" s="446">
        <f>IF($E511=0,0,IF(MIN(CK$38,$E511)&lt;MAX($P$34*($B511+$I$38-1),IF(AND($L$37=0,$P$34=0),"",$L$37-1)),0,YEARFRAC(MAX($P$34*($B511+$I$38-1),IF(AND($L$37=0,$P$34=0),"",$L$37-1)),MIN(CK$38,$E511),$P$20))-SUM($BF511:CJ511))</f>
        <v>0</v>
      </c>
      <c r="CL511" s="446">
        <f>IF($E511=0,0,IF(MIN(CL$38,$E511)&lt;MAX($P$34*($B511+$I$38-1),IF(AND($L$37=0,$P$34=0),"",$L$37-1)),0,YEARFRAC(MAX($P$34*($B511+$I$38-1),IF(AND($L$37=0,$P$34=0),"",$L$37-1)),MIN(CL$38,$E511),$P$20))-SUM($BF511:CK511))</f>
        <v>0</v>
      </c>
      <c r="CM511" s="446">
        <f>IF($E511=0,0,IF(MIN(CM$38,$E511)&lt;MAX($P$34*($B511+$I$38-1),IF(AND($L$37=0,$P$34=0),"",$L$37-1)),0,YEARFRAC(MAX($P$34*($B511+$I$38-1),IF(AND($L$37=0,$P$34=0),"",$L$37-1)),MIN(CM$38,$E511),$P$20))-SUM($BF511:CL511))</f>
        <v>0</v>
      </c>
      <c r="CN511" s="446">
        <f>IF($E511=0,0,IF(MIN(CN$38,$E511)&lt;MAX($P$34*($B511+$I$38-1),IF(AND($L$37=0,$P$34=0),"",$L$37-1)),0,YEARFRAC(MAX($P$34*($B511+$I$38-1),IF(AND($L$37=0,$P$34=0),"",$L$37-1)),MIN(CN$38,$E511),$P$20))-SUM($BF511:CM511))</f>
        <v>0</v>
      </c>
      <c r="CO511" s="446">
        <f>IF($E511=0,0,IF(MIN(CO$38,$E511)&lt;MAX($P$34*($B511+$I$38-1),IF(AND($L$37=0,$P$34=0),"",$L$37-1)),0,YEARFRAC(MAX($P$34*($B511+$I$38-1),IF(AND($L$37=0,$P$34=0),"",$L$37-1)),MIN(CO$38,$E511),$P$20))-SUM($BF511:CN511))</f>
        <v>0</v>
      </c>
      <c r="CP511" s="446">
        <f>IF($E511=0,0,IF(MIN(CP$38,$E511)&lt;MAX($P$34*($B511+$I$38-1),IF(AND($L$37=0,$P$34=0),"",$L$37-1)),0,YEARFRAC(MAX($P$34*($B511+$I$38-1),IF(AND($L$37=0,$P$34=0),"",$L$37-1)),MIN(CP$38,$E511),$P$20))-SUM($BF511:CO511))</f>
        <v>0</v>
      </c>
      <c r="CQ511" s="446">
        <f>IF($E511=0,0,IF(MIN(CQ$38,$E511)&lt;MAX($P$34*($B511+$I$38-1),IF(AND($L$37=0,$P$34=0),"",$L$37-1)),0,YEARFRAC(MAX($P$34*($B511+$I$38-1),IF(AND($L$37=0,$P$34=0),"",$L$37-1)),MIN(CQ$38,$E511),$P$20))-SUM($BF511:CP511))</f>
        <v>0</v>
      </c>
    </row>
    <row r="512" spans="1:95" s="446" customFormat="1" ht="11.25" hidden="1" customHeight="1" x14ac:dyDescent="0.2">
      <c r="A512" s="152"/>
      <c r="B512" s="153" t="str">
        <f t="shared" si="92"/>
        <v/>
      </c>
      <c r="C512" s="29" t="str">
        <f>IF(B512="","",IF($L$35="SELIC - TRIBUTOS",VLOOKUP(DATE(YEAR($D$19),MONTH($D$19)-1,1),ÍNDICES!$A:$DE,HLOOKUP($BL$25,ÍNDICES!$B$3:$T$4,2)+11)-VLOOKUP(B512,ÍNDICES!$A:$DE,HLOOKUP($BL$25,ÍNDICES!$B$3:$T$4,2)+11)+1%,IF(C$38=$W$26,$J$35,IF(ISERROR(IF(B512&gt;$D$19,1,VLOOKUP(DATE(YEAR(B512),MONTH(B512)+IF($C$35=$S$23,1,0),1),ÍNDICES!$A:$DE,$Z$35+1))),"",IF(B512&gt;$D$19,1,VLOOKUP(DATE(YEAR(B512),MONTH(B512)+IF($C$35=$S$23,1,0),1),ÍNDICES!$A:$DE,$Z$35+1))))))</f>
        <v/>
      </c>
      <c r="D512" s="154" t="str">
        <f>IF(ISERROR(IF(OR($D$38=$Y$27,$B512=""),"",VLOOKUP(B512,ÍNDICES!A:DE,AF$35+1))),"",IF(OR($D$38=$Y$27,$B512=""),"",VLOOKUP(B512,ÍNDICES!A:DE,AF$35+1)))</f>
        <v/>
      </c>
      <c r="E512" s="153"/>
      <c r="F512" s="29" t="str">
        <f>IF(E512="","",IF($L$35="SELIC - TRIBUTOS",VLOOKUP(DATE(YEAR($D$19),MONTH($D$19)-1,1),ÍNDICES!$A:$DE,HLOOKUP($BL$25,ÍNDICES!$B$3:$T$4,2)+11)-VLOOKUP(E512,ÍNDICES!$A:$DE,HLOOKUP($BL$25,ÍNDICES!$B$3:$T$4,2)+11)+1%,IF(F$38=$W$26,$J$35,IF(ISERROR(IF(E512&gt;$D$19,1,VLOOKUP(DATE(YEAR(E512),MONTH(E512)+IF($C$35=$S$23,1,0),1),ÍNDICES!$A:$DE,$Z$35+1))),"",IF(E512&gt;$D$19,1,VLOOKUP(DATE(YEAR(E512),MONTH(E512)+IF($C$35=$S$23,1,0),1),ÍNDICES!$A:$DE,$Z$35+1))))))</f>
        <v/>
      </c>
      <c r="G512" s="155"/>
      <c r="H512" s="156" t="str">
        <f t="shared" si="88"/>
        <v/>
      </c>
      <c r="I512" s="29" t="str">
        <f t="shared" si="82"/>
        <v/>
      </c>
      <c r="J512" s="5">
        <f t="shared" si="83"/>
        <v>0</v>
      </c>
      <c r="K512" s="20">
        <f t="shared" ca="1" si="84"/>
        <v>0</v>
      </c>
      <c r="L512" s="5">
        <f t="shared" ca="1" si="85"/>
        <v>0</v>
      </c>
      <c r="M512" s="64">
        <f t="shared" si="89"/>
        <v>0</v>
      </c>
      <c r="N512" s="61">
        <f t="shared" ca="1" si="90"/>
        <v>0</v>
      </c>
      <c r="O512" s="5">
        <f t="shared" ca="1" si="91"/>
        <v>0</v>
      </c>
      <c r="P512" s="446" t="e">
        <f t="shared" si="86"/>
        <v>#VALUE!</v>
      </c>
      <c r="Q512" s="446" t="e">
        <f>IF(OR($B512="",MIN(Q$38,$D$19)&lt;MAX($P$34*($B512+IF($R$17="Distrato",$I$38-1,0)),IF(AND($L$37=0,$P$34=0),"",$L$37-1),IF($R$17="Distrato",$E512,0))),0,YEARFRAC(MAX($P$34*($B512+IF($R$17="Distrato",$I$38-1,0)),IF(AND($L$37=0,$P$34=0),"",$L$37-1),IF($R$17="Distrato",$E512,0)),MIN(Q$38,$D$19),$P$20))-SUM($P512:P512)</f>
        <v>#VALUE!</v>
      </c>
      <c r="R512" s="446" t="e">
        <f>IF(OR($B512="",MIN(R$38,$D$19)&lt;MAX($P$34*($B512+IF($R$17="Distrato",$I$38-1,0)),IF(AND($L$37=0,$P$34=0),"",$L$37-1),IF($R$17="Distrato",$E512,0))),0,YEARFRAC(MAX($P$34*($B512+IF($R$17="Distrato",$I$38-1,0)),IF(AND($L$37=0,$P$34=0),"",$L$37-1),IF($R$17="Distrato",$E512,0)),MIN(R$38,$D$19),$P$20))-SUM($P512:Q512)</f>
        <v>#VALUE!</v>
      </c>
      <c r="S512" s="446" t="e">
        <f>IF(OR($B512="",MIN(S$38,$D$19)&lt;MAX($P$34*($B512+IF($R$17="Distrato",$I$38-1,0)),IF(AND($L$37=0,$P$34=0),"",$L$37-1),IF($R$17="Distrato",$E512,0))),0,YEARFRAC(MAX($P$34*($B512+IF($R$17="Distrato",$I$38-1,0)),IF(AND($L$37=0,$P$34=0),"",$L$37-1),IF($R$17="Distrato",$E512,0)),MIN(S$38,$D$19),$P$20))-SUM($P512:R512)</f>
        <v>#VALUE!</v>
      </c>
      <c r="T512" s="446" t="e">
        <f>IF(OR($B512="",MIN(T$38,$D$19)&lt;MAX($P$34*($B512+IF($R$17="Distrato",$I$38-1,0)),IF(AND($L$37=0,$P$34=0),"",$L$37-1),IF($R$17="Distrato",$E512,0))),0,YEARFRAC(MAX($P$34*($B512+IF($R$17="Distrato",$I$38-1,0)),IF(AND($L$37=0,$P$34=0),"",$L$37-1),IF($R$17="Distrato",$E512,0)),MIN(T$38,$D$19),$P$20))-SUM($P512:S512)</f>
        <v>#VALUE!</v>
      </c>
      <c r="U512" s="446" t="e">
        <f>IF(OR($B512="",MIN(U$38,$D$19)&lt;MAX($P$34*($B512+IF($R$17="Distrato",$I$38-1,0)),IF(AND($L$37=0,$P$34=0),"",$L$37-1),IF($R$17="Distrato",$E512,0))),0,YEARFRAC(MAX($P$34*($B512+IF($R$17="Distrato",$I$38-1,0)),IF(AND($L$37=0,$P$34=0),"",$L$37-1),IF($R$17="Distrato",$E512,0)),MIN(U$38,$D$19),$P$20))-SUM($P512:T512)</f>
        <v>#VALUE!</v>
      </c>
      <c r="V512" s="446" t="e">
        <f>IF(OR($B512="",MIN(V$38,$D$19)&lt;MAX($P$34*($B512+IF($R$17="Distrato",$I$38-1,0)),IF(AND($L$37=0,$P$34=0),"",$L$37-1),IF($R$17="Distrato",$E512,0))),0,YEARFRAC(MAX($P$34*($B512+IF($R$17="Distrato",$I$38-1,0)),IF(AND($L$37=0,$P$34=0),"",$L$37-1),IF($R$17="Distrato",$E512,0)),MIN(V$38,$D$19),$P$20))-SUM($P512:U512)</f>
        <v>#VALUE!</v>
      </c>
      <c r="W512" s="446" t="e">
        <f>IF(OR($B512="",MIN(W$38,$D$19)&lt;MAX($P$34*($B512+IF($R$17="Distrato",$I$38-1,0)),IF(AND($L$37=0,$P$34=0),"",$L$37-1),IF($R$17="Distrato",$E512,0))),0,YEARFRAC(MAX($P$34*($B512+IF($R$17="Distrato",$I$38-1,0)),IF(AND($L$37=0,$P$34=0),"",$L$37-1),IF($R$17="Distrato",$E512,0)),MIN(W$38,$D$19),$P$20))-SUM($P512:V512)</f>
        <v>#VALUE!</v>
      </c>
      <c r="X512" s="446" t="e">
        <f>IF(OR($B512="",MIN(X$38,$D$19)&lt;MAX($P$34*($B512+IF($R$17="Distrato",$I$38-1,0)),IF(AND($L$37=0,$P$34=0),"",$L$37-1),IF($R$17="Distrato",$E512,0))),0,YEARFRAC(MAX($P$34*($B512+IF($R$17="Distrato",$I$38-1,0)),IF(AND($L$37=0,$P$34=0),"",$L$37-1),IF($R$17="Distrato",$E512,0)),MIN(X$38,$D$19),$P$20))-SUM($P512:W512)</f>
        <v>#VALUE!</v>
      </c>
      <c r="Y512" s="446" t="e">
        <f>IF(OR($B512="",MIN(Y$38,$D$19)&lt;MAX($P$34*($B512+IF($R$17="Distrato",$I$38-1,0)),IF(AND($L$37=0,$P$34=0),"",$L$37-1),IF($R$17="Distrato",$E512,0))),0,YEARFRAC(MAX($P$34*($B512+IF($R$17="Distrato",$I$38-1,0)),IF(AND($L$37=0,$P$34=0),"",$L$37-1),IF($R$17="Distrato",$E512,0)),MIN(Y$38,$D$19),$P$20))-SUM($P512:X512)</f>
        <v>#VALUE!</v>
      </c>
      <c r="Z512" s="446" t="e">
        <f>IF(OR($B512="",MIN(Z$38,$D$19)&lt;MAX($P$34*($B512+IF($R$17="Distrato",$I$38-1,0)),IF(AND($L$37=0,$P$34=0),"",$L$37-1),IF($R$17="Distrato",$E512,0))),0,YEARFRAC(MAX($P$34*($B512+IF($R$17="Distrato",$I$38-1,0)),IF(AND($L$37=0,$P$34=0),"",$L$37-1),IF($R$17="Distrato",$E512,0)),MIN(Z$38,$D$19),$P$20))-SUM($P512:Y512)</f>
        <v>#VALUE!</v>
      </c>
      <c r="AA512" s="446" t="e">
        <f>IF(OR($B512="",MIN(AA$38,$D$19)&lt;MAX($P$34*($B512+IF($R$17="Distrato",$I$38-1,0)),IF(AND($L$37=0,$P$34=0),"",$L$37-1),IF($R$17="Distrato",$E512,0))),0,YEARFRAC(MAX($P$34*($B512+IF($R$17="Distrato",$I$38-1,0)),IF(AND($L$37=0,$P$34=0),"",$L$37-1),IF($R$17="Distrato",$E512,0)),MIN(AA$38,$D$19),$P$20))-SUM($P512:Z512)</f>
        <v>#VALUE!</v>
      </c>
      <c r="AB512" s="446" t="e">
        <f>IF(OR($B512="",MIN(AB$38,$D$19)&lt;MAX($P$34*($B512+IF($R$17="Distrato",$I$38-1,0)),IF(AND($L$37=0,$P$34=0),"",$L$37-1),IF($R$17="Distrato",$E512,0))),0,YEARFRAC(MAX($P$34*($B512+IF($R$17="Distrato",$I$38-1,0)),IF(AND($L$37=0,$P$34=0),"",$L$37-1),IF($R$17="Distrato",$E512,0)),MIN(AB$38,$D$19),$P$20))-SUM($P512:AA512)</f>
        <v>#VALUE!</v>
      </c>
      <c r="AC512" s="446" t="e">
        <f>IF(OR($B512="",MIN(AC$38,$D$19)&lt;MAX($P$34*($B512+IF($R$17="Distrato",$I$38-1,0)),IF(AND($L$37=0,$P$34=0),"",$L$37-1),IF($R$17="Distrato",$E512,0))),0,YEARFRAC(MAX($P$34*($B512+IF($R$17="Distrato",$I$38-1,0)),IF(AND($L$37=0,$P$34=0),"",$L$37-1),IF($R$17="Distrato",$E512,0)),MIN(AC$38,$D$19),$P$20))-SUM($P512:AB512)</f>
        <v>#VALUE!</v>
      </c>
      <c r="AD512" s="446" t="e">
        <f>IF(OR($B512="",MIN(AD$38,$D$19)&lt;MAX($P$34*($B512+IF($R$17="Distrato",$I$38-1,0)),IF(AND($L$37=0,$P$34=0),"",$L$37-1),IF($R$17="Distrato",$E512,0))),0,YEARFRAC(MAX($P$34*($B512+IF($R$17="Distrato",$I$38-1,0)),IF(AND($L$37=0,$P$34=0),"",$L$37-1),IF($R$17="Distrato",$E512,0)),MIN(AD$38,$D$19),$P$20))-SUM($P512:AC512)</f>
        <v>#VALUE!</v>
      </c>
      <c r="AE512" s="446" t="e">
        <f>IF(OR($B512="",MIN(AE$38,$D$19)&lt;MAX($P$34*($B512+IF($R$17="Distrato",$I$38-1,0)),IF(AND($L$37=0,$P$34=0),"",$L$37-1),IF($R$17="Distrato",$E512,0))),0,YEARFRAC(MAX($P$34*($B512+IF($R$17="Distrato",$I$38-1,0)),IF(AND($L$37=0,$P$34=0),"",$L$37-1),IF($R$17="Distrato",$E512,0)),MIN(AE$38,$D$19),$P$20))-SUM($P512:AD512)</f>
        <v>#VALUE!</v>
      </c>
      <c r="AF512" s="446" t="e">
        <f>IF(OR($B512="",MIN(AF$38,$D$19)&lt;MAX($P$34*($B512+IF($R$17="Distrato",$I$38-1,0)),IF(AND($L$37=0,$P$34=0),"",$L$37-1),IF($R$17="Distrato",$E512,0))),0,YEARFRAC(MAX($P$34*($B512+IF($R$17="Distrato",$I$38-1,0)),IF(AND($L$37=0,$P$34=0),"",$L$37-1),IF($R$17="Distrato",$E512,0)),MIN(AF$38,$D$19),$P$20))-SUM($P512:AE512)</f>
        <v>#VALUE!</v>
      </c>
      <c r="AG512" s="446" t="e">
        <f>IF(OR($B512="",MIN(AG$38,$D$19)&lt;MAX($P$34*($B512+IF($R$17="Distrato",$I$38-1,0)),IF(AND($L$37=0,$P$34=0),"",$L$37-1),IF($R$17="Distrato",$E512,0))),0,YEARFRAC(MAX($P$34*($B512+IF($R$17="Distrato",$I$38-1,0)),IF(AND($L$37=0,$P$34=0),"",$L$37-1),IF($R$17="Distrato",$E512,0)),MIN(AG$38,$D$19),$P$20))-SUM($P512:AF512)</f>
        <v>#VALUE!</v>
      </c>
      <c r="AH512" s="446" t="e">
        <f>IF(OR($B512="",MIN(AH$38,$D$19)&lt;MAX($P$34*($B512+IF($R$17="Distrato",$I$38-1,0)),IF(AND($L$37=0,$P$34=0),"",$L$37-1),IF($R$17="Distrato",$E512,0))),0,YEARFRAC(MAX($P$34*($B512+IF($R$17="Distrato",$I$38-1,0)),IF(AND($L$37=0,$P$34=0),"",$L$37-1),IF($R$17="Distrato",$E512,0)),MIN(AH$38,$D$19),$P$20))-SUM($P512:AG512)</f>
        <v>#VALUE!</v>
      </c>
      <c r="AI512" s="446" t="e">
        <f>IF(OR($B512="",MIN(AI$38,$D$19)&lt;MAX($P$34*($B512+IF($R$17="Distrato",$I$38-1,0)),IF(AND($L$37=0,$P$34=0),"",$L$37-1),IF($R$17="Distrato",$E512,0))),0,YEARFRAC(MAX($P$34*($B512+IF($R$17="Distrato",$I$38-1,0)),IF(AND($L$37=0,$P$34=0),"",$L$37-1),IF($R$17="Distrato",$E512,0)),MIN(AI$38,$D$19),$P$20))-SUM($P512:AH512)</f>
        <v>#VALUE!</v>
      </c>
      <c r="AJ512" s="446" t="e">
        <f>IF(OR($B512="",MIN(AJ$38,$D$19)&lt;MAX($P$34*($B512+IF($R$17="Distrato",$I$38-1,0)),IF(AND($L$37=0,$P$34=0),"",$L$37-1),IF($R$17="Distrato",$E512,0))),0,YEARFRAC(MAX($P$34*($B512+IF($R$17="Distrato",$I$38-1,0)),IF(AND($L$37=0,$P$34=0),"",$L$37-1),IF($R$17="Distrato",$E512,0)),MIN(AJ$38,$D$19),$P$20))-SUM($P512:AI512)</f>
        <v>#VALUE!</v>
      </c>
      <c r="AK512" s="446" t="e">
        <f>IF(OR($B512="",MIN(AK$38,$D$19)&lt;MAX($P$34*($B512+IF($R$17="Distrato",$I$38-1,0)),IF(AND($L$37=0,$P$34=0),"",$L$37-1),IF($R$17="Distrato",$E512,0))),0,YEARFRAC(MAX($P$34*($B512+IF($R$17="Distrato",$I$38-1,0)),IF(AND($L$37=0,$P$34=0),"",$L$37-1),IF($R$17="Distrato",$E512,0)),MIN(AK$38,$D$19),$P$20))-SUM($P512:AJ512)</f>
        <v>#VALUE!</v>
      </c>
      <c r="AL512" s="446" t="e">
        <f>IF(OR($B512="",MIN(AL$38,$D$19)&lt;MAX($P$34*($B512+IF($R$17="Distrato",$I$38-1,0)),IF(AND($L$37=0,$P$34=0),"",$L$37-1),IF($R$17="Distrato",$E512,0))),0,YEARFRAC(MAX($P$34*($B512+IF($R$17="Distrato",$I$38-1,0)),IF(AND($L$37=0,$P$34=0),"",$L$37-1),IF($R$17="Distrato",$E512,0)),MIN(AL$38,$D$19),$P$20))-SUM($P512:AK512)</f>
        <v>#VALUE!</v>
      </c>
      <c r="AM512" s="446" t="e">
        <f>IF(OR($B512="",MIN(AM$38,$D$19)&lt;MAX($P$34*($B512+IF($R$17="Distrato",$I$38-1,0)),IF(AND($L$37=0,$P$34=0),"",$L$37-1),IF($R$17="Distrato",$E512,0))),0,YEARFRAC(MAX($P$34*($B512+IF($R$17="Distrato",$I$38-1,0)),IF(AND($L$37=0,$P$34=0),"",$L$37-1),IF($R$17="Distrato",$E512,0)),MIN(AM$38,$D$19),$P$20))-SUM($P512:AL512)</f>
        <v>#VALUE!</v>
      </c>
      <c r="AN512" s="446" t="e">
        <f>IF(OR($B512="",MIN(AN$38,$D$19)&lt;MAX($P$34*($B512+IF($R$17="Distrato",$I$38-1,0)),IF(AND($L$37=0,$P$34=0),"",$L$37-1),IF($R$17="Distrato",$E512,0))),0,YEARFRAC(MAX($P$34*($B512+IF($R$17="Distrato",$I$38-1,0)),IF(AND($L$37=0,$P$34=0),"",$L$37-1),IF($R$17="Distrato",$E512,0)),MIN(AN$38,$D$19),$P$20))-SUM($P512:AM512)</f>
        <v>#VALUE!</v>
      </c>
      <c r="AO512" s="446" t="e">
        <f>IF(OR($B512="",MIN(AO$38,$D$19)&lt;MAX($P$34*($B512+IF($R$17="Distrato",$I$38-1,0)),IF(AND($L$37=0,$P$34=0),"",$L$37-1),IF($R$17="Distrato",$E512,0))),0,YEARFRAC(MAX($P$34*($B512+IF($R$17="Distrato",$I$38-1,0)),IF(AND($L$37=0,$P$34=0),"",$L$37-1),IF($R$17="Distrato",$E512,0)),MIN(AO$38,$D$19),$P$20))-SUM($P512:AN512)</f>
        <v>#VALUE!</v>
      </c>
      <c r="AP512" s="446" t="e">
        <f>IF(OR($B512="",MIN(AP$38,$D$19)&lt;MAX($P$34*($B512+IF($R$17="Distrato",$I$38-1,0)),IF(AND($L$37=0,$P$34=0),"",$L$37-1),IF($R$17="Distrato",$E512,0))),0,YEARFRAC(MAX($P$34*($B512+IF($R$17="Distrato",$I$38-1,0)),IF(AND($L$37=0,$P$34=0),"",$L$37-1),IF($R$17="Distrato",$E512,0)),MIN(AP$38,$D$19),$P$20))-SUM($P512:AO512)</f>
        <v>#VALUE!</v>
      </c>
      <c r="AQ512" s="446" t="e">
        <f>IF(OR($B512="",MIN(AQ$38,$D$19)&lt;MAX($P$34*($B512+IF($R$17="Distrato",$I$38-1,0)),IF(AND($L$37=0,$P$34=0),"",$L$37-1),IF($R$17="Distrato",$E512,0))),0,YEARFRAC(MAX($P$34*($B512+IF($R$17="Distrato",$I$38-1,0)),IF(AND($L$37=0,$P$34=0),"",$L$37-1),IF($R$17="Distrato",$E512,0)),MIN(AQ$38,$D$19),$P$20))-SUM($P512:AP512)</f>
        <v>#VALUE!</v>
      </c>
      <c r="AR512" s="446" t="e">
        <f>IF(OR($B512="",MIN(AR$38,$D$19)&lt;MAX($P$34*($B512+IF($R$17="Distrato",$I$38-1,0)),IF(AND($L$37=0,$P$34=0),"",$L$37-1),IF($R$17="Distrato",$E512,0))),0,YEARFRAC(MAX($P$34*($B512+IF($R$17="Distrato",$I$38-1,0)),IF(AND($L$37=0,$P$34=0),"",$L$37-1),IF($R$17="Distrato",$E512,0)),MIN(AR$38,$D$19),$P$20))-SUM($P512:AQ512)</f>
        <v>#VALUE!</v>
      </c>
      <c r="AS512" s="446" t="e">
        <f>IF(OR($B512="",MIN(AS$38,$D$19)&lt;MAX($P$34*($B512+IF($R$17="Distrato",$I$38-1,0)),IF(AND($L$37=0,$P$34=0),"",$L$37-1),IF($R$17="Distrato",$E512,0))),0,YEARFRAC(MAX($P$34*($B512+IF($R$17="Distrato",$I$38-1,0)),IF(AND($L$37=0,$P$34=0),"",$L$37-1),IF($R$17="Distrato",$E512,0)),MIN(AS$38,$D$19),$P$20))-SUM($P512:AR512)</f>
        <v>#VALUE!</v>
      </c>
      <c r="AT512" s="446" t="e">
        <f>IF(OR($B512="",MIN(AT$38,$D$19)&lt;MAX($P$34*($B512+IF($R$17="Distrato",$I$38-1,0)),IF(AND($L$37=0,$P$34=0),"",$L$37-1),IF($R$17="Distrato",$E512,0))),0,YEARFRAC(MAX($P$34*($B512+IF($R$17="Distrato",$I$38-1,0)),IF(AND($L$37=0,$P$34=0),"",$L$37-1),IF($R$17="Distrato",$E512,0)),MIN(AT$38,$D$19),$P$20))-SUM($P512:AS512)</f>
        <v>#VALUE!</v>
      </c>
      <c r="AU512" s="446" t="e">
        <f>IF(OR($B512="",MIN(AU$38,$D$19)&lt;MAX($P$34*($B512+IF($R$17="Distrato",$I$38-1,0)),IF(AND($L$37=0,$P$34=0),"",$L$37-1),IF($R$17="Distrato",$E512,0))),0,YEARFRAC(MAX($P$34*($B512+IF($R$17="Distrato",$I$38-1,0)),IF(AND($L$37=0,$P$34=0),"",$L$37-1),IF($R$17="Distrato",$E512,0)),MIN(AU$38,$D$19),$P$20))-SUM($P512:AT512)</f>
        <v>#VALUE!</v>
      </c>
      <c r="AV512" s="446" t="e">
        <f>IF(OR($B512="",MIN(AV$38,$D$19)&lt;MAX($P$34*($B512+IF($R$17="Distrato",$I$38-1,0)),IF(AND($L$37=0,$P$34=0),"",$L$37-1),IF($R$17="Distrato",$E512,0))),0,YEARFRAC(MAX($P$34*($B512+IF($R$17="Distrato",$I$38-1,0)),IF(AND($L$37=0,$P$34=0),"",$L$37-1),IF($R$17="Distrato",$E512,0)),MIN(AV$38,$D$19),$P$20))-SUM($P512:AU512)</f>
        <v>#VALUE!</v>
      </c>
      <c r="AW512" s="446" t="e">
        <f>IF(OR($B512="",MIN(AW$38,$D$19)&lt;MAX($P$34*($B512+IF($R$17="Distrato",$I$38-1,0)),IF(AND($L$37=0,$P$34=0),"",$L$37-1),IF($R$17="Distrato",$E512,0))),0,YEARFRAC(MAX($P$34*($B512+IF($R$17="Distrato",$I$38-1,0)),IF(AND($L$37=0,$P$34=0),"",$L$37-1),IF($R$17="Distrato",$E512,0)),MIN(AW$38,$D$19),$P$20))-SUM($P512:AV512)</f>
        <v>#VALUE!</v>
      </c>
      <c r="AX512" s="446" t="e">
        <f>IF(OR($B512="",MIN(AX$38,$D$19)&lt;MAX($P$34*($B512+IF($R$17="Distrato",$I$38-1,0)),IF(AND($L$37=0,$P$34=0),"",$L$37-1),IF($R$17="Distrato",$E512,0))),0,YEARFRAC(MAX($P$34*($B512+IF($R$17="Distrato",$I$38-1,0)),IF(AND($L$37=0,$P$34=0),"",$L$37-1),IF($R$17="Distrato",$E512,0)),MIN(AX$38,$D$19),$P$20))-SUM($P512:AW512)</f>
        <v>#VALUE!</v>
      </c>
      <c r="AY512" s="446" t="e">
        <f>IF(OR($B512="",MIN(AY$38,$D$19)&lt;MAX($P$34*($B512+IF($R$17="Distrato",$I$38-1,0)),IF(AND($L$37=0,$P$34=0),"",$L$37-1),IF($R$17="Distrato",$E512,0))),0,YEARFRAC(MAX($P$34*($B512+IF($R$17="Distrato",$I$38-1,0)),IF(AND($L$37=0,$P$34=0),"",$L$37-1),IF($R$17="Distrato",$E512,0)),MIN(AY$38,$D$19),$P$20))-SUM($P512:AX512)</f>
        <v>#VALUE!</v>
      </c>
      <c r="AZ512" s="446" t="e">
        <f>IF(OR($B512="",MIN(AZ$38,$D$19)&lt;MAX($P$34*($B512+IF($R$17="Distrato",$I$38-1,0)),IF(AND($L$37=0,$P$34=0),"",$L$37-1),IF($R$17="Distrato",$E512,0))),0,YEARFRAC(MAX($P$34*($B512+IF($R$17="Distrato",$I$38-1,0)),IF(AND($L$37=0,$P$34=0),"",$L$37-1),IF($R$17="Distrato",$E512,0)),MIN(AZ$38,$D$19),$P$20))-SUM($P512:AY512)</f>
        <v>#VALUE!</v>
      </c>
      <c r="BA512" s="446" t="e">
        <f>IF(OR($B512="",MIN(BA$38,$D$19)&lt;MAX($P$34*($B512+IF($R$17="Distrato",$I$38-1,0)),IF(AND($L$37=0,$P$34=0),"",$L$37-1),IF($R$17="Distrato",$E512,0))),0,YEARFRAC(MAX($P$34*($B512+IF($R$17="Distrato",$I$38-1,0)),IF(AND($L$37=0,$P$34=0),"",$L$37-1),IF($R$17="Distrato",$E512,0)),MIN(BA$38,$D$19),$P$20))-SUM($P512:AZ512)</f>
        <v>#VALUE!</v>
      </c>
      <c r="BB512" s="447"/>
      <c r="BF512" s="446">
        <f t="shared" si="87"/>
        <v>0</v>
      </c>
      <c r="BG512" s="446">
        <f>IF($E512=0,0,IF(MIN(BG$38,$E512)&lt;MAX($P$34*($B512+$I$38-1),IF(AND($L$37=0,$P$34=0),"",$L$37-1)),0,YEARFRAC(MAX($P$34*($B512+$I$38-1),IF(AND($L$37=0,$P$34=0),"",$L$37-1)),MIN(BG$38,$E512),$P$20))-SUM($BF512:BF512))</f>
        <v>0</v>
      </c>
      <c r="BH512" s="446">
        <f>IF($E512=0,0,IF(MIN(BH$38,$E512)&lt;MAX($P$34*($B512+$I$38-1),IF(AND($L$37=0,$P$34=0),"",$L$37-1)),0,YEARFRAC(MAX($P$34*($B512+$I$38-1),IF(AND($L$37=0,$P$34=0),"",$L$37-1)),MIN(BH$38,$E512),$P$20))-SUM($BF512:BG512))</f>
        <v>0</v>
      </c>
      <c r="BI512" s="446">
        <f>IF($E512=0,0,IF(MIN(BI$38,$E512)&lt;MAX($P$34*($B512+$I$38-1),IF(AND($L$37=0,$P$34=0),"",$L$37-1)),0,YEARFRAC(MAX($P$34*($B512+$I$38-1),IF(AND($L$37=0,$P$34=0),"",$L$37-1)),MIN(BI$38,$E512),$P$20))-SUM($BF512:BH512))</f>
        <v>0</v>
      </c>
      <c r="BJ512" s="446">
        <f>IF($E512=0,0,IF(MIN(BJ$38,$E512)&lt;MAX($P$34*($B512+$I$38-1),IF(AND($L$37=0,$P$34=0),"",$L$37-1)),0,YEARFRAC(MAX($P$34*($B512+$I$38-1),IF(AND($L$37=0,$P$34=0),"",$L$37-1)),MIN(BJ$38,$E512),$P$20))-SUM($BF512:BI512))</f>
        <v>0</v>
      </c>
      <c r="BK512" s="446">
        <f>IF($E512=0,0,IF(MIN(BK$38,$E512)&lt;MAX($P$34*($B512+$I$38-1),IF(AND($L$37=0,$P$34=0),"",$L$37-1)),0,YEARFRAC(MAX($P$34*($B512+$I$38-1),IF(AND($L$37=0,$P$34=0),"",$L$37-1)),MIN(BK$38,$E512),$P$20))-SUM($BF512:BJ512))</f>
        <v>0</v>
      </c>
      <c r="BL512" s="446">
        <f>IF($E512=0,0,IF(MIN(BL$38,$E512)&lt;MAX($P$34*($B512+$I$38-1),IF(AND($L$37=0,$P$34=0),"",$L$37-1)),0,YEARFRAC(MAX($P$34*($B512+$I$38-1),IF(AND($L$37=0,$P$34=0),"",$L$37-1)),MIN(BL$38,$E512),$P$20))-SUM($BF512:BK512))</f>
        <v>0</v>
      </c>
      <c r="BM512" s="446">
        <f>IF($E512=0,0,IF(MIN(BM$38,$E512)&lt;MAX($P$34*($B512+$I$38-1),IF(AND($L$37=0,$P$34=0),"",$L$37-1)),0,YEARFRAC(MAX($P$34*($B512+$I$38-1),IF(AND($L$37=0,$P$34=0),"",$L$37-1)),MIN(BM$38,$E512),$P$20))-SUM($BF512:BL512))</f>
        <v>0</v>
      </c>
      <c r="BN512" s="446">
        <f>IF($E512=0,0,IF(MIN(BN$38,$E512)&lt;MAX($P$34*($B512+$I$38-1),IF(AND($L$37=0,$P$34=0),"",$L$37-1)),0,YEARFRAC(MAX($P$34*($B512+$I$38-1),IF(AND($L$37=0,$P$34=0),"",$L$37-1)),MIN(BN$38,$E512),$P$20))-SUM($BF512:BM512))</f>
        <v>0</v>
      </c>
      <c r="BO512" s="446">
        <f>IF($E512=0,0,IF(MIN(BO$38,$E512)&lt;MAX($P$34*($B512+$I$38-1),IF(AND($L$37=0,$P$34=0),"",$L$37-1)),0,YEARFRAC(MAX($P$34*($B512+$I$38-1),IF(AND($L$37=0,$P$34=0),"",$L$37-1)),MIN(BO$38,$E512),$P$20))-SUM($BF512:BN512))</f>
        <v>0</v>
      </c>
      <c r="BP512" s="446">
        <f>IF($E512=0,0,IF(MIN(BP$38,$E512)&lt;MAX($P$34*($B512+$I$38-1),IF(AND($L$37=0,$P$34=0),"",$L$37-1)),0,YEARFRAC(MAX($P$34*($B512+$I$38-1),IF(AND($L$37=0,$P$34=0),"",$L$37-1)),MIN(BP$38,$E512),$P$20))-SUM($BF512:BO512))</f>
        <v>0</v>
      </c>
      <c r="BQ512" s="446">
        <f>IF($E512=0,0,IF(MIN(BQ$38,$E512)&lt;MAX($P$34*($B512+$I$38-1),IF(AND($L$37=0,$P$34=0),"",$L$37-1)),0,YEARFRAC(MAX($P$34*($B512+$I$38-1),IF(AND($L$37=0,$P$34=0),"",$L$37-1)),MIN(BQ$38,$E512),$P$20))-SUM($BF512:BP512))</f>
        <v>0</v>
      </c>
      <c r="BR512" s="446">
        <f>IF($E512=0,0,IF(MIN(BR$38,$E512)&lt;MAX($P$34*($B512+$I$38-1),IF(AND($L$37=0,$P$34=0),"",$L$37-1)),0,YEARFRAC(MAX($P$34*($B512+$I$38-1),IF(AND($L$37=0,$P$34=0),"",$L$37-1)),MIN(BR$38,$E512),$P$20))-SUM($BF512:BQ512))</f>
        <v>0</v>
      </c>
      <c r="BS512" s="446">
        <f>IF($E512=0,0,IF(MIN(BS$38,$E512)&lt;MAX($P$34*($B512+$I$38-1),IF(AND($L$37=0,$P$34=0),"",$L$37-1)),0,YEARFRAC(MAX($P$34*($B512+$I$38-1),IF(AND($L$37=0,$P$34=0),"",$L$37-1)),MIN(BS$38,$E512),$P$20))-SUM($BF512:BR512))</f>
        <v>0</v>
      </c>
      <c r="BT512" s="446">
        <f>IF($E512=0,0,IF(MIN(BT$38,$E512)&lt;MAX($P$34*($B512+$I$38-1),IF(AND($L$37=0,$P$34=0),"",$L$37-1)),0,YEARFRAC(MAX($P$34*($B512+$I$38-1),IF(AND($L$37=0,$P$34=0),"",$L$37-1)),MIN(BT$38,$E512),$P$20))-SUM($BF512:BS512))</f>
        <v>0</v>
      </c>
      <c r="BU512" s="446">
        <f>IF($E512=0,0,IF(MIN(BU$38,$E512)&lt;MAX($P$34*($B512+$I$38-1),IF(AND($L$37=0,$P$34=0),"",$L$37-1)),0,YEARFRAC(MAX($P$34*($B512+$I$38-1),IF(AND($L$37=0,$P$34=0),"",$L$37-1)),MIN(BU$38,$E512),$P$20))-SUM($BF512:BT512))</f>
        <v>0</v>
      </c>
      <c r="BV512" s="446">
        <f>IF($E512=0,0,IF(MIN(BV$38,$E512)&lt;MAX($P$34*($B512+$I$38-1),IF(AND($L$37=0,$P$34=0),"",$L$37-1)),0,YEARFRAC(MAX($P$34*($B512+$I$38-1),IF(AND($L$37=0,$P$34=0),"",$L$37-1)),MIN(BV$38,$E512),$P$20))-SUM($BF512:BU512))</f>
        <v>0</v>
      </c>
      <c r="BW512" s="446">
        <f>IF($E512=0,0,IF(MIN(BW$38,$E512)&lt;MAX($P$34*($B512+$I$38-1),IF(AND($L$37=0,$P$34=0),"",$L$37-1)),0,YEARFRAC(MAX($P$34*($B512+$I$38-1),IF(AND($L$37=0,$P$34=0),"",$L$37-1)),MIN(BW$38,$E512),$P$20))-SUM($BF512:BV512))</f>
        <v>0</v>
      </c>
      <c r="BX512" s="446">
        <f>IF($E512=0,0,IF(MIN(BX$38,$E512)&lt;MAX($P$34*($B512+$I$38-1),IF(AND($L$37=0,$P$34=0),"",$L$37-1)),0,YEARFRAC(MAX($P$34*($B512+$I$38-1),IF(AND($L$37=0,$P$34=0),"",$L$37-1)),MIN(BX$38,$E512),$P$20))-SUM($BF512:BW512))</f>
        <v>0</v>
      </c>
      <c r="BY512" s="446">
        <f>IF($E512=0,0,IF(MIN(BY$38,$E512)&lt;MAX($P$34*($B512+$I$38-1),IF(AND($L$37=0,$P$34=0),"",$L$37-1)),0,YEARFRAC(MAX($P$34*($B512+$I$38-1),IF(AND($L$37=0,$P$34=0),"",$L$37-1)),MIN(BY$38,$E512),$P$20))-SUM($BF512:BX512))</f>
        <v>0</v>
      </c>
      <c r="BZ512" s="446">
        <f>IF($E512=0,0,IF(MIN(BZ$38,$E512)&lt;MAX($P$34*($B512+$I$38-1),IF(AND($L$37=0,$P$34=0),"",$L$37-1)),0,YEARFRAC(MAX($P$34*($B512+$I$38-1),IF(AND($L$37=0,$P$34=0),"",$L$37-1)),MIN(BZ$38,$E512),$P$20))-SUM($BF512:BY512))</f>
        <v>0</v>
      </c>
      <c r="CA512" s="446">
        <f>IF($E512=0,0,IF(MIN(CA$38,$E512)&lt;MAX($P$34*($B512+$I$38-1),IF(AND($L$37=0,$P$34=0),"",$L$37-1)),0,YEARFRAC(MAX($P$34*($B512+$I$38-1),IF(AND($L$37=0,$P$34=0),"",$L$37-1)),MIN(CA$38,$E512),$P$20))-SUM($BF512:BZ512))</f>
        <v>0</v>
      </c>
      <c r="CB512" s="446">
        <f>IF($E512=0,0,IF(MIN(CB$38,$E512)&lt;MAX($P$34*($B512+$I$38-1),IF(AND($L$37=0,$P$34=0),"",$L$37-1)),0,YEARFRAC(MAX($P$34*($B512+$I$38-1),IF(AND($L$37=0,$P$34=0),"",$L$37-1)),MIN(CB$38,$E512),$P$20))-SUM($BF512:CA512))</f>
        <v>0</v>
      </c>
      <c r="CC512" s="446">
        <f>IF($E512=0,0,IF(MIN(CC$38,$E512)&lt;MAX($P$34*($B512+$I$38-1),IF(AND($L$37=0,$P$34=0),"",$L$37-1)),0,YEARFRAC(MAX($P$34*($B512+$I$38-1),IF(AND($L$37=0,$P$34=0),"",$L$37-1)),MIN(CC$38,$E512),$P$20))-SUM($BF512:CB512))</f>
        <v>0</v>
      </c>
      <c r="CD512" s="446">
        <f>IF($E512=0,0,IF(MIN(CD$38,$E512)&lt;MAX($P$34*($B512+$I$38-1),IF(AND($L$37=0,$P$34=0),"",$L$37-1)),0,YEARFRAC(MAX($P$34*($B512+$I$38-1),IF(AND($L$37=0,$P$34=0),"",$L$37-1)),MIN(CD$38,$E512),$P$20))-SUM($BF512:CC512))</f>
        <v>0</v>
      </c>
      <c r="CE512" s="446">
        <f>IF($E512=0,0,IF(MIN(CE$38,$E512)&lt;MAX($P$34*($B512+$I$38-1),IF(AND($L$37=0,$P$34=0),"",$L$37-1)),0,YEARFRAC(MAX($P$34*($B512+$I$38-1),IF(AND($L$37=0,$P$34=0),"",$L$37-1)),MIN(CE$38,$E512),$P$20))-SUM($BF512:CD512))</f>
        <v>0</v>
      </c>
      <c r="CF512" s="446">
        <f>IF($E512=0,0,IF(MIN(CF$38,$E512)&lt;MAX($P$34*($B512+$I$38-1),IF(AND($L$37=0,$P$34=0),"",$L$37-1)),0,YEARFRAC(MAX($P$34*($B512+$I$38-1),IF(AND($L$37=0,$P$34=0),"",$L$37-1)),MIN(CF$38,$E512),$P$20))-SUM($BF512:CE512))</f>
        <v>0</v>
      </c>
      <c r="CG512" s="446">
        <f>IF($E512=0,0,IF(MIN(CG$38,$E512)&lt;MAX($P$34*($B512+$I$38-1),IF(AND($L$37=0,$P$34=0),"",$L$37-1)),0,YEARFRAC(MAX($P$34*($B512+$I$38-1),IF(AND($L$37=0,$P$34=0),"",$L$37-1)),MIN(CG$38,$E512),$P$20))-SUM($BF512:CF512))</f>
        <v>0</v>
      </c>
      <c r="CH512" s="446">
        <f>IF($E512=0,0,IF(MIN(CH$38,$E512)&lt;MAX($P$34*($B512+$I$38-1),IF(AND($L$37=0,$P$34=0),"",$L$37-1)),0,YEARFRAC(MAX($P$34*($B512+$I$38-1),IF(AND($L$37=0,$P$34=0),"",$L$37-1)),MIN(CH$38,$E512),$P$20))-SUM($BF512:CG512))</f>
        <v>0</v>
      </c>
      <c r="CI512" s="446">
        <f>IF($E512=0,0,IF(MIN(CI$38,$E512)&lt;MAX($P$34*($B512+$I$38-1),IF(AND($L$37=0,$P$34=0),"",$L$37-1)),0,YEARFRAC(MAX($P$34*($B512+$I$38-1),IF(AND($L$37=0,$P$34=0),"",$L$37-1)),MIN(CI$38,$E512),$P$20))-SUM($BF512:CH512))</f>
        <v>0</v>
      </c>
      <c r="CJ512" s="446">
        <f>IF($E512=0,0,IF(MIN(CJ$38,$E512)&lt;MAX($P$34*($B512+$I$38-1),IF(AND($L$37=0,$P$34=0),"",$L$37-1)),0,YEARFRAC(MAX($P$34*($B512+$I$38-1),IF(AND($L$37=0,$P$34=0),"",$L$37-1)),MIN(CJ$38,$E512),$P$20))-SUM($BF512:CI512))</f>
        <v>0</v>
      </c>
      <c r="CK512" s="446">
        <f>IF($E512=0,0,IF(MIN(CK$38,$E512)&lt;MAX($P$34*($B512+$I$38-1),IF(AND($L$37=0,$P$34=0),"",$L$37-1)),0,YEARFRAC(MAX($P$34*($B512+$I$38-1),IF(AND($L$37=0,$P$34=0),"",$L$37-1)),MIN(CK$38,$E512),$P$20))-SUM($BF512:CJ512))</f>
        <v>0</v>
      </c>
      <c r="CL512" s="446">
        <f>IF($E512=0,0,IF(MIN(CL$38,$E512)&lt;MAX($P$34*($B512+$I$38-1),IF(AND($L$37=0,$P$34=0),"",$L$37-1)),0,YEARFRAC(MAX($P$34*($B512+$I$38-1),IF(AND($L$37=0,$P$34=0),"",$L$37-1)),MIN(CL$38,$E512),$P$20))-SUM($BF512:CK512))</f>
        <v>0</v>
      </c>
      <c r="CM512" s="446">
        <f>IF($E512=0,0,IF(MIN(CM$38,$E512)&lt;MAX($P$34*($B512+$I$38-1),IF(AND($L$37=0,$P$34=0),"",$L$37-1)),0,YEARFRAC(MAX($P$34*($B512+$I$38-1),IF(AND($L$37=0,$P$34=0),"",$L$37-1)),MIN(CM$38,$E512),$P$20))-SUM($BF512:CL512))</f>
        <v>0</v>
      </c>
      <c r="CN512" s="446">
        <f>IF($E512=0,0,IF(MIN(CN$38,$E512)&lt;MAX($P$34*($B512+$I$38-1),IF(AND($L$37=0,$P$34=0),"",$L$37-1)),0,YEARFRAC(MAX($P$34*($B512+$I$38-1),IF(AND($L$37=0,$P$34=0),"",$L$37-1)),MIN(CN$38,$E512),$P$20))-SUM($BF512:CM512))</f>
        <v>0</v>
      </c>
      <c r="CO512" s="446">
        <f>IF($E512=0,0,IF(MIN(CO$38,$E512)&lt;MAX($P$34*($B512+$I$38-1),IF(AND($L$37=0,$P$34=0),"",$L$37-1)),0,YEARFRAC(MAX($P$34*($B512+$I$38-1),IF(AND($L$37=0,$P$34=0),"",$L$37-1)),MIN(CO$38,$E512),$P$20))-SUM($BF512:CN512))</f>
        <v>0</v>
      </c>
      <c r="CP512" s="446">
        <f>IF($E512=0,0,IF(MIN(CP$38,$E512)&lt;MAX($P$34*($B512+$I$38-1),IF(AND($L$37=0,$P$34=0),"",$L$37-1)),0,YEARFRAC(MAX($P$34*($B512+$I$38-1),IF(AND($L$37=0,$P$34=0),"",$L$37-1)),MIN(CP$38,$E512),$P$20))-SUM($BF512:CO512))</f>
        <v>0</v>
      </c>
      <c r="CQ512" s="446">
        <f>IF($E512=0,0,IF(MIN(CQ$38,$E512)&lt;MAX($P$34*($B512+$I$38-1),IF(AND($L$37=0,$P$34=0),"",$L$37-1)),0,YEARFRAC(MAX($P$34*($B512+$I$38-1),IF(AND($L$37=0,$P$34=0),"",$L$37-1)),MIN(CQ$38,$E512),$P$20))-SUM($BF512:CP512))</f>
        <v>0</v>
      </c>
    </row>
    <row r="513" spans="1:95" s="446" customFormat="1" ht="11.25" hidden="1" customHeight="1" x14ac:dyDescent="0.2">
      <c r="A513" s="152"/>
      <c r="B513" s="153" t="str">
        <f t="shared" si="92"/>
        <v/>
      </c>
      <c r="C513" s="29" t="str">
        <f>IF(B513="","",IF($L$35="SELIC - TRIBUTOS",VLOOKUP(DATE(YEAR($D$19),MONTH($D$19)-1,1),ÍNDICES!$A:$DE,HLOOKUP($BL$25,ÍNDICES!$B$3:$T$4,2)+11)-VLOOKUP(B513,ÍNDICES!$A:$DE,HLOOKUP($BL$25,ÍNDICES!$B$3:$T$4,2)+11)+1%,IF(C$38=$W$26,$J$35,IF(ISERROR(IF(B513&gt;$D$19,1,VLOOKUP(DATE(YEAR(B513),MONTH(B513)+IF($C$35=$S$23,1,0),1),ÍNDICES!$A:$DE,$Z$35+1))),"",IF(B513&gt;$D$19,1,VLOOKUP(DATE(YEAR(B513),MONTH(B513)+IF($C$35=$S$23,1,0),1),ÍNDICES!$A:$DE,$Z$35+1))))))</f>
        <v/>
      </c>
      <c r="D513" s="154" t="str">
        <f>IF(ISERROR(IF(OR($D$38=$Y$27,$B513=""),"",VLOOKUP(B513,ÍNDICES!A:DE,AF$35+1))),"",IF(OR($D$38=$Y$27,$B513=""),"",VLOOKUP(B513,ÍNDICES!A:DE,AF$35+1)))</f>
        <v/>
      </c>
      <c r="E513" s="153"/>
      <c r="F513" s="29" t="str">
        <f>IF(E513="","",IF($L$35="SELIC - TRIBUTOS",VLOOKUP(DATE(YEAR($D$19),MONTH($D$19)-1,1),ÍNDICES!$A:$DE,HLOOKUP($BL$25,ÍNDICES!$B$3:$T$4,2)+11)-VLOOKUP(E513,ÍNDICES!$A:$DE,HLOOKUP($BL$25,ÍNDICES!$B$3:$T$4,2)+11)+1%,IF(F$38=$W$26,$J$35,IF(ISERROR(IF(E513&gt;$D$19,1,VLOOKUP(DATE(YEAR(E513),MONTH(E513)+IF($C$35=$S$23,1,0),1),ÍNDICES!$A:$DE,$Z$35+1))),"",IF(E513&gt;$D$19,1,VLOOKUP(DATE(YEAR(E513),MONTH(E513)+IF($C$35=$S$23,1,0),1),ÍNDICES!$A:$DE,$Z$35+1))))))</f>
        <v/>
      </c>
      <c r="G513" s="155"/>
      <c r="H513" s="156" t="str">
        <f t="shared" si="88"/>
        <v/>
      </c>
      <c r="I513" s="29" t="str">
        <f t="shared" si="82"/>
        <v/>
      </c>
      <c r="J513" s="5">
        <f t="shared" si="83"/>
        <v>0</v>
      </c>
      <c r="K513" s="20">
        <f t="shared" ca="1" si="84"/>
        <v>0</v>
      </c>
      <c r="L513" s="5">
        <f t="shared" ca="1" si="85"/>
        <v>0</v>
      </c>
      <c r="M513" s="64">
        <f t="shared" si="89"/>
        <v>0</v>
      </c>
      <c r="N513" s="61">
        <f t="shared" ca="1" si="90"/>
        <v>0</v>
      </c>
      <c r="O513" s="5">
        <f t="shared" ca="1" si="91"/>
        <v>0</v>
      </c>
      <c r="P513" s="446" t="e">
        <f t="shared" si="86"/>
        <v>#VALUE!</v>
      </c>
      <c r="Q513" s="446" t="e">
        <f>IF(OR($B513="",MIN(Q$38,$D$19)&lt;MAX($P$34*($B513+IF($R$17="Distrato",$I$38-1,0)),IF(AND($L$37=0,$P$34=0),"",$L$37-1),IF($R$17="Distrato",$E513,0))),0,YEARFRAC(MAX($P$34*($B513+IF($R$17="Distrato",$I$38-1,0)),IF(AND($L$37=0,$P$34=0),"",$L$37-1),IF($R$17="Distrato",$E513,0)),MIN(Q$38,$D$19),$P$20))-SUM($P513:P513)</f>
        <v>#VALUE!</v>
      </c>
      <c r="R513" s="446" t="e">
        <f>IF(OR($B513="",MIN(R$38,$D$19)&lt;MAX($P$34*($B513+IF($R$17="Distrato",$I$38-1,0)),IF(AND($L$37=0,$P$34=0),"",$L$37-1),IF($R$17="Distrato",$E513,0))),0,YEARFRAC(MAX($P$34*($B513+IF($R$17="Distrato",$I$38-1,0)),IF(AND($L$37=0,$P$34=0),"",$L$37-1),IF($R$17="Distrato",$E513,0)),MIN(R$38,$D$19),$P$20))-SUM($P513:Q513)</f>
        <v>#VALUE!</v>
      </c>
      <c r="S513" s="446" t="e">
        <f>IF(OR($B513="",MIN(S$38,$D$19)&lt;MAX($P$34*($B513+IF($R$17="Distrato",$I$38-1,0)),IF(AND($L$37=0,$P$34=0),"",$L$37-1),IF($R$17="Distrato",$E513,0))),0,YEARFRAC(MAX($P$34*($B513+IF($R$17="Distrato",$I$38-1,0)),IF(AND($L$37=0,$P$34=0),"",$L$37-1),IF($R$17="Distrato",$E513,0)),MIN(S$38,$D$19),$P$20))-SUM($P513:R513)</f>
        <v>#VALUE!</v>
      </c>
      <c r="T513" s="446" t="e">
        <f>IF(OR($B513="",MIN(T$38,$D$19)&lt;MAX($P$34*($B513+IF($R$17="Distrato",$I$38-1,0)),IF(AND($L$37=0,$P$34=0),"",$L$37-1),IF($R$17="Distrato",$E513,0))),0,YEARFRAC(MAX($P$34*($B513+IF($R$17="Distrato",$I$38-1,0)),IF(AND($L$37=0,$P$34=0),"",$L$37-1),IF($R$17="Distrato",$E513,0)),MIN(T$38,$D$19),$P$20))-SUM($P513:S513)</f>
        <v>#VALUE!</v>
      </c>
      <c r="U513" s="446" t="e">
        <f>IF(OR($B513="",MIN(U$38,$D$19)&lt;MAX($P$34*($B513+IF($R$17="Distrato",$I$38-1,0)),IF(AND($L$37=0,$P$34=0),"",$L$37-1),IF($R$17="Distrato",$E513,0))),0,YEARFRAC(MAX($P$34*($B513+IF($R$17="Distrato",$I$38-1,0)),IF(AND($L$37=0,$P$34=0),"",$L$37-1),IF($R$17="Distrato",$E513,0)),MIN(U$38,$D$19),$P$20))-SUM($P513:T513)</f>
        <v>#VALUE!</v>
      </c>
      <c r="V513" s="446" t="e">
        <f>IF(OR($B513="",MIN(V$38,$D$19)&lt;MAX($P$34*($B513+IF($R$17="Distrato",$I$38-1,0)),IF(AND($L$37=0,$P$34=0),"",$L$37-1),IF($R$17="Distrato",$E513,0))),0,YEARFRAC(MAX($P$34*($B513+IF($R$17="Distrato",$I$38-1,0)),IF(AND($L$37=0,$P$34=0),"",$L$37-1),IF($R$17="Distrato",$E513,0)),MIN(V$38,$D$19),$P$20))-SUM($P513:U513)</f>
        <v>#VALUE!</v>
      </c>
      <c r="W513" s="446" t="e">
        <f>IF(OR($B513="",MIN(W$38,$D$19)&lt;MAX($P$34*($B513+IF($R$17="Distrato",$I$38-1,0)),IF(AND($L$37=0,$P$34=0),"",$L$37-1),IF($R$17="Distrato",$E513,0))),0,YEARFRAC(MAX($P$34*($B513+IF($R$17="Distrato",$I$38-1,0)),IF(AND($L$37=0,$P$34=0),"",$L$37-1),IF($R$17="Distrato",$E513,0)),MIN(W$38,$D$19),$P$20))-SUM($P513:V513)</f>
        <v>#VALUE!</v>
      </c>
      <c r="X513" s="446" t="e">
        <f>IF(OR($B513="",MIN(X$38,$D$19)&lt;MAX($P$34*($B513+IF($R$17="Distrato",$I$38-1,0)),IF(AND($L$37=0,$P$34=0),"",$L$37-1),IF($R$17="Distrato",$E513,0))),0,YEARFRAC(MAX($P$34*($B513+IF($R$17="Distrato",$I$38-1,0)),IF(AND($L$37=0,$P$34=0),"",$L$37-1),IF($R$17="Distrato",$E513,0)),MIN(X$38,$D$19),$P$20))-SUM($P513:W513)</f>
        <v>#VALUE!</v>
      </c>
      <c r="Y513" s="446" t="e">
        <f>IF(OR($B513="",MIN(Y$38,$D$19)&lt;MAX($P$34*($B513+IF($R$17="Distrato",$I$38-1,0)),IF(AND($L$37=0,$P$34=0),"",$L$37-1),IF($R$17="Distrato",$E513,0))),0,YEARFRAC(MAX($P$34*($B513+IF($R$17="Distrato",$I$38-1,0)),IF(AND($L$37=0,$P$34=0),"",$L$37-1),IF($R$17="Distrato",$E513,0)),MIN(Y$38,$D$19),$P$20))-SUM($P513:X513)</f>
        <v>#VALUE!</v>
      </c>
      <c r="Z513" s="446" t="e">
        <f>IF(OR($B513="",MIN(Z$38,$D$19)&lt;MAX($P$34*($B513+IF($R$17="Distrato",$I$38-1,0)),IF(AND($L$37=0,$P$34=0),"",$L$37-1),IF($R$17="Distrato",$E513,0))),0,YEARFRAC(MAX($P$34*($B513+IF($R$17="Distrato",$I$38-1,0)),IF(AND($L$37=0,$P$34=0),"",$L$37-1),IF($R$17="Distrato",$E513,0)),MIN(Z$38,$D$19),$P$20))-SUM($P513:Y513)</f>
        <v>#VALUE!</v>
      </c>
      <c r="AA513" s="446" t="e">
        <f>IF(OR($B513="",MIN(AA$38,$D$19)&lt;MAX($P$34*($B513+IF($R$17="Distrato",$I$38-1,0)),IF(AND($L$37=0,$P$34=0),"",$L$37-1),IF($R$17="Distrato",$E513,0))),0,YEARFRAC(MAX($P$34*($B513+IF($R$17="Distrato",$I$38-1,0)),IF(AND($L$37=0,$P$34=0),"",$L$37-1),IF($R$17="Distrato",$E513,0)),MIN(AA$38,$D$19),$P$20))-SUM($P513:Z513)</f>
        <v>#VALUE!</v>
      </c>
      <c r="AB513" s="446" t="e">
        <f>IF(OR($B513="",MIN(AB$38,$D$19)&lt;MAX($P$34*($B513+IF($R$17="Distrato",$I$38-1,0)),IF(AND($L$37=0,$P$34=0),"",$L$37-1),IF($R$17="Distrato",$E513,0))),0,YEARFRAC(MAX($P$34*($B513+IF($R$17="Distrato",$I$38-1,0)),IF(AND($L$37=0,$P$34=0),"",$L$37-1),IF($R$17="Distrato",$E513,0)),MIN(AB$38,$D$19),$P$20))-SUM($P513:AA513)</f>
        <v>#VALUE!</v>
      </c>
      <c r="AC513" s="446" t="e">
        <f>IF(OR($B513="",MIN(AC$38,$D$19)&lt;MAX($P$34*($B513+IF($R$17="Distrato",$I$38-1,0)),IF(AND($L$37=0,$P$34=0),"",$L$37-1),IF($R$17="Distrato",$E513,0))),0,YEARFRAC(MAX($P$34*($B513+IF($R$17="Distrato",$I$38-1,0)),IF(AND($L$37=0,$P$34=0),"",$L$37-1),IF($R$17="Distrato",$E513,0)),MIN(AC$38,$D$19),$P$20))-SUM($P513:AB513)</f>
        <v>#VALUE!</v>
      </c>
      <c r="AD513" s="446" t="e">
        <f>IF(OR($B513="",MIN(AD$38,$D$19)&lt;MAX($P$34*($B513+IF($R$17="Distrato",$I$38-1,0)),IF(AND($L$37=0,$P$34=0),"",$L$37-1),IF($R$17="Distrato",$E513,0))),0,YEARFRAC(MAX($P$34*($B513+IF($R$17="Distrato",$I$38-1,0)),IF(AND($L$37=0,$P$34=0),"",$L$37-1),IF($R$17="Distrato",$E513,0)),MIN(AD$38,$D$19),$P$20))-SUM($P513:AC513)</f>
        <v>#VALUE!</v>
      </c>
      <c r="AE513" s="446" t="e">
        <f>IF(OR($B513="",MIN(AE$38,$D$19)&lt;MAX($P$34*($B513+IF($R$17="Distrato",$I$38-1,0)),IF(AND($L$37=0,$P$34=0),"",$L$37-1),IF($R$17="Distrato",$E513,0))),0,YEARFRAC(MAX($P$34*($B513+IF($R$17="Distrato",$I$38-1,0)),IF(AND($L$37=0,$P$34=0),"",$L$37-1),IF($R$17="Distrato",$E513,0)),MIN(AE$38,$D$19),$P$20))-SUM($P513:AD513)</f>
        <v>#VALUE!</v>
      </c>
      <c r="AF513" s="446" t="e">
        <f>IF(OR($B513="",MIN(AF$38,$D$19)&lt;MAX($P$34*($B513+IF($R$17="Distrato",$I$38-1,0)),IF(AND($L$37=0,$P$34=0),"",$L$37-1),IF($R$17="Distrato",$E513,0))),0,YEARFRAC(MAX($P$34*($B513+IF($R$17="Distrato",$I$38-1,0)),IF(AND($L$37=0,$P$34=0),"",$L$37-1),IF($R$17="Distrato",$E513,0)),MIN(AF$38,$D$19),$P$20))-SUM($P513:AE513)</f>
        <v>#VALUE!</v>
      </c>
      <c r="AG513" s="446" t="e">
        <f>IF(OR($B513="",MIN(AG$38,$D$19)&lt;MAX($P$34*($B513+IF($R$17="Distrato",$I$38-1,0)),IF(AND($L$37=0,$P$34=0),"",$L$37-1),IF($R$17="Distrato",$E513,0))),0,YEARFRAC(MAX($P$34*($B513+IF($R$17="Distrato",$I$38-1,0)),IF(AND($L$37=0,$P$34=0),"",$L$37-1),IF($R$17="Distrato",$E513,0)),MIN(AG$38,$D$19),$P$20))-SUM($P513:AF513)</f>
        <v>#VALUE!</v>
      </c>
      <c r="AH513" s="446" t="e">
        <f>IF(OR($B513="",MIN(AH$38,$D$19)&lt;MAX($P$34*($B513+IF($R$17="Distrato",$I$38-1,0)),IF(AND($L$37=0,$P$34=0),"",$L$37-1),IF($R$17="Distrato",$E513,0))),0,YEARFRAC(MAX($P$34*($B513+IF($R$17="Distrato",$I$38-1,0)),IF(AND($L$37=0,$P$34=0),"",$L$37-1),IF($R$17="Distrato",$E513,0)),MIN(AH$38,$D$19),$P$20))-SUM($P513:AG513)</f>
        <v>#VALUE!</v>
      </c>
      <c r="AI513" s="446" t="e">
        <f>IF(OR($B513="",MIN(AI$38,$D$19)&lt;MAX($P$34*($B513+IF($R$17="Distrato",$I$38-1,0)),IF(AND($L$37=0,$P$34=0),"",$L$37-1),IF($R$17="Distrato",$E513,0))),0,YEARFRAC(MAX($P$34*($B513+IF($R$17="Distrato",$I$38-1,0)),IF(AND($L$37=0,$P$34=0),"",$L$37-1),IF($R$17="Distrato",$E513,0)),MIN(AI$38,$D$19),$P$20))-SUM($P513:AH513)</f>
        <v>#VALUE!</v>
      </c>
      <c r="AJ513" s="446" t="e">
        <f>IF(OR($B513="",MIN(AJ$38,$D$19)&lt;MAX($P$34*($B513+IF($R$17="Distrato",$I$38-1,0)),IF(AND($L$37=0,$P$34=0),"",$L$37-1),IF($R$17="Distrato",$E513,0))),0,YEARFRAC(MAX($P$34*($B513+IF($R$17="Distrato",$I$38-1,0)),IF(AND($L$37=0,$P$34=0),"",$L$37-1),IF($R$17="Distrato",$E513,0)),MIN(AJ$38,$D$19),$P$20))-SUM($P513:AI513)</f>
        <v>#VALUE!</v>
      </c>
      <c r="AK513" s="446" t="e">
        <f>IF(OR($B513="",MIN(AK$38,$D$19)&lt;MAX($P$34*($B513+IF($R$17="Distrato",$I$38-1,0)),IF(AND($L$37=0,$P$34=0),"",$L$37-1),IF($R$17="Distrato",$E513,0))),0,YEARFRAC(MAX($P$34*($B513+IF($R$17="Distrato",$I$38-1,0)),IF(AND($L$37=0,$P$34=0),"",$L$37-1),IF($R$17="Distrato",$E513,0)),MIN(AK$38,$D$19),$P$20))-SUM($P513:AJ513)</f>
        <v>#VALUE!</v>
      </c>
      <c r="AL513" s="446" t="e">
        <f>IF(OR($B513="",MIN(AL$38,$D$19)&lt;MAX($P$34*($B513+IF($R$17="Distrato",$I$38-1,0)),IF(AND($L$37=0,$P$34=0),"",$L$37-1),IF($R$17="Distrato",$E513,0))),0,YEARFRAC(MAX($P$34*($B513+IF($R$17="Distrato",$I$38-1,0)),IF(AND($L$37=0,$P$34=0),"",$L$37-1),IF($R$17="Distrato",$E513,0)),MIN(AL$38,$D$19),$P$20))-SUM($P513:AK513)</f>
        <v>#VALUE!</v>
      </c>
      <c r="AM513" s="446" t="e">
        <f>IF(OR($B513="",MIN(AM$38,$D$19)&lt;MAX($P$34*($B513+IF($R$17="Distrato",$I$38-1,0)),IF(AND($L$37=0,$P$34=0),"",$L$37-1),IF($R$17="Distrato",$E513,0))),0,YEARFRAC(MAX($P$34*($B513+IF($R$17="Distrato",$I$38-1,0)),IF(AND($L$37=0,$P$34=0),"",$L$37-1),IF($R$17="Distrato",$E513,0)),MIN(AM$38,$D$19),$P$20))-SUM($P513:AL513)</f>
        <v>#VALUE!</v>
      </c>
      <c r="AN513" s="446" t="e">
        <f>IF(OR($B513="",MIN(AN$38,$D$19)&lt;MAX($P$34*($B513+IF($R$17="Distrato",$I$38-1,0)),IF(AND($L$37=0,$P$34=0),"",$L$37-1),IF($R$17="Distrato",$E513,0))),0,YEARFRAC(MAX($P$34*($B513+IF($R$17="Distrato",$I$38-1,0)),IF(AND($L$37=0,$P$34=0),"",$L$37-1),IF($R$17="Distrato",$E513,0)),MIN(AN$38,$D$19),$P$20))-SUM($P513:AM513)</f>
        <v>#VALUE!</v>
      </c>
      <c r="AO513" s="446" t="e">
        <f>IF(OR($B513="",MIN(AO$38,$D$19)&lt;MAX($P$34*($B513+IF($R$17="Distrato",$I$38-1,0)),IF(AND($L$37=0,$P$34=0),"",$L$37-1),IF($R$17="Distrato",$E513,0))),0,YEARFRAC(MAX($P$34*($B513+IF($R$17="Distrato",$I$38-1,0)),IF(AND($L$37=0,$P$34=0),"",$L$37-1),IF($R$17="Distrato",$E513,0)),MIN(AO$38,$D$19),$P$20))-SUM($P513:AN513)</f>
        <v>#VALUE!</v>
      </c>
      <c r="AP513" s="446" t="e">
        <f>IF(OR($B513="",MIN(AP$38,$D$19)&lt;MAX($P$34*($B513+IF($R$17="Distrato",$I$38-1,0)),IF(AND($L$37=0,$P$34=0),"",$L$37-1),IF($R$17="Distrato",$E513,0))),0,YEARFRAC(MAX($P$34*($B513+IF($R$17="Distrato",$I$38-1,0)),IF(AND($L$37=0,$P$34=0),"",$L$37-1),IF($R$17="Distrato",$E513,0)),MIN(AP$38,$D$19),$P$20))-SUM($P513:AO513)</f>
        <v>#VALUE!</v>
      </c>
      <c r="AQ513" s="446" t="e">
        <f>IF(OR($B513="",MIN(AQ$38,$D$19)&lt;MAX($P$34*($B513+IF($R$17="Distrato",$I$38-1,0)),IF(AND($L$37=0,$P$34=0),"",$L$37-1),IF($R$17="Distrato",$E513,0))),0,YEARFRAC(MAX($P$34*($B513+IF($R$17="Distrato",$I$38-1,0)),IF(AND($L$37=0,$P$34=0),"",$L$37-1),IF($R$17="Distrato",$E513,0)),MIN(AQ$38,$D$19),$P$20))-SUM($P513:AP513)</f>
        <v>#VALUE!</v>
      </c>
      <c r="AR513" s="446" t="e">
        <f>IF(OR($B513="",MIN(AR$38,$D$19)&lt;MAX($P$34*($B513+IF($R$17="Distrato",$I$38-1,0)),IF(AND($L$37=0,$P$34=0),"",$L$37-1),IF($R$17="Distrato",$E513,0))),0,YEARFRAC(MAX($P$34*($B513+IF($R$17="Distrato",$I$38-1,0)),IF(AND($L$37=0,$P$34=0),"",$L$37-1),IF($R$17="Distrato",$E513,0)),MIN(AR$38,$D$19),$P$20))-SUM($P513:AQ513)</f>
        <v>#VALUE!</v>
      </c>
      <c r="AS513" s="446" t="e">
        <f>IF(OR($B513="",MIN(AS$38,$D$19)&lt;MAX($P$34*($B513+IF($R$17="Distrato",$I$38-1,0)),IF(AND($L$37=0,$P$34=0),"",$L$37-1),IF($R$17="Distrato",$E513,0))),0,YEARFRAC(MAX($P$34*($B513+IF($R$17="Distrato",$I$38-1,0)),IF(AND($L$37=0,$P$34=0),"",$L$37-1),IF($R$17="Distrato",$E513,0)),MIN(AS$38,$D$19),$P$20))-SUM($P513:AR513)</f>
        <v>#VALUE!</v>
      </c>
      <c r="AT513" s="446" t="e">
        <f>IF(OR($B513="",MIN(AT$38,$D$19)&lt;MAX($P$34*($B513+IF($R$17="Distrato",$I$38-1,0)),IF(AND($L$37=0,$P$34=0),"",$L$37-1),IF($R$17="Distrato",$E513,0))),0,YEARFRAC(MAX($P$34*($B513+IF($R$17="Distrato",$I$38-1,0)),IF(AND($L$37=0,$P$34=0),"",$L$37-1),IF($R$17="Distrato",$E513,0)),MIN(AT$38,$D$19),$P$20))-SUM($P513:AS513)</f>
        <v>#VALUE!</v>
      </c>
      <c r="AU513" s="446" t="e">
        <f>IF(OR($B513="",MIN(AU$38,$D$19)&lt;MAX($P$34*($B513+IF($R$17="Distrato",$I$38-1,0)),IF(AND($L$37=0,$P$34=0),"",$L$37-1),IF($R$17="Distrato",$E513,0))),0,YEARFRAC(MAX($P$34*($B513+IF($R$17="Distrato",$I$38-1,0)),IF(AND($L$37=0,$P$34=0),"",$L$37-1),IF($R$17="Distrato",$E513,0)),MIN(AU$38,$D$19),$P$20))-SUM($P513:AT513)</f>
        <v>#VALUE!</v>
      </c>
      <c r="AV513" s="446" t="e">
        <f>IF(OR($B513="",MIN(AV$38,$D$19)&lt;MAX($P$34*($B513+IF($R$17="Distrato",$I$38-1,0)),IF(AND($L$37=0,$P$34=0),"",$L$37-1),IF($R$17="Distrato",$E513,0))),0,YEARFRAC(MAX($P$34*($B513+IF($R$17="Distrato",$I$38-1,0)),IF(AND($L$37=0,$P$34=0),"",$L$37-1),IF($R$17="Distrato",$E513,0)),MIN(AV$38,$D$19),$P$20))-SUM($P513:AU513)</f>
        <v>#VALUE!</v>
      </c>
      <c r="AW513" s="446" t="e">
        <f>IF(OR($B513="",MIN(AW$38,$D$19)&lt;MAX($P$34*($B513+IF($R$17="Distrato",$I$38-1,0)),IF(AND($L$37=0,$P$34=0),"",$L$37-1),IF($R$17="Distrato",$E513,0))),0,YEARFRAC(MAX($P$34*($B513+IF($R$17="Distrato",$I$38-1,0)),IF(AND($L$37=0,$P$34=0),"",$L$37-1),IF($R$17="Distrato",$E513,0)),MIN(AW$38,$D$19),$P$20))-SUM($P513:AV513)</f>
        <v>#VALUE!</v>
      </c>
      <c r="AX513" s="446" t="e">
        <f>IF(OR($B513="",MIN(AX$38,$D$19)&lt;MAX($P$34*($B513+IF($R$17="Distrato",$I$38-1,0)),IF(AND($L$37=0,$P$34=0),"",$L$37-1),IF($R$17="Distrato",$E513,0))),0,YEARFRAC(MAX($P$34*($B513+IF($R$17="Distrato",$I$38-1,0)),IF(AND($L$37=0,$P$34=0),"",$L$37-1),IF($R$17="Distrato",$E513,0)),MIN(AX$38,$D$19),$P$20))-SUM($P513:AW513)</f>
        <v>#VALUE!</v>
      </c>
      <c r="AY513" s="446" t="e">
        <f>IF(OR($B513="",MIN(AY$38,$D$19)&lt;MAX($P$34*($B513+IF($R$17="Distrato",$I$38-1,0)),IF(AND($L$37=0,$P$34=0),"",$L$37-1),IF($R$17="Distrato",$E513,0))),0,YEARFRAC(MAX($P$34*($B513+IF($R$17="Distrato",$I$38-1,0)),IF(AND($L$37=0,$P$34=0),"",$L$37-1),IF($R$17="Distrato",$E513,0)),MIN(AY$38,$D$19),$P$20))-SUM($P513:AX513)</f>
        <v>#VALUE!</v>
      </c>
      <c r="AZ513" s="446" t="e">
        <f>IF(OR($B513="",MIN(AZ$38,$D$19)&lt;MAX($P$34*($B513+IF($R$17="Distrato",$I$38-1,0)),IF(AND($L$37=0,$P$34=0),"",$L$37-1),IF($R$17="Distrato",$E513,0))),0,YEARFRAC(MAX($P$34*($B513+IF($R$17="Distrato",$I$38-1,0)),IF(AND($L$37=0,$P$34=0),"",$L$37-1),IF($R$17="Distrato",$E513,0)),MIN(AZ$38,$D$19),$P$20))-SUM($P513:AY513)</f>
        <v>#VALUE!</v>
      </c>
      <c r="BA513" s="446" t="e">
        <f>IF(OR($B513="",MIN(BA$38,$D$19)&lt;MAX($P$34*($B513+IF($R$17="Distrato",$I$38-1,0)),IF(AND($L$37=0,$P$34=0),"",$L$37-1),IF($R$17="Distrato",$E513,0))),0,YEARFRAC(MAX($P$34*($B513+IF($R$17="Distrato",$I$38-1,0)),IF(AND($L$37=0,$P$34=0),"",$L$37-1),IF($R$17="Distrato",$E513,0)),MIN(BA$38,$D$19),$P$20))-SUM($P513:AZ513)</f>
        <v>#VALUE!</v>
      </c>
      <c r="BB513" s="447"/>
      <c r="BF513" s="446">
        <f t="shared" si="87"/>
        <v>0</v>
      </c>
      <c r="BG513" s="446">
        <f>IF($E513=0,0,IF(MIN(BG$38,$E513)&lt;MAX($P$34*($B513+$I$38-1),IF(AND($L$37=0,$P$34=0),"",$L$37-1)),0,YEARFRAC(MAX($P$34*($B513+$I$38-1),IF(AND($L$37=0,$P$34=0),"",$L$37-1)),MIN(BG$38,$E513),$P$20))-SUM($BF513:BF513))</f>
        <v>0</v>
      </c>
      <c r="BH513" s="446">
        <f>IF($E513=0,0,IF(MIN(BH$38,$E513)&lt;MAX($P$34*($B513+$I$38-1),IF(AND($L$37=0,$P$34=0),"",$L$37-1)),0,YEARFRAC(MAX($P$34*($B513+$I$38-1),IF(AND($L$37=0,$P$34=0),"",$L$37-1)),MIN(BH$38,$E513),$P$20))-SUM($BF513:BG513))</f>
        <v>0</v>
      </c>
      <c r="BI513" s="446">
        <f>IF($E513=0,0,IF(MIN(BI$38,$E513)&lt;MAX($P$34*($B513+$I$38-1),IF(AND($L$37=0,$P$34=0),"",$L$37-1)),0,YEARFRAC(MAX($P$34*($B513+$I$38-1),IF(AND($L$37=0,$P$34=0),"",$L$37-1)),MIN(BI$38,$E513),$P$20))-SUM($BF513:BH513))</f>
        <v>0</v>
      </c>
      <c r="BJ513" s="446">
        <f>IF($E513=0,0,IF(MIN(BJ$38,$E513)&lt;MAX($P$34*($B513+$I$38-1),IF(AND($L$37=0,$P$34=0),"",$L$37-1)),0,YEARFRAC(MAX($P$34*($B513+$I$38-1),IF(AND($L$37=0,$P$34=0),"",$L$37-1)),MIN(BJ$38,$E513),$P$20))-SUM($BF513:BI513))</f>
        <v>0</v>
      </c>
      <c r="BK513" s="446">
        <f>IF($E513=0,0,IF(MIN(BK$38,$E513)&lt;MAX($P$34*($B513+$I$38-1),IF(AND($L$37=0,$P$34=0),"",$L$37-1)),0,YEARFRAC(MAX($P$34*($B513+$I$38-1),IF(AND($L$37=0,$P$34=0),"",$L$37-1)),MIN(BK$38,$E513),$P$20))-SUM($BF513:BJ513))</f>
        <v>0</v>
      </c>
      <c r="BL513" s="446">
        <f>IF($E513=0,0,IF(MIN(BL$38,$E513)&lt;MAX($P$34*($B513+$I$38-1),IF(AND($L$37=0,$P$34=0),"",$L$37-1)),0,YEARFRAC(MAX($P$34*($B513+$I$38-1),IF(AND($L$37=0,$P$34=0),"",$L$37-1)),MIN(BL$38,$E513),$P$20))-SUM($BF513:BK513))</f>
        <v>0</v>
      </c>
      <c r="BM513" s="446">
        <f>IF($E513=0,0,IF(MIN(BM$38,$E513)&lt;MAX($P$34*($B513+$I$38-1),IF(AND($L$37=0,$P$34=0),"",$L$37-1)),0,YEARFRAC(MAX($P$34*($B513+$I$38-1),IF(AND($L$37=0,$P$34=0),"",$L$37-1)),MIN(BM$38,$E513),$P$20))-SUM($BF513:BL513))</f>
        <v>0</v>
      </c>
      <c r="BN513" s="446">
        <f>IF($E513=0,0,IF(MIN(BN$38,$E513)&lt;MAX($P$34*($B513+$I$38-1),IF(AND($L$37=0,$P$34=0),"",$L$37-1)),0,YEARFRAC(MAX($P$34*($B513+$I$38-1),IF(AND($L$37=0,$P$34=0),"",$L$37-1)),MIN(BN$38,$E513),$P$20))-SUM($BF513:BM513))</f>
        <v>0</v>
      </c>
      <c r="BO513" s="446">
        <f>IF($E513=0,0,IF(MIN(BO$38,$E513)&lt;MAX($P$34*($B513+$I$38-1),IF(AND($L$37=0,$P$34=0),"",$L$37-1)),0,YEARFRAC(MAX($P$34*($B513+$I$38-1),IF(AND($L$37=0,$P$34=0),"",$L$37-1)),MIN(BO$38,$E513),$P$20))-SUM($BF513:BN513))</f>
        <v>0</v>
      </c>
      <c r="BP513" s="446">
        <f>IF($E513=0,0,IF(MIN(BP$38,$E513)&lt;MAX($P$34*($B513+$I$38-1),IF(AND($L$37=0,$P$34=0),"",$L$37-1)),0,YEARFRAC(MAX($P$34*($B513+$I$38-1),IF(AND($L$37=0,$P$34=0),"",$L$37-1)),MIN(BP$38,$E513),$P$20))-SUM($BF513:BO513))</f>
        <v>0</v>
      </c>
      <c r="BQ513" s="446">
        <f>IF($E513=0,0,IF(MIN(BQ$38,$E513)&lt;MAX($P$34*($B513+$I$38-1),IF(AND($L$37=0,$P$34=0),"",$L$37-1)),0,YEARFRAC(MAX($P$34*($B513+$I$38-1),IF(AND($L$37=0,$P$34=0),"",$L$37-1)),MIN(BQ$38,$E513),$P$20))-SUM($BF513:BP513))</f>
        <v>0</v>
      </c>
      <c r="BR513" s="446">
        <f>IF($E513=0,0,IF(MIN(BR$38,$E513)&lt;MAX($P$34*($B513+$I$38-1),IF(AND($L$37=0,$P$34=0),"",$L$37-1)),0,YEARFRAC(MAX($P$34*($B513+$I$38-1),IF(AND($L$37=0,$P$34=0),"",$L$37-1)),MIN(BR$38,$E513),$P$20))-SUM($BF513:BQ513))</f>
        <v>0</v>
      </c>
      <c r="BS513" s="446">
        <f>IF($E513=0,0,IF(MIN(BS$38,$E513)&lt;MAX($P$34*($B513+$I$38-1),IF(AND($L$37=0,$P$34=0),"",$L$37-1)),0,YEARFRAC(MAX($P$34*($B513+$I$38-1),IF(AND($L$37=0,$P$34=0),"",$L$37-1)),MIN(BS$38,$E513),$P$20))-SUM($BF513:BR513))</f>
        <v>0</v>
      </c>
      <c r="BT513" s="446">
        <f>IF($E513=0,0,IF(MIN(BT$38,$E513)&lt;MAX($P$34*($B513+$I$38-1),IF(AND($L$37=0,$P$34=0),"",$L$37-1)),0,YEARFRAC(MAX($P$34*($B513+$I$38-1),IF(AND($L$37=0,$P$34=0),"",$L$37-1)),MIN(BT$38,$E513),$P$20))-SUM($BF513:BS513))</f>
        <v>0</v>
      </c>
      <c r="BU513" s="446">
        <f>IF($E513=0,0,IF(MIN(BU$38,$E513)&lt;MAX($P$34*($B513+$I$38-1),IF(AND($L$37=0,$P$34=0),"",$L$37-1)),0,YEARFRAC(MAX($P$34*($B513+$I$38-1),IF(AND($L$37=0,$P$34=0),"",$L$37-1)),MIN(BU$38,$E513),$P$20))-SUM($BF513:BT513))</f>
        <v>0</v>
      </c>
      <c r="BV513" s="446">
        <f>IF($E513=0,0,IF(MIN(BV$38,$E513)&lt;MAX($P$34*($B513+$I$38-1),IF(AND($L$37=0,$P$34=0),"",$L$37-1)),0,YEARFRAC(MAX($P$34*($B513+$I$38-1),IF(AND($L$37=0,$P$34=0),"",$L$37-1)),MIN(BV$38,$E513),$P$20))-SUM($BF513:BU513))</f>
        <v>0</v>
      </c>
      <c r="BW513" s="446">
        <f>IF($E513=0,0,IF(MIN(BW$38,$E513)&lt;MAX($P$34*($B513+$I$38-1),IF(AND($L$37=0,$P$34=0),"",$L$37-1)),0,YEARFRAC(MAX($P$34*($B513+$I$38-1),IF(AND($L$37=0,$P$34=0),"",$L$37-1)),MIN(BW$38,$E513),$P$20))-SUM($BF513:BV513))</f>
        <v>0</v>
      </c>
      <c r="BX513" s="446">
        <f>IF($E513=0,0,IF(MIN(BX$38,$E513)&lt;MAX($P$34*($B513+$I$38-1),IF(AND($L$37=0,$P$34=0),"",$L$37-1)),0,YEARFRAC(MAX($P$34*($B513+$I$38-1),IF(AND($L$37=0,$P$34=0),"",$L$37-1)),MIN(BX$38,$E513),$P$20))-SUM($BF513:BW513))</f>
        <v>0</v>
      </c>
      <c r="BY513" s="446">
        <f>IF($E513=0,0,IF(MIN(BY$38,$E513)&lt;MAX($P$34*($B513+$I$38-1),IF(AND($L$37=0,$P$34=0),"",$L$37-1)),0,YEARFRAC(MAX($P$34*($B513+$I$38-1),IF(AND($L$37=0,$P$34=0),"",$L$37-1)),MIN(BY$38,$E513),$P$20))-SUM($BF513:BX513))</f>
        <v>0</v>
      </c>
      <c r="BZ513" s="446">
        <f>IF($E513=0,0,IF(MIN(BZ$38,$E513)&lt;MAX($P$34*($B513+$I$38-1),IF(AND($L$37=0,$P$34=0),"",$L$37-1)),0,YEARFRAC(MAX($P$34*($B513+$I$38-1),IF(AND($L$37=0,$P$34=0),"",$L$37-1)),MIN(BZ$38,$E513),$P$20))-SUM($BF513:BY513))</f>
        <v>0</v>
      </c>
      <c r="CA513" s="446">
        <f>IF($E513=0,0,IF(MIN(CA$38,$E513)&lt;MAX($P$34*($B513+$I$38-1),IF(AND($L$37=0,$P$34=0),"",$L$37-1)),0,YEARFRAC(MAX($P$34*($B513+$I$38-1),IF(AND($L$37=0,$P$34=0),"",$L$37-1)),MIN(CA$38,$E513),$P$20))-SUM($BF513:BZ513))</f>
        <v>0</v>
      </c>
      <c r="CB513" s="446">
        <f>IF($E513=0,0,IF(MIN(CB$38,$E513)&lt;MAX($P$34*($B513+$I$38-1),IF(AND($L$37=0,$P$34=0),"",$L$37-1)),0,YEARFRAC(MAX($P$34*($B513+$I$38-1),IF(AND($L$37=0,$P$34=0),"",$L$37-1)),MIN(CB$38,$E513),$P$20))-SUM($BF513:CA513))</f>
        <v>0</v>
      </c>
      <c r="CC513" s="446">
        <f>IF($E513=0,0,IF(MIN(CC$38,$E513)&lt;MAX($P$34*($B513+$I$38-1),IF(AND($L$37=0,$P$34=0),"",$L$37-1)),0,YEARFRAC(MAX($P$34*($B513+$I$38-1),IF(AND($L$37=0,$P$34=0),"",$L$37-1)),MIN(CC$38,$E513),$P$20))-SUM($BF513:CB513))</f>
        <v>0</v>
      </c>
      <c r="CD513" s="446">
        <f>IF($E513=0,0,IF(MIN(CD$38,$E513)&lt;MAX($P$34*($B513+$I$38-1),IF(AND($L$37=0,$P$34=0),"",$L$37-1)),0,YEARFRAC(MAX($P$34*($B513+$I$38-1),IF(AND($L$37=0,$P$34=0),"",$L$37-1)),MIN(CD$38,$E513),$P$20))-SUM($BF513:CC513))</f>
        <v>0</v>
      </c>
      <c r="CE513" s="446">
        <f>IF($E513=0,0,IF(MIN(CE$38,$E513)&lt;MAX($P$34*($B513+$I$38-1),IF(AND($L$37=0,$P$34=0),"",$L$37-1)),0,YEARFRAC(MAX($P$34*($B513+$I$38-1),IF(AND($L$37=0,$P$34=0),"",$L$37-1)),MIN(CE$38,$E513),$P$20))-SUM($BF513:CD513))</f>
        <v>0</v>
      </c>
      <c r="CF513" s="446">
        <f>IF($E513=0,0,IF(MIN(CF$38,$E513)&lt;MAX($P$34*($B513+$I$38-1),IF(AND($L$37=0,$P$34=0),"",$L$37-1)),0,YEARFRAC(MAX($P$34*($B513+$I$38-1),IF(AND($L$37=0,$P$34=0),"",$L$37-1)),MIN(CF$38,$E513),$P$20))-SUM($BF513:CE513))</f>
        <v>0</v>
      </c>
      <c r="CG513" s="446">
        <f>IF($E513=0,0,IF(MIN(CG$38,$E513)&lt;MAX($P$34*($B513+$I$38-1),IF(AND($L$37=0,$P$34=0),"",$L$37-1)),0,YEARFRAC(MAX($P$34*($B513+$I$38-1),IF(AND($L$37=0,$P$34=0),"",$L$37-1)),MIN(CG$38,$E513),$P$20))-SUM($BF513:CF513))</f>
        <v>0</v>
      </c>
      <c r="CH513" s="446">
        <f>IF($E513=0,0,IF(MIN(CH$38,$E513)&lt;MAX($P$34*($B513+$I$38-1),IF(AND($L$37=0,$P$34=0),"",$L$37-1)),0,YEARFRAC(MAX($P$34*($B513+$I$38-1),IF(AND($L$37=0,$P$34=0),"",$L$37-1)),MIN(CH$38,$E513),$P$20))-SUM($BF513:CG513))</f>
        <v>0</v>
      </c>
      <c r="CI513" s="446">
        <f>IF($E513=0,0,IF(MIN(CI$38,$E513)&lt;MAX($P$34*($B513+$I$38-1),IF(AND($L$37=0,$P$34=0),"",$L$37-1)),0,YEARFRAC(MAX($P$34*($B513+$I$38-1),IF(AND($L$37=0,$P$34=0),"",$L$37-1)),MIN(CI$38,$E513),$P$20))-SUM($BF513:CH513))</f>
        <v>0</v>
      </c>
      <c r="CJ513" s="446">
        <f>IF($E513=0,0,IF(MIN(CJ$38,$E513)&lt;MAX($P$34*($B513+$I$38-1),IF(AND($L$37=0,$P$34=0),"",$L$37-1)),0,YEARFRAC(MAX($P$34*($B513+$I$38-1),IF(AND($L$37=0,$P$34=0),"",$L$37-1)),MIN(CJ$38,$E513),$P$20))-SUM($BF513:CI513))</f>
        <v>0</v>
      </c>
      <c r="CK513" s="446">
        <f>IF($E513=0,0,IF(MIN(CK$38,$E513)&lt;MAX($P$34*($B513+$I$38-1),IF(AND($L$37=0,$P$34=0),"",$L$37-1)),0,YEARFRAC(MAX($P$34*($B513+$I$38-1),IF(AND($L$37=0,$P$34=0),"",$L$37-1)),MIN(CK$38,$E513),$P$20))-SUM($BF513:CJ513))</f>
        <v>0</v>
      </c>
      <c r="CL513" s="446">
        <f>IF($E513=0,0,IF(MIN(CL$38,$E513)&lt;MAX($P$34*($B513+$I$38-1),IF(AND($L$37=0,$P$34=0),"",$L$37-1)),0,YEARFRAC(MAX($P$34*($B513+$I$38-1),IF(AND($L$37=0,$P$34=0),"",$L$37-1)),MIN(CL$38,$E513),$P$20))-SUM($BF513:CK513))</f>
        <v>0</v>
      </c>
      <c r="CM513" s="446">
        <f>IF($E513=0,0,IF(MIN(CM$38,$E513)&lt;MAX($P$34*($B513+$I$38-1),IF(AND($L$37=0,$P$34=0),"",$L$37-1)),0,YEARFRAC(MAX($P$34*($B513+$I$38-1),IF(AND($L$37=0,$P$34=0),"",$L$37-1)),MIN(CM$38,$E513),$P$20))-SUM($BF513:CL513))</f>
        <v>0</v>
      </c>
      <c r="CN513" s="446">
        <f>IF($E513=0,0,IF(MIN(CN$38,$E513)&lt;MAX($P$34*($B513+$I$38-1),IF(AND($L$37=0,$P$34=0),"",$L$37-1)),0,YEARFRAC(MAX($P$34*($B513+$I$38-1),IF(AND($L$37=0,$P$34=0),"",$L$37-1)),MIN(CN$38,$E513),$P$20))-SUM($BF513:CM513))</f>
        <v>0</v>
      </c>
      <c r="CO513" s="446">
        <f>IF($E513=0,0,IF(MIN(CO$38,$E513)&lt;MAX($P$34*($B513+$I$38-1),IF(AND($L$37=0,$P$34=0),"",$L$37-1)),0,YEARFRAC(MAX($P$34*($B513+$I$38-1),IF(AND($L$37=0,$P$34=0),"",$L$37-1)),MIN(CO$38,$E513),$P$20))-SUM($BF513:CN513))</f>
        <v>0</v>
      </c>
      <c r="CP513" s="446">
        <f>IF($E513=0,0,IF(MIN(CP$38,$E513)&lt;MAX($P$34*($B513+$I$38-1),IF(AND($L$37=0,$P$34=0),"",$L$37-1)),0,YEARFRAC(MAX($P$34*($B513+$I$38-1),IF(AND($L$37=0,$P$34=0),"",$L$37-1)),MIN(CP$38,$E513),$P$20))-SUM($BF513:CO513))</f>
        <v>0</v>
      </c>
      <c r="CQ513" s="446">
        <f>IF($E513=0,0,IF(MIN(CQ$38,$E513)&lt;MAX($P$34*($B513+$I$38-1),IF(AND($L$37=0,$P$34=0),"",$L$37-1)),0,YEARFRAC(MAX($P$34*($B513+$I$38-1),IF(AND($L$37=0,$P$34=0),"",$L$37-1)),MIN(CQ$38,$E513),$P$20))-SUM($BF513:CP513))</f>
        <v>0</v>
      </c>
    </row>
    <row r="514" spans="1:95" s="446" customFormat="1" ht="11.25" hidden="1" customHeight="1" x14ac:dyDescent="0.2">
      <c r="A514" s="152"/>
      <c r="B514" s="153" t="str">
        <f t="shared" si="92"/>
        <v/>
      </c>
      <c r="C514" s="29" t="str">
        <f>IF(B514="","",IF($L$35="SELIC - TRIBUTOS",VLOOKUP(DATE(YEAR($D$19),MONTH($D$19)-1,1),ÍNDICES!$A:$DE,HLOOKUP($BL$25,ÍNDICES!$B$3:$T$4,2)+11)-VLOOKUP(B514,ÍNDICES!$A:$DE,HLOOKUP($BL$25,ÍNDICES!$B$3:$T$4,2)+11)+1%,IF(C$38=$W$26,$J$35,IF(ISERROR(IF(B514&gt;$D$19,1,VLOOKUP(DATE(YEAR(B514),MONTH(B514)+IF($C$35=$S$23,1,0),1),ÍNDICES!$A:$DE,$Z$35+1))),"",IF(B514&gt;$D$19,1,VLOOKUP(DATE(YEAR(B514),MONTH(B514)+IF($C$35=$S$23,1,0),1),ÍNDICES!$A:$DE,$Z$35+1))))))</f>
        <v/>
      </c>
      <c r="D514" s="154" t="str">
        <f>IF(ISERROR(IF(OR($D$38=$Y$27,$B514=""),"",VLOOKUP(B514,ÍNDICES!A:DE,AF$35+1))),"",IF(OR($D$38=$Y$27,$B514=""),"",VLOOKUP(B514,ÍNDICES!A:DE,AF$35+1)))</f>
        <v/>
      </c>
      <c r="E514" s="153"/>
      <c r="F514" s="29" t="str">
        <f>IF(E514="","",IF($L$35="SELIC - TRIBUTOS",VLOOKUP(DATE(YEAR($D$19),MONTH($D$19)-1,1),ÍNDICES!$A:$DE,HLOOKUP($BL$25,ÍNDICES!$B$3:$T$4,2)+11)-VLOOKUP(E514,ÍNDICES!$A:$DE,HLOOKUP($BL$25,ÍNDICES!$B$3:$T$4,2)+11)+1%,IF(F$38=$W$26,$J$35,IF(ISERROR(IF(E514&gt;$D$19,1,VLOOKUP(DATE(YEAR(E514),MONTH(E514)+IF($C$35=$S$23,1,0),1),ÍNDICES!$A:$DE,$Z$35+1))),"",IF(E514&gt;$D$19,1,VLOOKUP(DATE(YEAR(E514),MONTH(E514)+IF($C$35=$S$23,1,0),1),ÍNDICES!$A:$DE,$Z$35+1))))))</f>
        <v/>
      </c>
      <c r="G514" s="155"/>
      <c r="H514" s="156" t="str">
        <f t="shared" si="88"/>
        <v/>
      </c>
      <c r="I514" s="29" t="str">
        <f t="shared" si="82"/>
        <v/>
      </c>
      <c r="J514" s="5">
        <f t="shared" si="83"/>
        <v>0</v>
      </c>
      <c r="K514" s="20">
        <f t="shared" ca="1" si="84"/>
        <v>0</v>
      </c>
      <c r="L514" s="5">
        <f t="shared" ca="1" si="85"/>
        <v>0</v>
      </c>
      <c r="M514" s="64">
        <f t="shared" si="89"/>
        <v>0</v>
      </c>
      <c r="N514" s="61">
        <f t="shared" ca="1" si="90"/>
        <v>0</v>
      </c>
      <c r="O514" s="5">
        <f t="shared" ca="1" si="91"/>
        <v>0</v>
      </c>
      <c r="P514" s="446" t="e">
        <f t="shared" si="86"/>
        <v>#VALUE!</v>
      </c>
      <c r="Q514" s="446" t="e">
        <f>IF(OR($B514="",MIN(Q$38,$D$19)&lt;MAX($P$34*($B514+IF($R$17="Distrato",$I$38-1,0)),IF(AND($L$37=0,$P$34=0),"",$L$37-1),IF($R$17="Distrato",$E514,0))),0,YEARFRAC(MAX($P$34*($B514+IF($R$17="Distrato",$I$38-1,0)),IF(AND($L$37=0,$P$34=0),"",$L$37-1),IF($R$17="Distrato",$E514,0)),MIN(Q$38,$D$19),$P$20))-SUM($P514:P514)</f>
        <v>#VALUE!</v>
      </c>
      <c r="R514" s="446" t="e">
        <f>IF(OR($B514="",MIN(R$38,$D$19)&lt;MAX($P$34*($B514+IF($R$17="Distrato",$I$38-1,0)),IF(AND($L$37=0,$P$34=0),"",$L$37-1),IF($R$17="Distrato",$E514,0))),0,YEARFRAC(MAX($P$34*($B514+IF($R$17="Distrato",$I$38-1,0)),IF(AND($L$37=0,$P$34=0),"",$L$37-1),IF($R$17="Distrato",$E514,0)),MIN(R$38,$D$19),$P$20))-SUM($P514:Q514)</f>
        <v>#VALUE!</v>
      </c>
      <c r="S514" s="446" t="e">
        <f>IF(OR($B514="",MIN(S$38,$D$19)&lt;MAX($P$34*($B514+IF($R$17="Distrato",$I$38-1,0)),IF(AND($L$37=0,$P$34=0),"",$L$37-1),IF($R$17="Distrato",$E514,0))),0,YEARFRAC(MAX($P$34*($B514+IF($R$17="Distrato",$I$38-1,0)),IF(AND($L$37=0,$P$34=0),"",$L$37-1),IF($R$17="Distrato",$E514,0)),MIN(S$38,$D$19),$P$20))-SUM($P514:R514)</f>
        <v>#VALUE!</v>
      </c>
      <c r="T514" s="446" t="e">
        <f>IF(OR($B514="",MIN(T$38,$D$19)&lt;MAX($P$34*($B514+IF($R$17="Distrato",$I$38-1,0)),IF(AND($L$37=0,$P$34=0),"",$L$37-1),IF($R$17="Distrato",$E514,0))),0,YEARFRAC(MAX($P$34*($B514+IF($R$17="Distrato",$I$38-1,0)),IF(AND($L$37=0,$P$34=0),"",$L$37-1),IF($R$17="Distrato",$E514,0)),MIN(T$38,$D$19),$P$20))-SUM($P514:S514)</f>
        <v>#VALUE!</v>
      </c>
      <c r="U514" s="446" t="e">
        <f>IF(OR($B514="",MIN(U$38,$D$19)&lt;MAX($P$34*($B514+IF($R$17="Distrato",$I$38-1,0)),IF(AND($L$37=0,$P$34=0),"",$L$37-1),IF($R$17="Distrato",$E514,0))),0,YEARFRAC(MAX($P$34*($B514+IF($R$17="Distrato",$I$38-1,0)),IF(AND($L$37=0,$P$34=0),"",$L$37-1),IF($R$17="Distrato",$E514,0)),MIN(U$38,$D$19),$P$20))-SUM($P514:T514)</f>
        <v>#VALUE!</v>
      </c>
      <c r="V514" s="446" t="e">
        <f>IF(OR($B514="",MIN(V$38,$D$19)&lt;MAX($P$34*($B514+IF($R$17="Distrato",$I$38-1,0)),IF(AND($L$37=0,$P$34=0),"",$L$37-1),IF($R$17="Distrato",$E514,0))),0,YEARFRAC(MAX($P$34*($B514+IF($R$17="Distrato",$I$38-1,0)),IF(AND($L$37=0,$P$34=0),"",$L$37-1),IF($R$17="Distrato",$E514,0)),MIN(V$38,$D$19),$P$20))-SUM($P514:U514)</f>
        <v>#VALUE!</v>
      </c>
      <c r="W514" s="446" t="e">
        <f>IF(OR($B514="",MIN(W$38,$D$19)&lt;MAX($P$34*($B514+IF($R$17="Distrato",$I$38-1,0)),IF(AND($L$37=0,$P$34=0),"",$L$37-1),IF($R$17="Distrato",$E514,0))),0,YEARFRAC(MAX($P$34*($B514+IF($R$17="Distrato",$I$38-1,0)),IF(AND($L$37=0,$P$34=0),"",$L$37-1),IF($R$17="Distrato",$E514,0)),MIN(W$38,$D$19),$P$20))-SUM($P514:V514)</f>
        <v>#VALUE!</v>
      </c>
      <c r="X514" s="446" t="e">
        <f>IF(OR($B514="",MIN(X$38,$D$19)&lt;MAX($P$34*($B514+IF($R$17="Distrato",$I$38-1,0)),IF(AND($L$37=0,$P$34=0),"",$L$37-1),IF($R$17="Distrato",$E514,0))),0,YEARFRAC(MAX($P$34*($B514+IF($R$17="Distrato",$I$38-1,0)),IF(AND($L$37=0,$P$34=0),"",$L$37-1),IF($R$17="Distrato",$E514,0)),MIN(X$38,$D$19),$P$20))-SUM($P514:W514)</f>
        <v>#VALUE!</v>
      </c>
      <c r="Y514" s="446" t="e">
        <f>IF(OR($B514="",MIN(Y$38,$D$19)&lt;MAX($P$34*($B514+IF($R$17="Distrato",$I$38-1,0)),IF(AND($L$37=0,$P$34=0),"",$L$37-1),IF($R$17="Distrato",$E514,0))),0,YEARFRAC(MAX($P$34*($B514+IF($R$17="Distrato",$I$38-1,0)),IF(AND($L$37=0,$P$34=0),"",$L$37-1),IF($R$17="Distrato",$E514,0)),MIN(Y$38,$D$19),$P$20))-SUM($P514:X514)</f>
        <v>#VALUE!</v>
      </c>
      <c r="Z514" s="446" t="e">
        <f>IF(OR($B514="",MIN(Z$38,$D$19)&lt;MAX($P$34*($B514+IF($R$17="Distrato",$I$38-1,0)),IF(AND($L$37=0,$P$34=0),"",$L$37-1),IF($R$17="Distrato",$E514,0))),0,YEARFRAC(MAX($P$34*($B514+IF($R$17="Distrato",$I$38-1,0)),IF(AND($L$37=0,$P$34=0),"",$L$37-1),IF($R$17="Distrato",$E514,0)),MIN(Z$38,$D$19),$P$20))-SUM($P514:Y514)</f>
        <v>#VALUE!</v>
      </c>
      <c r="AA514" s="446" t="e">
        <f>IF(OR($B514="",MIN(AA$38,$D$19)&lt;MAX($P$34*($B514+IF($R$17="Distrato",$I$38-1,0)),IF(AND($L$37=0,$P$34=0),"",$L$37-1),IF($R$17="Distrato",$E514,0))),0,YEARFRAC(MAX($P$34*($B514+IF($R$17="Distrato",$I$38-1,0)),IF(AND($L$37=0,$P$34=0),"",$L$37-1),IF($R$17="Distrato",$E514,0)),MIN(AA$38,$D$19),$P$20))-SUM($P514:Z514)</f>
        <v>#VALUE!</v>
      </c>
      <c r="AB514" s="446" t="e">
        <f>IF(OR($B514="",MIN(AB$38,$D$19)&lt;MAX($P$34*($B514+IF($R$17="Distrato",$I$38-1,0)),IF(AND($L$37=0,$P$34=0),"",$L$37-1),IF($R$17="Distrato",$E514,0))),0,YEARFRAC(MAX($P$34*($B514+IF($R$17="Distrato",$I$38-1,0)),IF(AND($L$37=0,$P$34=0),"",$L$37-1),IF($R$17="Distrato",$E514,0)),MIN(AB$38,$D$19),$P$20))-SUM($P514:AA514)</f>
        <v>#VALUE!</v>
      </c>
      <c r="AC514" s="446" t="e">
        <f>IF(OR($B514="",MIN(AC$38,$D$19)&lt;MAX($P$34*($B514+IF($R$17="Distrato",$I$38-1,0)),IF(AND($L$37=0,$P$34=0),"",$L$37-1),IF($R$17="Distrato",$E514,0))),0,YEARFRAC(MAX($P$34*($B514+IF($R$17="Distrato",$I$38-1,0)),IF(AND($L$37=0,$P$34=0),"",$L$37-1),IF($R$17="Distrato",$E514,0)),MIN(AC$38,$D$19),$P$20))-SUM($P514:AB514)</f>
        <v>#VALUE!</v>
      </c>
      <c r="AD514" s="446" t="e">
        <f>IF(OR($B514="",MIN(AD$38,$D$19)&lt;MAX($P$34*($B514+IF($R$17="Distrato",$I$38-1,0)),IF(AND($L$37=0,$P$34=0),"",$L$37-1),IF($R$17="Distrato",$E514,0))),0,YEARFRAC(MAX($P$34*($B514+IF($R$17="Distrato",$I$38-1,0)),IF(AND($L$37=0,$P$34=0),"",$L$37-1),IF($R$17="Distrato",$E514,0)),MIN(AD$38,$D$19),$P$20))-SUM($P514:AC514)</f>
        <v>#VALUE!</v>
      </c>
      <c r="AE514" s="446" t="e">
        <f>IF(OR($B514="",MIN(AE$38,$D$19)&lt;MAX($P$34*($B514+IF($R$17="Distrato",$I$38-1,0)),IF(AND($L$37=0,$P$34=0),"",$L$37-1),IF($R$17="Distrato",$E514,0))),0,YEARFRAC(MAX($P$34*($B514+IF($R$17="Distrato",$I$38-1,0)),IF(AND($L$37=0,$P$34=0),"",$L$37-1),IF($R$17="Distrato",$E514,0)),MIN(AE$38,$D$19),$P$20))-SUM($P514:AD514)</f>
        <v>#VALUE!</v>
      </c>
      <c r="AF514" s="446" t="e">
        <f>IF(OR($B514="",MIN(AF$38,$D$19)&lt;MAX($P$34*($B514+IF($R$17="Distrato",$I$38-1,0)),IF(AND($L$37=0,$P$34=0),"",$L$37-1),IF($R$17="Distrato",$E514,0))),0,YEARFRAC(MAX($P$34*($B514+IF($R$17="Distrato",$I$38-1,0)),IF(AND($L$37=0,$P$34=0),"",$L$37-1),IF($R$17="Distrato",$E514,0)),MIN(AF$38,$D$19),$P$20))-SUM($P514:AE514)</f>
        <v>#VALUE!</v>
      </c>
      <c r="AG514" s="446" t="e">
        <f>IF(OR($B514="",MIN(AG$38,$D$19)&lt;MAX($P$34*($B514+IF($R$17="Distrato",$I$38-1,0)),IF(AND($L$37=0,$P$34=0),"",$L$37-1),IF($R$17="Distrato",$E514,0))),0,YEARFRAC(MAX($P$34*($B514+IF($R$17="Distrato",$I$38-1,0)),IF(AND($L$37=0,$P$34=0),"",$L$37-1),IF($R$17="Distrato",$E514,0)),MIN(AG$38,$D$19),$P$20))-SUM($P514:AF514)</f>
        <v>#VALUE!</v>
      </c>
      <c r="AH514" s="446" t="e">
        <f>IF(OR($B514="",MIN(AH$38,$D$19)&lt;MAX($P$34*($B514+IF($R$17="Distrato",$I$38-1,0)),IF(AND($L$37=0,$P$34=0),"",$L$37-1),IF($R$17="Distrato",$E514,0))),0,YEARFRAC(MAX($P$34*($B514+IF($R$17="Distrato",$I$38-1,0)),IF(AND($L$37=0,$P$34=0),"",$L$37-1),IF($R$17="Distrato",$E514,0)),MIN(AH$38,$D$19),$P$20))-SUM($P514:AG514)</f>
        <v>#VALUE!</v>
      </c>
      <c r="AI514" s="446" t="e">
        <f>IF(OR($B514="",MIN(AI$38,$D$19)&lt;MAX($P$34*($B514+IF($R$17="Distrato",$I$38-1,0)),IF(AND($L$37=0,$P$34=0),"",$L$37-1),IF($R$17="Distrato",$E514,0))),0,YEARFRAC(MAX($P$34*($B514+IF($R$17="Distrato",$I$38-1,0)),IF(AND($L$37=0,$P$34=0),"",$L$37-1),IF($R$17="Distrato",$E514,0)),MIN(AI$38,$D$19),$P$20))-SUM($P514:AH514)</f>
        <v>#VALUE!</v>
      </c>
      <c r="AJ514" s="446" t="e">
        <f>IF(OR($B514="",MIN(AJ$38,$D$19)&lt;MAX($P$34*($B514+IF($R$17="Distrato",$I$38-1,0)),IF(AND($L$37=0,$P$34=0),"",$L$37-1),IF($R$17="Distrato",$E514,0))),0,YEARFRAC(MAX($P$34*($B514+IF($R$17="Distrato",$I$38-1,0)),IF(AND($L$37=0,$P$34=0),"",$L$37-1),IF($R$17="Distrato",$E514,0)),MIN(AJ$38,$D$19),$P$20))-SUM($P514:AI514)</f>
        <v>#VALUE!</v>
      </c>
      <c r="AK514" s="446" t="e">
        <f>IF(OR($B514="",MIN(AK$38,$D$19)&lt;MAX($P$34*($B514+IF($R$17="Distrato",$I$38-1,0)),IF(AND($L$37=0,$P$34=0),"",$L$37-1),IF($R$17="Distrato",$E514,0))),0,YEARFRAC(MAX($P$34*($B514+IF($R$17="Distrato",$I$38-1,0)),IF(AND($L$37=0,$P$34=0),"",$L$37-1),IF($R$17="Distrato",$E514,0)),MIN(AK$38,$D$19),$P$20))-SUM($P514:AJ514)</f>
        <v>#VALUE!</v>
      </c>
      <c r="AL514" s="446" t="e">
        <f>IF(OR($B514="",MIN(AL$38,$D$19)&lt;MAX($P$34*($B514+IF($R$17="Distrato",$I$38-1,0)),IF(AND($L$37=0,$P$34=0),"",$L$37-1),IF($R$17="Distrato",$E514,0))),0,YEARFRAC(MAX($P$34*($B514+IF($R$17="Distrato",$I$38-1,0)),IF(AND($L$37=0,$P$34=0),"",$L$37-1),IF($R$17="Distrato",$E514,0)),MIN(AL$38,$D$19),$P$20))-SUM($P514:AK514)</f>
        <v>#VALUE!</v>
      </c>
      <c r="AM514" s="446" t="e">
        <f>IF(OR($B514="",MIN(AM$38,$D$19)&lt;MAX($P$34*($B514+IF($R$17="Distrato",$I$38-1,0)),IF(AND($L$37=0,$P$34=0),"",$L$37-1),IF($R$17="Distrato",$E514,0))),0,YEARFRAC(MAX($P$34*($B514+IF($R$17="Distrato",$I$38-1,0)),IF(AND($L$37=0,$P$34=0),"",$L$37-1),IF($R$17="Distrato",$E514,0)),MIN(AM$38,$D$19),$P$20))-SUM($P514:AL514)</f>
        <v>#VALUE!</v>
      </c>
      <c r="AN514" s="446" t="e">
        <f>IF(OR($B514="",MIN(AN$38,$D$19)&lt;MAX($P$34*($B514+IF($R$17="Distrato",$I$38-1,0)),IF(AND($L$37=0,$P$34=0),"",$L$37-1),IF($R$17="Distrato",$E514,0))),0,YEARFRAC(MAX($P$34*($B514+IF($R$17="Distrato",$I$38-1,0)),IF(AND($L$37=0,$P$34=0),"",$L$37-1),IF($R$17="Distrato",$E514,0)),MIN(AN$38,$D$19),$P$20))-SUM($P514:AM514)</f>
        <v>#VALUE!</v>
      </c>
      <c r="AO514" s="446" t="e">
        <f>IF(OR($B514="",MIN(AO$38,$D$19)&lt;MAX($P$34*($B514+IF($R$17="Distrato",$I$38-1,0)),IF(AND($L$37=0,$P$34=0),"",$L$37-1),IF($R$17="Distrato",$E514,0))),0,YEARFRAC(MAX($P$34*($B514+IF($R$17="Distrato",$I$38-1,0)),IF(AND($L$37=0,$P$34=0),"",$L$37-1),IF($R$17="Distrato",$E514,0)),MIN(AO$38,$D$19),$P$20))-SUM($P514:AN514)</f>
        <v>#VALUE!</v>
      </c>
      <c r="AP514" s="446" t="e">
        <f>IF(OR($B514="",MIN(AP$38,$D$19)&lt;MAX($P$34*($B514+IF($R$17="Distrato",$I$38-1,0)),IF(AND($L$37=0,$P$34=0),"",$L$37-1),IF($R$17="Distrato",$E514,0))),0,YEARFRAC(MAX($P$34*($B514+IF($R$17="Distrato",$I$38-1,0)),IF(AND($L$37=0,$P$34=0),"",$L$37-1),IF($R$17="Distrato",$E514,0)),MIN(AP$38,$D$19),$P$20))-SUM($P514:AO514)</f>
        <v>#VALUE!</v>
      </c>
      <c r="AQ514" s="446" t="e">
        <f>IF(OR($B514="",MIN(AQ$38,$D$19)&lt;MAX($P$34*($B514+IF($R$17="Distrato",$I$38-1,0)),IF(AND($L$37=0,$P$34=0),"",$L$37-1),IF($R$17="Distrato",$E514,0))),0,YEARFRAC(MAX($P$34*($B514+IF($R$17="Distrato",$I$38-1,0)),IF(AND($L$37=0,$P$34=0),"",$L$37-1),IF($R$17="Distrato",$E514,0)),MIN(AQ$38,$D$19),$P$20))-SUM($P514:AP514)</f>
        <v>#VALUE!</v>
      </c>
      <c r="AR514" s="446" t="e">
        <f>IF(OR($B514="",MIN(AR$38,$D$19)&lt;MAX($P$34*($B514+IF($R$17="Distrato",$I$38-1,0)),IF(AND($L$37=0,$P$34=0),"",$L$37-1),IF($R$17="Distrato",$E514,0))),0,YEARFRAC(MAX($P$34*($B514+IF($R$17="Distrato",$I$38-1,0)),IF(AND($L$37=0,$P$34=0),"",$L$37-1),IF($R$17="Distrato",$E514,0)),MIN(AR$38,$D$19),$P$20))-SUM($P514:AQ514)</f>
        <v>#VALUE!</v>
      </c>
      <c r="AS514" s="446" t="e">
        <f>IF(OR($B514="",MIN(AS$38,$D$19)&lt;MAX($P$34*($B514+IF($R$17="Distrato",$I$38-1,0)),IF(AND($L$37=0,$P$34=0),"",$L$37-1),IF($R$17="Distrato",$E514,0))),0,YEARFRAC(MAX($P$34*($B514+IF($R$17="Distrato",$I$38-1,0)),IF(AND($L$37=0,$P$34=0),"",$L$37-1),IF($R$17="Distrato",$E514,0)),MIN(AS$38,$D$19),$P$20))-SUM($P514:AR514)</f>
        <v>#VALUE!</v>
      </c>
      <c r="AT514" s="446" t="e">
        <f>IF(OR($B514="",MIN(AT$38,$D$19)&lt;MAX($P$34*($B514+IF($R$17="Distrato",$I$38-1,0)),IF(AND($L$37=0,$P$34=0),"",$L$37-1),IF($R$17="Distrato",$E514,0))),0,YEARFRAC(MAX($P$34*($B514+IF($R$17="Distrato",$I$38-1,0)),IF(AND($L$37=0,$P$34=0),"",$L$37-1),IF($R$17="Distrato",$E514,0)),MIN(AT$38,$D$19),$P$20))-SUM($P514:AS514)</f>
        <v>#VALUE!</v>
      </c>
      <c r="AU514" s="446" t="e">
        <f>IF(OR($B514="",MIN(AU$38,$D$19)&lt;MAX($P$34*($B514+IF($R$17="Distrato",$I$38-1,0)),IF(AND($L$37=0,$P$34=0),"",$L$37-1),IF($R$17="Distrato",$E514,0))),0,YEARFRAC(MAX($P$34*($B514+IF($R$17="Distrato",$I$38-1,0)),IF(AND($L$37=0,$P$34=0),"",$L$37-1),IF($R$17="Distrato",$E514,0)),MIN(AU$38,$D$19),$P$20))-SUM($P514:AT514)</f>
        <v>#VALUE!</v>
      </c>
      <c r="AV514" s="446" t="e">
        <f>IF(OR($B514="",MIN(AV$38,$D$19)&lt;MAX($P$34*($B514+IF($R$17="Distrato",$I$38-1,0)),IF(AND($L$37=0,$P$34=0),"",$L$37-1),IF($R$17="Distrato",$E514,0))),0,YEARFRAC(MAX($P$34*($B514+IF($R$17="Distrato",$I$38-1,0)),IF(AND($L$37=0,$P$34=0),"",$L$37-1),IF($R$17="Distrato",$E514,0)),MIN(AV$38,$D$19),$P$20))-SUM($P514:AU514)</f>
        <v>#VALUE!</v>
      </c>
      <c r="AW514" s="446" t="e">
        <f>IF(OR($B514="",MIN(AW$38,$D$19)&lt;MAX($P$34*($B514+IF($R$17="Distrato",$I$38-1,0)),IF(AND($L$37=0,$P$34=0),"",$L$37-1),IF($R$17="Distrato",$E514,0))),0,YEARFRAC(MAX($P$34*($B514+IF($R$17="Distrato",$I$38-1,0)),IF(AND($L$37=0,$P$34=0),"",$L$37-1),IF($R$17="Distrato",$E514,0)),MIN(AW$38,$D$19),$P$20))-SUM($P514:AV514)</f>
        <v>#VALUE!</v>
      </c>
      <c r="AX514" s="446" t="e">
        <f>IF(OR($B514="",MIN(AX$38,$D$19)&lt;MAX($P$34*($B514+IF($R$17="Distrato",$I$38-1,0)),IF(AND($L$37=0,$P$34=0),"",$L$37-1),IF($R$17="Distrato",$E514,0))),0,YEARFRAC(MAX($P$34*($B514+IF($R$17="Distrato",$I$38-1,0)),IF(AND($L$37=0,$P$34=0),"",$L$37-1),IF($R$17="Distrato",$E514,0)),MIN(AX$38,$D$19),$P$20))-SUM($P514:AW514)</f>
        <v>#VALUE!</v>
      </c>
      <c r="AY514" s="446" t="e">
        <f>IF(OR($B514="",MIN(AY$38,$D$19)&lt;MAX($P$34*($B514+IF($R$17="Distrato",$I$38-1,0)),IF(AND($L$37=0,$P$34=0),"",$L$37-1),IF($R$17="Distrato",$E514,0))),0,YEARFRAC(MAX($P$34*($B514+IF($R$17="Distrato",$I$38-1,0)),IF(AND($L$37=0,$P$34=0),"",$L$37-1),IF($R$17="Distrato",$E514,0)),MIN(AY$38,$D$19),$P$20))-SUM($P514:AX514)</f>
        <v>#VALUE!</v>
      </c>
      <c r="AZ514" s="446" t="e">
        <f>IF(OR($B514="",MIN(AZ$38,$D$19)&lt;MAX($P$34*($B514+IF($R$17="Distrato",$I$38-1,0)),IF(AND($L$37=0,$P$34=0),"",$L$37-1),IF($R$17="Distrato",$E514,0))),0,YEARFRAC(MAX($P$34*($B514+IF($R$17="Distrato",$I$38-1,0)),IF(AND($L$37=0,$P$34=0),"",$L$37-1),IF($R$17="Distrato",$E514,0)),MIN(AZ$38,$D$19),$P$20))-SUM($P514:AY514)</f>
        <v>#VALUE!</v>
      </c>
      <c r="BA514" s="446" t="e">
        <f>IF(OR($B514="",MIN(BA$38,$D$19)&lt;MAX($P$34*($B514+IF($R$17="Distrato",$I$38-1,0)),IF(AND($L$37=0,$P$34=0),"",$L$37-1),IF($R$17="Distrato",$E514,0))),0,YEARFRAC(MAX($P$34*($B514+IF($R$17="Distrato",$I$38-1,0)),IF(AND($L$37=0,$P$34=0),"",$L$37-1),IF($R$17="Distrato",$E514,0)),MIN(BA$38,$D$19),$P$20))-SUM($P514:AZ514)</f>
        <v>#VALUE!</v>
      </c>
      <c r="BB514" s="447"/>
      <c r="BF514" s="446">
        <f t="shared" si="87"/>
        <v>0</v>
      </c>
      <c r="BG514" s="446">
        <f>IF($E514=0,0,IF(MIN(BG$38,$E514)&lt;MAX($P$34*($B514+$I$38-1),IF(AND($L$37=0,$P$34=0),"",$L$37-1)),0,YEARFRAC(MAX($P$34*($B514+$I$38-1),IF(AND($L$37=0,$P$34=0),"",$L$37-1)),MIN(BG$38,$E514),$P$20))-SUM($BF514:BF514))</f>
        <v>0</v>
      </c>
      <c r="BH514" s="446">
        <f>IF($E514=0,0,IF(MIN(BH$38,$E514)&lt;MAX($P$34*($B514+$I$38-1),IF(AND($L$37=0,$P$34=0),"",$L$37-1)),0,YEARFRAC(MAX($P$34*($B514+$I$38-1),IF(AND($L$37=0,$P$34=0),"",$L$37-1)),MIN(BH$38,$E514),$P$20))-SUM($BF514:BG514))</f>
        <v>0</v>
      </c>
      <c r="BI514" s="446">
        <f>IF($E514=0,0,IF(MIN(BI$38,$E514)&lt;MAX($P$34*($B514+$I$38-1),IF(AND($L$37=0,$P$34=0),"",$L$37-1)),0,YEARFRAC(MAX($P$34*($B514+$I$38-1),IF(AND($L$37=0,$P$34=0),"",$L$37-1)),MIN(BI$38,$E514),$P$20))-SUM($BF514:BH514))</f>
        <v>0</v>
      </c>
      <c r="BJ514" s="446">
        <f>IF($E514=0,0,IF(MIN(BJ$38,$E514)&lt;MAX($P$34*($B514+$I$38-1),IF(AND($L$37=0,$P$34=0),"",$L$37-1)),0,YEARFRAC(MAX($P$34*($B514+$I$38-1),IF(AND($L$37=0,$P$34=0),"",$L$37-1)),MIN(BJ$38,$E514),$P$20))-SUM($BF514:BI514))</f>
        <v>0</v>
      </c>
      <c r="BK514" s="446">
        <f>IF($E514=0,0,IF(MIN(BK$38,$E514)&lt;MAX($P$34*($B514+$I$38-1),IF(AND($L$37=0,$P$34=0),"",$L$37-1)),0,YEARFRAC(MAX($P$34*($B514+$I$38-1),IF(AND($L$37=0,$P$34=0),"",$L$37-1)),MIN(BK$38,$E514),$P$20))-SUM($BF514:BJ514))</f>
        <v>0</v>
      </c>
      <c r="BL514" s="446">
        <f>IF($E514=0,0,IF(MIN(BL$38,$E514)&lt;MAX($P$34*($B514+$I$38-1),IF(AND($L$37=0,$P$34=0),"",$L$37-1)),0,YEARFRAC(MAX($P$34*($B514+$I$38-1),IF(AND($L$37=0,$P$34=0),"",$L$37-1)),MIN(BL$38,$E514),$P$20))-SUM($BF514:BK514))</f>
        <v>0</v>
      </c>
      <c r="BM514" s="446">
        <f>IF($E514=0,0,IF(MIN(BM$38,$E514)&lt;MAX($P$34*($B514+$I$38-1),IF(AND($L$37=0,$P$34=0),"",$L$37-1)),0,YEARFRAC(MAX($P$34*($B514+$I$38-1),IF(AND($L$37=0,$P$34=0),"",$L$37-1)),MIN(BM$38,$E514),$P$20))-SUM($BF514:BL514))</f>
        <v>0</v>
      </c>
      <c r="BN514" s="446">
        <f>IF($E514=0,0,IF(MIN(BN$38,$E514)&lt;MAX($P$34*($B514+$I$38-1),IF(AND($L$37=0,$P$34=0),"",$L$37-1)),0,YEARFRAC(MAX($P$34*($B514+$I$38-1),IF(AND($L$37=0,$P$34=0),"",$L$37-1)),MIN(BN$38,$E514),$P$20))-SUM($BF514:BM514))</f>
        <v>0</v>
      </c>
      <c r="BO514" s="446">
        <f>IF($E514=0,0,IF(MIN(BO$38,$E514)&lt;MAX($P$34*($B514+$I$38-1),IF(AND($L$37=0,$P$34=0),"",$L$37-1)),0,YEARFRAC(MAX($P$34*($B514+$I$38-1),IF(AND($L$37=0,$P$34=0),"",$L$37-1)),MIN(BO$38,$E514),$P$20))-SUM($BF514:BN514))</f>
        <v>0</v>
      </c>
      <c r="BP514" s="446">
        <f>IF($E514=0,0,IF(MIN(BP$38,$E514)&lt;MAX($P$34*($B514+$I$38-1),IF(AND($L$37=0,$P$34=0),"",$L$37-1)),0,YEARFRAC(MAX($P$34*($B514+$I$38-1),IF(AND($L$37=0,$P$34=0),"",$L$37-1)),MIN(BP$38,$E514),$P$20))-SUM($BF514:BO514))</f>
        <v>0</v>
      </c>
      <c r="BQ514" s="446">
        <f>IF($E514=0,0,IF(MIN(BQ$38,$E514)&lt;MAX($P$34*($B514+$I$38-1),IF(AND($L$37=0,$P$34=0),"",$L$37-1)),0,YEARFRAC(MAX($P$34*($B514+$I$38-1),IF(AND($L$37=0,$P$34=0),"",$L$37-1)),MIN(BQ$38,$E514),$P$20))-SUM($BF514:BP514))</f>
        <v>0</v>
      </c>
      <c r="BR514" s="446">
        <f>IF($E514=0,0,IF(MIN(BR$38,$E514)&lt;MAX($P$34*($B514+$I$38-1),IF(AND($L$37=0,$P$34=0),"",$L$37-1)),0,YEARFRAC(MAX($P$34*($B514+$I$38-1),IF(AND($L$37=0,$P$34=0),"",$L$37-1)),MIN(BR$38,$E514),$P$20))-SUM($BF514:BQ514))</f>
        <v>0</v>
      </c>
      <c r="BS514" s="446">
        <f>IF($E514=0,0,IF(MIN(BS$38,$E514)&lt;MAX($P$34*($B514+$I$38-1),IF(AND($L$37=0,$P$34=0),"",$L$37-1)),0,YEARFRAC(MAX($P$34*($B514+$I$38-1),IF(AND($L$37=0,$P$34=0),"",$L$37-1)),MIN(BS$38,$E514),$P$20))-SUM($BF514:BR514))</f>
        <v>0</v>
      </c>
      <c r="BT514" s="446">
        <f>IF($E514=0,0,IF(MIN(BT$38,$E514)&lt;MAX($P$34*($B514+$I$38-1),IF(AND($L$37=0,$P$34=0),"",$L$37-1)),0,YEARFRAC(MAX($P$34*($B514+$I$38-1),IF(AND($L$37=0,$P$34=0),"",$L$37-1)),MIN(BT$38,$E514),$P$20))-SUM($BF514:BS514))</f>
        <v>0</v>
      </c>
      <c r="BU514" s="446">
        <f>IF($E514=0,0,IF(MIN(BU$38,$E514)&lt;MAX($P$34*($B514+$I$38-1),IF(AND($L$37=0,$P$34=0),"",$L$37-1)),0,YEARFRAC(MAX($P$34*($B514+$I$38-1),IF(AND($L$37=0,$P$34=0),"",$L$37-1)),MIN(BU$38,$E514),$P$20))-SUM($BF514:BT514))</f>
        <v>0</v>
      </c>
      <c r="BV514" s="446">
        <f>IF($E514=0,0,IF(MIN(BV$38,$E514)&lt;MAX($P$34*($B514+$I$38-1),IF(AND($L$37=0,$P$34=0),"",$L$37-1)),0,YEARFRAC(MAX($P$34*($B514+$I$38-1),IF(AND($L$37=0,$P$34=0),"",$L$37-1)),MIN(BV$38,$E514),$P$20))-SUM($BF514:BU514))</f>
        <v>0</v>
      </c>
      <c r="BW514" s="446">
        <f>IF($E514=0,0,IF(MIN(BW$38,$E514)&lt;MAX($P$34*($B514+$I$38-1),IF(AND($L$37=0,$P$34=0),"",$L$37-1)),0,YEARFRAC(MAX($P$34*($B514+$I$38-1),IF(AND($L$37=0,$P$34=0),"",$L$37-1)),MIN(BW$38,$E514),$P$20))-SUM($BF514:BV514))</f>
        <v>0</v>
      </c>
      <c r="BX514" s="446">
        <f>IF($E514=0,0,IF(MIN(BX$38,$E514)&lt;MAX($P$34*($B514+$I$38-1),IF(AND($L$37=0,$P$34=0),"",$L$37-1)),0,YEARFRAC(MAX($P$34*($B514+$I$38-1),IF(AND($L$37=0,$P$34=0),"",$L$37-1)),MIN(BX$38,$E514),$P$20))-SUM($BF514:BW514))</f>
        <v>0</v>
      </c>
      <c r="BY514" s="446">
        <f>IF($E514=0,0,IF(MIN(BY$38,$E514)&lt;MAX($P$34*($B514+$I$38-1),IF(AND($L$37=0,$P$34=0),"",$L$37-1)),0,YEARFRAC(MAX($P$34*($B514+$I$38-1),IF(AND($L$37=0,$P$34=0),"",$L$37-1)),MIN(BY$38,$E514),$P$20))-SUM($BF514:BX514))</f>
        <v>0</v>
      </c>
      <c r="BZ514" s="446">
        <f>IF($E514=0,0,IF(MIN(BZ$38,$E514)&lt;MAX($P$34*($B514+$I$38-1),IF(AND($L$37=0,$P$34=0),"",$L$37-1)),0,YEARFRAC(MAX($P$34*($B514+$I$38-1),IF(AND($L$37=0,$P$34=0),"",$L$37-1)),MIN(BZ$38,$E514),$P$20))-SUM($BF514:BY514))</f>
        <v>0</v>
      </c>
      <c r="CA514" s="446">
        <f>IF($E514=0,0,IF(MIN(CA$38,$E514)&lt;MAX($P$34*($B514+$I$38-1),IF(AND($L$37=0,$P$34=0),"",$L$37-1)),0,YEARFRAC(MAX($P$34*($B514+$I$38-1),IF(AND($L$37=0,$P$34=0),"",$L$37-1)),MIN(CA$38,$E514),$P$20))-SUM($BF514:BZ514))</f>
        <v>0</v>
      </c>
      <c r="CB514" s="446">
        <f>IF($E514=0,0,IF(MIN(CB$38,$E514)&lt;MAX($P$34*($B514+$I$38-1),IF(AND($L$37=0,$P$34=0),"",$L$37-1)),0,YEARFRAC(MAX($P$34*($B514+$I$38-1),IF(AND($L$37=0,$P$34=0),"",$L$37-1)),MIN(CB$38,$E514),$P$20))-SUM($BF514:CA514))</f>
        <v>0</v>
      </c>
      <c r="CC514" s="446">
        <f>IF($E514=0,0,IF(MIN(CC$38,$E514)&lt;MAX($P$34*($B514+$I$38-1),IF(AND($L$37=0,$P$34=0),"",$L$37-1)),0,YEARFRAC(MAX($P$34*($B514+$I$38-1),IF(AND($L$37=0,$P$34=0),"",$L$37-1)),MIN(CC$38,$E514),$P$20))-SUM($BF514:CB514))</f>
        <v>0</v>
      </c>
      <c r="CD514" s="446">
        <f>IF($E514=0,0,IF(MIN(CD$38,$E514)&lt;MAX($P$34*($B514+$I$38-1),IF(AND($L$37=0,$P$34=0),"",$L$37-1)),0,YEARFRAC(MAX($P$34*($B514+$I$38-1),IF(AND($L$37=0,$P$34=0),"",$L$37-1)),MIN(CD$38,$E514),$P$20))-SUM($BF514:CC514))</f>
        <v>0</v>
      </c>
      <c r="CE514" s="446">
        <f>IF($E514=0,0,IF(MIN(CE$38,$E514)&lt;MAX($P$34*($B514+$I$38-1),IF(AND($L$37=0,$P$34=0),"",$L$37-1)),0,YEARFRAC(MAX($P$34*($B514+$I$38-1),IF(AND($L$37=0,$P$34=0),"",$L$37-1)),MIN(CE$38,$E514),$P$20))-SUM($BF514:CD514))</f>
        <v>0</v>
      </c>
      <c r="CF514" s="446">
        <f>IF($E514=0,0,IF(MIN(CF$38,$E514)&lt;MAX($P$34*($B514+$I$38-1),IF(AND($L$37=0,$P$34=0),"",$L$37-1)),0,YEARFRAC(MAX($P$34*($B514+$I$38-1),IF(AND($L$37=0,$P$34=0),"",$L$37-1)),MIN(CF$38,$E514),$P$20))-SUM($BF514:CE514))</f>
        <v>0</v>
      </c>
      <c r="CG514" s="446">
        <f>IF($E514=0,0,IF(MIN(CG$38,$E514)&lt;MAX($P$34*($B514+$I$38-1),IF(AND($L$37=0,$P$34=0),"",$L$37-1)),0,YEARFRAC(MAX($P$34*($B514+$I$38-1),IF(AND($L$37=0,$P$34=0),"",$L$37-1)),MIN(CG$38,$E514),$P$20))-SUM($BF514:CF514))</f>
        <v>0</v>
      </c>
      <c r="CH514" s="446">
        <f>IF($E514=0,0,IF(MIN(CH$38,$E514)&lt;MAX($P$34*($B514+$I$38-1),IF(AND($L$37=0,$P$34=0),"",$L$37-1)),0,YEARFRAC(MAX($P$34*($B514+$I$38-1),IF(AND($L$37=0,$P$34=0),"",$L$37-1)),MIN(CH$38,$E514),$P$20))-SUM($BF514:CG514))</f>
        <v>0</v>
      </c>
      <c r="CI514" s="446">
        <f>IF($E514=0,0,IF(MIN(CI$38,$E514)&lt;MAX($P$34*($B514+$I$38-1),IF(AND($L$37=0,$P$34=0),"",$L$37-1)),0,YEARFRAC(MAX($P$34*($B514+$I$38-1),IF(AND($L$37=0,$P$34=0),"",$L$37-1)),MIN(CI$38,$E514),$P$20))-SUM($BF514:CH514))</f>
        <v>0</v>
      </c>
      <c r="CJ514" s="446">
        <f>IF($E514=0,0,IF(MIN(CJ$38,$E514)&lt;MAX($P$34*($B514+$I$38-1),IF(AND($L$37=0,$P$34=0),"",$L$37-1)),0,YEARFRAC(MAX($P$34*($B514+$I$38-1),IF(AND($L$37=0,$P$34=0),"",$L$37-1)),MIN(CJ$38,$E514),$P$20))-SUM($BF514:CI514))</f>
        <v>0</v>
      </c>
      <c r="CK514" s="446">
        <f>IF($E514=0,0,IF(MIN(CK$38,$E514)&lt;MAX($P$34*($B514+$I$38-1),IF(AND($L$37=0,$P$34=0),"",$L$37-1)),0,YEARFRAC(MAX($P$34*($B514+$I$38-1),IF(AND($L$37=0,$P$34=0),"",$L$37-1)),MIN(CK$38,$E514),$P$20))-SUM($BF514:CJ514))</f>
        <v>0</v>
      </c>
      <c r="CL514" s="446">
        <f>IF($E514=0,0,IF(MIN(CL$38,$E514)&lt;MAX($P$34*($B514+$I$38-1),IF(AND($L$37=0,$P$34=0),"",$L$37-1)),0,YEARFRAC(MAX($P$34*($B514+$I$38-1),IF(AND($L$37=0,$P$34=0),"",$L$37-1)),MIN(CL$38,$E514),$P$20))-SUM($BF514:CK514))</f>
        <v>0</v>
      </c>
      <c r="CM514" s="446">
        <f>IF($E514=0,0,IF(MIN(CM$38,$E514)&lt;MAX($P$34*($B514+$I$38-1),IF(AND($L$37=0,$P$34=0),"",$L$37-1)),0,YEARFRAC(MAX($P$34*($B514+$I$38-1),IF(AND($L$37=0,$P$34=0),"",$L$37-1)),MIN(CM$38,$E514),$P$20))-SUM($BF514:CL514))</f>
        <v>0</v>
      </c>
      <c r="CN514" s="446">
        <f>IF($E514=0,0,IF(MIN(CN$38,$E514)&lt;MAX($P$34*($B514+$I$38-1),IF(AND($L$37=0,$P$34=0),"",$L$37-1)),0,YEARFRAC(MAX($P$34*($B514+$I$38-1),IF(AND($L$37=0,$P$34=0),"",$L$37-1)),MIN(CN$38,$E514),$P$20))-SUM($BF514:CM514))</f>
        <v>0</v>
      </c>
      <c r="CO514" s="446">
        <f>IF($E514=0,0,IF(MIN(CO$38,$E514)&lt;MAX($P$34*($B514+$I$38-1),IF(AND($L$37=0,$P$34=0),"",$L$37-1)),0,YEARFRAC(MAX($P$34*($B514+$I$38-1),IF(AND($L$37=0,$P$34=0),"",$L$37-1)),MIN(CO$38,$E514),$P$20))-SUM($BF514:CN514))</f>
        <v>0</v>
      </c>
      <c r="CP514" s="446">
        <f>IF($E514=0,0,IF(MIN(CP$38,$E514)&lt;MAX($P$34*($B514+$I$38-1),IF(AND($L$37=0,$P$34=0),"",$L$37-1)),0,YEARFRAC(MAX($P$34*($B514+$I$38-1),IF(AND($L$37=0,$P$34=0),"",$L$37-1)),MIN(CP$38,$E514),$P$20))-SUM($BF514:CO514))</f>
        <v>0</v>
      </c>
      <c r="CQ514" s="446">
        <f>IF($E514=0,0,IF(MIN(CQ$38,$E514)&lt;MAX($P$34*($B514+$I$38-1),IF(AND($L$37=0,$P$34=0),"",$L$37-1)),0,YEARFRAC(MAX($P$34*($B514+$I$38-1),IF(AND($L$37=0,$P$34=0),"",$L$37-1)),MIN(CQ$38,$E514),$P$20))-SUM($BF514:CP514))</f>
        <v>0</v>
      </c>
    </row>
    <row r="515" spans="1:95" s="446" customFormat="1" ht="11.25" hidden="1" customHeight="1" x14ac:dyDescent="0.2">
      <c r="A515" s="152"/>
      <c r="B515" s="153" t="str">
        <f t="shared" si="92"/>
        <v/>
      </c>
      <c r="C515" s="29" t="str">
        <f>IF(B515="","",IF($L$35="SELIC - TRIBUTOS",VLOOKUP(DATE(YEAR($D$19),MONTH($D$19)-1,1),ÍNDICES!$A:$DE,HLOOKUP($BL$25,ÍNDICES!$B$3:$T$4,2)+11)-VLOOKUP(B515,ÍNDICES!$A:$DE,HLOOKUP($BL$25,ÍNDICES!$B$3:$T$4,2)+11)+1%,IF(C$38=$W$26,$J$35,IF(ISERROR(IF(B515&gt;$D$19,1,VLOOKUP(DATE(YEAR(B515),MONTH(B515)+IF($C$35=$S$23,1,0),1),ÍNDICES!$A:$DE,$Z$35+1))),"",IF(B515&gt;$D$19,1,VLOOKUP(DATE(YEAR(B515),MONTH(B515)+IF($C$35=$S$23,1,0),1),ÍNDICES!$A:$DE,$Z$35+1))))))</f>
        <v/>
      </c>
      <c r="D515" s="154" t="str">
        <f>IF(ISERROR(IF(OR($D$38=$Y$27,$B515=""),"",VLOOKUP(B515,ÍNDICES!A:DE,AF$35+1))),"",IF(OR($D$38=$Y$27,$B515=""),"",VLOOKUP(B515,ÍNDICES!A:DE,AF$35+1)))</f>
        <v/>
      </c>
      <c r="E515" s="153"/>
      <c r="F515" s="29" t="str">
        <f>IF(E515="","",IF($L$35="SELIC - TRIBUTOS",VLOOKUP(DATE(YEAR($D$19),MONTH($D$19)-1,1),ÍNDICES!$A:$DE,HLOOKUP($BL$25,ÍNDICES!$B$3:$T$4,2)+11)-VLOOKUP(E515,ÍNDICES!$A:$DE,HLOOKUP($BL$25,ÍNDICES!$B$3:$T$4,2)+11)+1%,IF(F$38=$W$26,$J$35,IF(ISERROR(IF(E515&gt;$D$19,1,VLOOKUP(DATE(YEAR(E515),MONTH(E515)+IF($C$35=$S$23,1,0),1),ÍNDICES!$A:$DE,$Z$35+1))),"",IF(E515&gt;$D$19,1,VLOOKUP(DATE(YEAR(E515),MONTH(E515)+IF($C$35=$S$23,1,0),1),ÍNDICES!$A:$DE,$Z$35+1))))))</f>
        <v/>
      </c>
      <c r="G515" s="155"/>
      <c r="H515" s="156" t="str">
        <f t="shared" si="88"/>
        <v/>
      </c>
      <c r="I515" s="29" t="str">
        <f t="shared" si="82"/>
        <v/>
      </c>
      <c r="J515" s="5">
        <f t="shared" si="83"/>
        <v>0</v>
      </c>
      <c r="K515" s="20">
        <f t="shared" ca="1" si="84"/>
        <v>0</v>
      </c>
      <c r="L515" s="5">
        <f t="shared" ca="1" si="85"/>
        <v>0</v>
      </c>
      <c r="M515" s="64">
        <f t="shared" si="89"/>
        <v>0</v>
      </c>
      <c r="N515" s="61">
        <f t="shared" ca="1" si="90"/>
        <v>0</v>
      </c>
      <c r="O515" s="5">
        <f t="shared" ca="1" si="91"/>
        <v>0</v>
      </c>
      <c r="P515" s="446" t="e">
        <f t="shared" si="86"/>
        <v>#VALUE!</v>
      </c>
      <c r="Q515" s="446" t="e">
        <f>IF(OR($B515="",MIN(Q$38,$D$19)&lt;MAX($P$34*($B515+IF($R$17="Distrato",$I$38-1,0)),IF(AND($L$37=0,$P$34=0),"",$L$37-1),IF($R$17="Distrato",$E515,0))),0,YEARFRAC(MAX($P$34*($B515+IF($R$17="Distrato",$I$38-1,0)),IF(AND($L$37=0,$P$34=0),"",$L$37-1),IF($R$17="Distrato",$E515,0)),MIN(Q$38,$D$19),$P$20))-SUM($P515:P515)</f>
        <v>#VALUE!</v>
      </c>
      <c r="R515" s="446" t="e">
        <f>IF(OR($B515="",MIN(R$38,$D$19)&lt;MAX($P$34*($B515+IF($R$17="Distrato",$I$38-1,0)),IF(AND($L$37=0,$P$34=0),"",$L$37-1),IF($R$17="Distrato",$E515,0))),0,YEARFRAC(MAX($P$34*($B515+IF($R$17="Distrato",$I$38-1,0)),IF(AND($L$37=0,$P$34=0),"",$L$37-1),IF($R$17="Distrato",$E515,0)),MIN(R$38,$D$19),$P$20))-SUM($P515:Q515)</f>
        <v>#VALUE!</v>
      </c>
      <c r="S515" s="446" t="e">
        <f>IF(OR($B515="",MIN(S$38,$D$19)&lt;MAX($P$34*($B515+IF($R$17="Distrato",$I$38-1,0)),IF(AND($L$37=0,$P$34=0),"",$L$37-1),IF($R$17="Distrato",$E515,0))),0,YEARFRAC(MAX($P$34*($B515+IF($R$17="Distrato",$I$38-1,0)),IF(AND($L$37=0,$P$34=0),"",$L$37-1),IF($R$17="Distrato",$E515,0)),MIN(S$38,$D$19),$P$20))-SUM($P515:R515)</f>
        <v>#VALUE!</v>
      </c>
      <c r="T515" s="446" t="e">
        <f>IF(OR($B515="",MIN(T$38,$D$19)&lt;MAX($P$34*($B515+IF($R$17="Distrato",$I$38-1,0)),IF(AND($L$37=0,$P$34=0),"",$L$37-1),IF($R$17="Distrato",$E515,0))),0,YEARFRAC(MAX($P$34*($B515+IF($R$17="Distrato",$I$38-1,0)),IF(AND($L$37=0,$P$34=0),"",$L$37-1),IF($R$17="Distrato",$E515,0)),MIN(T$38,$D$19),$P$20))-SUM($P515:S515)</f>
        <v>#VALUE!</v>
      </c>
      <c r="U515" s="446" t="e">
        <f>IF(OR($B515="",MIN(U$38,$D$19)&lt;MAX($P$34*($B515+IF($R$17="Distrato",$I$38-1,0)),IF(AND($L$37=0,$P$34=0),"",$L$37-1),IF($R$17="Distrato",$E515,0))),0,YEARFRAC(MAX($P$34*($B515+IF($R$17="Distrato",$I$38-1,0)),IF(AND($L$37=0,$P$34=0),"",$L$37-1),IF($R$17="Distrato",$E515,0)),MIN(U$38,$D$19),$P$20))-SUM($P515:T515)</f>
        <v>#VALUE!</v>
      </c>
      <c r="V515" s="446" t="e">
        <f>IF(OR($B515="",MIN(V$38,$D$19)&lt;MAX($P$34*($B515+IF($R$17="Distrato",$I$38-1,0)),IF(AND($L$37=0,$P$34=0),"",$L$37-1),IF($R$17="Distrato",$E515,0))),0,YEARFRAC(MAX($P$34*($B515+IF($R$17="Distrato",$I$38-1,0)),IF(AND($L$37=0,$P$34=0),"",$L$37-1),IF($R$17="Distrato",$E515,0)),MIN(V$38,$D$19),$P$20))-SUM($P515:U515)</f>
        <v>#VALUE!</v>
      </c>
      <c r="W515" s="446" t="e">
        <f>IF(OR($B515="",MIN(W$38,$D$19)&lt;MAX($P$34*($B515+IF($R$17="Distrato",$I$38-1,0)),IF(AND($L$37=0,$P$34=0),"",$L$37-1),IF($R$17="Distrato",$E515,0))),0,YEARFRAC(MAX($P$34*($B515+IF($R$17="Distrato",$I$38-1,0)),IF(AND($L$37=0,$P$34=0),"",$L$37-1),IF($R$17="Distrato",$E515,0)),MIN(W$38,$D$19),$P$20))-SUM($P515:V515)</f>
        <v>#VALUE!</v>
      </c>
      <c r="X515" s="446" t="e">
        <f>IF(OR($B515="",MIN(X$38,$D$19)&lt;MAX($P$34*($B515+IF($R$17="Distrato",$I$38-1,0)),IF(AND($L$37=0,$P$34=0),"",$L$37-1),IF($R$17="Distrato",$E515,0))),0,YEARFRAC(MAX($P$34*($B515+IF($R$17="Distrato",$I$38-1,0)),IF(AND($L$37=0,$P$34=0),"",$L$37-1),IF($R$17="Distrato",$E515,0)),MIN(X$38,$D$19),$P$20))-SUM($P515:W515)</f>
        <v>#VALUE!</v>
      </c>
      <c r="Y515" s="446" t="e">
        <f>IF(OR($B515="",MIN(Y$38,$D$19)&lt;MAX($P$34*($B515+IF($R$17="Distrato",$I$38-1,0)),IF(AND($L$37=0,$P$34=0),"",$L$37-1),IF($R$17="Distrato",$E515,0))),0,YEARFRAC(MAX($P$34*($B515+IF($R$17="Distrato",$I$38-1,0)),IF(AND($L$37=0,$P$34=0),"",$L$37-1),IF($R$17="Distrato",$E515,0)),MIN(Y$38,$D$19),$P$20))-SUM($P515:X515)</f>
        <v>#VALUE!</v>
      </c>
      <c r="Z515" s="446" t="e">
        <f>IF(OR($B515="",MIN(Z$38,$D$19)&lt;MAX($P$34*($B515+IF($R$17="Distrato",$I$38-1,0)),IF(AND($L$37=0,$P$34=0),"",$L$37-1),IF($R$17="Distrato",$E515,0))),0,YEARFRAC(MAX($P$34*($B515+IF($R$17="Distrato",$I$38-1,0)),IF(AND($L$37=0,$P$34=0),"",$L$37-1),IF($R$17="Distrato",$E515,0)),MIN(Z$38,$D$19),$P$20))-SUM($P515:Y515)</f>
        <v>#VALUE!</v>
      </c>
      <c r="AA515" s="446" t="e">
        <f>IF(OR($B515="",MIN(AA$38,$D$19)&lt;MAX($P$34*($B515+IF($R$17="Distrato",$I$38-1,0)),IF(AND($L$37=0,$P$34=0),"",$L$37-1),IF($R$17="Distrato",$E515,0))),0,YEARFRAC(MAX($P$34*($B515+IF($R$17="Distrato",$I$38-1,0)),IF(AND($L$37=0,$P$34=0),"",$L$37-1),IF($R$17="Distrato",$E515,0)),MIN(AA$38,$D$19),$P$20))-SUM($P515:Z515)</f>
        <v>#VALUE!</v>
      </c>
      <c r="AB515" s="446" t="e">
        <f>IF(OR($B515="",MIN(AB$38,$D$19)&lt;MAX($P$34*($B515+IF($R$17="Distrato",$I$38-1,0)),IF(AND($L$37=0,$P$34=0),"",$L$37-1),IF($R$17="Distrato",$E515,0))),0,YEARFRAC(MAX($P$34*($B515+IF($R$17="Distrato",$I$38-1,0)),IF(AND($L$37=0,$P$34=0),"",$L$37-1),IF($R$17="Distrato",$E515,0)),MIN(AB$38,$D$19),$P$20))-SUM($P515:AA515)</f>
        <v>#VALUE!</v>
      </c>
      <c r="AC515" s="446" t="e">
        <f>IF(OR($B515="",MIN(AC$38,$D$19)&lt;MAX($P$34*($B515+IF($R$17="Distrato",$I$38-1,0)),IF(AND($L$37=0,$P$34=0),"",$L$37-1),IF($R$17="Distrato",$E515,0))),0,YEARFRAC(MAX($P$34*($B515+IF($R$17="Distrato",$I$38-1,0)),IF(AND($L$37=0,$P$34=0),"",$L$37-1),IF($R$17="Distrato",$E515,0)),MIN(AC$38,$D$19),$P$20))-SUM($P515:AB515)</f>
        <v>#VALUE!</v>
      </c>
      <c r="AD515" s="446" t="e">
        <f>IF(OR($B515="",MIN(AD$38,$D$19)&lt;MAX($P$34*($B515+IF($R$17="Distrato",$I$38-1,0)),IF(AND($L$37=0,$P$34=0),"",$L$37-1),IF($R$17="Distrato",$E515,0))),0,YEARFRAC(MAX($P$34*($B515+IF($R$17="Distrato",$I$38-1,0)),IF(AND($L$37=0,$P$34=0),"",$L$37-1),IF($R$17="Distrato",$E515,0)),MIN(AD$38,$D$19),$P$20))-SUM($P515:AC515)</f>
        <v>#VALUE!</v>
      </c>
      <c r="AE515" s="446" t="e">
        <f>IF(OR($B515="",MIN(AE$38,$D$19)&lt;MAX($P$34*($B515+IF($R$17="Distrato",$I$38-1,0)),IF(AND($L$37=0,$P$34=0),"",$L$37-1),IF($R$17="Distrato",$E515,0))),0,YEARFRAC(MAX($P$34*($B515+IF($R$17="Distrato",$I$38-1,0)),IF(AND($L$37=0,$P$34=0),"",$L$37-1),IF($R$17="Distrato",$E515,0)),MIN(AE$38,$D$19),$P$20))-SUM($P515:AD515)</f>
        <v>#VALUE!</v>
      </c>
      <c r="AF515" s="446" t="e">
        <f>IF(OR($B515="",MIN(AF$38,$D$19)&lt;MAX($P$34*($B515+IF($R$17="Distrato",$I$38-1,0)),IF(AND($L$37=0,$P$34=0),"",$L$37-1),IF($R$17="Distrato",$E515,0))),0,YEARFRAC(MAX($P$34*($B515+IF($R$17="Distrato",$I$38-1,0)),IF(AND($L$37=0,$P$34=0),"",$L$37-1),IF($R$17="Distrato",$E515,0)),MIN(AF$38,$D$19),$P$20))-SUM($P515:AE515)</f>
        <v>#VALUE!</v>
      </c>
      <c r="AG515" s="446" t="e">
        <f>IF(OR($B515="",MIN(AG$38,$D$19)&lt;MAX($P$34*($B515+IF($R$17="Distrato",$I$38-1,0)),IF(AND($L$37=0,$P$34=0),"",$L$37-1),IF($R$17="Distrato",$E515,0))),0,YEARFRAC(MAX($P$34*($B515+IF($R$17="Distrato",$I$38-1,0)),IF(AND($L$37=0,$P$34=0),"",$L$37-1),IF($R$17="Distrato",$E515,0)),MIN(AG$38,$D$19),$P$20))-SUM($P515:AF515)</f>
        <v>#VALUE!</v>
      </c>
      <c r="AH515" s="446" t="e">
        <f>IF(OR($B515="",MIN(AH$38,$D$19)&lt;MAX($P$34*($B515+IF($R$17="Distrato",$I$38-1,0)),IF(AND($L$37=0,$P$34=0),"",$L$37-1),IF($R$17="Distrato",$E515,0))),0,YEARFRAC(MAX($P$34*($B515+IF($R$17="Distrato",$I$38-1,0)),IF(AND($L$37=0,$P$34=0),"",$L$37-1),IF($R$17="Distrato",$E515,0)),MIN(AH$38,$D$19),$P$20))-SUM($P515:AG515)</f>
        <v>#VALUE!</v>
      </c>
      <c r="AI515" s="446" t="e">
        <f>IF(OR($B515="",MIN(AI$38,$D$19)&lt;MAX($P$34*($B515+IF($R$17="Distrato",$I$38-1,0)),IF(AND($L$37=0,$P$34=0),"",$L$37-1),IF($R$17="Distrato",$E515,0))),0,YEARFRAC(MAX($P$34*($B515+IF($R$17="Distrato",$I$38-1,0)),IF(AND($L$37=0,$P$34=0),"",$L$37-1),IF($R$17="Distrato",$E515,0)),MIN(AI$38,$D$19),$P$20))-SUM($P515:AH515)</f>
        <v>#VALUE!</v>
      </c>
      <c r="AJ515" s="446" t="e">
        <f>IF(OR($B515="",MIN(AJ$38,$D$19)&lt;MAX($P$34*($B515+IF($R$17="Distrato",$I$38-1,0)),IF(AND($L$37=0,$P$34=0),"",$L$37-1),IF($R$17="Distrato",$E515,0))),0,YEARFRAC(MAX($P$34*($B515+IF($R$17="Distrato",$I$38-1,0)),IF(AND($L$37=0,$P$34=0),"",$L$37-1),IF($R$17="Distrato",$E515,0)),MIN(AJ$38,$D$19),$P$20))-SUM($P515:AI515)</f>
        <v>#VALUE!</v>
      </c>
      <c r="AK515" s="446" t="e">
        <f>IF(OR($B515="",MIN(AK$38,$D$19)&lt;MAX($P$34*($B515+IF($R$17="Distrato",$I$38-1,0)),IF(AND($L$37=0,$P$34=0),"",$L$37-1),IF($R$17="Distrato",$E515,0))),0,YEARFRAC(MAX($P$34*($B515+IF($R$17="Distrato",$I$38-1,0)),IF(AND($L$37=0,$P$34=0),"",$L$37-1),IF($R$17="Distrato",$E515,0)),MIN(AK$38,$D$19),$P$20))-SUM($P515:AJ515)</f>
        <v>#VALUE!</v>
      </c>
      <c r="AL515" s="446" t="e">
        <f>IF(OR($B515="",MIN(AL$38,$D$19)&lt;MAX($P$34*($B515+IF($R$17="Distrato",$I$38-1,0)),IF(AND($L$37=0,$P$34=0),"",$L$37-1),IF($R$17="Distrato",$E515,0))),0,YEARFRAC(MAX($P$34*($B515+IF($R$17="Distrato",$I$38-1,0)),IF(AND($L$37=0,$P$34=0),"",$L$37-1),IF($R$17="Distrato",$E515,0)),MIN(AL$38,$D$19),$P$20))-SUM($P515:AK515)</f>
        <v>#VALUE!</v>
      </c>
      <c r="AM515" s="446" t="e">
        <f>IF(OR($B515="",MIN(AM$38,$D$19)&lt;MAX($P$34*($B515+IF($R$17="Distrato",$I$38-1,0)),IF(AND($L$37=0,$P$34=0),"",$L$37-1),IF($R$17="Distrato",$E515,0))),0,YEARFRAC(MAX($P$34*($B515+IF($R$17="Distrato",$I$38-1,0)),IF(AND($L$37=0,$P$34=0),"",$L$37-1),IF($R$17="Distrato",$E515,0)),MIN(AM$38,$D$19),$P$20))-SUM($P515:AL515)</f>
        <v>#VALUE!</v>
      </c>
      <c r="AN515" s="446" t="e">
        <f>IF(OR($B515="",MIN(AN$38,$D$19)&lt;MAX($P$34*($B515+IF($R$17="Distrato",$I$38-1,0)),IF(AND($L$37=0,$P$34=0),"",$L$37-1),IF($R$17="Distrato",$E515,0))),0,YEARFRAC(MAX($P$34*($B515+IF($R$17="Distrato",$I$38-1,0)),IF(AND($L$37=0,$P$34=0),"",$L$37-1),IF($R$17="Distrato",$E515,0)),MIN(AN$38,$D$19),$P$20))-SUM($P515:AM515)</f>
        <v>#VALUE!</v>
      </c>
      <c r="AO515" s="446" t="e">
        <f>IF(OR($B515="",MIN(AO$38,$D$19)&lt;MAX($P$34*($B515+IF($R$17="Distrato",$I$38-1,0)),IF(AND($L$37=0,$P$34=0),"",$L$37-1),IF($R$17="Distrato",$E515,0))),0,YEARFRAC(MAX($P$34*($B515+IF($R$17="Distrato",$I$38-1,0)),IF(AND($L$37=0,$P$34=0),"",$L$37-1),IF($R$17="Distrato",$E515,0)),MIN(AO$38,$D$19),$P$20))-SUM($P515:AN515)</f>
        <v>#VALUE!</v>
      </c>
      <c r="AP515" s="446" t="e">
        <f>IF(OR($B515="",MIN(AP$38,$D$19)&lt;MAX($P$34*($B515+IF($R$17="Distrato",$I$38-1,0)),IF(AND($L$37=0,$P$34=0),"",$L$37-1),IF($R$17="Distrato",$E515,0))),0,YEARFRAC(MAX($P$34*($B515+IF($R$17="Distrato",$I$38-1,0)),IF(AND($L$37=0,$P$34=0),"",$L$37-1),IF($R$17="Distrato",$E515,0)),MIN(AP$38,$D$19),$P$20))-SUM($P515:AO515)</f>
        <v>#VALUE!</v>
      </c>
      <c r="AQ515" s="446" t="e">
        <f>IF(OR($B515="",MIN(AQ$38,$D$19)&lt;MAX($P$34*($B515+IF($R$17="Distrato",$I$38-1,0)),IF(AND($L$37=0,$P$34=0),"",$L$37-1),IF($R$17="Distrato",$E515,0))),0,YEARFRAC(MAX($P$34*($B515+IF($R$17="Distrato",$I$38-1,0)),IF(AND($L$37=0,$P$34=0),"",$L$37-1),IF($R$17="Distrato",$E515,0)),MIN(AQ$38,$D$19),$P$20))-SUM($P515:AP515)</f>
        <v>#VALUE!</v>
      </c>
      <c r="AR515" s="446" t="e">
        <f>IF(OR($B515="",MIN(AR$38,$D$19)&lt;MAX($P$34*($B515+IF($R$17="Distrato",$I$38-1,0)),IF(AND($L$37=0,$P$34=0),"",$L$37-1),IF($R$17="Distrato",$E515,0))),0,YEARFRAC(MAX($P$34*($B515+IF($R$17="Distrato",$I$38-1,0)),IF(AND($L$37=0,$P$34=0),"",$L$37-1),IF($R$17="Distrato",$E515,0)),MIN(AR$38,$D$19),$P$20))-SUM($P515:AQ515)</f>
        <v>#VALUE!</v>
      </c>
      <c r="AS515" s="446" t="e">
        <f>IF(OR($B515="",MIN(AS$38,$D$19)&lt;MAX($P$34*($B515+IF($R$17="Distrato",$I$38-1,0)),IF(AND($L$37=0,$P$34=0),"",$L$37-1),IF($R$17="Distrato",$E515,0))),0,YEARFRAC(MAX($P$34*($B515+IF($R$17="Distrato",$I$38-1,0)),IF(AND($L$37=0,$P$34=0),"",$L$37-1),IF($R$17="Distrato",$E515,0)),MIN(AS$38,$D$19),$P$20))-SUM($P515:AR515)</f>
        <v>#VALUE!</v>
      </c>
      <c r="AT515" s="446" t="e">
        <f>IF(OR($B515="",MIN(AT$38,$D$19)&lt;MAX($P$34*($B515+IF($R$17="Distrato",$I$38-1,0)),IF(AND($L$37=0,$P$34=0),"",$L$37-1),IF($R$17="Distrato",$E515,0))),0,YEARFRAC(MAX($P$34*($B515+IF($R$17="Distrato",$I$38-1,0)),IF(AND($L$37=0,$P$34=0),"",$L$37-1),IF($R$17="Distrato",$E515,0)),MIN(AT$38,$D$19),$P$20))-SUM($P515:AS515)</f>
        <v>#VALUE!</v>
      </c>
      <c r="AU515" s="446" t="e">
        <f>IF(OR($B515="",MIN(AU$38,$D$19)&lt;MAX($P$34*($B515+IF($R$17="Distrato",$I$38-1,0)),IF(AND($L$37=0,$P$34=0),"",$L$37-1),IF($R$17="Distrato",$E515,0))),0,YEARFRAC(MAX($P$34*($B515+IF($R$17="Distrato",$I$38-1,0)),IF(AND($L$37=0,$P$34=0),"",$L$37-1),IF($R$17="Distrato",$E515,0)),MIN(AU$38,$D$19),$P$20))-SUM($P515:AT515)</f>
        <v>#VALUE!</v>
      </c>
      <c r="AV515" s="446" t="e">
        <f>IF(OR($B515="",MIN(AV$38,$D$19)&lt;MAX($P$34*($B515+IF($R$17="Distrato",$I$38-1,0)),IF(AND($L$37=0,$P$34=0),"",$L$37-1),IF($R$17="Distrato",$E515,0))),0,YEARFRAC(MAX($P$34*($B515+IF($R$17="Distrato",$I$38-1,0)),IF(AND($L$37=0,$P$34=0),"",$L$37-1),IF($R$17="Distrato",$E515,0)),MIN(AV$38,$D$19),$P$20))-SUM($P515:AU515)</f>
        <v>#VALUE!</v>
      </c>
      <c r="AW515" s="446" t="e">
        <f>IF(OR($B515="",MIN(AW$38,$D$19)&lt;MAX($P$34*($B515+IF($R$17="Distrato",$I$38-1,0)),IF(AND($L$37=0,$P$34=0),"",$L$37-1),IF($R$17="Distrato",$E515,0))),0,YEARFRAC(MAX($P$34*($B515+IF($R$17="Distrato",$I$38-1,0)),IF(AND($L$37=0,$P$34=0),"",$L$37-1),IF($R$17="Distrato",$E515,0)),MIN(AW$38,$D$19),$P$20))-SUM($P515:AV515)</f>
        <v>#VALUE!</v>
      </c>
      <c r="AX515" s="446" t="e">
        <f>IF(OR($B515="",MIN(AX$38,$D$19)&lt;MAX($P$34*($B515+IF($R$17="Distrato",$I$38-1,0)),IF(AND($L$37=0,$P$34=0),"",$L$37-1),IF($R$17="Distrato",$E515,0))),0,YEARFRAC(MAX($P$34*($B515+IF($R$17="Distrato",$I$38-1,0)),IF(AND($L$37=0,$P$34=0),"",$L$37-1),IF($R$17="Distrato",$E515,0)),MIN(AX$38,$D$19),$P$20))-SUM($P515:AW515)</f>
        <v>#VALUE!</v>
      </c>
      <c r="AY515" s="446" t="e">
        <f>IF(OR($B515="",MIN(AY$38,$D$19)&lt;MAX($P$34*($B515+IF($R$17="Distrato",$I$38-1,0)),IF(AND($L$37=0,$P$34=0),"",$L$37-1),IF($R$17="Distrato",$E515,0))),0,YEARFRAC(MAX($P$34*($B515+IF($R$17="Distrato",$I$38-1,0)),IF(AND($L$37=0,$P$34=0),"",$L$37-1),IF($R$17="Distrato",$E515,0)),MIN(AY$38,$D$19),$P$20))-SUM($P515:AX515)</f>
        <v>#VALUE!</v>
      </c>
      <c r="AZ515" s="446" t="e">
        <f>IF(OR($B515="",MIN(AZ$38,$D$19)&lt;MAX($P$34*($B515+IF($R$17="Distrato",$I$38-1,0)),IF(AND($L$37=0,$P$34=0),"",$L$37-1),IF($R$17="Distrato",$E515,0))),0,YEARFRAC(MAX($P$34*($B515+IF($R$17="Distrato",$I$38-1,0)),IF(AND($L$37=0,$P$34=0),"",$L$37-1),IF($R$17="Distrato",$E515,0)),MIN(AZ$38,$D$19),$P$20))-SUM($P515:AY515)</f>
        <v>#VALUE!</v>
      </c>
      <c r="BA515" s="446" t="e">
        <f>IF(OR($B515="",MIN(BA$38,$D$19)&lt;MAX($P$34*($B515+IF($R$17="Distrato",$I$38-1,0)),IF(AND($L$37=0,$P$34=0),"",$L$37-1),IF($R$17="Distrato",$E515,0))),0,YEARFRAC(MAX($P$34*($B515+IF($R$17="Distrato",$I$38-1,0)),IF(AND($L$37=0,$P$34=0),"",$L$37-1),IF($R$17="Distrato",$E515,0)),MIN(BA$38,$D$19),$P$20))-SUM($P515:AZ515)</f>
        <v>#VALUE!</v>
      </c>
      <c r="BB515" s="447"/>
      <c r="BF515" s="446">
        <f t="shared" si="87"/>
        <v>0</v>
      </c>
      <c r="BG515" s="446">
        <f>IF($E515=0,0,IF(MIN(BG$38,$E515)&lt;MAX($P$34*($B515+$I$38-1),IF(AND($L$37=0,$P$34=0),"",$L$37-1)),0,YEARFRAC(MAX($P$34*($B515+$I$38-1),IF(AND($L$37=0,$P$34=0),"",$L$37-1)),MIN(BG$38,$E515),$P$20))-SUM($BF515:BF515))</f>
        <v>0</v>
      </c>
      <c r="BH515" s="446">
        <f>IF($E515=0,0,IF(MIN(BH$38,$E515)&lt;MAX($P$34*($B515+$I$38-1),IF(AND($L$37=0,$P$34=0),"",$L$37-1)),0,YEARFRAC(MAX($P$34*($B515+$I$38-1),IF(AND($L$37=0,$P$34=0),"",$L$37-1)),MIN(BH$38,$E515),$P$20))-SUM($BF515:BG515))</f>
        <v>0</v>
      </c>
      <c r="BI515" s="446">
        <f>IF($E515=0,0,IF(MIN(BI$38,$E515)&lt;MAX($P$34*($B515+$I$38-1),IF(AND($L$37=0,$P$34=0),"",$L$37-1)),0,YEARFRAC(MAX($P$34*($B515+$I$38-1),IF(AND($L$37=0,$P$34=0),"",$L$37-1)),MIN(BI$38,$E515),$P$20))-SUM($BF515:BH515))</f>
        <v>0</v>
      </c>
      <c r="BJ515" s="446">
        <f>IF($E515=0,0,IF(MIN(BJ$38,$E515)&lt;MAX($P$34*($B515+$I$38-1),IF(AND($L$37=0,$P$34=0),"",$L$37-1)),0,YEARFRAC(MAX($P$34*($B515+$I$38-1),IF(AND($L$37=0,$P$34=0),"",$L$37-1)),MIN(BJ$38,$E515),$P$20))-SUM($BF515:BI515))</f>
        <v>0</v>
      </c>
      <c r="BK515" s="446">
        <f>IF($E515=0,0,IF(MIN(BK$38,$E515)&lt;MAX($P$34*($B515+$I$38-1),IF(AND($L$37=0,$P$34=0),"",$L$37-1)),0,YEARFRAC(MAX($P$34*($B515+$I$38-1),IF(AND($L$37=0,$P$34=0),"",$L$37-1)),MIN(BK$38,$E515),$P$20))-SUM($BF515:BJ515))</f>
        <v>0</v>
      </c>
      <c r="BL515" s="446">
        <f>IF($E515=0,0,IF(MIN(BL$38,$E515)&lt;MAX($P$34*($B515+$I$38-1),IF(AND($L$37=0,$P$34=0),"",$L$37-1)),0,YEARFRAC(MAX($P$34*($B515+$I$38-1),IF(AND($L$37=0,$P$34=0),"",$L$37-1)),MIN(BL$38,$E515),$P$20))-SUM($BF515:BK515))</f>
        <v>0</v>
      </c>
      <c r="BM515" s="446">
        <f>IF($E515=0,0,IF(MIN(BM$38,$E515)&lt;MAX($P$34*($B515+$I$38-1),IF(AND($L$37=0,$P$34=0),"",$L$37-1)),0,YEARFRAC(MAX($P$34*($B515+$I$38-1),IF(AND($L$37=0,$P$34=0),"",$L$37-1)),MIN(BM$38,$E515),$P$20))-SUM($BF515:BL515))</f>
        <v>0</v>
      </c>
      <c r="BN515" s="446">
        <f>IF($E515=0,0,IF(MIN(BN$38,$E515)&lt;MAX($P$34*($B515+$I$38-1),IF(AND($L$37=0,$P$34=0),"",$L$37-1)),0,YEARFRAC(MAX($P$34*($B515+$I$38-1),IF(AND($L$37=0,$P$34=0),"",$L$37-1)),MIN(BN$38,$E515),$P$20))-SUM($BF515:BM515))</f>
        <v>0</v>
      </c>
      <c r="BO515" s="446">
        <f>IF($E515=0,0,IF(MIN(BO$38,$E515)&lt;MAX($P$34*($B515+$I$38-1),IF(AND($L$37=0,$P$34=0),"",$L$37-1)),0,YEARFRAC(MAX($P$34*($B515+$I$38-1),IF(AND($L$37=0,$P$34=0),"",$L$37-1)),MIN(BO$38,$E515),$P$20))-SUM($BF515:BN515))</f>
        <v>0</v>
      </c>
      <c r="BP515" s="446">
        <f>IF($E515=0,0,IF(MIN(BP$38,$E515)&lt;MAX($P$34*($B515+$I$38-1),IF(AND($L$37=0,$P$34=0),"",$L$37-1)),0,YEARFRAC(MAX($P$34*($B515+$I$38-1),IF(AND($L$37=0,$P$34=0),"",$L$37-1)),MIN(BP$38,$E515),$P$20))-SUM($BF515:BO515))</f>
        <v>0</v>
      </c>
      <c r="BQ515" s="446">
        <f>IF($E515=0,0,IF(MIN(BQ$38,$E515)&lt;MAX($P$34*($B515+$I$38-1),IF(AND($L$37=0,$P$34=0),"",$L$37-1)),0,YEARFRAC(MAX($P$34*($B515+$I$38-1),IF(AND($L$37=0,$P$34=0),"",$L$37-1)),MIN(BQ$38,$E515),$P$20))-SUM($BF515:BP515))</f>
        <v>0</v>
      </c>
      <c r="BR515" s="446">
        <f>IF($E515=0,0,IF(MIN(BR$38,$E515)&lt;MAX($P$34*($B515+$I$38-1),IF(AND($L$37=0,$P$34=0),"",$L$37-1)),0,YEARFRAC(MAX($P$34*($B515+$I$38-1),IF(AND($L$37=0,$P$34=0),"",$L$37-1)),MIN(BR$38,$E515),$P$20))-SUM($BF515:BQ515))</f>
        <v>0</v>
      </c>
      <c r="BS515" s="446">
        <f>IF($E515=0,0,IF(MIN(BS$38,$E515)&lt;MAX($P$34*($B515+$I$38-1),IF(AND($L$37=0,$P$34=0),"",$L$37-1)),0,YEARFRAC(MAX($P$34*($B515+$I$38-1),IF(AND($L$37=0,$P$34=0),"",$L$37-1)),MIN(BS$38,$E515),$P$20))-SUM($BF515:BR515))</f>
        <v>0</v>
      </c>
      <c r="BT515" s="446">
        <f>IF($E515=0,0,IF(MIN(BT$38,$E515)&lt;MAX($P$34*($B515+$I$38-1),IF(AND($L$37=0,$P$34=0),"",$L$37-1)),0,YEARFRAC(MAX($P$34*($B515+$I$38-1),IF(AND($L$37=0,$P$34=0),"",$L$37-1)),MIN(BT$38,$E515),$P$20))-SUM($BF515:BS515))</f>
        <v>0</v>
      </c>
      <c r="BU515" s="446">
        <f>IF($E515=0,0,IF(MIN(BU$38,$E515)&lt;MAX($P$34*($B515+$I$38-1),IF(AND($L$37=0,$P$34=0),"",$L$37-1)),0,YEARFRAC(MAX($P$34*($B515+$I$38-1),IF(AND($L$37=0,$P$34=0),"",$L$37-1)),MIN(BU$38,$E515),$P$20))-SUM($BF515:BT515))</f>
        <v>0</v>
      </c>
      <c r="BV515" s="446">
        <f>IF($E515=0,0,IF(MIN(BV$38,$E515)&lt;MAX($P$34*($B515+$I$38-1),IF(AND($L$37=0,$P$34=0),"",$L$37-1)),0,YEARFRAC(MAX($P$34*($B515+$I$38-1),IF(AND($L$37=0,$P$34=0),"",$L$37-1)),MIN(BV$38,$E515),$P$20))-SUM($BF515:BU515))</f>
        <v>0</v>
      </c>
      <c r="BW515" s="446">
        <f>IF($E515=0,0,IF(MIN(BW$38,$E515)&lt;MAX($P$34*($B515+$I$38-1),IF(AND($L$37=0,$P$34=0),"",$L$37-1)),0,YEARFRAC(MAX($P$34*($B515+$I$38-1),IF(AND($L$37=0,$P$34=0),"",$L$37-1)),MIN(BW$38,$E515),$P$20))-SUM($BF515:BV515))</f>
        <v>0</v>
      </c>
      <c r="BX515" s="446">
        <f>IF($E515=0,0,IF(MIN(BX$38,$E515)&lt;MAX($P$34*($B515+$I$38-1),IF(AND($L$37=0,$P$34=0),"",$L$37-1)),0,YEARFRAC(MAX($P$34*($B515+$I$38-1),IF(AND($L$37=0,$P$34=0),"",$L$37-1)),MIN(BX$38,$E515),$P$20))-SUM($BF515:BW515))</f>
        <v>0</v>
      </c>
      <c r="BY515" s="446">
        <f>IF($E515=0,0,IF(MIN(BY$38,$E515)&lt;MAX($P$34*($B515+$I$38-1),IF(AND($L$37=0,$P$34=0),"",$L$37-1)),0,YEARFRAC(MAX($P$34*($B515+$I$38-1),IF(AND($L$37=0,$P$34=0),"",$L$37-1)),MIN(BY$38,$E515),$P$20))-SUM($BF515:BX515))</f>
        <v>0</v>
      </c>
      <c r="BZ515" s="446">
        <f>IF($E515=0,0,IF(MIN(BZ$38,$E515)&lt;MAX($P$34*($B515+$I$38-1),IF(AND($L$37=0,$P$34=0),"",$L$37-1)),0,YEARFRAC(MAX($P$34*($B515+$I$38-1),IF(AND($L$37=0,$P$34=0),"",$L$37-1)),MIN(BZ$38,$E515),$P$20))-SUM($BF515:BY515))</f>
        <v>0</v>
      </c>
      <c r="CA515" s="446">
        <f>IF($E515=0,0,IF(MIN(CA$38,$E515)&lt;MAX($P$34*($B515+$I$38-1),IF(AND($L$37=0,$P$34=0),"",$L$37-1)),0,YEARFRAC(MAX($P$34*($B515+$I$38-1),IF(AND($L$37=0,$P$34=0),"",$L$37-1)),MIN(CA$38,$E515),$P$20))-SUM($BF515:BZ515))</f>
        <v>0</v>
      </c>
      <c r="CB515" s="446">
        <f>IF($E515=0,0,IF(MIN(CB$38,$E515)&lt;MAX($P$34*($B515+$I$38-1),IF(AND($L$37=0,$P$34=0),"",$L$37-1)),0,YEARFRAC(MAX($P$34*($B515+$I$38-1),IF(AND($L$37=0,$P$34=0),"",$L$37-1)),MIN(CB$38,$E515),$P$20))-SUM($BF515:CA515))</f>
        <v>0</v>
      </c>
      <c r="CC515" s="446">
        <f>IF($E515=0,0,IF(MIN(CC$38,$E515)&lt;MAX($P$34*($B515+$I$38-1),IF(AND($L$37=0,$P$34=0),"",$L$37-1)),0,YEARFRAC(MAX($P$34*($B515+$I$38-1),IF(AND($L$37=0,$P$34=0),"",$L$37-1)),MIN(CC$38,$E515),$P$20))-SUM($BF515:CB515))</f>
        <v>0</v>
      </c>
      <c r="CD515" s="446">
        <f>IF($E515=0,0,IF(MIN(CD$38,$E515)&lt;MAX($P$34*($B515+$I$38-1),IF(AND($L$37=0,$P$34=0),"",$L$37-1)),0,YEARFRAC(MAX($P$34*($B515+$I$38-1),IF(AND($L$37=0,$P$34=0),"",$L$37-1)),MIN(CD$38,$E515),$P$20))-SUM($BF515:CC515))</f>
        <v>0</v>
      </c>
      <c r="CE515" s="446">
        <f>IF($E515=0,0,IF(MIN(CE$38,$E515)&lt;MAX($P$34*($B515+$I$38-1),IF(AND($L$37=0,$P$34=0),"",$L$37-1)),0,YEARFRAC(MAX($P$34*($B515+$I$38-1),IF(AND($L$37=0,$P$34=0),"",$L$37-1)),MIN(CE$38,$E515),$P$20))-SUM($BF515:CD515))</f>
        <v>0</v>
      </c>
      <c r="CF515" s="446">
        <f>IF($E515=0,0,IF(MIN(CF$38,$E515)&lt;MAX($P$34*($B515+$I$38-1),IF(AND($L$37=0,$P$34=0),"",$L$37-1)),0,YEARFRAC(MAX($P$34*($B515+$I$38-1),IF(AND($L$37=0,$P$34=0),"",$L$37-1)),MIN(CF$38,$E515),$P$20))-SUM($BF515:CE515))</f>
        <v>0</v>
      </c>
      <c r="CG515" s="446">
        <f>IF($E515=0,0,IF(MIN(CG$38,$E515)&lt;MAX($P$34*($B515+$I$38-1),IF(AND($L$37=0,$P$34=0),"",$L$37-1)),0,YEARFRAC(MAX($P$34*($B515+$I$38-1),IF(AND($L$37=0,$P$34=0),"",$L$37-1)),MIN(CG$38,$E515),$P$20))-SUM($BF515:CF515))</f>
        <v>0</v>
      </c>
      <c r="CH515" s="446">
        <f>IF($E515=0,0,IF(MIN(CH$38,$E515)&lt;MAX($P$34*($B515+$I$38-1),IF(AND($L$37=0,$P$34=0),"",$L$37-1)),0,YEARFRAC(MAX($P$34*($B515+$I$38-1),IF(AND($L$37=0,$P$34=0),"",$L$37-1)),MIN(CH$38,$E515),$P$20))-SUM($BF515:CG515))</f>
        <v>0</v>
      </c>
      <c r="CI515" s="446">
        <f>IF($E515=0,0,IF(MIN(CI$38,$E515)&lt;MAX($P$34*($B515+$I$38-1),IF(AND($L$37=0,$P$34=0),"",$L$37-1)),0,YEARFRAC(MAX($P$34*($B515+$I$38-1),IF(AND($L$37=0,$P$34=0),"",$L$37-1)),MIN(CI$38,$E515),$P$20))-SUM($BF515:CH515))</f>
        <v>0</v>
      </c>
      <c r="CJ515" s="446">
        <f>IF($E515=0,0,IF(MIN(CJ$38,$E515)&lt;MAX($P$34*($B515+$I$38-1),IF(AND($L$37=0,$P$34=0),"",$L$37-1)),0,YEARFRAC(MAX($P$34*($B515+$I$38-1),IF(AND($L$37=0,$P$34=0),"",$L$37-1)),MIN(CJ$38,$E515),$P$20))-SUM($BF515:CI515))</f>
        <v>0</v>
      </c>
      <c r="CK515" s="446">
        <f>IF($E515=0,0,IF(MIN(CK$38,$E515)&lt;MAX($P$34*($B515+$I$38-1),IF(AND($L$37=0,$P$34=0),"",$L$37-1)),0,YEARFRAC(MAX($P$34*($B515+$I$38-1),IF(AND($L$37=0,$P$34=0),"",$L$37-1)),MIN(CK$38,$E515),$P$20))-SUM($BF515:CJ515))</f>
        <v>0</v>
      </c>
      <c r="CL515" s="446">
        <f>IF($E515=0,0,IF(MIN(CL$38,$E515)&lt;MAX($P$34*($B515+$I$38-1),IF(AND($L$37=0,$P$34=0),"",$L$37-1)),0,YEARFRAC(MAX($P$34*($B515+$I$38-1),IF(AND($L$37=0,$P$34=0),"",$L$37-1)),MIN(CL$38,$E515),$P$20))-SUM($BF515:CK515))</f>
        <v>0</v>
      </c>
      <c r="CM515" s="446">
        <f>IF($E515=0,0,IF(MIN(CM$38,$E515)&lt;MAX($P$34*($B515+$I$38-1),IF(AND($L$37=0,$P$34=0),"",$L$37-1)),0,YEARFRAC(MAX($P$34*($B515+$I$38-1),IF(AND($L$37=0,$P$34=0),"",$L$37-1)),MIN(CM$38,$E515),$P$20))-SUM($BF515:CL515))</f>
        <v>0</v>
      </c>
      <c r="CN515" s="446">
        <f>IF($E515=0,0,IF(MIN(CN$38,$E515)&lt;MAX($P$34*($B515+$I$38-1),IF(AND($L$37=0,$P$34=0),"",$L$37-1)),0,YEARFRAC(MAX($P$34*($B515+$I$38-1),IF(AND($L$37=0,$P$34=0),"",$L$37-1)),MIN(CN$38,$E515),$P$20))-SUM($BF515:CM515))</f>
        <v>0</v>
      </c>
      <c r="CO515" s="446">
        <f>IF($E515=0,0,IF(MIN(CO$38,$E515)&lt;MAX($P$34*($B515+$I$38-1),IF(AND($L$37=0,$P$34=0),"",$L$37-1)),0,YEARFRAC(MAX($P$34*($B515+$I$38-1),IF(AND($L$37=0,$P$34=0),"",$L$37-1)),MIN(CO$38,$E515),$P$20))-SUM($BF515:CN515))</f>
        <v>0</v>
      </c>
      <c r="CP515" s="446">
        <f>IF($E515=0,0,IF(MIN(CP$38,$E515)&lt;MAX($P$34*($B515+$I$38-1),IF(AND($L$37=0,$P$34=0),"",$L$37-1)),0,YEARFRAC(MAX($P$34*($B515+$I$38-1),IF(AND($L$37=0,$P$34=0),"",$L$37-1)),MIN(CP$38,$E515),$P$20))-SUM($BF515:CO515))</f>
        <v>0</v>
      </c>
      <c r="CQ515" s="446">
        <f>IF($E515=0,0,IF(MIN(CQ$38,$E515)&lt;MAX($P$34*($B515+$I$38-1),IF(AND($L$37=0,$P$34=0),"",$L$37-1)),0,YEARFRAC(MAX($P$34*($B515+$I$38-1),IF(AND($L$37=0,$P$34=0),"",$L$37-1)),MIN(CQ$38,$E515),$P$20))-SUM($BF515:CP515))</f>
        <v>0</v>
      </c>
    </row>
    <row r="516" spans="1:95" s="446" customFormat="1" ht="11.25" hidden="1" customHeight="1" x14ac:dyDescent="0.2">
      <c r="A516" s="152"/>
      <c r="B516" s="153" t="str">
        <f t="shared" si="92"/>
        <v/>
      </c>
      <c r="C516" s="29" t="str">
        <f>IF(B516="","",IF($L$35="SELIC - TRIBUTOS",VLOOKUP(DATE(YEAR($D$19),MONTH($D$19)-1,1),ÍNDICES!$A:$DE,HLOOKUP($BL$25,ÍNDICES!$B$3:$T$4,2)+11)-VLOOKUP(B516,ÍNDICES!$A:$DE,HLOOKUP($BL$25,ÍNDICES!$B$3:$T$4,2)+11)+1%,IF(C$38=$W$26,$J$35,IF(ISERROR(IF(B516&gt;$D$19,1,VLOOKUP(DATE(YEAR(B516),MONTH(B516)+IF($C$35=$S$23,1,0),1),ÍNDICES!$A:$DE,$Z$35+1))),"",IF(B516&gt;$D$19,1,VLOOKUP(DATE(YEAR(B516),MONTH(B516)+IF($C$35=$S$23,1,0),1),ÍNDICES!$A:$DE,$Z$35+1))))))</f>
        <v/>
      </c>
      <c r="D516" s="154" t="str">
        <f>IF(ISERROR(IF(OR($D$38=$Y$27,$B516=""),"",VLOOKUP(B516,ÍNDICES!A:DE,AF$35+1))),"",IF(OR($D$38=$Y$27,$B516=""),"",VLOOKUP(B516,ÍNDICES!A:DE,AF$35+1)))</f>
        <v/>
      </c>
      <c r="E516" s="153"/>
      <c r="F516" s="29" t="str">
        <f>IF(E516="","",IF($L$35="SELIC - TRIBUTOS",VLOOKUP(DATE(YEAR($D$19),MONTH($D$19)-1,1),ÍNDICES!$A:$DE,HLOOKUP($BL$25,ÍNDICES!$B$3:$T$4,2)+11)-VLOOKUP(E516,ÍNDICES!$A:$DE,HLOOKUP($BL$25,ÍNDICES!$B$3:$T$4,2)+11)+1%,IF(F$38=$W$26,$J$35,IF(ISERROR(IF(E516&gt;$D$19,1,VLOOKUP(DATE(YEAR(E516),MONTH(E516)+IF($C$35=$S$23,1,0),1),ÍNDICES!$A:$DE,$Z$35+1))),"",IF(E516&gt;$D$19,1,VLOOKUP(DATE(YEAR(E516),MONTH(E516)+IF($C$35=$S$23,1,0),1),ÍNDICES!$A:$DE,$Z$35+1))))))</f>
        <v/>
      </c>
      <c r="G516" s="155"/>
      <c r="H516" s="156" t="str">
        <f t="shared" si="88"/>
        <v/>
      </c>
      <c r="I516" s="29" t="str">
        <f t="shared" si="82"/>
        <v/>
      </c>
      <c r="J516" s="5">
        <f t="shared" si="83"/>
        <v>0</v>
      </c>
      <c r="K516" s="20">
        <f t="shared" ca="1" si="84"/>
        <v>0</v>
      </c>
      <c r="L516" s="5">
        <f t="shared" ca="1" si="85"/>
        <v>0</v>
      </c>
      <c r="M516" s="64">
        <f t="shared" si="89"/>
        <v>0</v>
      </c>
      <c r="N516" s="61">
        <f t="shared" ca="1" si="90"/>
        <v>0</v>
      </c>
      <c r="O516" s="5">
        <f t="shared" ca="1" si="91"/>
        <v>0</v>
      </c>
      <c r="P516" s="446" t="e">
        <f t="shared" si="86"/>
        <v>#VALUE!</v>
      </c>
      <c r="Q516" s="446" t="e">
        <f>IF(OR($B516="",MIN(Q$38,$D$19)&lt;MAX($P$34*($B516+IF($R$17="Distrato",$I$38-1,0)),IF(AND($L$37=0,$P$34=0),"",$L$37-1),IF($R$17="Distrato",$E516,0))),0,YEARFRAC(MAX($P$34*($B516+IF($R$17="Distrato",$I$38-1,0)),IF(AND($L$37=0,$P$34=0),"",$L$37-1),IF($R$17="Distrato",$E516,0)),MIN(Q$38,$D$19),$P$20))-SUM($P516:P516)</f>
        <v>#VALUE!</v>
      </c>
      <c r="R516" s="446" t="e">
        <f>IF(OR($B516="",MIN(R$38,$D$19)&lt;MAX($P$34*($B516+IF($R$17="Distrato",$I$38-1,0)),IF(AND($L$37=0,$P$34=0),"",$L$37-1),IF($R$17="Distrato",$E516,0))),0,YEARFRAC(MAX($P$34*($B516+IF($R$17="Distrato",$I$38-1,0)),IF(AND($L$37=0,$P$34=0),"",$L$37-1),IF($R$17="Distrato",$E516,0)),MIN(R$38,$D$19),$P$20))-SUM($P516:Q516)</f>
        <v>#VALUE!</v>
      </c>
      <c r="S516" s="446" t="e">
        <f>IF(OR($B516="",MIN(S$38,$D$19)&lt;MAX($P$34*($B516+IF($R$17="Distrato",$I$38-1,0)),IF(AND($L$37=0,$P$34=0),"",$L$37-1),IF($R$17="Distrato",$E516,0))),0,YEARFRAC(MAX($P$34*($B516+IF($R$17="Distrato",$I$38-1,0)),IF(AND($L$37=0,$P$34=0),"",$L$37-1),IF($R$17="Distrato",$E516,0)),MIN(S$38,$D$19),$P$20))-SUM($P516:R516)</f>
        <v>#VALUE!</v>
      </c>
      <c r="T516" s="446" t="e">
        <f>IF(OR($B516="",MIN(T$38,$D$19)&lt;MAX($P$34*($B516+IF($R$17="Distrato",$I$38-1,0)),IF(AND($L$37=0,$P$34=0),"",$L$37-1),IF($R$17="Distrato",$E516,0))),0,YEARFRAC(MAX($P$34*($B516+IF($R$17="Distrato",$I$38-1,0)),IF(AND($L$37=0,$P$34=0),"",$L$37-1),IF($R$17="Distrato",$E516,0)),MIN(T$38,$D$19),$P$20))-SUM($P516:S516)</f>
        <v>#VALUE!</v>
      </c>
      <c r="U516" s="446" t="e">
        <f>IF(OR($B516="",MIN(U$38,$D$19)&lt;MAX($P$34*($B516+IF($R$17="Distrato",$I$38-1,0)),IF(AND($L$37=0,$P$34=0),"",$L$37-1),IF($R$17="Distrato",$E516,0))),0,YEARFRAC(MAX($P$34*($B516+IF($R$17="Distrato",$I$38-1,0)),IF(AND($L$37=0,$P$34=0),"",$L$37-1),IF($R$17="Distrato",$E516,0)),MIN(U$38,$D$19),$P$20))-SUM($P516:T516)</f>
        <v>#VALUE!</v>
      </c>
      <c r="V516" s="446" t="e">
        <f>IF(OR($B516="",MIN(V$38,$D$19)&lt;MAX($P$34*($B516+IF($R$17="Distrato",$I$38-1,0)),IF(AND($L$37=0,$P$34=0),"",$L$37-1),IF($R$17="Distrato",$E516,0))),0,YEARFRAC(MAX($P$34*($B516+IF($R$17="Distrato",$I$38-1,0)),IF(AND($L$37=0,$P$34=0),"",$L$37-1),IF($R$17="Distrato",$E516,0)),MIN(V$38,$D$19),$P$20))-SUM($P516:U516)</f>
        <v>#VALUE!</v>
      </c>
      <c r="W516" s="446" t="e">
        <f>IF(OR($B516="",MIN(W$38,$D$19)&lt;MAX($P$34*($B516+IF($R$17="Distrato",$I$38-1,0)),IF(AND($L$37=0,$P$34=0),"",$L$37-1),IF($R$17="Distrato",$E516,0))),0,YEARFRAC(MAX($P$34*($B516+IF($R$17="Distrato",$I$38-1,0)),IF(AND($L$37=0,$P$34=0),"",$L$37-1),IF($R$17="Distrato",$E516,0)),MIN(W$38,$D$19),$P$20))-SUM($P516:V516)</f>
        <v>#VALUE!</v>
      </c>
      <c r="X516" s="446" t="e">
        <f>IF(OR($B516="",MIN(X$38,$D$19)&lt;MAX($P$34*($B516+IF($R$17="Distrato",$I$38-1,0)),IF(AND($L$37=0,$P$34=0),"",$L$37-1),IF($R$17="Distrato",$E516,0))),0,YEARFRAC(MAX($P$34*($B516+IF($R$17="Distrato",$I$38-1,0)),IF(AND($L$37=0,$P$34=0),"",$L$37-1),IF($R$17="Distrato",$E516,0)),MIN(X$38,$D$19),$P$20))-SUM($P516:W516)</f>
        <v>#VALUE!</v>
      </c>
      <c r="Y516" s="446" t="e">
        <f>IF(OR($B516="",MIN(Y$38,$D$19)&lt;MAX($P$34*($B516+IF($R$17="Distrato",$I$38-1,0)),IF(AND($L$37=0,$P$34=0),"",$L$37-1),IF($R$17="Distrato",$E516,0))),0,YEARFRAC(MAX($P$34*($B516+IF($R$17="Distrato",$I$38-1,0)),IF(AND($L$37=0,$P$34=0),"",$L$37-1),IF($R$17="Distrato",$E516,0)),MIN(Y$38,$D$19),$P$20))-SUM($P516:X516)</f>
        <v>#VALUE!</v>
      </c>
      <c r="Z516" s="446" t="e">
        <f>IF(OR($B516="",MIN(Z$38,$D$19)&lt;MAX($P$34*($B516+IF($R$17="Distrato",$I$38-1,0)),IF(AND($L$37=0,$P$34=0),"",$L$37-1),IF($R$17="Distrato",$E516,0))),0,YEARFRAC(MAX($P$34*($B516+IF($R$17="Distrato",$I$38-1,0)),IF(AND($L$37=0,$P$34=0),"",$L$37-1),IF($R$17="Distrato",$E516,0)),MIN(Z$38,$D$19),$P$20))-SUM($P516:Y516)</f>
        <v>#VALUE!</v>
      </c>
      <c r="AA516" s="446" t="e">
        <f>IF(OR($B516="",MIN(AA$38,$D$19)&lt;MAX($P$34*($B516+IF($R$17="Distrato",$I$38-1,0)),IF(AND($L$37=0,$P$34=0),"",$L$37-1),IF($R$17="Distrato",$E516,0))),0,YEARFRAC(MAX($P$34*($B516+IF($R$17="Distrato",$I$38-1,0)),IF(AND($L$37=0,$P$34=0),"",$L$37-1),IF($R$17="Distrato",$E516,0)),MIN(AA$38,$D$19),$P$20))-SUM($P516:Z516)</f>
        <v>#VALUE!</v>
      </c>
      <c r="AB516" s="446" t="e">
        <f>IF(OR($B516="",MIN(AB$38,$D$19)&lt;MAX($P$34*($B516+IF($R$17="Distrato",$I$38-1,0)),IF(AND($L$37=0,$P$34=0),"",$L$37-1),IF($R$17="Distrato",$E516,0))),0,YEARFRAC(MAX($P$34*($B516+IF($R$17="Distrato",$I$38-1,0)),IF(AND($L$37=0,$P$34=0),"",$L$37-1),IF($R$17="Distrato",$E516,0)),MIN(AB$38,$D$19),$P$20))-SUM($P516:AA516)</f>
        <v>#VALUE!</v>
      </c>
      <c r="AC516" s="446" t="e">
        <f>IF(OR($B516="",MIN(AC$38,$D$19)&lt;MAX($P$34*($B516+IF($R$17="Distrato",$I$38-1,0)),IF(AND($L$37=0,$P$34=0),"",$L$37-1),IF($R$17="Distrato",$E516,0))),0,YEARFRAC(MAX($P$34*($B516+IF($R$17="Distrato",$I$38-1,0)),IF(AND($L$37=0,$P$34=0),"",$L$37-1),IF($R$17="Distrato",$E516,0)),MIN(AC$38,$D$19),$P$20))-SUM($P516:AB516)</f>
        <v>#VALUE!</v>
      </c>
      <c r="AD516" s="446" t="e">
        <f>IF(OR($B516="",MIN(AD$38,$D$19)&lt;MAX($P$34*($B516+IF($R$17="Distrato",$I$38-1,0)),IF(AND($L$37=0,$P$34=0),"",$L$37-1),IF($R$17="Distrato",$E516,0))),0,YEARFRAC(MAX($P$34*($B516+IF($R$17="Distrato",$I$38-1,0)),IF(AND($L$37=0,$P$34=0),"",$L$37-1),IF($R$17="Distrato",$E516,0)),MIN(AD$38,$D$19),$P$20))-SUM($P516:AC516)</f>
        <v>#VALUE!</v>
      </c>
      <c r="AE516" s="446" t="e">
        <f>IF(OR($B516="",MIN(AE$38,$D$19)&lt;MAX($P$34*($B516+IF($R$17="Distrato",$I$38-1,0)),IF(AND($L$37=0,$P$34=0),"",$L$37-1),IF($R$17="Distrato",$E516,0))),0,YEARFRAC(MAX($P$34*($B516+IF($R$17="Distrato",$I$38-1,0)),IF(AND($L$37=0,$P$34=0),"",$L$37-1),IF($R$17="Distrato",$E516,0)),MIN(AE$38,$D$19),$P$20))-SUM($P516:AD516)</f>
        <v>#VALUE!</v>
      </c>
      <c r="AF516" s="446" t="e">
        <f>IF(OR($B516="",MIN(AF$38,$D$19)&lt;MAX($P$34*($B516+IF($R$17="Distrato",$I$38-1,0)),IF(AND($L$37=0,$P$34=0),"",$L$37-1),IF($R$17="Distrato",$E516,0))),0,YEARFRAC(MAX($P$34*($B516+IF($R$17="Distrato",$I$38-1,0)),IF(AND($L$37=0,$P$34=0),"",$L$37-1),IF($R$17="Distrato",$E516,0)),MIN(AF$38,$D$19),$P$20))-SUM($P516:AE516)</f>
        <v>#VALUE!</v>
      </c>
      <c r="AG516" s="446" t="e">
        <f>IF(OR($B516="",MIN(AG$38,$D$19)&lt;MAX($P$34*($B516+IF($R$17="Distrato",$I$38-1,0)),IF(AND($L$37=0,$P$34=0),"",$L$37-1),IF($R$17="Distrato",$E516,0))),0,YEARFRAC(MAX($P$34*($B516+IF($R$17="Distrato",$I$38-1,0)),IF(AND($L$37=0,$P$34=0),"",$L$37-1),IF($R$17="Distrato",$E516,0)),MIN(AG$38,$D$19),$P$20))-SUM($P516:AF516)</f>
        <v>#VALUE!</v>
      </c>
      <c r="AH516" s="446" t="e">
        <f>IF(OR($B516="",MIN(AH$38,$D$19)&lt;MAX($P$34*($B516+IF($R$17="Distrato",$I$38-1,0)),IF(AND($L$37=0,$P$34=0),"",$L$37-1),IF($R$17="Distrato",$E516,0))),0,YEARFRAC(MAX($P$34*($B516+IF($R$17="Distrato",$I$38-1,0)),IF(AND($L$37=0,$P$34=0),"",$L$37-1),IF($R$17="Distrato",$E516,0)),MIN(AH$38,$D$19),$P$20))-SUM($P516:AG516)</f>
        <v>#VALUE!</v>
      </c>
      <c r="AI516" s="446" t="e">
        <f>IF(OR($B516="",MIN(AI$38,$D$19)&lt;MAX($P$34*($B516+IF($R$17="Distrato",$I$38-1,0)),IF(AND($L$37=0,$P$34=0),"",$L$37-1),IF($R$17="Distrato",$E516,0))),0,YEARFRAC(MAX($P$34*($B516+IF($R$17="Distrato",$I$38-1,0)),IF(AND($L$37=0,$P$34=0),"",$L$37-1),IF($R$17="Distrato",$E516,0)),MIN(AI$38,$D$19),$P$20))-SUM($P516:AH516)</f>
        <v>#VALUE!</v>
      </c>
      <c r="AJ516" s="446" t="e">
        <f>IF(OR($B516="",MIN(AJ$38,$D$19)&lt;MAX($P$34*($B516+IF($R$17="Distrato",$I$38-1,0)),IF(AND($L$37=0,$P$34=0),"",$L$37-1),IF($R$17="Distrato",$E516,0))),0,YEARFRAC(MAX($P$34*($B516+IF($R$17="Distrato",$I$38-1,0)),IF(AND($L$37=0,$P$34=0),"",$L$37-1),IF($R$17="Distrato",$E516,0)),MIN(AJ$38,$D$19),$P$20))-SUM($P516:AI516)</f>
        <v>#VALUE!</v>
      </c>
      <c r="AK516" s="446" t="e">
        <f>IF(OR($B516="",MIN(AK$38,$D$19)&lt;MAX($P$34*($B516+IF($R$17="Distrato",$I$38-1,0)),IF(AND($L$37=0,$P$34=0),"",$L$37-1),IF($R$17="Distrato",$E516,0))),0,YEARFRAC(MAX($P$34*($B516+IF($R$17="Distrato",$I$38-1,0)),IF(AND($L$37=0,$P$34=0),"",$L$37-1),IF($R$17="Distrato",$E516,0)),MIN(AK$38,$D$19),$P$20))-SUM($P516:AJ516)</f>
        <v>#VALUE!</v>
      </c>
      <c r="AL516" s="446" t="e">
        <f>IF(OR($B516="",MIN(AL$38,$D$19)&lt;MAX($P$34*($B516+IF($R$17="Distrato",$I$38-1,0)),IF(AND($L$37=0,$P$34=0),"",$L$37-1),IF($R$17="Distrato",$E516,0))),0,YEARFRAC(MAX($P$34*($B516+IF($R$17="Distrato",$I$38-1,0)),IF(AND($L$37=0,$P$34=0),"",$L$37-1),IF($R$17="Distrato",$E516,0)),MIN(AL$38,$D$19),$P$20))-SUM($P516:AK516)</f>
        <v>#VALUE!</v>
      </c>
      <c r="AM516" s="446" t="e">
        <f>IF(OR($B516="",MIN(AM$38,$D$19)&lt;MAX($P$34*($B516+IF($R$17="Distrato",$I$38-1,0)),IF(AND($L$37=0,$P$34=0),"",$L$37-1),IF($R$17="Distrato",$E516,0))),0,YEARFRAC(MAX($P$34*($B516+IF($R$17="Distrato",$I$38-1,0)),IF(AND($L$37=0,$P$34=0),"",$L$37-1),IF($R$17="Distrato",$E516,0)),MIN(AM$38,$D$19),$P$20))-SUM($P516:AL516)</f>
        <v>#VALUE!</v>
      </c>
      <c r="AN516" s="446" t="e">
        <f>IF(OR($B516="",MIN(AN$38,$D$19)&lt;MAX($P$34*($B516+IF($R$17="Distrato",$I$38-1,0)),IF(AND($L$37=0,$P$34=0),"",$L$37-1),IF($R$17="Distrato",$E516,0))),0,YEARFRAC(MAX($P$34*($B516+IF($R$17="Distrato",$I$38-1,0)),IF(AND($L$37=0,$P$34=0),"",$L$37-1),IF($R$17="Distrato",$E516,0)),MIN(AN$38,$D$19),$P$20))-SUM($P516:AM516)</f>
        <v>#VALUE!</v>
      </c>
      <c r="AO516" s="446" t="e">
        <f>IF(OR($B516="",MIN(AO$38,$D$19)&lt;MAX($P$34*($B516+IF($R$17="Distrato",$I$38-1,0)),IF(AND($L$37=0,$P$34=0),"",$L$37-1),IF($R$17="Distrato",$E516,0))),0,YEARFRAC(MAX($P$34*($B516+IF($R$17="Distrato",$I$38-1,0)),IF(AND($L$37=0,$P$34=0),"",$L$37-1),IF($R$17="Distrato",$E516,0)),MIN(AO$38,$D$19),$P$20))-SUM($P516:AN516)</f>
        <v>#VALUE!</v>
      </c>
      <c r="AP516" s="446" t="e">
        <f>IF(OR($B516="",MIN(AP$38,$D$19)&lt;MAX($P$34*($B516+IF($R$17="Distrato",$I$38-1,0)),IF(AND($L$37=0,$P$34=0),"",$L$37-1),IF($R$17="Distrato",$E516,0))),0,YEARFRAC(MAX($P$34*($B516+IF($R$17="Distrato",$I$38-1,0)),IF(AND($L$37=0,$P$34=0),"",$L$37-1),IF($R$17="Distrato",$E516,0)),MIN(AP$38,$D$19),$P$20))-SUM($P516:AO516)</f>
        <v>#VALUE!</v>
      </c>
      <c r="AQ516" s="446" t="e">
        <f>IF(OR($B516="",MIN(AQ$38,$D$19)&lt;MAX($P$34*($B516+IF($R$17="Distrato",$I$38-1,0)),IF(AND($L$37=0,$P$34=0),"",$L$37-1),IF($R$17="Distrato",$E516,0))),0,YEARFRAC(MAX($P$34*($B516+IF($R$17="Distrato",$I$38-1,0)),IF(AND($L$37=0,$P$34=0),"",$L$37-1),IF($R$17="Distrato",$E516,0)),MIN(AQ$38,$D$19),$P$20))-SUM($P516:AP516)</f>
        <v>#VALUE!</v>
      </c>
      <c r="AR516" s="446" t="e">
        <f>IF(OR($B516="",MIN(AR$38,$D$19)&lt;MAX($P$34*($B516+IF($R$17="Distrato",$I$38-1,0)),IF(AND($L$37=0,$P$34=0),"",$L$37-1),IF($R$17="Distrato",$E516,0))),0,YEARFRAC(MAX($P$34*($B516+IF($R$17="Distrato",$I$38-1,0)),IF(AND($L$37=0,$P$34=0),"",$L$37-1),IF($R$17="Distrato",$E516,0)),MIN(AR$38,$D$19),$P$20))-SUM($P516:AQ516)</f>
        <v>#VALUE!</v>
      </c>
      <c r="AS516" s="446" t="e">
        <f>IF(OR($B516="",MIN(AS$38,$D$19)&lt;MAX($P$34*($B516+IF($R$17="Distrato",$I$38-1,0)),IF(AND($L$37=0,$P$34=0),"",$L$37-1),IF($R$17="Distrato",$E516,0))),0,YEARFRAC(MAX($P$34*($B516+IF($R$17="Distrato",$I$38-1,0)),IF(AND($L$37=0,$P$34=0),"",$L$37-1),IF($R$17="Distrato",$E516,0)),MIN(AS$38,$D$19),$P$20))-SUM($P516:AR516)</f>
        <v>#VALUE!</v>
      </c>
      <c r="AT516" s="446" t="e">
        <f>IF(OR($B516="",MIN(AT$38,$D$19)&lt;MAX($P$34*($B516+IF($R$17="Distrato",$I$38-1,0)),IF(AND($L$37=0,$P$34=0),"",$L$37-1),IF($R$17="Distrato",$E516,0))),0,YEARFRAC(MAX($P$34*($B516+IF($R$17="Distrato",$I$38-1,0)),IF(AND($L$37=0,$P$34=0),"",$L$37-1),IF($R$17="Distrato",$E516,0)),MIN(AT$38,$D$19),$P$20))-SUM($P516:AS516)</f>
        <v>#VALUE!</v>
      </c>
      <c r="AU516" s="446" t="e">
        <f>IF(OR($B516="",MIN(AU$38,$D$19)&lt;MAX($P$34*($B516+IF($R$17="Distrato",$I$38-1,0)),IF(AND($L$37=0,$P$34=0),"",$L$37-1),IF($R$17="Distrato",$E516,0))),0,YEARFRAC(MAX($P$34*($B516+IF($R$17="Distrato",$I$38-1,0)),IF(AND($L$37=0,$P$34=0),"",$L$37-1),IF($R$17="Distrato",$E516,0)),MIN(AU$38,$D$19),$P$20))-SUM($P516:AT516)</f>
        <v>#VALUE!</v>
      </c>
      <c r="AV516" s="446" t="e">
        <f>IF(OR($B516="",MIN(AV$38,$D$19)&lt;MAX($P$34*($B516+IF($R$17="Distrato",$I$38-1,0)),IF(AND($L$37=0,$P$34=0),"",$L$37-1),IF($R$17="Distrato",$E516,0))),0,YEARFRAC(MAX($P$34*($B516+IF($R$17="Distrato",$I$38-1,0)),IF(AND($L$37=0,$P$34=0),"",$L$37-1),IF($R$17="Distrato",$E516,0)),MIN(AV$38,$D$19),$P$20))-SUM($P516:AU516)</f>
        <v>#VALUE!</v>
      </c>
      <c r="AW516" s="446" t="e">
        <f>IF(OR($B516="",MIN(AW$38,$D$19)&lt;MAX($P$34*($B516+IF($R$17="Distrato",$I$38-1,0)),IF(AND($L$37=0,$P$34=0),"",$L$37-1),IF($R$17="Distrato",$E516,0))),0,YEARFRAC(MAX($P$34*($B516+IF($R$17="Distrato",$I$38-1,0)),IF(AND($L$37=0,$P$34=0),"",$L$37-1),IF($R$17="Distrato",$E516,0)),MIN(AW$38,$D$19),$P$20))-SUM($P516:AV516)</f>
        <v>#VALUE!</v>
      </c>
      <c r="AX516" s="446" t="e">
        <f>IF(OR($B516="",MIN(AX$38,$D$19)&lt;MAX($P$34*($B516+IF($R$17="Distrato",$I$38-1,0)),IF(AND($L$37=0,$P$34=0),"",$L$37-1),IF($R$17="Distrato",$E516,0))),0,YEARFRAC(MAX($P$34*($B516+IF($R$17="Distrato",$I$38-1,0)),IF(AND($L$37=0,$P$34=0),"",$L$37-1),IF($R$17="Distrato",$E516,0)),MIN(AX$38,$D$19),$P$20))-SUM($P516:AW516)</f>
        <v>#VALUE!</v>
      </c>
      <c r="AY516" s="446" t="e">
        <f>IF(OR($B516="",MIN(AY$38,$D$19)&lt;MAX($P$34*($B516+IF($R$17="Distrato",$I$38-1,0)),IF(AND($L$37=0,$P$34=0),"",$L$37-1),IF($R$17="Distrato",$E516,0))),0,YEARFRAC(MAX($P$34*($B516+IF($R$17="Distrato",$I$38-1,0)),IF(AND($L$37=0,$P$34=0),"",$L$37-1),IF($R$17="Distrato",$E516,0)),MIN(AY$38,$D$19),$P$20))-SUM($P516:AX516)</f>
        <v>#VALUE!</v>
      </c>
      <c r="AZ516" s="446" t="e">
        <f>IF(OR($B516="",MIN(AZ$38,$D$19)&lt;MAX($P$34*($B516+IF($R$17="Distrato",$I$38-1,0)),IF(AND($L$37=0,$P$34=0),"",$L$37-1),IF($R$17="Distrato",$E516,0))),0,YEARFRAC(MAX($P$34*($B516+IF($R$17="Distrato",$I$38-1,0)),IF(AND($L$37=0,$P$34=0),"",$L$37-1),IF($R$17="Distrato",$E516,0)),MIN(AZ$38,$D$19),$P$20))-SUM($P516:AY516)</f>
        <v>#VALUE!</v>
      </c>
      <c r="BA516" s="446" t="e">
        <f>IF(OR($B516="",MIN(BA$38,$D$19)&lt;MAX($P$34*($B516+IF($R$17="Distrato",$I$38-1,0)),IF(AND($L$37=0,$P$34=0),"",$L$37-1),IF($R$17="Distrato",$E516,0))),0,YEARFRAC(MAX($P$34*($B516+IF($R$17="Distrato",$I$38-1,0)),IF(AND($L$37=0,$P$34=0),"",$L$37-1),IF($R$17="Distrato",$E516,0)),MIN(BA$38,$D$19),$P$20))-SUM($P516:AZ516)</f>
        <v>#VALUE!</v>
      </c>
      <c r="BB516" s="447"/>
      <c r="BF516" s="446">
        <f t="shared" si="87"/>
        <v>0</v>
      </c>
      <c r="BG516" s="446">
        <f>IF($E516=0,0,IF(MIN(BG$38,$E516)&lt;MAX($P$34*($B516+$I$38-1),IF(AND($L$37=0,$P$34=0),"",$L$37-1)),0,YEARFRAC(MAX($P$34*($B516+$I$38-1),IF(AND($L$37=0,$P$34=0),"",$L$37-1)),MIN(BG$38,$E516),$P$20))-SUM($BF516:BF516))</f>
        <v>0</v>
      </c>
      <c r="BH516" s="446">
        <f>IF($E516=0,0,IF(MIN(BH$38,$E516)&lt;MAX($P$34*($B516+$I$38-1),IF(AND($L$37=0,$P$34=0),"",$L$37-1)),0,YEARFRAC(MAX($P$34*($B516+$I$38-1),IF(AND($L$37=0,$P$34=0),"",$L$37-1)),MIN(BH$38,$E516),$P$20))-SUM($BF516:BG516))</f>
        <v>0</v>
      </c>
      <c r="BI516" s="446">
        <f>IF($E516=0,0,IF(MIN(BI$38,$E516)&lt;MAX($P$34*($B516+$I$38-1),IF(AND($L$37=0,$P$34=0),"",$L$37-1)),0,YEARFRAC(MAX($P$34*($B516+$I$38-1),IF(AND($L$37=0,$P$34=0),"",$L$37-1)),MIN(BI$38,$E516),$P$20))-SUM($BF516:BH516))</f>
        <v>0</v>
      </c>
      <c r="BJ516" s="446">
        <f>IF($E516=0,0,IF(MIN(BJ$38,$E516)&lt;MAX($P$34*($B516+$I$38-1),IF(AND($L$37=0,$P$34=0),"",$L$37-1)),0,YEARFRAC(MAX($P$34*($B516+$I$38-1),IF(AND($L$37=0,$P$34=0),"",$L$37-1)),MIN(BJ$38,$E516),$P$20))-SUM($BF516:BI516))</f>
        <v>0</v>
      </c>
      <c r="BK516" s="446">
        <f>IF($E516=0,0,IF(MIN(BK$38,$E516)&lt;MAX($P$34*($B516+$I$38-1),IF(AND($L$37=0,$P$34=0),"",$L$37-1)),0,YEARFRAC(MAX($P$34*($B516+$I$38-1),IF(AND($L$37=0,$P$34=0),"",$L$37-1)),MIN(BK$38,$E516),$P$20))-SUM($BF516:BJ516))</f>
        <v>0</v>
      </c>
      <c r="BL516" s="446">
        <f>IF($E516=0,0,IF(MIN(BL$38,$E516)&lt;MAX($P$34*($B516+$I$38-1),IF(AND($L$37=0,$P$34=0),"",$L$37-1)),0,YEARFRAC(MAX($P$34*($B516+$I$38-1),IF(AND($L$37=0,$P$34=0),"",$L$37-1)),MIN(BL$38,$E516),$P$20))-SUM($BF516:BK516))</f>
        <v>0</v>
      </c>
      <c r="BM516" s="446">
        <f>IF($E516=0,0,IF(MIN(BM$38,$E516)&lt;MAX($P$34*($B516+$I$38-1),IF(AND($L$37=0,$P$34=0),"",$L$37-1)),0,YEARFRAC(MAX($P$34*($B516+$I$38-1),IF(AND($L$37=0,$P$34=0),"",$L$37-1)),MIN(BM$38,$E516),$P$20))-SUM($BF516:BL516))</f>
        <v>0</v>
      </c>
      <c r="BN516" s="446">
        <f>IF($E516=0,0,IF(MIN(BN$38,$E516)&lt;MAX($P$34*($B516+$I$38-1),IF(AND($L$37=0,$P$34=0),"",$L$37-1)),0,YEARFRAC(MAX($P$34*($B516+$I$38-1),IF(AND($L$37=0,$P$34=0),"",$L$37-1)),MIN(BN$38,$E516),$P$20))-SUM($BF516:BM516))</f>
        <v>0</v>
      </c>
      <c r="BO516" s="446">
        <f>IF($E516=0,0,IF(MIN(BO$38,$E516)&lt;MAX($P$34*($B516+$I$38-1),IF(AND($L$37=0,$P$34=0),"",$L$37-1)),0,YEARFRAC(MAX($P$34*($B516+$I$38-1),IF(AND($L$37=0,$P$34=0),"",$L$37-1)),MIN(BO$38,$E516),$P$20))-SUM($BF516:BN516))</f>
        <v>0</v>
      </c>
      <c r="BP516" s="446">
        <f>IF($E516=0,0,IF(MIN(BP$38,$E516)&lt;MAX($P$34*($B516+$I$38-1),IF(AND($L$37=0,$P$34=0),"",$L$37-1)),0,YEARFRAC(MAX($P$34*($B516+$I$38-1),IF(AND($L$37=0,$P$34=0),"",$L$37-1)),MIN(BP$38,$E516),$P$20))-SUM($BF516:BO516))</f>
        <v>0</v>
      </c>
      <c r="BQ516" s="446">
        <f>IF($E516=0,0,IF(MIN(BQ$38,$E516)&lt;MAX($P$34*($B516+$I$38-1),IF(AND($L$37=0,$P$34=0),"",$L$37-1)),0,YEARFRAC(MAX($P$34*($B516+$I$38-1),IF(AND($L$37=0,$P$34=0),"",$L$37-1)),MIN(BQ$38,$E516),$P$20))-SUM($BF516:BP516))</f>
        <v>0</v>
      </c>
      <c r="BR516" s="446">
        <f>IF($E516=0,0,IF(MIN(BR$38,$E516)&lt;MAX($P$34*($B516+$I$38-1),IF(AND($L$37=0,$P$34=0),"",$L$37-1)),0,YEARFRAC(MAX($P$34*($B516+$I$38-1),IF(AND($L$37=0,$P$34=0),"",$L$37-1)),MIN(BR$38,$E516),$P$20))-SUM($BF516:BQ516))</f>
        <v>0</v>
      </c>
      <c r="BS516" s="446">
        <f>IF($E516=0,0,IF(MIN(BS$38,$E516)&lt;MAX($P$34*($B516+$I$38-1),IF(AND($L$37=0,$P$34=0),"",$L$37-1)),0,YEARFRAC(MAX($P$34*($B516+$I$38-1),IF(AND($L$37=0,$P$34=0),"",$L$37-1)),MIN(BS$38,$E516),$P$20))-SUM($BF516:BR516))</f>
        <v>0</v>
      </c>
      <c r="BT516" s="446">
        <f>IF($E516=0,0,IF(MIN(BT$38,$E516)&lt;MAX($P$34*($B516+$I$38-1),IF(AND($L$37=0,$P$34=0),"",$L$37-1)),0,YEARFRAC(MAX($P$34*($B516+$I$38-1),IF(AND($L$37=0,$P$34=0),"",$L$37-1)),MIN(BT$38,$E516),$P$20))-SUM($BF516:BS516))</f>
        <v>0</v>
      </c>
      <c r="BU516" s="446">
        <f>IF($E516=0,0,IF(MIN(BU$38,$E516)&lt;MAX($P$34*($B516+$I$38-1),IF(AND($L$37=0,$P$34=0),"",$L$37-1)),0,YEARFRAC(MAX($P$34*($B516+$I$38-1),IF(AND($L$37=0,$P$34=0),"",$L$37-1)),MIN(BU$38,$E516),$P$20))-SUM($BF516:BT516))</f>
        <v>0</v>
      </c>
      <c r="BV516" s="446">
        <f>IF($E516=0,0,IF(MIN(BV$38,$E516)&lt;MAX($P$34*($B516+$I$38-1),IF(AND($L$37=0,$P$34=0),"",$L$37-1)),0,YEARFRAC(MAX($P$34*($B516+$I$38-1),IF(AND($L$37=0,$P$34=0),"",$L$37-1)),MIN(BV$38,$E516),$P$20))-SUM($BF516:BU516))</f>
        <v>0</v>
      </c>
      <c r="BW516" s="446">
        <f>IF($E516=0,0,IF(MIN(BW$38,$E516)&lt;MAX($P$34*($B516+$I$38-1),IF(AND($L$37=0,$P$34=0),"",$L$37-1)),0,YEARFRAC(MAX($P$34*($B516+$I$38-1),IF(AND($L$37=0,$P$34=0),"",$L$37-1)),MIN(BW$38,$E516),$P$20))-SUM($BF516:BV516))</f>
        <v>0</v>
      </c>
      <c r="BX516" s="446">
        <f>IF($E516=0,0,IF(MIN(BX$38,$E516)&lt;MAX($P$34*($B516+$I$38-1),IF(AND($L$37=0,$P$34=0),"",$L$37-1)),0,YEARFRAC(MAX($P$34*($B516+$I$38-1),IF(AND($L$37=0,$P$34=0),"",$L$37-1)),MIN(BX$38,$E516),$P$20))-SUM($BF516:BW516))</f>
        <v>0</v>
      </c>
      <c r="BY516" s="446">
        <f>IF($E516=0,0,IF(MIN(BY$38,$E516)&lt;MAX($P$34*($B516+$I$38-1),IF(AND($L$37=0,$P$34=0),"",$L$37-1)),0,YEARFRAC(MAX($P$34*($B516+$I$38-1),IF(AND($L$37=0,$P$34=0),"",$L$37-1)),MIN(BY$38,$E516),$P$20))-SUM($BF516:BX516))</f>
        <v>0</v>
      </c>
      <c r="BZ516" s="446">
        <f>IF($E516=0,0,IF(MIN(BZ$38,$E516)&lt;MAX($P$34*($B516+$I$38-1),IF(AND($L$37=0,$P$34=0),"",$L$37-1)),0,YEARFRAC(MAX($P$34*($B516+$I$38-1),IF(AND($L$37=0,$P$34=0),"",$L$37-1)),MIN(BZ$38,$E516),$P$20))-SUM($BF516:BY516))</f>
        <v>0</v>
      </c>
      <c r="CA516" s="446">
        <f>IF($E516=0,0,IF(MIN(CA$38,$E516)&lt;MAX($P$34*($B516+$I$38-1),IF(AND($L$37=0,$P$34=0),"",$L$37-1)),0,YEARFRAC(MAX($P$34*($B516+$I$38-1),IF(AND($L$37=0,$P$34=0),"",$L$37-1)),MIN(CA$38,$E516),$P$20))-SUM($BF516:BZ516))</f>
        <v>0</v>
      </c>
      <c r="CB516" s="446">
        <f>IF($E516=0,0,IF(MIN(CB$38,$E516)&lt;MAX($P$34*($B516+$I$38-1),IF(AND($L$37=0,$P$34=0),"",$L$37-1)),0,YEARFRAC(MAX($P$34*($B516+$I$38-1),IF(AND($L$37=0,$P$34=0),"",$L$37-1)),MIN(CB$38,$E516),$P$20))-SUM($BF516:CA516))</f>
        <v>0</v>
      </c>
      <c r="CC516" s="446">
        <f>IF($E516=0,0,IF(MIN(CC$38,$E516)&lt;MAX($P$34*($B516+$I$38-1),IF(AND($L$37=0,$P$34=0),"",$L$37-1)),0,YEARFRAC(MAX($P$34*($B516+$I$38-1),IF(AND($L$37=0,$P$34=0),"",$L$37-1)),MIN(CC$38,$E516),$P$20))-SUM($BF516:CB516))</f>
        <v>0</v>
      </c>
      <c r="CD516" s="446">
        <f>IF($E516=0,0,IF(MIN(CD$38,$E516)&lt;MAX($P$34*($B516+$I$38-1),IF(AND($L$37=0,$P$34=0),"",$L$37-1)),0,YEARFRAC(MAX($P$34*($B516+$I$38-1),IF(AND($L$37=0,$P$34=0),"",$L$37-1)),MIN(CD$38,$E516),$P$20))-SUM($BF516:CC516))</f>
        <v>0</v>
      </c>
      <c r="CE516" s="446">
        <f>IF($E516=0,0,IF(MIN(CE$38,$E516)&lt;MAX($P$34*($B516+$I$38-1),IF(AND($L$37=0,$P$34=0),"",$L$37-1)),0,YEARFRAC(MAX($P$34*($B516+$I$38-1),IF(AND($L$37=0,$P$34=0),"",$L$37-1)),MIN(CE$38,$E516),$P$20))-SUM($BF516:CD516))</f>
        <v>0</v>
      </c>
      <c r="CF516" s="446">
        <f>IF($E516=0,0,IF(MIN(CF$38,$E516)&lt;MAX($P$34*($B516+$I$38-1),IF(AND($L$37=0,$P$34=0),"",$L$37-1)),0,YEARFRAC(MAX($P$34*($B516+$I$38-1),IF(AND($L$37=0,$P$34=0),"",$L$37-1)),MIN(CF$38,$E516),$P$20))-SUM($BF516:CE516))</f>
        <v>0</v>
      </c>
      <c r="CG516" s="446">
        <f>IF($E516=0,0,IF(MIN(CG$38,$E516)&lt;MAX($P$34*($B516+$I$38-1),IF(AND($L$37=0,$P$34=0),"",$L$37-1)),0,YEARFRAC(MAX($P$34*($B516+$I$38-1),IF(AND($L$37=0,$P$34=0),"",$L$37-1)),MIN(CG$38,$E516),$P$20))-SUM($BF516:CF516))</f>
        <v>0</v>
      </c>
      <c r="CH516" s="446">
        <f>IF($E516=0,0,IF(MIN(CH$38,$E516)&lt;MAX($P$34*($B516+$I$38-1),IF(AND($L$37=0,$P$34=0),"",$L$37-1)),0,YEARFRAC(MAX($P$34*($B516+$I$38-1),IF(AND($L$37=0,$P$34=0),"",$L$37-1)),MIN(CH$38,$E516),$P$20))-SUM($BF516:CG516))</f>
        <v>0</v>
      </c>
      <c r="CI516" s="446">
        <f>IF($E516=0,0,IF(MIN(CI$38,$E516)&lt;MAX($P$34*($B516+$I$38-1),IF(AND($L$37=0,$P$34=0),"",$L$37-1)),0,YEARFRAC(MAX($P$34*($B516+$I$38-1),IF(AND($L$37=0,$P$34=0),"",$L$37-1)),MIN(CI$38,$E516),$P$20))-SUM($BF516:CH516))</f>
        <v>0</v>
      </c>
      <c r="CJ516" s="446">
        <f>IF($E516=0,0,IF(MIN(CJ$38,$E516)&lt;MAX($P$34*($B516+$I$38-1),IF(AND($L$37=0,$P$34=0),"",$L$37-1)),0,YEARFRAC(MAX($P$34*($B516+$I$38-1),IF(AND($L$37=0,$P$34=0),"",$L$37-1)),MIN(CJ$38,$E516),$P$20))-SUM($BF516:CI516))</f>
        <v>0</v>
      </c>
      <c r="CK516" s="446">
        <f>IF($E516=0,0,IF(MIN(CK$38,$E516)&lt;MAX($P$34*($B516+$I$38-1),IF(AND($L$37=0,$P$34=0),"",$L$37-1)),0,YEARFRAC(MAX($P$34*($B516+$I$38-1),IF(AND($L$37=0,$P$34=0),"",$L$37-1)),MIN(CK$38,$E516),$P$20))-SUM($BF516:CJ516))</f>
        <v>0</v>
      </c>
      <c r="CL516" s="446">
        <f>IF($E516=0,0,IF(MIN(CL$38,$E516)&lt;MAX($P$34*($B516+$I$38-1),IF(AND($L$37=0,$P$34=0),"",$L$37-1)),0,YEARFRAC(MAX($P$34*($B516+$I$38-1),IF(AND($L$37=0,$P$34=0),"",$L$37-1)),MIN(CL$38,$E516),$P$20))-SUM($BF516:CK516))</f>
        <v>0</v>
      </c>
      <c r="CM516" s="446">
        <f>IF($E516=0,0,IF(MIN(CM$38,$E516)&lt;MAX($P$34*($B516+$I$38-1),IF(AND($L$37=0,$P$34=0),"",$L$37-1)),0,YEARFRAC(MAX($P$34*($B516+$I$38-1),IF(AND($L$37=0,$P$34=0),"",$L$37-1)),MIN(CM$38,$E516),$P$20))-SUM($BF516:CL516))</f>
        <v>0</v>
      </c>
      <c r="CN516" s="446">
        <f>IF($E516=0,0,IF(MIN(CN$38,$E516)&lt;MAX($P$34*($B516+$I$38-1),IF(AND($L$37=0,$P$34=0),"",$L$37-1)),0,YEARFRAC(MAX($P$34*($B516+$I$38-1),IF(AND($L$37=0,$P$34=0),"",$L$37-1)),MIN(CN$38,$E516),$P$20))-SUM($BF516:CM516))</f>
        <v>0</v>
      </c>
      <c r="CO516" s="446">
        <f>IF($E516=0,0,IF(MIN(CO$38,$E516)&lt;MAX($P$34*($B516+$I$38-1),IF(AND($L$37=0,$P$34=0),"",$L$37-1)),0,YEARFRAC(MAX($P$34*($B516+$I$38-1),IF(AND($L$37=0,$P$34=0),"",$L$37-1)),MIN(CO$38,$E516),$P$20))-SUM($BF516:CN516))</f>
        <v>0</v>
      </c>
      <c r="CP516" s="446">
        <f>IF($E516=0,0,IF(MIN(CP$38,$E516)&lt;MAX($P$34*($B516+$I$38-1),IF(AND($L$37=0,$P$34=0),"",$L$37-1)),0,YEARFRAC(MAX($P$34*($B516+$I$38-1),IF(AND($L$37=0,$P$34=0),"",$L$37-1)),MIN(CP$38,$E516),$P$20))-SUM($BF516:CO516))</f>
        <v>0</v>
      </c>
      <c r="CQ516" s="446">
        <f>IF($E516=0,0,IF(MIN(CQ$38,$E516)&lt;MAX($P$34*($B516+$I$38-1),IF(AND($L$37=0,$P$34=0),"",$L$37-1)),0,YEARFRAC(MAX($P$34*($B516+$I$38-1),IF(AND($L$37=0,$P$34=0),"",$L$37-1)),MIN(CQ$38,$E516),$P$20))-SUM($BF516:CP516))</f>
        <v>0</v>
      </c>
    </row>
    <row r="517" spans="1:95" s="446" customFormat="1" ht="11.25" hidden="1" customHeight="1" x14ac:dyDescent="0.2">
      <c r="A517" s="152"/>
      <c r="B517" s="153" t="str">
        <f t="shared" si="92"/>
        <v/>
      </c>
      <c r="C517" s="29" t="str">
        <f>IF(B517="","",IF($L$35="SELIC - TRIBUTOS",VLOOKUP(DATE(YEAR($D$19),MONTH($D$19)-1,1),ÍNDICES!$A:$DE,HLOOKUP($BL$25,ÍNDICES!$B$3:$T$4,2)+11)-VLOOKUP(B517,ÍNDICES!$A:$DE,HLOOKUP($BL$25,ÍNDICES!$B$3:$T$4,2)+11)+1%,IF(C$38=$W$26,$J$35,IF(ISERROR(IF(B517&gt;$D$19,1,VLOOKUP(DATE(YEAR(B517),MONTH(B517)+IF($C$35=$S$23,1,0),1),ÍNDICES!$A:$DE,$Z$35+1))),"",IF(B517&gt;$D$19,1,VLOOKUP(DATE(YEAR(B517),MONTH(B517)+IF($C$35=$S$23,1,0),1),ÍNDICES!$A:$DE,$Z$35+1))))))</f>
        <v/>
      </c>
      <c r="D517" s="154" t="str">
        <f>IF(ISERROR(IF(OR($D$38=$Y$27,$B517=""),"",VLOOKUP(B517,ÍNDICES!A:DE,AF$35+1))),"",IF(OR($D$38=$Y$27,$B517=""),"",VLOOKUP(B517,ÍNDICES!A:DE,AF$35+1)))</f>
        <v/>
      </c>
      <c r="E517" s="153"/>
      <c r="F517" s="29" t="str">
        <f>IF(E517="","",IF($L$35="SELIC - TRIBUTOS",VLOOKUP(DATE(YEAR($D$19),MONTH($D$19)-1,1),ÍNDICES!$A:$DE,HLOOKUP($BL$25,ÍNDICES!$B$3:$T$4,2)+11)-VLOOKUP(E517,ÍNDICES!$A:$DE,HLOOKUP($BL$25,ÍNDICES!$B$3:$T$4,2)+11)+1%,IF(F$38=$W$26,$J$35,IF(ISERROR(IF(E517&gt;$D$19,1,VLOOKUP(DATE(YEAR(E517),MONTH(E517)+IF($C$35=$S$23,1,0),1),ÍNDICES!$A:$DE,$Z$35+1))),"",IF(E517&gt;$D$19,1,VLOOKUP(DATE(YEAR(E517),MONTH(E517)+IF($C$35=$S$23,1,0),1),ÍNDICES!$A:$DE,$Z$35+1))))))</f>
        <v/>
      </c>
      <c r="G517" s="155"/>
      <c r="H517" s="156" t="str">
        <f t="shared" si="88"/>
        <v/>
      </c>
      <c r="I517" s="29" t="str">
        <f t="shared" si="82"/>
        <v/>
      </c>
      <c r="J517" s="5">
        <f t="shared" si="83"/>
        <v>0</v>
      </c>
      <c r="K517" s="20">
        <f t="shared" ca="1" si="84"/>
        <v>0</v>
      </c>
      <c r="L517" s="5">
        <f t="shared" ca="1" si="85"/>
        <v>0</v>
      </c>
      <c r="M517" s="64">
        <f t="shared" si="89"/>
        <v>0</v>
      </c>
      <c r="N517" s="61">
        <f t="shared" ca="1" si="90"/>
        <v>0</v>
      </c>
      <c r="O517" s="5">
        <f t="shared" ca="1" si="91"/>
        <v>0</v>
      </c>
      <c r="P517" s="446" t="e">
        <f t="shared" si="86"/>
        <v>#VALUE!</v>
      </c>
      <c r="Q517" s="446" t="e">
        <f>IF(OR($B517="",MIN(Q$38,$D$19)&lt;MAX($P$34*($B517+IF($R$17="Distrato",$I$38-1,0)),IF(AND($L$37=0,$P$34=0),"",$L$37-1),IF($R$17="Distrato",$E517,0))),0,YEARFRAC(MAX($P$34*($B517+IF($R$17="Distrato",$I$38-1,0)),IF(AND($L$37=0,$P$34=0),"",$L$37-1),IF($R$17="Distrato",$E517,0)),MIN(Q$38,$D$19),$P$20))-SUM($P517:P517)</f>
        <v>#VALUE!</v>
      </c>
      <c r="R517" s="446" t="e">
        <f>IF(OR($B517="",MIN(R$38,$D$19)&lt;MAX($P$34*($B517+IF($R$17="Distrato",$I$38-1,0)),IF(AND($L$37=0,$P$34=0),"",$L$37-1),IF($R$17="Distrato",$E517,0))),0,YEARFRAC(MAX($P$34*($B517+IF($R$17="Distrato",$I$38-1,0)),IF(AND($L$37=0,$P$34=0),"",$L$37-1),IF($R$17="Distrato",$E517,0)),MIN(R$38,$D$19),$P$20))-SUM($P517:Q517)</f>
        <v>#VALUE!</v>
      </c>
      <c r="S517" s="446" t="e">
        <f>IF(OR($B517="",MIN(S$38,$D$19)&lt;MAX($P$34*($B517+IF($R$17="Distrato",$I$38-1,0)),IF(AND($L$37=0,$P$34=0),"",$L$37-1),IF($R$17="Distrato",$E517,0))),0,YEARFRAC(MAX($P$34*($B517+IF($R$17="Distrato",$I$38-1,0)),IF(AND($L$37=0,$P$34=0),"",$L$37-1),IF($R$17="Distrato",$E517,0)),MIN(S$38,$D$19),$P$20))-SUM($P517:R517)</f>
        <v>#VALUE!</v>
      </c>
      <c r="T517" s="446" t="e">
        <f>IF(OR($B517="",MIN(T$38,$D$19)&lt;MAX($P$34*($B517+IF($R$17="Distrato",$I$38-1,0)),IF(AND($L$37=0,$P$34=0),"",$L$37-1),IF($R$17="Distrato",$E517,0))),0,YEARFRAC(MAX($P$34*($B517+IF($R$17="Distrato",$I$38-1,0)),IF(AND($L$37=0,$P$34=0),"",$L$37-1),IF($R$17="Distrato",$E517,0)),MIN(T$38,$D$19),$P$20))-SUM($P517:S517)</f>
        <v>#VALUE!</v>
      </c>
      <c r="U517" s="446" t="e">
        <f>IF(OR($B517="",MIN(U$38,$D$19)&lt;MAX($P$34*($B517+IF($R$17="Distrato",$I$38-1,0)),IF(AND($L$37=0,$P$34=0),"",$L$37-1),IF($R$17="Distrato",$E517,0))),0,YEARFRAC(MAX($P$34*($B517+IF($R$17="Distrato",$I$38-1,0)),IF(AND($L$37=0,$P$34=0),"",$L$37-1),IF($R$17="Distrato",$E517,0)),MIN(U$38,$D$19),$P$20))-SUM($P517:T517)</f>
        <v>#VALUE!</v>
      </c>
      <c r="V517" s="446" t="e">
        <f>IF(OR($B517="",MIN(V$38,$D$19)&lt;MAX($P$34*($B517+IF($R$17="Distrato",$I$38-1,0)),IF(AND($L$37=0,$P$34=0),"",$L$37-1),IF($R$17="Distrato",$E517,0))),0,YEARFRAC(MAX($P$34*($B517+IF($R$17="Distrato",$I$38-1,0)),IF(AND($L$37=0,$P$34=0),"",$L$37-1),IF($R$17="Distrato",$E517,0)),MIN(V$38,$D$19),$P$20))-SUM($P517:U517)</f>
        <v>#VALUE!</v>
      </c>
      <c r="W517" s="446" t="e">
        <f>IF(OR($B517="",MIN(W$38,$D$19)&lt;MAX($P$34*($B517+IF($R$17="Distrato",$I$38-1,0)),IF(AND($L$37=0,$P$34=0),"",$L$37-1),IF($R$17="Distrato",$E517,0))),0,YEARFRAC(MAX($P$34*($B517+IF($R$17="Distrato",$I$38-1,0)),IF(AND($L$37=0,$P$34=0),"",$L$37-1),IF($R$17="Distrato",$E517,0)),MIN(W$38,$D$19),$P$20))-SUM($P517:V517)</f>
        <v>#VALUE!</v>
      </c>
      <c r="X517" s="446" t="e">
        <f>IF(OR($B517="",MIN(X$38,$D$19)&lt;MAX($P$34*($B517+IF($R$17="Distrato",$I$38-1,0)),IF(AND($L$37=0,$P$34=0),"",$L$37-1),IF($R$17="Distrato",$E517,0))),0,YEARFRAC(MAX($P$34*($B517+IF($R$17="Distrato",$I$38-1,0)),IF(AND($L$37=0,$P$34=0),"",$L$37-1),IF($R$17="Distrato",$E517,0)),MIN(X$38,$D$19),$P$20))-SUM($P517:W517)</f>
        <v>#VALUE!</v>
      </c>
      <c r="Y517" s="446" t="e">
        <f>IF(OR($B517="",MIN(Y$38,$D$19)&lt;MAX($P$34*($B517+IF($R$17="Distrato",$I$38-1,0)),IF(AND($L$37=0,$P$34=0),"",$L$37-1),IF($R$17="Distrato",$E517,0))),0,YEARFRAC(MAX($P$34*($B517+IF($R$17="Distrato",$I$38-1,0)),IF(AND($L$37=0,$P$34=0),"",$L$37-1),IF($R$17="Distrato",$E517,0)),MIN(Y$38,$D$19),$P$20))-SUM($P517:X517)</f>
        <v>#VALUE!</v>
      </c>
      <c r="Z517" s="446" t="e">
        <f>IF(OR($B517="",MIN(Z$38,$D$19)&lt;MAX($P$34*($B517+IF($R$17="Distrato",$I$38-1,0)),IF(AND($L$37=0,$P$34=0),"",$L$37-1),IF($R$17="Distrato",$E517,0))),0,YEARFRAC(MAX($P$34*($B517+IF($R$17="Distrato",$I$38-1,0)),IF(AND($L$37=0,$P$34=0),"",$L$37-1),IF($R$17="Distrato",$E517,0)),MIN(Z$38,$D$19),$P$20))-SUM($P517:Y517)</f>
        <v>#VALUE!</v>
      </c>
      <c r="AA517" s="446" t="e">
        <f>IF(OR($B517="",MIN(AA$38,$D$19)&lt;MAX($P$34*($B517+IF($R$17="Distrato",$I$38-1,0)),IF(AND($L$37=0,$P$34=0),"",$L$37-1),IF($R$17="Distrato",$E517,0))),0,YEARFRAC(MAX($P$34*($B517+IF($R$17="Distrato",$I$38-1,0)),IF(AND($L$37=0,$P$34=0),"",$L$37-1),IF($R$17="Distrato",$E517,0)),MIN(AA$38,$D$19),$P$20))-SUM($P517:Z517)</f>
        <v>#VALUE!</v>
      </c>
      <c r="AB517" s="446" t="e">
        <f>IF(OR($B517="",MIN(AB$38,$D$19)&lt;MAX($P$34*($B517+IF($R$17="Distrato",$I$38-1,0)),IF(AND($L$37=0,$P$34=0),"",$L$37-1),IF($R$17="Distrato",$E517,0))),0,YEARFRAC(MAX($P$34*($B517+IF($R$17="Distrato",$I$38-1,0)),IF(AND($L$37=0,$P$34=0),"",$L$37-1),IF($R$17="Distrato",$E517,0)),MIN(AB$38,$D$19),$P$20))-SUM($P517:AA517)</f>
        <v>#VALUE!</v>
      </c>
      <c r="AC517" s="446" t="e">
        <f>IF(OR($B517="",MIN(AC$38,$D$19)&lt;MAX($P$34*($B517+IF($R$17="Distrato",$I$38-1,0)),IF(AND($L$37=0,$P$34=0),"",$L$37-1),IF($R$17="Distrato",$E517,0))),0,YEARFRAC(MAX($P$34*($B517+IF($R$17="Distrato",$I$38-1,0)),IF(AND($L$37=0,$P$34=0),"",$L$37-1),IF($R$17="Distrato",$E517,0)),MIN(AC$38,$D$19),$P$20))-SUM($P517:AB517)</f>
        <v>#VALUE!</v>
      </c>
      <c r="AD517" s="446" t="e">
        <f>IF(OR($B517="",MIN(AD$38,$D$19)&lt;MAX($P$34*($B517+IF($R$17="Distrato",$I$38-1,0)),IF(AND($L$37=0,$P$34=0),"",$L$37-1),IF($R$17="Distrato",$E517,0))),0,YEARFRAC(MAX($P$34*($B517+IF($R$17="Distrato",$I$38-1,0)),IF(AND($L$37=0,$P$34=0),"",$L$37-1),IF($R$17="Distrato",$E517,0)),MIN(AD$38,$D$19),$P$20))-SUM($P517:AC517)</f>
        <v>#VALUE!</v>
      </c>
      <c r="AE517" s="446" t="e">
        <f>IF(OR($B517="",MIN(AE$38,$D$19)&lt;MAX($P$34*($B517+IF($R$17="Distrato",$I$38-1,0)),IF(AND($L$37=0,$P$34=0),"",$L$37-1),IF($R$17="Distrato",$E517,0))),0,YEARFRAC(MAX($P$34*($B517+IF($R$17="Distrato",$I$38-1,0)),IF(AND($L$37=0,$P$34=0),"",$L$37-1),IF($R$17="Distrato",$E517,0)),MIN(AE$38,$D$19),$P$20))-SUM($P517:AD517)</f>
        <v>#VALUE!</v>
      </c>
      <c r="AF517" s="446" t="e">
        <f>IF(OR($B517="",MIN(AF$38,$D$19)&lt;MAX($P$34*($B517+IF($R$17="Distrato",$I$38-1,0)),IF(AND($L$37=0,$P$34=0),"",$L$37-1),IF($R$17="Distrato",$E517,0))),0,YEARFRAC(MAX($P$34*($B517+IF($R$17="Distrato",$I$38-1,0)),IF(AND($L$37=0,$P$34=0),"",$L$37-1),IF($R$17="Distrato",$E517,0)),MIN(AF$38,$D$19),$P$20))-SUM($P517:AE517)</f>
        <v>#VALUE!</v>
      </c>
      <c r="AG517" s="446" t="e">
        <f>IF(OR($B517="",MIN(AG$38,$D$19)&lt;MAX($P$34*($B517+IF($R$17="Distrato",$I$38-1,0)),IF(AND($L$37=0,$P$34=0),"",$L$37-1),IF($R$17="Distrato",$E517,0))),0,YEARFRAC(MAX($P$34*($B517+IF($R$17="Distrato",$I$38-1,0)),IF(AND($L$37=0,$P$34=0),"",$L$37-1),IF($R$17="Distrato",$E517,0)),MIN(AG$38,$D$19),$P$20))-SUM($P517:AF517)</f>
        <v>#VALUE!</v>
      </c>
      <c r="AH517" s="446" t="e">
        <f>IF(OR($B517="",MIN(AH$38,$D$19)&lt;MAX($P$34*($B517+IF($R$17="Distrato",$I$38-1,0)),IF(AND($L$37=0,$P$34=0),"",$L$37-1),IF($R$17="Distrato",$E517,0))),0,YEARFRAC(MAX($P$34*($B517+IF($R$17="Distrato",$I$38-1,0)),IF(AND($L$37=0,$P$34=0),"",$L$37-1),IF($R$17="Distrato",$E517,0)),MIN(AH$38,$D$19),$P$20))-SUM($P517:AG517)</f>
        <v>#VALUE!</v>
      </c>
      <c r="AI517" s="446" t="e">
        <f>IF(OR($B517="",MIN(AI$38,$D$19)&lt;MAX($P$34*($B517+IF($R$17="Distrato",$I$38-1,0)),IF(AND($L$37=0,$P$34=0),"",$L$37-1),IF($R$17="Distrato",$E517,0))),0,YEARFRAC(MAX($P$34*($B517+IF($R$17="Distrato",$I$38-1,0)),IF(AND($L$37=0,$P$34=0),"",$L$37-1),IF($R$17="Distrato",$E517,0)),MIN(AI$38,$D$19),$P$20))-SUM($P517:AH517)</f>
        <v>#VALUE!</v>
      </c>
      <c r="AJ517" s="446" t="e">
        <f>IF(OR($B517="",MIN(AJ$38,$D$19)&lt;MAX($P$34*($B517+IF($R$17="Distrato",$I$38-1,0)),IF(AND($L$37=0,$P$34=0),"",$L$37-1),IF($R$17="Distrato",$E517,0))),0,YEARFRAC(MAX($P$34*($B517+IF($R$17="Distrato",$I$38-1,0)),IF(AND($L$37=0,$P$34=0),"",$L$37-1),IF($R$17="Distrato",$E517,0)),MIN(AJ$38,$D$19),$P$20))-SUM($P517:AI517)</f>
        <v>#VALUE!</v>
      </c>
      <c r="AK517" s="446" t="e">
        <f>IF(OR($B517="",MIN(AK$38,$D$19)&lt;MAX($P$34*($B517+IF($R$17="Distrato",$I$38-1,0)),IF(AND($L$37=0,$P$34=0),"",$L$37-1),IF($R$17="Distrato",$E517,0))),0,YEARFRAC(MAX($P$34*($B517+IF($R$17="Distrato",$I$38-1,0)),IF(AND($L$37=0,$P$34=0),"",$L$37-1),IF($R$17="Distrato",$E517,0)),MIN(AK$38,$D$19),$P$20))-SUM($P517:AJ517)</f>
        <v>#VALUE!</v>
      </c>
      <c r="AL517" s="446" t="e">
        <f>IF(OR($B517="",MIN(AL$38,$D$19)&lt;MAX($P$34*($B517+IF($R$17="Distrato",$I$38-1,0)),IF(AND($L$37=0,$P$34=0),"",$L$37-1),IF($R$17="Distrato",$E517,0))),0,YEARFRAC(MAX($P$34*($B517+IF($R$17="Distrato",$I$38-1,0)),IF(AND($L$37=0,$P$34=0),"",$L$37-1),IF($R$17="Distrato",$E517,0)),MIN(AL$38,$D$19),$P$20))-SUM($P517:AK517)</f>
        <v>#VALUE!</v>
      </c>
      <c r="AM517" s="446" t="e">
        <f>IF(OR($B517="",MIN(AM$38,$D$19)&lt;MAX($P$34*($B517+IF($R$17="Distrato",$I$38-1,0)),IF(AND($L$37=0,$P$34=0),"",$L$37-1),IF($R$17="Distrato",$E517,0))),0,YEARFRAC(MAX($P$34*($B517+IF($R$17="Distrato",$I$38-1,0)),IF(AND($L$37=0,$P$34=0),"",$L$37-1),IF($R$17="Distrato",$E517,0)),MIN(AM$38,$D$19),$P$20))-SUM($P517:AL517)</f>
        <v>#VALUE!</v>
      </c>
      <c r="AN517" s="446" t="e">
        <f>IF(OR($B517="",MIN(AN$38,$D$19)&lt;MAX($P$34*($B517+IF($R$17="Distrato",$I$38-1,0)),IF(AND($L$37=0,$P$34=0),"",$L$37-1),IF($R$17="Distrato",$E517,0))),0,YEARFRAC(MAX($P$34*($B517+IF($R$17="Distrato",$I$38-1,0)),IF(AND($L$37=0,$P$34=0),"",$L$37-1),IF($R$17="Distrato",$E517,0)),MIN(AN$38,$D$19),$P$20))-SUM($P517:AM517)</f>
        <v>#VALUE!</v>
      </c>
      <c r="AO517" s="446" t="e">
        <f>IF(OR($B517="",MIN(AO$38,$D$19)&lt;MAX($P$34*($B517+IF($R$17="Distrato",$I$38-1,0)),IF(AND($L$37=0,$P$34=0),"",$L$37-1),IF($R$17="Distrato",$E517,0))),0,YEARFRAC(MAX($P$34*($B517+IF($R$17="Distrato",$I$38-1,0)),IF(AND($L$37=0,$P$34=0),"",$L$37-1),IF($R$17="Distrato",$E517,0)),MIN(AO$38,$D$19),$P$20))-SUM($P517:AN517)</f>
        <v>#VALUE!</v>
      </c>
      <c r="AP517" s="446" t="e">
        <f>IF(OR($B517="",MIN(AP$38,$D$19)&lt;MAX($P$34*($B517+IF($R$17="Distrato",$I$38-1,0)),IF(AND($L$37=0,$P$34=0),"",$L$37-1),IF($R$17="Distrato",$E517,0))),0,YEARFRAC(MAX($P$34*($B517+IF($R$17="Distrato",$I$38-1,0)),IF(AND($L$37=0,$P$34=0),"",$L$37-1),IF($R$17="Distrato",$E517,0)),MIN(AP$38,$D$19),$P$20))-SUM($P517:AO517)</f>
        <v>#VALUE!</v>
      </c>
      <c r="AQ517" s="446" t="e">
        <f>IF(OR($B517="",MIN(AQ$38,$D$19)&lt;MAX($P$34*($B517+IF($R$17="Distrato",$I$38-1,0)),IF(AND($L$37=0,$P$34=0),"",$L$37-1),IF($R$17="Distrato",$E517,0))),0,YEARFRAC(MAX($P$34*($B517+IF($R$17="Distrato",$I$38-1,0)),IF(AND($L$37=0,$P$34=0),"",$L$37-1),IF($R$17="Distrato",$E517,0)),MIN(AQ$38,$D$19),$P$20))-SUM($P517:AP517)</f>
        <v>#VALUE!</v>
      </c>
      <c r="AR517" s="446" t="e">
        <f>IF(OR($B517="",MIN(AR$38,$D$19)&lt;MAX($P$34*($B517+IF($R$17="Distrato",$I$38-1,0)),IF(AND($L$37=0,$P$34=0),"",$L$37-1),IF($R$17="Distrato",$E517,0))),0,YEARFRAC(MAX($P$34*($B517+IF($R$17="Distrato",$I$38-1,0)),IF(AND($L$37=0,$P$34=0),"",$L$37-1),IF($R$17="Distrato",$E517,0)),MIN(AR$38,$D$19),$P$20))-SUM($P517:AQ517)</f>
        <v>#VALUE!</v>
      </c>
      <c r="AS517" s="446" t="e">
        <f>IF(OR($B517="",MIN(AS$38,$D$19)&lt;MAX($P$34*($B517+IF($R$17="Distrato",$I$38-1,0)),IF(AND($L$37=0,$P$34=0),"",$L$37-1),IF($R$17="Distrato",$E517,0))),0,YEARFRAC(MAX($P$34*($B517+IF($R$17="Distrato",$I$38-1,0)),IF(AND($L$37=0,$P$34=0),"",$L$37-1),IF($R$17="Distrato",$E517,0)),MIN(AS$38,$D$19),$P$20))-SUM($P517:AR517)</f>
        <v>#VALUE!</v>
      </c>
      <c r="AT517" s="446" t="e">
        <f>IF(OR($B517="",MIN(AT$38,$D$19)&lt;MAX($P$34*($B517+IF($R$17="Distrato",$I$38-1,0)),IF(AND($L$37=0,$P$34=0),"",$L$37-1),IF($R$17="Distrato",$E517,0))),0,YEARFRAC(MAX($P$34*($B517+IF($R$17="Distrato",$I$38-1,0)),IF(AND($L$37=0,$P$34=0),"",$L$37-1),IF($R$17="Distrato",$E517,0)),MIN(AT$38,$D$19),$P$20))-SUM($P517:AS517)</f>
        <v>#VALUE!</v>
      </c>
      <c r="AU517" s="446" t="e">
        <f>IF(OR($B517="",MIN(AU$38,$D$19)&lt;MAX($P$34*($B517+IF($R$17="Distrato",$I$38-1,0)),IF(AND($L$37=0,$P$34=0),"",$L$37-1),IF($R$17="Distrato",$E517,0))),0,YEARFRAC(MAX($P$34*($B517+IF($R$17="Distrato",$I$38-1,0)),IF(AND($L$37=0,$P$34=0),"",$L$37-1),IF($R$17="Distrato",$E517,0)),MIN(AU$38,$D$19),$P$20))-SUM($P517:AT517)</f>
        <v>#VALUE!</v>
      </c>
      <c r="AV517" s="446" t="e">
        <f>IF(OR($B517="",MIN(AV$38,$D$19)&lt;MAX($P$34*($B517+IF($R$17="Distrato",$I$38-1,0)),IF(AND($L$37=0,$P$34=0),"",$L$37-1),IF($R$17="Distrato",$E517,0))),0,YEARFRAC(MAX($P$34*($B517+IF($R$17="Distrato",$I$38-1,0)),IF(AND($L$37=0,$P$34=0),"",$L$37-1),IF($R$17="Distrato",$E517,0)),MIN(AV$38,$D$19),$P$20))-SUM($P517:AU517)</f>
        <v>#VALUE!</v>
      </c>
      <c r="AW517" s="446" t="e">
        <f>IF(OR($B517="",MIN(AW$38,$D$19)&lt;MAX($P$34*($B517+IF($R$17="Distrato",$I$38-1,0)),IF(AND($L$37=0,$P$34=0),"",$L$37-1),IF($R$17="Distrato",$E517,0))),0,YEARFRAC(MAX($P$34*($B517+IF($R$17="Distrato",$I$38-1,0)),IF(AND($L$37=0,$P$34=0),"",$L$37-1),IF($R$17="Distrato",$E517,0)),MIN(AW$38,$D$19),$P$20))-SUM($P517:AV517)</f>
        <v>#VALUE!</v>
      </c>
      <c r="AX517" s="446" t="e">
        <f>IF(OR($B517="",MIN(AX$38,$D$19)&lt;MAX($P$34*($B517+IF($R$17="Distrato",$I$38-1,0)),IF(AND($L$37=0,$P$34=0),"",$L$37-1),IF($R$17="Distrato",$E517,0))),0,YEARFRAC(MAX($P$34*($B517+IF($R$17="Distrato",$I$38-1,0)),IF(AND($L$37=0,$P$34=0),"",$L$37-1),IF($R$17="Distrato",$E517,0)),MIN(AX$38,$D$19),$P$20))-SUM($P517:AW517)</f>
        <v>#VALUE!</v>
      </c>
      <c r="AY517" s="446" t="e">
        <f>IF(OR($B517="",MIN(AY$38,$D$19)&lt;MAX($P$34*($B517+IF($R$17="Distrato",$I$38-1,0)),IF(AND($L$37=0,$P$34=0),"",$L$37-1),IF($R$17="Distrato",$E517,0))),0,YEARFRAC(MAX($P$34*($B517+IF($R$17="Distrato",$I$38-1,0)),IF(AND($L$37=0,$P$34=0),"",$L$37-1),IF($R$17="Distrato",$E517,0)),MIN(AY$38,$D$19),$P$20))-SUM($P517:AX517)</f>
        <v>#VALUE!</v>
      </c>
      <c r="AZ517" s="446" t="e">
        <f>IF(OR($B517="",MIN(AZ$38,$D$19)&lt;MAX($P$34*($B517+IF($R$17="Distrato",$I$38-1,0)),IF(AND($L$37=0,$P$34=0),"",$L$37-1),IF($R$17="Distrato",$E517,0))),0,YEARFRAC(MAX($P$34*($B517+IF($R$17="Distrato",$I$38-1,0)),IF(AND($L$37=0,$P$34=0),"",$L$37-1),IF($R$17="Distrato",$E517,0)),MIN(AZ$38,$D$19),$P$20))-SUM($P517:AY517)</f>
        <v>#VALUE!</v>
      </c>
      <c r="BA517" s="446" t="e">
        <f>IF(OR($B517="",MIN(BA$38,$D$19)&lt;MAX($P$34*($B517+IF($R$17="Distrato",$I$38-1,0)),IF(AND($L$37=0,$P$34=0),"",$L$37-1),IF($R$17="Distrato",$E517,0))),0,YEARFRAC(MAX($P$34*($B517+IF($R$17="Distrato",$I$38-1,0)),IF(AND($L$37=0,$P$34=0),"",$L$37-1),IF($R$17="Distrato",$E517,0)),MIN(BA$38,$D$19),$P$20))-SUM($P517:AZ517)</f>
        <v>#VALUE!</v>
      </c>
      <c r="BB517" s="447"/>
      <c r="BF517" s="446">
        <f t="shared" si="87"/>
        <v>0</v>
      </c>
      <c r="BG517" s="446">
        <f>IF($E517=0,0,IF(MIN(BG$38,$E517)&lt;MAX($P$34*($B517+$I$38-1),IF(AND($L$37=0,$P$34=0),"",$L$37-1)),0,YEARFRAC(MAX($P$34*($B517+$I$38-1),IF(AND($L$37=0,$P$34=0),"",$L$37-1)),MIN(BG$38,$E517),$P$20))-SUM($BF517:BF517))</f>
        <v>0</v>
      </c>
      <c r="BH517" s="446">
        <f>IF($E517=0,0,IF(MIN(BH$38,$E517)&lt;MAX($P$34*($B517+$I$38-1),IF(AND($L$37=0,$P$34=0),"",$L$37-1)),0,YEARFRAC(MAX($P$34*($B517+$I$38-1),IF(AND($L$37=0,$P$34=0),"",$L$37-1)),MIN(BH$38,$E517),$P$20))-SUM($BF517:BG517))</f>
        <v>0</v>
      </c>
      <c r="BI517" s="446">
        <f>IF($E517=0,0,IF(MIN(BI$38,$E517)&lt;MAX($P$34*($B517+$I$38-1),IF(AND($L$37=0,$P$34=0),"",$L$37-1)),0,YEARFRAC(MAX($P$34*($B517+$I$38-1),IF(AND($L$37=0,$P$34=0),"",$L$37-1)),MIN(BI$38,$E517),$P$20))-SUM($BF517:BH517))</f>
        <v>0</v>
      </c>
      <c r="BJ517" s="446">
        <f>IF($E517=0,0,IF(MIN(BJ$38,$E517)&lt;MAX($P$34*($B517+$I$38-1),IF(AND($L$37=0,$P$34=0),"",$L$37-1)),0,YEARFRAC(MAX($P$34*($B517+$I$38-1),IF(AND($L$37=0,$P$34=0),"",$L$37-1)),MIN(BJ$38,$E517),$P$20))-SUM($BF517:BI517))</f>
        <v>0</v>
      </c>
      <c r="BK517" s="446">
        <f>IF($E517=0,0,IF(MIN(BK$38,$E517)&lt;MAX($P$34*($B517+$I$38-1),IF(AND($L$37=0,$P$34=0),"",$L$37-1)),0,YEARFRAC(MAX($P$34*($B517+$I$38-1),IF(AND($L$37=0,$P$34=0),"",$L$37-1)),MIN(BK$38,$E517),$P$20))-SUM($BF517:BJ517))</f>
        <v>0</v>
      </c>
      <c r="BL517" s="446">
        <f>IF($E517=0,0,IF(MIN(BL$38,$E517)&lt;MAX($P$34*($B517+$I$38-1),IF(AND($L$37=0,$P$34=0),"",$L$37-1)),0,YEARFRAC(MAX($P$34*($B517+$I$38-1),IF(AND($L$37=0,$P$34=0),"",$L$37-1)),MIN(BL$38,$E517),$P$20))-SUM($BF517:BK517))</f>
        <v>0</v>
      </c>
      <c r="BM517" s="446">
        <f>IF($E517=0,0,IF(MIN(BM$38,$E517)&lt;MAX($P$34*($B517+$I$38-1),IF(AND($L$37=0,$P$34=0),"",$L$37-1)),0,YEARFRAC(MAX($P$34*($B517+$I$38-1),IF(AND($L$37=0,$P$34=0),"",$L$37-1)),MIN(BM$38,$E517),$P$20))-SUM($BF517:BL517))</f>
        <v>0</v>
      </c>
      <c r="BN517" s="446">
        <f>IF($E517=0,0,IF(MIN(BN$38,$E517)&lt;MAX($P$34*($B517+$I$38-1),IF(AND($L$37=0,$P$34=0),"",$L$37-1)),0,YEARFRAC(MAX($P$34*($B517+$I$38-1),IF(AND($L$37=0,$P$34=0),"",$L$37-1)),MIN(BN$38,$E517),$P$20))-SUM($BF517:BM517))</f>
        <v>0</v>
      </c>
      <c r="BO517" s="446">
        <f>IF($E517=0,0,IF(MIN(BO$38,$E517)&lt;MAX($P$34*($B517+$I$38-1),IF(AND($L$37=0,$P$34=0),"",$L$37-1)),0,YEARFRAC(MAX($P$34*($B517+$I$38-1),IF(AND($L$37=0,$P$34=0),"",$L$37-1)),MIN(BO$38,$E517),$P$20))-SUM($BF517:BN517))</f>
        <v>0</v>
      </c>
      <c r="BP517" s="446">
        <f>IF($E517=0,0,IF(MIN(BP$38,$E517)&lt;MAX($P$34*($B517+$I$38-1),IF(AND($L$37=0,$P$34=0),"",$L$37-1)),0,YEARFRAC(MAX($P$34*($B517+$I$38-1),IF(AND($L$37=0,$P$34=0),"",$L$37-1)),MIN(BP$38,$E517),$P$20))-SUM($BF517:BO517))</f>
        <v>0</v>
      </c>
      <c r="BQ517" s="446">
        <f>IF($E517=0,0,IF(MIN(BQ$38,$E517)&lt;MAX($P$34*($B517+$I$38-1),IF(AND($L$37=0,$P$34=0),"",$L$37-1)),0,YEARFRAC(MAX($P$34*($B517+$I$38-1),IF(AND($L$37=0,$P$34=0),"",$L$37-1)),MIN(BQ$38,$E517),$P$20))-SUM($BF517:BP517))</f>
        <v>0</v>
      </c>
      <c r="BR517" s="446">
        <f>IF($E517=0,0,IF(MIN(BR$38,$E517)&lt;MAX($P$34*($B517+$I$38-1),IF(AND($L$37=0,$P$34=0),"",$L$37-1)),0,YEARFRAC(MAX($P$34*($B517+$I$38-1),IF(AND($L$37=0,$P$34=0),"",$L$37-1)),MIN(BR$38,$E517),$P$20))-SUM($BF517:BQ517))</f>
        <v>0</v>
      </c>
      <c r="BS517" s="446">
        <f>IF($E517=0,0,IF(MIN(BS$38,$E517)&lt;MAX($P$34*($B517+$I$38-1),IF(AND($L$37=0,$P$34=0),"",$L$37-1)),0,YEARFRAC(MAX($P$34*($B517+$I$38-1),IF(AND($L$37=0,$P$34=0),"",$L$37-1)),MIN(BS$38,$E517),$P$20))-SUM($BF517:BR517))</f>
        <v>0</v>
      </c>
      <c r="BT517" s="446">
        <f>IF($E517=0,0,IF(MIN(BT$38,$E517)&lt;MAX($P$34*($B517+$I$38-1),IF(AND($L$37=0,$P$34=0),"",$L$37-1)),0,YEARFRAC(MAX($P$34*($B517+$I$38-1),IF(AND($L$37=0,$P$34=0),"",$L$37-1)),MIN(BT$38,$E517),$P$20))-SUM($BF517:BS517))</f>
        <v>0</v>
      </c>
      <c r="BU517" s="446">
        <f>IF($E517=0,0,IF(MIN(BU$38,$E517)&lt;MAX($P$34*($B517+$I$38-1),IF(AND($L$37=0,$P$34=0),"",$L$37-1)),0,YEARFRAC(MAX($P$34*($B517+$I$38-1),IF(AND($L$37=0,$P$34=0),"",$L$37-1)),MIN(BU$38,$E517),$P$20))-SUM($BF517:BT517))</f>
        <v>0</v>
      </c>
      <c r="BV517" s="446">
        <f>IF($E517=0,0,IF(MIN(BV$38,$E517)&lt;MAX($P$34*($B517+$I$38-1),IF(AND($L$37=0,$P$34=0),"",$L$37-1)),0,YEARFRAC(MAX($P$34*($B517+$I$38-1),IF(AND($L$37=0,$P$34=0),"",$L$37-1)),MIN(BV$38,$E517),$P$20))-SUM($BF517:BU517))</f>
        <v>0</v>
      </c>
      <c r="BW517" s="446">
        <f>IF($E517=0,0,IF(MIN(BW$38,$E517)&lt;MAX($P$34*($B517+$I$38-1),IF(AND($L$37=0,$P$34=0),"",$L$37-1)),0,YEARFRAC(MAX($P$34*($B517+$I$38-1),IF(AND($L$37=0,$P$34=0),"",$L$37-1)),MIN(BW$38,$E517),$P$20))-SUM($BF517:BV517))</f>
        <v>0</v>
      </c>
      <c r="BX517" s="446">
        <f>IF($E517=0,0,IF(MIN(BX$38,$E517)&lt;MAX($P$34*($B517+$I$38-1),IF(AND($L$37=0,$P$34=0),"",$L$37-1)),0,YEARFRAC(MAX($P$34*($B517+$I$38-1),IF(AND($L$37=0,$P$34=0),"",$L$37-1)),MIN(BX$38,$E517),$P$20))-SUM($BF517:BW517))</f>
        <v>0</v>
      </c>
      <c r="BY517" s="446">
        <f>IF($E517=0,0,IF(MIN(BY$38,$E517)&lt;MAX($P$34*($B517+$I$38-1),IF(AND($L$37=0,$P$34=0),"",$L$37-1)),0,YEARFRAC(MAX($P$34*($B517+$I$38-1),IF(AND($L$37=0,$P$34=0),"",$L$37-1)),MIN(BY$38,$E517),$P$20))-SUM($BF517:BX517))</f>
        <v>0</v>
      </c>
      <c r="BZ517" s="446">
        <f>IF($E517=0,0,IF(MIN(BZ$38,$E517)&lt;MAX($P$34*($B517+$I$38-1),IF(AND($L$37=0,$P$34=0),"",$L$37-1)),0,YEARFRAC(MAX($P$34*($B517+$I$38-1),IF(AND($L$37=0,$P$34=0),"",$L$37-1)),MIN(BZ$38,$E517),$P$20))-SUM($BF517:BY517))</f>
        <v>0</v>
      </c>
      <c r="CA517" s="446">
        <f>IF($E517=0,0,IF(MIN(CA$38,$E517)&lt;MAX($P$34*($B517+$I$38-1),IF(AND($L$37=0,$P$34=0),"",$L$37-1)),0,YEARFRAC(MAX($P$34*($B517+$I$38-1),IF(AND($L$37=0,$P$34=0),"",$L$37-1)),MIN(CA$38,$E517),$P$20))-SUM($BF517:BZ517))</f>
        <v>0</v>
      </c>
      <c r="CB517" s="446">
        <f>IF($E517=0,0,IF(MIN(CB$38,$E517)&lt;MAX($P$34*($B517+$I$38-1),IF(AND($L$37=0,$P$34=0),"",$L$37-1)),0,YEARFRAC(MAX($P$34*($B517+$I$38-1),IF(AND($L$37=0,$P$34=0),"",$L$37-1)),MIN(CB$38,$E517),$P$20))-SUM($BF517:CA517))</f>
        <v>0</v>
      </c>
      <c r="CC517" s="446">
        <f>IF($E517=0,0,IF(MIN(CC$38,$E517)&lt;MAX($P$34*($B517+$I$38-1),IF(AND($L$37=0,$P$34=0),"",$L$37-1)),0,YEARFRAC(MAX($P$34*($B517+$I$38-1),IF(AND($L$37=0,$P$34=0),"",$L$37-1)),MIN(CC$38,$E517),$P$20))-SUM($BF517:CB517))</f>
        <v>0</v>
      </c>
      <c r="CD517" s="446">
        <f>IF($E517=0,0,IF(MIN(CD$38,$E517)&lt;MAX($P$34*($B517+$I$38-1),IF(AND($L$37=0,$P$34=0),"",$L$37-1)),0,YEARFRAC(MAX($P$34*($B517+$I$38-1),IF(AND($L$37=0,$P$34=0),"",$L$37-1)),MIN(CD$38,$E517),$P$20))-SUM($BF517:CC517))</f>
        <v>0</v>
      </c>
      <c r="CE517" s="446">
        <f>IF($E517=0,0,IF(MIN(CE$38,$E517)&lt;MAX($P$34*($B517+$I$38-1),IF(AND($L$37=0,$P$34=0),"",$L$37-1)),0,YEARFRAC(MAX($P$34*($B517+$I$38-1),IF(AND($L$37=0,$P$34=0),"",$L$37-1)),MIN(CE$38,$E517),$P$20))-SUM($BF517:CD517))</f>
        <v>0</v>
      </c>
      <c r="CF517" s="446">
        <f>IF($E517=0,0,IF(MIN(CF$38,$E517)&lt;MAX($P$34*($B517+$I$38-1),IF(AND($L$37=0,$P$34=0),"",$L$37-1)),0,YEARFRAC(MAX($P$34*($B517+$I$38-1),IF(AND($L$37=0,$P$34=0),"",$L$37-1)),MIN(CF$38,$E517),$P$20))-SUM($BF517:CE517))</f>
        <v>0</v>
      </c>
      <c r="CG517" s="446">
        <f>IF($E517=0,0,IF(MIN(CG$38,$E517)&lt;MAX($P$34*($B517+$I$38-1),IF(AND($L$37=0,$P$34=0),"",$L$37-1)),0,YEARFRAC(MAX($P$34*($B517+$I$38-1),IF(AND($L$37=0,$P$34=0),"",$L$37-1)),MIN(CG$38,$E517),$P$20))-SUM($BF517:CF517))</f>
        <v>0</v>
      </c>
      <c r="CH517" s="446">
        <f>IF($E517=0,0,IF(MIN(CH$38,$E517)&lt;MAX($P$34*($B517+$I$38-1),IF(AND($L$37=0,$P$34=0),"",$L$37-1)),0,YEARFRAC(MAX($P$34*($B517+$I$38-1),IF(AND($L$37=0,$P$34=0),"",$L$37-1)),MIN(CH$38,$E517),$P$20))-SUM($BF517:CG517))</f>
        <v>0</v>
      </c>
      <c r="CI517" s="446">
        <f>IF($E517=0,0,IF(MIN(CI$38,$E517)&lt;MAX($P$34*($B517+$I$38-1),IF(AND($L$37=0,$P$34=0),"",$L$37-1)),0,YEARFRAC(MAX($P$34*($B517+$I$38-1),IF(AND($L$37=0,$P$34=0),"",$L$37-1)),MIN(CI$38,$E517),$P$20))-SUM($BF517:CH517))</f>
        <v>0</v>
      </c>
      <c r="CJ517" s="446">
        <f>IF($E517=0,0,IF(MIN(CJ$38,$E517)&lt;MAX($P$34*($B517+$I$38-1),IF(AND($L$37=0,$P$34=0),"",$L$37-1)),0,YEARFRAC(MAX($P$34*($B517+$I$38-1),IF(AND($L$37=0,$P$34=0),"",$L$37-1)),MIN(CJ$38,$E517),$P$20))-SUM($BF517:CI517))</f>
        <v>0</v>
      </c>
      <c r="CK517" s="446">
        <f>IF($E517=0,0,IF(MIN(CK$38,$E517)&lt;MAX($P$34*($B517+$I$38-1),IF(AND($L$37=0,$P$34=0),"",$L$37-1)),0,YEARFRAC(MAX($P$34*($B517+$I$38-1),IF(AND($L$37=0,$P$34=0),"",$L$37-1)),MIN(CK$38,$E517),$P$20))-SUM($BF517:CJ517))</f>
        <v>0</v>
      </c>
      <c r="CL517" s="446">
        <f>IF($E517=0,0,IF(MIN(CL$38,$E517)&lt;MAX($P$34*($B517+$I$38-1),IF(AND($L$37=0,$P$34=0),"",$L$37-1)),0,YEARFRAC(MAX($P$34*($B517+$I$38-1),IF(AND($L$37=0,$P$34=0),"",$L$37-1)),MIN(CL$38,$E517),$P$20))-SUM($BF517:CK517))</f>
        <v>0</v>
      </c>
      <c r="CM517" s="446">
        <f>IF($E517=0,0,IF(MIN(CM$38,$E517)&lt;MAX($P$34*($B517+$I$38-1),IF(AND($L$37=0,$P$34=0),"",$L$37-1)),0,YEARFRAC(MAX($P$34*($B517+$I$38-1),IF(AND($L$37=0,$P$34=0),"",$L$37-1)),MIN(CM$38,$E517),$P$20))-SUM($BF517:CL517))</f>
        <v>0</v>
      </c>
      <c r="CN517" s="446">
        <f>IF($E517=0,0,IF(MIN(CN$38,$E517)&lt;MAX($P$34*($B517+$I$38-1),IF(AND($L$37=0,$P$34=0),"",$L$37-1)),0,YEARFRAC(MAX($P$34*($B517+$I$38-1),IF(AND($L$37=0,$P$34=0),"",$L$37-1)),MIN(CN$38,$E517),$P$20))-SUM($BF517:CM517))</f>
        <v>0</v>
      </c>
      <c r="CO517" s="446">
        <f>IF($E517=0,0,IF(MIN(CO$38,$E517)&lt;MAX($P$34*($B517+$I$38-1),IF(AND($L$37=0,$P$34=0),"",$L$37-1)),0,YEARFRAC(MAX($P$34*($B517+$I$38-1),IF(AND($L$37=0,$P$34=0),"",$L$37-1)),MIN(CO$38,$E517),$P$20))-SUM($BF517:CN517))</f>
        <v>0</v>
      </c>
      <c r="CP517" s="446">
        <f>IF($E517=0,0,IF(MIN(CP$38,$E517)&lt;MAX($P$34*($B517+$I$38-1),IF(AND($L$37=0,$P$34=0),"",$L$37-1)),0,YEARFRAC(MAX($P$34*($B517+$I$38-1),IF(AND($L$37=0,$P$34=0),"",$L$37-1)),MIN(CP$38,$E517),$P$20))-SUM($BF517:CO517))</f>
        <v>0</v>
      </c>
      <c r="CQ517" s="446">
        <f>IF($E517=0,0,IF(MIN(CQ$38,$E517)&lt;MAX($P$34*($B517+$I$38-1),IF(AND($L$37=0,$P$34=0),"",$L$37-1)),0,YEARFRAC(MAX($P$34*($B517+$I$38-1),IF(AND($L$37=0,$P$34=0),"",$L$37-1)),MIN(CQ$38,$E517),$P$20))-SUM($BF517:CP517))</f>
        <v>0</v>
      </c>
    </row>
    <row r="518" spans="1:95" s="446" customFormat="1" ht="11.25" hidden="1" customHeight="1" x14ac:dyDescent="0.2">
      <c r="A518" s="152"/>
      <c r="B518" s="153" t="str">
        <f t="shared" si="92"/>
        <v/>
      </c>
      <c r="C518" s="29" t="str">
        <f>IF(B518="","",IF($L$35="SELIC - TRIBUTOS",VLOOKUP(DATE(YEAR($D$19),MONTH($D$19)-1,1),ÍNDICES!$A:$DE,HLOOKUP($BL$25,ÍNDICES!$B$3:$T$4,2)+11)-VLOOKUP(B518,ÍNDICES!$A:$DE,HLOOKUP($BL$25,ÍNDICES!$B$3:$T$4,2)+11)+1%,IF(C$38=$W$26,$J$35,IF(ISERROR(IF(B518&gt;$D$19,1,VLOOKUP(DATE(YEAR(B518),MONTH(B518)+IF($C$35=$S$23,1,0),1),ÍNDICES!$A:$DE,$Z$35+1))),"",IF(B518&gt;$D$19,1,VLOOKUP(DATE(YEAR(B518),MONTH(B518)+IF($C$35=$S$23,1,0),1),ÍNDICES!$A:$DE,$Z$35+1))))))</f>
        <v/>
      </c>
      <c r="D518" s="154" t="str">
        <f>IF(ISERROR(IF(OR($D$38=$Y$27,$B518=""),"",VLOOKUP(B518,ÍNDICES!A:DE,AF$35+1))),"",IF(OR($D$38=$Y$27,$B518=""),"",VLOOKUP(B518,ÍNDICES!A:DE,AF$35+1)))</f>
        <v/>
      </c>
      <c r="E518" s="153"/>
      <c r="F518" s="29" t="str">
        <f>IF(E518="","",IF($L$35="SELIC - TRIBUTOS",VLOOKUP(DATE(YEAR($D$19),MONTH($D$19)-1,1),ÍNDICES!$A:$DE,HLOOKUP($BL$25,ÍNDICES!$B$3:$T$4,2)+11)-VLOOKUP(E518,ÍNDICES!$A:$DE,HLOOKUP($BL$25,ÍNDICES!$B$3:$T$4,2)+11)+1%,IF(F$38=$W$26,$J$35,IF(ISERROR(IF(E518&gt;$D$19,1,VLOOKUP(DATE(YEAR(E518),MONTH(E518)+IF($C$35=$S$23,1,0),1),ÍNDICES!$A:$DE,$Z$35+1))),"",IF(E518&gt;$D$19,1,VLOOKUP(DATE(YEAR(E518),MONTH(E518)+IF($C$35=$S$23,1,0),1),ÍNDICES!$A:$DE,$Z$35+1))))))</f>
        <v/>
      </c>
      <c r="G518" s="155"/>
      <c r="H518" s="156" t="str">
        <f t="shared" si="88"/>
        <v/>
      </c>
      <c r="I518" s="29" t="str">
        <f t="shared" si="82"/>
        <v/>
      </c>
      <c r="J518" s="5">
        <f t="shared" si="83"/>
        <v>0</v>
      </c>
      <c r="K518" s="20">
        <f t="shared" ca="1" si="84"/>
        <v>0</v>
      </c>
      <c r="L518" s="5">
        <f t="shared" ca="1" si="85"/>
        <v>0</v>
      </c>
      <c r="M518" s="64">
        <f t="shared" si="89"/>
        <v>0</v>
      </c>
      <c r="N518" s="61">
        <f t="shared" ca="1" si="90"/>
        <v>0</v>
      </c>
      <c r="O518" s="5">
        <f t="shared" ca="1" si="91"/>
        <v>0</v>
      </c>
      <c r="P518" s="446" t="e">
        <f t="shared" si="86"/>
        <v>#VALUE!</v>
      </c>
      <c r="Q518" s="446" t="e">
        <f>IF(OR($B518="",MIN(Q$38,$D$19)&lt;MAX($P$34*($B518+IF($R$17="Distrato",$I$38-1,0)),IF(AND($L$37=0,$P$34=0),"",$L$37-1),IF($R$17="Distrato",$E518,0))),0,YEARFRAC(MAX($P$34*($B518+IF($R$17="Distrato",$I$38-1,0)),IF(AND($L$37=0,$P$34=0),"",$L$37-1),IF($R$17="Distrato",$E518,0)),MIN(Q$38,$D$19),$P$20))-SUM($P518:P518)</f>
        <v>#VALUE!</v>
      </c>
      <c r="R518" s="446" t="e">
        <f>IF(OR($B518="",MIN(R$38,$D$19)&lt;MAX($P$34*($B518+IF($R$17="Distrato",$I$38-1,0)),IF(AND($L$37=0,$P$34=0),"",$L$37-1),IF($R$17="Distrato",$E518,0))),0,YEARFRAC(MAX($P$34*($B518+IF($R$17="Distrato",$I$38-1,0)),IF(AND($L$37=0,$P$34=0),"",$L$37-1),IF($R$17="Distrato",$E518,0)),MIN(R$38,$D$19),$P$20))-SUM($P518:Q518)</f>
        <v>#VALUE!</v>
      </c>
      <c r="S518" s="446" t="e">
        <f>IF(OR($B518="",MIN(S$38,$D$19)&lt;MAX($P$34*($B518+IF($R$17="Distrato",$I$38-1,0)),IF(AND($L$37=0,$P$34=0),"",$L$37-1),IF($R$17="Distrato",$E518,0))),0,YEARFRAC(MAX($P$34*($B518+IF($R$17="Distrato",$I$38-1,0)),IF(AND($L$37=0,$P$34=0),"",$L$37-1),IF($R$17="Distrato",$E518,0)),MIN(S$38,$D$19),$P$20))-SUM($P518:R518)</f>
        <v>#VALUE!</v>
      </c>
      <c r="T518" s="446" t="e">
        <f>IF(OR($B518="",MIN(T$38,$D$19)&lt;MAX($P$34*($B518+IF($R$17="Distrato",$I$38-1,0)),IF(AND($L$37=0,$P$34=0),"",$L$37-1),IF($R$17="Distrato",$E518,0))),0,YEARFRAC(MAX($P$34*($B518+IF($R$17="Distrato",$I$38-1,0)),IF(AND($L$37=0,$P$34=0),"",$L$37-1),IF($R$17="Distrato",$E518,0)),MIN(T$38,$D$19),$P$20))-SUM($P518:S518)</f>
        <v>#VALUE!</v>
      </c>
      <c r="U518" s="446" t="e">
        <f>IF(OR($B518="",MIN(U$38,$D$19)&lt;MAX($P$34*($B518+IF($R$17="Distrato",$I$38-1,0)),IF(AND($L$37=0,$P$34=0),"",$L$37-1),IF($R$17="Distrato",$E518,0))),0,YEARFRAC(MAX($P$34*($B518+IF($R$17="Distrato",$I$38-1,0)),IF(AND($L$37=0,$P$34=0),"",$L$37-1),IF($R$17="Distrato",$E518,0)),MIN(U$38,$D$19),$P$20))-SUM($P518:T518)</f>
        <v>#VALUE!</v>
      </c>
      <c r="V518" s="446" t="e">
        <f>IF(OR($B518="",MIN(V$38,$D$19)&lt;MAX($P$34*($B518+IF($R$17="Distrato",$I$38-1,0)),IF(AND($L$37=0,$P$34=0),"",$L$37-1),IF($R$17="Distrato",$E518,0))),0,YEARFRAC(MAX($P$34*($B518+IF($R$17="Distrato",$I$38-1,0)),IF(AND($L$37=0,$P$34=0),"",$L$37-1),IF($R$17="Distrato",$E518,0)),MIN(V$38,$D$19),$P$20))-SUM($P518:U518)</f>
        <v>#VALUE!</v>
      </c>
      <c r="W518" s="446" t="e">
        <f>IF(OR($B518="",MIN(W$38,$D$19)&lt;MAX($P$34*($B518+IF($R$17="Distrato",$I$38-1,0)),IF(AND($L$37=0,$P$34=0),"",$L$37-1),IF($R$17="Distrato",$E518,0))),0,YEARFRAC(MAX($P$34*($B518+IF($R$17="Distrato",$I$38-1,0)),IF(AND($L$37=0,$P$34=0),"",$L$37-1),IF($R$17="Distrato",$E518,0)),MIN(W$38,$D$19),$P$20))-SUM($P518:V518)</f>
        <v>#VALUE!</v>
      </c>
      <c r="X518" s="446" t="e">
        <f>IF(OR($B518="",MIN(X$38,$D$19)&lt;MAX($P$34*($B518+IF($R$17="Distrato",$I$38-1,0)),IF(AND($L$37=0,$P$34=0),"",$L$37-1),IF($R$17="Distrato",$E518,0))),0,YEARFRAC(MAX($P$34*($B518+IF($R$17="Distrato",$I$38-1,0)),IF(AND($L$37=0,$P$34=0),"",$L$37-1),IF($R$17="Distrato",$E518,0)),MIN(X$38,$D$19),$P$20))-SUM($P518:W518)</f>
        <v>#VALUE!</v>
      </c>
      <c r="Y518" s="446" t="e">
        <f>IF(OR($B518="",MIN(Y$38,$D$19)&lt;MAX($P$34*($B518+IF($R$17="Distrato",$I$38-1,0)),IF(AND($L$37=0,$P$34=0),"",$L$37-1),IF($R$17="Distrato",$E518,0))),0,YEARFRAC(MAX($P$34*($B518+IF($R$17="Distrato",$I$38-1,0)),IF(AND($L$37=0,$P$34=0),"",$L$37-1),IF($R$17="Distrato",$E518,0)),MIN(Y$38,$D$19),$P$20))-SUM($P518:X518)</f>
        <v>#VALUE!</v>
      </c>
      <c r="Z518" s="446" t="e">
        <f>IF(OR($B518="",MIN(Z$38,$D$19)&lt;MAX($P$34*($B518+IF($R$17="Distrato",$I$38-1,0)),IF(AND($L$37=0,$P$34=0),"",$L$37-1),IF($R$17="Distrato",$E518,0))),0,YEARFRAC(MAX($P$34*($B518+IF($R$17="Distrato",$I$38-1,0)),IF(AND($L$37=0,$P$34=0),"",$L$37-1),IF($R$17="Distrato",$E518,0)),MIN(Z$38,$D$19),$P$20))-SUM($P518:Y518)</f>
        <v>#VALUE!</v>
      </c>
      <c r="AA518" s="446" t="e">
        <f>IF(OR($B518="",MIN(AA$38,$D$19)&lt;MAX($P$34*($B518+IF($R$17="Distrato",$I$38-1,0)),IF(AND($L$37=0,$P$34=0),"",$L$37-1),IF($R$17="Distrato",$E518,0))),0,YEARFRAC(MAX($P$34*($B518+IF($R$17="Distrato",$I$38-1,0)),IF(AND($L$37=0,$P$34=0),"",$L$37-1),IF($R$17="Distrato",$E518,0)),MIN(AA$38,$D$19),$P$20))-SUM($P518:Z518)</f>
        <v>#VALUE!</v>
      </c>
      <c r="AB518" s="446" t="e">
        <f>IF(OR($B518="",MIN(AB$38,$D$19)&lt;MAX($P$34*($B518+IF($R$17="Distrato",$I$38-1,0)),IF(AND($L$37=0,$P$34=0),"",$L$37-1),IF($R$17="Distrato",$E518,0))),0,YEARFRAC(MAX($P$34*($B518+IF($R$17="Distrato",$I$38-1,0)),IF(AND($L$37=0,$P$34=0),"",$L$37-1),IF($R$17="Distrato",$E518,0)),MIN(AB$38,$D$19),$P$20))-SUM($P518:AA518)</f>
        <v>#VALUE!</v>
      </c>
      <c r="AC518" s="446" t="e">
        <f>IF(OR($B518="",MIN(AC$38,$D$19)&lt;MAX($P$34*($B518+IF($R$17="Distrato",$I$38-1,0)),IF(AND($L$37=0,$P$34=0),"",$L$37-1),IF($R$17="Distrato",$E518,0))),0,YEARFRAC(MAX($P$34*($B518+IF($R$17="Distrato",$I$38-1,0)),IF(AND($L$37=0,$P$34=0),"",$L$37-1),IF($R$17="Distrato",$E518,0)),MIN(AC$38,$D$19),$P$20))-SUM($P518:AB518)</f>
        <v>#VALUE!</v>
      </c>
      <c r="AD518" s="446" t="e">
        <f>IF(OR($B518="",MIN(AD$38,$D$19)&lt;MAX($P$34*($B518+IF($R$17="Distrato",$I$38-1,0)),IF(AND($L$37=0,$P$34=0),"",$L$37-1),IF($R$17="Distrato",$E518,0))),0,YEARFRAC(MAX($P$34*($B518+IF($R$17="Distrato",$I$38-1,0)),IF(AND($L$37=0,$P$34=0),"",$L$37-1),IF($R$17="Distrato",$E518,0)),MIN(AD$38,$D$19),$P$20))-SUM($P518:AC518)</f>
        <v>#VALUE!</v>
      </c>
      <c r="AE518" s="446" t="e">
        <f>IF(OR($B518="",MIN(AE$38,$D$19)&lt;MAX($P$34*($B518+IF($R$17="Distrato",$I$38-1,0)),IF(AND($L$37=0,$P$34=0),"",$L$37-1),IF($R$17="Distrato",$E518,0))),0,YEARFRAC(MAX($P$34*($B518+IF($R$17="Distrato",$I$38-1,0)),IF(AND($L$37=0,$P$34=0),"",$L$37-1),IF($R$17="Distrato",$E518,0)),MIN(AE$38,$D$19),$P$20))-SUM($P518:AD518)</f>
        <v>#VALUE!</v>
      </c>
      <c r="AF518" s="446" t="e">
        <f>IF(OR($B518="",MIN(AF$38,$D$19)&lt;MAX($P$34*($B518+IF($R$17="Distrato",$I$38-1,0)),IF(AND($L$37=0,$P$34=0),"",$L$37-1),IF($R$17="Distrato",$E518,0))),0,YEARFRAC(MAX($P$34*($B518+IF($R$17="Distrato",$I$38-1,0)),IF(AND($L$37=0,$P$34=0),"",$L$37-1),IF($R$17="Distrato",$E518,0)),MIN(AF$38,$D$19),$P$20))-SUM($P518:AE518)</f>
        <v>#VALUE!</v>
      </c>
      <c r="AG518" s="446" t="e">
        <f>IF(OR($B518="",MIN(AG$38,$D$19)&lt;MAX($P$34*($B518+IF($R$17="Distrato",$I$38-1,0)),IF(AND($L$37=0,$P$34=0),"",$L$37-1),IF($R$17="Distrato",$E518,0))),0,YEARFRAC(MAX($P$34*($B518+IF($R$17="Distrato",$I$38-1,0)),IF(AND($L$37=0,$P$34=0),"",$L$37-1),IF($R$17="Distrato",$E518,0)),MIN(AG$38,$D$19),$P$20))-SUM($P518:AF518)</f>
        <v>#VALUE!</v>
      </c>
      <c r="AH518" s="446" t="e">
        <f>IF(OR($B518="",MIN(AH$38,$D$19)&lt;MAX($P$34*($B518+IF($R$17="Distrato",$I$38-1,0)),IF(AND($L$37=0,$P$34=0),"",$L$37-1),IF($R$17="Distrato",$E518,0))),0,YEARFRAC(MAX($P$34*($B518+IF($R$17="Distrato",$I$38-1,0)),IF(AND($L$37=0,$P$34=0),"",$L$37-1),IF($R$17="Distrato",$E518,0)),MIN(AH$38,$D$19),$P$20))-SUM($P518:AG518)</f>
        <v>#VALUE!</v>
      </c>
      <c r="AI518" s="446" t="e">
        <f>IF(OR($B518="",MIN(AI$38,$D$19)&lt;MAX($P$34*($B518+IF($R$17="Distrato",$I$38-1,0)),IF(AND($L$37=0,$P$34=0),"",$L$37-1),IF($R$17="Distrato",$E518,0))),0,YEARFRAC(MAX($P$34*($B518+IF($R$17="Distrato",$I$38-1,0)),IF(AND($L$37=0,$P$34=0),"",$L$37-1),IF($R$17="Distrato",$E518,0)),MIN(AI$38,$D$19),$P$20))-SUM($P518:AH518)</f>
        <v>#VALUE!</v>
      </c>
      <c r="AJ518" s="446" t="e">
        <f>IF(OR($B518="",MIN(AJ$38,$D$19)&lt;MAX($P$34*($B518+IF($R$17="Distrato",$I$38-1,0)),IF(AND($L$37=0,$P$34=0),"",$L$37-1),IF($R$17="Distrato",$E518,0))),0,YEARFRAC(MAX($P$34*($B518+IF($R$17="Distrato",$I$38-1,0)),IF(AND($L$37=0,$P$34=0),"",$L$37-1),IF($R$17="Distrato",$E518,0)),MIN(AJ$38,$D$19),$P$20))-SUM($P518:AI518)</f>
        <v>#VALUE!</v>
      </c>
      <c r="AK518" s="446" t="e">
        <f>IF(OR($B518="",MIN(AK$38,$D$19)&lt;MAX($P$34*($B518+IF($R$17="Distrato",$I$38-1,0)),IF(AND($L$37=0,$P$34=0),"",$L$37-1),IF($R$17="Distrato",$E518,0))),0,YEARFRAC(MAX($P$34*($B518+IF($R$17="Distrato",$I$38-1,0)),IF(AND($L$37=0,$P$34=0),"",$L$37-1),IF($R$17="Distrato",$E518,0)),MIN(AK$38,$D$19),$P$20))-SUM($P518:AJ518)</f>
        <v>#VALUE!</v>
      </c>
      <c r="AL518" s="446" t="e">
        <f>IF(OR($B518="",MIN(AL$38,$D$19)&lt;MAX($P$34*($B518+IF($R$17="Distrato",$I$38-1,0)),IF(AND($L$37=0,$P$34=0),"",$L$37-1),IF($R$17="Distrato",$E518,0))),0,YEARFRAC(MAX($P$34*($B518+IF($R$17="Distrato",$I$38-1,0)),IF(AND($L$37=0,$P$34=0),"",$L$37-1),IF($R$17="Distrato",$E518,0)),MIN(AL$38,$D$19),$P$20))-SUM($P518:AK518)</f>
        <v>#VALUE!</v>
      </c>
      <c r="AM518" s="446" t="e">
        <f>IF(OR($B518="",MIN(AM$38,$D$19)&lt;MAX($P$34*($B518+IF($R$17="Distrato",$I$38-1,0)),IF(AND($L$37=0,$P$34=0),"",$L$37-1),IF($R$17="Distrato",$E518,0))),0,YEARFRAC(MAX($P$34*($B518+IF($R$17="Distrato",$I$38-1,0)),IF(AND($L$37=0,$P$34=0),"",$L$37-1),IF($R$17="Distrato",$E518,0)),MIN(AM$38,$D$19),$P$20))-SUM($P518:AL518)</f>
        <v>#VALUE!</v>
      </c>
      <c r="AN518" s="446" t="e">
        <f>IF(OR($B518="",MIN(AN$38,$D$19)&lt;MAX($P$34*($B518+IF($R$17="Distrato",$I$38-1,0)),IF(AND($L$37=0,$P$34=0),"",$L$37-1),IF($R$17="Distrato",$E518,0))),0,YEARFRAC(MAX($P$34*($B518+IF($R$17="Distrato",$I$38-1,0)),IF(AND($L$37=0,$P$34=0),"",$L$37-1),IF($R$17="Distrato",$E518,0)),MIN(AN$38,$D$19),$P$20))-SUM($P518:AM518)</f>
        <v>#VALUE!</v>
      </c>
      <c r="AO518" s="446" t="e">
        <f>IF(OR($B518="",MIN(AO$38,$D$19)&lt;MAX($P$34*($B518+IF($R$17="Distrato",$I$38-1,0)),IF(AND($L$37=0,$P$34=0),"",$L$37-1),IF($R$17="Distrato",$E518,0))),0,YEARFRAC(MAX($P$34*($B518+IF($R$17="Distrato",$I$38-1,0)),IF(AND($L$37=0,$P$34=0),"",$L$37-1),IF($R$17="Distrato",$E518,0)),MIN(AO$38,$D$19),$P$20))-SUM($P518:AN518)</f>
        <v>#VALUE!</v>
      </c>
      <c r="AP518" s="446" t="e">
        <f>IF(OR($B518="",MIN(AP$38,$D$19)&lt;MAX($P$34*($B518+IF($R$17="Distrato",$I$38-1,0)),IF(AND($L$37=0,$P$34=0),"",$L$37-1),IF($R$17="Distrato",$E518,0))),0,YEARFRAC(MAX($P$34*($B518+IF($R$17="Distrato",$I$38-1,0)),IF(AND($L$37=0,$P$34=0),"",$L$37-1),IF($R$17="Distrato",$E518,0)),MIN(AP$38,$D$19),$P$20))-SUM($P518:AO518)</f>
        <v>#VALUE!</v>
      </c>
      <c r="AQ518" s="446" t="e">
        <f>IF(OR($B518="",MIN(AQ$38,$D$19)&lt;MAX($P$34*($B518+IF($R$17="Distrato",$I$38-1,0)),IF(AND($L$37=0,$P$34=0),"",$L$37-1),IF($R$17="Distrato",$E518,0))),0,YEARFRAC(MAX($P$34*($B518+IF($R$17="Distrato",$I$38-1,0)),IF(AND($L$37=0,$P$34=0),"",$L$37-1),IF($R$17="Distrato",$E518,0)),MIN(AQ$38,$D$19),$P$20))-SUM($P518:AP518)</f>
        <v>#VALUE!</v>
      </c>
      <c r="AR518" s="446" t="e">
        <f>IF(OR($B518="",MIN(AR$38,$D$19)&lt;MAX($P$34*($B518+IF($R$17="Distrato",$I$38-1,0)),IF(AND($L$37=0,$P$34=0),"",$L$37-1),IF($R$17="Distrato",$E518,0))),0,YEARFRAC(MAX($P$34*($B518+IF($R$17="Distrato",$I$38-1,0)),IF(AND($L$37=0,$P$34=0),"",$L$37-1),IF($R$17="Distrato",$E518,0)),MIN(AR$38,$D$19),$P$20))-SUM($P518:AQ518)</f>
        <v>#VALUE!</v>
      </c>
      <c r="AS518" s="446" t="e">
        <f>IF(OR($B518="",MIN(AS$38,$D$19)&lt;MAX($P$34*($B518+IF($R$17="Distrato",$I$38-1,0)),IF(AND($L$37=0,$P$34=0),"",$L$37-1),IF($R$17="Distrato",$E518,0))),0,YEARFRAC(MAX($P$34*($B518+IF($R$17="Distrato",$I$38-1,0)),IF(AND($L$37=0,$P$34=0),"",$L$37-1),IF($R$17="Distrato",$E518,0)),MIN(AS$38,$D$19),$P$20))-SUM($P518:AR518)</f>
        <v>#VALUE!</v>
      </c>
      <c r="AT518" s="446" t="e">
        <f>IF(OR($B518="",MIN(AT$38,$D$19)&lt;MAX($P$34*($B518+IF($R$17="Distrato",$I$38-1,0)),IF(AND($L$37=0,$P$34=0),"",$L$37-1),IF($R$17="Distrato",$E518,0))),0,YEARFRAC(MAX($P$34*($B518+IF($R$17="Distrato",$I$38-1,0)),IF(AND($L$37=0,$P$34=0),"",$L$37-1),IF($R$17="Distrato",$E518,0)),MIN(AT$38,$D$19),$P$20))-SUM($P518:AS518)</f>
        <v>#VALUE!</v>
      </c>
      <c r="AU518" s="446" t="e">
        <f>IF(OR($B518="",MIN(AU$38,$D$19)&lt;MAX($P$34*($B518+IF($R$17="Distrato",$I$38-1,0)),IF(AND($L$37=0,$P$34=0),"",$L$37-1),IF($R$17="Distrato",$E518,0))),0,YEARFRAC(MAX($P$34*($B518+IF($R$17="Distrato",$I$38-1,0)),IF(AND($L$37=0,$P$34=0),"",$L$37-1),IF($R$17="Distrato",$E518,0)),MIN(AU$38,$D$19),$P$20))-SUM($P518:AT518)</f>
        <v>#VALUE!</v>
      </c>
      <c r="AV518" s="446" t="e">
        <f>IF(OR($B518="",MIN(AV$38,$D$19)&lt;MAX($P$34*($B518+IF($R$17="Distrato",$I$38-1,0)),IF(AND($L$37=0,$P$34=0),"",$L$37-1),IF($R$17="Distrato",$E518,0))),0,YEARFRAC(MAX($P$34*($B518+IF($R$17="Distrato",$I$38-1,0)),IF(AND($L$37=0,$P$34=0),"",$L$37-1),IF($R$17="Distrato",$E518,0)),MIN(AV$38,$D$19),$P$20))-SUM($P518:AU518)</f>
        <v>#VALUE!</v>
      </c>
      <c r="AW518" s="446" t="e">
        <f>IF(OR($B518="",MIN(AW$38,$D$19)&lt;MAX($P$34*($B518+IF($R$17="Distrato",$I$38-1,0)),IF(AND($L$37=0,$P$34=0),"",$L$37-1),IF($R$17="Distrato",$E518,0))),0,YEARFRAC(MAX($P$34*($B518+IF($R$17="Distrato",$I$38-1,0)),IF(AND($L$37=0,$P$34=0),"",$L$37-1),IF($R$17="Distrato",$E518,0)),MIN(AW$38,$D$19),$P$20))-SUM($P518:AV518)</f>
        <v>#VALUE!</v>
      </c>
      <c r="AX518" s="446" t="e">
        <f>IF(OR($B518="",MIN(AX$38,$D$19)&lt;MAX($P$34*($B518+IF($R$17="Distrato",$I$38-1,0)),IF(AND($L$37=0,$P$34=0),"",$L$37-1),IF($R$17="Distrato",$E518,0))),0,YEARFRAC(MAX($P$34*($B518+IF($R$17="Distrato",$I$38-1,0)),IF(AND($L$37=0,$P$34=0),"",$L$37-1),IF($R$17="Distrato",$E518,0)),MIN(AX$38,$D$19),$P$20))-SUM($P518:AW518)</f>
        <v>#VALUE!</v>
      </c>
      <c r="AY518" s="446" t="e">
        <f>IF(OR($B518="",MIN(AY$38,$D$19)&lt;MAX($P$34*($B518+IF($R$17="Distrato",$I$38-1,0)),IF(AND($L$37=0,$P$34=0),"",$L$37-1),IF($R$17="Distrato",$E518,0))),0,YEARFRAC(MAX($P$34*($B518+IF($R$17="Distrato",$I$38-1,0)),IF(AND($L$37=0,$P$34=0),"",$L$37-1),IF($R$17="Distrato",$E518,0)),MIN(AY$38,$D$19),$P$20))-SUM($P518:AX518)</f>
        <v>#VALUE!</v>
      </c>
      <c r="AZ518" s="446" t="e">
        <f>IF(OR($B518="",MIN(AZ$38,$D$19)&lt;MAX($P$34*($B518+IF($R$17="Distrato",$I$38-1,0)),IF(AND($L$37=0,$P$34=0),"",$L$37-1),IF($R$17="Distrato",$E518,0))),0,YEARFRAC(MAX($P$34*($B518+IF($R$17="Distrato",$I$38-1,0)),IF(AND($L$37=0,$P$34=0),"",$L$37-1),IF($R$17="Distrato",$E518,0)),MIN(AZ$38,$D$19),$P$20))-SUM($P518:AY518)</f>
        <v>#VALUE!</v>
      </c>
      <c r="BA518" s="446" t="e">
        <f>IF(OR($B518="",MIN(BA$38,$D$19)&lt;MAX($P$34*($B518+IF($R$17="Distrato",$I$38-1,0)),IF(AND($L$37=0,$P$34=0),"",$L$37-1),IF($R$17="Distrato",$E518,0))),0,YEARFRAC(MAX($P$34*($B518+IF($R$17="Distrato",$I$38-1,0)),IF(AND($L$37=0,$P$34=0),"",$L$37-1),IF($R$17="Distrato",$E518,0)),MIN(BA$38,$D$19),$P$20))-SUM($P518:AZ518)</f>
        <v>#VALUE!</v>
      </c>
      <c r="BB518" s="447"/>
      <c r="BF518" s="446">
        <f t="shared" si="87"/>
        <v>0</v>
      </c>
      <c r="BG518" s="446">
        <f>IF($E518=0,0,IF(MIN(BG$38,$E518)&lt;MAX($P$34*($B518+$I$38-1),IF(AND($L$37=0,$P$34=0),"",$L$37-1)),0,YEARFRAC(MAX($P$34*($B518+$I$38-1),IF(AND($L$37=0,$P$34=0),"",$L$37-1)),MIN(BG$38,$E518),$P$20))-SUM($BF518:BF518))</f>
        <v>0</v>
      </c>
      <c r="BH518" s="446">
        <f>IF($E518=0,0,IF(MIN(BH$38,$E518)&lt;MAX($P$34*($B518+$I$38-1),IF(AND($L$37=0,$P$34=0),"",$L$37-1)),0,YEARFRAC(MAX($P$34*($B518+$I$38-1),IF(AND($L$37=0,$P$34=0),"",$L$37-1)),MIN(BH$38,$E518),$P$20))-SUM($BF518:BG518))</f>
        <v>0</v>
      </c>
      <c r="BI518" s="446">
        <f>IF($E518=0,0,IF(MIN(BI$38,$E518)&lt;MAX($P$34*($B518+$I$38-1),IF(AND($L$37=0,$P$34=0),"",$L$37-1)),0,YEARFRAC(MAX($P$34*($B518+$I$38-1),IF(AND($L$37=0,$P$34=0),"",$L$37-1)),MIN(BI$38,$E518),$P$20))-SUM($BF518:BH518))</f>
        <v>0</v>
      </c>
      <c r="BJ518" s="446">
        <f>IF($E518=0,0,IF(MIN(BJ$38,$E518)&lt;MAX($P$34*($B518+$I$38-1),IF(AND($L$37=0,$P$34=0),"",$L$37-1)),0,YEARFRAC(MAX($P$34*($B518+$I$38-1),IF(AND($L$37=0,$P$34=0),"",$L$37-1)),MIN(BJ$38,$E518),$P$20))-SUM($BF518:BI518))</f>
        <v>0</v>
      </c>
      <c r="BK518" s="446">
        <f>IF($E518=0,0,IF(MIN(BK$38,$E518)&lt;MAX($P$34*($B518+$I$38-1),IF(AND($L$37=0,$P$34=0),"",$L$37-1)),0,YEARFRAC(MAX($P$34*($B518+$I$38-1),IF(AND($L$37=0,$P$34=0),"",$L$37-1)),MIN(BK$38,$E518),$P$20))-SUM($BF518:BJ518))</f>
        <v>0</v>
      </c>
      <c r="BL518" s="446">
        <f>IF($E518=0,0,IF(MIN(BL$38,$E518)&lt;MAX($P$34*($B518+$I$38-1),IF(AND($L$37=0,$P$34=0),"",$L$37-1)),0,YEARFRAC(MAX($P$34*($B518+$I$38-1),IF(AND($L$37=0,$P$34=0),"",$L$37-1)),MIN(BL$38,$E518),$P$20))-SUM($BF518:BK518))</f>
        <v>0</v>
      </c>
      <c r="BM518" s="446">
        <f>IF($E518=0,0,IF(MIN(BM$38,$E518)&lt;MAX($P$34*($B518+$I$38-1),IF(AND($L$37=0,$P$34=0),"",$L$37-1)),0,YEARFRAC(MAX($P$34*($B518+$I$38-1),IF(AND($L$37=0,$P$34=0),"",$L$37-1)),MIN(BM$38,$E518),$P$20))-SUM($BF518:BL518))</f>
        <v>0</v>
      </c>
      <c r="BN518" s="446">
        <f>IF($E518=0,0,IF(MIN(BN$38,$E518)&lt;MAX($P$34*($B518+$I$38-1),IF(AND($L$37=0,$P$34=0),"",$L$37-1)),0,YEARFRAC(MAX($P$34*($B518+$I$38-1),IF(AND($L$37=0,$P$34=0),"",$L$37-1)),MIN(BN$38,$E518),$P$20))-SUM($BF518:BM518))</f>
        <v>0</v>
      </c>
      <c r="BO518" s="446">
        <f>IF($E518=0,0,IF(MIN(BO$38,$E518)&lt;MAX($P$34*($B518+$I$38-1),IF(AND($L$37=0,$P$34=0),"",$L$37-1)),0,YEARFRAC(MAX($P$34*($B518+$I$38-1),IF(AND($L$37=0,$P$34=0),"",$L$37-1)),MIN(BO$38,$E518),$P$20))-SUM($BF518:BN518))</f>
        <v>0</v>
      </c>
      <c r="BP518" s="446">
        <f>IF($E518=0,0,IF(MIN(BP$38,$E518)&lt;MAX($P$34*($B518+$I$38-1),IF(AND($L$37=0,$P$34=0),"",$L$37-1)),0,YEARFRAC(MAX($P$34*($B518+$I$38-1),IF(AND($L$37=0,$P$34=0),"",$L$37-1)),MIN(BP$38,$E518),$P$20))-SUM($BF518:BO518))</f>
        <v>0</v>
      </c>
      <c r="BQ518" s="446">
        <f>IF($E518=0,0,IF(MIN(BQ$38,$E518)&lt;MAX($P$34*($B518+$I$38-1),IF(AND($L$37=0,$P$34=0),"",$L$37-1)),0,YEARFRAC(MAX($P$34*($B518+$I$38-1),IF(AND($L$37=0,$P$34=0),"",$L$37-1)),MIN(BQ$38,$E518),$P$20))-SUM($BF518:BP518))</f>
        <v>0</v>
      </c>
      <c r="BR518" s="446">
        <f>IF($E518=0,0,IF(MIN(BR$38,$E518)&lt;MAX($P$34*($B518+$I$38-1),IF(AND($L$37=0,$P$34=0),"",$L$37-1)),0,YEARFRAC(MAX($P$34*($B518+$I$38-1),IF(AND($L$37=0,$P$34=0),"",$L$37-1)),MIN(BR$38,$E518),$P$20))-SUM($BF518:BQ518))</f>
        <v>0</v>
      </c>
      <c r="BS518" s="446">
        <f>IF($E518=0,0,IF(MIN(BS$38,$E518)&lt;MAX($P$34*($B518+$I$38-1),IF(AND($L$37=0,$P$34=0),"",$L$37-1)),0,YEARFRAC(MAX($P$34*($B518+$I$38-1),IF(AND($L$37=0,$P$34=0),"",$L$37-1)),MIN(BS$38,$E518),$P$20))-SUM($BF518:BR518))</f>
        <v>0</v>
      </c>
      <c r="BT518" s="446">
        <f>IF($E518=0,0,IF(MIN(BT$38,$E518)&lt;MAX($P$34*($B518+$I$38-1),IF(AND($L$37=0,$P$34=0),"",$L$37-1)),0,YEARFRAC(MAX($P$34*($B518+$I$38-1),IF(AND($L$37=0,$P$34=0),"",$L$37-1)),MIN(BT$38,$E518),$P$20))-SUM($BF518:BS518))</f>
        <v>0</v>
      </c>
      <c r="BU518" s="446">
        <f>IF($E518=0,0,IF(MIN(BU$38,$E518)&lt;MAX($P$34*($B518+$I$38-1),IF(AND($L$37=0,$P$34=0),"",$L$37-1)),0,YEARFRAC(MAX($P$34*($B518+$I$38-1),IF(AND($L$37=0,$P$34=0),"",$L$37-1)),MIN(BU$38,$E518),$P$20))-SUM($BF518:BT518))</f>
        <v>0</v>
      </c>
      <c r="BV518" s="446">
        <f>IF($E518=0,0,IF(MIN(BV$38,$E518)&lt;MAX($P$34*($B518+$I$38-1),IF(AND($L$37=0,$P$34=0),"",$L$37-1)),0,YEARFRAC(MAX($P$34*($B518+$I$38-1),IF(AND($L$37=0,$P$34=0),"",$L$37-1)),MIN(BV$38,$E518),$P$20))-SUM($BF518:BU518))</f>
        <v>0</v>
      </c>
      <c r="BW518" s="446">
        <f>IF($E518=0,0,IF(MIN(BW$38,$E518)&lt;MAX($P$34*($B518+$I$38-1),IF(AND($L$37=0,$P$34=0),"",$L$37-1)),0,YEARFRAC(MAX($P$34*($B518+$I$38-1),IF(AND($L$37=0,$P$34=0),"",$L$37-1)),MIN(BW$38,$E518),$P$20))-SUM($BF518:BV518))</f>
        <v>0</v>
      </c>
      <c r="BX518" s="446">
        <f>IF($E518=0,0,IF(MIN(BX$38,$E518)&lt;MAX($P$34*($B518+$I$38-1),IF(AND($L$37=0,$P$34=0),"",$L$37-1)),0,YEARFRAC(MAX($P$34*($B518+$I$38-1),IF(AND($L$37=0,$P$34=0),"",$L$37-1)),MIN(BX$38,$E518),$P$20))-SUM($BF518:BW518))</f>
        <v>0</v>
      </c>
      <c r="BY518" s="446">
        <f>IF($E518=0,0,IF(MIN(BY$38,$E518)&lt;MAX($P$34*($B518+$I$38-1),IF(AND($L$37=0,$P$34=0),"",$L$37-1)),0,YEARFRAC(MAX($P$34*($B518+$I$38-1),IF(AND($L$37=0,$P$34=0),"",$L$37-1)),MIN(BY$38,$E518),$P$20))-SUM($BF518:BX518))</f>
        <v>0</v>
      </c>
      <c r="BZ518" s="446">
        <f>IF($E518=0,0,IF(MIN(BZ$38,$E518)&lt;MAX($P$34*($B518+$I$38-1),IF(AND($L$37=0,$P$34=0),"",$L$37-1)),0,YEARFRAC(MAX($P$34*($B518+$I$38-1),IF(AND($L$37=0,$P$34=0),"",$L$37-1)),MIN(BZ$38,$E518),$P$20))-SUM($BF518:BY518))</f>
        <v>0</v>
      </c>
      <c r="CA518" s="446">
        <f>IF($E518=0,0,IF(MIN(CA$38,$E518)&lt;MAX($P$34*($B518+$I$38-1),IF(AND($L$37=0,$P$34=0),"",$L$37-1)),0,YEARFRAC(MAX($P$34*($B518+$I$38-1),IF(AND($L$37=0,$P$34=0),"",$L$37-1)),MIN(CA$38,$E518),$P$20))-SUM($BF518:BZ518))</f>
        <v>0</v>
      </c>
      <c r="CB518" s="446">
        <f>IF($E518=0,0,IF(MIN(CB$38,$E518)&lt;MAX($P$34*($B518+$I$38-1),IF(AND($L$37=0,$P$34=0),"",$L$37-1)),0,YEARFRAC(MAX($P$34*($B518+$I$38-1),IF(AND($L$37=0,$P$34=0),"",$L$37-1)),MIN(CB$38,$E518),$P$20))-SUM($BF518:CA518))</f>
        <v>0</v>
      </c>
      <c r="CC518" s="446">
        <f>IF($E518=0,0,IF(MIN(CC$38,$E518)&lt;MAX($P$34*($B518+$I$38-1),IF(AND($L$37=0,$P$34=0),"",$L$37-1)),0,YEARFRAC(MAX($P$34*($B518+$I$38-1),IF(AND($L$37=0,$P$34=0),"",$L$37-1)),MIN(CC$38,$E518),$P$20))-SUM($BF518:CB518))</f>
        <v>0</v>
      </c>
      <c r="CD518" s="446">
        <f>IF($E518=0,0,IF(MIN(CD$38,$E518)&lt;MAX($P$34*($B518+$I$38-1),IF(AND($L$37=0,$P$34=0),"",$L$37-1)),0,YEARFRAC(MAX($P$34*($B518+$I$38-1),IF(AND($L$37=0,$P$34=0),"",$L$37-1)),MIN(CD$38,$E518),$P$20))-SUM($BF518:CC518))</f>
        <v>0</v>
      </c>
      <c r="CE518" s="446">
        <f>IF($E518=0,0,IF(MIN(CE$38,$E518)&lt;MAX($P$34*($B518+$I$38-1),IF(AND($L$37=0,$P$34=0),"",$L$37-1)),0,YEARFRAC(MAX($P$34*($B518+$I$38-1),IF(AND($L$37=0,$P$34=0),"",$L$37-1)),MIN(CE$38,$E518),$P$20))-SUM($BF518:CD518))</f>
        <v>0</v>
      </c>
      <c r="CF518" s="446">
        <f>IF($E518=0,0,IF(MIN(CF$38,$E518)&lt;MAX($P$34*($B518+$I$38-1),IF(AND($L$37=0,$P$34=0),"",$L$37-1)),0,YEARFRAC(MAX($P$34*($B518+$I$38-1),IF(AND($L$37=0,$P$34=0),"",$L$37-1)),MIN(CF$38,$E518),$P$20))-SUM($BF518:CE518))</f>
        <v>0</v>
      </c>
      <c r="CG518" s="446">
        <f>IF($E518=0,0,IF(MIN(CG$38,$E518)&lt;MAX($P$34*($B518+$I$38-1),IF(AND($L$37=0,$P$34=0),"",$L$37-1)),0,YEARFRAC(MAX($P$34*($B518+$I$38-1),IF(AND($L$37=0,$P$34=0),"",$L$37-1)),MIN(CG$38,$E518),$P$20))-SUM($BF518:CF518))</f>
        <v>0</v>
      </c>
      <c r="CH518" s="446">
        <f>IF($E518=0,0,IF(MIN(CH$38,$E518)&lt;MAX($P$34*($B518+$I$38-1),IF(AND($L$37=0,$P$34=0),"",$L$37-1)),0,YEARFRAC(MAX($P$34*($B518+$I$38-1),IF(AND($L$37=0,$P$34=0),"",$L$37-1)),MIN(CH$38,$E518),$P$20))-SUM($BF518:CG518))</f>
        <v>0</v>
      </c>
      <c r="CI518" s="446">
        <f>IF($E518=0,0,IF(MIN(CI$38,$E518)&lt;MAX($P$34*($B518+$I$38-1),IF(AND($L$37=0,$P$34=0),"",$L$37-1)),0,YEARFRAC(MAX($P$34*($B518+$I$38-1),IF(AND($L$37=0,$P$34=0),"",$L$37-1)),MIN(CI$38,$E518),$P$20))-SUM($BF518:CH518))</f>
        <v>0</v>
      </c>
      <c r="CJ518" s="446">
        <f>IF($E518=0,0,IF(MIN(CJ$38,$E518)&lt;MAX($P$34*($B518+$I$38-1),IF(AND($L$37=0,$P$34=0),"",$L$37-1)),0,YEARFRAC(MAX($P$34*($B518+$I$38-1),IF(AND($L$37=0,$P$34=0),"",$L$37-1)),MIN(CJ$38,$E518),$P$20))-SUM($BF518:CI518))</f>
        <v>0</v>
      </c>
      <c r="CK518" s="446">
        <f>IF($E518=0,0,IF(MIN(CK$38,$E518)&lt;MAX($P$34*($B518+$I$38-1),IF(AND($L$37=0,$P$34=0),"",$L$37-1)),0,YEARFRAC(MAX($P$34*($B518+$I$38-1),IF(AND($L$37=0,$P$34=0),"",$L$37-1)),MIN(CK$38,$E518),$P$20))-SUM($BF518:CJ518))</f>
        <v>0</v>
      </c>
      <c r="CL518" s="446">
        <f>IF($E518=0,0,IF(MIN(CL$38,$E518)&lt;MAX($P$34*($B518+$I$38-1),IF(AND($L$37=0,$P$34=0),"",$L$37-1)),0,YEARFRAC(MAX($P$34*($B518+$I$38-1),IF(AND($L$37=0,$P$34=0),"",$L$37-1)),MIN(CL$38,$E518),$P$20))-SUM($BF518:CK518))</f>
        <v>0</v>
      </c>
      <c r="CM518" s="446">
        <f>IF($E518=0,0,IF(MIN(CM$38,$E518)&lt;MAX($P$34*($B518+$I$38-1),IF(AND($L$37=0,$P$34=0),"",$L$37-1)),0,YEARFRAC(MAX($P$34*($B518+$I$38-1),IF(AND($L$37=0,$P$34=0),"",$L$37-1)),MIN(CM$38,$E518),$P$20))-SUM($BF518:CL518))</f>
        <v>0</v>
      </c>
      <c r="CN518" s="446">
        <f>IF($E518=0,0,IF(MIN(CN$38,$E518)&lt;MAX($P$34*($B518+$I$38-1),IF(AND($L$37=0,$P$34=0),"",$L$37-1)),0,YEARFRAC(MAX($P$34*($B518+$I$38-1),IF(AND($L$37=0,$P$34=0),"",$L$37-1)),MIN(CN$38,$E518),$P$20))-SUM($BF518:CM518))</f>
        <v>0</v>
      </c>
      <c r="CO518" s="446">
        <f>IF($E518=0,0,IF(MIN(CO$38,$E518)&lt;MAX($P$34*($B518+$I$38-1),IF(AND($L$37=0,$P$34=0),"",$L$37-1)),0,YEARFRAC(MAX($P$34*($B518+$I$38-1),IF(AND($L$37=0,$P$34=0),"",$L$37-1)),MIN(CO$38,$E518),$P$20))-SUM($BF518:CN518))</f>
        <v>0</v>
      </c>
      <c r="CP518" s="446">
        <f>IF($E518=0,0,IF(MIN(CP$38,$E518)&lt;MAX($P$34*($B518+$I$38-1),IF(AND($L$37=0,$P$34=0),"",$L$37-1)),0,YEARFRAC(MAX($P$34*($B518+$I$38-1),IF(AND($L$37=0,$P$34=0),"",$L$37-1)),MIN(CP$38,$E518),$P$20))-SUM($BF518:CO518))</f>
        <v>0</v>
      </c>
      <c r="CQ518" s="446">
        <f>IF($E518=0,0,IF(MIN(CQ$38,$E518)&lt;MAX($P$34*($B518+$I$38-1),IF(AND($L$37=0,$P$34=0),"",$L$37-1)),0,YEARFRAC(MAX($P$34*($B518+$I$38-1),IF(AND($L$37=0,$P$34=0),"",$L$37-1)),MIN(CQ$38,$E518),$P$20))-SUM($BF518:CP518))</f>
        <v>0</v>
      </c>
    </row>
    <row r="519" spans="1:95" s="446" customFormat="1" ht="11.25" hidden="1" customHeight="1" x14ac:dyDescent="0.2">
      <c r="A519" s="152"/>
      <c r="B519" s="153" t="str">
        <f t="shared" si="92"/>
        <v/>
      </c>
      <c r="C519" s="29" t="str">
        <f>IF(B519="","",IF($L$35="SELIC - TRIBUTOS",VLOOKUP(DATE(YEAR($D$19),MONTH($D$19)-1,1),ÍNDICES!$A:$DE,HLOOKUP($BL$25,ÍNDICES!$B$3:$T$4,2)+11)-VLOOKUP(B519,ÍNDICES!$A:$DE,HLOOKUP($BL$25,ÍNDICES!$B$3:$T$4,2)+11)+1%,IF(C$38=$W$26,$J$35,IF(ISERROR(IF(B519&gt;$D$19,1,VLOOKUP(DATE(YEAR(B519),MONTH(B519)+IF($C$35=$S$23,1,0),1),ÍNDICES!$A:$DE,$Z$35+1))),"",IF(B519&gt;$D$19,1,VLOOKUP(DATE(YEAR(B519),MONTH(B519)+IF($C$35=$S$23,1,0),1),ÍNDICES!$A:$DE,$Z$35+1))))))</f>
        <v/>
      </c>
      <c r="D519" s="154" t="str">
        <f>IF(ISERROR(IF(OR($D$38=$Y$27,$B519=""),"",VLOOKUP(B519,ÍNDICES!A:DE,AF$35+1))),"",IF(OR($D$38=$Y$27,$B519=""),"",VLOOKUP(B519,ÍNDICES!A:DE,AF$35+1)))</f>
        <v/>
      </c>
      <c r="E519" s="153"/>
      <c r="F519" s="29" t="str">
        <f>IF(E519="","",IF($L$35="SELIC - TRIBUTOS",VLOOKUP(DATE(YEAR($D$19),MONTH($D$19)-1,1),ÍNDICES!$A:$DE,HLOOKUP($BL$25,ÍNDICES!$B$3:$T$4,2)+11)-VLOOKUP(E519,ÍNDICES!$A:$DE,HLOOKUP($BL$25,ÍNDICES!$B$3:$T$4,2)+11)+1%,IF(F$38=$W$26,$J$35,IF(ISERROR(IF(E519&gt;$D$19,1,VLOOKUP(DATE(YEAR(E519),MONTH(E519)+IF($C$35=$S$23,1,0),1),ÍNDICES!$A:$DE,$Z$35+1))),"",IF(E519&gt;$D$19,1,VLOOKUP(DATE(YEAR(E519),MONTH(E519)+IF($C$35=$S$23,1,0),1),ÍNDICES!$A:$DE,$Z$35+1))))))</f>
        <v/>
      </c>
      <c r="G519" s="155"/>
      <c r="H519" s="156" t="str">
        <f t="shared" si="88"/>
        <v/>
      </c>
      <c r="I519" s="29" t="str">
        <f t="shared" si="82"/>
        <v/>
      </c>
      <c r="J519" s="5">
        <f t="shared" si="83"/>
        <v>0</v>
      </c>
      <c r="K519" s="20">
        <f t="shared" ca="1" si="84"/>
        <v>0</v>
      </c>
      <c r="L519" s="5">
        <f t="shared" ca="1" si="85"/>
        <v>0</v>
      </c>
      <c r="M519" s="64">
        <f t="shared" si="89"/>
        <v>0</v>
      </c>
      <c r="N519" s="61">
        <f t="shared" ca="1" si="90"/>
        <v>0</v>
      </c>
      <c r="O519" s="5">
        <f t="shared" ca="1" si="91"/>
        <v>0</v>
      </c>
      <c r="P519" s="446" t="e">
        <f t="shared" si="86"/>
        <v>#VALUE!</v>
      </c>
      <c r="Q519" s="446" t="e">
        <f>IF(OR($B519="",MIN(Q$38,$D$19)&lt;MAX($P$34*($B519+IF($R$17="Distrato",$I$38-1,0)),IF(AND($L$37=0,$P$34=0),"",$L$37-1),IF($R$17="Distrato",$E519,0))),0,YEARFRAC(MAX($P$34*($B519+IF($R$17="Distrato",$I$38-1,0)),IF(AND($L$37=0,$P$34=0),"",$L$37-1),IF($R$17="Distrato",$E519,0)),MIN(Q$38,$D$19),$P$20))-SUM($P519:P519)</f>
        <v>#VALUE!</v>
      </c>
      <c r="R519" s="446" t="e">
        <f>IF(OR($B519="",MIN(R$38,$D$19)&lt;MAX($P$34*($B519+IF($R$17="Distrato",$I$38-1,0)),IF(AND($L$37=0,$P$34=0),"",$L$37-1),IF($R$17="Distrato",$E519,0))),0,YEARFRAC(MAX($P$34*($B519+IF($R$17="Distrato",$I$38-1,0)),IF(AND($L$37=0,$P$34=0),"",$L$37-1),IF($R$17="Distrato",$E519,0)),MIN(R$38,$D$19),$P$20))-SUM($P519:Q519)</f>
        <v>#VALUE!</v>
      </c>
      <c r="S519" s="446" t="e">
        <f>IF(OR($B519="",MIN(S$38,$D$19)&lt;MAX($P$34*($B519+IF($R$17="Distrato",$I$38-1,0)),IF(AND($L$37=0,$P$34=0),"",$L$37-1),IF($R$17="Distrato",$E519,0))),0,YEARFRAC(MAX($P$34*($B519+IF($R$17="Distrato",$I$38-1,0)),IF(AND($L$37=0,$P$34=0),"",$L$37-1),IF($R$17="Distrato",$E519,0)),MIN(S$38,$D$19),$P$20))-SUM($P519:R519)</f>
        <v>#VALUE!</v>
      </c>
      <c r="T519" s="446" t="e">
        <f>IF(OR($B519="",MIN(T$38,$D$19)&lt;MAX($P$34*($B519+IF($R$17="Distrato",$I$38-1,0)),IF(AND($L$37=0,$P$34=0),"",$L$37-1),IF($R$17="Distrato",$E519,0))),0,YEARFRAC(MAX($P$34*($B519+IF($R$17="Distrato",$I$38-1,0)),IF(AND($L$37=0,$P$34=0),"",$L$37-1),IF($R$17="Distrato",$E519,0)),MIN(T$38,$D$19),$P$20))-SUM($P519:S519)</f>
        <v>#VALUE!</v>
      </c>
      <c r="U519" s="446" t="e">
        <f>IF(OR($B519="",MIN(U$38,$D$19)&lt;MAX($P$34*($B519+IF($R$17="Distrato",$I$38-1,0)),IF(AND($L$37=0,$P$34=0),"",$L$37-1),IF($R$17="Distrato",$E519,0))),0,YEARFRAC(MAX($P$34*($B519+IF($R$17="Distrato",$I$38-1,0)),IF(AND($L$37=0,$P$34=0),"",$L$37-1),IF($R$17="Distrato",$E519,0)),MIN(U$38,$D$19),$P$20))-SUM($P519:T519)</f>
        <v>#VALUE!</v>
      </c>
      <c r="V519" s="446" t="e">
        <f>IF(OR($B519="",MIN(V$38,$D$19)&lt;MAX($P$34*($B519+IF($R$17="Distrato",$I$38-1,0)),IF(AND($L$37=0,$P$34=0),"",$L$37-1),IF($R$17="Distrato",$E519,0))),0,YEARFRAC(MAX($P$34*($B519+IF($R$17="Distrato",$I$38-1,0)),IF(AND($L$37=0,$P$34=0),"",$L$37-1),IF($R$17="Distrato",$E519,0)),MIN(V$38,$D$19),$P$20))-SUM($P519:U519)</f>
        <v>#VALUE!</v>
      </c>
      <c r="W519" s="446" t="e">
        <f>IF(OR($B519="",MIN(W$38,$D$19)&lt;MAX($P$34*($B519+IF($R$17="Distrato",$I$38-1,0)),IF(AND($L$37=0,$P$34=0),"",$L$37-1),IF($R$17="Distrato",$E519,0))),0,YEARFRAC(MAX($P$34*($B519+IF($R$17="Distrato",$I$38-1,0)),IF(AND($L$37=0,$P$34=0),"",$L$37-1),IF($R$17="Distrato",$E519,0)),MIN(W$38,$D$19),$P$20))-SUM($P519:V519)</f>
        <v>#VALUE!</v>
      </c>
      <c r="X519" s="446" t="e">
        <f>IF(OR($B519="",MIN(X$38,$D$19)&lt;MAX($P$34*($B519+IF($R$17="Distrato",$I$38-1,0)),IF(AND($L$37=0,$P$34=0),"",$L$37-1),IF($R$17="Distrato",$E519,0))),0,YEARFRAC(MAX($P$34*($B519+IF($R$17="Distrato",$I$38-1,0)),IF(AND($L$37=0,$P$34=0),"",$L$37-1),IF($R$17="Distrato",$E519,0)),MIN(X$38,$D$19),$P$20))-SUM($P519:W519)</f>
        <v>#VALUE!</v>
      </c>
      <c r="Y519" s="446" t="e">
        <f>IF(OR($B519="",MIN(Y$38,$D$19)&lt;MAX($P$34*($B519+IF($R$17="Distrato",$I$38-1,0)),IF(AND($L$37=0,$P$34=0),"",$L$37-1),IF($R$17="Distrato",$E519,0))),0,YEARFRAC(MAX($P$34*($B519+IF($R$17="Distrato",$I$38-1,0)),IF(AND($L$37=0,$P$34=0),"",$L$37-1),IF($R$17="Distrato",$E519,0)),MIN(Y$38,$D$19),$P$20))-SUM($P519:X519)</f>
        <v>#VALUE!</v>
      </c>
      <c r="Z519" s="446" t="e">
        <f>IF(OR($B519="",MIN(Z$38,$D$19)&lt;MAX($P$34*($B519+IF($R$17="Distrato",$I$38-1,0)),IF(AND($L$37=0,$P$34=0),"",$L$37-1),IF($R$17="Distrato",$E519,0))),0,YEARFRAC(MAX($P$34*($B519+IF($R$17="Distrato",$I$38-1,0)),IF(AND($L$37=0,$P$34=0),"",$L$37-1),IF($R$17="Distrato",$E519,0)),MIN(Z$38,$D$19),$P$20))-SUM($P519:Y519)</f>
        <v>#VALUE!</v>
      </c>
      <c r="AA519" s="446" t="e">
        <f>IF(OR($B519="",MIN(AA$38,$D$19)&lt;MAX($P$34*($B519+IF($R$17="Distrato",$I$38-1,0)),IF(AND($L$37=0,$P$34=0),"",$L$37-1),IF($R$17="Distrato",$E519,0))),0,YEARFRAC(MAX($P$34*($B519+IF($R$17="Distrato",$I$38-1,0)),IF(AND($L$37=0,$P$34=0),"",$L$37-1),IF($R$17="Distrato",$E519,0)),MIN(AA$38,$D$19),$P$20))-SUM($P519:Z519)</f>
        <v>#VALUE!</v>
      </c>
      <c r="AB519" s="446" t="e">
        <f>IF(OR($B519="",MIN(AB$38,$D$19)&lt;MAX($P$34*($B519+IF($R$17="Distrato",$I$38-1,0)),IF(AND($L$37=0,$P$34=0),"",$L$37-1),IF($R$17="Distrato",$E519,0))),0,YEARFRAC(MAX($P$34*($B519+IF($R$17="Distrato",$I$38-1,0)),IF(AND($L$37=0,$P$34=0),"",$L$37-1),IF($R$17="Distrato",$E519,0)),MIN(AB$38,$D$19),$P$20))-SUM($P519:AA519)</f>
        <v>#VALUE!</v>
      </c>
      <c r="AC519" s="446" t="e">
        <f>IF(OR($B519="",MIN(AC$38,$D$19)&lt;MAX($P$34*($B519+IF($R$17="Distrato",$I$38-1,0)),IF(AND($L$37=0,$P$34=0),"",$L$37-1),IF($R$17="Distrato",$E519,0))),0,YEARFRAC(MAX($P$34*($B519+IF($R$17="Distrato",$I$38-1,0)),IF(AND($L$37=0,$P$34=0),"",$L$37-1),IF($R$17="Distrato",$E519,0)),MIN(AC$38,$D$19),$P$20))-SUM($P519:AB519)</f>
        <v>#VALUE!</v>
      </c>
      <c r="AD519" s="446" t="e">
        <f>IF(OR($B519="",MIN(AD$38,$D$19)&lt;MAX($P$34*($B519+IF($R$17="Distrato",$I$38-1,0)),IF(AND($L$37=0,$P$34=0),"",$L$37-1),IF($R$17="Distrato",$E519,0))),0,YEARFRAC(MAX($P$34*($B519+IF($R$17="Distrato",$I$38-1,0)),IF(AND($L$37=0,$P$34=0),"",$L$37-1),IF($R$17="Distrato",$E519,0)),MIN(AD$38,$D$19),$P$20))-SUM($P519:AC519)</f>
        <v>#VALUE!</v>
      </c>
      <c r="AE519" s="446" t="e">
        <f>IF(OR($B519="",MIN(AE$38,$D$19)&lt;MAX($P$34*($B519+IF($R$17="Distrato",$I$38-1,0)),IF(AND($L$37=0,$P$34=0),"",$L$37-1),IF($R$17="Distrato",$E519,0))),0,YEARFRAC(MAX($P$34*($B519+IF($R$17="Distrato",$I$38-1,0)),IF(AND($L$37=0,$P$34=0),"",$L$37-1),IF($R$17="Distrato",$E519,0)),MIN(AE$38,$D$19),$P$20))-SUM($P519:AD519)</f>
        <v>#VALUE!</v>
      </c>
      <c r="AF519" s="446" t="e">
        <f>IF(OR($B519="",MIN(AF$38,$D$19)&lt;MAX($P$34*($B519+IF($R$17="Distrato",$I$38-1,0)),IF(AND($L$37=0,$P$34=0),"",$L$37-1),IF($R$17="Distrato",$E519,0))),0,YEARFRAC(MAX($P$34*($B519+IF($R$17="Distrato",$I$38-1,0)),IF(AND($L$37=0,$P$34=0),"",$L$37-1),IF($R$17="Distrato",$E519,0)),MIN(AF$38,$D$19),$P$20))-SUM($P519:AE519)</f>
        <v>#VALUE!</v>
      </c>
      <c r="AG519" s="446" t="e">
        <f>IF(OR($B519="",MIN(AG$38,$D$19)&lt;MAX($P$34*($B519+IF($R$17="Distrato",$I$38-1,0)),IF(AND($L$37=0,$P$34=0),"",$L$37-1),IF($R$17="Distrato",$E519,0))),0,YEARFRAC(MAX($P$34*($B519+IF($R$17="Distrato",$I$38-1,0)),IF(AND($L$37=0,$P$34=0),"",$L$37-1),IF($R$17="Distrato",$E519,0)),MIN(AG$38,$D$19),$P$20))-SUM($P519:AF519)</f>
        <v>#VALUE!</v>
      </c>
      <c r="AH519" s="446" t="e">
        <f>IF(OR($B519="",MIN(AH$38,$D$19)&lt;MAX($P$34*($B519+IF($R$17="Distrato",$I$38-1,0)),IF(AND($L$37=0,$P$34=0),"",$L$37-1),IF($R$17="Distrato",$E519,0))),0,YEARFRAC(MAX($P$34*($B519+IF($R$17="Distrato",$I$38-1,0)),IF(AND($L$37=0,$P$34=0),"",$L$37-1),IF($R$17="Distrato",$E519,0)),MIN(AH$38,$D$19),$P$20))-SUM($P519:AG519)</f>
        <v>#VALUE!</v>
      </c>
      <c r="AI519" s="446" t="e">
        <f>IF(OR($B519="",MIN(AI$38,$D$19)&lt;MAX($P$34*($B519+IF($R$17="Distrato",$I$38-1,0)),IF(AND($L$37=0,$P$34=0),"",$L$37-1),IF($R$17="Distrato",$E519,0))),0,YEARFRAC(MAX($P$34*($B519+IF($R$17="Distrato",$I$38-1,0)),IF(AND($L$37=0,$P$34=0),"",$L$37-1),IF($R$17="Distrato",$E519,0)),MIN(AI$38,$D$19),$P$20))-SUM($P519:AH519)</f>
        <v>#VALUE!</v>
      </c>
      <c r="AJ519" s="446" t="e">
        <f>IF(OR($B519="",MIN(AJ$38,$D$19)&lt;MAX($P$34*($B519+IF($R$17="Distrato",$I$38-1,0)),IF(AND($L$37=0,$P$34=0),"",$L$37-1),IF($R$17="Distrato",$E519,0))),0,YEARFRAC(MAX($P$34*($B519+IF($R$17="Distrato",$I$38-1,0)),IF(AND($L$37=0,$P$34=0),"",$L$37-1),IF($R$17="Distrato",$E519,0)),MIN(AJ$38,$D$19),$P$20))-SUM($P519:AI519)</f>
        <v>#VALUE!</v>
      </c>
      <c r="AK519" s="446" t="e">
        <f>IF(OR($B519="",MIN(AK$38,$D$19)&lt;MAX($P$34*($B519+IF($R$17="Distrato",$I$38-1,0)),IF(AND($L$37=0,$P$34=0),"",$L$37-1),IF($R$17="Distrato",$E519,0))),0,YEARFRAC(MAX($P$34*($B519+IF($R$17="Distrato",$I$38-1,0)),IF(AND($L$37=0,$P$34=0),"",$L$37-1),IF($R$17="Distrato",$E519,0)),MIN(AK$38,$D$19),$P$20))-SUM($P519:AJ519)</f>
        <v>#VALUE!</v>
      </c>
      <c r="AL519" s="446" t="e">
        <f>IF(OR($B519="",MIN(AL$38,$D$19)&lt;MAX($P$34*($B519+IF($R$17="Distrato",$I$38-1,0)),IF(AND($L$37=0,$P$34=0),"",$L$37-1),IF($R$17="Distrato",$E519,0))),0,YEARFRAC(MAX($P$34*($B519+IF($R$17="Distrato",$I$38-1,0)),IF(AND($L$37=0,$P$34=0),"",$L$37-1),IF($R$17="Distrato",$E519,0)),MIN(AL$38,$D$19),$P$20))-SUM($P519:AK519)</f>
        <v>#VALUE!</v>
      </c>
      <c r="AM519" s="446" t="e">
        <f>IF(OR($B519="",MIN(AM$38,$D$19)&lt;MAX($P$34*($B519+IF($R$17="Distrato",$I$38-1,0)),IF(AND($L$37=0,$P$34=0),"",$L$37-1),IF($R$17="Distrato",$E519,0))),0,YEARFRAC(MAX($P$34*($B519+IF($R$17="Distrato",$I$38-1,0)),IF(AND($L$37=0,$P$34=0),"",$L$37-1),IF($R$17="Distrato",$E519,0)),MIN(AM$38,$D$19),$P$20))-SUM($P519:AL519)</f>
        <v>#VALUE!</v>
      </c>
      <c r="AN519" s="446" t="e">
        <f>IF(OR($B519="",MIN(AN$38,$D$19)&lt;MAX($P$34*($B519+IF($R$17="Distrato",$I$38-1,0)),IF(AND($L$37=0,$P$34=0),"",$L$37-1),IF($R$17="Distrato",$E519,0))),0,YEARFRAC(MAX($P$34*($B519+IF($R$17="Distrato",$I$38-1,0)),IF(AND($L$37=0,$P$34=0),"",$L$37-1),IF($R$17="Distrato",$E519,0)),MIN(AN$38,$D$19),$P$20))-SUM($P519:AM519)</f>
        <v>#VALUE!</v>
      </c>
      <c r="AO519" s="446" t="e">
        <f>IF(OR($B519="",MIN(AO$38,$D$19)&lt;MAX($P$34*($B519+IF($R$17="Distrato",$I$38-1,0)),IF(AND($L$37=0,$P$34=0),"",$L$37-1),IF($R$17="Distrato",$E519,0))),0,YEARFRAC(MAX($P$34*($B519+IF($R$17="Distrato",$I$38-1,0)),IF(AND($L$37=0,$P$34=0),"",$L$37-1),IF($R$17="Distrato",$E519,0)),MIN(AO$38,$D$19),$P$20))-SUM($P519:AN519)</f>
        <v>#VALUE!</v>
      </c>
      <c r="AP519" s="446" t="e">
        <f>IF(OR($B519="",MIN(AP$38,$D$19)&lt;MAX($P$34*($B519+IF($R$17="Distrato",$I$38-1,0)),IF(AND($L$37=0,$P$34=0),"",$L$37-1),IF($R$17="Distrato",$E519,0))),0,YEARFRAC(MAX($P$34*($B519+IF($R$17="Distrato",$I$38-1,0)),IF(AND($L$37=0,$P$34=0),"",$L$37-1),IF($R$17="Distrato",$E519,0)),MIN(AP$38,$D$19),$P$20))-SUM($P519:AO519)</f>
        <v>#VALUE!</v>
      </c>
      <c r="AQ519" s="446" t="e">
        <f>IF(OR($B519="",MIN(AQ$38,$D$19)&lt;MAX($P$34*($B519+IF($R$17="Distrato",$I$38-1,0)),IF(AND($L$37=0,$P$34=0),"",$L$37-1),IF($R$17="Distrato",$E519,0))),0,YEARFRAC(MAX($P$34*($B519+IF($R$17="Distrato",$I$38-1,0)),IF(AND($L$37=0,$P$34=0),"",$L$37-1),IF($R$17="Distrato",$E519,0)),MIN(AQ$38,$D$19),$P$20))-SUM($P519:AP519)</f>
        <v>#VALUE!</v>
      </c>
      <c r="AR519" s="446" t="e">
        <f>IF(OR($B519="",MIN(AR$38,$D$19)&lt;MAX($P$34*($B519+IF($R$17="Distrato",$I$38-1,0)),IF(AND($L$37=0,$P$34=0),"",$L$37-1),IF($R$17="Distrato",$E519,0))),0,YEARFRAC(MAX($P$34*($B519+IF($R$17="Distrato",$I$38-1,0)),IF(AND($L$37=0,$P$34=0),"",$L$37-1),IF($R$17="Distrato",$E519,0)),MIN(AR$38,$D$19),$P$20))-SUM($P519:AQ519)</f>
        <v>#VALUE!</v>
      </c>
      <c r="AS519" s="446" t="e">
        <f>IF(OR($B519="",MIN(AS$38,$D$19)&lt;MAX($P$34*($B519+IF($R$17="Distrato",$I$38-1,0)),IF(AND($L$37=0,$P$34=0),"",$L$37-1),IF($R$17="Distrato",$E519,0))),0,YEARFRAC(MAX($P$34*($B519+IF($R$17="Distrato",$I$38-1,0)),IF(AND($L$37=0,$P$34=0),"",$L$37-1),IF($R$17="Distrato",$E519,0)),MIN(AS$38,$D$19),$P$20))-SUM($P519:AR519)</f>
        <v>#VALUE!</v>
      </c>
      <c r="AT519" s="446" t="e">
        <f>IF(OR($B519="",MIN(AT$38,$D$19)&lt;MAX($P$34*($B519+IF($R$17="Distrato",$I$38-1,0)),IF(AND($L$37=0,$P$34=0),"",$L$37-1),IF($R$17="Distrato",$E519,0))),0,YEARFRAC(MAX($P$34*($B519+IF($R$17="Distrato",$I$38-1,0)),IF(AND($L$37=0,$P$34=0),"",$L$37-1),IF($R$17="Distrato",$E519,0)),MIN(AT$38,$D$19),$P$20))-SUM($P519:AS519)</f>
        <v>#VALUE!</v>
      </c>
      <c r="AU519" s="446" t="e">
        <f>IF(OR($B519="",MIN(AU$38,$D$19)&lt;MAX($P$34*($B519+IF($R$17="Distrato",$I$38-1,0)),IF(AND($L$37=0,$P$34=0),"",$L$37-1),IF($R$17="Distrato",$E519,0))),0,YEARFRAC(MAX($P$34*($B519+IF($R$17="Distrato",$I$38-1,0)),IF(AND($L$37=0,$P$34=0),"",$L$37-1),IF($R$17="Distrato",$E519,0)),MIN(AU$38,$D$19),$P$20))-SUM($P519:AT519)</f>
        <v>#VALUE!</v>
      </c>
      <c r="AV519" s="446" t="e">
        <f>IF(OR($B519="",MIN(AV$38,$D$19)&lt;MAX($P$34*($B519+IF($R$17="Distrato",$I$38-1,0)),IF(AND($L$37=0,$P$34=0),"",$L$37-1),IF($R$17="Distrato",$E519,0))),0,YEARFRAC(MAX($P$34*($B519+IF($R$17="Distrato",$I$38-1,0)),IF(AND($L$37=0,$P$34=0),"",$L$37-1),IF($R$17="Distrato",$E519,0)),MIN(AV$38,$D$19),$P$20))-SUM($P519:AU519)</f>
        <v>#VALUE!</v>
      </c>
      <c r="AW519" s="446" t="e">
        <f>IF(OR($B519="",MIN(AW$38,$D$19)&lt;MAX($P$34*($B519+IF($R$17="Distrato",$I$38-1,0)),IF(AND($L$37=0,$P$34=0),"",$L$37-1),IF($R$17="Distrato",$E519,0))),0,YEARFRAC(MAX($P$34*($B519+IF($R$17="Distrato",$I$38-1,0)),IF(AND($L$37=0,$P$34=0),"",$L$37-1),IF($R$17="Distrato",$E519,0)),MIN(AW$38,$D$19),$P$20))-SUM($P519:AV519)</f>
        <v>#VALUE!</v>
      </c>
      <c r="AX519" s="446" t="e">
        <f>IF(OR($B519="",MIN(AX$38,$D$19)&lt;MAX($P$34*($B519+IF($R$17="Distrato",$I$38-1,0)),IF(AND($L$37=0,$P$34=0),"",$L$37-1),IF($R$17="Distrato",$E519,0))),0,YEARFRAC(MAX($P$34*($B519+IF($R$17="Distrato",$I$38-1,0)),IF(AND($L$37=0,$P$34=0),"",$L$37-1),IF($R$17="Distrato",$E519,0)),MIN(AX$38,$D$19),$P$20))-SUM($P519:AW519)</f>
        <v>#VALUE!</v>
      </c>
      <c r="AY519" s="446" t="e">
        <f>IF(OR($B519="",MIN(AY$38,$D$19)&lt;MAX($P$34*($B519+IF($R$17="Distrato",$I$38-1,0)),IF(AND($L$37=0,$P$34=0),"",$L$37-1),IF($R$17="Distrato",$E519,0))),0,YEARFRAC(MAX($P$34*($B519+IF($R$17="Distrato",$I$38-1,0)),IF(AND($L$37=0,$P$34=0),"",$L$37-1),IF($R$17="Distrato",$E519,0)),MIN(AY$38,$D$19),$P$20))-SUM($P519:AX519)</f>
        <v>#VALUE!</v>
      </c>
      <c r="AZ519" s="446" t="e">
        <f>IF(OR($B519="",MIN(AZ$38,$D$19)&lt;MAX($P$34*($B519+IF($R$17="Distrato",$I$38-1,0)),IF(AND($L$37=0,$P$34=0),"",$L$37-1),IF($R$17="Distrato",$E519,0))),0,YEARFRAC(MAX($P$34*($B519+IF($R$17="Distrato",$I$38-1,0)),IF(AND($L$37=0,$P$34=0),"",$L$37-1),IF($R$17="Distrato",$E519,0)),MIN(AZ$38,$D$19),$P$20))-SUM($P519:AY519)</f>
        <v>#VALUE!</v>
      </c>
      <c r="BA519" s="446" t="e">
        <f>IF(OR($B519="",MIN(BA$38,$D$19)&lt;MAX($P$34*($B519+IF($R$17="Distrato",$I$38-1,0)),IF(AND($L$37=0,$P$34=0),"",$L$37-1),IF($R$17="Distrato",$E519,0))),0,YEARFRAC(MAX($P$34*($B519+IF($R$17="Distrato",$I$38-1,0)),IF(AND($L$37=0,$P$34=0),"",$L$37-1),IF($R$17="Distrato",$E519,0)),MIN(BA$38,$D$19),$P$20))-SUM($P519:AZ519)</f>
        <v>#VALUE!</v>
      </c>
      <c r="BB519" s="447"/>
      <c r="BF519" s="446">
        <f t="shared" si="87"/>
        <v>0</v>
      </c>
      <c r="BG519" s="446">
        <f>IF($E519=0,0,IF(MIN(BG$38,$E519)&lt;MAX($P$34*($B519+$I$38-1),IF(AND($L$37=0,$P$34=0),"",$L$37-1)),0,YEARFRAC(MAX($P$34*($B519+$I$38-1),IF(AND($L$37=0,$P$34=0),"",$L$37-1)),MIN(BG$38,$E519),$P$20))-SUM($BF519:BF519))</f>
        <v>0</v>
      </c>
      <c r="BH519" s="446">
        <f>IF($E519=0,0,IF(MIN(BH$38,$E519)&lt;MAX($P$34*($B519+$I$38-1),IF(AND($L$37=0,$P$34=0),"",$L$37-1)),0,YEARFRAC(MAX($P$34*($B519+$I$38-1),IF(AND($L$37=0,$P$34=0),"",$L$37-1)),MIN(BH$38,$E519),$P$20))-SUM($BF519:BG519))</f>
        <v>0</v>
      </c>
      <c r="BI519" s="446">
        <f>IF($E519=0,0,IF(MIN(BI$38,$E519)&lt;MAX($P$34*($B519+$I$38-1),IF(AND($L$37=0,$P$34=0),"",$L$37-1)),0,YEARFRAC(MAX($P$34*($B519+$I$38-1),IF(AND($L$37=0,$P$34=0),"",$L$37-1)),MIN(BI$38,$E519),$P$20))-SUM($BF519:BH519))</f>
        <v>0</v>
      </c>
      <c r="BJ519" s="446">
        <f>IF($E519=0,0,IF(MIN(BJ$38,$E519)&lt;MAX($P$34*($B519+$I$38-1),IF(AND($L$37=0,$P$34=0),"",$L$37-1)),0,YEARFRAC(MAX($P$34*($B519+$I$38-1),IF(AND($L$37=0,$P$34=0),"",$L$37-1)),MIN(BJ$38,$E519),$P$20))-SUM($BF519:BI519))</f>
        <v>0</v>
      </c>
      <c r="BK519" s="446">
        <f>IF($E519=0,0,IF(MIN(BK$38,$E519)&lt;MAX($P$34*($B519+$I$38-1),IF(AND($L$37=0,$P$34=0),"",$L$37-1)),0,YEARFRAC(MAX($P$34*($B519+$I$38-1),IF(AND($L$37=0,$P$34=0),"",$L$37-1)),MIN(BK$38,$E519),$P$20))-SUM($BF519:BJ519))</f>
        <v>0</v>
      </c>
      <c r="BL519" s="446">
        <f>IF($E519=0,0,IF(MIN(BL$38,$E519)&lt;MAX($P$34*($B519+$I$38-1),IF(AND($L$37=0,$P$34=0),"",$L$37-1)),0,YEARFRAC(MAX($P$34*($B519+$I$38-1),IF(AND($L$37=0,$P$34=0),"",$L$37-1)),MIN(BL$38,$E519),$P$20))-SUM($BF519:BK519))</f>
        <v>0</v>
      </c>
      <c r="BM519" s="446">
        <f>IF($E519=0,0,IF(MIN(BM$38,$E519)&lt;MAX($P$34*($B519+$I$38-1),IF(AND($L$37=0,$P$34=0),"",$L$37-1)),0,YEARFRAC(MAX($P$34*($B519+$I$38-1),IF(AND($L$37=0,$P$34=0),"",$L$37-1)),MIN(BM$38,$E519),$P$20))-SUM($BF519:BL519))</f>
        <v>0</v>
      </c>
      <c r="BN519" s="446">
        <f>IF($E519=0,0,IF(MIN(BN$38,$E519)&lt;MAX($P$34*($B519+$I$38-1),IF(AND($L$37=0,$P$34=0),"",$L$37-1)),0,YEARFRAC(MAX($P$34*($B519+$I$38-1),IF(AND($L$37=0,$P$34=0),"",$L$37-1)),MIN(BN$38,$E519),$P$20))-SUM($BF519:BM519))</f>
        <v>0</v>
      </c>
      <c r="BO519" s="446">
        <f>IF($E519=0,0,IF(MIN(BO$38,$E519)&lt;MAX($P$34*($B519+$I$38-1),IF(AND($L$37=0,$P$34=0),"",$L$37-1)),0,YEARFRAC(MAX($P$34*($B519+$I$38-1),IF(AND($L$37=0,$P$34=0),"",$L$37-1)),MIN(BO$38,$E519),$P$20))-SUM($BF519:BN519))</f>
        <v>0</v>
      </c>
      <c r="BP519" s="446">
        <f>IF($E519=0,0,IF(MIN(BP$38,$E519)&lt;MAX($P$34*($B519+$I$38-1),IF(AND($L$37=0,$P$34=0),"",$L$37-1)),0,YEARFRAC(MAX($P$34*($B519+$I$38-1),IF(AND($L$37=0,$P$34=0),"",$L$37-1)),MIN(BP$38,$E519),$P$20))-SUM($BF519:BO519))</f>
        <v>0</v>
      </c>
      <c r="BQ519" s="446">
        <f>IF($E519=0,0,IF(MIN(BQ$38,$E519)&lt;MAX($P$34*($B519+$I$38-1),IF(AND($L$37=0,$P$34=0),"",$L$37-1)),0,YEARFRAC(MAX($P$34*($B519+$I$38-1),IF(AND($L$37=0,$P$34=0),"",$L$37-1)),MIN(BQ$38,$E519),$P$20))-SUM($BF519:BP519))</f>
        <v>0</v>
      </c>
      <c r="BR519" s="446">
        <f>IF($E519=0,0,IF(MIN(BR$38,$E519)&lt;MAX($P$34*($B519+$I$38-1),IF(AND($L$37=0,$P$34=0),"",$L$37-1)),0,YEARFRAC(MAX($P$34*($B519+$I$38-1),IF(AND($L$37=0,$P$34=0),"",$L$37-1)),MIN(BR$38,$E519),$P$20))-SUM($BF519:BQ519))</f>
        <v>0</v>
      </c>
      <c r="BS519" s="446">
        <f>IF($E519=0,0,IF(MIN(BS$38,$E519)&lt;MAX($P$34*($B519+$I$38-1),IF(AND($L$37=0,$P$34=0),"",$L$37-1)),0,YEARFRAC(MAX($P$34*($B519+$I$38-1),IF(AND($L$37=0,$P$34=0),"",$L$37-1)),MIN(BS$38,$E519),$P$20))-SUM($BF519:BR519))</f>
        <v>0</v>
      </c>
      <c r="BT519" s="446">
        <f>IF($E519=0,0,IF(MIN(BT$38,$E519)&lt;MAX($P$34*($B519+$I$38-1),IF(AND($L$37=0,$P$34=0),"",$L$37-1)),0,YEARFRAC(MAX($P$34*($B519+$I$38-1),IF(AND($L$37=0,$P$34=0),"",$L$37-1)),MIN(BT$38,$E519),$P$20))-SUM($BF519:BS519))</f>
        <v>0</v>
      </c>
      <c r="BU519" s="446">
        <f>IF($E519=0,0,IF(MIN(BU$38,$E519)&lt;MAX($P$34*($B519+$I$38-1),IF(AND($L$37=0,$P$34=0),"",$L$37-1)),0,YEARFRAC(MAX($P$34*($B519+$I$38-1),IF(AND($L$37=0,$P$34=0),"",$L$37-1)),MIN(BU$38,$E519),$P$20))-SUM($BF519:BT519))</f>
        <v>0</v>
      </c>
      <c r="BV519" s="446">
        <f>IF($E519=0,0,IF(MIN(BV$38,$E519)&lt;MAX($P$34*($B519+$I$38-1),IF(AND($L$37=0,$P$34=0),"",$L$37-1)),0,YEARFRAC(MAX($P$34*($B519+$I$38-1),IF(AND($L$37=0,$P$34=0),"",$L$37-1)),MIN(BV$38,$E519),$P$20))-SUM($BF519:BU519))</f>
        <v>0</v>
      </c>
      <c r="BW519" s="446">
        <f>IF($E519=0,0,IF(MIN(BW$38,$E519)&lt;MAX($P$34*($B519+$I$38-1),IF(AND($L$37=0,$P$34=0),"",$L$37-1)),0,YEARFRAC(MAX($P$34*($B519+$I$38-1),IF(AND($L$37=0,$P$34=0),"",$L$37-1)),MIN(BW$38,$E519),$P$20))-SUM($BF519:BV519))</f>
        <v>0</v>
      </c>
      <c r="BX519" s="446">
        <f>IF($E519=0,0,IF(MIN(BX$38,$E519)&lt;MAX($P$34*($B519+$I$38-1),IF(AND($L$37=0,$P$34=0),"",$L$37-1)),0,YEARFRAC(MAX($P$34*($B519+$I$38-1),IF(AND($L$37=0,$P$34=0),"",$L$37-1)),MIN(BX$38,$E519),$P$20))-SUM($BF519:BW519))</f>
        <v>0</v>
      </c>
      <c r="BY519" s="446">
        <f>IF($E519=0,0,IF(MIN(BY$38,$E519)&lt;MAX($P$34*($B519+$I$38-1),IF(AND($L$37=0,$P$34=0),"",$L$37-1)),0,YEARFRAC(MAX($P$34*($B519+$I$38-1),IF(AND($L$37=0,$P$34=0),"",$L$37-1)),MIN(BY$38,$E519),$P$20))-SUM($BF519:BX519))</f>
        <v>0</v>
      </c>
      <c r="BZ519" s="446">
        <f>IF($E519=0,0,IF(MIN(BZ$38,$E519)&lt;MAX($P$34*($B519+$I$38-1),IF(AND($L$37=0,$P$34=0),"",$L$37-1)),0,YEARFRAC(MAX($P$34*($B519+$I$38-1),IF(AND($L$37=0,$P$34=0),"",$L$37-1)),MIN(BZ$38,$E519),$P$20))-SUM($BF519:BY519))</f>
        <v>0</v>
      </c>
      <c r="CA519" s="446">
        <f>IF($E519=0,0,IF(MIN(CA$38,$E519)&lt;MAX($P$34*($B519+$I$38-1),IF(AND($L$37=0,$P$34=0),"",$L$37-1)),0,YEARFRAC(MAX($P$34*($B519+$I$38-1),IF(AND($L$37=0,$P$34=0),"",$L$37-1)),MIN(CA$38,$E519),$P$20))-SUM($BF519:BZ519))</f>
        <v>0</v>
      </c>
      <c r="CB519" s="446">
        <f>IF($E519=0,0,IF(MIN(CB$38,$E519)&lt;MAX($P$34*($B519+$I$38-1),IF(AND($L$37=0,$P$34=0),"",$L$37-1)),0,YEARFRAC(MAX($P$34*($B519+$I$38-1),IF(AND($L$37=0,$P$34=0),"",$L$37-1)),MIN(CB$38,$E519),$P$20))-SUM($BF519:CA519))</f>
        <v>0</v>
      </c>
      <c r="CC519" s="446">
        <f>IF($E519=0,0,IF(MIN(CC$38,$E519)&lt;MAX($P$34*($B519+$I$38-1),IF(AND($L$37=0,$P$34=0),"",$L$37-1)),0,YEARFRAC(MAX($P$34*($B519+$I$38-1),IF(AND($L$37=0,$P$34=0),"",$L$37-1)),MIN(CC$38,$E519),$P$20))-SUM($BF519:CB519))</f>
        <v>0</v>
      </c>
      <c r="CD519" s="446">
        <f>IF($E519=0,0,IF(MIN(CD$38,$E519)&lt;MAX($P$34*($B519+$I$38-1),IF(AND($L$37=0,$P$34=0),"",$L$37-1)),0,YEARFRAC(MAX($P$34*($B519+$I$38-1),IF(AND($L$37=0,$P$34=0),"",$L$37-1)),MIN(CD$38,$E519),$P$20))-SUM($BF519:CC519))</f>
        <v>0</v>
      </c>
      <c r="CE519" s="446">
        <f>IF($E519=0,0,IF(MIN(CE$38,$E519)&lt;MAX($P$34*($B519+$I$38-1),IF(AND($L$37=0,$P$34=0),"",$L$37-1)),0,YEARFRAC(MAX($P$34*($B519+$I$38-1),IF(AND($L$37=0,$P$34=0),"",$L$37-1)),MIN(CE$38,$E519),$P$20))-SUM($BF519:CD519))</f>
        <v>0</v>
      </c>
      <c r="CF519" s="446">
        <f>IF($E519=0,0,IF(MIN(CF$38,$E519)&lt;MAX($P$34*($B519+$I$38-1),IF(AND($L$37=0,$P$34=0),"",$L$37-1)),0,YEARFRAC(MAX($P$34*($B519+$I$38-1),IF(AND($L$37=0,$P$34=0),"",$L$37-1)),MIN(CF$38,$E519),$P$20))-SUM($BF519:CE519))</f>
        <v>0</v>
      </c>
      <c r="CG519" s="446">
        <f>IF($E519=0,0,IF(MIN(CG$38,$E519)&lt;MAX($P$34*($B519+$I$38-1),IF(AND($L$37=0,$P$34=0),"",$L$37-1)),0,YEARFRAC(MAX($P$34*($B519+$I$38-1),IF(AND($L$37=0,$P$34=0),"",$L$37-1)),MIN(CG$38,$E519),$P$20))-SUM($BF519:CF519))</f>
        <v>0</v>
      </c>
      <c r="CH519" s="446">
        <f>IF($E519=0,0,IF(MIN(CH$38,$E519)&lt;MAX($P$34*($B519+$I$38-1),IF(AND($L$37=0,$P$34=0),"",$L$37-1)),0,YEARFRAC(MAX($P$34*($B519+$I$38-1),IF(AND($L$37=0,$P$34=0),"",$L$37-1)),MIN(CH$38,$E519),$P$20))-SUM($BF519:CG519))</f>
        <v>0</v>
      </c>
      <c r="CI519" s="446">
        <f>IF($E519=0,0,IF(MIN(CI$38,$E519)&lt;MAX($P$34*($B519+$I$38-1),IF(AND($L$37=0,$P$34=0),"",$L$37-1)),0,YEARFRAC(MAX($P$34*($B519+$I$38-1),IF(AND($L$37=0,$P$34=0),"",$L$37-1)),MIN(CI$38,$E519),$P$20))-SUM($BF519:CH519))</f>
        <v>0</v>
      </c>
      <c r="CJ519" s="446">
        <f>IF($E519=0,0,IF(MIN(CJ$38,$E519)&lt;MAX($P$34*($B519+$I$38-1),IF(AND($L$37=0,$P$34=0),"",$L$37-1)),0,YEARFRAC(MAX($P$34*($B519+$I$38-1),IF(AND($L$37=0,$P$34=0),"",$L$37-1)),MIN(CJ$38,$E519),$P$20))-SUM($BF519:CI519))</f>
        <v>0</v>
      </c>
      <c r="CK519" s="446">
        <f>IF($E519=0,0,IF(MIN(CK$38,$E519)&lt;MAX($P$34*($B519+$I$38-1),IF(AND($L$37=0,$P$34=0),"",$L$37-1)),0,YEARFRAC(MAX($P$34*($B519+$I$38-1),IF(AND($L$37=0,$P$34=0),"",$L$37-1)),MIN(CK$38,$E519),$P$20))-SUM($BF519:CJ519))</f>
        <v>0</v>
      </c>
      <c r="CL519" s="446">
        <f>IF($E519=0,0,IF(MIN(CL$38,$E519)&lt;MAX($P$34*($B519+$I$38-1),IF(AND($L$37=0,$P$34=0),"",$L$37-1)),0,YEARFRAC(MAX($P$34*($B519+$I$38-1),IF(AND($L$37=0,$P$34=0),"",$L$37-1)),MIN(CL$38,$E519),$P$20))-SUM($BF519:CK519))</f>
        <v>0</v>
      </c>
      <c r="CM519" s="446">
        <f>IF($E519=0,0,IF(MIN(CM$38,$E519)&lt;MAX($P$34*($B519+$I$38-1),IF(AND($L$37=0,$P$34=0),"",$L$37-1)),0,YEARFRAC(MAX($P$34*($B519+$I$38-1),IF(AND($L$37=0,$P$34=0),"",$L$37-1)),MIN(CM$38,$E519),$P$20))-SUM($BF519:CL519))</f>
        <v>0</v>
      </c>
      <c r="CN519" s="446">
        <f>IF($E519=0,0,IF(MIN(CN$38,$E519)&lt;MAX($P$34*($B519+$I$38-1),IF(AND($L$37=0,$P$34=0),"",$L$37-1)),0,YEARFRAC(MAX($P$34*($B519+$I$38-1),IF(AND($L$37=0,$P$34=0),"",$L$37-1)),MIN(CN$38,$E519),$P$20))-SUM($BF519:CM519))</f>
        <v>0</v>
      </c>
      <c r="CO519" s="446">
        <f>IF($E519=0,0,IF(MIN(CO$38,$E519)&lt;MAX($P$34*($B519+$I$38-1),IF(AND($L$37=0,$P$34=0),"",$L$37-1)),0,YEARFRAC(MAX($P$34*($B519+$I$38-1),IF(AND($L$37=0,$P$34=0),"",$L$37-1)),MIN(CO$38,$E519),$P$20))-SUM($BF519:CN519))</f>
        <v>0</v>
      </c>
      <c r="CP519" s="446">
        <f>IF($E519=0,0,IF(MIN(CP$38,$E519)&lt;MAX($P$34*($B519+$I$38-1),IF(AND($L$37=0,$P$34=0),"",$L$37-1)),0,YEARFRAC(MAX($P$34*($B519+$I$38-1),IF(AND($L$37=0,$P$34=0),"",$L$37-1)),MIN(CP$38,$E519),$P$20))-SUM($BF519:CO519))</f>
        <v>0</v>
      </c>
      <c r="CQ519" s="446">
        <f>IF($E519=0,0,IF(MIN(CQ$38,$E519)&lt;MAX($P$34*($B519+$I$38-1),IF(AND($L$37=0,$P$34=0),"",$L$37-1)),0,YEARFRAC(MAX($P$34*($B519+$I$38-1),IF(AND($L$37=0,$P$34=0),"",$L$37-1)),MIN(CQ$38,$E519),$P$20))-SUM($BF519:CP519))</f>
        <v>0</v>
      </c>
    </row>
    <row r="520" spans="1:95" s="446" customFormat="1" ht="11.25" hidden="1" customHeight="1" x14ac:dyDescent="0.2">
      <c r="A520" s="152"/>
      <c r="B520" s="153" t="str">
        <f t="shared" si="92"/>
        <v/>
      </c>
      <c r="C520" s="29" t="str">
        <f>IF(B520="","",IF($L$35="SELIC - TRIBUTOS",VLOOKUP(DATE(YEAR($D$19),MONTH($D$19)-1,1),ÍNDICES!$A:$DE,HLOOKUP($BL$25,ÍNDICES!$B$3:$T$4,2)+11)-VLOOKUP(B520,ÍNDICES!$A:$DE,HLOOKUP($BL$25,ÍNDICES!$B$3:$T$4,2)+11)+1%,IF(C$38=$W$26,$J$35,IF(ISERROR(IF(B520&gt;$D$19,1,VLOOKUP(DATE(YEAR(B520),MONTH(B520)+IF($C$35=$S$23,1,0),1),ÍNDICES!$A:$DE,$Z$35+1))),"",IF(B520&gt;$D$19,1,VLOOKUP(DATE(YEAR(B520),MONTH(B520)+IF($C$35=$S$23,1,0),1),ÍNDICES!$A:$DE,$Z$35+1))))))</f>
        <v/>
      </c>
      <c r="D520" s="154" t="str">
        <f>IF(ISERROR(IF(OR($D$38=$Y$27,$B520=""),"",VLOOKUP(B520,ÍNDICES!A:DE,AF$35+1))),"",IF(OR($D$38=$Y$27,$B520=""),"",VLOOKUP(B520,ÍNDICES!A:DE,AF$35+1)))</f>
        <v/>
      </c>
      <c r="E520" s="153"/>
      <c r="F520" s="29" t="str">
        <f>IF(E520="","",IF($L$35="SELIC - TRIBUTOS",VLOOKUP(DATE(YEAR($D$19),MONTH($D$19)-1,1),ÍNDICES!$A:$DE,HLOOKUP($BL$25,ÍNDICES!$B$3:$T$4,2)+11)-VLOOKUP(E520,ÍNDICES!$A:$DE,HLOOKUP($BL$25,ÍNDICES!$B$3:$T$4,2)+11)+1%,IF(F$38=$W$26,$J$35,IF(ISERROR(IF(E520&gt;$D$19,1,VLOOKUP(DATE(YEAR(E520),MONTH(E520)+IF($C$35=$S$23,1,0),1),ÍNDICES!$A:$DE,$Z$35+1))),"",IF(E520&gt;$D$19,1,VLOOKUP(DATE(YEAR(E520),MONTH(E520)+IF($C$35=$S$23,1,0),1),ÍNDICES!$A:$DE,$Z$35+1))))))</f>
        <v/>
      </c>
      <c r="G520" s="155"/>
      <c r="H520" s="156" t="str">
        <f t="shared" si="88"/>
        <v/>
      </c>
      <c r="I520" s="29" t="str">
        <f t="shared" si="82"/>
        <v/>
      </c>
      <c r="J520" s="5">
        <f t="shared" si="83"/>
        <v>0</v>
      </c>
      <c r="K520" s="20">
        <f t="shared" ca="1" si="84"/>
        <v>0</v>
      </c>
      <c r="L520" s="5">
        <f t="shared" ca="1" si="85"/>
        <v>0</v>
      </c>
      <c r="M520" s="64">
        <f t="shared" si="89"/>
        <v>0</v>
      </c>
      <c r="N520" s="61">
        <f t="shared" ca="1" si="90"/>
        <v>0</v>
      </c>
      <c r="O520" s="5">
        <f t="shared" ca="1" si="91"/>
        <v>0</v>
      </c>
      <c r="P520" s="446" t="e">
        <f t="shared" si="86"/>
        <v>#VALUE!</v>
      </c>
      <c r="Q520" s="446" t="e">
        <f>IF(OR($B520="",MIN(Q$38,$D$19)&lt;MAX($P$34*($B520+IF($R$17="Distrato",$I$38-1,0)),IF(AND($L$37=0,$P$34=0),"",$L$37-1),IF($R$17="Distrato",$E520,0))),0,YEARFRAC(MAX($P$34*($B520+IF($R$17="Distrato",$I$38-1,0)),IF(AND($L$37=0,$P$34=0),"",$L$37-1),IF($R$17="Distrato",$E520,0)),MIN(Q$38,$D$19),$P$20))-SUM($P520:P520)</f>
        <v>#VALUE!</v>
      </c>
      <c r="R520" s="446" t="e">
        <f>IF(OR($B520="",MIN(R$38,$D$19)&lt;MAX($P$34*($B520+IF($R$17="Distrato",$I$38-1,0)),IF(AND($L$37=0,$P$34=0),"",$L$37-1),IF($R$17="Distrato",$E520,0))),0,YEARFRAC(MAX($P$34*($B520+IF($R$17="Distrato",$I$38-1,0)),IF(AND($L$37=0,$P$34=0),"",$L$37-1),IF($R$17="Distrato",$E520,0)),MIN(R$38,$D$19),$P$20))-SUM($P520:Q520)</f>
        <v>#VALUE!</v>
      </c>
      <c r="S520" s="446" t="e">
        <f>IF(OR($B520="",MIN(S$38,$D$19)&lt;MAX($P$34*($B520+IF($R$17="Distrato",$I$38-1,0)),IF(AND($L$37=0,$P$34=0),"",$L$37-1),IF($R$17="Distrato",$E520,0))),0,YEARFRAC(MAX($P$34*($B520+IF($R$17="Distrato",$I$38-1,0)),IF(AND($L$37=0,$P$34=0),"",$L$37-1),IF($R$17="Distrato",$E520,0)),MIN(S$38,$D$19),$P$20))-SUM($P520:R520)</f>
        <v>#VALUE!</v>
      </c>
      <c r="T520" s="446" t="e">
        <f>IF(OR($B520="",MIN(T$38,$D$19)&lt;MAX($P$34*($B520+IF($R$17="Distrato",$I$38-1,0)),IF(AND($L$37=0,$P$34=0),"",$L$37-1),IF($R$17="Distrato",$E520,0))),0,YEARFRAC(MAX($P$34*($B520+IF($R$17="Distrato",$I$38-1,0)),IF(AND($L$37=0,$P$34=0),"",$L$37-1),IF($R$17="Distrato",$E520,0)),MIN(T$38,$D$19),$P$20))-SUM($P520:S520)</f>
        <v>#VALUE!</v>
      </c>
      <c r="U520" s="446" t="e">
        <f>IF(OR($B520="",MIN(U$38,$D$19)&lt;MAX($P$34*($B520+IF($R$17="Distrato",$I$38-1,0)),IF(AND($L$37=0,$P$34=0),"",$L$37-1),IF($R$17="Distrato",$E520,0))),0,YEARFRAC(MAX($P$34*($B520+IF($R$17="Distrato",$I$38-1,0)),IF(AND($L$37=0,$P$34=0),"",$L$37-1),IF($R$17="Distrato",$E520,0)),MIN(U$38,$D$19),$P$20))-SUM($P520:T520)</f>
        <v>#VALUE!</v>
      </c>
      <c r="V520" s="446" t="e">
        <f>IF(OR($B520="",MIN(V$38,$D$19)&lt;MAX($P$34*($B520+IF($R$17="Distrato",$I$38-1,0)),IF(AND($L$37=0,$P$34=0),"",$L$37-1),IF($R$17="Distrato",$E520,0))),0,YEARFRAC(MAX($P$34*($B520+IF($R$17="Distrato",$I$38-1,0)),IF(AND($L$37=0,$P$34=0),"",$L$37-1),IF($R$17="Distrato",$E520,0)),MIN(V$38,$D$19),$P$20))-SUM($P520:U520)</f>
        <v>#VALUE!</v>
      </c>
      <c r="W520" s="446" t="e">
        <f>IF(OR($B520="",MIN(W$38,$D$19)&lt;MAX($P$34*($B520+IF($R$17="Distrato",$I$38-1,0)),IF(AND($L$37=0,$P$34=0),"",$L$37-1),IF($R$17="Distrato",$E520,0))),0,YEARFRAC(MAX($P$34*($B520+IF($R$17="Distrato",$I$38-1,0)),IF(AND($L$37=0,$P$34=0),"",$L$37-1),IF($R$17="Distrato",$E520,0)),MIN(W$38,$D$19),$P$20))-SUM($P520:V520)</f>
        <v>#VALUE!</v>
      </c>
      <c r="X520" s="446" t="e">
        <f>IF(OR($B520="",MIN(X$38,$D$19)&lt;MAX($P$34*($B520+IF($R$17="Distrato",$I$38-1,0)),IF(AND($L$37=0,$P$34=0),"",$L$37-1),IF($R$17="Distrato",$E520,0))),0,YEARFRAC(MAX($P$34*($B520+IF($R$17="Distrato",$I$38-1,0)),IF(AND($L$37=0,$P$34=0),"",$L$37-1),IF($R$17="Distrato",$E520,0)),MIN(X$38,$D$19),$P$20))-SUM($P520:W520)</f>
        <v>#VALUE!</v>
      </c>
      <c r="Y520" s="446" t="e">
        <f>IF(OR($B520="",MIN(Y$38,$D$19)&lt;MAX($P$34*($B520+IF($R$17="Distrato",$I$38-1,0)),IF(AND($L$37=0,$P$34=0),"",$L$37-1),IF($R$17="Distrato",$E520,0))),0,YEARFRAC(MAX($P$34*($B520+IF($R$17="Distrato",$I$38-1,0)),IF(AND($L$37=0,$P$34=0),"",$L$37-1),IF($R$17="Distrato",$E520,0)),MIN(Y$38,$D$19),$P$20))-SUM($P520:X520)</f>
        <v>#VALUE!</v>
      </c>
      <c r="Z520" s="446" t="e">
        <f>IF(OR($B520="",MIN(Z$38,$D$19)&lt;MAX($P$34*($B520+IF($R$17="Distrato",$I$38-1,0)),IF(AND($L$37=0,$P$34=0),"",$L$37-1),IF($R$17="Distrato",$E520,0))),0,YEARFRAC(MAX($P$34*($B520+IF($R$17="Distrato",$I$38-1,0)),IF(AND($L$37=0,$P$34=0),"",$L$37-1),IF($R$17="Distrato",$E520,0)),MIN(Z$38,$D$19),$P$20))-SUM($P520:Y520)</f>
        <v>#VALUE!</v>
      </c>
      <c r="AA520" s="446" t="e">
        <f>IF(OR($B520="",MIN(AA$38,$D$19)&lt;MAX($P$34*($B520+IF($R$17="Distrato",$I$38-1,0)),IF(AND($L$37=0,$P$34=0),"",$L$37-1),IF($R$17="Distrato",$E520,0))),0,YEARFRAC(MAX($P$34*($B520+IF($R$17="Distrato",$I$38-1,0)),IF(AND($L$37=0,$P$34=0),"",$L$37-1),IF($R$17="Distrato",$E520,0)),MIN(AA$38,$D$19),$P$20))-SUM($P520:Z520)</f>
        <v>#VALUE!</v>
      </c>
      <c r="AB520" s="446" t="e">
        <f>IF(OR($B520="",MIN(AB$38,$D$19)&lt;MAX($P$34*($B520+IF($R$17="Distrato",$I$38-1,0)),IF(AND($L$37=0,$P$34=0),"",$L$37-1),IF($R$17="Distrato",$E520,0))),0,YEARFRAC(MAX($P$34*($B520+IF($R$17="Distrato",$I$38-1,0)),IF(AND($L$37=0,$P$34=0),"",$L$37-1),IF($R$17="Distrato",$E520,0)),MIN(AB$38,$D$19),$P$20))-SUM($P520:AA520)</f>
        <v>#VALUE!</v>
      </c>
      <c r="AC520" s="446" t="e">
        <f>IF(OR($B520="",MIN(AC$38,$D$19)&lt;MAX($P$34*($B520+IF($R$17="Distrato",$I$38-1,0)),IF(AND($L$37=0,$P$34=0),"",$L$37-1),IF($R$17="Distrato",$E520,0))),0,YEARFRAC(MAX($P$34*($B520+IF($R$17="Distrato",$I$38-1,0)),IF(AND($L$37=0,$P$34=0),"",$L$37-1),IF($R$17="Distrato",$E520,0)),MIN(AC$38,$D$19),$P$20))-SUM($P520:AB520)</f>
        <v>#VALUE!</v>
      </c>
      <c r="AD520" s="446" t="e">
        <f>IF(OR($B520="",MIN(AD$38,$D$19)&lt;MAX($P$34*($B520+IF($R$17="Distrato",$I$38-1,0)),IF(AND($L$37=0,$P$34=0),"",$L$37-1),IF($R$17="Distrato",$E520,0))),0,YEARFRAC(MAX($P$34*($B520+IF($R$17="Distrato",$I$38-1,0)),IF(AND($L$37=0,$P$34=0),"",$L$37-1),IF($R$17="Distrato",$E520,0)),MIN(AD$38,$D$19),$P$20))-SUM($P520:AC520)</f>
        <v>#VALUE!</v>
      </c>
      <c r="AE520" s="446" t="e">
        <f>IF(OR($B520="",MIN(AE$38,$D$19)&lt;MAX($P$34*($B520+IF($R$17="Distrato",$I$38-1,0)),IF(AND($L$37=0,$P$34=0),"",$L$37-1),IF($R$17="Distrato",$E520,0))),0,YEARFRAC(MAX($P$34*($B520+IF($R$17="Distrato",$I$38-1,0)),IF(AND($L$37=0,$P$34=0),"",$L$37-1),IF($R$17="Distrato",$E520,0)),MIN(AE$38,$D$19),$P$20))-SUM($P520:AD520)</f>
        <v>#VALUE!</v>
      </c>
      <c r="AF520" s="446" t="e">
        <f>IF(OR($B520="",MIN(AF$38,$D$19)&lt;MAX($P$34*($B520+IF($R$17="Distrato",$I$38-1,0)),IF(AND($L$37=0,$P$34=0),"",$L$37-1),IF($R$17="Distrato",$E520,0))),0,YEARFRAC(MAX($P$34*($B520+IF($R$17="Distrato",$I$38-1,0)),IF(AND($L$37=0,$P$34=0),"",$L$37-1),IF($R$17="Distrato",$E520,0)),MIN(AF$38,$D$19),$P$20))-SUM($P520:AE520)</f>
        <v>#VALUE!</v>
      </c>
      <c r="AG520" s="446" t="e">
        <f>IF(OR($B520="",MIN(AG$38,$D$19)&lt;MAX($P$34*($B520+IF($R$17="Distrato",$I$38-1,0)),IF(AND($L$37=0,$P$34=0),"",$L$37-1),IF($R$17="Distrato",$E520,0))),0,YEARFRAC(MAX($P$34*($B520+IF($R$17="Distrato",$I$38-1,0)),IF(AND($L$37=0,$P$34=0),"",$L$37-1),IF($R$17="Distrato",$E520,0)),MIN(AG$38,$D$19),$P$20))-SUM($P520:AF520)</f>
        <v>#VALUE!</v>
      </c>
      <c r="AH520" s="446" t="e">
        <f>IF(OR($B520="",MIN(AH$38,$D$19)&lt;MAX($P$34*($B520+IF($R$17="Distrato",$I$38-1,0)),IF(AND($L$37=0,$P$34=0),"",$L$37-1),IF($R$17="Distrato",$E520,0))),0,YEARFRAC(MAX($P$34*($B520+IF($R$17="Distrato",$I$38-1,0)),IF(AND($L$37=0,$P$34=0),"",$L$37-1),IF($R$17="Distrato",$E520,0)),MIN(AH$38,$D$19),$P$20))-SUM($P520:AG520)</f>
        <v>#VALUE!</v>
      </c>
      <c r="AI520" s="446" t="e">
        <f>IF(OR($B520="",MIN(AI$38,$D$19)&lt;MAX($P$34*($B520+IF($R$17="Distrato",$I$38-1,0)),IF(AND($L$37=0,$P$34=0),"",$L$37-1),IF($R$17="Distrato",$E520,0))),0,YEARFRAC(MAX($P$34*($B520+IF($R$17="Distrato",$I$38-1,0)),IF(AND($L$37=0,$P$34=0),"",$L$37-1),IF($R$17="Distrato",$E520,0)),MIN(AI$38,$D$19),$P$20))-SUM($P520:AH520)</f>
        <v>#VALUE!</v>
      </c>
      <c r="AJ520" s="446" t="e">
        <f>IF(OR($B520="",MIN(AJ$38,$D$19)&lt;MAX($P$34*($B520+IF($R$17="Distrato",$I$38-1,0)),IF(AND($L$37=0,$P$34=0),"",$L$37-1),IF($R$17="Distrato",$E520,0))),0,YEARFRAC(MAX($P$34*($B520+IF($R$17="Distrato",$I$38-1,0)),IF(AND($L$37=0,$P$34=0),"",$L$37-1),IF($R$17="Distrato",$E520,0)),MIN(AJ$38,$D$19),$P$20))-SUM($P520:AI520)</f>
        <v>#VALUE!</v>
      </c>
      <c r="AK520" s="446" t="e">
        <f>IF(OR($B520="",MIN(AK$38,$D$19)&lt;MAX($P$34*($B520+IF($R$17="Distrato",$I$38-1,0)),IF(AND($L$37=0,$P$34=0),"",$L$37-1),IF($R$17="Distrato",$E520,0))),0,YEARFRAC(MAX($P$34*($B520+IF($R$17="Distrato",$I$38-1,0)),IF(AND($L$37=0,$P$34=0),"",$L$37-1),IF($R$17="Distrato",$E520,0)),MIN(AK$38,$D$19),$P$20))-SUM($P520:AJ520)</f>
        <v>#VALUE!</v>
      </c>
      <c r="AL520" s="446" t="e">
        <f>IF(OR($B520="",MIN(AL$38,$D$19)&lt;MAX($P$34*($B520+IF($R$17="Distrato",$I$38-1,0)),IF(AND($L$37=0,$P$34=0),"",$L$37-1),IF($R$17="Distrato",$E520,0))),0,YEARFRAC(MAX($P$34*($B520+IF($R$17="Distrato",$I$38-1,0)),IF(AND($L$37=0,$P$34=0),"",$L$37-1),IF($R$17="Distrato",$E520,0)),MIN(AL$38,$D$19),$P$20))-SUM($P520:AK520)</f>
        <v>#VALUE!</v>
      </c>
      <c r="AM520" s="446" t="e">
        <f>IF(OR($B520="",MIN(AM$38,$D$19)&lt;MAX($P$34*($B520+IF($R$17="Distrato",$I$38-1,0)),IF(AND($L$37=0,$P$34=0),"",$L$37-1),IF($R$17="Distrato",$E520,0))),0,YEARFRAC(MAX($P$34*($B520+IF($R$17="Distrato",$I$38-1,0)),IF(AND($L$37=0,$P$34=0),"",$L$37-1),IF($R$17="Distrato",$E520,0)),MIN(AM$38,$D$19),$P$20))-SUM($P520:AL520)</f>
        <v>#VALUE!</v>
      </c>
      <c r="AN520" s="446" t="e">
        <f>IF(OR($B520="",MIN(AN$38,$D$19)&lt;MAX($P$34*($B520+IF($R$17="Distrato",$I$38-1,0)),IF(AND($L$37=0,$P$34=0),"",$L$37-1),IF($R$17="Distrato",$E520,0))),0,YEARFRAC(MAX($P$34*($B520+IF($R$17="Distrato",$I$38-1,0)),IF(AND($L$37=0,$P$34=0),"",$L$37-1),IF($R$17="Distrato",$E520,0)),MIN(AN$38,$D$19),$P$20))-SUM($P520:AM520)</f>
        <v>#VALUE!</v>
      </c>
      <c r="AO520" s="446" t="e">
        <f>IF(OR($B520="",MIN(AO$38,$D$19)&lt;MAX($P$34*($B520+IF($R$17="Distrato",$I$38-1,0)),IF(AND($L$37=0,$P$34=0),"",$L$37-1),IF($R$17="Distrato",$E520,0))),0,YEARFRAC(MAX($P$34*($B520+IF($R$17="Distrato",$I$38-1,0)),IF(AND($L$37=0,$P$34=0),"",$L$37-1),IF($R$17="Distrato",$E520,0)),MIN(AO$38,$D$19),$P$20))-SUM($P520:AN520)</f>
        <v>#VALUE!</v>
      </c>
      <c r="AP520" s="446" t="e">
        <f>IF(OR($B520="",MIN(AP$38,$D$19)&lt;MAX($P$34*($B520+IF($R$17="Distrato",$I$38-1,0)),IF(AND($L$37=0,$P$34=0),"",$L$37-1),IF($R$17="Distrato",$E520,0))),0,YEARFRAC(MAX($P$34*($B520+IF($R$17="Distrato",$I$38-1,0)),IF(AND($L$37=0,$P$34=0),"",$L$37-1),IF($R$17="Distrato",$E520,0)),MIN(AP$38,$D$19),$P$20))-SUM($P520:AO520)</f>
        <v>#VALUE!</v>
      </c>
      <c r="AQ520" s="446" t="e">
        <f>IF(OR($B520="",MIN(AQ$38,$D$19)&lt;MAX($P$34*($B520+IF($R$17="Distrato",$I$38-1,0)),IF(AND($L$37=0,$P$34=0),"",$L$37-1),IF($R$17="Distrato",$E520,0))),0,YEARFRAC(MAX($P$34*($B520+IF($R$17="Distrato",$I$38-1,0)),IF(AND($L$37=0,$P$34=0),"",$L$37-1),IF($R$17="Distrato",$E520,0)),MIN(AQ$38,$D$19),$P$20))-SUM($P520:AP520)</f>
        <v>#VALUE!</v>
      </c>
      <c r="AR520" s="446" t="e">
        <f>IF(OR($B520="",MIN(AR$38,$D$19)&lt;MAX($P$34*($B520+IF($R$17="Distrato",$I$38-1,0)),IF(AND($L$37=0,$P$34=0),"",$L$37-1),IF($R$17="Distrato",$E520,0))),0,YEARFRAC(MAX($P$34*($B520+IF($R$17="Distrato",$I$38-1,0)),IF(AND($L$37=0,$P$34=0),"",$L$37-1),IF($R$17="Distrato",$E520,0)),MIN(AR$38,$D$19),$P$20))-SUM($P520:AQ520)</f>
        <v>#VALUE!</v>
      </c>
      <c r="AS520" s="446" t="e">
        <f>IF(OR($B520="",MIN(AS$38,$D$19)&lt;MAX($P$34*($B520+IF($R$17="Distrato",$I$38-1,0)),IF(AND($L$37=0,$P$34=0),"",$L$37-1),IF($R$17="Distrato",$E520,0))),0,YEARFRAC(MAX($P$34*($B520+IF($R$17="Distrato",$I$38-1,0)),IF(AND($L$37=0,$P$34=0),"",$L$37-1),IF($R$17="Distrato",$E520,0)),MIN(AS$38,$D$19),$P$20))-SUM($P520:AR520)</f>
        <v>#VALUE!</v>
      </c>
      <c r="AT520" s="446" t="e">
        <f>IF(OR($B520="",MIN(AT$38,$D$19)&lt;MAX($P$34*($B520+IF($R$17="Distrato",$I$38-1,0)),IF(AND($L$37=0,$P$34=0),"",$L$37-1),IF($R$17="Distrato",$E520,0))),0,YEARFRAC(MAX($P$34*($B520+IF($R$17="Distrato",$I$38-1,0)),IF(AND($L$37=0,$P$34=0),"",$L$37-1),IF($R$17="Distrato",$E520,0)),MIN(AT$38,$D$19),$P$20))-SUM($P520:AS520)</f>
        <v>#VALUE!</v>
      </c>
      <c r="AU520" s="446" t="e">
        <f>IF(OR($B520="",MIN(AU$38,$D$19)&lt;MAX($P$34*($B520+IF($R$17="Distrato",$I$38-1,0)),IF(AND($L$37=0,$P$34=0),"",$L$37-1),IF($R$17="Distrato",$E520,0))),0,YEARFRAC(MAX($P$34*($B520+IF($R$17="Distrato",$I$38-1,0)),IF(AND($L$37=0,$P$34=0),"",$L$37-1),IF($R$17="Distrato",$E520,0)),MIN(AU$38,$D$19),$P$20))-SUM($P520:AT520)</f>
        <v>#VALUE!</v>
      </c>
      <c r="AV520" s="446" t="e">
        <f>IF(OR($B520="",MIN(AV$38,$D$19)&lt;MAX($P$34*($B520+IF($R$17="Distrato",$I$38-1,0)),IF(AND($L$37=0,$P$34=0),"",$L$37-1),IF($R$17="Distrato",$E520,0))),0,YEARFRAC(MAX($P$34*($B520+IF($R$17="Distrato",$I$38-1,0)),IF(AND($L$37=0,$P$34=0),"",$L$37-1),IF($R$17="Distrato",$E520,0)),MIN(AV$38,$D$19),$P$20))-SUM($P520:AU520)</f>
        <v>#VALUE!</v>
      </c>
      <c r="AW520" s="446" t="e">
        <f>IF(OR($B520="",MIN(AW$38,$D$19)&lt;MAX($P$34*($B520+IF($R$17="Distrato",$I$38-1,0)),IF(AND($L$37=0,$P$34=0),"",$L$37-1),IF($R$17="Distrato",$E520,0))),0,YEARFRAC(MAX($P$34*($B520+IF($R$17="Distrato",$I$38-1,0)),IF(AND($L$37=0,$P$34=0),"",$L$37-1),IF($R$17="Distrato",$E520,0)),MIN(AW$38,$D$19),$P$20))-SUM($P520:AV520)</f>
        <v>#VALUE!</v>
      </c>
      <c r="AX520" s="446" t="e">
        <f>IF(OR($B520="",MIN(AX$38,$D$19)&lt;MAX($P$34*($B520+IF($R$17="Distrato",$I$38-1,0)),IF(AND($L$37=0,$P$34=0),"",$L$37-1),IF($R$17="Distrato",$E520,0))),0,YEARFRAC(MAX($P$34*($B520+IF($R$17="Distrato",$I$38-1,0)),IF(AND($L$37=0,$P$34=0),"",$L$37-1),IF($R$17="Distrato",$E520,0)),MIN(AX$38,$D$19),$P$20))-SUM($P520:AW520)</f>
        <v>#VALUE!</v>
      </c>
      <c r="AY520" s="446" t="e">
        <f>IF(OR($B520="",MIN(AY$38,$D$19)&lt;MAX($P$34*($B520+IF($R$17="Distrato",$I$38-1,0)),IF(AND($L$37=0,$P$34=0),"",$L$37-1),IF($R$17="Distrato",$E520,0))),0,YEARFRAC(MAX($P$34*($B520+IF($R$17="Distrato",$I$38-1,0)),IF(AND($L$37=0,$P$34=0),"",$L$37-1),IF($R$17="Distrato",$E520,0)),MIN(AY$38,$D$19),$P$20))-SUM($P520:AX520)</f>
        <v>#VALUE!</v>
      </c>
      <c r="AZ520" s="446" t="e">
        <f>IF(OR($B520="",MIN(AZ$38,$D$19)&lt;MAX($P$34*($B520+IF($R$17="Distrato",$I$38-1,0)),IF(AND($L$37=0,$P$34=0),"",$L$37-1),IF($R$17="Distrato",$E520,0))),0,YEARFRAC(MAX($P$34*($B520+IF($R$17="Distrato",$I$38-1,0)),IF(AND($L$37=0,$P$34=0),"",$L$37-1),IF($R$17="Distrato",$E520,0)),MIN(AZ$38,$D$19),$P$20))-SUM($P520:AY520)</f>
        <v>#VALUE!</v>
      </c>
      <c r="BA520" s="446" t="e">
        <f>IF(OR($B520="",MIN(BA$38,$D$19)&lt;MAX($P$34*($B520+IF($R$17="Distrato",$I$38-1,0)),IF(AND($L$37=0,$P$34=0),"",$L$37-1),IF($R$17="Distrato",$E520,0))),0,YEARFRAC(MAX($P$34*($B520+IF($R$17="Distrato",$I$38-1,0)),IF(AND($L$37=0,$P$34=0),"",$L$37-1),IF($R$17="Distrato",$E520,0)),MIN(BA$38,$D$19),$P$20))-SUM($P520:AZ520)</f>
        <v>#VALUE!</v>
      </c>
      <c r="BB520" s="447"/>
      <c r="BF520" s="446">
        <f t="shared" si="87"/>
        <v>0</v>
      </c>
      <c r="BG520" s="446">
        <f>IF($E520=0,0,IF(MIN(BG$38,$E520)&lt;MAX($P$34*($B520+$I$38-1),IF(AND($L$37=0,$P$34=0),"",$L$37-1)),0,YEARFRAC(MAX($P$34*($B520+$I$38-1),IF(AND($L$37=0,$P$34=0),"",$L$37-1)),MIN(BG$38,$E520),$P$20))-SUM($BF520:BF520))</f>
        <v>0</v>
      </c>
      <c r="BH520" s="446">
        <f>IF($E520=0,0,IF(MIN(BH$38,$E520)&lt;MAX($P$34*($B520+$I$38-1),IF(AND($L$37=0,$P$34=0),"",$L$37-1)),0,YEARFRAC(MAX($P$34*($B520+$I$38-1),IF(AND($L$37=0,$P$34=0),"",$L$37-1)),MIN(BH$38,$E520),$P$20))-SUM($BF520:BG520))</f>
        <v>0</v>
      </c>
      <c r="BI520" s="446">
        <f>IF($E520=0,0,IF(MIN(BI$38,$E520)&lt;MAX($P$34*($B520+$I$38-1),IF(AND($L$37=0,$P$34=0),"",$L$37-1)),0,YEARFRAC(MAX($P$34*($B520+$I$38-1),IF(AND($L$37=0,$P$34=0),"",$L$37-1)),MIN(BI$38,$E520),$P$20))-SUM($BF520:BH520))</f>
        <v>0</v>
      </c>
      <c r="BJ520" s="446">
        <f>IF($E520=0,0,IF(MIN(BJ$38,$E520)&lt;MAX($P$34*($B520+$I$38-1),IF(AND($L$37=0,$P$34=0),"",$L$37-1)),0,YEARFRAC(MAX($P$34*($B520+$I$38-1),IF(AND($L$37=0,$P$34=0),"",$L$37-1)),MIN(BJ$38,$E520),$P$20))-SUM($BF520:BI520))</f>
        <v>0</v>
      </c>
      <c r="BK520" s="446">
        <f>IF($E520=0,0,IF(MIN(BK$38,$E520)&lt;MAX($P$34*($B520+$I$38-1),IF(AND($L$37=0,$P$34=0),"",$L$37-1)),0,YEARFRAC(MAX($P$34*($B520+$I$38-1),IF(AND($L$37=0,$P$34=0),"",$L$37-1)),MIN(BK$38,$E520),$P$20))-SUM($BF520:BJ520))</f>
        <v>0</v>
      </c>
      <c r="BL520" s="446">
        <f>IF($E520=0,0,IF(MIN(BL$38,$E520)&lt;MAX($P$34*($B520+$I$38-1),IF(AND($L$37=0,$P$34=0),"",$L$37-1)),0,YEARFRAC(MAX($P$34*($B520+$I$38-1),IF(AND($L$37=0,$P$34=0),"",$L$37-1)),MIN(BL$38,$E520),$P$20))-SUM($BF520:BK520))</f>
        <v>0</v>
      </c>
      <c r="BM520" s="446">
        <f>IF($E520=0,0,IF(MIN(BM$38,$E520)&lt;MAX($P$34*($B520+$I$38-1),IF(AND($L$37=0,$P$34=0),"",$L$37-1)),0,YEARFRAC(MAX($P$34*($B520+$I$38-1),IF(AND($L$37=0,$P$34=0),"",$L$37-1)),MIN(BM$38,$E520),$P$20))-SUM($BF520:BL520))</f>
        <v>0</v>
      </c>
      <c r="BN520" s="446">
        <f>IF($E520=0,0,IF(MIN(BN$38,$E520)&lt;MAX($P$34*($B520+$I$38-1),IF(AND($L$37=0,$P$34=0),"",$L$37-1)),0,YEARFRAC(MAX($P$34*($B520+$I$38-1),IF(AND($L$37=0,$P$34=0),"",$L$37-1)),MIN(BN$38,$E520),$P$20))-SUM($BF520:BM520))</f>
        <v>0</v>
      </c>
      <c r="BO520" s="446">
        <f>IF($E520=0,0,IF(MIN(BO$38,$E520)&lt;MAX($P$34*($B520+$I$38-1),IF(AND($L$37=0,$P$34=0),"",$L$37-1)),0,YEARFRAC(MAX($P$34*($B520+$I$38-1),IF(AND($L$37=0,$P$34=0),"",$L$37-1)),MIN(BO$38,$E520),$P$20))-SUM($BF520:BN520))</f>
        <v>0</v>
      </c>
      <c r="BP520" s="446">
        <f>IF($E520=0,0,IF(MIN(BP$38,$E520)&lt;MAX($P$34*($B520+$I$38-1),IF(AND($L$37=0,$P$34=0),"",$L$37-1)),0,YEARFRAC(MAX($P$34*($B520+$I$38-1),IF(AND($L$37=0,$P$34=0),"",$L$37-1)),MIN(BP$38,$E520),$P$20))-SUM($BF520:BO520))</f>
        <v>0</v>
      </c>
      <c r="BQ520" s="446">
        <f>IF($E520=0,0,IF(MIN(BQ$38,$E520)&lt;MAX($P$34*($B520+$I$38-1),IF(AND($L$37=0,$P$34=0),"",$L$37-1)),0,YEARFRAC(MAX($P$34*($B520+$I$38-1),IF(AND($L$37=0,$P$34=0),"",$L$37-1)),MIN(BQ$38,$E520),$P$20))-SUM($BF520:BP520))</f>
        <v>0</v>
      </c>
      <c r="BR520" s="446">
        <f>IF($E520=0,0,IF(MIN(BR$38,$E520)&lt;MAX($P$34*($B520+$I$38-1),IF(AND($L$37=0,$P$34=0),"",$L$37-1)),0,YEARFRAC(MAX($P$34*($B520+$I$38-1),IF(AND($L$37=0,$P$34=0),"",$L$37-1)),MIN(BR$38,$E520),$P$20))-SUM($BF520:BQ520))</f>
        <v>0</v>
      </c>
      <c r="BS520" s="446">
        <f>IF($E520=0,0,IF(MIN(BS$38,$E520)&lt;MAX($P$34*($B520+$I$38-1),IF(AND($L$37=0,$P$34=0),"",$L$37-1)),0,YEARFRAC(MAX($P$34*($B520+$I$38-1),IF(AND($L$37=0,$P$34=0),"",$L$37-1)),MIN(BS$38,$E520),$P$20))-SUM($BF520:BR520))</f>
        <v>0</v>
      </c>
      <c r="BT520" s="446">
        <f>IF($E520=0,0,IF(MIN(BT$38,$E520)&lt;MAX($P$34*($B520+$I$38-1),IF(AND($L$37=0,$P$34=0),"",$L$37-1)),0,YEARFRAC(MAX($P$34*($B520+$I$38-1),IF(AND($L$37=0,$P$34=0),"",$L$37-1)),MIN(BT$38,$E520),$P$20))-SUM($BF520:BS520))</f>
        <v>0</v>
      </c>
      <c r="BU520" s="446">
        <f>IF($E520=0,0,IF(MIN(BU$38,$E520)&lt;MAX($P$34*($B520+$I$38-1),IF(AND($L$37=0,$P$34=0),"",$L$37-1)),0,YEARFRAC(MAX($P$34*($B520+$I$38-1),IF(AND($L$37=0,$P$34=0),"",$L$37-1)),MIN(BU$38,$E520),$P$20))-SUM($BF520:BT520))</f>
        <v>0</v>
      </c>
      <c r="BV520" s="446">
        <f>IF($E520=0,0,IF(MIN(BV$38,$E520)&lt;MAX($P$34*($B520+$I$38-1),IF(AND($L$37=0,$P$34=0),"",$L$37-1)),0,YEARFRAC(MAX($P$34*($B520+$I$38-1),IF(AND($L$37=0,$P$34=0),"",$L$37-1)),MIN(BV$38,$E520),$P$20))-SUM($BF520:BU520))</f>
        <v>0</v>
      </c>
      <c r="BW520" s="446">
        <f>IF($E520=0,0,IF(MIN(BW$38,$E520)&lt;MAX($P$34*($B520+$I$38-1),IF(AND($L$37=0,$P$34=0),"",$L$37-1)),0,YEARFRAC(MAX($P$34*($B520+$I$38-1),IF(AND($L$37=0,$P$34=0),"",$L$37-1)),MIN(BW$38,$E520),$P$20))-SUM($BF520:BV520))</f>
        <v>0</v>
      </c>
      <c r="BX520" s="446">
        <f>IF($E520=0,0,IF(MIN(BX$38,$E520)&lt;MAX($P$34*($B520+$I$38-1),IF(AND($L$37=0,$P$34=0),"",$L$37-1)),0,YEARFRAC(MAX($P$34*($B520+$I$38-1),IF(AND($L$37=0,$P$34=0),"",$L$37-1)),MIN(BX$38,$E520),$P$20))-SUM($BF520:BW520))</f>
        <v>0</v>
      </c>
      <c r="BY520" s="446">
        <f>IF($E520=0,0,IF(MIN(BY$38,$E520)&lt;MAX($P$34*($B520+$I$38-1),IF(AND($L$37=0,$P$34=0),"",$L$37-1)),0,YEARFRAC(MAX($P$34*($B520+$I$38-1),IF(AND($L$37=0,$P$34=0),"",$L$37-1)),MIN(BY$38,$E520),$P$20))-SUM($BF520:BX520))</f>
        <v>0</v>
      </c>
      <c r="BZ520" s="446">
        <f>IF($E520=0,0,IF(MIN(BZ$38,$E520)&lt;MAX($P$34*($B520+$I$38-1),IF(AND($L$37=0,$P$34=0),"",$L$37-1)),0,YEARFRAC(MAX($P$34*($B520+$I$38-1),IF(AND($L$37=0,$P$34=0),"",$L$37-1)),MIN(BZ$38,$E520),$P$20))-SUM($BF520:BY520))</f>
        <v>0</v>
      </c>
      <c r="CA520" s="446">
        <f>IF($E520=0,0,IF(MIN(CA$38,$E520)&lt;MAX($P$34*($B520+$I$38-1),IF(AND($L$37=0,$P$34=0),"",$L$37-1)),0,YEARFRAC(MAX($P$34*($B520+$I$38-1),IF(AND($L$37=0,$P$34=0),"",$L$37-1)),MIN(CA$38,$E520),$P$20))-SUM($BF520:BZ520))</f>
        <v>0</v>
      </c>
      <c r="CB520" s="446">
        <f>IF($E520=0,0,IF(MIN(CB$38,$E520)&lt;MAX($P$34*($B520+$I$38-1),IF(AND($L$37=0,$P$34=0),"",$L$37-1)),0,YEARFRAC(MAX($P$34*($B520+$I$38-1),IF(AND($L$37=0,$P$34=0),"",$L$37-1)),MIN(CB$38,$E520),$P$20))-SUM($BF520:CA520))</f>
        <v>0</v>
      </c>
      <c r="CC520" s="446">
        <f>IF($E520=0,0,IF(MIN(CC$38,$E520)&lt;MAX($P$34*($B520+$I$38-1),IF(AND($L$37=0,$P$34=0),"",$L$37-1)),0,YEARFRAC(MAX($P$34*($B520+$I$38-1),IF(AND($L$37=0,$P$34=0),"",$L$37-1)),MIN(CC$38,$E520),$P$20))-SUM($BF520:CB520))</f>
        <v>0</v>
      </c>
      <c r="CD520" s="446">
        <f>IF($E520=0,0,IF(MIN(CD$38,$E520)&lt;MAX($P$34*($B520+$I$38-1),IF(AND($L$37=0,$P$34=0),"",$L$37-1)),0,YEARFRAC(MAX($P$34*($B520+$I$38-1),IF(AND($L$37=0,$P$34=0),"",$L$37-1)),MIN(CD$38,$E520),$P$20))-SUM($BF520:CC520))</f>
        <v>0</v>
      </c>
      <c r="CE520" s="446">
        <f>IF($E520=0,0,IF(MIN(CE$38,$E520)&lt;MAX($P$34*($B520+$I$38-1),IF(AND($L$37=0,$P$34=0),"",$L$37-1)),0,YEARFRAC(MAX($P$34*($B520+$I$38-1),IF(AND($L$37=0,$P$34=0),"",$L$37-1)),MIN(CE$38,$E520),$P$20))-SUM($BF520:CD520))</f>
        <v>0</v>
      </c>
      <c r="CF520" s="446">
        <f>IF($E520=0,0,IF(MIN(CF$38,$E520)&lt;MAX($P$34*($B520+$I$38-1),IF(AND($L$37=0,$P$34=0),"",$L$37-1)),0,YEARFRAC(MAX($P$34*($B520+$I$38-1),IF(AND($L$37=0,$P$34=0),"",$L$37-1)),MIN(CF$38,$E520),$P$20))-SUM($BF520:CE520))</f>
        <v>0</v>
      </c>
      <c r="CG520" s="446">
        <f>IF($E520=0,0,IF(MIN(CG$38,$E520)&lt;MAX($P$34*($B520+$I$38-1),IF(AND($L$37=0,$P$34=0),"",$L$37-1)),0,YEARFRAC(MAX($P$34*($B520+$I$38-1),IF(AND($L$37=0,$P$34=0),"",$L$37-1)),MIN(CG$38,$E520),$P$20))-SUM($BF520:CF520))</f>
        <v>0</v>
      </c>
      <c r="CH520" s="446">
        <f>IF($E520=0,0,IF(MIN(CH$38,$E520)&lt;MAX($P$34*($B520+$I$38-1),IF(AND($L$37=0,$P$34=0),"",$L$37-1)),0,YEARFRAC(MAX($P$34*($B520+$I$38-1),IF(AND($L$37=0,$P$34=0),"",$L$37-1)),MIN(CH$38,$E520),$P$20))-SUM($BF520:CG520))</f>
        <v>0</v>
      </c>
      <c r="CI520" s="446">
        <f>IF($E520=0,0,IF(MIN(CI$38,$E520)&lt;MAX($P$34*($B520+$I$38-1),IF(AND($L$37=0,$P$34=0),"",$L$37-1)),0,YEARFRAC(MAX($P$34*($B520+$I$38-1),IF(AND($L$37=0,$P$34=0),"",$L$37-1)),MIN(CI$38,$E520),$P$20))-SUM($BF520:CH520))</f>
        <v>0</v>
      </c>
      <c r="CJ520" s="446">
        <f>IF($E520=0,0,IF(MIN(CJ$38,$E520)&lt;MAX($P$34*($B520+$I$38-1),IF(AND($L$37=0,$P$34=0),"",$L$37-1)),0,YEARFRAC(MAX($P$34*($B520+$I$38-1),IF(AND($L$37=0,$P$34=0),"",$L$37-1)),MIN(CJ$38,$E520),$P$20))-SUM($BF520:CI520))</f>
        <v>0</v>
      </c>
      <c r="CK520" s="446">
        <f>IF($E520=0,0,IF(MIN(CK$38,$E520)&lt;MAX($P$34*($B520+$I$38-1),IF(AND($L$37=0,$P$34=0),"",$L$37-1)),0,YEARFRAC(MAX($P$34*($B520+$I$38-1),IF(AND($L$37=0,$P$34=0),"",$L$37-1)),MIN(CK$38,$E520),$P$20))-SUM($BF520:CJ520))</f>
        <v>0</v>
      </c>
      <c r="CL520" s="446">
        <f>IF($E520=0,0,IF(MIN(CL$38,$E520)&lt;MAX($P$34*($B520+$I$38-1),IF(AND($L$37=0,$P$34=0),"",$L$37-1)),0,YEARFRAC(MAX($P$34*($B520+$I$38-1),IF(AND($L$37=0,$P$34=0),"",$L$37-1)),MIN(CL$38,$E520),$P$20))-SUM($BF520:CK520))</f>
        <v>0</v>
      </c>
      <c r="CM520" s="446">
        <f>IF($E520=0,0,IF(MIN(CM$38,$E520)&lt;MAX($P$34*($B520+$I$38-1),IF(AND($L$37=0,$P$34=0),"",$L$37-1)),0,YEARFRAC(MAX($P$34*($B520+$I$38-1),IF(AND($L$37=0,$P$34=0),"",$L$37-1)),MIN(CM$38,$E520),$P$20))-SUM($BF520:CL520))</f>
        <v>0</v>
      </c>
      <c r="CN520" s="446">
        <f>IF($E520=0,0,IF(MIN(CN$38,$E520)&lt;MAX($P$34*($B520+$I$38-1),IF(AND($L$37=0,$P$34=0),"",$L$37-1)),0,YEARFRAC(MAX($P$34*($B520+$I$38-1),IF(AND($L$37=0,$P$34=0),"",$L$37-1)),MIN(CN$38,$E520),$P$20))-SUM($BF520:CM520))</f>
        <v>0</v>
      </c>
      <c r="CO520" s="446">
        <f>IF($E520=0,0,IF(MIN(CO$38,$E520)&lt;MAX($P$34*($B520+$I$38-1),IF(AND($L$37=0,$P$34=0),"",$L$37-1)),0,YEARFRAC(MAX($P$34*($B520+$I$38-1),IF(AND($L$37=0,$P$34=0),"",$L$37-1)),MIN(CO$38,$E520),$P$20))-SUM($BF520:CN520))</f>
        <v>0</v>
      </c>
      <c r="CP520" s="446">
        <f>IF($E520=0,0,IF(MIN(CP$38,$E520)&lt;MAX($P$34*($B520+$I$38-1),IF(AND($L$37=0,$P$34=0),"",$L$37-1)),0,YEARFRAC(MAX($P$34*($B520+$I$38-1),IF(AND($L$37=0,$P$34=0),"",$L$37-1)),MIN(CP$38,$E520),$P$20))-SUM($BF520:CO520))</f>
        <v>0</v>
      </c>
      <c r="CQ520" s="446">
        <f>IF($E520=0,0,IF(MIN(CQ$38,$E520)&lt;MAX($P$34*($B520+$I$38-1),IF(AND($L$37=0,$P$34=0),"",$L$37-1)),0,YEARFRAC(MAX($P$34*($B520+$I$38-1),IF(AND($L$37=0,$P$34=0),"",$L$37-1)),MIN(CQ$38,$E520),$P$20))-SUM($BF520:CP520))</f>
        <v>0</v>
      </c>
    </row>
    <row r="521" spans="1:95" s="446" customFormat="1" ht="11.25" hidden="1" customHeight="1" x14ac:dyDescent="0.2">
      <c r="A521" s="152"/>
      <c r="B521" s="153" t="str">
        <f t="shared" si="92"/>
        <v/>
      </c>
      <c r="C521" s="29" t="str">
        <f>IF(B521="","",IF($L$35="SELIC - TRIBUTOS",VLOOKUP(DATE(YEAR($D$19),MONTH($D$19)-1,1),ÍNDICES!$A:$DE,HLOOKUP($BL$25,ÍNDICES!$B$3:$T$4,2)+11)-VLOOKUP(B521,ÍNDICES!$A:$DE,HLOOKUP($BL$25,ÍNDICES!$B$3:$T$4,2)+11)+1%,IF(C$38=$W$26,$J$35,IF(ISERROR(IF(B521&gt;$D$19,1,VLOOKUP(DATE(YEAR(B521),MONTH(B521)+IF($C$35=$S$23,1,0),1),ÍNDICES!$A:$DE,$Z$35+1))),"",IF(B521&gt;$D$19,1,VLOOKUP(DATE(YEAR(B521),MONTH(B521)+IF($C$35=$S$23,1,0),1),ÍNDICES!$A:$DE,$Z$35+1))))))</f>
        <v/>
      </c>
      <c r="D521" s="154" t="str">
        <f>IF(ISERROR(IF(OR($D$38=$Y$27,$B521=""),"",VLOOKUP(B521,ÍNDICES!A:DE,AF$35+1))),"",IF(OR($D$38=$Y$27,$B521=""),"",VLOOKUP(B521,ÍNDICES!A:DE,AF$35+1)))</f>
        <v/>
      </c>
      <c r="E521" s="153"/>
      <c r="F521" s="29" t="str">
        <f>IF(E521="","",IF($L$35="SELIC - TRIBUTOS",VLOOKUP(DATE(YEAR($D$19),MONTH($D$19)-1,1),ÍNDICES!$A:$DE,HLOOKUP($BL$25,ÍNDICES!$B$3:$T$4,2)+11)-VLOOKUP(E521,ÍNDICES!$A:$DE,HLOOKUP($BL$25,ÍNDICES!$B$3:$T$4,2)+11)+1%,IF(F$38=$W$26,$J$35,IF(ISERROR(IF(E521&gt;$D$19,1,VLOOKUP(DATE(YEAR(E521),MONTH(E521)+IF($C$35=$S$23,1,0),1),ÍNDICES!$A:$DE,$Z$35+1))),"",IF(E521&gt;$D$19,1,VLOOKUP(DATE(YEAR(E521),MONTH(E521)+IF($C$35=$S$23,1,0),1),ÍNDICES!$A:$DE,$Z$35+1))))))</f>
        <v/>
      </c>
      <c r="G521" s="155"/>
      <c r="H521" s="156" t="str">
        <f t="shared" si="88"/>
        <v/>
      </c>
      <c r="I521" s="29" t="str">
        <f t="shared" si="82"/>
        <v/>
      </c>
      <c r="J521" s="5">
        <f t="shared" si="83"/>
        <v>0</v>
      </c>
      <c r="K521" s="20">
        <f t="shared" ca="1" si="84"/>
        <v>0</v>
      </c>
      <c r="L521" s="5">
        <f t="shared" ca="1" si="85"/>
        <v>0</v>
      </c>
      <c r="M521" s="64">
        <f t="shared" si="89"/>
        <v>0</v>
      </c>
      <c r="N521" s="61">
        <f t="shared" ca="1" si="90"/>
        <v>0</v>
      </c>
      <c r="O521" s="5">
        <f t="shared" ca="1" si="91"/>
        <v>0</v>
      </c>
      <c r="P521" s="446" t="e">
        <f t="shared" si="86"/>
        <v>#VALUE!</v>
      </c>
      <c r="Q521" s="446" t="e">
        <f>IF(OR($B521="",MIN(Q$38,$D$19)&lt;MAX($P$34*($B521+IF($R$17="Distrato",$I$38-1,0)),IF(AND($L$37=0,$P$34=0),"",$L$37-1),IF($R$17="Distrato",$E521,0))),0,YEARFRAC(MAX($P$34*($B521+IF($R$17="Distrato",$I$38-1,0)),IF(AND($L$37=0,$P$34=0),"",$L$37-1),IF($R$17="Distrato",$E521,0)),MIN(Q$38,$D$19),$P$20))-SUM($P521:P521)</f>
        <v>#VALUE!</v>
      </c>
      <c r="R521" s="446" t="e">
        <f>IF(OR($B521="",MIN(R$38,$D$19)&lt;MAX($P$34*($B521+IF($R$17="Distrato",$I$38-1,0)),IF(AND($L$37=0,$P$34=0),"",$L$37-1),IF($R$17="Distrato",$E521,0))),0,YEARFRAC(MAX($P$34*($B521+IF($R$17="Distrato",$I$38-1,0)),IF(AND($L$37=0,$P$34=0),"",$L$37-1),IF($R$17="Distrato",$E521,0)),MIN(R$38,$D$19),$P$20))-SUM($P521:Q521)</f>
        <v>#VALUE!</v>
      </c>
      <c r="S521" s="446" t="e">
        <f>IF(OR($B521="",MIN(S$38,$D$19)&lt;MAX($P$34*($B521+IF($R$17="Distrato",$I$38-1,0)),IF(AND($L$37=0,$P$34=0),"",$L$37-1),IF($R$17="Distrato",$E521,0))),0,YEARFRAC(MAX($P$34*($B521+IF($R$17="Distrato",$I$38-1,0)),IF(AND($L$37=0,$P$34=0),"",$L$37-1),IF($R$17="Distrato",$E521,0)),MIN(S$38,$D$19),$P$20))-SUM($P521:R521)</f>
        <v>#VALUE!</v>
      </c>
      <c r="T521" s="446" t="e">
        <f>IF(OR($B521="",MIN(T$38,$D$19)&lt;MAX($P$34*($B521+IF($R$17="Distrato",$I$38-1,0)),IF(AND($L$37=0,$P$34=0),"",$L$37-1),IF($R$17="Distrato",$E521,0))),0,YEARFRAC(MAX($P$34*($B521+IF($R$17="Distrato",$I$38-1,0)),IF(AND($L$37=0,$P$34=0),"",$L$37-1),IF($R$17="Distrato",$E521,0)),MIN(T$38,$D$19),$P$20))-SUM($P521:S521)</f>
        <v>#VALUE!</v>
      </c>
      <c r="U521" s="446" t="e">
        <f>IF(OR($B521="",MIN(U$38,$D$19)&lt;MAX($P$34*($B521+IF($R$17="Distrato",$I$38-1,0)),IF(AND($L$37=0,$P$34=0),"",$L$37-1),IF($R$17="Distrato",$E521,0))),0,YEARFRAC(MAX($P$34*($B521+IF($R$17="Distrato",$I$38-1,0)),IF(AND($L$37=0,$P$34=0),"",$L$37-1),IF($R$17="Distrato",$E521,0)),MIN(U$38,$D$19),$P$20))-SUM($P521:T521)</f>
        <v>#VALUE!</v>
      </c>
      <c r="V521" s="446" t="e">
        <f>IF(OR($B521="",MIN(V$38,$D$19)&lt;MAX($P$34*($B521+IF($R$17="Distrato",$I$38-1,0)),IF(AND($L$37=0,$P$34=0),"",$L$37-1),IF($R$17="Distrato",$E521,0))),0,YEARFRAC(MAX($P$34*($B521+IF($R$17="Distrato",$I$38-1,0)),IF(AND($L$37=0,$P$34=0),"",$L$37-1),IF($R$17="Distrato",$E521,0)),MIN(V$38,$D$19),$P$20))-SUM($P521:U521)</f>
        <v>#VALUE!</v>
      </c>
      <c r="W521" s="446" t="e">
        <f>IF(OR($B521="",MIN(W$38,$D$19)&lt;MAX($P$34*($B521+IF($R$17="Distrato",$I$38-1,0)),IF(AND($L$37=0,$P$34=0),"",$L$37-1),IF($R$17="Distrato",$E521,0))),0,YEARFRAC(MAX($P$34*($B521+IF($R$17="Distrato",$I$38-1,0)),IF(AND($L$37=0,$P$34=0),"",$L$37-1),IF($R$17="Distrato",$E521,0)),MIN(W$38,$D$19),$P$20))-SUM($P521:V521)</f>
        <v>#VALUE!</v>
      </c>
      <c r="X521" s="446" t="e">
        <f>IF(OR($B521="",MIN(X$38,$D$19)&lt;MAX($P$34*($B521+IF($R$17="Distrato",$I$38-1,0)),IF(AND($L$37=0,$P$34=0),"",$L$37-1),IF($R$17="Distrato",$E521,0))),0,YEARFRAC(MAX($P$34*($B521+IF($R$17="Distrato",$I$38-1,0)),IF(AND($L$37=0,$P$34=0),"",$L$37-1),IF($R$17="Distrato",$E521,0)),MIN(X$38,$D$19),$P$20))-SUM($P521:W521)</f>
        <v>#VALUE!</v>
      </c>
      <c r="Y521" s="446" t="e">
        <f>IF(OR($B521="",MIN(Y$38,$D$19)&lt;MAX($P$34*($B521+IF($R$17="Distrato",$I$38-1,0)),IF(AND($L$37=0,$P$34=0),"",$L$37-1),IF($R$17="Distrato",$E521,0))),0,YEARFRAC(MAX($P$34*($B521+IF($R$17="Distrato",$I$38-1,0)),IF(AND($L$37=0,$P$34=0),"",$L$37-1),IF($R$17="Distrato",$E521,0)),MIN(Y$38,$D$19),$P$20))-SUM($P521:X521)</f>
        <v>#VALUE!</v>
      </c>
      <c r="Z521" s="446" t="e">
        <f>IF(OR($B521="",MIN(Z$38,$D$19)&lt;MAX($P$34*($B521+IF($R$17="Distrato",$I$38-1,0)),IF(AND($L$37=0,$P$34=0),"",$L$37-1),IF($R$17="Distrato",$E521,0))),0,YEARFRAC(MAX($P$34*($B521+IF($R$17="Distrato",$I$38-1,0)),IF(AND($L$37=0,$P$34=0),"",$L$37-1),IF($R$17="Distrato",$E521,0)),MIN(Z$38,$D$19),$P$20))-SUM($P521:Y521)</f>
        <v>#VALUE!</v>
      </c>
      <c r="AA521" s="446" t="e">
        <f>IF(OR($B521="",MIN(AA$38,$D$19)&lt;MAX($P$34*($B521+IF($R$17="Distrato",$I$38-1,0)),IF(AND($L$37=0,$P$34=0),"",$L$37-1),IF($R$17="Distrato",$E521,0))),0,YEARFRAC(MAX($P$34*($B521+IF($R$17="Distrato",$I$38-1,0)),IF(AND($L$37=0,$P$34=0),"",$L$37-1),IF($R$17="Distrato",$E521,0)),MIN(AA$38,$D$19),$P$20))-SUM($P521:Z521)</f>
        <v>#VALUE!</v>
      </c>
      <c r="AB521" s="446" t="e">
        <f>IF(OR($B521="",MIN(AB$38,$D$19)&lt;MAX($P$34*($B521+IF($R$17="Distrato",$I$38-1,0)),IF(AND($L$37=0,$P$34=0),"",$L$37-1),IF($R$17="Distrato",$E521,0))),0,YEARFRAC(MAX($P$34*($B521+IF($R$17="Distrato",$I$38-1,0)),IF(AND($L$37=0,$P$34=0),"",$L$37-1),IF($R$17="Distrato",$E521,0)),MIN(AB$38,$D$19),$P$20))-SUM($P521:AA521)</f>
        <v>#VALUE!</v>
      </c>
      <c r="AC521" s="446" t="e">
        <f>IF(OR($B521="",MIN(AC$38,$D$19)&lt;MAX($P$34*($B521+IF($R$17="Distrato",$I$38-1,0)),IF(AND($L$37=0,$P$34=0),"",$L$37-1),IF($R$17="Distrato",$E521,0))),0,YEARFRAC(MAX($P$34*($B521+IF($R$17="Distrato",$I$38-1,0)),IF(AND($L$37=0,$P$34=0),"",$L$37-1),IF($R$17="Distrato",$E521,0)),MIN(AC$38,$D$19),$P$20))-SUM($P521:AB521)</f>
        <v>#VALUE!</v>
      </c>
      <c r="AD521" s="446" t="e">
        <f>IF(OR($B521="",MIN(AD$38,$D$19)&lt;MAX($P$34*($B521+IF($R$17="Distrato",$I$38-1,0)),IF(AND($L$37=0,$P$34=0),"",$L$37-1),IF($R$17="Distrato",$E521,0))),0,YEARFRAC(MAX($P$34*($B521+IF($R$17="Distrato",$I$38-1,0)),IF(AND($L$37=0,$P$34=0),"",$L$37-1),IF($R$17="Distrato",$E521,0)),MIN(AD$38,$D$19),$P$20))-SUM($P521:AC521)</f>
        <v>#VALUE!</v>
      </c>
      <c r="AE521" s="446" t="e">
        <f>IF(OR($B521="",MIN(AE$38,$D$19)&lt;MAX($P$34*($B521+IF($R$17="Distrato",$I$38-1,0)),IF(AND($L$37=0,$P$34=0),"",$L$37-1),IF($R$17="Distrato",$E521,0))),0,YEARFRAC(MAX($P$34*($B521+IF($R$17="Distrato",$I$38-1,0)),IF(AND($L$37=0,$P$34=0),"",$L$37-1),IF($R$17="Distrato",$E521,0)),MIN(AE$38,$D$19),$P$20))-SUM($P521:AD521)</f>
        <v>#VALUE!</v>
      </c>
      <c r="AF521" s="446" t="e">
        <f>IF(OR($B521="",MIN(AF$38,$D$19)&lt;MAX($P$34*($B521+IF($R$17="Distrato",$I$38-1,0)),IF(AND($L$37=0,$P$34=0),"",$L$37-1),IF($R$17="Distrato",$E521,0))),0,YEARFRAC(MAX($P$34*($B521+IF($R$17="Distrato",$I$38-1,0)),IF(AND($L$37=0,$P$34=0),"",$L$37-1),IF($R$17="Distrato",$E521,0)),MIN(AF$38,$D$19),$P$20))-SUM($P521:AE521)</f>
        <v>#VALUE!</v>
      </c>
      <c r="AG521" s="446" t="e">
        <f>IF(OR($B521="",MIN(AG$38,$D$19)&lt;MAX($P$34*($B521+IF($R$17="Distrato",$I$38-1,0)),IF(AND($L$37=0,$P$34=0),"",$L$37-1),IF($R$17="Distrato",$E521,0))),0,YEARFRAC(MAX($P$34*($B521+IF($R$17="Distrato",$I$38-1,0)),IF(AND($L$37=0,$P$34=0),"",$L$37-1),IF($R$17="Distrato",$E521,0)),MIN(AG$38,$D$19),$P$20))-SUM($P521:AF521)</f>
        <v>#VALUE!</v>
      </c>
      <c r="AH521" s="446" t="e">
        <f>IF(OR($B521="",MIN(AH$38,$D$19)&lt;MAX($P$34*($B521+IF($R$17="Distrato",$I$38-1,0)),IF(AND($L$37=0,$P$34=0),"",$L$37-1),IF($R$17="Distrato",$E521,0))),0,YEARFRAC(MAX($P$34*($B521+IF($R$17="Distrato",$I$38-1,0)),IF(AND($L$37=0,$P$34=0),"",$L$37-1),IF($R$17="Distrato",$E521,0)),MIN(AH$38,$D$19),$P$20))-SUM($P521:AG521)</f>
        <v>#VALUE!</v>
      </c>
      <c r="AI521" s="446" t="e">
        <f>IF(OR($B521="",MIN(AI$38,$D$19)&lt;MAX($P$34*($B521+IF($R$17="Distrato",$I$38-1,0)),IF(AND($L$37=0,$P$34=0),"",$L$37-1),IF($R$17="Distrato",$E521,0))),0,YEARFRAC(MAX($P$34*($B521+IF($R$17="Distrato",$I$38-1,0)),IF(AND($L$37=0,$P$34=0),"",$L$37-1),IF($R$17="Distrato",$E521,0)),MIN(AI$38,$D$19),$P$20))-SUM($P521:AH521)</f>
        <v>#VALUE!</v>
      </c>
      <c r="AJ521" s="446" t="e">
        <f>IF(OR($B521="",MIN(AJ$38,$D$19)&lt;MAX($P$34*($B521+IF($R$17="Distrato",$I$38-1,0)),IF(AND($L$37=0,$P$34=0),"",$L$37-1),IF($R$17="Distrato",$E521,0))),0,YEARFRAC(MAX($P$34*($B521+IF($R$17="Distrato",$I$38-1,0)),IF(AND($L$37=0,$P$34=0),"",$L$37-1),IF($R$17="Distrato",$E521,0)),MIN(AJ$38,$D$19),$P$20))-SUM($P521:AI521)</f>
        <v>#VALUE!</v>
      </c>
      <c r="AK521" s="446" t="e">
        <f>IF(OR($B521="",MIN(AK$38,$D$19)&lt;MAX($P$34*($B521+IF($R$17="Distrato",$I$38-1,0)),IF(AND($L$37=0,$P$34=0),"",$L$37-1),IF($R$17="Distrato",$E521,0))),0,YEARFRAC(MAX($P$34*($B521+IF($R$17="Distrato",$I$38-1,0)),IF(AND($L$37=0,$P$34=0),"",$L$37-1),IF($R$17="Distrato",$E521,0)),MIN(AK$38,$D$19),$P$20))-SUM($P521:AJ521)</f>
        <v>#VALUE!</v>
      </c>
      <c r="AL521" s="446" t="e">
        <f>IF(OR($B521="",MIN(AL$38,$D$19)&lt;MAX($P$34*($B521+IF($R$17="Distrato",$I$38-1,0)),IF(AND($L$37=0,$P$34=0),"",$L$37-1),IF($R$17="Distrato",$E521,0))),0,YEARFRAC(MAX($P$34*($B521+IF($R$17="Distrato",$I$38-1,0)),IF(AND($L$37=0,$P$34=0),"",$L$37-1),IF($R$17="Distrato",$E521,0)),MIN(AL$38,$D$19),$P$20))-SUM($P521:AK521)</f>
        <v>#VALUE!</v>
      </c>
      <c r="AM521" s="446" t="e">
        <f>IF(OR($B521="",MIN(AM$38,$D$19)&lt;MAX($P$34*($B521+IF($R$17="Distrato",$I$38-1,0)),IF(AND($L$37=0,$P$34=0),"",$L$37-1),IF($R$17="Distrato",$E521,0))),0,YEARFRAC(MAX($P$34*($B521+IF($R$17="Distrato",$I$38-1,0)),IF(AND($L$37=0,$P$34=0),"",$L$37-1),IF($R$17="Distrato",$E521,0)),MIN(AM$38,$D$19),$P$20))-SUM($P521:AL521)</f>
        <v>#VALUE!</v>
      </c>
      <c r="AN521" s="446" t="e">
        <f>IF(OR($B521="",MIN(AN$38,$D$19)&lt;MAX($P$34*($B521+IF($R$17="Distrato",$I$38-1,0)),IF(AND($L$37=0,$P$34=0),"",$L$37-1),IF($R$17="Distrato",$E521,0))),0,YEARFRAC(MAX($P$34*($B521+IF($R$17="Distrato",$I$38-1,0)),IF(AND($L$37=0,$P$34=0),"",$L$37-1),IF($R$17="Distrato",$E521,0)),MIN(AN$38,$D$19),$P$20))-SUM($P521:AM521)</f>
        <v>#VALUE!</v>
      </c>
      <c r="AO521" s="446" t="e">
        <f>IF(OR($B521="",MIN(AO$38,$D$19)&lt;MAX($P$34*($B521+IF($R$17="Distrato",$I$38-1,0)),IF(AND($L$37=0,$P$34=0),"",$L$37-1),IF($R$17="Distrato",$E521,0))),0,YEARFRAC(MAX($P$34*($B521+IF($R$17="Distrato",$I$38-1,0)),IF(AND($L$37=0,$P$34=0),"",$L$37-1),IF($R$17="Distrato",$E521,0)),MIN(AO$38,$D$19),$P$20))-SUM($P521:AN521)</f>
        <v>#VALUE!</v>
      </c>
      <c r="AP521" s="446" t="e">
        <f>IF(OR($B521="",MIN(AP$38,$D$19)&lt;MAX($P$34*($B521+IF($R$17="Distrato",$I$38-1,0)),IF(AND($L$37=0,$P$34=0),"",$L$37-1),IF($R$17="Distrato",$E521,0))),0,YEARFRAC(MAX($P$34*($B521+IF($R$17="Distrato",$I$38-1,0)),IF(AND($L$37=0,$P$34=0),"",$L$37-1),IF($R$17="Distrato",$E521,0)),MIN(AP$38,$D$19),$P$20))-SUM($P521:AO521)</f>
        <v>#VALUE!</v>
      </c>
      <c r="AQ521" s="446" t="e">
        <f>IF(OR($B521="",MIN(AQ$38,$D$19)&lt;MAX($P$34*($B521+IF($R$17="Distrato",$I$38-1,0)),IF(AND($L$37=0,$P$34=0),"",$L$37-1),IF($R$17="Distrato",$E521,0))),0,YEARFRAC(MAX($P$34*($B521+IF($R$17="Distrato",$I$38-1,0)),IF(AND($L$37=0,$P$34=0),"",$L$37-1),IF($R$17="Distrato",$E521,0)),MIN(AQ$38,$D$19),$P$20))-SUM($P521:AP521)</f>
        <v>#VALUE!</v>
      </c>
      <c r="AR521" s="446" t="e">
        <f>IF(OR($B521="",MIN(AR$38,$D$19)&lt;MAX($P$34*($B521+IF($R$17="Distrato",$I$38-1,0)),IF(AND($L$37=0,$P$34=0),"",$L$37-1),IF($R$17="Distrato",$E521,0))),0,YEARFRAC(MAX($P$34*($B521+IF($R$17="Distrato",$I$38-1,0)),IF(AND($L$37=0,$P$34=0),"",$L$37-1),IF($R$17="Distrato",$E521,0)),MIN(AR$38,$D$19),$P$20))-SUM($P521:AQ521)</f>
        <v>#VALUE!</v>
      </c>
      <c r="AS521" s="446" t="e">
        <f>IF(OR($B521="",MIN(AS$38,$D$19)&lt;MAX($P$34*($B521+IF($R$17="Distrato",$I$38-1,0)),IF(AND($L$37=0,$P$34=0),"",$L$37-1),IF($R$17="Distrato",$E521,0))),0,YEARFRAC(MAX($P$34*($B521+IF($R$17="Distrato",$I$38-1,0)),IF(AND($L$37=0,$P$34=0),"",$L$37-1),IF($R$17="Distrato",$E521,0)),MIN(AS$38,$D$19),$P$20))-SUM($P521:AR521)</f>
        <v>#VALUE!</v>
      </c>
      <c r="AT521" s="446" t="e">
        <f>IF(OR($B521="",MIN(AT$38,$D$19)&lt;MAX($P$34*($B521+IF($R$17="Distrato",$I$38-1,0)),IF(AND($L$37=0,$P$34=0),"",$L$37-1),IF($R$17="Distrato",$E521,0))),0,YEARFRAC(MAX($P$34*($B521+IF($R$17="Distrato",$I$38-1,0)),IF(AND($L$37=0,$P$34=0),"",$L$37-1),IF($R$17="Distrato",$E521,0)),MIN(AT$38,$D$19),$P$20))-SUM($P521:AS521)</f>
        <v>#VALUE!</v>
      </c>
      <c r="AU521" s="446" t="e">
        <f>IF(OR($B521="",MIN(AU$38,$D$19)&lt;MAX($P$34*($B521+IF($R$17="Distrato",$I$38-1,0)),IF(AND($L$37=0,$P$34=0),"",$L$37-1),IF($R$17="Distrato",$E521,0))),0,YEARFRAC(MAX($P$34*($B521+IF($R$17="Distrato",$I$38-1,0)),IF(AND($L$37=0,$P$34=0),"",$L$37-1),IF($R$17="Distrato",$E521,0)),MIN(AU$38,$D$19),$P$20))-SUM($P521:AT521)</f>
        <v>#VALUE!</v>
      </c>
      <c r="AV521" s="446" t="e">
        <f>IF(OR($B521="",MIN(AV$38,$D$19)&lt;MAX($P$34*($B521+IF($R$17="Distrato",$I$38-1,0)),IF(AND($L$37=0,$P$34=0),"",$L$37-1),IF($R$17="Distrato",$E521,0))),0,YEARFRAC(MAX($P$34*($B521+IF($R$17="Distrato",$I$38-1,0)),IF(AND($L$37=0,$P$34=0),"",$L$37-1),IF($R$17="Distrato",$E521,0)),MIN(AV$38,$D$19),$P$20))-SUM($P521:AU521)</f>
        <v>#VALUE!</v>
      </c>
      <c r="AW521" s="446" t="e">
        <f>IF(OR($B521="",MIN(AW$38,$D$19)&lt;MAX($P$34*($B521+IF($R$17="Distrato",$I$38-1,0)),IF(AND($L$37=0,$P$34=0),"",$L$37-1),IF($R$17="Distrato",$E521,0))),0,YEARFRAC(MAX($P$34*($B521+IF($R$17="Distrato",$I$38-1,0)),IF(AND($L$37=0,$P$34=0),"",$L$37-1),IF($R$17="Distrato",$E521,0)),MIN(AW$38,$D$19),$P$20))-SUM($P521:AV521)</f>
        <v>#VALUE!</v>
      </c>
      <c r="AX521" s="446" t="e">
        <f>IF(OR($B521="",MIN(AX$38,$D$19)&lt;MAX($P$34*($B521+IF($R$17="Distrato",$I$38-1,0)),IF(AND($L$37=0,$P$34=0),"",$L$37-1),IF($R$17="Distrato",$E521,0))),0,YEARFRAC(MAX($P$34*($B521+IF($R$17="Distrato",$I$38-1,0)),IF(AND($L$37=0,$P$34=0),"",$L$37-1),IF($R$17="Distrato",$E521,0)),MIN(AX$38,$D$19),$P$20))-SUM($P521:AW521)</f>
        <v>#VALUE!</v>
      </c>
      <c r="AY521" s="446" t="e">
        <f>IF(OR($B521="",MIN(AY$38,$D$19)&lt;MAX($P$34*($B521+IF($R$17="Distrato",$I$38-1,0)),IF(AND($L$37=0,$P$34=0),"",$L$37-1),IF($R$17="Distrato",$E521,0))),0,YEARFRAC(MAX($P$34*($B521+IF($R$17="Distrato",$I$38-1,0)),IF(AND($L$37=0,$P$34=0),"",$L$37-1),IF($R$17="Distrato",$E521,0)),MIN(AY$38,$D$19),$P$20))-SUM($P521:AX521)</f>
        <v>#VALUE!</v>
      </c>
      <c r="AZ521" s="446" t="e">
        <f>IF(OR($B521="",MIN(AZ$38,$D$19)&lt;MAX($P$34*($B521+IF($R$17="Distrato",$I$38-1,0)),IF(AND($L$37=0,$P$34=0),"",$L$37-1),IF($R$17="Distrato",$E521,0))),0,YEARFRAC(MAX($P$34*($B521+IF($R$17="Distrato",$I$38-1,0)),IF(AND($L$37=0,$P$34=0),"",$L$37-1),IF($R$17="Distrato",$E521,0)),MIN(AZ$38,$D$19),$P$20))-SUM($P521:AY521)</f>
        <v>#VALUE!</v>
      </c>
      <c r="BA521" s="446" t="e">
        <f>IF(OR($B521="",MIN(BA$38,$D$19)&lt;MAX($P$34*($B521+IF($R$17="Distrato",$I$38-1,0)),IF(AND($L$37=0,$P$34=0),"",$L$37-1),IF($R$17="Distrato",$E521,0))),0,YEARFRAC(MAX($P$34*($B521+IF($R$17="Distrato",$I$38-1,0)),IF(AND($L$37=0,$P$34=0),"",$L$37-1),IF($R$17="Distrato",$E521,0)),MIN(BA$38,$D$19),$P$20))-SUM($P521:AZ521)</f>
        <v>#VALUE!</v>
      </c>
      <c r="BB521" s="447"/>
      <c r="BF521" s="446">
        <f t="shared" si="87"/>
        <v>0</v>
      </c>
      <c r="BG521" s="446">
        <f>IF($E521=0,0,IF(MIN(BG$38,$E521)&lt;MAX($P$34*($B521+$I$38-1),IF(AND($L$37=0,$P$34=0),"",$L$37-1)),0,YEARFRAC(MAX($P$34*($B521+$I$38-1),IF(AND($L$37=0,$P$34=0),"",$L$37-1)),MIN(BG$38,$E521),$P$20))-SUM($BF521:BF521))</f>
        <v>0</v>
      </c>
      <c r="BH521" s="446">
        <f>IF($E521=0,0,IF(MIN(BH$38,$E521)&lt;MAX($P$34*($B521+$I$38-1),IF(AND($L$37=0,$P$34=0),"",$L$37-1)),0,YEARFRAC(MAX($P$34*($B521+$I$38-1),IF(AND($L$37=0,$P$34=0),"",$L$37-1)),MIN(BH$38,$E521),$P$20))-SUM($BF521:BG521))</f>
        <v>0</v>
      </c>
      <c r="BI521" s="446">
        <f>IF($E521=0,0,IF(MIN(BI$38,$E521)&lt;MAX($P$34*($B521+$I$38-1),IF(AND($L$37=0,$P$34=0),"",$L$37-1)),0,YEARFRAC(MAX($P$34*($B521+$I$38-1),IF(AND($L$37=0,$P$34=0),"",$L$37-1)),MIN(BI$38,$E521),$P$20))-SUM($BF521:BH521))</f>
        <v>0</v>
      </c>
      <c r="BJ521" s="446">
        <f>IF($E521=0,0,IF(MIN(BJ$38,$E521)&lt;MAX($P$34*($B521+$I$38-1),IF(AND($L$37=0,$P$34=0),"",$L$37-1)),0,YEARFRAC(MAX($P$34*($B521+$I$38-1),IF(AND($L$37=0,$P$34=0),"",$L$37-1)),MIN(BJ$38,$E521),$P$20))-SUM($BF521:BI521))</f>
        <v>0</v>
      </c>
      <c r="BK521" s="446">
        <f>IF($E521=0,0,IF(MIN(BK$38,$E521)&lt;MAX($P$34*($B521+$I$38-1),IF(AND($L$37=0,$P$34=0),"",$L$37-1)),0,YEARFRAC(MAX($P$34*($B521+$I$38-1),IF(AND($L$37=0,$P$34=0),"",$L$37-1)),MIN(BK$38,$E521),$P$20))-SUM($BF521:BJ521))</f>
        <v>0</v>
      </c>
      <c r="BL521" s="446">
        <f>IF($E521=0,0,IF(MIN(BL$38,$E521)&lt;MAX($P$34*($B521+$I$38-1),IF(AND($L$37=0,$P$34=0),"",$L$37-1)),0,YEARFRAC(MAX($P$34*($B521+$I$38-1),IF(AND($L$37=0,$P$34=0),"",$L$37-1)),MIN(BL$38,$E521),$P$20))-SUM($BF521:BK521))</f>
        <v>0</v>
      </c>
      <c r="BM521" s="446">
        <f>IF($E521=0,0,IF(MIN(BM$38,$E521)&lt;MAX($P$34*($B521+$I$38-1),IF(AND($L$37=0,$P$34=0),"",$L$37-1)),0,YEARFRAC(MAX($P$34*($B521+$I$38-1),IF(AND($L$37=0,$P$34=0),"",$L$37-1)),MIN(BM$38,$E521),$P$20))-SUM($BF521:BL521))</f>
        <v>0</v>
      </c>
      <c r="BN521" s="446">
        <f>IF($E521=0,0,IF(MIN(BN$38,$E521)&lt;MAX($P$34*($B521+$I$38-1),IF(AND($L$37=0,$P$34=0),"",$L$37-1)),0,YEARFRAC(MAX($P$34*($B521+$I$38-1),IF(AND($L$37=0,$P$34=0),"",$L$37-1)),MIN(BN$38,$E521),$P$20))-SUM($BF521:BM521))</f>
        <v>0</v>
      </c>
      <c r="BO521" s="446">
        <f>IF($E521=0,0,IF(MIN(BO$38,$E521)&lt;MAX($P$34*($B521+$I$38-1),IF(AND($L$37=0,$P$34=0),"",$L$37-1)),0,YEARFRAC(MAX($P$34*($B521+$I$38-1),IF(AND($L$37=0,$P$34=0),"",$L$37-1)),MIN(BO$38,$E521),$P$20))-SUM($BF521:BN521))</f>
        <v>0</v>
      </c>
      <c r="BP521" s="446">
        <f>IF($E521=0,0,IF(MIN(BP$38,$E521)&lt;MAX($P$34*($B521+$I$38-1),IF(AND($L$37=0,$P$34=0),"",$L$37-1)),0,YEARFRAC(MAX($P$34*($B521+$I$38-1),IF(AND($L$37=0,$P$34=0),"",$L$37-1)),MIN(BP$38,$E521),$P$20))-SUM($BF521:BO521))</f>
        <v>0</v>
      </c>
      <c r="BQ521" s="446">
        <f>IF($E521=0,0,IF(MIN(BQ$38,$E521)&lt;MAX($P$34*($B521+$I$38-1),IF(AND($L$37=0,$P$34=0),"",$L$37-1)),0,YEARFRAC(MAX($P$34*($B521+$I$38-1),IF(AND($L$37=0,$P$34=0),"",$L$37-1)),MIN(BQ$38,$E521),$P$20))-SUM($BF521:BP521))</f>
        <v>0</v>
      </c>
      <c r="BR521" s="446">
        <f>IF($E521=0,0,IF(MIN(BR$38,$E521)&lt;MAX($P$34*($B521+$I$38-1),IF(AND($L$37=0,$P$34=0),"",$L$37-1)),0,YEARFRAC(MAX($P$34*($B521+$I$38-1),IF(AND($L$37=0,$P$34=0),"",$L$37-1)),MIN(BR$38,$E521),$P$20))-SUM($BF521:BQ521))</f>
        <v>0</v>
      </c>
      <c r="BS521" s="446">
        <f>IF($E521=0,0,IF(MIN(BS$38,$E521)&lt;MAX($P$34*($B521+$I$38-1),IF(AND($L$37=0,$P$34=0),"",$L$37-1)),0,YEARFRAC(MAX($P$34*($B521+$I$38-1),IF(AND($L$37=0,$P$34=0),"",$L$37-1)),MIN(BS$38,$E521),$P$20))-SUM($BF521:BR521))</f>
        <v>0</v>
      </c>
      <c r="BT521" s="446">
        <f>IF($E521=0,0,IF(MIN(BT$38,$E521)&lt;MAX($P$34*($B521+$I$38-1),IF(AND($L$37=0,$P$34=0),"",$L$37-1)),0,YEARFRAC(MAX($P$34*($B521+$I$38-1),IF(AND($L$37=0,$P$34=0),"",$L$37-1)),MIN(BT$38,$E521),$P$20))-SUM($BF521:BS521))</f>
        <v>0</v>
      </c>
      <c r="BU521" s="446">
        <f>IF($E521=0,0,IF(MIN(BU$38,$E521)&lt;MAX($P$34*($B521+$I$38-1),IF(AND($L$37=0,$P$34=0),"",$L$37-1)),0,YEARFRAC(MAX($P$34*($B521+$I$38-1),IF(AND($L$37=0,$P$34=0),"",$L$37-1)),MIN(BU$38,$E521),$P$20))-SUM($BF521:BT521))</f>
        <v>0</v>
      </c>
      <c r="BV521" s="446">
        <f>IF($E521=0,0,IF(MIN(BV$38,$E521)&lt;MAX($P$34*($B521+$I$38-1),IF(AND($L$37=0,$P$34=0),"",$L$37-1)),0,YEARFRAC(MAX($P$34*($B521+$I$38-1),IF(AND($L$37=0,$P$34=0),"",$L$37-1)),MIN(BV$38,$E521),$P$20))-SUM($BF521:BU521))</f>
        <v>0</v>
      </c>
      <c r="BW521" s="446">
        <f>IF($E521=0,0,IF(MIN(BW$38,$E521)&lt;MAX($P$34*($B521+$I$38-1),IF(AND($L$37=0,$P$34=0),"",$L$37-1)),0,YEARFRAC(MAX($P$34*($B521+$I$38-1),IF(AND($L$37=0,$P$34=0),"",$L$37-1)),MIN(BW$38,$E521),$P$20))-SUM($BF521:BV521))</f>
        <v>0</v>
      </c>
      <c r="BX521" s="446">
        <f>IF($E521=0,0,IF(MIN(BX$38,$E521)&lt;MAX($P$34*($B521+$I$38-1),IF(AND($L$37=0,$P$34=0),"",$L$37-1)),0,YEARFRAC(MAX($P$34*($B521+$I$38-1),IF(AND($L$37=0,$P$34=0),"",$L$37-1)),MIN(BX$38,$E521),$P$20))-SUM($BF521:BW521))</f>
        <v>0</v>
      </c>
      <c r="BY521" s="446">
        <f>IF($E521=0,0,IF(MIN(BY$38,$E521)&lt;MAX($P$34*($B521+$I$38-1),IF(AND($L$37=0,$P$34=0),"",$L$37-1)),0,YEARFRAC(MAX($P$34*($B521+$I$38-1),IF(AND($L$37=0,$P$34=0),"",$L$37-1)),MIN(BY$38,$E521),$P$20))-SUM($BF521:BX521))</f>
        <v>0</v>
      </c>
      <c r="BZ521" s="446">
        <f>IF($E521=0,0,IF(MIN(BZ$38,$E521)&lt;MAX($P$34*($B521+$I$38-1),IF(AND($L$37=0,$P$34=0),"",$L$37-1)),0,YEARFRAC(MAX($P$34*($B521+$I$38-1),IF(AND($L$37=0,$P$34=0),"",$L$37-1)),MIN(BZ$38,$E521),$P$20))-SUM($BF521:BY521))</f>
        <v>0</v>
      </c>
      <c r="CA521" s="446">
        <f>IF($E521=0,0,IF(MIN(CA$38,$E521)&lt;MAX($P$34*($B521+$I$38-1),IF(AND($L$37=0,$P$34=0),"",$L$37-1)),0,YEARFRAC(MAX($P$34*($B521+$I$38-1),IF(AND($L$37=0,$P$34=0),"",$L$37-1)),MIN(CA$38,$E521),$P$20))-SUM($BF521:BZ521))</f>
        <v>0</v>
      </c>
      <c r="CB521" s="446">
        <f>IF($E521=0,0,IF(MIN(CB$38,$E521)&lt;MAX($P$34*($B521+$I$38-1),IF(AND($L$37=0,$P$34=0),"",$L$37-1)),0,YEARFRAC(MAX($P$34*($B521+$I$38-1),IF(AND($L$37=0,$P$34=0),"",$L$37-1)),MIN(CB$38,$E521),$P$20))-SUM($BF521:CA521))</f>
        <v>0</v>
      </c>
      <c r="CC521" s="446">
        <f>IF($E521=0,0,IF(MIN(CC$38,$E521)&lt;MAX($P$34*($B521+$I$38-1),IF(AND($L$37=0,$P$34=0),"",$L$37-1)),0,YEARFRAC(MAX($P$34*($B521+$I$38-1),IF(AND($L$37=0,$P$34=0),"",$L$37-1)),MIN(CC$38,$E521),$P$20))-SUM($BF521:CB521))</f>
        <v>0</v>
      </c>
      <c r="CD521" s="446">
        <f>IF($E521=0,0,IF(MIN(CD$38,$E521)&lt;MAX($P$34*($B521+$I$38-1),IF(AND($L$37=0,$P$34=0),"",$L$37-1)),0,YEARFRAC(MAX($P$34*($B521+$I$38-1),IF(AND($L$37=0,$P$34=0),"",$L$37-1)),MIN(CD$38,$E521),$P$20))-SUM($BF521:CC521))</f>
        <v>0</v>
      </c>
      <c r="CE521" s="446">
        <f>IF($E521=0,0,IF(MIN(CE$38,$E521)&lt;MAX($P$34*($B521+$I$38-1),IF(AND($L$37=0,$P$34=0),"",$L$37-1)),0,YEARFRAC(MAX($P$34*($B521+$I$38-1),IF(AND($L$37=0,$P$34=0),"",$L$37-1)),MIN(CE$38,$E521),$P$20))-SUM($BF521:CD521))</f>
        <v>0</v>
      </c>
      <c r="CF521" s="446">
        <f>IF($E521=0,0,IF(MIN(CF$38,$E521)&lt;MAX($P$34*($B521+$I$38-1),IF(AND($L$37=0,$P$34=0),"",$L$37-1)),0,YEARFRAC(MAX($P$34*($B521+$I$38-1),IF(AND($L$37=0,$P$34=0),"",$L$37-1)),MIN(CF$38,$E521),$P$20))-SUM($BF521:CE521))</f>
        <v>0</v>
      </c>
      <c r="CG521" s="446">
        <f>IF($E521=0,0,IF(MIN(CG$38,$E521)&lt;MAX($P$34*($B521+$I$38-1),IF(AND($L$37=0,$P$34=0),"",$L$37-1)),0,YEARFRAC(MAX($P$34*($B521+$I$38-1),IF(AND($L$37=0,$P$34=0),"",$L$37-1)),MIN(CG$38,$E521),$P$20))-SUM($BF521:CF521))</f>
        <v>0</v>
      </c>
      <c r="CH521" s="446">
        <f>IF($E521=0,0,IF(MIN(CH$38,$E521)&lt;MAX($P$34*($B521+$I$38-1),IF(AND($L$37=0,$P$34=0),"",$L$37-1)),0,YEARFRAC(MAX($P$34*($B521+$I$38-1),IF(AND($L$37=0,$P$34=0),"",$L$37-1)),MIN(CH$38,$E521),$P$20))-SUM($BF521:CG521))</f>
        <v>0</v>
      </c>
      <c r="CI521" s="446">
        <f>IF($E521=0,0,IF(MIN(CI$38,$E521)&lt;MAX($P$34*($B521+$I$38-1),IF(AND($L$37=0,$P$34=0),"",$L$37-1)),0,YEARFRAC(MAX($P$34*($B521+$I$38-1),IF(AND($L$37=0,$P$34=0),"",$L$37-1)),MIN(CI$38,$E521),$P$20))-SUM($BF521:CH521))</f>
        <v>0</v>
      </c>
      <c r="CJ521" s="446">
        <f>IF($E521=0,0,IF(MIN(CJ$38,$E521)&lt;MAX($P$34*($B521+$I$38-1),IF(AND($L$37=0,$P$34=0),"",$L$37-1)),0,YEARFRAC(MAX($P$34*($B521+$I$38-1),IF(AND($L$37=0,$P$34=0),"",$L$37-1)),MIN(CJ$38,$E521),$P$20))-SUM($BF521:CI521))</f>
        <v>0</v>
      </c>
      <c r="CK521" s="446">
        <f>IF($E521=0,0,IF(MIN(CK$38,$E521)&lt;MAX($P$34*($B521+$I$38-1),IF(AND($L$37=0,$P$34=0),"",$L$37-1)),0,YEARFRAC(MAX($P$34*($B521+$I$38-1),IF(AND($L$37=0,$P$34=0),"",$L$37-1)),MIN(CK$38,$E521),$P$20))-SUM($BF521:CJ521))</f>
        <v>0</v>
      </c>
      <c r="CL521" s="446">
        <f>IF($E521=0,0,IF(MIN(CL$38,$E521)&lt;MAX($P$34*($B521+$I$38-1),IF(AND($L$37=0,$P$34=0),"",$L$37-1)),0,YEARFRAC(MAX($P$34*($B521+$I$38-1),IF(AND($L$37=0,$P$34=0),"",$L$37-1)),MIN(CL$38,$E521),$P$20))-SUM($BF521:CK521))</f>
        <v>0</v>
      </c>
      <c r="CM521" s="446">
        <f>IF($E521=0,0,IF(MIN(CM$38,$E521)&lt;MAX($P$34*($B521+$I$38-1),IF(AND($L$37=0,$P$34=0),"",$L$37-1)),0,YEARFRAC(MAX($P$34*($B521+$I$38-1),IF(AND($L$37=0,$P$34=0),"",$L$37-1)),MIN(CM$38,$E521),$P$20))-SUM($BF521:CL521))</f>
        <v>0</v>
      </c>
      <c r="CN521" s="446">
        <f>IF($E521=0,0,IF(MIN(CN$38,$E521)&lt;MAX($P$34*($B521+$I$38-1),IF(AND($L$37=0,$P$34=0),"",$L$37-1)),0,YEARFRAC(MAX($P$34*($B521+$I$38-1),IF(AND($L$37=0,$P$34=0),"",$L$37-1)),MIN(CN$38,$E521),$P$20))-SUM($BF521:CM521))</f>
        <v>0</v>
      </c>
      <c r="CO521" s="446">
        <f>IF($E521=0,0,IF(MIN(CO$38,$E521)&lt;MAX($P$34*($B521+$I$38-1),IF(AND($L$37=0,$P$34=0),"",$L$37-1)),0,YEARFRAC(MAX($P$34*($B521+$I$38-1),IF(AND($L$37=0,$P$34=0),"",$L$37-1)),MIN(CO$38,$E521),$P$20))-SUM($BF521:CN521))</f>
        <v>0</v>
      </c>
      <c r="CP521" s="446">
        <f>IF($E521=0,0,IF(MIN(CP$38,$E521)&lt;MAX($P$34*($B521+$I$38-1),IF(AND($L$37=0,$P$34=0),"",$L$37-1)),0,YEARFRAC(MAX($P$34*($B521+$I$38-1),IF(AND($L$37=0,$P$34=0),"",$L$37-1)),MIN(CP$38,$E521),$P$20))-SUM($BF521:CO521))</f>
        <v>0</v>
      </c>
      <c r="CQ521" s="446">
        <f>IF($E521=0,0,IF(MIN(CQ$38,$E521)&lt;MAX($P$34*($B521+$I$38-1),IF(AND($L$37=0,$P$34=0),"",$L$37-1)),0,YEARFRAC(MAX($P$34*($B521+$I$38-1),IF(AND($L$37=0,$P$34=0),"",$L$37-1)),MIN(CQ$38,$E521),$P$20))-SUM($BF521:CP521))</f>
        <v>0</v>
      </c>
    </row>
    <row r="522" spans="1:95" s="446" customFormat="1" ht="11.25" hidden="1" customHeight="1" x14ac:dyDescent="0.2">
      <c r="A522" s="152"/>
      <c r="B522" s="153" t="str">
        <f t="shared" si="92"/>
        <v/>
      </c>
      <c r="C522" s="29" t="str">
        <f>IF(B522="","",IF($L$35="SELIC - TRIBUTOS",VLOOKUP(DATE(YEAR($D$19),MONTH($D$19)-1,1),ÍNDICES!$A:$DE,HLOOKUP($BL$25,ÍNDICES!$B$3:$T$4,2)+11)-VLOOKUP(B522,ÍNDICES!$A:$DE,HLOOKUP($BL$25,ÍNDICES!$B$3:$T$4,2)+11)+1%,IF(C$38=$W$26,$J$35,IF(ISERROR(IF(B522&gt;$D$19,1,VLOOKUP(DATE(YEAR(B522),MONTH(B522)+IF($C$35=$S$23,1,0),1),ÍNDICES!$A:$DE,$Z$35+1))),"",IF(B522&gt;$D$19,1,VLOOKUP(DATE(YEAR(B522),MONTH(B522)+IF($C$35=$S$23,1,0),1),ÍNDICES!$A:$DE,$Z$35+1))))))</f>
        <v/>
      </c>
      <c r="D522" s="154" t="str">
        <f>IF(ISERROR(IF(OR($D$38=$Y$27,$B522=""),"",VLOOKUP(B522,ÍNDICES!A:DE,AF$35+1))),"",IF(OR($D$38=$Y$27,$B522=""),"",VLOOKUP(B522,ÍNDICES!A:DE,AF$35+1)))</f>
        <v/>
      </c>
      <c r="E522" s="153"/>
      <c r="F522" s="29" t="str">
        <f>IF(E522="","",IF($L$35="SELIC - TRIBUTOS",VLOOKUP(DATE(YEAR($D$19),MONTH($D$19)-1,1),ÍNDICES!$A:$DE,HLOOKUP($BL$25,ÍNDICES!$B$3:$T$4,2)+11)-VLOOKUP(E522,ÍNDICES!$A:$DE,HLOOKUP($BL$25,ÍNDICES!$B$3:$T$4,2)+11)+1%,IF(F$38=$W$26,$J$35,IF(ISERROR(IF(E522&gt;$D$19,1,VLOOKUP(DATE(YEAR(E522),MONTH(E522)+IF($C$35=$S$23,1,0),1),ÍNDICES!$A:$DE,$Z$35+1))),"",IF(E522&gt;$D$19,1,VLOOKUP(DATE(YEAR(E522),MONTH(E522)+IF($C$35=$S$23,1,0),1),ÍNDICES!$A:$DE,$Z$35+1))))))</f>
        <v/>
      </c>
      <c r="G522" s="155"/>
      <c r="H522" s="156" t="str">
        <f t="shared" si="88"/>
        <v/>
      </c>
      <c r="I522" s="29" t="str">
        <f t="shared" si="82"/>
        <v/>
      </c>
      <c r="J522" s="5">
        <f t="shared" si="83"/>
        <v>0</v>
      </c>
      <c r="K522" s="20">
        <f t="shared" ca="1" si="84"/>
        <v>0</v>
      </c>
      <c r="L522" s="5">
        <f t="shared" ca="1" si="85"/>
        <v>0</v>
      </c>
      <c r="M522" s="64">
        <f t="shared" si="89"/>
        <v>0</v>
      </c>
      <c r="N522" s="61">
        <f t="shared" ca="1" si="90"/>
        <v>0</v>
      </c>
      <c r="O522" s="5">
        <f t="shared" ca="1" si="91"/>
        <v>0</v>
      </c>
      <c r="P522" s="446" t="e">
        <f t="shared" si="86"/>
        <v>#VALUE!</v>
      </c>
      <c r="Q522" s="446" t="e">
        <f>IF(OR($B522="",MIN(Q$38,$D$19)&lt;MAX($P$34*($B522+IF($R$17="Distrato",$I$38-1,0)),IF(AND($L$37=0,$P$34=0),"",$L$37-1),IF($R$17="Distrato",$E522,0))),0,YEARFRAC(MAX($P$34*($B522+IF($R$17="Distrato",$I$38-1,0)),IF(AND($L$37=0,$P$34=0),"",$L$37-1),IF($R$17="Distrato",$E522,0)),MIN(Q$38,$D$19),$P$20))-SUM($P522:P522)</f>
        <v>#VALUE!</v>
      </c>
      <c r="R522" s="446" t="e">
        <f>IF(OR($B522="",MIN(R$38,$D$19)&lt;MAX($P$34*($B522+IF($R$17="Distrato",$I$38-1,0)),IF(AND($L$37=0,$P$34=0),"",$L$37-1),IF($R$17="Distrato",$E522,0))),0,YEARFRAC(MAX($P$34*($B522+IF($R$17="Distrato",$I$38-1,0)),IF(AND($L$37=0,$P$34=0),"",$L$37-1),IF($R$17="Distrato",$E522,0)),MIN(R$38,$D$19),$P$20))-SUM($P522:Q522)</f>
        <v>#VALUE!</v>
      </c>
      <c r="S522" s="446" t="e">
        <f>IF(OR($B522="",MIN(S$38,$D$19)&lt;MAX($P$34*($B522+IF($R$17="Distrato",$I$38-1,0)),IF(AND($L$37=0,$P$34=0),"",$L$37-1),IF($R$17="Distrato",$E522,0))),0,YEARFRAC(MAX($P$34*($B522+IF($R$17="Distrato",$I$38-1,0)),IF(AND($L$37=0,$P$34=0),"",$L$37-1),IF($R$17="Distrato",$E522,0)),MIN(S$38,$D$19),$P$20))-SUM($P522:R522)</f>
        <v>#VALUE!</v>
      </c>
      <c r="T522" s="446" t="e">
        <f>IF(OR($B522="",MIN(T$38,$D$19)&lt;MAX($P$34*($B522+IF($R$17="Distrato",$I$38-1,0)),IF(AND($L$37=0,$P$34=0),"",$L$37-1),IF($R$17="Distrato",$E522,0))),0,YEARFRAC(MAX($P$34*($B522+IF($R$17="Distrato",$I$38-1,0)),IF(AND($L$37=0,$P$34=0),"",$L$37-1),IF($R$17="Distrato",$E522,0)),MIN(T$38,$D$19),$P$20))-SUM($P522:S522)</f>
        <v>#VALUE!</v>
      </c>
      <c r="U522" s="446" t="e">
        <f>IF(OR($B522="",MIN(U$38,$D$19)&lt;MAX($P$34*($B522+IF($R$17="Distrato",$I$38-1,0)),IF(AND($L$37=0,$P$34=0),"",$L$37-1),IF($R$17="Distrato",$E522,0))),0,YEARFRAC(MAX($P$34*($B522+IF($R$17="Distrato",$I$38-1,0)),IF(AND($L$37=0,$P$34=0),"",$L$37-1),IF($R$17="Distrato",$E522,0)),MIN(U$38,$D$19),$P$20))-SUM($P522:T522)</f>
        <v>#VALUE!</v>
      </c>
      <c r="V522" s="446" t="e">
        <f>IF(OR($B522="",MIN(V$38,$D$19)&lt;MAX($P$34*($B522+IF($R$17="Distrato",$I$38-1,0)),IF(AND($L$37=0,$P$34=0),"",$L$37-1),IF($R$17="Distrato",$E522,0))),0,YEARFRAC(MAX($P$34*($B522+IF($R$17="Distrato",$I$38-1,0)),IF(AND($L$37=0,$P$34=0),"",$L$37-1),IF($R$17="Distrato",$E522,0)),MIN(V$38,$D$19),$P$20))-SUM($P522:U522)</f>
        <v>#VALUE!</v>
      </c>
      <c r="W522" s="446" t="e">
        <f>IF(OR($B522="",MIN(W$38,$D$19)&lt;MAX($P$34*($B522+IF($R$17="Distrato",$I$38-1,0)),IF(AND($L$37=0,$P$34=0),"",$L$37-1),IF($R$17="Distrato",$E522,0))),0,YEARFRAC(MAX($P$34*($B522+IF($R$17="Distrato",$I$38-1,0)),IF(AND($L$37=0,$P$34=0),"",$L$37-1),IF($R$17="Distrato",$E522,0)),MIN(W$38,$D$19),$P$20))-SUM($P522:V522)</f>
        <v>#VALUE!</v>
      </c>
      <c r="X522" s="446" t="e">
        <f>IF(OR($B522="",MIN(X$38,$D$19)&lt;MAX($P$34*($B522+IF($R$17="Distrato",$I$38-1,0)),IF(AND($L$37=0,$P$34=0),"",$L$37-1),IF($R$17="Distrato",$E522,0))),0,YEARFRAC(MAX($P$34*($B522+IF($R$17="Distrato",$I$38-1,0)),IF(AND($L$37=0,$P$34=0),"",$L$37-1),IF($R$17="Distrato",$E522,0)),MIN(X$38,$D$19),$P$20))-SUM($P522:W522)</f>
        <v>#VALUE!</v>
      </c>
      <c r="Y522" s="446" t="e">
        <f>IF(OR($B522="",MIN(Y$38,$D$19)&lt;MAX($P$34*($B522+IF($R$17="Distrato",$I$38-1,0)),IF(AND($L$37=0,$P$34=0),"",$L$37-1),IF($R$17="Distrato",$E522,0))),0,YEARFRAC(MAX($P$34*($B522+IF($R$17="Distrato",$I$38-1,0)),IF(AND($L$37=0,$P$34=0),"",$L$37-1),IF($R$17="Distrato",$E522,0)),MIN(Y$38,$D$19),$P$20))-SUM($P522:X522)</f>
        <v>#VALUE!</v>
      </c>
      <c r="Z522" s="446" t="e">
        <f>IF(OR($B522="",MIN(Z$38,$D$19)&lt;MAX($P$34*($B522+IF($R$17="Distrato",$I$38-1,0)),IF(AND($L$37=0,$P$34=0),"",$L$37-1),IF($R$17="Distrato",$E522,0))),0,YEARFRAC(MAX($P$34*($B522+IF($R$17="Distrato",$I$38-1,0)),IF(AND($L$37=0,$P$34=0),"",$L$37-1),IF($R$17="Distrato",$E522,0)),MIN(Z$38,$D$19),$P$20))-SUM($P522:Y522)</f>
        <v>#VALUE!</v>
      </c>
      <c r="AA522" s="446" t="e">
        <f>IF(OR($B522="",MIN(AA$38,$D$19)&lt;MAX($P$34*($B522+IF($R$17="Distrato",$I$38-1,0)),IF(AND($L$37=0,$P$34=0),"",$L$37-1),IF($R$17="Distrato",$E522,0))),0,YEARFRAC(MAX($P$34*($B522+IF($R$17="Distrato",$I$38-1,0)),IF(AND($L$37=0,$P$34=0),"",$L$37-1),IF($R$17="Distrato",$E522,0)),MIN(AA$38,$D$19),$P$20))-SUM($P522:Z522)</f>
        <v>#VALUE!</v>
      </c>
      <c r="AB522" s="446" t="e">
        <f>IF(OR($B522="",MIN(AB$38,$D$19)&lt;MAX($P$34*($B522+IF($R$17="Distrato",$I$38-1,0)),IF(AND($L$37=0,$P$34=0),"",$L$37-1),IF($R$17="Distrato",$E522,0))),0,YEARFRAC(MAX($P$34*($B522+IF($R$17="Distrato",$I$38-1,0)),IF(AND($L$37=0,$P$34=0),"",$L$37-1),IF($R$17="Distrato",$E522,0)),MIN(AB$38,$D$19),$P$20))-SUM($P522:AA522)</f>
        <v>#VALUE!</v>
      </c>
      <c r="AC522" s="446" t="e">
        <f>IF(OR($B522="",MIN(AC$38,$D$19)&lt;MAX($P$34*($B522+IF($R$17="Distrato",$I$38-1,0)),IF(AND($L$37=0,$P$34=0),"",$L$37-1),IF($R$17="Distrato",$E522,0))),0,YEARFRAC(MAX($P$34*($B522+IF($R$17="Distrato",$I$38-1,0)),IF(AND($L$37=0,$P$34=0),"",$L$37-1),IF($R$17="Distrato",$E522,0)),MIN(AC$38,$D$19),$P$20))-SUM($P522:AB522)</f>
        <v>#VALUE!</v>
      </c>
      <c r="AD522" s="446" t="e">
        <f>IF(OR($B522="",MIN(AD$38,$D$19)&lt;MAX($P$34*($B522+IF($R$17="Distrato",$I$38-1,0)),IF(AND($L$37=0,$P$34=0),"",$L$37-1),IF($R$17="Distrato",$E522,0))),0,YEARFRAC(MAX($P$34*($B522+IF($R$17="Distrato",$I$38-1,0)),IF(AND($L$37=0,$P$34=0),"",$L$37-1),IF($R$17="Distrato",$E522,0)),MIN(AD$38,$D$19),$P$20))-SUM($P522:AC522)</f>
        <v>#VALUE!</v>
      </c>
      <c r="AE522" s="446" t="e">
        <f>IF(OR($B522="",MIN(AE$38,$D$19)&lt;MAX($P$34*($B522+IF($R$17="Distrato",$I$38-1,0)),IF(AND($L$37=0,$P$34=0),"",$L$37-1),IF($R$17="Distrato",$E522,0))),0,YEARFRAC(MAX($P$34*($B522+IF($R$17="Distrato",$I$38-1,0)),IF(AND($L$37=0,$P$34=0),"",$L$37-1),IF($R$17="Distrato",$E522,0)),MIN(AE$38,$D$19),$P$20))-SUM($P522:AD522)</f>
        <v>#VALUE!</v>
      </c>
      <c r="AF522" s="446" t="e">
        <f>IF(OR($B522="",MIN(AF$38,$D$19)&lt;MAX($P$34*($B522+IF($R$17="Distrato",$I$38-1,0)),IF(AND($L$37=0,$P$34=0),"",$L$37-1),IF($R$17="Distrato",$E522,0))),0,YEARFRAC(MAX($P$34*($B522+IF($R$17="Distrato",$I$38-1,0)),IF(AND($L$37=0,$P$34=0),"",$L$37-1),IF($R$17="Distrato",$E522,0)),MIN(AF$38,$D$19),$P$20))-SUM($P522:AE522)</f>
        <v>#VALUE!</v>
      </c>
      <c r="AG522" s="446" t="e">
        <f>IF(OR($B522="",MIN(AG$38,$D$19)&lt;MAX($P$34*($B522+IF($R$17="Distrato",$I$38-1,0)),IF(AND($L$37=0,$P$34=0),"",$L$37-1),IF($R$17="Distrato",$E522,0))),0,YEARFRAC(MAX($P$34*($B522+IF($R$17="Distrato",$I$38-1,0)),IF(AND($L$37=0,$P$34=0),"",$L$37-1),IF($R$17="Distrato",$E522,0)),MIN(AG$38,$D$19),$P$20))-SUM($P522:AF522)</f>
        <v>#VALUE!</v>
      </c>
      <c r="AH522" s="446" t="e">
        <f>IF(OR($B522="",MIN(AH$38,$D$19)&lt;MAX($P$34*($B522+IF($R$17="Distrato",$I$38-1,0)),IF(AND($L$37=0,$P$34=0),"",$L$37-1),IF($R$17="Distrato",$E522,0))),0,YEARFRAC(MAX($P$34*($B522+IF($R$17="Distrato",$I$38-1,0)),IF(AND($L$37=0,$P$34=0),"",$L$37-1),IF($R$17="Distrato",$E522,0)),MIN(AH$38,$D$19),$P$20))-SUM($P522:AG522)</f>
        <v>#VALUE!</v>
      </c>
      <c r="AI522" s="446" t="e">
        <f>IF(OR($B522="",MIN(AI$38,$D$19)&lt;MAX($P$34*($B522+IF($R$17="Distrato",$I$38-1,0)),IF(AND($L$37=0,$P$34=0),"",$L$37-1),IF($R$17="Distrato",$E522,0))),0,YEARFRAC(MAX($P$34*($B522+IF($R$17="Distrato",$I$38-1,0)),IF(AND($L$37=0,$P$34=0),"",$L$37-1),IF($R$17="Distrato",$E522,0)),MIN(AI$38,$D$19),$P$20))-SUM($P522:AH522)</f>
        <v>#VALUE!</v>
      </c>
      <c r="AJ522" s="446" t="e">
        <f>IF(OR($B522="",MIN(AJ$38,$D$19)&lt;MAX($P$34*($B522+IF($R$17="Distrato",$I$38-1,0)),IF(AND($L$37=0,$P$34=0),"",$L$37-1),IF($R$17="Distrato",$E522,0))),0,YEARFRAC(MAX($P$34*($B522+IF($R$17="Distrato",$I$38-1,0)),IF(AND($L$37=0,$P$34=0),"",$L$37-1),IF($R$17="Distrato",$E522,0)),MIN(AJ$38,$D$19),$P$20))-SUM($P522:AI522)</f>
        <v>#VALUE!</v>
      </c>
      <c r="AK522" s="446" t="e">
        <f>IF(OR($B522="",MIN(AK$38,$D$19)&lt;MAX($P$34*($B522+IF($R$17="Distrato",$I$38-1,0)),IF(AND($L$37=0,$P$34=0),"",$L$37-1),IF($R$17="Distrato",$E522,0))),0,YEARFRAC(MAX($P$34*($B522+IF($R$17="Distrato",$I$38-1,0)),IF(AND($L$37=0,$P$34=0),"",$L$37-1),IF($R$17="Distrato",$E522,0)),MIN(AK$38,$D$19),$P$20))-SUM($P522:AJ522)</f>
        <v>#VALUE!</v>
      </c>
      <c r="AL522" s="446" t="e">
        <f>IF(OR($B522="",MIN(AL$38,$D$19)&lt;MAX($P$34*($B522+IF($R$17="Distrato",$I$38-1,0)),IF(AND($L$37=0,$P$34=0),"",$L$37-1),IF($R$17="Distrato",$E522,0))),0,YEARFRAC(MAX($P$34*($B522+IF($R$17="Distrato",$I$38-1,0)),IF(AND($L$37=0,$P$34=0),"",$L$37-1),IF($R$17="Distrato",$E522,0)),MIN(AL$38,$D$19),$P$20))-SUM($P522:AK522)</f>
        <v>#VALUE!</v>
      </c>
      <c r="AM522" s="446" t="e">
        <f>IF(OR($B522="",MIN(AM$38,$D$19)&lt;MAX($P$34*($B522+IF($R$17="Distrato",$I$38-1,0)),IF(AND($L$37=0,$P$34=0),"",$L$37-1),IF($R$17="Distrato",$E522,0))),0,YEARFRAC(MAX($P$34*($B522+IF($R$17="Distrato",$I$38-1,0)),IF(AND($L$37=0,$P$34=0),"",$L$37-1),IF($R$17="Distrato",$E522,0)),MIN(AM$38,$D$19),$P$20))-SUM($P522:AL522)</f>
        <v>#VALUE!</v>
      </c>
      <c r="AN522" s="446" t="e">
        <f>IF(OR($B522="",MIN(AN$38,$D$19)&lt;MAX($P$34*($B522+IF($R$17="Distrato",$I$38-1,0)),IF(AND($L$37=0,$P$34=0),"",$L$37-1),IF($R$17="Distrato",$E522,0))),0,YEARFRAC(MAX($P$34*($B522+IF($R$17="Distrato",$I$38-1,0)),IF(AND($L$37=0,$P$34=0),"",$L$37-1),IF($R$17="Distrato",$E522,0)),MIN(AN$38,$D$19),$P$20))-SUM($P522:AM522)</f>
        <v>#VALUE!</v>
      </c>
      <c r="AO522" s="446" t="e">
        <f>IF(OR($B522="",MIN(AO$38,$D$19)&lt;MAX($P$34*($B522+IF($R$17="Distrato",$I$38-1,0)),IF(AND($L$37=0,$P$34=0),"",$L$37-1),IF($R$17="Distrato",$E522,0))),0,YEARFRAC(MAX($P$34*($B522+IF($R$17="Distrato",$I$38-1,0)),IF(AND($L$37=0,$P$34=0),"",$L$37-1),IF($R$17="Distrato",$E522,0)),MIN(AO$38,$D$19),$P$20))-SUM($P522:AN522)</f>
        <v>#VALUE!</v>
      </c>
      <c r="AP522" s="446" t="e">
        <f>IF(OR($B522="",MIN(AP$38,$D$19)&lt;MAX($P$34*($B522+IF($R$17="Distrato",$I$38-1,0)),IF(AND($L$37=0,$P$34=0),"",$L$37-1),IF($R$17="Distrato",$E522,0))),0,YEARFRAC(MAX($P$34*($B522+IF($R$17="Distrato",$I$38-1,0)),IF(AND($L$37=0,$P$34=0),"",$L$37-1),IF($R$17="Distrato",$E522,0)),MIN(AP$38,$D$19),$P$20))-SUM($P522:AO522)</f>
        <v>#VALUE!</v>
      </c>
      <c r="AQ522" s="446" t="e">
        <f>IF(OR($B522="",MIN(AQ$38,$D$19)&lt;MAX($P$34*($B522+IF($R$17="Distrato",$I$38-1,0)),IF(AND($L$37=0,$P$34=0),"",$L$37-1),IF($R$17="Distrato",$E522,0))),0,YEARFRAC(MAX($P$34*($B522+IF($R$17="Distrato",$I$38-1,0)),IF(AND($L$37=0,$P$34=0),"",$L$37-1),IF($R$17="Distrato",$E522,0)),MIN(AQ$38,$D$19),$P$20))-SUM($P522:AP522)</f>
        <v>#VALUE!</v>
      </c>
      <c r="AR522" s="446" t="e">
        <f>IF(OR($B522="",MIN(AR$38,$D$19)&lt;MAX($P$34*($B522+IF($R$17="Distrato",$I$38-1,0)),IF(AND($L$37=0,$P$34=0),"",$L$37-1),IF($R$17="Distrato",$E522,0))),0,YEARFRAC(MAX($P$34*($B522+IF($R$17="Distrato",$I$38-1,0)),IF(AND($L$37=0,$P$34=0),"",$L$37-1),IF($R$17="Distrato",$E522,0)),MIN(AR$38,$D$19),$P$20))-SUM($P522:AQ522)</f>
        <v>#VALUE!</v>
      </c>
      <c r="AS522" s="446" t="e">
        <f>IF(OR($B522="",MIN(AS$38,$D$19)&lt;MAX($P$34*($B522+IF($R$17="Distrato",$I$38-1,0)),IF(AND($L$37=0,$P$34=0),"",$L$37-1),IF($R$17="Distrato",$E522,0))),0,YEARFRAC(MAX($P$34*($B522+IF($R$17="Distrato",$I$38-1,0)),IF(AND($L$37=0,$P$34=0),"",$L$37-1),IF($R$17="Distrato",$E522,0)),MIN(AS$38,$D$19),$P$20))-SUM($P522:AR522)</f>
        <v>#VALUE!</v>
      </c>
      <c r="AT522" s="446" t="e">
        <f>IF(OR($B522="",MIN(AT$38,$D$19)&lt;MAX($P$34*($B522+IF($R$17="Distrato",$I$38-1,0)),IF(AND($L$37=0,$P$34=0),"",$L$37-1),IF($R$17="Distrato",$E522,0))),0,YEARFRAC(MAX($P$34*($B522+IF($R$17="Distrato",$I$38-1,0)),IF(AND($L$37=0,$P$34=0),"",$L$37-1),IF($R$17="Distrato",$E522,0)),MIN(AT$38,$D$19),$P$20))-SUM($P522:AS522)</f>
        <v>#VALUE!</v>
      </c>
      <c r="AU522" s="446" t="e">
        <f>IF(OR($B522="",MIN(AU$38,$D$19)&lt;MAX($P$34*($B522+IF($R$17="Distrato",$I$38-1,0)),IF(AND($L$37=0,$P$34=0),"",$L$37-1),IF($R$17="Distrato",$E522,0))),0,YEARFRAC(MAX($P$34*($B522+IF($R$17="Distrato",$I$38-1,0)),IF(AND($L$37=0,$P$34=0),"",$L$37-1),IF($R$17="Distrato",$E522,0)),MIN(AU$38,$D$19),$P$20))-SUM($P522:AT522)</f>
        <v>#VALUE!</v>
      </c>
      <c r="AV522" s="446" t="e">
        <f>IF(OR($B522="",MIN(AV$38,$D$19)&lt;MAX($P$34*($B522+IF($R$17="Distrato",$I$38-1,0)),IF(AND($L$37=0,$P$34=0),"",$L$37-1),IF($R$17="Distrato",$E522,0))),0,YEARFRAC(MAX($P$34*($B522+IF($R$17="Distrato",$I$38-1,0)),IF(AND($L$37=0,$P$34=0),"",$L$37-1),IF($R$17="Distrato",$E522,0)),MIN(AV$38,$D$19),$P$20))-SUM($P522:AU522)</f>
        <v>#VALUE!</v>
      </c>
      <c r="AW522" s="446" t="e">
        <f>IF(OR($B522="",MIN(AW$38,$D$19)&lt;MAX($P$34*($B522+IF($R$17="Distrato",$I$38-1,0)),IF(AND($L$37=0,$P$34=0),"",$L$37-1),IF($R$17="Distrato",$E522,0))),0,YEARFRAC(MAX($P$34*($B522+IF($R$17="Distrato",$I$38-1,0)),IF(AND($L$37=0,$P$34=0),"",$L$37-1),IF($R$17="Distrato",$E522,0)),MIN(AW$38,$D$19),$P$20))-SUM($P522:AV522)</f>
        <v>#VALUE!</v>
      </c>
      <c r="AX522" s="446" t="e">
        <f>IF(OR($B522="",MIN(AX$38,$D$19)&lt;MAX($P$34*($B522+IF($R$17="Distrato",$I$38-1,0)),IF(AND($L$37=0,$P$34=0),"",$L$37-1),IF($R$17="Distrato",$E522,0))),0,YEARFRAC(MAX($P$34*($B522+IF($R$17="Distrato",$I$38-1,0)),IF(AND($L$37=0,$P$34=0),"",$L$37-1),IF($R$17="Distrato",$E522,0)),MIN(AX$38,$D$19),$P$20))-SUM($P522:AW522)</f>
        <v>#VALUE!</v>
      </c>
      <c r="AY522" s="446" t="e">
        <f>IF(OR($B522="",MIN(AY$38,$D$19)&lt;MAX($P$34*($B522+IF($R$17="Distrato",$I$38-1,0)),IF(AND($L$37=0,$P$34=0),"",$L$37-1),IF($R$17="Distrato",$E522,0))),0,YEARFRAC(MAX($P$34*($B522+IF($R$17="Distrato",$I$38-1,0)),IF(AND($L$37=0,$P$34=0),"",$L$37-1),IF($R$17="Distrato",$E522,0)),MIN(AY$38,$D$19),$P$20))-SUM($P522:AX522)</f>
        <v>#VALUE!</v>
      </c>
      <c r="AZ522" s="446" t="e">
        <f>IF(OR($B522="",MIN(AZ$38,$D$19)&lt;MAX($P$34*($B522+IF($R$17="Distrato",$I$38-1,0)),IF(AND($L$37=0,$P$34=0),"",$L$37-1),IF($R$17="Distrato",$E522,0))),0,YEARFRAC(MAX($P$34*($B522+IF($R$17="Distrato",$I$38-1,0)),IF(AND($L$37=0,$P$34=0),"",$L$37-1),IF($R$17="Distrato",$E522,0)),MIN(AZ$38,$D$19),$P$20))-SUM($P522:AY522)</f>
        <v>#VALUE!</v>
      </c>
      <c r="BA522" s="446" t="e">
        <f>IF(OR($B522="",MIN(BA$38,$D$19)&lt;MAX($P$34*($B522+IF($R$17="Distrato",$I$38-1,0)),IF(AND($L$37=0,$P$34=0),"",$L$37-1),IF($R$17="Distrato",$E522,0))),0,YEARFRAC(MAX($P$34*($B522+IF($R$17="Distrato",$I$38-1,0)),IF(AND($L$37=0,$P$34=0),"",$L$37-1),IF($R$17="Distrato",$E522,0)),MIN(BA$38,$D$19),$P$20))-SUM($P522:AZ522)</f>
        <v>#VALUE!</v>
      </c>
      <c r="BB522" s="447"/>
      <c r="BF522" s="446">
        <f t="shared" si="87"/>
        <v>0</v>
      </c>
      <c r="BG522" s="446">
        <f>IF($E522=0,0,IF(MIN(BG$38,$E522)&lt;MAX($P$34*($B522+$I$38-1),IF(AND($L$37=0,$P$34=0),"",$L$37-1)),0,YEARFRAC(MAX($P$34*($B522+$I$38-1),IF(AND($L$37=0,$P$34=0),"",$L$37-1)),MIN(BG$38,$E522),$P$20))-SUM($BF522:BF522))</f>
        <v>0</v>
      </c>
      <c r="BH522" s="446">
        <f>IF($E522=0,0,IF(MIN(BH$38,$E522)&lt;MAX($P$34*($B522+$I$38-1),IF(AND($L$37=0,$P$34=0),"",$L$37-1)),0,YEARFRAC(MAX($P$34*($B522+$I$38-1),IF(AND($L$37=0,$P$34=0),"",$L$37-1)),MIN(BH$38,$E522),$P$20))-SUM($BF522:BG522))</f>
        <v>0</v>
      </c>
      <c r="BI522" s="446">
        <f>IF($E522=0,0,IF(MIN(BI$38,$E522)&lt;MAX($P$34*($B522+$I$38-1),IF(AND($L$37=0,$P$34=0),"",$L$37-1)),0,YEARFRAC(MAX($P$34*($B522+$I$38-1),IF(AND($L$37=0,$P$34=0),"",$L$37-1)),MIN(BI$38,$E522),$P$20))-SUM($BF522:BH522))</f>
        <v>0</v>
      </c>
      <c r="BJ522" s="446">
        <f>IF($E522=0,0,IF(MIN(BJ$38,$E522)&lt;MAX($P$34*($B522+$I$38-1),IF(AND($L$37=0,$P$34=0),"",$L$37-1)),0,YEARFRAC(MAX($P$34*($B522+$I$38-1),IF(AND($L$37=0,$P$34=0),"",$L$37-1)),MIN(BJ$38,$E522),$P$20))-SUM($BF522:BI522))</f>
        <v>0</v>
      </c>
      <c r="BK522" s="446">
        <f>IF($E522=0,0,IF(MIN(BK$38,$E522)&lt;MAX($P$34*($B522+$I$38-1),IF(AND($L$37=0,$P$34=0),"",$L$37-1)),0,YEARFRAC(MAX($P$34*($B522+$I$38-1),IF(AND($L$37=0,$P$34=0),"",$L$37-1)),MIN(BK$38,$E522),$P$20))-SUM($BF522:BJ522))</f>
        <v>0</v>
      </c>
      <c r="BL522" s="446">
        <f>IF($E522=0,0,IF(MIN(BL$38,$E522)&lt;MAX($P$34*($B522+$I$38-1),IF(AND($L$37=0,$P$34=0),"",$L$37-1)),0,YEARFRAC(MAX($P$34*($B522+$I$38-1),IF(AND($L$37=0,$P$34=0),"",$L$37-1)),MIN(BL$38,$E522),$P$20))-SUM($BF522:BK522))</f>
        <v>0</v>
      </c>
      <c r="BM522" s="446">
        <f>IF($E522=0,0,IF(MIN(BM$38,$E522)&lt;MAX($P$34*($B522+$I$38-1),IF(AND($L$37=0,$P$34=0),"",$L$37-1)),0,YEARFRAC(MAX($P$34*($B522+$I$38-1),IF(AND($L$37=0,$P$34=0),"",$L$37-1)),MIN(BM$38,$E522),$P$20))-SUM($BF522:BL522))</f>
        <v>0</v>
      </c>
      <c r="BN522" s="446">
        <f>IF($E522=0,0,IF(MIN(BN$38,$E522)&lt;MAX($P$34*($B522+$I$38-1),IF(AND($L$37=0,$P$34=0),"",$L$37-1)),0,YEARFRAC(MAX($P$34*($B522+$I$38-1),IF(AND($L$37=0,$P$34=0),"",$L$37-1)),MIN(BN$38,$E522),$P$20))-SUM($BF522:BM522))</f>
        <v>0</v>
      </c>
      <c r="BO522" s="446">
        <f>IF($E522=0,0,IF(MIN(BO$38,$E522)&lt;MAX($P$34*($B522+$I$38-1),IF(AND($L$37=0,$P$34=0),"",$L$37-1)),0,YEARFRAC(MAX($P$34*($B522+$I$38-1),IF(AND($L$37=0,$P$34=0),"",$L$37-1)),MIN(BO$38,$E522),$P$20))-SUM($BF522:BN522))</f>
        <v>0</v>
      </c>
      <c r="BP522" s="446">
        <f>IF($E522=0,0,IF(MIN(BP$38,$E522)&lt;MAX($P$34*($B522+$I$38-1),IF(AND($L$37=0,$P$34=0),"",$L$37-1)),0,YEARFRAC(MAX($P$34*($B522+$I$38-1),IF(AND($L$37=0,$P$34=0),"",$L$37-1)),MIN(BP$38,$E522),$P$20))-SUM($BF522:BO522))</f>
        <v>0</v>
      </c>
      <c r="BQ522" s="446">
        <f>IF($E522=0,0,IF(MIN(BQ$38,$E522)&lt;MAX($P$34*($B522+$I$38-1),IF(AND($L$37=0,$P$34=0),"",$L$37-1)),0,YEARFRAC(MAX($P$34*($B522+$I$38-1),IF(AND($L$37=0,$P$34=0),"",$L$37-1)),MIN(BQ$38,$E522),$P$20))-SUM($BF522:BP522))</f>
        <v>0</v>
      </c>
      <c r="BR522" s="446">
        <f>IF($E522=0,0,IF(MIN(BR$38,$E522)&lt;MAX($P$34*($B522+$I$38-1),IF(AND($L$37=0,$P$34=0),"",$L$37-1)),0,YEARFRAC(MAX($P$34*($B522+$I$38-1),IF(AND($L$37=0,$P$34=0),"",$L$37-1)),MIN(BR$38,$E522),$P$20))-SUM($BF522:BQ522))</f>
        <v>0</v>
      </c>
      <c r="BS522" s="446">
        <f>IF($E522=0,0,IF(MIN(BS$38,$E522)&lt;MAX($P$34*($B522+$I$38-1),IF(AND($L$37=0,$P$34=0),"",$L$37-1)),0,YEARFRAC(MAX($P$34*($B522+$I$38-1),IF(AND($L$37=0,$P$34=0),"",$L$37-1)),MIN(BS$38,$E522),$P$20))-SUM($BF522:BR522))</f>
        <v>0</v>
      </c>
      <c r="BT522" s="446">
        <f>IF($E522=0,0,IF(MIN(BT$38,$E522)&lt;MAX($P$34*($B522+$I$38-1),IF(AND($L$37=0,$P$34=0),"",$L$37-1)),0,YEARFRAC(MAX($P$34*($B522+$I$38-1),IF(AND($L$37=0,$P$34=0),"",$L$37-1)),MIN(BT$38,$E522),$P$20))-SUM($BF522:BS522))</f>
        <v>0</v>
      </c>
      <c r="BU522" s="446">
        <f>IF($E522=0,0,IF(MIN(BU$38,$E522)&lt;MAX($P$34*($B522+$I$38-1),IF(AND($L$37=0,$P$34=0),"",$L$37-1)),0,YEARFRAC(MAX($P$34*($B522+$I$38-1),IF(AND($L$37=0,$P$34=0),"",$L$37-1)),MIN(BU$38,$E522),$P$20))-SUM($BF522:BT522))</f>
        <v>0</v>
      </c>
      <c r="BV522" s="446">
        <f>IF($E522=0,0,IF(MIN(BV$38,$E522)&lt;MAX($P$34*($B522+$I$38-1),IF(AND($L$37=0,$P$34=0),"",$L$37-1)),0,YEARFRAC(MAX($P$34*($B522+$I$38-1),IF(AND($L$37=0,$P$34=0),"",$L$37-1)),MIN(BV$38,$E522),$P$20))-SUM($BF522:BU522))</f>
        <v>0</v>
      </c>
      <c r="BW522" s="446">
        <f>IF($E522=0,0,IF(MIN(BW$38,$E522)&lt;MAX($P$34*($B522+$I$38-1),IF(AND($L$37=0,$P$34=0),"",$L$37-1)),0,YEARFRAC(MAX($P$34*($B522+$I$38-1),IF(AND($L$37=0,$P$34=0),"",$L$37-1)),MIN(BW$38,$E522),$P$20))-SUM($BF522:BV522))</f>
        <v>0</v>
      </c>
      <c r="BX522" s="446">
        <f>IF($E522=0,0,IF(MIN(BX$38,$E522)&lt;MAX($P$34*($B522+$I$38-1),IF(AND($L$37=0,$P$34=0),"",$L$37-1)),0,YEARFRAC(MAX($P$34*($B522+$I$38-1),IF(AND($L$37=0,$P$34=0),"",$L$37-1)),MIN(BX$38,$E522),$P$20))-SUM($BF522:BW522))</f>
        <v>0</v>
      </c>
      <c r="BY522" s="446">
        <f>IF($E522=0,0,IF(MIN(BY$38,$E522)&lt;MAX($P$34*($B522+$I$38-1),IF(AND($L$37=0,$P$34=0),"",$L$37-1)),0,YEARFRAC(MAX($P$34*($B522+$I$38-1),IF(AND($L$37=0,$P$34=0),"",$L$37-1)),MIN(BY$38,$E522),$P$20))-SUM($BF522:BX522))</f>
        <v>0</v>
      </c>
      <c r="BZ522" s="446">
        <f>IF($E522=0,0,IF(MIN(BZ$38,$E522)&lt;MAX($P$34*($B522+$I$38-1),IF(AND($L$37=0,$P$34=0),"",$L$37-1)),0,YEARFRAC(MAX($P$34*($B522+$I$38-1),IF(AND($L$37=0,$P$34=0),"",$L$37-1)),MIN(BZ$38,$E522),$P$20))-SUM($BF522:BY522))</f>
        <v>0</v>
      </c>
      <c r="CA522" s="446">
        <f>IF($E522=0,0,IF(MIN(CA$38,$E522)&lt;MAX($P$34*($B522+$I$38-1),IF(AND($L$37=0,$P$34=0),"",$L$37-1)),0,YEARFRAC(MAX($P$34*($B522+$I$38-1),IF(AND($L$37=0,$P$34=0),"",$L$37-1)),MIN(CA$38,$E522),$P$20))-SUM($BF522:BZ522))</f>
        <v>0</v>
      </c>
      <c r="CB522" s="446">
        <f>IF($E522=0,0,IF(MIN(CB$38,$E522)&lt;MAX($P$34*($B522+$I$38-1),IF(AND($L$37=0,$P$34=0),"",$L$37-1)),0,YEARFRAC(MAX($P$34*($B522+$I$38-1),IF(AND($L$37=0,$P$34=0),"",$L$37-1)),MIN(CB$38,$E522),$P$20))-SUM($BF522:CA522))</f>
        <v>0</v>
      </c>
      <c r="CC522" s="446">
        <f>IF($E522=0,0,IF(MIN(CC$38,$E522)&lt;MAX($P$34*($B522+$I$38-1),IF(AND($L$37=0,$P$34=0),"",$L$37-1)),0,YEARFRAC(MAX($P$34*($B522+$I$38-1),IF(AND($L$37=0,$P$34=0),"",$L$37-1)),MIN(CC$38,$E522),$P$20))-SUM($BF522:CB522))</f>
        <v>0</v>
      </c>
      <c r="CD522" s="446">
        <f>IF($E522=0,0,IF(MIN(CD$38,$E522)&lt;MAX($P$34*($B522+$I$38-1),IF(AND($L$37=0,$P$34=0),"",$L$37-1)),0,YEARFRAC(MAX($P$34*($B522+$I$38-1),IF(AND($L$37=0,$P$34=0),"",$L$37-1)),MIN(CD$38,$E522),$P$20))-SUM($BF522:CC522))</f>
        <v>0</v>
      </c>
      <c r="CE522" s="446">
        <f>IF($E522=0,0,IF(MIN(CE$38,$E522)&lt;MAX($P$34*($B522+$I$38-1),IF(AND($L$37=0,$P$34=0),"",$L$37-1)),0,YEARFRAC(MAX($P$34*($B522+$I$38-1),IF(AND($L$37=0,$P$34=0),"",$L$37-1)),MIN(CE$38,$E522),$P$20))-SUM($BF522:CD522))</f>
        <v>0</v>
      </c>
      <c r="CF522" s="446">
        <f>IF($E522=0,0,IF(MIN(CF$38,$E522)&lt;MAX($P$34*($B522+$I$38-1),IF(AND($L$37=0,$P$34=0),"",$L$37-1)),0,YEARFRAC(MAX($P$34*($B522+$I$38-1),IF(AND($L$37=0,$P$34=0),"",$L$37-1)),MIN(CF$38,$E522),$P$20))-SUM($BF522:CE522))</f>
        <v>0</v>
      </c>
      <c r="CG522" s="446">
        <f>IF($E522=0,0,IF(MIN(CG$38,$E522)&lt;MAX($P$34*($B522+$I$38-1),IF(AND($L$37=0,$P$34=0),"",$L$37-1)),0,YEARFRAC(MAX($P$34*($B522+$I$38-1),IF(AND($L$37=0,$P$34=0),"",$L$37-1)),MIN(CG$38,$E522),$P$20))-SUM($BF522:CF522))</f>
        <v>0</v>
      </c>
      <c r="CH522" s="446">
        <f>IF($E522=0,0,IF(MIN(CH$38,$E522)&lt;MAX($P$34*($B522+$I$38-1),IF(AND($L$37=0,$P$34=0),"",$L$37-1)),0,YEARFRAC(MAX($P$34*($B522+$I$38-1),IF(AND($L$37=0,$P$34=0),"",$L$37-1)),MIN(CH$38,$E522),$P$20))-SUM($BF522:CG522))</f>
        <v>0</v>
      </c>
      <c r="CI522" s="446">
        <f>IF($E522=0,0,IF(MIN(CI$38,$E522)&lt;MAX($P$34*($B522+$I$38-1),IF(AND($L$37=0,$P$34=0),"",$L$37-1)),0,YEARFRAC(MAX($P$34*($B522+$I$38-1),IF(AND($L$37=0,$P$34=0),"",$L$37-1)),MIN(CI$38,$E522),$P$20))-SUM($BF522:CH522))</f>
        <v>0</v>
      </c>
      <c r="CJ522" s="446">
        <f>IF($E522=0,0,IF(MIN(CJ$38,$E522)&lt;MAX($P$34*($B522+$I$38-1),IF(AND($L$37=0,$P$34=0),"",$L$37-1)),0,YEARFRAC(MAX($P$34*($B522+$I$38-1),IF(AND($L$37=0,$P$34=0),"",$L$37-1)),MIN(CJ$38,$E522),$P$20))-SUM($BF522:CI522))</f>
        <v>0</v>
      </c>
      <c r="CK522" s="446">
        <f>IF($E522=0,0,IF(MIN(CK$38,$E522)&lt;MAX($P$34*($B522+$I$38-1),IF(AND($L$37=0,$P$34=0),"",$L$37-1)),0,YEARFRAC(MAX($P$34*($B522+$I$38-1),IF(AND($L$37=0,$P$34=0),"",$L$37-1)),MIN(CK$38,$E522),$P$20))-SUM($BF522:CJ522))</f>
        <v>0</v>
      </c>
      <c r="CL522" s="446">
        <f>IF($E522=0,0,IF(MIN(CL$38,$E522)&lt;MAX($P$34*($B522+$I$38-1),IF(AND($L$37=0,$P$34=0),"",$L$37-1)),0,YEARFRAC(MAX($P$34*($B522+$I$38-1),IF(AND($L$37=0,$P$34=0),"",$L$37-1)),MIN(CL$38,$E522),$P$20))-SUM($BF522:CK522))</f>
        <v>0</v>
      </c>
      <c r="CM522" s="446">
        <f>IF($E522=0,0,IF(MIN(CM$38,$E522)&lt;MAX($P$34*($B522+$I$38-1),IF(AND($L$37=0,$P$34=0),"",$L$37-1)),0,YEARFRAC(MAX($P$34*($B522+$I$38-1),IF(AND($L$37=0,$P$34=0),"",$L$37-1)),MIN(CM$38,$E522),$P$20))-SUM($BF522:CL522))</f>
        <v>0</v>
      </c>
      <c r="CN522" s="446">
        <f>IF($E522=0,0,IF(MIN(CN$38,$E522)&lt;MAX($P$34*($B522+$I$38-1),IF(AND($L$37=0,$P$34=0),"",$L$37-1)),0,YEARFRAC(MAX($P$34*($B522+$I$38-1),IF(AND($L$37=0,$P$34=0),"",$L$37-1)),MIN(CN$38,$E522),$P$20))-SUM($BF522:CM522))</f>
        <v>0</v>
      </c>
      <c r="CO522" s="446">
        <f>IF($E522=0,0,IF(MIN(CO$38,$E522)&lt;MAX($P$34*($B522+$I$38-1),IF(AND($L$37=0,$P$34=0),"",$L$37-1)),0,YEARFRAC(MAX($P$34*($B522+$I$38-1),IF(AND($L$37=0,$P$34=0),"",$L$37-1)),MIN(CO$38,$E522),$P$20))-SUM($BF522:CN522))</f>
        <v>0</v>
      </c>
      <c r="CP522" s="446">
        <f>IF($E522=0,0,IF(MIN(CP$38,$E522)&lt;MAX($P$34*($B522+$I$38-1),IF(AND($L$37=0,$P$34=0),"",$L$37-1)),0,YEARFRAC(MAX($P$34*($B522+$I$38-1),IF(AND($L$37=0,$P$34=0),"",$L$37-1)),MIN(CP$38,$E522),$P$20))-SUM($BF522:CO522))</f>
        <v>0</v>
      </c>
      <c r="CQ522" s="446">
        <f>IF($E522=0,0,IF(MIN(CQ$38,$E522)&lt;MAX($P$34*($B522+$I$38-1),IF(AND($L$37=0,$P$34=0),"",$L$37-1)),0,YEARFRAC(MAX($P$34*($B522+$I$38-1),IF(AND($L$37=0,$P$34=0),"",$L$37-1)),MIN(CQ$38,$E522),$P$20))-SUM($BF522:CP522))</f>
        <v>0</v>
      </c>
    </row>
    <row r="523" spans="1:95" s="446" customFormat="1" ht="11.25" hidden="1" customHeight="1" x14ac:dyDescent="0.2">
      <c r="A523" s="152"/>
      <c r="B523" s="153" t="str">
        <f t="shared" si="92"/>
        <v/>
      </c>
      <c r="C523" s="29" t="str">
        <f>IF(B523="","",IF($L$35="SELIC - TRIBUTOS",VLOOKUP(DATE(YEAR($D$19),MONTH($D$19)-1,1),ÍNDICES!$A:$DE,HLOOKUP($BL$25,ÍNDICES!$B$3:$T$4,2)+11)-VLOOKUP(B523,ÍNDICES!$A:$DE,HLOOKUP($BL$25,ÍNDICES!$B$3:$T$4,2)+11)+1%,IF(C$38=$W$26,$J$35,IF(ISERROR(IF(B523&gt;$D$19,1,VLOOKUP(DATE(YEAR(B523),MONTH(B523)+IF($C$35=$S$23,1,0),1),ÍNDICES!$A:$DE,$Z$35+1))),"",IF(B523&gt;$D$19,1,VLOOKUP(DATE(YEAR(B523),MONTH(B523)+IF($C$35=$S$23,1,0),1),ÍNDICES!$A:$DE,$Z$35+1))))))</f>
        <v/>
      </c>
      <c r="D523" s="154" t="str">
        <f>IF(ISERROR(IF(OR($D$38=$Y$27,$B523=""),"",VLOOKUP(B523,ÍNDICES!A:DE,AF$35+1))),"",IF(OR($D$38=$Y$27,$B523=""),"",VLOOKUP(B523,ÍNDICES!A:DE,AF$35+1)))</f>
        <v/>
      </c>
      <c r="E523" s="153"/>
      <c r="F523" s="29" t="str">
        <f>IF(E523="","",IF($L$35="SELIC - TRIBUTOS",VLOOKUP(DATE(YEAR($D$19),MONTH($D$19)-1,1),ÍNDICES!$A:$DE,HLOOKUP($BL$25,ÍNDICES!$B$3:$T$4,2)+11)-VLOOKUP(E523,ÍNDICES!$A:$DE,HLOOKUP($BL$25,ÍNDICES!$B$3:$T$4,2)+11)+1%,IF(F$38=$W$26,$J$35,IF(ISERROR(IF(E523&gt;$D$19,1,VLOOKUP(DATE(YEAR(E523),MONTH(E523)+IF($C$35=$S$23,1,0),1),ÍNDICES!$A:$DE,$Z$35+1))),"",IF(E523&gt;$D$19,1,VLOOKUP(DATE(YEAR(E523),MONTH(E523)+IF($C$35=$S$23,1,0),1),ÍNDICES!$A:$DE,$Z$35+1))))))</f>
        <v/>
      </c>
      <c r="G523" s="155"/>
      <c r="H523" s="156" t="str">
        <f t="shared" si="88"/>
        <v/>
      </c>
      <c r="I523" s="29" t="str">
        <f t="shared" si="82"/>
        <v/>
      </c>
      <c r="J523" s="5">
        <f t="shared" si="83"/>
        <v>0</v>
      </c>
      <c r="K523" s="20">
        <f t="shared" ca="1" si="84"/>
        <v>0</v>
      </c>
      <c r="L523" s="5">
        <f t="shared" ca="1" si="85"/>
        <v>0</v>
      </c>
      <c r="M523" s="64">
        <f t="shared" si="89"/>
        <v>0</v>
      </c>
      <c r="N523" s="61">
        <f t="shared" ca="1" si="90"/>
        <v>0</v>
      </c>
      <c r="O523" s="5">
        <f t="shared" ca="1" si="91"/>
        <v>0</v>
      </c>
      <c r="P523" s="446" t="e">
        <f t="shared" si="86"/>
        <v>#VALUE!</v>
      </c>
      <c r="Q523" s="446" t="e">
        <f>IF(OR($B523="",MIN(Q$38,$D$19)&lt;MAX($P$34*($B523+IF($R$17="Distrato",$I$38-1,0)),IF(AND($L$37=0,$P$34=0),"",$L$37-1),IF($R$17="Distrato",$E523,0))),0,YEARFRAC(MAX($P$34*($B523+IF($R$17="Distrato",$I$38-1,0)),IF(AND($L$37=0,$P$34=0),"",$L$37-1),IF($R$17="Distrato",$E523,0)),MIN(Q$38,$D$19),$P$20))-SUM($P523:P523)</f>
        <v>#VALUE!</v>
      </c>
      <c r="R523" s="446" t="e">
        <f>IF(OR($B523="",MIN(R$38,$D$19)&lt;MAX($P$34*($B523+IF($R$17="Distrato",$I$38-1,0)),IF(AND($L$37=0,$P$34=0),"",$L$37-1),IF($R$17="Distrato",$E523,0))),0,YEARFRAC(MAX($P$34*($B523+IF($R$17="Distrato",$I$38-1,0)),IF(AND($L$37=0,$P$34=0),"",$L$37-1),IF($R$17="Distrato",$E523,0)),MIN(R$38,$D$19),$P$20))-SUM($P523:Q523)</f>
        <v>#VALUE!</v>
      </c>
      <c r="S523" s="446" t="e">
        <f>IF(OR($B523="",MIN(S$38,$D$19)&lt;MAX($P$34*($B523+IF($R$17="Distrato",$I$38-1,0)),IF(AND($L$37=0,$P$34=0),"",$L$37-1),IF($R$17="Distrato",$E523,0))),0,YEARFRAC(MAX($P$34*($B523+IF($R$17="Distrato",$I$38-1,0)),IF(AND($L$37=0,$P$34=0),"",$L$37-1),IF($R$17="Distrato",$E523,0)),MIN(S$38,$D$19),$P$20))-SUM($P523:R523)</f>
        <v>#VALUE!</v>
      </c>
      <c r="T523" s="446" t="e">
        <f>IF(OR($B523="",MIN(T$38,$D$19)&lt;MAX($P$34*($B523+IF($R$17="Distrato",$I$38-1,0)),IF(AND($L$37=0,$P$34=0),"",$L$37-1),IF($R$17="Distrato",$E523,0))),0,YEARFRAC(MAX($P$34*($B523+IF($R$17="Distrato",$I$38-1,0)),IF(AND($L$37=0,$P$34=0),"",$L$37-1),IF($R$17="Distrato",$E523,0)),MIN(T$38,$D$19),$P$20))-SUM($P523:S523)</f>
        <v>#VALUE!</v>
      </c>
      <c r="U523" s="446" t="e">
        <f>IF(OR($B523="",MIN(U$38,$D$19)&lt;MAX($P$34*($B523+IF($R$17="Distrato",$I$38-1,0)),IF(AND($L$37=0,$P$34=0),"",$L$37-1),IF($R$17="Distrato",$E523,0))),0,YEARFRAC(MAX($P$34*($B523+IF($R$17="Distrato",$I$38-1,0)),IF(AND($L$37=0,$P$34=0),"",$L$37-1),IF($R$17="Distrato",$E523,0)),MIN(U$38,$D$19),$P$20))-SUM($P523:T523)</f>
        <v>#VALUE!</v>
      </c>
      <c r="V523" s="446" t="e">
        <f>IF(OR($B523="",MIN(V$38,$D$19)&lt;MAX($P$34*($B523+IF($R$17="Distrato",$I$38-1,0)),IF(AND($L$37=0,$P$34=0),"",$L$37-1),IF($R$17="Distrato",$E523,0))),0,YEARFRAC(MAX($P$34*($B523+IF($R$17="Distrato",$I$38-1,0)),IF(AND($L$37=0,$P$34=0),"",$L$37-1),IF($R$17="Distrato",$E523,0)),MIN(V$38,$D$19),$P$20))-SUM($P523:U523)</f>
        <v>#VALUE!</v>
      </c>
      <c r="W523" s="446" t="e">
        <f>IF(OR($B523="",MIN(W$38,$D$19)&lt;MAX($P$34*($B523+IF($R$17="Distrato",$I$38-1,0)),IF(AND($L$37=0,$P$34=0),"",$L$37-1),IF($R$17="Distrato",$E523,0))),0,YEARFRAC(MAX($P$34*($B523+IF($R$17="Distrato",$I$38-1,0)),IF(AND($L$37=0,$P$34=0),"",$L$37-1),IF($R$17="Distrato",$E523,0)),MIN(W$38,$D$19),$P$20))-SUM($P523:V523)</f>
        <v>#VALUE!</v>
      </c>
      <c r="X523" s="446" t="e">
        <f>IF(OR($B523="",MIN(X$38,$D$19)&lt;MAX($P$34*($B523+IF($R$17="Distrato",$I$38-1,0)),IF(AND($L$37=0,$P$34=0),"",$L$37-1),IF($R$17="Distrato",$E523,0))),0,YEARFRAC(MAX($P$34*($B523+IF($R$17="Distrato",$I$38-1,0)),IF(AND($L$37=0,$P$34=0),"",$L$37-1),IF($R$17="Distrato",$E523,0)),MIN(X$38,$D$19),$P$20))-SUM($P523:W523)</f>
        <v>#VALUE!</v>
      </c>
      <c r="Y523" s="446" t="e">
        <f>IF(OR($B523="",MIN(Y$38,$D$19)&lt;MAX($P$34*($B523+IF($R$17="Distrato",$I$38-1,0)),IF(AND($L$37=0,$P$34=0),"",$L$37-1),IF($R$17="Distrato",$E523,0))),0,YEARFRAC(MAX($P$34*($B523+IF($R$17="Distrato",$I$38-1,0)),IF(AND($L$37=0,$P$34=0),"",$L$37-1),IF($R$17="Distrato",$E523,0)),MIN(Y$38,$D$19),$P$20))-SUM($P523:X523)</f>
        <v>#VALUE!</v>
      </c>
      <c r="Z523" s="446" t="e">
        <f>IF(OR($B523="",MIN(Z$38,$D$19)&lt;MAX($P$34*($B523+IF($R$17="Distrato",$I$38-1,0)),IF(AND($L$37=0,$P$34=0),"",$L$37-1),IF($R$17="Distrato",$E523,0))),0,YEARFRAC(MAX($P$34*($B523+IF($R$17="Distrato",$I$38-1,0)),IF(AND($L$37=0,$P$34=0),"",$L$37-1),IF($R$17="Distrato",$E523,0)),MIN(Z$38,$D$19),$P$20))-SUM($P523:Y523)</f>
        <v>#VALUE!</v>
      </c>
      <c r="AA523" s="446" t="e">
        <f>IF(OR($B523="",MIN(AA$38,$D$19)&lt;MAX($P$34*($B523+IF($R$17="Distrato",$I$38-1,0)),IF(AND($L$37=0,$P$34=0),"",$L$37-1),IF($R$17="Distrato",$E523,0))),0,YEARFRAC(MAX($P$34*($B523+IF($R$17="Distrato",$I$38-1,0)),IF(AND($L$37=0,$P$34=0),"",$L$37-1),IF($R$17="Distrato",$E523,0)),MIN(AA$38,$D$19),$P$20))-SUM($P523:Z523)</f>
        <v>#VALUE!</v>
      </c>
      <c r="AB523" s="446" t="e">
        <f>IF(OR($B523="",MIN(AB$38,$D$19)&lt;MAX($P$34*($B523+IF($R$17="Distrato",$I$38-1,0)),IF(AND($L$37=0,$P$34=0),"",$L$37-1),IF($R$17="Distrato",$E523,0))),0,YEARFRAC(MAX($P$34*($B523+IF($R$17="Distrato",$I$38-1,0)),IF(AND($L$37=0,$P$34=0),"",$L$37-1),IF($R$17="Distrato",$E523,0)),MIN(AB$38,$D$19),$P$20))-SUM($P523:AA523)</f>
        <v>#VALUE!</v>
      </c>
      <c r="AC523" s="446" t="e">
        <f>IF(OR($B523="",MIN(AC$38,$D$19)&lt;MAX($P$34*($B523+IF($R$17="Distrato",$I$38-1,0)),IF(AND($L$37=0,$P$34=0),"",$L$37-1),IF($R$17="Distrato",$E523,0))),0,YEARFRAC(MAX($P$34*($B523+IF($R$17="Distrato",$I$38-1,0)),IF(AND($L$37=0,$P$34=0),"",$L$37-1),IF($R$17="Distrato",$E523,0)),MIN(AC$38,$D$19),$P$20))-SUM($P523:AB523)</f>
        <v>#VALUE!</v>
      </c>
      <c r="AD523" s="446" t="e">
        <f>IF(OR($B523="",MIN(AD$38,$D$19)&lt;MAX($P$34*($B523+IF($R$17="Distrato",$I$38-1,0)),IF(AND($L$37=0,$P$34=0),"",$L$37-1),IF($R$17="Distrato",$E523,0))),0,YEARFRAC(MAX($P$34*($B523+IF($R$17="Distrato",$I$38-1,0)),IF(AND($L$37=0,$P$34=0),"",$L$37-1),IF($R$17="Distrato",$E523,0)),MIN(AD$38,$D$19),$P$20))-SUM($P523:AC523)</f>
        <v>#VALUE!</v>
      </c>
      <c r="AE523" s="446" t="e">
        <f>IF(OR($B523="",MIN(AE$38,$D$19)&lt;MAX($P$34*($B523+IF($R$17="Distrato",$I$38-1,0)),IF(AND($L$37=0,$P$34=0),"",$L$37-1),IF($R$17="Distrato",$E523,0))),0,YEARFRAC(MAX($P$34*($B523+IF($R$17="Distrato",$I$38-1,0)),IF(AND($L$37=0,$P$34=0),"",$L$37-1),IF($R$17="Distrato",$E523,0)),MIN(AE$38,$D$19),$P$20))-SUM($P523:AD523)</f>
        <v>#VALUE!</v>
      </c>
      <c r="AF523" s="446" t="e">
        <f>IF(OR($B523="",MIN(AF$38,$D$19)&lt;MAX($P$34*($B523+IF($R$17="Distrato",$I$38-1,0)),IF(AND($L$37=0,$P$34=0),"",$L$37-1),IF($R$17="Distrato",$E523,0))),0,YEARFRAC(MAX($P$34*($B523+IF($R$17="Distrato",$I$38-1,0)),IF(AND($L$37=0,$P$34=0),"",$L$37-1),IF($R$17="Distrato",$E523,0)),MIN(AF$38,$D$19),$P$20))-SUM($P523:AE523)</f>
        <v>#VALUE!</v>
      </c>
      <c r="AG523" s="446" t="e">
        <f>IF(OR($B523="",MIN(AG$38,$D$19)&lt;MAX($P$34*($B523+IF($R$17="Distrato",$I$38-1,0)),IF(AND($L$37=0,$P$34=0),"",$L$37-1),IF($R$17="Distrato",$E523,0))),0,YEARFRAC(MAX($P$34*($B523+IF($R$17="Distrato",$I$38-1,0)),IF(AND($L$37=0,$P$34=0),"",$L$37-1),IF($R$17="Distrato",$E523,0)),MIN(AG$38,$D$19),$P$20))-SUM($P523:AF523)</f>
        <v>#VALUE!</v>
      </c>
      <c r="AH523" s="446" t="e">
        <f>IF(OR($B523="",MIN(AH$38,$D$19)&lt;MAX($P$34*($B523+IF($R$17="Distrato",$I$38-1,0)),IF(AND($L$37=0,$P$34=0),"",$L$37-1),IF($R$17="Distrato",$E523,0))),0,YEARFRAC(MAX($P$34*($B523+IF($R$17="Distrato",$I$38-1,0)),IF(AND($L$37=0,$P$34=0),"",$L$37-1),IF($R$17="Distrato",$E523,0)),MIN(AH$38,$D$19),$P$20))-SUM($P523:AG523)</f>
        <v>#VALUE!</v>
      </c>
      <c r="AI523" s="446" t="e">
        <f>IF(OR($B523="",MIN(AI$38,$D$19)&lt;MAX($P$34*($B523+IF($R$17="Distrato",$I$38-1,0)),IF(AND($L$37=0,$P$34=0),"",$L$37-1),IF($R$17="Distrato",$E523,0))),0,YEARFRAC(MAX($P$34*($B523+IF($R$17="Distrato",$I$38-1,0)),IF(AND($L$37=0,$P$34=0),"",$L$37-1),IF($R$17="Distrato",$E523,0)),MIN(AI$38,$D$19),$P$20))-SUM($P523:AH523)</f>
        <v>#VALUE!</v>
      </c>
      <c r="AJ523" s="446" t="e">
        <f>IF(OR($B523="",MIN(AJ$38,$D$19)&lt;MAX($P$34*($B523+IF($R$17="Distrato",$I$38-1,0)),IF(AND($L$37=0,$P$34=0),"",$L$37-1),IF($R$17="Distrato",$E523,0))),0,YEARFRAC(MAX($P$34*($B523+IF($R$17="Distrato",$I$38-1,0)),IF(AND($L$37=0,$P$34=0),"",$L$37-1),IF($R$17="Distrato",$E523,0)),MIN(AJ$38,$D$19),$P$20))-SUM($P523:AI523)</f>
        <v>#VALUE!</v>
      </c>
      <c r="AK523" s="446" t="e">
        <f>IF(OR($B523="",MIN(AK$38,$D$19)&lt;MAX($P$34*($B523+IF($R$17="Distrato",$I$38-1,0)),IF(AND($L$37=0,$P$34=0),"",$L$37-1),IF($R$17="Distrato",$E523,0))),0,YEARFRAC(MAX($P$34*($B523+IF($R$17="Distrato",$I$38-1,0)),IF(AND($L$37=0,$P$34=0),"",$L$37-1),IF($R$17="Distrato",$E523,0)),MIN(AK$38,$D$19),$P$20))-SUM($P523:AJ523)</f>
        <v>#VALUE!</v>
      </c>
      <c r="AL523" s="446" t="e">
        <f>IF(OR($B523="",MIN(AL$38,$D$19)&lt;MAX($P$34*($B523+IF($R$17="Distrato",$I$38-1,0)),IF(AND($L$37=0,$P$34=0),"",$L$37-1),IF($R$17="Distrato",$E523,0))),0,YEARFRAC(MAX($P$34*($B523+IF($R$17="Distrato",$I$38-1,0)),IF(AND($L$37=0,$P$34=0),"",$L$37-1),IF($R$17="Distrato",$E523,0)),MIN(AL$38,$D$19),$P$20))-SUM($P523:AK523)</f>
        <v>#VALUE!</v>
      </c>
      <c r="AM523" s="446" t="e">
        <f>IF(OR($B523="",MIN(AM$38,$D$19)&lt;MAX($P$34*($B523+IF($R$17="Distrato",$I$38-1,0)),IF(AND($L$37=0,$P$34=0),"",$L$37-1),IF($R$17="Distrato",$E523,0))),0,YEARFRAC(MAX($P$34*($B523+IF($R$17="Distrato",$I$38-1,0)),IF(AND($L$37=0,$P$34=0),"",$L$37-1),IF($R$17="Distrato",$E523,0)),MIN(AM$38,$D$19),$P$20))-SUM($P523:AL523)</f>
        <v>#VALUE!</v>
      </c>
      <c r="AN523" s="446" t="e">
        <f>IF(OR($B523="",MIN(AN$38,$D$19)&lt;MAX($P$34*($B523+IF($R$17="Distrato",$I$38-1,0)),IF(AND($L$37=0,$P$34=0),"",$L$37-1),IF($R$17="Distrato",$E523,0))),0,YEARFRAC(MAX($P$34*($B523+IF($R$17="Distrato",$I$38-1,0)),IF(AND($L$37=0,$P$34=0),"",$L$37-1),IF($R$17="Distrato",$E523,0)),MIN(AN$38,$D$19),$P$20))-SUM($P523:AM523)</f>
        <v>#VALUE!</v>
      </c>
      <c r="AO523" s="446" t="e">
        <f>IF(OR($B523="",MIN(AO$38,$D$19)&lt;MAX($P$34*($B523+IF($R$17="Distrato",$I$38-1,0)),IF(AND($L$37=0,$P$34=0),"",$L$37-1),IF($R$17="Distrato",$E523,0))),0,YEARFRAC(MAX($P$34*($B523+IF($R$17="Distrato",$I$38-1,0)),IF(AND($L$37=0,$P$34=0),"",$L$37-1),IF($R$17="Distrato",$E523,0)),MIN(AO$38,$D$19),$P$20))-SUM($P523:AN523)</f>
        <v>#VALUE!</v>
      </c>
      <c r="AP523" s="446" t="e">
        <f>IF(OR($B523="",MIN(AP$38,$D$19)&lt;MAX($P$34*($B523+IF($R$17="Distrato",$I$38-1,0)),IF(AND($L$37=0,$P$34=0),"",$L$37-1),IF($R$17="Distrato",$E523,0))),0,YEARFRAC(MAX($P$34*($B523+IF($R$17="Distrato",$I$38-1,0)),IF(AND($L$37=0,$P$34=0),"",$L$37-1),IF($R$17="Distrato",$E523,0)),MIN(AP$38,$D$19),$P$20))-SUM($P523:AO523)</f>
        <v>#VALUE!</v>
      </c>
      <c r="AQ523" s="446" t="e">
        <f>IF(OR($B523="",MIN(AQ$38,$D$19)&lt;MAX($P$34*($B523+IF($R$17="Distrato",$I$38-1,0)),IF(AND($L$37=0,$P$34=0),"",$L$37-1),IF($R$17="Distrato",$E523,0))),0,YEARFRAC(MAX($P$34*($B523+IF($R$17="Distrato",$I$38-1,0)),IF(AND($L$37=0,$P$34=0),"",$L$37-1),IF($R$17="Distrato",$E523,0)),MIN(AQ$38,$D$19),$P$20))-SUM($P523:AP523)</f>
        <v>#VALUE!</v>
      </c>
      <c r="AR523" s="446" t="e">
        <f>IF(OR($B523="",MIN(AR$38,$D$19)&lt;MAX($P$34*($B523+IF($R$17="Distrato",$I$38-1,0)),IF(AND($L$37=0,$P$34=0),"",$L$37-1),IF($R$17="Distrato",$E523,0))),0,YEARFRAC(MAX($P$34*($B523+IF($R$17="Distrato",$I$38-1,0)),IF(AND($L$37=0,$P$34=0),"",$L$37-1),IF($R$17="Distrato",$E523,0)),MIN(AR$38,$D$19),$P$20))-SUM($P523:AQ523)</f>
        <v>#VALUE!</v>
      </c>
      <c r="AS523" s="446" t="e">
        <f>IF(OR($B523="",MIN(AS$38,$D$19)&lt;MAX($P$34*($B523+IF($R$17="Distrato",$I$38-1,0)),IF(AND($L$37=0,$P$34=0),"",$L$37-1),IF($R$17="Distrato",$E523,0))),0,YEARFRAC(MAX($P$34*($B523+IF($R$17="Distrato",$I$38-1,0)),IF(AND($L$37=0,$P$34=0),"",$L$37-1),IF($R$17="Distrato",$E523,0)),MIN(AS$38,$D$19),$P$20))-SUM($P523:AR523)</f>
        <v>#VALUE!</v>
      </c>
      <c r="AT523" s="446" t="e">
        <f>IF(OR($B523="",MIN(AT$38,$D$19)&lt;MAX($P$34*($B523+IF($R$17="Distrato",$I$38-1,0)),IF(AND($L$37=0,$P$34=0),"",$L$37-1),IF($R$17="Distrato",$E523,0))),0,YEARFRAC(MAX($P$34*($B523+IF($R$17="Distrato",$I$38-1,0)),IF(AND($L$37=0,$P$34=0),"",$L$37-1),IF($R$17="Distrato",$E523,0)),MIN(AT$38,$D$19),$P$20))-SUM($P523:AS523)</f>
        <v>#VALUE!</v>
      </c>
      <c r="AU523" s="446" t="e">
        <f>IF(OR($B523="",MIN(AU$38,$D$19)&lt;MAX($P$34*($B523+IF($R$17="Distrato",$I$38-1,0)),IF(AND($L$37=0,$P$34=0),"",$L$37-1),IF($R$17="Distrato",$E523,0))),0,YEARFRAC(MAX($P$34*($B523+IF($R$17="Distrato",$I$38-1,0)),IF(AND($L$37=0,$P$34=0),"",$L$37-1),IF($R$17="Distrato",$E523,0)),MIN(AU$38,$D$19),$P$20))-SUM($P523:AT523)</f>
        <v>#VALUE!</v>
      </c>
      <c r="AV523" s="446" t="e">
        <f>IF(OR($B523="",MIN(AV$38,$D$19)&lt;MAX($P$34*($B523+IF($R$17="Distrato",$I$38-1,0)),IF(AND($L$37=0,$P$34=0),"",$L$37-1),IF($R$17="Distrato",$E523,0))),0,YEARFRAC(MAX($P$34*($B523+IF($R$17="Distrato",$I$38-1,0)),IF(AND($L$37=0,$P$34=0),"",$L$37-1),IF($R$17="Distrato",$E523,0)),MIN(AV$38,$D$19),$P$20))-SUM($P523:AU523)</f>
        <v>#VALUE!</v>
      </c>
      <c r="AW523" s="446" t="e">
        <f>IF(OR($B523="",MIN(AW$38,$D$19)&lt;MAX($P$34*($B523+IF($R$17="Distrato",$I$38-1,0)),IF(AND($L$37=0,$P$34=0),"",$L$37-1),IF($R$17="Distrato",$E523,0))),0,YEARFRAC(MAX($P$34*($B523+IF($R$17="Distrato",$I$38-1,0)),IF(AND($L$37=0,$P$34=0),"",$L$37-1),IF($R$17="Distrato",$E523,0)),MIN(AW$38,$D$19),$P$20))-SUM($P523:AV523)</f>
        <v>#VALUE!</v>
      </c>
      <c r="AX523" s="446" t="e">
        <f>IF(OR($B523="",MIN(AX$38,$D$19)&lt;MAX($P$34*($B523+IF($R$17="Distrato",$I$38-1,0)),IF(AND($L$37=0,$P$34=0),"",$L$37-1),IF($R$17="Distrato",$E523,0))),0,YEARFRAC(MAX($P$34*($B523+IF($R$17="Distrato",$I$38-1,0)),IF(AND($L$37=0,$P$34=0),"",$L$37-1),IF($R$17="Distrato",$E523,0)),MIN(AX$38,$D$19),$P$20))-SUM($P523:AW523)</f>
        <v>#VALUE!</v>
      </c>
      <c r="AY523" s="446" t="e">
        <f>IF(OR($B523="",MIN(AY$38,$D$19)&lt;MAX($P$34*($B523+IF($R$17="Distrato",$I$38-1,0)),IF(AND($L$37=0,$P$34=0),"",$L$37-1),IF($R$17="Distrato",$E523,0))),0,YEARFRAC(MAX($P$34*($B523+IF($R$17="Distrato",$I$38-1,0)),IF(AND($L$37=0,$P$34=0),"",$L$37-1),IF($R$17="Distrato",$E523,0)),MIN(AY$38,$D$19),$P$20))-SUM($P523:AX523)</f>
        <v>#VALUE!</v>
      </c>
      <c r="AZ523" s="446" t="e">
        <f>IF(OR($B523="",MIN(AZ$38,$D$19)&lt;MAX($P$34*($B523+IF($R$17="Distrato",$I$38-1,0)),IF(AND($L$37=0,$P$34=0),"",$L$37-1),IF($R$17="Distrato",$E523,0))),0,YEARFRAC(MAX($P$34*($B523+IF($R$17="Distrato",$I$38-1,0)),IF(AND($L$37=0,$P$34=0),"",$L$37-1),IF($R$17="Distrato",$E523,0)),MIN(AZ$38,$D$19),$P$20))-SUM($P523:AY523)</f>
        <v>#VALUE!</v>
      </c>
      <c r="BA523" s="446" t="e">
        <f>IF(OR($B523="",MIN(BA$38,$D$19)&lt;MAX($P$34*($B523+IF($R$17="Distrato",$I$38-1,0)),IF(AND($L$37=0,$P$34=0),"",$L$37-1),IF($R$17="Distrato",$E523,0))),0,YEARFRAC(MAX($P$34*($B523+IF($R$17="Distrato",$I$38-1,0)),IF(AND($L$37=0,$P$34=0),"",$L$37-1),IF($R$17="Distrato",$E523,0)),MIN(BA$38,$D$19),$P$20))-SUM($P523:AZ523)</f>
        <v>#VALUE!</v>
      </c>
      <c r="BB523" s="447"/>
      <c r="BF523" s="446">
        <f t="shared" si="87"/>
        <v>0</v>
      </c>
      <c r="BG523" s="446">
        <f>IF($E523=0,0,IF(MIN(BG$38,$E523)&lt;MAX($P$34*($B523+$I$38-1),IF(AND($L$37=0,$P$34=0),"",$L$37-1)),0,YEARFRAC(MAX($P$34*($B523+$I$38-1),IF(AND($L$37=0,$P$34=0),"",$L$37-1)),MIN(BG$38,$E523),$P$20))-SUM($BF523:BF523))</f>
        <v>0</v>
      </c>
      <c r="BH523" s="446">
        <f>IF($E523=0,0,IF(MIN(BH$38,$E523)&lt;MAX($P$34*($B523+$I$38-1),IF(AND($L$37=0,$P$34=0),"",$L$37-1)),0,YEARFRAC(MAX($P$34*($B523+$I$38-1),IF(AND($L$37=0,$P$34=0),"",$L$37-1)),MIN(BH$38,$E523),$P$20))-SUM($BF523:BG523))</f>
        <v>0</v>
      </c>
      <c r="BI523" s="446">
        <f>IF($E523=0,0,IF(MIN(BI$38,$E523)&lt;MAX($P$34*($B523+$I$38-1),IF(AND($L$37=0,$P$34=0),"",$L$37-1)),0,YEARFRAC(MAX($P$34*($B523+$I$38-1),IF(AND($L$37=0,$P$34=0),"",$L$37-1)),MIN(BI$38,$E523),$P$20))-SUM($BF523:BH523))</f>
        <v>0</v>
      </c>
      <c r="BJ523" s="446">
        <f>IF($E523=0,0,IF(MIN(BJ$38,$E523)&lt;MAX($P$34*($B523+$I$38-1),IF(AND($L$37=0,$P$34=0),"",$L$37-1)),0,YEARFRAC(MAX($P$34*($B523+$I$38-1),IF(AND($L$37=0,$P$34=0),"",$L$37-1)),MIN(BJ$38,$E523),$P$20))-SUM($BF523:BI523))</f>
        <v>0</v>
      </c>
      <c r="BK523" s="446">
        <f>IF($E523=0,0,IF(MIN(BK$38,$E523)&lt;MAX($P$34*($B523+$I$38-1),IF(AND($L$37=0,$P$34=0),"",$L$37-1)),0,YEARFRAC(MAX($P$34*($B523+$I$38-1),IF(AND($L$37=0,$P$34=0),"",$L$37-1)),MIN(BK$38,$E523),$P$20))-SUM($BF523:BJ523))</f>
        <v>0</v>
      </c>
      <c r="BL523" s="446">
        <f>IF($E523=0,0,IF(MIN(BL$38,$E523)&lt;MAX($P$34*($B523+$I$38-1),IF(AND($L$37=0,$P$34=0),"",$L$37-1)),0,YEARFRAC(MAX($P$34*($B523+$I$38-1),IF(AND($L$37=0,$P$34=0),"",$L$37-1)),MIN(BL$38,$E523),$P$20))-SUM($BF523:BK523))</f>
        <v>0</v>
      </c>
      <c r="BM523" s="446">
        <f>IF($E523=0,0,IF(MIN(BM$38,$E523)&lt;MAX($P$34*($B523+$I$38-1),IF(AND($L$37=0,$P$34=0),"",$L$37-1)),0,YEARFRAC(MAX($P$34*($B523+$I$38-1),IF(AND($L$37=0,$P$34=0),"",$L$37-1)),MIN(BM$38,$E523),$P$20))-SUM($BF523:BL523))</f>
        <v>0</v>
      </c>
      <c r="BN523" s="446">
        <f>IF($E523=0,0,IF(MIN(BN$38,$E523)&lt;MAX($P$34*($B523+$I$38-1),IF(AND($L$37=0,$P$34=0),"",$L$37-1)),0,YEARFRAC(MAX($P$34*($B523+$I$38-1),IF(AND($L$37=0,$P$34=0),"",$L$37-1)),MIN(BN$38,$E523),$P$20))-SUM($BF523:BM523))</f>
        <v>0</v>
      </c>
      <c r="BO523" s="446">
        <f>IF($E523=0,0,IF(MIN(BO$38,$E523)&lt;MAX($P$34*($B523+$I$38-1),IF(AND($L$37=0,$P$34=0),"",$L$37-1)),0,YEARFRAC(MAX($P$34*($B523+$I$38-1),IF(AND($L$37=0,$P$34=0),"",$L$37-1)),MIN(BO$38,$E523),$P$20))-SUM($BF523:BN523))</f>
        <v>0</v>
      </c>
      <c r="BP523" s="446">
        <f>IF($E523=0,0,IF(MIN(BP$38,$E523)&lt;MAX($P$34*($B523+$I$38-1),IF(AND($L$37=0,$P$34=0),"",$L$37-1)),0,YEARFRAC(MAX($P$34*($B523+$I$38-1),IF(AND($L$37=0,$P$34=0),"",$L$37-1)),MIN(BP$38,$E523),$P$20))-SUM($BF523:BO523))</f>
        <v>0</v>
      </c>
      <c r="BQ523" s="446">
        <f>IF($E523=0,0,IF(MIN(BQ$38,$E523)&lt;MAX($P$34*($B523+$I$38-1),IF(AND($L$37=0,$P$34=0),"",$L$37-1)),0,YEARFRAC(MAX($P$34*($B523+$I$38-1),IF(AND($L$37=0,$P$34=0),"",$L$37-1)),MIN(BQ$38,$E523),$P$20))-SUM($BF523:BP523))</f>
        <v>0</v>
      </c>
      <c r="BR523" s="446">
        <f>IF($E523=0,0,IF(MIN(BR$38,$E523)&lt;MAX($P$34*($B523+$I$38-1),IF(AND($L$37=0,$P$34=0),"",$L$37-1)),0,YEARFRAC(MAX($P$34*($B523+$I$38-1),IF(AND($L$37=0,$P$34=0),"",$L$37-1)),MIN(BR$38,$E523),$P$20))-SUM($BF523:BQ523))</f>
        <v>0</v>
      </c>
      <c r="BS523" s="446">
        <f>IF($E523=0,0,IF(MIN(BS$38,$E523)&lt;MAX($P$34*($B523+$I$38-1),IF(AND($L$37=0,$P$34=0),"",$L$37-1)),0,YEARFRAC(MAX($P$34*($B523+$I$38-1),IF(AND($L$37=0,$P$34=0),"",$L$37-1)),MIN(BS$38,$E523),$P$20))-SUM($BF523:BR523))</f>
        <v>0</v>
      </c>
      <c r="BT523" s="446">
        <f>IF($E523=0,0,IF(MIN(BT$38,$E523)&lt;MAX($P$34*($B523+$I$38-1),IF(AND($L$37=0,$P$34=0),"",$L$37-1)),0,YEARFRAC(MAX($P$34*($B523+$I$38-1),IF(AND($L$37=0,$P$34=0),"",$L$37-1)),MIN(BT$38,$E523),$P$20))-SUM($BF523:BS523))</f>
        <v>0</v>
      </c>
      <c r="BU523" s="446">
        <f>IF($E523=0,0,IF(MIN(BU$38,$E523)&lt;MAX($P$34*($B523+$I$38-1),IF(AND($L$37=0,$P$34=0),"",$L$37-1)),0,YEARFRAC(MAX($P$34*($B523+$I$38-1),IF(AND($L$37=0,$P$34=0),"",$L$37-1)),MIN(BU$38,$E523),$P$20))-SUM($BF523:BT523))</f>
        <v>0</v>
      </c>
      <c r="BV523" s="446">
        <f>IF($E523=0,0,IF(MIN(BV$38,$E523)&lt;MAX($P$34*($B523+$I$38-1),IF(AND($L$37=0,$P$34=0),"",$L$37-1)),0,YEARFRAC(MAX($P$34*($B523+$I$38-1),IF(AND($L$37=0,$P$34=0),"",$L$37-1)),MIN(BV$38,$E523),$P$20))-SUM($BF523:BU523))</f>
        <v>0</v>
      </c>
      <c r="BW523" s="446">
        <f>IF($E523=0,0,IF(MIN(BW$38,$E523)&lt;MAX($P$34*($B523+$I$38-1),IF(AND($L$37=0,$P$34=0),"",$L$37-1)),0,YEARFRAC(MAX($P$34*($B523+$I$38-1),IF(AND($L$37=0,$P$34=0),"",$L$37-1)),MIN(BW$38,$E523),$P$20))-SUM($BF523:BV523))</f>
        <v>0</v>
      </c>
      <c r="BX523" s="446">
        <f>IF($E523=0,0,IF(MIN(BX$38,$E523)&lt;MAX($P$34*($B523+$I$38-1),IF(AND($L$37=0,$P$34=0),"",$L$37-1)),0,YEARFRAC(MAX($P$34*($B523+$I$38-1),IF(AND($L$37=0,$P$34=0),"",$L$37-1)),MIN(BX$38,$E523),$P$20))-SUM($BF523:BW523))</f>
        <v>0</v>
      </c>
      <c r="BY523" s="446">
        <f>IF($E523=0,0,IF(MIN(BY$38,$E523)&lt;MAX($P$34*($B523+$I$38-1),IF(AND($L$37=0,$P$34=0),"",$L$37-1)),0,YEARFRAC(MAX($P$34*($B523+$I$38-1),IF(AND($L$37=0,$P$34=0),"",$L$37-1)),MIN(BY$38,$E523),$P$20))-SUM($BF523:BX523))</f>
        <v>0</v>
      </c>
      <c r="BZ523" s="446">
        <f>IF($E523=0,0,IF(MIN(BZ$38,$E523)&lt;MAX($P$34*($B523+$I$38-1),IF(AND($L$37=0,$P$34=0),"",$L$37-1)),0,YEARFRAC(MAX($P$34*($B523+$I$38-1),IF(AND($L$37=0,$P$34=0),"",$L$37-1)),MIN(BZ$38,$E523),$P$20))-SUM($BF523:BY523))</f>
        <v>0</v>
      </c>
      <c r="CA523" s="446">
        <f>IF($E523=0,0,IF(MIN(CA$38,$E523)&lt;MAX($P$34*($B523+$I$38-1),IF(AND($L$37=0,$P$34=0),"",$L$37-1)),0,YEARFRAC(MAX($P$34*($B523+$I$38-1),IF(AND($L$37=0,$P$34=0),"",$L$37-1)),MIN(CA$38,$E523),$P$20))-SUM($BF523:BZ523))</f>
        <v>0</v>
      </c>
      <c r="CB523" s="446">
        <f>IF($E523=0,0,IF(MIN(CB$38,$E523)&lt;MAX($P$34*($B523+$I$38-1),IF(AND($L$37=0,$P$34=0),"",$L$37-1)),0,YEARFRAC(MAX($P$34*($B523+$I$38-1),IF(AND($L$37=0,$P$34=0),"",$L$37-1)),MIN(CB$38,$E523),$P$20))-SUM($BF523:CA523))</f>
        <v>0</v>
      </c>
      <c r="CC523" s="446">
        <f>IF($E523=0,0,IF(MIN(CC$38,$E523)&lt;MAX($P$34*($B523+$I$38-1),IF(AND($L$37=0,$P$34=0),"",$L$37-1)),0,YEARFRAC(MAX($P$34*($B523+$I$38-1),IF(AND($L$37=0,$P$34=0),"",$L$37-1)),MIN(CC$38,$E523),$P$20))-SUM($BF523:CB523))</f>
        <v>0</v>
      </c>
      <c r="CD523" s="446">
        <f>IF($E523=0,0,IF(MIN(CD$38,$E523)&lt;MAX($P$34*($B523+$I$38-1),IF(AND($L$37=0,$P$34=0),"",$L$37-1)),0,YEARFRAC(MAX($P$34*($B523+$I$38-1),IF(AND($L$37=0,$P$34=0),"",$L$37-1)),MIN(CD$38,$E523),$P$20))-SUM($BF523:CC523))</f>
        <v>0</v>
      </c>
      <c r="CE523" s="446">
        <f>IF($E523=0,0,IF(MIN(CE$38,$E523)&lt;MAX($P$34*($B523+$I$38-1),IF(AND($L$37=0,$P$34=0),"",$L$37-1)),0,YEARFRAC(MAX($P$34*($B523+$I$38-1),IF(AND($L$37=0,$P$34=0),"",$L$37-1)),MIN(CE$38,$E523),$P$20))-SUM($BF523:CD523))</f>
        <v>0</v>
      </c>
      <c r="CF523" s="446">
        <f>IF($E523=0,0,IF(MIN(CF$38,$E523)&lt;MAX($P$34*($B523+$I$38-1),IF(AND($L$37=0,$P$34=0),"",$L$37-1)),0,YEARFRAC(MAX($P$34*($B523+$I$38-1),IF(AND($L$37=0,$P$34=0),"",$L$37-1)),MIN(CF$38,$E523),$P$20))-SUM($BF523:CE523))</f>
        <v>0</v>
      </c>
      <c r="CG523" s="446">
        <f>IF($E523=0,0,IF(MIN(CG$38,$E523)&lt;MAX($P$34*($B523+$I$38-1),IF(AND($L$37=0,$P$34=0),"",$L$37-1)),0,YEARFRAC(MAX($P$34*($B523+$I$38-1),IF(AND($L$37=0,$P$34=0),"",$L$37-1)),MIN(CG$38,$E523),$P$20))-SUM($BF523:CF523))</f>
        <v>0</v>
      </c>
      <c r="CH523" s="446">
        <f>IF($E523=0,0,IF(MIN(CH$38,$E523)&lt;MAX($P$34*($B523+$I$38-1),IF(AND($L$37=0,$P$34=0),"",$L$37-1)),0,YEARFRAC(MAX($P$34*($B523+$I$38-1),IF(AND($L$37=0,$P$34=0),"",$L$37-1)),MIN(CH$38,$E523),$P$20))-SUM($BF523:CG523))</f>
        <v>0</v>
      </c>
      <c r="CI523" s="446">
        <f>IF($E523=0,0,IF(MIN(CI$38,$E523)&lt;MAX($P$34*($B523+$I$38-1),IF(AND($L$37=0,$P$34=0),"",$L$37-1)),0,YEARFRAC(MAX($P$34*($B523+$I$38-1),IF(AND($L$37=0,$P$34=0),"",$L$37-1)),MIN(CI$38,$E523),$P$20))-SUM($BF523:CH523))</f>
        <v>0</v>
      </c>
      <c r="CJ523" s="446">
        <f>IF($E523=0,0,IF(MIN(CJ$38,$E523)&lt;MAX($P$34*($B523+$I$38-1),IF(AND($L$37=0,$P$34=0),"",$L$37-1)),0,YEARFRAC(MAX($P$34*($B523+$I$38-1),IF(AND($L$37=0,$P$34=0),"",$L$37-1)),MIN(CJ$38,$E523),$P$20))-SUM($BF523:CI523))</f>
        <v>0</v>
      </c>
      <c r="CK523" s="446">
        <f>IF($E523=0,0,IF(MIN(CK$38,$E523)&lt;MAX($P$34*($B523+$I$38-1),IF(AND($L$37=0,$P$34=0),"",$L$37-1)),0,YEARFRAC(MAX($P$34*($B523+$I$38-1),IF(AND($L$37=0,$P$34=0),"",$L$37-1)),MIN(CK$38,$E523),$P$20))-SUM($BF523:CJ523))</f>
        <v>0</v>
      </c>
      <c r="CL523" s="446">
        <f>IF($E523=0,0,IF(MIN(CL$38,$E523)&lt;MAX($P$34*($B523+$I$38-1),IF(AND($L$37=0,$P$34=0),"",$L$37-1)),0,YEARFRAC(MAX($P$34*($B523+$I$38-1),IF(AND($L$37=0,$P$34=0),"",$L$37-1)),MIN(CL$38,$E523),$P$20))-SUM($BF523:CK523))</f>
        <v>0</v>
      </c>
      <c r="CM523" s="446">
        <f>IF($E523=0,0,IF(MIN(CM$38,$E523)&lt;MAX($P$34*($B523+$I$38-1),IF(AND($L$37=0,$P$34=0),"",$L$37-1)),0,YEARFRAC(MAX($P$34*($B523+$I$38-1),IF(AND($L$37=0,$P$34=0),"",$L$37-1)),MIN(CM$38,$E523),$P$20))-SUM($BF523:CL523))</f>
        <v>0</v>
      </c>
      <c r="CN523" s="446">
        <f>IF($E523=0,0,IF(MIN(CN$38,$E523)&lt;MAX($P$34*($B523+$I$38-1),IF(AND($L$37=0,$P$34=0),"",$L$37-1)),0,YEARFRAC(MAX($P$34*($B523+$I$38-1),IF(AND($L$37=0,$P$34=0),"",$L$37-1)),MIN(CN$38,$E523),$P$20))-SUM($BF523:CM523))</f>
        <v>0</v>
      </c>
      <c r="CO523" s="446">
        <f>IF($E523=0,0,IF(MIN(CO$38,$E523)&lt;MAX($P$34*($B523+$I$38-1),IF(AND($L$37=0,$P$34=0),"",$L$37-1)),0,YEARFRAC(MAX($P$34*($B523+$I$38-1),IF(AND($L$37=0,$P$34=0),"",$L$37-1)),MIN(CO$38,$E523),$P$20))-SUM($BF523:CN523))</f>
        <v>0</v>
      </c>
      <c r="CP523" s="446">
        <f>IF($E523=0,0,IF(MIN(CP$38,$E523)&lt;MAX($P$34*($B523+$I$38-1),IF(AND($L$37=0,$P$34=0),"",$L$37-1)),0,YEARFRAC(MAX($P$34*($B523+$I$38-1),IF(AND($L$37=0,$P$34=0),"",$L$37-1)),MIN(CP$38,$E523),$P$20))-SUM($BF523:CO523))</f>
        <v>0</v>
      </c>
      <c r="CQ523" s="446">
        <f>IF($E523=0,0,IF(MIN(CQ$38,$E523)&lt;MAX($P$34*($B523+$I$38-1),IF(AND($L$37=0,$P$34=0),"",$L$37-1)),0,YEARFRAC(MAX($P$34*($B523+$I$38-1),IF(AND($L$37=0,$P$34=0),"",$L$37-1)),MIN(CQ$38,$E523),$P$20))-SUM($BF523:CP523))</f>
        <v>0</v>
      </c>
    </row>
    <row r="524" spans="1:95" s="446" customFormat="1" ht="11.25" hidden="1" customHeight="1" x14ac:dyDescent="0.2">
      <c r="A524" s="152"/>
      <c r="B524" s="153" t="str">
        <f t="shared" si="92"/>
        <v/>
      </c>
      <c r="C524" s="29" t="str">
        <f>IF(B524="","",IF($L$35="SELIC - TRIBUTOS",VLOOKUP(DATE(YEAR($D$19),MONTH($D$19)-1,1),ÍNDICES!$A:$DE,HLOOKUP($BL$25,ÍNDICES!$B$3:$T$4,2)+11)-VLOOKUP(B524,ÍNDICES!$A:$DE,HLOOKUP($BL$25,ÍNDICES!$B$3:$T$4,2)+11)+1%,IF(C$38=$W$26,$J$35,IF(ISERROR(IF(B524&gt;$D$19,1,VLOOKUP(DATE(YEAR(B524),MONTH(B524)+IF($C$35=$S$23,1,0),1),ÍNDICES!$A:$DE,$Z$35+1))),"",IF(B524&gt;$D$19,1,VLOOKUP(DATE(YEAR(B524),MONTH(B524)+IF($C$35=$S$23,1,0),1),ÍNDICES!$A:$DE,$Z$35+1))))))</f>
        <v/>
      </c>
      <c r="D524" s="154" t="str">
        <f>IF(ISERROR(IF(OR($D$38=$Y$27,$B524=""),"",VLOOKUP(B524,ÍNDICES!A:DE,AF$35+1))),"",IF(OR($D$38=$Y$27,$B524=""),"",VLOOKUP(B524,ÍNDICES!A:DE,AF$35+1)))</f>
        <v/>
      </c>
      <c r="E524" s="153"/>
      <c r="F524" s="29" t="str">
        <f>IF(E524="","",IF($L$35="SELIC - TRIBUTOS",VLOOKUP(DATE(YEAR($D$19),MONTH($D$19)-1,1),ÍNDICES!$A:$DE,HLOOKUP($BL$25,ÍNDICES!$B$3:$T$4,2)+11)-VLOOKUP(E524,ÍNDICES!$A:$DE,HLOOKUP($BL$25,ÍNDICES!$B$3:$T$4,2)+11)+1%,IF(F$38=$W$26,$J$35,IF(ISERROR(IF(E524&gt;$D$19,1,VLOOKUP(DATE(YEAR(E524),MONTH(E524)+IF($C$35=$S$23,1,0),1),ÍNDICES!$A:$DE,$Z$35+1))),"",IF(E524&gt;$D$19,1,VLOOKUP(DATE(YEAR(E524),MONTH(E524)+IF($C$35=$S$23,1,0),1),ÍNDICES!$A:$DE,$Z$35+1))))))</f>
        <v/>
      </c>
      <c r="G524" s="155"/>
      <c r="H524" s="156" t="str">
        <f t="shared" si="88"/>
        <v/>
      </c>
      <c r="I524" s="29" t="str">
        <f t="shared" si="82"/>
        <v/>
      </c>
      <c r="J524" s="5">
        <f t="shared" si="83"/>
        <v>0</v>
      </c>
      <c r="K524" s="20">
        <f t="shared" ca="1" si="84"/>
        <v>0</v>
      </c>
      <c r="L524" s="5">
        <f t="shared" ca="1" si="85"/>
        <v>0</v>
      </c>
      <c r="M524" s="64">
        <f t="shared" si="89"/>
        <v>0</v>
      </c>
      <c r="N524" s="61">
        <f t="shared" ca="1" si="90"/>
        <v>0</v>
      </c>
      <c r="O524" s="5">
        <f t="shared" ca="1" si="91"/>
        <v>0</v>
      </c>
      <c r="P524" s="446" t="e">
        <f t="shared" si="86"/>
        <v>#VALUE!</v>
      </c>
      <c r="Q524" s="446" t="e">
        <f>IF(OR($B524="",MIN(Q$38,$D$19)&lt;MAX($P$34*($B524+IF($R$17="Distrato",$I$38-1,0)),IF(AND($L$37=0,$P$34=0),"",$L$37-1),IF($R$17="Distrato",$E524,0))),0,YEARFRAC(MAX($P$34*($B524+IF($R$17="Distrato",$I$38-1,0)),IF(AND($L$37=0,$P$34=0),"",$L$37-1),IF($R$17="Distrato",$E524,0)),MIN(Q$38,$D$19),$P$20))-SUM($P524:P524)</f>
        <v>#VALUE!</v>
      </c>
      <c r="R524" s="446" t="e">
        <f>IF(OR($B524="",MIN(R$38,$D$19)&lt;MAX($P$34*($B524+IF($R$17="Distrato",$I$38-1,0)),IF(AND($L$37=0,$P$34=0),"",$L$37-1),IF($R$17="Distrato",$E524,0))),0,YEARFRAC(MAX($P$34*($B524+IF($R$17="Distrato",$I$38-1,0)),IF(AND($L$37=0,$P$34=0),"",$L$37-1),IF($R$17="Distrato",$E524,0)),MIN(R$38,$D$19),$P$20))-SUM($P524:Q524)</f>
        <v>#VALUE!</v>
      </c>
      <c r="S524" s="446" t="e">
        <f>IF(OR($B524="",MIN(S$38,$D$19)&lt;MAX($P$34*($B524+IF($R$17="Distrato",$I$38-1,0)),IF(AND($L$37=0,$P$34=0),"",$L$37-1),IF($R$17="Distrato",$E524,0))),0,YEARFRAC(MAX($P$34*($B524+IF($R$17="Distrato",$I$38-1,0)),IF(AND($L$37=0,$P$34=0),"",$L$37-1),IF($R$17="Distrato",$E524,0)),MIN(S$38,$D$19),$P$20))-SUM($P524:R524)</f>
        <v>#VALUE!</v>
      </c>
      <c r="T524" s="446" t="e">
        <f>IF(OR($B524="",MIN(T$38,$D$19)&lt;MAX($P$34*($B524+IF($R$17="Distrato",$I$38-1,0)),IF(AND($L$37=0,$P$34=0),"",$L$37-1),IF($R$17="Distrato",$E524,0))),0,YEARFRAC(MAX($P$34*($B524+IF($R$17="Distrato",$I$38-1,0)),IF(AND($L$37=0,$P$34=0),"",$L$37-1),IF($R$17="Distrato",$E524,0)),MIN(T$38,$D$19),$P$20))-SUM($P524:S524)</f>
        <v>#VALUE!</v>
      </c>
      <c r="U524" s="446" t="e">
        <f>IF(OR($B524="",MIN(U$38,$D$19)&lt;MAX($P$34*($B524+IF($R$17="Distrato",$I$38-1,0)),IF(AND($L$37=0,$P$34=0),"",$L$37-1),IF($R$17="Distrato",$E524,0))),0,YEARFRAC(MAX($P$34*($B524+IF($R$17="Distrato",$I$38-1,0)),IF(AND($L$37=0,$P$34=0),"",$L$37-1),IF($R$17="Distrato",$E524,0)),MIN(U$38,$D$19),$P$20))-SUM($P524:T524)</f>
        <v>#VALUE!</v>
      </c>
      <c r="V524" s="446" t="e">
        <f>IF(OR($B524="",MIN(V$38,$D$19)&lt;MAX($P$34*($B524+IF($R$17="Distrato",$I$38-1,0)),IF(AND($L$37=0,$P$34=0),"",$L$37-1),IF($R$17="Distrato",$E524,0))),0,YEARFRAC(MAX($P$34*($B524+IF($R$17="Distrato",$I$38-1,0)),IF(AND($L$37=0,$P$34=0),"",$L$37-1),IF($R$17="Distrato",$E524,0)),MIN(V$38,$D$19),$P$20))-SUM($P524:U524)</f>
        <v>#VALUE!</v>
      </c>
      <c r="W524" s="446" t="e">
        <f>IF(OR($B524="",MIN(W$38,$D$19)&lt;MAX($P$34*($B524+IF($R$17="Distrato",$I$38-1,0)),IF(AND($L$37=0,$P$34=0),"",$L$37-1),IF($R$17="Distrato",$E524,0))),0,YEARFRAC(MAX($P$34*($B524+IF($R$17="Distrato",$I$38-1,0)),IF(AND($L$37=0,$P$34=0),"",$L$37-1),IF($R$17="Distrato",$E524,0)),MIN(W$38,$D$19),$P$20))-SUM($P524:V524)</f>
        <v>#VALUE!</v>
      </c>
      <c r="X524" s="446" t="e">
        <f>IF(OR($B524="",MIN(X$38,$D$19)&lt;MAX($P$34*($B524+IF($R$17="Distrato",$I$38-1,0)),IF(AND($L$37=0,$P$34=0),"",$L$37-1),IF($R$17="Distrato",$E524,0))),0,YEARFRAC(MAX($P$34*($B524+IF($R$17="Distrato",$I$38-1,0)),IF(AND($L$37=0,$P$34=0),"",$L$37-1),IF($R$17="Distrato",$E524,0)),MIN(X$38,$D$19),$P$20))-SUM($P524:W524)</f>
        <v>#VALUE!</v>
      </c>
      <c r="Y524" s="446" t="e">
        <f>IF(OR($B524="",MIN(Y$38,$D$19)&lt;MAX($P$34*($B524+IF($R$17="Distrato",$I$38-1,0)),IF(AND($L$37=0,$P$34=0),"",$L$37-1),IF($R$17="Distrato",$E524,0))),0,YEARFRAC(MAX($P$34*($B524+IF($R$17="Distrato",$I$38-1,0)),IF(AND($L$37=0,$P$34=0),"",$L$37-1),IF($R$17="Distrato",$E524,0)),MIN(Y$38,$D$19),$P$20))-SUM($P524:X524)</f>
        <v>#VALUE!</v>
      </c>
      <c r="Z524" s="446" t="e">
        <f>IF(OR($B524="",MIN(Z$38,$D$19)&lt;MAX($P$34*($B524+IF($R$17="Distrato",$I$38-1,0)),IF(AND($L$37=0,$P$34=0),"",$L$37-1),IF($R$17="Distrato",$E524,0))),0,YEARFRAC(MAX($P$34*($B524+IF($R$17="Distrato",$I$38-1,0)),IF(AND($L$37=0,$P$34=0),"",$L$37-1),IF($R$17="Distrato",$E524,0)),MIN(Z$38,$D$19),$P$20))-SUM($P524:Y524)</f>
        <v>#VALUE!</v>
      </c>
      <c r="AA524" s="446" t="e">
        <f>IF(OR($B524="",MIN(AA$38,$D$19)&lt;MAX($P$34*($B524+IF($R$17="Distrato",$I$38-1,0)),IF(AND($L$37=0,$P$34=0),"",$L$37-1),IF($R$17="Distrato",$E524,0))),0,YEARFRAC(MAX($P$34*($B524+IF($R$17="Distrato",$I$38-1,0)),IF(AND($L$37=0,$P$34=0),"",$L$37-1),IF($R$17="Distrato",$E524,0)),MIN(AA$38,$D$19),$P$20))-SUM($P524:Z524)</f>
        <v>#VALUE!</v>
      </c>
      <c r="AB524" s="446" t="e">
        <f>IF(OR($B524="",MIN(AB$38,$D$19)&lt;MAX($P$34*($B524+IF($R$17="Distrato",$I$38-1,0)),IF(AND($L$37=0,$P$34=0),"",$L$37-1),IF($R$17="Distrato",$E524,0))),0,YEARFRAC(MAX($P$34*($B524+IF($R$17="Distrato",$I$38-1,0)),IF(AND($L$37=0,$P$34=0),"",$L$37-1),IF($R$17="Distrato",$E524,0)),MIN(AB$38,$D$19),$P$20))-SUM($P524:AA524)</f>
        <v>#VALUE!</v>
      </c>
      <c r="AC524" s="446" t="e">
        <f>IF(OR($B524="",MIN(AC$38,$D$19)&lt;MAX($P$34*($B524+IF($R$17="Distrato",$I$38-1,0)),IF(AND($L$37=0,$P$34=0),"",$L$37-1),IF($R$17="Distrato",$E524,0))),0,YEARFRAC(MAX($P$34*($B524+IF($R$17="Distrato",$I$38-1,0)),IF(AND($L$37=0,$P$34=0),"",$L$37-1),IF($R$17="Distrato",$E524,0)),MIN(AC$38,$D$19),$P$20))-SUM($P524:AB524)</f>
        <v>#VALUE!</v>
      </c>
      <c r="AD524" s="446" t="e">
        <f>IF(OR($B524="",MIN(AD$38,$D$19)&lt;MAX($P$34*($B524+IF($R$17="Distrato",$I$38-1,0)),IF(AND($L$37=0,$P$34=0),"",$L$37-1),IF($R$17="Distrato",$E524,0))),0,YEARFRAC(MAX($P$34*($B524+IF($R$17="Distrato",$I$38-1,0)),IF(AND($L$37=0,$P$34=0),"",$L$37-1),IF($R$17="Distrato",$E524,0)),MIN(AD$38,$D$19),$P$20))-SUM($P524:AC524)</f>
        <v>#VALUE!</v>
      </c>
      <c r="AE524" s="446" t="e">
        <f>IF(OR($B524="",MIN(AE$38,$D$19)&lt;MAX($P$34*($B524+IF($R$17="Distrato",$I$38-1,0)),IF(AND($L$37=0,$P$34=0),"",$L$37-1),IF($R$17="Distrato",$E524,0))),0,YEARFRAC(MAX($P$34*($B524+IF($R$17="Distrato",$I$38-1,0)),IF(AND($L$37=0,$P$34=0),"",$L$37-1),IF($R$17="Distrato",$E524,0)),MIN(AE$38,$D$19),$P$20))-SUM($P524:AD524)</f>
        <v>#VALUE!</v>
      </c>
      <c r="AF524" s="446" t="e">
        <f>IF(OR($B524="",MIN(AF$38,$D$19)&lt;MAX($P$34*($B524+IF($R$17="Distrato",$I$38-1,0)),IF(AND($L$37=0,$P$34=0),"",$L$37-1),IF($R$17="Distrato",$E524,0))),0,YEARFRAC(MAX($P$34*($B524+IF($R$17="Distrato",$I$38-1,0)),IF(AND($L$37=0,$P$34=0),"",$L$37-1),IF($R$17="Distrato",$E524,0)),MIN(AF$38,$D$19),$P$20))-SUM($P524:AE524)</f>
        <v>#VALUE!</v>
      </c>
      <c r="AG524" s="446" t="e">
        <f>IF(OR($B524="",MIN(AG$38,$D$19)&lt;MAX($P$34*($B524+IF($R$17="Distrato",$I$38-1,0)),IF(AND($L$37=0,$P$34=0),"",$L$37-1),IF($R$17="Distrato",$E524,0))),0,YEARFRAC(MAX($P$34*($B524+IF($R$17="Distrato",$I$38-1,0)),IF(AND($L$37=0,$P$34=0),"",$L$37-1),IF($R$17="Distrato",$E524,0)),MIN(AG$38,$D$19),$P$20))-SUM($P524:AF524)</f>
        <v>#VALUE!</v>
      </c>
      <c r="AH524" s="446" t="e">
        <f>IF(OR($B524="",MIN(AH$38,$D$19)&lt;MAX($P$34*($B524+IF($R$17="Distrato",$I$38-1,0)),IF(AND($L$37=0,$P$34=0),"",$L$37-1),IF($R$17="Distrato",$E524,0))),0,YEARFRAC(MAX($P$34*($B524+IF($R$17="Distrato",$I$38-1,0)),IF(AND($L$37=0,$P$34=0),"",$L$37-1),IF($R$17="Distrato",$E524,0)),MIN(AH$38,$D$19),$P$20))-SUM($P524:AG524)</f>
        <v>#VALUE!</v>
      </c>
      <c r="AI524" s="446" t="e">
        <f>IF(OR($B524="",MIN(AI$38,$D$19)&lt;MAX($P$34*($B524+IF($R$17="Distrato",$I$38-1,0)),IF(AND($L$37=0,$P$34=0),"",$L$37-1),IF($R$17="Distrato",$E524,0))),0,YEARFRAC(MAX($P$34*($B524+IF($R$17="Distrato",$I$38-1,0)),IF(AND($L$37=0,$P$34=0),"",$L$37-1),IF($R$17="Distrato",$E524,0)),MIN(AI$38,$D$19),$P$20))-SUM($P524:AH524)</f>
        <v>#VALUE!</v>
      </c>
      <c r="AJ524" s="446" t="e">
        <f>IF(OR($B524="",MIN(AJ$38,$D$19)&lt;MAX($P$34*($B524+IF($R$17="Distrato",$I$38-1,0)),IF(AND($L$37=0,$P$34=0),"",$L$37-1),IF($R$17="Distrato",$E524,0))),0,YEARFRAC(MAX($P$34*($B524+IF($R$17="Distrato",$I$38-1,0)),IF(AND($L$37=0,$P$34=0),"",$L$37-1),IF($R$17="Distrato",$E524,0)),MIN(AJ$38,$D$19),$P$20))-SUM($P524:AI524)</f>
        <v>#VALUE!</v>
      </c>
      <c r="AK524" s="446" t="e">
        <f>IF(OR($B524="",MIN(AK$38,$D$19)&lt;MAX($P$34*($B524+IF($R$17="Distrato",$I$38-1,0)),IF(AND($L$37=0,$P$34=0),"",$L$37-1),IF($R$17="Distrato",$E524,0))),0,YEARFRAC(MAX($P$34*($B524+IF($R$17="Distrato",$I$38-1,0)),IF(AND($L$37=0,$P$34=0),"",$L$37-1),IF($R$17="Distrato",$E524,0)),MIN(AK$38,$D$19),$P$20))-SUM($P524:AJ524)</f>
        <v>#VALUE!</v>
      </c>
      <c r="AL524" s="446" t="e">
        <f>IF(OR($B524="",MIN(AL$38,$D$19)&lt;MAX($P$34*($B524+IF($R$17="Distrato",$I$38-1,0)),IF(AND($L$37=0,$P$34=0),"",$L$37-1),IF($R$17="Distrato",$E524,0))),0,YEARFRAC(MAX($P$34*($B524+IF($R$17="Distrato",$I$38-1,0)),IF(AND($L$37=0,$P$34=0),"",$L$37-1),IF($R$17="Distrato",$E524,0)),MIN(AL$38,$D$19),$P$20))-SUM($P524:AK524)</f>
        <v>#VALUE!</v>
      </c>
      <c r="AM524" s="446" t="e">
        <f>IF(OR($B524="",MIN(AM$38,$D$19)&lt;MAX($P$34*($B524+IF($R$17="Distrato",$I$38-1,0)),IF(AND($L$37=0,$P$34=0),"",$L$37-1),IF($R$17="Distrato",$E524,0))),0,YEARFRAC(MAX($P$34*($B524+IF($R$17="Distrato",$I$38-1,0)),IF(AND($L$37=0,$P$34=0),"",$L$37-1),IF($R$17="Distrato",$E524,0)),MIN(AM$38,$D$19),$P$20))-SUM($P524:AL524)</f>
        <v>#VALUE!</v>
      </c>
      <c r="AN524" s="446" t="e">
        <f>IF(OR($B524="",MIN(AN$38,$D$19)&lt;MAX($P$34*($B524+IF($R$17="Distrato",$I$38-1,0)),IF(AND($L$37=0,$P$34=0),"",$L$37-1),IF($R$17="Distrato",$E524,0))),0,YEARFRAC(MAX($P$34*($B524+IF($R$17="Distrato",$I$38-1,0)),IF(AND($L$37=0,$P$34=0),"",$L$37-1),IF($R$17="Distrato",$E524,0)),MIN(AN$38,$D$19),$P$20))-SUM($P524:AM524)</f>
        <v>#VALUE!</v>
      </c>
      <c r="AO524" s="446" t="e">
        <f>IF(OR($B524="",MIN(AO$38,$D$19)&lt;MAX($P$34*($B524+IF($R$17="Distrato",$I$38-1,0)),IF(AND($L$37=0,$P$34=0),"",$L$37-1),IF($R$17="Distrato",$E524,0))),0,YEARFRAC(MAX($P$34*($B524+IF($R$17="Distrato",$I$38-1,0)),IF(AND($L$37=0,$P$34=0),"",$L$37-1),IF($R$17="Distrato",$E524,0)),MIN(AO$38,$D$19),$P$20))-SUM($P524:AN524)</f>
        <v>#VALUE!</v>
      </c>
      <c r="AP524" s="446" t="e">
        <f>IF(OR($B524="",MIN(AP$38,$D$19)&lt;MAX($P$34*($B524+IF($R$17="Distrato",$I$38-1,0)),IF(AND($L$37=0,$P$34=0),"",$L$37-1),IF($R$17="Distrato",$E524,0))),0,YEARFRAC(MAX($P$34*($B524+IF($R$17="Distrato",$I$38-1,0)),IF(AND($L$37=0,$P$34=0),"",$L$37-1),IF($R$17="Distrato",$E524,0)),MIN(AP$38,$D$19),$P$20))-SUM($P524:AO524)</f>
        <v>#VALUE!</v>
      </c>
      <c r="AQ524" s="446" t="e">
        <f>IF(OR($B524="",MIN(AQ$38,$D$19)&lt;MAX($P$34*($B524+IF($R$17="Distrato",$I$38-1,0)),IF(AND($L$37=0,$P$34=0),"",$L$37-1),IF($R$17="Distrato",$E524,0))),0,YEARFRAC(MAX($P$34*($B524+IF($R$17="Distrato",$I$38-1,0)),IF(AND($L$37=0,$P$34=0),"",$L$37-1),IF($R$17="Distrato",$E524,0)),MIN(AQ$38,$D$19),$P$20))-SUM($P524:AP524)</f>
        <v>#VALUE!</v>
      </c>
      <c r="AR524" s="446" t="e">
        <f>IF(OR($B524="",MIN(AR$38,$D$19)&lt;MAX($P$34*($B524+IF($R$17="Distrato",$I$38-1,0)),IF(AND($L$37=0,$P$34=0),"",$L$37-1),IF($R$17="Distrato",$E524,0))),0,YEARFRAC(MAX($P$34*($B524+IF($R$17="Distrato",$I$38-1,0)),IF(AND($L$37=0,$P$34=0),"",$L$37-1),IF($R$17="Distrato",$E524,0)),MIN(AR$38,$D$19),$P$20))-SUM($P524:AQ524)</f>
        <v>#VALUE!</v>
      </c>
      <c r="AS524" s="446" t="e">
        <f>IF(OR($B524="",MIN(AS$38,$D$19)&lt;MAX($P$34*($B524+IF($R$17="Distrato",$I$38-1,0)),IF(AND($L$37=0,$P$34=0),"",$L$37-1),IF($R$17="Distrato",$E524,0))),0,YEARFRAC(MAX($P$34*($B524+IF($R$17="Distrato",$I$38-1,0)),IF(AND($L$37=0,$P$34=0),"",$L$37-1),IF($R$17="Distrato",$E524,0)),MIN(AS$38,$D$19),$P$20))-SUM($P524:AR524)</f>
        <v>#VALUE!</v>
      </c>
      <c r="AT524" s="446" t="e">
        <f>IF(OR($B524="",MIN(AT$38,$D$19)&lt;MAX($P$34*($B524+IF($R$17="Distrato",$I$38-1,0)),IF(AND($L$37=0,$P$34=0),"",$L$37-1),IF($R$17="Distrato",$E524,0))),0,YEARFRAC(MAX($P$34*($B524+IF($R$17="Distrato",$I$38-1,0)),IF(AND($L$37=0,$P$34=0),"",$L$37-1),IF($R$17="Distrato",$E524,0)),MIN(AT$38,$D$19),$P$20))-SUM($P524:AS524)</f>
        <v>#VALUE!</v>
      </c>
      <c r="AU524" s="446" t="e">
        <f>IF(OR($B524="",MIN(AU$38,$D$19)&lt;MAX($P$34*($B524+IF($R$17="Distrato",$I$38-1,0)),IF(AND($L$37=0,$P$34=0),"",$L$37-1),IF($R$17="Distrato",$E524,0))),0,YEARFRAC(MAX($P$34*($B524+IF($R$17="Distrato",$I$38-1,0)),IF(AND($L$37=0,$P$34=0),"",$L$37-1),IF($R$17="Distrato",$E524,0)),MIN(AU$38,$D$19),$P$20))-SUM($P524:AT524)</f>
        <v>#VALUE!</v>
      </c>
      <c r="AV524" s="446" t="e">
        <f>IF(OR($B524="",MIN(AV$38,$D$19)&lt;MAX($P$34*($B524+IF($R$17="Distrato",$I$38-1,0)),IF(AND($L$37=0,$P$34=0),"",$L$37-1),IF($R$17="Distrato",$E524,0))),0,YEARFRAC(MAX($P$34*($B524+IF($R$17="Distrato",$I$38-1,0)),IF(AND($L$37=0,$P$34=0),"",$L$37-1),IF($R$17="Distrato",$E524,0)),MIN(AV$38,$D$19),$P$20))-SUM($P524:AU524)</f>
        <v>#VALUE!</v>
      </c>
      <c r="AW524" s="446" t="e">
        <f>IF(OR($B524="",MIN(AW$38,$D$19)&lt;MAX($P$34*($B524+IF($R$17="Distrato",$I$38-1,0)),IF(AND($L$37=0,$P$34=0),"",$L$37-1),IF($R$17="Distrato",$E524,0))),0,YEARFRAC(MAX($P$34*($B524+IF($R$17="Distrato",$I$38-1,0)),IF(AND($L$37=0,$P$34=0),"",$L$37-1),IF($R$17="Distrato",$E524,0)),MIN(AW$38,$D$19),$P$20))-SUM($P524:AV524)</f>
        <v>#VALUE!</v>
      </c>
      <c r="AX524" s="446" t="e">
        <f>IF(OR($B524="",MIN(AX$38,$D$19)&lt;MAX($P$34*($B524+IF($R$17="Distrato",$I$38-1,0)),IF(AND($L$37=0,$P$34=0),"",$L$37-1),IF($R$17="Distrato",$E524,0))),0,YEARFRAC(MAX($P$34*($B524+IF($R$17="Distrato",$I$38-1,0)),IF(AND($L$37=0,$P$34=0),"",$L$37-1),IF($R$17="Distrato",$E524,0)),MIN(AX$38,$D$19),$P$20))-SUM($P524:AW524)</f>
        <v>#VALUE!</v>
      </c>
      <c r="AY524" s="446" t="e">
        <f>IF(OR($B524="",MIN(AY$38,$D$19)&lt;MAX($P$34*($B524+IF($R$17="Distrato",$I$38-1,0)),IF(AND($L$37=0,$P$34=0),"",$L$37-1),IF($R$17="Distrato",$E524,0))),0,YEARFRAC(MAX($P$34*($B524+IF($R$17="Distrato",$I$38-1,0)),IF(AND($L$37=0,$P$34=0),"",$L$37-1),IF($R$17="Distrato",$E524,0)),MIN(AY$38,$D$19),$P$20))-SUM($P524:AX524)</f>
        <v>#VALUE!</v>
      </c>
      <c r="AZ524" s="446" t="e">
        <f>IF(OR($B524="",MIN(AZ$38,$D$19)&lt;MAX($P$34*($B524+IF($R$17="Distrato",$I$38-1,0)),IF(AND($L$37=0,$P$34=0),"",$L$37-1),IF($R$17="Distrato",$E524,0))),0,YEARFRAC(MAX($P$34*($B524+IF($R$17="Distrato",$I$38-1,0)),IF(AND($L$37=0,$P$34=0),"",$L$37-1),IF($R$17="Distrato",$E524,0)),MIN(AZ$38,$D$19),$P$20))-SUM($P524:AY524)</f>
        <v>#VALUE!</v>
      </c>
      <c r="BA524" s="446" t="e">
        <f>IF(OR($B524="",MIN(BA$38,$D$19)&lt;MAX($P$34*($B524+IF($R$17="Distrato",$I$38-1,0)),IF(AND($L$37=0,$P$34=0),"",$L$37-1),IF($R$17="Distrato",$E524,0))),0,YEARFRAC(MAX($P$34*($B524+IF($R$17="Distrato",$I$38-1,0)),IF(AND($L$37=0,$P$34=0),"",$L$37-1),IF($R$17="Distrato",$E524,0)),MIN(BA$38,$D$19),$P$20))-SUM($P524:AZ524)</f>
        <v>#VALUE!</v>
      </c>
      <c r="BB524" s="447"/>
      <c r="BF524" s="446">
        <f t="shared" si="87"/>
        <v>0</v>
      </c>
      <c r="BG524" s="446">
        <f>IF($E524=0,0,IF(MIN(BG$38,$E524)&lt;MAX($P$34*($B524+$I$38-1),IF(AND($L$37=0,$P$34=0),"",$L$37-1)),0,YEARFRAC(MAX($P$34*($B524+$I$38-1),IF(AND($L$37=0,$P$34=0),"",$L$37-1)),MIN(BG$38,$E524),$P$20))-SUM($BF524:BF524))</f>
        <v>0</v>
      </c>
      <c r="BH524" s="446">
        <f>IF($E524=0,0,IF(MIN(BH$38,$E524)&lt;MAX($P$34*($B524+$I$38-1),IF(AND($L$37=0,$P$34=0),"",$L$37-1)),0,YEARFRAC(MAX($P$34*($B524+$I$38-1),IF(AND($L$37=0,$P$34=0),"",$L$37-1)),MIN(BH$38,$E524),$P$20))-SUM($BF524:BG524))</f>
        <v>0</v>
      </c>
      <c r="BI524" s="446">
        <f>IF($E524=0,0,IF(MIN(BI$38,$E524)&lt;MAX($P$34*($B524+$I$38-1),IF(AND($L$37=0,$P$34=0),"",$L$37-1)),0,YEARFRAC(MAX($P$34*($B524+$I$38-1),IF(AND($L$37=0,$P$34=0),"",$L$37-1)),MIN(BI$38,$E524),$P$20))-SUM($BF524:BH524))</f>
        <v>0</v>
      </c>
      <c r="BJ524" s="446">
        <f>IF($E524=0,0,IF(MIN(BJ$38,$E524)&lt;MAX($P$34*($B524+$I$38-1),IF(AND($L$37=0,$P$34=0),"",$L$37-1)),0,YEARFRAC(MAX($P$34*($B524+$I$38-1),IF(AND($L$37=0,$P$34=0),"",$L$37-1)),MIN(BJ$38,$E524),$P$20))-SUM($BF524:BI524))</f>
        <v>0</v>
      </c>
      <c r="BK524" s="446">
        <f>IF($E524=0,0,IF(MIN(BK$38,$E524)&lt;MAX($P$34*($B524+$I$38-1),IF(AND($L$37=0,$P$34=0),"",$L$37-1)),0,YEARFRAC(MAX($P$34*($B524+$I$38-1),IF(AND($L$37=0,$P$34=0),"",$L$37-1)),MIN(BK$38,$E524),$P$20))-SUM($BF524:BJ524))</f>
        <v>0</v>
      </c>
      <c r="BL524" s="446">
        <f>IF($E524=0,0,IF(MIN(BL$38,$E524)&lt;MAX($P$34*($B524+$I$38-1),IF(AND($L$37=0,$P$34=0),"",$L$37-1)),0,YEARFRAC(MAX($P$34*($B524+$I$38-1),IF(AND($L$37=0,$P$34=0),"",$L$37-1)),MIN(BL$38,$E524),$P$20))-SUM($BF524:BK524))</f>
        <v>0</v>
      </c>
      <c r="BM524" s="446">
        <f>IF($E524=0,0,IF(MIN(BM$38,$E524)&lt;MAX($P$34*($B524+$I$38-1),IF(AND($L$37=0,$P$34=0),"",$L$37-1)),0,YEARFRAC(MAX($P$34*($B524+$I$38-1),IF(AND($L$37=0,$P$34=0),"",$L$37-1)),MIN(BM$38,$E524),$P$20))-SUM($BF524:BL524))</f>
        <v>0</v>
      </c>
      <c r="BN524" s="446">
        <f>IF($E524=0,0,IF(MIN(BN$38,$E524)&lt;MAX($P$34*($B524+$I$38-1),IF(AND($L$37=0,$P$34=0),"",$L$37-1)),0,YEARFRAC(MAX($P$34*($B524+$I$38-1),IF(AND($L$37=0,$P$34=0),"",$L$37-1)),MIN(BN$38,$E524),$P$20))-SUM($BF524:BM524))</f>
        <v>0</v>
      </c>
      <c r="BO524" s="446">
        <f>IF($E524=0,0,IF(MIN(BO$38,$E524)&lt;MAX($P$34*($B524+$I$38-1),IF(AND($L$37=0,$P$34=0),"",$L$37-1)),0,YEARFRAC(MAX($P$34*($B524+$I$38-1),IF(AND($L$37=0,$P$34=0),"",$L$37-1)),MIN(BO$38,$E524),$P$20))-SUM($BF524:BN524))</f>
        <v>0</v>
      </c>
      <c r="BP524" s="446">
        <f>IF($E524=0,0,IF(MIN(BP$38,$E524)&lt;MAX($P$34*($B524+$I$38-1),IF(AND($L$37=0,$P$34=0),"",$L$37-1)),0,YEARFRAC(MAX($P$34*($B524+$I$38-1),IF(AND($L$37=0,$P$34=0),"",$L$37-1)),MIN(BP$38,$E524),$P$20))-SUM($BF524:BO524))</f>
        <v>0</v>
      </c>
      <c r="BQ524" s="446">
        <f>IF($E524=0,0,IF(MIN(BQ$38,$E524)&lt;MAX($P$34*($B524+$I$38-1),IF(AND($L$37=0,$P$34=0),"",$L$37-1)),0,YEARFRAC(MAX($P$34*($B524+$I$38-1),IF(AND($L$37=0,$P$34=0),"",$L$37-1)),MIN(BQ$38,$E524),$P$20))-SUM($BF524:BP524))</f>
        <v>0</v>
      </c>
      <c r="BR524" s="446">
        <f>IF($E524=0,0,IF(MIN(BR$38,$E524)&lt;MAX($P$34*($B524+$I$38-1),IF(AND($L$37=0,$P$34=0),"",$L$37-1)),0,YEARFRAC(MAX($P$34*($B524+$I$38-1),IF(AND($L$37=0,$P$34=0),"",$L$37-1)),MIN(BR$38,$E524),$P$20))-SUM($BF524:BQ524))</f>
        <v>0</v>
      </c>
      <c r="BS524" s="446">
        <f>IF($E524=0,0,IF(MIN(BS$38,$E524)&lt;MAX($P$34*($B524+$I$38-1),IF(AND($L$37=0,$P$34=0),"",$L$37-1)),0,YEARFRAC(MAX($P$34*($B524+$I$38-1),IF(AND($L$37=0,$P$34=0),"",$L$37-1)),MIN(BS$38,$E524),$P$20))-SUM($BF524:BR524))</f>
        <v>0</v>
      </c>
      <c r="BT524" s="446">
        <f>IF($E524=0,0,IF(MIN(BT$38,$E524)&lt;MAX($P$34*($B524+$I$38-1),IF(AND($L$37=0,$P$34=0),"",$L$37-1)),0,YEARFRAC(MAX($P$34*($B524+$I$38-1),IF(AND($L$37=0,$P$34=0),"",$L$37-1)),MIN(BT$38,$E524),$P$20))-SUM($BF524:BS524))</f>
        <v>0</v>
      </c>
      <c r="BU524" s="446">
        <f>IF($E524=0,0,IF(MIN(BU$38,$E524)&lt;MAX($P$34*($B524+$I$38-1),IF(AND($L$37=0,$P$34=0),"",$L$37-1)),0,YEARFRAC(MAX($P$34*($B524+$I$38-1),IF(AND($L$37=0,$P$34=0),"",$L$37-1)),MIN(BU$38,$E524),$P$20))-SUM($BF524:BT524))</f>
        <v>0</v>
      </c>
      <c r="BV524" s="446">
        <f>IF($E524=0,0,IF(MIN(BV$38,$E524)&lt;MAX($P$34*($B524+$I$38-1),IF(AND($L$37=0,$P$34=0),"",$L$37-1)),0,YEARFRAC(MAX($P$34*($B524+$I$38-1),IF(AND($L$37=0,$P$34=0),"",$L$37-1)),MIN(BV$38,$E524),$P$20))-SUM($BF524:BU524))</f>
        <v>0</v>
      </c>
      <c r="BW524" s="446">
        <f>IF($E524=0,0,IF(MIN(BW$38,$E524)&lt;MAX($P$34*($B524+$I$38-1),IF(AND($L$37=0,$P$34=0),"",$L$37-1)),0,YEARFRAC(MAX($P$34*($B524+$I$38-1),IF(AND($L$37=0,$P$34=0),"",$L$37-1)),MIN(BW$38,$E524),$P$20))-SUM($BF524:BV524))</f>
        <v>0</v>
      </c>
      <c r="BX524" s="446">
        <f>IF($E524=0,0,IF(MIN(BX$38,$E524)&lt;MAX($P$34*($B524+$I$38-1),IF(AND($L$37=0,$P$34=0),"",$L$37-1)),0,YEARFRAC(MAX($P$34*($B524+$I$38-1),IF(AND($L$37=0,$P$34=0),"",$L$37-1)),MIN(BX$38,$E524),$P$20))-SUM($BF524:BW524))</f>
        <v>0</v>
      </c>
      <c r="BY524" s="446">
        <f>IF($E524=0,0,IF(MIN(BY$38,$E524)&lt;MAX($P$34*($B524+$I$38-1),IF(AND($L$37=0,$P$34=0),"",$L$37-1)),0,YEARFRAC(MAX($P$34*($B524+$I$38-1),IF(AND($L$37=0,$P$34=0),"",$L$37-1)),MIN(BY$38,$E524),$P$20))-SUM($BF524:BX524))</f>
        <v>0</v>
      </c>
      <c r="BZ524" s="446">
        <f>IF($E524=0,0,IF(MIN(BZ$38,$E524)&lt;MAX($P$34*($B524+$I$38-1),IF(AND($L$37=0,$P$34=0),"",$L$37-1)),0,YEARFRAC(MAX($P$34*($B524+$I$38-1),IF(AND($L$37=0,$P$34=0),"",$L$37-1)),MIN(BZ$38,$E524),$P$20))-SUM($BF524:BY524))</f>
        <v>0</v>
      </c>
      <c r="CA524" s="446">
        <f>IF($E524=0,0,IF(MIN(CA$38,$E524)&lt;MAX($P$34*($B524+$I$38-1),IF(AND($L$37=0,$P$34=0),"",$L$37-1)),0,YEARFRAC(MAX($P$34*($B524+$I$38-1),IF(AND($L$37=0,$P$34=0),"",$L$37-1)),MIN(CA$38,$E524),$P$20))-SUM($BF524:BZ524))</f>
        <v>0</v>
      </c>
      <c r="CB524" s="446">
        <f>IF($E524=0,0,IF(MIN(CB$38,$E524)&lt;MAX($P$34*($B524+$I$38-1),IF(AND($L$37=0,$P$34=0),"",$L$37-1)),0,YEARFRAC(MAX($P$34*($B524+$I$38-1),IF(AND($L$37=0,$P$34=0),"",$L$37-1)),MIN(CB$38,$E524),$P$20))-SUM($BF524:CA524))</f>
        <v>0</v>
      </c>
      <c r="CC524" s="446">
        <f>IF($E524=0,0,IF(MIN(CC$38,$E524)&lt;MAX($P$34*($B524+$I$38-1),IF(AND($L$37=0,$P$34=0),"",$L$37-1)),0,YEARFRAC(MAX($P$34*($B524+$I$38-1),IF(AND($L$37=0,$P$34=0),"",$L$37-1)),MIN(CC$38,$E524),$P$20))-SUM($BF524:CB524))</f>
        <v>0</v>
      </c>
      <c r="CD524" s="446">
        <f>IF($E524=0,0,IF(MIN(CD$38,$E524)&lt;MAX($P$34*($B524+$I$38-1),IF(AND($L$37=0,$P$34=0),"",$L$37-1)),0,YEARFRAC(MAX($P$34*($B524+$I$38-1),IF(AND($L$37=0,$P$34=0),"",$L$37-1)),MIN(CD$38,$E524),$P$20))-SUM($BF524:CC524))</f>
        <v>0</v>
      </c>
      <c r="CE524" s="446">
        <f>IF($E524=0,0,IF(MIN(CE$38,$E524)&lt;MAX($P$34*($B524+$I$38-1),IF(AND($L$37=0,$P$34=0),"",$L$37-1)),0,YEARFRAC(MAX($P$34*($B524+$I$38-1),IF(AND($L$37=0,$P$34=0),"",$L$37-1)),MIN(CE$38,$E524),$P$20))-SUM($BF524:CD524))</f>
        <v>0</v>
      </c>
      <c r="CF524" s="446">
        <f>IF($E524=0,0,IF(MIN(CF$38,$E524)&lt;MAX($P$34*($B524+$I$38-1),IF(AND($L$37=0,$P$34=0),"",$L$37-1)),0,YEARFRAC(MAX($P$34*($B524+$I$38-1),IF(AND($L$37=0,$P$34=0),"",$L$37-1)),MIN(CF$38,$E524),$P$20))-SUM($BF524:CE524))</f>
        <v>0</v>
      </c>
      <c r="CG524" s="446">
        <f>IF($E524=0,0,IF(MIN(CG$38,$E524)&lt;MAX($P$34*($B524+$I$38-1),IF(AND($L$37=0,$P$34=0),"",$L$37-1)),0,YEARFRAC(MAX($P$34*($B524+$I$38-1),IF(AND($L$37=0,$P$34=0),"",$L$37-1)),MIN(CG$38,$E524),$P$20))-SUM($BF524:CF524))</f>
        <v>0</v>
      </c>
      <c r="CH524" s="446">
        <f>IF($E524=0,0,IF(MIN(CH$38,$E524)&lt;MAX($P$34*($B524+$I$38-1),IF(AND($L$37=0,$P$34=0),"",$L$37-1)),0,YEARFRAC(MAX($P$34*($B524+$I$38-1),IF(AND($L$37=0,$P$34=0),"",$L$37-1)),MIN(CH$38,$E524),$P$20))-SUM($BF524:CG524))</f>
        <v>0</v>
      </c>
      <c r="CI524" s="446">
        <f>IF($E524=0,0,IF(MIN(CI$38,$E524)&lt;MAX($P$34*($B524+$I$38-1),IF(AND($L$37=0,$P$34=0),"",$L$37-1)),0,YEARFRAC(MAX($P$34*($B524+$I$38-1),IF(AND($L$37=0,$P$34=0),"",$L$37-1)),MIN(CI$38,$E524),$P$20))-SUM($BF524:CH524))</f>
        <v>0</v>
      </c>
      <c r="CJ524" s="446">
        <f>IF($E524=0,0,IF(MIN(CJ$38,$E524)&lt;MAX($P$34*($B524+$I$38-1),IF(AND($L$37=0,$P$34=0),"",$L$37-1)),0,YEARFRAC(MAX($P$34*($B524+$I$38-1),IF(AND($L$37=0,$P$34=0),"",$L$37-1)),MIN(CJ$38,$E524),$P$20))-SUM($BF524:CI524))</f>
        <v>0</v>
      </c>
      <c r="CK524" s="446">
        <f>IF($E524=0,0,IF(MIN(CK$38,$E524)&lt;MAX($P$34*($B524+$I$38-1),IF(AND($L$37=0,$P$34=0),"",$L$37-1)),0,YEARFRAC(MAX($P$34*($B524+$I$38-1),IF(AND($L$37=0,$P$34=0),"",$L$37-1)),MIN(CK$38,$E524),$P$20))-SUM($BF524:CJ524))</f>
        <v>0</v>
      </c>
      <c r="CL524" s="446">
        <f>IF($E524=0,0,IF(MIN(CL$38,$E524)&lt;MAX($P$34*($B524+$I$38-1),IF(AND($L$37=0,$P$34=0),"",$L$37-1)),0,YEARFRAC(MAX($P$34*($B524+$I$38-1),IF(AND($L$37=0,$P$34=0),"",$L$37-1)),MIN(CL$38,$E524),$P$20))-SUM($BF524:CK524))</f>
        <v>0</v>
      </c>
      <c r="CM524" s="446">
        <f>IF($E524=0,0,IF(MIN(CM$38,$E524)&lt;MAX($P$34*($B524+$I$38-1),IF(AND($L$37=0,$P$34=0),"",$L$37-1)),0,YEARFRAC(MAX($P$34*($B524+$I$38-1),IF(AND($L$37=0,$P$34=0),"",$L$37-1)),MIN(CM$38,$E524),$P$20))-SUM($BF524:CL524))</f>
        <v>0</v>
      </c>
      <c r="CN524" s="446">
        <f>IF($E524=0,0,IF(MIN(CN$38,$E524)&lt;MAX($P$34*($B524+$I$38-1),IF(AND($L$37=0,$P$34=0),"",$L$37-1)),0,YEARFRAC(MAX($P$34*($B524+$I$38-1),IF(AND($L$37=0,$P$34=0),"",$L$37-1)),MIN(CN$38,$E524),$P$20))-SUM($BF524:CM524))</f>
        <v>0</v>
      </c>
      <c r="CO524" s="446">
        <f>IF($E524=0,0,IF(MIN(CO$38,$E524)&lt;MAX($P$34*($B524+$I$38-1),IF(AND($L$37=0,$P$34=0),"",$L$37-1)),0,YEARFRAC(MAX($P$34*($B524+$I$38-1),IF(AND($L$37=0,$P$34=0),"",$L$37-1)),MIN(CO$38,$E524),$P$20))-SUM($BF524:CN524))</f>
        <v>0</v>
      </c>
      <c r="CP524" s="446">
        <f>IF($E524=0,0,IF(MIN(CP$38,$E524)&lt;MAX($P$34*($B524+$I$38-1),IF(AND($L$37=0,$P$34=0),"",$L$37-1)),0,YEARFRAC(MAX($P$34*($B524+$I$38-1),IF(AND($L$37=0,$P$34=0),"",$L$37-1)),MIN(CP$38,$E524),$P$20))-SUM($BF524:CO524))</f>
        <v>0</v>
      </c>
      <c r="CQ524" s="446">
        <f>IF($E524=0,0,IF(MIN(CQ$38,$E524)&lt;MAX($P$34*($B524+$I$38-1),IF(AND($L$37=0,$P$34=0),"",$L$37-1)),0,YEARFRAC(MAX($P$34*($B524+$I$38-1),IF(AND($L$37=0,$P$34=0),"",$L$37-1)),MIN(CQ$38,$E524),$P$20))-SUM($BF524:CP524))</f>
        <v>0</v>
      </c>
    </row>
    <row r="525" spans="1:95" s="446" customFormat="1" ht="11.25" hidden="1" customHeight="1" x14ac:dyDescent="0.2">
      <c r="A525" s="152"/>
      <c r="B525" s="153" t="str">
        <f t="shared" si="92"/>
        <v/>
      </c>
      <c r="C525" s="29" t="str">
        <f>IF(B525="","",IF($L$35="SELIC - TRIBUTOS",VLOOKUP(DATE(YEAR($D$19),MONTH($D$19)-1,1),ÍNDICES!$A:$DE,HLOOKUP($BL$25,ÍNDICES!$B$3:$T$4,2)+11)-VLOOKUP(B525,ÍNDICES!$A:$DE,HLOOKUP($BL$25,ÍNDICES!$B$3:$T$4,2)+11)+1%,IF(C$38=$W$26,$J$35,IF(ISERROR(IF(B525&gt;$D$19,1,VLOOKUP(DATE(YEAR(B525),MONTH(B525)+IF($C$35=$S$23,1,0),1),ÍNDICES!$A:$DE,$Z$35+1))),"",IF(B525&gt;$D$19,1,VLOOKUP(DATE(YEAR(B525),MONTH(B525)+IF($C$35=$S$23,1,0),1),ÍNDICES!$A:$DE,$Z$35+1))))))</f>
        <v/>
      </c>
      <c r="D525" s="154" t="str">
        <f>IF(ISERROR(IF(OR($D$38=$Y$27,$B525=""),"",VLOOKUP(B525,ÍNDICES!A:DE,AF$35+1))),"",IF(OR($D$38=$Y$27,$B525=""),"",VLOOKUP(B525,ÍNDICES!A:DE,AF$35+1)))</f>
        <v/>
      </c>
      <c r="E525" s="153"/>
      <c r="F525" s="29" t="str">
        <f>IF(E525="","",IF($L$35="SELIC - TRIBUTOS",VLOOKUP(DATE(YEAR($D$19),MONTH($D$19)-1,1),ÍNDICES!$A:$DE,HLOOKUP($BL$25,ÍNDICES!$B$3:$T$4,2)+11)-VLOOKUP(E525,ÍNDICES!$A:$DE,HLOOKUP($BL$25,ÍNDICES!$B$3:$T$4,2)+11)+1%,IF(F$38=$W$26,$J$35,IF(ISERROR(IF(E525&gt;$D$19,1,VLOOKUP(DATE(YEAR(E525),MONTH(E525)+IF($C$35=$S$23,1,0),1),ÍNDICES!$A:$DE,$Z$35+1))),"",IF(E525&gt;$D$19,1,VLOOKUP(DATE(YEAR(E525),MONTH(E525)+IF($C$35=$S$23,1,0),1),ÍNDICES!$A:$DE,$Z$35+1))))))</f>
        <v/>
      </c>
      <c r="G525" s="155"/>
      <c r="H525" s="156" t="str">
        <f t="shared" si="88"/>
        <v/>
      </c>
      <c r="I525" s="29" t="str">
        <f t="shared" si="82"/>
        <v/>
      </c>
      <c r="J525" s="5">
        <f t="shared" si="83"/>
        <v>0</v>
      </c>
      <c r="K525" s="20">
        <f t="shared" ca="1" si="84"/>
        <v>0</v>
      </c>
      <c r="L525" s="5">
        <f t="shared" ca="1" si="85"/>
        <v>0</v>
      </c>
      <c r="M525" s="64">
        <f t="shared" si="89"/>
        <v>0</v>
      </c>
      <c r="N525" s="61">
        <f t="shared" ca="1" si="90"/>
        <v>0</v>
      </c>
      <c r="O525" s="5">
        <f t="shared" ca="1" si="91"/>
        <v>0</v>
      </c>
      <c r="P525" s="446" t="e">
        <f t="shared" si="86"/>
        <v>#VALUE!</v>
      </c>
      <c r="Q525" s="446" t="e">
        <f>IF(OR($B525="",MIN(Q$38,$D$19)&lt;MAX($P$34*($B525+IF($R$17="Distrato",$I$38-1,0)),IF(AND($L$37=0,$P$34=0),"",$L$37-1),IF($R$17="Distrato",$E525,0))),0,YEARFRAC(MAX($P$34*($B525+IF($R$17="Distrato",$I$38-1,0)),IF(AND($L$37=0,$P$34=0),"",$L$37-1),IF($R$17="Distrato",$E525,0)),MIN(Q$38,$D$19),$P$20))-SUM($P525:P525)</f>
        <v>#VALUE!</v>
      </c>
      <c r="R525" s="446" t="e">
        <f>IF(OR($B525="",MIN(R$38,$D$19)&lt;MAX($P$34*($B525+IF($R$17="Distrato",$I$38-1,0)),IF(AND($L$37=0,$P$34=0),"",$L$37-1),IF($R$17="Distrato",$E525,0))),0,YEARFRAC(MAX($P$34*($B525+IF($R$17="Distrato",$I$38-1,0)),IF(AND($L$37=0,$P$34=0),"",$L$37-1),IF($R$17="Distrato",$E525,0)),MIN(R$38,$D$19),$P$20))-SUM($P525:Q525)</f>
        <v>#VALUE!</v>
      </c>
      <c r="S525" s="446" t="e">
        <f>IF(OR($B525="",MIN(S$38,$D$19)&lt;MAX($P$34*($B525+IF($R$17="Distrato",$I$38-1,0)),IF(AND($L$37=0,$P$34=0),"",$L$37-1),IF($R$17="Distrato",$E525,0))),0,YEARFRAC(MAX($P$34*($B525+IF($R$17="Distrato",$I$38-1,0)),IF(AND($L$37=0,$P$34=0),"",$L$37-1),IF($R$17="Distrato",$E525,0)),MIN(S$38,$D$19),$P$20))-SUM($P525:R525)</f>
        <v>#VALUE!</v>
      </c>
      <c r="T525" s="446" t="e">
        <f>IF(OR($B525="",MIN(T$38,$D$19)&lt;MAX($P$34*($B525+IF($R$17="Distrato",$I$38-1,0)),IF(AND($L$37=0,$P$34=0),"",$L$37-1),IF($R$17="Distrato",$E525,0))),0,YEARFRAC(MAX($P$34*($B525+IF($R$17="Distrato",$I$38-1,0)),IF(AND($L$37=0,$P$34=0),"",$L$37-1),IF($R$17="Distrato",$E525,0)),MIN(T$38,$D$19),$P$20))-SUM($P525:S525)</f>
        <v>#VALUE!</v>
      </c>
      <c r="U525" s="446" t="e">
        <f>IF(OR($B525="",MIN(U$38,$D$19)&lt;MAX($P$34*($B525+IF($R$17="Distrato",$I$38-1,0)),IF(AND($L$37=0,$P$34=0),"",$L$37-1),IF($R$17="Distrato",$E525,0))),0,YEARFRAC(MAX($P$34*($B525+IF($R$17="Distrato",$I$38-1,0)),IF(AND($L$37=0,$P$34=0),"",$L$37-1),IF($R$17="Distrato",$E525,0)),MIN(U$38,$D$19),$P$20))-SUM($P525:T525)</f>
        <v>#VALUE!</v>
      </c>
      <c r="V525" s="446" t="e">
        <f>IF(OR($B525="",MIN(V$38,$D$19)&lt;MAX($P$34*($B525+IF($R$17="Distrato",$I$38-1,0)),IF(AND($L$37=0,$P$34=0),"",$L$37-1),IF($R$17="Distrato",$E525,0))),0,YEARFRAC(MAX($P$34*($B525+IF($R$17="Distrato",$I$38-1,0)),IF(AND($L$37=0,$P$34=0),"",$L$37-1),IF($R$17="Distrato",$E525,0)),MIN(V$38,$D$19),$P$20))-SUM($P525:U525)</f>
        <v>#VALUE!</v>
      </c>
      <c r="W525" s="446" t="e">
        <f>IF(OR($B525="",MIN(W$38,$D$19)&lt;MAX($P$34*($B525+IF($R$17="Distrato",$I$38-1,0)),IF(AND($L$37=0,$P$34=0),"",$L$37-1),IF($R$17="Distrato",$E525,0))),0,YEARFRAC(MAX($P$34*($B525+IF($R$17="Distrato",$I$38-1,0)),IF(AND($L$37=0,$P$34=0),"",$L$37-1),IF($R$17="Distrato",$E525,0)),MIN(W$38,$D$19),$P$20))-SUM($P525:V525)</f>
        <v>#VALUE!</v>
      </c>
      <c r="X525" s="446" t="e">
        <f>IF(OR($B525="",MIN(X$38,$D$19)&lt;MAX($P$34*($B525+IF($R$17="Distrato",$I$38-1,0)),IF(AND($L$37=0,$P$34=0),"",$L$37-1),IF($R$17="Distrato",$E525,0))),0,YEARFRAC(MAX($P$34*($B525+IF($R$17="Distrato",$I$38-1,0)),IF(AND($L$37=0,$P$34=0),"",$L$37-1),IF($R$17="Distrato",$E525,0)),MIN(X$38,$D$19),$P$20))-SUM($P525:W525)</f>
        <v>#VALUE!</v>
      </c>
      <c r="Y525" s="446" t="e">
        <f>IF(OR($B525="",MIN(Y$38,$D$19)&lt;MAX($P$34*($B525+IF($R$17="Distrato",$I$38-1,0)),IF(AND($L$37=0,$P$34=0),"",$L$37-1),IF($R$17="Distrato",$E525,0))),0,YEARFRAC(MAX($P$34*($B525+IF($R$17="Distrato",$I$38-1,0)),IF(AND($L$37=0,$P$34=0),"",$L$37-1),IF($R$17="Distrato",$E525,0)),MIN(Y$38,$D$19),$P$20))-SUM($P525:X525)</f>
        <v>#VALUE!</v>
      </c>
      <c r="Z525" s="446" t="e">
        <f>IF(OR($B525="",MIN(Z$38,$D$19)&lt;MAX($P$34*($B525+IF($R$17="Distrato",$I$38-1,0)),IF(AND($L$37=0,$P$34=0),"",$L$37-1),IF($R$17="Distrato",$E525,0))),0,YEARFRAC(MAX($P$34*($B525+IF($R$17="Distrato",$I$38-1,0)),IF(AND($L$37=0,$P$34=0),"",$L$37-1),IF($R$17="Distrato",$E525,0)),MIN(Z$38,$D$19),$P$20))-SUM($P525:Y525)</f>
        <v>#VALUE!</v>
      </c>
      <c r="AA525" s="446" t="e">
        <f>IF(OR($B525="",MIN(AA$38,$D$19)&lt;MAX($P$34*($B525+IF($R$17="Distrato",$I$38-1,0)),IF(AND($L$37=0,$P$34=0),"",$L$37-1),IF($R$17="Distrato",$E525,0))),0,YEARFRAC(MAX($P$34*($B525+IF($R$17="Distrato",$I$38-1,0)),IF(AND($L$37=0,$P$34=0),"",$L$37-1),IF($R$17="Distrato",$E525,0)),MIN(AA$38,$D$19),$P$20))-SUM($P525:Z525)</f>
        <v>#VALUE!</v>
      </c>
      <c r="AB525" s="446" t="e">
        <f>IF(OR($B525="",MIN(AB$38,$D$19)&lt;MAX($P$34*($B525+IF($R$17="Distrato",$I$38-1,0)),IF(AND($L$37=0,$P$34=0),"",$L$37-1),IF($R$17="Distrato",$E525,0))),0,YEARFRAC(MAX($P$34*($B525+IF($R$17="Distrato",$I$38-1,0)),IF(AND($L$37=0,$P$34=0),"",$L$37-1),IF($R$17="Distrato",$E525,0)),MIN(AB$38,$D$19),$P$20))-SUM($P525:AA525)</f>
        <v>#VALUE!</v>
      </c>
      <c r="AC525" s="446" t="e">
        <f>IF(OR($B525="",MIN(AC$38,$D$19)&lt;MAX($P$34*($B525+IF($R$17="Distrato",$I$38-1,0)),IF(AND($L$37=0,$P$34=0),"",$L$37-1),IF($R$17="Distrato",$E525,0))),0,YEARFRAC(MAX($P$34*($B525+IF($R$17="Distrato",$I$38-1,0)),IF(AND($L$37=0,$P$34=0),"",$L$37-1),IF($R$17="Distrato",$E525,0)),MIN(AC$38,$D$19),$P$20))-SUM($P525:AB525)</f>
        <v>#VALUE!</v>
      </c>
      <c r="AD525" s="446" t="e">
        <f>IF(OR($B525="",MIN(AD$38,$D$19)&lt;MAX($P$34*($B525+IF($R$17="Distrato",$I$38-1,0)),IF(AND($L$37=0,$P$34=0),"",$L$37-1),IF($R$17="Distrato",$E525,0))),0,YEARFRAC(MAX($P$34*($B525+IF($R$17="Distrato",$I$38-1,0)),IF(AND($L$37=0,$P$34=0),"",$L$37-1),IF($R$17="Distrato",$E525,0)),MIN(AD$38,$D$19),$P$20))-SUM($P525:AC525)</f>
        <v>#VALUE!</v>
      </c>
      <c r="AE525" s="446" t="e">
        <f>IF(OR($B525="",MIN(AE$38,$D$19)&lt;MAX($P$34*($B525+IF($R$17="Distrato",$I$38-1,0)),IF(AND($L$37=0,$P$34=0),"",$L$37-1),IF($R$17="Distrato",$E525,0))),0,YEARFRAC(MAX($P$34*($B525+IF($R$17="Distrato",$I$38-1,0)),IF(AND($L$37=0,$P$34=0),"",$L$37-1),IF($R$17="Distrato",$E525,0)),MIN(AE$38,$D$19),$P$20))-SUM($P525:AD525)</f>
        <v>#VALUE!</v>
      </c>
      <c r="AF525" s="446" t="e">
        <f>IF(OR($B525="",MIN(AF$38,$D$19)&lt;MAX($P$34*($B525+IF($R$17="Distrato",$I$38-1,0)),IF(AND($L$37=0,$P$34=0),"",$L$37-1),IF($R$17="Distrato",$E525,0))),0,YEARFRAC(MAX($P$34*($B525+IF($R$17="Distrato",$I$38-1,0)),IF(AND($L$37=0,$P$34=0),"",$L$37-1),IF($R$17="Distrato",$E525,0)),MIN(AF$38,$D$19),$P$20))-SUM($P525:AE525)</f>
        <v>#VALUE!</v>
      </c>
      <c r="AG525" s="446" t="e">
        <f>IF(OR($B525="",MIN(AG$38,$D$19)&lt;MAX($P$34*($B525+IF($R$17="Distrato",$I$38-1,0)),IF(AND($L$37=0,$P$34=0),"",$L$37-1),IF($R$17="Distrato",$E525,0))),0,YEARFRAC(MAX($P$34*($B525+IF($R$17="Distrato",$I$38-1,0)),IF(AND($L$37=0,$P$34=0),"",$L$37-1),IF($R$17="Distrato",$E525,0)),MIN(AG$38,$D$19),$P$20))-SUM($P525:AF525)</f>
        <v>#VALUE!</v>
      </c>
      <c r="AH525" s="446" t="e">
        <f>IF(OR($B525="",MIN(AH$38,$D$19)&lt;MAX($P$34*($B525+IF($R$17="Distrato",$I$38-1,0)),IF(AND($L$37=0,$P$34=0),"",$L$37-1),IF($R$17="Distrato",$E525,0))),0,YEARFRAC(MAX($P$34*($B525+IF($R$17="Distrato",$I$38-1,0)),IF(AND($L$37=0,$P$34=0),"",$L$37-1),IF($R$17="Distrato",$E525,0)),MIN(AH$38,$D$19),$P$20))-SUM($P525:AG525)</f>
        <v>#VALUE!</v>
      </c>
      <c r="AI525" s="446" t="e">
        <f>IF(OR($B525="",MIN(AI$38,$D$19)&lt;MAX($P$34*($B525+IF($R$17="Distrato",$I$38-1,0)),IF(AND($L$37=0,$P$34=0),"",$L$37-1),IF($R$17="Distrato",$E525,0))),0,YEARFRAC(MAX($P$34*($B525+IF($R$17="Distrato",$I$38-1,0)),IF(AND($L$37=0,$P$34=0),"",$L$37-1),IF($R$17="Distrato",$E525,0)),MIN(AI$38,$D$19),$P$20))-SUM($P525:AH525)</f>
        <v>#VALUE!</v>
      </c>
      <c r="AJ525" s="446" t="e">
        <f>IF(OR($B525="",MIN(AJ$38,$D$19)&lt;MAX($P$34*($B525+IF($R$17="Distrato",$I$38-1,0)),IF(AND($L$37=0,$P$34=0),"",$L$37-1),IF($R$17="Distrato",$E525,0))),0,YEARFRAC(MAX($P$34*($B525+IF($R$17="Distrato",$I$38-1,0)),IF(AND($L$37=0,$P$34=0),"",$L$37-1),IF($R$17="Distrato",$E525,0)),MIN(AJ$38,$D$19),$P$20))-SUM($P525:AI525)</f>
        <v>#VALUE!</v>
      </c>
      <c r="AK525" s="446" t="e">
        <f>IF(OR($B525="",MIN(AK$38,$D$19)&lt;MAX($P$34*($B525+IF($R$17="Distrato",$I$38-1,0)),IF(AND($L$37=0,$P$34=0),"",$L$37-1),IF($R$17="Distrato",$E525,0))),0,YEARFRAC(MAX($P$34*($B525+IF($R$17="Distrato",$I$38-1,0)),IF(AND($L$37=0,$P$34=0),"",$L$37-1),IF($R$17="Distrato",$E525,0)),MIN(AK$38,$D$19),$P$20))-SUM($P525:AJ525)</f>
        <v>#VALUE!</v>
      </c>
      <c r="AL525" s="446" t="e">
        <f>IF(OR($B525="",MIN(AL$38,$D$19)&lt;MAX($P$34*($B525+IF($R$17="Distrato",$I$38-1,0)),IF(AND($L$37=0,$P$34=0),"",$L$37-1),IF($R$17="Distrato",$E525,0))),0,YEARFRAC(MAX($P$34*($B525+IF($R$17="Distrato",$I$38-1,0)),IF(AND($L$37=0,$P$34=0),"",$L$37-1),IF($R$17="Distrato",$E525,0)),MIN(AL$38,$D$19),$P$20))-SUM($P525:AK525)</f>
        <v>#VALUE!</v>
      </c>
      <c r="AM525" s="446" t="e">
        <f>IF(OR($B525="",MIN(AM$38,$D$19)&lt;MAX($P$34*($B525+IF($R$17="Distrato",$I$38-1,0)),IF(AND($L$37=0,$P$34=0),"",$L$37-1),IF($R$17="Distrato",$E525,0))),0,YEARFRAC(MAX($P$34*($B525+IF($R$17="Distrato",$I$38-1,0)),IF(AND($L$37=0,$P$34=0),"",$L$37-1),IF($R$17="Distrato",$E525,0)),MIN(AM$38,$D$19),$P$20))-SUM($P525:AL525)</f>
        <v>#VALUE!</v>
      </c>
      <c r="AN525" s="446" t="e">
        <f>IF(OR($B525="",MIN(AN$38,$D$19)&lt;MAX($P$34*($B525+IF($R$17="Distrato",$I$38-1,0)),IF(AND($L$37=0,$P$34=0),"",$L$37-1),IF($R$17="Distrato",$E525,0))),0,YEARFRAC(MAX($P$34*($B525+IF($R$17="Distrato",$I$38-1,0)),IF(AND($L$37=0,$P$34=0),"",$L$37-1),IF($R$17="Distrato",$E525,0)),MIN(AN$38,$D$19),$P$20))-SUM($P525:AM525)</f>
        <v>#VALUE!</v>
      </c>
      <c r="AO525" s="446" t="e">
        <f>IF(OR($B525="",MIN(AO$38,$D$19)&lt;MAX($P$34*($B525+IF($R$17="Distrato",$I$38-1,0)),IF(AND($L$37=0,$P$34=0),"",$L$37-1),IF($R$17="Distrato",$E525,0))),0,YEARFRAC(MAX($P$34*($B525+IF($R$17="Distrato",$I$38-1,0)),IF(AND($L$37=0,$P$34=0),"",$L$37-1),IF($R$17="Distrato",$E525,0)),MIN(AO$38,$D$19),$P$20))-SUM($P525:AN525)</f>
        <v>#VALUE!</v>
      </c>
      <c r="AP525" s="446" t="e">
        <f>IF(OR($B525="",MIN(AP$38,$D$19)&lt;MAX($P$34*($B525+IF($R$17="Distrato",$I$38-1,0)),IF(AND($L$37=0,$P$34=0),"",$L$37-1),IF($R$17="Distrato",$E525,0))),0,YEARFRAC(MAX($P$34*($B525+IF($R$17="Distrato",$I$38-1,0)),IF(AND($L$37=0,$P$34=0),"",$L$37-1),IF($R$17="Distrato",$E525,0)),MIN(AP$38,$D$19),$P$20))-SUM($P525:AO525)</f>
        <v>#VALUE!</v>
      </c>
      <c r="AQ525" s="446" t="e">
        <f>IF(OR($B525="",MIN(AQ$38,$D$19)&lt;MAX($P$34*($B525+IF($R$17="Distrato",$I$38-1,0)),IF(AND($L$37=0,$P$34=0),"",$L$37-1),IF($R$17="Distrato",$E525,0))),0,YEARFRAC(MAX($P$34*($B525+IF($R$17="Distrato",$I$38-1,0)),IF(AND($L$37=0,$P$34=0),"",$L$37-1),IF($R$17="Distrato",$E525,0)),MIN(AQ$38,$D$19),$P$20))-SUM($P525:AP525)</f>
        <v>#VALUE!</v>
      </c>
      <c r="AR525" s="446" t="e">
        <f>IF(OR($B525="",MIN(AR$38,$D$19)&lt;MAX($P$34*($B525+IF($R$17="Distrato",$I$38-1,0)),IF(AND($L$37=0,$P$34=0),"",$L$37-1),IF($R$17="Distrato",$E525,0))),0,YEARFRAC(MAX($P$34*($B525+IF($R$17="Distrato",$I$38-1,0)),IF(AND($L$37=0,$P$34=0),"",$L$37-1),IF($R$17="Distrato",$E525,0)),MIN(AR$38,$D$19),$P$20))-SUM($P525:AQ525)</f>
        <v>#VALUE!</v>
      </c>
      <c r="AS525" s="446" t="e">
        <f>IF(OR($B525="",MIN(AS$38,$D$19)&lt;MAX($P$34*($B525+IF($R$17="Distrato",$I$38-1,0)),IF(AND($L$37=0,$P$34=0),"",$L$37-1),IF($R$17="Distrato",$E525,0))),0,YEARFRAC(MAX($P$34*($B525+IF($R$17="Distrato",$I$38-1,0)),IF(AND($L$37=0,$P$34=0),"",$L$37-1),IF($R$17="Distrato",$E525,0)),MIN(AS$38,$D$19),$P$20))-SUM($P525:AR525)</f>
        <v>#VALUE!</v>
      </c>
      <c r="AT525" s="446" t="e">
        <f>IF(OR($B525="",MIN(AT$38,$D$19)&lt;MAX($P$34*($B525+IF($R$17="Distrato",$I$38-1,0)),IF(AND($L$37=0,$P$34=0),"",$L$37-1),IF($R$17="Distrato",$E525,0))),0,YEARFRAC(MAX($P$34*($B525+IF($R$17="Distrato",$I$38-1,0)),IF(AND($L$37=0,$P$34=0),"",$L$37-1),IF($R$17="Distrato",$E525,0)),MIN(AT$38,$D$19),$P$20))-SUM($P525:AS525)</f>
        <v>#VALUE!</v>
      </c>
      <c r="AU525" s="446" t="e">
        <f>IF(OR($B525="",MIN(AU$38,$D$19)&lt;MAX($P$34*($B525+IF($R$17="Distrato",$I$38-1,0)),IF(AND($L$37=0,$P$34=0),"",$L$37-1),IF($R$17="Distrato",$E525,0))),0,YEARFRAC(MAX($P$34*($B525+IF($R$17="Distrato",$I$38-1,0)),IF(AND($L$37=0,$P$34=0),"",$L$37-1),IF($R$17="Distrato",$E525,0)),MIN(AU$38,$D$19),$P$20))-SUM($P525:AT525)</f>
        <v>#VALUE!</v>
      </c>
      <c r="AV525" s="446" t="e">
        <f>IF(OR($B525="",MIN(AV$38,$D$19)&lt;MAX($P$34*($B525+IF($R$17="Distrato",$I$38-1,0)),IF(AND($L$37=0,$P$34=0),"",$L$37-1),IF($R$17="Distrato",$E525,0))),0,YEARFRAC(MAX($P$34*($B525+IF($R$17="Distrato",$I$38-1,0)),IF(AND($L$37=0,$P$34=0),"",$L$37-1),IF($R$17="Distrato",$E525,0)),MIN(AV$38,$D$19),$P$20))-SUM($P525:AU525)</f>
        <v>#VALUE!</v>
      </c>
      <c r="AW525" s="446" t="e">
        <f>IF(OR($B525="",MIN(AW$38,$D$19)&lt;MAX($P$34*($B525+IF($R$17="Distrato",$I$38-1,0)),IF(AND($L$37=0,$P$34=0),"",$L$37-1),IF($R$17="Distrato",$E525,0))),0,YEARFRAC(MAX($P$34*($B525+IF($R$17="Distrato",$I$38-1,0)),IF(AND($L$37=0,$P$34=0),"",$L$37-1),IF($R$17="Distrato",$E525,0)),MIN(AW$38,$D$19),$P$20))-SUM($P525:AV525)</f>
        <v>#VALUE!</v>
      </c>
      <c r="AX525" s="446" t="e">
        <f>IF(OR($B525="",MIN(AX$38,$D$19)&lt;MAX($P$34*($B525+IF($R$17="Distrato",$I$38-1,0)),IF(AND($L$37=0,$P$34=0),"",$L$37-1),IF($R$17="Distrato",$E525,0))),0,YEARFRAC(MAX($P$34*($B525+IF($R$17="Distrato",$I$38-1,0)),IF(AND($L$37=0,$P$34=0),"",$L$37-1),IF($R$17="Distrato",$E525,0)),MIN(AX$38,$D$19),$P$20))-SUM($P525:AW525)</f>
        <v>#VALUE!</v>
      </c>
      <c r="AY525" s="446" t="e">
        <f>IF(OR($B525="",MIN(AY$38,$D$19)&lt;MAX($P$34*($B525+IF($R$17="Distrato",$I$38-1,0)),IF(AND($L$37=0,$P$34=0),"",$L$37-1),IF($R$17="Distrato",$E525,0))),0,YEARFRAC(MAX($P$34*($B525+IF($R$17="Distrato",$I$38-1,0)),IF(AND($L$37=0,$P$34=0),"",$L$37-1),IF($R$17="Distrato",$E525,0)),MIN(AY$38,$D$19),$P$20))-SUM($P525:AX525)</f>
        <v>#VALUE!</v>
      </c>
      <c r="AZ525" s="446" t="e">
        <f>IF(OR($B525="",MIN(AZ$38,$D$19)&lt;MAX($P$34*($B525+IF($R$17="Distrato",$I$38-1,0)),IF(AND($L$37=0,$P$34=0),"",$L$37-1),IF($R$17="Distrato",$E525,0))),0,YEARFRAC(MAX($P$34*($B525+IF($R$17="Distrato",$I$38-1,0)),IF(AND($L$37=0,$P$34=0),"",$L$37-1),IF($R$17="Distrato",$E525,0)),MIN(AZ$38,$D$19),$P$20))-SUM($P525:AY525)</f>
        <v>#VALUE!</v>
      </c>
      <c r="BA525" s="446" t="e">
        <f>IF(OR($B525="",MIN(BA$38,$D$19)&lt;MAX($P$34*($B525+IF($R$17="Distrato",$I$38-1,0)),IF(AND($L$37=0,$P$34=0),"",$L$37-1),IF($R$17="Distrato",$E525,0))),0,YEARFRAC(MAX($P$34*($B525+IF($R$17="Distrato",$I$38-1,0)),IF(AND($L$37=0,$P$34=0),"",$L$37-1),IF($R$17="Distrato",$E525,0)),MIN(BA$38,$D$19),$P$20))-SUM($P525:AZ525)</f>
        <v>#VALUE!</v>
      </c>
      <c r="BB525" s="447"/>
      <c r="BF525" s="446">
        <f t="shared" si="87"/>
        <v>0</v>
      </c>
      <c r="BG525" s="446">
        <f>IF($E525=0,0,IF(MIN(BG$38,$E525)&lt;MAX($P$34*($B525+$I$38-1),IF(AND($L$37=0,$P$34=0),"",$L$37-1)),0,YEARFRAC(MAX($P$34*($B525+$I$38-1),IF(AND($L$37=0,$P$34=0),"",$L$37-1)),MIN(BG$38,$E525),$P$20))-SUM($BF525:BF525))</f>
        <v>0</v>
      </c>
      <c r="BH525" s="446">
        <f>IF($E525=0,0,IF(MIN(BH$38,$E525)&lt;MAX($P$34*($B525+$I$38-1),IF(AND($L$37=0,$P$34=0),"",$L$37-1)),0,YEARFRAC(MAX($P$34*($B525+$I$38-1),IF(AND($L$37=0,$P$34=0),"",$L$37-1)),MIN(BH$38,$E525),$P$20))-SUM($BF525:BG525))</f>
        <v>0</v>
      </c>
      <c r="BI525" s="446">
        <f>IF($E525=0,0,IF(MIN(BI$38,$E525)&lt;MAX($P$34*($B525+$I$38-1),IF(AND($L$37=0,$P$34=0),"",$L$37-1)),0,YEARFRAC(MAX($P$34*($B525+$I$38-1),IF(AND($L$37=0,$P$34=0),"",$L$37-1)),MIN(BI$38,$E525),$P$20))-SUM($BF525:BH525))</f>
        <v>0</v>
      </c>
      <c r="BJ525" s="446">
        <f>IF($E525=0,0,IF(MIN(BJ$38,$E525)&lt;MAX($P$34*($B525+$I$38-1),IF(AND($L$37=0,$P$34=0),"",$L$37-1)),0,YEARFRAC(MAX($P$34*($B525+$I$38-1),IF(AND($L$37=0,$P$34=0),"",$L$37-1)),MIN(BJ$38,$E525),$P$20))-SUM($BF525:BI525))</f>
        <v>0</v>
      </c>
      <c r="BK525" s="446">
        <f>IF($E525=0,0,IF(MIN(BK$38,$E525)&lt;MAX($P$34*($B525+$I$38-1),IF(AND($L$37=0,$P$34=0),"",$L$37-1)),0,YEARFRAC(MAX($P$34*($B525+$I$38-1),IF(AND($L$37=0,$P$34=0),"",$L$37-1)),MIN(BK$38,$E525),$P$20))-SUM($BF525:BJ525))</f>
        <v>0</v>
      </c>
      <c r="BL525" s="446">
        <f>IF($E525=0,0,IF(MIN(BL$38,$E525)&lt;MAX($P$34*($B525+$I$38-1),IF(AND($L$37=0,$P$34=0),"",$L$37-1)),0,YEARFRAC(MAX($P$34*($B525+$I$38-1),IF(AND($L$37=0,$P$34=0),"",$L$37-1)),MIN(BL$38,$E525),$P$20))-SUM($BF525:BK525))</f>
        <v>0</v>
      </c>
      <c r="BM525" s="446">
        <f>IF($E525=0,0,IF(MIN(BM$38,$E525)&lt;MAX($P$34*($B525+$I$38-1),IF(AND($L$37=0,$P$34=0),"",$L$37-1)),0,YEARFRAC(MAX($P$34*($B525+$I$38-1),IF(AND($L$37=0,$P$34=0),"",$L$37-1)),MIN(BM$38,$E525),$P$20))-SUM($BF525:BL525))</f>
        <v>0</v>
      </c>
      <c r="BN525" s="446">
        <f>IF($E525=0,0,IF(MIN(BN$38,$E525)&lt;MAX($P$34*($B525+$I$38-1),IF(AND($L$37=0,$P$34=0),"",$L$37-1)),0,YEARFRAC(MAX($P$34*($B525+$I$38-1),IF(AND($L$37=0,$P$34=0),"",$L$37-1)),MIN(BN$38,$E525),$P$20))-SUM($BF525:BM525))</f>
        <v>0</v>
      </c>
      <c r="BO525" s="446">
        <f>IF($E525=0,0,IF(MIN(BO$38,$E525)&lt;MAX($P$34*($B525+$I$38-1),IF(AND($L$37=0,$P$34=0),"",$L$37-1)),0,YEARFRAC(MAX($P$34*($B525+$I$38-1),IF(AND($L$37=0,$P$34=0),"",$L$37-1)),MIN(BO$38,$E525),$P$20))-SUM($BF525:BN525))</f>
        <v>0</v>
      </c>
      <c r="BP525" s="446">
        <f>IF($E525=0,0,IF(MIN(BP$38,$E525)&lt;MAX($P$34*($B525+$I$38-1),IF(AND($L$37=0,$P$34=0),"",$L$37-1)),0,YEARFRAC(MAX($P$34*($B525+$I$38-1),IF(AND($L$37=0,$P$34=0),"",$L$37-1)),MIN(BP$38,$E525),$P$20))-SUM($BF525:BO525))</f>
        <v>0</v>
      </c>
      <c r="BQ525" s="446">
        <f>IF($E525=0,0,IF(MIN(BQ$38,$E525)&lt;MAX($P$34*($B525+$I$38-1),IF(AND($L$37=0,$P$34=0),"",$L$37-1)),0,YEARFRAC(MAX($P$34*($B525+$I$38-1),IF(AND($L$37=0,$P$34=0),"",$L$37-1)),MIN(BQ$38,$E525),$P$20))-SUM($BF525:BP525))</f>
        <v>0</v>
      </c>
      <c r="BR525" s="446">
        <f>IF($E525=0,0,IF(MIN(BR$38,$E525)&lt;MAX($P$34*($B525+$I$38-1),IF(AND($L$37=0,$P$34=0),"",$L$37-1)),0,YEARFRAC(MAX($P$34*($B525+$I$38-1),IF(AND($L$37=0,$P$34=0),"",$L$37-1)),MIN(BR$38,$E525),$P$20))-SUM($BF525:BQ525))</f>
        <v>0</v>
      </c>
      <c r="BS525" s="446">
        <f>IF($E525=0,0,IF(MIN(BS$38,$E525)&lt;MAX($P$34*($B525+$I$38-1),IF(AND($L$37=0,$P$34=0),"",$L$37-1)),0,YEARFRAC(MAX($P$34*($B525+$I$38-1),IF(AND($L$37=0,$P$34=0),"",$L$37-1)),MIN(BS$38,$E525),$P$20))-SUM($BF525:BR525))</f>
        <v>0</v>
      </c>
      <c r="BT525" s="446">
        <f>IF($E525=0,0,IF(MIN(BT$38,$E525)&lt;MAX($P$34*($B525+$I$38-1),IF(AND($L$37=0,$P$34=0),"",$L$37-1)),0,YEARFRAC(MAX($P$34*($B525+$I$38-1),IF(AND($L$37=0,$P$34=0),"",$L$37-1)),MIN(BT$38,$E525),$P$20))-SUM($BF525:BS525))</f>
        <v>0</v>
      </c>
      <c r="BU525" s="446">
        <f>IF($E525=0,0,IF(MIN(BU$38,$E525)&lt;MAX($P$34*($B525+$I$38-1),IF(AND($L$37=0,$P$34=0),"",$L$37-1)),0,YEARFRAC(MAX($P$34*($B525+$I$38-1),IF(AND($L$37=0,$P$34=0),"",$L$37-1)),MIN(BU$38,$E525),$P$20))-SUM($BF525:BT525))</f>
        <v>0</v>
      </c>
      <c r="BV525" s="446">
        <f>IF($E525=0,0,IF(MIN(BV$38,$E525)&lt;MAX($P$34*($B525+$I$38-1),IF(AND($L$37=0,$P$34=0),"",$L$37-1)),0,YEARFRAC(MAX($P$34*($B525+$I$38-1),IF(AND($L$37=0,$P$34=0),"",$L$37-1)),MIN(BV$38,$E525),$P$20))-SUM($BF525:BU525))</f>
        <v>0</v>
      </c>
      <c r="BW525" s="446">
        <f>IF($E525=0,0,IF(MIN(BW$38,$E525)&lt;MAX($P$34*($B525+$I$38-1),IF(AND($L$37=0,$P$34=0),"",$L$37-1)),0,YEARFRAC(MAX($P$34*($B525+$I$38-1),IF(AND($L$37=0,$P$34=0),"",$L$37-1)),MIN(BW$38,$E525),$P$20))-SUM($BF525:BV525))</f>
        <v>0</v>
      </c>
      <c r="BX525" s="446">
        <f>IF($E525=0,0,IF(MIN(BX$38,$E525)&lt;MAX($P$34*($B525+$I$38-1),IF(AND($L$37=0,$P$34=0),"",$L$37-1)),0,YEARFRAC(MAX($P$34*($B525+$I$38-1),IF(AND($L$37=0,$P$34=0),"",$L$37-1)),MIN(BX$38,$E525),$P$20))-SUM($BF525:BW525))</f>
        <v>0</v>
      </c>
      <c r="BY525" s="446">
        <f>IF($E525=0,0,IF(MIN(BY$38,$E525)&lt;MAX($P$34*($B525+$I$38-1),IF(AND($L$37=0,$P$34=0),"",$L$37-1)),0,YEARFRAC(MAX($P$34*($B525+$I$38-1),IF(AND($L$37=0,$P$34=0),"",$L$37-1)),MIN(BY$38,$E525),$P$20))-SUM($BF525:BX525))</f>
        <v>0</v>
      </c>
      <c r="BZ525" s="446">
        <f>IF($E525=0,0,IF(MIN(BZ$38,$E525)&lt;MAX($P$34*($B525+$I$38-1),IF(AND($L$37=0,$P$34=0),"",$L$37-1)),0,YEARFRAC(MAX($P$34*($B525+$I$38-1),IF(AND($L$37=0,$P$34=0),"",$L$37-1)),MIN(BZ$38,$E525),$P$20))-SUM($BF525:BY525))</f>
        <v>0</v>
      </c>
      <c r="CA525" s="446">
        <f>IF($E525=0,0,IF(MIN(CA$38,$E525)&lt;MAX($P$34*($B525+$I$38-1),IF(AND($L$37=0,$P$34=0),"",$L$37-1)),0,YEARFRAC(MAX($P$34*($B525+$I$38-1),IF(AND($L$37=0,$P$34=0),"",$L$37-1)),MIN(CA$38,$E525),$P$20))-SUM($BF525:BZ525))</f>
        <v>0</v>
      </c>
      <c r="CB525" s="446">
        <f>IF($E525=0,0,IF(MIN(CB$38,$E525)&lt;MAX($P$34*($B525+$I$38-1),IF(AND($L$37=0,$P$34=0),"",$L$37-1)),0,YEARFRAC(MAX($P$34*($B525+$I$38-1),IF(AND($L$37=0,$P$34=0),"",$L$37-1)),MIN(CB$38,$E525),$P$20))-SUM($BF525:CA525))</f>
        <v>0</v>
      </c>
      <c r="CC525" s="446">
        <f>IF($E525=0,0,IF(MIN(CC$38,$E525)&lt;MAX($P$34*($B525+$I$38-1),IF(AND($L$37=0,$P$34=0),"",$L$37-1)),0,YEARFRAC(MAX($P$34*($B525+$I$38-1),IF(AND($L$37=0,$P$34=0),"",$L$37-1)),MIN(CC$38,$E525),$P$20))-SUM($BF525:CB525))</f>
        <v>0</v>
      </c>
      <c r="CD525" s="446">
        <f>IF($E525=0,0,IF(MIN(CD$38,$E525)&lt;MAX($P$34*($B525+$I$38-1),IF(AND($L$37=0,$P$34=0),"",$L$37-1)),0,YEARFRAC(MAX($P$34*($B525+$I$38-1),IF(AND($L$37=0,$P$34=0),"",$L$37-1)),MIN(CD$38,$E525),$P$20))-SUM($BF525:CC525))</f>
        <v>0</v>
      </c>
      <c r="CE525" s="446">
        <f>IF($E525=0,0,IF(MIN(CE$38,$E525)&lt;MAX($P$34*($B525+$I$38-1),IF(AND($L$37=0,$P$34=0),"",$L$37-1)),0,YEARFRAC(MAX($P$34*($B525+$I$38-1),IF(AND($L$37=0,$P$34=0),"",$L$37-1)),MIN(CE$38,$E525),$P$20))-SUM($BF525:CD525))</f>
        <v>0</v>
      </c>
      <c r="CF525" s="446">
        <f>IF($E525=0,0,IF(MIN(CF$38,$E525)&lt;MAX($P$34*($B525+$I$38-1),IF(AND($L$37=0,$P$34=0),"",$L$37-1)),0,YEARFRAC(MAX($P$34*($B525+$I$38-1),IF(AND($L$37=0,$P$34=0),"",$L$37-1)),MIN(CF$38,$E525),$P$20))-SUM($BF525:CE525))</f>
        <v>0</v>
      </c>
      <c r="CG525" s="446">
        <f>IF($E525=0,0,IF(MIN(CG$38,$E525)&lt;MAX($P$34*($B525+$I$38-1),IF(AND($L$37=0,$P$34=0),"",$L$37-1)),0,YEARFRAC(MAX($P$34*($B525+$I$38-1),IF(AND($L$37=0,$P$34=0),"",$L$37-1)),MIN(CG$38,$E525),$P$20))-SUM($BF525:CF525))</f>
        <v>0</v>
      </c>
      <c r="CH525" s="446">
        <f>IF($E525=0,0,IF(MIN(CH$38,$E525)&lt;MAX($P$34*($B525+$I$38-1),IF(AND($L$37=0,$P$34=0),"",$L$37-1)),0,YEARFRAC(MAX($P$34*($B525+$I$38-1),IF(AND($L$37=0,$P$34=0),"",$L$37-1)),MIN(CH$38,$E525),$P$20))-SUM($BF525:CG525))</f>
        <v>0</v>
      </c>
      <c r="CI525" s="446">
        <f>IF($E525=0,0,IF(MIN(CI$38,$E525)&lt;MAX($P$34*($B525+$I$38-1),IF(AND($L$37=0,$P$34=0),"",$L$37-1)),0,YEARFRAC(MAX($P$34*($B525+$I$38-1),IF(AND($L$37=0,$P$34=0),"",$L$37-1)),MIN(CI$38,$E525),$P$20))-SUM($BF525:CH525))</f>
        <v>0</v>
      </c>
      <c r="CJ525" s="446">
        <f>IF($E525=0,0,IF(MIN(CJ$38,$E525)&lt;MAX($P$34*($B525+$I$38-1),IF(AND($L$37=0,$P$34=0),"",$L$37-1)),0,YEARFRAC(MAX($P$34*($B525+$I$38-1),IF(AND($L$37=0,$P$34=0),"",$L$37-1)),MIN(CJ$38,$E525),$P$20))-SUM($BF525:CI525))</f>
        <v>0</v>
      </c>
      <c r="CK525" s="446">
        <f>IF($E525=0,0,IF(MIN(CK$38,$E525)&lt;MAX($P$34*($B525+$I$38-1),IF(AND($L$37=0,$P$34=0),"",$L$37-1)),0,YEARFRAC(MAX($P$34*($B525+$I$38-1),IF(AND($L$37=0,$P$34=0),"",$L$37-1)),MIN(CK$38,$E525),$P$20))-SUM($BF525:CJ525))</f>
        <v>0</v>
      </c>
      <c r="CL525" s="446">
        <f>IF($E525=0,0,IF(MIN(CL$38,$E525)&lt;MAX($P$34*($B525+$I$38-1),IF(AND($L$37=0,$P$34=0),"",$L$37-1)),0,YEARFRAC(MAX($P$34*($B525+$I$38-1),IF(AND($L$37=0,$P$34=0),"",$L$37-1)),MIN(CL$38,$E525),$P$20))-SUM($BF525:CK525))</f>
        <v>0</v>
      </c>
      <c r="CM525" s="446">
        <f>IF($E525=0,0,IF(MIN(CM$38,$E525)&lt;MAX($P$34*($B525+$I$38-1),IF(AND($L$37=0,$P$34=0),"",$L$37-1)),0,YEARFRAC(MAX($P$34*($B525+$I$38-1),IF(AND($L$37=0,$P$34=0),"",$L$37-1)),MIN(CM$38,$E525),$P$20))-SUM($BF525:CL525))</f>
        <v>0</v>
      </c>
      <c r="CN525" s="446">
        <f>IF($E525=0,0,IF(MIN(CN$38,$E525)&lt;MAX($P$34*($B525+$I$38-1),IF(AND($L$37=0,$P$34=0),"",$L$37-1)),0,YEARFRAC(MAX($P$34*($B525+$I$38-1),IF(AND($L$37=0,$P$34=0),"",$L$37-1)),MIN(CN$38,$E525),$P$20))-SUM($BF525:CM525))</f>
        <v>0</v>
      </c>
      <c r="CO525" s="446">
        <f>IF($E525=0,0,IF(MIN(CO$38,$E525)&lt;MAX($P$34*($B525+$I$38-1),IF(AND($L$37=0,$P$34=0),"",$L$37-1)),0,YEARFRAC(MAX($P$34*($B525+$I$38-1),IF(AND($L$37=0,$P$34=0),"",$L$37-1)),MIN(CO$38,$E525),$P$20))-SUM($BF525:CN525))</f>
        <v>0</v>
      </c>
      <c r="CP525" s="446">
        <f>IF($E525=0,0,IF(MIN(CP$38,$E525)&lt;MAX($P$34*($B525+$I$38-1),IF(AND($L$37=0,$P$34=0),"",$L$37-1)),0,YEARFRAC(MAX($P$34*($B525+$I$38-1),IF(AND($L$37=0,$P$34=0),"",$L$37-1)),MIN(CP$38,$E525),$P$20))-SUM($BF525:CO525))</f>
        <v>0</v>
      </c>
      <c r="CQ525" s="446">
        <f>IF($E525=0,0,IF(MIN(CQ$38,$E525)&lt;MAX($P$34*($B525+$I$38-1),IF(AND($L$37=0,$P$34=0),"",$L$37-1)),0,YEARFRAC(MAX($P$34*($B525+$I$38-1),IF(AND($L$37=0,$P$34=0),"",$L$37-1)),MIN(CQ$38,$E525),$P$20))-SUM($BF525:CP525))</f>
        <v>0</v>
      </c>
    </row>
    <row r="526" spans="1:95" s="446" customFormat="1" ht="11.25" hidden="1" customHeight="1" x14ac:dyDescent="0.2">
      <c r="A526" s="152"/>
      <c r="B526" s="153" t="str">
        <f t="shared" si="92"/>
        <v/>
      </c>
      <c r="C526" s="29" t="str">
        <f>IF(B526="","",IF($L$35="SELIC - TRIBUTOS",VLOOKUP(DATE(YEAR($D$19),MONTH($D$19)-1,1),ÍNDICES!$A:$DE,HLOOKUP($BL$25,ÍNDICES!$B$3:$T$4,2)+11)-VLOOKUP(B526,ÍNDICES!$A:$DE,HLOOKUP($BL$25,ÍNDICES!$B$3:$T$4,2)+11)+1%,IF(C$38=$W$26,$J$35,IF(ISERROR(IF(B526&gt;$D$19,1,VLOOKUP(DATE(YEAR(B526),MONTH(B526)+IF($C$35=$S$23,1,0),1),ÍNDICES!$A:$DE,$Z$35+1))),"",IF(B526&gt;$D$19,1,VLOOKUP(DATE(YEAR(B526),MONTH(B526)+IF($C$35=$S$23,1,0),1),ÍNDICES!$A:$DE,$Z$35+1))))))</f>
        <v/>
      </c>
      <c r="D526" s="154" t="str">
        <f>IF(ISERROR(IF(OR($D$38=$Y$27,$B526=""),"",VLOOKUP(B526,ÍNDICES!A:DE,AF$35+1))),"",IF(OR($D$38=$Y$27,$B526=""),"",VLOOKUP(B526,ÍNDICES!A:DE,AF$35+1)))</f>
        <v/>
      </c>
      <c r="E526" s="153"/>
      <c r="F526" s="29" t="str">
        <f>IF(E526="","",IF($L$35="SELIC - TRIBUTOS",VLOOKUP(DATE(YEAR($D$19),MONTH($D$19)-1,1),ÍNDICES!$A:$DE,HLOOKUP($BL$25,ÍNDICES!$B$3:$T$4,2)+11)-VLOOKUP(E526,ÍNDICES!$A:$DE,HLOOKUP($BL$25,ÍNDICES!$B$3:$T$4,2)+11)+1%,IF(F$38=$W$26,$J$35,IF(ISERROR(IF(E526&gt;$D$19,1,VLOOKUP(DATE(YEAR(E526),MONTH(E526)+IF($C$35=$S$23,1,0),1),ÍNDICES!$A:$DE,$Z$35+1))),"",IF(E526&gt;$D$19,1,VLOOKUP(DATE(YEAR(E526),MONTH(E526)+IF($C$35=$S$23,1,0),1),ÍNDICES!$A:$DE,$Z$35+1))))))</f>
        <v/>
      </c>
      <c r="G526" s="155"/>
      <c r="H526" s="156" t="str">
        <f t="shared" si="88"/>
        <v/>
      </c>
      <c r="I526" s="29" t="str">
        <f t="shared" si="82"/>
        <v/>
      </c>
      <c r="J526" s="5">
        <f t="shared" si="83"/>
        <v>0</v>
      </c>
      <c r="K526" s="20">
        <f t="shared" ca="1" si="84"/>
        <v>0</v>
      </c>
      <c r="L526" s="5">
        <f t="shared" ca="1" si="85"/>
        <v>0</v>
      </c>
      <c r="M526" s="64">
        <f t="shared" si="89"/>
        <v>0</v>
      </c>
      <c r="N526" s="61">
        <f t="shared" ca="1" si="90"/>
        <v>0</v>
      </c>
      <c r="O526" s="5">
        <f t="shared" ca="1" si="91"/>
        <v>0</v>
      </c>
      <c r="P526" s="446" t="e">
        <f t="shared" si="86"/>
        <v>#VALUE!</v>
      </c>
      <c r="Q526" s="446" t="e">
        <f>IF(OR($B526="",MIN(Q$38,$D$19)&lt;MAX($P$34*($B526+IF($R$17="Distrato",$I$38-1,0)),IF(AND($L$37=0,$P$34=0),"",$L$37-1),IF($R$17="Distrato",$E526,0))),0,YEARFRAC(MAX($P$34*($B526+IF($R$17="Distrato",$I$38-1,0)),IF(AND($L$37=0,$P$34=0),"",$L$37-1),IF($R$17="Distrato",$E526,0)),MIN(Q$38,$D$19),$P$20))-SUM($P526:P526)</f>
        <v>#VALUE!</v>
      </c>
      <c r="R526" s="446" t="e">
        <f>IF(OR($B526="",MIN(R$38,$D$19)&lt;MAX($P$34*($B526+IF($R$17="Distrato",$I$38-1,0)),IF(AND($L$37=0,$P$34=0),"",$L$37-1),IF($R$17="Distrato",$E526,0))),0,YEARFRAC(MAX($P$34*($B526+IF($R$17="Distrato",$I$38-1,0)),IF(AND($L$37=0,$P$34=0),"",$L$37-1),IF($R$17="Distrato",$E526,0)),MIN(R$38,$D$19),$P$20))-SUM($P526:Q526)</f>
        <v>#VALUE!</v>
      </c>
      <c r="S526" s="446" t="e">
        <f>IF(OR($B526="",MIN(S$38,$D$19)&lt;MAX($P$34*($B526+IF($R$17="Distrato",$I$38-1,0)),IF(AND($L$37=0,$P$34=0),"",$L$37-1),IF($R$17="Distrato",$E526,0))),0,YEARFRAC(MAX($P$34*($B526+IF($R$17="Distrato",$I$38-1,0)),IF(AND($L$37=0,$P$34=0),"",$L$37-1),IF($R$17="Distrato",$E526,0)),MIN(S$38,$D$19),$P$20))-SUM($P526:R526)</f>
        <v>#VALUE!</v>
      </c>
      <c r="T526" s="446" t="e">
        <f>IF(OR($B526="",MIN(T$38,$D$19)&lt;MAX($P$34*($B526+IF($R$17="Distrato",$I$38-1,0)),IF(AND($L$37=0,$P$34=0),"",$L$37-1),IF($R$17="Distrato",$E526,0))),0,YEARFRAC(MAX($P$34*($B526+IF($R$17="Distrato",$I$38-1,0)),IF(AND($L$37=0,$P$34=0),"",$L$37-1),IF($R$17="Distrato",$E526,0)),MIN(T$38,$D$19),$P$20))-SUM($P526:S526)</f>
        <v>#VALUE!</v>
      </c>
      <c r="U526" s="446" t="e">
        <f>IF(OR($B526="",MIN(U$38,$D$19)&lt;MAX($P$34*($B526+IF($R$17="Distrato",$I$38-1,0)),IF(AND($L$37=0,$P$34=0),"",$L$37-1),IF($R$17="Distrato",$E526,0))),0,YEARFRAC(MAX($P$34*($B526+IF($R$17="Distrato",$I$38-1,0)),IF(AND($L$37=0,$P$34=0),"",$L$37-1),IF($R$17="Distrato",$E526,0)),MIN(U$38,$D$19),$P$20))-SUM($P526:T526)</f>
        <v>#VALUE!</v>
      </c>
      <c r="V526" s="446" t="e">
        <f>IF(OR($B526="",MIN(V$38,$D$19)&lt;MAX($P$34*($B526+IF($R$17="Distrato",$I$38-1,0)),IF(AND($L$37=0,$P$34=0),"",$L$37-1),IF($R$17="Distrato",$E526,0))),0,YEARFRAC(MAX($P$34*($B526+IF($R$17="Distrato",$I$38-1,0)),IF(AND($L$37=0,$P$34=0),"",$L$37-1),IF($R$17="Distrato",$E526,0)),MIN(V$38,$D$19),$P$20))-SUM($P526:U526)</f>
        <v>#VALUE!</v>
      </c>
      <c r="W526" s="446" t="e">
        <f>IF(OR($B526="",MIN(W$38,$D$19)&lt;MAX($P$34*($B526+IF($R$17="Distrato",$I$38-1,0)),IF(AND($L$37=0,$P$34=0),"",$L$37-1),IF($R$17="Distrato",$E526,0))),0,YEARFRAC(MAX($P$34*($B526+IF($R$17="Distrato",$I$38-1,0)),IF(AND($L$37=0,$P$34=0),"",$L$37-1),IF($R$17="Distrato",$E526,0)),MIN(W$38,$D$19),$P$20))-SUM($P526:V526)</f>
        <v>#VALUE!</v>
      </c>
      <c r="X526" s="446" t="e">
        <f>IF(OR($B526="",MIN(X$38,$D$19)&lt;MAX($P$34*($B526+IF($R$17="Distrato",$I$38-1,0)),IF(AND($L$37=0,$P$34=0),"",$L$37-1),IF($R$17="Distrato",$E526,0))),0,YEARFRAC(MAX($P$34*($B526+IF($R$17="Distrato",$I$38-1,0)),IF(AND($L$37=0,$P$34=0),"",$L$37-1),IF($R$17="Distrato",$E526,0)),MIN(X$38,$D$19),$P$20))-SUM($P526:W526)</f>
        <v>#VALUE!</v>
      </c>
      <c r="Y526" s="446" t="e">
        <f>IF(OR($B526="",MIN(Y$38,$D$19)&lt;MAX($P$34*($B526+IF($R$17="Distrato",$I$38-1,0)),IF(AND($L$37=0,$P$34=0),"",$L$37-1),IF($R$17="Distrato",$E526,0))),0,YEARFRAC(MAX($P$34*($B526+IF($R$17="Distrato",$I$38-1,0)),IF(AND($L$37=0,$P$34=0),"",$L$37-1),IF($R$17="Distrato",$E526,0)),MIN(Y$38,$D$19),$P$20))-SUM($P526:X526)</f>
        <v>#VALUE!</v>
      </c>
      <c r="Z526" s="446" t="e">
        <f>IF(OR($B526="",MIN(Z$38,$D$19)&lt;MAX($P$34*($B526+IF($R$17="Distrato",$I$38-1,0)),IF(AND($L$37=0,$P$34=0),"",$L$37-1),IF($R$17="Distrato",$E526,0))),0,YEARFRAC(MAX($P$34*($B526+IF($R$17="Distrato",$I$38-1,0)),IF(AND($L$37=0,$P$34=0),"",$L$37-1),IF($R$17="Distrato",$E526,0)),MIN(Z$38,$D$19),$P$20))-SUM($P526:Y526)</f>
        <v>#VALUE!</v>
      </c>
      <c r="AA526" s="446" t="e">
        <f>IF(OR($B526="",MIN(AA$38,$D$19)&lt;MAX($P$34*($B526+IF($R$17="Distrato",$I$38-1,0)),IF(AND($L$37=0,$P$34=0),"",$L$37-1),IF($R$17="Distrato",$E526,0))),0,YEARFRAC(MAX($P$34*($B526+IF($R$17="Distrato",$I$38-1,0)),IF(AND($L$37=0,$P$34=0),"",$L$37-1),IF($R$17="Distrato",$E526,0)),MIN(AA$38,$D$19),$P$20))-SUM($P526:Z526)</f>
        <v>#VALUE!</v>
      </c>
      <c r="AB526" s="446" t="e">
        <f>IF(OR($B526="",MIN(AB$38,$D$19)&lt;MAX($P$34*($B526+IF($R$17="Distrato",$I$38-1,0)),IF(AND($L$37=0,$P$34=0),"",$L$37-1),IF($R$17="Distrato",$E526,0))),0,YEARFRAC(MAX($P$34*($B526+IF($R$17="Distrato",$I$38-1,0)),IF(AND($L$37=0,$P$34=0),"",$L$37-1),IF($R$17="Distrato",$E526,0)),MIN(AB$38,$D$19),$P$20))-SUM($P526:AA526)</f>
        <v>#VALUE!</v>
      </c>
      <c r="AC526" s="446" t="e">
        <f>IF(OR($B526="",MIN(AC$38,$D$19)&lt;MAX($P$34*($B526+IF($R$17="Distrato",$I$38-1,0)),IF(AND($L$37=0,$P$34=0),"",$L$37-1),IF($R$17="Distrato",$E526,0))),0,YEARFRAC(MAX($P$34*($B526+IF($R$17="Distrato",$I$38-1,0)),IF(AND($L$37=0,$P$34=0),"",$L$37-1),IF($R$17="Distrato",$E526,0)),MIN(AC$38,$D$19),$P$20))-SUM($P526:AB526)</f>
        <v>#VALUE!</v>
      </c>
      <c r="AD526" s="446" t="e">
        <f>IF(OR($B526="",MIN(AD$38,$D$19)&lt;MAX($P$34*($B526+IF($R$17="Distrato",$I$38-1,0)),IF(AND($L$37=0,$P$34=0),"",$L$37-1),IF($R$17="Distrato",$E526,0))),0,YEARFRAC(MAX($P$34*($B526+IF($R$17="Distrato",$I$38-1,0)),IF(AND($L$37=0,$P$34=0),"",$L$37-1),IF($R$17="Distrato",$E526,0)),MIN(AD$38,$D$19),$P$20))-SUM($P526:AC526)</f>
        <v>#VALUE!</v>
      </c>
      <c r="AE526" s="446" t="e">
        <f>IF(OR($B526="",MIN(AE$38,$D$19)&lt;MAX($P$34*($B526+IF($R$17="Distrato",$I$38-1,0)),IF(AND($L$37=0,$P$34=0),"",$L$37-1),IF($R$17="Distrato",$E526,0))),0,YEARFRAC(MAX($P$34*($B526+IF($R$17="Distrato",$I$38-1,0)),IF(AND($L$37=0,$P$34=0),"",$L$37-1),IF($R$17="Distrato",$E526,0)),MIN(AE$38,$D$19),$P$20))-SUM($P526:AD526)</f>
        <v>#VALUE!</v>
      </c>
      <c r="AF526" s="446" t="e">
        <f>IF(OR($B526="",MIN(AF$38,$D$19)&lt;MAX($P$34*($B526+IF($R$17="Distrato",$I$38-1,0)),IF(AND($L$37=0,$P$34=0),"",$L$37-1),IF($R$17="Distrato",$E526,0))),0,YEARFRAC(MAX($P$34*($B526+IF($R$17="Distrato",$I$38-1,0)),IF(AND($L$37=0,$P$34=0),"",$L$37-1),IF($R$17="Distrato",$E526,0)),MIN(AF$38,$D$19),$P$20))-SUM($P526:AE526)</f>
        <v>#VALUE!</v>
      </c>
      <c r="AG526" s="446" t="e">
        <f>IF(OR($B526="",MIN(AG$38,$D$19)&lt;MAX($P$34*($B526+IF($R$17="Distrato",$I$38-1,0)),IF(AND($L$37=0,$P$34=0),"",$L$37-1),IF($R$17="Distrato",$E526,0))),0,YEARFRAC(MAX($P$34*($B526+IF($R$17="Distrato",$I$38-1,0)),IF(AND($L$37=0,$P$34=0),"",$L$37-1),IF($R$17="Distrato",$E526,0)),MIN(AG$38,$D$19),$P$20))-SUM($P526:AF526)</f>
        <v>#VALUE!</v>
      </c>
      <c r="AH526" s="446" t="e">
        <f>IF(OR($B526="",MIN(AH$38,$D$19)&lt;MAX($P$34*($B526+IF($R$17="Distrato",$I$38-1,0)),IF(AND($L$37=0,$P$34=0),"",$L$37-1),IF($R$17="Distrato",$E526,0))),0,YEARFRAC(MAX($P$34*($B526+IF($R$17="Distrato",$I$38-1,0)),IF(AND($L$37=0,$P$34=0),"",$L$37-1),IF($R$17="Distrato",$E526,0)),MIN(AH$38,$D$19),$P$20))-SUM($P526:AG526)</f>
        <v>#VALUE!</v>
      </c>
      <c r="AI526" s="446" t="e">
        <f>IF(OR($B526="",MIN(AI$38,$D$19)&lt;MAX($P$34*($B526+IF($R$17="Distrato",$I$38-1,0)),IF(AND($L$37=0,$P$34=0),"",$L$37-1),IF($R$17="Distrato",$E526,0))),0,YEARFRAC(MAX($P$34*($B526+IF($R$17="Distrato",$I$38-1,0)),IF(AND($L$37=0,$P$34=0),"",$L$37-1),IF($R$17="Distrato",$E526,0)),MIN(AI$38,$D$19),$P$20))-SUM($P526:AH526)</f>
        <v>#VALUE!</v>
      </c>
      <c r="AJ526" s="446" t="e">
        <f>IF(OR($B526="",MIN(AJ$38,$D$19)&lt;MAX($P$34*($B526+IF($R$17="Distrato",$I$38-1,0)),IF(AND($L$37=0,$P$34=0),"",$L$37-1),IF($R$17="Distrato",$E526,0))),0,YEARFRAC(MAX($P$34*($B526+IF($R$17="Distrato",$I$38-1,0)),IF(AND($L$37=0,$P$34=0),"",$L$37-1),IF($R$17="Distrato",$E526,0)),MIN(AJ$38,$D$19),$P$20))-SUM($P526:AI526)</f>
        <v>#VALUE!</v>
      </c>
      <c r="AK526" s="446" t="e">
        <f>IF(OR($B526="",MIN(AK$38,$D$19)&lt;MAX($P$34*($B526+IF($R$17="Distrato",$I$38-1,0)),IF(AND($L$37=0,$P$34=0),"",$L$37-1),IF($R$17="Distrato",$E526,0))),0,YEARFRAC(MAX($P$34*($B526+IF($R$17="Distrato",$I$38-1,0)),IF(AND($L$37=0,$P$34=0),"",$L$37-1),IF($R$17="Distrato",$E526,0)),MIN(AK$38,$D$19),$P$20))-SUM($P526:AJ526)</f>
        <v>#VALUE!</v>
      </c>
      <c r="AL526" s="446" t="e">
        <f>IF(OR($B526="",MIN(AL$38,$D$19)&lt;MAX($P$34*($B526+IF($R$17="Distrato",$I$38-1,0)),IF(AND($L$37=0,$P$34=0),"",$L$37-1),IF($R$17="Distrato",$E526,0))),0,YEARFRAC(MAX($P$34*($B526+IF($R$17="Distrato",$I$38-1,0)),IF(AND($L$37=0,$P$34=0),"",$L$37-1),IF($R$17="Distrato",$E526,0)),MIN(AL$38,$D$19),$P$20))-SUM($P526:AK526)</f>
        <v>#VALUE!</v>
      </c>
      <c r="AM526" s="446" t="e">
        <f>IF(OR($B526="",MIN(AM$38,$D$19)&lt;MAX($P$34*($B526+IF($R$17="Distrato",$I$38-1,0)),IF(AND($L$37=0,$P$34=0),"",$L$37-1),IF($R$17="Distrato",$E526,0))),0,YEARFRAC(MAX($P$34*($B526+IF($R$17="Distrato",$I$38-1,0)),IF(AND($L$37=0,$P$34=0),"",$L$37-1),IF($R$17="Distrato",$E526,0)),MIN(AM$38,$D$19),$P$20))-SUM($P526:AL526)</f>
        <v>#VALUE!</v>
      </c>
      <c r="AN526" s="446" t="e">
        <f>IF(OR($B526="",MIN(AN$38,$D$19)&lt;MAX($P$34*($B526+IF($R$17="Distrato",$I$38-1,0)),IF(AND($L$37=0,$P$34=0),"",$L$37-1),IF($R$17="Distrato",$E526,0))),0,YEARFRAC(MAX($P$34*($B526+IF($R$17="Distrato",$I$38-1,0)),IF(AND($L$37=0,$P$34=0),"",$L$37-1),IF($R$17="Distrato",$E526,0)),MIN(AN$38,$D$19),$P$20))-SUM($P526:AM526)</f>
        <v>#VALUE!</v>
      </c>
      <c r="AO526" s="446" t="e">
        <f>IF(OR($B526="",MIN(AO$38,$D$19)&lt;MAX($P$34*($B526+IF($R$17="Distrato",$I$38-1,0)),IF(AND($L$37=0,$P$34=0),"",$L$37-1),IF($R$17="Distrato",$E526,0))),0,YEARFRAC(MAX($P$34*($B526+IF($R$17="Distrato",$I$38-1,0)),IF(AND($L$37=0,$P$34=0),"",$L$37-1),IF($R$17="Distrato",$E526,0)),MIN(AO$38,$D$19),$P$20))-SUM($P526:AN526)</f>
        <v>#VALUE!</v>
      </c>
      <c r="AP526" s="446" t="e">
        <f>IF(OR($B526="",MIN(AP$38,$D$19)&lt;MAX($P$34*($B526+IF($R$17="Distrato",$I$38-1,0)),IF(AND($L$37=0,$P$34=0),"",$L$37-1),IF($R$17="Distrato",$E526,0))),0,YEARFRAC(MAX($P$34*($B526+IF($R$17="Distrato",$I$38-1,0)),IF(AND($L$37=0,$P$34=0),"",$L$37-1),IF($R$17="Distrato",$E526,0)),MIN(AP$38,$D$19),$P$20))-SUM($P526:AO526)</f>
        <v>#VALUE!</v>
      </c>
      <c r="AQ526" s="446" t="e">
        <f>IF(OR($B526="",MIN(AQ$38,$D$19)&lt;MAX($P$34*($B526+IF($R$17="Distrato",$I$38-1,0)),IF(AND($L$37=0,$P$34=0),"",$L$37-1),IF($R$17="Distrato",$E526,0))),0,YEARFRAC(MAX($P$34*($B526+IF($R$17="Distrato",$I$38-1,0)),IF(AND($L$37=0,$P$34=0),"",$L$37-1),IF($R$17="Distrato",$E526,0)),MIN(AQ$38,$D$19),$P$20))-SUM($P526:AP526)</f>
        <v>#VALUE!</v>
      </c>
      <c r="AR526" s="446" t="e">
        <f>IF(OR($B526="",MIN(AR$38,$D$19)&lt;MAX($P$34*($B526+IF($R$17="Distrato",$I$38-1,0)),IF(AND($L$37=0,$P$34=0),"",$L$37-1),IF($R$17="Distrato",$E526,0))),0,YEARFRAC(MAX($P$34*($B526+IF($R$17="Distrato",$I$38-1,0)),IF(AND($L$37=0,$P$34=0),"",$L$37-1),IF($R$17="Distrato",$E526,0)),MIN(AR$38,$D$19),$P$20))-SUM($P526:AQ526)</f>
        <v>#VALUE!</v>
      </c>
      <c r="AS526" s="446" t="e">
        <f>IF(OR($B526="",MIN(AS$38,$D$19)&lt;MAX($P$34*($B526+IF($R$17="Distrato",$I$38-1,0)),IF(AND($L$37=0,$P$34=0),"",$L$37-1),IF($R$17="Distrato",$E526,0))),0,YEARFRAC(MAX($P$34*($B526+IF($R$17="Distrato",$I$38-1,0)),IF(AND($L$37=0,$P$34=0),"",$L$37-1),IF($R$17="Distrato",$E526,0)),MIN(AS$38,$D$19),$P$20))-SUM($P526:AR526)</f>
        <v>#VALUE!</v>
      </c>
      <c r="AT526" s="446" t="e">
        <f>IF(OR($B526="",MIN(AT$38,$D$19)&lt;MAX($P$34*($B526+IF($R$17="Distrato",$I$38-1,0)),IF(AND($L$37=0,$P$34=0),"",$L$37-1),IF($R$17="Distrato",$E526,0))),0,YEARFRAC(MAX($P$34*($B526+IF($R$17="Distrato",$I$38-1,0)),IF(AND($L$37=0,$P$34=0),"",$L$37-1),IF($R$17="Distrato",$E526,0)),MIN(AT$38,$D$19),$P$20))-SUM($P526:AS526)</f>
        <v>#VALUE!</v>
      </c>
      <c r="AU526" s="446" t="e">
        <f>IF(OR($B526="",MIN(AU$38,$D$19)&lt;MAX($P$34*($B526+IF($R$17="Distrato",$I$38-1,0)),IF(AND($L$37=0,$P$34=0),"",$L$37-1),IF($R$17="Distrato",$E526,0))),0,YEARFRAC(MAX($P$34*($B526+IF($R$17="Distrato",$I$38-1,0)),IF(AND($L$37=0,$P$34=0),"",$L$37-1),IF($R$17="Distrato",$E526,0)),MIN(AU$38,$D$19),$P$20))-SUM($P526:AT526)</f>
        <v>#VALUE!</v>
      </c>
      <c r="AV526" s="446" t="e">
        <f>IF(OR($B526="",MIN(AV$38,$D$19)&lt;MAX($P$34*($B526+IF($R$17="Distrato",$I$38-1,0)),IF(AND($L$37=0,$P$34=0),"",$L$37-1),IF($R$17="Distrato",$E526,0))),0,YEARFRAC(MAX($P$34*($B526+IF($R$17="Distrato",$I$38-1,0)),IF(AND($L$37=0,$P$34=0),"",$L$37-1),IF($R$17="Distrato",$E526,0)),MIN(AV$38,$D$19),$P$20))-SUM($P526:AU526)</f>
        <v>#VALUE!</v>
      </c>
      <c r="AW526" s="446" t="e">
        <f>IF(OR($B526="",MIN(AW$38,$D$19)&lt;MAX($P$34*($B526+IF($R$17="Distrato",$I$38-1,0)),IF(AND($L$37=0,$P$34=0),"",$L$37-1),IF($R$17="Distrato",$E526,0))),0,YEARFRAC(MAX($P$34*($B526+IF($R$17="Distrato",$I$38-1,0)),IF(AND($L$37=0,$P$34=0),"",$L$37-1),IF($R$17="Distrato",$E526,0)),MIN(AW$38,$D$19),$P$20))-SUM($P526:AV526)</f>
        <v>#VALUE!</v>
      </c>
      <c r="AX526" s="446" t="e">
        <f>IF(OR($B526="",MIN(AX$38,$D$19)&lt;MAX($P$34*($B526+IF($R$17="Distrato",$I$38-1,0)),IF(AND($L$37=0,$P$34=0),"",$L$37-1),IF($R$17="Distrato",$E526,0))),0,YEARFRAC(MAX($P$34*($B526+IF($R$17="Distrato",$I$38-1,0)),IF(AND($L$37=0,$P$34=0),"",$L$37-1),IF($R$17="Distrato",$E526,0)),MIN(AX$38,$D$19),$P$20))-SUM($P526:AW526)</f>
        <v>#VALUE!</v>
      </c>
      <c r="AY526" s="446" t="e">
        <f>IF(OR($B526="",MIN(AY$38,$D$19)&lt;MAX($P$34*($B526+IF($R$17="Distrato",$I$38-1,0)),IF(AND($L$37=0,$P$34=0),"",$L$37-1),IF($R$17="Distrato",$E526,0))),0,YEARFRAC(MAX($P$34*($B526+IF($R$17="Distrato",$I$38-1,0)),IF(AND($L$37=0,$P$34=0),"",$L$37-1),IF($R$17="Distrato",$E526,0)),MIN(AY$38,$D$19),$P$20))-SUM($P526:AX526)</f>
        <v>#VALUE!</v>
      </c>
      <c r="AZ526" s="446" t="e">
        <f>IF(OR($B526="",MIN(AZ$38,$D$19)&lt;MAX($P$34*($B526+IF($R$17="Distrato",$I$38-1,0)),IF(AND($L$37=0,$P$34=0),"",$L$37-1),IF($R$17="Distrato",$E526,0))),0,YEARFRAC(MAX($P$34*($B526+IF($R$17="Distrato",$I$38-1,0)),IF(AND($L$37=0,$P$34=0),"",$L$37-1),IF($R$17="Distrato",$E526,0)),MIN(AZ$38,$D$19),$P$20))-SUM($P526:AY526)</f>
        <v>#VALUE!</v>
      </c>
      <c r="BA526" s="446" t="e">
        <f>IF(OR($B526="",MIN(BA$38,$D$19)&lt;MAX($P$34*($B526+IF($R$17="Distrato",$I$38-1,0)),IF(AND($L$37=0,$P$34=0),"",$L$37-1),IF($R$17="Distrato",$E526,0))),0,YEARFRAC(MAX($P$34*($B526+IF($R$17="Distrato",$I$38-1,0)),IF(AND($L$37=0,$P$34=0),"",$L$37-1),IF($R$17="Distrato",$E526,0)),MIN(BA$38,$D$19),$P$20))-SUM($P526:AZ526)</f>
        <v>#VALUE!</v>
      </c>
      <c r="BB526" s="447"/>
      <c r="BF526" s="446">
        <f t="shared" si="87"/>
        <v>0</v>
      </c>
      <c r="BG526" s="446">
        <f>IF($E526=0,0,IF(MIN(BG$38,$E526)&lt;MAX($P$34*($B526+$I$38-1),IF(AND($L$37=0,$P$34=0),"",$L$37-1)),0,YEARFRAC(MAX($P$34*($B526+$I$38-1),IF(AND($L$37=0,$P$34=0),"",$L$37-1)),MIN(BG$38,$E526),$P$20))-SUM($BF526:BF526))</f>
        <v>0</v>
      </c>
      <c r="BH526" s="446">
        <f>IF($E526=0,0,IF(MIN(BH$38,$E526)&lt;MAX($P$34*($B526+$I$38-1),IF(AND($L$37=0,$P$34=0),"",$L$37-1)),0,YEARFRAC(MAX($P$34*($B526+$I$38-1),IF(AND($L$37=0,$P$34=0),"",$L$37-1)),MIN(BH$38,$E526),$P$20))-SUM($BF526:BG526))</f>
        <v>0</v>
      </c>
      <c r="BI526" s="446">
        <f>IF($E526=0,0,IF(MIN(BI$38,$E526)&lt;MAX($P$34*($B526+$I$38-1),IF(AND($L$37=0,$P$34=0),"",$L$37-1)),0,YEARFRAC(MAX($P$34*($B526+$I$38-1),IF(AND($L$37=0,$P$34=0),"",$L$37-1)),MIN(BI$38,$E526),$P$20))-SUM($BF526:BH526))</f>
        <v>0</v>
      </c>
      <c r="BJ526" s="446">
        <f>IF($E526=0,0,IF(MIN(BJ$38,$E526)&lt;MAX($P$34*($B526+$I$38-1),IF(AND($L$37=0,$P$34=0),"",$L$37-1)),0,YEARFRAC(MAX($P$34*($B526+$I$38-1),IF(AND($L$37=0,$P$34=0),"",$L$37-1)),MIN(BJ$38,$E526),$P$20))-SUM($BF526:BI526))</f>
        <v>0</v>
      </c>
      <c r="BK526" s="446">
        <f>IF($E526=0,0,IF(MIN(BK$38,$E526)&lt;MAX($P$34*($B526+$I$38-1),IF(AND($L$37=0,$P$34=0),"",$L$37-1)),0,YEARFRAC(MAX($P$34*($B526+$I$38-1),IF(AND($L$37=0,$P$34=0),"",$L$37-1)),MIN(BK$38,$E526),$P$20))-SUM($BF526:BJ526))</f>
        <v>0</v>
      </c>
      <c r="BL526" s="446">
        <f>IF($E526=0,0,IF(MIN(BL$38,$E526)&lt;MAX($P$34*($B526+$I$38-1),IF(AND($L$37=0,$P$34=0),"",$L$37-1)),0,YEARFRAC(MAX($P$34*($B526+$I$38-1),IF(AND($L$37=0,$P$34=0),"",$L$37-1)),MIN(BL$38,$E526),$P$20))-SUM($BF526:BK526))</f>
        <v>0</v>
      </c>
      <c r="BM526" s="446">
        <f>IF($E526=0,0,IF(MIN(BM$38,$E526)&lt;MAX($P$34*($B526+$I$38-1),IF(AND($L$37=0,$P$34=0),"",$L$37-1)),0,YEARFRAC(MAX($P$34*($B526+$I$38-1),IF(AND($L$37=0,$P$34=0),"",$L$37-1)),MIN(BM$38,$E526),$P$20))-SUM($BF526:BL526))</f>
        <v>0</v>
      </c>
      <c r="BN526" s="446">
        <f>IF($E526=0,0,IF(MIN(BN$38,$E526)&lt;MAX($P$34*($B526+$I$38-1),IF(AND($L$37=0,$P$34=0),"",$L$37-1)),0,YEARFRAC(MAX($P$34*($B526+$I$38-1),IF(AND($L$37=0,$P$34=0),"",$L$37-1)),MIN(BN$38,$E526),$P$20))-SUM($BF526:BM526))</f>
        <v>0</v>
      </c>
      <c r="BO526" s="446">
        <f>IF($E526=0,0,IF(MIN(BO$38,$E526)&lt;MAX($P$34*($B526+$I$38-1),IF(AND($L$37=0,$P$34=0),"",$L$37-1)),0,YEARFRAC(MAX($P$34*($B526+$I$38-1),IF(AND($L$37=0,$P$34=0),"",$L$37-1)),MIN(BO$38,$E526),$P$20))-SUM($BF526:BN526))</f>
        <v>0</v>
      </c>
      <c r="BP526" s="446">
        <f>IF($E526=0,0,IF(MIN(BP$38,$E526)&lt;MAX($P$34*($B526+$I$38-1),IF(AND($L$37=0,$P$34=0),"",$L$37-1)),0,YEARFRAC(MAX($P$34*($B526+$I$38-1),IF(AND($L$37=0,$P$34=0),"",$L$37-1)),MIN(BP$38,$E526),$P$20))-SUM($BF526:BO526))</f>
        <v>0</v>
      </c>
      <c r="BQ526" s="446">
        <f>IF($E526=0,0,IF(MIN(BQ$38,$E526)&lt;MAX($P$34*($B526+$I$38-1),IF(AND($L$37=0,$P$34=0),"",$L$37-1)),0,YEARFRAC(MAX($P$34*($B526+$I$38-1),IF(AND($L$37=0,$P$34=0),"",$L$37-1)),MIN(BQ$38,$E526),$P$20))-SUM($BF526:BP526))</f>
        <v>0</v>
      </c>
      <c r="BR526" s="446">
        <f>IF($E526=0,0,IF(MIN(BR$38,$E526)&lt;MAX($P$34*($B526+$I$38-1),IF(AND($L$37=0,$P$34=0),"",$L$37-1)),0,YEARFRAC(MAX($P$34*($B526+$I$38-1),IF(AND($L$37=0,$P$34=0),"",$L$37-1)),MIN(BR$38,$E526),$P$20))-SUM($BF526:BQ526))</f>
        <v>0</v>
      </c>
      <c r="BS526" s="446">
        <f>IF($E526=0,0,IF(MIN(BS$38,$E526)&lt;MAX($P$34*($B526+$I$38-1),IF(AND($L$37=0,$P$34=0),"",$L$37-1)),0,YEARFRAC(MAX($P$34*($B526+$I$38-1),IF(AND($L$37=0,$P$34=0),"",$L$37-1)),MIN(BS$38,$E526),$P$20))-SUM($BF526:BR526))</f>
        <v>0</v>
      </c>
      <c r="BT526" s="446">
        <f>IF($E526=0,0,IF(MIN(BT$38,$E526)&lt;MAX($P$34*($B526+$I$38-1),IF(AND($L$37=0,$P$34=0),"",$L$37-1)),0,YEARFRAC(MAX($P$34*($B526+$I$38-1),IF(AND($L$37=0,$P$34=0),"",$L$37-1)),MIN(BT$38,$E526),$P$20))-SUM($BF526:BS526))</f>
        <v>0</v>
      </c>
      <c r="BU526" s="446">
        <f>IF($E526=0,0,IF(MIN(BU$38,$E526)&lt;MAX($P$34*($B526+$I$38-1),IF(AND($L$37=0,$P$34=0),"",$L$37-1)),0,YEARFRAC(MAX($P$34*($B526+$I$38-1),IF(AND($L$37=0,$P$34=0),"",$L$37-1)),MIN(BU$38,$E526),$P$20))-SUM($BF526:BT526))</f>
        <v>0</v>
      </c>
      <c r="BV526" s="446">
        <f>IF($E526=0,0,IF(MIN(BV$38,$E526)&lt;MAX($P$34*($B526+$I$38-1),IF(AND($L$37=0,$P$34=0),"",$L$37-1)),0,YEARFRAC(MAX($P$34*($B526+$I$38-1),IF(AND($L$37=0,$P$34=0),"",$L$37-1)),MIN(BV$38,$E526),$P$20))-SUM($BF526:BU526))</f>
        <v>0</v>
      </c>
      <c r="BW526" s="446">
        <f>IF($E526=0,0,IF(MIN(BW$38,$E526)&lt;MAX($P$34*($B526+$I$38-1),IF(AND($L$37=0,$P$34=0),"",$L$37-1)),0,YEARFRAC(MAX($P$34*($B526+$I$38-1),IF(AND($L$37=0,$P$34=0),"",$L$37-1)),MIN(BW$38,$E526),$P$20))-SUM($BF526:BV526))</f>
        <v>0</v>
      </c>
      <c r="BX526" s="446">
        <f>IF($E526=0,0,IF(MIN(BX$38,$E526)&lt;MAX($P$34*($B526+$I$38-1),IF(AND($L$37=0,$P$34=0),"",$L$37-1)),0,YEARFRAC(MAX($P$34*($B526+$I$38-1),IF(AND($L$37=0,$P$34=0),"",$L$37-1)),MIN(BX$38,$E526),$P$20))-SUM($BF526:BW526))</f>
        <v>0</v>
      </c>
      <c r="BY526" s="446">
        <f>IF($E526=0,0,IF(MIN(BY$38,$E526)&lt;MAX($P$34*($B526+$I$38-1),IF(AND($L$37=0,$P$34=0),"",$L$37-1)),0,YEARFRAC(MAX($P$34*($B526+$I$38-1),IF(AND($L$37=0,$P$34=0),"",$L$37-1)),MIN(BY$38,$E526),$P$20))-SUM($BF526:BX526))</f>
        <v>0</v>
      </c>
      <c r="BZ526" s="446">
        <f>IF($E526=0,0,IF(MIN(BZ$38,$E526)&lt;MAX($P$34*($B526+$I$38-1),IF(AND($L$37=0,$P$34=0),"",$L$37-1)),0,YEARFRAC(MAX($P$34*($B526+$I$38-1),IF(AND($L$37=0,$P$34=0),"",$L$37-1)),MIN(BZ$38,$E526),$P$20))-SUM($BF526:BY526))</f>
        <v>0</v>
      </c>
      <c r="CA526" s="446">
        <f>IF($E526=0,0,IF(MIN(CA$38,$E526)&lt;MAX($P$34*($B526+$I$38-1),IF(AND($L$37=0,$P$34=0),"",$L$37-1)),0,YEARFRAC(MAX($P$34*($B526+$I$38-1),IF(AND($L$37=0,$P$34=0),"",$L$37-1)),MIN(CA$38,$E526),$P$20))-SUM($BF526:BZ526))</f>
        <v>0</v>
      </c>
      <c r="CB526" s="446">
        <f>IF($E526=0,0,IF(MIN(CB$38,$E526)&lt;MAX($P$34*($B526+$I$38-1),IF(AND($L$37=0,$P$34=0),"",$L$37-1)),0,YEARFRAC(MAX($P$34*($B526+$I$38-1),IF(AND($L$37=0,$P$34=0),"",$L$37-1)),MIN(CB$38,$E526),$P$20))-SUM($BF526:CA526))</f>
        <v>0</v>
      </c>
      <c r="CC526" s="446">
        <f>IF($E526=0,0,IF(MIN(CC$38,$E526)&lt;MAX($P$34*($B526+$I$38-1),IF(AND($L$37=0,$P$34=0),"",$L$37-1)),0,YEARFRAC(MAX($P$34*($B526+$I$38-1),IF(AND($L$37=0,$P$34=0),"",$L$37-1)),MIN(CC$38,$E526),$P$20))-SUM($BF526:CB526))</f>
        <v>0</v>
      </c>
      <c r="CD526" s="446">
        <f>IF($E526=0,0,IF(MIN(CD$38,$E526)&lt;MAX($P$34*($B526+$I$38-1),IF(AND($L$37=0,$P$34=0),"",$L$37-1)),0,YEARFRAC(MAX($P$34*($B526+$I$38-1),IF(AND($L$37=0,$P$34=0),"",$L$37-1)),MIN(CD$38,$E526),$P$20))-SUM($BF526:CC526))</f>
        <v>0</v>
      </c>
      <c r="CE526" s="446">
        <f>IF($E526=0,0,IF(MIN(CE$38,$E526)&lt;MAX($P$34*($B526+$I$38-1),IF(AND($L$37=0,$P$34=0),"",$L$37-1)),0,YEARFRAC(MAX($P$34*($B526+$I$38-1),IF(AND($L$37=0,$P$34=0),"",$L$37-1)),MIN(CE$38,$E526),$P$20))-SUM($BF526:CD526))</f>
        <v>0</v>
      </c>
      <c r="CF526" s="446">
        <f>IF($E526=0,0,IF(MIN(CF$38,$E526)&lt;MAX($P$34*($B526+$I$38-1),IF(AND($L$37=0,$P$34=0),"",$L$37-1)),0,YEARFRAC(MAX($P$34*($B526+$I$38-1),IF(AND($L$37=0,$P$34=0),"",$L$37-1)),MIN(CF$38,$E526),$P$20))-SUM($BF526:CE526))</f>
        <v>0</v>
      </c>
      <c r="CG526" s="446">
        <f>IF($E526=0,0,IF(MIN(CG$38,$E526)&lt;MAX($P$34*($B526+$I$38-1),IF(AND($L$37=0,$P$34=0),"",$L$37-1)),0,YEARFRAC(MAX($P$34*($B526+$I$38-1),IF(AND($L$37=0,$P$34=0),"",$L$37-1)),MIN(CG$38,$E526),$P$20))-SUM($BF526:CF526))</f>
        <v>0</v>
      </c>
      <c r="CH526" s="446">
        <f>IF($E526=0,0,IF(MIN(CH$38,$E526)&lt;MAX($P$34*($B526+$I$38-1),IF(AND($L$37=0,$P$34=0),"",$L$37-1)),0,YEARFRAC(MAX($P$34*($B526+$I$38-1),IF(AND($L$37=0,$P$34=0),"",$L$37-1)),MIN(CH$38,$E526),$P$20))-SUM($BF526:CG526))</f>
        <v>0</v>
      </c>
      <c r="CI526" s="446">
        <f>IF($E526=0,0,IF(MIN(CI$38,$E526)&lt;MAX($P$34*($B526+$I$38-1),IF(AND($L$37=0,$P$34=0),"",$L$37-1)),0,YEARFRAC(MAX($P$34*($B526+$I$38-1),IF(AND($L$37=0,$P$34=0),"",$L$37-1)),MIN(CI$38,$E526),$P$20))-SUM($BF526:CH526))</f>
        <v>0</v>
      </c>
      <c r="CJ526" s="446">
        <f>IF($E526=0,0,IF(MIN(CJ$38,$E526)&lt;MAX($P$34*($B526+$I$38-1),IF(AND($L$37=0,$P$34=0),"",$L$37-1)),0,YEARFRAC(MAX($P$34*($B526+$I$38-1),IF(AND($L$37=0,$P$34=0),"",$L$37-1)),MIN(CJ$38,$E526),$P$20))-SUM($BF526:CI526))</f>
        <v>0</v>
      </c>
      <c r="CK526" s="446">
        <f>IF($E526=0,0,IF(MIN(CK$38,$E526)&lt;MAX($P$34*($B526+$I$38-1),IF(AND($L$37=0,$P$34=0),"",$L$37-1)),0,YEARFRAC(MAX($P$34*($B526+$I$38-1),IF(AND($L$37=0,$P$34=0),"",$L$37-1)),MIN(CK$38,$E526),$P$20))-SUM($BF526:CJ526))</f>
        <v>0</v>
      </c>
      <c r="CL526" s="446">
        <f>IF($E526=0,0,IF(MIN(CL$38,$E526)&lt;MAX($P$34*($B526+$I$38-1),IF(AND($L$37=0,$P$34=0),"",$L$37-1)),0,YEARFRAC(MAX($P$34*($B526+$I$38-1),IF(AND($L$37=0,$P$34=0),"",$L$37-1)),MIN(CL$38,$E526),$P$20))-SUM($BF526:CK526))</f>
        <v>0</v>
      </c>
      <c r="CM526" s="446">
        <f>IF($E526=0,0,IF(MIN(CM$38,$E526)&lt;MAX($P$34*($B526+$I$38-1),IF(AND($L$37=0,$P$34=0),"",$L$37-1)),0,YEARFRAC(MAX($P$34*($B526+$I$38-1),IF(AND($L$37=0,$P$34=0),"",$L$37-1)),MIN(CM$38,$E526),$P$20))-SUM($BF526:CL526))</f>
        <v>0</v>
      </c>
      <c r="CN526" s="446">
        <f>IF($E526=0,0,IF(MIN(CN$38,$E526)&lt;MAX($P$34*($B526+$I$38-1),IF(AND($L$37=0,$P$34=0),"",$L$37-1)),0,YEARFRAC(MAX($P$34*($B526+$I$38-1),IF(AND($L$37=0,$P$34=0),"",$L$37-1)),MIN(CN$38,$E526),$P$20))-SUM($BF526:CM526))</f>
        <v>0</v>
      </c>
      <c r="CO526" s="446">
        <f>IF($E526=0,0,IF(MIN(CO$38,$E526)&lt;MAX($P$34*($B526+$I$38-1),IF(AND($L$37=0,$P$34=0),"",$L$37-1)),0,YEARFRAC(MAX($P$34*($B526+$I$38-1),IF(AND($L$37=0,$P$34=0),"",$L$37-1)),MIN(CO$38,$E526),$P$20))-SUM($BF526:CN526))</f>
        <v>0</v>
      </c>
      <c r="CP526" s="446">
        <f>IF($E526=0,0,IF(MIN(CP$38,$E526)&lt;MAX($P$34*($B526+$I$38-1),IF(AND($L$37=0,$P$34=0),"",$L$37-1)),0,YEARFRAC(MAX($P$34*($B526+$I$38-1),IF(AND($L$37=0,$P$34=0),"",$L$37-1)),MIN(CP$38,$E526),$P$20))-SUM($BF526:CO526))</f>
        <v>0</v>
      </c>
      <c r="CQ526" s="446">
        <f>IF($E526=0,0,IF(MIN(CQ$38,$E526)&lt;MAX($P$34*($B526+$I$38-1),IF(AND($L$37=0,$P$34=0),"",$L$37-1)),0,YEARFRAC(MAX($P$34*($B526+$I$38-1),IF(AND($L$37=0,$P$34=0),"",$L$37-1)),MIN(CQ$38,$E526),$P$20))-SUM($BF526:CP526))</f>
        <v>0</v>
      </c>
    </row>
    <row r="527" spans="1:95" s="446" customFormat="1" ht="11.25" hidden="1" customHeight="1" x14ac:dyDescent="0.2">
      <c r="A527" s="152"/>
      <c r="B527" s="153" t="str">
        <f t="shared" si="92"/>
        <v/>
      </c>
      <c r="C527" s="29" t="str">
        <f>IF(B527="","",IF($L$35="SELIC - TRIBUTOS",VLOOKUP(DATE(YEAR($D$19),MONTH($D$19)-1,1),ÍNDICES!$A:$DE,HLOOKUP($BL$25,ÍNDICES!$B$3:$T$4,2)+11)-VLOOKUP(B527,ÍNDICES!$A:$DE,HLOOKUP($BL$25,ÍNDICES!$B$3:$T$4,2)+11)+1%,IF(C$38=$W$26,$J$35,IF(ISERROR(IF(B527&gt;$D$19,1,VLOOKUP(DATE(YEAR(B527),MONTH(B527)+IF($C$35=$S$23,1,0),1),ÍNDICES!$A:$DE,$Z$35+1))),"",IF(B527&gt;$D$19,1,VLOOKUP(DATE(YEAR(B527),MONTH(B527)+IF($C$35=$S$23,1,0),1),ÍNDICES!$A:$DE,$Z$35+1))))))</f>
        <v/>
      </c>
      <c r="D527" s="154" t="str">
        <f>IF(ISERROR(IF(OR($D$38=$Y$27,$B527=""),"",VLOOKUP(B527,ÍNDICES!A:DE,AF$35+1))),"",IF(OR($D$38=$Y$27,$B527=""),"",VLOOKUP(B527,ÍNDICES!A:DE,AF$35+1)))</f>
        <v/>
      </c>
      <c r="E527" s="153"/>
      <c r="F527" s="29" t="str">
        <f>IF(E527="","",IF($L$35="SELIC - TRIBUTOS",VLOOKUP(DATE(YEAR($D$19),MONTH($D$19)-1,1),ÍNDICES!$A:$DE,HLOOKUP($BL$25,ÍNDICES!$B$3:$T$4,2)+11)-VLOOKUP(E527,ÍNDICES!$A:$DE,HLOOKUP($BL$25,ÍNDICES!$B$3:$T$4,2)+11)+1%,IF(F$38=$W$26,$J$35,IF(ISERROR(IF(E527&gt;$D$19,1,VLOOKUP(DATE(YEAR(E527),MONTH(E527)+IF($C$35=$S$23,1,0),1),ÍNDICES!$A:$DE,$Z$35+1))),"",IF(E527&gt;$D$19,1,VLOOKUP(DATE(YEAR(E527),MONTH(E527)+IF($C$35=$S$23,1,0),1),ÍNDICES!$A:$DE,$Z$35+1))))))</f>
        <v/>
      </c>
      <c r="G527" s="155"/>
      <c r="H527" s="156" t="str">
        <f t="shared" si="88"/>
        <v/>
      </c>
      <c r="I527" s="29" t="str">
        <f t="shared" si="82"/>
        <v/>
      </c>
      <c r="J527" s="5">
        <f t="shared" si="83"/>
        <v>0</v>
      </c>
      <c r="K527" s="20">
        <f t="shared" ca="1" si="84"/>
        <v>0</v>
      </c>
      <c r="L527" s="5">
        <f t="shared" ca="1" si="85"/>
        <v>0</v>
      </c>
      <c r="M527" s="64">
        <f t="shared" si="89"/>
        <v>0</v>
      </c>
      <c r="N527" s="61">
        <f t="shared" ca="1" si="90"/>
        <v>0</v>
      </c>
      <c r="O527" s="5">
        <f t="shared" ca="1" si="91"/>
        <v>0</v>
      </c>
      <c r="P527" s="446" t="e">
        <f t="shared" si="86"/>
        <v>#VALUE!</v>
      </c>
      <c r="Q527" s="446" t="e">
        <f>IF(OR($B527="",MIN(Q$38,$D$19)&lt;MAX($P$34*($B527+IF($R$17="Distrato",$I$38-1,0)),IF(AND($L$37=0,$P$34=0),"",$L$37-1),IF($R$17="Distrato",$E527,0))),0,YEARFRAC(MAX($P$34*($B527+IF($R$17="Distrato",$I$38-1,0)),IF(AND($L$37=0,$P$34=0),"",$L$37-1),IF($R$17="Distrato",$E527,0)),MIN(Q$38,$D$19),$P$20))-SUM($P527:P527)</f>
        <v>#VALUE!</v>
      </c>
      <c r="R527" s="446" t="e">
        <f>IF(OR($B527="",MIN(R$38,$D$19)&lt;MAX($P$34*($B527+IF($R$17="Distrato",$I$38-1,0)),IF(AND($L$37=0,$P$34=0),"",$L$37-1),IF($R$17="Distrato",$E527,0))),0,YEARFRAC(MAX($P$34*($B527+IF($R$17="Distrato",$I$38-1,0)),IF(AND($L$37=0,$P$34=0),"",$L$37-1),IF($R$17="Distrato",$E527,0)),MIN(R$38,$D$19),$P$20))-SUM($P527:Q527)</f>
        <v>#VALUE!</v>
      </c>
      <c r="S527" s="446" t="e">
        <f>IF(OR($B527="",MIN(S$38,$D$19)&lt;MAX($P$34*($B527+IF($R$17="Distrato",$I$38-1,0)),IF(AND($L$37=0,$P$34=0),"",$L$37-1),IF($R$17="Distrato",$E527,0))),0,YEARFRAC(MAX($P$34*($B527+IF($R$17="Distrato",$I$38-1,0)),IF(AND($L$37=0,$P$34=0),"",$L$37-1),IF($R$17="Distrato",$E527,0)),MIN(S$38,$D$19),$P$20))-SUM($P527:R527)</f>
        <v>#VALUE!</v>
      </c>
      <c r="T527" s="446" t="e">
        <f>IF(OR($B527="",MIN(T$38,$D$19)&lt;MAX($P$34*($B527+IF($R$17="Distrato",$I$38-1,0)),IF(AND($L$37=0,$P$34=0),"",$L$37-1),IF($R$17="Distrato",$E527,0))),0,YEARFRAC(MAX($P$34*($B527+IF($R$17="Distrato",$I$38-1,0)),IF(AND($L$37=0,$P$34=0),"",$L$37-1),IF($R$17="Distrato",$E527,0)),MIN(T$38,$D$19),$P$20))-SUM($P527:S527)</f>
        <v>#VALUE!</v>
      </c>
      <c r="U527" s="446" t="e">
        <f>IF(OR($B527="",MIN(U$38,$D$19)&lt;MAX($P$34*($B527+IF($R$17="Distrato",$I$38-1,0)),IF(AND($L$37=0,$P$34=0),"",$L$37-1),IF($R$17="Distrato",$E527,0))),0,YEARFRAC(MAX($P$34*($B527+IF($R$17="Distrato",$I$38-1,0)),IF(AND($L$37=0,$P$34=0),"",$L$37-1),IF($R$17="Distrato",$E527,0)),MIN(U$38,$D$19),$P$20))-SUM($P527:T527)</f>
        <v>#VALUE!</v>
      </c>
      <c r="V527" s="446" t="e">
        <f>IF(OR($B527="",MIN(V$38,$D$19)&lt;MAX($P$34*($B527+IF($R$17="Distrato",$I$38-1,0)),IF(AND($L$37=0,$P$34=0),"",$L$37-1),IF($R$17="Distrato",$E527,0))),0,YEARFRAC(MAX($P$34*($B527+IF($R$17="Distrato",$I$38-1,0)),IF(AND($L$37=0,$P$34=0),"",$L$37-1),IF($R$17="Distrato",$E527,0)),MIN(V$38,$D$19),$P$20))-SUM($P527:U527)</f>
        <v>#VALUE!</v>
      </c>
      <c r="W527" s="446" t="e">
        <f>IF(OR($B527="",MIN(W$38,$D$19)&lt;MAX($P$34*($B527+IF($R$17="Distrato",$I$38-1,0)),IF(AND($L$37=0,$P$34=0),"",$L$37-1),IF($R$17="Distrato",$E527,0))),0,YEARFRAC(MAX($P$34*($B527+IF($R$17="Distrato",$I$38-1,0)),IF(AND($L$37=0,$P$34=0),"",$L$37-1),IF($R$17="Distrato",$E527,0)),MIN(W$38,$D$19),$P$20))-SUM($P527:V527)</f>
        <v>#VALUE!</v>
      </c>
      <c r="X527" s="446" t="e">
        <f>IF(OR($B527="",MIN(X$38,$D$19)&lt;MAX($P$34*($B527+IF($R$17="Distrato",$I$38-1,0)),IF(AND($L$37=0,$P$34=0),"",$L$37-1),IF($R$17="Distrato",$E527,0))),0,YEARFRAC(MAX($P$34*($B527+IF($R$17="Distrato",$I$38-1,0)),IF(AND($L$37=0,$P$34=0),"",$L$37-1),IF($R$17="Distrato",$E527,0)),MIN(X$38,$D$19),$P$20))-SUM($P527:W527)</f>
        <v>#VALUE!</v>
      </c>
      <c r="Y527" s="446" t="e">
        <f>IF(OR($B527="",MIN(Y$38,$D$19)&lt;MAX($P$34*($B527+IF($R$17="Distrato",$I$38-1,0)),IF(AND($L$37=0,$P$34=0),"",$L$37-1),IF($R$17="Distrato",$E527,0))),0,YEARFRAC(MAX($P$34*($B527+IF($R$17="Distrato",$I$38-1,0)),IF(AND($L$37=0,$P$34=0),"",$L$37-1),IF($R$17="Distrato",$E527,0)),MIN(Y$38,$D$19),$P$20))-SUM($P527:X527)</f>
        <v>#VALUE!</v>
      </c>
      <c r="Z527" s="446" t="e">
        <f>IF(OR($B527="",MIN(Z$38,$D$19)&lt;MAX($P$34*($B527+IF($R$17="Distrato",$I$38-1,0)),IF(AND($L$37=0,$P$34=0),"",$L$37-1),IF($R$17="Distrato",$E527,0))),0,YEARFRAC(MAX($P$34*($B527+IF($R$17="Distrato",$I$38-1,0)),IF(AND($L$37=0,$P$34=0),"",$L$37-1),IF($R$17="Distrato",$E527,0)),MIN(Z$38,$D$19),$P$20))-SUM($P527:Y527)</f>
        <v>#VALUE!</v>
      </c>
      <c r="AA527" s="446" t="e">
        <f>IF(OR($B527="",MIN(AA$38,$D$19)&lt;MAX($P$34*($B527+IF($R$17="Distrato",$I$38-1,0)),IF(AND($L$37=0,$P$34=0),"",$L$37-1),IF($R$17="Distrato",$E527,0))),0,YEARFRAC(MAX($P$34*($B527+IF($R$17="Distrato",$I$38-1,0)),IF(AND($L$37=0,$P$34=0),"",$L$37-1),IF($R$17="Distrato",$E527,0)),MIN(AA$38,$D$19),$P$20))-SUM($P527:Z527)</f>
        <v>#VALUE!</v>
      </c>
      <c r="AB527" s="446" t="e">
        <f>IF(OR($B527="",MIN(AB$38,$D$19)&lt;MAX($P$34*($B527+IF($R$17="Distrato",$I$38-1,0)),IF(AND($L$37=0,$P$34=0),"",$L$37-1),IF($R$17="Distrato",$E527,0))),0,YEARFRAC(MAX($P$34*($B527+IF($R$17="Distrato",$I$38-1,0)),IF(AND($L$37=0,$P$34=0),"",$L$37-1),IF($R$17="Distrato",$E527,0)),MIN(AB$38,$D$19),$P$20))-SUM($P527:AA527)</f>
        <v>#VALUE!</v>
      </c>
      <c r="AC527" s="446" t="e">
        <f>IF(OR($B527="",MIN(AC$38,$D$19)&lt;MAX($P$34*($B527+IF($R$17="Distrato",$I$38-1,0)),IF(AND($L$37=0,$P$34=0),"",$L$37-1),IF($R$17="Distrato",$E527,0))),0,YEARFRAC(MAX($P$34*($B527+IF($R$17="Distrato",$I$38-1,0)),IF(AND($L$37=0,$P$34=0),"",$L$37-1),IF($R$17="Distrato",$E527,0)),MIN(AC$38,$D$19),$P$20))-SUM($P527:AB527)</f>
        <v>#VALUE!</v>
      </c>
      <c r="AD527" s="446" t="e">
        <f>IF(OR($B527="",MIN(AD$38,$D$19)&lt;MAX($P$34*($B527+IF($R$17="Distrato",$I$38-1,0)),IF(AND($L$37=0,$P$34=0),"",$L$37-1),IF($R$17="Distrato",$E527,0))),0,YEARFRAC(MAX($P$34*($B527+IF($R$17="Distrato",$I$38-1,0)),IF(AND($L$37=0,$P$34=0),"",$L$37-1),IF($R$17="Distrato",$E527,0)),MIN(AD$38,$D$19),$P$20))-SUM($P527:AC527)</f>
        <v>#VALUE!</v>
      </c>
      <c r="AE527" s="446" t="e">
        <f>IF(OR($B527="",MIN(AE$38,$D$19)&lt;MAX($P$34*($B527+IF($R$17="Distrato",$I$38-1,0)),IF(AND($L$37=0,$P$34=0),"",$L$37-1),IF($R$17="Distrato",$E527,0))),0,YEARFRAC(MAX($P$34*($B527+IF($R$17="Distrato",$I$38-1,0)),IF(AND($L$37=0,$P$34=0),"",$L$37-1),IF($R$17="Distrato",$E527,0)),MIN(AE$38,$D$19),$P$20))-SUM($P527:AD527)</f>
        <v>#VALUE!</v>
      </c>
      <c r="AF527" s="446" t="e">
        <f>IF(OR($B527="",MIN(AF$38,$D$19)&lt;MAX($P$34*($B527+IF($R$17="Distrato",$I$38-1,0)),IF(AND($L$37=0,$P$34=0),"",$L$37-1),IF($R$17="Distrato",$E527,0))),0,YEARFRAC(MAX($P$34*($B527+IF($R$17="Distrato",$I$38-1,0)),IF(AND($L$37=0,$P$34=0),"",$L$37-1),IF($R$17="Distrato",$E527,0)),MIN(AF$38,$D$19),$P$20))-SUM($P527:AE527)</f>
        <v>#VALUE!</v>
      </c>
      <c r="AG527" s="446" t="e">
        <f>IF(OR($B527="",MIN(AG$38,$D$19)&lt;MAX($P$34*($B527+IF($R$17="Distrato",$I$38-1,0)),IF(AND($L$37=0,$P$34=0),"",$L$37-1),IF($R$17="Distrato",$E527,0))),0,YEARFRAC(MAX($P$34*($B527+IF($R$17="Distrato",$I$38-1,0)),IF(AND($L$37=0,$P$34=0),"",$L$37-1),IF($R$17="Distrato",$E527,0)),MIN(AG$38,$D$19),$P$20))-SUM($P527:AF527)</f>
        <v>#VALUE!</v>
      </c>
      <c r="AH527" s="446" t="e">
        <f>IF(OR($B527="",MIN(AH$38,$D$19)&lt;MAX($P$34*($B527+IF($R$17="Distrato",$I$38-1,0)),IF(AND($L$37=0,$P$34=0),"",$L$37-1),IF($R$17="Distrato",$E527,0))),0,YEARFRAC(MAX($P$34*($B527+IF($R$17="Distrato",$I$38-1,0)),IF(AND($L$37=0,$P$34=0),"",$L$37-1),IF($R$17="Distrato",$E527,0)),MIN(AH$38,$D$19),$P$20))-SUM($P527:AG527)</f>
        <v>#VALUE!</v>
      </c>
      <c r="AI527" s="446" t="e">
        <f>IF(OR($B527="",MIN(AI$38,$D$19)&lt;MAX($P$34*($B527+IF($R$17="Distrato",$I$38-1,0)),IF(AND($L$37=0,$P$34=0),"",$L$37-1),IF($R$17="Distrato",$E527,0))),0,YEARFRAC(MAX($P$34*($B527+IF($R$17="Distrato",$I$38-1,0)),IF(AND($L$37=0,$P$34=0),"",$L$37-1),IF($R$17="Distrato",$E527,0)),MIN(AI$38,$D$19),$P$20))-SUM($P527:AH527)</f>
        <v>#VALUE!</v>
      </c>
      <c r="AJ527" s="446" t="e">
        <f>IF(OR($B527="",MIN(AJ$38,$D$19)&lt;MAX($P$34*($B527+IF($R$17="Distrato",$I$38-1,0)),IF(AND($L$37=0,$P$34=0),"",$L$37-1),IF($R$17="Distrato",$E527,0))),0,YEARFRAC(MAX($P$34*($B527+IF($R$17="Distrato",$I$38-1,0)),IF(AND($L$37=0,$P$34=0),"",$L$37-1),IF($R$17="Distrato",$E527,0)),MIN(AJ$38,$D$19),$P$20))-SUM($P527:AI527)</f>
        <v>#VALUE!</v>
      </c>
      <c r="AK527" s="446" t="e">
        <f>IF(OR($B527="",MIN(AK$38,$D$19)&lt;MAX($P$34*($B527+IF($R$17="Distrato",$I$38-1,0)),IF(AND($L$37=0,$P$34=0),"",$L$37-1),IF($R$17="Distrato",$E527,0))),0,YEARFRAC(MAX($P$34*($B527+IF($R$17="Distrato",$I$38-1,0)),IF(AND($L$37=0,$P$34=0),"",$L$37-1),IF($R$17="Distrato",$E527,0)),MIN(AK$38,$D$19),$P$20))-SUM($P527:AJ527)</f>
        <v>#VALUE!</v>
      </c>
      <c r="AL527" s="446" t="e">
        <f>IF(OR($B527="",MIN(AL$38,$D$19)&lt;MAX($P$34*($B527+IF($R$17="Distrato",$I$38-1,0)),IF(AND($L$37=0,$P$34=0),"",$L$37-1),IF($R$17="Distrato",$E527,0))),0,YEARFRAC(MAX($P$34*($B527+IF($R$17="Distrato",$I$38-1,0)),IF(AND($L$37=0,$P$34=0),"",$L$37-1),IF($R$17="Distrato",$E527,0)),MIN(AL$38,$D$19),$P$20))-SUM($P527:AK527)</f>
        <v>#VALUE!</v>
      </c>
      <c r="AM527" s="446" t="e">
        <f>IF(OR($B527="",MIN(AM$38,$D$19)&lt;MAX($P$34*($B527+IF($R$17="Distrato",$I$38-1,0)),IF(AND($L$37=0,$P$34=0),"",$L$37-1),IF($R$17="Distrato",$E527,0))),0,YEARFRAC(MAX($P$34*($B527+IF($R$17="Distrato",$I$38-1,0)),IF(AND($L$37=0,$P$34=0),"",$L$37-1),IF($R$17="Distrato",$E527,0)),MIN(AM$38,$D$19),$P$20))-SUM($P527:AL527)</f>
        <v>#VALUE!</v>
      </c>
      <c r="AN527" s="446" t="e">
        <f>IF(OR($B527="",MIN(AN$38,$D$19)&lt;MAX($P$34*($B527+IF($R$17="Distrato",$I$38-1,0)),IF(AND($L$37=0,$P$34=0),"",$L$37-1),IF($R$17="Distrato",$E527,0))),0,YEARFRAC(MAX($P$34*($B527+IF($R$17="Distrato",$I$38-1,0)),IF(AND($L$37=0,$P$34=0),"",$L$37-1),IF($R$17="Distrato",$E527,0)),MIN(AN$38,$D$19),$P$20))-SUM($P527:AM527)</f>
        <v>#VALUE!</v>
      </c>
      <c r="AO527" s="446" t="e">
        <f>IF(OR($B527="",MIN(AO$38,$D$19)&lt;MAX($P$34*($B527+IF($R$17="Distrato",$I$38-1,0)),IF(AND($L$37=0,$P$34=0),"",$L$37-1),IF($R$17="Distrato",$E527,0))),0,YEARFRAC(MAX($P$34*($B527+IF($R$17="Distrato",$I$38-1,0)),IF(AND($L$37=0,$P$34=0),"",$L$37-1),IF($R$17="Distrato",$E527,0)),MIN(AO$38,$D$19),$P$20))-SUM($P527:AN527)</f>
        <v>#VALUE!</v>
      </c>
      <c r="AP527" s="446" t="e">
        <f>IF(OR($B527="",MIN(AP$38,$D$19)&lt;MAX($P$34*($B527+IF($R$17="Distrato",$I$38-1,0)),IF(AND($L$37=0,$P$34=0),"",$L$37-1),IF($R$17="Distrato",$E527,0))),0,YEARFRAC(MAX($P$34*($B527+IF($R$17="Distrato",$I$38-1,0)),IF(AND($L$37=0,$P$34=0),"",$L$37-1),IF($R$17="Distrato",$E527,0)),MIN(AP$38,$D$19),$P$20))-SUM($P527:AO527)</f>
        <v>#VALUE!</v>
      </c>
      <c r="AQ527" s="446" t="e">
        <f>IF(OR($B527="",MIN(AQ$38,$D$19)&lt;MAX($P$34*($B527+IF($R$17="Distrato",$I$38-1,0)),IF(AND($L$37=0,$P$34=0),"",$L$37-1),IF($R$17="Distrato",$E527,0))),0,YEARFRAC(MAX($P$34*($B527+IF($R$17="Distrato",$I$38-1,0)),IF(AND($L$37=0,$P$34=0),"",$L$37-1),IF($R$17="Distrato",$E527,0)),MIN(AQ$38,$D$19),$P$20))-SUM($P527:AP527)</f>
        <v>#VALUE!</v>
      </c>
      <c r="AR527" s="446" t="e">
        <f>IF(OR($B527="",MIN(AR$38,$D$19)&lt;MAX($P$34*($B527+IF($R$17="Distrato",$I$38-1,0)),IF(AND($L$37=0,$P$34=0),"",$L$37-1),IF($R$17="Distrato",$E527,0))),0,YEARFRAC(MAX($P$34*($B527+IF($R$17="Distrato",$I$38-1,0)),IF(AND($L$37=0,$P$34=0),"",$L$37-1),IF($R$17="Distrato",$E527,0)),MIN(AR$38,$D$19),$P$20))-SUM($P527:AQ527)</f>
        <v>#VALUE!</v>
      </c>
      <c r="AS527" s="446" t="e">
        <f>IF(OR($B527="",MIN(AS$38,$D$19)&lt;MAX($P$34*($B527+IF($R$17="Distrato",$I$38-1,0)),IF(AND($L$37=0,$P$34=0),"",$L$37-1),IF($R$17="Distrato",$E527,0))),0,YEARFRAC(MAX($P$34*($B527+IF($R$17="Distrato",$I$38-1,0)),IF(AND($L$37=0,$P$34=0),"",$L$37-1),IF($R$17="Distrato",$E527,0)),MIN(AS$38,$D$19),$P$20))-SUM($P527:AR527)</f>
        <v>#VALUE!</v>
      </c>
      <c r="AT527" s="446" t="e">
        <f>IF(OR($B527="",MIN(AT$38,$D$19)&lt;MAX($P$34*($B527+IF($R$17="Distrato",$I$38-1,0)),IF(AND($L$37=0,$P$34=0),"",$L$37-1),IF($R$17="Distrato",$E527,0))),0,YEARFRAC(MAX($P$34*($B527+IF($R$17="Distrato",$I$38-1,0)),IF(AND($L$37=0,$P$34=0),"",$L$37-1),IF($R$17="Distrato",$E527,0)),MIN(AT$38,$D$19),$P$20))-SUM($P527:AS527)</f>
        <v>#VALUE!</v>
      </c>
      <c r="AU527" s="446" t="e">
        <f>IF(OR($B527="",MIN(AU$38,$D$19)&lt;MAX($P$34*($B527+IF($R$17="Distrato",$I$38-1,0)),IF(AND($L$37=0,$P$34=0),"",$L$37-1),IF($R$17="Distrato",$E527,0))),0,YEARFRAC(MAX($P$34*($B527+IF($R$17="Distrato",$I$38-1,0)),IF(AND($L$37=0,$P$34=0),"",$L$37-1),IF($R$17="Distrato",$E527,0)),MIN(AU$38,$D$19),$P$20))-SUM($P527:AT527)</f>
        <v>#VALUE!</v>
      </c>
      <c r="AV527" s="446" t="e">
        <f>IF(OR($B527="",MIN(AV$38,$D$19)&lt;MAX($P$34*($B527+IF($R$17="Distrato",$I$38-1,0)),IF(AND($L$37=0,$P$34=0),"",$L$37-1),IF($R$17="Distrato",$E527,0))),0,YEARFRAC(MAX($P$34*($B527+IF($R$17="Distrato",$I$38-1,0)),IF(AND($L$37=0,$P$34=0),"",$L$37-1),IF($R$17="Distrato",$E527,0)),MIN(AV$38,$D$19),$P$20))-SUM($P527:AU527)</f>
        <v>#VALUE!</v>
      </c>
      <c r="AW527" s="446" t="e">
        <f>IF(OR($B527="",MIN(AW$38,$D$19)&lt;MAX($P$34*($B527+IF($R$17="Distrato",$I$38-1,0)),IF(AND($L$37=0,$P$34=0),"",$L$37-1),IF($R$17="Distrato",$E527,0))),0,YEARFRAC(MAX($P$34*($B527+IF($R$17="Distrato",$I$38-1,0)),IF(AND($L$37=0,$P$34=0),"",$L$37-1),IF($R$17="Distrato",$E527,0)),MIN(AW$38,$D$19),$P$20))-SUM($P527:AV527)</f>
        <v>#VALUE!</v>
      </c>
      <c r="AX527" s="446" t="e">
        <f>IF(OR($B527="",MIN(AX$38,$D$19)&lt;MAX($P$34*($B527+IF($R$17="Distrato",$I$38-1,0)),IF(AND($L$37=0,$P$34=0),"",$L$37-1),IF($R$17="Distrato",$E527,0))),0,YEARFRAC(MAX($P$34*($B527+IF($R$17="Distrato",$I$38-1,0)),IF(AND($L$37=0,$P$34=0),"",$L$37-1),IF($R$17="Distrato",$E527,0)),MIN(AX$38,$D$19),$P$20))-SUM($P527:AW527)</f>
        <v>#VALUE!</v>
      </c>
      <c r="AY527" s="446" t="e">
        <f>IF(OR($B527="",MIN(AY$38,$D$19)&lt;MAX($P$34*($B527+IF($R$17="Distrato",$I$38-1,0)),IF(AND($L$37=0,$P$34=0),"",$L$37-1),IF($R$17="Distrato",$E527,0))),0,YEARFRAC(MAX($P$34*($B527+IF($R$17="Distrato",$I$38-1,0)),IF(AND($L$37=0,$P$34=0),"",$L$37-1),IF($R$17="Distrato",$E527,0)),MIN(AY$38,$D$19),$P$20))-SUM($P527:AX527)</f>
        <v>#VALUE!</v>
      </c>
      <c r="AZ527" s="446" t="e">
        <f>IF(OR($B527="",MIN(AZ$38,$D$19)&lt;MAX($P$34*($B527+IF($R$17="Distrato",$I$38-1,0)),IF(AND($L$37=0,$P$34=0),"",$L$37-1),IF($R$17="Distrato",$E527,0))),0,YEARFRAC(MAX($P$34*($B527+IF($R$17="Distrato",$I$38-1,0)),IF(AND($L$37=0,$P$34=0),"",$L$37-1),IF($R$17="Distrato",$E527,0)),MIN(AZ$38,$D$19),$P$20))-SUM($P527:AY527)</f>
        <v>#VALUE!</v>
      </c>
      <c r="BA527" s="446" t="e">
        <f>IF(OR($B527="",MIN(BA$38,$D$19)&lt;MAX($P$34*($B527+IF($R$17="Distrato",$I$38-1,0)),IF(AND($L$37=0,$P$34=0),"",$L$37-1),IF($R$17="Distrato",$E527,0))),0,YEARFRAC(MAX($P$34*($B527+IF($R$17="Distrato",$I$38-1,0)),IF(AND($L$37=0,$P$34=0),"",$L$37-1),IF($R$17="Distrato",$E527,0)),MIN(BA$38,$D$19),$P$20))-SUM($P527:AZ527)</f>
        <v>#VALUE!</v>
      </c>
      <c r="BB527" s="447"/>
      <c r="BF527" s="446">
        <f t="shared" si="87"/>
        <v>0</v>
      </c>
      <c r="BG527" s="446">
        <f>IF($E527=0,0,IF(MIN(BG$38,$E527)&lt;MAX($P$34*($B527+$I$38-1),IF(AND($L$37=0,$P$34=0),"",$L$37-1)),0,YEARFRAC(MAX($P$34*($B527+$I$38-1),IF(AND($L$37=0,$P$34=0),"",$L$37-1)),MIN(BG$38,$E527),$P$20))-SUM($BF527:BF527))</f>
        <v>0</v>
      </c>
      <c r="BH527" s="446">
        <f>IF($E527=0,0,IF(MIN(BH$38,$E527)&lt;MAX($P$34*($B527+$I$38-1),IF(AND($L$37=0,$P$34=0),"",$L$37-1)),0,YEARFRAC(MAX($P$34*($B527+$I$38-1),IF(AND($L$37=0,$P$34=0),"",$L$37-1)),MIN(BH$38,$E527),$P$20))-SUM($BF527:BG527))</f>
        <v>0</v>
      </c>
      <c r="BI527" s="446">
        <f>IF($E527=0,0,IF(MIN(BI$38,$E527)&lt;MAX($P$34*($B527+$I$38-1),IF(AND($L$37=0,$P$34=0),"",$L$37-1)),0,YEARFRAC(MAX($P$34*($B527+$I$38-1),IF(AND($L$37=0,$P$34=0),"",$L$37-1)),MIN(BI$38,$E527),$P$20))-SUM($BF527:BH527))</f>
        <v>0</v>
      </c>
      <c r="BJ527" s="446">
        <f>IF($E527=0,0,IF(MIN(BJ$38,$E527)&lt;MAX($P$34*($B527+$I$38-1),IF(AND($L$37=0,$P$34=0),"",$L$37-1)),0,YEARFRAC(MAX($P$34*($B527+$I$38-1),IF(AND($L$37=0,$P$34=0),"",$L$37-1)),MIN(BJ$38,$E527),$P$20))-SUM($BF527:BI527))</f>
        <v>0</v>
      </c>
      <c r="BK527" s="446">
        <f>IF($E527=0,0,IF(MIN(BK$38,$E527)&lt;MAX($P$34*($B527+$I$38-1),IF(AND($L$37=0,$P$34=0),"",$L$37-1)),0,YEARFRAC(MAX($P$34*($B527+$I$38-1),IF(AND($L$37=0,$P$34=0),"",$L$37-1)),MIN(BK$38,$E527),$P$20))-SUM($BF527:BJ527))</f>
        <v>0</v>
      </c>
      <c r="BL527" s="446">
        <f>IF($E527=0,0,IF(MIN(BL$38,$E527)&lt;MAX($P$34*($B527+$I$38-1),IF(AND($L$37=0,$P$34=0),"",$L$37-1)),0,YEARFRAC(MAX($P$34*($B527+$I$38-1),IF(AND($L$37=0,$P$34=0),"",$L$37-1)),MIN(BL$38,$E527),$P$20))-SUM($BF527:BK527))</f>
        <v>0</v>
      </c>
      <c r="BM527" s="446">
        <f>IF($E527=0,0,IF(MIN(BM$38,$E527)&lt;MAX($P$34*($B527+$I$38-1),IF(AND($L$37=0,$P$34=0),"",$L$37-1)),0,YEARFRAC(MAX($P$34*($B527+$I$38-1),IF(AND($L$37=0,$P$34=0),"",$L$37-1)),MIN(BM$38,$E527),$P$20))-SUM($BF527:BL527))</f>
        <v>0</v>
      </c>
      <c r="BN527" s="446">
        <f>IF($E527=0,0,IF(MIN(BN$38,$E527)&lt;MAX($P$34*($B527+$I$38-1),IF(AND($L$37=0,$P$34=0),"",$L$37-1)),0,YEARFRAC(MAX($P$34*($B527+$I$38-1),IF(AND($L$37=0,$P$34=0),"",$L$37-1)),MIN(BN$38,$E527),$P$20))-SUM($BF527:BM527))</f>
        <v>0</v>
      </c>
      <c r="BO527" s="446">
        <f>IF($E527=0,0,IF(MIN(BO$38,$E527)&lt;MAX($P$34*($B527+$I$38-1),IF(AND($L$37=0,$P$34=0),"",$L$37-1)),0,YEARFRAC(MAX($P$34*($B527+$I$38-1),IF(AND($L$37=0,$P$34=0),"",$L$37-1)),MIN(BO$38,$E527),$P$20))-SUM($BF527:BN527))</f>
        <v>0</v>
      </c>
      <c r="BP527" s="446">
        <f>IF($E527=0,0,IF(MIN(BP$38,$E527)&lt;MAX($P$34*($B527+$I$38-1),IF(AND($L$37=0,$P$34=0),"",$L$37-1)),0,YEARFRAC(MAX($P$34*($B527+$I$38-1),IF(AND($L$37=0,$P$34=0),"",$L$37-1)),MIN(BP$38,$E527),$P$20))-SUM($BF527:BO527))</f>
        <v>0</v>
      </c>
      <c r="BQ527" s="446">
        <f>IF($E527=0,0,IF(MIN(BQ$38,$E527)&lt;MAX($P$34*($B527+$I$38-1),IF(AND($L$37=0,$P$34=0),"",$L$37-1)),0,YEARFRAC(MAX($P$34*($B527+$I$38-1),IF(AND($L$37=0,$P$34=0),"",$L$37-1)),MIN(BQ$38,$E527),$P$20))-SUM($BF527:BP527))</f>
        <v>0</v>
      </c>
      <c r="BR527" s="446">
        <f>IF($E527=0,0,IF(MIN(BR$38,$E527)&lt;MAX($P$34*($B527+$I$38-1),IF(AND($L$37=0,$P$34=0),"",$L$37-1)),0,YEARFRAC(MAX($P$34*($B527+$I$38-1),IF(AND($L$37=0,$P$34=0),"",$L$37-1)),MIN(BR$38,$E527),$P$20))-SUM($BF527:BQ527))</f>
        <v>0</v>
      </c>
      <c r="BS527" s="446">
        <f>IF($E527=0,0,IF(MIN(BS$38,$E527)&lt;MAX($P$34*($B527+$I$38-1),IF(AND($L$37=0,$P$34=0),"",$L$37-1)),0,YEARFRAC(MAX($P$34*($B527+$I$38-1),IF(AND($L$37=0,$P$34=0),"",$L$37-1)),MIN(BS$38,$E527),$P$20))-SUM($BF527:BR527))</f>
        <v>0</v>
      </c>
      <c r="BT527" s="446">
        <f>IF($E527=0,0,IF(MIN(BT$38,$E527)&lt;MAX($P$34*($B527+$I$38-1),IF(AND($L$37=0,$P$34=0),"",$L$37-1)),0,YEARFRAC(MAX($P$34*($B527+$I$38-1),IF(AND($L$37=0,$P$34=0),"",$L$37-1)),MIN(BT$38,$E527),$P$20))-SUM($BF527:BS527))</f>
        <v>0</v>
      </c>
      <c r="BU527" s="446">
        <f>IF($E527=0,0,IF(MIN(BU$38,$E527)&lt;MAX($P$34*($B527+$I$38-1),IF(AND($L$37=0,$P$34=0),"",$L$37-1)),0,YEARFRAC(MAX($P$34*($B527+$I$38-1),IF(AND($L$37=0,$P$34=0),"",$L$37-1)),MIN(BU$38,$E527),$P$20))-SUM($BF527:BT527))</f>
        <v>0</v>
      </c>
      <c r="BV527" s="446">
        <f>IF($E527=0,0,IF(MIN(BV$38,$E527)&lt;MAX($P$34*($B527+$I$38-1),IF(AND($L$37=0,$P$34=0),"",$L$37-1)),0,YEARFRAC(MAX($P$34*($B527+$I$38-1),IF(AND($L$37=0,$P$34=0),"",$L$37-1)),MIN(BV$38,$E527),$P$20))-SUM($BF527:BU527))</f>
        <v>0</v>
      </c>
      <c r="BW527" s="446">
        <f>IF($E527=0,0,IF(MIN(BW$38,$E527)&lt;MAX($P$34*($B527+$I$38-1),IF(AND($L$37=0,$P$34=0),"",$L$37-1)),0,YEARFRAC(MAX($P$34*($B527+$I$38-1),IF(AND($L$37=0,$P$34=0),"",$L$37-1)),MIN(BW$38,$E527),$P$20))-SUM($BF527:BV527))</f>
        <v>0</v>
      </c>
      <c r="BX527" s="446">
        <f>IF($E527=0,0,IF(MIN(BX$38,$E527)&lt;MAX($P$34*($B527+$I$38-1),IF(AND($L$37=0,$P$34=0),"",$L$37-1)),0,YEARFRAC(MAX($P$34*($B527+$I$38-1),IF(AND($L$37=0,$P$34=0),"",$L$37-1)),MIN(BX$38,$E527),$P$20))-SUM($BF527:BW527))</f>
        <v>0</v>
      </c>
      <c r="BY527" s="446">
        <f>IF($E527=0,0,IF(MIN(BY$38,$E527)&lt;MAX($P$34*($B527+$I$38-1),IF(AND($L$37=0,$P$34=0),"",$L$37-1)),0,YEARFRAC(MAX($P$34*($B527+$I$38-1),IF(AND($L$37=0,$P$34=0),"",$L$37-1)),MIN(BY$38,$E527),$P$20))-SUM($BF527:BX527))</f>
        <v>0</v>
      </c>
      <c r="BZ527" s="446">
        <f>IF($E527=0,0,IF(MIN(BZ$38,$E527)&lt;MAX($P$34*($B527+$I$38-1),IF(AND($L$37=0,$P$34=0),"",$L$37-1)),0,YEARFRAC(MAX($P$34*($B527+$I$38-1),IF(AND($L$37=0,$P$34=0),"",$L$37-1)),MIN(BZ$38,$E527),$P$20))-SUM($BF527:BY527))</f>
        <v>0</v>
      </c>
      <c r="CA527" s="446">
        <f>IF($E527=0,0,IF(MIN(CA$38,$E527)&lt;MAX($P$34*($B527+$I$38-1),IF(AND($L$37=0,$P$34=0),"",$L$37-1)),0,YEARFRAC(MAX($P$34*($B527+$I$38-1),IF(AND($L$37=0,$P$34=0),"",$L$37-1)),MIN(CA$38,$E527),$P$20))-SUM($BF527:BZ527))</f>
        <v>0</v>
      </c>
      <c r="CB527" s="446">
        <f>IF($E527=0,0,IF(MIN(CB$38,$E527)&lt;MAX($P$34*($B527+$I$38-1),IF(AND($L$37=0,$P$34=0),"",$L$37-1)),0,YEARFRAC(MAX($P$34*($B527+$I$38-1),IF(AND($L$37=0,$P$34=0),"",$L$37-1)),MIN(CB$38,$E527),$P$20))-SUM($BF527:CA527))</f>
        <v>0</v>
      </c>
      <c r="CC527" s="446">
        <f>IF($E527=0,0,IF(MIN(CC$38,$E527)&lt;MAX($P$34*($B527+$I$38-1),IF(AND($L$37=0,$P$34=0),"",$L$37-1)),0,YEARFRAC(MAX($P$34*($B527+$I$38-1),IF(AND($L$37=0,$P$34=0),"",$L$37-1)),MIN(CC$38,$E527),$P$20))-SUM($BF527:CB527))</f>
        <v>0</v>
      </c>
      <c r="CD527" s="446">
        <f>IF($E527=0,0,IF(MIN(CD$38,$E527)&lt;MAX($P$34*($B527+$I$38-1),IF(AND($L$37=0,$P$34=0),"",$L$37-1)),0,YEARFRAC(MAX($P$34*($B527+$I$38-1),IF(AND($L$37=0,$P$34=0),"",$L$37-1)),MIN(CD$38,$E527),$P$20))-SUM($BF527:CC527))</f>
        <v>0</v>
      </c>
      <c r="CE527" s="446">
        <f>IF($E527=0,0,IF(MIN(CE$38,$E527)&lt;MAX($P$34*($B527+$I$38-1),IF(AND($L$37=0,$P$34=0),"",$L$37-1)),0,YEARFRAC(MAX($P$34*($B527+$I$38-1),IF(AND($L$37=0,$P$34=0),"",$L$37-1)),MIN(CE$38,$E527),$P$20))-SUM($BF527:CD527))</f>
        <v>0</v>
      </c>
      <c r="CF527" s="446">
        <f>IF($E527=0,0,IF(MIN(CF$38,$E527)&lt;MAX($P$34*($B527+$I$38-1),IF(AND($L$37=0,$P$34=0),"",$L$37-1)),0,YEARFRAC(MAX($P$34*($B527+$I$38-1),IF(AND($L$37=0,$P$34=0),"",$L$37-1)),MIN(CF$38,$E527),$P$20))-SUM($BF527:CE527))</f>
        <v>0</v>
      </c>
      <c r="CG527" s="446">
        <f>IF($E527=0,0,IF(MIN(CG$38,$E527)&lt;MAX($P$34*($B527+$I$38-1),IF(AND($L$37=0,$P$34=0),"",$L$37-1)),0,YEARFRAC(MAX($P$34*($B527+$I$38-1),IF(AND($L$37=0,$P$34=0),"",$L$37-1)),MIN(CG$38,$E527),$P$20))-SUM($BF527:CF527))</f>
        <v>0</v>
      </c>
      <c r="CH527" s="446">
        <f>IF($E527=0,0,IF(MIN(CH$38,$E527)&lt;MAX($P$34*($B527+$I$38-1),IF(AND($L$37=0,$P$34=0),"",$L$37-1)),0,YEARFRAC(MAX($P$34*($B527+$I$38-1),IF(AND($L$37=0,$P$34=0),"",$L$37-1)),MIN(CH$38,$E527),$P$20))-SUM($BF527:CG527))</f>
        <v>0</v>
      </c>
      <c r="CI527" s="446">
        <f>IF($E527=0,0,IF(MIN(CI$38,$E527)&lt;MAX($P$34*($B527+$I$38-1),IF(AND($L$37=0,$P$34=0),"",$L$37-1)),0,YEARFRAC(MAX($P$34*($B527+$I$38-1),IF(AND($L$37=0,$P$34=0),"",$L$37-1)),MIN(CI$38,$E527),$P$20))-SUM($BF527:CH527))</f>
        <v>0</v>
      </c>
      <c r="CJ527" s="446">
        <f>IF($E527=0,0,IF(MIN(CJ$38,$E527)&lt;MAX($P$34*($B527+$I$38-1),IF(AND($L$37=0,$P$34=0),"",$L$37-1)),0,YEARFRAC(MAX($P$34*($B527+$I$38-1),IF(AND($L$37=0,$P$34=0),"",$L$37-1)),MIN(CJ$38,$E527),$P$20))-SUM($BF527:CI527))</f>
        <v>0</v>
      </c>
      <c r="CK527" s="446">
        <f>IF($E527=0,0,IF(MIN(CK$38,$E527)&lt;MAX($P$34*($B527+$I$38-1),IF(AND($L$37=0,$P$34=0),"",$L$37-1)),0,YEARFRAC(MAX($P$34*($B527+$I$38-1),IF(AND($L$37=0,$P$34=0),"",$L$37-1)),MIN(CK$38,$E527),$P$20))-SUM($BF527:CJ527))</f>
        <v>0</v>
      </c>
      <c r="CL527" s="446">
        <f>IF($E527=0,0,IF(MIN(CL$38,$E527)&lt;MAX($P$34*($B527+$I$38-1),IF(AND($L$37=0,$P$34=0),"",$L$37-1)),0,YEARFRAC(MAX($P$34*($B527+$I$38-1),IF(AND($L$37=0,$P$34=0),"",$L$37-1)),MIN(CL$38,$E527),$P$20))-SUM($BF527:CK527))</f>
        <v>0</v>
      </c>
      <c r="CM527" s="446">
        <f>IF($E527=0,0,IF(MIN(CM$38,$E527)&lt;MAX($P$34*($B527+$I$38-1),IF(AND($L$37=0,$P$34=0),"",$L$37-1)),0,YEARFRAC(MAX($P$34*($B527+$I$38-1),IF(AND($L$37=0,$P$34=0),"",$L$37-1)),MIN(CM$38,$E527),$P$20))-SUM($BF527:CL527))</f>
        <v>0</v>
      </c>
      <c r="CN527" s="446">
        <f>IF($E527=0,0,IF(MIN(CN$38,$E527)&lt;MAX($P$34*($B527+$I$38-1),IF(AND($L$37=0,$P$34=0),"",$L$37-1)),0,YEARFRAC(MAX($P$34*($B527+$I$38-1),IF(AND($L$37=0,$P$34=0),"",$L$37-1)),MIN(CN$38,$E527),$P$20))-SUM($BF527:CM527))</f>
        <v>0</v>
      </c>
      <c r="CO527" s="446">
        <f>IF($E527=0,0,IF(MIN(CO$38,$E527)&lt;MAX($P$34*($B527+$I$38-1),IF(AND($L$37=0,$P$34=0),"",$L$37-1)),0,YEARFRAC(MAX($P$34*($B527+$I$38-1),IF(AND($L$37=0,$P$34=0),"",$L$37-1)),MIN(CO$38,$E527),$P$20))-SUM($BF527:CN527))</f>
        <v>0</v>
      </c>
      <c r="CP527" s="446">
        <f>IF($E527=0,0,IF(MIN(CP$38,$E527)&lt;MAX($P$34*($B527+$I$38-1),IF(AND($L$37=0,$P$34=0),"",$L$37-1)),0,YEARFRAC(MAX($P$34*($B527+$I$38-1),IF(AND($L$37=0,$P$34=0),"",$L$37-1)),MIN(CP$38,$E527),$P$20))-SUM($BF527:CO527))</f>
        <v>0</v>
      </c>
      <c r="CQ527" s="446">
        <f>IF($E527=0,0,IF(MIN(CQ$38,$E527)&lt;MAX($P$34*($B527+$I$38-1),IF(AND($L$37=0,$P$34=0),"",$L$37-1)),0,YEARFRAC(MAX($P$34*($B527+$I$38-1),IF(AND($L$37=0,$P$34=0),"",$L$37-1)),MIN(CQ$38,$E527),$P$20))-SUM($BF527:CP527))</f>
        <v>0</v>
      </c>
    </row>
    <row r="528" spans="1:95" s="446" customFormat="1" ht="11.25" hidden="1" customHeight="1" x14ac:dyDescent="0.2">
      <c r="A528" s="152"/>
      <c r="B528" s="153" t="str">
        <f t="shared" si="92"/>
        <v/>
      </c>
      <c r="C528" s="29" t="str">
        <f>IF(B528="","",IF($L$35="SELIC - TRIBUTOS",VLOOKUP(DATE(YEAR($D$19),MONTH($D$19)-1,1),ÍNDICES!$A:$DE,HLOOKUP($BL$25,ÍNDICES!$B$3:$T$4,2)+11)-VLOOKUP(B528,ÍNDICES!$A:$DE,HLOOKUP($BL$25,ÍNDICES!$B$3:$T$4,2)+11)+1%,IF(C$38=$W$26,$J$35,IF(ISERROR(IF(B528&gt;$D$19,1,VLOOKUP(DATE(YEAR(B528),MONTH(B528)+IF($C$35=$S$23,1,0),1),ÍNDICES!$A:$DE,$Z$35+1))),"",IF(B528&gt;$D$19,1,VLOOKUP(DATE(YEAR(B528),MONTH(B528)+IF($C$35=$S$23,1,0),1),ÍNDICES!$A:$DE,$Z$35+1))))))</f>
        <v/>
      </c>
      <c r="D528" s="154" t="str">
        <f>IF(ISERROR(IF(OR($D$38=$Y$27,$B528=""),"",VLOOKUP(B528,ÍNDICES!A:DE,AF$35+1))),"",IF(OR($D$38=$Y$27,$B528=""),"",VLOOKUP(B528,ÍNDICES!A:DE,AF$35+1)))</f>
        <v/>
      </c>
      <c r="E528" s="153"/>
      <c r="F528" s="29" t="str">
        <f>IF(E528="","",IF($L$35="SELIC - TRIBUTOS",VLOOKUP(DATE(YEAR($D$19),MONTH($D$19)-1,1),ÍNDICES!$A:$DE,HLOOKUP($BL$25,ÍNDICES!$B$3:$T$4,2)+11)-VLOOKUP(E528,ÍNDICES!$A:$DE,HLOOKUP($BL$25,ÍNDICES!$B$3:$T$4,2)+11)+1%,IF(F$38=$W$26,$J$35,IF(ISERROR(IF(E528&gt;$D$19,1,VLOOKUP(DATE(YEAR(E528),MONTH(E528)+IF($C$35=$S$23,1,0),1),ÍNDICES!$A:$DE,$Z$35+1))),"",IF(E528&gt;$D$19,1,VLOOKUP(DATE(YEAR(E528),MONTH(E528)+IF($C$35=$S$23,1,0),1),ÍNDICES!$A:$DE,$Z$35+1))))))</f>
        <v/>
      </c>
      <c r="G528" s="155"/>
      <c r="H528" s="156" t="str">
        <f t="shared" si="88"/>
        <v/>
      </c>
      <c r="I528" s="29" t="str">
        <f t="shared" si="82"/>
        <v/>
      </c>
      <c r="J528" s="5">
        <f t="shared" si="83"/>
        <v>0</v>
      </c>
      <c r="K528" s="20">
        <f t="shared" ca="1" si="84"/>
        <v>0</v>
      </c>
      <c r="L528" s="5">
        <f t="shared" ca="1" si="85"/>
        <v>0</v>
      </c>
      <c r="M528" s="64">
        <f t="shared" si="89"/>
        <v>0</v>
      </c>
      <c r="N528" s="61">
        <f t="shared" ca="1" si="90"/>
        <v>0</v>
      </c>
      <c r="O528" s="5">
        <f t="shared" ca="1" si="91"/>
        <v>0</v>
      </c>
      <c r="P528" s="446" t="e">
        <f t="shared" si="86"/>
        <v>#VALUE!</v>
      </c>
      <c r="Q528" s="446" t="e">
        <f>IF(OR($B528="",MIN(Q$38,$D$19)&lt;MAX($P$34*($B528+IF($R$17="Distrato",$I$38-1,0)),IF(AND($L$37=0,$P$34=0),"",$L$37-1),IF($R$17="Distrato",$E528,0))),0,YEARFRAC(MAX($P$34*($B528+IF($R$17="Distrato",$I$38-1,0)),IF(AND($L$37=0,$P$34=0),"",$L$37-1),IF($R$17="Distrato",$E528,0)),MIN(Q$38,$D$19),$P$20))-SUM($P528:P528)</f>
        <v>#VALUE!</v>
      </c>
      <c r="R528" s="446" t="e">
        <f>IF(OR($B528="",MIN(R$38,$D$19)&lt;MAX($P$34*($B528+IF($R$17="Distrato",$I$38-1,0)),IF(AND($L$37=0,$P$34=0),"",$L$37-1),IF($R$17="Distrato",$E528,0))),0,YEARFRAC(MAX($P$34*($B528+IF($R$17="Distrato",$I$38-1,0)),IF(AND($L$37=0,$P$34=0),"",$L$37-1),IF($R$17="Distrato",$E528,0)),MIN(R$38,$D$19),$P$20))-SUM($P528:Q528)</f>
        <v>#VALUE!</v>
      </c>
      <c r="S528" s="446" t="e">
        <f>IF(OR($B528="",MIN(S$38,$D$19)&lt;MAX($P$34*($B528+IF($R$17="Distrato",$I$38-1,0)),IF(AND($L$37=0,$P$34=0),"",$L$37-1),IF($R$17="Distrato",$E528,0))),0,YEARFRAC(MAX($P$34*($B528+IF($R$17="Distrato",$I$38-1,0)),IF(AND($L$37=0,$P$34=0),"",$L$37-1),IF($R$17="Distrato",$E528,0)),MIN(S$38,$D$19),$P$20))-SUM($P528:R528)</f>
        <v>#VALUE!</v>
      </c>
      <c r="T528" s="446" t="e">
        <f>IF(OR($B528="",MIN(T$38,$D$19)&lt;MAX($P$34*($B528+IF($R$17="Distrato",$I$38-1,0)),IF(AND($L$37=0,$P$34=0),"",$L$37-1),IF($R$17="Distrato",$E528,0))),0,YEARFRAC(MAX($P$34*($B528+IF($R$17="Distrato",$I$38-1,0)),IF(AND($L$37=0,$P$34=0),"",$L$37-1),IF($R$17="Distrato",$E528,0)),MIN(T$38,$D$19),$P$20))-SUM($P528:S528)</f>
        <v>#VALUE!</v>
      </c>
      <c r="U528" s="446" t="e">
        <f>IF(OR($B528="",MIN(U$38,$D$19)&lt;MAX($P$34*($B528+IF($R$17="Distrato",$I$38-1,0)),IF(AND($L$37=0,$P$34=0),"",$L$37-1),IF($R$17="Distrato",$E528,0))),0,YEARFRAC(MAX($P$34*($B528+IF($R$17="Distrato",$I$38-1,0)),IF(AND($L$37=0,$P$34=0),"",$L$37-1),IF($R$17="Distrato",$E528,0)),MIN(U$38,$D$19),$P$20))-SUM($P528:T528)</f>
        <v>#VALUE!</v>
      </c>
      <c r="V528" s="446" t="e">
        <f>IF(OR($B528="",MIN(V$38,$D$19)&lt;MAX($P$34*($B528+IF($R$17="Distrato",$I$38-1,0)),IF(AND($L$37=0,$P$34=0),"",$L$37-1),IF($R$17="Distrato",$E528,0))),0,YEARFRAC(MAX($P$34*($B528+IF($R$17="Distrato",$I$38-1,0)),IF(AND($L$37=0,$P$34=0),"",$L$37-1),IF($R$17="Distrato",$E528,0)),MIN(V$38,$D$19),$P$20))-SUM($P528:U528)</f>
        <v>#VALUE!</v>
      </c>
      <c r="W528" s="446" t="e">
        <f>IF(OR($B528="",MIN(W$38,$D$19)&lt;MAX($P$34*($B528+IF($R$17="Distrato",$I$38-1,0)),IF(AND($L$37=0,$P$34=0),"",$L$37-1),IF($R$17="Distrato",$E528,0))),0,YEARFRAC(MAX($P$34*($B528+IF($R$17="Distrato",$I$38-1,0)),IF(AND($L$37=0,$P$34=0),"",$L$37-1),IF($R$17="Distrato",$E528,0)),MIN(W$38,$D$19),$P$20))-SUM($P528:V528)</f>
        <v>#VALUE!</v>
      </c>
      <c r="X528" s="446" t="e">
        <f>IF(OR($B528="",MIN(X$38,$D$19)&lt;MAX($P$34*($B528+IF($R$17="Distrato",$I$38-1,0)),IF(AND($L$37=0,$P$34=0),"",$L$37-1),IF($R$17="Distrato",$E528,0))),0,YEARFRAC(MAX($P$34*($B528+IF($R$17="Distrato",$I$38-1,0)),IF(AND($L$37=0,$P$34=0),"",$L$37-1),IF($R$17="Distrato",$E528,0)),MIN(X$38,$D$19),$P$20))-SUM($P528:W528)</f>
        <v>#VALUE!</v>
      </c>
      <c r="Y528" s="446" t="e">
        <f>IF(OR($B528="",MIN(Y$38,$D$19)&lt;MAX($P$34*($B528+IF($R$17="Distrato",$I$38-1,0)),IF(AND($L$37=0,$P$34=0),"",$L$37-1),IF($R$17="Distrato",$E528,0))),0,YEARFRAC(MAX($P$34*($B528+IF($R$17="Distrato",$I$38-1,0)),IF(AND($L$37=0,$P$34=0),"",$L$37-1),IF($R$17="Distrato",$E528,0)),MIN(Y$38,$D$19),$P$20))-SUM($P528:X528)</f>
        <v>#VALUE!</v>
      </c>
      <c r="Z528" s="446" t="e">
        <f>IF(OR($B528="",MIN(Z$38,$D$19)&lt;MAX($P$34*($B528+IF($R$17="Distrato",$I$38-1,0)),IF(AND($L$37=0,$P$34=0),"",$L$37-1),IF($R$17="Distrato",$E528,0))),0,YEARFRAC(MAX($P$34*($B528+IF($R$17="Distrato",$I$38-1,0)),IF(AND($L$37=0,$P$34=0),"",$L$37-1),IF($R$17="Distrato",$E528,0)),MIN(Z$38,$D$19),$P$20))-SUM($P528:Y528)</f>
        <v>#VALUE!</v>
      </c>
      <c r="AA528" s="446" t="e">
        <f>IF(OR($B528="",MIN(AA$38,$D$19)&lt;MAX($P$34*($B528+IF($R$17="Distrato",$I$38-1,0)),IF(AND($L$37=0,$P$34=0),"",$L$37-1),IF($R$17="Distrato",$E528,0))),0,YEARFRAC(MAX($P$34*($B528+IF($R$17="Distrato",$I$38-1,0)),IF(AND($L$37=0,$P$34=0),"",$L$37-1),IF($R$17="Distrato",$E528,0)),MIN(AA$38,$D$19),$P$20))-SUM($P528:Z528)</f>
        <v>#VALUE!</v>
      </c>
      <c r="AB528" s="446" t="e">
        <f>IF(OR($B528="",MIN(AB$38,$D$19)&lt;MAX($P$34*($B528+IF($R$17="Distrato",$I$38-1,0)),IF(AND($L$37=0,$P$34=0),"",$L$37-1),IF($R$17="Distrato",$E528,0))),0,YEARFRAC(MAX($P$34*($B528+IF($R$17="Distrato",$I$38-1,0)),IF(AND($L$37=0,$P$34=0),"",$L$37-1),IF($R$17="Distrato",$E528,0)),MIN(AB$38,$D$19),$P$20))-SUM($P528:AA528)</f>
        <v>#VALUE!</v>
      </c>
      <c r="AC528" s="446" t="e">
        <f>IF(OR($B528="",MIN(AC$38,$D$19)&lt;MAX($P$34*($B528+IF($R$17="Distrato",$I$38-1,0)),IF(AND($L$37=0,$P$34=0),"",$L$37-1),IF($R$17="Distrato",$E528,0))),0,YEARFRAC(MAX($P$34*($B528+IF($R$17="Distrato",$I$38-1,0)),IF(AND($L$37=0,$P$34=0),"",$L$37-1),IF($R$17="Distrato",$E528,0)),MIN(AC$38,$D$19),$P$20))-SUM($P528:AB528)</f>
        <v>#VALUE!</v>
      </c>
      <c r="AD528" s="446" t="e">
        <f>IF(OR($B528="",MIN(AD$38,$D$19)&lt;MAX($P$34*($B528+IF($R$17="Distrato",$I$38-1,0)),IF(AND($L$37=0,$P$34=0),"",$L$37-1),IF($R$17="Distrato",$E528,0))),0,YEARFRAC(MAX($P$34*($B528+IF($R$17="Distrato",$I$38-1,0)),IF(AND($L$37=0,$P$34=0),"",$L$37-1),IF($R$17="Distrato",$E528,0)),MIN(AD$38,$D$19),$P$20))-SUM($P528:AC528)</f>
        <v>#VALUE!</v>
      </c>
      <c r="AE528" s="446" t="e">
        <f>IF(OR($B528="",MIN(AE$38,$D$19)&lt;MAX($P$34*($B528+IF($R$17="Distrato",$I$38-1,0)),IF(AND($L$37=0,$P$34=0),"",$L$37-1),IF($R$17="Distrato",$E528,0))),0,YEARFRAC(MAX($P$34*($B528+IF($R$17="Distrato",$I$38-1,0)),IF(AND($L$37=0,$P$34=0),"",$L$37-1),IF($R$17="Distrato",$E528,0)),MIN(AE$38,$D$19),$P$20))-SUM($P528:AD528)</f>
        <v>#VALUE!</v>
      </c>
      <c r="AF528" s="446" t="e">
        <f>IF(OR($B528="",MIN(AF$38,$D$19)&lt;MAX($P$34*($B528+IF($R$17="Distrato",$I$38-1,0)),IF(AND($L$37=0,$P$34=0),"",$L$37-1),IF($R$17="Distrato",$E528,0))),0,YEARFRAC(MAX($P$34*($B528+IF($R$17="Distrato",$I$38-1,0)),IF(AND($L$37=0,$P$34=0),"",$L$37-1),IF($R$17="Distrato",$E528,0)),MIN(AF$38,$D$19),$P$20))-SUM($P528:AE528)</f>
        <v>#VALUE!</v>
      </c>
      <c r="AG528" s="446" t="e">
        <f>IF(OR($B528="",MIN(AG$38,$D$19)&lt;MAX($P$34*($B528+IF($R$17="Distrato",$I$38-1,0)),IF(AND($L$37=0,$P$34=0),"",$L$37-1),IF($R$17="Distrato",$E528,0))),0,YEARFRAC(MAX($P$34*($B528+IF($R$17="Distrato",$I$38-1,0)),IF(AND($L$37=0,$P$34=0),"",$L$37-1),IF($R$17="Distrato",$E528,0)),MIN(AG$38,$D$19),$P$20))-SUM($P528:AF528)</f>
        <v>#VALUE!</v>
      </c>
      <c r="AH528" s="446" t="e">
        <f>IF(OR($B528="",MIN(AH$38,$D$19)&lt;MAX($P$34*($B528+IF($R$17="Distrato",$I$38-1,0)),IF(AND($L$37=0,$P$34=0),"",$L$37-1),IF($R$17="Distrato",$E528,0))),0,YEARFRAC(MAX($P$34*($B528+IF($R$17="Distrato",$I$38-1,0)),IF(AND($L$37=0,$P$34=0),"",$L$37-1),IF($R$17="Distrato",$E528,0)),MIN(AH$38,$D$19),$P$20))-SUM($P528:AG528)</f>
        <v>#VALUE!</v>
      </c>
      <c r="AI528" s="446" t="e">
        <f>IF(OR($B528="",MIN(AI$38,$D$19)&lt;MAX($P$34*($B528+IF($R$17="Distrato",$I$38-1,0)),IF(AND($L$37=0,$P$34=0),"",$L$37-1),IF($R$17="Distrato",$E528,0))),0,YEARFRAC(MAX($P$34*($B528+IF($R$17="Distrato",$I$38-1,0)),IF(AND($L$37=0,$P$34=0),"",$L$37-1),IF($R$17="Distrato",$E528,0)),MIN(AI$38,$D$19),$P$20))-SUM($P528:AH528)</f>
        <v>#VALUE!</v>
      </c>
      <c r="AJ528" s="446" t="e">
        <f>IF(OR($B528="",MIN(AJ$38,$D$19)&lt;MAX($P$34*($B528+IF($R$17="Distrato",$I$38-1,0)),IF(AND($L$37=0,$P$34=0),"",$L$37-1),IF($R$17="Distrato",$E528,0))),0,YEARFRAC(MAX($P$34*($B528+IF($R$17="Distrato",$I$38-1,0)),IF(AND($L$37=0,$P$34=0),"",$L$37-1),IF($R$17="Distrato",$E528,0)),MIN(AJ$38,$D$19),$P$20))-SUM($P528:AI528)</f>
        <v>#VALUE!</v>
      </c>
      <c r="AK528" s="446" t="e">
        <f>IF(OR($B528="",MIN(AK$38,$D$19)&lt;MAX($P$34*($B528+IF($R$17="Distrato",$I$38-1,0)),IF(AND($L$37=0,$P$34=0),"",$L$37-1),IF($R$17="Distrato",$E528,0))),0,YEARFRAC(MAX($P$34*($B528+IF($R$17="Distrato",$I$38-1,0)),IF(AND($L$37=0,$P$34=0),"",$L$37-1),IF($R$17="Distrato",$E528,0)),MIN(AK$38,$D$19),$P$20))-SUM($P528:AJ528)</f>
        <v>#VALUE!</v>
      </c>
      <c r="AL528" s="446" t="e">
        <f>IF(OR($B528="",MIN(AL$38,$D$19)&lt;MAX($P$34*($B528+IF($R$17="Distrato",$I$38-1,0)),IF(AND($L$37=0,$P$34=0),"",$L$37-1),IF($R$17="Distrato",$E528,0))),0,YEARFRAC(MAX($P$34*($B528+IF($R$17="Distrato",$I$38-1,0)),IF(AND($L$37=0,$P$34=0),"",$L$37-1),IF($R$17="Distrato",$E528,0)),MIN(AL$38,$D$19),$P$20))-SUM($P528:AK528)</f>
        <v>#VALUE!</v>
      </c>
      <c r="AM528" s="446" t="e">
        <f>IF(OR($B528="",MIN(AM$38,$D$19)&lt;MAX($P$34*($B528+IF($R$17="Distrato",$I$38-1,0)),IF(AND($L$37=0,$P$34=0),"",$L$37-1),IF($R$17="Distrato",$E528,0))),0,YEARFRAC(MAX($P$34*($B528+IF($R$17="Distrato",$I$38-1,0)),IF(AND($L$37=0,$P$34=0),"",$L$37-1),IF($R$17="Distrato",$E528,0)),MIN(AM$38,$D$19),$P$20))-SUM($P528:AL528)</f>
        <v>#VALUE!</v>
      </c>
      <c r="AN528" s="446" t="e">
        <f>IF(OR($B528="",MIN(AN$38,$D$19)&lt;MAX($P$34*($B528+IF($R$17="Distrato",$I$38-1,0)),IF(AND($L$37=0,$P$34=0),"",$L$37-1),IF($R$17="Distrato",$E528,0))),0,YEARFRAC(MAX($P$34*($B528+IF($R$17="Distrato",$I$38-1,0)),IF(AND($L$37=0,$P$34=0),"",$L$37-1),IF($R$17="Distrato",$E528,0)),MIN(AN$38,$D$19),$P$20))-SUM($P528:AM528)</f>
        <v>#VALUE!</v>
      </c>
      <c r="AO528" s="446" t="e">
        <f>IF(OR($B528="",MIN(AO$38,$D$19)&lt;MAX($P$34*($B528+IF($R$17="Distrato",$I$38-1,0)),IF(AND($L$37=0,$P$34=0),"",$L$37-1),IF($R$17="Distrato",$E528,0))),0,YEARFRAC(MAX($P$34*($B528+IF($R$17="Distrato",$I$38-1,0)),IF(AND($L$37=0,$P$34=0),"",$L$37-1),IF($R$17="Distrato",$E528,0)),MIN(AO$38,$D$19),$P$20))-SUM($P528:AN528)</f>
        <v>#VALUE!</v>
      </c>
      <c r="AP528" s="446" t="e">
        <f>IF(OR($B528="",MIN(AP$38,$D$19)&lt;MAX($P$34*($B528+IF($R$17="Distrato",$I$38-1,0)),IF(AND($L$37=0,$P$34=0),"",$L$37-1),IF($R$17="Distrato",$E528,0))),0,YEARFRAC(MAX($P$34*($B528+IF($R$17="Distrato",$I$38-1,0)),IF(AND($L$37=0,$P$34=0),"",$L$37-1),IF($R$17="Distrato",$E528,0)),MIN(AP$38,$D$19),$P$20))-SUM($P528:AO528)</f>
        <v>#VALUE!</v>
      </c>
      <c r="AQ528" s="446" t="e">
        <f>IF(OR($B528="",MIN(AQ$38,$D$19)&lt;MAX($P$34*($B528+IF($R$17="Distrato",$I$38-1,0)),IF(AND($L$37=0,$P$34=0),"",$L$37-1),IF($R$17="Distrato",$E528,0))),0,YEARFRAC(MAX($P$34*($B528+IF($R$17="Distrato",$I$38-1,0)),IF(AND($L$37=0,$P$34=0),"",$L$37-1),IF($R$17="Distrato",$E528,0)),MIN(AQ$38,$D$19),$P$20))-SUM($P528:AP528)</f>
        <v>#VALUE!</v>
      </c>
      <c r="AR528" s="446" t="e">
        <f>IF(OR($B528="",MIN(AR$38,$D$19)&lt;MAX($P$34*($B528+IF($R$17="Distrato",$I$38-1,0)),IF(AND($L$37=0,$P$34=0),"",$L$37-1),IF($R$17="Distrato",$E528,0))),0,YEARFRAC(MAX($P$34*($B528+IF($R$17="Distrato",$I$38-1,0)),IF(AND($L$37=0,$P$34=0),"",$L$37-1),IF($R$17="Distrato",$E528,0)),MIN(AR$38,$D$19),$P$20))-SUM($P528:AQ528)</f>
        <v>#VALUE!</v>
      </c>
      <c r="AS528" s="446" t="e">
        <f>IF(OR($B528="",MIN(AS$38,$D$19)&lt;MAX($P$34*($B528+IF($R$17="Distrato",$I$38-1,0)),IF(AND($L$37=0,$P$34=0),"",$L$37-1),IF($R$17="Distrato",$E528,0))),0,YEARFRAC(MAX($P$34*($B528+IF($R$17="Distrato",$I$38-1,0)),IF(AND($L$37=0,$P$34=0),"",$L$37-1),IF($R$17="Distrato",$E528,0)),MIN(AS$38,$D$19),$P$20))-SUM($P528:AR528)</f>
        <v>#VALUE!</v>
      </c>
      <c r="AT528" s="446" t="e">
        <f>IF(OR($B528="",MIN(AT$38,$D$19)&lt;MAX($P$34*($B528+IF($R$17="Distrato",$I$38-1,0)),IF(AND($L$37=0,$P$34=0),"",$L$37-1),IF($R$17="Distrato",$E528,0))),0,YEARFRAC(MAX($P$34*($B528+IF($R$17="Distrato",$I$38-1,0)),IF(AND($L$37=0,$P$34=0),"",$L$37-1),IF($R$17="Distrato",$E528,0)),MIN(AT$38,$D$19),$P$20))-SUM($P528:AS528)</f>
        <v>#VALUE!</v>
      </c>
      <c r="AU528" s="446" t="e">
        <f>IF(OR($B528="",MIN(AU$38,$D$19)&lt;MAX($P$34*($B528+IF($R$17="Distrato",$I$38-1,0)),IF(AND($L$37=0,$P$34=0),"",$L$37-1),IF($R$17="Distrato",$E528,0))),0,YEARFRAC(MAX($P$34*($B528+IF($R$17="Distrato",$I$38-1,0)),IF(AND($L$37=0,$P$34=0),"",$L$37-1),IF($R$17="Distrato",$E528,0)),MIN(AU$38,$D$19),$P$20))-SUM($P528:AT528)</f>
        <v>#VALUE!</v>
      </c>
      <c r="AV528" s="446" t="e">
        <f>IF(OR($B528="",MIN(AV$38,$D$19)&lt;MAX($P$34*($B528+IF($R$17="Distrato",$I$38-1,0)),IF(AND($L$37=0,$P$34=0),"",$L$37-1),IF($R$17="Distrato",$E528,0))),0,YEARFRAC(MAX($P$34*($B528+IF($R$17="Distrato",$I$38-1,0)),IF(AND($L$37=0,$P$34=0),"",$L$37-1),IF($R$17="Distrato",$E528,0)),MIN(AV$38,$D$19),$P$20))-SUM($P528:AU528)</f>
        <v>#VALUE!</v>
      </c>
      <c r="AW528" s="446" t="e">
        <f>IF(OR($B528="",MIN(AW$38,$D$19)&lt;MAX($P$34*($B528+IF($R$17="Distrato",$I$38-1,0)),IF(AND($L$37=0,$P$34=0),"",$L$37-1),IF($R$17="Distrato",$E528,0))),0,YEARFRAC(MAX($P$34*($B528+IF($R$17="Distrato",$I$38-1,0)),IF(AND($L$37=0,$P$34=0),"",$L$37-1),IF($R$17="Distrato",$E528,0)),MIN(AW$38,$D$19),$P$20))-SUM($P528:AV528)</f>
        <v>#VALUE!</v>
      </c>
      <c r="AX528" s="446" t="e">
        <f>IF(OR($B528="",MIN(AX$38,$D$19)&lt;MAX($P$34*($B528+IF($R$17="Distrato",$I$38-1,0)),IF(AND($L$37=0,$P$34=0),"",$L$37-1),IF($R$17="Distrato",$E528,0))),0,YEARFRAC(MAX($P$34*($B528+IF($R$17="Distrato",$I$38-1,0)),IF(AND($L$37=0,$P$34=0),"",$L$37-1),IF($R$17="Distrato",$E528,0)),MIN(AX$38,$D$19),$P$20))-SUM($P528:AW528)</f>
        <v>#VALUE!</v>
      </c>
      <c r="AY528" s="446" t="e">
        <f>IF(OR($B528="",MIN(AY$38,$D$19)&lt;MAX($P$34*($B528+IF($R$17="Distrato",$I$38-1,0)),IF(AND($L$37=0,$P$34=0),"",$L$37-1),IF($R$17="Distrato",$E528,0))),0,YEARFRAC(MAX($P$34*($B528+IF($R$17="Distrato",$I$38-1,0)),IF(AND($L$37=0,$P$34=0),"",$L$37-1),IF($R$17="Distrato",$E528,0)),MIN(AY$38,$D$19),$P$20))-SUM($P528:AX528)</f>
        <v>#VALUE!</v>
      </c>
      <c r="AZ528" s="446" t="e">
        <f>IF(OR($B528="",MIN(AZ$38,$D$19)&lt;MAX($P$34*($B528+IF($R$17="Distrato",$I$38-1,0)),IF(AND($L$37=0,$P$34=0),"",$L$37-1),IF($R$17="Distrato",$E528,0))),0,YEARFRAC(MAX($P$34*($B528+IF($R$17="Distrato",$I$38-1,0)),IF(AND($L$37=0,$P$34=0),"",$L$37-1),IF($R$17="Distrato",$E528,0)),MIN(AZ$38,$D$19),$P$20))-SUM($P528:AY528)</f>
        <v>#VALUE!</v>
      </c>
      <c r="BA528" s="446" t="e">
        <f>IF(OR($B528="",MIN(BA$38,$D$19)&lt;MAX($P$34*($B528+IF($R$17="Distrato",$I$38-1,0)),IF(AND($L$37=0,$P$34=0),"",$L$37-1),IF($R$17="Distrato",$E528,0))),0,YEARFRAC(MAX($P$34*($B528+IF($R$17="Distrato",$I$38-1,0)),IF(AND($L$37=0,$P$34=0),"",$L$37-1),IF($R$17="Distrato",$E528,0)),MIN(BA$38,$D$19),$P$20))-SUM($P528:AZ528)</f>
        <v>#VALUE!</v>
      </c>
      <c r="BB528" s="447"/>
      <c r="BF528" s="446">
        <f t="shared" si="87"/>
        <v>0</v>
      </c>
      <c r="BG528" s="446">
        <f>IF($E528=0,0,IF(MIN(BG$38,$E528)&lt;MAX($P$34*($B528+$I$38-1),IF(AND($L$37=0,$P$34=0),"",$L$37-1)),0,YEARFRAC(MAX($P$34*($B528+$I$38-1),IF(AND($L$37=0,$P$34=0),"",$L$37-1)),MIN(BG$38,$E528),$P$20))-SUM($BF528:BF528))</f>
        <v>0</v>
      </c>
      <c r="BH528" s="446">
        <f>IF($E528=0,0,IF(MIN(BH$38,$E528)&lt;MAX($P$34*($B528+$I$38-1),IF(AND($L$37=0,$P$34=0),"",$L$37-1)),0,YEARFRAC(MAX($P$34*($B528+$I$38-1),IF(AND($L$37=0,$P$34=0),"",$L$37-1)),MIN(BH$38,$E528),$P$20))-SUM($BF528:BG528))</f>
        <v>0</v>
      </c>
      <c r="BI528" s="446">
        <f>IF($E528=0,0,IF(MIN(BI$38,$E528)&lt;MAX($P$34*($B528+$I$38-1),IF(AND($L$37=0,$P$34=0),"",$L$37-1)),0,YEARFRAC(MAX($P$34*($B528+$I$38-1),IF(AND($L$37=0,$P$34=0),"",$L$37-1)),MIN(BI$38,$E528),$P$20))-SUM($BF528:BH528))</f>
        <v>0</v>
      </c>
      <c r="BJ528" s="446">
        <f>IF($E528=0,0,IF(MIN(BJ$38,$E528)&lt;MAX($P$34*($B528+$I$38-1),IF(AND($L$37=0,$P$34=0),"",$L$37-1)),0,YEARFRAC(MAX($P$34*($B528+$I$38-1),IF(AND($L$37=0,$P$34=0),"",$L$37-1)),MIN(BJ$38,$E528),$P$20))-SUM($BF528:BI528))</f>
        <v>0</v>
      </c>
      <c r="BK528" s="446">
        <f>IF($E528=0,0,IF(MIN(BK$38,$E528)&lt;MAX($P$34*($B528+$I$38-1),IF(AND($L$37=0,$P$34=0),"",$L$37-1)),0,YEARFRAC(MAX($P$34*($B528+$I$38-1),IF(AND($L$37=0,$P$34=0),"",$L$37-1)),MIN(BK$38,$E528),$P$20))-SUM($BF528:BJ528))</f>
        <v>0</v>
      </c>
      <c r="BL528" s="446">
        <f>IF($E528=0,0,IF(MIN(BL$38,$E528)&lt;MAX($P$34*($B528+$I$38-1),IF(AND($L$37=0,$P$34=0),"",$L$37-1)),0,YEARFRAC(MAX($P$34*($B528+$I$38-1),IF(AND($L$37=0,$P$34=0),"",$L$37-1)),MIN(BL$38,$E528),$P$20))-SUM($BF528:BK528))</f>
        <v>0</v>
      </c>
      <c r="BM528" s="446">
        <f>IF($E528=0,0,IF(MIN(BM$38,$E528)&lt;MAX($P$34*($B528+$I$38-1),IF(AND($L$37=0,$P$34=0),"",$L$37-1)),0,YEARFRAC(MAX($P$34*($B528+$I$38-1),IF(AND($L$37=0,$P$34=0),"",$L$37-1)),MIN(BM$38,$E528),$P$20))-SUM($BF528:BL528))</f>
        <v>0</v>
      </c>
      <c r="BN528" s="446">
        <f>IF($E528=0,0,IF(MIN(BN$38,$E528)&lt;MAX($P$34*($B528+$I$38-1),IF(AND($L$37=0,$P$34=0),"",$L$37-1)),0,YEARFRAC(MAX($P$34*($B528+$I$38-1),IF(AND($L$37=0,$P$34=0),"",$L$37-1)),MIN(BN$38,$E528),$P$20))-SUM($BF528:BM528))</f>
        <v>0</v>
      </c>
      <c r="BO528" s="446">
        <f>IF($E528=0,0,IF(MIN(BO$38,$E528)&lt;MAX($P$34*($B528+$I$38-1),IF(AND($L$37=0,$P$34=0),"",$L$37-1)),0,YEARFRAC(MAX($P$34*($B528+$I$38-1),IF(AND($L$37=0,$P$34=0),"",$L$37-1)),MIN(BO$38,$E528),$P$20))-SUM($BF528:BN528))</f>
        <v>0</v>
      </c>
      <c r="BP528" s="446">
        <f>IF($E528=0,0,IF(MIN(BP$38,$E528)&lt;MAX($P$34*($B528+$I$38-1),IF(AND($L$37=0,$P$34=0),"",$L$37-1)),0,YEARFRAC(MAX($P$34*($B528+$I$38-1),IF(AND($L$37=0,$P$34=0),"",$L$37-1)),MIN(BP$38,$E528),$P$20))-SUM($BF528:BO528))</f>
        <v>0</v>
      </c>
      <c r="BQ528" s="446">
        <f>IF($E528=0,0,IF(MIN(BQ$38,$E528)&lt;MAX($P$34*($B528+$I$38-1),IF(AND($L$37=0,$P$34=0),"",$L$37-1)),0,YEARFRAC(MAX($P$34*($B528+$I$38-1),IF(AND($L$37=0,$P$34=0),"",$L$37-1)),MIN(BQ$38,$E528),$P$20))-SUM($BF528:BP528))</f>
        <v>0</v>
      </c>
      <c r="BR528" s="446">
        <f>IF($E528=0,0,IF(MIN(BR$38,$E528)&lt;MAX($P$34*($B528+$I$38-1),IF(AND($L$37=0,$P$34=0),"",$L$37-1)),0,YEARFRAC(MAX($P$34*($B528+$I$38-1),IF(AND($L$37=0,$P$34=0),"",$L$37-1)),MIN(BR$38,$E528),$P$20))-SUM($BF528:BQ528))</f>
        <v>0</v>
      </c>
      <c r="BS528" s="446">
        <f>IF($E528=0,0,IF(MIN(BS$38,$E528)&lt;MAX($P$34*($B528+$I$38-1),IF(AND($L$37=0,$P$34=0),"",$L$37-1)),0,YEARFRAC(MAX($P$34*($B528+$I$38-1),IF(AND($L$37=0,$P$34=0),"",$L$37-1)),MIN(BS$38,$E528),$P$20))-SUM($BF528:BR528))</f>
        <v>0</v>
      </c>
      <c r="BT528" s="446">
        <f>IF($E528=0,0,IF(MIN(BT$38,$E528)&lt;MAX($P$34*($B528+$I$38-1),IF(AND($L$37=0,$P$34=0),"",$L$37-1)),0,YEARFRAC(MAX($P$34*($B528+$I$38-1),IF(AND($L$37=0,$P$34=0),"",$L$37-1)),MIN(BT$38,$E528),$P$20))-SUM($BF528:BS528))</f>
        <v>0</v>
      </c>
      <c r="BU528" s="446">
        <f>IF($E528=0,0,IF(MIN(BU$38,$E528)&lt;MAX($P$34*($B528+$I$38-1),IF(AND($L$37=0,$P$34=0),"",$L$37-1)),0,YEARFRAC(MAX($P$34*($B528+$I$38-1),IF(AND($L$37=0,$P$34=0),"",$L$37-1)),MIN(BU$38,$E528),$P$20))-SUM($BF528:BT528))</f>
        <v>0</v>
      </c>
      <c r="BV528" s="446">
        <f>IF($E528=0,0,IF(MIN(BV$38,$E528)&lt;MAX($P$34*($B528+$I$38-1),IF(AND($L$37=0,$P$34=0),"",$L$37-1)),0,YEARFRAC(MAX($P$34*($B528+$I$38-1),IF(AND($L$37=0,$P$34=0),"",$L$37-1)),MIN(BV$38,$E528),$P$20))-SUM($BF528:BU528))</f>
        <v>0</v>
      </c>
      <c r="BW528" s="446">
        <f>IF($E528=0,0,IF(MIN(BW$38,$E528)&lt;MAX($P$34*($B528+$I$38-1),IF(AND($L$37=0,$P$34=0),"",$L$37-1)),0,YEARFRAC(MAX($P$34*($B528+$I$38-1),IF(AND($L$37=0,$P$34=0),"",$L$37-1)),MIN(BW$38,$E528),$P$20))-SUM($BF528:BV528))</f>
        <v>0</v>
      </c>
      <c r="BX528" s="446">
        <f>IF($E528=0,0,IF(MIN(BX$38,$E528)&lt;MAX($P$34*($B528+$I$38-1),IF(AND($L$37=0,$P$34=0),"",$L$37-1)),0,YEARFRAC(MAX($P$34*($B528+$I$38-1),IF(AND($L$37=0,$P$34=0),"",$L$37-1)),MIN(BX$38,$E528),$P$20))-SUM($BF528:BW528))</f>
        <v>0</v>
      </c>
      <c r="BY528" s="446">
        <f>IF($E528=0,0,IF(MIN(BY$38,$E528)&lt;MAX($P$34*($B528+$I$38-1),IF(AND($L$37=0,$P$34=0),"",$L$37-1)),0,YEARFRAC(MAX($P$34*($B528+$I$38-1),IF(AND($L$37=0,$P$34=0),"",$L$37-1)),MIN(BY$38,$E528),$P$20))-SUM($BF528:BX528))</f>
        <v>0</v>
      </c>
      <c r="BZ528" s="446">
        <f>IF($E528=0,0,IF(MIN(BZ$38,$E528)&lt;MAX($P$34*($B528+$I$38-1),IF(AND($L$37=0,$P$34=0),"",$L$37-1)),0,YEARFRAC(MAX($P$34*($B528+$I$38-1),IF(AND($L$37=0,$P$34=0),"",$L$37-1)),MIN(BZ$38,$E528),$P$20))-SUM($BF528:BY528))</f>
        <v>0</v>
      </c>
      <c r="CA528" s="446">
        <f>IF($E528=0,0,IF(MIN(CA$38,$E528)&lt;MAX($P$34*($B528+$I$38-1),IF(AND($L$37=0,$P$34=0),"",$L$37-1)),0,YEARFRAC(MAX($P$34*($B528+$I$38-1),IF(AND($L$37=0,$P$34=0),"",$L$37-1)),MIN(CA$38,$E528),$P$20))-SUM($BF528:BZ528))</f>
        <v>0</v>
      </c>
      <c r="CB528" s="446">
        <f>IF($E528=0,0,IF(MIN(CB$38,$E528)&lt;MAX($P$34*($B528+$I$38-1),IF(AND($L$37=0,$P$34=0),"",$L$37-1)),0,YEARFRAC(MAX($P$34*($B528+$I$38-1),IF(AND($L$37=0,$P$34=0),"",$L$37-1)),MIN(CB$38,$E528),$P$20))-SUM($BF528:CA528))</f>
        <v>0</v>
      </c>
      <c r="CC528" s="446">
        <f>IF($E528=0,0,IF(MIN(CC$38,$E528)&lt;MAX($P$34*($B528+$I$38-1),IF(AND($L$37=0,$P$34=0),"",$L$37-1)),0,YEARFRAC(MAX($P$34*($B528+$I$38-1),IF(AND($L$37=0,$P$34=0),"",$L$37-1)),MIN(CC$38,$E528),$P$20))-SUM($BF528:CB528))</f>
        <v>0</v>
      </c>
      <c r="CD528" s="446">
        <f>IF($E528=0,0,IF(MIN(CD$38,$E528)&lt;MAX($P$34*($B528+$I$38-1),IF(AND($L$37=0,$P$34=0),"",$L$37-1)),0,YEARFRAC(MAX($P$34*($B528+$I$38-1),IF(AND($L$37=0,$P$34=0),"",$L$37-1)),MIN(CD$38,$E528),$P$20))-SUM($BF528:CC528))</f>
        <v>0</v>
      </c>
      <c r="CE528" s="446">
        <f>IF($E528=0,0,IF(MIN(CE$38,$E528)&lt;MAX($P$34*($B528+$I$38-1),IF(AND($L$37=0,$P$34=0),"",$L$37-1)),0,YEARFRAC(MAX($P$34*($B528+$I$38-1),IF(AND($L$37=0,$P$34=0),"",$L$37-1)),MIN(CE$38,$E528),$P$20))-SUM($BF528:CD528))</f>
        <v>0</v>
      </c>
      <c r="CF528" s="446">
        <f>IF($E528=0,0,IF(MIN(CF$38,$E528)&lt;MAX($P$34*($B528+$I$38-1),IF(AND($L$37=0,$P$34=0),"",$L$37-1)),0,YEARFRAC(MAX($P$34*($B528+$I$38-1),IF(AND($L$37=0,$P$34=0),"",$L$37-1)),MIN(CF$38,$E528),$P$20))-SUM($BF528:CE528))</f>
        <v>0</v>
      </c>
      <c r="CG528" s="446">
        <f>IF($E528=0,0,IF(MIN(CG$38,$E528)&lt;MAX($P$34*($B528+$I$38-1),IF(AND($L$37=0,$P$34=0),"",$L$37-1)),0,YEARFRAC(MAX($P$34*($B528+$I$38-1),IF(AND($L$37=0,$P$34=0),"",$L$37-1)),MIN(CG$38,$E528),$P$20))-SUM($BF528:CF528))</f>
        <v>0</v>
      </c>
      <c r="CH528" s="446">
        <f>IF($E528=0,0,IF(MIN(CH$38,$E528)&lt;MAX($P$34*($B528+$I$38-1),IF(AND($L$37=0,$P$34=0),"",$L$37-1)),0,YEARFRAC(MAX($P$34*($B528+$I$38-1),IF(AND($L$37=0,$P$34=0),"",$L$37-1)),MIN(CH$38,$E528),$P$20))-SUM($BF528:CG528))</f>
        <v>0</v>
      </c>
      <c r="CI528" s="446">
        <f>IF($E528=0,0,IF(MIN(CI$38,$E528)&lt;MAX($P$34*($B528+$I$38-1),IF(AND($L$37=0,$P$34=0),"",$L$37-1)),0,YEARFRAC(MAX($P$34*($B528+$I$38-1),IF(AND($L$37=0,$P$34=0),"",$L$37-1)),MIN(CI$38,$E528),$P$20))-SUM($BF528:CH528))</f>
        <v>0</v>
      </c>
      <c r="CJ528" s="446">
        <f>IF($E528=0,0,IF(MIN(CJ$38,$E528)&lt;MAX($P$34*($B528+$I$38-1),IF(AND($L$37=0,$P$34=0),"",$L$37-1)),0,YEARFRAC(MAX($P$34*($B528+$I$38-1),IF(AND($L$37=0,$P$34=0),"",$L$37-1)),MIN(CJ$38,$E528),$P$20))-SUM($BF528:CI528))</f>
        <v>0</v>
      </c>
      <c r="CK528" s="446">
        <f>IF($E528=0,0,IF(MIN(CK$38,$E528)&lt;MAX($P$34*($B528+$I$38-1),IF(AND($L$37=0,$P$34=0),"",$L$37-1)),0,YEARFRAC(MAX($P$34*($B528+$I$38-1),IF(AND($L$37=0,$P$34=0),"",$L$37-1)),MIN(CK$38,$E528),$P$20))-SUM($BF528:CJ528))</f>
        <v>0</v>
      </c>
      <c r="CL528" s="446">
        <f>IF($E528=0,0,IF(MIN(CL$38,$E528)&lt;MAX($P$34*($B528+$I$38-1),IF(AND($L$37=0,$P$34=0),"",$L$37-1)),0,YEARFRAC(MAX($P$34*($B528+$I$38-1),IF(AND($L$37=0,$P$34=0),"",$L$37-1)),MIN(CL$38,$E528),$P$20))-SUM($BF528:CK528))</f>
        <v>0</v>
      </c>
      <c r="CM528" s="446">
        <f>IF($E528=0,0,IF(MIN(CM$38,$E528)&lt;MAX($P$34*($B528+$I$38-1),IF(AND($L$37=0,$P$34=0),"",$L$37-1)),0,YEARFRAC(MAX($P$34*($B528+$I$38-1),IF(AND($L$37=0,$P$34=0),"",$L$37-1)),MIN(CM$38,$E528),$P$20))-SUM($BF528:CL528))</f>
        <v>0</v>
      </c>
      <c r="CN528" s="446">
        <f>IF($E528=0,0,IF(MIN(CN$38,$E528)&lt;MAX($P$34*($B528+$I$38-1),IF(AND($L$37=0,$P$34=0),"",$L$37-1)),0,YEARFRAC(MAX($P$34*($B528+$I$38-1),IF(AND($L$37=0,$P$34=0),"",$L$37-1)),MIN(CN$38,$E528),$P$20))-SUM($BF528:CM528))</f>
        <v>0</v>
      </c>
      <c r="CO528" s="446">
        <f>IF($E528=0,0,IF(MIN(CO$38,$E528)&lt;MAX($P$34*($B528+$I$38-1),IF(AND($L$37=0,$P$34=0),"",$L$37-1)),0,YEARFRAC(MAX($P$34*($B528+$I$38-1),IF(AND($L$37=0,$P$34=0),"",$L$37-1)),MIN(CO$38,$E528),$P$20))-SUM($BF528:CN528))</f>
        <v>0</v>
      </c>
      <c r="CP528" s="446">
        <f>IF($E528=0,0,IF(MIN(CP$38,$E528)&lt;MAX($P$34*($B528+$I$38-1),IF(AND($L$37=0,$P$34=0),"",$L$37-1)),0,YEARFRAC(MAX($P$34*($B528+$I$38-1),IF(AND($L$37=0,$P$34=0),"",$L$37-1)),MIN(CP$38,$E528),$P$20))-SUM($BF528:CO528))</f>
        <v>0</v>
      </c>
      <c r="CQ528" s="446">
        <f>IF($E528=0,0,IF(MIN(CQ$38,$E528)&lt;MAX($P$34*($B528+$I$38-1),IF(AND($L$37=0,$P$34=0),"",$L$37-1)),0,YEARFRAC(MAX($P$34*($B528+$I$38-1),IF(AND($L$37=0,$P$34=0),"",$L$37-1)),MIN(CQ$38,$E528),$P$20))-SUM($BF528:CP528))</f>
        <v>0</v>
      </c>
    </row>
    <row r="529" spans="1:95" s="446" customFormat="1" ht="11.25" hidden="1" customHeight="1" x14ac:dyDescent="0.2">
      <c r="A529" s="152"/>
      <c r="B529" s="153" t="str">
        <f t="shared" si="92"/>
        <v/>
      </c>
      <c r="C529" s="29" t="str">
        <f>IF(B529="","",IF($L$35="SELIC - TRIBUTOS",VLOOKUP(DATE(YEAR($D$19),MONTH($D$19)-1,1),ÍNDICES!$A:$DE,HLOOKUP($BL$25,ÍNDICES!$B$3:$T$4,2)+11)-VLOOKUP(B529,ÍNDICES!$A:$DE,HLOOKUP($BL$25,ÍNDICES!$B$3:$T$4,2)+11)+1%,IF(C$38=$W$26,$J$35,IF(ISERROR(IF(B529&gt;$D$19,1,VLOOKUP(DATE(YEAR(B529),MONTH(B529)+IF($C$35=$S$23,1,0),1),ÍNDICES!$A:$DE,$Z$35+1))),"",IF(B529&gt;$D$19,1,VLOOKUP(DATE(YEAR(B529),MONTH(B529)+IF($C$35=$S$23,1,0),1),ÍNDICES!$A:$DE,$Z$35+1))))))</f>
        <v/>
      </c>
      <c r="D529" s="154" t="str">
        <f>IF(ISERROR(IF(OR($D$38=$Y$27,$B529=""),"",VLOOKUP(B529,ÍNDICES!A:DE,AF$35+1))),"",IF(OR($D$38=$Y$27,$B529=""),"",VLOOKUP(B529,ÍNDICES!A:DE,AF$35+1)))</f>
        <v/>
      </c>
      <c r="E529" s="153"/>
      <c r="F529" s="29" t="str">
        <f>IF(E529="","",IF($L$35="SELIC - TRIBUTOS",VLOOKUP(DATE(YEAR($D$19),MONTH($D$19)-1,1),ÍNDICES!$A:$DE,HLOOKUP($BL$25,ÍNDICES!$B$3:$T$4,2)+11)-VLOOKUP(E529,ÍNDICES!$A:$DE,HLOOKUP($BL$25,ÍNDICES!$B$3:$T$4,2)+11)+1%,IF(F$38=$W$26,$J$35,IF(ISERROR(IF(E529&gt;$D$19,1,VLOOKUP(DATE(YEAR(E529),MONTH(E529)+IF($C$35=$S$23,1,0),1),ÍNDICES!$A:$DE,$Z$35+1))),"",IF(E529&gt;$D$19,1,VLOOKUP(DATE(YEAR(E529),MONTH(E529)+IF($C$35=$S$23,1,0),1),ÍNDICES!$A:$DE,$Z$35+1))))))</f>
        <v/>
      </c>
      <c r="G529" s="155"/>
      <c r="H529" s="156" t="str">
        <f t="shared" si="88"/>
        <v/>
      </c>
      <c r="I529" s="29" t="str">
        <f t="shared" si="82"/>
        <v/>
      </c>
      <c r="J529" s="5">
        <f t="shared" si="83"/>
        <v>0</v>
      </c>
      <c r="K529" s="20">
        <f t="shared" ca="1" si="84"/>
        <v>0</v>
      </c>
      <c r="L529" s="5">
        <f t="shared" ca="1" si="85"/>
        <v>0</v>
      </c>
      <c r="M529" s="64">
        <f t="shared" si="89"/>
        <v>0</v>
      </c>
      <c r="N529" s="61">
        <f t="shared" ca="1" si="90"/>
        <v>0</v>
      </c>
      <c r="O529" s="5">
        <f t="shared" ca="1" si="91"/>
        <v>0</v>
      </c>
      <c r="P529" s="446" t="e">
        <f t="shared" si="86"/>
        <v>#VALUE!</v>
      </c>
      <c r="Q529" s="446" t="e">
        <f>IF(OR($B529="",MIN(Q$38,$D$19)&lt;MAX($P$34*($B529+IF($R$17="Distrato",$I$38-1,0)),IF(AND($L$37=0,$P$34=0),"",$L$37-1),IF($R$17="Distrato",$E529,0))),0,YEARFRAC(MAX($P$34*($B529+IF($R$17="Distrato",$I$38-1,0)),IF(AND($L$37=0,$P$34=0),"",$L$37-1),IF($R$17="Distrato",$E529,0)),MIN(Q$38,$D$19),$P$20))-SUM($P529:P529)</f>
        <v>#VALUE!</v>
      </c>
      <c r="R529" s="446" t="e">
        <f>IF(OR($B529="",MIN(R$38,$D$19)&lt;MAX($P$34*($B529+IF($R$17="Distrato",$I$38-1,0)),IF(AND($L$37=0,$P$34=0),"",$L$37-1),IF($R$17="Distrato",$E529,0))),0,YEARFRAC(MAX($P$34*($B529+IF($R$17="Distrato",$I$38-1,0)),IF(AND($L$37=0,$P$34=0),"",$L$37-1),IF($R$17="Distrato",$E529,0)),MIN(R$38,$D$19),$P$20))-SUM($P529:Q529)</f>
        <v>#VALUE!</v>
      </c>
      <c r="S529" s="446" t="e">
        <f>IF(OR($B529="",MIN(S$38,$D$19)&lt;MAX($P$34*($B529+IF($R$17="Distrato",$I$38-1,0)),IF(AND($L$37=0,$P$34=0),"",$L$37-1),IF($R$17="Distrato",$E529,0))),0,YEARFRAC(MAX($P$34*($B529+IF($R$17="Distrato",$I$38-1,0)),IF(AND($L$37=0,$P$34=0),"",$L$37-1),IF($R$17="Distrato",$E529,0)),MIN(S$38,$D$19),$P$20))-SUM($P529:R529)</f>
        <v>#VALUE!</v>
      </c>
      <c r="T529" s="446" t="e">
        <f>IF(OR($B529="",MIN(T$38,$D$19)&lt;MAX($P$34*($B529+IF($R$17="Distrato",$I$38-1,0)),IF(AND($L$37=0,$P$34=0),"",$L$37-1),IF($R$17="Distrato",$E529,0))),0,YEARFRAC(MAX($P$34*($B529+IF($R$17="Distrato",$I$38-1,0)),IF(AND($L$37=0,$P$34=0),"",$L$37-1),IF($R$17="Distrato",$E529,0)),MIN(T$38,$D$19),$P$20))-SUM($P529:S529)</f>
        <v>#VALUE!</v>
      </c>
      <c r="U529" s="446" t="e">
        <f>IF(OR($B529="",MIN(U$38,$D$19)&lt;MAX($P$34*($B529+IF($R$17="Distrato",$I$38-1,0)),IF(AND($L$37=0,$P$34=0),"",$L$37-1),IF($R$17="Distrato",$E529,0))),0,YEARFRAC(MAX($P$34*($B529+IF($R$17="Distrato",$I$38-1,0)),IF(AND($L$37=0,$P$34=0),"",$L$37-1),IF($R$17="Distrato",$E529,0)),MIN(U$38,$D$19),$P$20))-SUM($P529:T529)</f>
        <v>#VALUE!</v>
      </c>
      <c r="V529" s="446" t="e">
        <f>IF(OR($B529="",MIN(V$38,$D$19)&lt;MAX($P$34*($B529+IF($R$17="Distrato",$I$38-1,0)),IF(AND($L$37=0,$P$34=0),"",$L$37-1),IF($R$17="Distrato",$E529,0))),0,YEARFRAC(MAX($P$34*($B529+IF($R$17="Distrato",$I$38-1,0)),IF(AND($L$37=0,$P$34=0),"",$L$37-1),IF($R$17="Distrato",$E529,0)),MIN(V$38,$D$19),$P$20))-SUM($P529:U529)</f>
        <v>#VALUE!</v>
      </c>
      <c r="W529" s="446" t="e">
        <f>IF(OR($B529="",MIN(W$38,$D$19)&lt;MAX($P$34*($B529+IF($R$17="Distrato",$I$38-1,0)),IF(AND($L$37=0,$P$34=0),"",$L$37-1),IF($R$17="Distrato",$E529,0))),0,YEARFRAC(MAX($P$34*($B529+IF($R$17="Distrato",$I$38-1,0)),IF(AND($L$37=0,$P$34=0),"",$L$37-1),IF($R$17="Distrato",$E529,0)),MIN(W$38,$D$19),$P$20))-SUM($P529:V529)</f>
        <v>#VALUE!</v>
      </c>
      <c r="X529" s="446" t="e">
        <f>IF(OR($B529="",MIN(X$38,$D$19)&lt;MAX($P$34*($B529+IF($R$17="Distrato",$I$38-1,0)),IF(AND($L$37=0,$P$34=0),"",$L$37-1),IF($R$17="Distrato",$E529,0))),0,YEARFRAC(MAX($P$34*($B529+IF($R$17="Distrato",$I$38-1,0)),IF(AND($L$37=0,$P$34=0),"",$L$37-1),IF($R$17="Distrato",$E529,0)),MIN(X$38,$D$19),$P$20))-SUM($P529:W529)</f>
        <v>#VALUE!</v>
      </c>
      <c r="Y529" s="446" t="e">
        <f>IF(OR($B529="",MIN(Y$38,$D$19)&lt;MAX($P$34*($B529+IF($R$17="Distrato",$I$38-1,0)),IF(AND($L$37=0,$P$34=0),"",$L$37-1),IF($R$17="Distrato",$E529,0))),0,YEARFRAC(MAX($P$34*($B529+IF($R$17="Distrato",$I$38-1,0)),IF(AND($L$37=0,$P$34=0),"",$L$37-1),IF($R$17="Distrato",$E529,0)),MIN(Y$38,$D$19),$P$20))-SUM($P529:X529)</f>
        <v>#VALUE!</v>
      </c>
      <c r="Z529" s="446" t="e">
        <f>IF(OR($B529="",MIN(Z$38,$D$19)&lt;MAX($P$34*($B529+IF($R$17="Distrato",$I$38-1,0)),IF(AND($L$37=0,$P$34=0),"",$L$37-1),IF($R$17="Distrato",$E529,0))),0,YEARFRAC(MAX($P$34*($B529+IF($R$17="Distrato",$I$38-1,0)),IF(AND($L$37=0,$P$34=0),"",$L$37-1),IF($R$17="Distrato",$E529,0)),MIN(Z$38,$D$19),$P$20))-SUM($P529:Y529)</f>
        <v>#VALUE!</v>
      </c>
      <c r="AA529" s="446" t="e">
        <f>IF(OR($B529="",MIN(AA$38,$D$19)&lt;MAX($P$34*($B529+IF($R$17="Distrato",$I$38-1,0)),IF(AND($L$37=0,$P$34=0),"",$L$37-1),IF($R$17="Distrato",$E529,0))),0,YEARFRAC(MAX($P$34*($B529+IF($R$17="Distrato",$I$38-1,0)),IF(AND($L$37=0,$P$34=0),"",$L$37-1),IF($R$17="Distrato",$E529,0)),MIN(AA$38,$D$19),$P$20))-SUM($P529:Z529)</f>
        <v>#VALUE!</v>
      </c>
      <c r="AB529" s="446" t="e">
        <f>IF(OR($B529="",MIN(AB$38,$D$19)&lt;MAX($P$34*($B529+IF($R$17="Distrato",$I$38-1,0)),IF(AND($L$37=0,$P$34=0),"",$L$37-1),IF($R$17="Distrato",$E529,0))),0,YEARFRAC(MAX($P$34*($B529+IF($R$17="Distrato",$I$38-1,0)),IF(AND($L$37=0,$P$34=0),"",$L$37-1),IF($R$17="Distrato",$E529,0)),MIN(AB$38,$D$19),$P$20))-SUM($P529:AA529)</f>
        <v>#VALUE!</v>
      </c>
      <c r="AC529" s="446" t="e">
        <f>IF(OR($B529="",MIN(AC$38,$D$19)&lt;MAX($P$34*($B529+IF($R$17="Distrato",$I$38-1,0)),IF(AND($L$37=0,$P$34=0),"",$L$37-1),IF($R$17="Distrato",$E529,0))),0,YEARFRAC(MAX($P$34*($B529+IF($R$17="Distrato",$I$38-1,0)),IF(AND($L$37=0,$P$34=0),"",$L$37-1),IF($R$17="Distrato",$E529,0)),MIN(AC$38,$D$19),$P$20))-SUM($P529:AB529)</f>
        <v>#VALUE!</v>
      </c>
      <c r="AD529" s="446" t="e">
        <f>IF(OR($B529="",MIN(AD$38,$D$19)&lt;MAX($P$34*($B529+IF($R$17="Distrato",$I$38-1,0)),IF(AND($L$37=0,$P$34=0),"",$L$37-1),IF($R$17="Distrato",$E529,0))),0,YEARFRAC(MAX($P$34*($B529+IF($R$17="Distrato",$I$38-1,0)),IF(AND($L$37=0,$P$34=0),"",$L$37-1),IF($R$17="Distrato",$E529,0)),MIN(AD$38,$D$19),$P$20))-SUM($P529:AC529)</f>
        <v>#VALUE!</v>
      </c>
      <c r="AE529" s="446" t="e">
        <f>IF(OR($B529="",MIN(AE$38,$D$19)&lt;MAX($P$34*($B529+IF($R$17="Distrato",$I$38-1,0)),IF(AND($L$37=0,$P$34=0),"",$L$37-1),IF($R$17="Distrato",$E529,0))),0,YEARFRAC(MAX($P$34*($B529+IF($R$17="Distrato",$I$38-1,0)),IF(AND($L$37=0,$P$34=0),"",$L$37-1),IF($R$17="Distrato",$E529,0)),MIN(AE$38,$D$19),$P$20))-SUM($P529:AD529)</f>
        <v>#VALUE!</v>
      </c>
      <c r="AF529" s="446" t="e">
        <f>IF(OR($B529="",MIN(AF$38,$D$19)&lt;MAX($P$34*($B529+IF($R$17="Distrato",$I$38-1,0)),IF(AND($L$37=0,$P$34=0),"",$L$37-1),IF($R$17="Distrato",$E529,0))),0,YEARFRAC(MAX($P$34*($B529+IF($R$17="Distrato",$I$38-1,0)),IF(AND($L$37=0,$P$34=0),"",$L$37-1),IF($R$17="Distrato",$E529,0)),MIN(AF$38,$D$19),$P$20))-SUM($P529:AE529)</f>
        <v>#VALUE!</v>
      </c>
      <c r="AG529" s="446" t="e">
        <f>IF(OR($B529="",MIN(AG$38,$D$19)&lt;MAX($P$34*($B529+IF($R$17="Distrato",$I$38-1,0)),IF(AND($L$37=0,$P$34=0),"",$L$37-1),IF($R$17="Distrato",$E529,0))),0,YEARFRAC(MAX($P$34*($B529+IF($R$17="Distrato",$I$38-1,0)),IF(AND($L$37=0,$P$34=0),"",$L$37-1),IF($R$17="Distrato",$E529,0)),MIN(AG$38,$D$19),$P$20))-SUM($P529:AF529)</f>
        <v>#VALUE!</v>
      </c>
      <c r="AH529" s="446" t="e">
        <f>IF(OR($B529="",MIN(AH$38,$D$19)&lt;MAX($P$34*($B529+IF($R$17="Distrato",$I$38-1,0)),IF(AND($L$37=0,$P$34=0),"",$L$37-1),IF($R$17="Distrato",$E529,0))),0,YEARFRAC(MAX($P$34*($B529+IF($R$17="Distrato",$I$38-1,0)),IF(AND($L$37=0,$P$34=0),"",$L$37-1),IF($R$17="Distrato",$E529,0)),MIN(AH$38,$D$19),$P$20))-SUM($P529:AG529)</f>
        <v>#VALUE!</v>
      </c>
      <c r="AI529" s="446" t="e">
        <f>IF(OR($B529="",MIN(AI$38,$D$19)&lt;MAX($P$34*($B529+IF($R$17="Distrato",$I$38-1,0)),IF(AND($L$37=0,$P$34=0),"",$L$37-1),IF($R$17="Distrato",$E529,0))),0,YEARFRAC(MAX($P$34*($B529+IF($R$17="Distrato",$I$38-1,0)),IF(AND($L$37=0,$P$34=0),"",$L$37-1),IF($R$17="Distrato",$E529,0)),MIN(AI$38,$D$19),$P$20))-SUM($P529:AH529)</f>
        <v>#VALUE!</v>
      </c>
      <c r="AJ529" s="446" t="e">
        <f>IF(OR($B529="",MIN(AJ$38,$D$19)&lt;MAX($P$34*($B529+IF($R$17="Distrato",$I$38-1,0)),IF(AND($L$37=0,$P$34=0),"",$L$37-1),IF($R$17="Distrato",$E529,0))),0,YEARFRAC(MAX($P$34*($B529+IF($R$17="Distrato",$I$38-1,0)),IF(AND($L$37=0,$P$34=0),"",$L$37-1),IF($R$17="Distrato",$E529,0)),MIN(AJ$38,$D$19),$P$20))-SUM($P529:AI529)</f>
        <v>#VALUE!</v>
      </c>
      <c r="AK529" s="446" t="e">
        <f>IF(OR($B529="",MIN(AK$38,$D$19)&lt;MAX($P$34*($B529+IF($R$17="Distrato",$I$38-1,0)),IF(AND($L$37=0,$P$34=0),"",$L$37-1),IF($R$17="Distrato",$E529,0))),0,YEARFRAC(MAX($P$34*($B529+IF($R$17="Distrato",$I$38-1,0)),IF(AND($L$37=0,$P$34=0),"",$L$37-1),IF($R$17="Distrato",$E529,0)),MIN(AK$38,$D$19),$P$20))-SUM($P529:AJ529)</f>
        <v>#VALUE!</v>
      </c>
      <c r="AL529" s="446" t="e">
        <f>IF(OR($B529="",MIN(AL$38,$D$19)&lt;MAX($P$34*($B529+IF($R$17="Distrato",$I$38-1,0)),IF(AND($L$37=0,$P$34=0),"",$L$37-1),IF($R$17="Distrato",$E529,0))),0,YEARFRAC(MAX($P$34*($B529+IF($R$17="Distrato",$I$38-1,0)),IF(AND($L$37=0,$P$34=0),"",$L$37-1),IF($R$17="Distrato",$E529,0)),MIN(AL$38,$D$19),$P$20))-SUM($P529:AK529)</f>
        <v>#VALUE!</v>
      </c>
      <c r="AM529" s="446" t="e">
        <f>IF(OR($B529="",MIN(AM$38,$D$19)&lt;MAX($P$34*($B529+IF($R$17="Distrato",$I$38-1,0)),IF(AND($L$37=0,$P$34=0),"",$L$37-1),IF($R$17="Distrato",$E529,0))),0,YEARFRAC(MAX($P$34*($B529+IF($R$17="Distrato",$I$38-1,0)),IF(AND($L$37=0,$P$34=0),"",$L$37-1),IF($R$17="Distrato",$E529,0)),MIN(AM$38,$D$19),$P$20))-SUM($P529:AL529)</f>
        <v>#VALUE!</v>
      </c>
      <c r="AN529" s="446" t="e">
        <f>IF(OR($B529="",MIN(AN$38,$D$19)&lt;MAX($P$34*($B529+IF($R$17="Distrato",$I$38-1,0)),IF(AND($L$37=0,$P$34=0),"",$L$37-1),IF($R$17="Distrato",$E529,0))),0,YEARFRAC(MAX($P$34*($B529+IF($R$17="Distrato",$I$38-1,0)),IF(AND($L$37=0,$P$34=0),"",$L$37-1),IF($R$17="Distrato",$E529,0)),MIN(AN$38,$D$19),$P$20))-SUM($P529:AM529)</f>
        <v>#VALUE!</v>
      </c>
      <c r="AO529" s="446" t="e">
        <f>IF(OR($B529="",MIN(AO$38,$D$19)&lt;MAX($P$34*($B529+IF($R$17="Distrato",$I$38-1,0)),IF(AND($L$37=0,$P$34=0),"",$L$37-1),IF($R$17="Distrato",$E529,0))),0,YEARFRAC(MAX($P$34*($B529+IF($R$17="Distrato",$I$38-1,0)),IF(AND($L$37=0,$P$34=0),"",$L$37-1),IF($R$17="Distrato",$E529,0)),MIN(AO$38,$D$19),$P$20))-SUM($P529:AN529)</f>
        <v>#VALUE!</v>
      </c>
      <c r="AP529" s="446" t="e">
        <f>IF(OR($B529="",MIN(AP$38,$D$19)&lt;MAX($P$34*($B529+IF($R$17="Distrato",$I$38-1,0)),IF(AND($L$37=0,$P$34=0),"",$L$37-1),IF($R$17="Distrato",$E529,0))),0,YEARFRAC(MAX($P$34*($B529+IF($R$17="Distrato",$I$38-1,0)),IF(AND($L$37=0,$P$34=0),"",$L$37-1),IF($R$17="Distrato",$E529,0)),MIN(AP$38,$D$19),$P$20))-SUM($P529:AO529)</f>
        <v>#VALUE!</v>
      </c>
      <c r="AQ529" s="446" t="e">
        <f>IF(OR($B529="",MIN(AQ$38,$D$19)&lt;MAX($P$34*($B529+IF($R$17="Distrato",$I$38-1,0)),IF(AND($L$37=0,$P$34=0),"",$L$37-1),IF($R$17="Distrato",$E529,0))),0,YEARFRAC(MAX($P$34*($B529+IF($R$17="Distrato",$I$38-1,0)),IF(AND($L$37=0,$P$34=0),"",$L$37-1),IF($R$17="Distrato",$E529,0)),MIN(AQ$38,$D$19),$P$20))-SUM($P529:AP529)</f>
        <v>#VALUE!</v>
      </c>
      <c r="AR529" s="446" t="e">
        <f>IF(OR($B529="",MIN(AR$38,$D$19)&lt;MAX($P$34*($B529+IF($R$17="Distrato",$I$38-1,0)),IF(AND($L$37=0,$P$34=0),"",$L$37-1),IF($R$17="Distrato",$E529,0))),0,YEARFRAC(MAX($P$34*($B529+IF($R$17="Distrato",$I$38-1,0)),IF(AND($L$37=0,$P$34=0),"",$L$37-1),IF($R$17="Distrato",$E529,0)),MIN(AR$38,$D$19),$P$20))-SUM($P529:AQ529)</f>
        <v>#VALUE!</v>
      </c>
      <c r="AS529" s="446" t="e">
        <f>IF(OR($B529="",MIN(AS$38,$D$19)&lt;MAX($P$34*($B529+IF($R$17="Distrato",$I$38-1,0)),IF(AND($L$37=0,$P$34=0),"",$L$37-1),IF($R$17="Distrato",$E529,0))),0,YEARFRAC(MAX($P$34*($B529+IF($R$17="Distrato",$I$38-1,0)),IF(AND($L$37=0,$P$34=0),"",$L$37-1),IF($R$17="Distrato",$E529,0)),MIN(AS$38,$D$19),$P$20))-SUM($P529:AR529)</f>
        <v>#VALUE!</v>
      </c>
      <c r="AT529" s="446" t="e">
        <f>IF(OR($B529="",MIN(AT$38,$D$19)&lt;MAX($P$34*($B529+IF($R$17="Distrato",$I$38-1,0)),IF(AND($L$37=0,$P$34=0),"",$L$37-1),IF($R$17="Distrato",$E529,0))),0,YEARFRAC(MAX($P$34*($B529+IF($R$17="Distrato",$I$38-1,0)),IF(AND($L$37=0,$P$34=0),"",$L$37-1),IF($R$17="Distrato",$E529,0)),MIN(AT$38,$D$19),$P$20))-SUM($P529:AS529)</f>
        <v>#VALUE!</v>
      </c>
      <c r="AU529" s="446" t="e">
        <f>IF(OR($B529="",MIN(AU$38,$D$19)&lt;MAX($P$34*($B529+IF($R$17="Distrato",$I$38-1,0)),IF(AND($L$37=0,$P$34=0),"",$L$37-1),IF($R$17="Distrato",$E529,0))),0,YEARFRAC(MAX($P$34*($B529+IF($R$17="Distrato",$I$38-1,0)),IF(AND($L$37=0,$P$34=0),"",$L$37-1),IF($R$17="Distrato",$E529,0)),MIN(AU$38,$D$19),$P$20))-SUM($P529:AT529)</f>
        <v>#VALUE!</v>
      </c>
      <c r="AV529" s="446" t="e">
        <f>IF(OR($B529="",MIN(AV$38,$D$19)&lt;MAX($P$34*($B529+IF($R$17="Distrato",$I$38-1,0)),IF(AND($L$37=0,$P$34=0),"",$L$37-1),IF($R$17="Distrato",$E529,0))),0,YEARFRAC(MAX($P$34*($B529+IF($R$17="Distrato",$I$38-1,0)),IF(AND($L$37=0,$P$34=0),"",$L$37-1),IF($R$17="Distrato",$E529,0)),MIN(AV$38,$D$19),$P$20))-SUM($P529:AU529)</f>
        <v>#VALUE!</v>
      </c>
      <c r="AW529" s="446" t="e">
        <f>IF(OR($B529="",MIN(AW$38,$D$19)&lt;MAX($P$34*($B529+IF($R$17="Distrato",$I$38-1,0)),IF(AND($L$37=0,$P$34=0),"",$L$37-1),IF($R$17="Distrato",$E529,0))),0,YEARFRAC(MAX($P$34*($B529+IF($R$17="Distrato",$I$38-1,0)),IF(AND($L$37=0,$P$34=0),"",$L$37-1),IF($R$17="Distrato",$E529,0)),MIN(AW$38,$D$19),$P$20))-SUM($P529:AV529)</f>
        <v>#VALUE!</v>
      </c>
      <c r="AX529" s="446" t="e">
        <f>IF(OR($B529="",MIN(AX$38,$D$19)&lt;MAX($P$34*($B529+IF($R$17="Distrato",$I$38-1,0)),IF(AND($L$37=0,$P$34=0),"",$L$37-1),IF($R$17="Distrato",$E529,0))),0,YEARFRAC(MAX($P$34*($B529+IF($R$17="Distrato",$I$38-1,0)),IF(AND($L$37=0,$P$34=0),"",$L$37-1),IF($R$17="Distrato",$E529,0)),MIN(AX$38,$D$19),$P$20))-SUM($P529:AW529)</f>
        <v>#VALUE!</v>
      </c>
      <c r="AY529" s="446" t="e">
        <f>IF(OR($B529="",MIN(AY$38,$D$19)&lt;MAX($P$34*($B529+IF($R$17="Distrato",$I$38-1,0)),IF(AND($L$37=0,$P$34=0),"",$L$37-1),IF($R$17="Distrato",$E529,0))),0,YEARFRAC(MAX($P$34*($B529+IF($R$17="Distrato",$I$38-1,0)),IF(AND($L$37=0,$P$34=0),"",$L$37-1),IF($R$17="Distrato",$E529,0)),MIN(AY$38,$D$19),$P$20))-SUM($P529:AX529)</f>
        <v>#VALUE!</v>
      </c>
      <c r="AZ529" s="446" t="e">
        <f>IF(OR($B529="",MIN(AZ$38,$D$19)&lt;MAX($P$34*($B529+IF($R$17="Distrato",$I$38-1,0)),IF(AND($L$37=0,$P$34=0),"",$L$37-1),IF($R$17="Distrato",$E529,0))),0,YEARFRAC(MAX($P$34*($B529+IF($R$17="Distrato",$I$38-1,0)),IF(AND($L$37=0,$P$34=0),"",$L$37-1),IF($R$17="Distrato",$E529,0)),MIN(AZ$38,$D$19),$P$20))-SUM($P529:AY529)</f>
        <v>#VALUE!</v>
      </c>
      <c r="BA529" s="446" t="e">
        <f>IF(OR($B529="",MIN(BA$38,$D$19)&lt;MAX($P$34*($B529+IF($R$17="Distrato",$I$38-1,0)),IF(AND($L$37=0,$P$34=0),"",$L$37-1),IF($R$17="Distrato",$E529,0))),0,YEARFRAC(MAX($P$34*($B529+IF($R$17="Distrato",$I$38-1,0)),IF(AND($L$37=0,$P$34=0),"",$L$37-1),IF($R$17="Distrato",$E529,0)),MIN(BA$38,$D$19),$P$20))-SUM($P529:AZ529)</f>
        <v>#VALUE!</v>
      </c>
      <c r="BB529" s="447"/>
      <c r="BF529" s="446">
        <f t="shared" si="87"/>
        <v>0</v>
      </c>
      <c r="BG529" s="446">
        <f>IF($E529=0,0,IF(MIN(BG$38,$E529)&lt;MAX($P$34*($B529+$I$38-1),IF(AND($L$37=0,$P$34=0),"",$L$37-1)),0,YEARFRAC(MAX($P$34*($B529+$I$38-1),IF(AND($L$37=0,$P$34=0),"",$L$37-1)),MIN(BG$38,$E529),$P$20))-SUM($BF529:BF529))</f>
        <v>0</v>
      </c>
      <c r="BH529" s="446">
        <f>IF($E529=0,0,IF(MIN(BH$38,$E529)&lt;MAX($P$34*($B529+$I$38-1),IF(AND($L$37=0,$P$34=0),"",$L$37-1)),0,YEARFRAC(MAX($P$34*($B529+$I$38-1),IF(AND($L$37=0,$P$34=0),"",$L$37-1)),MIN(BH$38,$E529),$P$20))-SUM($BF529:BG529))</f>
        <v>0</v>
      </c>
      <c r="BI529" s="446">
        <f>IF($E529=0,0,IF(MIN(BI$38,$E529)&lt;MAX($P$34*($B529+$I$38-1),IF(AND($L$37=0,$P$34=0),"",$L$37-1)),0,YEARFRAC(MAX($P$34*($B529+$I$38-1),IF(AND($L$37=0,$P$34=0),"",$L$37-1)),MIN(BI$38,$E529),$P$20))-SUM($BF529:BH529))</f>
        <v>0</v>
      </c>
      <c r="BJ529" s="446">
        <f>IF($E529=0,0,IF(MIN(BJ$38,$E529)&lt;MAX($P$34*($B529+$I$38-1),IF(AND($L$37=0,$P$34=0),"",$L$37-1)),0,YEARFRAC(MAX($P$34*($B529+$I$38-1),IF(AND($L$37=0,$P$34=0),"",$L$37-1)),MIN(BJ$38,$E529),$P$20))-SUM($BF529:BI529))</f>
        <v>0</v>
      </c>
      <c r="BK529" s="446">
        <f>IF($E529=0,0,IF(MIN(BK$38,$E529)&lt;MAX($P$34*($B529+$I$38-1),IF(AND($L$37=0,$P$34=0),"",$L$37-1)),0,YEARFRAC(MAX($P$34*($B529+$I$38-1),IF(AND($L$37=0,$P$34=0),"",$L$37-1)),MIN(BK$38,$E529),$P$20))-SUM($BF529:BJ529))</f>
        <v>0</v>
      </c>
      <c r="BL529" s="446">
        <f>IF($E529=0,0,IF(MIN(BL$38,$E529)&lt;MAX($P$34*($B529+$I$38-1),IF(AND($L$37=0,$P$34=0),"",$L$37-1)),0,YEARFRAC(MAX($P$34*($B529+$I$38-1),IF(AND($L$37=0,$P$34=0),"",$L$37-1)),MIN(BL$38,$E529),$P$20))-SUM($BF529:BK529))</f>
        <v>0</v>
      </c>
      <c r="BM529" s="446">
        <f>IF($E529=0,0,IF(MIN(BM$38,$E529)&lt;MAX($P$34*($B529+$I$38-1),IF(AND($L$37=0,$P$34=0),"",$L$37-1)),0,YEARFRAC(MAX($P$34*($B529+$I$38-1),IF(AND($L$37=0,$P$34=0),"",$L$37-1)),MIN(BM$38,$E529),$P$20))-SUM($BF529:BL529))</f>
        <v>0</v>
      </c>
      <c r="BN529" s="446">
        <f>IF($E529=0,0,IF(MIN(BN$38,$E529)&lt;MAX($P$34*($B529+$I$38-1),IF(AND($L$37=0,$P$34=0),"",$L$37-1)),0,YEARFRAC(MAX($P$34*($B529+$I$38-1),IF(AND($L$37=0,$P$34=0),"",$L$37-1)),MIN(BN$38,$E529),$P$20))-SUM($BF529:BM529))</f>
        <v>0</v>
      </c>
      <c r="BO529" s="446">
        <f>IF($E529=0,0,IF(MIN(BO$38,$E529)&lt;MAX($P$34*($B529+$I$38-1),IF(AND($L$37=0,$P$34=0),"",$L$37-1)),0,YEARFRAC(MAX($P$34*($B529+$I$38-1),IF(AND($L$37=0,$P$34=0),"",$L$37-1)),MIN(BO$38,$E529),$P$20))-SUM($BF529:BN529))</f>
        <v>0</v>
      </c>
      <c r="BP529" s="446">
        <f>IF($E529=0,0,IF(MIN(BP$38,$E529)&lt;MAX($P$34*($B529+$I$38-1),IF(AND($L$37=0,$P$34=0),"",$L$37-1)),0,YEARFRAC(MAX($P$34*($B529+$I$38-1),IF(AND($L$37=0,$P$34=0),"",$L$37-1)),MIN(BP$38,$E529),$P$20))-SUM($BF529:BO529))</f>
        <v>0</v>
      </c>
      <c r="BQ529" s="446">
        <f>IF($E529=0,0,IF(MIN(BQ$38,$E529)&lt;MAX($P$34*($B529+$I$38-1),IF(AND($L$37=0,$P$34=0),"",$L$37-1)),0,YEARFRAC(MAX($P$34*($B529+$I$38-1),IF(AND($L$37=0,$P$34=0),"",$L$37-1)),MIN(BQ$38,$E529),$P$20))-SUM($BF529:BP529))</f>
        <v>0</v>
      </c>
      <c r="BR529" s="446">
        <f>IF($E529=0,0,IF(MIN(BR$38,$E529)&lt;MAX($P$34*($B529+$I$38-1),IF(AND($L$37=0,$P$34=0),"",$L$37-1)),0,YEARFRAC(MAX($P$34*($B529+$I$38-1),IF(AND($L$37=0,$P$34=0),"",$L$37-1)),MIN(BR$38,$E529),$P$20))-SUM($BF529:BQ529))</f>
        <v>0</v>
      </c>
      <c r="BS529" s="446">
        <f>IF($E529=0,0,IF(MIN(BS$38,$E529)&lt;MAX($P$34*($B529+$I$38-1),IF(AND($L$37=0,$P$34=0),"",$L$37-1)),0,YEARFRAC(MAX($P$34*($B529+$I$38-1),IF(AND($L$37=0,$P$34=0),"",$L$37-1)),MIN(BS$38,$E529),$P$20))-SUM($BF529:BR529))</f>
        <v>0</v>
      </c>
      <c r="BT529" s="446">
        <f>IF($E529=0,0,IF(MIN(BT$38,$E529)&lt;MAX($P$34*($B529+$I$38-1),IF(AND($L$37=0,$P$34=0),"",$L$37-1)),0,YEARFRAC(MAX($P$34*($B529+$I$38-1),IF(AND($L$37=0,$P$34=0),"",$L$37-1)),MIN(BT$38,$E529),$P$20))-SUM($BF529:BS529))</f>
        <v>0</v>
      </c>
      <c r="BU529" s="446">
        <f>IF($E529=0,0,IF(MIN(BU$38,$E529)&lt;MAX($P$34*($B529+$I$38-1),IF(AND($L$37=0,$P$34=0),"",$L$37-1)),0,YEARFRAC(MAX($P$34*($B529+$I$38-1),IF(AND($L$37=0,$P$34=0),"",$L$37-1)),MIN(BU$38,$E529),$P$20))-SUM($BF529:BT529))</f>
        <v>0</v>
      </c>
      <c r="BV529" s="446">
        <f>IF($E529=0,0,IF(MIN(BV$38,$E529)&lt;MAX($P$34*($B529+$I$38-1),IF(AND($L$37=0,$P$34=0),"",$L$37-1)),0,YEARFRAC(MAX($P$34*($B529+$I$38-1),IF(AND($L$37=0,$P$34=0),"",$L$37-1)),MIN(BV$38,$E529),$P$20))-SUM($BF529:BU529))</f>
        <v>0</v>
      </c>
      <c r="BW529" s="446">
        <f>IF($E529=0,0,IF(MIN(BW$38,$E529)&lt;MAX($P$34*($B529+$I$38-1),IF(AND($L$37=0,$P$34=0),"",$L$37-1)),0,YEARFRAC(MAX($P$34*($B529+$I$38-1),IF(AND($L$37=0,$P$34=0),"",$L$37-1)),MIN(BW$38,$E529),$P$20))-SUM($BF529:BV529))</f>
        <v>0</v>
      </c>
      <c r="BX529" s="446">
        <f>IF($E529=0,0,IF(MIN(BX$38,$E529)&lt;MAX($P$34*($B529+$I$38-1),IF(AND($L$37=0,$P$34=0),"",$L$37-1)),0,YEARFRAC(MAX($P$34*($B529+$I$38-1),IF(AND($L$37=0,$P$34=0),"",$L$37-1)),MIN(BX$38,$E529),$P$20))-SUM($BF529:BW529))</f>
        <v>0</v>
      </c>
      <c r="BY529" s="446">
        <f>IF($E529=0,0,IF(MIN(BY$38,$E529)&lt;MAX($P$34*($B529+$I$38-1),IF(AND($L$37=0,$P$34=0),"",$L$37-1)),0,YEARFRAC(MAX($P$34*($B529+$I$38-1),IF(AND($L$37=0,$P$34=0),"",$L$37-1)),MIN(BY$38,$E529),$P$20))-SUM($BF529:BX529))</f>
        <v>0</v>
      </c>
      <c r="BZ529" s="446">
        <f>IF($E529=0,0,IF(MIN(BZ$38,$E529)&lt;MAX($P$34*($B529+$I$38-1),IF(AND($L$37=0,$P$34=0),"",$L$37-1)),0,YEARFRAC(MAX($P$34*($B529+$I$38-1),IF(AND($L$37=0,$P$34=0),"",$L$37-1)),MIN(BZ$38,$E529),$P$20))-SUM($BF529:BY529))</f>
        <v>0</v>
      </c>
      <c r="CA529" s="446">
        <f>IF($E529=0,0,IF(MIN(CA$38,$E529)&lt;MAX($P$34*($B529+$I$38-1),IF(AND($L$37=0,$P$34=0),"",$L$37-1)),0,YEARFRAC(MAX($P$34*($B529+$I$38-1),IF(AND($L$37=0,$P$34=0),"",$L$37-1)),MIN(CA$38,$E529),$P$20))-SUM($BF529:BZ529))</f>
        <v>0</v>
      </c>
      <c r="CB529" s="446">
        <f>IF($E529=0,0,IF(MIN(CB$38,$E529)&lt;MAX($P$34*($B529+$I$38-1),IF(AND($L$37=0,$P$34=0),"",$L$37-1)),0,YEARFRAC(MAX($P$34*($B529+$I$38-1),IF(AND($L$37=0,$P$34=0),"",$L$37-1)),MIN(CB$38,$E529),$P$20))-SUM($BF529:CA529))</f>
        <v>0</v>
      </c>
      <c r="CC529" s="446">
        <f>IF($E529=0,0,IF(MIN(CC$38,$E529)&lt;MAX($P$34*($B529+$I$38-1),IF(AND($L$37=0,$P$34=0),"",$L$37-1)),0,YEARFRAC(MAX($P$34*($B529+$I$38-1),IF(AND($L$37=0,$P$34=0),"",$L$37-1)),MIN(CC$38,$E529),$P$20))-SUM($BF529:CB529))</f>
        <v>0</v>
      </c>
      <c r="CD529" s="446">
        <f>IF($E529=0,0,IF(MIN(CD$38,$E529)&lt;MAX($P$34*($B529+$I$38-1),IF(AND($L$37=0,$P$34=0),"",$L$37-1)),0,YEARFRAC(MAX($P$34*($B529+$I$38-1),IF(AND($L$37=0,$P$34=0),"",$L$37-1)),MIN(CD$38,$E529),$P$20))-SUM($BF529:CC529))</f>
        <v>0</v>
      </c>
      <c r="CE529" s="446">
        <f>IF($E529=0,0,IF(MIN(CE$38,$E529)&lt;MAX($P$34*($B529+$I$38-1),IF(AND($L$37=0,$P$34=0),"",$L$37-1)),0,YEARFRAC(MAX($P$34*($B529+$I$38-1),IF(AND($L$37=0,$P$34=0),"",$L$37-1)),MIN(CE$38,$E529),$P$20))-SUM($BF529:CD529))</f>
        <v>0</v>
      </c>
      <c r="CF529" s="446">
        <f>IF($E529=0,0,IF(MIN(CF$38,$E529)&lt;MAX($P$34*($B529+$I$38-1),IF(AND($L$37=0,$P$34=0),"",$L$37-1)),0,YEARFRAC(MAX($P$34*($B529+$I$38-1),IF(AND($L$37=0,$P$34=0),"",$L$37-1)),MIN(CF$38,$E529),$P$20))-SUM($BF529:CE529))</f>
        <v>0</v>
      </c>
      <c r="CG529" s="446">
        <f>IF($E529=0,0,IF(MIN(CG$38,$E529)&lt;MAX($P$34*($B529+$I$38-1),IF(AND($L$37=0,$P$34=0),"",$L$37-1)),0,YEARFRAC(MAX($P$34*($B529+$I$38-1),IF(AND($L$37=0,$P$34=0),"",$L$37-1)),MIN(CG$38,$E529),$P$20))-SUM($BF529:CF529))</f>
        <v>0</v>
      </c>
      <c r="CH529" s="446">
        <f>IF($E529=0,0,IF(MIN(CH$38,$E529)&lt;MAX($P$34*($B529+$I$38-1),IF(AND($L$37=0,$P$34=0),"",$L$37-1)),0,YEARFRAC(MAX($P$34*($B529+$I$38-1),IF(AND($L$37=0,$P$34=0),"",$L$37-1)),MIN(CH$38,$E529),$P$20))-SUM($BF529:CG529))</f>
        <v>0</v>
      </c>
      <c r="CI529" s="446">
        <f>IF($E529=0,0,IF(MIN(CI$38,$E529)&lt;MAX($P$34*($B529+$I$38-1),IF(AND($L$37=0,$P$34=0),"",$L$37-1)),0,YEARFRAC(MAX($P$34*($B529+$I$38-1),IF(AND($L$37=0,$P$34=0),"",$L$37-1)),MIN(CI$38,$E529),$P$20))-SUM($BF529:CH529))</f>
        <v>0</v>
      </c>
      <c r="CJ529" s="446">
        <f>IF($E529=0,0,IF(MIN(CJ$38,$E529)&lt;MAX($P$34*($B529+$I$38-1),IF(AND($L$37=0,$P$34=0),"",$L$37-1)),0,YEARFRAC(MAX($P$34*($B529+$I$38-1),IF(AND($L$37=0,$P$34=0),"",$L$37-1)),MIN(CJ$38,$E529),$P$20))-SUM($BF529:CI529))</f>
        <v>0</v>
      </c>
      <c r="CK529" s="446">
        <f>IF($E529=0,0,IF(MIN(CK$38,$E529)&lt;MAX($P$34*($B529+$I$38-1),IF(AND($L$37=0,$P$34=0),"",$L$37-1)),0,YEARFRAC(MAX($P$34*($B529+$I$38-1),IF(AND($L$37=0,$P$34=0),"",$L$37-1)),MIN(CK$38,$E529),$P$20))-SUM($BF529:CJ529))</f>
        <v>0</v>
      </c>
      <c r="CL529" s="446">
        <f>IF($E529=0,0,IF(MIN(CL$38,$E529)&lt;MAX($P$34*($B529+$I$38-1),IF(AND($L$37=0,$P$34=0),"",$L$37-1)),0,YEARFRAC(MAX($P$34*($B529+$I$38-1),IF(AND($L$37=0,$P$34=0),"",$L$37-1)),MIN(CL$38,$E529),$P$20))-SUM($BF529:CK529))</f>
        <v>0</v>
      </c>
      <c r="CM529" s="446">
        <f>IF($E529=0,0,IF(MIN(CM$38,$E529)&lt;MAX($P$34*($B529+$I$38-1),IF(AND($L$37=0,$P$34=0),"",$L$37-1)),0,YEARFRAC(MAX($P$34*($B529+$I$38-1),IF(AND($L$37=0,$P$34=0),"",$L$37-1)),MIN(CM$38,$E529),$P$20))-SUM($BF529:CL529))</f>
        <v>0</v>
      </c>
      <c r="CN529" s="446">
        <f>IF($E529=0,0,IF(MIN(CN$38,$E529)&lt;MAX($P$34*($B529+$I$38-1),IF(AND($L$37=0,$P$34=0),"",$L$37-1)),0,YEARFRAC(MAX($P$34*($B529+$I$38-1),IF(AND($L$37=0,$P$34=0),"",$L$37-1)),MIN(CN$38,$E529),$P$20))-SUM($BF529:CM529))</f>
        <v>0</v>
      </c>
      <c r="CO529" s="446">
        <f>IF($E529=0,0,IF(MIN(CO$38,$E529)&lt;MAX($P$34*($B529+$I$38-1),IF(AND($L$37=0,$P$34=0),"",$L$37-1)),0,YEARFRAC(MAX($P$34*($B529+$I$38-1),IF(AND($L$37=0,$P$34=0),"",$L$37-1)),MIN(CO$38,$E529),$P$20))-SUM($BF529:CN529))</f>
        <v>0</v>
      </c>
      <c r="CP529" s="446">
        <f>IF($E529=0,0,IF(MIN(CP$38,$E529)&lt;MAX($P$34*($B529+$I$38-1),IF(AND($L$37=0,$P$34=0),"",$L$37-1)),0,YEARFRAC(MAX($P$34*($B529+$I$38-1),IF(AND($L$37=0,$P$34=0),"",$L$37-1)),MIN(CP$38,$E529),$P$20))-SUM($BF529:CO529))</f>
        <v>0</v>
      </c>
      <c r="CQ529" s="446">
        <f>IF($E529=0,0,IF(MIN(CQ$38,$E529)&lt;MAX($P$34*($B529+$I$38-1),IF(AND($L$37=0,$P$34=0),"",$L$37-1)),0,YEARFRAC(MAX($P$34*($B529+$I$38-1),IF(AND($L$37=0,$P$34=0),"",$L$37-1)),MIN(CQ$38,$E529),$P$20))-SUM($BF529:CP529))</f>
        <v>0</v>
      </c>
    </row>
    <row r="530" spans="1:95" s="446" customFormat="1" ht="11.25" hidden="1" customHeight="1" x14ac:dyDescent="0.2">
      <c r="A530" s="152"/>
      <c r="B530" s="153" t="str">
        <f t="shared" si="92"/>
        <v/>
      </c>
      <c r="C530" s="29" t="str">
        <f>IF(B530="","",IF($L$35="SELIC - TRIBUTOS",VLOOKUP(DATE(YEAR($D$19),MONTH($D$19)-1,1),ÍNDICES!$A:$DE,HLOOKUP($BL$25,ÍNDICES!$B$3:$T$4,2)+11)-VLOOKUP(B530,ÍNDICES!$A:$DE,HLOOKUP($BL$25,ÍNDICES!$B$3:$T$4,2)+11)+1%,IF(C$38=$W$26,$J$35,IF(ISERROR(IF(B530&gt;$D$19,1,VLOOKUP(DATE(YEAR(B530),MONTH(B530)+IF($C$35=$S$23,1,0),1),ÍNDICES!$A:$DE,$Z$35+1))),"",IF(B530&gt;$D$19,1,VLOOKUP(DATE(YEAR(B530),MONTH(B530)+IF($C$35=$S$23,1,0),1),ÍNDICES!$A:$DE,$Z$35+1))))))</f>
        <v/>
      </c>
      <c r="D530" s="154" t="str">
        <f>IF(ISERROR(IF(OR($D$38=$Y$27,$B530=""),"",VLOOKUP(B530,ÍNDICES!A:DE,AF$35+1))),"",IF(OR($D$38=$Y$27,$B530=""),"",VLOOKUP(B530,ÍNDICES!A:DE,AF$35+1)))</f>
        <v/>
      </c>
      <c r="E530" s="153"/>
      <c r="F530" s="29" t="str">
        <f>IF(E530="","",IF($L$35="SELIC - TRIBUTOS",VLOOKUP(DATE(YEAR($D$19),MONTH($D$19)-1,1),ÍNDICES!$A:$DE,HLOOKUP($BL$25,ÍNDICES!$B$3:$T$4,2)+11)-VLOOKUP(E530,ÍNDICES!$A:$DE,HLOOKUP($BL$25,ÍNDICES!$B$3:$T$4,2)+11)+1%,IF(F$38=$W$26,$J$35,IF(ISERROR(IF(E530&gt;$D$19,1,VLOOKUP(DATE(YEAR(E530),MONTH(E530)+IF($C$35=$S$23,1,0),1),ÍNDICES!$A:$DE,$Z$35+1))),"",IF(E530&gt;$D$19,1,VLOOKUP(DATE(YEAR(E530),MONTH(E530)+IF($C$35=$S$23,1,0),1),ÍNDICES!$A:$DE,$Z$35+1))))))</f>
        <v/>
      </c>
      <c r="G530" s="155"/>
      <c r="H530" s="156" t="str">
        <f t="shared" si="88"/>
        <v/>
      </c>
      <c r="I530" s="29" t="str">
        <f t="shared" si="82"/>
        <v/>
      </c>
      <c r="J530" s="5">
        <f t="shared" si="83"/>
        <v>0</v>
      </c>
      <c r="K530" s="20">
        <f t="shared" ca="1" si="84"/>
        <v>0</v>
      </c>
      <c r="L530" s="5">
        <f t="shared" ca="1" si="85"/>
        <v>0</v>
      </c>
      <c r="M530" s="64">
        <f t="shared" si="89"/>
        <v>0</v>
      </c>
      <c r="N530" s="61">
        <f t="shared" ca="1" si="90"/>
        <v>0</v>
      </c>
      <c r="O530" s="5">
        <f t="shared" ca="1" si="91"/>
        <v>0</v>
      </c>
      <c r="P530" s="446" t="e">
        <f t="shared" si="86"/>
        <v>#VALUE!</v>
      </c>
      <c r="Q530" s="446" t="e">
        <f>IF(OR($B530="",MIN(Q$38,$D$19)&lt;MAX($P$34*($B530+IF($R$17="Distrato",$I$38-1,0)),IF(AND($L$37=0,$P$34=0),"",$L$37-1),IF($R$17="Distrato",$E530,0))),0,YEARFRAC(MAX($P$34*($B530+IF($R$17="Distrato",$I$38-1,0)),IF(AND($L$37=0,$P$34=0),"",$L$37-1),IF($R$17="Distrato",$E530,0)),MIN(Q$38,$D$19),$P$20))-SUM($P530:P530)</f>
        <v>#VALUE!</v>
      </c>
      <c r="R530" s="446" t="e">
        <f>IF(OR($B530="",MIN(R$38,$D$19)&lt;MAX($P$34*($B530+IF($R$17="Distrato",$I$38-1,0)),IF(AND($L$37=0,$P$34=0),"",$L$37-1),IF($R$17="Distrato",$E530,0))),0,YEARFRAC(MAX($P$34*($B530+IF($R$17="Distrato",$I$38-1,0)),IF(AND($L$37=0,$P$34=0),"",$L$37-1),IF($R$17="Distrato",$E530,0)),MIN(R$38,$D$19),$P$20))-SUM($P530:Q530)</f>
        <v>#VALUE!</v>
      </c>
      <c r="S530" s="446" t="e">
        <f>IF(OR($B530="",MIN(S$38,$D$19)&lt;MAX($P$34*($B530+IF($R$17="Distrato",$I$38-1,0)),IF(AND($L$37=0,$P$34=0),"",$L$37-1),IF($R$17="Distrato",$E530,0))),0,YEARFRAC(MAX($P$34*($B530+IF($R$17="Distrato",$I$38-1,0)),IF(AND($L$37=0,$P$34=0),"",$L$37-1),IF($R$17="Distrato",$E530,0)),MIN(S$38,$D$19),$P$20))-SUM($P530:R530)</f>
        <v>#VALUE!</v>
      </c>
      <c r="T530" s="446" t="e">
        <f>IF(OR($B530="",MIN(T$38,$D$19)&lt;MAX($P$34*($B530+IF($R$17="Distrato",$I$38-1,0)),IF(AND($L$37=0,$P$34=0),"",$L$37-1),IF($R$17="Distrato",$E530,0))),0,YEARFRAC(MAX($P$34*($B530+IF($R$17="Distrato",$I$38-1,0)),IF(AND($L$37=0,$P$34=0),"",$L$37-1),IF($R$17="Distrato",$E530,0)),MIN(T$38,$D$19),$P$20))-SUM($P530:S530)</f>
        <v>#VALUE!</v>
      </c>
      <c r="U530" s="446" t="e">
        <f>IF(OR($B530="",MIN(U$38,$D$19)&lt;MAX($P$34*($B530+IF($R$17="Distrato",$I$38-1,0)),IF(AND($L$37=0,$P$34=0),"",$L$37-1),IF($R$17="Distrato",$E530,0))),0,YEARFRAC(MAX($P$34*($B530+IF($R$17="Distrato",$I$38-1,0)),IF(AND($L$37=0,$P$34=0),"",$L$37-1),IF($R$17="Distrato",$E530,0)),MIN(U$38,$D$19),$P$20))-SUM($P530:T530)</f>
        <v>#VALUE!</v>
      </c>
      <c r="V530" s="446" t="e">
        <f>IF(OR($B530="",MIN(V$38,$D$19)&lt;MAX($P$34*($B530+IF($R$17="Distrato",$I$38-1,0)),IF(AND($L$37=0,$P$34=0),"",$L$37-1),IF($R$17="Distrato",$E530,0))),0,YEARFRAC(MAX($P$34*($B530+IF($R$17="Distrato",$I$38-1,0)),IF(AND($L$37=0,$P$34=0),"",$L$37-1),IF($R$17="Distrato",$E530,0)),MIN(V$38,$D$19),$P$20))-SUM($P530:U530)</f>
        <v>#VALUE!</v>
      </c>
      <c r="W530" s="446" t="e">
        <f>IF(OR($B530="",MIN(W$38,$D$19)&lt;MAX($P$34*($B530+IF($R$17="Distrato",$I$38-1,0)),IF(AND($L$37=0,$P$34=0),"",$L$37-1),IF($R$17="Distrato",$E530,0))),0,YEARFRAC(MAX($P$34*($B530+IF($R$17="Distrato",$I$38-1,0)),IF(AND($L$37=0,$P$34=0),"",$L$37-1),IF($R$17="Distrato",$E530,0)),MIN(W$38,$D$19),$P$20))-SUM($P530:V530)</f>
        <v>#VALUE!</v>
      </c>
      <c r="X530" s="446" t="e">
        <f>IF(OR($B530="",MIN(X$38,$D$19)&lt;MAX($P$34*($B530+IF($R$17="Distrato",$I$38-1,0)),IF(AND($L$37=0,$P$34=0),"",$L$37-1),IF($R$17="Distrato",$E530,0))),0,YEARFRAC(MAX($P$34*($B530+IF($R$17="Distrato",$I$38-1,0)),IF(AND($L$37=0,$P$34=0),"",$L$37-1),IF($R$17="Distrato",$E530,0)),MIN(X$38,$D$19),$P$20))-SUM($P530:W530)</f>
        <v>#VALUE!</v>
      </c>
      <c r="Y530" s="446" t="e">
        <f>IF(OR($B530="",MIN(Y$38,$D$19)&lt;MAX($P$34*($B530+IF($R$17="Distrato",$I$38-1,0)),IF(AND($L$37=0,$P$34=0),"",$L$37-1),IF($R$17="Distrato",$E530,0))),0,YEARFRAC(MAX($P$34*($B530+IF($R$17="Distrato",$I$38-1,0)),IF(AND($L$37=0,$P$34=0),"",$L$37-1),IF($R$17="Distrato",$E530,0)),MIN(Y$38,$D$19),$P$20))-SUM($P530:X530)</f>
        <v>#VALUE!</v>
      </c>
      <c r="Z530" s="446" t="e">
        <f>IF(OR($B530="",MIN(Z$38,$D$19)&lt;MAX($P$34*($B530+IF($R$17="Distrato",$I$38-1,0)),IF(AND($L$37=0,$P$34=0),"",$L$37-1),IF($R$17="Distrato",$E530,0))),0,YEARFRAC(MAX($P$34*($B530+IF($R$17="Distrato",$I$38-1,0)),IF(AND($L$37=0,$P$34=0),"",$L$37-1),IF($R$17="Distrato",$E530,0)),MIN(Z$38,$D$19),$P$20))-SUM($P530:Y530)</f>
        <v>#VALUE!</v>
      </c>
      <c r="AA530" s="446" t="e">
        <f>IF(OR($B530="",MIN(AA$38,$D$19)&lt;MAX($P$34*($B530+IF($R$17="Distrato",$I$38-1,0)),IF(AND($L$37=0,$P$34=0),"",$L$37-1),IF($R$17="Distrato",$E530,0))),0,YEARFRAC(MAX($P$34*($B530+IF($R$17="Distrato",$I$38-1,0)),IF(AND($L$37=0,$P$34=0),"",$L$37-1),IF($R$17="Distrato",$E530,0)),MIN(AA$38,$D$19),$P$20))-SUM($P530:Z530)</f>
        <v>#VALUE!</v>
      </c>
      <c r="AB530" s="446" t="e">
        <f>IF(OR($B530="",MIN(AB$38,$D$19)&lt;MAX($P$34*($B530+IF($R$17="Distrato",$I$38-1,0)),IF(AND($L$37=0,$P$34=0),"",$L$37-1),IF($R$17="Distrato",$E530,0))),0,YEARFRAC(MAX($P$34*($B530+IF($R$17="Distrato",$I$38-1,0)),IF(AND($L$37=0,$P$34=0),"",$L$37-1),IF($R$17="Distrato",$E530,0)),MIN(AB$38,$D$19),$P$20))-SUM($P530:AA530)</f>
        <v>#VALUE!</v>
      </c>
      <c r="AC530" s="446" t="e">
        <f>IF(OR($B530="",MIN(AC$38,$D$19)&lt;MAX($P$34*($B530+IF($R$17="Distrato",$I$38-1,0)),IF(AND($L$37=0,$P$34=0),"",$L$37-1),IF($R$17="Distrato",$E530,0))),0,YEARFRAC(MAX($P$34*($B530+IF($R$17="Distrato",$I$38-1,0)),IF(AND($L$37=0,$P$34=0),"",$L$37-1),IF($R$17="Distrato",$E530,0)),MIN(AC$38,$D$19),$P$20))-SUM($P530:AB530)</f>
        <v>#VALUE!</v>
      </c>
      <c r="AD530" s="446" t="e">
        <f>IF(OR($B530="",MIN(AD$38,$D$19)&lt;MAX($P$34*($B530+IF($R$17="Distrato",$I$38-1,0)),IF(AND($L$37=0,$P$34=0),"",$L$37-1),IF($R$17="Distrato",$E530,0))),0,YEARFRAC(MAX($P$34*($B530+IF($R$17="Distrato",$I$38-1,0)),IF(AND($L$37=0,$P$34=0),"",$L$37-1),IF($R$17="Distrato",$E530,0)),MIN(AD$38,$D$19),$P$20))-SUM($P530:AC530)</f>
        <v>#VALUE!</v>
      </c>
      <c r="AE530" s="446" t="e">
        <f>IF(OR($B530="",MIN(AE$38,$D$19)&lt;MAX($P$34*($B530+IF($R$17="Distrato",$I$38-1,0)),IF(AND($L$37=0,$P$34=0),"",$L$37-1),IF($R$17="Distrato",$E530,0))),0,YEARFRAC(MAX($P$34*($B530+IF($R$17="Distrato",$I$38-1,0)),IF(AND($L$37=0,$P$34=0),"",$L$37-1),IF($R$17="Distrato",$E530,0)),MIN(AE$38,$D$19),$P$20))-SUM($P530:AD530)</f>
        <v>#VALUE!</v>
      </c>
      <c r="AF530" s="446" t="e">
        <f>IF(OR($B530="",MIN(AF$38,$D$19)&lt;MAX($P$34*($B530+IF($R$17="Distrato",$I$38-1,0)),IF(AND($L$37=0,$P$34=0),"",$L$37-1),IF($R$17="Distrato",$E530,0))),0,YEARFRAC(MAX($P$34*($B530+IF($R$17="Distrato",$I$38-1,0)),IF(AND($L$37=0,$P$34=0),"",$L$37-1),IF($R$17="Distrato",$E530,0)),MIN(AF$38,$D$19),$P$20))-SUM($P530:AE530)</f>
        <v>#VALUE!</v>
      </c>
      <c r="AG530" s="446" t="e">
        <f>IF(OR($B530="",MIN(AG$38,$D$19)&lt;MAX($P$34*($B530+IF($R$17="Distrato",$I$38-1,0)),IF(AND($L$37=0,$P$34=0),"",$L$37-1),IF($R$17="Distrato",$E530,0))),0,YEARFRAC(MAX($P$34*($B530+IF($R$17="Distrato",$I$38-1,0)),IF(AND($L$37=0,$P$34=0),"",$L$37-1),IF($R$17="Distrato",$E530,0)),MIN(AG$38,$D$19),$P$20))-SUM($P530:AF530)</f>
        <v>#VALUE!</v>
      </c>
      <c r="AH530" s="446" t="e">
        <f>IF(OR($B530="",MIN(AH$38,$D$19)&lt;MAX($P$34*($B530+IF($R$17="Distrato",$I$38-1,0)),IF(AND($L$37=0,$P$34=0),"",$L$37-1),IF($R$17="Distrato",$E530,0))),0,YEARFRAC(MAX($P$34*($B530+IF($R$17="Distrato",$I$38-1,0)),IF(AND($L$37=0,$P$34=0),"",$L$37-1),IF($R$17="Distrato",$E530,0)),MIN(AH$38,$D$19),$P$20))-SUM($P530:AG530)</f>
        <v>#VALUE!</v>
      </c>
      <c r="AI530" s="446" t="e">
        <f>IF(OR($B530="",MIN(AI$38,$D$19)&lt;MAX($P$34*($B530+IF($R$17="Distrato",$I$38-1,0)),IF(AND($L$37=0,$P$34=0),"",$L$37-1),IF($R$17="Distrato",$E530,0))),0,YEARFRAC(MAX($P$34*($B530+IF($R$17="Distrato",$I$38-1,0)),IF(AND($L$37=0,$P$34=0),"",$L$37-1),IF($R$17="Distrato",$E530,0)),MIN(AI$38,$D$19),$P$20))-SUM($P530:AH530)</f>
        <v>#VALUE!</v>
      </c>
      <c r="AJ530" s="446" t="e">
        <f>IF(OR($B530="",MIN(AJ$38,$D$19)&lt;MAX($P$34*($B530+IF($R$17="Distrato",$I$38-1,0)),IF(AND($L$37=0,$P$34=0),"",$L$37-1),IF($R$17="Distrato",$E530,0))),0,YEARFRAC(MAX($P$34*($B530+IF($R$17="Distrato",$I$38-1,0)),IF(AND($L$37=0,$P$34=0),"",$L$37-1),IF($R$17="Distrato",$E530,0)),MIN(AJ$38,$D$19),$P$20))-SUM($P530:AI530)</f>
        <v>#VALUE!</v>
      </c>
      <c r="AK530" s="446" t="e">
        <f>IF(OR($B530="",MIN(AK$38,$D$19)&lt;MAX($P$34*($B530+IF($R$17="Distrato",$I$38-1,0)),IF(AND($L$37=0,$P$34=0),"",$L$37-1),IF($R$17="Distrato",$E530,0))),0,YEARFRAC(MAX($P$34*($B530+IF($R$17="Distrato",$I$38-1,0)),IF(AND($L$37=0,$P$34=0),"",$L$37-1),IF($R$17="Distrato",$E530,0)),MIN(AK$38,$D$19),$P$20))-SUM($P530:AJ530)</f>
        <v>#VALUE!</v>
      </c>
      <c r="AL530" s="446" t="e">
        <f>IF(OR($B530="",MIN(AL$38,$D$19)&lt;MAX($P$34*($B530+IF($R$17="Distrato",$I$38-1,0)),IF(AND($L$37=0,$P$34=0),"",$L$37-1),IF($R$17="Distrato",$E530,0))),0,YEARFRAC(MAX($P$34*($B530+IF($R$17="Distrato",$I$38-1,0)),IF(AND($L$37=0,$P$34=0),"",$L$37-1),IF($R$17="Distrato",$E530,0)),MIN(AL$38,$D$19),$P$20))-SUM($P530:AK530)</f>
        <v>#VALUE!</v>
      </c>
      <c r="AM530" s="446" t="e">
        <f>IF(OR($B530="",MIN(AM$38,$D$19)&lt;MAX($P$34*($B530+IF($R$17="Distrato",$I$38-1,0)),IF(AND($L$37=0,$P$34=0),"",$L$37-1),IF($R$17="Distrato",$E530,0))),0,YEARFRAC(MAX($P$34*($B530+IF($R$17="Distrato",$I$38-1,0)),IF(AND($L$37=0,$P$34=0),"",$L$37-1),IF($R$17="Distrato",$E530,0)),MIN(AM$38,$D$19),$P$20))-SUM($P530:AL530)</f>
        <v>#VALUE!</v>
      </c>
      <c r="AN530" s="446" t="e">
        <f>IF(OR($B530="",MIN(AN$38,$D$19)&lt;MAX($P$34*($B530+IF($R$17="Distrato",$I$38-1,0)),IF(AND($L$37=0,$P$34=0),"",$L$37-1),IF($R$17="Distrato",$E530,0))),0,YEARFRAC(MAX($P$34*($B530+IF($R$17="Distrato",$I$38-1,0)),IF(AND($L$37=0,$P$34=0),"",$L$37-1),IF($R$17="Distrato",$E530,0)),MIN(AN$38,$D$19),$P$20))-SUM($P530:AM530)</f>
        <v>#VALUE!</v>
      </c>
      <c r="AO530" s="446" t="e">
        <f>IF(OR($B530="",MIN(AO$38,$D$19)&lt;MAX($P$34*($B530+IF($R$17="Distrato",$I$38-1,0)),IF(AND($L$37=0,$P$34=0),"",$L$37-1),IF($R$17="Distrato",$E530,0))),0,YEARFRAC(MAX($P$34*($B530+IF($R$17="Distrato",$I$38-1,0)),IF(AND($L$37=0,$P$34=0),"",$L$37-1),IF($R$17="Distrato",$E530,0)),MIN(AO$38,$D$19),$P$20))-SUM($P530:AN530)</f>
        <v>#VALUE!</v>
      </c>
      <c r="AP530" s="446" t="e">
        <f>IF(OR($B530="",MIN(AP$38,$D$19)&lt;MAX($P$34*($B530+IF($R$17="Distrato",$I$38-1,0)),IF(AND($L$37=0,$P$34=0),"",$L$37-1),IF($R$17="Distrato",$E530,0))),0,YEARFRAC(MAX($P$34*($B530+IF($R$17="Distrato",$I$38-1,0)),IF(AND($L$37=0,$P$34=0),"",$L$37-1),IF($R$17="Distrato",$E530,0)),MIN(AP$38,$D$19),$P$20))-SUM($P530:AO530)</f>
        <v>#VALUE!</v>
      </c>
      <c r="AQ530" s="446" t="e">
        <f>IF(OR($B530="",MIN(AQ$38,$D$19)&lt;MAX($P$34*($B530+IF($R$17="Distrato",$I$38-1,0)),IF(AND($L$37=0,$P$34=0),"",$L$37-1),IF($R$17="Distrato",$E530,0))),0,YEARFRAC(MAX($P$34*($B530+IF($R$17="Distrato",$I$38-1,0)),IF(AND($L$37=0,$P$34=0),"",$L$37-1),IF($R$17="Distrato",$E530,0)),MIN(AQ$38,$D$19),$P$20))-SUM($P530:AP530)</f>
        <v>#VALUE!</v>
      </c>
      <c r="AR530" s="446" t="e">
        <f>IF(OR($B530="",MIN(AR$38,$D$19)&lt;MAX($P$34*($B530+IF($R$17="Distrato",$I$38-1,0)),IF(AND($L$37=0,$P$34=0),"",$L$37-1),IF($R$17="Distrato",$E530,0))),0,YEARFRAC(MAX($P$34*($B530+IF($R$17="Distrato",$I$38-1,0)),IF(AND($L$37=0,$P$34=0),"",$L$37-1),IF($R$17="Distrato",$E530,0)),MIN(AR$38,$D$19),$P$20))-SUM($P530:AQ530)</f>
        <v>#VALUE!</v>
      </c>
      <c r="AS530" s="446" t="e">
        <f>IF(OR($B530="",MIN(AS$38,$D$19)&lt;MAX($P$34*($B530+IF($R$17="Distrato",$I$38-1,0)),IF(AND($L$37=0,$P$34=0),"",$L$37-1),IF($R$17="Distrato",$E530,0))),0,YEARFRAC(MAX($P$34*($B530+IF($R$17="Distrato",$I$38-1,0)),IF(AND($L$37=0,$P$34=0),"",$L$37-1),IF($R$17="Distrato",$E530,0)),MIN(AS$38,$D$19),$P$20))-SUM($P530:AR530)</f>
        <v>#VALUE!</v>
      </c>
      <c r="AT530" s="446" t="e">
        <f>IF(OR($B530="",MIN(AT$38,$D$19)&lt;MAX($P$34*($B530+IF($R$17="Distrato",$I$38-1,0)),IF(AND($L$37=0,$P$34=0),"",$L$37-1),IF($R$17="Distrato",$E530,0))),0,YEARFRAC(MAX($P$34*($B530+IF($R$17="Distrato",$I$38-1,0)),IF(AND($L$37=0,$P$34=0),"",$L$37-1),IF($R$17="Distrato",$E530,0)),MIN(AT$38,$D$19),$P$20))-SUM($P530:AS530)</f>
        <v>#VALUE!</v>
      </c>
      <c r="AU530" s="446" t="e">
        <f>IF(OR($B530="",MIN(AU$38,$D$19)&lt;MAX($P$34*($B530+IF($R$17="Distrato",$I$38-1,0)),IF(AND($L$37=0,$P$34=0),"",$L$37-1),IF($R$17="Distrato",$E530,0))),0,YEARFRAC(MAX($P$34*($B530+IF($R$17="Distrato",$I$38-1,0)),IF(AND($L$37=0,$P$34=0),"",$L$37-1),IF($R$17="Distrato",$E530,0)),MIN(AU$38,$D$19),$P$20))-SUM($P530:AT530)</f>
        <v>#VALUE!</v>
      </c>
      <c r="AV530" s="446" t="e">
        <f>IF(OR($B530="",MIN(AV$38,$D$19)&lt;MAX($P$34*($B530+IF($R$17="Distrato",$I$38-1,0)),IF(AND($L$37=0,$P$34=0),"",$L$37-1),IF($R$17="Distrato",$E530,0))),0,YEARFRAC(MAX($P$34*($B530+IF($R$17="Distrato",$I$38-1,0)),IF(AND($L$37=0,$P$34=0),"",$L$37-1),IF($R$17="Distrato",$E530,0)),MIN(AV$38,$D$19),$P$20))-SUM($P530:AU530)</f>
        <v>#VALUE!</v>
      </c>
      <c r="AW530" s="446" t="e">
        <f>IF(OR($B530="",MIN(AW$38,$D$19)&lt;MAX($P$34*($B530+IF($R$17="Distrato",$I$38-1,0)),IF(AND($L$37=0,$P$34=0),"",$L$37-1),IF($R$17="Distrato",$E530,0))),0,YEARFRAC(MAX($P$34*($B530+IF($R$17="Distrato",$I$38-1,0)),IF(AND($L$37=0,$P$34=0),"",$L$37-1),IF($R$17="Distrato",$E530,0)),MIN(AW$38,$D$19),$P$20))-SUM($P530:AV530)</f>
        <v>#VALUE!</v>
      </c>
      <c r="AX530" s="446" t="e">
        <f>IF(OR($B530="",MIN(AX$38,$D$19)&lt;MAX($P$34*($B530+IF($R$17="Distrato",$I$38-1,0)),IF(AND($L$37=0,$P$34=0),"",$L$37-1),IF($R$17="Distrato",$E530,0))),0,YEARFRAC(MAX($P$34*($B530+IF($R$17="Distrato",$I$38-1,0)),IF(AND($L$37=0,$P$34=0),"",$L$37-1),IF($R$17="Distrato",$E530,0)),MIN(AX$38,$D$19),$P$20))-SUM($P530:AW530)</f>
        <v>#VALUE!</v>
      </c>
      <c r="AY530" s="446" t="e">
        <f>IF(OR($B530="",MIN(AY$38,$D$19)&lt;MAX($P$34*($B530+IF($R$17="Distrato",$I$38-1,0)),IF(AND($L$37=0,$P$34=0),"",$L$37-1),IF($R$17="Distrato",$E530,0))),0,YEARFRAC(MAX($P$34*($B530+IF($R$17="Distrato",$I$38-1,0)),IF(AND($L$37=0,$P$34=0),"",$L$37-1),IF($R$17="Distrato",$E530,0)),MIN(AY$38,$D$19),$P$20))-SUM($P530:AX530)</f>
        <v>#VALUE!</v>
      </c>
      <c r="AZ530" s="446" t="e">
        <f>IF(OR($B530="",MIN(AZ$38,$D$19)&lt;MAX($P$34*($B530+IF($R$17="Distrato",$I$38-1,0)),IF(AND($L$37=0,$P$34=0),"",$L$37-1),IF($R$17="Distrato",$E530,0))),0,YEARFRAC(MAX($P$34*($B530+IF($R$17="Distrato",$I$38-1,0)),IF(AND($L$37=0,$P$34=0),"",$L$37-1),IF($R$17="Distrato",$E530,0)),MIN(AZ$38,$D$19),$P$20))-SUM($P530:AY530)</f>
        <v>#VALUE!</v>
      </c>
      <c r="BA530" s="446" t="e">
        <f>IF(OR($B530="",MIN(BA$38,$D$19)&lt;MAX($P$34*($B530+IF($R$17="Distrato",$I$38-1,0)),IF(AND($L$37=0,$P$34=0),"",$L$37-1),IF($R$17="Distrato",$E530,0))),0,YEARFRAC(MAX($P$34*($B530+IF($R$17="Distrato",$I$38-1,0)),IF(AND($L$37=0,$P$34=0),"",$L$37-1),IF($R$17="Distrato",$E530,0)),MIN(BA$38,$D$19),$P$20))-SUM($P530:AZ530)</f>
        <v>#VALUE!</v>
      </c>
      <c r="BB530" s="447"/>
      <c r="BF530" s="446">
        <f t="shared" si="87"/>
        <v>0</v>
      </c>
      <c r="BG530" s="446">
        <f>IF($E530=0,0,IF(MIN(BG$38,$E530)&lt;MAX($P$34*($B530+$I$38-1),IF(AND($L$37=0,$P$34=0),"",$L$37-1)),0,YEARFRAC(MAX($P$34*($B530+$I$38-1),IF(AND($L$37=0,$P$34=0),"",$L$37-1)),MIN(BG$38,$E530),$P$20))-SUM($BF530:BF530))</f>
        <v>0</v>
      </c>
      <c r="BH530" s="446">
        <f>IF($E530=0,0,IF(MIN(BH$38,$E530)&lt;MAX($P$34*($B530+$I$38-1),IF(AND($L$37=0,$P$34=0),"",$L$37-1)),0,YEARFRAC(MAX($P$34*($B530+$I$38-1),IF(AND($L$37=0,$P$34=0),"",$L$37-1)),MIN(BH$38,$E530),$P$20))-SUM($BF530:BG530))</f>
        <v>0</v>
      </c>
      <c r="BI530" s="446">
        <f>IF($E530=0,0,IF(MIN(BI$38,$E530)&lt;MAX($P$34*($B530+$I$38-1),IF(AND($L$37=0,$P$34=0),"",$L$37-1)),0,YEARFRAC(MAX($P$34*($B530+$I$38-1),IF(AND($L$37=0,$P$34=0),"",$L$37-1)),MIN(BI$38,$E530),$P$20))-SUM($BF530:BH530))</f>
        <v>0</v>
      </c>
      <c r="BJ530" s="446">
        <f>IF($E530=0,0,IF(MIN(BJ$38,$E530)&lt;MAX($P$34*($B530+$I$38-1),IF(AND($L$37=0,$P$34=0),"",$L$37-1)),0,YEARFRAC(MAX($P$34*($B530+$I$38-1),IF(AND($L$37=0,$P$34=0),"",$L$37-1)),MIN(BJ$38,$E530),$P$20))-SUM($BF530:BI530))</f>
        <v>0</v>
      </c>
      <c r="BK530" s="446">
        <f>IF($E530=0,0,IF(MIN(BK$38,$E530)&lt;MAX($P$34*($B530+$I$38-1),IF(AND($L$37=0,$P$34=0),"",$L$37-1)),0,YEARFRAC(MAX($P$34*($B530+$I$38-1),IF(AND($L$37=0,$P$34=0),"",$L$37-1)),MIN(BK$38,$E530),$P$20))-SUM($BF530:BJ530))</f>
        <v>0</v>
      </c>
      <c r="BL530" s="446">
        <f>IF($E530=0,0,IF(MIN(BL$38,$E530)&lt;MAX($P$34*($B530+$I$38-1),IF(AND($L$37=0,$P$34=0),"",$L$37-1)),0,YEARFRAC(MAX($P$34*($B530+$I$38-1),IF(AND($L$37=0,$P$34=0),"",$L$37-1)),MIN(BL$38,$E530),$P$20))-SUM($BF530:BK530))</f>
        <v>0</v>
      </c>
      <c r="BM530" s="446">
        <f>IF($E530=0,0,IF(MIN(BM$38,$E530)&lt;MAX($P$34*($B530+$I$38-1),IF(AND($L$37=0,$P$34=0),"",$L$37-1)),0,YEARFRAC(MAX($P$34*($B530+$I$38-1),IF(AND($L$37=0,$P$34=0),"",$L$37-1)),MIN(BM$38,$E530),$P$20))-SUM($BF530:BL530))</f>
        <v>0</v>
      </c>
      <c r="BN530" s="446">
        <f>IF($E530=0,0,IF(MIN(BN$38,$E530)&lt;MAX($P$34*($B530+$I$38-1),IF(AND($L$37=0,$P$34=0),"",$L$37-1)),0,YEARFRAC(MAX($P$34*($B530+$I$38-1),IF(AND($L$37=0,$P$34=0),"",$L$37-1)),MIN(BN$38,$E530),$P$20))-SUM($BF530:BM530))</f>
        <v>0</v>
      </c>
      <c r="BO530" s="446">
        <f>IF($E530=0,0,IF(MIN(BO$38,$E530)&lt;MAX($P$34*($B530+$I$38-1),IF(AND($L$37=0,$P$34=0),"",$L$37-1)),0,YEARFRAC(MAX($P$34*($B530+$I$38-1),IF(AND($L$37=0,$P$34=0),"",$L$37-1)),MIN(BO$38,$E530),$P$20))-SUM($BF530:BN530))</f>
        <v>0</v>
      </c>
      <c r="BP530" s="446">
        <f>IF($E530=0,0,IF(MIN(BP$38,$E530)&lt;MAX($P$34*($B530+$I$38-1),IF(AND($L$37=0,$P$34=0),"",$L$37-1)),0,YEARFRAC(MAX($P$34*($B530+$I$38-1),IF(AND($L$37=0,$P$34=0),"",$L$37-1)),MIN(BP$38,$E530),$P$20))-SUM($BF530:BO530))</f>
        <v>0</v>
      </c>
      <c r="BQ530" s="446">
        <f>IF($E530=0,0,IF(MIN(BQ$38,$E530)&lt;MAX($P$34*($B530+$I$38-1),IF(AND($L$37=0,$P$34=0),"",$L$37-1)),0,YEARFRAC(MAX($P$34*($B530+$I$38-1),IF(AND($L$37=0,$P$34=0),"",$L$37-1)),MIN(BQ$38,$E530),$P$20))-SUM($BF530:BP530))</f>
        <v>0</v>
      </c>
      <c r="BR530" s="446">
        <f>IF($E530=0,0,IF(MIN(BR$38,$E530)&lt;MAX($P$34*($B530+$I$38-1),IF(AND($L$37=0,$P$34=0),"",$L$37-1)),0,YEARFRAC(MAX($P$34*($B530+$I$38-1),IF(AND($L$37=0,$P$34=0),"",$L$37-1)),MIN(BR$38,$E530),$P$20))-SUM($BF530:BQ530))</f>
        <v>0</v>
      </c>
      <c r="BS530" s="446">
        <f>IF($E530=0,0,IF(MIN(BS$38,$E530)&lt;MAX($P$34*($B530+$I$38-1),IF(AND($L$37=0,$P$34=0),"",$L$37-1)),0,YEARFRAC(MAX($P$34*($B530+$I$38-1),IF(AND($L$37=0,$P$34=0),"",$L$37-1)),MIN(BS$38,$E530),$P$20))-SUM($BF530:BR530))</f>
        <v>0</v>
      </c>
      <c r="BT530" s="446">
        <f>IF($E530=0,0,IF(MIN(BT$38,$E530)&lt;MAX($P$34*($B530+$I$38-1),IF(AND($L$37=0,$P$34=0),"",$L$37-1)),0,YEARFRAC(MAX($P$34*($B530+$I$38-1),IF(AND($L$37=0,$P$34=0),"",$L$37-1)),MIN(BT$38,$E530),$P$20))-SUM($BF530:BS530))</f>
        <v>0</v>
      </c>
      <c r="BU530" s="446">
        <f>IF($E530=0,0,IF(MIN(BU$38,$E530)&lt;MAX($P$34*($B530+$I$38-1),IF(AND($L$37=0,$P$34=0),"",$L$37-1)),0,YEARFRAC(MAX($P$34*($B530+$I$38-1),IF(AND($L$37=0,$P$34=0),"",$L$37-1)),MIN(BU$38,$E530),$P$20))-SUM($BF530:BT530))</f>
        <v>0</v>
      </c>
      <c r="BV530" s="446">
        <f>IF($E530=0,0,IF(MIN(BV$38,$E530)&lt;MAX($P$34*($B530+$I$38-1),IF(AND($L$37=0,$P$34=0),"",$L$37-1)),0,YEARFRAC(MAX($P$34*($B530+$I$38-1),IF(AND($L$37=0,$P$34=0),"",$L$37-1)),MIN(BV$38,$E530),$P$20))-SUM($BF530:BU530))</f>
        <v>0</v>
      </c>
      <c r="BW530" s="446">
        <f>IF($E530=0,0,IF(MIN(BW$38,$E530)&lt;MAX($P$34*($B530+$I$38-1),IF(AND($L$37=0,$P$34=0),"",$L$37-1)),0,YEARFRAC(MAX($P$34*($B530+$I$38-1),IF(AND($L$37=0,$P$34=0),"",$L$37-1)),MIN(BW$38,$E530),$P$20))-SUM($BF530:BV530))</f>
        <v>0</v>
      </c>
      <c r="BX530" s="446">
        <f>IF($E530=0,0,IF(MIN(BX$38,$E530)&lt;MAX($P$34*($B530+$I$38-1),IF(AND($L$37=0,$P$34=0),"",$L$37-1)),0,YEARFRAC(MAX($P$34*($B530+$I$38-1),IF(AND($L$37=0,$P$34=0),"",$L$37-1)),MIN(BX$38,$E530),$P$20))-SUM($BF530:BW530))</f>
        <v>0</v>
      </c>
      <c r="BY530" s="446">
        <f>IF($E530=0,0,IF(MIN(BY$38,$E530)&lt;MAX($P$34*($B530+$I$38-1),IF(AND($L$37=0,$P$34=0),"",$L$37-1)),0,YEARFRAC(MAX($P$34*($B530+$I$38-1),IF(AND($L$37=0,$P$34=0),"",$L$37-1)),MIN(BY$38,$E530),$P$20))-SUM($BF530:BX530))</f>
        <v>0</v>
      </c>
      <c r="BZ530" s="446">
        <f>IF($E530=0,0,IF(MIN(BZ$38,$E530)&lt;MAX($P$34*($B530+$I$38-1),IF(AND($L$37=0,$P$34=0),"",$L$37-1)),0,YEARFRAC(MAX($P$34*($B530+$I$38-1),IF(AND($L$37=0,$P$34=0),"",$L$37-1)),MIN(BZ$38,$E530),$P$20))-SUM($BF530:BY530))</f>
        <v>0</v>
      </c>
      <c r="CA530" s="446">
        <f>IF($E530=0,0,IF(MIN(CA$38,$E530)&lt;MAX($P$34*($B530+$I$38-1),IF(AND($L$37=0,$P$34=0),"",$L$37-1)),0,YEARFRAC(MAX($P$34*($B530+$I$38-1),IF(AND($L$37=0,$P$34=0),"",$L$37-1)),MIN(CA$38,$E530),$P$20))-SUM($BF530:BZ530))</f>
        <v>0</v>
      </c>
      <c r="CB530" s="446">
        <f>IF($E530=0,0,IF(MIN(CB$38,$E530)&lt;MAX($P$34*($B530+$I$38-1),IF(AND($L$37=0,$P$34=0),"",$L$37-1)),0,YEARFRAC(MAX($P$34*($B530+$I$38-1),IF(AND($L$37=0,$P$34=0),"",$L$37-1)),MIN(CB$38,$E530),$P$20))-SUM($BF530:CA530))</f>
        <v>0</v>
      </c>
      <c r="CC530" s="446">
        <f>IF($E530=0,0,IF(MIN(CC$38,$E530)&lt;MAX($P$34*($B530+$I$38-1),IF(AND($L$37=0,$P$34=0),"",$L$37-1)),0,YEARFRAC(MAX($P$34*($B530+$I$38-1),IF(AND($L$37=0,$P$34=0),"",$L$37-1)),MIN(CC$38,$E530),$P$20))-SUM($BF530:CB530))</f>
        <v>0</v>
      </c>
      <c r="CD530" s="446">
        <f>IF($E530=0,0,IF(MIN(CD$38,$E530)&lt;MAX($P$34*($B530+$I$38-1),IF(AND($L$37=0,$P$34=0),"",$L$37-1)),0,YEARFRAC(MAX($P$34*($B530+$I$38-1),IF(AND($L$37=0,$P$34=0),"",$L$37-1)),MIN(CD$38,$E530),$P$20))-SUM($BF530:CC530))</f>
        <v>0</v>
      </c>
      <c r="CE530" s="446">
        <f>IF($E530=0,0,IF(MIN(CE$38,$E530)&lt;MAX($P$34*($B530+$I$38-1),IF(AND($L$37=0,$P$34=0),"",$L$37-1)),0,YEARFRAC(MAX($P$34*($B530+$I$38-1),IF(AND($L$37=0,$P$34=0),"",$L$37-1)),MIN(CE$38,$E530),$P$20))-SUM($BF530:CD530))</f>
        <v>0</v>
      </c>
      <c r="CF530" s="446">
        <f>IF($E530=0,0,IF(MIN(CF$38,$E530)&lt;MAX($P$34*($B530+$I$38-1),IF(AND($L$37=0,$P$34=0),"",$L$37-1)),0,YEARFRAC(MAX($P$34*($B530+$I$38-1),IF(AND($L$37=0,$P$34=0),"",$L$37-1)),MIN(CF$38,$E530),$P$20))-SUM($BF530:CE530))</f>
        <v>0</v>
      </c>
      <c r="CG530" s="446">
        <f>IF($E530=0,0,IF(MIN(CG$38,$E530)&lt;MAX($P$34*($B530+$I$38-1),IF(AND($L$37=0,$P$34=0),"",$L$37-1)),0,YEARFRAC(MAX($P$34*($B530+$I$38-1),IF(AND($L$37=0,$P$34=0),"",$L$37-1)),MIN(CG$38,$E530),$P$20))-SUM($BF530:CF530))</f>
        <v>0</v>
      </c>
      <c r="CH530" s="446">
        <f>IF($E530=0,0,IF(MIN(CH$38,$E530)&lt;MAX($P$34*($B530+$I$38-1),IF(AND($L$37=0,$P$34=0),"",$L$37-1)),0,YEARFRAC(MAX($P$34*($B530+$I$38-1),IF(AND($L$37=0,$P$34=0),"",$L$37-1)),MIN(CH$38,$E530),$P$20))-SUM($BF530:CG530))</f>
        <v>0</v>
      </c>
      <c r="CI530" s="446">
        <f>IF($E530=0,0,IF(MIN(CI$38,$E530)&lt;MAX($P$34*($B530+$I$38-1),IF(AND($L$37=0,$P$34=0),"",$L$37-1)),0,YEARFRAC(MAX($P$34*($B530+$I$38-1),IF(AND($L$37=0,$P$34=0),"",$L$37-1)),MIN(CI$38,$E530),$P$20))-SUM($BF530:CH530))</f>
        <v>0</v>
      </c>
      <c r="CJ530" s="446">
        <f>IF($E530=0,0,IF(MIN(CJ$38,$E530)&lt;MAX($P$34*($B530+$I$38-1),IF(AND($L$37=0,$P$34=0),"",$L$37-1)),0,YEARFRAC(MAX($P$34*($B530+$I$38-1),IF(AND($L$37=0,$P$34=0),"",$L$37-1)),MIN(CJ$38,$E530),$P$20))-SUM($BF530:CI530))</f>
        <v>0</v>
      </c>
      <c r="CK530" s="446">
        <f>IF($E530=0,0,IF(MIN(CK$38,$E530)&lt;MAX($P$34*($B530+$I$38-1),IF(AND($L$37=0,$P$34=0),"",$L$37-1)),0,YEARFRAC(MAX($P$34*($B530+$I$38-1),IF(AND($L$37=0,$P$34=0),"",$L$37-1)),MIN(CK$38,$E530),$P$20))-SUM($BF530:CJ530))</f>
        <v>0</v>
      </c>
      <c r="CL530" s="446">
        <f>IF($E530=0,0,IF(MIN(CL$38,$E530)&lt;MAX($P$34*($B530+$I$38-1),IF(AND($L$37=0,$P$34=0),"",$L$37-1)),0,YEARFRAC(MAX($P$34*($B530+$I$38-1),IF(AND($L$37=0,$P$34=0),"",$L$37-1)),MIN(CL$38,$E530),$P$20))-SUM($BF530:CK530))</f>
        <v>0</v>
      </c>
      <c r="CM530" s="446">
        <f>IF($E530=0,0,IF(MIN(CM$38,$E530)&lt;MAX($P$34*($B530+$I$38-1),IF(AND($L$37=0,$P$34=0),"",$L$37-1)),0,YEARFRAC(MAX($P$34*($B530+$I$38-1),IF(AND($L$37=0,$P$34=0),"",$L$37-1)),MIN(CM$38,$E530),$P$20))-SUM($BF530:CL530))</f>
        <v>0</v>
      </c>
      <c r="CN530" s="446">
        <f>IF($E530=0,0,IF(MIN(CN$38,$E530)&lt;MAX($P$34*($B530+$I$38-1),IF(AND($L$37=0,$P$34=0),"",$L$37-1)),0,YEARFRAC(MAX($P$34*($B530+$I$38-1),IF(AND($L$37=0,$P$34=0),"",$L$37-1)),MIN(CN$38,$E530),$P$20))-SUM($BF530:CM530))</f>
        <v>0</v>
      </c>
      <c r="CO530" s="446">
        <f>IF($E530=0,0,IF(MIN(CO$38,$E530)&lt;MAX($P$34*($B530+$I$38-1),IF(AND($L$37=0,$P$34=0),"",$L$37-1)),0,YEARFRAC(MAX($P$34*($B530+$I$38-1),IF(AND($L$37=0,$P$34=0),"",$L$37-1)),MIN(CO$38,$E530),$P$20))-SUM($BF530:CN530))</f>
        <v>0</v>
      </c>
      <c r="CP530" s="446">
        <f>IF($E530=0,0,IF(MIN(CP$38,$E530)&lt;MAX($P$34*($B530+$I$38-1),IF(AND($L$37=0,$P$34=0),"",$L$37-1)),0,YEARFRAC(MAX($P$34*($B530+$I$38-1),IF(AND($L$37=0,$P$34=0),"",$L$37-1)),MIN(CP$38,$E530),$P$20))-SUM($BF530:CO530))</f>
        <v>0</v>
      </c>
      <c r="CQ530" s="446">
        <f>IF($E530=0,0,IF(MIN(CQ$38,$E530)&lt;MAX($P$34*($B530+$I$38-1),IF(AND($L$37=0,$P$34=0),"",$L$37-1)),0,YEARFRAC(MAX($P$34*($B530+$I$38-1),IF(AND($L$37=0,$P$34=0),"",$L$37-1)),MIN(CQ$38,$E530),$P$20))-SUM($BF530:CP530))</f>
        <v>0</v>
      </c>
    </row>
    <row r="531" spans="1:95" s="446" customFormat="1" ht="11.25" hidden="1" customHeight="1" x14ac:dyDescent="0.2">
      <c r="A531" s="152"/>
      <c r="B531" s="153" t="str">
        <f t="shared" si="92"/>
        <v/>
      </c>
      <c r="C531" s="29" t="str">
        <f>IF(B531="","",IF($L$35="SELIC - TRIBUTOS",VLOOKUP(DATE(YEAR($D$19),MONTH($D$19)-1,1),ÍNDICES!$A:$DE,HLOOKUP($BL$25,ÍNDICES!$B$3:$T$4,2)+11)-VLOOKUP(B531,ÍNDICES!$A:$DE,HLOOKUP($BL$25,ÍNDICES!$B$3:$T$4,2)+11)+1%,IF(C$38=$W$26,$J$35,IF(ISERROR(IF(B531&gt;$D$19,1,VLOOKUP(DATE(YEAR(B531),MONTH(B531)+IF($C$35=$S$23,1,0),1),ÍNDICES!$A:$DE,$Z$35+1))),"",IF(B531&gt;$D$19,1,VLOOKUP(DATE(YEAR(B531),MONTH(B531)+IF($C$35=$S$23,1,0),1),ÍNDICES!$A:$DE,$Z$35+1))))))</f>
        <v/>
      </c>
      <c r="D531" s="154" t="str">
        <f>IF(ISERROR(IF(OR($D$38=$Y$27,$B531=""),"",VLOOKUP(B531,ÍNDICES!A:DE,AF$35+1))),"",IF(OR($D$38=$Y$27,$B531=""),"",VLOOKUP(B531,ÍNDICES!A:DE,AF$35+1)))</f>
        <v/>
      </c>
      <c r="E531" s="153"/>
      <c r="F531" s="29" t="str">
        <f>IF(E531="","",IF($L$35="SELIC - TRIBUTOS",VLOOKUP(DATE(YEAR($D$19),MONTH($D$19)-1,1),ÍNDICES!$A:$DE,HLOOKUP($BL$25,ÍNDICES!$B$3:$T$4,2)+11)-VLOOKUP(E531,ÍNDICES!$A:$DE,HLOOKUP($BL$25,ÍNDICES!$B$3:$T$4,2)+11)+1%,IF(F$38=$W$26,$J$35,IF(ISERROR(IF(E531&gt;$D$19,1,VLOOKUP(DATE(YEAR(E531),MONTH(E531)+IF($C$35=$S$23,1,0),1),ÍNDICES!$A:$DE,$Z$35+1))),"",IF(E531&gt;$D$19,1,VLOOKUP(DATE(YEAR(E531),MONTH(E531)+IF($C$35=$S$23,1,0),1),ÍNDICES!$A:$DE,$Z$35+1))))))</f>
        <v/>
      </c>
      <c r="G531" s="155"/>
      <c r="H531" s="156" t="str">
        <f t="shared" si="88"/>
        <v/>
      </c>
      <c r="I531" s="29" t="str">
        <f t="shared" si="82"/>
        <v/>
      </c>
      <c r="J531" s="5">
        <f t="shared" si="83"/>
        <v>0</v>
      </c>
      <c r="K531" s="20">
        <f t="shared" ca="1" si="84"/>
        <v>0</v>
      </c>
      <c r="L531" s="5">
        <f t="shared" ca="1" si="85"/>
        <v>0</v>
      </c>
      <c r="M531" s="64">
        <f t="shared" si="89"/>
        <v>0</v>
      </c>
      <c r="N531" s="61">
        <f t="shared" ca="1" si="90"/>
        <v>0</v>
      </c>
      <c r="O531" s="5">
        <f t="shared" ca="1" si="91"/>
        <v>0</v>
      </c>
      <c r="P531" s="446" t="e">
        <f t="shared" si="86"/>
        <v>#VALUE!</v>
      </c>
      <c r="Q531" s="446" t="e">
        <f>IF(OR($B531="",MIN(Q$38,$D$19)&lt;MAX($P$34*($B531+IF($R$17="Distrato",$I$38-1,0)),IF(AND($L$37=0,$P$34=0),"",$L$37-1),IF($R$17="Distrato",$E531,0))),0,YEARFRAC(MAX($P$34*($B531+IF($R$17="Distrato",$I$38-1,0)),IF(AND($L$37=0,$P$34=0),"",$L$37-1),IF($R$17="Distrato",$E531,0)),MIN(Q$38,$D$19),$P$20))-SUM($P531:P531)</f>
        <v>#VALUE!</v>
      </c>
      <c r="R531" s="446" t="e">
        <f>IF(OR($B531="",MIN(R$38,$D$19)&lt;MAX($P$34*($B531+IF($R$17="Distrato",$I$38-1,0)),IF(AND($L$37=0,$P$34=0),"",$L$37-1),IF($R$17="Distrato",$E531,0))),0,YEARFRAC(MAX($P$34*($B531+IF($R$17="Distrato",$I$38-1,0)),IF(AND($L$37=0,$P$34=0),"",$L$37-1),IF($R$17="Distrato",$E531,0)),MIN(R$38,$D$19),$P$20))-SUM($P531:Q531)</f>
        <v>#VALUE!</v>
      </c>
      <c r="S531" s="446" t="e">
        <f>IF(OR($B531="",MIN(S$38,$D$19)&lt;MAX($P$34*($B531+IF($R$17="Distrato",$I$38-1,0)),IF(AND($L$37=0,$P$34=0),"",$L$37-1),IF($R$17="Distrato",$E531,0))),0,YEARFRAC(MAX($P$34*($B531+IF($R$17="Distrato",$I$38-1,0)),IF(AND($L$37=0,$P$34=0),"",$L$37-1),IF($R$17="Distrato",$E531,0)),MIN(S$38,$D$19),$P$20))-SUM($P531:R531)</f>
        <v>#VALUE!</v>
      </c>
      <c r="T531" s="446" t="e">
        <f>IF(OR($B531="",MIN(T$38,$D$19)&lt;MAX($P$34*($B531+IF($R$17="Distrato",$I$38-1,0)),IF(AND($L$37=0,$P$34=0),"",$L$37-1),IF($R$17="Distrato",$E531,0))),0,YEARFRAC(MAX($P$34*($B531+IF($R$17="Distrato",$I$38-1,0)),IF(AND($L$37=0,$P$34=0),"",$L$37-1),IF($R$17="Distrato",$E531,0)),MIN(T$38,$D$19),$P$20))-SUM($P531:S531)</f>
        <v>#VALUE!</v>
      </c>
      <c r="U531" s="446" t="e">
        <f>IF(OR($B531="",MIN(U$38,$D$19)&lt;MAX($P$34*($B531+IF($R$17="Distrato",$I$38-1,0)),IF(AND($L$37=0,$P$34=0),"",$L$37-1),IF($R$17="Distrato",$E531,0))),0,YEARFRAC(MAX($P$34*($B531+IF($R$17="Distrato",$I$38-1,0)),IF(AND($L$37=0,$P$34=0),"",$L$37-1),IF($R$17="Distrato",$E531,0)),MIN(U$38,$D$19),$P$20))-SUM($P531:T531)</f>
        <v>#VALUE!</v>
      </c>
      <c r="V531" s="446" t="e">
        <f>IF(OR($B531="",MIN(V$38,$D$19)&lt;MAX($P$34*($B531+IF($R$17="Distrato",$I$38-1,0)),IF(AND($L$37=0,$P$34=0),"",$L$37-1),IF($R$17="Distrato",$E531,0))),0,YEARFRAC(MAX($P$34*($B531+IF($R$17="Distrato",$I$38-1,0)),IF(AND($L$37=0,$P$34=0),"",$L$37-1),IF($R$17="Distrato",$E531,0)),MIN(V$38,$D$19),$P$20))-SUM($P531:U531)</f>
        <v>#VALUE!</v>
      </c>
      <c r="W531" s="446" t="e">
        <f>IF(OR($B531="",MIN(W$38,$D$19)&lt;MAX($P$34*($B531+IF($R$17="Distrato",$I$38-1,0)),IF(AND($L$37=0,$P$34=0),"",$L$37-1),IF($R$17="Distrato",$E531,0))),0,YEARFRAC(MAX($P$34*($B531+IF($R$17="Distrato",$I$38-1,0)),IF(AND($L$37=0,$P$34=0),"",$L$37-1),IF($R$17="Distrato",$E531,0)),MIN(W$38,$D$19),$P$20))-SUM($P531:V531)</f>
        <v>#VALUE!</v>
      </c>
      <c r="X531" s="446" t="e">
        <f>IF(OR($B531="",MIN(X$38,$D$19)&lt;MAX($P$34*($B531+IF($R$17="Distrato",$I$38-1,0)),IF(AND($L$37=0,$P$34=0),"",$L$37-1),IF($R$17="Distrato",$E531,0))),0,YEARFRAC(MAX($P$34*($B531+IF($R$17="Distrato",$I$38-1,0)),IF(AND($L$37=0,$P$34=0),"",$L$37-1),IF($R$17="Distrato",$E531,0)),MIN(X$38,$D$19),$P$20))-SUM($P531:W531)</f>
        <v>#VALUE!</v>
      </c>
      <c r="Y531" s="446" t="e">
        <f>IF(OR($B531="",MIN(Y$38,$D$19)&lt;MAX($P$34*($B531+IF($R$17="Distrato",$I$38-1,0)),IF(AND($L$37=0,$P$34=0),"",$L$37-1),IF($R$17="Distrato",$E531,0))),0,YEARFRAC(MAX($P$34*($B531+IF($R$17="Distrato",$I$38-1,0)),IF(AND($L$37=0,$P$34=0),"",$L$37-1),IF($R$17="Distrato",$E531,0)),MIN(Y$38,$D$19),$P$20))-SUM($P531:X531)</f>
        <v>#VALUE!</v>
      </c>
      <c r="Z531" s="446" t="e">
        <f>IF(OR($B531="",MIN(Z$38,$D$19)&lt;MAX($P$34*($B531+IF($R$17="Distrato",$I$38-1,0)),IF(AND($L$37=0,$P$34=0),"",$L$37-1),IF($R$17="Distrato",$E531,0))),0,YEARFRAC(MAX($P$34*($B531+IF($R$17="Distrato",$I$38-1,0)),IF(AND($L$37=0,$P$34=0),"",$L$37-1),IF($R$17="Distrato",$E531,0)),MIN(Z$38,$D$19),$P$20))-SUM($P531:Y531)</f>
        <v>#VALUE!</v>
      </c>
      <c r="AA531" s="446" t="e">
        <f>IF(OR($B531="",MIN(AA$38,$D$19)&lt;MAX($P$34*($B531+IF($R$17="Distrato",$I$38-1,0)),IF(AND($L$37=0,$P$34=0),"",$L$37-1),IF($R$17="Distrato",$E531,0))),0,YEARFRAC(MAX($P$34*($B531+IF($R$17="Distrato",$I$38-1,0)),IF(AND($L$37=0,$P$34=0),"",$L$37-1),IF($R$17="Distrato",$E531,0)),MIN(AA$38,$D$19),$P$20))-SUM($P531:Z531)</f>
        <v>#VALUE!</v>
      </c>
      <c r="AB531" s="446" t="e">
        <f>IF(OR($B531="",MIN(AB$38,$D$19)&lt;MAX($P$34*($B531+IF($R$17="Distrato",$I$38-1,0)),IF(AND($L$37=0,$P$34=0),"",$L$37-1),IF($R$17="Distrato",$E531,0))),0,YEARFRAC(MAX($P$34*($B531+IF($R$17="Distrato",$I$38-1,0)),IF(AND($L$37=0,$P$34=0),"",$L$37-1),IF($R$17="Distrato",$E531,0)),MIN(AB$38,$D$19),$P$20))-SUM($P531:AA531)</f>
        <v>#VALUE!</v>
      </c>
      <c r="AC531" s="446" t="e">
        <f>IF(OR($B531="",MIN(AC$38,$D$19)&lt;MAX($P$34*($B531+IF($R$17="Distrato",$I$38-1,0)),IF(AND($L$37=0,$P$34=0),"",$L$37-1),IF($R$17="Distrato",$E531,0))),0,YEARFRAC(MAX($P$34*($B531+IF($R$17="Distrato",$I$38-1,0)),IF(AND($L$37=0,$P$34=0),"",$L$37-1),IF($R$17="Distrato",$E531,0)),MIN(AC$38,$D$19),$P$20))-SUM($P531:AB531)</f>
        <v>#VALUE!</v>
      </c>
      <c r="AD531" s="446" t="e">
        <f>IF(OR($B531="",MIN(AD$38,$D$19)&lt;MAX($P$34*($B531+IF($R$17="Distrato",$I$38-1,0)),IF(AND($L$37=0,$P$34=0),"",$L$37-1),IF($R$17="Distrato",$E531,0))),0,YEARFRAC(MAX($P$34*($B531+IF($R$17="Distrato",$I$38-1,0)),IF(AND($L$37=0,$P$34=0),"",$L$37-1),IF($R$17="Distrato",$E531,0)),MIN(AD$38,$D$19),$P$20))-SUM($P531:AC531)</f>
        <v>#VALUE!</v>
      </c>
      <c r="AE531" s="446" t="e">
        <f>IF(OR($B531="",MIN(AE$38,$D$19)&lt;MAX($P$34*($B531+IF($R$17="Distrato",$I$38-1,0)),IF(AND($L$37=0,$P$34=0),"",$L$37-1),IF($R$17="Distrato",$E531,0))),0,YEARFRAC(MAX($P$34*($B531+IF($R$17="Distrato",$I$38-1,0)),IF(AND($L$37=0,$P$34=0),"",$L$37-1),IF($R$17="Distrato",$E531,0)),MIN(AE$38,$D$19),$P$20))-SUM($P531:AD531)</f>
        <v>#VALUE!</v>
      </c>
      <c r="AF531" s="446" t="e">
        <f>IF(OR($B531="",MIN(AF$38,$D$19)&lt;MAX($P$34*($B531+IF($R$17="Distrato",$I$38-1,0)),IF(AND($L$37=0,$P$34=0),"",$L$37-1),IF($R$17="Distrato",$E531,0))),0,YEARFRAC(MAX($P$34*($B531+IF($R$17="Distrato",$I$38-1,0)),IF(AND($L$37=0,$P$34=0),"",$L$37-1),IF($R$17="Distrato",$E531,0)),MIN(AF$38,$D$19),$P$20))-SUM($P531:AE531)</f>
        <v>#VALUE!</v>
      </c>
      <c r="AG531" s="446" t="e">
        <f>IF(OR($B531="",MIN(AG$38,$D$19)&lt;MAX($P$34*($B531+IF($R$17="Distrato",$I$38-1,0)),IF(AND($L$37=0,$P$34=0),"",$L$37-1),IF($R$17="Distrato",$E531,0))),0,YEARFRAC(MAX($P$34*($B531+IF($R$17="Distrato",$I$38-1,0)),IF(AND($L$37=0,$P$34=0),"",$L$37-1),IF($R$17="Distrato",$E531,0)),MIN(AG$38,$D$19),$P$20))-SUM($P531:AF531)</f>
        <v>#VALUE!</v>
      </c>
      <c r="AH531" s="446" t="e">
        <f>IF(OR($B531="",MIN(AH$38,$D$19)&lt;MAX($P$34*($B531+IF($R$17="Distrato",$I$38-1,0)),IF(AND($L$37=0,$P$34=0),"",$L$37-1),IF($R$17="Distrato",$E531,0))),0,YEARFRAC(MAX($P$34*($B531+IF($R$17="Distrato",$I$38-1,0)),IF(AND($L$37=0,$P$34=0),"",$L$37-1),IF($R$17="Distrato",$E531,0)),MIN(AH$38,$D$19),$P$20))-SUM($P531:AG531)</f>
        <v>#VALUE!</v>
      </c>
      <c r="AI531" s="446" t="e">
        <f>IF(OR($B531="",MIN(AI$38,$D$19)&lt;MAX($P$34*($B531+IF($R$17="Distrato",$I$38-1,0)),IF(AND($L$37=0,$P$34=0),"",$L$37-1),IF($R$17="Distrato",$E531,0))),0,YEARFRAC(MAX($P$34*($B531+IF($R$17="Distrato",$I$38-1,0)),IF(AND($L$37=0,$P$34=0),"",$L$37-1),IF($R$17="Distrato",$E531,0)),MIN(AI$38,$D$19),$P$20))-SUM($P531:AH531)</f>
        <v>#VALUE!</v>
      </c>
      <c r="AJ531" s="446" t="e">
        <f>IF(OR($B531="",MIN(AJ$38,$D$19)&lt;MAX($P$34*($B531+IF($R$17="Distrato",$I$38-1,0)),IF(AND($L$37=0,$P$34=0),"",$L$37-1),IF($R$17="Distrato",$E531,0))),0,YEARFRAC(MAX($P$34*($B531+IF($R$17="Distrato",$I$38-1,0)),IF(AND($L$37=0,$P$34=0),"",$L$37-1),IF($R$17="Distrato",$E531,0)),MIN(AJ$38,$D$19),$P$20))-SUM($P531:AI531)</f>
        <v>#VALUE!</v>
      </c>
      <c r="AK531" s="446" t="e">
        <f>IF(OR($B531="",MIN(AK$38,$D$19)&lt;MAX($P$34*($B531+IF($R$17="Distrato",$I$38-1,0)),IF(AND($L$37=0,$P$34=0),"",$L$37-1),IF($R$17="Distrato",$E531,0))),0,YEARFRAC(MAX($P$34*($B531+IF($R$17="Distrato",$I$38-1,0)),IF(AND($L$37=0,$P$34=0),"",$L$37-1),IF($R$17="Distrato",$E531,0)),MIN(AK$38,$D$19),$P$20))-SUM($P531:AJ531)</f>
        <v>#VALUE!</v>
      </c>
      <c r="AL531" s="446" t="e">
        <f>IF(OR($B531="",MIN(AL$38,$D$19)&lt;MAX($P$34*($B531+IF($R$17="Distrato",$I$38-1,0)),IF(AND($L$37=0,$P$34=0),"",$L$37-1),IF($R$17="Distrato",$E531,0))),0,YEARFRAC(MAX($P$34*($B531+IF($R$17="Distrato",$I$38-1,0)),IF(AND($L$37=0,$P$34=0),"",$L$37-1),IF($R$17="Distrato",$E531,0)),MIN(AL$38,$D$19),$P$20))-SUM($P531:AK531)</f>
        <v>#VALUE!</v>
      </c>
      <c r="AM531" s="446" t="e">
        <f>IF(OR($B531="",MIN(AM$38,$D$19)&lt;MAX($P$34*($B531+IF($R$17="Distrato",$I$38-1,0)),IF(AND($L$37=0,$P$34=0),"",$L$37-1),IF($R$17="Distrato",$E531,0))),0,YEARFRAC(MAX($P$34*($B531+IF($R$17="Distrato",$I$38-1,0)),IF(AND($L$37=0,$P$34=0),"",$L$37-1),IF($R$17="Distrato",$E531,0)),MIN(AM$38,$D$19),$P$20))-SUM($P531:AL531)</f>
        <v>#VALUE!</v>
      </c>
      <c r="AN531" s="446" t="e">
        <f>IF(OR($B531="",MIN(AN$38,$D$19)&lt;MAX($P$34*($B531+IF($R$17="Distrato",$I$38-1,0)),IF(AND($L$37=0,$P$34=0),"",$L$37-1),IF($R$17="Distrato",$E531,0))),0,YEARFRAC(MAX($P$34*($B531+IF($R$17="Distrato",$I$38-1,0)),IF(AND($L$37=0,$P$34=0),"",$L$37-1),IF($R$17="Distrato",$E531,0)),MIN(AN$38,$D$19),$P$20))-SUM($P531:AM531)</f>
        <v>#VALUE!</v>
      </c>
      <c r="AO531" s="446" t="e">
        <f>IF(OR($B531="",MIN(AO$38,$D$19)&lt;MAX($P$34*($B531+IF($R$17="Distrato",$I$38-1,0)),IF(AND($L$37=0,$P$34=0),"",$L$37-1),IF($R$17="Distrato",$E531,0))),0,YEARFRAC(MAX($P$34*($B531+IF($R$17="Distrato",$I$38-1,0)),IF(AND($L$37=0,$P$34=0),"",$L$37-1),IF($R$17="Distrato",$E531,0)),MIN(AO$38,$D$19),$P$20))-SUM($P531:AN531)</f>
        <v>#VALUE!</v>
      </c>
      <c r="AP531" s="446" t="e">
        <f>IF(OR($B531="",MIN(AP$38,$D$19)&lt;MAX($P$34*($B531+IF($R$17="Distrato",$I$38-1,0)),IF(AND($L$37=0,$P$34=0),"",$L$37-1),IF($R$17="Distrato",$E531,0))),0,YEARFRAC(MAX($P$34*($B531+IF($R$17="Distrato",$I$38-1,0)),IF(AND($L$37=0,$P$34=0),"",$L$37-1),IF($R$17="Distrato",$E531,0)),MIN(AP$38,$D$19),$P$20))-SUM($P531:AO531)</f>
        <v>#VALUE!</v>
      </c>
      <c r="AQ531" s="446" t="e">
        <f>IF(OR($B531="",MIN(AQ$38,$D$19)&lt;MAX($P$34*($B531+IF($R$17="Distrato",$I$38-1,0)),IF(AND($L$37=0,$P$34=0),"",$L$37-1),IF($R$17="Distrato",$E531,0))),0,YEARFRAC(MAX($P$34*($B531+IF($R$17="Distrato",$I$38-1,0)),IF(AND($L$37=0,$P$34=0),"",$L$37-1),IF($R$17="Distrato",$E531,0)),MIN(AQ$38,$D$19),$P$20))-SUM($P531:AP531)</f>
        <v>#VALUE!</v>
      </c>
      <c r="AR531" s="446" t="e">
        <f>IF(OR($B531="",MIN(AR$38,$D$19)&lt;MAX($P$34*($B531+IF($R$17="Distrato",$I$38-1,0)),IF(AND($L$37=0,$P$34=0),"",$L$37-1),IF($R$17="Distrato",$E531,0))),0,YEARFRAC(MAX($P$34*($B531+IF($R$17="Distrato",$I$38-1,0)),IF(AND($L$37=0,$P$34=0),"",$L$37-1),IF($R$17="Distrato",$E531,0)),MIN(AR$38,$D$19),$P$20))-SUM($P531:AQ531)</f>
        <v>#VALUE!</v>
      </c>
      <c r="AS531" s="446" t="e">
        <f>IF(OR($B531="",MIN(AS$38,$D$19)&lt;MAX($P$34*($B531+IF($R$17="Distrato",$I$38-1,0)),IF(AND($L$37=0,$P$34=0),"",$L$37-1),IF($R$17="Distrato",$E531,0))),0,YEARFRAC(MAX($P$34*($B531+IF($R$17="Distrato",$I$38-1,0)),IF(AND($L$37=0,$P$34=0),"",$L$37-1),IF($R$17="Distrato",$E531,0)),MIN(AS$38,$D$19),$P$20))-SUM($P531:AR531)</f>
        <v>#VALUE!</v>
      </c>
      <c r="AT531" s="446" t="e">
        <f>IF(OR($B531="",MIN(AT$38,$D$19)&lt;MAX($P$34*($B531+IF($R$17="Distrato",$I$38-1,0)),IF(AND($L$37=0,$P$34=0),"",$L$37-1),IF($R$17="Distrato",$E531,0))),0,YEARFRAC(MAX($P$34*($B531+IF($R$17="Distrato",$I$38-1,0)),IF(AND($L$37=0,$P$34=0),"",$L$37-1),IF($R$17="Distrato",$E531,0)),MIN(AT$38,$D$19),$P$20))-SUM($P531:AS531)</f>
        <v>#VALUE!</v>
      </c>
      <c r="AU531" s="446" t="e">
        <f>IF(OR($B531="",MIN(AU$38,$D$19)&lt;MAX($P$34*($B531+IF($R$17="Distrato",$I$38-1,0)),IF(AND($L$37=0,$P$34=0),"",$L$37-1),IF($R$17="Distrato",$E531,0))),0,YEARFRAC(MAX($P$34*($B531+IF($R$17="Distrato",$I$38-1,0)),IF(AND($L$37=0,$P$34=0),"",$L$37-1),IF($R$17="Distrato",$E531,0)),MIN(AU$38,$D$19),$P$20))-SUM($P531:AT531)</f>
        <v>#VALUE!</v>
      </c>
      <c r="AV531" s="446" t="e">
        <f>IF(OR($B531="",MIN(AV$38,$D$19)&lt;MAX($P$34*($B531+IF($R$17="Distrato",$I$38-1,0)),IF(AND($L$37=0,$P$34=0),"",$L$37-1),IF($R$17="Distrato",$E531,0))),0,YEARFRAC(MAX($P$34*($B531+IF($R$17="Distrato",$I$38-1,0)),IF(AND($L$37=0,$P$34=0),"",$L$37-1),IF($R$17="Distrato",$E531,0)),MIN(AV$38,$D$19),$P$20))-SUM($P531:AU531)</f>
        <v>#VALUE!</v>
      </c>
      <c r="AW531" s="446" t="e">
        <f>IF(OR($B531="",MIN(AW$38,$D$19)&lt;MAX($P$34*($B531+IF($R$17="Distrato",$I$38-1,0)),IF(AND($L$37=0,$P$34=0),"",$L$37-1),IF($R$17="Distrato",$E531,0))),0,YEARFRAC(MAX($P$34*($B531+IF($R$17="Distrato",$I$38-1,0)),IF(AND($L$37=0,$P$34=0),"",$L$37-1),IF($R$17="Distrato",$E531,0)),MIN(AW$38,$D$19),$P$20))-SUM($P531:AV531)</f>
        <v>#VALUE!</v>
      </c>
      <c r="AX531" s="446" t="e">
        <f>IF(OR($B531="",MIN(AX$38,$D$19)&lt;MAX($P$34*($B531+IF($R$17="Distrato",$I$38-1,0)),IF(AND($L$37=0,$P$34=0),"",$L$37-1),IF($R$17="Distrato",$E531,0))),0,YEARFRAC(MAX($P$34*($B531+IF($R$17="Distrato",$I$38-1,0)),IF(AND($L$37=0,$P$34=0),"",$L$37-1),IF($R$17="Distrato",$E531,0)),MIN(AX$38,$D$19),$P$20))-SUM($P531:AW531)</f>
        <v>#VALUE!</v>
      </c>
      <c r="AY531" s="446" t="e">
        <f>IF(OR($B531="",MIN(AY$38,$D$19)&lt;MAX($P$34*($B531+IF($R$17="Distrato",$I$38-1,0)),IF(AND($L$37=0,$P$34=0),"",$L$37-1),IF($R$17="Distrato",$E531,0))),0,YEARFRAC(MAX($P$34*($B531+IF($R$17="Distrato",$I$38-1,0)),IF(AND($L$37=0,$P$34=0),"",$L$37-1),IF($R$17="Distrato",$E531,0)),MIN(AY$38,$D$19),$P$20))-SUM($P531:AX531)</f>
        <v>#VALUE!</v>
      </c>
      <c r="AZ531" s="446" t="e">
        <f>IF(OR($B531="",MIN(AZ$38,$D$19)&lt;MAX($P$34*($B531+IF($R$17="Distrato",$I$38-1,0)),IF(AND($L$37=0,$P$34=0),"",$L$37-1),IF($R$17="Distrato",$E531,0))),0,YEARFRAC(MAX($P$34*($B531+IF($R$17="Distrato",$I$38-1,0)),IF(AND($L$37=0,$P$34=0),"",$L$37-1),IF($R$17="Distrato",$E531,0)),MIN(AZ$38,$D$19),$P$20))-SUM($P531:AY531)</f>
        <v>#VALUE!</v>
      </c>
      <c r="BA531" s="446" t="e">
        <f>IF(OR($B531="",MIN(BA$38,$D$19)&lt;MAX($P$34*($B531+IF($R$17="Distrato",$I$38-1,0)),IF(AND($L$37=0,$P$34=0),"",$L$37-1),IF($R$17="Distrato",$E531,0))),0,YEARFRAC(MAX($P$34*($B531+IF($R$17="Distrato",$I$38-1,0)),IF(AND($L$37=0,$P$34=0),"",$L$37-1),IF($R$17="Distrato",$E531,0)),MIN(BA$38,$D$19),$P$20))-SUM($P531:AZ531)</f>
        <v>#VALUE!</v>
      </c>
      <c r="BB531" s="447"/>
      <c r="BF531" s="446">
        <f t="shared" si="87"/>
        <v>0</v>
      </c>
      <c r="BG531" s="446">
        <f>IF($E531=0,0,IF(MIN(BG$38,$E531)&lt;MAX($P$34*($B531+$I$38-1),IF(AND($L$37=0,$P$34=0),"",$L$37-1)),0,YEARFRAC(MAX($P$34*($B531+$I$38-1),IF(AND($L$37=0,$P$34=0),"",$L$37-1)),MIN(BG$38,$E531),$P$20))-SUM($BF531:BF531))</f>
        <v>0</v>
      </c>
      <c r="BH531" s="446">
        <f>IF($E531=0,0,IF(MIN(BH$38,$E531)&lt;MAX($P$34*($B531+$I$38-1),IF(AND($L$37=0,$P$34=0),"",$L$37-1)),0,YEARFRAC(MAX($P$34*($B531+$I$38-1),IF(AND($L$37=0,$P$34=0),"",$L$37-1)),MIN(BH$38,$E531),$P$20))-SUM($BF531:BG531))</f>
        <v>0</v>
      </c>
      <c r="BI531" s="446">
        <f>IF($E531=0,0,IF(MIN(BI$38,$E531)&lt;MAX($P$34*($B531+$I$38-1),IF(AND($L$37=0,$P$34=0),"",$L$37-1)),0,YEARFRAC(MAX($P$34*($B531+$I$38-1),IF(AND($L$37=0,$P$34=0),"",$L$37-1)),MIN(BI$38,$E531),$P$20))-SUM($BF531:BH531))</f>
        <v>0</v>
      </c>
      <c r="BJ531" s="446">
        <f>IF($E531=0,0,IF(MIN(BJ$38,$E531)&lt;MAX($P$34*($B531+$I$38-1),IF(AND($L$37=0,$P$34=0),"",$L$37-1)),0,YEARFRAC(MAX($P$34*($B531+$I$38-1),IF(AND($L$37=0,$P$34=0),"",$L$37-1)),MIN(BJ$38,$E531),$P$20))-SUM($BF531:BI531))</f>
        <v>0</v>
      </c>
      <c r="BK531" s="446">
        <f>IF($E531=0,0,IF(MIN(BK$38,$E531)&lt;MAX($P$34*($B531+$I$38-1),IF(AND($L$37=0,$P$34=0),"",$L$37-1)),0,YEARFRAC(MAX($P$34*($B531+$I$38-1),IF(AND($L$37=0,$P$34=0),"",$L$37-1)),MIN(BK$38,$E531),$P$20))-SUM($BF531:BJ531))</f>
        <v>0</v>
      </c>
      <c r="BL531" s="446">
        <f>IF($E531=0,0,IF(MIN(BL$38,$E531)&lt;MAX($P$34*($B531+$I$38-1),IF(AND($L$37=0,$P$34=0),"",$L$37-1)),0,YEARFRAC(MAX($P$34*($B531+$I$38-1),IF(AND($L$37=0,$P$34=0),"",$L$37-1)),MIN(BL$38,$E531),$P$20))-SUM($BF531:BK531))</f>
        <v>0</v>
      </c>
      <c r="BM531" s="446">
        <f>IF($E531=0,0,IF(MIN(BM$38,$E531)&lt;MAX($P$34*($B531+$I$38-1),IF(AND($L$37=0,$P$34=0),"",$L$37-1)),0,YEARFRAC(MAX($P$34*($B531+$I$38-1),IF(AND($L$37=0,$P$34=0),"",$L$37-1)),MIN(BM$38,$E531),$P$20))-SUM($BF531:BL531))</f>
        <v>0</v>
      </c>
      <c r="BN531" s="446">
        <f>IF($E531=0,0,IF(MIN(BN$38,$E531)&lt;MAX($P$34*($B531+$I$38-1),IF(AND($L$37=0,$P$34=0),"",$L$37-1)),0,YEARFRAC(MAX($P$34*($B531+$I$38-1),IF(AND($L$37=0,$P$34=0),"",$L$37-1)),MIN(BN$38,$E531),$P$20))-SUM($BF531:BM531))</f>
        <v>0</v>
      </c>
      <c r="BO531" s="446">
        <f>IF($E531=0,0,IF(MIN(BO$38,$E531)&lt;MAX($P$34*($B531+$I$38-1),IF(AND($L$37=0,$P$34=0),"",$L$37-1)),0,YEARFRAC(MAX($P$34*($B531+$I$38-1),IF(AND($L$37=0,$P$34=0),"",$L$37-1)),MIN(BO$38,$E531),$P$20))-SUM($BF531:BN531))</f>
        <v>0</v>
      </c>
      <c r="BP531" s="446">
        <f>IF($E531=0,0,IF(MIN(BP$38,$E531)&lt;MAX($P$34*($B531+$I$38-1),IF(AND($L$37=0,$P$34=0),"",$L$37-1)),0,YEARFRAC(MAX($P$34*($B531+$I$38-1),IF(AND($L$37=0,$P$34=0),"",$L$37-1)),MIN(BP$38,$E531),$P$20))-SUM($BF531:BO531))</f>
        <v>0</v>
      </c>
      <c r="BQ531" s="446">
        <f>IF($E531=0,0,IF(MIN(BQ$38,$E531)&lt;MAX($P$34*($B531+$I$38-1),IF(AND($L$37=0,$P$34=0),"",$L$37-1)),0,YEARFRAC(MAX($P$34*($B531+$I$38-1),IF(AND($L$37=0,$P$34=0),"",$L$37-1)),MIN(BQ$38,$E531),$P$20))-SUM($BF531:BP531))</f>
        <v>0</v>
      </c>
      <c r="BR531" s="446">
        <f>IF($E531=0,0,IF(MIN(BR$38,$E531)&lt;MAX($P$34*($B531+$I$38-1),IF(AND($L$37=0,$P$34=0),"",$L$37-1)),0,YEARFRAC(MAX($P$34*($B531+$I$38-1),IF(AND($L$37=0,$P$34=0),"",$L$37-1)),MIN(BR$38,$E531),$P$20))-SUM($BF531:BQ531))</f>
        <v>0</v>
      </c>
      <c r="BS531" s="446">
        <f>IF($E531=0,0,IF(MIN(BS$38,$E531)&lt;MAX($P$34*($B531+$I$38-1),IF(AND($L$37=0,$P$34=0),"",$L$37-1)),0,YEARFRAC(MAX($P$34*($B531+$I$38-1),IF(AND($L$37=0,$P$34=0),"",$L$37-1)),MIN(BS$38,$E531),$P$20))-SUM($BF531:BR531))</f>
        <v>0</v>
      </c>
      <c r="BT531" s="446">
        <f>IF($E531=0,0,IF(MIN(BT$38,$E531)&lt;MAX($P$34*($B531+$I$38-1),IF(AND($L$37=0,$P$34=0),"",$L$37-1)),0,YEARFRAC(MAX($P$34*($B531+$I$38-1),IF(AND($L$37=0,$P$34=0),"",$L$37-1)),MIN(BT$38,$E531),$P$20))-SUM($BF531:BS531))</f>
        <v>0</v>
      </c>
      <c r="BU531" s="446">
        <f>IF($E531=0,0,IF(MIN(BU$38,$E531)&lt;MAX($P$34*($B531+$I$38-1),IF(AND($L$37=0,$P$34=0),"",$L$37-1)),0,YEARFRAC(MAX($P$34*($B531+$I$38-1),IF(AND($L$37=0,$P$34=0),"",$L$37-1)),MIN(BU$38,$E531),$P$20))-SUM($BF531:BT531))</f>
        <v>0</v>
      </c>
      <c r="BV531" s="446">
        <f>IF($E531=0,0,IF(MIN(BV$38,$E531)&lt;MAX($P$34*($B531+$I$38-1),IF(AND($L$37=0,$P$34=0),"",$L$37-1)),0,YEARFRAC(MAX($P$34*($B531+$I$38-1),IF(AND($L$37=0,$P$34=0),"",$L$37-1)),MIN(BV$38,$E531),$P$20))-SUM($BF531:BU531))</f>
        <v>0</v>
      </c>
      <c r="BW531" s="446">
        <f>IF($E531=0,0,IF(MIN(BW$38,$E531)&lt;MAX($P$34*($B531+$I$38-1),IF(AND($L$37=0,$P$34=0),"",$L$37-1)),0,YEARFRAC(MAX($P$34*($B531+$I$38-1),IF(AND($L$37=0,$P$34=0),"",$L$37-1)),MIN(BW$38,$E531),$P$20))-SUM($BF531:BV531))</f>
        <v>0</v>
      </c>
      <c r="BX531" s="446">
        <f>IF($E531=0,0,IF(MIN(BX$38,$E531)&lt;MAX($P$34*($B531+$I$38-1),IF(AND($L$37=0,$P$34=0),"",$L$37-1)),0,YEARFRAC(MAX($P$34*($B531+$I$38-1),IF(AND($L$37=0,$P$34=0),"",$L$37-1)),MIN(BX$38,$E531),$P$20))-SUM($BF531:BW531))</f>
        <v>0</v>
      </c>
      <c r="BY531" s="446">
        <f>IF($E531=0,0,IF(MIN(BY$38,$E531)&lt;MAX($P$34*($B531+$I$38-1),IF(AND($L$37=0,$P$34=0),"",$L$37-1)),0,YEARFRAC(MAX($P$34*($B531+$I$38-1),IF(AND($L$37=0,$P$34=0),"",$L$37-1)),MIN(BY$38,$E531),$P$20))-SUM($BF531:BX531))</f>
        <v>0</v>
      </c>
      <c r="BZ531" s="446">
        <f>IF($E531=0,0,IF(MIN(BZ$38,$E531)&lt;MAX($P$34*($B531+$I$38-1),IF(AND($L$37=0,$P$34=0),"",$L$37-1)),0,YEARFRAC(MAX($P$34*($B531+$I$38-1),IF(AND($L$37=0,$P$34=0),"",$L$37-1)),MIN(BZ$38,$E531),$P$20))-SUM($BF531:BY531))</f>
        <v>0</v>
      </c>
      <c r="CA531" s="446">
        <f>IF($E531=0,0,IF(MIN(CA$38,$E531)&lt;MAX($P$34*($B531+$I$38-1),IF(AND($L$37=0,$P$34=0),"",$L$37-1)),0,YEARFRAC(MAX($P$34*($B531+$I$38-1),IF(AND($L$37=0,$P$34=0),"",$L$37-1)),MIN(CA$38,$E531),$P$20))-SUM($BF531:BZ531))</f>
        <v>0</v>
      </c>
      <c r="CB531" s="446">
        <f>IF($E531=0,0,IF(MIN(CB$38,$E531)&lt;MAX($P$34*($B531+$I$38-1),IF(AND($L$37=0,$P$34=0),"",$L$37-1)),0,YEARFRAC(MAX($P$34*($B531+$I$38-1),IF(AND($L$37=0,$P$34=0),"",$L$37-1)),MIN(CB$38,$E531),$P$20))-SUM($BF531:CA531))</f>
        <v>0</v>
      </c>
      <c r="CC531" s="446">
        <f>IF($E531=0,0,IF(MIN(CC$38,$E531)&lt;MAX($P$34*($B531+$I$38-1),IF(AND($L$37=0,$P$34=0),"",$L$37-1)),0,YEARFRAC(MAX($P$34*($B531+$I$38-1),IF(AND($L$37=0,$P$34=0),"",$L$37-1)),MIN(CC$38,$E531),$P$20))-SUM($BF531:CB531))</f>
        <v>0</v>
      </c>
      <c r="CD531" s="446">
        <f>IF($E531=0,0,IF(MIN(CD$38,$E531)&lt;MAX($P$34*($B531+$I$38-1),IF(AND($L$37=0,$P$34=0),"",$L$37-1)),0,YEARFRAC(MAX($P$34*($B531+$I$38-1),IF(AND($L$37=0,$P$34=0),"",$L$37-1)),MIN(CD$38,$E531),$P$20))-SUM($BF531:CC531))</f>
        <v>0</v>
      </c>
      <c r="CE531" s="446">
        <f>IF($E531=0,0,IF(MIN(CE$38,$E531)&lt;MAX($P$34*($B531+$I$38-1),IF(AND($L$37=0,$P$34=0),"",$L$37-1)),0,YEARFRAC(MAX($P$34*($B531+$I$38-1),IF(AND($L$37=0,$P$34=0),"",$L$37-1)),MIN(CE$38,$E531),$P$20))-SUM($BF531:CD531))</f>
        <v>0</v>
      </c>
      <c r="CF531" s="446">
        <f>IF($E531=0,0,IF(MIN(CF$38,$E531)&lt;MAX($P$34*($B531+$I$38-1),IF(AND($L$37=0,$P$34=0),"",$L$37-1)),0,YEARFRAC(MAX($P$34*($B531+$I$38-1),IF(AND($L$37=0,$P$34=0),"",$L$37-1)),MIN(CF$38,$E531),$P$20))-SUM($BF531:CE531))</f>
        <v>0</v>
      </c>
      <c r="CG531" s="446">
        <f>IF($E531=0,0,IF(MIN(CG$38,$E531)&lt;MAX($P$34*($B531+$I$38-1),IF(AND($L$37=0,$P$34=0),"",$L$37-1)),0,YEARFRAC(MAX($P$34*($B531+$I$38-1),IF(AND($L$37=0,$P$34=0),"",$L$37-1)),MIN(CG$38,$E531),$P$20))-SUM($BF531:CF531))</f>
        <v>0</v>
      </c>
      <c r="CH531" s="446">
        <f>IF($E531=0,0,IF(MIN(CH$38,$E531)&lt;MAX($P$34*($B531+$I$38-1),IF(AND($L$37=0,$P$34=0),"",$L$37-1)),0,YEARFRAC(MAX($P$34*($B531+$I$38-1),IF(AND($L$37=0,$P$34=0),"",$L$37-1)),MIN(CH$38,$E531),$P$20))-SUM($BF531:CG531))</f>
        <v>0</v>
      </c>
      <c r="CI531" s="446">
        <f>IF($E531=0,0,IF(MIN(CI$38,$E531)&lt;MAX($P$34*($B531+$I$38-1),IF(AND($L$37=0,$P$34=0),"",$L$37-1)),0,YEARFRAC(MAX($P$34*($B531+$I$38-1),IF(AND($L$37=0,$P$34=0),"",$L$37-1)),MIN(CI$38,$E531),$P$20))-SUM($BF531:CH531))</f>
        <v>0</v>
      </c>
      <c r="CJ531" s="446">
        <f>IF($E531=0,0,IF(MIN(CJ$38,$E531)&lt;MAX($P$34*($B531+$I$38-1),IF(AND($L$37=0,$P$34=0),"",$L$37-1)),0,YEARFRAC(MAX($P$34*($B531+$I$38-1),IF(AND($L$37=0,$P$34=0),"",$L$37-1)),MIN(CJ$38,$E531),$P$20))-SUM($BF531:CI531))</f>
        <v>0</v>
      </c>
      <c r="CK531" s="446">
        <f>IF($E531=0,0,IF(MIN(CK$38,$E531)&lt;MAX($P$34*($B531+$I$38-1),IF(AND($L$37=0,$P$34=0),"",$L$37-1)),0,YEARFRAC(MAX($P$34*($B531+$I$38-1),IF(AND($L$37=0,$P$34=0),"",$L$37-1)),MIN(CK$38,$E531),$P$20))-SUM($BF531:CJ531))</f>
        <v>0</v>
      </c>
      <c r="CL531" s="446">
        <f>IF($E531=0,0,IF(MIN(CL$38,$E531)&lt;MAX($P$34*($B531+$I$38-1),IF(AND($L$37=0,$P$34=0),"",$L$37-1)),0,YEARFRAC(MAX($P$34*($B531+$I$38-1),IF(AND($L$37=0,$P$34=0),"",$L$37-1)),MIN(CL$38,$E531),$P$20))-SUM($BF531:CK531))</f>
        <v>0</v>
      </c>
      <c r="CM531" s="446">
        <f>IF($E531=0,0,IF(MIN(CM$38,$E531)&lt;MAX($P$34*($B531+$I$38-1),IF(AND($L$37=0,$P$34=0),"",$L$37-1)),0,YEARFRAC(MAX($P$34*($B531+$I$38-1),IF(AND($L$37=0,$P$34=0),"",$L$37-1)),MIN(CM$38,$E531),$P$20))-SUM($BF531:CL531))</f>
        <v>0</v>
      </c>
      <c r="CN531" s="446">
        <f>IF($E531=0,0,IF(MIN(CN$38,$E531)&lt;MAX($P$34*($B531+$I$38-1),IF(AND($L$37=0,$P$34=0),"",$L$37-1)),0,YEARFRAC(MAX($P$34*($B531+$I$38-1),IF(AND($L$37=0,$P$34=0),"",$L$37-1)),MIN(CN$38,$E531),$P$20))-SUM($BF531:CM531))</f>
        <v>0</v>
      </c>
      <c r="CO531" s="446">
        <f>IF($E531=0,0,IF(MIN(CO$38,$E531)&lt;MAX($P$34*($B531+$I$38-1),IF(AND($L$37=0,$P$34=0),"",$L$37-1)),0,YEARFRAC(MAX($P$34*($B531+$I$38-1),IF(AND($L$37=0,$P$34=0),"",$L$37-1)),MIN(CO$38,$E531),$P$20))-SUM($BF531:CN531))</f>
        <v>0</v>
      </c>
      <c r="CP531" s="446">
        <f>IF($E531=0,0,IF(MIN(CP$38,$E531)&lt;MAX($P$34*($B531+$I$38-1),IF(AND($L$37=0,$P$34=0),"",$L$37-1)),0,YEARFRAC(MAX($P$34*($B531+$I$38-1),IF(AND($L$37=0,$P$34=0),"",$L$37-1)),MIN(CP$38,$E531),$P$20))-SUM($BF531:CO531))</f>
        <v>0</v>
      </c>
      <c r="CQ531" s="446">
        <f>IF($E531=0,0,IF(MIN(CQ$38,$E531)&lt;MAX($P$34*($B531+$I$38-1),IF(AND($L$37=0,$P$34=0),"",$L$37-1)),0,YEARFRAC(MAX($P$34*($B531+$I$38-1),IF(AND($L$37=0,$P$34=0),"",$L$37-1)),MIN(CQ$38,$E531),$P$20))-SUM($BF531:CP531))</f>
        <v>0</v>
      </c>
    </row>
    <row r="532" spans="1:95" s="446" customFormat="1" ht="11.25" hidden="1" customHeight="1" x14ac:dyDescent="0.2">
      <c r="A532" s="152"/>
      <c r="B532" s="153" t="str">
        <f t="shared" si="92"/>
        <v/>
      </c>
      <c r="C532" s="29" t="str">
        <f>IF(B532="","",IF($L$35="SELIC - TRIBUTOS",VLOOKUP(DATE(YEAR($D$19),MONTH($D$19)-1,1),ÍNDICES!$A:$DE,HLOOKUP($BL$25,ÍNDICES!$B$3:$T$4,2)+11)-VLOOKUP(B532,ÍNDICES!$A:$DE,HLOOKUP($BL$25,ÍNDICES!$B$3:$T$4,2)+11)+1%,IF(C$38=$W$26,$J$35,IF(ISERROR(IF(B532&gt;$D$19,1,VLOOKUP(DATE(YEAR(B532),MONTH(B532)+IF($C$35=$S$23,1,0),1),ÍNDICES!$A:$DE,$Z$35+1))),"",IF(B532&gt;$D$19,1,VLOOKUP(DATE(YEAR(B532),MONTH(B532)+IF($C$35=$S$23,1,0),1),ÍNDICES!$A:$DE,$Z$35+1))))))</f>
        <v/>
      </c>
      <c r="D532" s="154" t="str">
        <f>IF(ISERROR(IF(OR($D$38=$Y$27,$B532=""),"",VLOOKUP(B532,ÍNDICES!A:DE,AF$35+1))),"",IF(OR($D$38=$Y$27,$B532=""),"",VLOOKUP(B532,ÍNDICES!A:DE,AF$35+1)))</f>
        <v/>
      </c>
      <c r="E532" s="153"/>
      <c r="F532" s="29" t="str">
        <f>IF(E532="","",IF($L$35="SELIC - TRIBUTOS",VLOOKUP(DATE(YEAR($D$19),MONTH($D$19)-1,1),ÍNDICES!$A:$DE,HLOOKUP($BL$25,ÍNDICES!$B$3:$T$4,2)+11)-VLOOKUP(E532,ÍNDICES!$A:$DE,HLOOKUP($BL$25,ÍNDICES!$B$3:$T$4,2)+11)+1%,IF(F$38=$W$26,$J$35,IF(ISERROR(IF(E532&gt;$D$19,1,VLOOKUP(DATE(YEAR(E532),MONTH(E532)+IF($C$35=$S$23,1,0),1),ÍNDICES!$A:$DE,$Z$35+1))),"",IF(E532&gt;$D$19,1,VLOOKUP(DATE(YEAR(E532),MONTH(E532)+IF($C$35=$S$23,1,0),1),ÍNDICES!$A:$DE,$Z$35+1))))))</f>
        <v/>
      </c>
      <c r="G532" s="155"/>
      <c r="H532" s="156" t="str">
        <f t="shared" si="88"/>
        <v/>
      </c>
      <c r="I532" s="29" t="str">
        <f t="shared" si="82"/>
        <v/>
      </c>
      <c r="J532" s="5">
        <f t="shared" si="83"/>
        <v>0</v>
      </c>
      <c r="K532" s="20">
        <f t="shared" ca="1" si="84"/>
        <v>0</v>
      </c>
      <c r="L532" s="5">
        <f t="shared" ca="1" si="85"/>
        <v>0</v>
      </c>
      <c r="M532" s="64">
        <f t="shared" si="89"/>
        <v>0</v>
      </c>
      <c r="N532" s="61">
        <f t="shared" ca="1" si="90"/>
        <v>0</v>
      </c>
      <c r="O532" s="5">
        <f t="shared" ca="1" si="91"/>
        <v>0</v>
      </c>
      <c r="P532" s="446" t="e">
        <f t="shared" si="86"/>
        <v>#VALUE!</v>
      </c>
      <c r="Q532" s="446" t="e">
        <f>IF(OR($B532="",MIN(Q$38,$D$19)&lt;MAX($P$34*($B532+IF($R$17="Distrato",$I$38-1,0)),IF(AND($L$37=0,$P$34=0),"",$L$37-1),IF($R$17="Distrato",$E532,0))),0,YEARFRAC(MAX($P$34*($B532+IF($R$17="Distrato",$I$38-1,0)),IF(AND($L$37=0,$P$34=0),"",$L$37-1),IF($R$17="Distrato",$E532,0)),MIN(Q$38,$D$19),$P$20))-SUM($P532:P532)</f>
        <v>#VALUE!</v>
      </c>
      <c r="R532" s="446" t="e">
        <f>IF(OR($B532="",MIN(R$38,$D$19)&lt;MAX($P$34*($B532+IF($R$17="Distrato",$I$38-1,0)),IF(AND($L$37=0,$P$34=0),"",$L$37-1),IF($R$17="Distrato",$E532,0))),0,YEARFRAC(MAX($P$34*($B532+IF($R$17="Distrato",$I$38-1,0)),IF(AND($L$37=0,$P$34=0),"",$L$37-1),IF($R$17="Distrato",$E532,0)),MIN(R$38,$D$19),$P$20))-SUM($P532:Q532)</f>
        <v>#VALUE!</v>
      </c>
      <c r="S532" s="446" t="e">
        <f>IF(OR($B532="",MIN(S$38,$D$19)&lt;MAX($P$34*($B532+IF($R$17="Distrato",$I$38-1,0)),IF(AND($L$37=0,$P$34=0),"",$L$37-1),IF($R$17="Distrato",$E532,0))),0,YEARFRAC(MAX($P$34*($B532+IF($R$17="Distrato",$I$38-1,0)),IF(AND($L$37=0,$P$34=0),"",$L$37-1),IF($R$17="Distrato",$E532,0)),MIN(S$38,$D$19),$P$20))-SUM($P532:R532)</f>
        <v>#VALUE!</v>
      </c>
      <c r="T532" s="446" t="e">
        <f>IF(OR($B532="",MIN(T$38,$D$19)&lt;MAX($P$34*($B532+IF($R$17="Distrato",$I$38-1,0)),IF(AND($L$37=0,$P$34=0),"",$L$37-1),IF($R$17="Distrato",$E532,0))),0,YEARFRAC(MAX($P$34*($B532+IF($R$17="Distrato",$I$38-1,0)),IF(AND($L$37=0,$P$34=0),"",$L$37-1),IF($R$17="Distrato",$E532,0)),MIN(T$38,$D$19),$P$20))-SUM($P532:S532)</f>
        <v>#VALUE!</v>
      </c>
      <c r="U532" s="446" t="e">
        <f>IF(OR($B532="",MIN(U$38,$D$19)&lt;MAX($P$34*($B532+IF($R$17="Distrato",$I$38-1,0)),IF(AND($L$37=0,$P$34=0),"",$L$37-1),IF($R$17="Distrato",$E532,0))),0,YEARFRAC(MAX($P$34*($B532+IF($R$17="Distrato",$I$38-1,0)),IF(AND($L$37=0,$P$34=0),"",$L$37-1),IF($R$17="Distrato",$E532,0)),MIN(U$38,$D$19),$P$20))-SUM($P532:T532)</f>
        <v>#VALUE!</v>
      </c>
      <c r="V532" s="446" t="e">
        <f>IF(OR($B532="",MIN(V$38,$D$19)&lt;MAX($P$34*($B532+IF($R$17="Distrato",$I$38-1,0)),IF(AND($L$37=0,$P$34=0),"",$L$37-1),IF($R$17="Distrato",$E532,0))),0,YEARFRAC(MAX($P$34*($B532+IF($R$17="Distrato",$I$38-1,0)),IF(AND($L$37=0,$P$34=0),"",$L$37-1),IF($R$17="Distrato",$E532,0)),MIN(V$38,$D$19),$P$20))-SUM($P532:U532)</f>
        <v>#VALUE!</v>
      </c>
      <c r="W532" s="446" t="e">
        <f>IF(OR($B532="",MIN(W$38,$D$19)&lt;MAX($P$34*($B532+IF($R$17="Distrato",$I$38-1,0)),IF(AND($L$37=0,$P$34=0),"",$L$37-1),IF($R$17="Distrato",$E532,0))),0,YEARFRAC(MAX($P$34*($B532+IF($R$17="Distrato",$I$38-1,0)),IF(AND($L$37=0,$P$34=0),"",$L$37-1),IF($R$17="Distrato",$E532,0)),MIN(W$38,$D$19),$P$20))-SUM($P532:V532)</f>
        <v>#VALUE!</v>
      </c>
      <c r="X532" s="446" t="e">
        <f>IF(OR($B532="",MIN(X$38,$D$19)&lt;MAX($P$34*($B532+IF($R$17="Distrato",$I$38-1,0)),IF(AND($L$37=0,$P$34=0),"",$L$37-1),IF($R$17="Distrato",$E532,0))),0,YEARFRAC(MAX($P$34*($B532+IF($R$17="Distrato",$I$38-1,0)),IF(AND($L$37=0,$P$34=0),"",$L$37-1),IF($R$17="Distrato",$E532,0)),MIN(X$38,$D$19),$P$20))-SUM($P532:W532)</f>
        <v>#VALUE!</v>
      </c>
      <c r="Y532" s="446" t="e">
        <f>IF(OR($B532="",MIN(Y$38,$D$19)&lt;MAX($P$34*($B532+IF($R$17="Distrato",$I$38-1,0)),IF(AND($L$37=0,$P$34=0),"",$L$37-1),IF($R$17="Distrato",$E532,0))),0,YEARFRAC(MAX($P$34*($B532+IF($R$17="Distrato",$I$38-1,0)),IF(AND($L$37=0,$P$34=0),"",$L$37-1),IF($R$17="Distrato",$E532,0)),MIN(Y$38,$D$19),$P$20))-SUM($P532:X532)</f>
        <v>#VALUE!</v>
      </c>
      <c r="Z532" s="446" t="e">
        <f>IF(OR($B532="",MIN(Z$38,$D$19)&lt;MAX($P$34*($B532+IF($R$17="Distrato",$I$38-1,0)),IF(AND($L$37=0,$P$34=0),"",$L$37-1),IF($R$17="Distrato",$E532,0))),0,YEARFRAC(MAX($P$34*($B532+IF($R$17="Distrato",$I$38-1,0)),IF(AND($L$37=0,$P$34=0),"",$L$37-1),IF($R$17="Distrato",$E532,0)),MIN(Z$38,$D$19),$P$20))-SUM($P532:Y532)</f>
        <v>#VALUE!</v>
      </c>
      <c r="AA532" s="446" t="e">
        <f>IF(OR($B532="",MIN(AA$38,$D$19)&lt;MAX($P$34*($B532+IF($R$17="Distrato",$I$38-1,0)),IF(AND($L$37=0,$P$34=0),"",$L$37-1),IF($R$17="Distrato",$E532,0))),0,YEARFRAC(MAX($P$34*($B532+IF($R$17="Distrato",$I$38-1,0)),IF(AND($L$37=0,$P$34=0),"",$L$37-1),IF($R$17="Distrato",$E532,0)),MIN(AA$38,$D$19),$P$20))-SUM($P532:Z532)</f>
        <v>#VALUE!</v>
      </c>
      <c r="AB532" s="446" t="e">
        <f>IF(OR($B532="",MIN(AB$38,$D$19)&lt;MAX($P$34*($B532+IF($R$17="Distrato",$I$38-1,0)),IF(AND($L$37=0,$P$34=0),"",$L$37-1),IF($R$17="Distrato",$E532,0))),0,YEARFRAC(MAX($P$34*($B532+IF($R$17="Distrato",$I$38-1,0)),IF(AND($L$37=0,$P$34=0),"",$L$37-1),IF($R$17="Distrato",$E532,0)),MIN(AB$38,$D$19),$P$20))-SUM($P532:AA532)</f>
        <v>#VALUE!</v>
      </c>
      <c r="AC532" s="446" t="e">
        <f>IF(OR($B532="",MIN(AC$38,$D$19)&lt;MAX($P$34*($B532+IF($R$17="Distrato",$I$38-1,0)),IF(AND($L$37=0,$P$34=0),"",$L$37-1),IF($R$17="Distrato",$E532,0))),0,YEARFRAC(MAX($P$34*($B532+IF($R$17="Distrato",$I$38-1,0)),IF(AND($L$37=0,$P$34=0),"",$L$37-1),IF($R$17="Distrato",$E532,0)),MIN(AC$38,$D$19),$P$20))-SUM($P532:AB532)</f>
        <v>#VALUE!</v>
      </c>
      <c r="AD532" s="446" t="e">
        <f>IF(OR($B532="",MIN(AD$38,$D$19)&lt;MAX($P$34*($B532+IF($R$17="Distrato",$I$38-1,0)),IF(AND($L$37=0,$P$34=0),"",$L$37-1),IF($R$17="Distrato",$E532,0))),0,YEARFRAC(MAX($P$34*($B532+IF($R$17="Distrato",$I$38-1,0)),IF(AND($L$37=0,$P$34=0),"",$L$37-1),IF($R$17="Distrato",$E532,0)),MIN(AD$38,$D$19),$P$20))-SUM($P532:AC532)</f>
        <v>#VALUE!</v>
      </c>
      <c r="AE532" s="446" t="e">
        <f>IF(OR($B532="",MIN(AE$38,$D$19)&lt;MAX($P$34*($B532+IF($R$17="Distrato",$I$38-1,0)),IF(AND($L$37=0,$P$34=0),"",$L$37-1),IF($R$17="Distrato",$E532,0))),0,YEARFRAC(MAX($P$34*($B532+IF($R$17="Distrato",$I$38-1,0)),IF(AND($L$37=0,$P$34=0),"",$L$37-1),IF($R$17="Distrato",$E532,0)),MIN(AE$38,$D$19),$P$20))-SUM($P532:AD532)</f>
        <v>#VALUE!</v>
      </c>
      <c r="AF532" s="446" t="e">
        <f>IF(OR($B532="",MIN(AF$38,$D$19)&lt;MAX($P$34*($B532+IF($R$17="Distrato",$I$38-1,0)),IF(AND($L$37=0,$P$34=0),"",$L$37-1),IF($R$17="Distrato",$E532,0))),0,YEARFRAC(MAX($P$34*($B532+IF($R$17="Distrato",$I$38-1,0)),IF(AND($L$37=0,$P$34=0),"",$L$37-1),IF($R$17="Distrato",$E532,0)),MIN(AF$38,$D$19),$P$20))-SUM($P532:AE532)</f>
        <v>#VALUE!</v>
      </c>
      <c r="AG532" s="446" t="e">
        <f>IF(OR($B532="",MIN(AG$38,$D$19)&lt;MAX($P$34*($B532+IF($R$17="Distrato",$I$38-1,0)),IF(AND($L$37=0,$P$34=0),"",$L$37-1),IF($R$17="Distrato",$E532,0))),0,YEARFRAC(MAX($P$34*($B532+IF($R$17="Distrato",$I$38-1,0)),IF(AND($L$37=0,$P$34=0),"",$L$37-1),IF($R$17="Distrato",$E532,0)),MIN(AG$38,$D$19),$P$20))-SUM($P532:AF532)</f>
        <v>#VALUE!</v>
      </c>
      <c r="AH532" s="446" t="e">
        <f>IF(OR($B532="",MIN(AH$38,$D$19)&lt;MAX($P$34*($B532+IF($R$17="Distrato",$I$38-1,0)),IF(AND($L$37=0,$P$34=0),"",$L$37-1),IF($R$17="Distrato",$E532,0))),0,YEARFRAC(MAX($P$34*($B532+IF($R$17="Distrato",$I$38-1,0)),IF(AND($L$37=0,$P$34=0),"",$L$37-1),IF($R$17="Distrato",$E532,0)),MIN(AH$38,$D$19),$P$20))-SUM($P532:AG532)</f>
        <v>#VALUE!</v>
      </c>
      <c r="AI532" s="446" t="e">
        <f>IF(OR($B532="",MIN(AI$38,$D$19)&lt;MAX($P$34*($B532+IF($R$17="Distrato",$I$38-1,0)),IF(AND($L$37=0,$P$34=0),"",$L$37-1),IF($R$17="Distrato",$E532,0))),0,YEARFRAC(MAX($P$34*($B532+IF($R$17="Distrato",$I$38-1,0)),IF(AND($L$37=0,$P$34=0),"",$L$37-1),IF($R$17="Distrato",$E532,0)),MIN(AI$38,$D$19),$P$20))-SUM($P532:AH532)</f>
        <v>#VALUE!</v>
      </c>
      <c r="AJ532" s="446" t="e">
        <f>IF(OR($B532="",MIN(AJ$38,$D$19)&lt;MAX($P$34*($B532+IF($R$17="Distrato",$I$38-1,0)),IF(AND($L$37=0,$P$34=0),"",$L$37-1),IF($R$17="Distrato",$E532,0))),0,YEARFRAC(MAX($P$34*($B532+IF($R$17="Distrato",$I$38-1,0)),IF(AND($L$37=0,$P$34=0),"",$L$37-1),IF($R$17="Distrato",$E532,0)),MIN(AJ$38,$D$19),$P$20))-SUM($P532:AI532)</f>
        <v>#VALUE!</v>
      </c>
      <c r="AK532" s="446" t="e">
        <f>IF(OR($B532="",MIN(AK$38,$D$19)&lt;MAX($P$34*($B532+IF($R$17="Distrato",$I$38-1,0)),IF(AND($L$37=0,$P$34=0),"",$L$37-1),IF($R$17="Distrato",$E532,0))),0,YEARFRAC(MAX($P$34*($B532+IF($R$17="Distrato",$I$38-1,0)),IF(AND($L$37=0,$P$34=0),"",$L$37-1),IF($R$17="Distrato",$E532,0)),MIN(AK$38,$D$19),$P$20))-SUM($P532:AJ532)</f>
        <v>#VALUE!</v>
      </c>
      <c r="AL532" s="446" t="e">
        <f>IF(OR($B532="",MIN(AL$38,$D$19)&lt;MAX($P$34*($B532+IF($R$17="Distrato",$I$38-1,0)),IF(AND($L$37=0,$P$34=0),"",$L$37-1),IF($R$17="Distrato",$E532,0))),0,YEARFRAC(MAX($P$34*($B532+IF($R$17="Distrato",$I$38-1,0)),IF(AND($L$37=0,$P$34=0),"",$L$37-1),IF($R$17="Distrato",$E532,0)),MIN(AL$38,$D$19),$P$20))-SUM($P532:AK532)</f>
        <v>#VALUE!</v>
      </c>
      <c r="AM532" s="446" t="e">
        <f>IF(OR($B532="",MIN(AM$38,$D$19)&lt;MAX($P$34*($B532+IF($R$17="Distrato",$I$38-1,0)),IF(AND($L$37=0,$P$34=0),"",$L$37-1),IF($R$17="Distrato",$E532,0))),0,YEARFRAC(MAX($P$34*($B532+IF($R$17="Distrato",$I$38-1,0)),IF(AND($L$37=0,$P$34=0),"",$L$37-1),IF($R$17="Distrato",$E532,0)),MIN(AM$38,$D$19),$P$20))-SUM($P532:AL532)</f>
        <v>#VALUE!</v>
      </c>
      <c r="AN532" s="446" t="e">
        <f>IF(OR($B532="",MIN(AN$38,$D$19)&lt;MAX($P$34*($B532+IF($R$17="Distrato",$I$38-1,0)),IF(AND($L$37=0,$P$34=0),"",$L$37-1),IF($R$17="Distrato",$E532,0))),0,YEARFRAC(MAX($P$34*($B532+IF($R$17="Distrato",$I$38-1,0)),IF(AND($L$37=0,$P$34=0),"",$L$37-1),IF($R$17="Distrato",$E532,0)),MIN(AN$38,$D$19),$P$20))-SUM($P532:AM532)</f>
        <v>#VALUE!</v>
      </c>
      <c r="AO532" s="446" t="e">
        <f>IF(OR($B532="",MIN(AO$38,$D$19)&lt;MAX($P$34*($B532+IF($R$17="Distrato",$I$38-1,0)),IF(AND($L$37=0,$P$34=0),"",$L$37-1),IF($R$17="Distrato",$E532,0))),0,YEARFRAC(MAX($P$34*($B532+IF($R$17="Distrato",$I$38-1,0)),IF(AND($L$37=0,$P$34=0),"",$L$37-1),IF($R$17="Distrato",$E532,0)),MIN(AO$38,$D$19),$P$20))-SUM($P532:AN532)</f>
        <v>#VALUE!</v>
      </c>
      <c r="AP532" s="446" t="e">
        <f>IF(OR($B532="",MIN(AP$38,$D$19)&lt;MAX($P$34*($B532+IF($R$17="Distrato",$I$38-1,0)),IF(AND($L$37=0,$P$34=0),"",$L$37-1),IF($R$17="Distrato",$E532,0))),0,YEARFRAC(MAX($P$34*($B532+IF($R$17="Distrato",$I$38-1,0)),IF(AND($L$37=0,$P$34=0),"",$L$37-1),IF($R$17="Distrato",$E532,0)),MIN(AP$38,$D$19),$P$20))-SUM($P532:AO532)</f>
        <v>#VALUE!</v>
      </c>
      <c r="AQ532" s="446" t="e">
        <f>IF(OR($B532="",MIN(AQ$38,$D$19)&lt;MAX($P$34*($B532+IF($R$17="Distrato",$I$38-1,0)),IF(AND($L$37=0,$P$34=0),"",$L$37-1),IF($R$17="Distrato",$E532,0))),0,YEARFRAC(MAX($P$34*($B532+IF($R$17="Distrato",$I$38-1,0)),IF(AND($L$37=0,$P$34=0),"",$L$37-1),IF($R$17="Distrato",$E532,0)),MIN(AQ$38,$D$19),$P$20))-SUM($P532:AP532)</f>
        <v>#VALUE!</v>
      </c>
      <c r="AR532" s="446" t="e">
        <f>IF(OR($B532="",MIN(AR$38,$D$19)&lt;MAX($P$34*($B532+IF($R$17="Distrato",$I$38-1,0)),IF(AND($L$37=0,$P$34=0),"",$L$37-1),IF($R$17="Distrato",$E532,0))),0,YEARFRAC(MAX($P$34*($B532+IF($R$17="Distrato",$I$38-1,0)),IF(AND($L$37=0,$P$34=0),"",$L$37-1),IF($R$17="Distrato",$E532,0)),MIN(AR$38,$D$19),$P$20))-SUM($P532:AQ532)</f>
        <v>#VALUE!</v>
      </c>
      <c r="AS532" s="446" t="e">
        <f>IF(OR($B532="",MIN(AS$38,$D$19)&lt;MAX($P$34*($B532+IF($R$17="Distrato",$I$38-1,0)),IF(AND($L$37=0,$P$34=0),"",$L$37-1),IF($R$17="Distrato",$E532,0))),0,YEARFRAC(MAX($P$34*($B532+IF($R$17="Distrato",$I$38-1,0)),IF(AND($L$37=0,$P$34=0),"",$L$37-1),IF($R$17="Distrato",$E532,0)),MIN(AS$38,$D$19),$P$20))-SUM($P532:AR532)</f>
        <v>#VALUE!</v>
      </c>
      <c r="AT532" s="446" t="e">
        <f>IF(OR($B532="",MIN(AT$38,$D$19)&lt;MAX($P$34*($B532+IF($R$17="Distrato",$I$38-1,0)),IF(AND($L$37=0,$P$34=0),"",$L$37-1),IF($R$17="Distrato",$E532,0))),0,YEARFRAC(MAX($P$34*($B532+IF($R$17="Distrato",$I$38-1,0)),IF(AND($L$37=0,$P$34=0),"",$L$37-1),IF($R$17="Distrato",$E532,0)),MIN(AT$38,$D$19),$P$20))-SUM($P532:AS532)</f>
        <v>#VALUE!</v>
      </c>
      <c r="AU532" s="446" t="e">
        <f>IF(OR($B532="",MIN(AU$38,$D$19)&lt;MAX($P$34*($B532+IF($R$17="Distrato",$I$38-1,0)),IF(AND($L$37=0,$P$34=0),"",$L$37-1),IF($R$17="Distrato",$E532,0))),0,YEARFRAC(MAX($P$34*($B532+IF($R$17="Distrato",$I$38-1,0)),IF(AND($L$37=0,$P$34=0),"",$L$37-1),IF($R$17="Distrato",$E532,0)),MIN(AU$38,$D$19),$P$20))-SUM($P532:AT532)</f>
        <v>#VALUE!</v>
      </c>
      <c r="AV532" s="446" t="e">
        <f>IF(OR($B532="",MIN(AV$38,$D$19)&lt;MAX($P$34*($B532+IF($R$17="Distrato",$I$38-1,0)),IF(AND($L$37=0,$P$34=0),"",$L$37-1),IF($R$17="Distrato",$E532,0))),0,YEARFRAC(MAX($P$34*($B532+IF($R$17="Distrato",$I$38-1,0)),IF(AND($L$37=0,$P$34=0),"",$L$37-1),IF($R$17="Distrato",$E532,0)),MIN(AV$38,$D$19),$P$20))-SUM($P532:AU532)</f>
        <v>#VALUE!</v>
      </c>
      <c r="AW532" s="446" t="e">
        <f>IF(OR($B532="",MIN(AW$38,$D$19)&lt;MAX($P$34*($B532+IF($R$17="Distrato",$I$38-1,0)),IF(AND($L$37=0,$P$34=0),"",$L$37-1),IF($R$17="Distrato",$E532,0))),0,YEARFRAC(MAX($P$34*($B532+IF($R$17="Distrato",$I$38-1,0)),IF(AND($L$37=0,$P$34=0),"",$L$37-1),IF($R$17="Distrato",$E532,0)),MIN(AW$38,$D$19),$P$20))-SUM($P532:AV532)</f>
        <v>#VALUE!</v>
      </c>
      <c r="AX532" s="446" t="e">
        <f>IF(OR($B532="",MIN(AX$38,$D$19)&lt;MAX($P$34*($B532+IF($R$17="Distrato",$I$38-1,0)),IF(AND($L$37=0,$P$34=0),"",$L$37-1),IF($R$17="Distrato",$E532,0))),0,YEARFRAC(MAX($P$34*($B532+IF($R$17="Distrato",$I$38-1,0)),IF(AND($L$37=0,$P$34=0),"",$L$37-1),IF($R$17="Distrato",$E532,0)),MIN(AX$38,$D$19),$P$20))-SUM($P532:AW532)</f>
        <v>#VALUE!</v>
      </c>
      <c r="AY532" s="446" t="e">
        <f>IF(OR($B532="",MIN(AY$38,$D$19)&lt;MAX($P$34*($B532+IF($R$17="Distrato",$I$38-1,0)),IF(AND($L$37=0,$P$34=0),"",$L$37-1),IF($R$17="Distrato",$E532,0))),0,YEARFRAC(MAX($P$34*($B532+IF($R$17="Distrato",$I$38-1,0)),IF(AND($L$37=0,$P$34=0),"",$L$37-1),IF($R$17="Distrato",$E532,0)),MIN(AY$38,$D$19),$P$20))-SUM($P532:AX532)</f>
        <v>#VALUE!</v>
      </c>
      <c r="AZ532" s="446" t="e">
        <f>IF(OR($B532="",MIN(AZ$38,$D$19)&lt;MAX($P$34*($B532+IF($R$17="Distrato",$I$38-1,0)),IF(AND($L$37=0,$P$34=0),"",$L$37-1),IF($R$17="Distrato",$E532,0))),0,YEARFRAC(MAX($P$34*($B532+IF($R$17="Distrato",$I$38-1,0)),IF(AND($L$37=0,$P$34=0),"",$L$37-1),IF($R$17="Distrato",$E532,0)),MIN(AZ$38,$D$19),$P$20))-SUM($P532:AY532)</f>
        <v>#VALUE!</v>
      </c>
      <c r="BA532" s="446" t="e">
        <f>IF(OR($B532="",MIN(BA$38,$D$19)&lt;MAX($P$34*($B532+IF($R$17="Distrato",$I$38-1,0)),IF(AND($L$37=0,$P$34=0),"",$L$37-1),IF($R$17="Distrato",$E532,0))),0,YEARFRAC(MAX($P$34*($B532+IF($R$17="Distrato",$I$38-1,0)),IF(AND($L$37=0,$P$34=0),"",$L$37-1),IF($R$17="Distrato",$E532,0)),MIN(BA$38,$D$19),$P$20))-SUM($P532:AZ532)</f>
        <v>#VALUE!</v>
      </c>
      <c r="BB532" s="447"/>
      <c r="BF532" s="446">
        <f t="shared" si="87"/>
        <v>0</v>
      </c>
      <c r="BG532" s="446">
        <f>IF($E532=0,0,IF(MIN(BG$38,$E532)&lt;MAX($P$34*($B532+$I$38-1),IF(AND($L$37=0,$P$34=0),"",$L$37-1)),0,YEARFRAC(MAX($P$34*($B532+$I$38-1),IF(AND($L$37=0,$P$34=0),"",$L$37-1)),MIN(BG$38,$E532),$P$20))-SUM($BF532:BF532))</f>
        <v>0</v>
      </c>
      <c r="BH532" s="446">
        <f>IF($E532=0,0,IF(MIN(BH$38,$E532)&lt;MAX($P$34*($B532+$I$38-1),IF(AND($L$37=0,$P$34=0),"",$L$37-1)),0,YEARFRAC(MAX($P$34*($B532+$I$38-1),IF(AND($L$37=0,$P$34=0),"",$L$37-1)),MIN(BH$38,$E532),$P$20))-SUM($BF532:BG532))</f>
        <v>0</v>
      </c>
      <c r="BI532" s="446">
        <f>IF($E532=0,0,IF(MIN(BI$38,$E532)&lt;MAX($P$34*($B532+$I$38-1),IF(AND($L$37=0,$P$34=0),"",$L$37-1)),0,YEARFRAC(MAX($P$34*($B532+$I$38-1),IF(AND($L$37=0,$P$34=0),"",$L$37-1)),MIN(BI$38,$E532),$P$20))-SUM($BF532:BH532))</f>
        <v>0</v>
      </c>
      <c r="BJ532" s="446">
        <f>IF($E532=0,0,IF(MIN(BJ$38,$E532)&lt;MAX($P$34*($B532+$I$38-1),IF(AND($L$37=0,$P$34=0),"",$L$37-1)),0,YEARFRAC(MAX($P$34*($B532+$I$38-1),IF(AND($L$37=0,$P$34=0),"",$L$37-1)),MIN(BJ$38,$E532),$P$20))-SUM($BF532:BI532))</f>
        <v>0</v>
      </c>
      <c r="BK532" s="446">
        <f>IF($E532=0,0,IF(MIN(BK$38,$E532)&lt;MAX($P$34*($B532+$I$38-1),IF(AND($L$37=0,$P$34=0),"",$L$37-1)),0,YEARFRAC(MAX($P$34*($B532+$I$38-1),IF(AND($L$37=0,$P$34=0),"",$L$37-1)),MIN(BK$38,$E532),$P$20))-SUM($BF532:BJ532))</f>
        <v>0</v>
      </c>
      <c r="BL532" s="446">
        <f>IF($E532=0,0,IF(MIN(BL$38,$E532)&lt;MAX($P$34*($B532+$I$38-1),IF(AND($L$37=0,$P$34=0),"",$L$37-1)),0,YEARFRAC(MAX($P$34*($B532+$I$38-1),IF(AND($L$37=0,$P$34=0),"",$L$37-1)),MIN(BL$38,$E532),$P$20))-SUM($BF532:BK532))</f>
        <v>0</v>
      </c>
      <c r="BM532" s="446">
        <f>IF($E532=0,0,IF(MIN(BM$38,$E532)&lt;MAX($P$34*($B532+$I$38-1),IF(AND($L$37=0,$P$34=0),"",$L$37-1)),0,YEARFRAC(MAX($P$34*($B532+$I$38-1),IF(AND($L$37=0,$P$34=0),"",$L$37-1)),MIN(BM$38,$E532),$P$20))-SUM($BF532:BL532))</f>
        <v>0</v>
      </c>
      <c r="BN532" s="446">
        <f>IF($E532=0,0,IF(MIN(BN$38,$E532)&lt;MAX($P$34*($B532+$I$38-1),IF(AND($L$37=0,$P$34=0),"",$L$37-1)),0,YEARFRAC(MAX($P$34*($B532+$I$38-1),IF(AND($L$37=0,$P$34=0),"",$L$37-1)),MIN(BN$38,$E532),$P$20))-SUM($BF532:BM532))</f>
        <v>0</v>
      </c>
      <c r="BO532" s="446">
        <f>IF($E532=0,0,IF(MIN(BO$38,$E532)&lt;MAX($P$34*($B532+$I$38-1),IF(AND($L$37=0,$P$34=0),"",$L$37-1)),0,YEARFRAC(MAX($P$34*($B532+$I$38-1),IF(AND($L$37=0,$P$34=0),"",$L$37-1)),MIN(BO$38,$E532),$P$20))-SUM($BF532:BN532))</f>
        <v>0</v>
      </c>
      <c r="BP532" s="446">
        <f>IF($E532=0,0,IF(MIN(BP$38,$E532)&lt;MAX($P$34*($B532+$I$38-1),IF(AND($L$37=0,$P$34=0),"",$L$37-1)),0,YEARFRAC(MAX($P$34*($B532+$I$38-1),IF(AND($L$37=0,$P$34=0),"",$L$37-1)),MIN(BP$38,$E532),$P$20))-SUM($BF532:BO532))</f>
        <v>0</v>
      </c>
      <c r="BQ532" s="446">
        <f>IF($E532=0,0,IF(MIN(BQ$38,$E532)&lt;MAX($P$34*($B532+$I$38-1),IF(AND($L$37=0,$P$34=0),"",$L$37-1)),0,YEARFRAC(MAX($P$34*($B532+$I$38-1),IF(AND($L$37=0,$P$34=0),"",$L$37-1)),MIN(BQ$38,$E532),$P$20))-SUM($BF532:BP532))</f>
        <v>0</v>
      </c>
      <c r="BR532" s="446">
        <f>IF($E532=0,0,IF(MIN(BR$38,$E532)&lt;MAX($P$34*($B532+$I$38-1),IF(AND($L$37=0,$P$34=0),"",$L$37-1)),0,YEARFRAC(MAX($P$34*($B532+$I$38-1),IF(AND($L$37=0,$P$34=0),"",$L$37-1)),MIN(BR$38,$E532),$P$20))-SUM($BF532:BQ532))</f>
        <v>0</v>
      </c>
      <c r="BS532" s="446">
        <f>IF($E532=0,0,IF(MIN(BS$38,$E532)&lt;MAX($P$34*($B532+$I$38-1),IF(AND($L$37=0,$P$34=0),"",$L$37-1)),0,YEARFRAC(MAX($P$34*($B532+$I$38-1),IF(AND($L$37=0,$P$34=0),"",$L$37-1)),MIN(BS$38,$E532),$P$20))-SUM($BF532:BR532))</f>
        <v>0</v>
      </c>
      <c r="BT532" s="446">
        <f>IF($E532=0,0,IF(MIN(BT$38,$E532)&lt;MAX($P$34*($B532+$I$38-1),IF(AND($L$37=0,$P$34=0),"",$L$37-1)),0,YEARFRAC(MAX($P$34*($B532+$I$38-1),IF(AND($L$37=0,$P$34=0),"",$L$37-1)),MIN(BT$38,$E532),$P$20))-SUM($BF532:BS532))</f>
        <v>0</v>
      </c>
      <c r="BU532" s="446">
        <f>IF($E532=0,0,IF(MIN(BU$38,$E532)&lt;MAX($P$34*($B532+$I$38-1),IF(AND($L$37=0,$P$34=0),"",$L$37-1)),0,YEARFRAC(MAX($P$34*($B532+$I$38-1),IF(AND($L$37=0,$P$34=0),"",$L$37-1)),MIN(BU$38,$E532),$P$20))-SUM($BF532:BT532))</f>
        <v>0</v>
      </c>
      <c r="BV532" s="446">
        <f>IF($E532=0,0,IF(MIN(BV$38,$E532)&lt;MAX($P$34*($B532+$I$38-1),IF(AND($L$37=0,$P$34=0),"",$L$37-1)),0,YEARFRAC(MAX($P$34*($B532+$I$38-1),IF(AND($L$37=0,$P$34=0),"",$L$37-1)),MIN(BV$38,$E532),$P$20))-SUM($BF532:BU532))</f>
        <v>0</v>
      </c>
      <c r="BW532" s="446">
        <f>IF($E532=0,0,IF(MIN(BW$38,$E532)&lt;MAX($P$34*($B532+$I$38-1),IF(AND($L$37=0,$P$34=0),"",$L$37-1)),0,YEARFRAC(MAX($P$34*($B532+$I$38-1),IF(AND($L$37=0,$P$34=0),"",$L$37-1)),MIN(BW$38,$E532),$P$20))-SUM($BF532:BV532))</f>
        <v>0</v>
      </c>
      <c r="BX532" s="446">
        <f>IF($E532=0,0,IF(MIN(BX$38,$E532)&lt;MAX($P$34*($B532+$I$38-1),IF(AND($L$37=0,$P$34=0),"",$L$37-1)),0,YEARFRAC(MAX($P$34*($B532+$I$38-1),IF(AND($L$37=0,$P$34=0),"",$L$37-1)),MIN(BX$38,$E532),$P$20))-SUM($BF532:BW532))</f>
        <v>0</v>
      </c>
      <c r="BY532" s="446">
        <f>IF($E532=0,0,IF(MIN(BY$38,$E532)&lt;MAX($P$34*($B532+$I$38-1),IF(AND($L$37=0,$P$34=0),"",$L$37-1)),0,YEARFRAC(MAX($P$34*($B532+$I$38-1),IF(AND($L$37=0,$P$34=0),"",$L$37-1)),MIN(BY$38,$E532),$P$20))-SUM($BF532:BX532))</f>
        <v>0</v>
      </c>
      <c r="BZ532" s="446">
        <f>IF($E532=0,0,IF(MIN(BZ$38,$E532)&lt;MAX($P$34*($B532+$I$38-1),IF(AND($L$37=0,$P$34=0),"",$L$37-1)),0,YEARFRAC(MAX($P$34*($B532+$I$38-1),IF(AND($L$37=0,$P$34=0),"",$L$37-1)),MIN(BZ$38,$E532),$P$20))-SUM($BF532:BY532))</f>
        <v>0</v>
      </c>
      <c r="CA532" s="446">
        <f>IF($E532=0,0,IF(MIN(CA$38,$E532)&lt;MAX($P$34*($B532+$I$38-1),IF(AND($L$37=0,$P$34=0),"",$L$37-1)),0,YEARFRAC(MAX($P$34*($B532+$I$38-1),IF(AND($L$37=0,$P$34=0),"",$L$37-1)),MIN(CA$38,$E532),$P$20))-SUM($BF532:BZ532))</f>
        <v>0</v>
      </c>
      <c r="CB532" s="446">
        <f>IF($E532=0,0,IF(MIN(CB$38,$E532)&lt;MAX($P$34*($B532+$I$38-1),IF(AND($L$37=0,$P$34=0),"",$L$37-1)),0,YEARFRAC(MAX($P$34*($B532+$I$38-1),IF(AND($L$37=0,$P$34=0),"",$L$37-1)),MIN(CB$38,$E532),$P$20))-SUM($BF532:CA532))</f>
        <v>0</v>
      </c>
      <c r="CC532" s="446">
        <f>IF($E532=0,0,IF(MIN(CC$38,$E532)&lt;MAX($P$34*($B532+$I$38-1),IF(AND($L$37=0,$P$34=0),"",$L$37-1)),0,YEARFRAC(MAX($P$34*($B532+$I$38-1),IF(AND($L$37=0,$P$34=0),"",$L$37-1)),MIN(CC$38,$E532),$P$20))-SUM($BF532:CB532))</f>
        <v>0</v>
      </c>
      <c r="CD532" s="446">
        <f>IF($E532=0,0,IF(MIN(CD$38,$E532)&lt;MAX($P$34*($B532+$I$38-1),IF(AND($L$37=0,$P$34=0),"",$L$37-1)),0,YEARFRAC(MAX($P$34*($B532+$I$38-1),IF(AND($L$37=0,$P$34=0),"",$L$37-1)),MIN(CD$38,$E532),$P$20))-SUM($BF532:CC532))</f>
        <v>0</v>
      </c>
      <c r="CE532" s="446">
        <f>IF($E532=0,0,IF(MIN(CE$38,$E532)&lt;MAX($P$34*($B532+$I$38-1),IF(AND($L$37=0,$P$34=0),"",$L$37-1)),0,YEARFRAC(MAX($P$34*($B532+$I$38-1),IF(AND($L$37=0,$P$34=0),"",$L$37-1)),MIN(CE$38,$E532),$P$20))-SUM($BF532:CD532))</f>
        <v>0</v>
      </c>
      <c r="CF532" s="446">
        <f>IF($E532=0,0,IF(MIN(CF$38,$E532)&lt;MAX($P$34*($B532+$I$38-1),IF(AND($L$37=0,$P$34=0),"",$L$37-1)),0,YEARFRAC(MAX($P$34*($B532+$I$38-1),IF(AND($L$37=0,$P$34=0),"",$L$37-1)),MIN(CF$38,$E532),$P$20))-SUM($BF532:CE532))</f>
        <v>0</v>
      </c>
      <c r="CG532" s="446">
        <f>IF($E532=0,0,IF(MIN(CG$38,$E532)&lt;MAX($P$34*($B532+$I$38-1),IF(AND($L$37=0,$P$34=0),"",$L$37-1)),0,YEARFRAC(MAX($P$34*($B532+$I$38-1),IF(AND($L$37=0,$P$34=0),"",$L$37-1)),MIN(CG$38,$E532),$P$20))-SUM($BF532:CF532))</f>
        <v>0</v>
      </c>
      <c r="CH532" s="446">
        <f>IF($E532=0,0,IF(MIN(CH$38,$E532)&lt;MAX($P$34*($B532+$I$38-1),IF(AND($L$37=0,$P$34=0),"",$L$37-1)),0,YEARFRAC(MAX($P$34*($B532+$I$38-1),IF(AND($L$37=0,$P$34=0),"",$L$37-1)),MIN(CH$38,$E532),$P$20))-SUM($BF532:CG532))</f>
        <v>0</v>
      </c>
      <c r="CI532" s="446">
        <f>IF($E532=0,0,IF(MIN(CI$38,$E532)&lt;MAX($P$34*($B532+$I$38-1),IF(AND($L$37=0,$P$34=0),"",$L$37-1)),0,YEARFRAC(MAX($P$34*($B532+$I$38-1),IF(AND($L$37=0,$P$34=0),"",$L$37-1)),MIN(CI$38,$E532),$P$20))-SUM($BF532:CH532))</f>
        <v>0</v>
      </c>
      <c r="CJ532" s="446">
        <f>IF($E532=0,0,IF(MIN(CJ$38,$E532)&lt;MAX($P$34*($B532+$I$38-1),IF(AND($L$37=0,$P$34=0),"",$L$37-1)),0,YEARFRAC(MAX($P$34*($B532+$I$38-1),IF(AND($L$37=0,$P$34=0),"",$L$37-1)),MIN(CJ$38,$E532),$P$20))-SUM($BF532:CI532))</f>
        <v>0</v>
      </c>
      <c r="CK532" s="446">
        <f>IF($E532=0,0,IF(MIN(CK$38,$E532)&lt;MAX($P$34*($B532+$I$38-1),IF(AND($L$37=0,$P$34=0),"",$L$37-1)),0,YEARFRAC(MAX($P$34*($B532+$I$38-1),IF(AND($L$37=0,$P$34=0),"",$L$37-1)),MIN(CK$38,$E532),$P$20))-SUM($BF532:CJ532))</f>
        <v>0</v>
      </c>
      <c r="CL532" s="446">
        <f>IF($E532=0,0,IF(MIN(CL$38,$E532)&lt;MAX($P$34*($B532+$I$38-1),IF(AND($L$37=0,$P$34=0),"",$L$37-1)),0,YEARFRAC(MAX($P$34*($B532+$I$38-1),IF(AND($L$37=0,$P$34=0),"",$L$37-1)),MIN(CL$38,$E532),$P$20))-SUM($BF532:CK532))</f>
        <v>0</v>
      </c>
      <c r="CM532" s="446">
        <f>IF($E532=0,0,IF(MIN(CM$38,$E532)&lt;MAX($P$34*($B532+$I$38-1),IF(AND($L$37=0,$P$34=0),"",$L$37-1)),0,YEARFRAC(MAX($P$34*($B532+$I$38-1),IF(AND($L$37=0,$P$34=0),"",$L$37-1)),MIN(CM$38,$E532),$P$20))-SUM($BF532:CL532))</f>
        <v>0</v>
      </c>
      <c r="CN532" s="446">
        <f>IF($E532=0,0,IF(MIN(CN$38,$E532)&lt;MAX($P$34*($B532+$I$38-1),IF(AND($L$37=0,$P$34=0),"",$L$37-1)),0,YEARFRAC(MAX($P$34*($B532+$I$38-1),IF(AND($L$37=0,$P$34=0),"",$L$37-1)),MIN(CN$38,$E532),$P$20))-SUM($BF532:CM532))</f>
        <v>0</v>
      </c>
      <c r="CO532" s="446">
        <f>IF($E532=0,0,IF(MIN(CO$38,$E532)&lt;MAX($P$34*($B532+$I$38-1),IF(AND($L$37=0,$P$34=0),"",$L$37-1)),0,YEARFRAC(MAX($P$34*($B532+$I$38-1),IF(AND($L$37=0,$P$34=0),"",$L$37-1)),MIN(CO$38,$E532),$P$20))-SUM($BF532:CN532))</f>
        <v>0</v>
      </c>
      <c r="CP532" s="446">
        <f>IF($E532=0,0,IF(MIN(CP$38,$E532)&lt;MAX($P$34*($B532+$I$38-1),IF(AND($L$37=0,$P$34=0),"",$L$37-1)),0,YEARFRAC(MAX($P$34*($B532+$I$38-1),IF(AND($L$37=0,$P$34=0),"",$L$37-1)),MIN(CP$38,$E532),$P$20))-SUM($BF532:CO532))</f>
        <v>0</v>
      </c>
      <c r="CQ532" s="446">
        <f>IF($E532=0,0,IF(MIN(CQ$38,$E532)&lt;MAX($P$34*($B532+$I$38-1),IF(AND($L$37=0,$P$34=0),"",$L$37-1)),0,YEARFRAC(MAX($P$34*($B532+$I$38-1),IF(AND($L$37=0,$P$34=0),"",$L$37-1)),MIN(CQ$38,$E532),$P$20))-SUM($BF532:CP532))</f>
        <v>0</v>
      </c>
    </row>
    <row r="533" spans="1:95" s="446" customFormat="1" ht="11.25" hidden="1" customHeight="1" x14ac:dyDescent="0.2">
      <c r="A533" s="152"/>
      <c r="B533" s="153" t="str">
        <f t="shared" si="92"/>
        <v/>
      </c>
      <c r="C533" s="29" t="str">
        <f>IF(B533="","",IF($L$35="SELIC - TRIBUTOS",VLOOKUP(DATE(YEAR($D$19),MONTH($D$19)-1,1),ÍNDICES!$A:$DE,HLOOKUP($BL$25,ÍNDICES!$B$3:$T$4,2)+11)-VLOOKUP(B533,ÍNDICES!$A:$DE,HLOOKUP($BL$25,ÍNDICES!$B$3:$T$4,2)+11)+1%,IF(C$38=$W$26,$J$35,IF(ISERROR(IF(B533&gt;$D$19,1,VLOOKUP(DATE(YEAR(B533),MONTH(B533)+IF($C$35=$S$23,1,0),1),ÍNDICES!$A:$DE,$Z$35+1))),"",IF(B533&gt;$D$19,1,VLOOKUP(DATE(YEAR(B533),MONTH(B533)+IF($C$35=$S$23,1,0),1),ÍNDICES!$A:$DE,$Z$35+1))))))</f>
        <v/>
      </c>
      <c r="D533" s="154" t="str">
        <f>IF(ISERROR(IF(OR($D$38=$Y$27,$B533=""),"",VLOOKUP(B533,ÍNDICES!A:DE,AF$35+1))),"",IF(OR($D$38=$Y$27,$B533=""),"",VLOOKUP(B533,ÍNDICES!A:DE,AF$35+1)))</f>
        <v/>
      </c>
      <c r="E533" s="153"/>
      <c r="F533" s="29" t="str">
        <f>IF(E533="","",IF($L$35="SELIC - TRIBUTOS",VLOOKUP(DATE(YEAR($D$19),MONTH($D$19)-1,1),ÍNDICES!$A:$DE,HLOOKUP($BL$25,ÍNDICES!$B$3:$T$4,2)+11)-VLOOKUP(E533,ÍNDICES!$A:$DE,HLOOKUP($BL$25,ÍNDICES!$B$3:$T$4,2)+11)+1%,IF(F$38=$W$26,$J$35,IF(ISERROR(IF(E533&gt;$D$19,1,VLOOKUP(DATE(YEAR(E533),MONTH(E533)+IF($C$35=$S$23,1,0),1),ÍNDICES!$A:$DE,$Z$35+1))),"",IF(E533&gt;$D$19,1,VLOOKUP(DATE(YEAR(E533),MONTH(E533)+IF($C$35=$S$23,1,0),1),ÍNDICES!$A:$DE,$Z$35+1))))))</f>
        <v/>
      </c>
      <c r="G533" s="155"/>
      <c r="H533" s="156" t="str">
        <f t="shared" si="88"/>
        <v/>
      </c>
      <c r="I533" s="29" t="str">
        <f t="shared" si="82"/>
        <v/>
      </c>
      <c r="J533" s="5">
        <f t="shared" si="83"/>
        <v>0</v>
      </c>
      <c r="K533" s="20">
        <f t="shared" ca="1" si="84"/>
        <v>0</v>
      </c>
      <c r="L533" s="5">
        <f t="shared" ca="1" si="85"/>
        <v>0</v>
      </c>
      <c r="M533" s="64">
        <f t="shared" si="89"/>
        <v>0</v>
      </c>
      <c r="N533" s="61">
        <f t="shared" ca="1" si="90"/>
        <v>0</v>
      </c>
      <c r="O533" s="5">
        <f t="shared" ca="1" si="91"/>
        <v>0</v>
      </c>
      <c r="P533" s="446" t="e">
        <f t="shared" si="86"/>
        <v>#VALUE!</v>
      </c>
      <c r="Q533" s="446" t="e">
        <f>IF(OR($B533="",MIN(Q$38,$D$19)&lt;MAX($P$34*($B533+IF($R$17="Distrato",$I$38-1,0)),IF(AND($L$37=0,$P$34=0),"",$L$37-1),IF($R$17="Distrato",$E533,0))),0,YEARFRAC(MAX($P$34*($B533+IF($R$17="Distrato",$I$38-1,0)),IF(AND($L$37=0,$P$34=0),"",$L$37-1),IF($R$17="Distrato",$E533,0)),MIN(Q$38,$D$19),$P$20))-SUM($P533:P533)</f>
        <v>#VALUE!</v>
      </c>
      <c r="R533" s="446" t="e">
        <f>IF(OR($B533="",MIN(R$38,$D$19)&lt;MAX($P$34*($B533+IF($R$17="Distrato",$I$38-1,0)),IF(AND($L$37=0,$P$34=0),"",$L$37-1),IF($R$17="Distrato",$E533,0))),0,YEARFRAC(MAX($P$34*($B533+IF($R$17="Distrato",$I$38-1,0)),IF(AND($L$37=0,$P$34=0),"",$L$37-1),IF($R$17="Distrato",$E533,0)),MIN(R$38,$D$19),$P$20))-SUM($P533:Q533)</f>
        <v>#VALUE!</v>
      </c>
      <c r="S533" s="446" t="e">
        <f>IF(OR($B533="",MIN(S$38,$D$19)&lt;MAX($P$34*($B533+IF($R$17="Distrato",$I$38-1,0)),IF(AND($L$37=0,$P$34=0),"",$L$37-1),IF($R$17="Distrato",$E533,0))),0,YEARFRAC(MAX($P$34*($B533+IF($R$17="Distrato",$I$38-1,0)),IF(AND($L$37=0,$P$34=0),"",$L$37-1),IF($R$17="Distrato",$E533,0)),MIN(S$38,$D$19),$P$20))-SUM($P533:R533)</f>
        <v>#VALUE!</v>
      </c>
      <c r="T533" s="446" t="e">
        <f>IF(OR($B533="",MIN(T$38,$D$19)&lt;MAX($P$34*($B533+IF($R$17="Distrato",$I$38-1,0)),IF(AND($L$37=0,$P$34=0),"",$L$37-1),IF($R$17="Distrato",$E533,0))),0,YEARFRAC(MAX($P$34*($B533+IF($R$17="Distrato",$I$38-1,0)),IF(AND($L$37=0,$P$34=0),"",$L$37-1),IF($R$17="Distrato",$E533,0)),MIN(T$38,$D$19),$P$20))-SUM($P533:S533)</f>
        <v>#VALUE!</v>
      </c>
      <c r="U533" s="446" t="e">
        <f>IF(OR($B533="",MIN(U$38,$D$19)&lt;MAX($P$34*($B533+IF($R$17="Distrato",$I$38-1,0)),IF(AND($L$37=0,$P$34=0),"",$L$37-1),IF($R$17="Distrato",$E533,0))),0,YEARFRAC(MAX($P$34*($B533+IF($R$17="Distrato",$I$38-1,0)),IF(AND($L$37=0,$P$34=0),"",$L$37-1),IF($R$17="Distrato",$E533,0)),MIN(U$38,$D$19),$P$20))-SUM($P533:T533)</f>
        <v>#VALUE!</v>
      </c>
      <c r="V533" s="446" t="e">
        <f>IF(OR($B533="",MIN(V$38,$D$19)&lt;MAX($P$34*($B533+IF($R$17="Distrato",$I$38-1,0)),IF(AND($L$37=0,$P$34=0),"",$L$37-1),IF($R$17="Distrato",$E533,0))),0,YEARFRAC(MAX($P$34*($B533+IF($R$17="Distrato",$I$38-1,0)),IF(AND($L$37=0,$P$34=0),"",$L$37-1),IF($R$17="Distrato",$E533,0)),MIN(V$38,$D$19),$P$20))-SUM($P533:U533)</f>
        <v>#VALUE!</v>
      </c>
      <c r="W533" s="446" t="e">
        <f>IF(OR($B533="",MIN(W$38,$D$19)&lt;MAX($P$34*($B533+IF($R$17="Distrato",$I$38-1,0)),IF(AND($L$37=0,$P$34=0),"",$L$37-1),IF($R$17="Distrato",$E533,0))),0,YEARFRAC(MAX($P$34*($B533+IF($R$17="Distrato",$I$38-1,0)),IF(AND($L$37=0,$P$34=0),"",$L$37-1),IF($R$17="Distrato",$E533,0)),MIN(W$38,$D$19),$P$20))-SUM($P533:V533)</f>
        <v>#VALUE!</v>
      </c>
      <c r="X533" s="446" t="e">
        <f>IF(OR($B533="",MIN(X$38,$D$19)&lt;MAX($P$34*($B533+IF($R$17="Distrato",$I$38-1,0)),IF(AND($L$37=0,$P$34=0),"",$L$37-1),IF($R$17="Distrato",$E533,0))),0,YEARFRAC(MAX($P$34*($B533+IF($R$17="Distrato",$I$38-1,0)),IF(AND($L$37=0,$P$34=0),"",$L$37-1),IF($R$17="Distrato",$E533,0)),MIN(X$38,$D$19),$P$20))-SUM($P533:W533)</f>
        <v>#VALUE!</v>
      </c>
      <c r="Y533" s="446" t="e">
        <f>IF(OR($B533="",MIN(Y$38,$D$19)&lt;MAX($P$34*($B533+IF($R$17="Distrato",$I$38-1,0)),IF(AND($L$37=0,$P$34=0),"",$L$37-1),IF($R$17="Distrato",$E533,0))),0,YEARFRAC(MAX($P$34*($B533+IF($R$17="Distrato",$I$38-1,0)),IF(AND($L$37=0,$P$34=0),"",$L$37-1),IF($R$17="Distrato",$E533,0)),MIN(Y$38,$D$19),$P$20))-SUM($P533:X533)</f>
        <v>#VALUE!</v>
      </c>
      <c r="Z533" s="446" t="e">
        <f>IF(OR($B533="",MIN(Z$38,$D$19)&lt;MAX($P$34*($B533+IF($R$17="Distrato",$I$38-1,0)),IF(AND($L$37=0,$P$34=0),"",$L$37-1),IF($R$17="Distrato",$E533,0))),0,YEARFRAC(MAX($P$34*($B533+IF($R$17="Distrato",$I$38-1,0)),IF(AND($L$37=0,$P$34=0),"",$L$37-1),IF($R$17="Distrato",$E533,0)),MIN(Z$38,$D$19),$P$20))-SUM($P533:Y533)</f>
        <v>#VALUE!</v>
      </c>
      <c r="AA533" s="446" t="e">
        <f>IF(OR($B533="",MIN(AA$38,$D$19)&lt;MAX($P$34*($B533+IF($R$17="Distrato",$I$38-1,0)),IF(AND($L$37=0,$P$34=0),"",$L$37-1),IF($R$17="Distrato",$E533,0))),0,YEARFRAC(MAX($P$34*($B533+IF($R$17="Distrato",$I$38-1,0)),IF(AND($L$37=0,$P$34=0),"",$L$37-1),IF($R$17="Distrato",$E533,0)),MIN(AA$38,$D$19),$P$20))-SUM($P533:Z533)</f>
        <v>#VALUE!</v>
      </c>
      <c r="AB533" s="446" t="e">
        <f>IF(OR($B533="",MIN(AB$38,$D$19)&lt;MAX($P$34*($B533+IF($R$17="Distrato",$I$38-1,0)),IF(AND($L$37=0,$P$34=0),"",$L$37-1),IF($R$17="Distrato",$E533,0))),0,YEARFRAC(MAX($P$34*($B533+IF($R$17="Distrato",$I$38-1,0)),IF(AND($L$37=0,$P$34=0),"",$L$37-1),IF($R$17="Distrato",$E533,0)),MIN(AB$38,$D$19),$P$20))-SUM($P533:AA533)</f>
        <v>#VALUE!</v>
      </c>
      <c r="AC533" s="446" t="e">
        <f>IF(OR($B533="",MIN(AC$38,$D$19)&lt;MAX($P$34*($B533+IF($R$17="Distrato",$I$38-1,0)),IF(AND($L$37=0,$P$34=0),"",$L$37-1),IF($R$17="Distrato",$E533,0))),0,YEARFRAC(MAX($P$34*($B533+IF($R$17="Distrato",$I$38-1,0)),IF(AND($L$37=0,$P$34=0),"",$L$37-1),IF($R$17="Distrato",$E533,0)),MIN(AC$38,$D$19),$P$20))-SUM($P533:AB533)</f>
        <v>#VALUE!</v>
      </c>
      <c r="AD533" s="446" t="e">
        <f>IF(OR($B533="",MIN(AD$38,$D$19)&lt;MAX($P$34*($B533+IF($R$17="Distrato",$I$38-1,0)),IF(AND($L$37=0,$P$34=0),"",$L$37-1),IF($R$17="Distrato",$E533,0))),0,YEARFRAC(MAX($P$34*($B533+IF($R$17="Distrato",$I$38-1,0)),IF(AND($L$37=0,$P$34=0),"",$L$37-1),IF($R$17="Distrato",$E533,0)),MIN(AD$38,$D$19),$P$20))-SUM($P533:AC533)</f>
        <v>#VALUE!</v>
      </c>
      <c r="AE533" s="446" t="e">
        <f>IF(OR($B533="",MIN(AE$38,$D$19)&lt;MAX($P$34*($B533+IF($R$17="Distrato",$I$38-1,0)),IF(AND($L$37=0,$P$34=0),"",$L$37-1),IF($R$17="Distrato",$E533,0))),0,YEARFRAC(MAX($P$34*($B533+IF($R$17="Distrato",$I$38-1,0)),IF(AND($L$37=0,$P$34=0),"",$L$37-1),IF($R$17="Distrato",$E533,0)),MIN(AE$38,$D$19),$P$20))-SUM($P533:AD533)</f>
        <v>#VALUE!</v>
      </c>
      <c r="AF533" s="446" t="e">
        <f>IF(OR($B533="",MIN(AF$38,$D$19)&lt;MAX($P$34*($B533+IF($R$17="Distrato",$I$38-1,0)),IF(AND($L$37=0,$P$34=0),"",$L$37-1),IF($R$17="Distrato",$E533,0))),0,YEARFRAC(MAX($P$34*($B533+IF($R$17="Distrato",$I$38-1,0)),IF(AND($L$37=0,$P$34=0),"",$L$37-1),IF($R$17="Distrato",$E533,0)),MIN(AF$38,$D$19),$P$20))-SUM($P533:AE533)</f>
        <v>#VALUE!</v>
      </c>
      <c r="AG533" s="446" t="e">
        <f>IF(OR($B533="",MIN(AG$38,$D$19)&lt;MAX($P$34*($B533+IF($R$17="Distrato",$I$38-1,0)),IF(AND($L$37=0,$P$34=0),"",$L$37-1),IF($R$17="Distrato",$E533,0))),0,YEARFRAC(MAX($P$34*($B533+IF($R$17="Distrato",$I$38-1,0)),IF(AND($L$37=0,$P$34=0),"",$L$37-1),IF($R$17="Distrato",$E533,0)),MIN(AG$38,$D$19),$P$20))-SUM($P533:AF533)</f>
        <v>#VALUE!</v>
      </c>
      <c r="AH533" s="446" t="e">
        <f>IF(OR($B533="",MIN(AH$38,$D$19)&lt;MAX($P$34*($B533+IF($R$17="Distrato",$I$38-1,0)),IF(AND($L$37=0,$P$34=0),"",$L$37-1),IF($R$17="Distrato",$E533,0))),0,YEARFRAC(MAX($P$34*($B533+IF($R$17="Distrato",$I$38-1,0)),IF(AND($L$37=0,$P$34=0),"",$L$37-1),IF($R$17="Distrato",$E533,0)),MIN(AH$38,$D$19),$P$20))-SUM($P533:AG533)</f>
        <v>#VALUE!</v>
      </c>
      <c r="AI533" s="446" t="e">
        <f>IF(OR($B533="",MIN(AI$38,$D$19)&lt;MAX($P$34*($B533+IF($R$17="Distrato",$I$38-1,0)),IF(AND($L$37=0,$P$34=0),"",$L$37-1),IF($R$17="Distrato",$E533,0))),0,YEARFRAC(MAX($P$34*($B533+IF($R$17="Distrato",$I$38-1,0)),IF(AND($L$37=0,$P$34=0),"",$L$37-1),IF($R$17="Distrato",$E533,0)),MIN(AI$38,$D$19),$P$20))-SUM($P533:AH533)</f>
        <v>#VALUE!</v>
      </c>
      <c r="AJ533" s="446" t="e">
        <f>IF(OR($B533="",MIN(AJ$38,$D$19)&lt;MAX($P$34*($B533+IF($R$17="Distrato",$I$38-1,0)),IF(AND($L$37=0,$P$34=0),"",$L$37-1),IF($R$17="Distrato",$E533,0))),0,YEARFRAC(MAX($P$34*($B533+IF($R$17="Distrato",$I$38-1,0)),IF(AND($L$37=0,$P$34=0),"",$L$37-1),IF($R$17="Distrato",$E533,0)),MIN(AJ$38,$D$19),$P$20))-SUM($P533:AI533)</f>
        <v>#VALUE!</v>
      </c>
      <c r="AK533" s="446" t="e">
        <f>IF(OR($B533="",MIN(AK$38,$D$19)&lt;MAX($P$34*($B533+IF($R$17="Distrato",$I$38-1,0)),IF(AND($L$37=0,$P$34=0),"",$L$37-1),IF($R$17="Distrato",$E533,0))),0,YEARFRAC(MAX($P$34*($B533+IF($R$17="Distrato",$I$38-1,0)),IF(AND($L$37=0,$P$34=0),"",$L$37-1),IF($R$17="Distrato",$E533,0)),MIN(AK$38,$D$19),$P$20))-SUM($P533:AJ533)</f>
        <v>#VALUE!</v>
      </c>
      <c r="AL533" s="446" t="e">
        <f>IF(OR($B533="",MIN(AL$38,$D$19)&lt;MAX($P$34*($B533+IF($R$17="Distrato",$I$38-1,0)),IF(AND($L$37=0,$P$34=0),"",$L$37-1),IF($R$17="Distrato",$E533,0))),0,YEARFRAC(MAX($P$34*($B533+IF($R$17="Distrato",$I$38-1,0)),IF(AND($L$37=0,$P$34=0),"",$L$37-1),IF($R$17="Distrato",$E533,0)),MIN(AL$38,$D$19),$P$20))-SUM($P533:AK533)</f>
        <v>#VALUE!</v>
      </c>
      <c r="AM533" s="446" t="e">
        <f>IF(OR($B533="",MIN(AM$38,$D$19)&lt;MAX($P$34*($B533+IF($R$17="Distrato",$I$38-1,0)),IF(AND($L$37=0,$P$34=0),"",$L$37-1),IF($R$17="Distrato",$E533,0))),0,YEARFRAC(MAX($P$34*($B533+IF($R$17="Distrato",$I$38-1,0)),IF(AND($L$37=0,$P$34=0),"",$L$37-1),IF($R$17="Distrato",$E533,0)),MIN(AM$38,$D$19),$P$20))-SUM($P533:AL533)</f>
        <v>#VALUE!</v>
      </c>
      <c r="AN533" s="446" t="e">
        <f>IF(OR($B533="",MIN(AN$38,$D$19)&lt;MAX($P$34*($B533+IF($R$17="Distrato",$I$38-1,0)),IF(AND($L$37=0,$P$34=0),"",$L$37-1),IF($R$17="Distrato",$E533,0))),0,YEARFRAC(MAX($P$34*($B533+IF($R$17="Distrato",$I$38-1,0)),IF(AND($L$37=0,$P$34=0),"",$L$37-1),IF($R$17="Distrato",$E533,0)),MIN(AN$38,$D$19),$P$20))-SUM($P533:AM533)</f>
        <v>#VALUE!</v>
      </c>
      <c r="AO533" s="446" t="e">
        <f>IF(OR($B533="",MIN(AO$38,$D$19)&lt;MAX($P$34*($B533+IF($R$17="Distrato",$I$38-1,0)),IF(AND($L$37=0,$P$34=0),"",$L$37-1),IF($R$17="Distrato",$E533,0))),0,YEARFRAC(MAX($P$34*($B533+IF($R$17="Distrato",$I$38-1,0)),IF(AND($L$37=0,$P$34=0),"",$L$37-1),IF($R$17="Distrato",$E533,0)),MIN(AO$38,$D$19),$P$20))-SUM($P533:AN533)</f>
        <v>#VALUE!</v>
      </c>
      <c r="AP533" s="446" t="e">
        <f>IF(OR($B533="",MIN(AP$38,$D$19)&lt;MAX($P$34*($B533+IF($R$17="Distrato",$I$38-1,0)),IF(AND($L$37=0,$P$34=0),"",$L$37-1),IF($R$17="Distrato",$E533,0))),0,YEARFRAC(MAX($P$34*($B533+IF($R$17="Distrato",$I$38-1,0)),IF(AND($L$37=0,$P$34=0),"",$L$37-1),IF($R$17="Distrato",$E533,0)),MIN(AP$38,$D$19),$P$20))-SUM($P533:AO533)</f>
        <v>#VALUE!</v>
      </c>
      <c r="AQ533" s="446" t="e">
        <f>IF(OR($B533="",MIN(AQ$38,$D$19)&lt;MAX($P$34*($B533+IF($R$17="Distrato",$I$38-1,0)),IF(AND($L$37=0,$P$34=0),"",$L$37-1),IF($R$17="Distrato",$E533,0))),0,YEARFRAC(MAX($P$34*($B533+IF($R$17="Distrato",$I$38-1,0)),IF(AND($L$37=0,$P$34=0),"",$L$37-1),IF($R$17="Distrato",$E533,0)),MIN(AQ$38,$D$19),$P$20))-SUM($P533:AP533)</f>
        <v>#VALUE!</v>
      </c>
      <c r="AR533" s="446" t="e">
        <f>IF(OR($B533="",MIN(AR$38,$D$19)&lt;MAX($P$34*($B533+IF($R$17="Distrato",$I$38-1,0)),IF(AND($L$37=0,$P$34=0),"",$L$37-1),IF($R$17="Distrato",$E533,0))),0,YEARFRAC(MAX($P$34*($B533+IF($R$17="Distrato",$I$38-1,0)),IF(AND($L$37=0,$P$34=0),"",$L$37-1),IF($R$17="Distrato",$E533,0)),MIN(AR$38,$D$19),$P$20))-SUM($P533:AQ533)</f>
        <v>#VALUE!</v>
      </c>
      <c r="AS533" s="446" t="e">
        <f>IF(OR($B533="",MIN(AS$38,$D$19)&lt;MAX($P$34*($B533+IF($R$17="Distrato",$I$38-1,0)),IF(AND($L$37=0,$P$34=0),"",$L$37-1),IF($R$17="Distrato",$E533,0))),0,YEARFRAC(MAX($P$34*($B533+IF($R$17="Distrato",$I$38-1,0)),IF(AND($L$37=0,$P$34=0),"",$L$37-1),IF($R$17="Distrato",$E533,0)),MIN(AS$38,$D$19),$P$20))-SUM($P533:AR533)</f>
        <v>#VALUE!</v>
      </c>
      <c r="AT533" s="446" t="e">
        <f>IF(OR($B533="",MIN(AT$38,$D$19)&lt;MAX($P$34*($B533+IF($R$17="Distrato",$I$38-1,0)),IF(AND($L$37=0,$P$34=0),"",$L$37-1),IF($R$17="Distrato",$E533,0))),0,YEARFRAC(MAX($P$34*($B533+IF($R$17="Distrato",$I$38-1,0)),IF(AND($L$37=0,$P$34=0),"",$L$37-1),IF($R$17="Distrato",$E533,0)),MIN(AT$38,$D$19),$P$20))-SUM($P533:AS533)</f>
        <v>#VALUE!</v>
      </c>
      <c r="AU533" s="446" t="e">
        <f>IF(OR($B533="",MIN(AU$38,$D$19)&lt;MAX($P$34*($B533+IF($R$17="Distrato",$I$38-1,0)),IF(AND($L$37=0,$P$34=0),"",$L$37-1),IF($R$17="Distrato",$E533,0))),0,YEARFRAC(MAX($P$34*($B533+IF($R$17="Distrato",$I$38-1,0)),IF(AND($L$37=0,$P$34=0),"",$L$37-1),IF($R$17="Distrato",$E533,0)),MIN(AU$38,$D$19),$P$20))-SUM($P533:AT533)</f>
        <v>#VALUE!</v>
      </c>
      <c r="AV533" s="446" t="e">
        <f>IF(OR($B533="",MIN(AV$38,$D$19)&lt;MAX($P$34*($B533+IF($R$17="Distrato",$I$38-1,0)),IF(AND($L$37=0,$P$34=0),"",$L$37-1),IF($R$17="Distrato",$E533,0))),0,YEARFRAC(MAX($P$34*($B533+IF($R$17="Distrato",$I$38-1,0)),IF(AND($L$37=0,$P$34=0),"",$L$37-1),IF($R$17="Distrato",$E533,0)),MIN(AV$38,$D$19),$P$20))-SUM($P533:AU533)</f>
        <v>#VALUE!</v>
      </c>
      <c r="AW533" s="446" t="e">
        <f>IF(OR($B533="",MIN(AW$38,$D$19)&lt;MAX($P$34*($B533+IF($R$17="Distrato",$I$38-1,0)),IF(AND($L$37=0,$P$34=0),"",$L$37-1),IF($R$17="Distrato",$E533,0))),0,YEARFRAC(MAX($P$34*($B533+IF($R$17="Distrato",$I$38-1,0)),IF(AND($L$37=0,$P$34=0),"",$L$37-1),IF($R$17="Distrato",$E533,0)),MIN(AW$38,$D$19),$P$20))-SUM($P533:AV533)</f>
        <v>#VALUE!</v>
      </c>
      <c r="AX533" s="446" t="e">
        <f>IF(OR($B533="",MIN(AX$38,$D$19)&lt;MAX($P$34*($B533+IF($R$17="Distrato",$I$38-1,0)),IF(AND($L$37=0,$P$34=0),"",$L$37-1),IF($R$17="Distrato",$E533,0))),0,YEARFRAC(MAX($P$34*($B533+IF($R$17="Distrato",$I$38-1,0)),IF(AND($L$37=0,$P$34=0),"",$L$37-1),IF($R$17="Distrato",$E533,0)),MIN(AX$38,$D$19),$P$20))-SUM($P533:AW533)</f>
        <v>#VALUE!</v>
      </c>
      <c r="AY533" s="446" t="e">
        <f>IF(OR($B533="",MIN(AY$38,$D$19)&lt;MAX($P$34*($B533+IF($R$17="Distrato",$I$38-1,0)),IF(AND($L$37=0,$P$34=0),"",$L$37-1),IF($R$17="Distrato",$E533,0))),0,YEARFRAC(MAX($P$34*($B533+IF($R$17="Distrato",$I$38-1,0)),IF(AND($L$37=0,$P$34=0),"",$L$37-1),IF($R$17="Distrato",$E533,0)),MIN(AY$38,$D$19),$P$20))-SUM($P533:AX533)</f>
        <v>#VALUE!</v>
      </c>
      <c r="AZ533" s="446" t="e">
        <f>IF(OR($B533="",MIN(AZ$38,$D$19)&lt;MAX($P$34*($B533+IF($R$17="Distrato",$I$38-1,0)),IF(AND($L$37=0,$P$34=0),"",$L$37-1),IF($R$17="Distrato",$E533,0))),0,YEARFRAC(MAX($P$34*($B533+IF($R$17="Distrato",$I$38-1,0)),IF(AND($L$37=0,$P$34=0),"",$L$37-1),IF($R$17="Distrato",$E533,0)),MIN(AZ$38,$D$19),$P$20))-SUM($P533:AY533)</f>
        <v>#VALUE!</v>
      </c>
      <c r="BA533" s="446" t="e">
        <f>IF(OR($B533="",MIN(BA$38,$D$19)&lt;MAX($P$34*($B533+IF($R$17="Distrato",$I$38-1,0)),IF(AND($L$37=0,$P$34=0),"",$L$37-1),IF($R$17="Distrato",$E533,0))),0,YEARFRAC(MAX($P$34*($B533+IF($R$17="Distrato",$I$38-1,0)),IF(AND($L$37=0,$P$34=0),"",$L$37-1),IF($R$17="Distrato",$E533,0)),MIN(BA$38,$D$19),$P$20))-SUM($P533:AZ533)</f>
        <v>#VALUE!</v>
      </c>
      <c r="BB533" s="447"/>
      <c r="BF533" s="446">
        <f t="shared" si="87"/>
        <v>0</v>
      </c>
      <c r="BG533" s="446">
        <f>IF($E533=0,0,IF(MIN(BG$38,$E533)&lt;MAX($P$34*($B533+$I$38-1),IF(AND($L$37=0,$P$34=0),"",$L$37-1)),0,YEARFRAC(MAX($P$34*($B533+$I$38-1),IF(AND($L$37=0,$P$34=0),"",$L$37-1)),MIN(BG$38,$E533),$P$20))-SUM($BF533:BF533))</f>
        <v>0</v>
      </c>
      <c r="BH533" s="446">
        <f>IF($E533=0,0,IF(MIN(BH$38,$E533)&lt;MAX($P$34*($B533+$I$38-1),IF(AND($L$37=0,$P$34=0),"",$L$37-1)),0,YEARFRAC(MAX($P$34*($B533+$I$38-1),IF(AND($L$37=0,$P$34=0),"",$L$37-1)),MIN(BH$38,$E533),$P$20))-SUM($BF533:BG533))</f>
        <v>0</v>
      </c>
      <c r="BI533" s="446">
        <f>IF($E533=0,0,IF(MIN(BI$38,$E533)&lt;MAX($P$34*($B533+$I$38-1),IF(AND($L$37=0,$P$34=0),"",$L$37-1)),0,YEARFRAC(MAX($P$34*($B533+$I$38-1),IF(AND($L$37=0,$P$34=0),"",$L$37-1)),MIN(BI$38,$E533),$P$20))-SUM($BF533:BH533))</f>
        <v>0</v>
      </c>
      <c r="BJ533" s="446">
        <f>IF($E533=0,0,IF(MIN(BJ$38,$E533)&lt;MAX($P$34*($B533+$I$38-1),IF(AND($L$37=0,$P$34=0),"",$L$37-1)),0,YEARFRAC(MAX($P$34*($B533+$I$38-1),IF(AND($L$37=0,$P$34=0),"",$L$37-1)),MIN(BJ$38,$E533),$P$20))-SUM($BF533:BI533))</f>
        <v>0</v>
      </c>
      <c r="BK533" s="446">
        <f>IF($E533=0,0,IF(MIN(BK$38,$E533)&lt;MAX($P$34*($B533+$I$38-1),IF(AND($L$37=0,$P$34=0),"",$L$37-1)),0,YEARFRAC(MAX($P$34*($B533+$I$38-1),IF(AND($L$37=0,$P$34=0),"",$L$37-1)),MIN(BK$38,$E533),$P$20))-SUM($BF533:BJ533))</f>
        <v>0</v>
      </c>
      <c r="BL533" s="446">
        <f>IF($E533=0,0,IF(MIN(BL$38,$E533)&lt;MAX($P$34*($B533+$I$38-1),IF(AND($L$37=0,$P$34=0),"",$L$37-1)),0,YEARFRAC(MAX($P$34*($B533+$I$38-1),IF(AND($L$37=0,$P$34=0),"",$L$37-1)),MIN(BL$38,$E533),$P$20))-SUM($BF533:BK533))</f>
        <v>0</v>
      </c>
      <c r="BM533" s="446">
        <f>IF($E533=0,0,IF(MIN(BM$38,$E533)&lt;MAX($P$34*($B533+$I$38-1),IF(AND($L$37=0,$P$34=0),"",$L$37-1)),0,YEARFRAC(MAX($P$34*($B533+$I$38-1),IF(AND($L$37=0,$P$34=0),"",$L$37-1)),MIN(BM$38,$E533),$P$20))-SUM($BF533:BL533))</f>
        <v>0</v>
      </c>
      <c r="BN533" s="446">
        <f>IF($E533=0,0,IF(MIN(BN$38,$E533)&lt;MAX($P$34*($B533+$I$38-1),IF(AND($L$37=0,$P$34=0),"",$L$37-1)),0,YEARFRAC(MAX($P$34*($B533+$I$38-1),IF(AND($L$37=0,$P$34=0),"",$L$37-1)),MIN(BN$38,$E533),$P$20))-SUM($BF533:BM533))</f>
        <v>0</v>
      </c>
      <c r="BO533" s="446">
        <f>IF($E533=0,0,IF(MIN(BO$38,$E533)&lt;MAX($P$34*($B533+$I$38-1),IF(AND($L$37=0,$P$34=0),"",$L$37-1)),0,YEARFRAC(MAX($P$34*($B533+$I$38-1),IF(AND($L$37=0,$P$34=0),"",$L$37-1)),MIN(BO$38,$E533),$P$20))-SUM($BF533:BN533))</f>
        <v>0</v>
      </c>
      <c r="BP533" s="446">
        <f>IF($E533=0,0,IF(MIN(BP$38,$E533)&lt;MAX($P$34*($B533+$I$38-1),IF(AND($L$37=0,$P$34=0),"",$L$37-1)),0,YEARFRAC(MAX($P$34*($B533+$I$38-1),IF(AND($L$37=0,$P$34=0),"",$L$37-1)),MIN(BP$38,$E533),$P$20))-SUM($BF533:BO533))</f>
        <v>0</v>
      </c>
      <c r="BQ533" s="446">
        <f>IF($E533=0,0,IF(MIN(BQ$38,$E533)&lt;MAX($P$34*($B533+$I$38-1),IF(AND($L$37=0,$P$34=0),"",$L$37-1)),0,YEARFRAC(MAX($P$34*($B533+$I$38-1),IF(AND($L$37=0,$P$34=0),"",$L$37-1)),MIN(BQ$38,$E533),$P$20))-SUM($BF533:BP533))</f>
        <v>0</v>
      </c>
      <c r="BR533" s="446">
        <f>IF($E533=0,0,IF(MIN(BR$38,$E533)&lt;MAX($P$34*($B533+$I$38-1),IF(AND($L$37=0,$P$34=0),"",$L$37-1)),0,YEARFRAC(MAX($P$34*($B533+$I$38-1),IF(AND($L$37=0,$P$34=0),"",$L$37-1)),MIN(BR$38,$E533),$P$20))-SUM($BF533:BQ533))</f>
        <v>0</v>
      </c>
      <c r="BS533" s="446">
        <f>IF($E533=0,0,IF(MIN(BS$38,$E533)&lt;MAX($P$34*($B533+$I$38-1),IF(AND($L$37=0,$P$34=0),"",$L$37-1)),0,YEARFRAC(MAX($P$34*($B533+$I$38-1),IF(AND($L$37=0,$P$34=0),"",$L$37-1)),MIN(BS$38,$E533),$P$20))-SUM($BF533:BR533))</f>
        <v>0</v>
      </c>
      <c r="BT533" s="446">
        <f>IF($E533=0,0,IF(MIN(BT$38,$E533)&lt;MAX($P$34*($B533+$I$38-1),IF(AND($L$37=0,$P$34=0),"",$L$37-1)),0,YEARFRAC(MAX($P$34*($B533+$I$38-1),IF(AND($L$37=0,$P$34=0),"",$L$37-1)),MIN(BT$38,$E533),$P$20))-SUM($BF533:BS533))</f>
        <v>0</v>
      </c>
      <c r="BU533" s="446">
        <f>IF($E533=0,0,IF(MIN(BU$38,$E533)&lt;MAX($P$34*($B533+$I$38-1),IF(AND($L$37=0,$P$34=0),"",$L$37-1)),0,YEARFRAC(MAX($P$34*($B533+$I$38-1),IF(AND($L$37=0,$P$34=0),"",$L$37-1)),MIN(BU$38,$E533),$P$20))-SUM($BF533:BT533))</f>
        <v>0</v>
      </c>
      <c r="BV533" s="446">
        <f>IF($E533=0,0,IF(MIN(BV$38,$E533)&lt;MAX($P$34*($B533+$I$38-1),IF(AND($L$37=0,$P$34=0),"",$L$37-1)),0,YEARFRAC(MAX($P$34*($B533+$I$38-1),IF(AND($L$37=0,$P$34=0),"",$L$37-1)),MIN(BV$38,$E533),$P$20))-SUM($BF533:BU533))</f>
        <v>0</v>
      </c>
      <c r="BW533" s="446">
        <f>IF($E533=0,0,IF(MIN(BW$38,$E533)&lt;MAX($P$34*($B533+$I$38-1),IF(AND($L$37=0,$P$34=0),"",$L$37-1)),0,YEARFRAC(MAX($P$34*($B533+$I$38-1),IF(AND($L$37=0,$P$34=0),"",$L$37-1)),MIN(BW$38,$E533),$P$20))-SUM($BF533:BV533))</f>
        <v>0</v>
      </c>
      <c r="BX533" s="446">
        <f>IF($E533=0,0,IF(MIN(BX$38,$E533)&lt;MAX($P$34*($B533+$I$38-1),IF(AND($L$37=0,$P$34=0),"",$L$37-1)),0,YEARFRAC(MAX($P$34*($B533+$I$38-1),IF(AND($L$37=0,$P$34=0),"",$L$37-1)),MIN(BX$38,$E533),$P$20))-SUM($BF533:BW533))</f>
        <v>0</v>
      </c>
      <c r="BY533" s="446">
        <f>IF($E533=0,0,IF(MIN(BY$38,$E533)&lt;MAX($P$34*($B533+$I$38-1),IF(AND($L$37=0,$P$34=0),"",$L$37-1)),0,YEARFRAC(MAX($P$34*($B533+$I$38-1),IF(AND($L$37=0,$P$34=0),"",$L$37-1)),MIN(BY$38,$E533),$P$20))-SUM($BF533:BX533))</f>
        <v>0</v>
      </c>
      <c r="BZ533" s="446">
        <f>IF($E533=0,0,IF(MIN(BZ$38,$E533)&lt;MAX($P$34*($B533+$I$38-1),IF(AND($L$37=0,$P$34=0),"",$L$37-1)),0,YEARFRAC(MAX($P$34*($B533+$I$38-1),IF(AND($L$37=0,$P$34=0),"",$L$37-1)),MIN(BZ$38,$E533),$P$20))-SUM($BF533:BY533))</f>
        <v>0</v>
      </c>
      <c r="CA533" s="446">
        <f>IF($E533=0,0,IF(MIN(CA$38,$E533)&lt;MAX($P$34*($B533+$I$38-1),IF(AND($L$37=0,$P$34=0),"",$L$37-1)),0,YEARFRAC(MAX($P$34*($B533+$I$38-1),IF(AND($L$37=0,$P$34=0),"",$L$37-1)),MIN(CA$38,$E533),$P$20))-SUM($BF533:BZ533))</f>
        <v>0</v>
      </c>
      <c r="CB533" s="446">
        <f>IF($E533=0,0,IF(MIN(CB$38,$E533)&lt;MAX($P$34*($B533+$I$38-1),IF(AND($L$37=0,$P$34=0),"",$L$37-1)),0,YEARFRAC(MAX($P$34*($B533+$I$38-1),IF(AND($L$37=0,$P$34=0),"",$L$37-1)),MIN(CB$38,$E533),$P$20))-SUM($BF533:CA533))</f>
        <v>0</v>
      </c>
      <c r="CC533" s="446">
        <f>IF($E533=0,0,IF(MIN(CC$38,$E533)&lt;MAX($P$34*($B533+$I$38-1),IF(AND($L$37=0,$P$34=0),"",$L$37-1)),0,YEARFRAC(MAX($P$34*($B533+$I$38-1),IF(AND($L$37=0,$P$34=0),"",$L$37-1)),MIN(CC$38,$E533),$P$20))-SUM($BF533:CB533))</f>
        <v>0</v>
      </c>
      <c r="CD533" s="446">
        <f>IF($E533=0,0,IF(MIN(CD$38,$E533)&lt;MAX($P$34*($B533+$I$38-1),IF(AND($L$37=0,$P$34=0),"",$L$37-1)),0,YEARFRAC(MAX($P$34*($B533+$I$38-1),IF(AND($L$37=0,$P$34=0),"",$L$37-1)),MIN(CD$38,$E533),$P$20))-SUM($BF533:CC533))</f>
        <v>0</v>
      </c>
      <c r="CE533" s="446">
        <f>IF($E533=0,0,IF(MIN(CE$38,$E533)&lt;MAX($P$34*($B533+$I$38-1),IF(AND($L$37=0,$P$34=0),"",$L$37-1)),0,YEARFRAC(MAX($P$34*($B533+$I$38-1),IF(AND($L$37=0,$P$34=0),"",$L$37-1)),MIN(CE$38,$E533),$P$20))-SUM($BF533:CD533))</f>
        <v>0</v>
      </c>
      <c r="CF533" s="446">
        <f>IF($E533=0,0,IF(MIN(CF$38,$E533)&lt;MAX($P$34*($B533+$I$38-1),IF(AND($L$37=0,$P$34=0),"",$L$37-1)),0,YEARFRAC(MAX($P$34*($B533+$I$38-1),IF(AND($L$37=0,$P$34=0),"",$L$37-1)),MIN(CF$38,$E533),$P$20))-SUM($BF533:CE533))</f>
        <v>0</v>
      </c>
      <c r="CG533" s="446">
        <f>IF($E533=0,0,IF(MIN(CG$38,$E533)&lt;MAX($P$34*($B533+$I$38-1),IF(AND($L$37=0,$P$34=0),"",$L$37-1)),0,YEARFRAC(MAX($P$34*($B533+$I$38-1),IF(AND($L$37=0,$P$34=0),"",$L$37-1)),MIN(CG$38,$E533),$P$20))-SUM($BF533:CF533))</f>
        <v>0</v>
      </c>
      <c r="CH533" s="446">
        <f>IF($E533=0,0,IF(MIN(CH$38,$E533)&lt;MAX($P$34*($B533+$I$38-1),IF(AND($L$37=0,$P$34=0),"",$L$37-1)),0,YEARFRAC(MAX($P$34*($B533+$I$38-1),IF(AND($L$37=0,$P$34=0),"",$L$37-1)),MIN(CH$38,$E533),$P$20))-SUM($BF533:CG533))</f>
        <v>0</v>
      </c>
      <c r="CI533" s="446">
        <f>IF($E533=0,0,IF(MIN(CI$38,$E533)&lt;MAX($P$34*($B533+$I$38-1),IF(AND($L$37=0,$P$34=0),"",$L$37-1)),0,YEARFRAC(MAX($P$34*($B533+$I$38-1),IF(AND($L$37=0,$P$34=0),"",$L$37-1)),MIN(CI$38,$E533),$P$20))-SUM($BF533:CH533))</f>
        <v>0</v>
      </c>
      <c r="CJ533" s="446">
        <f>IF($E533=0,0,IF(MIN(CJ$38,$E533)&lt;MAX($P$34*($B533+$I$38-1),IF(AND($L$37=0,$P$34=0),"",$L$37-1)),0,YEARFRAC(MAX($P$34*($B533+$I$38-1),IF(AND($L$37=0,$P$34=0),"",$L$37-1)),MIN(CJ$38,$E533),$P$20))-SUM($BF533:CI533))</f>
        <v>0</v>
      </c>
      <c r="CK533" s="446">
        <f>IF($E533=0,0,IF(MIN(CK$38,$E533)&lt;MAX($P$34*($B533+$I$38-1),IF(AND($L$37=0,$P$34=0),"",$L$37-1)),0,YEARFRAC(MAX($P$34*($B533+$I$38-1),IF(AND($L$37=0,$P$34=0),"",$L$37-1)),MIN(CK$38,$E533),$P$20))-SUM($BF533:CJ533))</f>
        <v>0</v>
      </c>
      <c r="CL533" s="446">
        <f>IF($E533=0,0,IF(MIN(CL$38,$E533)&lt;MAX($P$34*($B533+$I$38-1),IF(AND($L$37=0,$P$34=0),"",$L$37-1)),0,YEARFRAC(MAX($P$34*($B533+$I$38-1),IF(AND($L$37=0,$P$34=0),"",$L$37-1)),MIN(CL$38,$E533),$P$20))-SUM($BF533:CK533))</f>
        <v>0</v>
      </c>
      <c r="CM533" s="446">
        <f>IF($E533=0,0,IF(MIN(CM$38,$E533)&lt;MAX($P$34*($B533+$I$38-1),IF(AND($L$37=0,$P$34=0),"",$L$37-1)),0,YEARFRAC(MAX($P$34*($B533+$I$38-1),IF(AND($L$37=0,$P$34=0),"",$L$37-1)),MIN(CM$38,$E533),$P$20))-SUM($BF533:CL533))</f>
        <v>0</v>
      </c>
      <c r="CN533" s="446">
        <f>IF($E533=0,0,IF(MIN(CN$38,$E533)&lt;MAX($P$34*($B533+$I$38-1),IF(AND($L$37=0,$P$34=0),"",$L$37-1)),0,YEARFRAC(MAX($P$34*($B533+$I$38-1),IF(AND($L$37=0,$P$34=0),"",$L$37-1)),MIN(CN$38,$E533),$P$20))-SUM($BF533:CM533))</f>
        <v>0</v>
      </c>
      <c r="CO533" s="446">
        <f>IF($E533=0,0,IF(MIN(CO$38,$E533)&lt;MAX($P$34*($B533+$I$38-1),IF(AND($L$37=0,$P$34=0),"",$L$37-1)),0,YEARFRAC(MAX($P$34*($B533+$I$38-1),IF(AND($L$37=0,$P$34=0),"",$L$37-1)),MIN(CO$38,$E533),$P$20))-SUM($BF533:CN533))</f>
        <v>0</v>
      </c>
      <c r="CP533" s="446">
        <f>IF($E533=0,0,IF(MIN(CP$38,$E533)&lt;MAX($P$34*($B533+$I$38-1),IF(AND($L$37=0,$P$34=0),"",$L$37-1)),0,YEARFRAC(MAX($P$34*($B533+$I$38-1),IF(AND($L$37=0,$P$34=0),"",$L$37-1)),MIN(CP$38,$E533),$P$20))-SUM($BF533:CO533))</f>
        <v>0</v>
      </c>
      <c r="CQ533" s="446">
        <f>IF($E533=0,0,IF(MIN(CQ$38,$E533)&lt;MAX($P$34*($B533+$I$38-1),IF(AND($L$37=0,$P$34=0),"",$L$37-1)),0,YEARFRAC(MAX($P$34*($B533+$I$38-1),IF(AND($L$37=0,$P$34=0),"",$L$37-1)),MIN(CQ$38,$E533),$P$20))-SUM($BF533:CP533))</f>
        <v>0</v>
      </c>
    </row>
    <row r="534" spans="1:95" s="446" customFormat="1" ht="11.25" hidden="1" customHeight="1" x14ac:dyDescent="0.2">
      <c r="A534" s="152"/>
      <c r="B534" s="153" t="str">
        <f t="shared" si="92"/>
        <v/>
      </c>
      <c r="C534" s="29" t="str">
        <f>IF(B534="","",IF($L$35="SELIC - TRIBUTOS",VLOOKUP(DATE(YEAR($D$19),MONTH($D$19)-1,1),ÍNDICES!$A:$DE,HLOOKUP($BL$25,ÍNDICES!$B$3:$T$4,2)+11)-VLOOKUP(B534,ÍNDICES!$A:$DE,HLOOKUP($BL$25,ÍNDICES!$B$3:$T$4,2)+11)+1%,IF(C$38=$W$26,$J$35,IF(ISERROR(IF(B534&gt;$D$19,1,VLOOKUP(DATE(YEAR(B534),MONTH(B534)+IF($C$35=$S$23,1,0),1),ÍNDICES!$A:$DE,$Z$35+1))),"",IF(B534&gt;$D$19,1,VLOOKUP(DATE(YEAR(B534),MONTH(B534)+IF($C$35=$S$23,1,0),1),ÍNDICES!$A:$DE,$Z$35+1))))))</f>
        <v/>
      </c>
      <c r="D534" s="154" t="str">
        <f>IF(ISERROR(IF(OR($D$38=$Y$27,$B534=""),"",VLOOKUP(B534,ÍNDICES!A:DE,AF$35+1))),"",IF(OR($D$38=$Y$27,$B534=""),"",VLOOKUP(B534,ÍNDICES!A:DE,AF$35+1)))</f>
        <v/>
      </c>
      <c r="E534" s="153"/>
      <c r="F534" s="29" t="str">
        <f>IF(E534="","",IF($L$35="SELIC - TRIBUTOS",VLOOKUP(DATE(YEAR($D$19),MONTH($D$19)-1,1),ÍNDICES!$A:$DE,HLOOKUP($BL$25,ÍNDICES!$B$3:$T$4,2)+11)-VLOOKUP(E534,ÍNDICES!$A:$DE,HLOOKUP($BL$25,ÍNDICES!$B$3:$T$4,2)+11)+1%,IF(F$38=$W$26,$J$35,IF(ISERROR(IF(E534&gt;$D$19,1,VLOOKUP(DATE(YEAR(E534),MONTH(E534)+IF($C$35=$S$23,1,0),1),ÍNDICES!$A:$DE,$Z$35+1))),"",IF(E534&gt;$D$19,1,VLOOKUP(DATE(YEAR(E534),MONTH(E534)+IF($C$35=$S$23,1,0),1),ÍNDICES!$A:$DE,$Z$35+1))))))</f>
        <v/>
      </c>
      <c r="G534" s="155"/>
      <c r="H534" s="156" t="str">
        <f t="shared" si="88"/>
        <v/>
      </c>
      <c r="I534" s="29" t="str">
        <f t="shared" si="82"/>
        <v/>
      </c>
      <c r="J534" s="5">
        <f t="shared" si="83"/>
        <v>0</v>
      </c>
      <c r="K534" s="20">
        <f t="shared" ca="1" si="84"/>
        <v>0</v>
      </c>
      <c r="L534" s="5">
        <f t="shared" ca="1" si="85"/>
        <v>0</v>
      </c>
      <c r="M534" s="64">
        <f t="shared" si="89"/>
        <v>0</v>
      </c>
      <c r="N534" s="61">
        <f t="shared" ca="1" si="90"/>
        <v>0</v>
      </c>
      <c r="O534" s="5">
        <f t="shared" ca="1" si="91"/>
        <v>0</v>
      </c>
      <c r="P534" s="446" t="e">
        <f t="shared" si="86"/>
        <v>#VALUE!</v>
      </c>
      <c r="Q534" s="446" t="e">
        <f>IF(OR($B534="",MIN(Q$38,$D$19)&lt;MAX($P$34*($B534+IF($R$17="Distrato",$I$38-1,0)),IF(AND($L$37=0,$P$34=0),"",$L$37-1),IF($R$17="Distrato",$E534,0))),0,YEARFRAC(MAX($P$34*($B534+IF($R$17="Distrato",$I$38-1,0)),IF(AND($L$37=0,$P$34=0),"",$L$37-1),IF($R$17="Distrato",$E534,0)),MIN(Q$38,$D$19),$P$20))-SUM($P534:P534)</f>
        <v>#VALUE!</v>
      </c>
      <c r="R534" s="446" t="e">
        <f>IF(OR($B534="",MIN(R$38,$D$19)&lt;MAX($P$34*($B534+IF($R$17="Distrato",$I$38-1,0)),IF(AND($L$37=0,$P$34=0),"",$L$37-1),IF($R$17="Distrato",$E534,0))),0,YEARFRAC(MAX($P$34*($B534+IF($R$17="Distrato",$I$38-1,0)),IF(AND($L$37=0,$P$34=0),"",$L$37-1),IF($R$17="Distrato",$E534,0)),MIN(R$38,$D$19),$P$20))-SUM($P534:Q534)</f>
        <v>#VALUE!</v>
      </c>
      <c r="S534" s="446" t="e">
        <f>IF(OR($B534="",MIN(S$38,$D$19)&lt;MAX($P$34*($B534+IF($R$17="Distrato",$I$38-1,0)),IF(AND($L$37=0,$P$34=0),"",$L$37-1),IF($R$17="Distrato",$E534,0))),0,YEARFRAC(MAX($P$34*($B534+IF($R$17="Distrato",$I$38-1,0)),IF(AND($L$37=0,$P$34=0),"",$L$37-1),IF($R$17="Distrato",$E534,0)),MIN(S$38,$D$19),$P$20))-SUM($P534:R534)</f>
        <v>#VALUE!</v>
      </c>
      <c r="T534" s="446" t="e">
        <f>IF(OR($B534="",MIN(T$38,$D$19)&lt;MAX($P$34*($B534+IF($R$17="Distrato",$I$38-1,0)),IF(AND($L$37=0,$P$34=0),"",$L$37-1),IF($R$17="Distrato",$E534,0))),0,YEARFRAC(MAX($P$34*($B534+IF($R$17="Distrato",$I$38-1,0)),IF(AND($L$37=0,$P$34=0),"",$L$37-1),IF($R$17="Distrato",$E534,0)),MIN(T$38,$D$19),$P$20))-SUM($P534:S534)</f>
        <v>#VALUE!</v>
      </c>
      <c r="U534" s="446" t="e">
        <f>IF(OR($B534="",MIN(U$38,$D$19)&lt;MAX($P$34*($B534+IF($R$17="Distrato",$I$38-1,0)),IF(AND($L$37=0,$P$34=0),"",$L$37-1),IF($R$17="Distrato",$E534,0))),0,YEARFRAC(MAX($P$34*($B534+IF($R$17="Distrato",$I$38-1,0)),IF(AND($L$37=0,$P$34=0),"",$L$37-1),IF($R$17="Distrato",$E534,0)),MIN(U$38,$D$19),$P$20))-SUM($P534:T534)</f>
        <v>#VALUE!</v>
      </c>
      <c r="V534" s="446" t="e">
        <f>IF(OR($B534="",MIN(V$38,$D$19)&lt;MAX($P$34*($B534+IF($R$17="Distrato",$I$38-1,0)),IF(AND($L$37=0,$P$34=0),"",$L$37-1),IF($R$17="Distrato",$E534,0))),0,YEARFRAC(MAX($P$34*($B534+IF($R$17="Distrato",$I$38-1,0)),IF(AND($L$37=0,$P$34=0),"",$L$37-1),IF($R$17="Distrato",$E534,0)),MIN(V$38,$D$19),$P$20))-SUM($P534:U534)</f>
        <v>#VALUE!</v>
      </c>
      <c r="W534" s="446" t="e">
        <f>IF(OR($B534="",MIN(W$38,$D$19)&lt;MAX($P$34*($B534+IF($R$17="Distrato",$I$38-1,0)),IF(AND($L$37=0,$P$34=0),"",$L$37-1),IF($R$17="Distrato",$E534,0))),0,YEARFRAC(MAX($P$34*($B534+IF($R$17="Distrato",$I$38-1,0)),IF(AND($L$37=0,$P$34=0),"",$L$37-1),IF($R$17="Distrato",$E534,0)),MIN(W$38,$D$19),$P$20))-SUM($P534:V534)</f>
        <v>#VALUE!</v>
      </c>
      <c r="X534" s="446" t="e">
        <f>IF(OR($B534="",MIN(X$38,$D$19)&lt;MAX($P$34*($B534+IF($R$17="Distrato",$I$38-1,0)),IF(AND($L$37=0,$P$34=0),"",$L$37-1),IF($R$17="Distrato",$E534,0))),0,YEARFRAC(MAX($P$34*($B534+IF($R$17="Distrato",$I$38-1,0)),IF(AND($L$37=0,$P$34=0),"",$L$37-1),IF($R$17="Distrato",$E534,0)),MIN(X$38,$D$19),$P$20))-SUM($P534:W534)</f>
        <v>#VALUE!</v>
      </c>
      <c r="Y534" s="446" t="e">
        <f>IF(OR($B534="",MIN(Y$38,$D$19)&lt;MAX($P$34*($B534+IF($R$17="Distrato",$I$38-1,0)),IF(AND($L$37=0,$P$34=0),"",$L$37-1),IF($R$17="Distrato",$E534,0))),0,YEARFRAC(MAX($P$34*($B534+IF($R$17="Distrato",$I$38-1,0)),IF(AND($L$37=0,$P$34=0),"",$L$37-1),IF($R$17="Distrato",$E534,0)),MIN(Y$38,$D$19),$P$20))-SUM($P534:X534)</f>
        <v>#VALUE!</v>
      </c>
      <c r="Z534" s="446" t="e">
        <f>IF(OR($B534="",MIN(Z$38,$D$19)&lt;MAX($P$34*($B534+IF($R$17="Distrato",$I$38-1,0)),IF(AND($L$37=0,$P$34=0),"",$L$37-1),IF($R$17="Distrato",$E534,0))),0,YEARFRAC(MAX($P$34*($B534+IF($R$17="Distrato",$I$38-1,0)),IF(AND($L$37=0,$P$34=0),"",$L$37-1),IF($R$17="Distrato",$E534,0)),MIN(Z$38,$D$19),$P$20))-SUM($P534:Y534)</f>
        <v>#VALUE!</v>
      </c>
      <c r="AA534" s="446" t="e">
        <f>IF(OR($B534="",MIN(AA$38,$D$19)&lt;MAX($P$34*($B534+IF($R$17="Distrato",$I$38-1,0)),IF(AND($L$37=0,$P$34=0),"",$L$37-1),IF($R$17="Distrato",$E534,0))),0,YEARFRAC(MAX($P$34*($B534+IF($R$17="Distrato",$I$38-1,0)),IF(AND($L$37=0,$P$34=0),"",$L$37-1),IF($R$17="Distrato",$E534,0)),MIN(AA$38,$D$19),$P$20))-SUM($P534:Z534)</f>
        <v>#VALUE!</v>
      </c>
      <c r="AB534" s="446" t="e">
        <f>IF(OR($B534="",MIN(AB$38,$D$19)&lt;MAX($P$34*($B534+IF($R$17="Distrato",$I$38-1,0)),IF(AND($L$37=0,$P$34=0),"",$L$37-1),IF($R$17="Distrato",$E534,0))),0,YEARFRAC(MAX($P$34*($B534+IF($R$17="Distrato",$I$38-1,0)),IF(AND($L$37=0,$P$34=0),"",$L$37-1),IF($R$17="Distrato",$E534,0)),MIN(AB$38,$D$19),$P$20))-SUM($P534:AA534)</f>
        <v>#VALUE!</v>
      </c>
      <c r="AC534" s="446" t="e">
        <f>IF(OR($B534="",MIN(AC$38,$D$19)&lt;MAX($P$34*($B534+IF($R$17="Distrato",$I$38-1,0)),IF(AND($L$37=0,$P$34=0),"",$L$37-1),IF($R$17="Distrato",$E534,0))),0,YEARFRAC(MAX($P$34*($B534+IF($R$17="Distrato",$I$38-1,0)),IF(AND($L$37=0,$P$34=0),"",$L$37-1),IF($R$17="Distrato",$E534,0)),MIN(AC$38,$D$19),$P$20))-SUM($P534:AB534)</f>
        <v>#VALUE!</v>
      </c>
      <c r="AD534" s="446" t="e">
        <f>IF(OR($B534="",MIN(AD$38,$D$19)&lt;MAX($P$34*($B534+IF($R$17="Distrato",$I$38-1,0)),IF(AND($L$37=0,$P$34=0),"",$L$37-1),IF($R$17="Distrato",$E534,0))),0,YEARFRAC(MAX($P$34*($B534+IF($R$17="Distrato",$I$38-1,0)),IF(AND($L$37=0,$P$34=0),"",$L$37-1),IF($R$17="Distrato",$E534,0)),MIN(AD$38,$D$19),$P$20))-SUM($P534:AC534)</f>
        <v>#VALUE!</v>
      </c>
      <c r="AE534" s="446" t="e">
        <f>IF(OR($B534="",MIN(AE$38,$D$19)&lt;MAX($P$34*($B534+IF($R$17="Distrato",$I$38-1,0)),IF(AND($L$37=0,$P$34=0),"",$L$37-1),IF($R$17="Distrato",$E534,0))),0,YEARFRAC(MAX($P$34*($B534+IF($R$17="Distrato",$I$38-1,0)),IF(AND($L$37=0,$P$34=0),"",$L$37-1),IF($R$17="Distrato",$E534,0)),MIN(AE$38,$D$19),$P$20))-SUM($P534:AD534)</f>
        <v>#VALUE!</v>
      </c>
      <c r="AF534" s="446" t="e">
        <f>IF(OR($B534="",MIN(AF$38,$D$19)&lt;MAX($P$34*($B534+IF($R$17="Distrato",$I$38-1,0)),IF(AND($L$37=0,$P$34=0),"",$L$37-1),IF($R$17="Distrato",$E534,0))),0,YEARFRAC(MAX($P$34*($B534+IF($R$17="Distrato",$I$38-1,0)),IF(AND($L$37=0,$P$34=0),"",$L$37-1),IF($R$17="Distrato",$E534,0)),MIN(AF$38,$D$19),$P$20))-SUM($P534:AE534)</f>
        <v>#VALUE!</v>
      </c>
      <c r="AG534" s="446" t="e">
        <f>IF(OR($B534="",MIN(AG$38,$D$19)&lt;MAX($P$34*($B534+IF($R$17="Distrato",$I$38-1,0)),IF(AND($L$37=0,$P$34=0),"",$L$37-1),IF($R$17="Distrato",$E534,0))),0,YEARFRAC(MAX($P$34*($B534+IF($R$17="Distrato",$I$38-1,0)),IF(AND($L$37=0,$P$34=0),"",$L$37-1),IF($R$17="Distrato",$E534,0)),MIN(AG$38,$D$19),$P$20))-SUM($P534:AF534)</f>
        <v>#VALUE!</v>
      </c>
      <c r="AH534" s="446" t="e">
        <f>IF(OR($B534="",MIN(AH$38,$D$19)&lt;MAX($P$34*($B534+IF($R$17="Distrato",$I$38-1,0)),IF(AND($L$37=0,$P$34=0),"",$L$37-1),IF($R$17="Distrato",$E534,0))),0,YEARFRAC(MAX($P$34*($B534+IF($R$17="Distrato",$I$38-1,0)),IF(AND($L$37=0,$P$34=0),"",$L$37-1),IF($R$17="Distrato",$E534,0)),MIN(AH$38,$D$19),$P$20))-SUM($P534:AG534)</f>
        <v>#VALUE!</v>
      </c>
      <c r="AI534" s="446" t="e">
        <f>IF(OR($B534="",MIN(AI$38,$D$19)&lt;MAX($P$34*($B534+IF($R$17="Distrato",$I$38-1,0)),IF(AND($L$37=0,$P$34=0),"",$L$37-1),IF($R$17="Distrato",$E534,0))),0,YEARFRAC(MAX($P$34*($B534+IF($R$17="Distrato",$I$38-1,0)),IF(AND($L$37=0,$P$34=0),"",$L$37-1),IF($R$17="Distrato",$E534,0)),MIN(AI$38,$D$19),$P$20))-SUM($P534:AH534)</f>
        <v>#VALUE!</v>
      </c>
      <c r="AJ534" s="446" t="e">
        <f>IF(OR($B534="",MIN(AJ$38,$D$19)&lt;MAX($P$34*($B534+IF($R$17="Distrato",$I$38-1,0)),IF(AND($L$37=0,$P$34=0),"",$L$37-1),IF($R$17="Distrato",$E534,0))),0,YEARFRAC(MAX($P$34*($B534+IF($R$17="Distrato",$I$38-1,0)),IF(AND($L$37=0,$P$34=0),"",$L$37-1),IF($R$17="Distrato",$E534,0)),MIN(AJ$38,$D$19),$P$20))-SUM($P534:AI534)</f>
        <v>#VALUE!</v>
      </c>
      <c r="AK534" s="446" t="e">
        <f>IF(OR($B534="",MIN(AK$38,$D$19)&lt;MAX($P$34*($B534+IF($R$17="Distrato",$I$38-1,0)),IF(AND($L$37=0,$P$34=0),"",$L$37-1),IF($R$17="Distrato",$E534,0))),0,YEARFRAC(MAX($P$34*($B534+IF($R$17="Distrato",$I$38-1,0)),IF(AND($L$37=0,$P$34=0),"",$L$37-1),IF($R$17="Distrato",$E534,0)),MIN(AK$38,$D$19),$P$20))-SUM($P534:AJ534)</f>
        <v>#VALUE!</v>
      </c>
      <c r="AL534" s="446" t="e">
        <f>IF(OR($B534="",MIN(AL$38,$D$19)&lt;MAX($P$34*($B534+IF($R$17="Distrato",$I$38-1,0)),IF(AND($L$37=0,$P$34=0),"",$L$37-1),IF($R$17="Distrato",$E534,0))),0,YEARFRAC(MAX($P$34*($B534+IF($R$17="Distrato",$I$38-1,0)),IF(AND($L$37=0,$P$34=0),"",$L$37-1),IF($R$17="Distrato",$E534,0)),MIN(AL$38,$D$19),$P$20))-SUM($P534:AK534)</f>
        <v>#VALUE!</v>
      </c>
      <c r="AM534" s="446" t="e">
        <f>IF(OR($B534="",MIN(AM$38,$D$19)&lt;MAX($P$34*($B534+IF($R$17="Distrato",$I$38-1,0)),IF(AND($L$37=0,$P$34=0),"",$L$37-1),IF($R$17="Distrato",$E534,0))),0,YEARFRAC(MAX($P$34*($B534+IF($R$17="Distrato",$I$38-1,0)),IF(AND($L$37=0,$P$34=0),"",$L$37-1),IF($R$17="Distrato",$E534,0)),MIN(AM$38,$D$19),$P$20))-SUM($P534:AL534)</f>
        <v>#VALUE!</v>
      </c>
      <c r="AN534" s="446" t="e">
        <f>IF(OR($B534="",MIN(AN$38,$D$19)&lt;MAX($P$34*($B534+IF($R$17="Distrato",$I$38-1,0)),IF(AND($L$37=0,$P$34=0),"",$L$37-1),IF($R$17="Distrato",$E534,0))),0,YEARFRAC(MAX($P$34*($B534+IF($R$17="Distrato",$I$38-1,0)),IF(AND($L$37=0,$P$34=0),"",$L$37-1),IF($R$17="Distrato",$E534,0)),MIN(AN$38,$D$19),$P$20))-SUM($P534:AM534)</f>
        <v>#VALUE!</v>
      </c>
      <c r="AO534" s="446" t="e">
        <f>IF(OR($B534="",MIN(AO$38,$D$19)&lt;MAX($P$34*($B534+IF($R$17="Distrato",$I$38-1,0)),IF(AND($L$37=0,$P$34=0),"",$L$37-1),IF($R$17="Distrato",$E534,0))),0,YEARFRAC(MAX($P$34*($B534+IF($R$17="Distrato",$I$38-1,0)),IF(AND($L$37=0,$P$34=0),"",$L$37-1),IF($R$17="Distrato",$E534,0)),MIN(AO$38,$D$19),$P$20))-SUM($P534:AN534)</f>
        <v>#VALUE!</v>
      </c>
      <c r="AP534" s="446" t="e">
        <f>IF(OR($B534="",MIN(AP$38,$D$19)&lt;MAX($P$34*($B534+IF($R$17="Distrato",$I$38-1,0)),IF(AND($L$37=0,$P$34=0),"",$L$37-1),IF($R$17="Distrato",$E534,0))),0,YEARFRAC(MAX($P$34*($B534+IF($R$17="Distrato",$I$38-1,0)),IF(AND($L$37=0,$P$34=0),"",$L$37-1),IF($R$17="Distrato",$E534,0)),MIN(AP$38,$D$19),$P$20))-SUM($P534:AO534)</f>
        <v>#VALUE!</v>
      </c>
      <c r="AQ534" s="446" t="e">
        <f>IF(OR($B534="",MIN(AQ$38,$D$19)&lt;MAX($P$34*($B534+IF($R$17="Distrato",$I$38-1,0)),IF(AND($L$37=0,$P$34=0),"",$L$37-1),IF($R$17="Distrato",$E534,0))),0,YEARFRAC(MAX($P$34*($B534+IF($R$17="Distrato",$I$38-1,0)),IF(AND($L$37=0,$P$34=0),"",$L$37-1),IF($R$17="Distrato",$E534,0)),MIN(AQ$38,$D$19),$P$20))-SUM($P534:AP534)</f>
        <v>#VALUE!</v>
      </c>
      <c r="AR534" s="446" t="e">
        <f>IF(OR($B534="",MIN(AR$38,$D$19)&lt;MAX($P$34*($B534+IF($R$17="Distrato",$I$38-1,0)),IF(AND($L$37=0,$P$34=0),"",$L$37-1),IF($R$17="Distrato",$E534,0))),0,YEARFRAC(MAX($P$34*($B534+IF($R$17="Distrato",$I$38-1,0)),IF(AND($L$37=0,$P$34=0),"",$L$37-1),IF($R$17="Distrato",$E534,0)),MIN(AR$38,$D$19),$P$20))-SUM($P534:AQ534)</f>
        <v>#VALUE!</v>
      </c>
      <c r="AS534" s="446" t="e">
        <f>IF(OR($B534="",MIN(AS$38,$D$19)&lt;MAX($P$34*($B534+IF($R$17="Distrato",$I$38-1,0)),IF(AND($L$37=0,$P$34=0),"",$L$37-1),IF($R$17="Distrato",$E534,0))),0,YEARFRAC(MAX($P$34*($B534+IF($R$17="Distrato",$I$38-1,0)),IF(AND($L$37=0,$P$34=0),"",$L$37-1),IF($R$17="Distrato",$E534,0)),MIN(AS$38,$D$19),$P$20))-SUM($P534:AR534)</f>
        <v>#VALUE!</v>
      </c>
      <c r="AT534" s="446" t="e">
        <f>IF(OR($B534="",MIN(AT$38,$D$19)&lt;MAX($P$34*($B534+IF($R$17="Distrato",$I$38-1,0)),IF(AND($L$37=0,$P$34=0),"",$L$37-1),IF($R$17="Distrato",$E534,0))),0,YEARFRAC(MAX($P$34*($B534+IF($R$17="Distrato",$I$38-1,0)),IF(AND($L$37=0,$P$34=0),"",$L$37-1),IF($R$17="Distrato",$E534,0)),MIN(AT$38,$D$19),$P$20))-SUM($P534:AS534)</f>
        <v>#VALUE!</v>
      </c>
      <c r="AU534" s="446" t="e">
        <f>IF(OR($B534="",MIN(AU$38,$D$19)&lt;MAX($P$34*($B534+IF($R$17="Distrato",$I$38-1,0)),IF(AND($L$37=0,$P$34=0),"",$L$37-1),IF($R$17="Distrato",$E534,0))),0,YEARFRAC(MAX($P$34*($B534+IF($R$17="Distrato",$I$38-1,0)),IF(AND($L$37=0,$P$34=0),"",$L$37-1),IF($R$17="Distrato",$E534,0)),MIN(AU$38,$D$19),$P$20))-SUM($P534:AT534)</f>
        <v>#VALUE!</v>
      </c>
      <c r="AV534" s="446" t="e">
        <f>IF(OR($B534="",MIN(AV$38,$D$19)&lt;MAX($P$34*($B534+IF($R$17="Distrato",$I$38-1,0)),IF(AND($L$37=0,$P$34=0),"",$L$37-1),IF($R$17="Distrato",$E534,0))),0,YEARFRAC(MAX($P$34*($B534+IF($R$17="Distrato",$I$38-1,0)),IF(AND($L$37=0,$P$34=0),"",$L$37-1),IF($R$17="Distrato",$E534,0)),MIN(AV$38,$D$19),$P$20))-SUM($P534:AU534)</f>
        <v>#VALUE!</v>
      </c>
      <c r="AW534" s="446" t="e">
        <f>IF(OR($B534="",MIN(AW$38,$D$19)&lt;MAX($P$34*($B534+IF($R$17="Distrato",$I$38-1,0)),IF(AND($L$37=0,$P$34=0),"",$L$37-1),IF($R$17="Distrato",$E534,0))),0,YEARFRAC(MAX($P$34*($B534+IF($R$17="Distrato",$I$38-1,0)),IF(AND($L$37=0,$P$34=0),"",$L$37-1),IF($R$17="Distrato",$E534,0)),MIN(AW$38,$D$19),$P$20))-SUM($P534:AV534)</f>
        <v>#VALUE!</v>
      </c>
      <c r="AX534" s="446" t="e">
        <f>IF(OR($B534="",MIN(AX$38,$D$19)&lt;MAX($P$34*($B534+IF($R$17="Distrato",$I$38-1,0)),IF(AND($L$37=0,$P$34=0),"",$L$37-1),IF($R$17="Distrato",$E534,0))),0,YEARFRAC(MAX($P$34*($B534+IF($R$17="Distrato",$I$38-1,0)),IF(AND($L$37=0,$P$34=0),"",$L$37-1),IF($R$17="Distrato",$E534,0)),MIN(AX$38,$D$19),$P$20))-SUM($P534:AW534)</f>
        <v>#VALUE!</v>
      </c>
      <c r="AY534" s="446" t="e">
        <f>IF(OR($B534="",MIN(AY$38,$D$19)&lt;MAX($P$34*($B534+IF($R$17="Distrato",$I$38-1,0)),IF(AND($L$37=0,$P$34=0),"",$L$37-1),IF($R$17="Distrato",$E534,0))),0,YEARFRAC(MAX($P$34*($B534+IF($R$17="Distrato",$I$38-1,0)),IF(AND($L$37=0,$P$34=0),"",$L$37-1),IF($R$17="Distrato",$E534,0)),MIN(AY$38,$D$19),$P$20))-SUM($P534:AX534)</f>
        <v>#VALUE!</v>
      </c>
      <c r="AZ534" s="446" t="e">
        <f>IF(OR($B534="",MIN(AZ$38,$D$19)&lt;MAX($P$34*($B534+IF($R$17="Distrato",$I$38-1,0)),IF(AND($L$37=0,$P$34=0),"",$L$37-1),IF($R$17="Distrato",$E534,0))),0,YEARFRAC(MAX($P$34*($B534+IF($R$17="Distrato",$I$38-1,0)),IF(AND($L$37=0,$P$34=0),"",$L$37-1),IF($R$17="Distrato",$E534,0)),MIN(AZ$38,$D$19),$P$20))-SUM($P534:AY534)</f>
        <v>#VALUE!</v>
      </c>
      <c r="BA534" s="446" t="e">
        <f>IF(OR($B534="",MIN(BA$38,$D$19)&lt;MAX($P$34*($B534+IF($R$17="Distrato",$I$38-1,0)),IF(AND($L$37=0,$P$34=0),"",$L$37-1),IF($R$17="Distrato",$E534,0))),0,YEARFRAC(MAX($P$34*($B534+IF($R$17="Distrato",$I$38-1,0)),IF(AND($L$37=0,$P$34=0),"",$L$37-1),IF($R$17="Distrato",$E534,0)),MIN(BA$38,$D$19),$P$20))-SUM($P534:AZ534)</f>
        <v>#VALUE!</v>
      </c>
      <c r="BB534" s="447"/>
      <c r="BF534" s="446">
        <f t="shared" si="87"/>
        <v>0</v>
      </c>
      <c r="BG534" s="446">
        <f>IF($E534=0,0,IF(MIN(BG$38,$E534)&lt;MAX($P$34*($B534+$I$38-1),IF(AND($L$37=0,$P$34=0),"",$L$37-1)),0,YEARFRAC(MAX($P$34*($B534+$I$38-1),IF(AND($L$37=0,$P$34=0),"",$L$37-1)),MIN(BG$38,$E534),$P$20))-SUM($BF534:BF534))</f>
        <v>0</v>
      </c>
      <c r="BH534" s="446">
        <f>IF($E534=0,0,IF(MIN(BH$38,$E534)&lt;MAX($P$34*($B534+$I$38-1),IF(AND($L$37=0,$P$34=0),"",$L$37-1)),0,YEARFRAC(MAX($P$34*($B534+$I$38-1),IF(AND($L$37=0,$P$34=0),"",$L$37-1)),MIN(BH$38,$E534),$P$20))-SUM($BF534:BG534))</f>
        <v>0</v>
      </c>
      <c r="BI534" s="446">
        <f>IF($E534=0,0,IF(MIN(BI$38,$E534)&lt;MAX($P$34*($B534+$I$38-1),IF(AND($L$37=0,$P$34=0),"",$L$37-1)),0,YEARFRAC(MAX($P$34*($B534+$I$38-1),IF(AND($L$37=0,$P$34=0),"",$L$37-1)),MIN(BI$38,$E534),$P$20))-SUM($BF534:BH534))</f>
        <v>0</v>
      </c>
      <c r="BJ534" s="446">
        <f>IF($E534=0,0,IF(MIN(BJ$38,$E534)&lt;MAX($P$34*($B534+$I$38-1),IF(AND($L$37=0,$P$34=0),"",$L$37-1)),0,YEARFRAC(MAX($P$34*($B534+$I$38-1),IF(AND($L$37=0,$P$34=0),"",$L$37-1)),MIN(BJ$38,$E534),$P$20))-SUM($BF534:BI534))</f>
        <v>0</v>
      </c>
      <c r="BK534" s="446">
        <f>IF($E534=0,0,IF(MIN(BK$38,$E534)&lt;MAX($P$34*($B534+$I$38-1),IF(AND($L$37=0,$P$34=0),"",$L$37-1)),0,YEARFRAC(MAX($P$34*($B534+$I$38-1),IF(AND($L$37=0,$P$34=0),"",$L$37-1)),MIN(BK$38,$E534),$P$20))-SUM($BF534:BJ534))</f>
        <v>0</v>
      </c>
      <c r="BL534" s="446">
        <f>IF($E534=0,0,IF(MIN(BL$38,$E534)&lt;MAX($P$34*($B534+$I$38-1),IF(AND($L$37=0,$P$34=0),"",$L$37-1)),0,YEARFRAC(MAX($P$34*($B534+$I$38-1),IF(AND($L$37=0,$P$34=0),"",$L$37-1)),MIN(BL$38,$E534),$P$20))-SUM($BF534:BK534))</f>
        <v>0</v>
      </c>
      <c r="BM534" s="446">
        <f>IF($E534=0,0,IF(MIN(BM$38,$E534)&lt;MAX($P$34*($B534+$I$38-1),IF(AND($L$37=0,$P$34=0),"",$L$37-1)),0,YEARFRAC(MAX($P$34*($B534+$I$38-1),IF(AND($L$37=0,$P$34=0),"",$L$37-1)),MIN(BM$38,$E534),$P$20))-SUM($BF534:BL534))</f>
        <v>0</v>
      </c>
      <c r="BN534" s="446">
        <f>IF($E534=0,0,IF(MIN(BN$38,$E534)&lt;MAX($P$34*($B534+$I$38-1),IF(AND($L$37=0,$P$34=0),"",$L$37-1)),0,YEARFRAC(MAX($P$34*($B534+$I$38-1),IF(AND($L$37=0,$P$34=0),"",$L$37-1)),MIN(BN$38,$E534),$P$20))-SUM($BF534:BM534))</f>
        <v>0</v>
      </c>
      <c r="BO534" s="446">
        <f>IF($E534=0,0,IF(MIN(BO$38,$E534)&lt;MAX($P$34*($B534+$I$38-1),IF(AND($L$37=0,$P$34=0),"",$L$37-1)),0,YEARFRAC(MAX($P$34*($B534+$I$38-1),IF(AND($L$37=0,$P$34=0),"",$L$37-1)),MIN(BO$38,$E534),$P$20))-SUM($BF534:BN534))</f>
        <v>0</v>
      </c>
      <c r="BP534" s="446">
        <f>IF($E534=0,0,IF(MIN(BP$38,$E534)&lt;MAX($P$34*($B534+$I$38-1),IF(AND($L$37=0,$P$34=0),"",$L$37-1)),0,YEARFRAC(MAX($P$34*($B534+$I$38-1),IF(AND($L$37=0,$P$34=0),"",$L$37-1)),MIN(BP$38,$E534),$P$20))-SUM($BF534:BO534))</f>
        <v>0</v>
      </c>
      <c r="BQ534" s="446">
        <f>IF($E534=0,0,IF(MIN(BQ$38,$E534)&lt;MAX($P$34*($B534+$I$38-1),IF(AND($L$37=0,$P$34=0),"",$L$37-1)),0,YEARFRAC(MAX($P$34*($B534+$I$38-1),IF(AND($L$37=0,$P$34=0),"",$L$37-1)),MIN(BQ$38,$E534),$P$20))-SUM($BF534:BP534))</f>
        <v>0</v>
      </c>
      <c r="BR534" s="446">
        <f>IF($E534=0,0,IF(MIN(BR$38,$E534)&lt;MAX($P$34*($B534+$I$38-1),IF(AND($L$37=0,$P$34=0),"",$L$37-1)),0,YEARFRAC(MAX($P$34*($B534+$I$38-1),IF(AND($L$37=0,$P$34=0),"",$L$37-1)),MIN(BR$38,$E534),$P$20))-SUM($BF534:BQ534))</f>
        <v>0</v>
      </c>
      <c r="BS534" s="446">
        <f>IF($E534=0,0,IF(MIN(BS$38,$E534)&lt;MAX($P$34*($B534+$I$38-1),IF(AND($L$37=0,$P$34=0),"",$L$37-1)),0,YEARFRAC(MAX($P$34*($B534+$I$38-1),IF(AND($L$37=0,$P$34=0),"",$L$37-1)),MIN(BS$38,$E534),$P$20))-SUM($BF534:BR534))</f>
        <v>0</v>
      </c>
      <c r="BT534" s="446">
        <f>IF($E534=0,0,IF(MIN(BT$38,$E534)&lt;MAX($P$34*($B534+$I$38-1),IF(AND($L$37=0,$P$34=0),"",$L$37-1)),0,YEARFRAC(MAX($P$34*($B534+$I$38-1),IF(AND($L$37=0,$P$34=0),"",$L$37-1)),MIN(BT$38,$E534),$P$20))-SUM($BF534:BS534))</f>
        <v>0</v>
      </c>
      <c r="BU534" s="446">
        <f>IF($E534=0,0,IF(MIN(BU$38,$E534)&lt;MAX($P$34*($B534+$I$38-1),IF(AND($L$37=0,$P$34=0),"",$L$37-1)),0,YEARFRAC(MAX($P$34*($B534+$I$38-1),IF(AND($L$37=0,$P$34=0),"",$L$37-1)),MIN(BU$38,$E534),$P$20))-SUM($BF534:BT534))</f>
        <v>0</v>
      </c>
      <c r="BV534" s="446">
        <f>IF($E534=0,0,IF(MIN(BV$38,$E534)&lt;MAX($P$34*($B534+$I$38-1),IF(AND($L$37=0,$P$34=0),"",$L$37-1)),0,YEARFRAC(MAX($P$34*($B534+$I$38-1),IF(AND($L$37=0,$P$34=0),"",$L$37-1)),MIN(BV$38,$E534),$P$20))-SUM($BF534:BU534))</f>
        <v>0</v>
      </c>
      <c r="BW534" s="446">
        <f>IF($E534=0,0,IF(MIN(BW$38,$E534)&lt;MAX($P$34*($B534+$I$38-1),IF(AND($L$37=0,$P$34=0),"",$L$37-1)),0,YEARFRAC(MAX($P$34*($B534+$I$38-1),IF(AND($L$37=0,$P$34=0),"",$L$37-1)),MIN(BW$38,$E534),$P$20))-SUM($BF534:BV534))</f>
        <v>0</v>
      </c>
      <c r="BX534" s="446">
        <f>IF($E534=0,0,IF(MIN(BX$38,$E534)&lt;MAX($P$34*($B534+$I$38-1),IF(AND($L$37=0,$P$34=0),"",$L$37-1)),0,YEARFRAC(MAX($P$34*($B534+$I$38-1),IF(AND($L$37=0,$P$34=0),"",$L$37-1)),MIN(BX$38,$E534),$P$20))-SUM($BF534:BW534))</f>
        <v>0</v>
      </c>
      <c r="BY534" s="446">
        <f>IF($E534=0,0,IF(MIN(BY$38,$E534)&lt;MAX($P$34*($B534+$I$38-1),IF(AND($L$37=0,$P$34=0),"",$L$37-1)),0,YEARFRAC(MAX($P$34*($B534+$I$38-1),IF(AND($L$37=0,$P$34=0),"",$L$37-1)),MIN(BY$38,$E534),$P$20))-SUM($BF534:BX534))</f>
        <v>0</v>
      </c>
      <c r="BZ534" s="446">
        <f>IF($E534=0,0,IF(MIN(BZ$38,$E534)&lt;MAX($P$34*($B534+$I$38-1),IF(AND($L$37=0,$P$34=0),"",$L$37-1)),0,YEARFRAC(MAX($P$34*($B534+$I$38-1),IF(AND($L$37=0,$P$34=0),"",$L$37-1)),MIN(BZ$38,$E534),$P$20))-SUM($BF534:BY534))</f>
        <v>0</v>
      </c>
      <c r="CA534" s="446">
        <f>IF($E534=0,0,IF(MIN(CA$38,$E534)&lt;MAX($P$34*($B534+$I$38-1),IF(AND($L$37=0,$P$34=0),"",$L$37-1)),0,YEARFRAC(MAX($P$34*($B534+$I$38-1),IF(AND($L$37=0,$P$34=0),"",$L$37-1)),MIN(CA$38,$E534),$P$20))-SUM($BF534:BZ534))</f>
        <v>0</v>
      </c>
      <c r="CB534" s="446">
        <f>IF($E534=0,0,IF(MIN(CB$38,$E534)&lt;MAX($P$34*($B534+$I$38-1),IF(AND($L$37=0,$P$34=0),"",$L$37-1)),0,YEARFRAC(MAX($P$34*($B534+$I$38-1),IF(AND($L$37=0,$P$34=0),"",$L$37-1)),MIN(CB$38,$E534),$P$20))-SUM($BF534:CA534))</f>
        <v>0</v>
      </c>
      <c r="CC534" s="446">
        <f>IF($E534=0,0,IF(MIN(CC$38,$E534)&lt;MAX($P$34*($B534+$I$38-1),IF(AND($L$37=0,$P$34=0),"",$L$37-1)),0,YEARFRAC(MAX($P$34*($B534+$I$38-1),IF(AND($L$37=0,$P$34=0),"",$L$37-1)),MIN(CC$38,$E534),$P$20))-SUM($BF534:CB534))</f>
        <v>0</v>
      </c>
      <c r="CD534" s="446">
        <f>IF($E534=0,0,IF(MIN(CD$38,$E534)&lt;MAX($P$34*($B534+$I$38-1),IF(AND($L$37=0,$P$34=0),"",$L$37-1)),0,YEARFRAC(MAX($P$34*($B534+$I$38-1),IF(AND($L$37=0,$P$34=0),"",$L$37-1)),MIN(CD$38,$E534),$P$20))-SUM($BF534:CC534))</f>
        <v>0</v>
      </c>
      <c r="CE534" s="446">
        <f>IF($E534=0,0,IF(MIN(CE$38,$E534)&lt;MAX($P$34*($B534+$I$38-1),IF(AND($L$37=0,$P$34=0),"",$L$37-1)),0,YEARFRAC(MAX($P$34*($B534+$I$38-1),IF(AND($L$37=0,$P$34=0),"",$L$37-1)),MIN(CE$38,$E534),$P$20))-SUM($BF534:CD534))</f>
        <v>0</v>
      </c>
      <c r="CF534" s="446">
        <f>IF($E534=0,0,IF(MIN(CF$38,$E534)&lt;MAX($P$34*($B534+$I$38-1),IF(AND($L$37=0,$P$34=0),"",$L$37-1)),0,YEARFRAC(MAX($P$34*($B534+$I$38-1),IF(AND($L$37=0,$P$34=0),"",$L$37-1)),MIN(CF$38,$E534),$P$20))-SUM($BF534:CE534))</f>
        <v>0</v>
      </c>
      <c r="CG534" s="446">
        <f>IF($E534=0,0,IF(MIN(CG$38,$E534)&lt;MAX($P$34*($B534+$I$38-1),IF(AND($L$37=0,$P$34=0),"",$L$37-1)),0,YEARFRAC(MAX($P$34*($B534+$I$38-1),IF(AND($L$37=0,$P$34=0),"",$L$37-1)),MIN(CG$38,$E534),$P$20))-SUM($BF534:CF534))</f>
        <v>0</v>
      </c>
      <c r="CH534" s="446">
        <f>IF($E534=0,0,IF(MIN(CH$38,$E534)&lt;MAX($P$34*($B534+$I$38-1),IF(AND($L$37=0,$P$34=0),"",$L$37-1)),0,YEARFRAC(MAX($P$34*($B534+$I$38-1),IF(AND($L$37=0,$P$34=0),"",$L$37-1)),MIN(CH$38,$E534),$P$20))-SUM($BF534:CG534))</f>
        <v>0</v>
      </c>
      <c r="CI534" s="446">
        <f>IF($E534=0,0,IF(MIN(CI$38,$E534)&lt;MAX($P$34*($B534+$I$38-1),IF(AND($L$37=0,$P$34=0),"",$L$37-1)),0,YEARFRAC(MAX($P$34*($B534+$I$38-1),IF(AND($L$37=0,$P$34=0),"",$L$37-1)),MIN(CI$38,$E534),$P$20))-SUM($BF534:CH534))</f>
        <v>0</v>
      </c>
      <c r="CJ534" s="446">
        <f>IF($E534=0,0,IF(MIN(CJ$38,$E534)&lt;MAX($P$34*($B534+$I$38-1),IF(AND($L$37=0,$P$34=0),"",$L$37-1)),0,YEARFRAC(MAX($P$34*($B534+$I$38-1),IF(AND($L$37=0,$P$34=0),"",$L$37-1)),MIN(CJ$38,$E534),$P$20))-SUM($BF534:CI534))</f>
        <v>0</v>
      </c>
      <c r="CK534" s="446">
        <f>IF($E534=0,0,IF(MIN(CK$38,$E534)&lt;MAX($P$34*($B534+$I$38-1),IF(AND($L$37=0,$P$34=0),"",$L$37-1)),0,YEARFRAC(MAX($P$34*($B534+$I$38-1),IF(AND($L$37=0,$P$34=0),"",$L$37-1)),MIN(CK$38,$E534),$P$20))-SUM($BF534:CJ534))</f>
        <v>0</v>
      </c>
      <c r="CL534" s="446">
        <f>IF($E534=0,0,IF(MIN(CL$38,$E534)&lt;MAX($P$34*($B534+$I$38-1),IF(AND($L$37=0,$P$34=0),"",$L$37-1)),0,YEARFRAC(MAX($P$34*($B534+$I$38-1),IF(AND($L$37=0,$P$34=0),"",$L$37-1)),MIN(CL$38,$E534),$P$20))-SUM($BF534:CK534))</f>
        <v>0</v>
      </c>
      <c r="CM534" s="446">
        <f>IF($E534=0,0,IF(MIN(CM$38,$E534)&lt;MAX($P$34*($B534+$I$38-1),IF(AND($L$37=0,$P$34=0),"",$L$37-1)),0,YEARFRAC(MAX($P$34*($B534+$I$38-1),IF(AND($L$37=0,$P$34=0),"",$L$37-1)),MIN(CM$38,$E534),$P$20))-SUM($BF534:CL534))</f>
        <v>0</v>
      </c>
      <c r="CN534" s="446">
        <f>IF($E534=0,0,IF(MIN(CN$38,$E534)&lt;MAX($P$34*($B534+$I$38-1),IF(AND($L$37=0,$P$34=0),"",$L$37-1)),0,YEARFRAC(MAX($P$34*($B534+$I$38-1),IF(AND($L$37=0,$P$34=0),"",$L$37-1)),MIN(CN$38,$E534),$P$20))-SUM($BF534:CM534))</f>
        <v>0</v>
      </c>
      <c r="CO534" s="446">
        <f>IF($E534=0,0,IF(MIN(CO$38,$E534)&lt;MAX($P$34*($B534+$I$38-1),IF(AND($L$37=0,$P$34=0),"",$L$37-1)),0,YEARFRAC(MAX($P$34*($B534+$I$38-1),IF(AND($L$37=0,$P$34=0),"",$L$37-1)),MIN(CO$38,$E534),$P$20))-SUM($BF534:CN534))</f>
        <v>0</v>
      </c>
      <c r="CP534" s="446">
        <f>IF($E534=0,0,IF(MIN(CP$38,$E534)&lt;MAX($P$34*($B534+$I$38-1),IF(AND($L$37=0,$P$34=0),"",$L$37-1)),0,YEARFRAC(MAX($P$34*($B534+$I$38-1),IF(AND($L$37=0,$P$34=0),"",$L$37-1)),MIN(CP$38,$E534),$P$20))-SUM($BF534:CO534))</f>
        <v>0</v>
      </c>
      <c r="CQ534" s="446">
        <f>IF($E534=0,0,IF(MIN(CQ$38,$E534)&lt;MAX($P$34*($B534+$I$38-1),IF(AND($L$37=0,$P$34=0),"",$L$37-1)),0,YEARFRAC(MAX($P$34*($B534+$I$38-1),IF(AND($L$37=0,$P$34=0),"",$L$37-1)),MIN(CQ$38,$E534),$P$20))-SUM($BF534:CP534))</f>
        <v>0</v>
      </c>
    </row>
    <row r="535" spans="1:95" s="446" customFormat="1" ht="11.25" hidden="1" customHeight="1" x14ac:dyDescent="0.2">
      <c r="A535" s="152"/>
      <c r="B535" s="153" t="str">
        <f t="shared" si="92"/>
        <v/>
      </c>
      <c r="C535" s="29" t="str">
        <f>IF(B535="","",IF($L$35="SELIC - TRIBUTOS",VLOOKUP(DATE(YEAR($D$19),MONTH($D$19)-1,1),ÍNDICES!$A:$DE,HLOOKUP($BL$25,ÍNDICES!$B$3:$T$4,2)+11)-VLOOKUP(B535,ÍNDICES!$A:$DE,HLOOKUP($BL$25,ÍNDICES!$B$3:$T$4,2)+11)+1%,IF(C$38=$W$26,$J$35,IF(ISERROR(IF(B535&gt;$D$19,1,VLOOKUP(DATE(YEAR(B535),MONTH(B535)+IF($C$35=$S$23,1,0),1),ÍNDICES!$A:$DE,$Z$35+1))),"",IF(B535&gt;$D$19,1,VLOOKUP(DATE(YEAR(B535),MONTH(B535)+IF($C$35=$S$23,1,0),1),ÍNDICES!$A:$DE,$Z$35+1))))))</f>
        <v/>
      </c>
      <c r="D535" s="154" t="str">
        <f>IF(ISERROR(IF(OR($D$38=$Y$27,$B535=""),"",VLOOKUP(B535,ÍNDICES!A:DE,AF$35+1))),"",IF(OR($D$38=$Y$27,$B535=""),"",VLOOKUP(B535,ÍNDICES!A:DE,AF$35+1)))</f>
        <v/>
      </c>
      <c r="E535" s="153"/>
      <c r="F535" s="29" t="str">
        <f>IF(E535="","",IF($L$35="SELIC - TRIBUTOS",VLOOKUP(DATE(YEAR($D$19),MONTH($D$19)-1,1),ÍNDICES!$A:$DE,HLOOKUP($BL$25,ÍNDICES!$B$3:$T$4,2)+11)-VLOOKUP(E535,ÍNDICES!$A:$DE,HLOOKUP($BL$25,ÍNDICES!$B$3:$T$4,2)+11)+1%,IF(F$38=$W$26,$J$35,IF(ISERROR(IF(E535&gt;$D$19,1,VLOOKUP(DATE(YEAR(E535),MONTH(E535)+IF($C$35=$S$23,1,0),1),ÍNDICES!$A:$DE,$Z$35+1))),"",IF(E535&gt;$D$19,1,VLOOKUP(DATE(YEAR(E535),MONTH(E535)+IF($C$35=$S$23,1,0),1),ÍNDICES!$A:$DE,$Z$35+1))))))</f>
        <v/>
      </c>
      <c r="G535" s="155"/>
      <c r="H535" s="156" t="str">
        <f t="shared" si="88"/>
        <v/>
      </c>
      <c r="I535" s="29" t="str">
        <f t="shared" si="82"/>
        <v/>
      </c>
      <c r="J535" s="5">
        <f t="shared" si="83"/>
        <v>0</v>
      </c>
      <c r="K535" s="20">
        <f t="shared" ca="1" si="84"/>
        <v>0</v>
      </c>
      <c r="L535" s="5">
        <f t="shared" ca="1" si="85"/>
        <v>0</v>
      </c>
      <c r="M535" s="64">
        <f t="shared" si="89"/>
        <v>0</v>
      </c>
      <c r="N535" s="61">
        <f t="shared" ca="1" si="90"/>
        <v>0</v>
      </c>
      <c r="O535" s="5">
        <f t="shared" ca="1" si="91"/>
        <v>0</v>
      </c>
      <c r="P535" s="446" t="e">
        <f t="shared" si="86"/>
        <v>#VALUE!</v>
      </c>
      <c r="Q535" s="446" t="e">
        <f>IF(OR($B535="",MIN(Q$38,$D$19)&lt;MAX($P$34*($B535+IF($R$17="Distrato",$I$38-1,0)),IF(AND($L$37=0,$P$34=0),"",$L$37-1),IF($R$17="Distrato",$E535,0))),0,YEARFRAC(MAX($P$34*($B535+IF($R$17="Distrato",$I$38-1,0)),IF(AND($L$37=0,$P$34=0),"",$L$37-1),IF($R$17="Distrato",$E535,0)),MIN(Q$38,$D$19),$P$20))-SUM($P535:P535)</f>
        <v>#VALUE!</v>
      </c>
      <c r="R535" s="446" t="e">
        <f>IF(OR($B535="",MIN(R$38,$D$19)&lt;MAX($P$34*($B535+IF($R$17="Distrato",$I$38-1,0)),IF(AND($L$37=0,$P$34=0),"",$L$37-1),IF($R$17="Distrato",$E535,0))),0,YEARFRAC(MAX($P$34*($B535+IF($R$17="Distrato",$I$38-1,0)),IF(AND($L$37=0,$P$34=0),"",$L$37-1),IF($R$17="Distrato",$E535,0)),MIN(R$38,$D$19),$P$20))-SUM($P535:Q535)</f>
        <v>#VALUE!</v>
      </c>
      <c r="S535" s="446" t="e">
        <f>IF(OR($B535="",MIN(S$38,$D$19)&lt;MAX($P$34*($B535+IF($R$17="Distrato",$I$38-1,0)),IF(AND($L$37=0,$P$34=0),"",$L$37-1),IF($R$17="Distrato",$E535,0))),0,YEARFRAC(MAX($P$34*($B535+IF($R$17="Distrato",$I$38-1,0)),IF(AND($L$37=0,$P$34=0),"",$L$37-1),IF($R$17="Distrato",$E535,0)),MIN(S$38,$D$19),$P$20))-SUM($P535:R535)</f>
        <v>#VALUE!</v>
      </c>
      <c r="T535" s="446" t="e">
        <f>IF(OR($B535="",MIN(T$38,$D$19)&lt;MAX($P$34*($B535+IF($R$17="Distrato",$I$38-1,0)),IF(AND($L$37=0,$P$34=0),"",$L$37-1),IF($R$17="Distrato",$E535,0))),0,YEARFRAC(MAX($P$34*($B535+IF($R$17="Distrato",$I$38-1,0)),IF(AND($L$37=0,$P$34=0),"",$L$37-1),IF($R$17="Distrato",$E535,0)),MIN(T$38,$D$19),$P$20))-SUM($P535:S535)</f>
        <v>#VALUE!</v>
      </c>
      <c r="U535" s="446" t="e">
        <f>IF(OR($B535="",MIN(U$38,$D$19)&lt;MAX($P$34*($B535+IF($R$17="Distrato",$I$38-1,0)),IF(AND($L$37=0,$P$34=0),"",$L$37-1),IF($R$17="Distrato",$E535,0))),0,YEARFRAC(MAX($P$34*($B535+IF($R$17="Distrato",$I$38-1,0)),IF(AND($L$37=0,$P$34=0),"",$L$37-1),IF($R$17="Distrato",$E535,0)),MIN(U$38,$D$19),$P$20))-SUM($P535:T535)</f>
        <v>#VALUE!</v>
      </c>
      <c r="V535" s="446" t="e">
        <f>IF(OR($B535="",MIN(V$38,$D$19)&lt;MAX($P$34*($B535+IF($R$17="Distrato",$I$38-1,0)),IF(AND($L$37=0,$P$34=0),"",$L$37-1),IF($R$17="Distrato",$E535,0))),0,YEARFRAC(MAX($P$34*($B535+IF($R$17="Distrato",$I$38-1,0)),IF(AND($L$37=0,$P$34=0),"",$L$37-1),IF($R$17="Distrato",$E535,0)),MIN(V$38,$D$19),$P$20))-SUM($P535:U535)</f>
        <v>#VALUE!</v>
      </c>
      <c r="W535" s="446" t="e">
        <f>IF(OR($B535="",MIN(W$38,$D$19)&lt;MAX($P$34*($B535+IF($R$17="Distrato",$I$38-1,0)),IF(AND($L$37=0,$P$34=0),"",$L$37-1),IF($R$17="Distrato",$E535,0))),0,YEARFRAC(MAX($P$34*($B535+IF($R$17="Distrato",$I$38-1,0)),IF(AND($L$37=0,$P$34=0),"",$L$37-1),IF($R$17="Distrato",$E535,0)),MIN(W$38,$D$19),$P$20))-SUM($P535:V535)</f>
        <v>#VALUE!</v>
      </c>
      <c r="X535" s="446" t="e">
        <f>IF(OR($B535="",MIN(X$38,$D$19)&lt;MAX($P$34*($B535+IF($R$17="Distrato",$I$38-1,0)),IF(AND($L$37=0,$P$34=0),"",$L$37-1),IF($R$17="Distrato",$E535,0))),0,YEARFRAC(MAX($P$34*($B535+IF($R$17="Distrato",$I$38-1,0)),IF(AND($L$37=0,$P$34=0),"",$L$37-1),IF($R$17="Distrato",$E535,0)),MIN(X$38,$D$19),$P$20))-SUM($P535:W535)</f>
        <v>#VALUE!</v>
      </c>
      <c r="Y535" s="446" t="e">
        <f>IF(OR($B535="",MIN(Y$38,$D$19)&lt;MAX($P$34*($B535+IF($R$17="Distrato",$I$38-1,0)),IF(AND($L$37=0,$P$34=0),"",$L$37-1),IF($R$17="Distrato",$E535,0))),0,YEARFRAC(MAX($P$34*($B535+IF($R$17="Distrato",$I$38-1,0)),IF(AND($L$37=0,$P$34=0),"",$L$37-1),IF($R$17="Distrato",$E535,0)),MIN(Y$38,$D$19),$P$20))-SUM($P535:X535)</f>
        <v>#VALUE!</v>
      </c>
      <c r="Z535" s="446" t="e">
        <f>IF(OR($B535="",MIN(Z$38,$D$19)&lt;MAX($P$34*($B535+IF($R$17="Distrato",$I$38-1,0)),IF(AND($L$37=0,$P$34=0),"",$L$37-1),IF($R$17="Distrato",$E535,0))),0,YEARFRAC(MAX($P$34*($B535+IF($R$17="Distrato",$I$38-1,0)),IF(AND($L$37=0,$P$34=0),"",$L$37-1),IF($R$17="Distrato",$E535,0)),MIN(Z$38,$D$19),$P$20))-SUM($P535:Y535)</f>
        <v>#VALUE!</v>
      </c>
      <c r="AA535" s="446" t="e">
        <f>IF(OR($B535="",MIN(AA$38,$D$19)&lt;MAX($P$34*($B535+IF($R$17="Distrato",$I$38-1,0)),IF(AND($L$37=0,$P$34=0),"",$L$37-1),IF($R$17="Distrato",$E535,0))),0,YEARFRAC(MAX($P$34*($B535+IF($R$17="Distrato",$I$38-1,0)),IF(AND($L$37=0,$P$34=0),"",$L$37-1),IF($R$17="Distrato",$E535,0)),MIN(AA$38,$D$19),$P$20))-SUM($P535:Z535)</f>
        <v>#VALUE!</v>
      </c>
      <c r="AB535" s="446" t="e">
        <f>IF(OR($B535="",MIN(AB$38,$D$19)&lt;MAX($P$34*($B535+IF($R$17="Distrato",$I$38-1,0)),IF(AND($L$37=0,$P$34=0),"",$L$37-1),IF($R$17="Distrato",$E535,0))),0,YEARFRAC(MAX($P$34*($B535+IF($R$17="Distrato",$I$38-1,0)),IF(AND($L$37=0,$P$34=0),"",$L$37-1),IF($R$17="Distrato",$E535,0)),MIN(AB$38,$D$19),$P$20))-SUM($P535:AA535)</f>
        <v>#VALUE!</v>
      </c>
      <c r="AC535" s="446" t="e">
        <f>IF(OR($B535="",MIN(AC$38,$D$19)&lt;MAX($P$34*($B535+IF($R$17="Distrato",$I$38-1,0)),IF(AND($L$37=0,$P$34=0),"",$L$37-1),IF($R$17="Distrato",$E535,0))),0,YEARFRAC(MAX($P$34*($B535+IF($R$17="Distrato",$I$38-1,0)),IF(AND($L$37=0,$P$34=0),"",$L$37-1),IF($R$17="Distrato",$E535,0)),MIN(AC$38,$D$19),$P$20))-SUM($P535:AB535)</f>
        <v>#VALUE!</v>
      </c>
      <c r="AD535" s="446" t="e">
        <f>IF(OR($B535="",MIN(AD$38,$D$19)&lt;MAX($P$34*($B535+IF($R$17="Distrato",$I$38-1,0)),IF(AND($L$37=0,$P$34=0),"",$L$37-1),IF($R$17="Distrato",$E535,0))),0,YEARFRAC(MAX($P$34*($B535+IF($R$17="Distrato",$I$38-1,0)),IF(AND($L$37=0,$P$34=0),"",$L$37-1),IF($R$17="Distrato",$E535,0)),MIN(AD$38,$D$19),$P$20))-SUM($P535:AC535)</f>
        <v>#VALUE!</v>
      </c>
      <c r="AE535" s="446" t="e">
        <f>IF(OR($B535="",MIN(AE$38,$D$19)&lt;MAX($P$34*($B535+IF($R$17="Distrato",$I$38-1,0)),IF(AND($L$37=0,$P$34=0),"",$L$37-1),IF($R$17="Distrato",$E535,0))),0,YEARFRAC(MAX($P$34*($B535+IF($R$17="Distrato",$I$38-1,0)),IF(AND($L$37=0,$P$34=0),"",$L$37-1),IF($R$17="Distrato",$E535,0)),MIN(AE$38,$D$19),$P$20))-SUM($P535:AD535)</f>
        <v>#VALUE!</v>
      </c>
      <c r="AF535" s="446" t="e">
        <f>IF(OR($B535="",MIN(AF$38,$D$19)&lt;MAX($P$34*($B535+IF($R$17="Distrato",$I$38-1,0)),IF(AND($L$37=0,$P$34=0),"",$L$37-1),IF($R$17="Distrato",$E535,0))),0,YEARFRAC(MAX($P$34*($B535+IF($R$17="Distrato",$I$38-1,0)),IF(AND($L$37=0,$P$34=0),"",$L$37-1),IF($R$17="Distrato",$E535,0)),MIN(AF$38,$D$19),$P$20))-SUM($P535:AE535)</f>
        <v>#VALUE!</v>
      </c>
      <c r="AG535" s="446" t="e">
        <f>IF(OR($B535="",MIN(AG$38,$D$19)&lt;MAX($P$34*($B535+IF($R$17="Distrato",$I$38-1,0)),IF(AND($L$37=0,$P$34=0),"",$L$37-1),IF($R$17="Distrato",$E535,0))),0,YEARFRAC(MAX($P$34*($B535+IF($R$17="Distrato",$I$38-1,0)),IF(AND($L$37=0,$P$34=0),"",$L$37-1),IF($R$17="Distrato",$E535,0)),MIN(AG$38,$D$19),$P$20))-SUM($P535:AF535)</f>
        <v>#VALUE!</v>
      </c>
      <c r="AH535" s="446" t="e">
        <f>IF(OR($B535="",MIN(AH$38,$D$19)&lt;MAX($P$34*($B535+IF($R$17="Distrato",$I$38-1,0)),IF(AND($L$37=0,$P$34=0),"",$L$37-1),IF($R$17="Distrato",$E535,0))),0,YEARFRAC(MAX($P$34*($B535+IF($R$17="Distrato",$I$38-1,0)),IF(AND($L$37=0,$P$34=0),"",$L$37-1),IF($R$17="Distrato",$E535,0)),MIN(AH$38,$D$19),$P$20))-SUM($P535:AG535)</f>
        <v>#VALUE!</v>
      </c>
      <c r="AI535" s="446" t="e">
        <f>IF(OR($B535="",MIN(AI$38,$D$19)&lt;MAX($P$34*($B535+IF($R$17="Distrato",$I$38-1,0)),IF(AND($L$37=0,$P$34=0),"",$L$37-1),IF($R$17="Distrato",$E535,0))),0,YEARFRAC(MAX($P$34*($B535+IF($R$17="Distrato",$I$38-1,0)),IF(AND($L$37=0,$P$34=0),"",$L$37-1),IF($R$17="Distrato",$E535,0)),MIN(AI$38,$D$19),$P$20))-SUM($P535:AH535)</f>
        <v>#VALUE!</v>
      </c>
      <c r="AJ535" s="446" t="e">
        <f>IF(OR($B535="",MIN(AJ$38,$D$19)&lt;MAX($P$34*($B535+IF($R$17="Distrato",$I$38-1,0)),IF(AND($L$37=0,$P$34=0),"",$L$37-1),IF($R$17="Distrato",$E535,0))),0,YEARFRAC(MAX($P$34*($B535+IF($R$17="Distrato",$I$38-1,0)),IF(AND($L$37=0,$P$34=0),"",$L$37-1),IF($R$17="Distrato",$E535,0)),MIN(AJ$38,$D$19),$P$20))-SUM($P535:AI535)</f>
        <v>#VALUE!</v>
      </c>
      <c r="AK535" s="446" t="e">
        <f>IF(OR($B535="",MIN(AK$38,$D$19)&lt;MAX($P$34*($B535+IF($R$17="Distrato",$I$38-1,0)),IF(AND($L$37=0,$P$34=0),"",$L$37-1),IF($R$17="Distrato",$E535,0))),0,YEARFRAC(MAX($P$34*($B535+IF($R$17="Distrato",$I$38-1,0)),IF(AND($L$37=0,$P$34=0),"",$L$37-1),IF($R$17="Distrato",$E535,0)),MIN(AK$38,$D$19),$P$20))-SUM($P535:AJ535)</f>
        <v>#VALUE!</v>
      </c>
      <c r="AL535" s="446" t="e">
        <f>IF(OR($B535="",MIN(AL$38,$D$19)&lt;MAX($P$34*($B535+IF($R$17="Distrato",$I$38-1,0)),IF(AND($L$37=0,$P$34=0),"",$L$37-1),IF($R$17="Distrato",$E535,0))),0,YEARFRAC(MAX($P$34*($B535+IF($R$17="Distrato",$I$38-1,0)),IF(AND($L$37=0,$P$34=0),"",$L$37-1),IF($R$17="Distrato",$E535,0)),MIN(AL$38,$D$19),$P$20))-SUM($P535:AK535)</f>
        <v>#VALUE!</v>
      </c>
      <c r="AM535" s="446" t="e">
        <f>IF(OR($B535="",MIN(AM$38,$D$19)&lt;MAX($P$34*($B535+IF($R$17="Distrato",$I$38-1,0)),IF(AND($L$37=0,$P$34=0),"",$L$37-1),IF($R$17="Distrato",$E535,0))),0,YEARFRAC(MAX($P$34*($B535+IF($R$17="Distrato",$I$38-1,0)),IF(AND($L$37=0,$P$34=0),"",$L$37-1),IF($R$17="Distrato",$E535,0)),MIN(AM$38,$D$19),$P$20))-SUM($P535:AL535)</f>
        <v>#VALUE!</v>
      </c>
      <c r="AN535" s="446" t="e">
        <f>IF(OR($B535="",MIN(AN$38,$D$19)&lt;MAX($P$34*($B535+IF($R$17="Distrato",$I$38-1,0)),IF(AND($L$37=0,$P$34=0),"",$L$37-1),IF($R$17="Distrato",$E535,0))),0,YEARFRAC(MAX($P$34*($B535+IF($R$17="Distrato",$I$38-1,0)),IF(AND($L$37=0,$P$34=0),"",$L$37-1),IF($R$17="Distrato",$E535,0)),MIN(AN$38,$D$19),$P$20))-SUM($P535:AM535)</f>
        <v>#VALUE!</v>
      </c>
      <c r="AO535" s="446" t="e">
        <f>IF(OR($B535="",MIN(AO$38,$D$19)&lt;MAX($P$34*($B535+IF($R$17="Distrato",$I$38-1,0)),IF(AND($L$37=0,$P$34=0),"",$L$37-1),IF($R$17="Distrato",$E535,0))),0,YEARFRAC(MAX($P$34*($B535+IF($R$17="Distrato",$I$38-1,0)),IF(AND($L$37=0,$P$34=0),"",$L$37-1),IF($R$17="Distrato",$E535,0)),MIN(AO$38,$D$19),$P$20))-SUM($P535:AN535)</f>
        <v>#VALUE!</v>
      </c>
      <c r="AP535" s="446" t="e">
        <f>IF(OR($B535="",MIN(AP$38,$D$19)&lt;MAX($P$34*($B535+IF($R$17="Distrato",$I$38-1,0)),IF(AND($L$37=0,$P$34=0),"",$L$37-1),IF($R$17="Distrato",$E535,0))),0,YEARFRAC(MAX($P$34*($B535+IF($R$17="Distrato",$I$38-1,0)),IF(AND($L$37=0,$P$34=0),"",$L$37-1),IF($R$17="Distrato",$E535,0)),MIN(AP$38,$D$19),$P$20))-SUM($P535:AO535)</f>
        <v>#VALUE!</v>
      </c>
      <c r="AQ535" s="446" t="e">
        <f>IF(OR($B535="",MIN(AQ$38,$D$19)&lt;MAX($P$34*($B535+IF($R$17="Distrato",$I$38-1,0)),IF(AND($L$37=0,$P$34=0),"",$L$37-1),IF($R$17="Distrato",$E535,0))),0,YEARFRAC(MAX($P$34*($B535+IF($R$17="Distrato",$I$38-1,0)),IF(AND($L$37=0,$P$34=0),"",$L$37-1),IF($R$17="Distrato",$E535,0)),MIN(AQ$38,$D$19),$P$20))-SUM($P535:AP535)</f>
        <v>#VALUE!</v>
      </c>
      <c r="AR535" s="446" t="e">
        <f>IF(OR($B535="",MIN(AR$38,$D$19)&lt;MAX($P$34*($B535+IF($R$17="Distrato",$I$38-1,0)),IF(AND($L$37=0,$P$34=0),"",$L$37-1),IF($R$17="Distrato",$E535,0))),0,YEARFRAC(MAX($P$34*($B535+IF($R$17="Distrato",$I$38-1,0)),IF(AND($L$37=0,$P$34=0),"",$L$37-1),IF($R$17="Distrato",$E535,0)),MIN(AR$38,$D$19),$P$20))-SUM($P535:AQ535)</f>
        <v>#VALUE!</v>
      </c>
      <c r="AS535" s="446" t="e">
        <f>IF(OR($B535="",MIN(AS$38,$D$19)&lt;MAX($P$34*($B535+IF($R$17="Distrato",$I$38-1,0)),IF(AND($L$37=0,$P$34=0),"",$L$37-1),IF($R$17="Distrato",$E535,0))),0,YEARFRAC(MAX($P$34*($B535+IF($R$17="Distrato",$I$38-1,0)),IF(AND($L$37=0,$P$34=0),"",$L$37-1),IF($R$17="Distrato",$E535,0)),MIN(AS$38,$D$19),$P$20))-SUM($P535:AR535)</f>
        <v>#VALUE!</v>
      </c>
      <c r="AT535" s="446" t="e">
        <f>IF(OR($B535="",MIN(AT$38,$D$19)&lt;MAX($P$34*($B535+IF($R$17="Distrato",$I$38-1,0)),IF(AND($L$37=0,$P$34=0),"",$L$37-1),IF($R$17="Distrato",$E535,0))),0,YEARFRAC(MAX($P$34*($B535+IF($R$17="Distrato",$I$38-1,0)),IF(AND($L$37=0,$P$34=0),"",$L$37-1),IF($R$17="Distrato",$E535,0)),MIN(AT$38,$D$19),$P$20))-SUM($P535:AS535)</f>
        <v>#VALUE!</v>
      </c>
      <c r="AU535" s="446" t="e">
        <f>IF(OR($B535="",MIN(AU$38,$D$19)&lt;MAX($P$34*($B535+IF($R$17="Distrato",$I$38-1,0)),IF(AND($L$37=0,$P$34=0),"",$L$37-1),IF($R$17="Distrato",$E535,0))),0,YEARFRAC(MAX($P$34*($B535+IF($R$17="Distrato",$I$38-1,0)),IF(AND($L$37=0,$P$34=0),"",$L$37-1),IF($R$17="Distrato",$E535,0)),MIN(AU$38,$D$19),$P$20))-SUM($P535:AT535)</f>
        <v>#VALUE!</v>
      </c>
      <c r="AV535" s="446" t="e">
        <f>IF(OR($B535="",MIN(AV$38,$D$19)&lt;MAX($P$34*($B535+IF($R$17="Distrato",$I$38-1,0)),IF(AND($L$37=0,$P$34=0),"",$L$37-1),IF($R$17="Distrato",$E535,0))),0,YEARFRAC(MAX($P$34*($B535+IF($R$17="Distrato",$I$38-1,0)),IF(AND($L$37=0,$P$34=0),"",$L$37-1),IF($R$17="Distrato",$E535,0)),MIN(AV$38,$D$19),$P$20))-SUM($P535:AU535)</f>
        <v>#VALUE!</v>
      </c>
      <c r="AW535" s="446" t="e">
        <f>IF(OR($B535="",MIN(AW$38,$D$19)&lt;MAX($P$34*($B535+IF($R$17="Distrato",$I$38-1,0)),IF(AND($L$37=0,$P$34=0),"",$L$37-1),IF($R$17="Distrato",$E535,0))),0,YEARFRAC(MAX($P$34*($B535+IF($R$17="Distrato",$I$38-1,0)),IF(AND($L$37=0,$P$34=0),"",$L$37-1),IF($R$17="Distrato",$E535,0)),MIN(AW$38,$D$19),$P$20))-SUM($P535:AV535)</f>
        <v>#VALUE!</v>
      </c>
      <c r="AX535" s="446" t="e">
        <f>IF(OR($B535="",MIN(AX$38,$D$19)&lt;MAX($P$34*($B535+IF($R$17="Distrato",$I$38-1,0)),IF(AND($L$37=0,$P$34=0),"",$L$37-1),IF($R$17="Distrato",$E535,0))),0,YEARFRAC(MAX($P$34*($B535+IF($R$17="Distrato",$I$38-1,0)),IF(AND($L$37=0,$P$34=0),"",$L$37-1),IF($R$17="Distrato",$E535,0)),MIN(AX$38,$D$19),$P$20))-SUM($P535:AW535)</f>
        <v>#VALUE!</v>
      </c>
      <c r="AY535" s="446" t="e">
        <f>IF(OR($B535="",MIN(AY$38,$D$19)&lt;MAX($P$34*($B535+IF($R$17="Distrato",$I$38-1,0)),IF(AND($L$37=0,$P$34=0),"",$L$37-1),IF($R$17="Distrato",$E535,0))),0,YEARFRAC(MAX($P$34*($B535+IF($R$17="Distrato",$I$38-1,0)),IF(AND($L$37=0,$P$34=0),"",$L$37-1),IF($R$17="Distrato",$E535,0)),MIN(AY$38,$D$19),$P$20))-SUM($P535:AX535)</f>
        <v>#VALUE!</v>
      </c>
      <c r="AZ535" s="446" t="e">
        <f>IF(OR($B535="",MIN(AZ$38,$D$19)&lt;MAX($P$34*($B535+IF($R$17="Distrato",$I$38-1,0)),IF(AND($L$37=0,$P$34=0),"",$L$37-1),IF($R$17="Distrato",$E535,0))),0,YEARFRAC(MAX($P$34*($B535+IF($R$17="Distrato",$I$38-1,0)),IF(AND($L$37=0,$P$34=0),"",$L$37-1),IF($R$17="Distrato",$E535,0)),MIN(AZ$38,$D$19),$P$20))-SUM($P535:AY535)</f>
        <v>#VALUE!</v>
      </c>
      <c r="BA535" s="446" t="e">
        <f>IF(OR($B535="",MIN(BA$38,$D$19)&lt;MAX($P$34*($B535+IF($R$17="Distrato",$I$38-1,0)),IF(AND($L$37=0,$P$34=0),"",$L$37-1),IF($R$17="Distrato",$E535,0))),0,YEARFRAC(MAX($P$34*($B535+IF($R$17="Distrato",$I$38-1,0)),IF(AND($L$37=0,$P$34=0),"",$L$37-1),IF($R$17="Distrato",$E535,0)),MIN(BA$38,$D$19),$P$20))-SUM($P535:AZ535)</f>
        <v>#VALUE!</v>
      </c>
      <c r="BB535" s="447"/>
      <c r="BF535" s="446">
        <f t="shared" si="87"/>
        <v>0</v>
      </c>
      <c r="BG535" s="446">
        <f>IF($E535=0,0,IF(MIN(BG$38,$E535)&lt;MAX($P$34*($B535+$I$38-1),IF(AND($L$37=0,$P$34=0),"",$L$37-1)),0,YEARFRAC(MAX($P$34*($B535+$I$38-1),IF(AND($L$37=0,$P$34=0),"",$L$37-1)),MIN(BG$38,$E535),$P$20))-SUM($BF535:BF535))</f>
        <v>0</v>
      </c>
      <c r="BH535" s="446">
        <f>IF($E535=0,0,IF(MIN(BH$38,$E535)&lt;MAX($P$34*($B535+$I$38-1),IF(AND($L$37=0,$P$34=0),"",$L$37-1)),0,YEARFRAC(MAX($P$34*($B535+$I$38-1),IF(AND($L$37=0,$P$34=0),"",$L$37-1)),MIN(BH$38,$E535),$P$20))-SUM($BF535:BG535))</f>
        <v>0</v>
      </c>
      <c r="BI535" s="446">
        <f>IF($E535=0,0,IF(MIN(BI$38,$E535)&lt;MAX($P$34*($B535+$I$38-1),IF(AND($L$37=0,$P$34=0),"",$L$37-1)),0,YEARFRAC(MAX($P$34*($B535+$I$38-1),IF(AND($L$37=0,$P$34=0),"",$L$37-1)),MIN(BI$38,$E535),$P$20))-SUM($BF535:BH535))</f>
        <v>0</v>
      </c>
      <c r="BJ535" s="446">
        <f>IF($E535=0,0,IF(MIN(BJ$38,$E535)&lt;MAX($P$34*($B535+$I$38-1),IF(AND($L$37=0,$P$34=0),"",$L$37-1)),0,YEARFRAC(MAX($P$34*($B535+$I$38-1),IF(AND($L$37=0,$P$34=0),"",$L$37-1)),MIN(BJ$38,$E535),$P$20))-SUM($BF535:BI535))</f>
        <v>0</v>
      </c>
      <c r="BK535" s="446">
        <f>IF($E535=0,0,IF(MIN(BK$38,$E535)&lt;MAX($P$34*($B535+$I$38-1),IF(AND($L$37=0,$P$34=0),"",$L$37-1)),0,YEARFRAC(MAX($P$34*($B535+$I$38-1),IF(AND($L$37=0,$P$34=0),"",$L$37-1)),MIN(BK$38,$E535),$P$20))-SUM($BF535:BJ535))</f>
        <v>0</v>
      </c>
      <c r="BL535" s="446">
        <f>IF($E535=0,0,IF(MIN(BL$38,$E535)&lt;MAX($P$34*($B535+$I$38-1),IF(AND($L$37=0,$P$34=0),"",$L$37-1)),0,YEARFRAC(MAX($P$34*($B535+$I$38-1),IF(AND($L$37=0,$P$34=0),"",$L$37-1)),MIN(BL$38,$E535),$P$20))-SUM($BF535:BK535))</f>
        <v>0</v>
      </c>
      <c r="BM535" s="446">
        <f>IF($E535=0,0,IF(MIN(BM$38,$E535)&lt;MAX($P$34*($B535+$I$38-1),IF(AND($L$37=0,$P$34=0),"",$L$37-1)),0,YEARFRAC(MAX($P$34*($B535+$I$38-1),IF(AND($L$37=0,$P$34=0),"",$L$37-1)),MIN(BM$38,$E535),$P$20))-SUM($BF535:BL535))</f>
        <v>0</v>
      </c>
      <c r="BN535" s="446">
        <f>IF($E535=0,0,IF(MIN(BN$38,$E535)&lt;MAX($P$34*($B535+$I$38-1),IF(AND($L$37=0,$P$34=0),"",$L$37-1)),0,YEARFRAC(MAX($P$34*($B535+$I$38-1),IF(AND($L$37=0,$P$34=0),"",$L$37-1)),MIN(BN$38,$E535),$P$20))-SUM($BF535:BM535))</f>
        <v>0</v>
      </c>
      <c r="BO535" s="446">
        <f>IF($E535=0,0,IF(MIN(BO$38,$E535)&lt;MAX($P$34*($B535+$I$38-1),IF(AND($L$37=0,$P$34=0),"",$L$37-1)),0,YEARFRAC(MAX($P$34*($B535+$I$38-1),IF(AND($L$37=0,$P$34=0),"",$L$37-1)),MIN(BO$38,$E535),$P$20))-SUM($BF535:BN535))</f>
        <v>0</v>
      </c>
      <c r="BP535" s="446">
        <f>IF($E535=0,0,IF(MIN(BP$38,$E535)&lt;MAX($P$34*($B535+$I$38-1),IF(AND($L$37=0,$P$34=0),"",$L$37-1)),0,YEARFRAC(MAX($P$34*($B535+$I$38-1),IF(AND($L$37=0,$P$34=0),"",$L$37-1)),MIN(BP$38,$E535),$P$20))-SUM($BF535:BO535))</f>
        <v>0</v>
      </c>
      <c r="BQ535" s="446">
        <f>IF($E535=0,0,IF(MIN(BQ$38,$E535)&lt;MAX($P$34*($B535+$I$38-1),IF(AND($L$37=0,$P$34=0),"",$L$37-1)),0,YEARFRAC(MAX($P$34*($B535+$I$38-1),IF(AND($L$37=0,$P$34=0),"",$L$37-1)),MIN(BQ$38,$E535),$P$20))-SUM($BF535:BP535))</f>
        <v>0</v>
      </c>
      <c r="BR535" s="446">
        <f>IF($E535=0,0,IF(MIN(BR$38,$E535)&lt;MAX($P$34*($B535+$I$38-1),IF(AND($L$37=0,$P$34=0),"",$L$37-1)),0,YEARFRAC(MAX($P$34*($B535+$I$38-1),IF(AND($L$37=0,$P$34=0),"",$L$37-1)),MIN(BR$38,$E535),$P$20))-SUM($BF535:BQ535))</f>
        <v>0</v>
      </c>
      <c r="BS535" s="446">
        <f>IF($E535=0,0,IF(MIN(BS$38,$E535)&lt;MAX($P$34*($B535+$I$38-1),IF(AND($L$37=0,$P$34=0),"",$L$37-1)),0,YEARFRAC(MAX($P$34*($B535+$I$38-1),IF(AND($L$37=0,$P$34=0),"",$L$37-1)),MIN(BS$38,$E535),$P$20))-SUM($BF535:BR535))</f>
        <v>0</v>
      </c>
      <c r="BT535" s="446">
        <f>IF($E535=0,0,IF(MIN(BT$38,$E535)&lt;MAX($P$34*($B535+$I$38-1),IF(AND($L$37=0,$P$34=0),"",$L$37-1)),0,YEARFRAC(MAX($P$34*($B535+$I$38-1),IF(AND($L$37=0,$P$34=0),"",$L$37-1)),MIN(BT$38,$E535),$P$20))-SUM($BF535:BS535))</f>
        <v>0</v>
      </c>
      <c r="BU535" s="446">
        <f>IF($E535=0,0,IF(MIN(BU$38,$E535)&lt;MAX($P$34*($B535+$I$38-1),IF(AND($L$37=0,$P$34=0),"",$L$37-1)),0,YEARFRAC(MAX($P$34*($B535+$I$38-1),IF(AND($L$37=0,$P$34=0),"",$L$37-1)),MIN(BU$38,$E535),$P$20))-SUM($BF535:BT535))</f>
        <v>0</v>
      </c>
      <c r="BV535" s="446">
        <f>IF($E535=0,0,IF(MIN(BV$38,$E535)&lt;MAX($P$34*($B535+$I$38-1),IF(AND($L$37=0,$P$34=0),"",$L$37-1)),0,YEARFRAC(MAX($P$34*($B535+$I$38-1),IF(AND($L$37=0,$P$34=0),"",$L$37-1)),MIN(BV$38,$E535),$P$20))-SUM($BF535:BU535))</f>
        <v>0</v>
      </c>
      <c r="BW535" s="446">
        <f>IF($E535=0,0,IF(MIN(BW$38,$E535)&lt;MAX($P$34*($B535+$I$38-1),IF(AND($L$37=0,$P$34=0),"",$L$37-1)),0,YEARFRAC(MAX($P$34*($B535+$I$38-1),IF(AND($L$37=0,$P$34=0),"",$L$37-1)),MIN(BW$38,$E535),$P$20))-SUM($BF535:BV535))</f>
        <v>0</v>
      </c>
      <c r="BX535" s="446">
        <f>IF($E535=0,0,IF(MIN(BX$38,$E535)&lt;MAX($P$34*($B535+$I$38-1),IF(AND($L$37=0,$P$34=0),"",$L$37-1)),0,YEARFRAC(MAX($P$34*($B535+$I$38-1),IF(AND($L$37=0,$P$34=0),"",$L$37-1)),MIN(BX$38,$E535),$P$20))-SUM($BF535:BW535))</f>
        <v>0</v>
      </c>
      <c r="BY535" s="446">
        <f>IF($E535=0,0,IF(MIN(BY$38,$E535)&lt;MAX($P$34*($B535+$I$38-1),IF(AND($L$37=0,$P$34=0),"",$L$37-1)),0,YEARFRAC(MAX($P$34*($B535+$I$38-1),IF(AND($L$37=0,$P$34=0),"",$L$37-1)),MIN(BY$38,$E535),$P$20))-SUM($BF535:BX535))</f>
        <v>0</v>
      </c>
      <c r="BZ535" s="446">
        <f>IF($E535=0,0,IF(MIN(BZ$38,$E535)&lt;MAX($P$34*($B535+$I$38-1),IF(AND($L$37=0,$P$34=0),"",$L$37-1)),0,YEARFRAC(MAX($P$34*($B535+$I$38-1),IF(AND($L$37=0,$P$34=0),"",$L$37-1)),MIN(BZ$38,$E535),$P$20))-SUM($BF535:BY535))</f>
        <v>0</v>
      </c>
      <c r="CA535" s="446">
        <f>IF($E535=0,0,IF(MIN(CA$38,$E535)&lt;MAX($P$34*($B535+$I$38-1),IF(AND($L$37=0,$P$34=0),"",$L$37-1)),0,YEARFRAC(MAX($P$34*($B535+$I$38-1),IF(AND($L$37=0,$P$34=0),"",$L$37-1)),MIN(CA$38,$E535),$P$20))-SUM($BF535:BZ535))</f>
        <v>0</v>
      </c>
      <c r="CB535" s="446">
        <f>IF($E535=0,0,IF(MIN(CB$38,$E535)&lt;MAX($P$34*($B535+$I$38-1),IF(AND($L$37=0,$P$34=0),"",$L$37-1)),0,YEARFRAC(MAX($P$34*($B535+$I$38-1),IF(AND($L$37=0,$P$34=0),"",$L$37-1)),MIN(CB$38,$E535),$P$20))-SUM($BF535:CA535))</f>
        <v>0</v>
      </c>
      <c r="CC535" s="446">
        <f>IF($E535=0,0,IF(MIN(CC$38,$E535)&lt;MAX($P$34*($B535+$I$38-1),IF(AND($L$37=0,$P$34=0),"",$L$37-1)),0,YEARFRAC(MAX($P$34*($B535+$I$38-1),IF(AND($L$37=0,$P$34=0),"",$L$37-1)),MIN(CC$38,$E535),$P$20))-SUM($BF535:CB535))</f>
        <v>0</v>
      </c>
      <c r="CD535" s="446">
        <f>IF($E535=0,0,IF(MIN(CD$38,$E535)&lt;MAX($P$34*($B535+$I$38-1),IF(AND($L$37=0,$P$34=0),"",$L$37-1)),0,YEARFRAC(MAX($P$34*($B535+$I$38-1),IF(AND($L$37=0,$P$34=0),"",$L$37-1)),MIN(CD$38,$E535),$P$20))-SUM($BF535:CC535))</f>
        <v>0</v>
      </c>
      <c r="CE535" s="446">
        <f>IF($E535=0,0,IF(MIN(CE$38,$E535)&lt;MAX($P$34*($B535+$I$38-1),IF(AND($L$37=0,$P$34=0),"",$L$37-1)),0,YEARFRAC(MAX($P$34*($B535+$I$38-1),IF(AND($L$37=0,$P$34=0),"",$L$37-1)),MIN(CE$38,$E535),$P$20))-SUM($BF535:CD535))</f>
        <v>0</v>
      </c>
      <c r="CF535" s="446">
        <f>IF($E535=0,0,IF(MIN(CF$38,$E535)&lt;MAX($P$34*($B535+$I$38-1),IF(AND($L$37=0,$P$34=0),"",$L$37-1)),0,YEARFRAC(MAX($P$34*($B535+$I$38-1),IF(AND($L$37=0,$P$34=0),"",$L$37-1)),MIN(CF$38,$E535),$P$20))-SUM($BF535:CE535))</f>
        <v>0</v>
      </c>
      <c r="CG535" s="446">
        <f>IF($E535=0,0,IF(MIN(CG$38,$E535)&lt;MAX($P$34*($B535+$I$38-1),IF(AND($L$37=0,$P$34=0),"",$L$37-1)),0,YEARFRAC(MAX($P$34*($B535+$I$38-1),IF(AND($L$37=0,$P$34=0),"",$L$37-1)),MIN(CG$38,$E535),$P$20))-SUM($BF535:CF535))</f>
        <v>0</v>
      </c>
      <c r="CH535" s="446">
        <f>IF($E535=0,0,IF(MIN(CH$38,$E535)&lt;MAX($P$34*($B535+$I$38-1),IF(AND($L$37=0,$P$34=0),"",$L$37-1)),0,YEARFRAC(MAX($P$34*($B535+$I$38-1),IF(AND($L$37=0,$P$34=0),"",$L$37-1)),MIN(CH$38,$E535),$P$20))-SUM($BF535:CG535))</f>
        <v>0</v>
      </c>
      <c r="CI535" s="446">
        <f>IF($E535=0,0,IF(MIN(CI$38,$E535)&lt;MAX($P$34*($B535+$I$38-1),IF(AND($L$37=0,$P$34=0),"",$L$37-1)),0,YEARFRAC(MAX($P$34*($B535+$I$38-1),IF(AND($L$37=0,$P$34=0),"",$L$37-1)),MIN(CI$38,$E535),$P$20))-SUM($BF535:CH535))</f>
        <v>0</v>
      </c>
      <c r="CJ535" s="446">
        <f>IF($E535=0,0,IF(MIN(CJ$38,$E535)&lt;MAX($P$34*($B535+$I$38-1),IF(AND($L$37=0,$P$34=0),"",$L$37-1)),0,YEARFRAC(MAX($P$34*($B535+$I$38-1),IF(AND($L$37=0,$P$34=0),"",$L$37-1)),MIN(CJ$38,$E535),$P$20))-SUM($BF535:CI535))</f>
        <v>0</v>
      </c>
      <c r="CK535" s="446">
        <f>IF($E535=0,0,IF(MIN(CK$38,$E535)&lt;MAX($P$34*($B535+$I$38-1),IF(AND($L$37=0,$P$34=0),"",$L$37-1)),0,YEARFRAC(MAX($P$34*($B535+$I$38-1),IF(AND($L$37=0,$P$34=0),"",$L$37-1)),MIN(CK$38,$E535),$P$20))-SUM($BF535:CJ535))</f>
        <v>0</v>
      </c>
      <c r="CL535" s="446">
        <f>IF($E535=0,0,IF(MIN(CL$38,$E535)&lt;MAX($P$34*($B535+$I$38-1),IF(AND($L$37=0,$P$34=0),"",$L$37-1)),0,YEARFRAC(MAX($P$34*($B535+$I$38-1),IF(AND($L$37=0,$P$34=0),"",$L$37-1)),MIN(CL$38,$E535),$P$20))-SUM($BF535:CK535))</f>
        <v>0</v>
      </c>
      <c r="CM535" s="446">
        <f>IF($E535=0,0,IF(MIN(CM$38,$E535)&lt;MAX($P$34*($B535+$I$38-1),IF(AND($L$37=0,$P$34=0),"",$L$37-1)),0,YEARFRAC(MAX($P$34*($B535+$I$38-1),IF(AND($L$37=0,$P$34=0),"",$L$37-1)),MIN(CM$38,$E535),$P$20))-SUM($BF535:CL535))</f>
        <v>0</v>
      </c>
      <c r="CN535" s="446">
        <f>IF($E535=0,0,IF(MIN(CN$38,$E535)&lt;MAX($P$34*($B535+$I$38-1),IF(AND($L$37=0,$P$34=0),"",$L$37-1)),0,YEARFRAC(MAX($P$34*($B535+$I$38-1),IF(AND($L$37=0,$P$34=0),"",$L$37-1)),MIN(CN$38,$E535),$P$20))-SUM($BF535:CM535))</f>
        <v>0</v>
      </c>
      <c r="CO535" s="446">
        <f>IF($E535=0,0,IF(MIN(CO$38,$E535)&lt;MAX($P$34*($B535+$I$38-1),IF(AND($L$37=0,$P$34=0),"",$L$37-1)),0,YEARFRAC(MAX($P$34*($B535+$I$38-1),IF(AND($L$37=0,$P$34=0),"",$L$37-1)),MIN(CO$38,$E535),$P$20))-SUM($BF535:CN535))</f>
        <v>0</v>
      </c>
      <c r="CP535" s="446">
        <f>IF($E535=0,0,IF(MIN(CP$38,$E535)&lt;MAX($P$34*($B535+$I$38-1),IF(AND($L$37=0,$P$34=0),"",$L$37-1)),0,YEARFRAC(MAX($P$34*($B535+$I$38-1),IF(AND($L$37=0,$P$34=0),"",$L$37-1)),MIN(CP$38,$E535),$P$20))-SUM($BF535:CO535))</f>
        <v>0</v>
      </c>
      <c r="CQ535" s="446">
        <f>IF($E535=0,0,IF(MIN(CQ$38,$E535)&lt;MAX($P$34*($B535+$I$38-1),IF(AND($L$37=0,$P$34=0),"",$L$37-1)),0,YEARFRAC(MAX($P$34*($B535+$I$38-1),IF(AND($L$37=0,$P$34=0),"",$L$37-1)),MIN(CQ$38,$E535),$P$20))-SUM($BF535:CP535))</f>
        <v>0</v>
      </c>
    </row>
    <row r="536" spans="1:95" s="446" customFormat="1" ht="11.25" hidden="1" customHeight="1" x14ac:dyDescent="0.2">
      <c r="A536" s="152"/>
      <c r="B536" s="153" t="str">
        <f t="shared" si="92"/>
        <v/>
      </c>
      <c r="C536" s="29" t="str">
        <f>IF(B536="","",IF($L$35="SELIC - TRIBUTOS",VLOOKUP(DATE(YEAR($D$19),MONTH($D$19)-1,1),ÍNDICES!$A:$DE,HLOOKUP($BL$25,ÍNDICES!$B$3:$T$4,2)+11)-VLOOKUP(B536,ÍNDICES!$A:$DE,HLOOKUP($BL$25,ÍNDICES!$B$3:$T$4,2)+11)+1%,IF(C$38=$W$26,$J$35,IF(ISERROR(IF(B536&gt;$D$19,1,VLOOKUP(DATE(YEAR(B536),MONTH(B536)+IF($C$35=$S$23,1,0),1),ÍNDICES!$A:$DE,$Z$35+1))),"",IF(B536&gt;$D$19,1,VLOOKUP(DATE(YEAR(B536),MONTH(B536)+IF($C$35=$S$23,1,0),1),ÍNDICES!$A:$DE,$Z$35+1))))))</f>
        <v/>
      </c>
      <c r="D536" s="154" t="str">
        <f>IF(ISERROR(IF(OR($D$38=$Y$27,$B536=""),"",VLOOKUP(B536,ÍNDICES!A:DE,AF$35+1))),"",IF(OR($D$38=$Y$27,$B536=""),"",VLOOKUP(B536,ÍNDICES!A:DE,AF$35+1)))</f>
        <v/>
      </c>
      <c r="E536" s="153"/>
      <c r="F536" s="29" t="str">
        <f>IF(E536="","",IF($L$35="SELIC - TRIBUTOS",VLOOKUP(DATE(YEAR($D$19),MONTH($D$19)-1,1),ÍNDICES!$A:$DE,HLOOKUP($BL$25,ÍNDICES!$B$3:$T$4,2)+11)-VLOOKUP(E536,ÍNDICES!$A:$DE,HLOOKUP($BL$25,ÍNDICES!$B$3:$T$4,2)+11)+1%,IF(F$38=$W$26,$J$35,IF(ISERROR(IF(E536&gt;$D$19,1,VLOOKUP(DATE(YEAR(E536),MONTH(E536)+IF($C$35=$S$23,1,0),1),ÍNDICES!$A:$DE,$Z$35+1))),"",IF(E536&gt;$D$19,1,VLOOKUP(DATE(YEAR(E536),MONTH(E536)+IF($C$35=$S$23,1,0),1),ÍNDICES!$A:$DE,$Z$35+1))))))</f>
        <v/>
      </c>
      <c r="G536" s="155"/>
      <c r="H536" s="156" t="str">
        <f t="shared" si="88"/>
        <v/>
      </c>
      <c r="I536" s="29" t="str">
        <f t="shared" si="82"/>
        <v/>
      </c>
      <c r="J536" s="5">
        <f t="shared" si="83"/>
        <v>0</v>
      </c>
      <c r="K536" s="20">
        <f t="shared" ca="1" si="84"/>
        <v>0</v>
      </c>
      <c r="L536" s="5">
        <f t="shared" ca="1" si="85"/>
        <v>0</v>
      </c>
      <c r="M536" s="64">
        <f t="shared" si="89"/>
        <v>0</v>
      </c>
      <c r="N536" s="61">
        <f t="shared" ca="1" si="90"/>
        <v>0</v>
      </c>
      <c r="O536" s="5">
        <f t="shared" ca="1" si="91"/>
        <v>0</v>
      </c>
      <c r="P536" s="446" t="e">
        <f t="shared" si="86"/>
        <v>#VALUE!</v>
      </c>
      <c r="Q536" s="446" t="e">
        <f>IF(OR($B536="",MIN(Q$38,$D$19)&lt;MAX($P$34*($B536+IF($R$17="Distrato",$I$38-1,0)),IF(AND($L$37=0,$P$34=0),"",$L$37-1),IF($R$17="Distrato",$E536,0))),0,YEARFRAC(MAX($P$34*($B536+IF($R$17="Distrato",$I$38-1,0)),IF(AND($L$37=0,$P$34=0),"",$L$37-1),IF($R$17="Distrato",$E536,0)),MIN(Q$38,$D$19),$P$20))-SUM($P536:P536)</f>
        <v>#VALUE!</v>
      </c>
      <c r="R536" s="446" t="e">
        <f>IF(OR($B536="",MIN(R$38,$D$19)&lt;MAX($P$34*($B536+IF($R$17="Distrato",$I$38-1,0)),IF(AND($L$37=0,$P$34=0),"",$L$37-1),IF($R$17="Distrato",$E536,0))),0,YEARFRAC(MAX($P$34*($B536+IF($R$17="Distrato",$I$38-1,0)),IF(AND($L$37=0,$P$34=0),"",$L$37-1),IF($R$17="Distrato",$E536,0)),MIN(R$38,$D$19),$P$20))-SUM($P536:Q536)</f>
        <v>#VALUE!</v>
      </c>
      <c r="S536" s="446" t="e">
        <f>IF(OR($B536="",MIN(S$38,$D$19)&lt;MAX($P$34*($B536+IF($R$17="Distrato",$I$38-1,0)),IF(AND($L$37=0,$P$34=0),"",$L$37-1),IF($R$17="Distrato",$E536,0))),0,YEARFRAC(MAX($P$34*($B536+IF($R$17="Distrato",$I$38-1,0)),IF(AND($L$37=0,$P$34=0),"",$L$37-1),IF($R$17="Distrato",$E536,0)),MIN(S$38,$D$19),$P$20))-SUM($P536:R536)</f>
        <v>#VALUE!</v>
      </c>
      <c r="T536" s="446" t="e">
        <f>IF(OR($B536="",MIN(T$38,$D$19)&lt;MAX($P$34*($B536+IF($R$17="Distrato",$I$38-1,0)),IF(AND($L$37=0,$P$34=0),"",$L$37-1),IF($R$17="Distrato",$E536,0))),0,YEARFRAC(MAX($P$34*($B536+IF($R$17="Distrato",$I$38-1,0)),IF(AND($L$37=0,$P$34=0),"",$L$37-1),IF($R$17="Distrato",$E536,0)),MIN(T$38,$D$19),$P$20))-SUM($P536:S536)</f>
        <v>#VALUE!</v>
      </c>
      <c r="U536" s="446" t="e">
        <f>IF(OR($B536="",MIN(U$38,$D$19)&lt;MAX($P$34*($B536+IF($R$17="Distrato",$I$38-1,0)),IF(AND($L$37=0,$P$34=0),"",$L$37-1),IF($R$17="Distrato",$E536,0))),0,YEARFRAC(MAX($P$34*($B536+IF($R$17="Distrato",$I$38-1,0)),IF(AND($L$37=0,$P$34=0),"",$L$37-1),IF($R$17="Distrato",$E536,0)),MIN(U$38,$D$19),$P$20))-SUM($P536:T536)</f>
        <v>#VALUE!</v>
      </c>
      <c r="V536" s="446" t="e">
        <f>IF(OR($B536="",MIN(V$38,$D$19)&lt;MAX($P$34*($B536+IF($R$17="Distrato",$I$38-1,0)),IF(AND($L$37=0,$P$34=0),"",$L$37-1),IF($R$17="Distrato",$E536,0))),0,YEARFRAC(MAX($P$34*($B536+IF($R$17="Distrato",$I$38-1,0)),IF(AND($L$37=0,$P$34=0),"",$L$37-1),IF($R$17="Distrato",$E536,0)),MIN(V$38,$D$19),$P$20))-SUM($P536:U536)</f>
        <v>#VALUE!</v>
      </c>
      <c r="W536" s="446" t="e">
        <f>IF(OR($B536="",MIN(W$38,$D$19)&lt;MAX($P$34*($B536+IF($R$17="Distrato",$I$38-1,0)),IF(AND($L$37=0,$P$34=0),"",$L$37-1),IF($R$17="Distrato",$E536,0))),0,YEARFRAC(MAX($P$34*($B536+IF($R$17="Distrato",$I$38-1,0)),IF(AND($L$37=0,$P$34=0),"",$L$37-1),IF($R$17="Distrato",$E536,0)),MIN(W$38,$D$19),$P$20))-SUM($P536:V536)</f>
        <v>#VALUE!</v>
      </c>
      <c r="X536" s="446" t="e">
        <f>IF(OR($B536="",MIN(X$38,$D$19)&lt;MAX($P$34*($B536+IF($R$17="Distrato",$I$38-1,0)),IF(AND($L$37=0,$P$34=0),"",$L$37-1),IF($R$17="Distrato",$E536,0))),0,YEARFRAC(MAX($P$34*($B536+IF($R$17="Distrato",$I$38-1,0)),IF(AND($L$37=0,$P$34=0),"",$L$37-1),IF($R$17="Distrato",$E536,0)),MIN(X$38,$D$19),$P$20))-SUM($P536:W536)</f>
        <v>#VALUE!</v>
      </c>
      <c r="Y536" s="446" t="e">
        <f>IF(OR($B536="",MIN(Y$38,$D$19)&lt;MAX($P$34*($B536+IF($R$17="Distrato",$I$38-1,0)),IF(AND($L$37=0,$P$34=0),"",$L$37-1),IF($R$17="Distrato",$E536,0))),0,YEARFRAC(MAX($P$34*($B536+IF($R$17="Distrato",$I$38-1,0)),IF(AND($L$37=0,$P$34=0),"",$L$37-1),IF($R$17="Distrato",$E536,0)),MIN(Y$38,$D$19),$P$20))-SUM($P536:X536)</f>
        <v>#VALUE!</v>
      </c>
      <c r="Z536" s="446" t="e">
        <f>IF(OR($B536="",MIN(Z$38,$D$19)&lt;MAX($P$34*($B536+IF($R$17="Distrato",$I$38-1,0)),IF(AND($L$37=0,$P$34=0),"",$L$37-1),IF($R$17="Distrato",$E536,0))),0,YEARFRAC(MAX($P$34*($B536+IF($R$17="Distrato",$I$38-1,0)),IF(AND($L$37=0,$P$34=0),"",$L$37-1),IF($R$17="Distrato",$E536,0)),MIN(Z$38,$D$19),$P$20))-SUM($P536:Y536)</f>
        <v>#VALUE!</v>
      </c>
      <c r="AA536" s="446" t="e">
        <f>IF(OR($B536="",MIN(AA$38,$D$19)&lt;MAX($P$34*($B536+IF($R$17="Distrato",$I$38-1,0)),IF(AND($L$37=0,$P$34=0),"",$L$37-1),IF($R$17="Distrato",$E536,0))),0,YEARFRAC(MAX($P$34*($B536+IF($R$17="Distrato",$I$38-1,0)),IF(AND($L$37=0,$P$34=0),"",$L$37-1),IF($R$17="Distrato",$E536,0)),MIN(AA$38,$D$19),$P$20))-SUM($P536:Z536)</f>
        <v>#VALUE!</v>
      </c>
      <c r="AB536" s="446" t="e">
        <f>IF(OR($B536="",MIN(AB$38,$D$19)&lt;MAX($P$34*($B536+IF($R$17="Distrato",$I$38-1,0)),IF(AND($L$37=0,$P$34=0),"",$L$37-1),IF($R$17="Distrato",$E536,0))),0,YEARFRAC(MAX($P$34*($B536+IF($R$17="Distrato",$I$38-1,0)),IF(AND($L$37=0,$P$34=0),"",$L$37-1),IF($R$17="Distrato",$E536,0)),MIN(AB$38,$D$19),$P$20))-SUM($P536:AA536)</f>
        <v>#VALUE!</v>
      </c>
      <c r="AC536" s="446" t="e">
        <f>IF(OR($B536="",MIN(AC$38,$D$19)&lt;MAX($P$34*($B536+IF($R$17="Distrato",$I$38-1,0)),IF(AND($L$37=0,$P$34=0),"",$L$37-1),IF($R$17="Distrato",$E536,0))),0,YEARFRAC(MAX($P$34*($B536+IF($R$17="Distrato",$I$38-1,0)),IF(AND($L$37=0,$P$34=0),"",$L$37-1),IF($R$17="Distrato",$E536,0)),MIN(AC$38,$D$19),$P$20))-SUM($P536:AB536)</f>
        <v>#VALUE!</v>
      </c>
      <c r="AD536" s="446" t="e">
        <f>IF(OR($B536="",MIN(AD$38,$D$19)&lt;MAX($P$34*($B536+IF($R$17="Distrato",$I$38-1,0)),IF(AND($L$37=0,$P$34=0),"",$L$37-1),IF($R$17="Distrato",$E536,0))),0,YEARFRAC(MAX($P$34*($B536+IF($R$17="Distrato",$I$38-1,0)),IF(AND($L$37=0,$P$34=0),"",$L$37-1),IF($R$17="Distrato",$E536,0)),MIN(AD$38,$D$19),$P$20))-SUM($P536:AC536)</f>
        <v>#VALUE!</v>
      </c>
      <c r="AE536" s="446" t="e">
        <f>IF(OR($B536="",MIN(AE$38,$D$19)&lt;MAX($P$34*($B536+IF($R$17="Distrato",$I$38-1,0)),IF(AND($L$37=0,$P$34=0),"",$L$37-1),IF($R$17="Distrato",$E536,0))),0,YEARFRAC(MAX($P$34*($B536+IF($R$17="Distrato",$I$38-1,0)),IF(AND($L$37=0,$P$34=0),"",$L$37-1),IF($R$17="Distrato",$E536,0)),MIN(AE$38,$D$19),$P$20))-SUM($P536:AD536)</f>
        <v>#VALUE!</v>
      </c>
      <c r="AF536" s="446" t="e">
        <f>IF(OR($B536="",MIN(AF$38,$D$19)&lt;MAX($P$34*($B536+IF($R$17="Distrato",$I$38-1,0)),IF(AND($L$37=0,$P$34=0),"",$L$37-1),IF($R$17="Distrato",$E536,0))),0,YEARFRAC(MAX($P$34*($B536+IF($R$17="Distrato",$I$38-1,0)),IF(AND($L$37=0,$P$34=0),"",$L$37-1),IF($R$17="Distrato",$E536,0)),MIN(AF$38,$D$19),$P$20))-SUM($P536:AE536)</f>
        <v>#VALUE!</v>
      </c>
      <c r="AG536" s="446" t="e">
        <f>IF(OR($B536="",MIN(AG$38,$D$19)&lt;MAX($P$34*($B536+IF($R$17="Distrato",$I$38-1,0)),IF(AND($L$37=0,$P$34=0),"",$L$37-1),IF($R$17="Distrato",$E536,0))),0,YEARFRAC(MAX($P$34*($B536+IF($R$17="Distrato",$I$38-1,0)),IF(AND($L$37=0,$P$34=0),"",$L$37-1),IF($R$17="Distrato",$E536,0)),MIN(AG$38,$D$19),$P$20))-SUM($P536:AF536)</f>
        <v>#VALUE!</v>
      </c>
      <c r="AH536" s="446" t="e">
        <f>IF(OR($B536="",MIN(AH$38,$D$19)&lt;MAX($P$34*($B536+IF($R$17="Distrato",$I$38-1,0)),IF(AND($L$37=0,$P$34=0),"",$L$37-1),IF($R$17="Distrato",$E536,0))),0,YEARFRAC(MAX($P$34*($B536+IF($R$17="Distrato",$I$38-1,0)),IF(AND($L$37=0,$P$34=0),"",$L$37-1),IF($R$17="Distrato",$E536,0)),MIN(AH$38,$D$19),$P$20))-SUM($P536:AG536)</f>
        <v>#VALUE!</v>
      </c>
      <c r="AI536" s="446" t="e">
        <f>IF(OR($B536="",MIN(AI$38,$D$19)&lt;MAX($P$34*($B536+IF($R$17="Distrato",$I$38-1,0)),IF(AND($L$37=0,$P$34=0),"",$L$37-1),IF($R$17="Distrato",$E536,0))),0,YEARFRAC(MAX($P$34*($B536+IF($R$17="Distrato",$I$38-1,0)),IF(AND($L$37=0,$P$34=0),"",$L$37-1),IF($R$17="Distrato",$E536,0)),MIN(AI$38,$D$19),$P$20))-SUM($P536:AH536)</f>
        <v>#VALUE!</v>
      </c>
      <c r="AJ536" s="446" t="e">
        <f>IF(OR($B536="",MIN(AJ$38,$D$19)&lt;MAX($P$34*($B536+IF($R$17="Distrato",$I$38-1,0)),IF(AND($L$37=0,$P$34=0),"",$L$37-1),IF($R$17="Distrato",$E536,0))),0,YEARFRAC(MAX($P$34*($B536+IF($R$17="Distrato",$I$38-1,0)),IF(AND($L$37=0,$P$34=0),"",$L$37-1),IF($R$17="Distrato",$E536,0)),MIN(AJ$38,$D$19),$P$20))-SUM($P536:AI536)</f>
        <v>#VALUE!</v>
      </c>
      <c r="AK536" s="446" t="e">
        <f>IF(OR($B536="",MIN(AK$38,$D$19)&lt;MAX($P$34*($B536+IF($R$17="Distrato",$I$38-1,0)),IF(AND($L$37=0,$P$34=0),"",$L$37-1),IF($R$17="Distrato",$E536,0))),0,YEARFRAC(MAX($P$34*($B536+IF($R$17="Distrato",$I$38-1,0)),IF(AND($L$37=0,$P$34=0),"",$L$37-1),IF($R$17="Distrato",$E536,0)),MIN(AK$38,$D$19),$P$20))-SUM($P536:AJ536)</f>
        <v>#VALUE!</v>
      </c>
      <c r="AL536" s="446" t="e">
        <f>IF(OR($B536="",MIN(AL$38,$D$19)&lt;MAX($P$34*($B536+IF($R$17="Distrato",$I$38-1,0)),IF(AND($L$37=0,$P$34=0),"",$L$37-1),IF($R$17="Distrato",$E536,0))),0,YEARFRAC(MAX($P$34*($B536+IF($R$17="Distrato",$I$38-1,0)),IF(AND($L$37=0,$P$34=0),"",$L$37-1),IF($R$17="Distrato",$E536,0)),MIN(AL$38,$D$19),$P$20))-SUM($P536:AK536)</f>
        <v>#VALUE!</v>
      </c>
      <c r="AM536" s="446" t="e">
        <f>IF(OR($B536="",MIN(AM$38,$D$19)&lt;MAX($P$34*($B536+IF($R$17="Distrato",$I$38-1,0)),IF(AND($L$37=0,$P$34=0),"",$L$37-1),IF($R$17="Distrato",$E536,0))),0,YEARFRAC(MAX($P$34*($B536+IF($R$17="Distrato",$I$38-1,0)),IF(AND($L$37=0,$P$34=0),"",$L$37-1),IF($R$17="Distrato",$E536,0)),MIN(AM$38,$D$19),$P$20))-SUM($P536:AL536)</f>
        <v>#VALUE!</v>
      </c>
      <c r="AN536" s="446" t="e">
        <f>IF(OR($B536="",MIN(AN$38,$D$19)&lt;MAX($P$34*($B536+IF($R$17="Distrato",$I$38-1,0)),IF(AND($L$37=0,$P$34=0),"",$L$37-1),IF($R$17="Distrato",$E536,0))),0,YEARFRAC(MAX($P$34*($B536+IF($R$17="Distrato",$I$38-1,0)),IF(AND($L$37=0,$P$34=0),"",$L$37-1),IF($R$17="Distrato",$E536,0)),MIN(AN$38,$D$19),$P$20))-SUM($P536:AM536)</f>
        <v>#VALUE!</v>
      </c>
      <c r="AO536" s="446" t="e">
        <f>IF(OR($B536="",MIN(AO$38,$D$19)&lt;MAX($P$34*($B536+IF($R$17="Distrato",$I$38-1,0)),IF(AND($L$37=0,$P$34=0),"",$L$37-1),IF($R$17="Distrato",$E536,0))),0,YEARFRAC(MAX($P$34*($B536+IF($R$17="Distrato",$I$38-1,0)),IF(AND($L$37=0,$P$34=0),"",$L$37-1),IF($R$17="Distrato",$E536,0)),MIN(AO$38,$D$19),$P$20))-SUM($P536:AN536)</f>
        <v>#VALUE!</v>
      </c>
      <c r="AP536" s="446" t="e">
        <f>IF(OR($B536="",MIN(AP$38,$D$19)&lt;MAX($P$34*($B536+IF($R$17="Distrato",$I$38-1,0)),IF(AND($L$37=0,$P$34=0),"",$L$37-1),IF($R$17="Distrato",$E536,0))),0,YEARFRAC(MAX($P$34*($B536+IF($R$17="Distrato",$I$38-1,0)),IF(AND($L$37=0,$P$34=0),"",$L$37-1),IF($R$17="Distrato",$E536,0)),MIN(AP$38,$D$19),$P$20))-SUM($P536:AO536)</f>
        <v>#VALUE!</v>
      </c>
      <c r="AQ536" s="446" t="e">
        <f>IF(OR($B536="",MIN(AQ$38,$D$19)&lt;MAX($P$34*($B536+IF($R$17="Distrato",$I$38-1,0)),IF(AND($L$37=0,$P$34=0),"",$L$37-1),IF($R$17="Distrato",$E536,0))),0,YEARFRAC(MAX($P$34*($B536+IF($R$17="Distrato",$I$38-1,0)),IF(AND($L$37=0,$P$34=0),"",$L$37-1),IF($R$17="Distrato",$E536,0)),MIN(AQ$38,$D$19),$P$20))-SUM($P536:AP536)</f>
        <v>#VALUE!</v>
      </c>
      <c r="AR536" s="446" t="e">
        <f>IF(OR($B536="",MIN(AR$38,$D$19)&lt;MAX($P$34*($B536+IF($R$17="Distrato",$I$38-1,0)),IF(AND($L$37=0,$P$34=0),"",$L$37-1),IF($R$17="Distrato",$E536,0))),0,YEARFRAC(MAX($P$34*($B536+IF($R$17="Distrato",$I$38-1,0)),IF(AND($L$37=0,$P$34=0),"",$L$37-1),IF($R$17="Distrato",$E536,0)),MIN(AR$38,$D$19),$P$20))-SUM($P536:AQ536)</f>
        <v>#VALUE!</v>
      </c>
      <c r="AS536" s="446" t="e">
        <f>IF(OR($B536="",MIN(AS$38,$D$19)&lt;MAX($P$34*($B536+IF($R$17="Distrato",$I$38-1,0)),IF(AND($L$37=0,$P$34=0),"",$L$37-1),IF($R$17="Distrato",$E536,0))),0,YEARFRAC(MAX($P$34*($B536+IF($R$17="Distrato",$I$38-1,0)),IF(AND($L$37=0,$P$34=0),"",$L$37-1),IF($R$17="Distrato",$E536,0)),MIN(AS$38,$D$19),$P$20))-SUM($P536:AR536)</f>
        <v>#VALUE!</v>
      </c>
      <c r="AT536" s="446" t="e">
        <f>IF(OR($B536="",MIN(AT$38,$D$19)&lt;MAX($P$34*($B536+IF($R$17="Distrato",$I$38-1,0)),IF(AND($L$37=0,$P$34=0),"",$L$37-1),IF($R$17="Distrato",$E536,0))),0,YEARFRAC(MAX($P$34*($B536+IF($R$17="Distrato",$I$38-1,0)),IF(AND($L$37=0,$P$34=0),"",$L$37-1),IF($R$17="Distrato",$E536,0)),MIN(AT$38,$D$19),$P$20))-SUM($P536:AS536)</f>
        <v>#VALUE!</v>
      </c>
      <c r="AU536" s="446" t="e">
        <f>IF(OR($B536="",MIN(AU$38,$D$19)&lt;MAX($P$34*($B536+IF($R$17="Distrato",$I$38-1,0)),IF(AND($L$37=0,$P$34=0),"",$L$37-1),IF($R$17="Distrato",$E536,0))),0,YEARFRAC(MAX($P$34*($B536+IF($R$17="Distrato",$I$38-1,0)),IF(AND($L$37=0,$P$34=0),"",$L$37-1),IF($R$17="Distrato",$E536,0)),MIN(AU$38,$D$19),$P$20))-SUM($P536:AT536)</f>
        <v>#VALUE!</v>
      </c>
      <c r="AV536" s="446" t="e">
        <f>IF(OR($B536="",MIN(AV$38,$D$19)&lt;MAX($P$34*($B536+IF($R$17="Distrato",$I$38-1,0)),IF(AND($L$37=0,$P$34=0),"",$L$37-1),IF($R$17="Distrato",$E536,0))),0,YEARFRAC(MAX($P$34*($B536+IF($R$17="Distrato",$I$38-1,0)),IF(AND($L$37=0,$P$34=0),"",$L$37-1),IF($R$17="Distrato",$E536,0)),MIN(AV$38,$D$19),$P$20))-SUM($P536:AU536)</f>
        <v>#VALUE!</v>
      </c>
      <c r="AW536" s="446" t="e">
        <f>IF(OR($B536="",MIN(AW$38,$D$19)&lt;MAX($P$34*($B536+IF($R$17="Distrato",$I$38-1,0)),IF(AND($L$37=0,$P$34=0),"",$L$37-1),IF($R$17="Distrato",$E536,0))),0,YEARFRAC(MAX($P$34*($B536+IF($R$17="Distrato",$I$38-1,0)),IF(AND($L$37=0,$P$34=0),"",$L$37-1),IF($R$17="Distrato",$E536,0)),MIN(AW$38,$D$19),$P$20))-SUM($P536:AV536)</f>
        <v>#VALUE!</v>
      </c>
      <c r="AX536" s="446" t="e">
        <f>IF(OR($B536="",MIN(AX$38,$D$19)&lt;MAX($P$34*($B536+IF($R$17="Distrato",$I$38-1,0)),IF(AND($L$37=0,$P$34=0),"",$L$37-1),IF($R$17="Distrato",$E536,0))),0,YEARFRAC(MAX($P$34*($B536+IF($R$17="Distrato",$I$38-1,0)),IF(AND($L$37=0,$P$34=0),"",$L$37-1),IF($R$17="Distrato",$E536,0)),MIN(AX$38,$D$19),$P$20))-SUM($P536:AW536)</f>
        <v>#VALUE!</v>
      </c>
      <c r="AY536" s="446" t="e">
        <f>IF(OR($B536="",MIN(AY$38,$D$19)&lt;MAX($P$34*($B536+IF($R$17="Distrato",$I$38-1,0)),IF(AND($L$37=0,$P$34=0),"",$L$37-1),IF($R$17="Distrato",$E536,0))),0,YEARFRAC(MAX($P$34*($B536+IF($R$17="Distrato",$I$38-1,0)),IF(AND($L$37=0,$P$34=0),"",$L$37-1),IF($R$17="Distrato",$E536,0)),MIN(AY$38,$D$19),$P$20))-SUM($P536:AX536)</f>
        <v>#VALUE!</v>
      </c>
      <c r="AZ536" s="446" t="e">
        <f>IF(OR($B536="",MIN(AZ$38,$D$19)&lt;MAX($P$34*($B536+IF($R$17="Distrato",$I$38-1,0)),IF(AND($L$37=0,$P$34=0),"",$L$37-1),IF($R$17="Distrato",$E536,0))),0,YEARFRAC(MAX($P$34*($B536+IF($R$17="Distrato",$I$38-1,0)),IF(AND($L$37=0,$P$34=0),"",$L$37-1),IF($R$17="Distrato",$E536,0)),MIN(AZ$38,$D$19),$P$20))-SUM($P536:AY536)</f>
        <v>#VALUE!</v>
      </c>
      <c r="BA536" s="446" t="e">
        <f>IF(OR($B536="",MIN(BA$38,$D$19)&lt;MAX($P$34*($B536+IF($R$17="Distrato",$I$38-1,0)),IF(AND($L$37=0,$P$34=0),"",$L$37-1),IF($R$17="Distrato",$E536,0))),0,YEARFRAC(MAX($P$34*($B536+IF($R$17="Distrato",$I$38-1,0)),IF(AND($L$37=0,$P$34=0),"",$L$37-1),IF($R$17="Distrato",$E536,0)),MIN(BA$38,$D$19),$P$20))-SUM($P536:AZ536)</f>
        <v>#VALUE!</v>
      </c>
      <c r="BB536" s="447"/>
      <c r="BF536" s="446">
        <f t="shared" si="87"/>
        <v>0</v>
      </c>
      <c r="BG536" s="446">
        <f>IF($E536=0,0,IF(MIN(BG$38,$E536)&lt;MAX($P$34*($B536+$I$38-1),IF(AND($L$37=0,$P$34=0),"",$L$37-1)),0,YEARFRAC(MAX($P$34*($B536+$I$38-1),IF(AND($L$37=0,$P$34=0),"",$L$37-1)),MIN(BG$38,$E536),$P$20))-SUM($BF536:BF536))</f>
        <v>0</v>
      </c>
      <c r="BH536" s="446">
        <f>IF($E536=0,0,IF(MIN(BH$38,$E536)&lt;MAX($P$34*($B536+$I$38-1),IF(AND($L$37=0,$P$34=0),"",$L$37-1)),0,YEARFRAC(MAX($P$34*($B536+$I$38-1),IF(AND($L$37=0,$P$34=0),"",$L$37-1)),MIN(BH$38,$E536),$P$20))-SUM($BF536:BG536))</f>
        <v>0</v>
      </c>
      <c r="BI536" s="446">
        <f>IF($E536=0,0,IF(MIN(BI$38,$E536)&lt;MAX($P$34*($B536+$I$38-1),IF(AND($L$37=0,$P$34=0),"",$L$37-1)),0,YEARFRAC(MAX($P$34*($B536+$I$38-1),IF(AND($L$37=0,$P$34=0),"",$L$37-1)),MIN(BI$38,$E536),$P$20))-SUM($BF536:BH536))</f>
        <v>0</v>
      </c>
      <c r="BJ536" s="446">
        <f>IF($E536=0,0,IF(MIN(BJ$38,$E536)&lt;MAX($P$34*($B536+$I$38-1),IF(AND($L$37=0,$P$34=0),"",$L$37-1)),0,YEARFRAC(MAX($P$34*($B536+$I$38-1),IF(AND($L$37=0,$P$34=0),"",$L$37-1)),MIN(BJ$38,$E536),$P$20))-SUM($BF536:BI536))</f>
        <v>0</v>
      </c>
      <c r="BK536" s="446">
        <f>IF($E536=0,0,IF(MIN(BK$38,$E536)&lt;MAX($P$34*($B536+$I$38-1),IF(AND($L$37=0,$P$34=0),"",$L$37-1)),0,YEARFRAC(MAX($P$34*($B536+$I$38-1),IF(AND($L$37=0,$P$34=0),"",$L$37-1)),MIN(BK$38,$E536),$P$20))-SUM($BF536:BJ536))</f>
        <v>0</v>
      </c>
      <c r="BL536" s="446">
        <f>IF($E536=0,0,IF(MIN(BL$38,$E536)&lt;MAX($P$34*($B536+$I$38-1),IF(AND($L$37=0,$P$34=0),"",$L$37-1)),0,YEARFRAC(MAX($P$34*($B536+$I$38-1),IF(AND($L$37=0,$P$34=0),"",$L$37-1)),MIN(BL$38,$E536),$P$20))-SUM($BF536:BK536))</f>
        <v>0</v>
      </c>
      <c r="BM536" s="446">
        <f>IF($E536=0,0,IF(MIN(BM$38,$E536)&lt;MAX($P$34*($B536+$I$38-1),IF(AND($L$37=0,$P$34=0),"",$L$37-1)),0,YEARFRAC(MAX($P$34*($B536+$I$38-1),IF(AND($L$37=0,$P$34=0),"",$L$37-1)),MIN(BM$38,$E536),$P$20))-SUM($BF536:BL536))</f>
        <v>0</v>
      </c>
      <c r="BN536" s="446">
        <f>IF($E536=0,0,IF(MIN(BN$38,$E536)&lt;MAX($P$34*($B536+$I$38-1),IF(AND($L$37=0,$P$34=0),"",$L$37-1)),0,YEARFRAC(MAX($P$34*($B536+$I$38-1),IF(AND($L$37=0,$P$34=0),"",$L$37-1)),MIN(BN$38,$E536),$P$20))-SUM($BF536:BM536))</f>
        <v>0</v>
      </c>
      <c r="BO536" s="446">
        <f>IF($E536=0,0,IF(MIN(BO$38,$E536)&lt;MAX($P$34*($B536+$I$38-1),IF(AND($L$37=0,$P$34=0),"",$L$37-1)),0,YEARFRAC(MAX($P$34*($B536+$I$38-1),IF(AND($L$37=0,$P$34=0),"",$L$37-1)),MIN(BO$38,$E536),$P$20))-SUM($BF536:BN536))</f>
        <v>0</v>
      </c>
      <c r="BP536" s="446">
        <f>IF($E536=0,0,IF(MIN(BP$38,$E536)&lt;MAX($P$34*($B536+$I$38-1),IF(AND($L$37=0,$P$34=0),"",$L$37-1)),0,YEARFRAC(MAX($P$34*($B536+$I$38-1),IF(AND($L$37=0,$P$34=0),"",$L$37-1)),MIN(BP$38,$E536),$P$20))-SUM($BF536:BO536))</f>
        <v>0</v>
      </c>
      <c r="BQ536" s="446">
        <f>IF($E536=0,0,IF(MIN(BQ$38,$E536)&lt;MAX($P$34*($B536+$I$38-1),IF(AND($L$37=0,$P$34=0),"",$L$37-1)),0,YEARFRAC(MAX($P$34*($B536+$I$38-1),IF(AND($L$37=0,$P$34=0),"",$L$37-1)),MIN(BQ$38,$E536),$P$20))-SUM($BF536:BP536))</f>
        <v>0</v>
      </c>
      <c r="BR536" s="446">
        <f>IF($E536=0,0,IF(MIN(BR$38,$E536)&lt;MAX($P$34*($B536+$I$38-1),IF(AND($L$37=0,$P$34=0),"",$L$37-1)),0,YEARFRAC(MAX($P$34*($B536+$I$38-1),IF(AND($L$37=0,$P$34=0),"",$L$37-1)),MIN(BR$38,$E536),$P$20))-SUM($BF536:BQ536))</f>
        <v>0</v>
      </c>
      <c r="BS536" s="446">
        <f>IF($E536=0,0,IF(MIN(BS$38,$E536)&lt;MAX($P$34*($B536+$I$38-1),IF(AND($L$37=0,$P$34=0),"",$L$37-1)),0,YEARFRAC(MAX($P$34*($B536+$I$38-1),IF(AND($L$37=0,$P$34=0),"",$L$37-1)),MIN(BS$38,$E536),$P$20))-SUM($BF536:BR536))</f>
        <v>0</v>
      </c>
      <c r="BT536" s="446">
        <f>IF($E536=0,0,IF(MIN(BT$38,$E536)&lt;MAX($P$34*($B536+$I$38-1),IF(AND($L$37=0,$P$34=0),"",$L$37-1)),0,YEARFRAC(MAX($P$34*($B536+$I$38-1),IF(AND($L$37=0,$P$34=0),"",$L$37-1)),MIN(BT$38,$E536),$P$20))-SUM($BF536:BS536))</f>
        <v>0</v>
      </c>
      <c r="BU536" s="446">
        <f>IF($E536=0,0,IF(MIN(BU$38,$E536)&lt;MAX($P$34*($B536+$I$38-1),IF(AND($L$37=0,$P$34=0),"",$L$37-1)),0,YEARFRAC(MAX($P$34*($B536+$I$38-1),IF(AND($L$37=0,$P$34=0),"",$L$37-1)),MIN(BU$38,$E536),$P$20))-SUM($BF536:BT536))</f>
        <v>0</v>
      </c>
      <c r="BV536" s="446">
        <f>IF($E536=0,0,IF(MIN(BV$38,$E536)&lt;MAX($P$34*($B536+$I$38-1),IF(AND($L$37=0,$P$34=0),"",$L$37-1)),0,YEARFRAC(MAX($P$34*($B536+$I$38-1),IF(AND($L$37=0,$P$34=0),"",$L$37-1)),MIN(BV$38,$E536),$P$20))-SUM($BF536:BU536))</f>
        <v>0</v>
      </c>
      <c r="BW536" s="446">
        <f>IF($E536=0,0,IF(MIN(BW$38,$E536)&lt;MAX($P$34*($B536+$I$38-1),IF(AND($L$37=0,$P$34=0),"",$L$37-1)),0,YEARFRAC(MAX($P$34*($B536+$I$38-1),IF(AND($L$37=0,$P$34=0),"",$L$37-1)),MIN(BW$38,$E536),$P$20))-SUM($BF536:BV536))</f>
        <v>0</v>
      </c>
      <c r="BX536" s="446">
        <f>IF($E536=0,0,IF(MIN(BX$38,$E536)&lt;MAX($P$34*($B536+$I$38-1),IF(AND($L$37=0,$P$34=0),"",$L$37-1)),0,YEARFRAC(MAX($P$34*($B536+$I$38-1),IF(AND($L$37=0,$P$34=0),"",$L$37-1)),MIN(BX$38,$E536),$P$20))-SUM($BF536:BW536))</f>
        <v>0</v>
      </c>
      <c r="BY536" s="446">
        <f>IF($E536=0,0,IF(MIN(BY$38,$E536)&lt;MAX($P$34*($B536+$I$38-1),IF(AND($L$37=0,$P$34=0),"",$L$37-1)),0,YEARFRAC(MAX($P$34*($B536+$I$38-1),IF(AND($L$37=0,$P$34=0),"",$L$37-1)),MIN(BY$38,$E536),$P$20))-SUM($BF536:BX536))</f>
        <v>0</v>
      </c>
      <c r="BZ536" s="446">
        <f>IF($E536=0,0,IF(MIN(BZ$38,$E536)&lt;MAX($P$34*($B536+$I$38-1),IF(AND($L$37=0,$P$34=0),"",$L$37-1)),0,YEARFRAC(MAX($P$34*($B536+$I$38-1),IF(AND($L$37=0,$P$34=0),"",$L$37-1)),MIN(BZ$38,$E536),$P$20))-SUM($BF536:BY536))</f>
        <v>0</v>
      </c>
      <c r="CA536" s="446">
        <f>IF($E536=0,0,IF(MIN(CA$38,$E536)&lt;MAX($P$34*($B536+$I$38-1),IF(AND($L$37=0,$P$34=0),"",$L$37-1)),0,YEARFRAC(MAX($P$34*($B536+$I$38-1),IF(AND($L$37=0,$P$34=0),"",$L$37-1)),MIN(CA$38,$E536),$P$20))-SUM($BF536:BZ536))</f>
        <v>0</v>
      </c>
      <c r="CB536" s="446">
        <f>IF($E536=0,0,IF(MIN(CB$38,$E536)&lt;MAX($P$34*($B536+$I$38-1),IF(AND($L$37=0,$P$34=0),"",$L$37-1)),0,YEARFRAC(MAX($P$34*($B536+$I$38-1),IF(AND($L$37=0,$P$34=0),"",$L$37-1)),MIN(CB$38,$E536),$P$20))-SUM($BF536:CA536))</f>
        <v>0</v>
      </c>
      <c r="CC536" s="446">
        <f>IF($E536=0,0,IF(MIN(CC$38,$E536)&lt;MAX($P$34*($B536+$I$38-1),IF(AND($L$37=0,$P$34=0),"",$L$37-1)),0,YEARFRAC(MAX($P$34*($B536+$I$38-1),IF(AND($L$37=0,$P$34=0),"",$L$37-1)),MIN(CC$38,$E536),$P$20))-SUM($BF536:CB536))</f>
        <v>0</v>
      </c>
      <c r="CD536" s="446">
        <f>IF($E536=0,0,IF(MIN(CD$38,$E536)&lt;MAX($P$34*($B536+$I$38-1),IF(AND($L$37=0,$P$34=0),"",$L$37-1)),0,YEARFRAC(MAX($P$34*($B536+$I$38-1),IF(AND($L$37=0,$P$34=0),"",$L$37-1)),MIN(CD$38,$E536),$P$20))-SUM($BF536:CC536))</f>
        <v>0</v>
      </c>
      <c r="CE536" s="446">
        <f>IF($E536=0,0,IF(MIN(CE$38,$E536)&lt;MAX($P$34*($B536+$I$38-1),IF(AND($L$37=0,$P$34=0),"",$L$37-1)),0,YEARFRAC(MAX($P$34*($B536+$I$38-1),IF(AND($L$37=0,$P$34=0),"",$L$37-1)),MIN(CE$38,$E536),$P$20))-SUM($BF536:CD536))</f>
        <v>0</v>
      </c>
      <c r="CF536" s="446">
        <f>IF($E536=0,0,IF(MIN(CF$38,$E536)&lt;MAX($P$34*($B536+$I$38-1),IF(AND($L$37=0,$P$34=0),"",$L$37-1)),0,YEARFRAC(MAX($P$34*($B536+$I$38-1),IF(AND($L$37=0,$P$34=0),"",$L$37-1)),MIN(CF$38,$E536),$P$20))-SUM($BF536:CE536))</f>
        <v>0</v>
      </c>
      <c r="CG536" s="446">
        <f>IF($E536=0,0,IF(MIN(CG$38,$E536)&lt;MAX($P$34*($B536+$I$38-1),IF(AND($L$37=0,$P$34=0),"",$L$37-1)),0,YEARFRAC(MAX($P$34*($B536+$I$38-1),IF(AND($L$37=0,$P$34=0),"",$L$37-1)),MIN(CG$38,$E536),$P$20))-SUM($BF536:CF536))</f>
        <v>0</v>
      </c>
      <c r="CH536" s="446">
        <f>IF($E536=0,0,IF(MIN(CH$38,$E536)&lt;MAX($P$34*($B536+$I$38-1),IF(AND($L$37=0,$P$34=0),"",$L$37-1)),0,YEARFRAC(MAX($P$34*($B536+$I$38-1),IF(AND($L$37=0,$P$34=0),"",$L$37-1)),MIN(CH$38,$E536),$P$20))-SUM($BF536:CG536))</f>
        <v>0</v>
      </c>
      <c r="CI536" s="446">
        <f>IF($E536=0,0,IF(MIN(CI$38,$E536)&lt;MAX($P$34*($B536+$I$38-1),IF(AND($L$37=0,$P$34=0),"",$L$37-1)),0,YEARFRAC(MAX($P$34*($B536+$I$38-1),IF(AND($L$37=0,$P$34=0),"",$L$37-1)),MIN(CI$38,$E536),$P$20))-SUM($BF536:CH536))</f>
        <v>0</v>
      </c>
      <c r="CJ536" s="446">
        <f>IF($E536=0,0,IF(MIN(CJ$38,$E536)&lt;MAX($P$34*($B536+$I$38-1),IF(AND($L$37=0,$P$34=0),"",$L$37-1)),0,YEARFRAC(MAX($P$34*($B536+$I$38-1),IF(AND($L$37=0,$P$34=0),"",$L$37-1)),MIN(CJ$38,$E536),$P$20))-SUM($BF536:CI536))</f>
        <v>0</v>
      </c>
      <c r="CK536" s="446">
        <f>IF($E536=0,0,IF(MIN(CK$38,$E536)&lt;MAX($P$34*($B536+$I$38-1),IF(AND($L$37=0,$P$34=0),"",$L$37-1)),0,YEARFRAC(MAX($P$34*($B536+$I$38-1),IF(AND($L$37=0,$P$34=0),"",$L$37-1)),MIN(CK$38,$E536),$P$20))-SUM($BF536:CJ536))</f>
        <v>0</v>
      </c>
      <c r="CL536" s="446">
        <f>IF($E536=0,0,IF(MIN(CL$38,$E536)&lt;MAX($P$34*($B536+$I$38-1),IF(AND($L$37=0,$P$34=0),"",$L$37-1)),0,YEARFRAC(MAX($P$34*($B536+$I$38-1),IF(AND($L$37=0,$P$34=0),"",$L$37-1)),MIN(CL$38,$E536),$P$20))-SUM($BF536:CK536))</f>
        <v>0</v>
      </c>
      <c r="CM536" s="446">
        <f>IF($E536=0,0,IF(MIN(CM$38,$E536)&lt;MAX($P$34*($B536+$I$38-1),IF(AND($L$37=0,$P$34=0),"",$L$37-1)),0,YEARFRAC(MAX($P$34*($B536+$I$38-1),IF(AND($L$37=0,$P$34=0),"",$L$37-1)),MIN(CM$38,$E536),$P$20))-SUM($BF536:CL536))</f>
        <v>0</v>
      </c>
      <c r="CN536" s="446">
        <f>IF($E536=0,0,IF(MIN(CN$38,$E536)&lt;MAX($P$34*($B536+$I$38-1),IF(AND($L$37=0,$P$34=0),"",$L$37-1)),0,YEARFRAC(MAX($P$34*($B536+$I$38-1),IF(AND($L$37=0,$P$34=0),"",$L$37-1)),MIN(CN$38,$E536),$P$20))-SUM($BF536:CM536))</f>
        <v>0</v>
      </c>
      <c r="CO536" s="446">
        <f>IF($E536=0,0,IF(MIN(CO$38,$E536)&lt;MAX($P$34*($B536+$I$38-1),IF(AND($L$37=0,$P$34=0),"",$L$37-1)),0,YEARFRAC(MAX($P$34*($B536+$I$38-1),IF(AND($L$37=0,$P$34=0),"",$L$37-1)),MIN(CO$38,$E536),$P$20))-SUM($BF536:CN536))</f>
        <v>0</v>
      </c>
      <c r="CP536" s="446">
        <f>IF($E536=0,0,IF(MIN(CP$38,$E536)&lt;MAX($P$34*($B536+$I$38-1),IF(AND($L$37=0,$P$34=0),"",$L$37-1)),0,YEARFRAC(MAX($P$34*($B536+$I$38-1),IF(AND($L$37=0,$P$34=0),"",$L$37-1)),MIN(CP$38,$E536),$P$20))-SUM($BF536:CO536))</f>
        <v>0</v>
      </c>
      <c r="CQ536" s="446">
        <f>IF($E536=0,0,IF(MIN(CQ$38,$E536)&lt;MAX($P$34*($B536+$I$38-1),IF(AND($L$37=0,$P$34=0),"",$L$37-1)),0,YEARFRAC(MAX($P$34*($B536+$I$38-1),IF(AND($L$37=0,$P$34=0),"",$L$37-1)),MIN(CQ$38,$E536),$P$20))-SUM($BF536:CP536))</f>
        <v>0</v>
      </c>
    </row>
    <row r="537" spans="1:95" s="446" customFormat="1" ht="11.25" hidden="1" customHeight="1" x14ac:dyDescent="0.2">
      <c r="A537" s="152"/>
      <c r="B537" s="153" t="str">
        <f t="shared" si="92"/>
        <v/>
      </c>
      <c r="C537" s="29" t="str">
        <f>IF(B537="","",IF($L$35="SELIC - TRIBUTOS",VLOOKUP(DATE(YEAR($D$19),MONTH($D$19)-1,1),ÍNDICES!$A:$DE,HLOOKUP($BL$25,ÍNDICES!$B$3:$T$4,2)+11)-VLOOKUP(B537,ÍNDICES!$A:$DE,HLOOKUP($BL$25,ÍNDICES!$B$3:$T$4,2)+11)+1%,IF(C$38=$W$26,$J$35,IF(ISERROR(IF(B537&gt;$D$19,1,VLOOKUP(DATE(YEAR(B537),MONTH(B537)+IF($C$35=$S$23,1,0),1),ÍNDICES!$A:$DE,$Z$35+1))),"",IF(B537&gt;$D$19,1,VLOOKUP(DATE(YEAR(B537),MONTH(B537)+IF($C$35=$S$23,1,0),1),ÍNDICES!$A:$DE,$Z$35+1))))))</f>
        <v/>
      </c>
      <c r="D537" s="154" t="str">
        <f>IF(ISERROR(IF(OR($D$38=$Y$27,$B537=""),"",VLOOKUP(B537,ÍNDICES!A:DE,AF$35+1))),"",IF(OR($D$38=$Y$27,$B537=""),"",VLOOKUP(B537,ÍNDICES!A:DE,AF$35+1)))</f>
        <v/>
      </c>
      <c r="E537" s="153"/>
      <c r="F537" s="29" t="str">
        <f>IF(E537="","",IF($L$35="SELIC - TRIBUTOS",VLOOKUP(DATE(YEAR($D$19),MONTH($D$19)-1,1),ÍNDICES!$A:$DE,HLOOKUP($BL$25,ÍNDICES!$B$3:$T$4,2)+11)-VLOOKUP(E537,ÍNDICES!$A:$DE,HLOOKUP($BL$25,ÍNDICES!$B$3:$T$4,2)+11)+1%,IF(F$38=$W$26,$J$35,IF(ISERROR(IF(E537&gt;$D$19,1,VLOOKUP(DATE(YEAR(E537),MONTH(E537)+IF($C$35=$S$23,1,0),1),ÍNDICES!$A:$DE,$Z$35+1))),"",IF(E537&gt;$D$19,1,VLOOKUP(DATE(YEAR(E537),MONTH(E537)+IF($C$35=$S$23,1,0),1),ÍNDICES!$A:$DE,$Z$35+1))))))</f>
        <v/>
      </c>
      <c r="G537" s="155"/>
      <c r="H537" s="156" t="str">
        <f t="shared" si="88"/>
        <v/>
      </c>
      <c r="I537" s="29" t="str">
        <f t="shared" si="82"/>
        <v/>
      </c>
      <c r="J537" s="5">
        <f t="shared" si="83"/>
        <v>0</v>
      </c>
      <c r="K537" s="20">
        <f t="shared" ca="1" si="84"/>
        <v>0</v>
      </c>
      <c r="L537" s="5">
        <f t="shared" ca="1" si="85"/>
        <v>0</v>
      </c>
      <c r="M537" s="64">
        <f t="shared" si="89"/>
        <v>0</v>
      </c>
      <c r="N537" s="61">
        <f t="shared" ca="1" si="90"/>
        <v>0</v>
      </c>
      <c r="O537" s="5">
        <f t="shared" ca="1" si="91"/>
        <v>0</v>
      </c>
      <c r="P537" s="446" t="e">
        <f t="shared" si="86"/>
        <v>#VALUE!</v>
      </c>
      <c r="Q537" s="446" t="e">
        <f>IF(OR($B537="",MIN(Q$38,$D$19)&lt;MAX($P$34*($B537+IF($R$17="Distrato",$I$38-1,0)),IF(AND($L$37=0,$P$34=0),"",$L$37-1),IF($R$17="Distrato",$E537,0))),0,YEARFRAC(MAX($P$34*($B537+IF($R$17="Distrato",$I$38-1,0)),IF(AND($L$37=0,$P$34=0),"",$L$37-1),IF($R$17="Distrato",$E537,0)),MIN(Q$38,$D$19),$P$20))-SUM($P537:P537)</f>
        <v>#VALUE!</v>
      </c>
      <c r="R537" s="446" t="e">
        <f>IF(OR($B537="",MIN(R$38,$D$19)&lt;MAX($P$34*($B537+IF($R$17="Distrato",$I$38-1,0)),IF(AND($L$37=0,$P$34=0),"",$L$37-1),IF($R$17="Distrato",$E537,0))),0,YEARFRAC(MAX($P$34*($B537+IF($R$17="Distrato",$I$38-1,0)),IF(AND($L$37=0,$P$34=0),"",$L$37-1),IF($R$17="Distrato",$E537,0)),MIN(R$38,$D$19),$P$20))-SUM($P537:Q537)</f>
        <v>#VALUE!</v>
      </c>
      <c r="S537" s="446" t="e">
        <f>IF(OR($B537="",MIN(S$38,$D$19)&lt;MAX($P$34*($B537+IF($R$17="Distrato",$I$38-1,0)),IF(AND($L$37=0,$P$34=0),"",$L$37-1),IF($R$17="Distrato",$E537,0))),0,YEARFRAC(MAX($P$34*($B537+IF($R$17="Distrato",$I$38-1,0)),IF(AND($L$37=0,$P$34=0),"",$L$37-1),IF($R$17="Distrato",$E537,0)),MIN(S$38,$D$19),$P$20))-SUM($P537:R537)</f>
        <v>#VALUE!</v>
      </c>
      <c r="T537" s="446" t="e">
        <f>IF(OR($B537="",MIN(T$38,$D$19)&lt;MAX($P$34*($B537+IF($R$17="Distrato",$I$38-1,0)),IF(AND($L$37=0,$P$34=0),"",$L$37-1),IF($R$17="Distrato",$E537,0))),0,YEARFRAC(MAX($P$34*($B537+IF($R$17="Distrato",$I$38-1,0)),IF(AND($L$37=0,$P$34=0),"",$L$37-1),IF($R$17="Distrato",$E537,0)),MIN(T$38,$D$19),$P$20))-SUM($P537:S537)</f>
        <v>#VALUE!</v>
      </c>
      <c r="U537" s="446" t="e">
        <f>IF(OR($B537="",MIN(U$38,$D$19)&lt;MAX($P$34*($B537+IF($R$17="Distrato",$I$38-1,0)),IF(AND($L$37=0,$P$34=0),"",$L$37-1),IF($R$17="Distrato",$E537,0))),0,YEARFRAC(MAX($P$34*($B537+IF($R$17="Distrato",$I$38-1,0)),IF(AND($L$37=0,$P$34=0),"",$L$37-1),IF($R$17="Distrato",$E537,0)),MIN(U$38,$D$19),$P$20))-SUM($P537:T537)</f>
        <v>#VALUE!</v>
      </c>
      <c r="V537" s="446" t="e">
        <f>IF(OR($B537="",MIN(V$38,$D$19)&lt;MAX($P$34*($B537+IF($R$17="Distrato",$I$38-1,0)),IF(AND($L$37=0,$P$34=0),"",$L$37-1),IF($R$17="Distrato",$E537,0))),0,YEARFRAC(MAX($P$34*($B537+IF($R$17="Distrato",$I$38-1,0)),IF(AND($L$37=0,$P$34=0),"",$L$37-1),IF($R$17="Distrato",$E537,0)),MIN(V$38,$D$19),$P$20))-SUM($P537:U537)</f>
        <v>#VALUE!</v>
      </c>
      <c r="W537" s="446" t="e">
        <f>IF(OR($B537="",MIN(W$38,$D$19)&lt;MAX($P$34*($B537+IF($R$17="Distrato",$I$38-1,0)),IF(AND($L$37=0,$P$34=0),"",$L$37-1),IF($R$17="Distrato",$E537,0))),0,YEARFRAC(MAX($P$34*($B537+IF($R$17="Distrato",$I$38-1,0)),IF(AND($L$37=0,$P$34=0),"",$L$37-1),IF($R$17="Distrato",$E537,0)),MIN(W$38,$D$19),$P$20))-SUM($P537:V537)</f>
        <v>#VALUE!</v>
      </c>
      <c r="X537" s="446" t="e">
        <f>IF(OR($B537="",MIN(X$38,$D$19)&lt;MAX($P$34*($B537+IF($R$17="Distrato",$I$38-1,0)),IF(AND($L$37=0,$P$34=0),"",$L$37-1),IF($R$17="Distrato",$E537,0))),0,YEARFRAC(MAX($P$34*($B537+IF($R$17="Distrato",$I$38-1,0)),IF(AND($L$37=0,$P$34=0),"",$L$37-1),IF($R$17="Distrato",$E537,0)),MIN(X$38,$D$19),$P$20))-SUM($P537:W537)</f>
        <v>#VALUE!</v>
      </c>
      <c r="Y537" s="446" t="e">
        <f>IF(OR($B537="",MIN(Y$38,$D$19)&lt;MAX($P$34*($B537+IF($R$17="Distrato",$I$38-1,0)),IF(AND($L$37=0,$P$34=0),"",$L$37-1),IF($R$17="Distrato",$E537,0))),0,YEARFRAC(MAX($P$34*($B537+IF($R$17="Distrato",$I$38-1,0)),IF(AND($L$37=0,$P$34=0),"",$L$37-1),IF($R$17="Distrato",$E537,0)),MIN(Y$38,$D$19),$P$20))-SUM($P537:X537)</f>
        <v>#VALUE!</v>
      </c>
      <c r="Z537" s="446" t="e">
        <f>IF(OR($B537="",MIN(Z$38,$D$19)&lt;MAX($P$34*($B537+IF($R$17="Distrato",$I$38-1,0)),IF(AND($L$37=0,$P$34=0),"",$L$37-1),IF($R$17="Distrato",$E537,0))),0,YEARFRAC(MAX($P$34*($B537+IF($R$17="Distrato",$I$38-1,0)),IF(AND($L$37=0,$P$34=0),"",$L$37-1),IF($R$17="Distrato",$E537,0)),MIN(Z$38,$D$19),$P$20))-SUM($P537:Y537)</f>
        <v>#VALUE!</v>
      </c>
      <c r="AA537" s="446" t="e">
        <f>IF(OR($B537="",MIN(AA$38,$D$19)&lt;MAX($P$34*($B537+IF($R$17="Distrato",$I$38-1,0)),IF(AND($L$37=0,$P$34=0),"",$L$37-1),IF($R$17="Distrato",$E537,0))),0,YEARFRAC(MAX($P$34*($B537+IF($R$17="Distrato",$I$38-1,0)),IF(AND($L$37=0,$P$34=0),"",$L$37-1),IF($R$17="Distrato",$E537,0)),MIN(AA$38,$D$19),$P$20))-SUM($P537:Z537)</f>
        <v>#VALUE!</v>
      </c>
      <c r="AB537" s="446" t="e">
        <f>IF(OR($B537="",MIN(AB$38,$D$19)&lt;MAX($P$34*($B537+IF($R$17="Distrato",$I$38-1,0)),IF(AND($L$37=0,$P$34=0),"",$L$37-1),IF($R$17="Distrato",$E537,0))),0,YEARFRAC(MAX($P$34*($B537+IF($R$17="Distrato",$I$38-1,0)),IF(AND($L$37=0,$P$34=0),"",$L$37-1),IF($R$17="Distrato",$E537,0)),MIN(AB$38,$D$19),$P$20))-SUM($P537:AA537)</f>
        <v>#VALUE!</v>
      </c>
      <c r="AC537" s="446" t="e">
        <f>IF(OR($B537="",MIN(AC$38,$D$19)&lt;MAX($P$34*($B537+IF($R$17="Distrato",$I$38-1,0)),IF(AND($L$37=0,$P$34=0),"",$L$37-1),IF($R$17="Distrato",$E537,0))),0,YEARFRAC(MAX($P$34*($B537+IF($R$17="Distrato",$I$38-1,0)),IF(AND($L$37=0,$P$34=0),"",$L$37-1),IF($R$17="Distrato",$E537,0)),MIN(AC$38,$D$19),$P$20))-SUM($P537:AB537)</f>
        <v>#VALUE!</v>
      </c>
      <c r="AD537" s="446" t="e">
        <f>IF(OR($B537="",MIN(AD$38,$D$19)&lt;MAX($P$34*($B537+IF($R$17="Distrato",$I$38-1,0)),IF(AND($L$37=0,$P$34=0),"",$L$37-1),IF($R$17="Distrato",$E537,0))),0,YEARFRAC(MAX($P$34*($B537+IF($R$17="Distrato",$I$38-1,0)),IF(AND($L$37=0,$P$34=0),"",$L$37-1),IF($R$17="Distrato",$E537,0)),MIN(AD$38,$D$19),$P$20))-SUM($P537:AC537)</f>
        <v>#VALUE!</v>
      </c>
      <c r="AE537" s="446" t="e">
        <f>IF(OR($B537="",MIN(AE$38,$D$19)&lt;MAX($P$34*($B537+IF($R$17="Distrato",$I$38-1,0)),IF(AND($L$37=0,$P$34=0),"",$L$37-1),IF($R$17="Distrato",$E537,0))),0,YEARFRAC(MAX($P$34*($B537+IF($R$17="Distrato",$I$38-1,0)),IF(AND($L$37=0,$P$34=0),"",$L$37-1),IF($R$17="Distrato",$E537,0)),MIN(AE$38,$D$19),$P$20))-SUM($P537:AD537)</f>
        <v>#VALUE!</v>
      </c>
      <c r="AF537" s="446" t="e">
        <f>IF(OR($B537="",MIN(AF$38,$D$19)&lt;MAX($P$34*($B537+IF($R$17="Distrato",$I$38-1,0)),IF(AND($L$37=0,$P$34=0),"",$L$37-1),IF($R$17="Distrato",$E537,0))),0,YEARFRAC(MAX($P$34*($B537+IF($R$17="Distrato",$I$38-1,0)),IF(AND($L$37=0,$P$34=0),"",$L$37-1),IF($R$17="Distrato",$E537,0)),MIN(AF$38,$D$19),$P$20))-SUM($P537:AE537)</f>
        <v>#VALUE!</v>
      </c>
      <c r="AG537" s="446" t="e">
        <f>IF(OR($B537="",MIN(AG$38,$D$19)&lt;MAX($P$34*($B537+IF($R$17="Distrato",$I$38-1,0)),IF(AND($L$37=0,$P$34=0),"",$L$37-1),IF($R$17="Distrato",$E537,0))),0,YEARFRAC(MAX($P$34*($B537+IF($R$17="Distrato",$I$38-1,0)),IF(AND($L$37=0,$P$34=0),"",$L$37-1),IF($R$17="Distrato",$E537,0)),MIN(AG$38,$D$19),$P$20))-SUM($P537:AF537)</f>
        <v>#VALUE!</v>
      </c>
      <c r="AH537" s="446" t="e">
        <f>IF(OR($B537="",MIN(AH$38,$D$19)&lt;MAX($P$34*($B537+IF($R$17="Distrato",$I$38-1,0)),IF(AND($L$37=0,$P$34=0),"",$L$37-1),IF($R$17="Distrato",$E537,0))),0,YEARFRAC(MAX($P$34*($B537+IF($R$17="Distrato",$I$38-1,0)),IF(AND($L$37=0,$P$34=0),"",$L$37-1),IF($R$17="Distrato",$E537,0)),MIN(AH$38,$D$19),$P$20))-SUM($P537:AG537)</f>
        <v>#VALUE!</v>
      </c>
      <c r="AI537" s="446" t="e">
        <f>IF(OR($B537="",MIN(AI$38,$D$19)&lt;MAX($P$34*($B537+IF($R$17="Distrato",$I$38-1,0)),IF(AND($L$37=0,$P$34=0),"",$L$37-1),IF($R$17="Distrato",$E537,0))),0,YEARFRAC(MAX($P$34*($B537+IF($R$17="Distrato",$I$38-1,0)),IF(AND($L$37=0,$P$34=0),"",$L$37-1),IF($R$17="Distrato",$E537,0)),MIN(AI$38,$D$19),$P$20))-SUM($P537:AH537)</f>
        <v>#VALUE!</v>
      </c>
      <c r="AJ537" s="446" t="e">
        <f>IF(OR($B537="",MIN(AJ$38,$D$19)&lt;MAX($P$34*($B537+IF($R$17="Distrato",$I$38-1,0)),IF(AND($L$37=0,$P$34=0),"",$L$37-1),IF($R$17="Distrato",$E537,0))),0,YEARFRAC(MAX($P$34*($B537+IF($R$17="Distrato",$I$38-1,0)),IF(AND($L$37=0,$P$34=0),"",$L$37-1),IF($R$17="Distrato",$E537,0)),MIN(AJ$38,$D$19),$P$20))-SUM($P537:AI537)</f>
        <v>#VALUE!</v>
      </c>
      <c r="AK537" s="446" t="e">
        <f>IF(OR($B537="",MIN(AK$38,$D$19)&lt;MAX($P$34*($B537+IF($R$17="Distrato",$I$38-1,0)),IF(AND($L$37=0,$P$34=0),"",$L$37-1),IF($R$17="Distrato",$E537,0))),0,YEARFRAC(MAX($P$34*($B537+IF($R$17="Distrato",$I$38-1,0)),IF(AND($L$37=0,$P$34=0),"",$L$37-1),IF($R$17="Distrato",$E537,0)),MIN(AK$38,$D$19),$P$20))-SUM($P537:AJ537)</f>
        <v>#VALUE!</v>
      </c>
      <c r="AL537" s="446" t="e">
        <f>IF(OR($B537="",MIN(AL$38,$D$19)&lt;MAX($P$34*($B537+IF($R$17="Distrato",$I$38-1,0)),IF(AND($L$37=0,$P$34=0),"",$L$37-1),IF($R$17="Distrato",$E537,0))),0,YEARFRAC(MAX($P$34*($B537+IF($R$17="Distrato",$I$38-1,0)),IF(AND($L$37=0,$P$34=0),"",$L$37-1),IF($R$17="Distrato",$E537,0)),MIN(AL$38,$D$19),$P$20))-SUM($P537:AK537)</f>
        <v>#VALUE!</v>
      </c>
      <c r="AM537" s="446" t="e">
        <f>IF(OR($B537="",MIN(AM$38,$D$19)&lt;MAX($P$34*($B537+IF($R$17="Distrato",$I$38-1,0)),IF(AND($L$37=0,$P$34=0),"",$L$37-1),IF($R$17="Distrato",$E537,0))),0,YEARFRAC(MAX($P$34*($B537+IF($R$17="Distrato",$I$38-1,0)),IF(AND($L$37=0,$P$34=0),"",$L$37-1),IF($R$17="Distrato",$E537,0)),MIN(AM$38,$D$19),$P$20))-SUM($P537:AL537)</f>
        <v>#VALUE!</v>
      </c>
      <c r="AN537" s="446" t="e">
        <f>IF(OR($B537="",MIN(AN$38,$D$19)&lt;MAX($P$34*($B537+IF($R$17="Distrato",$I$38-1,0)),IF(AND($L$37=0,$P$34=0),"",$L$37-1),IF($R$17="Distrato",$E537,0))),0,YEARFRAC(MAX($P$34*($B537+IF($R$17="Distrato",$I$38-1,0)),IF(AND($L$37=0,$P$34=0),"",$L$37-1),IF($R$17="Distrato",$E537,0)),MIN(AN$38,$D$19),$P$20))-SUM($P537:AM537)</f>
        <v>#VALUE!</v>
      </c>
      <c r="AO537" s="446" t="e">
        <f>IF(OR($B537="",MIN(AO$38,$D$19)&lt;MAX($P$34*($B537+IF($R$17="Distrato",$I$38-1,0)),IF(AND($L$37=0,$P$34=0),"",$L$37-1),IF($R$17="Distrato",$E537,0))),0,YEARFRAC(MAX($P$34*($B537+IF($R$17="Distrato",$I$38-1,0)),IF(AND($L$37=0,$P$34=0),"",$L$37-1),IF($R$17="Distrato",$E537,0)),MIN(AO$38,$D$19),$P$20))-SUM($P537:AN537)</f>
        <v>#VALUE!</v>
      </c>
      <c r="AP537" s="446" t="e">
        <f>IF(OR($B537="",MIN(AP$38,$D$19)&lt;MAX($P$34*($B537+IF($R$17="Distrato",$I$38-1,0)),IF(AND($L$37=0,$P$34=0),"",$L$37-1),IF($R$17="Distrato",$E537,0))),0,YEARFRAC(MAX($P$34*($B537+IF($R$17="Distrato",$I$38-1,0)),IF(AND($L$37=0,$P$34=0),"",$L$37-1),IF($R$17="Distrato",$E537,0)),MIN(AP$38,$D$19),$P$20))-SUM($P537:AO537)</f>
        <v>#VALUE!</v>
      </c>
      <c r="AQ537" s="446" t="e">
        <f>IF(OR($B537="",MIN(AQ$38,$D$19)&lt;MAX($P$34*($B537+IF($R$17="Distrato",$I$38-1,0)),IF(AND($L$37=0,$P$34=0),"",$L$37-1),IF($R$17="Distrato",$E537,0))),0,YEARFRAC(MAX($P$34*($B537+IF($R$17="Distrato",$I$38-1,0)),IF(AND($L$37=0,$P$34=0),"",$L$37-1),IF($R$17="Distrato",$E537,0)),MIN(AQ$38,$D$19),$P$20))-SUM($P537:AP537)</f>
        <v>#VALUE!</v>
      </c>
      <c r="AR537" s="446" t="e">
        <f>IF(OR($B537="",MIN(AR$38,$D$19)&lt;MAX($P$34*($B537+IF($R$17="Distrato",$I$38-1,0)),IF(AND($L$37=0,$P$34=0),"",$L$37-1),IF($R$17="Distrato",$E537,0))),0,YEARFRAC(MAX($P$34*($B537+IF($R$17="Distrato",$I$38-1,0)),IF(AND($L$37=0,$P$34=0),"",$L$37-1),IF($R$17="Distrato",$E537,0)),MIN(AR$38,$D$19),$P$20))-SUM($P537:AQ537)</f>
        <v>#VALUE!</v>
      </c>
      <c r="AS537" s="446" t="e">
        <f>IF(OR($B537="",MIN(AS$38,$D$19)&lt;MAX($P$34*($B537+IF($R$17="Distrato",$I$38-1,0)),IF(AND($L$37=0,$P$34=0),"",$L$37-1),IF($R$17="Distrato",$E537,0))),0,YEARFRAC(MAX($P$34*($B537+IF($R$17="Distrato",$I$38-1,0)),IF(AND($L$37=0,$P$34=0),"",$L$37-1),IF($R$17="Distrato",$E537,0)),MIN(AS$38,$D$19),$P$20))-SUM($P537:AR537)</f>
        <v>#VALUE!</v>
      </c>
      <c r="AT537" s="446" t="e">
        <f>IF(OR($B537="",MIN(AT$38,$D$19)&lt;MAX($P$34*($B537+IF($R$17="Distrato",$I$38-1,0)),IF(AND($L$37=0,$P$34=0),"",$L$37-1),IF($R$17="Distrato",$E537,0))),0,YEARFRAC(MAX($P$34*($B537+IF($R$17="Distrato",$I$38-1,0)),IF(AND($L$37=0,$P$34=0),"",$L$37-1),IF($R$17="Distrato",$E537,0)),MIN(AT$38,$D$19),$P$20))-SUM($P537:AS537)</f>
        <v>#VALUE!</v>
      </c>
      <c r="AU537" s="446" t="e">
        <f>IF(OR($B537="",MIN(AU$38,$D$19)&lt;MAX($P$34*($B537+IF($R$17="Distrato",$I$38-1,0)),IF(AND($L$37=0,$P$34=0),"",$L$37-1),IF($R$17="Distrato",$E537,0))),0,YEARFRAC(MAX($P$34*($B537+IF($R$17="Distrato",$I$38-1,0)),IF(AND($L$37=0,$P$34=0),"",$L$37-1),IF($R$17="Distrato",$E537,0)),MIN(AU$38,$D$19),$P$20))-SUM($P537:AT537)</f>
        <v>#VALUE!</v>
      </c>
      <c r="AV537" s="446" t="e">
        <f>IF(OR($B537="",MIN(AV$38,$D$19)&lt;MAX($P$34*($B537+IF($R$17="Distrato",$I$38-1,0)),IF(AND($L$37=0,$P$34=0),"",$L$37-1),IF($R$17="Distrato",$E537,0))),0,YEARFRAC(MAX($P$34*($B537+IF($R$17="Distrato",$I$38-1,0)),IF(AND($L$37=0,$P$34=0),"",$L$37-1),IF($R$17="Distrato",$E537,0)),MIN(AV$38,$D$19),$P$20))-SUM($P537:AU537)</f>
        <v>#VALUE!</v>
      </c>
      <c r="AW537" s="446" t="e">
        <f>IF(OR($B537="",MIN(AW$38,$D$19)&lt;MAX($P$34*($B537+IF($R$17="Distrato",$I$38-1,0)),IF(AND($L$37=0,$P$34=0),"",$L$37-1),IF($R$17="Distrato",$E537,0))),0,YEARFRAC(MAX($P$34*($B537+IF($R$17="Distrato",$I$38-1,0)),IF(AND($L$37=0,$P$34=0),"",$L$37-1),IF($R$17="Distrato",$E537,0)),MIN(AW$38,$D$19),$P$20))-SUM($P537:AV537)</f>
        <v>#VALUE!</v>
      </c>
      <c r="AX537" s="446" t="e">
        <f>IF(OR($B537="",MIN(AX$38,$D$19)&lt;MAX($P$34*($B537+IF($R$17="Distrato",$I$38-1,0)),IF(AND($L$37=0,$P$34=0),"",$L$37-1),IF($R$17="Distrato",$E537,0))),0,YEARFRAC(MAX($P$34*($B537+IF($R$17="Distrato",$I$38-1,0)),IF(AND($L$37=0,$P$34=0),"",$L$37-1),IF($R$17="Distrato",$E537,0)),MIN(AX$38,$D$19),$P$20))-SUM($P537:AW537)</f>
        <v>#VALUE!</v>
      </c>
      <c r="AY537" s="446" t="e">
        <f>IF(OR($B537="",MIN(AY$38,$D$19)&lt;MAX($P$34*($B537+IF($R$17="Distrato",$I$38-1,0)),IF(AND($L$37=0,$P$34=0),"",$L$37-1),IF($R$17="Distrato",$E537,0))),0,YEARFRAC(MAX($P$34*($B537+IF($R$17="Distrato",$I$38-1,0)),IF(AND($L$37=0,$P$34=0),"",$L$37-1),IF($R$17="Distrato",$E537,0)),MIN(AY$38,$D$19),$P$20))-SUM($P537:AX537)</f>
        <v>#VALUE!</v>
      </c>
      <c r="AZ537" s="446" t="e">
        <f>IF(OR($B537="",MIN(AZ$38,$D$19)&lt;MAX($P$34*($B537+IF($R$17="Distrato",$I$38-1,0)),IF(AND($L$37=0,$P$34=0),"",$L$37-1),IF($R$17="Distrato",$E537,0))),0,YEARFRAC(MAX($P$34*($B537+IF($R$17="Distrato",$I$38-1,0)),IF(AND($L$37=0,$P$34=0),"",$L$37-1),IF($R$17="Distrato",$E537,0)),MIN(AZ$38,$D$19),$P$20))-SUM($P537:AY537)</f>
        <v>#VALUE!</v>
      </c>
      <c r="BA537" s="446" t="e">
        <f>IF(OR($B537="",MIN(BA$38,$D$19)&lt;MAX($P$34*($B537+IF($R$17="Distrato",$I$38-1,0)),IF(AND($L$37=0,$P$34=0),"",$L$37-1),IF($R$17="Distrato",$E537,0))),0,YEARFRAC(MAX($P$34*($B537+IF($R$17="Distrato",$I$38-1,0)),IF(AND($L$37=0,$P$34=0),"",$L$37-1),IF($R$17="Distrato",$E537,0)),MIN(BA$38,$D$19),$P$20))-SUM($P537:AZ537)</f>
        <v>#VALUE!</v>
      </c>
      <c r="BB537" s="447"/>
      <c r="BF537" s="446">
        <f t="shared" si="87"/>
        <v>0</v>
      </c>
      <c r="BG537" s="446">
        <f>IF($E537=0,0,IF(MIN(BG$38,$E537)&lt;MAX($P$34*($B537+$I$38-1),IF(AND($L$37=0,$P$34=0),"",$L$37-1)),0,YEARFRAC(MAX($P$34*($B537+$I$38-1),IF(AND($L$37=0,$P$34=0),"",$L$37-1)),MIN(BG$38,$E537),$P$20))-SUM($BF537:BF537))</f>
        <v>0</v>
      </c>
      <c r="BH537" s="446">
        <f>IF($E537=0,0,IF(MIN(BH$38,$E537)&lt;MAX($P$34*($B537+$I$38-1),IF(AND($L$37=0,$P$34=0),"",$L$37-1)),0,YEARFRAC(MAX($P$34*($B537+$I$38-1),IF(AND($L$37=0,$P$34=0),"",$L$37-1)),MIN(BH$38,$E537),$P$20))-SUM($BF537:BG537))</f>
        <v>0</v>
      </c>
      <c r="BI537" s="446">
        <f>IF($E537=0,0,IF(MIN(BI$38,$E537)&lt;MAX($P$34*($B537+$I$38-1),IF(AND($L$37=0,$P$34=0),"",$L$37-1)),0,YEARFRAC(MAX($P$34*($B537+$I$38-1),IF(AND($L$37=0,$P$34=0),"",$L$37-1)),MIN(BI$38,$E537),$P$20))-SUM($BF537:BH537))</f>
        <v>0</v>
      </c>
      <c r="BJ537" s="446">
        <f>IF($E537=0,0,IF(MIN(BJ$38,$E537)&lt;MAX($P$34*($B537+$I$38-1),IF(AND($L$37=0,$P$34=0),"",$L$37-1)),0,YEARFRAC(MAX($P$34*($B537+$I$38-1),IF(AND($L$37=0,$P$34=0),"",$L$37-1)),MIN(BJ$38,$E537),$P$20))-SUM($BF537:BI537))</f>
        <v>0</v>
      </c>
      <c r="BK537" s="446">
        <f>IF($E537=0,0,IF(MIN(BK$38,$E537)&lt;MAX($P$34*($B537+$I$38-1),IF(AND($L$37=0,$P$34=0),"",$L$37-1)),0,YEARFRAC(MAX($P$34*($B537+$I$38-1),IF(AND($L$37=0,$P$34=0),"",$L$37-1)),MIN(BK$38,$E537),$P$20))-SUM($BF537:BJ537))</f>
        <v>0</v>
      </c>
      <c r="BL537" s="446">
        <f>IF($E537=0,0,IF(MIN(BL$38,$E537)&lt;MAX($P$34*($B537+$I$38-1),IF(AND($L$37=0,$P$34=0),"",$L$37-1)),0,YEARFRAC(MAX($P$34*($B537+$I$38-1),IF(AND($L$37=0,$P$34=0),"",$L$37-1)),MIN(BL$38,$E537),$P$20))-SUM($BF537:BK537))</f>
        <v>0</v>
      </c>
      <c r="BM537" s="446">
        <f>IF($E537=0,0,IF(MIN(BM$38,$E537)&lt;MAX($P$34*($B537+$I$38-1),IF(AND($L$37=0,$P$34=0),"",$L$37-1)),0,YEARFRAC(MAX($P$34*($B537+$I$38-1),IF(AND($L$37=0,$P$34=0),"",$L$37-1)),MIN(BM$38,$E537),$P$20))-SUM($BF537:BL537))</f>
        <v>0</v>
      </c>
      <c r="BN537" s="446">
        <f>IF($E537=0,0,IF(MIN(BN$38,$E537)&lt;MAX($P$34*($B537+$I$38-1),IF(AND($L$37=0,$P$34=0),"",$L$37-1)),0,YEARFRAC(MAX($P$34*($B537+$I$38-1),IF(AND($L$37=0,$P$34=0),"",$L$37-1)),MIN(BN$38,$E537),$P$20))-SUM($BF537:BM537))</f>
        <v>0</v>
      </c>
      <c r="BO537" s="446">
        <f>IF($E537=0,0,IF(MIN(BO$38,$E537)&lt;MAX($P$34*($B537+$I$38-1),IF(AND($L$37=0,$P$34=0),"",$L$37-1)),0,YEARFRAC(MAX($P$34*($B537+$I$38-1),IF(AND($L$37=0,$P$34=0),"",$L$37-1)),MIN(BO$38,$E537),$P$20))-SUM($BF537:BN537))</f>
        <v>0</v>
      </c>
      <c r="BP537" s="446">
        <f>IF($E537=0,0,IF(MIN(BP$38,$E537)&lt;MAX($P$34*($B537+$I$38-1),IF(AND($L$37=0,$P$34=0),"",$L$37-1)),0,YEARFRAC(MAX($P$34*($B537+$I$38-1),IF(AND($L$37=0,$P$34=0),"",$L$37-1)),MIN(BP$38,$E537),$P$20))-SUM($BF537:BO537))</f>
        <v>0</v>
      </c>
      <c r="BQ537" s="446">
        <f>IF($E537=0,0,IF(MIN(BQ$38,$E537)&lt;MAX($P$34*($B537+$I$38-1),IF(AND($L$37=0,$P$34=0),"",$L$37-1)),0,YEARFRAC(MAX($P$34*($B537+$I$38-1),IF(AND($L$37=0,$P$34=0),"",$L$37-1)),MIN(BQ$38,$E537),$P$20))-SUM($BF537:BP537))</f>
        <v>0</v>
      </c>
      <c r="BR537" s="446">
        <f>IF($E537=0,0,IF(MIN(BR$38,$E537)&lt;MAX($P$34*($B537+$I$38-1),IF(AND($L$37=0,$P$34=0),"",$L$37-1)),0,YEARFRAC(MAX($P$34*($B537+$I$38-1),IF(AND($L$37=0,$P$34=0),"",$L$37-1)),MIN(BR$38,$E537),$P$20))-SUM($BF537:BQ537))</f>
        <v>0</v>
      </c>
      <c r="BS537" s="446">
        <f>IF($E537=0,0,IF(MIN(BS$38,$E537)&lt;MAX($P$34*($B537+$I$38-1),IF(AND($L$37=0,$P$34=0),"",$L$37-1)),0,YEARFRAC(MAX($P$34*($B537+$I$38-1),IF(AND($L$37=0,$P$34=0),"",$L$37-1)),MIN(BS$38,$E537),$P$20))-SUM($BF537:BR537))</f>
        <v>0</v>
      </c>
      <c r="BT537" s="446">
        <f>IF($E537=0,0,IF(MIN(BT$38,$E537)&lt;MAX($P$34*($B537+$I$38-1),IF(AND($L$37=0,$P$34=0),"",$L$37-1)),0,YEARFRAC(MAX($P$34*($B537+$I$38-1),IF(AND($L$37=0,$P$34=0),"",$L$37-1)),MIN(BT$38,$E537),$P$20))-SUM($BF537:BS537))</f>
        <v>0</v>
      </c>
      <c r="BU537" s="446">
        <f>IF($E537=0,0,IF(MIN(BU$38,$E537)&lt;MAX($P$34*($B537+$I$38-1),IF(AND($L$37=0,$P$34=0),"",$L$37-1)),0,YEARFRAC(MAX($P$34*($B537+$I$38-1),IF(AND($L$37=0,$P$34=0),"",$L$37-1)),MIN(BU$38,$E537),$P$20))-SUM($BF537:BT537))</f>
        <v>0</v>
      </c>
      <c r="BV537" s="446">
        <f>IF($E537=0,0,IF(MIN(BV$38,$E537)&lt;MAX($P$34*($B537+$I$38-1),IF(AND($L$37=0,$P$34=0),"",$L$37-1)),0,YEARFRAC(MAX($P$34*($B537+$I$38-1),IF(AND($L$37=0,$P$34=0),"",$L$37-1)),MIN(BV$38,$E537),$P$20))-SUM($BF537:BU537))</f>
        <v>0</v>
      </c>
      <c r="BW537" s="446">
        <f>IF($E537=0,0,IF(MIN(BW$38,$E537)&lt;MAX($P$34*($B537+$I$38-1),IF(AND($L$37=0,$P$34=0),"",$L$37-1)),0,YEARFRAC(MAX($P$34*($B537+$I$38-1),IF(AND($L$37=0,$P$34=0),"",$L$37-1)),MIN(BW$38,$E537),$P$20))-SUM($BF537:BV537))</f>
        <v>0</v>
      </c>
      <c r="BX537" s="446">
        <f>IF($E537=0,0,IF(MIN(BX$38,$E537)&lt;MAX($P$34*($B537+$I$38-1),IF(AND($L$37=0,$P$34=0),"",$L$37-1)),0,YEARFRAC(MAX($P$34*($B537+$I$38-1),IF(AND($L$37=0,$P$34=0),"",$L$37-1)),MIN(BX$38,$E537),$P$20))-SUM($BF537:BW537))</f>
        <v>0</v>
      </c>
      <c r="BY537" s="446">
        <f>IF($E537=0,0,IF(MIN(BY$38,$E537)&lt;MAX($P$34*($B537+$I$38-1),IF(AND($L$37=0,$P$34=0),"",$L$37-1)),0,YEARFRAC(MAX($P$34*($B537+$I$38-1),IF(AND($L$37=0,$P$34=0),"",$L$37-1)),MIN(BY$38,$E537),$P$20))-SUM($BF537:BX537))</f>
        <v>0</v>
      </c>
      <c r="BZ537" s="446">
        <f>IF($E537=0,0,IF(MIN(BZ$38,$E537)&lt;MAX($P$34*($B537+$I$38-1),IF(AND($L$37=0,$P$34=0),"",$L$37-1)),0,YEARFRAC(MAX($P$34*($B537+$I$38-1),IF(AND($L$37=0,$P$34=0),"",$L$37-1)),MIN(BZ$38,$E537),$P$20))-SUM($BF537:BY537))</f>
        <v>0</v>
      </c>
      <c r="CA537" s="446">
        <f>IF($E537=0,0,IF(MIN(CA$38,$E537)&lt;MAX($P$34*($B537+$I$38-1),IF(AND($L$37=0,$P$34=0),"",$L$37-1)),0,YEARFRAC(MAX($P$34*($B537+$I$38-1),IF(AND($L$37=0,$P$34=0),"",$L$37-1)),MIN(CA$38,$E537),$P$20))-SUM($BF537:BZ537))</f>
        <v>0</v>
      </c>
      <c r="CB537" s="446">
        <f>IF($E537=0,0,IF(MIN(CB$38,$E537)&lt;MAX($P$34*($B537+$I$38-1),IF(AND($L$37=0,$P$34=0),"",$L$37-1)),0,YEARFRAC(MAX($P$34*($B537+$I$38-1),IF(AND($L$37=0,$P$34=0),"",$L$37-1)),MIN(CB$38,$E537),$P$20))-SUM($BF537:CA537))</f>
        <v>0</v>
      </c>
      <c r="CC537" s="446">
        <f>IF($E537=0,0,IF(MIN(CC$38,$E537)&lt;MAX($P$34*($B537+$I$38-1),IF(AND($L$37=0,$P$34=0),"",$L$37-1)),0,YEARFRAC(MAX($P$34*($B537+$I$38-1),IF(AND($L$37=0,$P$34=0),"",$L$37-1)),MIN(CC$38,$E537),$P$20))-SUM($BF537:CB537))</f>
        <v>0</v>
      </c>
      <c r="CD537" s="446">
        <f>IF($E537=0,0,IF(MIN(CD$38,$E537)&lt;MAX($P$34*($B537+$I$38-1),IF(AND($L$37=0,$P$34=0),"",$L$37-1)),0,YEARFRAC(MAX($P$34*($B537+$I$38-1),IF(AND($L$37=0,$P$34=0),"",$L$37-1)),MIN(CD$38,$E537),$P$20))-SUM($BF537:CC537))</f>
        <v>0</v>
      </c>
      <c r="CE537" s="446">
        <f>IF($E537=0,0,IF(MIN(CE$38,$E537)&lt;MAX($P$34*($B537+$I$38-1),IF(AND($L$37=0,$P$34=0),"",$L$37-1)),0,YEARFRAC(MAX($P$34*($B537+$I$38-1),IF(AND($L$37=0,$P$34=0),"",$L$37-1)),MIN(CE$38,$E537),$P$20))-SUM($BF537:CD537))</f>
        <v>0</v>
      </c>
      <c r="CF537" s="446">
        <f>IF($E537=0,0,IF(MIN(CF$38,$E537)&lt;MAX($P$34*($B537+$I$38-1),IF(AND($L$37=0,$P$34=0),"",$L$37-1)),0,YEARFRAC(MAX($P$34*($B537+$I$38-1),IF(AND($L$37=0,$P$34=0),"",$L$37-1)),MIN(CF$38,$E537),$P$20))-SUM($BF537:CE537))</f>
        <v>0</v>
      </c>
      <c r="CG537" s="446">
        <f>IF($E537=0,0,IF(MIN(CG$38,$E537)&lt;MAX($P$34*($B537+$I$38-1),IF(AND($L$37=0,$P$34=0),"",$L$37-1)),0,YEARFRAC(MAX($P$34*($B537+$I$38-1),IF(AND($L$37=0,$P$34=0),"",$L$37-1)),MIN(CG$38,$E537),$P$20))-SUM($BF537:CF537))</f>
        <v>0</v>
      </c>
      <c r="CH537" s="446">
        <f>IF($E537=0,0,IF(MIN(CH$38,$E537)&lt;MAX($P$34*($B537+$I$38-1),IF(AND($L$37=0,$P$34=0),"",$L$37-1)),0,YEARFRAC(MAX($P$34*($B537+$I$38-1),IF(AND($L$37=0,$P$34=0),"",$L$37-1)),MIN(CH$38,$E537),$P$20))-SUM($BF537:CG537))</f>
        <v>0</v>
      </c>
      <c r="CI537" s="446">
        <f>IF($E537=0,0,IF(MIN(CI$38,$E537)&lt;MAX($P$34*($B537+$I$38-1),IF(AND($L$37=0,$P$34=0),"",$L$37-1)),0,YEARFRAC(MAX($P$34*($B537+$I$38-1),IF(AND($L$37=0,$P$34=0),"",$L$37-1)),MIN(CI$38,$E537),$P$20))-SUM($BF537:CH537))</f>
        <v>0</v>
      </c>
      <c r="CJ537" s="446">
        <f>IF($E537=0,0,IF(MIN(CJ$38,$E537)&lt;MAX($P$34*($B537+$I$38-1),IF(AND($L$37=0,$P$34=0),"",$L$37-1)),0,YEARFRAC(MAX($P$34*($B537+$I$38-1),IF(AND($L$37=0,$P$34=0),"",$L$37-1)),MIN(CJ$38,$E537),$P$20))-SUM($BF537:CI537))</f>
        <v>0</v>
      </c>
      <c r="CK537" s="446">
        <f>IF($E537=0,0,IF(MIN(CK$38,$E537)&lt;MAX($P$34*($B537+$I$38-1),IF(AND($L$37=0,$P$34=0),"",$L$37-1)),0,YEARFRAC(MAX($P$34*($B537+$I$38-1),IF(AND($L$37=0,$P$34=0),"",$L$37-1)),MIN(CK$38,$E537),$P$20))-SUM($BF537:CJ537))</f>
        <v>0</v>
      </c>
      <c r="CL537" s="446">
        <f>IF($E537=0,0,IF(MIN(CL$38,$E537)&lt;MAX($P$34*($B537+$I$38-1),IF(AND($L$37=0,$P$34=0),"",$L$37-1)),0,YEARFRAC(MAX($P$34*($B537+$I$38-1),IF(AND($L$37=0,$P$34=0),"",$L$37-1)),MIN(CL$38,$E537),$P$20))-SUM($BF537:CK537))</f>
        <v>0</v>
      </c>
      <c r="CM537" s="446">
        <f>IF($E537=0,0,IF(MIN(CM$38,$E537)&lt;MAX($P$34*($B537+$I$38-1),IF(AND($L$37=0,$P$34=0),"",$L$37-1)),0,YEARFRAC(MAX($P$34*($B537+$I$38-1),IF(AND($L$37=0,$P$34=0),"",$L$37-1)),MIN(CM$38,$E537),$P$20))-SUM($BF537:CL537))</f>
        <v>0</v>
      </c>
      <c r="CN537" s="446">
        <f>IF($E537=0,0,IF(MIN(CN$38,$E537)&lt;MAX($P$34*($B537+$I$38-1),IF(AND($L$37=0,$P$34=0),"",$L$37-1)),0,YEARFRAC(MAX($P$34*($B537+$I$38-1),IF(AND($L$37=0,$P$34=0),"",$L$37-1)),MIN(CN$38,$E537),$P$20))-SUM($BF537:CM537))</f>
        <v>0</v>
      </c>
      <c r="CO537" s="446">
        <f>IF($E537=0,0,IF(MIN(CO$38,$E537)&lt;MAX($P$34*($B537+$I$38-1),IF(AND($L$37=0,$P$34=0),"",$L$37-1)),0,YEARFRAC(MAX($P$34*($B537+$I$38-1),IF(AND($L$37=0,$P$34=0),"",$L$37-1)),MIN(CO$38,$E537),$P$20))-SUM($BF537:CN537))</f>
        <v>0</v>
      </c>
      <c r="CP537" s="446">
        <f>IF($E537=0,0,IF(MIN(CP$38,$E537)&lt;MAX($P$34*($B537+$I$38-1),IF(AND($L$37=0,$P$34=0),"",$L$37-1)),0,YEARFRAC(MAX($P$34*($B537+$I$38-1),IF(AND($L$37=0,$P$34=0),"",$L$37-1)),MIN(CP$38,$E537),$P$20))-SUM($BF537:CO537))</f>
        <v>0</v>
      </c>
      <c r="CQ537" s="446">
        <f>IF($E537=0,0,IF(MIN(CQ$38,$E537)&lt;MAX($P$34*($B537+$I$38-1),IF(AND($L$37=0,$P$34=0),"",$L$37-1)),0,YEARFRAC(MAX($P$34*($B537+$I$38-1),IF(AND($L$37=0,$P$34=0),"",$L$37-1)),MIN(CQ$38,$E537),$P$20))-SUM($BF537:CP537))</f>
        <v>0</v>
      </c>
    </row>
    <row r="538" spans="1:95" s="446" customFormat="1" ht="11.25" hidden="1" customHeight="1" x14ac:dyDescent="0.2">
      <c r="A538" s="152"/>
      <c r="B538" s="153" t="str">
        <f t="shared" si="92"/>
        <v/>
      </c>
      <c r="C538" s="29" t="str">
        <f>IF(B538="","",IF($L$35="SELIC - TRIBUTOS",VLOOKUP(DATE(YEAR($D$19),MONTH($D$19)-1,1),ÍNDICES!$A:$DE,HLOOKUP($BL$25,ÍNDICES!$B$3:$T$4,2)+11)-VLOOKUP(B538,ÍNDICES!$A:$DE,HLOOKUP($BL$25,ÍNDICES!$B$3:$T$4,2)+11)+1%,IF(C$38=$W$26,$J$35,IF(ISERROR(IF(B538&gt;$D$19,1,VLOOKUP(DATE(YEAR(B538),MONTH(B538)+IF($C$35=$S$23,1,0),1),ÍNDICES!$A:$DE,$Z$35+1))),"",IF(B538&gt;$D$19,1,VLOOKUP(DATE(YEAR(B538),MONTH(B538)+IF($C$35=$S$23,1,0),1),ÍNDICES!$A:$DE,$Z$35+1))))))</f>
        <v/>
      </c>
      <c r="D538" s="154" t="str">
        <f>IF(ISERROR(IF(OR($D$38=$Y$27,$B538=""),"",VLOOKUP(B538,ÍNDICES!A:DE,AF$35+1))),"",IF(OR($D$38=$Y$27,$B538=""),"",VLOOKUP(B538,ÍNDICES!A:DE,AF$35+1)))</f>
        <v/>
      </c>
      <c r="E538" s="153"/>
      <c r="F538" s="29" t="str">
        <f>IF(E538="","",IF($L$35="SELIC - TRIBUTOS",VLOOKUP(DATE(YEAR($D$19),MONTH($D$19)-1,1),ÍNDICES!$A:$DE,HLOOKUP($BL$25,ÍNDICES!$B$3:$T$4,2)+11)-VLOOKUP(E538,ÍNDICES!$A:$DE,HLOOKUP($BL$25,ÍNDICES!$B$3:$T$4,2)+11)+1%,IF(F$38=$W$26,$J$35,IF(ISERROR(IF(E538&gt;$D$19,1,VLOOKUP(DATE(YEAR(E538),MONTH(E538)+IF($C$35=$S$23,1,0),1),ÍNDICES!$A:$DE,$Z$35+1))),"",IF(E538&gt;$D$19,1,VLOOKUP(DATE(YEAR(E538),MONTH(E538)+IF($C$35=$S$23,1,0),1),ÍNDICES!$A:$DE,$Z$35+1))))))</f>
        <v/>
      </c>
      <c r="G538" s="155"/>
      <c r="H538" s="156" t="str">
        <f t="shared" si="88"/>
        <v/>
      </c>
      <c r="I538" s="29" t="str">
        <f t="shared" si="82"/>
        <v/>
      </c>
      <c r="J538" s="5">
        <f t="shared" si="83"/>
        <v>0</v>
      </c>
      <c r="K538" s="20">
        <f t="shared" ca="1" si="84"/>
        <v>0</v>
      </c>
      <c r="L538" s="5">
        <f t="shared" ca="1" si="85"/>
        <v>0</v>
      </c>
      <c r="M538" s="64">
        <f t="shared" si="89"/>
        <v>0</v>
      </c>
      <c r="N538" s="61">
        <f t="shared" ca="1" si="90"/>
        <v>0</v>
      </c>
      <c r="O538" s="5">
        <f t="shared" ca="1" si="91"/>
        <v>0</v>
      </c>
      <c r="P538" s="446" t="e">
        <f t="shared" si="86"/>
        <v>#VALUE!</v>
      </c>
      <c r="Q538" s="446" t="e">
        <f>IF(OR($B538="",MIN(Q$38,$D$19)&lt;MAX($P$34*($B538+IF($R$17="Distrato",$I$38-1,0)),IF(AND($L$37=0,$P$34=0),"",$L$37-1),IF($R$17="Distrato",$E538,0))),0,YEARFRAC(MAX($P$34*($B538+IF($R$17="Distrato",$I$38-1,0)),IF(AND($L$37=0,$P$34=0),"",$L$37-1),IF($R$17="Distrato",$E538,0)),MIN(Q$38,$D$19),$P$20))-SUM($P538:P538)</f>
        <v>#VALUE!</v>
      </c>
      <c r="R538" s="446" t="e">
        <f>IF(OR($B538="",MIN(R$38,$D$19)&lt;MAX($P$34*($B538+IF($R$17="Distrato",$I$38-1,0)),IF(AND($L$37=0,$P$34=0),"",$L$37-1),IF($R$17="Distrato",$E538,0))),0,YEARFRAC(MAX($P$34*($B538+IF($R$17="Distrato",$I$38-1,0)),IF(AND($L$37=0,$P$34=0),"",$L$37-1),IF($R$17="Distrato",$E538,0)),MIN(R$38,$D$19),$P$20))-SUM($P538:Q538)</f>
        <v>#VALUE!</v>
      </c>
      <c r="S538" s="446" t="e">
        <f>IF(OR($B538="",MIN(S$38,$D$19)&lt;MAX($P$34*($B538+IF($R$17="Distrato",$I$38-1,0)),IF(AND($L$37=0,$P$34=0),"",$L$37-1),IF($R$17="Distrato",$E538,0))),0,YEARFRAC(MAX($P$34*($B538+IF($R$17="Distrato",$I$38-1,0)),IF(AND($L$37=0,$P$34=0),"",$L$37-1),IF($R$17="Distrato",$E538,0)),MIN(S$38,$D$19),$P$20))-SUM($P538:R538)</f>
        <v>#VALUE!</v>
      </c>
      <c r="T538" s="446" t="e">
        <f>IF(OR($B538="",MIN(T$38,$D$19)&lt;MAX($P$34*($B538+IF($R$17="Distrato",$I$38-1,0)),IF(AND($L$37=0,$P$34=0),"",$L$37-1),IF($R$17="Distrato",$E538,0))),0,YEARFRAC(MAX($P$34*($B538+IF($R$17="Distrato",$I$38-1,0)),IF(AND($L$37=0,$P$34=0),"",$L$37-1),IF($R$17="Distrato",$E538,0)),MIN(T$38,$D$19),$P$20))-SUM($P538:S538)</f>
        <v>#VALUE!</v>
      </c>
      <c r="U538" s="446" t="e">
        <f>IF(OR($B538="",MIN(U$38,$D$19)&lt;MAX($P$34*($B538+IF($R$17="Distrato",$I$38-1,0)),IF(AND($L$37=0,$P$34=0),"",$L$37-1),IF($R$17="Distrato",$E538,0))),0,YEARFRAC(MAX($P$34*($B538+IF($R$17="Distrato",$I$38-1,0)),IF(AND($L$37=0,$P$34=0),"",$L$37-1),IF($R$17="Distrato",$E538,0)),MIN(U$38,$D$19),$P$20))-SUM($P538:T538)</f>
        <v>#VALUE!</v>
      </c>
      <c r="V538" s="446" t="e">
        <f>IF(OR($B538="",MIN(V$38,$D$19)&lt;MAX($P$34*($B538+IF($R$17="Distrato",$I$38-1,0)),IF(AND($L$37=0,$P$34=0),"",$L$37-1),IF($R$17="Distrato",$E538,0))),0,YEARFRAC(MAX($P$34*($B538+IF($R$17="Distrato",$I$38-1,0)),IF(AND($L$37=0,$P$34=0),"",$L$37-1),IF($R$17="Distrato",$E538,0)),MIN(V$38,$D$19),$P$20))-SUM($P538:U538)</f>
        <v>#VALUE!</v>
      </c>
      <c r="W538" s="446" t="e">
        <f>IF(OR($B538="",MIN(W$38,$D$19)&lt;MAX($P$34*($B538+IF($R$17="Distrato",$I$38-1,0)),IF(AND($L$37=0,$P$34=0),"",$L$37-1),IF($R$17="Distrato",$E538,0))),0,YEARFRAC(MAX($P$34*($B538+IF($R$17="Distrato",$I$38-1,0)),IF(AND($L$37=0,$P$34=0),"",$L$37-1),IF($R$17="Distrato",$E538,0)),MIN(W$38,$D$19),$P$20))-SUM($P538:V538)</f>
        <v>#VALUE!</v>
      </c>
      <c r="X538" s="446" t="e">
        <f>IF(OR($B538="",MIN(X$38,$D$19)&lt;MAX($P$34*($B538+IF($R$17="Distrato",$I$38-1,0)),IF(AND($L$37=0,$P$34=0),"",$L$37-1),IF($R$17="Distrato",$E538,0))),0,YEARFRAC(MAX($P$34*($B538+IF($R$17="Distrato",$I$38-1,0)),IF(AND($L$37=0,$P$34=0),"",$L$37-1),IF($R$17="Distrato",$E538,0)),MIN(X$38,$D$19),$P$20))-SUM($P538:W538)</f>
        <v>#VALUE!</v>
      </c>
      <c r="Y538" s="446" t="e">
        <f>IF(OR($B538="",MIN(Y$38,$D$19)&lt;MAX($P$34*($B538+IF($R$17="Distrato",$I$38-1,0)),IF(AND($L$37=0,$P$34=0),"",$L$37-1),IF($R$17="Distrato",$E538,0))),0,YEARFRAC(MAX($P$34*($B538+IF($R$17="Distrato",$I$38-1,0)),IF(AND($L$37=0,$P$34=0),"",$L$37-1),IF($R$17="Distrato",$E538,0)),MIN(Y$38,$D$19),$P$20))-SUM($P538:X538)</f>
        <v>#VALUE!</v>
      </c>
      <c r="Z538" s="446" t="e">
        <f>IF(OR($B538="",MIN(Z$38,$D$19)&lt;MAX($P$34*($B538+IF($R$17="Distrato",$I$38-1,0)),IF(AND($L$37=0,$P$34=0),"",$L$37-1),IF($R$17="Distrato",$E538,0))),0,YEARFRAC(MAX($P$34*($B538+IF($R$17="Distrato",$I$38-1,0)),IF(AND($L$37=0,$P$34=0),"",$L$37-1),IF($R$17="Distrato",$E538,0)),MIN(Z$38,$D$19),$P$20))-SUM($P538:Y538)</f>
        <v>#VALUE!</v>
      </c>
      <c r="AA538" s="446" t="e">
        <f>IF(OR($B538="",MIN(AA$38,$D$19)&lt;MAX($P$34*($B538+IF($R$17="Distrato",$I$38-1,0)),IF(AND($L$37=0,$P$34=0),"",$L$37-1),IF($R$17="Distrato",$E538,0))),0,YEARFRAC(MAX($P$34*($B538+IF($R$17="Distrato",$I$38-1,0)),IF(AND($L$37=0,$P$34=0),"",$L$37-1),IF($R$17="Distrato",$E538,0)),MIN(AA$38,$D$19),$P$20))-SUM($P538:Z538)</f>
        <v>#VALUE!</v>
      </c>
      <c r="AB538" s="446" t="e">
        <f>IF(OR($B538="",MIN(AB$38,$D$19)&lt;MAX($P$34*($B538+IF($R$17="Distrato",$I$38-1,0)),IF(AND($L$37=0,$P$34=0),"",$L$37-1),IF($R$17="Distrato",$E538,0))),0,YEARFRAC(MAX($P$34*($B538+IF($R$17="Distrato",$I$38-1,0)),IF(AND($L$37=0,$P$34=0),"",$L$37-1),IF($R$17="Distrato",$E538,0)),MIN(AB$38,$D$19),$P$20))-SUM($P538:AA538)</f>
        <v>#VALUE!</v>
      </c>
      <c r="AC538" s="446" t="e">
        <f>IF(OR($B538="",MIN(AC$38,$D$19)&lt;MAX($P$34*($B538+IF($R$17="Distrato",$I$38-1,0)),IF(AND($L$37=0,$P$34=0),"",$L$37-1),IF($R$17="Distrato",$E538,0))),0,YEARFRAC(MAX($P$34*($B538+IF($R$17="Distrato",$I$38-1,0)),IF(AND($L$37=0,$P$34=0),"",$L$37-1),IF($R$17="Distrato",$E538,0)),MIN(AC$38,$D$19),$P$20))-SUM($P538:AB538)</f>
        <v>#VALUE!</v>
      </c>
      <c r="AD538" s="446" t="e">
        <f>IF(OR($B538="",MIN(AD$38,$D$19)&lt;MAX($P$34*($B538+IF($R$17="Distrato",$I$38-1,0)),IF(AND($L$37=0,$P$34=0),"",$L$37-1),IF($R$17="Distrato",$E538,0))),0,YEARFRAC(MAX($P$34*($B538+IF($R$17="Distrato",$I$38-1,0)),IF(AND($L$37=0,$P$34=0),"",$L$37-1),IF($R$17="Distrato",$E538,0)),MIN(AD$38,$D$19),$P$20))-SUM($P538:AC538)</f>
        <v>#VALUE!</v>
      </c>
      <c r="AE538" s="446" t="e">
        <f>IF(OR($B538="",MIN(AE$38,$D$19)&lt;MAX($P$34*($B538+IF($R$17="Distrato",$I$38-1,0)),IF(AND($L$37=0,$P$34=0),"",$L$37-1),IF($R$17="Distrato",$E538,0))),0,YEARFRAC(MAX($P$34*($B538+IF($R$17="Distrato",$I$38-1,0)),IF(AND($L$37=0,$P$34=0),"",$L$37-1),IF($R$17="Distrato",$E538,0)),MIN(AE$38,$D$19),$P$20))-SUM($P538:AD538)</f>
        <v>#VALUE!</v>
      </c>
      <c r="AF538" s="446" t="e">
        <f>IF(OR($B538="",MIN(AF$38,$D$19)&lt;MAX($P$34*($B538+IF($R$17="Distrato",$I$38-1,0)),IF(AND($L$37=0,$P$34=0),"",$L$37-1),IF($R$17="Distrato",$E538,0))),0,YEARFRAC(MAX($P$34*($B538+IF($R$17="Distrato",$I$38-1,0)),IF(AND($L$37=0,$P$34=0),"",$L$37-1),IF($R$17="Distrato",$E538,0)),MIN(AF$38,$D$19),$P$20))-SUM($P538:AE538)</f>
        <v>#VALUE!</v>
      </c>
      <c r="AG538" s="446" t="e">
        <f>IF(OR($B538="",MIN(AG$38,$D$19)&lt;MAX($P$34*($B538+IF($R$17="Distrato",$I$38-1,0)),IF(AND($L$37=0,$P$34=0),"",$L$37-1),IF($R$17="Distrato",$E538,0))),0,YEARFRAC(MAX($P$34*($B538+IF($R$17="Distrato",$I$38-1,0)),IF(AND($L$37=0,$P$34=0),"",$L$37-1),IF($R$17="Distrato",$E538,0)),MIN(AG$38,$D$19),$P$20))-SUM($P538:AF538)</f>
        <v>#VALUE!</v>
      </c>
      <c r="AH538" s="446" t="e">
        <f>IF(OR($B538="",MIN(AH$38,$D$19)&lt;MAX($P$34*($B538+IF($R$17="Distrato",$I$38-1,0)),IF(AND($L$37=0,$P$34=0),"",$L$37-1),IF($R$17="Distrato",$E538,0))),0,YEARFRAC(MAX($P$34*($B538+IF($R$17="Distrato",$I$38-1,0)),IF(AND($L$37=0,$P$34=0),"",$L$37-1),IF($R$17="Distrato",$E538,0)),MIN(AH$38,$D$19),$P$20))-SUM($P538:AG538)</f>
        <v>#VALUE!</v>
      </c>
      <c r="AI538" s="446" t="e">
        <f>IF(OR($B538="",MIN(AI$38,$D$19)&lt;MAX($P$34*($B538+IF($R$17="Distrato",$I$38-1,0)),IF(AND($L$37=0,$P$34=0),"",$L$37-1),IF($R$17="Distrato",$E538,0))),0,YEARFRAC(MAX($P$34*($B538+IF($R$17="Distrato",$I$38-1,0)),IF(AND($L$37=0,$P$34=0),"",$L$37-1),IF($R$17="Distrato",$E538,0)),MIN(AI$38,$D$19),$P$20))-SUM($P538:AH538)</f>
        <v>#VALUE!</v>
      </c>
      <c r="AJ538" s="446" t="e">
        <f>IF(OR($B538="",MIN(AJ$38,$D$19)&lt;MAX($P$34*($B538+IF($R$17="Distrato",$I$38-1,0)),IF(AND($L$37=0,$P$34=0),"",$L$37-1),IF($R$17="Distrato",$E538,0))),0,YEARFRAC(MAX($P$34*($B538+IF($R$17="Distrato",$I$38-1,0)),IF(AND($L$37=0,$P$34=0),"",$L$37-1),IF($R$17="Distrato",$E538,0)),MIN(AJ$38,$D$19),$P$20))-SUM($P538:AI538)</f>
        <v>#VALUE!</v>
      </c>
      <c r="AK538" s="446" t="e">
        <f>IF(OR($B538="",MIN(AK$38,$D$19)&lt;MAX($P$34*($B538+IF($R$17="Distrato",$I$38-1,0)),IF(AND($L$37=0,$P$34=0),"",$L$37-1),IF($R$17="Distrato",$E538,0))),0,YEARFRAC(MAX($P$34*($B538+IF($R$17="Distrato",$I$38-1,0)),IF(AND($L$37=0,$P$34=0),"",$L$37-1),IF($R$17="Distrato",$E538,0)),MIN(AK$38,$D$19),$P$20))-SUM($P538:AJ538)</f>
        <v>#VALUE!</v>
      </c>
      <c r="AL538" s="446" t="e">
        <f>IF(OR($B538="",MIN(AL$38,$D$19)&lt;MAX($P$34*($B538+IF($R$17="Distrato",$I$38-1,0)),IF(AND($L$37=0,$P$34=0),"",$L$37-1),IF($R$17="Distrato",$E538,0))),0,YEARFRAC(MAX($P$34*($B538+IF($R$17="Distrato",$I$38-1,0)),IF(AND($L$37=0,$P$34=0),"",$L$37-1),IF($R$17="Distrato",$E538,0)),MIN(AL$38,$D$19),$P$20))-SUM($P538:AK538)</f>
        <v>#VALUE!</v>
      </c>
      <c r="AM538" s="446" t="e">
        <f>IF(OR($B538="",MIN(AM$38,$D$19)&lt;MAX($P$34*($B538+IF($R$17="Distrato",$I$38-1,0)),IF(AND($L$37=0,$P$34=0),"",$L$37-1),IF($R$17="Distrato",$E538,0))),0,YEARFRAC(MAX($P$34*($B538+IF($R$17="Distrato",$I$38-1,0)),IF(AND($L$37=0,$P$34=0),"",$L$37-1),IF($R$17="Distrato",$E538,0)),MIN(AM$38,$D$19),$P$20))-SUM($P538:AL538)</f>
        <v>#VALUE!</v>
      </c>
      <c r="AN538" s="446" t="e">
        <f>IF(OR($B538="",MIN(AN$38,$D$19)&lt;MAX($P$34*($B538+IF($R$17="Distrato",$I$38-1,0)),IF(AND($L$37=0,$P$34=0),"",$L$37-1),IF($R$17="Distrato",$E538,0))),0,YEARFRAC(MAX($P$34*($B538+IF($R$17="Distrato",$I$38-1,0)),IF(AND($L$37=0,$P$34=0),"",$L$37-1),IF($R$17="Distrato",$E538,0)),MIN(AN$38,$D$19),$P$20))-SUM($P538:AM538)</f>
        <v>#VALUE!</v>
      </c>
      <c r="AO538" s="446" t="e">
        <f>IF(OR($B538="",MIN(AO$38,$D$19)&lt;MAX($P$34*($B538+IF($R$17="Distrato",$I$38-1,0)),IF(AND($L$37=0,$P$34=0),"",$L$37-1),IF($R$17="Distrato",$E538,0))),0,YEARFRAC(MAX($P$34*($B538+IF($R$17="Distrato",$I$38-1,0)),IF(AND($L$37=0,$P$34=0),"",$L$37-1),IF($R$17="Distrato",$E538,0)),MIN(AO$38,$D$19),$P$20))-SUM($P538:AN538)</f>
        <v>#VALUE!</v>
      </c>
      <c r="AP538" s="446" t="e">
        <f>IF(OR($B538="",MIN(AP$38,$D$19)&lt;MAX($P$34*($B538+IF($R$17="Distrato",$I$38-1,0)),IF(AND($L$37=0,$P$34=0),"",$L$37-1),IF($R$17="Distrato",$E538,0))),0,YEARFRAC(MAX($P$34*($B538+IF($R$17="Distrato",$I$38-1,0)),IF(AND($L$37=0,$P$34=0),"",$L$37-1),IF($R$17="Distrato",$E538,0)),MIN(AP$38,$D$19),$P$20))-SUM($P538:AO538)</f>
        <v>#VALUE!</v>
      </c>
      <c r="AQ538" s="446" t="e">
        <f>IF(OR($B538="",MIN(AQ$38,$D$19)&lt;MAX($P$34*($B538+IF($R$17="Distrato",$I$38-1,0)),IF(AND($L$37=0,$P$34=0),"",$L$37-1),IF($R$17="Distrato",$E538,0))),0,YEARFRAC(MAX($P$34*($B538+IF($R$17="Distrato",$I$38-1,0)),IF(AND($L$37=0,$P$34=0),"",$L$37-1),IF($R$17="Distrato",$E538,0)),MIN(AQ$38,$D$19),$P$20))-SUM($P538:AP538)</f>
        <v>#VALUE!</v>
      </c>
      <c r="AR538" s="446" t="e">
        <f>IF(OR($B538="",MIN(AR$38,$D$19)&lt;MAX($P$34*($B538+IF($R$17="Distrato",$I$38-1,0)),IF(AND($L$37=0,$P$34=0),"",$L$37-1),IF($R$17="Distrato",$E538,0))),0,YEARFRAC(MAX($P$34*($B538+IF($R$17="Distrato",$I$38-1,0)),IF(AND($L$37=0,$P$34=0),"",$L$37-1),IF($R$17="Distrato",$E538,0)),MIN(AR$38,$D$19),$P$20))-SUM($P538:AQ538)</f>
        <v>#VALUE!</v>
      </c>
      <c r="AS538" s="446" t="e">
        <f>IF(OR($B538="",MIN(AS$38,$D$19)&lt;MAX($P$34*($B538+IF($R$17="Distrato",$I$38-1,0)),IF(AND($L$37=0,$P$34=0),"",$L$37-1),IF($R$17="Distrato",$E538,0))),0,YEARFRAC(MAX($P$34*($B538+IF($R$17="Distrato",$I$38-1,0)),IF(AND($L$37=0,$P$34=0),"",$L$37-1),IF($R$17="Distrato",$E538,0)),MIN(AS$38,$D$19),$P$20))-SUM($P538:AR538)</f>
        <v>#VALUE!</v>
      </c>
      <c r="AT538" s="446" t="e">
        <f>IF(OR($B538="",MIN(AT$38,$D$19)&lt;MAX($P$34*($B538+IF($R$17="Distrato",$I$38-1,0)),IF(AND($L$37=0,$P$34=0),"",$L$37-1),IF($R$17="Distrato",$E538,0))),0,YEARFRAC(MAX($P$34*($B538+IF($R$17="Distrato",$I$38-1,0)),IF(AND($L$37=0,$P$34=0),"",$L$37-1),IF($R$17="Distrato",$E538,0)),MIN(AT$38,$D$19),$P$20))-SUM($P538:AS538)</f>
        <v>#VALUE!</v>
      </c>
      <c r="AU538" s="446" t="e">
        <f>IF(OR($B538="",MIN(AU$38,$D$19)&lt;MAX($P$34*($B538+IF($R$17="Distrato",$I$38-1,0)),IF(AND($L$37=0,$P$34=0),"",$L$37-1),IF($R$17="Distrato",$E538,0))),0,YEARFRAC(MAX($P$34*($B538+IF($R$17="Distrato",$I$38-1,0)),IF(AND($L$37=0,$P$34=0),"",$L$37-1),IF($R$17="Distrato",$E538,0)),MIN(AU$38,$D$19),$P$20))-SUM($P538:AT538)</f>
        <v>#VALUE!</v>
      </c>
      <c r="AV538" s="446" t="e">
        <f>IF(OR($B538="",MIN(AV$38,$D$19)&lt;MAX($P$34*($B538+IF($R$17="Distrato",$I$38-1,0)),IF(AND($L$37=0,$P$34=0),"",$L$37-1),IF($R$17="Distrato",$E538,0))),0,YEARFRAC(MAX($P$34*($B538+IF($R$17="Distrato",$I$38-1,0)),IF(AND($L$37=0,$P$34=0),"",$L$37-1),IF($R$17="Distrato",$E538,0)),MIN(AV$38,$D$19),$P$20))-SUM($P538:AU538)</f>
        <v>#VALUE!</v>
      </c>
      <c r="AW538" s="446" t="e">
        <f>IF(OR($B538="",MIN(AW$38,$D$19)&lt;MAX($P$34*($B538+IF($R$17="Distrato",$I$38-1,0)),IF(AND($L$37=0,$P$34=0),"",$L$37-1),IF($R$17="Distrato",$E538,0))),0,YEARFRAC(MAX($P$34*($B538+IF($R$17="Distrato",$I$38-1,0)),IF(AND($L$37=0,$P$34=0),"",$L$37-1),IF($R$17="Distrato",$E538,0)),MIN(AW$38,$D$19),$P$20))-SUM($P538:AV538)</f>
        <v>#VALUE!</v>
      </c>
      <c r="AX538" s="446" t="e">
        <f>IF(OR($B538="",MIN(AX$38,$D$19)&lt;MAX($P$34*($B538+IF($R$17="Distrato",$I$38-1,0)),IF(AND($L$37=0,$P$34=0),"",$L$37-1),IF($R$17="Distrato",$E538,0))),0,YEARFRAC(MAX($P$34*($B538+IF($R$17="Distrato",$I$38-1,0)),IF(AND($L$37=0,$P$34=0),"",$L$37-1),IF($R$17="Distrato",$E538,0)),MIN(AX$38,$D$19),$P$20))-SUM($P538:AW538)</f>
        <v>#VALUE!</v>
      </c>
      <c r="AY538" s="446" t="e">
        <f>IF(OR($B538="",MIN(AY$38,$D$19)&lt;MAX($P$34*($B538+IF($R$17="Distrato",$I$38-1,0)),IF(AND($L$37=0,$P$34=0),"",$L$37-1),IF($R$17="Distrato",$E538,0))),0,YEARFRAC(MAX($P$34*($B538+IF($R$17="Distrato",$I$38-1,0)),IF(AND($L$37=0,$P$34=0),"",$L$37-1),IF($R$17="Distrato",$E538,0)),MIN(AY$38,$D$19),$P$20))-SUM($P538:AX538)</f>
        <v>#VALUE!</v>
      </c>
      <c r="AZ538" s="446" t="e">
        <f>IF(OR($B538="",MIN(AZ$38,$D$19)&lt;MAX($P$34*($B538+IF($R$17="Distrato",$I$38-1,0)),IF(AND($L$37=0,$P$34=0),"",$L$37-1),IF($R$17="Distrato",$E538,0))),0,YEARFRAC(MAX($P$34*($B538+IF($R$17="Distrato",$I$38-1,0)),IF(AND($L$37=0,$P$34=0),"",$L$37-1),IF($R$17="Distrato",$E538,0)),MIN(AZ$38,$D$19),$P$20))-SUM($P538:AY538)</f>
        <v>#VALUE!</v>
      </c>
      <c r="BA538" s="446" t="e">
        <f>IF(OR($B538="",MIN(BA$38,$D$19)&lt;MAX($P$34*($B538+IF($R$17="Distrato",$I$38-1,0)),IF(AND($L$37=0,$P$34=0),"",$L$37-1),IF($R$17="Distrato",$E538,0))),0,YEARFRAC(MAX($P$34*($B538+IF($R$17="Distrato",$I$38-1,0)),IF(AND($L$37=0,$P$34=0),"",$L$37-1),IF($R$17="Distrato",$E538,0)),MIN(BA$38,$D$19),$P$20))-SUM($P538:AZ538)</f>
        <v>#VALUE!</v>
      </c>
      <c r="BB538" s="447"/>
      <c r="BF538" s="446">
        <f t="shared" si="87"/>
        <v>0</v>
      </c>
      <c r="BG538" s="446">
        <f>IF($E538=0,0,IF(MIN(BG$38,$E538)&lt;MAX($P$34*($B538+$I$38-1),IF(AND($L$37=0,$P$34=0),"",$L$37-1)),0,YEARFRAC(MAX($P$34*($B538+$I$38-1),IF(AND($L$37=0,$P$34=0),"",$L$37-1)),MIN(BG$38,$E538),$P$20))-SUM($BF538:BF538))</f>
        <v>0</v>
      </c>
      <c r="BH538" s="446">
        <f>IF($E538=0,0,IF(MIN(BH$38,$E538)&lt;MAX($P$34*($B538+$I$38-1),IF(AND($L$37=0,$P$34=0),"",$L$37-1)),0,YEARFRAC(MAX($P$34*($B538+$I$38-1),IF(AND($L$37=0,$P$34=0),"",$L$37-1)),MIN(BH$38,$E538),$P$20))-SUM($BF538:BG538))</f>
        <v>0</v>
      </c>
      <c r="BI538" s="446">
        <f>IF($E538=0,0,IF(MIN(BI$38,$E538)&lt;MAX($P$34*($B538+$I$38-1),IF(AND($L$37=0,$P$34=0),"",$L$37-1)),0,YEARFRAC(MAX($P$34*($B538+$I$38-1),IF(AND($L$37=0,$P$34=0),"",$L$37-1)),MIN(BI$38,$E538),$P$20))-SUM($BF538:BH538))</f>
        <v>0</v>
      </c>
      <c r="BJ538" s="446">
        <f>IF($E538=0,0,IF(MIN(BJ$38,$E538)&lt;MAX($P$34*($B538+$I$38-1),IF(AND($L$37=0,$P$34=0),"",$L$37-1)),0,YEARFRAC(MAX($P$34*($B538+$I$38-1),IF(AND($L$37=0,$P$34=0),"",$L$37-1)),MIN(BJ$38,$E538),$P$20))-SUM($BF538:BI538))</f>
        <v>0</v>
      </c>
      <c r="BK538" s="446">
        <f>IF($E538=0,0,IF(MIN(BK$38,$E538)&lt;MAX($P$34*($B538+$I$38-1),IF(AND($L$37=0,$P$34=0),"",$L$37-1)),0,YEARFRAC(MAX($P$34*($B538+$I$38-1),IF(AND($L$37=0,$P$34=0),"",$L$37-1)),MIN(BK$38,$E538),$P$20))-SUM($BF538:BJ538))</f>
        <v>0</v>
      </c>
      <c r="BL538" s="446">
        <f>IF($E538=0,0,IF(MIN(BL$38,$E538)&lt;MAX($P$34*($B538+$I$38-1),IF(AND($L$37=0,$P$34=0),"",$L$37-1)),0,YEARFRAC(MAX($P$34*($B538+$I$38-1),IF(AND($L$37=0,$P$34=0),"",$L$37-1)),MIN(BL$38,$E538),$P$20))-SUM($BF538:BK538))</f>
        <v>0</v>
      </c>
      <c r="BM538" s="446">
        <f>IF($E538=0,0,IF(MIN(BM$38,$E538)&lt;MAX($P$34*($B538+$I$38-1),IF(AND($L$37=0,$P$34=0),"",$L$37-1)),0,YEARFRAC(MAX($P$34*($B538+$I$38-1),IF(AND($L$37=0,$P$34=0),"",$L$37-1)),MIN(BM$38,$E538),$P$20))-SUM($BF538:BL538))</f>
        <v>0</v>
      </c>
      <c r="BN538" s="446">
        <f>IF($E538=0,0,IF(MIN(BN$38,$E538)&lt;MAX($P$34*($B538+$I$38-1),IF(AND($L$37=0,$P$34=0),"",$L$37-1)),0,YEARFRAC(MAX($P$34*($B538+$I$38-1),IF(AND($L$37=0,$P$34=0),"",$L$37-1)),MIN(BN$38,$E538),$P$20))-SUM($BF538:BM538))</f>
        <v>0</v>
      </c>
      <c r="BO538" s="446">
        <f>IF($E538=0,0,IF(MIN(BO$38,$E538)&lt;MAX($P$34*($B538+$I$38-1),IF(AND($L$37=0,$P$34=0),"",$L$37-1)),0,YEARFRAC(MAX($P$34*($B538+$I$38-1),IF(AND($L$37=0,$P$34=0),"",$L$37-1)),MIN(BO$38,$E538),$P$20))-SUM($BF538:BN538))</f>
        <v>0</v>
      </c>
      <c r="BP538" s="446">
        <f>IF($E538=0,0,IF(MIN(BP$38,$E538)&lt;MAX($P$34*($B538+$I$38-1),IF(AND($L$37=0,$P$34=0),"",$L$37-1)),0,YEARFRAC(MAX($P$34*($B538+$I$38-1),IF(AND($L$37=0,$P$34=0),"",$L$37-1)),MIN(BP$38,$E538),$P$20))-SUM($BF538:BO538))</f>
        <v>0</v>
      </c>
      <c r="BQ538" s="446">
        <f>IF($E538=0,0,IF(MIN(BQ$38,$E538)&lt;MAX($P$34*($B538+$I$38-1),IF(AND($L$37=0,$P$34=0),"",$L$37-1)),0,YEARFRAC(MAX($P$34*($B538+$I$38-1),IF(AND($L$37=0,$P$34=0),"",$L$37-1)),MIN(BQ$38,$E538),$P$20))-SUM($BF538:BP538))</f>
        <v>0</v>
      </c>
      <c r="BR538" s="446">
        <f>IF($E538=0,0,IF(MIN(BR$38,$E538)&lt;MAX($P$34*($B538+$I$38-1),IF(AND($L$37=0,$P$34=0),"",$L$37-1)),0,YEARFRAC(MAX($P$34*($B538+$I$38-1),IF(AND($L$37=0,$P$34=0),"",$L$37-1)),MIN(BR$38,$E538),$P$20))-SUM($BF538:BQ538))</f>
        <v>0</v>
      </c>
      <c r="BS538" s="446">
        <f>IF($E538=0,0,IF(MIN(BS$38,$E538)&lt;MAX($P$34*($B538+$I$38-1),IF(AND($L$37=0,$P$34=0),"",$L$37-1)),0,YEARFRAC(MAX($P$34*($B538+$I$38-1),IF(AND($L$37=0,$P$34=0),"",$L$37-1)),MIN(BS$38,$E538),$P$20))-SUM($BF538:BR538))</f>
        <v>0</v>
      </c>
      <c r="BT538" s="446">
        <f>IF($E538=0,0,IF(MIN(BT$38,$E538)&lt;MAX($P$34*($B538+$I$38-1),IF(AND($L$37=0,$P$34=0),"",$L$37-1)),0,YEARFRAC(MAX($P$34*($B538+$I$38-1),IF(AND($L$37=0,$P$34=0),"",$L$37-1)),MIN(BT$38,$E538),$P$20))-SUM($BF538:BS538))</f>
        <v>0</v>
      </c>
      <c r="BU538" s="446">
        <f>IF($E538=0,0,IF(MIN(BU$38,$E538)&lt;MAX($P$34*($B538+$I$38-1),IF(AND($L$37=0,$P$34=0),"",$L$37-1)),0,YEARFRAC(MAX($P$34*($B538+$I$38-1),IF(AND($L$37=0,$P$34=0),"",$L$37-1)),MIN(BU$38,$E538),$P$20))-SUM($BF538:BT538))</f>
        <v>0</v>
      </c>
      <c r="BV538" s="446">
        <f>IF($E538=0,0,IF(MIN(BV$38,$E538)&lt;MAX($P$34*($B538+$I$38-1),IF(AND($L$37=0,$P$34=0),"",$L$37-1)),0,YEARFRAC(MAX($P$34*($B538+$I$38-1),IF(AND($L$37=0,$P$34=0),"",$L$37-1)),MIN(BV$38,$E538),$P$20))-SUM($BF538:BU538))</f>
        <v>0</v>
      </c>
      <c r="BW538" s="446">
        <f>IF($E538=0,0,IF(MIN(BW$38,$E538)&lt;MAX($P$34*($B538+$I$38-1),IF(AND($L$37=0,$P$34=0),"",$L$37-1)),0,YEARFRAC(MAX($P$34*($B538+$I$38-1),IF(AND($L$37=0,$P$34=0),"",$L$37-1)),MIN(BW$38,$E538),$P$20))-SUM($BF538:BV538))</f>
        <v>0</v>
      </c>
      <c r="BX538" s="446">
        <f>IF($E538=0,0,IF(MIN(BX$38,$E538)&lt;MAX($P$34*($B538+$I$38-1),IF(AND($L$37=0,$P$34=0),"",$L$37-1)),0,YEARFRAC(MAX($P$34*($B538+$I$38-1),IF(AND($L$37=0,$P$34=0),"",$L$37-1)),MIN(BX$38,$E538),$P$20))-SUM($BF538:BW538))</f>
        <v>0</v>
      </c>
      <c r="BY538" s="446">
        <f>IF($E538=0,0,IF(MIN(BY$38,$E538)&lt;MAX($P$34*($B538+$I$38-1),IF(AND($L$37=0,$P$34=0),"",$L$37-1)),0,YEARFRAC(MAX($P$34*($B538+$I$38-1),IF(AND($L$37=0,$P$34=0),"",$L$37-1)),MIN(BY$38,$E538),$P$20))-SUM($BF538:BX538))</f>
        <v>0</v>
      </c>
      <c r="BZ538" s="446">
        <f>IF($E538=0,0,IF(MIN(BZ$38,$E538)&lt;MAX($P$34*($B538+$I$38-1),IF(AND($L$37=0,$P$34=0),"",$L$37-1)),0,YEARFRAC(MAX($P$34*($B538+$I$38-1),IF(AND($L$37=0,$P$34=0),"",$L$37-1)),MIN(BZ$38,$E538),$P$20))-SUM($BF538:BY538))</f>
        <v>0</v>
      </c>
      <c r="CA538" s="446">
        <f>IF($E538=0,0,IF(MIN(CA$38,$E538)&lt;MAX($P$34*($B538+$I$38-1),IF(AND($L$37=0,$P$34=0),"",$L$37-1)),0,YEARFRAC(MAX($P$34*($B538+$I$38-1),IF(AND($L$37=0,$P$34=0),"",$L$37-1)),MIN(CA$38,$E538),$P$20))-SUM($BF538:BZ538))</f>
        <v>0</v>
      </c>
      <c r="CB538" s="446">
        <f>IF($E538=0,0,IF(MIN(CB$38,$E538)&lt;MAX($P$34*($B538+$I$38-1),IF(AND($L$37=0,$P$34=0),"",$L$37-1)),0,YEARFRAC(MAX($P$34*($B538+$I$38-1),IF(AND($L$37=0,$P$34=0),"",$L$37-1)),MIN(CB$38,$E538),$P$20))-SUM($BF538:CA538))</f>
        <v>0</v>
      </c>
      <c r="CC538" s="446">
        <f>IF($E538=0,0,IF(MIN(CC$38,$E538)&lt;MAX($P$34*($B538+$I$38-1),IF(AND($L$37=0,$P$34=0),"",$L$37-1)),0,YEARFRAC(MAX($P$34*($B538+$I$38-1),IF(AND($L$37=0,$P$34=0),"",$L$37-1)),MIN(CC$38,$E538),$P$20))-SUM($BF538:CB538))</f>
        <v>0</v>
      </c>
      <c r="CD538" s="446">
        <f>IF($E538=0,0,IF(MIN(CD$38,$E538)&lt;MAX($P$34*($B538+$I$38-1),IF(AND($L$37=0,$P$34=0),"",$L$37-1)),0,YEARFRAC(MAX($P$34*($B538+$I$38-1),IF(AND($L$37=0,$P$34=0),"",$L$37-1)),MIN(CD$38,$E538),$P$20))-SUM($BF538:CC538))</f>
        <v>0</v>
      </c>
      <c r="CE538" s="446">
        <f>IF($E538=0,0,IF(MIN(CE$38,$E538)&lt;MAX($P$34*($B538+$I$38-1),IF(AND($L$37=0,$P$34=0),"",$L$37-1)),0,YEARFRAC(MAX($P$34*($B538+$I$38-1),IF(AND($L$37=0,$P$34=0),"",$L$37-1)),MIN(CE$38,$E538),$P$20))-SUM($BF538:CD538))</f>
        <v>0</v>
      </c>
      <c r="CF538" s="446">
        <f>IF($E538=0,0,IF(MIN(CF$38,$E538)&lt;MAX($P$34*($B538+$I$38-1),IF(AND($L$37=0,$P$34=0),"",$L$37-1)),0,YEARFRAC(MAX($P$34*($B538+$I$38-1),IF(AND($L$37=0,$P$34=0),"",$L$37-1)),MIN(CF$38,$E538),$P$20))-SUM($BF538:CE538))</f>
        <v>0</v>
      </c>
      <c r="CG538" s="446">
        <f>IF($E538=0,0,IF(MIN(CG$38,$E538)&lt;MAX($P$34*($B538+$I$38-1),IF(AND($L$37=0,$P$34=0),"",$L$37-1)),0,YEARFRAC(MAX($P$34*($B538+$I$38-1),IF(AND($L$37=0,$P$34=0),"",$L$37-1)),MIN(CG$38,$E538),$P$20))-SUM($BF538:CF538))</f>
        <v>0</v>
      </c>
      <c r="CH538" s="446">
        <f>IF($E538=0,0,IF(MIN(CH$38,$E538)&lt;MAX($P$34*($B538+$I$38-1),IF(AND($L$37=0,$P$34=0),"",$L$37-1)),0,YEARFRAC(MAX($P$34*($B538+$I$38-1),IF(AND($L$37=0,$P$34=0),"",$L$37-1)),MIN(CH$38,$E538),$P$20))-SUM($BF538:CG538))</f>
        <v>0</v>
      </c>
      <c r="CI538" s="446">
        <f>IF($E538=0,0,IF(MIN(CI$38,$E538)&lt;MAX($P$34*($B538+$I$38-1),IF(AND($L$37=0,$P$34=0),"",$L$37-1)),0,YEARFRAC(MAX($P$34*($B538+$I$38-1),IF(AND($L$37=0,$P$34=0),"",$L$37-1)),MIN(CI$38,$E538),$P$20))-SUM($BF538:CH538))</f>
        <v>0</v>
      </c>
      <c r="CJ538" s="446">
        <f>IF($E538=0,0,IF(MIN(CJ$38,$E538)&lt;MAX($P$34*($B538+$I$38-1),IF(AND($L$37=0,$P$34=0),"",$L$37-1)),0,YEARFRAC(MAX($P$34*($B538+$I$38-1),IF(AND($L$37=0,$P$34=0),"",$L$37-1)),MIN(CJ$38,$E538),$P$20))-SUM($BF538:CI538))</f>
        <v>0</v>
      </c>
      <c r="CK538" s="446">
        <f>IF($E538=0,0,IF(MIN(CK$38,$E538)&lt;MAX($P$34*($B538+$I$38-1),IF(AND($L$37=0,$P$34=0),"",$L$37-1)),0,YEARFRAC(MAX($P$34*($B538+$I$38-1),IF(AND($L$37=0,$P$34=0),"",$L$37-1)),MIN(CK$38,$E538),$P$20))-SUM($BF538:CJ538))</f>
        <v>0</v>
      </c>
      <c r="CL538" s="446">
        <f>IF($E538=0,0,IF(MIN(CL$38,$E538)&lt;MAX($P$34*($B538+$I$38-1),IF(AND($L$37=0,$P$34=0),"",$L$37-1)),0,YEARFRAC(MAX($P$34*($B538+$I$38-1),IF(AND($L$37=0,$P$34=0),"",$L$37-1)),MIN(CL$38,$E538),$P$20))-SUM($BF538:CK538))</f>
        <v>0</v>
      </c>
      <c r="CM538" s="446">
        <f>IF($E538=0,0,IF(MIN(CM$38,$E538)&lt;MAX($P$34*($B538+$I$38-1),IF(AND($L$37=0,$P$34=0),"",$L$37-1)),0,YEARFRAC(MAX($P$34*($B538+$I$38-1),IF(AND($L$37=0,$P$34=0),"",$L$37-1)),MIN(CM$38,$E538),$P$20))-SUM($BF538:CL538))</f>
        <v>0</v>
      </c>
      <c r="CN538" s="446">
        <f>IF($E538=0,0,IF(MIN(CN$38,$E538)&lt;MAX($P$34*($B538+$I$38-1),IF(AND($L$37=0,$P$34=0),"",$L$37-1)),0,YEARFRAC(MAX($P$34*($B538+$I$38-1),IF(AND($L$37=0,$P$34=0),"",$L$37-1)),MIN(CN$38,$E538),$P$20))-SUM($BF538:CM538))</f>
        <v>0</v>
      </c>
      <c r="CO538" s="446">
        <f>IF($E538=0,0,IF(MIN(CO$38,$E538)&lt;MAX($P$34*($B538+$I$38-1),IF(AND($L$37=0,$P$34=0),"",$L$37-1)),0,YEARFRAC(MAX($P$34*($B538+$I$38-1),IF(AND($L$37=0,$P$34=0),"",$L$37-1)),MIN(CO$38,$E538),$P$20))-SUM($BF538:CN538))</f>
        <v>0</v>
      </c>
      <c r="CP538" s="446">
        <f>IF($E538=0,0,IF(MIN(CP$38,$E538)&lt;MAX($P$34*($B538+$I$38-1),IF(AND($L$37=0,$P$34=0),"",$L$37-1)),0,YEARFRAC(MAX($P$34*($B538+$I$38-1),IF(AND($L$37=0,$P$34=0),"",$L$37-1)),MIN(CP$38,$E538),$P$20))-SUM($BF538:CO538))</f>
        <v>0</v>
      </c>
      <c r="CQ538" s="446">
        <f>IF($E538=0,0,IF(MIN(CQ$38,$E538)&lt;MAX($P$34*($B538+$I$38-1),IF(AND($L$37=0,$P$34=0),"",$L$37-1)),0,YEARFRAC(MAX($P$34*($B538+$I$38-1),IF(AND($L$37=0,$P$34=0),"",$L$37-1)),MIN(CQ$38,$E538),$P$20))-SUM($BF538:CP538))</f>
        <v>0</v>
      </c>
    </row>
    <row r="539" spans="1:95" s="446" customFormat="1" ht="11.25" hidden="1" customHeight="1" x14ac:dyDescent="0.2">
      <c r="A539" s="152"/>
      <c r="B539" s="153" t="str">
        <f t="shared" si="92"/>
        <v/>
      </c>
      <c r="C539" s="29" t="str">
        <f>IF(B539="","",IF($L$35="SELIC - TRIBUTOS",VLOOKUP(DATE(YEAR($D$19),MONTH($D$19)-1,1),ÍNDICES!$A:$DE,HLOOKUP($BL$25,ÍNDICES!$B$3:$T$4,2)+11)-VLOOKUP(B539,ÍNDICES!$A:$DE,HLOOKUP($BL$25,ÍNDICES!$B$3:$T$4,2)+11)+1%,IF(C$38=$W$26,$J$35,IF(ISERROR(IF(B539&gt;$D$19,1,VLOOKUP(DATE(YEAR(B539),MONTH(B539)+IF($C$35=$S$23,1,0),1),ÍNDICES!$A:$DE,$Z$35+1))),"",IF(B539&gt;$D$19,1,VLOOKUP(DATE(YEAR(B539),MONTH(B539)+IF($C$35=$S$23,1,0),1),ÍNDICES!$A:$DE,$Z$35+1))))))</f>
        <v/>
      </c>
      <c r="D539" s="154" t="str">
        <f>IF(ISERROR(IF(OR($D$38=$Y$27,$B539=""),"",VLOOKUP(B539,ÍNDICES!A:DE,AF$35+1))),"",IF(OR($D$38=$Y$27,$B539=""),"",VLOOKUP(B539,ÍNDICES!A:DE,AF$35+1)))</f>
        <v/>
      </c>
      <c r="E539" s="153"/>
      <c r="F539" s="29" t="str">
        <f>IF(E539="","",IF($L$35="SELIC - TRIBUTOS",VLOOKUP(DATE(YEAR($D$19),MONTH($D$19)-1,1),ÍNDICES!$A:$DE,HLOOKUP($BL$25,ÍNDICES!$B$3:$T$4,2)+11)-VLOOKUP(E539,ÍNDICES!$A:$DE,HLOOKUP($BL$25,ÍNDICES!$B$3:$T$4,2)+11)+1%,IF(F$38=$W$26,$J$35,IF(ISERROR(IF(E539&gt;$D$19,1,VLOOKUP(DATE(YEAR(E539),MONTH(E539)+IF($C$35=$S$23,1,0),1),ÍNDICES!$A:$DE,$Z$35+1))),"",IF(E539&gt;$D$19,1,VLOOKUP(DATE(YEAR(E539),MONTH(E539)+IF($C$35=$S$23,1,0),1),ÍNDICES!$A:$DE,$Z$35+1))))))</f>
        <v/>
      </c>
      <c r="G539" s="155"/>
      <c r="H539" s="156" t="str">
        <f t="shared" si="88"/>
        <v/>
      </c>
      <c r="I539" s="29" t="str">
        <f t="shared" si="82"/>
        <v/>
      </c>
      <c r="J539" s="5">
        <f t="shared" si="83"/>
        <v>0</v>
      </c>
      <c r="K539" s="20">
        <f t="shared" ca="1" si="84"/>
        <v>0</v>
      </c>
      <c r="L539" s="5">
        <f t="shared" ca="1" si="85"/>
        <v>0</v>
      </c>
      <c r="M539" s="64">
        <f t="shared" si="89"/>
        <v>0</v>
      </c>
      <c r="N539" s="61">
        <f t="shared" ca="1" si="90"/>
        <v>0</v>
      </c>
      <c r="O539" s="5">
        <f t="shared" ca="1" si="91"/>
        <v>0</v>
      </c>
      <c r="P539" s="446" t="e">
        <f t="shared" si="86"/>
        <v>#VALUE!</v>
      </c>
      <c r="Q539" s="446" t="e">
        <f>IF(OR($B539="",MIN(Q$38,$D$19)&lt;MAX($P$34*($B539+IF($R$17="Distrato",$I$38-1,0)),IF(AND($L$37=0,$P$34=0),"",$L$37-1),IF($R$17="Distrato",$E539,0))),0,YEARFRAC(MAX($P$34*($B539+IF($R$17="Distrato",$I$38-1,0)),IF(AND($L$37=0,$P$34=0),"",$L$37-1),IF($R$17="Distrato",$E539,0)),MIN(Q$38,$D$19),$P$20))-SUM($P539:P539)</f>
        <v>#VALUE!</v>
      </c>
      <c r="R539" s="446" t="e">
        <f>IF(OR($B539="",MIN(R$38,$D$19)&lt;MAX($P$34*($B539+IF($R$17="Distrato",$I$38-1,0)),IF(AND($L$37=0,$P$34=0),"",$L$37-1),IF($R$17="Distrato",$E539,0))),0,YEARFRAC(MAX($P$34*($B539+IF($R$17="Distrato",$I$38-1,0)),IF(AND($L$37=0,$P$34=0),"",$L$37-1),IF($R$17="Distrato",$E539,0)),MIN(R$38,$D$19),$P$20))-SUM($P539:Q539)</f>
        <v>#VALUE!</v>
      </c>
      <c r="S539" s="446" t="e">
        <f>IF(OR($B539="",MIN(S$38,$D$19)&lt;MAX($P$34*($B539+IF($R$17="Distrato",$I$38-1,0)),IF(AND($L$37=0,$P$34=0),"",$L$37-1),IF($R$17="Distrato",$E539,0))),0,YEARFRAC(MAX($P$34*($B539+IF($R$17="Distrato",$I$38-1,0)),IF(AND($L$37=0,$P$34=0),"",$L$37-1),IF($R$17="Distrato",$E539,0)),MIN(S$38,$D$19),$P$20))-SUM($P539:R539)</f>
        <v>#VALUE!</v>
      </c>
      <c r="T539" s="446" t="e">
        <f>IF(OR($B539="",MIN(T$38,$D$19)&lt;MAX($P$34*($B539+IF($R$17="Distrato",$I$38-1,0)),IF(AND($L$37=0,$P$34=0),"",$L$37-1),IF($R$17="Distrato",$E539,0))),0,YEARFRAC(MAX($P$34*($B539+IF($R$17="Distrato",$I$38-1,0)),IF(AND($L$37=0,$P$34=0),"",$L$37-1),IF($R$17="Distrato",$E539,0)),MIN(T$38,$D$19),$P$20))-SUM($P539:S539)</f>
        <v>#VALUE!</v>
      </c>
      <c r="U539" s="446" t="e">
        <f>IF(OR($B539="",MIN(U$38,$D$19)&lt;MAX($P$34*($B539+IF($R$17="Distrato",$I$38-1,0)),IF(AND($L$37=0,$P$34=0),"",$L$37-1),IF($R$17="Distrato",$E539,0))),0,YEARFRAC(MAX($P$34*($B539+IF($R$17="Distrato",$I$38-1,0)),IF(AND($L$37=0,$P$34=0),"",$L$37-1),IF($R$17="Distrato",$E539,0)),MIN(U$38,$D$19),$P$20))-SUM($P539:T539)</f>
        <v>#VALUE!</v>
      </c>
      <c r="V539" s="446" t="e">
        <f>IF(OR($B539="",MIN(V$38,$D$19)&lt;MAX($P$34*($B539+IF($R$17="Distrato",$I$38-1,0)),IF(AND($L$37=0,$P$34=0),"",$L$37-1),IF($R$17="Distrato",$E539,0))),0,YEARFRAC(MAX($P$34*($B539+IF($R$17="Distrato",$I$38-1,0)),IF(AND($L$37=0,$P$34=0),"",$L$37-1),IF($R$17="Distrato",$E539,0)),MIN(V$38,$D$19),$P$20))-SUM($P539:U539)</f>
        <v>#VALUE!</v>
      </c>
      <c r="W539" s="446" t="e">
        <f>IF(OR($B539="",MIN(W$38,$D$19)&lt;MAX($P$34*($B539+IF($R$17="Distrato",$I$38-1,0)),IF(AND($L$37=0,$P$34=0),"",$L$37-1),IF($R$17="Distrato",$E539,0))),0,YEARFRAC(MAX($P$34*($B539+IF($R$17="Distrato",$I$38-1,0)),IF(AND($L$37=0,$P$34=0),"",$L$37-1),IF($R$17="Distrato",$E539,0)),MIN(W$38,$D$19),$P$20))-SUM($P539:V539)</f>
        <v>#VALUE!</v>
      </c>
      <c r="X539" s="446" t="e">
        <f>IF(OR($B539="",MIN(X$38,$D$19)&lt;MAX($P$34*($B539+IF($R$17="Distrato",$I$38-1,0)),IF(AND($L$37=0,$P$34=0),"",$L$37-1),IF($R$17="Distrato",$E539,0))),0,YEARFRAC(MAX($P$34*($B539+IF($R$17="Distrato",$I$38-1,0)),IF(AND($L$37=0,$P$34=0),"",$L$37-1),IF($R$17="Distrato",$E539,0)),MIN(X$38,$D$19),$P$20))-SUM($P539:W539)</f>
        <v>#VALUE!</v>
      </c>
      <c r="Y539" s="446" t="e">
        <f>IF(OR($B539="",MIN(Y$38,$D$19)&lt;MAX($P$34*($B539+IF($R$17="Distrato",$I$38-1,0)),IF(AND($L$37=0,$P$34=0),"",$L$37-1),IF($R$17="Distrato",$E539,0))),0,YEARFRAC(MAX($P$34*($B539+IF($R$17="Distrato",$I$38-1,0)),IF(AND($L$37=0,$P$34=0),"",$L$37-1),IF($R$17="Distrato",$E539,0)),MIN(Y$38,$D$19),$P$20))-SUM($P539:X539)</f>
        <v>#VALUE!</v>
      </c>
      <c r="Z539" s="446" t="e">
        <f>IF(OR($B539="",MIN(Z$38,$D$19)&lt;MAX($P$34*($B539+IF($R$17="Distrato",$I$38-1,0)),IF(AND($L$37=0,$P$34=0),"",$L$37-1),IF($R$17="Distrato",$E539,0))),0,YEARFRAC(MAX($P$34*($B539+IF($R$17="Distrato",$I$38-1,0)),IF(AND($L$37=0,$P$34=0),"",$L$37-1),IF($R$17="Distrato",$E539,0)),MIN(Z$38,$D$19),$P$20))-SUM($P539:Y539)</f>
        <v>#VALUE!</v>
      </c>
      <c r="AA539" s="446" t="e">
        <f>IF(OR($B539="",MIN(AA$38,$D$19)&lt;MAX($P$34*($B539+IF($R$17="Distrato",$I$38-1,0)),IF(AND($L$37=0,$P$34=0),"",$L$37-1),IF($R$17="Distrato",$E539,0))),0,YEARFRAC(MAX($P$34*($B539+IF($R$17="Distrato",$I$38-1,0)),IF(AND($L$37=0,$P$34=0),"",$L$37-1),IF($R$17="Distrato",$E539,0)),MIN(AA$38,$D$19),$P$20))-SUM($P539:Z539)</f>
        <v>#VALUE!</v>
      </c>
      <c r="AB539" s="446" t="e">
        <f>IF(OR($B539="",MIN(AB$38,$D$19)&lt;MAX($P$34*($B539+IF($R$17="Distrato",$I$38-1,0)),IF(AND($L$37=0,$P$34=0),"",$L$37-1),IF($R$17="Distrato",$E539,0))),0,YEARFRAC(MAX($P$34*($B539+IF($R$17="Distrato",$I$38-1,0)),IF(AND($L$37=0,$P$34=0),"",$L$37-1),IF($R$17="Distrato",$E539,0)),MIN(AB$38,$D$19),$P$20))-SUM($P539:AA539)</f>
        <v>#VALUE!</v>
      </c>
      <c r="AC539" s="446" t="e">
        <f>IF(OR($B539="",MIN(AC$38,$D$19)&lt;MAX($P$34*($B539+IF($R$17="Distrato",$I$38-1,0)),IF(AND($L$37=0,$P$34=0),"",$L$37-1),IF($R$17="Distrato",$E539,0))),0,YEARFRAC(MAX($P$34*($B539+IF($R$17="Distrato",$I$38-1,0)),IF(AND($L$37=0,$P$34=0),"",$L$37-1),IF($R$17="Distrato",$E539,0)),MIN(AC$38,$D$19),$P$20))-SUM($P539:AB539)</f>
        <v>#VALUE!</v>
      </c>
      <c r="AD539" s="446" t="e">
        <f>IF(OR($B539="",MIN(AD$38,$D$19)&lt;MAX($P$34*($B539+IF($R$17="Distrato",$I$38-1,0)),IF(AND($L$37=0,$P$34=0),"",$L$37-1),IF($R$17="Distrato",$E539,0))),0,YEARFRAC(MAX($P$34*($B539+IF($R$17="Distrato",$I$38-1,0)),IF(AND($L$37=0,$P$34=0),"",$L$37-1),IF($R$17="Distrato",$E539,0)),MIN(AD$38,$D$19),$P$20))-SUM($P539:AC539)</f>
        <v>#VALUE!</v>
      </c>
      <c r="AE539" s="446" t="e">
        <f>IF(OR($B539="",MIN(AE$38,$D$19)&lt;MAX($P$34*($B539+IF($R$17="Distrato",$I$38-1,0)),IF(AND($L$37=0,$P$34=0),"",$L$37-1),IF($R$17="Distrato",$E539,0))),0,YEARFRAC(MAX($P$34*($B539+IF($R$17="Distrato",$I$38-1,0)),IF(AND($L$37=0,$P$34=0),"",$L$37-1),IF($R$17="Distrato",$E539,0)),MIN(AE$38,$D$19),$P$20))-SUM($P539:AD539)</f>
        <v>#VALUE!</v>
      </c>
      <c r="AF539" s="446" t="e">
        <f>IF(OR($B539="",MIN(AF$38,$D$19)&lt;MAX($P$34*($B539+IF($R$17="Distrato",$I$38-1,0)),IF(AND($L$37=0,$P$34=0),"",$L$37-1),IF($R$17="Distrato",$E539,0))),0,YEARFRAC(MAX($P$34*($B539+IF($R$17="Distrato",$I$38-1,0)),IF(AND($L$37=0,$P$34=0),"",$L$37-1),IF($R$17="Distrato",$E539,0)),MIN(AF$38,$D$19),$P$20))-SUM($P539:AE539)</f>
        <v>#VALUE!</v>
      </c>
      <c r="AG539" s="446" t="e">
        <f>IF(OR($B539="",MIN(AG$38,$D$19)&lt;MAX($P$34*($B539+IF($R$17="Distrato",$I$38-1,0)),IF(AND($L$37=0,$P$34=0),"",$L$37-1),IF($R$17="Distrato",$E539,0))),0,YEARFRAC(MAX($P$34*($B539+IF($R$17="Distrato",$I$38-1,0)),IF(AND($L$37=0,$P$34=0),"",$L$37-1),IF($R$17="Distrato",$E539,0)),MIN(AG$38,$D$19),$P$20))-SUM($P539:AF539)</f>
        <v>#VALUE!</v>
      </c>
      <c r="AH539" s="446" t="e">
        <f>IF(OR($B539="",MIN(AH$38,$D$19)&lt;MAX($P$34*($B539+IF($R$17="Distrato",$I$38-1,0)),IF(AND($L$37=0,$P$34=0),"",$L$37-1),IF($R$17="Distrato",$E539,0))),0,YEARFRAC(MAX($P$34*($B539+IF($R$17="Distrato",$I$38-1,0)),IF(AND($L$37=0,$P$34=0),"",$L$37-1),IF($R$17="Distrato",$E539,0)),MIN(AH$38,$D$19),$P$20))-SUM($P539:AG539)</f>
        <v>#VALUE!</v>
      </c>
      <c r="AI539" s="446" t="e">
        <f>IF(OR($B539="",MIN(AI$38,$D$19)&lt;MAX($P$34*($B539+IF($R$17="Distrato",$I$38-1,0)),IF(AND($L$37=0,$P$34=0),"",$L$37-1),IF($R$17="Distrato",$E539,0))),0,YEARFRAC(MAX($P$34*($B539+IF($R$17="Distrato",$I$38-1,0)),IF(AND($L$37=0,$P$34=0),"",$L$37-1),IF($R$17="Distrato",$E539,0)),MIN(AI$38,$D$19),$P$20))-SUM($P539:AH539)</f>
        <v>#VALUE!</v>
      </c>
      <c r="AJ539" s="446" t="e">
        <f>IF(OR($B539="",MIN(AJ$38,$D$19)&lt;MAX($P$34*($B539+IF($R$17="Distrato",$I$38-1,0)),IF(AND($L$37=0,$P$34=0),"",$L$37-1),IF($R$17="Distrato",$E539,0))),0,YEARFRAC(MAX($P$34*($B539+IF($R$17="Distrato",$I$38-1,0)),IF(AND($L$37=0,$P$34=0),"",$L$37-1),IF($R$17="Distrato",$E539,0)),MIN(AJ$38,$D$19),$P$20))-SUM($P539:AI539)</f>
        <v>#VALUE!</v>
      </c>
      <c r="AK539" s="446" t="e">
        <f>IF(OR($B539="",MIN(AK$38,$D$19)&lt;MAX($P$34*($B539+IF($R$17="Distrato",$I$38-1,0)),IF(AND($L$37=0,$P$34=0),"",$L$37-1),IF($R$17="Distrato",$E539,0))),0,YEARFRAC(MAX($P$34*($B539+IF($R$17="Distrato",$I$38-1,0)),IF(AND($L$37=0,$P$34=0),"",$L$37-1),IF($R$17="Distrato",$E539,0)),MIN(AK$38,$D$19),$P$20))-SUM($P539:AJ539)</f>
        <v>#VALUE!</v>
      </c>
      <c r="AL539" s="446" t="e">
        <f>IF(OR($B539="",MIN(AL$38,$D$19)&lt;MAX($P$34*($B539+IF($R$17="Distrato",$I$38-1,0)),IF(AND($L$37=0,$P$34=0),"",$L$37-1),IF($R$17="Distrato",$E539,0))),0,YEARFRAC(MAX($P$34*($B539+IF($R$17="Distrato",$I$38-1,0)),IF(AND($L$37=0,$P$34=0),"",$L$37-1),IF($R$17="Distrato",$E539,0)),MIN(AL$38,$D$19),$P$20))-SUM($P539:AK539)</f>
        <v>#VALUE!</v>
      </c>
      <c r="AM539" s="446" t="e">
        <f>IF(OR($B539="",MIN(AM$38,$D$19)&lt;MAX($P$34*($B539+IF($R$17="Distrato",$I$38-1,0)),IF(AND($L$37=0,$P$34=0),"",$L$37-1),IF($R$17="Distrato",$E539,0))),0,YEARFRAC(MAX($P$34*($B539+IF($R$17="Distrato",$I$38-1,0)),IF(AND($L$37=0,$P$34=0),"",$L$37-1),IF($R$17="Distrato",$E539,0)),MIN(AM$38,$D$19),$P$20))-SUM($P539:AL539)</f>
        <v>#VALUE!</v>
      </c>
      <c r="AN539" s="446" t="e">
        <f>IF(OR($B539="",MIN(AN$38,$D$19)&lt;MAX($P$34*($B539+IF($R$17="Distrato",$I$38-1,0)),IF(AND($L$37=0,$P$34=0),"",$L$37-1),IF($R$17="Distrato",$E539,0))),0,YEARFRAC(MAX($P$34*($B539+IF($R$17="Distrato",$I$38-1,0)),IF(AND($L$37=0,$P$34=0),"",$L$37-1),IF($R$17="Distrato",$E539,0)),MIN(AN$38,$D$19),$P$20))-SUM($P539:AM539)</f>
        <v>#VALUE!</v>
      </c>
      <c r="AO539" s="446" t="e">
        <f>IF(OR($B539="",MIN(AO$38,$D$19)&lt;MAX($P$34*($B539+IF($R$17="Distrato",$I$38-1,0)),IF(AND($L$37=0,$P$34=0),"",$L$37-1),IF($R$17="Distrato",$E539,0))),0,YEARFRAC(MAX($P$34*($B539+IF($R$17="Distrato",$I$38-1,0)),IF(AND($L$37=0,$P$34=0),"",$L$37-1),IF($R$17="Distrato",$E539,0)),MIN(AO$38,$D$19),$P$20))-SUM($P539:AN539)</f>
        <v>#VALUE!</v>
      </c>
      <c r="AP539" s="446" t="e">
        <f>IF(OR($B539="",MIN(AP$38,$D$19)&lt;MAX($P$34*($B539+IF($R$17="Distrato",$I$38-1,0)),IF(AND($L$37=0,$P$34=0),"",$L$37-1),IF($R$17="Distrato",$E539,0))),0,YEARFRAC(MAX($P$34*($B539+IF($R$17="Distrato",$I$38-1,0)),IF(AND($L$37=0,$P$34=0),"",$L$37-1),IF($R$17="Distrato",$E539,0)),MIN(AP$38,$D$19),$P$20))-SUM($P539:AO539)</f>
        <v>#VALUE!</v>
      </c>
      <c r="AQ539" s="446" t="e">
        <f>IF(OR($B539="",MIN(AQ$38,$D$19)&lt;MAX($P$34*($B539+IF($R$17="Distrato",$I$38-1,0)),IF(AND($L$37=0,$P$34=0),"",$L$37-1),IF($R$17="Distrato",$E539,0))),0,YEARFRAC(MAX($P$34*($B539+IF($R$17="Distrato",$I$38-1,0)),IF(AND($L$37=0,$P$34=0),"",$L$37-1),IF($R$17="Distrato",$E539,0)),MIN(AQ$38,$D$19),$P$20))-SUM($P539:AP539)</f>
        <v>#VALUE!</v>
      </c>
      <c r="AR539" s="446" t="e">
        <f>IF(OR($B539="",MIN(AR$38,$D$19)&lt;MAX($P$34*($B539+IF($R$17="Distrato",$I$38-1,0)),IF(AND($L$37=0,$P$34=0),"",$L$37-1),IF($R$17="Distrato",$E539,0))),0,YEARFRAC(MAX($P$34*($B539+IF($R$17="Distrato",$I$38-1,0)),IF(AND($L$37=0,$P$34=0),"",$L$37-1),IF($R$17="Distrato",$E539,0)),MIN(AR$38,$D$19),$P$20))-SUM($P539:AQ539)</f>
        <v>#VALUE!</v>
      </c>
      <c r="AS539" s="446" t="e">
        <f>IF(OR($B539="",MIN(AS$38,$D$19)&lt;MAX($P$34*($B539+IF($R$17="Distrato",$I$38-1,0)),IF(AND($L$37=0,$P$34=0),"",$L$37-1),IF($R$17="Distrato",$E539,0))),0,YEARFRAC(MAX($P$34*($B539+IF($R$17="Distrato",$I$38-1,0)),IF(AND($L$37=0,$P$34=0),"",$L$37-1),IF($R$17="Distrato",$E539,0)),MIN(AS$38,$D$19),$P$20))-SUM($P539:AR539)</f>
        <v>#VALUE!</v>
      </c>
      <c r="AT539" s="446" t="e">
        <f>IF(OR($B539="",MIN(AT$38,$D$19)&lt;MAX($P$34*($B539+IF($R$17="Distrato",$I$38-1,0)),IF(AND($L$37=0,$P$34=0),"",$L$37-1),IF($R$17="Distrato",$E539,0))),0,YEARFRAC(MAX($P$34*($B539+IF($R$17="Distrato",$I$38-1,0)),IF(AND($L$37=0,$P$34=0),"",$L$37-1),IF($R$17="Distrato",$E539,0)),MIN(AT$38,$D$19),$P$20))-SUM($P539:AS539)</f>
        <v>#VALUE!</v>
      </c>
      <c r="AU539" s="446" t="e">
        <f>IF(OR($B539="",MIN(AU$38,$D$19)&lt;MAX($P$34*($B539+IF($R$17="Distrato",$I$38-1,0)),IF(AND($L$37=0,$P$34=0),"",$L$37-1),IF($R$17="Distrato",$E539,0))),0,YEARFRAC(MAX($P$34*($B539+IF($R$17="Distrato",$I$38-1,0)),IF(AND($L$37=0,$P$34=0),"",$L$37-1),IF($R$17="Distrato",$E539,0)),MIN(AU$38,$D$19),$P$20))-SUM($P539:AT539)</f>
        <v>#VALUE!</v>
      </c>
      <c r="AV539" s="446" t="e">
        <f>IF(OR($B539="",MIN(AV$38,$D$19)&lt;MAX($P$34*($B539+IF($R$17="Distrato",$I$38-1,0)),IF(AND($L$37=0,$P$34=0),"",$L$37-1),IF($R$17="Distrato",$E539,0))),0,YEARFRAC(MAX($P$34*($B539+IF($R$17="Distrato",$I$38-1,0)),IF(AND($L$37=0,$P$34=0),"",$L$37-1),IF($R$17="Distrato",$E539,0)),MIN(AV$38,$D$19),$P$20))-SUM($P539:AU539)</f>
        <v>#VALUE!</v>
      </c>
      <c r="AW539" s="446" t="e">
        <f>IF(OR($B539="",MIN(AW$38,$D$19)&lt;MAX($P$34*($B539+IF($R$17="Distrato",$I$38-1,0)),IF(AND($L$37=0,$P$34=0),"",$L$37-1),IF($R$17="Distrato",$E539,0))),0,YEARFRAC(MAX($P$34*($B539+IF($R$17="Distrato",$I$38-1,0)),IF(AND($L$37=0,$P$34=0),"",$L$37-1),IF($R$17="Distrato",$E539,0)),MIN(AW$38,$D$19),$P$20))-SUM($P539:AV539)</f>
        <v>#VALUE!</v>
      </c>
      <c r="AX539" s="446" t="e">
        <f>IF(OR($B539="",MIN(AX$38,$D$19)&lt;MAX($P$34*($B539+IF($R$17="Distrato",$I$38-1,0)),IF(AND($L$37=0,$P$34=0),"",$L$37-1),IF($R$17="Distrato",$E539,0))),0,YEARFRAC(MAX($P$34*($B539+IF($R$17="Distrato",$I$38-1,0)),IF(AND($L$37=0,$P$34=0),"",$L$37-1),IF($R$17="Distrato",$E539,0)),MIN(AX$38,$D$19),$P$20))-SUM($P539:AW539)</f>
        <v>#VALUE!</v>
      </c>
      <c r="AY539" s="446" t="e">
        <f>IF(OR($B539="",MIN(AY$38,$D$19)&lt;MAX($P$34*($B539+IF($R$17="Distrato",$I$38-1,0)),IF(AND($L$37=0,$P$34=0),"",$L$37-1),IF($R$17="Distrato",$E539,0))),0,YEARFRAC(MAX($P$34*($B539+IF($R$17="Distrato",$I$38-1,0)),IF(AND($L$37=0,$P$34=0),"",$L$37-1),IF($R$17="Distrato",$E539,0)),MIN(AY$38,$D$19),$P$20))-SUM($P539:AX539)</f>
        <v>#VALUE!</v>
      </c>
      <c r="AZ539" s="446" t="e">
        <f>IF(OR($B539="",MIN(AZ$38,$D$19)&lt;MAX($P$34*($B539+IF($R$17="Distrato",$I$38-1,0)),IF(AND($L$37=0,$P$34=0),"",$L$37-1),IF($R$17="Distrato",$E539,0))),0,YEARFRAC(MAX($P$34*($B539+IF($R$17="Distrato",$I$38-1,0)),IF(AND($L$37=0,$P$34=0),"",$L$37-1),IF($R$17="Distrato",$E539,0)),MIN(AZ$38,$D$19),$P$20))-SUM($P539:AY539)</f>
        <v>#VALUE!</v>
      </c>
      <c r="BA539" s="446" t="e">
        <f>IF(OR($B539="",MIN(BA$38,$D$19)&lt;MAX($P$34*($B539+IF($R$17="Distrato",$I$38-1,0)),IF(AND($L$37=0,$P$34=0),"",$L$37-1),IF($R$17="Distrato",$E539,0))),0,YEARFRAC(MAX($P$34*($B539+IF($R$17="Distrato",$I$38-1,0)),IF(AND($L$37=0,$P$34=0),"",$L$37-1),IF($R$17="Distrato",$E539,0)),MIN(BA$38,$D$19),$P$20))-SUM($P539:AZ539)</f>
        <v>#VALUE!</v>
      </c>
      <c r="BB539" s="447"/>
      <c r="BF539" s="446">
        <f t="shared" si="87"/>
        <v>0</v>
      </c>
      <c r="BG539" s="446">
        <f>IF($E539=0,0,IF(MIN(BG$38,$E539)&lt;MAX($P$34*($B539+$I$38-1),IF(AND($L$37=0,$P$34=0),"",$L$37-1)),0,YEARFRAC(MAX($P$34*($B539+$I$38-1),IF(AND($L$37=0,$P$34=0),"",$L$37-1)),MIN(BG$38,$E539),$P$20))-SUM($BF539:BF539))</f>
        <v>0</v>
      </c>
      <c r="BH539" s="446">
        <f>IF($E539=0,0,IF(MIN(BH$38,$E539)&lt;MAX($P$34*($B539+$I$38-1),IF(AND($L$37=0,$P$34=0),"",$L$37-1)),0,YEARFRAC(MAX($P$34*($B539+$I$38-1),IF(AND($L$37=0,$P$34=0),"",$L$37-1)),MIN(BH$38,$E539),$P$20))-SUM($BF539:BG539))</f>
        <v>0</v>
      </c>
      <c r="BI539" s="446">
        <f>IF($E539=0,0,IF(MIN(BI$38,$E539)&lt;MAX($P$34*($B539+$I$38-1),IF(AND($L$37=0,$P$34=0),"",$L$37-1)),0,YEARFRAC(MAX($P$34*($B539+$I$38-1),IF(AND($L$37=0,$P$34=0),"",$L$37-1)),MIN(BI$38,$E539),$P$20))-SUM($BF539:BH539))</f>
        <v>0</v>
      </c>
      <c r="BJ539" s="446">
        <f>IF($E539=0,0,IF(MIN(BJ$38,$E539)&lt;MAX($P$34*($B539+$I$38-1),IF(AND($L$37=0,$P$34=0),"",$L$37-1)),0,YEARFRAC(MAX($P$34*($B539+$I$38-1),IF(AND($L$37=0,$P$34=0),"",$L$37-1)),MIN(BJ$38,$E539),$P$20))-SUM($BF539:BI539))</f>
        <v>0</v>
      </c>
      <c r="BK539" s="446">
        <f>IF($E539=0,0,IF(MIN(BK$38,$E539)&lt;MAX($P$34*($B539+$I$38-1),IF(AND($L$37=0,$P$34=0),"",$L$37-1)),0,YEARFRAC(MAX($P$34*($B539+$I$38-1),IF(AND($L$37=0,$P$34=0),"",$L$37-1)),MIN(BK$38,$E539),$P$20))-SUM($BF539:BJ539))</f>
        <v>0</v>
      </c>
      <c r="BL539" s="446">
        <f>IF($E539=0,0,IF(MIN(BL$38,$E539)&lt;MAX($P$34*($B539+$I$38-1),IF(AND($L$37=0,$P$34=0),"",$L$37-1)),0,YEARFRAC(MAX($P$34*($B539+$I$38-1),IF(AND($L$37=0,$P$34=0),"",$L$37-1)),MIN(BL$38,$E539),$P$20))-SUM($BF539:BK539))</f>
        <v>0</v>
      </c>
      <c r="BM539" s="446">
        <f>IF($E539=0,0,IF(MIN(BM$38,$E539)&lt;MAX($P$34*($B539+$I$38-1),IF(AND($L$37=0,$P$34=0),"",$L$37-1)),0,YEARFRAC(MAX($P$34*($B539+$I$38-1),IF(AND($L$37=0,$P$34=0),"",$L$37-1)),MIN(BM$38,$E539),$P$20))-SUM($BF539:BL539))</f>
        <v>0</v>
      </c>
      <c r="BN539" s="446">
        <f>IF($E539=0,0,IF(MIN(BN$38,$E539)&lt;MAX($P$34*($B539+$I$38-1),IF(AND($L$37=0,$P$34=0),"",$L$37-1)),0,YEARFRAC(MAX($P$34*($B539+$I$38-1),IF(AND($L$37=0,$P$34=0),"",$L$37-1)),MIN(BN$38,$E539),$P$20))-SUM($BF539:BM539))</f>
        <v>0</v>
      </c>
      <c r="BO539" s="446">
        <f>IF($E539=0,0,IF(MIN(BO$38,$E539)&lt;MAX($P$34*($B539+$I$38-1),IF(AND($L$37=0,$P$34=0),"",$L$37-1)),0,YEARFRAC(MAX($P$34*($B539+$I$38-1),IF(AND($L$37=0,$P$34=0),"",$L$37-1)),MIN(BO$38,$E539),$P$20))-SUM($BF539:BN539))</f>
        <v>0</v>
      </c>
      <c r="BP539" s="446">
        <f>IF($E539=0,0,IF(MIN(BP$38,$E539)&lt;MAX($P$34*($B539+$I$38-1),IF(AND($L$37=0,$P$34=0),"",$L$37-1)),0,YEARFRAC(MAX($P$34*($B539+$I$38-1),IF(AND($L$37=0,$P$34=0),"",$L$37-1)),MIN(BP$38,$E539),$P$20))-SUM($BF539:BO539))</f>
        <v>0</v>
      </c>
      <c r="BQ539" s="446">
        <f>IF($E539=0,0,IF(MIN(BQ$38,$E539)&lt;MAX($P$34*($B539+$I$38-1),IF(AND($L$37=0,$P$34=0),"",$L$37-1)),0,YEARFRAC(MAX($P$34*($B539+$I$38-1),IF(AND($L$37=0,$P$34=0),"",$L$37-1)),MIN(BQ$38,$E539),$P$20))-SUM($BF539:BP539))</f>
        <v>0</v>
      </c>
      <c r="BR539" s="446">
        <f>IF($E539=0,0,IF(MIN(BR$38,$E539)&lt;MAX($P$34*($B539+$I$38-1),IF(AND($L$37=0,$P$34=0),"",$L$37-1)),0,YEARFRAC(MAX($P$34*($B539+$I$38-1),IF(AND($L$37=0,$P$34=0),"",$L$37-1)),MIN(BR$38,$E539),$P$20))-SUM($BF539:BQ539))</f>
        <v>0</v>
      </c>
      <c r="BS539" s="446">
        <f>IF($E539=0,0,IF(MIN(BS$38,$E539)&lt;MAX($P$34*($B539+$I$38-1),IF(AND($L$37=0,$P$34=0),"",$L$37-1)),0,YEARFRAC(MAX($P$34*($B539+$I$38-1),IF(AND($L$37=0,$P$34=0),"",$L$37-1)),MIN(BS$38,$E539),$P$20))-SUM($BF539:BR539))</f>
        <v>0</v>
      </c>
      <c r="BT539" s="446">
        <f>IF($E539=0,0,IF(MIN(BT$38,$E539)&lt;MAX($P$34*($B539+$I$38-1),IF(AND($L$37=0,$P$34=0),"",$L$37-1)),0,YEARFRAC(MAX($P$34*($B539+$I$38-1),IF(AND($L$37=0,$P$34=0),"",$L$37-1)),MIN(BT$38,$E539),$P$20))-SUM($BF539:BS539))</f>
        <v>0</v>
      </c>
      <c r="BU539" s="446">
        <f>IF($E539=0,0,IF(MIN(BU$38,$E539)&lt;MAX($P$34*($B539+$I$38-1),IF(AND($L$37=0,$P$34=0),"",$L$37-1)),0,YEARFRAC(MAX($P$34*($B539+$I$38-1),IF(AND($L$37=0,$P$34=0),"",$L$37-1)),MIN(BU$38,$E539),$P$20))-SUM($BF539:BT539))</f>
        <v>0</v>
      </c>
      <c r="BV539" s="446">
        <f>IF($E539=0,0,IF(MIN(BV$38,$E539)&lt;MAX($P$34*($B539+$I$38-1),IF(AND($L$37=0,$P$34=0),"",$L$37-1)),0,YEARFRAC(MAX($P$34*($B539+$I$38-1),IF(AND($L$37=0,$P$34=0),"",$L$37-1)),MIN(BV$38,$E539),$P$20))-SUM($BF539:BU539))</f>
        <v>0</v>
      </c>
      <c r="BW539" s="446">
        <f>IF($E539=0,0,IF(MIN(BW$38,$E539)&lt;MAX($P$34*($B539+$I$38-1),IF(AND($L$37=0,$P$34=0),"",$L$37-1)),0,YEARFRAC(MAX($P$34*($B539+$I$38-1),IF(AND($L$37=0,$P$34=0),"",$L$37-1)),MIN(BW$38,$E539),$P$20))-SUM($BF539:BV539))</f>
        <v>0</v>
      </c>
      <c r="BX539" s="446">
        <f>IF($E539=0,0,IF(MIN(BX$38,$E539)&lt;MAX($P$34*($B539+$I$38-1),IF(AND($L$37=0,$P$34=0),"",$L$37-1)),0,YEARFRAC(MAX($P$34*($B539+$I$38-1),IF(AND($L$37=0,$P$34=0),"",$L$37-1)),MIN(BX$38,$E539),$P$20))-SUM($BF539:BW539))</f>
        <v>0</v>
      </c>
      <c r="BY539" s="446">
        <f>IF($E539=0,0,IF(MIN(BY$38,$E539)&lt;MAX($P$34*($B539+$I$38-1),IF(AND($L$37=0,$P$34=0),"",$L$37-1)),0,YEARFRAC(MAX($P$34*($B539+$I$38-1),IF(AND($L$37=0,$P$34=0),"",$L$37-1)),MIN(BY$38,$E539),$P$20))-SUM($BF539:BX539))</f>
        <v>0</v>
      </c>
      <c r="BZ539" s="446">
        <f>IF($E539=0,0,IF(MIN(BZ$38,$E539)&lt;MAX($P$34*($B539+$I$38-1),IF(AND($L$37=0,$P$34=0),"",$L$37-1)),0,YEARFRAC(MAX($P$34*($B539+$I$38-1),IF(AND($L$37=0,$P$34=0),"",$L$37-1)),MIN(BZ$38,$E539),$P$20))-SUM($BF539:BY539))</f>
        <v>0</v>
      </c>
      <c r="CA539" s="446">
        <f>IF($E539=0,0,IF(MIN(CA$38,$E539)&lt;MAX($P$34*($B539+$I$38-1),IF(AND($L$37=0,$P$34=0),"",$L$37-1)),0,YEARFRAC(MAX($P$34*($B539+$I$38-1),IF(AND($L$37=0,$P$34=0),"",$L$37-1)),MIN(CA$38,$E539),$P$20))-SUM($BF539:BZ539))</f>
        <v>0</v>
      </c>
      <c r="CB539" s="446">
        <f>IF($E539=0,0,IF(MIN(CB$38,$E539)&lt;MAX($P$34*($B539+$I$38-1),IF(AND($L$37=0,$P$34=0),"",$L$37-1)),0,YEARFRAC(MAX($P$34*($B539+$I$38-1),IF(AND($L$37=0,$P$34=0),"",$L$37-1)),MIN(CB$38,$E539),$P$20))-SUM($BF539:CA539))</f>
        <v>0</v>
      </c>
      <c r="CC539" s="446">
        <f>IF($E539=0,0,IF(MIN(CC$38,$E539)&lt;MAX($P$34*($B539+$I$38-1),IF(AND($L$37=0,$P$34=0),"",$L$37-1)),0,YEARFRAC(MAX($P$34*($B539+$I$38-1),IF(AND($L$37=0,$P$34=0),"",$L$37-1)),MIN(CC$38,$E539),$P$20))-SUM($BF539:CB539))</f>
        <v>0</v>
      </c>
      <c r="CD539" s="446">
        <f>IF($E539=0,0,IF(MIN(CD$38,$E539)&lt;MAX($P$34*($B539+$I$38-1),IF(AND($L$37=0,$P$34=0),"",$L$37-1)),0,YEARFRAC(MAX($P$34*($B539+$I$38-1),IF(AND($L$37=0,$P$34=0),"",$L$37-1)),MIN(CD$38,$E539),$P$20))-SUM($BF539:CC539))</f>
        <v>0</v>
      </c>
      <c r="CE539" s="446">
        <f>IF($E539=0,0,IF(MIN(CE$38,$E539)&lt;MAX($P$34*($B539+$I$38-1),IF(AND($L$37=0,$P$34=0),"",$L$37-1)),0,YEARFRAC(MAX($P$34*($B539+$I$38-1),IF(AND($L$37=0,$P$34=0),"",$L$37-1)),MIN(CE$38,$E539),$P$20))-SUM($BF539:CD539))</f>
        <v>0</v>
      </c>
      <c r="CF539" s="446">
        <f>IF($E539=0,0,IF(MIN(CF$38,$E539)&lt;MAX($P$34*($B539+$I$38-1),IF(AND($L$37=0,$P$34=0),"",$L$37-1)),0,YEARFRAC(MAX($P$34*($B539+$I$38-1),IF(AND($L$37=0,$P$34=0),"",$L$37-1)),MIN(CF$38,$E539),$P$20))-SUM($BF539:CE539))</f>
        <v>0</v>
      </c>
      <c r="CG539" s="446">
        <f>IF($E539=0,0,IF(MIN(CG$38,$E539)&lt;MAX($P$34*($B539+$I$38-1),IF(AND($L$37=0,$P$34=0),"",$L$37-1)),0,YEARFRAC(MAX($P$34*($B539+$I$38-1),IF(AND($L$37=0,$P$34=0),"",$L$37-1)),MIN(CG$38,$E539),$P$20))-SUM($BF539:CF539))</f>
        <v>0</v>
      </c>
      <c r="CH539" s="446">
        <f>IF($E539=0,0,IF(MIN(CH$38,$E539)&lt;MAX($P$34*($B539+$I$38-1),IF(AND($L$37=0,$P$34=0),"",$L$37-1)),0,YEARFRAC(MAX($P$34*($B539+$I$38-1),IF(AND($L$37=0,$P$34=0),"",$L$37-1)),MIN(CH$38,$E539),$P$20))-SUM($BF539:CG539))</f>
        <v>0</v>
      </c>
      <c r="CI539" s="446">
        <f>IF($E539=0,0,IF(MIN(CI$38,$E539)&lt;MAX($P$34*($B539+$I$38-1),IF(AND($L$37=0,$P$34=0),"",$L$37-1)),0,YEARFRAC(MAX($P$34*($B539+$I$38-1),IF(AND($L$37=0,$P$34=0),"",$L$37-1)),MIN(CI$38,$E539),$P$20))-SUM($BF539:CH539))</f>
        <v>0</v>
      </c>
      <c r="CJ539" s="446">
        <f>IF($E539=0,0,IF(MIN(CJ$38,$E539)&lt;MAX($P$34*($B539+$I$38-1),IF(AND($L$37=0,$P$34=0),"",$L$37-1)),0,YEARFRAC(MAX($P$34*($B539+$I$38-1),IF(AND($L$37=0,$P$34=0),"",$L$37-1)),MIN(CJ$38,$E539),$P$20))-SUM($BF539:CI539))</f>
        <v>0</v>
      </c>
      <c r="CK539" s="446">
        <f>IF($E539=0,0,IF(MIN(CK$38,$E539)&lt;MAX($P$34*($B539+$I$38-1),IF(AND($L$37=0,$P$34=0),"",$L$37-1)),0,YEARFRAC(MAX($P$34*($B539+$I$38-1),IF(AND($L$37=0,$P$34=0),"",$L$37-1)),MIN(CK$38,$E539),$P$20))-SUM($BF539:CJ539))</f>
        <v>0</v>
      </c>
      <c r="CL539" s="446">
        <f>IF($E539=0,0,IF(MIN(CL$38,$E539)&lt;MAX($P$34*($B539+$I$38-1),IF(AND($L$37=0,$P$34=0),"",$L$37-1)),0,YEARFRAC(MAX($P$34*($B539+$I$38-1),IF(AND($L$37=0,$P$34=0),"",$L$37-1)),MIN(CL$38,$E539),$P$20))-SUM($BF539:CK539))</f>
        <v>0</v>
      </c>
      <c r="CM539" s="446">
        <f>IF($E539=0,0,IF(MIN(CM$38,$E539)&lt;MAX($P$34*($B539+$I$38-1),IF(AND($L$37=0,$P$34=0),"",$L$37-1)),0,YEARFRAC(MAX($P$34*($B539+$I$38-1),IF(AND($L$37=0,$P$34=0),"",$L$37-1)),MIN(CM$38,$E539),$P$20))-SUM($BF539:CL539))</f>
        <v>0</v>
      </c>
      <c r="CN539" s="446">
        <f>IF($E539=0,0,IF(MIN(CN$38,$E539)&lt;MAX($P$34*($B539+$I$38-1),IF(AND($L$37=0,$P$34=0),"",$L$37-1)),0,YEARFRAC(MAX($P$34*($B539+$I$38-1),IF(AND($L$37=0,$P$34=0),"",$L$37-1)),MIN(CN$38,$E539),$P$20))-SUM($BF539:CM539))</f>
        <v>0</v>
      </c>
      <c r="CO539" s="446">
        <f>IF($E539=0,0,IF(MIN(CO$38,$E539)&lt;MAX($P$34*($B539+$I$38-1),IF(AND($L$37=0,$P$34=0),"",$L$37-1)),0,YEARFRAC(MAX($P$34*($B539+$I$38-1),IF(AND($L$37=0,$P$34=0),"",$L$37-1)),MIN(CO$38,$E539),$P$20))-SUM($BF539:CN539))</f>
        <v>0</v>
      </c>
      <c r="CP539" s="446">
        <f>IF($E539=0,0,IF(MIN(CP$38,$E539)&lt;MAX($P$34*($B539+$I$38-1),IF(AND($L$37=0,$P$34=0),"",$L$37-1)),0,YEARFRAC(MAX($P$34*($B539+$I$38-1),IF(AND($L$37=0,$P$34=0),"",$L$37-1)),MIN(CP$38,$E539),$P$20))-SUM($BF539:CO539))</f>
        <v>0</v>
      </c>
      <c r="CQ539" s="446">
        <f>IF($E539=0,0,IF(MIN(CQ$38,$E539)&lt;MAX($P$34*($B539+$I$38-1),IF(AND($L$37=0,$P$34=0),"",$L$37-1)),0,YEARFRAC(MAX($P$34*($B539+$I$38-1),IF(AND($L$37=0,$P$34=0),"",$L$37-1)),MIN(CQ$38,$E539),$P$20))-SUM($BF539:CP539))</f>
        <v>0</v>
      </c>
    </row>
    <row r="540" spans="1:95" s="446" customFormat="1" ht="11.25" hidden="1" customHeight="1" x14ac:dyDescent="0.2">
      <c r="A540" s="152"/>
      <c r="B540" s="153" t="str">
        <f t="shared" si="92"/>
        <v/>
      </c>
      <c r="C540" s="29" t="str">
        <f>IF(B540="","",IF($L$35="SELIC - TRIBUTOS",VLOOKUP(DATE(YEAR($D$19),MONTH($D$19)-1,1),ÍNDICES!$A:$DE,HLOOKUP($BL$25,ÍNDICES!$B$3:$T$4,2)+11)-VLOOKUP(B540,ÍNDICES!$A:$DE,HLOOKUP($BL$25,ÍNDICES!$B$3:$T$4,2)+11)+1%,IF(C$38=$W$26,$J$35,IF(ISERROR(IF(B540&gt;$D$19,1,VLOOKUP(DATE(YEAR(B540),MONTH(B540)+IF($C$35=$S$23,1,0),1),ÍNDICES!$A:$DE,$Z$35+1))),"",IF(B540&gt;$D$19,1,VLOOKUP(DATE(YEAR(B540),MONTH(B540)+IF($C$35=$S$23,1,0),1),ÍNDICES!$A:$DE,$Z$35+1))))))</f>
        <v/>
      </c>
      <c r="D540" s="154" t="str">
        <f>IF(ISERROR(IF(OR($D$38=$Y$27,$B540=""),"",VLOOKUP(B540,ÍNDICES!A:DE,AF$35+1))),"",IF(OR($D$38=$Y$27,$B540=""),"",VLOOKUP(B540,ÍNDICES!A:DE,AF$35+1)))</f>
        <v/>
      </c>
      <c r="E540" s="153"/>
      <c r="F540" s="29" t="str">
        <f>IF(E540="","",IF($L$35="SELIC - TRIBUTOS",VLOOKUP(DATE(YEAR($D$19),MONTH($D$19)-1,1),ÍNDICES!$A:$DE,HLOOKUP($BL$25,ÍNDICES!$B$3:$T$4,2)+11)-VLOOKUP(E540,ÍNDICES!$A:$DE,HLOOKUP($BL$25,ÍNDICES!$B$3:$T$4,2)+11)+1%,IF(F$38=$W$26,$J$35,IF(ISERROR(IF(E540&gt;$D$19,1,VLOOKUP(DATE(YEAR(E540),MONTH(E540)+IF($C$35=$S$23,1,0),1),ÍNDICES!$A:$DE,$Z$35+1))),"",IF(E540&gt;$D$19,1,VLOOKUP(DATE(YEAR(E540),MONTH(E540)+IF($C$35=$S$23,1,0),1),ÍNDICES!$A:$DE,$Z$35+1))))))</f>
        <v/>
      </c>
      <c r="G540" s="155"/>
      <c r="H540" s="156" t="str">
        <f t="shared" si="88"/>
        <v/>
      </c>
      <c r="I540" s="29" t="str">
        <f t="shared" si="82"/>
        <v/>
      </c>
      <c r="J540" s="5">
        <f t="shared" si="83"/>
        <v>0</v>
      </c>
      <c r="K540" s="20">
        <f t="shared" ca="1" si="84"/>
        <v>0</v>
      </c>
      <c r="L540" s="5">
        <f t="shared" ca="1" si="85"/>
        <v>0</v>
      </c>
      <c r="M540" s="64">
        <f t="shared" si="89"/>
        <v>0</v>
      </c>
      <c r="N540" s="61">
        <f t="shared" ca="1" si="90"/>
        <v>0</v>
      </c>
      <c r="O540" s="5">
        <f t="shared" ca="1" si="91"/>
        <v>0</v>
      </c>
      <c r="P540" s="446" t="e">
        <f t="shared" si="86"/>
        <v>#VALUE!</v>
      </c>
      <c r="Q540" s="446" t="e">
        <f>IF(OR($B540="",MIN(Q$38,$D$19)&lt;MAX($P$34*($B540+IF($R$17="Distrato",$I$38-1,0)),IF(AND($L$37=0,$P$34=0),"",$L$37-1),IF($R$17="Distrato",$E540,0))),0,YEARFRAC(MAX($P$34*($B540+IF($R$17="Distrato",$I$38-1,0)),IF(AND($L$37=0,$P$34=0),"",$L$37-1),IF($R$17="Distrato",$E540,0)),MIN(Q$38,$D$19),$P$20))-SUM($P540:P540)</f>
        <v>#VALUE!</v>
      </c>
      <c r="R540" s="446" t="e">
        <f>IF(OR($B540="",MIN(R$38,$D$19)&lt;MAX($P$34*($B540+IF($R$17="Distrato",$I$38-1,0)),IF(AND($L$37=0,$P$34=0),"",$L$37-1),IF($R$17="Distrato",$E540,0))),0,YEARFRAC(MAX($P$34*($B540+IF($R$17="Distrato",$I$38-1,0)),IF(AND($L$37=0,$P$34=0),"",$L$37-1),IF($R$17="Distrato",$E540,0)),MIN(R$38,$D$19),$P$20))-SUM($P540:Q540)</f>
        <v>#VALUE!</v>
      </c>
      <c r="S540" s="446" t="e">
        <f>IF(OR($B540="",MIN(S$38,$D$19)&lt;MAX($P$34*($B540+IF($R$17="Distrato",$I$38-1,0)),IF(AND($L$37=0,$P$34=0),"",$L$37-1),IF($R$17="Distrato",$E540,0))),0,YEARFRAC(MAX($P$34*($B540+IF($R$17="Distrato",$I$38-1,0)),IF(AND($L$37=0,$P$34=0),"",$L$37-1),IF($R$17="Distrato",$E540,0)),MIN(S$38,$D$19),$P$20))-SUM($P540:R540)</f>
        <v>#VALUE!</v>
      </c>
      <c r="T540" s="446" t="e">
        <f>IF(OR($B540="",MIN(T$38,$D$19)&lt;MAX($P$34*($B540+IF($R$17="Distrato",$I$38-1,0)),IF(AND($L$37=0,$P$34=0),"",$L$37-1),IF($R$17="Distrato",$E540,0))),0,YEARFRAC(MAX($P$34*($B540+IF($R$17="Distrato",$I$38-1,0)),IF(AND($L$37=0,$P$34=0),"",$L$37-1),IF($R$17="Distrato",$E540,0)),MIN(T$38,$D$19),$P$20))-SUM($P540:S540)</f>
        <v>#VALUE!</v>
      </c>
      <c r="U540" s="446" t="e">
        <f>IF(OR($B540="",MIN(U$38,$D$19)&lt;MAX($P$34*($B540+IF($R$17="Distrato",$I$38-1,0)),IF(AND($L$37=0,$P$34=0),"",$L$37-1),IF($R$17="Distrato",$E540,0))),0,YEARFRAC(MAX($P$34*($B540+IF($R$17="Distrato",$I$38-1,0)),IF(AND($L$37=0,$P$34=0),"",$L$37-1),IF($R$17="Distrato",$E540,0)),MIN(U$38,$D$19),$P$20))-SUM($P540:T540)</f>
        <v>#VALUE!</v>
      </c>
      <c r="V540" s="446" t="e">
        <f>IF(OR($B540="",MIN(V$38,$D$19)&lt;MAX($P$34*($B540+IF($R$17="Distrato",$I$38-1,0)),IF(AND($L$37=0,$P$34=0),"",$L$37-1),IF($R$17="Distrato",$E540,0))),0,YEARFRAC(MAX($P$34*($B540+IF($R$17="Distrato",$I$38-1,0)),IF(AND($L$37=0,$P$34=0),"",$L$37-1),IF($R$17="Distrato",$E540,0)),MIN(V$38,$D$19),$P$20))-SUM($P540:U540)</f>
        <v>#VALUE!</v>
      </c>
      <c r="W540" s="446" t="e">
        <f>IF(OR($B540="",MIN(W$38,$D$19)&lt;MAX($P$34*($B540+IF($R$17="Distrato",$I$38-1,0)),IF(AND($L$37=0,$P$34=0),"",$L$37-1),IF($R$17="Distrato",$E540,0))),0,YEARFRAC(MAX($P$34*($B540+IF($R$17="Distrato",$I$38-1,0)),IF(AND($L$37=0,$P$34=0),"",$L$37-1),IF($R$17="Distrato",$E540,0)),MIN(W$38,$D$19),$P$20))-SUM($P540:V540)</f>
        <v>#VALUE!</v>
      </c>
      <c r="X540" s="446" t="e">
        <f>IF(OR($B540="",MIN(X$38,$D$19)&lt;MAX($P$34*($B540+IF($R$17="Distrato",$I$38-1,0)),IF(AND($L$37=0,$P$34=0),"",$L$37-1),IF($R$17="Distrato",$E540,0))),0,YEARFRAC(MAX($P$34*($B540+IF($R$17="Distrato",$I$38-1,0)),IF(AND($L$37=0,$P$34=0),"",$L$37-1),IF($R$17="Distrato",$E540,0)),MIN(X$38,$D$19),$P$20))-SUM($P540:W540)</f>
        <v>#VALUE!</v>
      </c>
      <c r="Y540" s="446" t="e">
        <f>IF(OR($B540="",MIN(Y$38,$D$19)&lt;MAX($P$34*($B540+IF($R$17="Distrato",$I$38-1,0)),IF(AND($L$37=0,$P$34=0),"",$L$37-1),IF($R$17="Distrato",$E540,0))),0,YEARFRAC(MAX($P$34*($B540+IF($R$17="Distrato",$I$38-1,0)),IF(AND($L$37=0,$P$34=0),"",$L$37-1),IF($R$17="Distrato",$E540,0)),MIN(Y$38,$D$19),$P$20))-SUM($P540:X540)</f>
        <v>#VALUE!</v>
      </c>
      <c r="Z540" s="446" t="e">
        <f>IF(OR($B540="",MIN(Z$38,$D$19)&lt;MAX($P$34*($B540+IF($R$17="Distrato",$I$38-1,0)),IF(AND($L$37=0,$P$34=0),"",$L$37-1),IF($R$17="Distrato",$E540,0))),0,YEARFRAC(MAX($P$34*($B540+IF($R$17="Distrato",$I$38-1,0)),IF(AND($L$37=0,$P$34=0),"",$L$37-1),IF($R$17="Distrato",$E540,0)),MIN(Z$38,$D$19),$P$20))-SUM($P540:Y540)</f>
        <v>#VALUE!</v>
      </c>
      <c r="AA540" s="446" t="e">
        <f>IF(OR($B540="",MIN(AA$38,$D$19)&lt;MAX($P$34*($B540+IF($R$17="Distrato",$I$38-1,0)),IF(AND($L$37=0,$P$34=0),"",$L$37-1),IF($R$17="Distrato",$E540,0))),0,YEARFRAC(MAX($P$34*($B540+IF($R$17="Distrato",$I$38-1,0)),IF(AND($L$37=0,$P$34=0),"",$L$37-1),IF($R$17="Distrato",$E540,0)),MIN(AA$38,$D$19),$P$20))-SUM($P540:Z540)</f>
        <v>#VALUE!</v>
      </c>
      <c r="AB540" s="446" t="e">
        <f>IF(OR($B540="",MIN(AB$38,$D$19)&lt;MAX($P$34*($B540+IF($R$17="Distrato",$I$38-1,0)),IF(AND($L$37=0,$P$34=0),"",$L$37-1),IF($R$17="Distrato",$E540,0))),0,YEARFRAC(MAX($P$34*($B540+IF($R$17="Distrato",$I$38-1,0)),IF(AND($L$37=0,$P$34=0),"",$L$37-1),IF($R$17="Distrato",$E540,0)),MIN(AB$38,$D$19),$P$20))-SUM($P540:AA540)</f>
        <v>#VALUE!</v>
      </c>
      <c r="AC540" s="446" t="e">
        <f>IF(OR($B540="",MIN(AC$38,$D$19)&lt;MAX($P$34*($B540+IF($R$17="Distrato",$I$38-1,0)),IF(AND($L$37=0,$P$34=0),"",$L$37-1),IF($R$17="Distrato",$E540,0))),0,YEARFRAC(MAX($P$34*($B540+IF($R$17="Distrato",$I$38-1,0)),IF(AND($L$37=0,$P$34=0),"",$L$37-1),IF($R$17="Distrato",$E540,0)),MIN(AC$38,$D$19),$P$20))-SUM($P540:AB540)</f>
        <v>#VALUE!</v>
      </c>
      <c r="AD540" s="446" t="e">
        <f>IF(OR($B540="",MIN(AD$38,$D$19)&lt;MAX($P$34*($B540+IF($R$17="Distrato",$I$38-1,0)),IF(AND($L$37=0,$P$34=0),"",$L$37-1),IF($R$17="Distrato",$E540,0))),0,YEARFRAC(MAX($P$34*($B540+IF($R$17="Distrato",$I$38-1,0)),IF(AND($L$37=0,$P$34=0),"",$L$37-1),IF($R$17="Distrato",$E540,0)),MIN(AD$38,$D$19),$P$20))-SUM($P540:AC540)</f>
        <v>#VALUE!</v>
      </c>
      <c r="AE540" s="446" t="e">
        <f>IF(OR($B540="",MIN(AE$38,$D$19)&lt;MAX($P$34*($B540+IF($R$17="Distrato",$I$38-1,0)),IF(AND($L$37=0,$P$34=0),"",$L$37-1),IF($R$17="Distrato",$E540,0))),0,YEARFRAC(MAX($P$34*($B540+IF($R$17="Distrato",$I$38-1,0)),IF(AND($L$37=0,$P$34=0),"",$L$37-1),IF($R$17="Distrato",$E540,0)),MIN(AE$38,$D$19),$P$20))-SUM($P540:AD540)</f>
        <v>#VALUE!</v>
      </c>
      <c r="AF540" s="446" t="e">
        <f>IF(OR($B540="",MIN(AF$38,$D$19)&lt;MAX($P$34*($B540+IF($R$17="Distrato",$I$38-1,0)),IF(AND($L$37=0,$P$34=0),"",$L$37-1),IF($R$17="Distrato",$E540,0))),0,YEARFRAC(MAX($P$34*($B540+IF($R$17="Distrato",$I$38-1,0)),IF(AND($L$37=0,$P$34=0),"",$L$37-1),IF($R$17="Distrato",$E540,0)),MIN(AF$38,$D$19),$P$20))-SUM($P540:AE540)</f>
        <v>#VALUE!</v>
      </c>
      <c r="AG540" s="446" t="e">
        <f>IF(OR($B540="",MIN(AG$38,$D$19)&lt;MAX($P$34*($B540+IF($R$17="Distrato",$I$38-1,0)),IF(AND($L$37=0,$P$34=0),"",$L$37-1),IF($R$17="Distrato",$E540,0))),0,YEARFRAC(MAX($P$34*($B540+IF($R$17="Distrato",$I$38-1,0)),IF(AND($L$37=0,$P$34=0),"",$L$37-1),IF($R$17="Distrato",$E540,0)),MIN(AG$38,$D$19),$P$20))-SUM($P540:AF540)</f>
        <v>#VALUE!</v>
      </c>
      <c r="AH540" s="446" t="e">
        <f>IF(OR($B540="",MIN(AH$38,$D$19)&lt;MAX($P$34*($B540+IF($R$17="Distrato",$I$38-1,0)),IF(AND($L$37=0,$P$34=0),"",$L$37-1),IF($R$17="Distrato",$E540,0))),0,YEARFRAC(MAX($P$34*($B540+IF($R$17="Distrato",$I$38-1,0)),IF(AND($L$37=0,$P$34=0),"",$L$37-1),IF($R$17="Distrato",$E540,0)),MIN(AH$38,$D$19),$P$20))-SUM($P540:AG540)</f>
        <v>#VALUE!</v>
      </c>
      <c r="AI540" s="446" t="e">
        <f>IF(OR($B540="",MIN(AI$38,$D$19)&lt;MAX($P$34*($B540+IF($R$17="Distrato",$I$38-1,0)),IF(AND($L$37=0,$P$34=0),"",$L$37-1),IF($R$17="Distrato",$E540,0))),0,YEARFRAC(MAX($P$34*($B540+IF($R$17="Distrato",$I$38-1,0)),IF(AND($L$37=0,$P$34=0),"",$L$37-1),IF($R$17="Distrato",$E540,0)),MIN(AI$38,$D$19),$P$20))-SUM($P540:AH540)</f>
        <v>#VALUE!</v>
      </c>
      <c r="AJ540" s="446" t="e">
        <f>IF(OR($B540="",MIN(AJ$38,$D$19)&lt;MAX($P$34*($B540+IF($R$17="Distrato",$I$38-1,0)),IF(AND($L$37=0,$P$34=0),"",$L$37-1),IF($R$17="Distrato",$E540,0))),0,YEARFRAC(MAX($P$34*($B540+IF($R$17="Distrato",$I$38-1,0)),IF(AND($L$37=0,$P$34=0),"",$L$37-1),IF($R$17="Distrato",$E540,0)),MIN(AJ$38,$D$19),$P$20))-SUM($P540:AI540)</f>
        <v>#VALUE!</v>
      </c>
      <c r="AK540" s="446" t="e">
        <f>IF(OR($B540="",MIN(AK$38,$D$19)&lt;MAX($P$34*($B540+IF($R$17="Distrato",$I$38-1,0)),IF(AND($L$37=0,$P$34=0),"",$L$37-1),IF($R$17="Distrato",$E540,0))),0,YEARFRAC(MAX($P$34*($B540+IF($R$17="Distrato",$I$38-1,0)),IF(AND($L$37=0,$P$34=0),"",$L$37-1),IF($R$17="Distrato",$E540,0)),MIN(AK$38,$D$19),$P$20))-SUM($P540:AJ540)</f>
        <v>#VALUE!</v>
      </c>
      <c r="AL540" s="446" t="e">
        <f>IF(OR($B540="",MIN(AL$38,$D$19)&lt;MAX($P$34*($B540+IF($R$17="Distrato",$I$38-1,0)),IF(AND($L$37=0,$P$34=0),"",$L$37-1),IF($R$17="Distrato",$E540,0))),0,YEARFRAC(MAX($P$34*($B540+IF($R$17="Distrato",$I$38-1,0)),IF(AND($L$37=0,$P$34=0),"",$L$37-1),IF($R$17="Distrato",$E540,0)),MIN(AL$38,$D$19),$P$20))-SUM($P540:AK540)</f>
        <v>#VALUE!</v>
      </c>
      <c r="AM540" s="446" t="e">
        <f>IF(OR($B540="",MIN(AM$38,$D$19)&lt;MAX($P$34*($B540+IF($R$17="Distrato",$I$38-1,0)),IF(AND($L$37=0,$P$34=0),"",$L$37-1),IF($R$17="Distrato",$E540,0))),0,YEARFRAC(MAX($P$34*($B540+IF($R$17="Distrato",$I$38-1,0)),IF(AND($L$37=0,$P$34=0),"",$L$37-1),IF($R$17="Distrato",$E540,0)),MIN(AM$38,$D$19),$P$20))-SUM($P540:AL540)</f>
        <v>#VALUE!</v>
      </c>
      <c r="AN540" s="446" t="e">
        <f>IF(OR($B540="",MIN(AN$38,$D$19)&lt;MAX($P$34*($B540+IF($R$17="Distrato",$I$38-1,0)),IF(AND($L$37=0,$P$34=0),"",$L$37-1),IF($R$17="Distrato",$E540,0))),0,YEARFRAC(MAX($P$34*($B540+IF($R$17="Distrato",$I$38-1,0)),IF(AND($L$37=0,$P$34=0),"",$L$37-1),IF($R$17="Distrato",$E540,0)),MIN(AN$38,$D$19),$P$20))-SUM($P540:AM540)</f>
        <v>#VALUE!</v>
      </c>
      <c r="AO540" s="446" t="e">
        <f>IF(OR($B540="",MIN(AO$38,$D$19)&lt;MAX($P$34*($B540+IF($R$17="Distrato",$I$38-1,0)),IF(AND($L$37=0,$P$34=0),"",$L$37-1),IF($R$17="Distrato",$E540,0))),0,YEARFRAC(MAX($P$34*($B540+IF($R$17="Distrato",$I$38-1,0)),IF(AND($L$37=0,$P$34=0),"",$L$37-1),IF($R$17="Distrato",$E540,0)),MIN(AO$38,$D$19),$P$20))-SUM($P540:AN540)</f>
        <v>#VALUE!</v>
      </c>
      <c r="AP540" s="446" t="e">
        <f>IF(OR($B540="",MIN(AP$38,$D$19)&lt;MAX($P$34*($B540+IF($R$17="Distrato",$I$38-1,0)),IF(AND($L$37=0,$P$34=0),"",$L$37-1),IF($R$17="Distrato",$E540,0))),0,YEARFRAC(MAX($P$34*($B540+IF($R$17="Distrato",$I$38-1,0)),IF(AND($L$37=0,$P$34=0),"",$L$37-1),IF($R$17="Distrato",$E540,0)),MIN(AP$38,$D$19),$P$20))-SUM($P540:AO540)</f>
        <v>#VALUE!</v>
      </c>
      <c r="AQ540" s="446" t="e">
        <f>IF(OR($B540="",MIN(AQ$38,$D$19)&lt;MAX($P$34*($B540+IF($R$17="Distrato",$I$38-1,0)),IF(AND($L$37=0,$P$34=0),"",$L$37-1),IF($R$17="Distrato",$E540,0))),0,YEARFRAC(MAX($P$34*($B540+IF($R$17="Distrato",$I$38-1,0)),IF(AND($L$37=0,$P$34=0),"",$L$37-1),IF($R$17="Distrato",$E540,0)),MIN(AQ$38,$D$19),$P$20))-SUM($P540:AP540)</f>
        <v>#VALUE!</v>
      </c>
      <c r="AR540" s="446" t="e">
        <f>IF(OR($B540="",MIN(AR$38,$D$19)&lt;MAX($P$34*($B540+IF($R$17="Distrato",$I$38-1,0)),IF(AND($L$37=0,$P$34=0),"",$L$37-1),IF($R$17="Distrato",$E540,0))),0,YEARFRAC(MAX($P$34*($B540+IF($R$17="Distrato",$I$38-1,0)),IF(AND($L$37=0,$P$34=0),"",$L$37-1),IF($R$17="Distrato",$E540,0)),MIN(AR$38,$D$19),$P$20))-SUM($P540:AQ540)</f>
        <v>#VALUE!</v>
      </c>
      <c r="AS540" s="446" t="e">
        <f>IF(OR($B540="",MIN(AS$38,$D$19)&lt;MAX($P$34*($B540+IF($R$17="Distrato",$I$38-1,0)),IF(AND($L$37=0,$P$34=0),"",$L$37-1),IF($R$17="Distrato",$E540,0))),0,YEARFRAC(MAX($P$34*($B540+IF($R$17="Distrato",$I$38-1,0)),IF(AND($L$37=0,$P$34=0),"",$L$37-1),IF($R$17="Distrato",$E540,0)),MIN(AS$38,$D$19),$P$20))-SUM($P540:AR540)</f>
        <v>#VALUE!</v>
      </c>
      <c r="AT540" s="446" t="e">
        <f>IF(OR($B540="",MIN(AT$38,$D$19)&lt;MAX($P$34*($B540+IF($R$17="Distrato",$I$38-1,0)),IF(AND($L$37=0,$P$34=0),"",$L$37-1),IF($R$17="Distrato",$E540,0))),0,YEARFRAC(MAX($P$34*($B540+IF($R$17="Distrato",$I$38-1,0)),IF(AND($L$37=0,$P$34=0),"",$L$37-1),IF($R$17="Distrato",$E540,0)),MIN(AT$38,$D$19),$P$20))-SUM($P540:AS540)</f>
        <v>#VALUE!</v>
      </c>
      <c r="AU540" s="446" t="e">
        <f>IF(OR($B540="",MIN(AU$38,$D$19)&lt;MAX($P$34*($B540+IF($R$17="Distrato",$I$38-1,0)),IF(AND($L$37=0,$P$34=0),"",$L$37-1),IF($R$17="Distrato",$E540,0))),0,YEARFRAC(MAX($P$34*($B540+IF($R$17="Distrato",$I$38-1,0)),IF(AND($L$37=0,$P$34=0),"",$L$37-1),IF($R$17="Distrato",$E540,0)),MIN(AU$38,$D$19),$P$20))-SUM($P540:AT540)</f>
        <v>#VALUE!</v>
      </c>
      <c r="AV540" s="446" t="e">
        <f>IF(OR($B540="",MIN(AV$38,$D$19)&lt;MAX($P$34*($B540+IF($R$17="Distrato",$I$38-1,0)),IF(AND($L$37=0,$P$34=0),"",$L$37-1),IF($R$17="Distrato",$E540,0))),0,YEARFRAC(MAX($P$34*($B540+IF($R$17="Distrato",$I$38-1,0)),IF(AND($L$37=0,$P$34=0),"",$L$37-1),IF($R$17="Distrato",$E540,0)),MIN(AV$38,$D$19),$P$20))-SUM($P540:AU540)</f>
        <v>#VALUE!</v>
      </c>
      <c r="AW540" s="446" t="e">
        <f>IF(OR($B540="",MIN(AW$38,$D$19)&lt;MAX($P$34*($B540+IF($R$17="Distrato",$I$38-1,0)),IF(AND($L$37=0,$P$34=0),"",$L$37-1),IF($R$17="Distrato",$E540,0))),0,YEARFRAC(MAX($P$34*($B540+IF($R$17="Distrato",$I$38-1,0)),IF(AND($L$37=0,$P$34=0),"",$L$37-1),IF($R$17="Distrato",$E540,0)),MIN(AW$38,$D$19),$P$20))-SUM($P540:AV540)</f>
        <v>#VALUE!</v>
      </c>
      <c r="AX540" s="446" t="e">
        <f>IF(OR($B540="",MIN(AX$38,$D$19)&lt;MAX($P$34*($B540+IF($R$17="Distrato",$I$38-1,0)),IF(AND($L$37=0,$P$34=0),"",$L$37-1),IF($R$17="Distrato",$E540,0))),0,YEARFRAC(MAX($P$34*($B540+IF($R$17="Distrato",$I$38-1,0)),IF(AND($L$37=0,$P$34=0),"",$L$37-1),IF($R$17="Distrato",$E540,0)),MIN(AX$38,$D$19),$P$20))-SUM($P540:AW540)</f>
        <v>#VALUE!</v>
      </c>
      <c r="AY540" s="446" t="e">
        <f>IF(OR($B540="",MIN(AY$38,$D$19)&lt;MAX($P$34*($B540+IF($R$17="Distrato",$I$38-1,0)),IF(AND($L$37=0,$P$34=0),"",$L$37-1),IF($R$17="Distrato",$E540,0))),0,YEARFRAC(MAX($P$34*($B540+IF($R$17="Distrato",$I$38-1,0)),IF(AND($L$37=0,$P$34=0),"",$L$37-1),IF($R$17="Distrato",$E540,0)),MIN(AY$38,$D$19),$P$20))-SUM($P540:AX540)</f>
        <v>#VALUE!</v>
      </c>
      <c r="AZ540" s="446" t="e">
        <f>IF(OR($B540="",MIN(AZ$38,$D$19)&lt;MAX($P$34*($B540+IF($R$17="Distrato",$I$38-1,0)),IF(AND($L$37=0,$P$34=0),"",$L$37-1),IF($R$17="Distrato",$E540,0))),0,YEARFRAC(MAX($P$34*($B540+IF($R$17="Distrato",$I$38-1,0)),IF(AND($L$37=0,$P$34=0),"",$L$37-1),IF($R$17="Distrato",$E540,0)),MIN(AZ$38,$D$19),$P$20))-SUM($P540:AY540)</f>
        <v>#VALUE!</v>
      </c>
      <c r="BA540" s="446" t="e">
        <f>IF(OR($B540="",MIN(BA$38,$D$19)&lt;MAX($P$34*($B540+IF($R$17="Distrato",$I$38-1,0)),IF(AND($L$37=0,$P$34=0),"",$L$37-1),IF($R$17="Distrato",$E540,0))),0,YEARFRAC(MAX($P$34*($B540+IF($R$17="Distrato",$I$38-1,0)),IF(AND($L$37=0,$P$34=0),"",$L$37-1),IF($R$17="Distrato",$E540,0)),MIN(BA$38,$D$19),$P$20))-SUM($P540:AZ540)</f>
        <v>#VALUE!</v>
      </c>
      <c r="BB540" s="447"/>
      <c r="BF540" s="446">
        <f t="shared" si="87"/>
        <v>0</v>
      </c>
      <c r="BG540" s="446">
        <f>IF($E540=0,0,IF(MIN(BG$38,$E540)&lt;MAX($P$34*($B540+$I$38-1),IF(AND($L$37=0,$P$34=0),"",$L$37-1)),0,YEARFRAC(MAX($P$34*($B540+$I$38-1),IF(AND($L$37=0,$P$34=0),"",$L$37-1)),MIN(BG$38,$E540),$P$20))-SUM($BF540:BF540))</f>
        <v>0</v>
      </c>
      <c r="BH540" s="446">
        <f>IF($E540=0,0,IF(MIN(BH$38,$E540)&lt;MAX($P$34*($B540+$I$38-1),IF(AND($L$37=0,$P$34=0),"",$L$37-1)),0,YEARFRAC(MAX($P$34*($B540+$I$38-1),IF(AND($L$37=0,$P$34=0),"",$L$37-1)),MIN(BH$38,$E540),$P$20))-SUM($BF540:BG540))</f>
        <v>0</v>
      </c>
      <c r="BI540" s="446">
        <f>IF($E540=0,0,IF(MIN(BI$38,$E540)&lt;MAX($P$34*($B540+$I$38-1),IF(AND($L$37=0,$P$34=0),"",$L$37-1)),0,YEARFRAC(MAX($P$34*($B540+$I$38-1),IF(AND($L$37=0,$P$34=0),"",$L$37-1)),MIN(BI$38,$E540),$P$20))-SUM($BF540:BH540))</f>
        <v>0</v>
      </c>
      <c r="BJ540" s="446">
        <f>IF($E540=0,0,IF(MIN(BJ$38,$E540)&lt;MAX($P$34*($B540+$I$38-1),IF(AND($L$37=0,$P$34=0),"",$L$37-1)),0,YEARFRAC(MAX($P$34*($B540+$I$38-1),IF(AND($L$37=0,$P$34=0),"",$L$37-1)),MIN(BJ$38,$E540),$P$20))-SUM($BF540:BI540))</f>
        <v>0</v>
      </c>
      <c r="BK540" s="446">
        <f>IF($E540=0,0,IF(MIN(BK$38,$E540)&lt;MAX($P$34*($B540+$I$38-1),IF(AND($L$37=0,$P$34=0),"",$L$37-1)),0,YEARFRAC(MAX($P$34*($B540+$I$38-1),IF(AND($L$37=0,$P$34=0),"",$L$37-1)),MIN(BK$38,$E540),$P$20))-SUM($BF540:BJ540))</f>
        <v>0</v>
      </c>
      <c r="BL540" s="446">
        <f>IF($E540=0,0,IF(MIN(BL$38,$E540)&lt;MAX($P$34*($B540+$I$38-1),IF(AND($L$37=0,$P$34=0),"",$L$37-1)),0,YEARFRAC(MAX($P$34*($B540+$I$38-1),IF(AND($L$37=0,$P$34=0),"",$L$37-1)),MIN(BL$38,$E540),$P$20))-SUM($BF540:BK540))</f>
        <v>0</v>
      </c>
      <c r="BM540" s="446">
        <f>IF($E540=0,0,IF(MIN(BM$38,$E540)&lt;MAX($P$34*($B540+$I$38-1),IF(AND($L$37=0,$P$34=0),"",$L$37-1)),0,YEARFRAC(MAX($P$34*($B540+$I$38-1),IF(AND($L$37=0,$P$34=0),"",$L$37-1)),MIN(BM$38,$E540),$P$20))-SUM($BF540:BL540))</f>
        <v>0</v>
      </c>
      <c r="BN540" s="446">
        <f>IF($E540=0,0,IF(MIN(BN$38,$E540)&lt;MAX($P$34*($B540+$I$38-1),IF(AND($L$37=0,$P$34=0),"",$L$37-1)),0,YEARFRAC(MAX($P$34*($B540+$I$38-1),IF(AND($L$37=0,$P$34=0),"",$L$37-1)),MIN(BN$38,$E540),$P$20))-SUM($BF540:BM540))</f>
        <v>0</v>
      </c>
      <c r="BO540" s="446">
        <f>IF($E540=0,0,IF(MIN(BO$38,$E540)&lt;MAX($P$34*($B540+$I$38-1),IF(AND($L$37=0,$P$34=0),"",$L$37-1)),0,YEARFRAC(MAX($P$34*($B540+$I$38-1),IF(AND($L$37=0,$P$34=0),"",$L$37-1)),MIN(BO$38,$E540),$P$20))-SUM($BF540:BN540))</f>
        <v>0</v>
      </c>
      <c r="BP540" s="446">
        <f>IF($E540=0,0,IF(MIN(BP$38,$E540)&lt;MAX($P$34*($B540+$I$38-1),IF(AND($L$37=0,$P$34=0),"",$L$37-1)),0,YEARFRAC(MAX($P$34*($B540+$I$38-1),IF(AND($L$37=0,$P$34=0),"",$L$37-1)),MIN(BP$38,$E540),$P$20))-SUM($BF540:BO540))</f>
        <v>0</v>
      </c>
      <c r="BQ540" s="446">
        <f>IF($E540=0,0,IF(MIN(BQ$38,$E540)&lt;MAX($P$34*($B540+$I$38-1),IF(AND($L$37=0,$P$34=0),"",$L$37-1)),0,YEARFRAC(MAX($P$34*($B540+$I$38-1),IF(AND($L$37=0,$P$34=0),"",$L$37-1)),MIN(BQ$38,$E540),$P$20))-SUM($BF540:BP540))</f>
        <v>0</v>
      </c>
      <c r="BR540" s="446">
        <f>IF($E540=0,0,IF(MIN(BR$38,$E540)&lt;MAX($P$34*($B540+$I$38-1),IF(AND($L$37=0,$P$34=0),"",$L$37-1)),0,YEARFRAC(MAX($P$34*($B540+$I$38-1),IF(AND($L$37=0,$P$34=0),"",$L$37-1)),MIN(BR$38,$E540),$P$20))-SUM($BF540:BQ540))</f>
        <v>0</v>
      </c>
      <c r="BS540" s="446">
        <f>IF($E540=0,0,IF(MIN(BS$38,$E540)&lt;MAX($P$34*($B540+$I$38-1),IF(AND($L$37=0,$P$34=0),"",$L$37-1)),0,YEARFRAC(MAX($P$34*($B540+$I$38-1),IF(AND($L$37=0,$P$34=0),"",$L$37-1)),MIN(BS$38,$E540),$P$20))-SUM($BF540:BR540))</f>
        <v>0</v>
      </c>
      <c r="BT540" s="446">
        <f>IF($E540=0,0,IF(MIN(BT$38,$E540)&lt;MAX($P$34*($B540+$I$38-1),IF(AND($L$37=0,$P$34=0),"",$L$37-1)),0,YEARFRAC(MAX($P$34*($B540+$I$38-1),IF(AND($L$37=0,$P$34=0),"",$L$37-1)),MIN(BT$38,$E540),$P$20))-SUM($BF540:BS540))</f>
        <v>0</v>
      </c>
      <c r="BU540" s="446">
        <f>IF($E540=0,0,IF(MIN(BU$38,$E540)&lt;MAX($P$34*($B540+$I$38-1),IF(AND($L$37=0,$P$34=0),"",$L$37-1)),0,YEARFRAC(MAX($P$34*($B540+$I$38-1),IF(AND($L$37=0,$P$34=0),"",$L$37-1)),MIN(BU$38,$E540),$P$20))-SUM($BF540:BT540))</f>
        <v>0</v>
      </c>
      <c r="BV540" s="446">
        <f>IF($E540=0,0,IF(MIN(BV$38,$E540)&lt;MAX($P$34*($B540+$I$38-1),IF(AND($L$37=0,$P$34=0),"",$L$37-1)),0,YEARFRAC(MAX($P$34*($B540+$I$38-1),IF(AND($L$37=0,$P$34=0),"",$L$37-1)),MIN(BV$38,$E540),$P$20))-SUM($BF540:BU540))</f>
        <v>0</v>
      </c>
      <c r="BW540" s="446">
        <f>IF($E540=0,0,IF(MIN(BW$38,$E540)&lt;MAX($P$34*($B540+$I$38-1),IF(AND($L$37=0,$P$34=0),"",$L$37-1)),0,YEARFRAC(MAX($P$34*($B540+$I$38-1),IF(AND($L$37=0,$P$34=0),"",$L$37-1)),MIN(BW$38,$E540),$P$20))-SUM($BF540:BV540))</f>
        <v>0</v>
      </c>
      <c r="BX540" s="446">
        <f>IF($E540=0,0,IF(MIN(BX$38,$E540)&lt;MAX($P$34*($B540+$I$38-1),IF(AND($L$37=0,$P$34=0),"",$L$37-1)),0,YEARFRAC(MAX($P$34*($B540+$I$38-1),IF(AND($L$37=0,$P$34=0),"",$L$37-1)),MIN(BX$38,$E540),$P$20))-SUM($BF540:BW540))</f>
        <v>0</v>
      </c>
      <c r="BY540" s="446">
        <f>IF($E540=0,0,IF(MIN(BY$38,$E540)&lt;MAX($P$34*($B540+$I$38-1),IF(AND($L$37=0,$P$34=0),"",$L$37-1)),0,YEARFRAC(MAX($P$34*($B540+$I$38-1),IF(AND($L$37=0,$P$34=0),"",$L$37-1)),MIN(BY$38,$E540),$P$20))-SUM($BF540:BX540))</f>
        <v>0</v>
      </c>
      <c r="BZ540" s="446">
        <f>IF($E540=0,0,IF(MIN(BZ$38,$E540)&lt;MAX($P$34*($B540+$I$38-1),IF(AND($L$37=0,$P$34=0),"",$L$37-1)),0,YEARFRAC(MAX($P$34*($B540+$I$38-1),IF(AND($L$37=0,$P$34=0),"",$L$37-1)),MIN(BZ$38,$E540),$P$20))-SUM($BF540:BY540))</f>
        <v>0</v>
      </c>
      <c r="CA540" s="446">
        <f>IF($E540=0,0,IF(MIN(CA$38,$E540)&lt;MAX($P$34*($B540+$I$38-1),IF(AND($L$37=0,$P$34=0),"",$L$37-1)),0,YEARFRAC(MAX($P$34*($B540+$I$38-1),IF(AND($L$37=0,$P$34=0),"",$L$37-1)),MIN(CA$38,$E540),$P$20))-SUM($BF540:BZ540))</f>
        <v>0</v>
      </c>
      <c r="CB540" s="446">
        <f>IF($E540=0,0,IF(MIN(CB$38,$E540)&lt;MAX($P$34*($B540+$I$38-1),IF(AND($L$37=0,$P$34=0),"",$L$37-1)),0,YEARFRAC(MAX($P$34*($B540+$I$38-1),IF(AND($L$37=0,$P$34=0),"",$L$37-1)),MIN(CB$38,$E540),$P$20))-SUM($BF540:CA540))</f>
        <v>0</v>
      </c>
      <c r="CC540" s="446">
        <f>IF($E540=0,0,IF(MIN(CC$38,$E540)&lt;MAX($P$34*($B540+$I$38-1),IF(AND($L$37=0,$P$34=0),"",$L$37-1)),0,YEARFRAC(MAX($P$34*($B540+$I$38-1),IF(AND($L$37=0,$P$34=0),"",$L$37-1)),MIN(CC$38,$E540),$P$20))-SUM($BF540:CB540))</f>
        <v>0</v>
      </c>
      <c r="CD540" s="446">
        <f>IF($E540=0,0,IF(MIN(CD$38,$E540)&lt;MAX($P$34*($B540+$I$38-1),IF(AND($L$37=0,$P$34=0),"",$L$37-1)),0,YEARFRAC(MAX($P$34*($B540+$I$38-1),IF(AND($L$37=0,$P$34=0),"",$L$37-1)),MIN(CD$38,$E540),$P$20))-SUM($BF540:CC540))</f>
        <v>0</v>
      </c>
      <c r="CE540" s="446">
        <f>IF($E540=0,0,IF(MIN(CE$38,$E540)&lt;MAX($P$34*($B540+$I$38-1),IF(AND($L$37=0,$P$34=0),"",$L$37-1)),0,YEARFRAC(MAX($P$34*($B540+$I$38-1),IF(AND($L$37=0,$P$34=0),"",$L$37-1)),MIN(CE$38,$E540),$P$20))-SUM($BF540:CD540))</f>
        <v>0</v>
      </c>
      <c r="CF540" s="446">
        <f>IF($E540=0,0,IF(MIN(CF$38,$E540)&lt;MAX($P$34*($B540+$I$38-1),IF(AND($L$37=0,$P$34=0),"",$L$37-1)),0,YEARFRAC(MAX($P$34*($B540+$I$38-1),IF(AND($L$37=0,$P$34=0),"",$L$37-1)),MIN(CF$38,$E540),$P$20))-SUM($BF540:CE540))</f>
        <v>0</v>
      </c>
      <c r="CG540" s="446">
        <f>IF($E540=0,0,IF(MIN(CG$38,$E540)&lt;MAX($P$34*($B540+$I$38-1),IF(AND($L$37=0,$P$34=0),"",$L$37-1)),0,YEARFRAC(MAX($P$34*($B540+$I$38-1),IF(AND($L$37=0,$P$34=0),"",$L$37-1)),MIN(CG$38,$E540),$P$20))-SUM($BF540:CF540))</f>
        <v>0</v>
      </c>
      <c r="CH540" s="446">
        <f>IF($E540=0,0,IF(MIN(CH$38,$E540)&lt;MAX($P$34*($B540+$I$38-1),IF(AND($L$37=0,$P$34=0),"",$L$37-1)),0,YEARFRAC(MAX($P$34*($B540+$I$38-1),IF(AND($L$37=0,$P$34=0),"",$L$37-1)),MIN(CH$38,$E540),$P$20))-SUM($BF540:CG540))</f>
        <v>0</v>
      </c>
      <c r="CI540" s="446">
        <f>IF($E540=0,0,IF(MIN(CI$38,$E540)&lt;MAX($P$34*($B540+$I$38-1),IF(AND($L$37=0,$P$34=0),"",$L$37-1)),0,YEARFRAC(MAX($P$34*($B540+$I$38-1),IF(AND($L$37=0,$P$34=0),"",$L$37-1)),MIN(CI$38,$E540),$P$20))-SUM($BF540:CH540))</f>
        <v>0</v>
      </c>
      <c r="CJ540" s="446">
        <f>IF($E540=0,0,IF(MIN(CJ$38,$E540)&lt;MAX($P$34*($B540+$I$38-1),IF(AND($L$37=0,$P$34=0),"",$L$37-1)),0,YEARFRAC(MAX($P$34*($B540+$I$38-1),IF(AND($L$37=0,$P$34=0),"",$L$37-1)),MIN(CJ$38,$E540),$P$20))-SUM($BF540:CI540))</f>
        <v>0</v>
      </c>
      <c r="CK540" s="446">
        <f>IF($E540=0,0,IF(MIN(CK$38,$E540)&lt;MAX($P$34*($B540+$I$38-1),IF(AND($L$37=0,$P$34=0),"",$L$37-1)),0,YEARFRAC(MAX($P$34*($B540+$I$38-1),IF(AND($L$37=0,$P$34=0),"",$L$37-1)),MIN(CK$38,$E540),$P$20))-SUM($BF540:CJ540))</f>
        <v>0</v>
      </c>
      <c r="CL540" s="446">
        <f>IF($E540=0,0,IF(MIN(CL$38,$E540)&lt;MAX($P$34*($B540+$I$38-1),IF(AND($L$37=0,$P$34=0),"",$L$37-1)),0,YEARFRAC(MAX($P$34*($B540+$I$38-1),IF(AND($L$37=0,$P$34=0),"",$L$37-1)),MIN(CL$38,$E540),$P$20))-SUM($BF540:CK540))</f>
        <v>0</v>
      </c>
      <c r="CM540" s="446">
        <f>IF($E540=0,0,IF(MIN(CM$38,$E540)&lt;MAX($P$34*($B540+$I$38-1),IF(AND($L$37=0,$P$34=0),"",$L$37-1)),0,YEARFRAC(MAX($P$34*($B540+$I$38-1),IF(AND($L$37=0,$P$34=0),"",$L$37-1)),MIN(CM$38,$E540),$P$20))-SUM($BF540:CL540))</f>
        <v>0</v>
      </c>
      <c r="CN540" s="446">
        <f>IF($E540=0,0,IF(MIN(CN$38,$E540)&lt;MAX($P$34*($B540+$I$38-1),IF(AND($L$37=0,$P$34=0),"",$L$37-1)),0,YEARFRAC(MAX($P$34*($B540+$I$38-1),IF(AND($L$37=0,$P$34=0),"",$L$37-1)),MIN(CN$38,$E540),$P$20))-SUM($BF540:CM540))</f>
        <v>0</v>
      </c>
      <c r="CO540" s="446">
        <f>IF($E540=0,0,IF(MIN(CO$38,$E540)&lt;MAX($P$34*($B540+$I$38-1),IF(AND($L$37=0,$P$34=0),"",$L$37-1)),0,YEARFRAC(MAX($P$34*($B540+$I$38-1),IF(AND($L$37=0,$P$34=0),"",$L$37-1)),MIN(CO$38,$E540),$P$20))-SUM($BF540:CN540))</f>
        <v>0</v>
      </c>
      <c r="CP540" s="446">
        <f>IF($E540=0,0,IF(MIN(CP$38,$E540)&lt;MAX($P$34*($B540+$I$38-1),IF(AND($L$37=0,$P$34=0),"",$L$37-1)),0,YEARFRAC(MAX($P$34*($B540+$I$38-1),IF(AND($L$37=0,$P$34=0),"",$L$37-1)),MIN(CP$38,$E540),$P$20))-SUM($BF540:CO540))</f>
        <v>0</v>
      </c>
      <c r="CQ540" s="446">
        <f>IF($E540=0,0,IF(MIN(CQ$38,$E540)&lt;MAX($P$34*($B540+$I$38-1),IF(AND($L$37=0,$P$34=0),"",$L$37-1)),0,YEARFRAC(MAX($P$34*($B540+$I$38-1),IF(AND($L$37=0,$P$34=0),"",$L$37-1)),MIN(CQ$38,$E540),$P$20))-SUM($BF540:CP540))</f>
        <v>0</v>
      </c>
    </row>
    <row r="541" spans="1:95" s="446" customFormat="1" ht="11.25" hidden="1" customHeight="1" x14ac:dyDescent="0.2">
      <c r="A541" s="152"/>
      <c r="B541" s="153" t="str">
        <f t="shared" si="92"/>
        <v/>
      </c>
      <c r="C541" s="29" t="str">
        <f>IF(B541="","",IF($L$35="SELIC - TRIBUTOS",VLOOKUP(DATE(YEAR($D$19),MONTH($D$19)-1,1),ÍNDICES!$A:$DE,HLOOKUP($BL$25,ÍNDICES!$B$3:$T$4,2)+11)-VLOOKUP(B541,ÍNDICES!$A:$DE,HLOOKUP($BL$25,ÍNDICES!$B$3:$T$4,2)+11)+1%,IF(C$38=$W$26,$J$35,IF(ISERROR(IF(B541&gt;$D$19,1,VLOOKUP(DATE(YEAR(B541),MONTH(B541)+IF($C$35=$S$23,1,0),1),ÍNDICES!$A:$DE,$Z$35+1))),"",IF(B541&gt;$D$19,1,VLOOKUP(DATE(YEAR(B541),MONTH(B541)+IF($C$35=$S$23,1,0),1),ÍNDICES!$A:$DE,$Z$35+1))))))</f>
        <v/>
      </c>
      <c r="D541" s="154" t="str">
        <f>IF(ISERROR(IF(OR($D$38=$Y$27,$B541=""),"",VLOOKUP(B541,ÍNDICES!A:DE,AF$35+1))),"",IF(OR($D$38=$Y$27,$B541=""),"",VLOOKUP(B541,ÍNDICES!A:DE,AF$35+1)))</f>
        <v/>
      </c>
      <c r="E541" s="153"/>
      <c r="F541" s="29" t="str">
        <f>IF(E541="","",IF($L$35="SELIC - TRIBUTOS",VLOOKUP(DATE(YEAR($D$19),MONTH($D$19)-1,1),ÍNDICES!$A:$DE,HLOOKUP($BL$25,ÍNDICES!$B$3:$T$4,2)+11)-VLOOKUP(E541,ÍNDICES!$A:$DE,HLOOKUP($BL$25,ÍNDICES!$B$3:$T$4,2)+11)+1%,IF(F$38=$W$26,$J$35,IF(ISERROR(IF(E541&gt;$D$19,1,VLOOKUP(DATE(YEAR(E541),MONTH(E541)+IF($C$35=$S$23,1,0),1),ÍNDICES!$A:$DE,$Z$35+1))),"",IF(E541&gt;$D$19,1,VLOOKUP(DATE(YEAR(E541),MONTH(E541)+IF($C$35=$S$23,1,0),1),ÍNDICES!$A:$DE,$Z$35+1))))))</f>
        <v/>
      </c>
      <c r="G541" s="155"/>
      <c r="H541" s="156" t="str">
        <f t="shared" si="88"/>
        <v/>
      </c>
      <c r="I541" s="29" t="str">
        <f t="shared" si="82"/>
        <v/>
      </c>
      <c r="J541" s="5">
        <f t="shared" si="83"/>
        <v>0</v>
      </c>
      <c r="K541" s="20">
        <f t="shared" ca="1" si="84"/>
        <v>0</v>
      </c>
      <c r="L541" s="5">
        <f t="shared" ca="1" si="85"/>
        <v>0</v>
      </c>
      <c r="M541" s="64">
        <f t="shared" si="89"/>
        <v>0</v>
      </c>
      <c r="N541" s="61">
        <f t="shared" ca="1" si="90"/>
        <v>0</v>
      </c>
      <c r="O541" s="5">
        <f t="shared" ca="1" si="91"/>
        <v>0</v>
      </c>
      <c r="P541" s="446" t="e">
        <f t="shared" si="86"/>
        <v>#VALUE!</v>
      </c>
      <c r="Q541" s="446" t="e">
        <f>IF(OR($B541="",MIN(Q$38,$D$19)&lt;MAX($P$34*($B541+IF($R$17="Distrato",$I$38-1,0)),IF(AND($L$37=0,$P$34=0),"",$L$37-1),IF($R$17="Distrato",$E541,0))),0,YEARFRAC(MAX($P$34*($B541+IF($R$17="Distrato",$I$38-1,0)),IF(AND($L$37=0,$P$34=0),"",$L$37-1),IF($R$17="Distrato",$E541,0)),MIN(Q$38,$D$19),$P$20))-SUM($P541:P541)</f>
        <v>#VALUE!</v>
      </c>
      <c r="R541" s="446" t="e">
        <f>IF(OR($B541="",MIN(R$38,$D$19)&lt;MAX($P$34*($B541+IF($R$17="Distrato",$I$38-1,0)),IF(AND($L$37=0,$P$34=0),"",$L$37-1),IF($R$17="Distrato",$E541,0))),0,YEARFRAC(MAX($P$34*($B541+IF($R$17="Distrato",$I$38-1,0)),IF(AND($L$37=0,$P$34=0),"",$L$37-1),IF($R$17="Distrato",$E541,0)),MIN(R$38,$D$19),$P$20))-SUM($P541:Q541)</f>
        <v>#VALUE!</v>
      </c>
      <c r="S541" s="446" t="e">
        <f>IF(OR($B541="",MIN(S$38,$D$19)&lt;MAX($P$34*($B541+IF($R$17="Distrato",$I$38-1,0)),IF(AND($L$37=0,$P$34=0),"",$L$37-1),IF($R$17="Distrato",$E541,0))),0,YEARFRAC(MAX($P$34*($B541+IF($R$17="Distrato",$I$38-1,0)),IF(AND($L$37=0,$P$34=0),"",$L$37-1),IF($R$17="Distrato",$E541,0)),MIN(S$38,$D$19),$P$20))-SUM($P541:R541)</f>
        <v>#VALUE!</v>
      </c>
      <c r="T541" s="446" t="e">
        <f>IF(OR($B541="",MIN(T$38,$D$19)&lt;MAX($P$34*($B541+IF($R$17="Distrato",$I$38-1,0)),IF(AND($L$37=0,$P$34=0),"",$L$37-1),IF($R$17="Distrato",$E541,0))),0,YEARFRAC(MAX($P$34*($B541+IF($R$17="Distrato",$I$38-1,0)),IF(AND($L$37=0,$P$34=0),"",$L$37-1),IF($R$17="Distrato",$E541,0)),MIN(T$38,$D$19),$P$20))-SUM($P541:S541)</f>
        <v>#VALUE!</v>
      </c>
      <c r="U541" s="446" t="e">
        <f>IF(OR($B541="",MIN(U$38,$D$19)&lt;MAX($P$34*($B541+IF($R$17="Distrato",$I$38-1,0)),IF(AND($L$37=0,$P$34=0),"",$L$37-1),IF($R$17="Distrato",$E541,0))),0,YEARFRAC(MAX($P$34*($B541+IF($R$17="Distrato",$I$38-1,0)),IF(AND($L$37=0,$P$34=0),"",$L$37-1),IF($R$17="Distrato",$E541,0)),MIN(U$38,$D$19),$P$20))-SUM($P541:T541)</f>
        <v>#VALUE!</v>
      </c>
      <c r="V541" s="446" t="e">
        <f>IF(OR($B541="",MIN(V$38,$D$19)&lt;MAX($P$34*($B541+IF($R$17="Distrato",$I$38-1,0)),IF(AND($L$37=0,$P$34=0),"",$L$37-1),IF($R$17="Distrato",$E541,0))),0,YEARFRAC(MAX($P$34*($B541+IF($R$17="Distrato",$I$38-1,0)),IF(AND($L$37=0,$P$34=0),"",$L$37-1),IF($R$17="Distrato",$E541,0)),MIN(V$38,$D$19),$P$20))-SUM($P541:U541)</f>
        <v>#VALUE!</v>
      </c>
      <c r="W541" s="446" t="e">
        <f>IF(OR($B541="",MIN(W$38,$D$19)&lt;MAX($P$34*($B541+IF($R$17="Distrato",$I$38-1,0)),IF(AND($L$37=0,$P$34=0),"",$L$37-1),IF($R$17="Distrato",$E541,0))),0,YEARFRAC(MAX($P$34*($B541+IF($R$17="Distrato",$I$38-1,0)),IF(AND($L$37=0,$P$34=0),"",$L$37-1),IF($R$17="Distrato",$E541,0)),MIN(W$38,$D$19),$P$20))-SUM($P541:V541)</f>
        <v>#VALUE!</v>
      </c>
      <c r="X541" s="446" t="e">
        <f>IF(OR($B541="",MIN(X$38,$D$19)&lt;MAX($P$34*($B541+IF($R$17="Distrato",$I$38-1,0)),IF(AND($L$37=0,$P$34=0),"",$L$37-1),IF($R$17="Distrato",$E541,0))),0,YEARFRAC(MAX($P$34*($B541+IF($R$17="Distrato",$I$38-1,0)),IF(AND($L$37=0,$P$34=0),"",$L$37-1),IF($R$17="Distrato",$E541,0)),MIN(X$38,$D$19),$P$20))-SUM($P541:W541)</f>
        <v>#VALUE!</v>
      </c>
      <c r="Y541" s="446" t="e">
        <f>IF(OR($B541="",MIN(Y$38,$D$19)&lt;MAX($P$34*($B541+IF($R$17="Distrato",$I$38-1,0)),IF(AND($L$37=0,$P$34=0),"",$L$37-1),IF($R$17="Distrato",$E541,0))),0,YEARFRAC(MAX($P$34*($B541+IF($R$17="Distrato",$I$38-1,0)),IF(AND($L$37=0,$P$34=0),"",$L$37-1),IF($R$17="Distrato",$E541,0)),MIN(Y$38,$D$19),$P$20))-SUM($P541:X541)</f>
        <v>#VALUE!</v>
      </c>
      <c r="Z541" s="446" t="e">
        <f>IF(OR($B541="",MIN(Z$38,$D$19)&lt;MAX($P$34*($B541+IF($R$17="Distrato",$I$38-1,0)),IF(AND($L$37=0,$P$34=0),"",$L$37-1),IF($R$17="Distrato",$E541,0))),0,YEARFRAC(MAX($P$34*($B541+IF($R$17="Distrato",$I$38-1,0)),IF(AND($L$37=0,$P$34=0),"",$L$37-1),IF($R$17="Distrato",$E541,0)),MIN(Z$38,$D$19),$P$20))-SUM($P541:Y541)</f>
        <v>#VALUE!</v>
      </c>
      <c r="AA541" s="446" t="e">
        <f>IF(OR($B541="",MIN(AA$38,$D$19)&lt;MAX($P$34*($B541+IF($R$17="Distrato",$I$38-1,0)),IF(AND($L$37=0,$P$34=0),"",$L$37-1),IF($R$17="Distrato",$E541,0))),0,YEARFRAC(MAX($P$34*($B541+IF($R$17="Distrato",$I$38-1,0)),IF(AND($L$37=0,$P$34=0),"",$L$37-1),IF($R$17="Distrato",$E541,0)),MIN(AA$38,$D$19),$P$20))-SUM($P541:Z541)</f>
        <v>#VALUE!</v>
      </c>
      <c r="AB541" s="446" t="e">
        <f>IF(OR($B541="",MIN(AB$38,$D$19)&lt;MAX($P$34*($B541+IF($R$17="Distrato",$I$38-1,0)),IF(AND($L$37=0,$P$34=0),"",$L$37-1),IF($R$17="Distrato",$E541,0))),0,YEARFRAC(MAX($P$34*($B541+IF($R$17="Distrato",$I$38-1,0)),IF(AND($L$37=0,$P$34=0),"",$L$37-1),IF($R$17="Distrato",$E541,0)),MIN(AB$38,$D$19),$P$20))-SUM($P541:AA541)</f>
        <v>#VALUE!</v>
      </c>
      <c r="AC541" s="446" t="e">
        <f>IF(OR($B541="",MIN(AC$38,$D$19)&lt;MAX($P$34*($B541+IF($R$17="Distrato",$I$38-1,0)),IF(AND($L$37=0,$P$34=0),"",$L$37-1),IF($R$17="Distrato",$E541,0))),0,YEARFRAC(MAX($P$34*($B541+IF($R$17="Distrato",$I$38-1,0)),IF(AND($L$37=0,$P$34=0),"",$L$37-1),IF($R$17="Distrato",$E541,0)),MIN(AC$38,$D$19),$P$20))-SUM($P541:AB541)</f>
        <v>#VALUE!</v>
      </c>
      <c r="AD541" s="446" t="e">
        <f>IF(OR($B541="",MIN(AD$38,$D$19)&lt;MAX($P$34*($B541+IF($R$17="Distrato",$I$38-1,0)),IF(AND($L$37=0,$P$34=0),"",$L$37-1),IF($R$17="Distrato",$E541,0))),0,YEARFRAC(MAX($P$34*($B541+IF($R$17="Distrato",$I$38-1,0)),IF(AND($L$37=0,$P$34=0),"",$L$37-1),IF($R$17="Distrato",$E541,0)),MIN(AD$38,$D$19),$P$20))-SUM($P541:AC541)</f>
        <v>#VALUE!</v>
      </c>
      <c r="AE541" s="446" t="e">
        <f>IF(OR($B541="",MIN(AE$38,$D$19)&lt;MAX($P$34*($B541+IF($R$17="Distrato",$I$38-1,0)),IF(AND($L$37=0,$P$34=0),"",$L$37-1),IF($R$17="Distrato",$E541,0))),0,YEARFRAC(MAX($P$34*($B541+IF($R$17="Distrato",$I$38-1,0)),IF(AND($L$37=0,$P$34=0),"",$L$37-1),IF($R$17="Distrato",$E541,0)),MIN(AE$38,$D$19),$P$20))-SUM($P541:AD541)</f>
        <v>#VALUE!</v>
      </c>
      <c r="AF541" s="446" t="e">
        <f>IF(OR($B541="",MIN(AF$38,$D$19)&lt;MAX($P$34*($B541+IF($R$17="Distrato",$I$38-1,0)),IF(AND($L$37=0,$P$34=0),"",$L$37-1),IF($R$17="Distrato",$E541,0))),0,YEARFRAC(MAX($P$34*($B541+IF($R$17="Distrato",$I$38-1,0)),IF(AND($L$37=0,$P$34=0),"",$L$37-1),IF($R$17="Distrato",$E541,0)),MIN(AF$38,$D$19),$P$20))-SUM($P541:AE541)</f>
        <v>#VALUE!</v>
      </c>
      <c r="AG541" s="446" t="e">
        <f>IF(OR($B541="",MIN(AG$38,$D$19)&lt;MAX($P$34*($B541+IF($R$17="Distrato",$I$38-1,0)),IF(AND($L$37=0,$P$34=0),"",$L$37-1),IF($R$17="Distrato",$E541,0))),0,YEARFRAC(MAX($P$34*($B541+IF($R$17="Distrato",$I$38-1,0)),IF(AND($L$37=0,$P$34=0),"",$L$37-1),IF($R$17="Distrato",$E541,0)),MIN(AG$38,$D$19),$P$20))-SUM($P541:AF541)</f>
        <v>#VALUE!</v>
      </c>
      <c r="AH541" s="446" t="e">
        <f>IF(OR($B541="",MIN(AH$38,$D$19)&lt;MAX($P$34*($B541+IF($R$17="Distrato",$I$38-1,0)),IF(AND($L$37=0,$P$34=0),"",$L$37-1),IF($R$17="Distrato",$E541,0))),0,YEARFRAC(MAX($P$34*($B541+IF($R$17="Distrato",$I$38-1,0)),IF(AND($L$37=0,$P$34=0),"",$L$37-1),IF($R$17="Distrato",$E541,0)),MIN(AH$38,$D$19),$P$20))-SUM($P541:AG541)</f>
        <v>#VALUE!</v>
      </c>
      <c r="AI541" s="446" t="e">
        <f>IF(OR($B541="",MIN(AI$38,$D$19)&lt;MAX($P$34*($B541+IF($R$17="Distrato",$I$38-1,0)),IF(AND($L$37=0,$P$34=0),"",$L$37-1),IF($R$17="Distrato",$E541,0))),0,YEARFRAC(MAX($P$34*($B541+IF($R$17="Distrato",$I$38-1,0)),IF(AND($L$37=0,$P$34=0),"",$L$37-1),IF($R$17="Distrato",$E541,0)),MIN(AI$38,$D$19),$P$20))-SUM($P541:AH541)</f>
        <v>#VALUE!</v>
      </c>
      <c r="AJ541" s="446" t="e">
        <f>IF(OR($B541="",MIN(AJ$38,$D$19)&lt;MAX($P$34*($B541+IF($R$17="Distrato",$I$38-1,0)),IF(AND($L$37=0,$P$34=0),"",$L$37-1),IF($R$17="Distrato",$E541,0))),0,YEARFRAC(MAX($P$34*($B541+IF($R$17="Distrato",$I$38-1,0)),IF(AND($L$37=0,$P$34=0),"",$L$37-1),IF($R$17="Distrato",$E541,0)),MIN(AJ$38,$D$19),$P$20))-SUM($P541:AI541)</f>
        <v>#VALUE!</v>
      </c>
      <c r="AK541" s="446" t="e">
        <f>IF(OR($B541="",MIN(AK$38,$D$19)&lt;MAX($P$34*($B541+IF($R$17="Distrato",$I$38-1,0)),IF(AND($L$37=0,$P$34=0),"",$L$37-1),IF($R$17="Distrato",$E541,0))),0,YEARFRAC(MAX($P$34*($B541+IF($R$17="Distrato",$I$38-1,0)),IF(AND($L$37=0,$P$34=0),"",$L$37-1),IF($R$17="Distrato",$E541,0)),MIN(AK$38,$D$19),$P$20))-SUM($P541:AJ541)</f>
        <v>#VALUE!</v>
      </c>
      <c r="AL541" s="446" t="e">
        <f>IF(OR($B541="",MIN(AL$38,$D$19)&lt;MAX($P$34*($B541+IF($R$17="Distrato",$I$38-1,0)),IF(AND($L$37=0,$P$34=0),"",$L$37-1),IF($R$17="Distrato",$E541,0))),0,YEARFRAC(MAX($P$34*($B541+IF($R$17="Distrato",$I$38-1,0)),IF(AND($L$37=0,$P$34=0),"",$L$37-1),IF($R$17="Distrato",$E541,0)),MIN(AL$38,$D$19),$P$20))-SUM($P541:AK541)</f>
        <v>#VALUE!</v>
      </c>
      <c r="AM541" s="446" t="e">
        <f>IF(OR($B541="",MIN(AM$38,$D$19)&lt;MAX($P$34*($B541+IF($R$17="Distrato",$I$38-1,0)),IF(AND($L$37=0,$P$34=0),"",$L$37-1),IF($R$17="Distrato",$E541,0))),0,YEARFRAC(MAX($P$34*($B541+IF($R$17="Distrato",$I$38-1,0)),IF(AND($L$37=0,$P$34=0),"",$L$37-1),IF($R$17="Distrato",$E541,0)),MIN(AM$38,$D$19),$P$20))-SUM($P541:AL541)</f>
        <v>#VALUE!</v>
      </c>
      <c r="AN541" s="446" t="e">
        <f>IF(OR($B541="",MIN(AN$38,$D$19)&lt;MAX($P$34*($B541+IF($R$17="Distrato",$I$38-1,0)),IF(AND($L$37=0,$P$34=0),"",$L$37-1),IF($R$17="Distrato",$E541,0))),0,YEARFRAC(MAX($P$34*($B541+IF($R$17="Distrato",$I$38-1,0)),IF(AND($L$37=0,$P$34=0),"",$L$37-1),IF($R$17="Distrato",$E541,0)),MIN(AN$38,$D$19),$P$20))-SUM($P541:AM541)</f>
        <v>#VALUE!</v>
      </c>
      <c r="AO541" s="446" t="e">
        <f>IF(OR($B541="",MIN(AO$38,$D$19)&lt;MAX($P$34*($B541+IF($R$17="Distrato",$I$38-1,0)),IF(AND($L$37=0,$P$34=0),"",$L$37-1),IF($R$17="Distrato",$E541,0))),0,YEARFRAC(MAX($P$34*($B541+IF($R$17="Distrato",$I$38-1,0)),IF(AND($L$37=0,$P$34=0),"",$L$37-1),IF($R$17="Distrato",$E541,0)),MIN(AO$38,$D$19),$P$20))-SUM($P541:AN541)</f>
        <v>#VALUE!</v>
      </c>
      <c r="AP541" s="446" t="e">
        <f>IF(OR($B541="",MIN(AP$38,$D$19)&lt;MAX($P$34*($B541+IF($R$17="Distrato",$I$38-1,0)),IF(AND($L$37=0,$P$34=0),"",$L$37-1),IF($R$17="Distrato",$E541,0))),0,YEARFRAC(MAX($P$34*($B541+IF($R$17="Distrato",$I$38-1,0)),IF(AND($L$37=0,$P$34=0),"",$L$37-1),IF($R$17="Distrato",$E541,0)),MIN(AP$38,$D$19),$P$20))-SUM($P541:AO541)</f>
        <v>#VALUE!</v>
      </c>
      <c r="AQ541" s="446" t="e">
        <f>IF(OR($B541="",MIN(AQ$38,$D$19)&lt;MAX($P$34*($B541+IF($R$17="Distrato",$I$38-1,0)),IF(AND($L$37=0,$P$34=0),"",$L$37-1),IF($R$17="Distrato",$E541,0))),0,YEARFRAC(MAX($P$34*($B541+IF($R$17="Distrato",$I$38-1,0)),IF(AND($L$37=0,$P$34=0),"",$L$37-1),IF($R$17="Distrato",$E541,0)),MIN(AQ$38,$D$19),$P$20))-SUM($P541:AP541)</f>
        <v>#VALUE!</v>
      </c>
      <c r="AR541" s="446" t="e">
        <f>IF(OR($B541="",MIN(AR$38,$D$19)&lt;MAX($P$34*($B541+IF($R$17="Distrato",$I$38-1,0)),IF(AND($L$37=0,$P$34=0),"",$L$37-1),IF($R$17="Distrato",$E541,0))),0,YEARFRAC(MAX($P$34*($B541+IF($R$17="Distrato",$I$38-1,0)),IF(AND($L$37=0,$P$34=0),"",$L$37-1),IF($R$17="Distrato",$E541,0)),MIN(AR$38,$D$19),$P$20))-SUM($P541:AQ541)</f>
        <v>#VALUE!</v>
      </c>
      <c r="AS541" s="446" t="e">
        <f>IF(OR($B541="",MIN(AS$38,$D$19)&lt;MAX($P$34*($B541+IF($R$17="Distrato",$I$38-1,0)),IF(AND($L$37=0,$P$34=0),"",$L$37-1),IF($R$17="Distrato",$E541,0))),0,YEARFRAC(MAX($P$34*($B541+IF($R$17="Distrato",$I$38-1,0)),IF(AND($L$37=0,$P$34=0),"",$L$37-1),IF($R$17="Distrato",$E541,0)),MIN(AS$38,$D$19),$P$20))-SUM($P541:AR541)</f>
        <v>#VALUE!</v>
      </c>
      <c r="AT541" s="446" t="e">
        <f>IF(OR($B541="",MIN(AT$38,$D$19)&lt;MAX($P$34*($B541+IF($R$17="Distrato",$I$38-1,0)),IF(AND($L$37=0,$P$34=0),"",$L$37-1),IF($R$17="Distrato",$E541,0))),0,YEARFRAC(MAX($P$34*($B541+IF($R$17="Distrato",$I$38-1,0)),IF(AND($L$37=0,$P$34=0),"",$L$37-1),IF($R$17="Distrato",$E541,0)),MIN(AT$38,$D$19),$P$20))-SUM($P541:AS541)</f>
        <v>#VALUE!</v>
      </c>
      <c r="AU541" s="446" t="e">
        <f>IF(OR($B541="",MIN(AU$38,$D$19)&lt;MAX($P$34*($B541+IF($R$17="Distrato",$I$38-1,0)),IF(AND($L$37=0,$P$34=0),"",$L$37-1),IF($R$17="Distrato",$E541,0))),0,YEARFRAC(MAX($P$34*($B541+IF($R$17="Distrato",$I$38-1,0)),IF(AND($L$37=0,$P$34=0),"",$L$37-1),IF($R$17="Distrato",$E541,0)),MIN(AU$38,$D$19),$P$20))-SUM($P541:AT541)</f>
        <v>#VALUE!</v>
      </c>
      <c r="AV541" s="446" t="e">
        <f>IF(OR($B541="",MIN(AV$38,$D$19)&lt;MAX($P$34*($B541+IF($R$17="Distrato",$I$38-1,0)),IF(AND($L$37=0,$P$34=0),"",$L$37-1),IF($R$17="Distrato",$E541,0))),0,YEARFRAC(MAX($P$34*($B541+IF($R$17="Distrato",$I$38-1,0)),IF(AND($L$37=0,$P$34=0),"",$L$37-1),IF($R$17="Distrato",$E541,0)),MIN(AV$38,$D$19),$P$20))-SUM($P541:AU541)</f>
        <v>#VALUE!</v>
      </c>
      <c r="AW541" s="446" t="e">
        <f>IF(OR($B541="",MIN(AW$38,$D$19)&lt;MAX($P$34*($B541+IF($R$17="Distrato",$I$38-1,0)),IF(AND($L$37=0,$P$34=0),"",$L$37-1),IF($R$17="Distrato",$E541,0))),0,YEARFRAC(MAX($P$34*($B541+IF($R$17="Distrato",$I$38-1,0)),IF(AND($L$37=0,$P$34=0),"",$L$37-1),IF($R$17="Distrato",$E541,0)),MIN(AW$38,$D$19),$P$20))-SUM($P541:AV541)</f>
        <v>#VALUE!</v>
      </c>
      <c r="AX541" s="446" t="e">
        <f>IF(OR($B541="",MIN(AX$38,$D$19)&lt;MAX($P$34*($B541+IF($R$17="Distrato",$I$38-1,0)),IF(AND($L$37=0,$P$34=0),"",$L$37-1),IF($R$17="Distrato",$E541,0))),0,YEARFRAC(MAX($P$34*($B541+IF($R$17="Distrato",$I$38-1,0)),IF(AND($L$37=0,$P$34=0),"",$L$37-1),IF($R$17="Distrato",$E541,0)),MIN(AX$38,$D$19),$P$20))-SUM($P541:AW541)</f>
        <v>#VALUE!</v>
      </c>
      <c r="AY541" s="446" t="e">
        <f>IF(OR($B541="",MIN(AY$38,$D$19)&lt;MAX($P$34*($B541+IF($R$17="Distrato",$I$38-1,0)),IF(AND($L$37=0,$P$34=0),"",$L$37-1),IF($R$17="Distrato",$E541,0))),0,YEARFRAC(MAX($P$34*($B541+IF($R$17="Distrato",$I$38-1,0)),IF(AND($L$37=0,$P$34=0),"",$L$37-1),IF($R$17="Distrato",$E541,0)),MIN(AY$38,$D$19),$P$20))-SUM($P541:AX541)</f>
        <v>#VALUE!</v>
      </c>
      <c r="AZ541" s="446" t="e">
        <f>IF(OR($B541="",MIN(AZ$38,$D$19)&lt;MAX($P$34*($B541+IF($R$17="Distrato",$I$38-1,0)),IF(AND($L$37=0,$P$34=0),"",$L$37-1),IF($R$17="Distrato",$E541,0))),0,YEARFRAC(MAX($P$34*($B541+IF($R$17="Distrato",$I$38-1,0)),IF(AND($L$37=0,$P$34=0),"",$L$37-1),IF($R$17="Distrato",$E541,0)),MIN(AZ$38,$D$19),$P$20))-SUM($P541:AY541)</f>
        <v>#VALUE!</v>
      </c>
      <c r="BA541" s="446" t="e">
        <f>IF(OR($B541="",MIN(BA$38,$D$19)&lt;MAX($P$34*($B541+IF($R$17="Distrato",$I$38-1,0)),IF(AND($L$37=0,$P$34=0),"",$L$37-1),IF($R$17="Distrato",$E541,0))),0,YEARFRAC(MAX($P$34*($B541+IF($R$17="Distrato",$I$38-1,0)),IF(AND($L$37=0,$P$34=0),"",$L$37-1),IF($R$17="Distrato",$E541,0)),MIN(BA$38,$D$19),$P$20))-SUM($P541:AZ541)</f>
        <v>#VALUE!</v>
      </c>
      <c r="BB541" s="447"/>
      <c r="BF541" s="446">
        <f t="shared" si="87"/>
        <v>0</v>
      </c>
      <c r="BG541" s="446">
        <f>IF($E541=0,0,IF(MIN(BG$38,$E541)&lt;MAX($P$34*($B541+$I$38-1),IF(AND($L$37=0,$P$34=0),"",$L$37-1)),0,YEARFRAC(MAX($P$34*($B541+$I$38-1),IF(AND($L$37=0,$P$34=0),"",$L$37-1)),MIN(BG$38,$E541),$P$20))-SUM($BF541:BF541))</f>
        <v>0</v>
      </c>
      <c r="BH541" s="446">
        <f>IF($E541=0,0,IF(MIN(BH$38,$E541)&lt;MAX($P$34*($B541+$I$38-1),IF(AND($L$37=0,$P$34=0),"",$L$37-1)),0,YEARFRAC(MAX($P$34*($B541+$I$38-1),IF(AND($L$37=0,$P$34=0),"",$L$37-1)),MIN(BH$38,$E541),$P$20))-SUM($BF541:BG541))</f>
        <v>0</v>
      </c>
      <c r="BI541" s="446">
        <f>IF($E541=0,0,IF(MIN(BI$38,$E541)&lt;MAX($P$34*($B541+$I$38-1),IF(AND($L$37=0,$P$34=0),"",$L$37-1)),0,YEARFRAC(MAX($P$34*($B541+$I$38-1),IF(AND($L$37=0,$P$34=0),"",$L$37-1)),MIN(BI$38,$E541),$P$20))-SUM($BF541:BH541))</f>
        <v>0</v>
      </c>
      <c r="BJ541" s="446">
        <f>IF($E541=0,0,IF(MIN(BJ$38,$E541)&lt;MAX($P$34*($B541+$I$38-1),IF(AND($L$37=0,$P$34=0),"",$L$37-1)),0,YEARFRAC(MAX($P$34*($B541+$I$38-1),IF(AND($L$37=0,$P$34=0),"",$L$37-1)),MIN(BJ$38,$E541),$P$20))-SUM($BF541:BI541))</f>
        <v>0</v>
      </c>
      <c r="BK541" s="446">
        <f>IF($E541=0,0,IF(MIN(BK$38,$E541)&lt;MAX($P$34*($B541+$I$38-1),IF(AND($L$37=0,$P$34=0),"",$L$37-1)),0,YEARFRAC(MAX($P$34*($B541+$I$38-1),IF(AND($L$37=0,$P$34=0),"",$L$37-1)),MIN(BK$38,$E541),$P$20))-SUM($BF541:BJ541))</f>
        <v>0</v>
      </c>
      <c r="BL541" s="446">
        <f>IF($E541=0,0,IF(MIN(BL$38,$E541)&lt;MAX($P$34*($B541+$I$38-1),IF(AND($L$37=0,$P$34=0),"",$L$37-1)),0,YEARFRAC(MAX($P$34*($B541+$I$38-1),IF(AND($L$37=0,$P$34=0),"",$L$37-1)),MIN(BL$38,$E541),$P$20))-SUM($BF541:BK541))</f>
        <v>0</v>
      </c>
      <c r="BM541" s="446">
        <f>IF($E541=0,0,IF(MIN(BM$38,$E541)&lt;MAX($P$34*($B541+$I$38-1),IF(AND($L$37=0,$P$34=0),"",$L$37-1)),0,YEARFRAC(MAX($P$34*($B541+$I$38-1),IF(AND($L$37=0,$P$34=0),"",$L$37-1)),MIN(BM$38,$E541),$P$20))-SUM($BF541:BL541))</f>
        <v>0</v>
      </c>
      <c r="BN541" s="446">
        <f>IF($E541=0,0,IF(MIN(BN$38,$E541)&lt;MAX($P$34*($B541+$I$38-1),IF(AND($L$37=0,$P$34=0),"",$L$37-1)),0,YEARFRAC(MAX($P$34*($B541+$I$38-1),IF(AND($L$37=0,$P$34=0),"",$L$37-1)),MIN(BN$38,$E541),$P$20))-SUM($BF541:BM541))</f>
        <v>0</v>
      </c>
      <c r="BO541" s="446">
        <f>IF($E541=0,0,IF(MIN(BO$38,$E541)&lt;MAX($P$34*($B541+$I$38-1),IF(AND($L$37=0,$P$34=0),"",$L$37-1)),0,YEARFRAC(MAX($P$34*($B541+$I$38-1),IF(AND($L$37=0,$P$34=0),"",$L$37-1)),MIN(BO$38,$E541),$P$20))-SUM($BF541:BN541))</f>
        <v>0</v>
      </c>
      <c r="BP541" s="446">
        <f>IF($E541=0,0,IF(MIN(BP$38,$E541)&lt;MAX($P$34*($B541+$I$38-1),IF(AND($L$37=0,$P$34=0),"",$L$37-1)),0,YEARFRAC(MAX($P$34*($B541+$I$38-1),IF(AND($L$37=0,$P$34=0),"",$L$37-1)),MIN(BP$38,$E541),$P$20))-SUM($BF541:BO541))</f>
        <v>0</v>
      </c>
      <c r="BQ541" s="446">
        <f>IF($E541=0,0,IF(MIN(BQ$38,$E541)&lt;MAX($P$34*($B541+$I$38-1),IF(AND($L$37=0,$P$34=0),"",$L$37-1)),0,YEARFRAC(MAX($P$34*($B541+$I$38-1),IF(AND($L$37=0,$P$34=0),"",$L$37-1)),MIN(BQ$38,$E541),$P$20))-SUM($BF541:BP541))</f>
        <v>0</v>
      </c>
      <c r="BR541" s="446">
        <f>IF($E541=0,0,IF(MIN(BR$38,$E541)&lt;MAX($P$34*($B541+$I$38-1),IF(AND($L$37=0,$P$34=0),"",$L$37-1)),0,YEARFRAC(MAX($P$34*($B541+$I$38-1),IF(AND($L$37=0,$P$34=0),"",$L$37-1)),MIN(BR$38,$E541),$P$20))-SUM($BF541:BQ541))</f>
        <v>0</v>
      </c>
      <c r="BS541" s="446">
        <f>IF($E541=0,0,IF(MIN(BS$38,$E541)&lt;MAX($P$34*($B541+$I$38-1),IF(AND($L$37=0,$P$34=0),"",$L$37-1)),0,YEARFRAC(MAX($P$34*($B541+$I$38-1),IF(AND($L$37=0,$P$34=0),"",$L$37-1)),MIN(BS$38,$E541),$P$20))-SUM($BF541:BR541))</f>
        <v>0</v>
      </c>
      <c r="BT541" s="446">
        <f>IF($E541=0,0,IF(MIN(BT$38,$E541)&lt;MAX($P$34*($B541+$I$38-1),IF(AND($L$37=0,$P$34=0),"",$L$37-1)),0,YEARFRAC(MAX($P$34*($B541+$I$38-1),IF(AND($L$37=0,$P$34=0),"",$L$37-1)),MIN(BT$38,$E541),$P$20))-SUM($BF541:BS541))</f>
        <v>0</v>
      </c>
      <c r="BU541" s="446">
        <f>IF($E541=0,0,IF(MIN(BU$38,$E541)&lt;MAX($P$34*($B541+$I$38-1),IF(AND($L$37=0,$P$34=0),"",$L$37-1)),0,YEARFRAC(MAX($P$34*($B541+$I$38-1),IF(AND($L$37=0,$P$34=0),"",$L$37-1)),MIN(BU$38,$E541),$P$20))-SUM($BF541:BT541))</f>
        <v>0</v>
      </c>
      <c r="BV541" s="446">
        <f>IF($E541=0,0,IF(MIN(BV$38,$E541)&lt;MAX($P$34*($B541+$I$38-1),IF(AND($L$37=0,$P$34=0),"",$L$37-1)),0,YEARFRAC(MAX($P$34*($B541+$I$38-1),IF(AND($L$37=0,$P$34=0),"",$L$37-1)),MIN(BV$38,$E541),$P$20))-SUM($BF541:BU541))</f>
        <v>0</v>
      </c>
      <c r="BW541" s="446">
        <f>IF($E541=0,0,IF(MIN(BW$38,$E541)&lt;MAX($P$34*($B541+$I$38-1),IF(AND($L$37=0,$P$34=0),"",$L$37-1)),0,YEARFRAC(MAX($P$34*($B541+$I$38-1),IF(AND($L$37=0,$P$34=0),"",$L$37-1)),MIN(BW$38,$E541),$P$20))-SUM($BF541:BV541))</f>
        <v>0</v>
      </c>
      <c r="BX541" s="446">
        <f>IF($E541=0,0,IF(MIN(BX$38,$E541)&lt;MAX($P$34*($B541+$I$38-1),IF(AND($L$37=0,$P$34=0),"",$L$37-1)),0,YEARFRAC(MAX($P$34*($B541+$I$38-1),IF(AND($L$37=0,$P$34=0),"",$L$37-1)),MIN(BX$38,$E541),$P$20))-SUM($BF541:BW541))</f>
        <v>0</v>
      </c>
      <c r="BY541" s="446">
        <f>IF($E541=0,0,IF(MIN(BY$38,$E541)&lt;MAX($P$34*($B541+$I$38-1),IF(AND($L$37=0,$P$34=0),"",$L$37-1)),0,YEARFRAC(MAX($P$34*($B541+$I$38-1),IF(AND($L$37=0,$P$34=0),"",$L$37-1)),MIN(BY$38,$E541),$P$20))-SUM($BF541:BX541))</f>
        <v>0</v>
      </c>
      <c r="BZ541" s="446">
        <f>IF($E541=0,0,IF(MIN(BZ$38,$E541)&lt;MAX($P$34*($B541+$I$38-1),IF(AND($L$37=0,$P$34=0),"",$L$37-1)),0,YEARFRAC(MAX($P$34*($B541+$I$38-1),IF(AND($L$37=0,$P$34=0),"",$L$37-1)),MIN(BZ$38,$E541),$P$20))-SUM($BF541:BY541))</f>
        <v>0</v>
      </c>
      <c r="CA541" s="446">
        <f>IF($E541=0,0,IF(MIN(CA$38,$E541)&lt;MAX($P$34*($B541+$I$38-1),IF(AND($L$37=0,$P$34=0),"",$L$37-1)),0,YEARFRAC(MAX($P$34*($B541+$I$38-1),IF(AND($L$37=0,$P$34=0),"",$L$37-1)),MIN(CA$38,$E541),$P$20))-SUM($BF541:BZ541))</f>
        <v>0</v>
      </c>
      <c r="CB541" s="446">
        <f>IF($E541=0,0,IF(MIN(CB$38,$E541)&lt;MAX($P$34*($B541+$I$38-1),IF(AND($L$37=0,$P$34=0),"",$L$37-1)),0,YEARFRAC(MAX($P$34*($B541+$I$38-1),IF(AND($L$37=0,$P$34=0),"",$L$37-1)),MIN(CB$38,$E541),$P$20))-SUM($BF541:CA541))</f>
        <v>0</v>
      </c>
      <c r="CC541" s="446">
        <f>IF($E541=0,0,IF(MIN(CC$38,$E541)&lt;MAX($P$34*($B541+$I$38-1),IF(AND($L$37=0,$P$34=0),"",$L$37-1)),0,YEARFRAC(MAX($P$34*($B541+$I$38-1),IF(AND($L$37=0,$P$34=0),"",$L$37-1)),MIN(CC$38,$E541),$P$20))-SUM($BF541:CB541))</f>
        <v>0</v>
      </c>
      <c r="CD541" s="446">
        <f>IF($E541=0,0,IF(MIN(CD$38,$E541)&lt;MAX($P$34*($B541+$I$38-1),IF(AND($L$37=0,$P$34=0),"",$L$37-1)),0,YEARFRAC(MAX($P$34*($B541+$I$38-1),IF(AND($L$37=0,$P$34=0),"",$L$37-1)),MIN(CD$38,$E541),$P$20))-SUM($BF541:CC541))</f>
        <v>0</v>
      </c>
      <c r="CE541" s="446">
        <f>IF($E541=0,0,IF(MIN(CE$38,$E541)&lt;MAX($P$34*($B541+$I$38-1),IF(AND($L$37=0,$P$34=0),"",$L$37-1)),0,YEARFRAC(MAX($P$34*($B541+$I$38-1),IF(AND($L$37=0,$P$34=0),"",$L$37-1)),MIN(CE$38,$E541),$P$20))-SUM($BF541:CD541))</f>
        <v>0</v>
      </c>
      <c r="CF541" s="446">
        <f>IF($E541=0,0,IF(MIN(CF$38,$E541)&lt;MAX($P$34*($B541+$I$38-1),IF(AND($L$37=0,$P$34=0),"",$L$37-1)),0,YEARFRAC(MAX($P$34*($B541+$I$38-1),IF(AND($L$37=0,$P$34=0),"",$L$37-1)),MIN(CF$38,$E541),$P$20))-SUM($BF541:CE541))</f>
        <v>0</v>
      </c>
      <c r="CG541" s="446">
        <f>IF($E541=0,0,IF(MIN(CG$38,$E541)&lt;MAX($P$34*($B541+$I$38-1),IF(AND($L$37=0,$P$34=0),"",$L$37-1)),0,YEARFRAC(MAX($P$34*($B541+$I$38-1),IF(AND($L$37=0,$P$34=0),"",$L$37-1)),MIN(CG$38,$E541),$P$20))-SUM($BF541:CF541))</f>
        <v>0</v>
      </c>
      <c r="CH541" s="446">
        <f>IF($E541=0,0,IF(MIN(CH$38,$E541)&lt;MAX($P$34*($B541+$I$38-1),IF(AND($L$37=0,$P$34=0),"",$L$37-1)),0,YEARFRAC(MAX($P$34*($B541+$I$38-1),IF(AND($L$37=0,$P$34=0),"",$L$37-1)),MIN(CH$38,$E541),$P$20))-SUM($BF541:CG541))</f>
        <v>0</v>
      </c>
      <c r="CI541" s="446">
        <f>IF($E541=0,0,IF(MIN(CI$38,$E541)&lt;MAX($P$34*($B541+$I$38-1),IF(AND($L$37=0,$P$34=0),"",$L$37-1)),0,YEARFRAC(MAX($P$34*($B541+$I$38-1),IF(AND($L$37=0,$P$34=0),"",$L$37-1)),MIN(CI$38,$E541),$P$20))-SUM($BF541:CH541))</f>
        <v>0</v>
      </c>
      <c r="CJ541" s="446">
        <f>IF($E541=0,0,IF(MIN(CJ$38,$E541)&lt;MAX($P$34*($B541+$I$38-1),IF(AND($L$37=0,$P$34=0),"",$L$37-1)),0,YEARFRAC(MAX($P$34*($B541+$I$38-1),IF(AND($L$37=0,$P$34=0),"",$L$37-1)),MIN(CJ$38,$E541),$P$20))-SUM($BF541:CI541))</f>
        <v>0</v>
      </c>
      <c r="CK541" s="446">
        <f>IF($E541=0,0,IF(MIN(CK$38,$E541)&lt;MAX($P$34*($B541+$I$38-1),IF(AND($L$37=0,$P$34=0),"",$L$37-1)),0,YEARFRAC(MAX($P$34*($B541+$I$38-1),IF(AND($L$37=0,$P$34=0),"",$L$37-1)),MIN(CK$38,$E541),$P$20))-SUM($BF541:CJ541))</f>
        <v>0</v>
      </c>
      <c r="CL541" s="446">
        <f>IF($E541=0,0,IF(MIN(CL$38,$E541)&lt;MAX($P$34*($B541+$I$38-1),IF(AND($L$37=0,$P$34=0),"",$L$37-1)),0,YEARFRAC(MAX($P$34*($B541+$I$38-1),IF(AND($L$37=0,$P$34=0),"",$L$37-1)),MIN(CL$38,$E541),$P$20))-SUM($BF541:CK541))</f>
        <v>0</v>
      </c>
      <c r="CM541" s="446">
        <f>IF($E541=0,0,IF(MIN(CM$38,$E541)&lt;MAX($P$34*($B541+$I$38-1),IF(AND($L$37=0,$P$34=0),"",$L$37-1)),0,YEARFRAC(MAX($P$34*($B541+$I$38-1),IF(AND($L$37=0,$P$34=0),"",$L$37-1)),MIN(CM$38,$E541),$P$20))-SUM($BF541:CL541))</f>
        <v>0</v>
      </c>
      <c r="CN541" s="446">
        <f>IF($E541=0,0,IF(MIN(CN$38,$E541)&lt;MAX($P$34*($B541+$I$38-1),IF(AND($L$37=0,$P$34=0),"",$L$37-1)),0,YEARFRAC(MAX($P$34*($B541+$I$38-1),IF(AND($L$37=0,$P$34=0),"",$L$37-1)),MIN(CN$38,$E541),$P$20))-SUM($BF541:CM541))</f>
        <v>0</v>
      </c>
      <c r="CO541" s="446">
        <f>IF($E541=0,0,IF(MIN(CO$38,$E541)&lt;MAX($P$34*($B541+$I$38-1),IF(AND($L$37=0,$P$34=0),"",$L$37-1)),0,YEARFRAC(MAX($P$34*($B541+$I$38-1),IF(AND($L$37=0,$P$34=0),"",$L$37-1)),MIN(CO$38,$E541),$P$20))-SUM($BF541:CN541))</f>
        <v>0</v>
      </c>
      <c r="CP541" s="446">
        <f>IF($E541=0,0,IF(MIN(CP$38,$E541)&lt;MAX($P$34*($B541+$I$38-1),IF(AND($L$37=0,$P$34=0),"",$L$37-1)),0,YEARFRAC(MAX($P$34*($B541+$I$38-1),IF(AND($L$37=0,$P$34=0),"",$L$37-1)),MIN(CP$38,$E541),$P$20))-SUM($BF541:CO541))</f>
        <v>0</v>
      </c>
      <c r="CQ541" s="446">
        <f>IF($E541=0,0,IF(MIN(CQ$38,$E541)&lt;MAX($P$34*($B541+$I$38-1),IF(AND($L$37=0,$P$34=0),"",$L$37-1)),0,YEARFRAC(MAX($P$34*($B541+$I$38-1),IF(AND($L$37=0,$P$34=0),"",$L$37-1)),MIN(CQ$38,$E541),$P$20))-SUM($BF541:CP541))</f>
        <v>0</v>
      </c>
    </row>
    <row r="542" spans="1:95" s="446" customFormat="1" ht="11.25" hidden="1" customHeight="1" x14ac:dyDescent="0.2">
      <c r="A542" s="152"/>
      <c r="B542" s="153" t="str">
        <f t="shared" si="92"/>
        <v/>
      </c>
      <c r="C542" s="29" t="str">
        <f>IF(B542="","",IF($L$35="SELIC - TRIBUTOS",VLOOKUP(DATE(YEAR($D$19),MONTH($D$19)-1,1),ÍNDICES!$A:$DE,HLOOKUP($BL$25,ÍNDICES!$B$3:$T$4,2)+11)-VLOOKUP(B542,ÍNDICES!$A:$DE,HLOOKUP($BL$25,ÍNDICES!$B$3:$T$4,2)+11)+1%,IF(C$38=$W$26,$J$35,IF(ISERROR(IF(B542&gt;$D$19,1,VLOOKUP(DATE(YEAR(B542),MONTH(B542)+IF($C$35=$S$23,1,0),1),ÍNDICES!$A:$DE,$Z$35+1))),"",IF(B542&gt;$D$19,1,VLOOKUP(DATE(YEAR(B542),MONTH(B542)+IF($C$35=$S$23,1,0),1),ÍNDICES!$A:$DE,$Z$35+1))))))</f>
        <v/>
      </c>
      <c r="D542" s="154" t="str">
        <f>IF(ISERROR(IF(OR($D$38=$Y$27,$B542=""),"",VLOOKUP(B542,ÍNDICES!A:DE,AF$35+1))),"",IF(OR($D$38=$Y$27,$B542=""),"",VLOOKUP(B542,ÍNDICES!A:DE,AF$35+1)))</f>
        <v/>
      </c>
      <c r="E542" s="153"/>
      <c r="F542" s="29" t="str">
        <f>IF(E542="","",IF($L$35="SELIC - TRIBUTOS",VLOOKUP(DATE(YEAR($D$19),MONTH($D$19)-1,1),ÍNDICES!$A:$DE,HLOOKUP($BL$25,ÍNDICES!$B$3:$T$4,2)+11)-VLOOKUP(E542,ÍNDICES!$A:$DE,HLOOKUP($BL$25,ÍNDICES!$B$3:$T$4,2)+11)+1%,IF(F$38=$W$26,$J$35,IF(ISERROR(IF(E542&gt;$D$19,1,VLOOKUP(DATE(YEAR(E542),MONTH(E542)+IF($C$35=$S$23,1,0),1),ÍNDICES!$A:$DE,$Z$35+1))),"",IF(E542&gt;$D$19,1,VLOOKUP(DATE(YEAR(E542),MONTH(E542)+IF($C$35=$S$23,1,0),1),ÍNDICES!$A:$DE,$Z$35+1))))))</f>
        <v/>
      </c>
      <c r="G542" s="155"/>
      <c r="H542" s="156" t="str">
        <f t="shared" si="88"/>
        <v/>
      </c>
      <c r="I542" s="29" t="str">
        <f t="shared" si="82"/>
        <v/>
      </c>
      <c r="J542" s="5">
        <f t="shared" si="83"/>
        <v>0</v>
      </c>
      <c r="K542" s="20">
        <f t="shared" ca="1" si="84"/>
        <v>0</v>
      </c>
      <c r="L542" s="5">
        <f t="shared" ca="1" si="85"/>
        <v>0</v>
      </c>
      <c r="M542" s="64">
        <f t="shared" si="89"/>
        <v>0</v>
      </c>
      <c r="N542" s="61">
        <f t="shared" ca="1" si="90"/>
        <v>0</v>
      </c>
      <c r="O542" s="5">
        <f t="shared" ca="1" si="91"/>
        <v>0</v>
      </c>
      <c r="P542" s="446" t="e">
        <f t="shared" si="86"/>
        <v>#VALUE!</v>
      </c>
      <c r="Q542" s="446" t="e">
        <f>IF(OR($B542="",MIN(Q$38,$D$19)&lt;MAX($P$34*($B542+IF($R$17="Distrato",$I$38-1,0)),IF(AND($L$37=0,$P$34=0),"",$L$37-1),IF($R$17="Distrato",$E542,0))),0,YEARFRAC(MAX($P$34*($B542+IF($R$17="Distrato",$I$38-1,0)),IF(AND($L$37=0,$P$34=0),"",$L$37-1),IF($R$17="Distrato",$E542,0)),MIN(Q$38,$D$19),$P$20))-SUM($P542:P542)</f>
        <v>#VALUE!</v>
      </c>
      <c r="R542" s="446" t="e">
        <f>IF(OR($B542="",MIN(R$38,$D$19)&lt;MAX($P$34*($B542+IF($R$17="Distrato",$I$38-1,0)),IF(AND($L$37=0,$P$34=0),"",$L$37-1),IF($R$17="Distrato",$E542,0))),0,YEARFRAC(MAX($P$34*($B542+IF($R$17="Distrato",$I$38-1,0)),IF(AND($L$37=0,$P$34=0),"",$L$37-1),IF($R$17="Distrato",$E542,0)),MIN(R$38,$D$19),$P$20))-SUM($P542:Q542)</f>
        <v>#VALUE!</v>
      </c>
      <c r="S542" s="446" t="e">
        <f>IF(OR($B542="",MIN(S$38,$D$19)&lt;MAX($P$34*($B542+IF($R$17="Distrato",$I$38-1,0)),IF(AND($L$37=0,$P$34=0),"",$L$37-1),IF($R$17="Distrato",$E542,0))),0,YEARFRAC(MAX($P$34*($B542+IF($R$17="Distrato",$I$38-1,0)),IF(AND($L$37=0,$P$34=0),"",$L$37-1),IF($R$17="Distrato",$E542,0)),MIN(S$38,$D$19),$P$20))-SUM($P542:R542)</f>
        <v>#VALUE!</v>
      </c>
      <c r="T542" s="446" t="e">
        <f>IF(OR($B542="",MIN(T$38,$D$19)&lt;MAX($P$34*($B542+IF($R$17="Distrato",$I$38-1,0)),IF(AND($L$37=0,$P$34=0),"",$L$37-1),IF($R$17="Distrato",$E542,0))),0,YEARFRAC(MAX($P$34*($B542+IF($R$17="Distrato",$I$38-1,0)),IF(AND($L$37=0,$P$34=0),"",$L$37-1),IF($R$17="Distrato",$E542,0)),MIN(T$38,$D$19),$P$20))-SUM($P542:S542)</f>
        <v>#VALUE!</v>
      </c>
      <c r="U542" s="446" t="e">
        <f>IF(OR($B542="",MIN(U$38,$D$19)&lt;MAX($P$34*($B542+IF($R$17="Distrato",$I$38-1,0)),IF(AND($L$37=0,$P$34=0),"",$L$37-1),IF($R$17="Distrato",$E542,0))),0,YEARFRAC(MAX($P$34*($B542+IF($R$17="Distrato",$I$38-1,0)),IF(AND($L$37=0,$P$34=0),"",$L$37-1),IF($R$17="Distrato",$E542,0)),MIN(U$38,$D$19),$P$20))-SUM($P542:T542)</f>
        <v>#VALUE!</v>
      </c>
      <c r="V542" s="446" t="e">
        <f>IF(OR($B542="",MIN(V$38,$D$19)&lt;MAX($P$34*($B542+IF($R$17="Distrato",$I$38-1,0)),IF(AND($L$37=0,$P$34=0),"",$L$37-1),IF($R$17="Distrato",$E542,0))),0,YEARFRAC(MAX($P$34*($B542+IF($R$17="Distrato",$I$38-1,0)),IF(AND($L$37=0,$P$34=0),"",$L$37-1),IF($R$17="Distrato",$E542,0)),MIN(V$38,$D$19),$P$20))-SUM($P542:U542)</f>
        <v>#VALUE!</v>
      </c>
      <c r="W542" s="446" t="e">
        <f>IF(OR($B542="",MIN(W$38,$D$19)&lt;MAX($P$34*($B542+IF($R$17="Distrato",$I$38-1,0)),IF(AND($L$37=0,$P$34=0),"",$L$37-1),IF($R$17="Distrato",$E542,0))),0,YEARFRAC(MAX($P$34*($B542+IF($R$17="Distrato",$I$38-1,0)),IF(AND($L$37=0,$P$34=0),"",$L$37-1),IF($R$17="Distrato",$E542,0)),MIN(W$38,$D$19),$P$20))-SUM($P542:V542)</f>
        <v>#VALUE!</v>
      </c>
      <c r="X542" s="446" t="e">
        <f>IF(OR($B542="",MIN(X$38,$D$19)&lt;MAX($P$34*($B542+IF($R$17="Distrato",$I$38-1,0)),IF(AND($L$37=0,$P$34=0),"",$L$37-1),IF($R$17="Distrato",$E542,0))),0,YEARFRAC(MAX($P$34*($B542+IF($R$17="Distrato",$I$38-1,0)),IF(AND($L$37=0,$P$34=0),"",$L$37-1),IF($R$17="Distrato",$E542,0)),MIN(X$38,$D$19),$P$20))-SUM($P542:W542)</f>
        <v>#VALUE!</v>
      </c>
      <c r="Y542" s="446" t="e">
        <f>IF(OR($B542="",MIN(Y$38,$D$19)&lt;MAX($P$34*($B542+IF($R$17="Distrato",$I$38-1,0)),IF(AND($L$37=0,$P$34=0),"",$L$37-1),IF($R$17="Distrato",$E542,0))),0,YEARFRAC(MAX($P$34*($B542+IF($R$17="Distrato",$I$38-1,0)),IF(AND($L$37=0,$P$34=0),"",$L$37-1),IF($R$17="Distrato",$E542,0)),MIN(Y$38,$D$19),$P$20))-SUM($P542:X542)</f>
        <v>#VALUE!</v>
      </c>
      <c r="Z542" s="446" t="e">
        <f>IF(OR($B542="",MIN(Z$38,$D$19)&lt;MAX($P$34*($B542+IF($R$17="Distrato",$I$38-1,0)),IF(AND($L$37=0,$P$34=0),"",$L$37-1),IF($R$17="Distrato",$E542,0))),0,YEARFRAC(MAX($P$34*($B542+IF($R$17="Distrato",$I$38-1,0)),IF(AND($L$37=0,$P$34=0),"",$L$37-1),IF($R$17="Distrato",$E542,0)),MIN(Z$38,$D$19),$P$20))-SUM($P542:Y542)</f>
        <v>#VALUE!</v>
      </c>
      <c r="AA542" s="446" t="e">
        <f>IF(OR($B542="",MIN(AA$38,$D$19)&lt;MAX($P$34*($B542+IF($R$17="Distrato",$I$38-1,0)),IF(AND($L$37=0,$P$34=0),"",$L$37-1),IF($R$17="Distrato",$E542,0))),0,YEARFRAC(MAX($P$34*($B542+IF($R$17="Distrato",$I$38-1,0)),IF(AND($L$37=0,$P$34=0),"",$L$37-1),IF($R$17="Distrato",$E542,0)),MIN(AA$38,$D$19),$P$20))-SUM($P542:Z542)</f>
        <v>#VALUE!</v>
      </c>
      <c r="AB542" s="446" t="e">
        <f>IF(OR($B542="",MIN(AB$38,$D$19)&lt;MAX($P$34*($B542+IF($R$17="Distrato",$I$38-1,0)),IF(AND($L$37=0,$P$34=0),"",$L$37-1),IF($R$17="Distrato",$E542,0))),0,YEARFRAC(MAX($P$34*($B542+IF($R$17="Distrato",$I$38-1,0)),IF(AND($L$37=0,$P$34=0),"",$L$37-1),IF($R$17="Distrato",$E542,0)),MIN(AB$38,$D$19),$P$20))-SUM($P542:AA542)</f>
        <v>#VALUE!</v>
      </c>
      <c r="AC542" s="446" t="e">
        <f>IF(OR($B542="",MIN(AC$38,$D$19)&lt;MAX($P$34*($B542+IF($R$17="Distrato",$I$38-1,0)),IF(AND($L$37=0,$P$34=0),"",$L$37-1),IF($R$17="Distrato",$E542,0))),0,YEARFRAC(MAX($P$34*($B542+IF($R$17="Distrato",$I$38-1,0)),IF(AND($L$37=0,$P$34=0),"",$L$37-1),IF($R$17="Distrato",$E542,0)),MIN(AC$38,$D$19),$P$20))-SUM($P542:AB542)</f>
        <v>#VALUE!</v>
      </c>
      <c r="AD542" s="446" t="e">
        <f>IF(OR($B542="",MIN(AD$38,$D$19)&lt;MAX($P$34*($B542+IF($R$17="Distrato",$I$38-1,0)),IF(AND($L$37=0,$P$34=0),"",$L$37-1),IF($R$17="Distrato",$E542,0))),0,YEARFRAC(MAX($P$34*($B542+IF($R$17="Distrato",$I$38-1,0)),IF(AND($L$37=0,$P$34=0),"",$L$37-1),IF($R$17="Distrato",$E542,0)),MIN(AD$38,$D$19),$P$20))-SUM($P542:AC542)</f>
        <v>#VALUE!</v>
      </c>
      <c r="AE542" s="446" t="e">
        <f>IF(OR($B542="",MIN(AE$38,$D$19)&lt;MAX($P$34*($B542+IF($R$17="Distrato",$I$38-1,0)),IF(AND($L$37=0,$P$34=0),"",$L$37-1),IF($R$17="Distrato",$E542,0))),0,YEARFRAC(MAX($P$34*($B542+IF($R$17="Distrato",$I$38-1,0)),IF(AND($L$37=0,$P$34=0),"",$L$37-1),IF($R$17="Distrato",$E542,0)),MIN(AE$38,$D$19),$P$20))-SUM($P542:AD542)</f>
        <v>#VALUE!</v>
      </c>
      <c r="AF542" s="446" t="e">
        <f>IF(OR($B542="",MIN(AF$38,$D$19)&lt;MAX($P$34*($B542+IF($R$17="Distrato",$I$38-1,0)),IF(AND($L$37=0,$P$34=0),"",$L$37-1),IF($R$17="Distrato",$E542,0))),0,YEARFRAC(MAX($P$34*($B542+IF($R$17="Distrato",$I$38-1,0)),IF(AND($L$37=0,$P$34=0),"",$L$37-1),IF($R$17="Distrato",$E542,0)),MIN(AF$38,$D$19),$P$20))-SUM($P542:AE542)</f>
        <v>#VALUE!</v>
      </c>
      <c r="AG542" s="446" t="e">
        <f>IF(OR($B542="",MIN(AG$38,$D$19)&lt;MAX($P$34*($B542+IF($R$17="Distrato",$I$38-1,0)),IF(AND($L$37=0,$P$34=0),"",$L$37-1),IF($R$17="Distrato",$E542,0))),0,YEARFRAC(MAX($P$34*($B542+IF($R$17="Distrato",$I$38-1,0)),IF(AND($L$37=0,$P$34=0),"",$L$37-1),IF($R$17="Distrato",$E542,0)),MIN(AG$38,$D$19),$P$20))-SUM($P542:AF542)</f>
        <v>#VALUE!</v>
      </c>
      <c r="AH542" s="446" t="e">
        <f>IF(OR($B542="",MIN(AH$38,$D$19)&lt;MAX($P$34*($B542+IF($R$17="Distrato",$I$38-1,0)),IF(AND($L$37=0,$P$34=0),"",$L$37-1),IF($R$17="Distrato",$E542,0))),0,YEARFRAC(MAX($P$34*($B542+IF($R$17="Distrato",$I$38-1,0)),IF(AND($L$37=0,$P$34=0),"",$L$37-1),IF($R$17="Distrato",$E542,0)),MIN(AH$38,$D$19),$P$20))-SUM($P542:AG542)</f>
        <v>#VALUE!</v>
      </c>
      <c r="AI542" s="446" t="e">
        <f>IF(OR($B542="",MIN(AI$38,$D$19)&lt;MAX($P$34*($B542+IF($R$17="Distrato",$I$38-1,0)),IF(AND($L$37=0,$P$34=0),"",$L$37-1),IF($R$17="Distrato",$E542,0))),0,YEARFRAC(MAX($P$34*($B542+IF($R$17="Distrato",$I$38-1,0)),IF(AND($L$37=0,$P$34=0),"",$L$37-1),IF($R$17="Distrato",$E542,0)),MIN(AI$38,$D$19),$P$20))-SUM($P542:AH542)</f>
        <v>#VALUE!</v>
      </c>
      <c r="AJ542" s="446" t="e">
        <f>IF(OR($B542="",MIN(AJ$38,$D$19)&lt;MAX($P$34*($B542+IF($R$17="Distrato",$I$38-1,0)),IF(AND($L$37=0,$P$34=0),"",$L$37-1),IF($R$17="Distrato",$E542,0))),0,YEARFRAC(MAX($P$34*($B542+IF($R$17="Distrato",$I$38-1,0)),IF(AND($L$37=0,$P$34=0),"",$L$37-1),IF($R$17="Distrato",$E542,0)),MIN(AJ$38,$D$19),$P$20))-SUM($P542:AI542)</f>
        <v>#VALUE!</v>
      </c>
      <c r="AK542" s="446" t="e">
        <f>IF(OR($B542="",MIN(AK$38,$D$19)&lt;MAX($P$34*($B542+IF($R$17="Distrato",$I$38-1,0)),IF(AND($L$37=0,$P$34=0),"",$L$37-1),IF($R$17="Distrato",$E542,0))),0,YEARFRAC(MAX($P$34*($B542+IF($R$17="Distrato",$I$38-1,0)),IF(AND($L$37=0,$P$34=0),"",$L$37-1),IF($R$17="Distrato",$E542,0)),MIN(AK$38,$D$19),$P$20))-SUM($P542:AJ542)</f>
        <v>#VALUE!</v>
      </c>
      <c r="AL542" s="446" t="e">
        <f>IF(OR($B542="",MIN(AL$38,$D$19)&lt;MAX($P$34*($B542+IF($R$17="Distrato",$I$38-1,0)),IF(AND($L$37=0,$P$34=0),"",$L$37-1),IF($R$17="Distrato",$E542,0))),0,YEARFRAC(MAX($P$34*($B542+IF($R$17="Distrato",$I$38-1,0)),IF(AND($L$37=0,$P$34=0),"",$L$37-1),IF($R$17="Distrato",$E542,0)),MIN(AL$38,$D$19),$P$20))-SUM($P542:AK542)</f>
        <v>#VALUE!</v>
      </c>
      <c r="AM542" s="446" t="e">
        <f>IF(OR($B542="",MIN(AM$38,$D$19)&lt;MAX($P$34*($B542+IF($R$17="Distrato",$I$38-1,0)),IF(AND($L$37=0,$P$34=0),"",$L$37-1),IF($R$17="Distrato",$E542,0))),0,YEARFRAC(MAX($P$34*($B542+IF($R$17="Distrato",$I$38-1,0)),IF(AND($L$37=0,$P$34=0),"",$L$37-1),IF($R$17="Distrato",$E542,0)),MIN(AM$38,$D$19),$P$20))-SUM($P542:AL542)</f>
        <v>#VALUE!</v>
      </c>
      <c r="AN542" s="446" t="e">
        <f>IF(OR($B542="",MIN(AN$38,$D$19)&lt;MAX($P$34*($B542+IF($R$17="Distrato",$I$38-1,0)),IF(AND($L$37=0,$P$34=0),"",$L$37-1),IF($R$17="Distrato",$E542,0))),0,YEARFRAC(MAX($P$34*($B542+IF($R$17="Distrato",$I$38-1,0)),IF(AND($L$37=0,$P$34=0),"",$L$37-1),IF($R$17="Distrato",$E542,0)),MIN(AN$38,$D$19),$P$20))-SUM($P542:AM542)</f>
        <v>#VALUE!</v>
      </c>
      <c r="AO542" s="446" t="e">
        <f>IF(OR($B542="",MIN(AO$38,$D$19)&lt;MAX($P$34*($B542+IF($R$17="Distrato",$I$38-1,0)),IF(AND($L$37=0,$P$34=0),"",$L$37-1),IF($R$17="Distrato",$E542,0))),0,YEARFRAC(MAX($P$34*($B542+IF($R$17="Distrato",$I$38-1,0)),IF(AND($L$37=0,$P$34=0),"",$L$37-1),IF($R$17="Distrato",$E542,0)),MIN(AO$38,$D$19),$P$20))-SUM($P542:AN542)</f>
        <v>#VALUE!</v>
      </c>
      <c r="AP542" s="446" t="e">
        <f>IF(OR($B542="",MIN(AP$38,$D$19)&lt;MAX($P$34*($B542+IF($R$17="Distrato",$I$38-1,0)),IF(AND($L$37=0,$P$34=0),"",$L$37-1),IF($R$17="Distrato",$E542,0))),0,YEARFRAC(MAX($P$34*($B542+IF($R$17="Distrato",$I$38-1,0)),IF(AND($L$37=0,$P$34=0),"",$L$37-1),IF($R$17="Distrato",$E542,0)),MIN(AP$38,$D$19),$P$20))-SUM($P542:AO542)</f>
        <v>#VALUE!</v>
      </c>
      <c r="AQ542" s="446" t="e">
        <f>IF(OR($B542="",MIN(AQ$38,$D$19)&lt;MAX($P$34*($B542+IF($R$17="Distrato",$I$38-1,0)),IF(AND($L$37=0,$P$34=0),"",$L$37-1),IF($R$17="Distrato",$E542,0))),0,YEARFRAC(MAX($P$34*($B542+IF($R$17="Distrato",$I$38-1,0)),IF(AND($L$37=0,$P$34=0),"",$L$37-1),IF($R$17="Distrato",$E542,0)),MIN(AQ$38,$D$19),$P$20))-SUM($P542:AP542)</f>
        <v>#VALUE!</v>
      </c>
      <c r="AR542" s="446" t="e">
        <f>IF(OR($B542="",MIN(AR$38,$D$19)&lt;MAX($P$34*($B542+IF($R$17="Distrato",$I$38-1,0)),IF(AND($L$37=0,$P$34=0),"",$L$37-1),IF($R$17="Distrato",$E542,0))),0,YEARFRAC(MAX($P$34*($B542+IF($R$17="Distrato",$I$38-1,0)),IF(AND($L$37=0,$P$34=0),"",$L$37-1),IF($R$17="Distrato",$E542,0)),MIN(AR$38,$D$19),$P$20))-SUM($P542:AQ542)</f>
        <v>#VALUE!</v>
      </c>
      <c r="AS542" s="446" t="e">
        <f>IF(OR($B542="",MIN(AS$38,$D$19)&lt;MAX($P$34*($B542+IF($R$17="Distrato",$I$38-1,0)),IF(AND($L$37=0,$P$34=0),"",$L$37-1),IF($R$17="Distrato",$E542,0))),0,YEARFRAC(MAX($P$34*($B542+IF($R$17="Distrato",$I$38-1,0)),IF(AND($L$37=0,$P$34=0),"",$L$37-1),IF($R$17="Distrato",$E542,0)),MIN(AS$38,$D$19),$P$20))-SUM($P542:AR542)</f>
        <v>#VALUE!</v>
      </c>
      <c r="AT542" s="446" t="e">
        <f>IF(OR($B542="",MIN(AT$38,$D$19)&lt;MAX($P$34*($B542+IF($R$17="Distrato",$I$38-1,0)),IF(AND($L$37=0,$P$34=0),"",$L$37-1),IF($R$17="Distrato",$E542,0))),0,YEARFRAC(MAX($P$34*($B542+IF($R$17="Distrato",$I$38-1,0)),IF(AND($L$37=0,$P$34=0),"",$L$37-1),IF($R$17="Distrato",$E542,0)),MIN(AT$38,$D$19),$P$20))-SUM($P542:AS542)</f>
        <v>#VALUE!</v>
      </c>
      <c r="AU542" s="446" t="e">
        <f>IF(OR($B542="",MIN(AU$38,$D$19)&lt;MAX($P$34*($B542+IF($R$17="Distrato",$I$38-1,0)),IF(AND($L$37=0,$P$34=0),"",$L$37-1),IF($R$17="Distrato",$E542,0))),0,YEARFRAC(MAX($P$34*($B542+IF($R$17="Distrato",$I$38-1,0)),IF(AND($L$37=0,$P$34=0),"",$L$37-1),IF($R$17="Distrato",$E542,0)),MIN(AU$38,$D$19),$P$20))-SUM($P542:AT542)</f>
        <v>#VALUE!</v>
      </c>
      <c r="AV542" s="446" t="e">
        <f>IF(OR($B542="",MIN(AV$38,$D$19)&lt;MAX($P$34*($B542+IF($R$17="Distrato",$I$38-1,0)),IF(AND($L$37=0,$P$34=0),"",$L$37-1),IF($R$17="Distrato",$E542,0))),0,YEARFRAC(MAX($P$34*($B542+IF($R$17="Distrato",$I$38-1,0)),IF(AND($L$37=0,$P$34=0),"",$L$37-1),IF($R$17="Distrato",$E542,0)),MIN(AV$38,$D$19),$P$20))-SUM($P542:AU542)</f>
        <v>#VALUE!</v>
      </c>
      <c r="AW542" s="446" t="e">
        <f>IF(OR($B542="",MIN(AW$38,$D$19)&lt;MAX($P$34*($B542+IF($R$17="Distrato",$I$38-1,0)),IF(AND($L$37=0,$P$34=0),"",$L$37-1),IF($R$17="Distrato",$E542,0))),0,YEARFRAC(MAX($P$34*($B542+IF($R$17="Distrato",$I$38-1,0)),IF(AND($L$37=0,$P$34=0),"",$L$37-1),IF($R$17="Distrato",$E542,0)),MIN(AW$38,$D$19),$P$20))-SUM($P542:AV542)</f>
        <v>#VALUE!</v>
      </c>
      <c r="AX542" s="446" t="e">
        <f>IF(OR($B542="",MIN(AX$38,$D$19)&lt;MAX($P$34*($B542+IF($R$17="Distrato",$I$38-1,0)),IF(AND($L$37=0,$P$34=0),"",$L$37-1),IF($R$17="Distrato",$E542,0))),0,YEARFRAC(MAX($P$34*($B542+IF($R$17="Distrato",$I$38-1,0)),IF(AND($L$37=0,$P$34=0),"",$L$37-1),IF($R$17="Distrato",$E542,0)),MIN(AX$38,$D$19),$P$20))-SUM($P542:AW542)</f>
        <v>#VALUE!</v>
      </c>
      <c r="AY542" s="446" t="e">
        <f>IF(OR($B542="",MIN(AY$38,$D$19)&lt;MAX($P$34*($B542+IF($R$17="Distrato",$I$38-1,0)),IF(AND($L$37=0,$P$34=0),"",$L$37-1),IF($R$17="Distrato",$E542,0))),0,YEARFRAC(MAX($P$34*($B542+IF($R$17="Distrato",$I$38-1,0)),IF(AND($L$37=0,$P$34=0),"",$L$37-1),IF($R$17="Distrato",$E542,0)),MIN(AY$38,$D$19),$P$20))-SUM($P542:AX542)</f>
        <v>#VALUE!</v>
      </c>
      <c r="AZ542" s="446" t="e">
        <f>IF(OR($B542="",MIN(AZ$38,$D$19)&lt;MAX($P$34*($B542+IF($R$17="Distrato",$I$38-1,0)),IF(AND($L$37=0,$P$34=0),"",$L$37-1),IF($R$17="Distrato",$E542,0))),0,YEARFRAC(MAX($P$34*($B542+IF($R$17="Distrato",$I$38-1,0)),IF(AND($L$37=0,$P$34=0),"",$L$37-1),IF($R$17="Distrato",$E542,0)),MIN(AZ$38,$D$19),$P$20))-SUM($P542:AY542)</f>
        <v>#VALUE!</v>
      </c>
      <c r="BA542" s="446" t="e">
        <f>IF(OR($B542="",MIN(BA$38,$D$19)&lt;MAX($P$34*($B542+IF($R$17="Distrato",$I$38-1,0)),IF(AND($L$37=0,$P$34=0),"",$L$37-1),IF($R$17="Distrato",$E542,0))),0,YEARFRAC(MAX($P$34*($B542+IF($R$17="Distrato",$I$38-1,0)),IF(AND($L$37=0,$P$34=0),"",$L$37-1),IF($R$17="Distrato",$E542,0)),MIN(BA$38,$D$19),$P$20))-SUM($P542:AZ542)</f>
        <v>#VALUE!</v>
      </c>
      <c r="BB542" s="447"/>
      <c r="BF542" s="446">
        <f t="shared" si="87"/>
        <v>0</v>
      </c>
      <c r="BG542" s="446">
        <f>IF($E542=0,0,IF(MIN(BG$38,$E542)&lt;MAX($P$34*($B542+$I$38-1),IF(AND($L$37=0,$P$34=0),"",$L$37-1)),0,YEARFRAC(MAX($P$34*($B542+$I$38-1),IF(AND($L$37=0,$P$34=0),"",$L$37-1)),MIN(BG$38,$E542),$P$20))-SUM($BF542:BF542))</f>
        <v>0</v>
      </c>
      <c r="BH542" s="446">
        <f>IF($E542=0,0,IF(MIN(BH$38,$E542)&lt;MAX($P$34*($B542+$I$38-1),IF(AND($L$37=0,$P$34=0),"",$L$37-1)),0,YEARFRAC(MAX($P$34*($B542+$I$38-1),IF(AND($L$37=0,$P$34=0),"",$L$37-1)),MIN(BH$38,$E542),$P$20))-SUM($BF542:BG542))</f>
        <v>0</v>
      </c>
      <c r="BI542" s="446">
        <f>IF($E542=0,0,IF(MIN(BI$38,$E542)&lt;MAX($P$34*($B542+$I$38-1),IF(AND($L$37=0,$P$34=0),"",$L$37-1)),0,YEARFRAC(MAX($P$34*($B542+$I$38-1),IF(AND($L$37=0,$P$34=0),"",$L$37-1)),MIN(BI$38,$E542),$P$20))-SUM($BF542:BH542))</f>
        <v>0</v>
      </c>
      <c r="BJ542" s="446">
        <f>IF($E542=0,0,IF(MIN(BJ$38,$E542)&lt;MAX($P$34*($B542+$I$38-1),IF(AND($L$37=0,$P$34=0),"",$L$37-1)),0,YEARFRAC(MAX($P$34*($B542+$I$38-1),IF(AND($L$37=0,$P$34=0),"",$L$37-1)),MIN(BJ$38,$E542),$P$20))-SUM($BF542:BI542))</f>
        <v>0</v>
      </c>
      <c r="BK542" s="446">
        <f>IF($E542=0,0,IF(MIN(BK$38,$E542)&lt;MAX($P$34*($B542+$I$38-1),IF(AND($L$37=0,$P$34=0),"",$L$37-1)),0,YEARFRAC(MAX($P$34*($B542+$I$38-1),IF(AND($L$37=0,$P$34=0),"",$L$37-1)),MIN(BK$38,$E542),$P$20))-SUM($BF542:BJ542))</f>
        <v>0</v>
      </c>
      <c r="BL542" s="446">
        <f>IF($E542=0,0,IF(MIN(BL$38,$E542)&lt;MAX($P$34*($B542+$I$38-1),IF(AND($L$37=0,$P$34=0),"",$L$37-1)),0,YEARFRAC(MAX($P$34*($B542+$I$38-1),IF(AND($L$37=0,$P$34=0),"",$L$37-1)),MIN(BL$38,$E542),$P$20))-SUM($BF542:BK542))</f>
        <v>0</v>
      </c>
      <c r="BM542" s="446">
        <f>IF($E542=0,0,IF(MIN(BM$38,$E542)&lt;MAX($P$34*($B542+$I$38-1),IF(AND($L$37=0,$P$34=0),"",$L$37-1)),0,YEARFRAC(MAX($P$34*($B542+$I$38-1),IF(AND($L$37=0,$P$34=0),"",$L$37-1)),MIN(BM$38,$E542),$P$20))-SUM($BF542:BL542))</f>
        <v>0</v>
      </c>
      <c r="BN542" s="446">
        <f>IF($E542=0,0,IF(MIN(BN$38,$E542)&lt;MAX($P$34*($B542+$I$38-1),IF(AND($L$37=0,$P$34=0),"",$L$37-1)),0,YEARFRAC(MAX($P$34*($B542+$I$38-1),IF(AND($L$37=0,$P$34=0),"",$L$37-1)),MIN(BN$38,$E542),$P$20))-SUM($BF542:BM542))</f>
        <v>0</v>
      </c>
      <c r="BO542" s="446">
        <f>IF($E542=0,0,IF(MIN(BO$38,$E542)&lt;MAX($P$34*($B542+$I$38-1),IF(AND($L$37=0,$P$34=0),"",$L$37-1)),0,YEARFRAC(MAX($P$34*($B542+$I$38-1),IF(AND($L$37=0,$P$34=0),"",$L$37-1)),MIN(BO$38,$E542),$P$20))-SUM($BF542:BN542))</f>
        <v>0</v>
      </c>
      <c r="BP542" s="446">
        <f>IF($E542=0,0,IF(MIN(BP$38,$E542)&lt;MAX($P$34*($B542+$I$38-1),IF(AND($L$37=0,$P$34=0),"",$L$37-1)),0,YEARFRAC(MAX($P$34*($B542+$I$38-1),IF(AND($L$37=0,$P$34=0),"",$L$37-1)),MIN(BP$38,$E542),$P$20))-SUM($BF542:BO542))</f>
        <v>0</v>
      </c>
      <c r="BQ542" s="446">
        <f>IF($E542=0,0,IF(MIN(BQ$38,$E542)&lt;MAX($P$34*($B542+$I$38-1),IF(AND($L$37=0,$P$34=0),"",$L$37-1)),0,YEARFRAC(MAX($P$34*($B542+$I$38-1),IF(AND($L$37=0,$P$34=0),"",$L$37-1)),MIN(BQ$38,$E542),$P$20))-SUM($BF542:BP542))</f>
        <v>0</v>
      </c>
      <c r="BR542" s="446">
        <f>IF($E542=0,0,IF(MIN(BR$38,$E542)&lt;MAX($P$34*($B542+$I$38-1),IF(AND($L$37=0,$P$34=0),"",$L$37-1)),0,YEARFRAC(MAX($P$34*($B542+$I$38-1),IF(AND($L$37=0,$P$34=0),"",$L$37-1)),MIN(BR$38,$E542),$P$20))-SUM($BF542:BQ542))</f>
        <v>0</v>
      </c>
      <c r="BS542" s="446">
        <f>IF($E542=0,0,IF(MIN(BS$38,$E542)&lt;MAX($P$34*($B542+$I$38-1),IF(AND($L$37=0,$P$34=0),"",$L$37-1)),0,YEARFRAC(MAX($P$34*($B542+$I$38-1),IF(AND($L$37=0,$P$34=0),"",$L$37-1)),MIN(BS$38,$E542),$P$20))-SUM($BF542:BR542))</f>
        <v>0</v>
      </c>
      <c r="BT542" s="446">
        <f>IF($E542=0,0,IF(MIN(BT$38,$E542)&lt;MAX($P$34*($B542+$I$38-1),IF(AND($L$37=0,$P$34=0),"",$L$37-1)),0,YEARFRAC(MAX($P$34*($B542+$I$38-1),IF(AND($L$37=0,$P$34=0),"",$L$37-1)),MIN(BT$38,$E542),$P$20))-SUM($BF542:BS542))</f>
        <v>0</v>
      </c>
      <c r="BU542" s="446">
        <f>IF($E542=0,0,IF(MIN(BU$38,$E542)&lt;MAX($P$34*($B542+$I$38-1),IF(AND($L$37=0,$P$34=0),"",$L$37-1)),0,YEARFRAC(MAX($P$34*($B542+$I$38-1),IF(AND($L$37=0,$P$34=0),"",$L$37-1)),MIN(BU$38,$E542),$P$20))-SUM($BF542:BT542))</f>
        <v>0</v>
      </c>
      <c r="BV542" s="446">
        <f>IF($E542=0,0,IF(MIN(BV$38,$E542)&lt;MAX($P$34*($B542+$I$38-1),IF(AND($L$37=0,$P$34=0),"",$L$37-1)),0,YEARFRAC(MAX($P$34*($B542+$I$38-1),IF(AND($L$37=0,$P$34=0),"",$L$37-1)),MIN(BV$38,$E542),$P$20))-SUM($BF542:BU542))</f>
        <v>0</v>
      </c>
      <c r="BW542" s="446">
        <f>IF($E542=0,0,IF(MIN(BW$38,$E542)&lt;MAX($P$34*($B542+$I$38-1),IF(AND($L$37=0,$P$34=0),"",$L$37-1)),0,YEARFRAC(MAX($P$34*($B542+$I$38-1),IF(AND($L$37=0,$P$34=0),"",$L$37-1)),MIN(BW$38,$E542),$P$20))-SUM($BF542:BV542))</f>
        <v>0</v>
      </c>
      <c r="BX542" s="446">
        <f>IF($E542=0,0,IF(MIN(BX$38,$E542)&lt;MAX($P$34*($B542+$I$38-1),IF(AND($L$37=0,$P$34=0),"",$L$37-1)),0,YEARFRAC(MAX($P$34*($B542+$I$38-1),IF(AND($L$37=0,$P$34=0),"",$L$37-1)),MIN(BX$38,$E542),$P$20))-SUM($BF542:BW542))</f>
        <v>0</v>
      </c>
      <c r="BY542" s="446">
        <f>IF($E542=0,0,IF(MIN(BY$38,$E542)&lt;MAX($P$34*($B542+$I$38-1),IF(AND($L$37=0,$P$34=0),"",$L$37-1)),0,YEARFRAC(MAX($P$34*($B542+$I$38-1),IF(AND($L$37=0,$P$34=0),"",$L$37-1)),MIN(BY$38,$E542),$P$20))-SUM($BF542:BX542))</f>
        <v>0</v>
      </c>
      <c r="BZ542" s="446">
        <f>IF($E542=0,0,IF(MIN(BZ$38,$E542)&lt;MAX($P$34*($B542+$I$38-1),IF(AND($L$37=0,$P$34=0),"",$L$37-1)),0,YEARFRAC(MAX($P$34*($B542+$I$38-1),IF(AND($L$37=0,$P$34=0),"",$L$37-1)),MIN(BZ$38,$E542),$P$20))-SUM($BF542:BY542))</f>
        <v>0</v>
      </c>
      <c r="CA542" s="446">
        <f>IF($E542=0,0,IF(MIN(CA$38,$E542)&lt;MAX($P$34*($B542+$I$38-1),IF(AND($L$37=0,$P$34=0),"",$L$37-1)),0,YEARFRAC(MAX($P$34*($B542+$I$38-1),IF(AND($L$37=0,$P$34=0),"",$L$37-1)),MIN(CA$38,$E542),$P$20))-SUM($BF542:BZ542))</f>
        <v>0</v>
      </c>
      <c r="CB542" s="446">
        <f>IF($E542=0,0,IF(MIN(CB$38,$E542)&lt;MAX($P$34*($B542+$I$38-1),IF(AND($L$37=0,$P$34=0),"",$L$37-1)),0,YEARFRAC(MAX($P$34*($B542+$I$38-1),IF(AND($L$37=0,$P$34=0),"",$L$37-1)),MIN(CB$38,$E542),$P$20))-SUM($BF542:CA542))</f>
        <v>0</v>
      </c>
      <c r="CC542" s="446">
        <f>IF($E542=0,0,IF(MIN(CC$38,$E542)&lt;MAX($P$34*($B542+$I$38-1),IF(AND($L$37=0,$P$34=0),"",$L$37-1)),0,YEARFRAC(MAX($P$34*($B542+$I$38-1),IF(AND($L$37=0,$P$34=0),"",$L$37-1)),MIN(CC$38,$E542),$P$20))-SUM($BF542:CB542))</f>
        <v>0</v>
      </c>
      <c r="CD542" s="446">
        <f>IF($E542=0,0,IF(MIN(CD$38,$E542)&lt;MAX($P$34*($B542+$I$38-1),IF(AND($L$37=0,$P$34=0),"",$L$37-1)),0,YEARFRAC(MAX($P$34*($B542+$I$38-1),IF(AND($L$37=0,$P$34=0),"",$L$37-1)),MIN(CD$38,$E542),$P$20))-SUM($BF542:CC542))</f>
        <v>0</v>
      </c>
      <c r="CE542" s="446">
        <f>IF($E542=0,0,IF(MIN(CE$38,$E542)&lt;MAX($P$34*($B542+$I$38-1),IF(AND($L$37=0,$P$34=0),"",$L$37-1)),0,YEARFRAC(MAX($P$34*($B542+$I$38-1),IF(AND($L$37=0,$P$34=0),"",$L$37-1)),MIN(CE$38,$E542),$P$20))-SUM($BF542:CD542))</f>
        <v>0</v>
      </c>
      <c r="CF542" s="446">
        <f>IF($E542=0,0,IF(MIN(CF$38,$E542)&lt;MAX($P$34*($B542+$I$38-1),IF(AND($L$37=0,$P$34=0),"",$L$37-1)),0,YEARFRAC(MAX($P$34*($B542+$I$38-1),IF(AND($L$37=0,$P$34=0),"",$L$37-1)),MIN(CF$38,$E542),$P$20))-SUM($BF542:CE542))</f>
        <v>0</v>
      </c>
      <c r="CG542" s="446">
        <f>IF($E542=0,0,IF(MIN(CG$38,$E542)&lt;MAX($P$34*($B542+$I$38-1),IF(AND($L$37=0,$P$34=0),"",$L$37-1)),0,YEARFRAC(MAX($P$34*($B542+$I$38-1),IF(AND($L$37=0,$P$34=0),"",$L$37-1)),MIN(CG$38,$E542),$P$20))-SUM($BF542:CF542))</f>
        <v>0</v>
      </c>
      <c r="CH542" s="446">
        <f>IF($E542=0,0,IF(MIN(CH$38,$E542)&lt;MAX($P$34*($B542+$I$38-1),IF(AND($L$37=0,$P$34=0),"",$L$37-1)),0,YEARFRAC(MAX($P$34*($B542+$I$38-1),IF(AND($L$37=0,$P$34=0),"",$L$37-1)),MIN(CH$38,$E542),$P$20))-SUM($BF542:CG542))</f>
        <v>0</v>
      </c>
      <c r="CI542" s="446">
        <f>IF($E542=0,0,IF(MIN(CI$38,$E542)&lt;MAX($P$34*($B542+$I$38-1),IF(AND($L$37=0,$P$34=0),"",$L$37-1)),0,YEARFRAC(MAX($P$34*($B542+$I$38-1),IF(AND($L$37=0,$P$34=0),"",$L$37-1)),MIN(CI$38,$E542),$P$20))-SUM($BF542:CH542))</f>
        <v>0</v>
      </c>
      <c r="CJ542" s="446">
        <f>IF($E542=0,0,IF(MIN(CJ$38,$E542)&lt;MAX($P$34*($B542+$I$38-1),IF(AND($L$37=0,$P$34=0),"",$L$37-1)),0,YEARFRAC(MAX($P$34*($B542+$I$38-1),IF(AND($L$37=0,$P$34=0),"",$L$37-1)),MIN(CJ$38,$E542),$P$20))-SUM($BF542:CI542))</f>
        <v>0</v>
      </c>
      <c r="CK542" s="446">
        <f>IF($E542=0,0,IF(MIN(CK$38,$E542)&lt;MAX($P$34*($B542+$I$38-1),IF(AND($L$37=0,$P$34=0),"",$L$37-1)),0,YEARFRAC(MAX($P$34*($B542+$I$38-1),IF(AND($L$37=0,$P$34=0),"",$L$37-1)),MIN(CK$38,$E542),$P$20))-SUM($BF542:CJ542))</f>
        <v>0</v>
      </c>
      <c r="CL542" s="446">
        <f>IF($E542=0,0,IF(MIN(CL$38,$E542)&lt;MAX($P$34*($B542+$I$38-1),IF(AND($L$37=0,$P$34=0),"",$L$37-1)),0,YEARFRAC(MAX($P$34*($B542+$I$38-1),IF(AND($L$37=0,$P$34=0),"",$L$37-1)),MIN(CL$38,$E542),$P$20))-SUM($BF542:CK542))</f>
        <v>0</v>
      </c>
      <c r="CM542" s="446">
        <f>IF($E542=0,0,IF(MIN(CM$38,$E542)&lt;MAX($P$34*($B542+$I$38-1),IF(AND($L$37=0,$P$34=0),"",$L$37-1)),0,YEARFRAC(MAX($P$34*($B542+$I$38-1),IF(AND($L$37=0,$P$34=0),"",$L$37-1)),MIN(CM$38,$E542),$P$20))-SUM($BF542:CL542))</f>
        <v>0</v>
      </c>
      <c r="CN542" s="446">
        <f>IF($E542=0,0,IF(MIN(CN$38,$E542)&lt;MAX($P$34*($B542+$I$38-1),IF(AND($L$37=0,$P$34=0),"",$L$37-1)),0,YEARFRAC(MAX($P$34*($B542+$I$38-1),IF(AND($L$37=0,$P$34=0),"",$L$37-1)),MIN(CN$38,$E542),$P$20))-SUM($BF542:CM542))</f>
        <v>0</v>
      </c>
      <c r="CO542" s="446">
        <f>IF($E542=0,0,IF(MIN(CO$38,$E542)&lt;MAX($P$34*($B542+$I$38-1),IF(AND($L$37=0,$P$34=0),"",$L$37-1)),0,YEARFRAC(MAX($P$34*($B542+$I$38-1),IF(AND($L$37=0,$P$34=0),"",$L$37-1)),MIN(CO$38,$E542),$P$20))-SUM($BF542:CN542))</f>
        <v>0</v>
      </c>
      <c r="CP542" s="446">
        <f>IF($E542=0,0,IF(MIN(CP$38,$E542)&lt;MAX($P$34*($B542+$I$38-1),IF(AND($L$37=0,$P$34=0),"",$L$37-1)),0,YEARFRAC(MAX($P$34*($B542+$I$38-1),IF(AND($L$37=0,$P$34=0),"",$L$37-1)),MIN(CP$38,$E542),$P$20))-SUM($BF542:CO542))</f>
        <v>0</v>
      </c>
      <c r="CQ542" s="446">
        <f>IF($E542=0,0,IF(MIN(CQ$38,$E542)&lt;MAX($P$34*($B542+$I$38-1),IF(AND($L$37=0,$P$34=0),"",$L$37-1)),0,YEARFRAC(MAX($P$34*($B542+$I$38-1),IF(AND($L$37=0,$P$34=0),"",$L$37-1)),MIN(CQ$38,$E542),$P$20))-SUM($BF542:CP542))</f>
        <v>0</v>
      </c>
    </row>
    <row r="543" spans="1:95" s="446" customFormat="1" ht="11.25" hidden="1" customHeight="1" x14ac:dyDescent="0.2">
      <c r="A543" s="152"/>
      <c r="B543" s="153" t="str">
        <f t="shared" si="92"/>
        <v/>
      </c>
      <c r="C543" s="29" t="str">
        <f>IF(B543="","",IF($L$35="SELIC - TRIBUTOS",VLOOKUP(DATE(YEAR($D$19),MONTH($D$19)-1,1),ÍNDICES!$A:$DE,HLOOKUP($BL$25,ÍNDICES!$B$3:$T$4,2)+11)-VLOOKUP(B543,ÍNDICES!$A:$DE,HLOOKUP($BL$25,ÍNDICES!$B$3:$T$4,2)+11)+1%,IF(C$38=$W$26,$J$35,IF(ISERROR(IF(B543&gt;$D$19,1,VLOOKUP(DATE(YEAR(B543),MONTH(B543)+IF($C$35=$S$23,1,0),1),ÍNDICES!$A:$DE,$Z$35+1))),"",IF(B543&gt;$D$19,1,VLOOKUP(DATE(YEAR(B543),MONTH(B543)+IF($C$35=$S$23,1,0),1),ÍNDICES!$A:$DE,$Z$35+1))))))</f>
        <v/>
      </c>
      <c r="D543" s="154" t="str">
        <f>IF(ISERROR(IF(OR($D$38=$Y$27,$B543=""),"",VLOOKUP(B543,ÍNDICES!A:DE,AF$35+1))),"",IF(OR($D$38=$Y$27,$B543=""),"",VLOOKUP(B543,ÍNDICES!A:DE,AF$35+1)))</f>
        <v/>
      </c>
      <c r="E543" s="153"/>
      <c r="F543" s="29" t="str">
        <f>IF(E543="","",IF($L$35="SELIC - TRIBUTOS",VLOOKUP(DATE(YEAR($D$19),MONTH($D$19)-1,1),ÍNDICES!$A:$DE,HLOOKUP($BL$25,ÍNDICES!$B$3:$T$4,2)+11)-VLOOKUP(E543,ÍNDICES!$A:$DE,HLOOKUP($BL$25,ÍNDICES!$B$3:$T$4,2)+11)+1%,IF(F$38=$W$26,$J$35,IF(ISERROR(IF(E543&gt;$D$19,1,VLOOKUP(DATE(YEAR(E543),MONTH(E543)+IF($C$35=$S$23,1,0),1),ÍNDICES!$A:$DE,$Z$35+1))),"",IF(E543&gt;$D$19,1,VLOOKUP(DATE(YEAR(E543),MONTH(E543)+IF($C$35=$S$23,1,0),1),ÍNDICES!$A:$DE,$Z$35+1))))))</f>
        <v/>
      </c>
      <c r="G543" s="155"/>
      <c r="H543" s="156" t="str">
        <f t="shared" si="88"/>
        <v/>
      </c>
      <c r="I543" s="29" t="str">
        <f t="shared" si="82"/>
        <v/>
      </c>
      <c r="J543" s="5">
        <f t="shared" si="83"/>
        <v>0</v>
      </c>
      <c r="K543" s="20">
        <f t="shared" ca="1" si="84"/>
        <v>0</v>
      </c>
      <c r="L543" s="5">
        <f t="shared" ca="1" si="85"/>
        <v>0</v>
      </c>
      <c r="M543" s="64">
        <f t="shared" si="89"/>
        <v>0</v>
      </c>
      <c r="N543" s="61">
        <f t="shared" ca="1" si="90"/>
        <v>0</v>
      </c>
      <c r="O543" s="5">
        <f t="shared" ca="1" si="91"/>
        <v>0</v>
      </c>
      <c r="P543" s="446" t="e">
        <f t="shared" si="86"/>
        <v>#VALUE!</v>
      </c>
      <c r="Q543" s="446" t="e">
        <f>IF(OR($B543="",MIN(Q$38,$D$19)&lt;MAX($P$34*($B543+IF($R$17="Distrato",$I$38-1,0)),IF(AND($L$37=0,$P$34=0),"",$L$37-1),IF($R$17="Distrato",$E543,0))),0,YEARFRAC(MAX($P$34*($B543+IF($R$17="Distrato",$I$38-1,0)),IF(AND($L$37=0,$P$34=0),"",$L$37-1),IF($R$17="Distrato",$E543,0)),MIN(Q$38,$D$19),$P$20))-SUM($P543:P543)</f>
        <v>#VALUE!</v>
      </c>
      <c r="R543" s="446" t="e">
        <f>IF(OR($B543="",MIN(R$38,$D$19)&lt;MAX($P$34*($B543+IF($R$17="Distrato",$I$38-1,0)),IF(AND($L$37=0,$P$34=0),"",$L$37-1),IF($R$17="Distrato",$E543,0))),0,YEARFRAC(MAX($P$34*($B543+IF($R$17="Distrato",$I$38-1,0)),IF(AND($L$37=0,$P$34=0),"",$L$37-1),IF($R$17="Distrato",$E543,0)),MIN(R$38,$D$19),$P$20))-SUM($P543:Q543)</f>
        <v>#VALUE!</v>
      </c>
      <c r="S543" s="446" t="e">
        <f>IF(OR($B543="",MIN(S$38,$D$19)&lt;MAX($P$34*($B543+IF($R$17="Distrato",$I$38-1,0)),IF(AND($L$37=0,$P$34=0),"",$L$37-1),IF($R$17="Distrato",$E543,0))),0,YEARFRAC(MAX($P$34*($B543+IF($R$17="Distrato",$I$38-1,0)),IF(AND($L$37=0,$P$34=0),"",$L$37-1),IF($R$17="Distrato",$E543,0)),MIN(S$38,$D$19),$P$20))-SUM($P543:R543)</f>
        <v>#VALUE!</v>
      </c>
      <c r="T543" s="446" t="e">
        <f>IF(OR($B543="",MIN(T$38,$D$19)&lt;MAX($P$34*($B543+IF($R$17="Distrato",$I$38-1,0)),IF(AND($L$37=0,$P$34=0),"",$L$37-1),IF($R$17="Distrato",$E543,0))),0,YEARFRAC(MAX($P$34*($B543+IF($R$17="Distrato",$I$38-1,0)),IF(AND($L$37=0,$P$34=0),"",$L$37-1),IF($R$17="Distrato",$E543,0)),MIN(T$38,$D$19),$P$20))-SUM($P543:S543)</f>
        <v>#VALUE!</v>
      </c>
      <c r="U543" s="446" t="e">
        <f>IF(OR($B543="",MIN(U$38,$D$19)&lt;MAX($P$34*($B543+IF($R$17="Distrato",$I$38-1,0)),IF(AND($L$37=0,$P$34=0),"",$L$37-1),IF($R$17="Distrato",$E543,0))),0,YEARFRAC(MAX($P$34*($B543+IF($R$17="Distrato",$I$38-1,0)),IF(AND($L$37=0,$P$34=0),"",$L$37-1),IF($R$17="Distrato",$E543,0)),MIN(U$38,$D$19),$P$20))-SUM($P543:T543)</f>
        <v>#VALUE!</v>
      </c>
      <c r="V543" s="446" t="e">
        <f>IF(OR($B543="",MIN(V$38,$D$19)&lt;MAX($P$34*($B543+IF($R$17="Distrato",$I$38-1,0)),IF(AND($L$37=0,$P$34=0),"",$L$37-1),IF($R$17="Distrato",$E543,0))),0,YEARFRAC(MAX($P$34*($B543+IF($R$17="Distrato",$I$38-1,0)),IF(AND($L$37=0,$P$34=0),"",$L$37-1),IF($R$17="Distrato",$E543,0)),MIN(V$38,$D$19),$P$20))-SUM($P543:U543)</f>
        <v>#VALUE!</v>
      </c>
      <c r="W543" s="446" t="e">
        <f>IF(OR($B543="",MIN(W$38,$D$19)&lt;MAX($P$34*($B543+IF($R$17="Distrato",$I$38-1,0)),IF(AND($L$37=0,$P$34=0),"",$L$37-1),IF($R$17="Distrato",$E543,0))),0,YEARFRAC(MAX($P$34*($B543+IF($R$17="Distrato",$I$38-1,0)),IF(AND($L$37=0,$P$34=0),"",$L$37-1),IF($R$17="Distrato",$E543,0)),MIN(W$38,$D$19),$P$20))-SUM($P543:V543)</f>
        <v>#VALUE!</v>
      </c>
      <c r="X543" s="446" t="e">
        <f>IF(OR($B543="",MIN(X$38,$D$19)&lt;MAX($P$34*($B543+IF($R$17="Distrato",$I$38-1,0)),IF(AND($L$37=0,$P$34=0),"",$L$37-1),IF($R$17="Distrato",$E543,0))),0,YEARFRAC(MAX($P$34*($B543+IF($R$17="Distrato",$I$38-1,0)),IF(AND($L$37=0,$P$34=0),"",$L$37-1),IF($R$17="Distrato",$E543,0)),MIN(X$38,$D$19),$P$20))-SUM($P543:W543)</f>
        <v>#VALUE!</v>
      </c>
      <c r="Y543" s="446" t="e">
        <f>IF(OR($B543="",MIN(Y$38,$D$19)&lt;MAX($P$34*($B543+IF($R$17="Distrato",$I$38-1,0)),IF(AND($L$37=0,$P$34=0),"",$L$37-1),IF($R$17="Distrato",$E543,0))),0,YEARFRAC(MAX($P$34*($B543+IF($R$17="Distrato",$I$38-1,0)),IF(AND($L$37=0,$P$34=0),"",$L$37-1),IF($R$17="Distrato",$E543,0)),MIN(Y$38,$D$19),$P$20))-SUM($P543:X543)</f>
        <v>#VALUE!</v>
      </c>
      <c r="Z543" s="446" t="e">
        <f>IF(OR($B543="",MIN(Z$38,$D$19)&lt;MAX($P$34*($B543+IF($R$17="Distrato",$I$38-1,0)),IF(AND($L$37=0,$P$34=0),"",$L$37-1),IF($R$17="Distrato",$E543,0))),0,YEARFRAC(MAX($P$34*($B543+IF($R$17="Distrato",$I$38-1,0)),IF(AND($L$37=0,$P$34=0),"",$L$37-1),IF($R$17="Distrato",$E543,0)),MIN(Z$38,$D$19),$P$20))-SUM($P543:Y543)</f>
        <v>#VALUE!</v>
      </c>
      <c r="AA543" s="446" t="e">
        <f>IF(OR($B543="",MIN(AA$38,$D$19)&lt;MAX($P$34*($B543+IF($R$17="Distrato",$I$38-1,0)),IF(AND($L$37=0,$P$34=0),"",$L$37-1),IF($R$17="Distrato",$E543,0))),0,YEARFRAC(MAX($P$34*($B543+IF($R$17="Distrato",$I$38-1,0)),IF(AND($L$37=0,$P$34=0),"",$L$37-1),IF($R$17="Distrato",$E543,0)),MIN(AA$38,$D$19),$P$20))-SUM($P543:Z543)</f>
        <v>#VALUE!</v>
      </c>
      <c r="AB543" s="446" t="e">
        <f>IF(OR($B543="",MIN(AB$38,$D$19)&lt;MAX($P$34*($B543+IF($R$17="Distrato",$I$38-1,0)),IF(AND($L$37=0,$P$34=0),"",$L$37-1),IF($R$17="Distrato",$E543,0))),0,YEARFRAC(MAX($P$34*($B543+IF($R$17="Distrato",$I$38-1,0)),IF(AND($L$37=0,$P$34=0),"",$L$37-1),IF($R$17="Distrato",$E543,0)),MIN(AB$38,$D$19),$P$20))-SUM($P543:AA543)</f>
        <v>#VALUE!</v>
      </c>
      <c r="AC543" s="446" t="e">
        <f>IF(OR($B543="",MIN(AC$38,$D$19)&lt;MAX($P$34*($B543+IF($R$17="Distrato",$I$38-1,0)),IF(AND($L$37=0,$P$34=0),"",$L$37-1),IF($R$17="Distrato",$E543,0))),0,YEARFRAC(MAX($P$34*($B543+IF($R$17="Distrato",$I$38-1,0)),IF(AND($L$37=0,$P$34=0),"",$L$37-1),IF($R$17="Distrato",$E543,0)),MIN(AC$38,$D$19),$P$20))-SUM($P543:AB543)</f>
        <v>#VALUE!</v>
      </c>
      <c r="AD543" s="446" t="e">
        <f>IF(OR($B543="",MIN(AD$38,$D$19)&lt;MAX($P$34*($B543+IF($R$17="Distrato",$I$38-1,0)),IF(AND($L$37=0,$P$34=0),"",$L$37-1),IF($R$17="Distrato",$E543,0))),0,YEARFRAC(MAX($P$34*($B543+IF($R$17="Distrato",$I$38-1,0)),IF(AND($L$37=0,$P$34=0),"",$L$37-1),IF($R$17="Distrato",$E543,0)),MIN(AD$38,$D$19),$P$20))-SUM($P543:AC543)</f>
        <v>#VALUE!</v>
      </c>
      <c r="AE543" s="446" t="e">
        <f>IF(OR($B543="",MIN(AE$38,$D$19)&lt;MAX($P$34*($B543+IF($R$17="Distrato",$I$38-1,0)),IF(AND($L$37=0,$P$34=0),"",$L$37-1),IF($R$17="Distrato",$E543,0))),0,YEARFRAC(MAX($P$34*($B543+IF($R$17="Distrato",$I$38-1,0)),IF(AND($L$37=0,$P$34=0),"",$L$37-1),IF($R$17="Distrato",$E543,0)),MIN(AE$38,$D$19),$P$20))-SUM($P543:AD543)</f>
        <v>#VALUE!</v>
      </c>
      <c r="AF543" s="446" t="e">
        <f>IF(OR($B543="",MIN(AF$38,$D$19)&lt;MAX($P$34*($B543+IF($R$17="Distrato",$I$38-1,0)),IF(AND($L$37=0,$P$34=0),"",$L$37-1),IF($R$17="Distrato",$E543,0))),0,YEARFRAC(MAX($P$34*($B543+IF($R$17="Distrato",$I$38-1,0)),IF(AND($L$37=0,$P$34=0),"",$L$37-1),IF($R$17="Distrato",$E543,0)),MIN(AF$38,$D$19),$P$20))-SUM($P543:AE543)</f>
        <v>#VALUE!</v>
      </c>
      <c r="AG543" s="446" t="e">
        <f>IF(OR($B543="",MIN(AG$38,$D$19)&lt;MAX($P$34*($B543+IF($R$17="Distrato",$I$38-1,0)),IF(AND($L$37=0,$P$34=0),"",$L$37-1),IF($R$17="Distrato",$E543,0))),0,YEARFRAC(MAX($P$34*($B543+IF($R$17="Distrato",$I$38-1,0)),IF(AND($L$37=0,$P$34=0),"",$L$37-1),IF($R$17="Distrato",$E543,0)),MIN(AG$38,$D$19),$P$20))-SUM($P543:AF543)</f>
        <v>#VALUE!</v>
      </c>
      <c r="AH543" s="446" t="e">
        <f>IF(OR($B543="",MIN(AH$38,$D$19)&lt;MAX($P$34*($B543+IF($R$17="Distrato",$I$38-1,0)),IF(AND($L$37=0,$P$34=0),"",$L$37-1),IF($R$17="Distrato",$E543,0))),0,YEARFRAC(MAX($P$34*($B543+IF($R$17="Distrato",$I$38-1,0)),IF(AND($L$37=0,$P$34=0),"",$L$37-1),IF($R$17="Distrato",$E543,0)),MIN(AH$38,$D$19),$P$20))-SUM($P543:AG543)</f>
        <v>#VALUE!</v>
      </c>
      <c r="AI543" s="446" t="e">
        <f>IF(OR($B543="",MIN(AI$38,$D$19)&lt;MAX($P$34*($B543+IF($R$17="Distrato",$I$38-1,0)),IF(AND($L$37=0,$P$34=0),"",$L$37-1),IF($R$17="Distrato",$E543,0))),0,YEARFRAC(MAX($P$34*($B543+IF($R$17="Distrato",$I$38-1,0)),IF(AND($L$37=0,$P$34=0),"",$L$37-1),IF($R$17="Distrato",$E543,0)),MIN(AI$38,$D$19),$P$20))-SUM($P543:AH543)</f>
        <v>#VALUE!</v>
      </c>
      <c r="AJ543" s="446" t="e">
        <f>IF(OR($B543="",MIN(AJ$38,$D$19)&lt;MAX($P$34*($B543+IF($R$17="Distrato",$I$38-1,0)),IF(AND($L$37=0,$P$34=0),"",$L$37-1),IF($R$17="Distrato",$E543,0))),0,YEARFRAC(MAX($P$34*($B543+IF($R$17="Distrato",$I$38-1,0)),IF(AND($L$37=0,$P$34=0),"",$L$37-1),IF($R$17="Distrato",$E543,0)),MIN(AJ$38,$D$19),$P$20))-SUM($P543:AI543)</f>
        <v>#VALUE!</v>
      </c>
      <c r="AK543" s="446" t="e">
        <f>IF(OR($B543="",MIN(AK$38,$D$19)&lt;MAX($P$34*($B543+IF($R$17="Distrato",$I$38-1,0)),IF(AND($L$37=0,$P$34=0),"",$L$37-1),IF($R$17="Distrato",$E543,0))),0,YEARFRAC(MAX($P$34*($B543+IF($R$17="Distrato",$I$38-1,0)),IF(AND($L$37=0,$P$34=0),"",$L$37-1),IF($R$17="Distrato",$E543,0)),MIN(AK$38,$D$19),$P$20))-SUM($P543:AJ543)</f>
        <v>#VALUE!</v>
      </c>
      <c r="AL543" s="446" t="e">
        <f>IF(OR($B543="",MIN(AL$38,$D$19)&lt;MAX($P$34*($B543+IF($R$17="Distrato",$I$38-1,0)),IF(AND($L$37=0,$P$34=0),"",$L$37-1),IF($R$17="Distrato",$E543,0))),0,YEARFRAC(MAX($P$34*($B543+IF($R$17="Distrato",$I$38-1,0)),IF(AND($L$37=0,$P$34=0),"",$L$37-1),IF($R$17="Distrato",$E543,0)),MIN(AL$38,$D$19),$P$20))-SUM($P543:AK543)</f>
        <v>#VALUE!</v>
      </c>
      <c r="AM543" s="446" t="e">
        <f>IF(OR($B543="",MIN(AM$38,$D$19)&lt;MAX($P$34*($B543+IF($R$17="Distrato",$I$38-1,0)),IF(AND($L$37=0,$P$34=0),"",$L$37-1),IF($R$17="Distrato",$E543,0))),0,YEARFRAC(MAX($P$34*($B543+IF($R$17="Distrato",$I$38-1,0)),IF(AND($L$37=0,$P$34=0),"",$L$37-1),IF($R$17="Distrato",$E543,0)),MIN(AM$38,$D$19),$P$20))-SUM($P543:AL543)</f>
        <v>#VALUE!</v>
      </c>
      <c r="AN543" s="446" t="e">
        <f>IF(OR($B543="",MIN(AN$38,$D$19)&lt;MAX($P$34*($B543+IF($R$17="Distrato",$I$38-1,0)),IF(AND($L$37=0,$P$34=0),"",$L$37-1),IF($R$17="Distrato",$E543,0))),0,YEARFRAC(MAX($P$34*($B543+IF($R$17="Distrato",$I$38-1,0)),IF(AND($L$37=0,$P$34=0),"",$L$37-1),IF($R$17="Distrato",$E543,0)),MIN(AN$38,$D$19),$P$20))-SUM($P543:AM543)</f>
        <v>#VALUE!</v>
      </c>
      <c r="AO543" s="446" t="e">
        <f>IF(OR($B543="",MIN(AO$38,$D$19)&lt;MAX($P$34*($B543+IF($R$17="Distrato",$I$38-1,0)),IF(AND($L$37=0,$P$34=0),"",$L$37-1),IF($R$17="Distrato",$E543,0))),0,YEARFRAC(MAX($P$34*($B543+IF($R$17="Distrato",$I$38-1,0)),IF(AND($L$37=0,$P$34=0),"",$L$37-1),IF($R$17="Distrato",$E543,0)),MIN(AO$38,$D$19),$P$20))-SUM($P543:AN543)</f>
        <v>#VALUE!</v>
      </c>
      <c r="AP543" s="446" t="e">
        <f>IF(OR($B543="",MIN(AP$38,$D$19)&lt;MAX($P$34*($B543+IF($R$17="Distrato",$I$38-1,0)),IF(AND($L$37=0,$P$34=0),"",$L$37-1),IF($R$17="Distrato",$E543,0))),0,YEARFRAC(MAX($P$34*($B543+IF($R$17="Distrato",$I$38-1,0)),IF(AND($L$37=0,$P$34=0),"",$L$37-1),IF($R$17="Distrato",$E543,0)),MIN(AP$38,$D$19),$P$20))-SUM($P543:AO543)</f>
        <v>#VALUE!</v>
      </c>
      <c r="AQ543" s="446" t="e">
        <f>IF(OR($B543="",MIN(AQ$38,$D$19)&lt;MAX($P$34*($B543+IF($R$17="Distrato",$I$38-1,0)),IF(AND($L$37=0,$P$34=0),"",$L$37-1),IF($R$17="Distrato",$E543,0))),0,YEARFRAC(MAX($P$34*($B543+IF($R$17="Distrato",$I$38-1,0)),IF(AND($L$37=0,$P$34=0),"",$L$37-1),IF($R$17="Distrato",$E543,0)),MIN(AQ$38,$D$19),$P$20))-SUM($P543:AP543)</f>
        <v>#VALUE!</v>
      </c>
      <c r="AR543" s="446" t="e">
        <f>IF(OR($B543="",MIN(AR$38,$D$19)&lt;MAX($P$34*($B543+IF($R$17="Distrato",$I$38-1,0)),IF(AND($L$37=0,$P$34=0),"",$L$37-1),IF($R$17="Distrato",$E543,0))),0,YEARFRAC(MAX($P$34*($B543+IF($R$17="Distrato",$I$38-1,0)),IF(AND($L$37=0,$P$34=0),"",$L$37-1),IF($R$17="Distrato",$E543,0)),MIN(AR$38,$D$19),$P$20))-SUM($P543:AQ543)</f>
        <v>#VALUE!</v>
      </c>
      <c r="AS543" s="446" t="e">
        <f>IF(OR($B543="",MIN(AS$38,$D$19)&lt;MAX($P$34*($B543+IF($R$17="Distrato",$I$38-1,0)),IF(AND($L$37=0,$P$34=0),"",$L$37-1),IF($R$17="Distrato",$E543,0))),0,YEARFRAC(MAX($P$34*($B543+IF($R$17="Distrato",$I$38-1,0)),IF(AND($L$37=0,$P$34=0),"",$L$37-1),IF($R$17="Distrato",$E543,0)),MIN(AS$38,$D$19),$P$20))-SUM($P543:AR543)</f>
        <v>#VALUE!</v>
      </c>
      <c r="AT543" s="446" t="e">
        <f>IF(OR($B543="",MIN(AT$38,$D$19)&lt;MAX($P$34*($B543+IF($R$17="Distrato",$I$38-1,0)),IF(AND($L$37=0,$P$34=0),"",$L$37-1),IF($R$17="Distrato",$E543,0))),0,YEARFRAC(MAX($P$34*($B543+IF($R$17="Distrato",$I$38-1,0)),IF(AND($L$37=0,$P$34=0),"",$L$37-1),IF($R$17="Distrato",$E543,0)),MIN(AT$38,$D$19),$P$20))-SUM($P543:AS543)</f>
        <v>#VALUE!</v>
      </c>
      <c r="AU543" s="446" t="e">
        <f>IF(OR($B543="",MIN(AU$38,$D$19)&lt;MAX($P$34*($B543+IF($R$17="Distrato",$I$38-1,0)),IF(AND($L$37=0,$P$34=0),"",$L$37-1),IF($R$17="Distrato",$E543,0))),0,YEARFRAC(MAX($P$34*($B543+IF($R$17="Distrato",$I$38-1,0)),IF(AND($L$37=0,$P$34=0),"",$L$37-1),IF($R$17="Distrato",$E543,0)),MIN(AU$38,$D$19),$P$20))-SUM($P543:AT543)</f>
        <v>#VALUE!</v>
      </c>
      <c r="AV543" s="446" t="e">
        <f>IF(OR($B543="",MIN(AV$38,$D$19)&lt;MAX($P$34*($B543+IF($R$17="Distrato",$I$38-1,0)),IF(AND($L$37=0,$P$34=0),"",$L$37-1),IF($R$17="Distrato",$E543,0))),0,YEARFRAC(MAX($P$34*($B543+IF($R$17="Distrato",$I$38-1,0)),IF(AND($L$37=0,$P$34=0),"",$L$37-1),IF($R$17="Distrato",$E543,0)),MIN(AV$38,$D$19),$P$20))-SUM($P543:AU543)</f>
        <v>#VALUE!</v>
      </c>
      <c r="AW543" s="446" t="e">
        <f>IF(OR($B543="",MIN(AW$38,$D$19)&lt;MAX($P$34*($B543+IF($R$17="Distrato",$I$38-1,0)),IF(AND($L$37=0,$P$34=0),"",$L$37-1),IF($R$17="Distrato",$E543,0))),0,YEARFRAC(MAX($P$34*($B543+IF($R$17="Distrato",$I$38-1,0)),IF(AND($L$37=0,$P$34=0),"",$L$37-1),IF($R$17="Distrato",$E543,0)),MIN(AW$38,$D$19),$P$20))-SUM($P543:AV543)</f>
        <v>#VALUE!</v>
      </c>
      <c r="AX543" s="446" t="e">
        <f>IF(OR($B543="",MIN(AX$38,$D$19)&lt;MAX($P$34*($B543+IF($R$17="Distrato",$I$38-1,0)),IF(AND($L$37=0,$P$34=0),"",$L$37-1),IF($R$17="Distrato",$E543,0))),0,YEARFRAC(MAX($P$34*($B543+IF($R$17="Distrato",$I$38-1,0)),IF(AND($L$37=0,$P$34=0),"",$L$37-1),IF($R$17="Distrato",$E543,0)),MIN(AX$38,$D$19),$P$20))-SUM($P543:AW543)</f>
        <v>#VALUE!</v>
      </c>
      <c r="AY543" s="446" t="e">
        <f>IF(OR($B543="",MIN(AY$38,$D$19)&lt;MAX($P$34*($B543+IF($R$17="Distrato",$I$38-1,0)),IF(AND($L$37=0,$P$34=0),"",$L$37-1),IF($R$17="Distrato",$E543,0))),0,YEARFRAC(MAX($P$34*($B543+IF($R$17="Distrato",$I$38-1,0)),IF(AND($L$37=0,$P$34=0),"",$L$37-1),IF($R$17="Distrato",$E543,0)),MIN(AY$38,$D$19),$P$20))-SUM($P543:AX543)</f>
        <v>#VALUE!</v>
      </c>
      <c r="AZ543" s="446" t="e">
        <f>IF(OR($B543="",MIN(AZ$38,$D$19)&lt;MAX($P$34*($B543+IF($R$17="Distrato",$I$38-1,0)),IF(AND($L$37=0,$P$34=0),"",$L$37-1),IF($R$17="Distrato",$E543,0))),0,YEARFRAC(MAX($P$34*($B543+IF($R$17="Distrato",$I$38-1,0)),IF(AND($L$37=0,$P$34=0),"",$L$37-1),IF($R$17="Distrato",$E543,0)),MIN(AZ$38,$D$19),$P$20))-SUM($P543:AY543)</f>
        <v>#VALUE!</v>
      </c>
      <c r="BA543" s="446" t="e">
        <f>IF(OR($B543="",MIN(BA$38,$D$19)&lt;MAX($P$34*($B543+IF($R$17="Distrato",$I$38-1,0)),IF(AND($L$37=0,$P$34=0),"",$L$37-1),IF($R$17="Distrato",$E543,0))),0,YEARFRAC(MAX($P$34*($B543+IF($R$17="Distrato",$I$38-1,0)),IF(AND($L$37=0,$P$34=0),"",$L$37-1),IF($R$17="Distrato",$E543,0)),MIN(BA$38,$D$19),$P$20))-SUM($P543:AZ543)</f>
        <v>#VALUE!</v>
      </c>
      <c r="BB543" s="447"/>
      <c r="BF543" s="446">
        <f t="shared" si="87"/>
        <v>0</v>
      </c>
      <c r="BG543" s="446">
        <f>IF($E543=0,0,IF(MIN(BG$38,$E543)&lt;MAX($P$34*($B543+$I$38-1),IF(AND($L$37=0,$P$34=0),"",$L$37-1)),0,YEARFRAC(MAX($P$34*($B543+$I$38-1),IF(AND($L$37=0,$P$34=0),"",$L$37-1)),MIN(BG$38,$E543),$P$20))-SUM($BF543:BF543))</f>
        <v>0</v>
      </c>
      <c r="BH543" s="446">
        <f>IF($E543=0,0,IF(MIN(BH$38,$E543)&lt;MAX($P$34*($B543+$I$38-1),IF(AND($L$37=0,$P$34=0),"",$L$37-1)),0,YEARFRAC(MAX($P$34*($B543+$I$38-1),IF(AND($L$37=0,$P$34=0),"",$L$37-1)),MIN(BH$38,$E543),$P$20))-SUM($BF543:BG543))</f>
        <v>0</v>
      </c>
      <c r="BI543" s="446">
        <f>IF($E543=0,0,IF(MIN(BI$38,$E543)&lt;MAX($P$34*($B543+$I$38-1),IF(AND($L$37=0,$P$34=0),"",$L$37-1)),0,YEARFRAC(MAX($P$34*($B543+$I$38-1),IF(AND($L$37=0,$P$34=0),"",$L$37-1)),MIN(BI$38,$E543),$P$20))-SUM($BF543:BH543))</f>
        <v>0</v>
      </c>
      <c r="BJ543" s="446">
        <f>IF($E543=0,0,IF(MIN(BJ$38,$E543)&lt;MAX($P$34*($B543+$I$38-1),IF(AND($L$37=0,$P$34=0),"",$L$37-1)),0,YEARFRAC(MAX($P$34*($B543+$I$38-1),IF(AND($L$37=0,$P$34=0),"",$L$37-1)),MIN(BJ$38,$E543),$P$20))-SUM($BF543:BI543))</f>
        <v>0</v>
      </c>
      <c r="BK543" s="446">
        <f>IF($E543=0,0,IF(MIN(BK$38,$E543)&lt;MAX($P$34*($B543+$I$38-1),IF(AND($L$37=0,$P$34=0),"",$L$37-1)),0,YEARFRAC(MAX($P$34*($B543+$I$38-1),IF(AND($L$37=0,$P$34=0),"",$L$37-1)),MIN(BK$38,$E543),$P$20))-SUM($BF543:BJ543))</f>
        <v>0</v>
      </c>
      <c r="BL543" s="446">
        <f>IF($E543=0,0,IF(MIN(BL$38,$E543)&lt;MAX($P$34*($B543+$I$38-1),IF(AND($L$37=0,$P$34=0),"",$L$37-1)),0,YEARFRAC(MAX($P$34*($B543+$I$38-1),IF(AND($L$37=0,$P$34=0),"",$L$37-1)),MIN(BL$38,$E543),$P$20))-SUM($BF543:BK543))</f>
        <v>0</v>
      </c>
      <c r="BM543" s="446">
        <f>IF($E543=0,0,IF(MIN(BM$38,$E543)&lt;MAX($P$34*($B543+$I$38-1),IF(AND($L$37=0,$P$34=0),"",$L$37-1)),0,YEARFRAC(MAX($P$34*($B543+$I$38-1),IF(AND($L$37=0,$P$34=0),"",$L$37-1)),MIN(BM$38,$E543),$P$20))-SUM($BF543:BL543))</f>
        <v>0</v>
      </c>
      <c r="BN543" s="446">
        <f>IF($E543=0,0,IF(MIN(BN$38,$E543)&lt;MAX($P$34*($B543+$I$38-1),IF(AND($L$37=0,$P$34=0),"",$L$37-1)),0,YEARFRAC(MAX($P$34*($B543+$I$38-1),IF(AND($L$37=0,$P$34=0),"",$L$37-1)),MIN(BN$38,$E543),$P$20))-SUM($BF543:BM543))</f>
        <v>0</v>
      </c>
      <c r="BO543" s="446">
        <f>IF($E543=0,0,IF(MIN(BO$38,$E543)&lt;MAX($P$34*($B543+$I$38-1),IF(AND($L$37=0,$P$34=0),"",$L$37-1)),0,YEARFRAC(MAX($P$34*($B543+$I$38-1),IF(AND($L$37=0,$P$34=0),"",$L$37-1)),MIN(BO$38,$E543),$P$20))-SUM($BF543:BN543))</f>
        <v>0</v>
      </c>
      <c r="BP543" s="446">
        <f>IF($E543=0,0,IF(MIN(BP$38,$E543)&lt;MAX($P$34*($B543+$I$38-1),IF(AND($L$37=0,$P$34=0),"",$L$37-1)),0,YEARFRAC(MAX($P$34*($B543+$I$38-1),IF(AND($L$37=0,$P$34=0),"",$L$37-1)),MIN(BP$38,$E543),$P$20))-SUM($BF543:BO543))</f>
        <v>0</v>
      </c>
      <c r="BQ543" s="446">
        <f>IF($E543=0,0,IF(MIN(BQ$38,$E543)&lt;MAX($P$34*($B543+$I$38-1),IF(AND($L$37=0,$P$34=0),"",$L$37-1)),0,YEARFRAC(MAX($P$34*($B543+$I$38-1),IF(AND($L$37=0,$P$34=0),"",$L$37-1)),MIN(BQ$38,$E543),$P$20))-SUM($BF543:BP543))</f>
        <v>0</v>
      </c>
      <c r="BR543" s="446">
        <f>IF($E543=0,0,IF(MIN(BR$38,$E543)&lt;MAX($P$34*($B543+$I$38-1),IF(AND($L$37=0,$P$34=0),"",$L$37-1)),0,YEARFRAC(MAX($P$34*($B543+$I$38-1),IF(AND($L$37=0,$P$34=0),"",$L$37-1)),MIN(BR$38,$E543),$P$20))-SUM($BF543:BQ543))</f>
        <v>0</v>
      </c>
      <c r="BS543" s="446">
        <f>IF($E543=0,0,IF(MIN(BS$38,$E543)&lt;MAX($P$34*($B543+$I$38-1),IF(AND($L$37=0,$P$34=0),"",$L$37-1)),0,YEARFRAC(MAX($P$34*($B543+$I$38-1),IF(AND($L$37=0,$P$34=0),"",$L$37-1)),MIN(BS$38,$E543),$P$20))-SUM($BF543:BR543))</f>
        <v>0</v>
      </c>
      <c r="BT543" s="446">
        <f>IF($E543=0,0,IF(MIN(BT$38,$E543)&lt;MAX($P$34*($B543+$I$38-1),IF(AND($L$37=0,$P$34=0),"",$L$37-1)),0,YEARFRAC(MAX($P$34*($B543+$I$38-1),IF(AND($L$37=0,$P$34=0),"",$L$37-1)),MIN(BT$38,$E543),$P$20))-SUM($BF543:BS543))</f>
        <v>0</v>
      </c>
      <c r="BU543" s="446">
        <f>IF($E543=0,0,IF(MIN(BU$38,$E543)&lt;MAX($P$34*($B543+$I$38-1),IF(AND($L$37=0,$P$34=0),"",$L$37-1)),0,YEARFRAC(MAX($P$34*($B543+$I$38-1),IF(AND($L$37=0,$P$34=0),"",$L$37-1)),MIN(BU$38,$E543),$P$20))-SUM($BF543:BT543))</f>
        <v>0</v>
      </c>
      <c r="BV543" s="446">
        <f>IF($E543=0,0,IF(MIN(BV$38,$E543)&lt;MAX($P$34*($B543+$I$38-1),IF(AND($L$37=0,$P$34=0),"",$L$37-1)),0,YEARFRAC(MAX($P$34*($B543+$I$38-1),IF(AND($L$37=0,$P$34=0),"",$L$37-1)),MIN(BV$38,$E543),$P$20))-SUM($BF543:BU543))</f>
        <v>0</v>
      </c>
      <c r="BW543" s="446">
        <f>IF($E543=0,0,IF(MIN(BW$38,$E543)&lt;MAX($P$34*($B543+$I$38-1),IF(AND($L$37=0,$P$34=0),"",$L$37-1)),0,YEARFRAC(MAX($P$34*($B543+$I$38-1),IF(AND($L$37=0,$P$34=0),"",$L$37-1)),MIN(BW$38,$E543),$P$20))-SUM($BF543:BV543))</f>
        <v>0</v>
      </c>
      <c r="BX543" s="446">
        <f>IF($E543=0,0,IF(MIN(BX$38,$E543)&lt;MAX($P$34*($B543+$I$38-1),IF(AND($L$37=0,$P$34=0),"",$L$37-1)),0,YEARFRAC(MAX($P$34*($B543+$I$38-1),IF(AND($L$37=0,$P$34=0),"",$L$37-1)),MIN(BX$38,$E543),$P$20))-SUM($BF543:BW543))</f>
        <v>0</v>
      </c>
      <c r="BY543" s="446">
        <f>IF($E543=0,0,IF(MIN(BY$38,$E543)&lt;MAX($P$34*($B543+$I$38-1),IF(AND($L$37=0,$P$34=0),"",$L$37-1)),0,YEARFRAC(MAX($P$34*($B543+$I$38-1),IF(AND($L$37=0,$P$34=0),"",$L$37-1)),MIN(BY$38,$E543),$P$20))-SUM($BF543:BX543))</f>
        <v>0</v>
      </c>
      <c r="BZ543" s="446">
        <f>IF($E543=0,0,IF(MIN(BZ$38,$E543)&lt;MAX($P$34*($B543+$I$38-1),IF(AND($L$37=0,$P$34=0),"",$L$37-1)),0,YEARFRAC(MAX($P$34*($B543+$I$38-1),IF(AND($L$37=0,$P$34=0),"",$L$37-1)),MIN(BZ$38,$E543),$P$20))-SUM($BF543:BY543))</f>
        <v>0</v>
      </c>
      <c r="CA543" s="446">
        <f>IF($E543=0,0,IF(MIN(CA$38,$E543)&lt;MAX($P$34*($B543+$I$38-1),IF(AND($L$37=0,$P$34=0),"",$L$37-1)),0,YEARFRAC(MAX($P$34*($B543+$I$38-1),IF(AND($L$37=0,$P$34=0),"",$L$37-1)),MIN(CA$38,$E543),$P$20))-SUM($BF543:BZ543))</f>
        <v>0</v>
      </c>
      <c r="CB543" s="446">
        <f>IF($E543=0,0,IF(MIN(CB$38,$E543)&lt;MAX($P$34*($B543+$I$38-1),IF(AND($L$37=0,$P$34=0),"",$L$37-1)),0,YEARFRAC(MAX($P$34*($B543+$I$38-1),IF(AND($L$37=0,$P$34=0),"",$L$37-1)),MIN(CB$38,$E543),$P$20))-SUM($BF543:CA543))</f>
        <v>0</v>
      </c>
      <c r="CC543" s="446">
        <f>IF($E543=0,0,IF(MIN(CC$38,$E543)&lt;MAX($P$34*($B543+$I$38-1),IF(AND($L$37=0,$P$34=0),"",$L$37-1)),0,YEARFRAC(MAX($P$34*($B543+$I$38-1),IF(AND($L$37=0,$P$34=0),"",$L$37-1)),MIN(CC$38,$E543),$P$20))-SUM($BF543:CB543))</f>
        <v>0</v>
      </c>
      <c r="CD543" s="446">
        <f>IF($E543=0,0,IF(MIN(CD$38,$E543)&lt;MAX($P$34*($B543+$I$38-1),IF(AND($L$37=0,$P$34=0),"",$L$37-1)),0,YEARFRAC(MAX($P$34*($B543+$I$38-1),IF(AND($L$37=0,$P$34=0),"",$L$37-1)),MIN(CD$38,$E543),$P$20))-SUM($BF543:CC543))</f>
        <v>0</v>
      </c>
      <c r="CE543" s="446">
        <f>IF($E543=0,0,IF(MIN(CE$38,$E543)&lt;MAX($P$34*($B543+$I$38-1),IF(AND($L$37=0,$P$34=0),"",$L$37-1)),0,YEARFRAC(MAX($P$34*($B543+$I$38-1),IF(AND($L$37=0,$P$34=0),"",$L$37-1)),MIN(CE$38,$E543),$P$20))-SUM($BF543:CD543))</f>
        <v>0</v>
      </c>
      <c r="CF543" s="446">
        <f>IF($E543=0,0,IF(MIN(CF$38,$E543)&lt;MAX($P$34*($B543+$I$38-1),IF(AND($L$37=0,$P$34=0),"",$L$37-1)),0,YEARFRAC(MAX($P$34*($B543+$I$38-1),IF(AND($L$37=0,$P$34=0),"",$L$37-1)),MIN(CF$38,$E543),$P$20))-SUM($BF543:CE543))</f>
        <v>0</v>
      </c>
      <c r="CG543" s="446">
        <f>IF($E543=0,0,IF(MIN(CG$38,$E543)&lt;MAX($P$34*($B543+$I$38-1),IF(AND($L$37=0,$P$34=0),"",$L$37-1)),0,YEARFRAC(MAX($P$34*($B543+$I$38-1),IF(AND($L$37=0,$P$34=0),"",$L$37-1)),MIN(CG$38,$E543),$P$20))-SUM($BF543:CF543))</f>
        <v>0</v>
      </c>
      <c r="CH543" s="446">
        <f>IF($E543=0,0,IF(MIN(CH$38,$E543)&lt;MAX($P$34*($B543+$I$38-1),IF(AND($L$37=0,$P$34=0),"",$L$37-1)),0,YEARFRAC(MAX($P$34*($B543+$I$38-1),IF(AND($L$37=0,$P$34=0),"",$L$37-1)),MIN(CH$38,$E543),$P$20))-SUM($BF543:CG543))</f>
        <v>0</v>
      </c>
      <c r="CI543" s="446">
        <f>IF($E543=0,0,IF(MIN(CI$38,$E543)&lt;MAX($P$34*($B543+$I$38-1),IF(AND($L$37=0,$P$34=0),"",$L$37-1)),0,YEARFRAC(MAX($P$34*($B543+$I$38-1),IF(AND($L$37=0,$P$34=0),"",$L$37-1)),MIN(CI$38,$E543),$P$20))-SUM($BF543:CH543))</f>
        <v>0</v>
      </c>
      <c r="CJ543" s="446">
        <f>IF($E543=0,0,IF(MIN(CJ$38,$E543)&lt;MAX($P$34*($B543+$I$38-1),IF(AND($L$37=0,$P$34=0),"",$L$37-1)),0,YEARFRAC(MAX($P$34*($B543+$I$38-1),IF(AND($L$37=0,$P$34=0),"",$L$37-1)),MIN(CJ$38,$E543),$P$20))-SUM($BF543:CI543))</f>
        <v>0</v>
      </c>
      <c r="CK543" s="446">
        <f>IF($E543=0,0,IF(MIN(CK$38,$E543)&lt;MAX($P$34*($B543+$I$38-1),IF(AND($L$37=0,$P$34=0),"",$L$37-1)),0,YEARFRAC(MAX($P$34*($B543+$I$38-1),IF(AND($L$37=0,$P$34=0),"",$L$37-1)),MIN(CK$38,$E543),$P$20))-SUM($BF543:CJ543))</f>
        <v>0</v>
      </c>
      <c r="CL543" s="446">
        <f>IF($E543=0,0,IF(MIN(CL$38,$E543)&lt;MAX($P$34*($B543+$I$38-1),IF(AND($L$37=0,$P$34=0),"",$L$37-1)),0,YEARFRAC(MAX($P$34*($B543+$I$38-1),IF(AND($L$37=0,$P$34=0),"",$L$37-1)),MIN(CL$38,$E543),$P$20))-SUM($BF543:CK543))</f>
        <v>0</v>
      </c>
      <c r="CM543" s="446">
        <f>IF($E543=0,0,IF(MIN(CM$38,$E543)&lt;MAX($P$34*($B543+$I$38-1),IF(AND($L$37=0,$P$34=0),"",$L$37-1)),0,YEARFRAC(MAX($P$34*($B543+$I$38-1),IF(AND($L$37=0,$P$34=0),"",$L$37-1)),MIN(CM$38,$E543),$P$20))-SUM($BF543:CL543))</f>
        <v>0</v>
      </c>
      <c r="CN543" s="446">
        <f>IF($E543=0,0,IF(MIN(CN$38,$E543)&lt;MAX($P$34*($B543+$I$38-1),IF(AND($L$37=0,$P$34=0),"",$L$37-1)),0,YEARFRAC(MAX($P$34*($B543+$I$38-1),IF(AND($L$37=0,$P$34=0),"",$L$37-1)),MIN(CN$38,$E543),$P$20))-SUM($BF543:CM543))</f>
        <v>0</v>
      </c>
      <c r="CO543" s="446">
        <f>IF($E543=0,0,IF(MIN(CO$38,$E543)&lt;MAX($P$34*($B543+$I$38-1),IF(AND($L$37=0,$P$34=0),"",$L$37-1)),0,YEARFRAC(MAX($P$34*($B543+$I$38-1),IF(AND($L$37=0,$P$34=0),"",$L$37-1)),MIN(CO$38,$E543),$P$20))-SUM($BF543:CN543))</f>
        <v>0</v>
      </c>
      <c r="CP543" s="446">
        <f>IF($E543=0,0,IF(MIN(CP$38,$E543)&lt;MAX($P$34*($B543+$I$38-1),IF(AND($L$37=0,$P$34=0),"",$L$37-1)),0,YEARFRAC(MAX($P$34*($B543+$I$38-1),IF(AND($L$37=0,$P$34=0),"",$L$37-1)),MIN(CP$38,$E543),$P$20))-SUM($BF543:CO543))</f>
        <v>0</v>
      </c>
      <c r="CQ543" s="446">
        <f>IF($E543=0,0,IF(MIN(CQ$38,$E543)&lt;MAX($P$34*($B543+$I$38-1),IF(AND($L$37=0,$P$34=0),"",$L$37-1)),0,YEARFRAC(MAX($P$34*($B543+$I$38-1),IF(AND($L$37=0,$P$34=0),"",$L$37-1)),MIN(CQ$38,$E543),$P$20))-SUM($BF543:CP543))</f>
        <v>0</v>
      </c>
    </row>
    <row r="544" spans="1:95" s="446" customFormat="1" ht="11.25" hidden="1" customHeight="1" x14ac:dyDescent="0.2">
      <c r="A544" s="152"/>
      <c r="B544" s="153" t="str">
        <f t="shared" si="92"/>
        <v/>
      </c>
      <c r="C544" s="29" t="str">
        <f>IF(B544="","",IF($L$35="SELIC - TRIBUTOS",VLOOKUP(DATE(YEAR($D$19),MONTH($D$19)-1,1),ÍNDICES!$A:$DE,HLOOKUP($BL$25,ÍNDICES!$B$3:$T$4,2)+11)-VLOOKUP(B544,ÍNDICES!$A:$DE,HLOOKUP($BL$25,ÍNDICES!$B$3:$T$4,2)+11)+1%,IF(C$38=$W$26,$J$35,IF(ISERROR(IF(B544&gt;$D$19,1,VLOOKUP(DATE(YEAR(B544),MONTH(B544)+IF($C$35=$S$23,1,0),1),ÍNDICES!$A:$DE,$Z$35+1))),"",IF(B544&gt;$D$19,1,VLOOKUP(DATE(YEAR(B544),MONTH(B544)+IF($C$35=$S$23,1,0),1),ÍNDICES!$A:$DE,$Z$35+1))))))</f>
        <v/>
      </c>
      <c r="D544" s="154" t="str">
        <f>IF(ISERROR(IF(OR($D$38=$Y$27,$B544=""),"",VLOOKUP(B544,ÍNDICES!A:DE,AF$35+1))),"",IF(OR($D$38=$Y$27,$B544=""),"",VLOOKUP(B544,ÍNDICES!A:DE,AF$35+1)))</f>
        <v/>
      </c>
      <c r="E544" s="153"/>
      <c r="F544" s="29" t="str">
        <f>IF(E544="","",IF($L$35="SELIC - TRIBUTOS",VLOOKUP(DATE(YEAR($D$19),MONTH($D$19)-1,1),ÍNDICES!$A:$DE,HLOOKUP($BL$25,ÍNDICES!$B$3:$T$4,2)+11)-VLOOKUP(E544,ÍNDICES!$A:$DE,HLOOKUP($BL$25,ÍNDICES!$B$3:$T$4,2)+11)+1%,IF(F$38=$W$26,$J$35,IF(ISERROR(IF(E544&gt;$D$19,1,VLOOKUP(DATE(YEAR(E544),MONTH(E544)+IF($C$35=$S$23,1,0),1),ÍNDICES!$A:$DE,$Z$35+1))),"",IF(E544&gt;$D$19,1,VLOOKUP(DATE(YEAR(E544),MONTH(E544)+IF($C$35=$S$23,1,0),1),ÍNDICES!$A:$DE,$Z$35+1))))))</f>
        <v/>
      </c>
      <c r="G544" s="155"/>
      <c r="H544" s="156" t="str">
        <f t="shared" si="88"/>
        <v/>
      </c>
      <c r="I544" s="29" t="str">
        <f t="shared" si="82"/>
        <v/>
      </c>
      <c r="J544" s="5">
        <f t="shared" si="83"/>
        <v>0</v>
      </c>
      <c r="K544" s="20">
        <f t="shared" ca="1" si="84"/>
        <v>0</v>
      </c>
      <c r="L544" s="5">
        <f t="shared" ca="1" si="85"/>
        <v>0</v>
      </c>
      <c r="M544" s="64">
        <f t="shared" si="89"/>
        <v>0</v>
      </c>
      <c r="N544" s="61">
        <f t="shared" ca="1" si="90"/>
        <v>0</v>
      </c>
      <c r="O544" s="5">
        <f t="shared" ca="1" si="91"/>
        <v>0</v>
      </c>
      <c r="P544" s="446" t="e">
        <f t="shared" si="86"/>
        <v>#VALUE!</v>
      </c>
      <c r="Q544" s="446" t="e">
        <f>IF(OR($B544="",MIN(Q$38,$D$19)&lt;MAX($P$34*($B544+IF($R$17="Distrato",$I$38-1,0)),IF(AND($L$37=0,$P$34=0),"",$L$37-1),IF($R$17="Distrato",$E544,0))),0,YEARFRAC(MAX($P$34*($B544+IF($R$17="Distrato",$I$38-1,0)),IF(AND($L$37=0,$P$34=0),"",$L$37-1),IF($R$17="Distrato",$E544,0)),MIN(Q$38,$D$19),$P$20))-SUM($P544:P544)</f>
        <v>#VALUE!</v>
      </c>
      <c r="R544" s="446" t="e">
        <f>IF(OR($B544="",MIN(R$38,$D$19)&lt;MAX($P$34*($B544+IF($R$17="Distrato",$I$38-1,0)),IF(AND($L$37=0,$P$34=0),"",$L$37-1),IF($R$17="Distrato",$E544,0))),0,YEARFRAC(MAX($P$34*($B544+IF($R$17="Distrato",$I$38-1,0)),IF(AND($L$37=0,$P$34=0),"",$L$37-1),IF($R$17="Distrato",$E544,0)),MIN(R$38,$D$19),$P$20))-SUM($P544:Q544)</f>
        <v>#VALUE!</v>
      </c>
      <c r="S544" s="446" t="e">
        <f>IF(OR($B544="",MIN(S$38,$D$19)&lt;MAX($P$34*($B544+IF($R$17="Distrato",$I$38-1,0)),IF(AND($L$37=0,$P$34=0),"",$L$37-1),IF($R$17="Distrato",$E544,0))),0,YEARFRAC(MAX($P$34*($B544+IF($R$17="Distrato",$I$38-1,0)),IF(AND($L$37=0,$P$34=0),"",$L$37-1),IF($R$17="Distrato",$E544,0)),MIN(S$38,$D$19),$P$20))-SUM($P544:R544)</f>
        <v>#VALUE!</v>
      </c>
      <c r="T544" s="446" t="e">
        <f>IF(OR($B544="",MIN(T$38,$D$19)&lt;MAX($P$34*($B544+IF($R$17="Distrato",$I$38-1,0)),IF(AND($L$37=0,$P$34=0),"",$L$37-1),IF($R$17="Distrato",$E544,0))),0,YEARFRAC(MAX($P$34*($B544+IF($R$17="Distrato",$I$38-1,0)),IF(AND($L$37=0,$P$34=0),"",$L$37-1),IF($R$17="Distrato",$E544,0)),MIN(T$38,$D$19),$P$20))-SUM($P544:S544)</f>
        <v>#VALUE!</v>
      </c>
      <c r="U544" s="446" t="e">
        <f>IF(OR($B544="",MIN(U$38,$D$19)&lt;MAX($P$34*($B544+IF($R$17="Distrato",$I$38-1,0)),IF(AND($L$37=0,$P$34=0),"",$L$37-1),IF($R$17="Distrato",$E544,0))),0,YEARFRAC(MAX($P$34*($B544+IF($R$17="Distrato",$I$38-1,0)),IF(AND($L$37=0,$P$34=0),"",$L$37-1),IF($R$17="Distrato",$E544,0)),MIN(U$38,$D$19),$P$20))-SUM($P544:T544)</f>
        <v>#VALUE!</v>
      </c>
      <c r="V544" s="446" t="e">
        <f>IF(OR($B544="",MIN(V$38,$D$19)&lt;MAX($P$34*($B544+IF($R$17="Distrato",$I$38-1,0)),IF(AND($L$37=0,$P$34=0),"",$L$37-1),IF($R$17="Distrato",$E544,0))),0,YEARFRAC(MAX($P$34*($B544+IF($R$17="Distrato",$I$38-1,0)),IF(AND($L$37=0,$P$34=0),"",$L$37-1),IF($R$17="Distrato",$E544,0)),MIN(V$38,$D$19),$P$20))-SUM($P544:U544)</f>
        <v>#VALUE!</v>
      </c>
      <c r="W544" s="446" t="e">
        <f>IF(OR($B544="",MIN(W$38,$D$19)&lt;MAX($P$34*($B544+IF($R$17="Distrato",$I$38-1,0)),IF(AND($L$37=0,$P$34=0),"",$L$37-1),IF($R$17="Distrato",$E544,0))),0,YEARFRAC(MAX($P$34*($B544+IF($R$17="Distrato",$I$38-1,0)),IF(AND($L$37=0,$P$34=0),"",$L$37-1),IF($R$17="Distrato",$E544,0)),MIN(W$38,$D$19),$P$20))-SUM($P544:V544)</f>
        <v>#VALUE!</v>
      </c>
      <c r="X544" s="446" t="e">
        <f>IF(OR($B544="",MIN(X$38,$D$19)&lt;MAX($P$34*($B544+IF($R$17="Distrato",$I$38-1,0)),IF(AND($L$37=0,$P$34=0),"",$L$37-1),IF($R$17="Distrato",$E544,0))),0,YEARFRAC(MAX($P$34*($B544+IF($R$17="Distrato",$I$38-1,0)),IF(AND($L$37=0,$P$34=0),"",$L$37-1),IF($R$17="Distrato",$E544,0)),MIN(X$38,$D$19),$P$20))-SUM($P544:W544)</f>
        <v>#VALUE!</v>
      </c>
      <c r="Y544" s="446" t="e">
        <f>IF(OR($B544="",MIN(Y$38,$D$19)&lt;MAX($P$34*($B544+IF($R$17="Distrato",$I$38-1,0)),IF(AND($L$37=0,$P$34=0),"",$L$37-1),IF($R$17="Distrato",$E544,0))),0,YEARFRAC(MAX($P$34*($B544+IF($R$17="Distrato",$I$38-1,0)),IF(AND($L$37=0,$P$34=0),"",$L$37-1),IF($R$17="Distrato",$E544,0)),MIN(Y$38,$D$19),$P$20))-SUM($P544:X544)</f>
        <v>#VALUE!</v>
      </c>
      <c r="Z544" s="446" t="e">
        <f>IF(OR($B544="",MIN(Z$38,$D$19)&lt;MAX($P$34*($B544+IF($R$17="Distrato",$I$38-1,0)),IF(AND($L$37=0,$P$34=0),"",$L$37-1),IF($R$17="Distrato",$E544,0))),0,YEARFRAC(MAX($P$34*($B544+IF($R$17="Distrato",$I$38-1,0)),IF(AND($L$37=0,$P$34=0),"",$L$37-1),IF($R$17="Distrato",$E544,0)),MIN(Z$38,$D$19),$P$20))-SUM($P544:Y544)</f>
        <v>#VALUE!</v>
      </c>
      <c r="AA544" s="446" t="e">
        <f>IF(OR($B544="",MIN(AA$38,$D$19)&lt;MAX($P$34*($B544+IF($R$17="Distrato",$I$38-1,0)),IF(AND($L$37=0,$P$34=0),"",$L$37-1),IF($R$17="Distrato",$E544,0))),0,YEARFRAC(MAX($P$34*($B544+IF($R$17="Distrato",$I$38-1,0)),IF(AND($L$37=0,$P$34=0),"",$L$37-1),IF($R$17="Distrato",$E544,0)),MIN(AA$38,$D$19),$P$20))-SUM($P544:Z544)</f>
        <v>#VALUE!</v>
      </c>
      <c r="AB544" s="446" t="e">
        <f>IF(OR($B544="",MIN(AB$38,$D$19)&lt;MAX($P$34*($B544+IF($R$17="Distrato",$I$38-1,0)),IF(AND($L$37=0,$P$34=0),"",$L$37-1),IF($R$17="Distrato",$E544,0))),0,YEARFRAC(MAX($P$34*($B544+IF($R$17="Distrato",$I$38-1,0)),IF(AND($L$37=0,$P$34=0),"",$L$37-1),IF($R$17="Distrato",$E544,0)),MIN(AB$38,$D$19),$P$20))-SUM($P544:AA544)</f>
        <v>#VALUE!</v>
      </c>
      <c r="AC544" s="446" t="e">
        <f>IF(OR($B544="",MIN(AC$38,$D$19)&lt;MAX($P$34*($B544+IF($R$17="Distrato",$I$38-1,0)),IF(AND($L$37=0,$P$34=0),"",$L$37-1),IF($R$17="Distrato",$E544,0))),0,YEARFRAC(MAX($P$34*($B544+IF($R$17="Distrato",$I$38-1,0)),IF(AND($L$37=0,$P$34=0),"",$L$37-1),IF($R$17="Distrato",$E544,0)),MIN(AC$38,$D$19),$P$20))-SUM($P544:AB544)</f>
        <v>#VALUE!</v>
      </c>
      <c r="AD544" s="446" t="e">
        <f>IF(OR($B544="",MIN(AD$38,$D$19)&lt;MAX($P$34*($B544+IF($R$17="Distrato",$I$38-1,0)),IF(AND($L$37=0,$P$34=0),"",$L$37-1),IF($R$17="Distrato",$E544,0))),0,YEARFRAC(MAX($P$34*($B544+IF($R$17="Distrato",$I$38-1,0)),IF(AND($L$37=0,$P$34=0),"",$L$37-1),IF($R$17="Distrato",$E544,0)),MIN(AD$38,$D$19),$P$20))-SUM($P544:AC544)</f>
        <v>#VALUE!</v>
      </c>
      <c r="AE544" s="446" t="e">
        <f>IF(OR($B544="",MIN(AE$38,$D$19)&lt;MAX($P$34*($B544+IF($R$17="Distrato",$I$38-1,0)),IF(AND($L$37=0,$P$34=0),"",$L$37-1),IF($R$17="Distrato",$E544,0))),0,YEARFRAC(MAX($P$34*($B544+IF($R$17="Distrato",$I$38-1,0)),IF(AND($L$37=0,$P$34=0),"",$L$37-1),IF($R$17="Distrato",$E544,0)),MIN(AE$38,$D$19),$P$20))-SUM($P544:AD544)</f>
        <v>#VALUE!</v>
      </c>
      <c r="AF544" s="446" t="e">
        <f>IF(OR($B544="",MIN(AF$38,$D$19)&lt;MAX($P$34*($B544+IF($R$17="Distrato",$I$38-1,0)),IF(AND($L$37=0,$P$34=0),"",$L$37-1),IF($R$17="Distrato",$E544,0))),0,YEARFRAC(MAX($P$34*($B544+IF($R$17="Distrato",$I$38-1,0)),IF(AND($L$37=0,$P$34=0),"",$L$37-1),IF($R$17="Distrato",$E544,0)),MIN(AF$38,$D$19),$P$20))-SUM($P544:AE544)</f>
        <v>#VALUE!</v>
      </c>
      <c r="AG544" s="446" t="e">
        <f>IF(OR($B544="",MIN(AG$38,$D$19)&lt;MAX($P$34*($B544+IF($R$17="Distrato",$I$38-1,0)),IF(AND($L$37=0,$P$34=0),"",$L$37-1),IF($R$17="Distrato",$E544,0))),0,YEARFRAC(MAX($P$34*($B544+IF($R$17="Distrato",$I$38-1,0)),IF(AND($L$37=0,$P$34=0),"",$L$37-1),IF($R$17="Distrato",$E544,0)),MIN(AG$38,$D$19),$P$20))-SUM($P544:AF544)</f>
        <v>#VALUE!</v>
      </c>
      <c r="AH544" s="446" t="e">
        <f>IF(OR($B544="",MIN(AH$38,$D$19)&lt;MAX($P$34*($B544+IF($R$17="Distrato",$I$38-1,0)),IF(AND($L$37=0,$P$34=0),"",$L$37-1),IF($R$17="Distrato",$E544,0))),0,YEARFRAC(MAX($P$34*($B544+IF($R$17="Distrato",$I$38-1,0)),IF(AND($L$37=0,$P$34=0),"",$L$37-1),IF($R$17="Distrato",$E544,0)),MIN(AH$38,$D$19),$P$20))-SUM($P544:AG544)</f>
        <v>#VALUE!</v>
      </c>
      <c r="AI544" s="446" t="e">
        <f>IF(OR($B544="",MIN(AI$38,$D$19)&lt;MAX($P$34*($B544+IF($R$17="Distrato",$I$38-1,0)),IF(AND($L$37=0,$P$34=0),"",$L$37-1),IF($R$17="Distrato",$E544,0))),0,YEARFRAC(MAX($P$34*($B544+IF($R$17="Distrato",$I$38-1,0)),IF(AND($L$37=0,$P$34=0),"",$L$37-1),IF($R$17="Distrato",$E544,0)),MIN(AI$38,$D$19),$P$20))-SUM($P544:AH544)</f>
        <v>#VALUE!</v>
      </c>
      <c r="AJ544" s="446" t="e">
        <f>IF(OR($B544="",MIN(AJ$38,$D$19)&lt;MAX($P$34*($B544+IF($R$17="Distrato",$I$38-1,0)),IF(AND($L$37=0,$P$34=0),"",$L$37-1),IF($R$17="Distrato",$E544,0))),0,YEARFRAC(MAX($P$34*($B544+IF($R$17="Distrato",$I$38-1,0)),IF(AND($L$37=0,$P$34=0),"",$L$37-1),IF($R$17="Distrato",$E544,0)),MIN(AJ$38,$D$19),$P$20))-SUM($P544:AI544)</f>
        <v>#VALUE!</v>
      </c>
      <c r="AK544" s="446" t="e">
        <f>IF(OR($B544="",MIN(AK$38,$D$19)&lt;MAX($P$34*($B544+IF($R$17="Distrato",$I$38-1,0)),IF(AND($L$37=0,$P$34=0),"",$L$37-1),IF($R$17="Distrato",$E544,0))),0,YEARFRAC(MAX($P$34*($B544+IF($R$17="Distrato",$I$38-1,0)),IF(AND($L$37=0,$P$34=0),"",$L$37-1),IF($R$17="Distrato",$E544,0)),MIN(AK$38,$D$19),$P$20))-SUM($P544:AJ544)</f>
        <v>#VALUE!</v>
      </c>
      <c r="AL544" s="446" t="e">
        <f>IF(OR($B544="",MIN(AL$38,$D$19)&lt;MAX($P$34*($B544+IF($R$17="Distrato",$I$38-1,0)),IF(AND($L$37=0,$P$34=0),"",$L$37-1),IF($R$17="Distrato",$E544,0))),0,YEARFRAC(MAX($P$34*($B544+IF($R$17="Distrato",$I$38-1,0)),IF(AND($L$37=0,$P$34=0),"",$L$37-1),IF($R$17="Distrato",$E544,0)),MIN(AL$38,$D$19),$P$20))-SUM($P544:AK544)</f>
        <v>#VALUE!</v>
      </c>
      <c r="AM544" s="446" t="e">
        <f>IF(OR($B544="",MIN(AM$38,$D$19)&lt;MAX($P$34*($B544+IF($R$17="Distrato",$I$38-1,0)),IF(AND($L$37=0,$P$34=0),"",$L$37-1),IF($R$17="Distrato",$E544,0))),0,YEARFRAC(MAX($P$34*($B544+IF($R$17="Distrato",$I$38-1,0)),IF(AND($L$37=0,$P$34=0),"",$L$37-1),IF($R$17="Distrato",$E544,0)),MIN(AM$38,$D$19),$P$20))-SUM($P544:AL544)</f>
        <v>#VALUE!</v>
      </c>
      <c r="AN544" s="446" t="e">
        <f>IF(OR($B544="",MIN(AN$38,$D$19)&lt;MAX($P$34*($B544+IF($R$17="Distrato",$I$38-1,0)),IF(AND($L$37=0,$P$34=0),"",$L$37-1),IF($R$17="Distrato",$E544,0))),0,YEARFRAC(MAX($P$34*($B544+IF($R$17="Distrato",$I$38-1,0)),IF(AND($L$37=0,$P$34=0),"",$L$37-1),IF($R$17="Distrato",$E544,0)),MIN(AN$38,$D$19),$P$20))-SUM($P544:AM544)</f>
        <v>#VALUE!</v>
      </c>
      <c r="AO544" s="446" t="e">
        <f>IF(OR($B544="",MIN(AO$38,$D$19)&lt;MAX($P$34*($B544+IF($R$17="Distrato",$I$38-1,0)),IF(AND($L$37=0,$P$34=0),"",$L$37-1),IF($R$17="Distrato",$E544,0))),0,YEARFRAC(MAX($P$34*($B544+IF($R$17="Distrato",$I$38-1,0)),IF(AND($L$37=0,$P$34=0),"",$L$37-1),IF($R$17="Distrato",$E544,0)),MIN(AO$38,$D$19),$P$20))-SUM($P544:AN544)</f>
        <v>#VALUE!</v>
      </c>
      <c r="AP544" s="446" t="e">
        <f>IF(OR($B544="",MIN(AP$38,$D$19)&lt;MAX($P$34*($B544+IF($R$17="Distrato",$I$38-1,0)),IF(AND($L$37=0,$P$34=0),"",$L$37-1),IF($R$17="Distrato",$E544,0))),0,YEARFRAC(MAX($P$34*($B544+IF($R$17="Distrato",$I$38-1,0)),IF(AND($L$37=0,$P$34=0),"",$L$37-1),IF($R$17="Distrato",$E544,0)),MIN(AP$38,$D$19),$P$20))-SUM($P544:AO544)</f>
        <v>#VALUE!</v>
      </c>
      <c r="AQ544" s="446" t="e">
        <f>IF(OR($B544="",MIN(AQ$38,$D$19)&lt;MAX($P$34*($B544+IF($R$17="Distrato",$I$38-1,0)),IF(AND($L$37=0,$P$34=0),"",$L$37-1),IF($R$17="Distrato",$E544,0))),0,YEARFRAC(MAX($P$34*($B544+IF($R$17="Distrato",$I$38-1,0)),IF(AND($L$37=0,$P$34=0),"",$L$37-1),IF($R$17="Distrato",$E544,0)),MIN(AQ$38,$D$19),$P$20))-SUM($P544:AP544)</f>
        <v>#VALUE!</v>
      </c>
      <c r="AR544" s="446" t="e">
        <f>IF(OR($B544="",MIN(AR$38,$D$19)&lt;MAX($P$34*($B544+IF($R$17="Distrato",$I$38-1,0)),IF(AND($L$37=0,$P$34=0),"",$L$37-1),IF($R$17="Distrato",$E544,0))),0,YEARFRAC(MAX($P$34*($B544+IF($R$17="Distrato",$I$38-1,0)),IF(AND($L$37=0,$P$34=0),"",$L$37-1),IF($R$17="Distrato",$E544,0)),MIN(AR$38,$D$19),$P$20))-SUM($P544:AQ544)</f>
        <v>#VALUE!</v>
      </c>
      <c r="AS544" s="446" t="e">
        <f>IF(OR($B544="",MIN(AS$38,$D$19)&lt;MAX($P$34*($B544+IF($R$17="Distrato",$I$38-1,0)),IF(AND($L$37=0,$P$34=0),"",$L$37-1),IF($R$17="Distrato",$E544,0))),0,YEARFRAC(MAX($P$34*($B544+IF($R$17="Distrato",$I$38-1,0)),IF(AND($L$37=0,$P$34=0),"",$L$37-1),IF($R$17="Distrato",$E544,0)),MIN(AS$38,$D$19),$P$20))-SUM($P544:AR544)</f>
        <v>#VALUE!</v>
      </c>
      <c r="AT544" s="446" t="e">
        <f>IF(OR($B544="",MIN(AT$38,$D$19)&lt;MAX($P$34*($B544+IF($R$17="Distrato",$I$38-1,0)),IF(AND($L$37=0,$P$34=0),"",$L$37-1),IF($R$17="Distrato",$E544,0))),0,YEARFRAC(MAX($P$34*($B544+IF($R$17="Distrato",$I$38-1,0)),IF(AND($L$37=0,$P$34=0),"",$L$37-1),IF($R$17="Distrato",$E544,0)),MIN(AT$38,$D$19),$P$20))-SUM($P544:AS544)</f>
        <v>#VALUE!</v>
      </c>
      <c r="AU544" s="446" t="e">
        <f>IF(OR($B544="",MIN(AU$38,$D$19)&lt;MAX($P$34*($B544+IF($R$17="Distrato",$I$38-1,0)),IF(AND($L$37=0,$P$34=0),"",$L$37-1),IF($R$17="Distrato",$E544,0))),0,YEARFRAC(MAX($P$34*($B544+IF($R$17="Distrato",$I$38-1,0)),IF(AND($L$37=0,$P$34=0),"",$L$37-1),IF($R$17="Distrato",$E544,0)),MIN(AU$38,$D$19),$P$20))-SUM($P544:AT544)</f>
        <v>#VALUE!</v>
      </c>
      <c r="AV544" s="446" t="e">
        <f>IF(OR($B544="",MIN(AV$38,$D$19)&lt;MAX($P$34*($B544+IF($R$17="Distrato",$I$38-1,0)),IF(AND($L$37=0,$P$34=0),"",$L$37-1),IF($R$17="Distrato",$E544,0))),0,YEARFRAC(MAX($P$34*($B544+IF($R$17="Distrato",$I$38-1,0)),IF(AND($L$37=0,$P$34=0),"",$L$37-1),IF($R$17="Distrato",$E544,0)),MIN(AV$38,$D$19),$P$20))-SUM($P544:AU544)</f>
        <v>#VALUE!</v>
      </c>
      <c r="AW544" s="446" t="e">
        <f>IF(OR($B544="",MIN(AW$38,$D$19)&lt;MAX($P$34*($B544+IF($R$17="Distrato",$I$38-1,0)),IF(AND($L$37=0,$P$34=0),"",$L$37-1),IF($R$17="Distrato",$E544,0))),0,YEARFRAC(MAX($P$34*($B544+IF($R$17="Distrato",$I$38-1,0)),IF(AND($L$37=0,$P$34=0),"",$L$37-1),IF($R$17="Distrato",$E544,0)),MIN(AW$38,$D$19),$P$20))-SUM($P544:AV544)</f>
        <v>#VALUE!</v>
      </c>
      <c r="AX544" s="446" t="e">
        <f>IF(OR($B544="",MIN(AX$38,$D$19)&lt;MAX($P$34*($B544+IF($R$17="Distrato",$I$38-1,0)),IF(AND($L$37=0,$P$34=0),"",$L$37-1),IF($R$17="Distrato",$E544,0))),0,YEARFRAC(MAX($P$34*($B544+IF($R$17="Distrato",$I$38-1,0)),IF(AND($L$37=0,$P$34=0),"",$L$37-1),IF($R$17="Distrato",$E544,0)),MIN(AX$38,$D$19),$P$20))-SUM($P544:AW544)</f>
        <v>#VALUE!</v>
      </c>
      <c r="AY544" s="446" t="e">
        <f>IF(OR($B544="",MIN(AY$38,$D$19)&lt;MAX($P$34*($B544+IF($R$17="Distrato",$I$38-1,0)),IF(AND($L$37=0,$P$34=0),"",$L$37-1),IF($R$17="Distrato",$E544,0))),0,YEARFRAC(MAX($P$34*($B544+IF($R$17="Distrato",$I$38-1,0)),IF(AND($L$37=0,$P$34=0),"",$L$37-1),IF($R$17="Distrato",$E544,0)),MIN(AY$38,$D$19),$P$20))-SUM($P544:AX544)</f>
        <v>#VALUE!</v>
      </c>
      <c r="AZ544" s="446" t="e">
        <f>IF(OR($B544="",MIN(AZ$38,$D$19)&lt;MAX($P$34*($B544+IF($R$17="Distrato",$I$38-1,0)),IF(AND($L$37=0,$P$34=0),"",$L$37-1),IF($R$17="Distrato",$E544,0))),0,YEARFRAC(MAX($P$34*($B544+IF($R$17="Distrato",$I$38-1,0)),IF(AND($L$37=0,$P$34=0),"",$L$37-1),IF($R$17="Distrato",$E544,0)),MIN(AZ$38,$D$19),$P$20))-SUM($P544:AY544)</f>
        <v>#VALUE!</v>
      </c>
      <c r="BA544" s="446" t="e">
        <f>IF(OR($B544="",MIN(BA$38,$D$19)&lt;MAX($P$34*($B544+IF($R$17="Distrato",$I$38-1,0)),IF(AND($L$37=0,$P$34=0),"",$L$37-1),IF($R$17="Distrato",$E544,0))),0,YEARFRAC(MAX($P$34*($B544+IF($R$17="Distrato",$I$38-1,0)),IF(AND($L$37=0,$P$34=0),"",$L$37-1),IF($R$17="Distrato",$E544,0)),MIN(BA$38,$D$19),$P$20))-SUM($P544:AZ544)</f>
        <v>#VALUE!</v>
      </c>
      <c r="BB544" s="447"/>
      <c r="BF544" s="446">
        <f t="shared" si="87"/>
        <v>0</v>
      </c>
      <c r="BG544" s="446">
        <f>IF($E544=0,0,IF(MIN(BG$38,$E544)&lt;MAX($P$34*($B544+$I$38-1),IF(AND($L$37=0,$P$34=0),"",$L$37-1)),0,YEARFRAC(MAX($P$34*($B544+$I$38-1),IF(AND($L$37=0,$P$34=0),"",$L$37-1)),MIN(BG$38,$E544),$P$20))-SUM($BF544:BF544))</f>
        <v>0</v>
      </c>
      <c r="BH544" s="446">
        <f>IF($E544=0,0,IF(MIN(BH$38,$E544)&lt;MAX($P$34*($B544+$I$38-1),IF(AND($L$37=0,$P$34=0),"",$L$37-1)),0,YEARFRAC(MAX($P$34*($B544+$I$38-1),IF(AND($L$37=0,$P$34=0),"",$L$37-1)),MIN(BH$38,$E544),$P$20))-SUM($BF544:BG544))</f>
        <v>0</v>
      </c>
      <c r="BI544" s="446">
        <f>IF($E544=0,0,IF(MIN(BI$38,$E544)&lt;MAX($P$34*($B544+$I$38-1),IF(AND($L$37=0,$P$34=0),"",$L$37-1)),0,YEARFRAC(MAX($P$34*($B544+$I$38-1),IF(AND($L$37=0,$P$34=0),"",$L$37-1)),MIN(BI$38,$E544),$P$20))-SUM($BF544:BH544))</f>
        <v>0</v>
      </c>
      <c r="BJ544" s="446">
        <f>IF($E544=0,0,IF(MIN(BJ$38,$E544)&lt;MAX($P$34*($B544+$I$38-1),IF(AND($L$37=0,$P$34=0),"",$L$37-1)),0,YEARFRAC(MAX($P$34*($B544+$I$38-1),IF(AND($L$37=0,$P$34=0),"",$L$37-1)),MIN(BJ$38,$E544),$P$20))-SUM($BF544:BI544))</f>
        <v>0</v>
      </c>
      <c r="BK544" s="446">
        <f>IF($E544=0,0,IF(MIN(BK$38,$E544)&lt;MAX($P$34*($B544+$I$38-1),IF(AND($L$37=0,$P$34=0),"",$L$37-1)),0,YEARFRAC(MAX($P$34*($B544+$I$38-1),IF(AND($L$37=0,$P$34=0),"",$L$37-1)),MIN(BK$38,$E544),$P$20))-SUM($BF544:BJ544))</f>
        <v>0</v>
      </c>
      <c r="BL544" s="446">
        <f>IF($E544=0,0,IF(MIN(BL$38,$E544)&lt;MAX($P$34*($B544+$I$38-1),IF(AND($L$37=0,$P$34=0),"",$L$37-1)),0,YEARFRAC(MAX($P$34*($B544+$I$38-1),IF(AND($L$37=0,$P$34=0),"",$L$37-1)),MIN(BL$38,$E544),$P$20))-SUM($BF544:BK544))</f>
        <v>0</v>
      </c>
      <c r="BM544" s="446">
        <f>IF($E544=0,0,IF(MIN(BM$38,$E544)&lt;MAX($P$34*($B544+$I$38-1),IF(AND($L$37=0,$P$34=0),"",$L$37-1)),0,YEARFRAC(MAX($P$34*($B544+$I$38-1),IF(AND($L$37=0,$P$34=0),"",$L$37-1)),MIN(BM$38,$E544),$P$20))-SUM($BF544:BL544))</f>
        <v>0</v>
      </c>
      <c r="BN544" s="446">
        <f>IF($E544=0,0,IF(MIN(BN$38,$E544)&lt;MAX($P$34*($B544+$I$38-1),IF(AND($L$37=0,$P$34=0),"",$L$37-1)),0,YEARFRAC(MAX($P$34*($B544+$I$38-1),IF(AND($L$37=0,$P$34=0),"",$L$37-1)),MIN(BN$38,$E544),$P$20))-SUM($BF544:BM544))</f>
        <v>0</v>
      </c>
      <c r="BO544" s="446">
        <f>IF($E544=0,0,IF(MIN(BO$38,$E544)&lt;MAX($P$34*($B544+$I$38-1),IF(AND($L$37=0,$P$34=0),"",$L$37-1)),0,YEARFRAC(MAX($P$34*($B544+$I$38-1),IF(AND($L$37=0,$P$34=0),"",$L$37-1)),MIN(BO$38,$E544),$P$20))-SUM($BF544:BN544))</f>
        <v>0</v>
      </c>
      <c r="BP544" s="446">
        <f>IF($E544=0,0,IF(MIN(BP$38,$E544)&lt;MAX($P$34*($B544+$I$38-1),IF(AND($L$37=0,$P$34=0),"",$L$37-1)),0,YEARFRAC(MAX($P$34*($B544+$I$38-1),IF(AND($L$37=0,$P$34=0),"",$L$37-1)),MIN(BP$38,$E544),$P$20))-SUM($BF544:BO544))</f>
        <v>0</v>
      </c>
      <c r="BQ544" s="446">
        <f>IF($E544=0,0,IF(MIN(BQ$38,$E544)&lt;MAX($P$34*($B544+$I$38-1),IF(AND($L$37=0,$P$34=0),"",$L$37-1)),0,YEARFRAC(MAX($P$34*($B544+$I$38-1),IF(AND($L$37=0,$P$34=0),"",$L$37-1)),MIN(BQ$38,$E544),$P$20))-SUM($BF544:BP544))</f>
        <v>0</v>
      </c>
      <c r="BR544" s="446">
        <f>IF($E544=0,0,IF(MIN(BR$38,$E544)&lt;MAX($P$34*($B544+$I$38-1),IF(AND($L$37=0,$P$34=0),"",$L$37-1)),0,YEARFRAC(MAX($P$34*($B544+$I$38-1),IF(AND($L$37=0,$P$34=0),"",$L$37-1)),MIN(BR$38,$E544),$P$20))-SUM($BF544:BQ544))</f>
        <v>0</v>
      </c>
      <c r="BS544" s="446">
        <f>IF($E544=0,0,IF(MIN(BS$38,$E544)&lt;MAX($P$34*($B544+$I$38-1),IF(AND($L$37=0,$P$34=0),"",$L$37-1)),0,YEARFRAC(MAX($P$34*($B544+$I$38-1),IF(AND($L$37=0,$P$34=0),"",$L$37-1)),MIN(BS$38,$E544),$P$20))-SUM($BF544:BR544))</f>
        <v>0</v>
      </c>
      <c r="BT544" s="446">
        <f>IF($E544=0,0,IF(MIN(BT$38,$E544)&lt;MAX($P$34*($B544+$I$38-1),IF(AND($L$37=0,$P$34=0),"",$L$37-1)),0,YEARFRAC(MAX($P$34*($B544+$I$38-1),IF(AND($L$37=0,$P$34=0),"",$L$37-1)),MIN(BT$38,$E544),$P$20))-SUM($BF544:BS544))</f>
        <v>0</v>
      </c>
      <c r="BU544" s="446">
        <f>IF($E544=0,0,IF(MIN(BU$38,$E544)&lt;MAX($P$34*($B544+$I$38-1),IF(AND($L$37=0,$P$34=0),"",$L$37-1)),0,YEARFRAC(MAX($P$34*($B544+$I$38-1),IF(AND($L$37=0,$P$34=0),"",$L$37-1)),MIN(BU$38,$E544),$P$20))-SUM($BF544:BT544))</f>
        <v>0</v>
      </c>
      <c r="BV544" s="446">
        <f>IF($E544=0,0,IF(MIN(BV$38,$E544)&lt;MAX($P$34*($B544+$I$38-1),IF(AND($L$37=0,$P$34=0),"",$L$37-1)),0,YEARFRAC(MAX($P$34*($B544+$I$38-1),IF(AND($L$37=0,$P$34=0),"",$L$37-1)),MIN(BV$38,$E544),$P$20))-SUM($BF544:BU544))</f>
        <v>0</v>
      </c>
      <c r="BW544" s="446">
        <f>IF($E544=0,0,IF(MIN(BW$38,$E544)&lt;MAX($P$34*($B544+$I$38-1),IF(AND($L$37=0,$P$34=0),"",$L$37-1)),0,YEARFRAC(MAX($P$34*($B544+$I$38-1),IF(AND($L$37=0,$P$34=0),"",$L$37-1)),MIN(BW$38,$E544),$P$20))-SUM($BF544:BV544))</f>
        <v>0</v>
      </c>
      <c r="BX544" s="446">
        <f>IF($E544=0,0,IF(MIN(BX$38,$E544)&lt;MAX($P$34*($B544+$I$38-1),IF(AND($L$37=0,$P$34=0),"",$L$37-1)),0,YEARFRAC(MAX($P$34*($B544+$I$38-1),IF(AND($L$37=0,$P$34=0),"",$L$37-1)),MIN(BX$38,$E544),$P$20))-SUM($BF544:BW544))</f>
        <v>0</v>
      </c>
      <c r="BY544" s="446">
        <f>IF($E544=0,0,IF(MIN(BY$38,$E544)&lt;MAX($P$34*($B544+$I$38-1),IF(AND($L$37=0,$P$34=0),"",$L$37-1)),0,YEARFRAC(MAX($P$34*($B544+$I$38-1),IF(AND($L$37=0,$P$34=0),"",$L$37-1)),MIN(BY$38,$E544),$P$20))-SUM($BF544:BX544))</f>
        <v>0</v>
      </c>
      <c r="BZ544" s="446">
        <f>IF($E544=0,0,IF(MIN(BZ$38,$E544)&lt;MAX($P$34*($B544+$I$38-1),IF(AND($L$37=0,$P$34=0),"",$L$37-1)),0,YEARFRAC(MAX($P$34*($B544+$I$38-1),IF(AND($L$37=0,$P$34=0),"",$L$37-1)),MIN(BZ$38,$E544),$P$20))-SUM($BF544:BY544))</f>
        <v>0</v>
      </c>
      <c r="CA544" s="446">
        <f>IF($E544=0,0,IF(MIN(CA$38,$E544)&lt;MAX($P$34*($B544+$I$38-1),IF(AND($L$37=0,$P$34=0),"",$L$37-1)),0,YEARFRAC(MAX($P$34*($B544+$I$38-1),IF(AND($L$37=0,$P$34=0),"",$L$37-1)),MIN(CA$38,$E544),$P$20))-SUM($BF544:BZ544))</f>
        <v>0</v>
      </c>
      <c r="CB544" s="446">
        <f>IF($E544=0,0,IF(MIN(CB$38,$E544)&lt;MAX($P$34*($B544+$I$38-1),IF(AND($L$37=0,$P$34=0),"",$L$37-1)),0,YEARFRAC(MAX($P$34*($B544+$I$38-1),IF(AND($L$37=0,$P$34=0),"",$L$37-1)),MIN(CB$38,$E544),$P$20))-SUM($BF544:CA544))</f>
        <v>0</v>
      </c>
      <c r="CC544" s="446">
        <f>IF($E544=0,0,IF(MIN(CC$38,$E544)&lt;MAX($P$34*($B544+$I$38-1),IF(AND($L$37=0,$P$34=0),"",$L$37-1)),0,YEARFRAC(MAX($P$34*($B544+$I$38-1),IF(AND($L$37=0,$P$34=0),"",$L$37-1)),MIN(CC$38,$E544),$P$20))-SUM($BF544:CB544))</f>
        <v>0</v>
      </c>
      <c r="CD544" s="446">
        <f>IF($E544=0,0,IF(MIN(CD$38,$E544)&lt;MAX($P$34*($B544+$I$38-1),IF(AND($L$37=0,$P$34=0),"",$L$37-1)),0,YEARFRAC(MAX($P$34*($B544+$I$38-1),IF(AND($L$37=0,$P$34=0),"",$L$37-1)),MIN(CD$38,$E544),$P$20))-SUM($BF544:CC544))</f>
        <v>0</v>
      </c>
      <c r="CE544" s="446">
        <f>IF($E544=0,0,IF(MIN(CE$38,$E544)&lt;MAX($P$34*($B544+$I$38-1),IF(AND($L$37=0,$P$34=0),"",$L$37-1)),0,YEARFRAC(MAX($P$34*($B544+$I$38-1),IF(AND($L$37=0,$P$34=0),"",$L$37-1)),MIN(CE$38,$E544),$P$20))-SUM($BF544:CD544))</f>
        <v>0</v>
      </c>
      <c r="CF544" s="446">
        <f>IF($E544=0,0,IF(MIN(CF$38,$E544)&lt;MAX($P$34*($B544+$I$38-1),IF(AND($L$37=0,$P$34=0),"",$L$37-1)),0,YEARFRAC(MAX($P$34*($B544+$I$38-1),IF(AND($L$37=0,$P$34=0),"",$L$37-1)),MIN(CF$38,$E544),$P$20))-SUM($BF544:CE544))</f>
        <v>0</v>
      </c>
      <c r="CG544" s="446">
        <f>IF($E544=0,0,IF(MIN(CG$38,$E544)&lt;MAX($P$34*($B544+$I$38-1),IF(AND($L$37=0,$P$34=0),"",$L$37-1)),0,YEARFRAC(MAX($P$34*($B544+$I$38-1),IF(AND($L$37=0,$P$34=0),"",$L$37-1)),MIN(CG$38,$E544),$P$20))-SUM($BF544:CF544))</f>
        <v>0</v>
      </c>
      <c r="CH544" s="446">
        <f>IF($E544=0,0,IF(MIN(CH$38,$E544)&lt;MAX($P$34*($B544+$I$38-1),IF(AND($L$37=0,$P$34=0),"",$L$37-1)),0,YEARFRAC(MAX($P$34*($B544+$I$38-1),IF(AND($L$37=0,$P$34=0),"",$L$37-1)),MIN(CH$38,$E544),$P$20))-SUM($BF544:CG544))</f>
        <v>0</v>
      </c>
      <c r="CI544" s="446">
        <f>IF($E544=0,0,IF(MIN(CI$38,$E544)&lt;MAX($P$34*($B544+$I$38-1),IF(AND($L$37=0,$P$34=0),"",$L$37-1)),0,YEARFRAC(MAX($P$34*($B544+$I$38-1),IF(AND($L$37=0,$P$34=0),"",$L$37-1)),MIN(CI$38,$E544),$P$20))-SUM($BF544:CH544))</f>
        <v>0</v>
      </c>
      <c r="CJ544" s="446">
        <f>IF($E544=0,0,IF(MIN(CJ$38,$E544)&lt;MAX($P$34*($B544+$I$38-1),IF(AND($L$37=0,$P$34=0),"",$L$37-1)),0,YEARFRAC(MAX($P$34*($B544+$I$38-1),IF(AND($L$37=0,$P$34=0),"",$L$37-1)),MIN(CJ$38,$E544),$P$20))-SUM($BF544:CI544))</f>
        <v>0</v>
      </c>
      <c r="CK544" s="446">
        <f>IF($E544=0,0,IF(MIN(CK$38,$E544)&lt;MAX($P$34*($B544+$I$38-1),IF(AND($L$37=0,$P$34=0),"",$L$37-1)),0,YEARFRAC(MAX($P$34*($B544+$I$38-1),IF(AND($L$37=0,$P$34=0),"",$L$37-1)),MIN(CK$38,$E544),$P$20))-SUM($BF544:CJ544))</f>
        <v>0</v>
      </c>
      <c r="CL544" s="446">
        <f>IF($E544=0,0,IF(MIN(CL$38,$E544)&lt;MAX($P$34*($B544+$I$38-1),IF(AND($L$37=0,$P$34=0),"",$L$37-1)),0,YEARFRAC(MAX($P$34*($B544+$I$38-1),IF(AND($L$37=0,$P$34=0),"",$L$37-1)),MIN(CL$38,$E544),$P$20))-SUM($BF544:CK544))</f>
        <v>0</v>
      </c>
      <c r="CM544" s="446">
        <f>IF($E544=0,0,IF(MIN(CM$38,$E544)&lt;MAX($P$34*($B544+$I$38-1),IF(AND($L$37=0,$P$34=0),"",$L$37-1)),0,YEARFRAC(MAX($P$34*($B544+$I$38-1),IF(AND($L$37=0,$P$34=0),"",$L$37-1)),MIN(CM$38,$E544),$P$20))-SUM($BF544:CL544))</f>
        <v>0</v>
      </c>
      <c r="CN544" s="446">
        <f>IF($E544=0,0,IF(MIN(CN$38,$E544)&lt;MAX($P$34*($B544+$I$38-1),IF(AND($L$37=0,$P$34=0),"",$L$37-1)),0,YEARFRAC(MAX($P$34*($B544+$I$38-1),IF(AND($L$37=0,$P$34=0),"",$L$37-1)),MIN(CN$38,$E544),$P$20))-SUM($BF544:CM544))</f>
        <v>0</v>
      </c>
      <c r="CO544" s="446">
        <f>IF($E544=0,0,IF(MIN(CO$38,$E544)&lt;MAX($P$34*($B544+$I$38-1),IF(AND($L$37=0,$P$34=0),"",$L$37-1)),0,YEARFRAC(MAX($P$34*($B544+$I$38-1),IF(AND($L$37=0,$P$34=0),"",$L$37-1)),MIN(CO$38,$E544),$P$20))-SUM($BF544:CN544))</f>
        <v>0</v>
      </c>
      <c r="CP544" s="446">
        <f>IF($E544=0,0,IF(MIN(CP$38,$E544)&lt;MAX($P$34*($B544+$I$38-1),IF(AND($L$37=0,$P$34=0),"",$L$37-1)),0,YEARFRAC(MAX($P$34*($B544+$I$38-1),IF(AND($L$37=0,$P$34=0),"",$L$37-1)),MIN(CP$38,$E544),$P$20))-SUM($BF544:CO544))</f>
        <v>0</v>
      </c>
      <c r="CQ544" s="446">
        <f>IF($E544=0,0,IF(MIN(CQ$38,$E544)&lt;MAX($P$34*($B544+$I$38-1),IF(AND($L$37=0,$P$34=0),"",$L$37-1)),0,YEARFRAC(MAX($P$34*($B544+$I$38-1),IF(AND($L$37=0,$P$34=0),"",$L$37-1)),MIN(CQ$38,$E544),$P$20))-SUM($BF544:CP544))</f>
        <v>0</v>
      </c>
    </row>
    <row r="545" spans="1:95" s="446" customFormat="1" ht="11.25" hidden="1" customHeight="1" x14ac:dyDescent="0.2">
      <c r="A545" s="152"/>
      <c r="B545" s="153" t="str">
        <f t="shared" si="92"/>
        <v/>
      </c>
      <c r="C545" s="29" t="str">
        <f>IF(B545="","",IF($L$35="SELIC - TRIBUTOS",VLOOKUP(DATE(YEAR($D$19),MONTH($D$19)-1,1),ÍNDICES!$A:$DE,HLOOKUP($BL$25,ÍNDICES!$B$3:$T$4,2)+11)-VLOOKUP(B545,ÍNDICES!$A:$DE,HLOOKUP($BL$25,ÍNDICES!$B$3:$T$4,2)+11)+1%,IF(C$38=$W$26,$J$35,IF(ISERROR(IF(B545&gt;$D$19,1,VLOOKUP(DATE(YEAR(B545),MONTH(B545)+IF($C$35=$S$23,1,0),1),ÍNDICES!$A:$DE,$Z$35+1))),"",IF(B545&gt;$D$19,1,VLOOKUP(DATE(YEAR(B545),MONTH(B545)+IF($C$35=$S$23,1,0),1),ÍNDICES!$A:$DE,$Z$35+1))))))</f>
        <v/>
      </c>
      <c r="D545" s="154" t="str">
        <f>IF(ISERROR(IF(OR($D$38=$Y$27,$B545=""),"",VLOOKUP(B545,ÍNDICES!A:DE,AF$35+1))),"",IF(OR($D$38=$Y$27,$B545=""),"",VLOOKUP(B545,ÍNDICES!A:DE,AF$35+1)))</f>
        <v/>
      </c>
      <c r="E545" s="153"/>
      <c r="F545" s="29" t="str">
        <f>IF(E545="","",IF($L$35="SELIC - TRIBUTOS",VLOOKUP(DATE(YEAR($D$19),MONTH($D$19)-1,1),ÍNDICES!$A:$DE,HLOOKUP($BL$25,ÍNDICES!$B$3:$T$4,2)+11)-VLOOKUP(E545,ÍNDICES!$A:$DE,HLOOKUP($BL$25,ÍNDICES!$B$3:$T$4,2)+11)+1%,IF(F$38=$W$26,$J$35,IF(ISERROR(IF(E545&gt;$D$19,1,VLOOKUP(DATE(YEAR(E545),MONTH(E545)+IF($C$35=$S$23,1,0),1),ÍNDICES!$A:$DE,$Z$35+1))),"",IF(E545&gt;$D$19,1,VLOOKUP(DATE(YEAR(E545),MONTH(E545)+IF($C$35=$S$23,1,0),1),ÍNDICES!$A:$DE,$Z$35+1))))))</f>
        <v/>
      </c>
      <c r="G545" s="155"/>
      <c r="H545" s="156" t="str">
        <f t="shared" si="88"/>
        <v/>
      </c>
      <c r="I545" s="29" t="str">
        <f t="shared" si="82"/>
        <v/>
      </c>
      <c r="J545" s="5">
        <f t="shared" si="83"/>
        <v>0</v>
      </c>
      <c r="K545" s="20">
        <f t="shared" ca="1" si="84"/>
        <v>0</v>
      </c>
      <c r="L545" s="5">
        <f t="shared" ca="1" si="85"/>
        <v>0</v>
      </c>
      <c r="M545" s="64">
        <f t="shared" si="89"/>
        <v>0</v>
      </c>
      <c r="N545" s="61">
        <f t="shared" ca="1" si="90"/>
        <v>0</v>
      </c>
      <c r="O545" s="5">
        <f t="shared" ca="1" si="91"/>
        <v>0</v>
      </c>
      <c r="P545" s="446" t="e">
        <f t="shared" si="86"/>
        <v>#VALUE!</v>
      </c>
      <c r="Q545" s="446" t="e">
        <f>IF(OR($B545="",MIN(Q$38,$D$19)&lt;MAX($P$34*($B545+IF($R$17="Distrato",$I$38-1,0)),IF(AND($L$37=0,$P$34=0),"",$L$37-1),IF($R$17="Distrato",$E545,0))),0,YEARFRAC(MAX($P$34*($B545+IF($R$17="Distrato",$I$38-1,0)),IF(AND($L$37=0,$P$34=0),"",$L$37-1),IF($R$17="Distrato",$E545,0)),MIN(Q$38,$D$19),$P$20))-SUM($P545:P545)</f>
        <v>#VALUE!</v>
      </c>
      <c r="R545" s="446" t="e">
        <f>IF(OR($B545="",MIN(R$38,$D$19)&lt;MAX($P$34*($B545+IF($R$17="Distrato",$I$38-1,0)),IF(AND($L$37=0,$P$34=0),"",$L$37-1),IF($R$17="Distrato",$E545,0))),0,YEARFRAC(MAX($P$34*($B545+IF($R$17="Distrato",$I$38-1,0)),IF(AND($L$37=0,$P$34=0),"",$L$37-1),IF($R$17="Distrato",$E545,0)),MIN(R$38,$D$19),$P$20))-SUM($P545:Q545)</f>
        <v>#VALUE!</v>
      </c>
      <c r="S545" s="446" t="e">
        <f>IF(OR($B545="",MIN(S$38,$D$19)&lt;MAX($P$34*($B545+IF($R$17="Distrato",$I$38-1,0)),IF(AND($L$37=0,$P$34=0),"",$L$37-1),IF($R$17="Distrato",$E545,0))),0,YEARFRAC(MAX($P$34*($B545+IF($R$17="Distrato",$I$38-1,0)),IF(AND($L$37=0,$P$34=0),"",$L$37-1),IF($R$17="Distrato",$E545,0)),MIN(S$38,$D$19),$P$20))-SUM($P545:R545)</f>
        <v>#VALUE!</v>
      </c>
      <c r="T545" s="446" t="e">
        <f>IF(OR($B545="",MIN(T$38,$D$19)&lt;MAX($P$34*($B545+IF($R$17="Distrato",$I$38-1,0)),IF(AND($L$37=0,$P$34=0),"",$L$37-1),IF($R$17="Distrato",$E545,0))),0,YEARFRAC(MAX($P$34*($B545+IF($R$17="Distrato",$I$38-1,0)),IF(AND($L$37=0,$P$34=0),"",$L$37-1),IF($R$17="Distrato",$E545,0)),MIN(T$38,$D$19),$P$20))-SUM($P545:S545)</f>
        <v>#VALUE!</v>
      </c>
      <c r="U545" s="446" t="e">
        <f>IF(OR($B545="",MIN(U$38,$D$19)&lt;MAX($P$34*($B545+IF($R$17="Distrato",$I$38-1,0)),IF(AND($L$37=0,$P$34=0),"",$L$37-1),IF($R$17="Distrato",$E545,0))),0,YEARFRAC(MAX($P$34*($B545+IF($R$17="Distrato",$I$38-1,0)),IF(AND($L$37=0,$P$34=0),"",$L$37-1),IF($R$17="Distrato",$E545,0)),MIN(U$38,$D$19),$P$20))-SUM($P545:T545)</f>
        <v>#VALUE!</v>
      </c>
      <c r="V545" s="446" t="e">
        <f>IF(OR($B545="",MIN(V$38,$D$19)&lt;MAX($P$34*($B545+IF($R$17="Distrato",$I$38-1,0)),IF(AND($L$37=0,$P$34=0),"",$L$37-1),IF($R$17="Distrato",$E545,0))),0,YEARFRAC(MAX($P$34*($B545+IF($R$17="Distrato",$I$38-1,0)),IF(AND($L$37=0,$P$34=0),"",$L$37-1),IF($R$17="Distrato",$E545,0)),MIN(V$38,$D$19),$P$20))-SUM($P545:U545)</f>
        <v>#VALUE!</v>
      </c>
      <c r="W545" s="446" t="e">
        <f>IF(OR($B545="",MIN(W$38,$D$19)&lt;MAX($P$34*($B545+IF($R$17="Distrato",$I$38-1,0)),IF(AND($L$37=0,$P$34=0),"",$L$37-1),IF($R$17="Distrato",$E545,0))),0,YEARFRAC(MAX($P$34*($B545+IF($R$17="Distrato",$I$38-1,0)),IF(AND($L$37=0,$P$34=0),"",$L$37-1),IF($R$17="Distrato",$E545,0)),MIN(W$38,$D$19),$P$20))-SUM($P545:V545)</f>
        <v>#VALUE!</v>
      </c>
      <c r="X545" s="446" t="e">
        <f>IF(OR($B545="",MIN(X$38,$D$19)&lt;MAX($P$34*($B545+IF($R$17="Distrato",$I$38-1,0)),IF(AND($L$37=0,$P$34=0),"",$L$37-1),IF($R$17="Distrato",$E545,0))),0,YEARFRAC(MAX($P$34*($B545+IF($R$17="Distrato",$I$38-1,0)),IF(AND($L$37=0,$P$34=0),"",$L$37-1),IF($R$17="Distrato",$E545,0)),MIN(X$38,$D$19),$P$20))-SUM($P545:W545)</f>
        <v>#VALUE!</v>
      </c>
      <c r="Y545" s="446" t="e">
        <f>IF(OR($B545="",MIN(Y$38,$D$19)&lt;MAX($P$34*($B545+IF($R$17="Distrato",$I$38-1,0)),IF(AND($L$37=0,$P$34=0),"",$L$37-1),IF($R$17="Distrato",$E545,0))),0,YEARFRAC(MAX($P$34*($B545+IF($R$17="Distrato",$I$38-1,0)),IF(AND($L$37=0,$P$34=0),"",$L$37-1),IF($R$17="Distrato",$E545,0)),MIN(Y$38,$D$19),$P$20))-SUM($P545:X545)</f>
        <v>#VALUE!</v>
      </c>
      <c r="Z545" s="446" t="e">
        <f>IF(OR($B545="",MIN(Z$38,$D$19)&lt;MAX($P$34*($B545+IF($R$17="Distrato",$I$38-1,0)),IF(AND($L$37=0,$P$34=0),"",$L$37-1),IF($R$17="Distrato",$E545,0))),0,YEARFRAC(MAX($P$34*($B545+IF($R$17="Distrato",$I$38-1,0)),IF(AND($L$37=0,$P$34=0),"",$L$37-1),IF($R$17="Distrato",$E545,0)),MIN(Z$38,$D$19),$P$20))-SUM($P545:Y545)</f>
        <v>#VALUE!</v>
      </c>
      <c r="AA545" s="446" t="e">
        <f>IF(OR($B545="",MIN(AA$38,$D$19)&lt;MAX($P$34*($B545+IF($R$17="Distrato",$I$38-1,0)),IF(AND($L$37=0,$P$34=0),"",$L$37-1),IF($R$17="Distrato",$E545,0))),0,YEARFRAC(MAX($P$34*($B545+IF($R$17="Distrato",$I$38-1,0)),IF(AND($L$37=0,$P$34=0),"",$L$37-1),IF($R$17="Distrato",$E545,0)),MIN(AA$38,$D$19),$P$20))-SUM($P545:Z545)</f>
        <v>#VALUE!</v>
      </c>
      <c r="AB545" s="446" t="e">
        <f>IF(OR($B545="",MIN(AB$38,$D$19)&lt;MAX($P$34*($B545+IF($R$17="Distrato",$I$38-1,0)),IF(AND($L$37=0,$P$34=0),"",$L$37-1),IF($R$17="Distrato",$E545,0))),0,YEARFRAC(MAX($P$34*($B545+IF($R$17="Distrato",$I$38-1,0)),IF(AND($L$37=0,$P$34=0),"",$L$37-1),IF($R$17="Distrato",$E545,0)),MIN(AB$38,$D$19),$P$20))-SUM($P545:AA545)</f>
        <v>#VALUE!</v>
      </c>
      <c r="AC545" s="446" t="e">
        <f>IF(OR($B545="",MIN(AC$38,$D$19)&lt;MAX($P$34*($B545+IF($R$17="Distrato",$I$38-1,0)),IF(AND($L$37=0,$P$34=0),"",$L$37-1),IF($R$17="Distrato",$E545,0))),0,YEARFRAC(MAX($P$34*($B545+IF($R$17="Distrato",$I$38-1,0)),IF(AND($L$37=0,$P$34=0),"",$L$37-1),IF($R$17="Distrato",$E545,0)),MIN(AC$38,$D$19),$P$20))-SUM($P545:AB545)</f>
        <v>#VALUE!</v>
      </c>
      <c r="AD545" s="446" t="e">
        <f>IF(OR($B545="",MIN(AD$38,$D$19)&lt;MAX($P$34*($B545+IF($R$17="Distrato",$I$38-1,0)),IF(AND($L$37=0,$P$34=0),"",$L$37-1),IF($R$17="Distrato",$E545,0))),0,YEARFRAC(MAX($P$34*($B545+IF($R$17="Distrato",$I$38-1,0)),IF(AND($L$37=0,$P$34=0),"",$L$37-1),IF($R$17="Distrato",$E545,0)),MIN(AD$38,$D$19),$P$20))-SUM($P545:AC545)</f>
        <v>#VALUE!</v>
      </c>
      <c r="AE545" s="446" t="e">
        <f>IF(OR($B545="",MIN(AE$38,$D$19)&lt;MAX($P$34*($B545+IF($R$17="Distrato",$I$38-1,0)),IF(AND($L$37=0,$P$34=0),"",$L$37-1),IF($R$17="Distrato",$E545,0))),0,YEARFRAC(MAX($P$34*($B545+IF($R$17="Distrato",$I$38-1,0)),IF(AND($L$37=0,$P$34=0),"",$L$37-1),IF($R$17="Distrato",$E545,0)),MIN(AE$38,$D$19),$P$20))-SUM($P545:AD545)</f>
        <v>#VALUE!</v>
      </c>
      <c r="AF545" s="446" t="e">
        <f>IF(OR($B545="",MIN(AF$38,$D$19)&lt;MAX($P$34*($B545+IF($R$17="Distrato",$I$38-1,0)),IF(AND($L$37=0,$P$34=0),"",$L$37-1),IF($R$17="Distrato",$E545,0))),0,YEARFRAC(MAX($P$34*($B545+IF($R$17="Distrato",$I$38-1,0)),IF(AND($L$37=0,$P$34=0),"",$L$37-1),IF($R$17="Distrato",$E545,0)),MIN(AF$38,$D$19),$P$20))-SUM($P545:AE545)</f>
        <v>#VALUE!</v>
      </c>
      <c r="AG545" s="446" t="e">
        <f>IF(OR($B545="",MIN(AG$38,$D$19)&lt;MAX($P$34*($B545+IF($R$17="Distrato",$I$38-1,0)),IF(AND($L$37=0,$P$34=0),"",$L$37-1),IF($R$17="Distrato",$E545,0))),0,YEARFRAC(MAX($P$34*($B545+IF($R$17="Distrato",$I$38-1,0)),IF(AND($L$37=0,$P$34=0),"",$L$37-1),IF($R$17="Distrato",$E545,0)),MIN(AG$38,$D$19),$P$20))-SUM($P545:AF545)</f>
        <v>#VALUE!</v>
      </c>
      <c r="AH545" s="446" t="e">
        <f>IF(OR($B545="",MIN(AH$38,$D$19)&lt;MAX($P$34*($B545+IF($R$17="Distrato",$I$38-1,0)),IF(AND($L$37=0,$P$34=0),"",$L$37-1),IF($R$17="Distrato",$E545,0))),0,YEARFRAC(MAX($P$34*($B545+IF($R$17="Distrato",$I$38-1,0)),IF(AND($L$37=0,$P$34=0),"",$L$37-1),IF($R$17="Distrato",$E545,0)),MIN(AH$38,$D$19),$P$20))-SUM($P545:AG545)</f>
        <v>#VALUE!</v>
      </c>
      <c r="AI545" s="446" t="e">
        <f>IF(OR($B545="",MIN(AI$38,$D$19)&lt;MAX($P$34*($B545+IF($R$17="Distrato",$I$38-1,0)),IF(AND($L$37=0,$P$34=0),"",$L$37-1),IF($R$17="Distrato",$E545,0))),0,YEARFRAC(MAX($P$34*($B545+IF($R$17="Distrato",$I$38-1,0)),IF(AND($L$37=0,$P$34=0),"",$L$37-1),IF($R$17="Distrato",$E545,0)),MIN(AI$38,$D$19),$P$20))-SUM($P545:AH545)</f>
        <v>#VALUE!</v>
      </c>
      <c r="AJ545" s="446" t="e">
        <f>IF(OR($B545="",MIN(AJ$38,$D$19)&lt;MAX($P$34*($B545+IF($R$17="Distrato",$I$38-1,0)),IF(AND($L$37=0,$P$34=0),"",$L$37-1),IF($R$17="Distrato",$E545,0))),0,YEARFRAC(MAX($P$34*($B545+IF($R$17="Distrato",$I$38-1,0)),IF(AND($L$37=0,$P$34=0),"",$L$37-1),IF($R$17="Distrato",$E545,0)),MIN(AJ$38,$D$19),$P$20))-SUM($P545:AI545)</f>
        <v>#VALUE!</v>
      </c>
      <c r="AK545" s="446" t="e">
        <f>IF(OR($B545="",MIN(AK$38,$D$19)&lt;MAX($P$34*($B545+IF($R$17="Distrato",$I$38-1,0)),IF(AND($L$37=0,$P$34=0),"",$L$37-1),IF($R$17="Distrato",$E545,0))),0,YEARFRAC(MAX($P$34*($B545+IF($R$17="Distrato",$I$38-1,0)),IF(AND($L$37=0,$P$34=0),"",$L$37-1),IF($R$17="Distrato",$E545,0)),MIN(AK$38,$D$19),$P$20))-SUM($P545:AJ545)</f>
        <v>#VALUE!</v>
      </c>
      <c r="AL545" s="446" t="e">
        <f>IF(OR($B545="",MIN(AL$38,$D$19)&lt;MAX($P$34*($B545+IF($R$17="Distrato",$I$38-1,0)),IF(AND($L$37=0,$P$34=0),"",$L$37-1),IF($R$17="Distrato",$E545,0))),0,YEARFRAC(MAX($P$34*($B545+IF($R$17="Distrato",$I$38-1,0)),IF(AND($L$37=0,$P$34=0),"",$L$37-1),IF($R$17="Distrato",$E545,0)),MIN(AL$38,$D$19),$P$20))-SUM($P545:AK545)</f>
        <v>#VALUE!</v>
      </c>
      <c r="AM545" s="446" t="e">
        <f>IF(OR($B545="",MIN(AM$38,$D$19)&lt;MAX($P$34*($B545+IF($R$17="Distrato",$I$38-1,0)),IF(AND($L$37=0,$P$34=0),"",$L$37-1),IF($R$17="Distrato",$E545,0))),0,YEARFRAC(MAX($P$34*($B545+IF($R$17="Distrato",$I$38-1,0)),IF(AND($L$37=0,$P$34=0),"",$L$37-1),IF($R$17="Distrato",$E545,0)),MIN(AM$38,$D$19),$P$20))-SUM($P545:AL545)</f>
        <v>#VALUE!</v>
      </c>
      <c r="AN545" s="446" t="e">
        <f>IF(OR($B545="",MIN(AN$38,$D$19)&lt;MAX($P$34*($B545+IF($R$17="Distrato",$I$38-1,0)),IF(AND($L$37=0,$P$34=0),"",$L$37-1),IF($R$17="Distrato",$E545,0))),0,YEARFRAC(MAX($P$34*($B545+IF($R$17="Distrato",$I$38-1,0)),IF(AND($L$37=0,$P$34=0),"",$L$37-1),IF($R$17="Distrato",$E545,0)),MIN(AN$38,$D$19),$P$20))-SUM($P545:AM545)</f>
        <v>#VALUE!</v>
      </c>
      <c r="AO545" s="446" t="e">
        <f>IF(OR($B545="",MIN(AO$38,$D$19)&lt;MAX($P$34*($B545+IF($R$17="Distrato",$I$38-1,0)),IF(AND($L$37=0,$P$34=0),"",$L$37-1),IF($R$17="Distrato",$E545,0))),0,YEARFRAC(MAX($P$34*($B545+IF($R$17="Distrato",$I$38-1,0)),IF(AND($L$37=0,$P$34=0),"",$L$37-1),IF($R$17="Distrato",$E545,0)),MIN(AO$38,$D$19),$P$20))-SUM($P545:AN545)</f>
        <v>#VALUE!</v>
      </c>
      <c r="AP545" s="446" t="e">
        <f>IF(OR($B545="",MIN(AP$38,$D$19)&lt;MAX($P$34*($B545+IF($R$17="Distrato",$I$38-1,0)),IF(AND($L$37=0,$P$34=0),"",$L$37-1),IF($R$17="Distrato",$E545,0))),0,YEARFRAC(MAX($P$34*($B545+IF($R$17="Distrato",$I$38-1,0)),IF(AND($L$37=0,$P$34=0),"",$L$37-1),IF($R$17="Distrato",$E545,0)),MIN(AP$38,$D$19),$P$20))-SUM($P545:AO545)</f>
        <v>#VALUE!</v>
      </c>
      <c r="AQ545" s="446" t="e">
        <f>IF(OR($B545="",MIN(AQ$38,$D$19)&lt;MAX($P$34*($B545+IF($R$17="Distrato",$I$38-1,0)),IF(AND($L$37=0,$P$34=0),"",$L$37-1),IF($R$17="Distrato",$E545,0))),0,YEARFRAC(MAX($P$34*($B545+IF($R$17="Distrato",$I$38-1,0)),IF(AND($L$37=0,$P$34=0),"",$L$37-1),IF($R$17="Distrato",$E545,0)),MIN(AQ$38,$D$19),$P$20))-SUM($P545:AP545)</f>
        <v>#VALUE!</v>
      </c>
      <c r="AR545" s="446" t="e">
        <f>IF(OR($B545="",MIN(AR$38,$D$19)&lt;MAX($P$34*($B545+IF($R$17="Distrato",$I$38-1,0)),IF(AND($L$37=0,$P$34=0),"",$L$37-1),IF($R$17="Distrato",$E545,0))),0,YEARFRAC(MAX($P$34*($B545+IF($R$17="Distrato",$I$38-1,0)),IF(AND($L$37=0,$P$34=0),"",$L$37-1),IF($R$17="Distrato",$E545,0)),MIN(AR$38,$D$19),$P$20))-SUM($P545:AQ545)</f>
        <v>#VALUE!</v>
      </c>
      <c r="AS545" s="446" t="e">
        <f>IF(OR($B545="",MIN(AS$38,$D$19)&lt;MAX($P$34*($B545+IF($R$17="Distrato",$I$38-1,0)),IF(AND($L$37=0,$P$34=0),"",$L$37-1),IF($R$17="Distrato",$E545,0))),0,YEARFRAC(MAX($P$34*($B545+IF($R$17="Distrato",$I$38-1,0)),IF(AND($L$37=0,$P$34=0),"",$L$37-1),IF($R$17="Distrato",$E545,0)),MIN(AS$38,$D$19),$P$20))-SUM($P545:AR545)</f>
        <v>#VALUE!</v>
      </c>
      <c r="AT545" s="446" t="e">
        <f>IF(OR($B545="",MIN(AT$38,$D$19)&lt;MAX($P$34*($B545+IF($R$17="Distrato",$I$38-1,0)),IF(AND($L$37=0,$P$34=0),"",$L$37-1),IF($R$17="Distrato",$E545,0))),0,YEARFRAC(MAX($P$34*($B545+IF($R$17="Distrato",$I$38-1,0)),IF(AND($L$37=0,$P$34=0),"",$L$37-1),IF($R$17="Distrato",$E545,0)),MIN(AT$38,$D$19),$P$20))-SUM($P545:AS545)</f>
        <v>#VALUE!</v>
      </c>
      <c r="AU545" s="446" t="e">
        <f>IF(OR($B545="",MIN(AU$38,$D$19)&lt;MAX($P$34*($B545+IF($R$17="Distrato",$I$38-1,0)),IF(AND($L$37=0,$P$34=0),"",$L$37-1),IF($R$17="Distrato",$E545,0))),0,YEARFRAC(MAX($P$34*($B545+IF($R$17="Distrato",$I$38-1,0)),IF(AND($L$37=0,$P$34=0),"",$L$37-1),IF($R$17="Distrato",$E545,0)),MIN(AU$38,$D$19),$P$20))-SUM($P545:AT545)</f>
        <v>#VALUE!</v>
      </c>
      <c r="AV545" s="446" t="e">
        <f>IF(OR($B545="",MIN(AV$38,$D$19)&lt;MAX($P$34*($B545+IF($R$17="Distrato",$I$38-1,0)),IF(AND($L$37=0,$P$34=0),"",$L$37-1),IF($R$17="Distrato",$E545,0))),0,YEARFRAC(MAX($P$34*($B545+IF($R$17="Distrato",$I$38-1,0)),IF(AND($L$37=0,$P$34=0),"",$L$37-1),IF($R$17="Distrato",$E545,0)),MIN(AV$38,$D$19),$P$20))-SUM($P545:AU545)</f>
        <v>#VALUE!</v>
      </c>
      <c r="AW545" s="446" t="e">
        <f>IF(OR($B545="",MIN(AW$38,$D$19)&lt;MAX($P$34*($B545+IF($R$17="Distrato",$I$38-1,0)),IF(AND($L$37=0,$P$34=0),"",$L$37-1),IF($R$17="Distrato",$E545,0))),0,YEARFRAC(MAX($P$34*($B545+IF($R$17="Distrato",$I$38-1,0)),IF(AND($L$37=0,$P$34=0),"",$L$37-1),IF($R$17="Distrato",$E545,0)),MIN(AW$38,$D$19),$P$20))-SUM($P545:AV545)</f>
        <v>#VALUE!</v>
      </c>
      <c r="AX545" s="446" t="e">
        <f>IF(OR($B545="",MIN(AX$38,$D$19)&lt;MAX($P$34*($B545+IF($R$17="Distrato",$I$38-1,0)),IF(AND($L$37=0,$P$34=0),"",$L$37-1),IF($R$17="Distrato",$E545,0))),0,YEARFRAC(MAX($P$34*($B545+IF($R$17="Distrato",$I$38-1,0)),IF(AND($L$37=0,$P$34=0),"",$L$37-1),IF($R$17="Distrato",$E545,0)),MIN(AX$38,$D$19),$P$20))-SUM($P545:AW545)</f>
        <v>#VALUE!</v>
      </c>
      <c r="AY545" s="446" t="e">
        <f>IF(OR($B545="",MIN(AY$38,$D$19)&lt;MAX($P$34*($B545+IF($R$17="Distrato",$I$38-1,0)),IF(AND($L$37=0,$P$34=0),"",$L$37-1),IF($R$17="Distrato",$E545,0))),0,YEARFRAC(MAX($P$34*($B545+IF($R$17="Distrato",$I$38-1,0)),IF(AND($L$37=0,$P$34=0),"",$L$37-1),IF($R$17="Distrato",$E545,0)),MIN(AY$38,$D$19),$P$20))-SUM($P545:AX545)</f>
        <v>#VALUE!</v>
      </c>
      <c r="AZ545" s="446" t="e">
        <f>IF(OR($B545="",MIN(AZ$38,$D$19)&lt;MAX($P$34*($B545+IF($R$17="Distrato",$I$38-1,0)),IF(AND($L$37=0,$P$34=0),"",$L$37-1),IF($R$17="Distrato",$E545,0))),0,YEARFRAC(MAX($P$34*($B545+IF($R$17="Distrato",$I$38-1,0)),IF(AND($L$37=0,$P$34=0),"",$L$37-1),IF($R$17="Distrato",$E545,0)),MIN(AZ$38,$D$19),$P$20))-SUM($P545:AY545)</f>
        <v>#VALUE!</v>
      </c>
      <c r="BA545" s="446" t="e">
        <f>IF(OR($B545="",MIN(BA$38,$D$19)&lt;MAX($P$34*($B545+IF($R$17="Distrato",$I$38-1,0)),IF(AND($L$37=0,$P$34=0),"",$L$37-1),IF($R$17="Distrato",$E545,0))),0,YEARFRAC(MAX($P$34*($B545+IF($R$17="Distrato",$I$38-1,0)),IF(AND($L$37=0,$P$34=0),"",$L$37-1),IF($R$17="Distrato",$E545,0)),MIN(BA$38,$D$19),$P$20))-SUM($P545:AZ545)</f>
        <v>#VALUE!</v>
      </c>
      <c r="BB545" s="447"/>
      <c r="BF545" s="446">
        <f t="shared" si="87"/>
        <v>0</v>
      </c>
      <c r="BG545" s="446">
        <f>IF($E545=0,0,IF(MIN(BG$38,$E545)&lt;MAX($P$34*($B545+$I$38-1),IF(AND($L$37=0,$P$34=0),"",$L$37-1)),0,YEARFRAC(MAX($P$34*($B545+$I$38-1),IF(AND($L$37=0,$P$34=0),"",$L$37-1)),MIN(BG$38,$E545),$P$20))-SUM($BF545:BF545))</f>
        <v>0</v>
      </c>
      <c r="BH545" s="446">
        <f>IF($E545=0,0,IF(MIN(BH$38,$E545)&lt;MAX($P$34*($B545+$I$38-1),IF(AND($L$37=0,$P$34=0),"",$L$37-1)),0,YEARFRAC(MAX($P$34*($B545+$I$38-1),IF(AND($L$37=0,$P$34=0),"",$L$37-1)),MIN(BH$38,$E545),$P$20))-SUM($BF545:BG545))</f>
        <v>0</v>
      </c>
      <c r="BI545" s="446">
        <f>IF($E545=0,0,IF(MIN(BI$38,$E545)&lt;MAX($P$34*($B545+$I$38-1),IF(AND($L$37=0,$P$34=0),"",$L$37-1)),0,YEARFRAC(MAX($P$34*($B545+$I$38-1),IF(AND($L$37=0,$P$34=0),"",$L$37-1)),MIN(BI$38,$E545),$P$20))-SUM($BF545:BH545))</f>
        <v>0</v>
      </c>
      <c r="BJ545" s="446">
        <f>IF($E545=0,0,IF(MIN(BJ$38,$E545)&lt;MAX($P$34*($B545+$I$38-1),IF(AND($L$37=0,$P$34=0),"",$L$37-1)),0,YEARFRAC(MAX($P$34*($B545+$I$38-1),IF(AND($L$37=0,$P$34=0),"",$L$37-1)),MIN(BJ$38,$E545),$P$20))-SUM($BF545:BI545))</f>
        <v>0</v>
      </c>
      <c r="BK545" s="446">
        <f>IF($E545=0,0,IF(MIN(BK$38,$E545)&lt;MAX($P$34*($B545+$I$38-1),IF(AND($L$37=0,$P$34=0),"",$L$37-1)),0,YEARFRAC(MAX($P$34*($B545+$I$38-1),IF(AND($L$37=0,$P$34=0),"",$L$37-1)),MIN(BK$38,$E545),$P$20))-SUM($BF545:BJ545))</f>
        <v>0</v>
      </c>
      <c r="BL545" s="446">
        <f>IF($E545=0,0,IF(MIN(BL$38,$E545)&lt;MAX($P$34*($B545+$I$38-1),IF(AND($L$37=0,$P$34=0),"",$L$37-1)),0,YEARFRAC(MAX($P$34*($B545+$I$38-1),IF(AND($L$37=0,$P$34=0),"",$L$37-1)),MIN(BL$38,$E545),$P$20))-SUM($BF545:BK545))</f>
        <v>0</v>
      </c>
      <c r="BM545" s="446">
        <f>IF($E545=0,0,IF(MIN(BM$38,$E545)&lt;MAX($P$34*($B545+$I$38-1),IF(AND($L$37=0,$P$34=0),"",$L$37-1)),0,YEARFRAC(MAX($P$34*($B545+$I$38-1),IF(AND($L$37=0,$P$34=0),"",$L$37-1)),MIN(BM$38,$E545),$P$20))-SUM($BF545:BL545))</f>
        <v>0</v>
      </c>
      <c r="BN545" s="446">
        <f>IF($E545=0,0,IF(MIN(BN$38,$E545)&lt;MAX($P$34*($B545+$I$38-1),IF(AND($L$37=0,$P$34=0),"",$L$37-1)),0,YEARFRAC(MAX($P$34*($B545+$I$38-1),IF(AND($L$37=0,$P$34=0),"",$L$37-1)),MIN(BN$38,$E545),$P$20))-SUM($BF545:BM545))</f>
        <v>0</v>
      </c>
      <c r="BO545" s="446">
        <f>IF($E545=0,0,IF(MIN(BO$38,$E545)&lt;MAX($P$34*($B545+$I$38-1),IF(AND($L$37=0,$P$34=0),"",$L$37-1)),0,YEARFRAC(MAX($P$34*($B545+$I$38-1),IF(AND($L$37=0,$P$34=0),"",$L$37-1)),MIN(BO$38,$E545),$P$20))-SUM($BF545:BN545))</f>
        <v>0</v>
      </c>
      <c r="BP545" s="446">
        <f>IF($E545=0,0,IF(MIN(BP$38,$E545)&lt;MAX($P$34*($B545+$I$38-1),IF(AND($L$37=0,$P$34=0),"",$L$37-1)),0,YEARFRAC(MAX($P$34*($B545+$I$38-1),IF(AND($L$37=0,$P$34=0),"",$L$37-1)),MIN(BP$38,$E545),$P$20))-SUM($BF545:BO545))</f>
        <v>0</v>
      </c>
      <c r="BQ545" s="446">
        <f>IF($E545=0,0,IF(MIN(BQ$38,$E545)&lt;MAX($P$34*($B545+$I$38-1),IF(AND($L$37=0,$P$34=0),"",$L$37-1)),0,YEARFRAC(MAX($P$34*($B545+$I$38-1),IF(AND($L$37=0,$P$34=0),"",$L$37-1)),MIN(BQ$38,$E545),$P$20))-SUM($BF545:BP545))</f>
        <v>0</v>
      </c>
      <c r="BR545" s="446">
        <f>IF($E545=0,0,IF(MIN(BR$38,$E545)&lt;MAX($P$34*($B545+$I$38-1),IF(AND($L$37=0,$P$34=0),"",$L$37-1)),0,YEARFRAC(MAX($P$34*($B545+$I$38-1),IF(AND($L$37=0,$P$34=0),"",$L$37-1)),MIN(BR$38,$E545),$P$20))-SUM($BF545:BQ545))</f>
        <v>0</v>
      </c>
      <c r="BS545" s="446">
        <f>IF($E545=0,0,IF(MIN(BS$38,$E545)&lt;MAX($P$34*($B545+$I$38-1),IF(AND($L$37=0,$P$34=0),"",$L$37-1)),0,YEARFRAC(MAX($P$34*($B545+$I$38-1),IF(AND($L$37=0,$P$34=0),"",$L$37-1)),MIN(BS$38,$E545),$P$20))-SUM($BF545:BR545))</f>
        <v>0</v>
      </c>
      <c r="BT545" s="446">
        <f>IF($E545=0,0,IF(MIN(BT$38,$E545)&lt;MAX($P$34*($B545+$I$38-1),IF(AND($L$37=0,$P$34=0),"",$L$37-1)),0,YEARFRAC(MAX($P$34*($B545+$I$38-1),IF(AND($L$37=0,$P$34=0),"",$L$37-1)),MIN(BT$38,$E545),$P$20))-SUM($BF545:BS545))</f>
        <v>0</v>
      </c>
      <c r="BU545" s="446">
        <f>IF($E545=0,0,IF(MIN(BU$38,$E545)&lt;MAX($P$34*($B545+$I$38-1),IF(AND($L$37=0,$P$34=0),"",$L$37-1)),0,YEARFRAC(MAX($P$34*($B545+$I$38-1),IF(AND($L$37=0,$P$34=0),"",$L$37-1)),MIN(BU$38,$E545),$P$20))-SUM($BF545:BT545))</f>
        <v>0</v>
      </c>
      <c r="BV545" s="446">
        <f>IF($E545=0,0,IF(MIN(BV$38,$E545)&lt;MAX($P$34*($B545+$I$38-1),IF(AND($L$37=0,$P$34=0),"",$L$37-1)),0,YEARFRAC(MAX($P$34*($B545+$I$38-1),IF(AND($L$37=0,$P$34=0),"",$L$37-1)),MIN(BV$38,$E545),$P$20))-SUM($BF545:BU545))</f>
        <v>0</v>
      </c>
      <c r="BW545" s="446">
        <f>IF($E545=0,0,IF(MIN(BW$38,$E545)&lt;MAX($P$34*($B545+$I$38-1),IF(AND($L$37=0,$P$34=0),"",$L$37-1)),0,YEARFRAC(MAX($P$34*($B545+$I$38-1),IF(AND($L$37=0,$P$34=0),"",$L$37-1)),MIN(BW$38,$E545),$P$20))-SUM($BF545:BV545))</f>
        <v>0</v>
      </c>
      <c r="BX545" s="446">
        <f>IF($E545=0,0,IF(MIN(BX$38,$E545)&lt;MAX($P$34*($B545+$I$38-1),IF(AND($L$37=0,$P$34=0),"",$L$37-1)),0,YEARFRAC(MAX($P$34*($B545+$I$38-1),IF(AND($L$37=0,$P$34=0),"",$L$37-1)),MIN(BX$38,$E545),$P$20))-SUM($BF545:BW545))</f>
        <v>0</v>
      </c>
      <c r="BY545" s="446">
        <f>IF($E545=0,0,IF(MIN(BY$38,$E545)&lt;MAX($P$34*($B545+$I$38-1),IF(AND($L$37=0,$P$34=0),"",$L$37-1)),0,YEARFRAC(MAX($P$34*($B545+$I$38-1),IF(AND($L$37=0,$P$34=0),"",$L$37-1)),MIN(BY$38,$E545),$P$20))-SUM($BF545:BX545))</f>
        <v>0</v>
      </c>
      <c r="BZ545" s="446">
        <f>IF($E545=0,0,IF(MIN(BZ$38,$E545)&lt;MAX($P$34*($B545+$I$38-1),IF(AND($L$37=0,$P$34=0),"",$L$37-1)),0,YEARFRAC(MAX($P$34*($B545+$I$38-1),IF(AND($L$37=0,$P$34=0),"",$L$37-1)),MIN(BZ$38,$E545),$P$20))-SUM($BF545:BY545))</f>
        <v>0</v>
      </c>
      <c r="CA545" s="446">
        <f>IF($E545=0,0,IF(MIN(CA$38,$E545)&lt;MAX($P$34*($B545+$I$38-1),IF(AND($L$37=0,$P$34=0),"",$L$37-1)),0,YEARFRAC(MAX($P$34*($B545+$I$38-1),IF(AND($L$37=0,$P$34=0),"",$L$37-1)),MIN(CA$38,$E545),$P$20))-SUM($BF545:BZ545))</f>
        <v>0</v>
      </c>
      <c r="CB545" s="446">
        <f>IF($E545=0,0,IF(MIN(CB$38,$E545)&lt;MAX($P$34*($B545+$I$38-1),IF(AND($L$37=0,$P$34=0),"",$L$37-1)),0,YEARFRAC(MAX($P$34*($B545+$I$38-1),IF(AND($L$37=0,$P$34=0),"",$L$37-1)),MIN(CB$38,$E545),$P$20))-SUM($BF545:CA545))</f>
        <v>0</v>
      </c>
      <c r="CC545" s="446">
        <f>IF($E545=0,0,IF(MIN(CC$38,$E545)&lt;MAX($P$34*($B545+$I$38-1),IF(AND($L$37=0,$P$34=0),"",$L$37-1)),0,YEARFRAC(MAX($P$34*($B545+$I$38-1),IF(AND($L$37=0,$P$34=0),"",$L$37-1)),MIN(CC$38,$E545),$P$20))-SUM($BF545:CB545))</f>
        <v>0</v>
      </c>
      <c r="CD545" s="446">
        <f>IF($E545=0,0,IF(MIN(CD$38,$E545)&lt;MAX($P$34*($B545+$I$38-1),IF(AND($L$37=0,$P$34=0),"",$L$37-1)),0,YEARFRAC(MAX($P$34*($B545+$I$38-1),IF(AND($L$37=0,$P$34=0),"",$L$37-1)),MIN(CD$38,$E545),$P$20))-SUM($BF545:CC545))</f>
        <v>0</v>
      </c>
      <c r="CE545" s="446">
        <f>IF($E545=0,0,IF(MIN(CE$38,$E545)&lt;MAX($P$34*($B545+$I$38-1),IF(AND($L$37=0,$P$34=0),"",$L$37-1)),0,YEARFRAC(MAX($P$34*($B545+$I$38-1),IF(AND($L$37=0,$P$34=0),"",$L$37-1)),MIN(CE$38,$E545),$P$20))-SUM($BF545:CD545))</f>
        <v>0</v>
      </c>
      <c r="CF545" s="446">
        <f>IF($E545=0,0,IF(MIN(CF$38,$E545)&lt;MAX($P$34*($B545+$I$38-1),IF(AND($L$37=0,$P$34=0),"",$L$37-1)),0,YEARFRAC(MAX($P$34*($B545+$I$38-1),IF(AND($L$37=0,$P$34=0),"",$L$37-1)),MIN(CF$38,$E545),$P$20))-SUM($BF545:CE545))</f>
        <v>0</v>
      </c>
      <c r="CG545" s="446">
        <f>IF($E545=0,0,IF(MIN(CG$38,$E545)&lt;MAX($P$34*($B545+$I$38-1),IF(AND($L$37=0,$P$34=0),"",$L$37-1)),0,YEARFRAC(MAX($P$34*($B545+$I$38-1),IF(AND($L$37=0,$P$34=0),"",$L$37-1)),MIN(CG$38,$E545),$P$20))-SUM($BF545:CF545))</f>
        <v>0</v>
      </c>
      <c r="CH545" s="446">
        <f>IF($E545=0,0,IF(MIN(CH$38,$E545)&lt;MAX($P$34*($B545+$I$38-1),IF(AND($L$37=0,$P$34=0),"",$L$37-1)),0,YEARFRAC(MAX($P$34*($B545+$I$38-1),IF(AND($L$37=0,$P$34=0),"",$L$37-1)),MIN(CH$38,$E545),$P$20))-SUM($BF545:CG545))</f>
        <v>0</v>
      </c>
      <c r="CI545" s="446">
        <f>IF($E545=0,0,IF(MIN(CI$38,$E545)&lt;MAX($P$34*($B545+$I$38-1),IF(AND($L$37=0,$P$34=0),"",$L$37-1)),0,YEARFRAC(MAX($P$34*($B545+$I$38-1),IF(AND($L$37=0,$P$34=0),"",$L$37-1)),MIN(CI$38,$E545),$P$20))-SUM($BF545:CH545))</f>
        <v>0</v>
      </c>
      <c r="CJ545" s="446">
        <f>IF($E545=0,0,IF(MIN(CJ$38,$E545)&lt;MAX($P$34*($B545+$I$38-1),IF(AND($L$37=0,$P$34=0),"",$L$37-1)),0,YEARFRAC(MAX($P$34*($B545+$I$38-1),IF(AND($L$37=0,$P$34=0),"",$L$37-1)),MIN(CJ$38,$E545),$P$20))-SUM($BF545:CI545))</f>
        <v>0</v>
      </c>
      <c r="CK545" s="446">
        <f>IF($E545=0,0,IF(MIN(CK$38,$E545)&lt;MAX($P$34*($B545+$I$38-1),IF(AND($L$37=0,$P$34=0),"",$L$37-1)),0,YEARFRAC(MAX($P$34*($B545+$I$38-1),IF(AND($L$37=0,$P$34=0),"",$L$37-1)),MIN(CK$38,$E545),$P$20))-SUM($BF545:CJ545))</f>
        <v>0</v>
      </c>
      <c r="CL545" s="446">
        <f>IF($E545=0,0,IF(MIN(CL$38,$E545)&lt;MAX($P$34*($B545+$I$38-1),IF(AND($L$37=0,$P$34=0),"",$L$37-1)),0,YEARFRAC(MAX($P$34*($B545+$I$38-1),IF(AND($L$37=0,$P$34=0),"",$L$37-1)),MIN(CL$38,$E545),$P$20))-SUM($BF545:CK545))</f>
        <v>0</v>
      </c>
      <c r="CM545" s="446">
        <f>IF($E545=0,0,IF(MIN(CM$38,$E545)&lt;MAX($P$34*($B545+$I$38-1),IF(AND($L$37=0,$P$34=0),"",$L$37-1)),0,YEARFRAC(MAX($P$34*($B545+$I$38-1),IF(AND($L$37=0,$P$34=0),"",$L$37-1)),MIN(CM$38,$E545),$P$20))-SUM($BF545:CL545))</f>
        <v>0</v>
      </c>
      <c r="CN545" s="446">
        <f>IF($E545=0,0,IF(MIN(CN$38,$E545)&lt;MAX($P$34*($B545+$I$38-1),IF(AND($L$37=0,$P$34=0),"",$L$37-1)),0,YEARFRAC(MAX($P$34*($B545+$I$38-1),IF(AND($L$37=0,$P$34=0),"",$L$37-1)),MIN(CN$38,$E545),$P$20))-SUM($BF545:CM545))</f>
        <v>0</v>
      </c>
      <c r="CO545" s="446">
        <f>IF($E545=0,0,IF(MIN(CO$38,$E545)&lt;MAX($P$34*($B545+$I$38-1),IF(AND($L$37=0,$P$34=0),"",$L$37-1)),0,YEARFRAC(MAX($P$34*($B545+$I$38-1),IF(AND($L$37=0,$P$34=0),"",$L$37-1)),MIN(CO$38,$E545),$P$20))-SUM($BF545:CN545))</f>
        <v>0</v>
      </c>
      <c r="CP545" s="446">
        <f>IF($E545=0,0,IF(MIN(CP$38,$E545)&lt;MAX($P$34*($B545+$I$38-1),IF(AND($L$37=0,$P$34=0),"",$L$37-1)),0,YEARFRAC(MAX($P$34*($B545+$I$38-1),IF(AND($L$37=0,$P$34=0),"",$L$37-1)),MIN(CP$38,$E545),$P$20))-SUM($BF545:CO545))</f>
        <v>0</v>
      </c>
      <c r="CQ545" s="446">
        <f>IF($E545=0,0,IF(MIN(CQ$38,$E545)&lt;MAX($P$34*($B545+$I$38-1),IF(AND($L$37=0,$P$34=0),"",$L$37-1)),0,YEARFRAC(MAX($P$34*($B545+$I$38-1),IF(AND($L$37=0,$P$34=0),"",$L$37-1)),MIN(CQ$38,$E545),$P$20))-SUM($BF545:CP545))</f>
        <v>0</v>
      </c>
    </row>
    <row r="546" spans="1:95" s="446" customFormat="1" ht="11.25" hidden="1" customHeight="1" x14ac:dyDescent="0.2">
      <c r="A546" s="152"/>
      <c r="B546" s="153" t="str">
        <f t="shared" si="92"/>
        <v/>
      </c>
      <c r="C546" s="29" t="str">
        <f>IF(B546="","",IF($L$35="SELIC - TRIBUTOS",VLOOKUP(DATE(YEAR($D$19),MONTH($D$19)-1,1),ÍNDICES!$A:$DE,HLOOKUP($BL$25,ÍNDICES!$B$3:$T$4,2)+11)-VLOOKUP(B546,ÍNDICES!$A:$DE,HLOOKUP($BL$25,ÍNDICES!$B$3:$T$4,2)+11)+1%,IF(C$38=$W$26,$J$35,IF(ISERROR(IF(B546&gt;$D$19,1,VLOOKUP(DATE(YEAR(B546),MONTH(B546)+IF($C$35=$S$23,1,0),1),ÍNDICES!$A:$DE,$Z$35+1))),"",IF(B546&gt;$D$19,1,VLOOKUP(DATE(YEAR(B546),MONTH(B546)+IF($C$35=$S$23,1,0),1),ÍNDICES!$A:$DE,$Z$35+1))))))</f>
        <v/>
      </c>
      <c r="D546" s="154" t="str">
        <f>IF(ISERROR(IF(OR($D$38=$Y$27,$B546=""),"",VLOOKUP(B546,ÍNDICES!A:DE,AF$35+1))),"",IF(OR($D$38=$Y$27,$B546=""),"",VLOOKUP(B546,ÍNDICES!A:DE,AF$35+1)))</f>
        <v/>
      </c>
      <c r="E546" s="153"/>
      <c r="F546" s="29" t="str">
        <f>IF(E546="","",IF($L$35="SELIC - TRIBUTOS",VLOOKUP(DATE(YEAR($D$19),MONTH($D$19)-1,1),ÍNDICES!$A:$DE,HLOOKUP($BL$25,ÍNDICES!$B$3:$T$4,2)+11)-VLOOKUP(E546,ÍNDICES!$A:$DE,HLOOKUP($BL$25,ÍNDICES!$B$3:$T$4,2)+11)+1%,IF(F$38=$W$26,$J$35,IF(ISERROR(IF(E546&gt;$D$19,1,VLOOKUP(DATE(YEAR(E546),MONTH(E546)+IF($C$35=$S$23,1,0),1),ÍNDICES!$A:$DE,$Z$35+1))),"",IF(E546&gt;$D$19,1,VLOOKUP(DATE(YEAR(E546),MONTH(E546)+IF($C$35=$S$23,1,0),1),ÍNDICES!$A:$DE,$Z$35+1))))))</f>
        <v/>
      </c>
      <c r="G546" s="155"/>
      <c r="H546" s="156" t="str">
        <f t="shared" si="88"/>
        <v/>
      </c>
      <c r="I546" s="29" t="str">
        <f t="shared" si="82"/>
        <v/>
      </c>
      <c r="J546" s="5">
        <f t="shared" si="83"/>
        <v>0</v>
      </c>
      <c r="K546" s="20">
        <f t="shared" ca="1" si="84"/>
        <v>0</v>
      </c>
      <c r="L546" s="5">
        <f t="shared" ca="1" si="85"/>
        <v>0</v>
      </c>
      <c r="M546" s="64">
        <f t="shared" si="89"/>
        <v>0</v>
      </c>
      <c r="N546" s="61">
        <f t="shared" ca="1" si="90"/>
        <v>0</v>
      </c>
      <c r="O546" s="5">
        <f t="shared" ca="1" si="91"/>
        <v>0</v>
      </c>
      <c r="P546" s="446" t="e">
        <f t="shared" si="86"/>
        <v>#VALUE!</v>
      </c>
      <c r="Q546" s="446" t="e">
        <f>IF(OR($B546="",MIN(Q$38,$D$19)&lt;MAX($P$34*($B546+IF($R$17="Distrato",$I$38-1,0)),IF(AND($L$37=0,$P$34=0),"",$L$37-1),IF($R$17="Distrato",$E546,0))),0,YEARFRAC(MAX($P$34*($B546+IF($R$17="Distrato",$I$38-1,0)),IF(AND($L$37=0,$P$34=0),"",$L$37-1),IF($R$17="Distrato",$E546,0)),MIN(Q$38,$D$19),$P$20))-SUM($P546:P546)</f>
        <v>#VALUE!</v>
      </c>
      <c r="R546" s="446" t="e">
        <f>IF(OR($B546="",MIN(R$38,$D$19)&lt;MAX($P$34*($B546+IF($R$17="Distrato",$I$38-1,0)),IF(AND($L$37=0,$P$34=0),"",$L$37-1),IF($R$17="Distrato",$E546,0))),0,YEARFRAC(MAX($P$34*($B546+IF($R$17="Distrato",$I$38-1,0)),IF(AND($L$37=0,$P$34=0),"",$L$37-1),IF($R$17="Distrato",$E546,0)),MIN(R$38,$D$19),$P$20))-SUM($P546:Q546)</f>
        <v>#VALUE!</v>
      </c>
      <c r="S546" s="446" t="e">
        <f>IF(OR($B546="",MIN(S$38,$D$19)&lt;MAX($P$34*($B546+IF($R$17="Distrato",$I$38-1,0)),IF(AND($L$37=0,$P$34=0),"",$L$37-1),IF($R$17="Distrato",$E546,0))),0,YEARFRAC(MAX($P$34*($B546+IF($R$17="Distrato",$I$38-1,0)),IF(AND($L$37=0,$P$34=0),"",$L$37-1),IF($R$17="Distrato",$E546,0)),MIN(S$38,$D$19),$P$20))-SUM($P546:R546)</f>
        <v>#VALUE!</v>
      </c>
      <c r="T546" s="446" t="e">
        <f>IF(OR($B546="",MIN(T$38,$D$19)&lt;MAX($P$34*($B546+IF($R$17="Distrato",$I$38-1,0)),IF(AND($L$37=0,$P$34=0),"",$L$37-1),IF($R$17="Distrato",$E546,0))),0,YEARFRAC(MAX($P$34*($B546+IF($R$17="Distrato",$I$38-1,0)),IF(AND($L$37=0,$P$34=0),"",$L$37-1),IF($R$17="Distrato",$E546,0)),MIN(T$38,$D$19),$P$20))-SUM($P546:S546)</f>
        <v>#VALUE!</v>
      </c>
      <c r="U546" s="446" t="e">
        <f>IF(OR($B546="",MIN(U$38,$D$19)&lt;MAX($P$34*($B546+IF($R$17="Distrato",$I$38-1,0)),IF(AND($L$37=0,$P$34=0),"",$L$37-1),IF($R$17="Distrato",$E546,0))),0,YEARFRAC(MAX($P$34*($B546+IF($R$17="Distrato",$I$38-1,0)),IF(AND($L$37=0,$P$34=0),"",$L$37-1),IF($R$17="Distrato",$E546,0)),MIN(U$38,$D$19),$P$20))-SUM($P546:T546)</f>
        <v>#VALUE!</v>
      </c>
      <c r="V546" s="446" t="e">
        <f>IF(OR($B546="",MIN(V$38,$D$19)&lt;MAX($P$34*($B546+IF($R$17="Distrato",$I$38-1,0)),IF(AND($L$37=0,$P$34=0),"",$L$37-1),IF($R$17="Distrato",$E546,0))),0,YEARFRAC(MAX($P$34*($B546+IF($R$17="Distrato",$I$38-1,0)),IF(AND($L$37=0,$P$34=0),"",$L$37-1),IF($R$17="Distrato",$E546,0)),MIN(V$38,$D$19),$P$20))-SUM($P546:U546)</f>
        <v>#VALUE!</v>
      </c>
      <c r="W546" s="446" t="e">
        <f>IF(OR($B546="",MIN(W$38,$D$19)&lt;MAX($P$34*($B546+IF($R$17="Distrato",$I$38-1,0)),IF(AND($L$37=0,$P$34=0),"",$L$37-1),IF($R$17="Distrato",$E546,0))),0,YEARFRAC(MAX($P$34*($B546+IF($R$17="Distrato",$I$38-1,0)),IF(AND($L$37=0,$P$34=0),"",$L$37-1),IF($R$17="Distrato",$E546,0)),MIN(W$38,$D$19),$P$20))-SUM($P546:V546)</f>
        <v>#VALUE!</v>
      </c>
      <c r="X546" s="446" t="e">
        <f>IF(OR($B546="",MIN(X$38,$D$19)&lt;MAX($P$34*($B546+IF($R$17="Distrato",$I$38-1,0)),IF(AND($L$37=0,$P$34=0),"",$L$37-1),IF($R$17="Distrato",$E546,0))),0,YEARFRAC(MAX($P$34*($B546+IF($R$17="Distrato",$I$38-1,0)),IF(AND($L$37=0,$P$34=0),"",$L$37-1),IF($R$17="Distrato",$E546,0)),MIN(X$38,$D$19),$P$20))-SUM($P546:W546)</f>
        <v>#VALUE!</v>
      </c>
      <c r="Y546" s="446" t="e">
        <f>IF(OR($B546="",MIN(Y$38,$D$19)&lt;MAX($P$34*($B546+IF($R$17="Distrato",$I$38-1,0)),IF(AND($L$37=0,$P$34=0),"",$L$37-1),IF($R$17="Distrato",$E546,0))),0,YEARFRAC(MAX($P$34*($B546+IF($R$17="Distrato",$I$38-1,0)),IF(AND($L$37=0,$P$34=0),"",$L$37-1),IF($R$17="Distrato",$E546,0)),MIN(Y$38,$D$19),$P$20))-SUM($P546:X546)</f>
        <v>#VALUE!</v>
      </c>
      <c r="Z546" s="446" t="e">
        <f>IF(OR($B546="",MIN(Z$38,$D$19)&lt;MAX($P$34*($B546+IF($R$17="Distrato",$I$38-1,0)),IF(AND($L$37=0,$P$34=0),"",$L$37-1),IF($R$17="Distrato",$E546,0))),0,YEARFRAC(MAX($P$34*($B546+IF($R$17="Distrato",$I$38-1,0)),IF(AND($L$37=0,$P$34=0),"",$L$37-1),IF($R$17="Distrato",$E546,0)),MIN(Z$38,$D$19),$P$20))-SUM($P546:Y546)</f>
        <v>#VALUE!</v>
      </c>
      <c r="AA546" s="446" t="e">
        <f>IF(OR($B546="",MIN(AA$38,$D$19)&lt;MAX($P$34*($B546+IF($R$17="Distrato",$I$38-1,0)),IF(AND($L$37=0,$P$34=0),"",$L$37-1),IF($R$17="Distrato",$E546,0))),0,YEARFRAC(MAX($P$34*($B546+IF($R$17="Distrato",$I$38-1,0)),IF(AND($L$37=0,$P$34=0),"",$L$37-1),IF($R$17="Distrato",$E546,0)),MIN(AA$38,$D$19),$P$20))-SUM($P546:Z546)</f>
        <v>#VALUE!</v>
      </c>
      <c r="AB546" s="446" t="e">
        <f>IF(OR($B546="",MIN(AB$38,$D$19)&lt;MAX($P$34*($B546+IF($R$17="Distrato",$I$38-1,0)),IF(AND($L$37=0,$P$34=0),"",$L$37-1),IF($R$17="Distrato",$E546,0))),0,YEARFRAC(MAX($P$34*($B546+IF($R$17="Distrato",$I$38-1,0)),IF(AND($L$37=0,$P$34=0),"",$L$37-1),IF($R$17="Distrato",$E546,0)),MIN(AB$38,$D$19),$P$20))-SUM($P546:AA546)</f>
        <v>#VALUE!</v>
      </c>
      <c r="AC546" s="446" t="e">
        <f>IF(OR($B546="",MIN(AC$38,$D$19)&lt;MAX($P$34*($B546+IF($R$17="Distrato",$I$38-1,0)),IF(AND($L$37=0,$P$34=0),"",$L$37-1),IF($R$17="Distrato",$E546,0))),0,YEARFRAC(MAX($P$34*($B546+IF($R$17="Distrato",$I$38-1,0)),IF(AND($L$37=0,$P$34=0),"",$L$37-1),IF($R$17="Distrato",$E546,0)),MIN(AC$38,$D$19),$P$20))-SUM($P546:AB546)</f>
        <v>#VALUE!</v>
      </c>
      <c r="AD546" s="446" t="e">
        <f>IF(OR($B546="",MIN(AD$38,$D$19)&lt;MAX($P$34*($B546+IF($R$17="Distrato",$I$38-1,0)),IF(AND($L$37=0,$P$34=0),"",$L$37-1),IF($R$17="Distrato",$E546,0))),0,YEARFRAC(MAX($P$34*($B546+IF($R$17="Distrato",$I$38-1,0)),IF(AND($L$37=0,$P$34=0),"",$L$37-1),IF($R$17="Distrato",$E546,0)),MIN(AD$38,$D$19),$P$20))-SUM($P546:AC546)</f>
        <v>#VALUE!</v>
      </c>
      <c r="AE546" s="446" t="e">
        <f>IF(OR($B546="",MIN(AE$38,$D$19)&lt;MAX($P$34*($B546+IF($R$17="Distrato",$I$38-1,0)),IF(AND($L$37=0,$P$34=0),"",$L$37-1),IF($R$17="Distrato",$E546,0))),0,YEARFRAC(MAX($P$34*($B546+IF($R$17="Distrato",$I$38-1,0)),IF(AND($L$37=0,$P$34=0),"",$L$37-1),IF($R$17="Distrato",$E546,0)),MIN(AE$38,$D$19),$P$20))-SUM($P546:AD546)</f>
        <v>#VALUE!</v>
      </c>
      <c r="AF546" s="446" t="e">
        <f>IF(OR($B546="",MIN(AF$38,$D$19)&lt;MAX($P$34*($B546+IF($R$17="Distrato",$I$38-1,0)),IF(AND($L$37=0,$P$34=0),"",$L$37-1),IF($R$17="Distrato",$E546,0))),0,YEARFRAC(MAX($P$34*($B546+IF($R$17="Distrato",$I$38-1,0)),IF(AND($L$37=0,$P$34=0),"",$L$37-1),IF($R$17="Distrato",$E546,0)),MIN(AF$38,$D$19),$P$20))-SUM($P546:AE546)</f>
        <v>#VALUE!</v>
      </c>
      <c r="AG546" s="446" t="e">
        <f>IF(OR($B546="",MIN(AG$38,$D$19)&lt;MAX($P$34*($B546+IF($R$17="Distrato",$I$38-1,0)),IF(AND($L$37=0,$P$34=0),"",$L$37-1),IF($R$17="Distrato",$E546,0))),0,YEARFRAC(MAX($P$34*($B546+IF($R$17="Distrato",$I$38-1,0)),IF(AND($L$37=0,$P$34=0),"",$L$37-1),IF($R$17="Distrato",$E546,0)),MIN(AG$38,$D$19),$P$20))-SUM($P546:AF546)</f>
        <v>#VALUE!</v>
      </c>
      <c r="AH546" s="446" t="e">
        <f>IF(OR($B546="",MIN(AH$38,$D$19)&lt;MAX($P$34*($B546+IF($R$17="Distrato",$I$38-1,0)),IF(AND($L$37=0,$P$34=0),"",$L$37-1),IF($R$17="Distrato",$E546,0))),0,YEARFRAC(MAX($P$34*($B546+IF($R$17="Distrato",$I$38-1,0)),IF(AND($L$37=0,$P$34=0),"",$L$37-1),IF($R$17="Distrato",$E546,0)),MIN(AH$38,$D$19),$P$20))-SUM($P546:AG546)</f>
        <v>#VALUE!</v>
      </c>
      <c r="AI546" s="446" t="e">
        <f>IF(OR($B546="",MIN(AI$38,$D$19)&lt;MAX($P$34*($B546+IF($R$17="Distrato",$I$38-1,0)),IF(AND($L$37=0,$P$34=0),"",$L$37-1),IF($R$17="Distrato",$E546,0))),0,YEARFRAC(MAX($P$34*($B546+IF($R$17="Distrato",$I$38-1,0)),IF(AND($L$37=0,$P$34=0),"",$L$37-1),IF($R$17="Distrato",$E546,0)),MIN(AI$38,$D$19),$P$20))-SUM($P546:AH546)</f>
        <v>#VALUE!</v>
      </c>
      <c r="AJ546" s="446" t="e">
        <f>IF(OR($B546="",MIN(AJ$38,$D$19)&lt;MAX($P$34*($B546+IF($R$17="Distrato",$I$38-1,0)),IF(AND($L$37=0,$P$34=0),"",$L$37-1),IF($R$17="Distrato",$E546,0))),0,YEARFRAC(MAX($P$34*($B546+IF($R$17="Distrato",$I$38-1,0)),IF(AND($L$37=0,$P$34=0),"",$L$37-1),IF($R$17="Distrato",$E546,0)),MIN(AJ$38,$D$19),$P$20))-SUM($P546:AI546)</f>
        <v>#VALUE!</v>
      </c>
      <c r="AK546" s="446" t="e">
        <f>IF(OR($B546="",MIN(AK$38,$D$19)&lt;MAX($P$34*($B546+IF($R$17="Distrato",$I$38-1,0)),IF(AND($L$37=0,$P$34=0),"",$L$37-1),IF($R$17="Distrato",$E546,0))),0,YEARFRAC(MAX($P$34*($B546+IF($R$17="Distrato",$I$38-1,0)),IF(AND($L$37=0,$P$34=0),"",$L$37-1),IF($R$17="Distrato",$E546,0)),MIN(AK$38,$D$19),$P$20))-SUM($P546:AJ546)</f>
        <v>#VALUE!</v>
      </c>
      <c r="AL546" s="446" t="e">
        <f>IF(OR($B546="",MIN(AL$38,$D$19)&lt;MAX($P$34*($B546+IF($R$17="Distrato",$I$38-1,0)),IF(AND($L$37=0,$P$34=0),"",$L$37-1),IF($R$17="Distrato",$E546,0))),0,YEARFRAC(MAX($P$34*($B546+IF($R$17="Distrato",$I$38-1,0)),IF(AND($L$37=0,$P$34=0),"",$L$37-1),IF($R$17="Distrato",$E546,0)),MIN(AL$38,$D$19),$P$20))-SUM($P546:AK546)</f>
        <v>#VALUE!</v>
      </c>
      <c r="AM546" s="446" t="e">
        <f>IF(OR($B546="",MIN(AM$38,$D$19)&lt;MAX($P$34*($B546+IF($R$17="Distrato",$I$38-1,0)),IF(AND($L$37=0,$P$34=0),"",$L$37-1),IF($R$17="Distrato",$E546,0))),0,YEARFRAC(MAX($P$34*($B546+IF($R$17="Distrato",$I$38-1,0)),IF(AND($L$37=0,$P$34=0),"",$L$37-1),IF($R$17="Distrato",$E546,0)),MIN(AM$38,$D$19),$P$20))-SUM($P546:AL546)</f>
        <v>#VALUE!</v>
      </c>
      <c r="AN546" s="446" t="e">
        <f>IF(OR($B546="",MIN(AN$38,$D$19)&lt;MAX($P$34*($B546+IF($R$17="Distrato",$I$38-1,0)),IF(AND($L$37=0,$P$34=0),"",$L$37-1),IF($R$17="Distrato",$E546,0))),0,YEARFRAC(MAX($P$34*($B546+IF($R$17="Distrato",$I$38-1,0)),IF(AND($L$37=0,$P$34=0),"",$L$37-1),IF($R$17="Distrato",$E546,0)),MIN(AN$38,$D$19),$P$20))-SUM($P546:AM546)</f>
        <v>#VALUE!</v>
      </c>
      <c r="AO546" s="446" t="e">
        <f>IF(OR($B546="",MIN(AO$38,$D$19)&lt;MAX($P$34*($B546+IF($R$17="Distrato",$I$38-1,0)),IF(AND($L$37=0,$P$34=0),"",$L$37-1),IF($R$17="Distrato",$E546,0))),0,YEARFRAC(MAX($P$34*($B546+IF($R$17="Distrato",$I$38-1,0)),IF(AND($L$37=0,$P$34=0),"",$L$37-1),IF($R$17="Distrato",$E546,0)),MIN(AO$38,$D$19),$P$20))-SUM($P546:AN546)</f>
        <v>#VALUE!</v>
      </c>
      <c r="AP546" s="446" t="e">
        <f>IF(OR($B546="",MIN(AP$38,$D$19)&lt;MAX($P$34*($B546+IF($R$17="Distrato",$I$38-1,0)),IF(AND($L$37=0,$P$34=0),"",$L$37-1),IF($R$17="Distrato",$E546,0))),0,YEARFRAC(MAX($P$34*($B546+IF($R$17="Distrato",$I$38-1,0)),IF(AND($L$37=0,$P$34=0),"",$L$37-1),IF($R$17="Distrato",$E546,0)),MIN(AP$38,$D$19),$P$20))-SUM($P546:AO546)</f>
        <v>#VALUE!</v>
      </c>
      <c r="AQ546" s="446" t="e">
        <f>IF(OR($B546="",MIN(AQ$38,$D$19)&lt;MAX($P$34*($B546+IF($R$17="Distrato",$I$38-1,0)),IF(AND($L$37=0,$P$34=0),"",$L$37-1),IF($R$17="Distrato",$E546,0))),0,YEARFRAC(MAX($P$34*($B546+IF($R$17="Distrato",$I$38-1,0)),IF(AND($L$37=0,$P$34=0),"",$L$37-1),IF($R$17="Distrato",$E546,0)),MIN(AQ$38,$D$19),$P$20))-SUM($P546:AP546)</f>
        <v>#VALUE!</v>
      </c>
      <c r="AR546" s="446" t="e">
        <f>IF(OR($B546="",MIN(AR$38,$D$19)&lt;MAX($P$34*($B546+IF($R$17="Distrato",$I$38-1,0)),IF(AND($L$37=0,$P$34=0),"",$L$37-1),IF($R$17="Distrato",$E546,0))),0,YEARFRAC(MAX($P$34*($B546+IF($R$17="Distrato",$I$38-1,0)),IF(AND($L$37=0,$P$34=0),"",$L$37-1),IF($R$17="Distrato",$E546,0)),MIN(AR$38,$D$19),$P$20))-SUM($P546:AQ546)</f>
        <v>#VALUE!</v>
      </c>
      <c r="AS546" s="446" t="e">
        <f>IF(OR($B546="",MIN(AS$38,$D$19)&lt;MAX($P$34*($B546+IF($R$17="Distrato",$I$38-1,0)),IF(AND($L$37=0,$P$34=0),"",$L$37-1),IF($R$17="Distrato",$E546,0))),0,YEARFRAC(MAX($P$34*($B546+IF($R$17="Distrato",$I$38-1,0)),IF(AND($L$37=0,$P$34=0),"",$L$37-1),IF($R$17="Distrato",$E546,0)),MIN(AS$38,$D$19),$P$20))-SUM($P546:AR546)</f>
        <v>#VALUE!</v>
      </c>
      <c r="AT546" s="446" t="e">
        <f>IF(OR($B546="",MIN(AT$38,$D$19)&lt;MAX($P$34*($B546+IF($R$17="Distrato",$I$38-1,0)),IF(AND($L$37=0,$P$34=0),"",$L$37-1),IF($R$17="Distrato",$E546,0))),0,YEARFRAC(MAX($P$34*($B546+IF($R$17="Distrato",$I$38-1,0)),IF(AND($L$37=0,$P$34=0),"",$L$37-1),IF($R$17="Distrato",$E546,0)),MIN(AT$38,$D$19),$P$20))-SUM($P546:AS546)</f>
        <v>#VALUE!</v>
      </c>
      <c r="AU546" s="446" t="e">
        <f>IF(OR($B546="",MIN(AU$38,$D$19)&lt;MAX($P$34*($B546+IF($R$17="Distrato",$I$38-1,0)),IF(AND($L$37=0,$P$34=0),"",$L$37-1),IF($R$17="Distrato",$E546,0))),0,YEARFRAC(MAX($P$34*($B546+IF($R$17="Distrato",$I$38-1,0)),IF(AND($L$37=0,$P$34=0),"",$L$37-1),IF($R$17="Distrato",$E546,0)),MIN(AU$38,$D$19),$P$20))-SUM($P546:AT546)</f>
        <v>#VALUE!</v>
      </c>
      <c r="AV546" s="446" t="e">
        <f>IF(OR($B546="",MIN(AV$38,$D$19)&lt;MAX($P$34*($B546+IF($R$17="Distrato",$I$38-1,0)),IF(AND($L$37=0,$P$34=0),"",$L$37-1),IF($R$17="Distrato",$E546,0))),0,YEARFRAC(MAX($P$34*($B546+IF($R$17="Distrato",$I$38-1,0)),IF(AND($L$37=0,$P$34=0),"",$L$37-1),IF($R$17="Distrato",$E546,0)),MIN(AV$38,$D$19),$P$20))-SUM($P546:AU546)</f>
        <v>#VALUE!</v>
      </c>
      <c r="AW546" s="446" t="e">
        <f>IF(OR($B546="",MIN(AW$38,$D$19)&lt;MAX($P$34*($B546+IF($R$17="Distrato",$I$38-1,0)),IF(AND($L$37=0,$P$34=0),"",$L$37-1),IF($R$17="Distrato",$E546,0))),0,YEARFRAC(MAX($P$34*($B546+IF($R$17="Distrato",$I$38-1,0)),IF(AND($L$37=0,$P$34=0),"",$L$37-1),IF($R$17="Distrato",$E546,0)),MIN(AW$38,$D$19),$P$20))-SUM($P546:AV546)</f>
        <v>#VALUE!</v>
      </c>
      <c r="AX546" s="446" t="e">
        <f>IF(OR($B546="",MIN(AX$38,$D$19)&lt;MAX($P$34*($B546+IF($R$17="Distrato",$I$38-1,0)),IF(AND($L$37=0,$P$34=0),"",$L$37-1),IF($R$17="Distrato",$E546,0))),0,YEARFRAC(MAX($P$34*($B546+IF($R$17="Distrato",$I$38-1,0)),IF(AND($L$37=0,$P$34=0),"",$L$37-1),IF($R$17="Distrato",$E546,0)),MIN(AX$38,$D$19),$P$20))-SUM($P546:AW546)</f>
        <v>#VALUE!</v>
      </c>
      <c r="AY546" s="446" t="e">
        <f>IF(OR($B546="",MIN(AY$38,$D$19)&lt;MAX($P$34*($B546+IF($R$17="Distrato",$I$38-1,0)),IF(AND($L$37=0,$P$34=0),"",$L$37-1),IF($R$17="Distrato",$E546,0))),0,YEARFRAC(MAX($P$34*($B546+IF($R$17="Distrato",$I$38-1,0)),IF(AND($L$37=0,$P$34=0),"",$L$37-1),IF($R$17="Distrato",$E546,0)),MIN(AY$38,$D$19),$P$20))-SUM($P546:AX546)</f>
        <v>#VALUE!</v>
      </c>
      <c r="AZ546" s="446" t="e">
        <f>IF(OR($B546="",MIN(AZ$38,$D$19)&lt;MAX($P$34*($B546+IF($R$17="Distrato",$I$38-1,0)),IF(AND($L$37=0,$P$34=0),"",$L$37-1),IF($R$17="Distrato",$E546,0))),0,YEARFRAC(MAX($P$34*($B546+IF($R$17="Distrato",$I$38-1,0)),IF(AND($L$37=0,$P$34=0),"",$L$37-1),IF($R$17="Distrato",$E546,0)),MIN(AZ$38,$D$19),$P$20))-SUM($P546:AY546)</f>
        <v>#VALUE!</v>
      </c>
      <c r="BA546" s="446" t="e">
        <f>IF(OR($B546="",MIN(BA$38,$D$19)&lt;MAX($P$34*($B546+IF($R$17="Distrato",$I$38-1,0)),IF(AND($L$37=0,$P$34=0),"",$L$37-1),IF($R$17="Distrato",$E546,0))),0,YEARFRAC(MAX($P$34*($B546+IF($R$17="Distrato",$I$38-1,0)),IF(AND($L$37=0,$P$34=0),"",$L$37-1),IF($R$17="Distrato",$E546,0)),MIN(BA$38,$D$19),$P$20))-SUM($P546:AZ546)</f>
        <v>#VALUE!</v>
      </c>
      <c r="BB546" s="447"/>
      <c r="BF546" s="446">
        <f t="shared" si="87"/>
        <v>0</v>
      </c>
      <c r="BG546" s="446">
        <f>IF($E546=0,0,IF(MIN(BG$38,$E546)&lt;MAX($P$34*($B546+$I$38-1),IF(AND($L$37=0,$P$34=0),"",$L$37-1)),0,YEARFRAC(MAX($P$34*($B546+$I$38-1),IF(AND($L$37=0,$P$34=0),"",$L$37-1)),MIN(BG$38,$E546),$P$20))-SUM($BF546:BF546))</f>
        <v>0</v>
      </c>
      <c r="BH546" s="446">
        <f>IF($E546=0,0,IF(MIN(BH$38,$E546)&lt;MAX($P$34*($B546+$I$38-1),IF(AND($L$37=0,$P$34=0),"",$L$37-1)),0,YEARFRAC(MAX($P$34*($B546+$I$38-1),IF(AND($L$37=0,$P$34=0),"",$L$37-1)),MIN(BH$38,$E546),$P$20))-SUM($BF546:BG546))</f>
        <v>0</v>
      </c>
      <c r="BI546" s="446">
        <f>IF($E546=0,0,IF(MIN(BI$38,$E546)&lt;MAX($P$34*($B546+$I$38-1),IF(AND($L$37=0,$P$34=0),"",$L$37-1)),0,YEARFRAC(MAX($P$34*($B546+$I$38-1),IF(AND($L$37=0,$P$34=0),"",$L$37-1)),MIN(BI$38,$E546),$P$20))-SUM($BF546:BH546))</f>
        <v>0</v>
      </c>
      <c r="BJ546" s="446">
        <f>IF($E546=0,0,IF(MIN(BJ$38,$E546)&lt;MAX($P$34*($B546+$I$38-1),IF(AND($L$37=0,$P$34=0),"",$L$37-1)),0,YEARFRAC(MAX($P$34*($B546+$I$38-1),IF(AND($L$37=0,$P$34=0),"",$L$37-1)),MIN(BJ$38,$E546),$P$20))-SUM($BF546:BI546))</f>
        <v>0</v>
      </c>
      <c r="BK546" s="446">
        <f>IF($E546=0,0,IF(MIN(BK$38,$E546)&lt;MAX($P$34*($B546+$I$38-1),IF(AND($L$37=0,$P$34=0),"",$L$37-1)),0,YEARFRAC(MAX($P$34*($B546+$I$38-1),IF(AND($L$37=0,$P$34=0),"",$L$37-1)),MIN(BK$38,$E546),$P$20))-SUM($BF546:BJ546))</f>
        <v>0</v>
      </c>
      <c r="BL546" s="446">
        <f>IF($E546=0,0,IF(MIN(BL$38,$E546)&lt;MAX($P$34*($B546+$I$38-1),IF(AND($L$37=0,$P$34=0),"",$L$37-1)),0,YEARFRAC(MAX($P$34*($B546+$I$38-1),IF(AND($L$37=0,$P$34=0),"",$L$37-1)),MIN(BL$38,$E546),$P$20))-SUM($BF546:BK546))</f>
        <v>0</v>
      </c>
      <c r="BM546" s="446">
        <f>IF($E546=0,0,IF(MIN(BM$38,$E546)&lt;MAX($P$34*($B546+$I$38-1),IF(AND($L$37=0,$P$34=0),"",$L$37-1)),0,YEARFRAC(MAX($P$34*($B546+$I$38-1),IF(AND($L$37=0,$P$34=0),"",$L$37-1)),MIN(BM$38,$E546),$P$20))-SUM($BF546:BL546))</f>
        <v>0</v>
      </c>
      <c r="BN546" s="446">
        <f>IF($E546=0,0,IF(MIN(BN$38,$E546)&lt;MAX($P$34*($B546+$I$38-1),IF(AND($L$37=0,$P$34=0),"",$L$37-1)),0,YEARFRAC(MAX($P$34*($B546+$I$38-1),IF(AND($L$37=0,$P$34=0),"",$L$37-1)),MIN(BN$38,$E546),$P$20))-SUM($BF546:BM546))</f>
        <v>0</v>
      </c>
      <c r="BO546" s="446">
        <f>IF($E546=0,0,IF(MIN(BO$38,$E546)&lt;MAX($P$34*($B546+$I$38-1),IF(AND($L$37=0,$P$34=0),"",$L$37-1)),0,YEARFRAC(MAX($P$34*($B546+$I$38-1),IF(AND($L$37=0,$P$34=0),"",$L$37-1)),MIN(BO$38,$E546),$P$20))-SUM($BF546:BN546))</f>
        <v>0</v>
      </c>
      <c r="BP546" s="446">
        <f>IF($E546=0,0,IF(MIN(BP$38,$E546)&lt;MAX($P$34*($B546+$I$38-1),IF(AND($L$37=0,$P$34=0),"",$L$37-1)),0,YEARFRAC(MAX($P$34*($B546+$I$38-1),IF(AND($L$37=0,$P$34=0),"",$L$37-1)),MIN(BP$38,$E546),$P$20))-SUM($BF546:BO546))</f>
        <v>0</v>
      </c>
      <c r="BQ546" s="446">
        <f>IF($E546=0,0,IF(MIN(BQ$38,$E546)&lt;MAX($P$34*($B546+$I$38-1),IF(AND($L$37=0,$P$34=0),"",$L$37-1)),0,YEARFRAC(MAX($P$34*($B546+$I$38-1),IF(AND($L$37=0,$P$34=0),"",$L$37-1)),MIN(BQ$38,$E546),$P$20))-SUM($BF546:BP546))</f>
        <v>0</v>
      </c>
      <c r="BR546" s="446">
        <f>IF($E546=0,0,IF(MIN(BR$38,$E546)&lt;MAX($P$34*($B546+$I$38-1),IF(AND($L$37=0,$P$34=0),"",$L$37-1)),0,YEARFRAC(MAX($P$34*($B546+$I$38-1),IF(AND($L$37=0,$P$34=0),"",$L$37-1)),MIN(BR$38,$E546),$P$20))-SUM($BF546:BQ546))</f>
        <v>0</v>
      </c>
      <c r="BS546" s="446">
        <f>IF($E546=0,0,IF(MIN(BS$38,$E546)&lt;MAX($P$34*($B546+$I$38-1),IF(AND($L$37=0,$P$34=0),"",$L$37-1)),0,YEARFRAC(MAX($P$34*($B546+$I$38-1),IF(AND($L$37=0,$P$34=0),"",$L$37-1)),MIN(BS$38,$E546),$P$20))-SUM($BF546:BR546))</f>
        <v>0</v>
      </c>
      <c r="BT546" s="446">
        <f>IF($E546=0,0,IF(MIN(BT$38,$E546)&lt;MAX($P$34*($B546+$I$38-1),IF(AND($L$37=0,$P$34=0),"",$L$37-1)),0,YEARFRAC(MAX($P$34*($B546+$I$38-1),IF(AND($L$37=0,$P$34=0),"",$L$37-1)),MIN(BT$38,$E546),$P$20))-SUM($BF546:BS546))</f>
        <v>0</v>
      </c>
      <c r="BU546" s="446">
        <f>IF($E546=0,0,IF(MIN(BU$38,$E546)&lt;MAX($P$34*($B546+$I$38-1),IF(AND($L$37=0,$P$34=0),"",$L$37-1)),0,YEARFRAC(MAX($P$34*($B546+$I$38-1),IF(AND($L$37=0,$P$34=0),"",$L$37-1)),MIN(BU$38,$E546),$P$20))-SUM($BF546:BT546))</f>
        <v>0</v>
      </c>
      <c r="BV546" s="446">
        <f>IF($E546=0,0,IF(MIN(BV$38,$E546)&lt;MAX($P$34*($B546+$I$38-1),IF(AND($L$37=0,$P$34=0),"",$L$37-1)),0,YEARFRAC(MAX($P$34*($B546+$I$38-1),IF(AND($L$37=0,$P$34=0),"",$L$37-1)),MIN(BV$38,$E546),$P$20))-SUM($BF546:BU546))</f>
        <v>0</v>
      </c>
      <c r="BW546" s="446">
        <f>IF($E546=0,0,IF(MIN(BW$38,$E546)&lt;MAX($P$34*($B546+$I$38-1),IF(AND($L$37=0,$P$34=0),"",$L$37-1)),0,YEARFRAC(MAX($P$34*($B546+$I$38-1),IF(AND($L$37=0,$P$34=0),"",$L$37-1)),MIN(BW$38,$E546),$P$20))-SUM($BF546:BV546))</f>
        <v>0</v>
      </c>
      <c r="BX546" s="446">
        <f>IF($E546=0,0,IF(MIN(BX$38,$E546)&lt;MAX($P$34*($B546+$I$38-1),IF(AND($L$37=0,$P$34=0),"",$L$37-1)),0,YEARFRAC(MAX($P$34*($B546+$I$38-1),IF(AND($L$37=0,$P$34=0),"",$L$37-1)),MIN(BX$38,$E546),$P$20))-SUM($BF546:BW546))</f>
        <v>0</v>
      </c>
      <c r="BY546" s="446">
        <f>IF($E546=0,0,IF(MIN(BY$38,$E546)&lt;MAX($P$34*($B546+$I$38-1),IF(AND($L$37=0,$P$34=0),"",$L$37-1)),0,YEARFRAC(MAX($P$34*($B546+$I$38-1),IF(AND($L$37=0,$P$34=0),"",$L$37-1)),MIN(BY$38,$E546),$P$20))-SUM($BF546:BX546))</f>
        <v>0</v>
      </c>
      <c r="BZ546" s="446">
        <f>IF($E546=0,0,IF(MIN(BZ$38,$E546)&lt;MAX($P$34*($B546+$I$38-1),IF(AND($L$37=0,$P$34=0),"",$L$37-1)),0,YEARFRAC(MAX($P$34*($B546+$I$38-1),IF(AND($L$37=0,$P$34=0),"",$L$37-1)),MIN(BZ$38,$E546),$P$20))-SUM($BF546:BY546))</f>
        <v>0</v>
      </c>
      <c r="CA546" s="446">
        <f>IF($E546=0,0,IF(MIN(CA$38,$E546)&lt;MAX($P$34*($B546+$I$38-1),IF(AND($L$37=0,$P$34=0),"",$L$37-1)),0,YEARFRAC(MAX($P$34*($B546+$I$38-1),IF(AND($L$37=0,$P$34=0),"",$L$37-1)),MIN(CA$38,$E546),$P$20))-SUM($BF546:BZ546))</f>
        <v>0</v>
      </c>
      <c r="CB546" s="446">
        <f>IF($E546=0,0,IF(MIN(CB$38,$E546)&lt;MAX($P$34*($B546+$I$38-1),IF(AND($L$37=0,$P$34=0),"",$L$37-1)),0,YEARFRAC(MAX($P$34*($B546+$I$38-1),IF(AND($L$37=0,$P$34=0),"",$L$37-1)),MIN(CB$38,$E546),$P$20))-SUM($BF546:CA546))</f>
        <v>0</v>
      </c>
      <c r="CC546" s="446">
        <f>IF($E546=0,0,IF(MIN(CC$38,$E546)&lt;MAX($P$34*($B546+$I$38-1),IF(AND($L$37=0,$P$34=0),"",$L$37-1)),0,YEARFRAC(MAX($P$34*($B546+$I$38-1),IF(AND($L$37=0,$P$34=0),"",$L$37-1)),MIN(CC$38,$E546),$P$20))-SUM($BF546:CB546))</f>
        <v>0</v>
      </c>
      <c r="CD546" s="446">
        <f>IF($E546=0,0,IF(MIN(CD$38,$E546)&lt;MAX($P$34*($B546+$I$38-1),IF(AND($L$37=0,$P$34=0),"",$L$37-1)),0,YEARFRAC(MAX($P$34*($B546+$I$38-1),IF(AND($L$37=0,$P$34=0),"",$L$37-1)),MIN(CD$38,$E546),$P$20))-SUM($BF546:CC546))</f>
        <v>0</v>
      </c>
      <c r="CE546" s="446">
        <f>IF($E546=0,0,IF(MIN(CE$38,$E546)&lt;MAX($P$34*($B546+$I$38-1),IF(AND($L$37=0,$P$34=0),"",$L$37-1)),0,YEARFRAC(MAX($P$34*($B546+$I$38-1),IF(AND($L$37=0,$P$34=0),"",$L$37-1)),MIN(CE$38,$E546),$P$20))-SUM($BF546:CD546))</f>
        <v>0</v>
      </c>
      <c r="CF546" s="446">
        <f>IF($E546=0,0,IF(MIN(CF$38,$E546)&lt;MAX($P$34*($B546+$I$38-1),IF(AND($L$37=0,$P$34=0),"",$L$37-1)),0,YEARFRAC(MAX($P$34*($B546+$I$38-1),IF(AND($L$37=0,$P$34=0),"",$L$37-1)),MIN(CF$38,$E546),$P$20))-SUM($BF546:CE546))</f>
        <v>0</v>
      </c>
      <c r="CG546" s="446">
        <f>IF($E546=0,0,IF(MIN(CG$38,$E546)&lt;MAX($P$34*($B546+$I$38-1),IF(AND($L$37=0,$P$34=0),"",$L$37-1)),0,YEARFRAC(MAX($P$34*($B546+$I$38-1),IF(AND($L$37=0,$P$34=0),"",$L$37-1)),MIN(CG$38,$E546),$P$20))-SUM($BF546:CF546))</f>
        <v>0</v>
      </c>
      <c r="CH546" s="446">
        <f>IF($E546=0,0,IF(MIN(CH$38,$E546)&lt;MAX($P$34*($B546+$I$38-1),IF(AND($L$37=0,$P$34=0),"",$L$37-1)),0,YEARFRAC(MAX($P$34*($B546+$I$38-1),IF(AND($L$37=0,$P$34=0),"",$L$37-1)),MIN(CH$38,$E546),$P$20))-SUM($BF546:CG546))</f>
        <v>0</v>
      </c>
      <c r="CI546" s="446">
        <f>IF($E546=0,0,IF(MIN(CI$38,$E546)&lt;MAX($P$34*($B546+$I$38-1),IF(AND($L$37=0,$P$34=0),"",$L$37-1)),0,YEARFRAC(MAX($P$34*($B546+$I$38-1),IF(AND($L$37=0,$P$34=0),"",$L$37-1)),MIN(CI$38,$E546),$P$20))-SUM($BF546:CH546))</f>
        <v>0</v>
      </c>
      <c r="CJ546" s="446">
        <f>IF($E546=0,0,IF(MIN(CJ$38,$E546)&lt;MAX($P$34*($B546+$I$38-1),IF(AND($L$37=0,$P$34=0),"",$L$37-1)),0,YEARFRAC(MAX($P$34*($B546+$I$38-1),IF(AND($L$37=0,$P$34=0),"",$L$37-1)),MIN(CJ$38,$E546),$P$20))-SUM($BF546:CI546))</f>
        <v>0</v>
      </c>
      <c r="CK546" s="446">
        <f>IF($E546=0,0,IF(MIN(CK$38,$E546)&lt;MAX($P$34*($B546+$I$38-1),IF(AND($L$37=0,$P$34=0),"",$L$37-1)),0,YEARFRAC(MAX($P$34*($B546+$I$38-1),IF(AND($L$37=0,$P$34=0),"",$L$37-1)),MIN(CK$38,$E546),$P$20))-SUM($BF546:CJ546))</f>
        <v>0</v>
      </c>
      <c r="CL546" s="446">
        <f>IF($E546=0,0,IF(MIN(CL$38,$E546)&lt;MAX($P$34*($B546+$I$38-1),IF(AND($L$37=0,$P$34=0),"",$L$37-1)),0,YEARFRAC(MAX($P$34*($B546+$I$38-1),IF(AND($L$37=0,$P$34=0),"",$L$37-1)),MIN(CL$38,$E546),$P$20))-SUM($BF546:CK546))</f>
        <v>0</v>
      </c>
      <c r="CM546" s="446">
        <f>IF($E546=0,0,IF(MIN(CM$38,$E546)&lt;MAX($P$34*($B546+$I$38-1),IF(AND($L$37=0,$P$34=0),"",$L$37-1)),0,YEARFRAC(MAX($P$34*($B546+$I$38-1),IF(AND($L$37=0,$P$34=0),"",$L$37-1)),MIN(CM$38,$E546),$P$20))-SUM($BF546:CL546))</f>
        <v>0</v>
      </c>
      <c r="CN546" s="446">
        <f>IF($E546=0,0,IF(MIN(CN$38,$E546)&lt;MAX($P$34*($B546+$I$38-1),IF(AND($L$37=0,$P$34=0),"",$L$37-1)),0,YEARFRAC(MAX($P$34*($B546+$I$38-1),IF(AND($L$37=0,$P$34=0),"",$L$37-1)),MIN(CN$38,$E546),$P$20))-SUM($BF546:CM546))</f>
        <v>0</v>
      </c>
      <c r="CO546" s="446">
        <f>IF($E546=0,0,IF(MIN(CO$38,$E546)&lt;MAX($P$34*($B546+$I$38-1),IF(AND($L$37=0,$P$34=0),"",$L$37-1)),0,YEARFRAC(MAX($P$34*($B546+$I$38-1),IF(AND($L$37=0,$P$34=0),"",$L$37-1)),MIN(CO$38,$E546),$P$20))-SUM($BF546:CN546))</f>
        <v>0</v>
      </c>
      <c r="CP546" s="446">
        <f>IF($E546=0,0,IF(MIN(CP$38,$E546)&lt;MAX($P$34*($B546+$I$38-1),IF(AND($L$37=0,$P$34=0),"",$L$37-1)),0,YEARFRAC(MAX($P$34*($B546+$I$38-1),IF(AND($L$37=0,$P$34=0),"",$L$37-1)),MIN(CP$38,$E546),$P$20))-SUM($BF546:CO546))</f>
        <v>0</v>
      </c>
      <c r="CQ546" s="446">
        <f>IF($E546=0,0,IF(MIN(CQ$38,$E546)&lt;MAX($P$34*($B546+$I$38-1),IF(AND($L$37=0,$P$34=0),"",$L$37-1)),0,YEARFRAC(MAX($P$34*($B546+$I$38-1),IF(AND($L$37=0,$P$34=0),"",$L$37-1)),MIN(CQ$38,$E546),$P$20))-SUM($BF546:CP546))</f>
        <v>0</v>
      </c>
    </row>
    <row r="547" spans="1:95" s="446" customFormat="1" ht="11.25" hidden="1" customHeight="1" x14ac:dyDescent="0.2">
      <c r="A547" s="152"/>
      <c r="B547" s="153" t="str">
        <f t="shared" si="92"/>
        <v/>
      </c>
      <c r="C547" s="29" t="str">
        <f>IF(B547="","",IF($L$35="SELIC - TRIBUTOS",VLOOKUP(DATE(YEAR($D$19),MONTH($D$19)-1,1),ÍNDICES!$A:$DE,HLOOKUP($BL$25,ÍNDICES!$B$3:$T$4,2)+11)-VLOOKUP(B547,ÍNDICES!$A:$DE,HLOOKUP($BL$25,ÍNDICES!$B$3:$T$4,2)+11)+1%,IF(C$38=$W$26,$J$35,IF(ISERROR(IF(B547&gt;$D$19,1,VLOOKUP(DATE(YEAR(B547),MONTH(B547)+IF($C$35=$S$23,1,0),1),ÍNDICES!$A:$DE,$Z$35+1))),"",IF(B547&gt;$D$19,1,VLOOKUP(DATE(YEAR(B547),MONTH(B547)+IF($C$35=$S$23,1,0),1),ÍNDICES!$A:$DE,$Z$35+1))))))</f>
        <v/>
      </c>
      <c r="D547" s="154" t="str">
        <f>IF(ISERROR(IF(OR($D$38=$Y$27,$B547=""),"",VLOOKUP(B547,ÍNDICES!A:DE,AF$35+1))),"",IF(OR($D$38=$Y$27,$B547=""),"",VLOOKUP(B547,ÍNDICES!A:DE,AF$35+1)))</f>
        <v/>
      </c>
      <c r="E547" s="153"/>
      <c r="F547" s="29" t="str">
        <f>IF(E547="","",IF($L$35="SELIC - TRIBUTOS",VLOOKUP(DATE(YEAR($D$19),MONTH($D$19)-1,1),ÍNDICES!$A:$DE,HLOOKUP($BL$25,ÍNDICES!$B$3:$T$4,2)+11)-VLOOKUP(E547,ÍNDICES!$A:$DE,HLOOKUP($BL$25,ÍNDICES!$B$3:$T$4,2)+11)+1%,IF(F$38=$W$26,$J$35,IF(ISERROR(IF(E547&gt;$D$19,1,VLOOKUP(DATE(YEAR(E547),MONTH(E547)+IF($C$35=$S$23,1,0),1),ÍNDICES!$A:$DE,$Z$35+1))),"",IF(E547&gt;$D$19,1,VLOOKUP(DATE(YEAR(E547),MONTH(E547)+IF($C$35=$S$23,1,0),1),ÍNDICES!$A:$DE,$Z$35+1))))))</f>
        <v/>
      </c>
      <c r="G547" s="155"/>
      <c r="H547" s="156" t="str">
        <f t="shared" si="88"/>
        <v/>
      </c>
      <c r="I547" s="29" t="str">
        <f t="shared" si="82"/>
        <v/>
      </c>
      <c r="J547" s="5">
        <f t="shared" si="83"/>
        <v>0</v>
      </c>
      <c r="K547" s="20">
        <f t="shared" ca="1" si="84"/>
        <v>0</v>
      </c>
      <c r="L547" s="5">
        <f t="shared" ca="1" si="85"/>
        <v>0</v>
      </c>
      <c r="M547" s="64">
        <f t="shared" si="89"/>
        <v>0</v>
      </c>
      <c r="N547" s="61">
        <f t="shared" ca="1" si="90"/>
        <v>0</v>
      </c>
      <c r="O547" s="5">
        <f t="shared" ca="1" si="91"/>
        <v>0</v>
      </c>
      <c r="P547" s="446" t="e">
        <f t="shared" si="86"/>
        <v>#VALUE!</v>
      </c>
      <c r="Q547" s="446" t="e">
        <f>IF(OR($B547="",MIN(Q$38,$D$19)&lt;MAX($P$34*($B547+IF($R$17="Distrato",$I$38-1,0)),IF(AND($L$37=0,$P$34=0),"",$L$37-1),IF($R$17="Distrato",$E547,0))),0,YEARFRAC(MAX($P$34*($B547+IF($R$17="Distrato",$I$38-1,0)),IF(AND($L$37=0,$P$34=0),"",$L$37-1),IF($R$17="Distrato",$E547,0)),MIN(Q$38,$D$19),$P$20))-SUM($P547:P547)</f>
        <v>#VALUE!</v>
      </c>
      <c r="R547" s="446" t="e">
        <f>IF(OR($B547="",MIN(R$38,$D$19)&lt;MAX($P$34*($B547+IF($R$17="Distrato",$I$38-1,0)),IF(AND($L$37=0,$P$34=0),"",$L$37-1),IF($R$17="Distrato",$E547,0))),0,YEARFRAC(MAX($P$34*($B547+IF($R$17="Distrato",$I$38-1,0)),IF(AND($L$37=0,$P$34=0),"",$L$37-1),IF($R$17="Distrato",$E547,0)),MIN(R$38,$D$19),$P$20))-SUM($P547:Q547)</f>
        <v>#VALUE!</v>
      </c>
      <c r="S547" s="446" t="e">
        <f>IF(OR($B547="",MIN(S$38,$D$19)&lt;MAX($P$34*($B547+IF($R$17="Distrato",$I$38-1,0)),IF(AND($L$37=0,$P$34=0),"",$L$37-1),IF($R$17="Distrato",$E547,0))),0,YEARFRAC(MAX($P$34*($B547+IF($R$17="Distrato",$I$38-1,0)),IF(AND($L$37=0,$P$34=0),"",$L$37-1),IF($R$17="Distrato",$E547,0)),MIN(S$38,$D$19),$P$20))-SUM($P547:R547)</f>
        <v>#VALUE!</v>
      </c>
      <c r="T547" s="446" t="e">
        <f>IF(OR($B547="",MIN(T$38,$D$19)&lt;MAX($P$34*($B547+IF($R$17="Distrato",$I$38-1,0)),IF(AND($L$37=0,$P$34=0),"",$L$37-1),IF($R$17="Distrato",$E547,0))),0,YEARFRAC(MAX($P$34*($B547+IF($R$17="Distrato",$I$38-1,0)),IF(AND($L$37=0,$P$34=0),"",$L$37-1),IF($R$17="Distrato",$E547,0)),MIN(T$38,$D$19),$P$20))-SUM($P547:S547)</f>
        <v>#VALUE!</v>
      </c>
      <c r="U547" s="446" t="e">
        <f>IF(OR($B547="",MIN(U$38,$D$19)&lt;MAX($P$34*($B547+IF($R$17="Distrato",$I$38-1,0)),IF(AND($L$37=0,$P$34=0),"",$L$37-1),IF($R$17="Distrato",$E547,0))),0,YEARFRAC(MAX($P$34*($B547+IF($R$17="Distrato",$I$38-1,0)),IF(AND($L$37=0,$P$34=0),"",$L$37-1),IF($R$17="Distrato",$E547,0)),MIN(U$38,$D$19),$P$20))-SUM($P547:T547)</f>
        <v>#VALUE!</v>
      </c>
      <c r="V547" s="446" t="e">
        <f>IF(OR($B547="",MIN(V$38,$D$19)&lt;MAX($P$34*($B547+IF($R$17="Distrato",$I$38-1,0)),IF(AND($L$37=0,$P$34=0),"",$L$37-1),IF($R$17="Distrato",$E547,0))),0,YEARFRAC(MAX($P$34*($B547+IF($R$17="Distrato",$I$38-1,0)),IF(AND($L$37=0,$P$34=0),"",$L$37-1),IF($R$17="Distrato",$E547,0)),MIN(V$38,$D$19),$P$20))-SUM($P547:U547)</f>
        <v>#VALUE!</v>
      </c>
      <c r="W547" s="446" t="e">
        <f>IF(OR($B547="",MIN(W$38,$D$19)&lt;MAX($P$34*($B547+IF($R$17="Distrato",$I$38-1,0)),IF(AND($L$37=0,$P$34=0),"",$L$37-1),IF($R$17="Distrato",$E547,0))),0,YEARFRAC(MAX($P$34*($B547+IF($R$17="Distrato",$I$38-1,0)),IF(AND($L$37=0,$P$34=0),"",$L$37-1),IF($R$17="Distrato",$E547,0)),MIN(W$38,$D$19),$P$20))-SUM($P547:V547)</f>
        <v>#VALUE!</v>
      </c>
      <c r="X547" s="446" t="e">
        <f>IF(OR($B547="",MIN(X$38,$D$19)&lt;MAX($P$34*($B547+IF($R$17="Distrato",$I$38-1,0)),IF(AND($L$37=0,$P$34=0),"",$L$37-1),IF($R$17="Distrato",$E547,0))),0,YEARFRAC(MAX($P$34*($B547+IF($R$17="Distrato",$I$38-1,0)),IF(AND($L$37=0,$P$34=0),"",$L$37-1),IF($R$17="Distrato",$E547,0)),MIN(X$38,$D$19),$P$20))-SUM($P547:W547)</f>
        <v>#VALUE!</v>
      </c>
      <c r="Y547" s="446" t="e">
        <f>IF(OR($B547="",MIN(Y$38,$D$19)&lt;MAX($P$34*($B547+IF($R$17="Distrato",$I$38-1,0)),IF(AND($L$37=0,$P$34=0),"",$L$37-1),IF($R$17="Distrato",$E547,0))),0,YEARFRAC(MAX($P$34*($B547+IF($R$17="Distrato",$I$38-1,0)),IF(AND($L$37=0,$P$34=0),"",$L$37-1),IF($R$17="Distrato",$E547,0)),MIN(Y$38,$D$19),$P$20))-SUM($P547:X547)</f>
        <v>#VALUE!</v>
      </c>
      <c r="Z547" s="446" t="e">
        <f>IF(OR($B547="",MIN(Z$38,$D$19)&lt;MAX($P$34*($B547+IF($R$17="Distrato",$I$38-1,0)),IF(AND($L$37=0,$P$34=0),"",$L$37-1),IF($R$17="Distrato",$E547,0))),0,YEARFRAC(MAX($P$34*($B547+IF($R$17="Distrato",$I$38-1,0)),IF(AND($L$37=0,$P$34=0),"",$L$37-1),IF($R$17="Distrato",$E547,0)),MIN(Z$38,$D$19),$P$20))-SUM($P547:Y547)</f>
        <v>#VALUE!</v>
      </c>
      <c r="AA547" s="446" t="e">
        <f>IF(OR($B547="",MIN(AA$38,$D$19)&lt;MAX($P$34*($B547+IF($R$17="Distrato",$I$38-1,0)),IF(AND($L$37=0,$P$34=0),"",$L$37-1),IF($R$17="Distrato",$E547,0))),0,YEARFRAC(MAX($P$34*($B547+IF($R$17="Distrato",$I$38-1,0)),IF(AND($L$37=0,$P$34=0),"",$L$37-1),IF($R$17="Distrato",$E547,0)),MIN(AA$38,$D$19),$P$20))-SUM($P547:Z547)</f>
        <v>#VALUE!</v>
      </c>
      <c r="AB547" s="446" t="e">
        <f>IF(OR($B547="",MIN(AB$38,$D$19)&lt;MAX($P$34*($B547+IF($R$17="Distrato",$I$38-1,0)),IF(AND($L$37=0,$P$34=0),"",$L$37-1),IF($R$17="Distrato",$E547,0))),0,YEARFRAC(MAX($P$34*($B547+IF($R$17="Distrato",$I$38-1,0)),IF(AND($L$37=0,$P$34=0),"",$L$37-1),IF($R$17="Distrato",$E547,0)),MIN(AB$38,$D$19),$P$20))-SUM($P547:AA547)</f>
        <v>#VALUE!</v>
      </c>
      <c r="AC547" s="446" t="e">
        <f>IF(OR($B547="",MIN(AC$38,$D$19)&lt;MAX($P$34*($B547+IF($R$17="Distrato",$I$38-1,0)),IF(AND($L$37=0,$P$34=0),"",$L$37-1),IF($R$17="Distrato",$E547,0))),0,YEARFRAC(MAX($P$34*($B547+IF($R$17="Distrato",$I$38-1,0)),IF(AND($L$37=0,$P$34=0),"",$L$37-1),IF($R$17="Distrato",$E547,0)),MIN(AC$38,$D$19),$P$20))-SUM($P547:AB547)</f>
        <v>#VALUE!</v>
      </c>
      <c r="AD547" s="446" t="e">
        <f>IF(OR($B547="",MIN(AD$38,$D$19)&lt;MAX($P$34*($B547+IF($R$17="Distrato",$I$38-1,0)),IF(AND($L$37=0,$P$34=0),"",$L$37-1),IF($R$17="Distrato",$E547,0))),0,YEARFRAC(MAX($P$34*($B547+IF($R$17="Distrato",$I$38-1,0)),IF(AND($L$37=0,$P$34=0),"",$L$37-1),IF($R$17="Distrato",$E547,0)),MIN(AD$38,$D$19),$P$20))-SUM($P547:AC547)</f>
        <v>#VALUE!</v>
      </c>
      <c r="AE547" s="446" t="e">
        <f>IF(OR($B547="",MIN(AE$38,$D$19)&lt;MAX($P$34*($B547+IF($R$17="Distrato",$I$38-1,0)),IF(AND($L$37=0,$P$34=0),"",$L$37-1),IF($R$17="Distrato",$E547,0))),0,YEARFRAC(MAX($P$34*($B547+IF($R$17="Distrato",$I$38-1,0)),IF(AND($L$37=0,$P$34=0),"",$L$37-1),IF($R$17="Distrato",$E547,0)),MIN(AE$38,$D$19),$P$20))-SUM($P547:AD547)</f>
        <v>#VALUE!</v>
      </c>
      <c r="AF547" s="446" t="e">
        <f>IF(OR($B547="",MIN(AF$38,$D$19)&lt;MAX($P$34*($B547+IF($R$17="Distrato",$I$38-1,0)),IF(AND($L$37=0,$P$34=0),"",$L$37-1),IF($R$17="Distrato",$E547,0))),0,YEARFRAC(MAX($P$34*($B547+IF($R$17="Distrato",$I$38-1,0)),IF(AND($L$37=0,$P$34=0),"",$L$37-1),IF($R$17="Distrato",$E547,0)),MIN(AF$38,$D$19),$P$20))-SUM($P547:AE547)</f>
        <v>#VALUE!</v>
      </c>
      <c r="AG547" s="446" t="e">
        <f>IF(OR($B547="",MIN(AG$38,$D$19)&lt;MAX($P$34*($B547+IF($R$17="Distrato",$I$38-1,0)),IF(AND($L$37=0,$P$34=0),"",$L$37-1),IF($R$17="Distrato",$E547,0))),0,YEARFRAC(MAX($P$34*($B547+IF($R$17="Distrato",$I$38-1,0)),IF(AND($L$37=0,$P$34=0),"",$L$37-1),IF($R$17="Distrato",$E547,0)),MIN(AG$38,$D$19),$P$20))-SUM($P547:AF547)</f>
        <v>#VALUE!</v>
      </c>
      <c r="AH547" s="446" t="e">
        <f>IF(OR($B547="",MIN(AH$38,$D$19)&lt;MAX($P$34*($B547+IF($R$17="Distrato",$I$38-1,0)),IF(AND($L$37=0,$P$34=0),"",$L$37-1),IF($R$17="Distrato",$E547,0))),0,YEARFRAC(MAX($P$34*($B547+IF($R$17="Distrato",$I$38-1,0)),IF(AND($L$37=0,$P$34=0),"",$L$37-1),IF($R$17="Distrato",$E547,0)),MIN(AH$38,$D$19),$P$20))-SUM($P547:AG547)</f>
        <v>#VALUE!</v>
      </c>
      <c r="AI547" s="446" t="e">
        <f>IF(OR($B547="",MIN(AI$38,$D$19)&lt;MAX($P$34*($B547+IF($R$17="Distrato",$I$38-1,0)),IF(AND($L$37=0,$P$34=0),"",$L$37-1),IF($R$17="Distrato",$E547,0))),0,YEARFRAC(MAX($P$34*($B547+IF($R$17="Distrato",$I$38-1,0)),IF(AND($L$37=0,$P$34=0),"",$L$37-1),IF($R$17="Distrato",$E547,0)),MIN(AI$38,$D$19),$P$20))-SUM($P547:AH547)</f>
        <v>#VALUE!</v>
      </c>
      <c r="AJ547" s="446" t="e">
        <f>IF(OR($B547="",MIN(AJ$38,$D$19)&lt;MAX($P$34*($B547+IF($R$17="Distrato",$I$38-1,0)),IF(AND($L$37=0,$P$34=0),"",$L$37-1),IF($R$17="Distrato",$E547,0))),0,YEARFRAC(MAX($P$34*($B547+IF($R$17="Distrato",$I$38-1,0)),IF(AND($L$37=0,$P$34=0),"",$L$37-1),IF($R$17="Distrato",$E547,0)),MIN(AJ$38,$D$19),$P$20))-SUM($P547:AI547)</f>
        <v>#VALUE!</v>
      </c>
      <c r="AK547" s="446" t="e">
        <f>IF(OR($B547="",MIN(AK$38,$D$19)&lt;MAX($P$34*($B547+IF($R$17="Distrato",$I$38-1,0)),IF(AND($L$37=0,$P$34=0),"",$L$37-1),IF($R$17="Distrato",$E547,0))),0,YEARFRAC(MAX($P$34*($B547+IF($R$17="Distrato",$I$38-1,0)),IF(AND($L$37=0,$P$34=0),"",$L$37-1),IF($R$17="Distrato",$E547,0)),MIN(AK$38,$D$19),$P$20))-SUM($P547:AJ547)</f>
        <v>#VALUE!</v>
      </c>
      <c r="AL547" s="446" t="e">
        <f>IF(OR($B547="",MIN(AL$38,$D$19)&lt;MAX($P$34*($B547+IF($R$17="Distrato",$I$38-1,0)),IF(AND($L$37=0,$P$34=0),"",$L$37-1),IF($R$17="Distrato",$E547,0))),0,YEARFRAC(MAX($P$34*($B547+IF($R$17="Distrato",$I$38-1,0)),IF(AND($L$37=0,$P$34=0),"",$L$37-1),IF($R$17="Distrato",$E547,0)),MIN(AL$38,$D$19),$P$20))-SUM($P547:AK547)</f>
        <v>#VALUE!</v>
      </c>
      <c r="AM547" s="446" t="e">
        <f>IF(OR($B547="",MIN(AM$38,$D$19)&lt;MAX($P$34*($B547+IF($R$17="Distrato",$I$38-1,0)),IF(AND($L$37=0,$P$34=0),"",$L$37-1),IF($R$17="Distrato",$E547,0))),0,YEARFRAC(MAX($P$34*($B547+IF($R$17="Distrato",$I$38-1,0)),IF(AND($L$37=0,$P$34=0),"",$L$37-1),IF($R$17="Distrato",$E547,0)),MIN(AM$38,$D$19),$P$20))-SUM($P547:AL547)</f>
        <v>#VALUE!</v>
      </c>
      <c r="AN547" s="446" t="e">
        <f>IF(OR($B547="",MIN(AN$38,$D$19)&lt;MAX($P$34*($B547+IF($R$17="Distrato",$I$38-1,0)),IF(AND($L$37=0,$P$34=0),"",$L$37-1),IF($R$17="Distrato",$E547,0))),0,YEARFRAC(MAX($P$34*($B547+IF($R$17="Distrato",$I$38-1,0)),IF(AND($L$37=0,$P$34=0),"",$L$37-1),IF($R$17="Distrato",$E547,0)),MIN(AN$38,$D$19),$P$20))-SUM($P547:AM547)</f>
        <v>#VALUE!</v>
      </c>
      <c r="AO547" s="446" t="e">
        <f>IF(OR($B547="",MIN(AO$38,$D$19)&lt;MAX($P$34*($B547+IF($R$17="Distrato",$I$38-1,0)),IF(AND($L$37=0,$P$34=0),"",$L$37-1),IF($R$17="Distrato",$E547,0))),0,YEARFRAC(MAX($P$34*($B547+IF($R$17="Distrato",$I$38-1,0)),IF(AND($L$37=0,$P$34=0),"",$L$37-1),IF($R$17="Distrato",$E547,0)),MIN(AO$38,$D$19),$P$20))-SUM($P547:AN547)</f>
        <v>#VALUE!</v>
      </c>
      <c r="AP547" s="446" t="e">
        <f>IF(OR($B547="",MIN(AP$38,$D$19)&lt;MAX($P$34*($B547+IF($R$17="Distrato",$I$38-1,0)),IF(AND($L$37=0,$P$34=0),"",$L$37-1),IF($R$17="Distrato",$E547,0))),0,YEARFRAC(MAX($P$34*($B547+IF($R$17="Distrato",$I$38-1,0)),IF(AND($L$37=0,$P$34=0),"",$L$37-1),IF($R$17="Distrato",$E547,0)),MIN(AP$38,$D$19),$P$20))-SUM($P547:AO547)</f>
        <v>#VALUE!</v>
      </c>
      <c r="AQ547" s="446" t="e">
        <f>IF(OR($B547="",MIN(AQ$38,$D$19)&lt;MAX($P$34*($B547+IF($R$17="Distrato",$I$38-1,0)),IF(AND($L$37=0,$P$34=0),"",$L$37-1),IF($R$17="Distrato",$E547,0))),0,YEARFRAC(MAX($P$34*($B547+IF($R$17="Distrato",$I$38-1,0)),IF(AND($L$37=0,$P$34=0),"",$L$37-1),IF($R$17="Distrato",$E547,0)),MIN(AQ$38,$D$19),$P$20))-SUM($P547:AP547)</f>
        <v>#VALUE!</v>
      </c>
      <c r="AR547" s="446" t="e">
        <f>IF(OR($B547="",MIN(AR$38,$D$19)&lt;MAX($P$34*($B547+IF($R$17="Distrato",$I$38-1,0)),IF(AND($L$37=0,$P$34=0),"",$L$37-1),IF($R$17="Distrato",$E547,0))),0,YEARFRAC(MAX($P$34*($B547+IF($R$17="Distrato",$I$38-1,0)),IF(AND($L$37=0,$P$34=0),"",$L$37-1),IF($R$17="Distrato",$E547,0)),MIN(AR$38,$D$19),$P$20))-SUM($P547:AQ547)</f>
        <v>#VALUE!</v>
      </c>
      <c r="AS547" s="446" t="e">
        <f>IF(OR($B547="",MIN(AS$38,$D$19)&lt;MAX($P$34*($B547+IF($R$17="Distrato",$I$38-1,0)),IF(AND($L$37=0,$P$34=0),"",$L$37-1),IF($R$17="Distrato",$E547,0))),0,YEARFRAC(MAX($P$34*($B547+IF($R$17="Distrato",$I$38-1,0)),IF(AND($L$37=0,$P$34=0),"",$L$37-1),IF($R$17="Distrato",$E547,0)),MIN(AS$38,$D$19),$P$20))-SUM($P547:AR547)</f>
        <v>#VALUE!</v>
      </c>
      <c r="AT547" s="446" t="e">
        <f>IF(OR($B547="",MIN(AT$38,$D$19)&lt;MAX($P$34*($B547+IF($R$17="Distrato",$I$38-1,0)),IF(AND($L$37=0,$P$34=0),"",$L$37-1),IF($R$17="Distrato",$E547,0))),0,YEARFRAC(MAX($P$34*($B547+IF($R$17="Distrato",$I$38-1,0)),IF(AND($L$37=0,$P$34=0),"",$L$37-1),IF($R$17="Distrato",$E547,0)),MIN(AT$38,$D$19),$P$20))-SUM($P547:AS547)</f>
        <v>#VALUE!</v>
      </c>
      <c r="AU547" s="446" t="e">
        <f>IF(OR($B547="",MIN(AU$38,$D$19)&lt;MAX($P$34*($B547+IF($R$17="Distrato",$I$38-1,0)),IF(AND($L$37=0,$P$34=0),"",$L$37-1),IF($R$17="Distrato",$E547,0))),0,YEARFRAC(MAX($P$34*($B547+IF($R$17="Distrato",$I$38-1,0)),IF(AND($L$37=0,$P$34=0),"",$L$37-1),IF($R$17="Distrato",$E547,0)),MIN(AU$38,$D$19),$P$20))-SUM($P547:AT547)</f>
        <v>#VALUE!</v>
      </c>
      <c r="AV547" s="446" t="e">
        <f>IF(OR($B547="",MIN(AV$38,$D$19)&lt;MAX($P$34*($B547+IF($R$17="Distrato",$I$38-1,0)),IF(AND($L$37=0,$P$34=0),"",$L$37-1),IF($R$17="Distrato",$E547,0))),0,YEARFRAC(MAX($P$34*($B547+IF($R$17="Distrato",$I$38-1,0)),IF(AND($L$37=0,$P$34=0),"",$L$37-1),IF($R$17="Distrato",$E547,0)),MIN(AV$38,$D$19),$P$20))-SUM($P547:AU547)</f>
        <v>#VALUE!</v>
      </c>
      <c r="AW547" s="446" t="e">
        <f>IF(OR($B547="",MIN(AW$38,$D$19)&lt;MAX($P$34*($B547+IF($R$17="Distrato",$I$38-1,0)),IF(AND($L$37=0,$P$34=0),"",$L$37-1),IF($R$17="Distrato",$E547,0))),0,YEARFRAC(MAX($P$34*($B547+IF($R$17="Distrato",$I$38-1,0)),IF(AND($L$37=0,$P$34=0),"",$L$37-1),IF($R$17="Distrato",$E547,0)),MIN(AW$38,$D$19),$P$20))-SUM($P547:AV547)</f>
        <v>#VALUE!</v>
      </c>
      <c r="AX547" s="446" t="e">
        <f>IF(OR($B547="",MIN(AX$38,$D$19)&lt;MAX($P$34*($B547+IF($R$17="Distrato",$I$38-1,0)),IF(AND($L$37=0,$P$34=0),"",$L$37-1),IF($R$17="Distrato",$E547,0))),0,YEARFRAC(MAX($P$34*($B547+IF($R$17="Distrato",$I$38-1,0)),IF(AND($L$37=0,$P$34=0),"",$L$37-1),IF($R$17="Distrato",$E547,0)),MIN(AX$38,$D$19),$P$20))-SUM($P547:AW547)</f>
        <v>#VALUE!</v>
      </c>
      <c r="AY547" s="446" t="e">
        <f>IF(OR($B547="",MIN(AY$38,$D$19)&lt;MAX($P$34*($B547+IF($R$17="Distrato",$I$38-1,0)),IF(AND($L$37=0,$P$34=0),"",$L$37-1),IF($R$17="Distrato",$E547,0))),0,YEARFRAC(MAX($P$34*($B547+IF($R$17="Distrato",$I$38-1,0)),IF(AND($L$37=0,$P$34=0),"",$L$37-1),IF($R$17="Distrato",$E547,0)),MIN(AY$38,$D$19),$P$20))-SUM($P547:AX547)</f>
        <v>#VALUE!</v>
      </c>
      <c r="AZ547" s="446" t="e">
        <f>IF(OR($B547="",MIN(AZ$38,$D$19)&lt;MAX($P$34*($B547+IF($R$17="Distrato",$I$38-1,0)),IF(AND($L$37=0,$P$34=0),"",$L$37-1),IF($R$17="Distrato",$E547,0))),0,YEARFRAC(MAX($P$34*($B547+IF($R$17="Distrato",$I$38-1,0)),IF(AND($L$37=0,$P$34=0),"",$L$37-1),IF($R$17="Distrato",$E547,0)),MIN(AZ$38,$D$19),$P$20))-SUM($P547:AY547)</f>
        <v>#VALUE!</v>
      </c>
      <c r="BA547" s="446" t="e">
        <f>IF(OR($B547="",MIN(BA$38,$D$19)&lt;MAX($P$34*($B547+IF($R$17="Distrato",$I$38-1,0)),IF(AND($L$37=0,$P$34=0),"",$L$37-1),IF($R$17="Distrato",$E547,0))),0,YEARFRAC(MAX($P$34*($B547+IF($R$17="Distrato",$I$38-1,0)),IF(AND($L$37=0,$P$34=0),"",$L$37-1),IF($R$17="Distrato",$E547,0)),MIN(BA$38,$D$19),$P$20))-SUM($P547:AZ547)</f>
        <v>#VALUE!</v>
      </c>
      <c r="BB547" s="447"/>
      <c r="BF547" s="446">
        <f t="shared" si="87"/>
        <v>0</v>
      </c>
      <c r="BG547" s="446">
        <f>IF($E547=0,0,IF(MIN(BG$38,$E547)&lt;MAX($P$34*($B547+$I$38-1),IF(AND($L$37=0,$P$34=0),"",$L$37-1)),0,YEARFRAC(MAX($P$34*($B547+$I$38-1),IF(AND($L$37=0,$P$34=0),"",$L$37-1)),MIN(BG$38,$E547),$P$20))-SUM($BF547:BF547))</f>
        <v>0</v>
      </c>
      <c r="BH547" s="446">
        <f>IF($E547=0,0,IF(MIN(BH$38,$E547)&lt;MAX($P$34*($B547+$I$38-1),IF(AND($L$37=0,$P$34=0),"",$L$37-1)),0,YEARFRAC(MAX($P$34*($B547+$I$38-1),IF(AND($L$37=0,$P$34=0),"",$L$37-1)),MIN(BH$38,$E547),$P$20))-SUM($BF547:BG547))</f>
        <v>0</v>
      </c>
      <c r="BI547" s="446">
        <f>IF($E547=0,0,IF(MIN(BI$38,$E547)&lt;MAX($P$34*($B547+$I$38-1),IF(AND($L$37=0,$P$34=0),"",$L$37-1)),0,YEARFRAC(MAX($P$34*($B547+$I$38-1),IF(AND($L$37=0,$P$34=0),"",$L$37-1)),MIN(BI$38,$E547),$P$20))-SUM($BF547:BH547))</f>
        <v>0</v>
      </c>
      <c r="BJ547" s="446">
        <f>IF($E547=0,0,IF(MIN(BJ$38,$E547)&lt;MAX($P$34*($B547+$I$38-1),IF(AND($L$37=0,$P$34=0),"",$L$37-1)),0,YEARFRAC(MAX($P$34*($B547+$I$38-1),IF(AND($L$37=0,$P$34=0),"",$L$37-1)),MIN(BJ$38,$E547),$P$20))-SUM($BF547:BI547))</f>
        <v>0</v>
      </c>
      <c r="BK547" s="446">
        <f>IF($E547=0,0,IF(MIN(BK$38,$E547)&lt;MAX($P$34*($B547+$I$38-1),IF(AND($L$37=0,$P$34=0),"",$L$37-1)),0,YEARFRAC(MAX($P$34*($B547+$I$38-1),IF(AND($L$37=0,$P$34=0),"",$L$37-1)),MIN(BK$38,$E547),$P$20))-SUM($BF547:BJ547))</f>
        <v>0</v>
      </c>
      <c r="BL547" s="446">
        <f>IF($E547=0,0,IF(MIN(BL$38,$E547)&lt;MAX($P$34*($B547+$I$38-1),IF(AND($L$37=0,$P$34=0),"",$L$37-1)),0,YEARFRAC(MAX($P$34*($B547+$I$38-1),IF(AND($L$37=0,$P$34=0),"",$L$37-1)),MIN(BL$38,$E547),$P$20))-SUM($BF547:BK547))</f>
        <v>0</v>
      </c>
      <c r="BM547" s="446">
        <f>IF($E547=0,0,IF(MIN(BM$38,$E547)&lt;MAX($P$34*($B547+$I$38-1),IF(AND($L$37=0,$P$34=0),"",$L$37-1)),0,YEARFRAC(MAX($P$34*($B547+$I$38-1),IF(AND($L$37=0,$P$34=0),"",$L$37-1)),MIN(BM$38,$E547),$P$20))-SUM($BF547:BL547))</f>
        <v>0</v>
      </c>
      <c r="BN547" s="446">
        <f>IF($E547=0,0,IF(MIN(BN$38,$E547)&lt;MAX($P$34*($B547+$I$38-1),IF(AND($L$37=0,$P$34=0),"",$L$37-1)),0,YEARFRAC(MAX($P$34*($B547+$I$38-1),IF(AND($L$37=0,$P$34=0),"",$L$37-1)),MIN(BN$38,$E547),$P$20))-SUM($BF547:BM547))</f>
        <v>0</v>
      </c>
      <c r="BO547" s="446">
        <f>IF($E547=0,0,IF(MIN(BO$38,$E547)&lt;MAX($P$34*($B547+$I$38-1),IF(AND($L$37=0,$P$34=0),"",$L$37-1)),0,YEARFRAC(MAX($P$34*($B547+$I$38-1),IF(AND($L$37=0,$P$34=0),"",$L$37-1)),MIN(BO$38,$E547),$P$20))-SUM($BF547:BN547))</f>
        <v>0</v>
      </c>
      <c r="BP547" s="446">
        <f>IF($E547=0,0,IF(MIN(BP$38,$E547)&lt;MAX($P$34*($B547+$I$38-1),IF(AND($L$37=0,$P$34=0),"",$L$37-1)),0,YEARFRAC(MAX($P$34*($B547+$I$38-1),IF(AND($L$37=0,$P$34=0),"",$L$37-1)),MIN(BP$38,$E547),$P$20))-SUM($BF547:BO547))</f>
        <v>0</v>
      </c>
      <c r="BQ547" s="446">
        <f>IF($E547=0,0,IF(MIN(BQ$38,$E547)&lt;MAX($P$34*($B547+$I$38-1),IF(AND($L$37=0,$P$34=0),"",$L$37-1)),0,YEARFRAC(MAX($P$34*($B547+$I$38-1),IF(AND($L$37=0,$P$34=0),"",$L$37-1)),MIN(BQ$38,$E547),$P$20))-SUM($BF547:BP547))</f>
        <v>0</v>
      </c>
      <c r="BR547" s="446">
        <f>IF($E547=0,0,IF(MIN(BR$38,$E547)&lt;MAX($P$34*($B547+$I$38-1),IF(AND($L$37=0,$P$34=0),"",$L$37-1)),0,YEARFRAC(MAX($P$34*($B547+$I$38-1),IF(AND($L$37=0,$P$34=0),"",$L$37-1)),MIN(BR$38,$E547),$P$20))-SUM($BF547:BQ547))</f>
        <v>0</v>
      </c>
      <c r="BS547" s="446">
        <f>IF($E547=0,0,IF(MIN(BS$38,$E547)&lt;MAX($P$34*($B547+$I$38-1),IF(AND($L$37=0,$P$34=0),"",$L$37-1)),0,YEARFRAC(MAX($P$34*($B547+$I$38-1),IF(AND($L$37=0,$P$34=0),"",$L$37-1)),MIN(BS$38,$E547),$P$20))-SUM($BF547:BR547))</f>
        <v>0</v>
      </c>
      <c r="BT547" s="446">
        <f>IF($E547=0,0,IF(MIN(BT$38,$E547)&lt;MAX($P$34*($B547+$I$38-1),IF(AND($L$37=0,$P$34=0),"",$L$37-1)),0,YEARFRAC(MAX($P$34*($B547+$I$38-1),IF(AND($L$37=0,$P$34=0),"",$L$37-1)),MIN(BT$38,$E547),$P$20))-SUM($BF547:BS547))</f>
        <v>0</v>
      </c>
      <c r="BU547" s="446">
        <f>IF($E547=0,0,IF(MIN(BU$38,$E547)&lt;MAX($P$34*($B547+$I$38-1),IF(AND($L$37=0,$P$34=0),"",$L$37-1)),0,YEARFRAC(MAX($P$34*($B547+$I$38-1),IF(AND($L$37=0,$P$34=0),"",$L$37-1)),MIN(BU$38,$E547),$P$20))-SUM($BF547:BT547))</f>
        <v>0</v>
      </c>
      <c r="BV547" s="446">
        <f>IF($E547=0,0,IF(MIN(BV$38,$E547)&lt;MAX($P$34*($B547+$I$38-1),IF(AND($L$37=0,$P$34=0),"",$L$37-1)),0,YEARFRAC(MAX($P$34*($B547+$I$38-1),IF(AND($L$37=0,$P$34=0),"",$L$37-1)),MIN(BV$38,$E547),$P$20))-SUM($BF547:BU547))</f>
        <v>0</v>
      </c>
      <c r="BW547" s="446">
        <f>IF($E547=0,0,IF(MIN(BW$38,$E547)&lt;MAX($P$34*($B547+$I$38-1),IF(AND($L$37=0,$P$34=0),"",$L$37-1)),0,YEARFRAC(MAX($P$34*($B547+$I$38-1),IF(AND($L$37=0,$P$34=0),"",$L$37-1)),MIN(BW$38,$E547),$P$20))-SUM($BF547:BV547))</f>
        <v>0</v>
      </c>
      <c r="BX547" s="446">
        <f>IF($E547=0,0,IF(MIN(BX$38,$E547)&lt;MAX($P$34*($B547+$I$38-1),IF(AND($L$37=0,$P$34=0),"",$L$37-1)),0,YEARFRAC(MAX($P$34*($B547+$I$38-1),IF(AND($L$37=0,$P$34=0),"",$L$37-1)),MIN(BX$38,$E547),$P$20))-SUM($BF547:BW547))</f>
        <v>0</v>
      </c>
      <c r="BY547" s="446">
        <f>IF($E547=0,0,IF(MIN(BY$38,$E547)&lt;MAX($P$34*($B547+$I$38-1),IF(AND($L$37=0,$P$34=0),"",$L$37-1)),0,YEARFRAC(MAX($P$34*($B547+$I$38-1),IF(AND($L$37=0,$P$34=0),"",$L$37-1)),MIN(BY$38,$E547),$P$20))-SUM($BF547:BX547))</f>
        <v>0</v>
      </c>
      <c r="BZ547" s="446">
        <f>IF($E547=0,0,IF(MIN(BZ$38,$E547)&lt;MAX($P$34*($B547+$I$38-1),IF(AND($L$37=0,$P$34=0),"",$L$37-1)),0,YEARFRAC(MAX($P$34*($B547+$I$38-1),IF(AND($L$37=0,$P$34=0),"",$L$37-1)),MIN(BZ$38,$E547),$P$20))-SUM($BF547:BY547))</f>
        <v>0</v>
      </c>
      <c r="CA547" s="446">
        <f>IF($E547=0,0,IF(MIN(CA$38,$E547)&lt;MAX($P$34*($B547+$I$38-1),IF(AND($L$37=0,$P$34=0),"",$L$37-1)),0,YEARFRAC(MAX($P$34*($B547+$I$38-1),IF(AND($L$37=0,$P$34=0),"",$L$37-1)),MIN(CA$38,$E547),$P$20))-SUM($BF547:BZ547))</f>
        <v>0</v>
      </c>
      <c r="CB547" s="446">
        <f>IF($E547=0,0,IF(MIN(CB$38,$E547)&lt;MAX($P$34*($B547+$I$38-1),IF(AND($L$37=0,$P$34=0),"",$L$37-1)),0,YEARFRAC(MAX($P$34*($B547+$I$38-1),IF(AND($L$37=0,$P$34=0),"",$L$37-1)),MIN(CB$38,$E547),$P$20))-SUM($BF547:CA547))</f>
        <v>0</v>
      </c>
      <c r="CC547" s="446">
        <f>IF($E547=0,0,IF(MIN(CC$38,$E547)&lt;MAX($P$34*($B547+$I$38-1),IF(AND($L$37=0,$P$34=0),"",$L$37-1)),0,YEARFRAC(MAX($P$34*($B547+$I$38-1),IF(AND($L$37=0,$P$34=0),"",$L$37-1)),MIN(CC$38,$E547),$P$20))-SUM($BF547:CB547))</f>
        <v>0</v>
      </c>
      <c r="CD547" s="446">
        <f>IF($E547=0,0,IF(MIN(CD$38,$E547)&lt;MAX($P$34*($B547+$I$38-1),IF(AND($L$37=0,$P$34=0),"",$L$37-1)),0,YEARFRAC(MAX($P$34*($B547+$I$38-1),IF(AND($L$37=0,$P$34=0),"",$L$37-1)),MIN(CD$38,$E547),$P$20))-SUM($BF547:CC547))</f>
        <v>0</v>
      </c>
      <c r="CE547" s="446">
        <f>IF($E547=0,0,IF(MIN(CE$38,$E547)&lt;MAX($P$34*($B547+$I$38-1),IF(AND($L$37=0,$P$34=0),"",$L$37-1)),0,YEARFRAC(MAX($P$34*($B547+$I$38-1),IF(AND($L$37=0,$P$34=0),"",$L$37-1)),MIN(CE$38,$E547),$P$20))-SUM($BF547:CD547))</f>
        <v>0</v>
      </c>
      <c r="CF547" s="446">
        <f>IF($E547=0,0,IF(MIN(CF$38,$E547)&lt;MAX($P$34*($B547+$I$38-1),IF(AND($L$37=0,$P$34=0),"",$L$37-1)),0,YEARFRAC(MAX($P$34*($B547+$I$38-1),IF(AND($L$37=0,$P$34=0),"",$L$37-1)),MIN(CF$38,$E547),$P$20))-SUM($BF547:CE547))</f>
        <v>0</v>
      </c>
      <c r="CG547" s="446">
        <f>IF($E547=0,0,IF(MIN(CG$38,$E547)&lt;MAX($P$34*($B547+$I$38-1),IF(AND($L$37=0,$P$34=0),"",$L$37-1)),0,YEARFRAC(MAX($P$34*($B547+$I$38-1),IF(AND($L$37=0,$P$34=0),"",$L$37-1)),MIN(CG$38,$E547),$P$20))-SUM($BF547:CF547))</f>
        <v>0</v>
      </c>
      <c r="CH547" s="446">
        <f>IF($E547=0,0,IF(MIN(CH$38,$E547)&lt;MAX($P$34*($B547+$I$38-1),IF(AND($L$37=0,$P$34=0),"",$L$37-1)),0,YEARFRAC(MAX($P$34*($B547+$I$38-1),IF(AND($L$37=0,$P$34=0),"",$L$37-1)),MIN(CH$38,$E547),$P$20))-SUM($BF547:CG547))</f>
        <v>0</v>
      </c>
      <c r="CI547" s="446">
        <f>IF($E547=0,0,IF(MIN(CI$38,$E547)&lt;MAX($P$34*($B547+$I$38-1),IF(AND($L$37=0,$P$34=0),"",$L$37-1)),0,YEARFRAC(MAX($P$34*($B547+$I$38-1),IF(AND($L$37=0,$P$34=0),"",$L$37-1)),MIN(CI$38,$E547),$P$20))-SUM($BF547:CH547))</f>
        <v>0</v>
      </c>
      <c r="CJ547" s="446">
        <f>IF($E547=0,0,IF(MIN(CJ$38,$E547)&lt;MAX($P$34*($B547+$I$38-1),IF(AND($L$37=0,$P$34=0),"",$L$37-1)),0,YEARFRAC(MAX($P$34*($B547+$I$38-1),IF(AND($L$37=0,$P$34=0),"",$L$37-1)),MIN(CJ$38,$E547),$P$20))-SUM($BF547:CI547))</f>
        <v>0</v>
      </c>
      <c r="CK547" s="446">
        <f>IF($E547=0,0,IF(MIN(CK$38,$E547)&lt;MAX($P$34*($B547+$I$38-1),IF(AND($L$37=0,$P$34=0),"",$L$37-1)),0,YEARFRAC(MAX($P$34*($B547+$I$38-1),IF(AND($L$37=0,$P$34=0),"",$L$37-1)),MIN(CK$38,$E547),$P$20))-SUM($BF547:CJ547))</f>
        <v>0</v>
      </c>
      <c r="CL547" s="446">
        <f>IF($E547=0,0,IF(MIN(CL$38,$E547)&lt;MAX($P$34*($B547+$I$38-1),IF(AND($L$37=0,$P$34=0),"",$L$37-1)),0,YEARFRAC(MAX($P$34*($B547+$I$38-1),IF(AND($L$37=0,$P$34=0),"",$L$37-1)),MIN(CL$38,$E547),$P$20))-SUM($BF547:CK547))</f>
        <v>0</v>
      </c>
      <c r="CM547" s="446">
        <f>IF($E547=0,0,IF(MIN(CM$38,$E547)&lt;MAX($P$34*($B547+$I$38-1),IF(AND($L$37=0,$P$34=0),"",$L$37-1)),0,YEARFRAC(MAX($P$34*($B547+$I$38-1),IF(AND($L$37=0,$P$34=0),"",$L$37-1)),MIN(CM$38,$E547),$P$20))-SUM($BF547:CL547))</f>
        <v>0</v>
      </c>
      <c r="CN547" s="446">
        <f>IF($E547=0,0,IF(MIN(CN$38,$E547)&lt;MAX($P$34*($B547+$I$38-1),IF(AND($L$37=0,$P$34=0),"",$L$37-1)),0,YEARFRAC(MAX($P$34*($B547+$I$38-1),IF(AND($L$37=0,$P$34=0),"",$L$37-1)),MIN(CN$38,$E547),$P$20))-SUM($BF547:CM547))</f>
        <v>0</v>
      </c>
      <c r="CO547" s="446">
        <f>IF($E547=0,0,IF(MIN(CO$38,$E547)&lt;MAX($P$34*($B547+$I$38-1),IF(AND($L$37=0,$P$34=0),"",$L$37-1)),0,YEARFRAC(MAX($P$34*($B547+$I$38-1),IF(AND($L$37=0,$P$34=0),"",$L$37-1)),MIN(CO$38,$E547),$P$20))-SUM($BF547:CN547))</f>
        <v>0</v>
      </c>
      <c r="CP547" s="446">
        <f>IF($E547=0,0,IF(MIN(CP$38,$E547)&lt;MAX($P$34*($B547+$I$38-1),IF(AND($L$37=0,$P$34=0),"",$L$37-1)),0,YEARFRAC(MAX($P$34*($B547+$I$38-1),IF(AND($L$37=0,$P$34=0),"",$L$37-1)),MIN(CP$38,$E547),$P$20))-SUM($BF547:CO547))</f>
        <v>0</v>
      </c>
      <c r="CQ547" s="446">
        <f>IF($E547=0,0,IF(MIN(CQ$38,$E547)&lt;MAX($P$34*($B547+$I$38-1),IF(AND($L$37=0,$P$34=0),"",$L$37-1)),0,YEARFRAC(MAX($P$34*($B547+$I$38-1),IF(AND($L$37=0,$P$34=0),"",$L$37-1)),MIN(CQ$38,$E547),$P$20))-SUM($BF547:CP547))</f>
        <v>0</v>
      </c>
    </row>
    <row r="548" spans="1:95" s="446" customFormat="1" ht="11.25" hidden="1" customHeight="1" x14ac:dyDescent="0.2">
      <c r="A548" s="152"/>
      <c r="B548" s="153" t="str">
        <f t="shared" si="92"/>
        <v/>
      </c>
      <c r="C548" s="29" t="str">
        <f>IF(B548="","",IF($L$35="SELIC - TRIBUTOS",VLOOKUP(DATE(YEAR($D$19),MONTH($D$19)-1,1),ÍNDICES!$A:$DE,HLOOKUP($BL$25,ÍNDICES!$B$3:$T$4,2)+11)-VLOOKUP(B548,ÍNDICES!$A:$DE,HLOOKUP($BL$25,ÍNDICES!$B$3:$T$4,2)+11)+1%,IF(C$38=$W$26,$J$35,IF(ISERROR(IF(B548&gt;$D$19,1,VLOOKUP(DATE(YEAR(B548),MONTH(B548)+IF($C$35=$S$23,1,0),1),ÍNDICES!$A:$DE,$Z$35+1))),"",IF(B548&gt;$D$19,1,VLOOKUP(DATE(YEAR(B548),MONTH(B548)+IF($C$35=$S$23,1,0),1),ÍNDICES!$A:$DE,$Z$35+1))))))</f>
        <v/>
      </c>
      <c r="D548" s="154" t="str">
        <f>IF(ISERROR(IF(OR($D$38=$Y$27,$B548=""),"",VLOOKUP(B548,ÍNDICES!A:DE,AF$35+1))),"",IF(OR($D$38=$Y$27,$B548=""),"",VLOOKUP(B548,ÍNDICES!A:DE,AF$35+1)))</f>
        <v/>
      </c>
      <c r="E548" s="153"/>
      <c r="F548" s="29" t="str">
        <f>IF(E548="","",IF($L$35="SELIC - TRIBUTOS",VLOOKUP(DATE(YEAR($D$19),MONTH($D$19)-1,1),ÍNDICES!$A:$DE,HLOOKUP($BL$25,ÍNDICES!$B$3:$T$4,2)+11)-VLOOKUP(E548,ÍNDICES!$A:$DE,HLOOKUP($BL$25,ÍNDICES!$B$3:$T$4,2)+11)+1%,IF(F$38=$W$26,$J$35,IF(ISERROR(IF(E548&gt;$D$19,1,VLOOKUP(DATE(YEAR(E548),MONTH(E548)+IF($C$35=$S$23,1,0),1),ÍNDICES!$A:$DE,$Z$35+1))),"",IF(E548&gt;$D$19,1,VLOOKUP(DATE(YEAR(E548),MONTH(E548)+IF($C$35=$S$23,1,0),1),ÍNDICES!$A:$DE,$Z$35+1))))))</f>
        <v/>
      </c>
      <c r="G548" s="155"/>
      <c r="H548" s="156" t="str">
        <f t="shared" si="88"/>
        <v/>
      </c>
      <c r="I548" s="29" t="str">
        <f t="shared" si="82"/>
        <v/>
      </c>
      <c r="J548" s="5">
        <f t="shared" si="83"/>
        <v>0</v>
      </c>
      <c r="K548" s="20">
        <f t="shared" ca="1" si="84"/>
        <v>0</v>
      </c>
      <c r="L548" s="5">
        <f t="shared" ca="1" si="85"/>
        <v>0</v>
      </c>
      <c r="M548" s="64">
        <f t="shared" si="89"/>
        <v>0</v>
      </c>
      <c r="N548" s="61">
        <f t="shared" ca="1" si="90"/>
        <v>0</v>
      </c>
      <c r="O548" s="5">
        <f t="shared" ca="1" si="91"/>
        <v>0</v>
      </c>
      <c r="P548" s="446" t="e">
        <f t="shared" si="86"/>
        <v>#VALUE!</v>
      </c>
      <c r="Q548" s="446" t="e">
        <f>IF(OR($B548="",MIN(Q$38,$D$19)&lt;MAX($P$34*($B548+IF($R$17="Distrato",$I$38-1,0)),IF(AND($L$37=0,$P$34=0),"",$L$37-1),IF($R$17="Distrato",$E548,0))),0,YEARFRAC(MAX($P$34*($B548+IF($R$17="Distrato",$I$38-1,0)),IF(AND($L$37=0,$P$34=0),"",$L$37-1),IF($R$17="Distrato",$E548,0)),MIN(Q$38,$D$19),$P$20))-SUM($P548:P548)</f>
        <v>#VALUE!</v>
      </c>
      <c r="R548" s="446" t="e">
        <f>IF(OR($B548="",MIN(R$38,$D$19)&lt;MAX($P$34*($B548+IF($R$17="Distrato",$I$38-1,0)),IF(AND($L$37=0,$P$34=0),"",$L$37-1),IF($R$17="Distrato",$E548,0))),0,YEARFRAC(MAX($P$34*($B548+IF($R$17="Distrato",$I$38-1,0)),IF(AND($L$37=0,$P$34=0),"",$L$37-1),IF($R$17="Distrato",$E548,0)),MIN(R$38,$D$19),$P$20))-SUM($P548:Q548)</f>
        <v>#VALUE!</v>
      </c>
      <c r="S548" s="446" t="e">
        <f>IF(OR($B548="",MIN(S$38,$D$19)&lt;MAX($P$34*($B548+IF($R$17="Distrato",$I$38-1,0)),IF(AND($L$37=0,$P$34=0),"",$L$37-1),IF($R$17="Distrato",$E548,0))),0,YEARFRAC(MAX($P$34*($B548+IF($R$17="Distrato",$I$38-1,0)),IF(AND($L$37=0,$P$34=0),"",$L$37-1),IF($R$17="Distrato",$E548,0)),MIN(S$38,$D$19),$P$20))-SUM($P548:R548)</f>
        <v>#VALUE!</v>
      </c>
      <c r="T548" s="446" t="e">
        <f>IF(OR($B548="",MIN(T$38,$D$19)&lt;MAX($P$34*($B548+IF($R$17="Distrato",$I$38-1,0)),IF(AND($L$37=0,$P$34=0),"",$L$37-1),IF($R$17="Distrato",$E548,0))),0,YEARFRAC(MAX($P$34*($B548+IF($R$17="Distrato",$I$38-1,0)),IF(AND($L$37=0,$P$34=0),"",$L$37-1),IF($R$17="Distrato",$E548,0)),MIN(T$38,$D$19),$P$20))-SUM($P548:S548)</f>
        <v>#VALUE!</v>
      </c>
      <c r="U548" s="446" t="e">
        <f>IF(OR($B548="",MIN(U$38,$D$19)&lt;MAX($P$34*($B548+IF($R$17="Distrato",$I$38-1,0)),IF(AND($L$37=0,$P$34=0),"",$L$37-1),IF($R$17="Distrato",$E548,0))),0,YEARFRAC(MAX($P$34*($B548+IF($R$17="Distrato",$I$38-1,0)),IF(AND($L$37=0,$P$34=0),"",$L$37-1),IF($R$17="Distrato",$E548,0)),MIN(U$38,$D$19),$P$20))-SUM($P548:T548)</f>
        <v>#VALUE!</v>
      </c>
      <c r="V548" s="446" t="e">
        <f>IF(OR($B548="",MIN(V$38,$D$19)&lt;MAX($P$34*($B548+IF($R$17="Distrato",$I$38-1,0)),IF(AND($L$37=0,$P$34=0),"",$L$37-1),IF($R$17="Distrato",$E548,0))),0,YEARFRAC(MAX($P$34*($B548+IF($R$17="Distrato",$I$38-1,0)),IF(AND($L$37=0,$P$34=0),"",$L$37-1),IF($R$17="Distrato",$E548,0)),MIN(V$38,$D$19),$P$20))-SUM($P548:U548)</f>
        <v>#VALUE!</v>
      </c>
      <c r="W548" s="446" t="e">
        <f>IF(OR($B548="",MIN(W$38,$D$19)&lt;MAX($P$34*($B548+IF($R$17="Distrato",$I$38-1,0)),IF(AND($L$37=0,$P$34=0),"",$L$37-1),IF($R$17="Distrato",$E548,0))),0,YEARFRAC(MAX($P$34*($B548+IF($R$17="Distrato",$I$38-1,0)),IF(AND($L$37=0,$P$34=0),"",$L$37-1),IF($R$17="Distrato",$E548,0)),MIN(W$38,$D$19),$P$20))-SUM($P548:V548)</f>
        <v>#VALUE!</v>
      </c>
      <c r="X548" s="446" t="e">
        <f>IF(OR($B548="",MIN(X$38,$D$19)&lt;MAX($P$34*($B548+IF($R$17="Distrato",$I$38-1,0)),IF(AND($L$37=0,$P$34=0),"",$L$37-1),IF($R$17="Distrato",$E548,0))),0,YEARFRAC(MAX($P$34*($B548+IF($R$17="Distrato",$I$38-1,0)),IF(AND($L$37=0,$P$34=0),"",$L$37-1),IF($R$17="Distrato",$E548,0)),MIN(X$38,$D$19),$P$20))-SUM($P548:W548)</f>
        <v>#VALUE!</v>
      </c>
      <c r="Y548" s="446" t="e">
        <f>IF(OR($B548="",MIN(Y$38,$D$19)&lt;MAX($P$34*($B548+IF($R$17="Distrato",$I$38-1,0)),IF(AND($L$37=0,$P$34=0),"",$L$37-1),IF($R$17="Distrato",$E548,0))),0,YEARFRAC(MAX($P$34*($B548+IF($R$17="Distrato",$I$38-1,0)),IF(AND($L$37=0,$P$34=0),"",$L$37-1),IF($R$17="Distrato",$E548,0)),MIN(Y$38,$D$19),$P$20))-SUM($P548:X548)</f>
        <v>#VALUE!</v>
      </c>
      <c r="Z548" s="446" t="e">
        <f>IF(OR($B548="",MIN(Z$38,$D$19)&lt;MAX($P$34*($B548+IF($R$17="Distrato",$I$38-1,0)),IF(AND($L$37=0,$P$34=0),"",$L$37-1),IF($R$17="Distrato",$E548,0))),0,YEARFRAC(MAX($P$34*($B548+IF($R$17="Distrato",$I$38-1,0)),IF(AND($L$37=0,$P$34=0),"",$L$37-1),IF($R$17="Distrato",$E548,0)),MIN(Z$38,$D$19),$P$20))-SUM($P548:Y548)</f>
        <v>#VALUE!</v>
      </c>
      <c r="AA548" s="446" t="e">
        <f>IF(OR($B548="",MIN(AA$38,$D$19)&lt;MAX($P$34*($B548+IF($R$17="Distrato",$I$38-1,0)),IF(AND($L$37=0,$P$34=0),"",$L$37-1),IF($R$17="Distrato",$E548,0))),0,YEARFRAC(MAX($P$34*($B548+IF($R$17="Distrato",$I$38-1,0)),IF(AND($L$37=0,$P$34=0),"",$L$37-1),IF($R$17="Distrato",$E548,0)),MIN(AA$38,$D$19),$P$20))-SUM($P548:Z548)</f>
        <v>#VALUE!</v>
      </c>
      <c r="AB548" s="446" t="e">
        <f>IF(OR($B548="",MIN(AB$38,$D$19)&lt;MAX($P$34*($B548+IF($R$17="Distrato",$I$38-1,0)),IF(AND($L$37=0,$P$34=0),"",$L$37-1),IF($R$17="Distrato",$E548,0))),0,YEARFRAC(MAX($P$34*($B548+IF($R$17="Distrato",$I$38-1,0)),IF(AND($L$37=0,$P$34=0),"",$L$37-1),IF($R$17="Distrato",$E548,0)),MIN(AB$38,$D$19),$P$20))-SUM($P548:AA548)</f>
        <v>#VALUE!</v>
      </c>
      <c r="AC548" s="446" t="e">
        <f>IF(OR($B548="",MIN(AC$38,$D$19)&lt;MAX($P$34*($B548+IF($R$17="Distrato",$I$38-1,0)),IF(AND($L$37=0,$P$34=0),"",$L$37-1),IF($R$17="Distrato",$E548,0))),0,YEARFRAC(MAX($P$34*($B548+IF($R$17="Distrato",$I$38-1,0)),IF(AND($L$37=0,$P$34=0),"",$L$37-1),IF($R$17="Distrato",$E548,0)),MIN(AC$38,$D$19),$P$20))-SUM($P548:AB548)</f>
        <v>#VALUE!</v>
      </c>
      <c r="AD548" s="446" t="e">
        <f>IF(OR($B548="",MIN(AD$38,$D$19)&lt;MAX($P$34*($B548+IF($R$17="Distrato",$I$38-1,0)),IF(AND($L$37=0,$P$34=0),"",$L$37-1),IF($R$17="Distrato",$E548,0))),0,YEARFRAC(MAX($P$34*($B548+IF($R$17="Distrato",$I$38-1,0)),IF(AND($L$37=0,$P$34=0),"",$L$37-1),IF($R$17="Distrato",$E548,0)),MIN(AD$38,$D$19),$P$20))-SUM($P548:AC548)</f>
        <v>#VALUE!</v>
      </c>
      <c r="AE548" s="446" t="e">
        <f>IF(OR($B548="",MIN(AE$38,$D$19)&lt;MAX($P$34*($B548+IF($R$17="Distrato",$I$38-1,0)),IF(AND($L$37=0,$P$34=0),"",$L$37-1),IF($R$17="Distrato",$E548,0))),0,YEARFRAC(MAX($P$34*($B548+IF($R$17="Distrato",$I$38-1,0)),IF(AND($L$37=0,$P$34=0),"",$L$37-1),IF($R$17="Distrato",$E548,0)),MIN(AE$38,$D$19),$P$20))-SUM($P548:AD548)</f>
        <v>#VALUE!</v>
      </c>
      <c r="AF548" s="446" t="e">
        <f>IF(OR($B548="",MIN(AF$38,$D$19)&lt;MAX($P$34*($B548+IF($R$17="Distrato",$I$38-1,0)),IF(AND($L$37=0,$P$34=0),"",$L$37-1),IF($R$17="Distrato",$E548,0))),0,YEARFRAC(MAX($P$34*($B548+IF($R$17="Distrato",$I$38-1,0)),IF(AND($L$37=0,$P$34=0),"",$L$37-1),IF($R$17="Distrato",$E548,0)),MIN(AF$38,$D$19),$P$20))-SUM($P548:AE548)</f>
        <v>#VALUE!</v>
      </c>
      <c r="AG548" s="446" t="e">
        <f>IF(OR($B548="",MIN(AG$38,$D$19)&lt;MAX($P$34*($B548+IF($R$17="Distrato",$I$38-1,0)),IF(AND($L$37=0,$P$34=0),"",$L$37-1),IF($R$17="Distrato",$E548,0))),0,YEARFRAC(MAX($P$34*($B548+IF($R$17="Distrato",$I$38-1,0)),IF(AND($L$37=0,$P$34=0),"",$L$37-1),IF($R$17="Distrato",$E548,0)),MIN(AG$38,$D$19),$P$20))-SUM($P548:AF548)</f>
        <v>#VALUE!</v>
      </c>
      <c r="AH548" s="446" t="e">
        <f>IF(OR($B548="",MIN(AH$38,$D$19)&lt;MAX($P$34*($B548+IF($R$17="Distrato",$I$38-1,0)),IF(AND($L$37=0,$P$34=0),"",$L$37-1),IF($R$17="Distrato",$E548,0))),0,YEARFRAC(MAX($P$34*($B548+IF($R$17="Distrato",$I$38-1,0)),IF(AND($L$37=0,$P$34=0),"",$L$37-1),IF($R$17="Distrato",$E548,0)),MIN(AH$38,$D$19),$P$20))-SUM($P548:AG548)</f>
        <v>#VALUE!</v>
      </c>
      <c r="AI548" s="446" t="e">
        <f>IF(OR($B548="",MIN(AI$38,$D$19)&lt;MAX($P$34*($B548+IF($R$17="Distrato",$I$38-1,0)),IF(AND($L$37=0,$P$34=0),"",$L$37-1),IF($R$17="Distrato",$E548,0))),0,YEARFRAC(MAX($P$34*($B548+IF($R$17="Distrato",$I$38-1,0)),IF(AND($L$37=0,$P$34=0),"",$L$37-1),IF($R$17="Distrato",$E548,0)),MIN(AI$38,$D$19),$P$20))-SUM($P548:AH548)</f>
        <v>#VALUE!</v>
      </c>
      <c r="AJ548" s="446" t="e">
        <f>IF(OR($B548="",MIN(AJ$38,$D$19)&lt;MAX($P$34*($B548+IF($R$17="Distrato",$I$38-1,0)),IF(AND($L$37=0,$P$34=0),"",$L$37-1),IF($R$17="Distrato",$E548,0))),0,YEARFRAC(MAX($P$34*($B548+IF($R$17="Distrato",$I$38-1,0)),IF(AND($L$37=0,$P$34=0),"",$L$37-1),IF($R$17="Distrato",$E548,0)),MIN(AJ$38,$D$19),$P$20))-SUM($P548:AI548)</f>
        <v>#VALUE!</v>
      </c>
      <c r="AK548" s="446" t="e">
        <f>IF(OR($B548="",MIN(AK$38,$D$19)&lt;MAX($P$34*($B548+IF($R$17="Distrato",$I$38-1,0)),IF(AND($L$37=0,$P$34=0),"",$L$37-1),IF($R$17="Distrato",$E548,0))),0,YEARFRAC(MAX($P$34*($B548+IF($R$17="Distrato",$I$38-1,0)),IF(AND($L$37=0,$P$34=0),"",$L$37-1),IF($R$17="Distrato",$E548,0)),MIN(AK$38,$D$19),$P$20))-SUM($P548:AJ548)</f>
        <v>#VALUE!</v>
      </c>
      <c r="AL548" s="446" t="e">
        <f>IF(OR($B548="",MIN(AL$38,$D$19)&lt;MAX($P$34*($B548+IF($R$17="Distrato",$I$38-1,0)),IF(AND($L$37=0,$P$34=0),"",$L$37-1),IF($R$17="Distrato",$E548,0))),0,YEARFRAC(MAX($P$34*($B548+IF($R$17="Distrato",$I$38-1,0)),IF(AND($L$37=0,$P$34=0),"",$L$37-1),IF($R$17="Distrato",$E548,0)),MIN(AL$38,$D$19),$P$20))-SUM($P548:AK548)</f>
        <v>#VALUE!</v>
      </c>
      <c r="AM548" s="446" t="e">
        <f>IF(OR($B548="",MIN(AM$38,$D$19)&lt;MAX($P$34*($B548+IF($R$17="Distrato",$I$38-1,0)),IF(AND($L$37=0,$P$34=0),"",$L$37-1),IF($R$17="Distrato",$E548,0))),0,YEARFRAC(MAX($P$34*($B548+IF($R$17="Distrato",$I$38-1,0)),IF(AND($L$37=0,$P$34=0),"",$L$37-1),IF($R$17="Distrato",$E548,0)),MIN(AM$38,$D$19),$P$20))-SUM($P548:AL548)</f>
        <v>#VALUE!</v>
      </c>
      <c r="AN548" s="446" t="e">
        <f>IF(OR($B548="",MIN(AN$38,$D$19)&lt;MAX($P$34*($B548+IF($R$17="Distrato",$I$38-1,0)),IF(AND($L$37=0,$P$34=0),"",$L$37-1),IF($R$17="Distrato",$E548,0))),0,YEARFRAC(MAX($P$34*($B548+IF($R$17="Distrato",$I$38-1,0)),IF(AND($L$37=0,$P$34=0),"",$L$37-1),IF($R$17="Distrato",$E548,0)),MIN(AN$38,$D$19),$P$20))-SUM($P548:AM548)</f>
        <v>#VALUE!</v>
      </c>
      <c r="AO548" s="446" t="e">
        <f>IF(OR($B548="",MIN(AO$38,$D$19)&lt;MAX($P$34*($B548+IF($R$17="Distrato",$I$38-1,0)),IF(AND($L$37=0,$P$34=0),"",$L$37-1),IF($R$17="Distrato",$E548,0))),0,YEARFRAC(MAX($P$34*($B548+IF($R$17="Distrato",$I$38-1,0)),IF(AND($L$37=0,$P$34=0),"",$L$37-1),IF($R$17="Distrato",$E548,0)),MIN(AO$38,$D$19),$P$20))-SUM($P548:AN548)</f>
        <v>#VALUE!</v>
      </c>
      <c r="AP548" s="446" t="e">
        <f>IF(OR($B548="",MIN(AP$38,$D$19)&lt;MAX($P$34*($B548+IF($R$17="Distrato",$I$38-1,0)),IF(AND($L$37=0,$P$34=0),"",$L$37-1),IF($R$17="Distrato",$E548,0))),0,YEARFRAC(MAX($P$34*($B548+IF($R$17="Distrato",$I$38-1,0)),IF(AND($L$37=0,$P$34=0),"",$L$37-1),IF($R$17="Distrato",$E548,0)),MIN(AP$38,$D$19),$P$20))-SUM($P548:AO548)</f>
        <v>#VALUE!</v>
      </c>
      <c r="AQ548" s="446" t="e">
        <f>IF(OR($B548="",MIN(AQ$38,$D$19)&lt;MAX($P$34*($B548+IF($R$17="Distrato",$I$38-1,0)),IF(AND($L$37=0,$P$34=0),"",$L$37-1),IF($R$17="Distrato",$E548,0))),0,YEARFRAC(MAX($P$34*($B548+IF($R$17="Distrato",$I$38-1,0)),IF(AND($L$37=0,$P$34=0),"",$L$37-1),IF($R$17="Distrato",$E548,0)),MIN(AQ$38,$D$19),$P$20))-SUM($P548:AP548)</f>
        <v>#VALUE!</v>
      </c>
      <c r="AR548" s="446" t="e">
        <f>IF(OR($B548="",MIN(AR$38,$D$19)&lt;MAX($P$34*($B548+IF($R$17="Distrato",$I$38-1,0)),IF(AND($L$37=0,$P$34=0),"",$L$37-1),IF($R$17="Distrato",$E548,0))),0,YEARFRAC(MAX($P$34*($B548+IF($R$17="Distrato",$I$38-1,0)),IF(AND($L$37=0,$P$34=0),"",$L$37-1),IF($R$17="Distrato",$E548,0)),MIN(AR$38,$D$19),$P$20))-SUM($P548:AQ548)</f>
        <v>#VALUE!</v>
      </c>
      <c r="AS548" s="446" t="e">
        <f>IF(OR($B548="",MIN(AS$38,$D$19)&lt;MAX($P$34*($B548+IF($R$17="Distrato",$I$38-1,0)),IF(AND($L$37=0,$P$34=0),"",$L$37-1),IF($R$17="Distrato",$E548,0))),0,YEARFRAC(MAX($P$34*($B548+IF($R$17="Distrato",$I$38-1,0)),IF(AND($L$37=0,$P$34=0),"",$L$37-1),IF($R$17="Distrato",$E548,0)),MIN(AS$38,$D$19),$P$20))-SUM($P548:AR548)</f>
        <v>#VALUE!</v>
      </c>
      <c r="AT548" s="446" t="e">
        <f>IF(OR($B548="",MIN(AT$38,$D$19)&lt;MAX($P$34*($B548+IF($R$17="Distrato",$I$38-1,0)),IF(AND($L$37=0,$P$34=0),"",$L$37-1),IF($R$17="Distrato",$E548,0))),0,YEARFRAC(MAX($P$34*($B548+IF($R$17="Distrato",$I$38-1,0)),IF(AND($L$37=0,$P$34=0),"",$L$37-1),IF($R$17="Distrato",$E548,0)),MIN(AT$38,$D$19),$P$20))-SUM($P548:AS548)</f>
        <v>#VALUE!</v>
      </c>
      <c r="AU548" s="446" t="e">
        <f>IF(OR($B548="",MIN(AU$38,$D$19)&lt;MAX($P$34*($B548+IF($R$17="Distrato",$I$38-1,0)),IF(AND($L$37=0,$P$34=0),"",$L$37-1),IF($R$17="Distrato",$E548,0))),0,YEARFRAC(MAX($P$34*($B548+IF($R$17="Distrato",$I$38-1,0)),IF(AND($L$37=0,$P$34=0),"",$L$37-1),IF($R$17="Distrato",$E548,0)),MIN(AU$38,$D$19),$P$20))-SUM($P548:AT548)</f>
        <v>#VALUE!</v>
      </c>
      <c r="AV548" s="446" t="e">
        <f>IF(OR($B548="",MIN(AV$38,$D$19)&lt;MAX($P$34*($B548+IF($R$17="Distrato",$I$38-1,0)),IF(AND($L$37=0,$P$34=0),"",$L$37-1),IF($R$17="Distrato",$E548,0))),0,YEARFRAC(MAX($P$34*($B548+IF($R$17="Distrato",$I$38-1,0)),IF(AND($L$37=0,$P$34=0),"",$L$37-1),IF($R$17="Distrato",$E548,0)),MIN(AV$38,$D$19),$P$20))-SUM($P548:AU548)</f>
        <v>#VALUE!</v>
      </c>
      <c r="AW548" s="446" t="e">
        <f>IF(OR($B548="",MIN(AW$38,$D$19)&lt;MAX($P$34*($B548+IF($R$17="Distrato",$I$38-1,0)),IF(AND($L$37=0,$P$34=0),"",$L$37-1),IF($R$17="Distrato",$E548,0))),0,YEARFRAC(MAX($P$34*($B548+IF($R$17="Distrato",$I$38-1,0)),IF(AND($L$37=0,$P$34=0),"",$L$37-1),IF($R$17="Distrato",$E548,0)),MIN(AW$38,$D$19),$P$20))-SUM($P548:AV548)</f>
        <v>#VALUE!</v>
      </c>
      <c r="AX548" s="446" t="e">
        <f>IF(OR($B548="",MIN(AX$38,$D$19)&lt;MAX($P$34*($B548+IF($R$17="Distrato",$I$38-1,0)),IF(AND($L$37=0,$P$34=0),"",$L$37-1),IF($R$17="Distrato",$E548,0))),0,YEARFRAC(MAX($P$34*($B548+IF($R$17="Distrato",$I$38-1,0)),IF(AND($L$37=0,$P$34=0),"",$L$37-1),IF($R$17="Distrato",$E548,0)),MIN(AX$38,$D$19),$P$20))-SUM($P548:AW548)</f>
        <v>#VALUE!</v>
      </c>
      <c r="AY548" s="446" t="e">
        <f>IF(OR($B548="",MIN(AY$38,$D$19)&lt;MAX($P$34*($B548+IF($R$17="Distrato",$I$38-1,0)),IF(AND($L$37=0,$P$34=0),"",$L$37-1),IF($R$17="Distrato",$E548,0))),0,YEARFRAC(MAX($P$34*($B548+IF($R$17="Distrato",$I$38-1,0)),IF(AND($L$37=0,$P$34=0),"",$L$37-1),IF($R$17="Distrato",$E548,0)),MIN(AY$38,$D$19),$P$20))-SUM($P548:AX548)</f>
        <v>#VALUE!</v>
      </c>
      <c r="AZ548" s="446" t="e">
        <f>IF(OR($B548="",MIN(AZ$38,$D$19)&lt;MAX($P$34*($B548+IF($R$17="Distrato",$I$38-1,0)),IF(AND($L$37=0,$P$34=0),"",$L$37-1),IF($R$17="Distrato",$E548,0))),0,YEARFRAC(MAX($P$34*($B548+IF($R$17="Distrato",$I$38-1,0)),IF(AND($L$37=0,$P$34=0),"",$L$37-1),IF($R$17="Distrato",$E548,0)),MIN(AZ$38,$D$19),$P$20))-SUM($P548:AY548)</f>
        <v>#VALUE!</v>
      </c>
      <c r="BA548" s="446" t="e">
        <f>IF(OR($B548="",MIN(BA$38,$D$19)&lt;MAX($P$34*($B548+IF($R$17="Distrato",$I$38-1,0)),IF(AND($L$37=0,$P$34=0),"",$L$37-1),IF($R$17="Distrato",$E548,0))),0,YEARFRAC(MAX($P$34*($B548+IF($R$17="Distrato",$I$38-1,0)),IF(AND($L$37=0,$P$34=0),"",$L$37-1),IF($R$17="Distrato",$E548,0)),MIN(BA$38,$D$19),$P$20))-SUM($P548:AZ548)</f>
        <v>#VALUE!</v>
      </c>
      <c r="BB548" s="447"/>
      <c r="BF548" s="446">
        <f t="shared" si="87"/>
        <v>0</v>
      </c>
      <c r="BG548" s="446">
        <f>IF($E548=0,0,IF(MIN(BG$38,$E548)&lt;MAX($P$34*($B548+$I$38-1),IF(AND($L$37=0,$P$34=0),"",$L$37-1)),0,YEARFRAC(MAX($P$34*($B548+$I$38-1),IF(AND($L$37=0,$P$34=0),"",$L$37-1)),MIN(BG$38,$E548),$P$20))-SUM($BF548:BF548))</f>
        <v>0</v>
      </c>
      <c r="BH548" s="446">
        <f>IF($E548=0,0,IF(MIN(BH$38,$E548)&lt;MAX($P$34*($B548+$I$38-1),IF(AND($L$37=0,$P$34=0),"",$L$37-1)),0,YEARFRAC(MAX($P$34*($B548+$I$38-1),IF(AND($L$37=0,$P$34=0),"",$L$37-1)),MIN(BH$38,$E548),$P$20))-SUM($BF548:BG548))</f>
        <v>0</v>
      </c>
      <c r="BI548" s="446">
        <f>IF($E548=0,0,IF(MIN(BI$38,$E548)&lt;MAX($P$34*($B548+$I$38-1),IF(AND($L$37=0,$P$34=0),"",$L$37-1)),0,YEARFRAC(MAX($P$34*($B548+$I$38-1),IF(AND($L$37=0,$P$34=0),"",$L$37-1)),MIN(BI$38,$E548),$P$20))-SUM($BF548:BH548))</f>
        <v>0</v>
      </c>
      <c r="BJ548" s="446">
        <f>IF($E548=0,0,IF(MIN(BJ$38,$E548)&lt;MAX($P$34*($B548+$I$38-1),IF(AND($L$37=0,$P$34=0),"",$L$37-1)),0,YEARFRAC(MAX($P$34*($B548+$I$38-1),IF(AND($L$37=0,$P$34=0),"",$L$37-1)),MIN(BJ$38,$E548),$P$20))-SUM($BF548:BI548))</f>
        <v>0</v>
      </c>
      <c r="BK548" s="446">
        <f>IF($E548=0,0,IF(MIN(BK$38,$E548)&lt;MAX($P$34*($B548+$I$38-1),IF(AND($L$37=0,$P$34=0),"",$L$37-1)),0,YEARFRAC(MAX($P$34*($B548+$I$38-1),IF(AND($L$37=0,$P$34=0),"",$L$37-1)),MIN(BK$38,$E548),$P$20))-SUM($BF548:BJ548))</f>
        <v>0</v>
      </c>
      <c r="BL548" s="446">
        <f>IF($E548=0,0,IF(MIN(BL$38,$E548)&lt;MAX($P$34*($B548+$I$38-1),IF(AND($L$37=0,$P$34=0),"",$L$37-1)),0,YEARFRAC(MAX($P$34*($B548+$I$38-1),IF(AND($L$37=0,$P$34=0),"",$L$37-1)),MIN(BL$38,$E548),$P$20))-SUM($BF548:BK548))</f>
        <v>0</v>
      </c>
      <c r="BM548" s="446">
        <f>IF($E548=0,0,IF(MIN(BM$38,$E548)&lt;MAX($P$34*($B548+$I$38-1),IF(AND($L$37=0,$P$34=0),"",$L$37-1)),0,YEARFRAC(MAX($P$34*($B548+$I$38-1),IF(AND($L$37=0,$P$34=0),"",$L$37-1)),MIN(BM$38,$E548),$P$20))-SUM($BF548:BL548))</f>
        <v>0</v>
      </c>
      <c r="BN548" s="446">
        <f>IF($E548=0,0,IF(MIN(BN$38,$E548)&lt;MAX($P$34*($B548+$I$38-1),IF(AND($L$37=0,$P$34=0),"",$L$37-1)),0,YEARFRAC(MAX($P$34*($B548+$I$38-1),IF(AND($L$37=0,$P$34=0),"",$L$37-1)),MIN(BN$38,$E548),$P$20))-SUM($BF548:BM548))</f>
        <v>0</v>
      </c>
      <c r="BO548" s="446">
        <f>IF($E548=0,0,IF(MIN(BO$38,$E548)&lt;MAX($P$34*($B548+$I$38-1),IF(AND($L$37=0,$P$34=0),"",$L$37-1)),0,YEARFRAC(MAX($P$34*($B548+$I$38-1),IF(AND($L$37=0,$P$34=0),"",$L$37-1)),MIN(BO$38,$E548),$P$20))-SUM($BF548:BN548))</f>
        <v>0</v>
      </c>
      <c r="BP548" s="446">
        <f>IF($E548=0,0,IF(MIN(BP$38,$E548)&lt;MAX($P$34*($B548+$I$38-1),IF(AND($L$37=0,$P$34=0),"",$L$37-1)),0,YEARFRAC(MAX($P$34*($B548+$I$38-1),IF(AND($L$37=0,$P$34=0),"",$L$37-1)),MIN(BP$38,$E548),$P$20))-SUM($BF548:BO548))</f>
        <v>0</v>
      </c>
      <c r="BQ548" s="446">
        <f>IF($E548=0,0,IF(MIN(BQ$38,$E548)&lt;MAX($P$34*($B548+$I$38-1),IF(AND($L$37=0,$P$34=0),"",$L$37-1)),0,YEARFRAC(MAX($P$34*($B548+$I$38-1),IF(AND($L$37=0,$P$34=0),"",$L$37-1)),MIN(BQ$38,$E548),$P$20))-SUM($BF548:BP548))</f>
        <v>0</v>
      </c>
      <c r="BR548" s="446">
        <f>IF($E548=0,0,IF(MIN(BR$38,$E548)&lt;MAX($P$34*($B548+$I$38-1),IF(AND($L$37=0,$P$34=0),"",$L$37-1)),0,YEARFRAC(MAX($P$34*($B548+$I$38-1),IF(AND($L$37=0,$P$34=0),"",$L$37-1)),MIN(BR$38,$E548),$P$20))-SUM($BF548:BQ548))</f>
        <v>0</v>
      </c>
      <c r="BS548" s="446">
        <f>IF($E548=0,0,IF(MIN(BS$38,$E548)&lt;MAX($P$34*($B548+$I$38-1),IF(AND($L$37=0,$P$34=0),"",$L$37-1)),0,YEARFRAC(MAX($P$34*($B548+$I$38-1),IF(AND($L$37=0,$P$34=0),"",$L$37-1)),MIN(BS$38,$E548),$P$20))-SUM($BF548:BR548))</f>
        <v>0</v>
      </c>
      <c r="BT548" s="446">
        <f>IF($E548=0,0,IF(MIN(BT$38,$E548)&lt;MAX($P$34*($B548+$I$38-1),IF(AND($L$37=0,$P$34=0),"",$L$37-1)),0,YEARFRAC(MAX($P$34*($B548+$I$38-1),IF(AND($L$37=0,$P$34=0),"",$L$37-1)),MIN(BT$38,$E548),$P$20))-SUM($BF548:BS548))</f>
        <v>0</v>
      </c>
      <c r="BU548" s="446">
        <f>IF($E548=0,0,IF(MIN(BU$38,$E548)&lt;MAX($P$34*($B548+$I$38-1),IF(AND($L$37=0,$P$34=0),"",$L$37-1)),0,YEARFRAC(MAX($P$34*($B548+$I$38-1),IF(AND($L$37=0,$P$34=0),"",$L$37-1)),MIN(BU$38,$E548),$P$20))-SUM($BF548:BT548))</f>
        <v>0</v>
      </c>
      <c r="BV548" s="446">
        <f>IF($E548=0,0,IF(MIN(BV$38,$E548)&lt;MAX($P$34*($B548+$I$38-1),IF(AND($L$37=0,$P$34=0),"",$L$37-1)),0,YEARFRAC(MAX($P$34*($B548+$I$38-1),IF(AND($L$37=0,$P$34=0),"",$L$37-1)),MIN(BV$38,$E548),$P$20))-SUM($BF548:BU548))</f>
        <v>0</v>
      </c>
      <c r="BW548" s="446">
        <f>IF($E548=0,0,IF(MIN(BW$38,$E548)&lt;MAX($P$34*($B548+$I$38-1),IF(AND($L$37=0,$P$34=0),"",$L$37-1)),0,YEARFRAC(MAX($P$34*($B548+$I$38-1),IF(AND($L$37=0,$P$34=0),"",$L$37-1)),MIN(BW$38,$E548),$P$20))-SUM($BF548:BV548))</f>
        <v>0</v>
      </c>
      <c r="BX548" s="446">
        <f>IF($E548=0,0,IF(MIN(BX$38,$E548)&lt;MAX($P$34*($B548+$I$38-1),IF(AND($L$37=0,$P$34=0),"",$L$37-1)),0,YEARFRAC(MAX($P$34*($B548+$I$38-1),IF(AND($L$37=0,$P$34=0),"",$L$37-1)),MIN(BX$38,$E548),$P$20))-SUM($BF548:BW548))</f>
        <v>0</v>
      </c>
      <c r="BY548" s="446">
        <f>IF($E548=0,0,IF(MIN(BY$38,$E548)&lt;MAX($P$34*($B548+$I$38-1),IF(AND($L$37=0,$P$34=0),"",$L$37-1)),0,YEARFRAC(MAX($P$34*($B548+$I$38-1),IF(AND($L$37=0,$P$34=0),"",$L$37-1)),MIN(BY$38,$E548),$P$20))-SUM($BF548:BX548))</f>
        <v>0</v>
      </c>
      <c r="BZ548" s="446">
        <f>IF($E548=0,0,IF(MIN(BZ$38,$E548)&lt;MAX($P$34*($B548+$I$38-1),IF(AND($L$37=0,$P$34=0),"",$L$37-1)),0,YEARFRAC(MAX($P$34*($B548+$I$38-1),IF(AND($L$37=0,$P$34=0),"",$L$37-1)),MIN(BZ$38,$E548),$P$20))-SUM($BF548:BY548))</f>
        <v>0</v>
      </c>
      <c r="CA548" s="446">
        <f>IF($E548=0,0,IF(MIN(CA$38,$E548)&lt;MAX($P$34*($B548+$I$38-1),IF(AND($L$37=0,$P$34=0),"",$L$37-1)),0,YEARFRAC(MAX($P$34*($B548+$I$38-1),IF(AND($L$37=0,$P$34=0),"",$L$37-1)),MIN(CA$38,$E548),$P$20))-SUM($BF548:BZ548))</f>
        <v>0</v>
      </c>
      <c r="CB548" s="446">
        <f>IF($E548=0,0,IF(MIN(CB$38,$E548)&lt;MAX($P$34*($B548+$I$38-1),IF(AND($L$37=0,$P$34=0),"",$L$37-1)),0,YEARFRAC(MAX($P$34*($B548+$I$38-1),IF(AND($L$37=0,$P$34=0),"",$L$37-1)),MIN(CB$38,$E548),$P$20))-SUM($BF548:CA548))</f>
        <v>0</v>
      </c>
      <c r="CC548" s="446">
        <f>IF($E548=0,0,IF(MIN(CC$38,$E548)&lt;MAX($P$34*($B548+$I$38-1),IF(AND($L$37=0,$P$34=0),"",$L$37-1)),0,YEARFRAC(MAX($P$34*($B548+$I$38-1),IF(AND($L$37=0,$P$34=0),"",$L$37-1)),MIN(CC$38,$E548),$P$20))-SUM($BF548:CB548))</f>
        <v>0</v>
      </c>
      <c r="CD548" s="446">
        <f>IF($E548=0,0,IF(MIN(CD$38,$E548)&lt;MAX($P$34*($B548+$I$38-1),IF(AND($L$37=0,$P$34=0),"",$L$37-1)),0,YEARFRAC(MAX($P$34*($B548+$I$38-1),IF(AND($L$37=0,$P$34=0),"",$L$37-1)),MIN(CD$38,$E548),$P$20))-SUM($BF548:CC548))</f>
        <v>0</v>
      </c>
      <c r="CE548" s="446">
        <f>IF($E548=0,0,IF(MIN(CE$38,$E548)&lt;MAX($P$34*($B548+$I$38-1),IF(AND($L$37=0,$P$34=0),"",$L$37-1)),0,YEARFRAC(MAX($P$34*($B548+$I$38-1),IF(AND($L$37=0,$P$34=0),"",$L$37-1)),MIN(CE$38,$E548),$P$20))-SUM($BF548:CD548))</f>
        <v>0</v>
      </c>
      <c r="CF548" s="446">
        <f>IF($E548=0,0,IF(MIN(CF$38,$E548)&lt;MAX($P$34*($B548+$I$38-1),IF(AND($L$37=0,$P$34=0),"",$L$37-1)),0,YEARFRAC(MAX($P$34*($B548+$I$38-1),IF(AND($L$37=0,$P$34=0),"",$L$37-1)),MIN(CF$38,$E548),$P$20))-SUM($BF548:CE548))</f>
        <v>0</v>
      </c>
      <c r="CG548" s="446">
        <f>IF($E548=0,0,IF(MIN(CG$38,$E548)&lt;MAX($P$34*($B548+$I$38-1),IF(AND($L$37=0,$P$34=0),"",$L$37-1)),0,YEARFRAC(MAX($P$34*($B548+$I$38-1),IF(AND($L$37=0,$P$34=0),"",$L$37-1)),MIN(CG$38,$E548),$P$20))-SUM($BF548:CF548))</f>
        <v>0</v>
      </c>
      <c r="CH548" s="446">
        <f>IF($E548=0,0,IF(MIN(CH$38,$E548)&lt;MAX($P$34*($B548+$I$38-1),IF(AND($L$37=0,$P$34=0),"",$L$37-1)),0,YEARFRAC(MAX($P$34*($B548+$I$38-1),IF(AND($L$37=0,$P$34=0),"",$L$37-1)),MIN(CH$38,$E548),$P$20))-SUM($BF548:CG548))</f>
        <v>0</v>
      </c>
      <c r="CI548" s="446">
        <f>IF($E548=0,0,IF(MIN(CI$38,$E548)&lt;MAX($P$34*($B548+$I$38-1),IF(AND($L$37=0,$P$34=0),"",$L$37-1)),0,YEARFRAC(MAX($P$34*($B548+$I$38-1),IF(AND($L$37=0,$P$34=0),"",$L$37-1)),MIN(CI$38,$E548),$P$20))-SUM($BF548:CH548))</f>
        <v>0</v>
      </c>
      <c r="CJ548" s="446">
        <f>IF($E548=0,0,IF(MIN(CJ$38,$E548)&lt;MAX($P$34*($B548+$I$38-1),IF(AND($L$37=0,$P$34=0),"",$L$37-1)),0,YEARFRAC(MAX($P$34*($B548+$I$38-1),IF(AND($L$37=0,$P$34=0),"",$L$37-1)),MIN(CJ$38,$E548),$P$20))-SUM($BF548:CI548))</f>
        <v>0</v>
      </c>
      <c r="CK548" s="446">
        <f>IF($E548=0,0,IF(MIN(CK$38,$E548)&lt;MAX($P$34*($B548+$I$38-1),IF(AND($L$37=0,$P$34=0),"",$L$37-1)),0,YEARFRAC(MAX($P$34*($B548+$I$38-1),IF(AND($L$37=0,$P$34=0),"",$L$37-1)),MIN(CK$38,$E548),$P$20))-SUM($BF548:CJ548))</f>
        <v>0</v>
      </c>
      <c r="CL548" s="446">
        <f>IF($E548=0,0,IF(MIN(CL$38,$E548)&lt;MAX($P$34*($B548+$I$38-1),IF(AND($L$37=0,$P$34=0),"",$L$37-1)),0,YEARFRAC(MAX($P$34*($B548+$I$38-1),IF(AND($L$37=0,$P$34=0),"",$L$37-1)),MIN(CL$38,$E548),$P$20))-SUM($BF548:CK548))</f>
        <v>0</v>
      </c>
      <c r="CM548" s="446">
        <f>IF($E548=0,0,IF(MIN(CM$38,$E548)&lt;MAX($P$34*($B548+$I$38-1),IF(AND($L$37=0,$P$34=0),"",$L$37-1)),0,YEARFRAC(MAX($P$34*($B548+$I$38-1),IF(AND($L$37=0,$P$34=0),"",$L$37-1)),MIN(CM$38,$E548),$P$20))-SUM($BF548:CL548))</f>
        <v>0</v>
      </c>
      <c r="CN548" s="446">
        <f>IF($E548=0,0,IF(MIN(CN$38,$E548)&lt;MAX($P$34*($B548+$I$38-1),IF(AND($L$37=0,$P$34=0),"",$L$37-1)),0,YEARFRAC(MAX($P$34*($B548+$I$38-1),IF(AND($L$37=0,$P$34=0),"",$L$37-1)),MIN(CN$38,$E548),$P$20))-SUM($BF548:CM548))</f>
        <v>0</v>
      </c>
      <c r="CO548" s="446">
        <f>IF($E548=0,0,IF(MIN(CO$38,$E548)&lt;MAX($P$34*($B548+$I$38-1),IF(AND($L$37=0,$P$34=0),"",$L$37-1)),0,YEARFRAC(MAX($P$34*($B548+$I$38-1),IF(AND($L$37=0,$P$34=0),"",$L$37-1)),MIN(CO$38,$E548),$P$20))-SUM($BF548:CN548))</f>
        <v>0</v>
      </c>
      <c r="CP548" s="446">
        <f>IF($E548=0,0,IF(MIN(CP$38,$E548)&lt;MAX($P$34*($B548+$I$38-1),IF(AND($L$37=0,$P$34=0),"",$L$37-1)),0,YEARFRAC(MAX($P$34*($B548+$I$38-1),IF(AND($L$37=0,$P$34=0),"",$L$37-1)),MIN(CP$38,$E548),$P$20))-SUM($BF548:CO548))</f>
        <v>0</v>
      </c>
      <c r="CQ548" s="446">
        <f>IF($E548=0,0,IF(MIN(CQ$38,$E548)&lt;MAX($P$34*($B548+$I$38-1),IF(AND($L$37=0,$P$34=0),"",$L$37-1)),0,YEARFRAC(MAX($P$34*($B548+$I$38-1),IF(AND($L$37=0,$P$34=0),"",$L$37-1)),MIN(CQ$38,$E548),$P$20))-SUM($BF548:CP548))</f>
        <v>0</v>
      </c>
    </row>
    <row r="549" spans="1:95" s="446" customFormat="1" ht="11.25" hidden="1" customHeight="1" x14ac:dyDescent="0.2">
      <c r="A549" s="152"/>
      <c r="B549" s="153" t="str">
        <f t="shared" si="92"/>
        <v/>
      </c>
      <c r="C549" s="29" t="str">
        <f>IF(B549="","",IF($L$35="SELIC - TRIBUTOS",VLOOKUP(DATE(YEAR($D$19),MONTH($D$19)-1,1),ÍNDICES!$A:$DE,HLOOKUP($BL$25,ÍNDICES!$B$3:$T$4,2)+11)-VLOOKUP(B549,ÍNDICES!$A:$DE,HLOOKUP($BL$25,ÍNDICES!$B$3:$T$4,2)+11)+1%,IF(C$38=$W$26,$J$35,IF(ISERROR(IF(B549&gt;$D$19,1,VLOOKUP(DATE(YEAR(B549),MONTH(B549)+IF($C$35=$S$23,1,0),1),ÍNDICES!$A:$DE,$Z$35+1))),"",IF(B549&gt;$D$19,1,VLOOKUP(DATE(YEAR(B549),MONTH(B549)+IF($C$35=$S$23,1,0),1),ÍNDICES!$A:$DE,$Z$35+1))))))</f>
        <v/>
      </c>
      <c r="D549" s="154" t="str">
        <f>IF(ISERROR(IF(OR($D$38=$Y$27,$B549=""),"",VLOOKUP(B549,ÍNDICES!A:DE,AF$35+1))),"",IF(OR($D$38=$Y$27,$B549=""),"",VLOOKUP(B549,ÍNDICES!A:DE,AF$35+1)))</f>
        <v/>
      </c>
      <c r="E549" s="153"/>
      <c r="F549" s="29" t="str">
        <f>IF(E549="","",IF($L$35="SELIC - TRIBUTOS",VLOOKUP(DATE(YEAR($D$19),MONTH($D$19)-1,1),ÍNDICES!$A:$DE,HLOOKUP($BL$25,ÍNDICES!$B$3:$T$4,2)+11)-VLOOKUP(E549,ÍNDICES!$A:$DE,HLOOKUP($BL$25,ÍNDICES!$B$3:$T$4,2)+11)+1%,IF(F$38=$W$26,$J$35,IF(ISERROR(IF(E549&gt;$D$19,1,VLOOKUP(DATE(YEAR(E549),MONTH(E549)+IF($C$35=$S$23,1,0),1),ÍNDICES!$A:$DE,$Z$35+1))),"",IF(E549&gt;$D$19,1,VLOOKUP(DATE(YEAR(E549),MONTH(E549)+IF($C$35=$S$23,1,0),1),ÍNDICES!$A:$DE,$Z$35+1))))))</f>
        <v/>
      </c>
      <c r="G549" s="155"/>
      <c r="H549" s="156" t="str">
        <f t="shared" si="88"/>
        <v/>
      </c>
      <c r="I549" s="29" t="str">
        <f t="shared" si="82"/>
        <v/>
      </c>
      <c r="J549" s="5">
        <f t="shared" si="83"/>
        <v>0</v>
      </c>
      <c r="K549" s="20">
        <f t="shared" ca="1" si="84"/>
        <v>0</v>
      </c>
      <c r="L549" s="5">
        <f t="shared" ca="1" si="85"/>
        <v>0</v>
      </c>
      <c r="M549" s="64">
        <f t="shared" si="89"/>
        <v>0</v>
      </c>
      <c r="N549" s="61">
        <f t="shared" ca="1" si="90"/>
        <v>0</v>
      </c>
      <c r="O549" s="5">
        <f t="shared" ca="1" si="91"/>
        <v>0</v>
      </c>
      <c r="P549" s="446" t="e">
        <f t="shared" si="86"/>
        <v>#VALUE!</v>
      </c>
      <c r="Q549" s="446" t="e">
        <f>IF(OR($B549="",MIN(Q$38,$D$19)&lt;MAX($P$34*($B549+IF($R$17="Distrato",$I$38-1,0)),IF(AND($L$37=0,$P$34=0),"",$L$37-1),IF($R$17="Distrato",$E549,0))),0,YEARFRAC(MAX($P$34*($B549+IF($R$17="Distrato",$I$38-1,0)),IF(AND($L$37=0,$P$34=0),"",$L$37-1),IF($R$17="Distrato",$E549,0)),MIN(Q$38,$D$19),$P$20))-SUM($P549:P549)</f>
        <v>#VALUE!</v>
      </c>
      <c r="R549" s="446" t="e">
        <f>IF(OR($B549="",MIN(R$38,$D$19)&lt;MAX($P$34*($B549+IF($R$17="Distrato",$I$38-1,0)),IF(AND($L$37=0,$P$34=0),"",$L$37-1),IF($R$17="Distrato",$E549,0))),0,YEARFRAC(MAX($P$34*($B549+IF($R$17="Distrato",$I$38-1,0)),IF(AND($L$37=0,$P$34=0),"",$L$37-1),IF($R$17="Distrato",$E549,0)),MIN(R$38,$D$19),$P$20))-SUM($P549:Q549)</f>
        <v>#VALUE!</v>
      </c>
      <c r="S549" s="446" t="e">
        <f>IF(OR($B549="",MIN(S$38,$D$19)&lt;MAX($P$34*($B549+IF($R$17="Distrato",$I$38-1,0)),IF(AND($L$37=0,$P$34=0),"",$L$37-1),IF($R$17="Distrato",$E549,0))),0,YEARFRAC(MAX($P$34*($B549+IF($R$17="Distrato",$I$38-1,0)),IF(AND($L$37=0,$P$34=0),"",$L$37-1),IF($R$17="Distrato",$E549,0)),MIN(S$38,$D$19),$P$20))-SUM($P549:R549)</f>
        <v>#VALUE!</v>
      </c>
      <c r="T549" s="446" t="e">
        <f>IF(OR($B549="",MIN(T$38,$D$19)&lt;MAX($P$34*($B549+IF($R$17="Distrato",$I$38-1,0)),IF(AND($L$37=0,$P$34=0),"",$L$37-1),IF($R$17="Distrato",$E549,0))),0,YEARFRAC(MAX($P$34*($B549+IF($R$17="Distrato",$I$38-1,0)),IF(AND($L$37=0,$P$34=0),"",$L$37-1),IF($R$17="Distrato",$E549,0)),MIN(T$38,$D$19),$P$20))-SUM($P549:S549)</f>
        <v>#VALUE!</v>
      </c>
      <c r="U549" s="446" t="e">
        <f>IF(OR($B549="",MIN(U$38,$D$19)&lt;MAX($P$34*($B549+IF($R$17="Distrato",$I$38-1,0)),IF(AND($L$37=0,$P$34=0),"",$L$37-1),IF($R$17="Distrato",$E549,0))),0,YEARFRAC(MAX($P$34*($B549+IF($R$17="Distrato",$I$38-1,0)),IF(AND($L$37=0,$P$34=0),"",$L$37-1),IF($R$17="Distrato",$E549,0)),MIN(U$38,$D$19),$P$20))-SUM($P549:T549)</f>
        <v>#VALUE!</v>
      </c>
      <c r="V549" s="446" t="e">
        <f>IF(OR($B549="",MIN(V$38,$D$19)&lt;MAX($P$34*($B549+IF($R$17="Distrato",$I$38-1,0)),IF(AND($L$37=0,$P$34=0),"",$L$37-1),IF($R$17="Distrato",$E549,0))),0,YEARFRAC(MAX($P$34*($B549+IF($R$17="Distrato",$I$38-1,0)),IF(AND($L$37=0,$P$34=0),"",$L$37-1),IF($R$17="Distrato",$E549,0)),MIN(V$38,$D$19),$P$20))-SUM($P549:U549)</f>
        <v>#VALUE!</v>
      </c>
      <c r="W549" s="446" t="e">
        <f>IF(OR($B549="",MIN(W$38,$D$19)&lt;MAX($P$34*($B549+IF($R$17="Distrato",$I$38-1,0)),IF(AND($L$37=0,$P$34=0),"",$L$37-1),IF($R$17="Distrato",$E549,0))),0,YEARFRAC(MAX($P$34*($B549+IF($R$17="Distrato",$I$38-1,0)),IF(AND($L$37=0,$P$34=0),"",$L$37-1),IF($R$17="Distrato",$E549,0)),MIN(W$38,$D$19),$P$20))-SUM($P549:V549)</f>
        <v>#VALUE!</v>
      </c>
      <c r="X549" s="446" t="e">
        <f>IF(OR($B549="",MIN(X$38,$D$19)&lt;MAX($P$34*($B549+IF($R$17="Distrato",$I$38-1,0)),IF(AND($L$37=0,$P$34=0),"",$L$37-1),IF($R$17="Distrato",$E549,0))),0,YEARFRAC(MAX($P$34*($B549+IF($R$17="Distrato",$I$38-1,0)),IF(AND($L$37=0,$P$34=0),"",$L$37-1),IF($R$17="Distrato",$E549,0)),MIN(X$38,$D$19),$P$20))-SUM($P549:W549)</f>
        <v>#VALUE!</v>
      </c>
      <c r="Y549" s="446" t="e">
        <f>IF(OR($B549="",MIN(Y$38,$D$19)&lt;MAX($P$34*($B549+IF($R$17="Distrato",$I$38-1,0)),IF(AND($L$37=0,$P$34=0),"",$L$37-1),IF($R$17="Distrato",$E549,0))),0,YEARFRAC(MAX($P$34*($B549+IF($R$17="Distrato",$I$38-1,0)),IF(AND($L$37=0,$P$34=0),"",$L$37-1),IF($R$17="Distrato",$E549,0)),MIN(Y$38,$D$19),$P$20))-SUM($P549:X549)</f>
        <v>#VALUE!</v>
      </c>
      <c r="Z549" s="446" t="e">
        <f>IF(OR($B549="",MIN(Z$38,$D$19)&lt;MAX($P$34*($B549+IF($R$17="Distrato",$I$38-1,0)),IF(AND($L$37=0,$P$34=0),"",$L$37-1),IF($R$17="Distrato",$E549,0))),0,YEARFRAC(MAX($P$34*($B549+IF($R$17="Distrato",$I$38-1,0)),IF(AND($L$37=0,$P$34=0),"",$L$37-1),IF($R$17="Distrato",$E549,0)),MIN(Z$38,$D$19),$P$20))-SUM($P549:Y549)</f>
        <v>#VALUE!</v>
      </c>
      <c r="AA549" s="446" t="e">
        <f>IF(OR($B549="",MIN(AA$38,$D$19)&lt;MAX($P$34*($B549+IF($R$17="Distrato",$I$38-1,0)),IF(AND($L$37=0,$P$34=0),"",$L$37-1),IF($R$17="Distrato",$E549,0))),0,YEARFRAC(MAX($P$34*($B549+IF($R$17="Distrato",$I$38-1,0)),IF(AND($L$37=0,$P$34=0),"",$L$37-1),IF($R$17="Distrato",$E549,0)),MIN(AA$38,$D$19),$P$20))-SUM($P549:Z549)</f>
        <v>#VALUE!</v>
      </c>
      <c r="AB549" s="446" t="e">
        <f>IF(OR($B549="",MIN(AB$38,$D$19)&lt;MAX($P$34*($B549+IF($R$17="Distrato",$I$38-1,0)),IF(AND($L$37=0,$P$34=0),"",$L$37-1),IF($R$17="Distrato",$E549,0))),0,YEARFRAC(MAX($P$34*($B549+IF($R$17="Distrato",$I$38-1,0)),IF(AND($L$37=0,$P$34=0),"",$L$37-1),IF($R$17="Distrato",$E549,0)),MIN(AB$38,$D$19),$P$20))-SUM($P549:AA549)</f>
        <v>#VALUE!</v>
      </c>
      <c r="AC549" s="446" t="e">
        <f>IF(OR($B549="",MIN(AC$38,$D$19)&lt;MAX($P$34*($B549+IF($R$17="Distrato",$I$38-1,0)),IF(AND($L$37=0,$P$34=0),"",$L$37-1),IF($R$17="Distrato",$E549,0))),0,YEARFRAC(MAX($P$34*($B549+IF($R$17="Distrato",$I$38-1,0)),IF(AND($L$37=0,$P$34=0),"",$L$37-1),IF($R$17="Distrato",$E549,0)),MIN(AC$38,$D$19),$P$20))-SUM($P549:AB549)</f>
        <v>#VALUE!</v>
      </c>
      <c r="AD549" s="446" t="e">
        <f>IF(OR($B549="",MIN(AD$38,$D$19)&lt;MAX($P$34*($B549+IF($R$17="Distrato",$I$38-1,0)),IF(AND($L$37=0,$P$34=0),"",$L$37-1),IF($R$17="Distrato",$E549,0))),0,YEARFRAC(MAX($P$34*($B549+IF($R$17="Distrato",$I$38-1,0)),IF(AND($L$37=0,$P$34=0),"",$L$37-1),IF($R$17="Distrato",$E549,0)),MIN(AD$38,$D$19),$P$20))-SUM($P549:AC549)</f>
        <v>#VALUE!</v>
      </c>
      <c r="AE549" s="446" t="e">
        <f>IF(OR($B549="",MIN(AE$38,$D$19)&lt;MAX($P$34*($B549+IF($R$17="Distrato",$I$38-1,0)),IF(AND($L$37=0,$P$34=0),"",$L$37-1),IF($R$17="Distrato",$E549,0))),0,YEARFRAC(MAX($P$34*($B549+IF($R$17="Distrato",$I$38-1,0)),IF(AND($L$37=0,$P$34=0),"",$L$37-1),IF($R$17="Distrato",$E549,0)),MIN(AE$38,$D$19),$P$20))-SUM($P549:AD549)</f>
        <v>#VALUE!</v>
      </c>
      <c r="AF549" s="446" t="e">
        <f>IF(OR($B549="",MIN(AF$38,$D$19)&lt;MAX($P$34*($B549+IF($R$17="Distrato",$I$38-1,0)),IF(AND($L$37=0,$P$34=0),"",$L$37-1),IF($R$17="Distrato",$E549,0))),0,YEARFRAC(MAX($P$34*($B549+IF($R$17="Distrato",$I$38-1,0)),IF(AND($L$37=0,$P$34=0),"",$L$37-1),IF($R$17="Distrato",$E549,0)),MIN(AF$38,$D$19),$P$20))-SUM($P549:AE549)</f>
        <v>#VALUE!</v>
      </c>
      <c r="AG549" s="446" t="e">
        <f>IF(OR($B549="",MIN(AG$38,$D$19)&lt;MAX($P$34*($B549+IF($R$17="Distrato",$I$38-1,0)),IF(AND($L$37=0,$P$34=0),"",$L$37-1),IF($R$17="Distrato",$E549,0))),0,YEARFRAC(MAX($P$34*($B549+IF($R$17="Distrato",$I$38-1,0)),IF(AND($L$37=0,$P$34=0),"",$L$37-1),IF($R$17="Distrato",$E549,0)),MIN(AG$38,$D$19),$P$20))-SUM($P549:AF549)</f>
        <v>#VALUE!</v>
      </c>
      <c r="AH549" s="446" t="e">
        <f>IF(OR($B549="",MIN(AH$38,$D$19)&lt;MAX($P$34*($B549+IF($R$17="Distrato",$I$38-1,0)),IF(AND($L$37=0,$P$34=0),"",$L$37-1),IF($R$17="Distrato",$E549,0))),0,YEARFRAC(MAX($P$34*($B549+IF($R$17="Distrato",$I$38-1,0)),IF(AND($L$37=0,$P$34=0),"",$L$37-1),IF($R$17="Distrato",$E549,0)),MIN(AH$38,$D$19),$P$20))-SUM($P549:AG549)</f>
        <v>#VALUE!</v>
      </c>
      <c r="AI549" s="446" t="e">
        <f>IF(OR($B549="",MIN(AI$38,$D$19)&lt;MAX($P$34*($B549+IF($R$17="Distrato",$I$38-1,0)),IF(AND($L$37=0,$P$34=0),"",$L$37-1),IF($R$17="Distrato",$E549,0))),0,YEARFRAC(MAX($P$34*($B549+IF($R$17="Distrato",$I$38-1,0)),IF(AND($L$37=0,$P$34=0),"",$L$37-1),IF($R$17="Distrato",$E549,0)),MIN(AI$38,$D$19),$P$20))-SUM($P549:AH549)</f>
        <v>#VALUE!</v>
      </c>
      <c r="AJ549" s="446" t="e">
        <f>IF(OR($B549="",MIN(AJ$38,$D$19)&lt;MAX($P$34*($B549+IF($R$17="Distrato",$I$38-1,0)),IF(AND($L$37=0,$P$34=0),"",$L$37-1),IF($R$17="Distrato",$E549,0))),0,YEARFRAC(MAX($P$34*($B549+IF($R$17="Distrato",$I$38-1,0)),IF(AND($L$37=0,$P$34=0),"",$L$37-1),IF($R$17="Distrato",$E549,0)),MIN(AJ$38,$D$19),$P$20))-SUM($P549:AI549)</f>
        <v>#VALUE!</v>
      </c>
      <c r="AK549" s="446" t="e">
        <f>IF(OR($B549="",MIN(AK$38,$D$19)&lt;MAX($P$34*($B549+IF($R$17="Distrato",$I$38-1,0)),IF(AND($L$37=0,$P$34=0),"",$L$37-1),IF($R$17="Distrato",$E549,0))),0,YEARFRAC(MAX($P$34*($B549+IF($R$17="Distrato",$I$38-1,0)),IF(AND($L$37=0,$P$34=0),"",$L$37-1),IF($R$17="Distrato",$E549,0)),MIN(AK$38,$D$19),$P$20))-SUM($P549:AJ549)</f>
        <v>#VALUE!</v>
      </c>
      <c r="AL549" s="446" t="e">
        <f>IF(OR($B549="",MIN(AL$38,$D$19)&lt;MAX($P$34*($B549+IF($R$17="Distrato",$I$38-1,0)),IF(AND($L$37=0,$P$34=0),"",$L$37-1),IF($R$17="Distrato",$E549,0))),0,YEARFRAC(MAX($P$34*($B549+IF($R$17="Distrato",$I$38-1,0)),IF(AND($L$37=0,$P$34=0),"",$L$37-1),IF($R$17="Distrato",$E549,0)),MIN(AL$38,$D$19),$P$20))-SUM($P549:AK549)</f>
        <v>#VALUE!</v>
      </c>
      <c r="AM549" s="446" t="e">
        <f>IF(OR($B549="",MIN(AM$38,$D$19)&lt;MAX($P$34*($B549+IF($R$17="Distrato",$I$38-1,0)),IF(AND($L$37=0,$P$34=0),"",$L$37-1),IF($R$17="Distrato",$E549,0))),0,YEARFRAC(MAX($P$34*($B549+IF($R$17="Distrato",$I$38-1,0)),IF(AND($L$37=0,$P$34=0),"",$L$37-1),IF($R$17="Distrato",$E549,0)),MIN(AM$38,$D$19),$P$20))-SUM($P549:AL549)</f>
        <v>#VALUE!</v>
      </c>
      <c r="AN549" s="446" t="e">
        <f>IF(OR($B549="",MIN(AN$38,$D$19)&lt;MAX($P$34*($B549+IF($R$17="Distrato",$I$38-1,0)),IF(AND($L$37=0,$P$34=0),"",$L$37-1),IF($R$17="Distrato",$E549,0))),0,YEARFRAC(MAX($P$34*($B549+IF($R$17="Distrato",$I$38-1,0)),IF(AND($L$37=0,$P$34=0),"",$L$37-1),IF($R$17="Distrato",$E549,0)),MIN(AN$38,$D$19),$P$20))-SUM($P549:AM549)</f>
        <v>#VALUE!</v>
      </c>
      <c r="AO549" s="446" t="e">
        <f>IF(OR($B549="",MIN(AO$38,$D$19)&lt;MAX($P$34*($B549+IF($R$17="Distrato",$I$38-1,0)),IF(AND($L$37=0,$P$34=0),"",$L$37-1),IF($R$17="Distrato",$E549,0))),0,YEARFRAC(MAX($P$34*($B549+IF($R$17="Distrato",$I$38-1,0)),IF(AND($L$37=0,$P$34=0),"",$L$37-1),IF($R$17="Distrato",$E549,0)),MIN(AO$38,$D$19),$P$20))-SUM($P549:AN549)</f>
        <v>#VALUE!</v>
      </c>
      <c r="AP549" s="446" t="e">
        <f>IF(OR($B549="",MIN(AP$38,$D$19)&lt;MAX($P$34*($B549+IF($R$17="Distrato",$I$38-1,0)),IF(AND($L$37=0,$P$34=0),"",$L$37-1),IF($R$17="Distrato",$E549,0))),0,YEARFRAC(MAX($P$34*($B549+IF($R$17="Distrato",$I$38-1,0)),IF(AND($L$37=0,$P$34=0),"",$L$37-1),IF($R$17="Distrato",$E549,0)),MIN(AP$38,$D$19),$P$20))-SUM($P549:AO549)</f>
        <v>#VALUE!</v>
      </c>
      <c r="AQ549" s="446" t="e">
        <f>IF(OR($B549="",MIN(AQ$38,$D$19)&lt;MAX($P$34*($B549+IF($R$17="Distrato",$I$38-1,0)),IF(AND($L$37=0,$P$34=0),"",$L$37-1),IF($R$17="Distrato",$E549,0))),0,YEARFRAC(MAX($P$34*($B549+IF($R$17="Distrato",$I$38-1,0)),IF(AND($L$37=0,$P$34=0),"",$L$37-1),IF($R$17="Distrato",$E549,0)),MIN(AQ$38,$D$19),$P$20))-SUM($P549:AP549)</f>
        <v>#VALUE!</v>
      </c>
      <c r="AR549" s="446" t="e">
        <f>IF(OR($B549="",MIN(AR$38,$D$19)&lt;MAX($P$34*($B549+IF($R$17="Distrato",$I$38-1,0)),IF(AND($L$37=0,$P$34=0),"",$L$37-1),IF($R$17="Distrato",$E549,0))),0,YEARFRAC(MAX($P$34*($B549+IF($R$17="Distrato",$I$38-1,0)),IF(AND($L$37=0,$P$34=0),"",$L$37-1),IF($R$17="Distrato",$E549,0)),MIN(AR$38,$D$19),$P$20))-SUM($P549:AQ549)</f>
        <v>#VALUE!</v>
      </c>
      <c r="AS549" s="446" t="e">
        <f>IF(OR($B549="",MIN(AS$38,$D$19)&lt;MAX($P$34*($B549+IF($R$17="Distrato",$I$38-1,0)),IF(AND($L$37=0,$P$34=0),"",$L$37-1),IF($R$17="Distrato",$E549,0))),0,YEARFRAC(MAX($P$34*($B549+IF($R$17="Distrato",$I$38-1,0)),IF(AND($L$37=0,$P$34=0),"",$L$37-1),IF($R$17="Distrato",$E549,0)),MIN(AS$38,$D$19),$P$20))-SUM($P549:AR549)</f>
        <v>#VALUE!</v>
      </c>
      <c r="AT549" s="446" t="e">
        <f>IF(OR($B549="",MIN(AT$38,$D$19)&lt;MAX($P$34*($B549+IF($R$17="Distrato",$I$38-1,0)),IF(AND($L$37=0,$P$34=0),"",$L$37-1),IF($R$17="Distrato",$E549,0))),0,YEARFRAC(MAX($P$34*($B549+IF($R$17="Distrato",$I$38-1,0)),IF(AND($L$37=0,$P$34=0),"",$L$37-1),IF($R$17="Distrato",$E549,0)),MIN(AT$38,$D$19),$P$20))-SUM($P549:AS549)</f>
        <v>#VALUE!</v>
      </c>
      <c r="AU549" s="446" t="e">
        <f>IF(OR($B549="",MIN(AU$38,$D$19)&lt;MAX($P$34*($B549+IF($R$17="Distrato",$I$38-1,0)),IF(AND($L$37=0,$P$34=0),"",$L$37-1),IF($R$17="Distrato",$E549,0))),0,YEARFRAC(MAX($P$34*($B549+IF($R$17="Distrato",$I$38-1,0)),IF(AND($L$37=0,$P$34=0),"",$L$37-1),IF($R$17="Distrato",$E549,0)),MIN(AU$38,$D$19),$P$20))-SUM($P549:AT549)</f>
        <v>#VALUE!</v>
      </c>
      <c r="AV549" s="446" t="e">
        <f>IF(OR($B549="",MIN(AV$38,$D$19)&lt;MAX($P$34*($B549+IF($R$17="Distrato",$I$38-1,0)),IF(AND($L$37=0,$P$34=0),"",$L$37-1),IF($R$17="Distrato",$E549,0))),0,YEARFRAC(MAX($P$34*($B549+IF($R$17="Distrato",$I$38-1,0)),IF(AND($L$37=0,$P$34=0),"",$L$37-1),IF($R$17="Distrato",$E549,0)),MIN(AV$38,$D$19),$P$20))-SUM($P549:AU549)</f>
        <v>#VALUE!</v>
      </c>
      <c r="AW549" s="446" t="e">
        <f>IF(OR($B549="",MIN(AW$38,$D$19)&lt;MAX($P$34*($B549+IF($R$17="Distrato",$I$38-1,0)),IF(AND($L$37=0,$P$34=0),"",$L$37-1),IF($R$17="Distrato",$E549,0))),0,YEARFRAC(MAX($P$34*($B549+IF($R$17="Distrato",$I$38-1,0)),IF(AND($L$37=0,$P$34=0),"",$L$37-1),IF($R$17="Distrato",$E549,0)),MIN(AW$38,$D$19),$P$20))-SUM($P549:AV549)</f>
        <v>#VALUE!</v>
      </c>
      <c r="AX549" s="446" t="e">
        <f>IF(OR($B549="",MIN(AX$38,$D$19)&lt;MAX($P$34*($B549+IF($R$17="Distrato",$I$38-1,0)),IF(AND($L$37=0,$P$34=0),"",$L$37-1),IF($R$17="Distrato",$E549,0))),0,YEARFRAC(MAX($P$34*($B549+IF($R$17="Distrato",$I$38-1,0)),IF(AND($L$37=0,$P$34=0),"",$L$37-1),IF($R$17="Distrato",$E549,0)),MIN(AX$38,$D$19),$P$20))-SUM($P549:AW549)</f>
        <v>#VALUE!</v>
      </c>
      <c r="AY549" s="446" t="e">
        <f>IF(OR($B549="",MIN(AY$38,$D$19)&lt;MAX($P$34*($B549+IF($R$17="Distrato",$I$38-1,0)),IF(AND($L$37=0,$P$34=0),"",$L$37-1),IF($R$17="Distrato",$E549,0))),0,YEARFRAC(MAX($P$34*($B549+IF($R$17="Distrato",$I$38-1,0)),IF(AND($L$37=0,$P$34=0),"",$L$37-1),IF($R$17="Distrato",$E549,0)),MIN(AY$38,$D$19),$P$20))-SUM($P549:AX549)</f>
        <v>#VALUE!</v>
      </c>
      <c r="AZ549" s="446" t="e">
        <f>IF(OR($B549="",MIN(AZ$38,$D$19)&lt;MAX($P$34*($B549+IF($R$17="Distrato",$I$38-1,0)),IF(AND($L$37=0,$P$34=0),"",$L$37-1),IF($R$17="Distrato",$E549,0))),0,YEARFRAC(MAX($P$34*($B549+IF($R$17="Distrato",$I$38-1,0)),IF(AND($L$37=0,$P$34=0),"",$L$37-1),IF($R$17="Distrato",$E549,0)),MIN(AZ$38,$D$19),$P$20))-SUM($P549:AY549)</f>
        <v>#VALUE!</v>
      </c>
      <c r="BA549" s="446" t="e">
        <f>IF(OR($B549="",MIN(BA$38,$D$19)&lt;MAX($P$34*($B549+IF($R$17="Distrato",$I$38-1,0)),IF(AND($L$37=0,$P$34=0),"",$L$37-1),IF($R$17="Distrato",$E549,0))),0,YEARFRAC(MAX($P$34*($B549+IF($R$17="Distrato",$I$38-1,0)),IF(AND($L$37=0,$P$34=0),"",$L$37-1),IF($R$17="Distrato",$E549,0)),MIN(BA$38,$D$19),$P$20))-SUM($P549:AZ549)</f>
        <v>#VALUE!</v>
      </c>
      <c r="BB549" s="447"/>
      <c r="BF549" s="446">
        <f t="shared" si="87"/>
        <v>0</v>
      </c>
      <c r="BG549" s="446">
        <f>IF($E549=0,0,IF(MIN(BG$38,$E549)&lt;MAX($P$34*($B549+$I$38-1),IF(AND($L$37=0,$P$34=0),"",$L$37-1)),0,YEARFRAC(MAX($P$34*($B549+$I$38-1),IF(AND($L$37=0,$P$34=0),"",$L$37-1)),MIN(BG$38,$E549),$P$20))-SUM($BF549:BF549))</f>
        <v>0</v>
      </c>
      <c r="BH549" s="446">
        <f>IF($E549=0,0,IF(MIN(BH$38,$E549)&lt;MAX($P$34*($B549+$I$38-1),IF(AND($L$37=0,$P$34=0),"",$L$37-1)),0,YEARFRAC(MAX($P$34*($B549+$I$38-1),IF(AND($L$37=0,$P$34=0),"",$L$37-1)),MIN(BH$38,$E549),$P$20))-SUM($BF549:BG549))</f>
        <v>0</v>
      </c>
      <c r="BI549" s="446">
        <f>IF($E549=0,0,IF(MIN(BI$38,$E549)&lt;MAX($P$34*($B549+$I$38-1),IF(AND($L$37=0,$P$34=0),"",$L$37-1)),0,YEARFRAC(MAX($P$34*($B549+$I$38-1),IF(AND($L$37=0,$P$34=0),"",$L$37-1)),MIN(BI$38,$E549),$P$20))-SUM($BF549:BH549))</f>
        <v>0</v>
      </c>
      <c r="BJ549" s="446">
        <f>IF($E549=0,0,IF(MIN(BJ$38,$E549)&lt;MAX($P$34*($B549+$I$38-1),IF(AND($L$37=0,$P$34=0),"",$L$37-1)),0,YEARFRAC(MAX($P$34*($B549+$I$38-1),IF(AND($L$37=0,$P$34=0),"",$L$37-1)),MIN(BJ$38,$E549),$P$20))-SUM($BF549:BI549))</f>
        <v>0</v>
      </c>
      <c r="BK549" s="446">
        <f>IF($E549=0,0,IF(MIN(BK$38,$E549)&lt;MAX($P$34*($B549+$I$38-1),IF(AND($L$37=0,$P$34=0),"",$L$37-1)),0,YEARFRAC(MAX($P$34*($B549+$I$38-1),IF(AND($L$37=0,$P$34=0),"",$L$37-1)),MIN(BK$38,$E549),$P$20))-SUM($BF549:BJ549))</f>
        <v>0</v>
      </c>
      <c r="BL549" s="446">
        <f>IF($E549=0,0,IF(MIN(BL$38,$E549)&lt;MAX($P$34*($B549+$I$38-1),IF(AND($L$37=0,$P$34=0),"",$L$37-1)),0,YEARFRAC(MAX($P$34*($B549+$I$38-1),IF(AND($L$37=0,$P$34=0),"",$L$37-1)),MIN(BL$38,$E549),$P$20))-SUM($BF549:BK549))</f>
        <v>0</v>
      </c>
      <c r="BM549" s="446">
        <f>IF($E549=0,0,IF(MIN(BM$38,$E549)&lt;MAX($P$34*($B549+$I$38-1),IF(AND($L$37=0,$P$34=0),"",$L$37-1)),0,YEARFRAC(MAX($P$34*($B549+$I$38-1),IF(AND($L$37=0,$P$34=0),"",$L$37-1)),MIN(BM$38,$E549),$P$20))-SUM($BF549:BL549))</f>
        <v>0</v>
      </c>
      <c r="BN549" s="446">
        <f>IF($E549=0,0,IF(MIN(BN$38,$E549)&lt;MAX($P$34*($B549+$I$38-1),IF(AND($L$37=0,$P$34=0),"",$L$37-1)),0,YEARFRAC(MAX($P$34*($B549+$I$38-1),IF(AND($L$37=0,$P$34=0),"",$L$37-1)),MIN(BN$38,$E549),$P$20))-SUM($BF549:BM549))</f>
        <v>0</v>
      </c>
      <c r="BO549" s="446">
        <f>IF($E549=0,0,IF(MIN(BO$38,$E549)&lt;MAX($P$34*($B549+$I$38-1),IF(AND($L$37=0,$P$34=0),"",$L$37-1)),0,YEARFRAC(MAX($P$34*($B549+$I$38-1),IF(AND($L$37=0,$P$34=0),"",$L$37-1)),MIN(BO$38,$E549),$P$20))-SUM($BF549:BN549))</f>
        <v>0</v>
      </c>
      <c r="BP549" s="446">
        <f>IF($E549=0,0,IF(MIN(BP$38,$E549)&lt;MAX($P$34*($B549+$I$38-1),IF(AND($L$37=0,$P$34=0),"",$L$37-1)),0,YEARFRAC(MAX($P$34*($B549+$I$38-1),IF(AND($L$37=0,$P$34=0),"",$L$37-1)),MIN(BP$38,$E549),$P$20))-SUM($BF549:BO549))</f>
        <v>0</v>
      </c>
      <c r="BQ549" s="446">
        <f>IF($E549=0,0,IF(MIN(BQ$38,$E549)&lt;MAX($P$34*($B549+$I$38-1),IF(AND($L$37=0,$P$34=0),"",$L$37-1)),0,YEARFRAC(MAX($P$34*($B549+$I$38-1),IF(AND($L$37=0,$P$34=0),"",$L$37-1)),MIN(BQ$38,$E549),$P$20))-SUM($BF549:BP549))</f>
        <v>0</v>
      </c>
      <c r="BR549" s="446">
        <f>IF($E549=0,0,IF(MIN(BR$38,$E549)&lt;MAX($P$34*($B549+$I$38-1),IF(AND($L$37=0,$P$34=0),"",$L$37-1)),0,YEARFRAC(MAX($P$34*($B549+$I$38-1),IF(AND($L$37=0,$P$34=0),"",$L$37-1)),MIN(BR$38,$E549),$P$20))-SUM($BF549:BQ549))</f>
        <v>0</v>
      </c>
      <c r="BS549" s="446">
        <f>IF($E549=0,0,IF(MIN(BS$38,$E549)&lt;MAX($P$34*($B549+$I$38-1),IF(AND($L$37=0,$P$34=0),"",$L$37-1)),0,YEARFRAC(MAX($P$34*($B549+$I$38-1),IF(AND($L$37=0,$P$34=0),"",$L$37-1)),MIN(BS$38,$E549),$P$20))-SUM($BF549:BR549))</f>
        <v>0</v>
      </c>
      <c r="BT549" s="446">
        <f>IF($E549=0,0,IF(MIN(BT$38,$E549)&lt;MAX($P$34*($B549+$I$38-1),IF(AND($L$37=0,$P$34=0),"",$L$37-1)),0,YEARFRAC(MAX($P$34*($B549+$I$38-1),IF(AND($L$37=0,$P$34=0),"",$L$37-1)),MIN(BT$38,$E549),$P$20))-SUM($BF549:BS549))</f>
        <v>0</v>
      </c>
      <c r="BU549" s="446">
        <f>IF($E549=0,0,IF(MIN(BU$38,$E549)&lt;MAX($P$34*($B549+$I$38-1),IF(AND($L$37=0,$P$34=0),"",$L$37-1)),0,YEARFRAC(MAX($P$34*($B549+$I$38-1),IF(AND($L$37=0,$P$34=0),"",$L$37-1)),MIN(BU$38,$E549),$P$20))-SUM($BF549:BT549))</f>
        <v>0</v>
      </c>
      <c r="BV549" s="446">
        <f>IF($E549=0,0,IF(MIN(BV$38,$E549)&lt;MAX($P$34*($B549+$I$38-1),IF(AND($L$37=0,$P$34=0),"",$L$37-1)),0,YEARFRAC(MAX($P$34*($B549+$I$38-1),IF(AND($L$37=0,$P$34=0),"",$L$37-1)),MIN(BV$38,$E549),$P$20))-SUM($BF549:BU549))</f>
        <v>0</v>
      </c>
      <c r="BW549" s="446">
        <f>IF($E549=0,0,IF(MIN(BW$38,$E549)&lt;MAX($P$34*($B549+$I$38-1),IF(AND($L$37=0,$P$34=0),"",$L$37-1)),0,YEARFRAC(MAX($P$34*($B549+$I$38-1),IF(AND($L$37=0,$P$34=0),"",$L$37-1)),MIN(BW$38,$E549),$P$20))-SUM($BF549:BV549))</f>
        <v>0</v>
      </c>
      <c r="BX549" s="446">
        <f>IF($E549=0,0,IF(MIN(BX$38,$E549)&lt;MAX($P$34*($B549+$I$38-1),IF(AND($L$37=0,$P$34=0),"",$L$37-1)),0,YEARFRAC(MAX($P$34*($B549+$I$38-1),IF(AND($L$37=0,$P$34=0),"",$L$37-1)),MIN(BX$38,$E549),$P$20))-SUM($BF549:BW549))</f>
        <v>0</v>
      </c>
      <c r="BY549" s="446">
        <f>IF($E549=0,0,IF(MIN(BY$38,$E549)&lt;MAX($P$34*($B549+$I$38-1),IF(AND($L$37=0,$P$34=0),"",$L$37-1)),0,YEARFRAC(MAX($P$34*($B549+$I$38-1),IF(AND($L$37=0,$P$34=0),"",$L$37-1)),MIN(BY$38,$E549),$P$20))-SUM($BF549:BX549))</f>
        <v>0</v>
      </c>
      <c r="BZ549" s="446">
        <f>IF($E549=0,0,IF(MIN(BZ$38,$E549)&lt;MAX($P$34*($B549+$I$38-1),IF(AND($L$37=0,$P$34=0),"",$L$37-1)),0,YEARFRAC(MAX($P$34*($B549+$I$38-1),IF(AND($L$37=0,$P$34=0),"",$L$37-1)),MIN(BZ$38,$E549),$P$20))-SUM($BF549:BY549))</f>
        <v>0</v>
      </c>
      <c r="CA549" s="446">
        <f>IF($E549=0,0,IF(MIN(CA$38,$E549)&lt;MAX($P$34*($B549+$I$38-1),IF(AND($L$37=0,$P$34=0),"",$L$37-1)),0,YEARFRAC(MAX($P$34*($B549+$I$38-1),IF(AND($L$37=0,$P$34=0),"",$L$37-1)),MIN(CA$38,$E549),$P$20))-SUM($BF549:BZ549))</f>
        <v>0</v>
      </c>
      <c r="CB549" s="446">
        <f>IF($E549=0,0,IF(MIN(CB$38,$E549)&lt;MAX($P$34*($B549+$I$38-1),IF(AND($L$37=0,$P$34=0),"",$L$37-1)),0,YEARFRAC(MAX($P$34*($B549+$I$38-1),IF(AND($L$37=0,$P$34=0),"",$L$37-1)),MIN(CB$38,$E549),$P$20))-SUM($BF549:CA549))</f>
        <v>0</v>
      </c>
      <c r="CC549" s="446">
        <f>IF($E549=0,0,IF(MIN(CC$38,$E549)&lt;MAX($P$34*($B549+$I$38-1),IF(AND($L$37=0,$P$34=0),"",$L$37-1)),0,YEARFRAC(MAX($P$34*($B549+$I$38-1),IF(AND($L$37=0,$P$34=0),"",$L$37-1)),MIN(CC$38,$E549),$P$20))-SUM($BF549:CB549))</f>
        <v>0</v>
      </c>
      <c r="CD549" s="446">
        <f>IF($E549=0,0,IF(MIN(CD$38,$E549)&lt;MAX($P$34*($B549+$I$38-1),IF(AND($L$37=0,$P$34=0),"",$L$37-1)),0,YEARFRAC(MAX($P$34*($B549+$I$38-1),IF(AND($L$37=0,$P$34=0),"",$L$37-1)),MIN(CD$38,$E549),$P$20))-SUM($BF549:CC549))</f>
        <v>0</v>
      </c>
      <c r="CE549" s="446">
        <f>IF($E549=0,0,IF(MIN(CE$38,$E549)&lt;MAX($P$34*($B549+$I$38-1),IF(AND($L$37=0,$P$34=0),"",$L$37-1)),0,YEARFRAC(MAX($P$34*($B549+$I$38-1),IF(AND($L$37=0,$P$34=0),"",$L$37-1)),MIN(CE$38,$E549),$P$20))-SUM($BF549:CD549))</f>
        <v>0</v>
      </c>
      <c r="CF549" s="446">
        <f>IF($E549=0,0,IF(MIN(CF$38,$E549)&lt;MAX($P$34*($B549+$I$38-1),IF(AND($L$37=0,$P$34=0),"",$L$37-1)),0,YEARFRAC(MAX($P$34*($B549+$I$38-1),IF(AND($L$37=0,$P$34=0),"",$L$37-1)),MIN(CF$38,$E549),$P$20))-SUM($BF549:CE549))</f>
        <v>0</v>
      </c>
      <c r="CG549" s="446">
        <f>IF($E549=0,0,IF(MIN(CG$38,$E549)&lt;MAX($P$34*($B549+$I$38-1),IF(AND($L$37=0,$P$34=0),"",$L$37-1)),0,YEARFRAC(MAX($P$34*($B549+$I$38-1),IF(AND($L$37=0,$P$34=0),"",$L$37-1)),MIN(CG$38,$E549),$P$20))-SUM($BF549:CF549))</f>
        <v>0</v>
      </c>
      <c r="CH549" s="446">
        <f>IF($E549=0,0,IF(MIN(CH$38,$E549)&lt;MAX($P$34*($B549+$I$38-1),IF(AND($L$37=0,$P$34=0),"",$L$37-1)),0,YEARFRAC(MAX($P$34*($B549+$I$38-1),IF(AND($L$37=0,$P$34=0),"",$L$37-1)),MIN(CH$38,$E549),$P$20))-SUM($BF549:CG549))</f>
        <v>0</v>
      </c>
      <c r="CI549" s="446">
        <f>IF($E549=0,0,IF(MIN(CI$38,$E549)&lt;MAX($P$34*($B549+$I$38-1),IF(AND($L$37=0,$P$34=0),"",$L$37-1)),0,YEARFRAC(MAX($P$34*($B549+$I$38-1),IF(AND($L$37=0,$P$34=0),"",$L$37-1)),MIN(CI$38,$E549),$P$20))-SUM($BF549:CH549))</f>
        <v>0</v>
      </c>
      <c r="CJ549" s="446">
        <f>IF($E549=0,0,IF(MIN(CJ$38,$E549)&lt;MAX($P$34*($B549+$I$38-1),IF(AND($L$37=0,$P$34=0),"",$L$37-1)),0,YEARFRAC(MAX($P$34*($B549+$I$38-1),IF(AND($L$37=0,$P$34=0),"",$L$37-1)),MIN(CJ$38,$E549),$P$20))-SUM($BF549:CI549))</f>
        <v>0</v>
      </c>
      <c r="CK549" s="446">
        <f>IF($E549=0,0,IF(MIN(CK$38,$E549)&lt;MAX($P$34*($B549+$I$38-1),IF(AND($L$37=0,$P$34=0),"",$L$37-1)),0,YEARFRAC(MAX($P$34*($B549+$I$38-1),IF(AND($L$37=0,$P$34=0),"",$L$37-1)),MIN(CK$38,$E549),$P$20))-SUM($BF549:CJ549))</f>
        <v>0</v>
      </c>
      <c r="CL549" s="446">
        <f>IF($E549=0,0,IF(MIN(CL$38,$E549)&lt;MAX($P$34*($B549+$I$38-1),IF(AND($L$37=0,$P$34=0),"",$L$37-1)),0,YEARFRAC(MAX($P$34*($B549+$I$38-1),IF(AND($L$37=0,$P$34=0),"",$L$37-1)),MIN(CL$38,$E549),$P$20))-SUM($BF549:CK549))</f>
        <v>0</v>
      </c>
      <c r="CM549" s="446">
        <f>IF($E549=0,0,IF(MIN(CM$38,$E549)&lt;MAX($P$34*($B549+$I$38-1),IF(AND($L$37=0,$P$34=0),"",$L$37-1)),0,YEARFRAC(MAX($P$34*($B549+$I$38-1),IF(AND($L$37=0,$P$34=0),"",$L$37-1)),MIN(CM$38,$E549),$P$20))-SUM($BF549:CL549))</f>
        <v>0</v>
      </c>
      <c r="CN549" s="446">
        <f>IF($E549=0,0,IF(MIN(CN$38,$E549)&lt;MAX($P$34*($B549+$I$38-1),IF(AND($L$37=0,$P$34=0),"",$L$37-1)),0,YEARFRAC(MAX($P$34*($B549+$I$38-1),IF(AND($L$37=0,$P$34=0),"",$L$37-1)),MIN(CN$38,$E549),$P$20))-SUM($BF549:CM549))</f>
        <v>0</v>
      </c>
      <c r="CO549" s="446">
        <f>IF($E549=0,0,IF(MIN(CO$38,$E549)&lt;MAX($P$34*($B549+$I$38-1),IF(AND($L$37=0,$P$34=0),"",$L$37-1)),0,YEARFRAC(MAX($P$34*($B549+$I$38-1),IF(AND($L$37=0,$P$34=0),"",$L$37-1)),MIN(CO$38,$E549),$P$20))-SUM($BF549:CN549))</f>
        <v>0</v>
      </c>
      <c r="CP549" s="446">
        <f>IF($E549=0,0,IF(MIN(CP$38,$E549)&lt;MAX($P$34*($B549+$I$38-1),IF(AND($L$37=0,$P$34=0),"",$L$37-1)),0,YEARFRAC(MAX($P$34*($B549+$I$38-1),IF(AND($L$37=0,$P$34=0),"",$L$37-1)),MIN(CP$38,$E549),$P$20))-SUM($BF549:CO549))</f>
        <v>0</v>
      </c>
      <c r="CQ549" s="446">
        <f>IF($E549=0,0,IF(MIN(CQ$38,$E549)&lt;MAX($P$34*($B549+$I$38-1),IF(AND($L$37=0,$P$34=0),"",$L$37-1)),0,YEARFRAC(MAX($P$34*($B549+$I$38-1),IF(AND($L$37=0,$P$34=0),"",$L$37-1)),MIN(CQ$38,$E549),$P$20))-SUM($BF549:CP549))</f>
        <v>0</v>
      </c>
    </row>
    <row r="550" spans="1:95" s="446" customFormat="1" ht="11.25" hidden="1" customHeight="1" x14ac:dyDescent="0.2">
      <c r="A550" s="152"/>
      <c r="B550" s="153" t="str">
        <f t="shared" si="92"/>
        <v/>
      </c>
      <c r="C550" s="29" t="str">
        <f>IF(B550="","",IF($L$35="SELIC - TRIBUTOS",VLOOKUP(DATE(YEAR($D$19),MONTH($D$19)-1,1),ÍNDICES!$A:$DE,HLOOKUP($BL$25,ÍNDICES!$B$3:$T$4,2)+11)-VLOOKUP(B550,ÍNDICES!$A:$DE,HLOOKUP($BL$25,ÍNDICES!$B$3:$T$4,2)+11)+1%,IF(C$38=$W$26,$J$35,IF(ISERROR(IF(B550&gt;$D$19,1,VLOOKUP(DATE(YEAR(B550),MONTH(B550)+IF($C$35=$S$23,1,0),1),ÍNDICES!$A:$DE,$Z$35+1))),"",IF(B550&gt;$D$19,1,VLOOKUP(DATE(YEAR(B550),MONTH(B550)+IF($C$35=$S$23,1,0),1),ÍNDICES!$A:$DE,$Z$35+1))))))</f>
        <v/>
      </c>
      <c r="D550" s="154" t="str">
        <f>IF(ISERROR(IF(OR($D$38=$Y$27,$B550=""),"",VLOOKUP(B550,ÍNDICES!A:DE,AF$35+1))),"",IF(OR($D$38=$Y$27,$B550=""),"",VLOOKUP(B550,ÍNDICES!A:DE,AF$35+1)))</f>
        <v/>
      </c>
      <c r="E550" s="153"/>
      <c r="F550" s="29" t="str">
        <f>IF(E550="","",IF($L$35="SELIC - TRIBUTOS",VLOOKUP(DATE(YEAR($D$19),MONTH($D$19)-1,1),ÍNDICES!$A:$DE,HLOOKUP($BL$25,ÍNDICES!$B$3:$T$4,2)+11)-VLOOKUP(E550,ÍNDICES!$A:$DE,HLOOKUP($BL$25,ÍNDICES!$B$3:$T$4,2)+11)+1%,IF(F$38=$W$26,$J$35,IF(ISERROR(IF(E550&gt;$D$19,1,VLOOKUP(DATE(YEAR(E550),MONTH(E550)+IF($C$35=$S$23,1,0),1),ÍNDICES!$A:$DE,$Z$35+1))),"",IF(E550&gt;$D$19,1,VLOOKUP(DATE(YEAR(E550),MONTH(E550)+IF($C$35=$S$23,1,0),1),ÍNDICES!$A:$DE,$Z$35+1))))))</f>
        <v/>
      </c>
      <c r="G550" s="155"/>
      <c r="H550" s="156" t="str">
        <f t="shared" si="88"/>
        <v/>
      </c>
      <c r="I550" s="29" t="str">
        <f t="shared" si="82"/>
        <v/>
      </c>
      <c r="J550" s="5">
        <f t="shared" si="83"/>
        <v>0</v>
      </c>
      <c r="K550" s="20">
        <f t="shared" ca="1" si="84"/>
        <v>0</v>
      </c>
      <c r="L550" s="5">
        <f t="shared" ca="1" si="85"/>
        <v>0</v>
      </c>
      <c r="M550" s="64">
        <f t="shared" si="89"/>
        <v>0</v>
      </c>
      <c r="N550" s="61">
        <f t="shared" ca="1" si="90"/>
        <v>0</v>
      </c>
      <c r="O550" s="5">
        <f t="shared" ca="1" si="91"/>
        <v>0</v>
      </c>
      <c r="P550" s="446" t="e">
        <f t="shared" si="86"/>
        <v>#VALUE!</v>
      </c>
      <c r="Q550" s="446" t="e">
        <f>IF(OR($B550="",MIN(Q$38,$D$19)&lt;MAX($P$34*($B550+IF($R$17="Distrato",$I$38-1,0)),IF(AND($L$37=0,$P$34=0),"",$L$37-1),IF($R$17="Distrato",$E550,0))),0,YEARFRAC(MAX($P$34*($B550+IF($R$17="Distrato",$I$38-1,0)),IF(AND($L$37=0,$P$34=0),"",$L$37-1),IF($R$17="Distrato",$E550,0)),MIN(Q$38,$D$19),$P$20))-SUM($P550:P550)</f>
        <v>#VALUE!</v>
      </c>
      <c r="R550" s="446" t="e">
        <f>IF(OR($B550="",MIN(R$38,$D$19)&lt;MAX($P$34*($B550+IF($R$17="Distrato",$I$38-1,0)),IF(AND($L$37=0,$P$34=0),"",$L$37-1),IF($R$17="Distrato",$E550,0))),0,YEARFRAC(MAX($P$34*($B550+IF($R$17="Distrato",$I$38-1,0)),IF(AND($L$37=0,$P$34=0),"",$L$37-1),IF($R$17="Distrato",$E550,0)),MIN(R$38,$D$19),$P$20))-SUM($P550:Q550)</f>
        <v>#VALUE!</v>
      </c>
      <c r="S550" s="446" t="e">
        <f>IF(OR($B550="",MIN(S$38,$D$19)&lt;MAX($P$34*($B550+IF($R$17="Distrato",$I$38-1,0)),IF(AND($L$37=0,$P$34=0),"",$L$37-1),IF($R$17="Distrato",$E550,0))),0,YEARFRAC(MAX($P$34*($B550+IF($R$17="Distrato",$I$38-1,0)),IF(AND($L$37=0,$P$34=0),"",$L$37-1),IF($R$17="Distrato",$E550,0)),MIN(S$38,$D$19),$P$20))-SUM($P550:R550)</f>
        <v>#VALUE!</v>
      </c>
      <c r="T550" s="446" t="e">
        <f>IF(OR($B550="",MIN(T$38,$D$19)&lt;MAX($P$34*($B550+IF($R$17="Distrato",$I$38-1,0)),IF(AND($L$37=0,$P$34=0),"",$L$37-1),IF($R$17="Distrato",$E550,0))),0,YEARFRAC(MAX($P$34*($B550+IF($R$17="Distrato",$I$38-1,0)),IF(AND($L$37=0,$P$34=0),"",$L$37-1),IF($R$17="Distrato",$E550,0)),MIN(T$38,$D$19),$P$20))-SUM($P550:S550)</f>
        <v>#VALUE!</v>
      </c>
      <c r="U550" s="446" t="e">
        <f>IF(OR($B550="",MIN(U$38,$D$19)&lt;MAX($P$34*($B550+IF($R$17="Distrato",$I$38-1,0)),IF(AND($L$37=0,$P$34=0),"",$L$37-1),IF($R$17="Distrato",$E550,0))),0,YEARFRAC(MAX($P$34*($B550+IF($R$17="Distrato",$I$38-1,0)),IF(AND($L$37=0,$P$34=0),"",$L$37-1),IF($R$17="Distrato",$E550,0)),MIN(U$38,$D$19),$P$20))-SUM($P550:T550)</f>
        <v>#VALUE!</v>
      </c>
      <c r="V550" s="446" t="e">
        <f>IF(OR($B550="",MIN(V$38,$D$19)&lt;MAX($P$34*($B550+IF($R$17="Distrato",$I$38-1,0)),IF(AND($L$37=0,$P$34=0),"",$L$37-1),IF($R$17="Distrato",$E550,0))),0,YEARFRAC(MAX($P$34*($B550+IF($R$17="Distrato",$I$38-1,0)),IF(AND($L$37=0,$P$34=0),"",$L$37-1),IF($R$17="Distrato",$E550,0)),MIN(V$38,$D$19),$P$20))-SUM($P550:U550)</f>
        <v>#VALUE!</v>
      </c>
      <c r="W550" s="446" t="e">
        <f>IF(OR($B550="",MIN(W$38,$D$19)&lt;MAX($P$34*($B550+IF($R$17="Distrato",$I$38-1,0)),IF(AND($L$37=0,$P$34=0),"",$L$37-1),IF($R$17="Distrato",$E550,0))),0,YEARFRAC(MAX($P$34*($B550+IF($R$17="Distrato",$I$38-1,0)),IF(AND($L$37=0,$P$34=0),"",$L$37-1),IF($R$17="Distrato",$E550,0)),MIN(W$38,$D$19),$P$20))-SUM($P550:V550)</f>
        <v>#VALUE!</v>
      </c>
      <c r="X550" s="446" t="e">
        <f>IF(OR($B550="",MIN(X$38,$D$19)&lt;MAX($P$34*($B550+IF($R$17="Distrato",$I$38-1,0)),IF(AND($L$37=0,$P$34=0),"",$L$37-1),IF($R$17="Distrato",$E550,0))),0,YEARFRAC(MAX($P$34*($B550+IF($R$17="Distrato",$I$38-1,0)),IF(AND($L$37=0,$P$34=0),"",$L$37-1),IF($R$17="Distrato",$E550,0)),MIN(X$38,$D$19),$P$20))-SUM($P550:W550)</f>
        <v>#VALUE!</v>
      </c>
      <c r="Y550" s="446" t="e">
        <f>IF(OR($B550="",MIN(Y$38,$D$19)&lt;MAX($P$34*($B550+IF($R$17="Distrato",$I$38-1,0)),IF(AND($L$37=0,$P$34=0),"",$L$37-1),IF($R$17="Distrato",$E550,0))),0,YEARFRAC(MAX($P$34*($B550+IF($R$17="Distrato",$I$38-1,0)),IF(AND($L$37=0,$P$34=0),"",$L$37-1),IF($R$17="Distrato",$E550,0)),MIN(Y$38,$D$19),$P$20))-SUM($P550:X550)</f>
        <v>#VALUE!</v>
      </c>
      <c r="Z550" s="446" t="e">
        <f>IF(OR($B550="",MIN(Z$38,$D$19)&lt;MAX($P$34*($B550+IF($R$17="Distrato",$I$38-1,0)),IF(AND($L$37=0,$P$34=0),"",$L$37-1),IF($R$17="Distrato",$E550,0))),0,YEARFRAC(MAX($P$34*($B550+IF($R$17="Distrato",$I$38-1,0)),IF(AND($L$37=0,$P$34=0),"",$L$37-1),IF($R$17="Distrato",$E550,0)),MIN(Z$38,$D$19),$P$20))-SUM($P550:Y550)</f>
        <v>#VALUE!</v>
      </c>
      <c r="AA550" s="446" t="e">
        <f>IF(OR($B550="",MIN(AA$38,$D$19)&lt;MAX($P$34*($B550+IF($R$17="Distrato",$I$38-1,0)),IF(AND($L$37=0,$P$34=0),"",$L$37-1),IF($R$17="Distrato",$E550,0))),0,YEARFRAC(MAX($P$34*($B550+IF($R$17="Distrato",$I$38-1,0)),IF(AND($L$37=0,$P$34=0),"",$L$37-1),IF($R$17="Distrato",$E550,0)),MIN(AA$38,$D$19),$P$20))-SUM($P550:Z550)</f>
        <v>#VALUE!</v>
      </c>
      <c r="AB550" s="446" t="e">
        <f>IF(OR($B550="",MIN(AB$38,$D$19)&lt;MAX($P$34*($B550+IF($R$17="Distrato",$I$38-1,0)),IF(AND($L$37=0,$P$34=0),"",$L$37-1),IF($R$17="Distrato",$E550,0))),0,YEARFRAC(MAX($P$34*($B550+IF($R$17="Distrato",$I$38-1,0)),IF(AND($L$37=0,$P$34=0),"",$L$37-1),IF($R$17="Distrato",$E550,0)),MIN(AB$38,$D$19),$P$20))-SUM($P550:AA550)</f>
        <v>#VALUE!</v>
      </c>
      <c r="AC550" s="446" t="e">
        <f>IF(OR($B550="",MIN(AC$38,$D$19)&lt;MAX($P$34*($B550+IF($R$17="Distrato",$I$38-1,0)),IF(AND($L$37=0,$P$34=0),"",$L$37-1),IF($R$17="Distrato",$E550,0))),0,YEARFRAC(MAX($P$34*($B550+IF($R$17="Distrato",$I$38-1,0)),IF(AND($L$37=0,$P$34=0),"",$L$37-1),IF($R$17="Distrato",$E550,0)),MIN(AC$38,$D$19),$P$20))-SUM($P550:AB550)</f>
        <v>#VALUE!</v>
      </c>
      <c r="AD550" s="446" t="e">
        <f>IF(OR($B550="",MIN(AD$38,$D$19)&lt;MAX($P$34*($B550+IF($R$17="Distrato",$I$38-1,0)),IF(AND($L$37=0,$P$34=0),"",$L$37-1),IF($R$17="Distrato",$E550,0))),0,YEARFRAC(MAX($P$34*($B550+IF($R$17="Distrato",$I$38-1,0)),IF(AND($L$37=0,$P$34=0),"",$L$37-1),IF($R$17="Distrato",$E550,0)),MIN(AD$38,$D$19),$P$20))-SUM($P550:AC550)</f>
        <v>#VALUE!</v>
      </c>
      <c r="AE550" s="446" t="e">
        <f>IF(OR($B550="",MIN(AE$38,$D$19)&lt;MAX($P$34*($B550+IF($R$17="Distrato",$I$38-1,0)),IF(AND($L$37=0,$P$34=0),"",$L$37-1),IF($R$17="Distrato",$E550,0))),0,YEARFRAC(MAX($P$34*($B550+IF($R$17="Distrato",$I$38-1,0)),IF(AND($L$37=0,$P$34=0),"",$L$37-1),IF($R$17="Distrato",$E550,0)),MIN(AE$38,$D$19),$P$20))-SUM($P550:AD550)</f>
        <v>#VALUE!</v>
      </c>
      <c r="AF550" s="446" t="e">
        <f>IF(OR($B550="",MIN(AF$38,$D$19)&lt;MAX($P$34*($B550+IF($R$17="Distrato",$I$38-1,0)),IF(AND($L$37=0,$P$34=0),"",$L$37-1),IF($R$17="Distrato",$E550,0))),0,YEARFRAC(MAX($P$34*($B550+IF($R$17="Distrato",$I$38-1,0)),IF(AND($L$37=0,$P$34=0),"",$L$37-1),IF($R$17="Distrato",$E550,0)),MIN(AF$38,$D$19),$P$20))-SUM($P550:AE550)</f>
        <v>#VALUE!</v>
      </c>
      <c r="AG550" s="446" t="e">
        <f>IF(OR($B550="",MIN(AG$38,$D$19)&lt;MAX($P$34*($B550+IF($R$17="Distrato",$I$38-1,0)),IF(AND($L$37=0,$P$34=0),"",$L$37-1),IF($R$17="Distrato",$E550,0))),0,YEARFRAC(MAX($P$34*($B550+IF($R$17="Distrato",$I$38-1,0)),IF(AND($L$37=0,$P$34=0),"",$L$37-1),IF($R$17="Distrato",$E550,0)),MIN(AG$38,$D$19),$P$20))-SUM($P550:AF550)</f>
        <v>#VALUE!</v>
      </c>
      <c r="AH550" s="446" t="e">
        <f>IF(OR($B550="",MIN(AH$38,$D$19)&lt;MAX($P$34*($B550+IF($R$17="Distrato",$I$38-1,0)),IF(AND($L$37=0,$P$34=0),"",$L$37-1),IF($R$17="Distrato",$E550,0))),0,YEARFRAC(MAX($P$34*($B550+IF($R$17="Distrato",$I$38-1,0)),IF(AND($L$37=0,$P$34=0),"",$L$37-1),IF($R$17="Distrato",$E550,0)),MIN(AH$38,$D$19),$P$20))-SUM($P550:AG550)</f>
        <v>#VALUE!</v>
      </c>
      <c r="AI550" s="446" t="e">
        <f>IF(OR($B550="",MIN(AI$38,$D$19)&lt;MAX($P$34*($B550+IF($R$17="Distrato",$I$38-1,0)),IF(AND($L$37=0,$P$34=0),"",$L$37-1),IF($R$17="Distrato",$E550,0))),0,YEARFRAC(MAX($P$34*($B550+IF($R$17="Distrato",$I$38-1,0)),IF(AND($L$37=0,$P$34=0),"",$L$37-1),IF($R$17="Distrato",$E550,0)),MIN(AI$38,$D$19),$P$20))-SUM($P550:AH550)</f>
        <v>#VALUE!</v>
      </c>
      <c r="AJ550" s="446" t="e">
        <f>IF(OR($B550="",MIN(AJ$38,$D$19)&lt;MAX($P$34*($B550+IF($R$17="Distrato",$I$38-1,0)),IF(AND($L$37=0,$P$34=0),"",$L$37-1),IF($R$17="Distrato",$E550,0))),0,YEARFRAC(MAX($P$34*($B550+IF($R$17="Distrato",$I$38-1,0)),IF(AND($L$37=0,$P$34=0),"",$L$37-1),IF($R$17="Distrato",$E550,0)),MIN(AJ$38,$D$19),$P$20))-SUM($P550:AI550)</f>
        <v>#VALUE!</v>
      </c>
      <c r="AK550" s="446" t="e">
        <f>IF(OR($B550="",MIN(AK$38,$D$19)&lt;MAX($P$34*($B550+IF($R$17="Distrato",$I$38-1,0)),IF(AND($L$37=0,$P$34=0),"",$L$37-1),IF($R$17="Distrato",$E550,0))),0,YEARFRAC(MAX($P$34*($B550+IF($R$17="Distrato",$I$38-1,0)),IF(AND($L$37=0,$P$34=0),"",$L$37-1),IF($R$17="Distrato",$E550,0)),MIN(AK$38,$D$19),$P$20))-SUM($P550:AJ550)</f>
        <v>#VALUE!</v>
      </c>
      <c r="AL550" s="446" t="e">
        <f>IF(OR($B550="",MIN(AL$38,$D$19)&lt;MAX($P$34*($B550+IF($R$17="Distrato",$I$38-1,0)),IF(AND($L$37=0,$P$34=0),"",$L$37-1),IF($R$17="Distrato",$E550,0))),0,YEARFRAC(MAX($P$34*($B550+IF($R$17="Distrato",$I$38-1,0)),IF(AND($L$37=0,$P$34=0),"",$L$37-1),IF($R$17="Distrato",$E550,0)),MIN(AL$38,$D$19),$P$20))-SUM($P550:AK550)</f>
        <v>#VALUE!</v>
      </c>
      <c r="AM550" s="446" t="e">
        <f>IF(OR($B550="",MIN(AM$38,$D$19)&lt;MAX($P$34*($B550+IF($R$17="Distrato",$I$38-1,0)),IF(AND($L$37=0,$P$34=0),"",$L$37-1),IF($R$17="Distrato",$E550,0))),0,YEARFRAC(MAX($P$34*($B550+IF($R$17="Distrato",$I$38-1,0)),IF(AND($L$37=0,$P$34=0),"",$L$37-1),IF($R$17="Distrato",$E550,0)),MIN(AM$38,$D$19),$P$20))-SUM($P550:AL550)</f>
        <v>#VALUE!</v>
      </c>
      <c r="AN550" s="446" t="e">
        <f>IF(OR($B550="",MIN(AN$38,$D$19)&lt;MAX($P$34*($B550+IF($R$17="Distrato",$I$38-1,0)),IF(AND($L$37=0,$P$34=0),"",$L$37-1),IF($R$17="Distrato",$E550,0))),0,YEARFRAC(MAX($P$34*($B550+IF($R$17="Distrato",$I$38-1,0)),IF(AND($L$37=0,$P$34=0),"",$L$37-1),IF($R$17="Distrato",$E550,0)),MIN(AN$38,$D$19),$P$20))-SUM($P550:AM550)</f>
        <v>#VALUE!</v>
      </c>
      <c r="AO550" s="446" t="e">
        <f>IF(OR($B550="",MIN(AO$38,$D$19)&lt;MAX($P$34*($B550+IF($R$17="Distrato",$I$38-1,0)),IF(AND($L$37=0,$P$34=0),"",$L$37-1),IF($R$17="Distrato",$E550,0))),0,YEARFRAC(MAX($P$34*($B550+IF($R$17="Distrato",$I$38-1,0)),IF(AND($L$37=0,$P$34=0),"",$L$37-1),IF($R$17="Distrato",$E550,0)),MIN(AO$38,$D$19),$P$20))-SUM($P550:AN550)</f>
        <v>#VALUE!</v>
      </c>
      <c r="AP550" s="446" t="e">
        <f>IF(OR($B550="",MIN(AP$38,$D$19)&lt;MAX($P$34*($B550+IF($R$17="Distrato",$I$38-1,0)),IF(AND($L$37=0,$P$34=0),"",$L$37-1),IF($R$17="Distrato",$E550,0))),0,YEARFRAC(MAX($P$34*($B550+IF($R$17="Distrato",$I$38-1,0)),IF(AND($L$37=0,$P$34=0),"",$L$37-1),IF($R$17="Distrato",$E550,0)),MIN(AP$38,$D$19),$P$20))-SUM($P550:AO550)</f>
        <v>#VALUE!</v>
      </c>
      <c r="AQ550" s="446" t="e">
        <f>IF(OR($B550="",MIN(AQ$38,$D$19)&lt;MAX($P$34*($B550+IF($R$17="Distrato",$I$38-1,0)),IF(AND($L$37=0,$P$34=0),"",$L$37-1),IF($R$17="Distrato",$E550,0))),0,YEARFRAC(MAX($P$34*($B550+IF($R$17="Distrato",$I$38-1,0)),IF(AND($L$37=0,$P$34=0),"",$L$37-1),IF($R$17="Distrato",$E550,0)),MIN(AQ$38,$D$19),$P$20))-SUM($P550:AP550)</f>
        <v>#VALUE!</v>
      </c>
      <c r="AR550" s="446" t="e">
        <f>IF(OR($B550="",MIN(AR$38,$D$19)&lt;MAX($P$34*($B550+IF($R$17="Distrato",$I$38-1,0)),IF(AND($L$37=0,$P$34=0),"",$L$37-1),IF($R$17="Distrato",$E550,0))),0,YEARFRAC(MAX($P$34*($B550+IF($R$17="Distrato",$I$38-1,0)),IF(AND($L$37=0,$P$34=0),"",$L$37-1),IF($R$17="Distrato",$E550,0)),MIN(AR$38,$D$19),$P$20))-SUM($P550:AQ550)</f>
        <v>#VALUE!</v>
      </c>
      <c r="AS550" s="446" t="e">
        <f>IF(OR($B550="",MIN(AS$38,$D$19)&lt;MAX($P$34*($B550+IF($R$17="Distrato",$I$38-1,0)),IF(AND($L$37=0,$P$34=0),"",$L$37-1),IF($R$17="Distrato",$E550,0))),0,YEARFRAC(MAX($P$34*($B550+IF($R$17="Distrato",$I$38-1,0)),IF(AND($L$37=0,$P$34=0),"",$L$37-1),IF($R$17="Distrato",$E550,0)),MIN(AS$38,$D$19),$P$20))-SUM($P550:AR550)</f>
        <v>#VALUE!</v>
      </c>
      <c r="AT550" s="446" t="e">
        <f>IF(OR($B550="",MIN(AT$38,$D$19)&lt;MAX($P$34*($B550+IF($R$17="Distrato",$I$38-1,0)),IF(AND($L$37=0,$P$34=0),"",$L$37-1),IF($R$17="Distrato",$E550,0))),0,YEARFRAC(MAX($P$34*($B550+IF($R$17="Distrato",$I$38-1,0)),IF(AND($L$37=0,$P$34=0),"",$L$37-1),IF($R$17="Distrato",$E550,0)),MIN(AT$38,$D$19),$P$20))-SUM($P550:AS550)</f>
        <v>#VALUE!</v>
      </c>
      <c r="AU550" s="446" t="e">
        <f>IF(OR($B550="",MIN(AU$38,$D$19)&lt;MAX($P$34*($B550+IF($R$17="Distrato",$I$38-1,0)),IF(AND($L$37=0,$P$34=0),"",$L$37-1),IF($R$17="Distrato",$E550,0))),0,YEARFRAC(MAX($P$34*($B550+IF($R$17="Distrato",$I$38-1,0)),IF(AND($L$37=0,$P$34=0),"",$L$37-1),IF($R$17="Distrato",$E550,0)),MIN(AU$38,$D$19),$P$20))-SUM($P550:AT550)</f>
        <v>#VALUE!</v>
      </c>
      <c r="AV550" s="446" t="e">
        <f>IF(OR($B550="",MIN(AV$38,$D$19)&lt;MAX($P$34*($B550+IF($R$17="Distrato",$I$38-1,0)),IF(AND($L$37=0,$P$34=0),"",$L$37-1),IF($R$17="Distrato",$E550,0))),0,YEARFRAC(MAX($P$34*($B550+IF($R$17="Distrato",$I$38-1,0)),IF(AND($L$37=0,$P$34=0),"",$L$37-1),IF($R$17="Distrato",$E550,0)),MIN(AV$38,$D$19),$P$20))-SUM($P550:AU550)</f>
        <v>#VALUE!</v>
      </c>
      <c r="AW550" s="446" t="e">
        <f>IF(OR($B550="",MIN(AW$38,$D$19)&lt;MAX($P$34*($B550+IF($R$17="Distrato",$I$38-1,0)),IF(AND($L$37=0,$P$34=0),"",$L$37-1),IF($R$17="Distrato",$E550,0))),0,YEARFRAC(MAX($P$34*($B550+IF($R$17="Distrato",$I$38-1,0)),IF(AND($L$37=0,$P$34=0),"",$L$37-1),IF($R$17="Distrato",$E550,0)),MIN(AW$38,$D$19),$P$20))-SUM($P550:AV550)</f>
        <v>#VALUE!</v>
      </c>
      <c r="AX550" s="446" t="e">
        <f>IF(OR($B550="",MIN(AX$38,$D$19)&lt;MAX($P$34*($B550+IF($R$17="Distrato",$I$38-1,0)),IF(AND($L$37=0,$P$34=0),"",$L$37-1),IF($R$17="Distrato",$E550,0))),0,YEARFRAC(MAX($P$34*($B550+IF($R$17="Distrato",$I$38-1,0)),IF(AND($L$37=0,$P$34=0),"",$L$37-1),IF($R$17="Distrato",$E550,0)),MIN(AX$38,$D$19),$P$20))-SUM($P550:AW550)</f>
        <v>#VALUE!</v>
      </c>
      <c r="AY550" s="446" t="e">
        <f>IF(OR($B550="",MIN(AY$38,$D$19)&lt;MAX($P$34*($B550+IF($R$17="Distrato",$I$38-1,0)),IF(AND($L$37=0,$P$34=0),"",$L$37-1),IF($R$17="Distrato",$E550,0))),0,YEARFRAC(MAX($P$34*($B550+IF($R$17="Distrato",$I$38-1,0)),IF(AND($L$37=0,$P$34=0),"",$L$37-1),IF($R$17="Distrato",$E550,0)),MIN(AY$38,$D$19),$P$20))-SUM($P550:AX550)</f>
        <v>#VALUE!</v>
      </c>
      <c r="AZ550" s="446" t="e">
        <f>IF(OR($B550="",MIN(AZ$38,$D$19)&lt;MAX($P$34*($B550+IF($R$17="Distrato",$I$38-1,0)),IF(AND($L$37=0,$P$34=0),"",$L$37-1),IF($R$17="Distrato",$E550,0))),0,YEARFRAC(MAX($P$34*($B550+IF($R$17="Distrato",$I$38-1,0)),IF(AND($L$37=0,$P$34=0),"",$L$37-1),IF($R$17="Distrato",$E550,0)),MIN(AZ$38,$D$19),$P$20))-SUM($P550:AY550)</f>
        <v>#VALUE!</v>
      </c>
      <c r="BA550" s="446" t="e">
        <f>IF(OR($B550="",MIN(BA$38,$D$19)&lt;MAX($P$34*($B550+IF($R$17="Distrato",$I$38-1,0)),IF(AND($L$37=0,$P$34=0),"",$L$37-1),IF($R$17="Distrato",$E550,0))),0,YEARFRAC(MAX($P$34*($B550+IF($R$17="Distrato",$I$38-1,0)),IF(AND($L$37=0,$P$34=0),"",$L$37-1),IF($R$17="Distrato",$E550,0)),MIN(BA$38,$D$19),$P$20))-SUM($P550:AZ550)</f>
        <v>#VALUE!</v>
      </c>
      <c r="BB550" s="447"/>
      <c r="BF550" s="446">
        <f t="shared" si="87"/>
        <v>0</v>
      </c>
      <c r="BG550" s="446">
        <f>IF($E550=0,0,IF(MIN(BG$38,$E550)&lt;MAX($P$34*($B550+$I$38-1),IF(AND($L$37=0,$P$34=0),"",$L$37-1)),0,YEARFRAC(MAX($P$34*($B550+$I$38-1),IF(AND($L$37=0,$P$34=0),"",$L$37-1)),MIN(BG$38,$E550),$P$20))-SUM($BF550:BF550))</f>
        <v>0</v>
      </c>
      <c r="BH550" s="446">
        <f>IF($E550=0,0,IF(MIN(BH$38,$E550)&lt;MAX($P$34*($B550+$I$38-1),IF(AND($L$37=0,$P$34=0),"",$L$37-1)),0,YEARFRAC(MAX($P$34*($B550+$I$38-1),IF(AND($L$37=0,$P$34=0),"",$L$37-1)),MIN(BH$38,$E550),$P$20))-SUM($BF550:BG550))</f>
        <v>0</v>
      </c>
      <c r="BI550" s="446">
        <f>IF($E550=0,0,IF(MIN(BI$38,$E550)&lt;MAX($P$34*($B550+$I$38-1),IF(AND($L$37=0,$P$34=0),"",$L$37-1)),0,YEARFRAC(MAX($P$34*($B550+$I$38-1),IF(AND($L$37=0,$P$34=0),"",$L$37-1)),MIN(BI$38,$E550),$P$20))-SUM($BF550:BH550))</f>
        <v>0</v>
      </c>
      <c r="BJ550" s="446">
        <f>IF($E550=0,0,IF(MIN(BJ$38,$E550)&lt;MAX($P$34*($B550+$I$38-1),IF(AND($L$37=0,$P$34=0),"",$L$37-1)),0,YEARFRAC(MAX($P$34*($B550+$I$38-1),IF(AND($L$37=0,$P$34=0),"",$L$37-1)),MIN(BJ$38,$E550),$P$20))-SUM($BF550:BI550))</f>
        <v>0</v>
      </c>
      <c r="BK550" s="446">
        <f>IF($E550=0,0,IF(MIN(BK$38,$E550)&lt;MAX($P$34*($B550+$I$38-1),IF(AND($L$37=0,$P$34=0),"",$L$37-1)),0,YEARFRAC(MAX($P$34*($B550+$I$38-1),IF(AND($L$37=0,$P$34=0),"",$L$37-1)),MIN(BK$38,$E550),$P$20))-SUM($BF550:BJ550))</f>
        <v>0</v>
      </c>
      <c r="BL550" s="446">
        <f>IF($E550=0,0,IF(MIN(BL$38,$E550)&lt;MAX($P$34*($B550+$I$38-1),IF(AND($L$37=0,$P$34=0),"",$L$37-1)),0,YEARFRAC(MAX($P$34*($B550+$I$38-1),IF(AND($L$37=0,$P$34=0),"",$L$37-1)),MIN(BL$38,$E550),$P$20))-SUM($BF550:BK550))</f>
        <v>0</v>
      </c>
      <c r="BM550" s="446">
        <f>IF($E550=0,0,IF(MIN(BM$38,$E550)&lt;MAX($P$34*($B550+$I$38-1),IF(AND($L$37=0,$P$34=0),"",$L$37-1)),0,YEARFRAC(MAX($P$34*($B550+$I$38-1),IF(AND($L$37=0,$P$34=0),"",$L$37-1)),MIN(BM$38,$E550),$P$20))-SUM($BF550:BL550))</f>
        <v>0</v>
      </c>
      <c r="BN550" s="446">
        <f>IF($E550=0,0,IF(MIN(BN$38,$E550)&lt;MAX($P$34*($B550+$I$38-1),IF(AND($L$37=0,$P$34=0),"",$L$37-1)),0,YEARFRAC(MAX($P$34*($B550+$I$38-1),IF(AND($L$37=0,$P$34=0),"",$L$37-1)),MIN(BN$38,$E550),$P$20))-SUM($BF550:BM550))</f>
        <v>0</v>
      </c>
      <c r="BO550" s="446">
        <f>IF($E550=0,0,IF(MIN(BO$38,$E550)&lt;MAX($P$34*($B550+$I$38-1),IF(AND($L$37=0,$P$34=0),"",$L$37-1)),0,YEARFRAC(MAX($P$34*($B550+$I$38-1),IF(AND($L$37=0,$P$34=0),"",$L$37-1)),MIN(BO$38,$E550),$P$20))-SUM($BF550:BN550))</f>
        <v>0</v>
      </c>
      <c r="BP550" s="446">
        <f>IF($E550=0,0,IF(MIN(BP$38,$E550)&lt;MAX($P$34*($B550+$I$38-1),IF(AND($L$37=0,$P$34=0),"",$L$37-1)),0,YEARFRAC(MAX($P$34*($B550+$I$38-1),IF(AND($L$37=0,$P$34=0),"",$L$37-1)),MIN(BP$38,$E550),$P$20))-SUM($BF550:BO550))</f>
        <v>0</v>
      </c>
      <c r="BQ550" s="446">
        <f>IF($E550=0,0,IF(MIN(BQ$38,$E550)&lt;MAX($P$34*($B550+$I$38-1),IF(AND($L$37=0,$P$34=0),"",$L$37-1)),0,YEARFRAC(MAX($P$34*($B550+$I$38-1),IF(AND($L$37=0,$P$34=0),"",$L$37-1)),MIN(BQ$38,$E550),$P$20))-SUM($BF550:BP550))</f>
        <v>0</v>
      </c>
      <c r="BR550" s="446">
        <f>IF($E550=0,0,IF(MIN(BR$38,$E550)&lt;MAX($P$34*($B550+$I$38-1),IF(AND($L$37=0,$P$34=0),"",$L$37-1)),0,YEARFRAC(MAX($P$34*($B550+$I$38-1),IF(AND($L$37=0,$P$34=0),"",$L$37-1)),MIN(BR$38,$E550),$P$20))-SUM($BF550:BQ550))</f>
        <v>0</v>
      </c>
      <c r="BS550" s="446">
        <f>IF($E550=0,0,IF(MIN(BS$38,$E550)&lt;MAX($P$34*($B550+$I$38-1),IF(AND($L$37=0,$P$34=0),"",$L$37-1)),0,YEARFRAC(MAX($P$34*($B550+$I$38-1),IF(AND($L$37=0,$P$34=0),"",$L$37-1)),MIN(BS$38,$E550),$P$20))-SUM($BF550:BR550))</f>
        <v>0</v>
      </c>
      <c r="BT550" s="446">
        <f>IF($E550=0,0,IF(MIN(BT$38,$E550)&lt;MAX($P$34*($B550+$I$38-1),IF(AND($L$37=0,$P$34=0),"",$L$37-1)),0,YEARFRAC(MAX($P$34*($B550+$I$38-1),IF(AND($L$37=0,$P$34=0),"",$L$37-1)),MIN(BT$38,$E550),$P$20))-SUM($BF550:BS550))</f>
        <v>0</v>
      </c>
      <c r="BU550" s="446">
        <f>IF($E550=0,0,IF(MIN(BU$38,$E550)&lt;MAX($P$34*($B550+$I$38-1),IF(AND($L$37=0,$P$34=0),"",$L$37-1)),0,YEARFRAC(MAX($P$34*($B550+$I$38-1),IF(AND($L$37=0,$P$34=0),"",$L$37-1)),MIN(BU$38,$E550),$P$20))-SUM($BF550:BT550))</f>
        <v>0</v>
      </c>
      <c r="BV550" s="446">
        <f>IF($E550=0,0,IF(MIN(BV$38,$E550)&lt;MAX($P$34*($B550+$I$38-1),IF(AND($L$37=0,$P$34=0),"",$L$37-1)),0,YEARFRAC(MAX($P$34*($B550+$I$38-1),IF(AND($L$37=0,$P$34=0),"",$L$37-1)),MIN(BV$38,$E550),$P$20))-SUM($BF550:BU550))</f>
        <v>0</v>
      </c>
      <c r="BW550" s="446">
        <f>IF($E550=0,0,IF(MIN(BW$38,$E550)&lt;MAX($P$34*($B550+$I$38-1),IF(AND($L$37=0,$P$34=0),"",$L$37-1)),0,YEARFRAC(MAX($P$34*($B550+$I$38-1),IF(AND($L$37=0,$P$34=0),"",$L$37-1)),MIN(BW$38,$E550),$P$20))-SUM($BF550:BV550))</f>
        <v>0</v>
      </c>
      <c r="BX550" s="446">
        <f>IF($E550=0,0,IF(MIN(BX$38,$E550)&lt;MAX($P$34*($B550+$I$38-1),IF(AND($L$37=0,$P$34=0),"",$L$37-1)),0,YEARFRAC(MAX($P$34*($B550+$I$38-1),IF(AND($L$37=0,$P$34=0),"",$L$37-1)),MIN(BX$38,$E550),$P$20))-SUM($BF550:BW550))</f>
        <v>0</v>
      </c>
      <c r="BY550" s="446">
        <f>IF($E550=0,0,IF(MIN(BY$38,$E550)&lt;MAX($P$34*($B550+$I$38-1),IF(AND($L$37=0,$P$34=0),"",$L$37-1)),0,YEARFRAC(MAX($P$34*($B550+$I$38-1),IF(AND($L$37=0,$P$34=0),"",$L$37-1)),MIN(BY$38,$E550),$P$20))-SUM($BF550:BX550))</f>
        <v>0</v>
      </c>
      <c r="BZ550" s="446">
        <f>IF($E550=0,0,IF(MIN(BZ$38,$E550)&lt;MAX($P$34*($B550+$I$38-1),IF(AND($L$37=0,$P$34=0),"",$L$37-1)),0,YEARFRAC(MAX($P$34*($B550+$I$38-1),IF(AND($L$37=0,$P$34=0),"",$L$37-1)),MIN(BZ$38,$E550),$P$20))-SUM($BF550:BY550))</f>
        <v>0</v>
      </c>
      <c r="CA550" s="446">
        <f>IF($E550=0,0,IF(MIN(CA$38,$E550)&lt;MAX($P$34*($B550+$I$38-1),IF(AND($L$37=0,$P$34=0),"",$L$37-1)),0,YEARFRAC(MAX($P$34*($B550+$I$38-1),IF(AND($L$37=0,$P$34=0),"",$L$37-1)),MIN(CA$38,$E550),$P$20))-SUM($BF550:BZ550))</f>
        <v>0</v>
      </c>
      <c r="CB550" s="446">
        <f>IF($E550=0,0,IF(MIN(CB$38,$E550)&lt;MAX($P$34*($B550+$I$38-1),IF(AND($L$37=0,$P$34=0),"",$L$37-1)),0,YEARFRAC(MAX($P$34*($B550+$I$38-1),IF(AND($L$37=0,$P$34=0),"",$L$37-1)),MIN(CB$38,$E550),$P$20))-SUM($BF550:CA550))</f>
        <v>0</v>
      </c>
      <c r="CC550" s="446">
        <f>IF($E550=0,0,IF(MIN(CC$38,$E550)&lt;MAX($P$34*($B550+$I$38-1),IF(AND($L$37=0,$P$34=0),"",$L$37-1)),0,YEARFRAC(MAX($P$34*($B550+$I$38-1),IF(AND($L$37=0,$P$34=0),"",$L$37-1)),MIN(CC$38,$E550),$P$20))-SUM($BF550:CB550))</f>
        <v>0</v>
      </c>
      <c r="CD550" s="446">
        <f>IF($E550=0,0,IF(MIN(CD$38,$E550)&lt;MAX($P$34*($B550+$I$38-1),IF(AND($L$37=0,$P$34=0),"",$L$37-1)),0,YEARFRAC(MAX($P$34*($B550+$I$38-1),IF(AND($L$37=0,$P$34=0),"",$L$37-1)),MIN(CD$38,$E550),$P$20))-SUM($BF550:CC550))</f>
        <v>0</v>
      </c>
      <c r="CE550" s="446">
        <f>IF($E550=0,0,IF(MIN(CE$38,$E550)&lt;MAX($P$34*($B550+$I$38-1),IF(AND($L$37=0,$P$34=0),"",$L$37-1)),0,YEARFRAC(MAX($P$34*($B550+$I$38-1),IF(AND($L$37=0,$P$34=0),"",$L$37-1)),MIN(CE$38,$E550),$P$20))-SUM($BF550:CD550))</f>
        <v>0</v>
      </c>
      <c r="CF550" s="446">
        <f>IF($E550=0,0,IF(MIN(CF$38,$E550)&lt;MAX($P$34*($B550+$I$38-1),IF(AND($L$37=0,$P$34=0),"",$L$37-1)),0,YEARFRAC(MAX($P$34*($B550+$I$38-1),IF(AND($L$37=0,$P$34=0),"",$L$37-1)),MIN(CF$38,$E550),$P$20))-SUM($BF550:CE550))</f>
        <v>0</v>
      </c>
      <c r="CG550" s="446">
        <f>IF($E550=0,0,IF(MIN(CG$38,$E550)&lt;MAX($P$34*($B550+$I$38-1),IF(AND($L$37=0,$P$34=0),"",$L$37-1)),0,YEARFRAC(MAX($P$34*($B550+$I$38-1),IF(AND($L$37=0,$P$34=0),"",$L$37-1)),MIN(CG$38,$E550),$P$20))-SUM($BF550:CF550))</f>
        <v>0</v>
      </c>
      <c r="CH550" s="446">
        <f>IF($E550=0,0,IF(MIN(CH$38,$E550)&lt;MAX($P$34*($B550+$I$38-1),IF(AND($L$37=0,$P$34=0),"",$L$37-1)),0,YEARFRAC(MAX($P$34*($B550+$I$38-1),IF(AND($L$37=0,$P$34=0),"",$L$37-1)),MIN(CH$38,$E550),$P$20))-SUM($BF550:CG550))</f>
        <v>0</v>
      </c>
      <c r="CI550" s="446">
        <f>IF($E550=0,0,IF(MIN(CI$38,$E550)&lt;MAX($P$34*($B550+$I$38-1),IF(AND($L$37=0,$P$34=0),"",$L$37-1)),0,YEARFRAC(MAX($P$34*($B550+$I$38-1),IF(AND($L$37=0,$P$34=0),"",$L$37-1)),MIN(CI$38,$E550),$P$20))-SUM($BF550:CH550))</f>
        <v>0</v>
      </c>
      <c r="CJ550" s="446">
        <f>IF($E550=0,0,IF(MIN(CJ$38,$E550)&lt;MAX($P$34*($B550+$I$38-1),IF(AND($L$37=0,$P$34=0),"",$L$37-1)),0,YEARFRAC(MAX($P$34*($B550+$I$38-1),IF(AND($L$37=0,$P$34=0),"",$L$37-1)),MIN(CJ$38,$E550),$P$20))-SUM($BF550:CI550))</f>
        <v>0</v>
      </c>
      <c r="CK550" s="446">
        <f>IF($E550=0,0,IF(MIN(CK$38,$E550)&lt;MAX($P$34*($B550+$I$38-1),IF(AND($L$37=0,$P$34=0),"",$L$37-1)),0,YEARFRAC(MAX($P$34*($B550+$I$38-1),IF(AND($L$37=0,$P$34=0),"",$L$37-1)),MIN(CK$38,$E550),$P$20))-SUM($BF550:CJ550))</f>
        <v>0</v>
      </c>
      <c r="CL550" s="446">
        <f>IF($E550=0,0,IF(MIN(CL$38,$E550)&lt;MAX($P$34*($B550+$I$38-1),IF(AND($L$37=0,$P$34=0),"",$L$37-1)),0,YEARFRAC(MAX($P$34*($B550+$I$38-1),IF(AND($L$37=0,$P$34=0),"",$L$37-1)),MIN(CL$38,$E550),$P$20))-SUM($BF550:CK550))</f>
        <v>0</v>
      </c>
      <c r="CM550" s="446">
        <f>IF($E550=0,0,IF(MIN(CM$38,$E550)&lt;MAX($P$34*($B550+$I$38-1),IF(AND($L$37=0,$P$34=0),"",$L$37-1)),0,YEARFRAC(MAX($P$34*($B550+$I$38-1),IF(AND($L$37=0,$P$34=0),"",$L$37-1)),MIN(CM$38,$E550),$P$20))-SUM($BF550:CL550))</f>
        <v>0</v>
      </c>
      <c r="CN550" s="446">
        <f>IF($E550=0,0,IF(MIN(CN$38,$E550)&lt;MAX($P$34*($B550+$I$38-1),IF(AND($L$37=0,$P$34=0),"",$L$37-1)),0,YEARFRAC(MAX($P$34*($B550+$I$38-1),IF(AND($L$37=0,$P$34=0),"",$L$37-1)),MIN(CN$38,$E550),$P$20))-SUM($BF550:CM550))</f>
        <v>0</v>
      </c>
      <c r="CO550" s="446">
        <f>IF($E550=0,0,IF(MIN(CO$38,$E550)&lt;MAX($P$34*($B550+$I$38-1),IF(AND($L$37=0,$P$34=0),"",$L$37-1)),0,YEARFRAC(MAX($P$34*($B550+$I$38-1),IF(AND($L$37=0,$P$34=0),"",$L$37-1)),MIN(CO$38,$E550),$P$20))-SUM($BF550:CN550))</f>
        <v>0</v>
      </c>
      <c r="CP550" s="446">
        <f>IF($E550=0,0,IF(MIN(CP$38,$E550)&lt;MAX($P$34*($B550+$I$38-1),IF(AND($L$37=0,$P$34=0),"",$L$37-1)),0,YEARFRAC(MAX($P$34*($B550+$I$38-1),IF(AND($L$37=0,$P$34=0),"",$L$37-1)),MIN(CP$38,$E550),$P$20))-SUM($BF550:CO550))</f>
        <v>0</v>
      </c>
      <c r="CQ550" s="446">
        <f>IF($E550=0,0,IF(MIN(CQ$38,$E550)&lt;MAX($P$34*($B550+$I$38-1),IF(AND($L$37=0,$P$34=0),"",$L$37-1)),0,YEARFRAC(MAX($P$34*($B550+$I$38-1),IF(AND($L$37=0,$P$34=0),"",$L$37-1)),MIN(CQ$38,$E550),$P$20))-SUM($BF550:CP550))</f>
        <v>0</v>
      </c>
    </row>
    <row r="551" spans="1:95" s="446" customFormat="1" ht="11.25" hidden="1" customHeight="1" x14ac:dyDescent="0.2">
      <c r="A551" s="152"/>
      <c r="B551" s="153" t="str">
        <f t="shared" si="92"/>
        <v/>
      </c>
      <c r="C551" s="29" t="str">
        <f>IF(B551="","",IF($L$35="SELIC - TRIBUTOS",VLOOKUP(DATE(YEAR($D$19),MONTH($D$19)-1,1),ÍNDICES!$A:$DE,HLOOKUP($BL$25,ÍNDICES!$B$3:$T$4,2)+11)-VLOOKUP(B551,ÍNDICES!$A:$DE,HLOOKUP($BL$25,ÍNDICES!$B$3:$T$4,2)+11)+1%,IF(C$38=$W$26,$J$35,IF(ISERROR(IF(B551&gt;$D$19,1,VLOOKUP(DATE(YEAR(B551),MONTH(B551)+IF($C$35=$S$23,1,0),1),ÍNDICES!$A:$DE,$Z$35+1))),"",IF(B551&gt;$D$19,1,VLOOKUP(DATE(YEAR(B551),MONTH(B551)+IF($C$35=$S$23,1,0),1),ÍNDICES!$A:$DE,$Z$35+1))))))</f>
        <v/>
      </c>
      <c r="D551" s="154" t="str">
        <f>IF(ISERROR(IF(OR($D$38=$Y$27,$B551=""),"",VLOOKUP(B551,ÍNDICES!A:DE,AF$35+1))),"",IF(OR($D$38=$Y$27,$B551=""),"",VLOOKUP(B551,ÍNDICES!A:DE,AF$35+1)))</f>
        <v/>
      </c>
      <c r="E551" s="153"/>
      <c r="F551" s="29" t="str">
        <f>IF(E551="","",IF($L$35="SELIC - TRIBUTOS",VLOOKUP(DATE(YEAR($D$19),MONTH($D$19)-1,1),ÍNDICES!$A:$DE,HLOOKUP($BL$25,ÍNDICES!$B$3:$T$4,2)+11)-VLOOKUP(E551,ÍNDICES!$A:$DE,HLOOKUP($BL$25,ÍNDICES!$B$3:$T$4,2)+11)+1%,IF(F$38=$W$26,$J$35,IF(ISERROR(IF(E551&gt;$D$19,1,VLOOKUP(DATE(YEAR(E551),MONTH(E551)+IF($C$35=$S$23,1,0),1),ÍNDICES!$A:$DE,$Z$35+1))),"",IF(E551&gt;$D$19,1,VLOOKUP(DATE(YEAR(E551),MONTH(E551)+IF($C$35=$S$23,1,0),1),ÍNDICES!$A:$DE,$Z$35+1))))))</f>
        <v/>
      </c>
      <c r="G551" s="155"/>
      <c r="H551" s="156" t="str">
        <f t="shared" si="88"/>
        <v/>
      </c>
      <c r="I551" s="29" t="str">
        <f t="shared" si="82"/>
        <v/>
      </c>
      <c r="J551" s="5">
        <f t="shared" si="83"/>
        <v>0</v>
      </c>
      <c r="K551" s="20">
        <f t="shared" ca="1" si="84"/>
        <v>0</v>
      </c>
      <c r="L551" s="5">
        <f t="shared" ca="1" si="85"/>
        <v>0</v>
      </c>
      <c r="M551" s="64">
        <f t="shared" si="89"/>
        <v>0</v>
      </c>
      <c r="N551" s="61">
        <f t="shared" ca="1" si="90"/>
        <v>0</v>
      </c>
      <c r="O551" s="5">
        <f t="shared" ca="1" si="91"/>
        <v>0</v>
      </c>
      <c r="P551" s="446" t="e">
        <f t="shared" si="86"/>
        <v>#VALUE!</v>
      </c>
      <c r="Q551" s="446" t="e">
        <f>IF(OR($B551="",MIN(Q$38,$D$19)&lt;MAX($P$34*($B551+IF($R$17="Distrato",$I$38-1,0)),IF(AND($L$37=0,$P$34=0),"",$L$37-1),IF($R$17="Distrato",$E551,0))),0,YEARFRAC(MAX($P$34*($B551+IF($R$17="Distrato",$I$38-1,0)),IF(AND($L$37=0,$P$34=0),"",$L$37-1),IF($R$17="Distrato",$E551,0)),MIN(Q$38,$D$19),$P$20))-SUM($P551:P551)</f>
        <v>#VALUE!</v>
      </c>
      <c r="R551" s="446" t="e">
        <f>IF(OR($B551="",MIN(R$38,$D$19)&lt;MAX($P$34*($B551+IF($R$17="Distrato",$I$38-1,0)),IF(AND($L$37=0,$P$34=0),"",$L$37-1),IF($R$17="Distrato",$E551,0))),0,YEARFRAC(MAX($P$34*($B551+IF($R$17="Distrato",$I$38-1,0)),IF(AND($L$37=0,$P$34=0),"",$L$37-1),IF($R$17="Distrato",$E551,0)),MIN(R$38,$D$19),$P$20))-SUM($P551:Q551)</f>
        <v>#VALUE!</v>
      </c>
      <c r="S551" s="446" t="e">
        <f>IF(OR($B551="",MIN(S$38,$D$19)&lt;MAX($P$34*($B551+IF($R$17="Distrato",$I$38-1,0)),IF(AND($L$37=0,$P$34=0),"",$L$37-1),IF($R$17="Distrato",$E551,0))),0,YEARFRAC(MAX($P$34*($B551+IF($R$17="Distrato",$I$38-1,0)),IF(AND($L$37=0,$P$34=0),"",$L$37-1),IF($R$17="Distrato",$E551,0)),MIN(S$38,$D$19),$P$20))-SUM($P551:R551)</f>
        <v>#VALUE!</v>
      </c>
      <c r="T551" s="446" t="e">
        <f>IF(OR($B551="",MIN(T$38,$D$19)&lt;MAX($P$34*($B551+IF($R$17="Distrato",$I$38-1,0)),IF(AND($L$37=0,$P$34=0),"",$L$37-1),IF($R$17="Distrato",$E551,0))),0,YEARFRAC(MAX($P$34*($B551+IF($R$17="Distrato",$I$38-1,0)),IF(AND($L$37=0,$P$34=0),"",$L$37-1),IF($R$17="Distrato",$E551,0)),MIN(T$38,$D$19),$P$20))-SUM($P551:S551)</f>
        <v>#VALUE!</v>
      </c>
      <c r="U551" s="446" t="e">
        <f>IF(OR($B551="",MIN(U$38,$D$19)&lt;MAX($P$34*($B551+IF($R$17="Distrato",$I$38-1,0)),IF(AND($L$37=0,$P$34=0),"",$L$37-1),IF($R$17="Distrato",$E551,0))),0,YEARFRAC(MAX($P$34*($B551+IF($R$17="Distrato",$I$38-1,0)),IF(AND($L$37=0,$P$34=0),"",$L$37-1),IF($R$17="Distrato",$E551,0)),MIN(U$38,$D$19),$P$20))-SUM($P551:T551)</f>
        <v>#VALUE!</v>
      </c>
      <c r="V551" s="446" t="e">
        <f>IF(OR($B551="",MIN(V$38,$D$19)&lt;MAX($P$34*($B551+IF($R$17="Distrato",$I$38-1,0)),IF(AND($L$37=0,$P$34=0),"",$L$37-1),IF($R$17="Distrato",$E551,0))),0,YEARFRAC(MAX($P$34*($B551+IF($R$17="Distrato",$I$38-1,0)),IF(AND($L$37=0,$P$34=0),"",$L$37-1),IF($R$17="Distrato",$E551,0)),MIN(V$38,$D$19),$P$20))-SUM($P551:U551)</f>
        <v>#VALUE!</v>
      </c>
      <c r="W551" s="446" t="e">
        <f>IF(OR($B551="",MIN(W$38,$D$19)&lt;MAX($P$34*($B551+IF($R$17="Distrato",$I$38-1,0)),IF(AND($L$37=0,$P$34=0),"",$L$37-1),IF($R$17="Distrato",$E551,0))),0,YEARFRAC(MAX($P$34*($B551+IF($R$17="Distrato",$I$38-1,0)),IF(AND($L$37=0,$P$34=0),"",$L$37-1),IF($R$17="Distrato",$E551,0)),MIN(W$38,$D$19),$P$20))-SUM($P551:V551)</f>
        <v>#VALUE!</v>
      </c>
      <c r="X551" s="446" t="e">
        <f>IF(OR($B551="",MIN(X$38,$D$19)&lt;MAX($P$34*($B551+IF($R$17="Distrato",$I$38-1,0)),IF(AND($L$37=0,$P$34=0),"",$L$37-1),IF($R$17="Distrato",$E551,0))),0,YEARFRAC(MAX($P$34*($B551+IF($R$17="Distrato",$I$38-1,0)),IF(AND($L$37=0,$P$34=0),"",$L$37-1),IF($R$17="Distrato",$E551,0)),MIN(X$38,$D$19),$P$20))-SUM($P551:W551)</f>
        <v>#VALUE!</v>
      </c>
      <c r="Y551" s="446" t="e">
        <f>IF(OR($B551="",MIN(Y$38,$D$19)&lt;MAX($P$34*($B551+IF($R$17="Distrato",$I$38-1,0)),IF(AND($L$37=0,$P$34=0),"",$L$37-1),IF($R$17="Distrato",$E551,0))),0,YEARFRAC(MAX($P$34*($B551+IF($R$17="Distrato",$I$38-1,0)),IF(AND($L$37=0,$P$34=0),"",$L$37-1),IF($R$17="Distrato",$E551,0)),MIN(Y$38,$D$19),$P$20))-SUM($P551:X551)</f>
        <v>#VALUE!</v>
      </c>
      <c r="Z551" s="446" t="e">
        <f>IF(OR($B551="",MIN(Z$38,$D$19)&lt;MAX($P$34*($B551+IF($R$17="Distrato",$I$38-1,0)),IF(AND($L$37=0,$P$34=0),"",$L$37-1),IF($R$17="Distrato",$E551,0))),0,YEARFRAC(MAX($P$34*($B551+IF($R$17="Distrato",$I$38-1,0)),IF(AND($L$37=0,$P$34=0),"",$L$37-1),IF($R$17="Distrato",$E551,0)),MIN(Z$38,$D$19),$P$20))-SUM($P551:Y551)</f>
        <v>#VALUE!</v>
      </c>
      <c r="AA551" s="446" t="e">
        <f>IF(OR($B551="",MIN(AA$38,$D$19)&lt;MAX($P$34*($B551+IF($R$17="Distrato",$I$38-1,0)),IF(AND($L$37=0,$P$34=0),"",$L$37-1),IF($R$17="Distrato",$E551,0))),0,YEARFRAC(MAX($P$34*($B551+IF($R$17="Distrato",$I$38-1,0)),IF(AND($L$37=0,$P$34=0),"",$L$37-1),IF($R$17="Distrato",$E551,0)),MIN(AA$38,$D$19),$P$20))-SUM($P551:Z551)</f>
        <v>#VALUE!</v>
      </c>
      <c r="AB551" s="446" t="e">
        <f>IF(OR($B551="",MIN(AB$38,$D$19)&lt;MAX($P$34*($B551+IF($R$17="Distrato",$I$38-1,0)),IF(AND($L$37=0,$P$34=0),"",$L$37-1),IF($R$17="Distrato",$E551,0))),0,YEARFRAC(MAX($P$34*($B551+IF($R$17="Distrato",$I$38-1,0)),IF(AND($L$37=0,$P$34=0),"",$L$37-1),IF($R$17="Distrato",$E551,0)),MIN(AB$38,$D$19),$P$20))-SUM($P551:AA551)</f>
        <v>#VALUE!</v>
      </c>
      <c r="AC551" s="446" t="e">
        <f>IF(OR($B551="",MIN(AC$38,$D$19)&lt;MAX($P$34*($B551+IF($R$17="Distrato",$I$38-1,0)),IF(AND($L$37=0,$P$34=0),"",$L$37-1),IF($R$17="Distrato",$E551,0))),0,YEARFRAC(MAX($P$34*($B551+IF($R$17="Distrato",$I$38-1,0)),IF(AND($L$37=0,$P$34=0),"",$L$37-1),IF($R$17="Distrato",$E551,0)),MIN(AC$38,$D$19),$P$20))-SUM($P551:AB551)</f>
        <v>#VALUE!</v>
      </c>
      <c r="AD551" s="446" t="e">
        <f>IF(OR($B551="",MIN(AD$38,$D$19)&lt;MAX($P$34*($B551+IF($R$17="Distrato",$I$38-1,0)),IF(AND($L$37=0,$P$34=0),"",$L$37-1),IF($R$17="Distrato",$E551,0))),0,YEARFRAC(MAX($P$34*($B551+IF($R$17="Distrato",$I$38-1,0)),IF(AND($L$37=0,$P$34=0),"",$L$37-1),IF($R$17="Distrato",$E551,0)),MIN(AD$38,$D$19),$P$20))-SUM($P551:AC551)</f>
        <v>#VALUE!</v>
      </c>
      <c r="AE551" s="446" t="e">
        <f>IF(OR($B551="",MIN(AE$38,$D$19)&lt;MAX($P$34*($B551+IF($R$17="Distrato",$I$38-1,0)),IF(AND($L$37=0,$P$34=0),"",$L$37-1),IF($R$17="Distrato",$E551,0))),0,YEARFRAC(MAX($P$34*($B551+IF($R$17="Distrato",$I$38-1,0)),IF(AND($L$37=0,$P$34=0),"",$L$37-1),IF($R$17="Distrato",$E551,0)),MIN(AE$38,$D$19),$P$20))-SUM($P551:AD551)</f>
        <v>#VALUE!</v>
      </c>
      <c r="AF551" s="446" t="e">
        <f>IF(OR($B551="",MIN(AF$38,$D$19)&lt;MAX($P$34*($B551+IF($R$17="Distrato",$I$38-1,0)),IF(AND($L$37=0,$P$34=0),"",$L$37-1),IF($R$17="Distrato",$E551,0))),0,YEARFRAC(MAX($P$34*($B551+IF($R$17="Distrato",$I$38-1,0)),IF(AND($L$37=0,$P$34=0),"",$L$37-1),IF($R$17="Distrato",$E551,0)),MIN(AF$38,$D$19),$P$20))-SUM($P551:AE551)</f>
        <v>#VALUE!</v>
      </c>
      <c r="AG551" s="446" t="e">
        <f>IF(OR($B551="",MIN(AG$38,$D$19)&lt;MAX($P$34*($B551+IF($R$17="Distrato",$I$38-1,0)),IF(AND($L$37=0,$P$34=0),"",$L$37-1),IF($R$17="Distrato",$E551,0))),0,YEARFRAC(MAX($P$34*($B551+IF($R$17="Distrato",$I$38-1,0)),IF(AND($L$37=0,$P$34=0),"",$L$37-1),IF($R$17="Distrato",$E551,0)),MIN(AG$38,$D$19),$P$20))-SUM($P551:AF551)</f>
        <v>#VALUE!</v>
      </c>
      <c r="AH551" s="446" t="e">
        <f>IF(OR($B551="",MIN(AH$38,$D$19)&lt;MAX($P$34*($B551+IF($R$17="Distrato",$I$38-1,0)),IF(AND($L$37=0,$P$34=0),"",$L$37-1),IF($R$17="Distrato",$E551,0))),0,YEARFRAC(MAX($P$34*($B551+IF($R$17="Distrato",$I$38-1,0)),IF(AND($L$37=0,$P$34=0),"",$L$37-1),IF($R$17="Distrato",$E551,0)),MIN(AH$38,$D$19),$P$20))-SUM($P551:AG551)</f>
        <v>#VALUE!</v>
      </c>
      <c r="AI551" s="446" t="e">
        <f>IF(OR($B551="",MIN(AI$38,$D$19)&lt;MAX($P$34*($B551+IF($R$17="Distrato",$I$38-1,0)),IF(AND($L$37=0,$P$34=0),"",$L$37-1),IF($R$17="Distrato",$E551,0))),0,YEARFRAC(MAX($P$34*($B551+IF($R$17="Distrato",$I$38-1,0)),IF(AND($L$37=0,$P$34=0),"",$L$37-1),IF($R$17="Distrato",$E551,0)),MIN(AI$38,$D$19),$P$20))-SUM($P551:AH551)</f>
        <v>#VALUE!</v>
      </c>
      <c r="AJ551" s="446" t="e">
        <f>IF(OR($B551="",MIN(AJ$38,$D$19)&lt;MAX($P$34*($B551+IF($R$17="Distrato",$I$38-1,0)),IF(AND($L$37=0,$P$34=0),"",$L$37-1),IF($R$17="Distrato",$E551,0))),0,YEARFRAC(MAX($P$34*($B551+IF($R$17="Distrato",$I$38-1,0)),IF(AND($L$37=0,$P$34=0),"",$L$37-1),IF($R$17="Distrato",$E551,0)),MIN(AJ$38,$D$19),$P$20))-SUM($P551:AI551)</f>
        <v>#VALUE!</v>
      </c>
      <c r="AK551" s="446" t="e">
        <f>IF(OR($B551="",MIN(AK$38,$D$19)&lt;MAX($P$34*($B551+IF($R$17="Distrato",$I$38-1,0)),IF(AND($L$37=0,$P$34=0),"",$L$37-1),IF($R$17="Distrato",$E551,0))),0,YEARFRAC(MAX($P$34*($B551+IF($R$17="Distrato",$I$38-1,0)),IF(AND($L$37=0,$P$34=0),"",$L$37-1),IF($R$17="Distrato",$E551,0)),MIN(AK$38,$D$19),$P$20))-SUM($P551:AJ551)</f>
        <v>#VALUE!</v>
      </c>
      <c r="AL551" s="446" t="e">
        <f>IF(OR($B551="",MIN(AL$38,$D$19)&lt;MAX($P$34*($B551+IF($R$17="Distrato",$I$38-1,0)),IF(AND($L$37=0,$P$34=0),"",$L$37-1),IF($R$17="Distrato",$E551,0))),0,YEARFRAC(MAX($P$34*($B551+IF($R$17="Distrato",$I$38-1,0)),IF(AND($L$37=0,$P$34=0),"",$L$37-1),IF($R$17="Distrato",$E551,0)),MIN(AL$38,$D$19),$P$20))-SUM($P551:AK551)</f>
        <v>#VALUE!</v>
      </c>
      <c r="AM551" s="446" t="e">
        <f>IF(OR($B551="",MIN(AM$38,$D$19)&lt;MAX($P$34*($B551+IF($R$17="Distrato",$I$38-1,0)),IF(AND($L$37=0,$P$34=0),"",$L$37-1),IF($R$17="Distrato",$E551,0))),0,YEARFRAC(MAX($P$34*($B551+IF($R$17="Distrato",$I$38-1,0)),IF(AND($L$37=0,$P$34=0),"",$L$37-1),IF($R$17="Distrato",$E551,0)),MIN(AM$38,$D$19),$P$20))-SUM($P551:AL551)</f>
        <v>#VALUE!</v>
      </c>
      <c r="AN551" s="446" t="e">
        <f>IF(OR($B551="",MIN(AN$38,$D$19)&lt;MAX($P$34*($B551+IF($R$17="Distrato",$I$38-1,0)),IF(AND($L$37=0,$P$34=0),"",$L$37-1),IF($R$17="Distrato",$E551,0))),0,YEARFRAC(MAX($P$34*($B551+IF($R$17="Distrato",$I$38-1,0)),IF(AND($L$37=0,$P$34=0),"",$L$37-1),IF($R$17="Distrato",$E551,0)),MIN(AN$38,$D$19),$P$20))-SUM($P551:AM551)</f>
        <v>#VALUE!</v>
      </c>
      <c r="AO551" s="446" t="e">
        <f>IF(OR($B551="",MIN(AO$38,$D$19)&lt;MAX($P$34*($B551+IF($R$17="Distrato",$I$38-1,0)),IF(AND($L$37=0,$P$34=0),"",$L$37-1),IF($R$17="Distrato",$E551,0))),0,YEARFRAC(MAX($P$34*($B551+IF($R$17="Distrato",$I$38-1,0)),IF(AND($L$37=0,$P$34=0),"",$L$37-1),IF($R$17="Distrato",$E551,0)),MIN(AO$38,$D$19),$P$20))-SUM($P551:AN551)</f>
        <v>#VALUE!</v>
      </c>
      <c r="AP551" s="446" t="e">
        <f>IF(OR($B551="",MIN(AP$38,$D$19)&lt;MAX($P$34*($B551+IF($R$17="Distrato",$I$38-1,0)),IF(AND($L$37=0,$P$34=0),"",$L$37-1),IF($R$17="Distrato",$E551,0))),0,YEARFRAC(MAX($P$34*($B551+IF($R$17="Distrato",$I$38-1,0)),IF(AND($L$37=0,$P$34=0),"",$L$37-1),IF($R$17="Distrato",$E551,0)),MIN(AP$38,$D$19),$P$20))-SUM($P551:AO551)</f>
        <v>#VALUE!</v>
      </c>
      <c r="AQ551" s="446" t="e">
        <f>IF(OR($B551="",MIN(AQ$38,$D$19)&lt;MAX($P$34*($B551+IF($R$17="Distrato",$I$38-1,0)),IF(AND($L$37=0,$P$34=0),"",$L$37-1),IF($R$17="Distrato",$E551,0))),0,YEARFRAC(MAX($P$34*($B551+IF($R$17="Distrato",$I$38-1,0)),IF(AND($L$37=0,$P$34=0),"",$L$37-1),IF($R$17="Distrato",$E551,0)),MIN(AQ$38,$D$19),$P$20))-SUM($P551:AP551)</f>
        <v>#VALUE!</v>
      </c>
      <c r="AR551" s="446" t="e">
        <f>IF(OR($B551="",MIN(AR$38,$D$19)&lt;MAX($P$34*($B551+IF($R$17="Distrato",$I$38-1,0)),IF(AND($L$37=0,$P$34=0),"",$L$37-1),IF($R$17="Distrato",$E551,0))),0,YEARFRAC(MAX($P$34*($B551+IF($R$17="Distrato",$I$38-1,0)),IF(AND($L$37=0,$P$34=0),"",$L$37-1),IF($R$17="Distrato",$E551,0)),MIN(AR$38,$D$19),$P$20))-SUM($P551:AQ551)</f>
        <v>#VALUE!</v>
      </c>
      <c r="AS551" s="446" t="e">
        <f>IF(OR($B551="",MIN(AS$38,$D$19)&lt;MAX($P$34*($B551+IF($R$17="Distrato",$I$38-1,0)),IF(AND($L$37=0,$P$34=0),"",$L$37-1),IF($R$17="Distrato",$E551,0))),0,YEARFRAC(MAX($P$34*($B551+IF($R$17="Distrato",$I$38-1,0)),IF(AND($L$37=0,$P$34=0),"",$L$37-1),IF($R$17="Distrato",$E551,0)),MIN(AS$38,$D$19),$P$20))-SUM($P551:AR551)</f>
        <v>#VALUE!</v>
      </c>
      <c r="AT551" s="446" t="e">
        <f>IF(OR($B551="",MIN(AT$38,$D$19)&lt;MAX($P$34*($B551+IF($R$17="Distrato",$I$38-1,0)),IF(AND($L$37=0,$P$34=0),"",$L$37-1),IF($R$17="Distrato",$E551,0))),0,YEARFRAC(MAX($P$34*($B551+IF($R$17="Distrato",$I$38-1,0)),IF(AND($L$37=0,$P$34=0),"",$L$37-1),IF($R$17="Distrato",$E551,0)),MIN(AT$38,$D$19),$P$20))-SUM($P551:AS551)</f>
        <v>#VALUE!</v>
      </c>
      <c r="AU551" s="446" t="e">
        <f>IF(OR($B551="",MIN(AU$38,$D$19)&lt;MAX($P$34*($B551+IF($R$17="Distrato",$I$38-1,0)),IF(AND($L$37=0,$P$34=0),"",$L$37-1),IF($R$17="Distrato",$E551,0))),0,YEARFRAC(MAX($P$34*($B551+IF($R$17="Distrato",$I$38-1,0)),IF(AND($L$37=0,$P$34=0),"",$L$37-1),IF($R$17="Distrato",$E551,0)),MIN(AU$38,$D$19),$P$20))-SUM($P551:AT551)</f>
        <v>#VALUE!</v>
      </c>
      <c r="AV551" s="446" t="e">
        <f>IF(OR($B551="",MIN(AV$38,$D$19)&lt;MAX($P$34*($B551+IF($R$17="Distrato",$I$38-1,0)),IF(AND($L$37=0,$P$34=0),"",$L$37-1),IF($R$17="Distrato",$E551,0))),0,YEARFRAC(MAX($P$34*($B551+IF($R$17="Distrato",$I$38-1,0)),IF(AND($L$37=0,$P$34=0),"",$L$37-1),IF($R$17="Distrato",$E551,0)),MIN(AV$38,$D$19),$P$20))-SUM($P551:AU551)</f>
        <v>#VALUE!</v>
      </c>
      <c r="AW551" s="446" t="e">
        <f>IF(OR($B551="",MIN(AW$38,$D$19)&lt;MAX($P$34*($B551+IF($R$17="Distrato",$I$38-1,0)),IF(AND($L$37=0,$P$34=0),"",$L$37-1),IF($R$17="Distrato",$E551,0))),0,YEARFRAC(MAX($P$34*($B551+IF($R$17="Distrato",$I$38-1,0)),IF(AND($L$37=0,$P$34=0),"",$L$37-1),IF($R$17="Distrato",$E551,0)),MIN(AW$38,$D$19),$P$20))-SUM($P551:AV551)</f>
        <v>#VALUE!</v>
      </c>
      <c r="AX551" s="446" t="e">
        <f>IF(OR($B551="",MIN(AX$38,$D$19)&lt;MAX($P$34*($B551+IF($R$17="Distrato",$I$38-1,0)),IF(AND($L$37=0,$P$34=0),"",$L$37-1),IF($R$17="Distrato",$E551,0))),0,YEARFRAC(MAX($P$34*($B551+IF($R$17="Distrato",$I$38-1,0)),IF(AND($L$37=0,$P$34=0),"",$L$37-1),IF($R$17="Distrato",$E551,0)),MIN(AX$38,$D$19),$P$20))-SUM($P551:AW551)</f>
        <v>#VALUE!</v>
      </c>
      <c r="AY551" s="446" t="e">
        <f>IF(OR($B551="",MIN(AY$38,$D$19)&lt;MAX($P$34*($B551+IF($R$17="Distrato",$I$38-1,0)),IF(AND($L$37=0,$P$34=0),"",$L$37-1),IF($R$17="Distrato",$E551,0))),0,YEARFRAC(MAX($P$34*($B551+IF($R$17="Distrato",$I$38-1,0)),IF(AND($L$37=0,$P$34=0),"",$L$37-1),IF($R$17="Distrato",$E551,0)),MIN(AY$38,$D$19),$P$20))-SUM($P551:AX551)</f>
        <v>#VALUE!</v>
      </c>
      <c r="AZ551" s="446" t="e">
        <f>IF(OR($B551="",MIN(AZ$38,$D$19)&lt;MAX($P$34*($B551+IF($R$17="Distrato",$I$38-1,0)),IF(AND($L$37=0,$P$34=0),"",$L$37-1),IF($R$17="Distrato",$E551,0))),0,YEARFRAC(MAX($P$34*($B551+IF($R$17="Distrato",$I$38-1,0)),IF(AND($L$37=0,$P$34=0),"",$L$37-1),IF($R$17="Distrato",$E551,0)),MIN(AZ$38,$D$19),$P$20))-SUM($P551:AY551)</f>
        <v>#VALUE!</v>
      </c>
      <c r="BA551" s="446" t="e">
        <f>IF(OR($B551="",MIN(BA$38,$D$19)&lt;MAX($P$34*($B551+IF($R$17="Distrato",$I$38-1,0)),IF(AND($L$37=0,$P$34=0),"",$L$37-1),IF($R$17="Distrato",$E551,0))),0,YEARFRAC(MAX($P$34*($B551+IF($R$17="Distrato",$I$38-1,0)),IF(AND($L$37=0,$P$34=0),"",$L$37-1),IF($R$17="Distrato",$E551,0)),MIN(BA$38,$D$19),$P$20))-SUM($P551:AZ551)</f>
        <v>#VALUE!</v>
      </c>
      <c r="BB551" s="447"/>
      <c r="BF551" s="446">
        <f t="shared" si="87"/>
        <v>0</v>
      </c>
      <c r="BG551" s="446">
        <f>IF($E551=0,0,IF(MIN(BG$38,$E551)&lt;MAX($P$34*($B551+$I$38-1),IF(AND($L$37=0,$P$34=0),"",$L$37-1)),0,YEARFRAC(MAX($P$34*($B551+$I$38-1),IF(AND($L$37=0,$P$34=0),"",$L$37-1)),MIN(BG$38,$E551),$P$20))-SUM($BF551:BF551))</f>
        <v>0</v>
      </c>
      <c r="BH551" s="446">
        <f>IF($E551=0,0,IF(MIN(BH$38,$E551)&lt;MAX($P$34*($B551+$I$38-1),IF(AND($L$37=0,$P$34=0),"",$L$37-1)),0,YEARFRAC(MAX($P$34*($B551+$I$38-1),IF(AND($L$37=0,$P$34=0),"",$L$37-1)),MIN(BH$38,$E551),$P$20))-SUM($BF551:BG551))</f>
        <v>0</v>
      </c>
      <c r="BI551" s="446">
        <f>IF($E551=0,0,IF(MIN(BI$38,$E551)&lt;MAX($P$34*($B551+$I$38-1),IF(AND($L$37=0,$P$34=0),"",$L$37-1)),0,YEARFRAC(MAX($P$34*($B551+$I$38-1),IF(AND($L$37=0,$P$34=0),"",$L$37-1)),MIN(BI$38,$E551),$P$20))-SUM($BF551:BH551))</f>
        <v>0</v>
      </c>
      <c r="BJ551" s="446">
        <f>IF($E551=0,0,IF(MIN(BJ$38,$E551)&lt;MAX($P$34*($B551+$I$38-1),IF(AND($L$37=0,$P$34=0),"",$L$37-1)),0,YEARFRAC(MAX($P$34*($B551+$I$38-1),IF(AND($L$37=0,$P$34=0),"",$L$37-1)),MIN(BJ$38,$E551),$P$20))-SUM($BF551:BI551))</f>
        <v>0</v>
      </c>
      <c r="BK551" s="446">
        <f>IF($E551=0,0,IF(MIN(BK$38,$E551)&lt;MAX($P$34*($B551+$I$38-1),IF(AND($L$37=0,$P$34=0),"",$L$37-1)),0,YEARFRAC(MAX($P$34*($B551+$I$38-1),IF(AND($L$37=0,$P$34=0),"",$L$37-1)),MIN(BK$38,$E551),$P$20))-SUM($BF551:BJ551))</f>
        <v>0</v>
      </c>
      <c r="BL551" s="446">
        <f>IF($E551=0,0,IF(MIN(BL$38,$E551)&lt;MAX($P$34*($B551+$I$38-1),IF(AND($L$37=0,$P$34=0),"",$L$37-1)),0,YEARFRAC(MAX($P$34*($B551+$I$38-1),IF(AND($L$37=0,$P$34=0),"",$L$37-1)),MIN(BL$38,$E551),$P$20))-SUM($BF551:BK551))</f>
        <v>0</v>
      </c>
      <c r="BM551" s="446">
        <f>IF($E551=0,0,IF(MIN(BM$38,$E551)&lt;MAX($P$34*($B551+$I$38-1),IF(AND($L$37=0,$P$34=0),"",$L$37-1)),0,YEARFRAC(MAX($P$34*($B551+$I$38-1),IF(AND($L$37=0,$P$34=0),"",$L$37-1)),MIN(BM$38,$E551),$P$20))-SUM($BF551:BL551))</f>
        <v>0</v>
      </c>
      <c r="BN551" s="446">
        <f>IF($E551=0,0,IF(MIN(BN$38,$E551)&lt;MAX($P$34*($B551+$I$38-1),IF(AND($L$37=0,$P$34=0),"",$L$37-1)),0,YEARFRAC(MAX($P$34*($B551+$I$38-1),IF(AND($L$37=0,$P$34=0),"",$L$37-1)),MIN(BN$38,$E551),$P$20))-SUM($BF551:BM551))</f>
        <v>0</v>
      </c>
      <c r="BO551" s="446">
        <f>IF($E551=0,0,IF(MIN(BO$38,$E551)&lt;MAX($P$34*($B551+$I$38-1),IF(AND($L$37=0,$P$34=0),"",$L$37-1)),0,YEARFRAC(MAX($P$34*($B551+$I$38-1),IF(AND($L$37=0,$P$34=0),"",$L$37-1)),MIN(BO$38,$E551),$P$20))-SUM($BF551:BN551))</f>
        <v>0</v>
      </c>
      <c r="BP551" s="446">
        <f>IF($E551=0,0,IF(MIN(BP$38,$E551)&lt;MAX($P$34*($B551+$I$38-1),IF(AND($L$37=0,$P$34=0),"",$L$37-1)),0,YEARFRAC(MAX($P$34*($B551+$I$38-1),IF(AND($L$37=0,$P$34=0),"",$L$37-1)),MIN(BP$38,$E551),$P$20))-SUM($BF551:BO551))</f>
        <v>0</v>
      </c>
      <c r="BQ551" s="446">
        <f>IF($E551=0,0,IF(MIN(BQ$38,$E551)&lt;MAX($P$34*($B551+$I$38-1),IF(AND($L$37=0,$P$34=0),"",$L$37-1)),0,YEARFRAC(MAX($P$34*($B551+$I$38-1),IF(AND($L$37=0,$P$34=0),"",$L$37-1)),MIN(BQ$38,$E551),$P$20))-SUM($BF551:BP551))</f>
        <v>0</v>
      </c>
      <c r="BR551" s="446">
        <f>IF($E551=0,0,IF(MIN(BR$38,$E551)&lt;MAX($P$34*($B551+$I$38-1),IF(AND($L$37=0,$P$34=0),"",$L$37-1)),0,YEARFRAC(MAX($P$34*($B551+$I$38-1),IF(AND($L$37=0,$P$34=0),"",$L$37-1)),MIN(BR$38,$E551),$P$20))-SUM($BF551:BQ551))</f>
        <v>0</v>
      </c>
      <c r="BS551" s="446">
        <f>IF($E551=0,0,IF(MIN(BS$38,$E551)&lt;MAX($P$34*($B551+$I$38-1),IF(AND($L$37=0,$P$34=0),"",$L$37-1)),0,YEARFRAC(MAX($P$34*($B551+$I$38-1),IF(AND($L$37=0,$P$34=0),"",$L$37-1)),MIN(BS$38,$E551),$P$20))-SUM($BF551:BR551))</f>
        <v>0</v>
      </c>
      <c r="BT551" s="446">
        <f>IF($E551=0,0,IF(MIN(BT$38,$E551)&lt;MAX($P$34*($B551+$I$38-1),IF(AND($L$37=0,$P$34=0),"",$L$37-1)),0,YEARFRAC(MAX($P$34*($B551+$I$38-1),IF(AND($L$37=0,$P$34=0),"",$L$37-1)),MIN(BT$38,$E551),$P$20))-SUM($BF551:BS551))</f>
        <v>0</v>
      </c>
      <c r="BU551" s="446">
        <f>IF($E551=0,0,IF(MIN(BU$38,$E551)&lt;MAX($P$34*($B551+$I$38-1),IF(AND($L$37=0,$P$34=0),"",$L$37-1)),0,YEARFRAC(MAX($P$34*($B551+$I$38-1),IF(AND($L$37=0,$P$34=0),"",$L$37-1)),MIN(BU$38,$E551),$P$20))-SUM($BF551:BT551))</f>
        <v>0</v>
      </c>
      <c r="BV551" s="446">
        <f>IF($E551=0,0,IF(MIN(BV$38,$E551)&lt;MAX($P$34*($B551+$I$38-1),IF(AND($L$37=0,$P$34=0),"",$L$37-1)),0,YEARFRAC(MAX($P$34*($B551+$I$38-1),IF(AND($L$37=0,$P$34=0),"",$L$37-1)),MIN(BV$38,$E551),$P$20))-SUM($BF551:BU551))</f>
        <v>0</v>
      </c>
      <c r="BW551" s="446">
        <f>IF($E551=0,0,IF(MIN(BW$38,$E551)&lt;MAX($P$34*($B551+$I$38-1),IF(AND($L$37=0,$P$34=0),"",$L$37-1)),0,YEARFRAC(MAX($P$34*($B551+$I$38-1),IF(AND($L$37=0,$P$34=0),"",$L$37-1)),MIN(BW$38,$E551),$P$20))-SUM($BF551:BV551))</f>
        <v>0</v>
      </c>
      <c r="BX551" s="446">
        <f>IF($E551=0,0,IF(MIN(BX$38,$E551)&lt;MAX($P$34*($B551+$I$38-1),IF(AND($L$37=0,$P$34=0),"",$L$37-1)),0,YEARFRAC(MAX($P$34*($B551+$I$38-1),IF(AND($L$37=0,$P$34=0),"",$L$37-1)),MIN(BX$38,$E551),$P$20))-SUM($BF551:BW551))</f>
        <v>0</v>
      </c>
      <c r="BY551" s="446">
        <f>IF($E551=0,0,IF(MIN(BY$38,$E551)&lt;MAX($P$34*($B551+$I$38-1),IF(AND($L$37=0,$P$34=0),"",$L$37-1)),0,YEARFRAC(MAX($P$34*($B551+$I$38-1),IF(AND($L$37=0,$P$34=0),"",$L$37-1)),MIN(BY$38,$E551),$P$20))-SUM($BF551:BX551))</f>
        <v>0</v>
      </c>
      <c r="BZ551" s="446">
        <f>IF($E551=0,0,IF(MIN(BZ$38,$E551)&lt;MAX($P$34*($B551+$I$38-1),IF(AND($L$37=0,$P$34=0),"",$L$37-1)),0,YEARFRAC(MAX($P$34*($B551+$I$38-1),IF(AND($L$37=0,$P$34=0),"",$L$37-1)),MIN(BZ$38,$E551),$P$20))-SUM($BF551:BY551))</f>
        <v>0</v>
      </c>
      <c r="CA551" s="446">
        <f>IF($E551=0,0,IF(MIN(CA$38,$E551)&lt;MAX($P$34*($B551+$I$38-1),IF(AND($L$37=0,$P$34=0),"",$L$37-1)),0,YEARFRAC(MAX($P$34*($B551+$I$38-1),IF(AND($L$37=0,$P$34=0),"",$L$37-1)),MIN(CA$38,$E551),$P$20))-SUM($BF551:BZ551))</f>
        <v>0</v>
      </c>
      <c r="CB551" s="446">
        <f>IF($E551=0,0,IF(MIN(CB$38,$E551)&lt;MAX($P$34*($B551+$I$38-1),IF(AND($L$37=0,$P$34=0),"",$L$37-1)),0,YEARFRAC(MAX($P$34*($B551+$I$38-1),IF(AND($L$37=0,$P$34=0),"",$L$37-1)),MIN(CB$38,$E551),$P$20))-SUM($BF551:CA551))</f>
        <v>0</v>
      </c>
      <c r="CC551" s="446">
        <f>IF($E551=0,0,IF(MIN(CC$38,$E551)&lt;MAX($P$34*($B551+$I$38-1),IF(AND($L$37=0,$P$34=0),"",$L$37-1)),0,YEARFRAC(MAX($P$34*($B551+$I$38-1),IF(AND($L$37=0,$P$34=0),"",$L$37-1)),MIN(CC$38,$E551),$P$20))-SUM($BF551:CB551))</f>
        <v>0</v>
      </c>
      <c r="CD551" s="446">
        <f>IF($E551=0,0,IF(MIN(CD$38,$E551)&lt;MAX($P$34*($B551+$I$38-1),IF(AND($L$37=0,$P$34=0),"",$L$37-1)),0,YEARFRAC(MAX($P$34*($B551+$I$38-1),IF(AND($L$37=0,$P$34=0),"",$L$37-1)),MIN(CD$38,$E551),$P$20))-SUM($BF551:CC551))</f>
        <v>0</v>
      </c>
      <c r="CE551" s="446">
        <f>IF($E551=0,0,IF(MIN(CE$38,$E551)&lt;MAX($P$34*($B551+$I$38-1),IF(AND($L$37=0,$P$34=0),"",$L$37-1)),0,YEARFRAC(MAX($P$34*($B551+$I$38-1),IF(AND($L$37=0,$P$34=0),"",$L$37-1)),MIN(CE$38,$E551),$P$20))-SUM($BF551:CD551))</f>
        <v>0</v>
      </c>
      <c r="CF551" s="446">
        <f>IF($E551=0,0,IF(MIN(CF$38,$E551)&lt;MAX($P$34*($B551+$I$38-1),IF(AND($L$37=0,$P$34=0),"",$L$37-1)),0,YEARFRAC(MAX($P$34*($B551+$I$38-1),IF(AND($L$37=0,$P$34=0),"",$L$37-1)),MIN(CF$38,$E551),$P$20))-SUM($BF551:CE551))</f>
        <v>0</v>
      </c>
      <c r="CG551" s="446">
        <f>IF($E551=0,0,IF(MIN(CG$38,$E551)&lt;MAX($P$34*($B551+$I$38-1),IF(AND($L$37=0,$P$34=0),"",$L$37-1)),0,YEARFRAC(MAX($P$34*($B551+$I$38-1),IF(AND($L$37=0,$P$34=0),"",$L$37-1)),MIN(CG$38,$E551),$P$20))-SUM($BF551:CF551))</f>
        <v>0</v>
      </c>
      <c r="CH551" s="446">
        <f>IF($E551=0,0,IF(MIN(CH$38,$E551)&lt;MAX($P$34*($B551+$I$38-1),IF(AND($L$37=0,$P$34=0),"",$L$37-1)),0,YEARFRAC(MAX($P$34*($B551+$I$38-1),IF(AND($L$37=0,$P$34=0),"",$L$37-1)),MIN(CH$38,$E551),$P$20))-SUM($BF551:CG551))</f>
        <v>0</v>
      </c>
      <c r="CI551" s="446">
        <f>IF($E551=0,0,IF(MIN(CI$38,$E551)&lt;MAX($P$34*($B551+$I$38-1),IF(AND($L$37=0,$P$34=0),"",$L$37-1)),0,YEARFRAC(MAX($P$34*($B551+$I$38-1),IF(AND($L$37=0,$P$34=0),"",$L$37-1)),MIN(CI$38,$E551),$P$20))-SUM($BF551:CH551))</f>
        <v>0</v>
      </c>
      <c r="CJ551" s="446">
        <f>IF($E551=0,0,IF(MIN(CJ$38,$E551)&lt;MAX($P$34*($B551+$I$38-1),IF(AND($L$37=0,$P$34=0),"",$L$37-1)),0,YEARFRAC(MAX($P$34*($B551+$I$38-1),IF(AND($L$37=0,$P$34=0),"",$L$37-1)),MIN(CJ$38,$E551),$P$20))-SUM($BF551:CI551))</f>
        <v>0</v>
      </c>
      <c r="CK551" s="446">
        <f>IF($E551=0,0,IF(MIN(CK$38,$E551)&lt;MAX($P$34*($B551+$I$38-1),IF(AND($L$37=0,$P$34=0),"",$L$37-1)),0,YEARFRAC(MAX($P$34*($B551+$I$38-1),IF(AND($L$37=0,$P$34=0),"",$L$37-1)),MIN(CK$38,$E551),$P$20))-SUM($BF551:CJ551))</f>
        <v>0</v>
      </c>
      <c r="CL551" s="446">
        <f>IF($E551=0,0,IF(MIN(CL$38,$E551)&lt;MAX($P$34*($B551+$I$38-1),IF(AND($L$37=0,$P$34=0),"",$L$37-1)),0,YEARFRAC(MAX($P$34*($B551+$I$38-1),IF(AND($L$37=0,$P$34=0),"",$L$37-1)),MIN(CL$38,$E551),$P$20))-SUM($BF551:CK551))</f>
        <v>0</v>
      </c>
      <c r="CM551" s="446">
        <f>IF($E551=0,0,IF(MIN(CM$38,$E551)&lt;MAX($P$34*($B551+$I$38-1),IF(AND($L$37=0,$P$34=0),"",$L$37-1)),0,YEARFRAC(MAX($P$34*($B551+$I$38-1),IF(AND($L$37=0,$P$34=0),"",$L$37-1)),MIN(CM$38,$E551),$P$20))-SUM($BF551:CL551))</f>
        <v>0</v>
      </c>
      <c r="CN551" s="446">
        <f>IF($E551=0,0,IF(MIN(CN$38,$E551)&lt;MAX($P$34*($B551+$I$38-1),IF(AND($L$37=0,$P$34=0),"",$L$37-1)),0,YEARFRAC(MAX($P$34*($B551+$I$38-1),IF(AND($L$37=0,$P$34=0),"",$L$37-1)),MIN(CN$38,$E551),$P$20))-SUM($BF551:CM551))</f>
        <v>0</v>
      </c>
      <c r="CO551" s="446">
        <f>IF($E551=0,0,IF(MIN(CO$38,$E551)&lt;MAX($P$34*($B551+$I$38-1),IF(AND($L$37=0,$P$34=0),"",$L$37-1)),0,YEARFRAC(MAX($P$34*($B551+$I$38-1),IF(AND($L$37=0,$P$34=0),"",$L$37-1)),MIN(CO$38,$E551),$P$20))-SUM($BF551:CN551))</f>
        <v>0</v>
      </c>
      <c r="CP551" s="446">
        <f>IF($E551=0,0,IF(MIN(CP$38,$E551)&lt;MAX($P$34*($B551+$I$38-1),IF(AND($L$37=0,$P$34=0),"",$L$37-1)),0,YEARFRAC(MAX($P$34*($B551+$I$38-1),IF(AND($L$37=0,$P$34=0),"",$L$37-1)),MIN(CP$38,$E551),$P$20))-SUM($BF551:CO551))</f>
        <v>0</v>
      </c>
      <c r="CQ551" s="446">
        <f>IF($E551=0,0,IF(MIN(CQ$38,$E551)&lt;MAX($P$34*($B551+$I$38-1),IF(AND($L$37=0,$P$34=0),"",$L$37-1)),0,YEARFRAC(MAX($P$34*($B551+$I$38-1),IF(AND($L$37=0,$P$34=0),"",$L$37-1)),MIN(CQ$38,$E551),$P$20))-SUM($BF551:CP551))</f>
        <v>0</v>
      </c>
    </row>
    <row r="552" spans="1:95" s="446" customFormat="1" ht="11.25" hidden="1" customHeight="1" x14ac:dyDescent="0.2">
      <c r="A552" s="152"/>
      <c r="B552" s="153" t="str">
        <f t="shared" si="92"/>
        <v/>
      </c>
      <c r="C552" s="29" t="str">
        <f>IF(B552="","",IF($L$35="SELIC - TRIBUTOS",VLOOKUP(DATE(YEAR($D$19),MONTH($D$19)-1,1),ÍNDICES!$A:$DE,HLOOKUP($BL$25,ÍNDICES!$B$3:$T$4,2)+11)-VLOOKUP(B552,ÍNDICES!$A:$DE,HLOOKUP($BL$25,ÍNDICES!$B$3:$T$4,2)+11)+1%,IF(C$38=$W$26,$J$35,IF(ISERROR(IF(B552&gt;$D$19,1,VLOOKUP(DATE(YEAR(B552),MONTH(B552)+IF($C$35=$S$23,1,0),1),ÍNDICES!$A:$DE,$Z$35+1))),"",IF(B552&gt;$D$19,1,VLOOKUP(DATE(YEAR(B552),MONTH(B552)+IF($C$35=$S$23,1,0),1),ÍNDICES!$A:$DE,$Z$35+1))))))</f>
        <v/>
      </c>
      <c r="D552" s="154" t="str">
        <f>IF(ISERROR(IF(OR($D$38=$Y$27,$B552=""),"",VLOOKUP(B552,ÍNDICES!A:DE,AF$35+1))),"",IF(OR($D$38=$Y$27,$B552=""),"",VLOOKUP(B552,ÍNDICES!A:DE,AF$35+1)))</f>
        <v/>
      </c>
      <c r="E552" s="153"/>
      <c r="F552" s="29" t="str">
        <f>IF(E552="","",IF($L$35="SELIC - TRIBUTOS",VLOOKUP(DATE(YEAR($D$19),MONTH($D$19)-1,1),ÍNDICES!$A:$DE,HLOOKUP($BL$25,ÍNDICES!$B$3:$T$4,2)+11)-VLOOKUP(E552,ÍNDICES!$A:$DE,HLOOKUP($BL$25,ÍNDICES!$B$3:$T$4,2)+11)+1%,IF(F$38=$W$26,$J$35,IF(ISERROR(IF(E552&gt;$D$19,1,VLOOKUP(DATE(YEAR(E552),MONTH(E552)+IF($C$35=$S$23,1,0),1),ÍNDICES!$A:$DE,$Z$35+1))),"",IF(E552&gt;$D$19,1,VLOOKUP(DATE(YEAR(E552),MONTH(E552)+IF($C$35=$S$23,1,0),1),ÍNDICES!$A:$DE,$Z$35+1))))))</f>
        <v/>
      </c>
      <c r="G552" s="155"/>
      <c r="H552" s="156" t="str">
        <f t="shared" si="88"/>
        <v/>
      </c>
      <c r="I552" s="29" t="str">
        <f t="shared" ref="I552:I609" si="93">IF(OR($L$35=$BL$25,B552=""),"",SUM(BF552:CF552))</f>
        <v/>
      </c>
      <c r="J552" s="5">
        <f t="shared" ref="J552:J609" si="94">IF(OR($L$35="SELIC - TRIBUTOS",B552=""),0,IF(D552="",0,D552)/C552*J$35*SUMPRODUCT($BF$37:$DD$37,$BF552:$DD552))</f>
        <v>0</v>
      </c>
      <c r="K552" s="20">
        <f t="shared" ref="K552:K609" ca="1" si="95">IF($L$35="SELIC - TRIBUTOS",$K$38*(-IFERROR(D552*(1+C552),0)-IF($R$17="Distrato",IFERROR(G552*(1+F552),0),0)),$K$38*(IFERROR(D552/C552*$J$35,0)-IF($R$17="Distrato",IFERROR(G552/F552*$J$35,0),0)))</f>
        <v>0</v>
      </c>
      <c r="L552" s="5">
        <f t="shared" ref="L552:L609" ca="1" si="96">IF(L$35="SELIC - TRIBUTOS",0,IFERROR(K552*SUMPRODUCT($P$37:$BA$37,$P552:$BA552),0))</f>
        <v>0</v>
      </c>
      <c r="M552" s="64">
        <f t="shared" si="89"/>
        <v>0</v>
      </c>
      <c r="N552" s="61">
        <f t="shared" ca="1" si="90"/>
        <v>0</v>
      </c>
      <c r="O552" s="5">
        <f t="shared" ca="1" si="91"/>
        <v>0</v>
      </c>
      <c r="P552" s="446" t="e">
        <f t="shared" ref="P552:P609" si="97">IF(OR($B552="",MIN(P$38,$D$19)&lt;MAX($P$34*($B552+IF($R$17="Distrato",$I$38-1,0)),IF(AND($L$37=0,$P$34=0),"",$L$37-1),IF($R$17="Distrato",$E552,0))),0,YEARFRAC(MAX($P$34*($B552+IF($R$17="Distrato",$I$38-1,0)),IF(AND($L$37=0,$P$34=0),"",$L$37-1),IF($R$17="Distrato",$E552,0)),MIN(P$38,$D$19),$P$20))</f>
        <v>#VALUE!</v>
      </c>
      <c r="Q552" s="446" t="e">
        <f>IF(OR($B552="",MIN(Q$38,$D$19)&lt;MAX($P$34*($B552+IF($R$17="Distrato",$I$38-1,0)),IF(AND($L$37=0,$P$34=0),"",$L$37-1),IF($R$17="Distrato",$E552,0))),0,YEARFRAC(MAX($P$34*($B552+IF($R$17="Distrato",$I$38-1,0)),IF(AND($L$37=0,$P$34=0),"",$L$37-1),IF($R$17="Distrato",$E552,0)),MIN(Q$38,$D$19),$P$20))-SUM($P552:P552)</f>
        <v>#VALUE!</v>
      </c>
      <c r="R552" s="446" t="e">
        <f>IF(OR($B552="",MIN(R$38,$D$19)&lt;MAX($P$34*($B552+IF($R$17="Distrato",$I$38-1,0)),IF(AND($L$37=0,$P$34=0),"",$L$37-1),IF($R$17="Distrato",$E552,0))),0,YEARFRAC(MAX($P$34*($B552+IF($R$17="Distrato",$I$38-1,0)),IF(AND($L$37=0,$P$34=0),"",$L$37-1),IF($R$17="Distrato",$E552,0)),MIN(R$38,$D$19),$P$20))-SUM($P552:Q552)</f>
        <v>#VALUE!</v>
      </c>
      <c r="S552" s="446" t="e">
        <f>IF(OR($B552="",MIN(S$38,$D$19)&lt;MAX($P$34*($B552+IF($R$17="Distrato",$I$38-1,0)),IF(AND($L$37=0,$P$34=0),"",$L$37-1),IF($R$17="Distrato",$E552,0))),0,YEARFRAC(MAX($P$34*($B552+IF($R$17="Distrato",$I$38-1,0)),IF(AND($L$37=0,$P$34=0),"",$L$37-1),IF($R$17="Distrato",$E552,0)),MIN(S$38,$D$19),$P$20))-SUM($P552:R552)</f>
        <v>#VALUE!</v>
      </c>
      <c r="T552" s="446" t="e">
        <f>IF(OR($B552="",MIN(T$38,$D$19)&lt;MAX($P$34*($B552+IF($R$17="Distrato",$I$38-1,0)),IF(AND($L$37=0,$P$34=0),"",$L$37-1),IF($R$17="Distrato",$E552,0))),0,YEARFRAC(MAX($P$34*($B552+IF($R$17="Distrato",$I$38-1,0)),IF(AND($L$37=0,$P$34=0),"",$L$37-1),IF($R$17="Distrato",$E552,0)),MIN(T$38,$D$19),$P$20))-SUM($P552:S552)</f>
        <v>#VALUE!</v>
      </c>
      <c r="U552" s="446" t="e">
        <f>IF(OR($B552="",MIN(U$38,$D$19)&lt;MAX($P$34*($B552+IF($R$17="Distrato",$I$38-1,0)),IF(AND($L$37=0,$P$34=0),"",$L$37-1),IF($R$17="Distrato",$E552,0))),0,YEARFRAC(MAX($P$34*($B552+IF($R$17="Distrato",$I$38-1,0)),IF(AND($L$37=0,$P$34=0),"",$L$37-1),IF($R$17="Distrato",$E552,0)),MIN(U$38,$D$19),$P$20))-SUM($P552:T552)</f>
        <v>#VALUE!</v>
      </c>
      <c r="V552" s="446" t="e">
        <f>IF(OR($B552="",MIN(V$38,$D$19)&lt;MAX($P$34*($B552+IF($R$17="Distrato",$I$38-1,0)),IF(AND($L$37=0,$P$34=0),"",$L$37-1),IF($R$17="Distrato",$E552,0))),0,YEARFRAC(MAX($P$34*($B552+IF($R$17="Distrato",$I$38-1,0)),IF(AND($L$37=0,$P$34=0),"",$L$37-1),IF($R$17="Distrato",$E552,0)),MIN(V$38,$D$19),$P$20))-SUM($P552:U552)</f>
        <v>#VALUE!</v>
      </c>
      <c r="W552" s="446" t="e">
        <f>IF(OR($B552="",MIN(W$38,$D$19)&lt;MAX($P$34*($B552+IF($R$17="Distrato",$I$38-1,0)),IF(AND($L$37=0,$P$34=0),"",$L$37-1),IF($R$17="Distrato",$E552,0))),0,YEARFRAC(MAX($P$34*($B552+IF($R$17="Distrato",$I$38-1,0)),IF(AND($L$37=0,$P$34=0),"",$L$37-1),IF($R$17="Distrato",$E552,0)),MIN(W$38,$D$19),$P$20))-SUM($P552:V552)</f>
        <v>#VALUE!</v>
      </c>
      <c r="X552" s="446" t="e">
        <f>IF(OR($B552="",MIN(X$38,$D$19)&lt;MAX($P$34*($B552+IF($R$17="Distrato",$I$38-1,0)),IF(AND($L$37=0,$P$34=0),"",$L$37-1),IF($R$17="Distrato",$E552,0))),0,YEARFRAC(MAX($P$34*($B552+IF($R$17="Distrato",$I$38-1,0)),IF(AND($L$37=0,$P$34=0),"",$L$37-1),IF($R$17="Distrato",$E552,0)),MIN(X$38,$D$19),$P$20))-SUM($P552:W552)</f>
        <v>#VALUE!</v>
      </c>
      <c r="Y552" s="446" t="e">
        <f>IF(OR($B552="",MIN(Y$38,$D$19)&lt;MAX($P$34*($B552+IF($R$17="Distrato",$I$38-1,0)),IF(AND($L$37=0,$P$34=0),"",$L$37-1),IF($R$17="Distrato",$E552,0))),0,YEARFRAC(MAX($P$34*($B552+IF($R$17="Distrato",$I$38-1,0)),IF(AND($L$37=0,$P$34=0),"",$L$37-1),IF($R$17="Distrato",$E552,0)),MIN(Y$38,$D$19),$P$20))-SUM($P552:X552)</f>
        <v>#VALUE!</v>
      </c>
      <c r="Z552" s="446" t="e">
        <f>IF(OR($B552="",MIN(Z$38,$D$19)&lt;MAX($P$34*($B552+IF($R$17="Distrato",$I$38-1,0)),IF(AND($L$37=0,$P$34=0),"",$L$37-1),IF($R$17="Distrato",$E552,0))),0,YEARFRAC(MAX($P$34*($B552+IF($R$17="Distrato",$I$38-1,0)),IF(AND($L$37=0,$P$34=0),"",$L$37-1),IF($R$17="Distrato",$E552,0)),MIN(Z$38,$D$19),$P$20))-SUM($P552:Y552)</f>
        <v>#VALUE!</v>
      </c>
      <c r="AA552" s="446" t="e">
        <f>IF(OR($B552="",MIN(AA$38,$D$19)&lt;MAX($P$34*($B552+IF($R$17="Distrato",$I$38-1,0)),IF(AND($L$37=0,$P$34=0),"",$L$37-1),IF($R$17="Distrato",$E552,0))),0,YEARFRAC(MAX($P$34*($B552+IF($R$17="Distrato",$I$38-1,0)),IF(AND($L$37=0,$P$34=0),"",$L$37-1),IF($R$17="Distrato",$E552,0)),MIN(AA$38,$D$19),$P$20))-SUM($P552:Z552)</f>
        <v>#VALUE!</v>
      </c>
      <c r="AB552" s="446" t="e">
        <f>IF(OR($B552="",MIN(AB$38,$D$19)&lt;MAX($P$34*($B552+IF($R$17="Distrato",$I$38-1,0)),IF(AND($L$37=0,$P$34=0),"",$L$37-1),IF($R$17="Distrato",$E552,0))),0,YEARFRAC(MAX($P$34*($B552+IF($R$17="Distrato",$I$38-1,0)),IF(AND($L$37=0,$P$34=0),"",$L$37-1),IF($R$17="Distrato",$E552,0)),MIN(AB$38,$D$19),$P$20))-SUM($P552:AA552)</f>
        <v>#VALUE!</v>
      </c>
      <c r="AC552" s="446" t="e">
        <f>IF(OR($B552="",MIN(AC$38,$D$19)&lt;MAX($P$34*($B552+IF($R$17="Distrato",$I$38-1,0)),IF(AND($L$37=0,$P$34=0),"",$L$37-1),IF($R$17="Distrato",$E552,0))),0,YEARFRAC(MAX($P$34*($B552+IF($R$17="Distrato",$I$38-1,0)),IF(AND($L$37=0,$P$34=0),"",$L$37-1),IF($R$17="Distrato",$E552,0)),MIN(AC$38,$D$19),$P$20))-SUM($P552:AB552)</f>
        <v>#VALUE!</v>
      </c>
      <c r="AD552" s="446" t="e">
        <f>IF(OR($B552="",MIN(AD$38,$D$19)&lt;MAX($P$34*($B552+IF($R$17="Distrato",$I$38-1,0)),IF(AND($L$37=0,$P$34=0),"",$L$37-1),IF($R$17="Distrato",$E552,0))),0,YEARFRAC(MAX($P$34*($B552+IF($R$17="Distrato",$I$38-1,0)),IF(AND($L$37=0,$P$34=0),"",$L$37-1),IF($R$17="Distrato",$E552,0)),MIN(AD$38,$D$19),$P$20))-SUM($P552:AC552)</f>
        <v>#VALUE!</v>
      </c>
      <c r="AE552" s="446" t="e">
        <f>IF(OR($B552="",MIN(AE$38,$D$19)&lt;MAX($P$34*($B552+IF($R$17="Distrato",$I$38-1,0)),IF(AND($L$37=0,$P$34=0),"",$L$37-1),IF($R$17="Distrato",$E552,0))),0,YEARFRAC(MAX($P$34*($B552+IF($R$17="Distrato",$I$38-1,0)),IF(AND($L$37=0,$P$34=0),"",$L$37-1),IF($R$17="Distrato",$E552,0)),MIN(AE$38,$D$19),$P$20))-SUM($P552:AD552)</f>
        <v>#VALUE!</v>
      </c>
      <c r="AF552" s="446" t="e">
        <f>IF(OR($B552="",MIN(AF$38,$D$19)&lt;MAX($P$34*($B552+IF($R$17="Distrato",$I$38-1,0)),IF(AND($L$37=0,$P$34=0),"",$L$37-1),IF($R$17="Distrato",$E552,0))),0,YEARFRAC(MAX($P$34*($B552+IF($R$17="Distrato",$I$38-1,0)),IF(AND($L$37=0,$P$34=0),"",$L$37-1),IF($R$17="Distrato",$E552,0)),MIN(AF$38,$D$19),$P$20))-SUM($P552:AE552)</f>
        <v>#VALUE!</v>
      </c>
      <c r="AG552" s="446" t="e">
        <f>IF(OR($B552="",MIN(AG$38,$D$19)&lt;MAX($P$34*($B552+IF($R$17="Distrato",$I$38-1,0)),IF(AND($L$37=0,$P$34=0),"",$L$37-1),IF($R$17="Distrato",$E552,0))),0,YEARFRAC(MAX($P$34*($B552+IF($R$17="Distrato",$I$38-1,0)),IF(AND($L$37=0,$P$34=0),"",$L$37-1),IF($R$17="Distrato",$E552,0)),MIN(AG$38,$D$19),$P$20))-SUM($P552:AF552)</f>
        <v>#VALUE!</v>
      </c>
      <c r="AH552" s="446" t="e">
        <f>IF(OR($B552="",MIN(AH$38,$D$19)&lt;MAX($P$34*($B552+IF($R$17="Distrato",$I$38-1,0)),IF(AND($L$37=0,$P$34=0),"",$L$37-1),IF($R$17="Distrato",$E552,0))),0,YEARFRAC(MAX($P$34*($B552+IF($R$17="Distrato",$I$38-1,0)),IF(AND($L$37=0,$P$34=0),"",$L$37-1),IF($R$17="Distrato",$E552,0)),MIN(AH$38,$D$19),$P$20))-SUM($P552:AG552)</f>
        <v>#VALUE!</v>
      </c>
      <c r="AI552" s="446" t="e">
        <f>IF(OR($B552="",MIN(AI$38,$D$19)&lt;MAX($P$34*($B552+IF($R$17="Distrato",$I$38-1,0)),IF(AND($L$37=0,$P$34=0),"",$L$37-1),IF($R$17="Distrato",$E552,0))),0,YEARFRAC(MAX($P$34*($B552+IF($R$17="Distrato",$I$38-1,0)),IF(AND($L$37=0,$P$34=0),"",$L$37-1),IF($R$17="Distrato",$E552,0)),MIN(AI$38,$D$19),$P$20))-SUM($P552:AH552)</f>
        <v>#VALUE!</v>
      </c>
      <c r="AJ552" s="446" t="e">
        <f>IF(OR($B552="",MIN(AJ$38,$D$19)&lt;MAX($P$34*($B552+IF($R$17="Distrato",$I$38-1,0)),IF(AND($L$37=0,$P$34=0),"",$L$37-1),IF($R$17="Distrato",$E552,0))),0,YEARFRAC(MAX($P$34*($B552+IF($R$17="Distrato",$I$38-1,0)),IF(AND($L$37=0,$P$34=0),"",$L$37-1),IF($R$17="Distrato",$E552,0)),MIN(AJ$38,$D$19),$P$20))-SUM($P552:AI552)</f>
        <v>#VALUE!</v>
      </c>
      <c r="AK552" s="446" t="e">
        <f>IF(OR($B552="",MIN(AK$38,$D$19)&lt;MAX($P$34*($B552+IF($R$17="Distrato",$I$38-1,0)),IF(AND($L$37=0,$P$34=0),"",$L$37-1),IF($R$17="Distrato",$E552,0))),0,YEARFRAC(MAX($P$34*($B552+IF($R$17="Distrato",$I$38-1,0)),IF(AND($L$37=0,$P$34=0),"",$L$37-1),IF($R$17="Distrato",$E552,0)),MIN(AK$38,$D$19),$P$20))-SUM($P552:AJ552)</f>
        <v>#VALUE!</v>
      </c>
      <c r="AL552" s="446" t="e">
        <f>IF(OR($B552="",MIN(AL$38,$D$19)&lt;MAX($P$34*($B552+IF($R$17="Distrato",$I$38-1,0)),IF(AND($L$37=0,$P$34=0),"",$L$37-1),IF($R$17="Distrato",$E552,0))),0,YEARFRAC(MAX($P$34*($B552+IF($R$17="Distrato",$I$38-1,0)),IF(AND($L$37=0,$P$34=0),"",$L$37-1),IF($R$17="Distrato",$E552,0)),MIN(AL$38,$D$19),$P$20))-SUM($P552:AK552)</f>
        <v>#VALUE!</v>
      </c>
      <c r="AM552" s="446" t="e">
        <f>IF(OR($B552="",MIN(AM$38,$D$19)&lt;MAX($P$34*($B552+IF($R$17="Distrato",$I$38-1,0)),IF(AND($L$37=0,$P$34=0),"",$L$37-1),IF($R$17="Distrato",$E552,0))),0,YEARFRAC(MAX($P$34*($B552+IF($R$17="Distrato",$I$38-1,0)),IF(AND($L$37=0,$P$34=0),"",$L$37-1),IF($R$17="Distrato",$E552,0)),MIN(AM$38,$D$19),$P$20))-SUM($P552:AL552)</f>
        <v>#VALUE!</v>
      </c>
      <c r="AN552" s="446" t="e">
        <f>IF(OR($B552="",MIN(AN$38,$D$19)&lt;MAX($P$34*($B552+IF($R$17="Distrato",$I$38-1,0)),IF(AND($L$37=0,$P$34=0),"",$L$37-1),IF($R$17="Distrato",$E552,0))),0,YEARFRAC(MAX($P$34*($B552+IF($R$17="Distrato",$I$38-1,0)),IF(AND($L$37=0,$P$34=0),"",$L$37-1),IF($R$17="Distrato",$E552,0)),MIN(AN$38,$D$19),$P$20))-SUM($P552:AM552)</f>
        <v>#VALUE!</v>
      </c>
      <c r="AO552" s="446" t="e">
        <f>IF(OR($B552="",MIN(AO$38,$D$19)&lt;MAX($P$34*($B552+IF($R$17="Distrato",$I$38-1,0)),IF(AND($L$37=0,$P$34=0),"",$L$37-1),IF($R$17="Distrato",$E552,0))),0,YEARFRAC(MAX($P$34*($B552+IF($R$17="Distrato",$I$38-1,0)),IF(AND($L$37=0,$P$34=0),"",$L$37-1),IF($R$17="Distrato",$E552,0)),MIN(AO$38,$D$19),$P$20))-SUM($P552:AN552)</f>
        <v>#VALUE!</v>
      </c>
      <c r="AP552" s="446" t="e">
        <f>IF(OR($B552="",MIN(AP$38,$D$19)&lt;MAX($P$34*($B552+IF($R$17="Distrato",$I$38-1,0)),IF(AND($L$37=0,$P$34=0),"",$L$37-1),IF($R$17="Distrato",$E552,0))),0,YEARFRAC(MAX($P$34*($B552+IF($R$17="Distrato",$I$38-1,0)),IF(AND($L$37=0,$P$34=0),"",$L$37-1),IF($R$17="Distrato",$E552,0)),MIN(AP$38,$D$19),$P$20))-SUM($P552:AO552)</f>
        <v>#VALUE!</v>
      </c>
      <c r="AQ552" s="446" t="e">
        <f>IF(OR($B552="",MIN(AQ$38,$D$19)&lt;MAX($P$34*($B552+IF($R$17="Distrato",$I$38-1,0)),IF(AND($L$37=0,$P$34=0),"",$L$37-1),IF($R$17="Distrato",$E552,0))),0,YEARFRAC(MAX($P$34*($B552+IF($R$17="Distrato",$I$38-1,0)),IF(AND($L$37=0,$P$34=0),"",$L$37-1),IF($R$17="Distrato",$E552,0)),MIN(AQ$38,$D$19),$P$20))-SUM($P552:AP552)</f>
        <v>#VALUE!</v>
      </c>
      <c r="AR552" s="446" t="e">
        <f>IF(OR($B552="",MIN(AR$38,$D$19)&lt;MAX($P$34*($B552+IF($R$17="Distrato",$I$38-1,0)),IF(AND($L$37=0,$P$34=0),"",$L$37-1),IF($R$17="Distrato",$E552,0))),0,YEARFRAC(MAX($P$34*($B552+IF($R$17="Distrato",$I$38-1,0)),IF(AND($L$37=0,$P$34=0),"",$L$37-1),IF($R$17="Distrato",$E552,0)),MIN(AR$38,$D$19),$P$20))-SUM($P552:AQ552)</f>
        <v>#VALUE!</v>
      </c>
      <c r="AS552" s="446" t="e">
        <f>IF(OR($B552="",MIN(AS$38,$D$19)&lt;MAX($P$34*($B552+IF($R$17="Distrato",$I$38-1,0)),IF(AND($L$37=0,$P$34=0),"",$L$37-1),IF($R$17="Distrato",$E552,0))),0,YEARFRAC(MAX($P$34*($B552+IF($R$17="Distrato",$I$38-1,0)),IF(AND($L$37=0,$P$34=0),"",$L$37-1),IF($R$17="Distrato",$E552,0)),MIN(AS$38,$D$19),$P$20))-SUM($P552:AR552)</f>
        <v>#VALUE!</v>
      </c>
      <c r="AT552" s="446" t="e">
        <f>IF(OR($B552="",MIN(AT$38,$D$19)&lt;MAX($P$34*($B552+IF($R$17="Distrato",$I$38-1,0)),IF(AND($L$37=0,$P$34=0),"",$L$37-1),IF($R$17="Distrato",$E552,0))),0,YEARFRAC(MAX($P$34*($B552+IF($R$17="Distrato",$I$38-1,0)),IF(AND($L$37=0,$P$34=0),"",$L$37-1),IF($R$17="Distrato",$E552,0)),MIN(AT$38,$D$19),$P$20))-SUM($P552:AS552)</f>
        <v>#VALUE!</v>
      </c>
      <c r="AU552" s="446" t="e">
        <f>IF(OR($B552="",MIN(AU$38,$D$19)&lt;MAX($P$34*($B552+IF($R$17="Distrato",$I$38-1,0)),IF(AND($L$37=0,$P$34=0),"",$L$37-1),IF($R$17="Distrato",$E552,0))),0,YEARFRAC(MAX($P$34*($B552+IF($R$17="Distrato",$I$38-1,0)),IF(AND($L$37=0,$P$34=0),"",$L$37-1),IF($R$17="Distrato",$E552,0)),MIN(AU$38,$D$19),$P$20))-SUM($P552:AT552)</f>
        <v>#VALUE!</v>
      </c>
      <c r="AV552" s="446" t="e">
        <f>IF(OR($B552="",MIN(AV$38,$D$19)&lt;MAX($P$34*($B552+IF($R$17="Distrato",$I$38-1,0)),IF(AND($L$37=0,$P$34=0),"",$L$37-1),IF($R$17="Distrato",$E552,0))),0,YEARFRAC(MAX($P$34*($B552+IF($R$17="Distrato",$I$38-1,0)),IF(AND($L$37=0,$P$34=0),"",$L$37-1),IF($R$17="Distrato",$E552,0)),MIN(AV$38,$D$19),$P$20))-SUM($P552:AU552)</f>
        <v>#VALUE!</v>
      </c>
      <c r="AW552" s="446" t="e">
        <f>IF(OR($B552="",MIN(AW$38,$D$19)&lt;MAX($P$34*($B552+IF($R$17="Distrato",$I$38-1,0)),IF(AND($L$37=0,$P$34=0),"",$L$37-1),IF($R$17="Distrato",$E552,0))),0,YEARFRAC(MAX($P$34*($B552+IF($R$17="Distrato",$I$38-1,0)),IF(AND($L$37=0,$P$34=0),"",$L$37-1),IF($R$17="Distrato",$E552,0)),MIN(AW$38,$D$19),$P$20))-SUM($P552:AV552)</f>
        <v>#VALUE!</v>
      </c>
      <c r="AX552" s="446" t="e">
        <f>IF(OR($B552="",MIN(AX$38,$D$19)&lt;MAX($P$34*($B552+IF($R$17="Distrato",$I$38-1,0)),IF(AND($L$37=0,$P$34=0),"",$L$37-1),IF($R$17="Distrato",$E552,0))),0,YEARFRAC(MAX($P$34*($B552+IF($R$17="Distrato",$I$38-1,0)),IF(AND($L$37=0,$P$34=0),"",$L$37-1),IF($R$17="Distrato",$E552,0)),MIN(AX$38,$D$19),$P$20))-SUM($P552:AW552)</f>
        <v>#VALUE!</v>
      </c>
      <c r="AY552" s="446" t="e">
        <f>IF(OR($B552="",MIN(AY$38,$D$19)&lt;MAX($P$34*($B552+IF($R$17="Distrato",$I$38-1,0)),IF(AND($L$37=0,$P$34=0),"",$L$37-1),IF($R$17="Distrato",$E552,0))),0,YEARFRAC(MAX($P$34*($B552+IF($R$17="Distrato",$I$38-1,0)),IF(AND($L$37=0,$P$34=0),"",$L$37-1),IF($R$17="Distrato",$E552,0)),MIN(AY$38,$D$19),$P$20))-SUM($P552:AX552)</f>
        <v>#VALUE!</v>
      </c>
      <c r="AZ552" s="446" t="e">
        <f>IF(OR($B552="",MIN(AZ$38,$D$19)&lt;MAX($P$34*($B552+IF($R$17="Distrato",$I$38-1,0)),IF(AND($L$37=0,$P$34=0),"",$L$37-1),IF($R$17="Distrato",$E552,0))),0,YEARFRAC(MAX($P$34*($B552+IF($R$17="Distrato",$I$38-1,0)),IF(AND($L$37=0,$P$34=0),"",$L$37-1),IF($R$17="Distrato",$E552,0)),MIN(AZ$38,$D$19),$P$20))-SUM($P552:AY552)</f>
        <v>#VALUE!</v>
      </c>
      <c r="BA552" s="446" t="e">
        <f>IF(OR($B552="",MIN(BA$38,$D$19)&lt;MAX($P$34*($B552+IF($R$17="Distrato",$I$38-1,0)),IF(AND($L$37=0,$P$34=0),"",$L$37-1),IF($R$17="Distrato",$E552,0))),0,YEARFRAC(MAX($P$34*($B552+IF($R$17="Distrato",$I$38-1,0)),IF(AND($L$37=0,$P$34=0),"",$L$37-1),IF($R$17="Distrato",$E552,0)),MIN(BA$38,$D$19),$P$20))-SUM($P552:AZ552)</f>
        <v>#VALUE!</v>
      </c>
      <c r="BB552" s="447"/>
      <c r="BF552" s="446">
        <f t="shared" ref="BF552:BF609" si="98">IF($E552=0,0,IF(MIN(BF$38,$E552)&lt;MAX($P$34*($B552+$I$38-1),IF(AND($L$37=0,$P$34=0),"",$L$37-1)),0,YEARFRAC(MAX($P$34*($B552+$I$38-1),IF(AND($L$37=0,$P$34=0),"",$L$37-1)),MIN(BF$38,$E552),$P$20)))</f>
        <v>0</v>
      </c>
      <c r="BG552" s="446">
        <f>IF($E552=0,0,IF(MIN(BG$38,$E552)&lt;MAX($P$34*($B552+$I$38-1),IF(AND($L$37=0,$P$34=0),"",$L$37-1)),0,YEARFRAC(MAX($P$34*($B552+$I$38-1),IF(AND($L$37=0,$P$34=0),"",$L$37-1)),MIN(BG$38,$E552),$P$20))-SUM($BF552:BF552))</f>
        <v>0</v>
      </c>
      <c r="BH552" s="446">
        <f>IF($E552=0,0,IF(MIN(BH$38,$E552)&lt;MAX($P$34*($B552+$I$38-1),IF(AND($L$37=0,$P$34=0),"",$L$37-1)),0,YEARFRAC(MAX($P$34*($B552+$I$38-1),IF(AND($L$37=0,$P$34=0),"",$L$37-1)),MIN(BH$38,$E552),$P$20))-SUM($BF552:BG552))</f>
        <v>0</v>
      </c>
      <c r="BI552" s="446">
        <f>IF($E552=0,0,IF(MIN(BI$38,$E552)&lt;MAX($P$34*($B552+$I$38-1),IF(AND($L$37=0,$P$34=0),"",$L$37-1)),0,YEARFRAC(MAX($P$34*($B552+$I$38-1),IF(AND($L$37=0,$P$34=0),"",$L$37-1)),MIN(BI$38,$E552),$P$20))-SUM($BF552:BH552))</f>
        <v>0</v>
      </c>
      <c r="BJ552" s="446">
        <f>IF($E552=0,0,IF(MIN(BJ$38,$E552)&lt;MAX($P$34*($B552+$I$38-1),IF(AND($L$37=0,$P$34=0),"",$L$37-1)),0,YEARFRAC(MAX($P$34*($B552+$I$38-1),IF(AND($L$37=0,$P$34=0),"",$L$37-1)),MIN(BJ$38,$E552),$P$20))-SUM($BF552:BI552))</f>
        <v>0</v>
      </c>
      <c r="BK552" s="446">
        <f>IF($E552=0,0,IF(MIN(BK$38,$E552)&lt;MAX($P$34*($B552+$I$38-1),IF(AND($L$37=0,$P$34=0),"",$L$37-1)),0,YEARFRAC(MAX($P$34*($B552+$I$38-1),IF(AND($L$37=0,$P$34=0),"",$L$37-1)),MIN(BK$38,$E552),$P$20))-SUM($BF552:BJ552))</f>
        <v>0</v>
      </c>
      <c r="BL552" s="446">
        <f>IF($E552=0,0,IF(MIN(BL$38,$E552)&lt;MAX($P$34*($B552+$I$38-1),IF(AND($L$37=0,$P$34=0),"",$L$37-1)),0,YEARFRAC(MAX($P$34*($B552+$I$38-1),IF(AND($L$37=0,$P$34=0),"",$L$37-1)),MIN(BL$38,$E552),$P$20))-SUM($BF552:BK552))</f>
        <v>0</v>
      </c>
      <c r="BM552" s="446">
        <f>IF($E552=0,0,IF(MIN(BM$38,$E552)&lt;MAX($P$34*($B552+$I$38-1),IF(AND($L$37=0,$P$34=0),"",$L$37-1)),0,YEARFRAC(MAX($P$34*($B552+$I$38-1),IF(AND($L$37=0,$P$34=0),"",$L$37-1)),MIN(BM$38,$E552),$P$20))-SUM($BF552:BL552))</f>
        <v>0</v>
      </c>
      <c r="BN552" s="446">
        <f>IF($E552=0,0,IF(MIN(BN$38,$E552)&lt;MAX($P$34*($B552+$I$38-1),IF(AND($L$37=0,$P$34=0),"",$L$37-1)),0,YEARFRAC(MAX($P$34*($B552+$I$38-1),IF(AND($L$37=0,$P$34=0),"",$L$37-1)),MIN(BN$38,$E552),$P$20))-SUM($BF552:BM552))</f>
        <v>0</v>
      </c>
      <c r="BO552" s="446">
        <f>IF($E552=0,0,IF(MIN(BO$38,$E552)&lt;MAX($P$34*($B552+$I$38-1),IF(AND($L$37=0,$P$34=0),"",$L$37-1)),0,YEARFRAC(MAX($P$34*($B552+$I$38-1),IF(AND($L$37=0,$P$34=0),"",$L$37-1)),MIN(BO$38,$E552),$P$20))-SUM($BF552:BN552))</f>
        <v>0</v>
      </c>
      <c r="BP552" s="446">
        <f>IF($E552=0,0,IF(MIN(BP$38,$E552)&lt;MAX($P$34*($B552+$I$38-1),IF(AND($L$37=0,$P$34=0),"",$L$37-1)),0,YEARFRAC(MAX($P$34*($B552+$I$38-1),IF(AND($L$37=0,$P$34=0),"",$L$37-1)),MIN(BP$38,$E552),$P$20))-SUM($BF552:BO552))</f>
        <v>0</v>
      </c>
      <c r="BQ552" s="446">
        <f>IF($E552=0,0,IF(MIN(BQ$38,$E552)&lt;MAX($P$34*($B552+$I$38-1),IF(AND($L$37=0,$P$34=0),"",$L$37-1)),0,YEARFRAC(MAX($P$34*($B552+$I$38-1),IF(AND($L$37=0,$P$34=0),"",$L$37-1)),MIN(BQ$38,$E552),$P$20))-SUM($BF552:BP552))</f>
        <v>0</v>
      </c>
      <c r="BR552" s="446">
        <f>IF($E552=0,0,IF(MIN(BR$38,$E552)&lt;MAX($P$34*($B552+$I$38-1),IF(AND($L$37=0,$P$34=0),"",$L$37-1)),0,YEARFRAC(MAX($P$34*($B552+$I$38-1),IF(AND($L$37=0,$P$34=0),"",$L$37-1)),MIN(BR$38,$E552),$P$20))-SUM($BF552:BQ552))</f>
        <v>0</v>
      </c>
      <c r="BS552" s="446">
        <f>IF($E552=0,0,IF(MIN(BS$38,$E552)&lt;MAX($P$34*($B552+$I$38-1),IF(AND($L$37=0,$P$34=0),"",$L$37-1)),0,YEARFRAC(MAX($P$34*($B552+$I$38-1),IF(AND($L$37=0,$P$34=0),"",$L$37-1)),MIN(BS$38,$E552),$P$20))-SUM($BF552:BR552))</f>
        <v>0</v>
      </c>
      <c r="BT552" s="446">
        <f>IF($E552=0,0,IF(MIN(BT$38,$E552)&lt;MAX($P$34*($B552+$I$38-1),IF(AND($L$37=0,$P$34=0),"",$L$37-1)),0,YEARFRAC(MAX($P$34*($B552+$I$38-1),IF(AND($L$37=0,$P$34=0),"",$L$37-1)),MIN(BT$38,$E552),$P$20))-SUM($BF552:BS552))</f>
        <v>0</v>
      </c>
      <c r="BU552" s="446">
        <f>IF($E552=0,0,IF(MIN(BU$38,$E552)&lt;MAX($P$34*($B552+$I$38-1),IF(AND($L$37=0,$P$34=0),"",$L$37-1)),0,YEARFRAC(MAX($P$34*($B552+$I$38-1),IF(AND($L$37=0,$P$34=0),"",$L$37-1)),MIN(BU$38,$E552),$P$20))-SUM($BF552:BT552))</f>
        <v>0</v>
      </c>
      <c r="BV552" s="446">
        <f>IF($E552=0,0,IF(MIN(BV$38,$E552)&lt;MAX($P$34*($B552+$I$38-1),IF(AND($L$37=0,$P$34=0),"",$L$37-1)),0,YEARFRAC(MAX($P$34*($B552+$I$38-1),IF(AND($L$37=0,$P$34=0),"",$L$37-1)),MIN(BV$38,$E552),$P$20))-SUM($BF552:BU552))</f>
        <v>0</v>
      </c>
      <c r="BW552" s="446">
        <f>IF($E552=0,0,IF(MIN(BW$38,$E552)&lt;MAX($P$34*($B552+$I$38-1),IF(AND($L$37=0,$P$34=0),"",$L$37-1)),0,YEARFRAC(MAX($P$34*($B552+$I$38-1),IF(AND($L$37=0,$P$34=0),"",$L$37-1)),MIN(BW$38,$E552),$P$20))-SUM($BF552:BV552))</f>
        <v>0</v>
      </c>
      <c r="BX552" s="446">
        <f>IF($E552=0,0,IF(MIN(BX$38,$E552)&lt;MAX($P$34*($B552+$I$38-1),IF(AND($L$37=0,$P$34=0),"",$L$37-1)),0,YEARFRAC(MAX($P$34*($B552+$I$38-1),IF(AND($L$37=0,$P$34=0),"",$L$37-1)),MIN(BX$38,$E552),$P$20))-SUM($BF552:BW552))</f>
        <v>0</v>
      </c>
      <c r="BY552" s="446">
        <f>IF($E552=0,0,IF(MIN(BY$38,$E552)&lt;MAX($P$34*($B552+$I$38-1),IF(AND($L$37=0,$P$34=0),"",$L$37-1)),0,YEARFRAC(MAX($P$34*($B552+$I$38-1),IF(AND($L$37=0,$P$34=0),"",$L$37-1)),MIN(BY$38,$E552),$P$20))-SUM($BF552:BX552))</f>
        <v>0</v>
      </c>
      <c r="BZ552" s="446">
        <f>IF($E552=0,0,IF(MIN(BZ$38,$E552)&lt;MAX($P$34*($B552+$I$38-1),IF(AND($L$37=0,$P$34=0),"",$L$37-1)),0,YEARFRAC(MAX($P$34*($B552+$I$38-1),IF(AND($L$37=0,$P$34=0),"",$L$37-1)),MIN(BZ$38,$E552),$P$20))-SUM($BF552:BY552))</f>
        <v>0</v>
      </c>
      <c r="CA552" s="446">
        <f>IF($E552=0,0,IF(MIN(CA$38,$E552)&lt;MAX($P$34*($B552+$I$38-1),IF(AND($L$37=0,$P$34=0),"",$L$37-1)),0,YEARFRAC(MAX($P$34*($B552+$I$38-1),IF(AND($L$37=0,$P$34=0),"",$L$37-1)),MIN(CA$38,$E552),$P$20))-SUM($BF552:BZ552))</f>
        <v>0</v>
      </c>
      <c r="CB552" s="446">
        <f>IF($E552=0,0,IF(MIN(CB$38,$E552)&lt;MAX($P$34*($B552+$I$38-1),IF(AND($L$37=0,$P$34=0),"",$L$37-1)),0,YEARFRAC(MAX($P$34*($B552+$I$38-1),IF(AND($L$37=0,$P$34=0),"",$L$37-1)),MIN(CB$38,$E552),$P$20))-SUM($BF552:CA552))</f>
        <v>0</v>
      </c>
      <c r="CC552" s="446">
        <f>IF($E552=0,0,IF(MIN(CC$38,$E552)&lt;MAX($P$34*($B552+$I$38-1),IF(AND($L$37=0,$P$34=0),"",$L$37-1)),0,YEARFRAC(MAX($P$34*($B552+$I$38-1),IF(AND($L$37=0,$P$34=0),"",$L$37-1)),MIN(CC$38,$E552),$P$20))-SUM($BF552:CB552))</f>
        <v>0</v>
      </c>
      <c r="CD552" s="446">
        <f>IF($E552=0,0,IF(MIN(CD$38,$E552)&lt;MAX($P$34*($B552+$I$38-1),IF(AND($L$37=0,$P$34=0),"",$L$37-1)),0,YEARFRAC(MAX($P$34*($B552+$I$38-1),IF(AND($L$37=0,$P$34=0),"",$L$37-1)),MIN(CD$38,$E552),$P$20))-SUM($BF552:CC552))</f>
        <v>0</v>
      </c>
      <c r="CE552" s="446">
        <f>IF($E552=0,0,IF(MIN(CE$38,$E552)&lt;MAX($P$34*($B552+$I$38-1),IF(AND($L$37=0,$P$34=0),"",$L$37-1)),0,YEARFRAC(MAX($P$34*($B552+$I$38-1),IF(AND($L$37=0,$P$34=0),"",$L$37-1)),MIN(CE$38,$E552),$P$20))-SUM($BF552:CD552))</f>
        <v>0</v>
      </c>
      <c r="CF552" s="446">
        <f>IF($E552=0,0,IF(MIN(CF$38,$E552)&lt;MAX($P$34*($B552+$I$38-1),IF(AND($L$37=0,$P$34=0),"",$L$37-1)),0,YEARFRAC(MAX($P$34*($B552+$I$38-1),IF(AND($L$37=0,$P$34=0),"",$L$37-1)),MIN(CF$38,$E552),$P$20))-SUM($BF552:CE552))</f>
        <v>0</v>
      </c>
      <c r="CG552" s="446">
        <f>IF($E552=0,0,IF(MIN(CG$38,$E552)&lt;MAX($P$34*($B552+$I$38-1),IF(AND($L$37=0,$P$34=0),"",$L$37-1)),0,YEARFRAC(MAX($P$34*($B552+$I$38-1),IF(AND($L$37=0,$P$34=0),"",$L$37-1)),MIN(CG$38,$E552),$P$20))-SUM($BF552:CF552))</f>
        <v>0</v>
      </c>
      <c r="CH552" s="446">
        <f>IF($E552=0,0,IF(MIN(CH$38,$E552)&lt;MAX($P$34*($B552+$I$38-1),IF(AND($L$37=0,$P$34=0),"",$L$37-1)),0,YEARFRAC(MAX($P$34*($B552+$I$38-1),IF(AND($L$37=0,$P$34=0),"",$L$37-1)),MIN(CH$38,$E552),$P$20))-SUM($BF552:CG552))</f>
        <v>0</v>
      </c>
      <c r="CI552" s="446">
        <f>IF($E552=0,0,IF(MIN(CI$38,$E552)&lt;MAX($P$34*($B552+$I$38-1),IF(AND($L$37=0,$P$34=0),"",$L$37-1)),0,YEARFRAC(MAX($P$34*($B552+$I$38-1),IF(AND($L$37=0,$P$34=0),"",$L$37-1)),MIN(CI$38,$E552),$P$20))-SUM($BF552:CH552))</f>
        <v>0</v>
      </c>
      <c r="CJ552" s="446">
        <f>IF($E552=0,0,IF(MIN(CJ$38,$E552)&lt;MAX($P$34*($B552+$I$38-1),IF(AND($L$37=0,$P$34=0),"",$L$37-1)),0,YEARFRAC(MAX($P$34*($B552+$I$38-1),IF(AND($L$37=0,$P$34=0),"",$L$37-1)),MIN(CJ$38,$E552),$P$20))-SUM($BF552:CI552))</f>
        <v>0</v>
      </c>
      <c r="CK552" s="446">
        <f>IF($E552=0,0,IF(MIN(CK$38,$E552)&lt;MAX($P$34*($B552+$I$38-1),IF(AND($L$37=0,$P$34=0),"",$L$37-1)),0,YEARFRAC(MAX($P$34*($B552+$I$38-1),IF(AND($L$37=0,$P$34=0),"",$L$37-1)),MIN(CK$38,$E552),$P$20))-SUM($BF552:CJ552))</f>
        <v>0</v>
      </c>
      <c r="CL552" s="446">
        <f>IF($E552=0,0,IF(MIN(CL$38,$E552)&lt;MAX($P$34*($B552+$I$38-1),IF(AND($L$37=0,$P$34=0),"",$L$37-1)),0,YEARFRAC(MAX($P$34*($B552+$I$38-1),IF(AND($L$37=0,$P$34=0),"",$L$37-1)),MIN(CL$38,$E552),$P$20))-SUM($BF552:CK552))</f>
        <v>0</v>
      </c>
      <c r="CM552" s="446">
        <f>IF($E552=0,0,IF(MIN(CM$38,$E552)&lt;MAX($P$34*($B552+$I$38-1),IF(AND($L$37=0,$P$34=0),"",$L$37-1)),0,YEARFRAC(MAX($P$34*($B552+$I$38-1),IF(AND($L$37=0,$P$34=0),"",$L$37-1)),MIN(CM$38,$E552),$P$20))-SUM($BF552:CL552))</f>
        <v>0</v>
      </c>
      <c r="CN552" s="446">
        <f>IF($E552=0,0,IF(MIN(CN$38,$E552)&lt;MAX($P$34*($B552+$I$38-1),IF(AND($L$37=0,$P$34=0),"",$L$37-1)),0,YEARFRAC(MAX($P$34*($B552+$I$38-1),IF(AND($L$37=0,$P$34=0),"",$L$37-1)),MIN(CN$38,$E552),$P$20))-SUM($BF552:CM552))</f>
        <v>0</v>
      </c>
      <c r="CO552" s="446">
        <f>IF($E552=0,0,IF(MIN(CO$38,$E552)&lt;MAX($P$34*($B552+$I$38-1),IF(AND($L$37=0,$P$34=0),"",$L$37-1)),0,YEARFRAC(MAX($P$34*($B552+$I$38-1),IF(AND($L$37=0,$P$34=0),"",$L$37-1)),MIN(CO$38,$E552),$P$20))-SUM($BF552:CN552))</f>
        <v>0</v>
      </c>
      <c r="CP552" s="446">
        <f>IF($E552=0,0,IF(MIN(CP$38,$E552)&lt;MAX($P$34*($B552+$I$38-1),IF(AND($L$37=0,$P$34=0),"",$L$37-1)),0,YEARFRAC(MAX($P$34*($B552+$I$38-1),IF(AND($L$37=0,$P$34=0),"",$L$37-1)),MIN(CP$38,$E552),$P$20))-SUM($BF552:CO552))</f>
        <v>0</v>
      </c>
      <c r="CQ552" s="446">
        <f>IF($E552=0,0,IF(MIN(CQ$38,$E552)&lt;MAX($P$34*($B552+$I$38-1),IF(AND($L$37=0,$P$34=0),"",$L$37-1)),0,YEARFRAC(MAX($P$34*($B552+$I$38-1),IF(AND($L$37=0,$P$34=0),"",$L$37-1)),MIN(CQ$38,$E552),$P$20))-SUM($BF552:CP552))</f>
        <v>0</v>
      </c>
    </row>
    <row r="553" spans="1:95" s="446" customFormat="1" ht="11.25" hidden="1" customHeight="1" x14ac:dyDescent="0.2">
      <c r="A553" s="152"/>
      <c r="B553" s="153" t="str">
        <f t="shared" si="92"/>
        <v/>
      </c>
      <c r="C553" s="29" t="str">
        <f>IF(B553="","",IF($L$35="SELIC - TRIBUTOS",VLOOKUP(DATE(YEAR($D$19),MONTH($D$19)-1,1),ÍNDICES!$A:$DE,HLOOKUP($BL$25,ÍNDICES!$B$3:$T$4,2)+11)-VLOOKUP(B553,ÍNDICES!$A:$DE,HLOOKUP($BL$25,ÍNDICES!$B$3:$T$4,2)+11)+1%,IF(C$38=$W$26,$J$35,IF(ISERROR(IF(B553&gt;$D$19,1,VLOOKUP(DATE(YEAR(B553),MONTH(B553)+IF($C$35=$S$23,1,0),1),ÍNDICES!$A:$DE,$Z$35+1))),"",IF(B553&gt;$D$19,1,VLOOKUP(DATE(YEAR(B553),MONTH(B553)+IF($C$35=$S$23,1,0),1),ÍNDICES!$A:$DE,$Z$35+1))))))</f>
        <v/>
      </c>
      <c r="D553" s="154" t="str">
        <f>IF(ISERROR(IF(OR($D$38=$Y$27,$B553=""),"",VLOOKUP(B553,ÍNDICES!A:DE,AF$35+1))),"",IF(OR($D$38=$Y$27,$B553=""),"",VLOOKUP(B553,ÍNDICES!A:DE,AF$35+1)))</f>
        <v/>
      </c>
      <c r="E553" s="153"/>
      <c r="F553" s="29" t="str">
        <f>IF(E553="","",IF($L$35="SELIC - TRIBUTOS",VLOOKUP(DATE(YEAR($D$19),MONTH($D$19)-1,1),ÍNDICES!$A:$DE,HLOOKUP($BL$25,ÍNDICES!$B$3:$T$4,2)+11)-VLOOKUP(E553,ÍNDICES!$A:$DE,HLOOKUP($BL$25,ÍNDICES!$B$3:$T$4,2)+11)+1%,IF(F$38=$W$26,$J$35,IF(ISERROR(IF(E553&gt;$D$19,1,VLOOKUP(DATE(YEAR(E553),MONTH(E553)+IF($C$35=$S$23,1,0),1),ÍNDICES!$A:$DE,$Z$35+1))),"",IF(E553&gt;$D$19,1,VLOOKUP(DATE(YEAR(E553),MONTH(E553)+IF($C$35=$S$23,1,0),1),ÍNDICES!$A:$DE,$Z$35+1))))))</f>
        <v/>
      </c>
      <c r="G553" s="155"/>
      <c r="H553" s="156" t="str">
        <f t="shared" ref="H553:H609" si="99">IF(E553="",IF(D553="","",D553),IF(ISERROR(D553/(IF(E553&lt;B553,1,C553/F553))-G553),-G553,D553/(IF(E553&lt;B553,1,C553/F553))-G553))</f>
        <v/>
      </c>
      <c r="I553" s="29" t="str">
        <f t="shared" si="93"/>
        <v/>
      </c>
      <c r="J553" s="5">
        <f t="shared" si="94"/>
        <v>0</v>
      </c>
      <c r="K553" s="20">
        <f t="shared" ca="1" si="95"/>
        <v>0</v>
      </c>
      <c r="L553" s="5">
        <f t="shared" ca="1" si="96"/>
        <v>0</v>
      </c>
      <c r="M553" s="64">
        <f t="shared" ref="M553:M609" si="100">IFERROR(SUM(P553:BA553),0)</f>
        <v>0</v>
      </c>
      <c r="N553" s="61">
        <f t="shared" ref="N553:N609" ca="1" si="101">IFERROR($N$38*(K553+IF(OR(L$35="SELIC - TRIBUTOS",$N$37="sobre principal"),0,J553+L553)),0)</f>
        <v>0</v>
      </c>
      <c r="O553" s="5">
        <f t="shared" ref="O553:O609" ca="1" si="102">IF(ISERROR((K553+J553+L553+N553)*O$38),"",(K553+J553+L553+N553)*O$38)</f>
        <v>0</v>
      </c>
      <c r="P553" s="446" t="e">
        <f t="shared" si="97"/>
        <v>#VALUE!</v>
      </c>
      <c r="Q553" s="446" t="e">
        <f>IF(OR($B553="",MIN(Q$38,$D$19)&lt;MAX($P$34*($B553+IF($R$17="Distrato",$I$38-1,0)),IF(AND($L$37=0,$P$34=0),"",$L$37-1),IF($R$17="Distrato",$E553,0))),0,YEARFRAC(MAX($P$34*($B553+IF($R$17="Distrato",$I$38-1,0)),IF(AND($L$37=0,$P$34=0),"",$L$37-1),IF($R$17="Distrato",$E553,0)),MIN(Q$38,$D$19),$P$20))-SUM($P553:P553)</f>
        <v>#VALUE!</v>
      </c>
      <c r="R553" s="446" t="e">
        <f>IF(OR($B553="",MIN(R$38,$D$19)&lt;MAX($P$34*($B553+IF($R$17="Distrato",$I$38-1,0)),IF(AND($L$37=0,$P$34=0),"",$L$37-1),IF($R$17="Distrato",$E553,0))),0,YEARFRAC(MAX($P$34*($B553+IF($R$17="Distrato",$I$38-1,0)),IF(AND($L$37=0,$P$34=0),"",$L$37-1),IF($R$17="Distrato",$E553,0)),MIN(R$38,$D$19),$P$20))-SUM($P553:Q553)</f>
        <v>#VALUE!</v>
      </c>
      <c r="S553" s="446" t="e">
        <f>IF(OR($B553="",MIN(S$38,$D$19)&lt;MAX($P$34*($B553+IF($R$17="Distrato",$I$38-1,0)),IF(AND($L$37=0,$P$34=0),"",$L$37-1),IF($R$17="Distrato",$E553,0))),0,YEARFRAC(MAX($P$34*($B553+IF($R$17="Distrato",$I$38-1,0)),IF(AND($L$37=0,$P$34=0),"",$L$37-1),IF($R$17="Distrato",$E553,0)),MIN(S$38,$D$19),$P$20))-SUM($P553:R553)</f>
        <v>#VALUE!</v>
      </c>
      <c r="T553" s="446" t="e">
        <f>IF(OR($B553="",MIN(T$38,$D$19)&lt;MAX($P$34*($B553+IF($R$17="Distrato",$I$38-1,0)),IF(AND($L$37=0,$P$34=0),"",$L$37-1),IF($R$17="Distrato",$E553,0))),0,YEARFRAC(MAX($P$34*($B553+IF($R$17="Distrato",$I$38-1,0)),IF(AND($L$37=0,$P$34=0),"",$L$37-1),IF($R$17="Distrato",$E553,0)),MIN(T$38,$D$19),$P$20))-SUM($P553:S553)</f>
        <v>#VALUE!</v>
      </c>
      <c r="U553" s="446" t="e">
        <f>IF(OR($B553="",MIN(U$38,$D$19)&lt;MAX($P$34*($B553+IF($R$17="Distrato",$I$38-1,0)),IF(AND($L$37=0,$P$34=0),"",$L$37-1),IF($R$17="Distrato",$E553,0))),0,YEARFRAC(MAX($P$34*($B553+IF($R$17="Distrato",$I$38-1,0)),IF(AND($L$37=0,$P$34=0),"",$L$37-1),IF($R$17="Distrato",$E553,0)),MIN(U$38,$D$19),$P$20))-SUM($P553:T553)</f>
        <v>#VALUE!</v>
      </c>
      <c r="V553" s="446" t="e">
        <f>IF(OR($B553="",MIN(V$38,$D$19)&lt;MAX($P$34*($B553+IF($R$17="Distrato",$I$38-1,0)),IF(AND($L$37=0,$P$34=0),"",$L$37-1),IF($R$17="Distrato",$E553,0))),0,YEARFRAC(MAX($P$34*($B553+IF($R$17="Distrato",$I$38-1,0)),IF(AND($L$37=0,$P$34=0),"",$L$37-1),IF($R$17="Distrato",$E553,0)),MIN(V$38,$D$19),$P$20))-SUM($P553:U553)</f>
        <v>#VALUE!</v>
      </c>
      <c r="W553" s="446" t="e">
        <f>IF(OR($B553="",MIN(W$38,$D$19)&lt;MAX($P$34*($B553+IF($R$17="Distrato",$I$38-1,0)),IF(AND($L$37=0,$P$34=0),"",$L$37-1),IF($R$17="Distrato",$E553,0))),0,YEARFRAC(MAX($P$34*($B553+IF($R$17="Distrato",$I$38-1,0)),IF(AND($L$37=0,$P$34=0),"",$L$37-1),IF($R$17="Distrato",$E553,0)),MIN(W$38,$D$19),$P$20))-SUM($P553:V553)</f>
        <v>#VALUE!</v>
      </c>
      <c r="X553" s="446" t="e">
        <f>IF(OR($B553="",MIN(X$38,$D$19)&lt;MAX($P$34*($B553+IF($R$17="Distrato",$I$38-1,0)),IF(AND($L$37=0,$P$34=0),"",$L$37-1),IF($R$17="Distrato",$E553,0))),0,YEARFRAC(MAX($P$34*($B553+IF($R$17="Distrato",$I$38-1,0)),IF(AND($L$37=0,$P$34=0),"",$L$37-1),IF($R$17="Distrato",$E553,0)),MIN(X$38,$D$19),$P$20))-SUM($P553:W553)</f>
        <v>#VALUE!</v>
      </c>
      <c r="Y553" s="446" t="e">
        <f>IF(OR($B553="",MIN(Y$38,$D$19)&lt;MAX($P$34*($B553+IF($R$17="Distrato",$I$38-1,0)),IF(AND($L$37=0,$P$34=0),"",$L$37-1),IF($R$17="Distrato",$E553,0))),0,YEARFRAC(MAX($P$34*($B553+IF($R$17="Distrato",$I$38-1,0)),IF(AND($L$37=0,$P$34=0),"",$L$37-1),IF($R$17="Distrato",$E553,0)),MIN(Y$38,$D$19),$P$20))-SUM($P553:X553)</f>
        <v>#VALUE!</v>
      </c>
      <c r="Z553" s="446" t="e">
        <f>IF(OR($B553="",MIN(Z$38,$D$19)&lt;MAX($P$34*($B553+IF($R$17="Distrato",$I$38-1,0)),IF(AND($L$37=0,$P$34=0),"",$L$37-1),IF($R$17="Distrato",$E553,0))),0,YEARFRAC(MAX($P$34*($B553+IF($R$17="Distrato",$I$38-1,0)),IF(AND($L$37=0,$P$34=0),"",$L$37-1),IF($R$17="Distrato",$E553,0)),MIN(Z$38,$D$19),$P$20))-SUM($P553:Y553)</f>
        <v>#VALUE!</v>
      </c>
      <c r="AA553" s="446" t="e">
        <f>IF(OR($B553="",MIN(AA$38,$D$19)&lt;MAX($P$34*($B553+IF($R$17="Distrato",$I$38-1,0)),IF(AND($L$37=0,$P$34=0),"",$L$37-1),IF($R$17="Distrato",$E553,0))),0,YEARFRAC(MAX($P$34*($B553+IF($R$17="Distrato",$I$38-1,0)),IF(AND($L$37=0,$P$34=0),"",$L$37-1),IF($R$17="Distrato",$E553,0)),MIN(AA$38,$D$19),$P$20))-SUM($P553:Z553)</f>
        <v>#VALUE!</v>
      </c>
      <c r="AB553" s="446" t="e">
        <f>IF(OR($B553="",MIN(AB$38,$D$19)&lt;MAX($P$34*($B553+IF($R$17="Distrato",$I$38-1,0)),IF(AND($L$37=0,$P$34=0),"",$L$37-1),IF($R$17="Distrato",$E553,0))),0,YEARFRAC(MAX($P$34*($B553+IF($R$17="Distrato",$I$38-1,0)),IF(AND($L$37=0,$P$34=0),"",$L$37-1),IF($R$17="Distrato",$E553,0)),MIN(AB$38,$D$19),$P$20))-SUM($P553:AA553)</f>
        <v>#VALUE!</v>
      </c>
      <c r="AC553" s="446" t="e">
        <f>IF(OR($B553="",MIN(AC$38,$D$19)&lt;MAX($P$34*($B553+IF($R$17="Distrato",$I$38-1,0)),IF(AND($L$37=0,$P$34=0),"",$L$37-1),IF($R$17="Distrato",$E553,0))),0,YEARFRAC(MAX($P$34*($B553+IF($R$17="Distrato",$I$38-1,0)),IF(AND($L$37=0,$P$34=0),"",$L$37-1),IF($R$17="Distrato",$E553,0)),MIN(AC$38,$D$19),$P$20))-SUM($P553:AB553)</f>
        <v>#VALUE!</v>
      </c>
      <c r="AD553" s="446" t="e">
        <f>IF(OR($B553="",MIN(AD$38,$D$19)&lt;MAX($P$34*($B553+IF($R$17="Distrato",$I$38-1,0)),IF(AND($L$37=0,$P$34=0),"",$L$37-1),IF($R$17="Distrato",$E553,0))),0,YEARFRAC(MAX($P$34*($B553+IF($R$17="Distrato",$I$38-1,0)),IF(AND($L$37=0,$P$34=0),"",$L$37-1),IF($R$17="Distrato",$E553,0)),MIN(AD$38,$D$19),$P$20))-SUM($P553:AC553)</f>
        <v>#VALUE!</v>
      </c>
      <c r="AE553" s="446" t="e">
        <f>IF(OR($B553="",MIN(AE$38,$D$19)&lt;MAX($P$34*($B553+IF($R$17="Distrato",$I$38-1,0)),IF(AND($L$37=0,$P$34=0),"",$L$37-1),IF($R$17="Distrato",$E553,0))),0,YEARFRAC(MAX($P$34*($B553+IF($R$17="Distrato",$I$38-1,0)),IF(AND($L$37=0,$P$34=0),"",$L$37-1),IF($R$17="Distrato",$E553,0)),MIN(AE$38,$D$19),$P$20))-SUM($P553:AD553)</f>
        <v>#VALUE!</v>
      </c>
      <c r="AF553" s="446" t="e">
        <f>IF(OR($B553="",MIN(AF$38,$D$19)&lt;MAX($P$34*($B553+IF($R$17="Distrato",$I$38-1,0)),IF(AND($L$37=0,$P$34=0),"",$L$37-1),IF($R$17="Distrato",$E553,0))),0,YEARFRAC(MAX($P$34*($B553+IF($R$17="Distrato",$I$38-1,0)),IF(AND($L$37=0,$P$34=0),"",$L$37-1),IF($R$17="Distrato",$E553,0)),MIN(AF$38,$D$19),$P$20))-SUM($P553:AE553)</f>
        <v>#VALUE!</v>
      </c>
      <c r="AG553" s="446" t="e">
        <f>IF(OR($B553="",MIN(AG$38,$D$19)&lt;MAX($P$34*($B553+IF($R$17="Distrato",$I$38-1,0)),IF(AND($L$37=0,$P$34=0),"",$L$37-1),IF($R$17="Distrato",$E553,0))),0,YEARFRAC(MAX($P$34*($B553+IF($R$17="Distrato",$I$38-1,0)),IF(AND($L$37=0,$P$34=0),"",$L$37-1),IF($R$17="Distrato",$E553,0)),MIN(AG$38,$D$19),$P$20))-SUM($P553:AF553)</f>
        <v>#VALUE!</v>
      </c>
      <c r="AH553" s="446" t="e">
        <f>IF(OR($B553="",MIN(AH$38,$D$19)&lt;MAX($P$34*($B553+IF($R$17="Distrato",$I$38-1,0)),IF(AND($L$37=0,$P$34=0),"",$L$37-1),IF($R$17="Distrato",$E553,0))),0,YEARFRAC(MAX($P$34*($B553+IF($R$17="Distrato",$I$38-1,0)),IF(AND($L$37=0,$P$34=0),"",$L$37-1),IF($R$17="Distrato",$E553,0)),MIN(AH$38,$D$19),$P$20))-SUM($P553:AG553)</f>
        <v>#VALUE!</v>
      </c>
      <c r="AI553" s="446" t="e">
        <f>IF(OR($B553="",MIN(AI$38,$D$19)&lt;MAX($P$34*($B553+IF($R$17="Distrato",$I$38-1,0)),IF(AND($L$37=0,$P$34=0),"",$L$37-1),IF($R$17="Distrato",$E553,0))),0,YEARFRAC(MAX($P$34*($B553+IF($R$17="Distrato",$I$38-1,0)),IF(AND($L$37=0,$P$34=0),"",$L$37-1),IF($R$17="Distrato",$E553,0)),MIN(AI$38,$D$19),$P$20))-SUM($P553:AH553)</f>
        <v>#VALUE!</v>
      </c>
      <c r="AJ553" s="446" t="e">
        <f>IF(OR($B553="",MIN(AJ$38,$D$19)&lt;MAX($P$34*($B553+IF($R$17="Distrato",$I$38-1,0)),IF(AND($L$37=0,$P$34=0),"",$L$37-1),IF($R$17="Distrato",$E553,0))),0,YEARFRAC(MAX($P$34*($B553+IF($R$17="Distrato",$I$38-1,0)),IF(AND($L$37=0,$P$34=0),"",$L$37-1),IF($R$17="Distrato",$E553,0)),MIN(AJ$38,$D$19),$P$20))-SUM($P553:AI553)</f>
        <v>#VALUE!</v>
      </c>
      <c r="AK553" s="446" t="e">
        <f>IF(OR($B553="",MIN(AK$38,$D$19)&lt;MAX($P$34*($B553+IF($R$17="Distrato",$I$38-1,0)),IF(AND($L$37=0,$P$34=0),"",$L$37-1),IF($R$17="Distrato",$E553,0))),0,YEARFRAC(MAX($P$34*($B553+IF($R$17="Distrato",$I$38-1,0)),IF(AND($L$37=0,$P$34=0),"",$L$37-1),IF($R$17="Distrato",$E553,0)),MIN(AK$38,$D$19),$P$20))-SUM($P553:AJ553)</f>
        <v>#VALUE!</v>
      </c>
      <c r="AL553" s="446" t="e">
        <f>IF(OR($B553="",MIN(AL$38,$D$19)&lt;MAX($P$34*($B553+IF($R$17="Distrato",$I$38-1,0)),IF(AND($L$37=0,$P$34=0),"",$L$37-1),IF($R$17="Distrato",$E553,0))),0,YEARFRAC(MAX($P$34*($B553+IF($R$17="Distrato",$I$38-1,0)),IF(AND($L$37=0,$P$34=0),"",$L$37-1),IF($R$17="Distrato",$E553,0)),MIN(AL$38,$D$19),$P$20))-SUM($P553:AK553)</f>
        <v>#VALUE!</v>
      </c>
      <c r="AM553" s="446" t="e">
        <f>IF(OR($B553="",MIN(AM$38,$D$19)&lt;MAX($P$34*($B553+IF($R$17="Distrato",$I$38-1,0)),IF(AND($L$37=0,$P$34=0),"",$L$37-1),IF($R$17="Distrato",$E553,0))),0,YEARFRAC(MAX($P$34*($B553+IF($R$17="Distrato",$I$38-1,0)),IF(AND($L$37=0,$P$34=0),"",$L$37-1),IF($R$17="Distrato",$E553,0)),MIN(AM$38,$D$19),$P$20))-SUM($P553:AL553)</f>
        <v>#VALUE!</v>
      </c>
      <c r="AN553" s="446" t="e">
        <f>IF(OR($B553="",MIN(AN$38,$D$19)&lt;MAX($P$34*($B553+IF($R$17="Distrato",$I$38-1,0)),IF(AND($L$37=0,$P$34=0),"",$L$37-1),IF($R$17="Distrato",$E553,0))),0,YEARFRAC(MAX($P$34*($B553+IF($R$17="Distrato",$I$38-1,0)),IF(AND($L$37=0,$P$34=0),"",$L$37-1),IF($R$17="Distrato",$E553,0)),MIN(AN$38,$D$19),$P$20))-SUM($P553:AM553)</f>
        <v>#VALUE!</v>
      </c>
      <c r="AO553" s="446" t="e">
        <f>IF(OR($B553="",MIN(AO$38,$D$19)&lt;MAX($P$34*($B553+IF($R$17="Distrato",$I$38-1,0)),IF(AND($L$37=0,$P$34=0),"",$L$37-1),IF($R$17="Distrato",$E553,0))),0,YEARFRAC(MAX($P$34*($B553+IF($R$17="Distrato",$I$38-1,0)),IF(AND($L$37=0,$P$34=0),"",$L$37-1),IF($R$17="Distrato",$E553,0)),MIN(AO$38,$D$19),$P$20))-SUM($P553:AN553)</f>
        <v>#VALUE!</v>
      </c>
      <c r="AP553" s="446" t="e">
        <f>IF(OR($B553="",MIN(AP$38,$D$19)&lt;MAX($P$34*($B553+IF($R$17="Distrato",$I$38-1,0)),IF(AND($L$37=0,$P$34=0),"",$L$37-1),IF($R$17="Distrato",$E553,0))),0,YEARFRAC(MAX($P$34*($B553+IF($R$17="Distrato",$I$38-1,0)),IF(AND($L$37=0,$P$34=0),"",$L$37-1),IF($R$17="Distrato",$E553,0)),MIN(AP$38,$D$19),$P$20))-SUM($P553:AO553)</f>
        <v>#VALUE!</v>
      </c>
      <c r="AQ553" s="446" t="e">
        <f>IF(OR($B553="",MIN(AQ$38,$D$19)&lt;MAX($P$34*($B553+IF($R$17="Distrato",$I$38-1,0)),IF(AND($L$37=0,$P$34=0),"",$L$37-1),IF($R$17="Distrato",$E553,0))),0,YEARFRAC(MAX($P$34*($B553+IF($R$17="Distrato",$I$38-1,0)),IF(AND($L$37=0,$P$34=0),"",$L$37-1),IF($R$17="Distrato",$E553,0)),MIN(AQ$38,$D$19),$P$20))-SUM($P553:AP553)</f>
        <v>#VALUE!</v>
      </c>
      <c r="AR553" s="446" t="e">
        <f>IF(OR($B553="",MIN(AR$38,$D$19)&lt;MAX($P$34*($B553+IF($R$17="Distrato",$I$38-1,0)),IF(AND($L$37=0,$P$34=0),"",$L$37-1),IF($R$17="Distrato",$E553,0))),0,YEARFRAC(MAX($P$34*($B553+IF($R$17="Distrato",$I$38-1,0)),IF(AND($L$37=0,$P$34=0),"",$L$37-1),IF($R$17="Distrato",$E553,0)),MIN(AR$38,$D$19),$P$20))-SUM($P553:AQ553)</f>
        <v>#VALUE!</v>
      </c>
      <c r="AS553" s="446" t="e">
        <f>IF(OR($B553="",MIN(AS$38,$D$19)&lt;MAX($P$34*($B553+IF($R$17="Distrato",$I$38-1,0)),IF(AND($L$37=0,$P$34=0),"",$L$37-1),IF($R$17="Distrato",$E553,0))),0,YEARFRAC(MAX($P$34*($B553+IF($R$17="Distrato",$I$38-1,0)),IF(AND($L$37=0,$P$34=0),"",$L$37-1),IF($R$17="Distrato",$E553,0)),MIN(AS$38,$D$19),$P$20))-SUM($P553:AR553)</f>
        <v>#VALUE!</v>
      </c>
      <c r="AT553" s="446" t="e">
        <f>IF(OR($B553="",MIN(AT$38,$D$19)&lt;MAX($P$34*($B553+IF($R$17="Distrato",$I$38-1,0)),IF(AND($L$37=0,$P$34=0),"",$L$37-1),IF($R$17="Distrato",$E553,0))),0,YEARFRAC(MAX($P$34*($B553+IF($R$17="Distrato",$I$38-1,0)),IF(AND($L$37=0,$P$34=0),"",$L$37-1),IF($R$17="Distrato",$E553,0)),MIN(AT$38,$D$19),$P$20))-SUM($P553:AS553)</f>
        <v>#VALUE!</v>
      </c>
      <c r="AU553" s="446" t="e">
        <f>IF(OR($B553="",MIN(AU$38,$D$19)&lt;MAX($P$34*($B553+IF($R$17="Distrato",$I$38-1,0)),IF(AND($L$37=0,$P$34=0),"",$L$37-1),IF($R$17="Distrato",$E553,0))),0,YEARFRAC(MAX($P$34*($B553+IF($R$17="Distrato",$I$38-1,0)),IF(AND($L$37=0,$P$34=0),"",$L$37-1),IF($R$17="Distrato",$E553,0)),MIN(AU$38,$D$19),$P$20))-SUM($P553:AT553)</f>
        <v>#VALUE!</v>
      </c>
      <c r="AV553" s="446" t="e">
        <f>IF(OR($B553="",MIN(AV$38,$D$19)&lt;MAX($P$34*($B553+IF($R$17="Distrato",$I$38-1,0)),IF(AND($L$37=0,$P$34=0),"",$L$37-1),IF($R$17="Distrato",$E553,0))),0,YEARFRAC(MAX($P$34*($B553+IF($R$17="Distrato",$I$38-1,0)),IF(AND($L$37=0,$P$34=0),"",$L$37-1),IF($R$17="Distrato",$E553,0)),MIN(AV$38,$D$19),$P$20))-SUM($P553:AU553)</f>
        <v>#VALUE!</v>
      </c>
      <c r="AW553" s="446" t="e">
        <f>IF(OR($B553="",MIN(AW$38,$D$19)&lt;MAX($P$34*($B553+IF($R$17="Distrato",$I$38-1,0)),IF(AND($L$37=0,$P$34=0),"",$L$37-1),IF($R$17="Distrato",$E553,0))),0,YEARFRAC(MAX($P$34*($B553+IF($R$17="Distrato",$I$38-1,0)),IF(AND($L$37=0,$P$34=0),"",$L$37-1),IF($R$17="Distrato",$E553,0)),MIN(AW$38,$D$19),$P$20))-SUM($P553:AV553)</f>
        <v>#VALUE!</v>
      </c>
      <c r="AX553" s="446" t="e">
        <f>IF(OR($B553="",MIN(AX$38,$D$19)&lt;MAX($P$34*($B553+IF($R$17="Distrato",$I$38-1,0)),IF(AND($L$37=0,$P$34=0),"",$L$37-1),IF($R$17="Distrato",$E553,0))),0,YEARFRAC(MAX($P$34*($B553+IF($R$17="Distrato",$I$38-1,0)),IF(AND($L$37=0,$P$34=0),"",$L$37-1),IF($R$17="Distrato",$E553,0)),MIN(AX$38,$D$19),$P$20))-SUM($P553:AW553)</f>
        <v>#VALUE!</v>
      </c>
      <c r="AY553" s="446" t="e">
        <f>IF(OR($B553="",MIN(AY$38,$D$19)&lt;MAX($P$34*($B553+IF($R$17="Distrato",$I$38-1,0)),IF(AND($L$37=0,$P$34=0),"",$L$37-1),IF($R$17="Distrato",$E553,0))),0,YEARFRAC(MAX($P$34*($B553+IF($R$17="Distrato",$I$38-1,0)),IF(AND($L$37=0,$P$34=0),"",$L$37-1),IF($R$17="Distrato",$E553,0)),MIN(AY$38,$D$19),$P$20))-SUM($P553:AX553)</f>
        <v>#VALUE!</v>
      </c>
      <c r="AZ553" s="446" t="e">
        <f>IF(OR($B553="",MIN(AZ$38,$D$19)&lt;MAX($P$34*($B553+IF($R$17="Distrato",$I$38-1,0)),IF(AND($L$37=0,$P$34=0),"",$L$37-1),IF($R$17="Distrato",$E553,0))),0,YEARFRAC(MAX($P$34*($B553+IF($R$17="Distrato",$I$38-1,0)),IF(AND($L$37=0,$P$34=0),"",$L$37-1),IF($R$17="Distrato",$E553,0)),MIN(AZ$38,$D$19),$P$20))-SUM($P553:AY553)</f>
        <v>#VALUE!</v>
      </c>
      <c r="BA553" s="446" t="e">
        <f>IF(OR($B553="",MIN(BA$38,$D$19)&lt;MAX($P$34*($B553+IF($R$17="Distrato",$I$38-1,0)),IF(AND($L$37=0,$P$34=0),"",$L$37-1),IF($R$17="Distrato",$E553,0))),0,YEARFRAC(MAX($P$34*($B553+IF($R$17="Distrato",$I$38-1,0)),IF(AND($L$37=0,$P$34=0),"",$L$37-1),IF($R$17="Distrato",$E553,0)),MIN(BA$38,$D$19),$P$20))-SUM($P553:AZ553)</f>
        <v>#VALUE!</v>
      </c>
      <c r="BB553" s="447"/>
      <c r="BF553" s="446">
        <f t="shared" si="98"/>
        <v>0</v>
      </c>
      <c r="BG553" s="446">
        <f>IF($E553=0,0,IF(MIN(BG$38,$E553)&lt;MAX($P$34*($B553+$I$38-1),IF(AND($L$37=0,$P$34=0),"",$L$37-1)),0,YEARFRAC(MAX($P$34*($B553+$I$38-1),IF(AND($L$37=0,$P$34=0),"",$L$37-1)),MIN(BG$38,$E553),$P$20))-SUM($BF553:BF553))</f>
        <v>0</v>
      </c>
      <c r="BH553" s="446">
        <f>IF($E553=0,0,IF(MIN(BH$38,$E553)&lt;MAX($P$34*($B553+$I$38-1),IF(AND($L$37=0,$P$34=0),"",$L$37-1)),0,YEARFRAC(MAX($P$34*($B553+$I$38-1),IF(AND($L$37=0,$P$34=0),"",$L$37-1)),MIN(BH$38,$E553),$P$20))-SUM($BF553:BG553))</f>
        <v>0</v>
      </c>
      <c r="BI553" s="446">
        <f>IF($E553=0,0,IF(MIN(BI$38,$E553)&lt;MAX($P$34*($B553+$I$38-1),IF(AND($L$37=0,$P$34=0),"",$L$37-1)),0,YEARFRAC(MAX($P$34*($B553+$I$38-1),IF(AND($L$37=0,$P$34=0),"",$L$37-1)),MIN(BI$38,$E553),$P$20))-SUM($BF553:BH553))</f>
        <v>0</v>
      </c>
      <c r="BJ553" s="446">
        <f>IF($E553=0,0,IF(MIN(BJ$38,$E553)&lt;MAX($P$34*($B553+$I$38-1),IF(AND($L$37=0,$P$34=0),"",$L$37-1)),0,YEARFRAC(MAX($P$34*($B553+$I$38-1),IF(AND($L$37=0,$P$34=0),"",$L$37-1)),MIN(BJ$38,$E553),$P$20))-SUM($BF553:BI553))</f>
        <v>0</v>
      </c>
      <c r="BK553" s="446">
        <f>IF($E553=0,0,IF(MIN(BK$38,$E553)&lt;MAX($P$34*($B553+$I$38-1),IF(AND($L$37=0,$P$34=0),"",$L$37-1)),0,YEARFRAC(MAX($P$34*($B553+$I$38-1),IF(AND($L$37=0,$P$34=0),"",$L$37-1)),MIN(BK$38,$E553),$P$20))-SUM($BF553:BJ553))</f>
        <v>0</v>
      </c>
      <c r="BL553" s="446">
        <f>IF($E553=0,0,IF(MIN(BL$38,$E553)&lt;MAX($P$34*($B553+$I$38-1),IF(AND($L$37=0,$P$34=0),"",$L$37-1)),0,YEARFRAC(MAX($P$34*($B553+$I$38-1),IF(AND($L$37=0,$P$34=0),"",$L$37-1)),MIN(BL$38,$E553),$P$20))-SUM($BF553:BK553))</f>
        <v>0</v>
      </c>
      <c r="BM553" s="446">
        <f>IF($E553=0,0,IF(MIN(BM$38,$E553)&lt;MAX($P$34*($B553+$I$38-1),IF(AND($L$37=0,$P$34=0),"",$L$37-1)),0,YEARFRAC(MAX($P$34*($B553+$I$38-1),IF(AND($L$37=0,$P$34=0),"",$L$37-1)),MIN(BM$38,$E553),$P$20))-SUM($BF553:BL553))</f>
        <v>0</v>
      </c>
      <c r="BN553" s="446">
        <f>IF($E553=0,0,IF(MIN(BN$38,$E553)&lt;MAX($P$34*($B553+$I$38-1),IF(AND($L$37=0,$P$34=0),"",$L$37-1)),0,YEARFRAC(MAX($P$34*($B553+$I$38-1),IF(AND($L$37=0,$P$34=0),"",$L$37-1)),MIN(BN$38,$E553),$P$20))-SUM($BF553:BM553))</f>
        <v>0</v>
      </c>
      <c r="BO553" s="446">
        <f>IF($E553=0,0,IF(MIN(BO$38,$E553)&lt;MAX($P$34*($B553+$I$38-1),IF(AND($L$37=0,$P$34=0),"",$L$37-1)),0,YEARFRAC(MAX($P$34*($B553+$I$38-1),IF(AND($L$37=0,$P$34=0),"",$L$37-1)),MIN(BO$38,$E553),$P$20))-SUM($BF553:BN553))</f>
        <v>0</v>
      </c>
      <c r="BP553" s="446">
        <f>IF($E553=0,0,IF(MIN(BP$38,$E553)&lt;MAX($P$34*($B553+$I$38-1),IF(AND($L$37=0,$P$34=0),"",$L$37-1)),0,YEARFRAC(MAX($P$34*($B553+$I$38-1),IF(AND($L$37=0,$P$34=0),"",$L$37-1)),MIN(BP$38,$E553),$P$20))-SUM($BF553:BO553))</f>
        <v>0</v>
      </c>
      <c r="BQ553" s="446">
        <f>IF($E553=0,0,IF(MIN(BQ$38,$E553)&lt;MAX($P$34*($B553+$I$38-1),IF(AND($L$37=0,$P$34=0),"",$L$37-1)),0,YEARFRAC(MAX($P$34*($B553+$I$38-1),IF(AND($L$37=0,$P$34=0),"",$L$37-1)),MIN(BQ$38,$E553),$P$20))-SUM($BF553:BP553))</f>
        <v>0</v>
      </c>
      <c r="BR553" s="446">
        <f>IF($E553=0,0,IF(MIN(BR$38,$E553)&lt;MAX($P$34*($B553+$I$38-1),IF(AND($L$37=0,$P$34=0),"",$L$37-1)),0,YEARFRAC(MAX($P$34*($B553+$I$38-1),IF(AND($L$37=0,$P$34=0),"",$L$37-1)),MIN(BR$38,$E553),$P$20))-SUM($BF553:BQ553))</f>
        <v>0</v>
      </c>
      <c r="BS553" s="446">
        <f>IF($E553=0,0,IF(MIN(BS$38,$E553)&lt;MAX($P$34*($B553+$I$38-1),IF(AND($L$37=0,$P$34=0),"",$L$37-1)),0,YEARFRAC(MAX($P$34*($B553+$I$38-1),IF(AND($L$37=0,$P$34=0),"",$L$37-1)),MIN(BS$38,$E553),$P$20))-SUM($BF553:BR553))</f>
        <v>0</v>
      </c>
      <c r="BT553" s="446">
        <f>IF($E553=0,0,IF(MIN(BT$38,$E553)&lt;MAX($P$34*($B553+$I$38-1),IF(AND($L$37=0,$P$34=0),"",$L$37-1)),0,YEARFRAC(MAX($P$34*($B553+$I$38-1),IF(AND($L$37=0,$P$34=0),"",$L$37-1)),MIN(BT$38,$E553),$P$20))-SUM($BF553:BS553))</f>
        <v>0</v>
      </c>
      <c r="BU553" s="446">
        <f>IF($E553=0,0,IF(MIN(BU$38,$E553)&lt;MAX($P$34*($B553+$I$38-1),IF(AND($L$37=0,$P$34=0),"",$L$37-1)),0,YEARFRAC(MAX($P$34*($B553+$I$38-1),IF(AND($L$37=0,$P$34=0),"",$L$37-1)),MIN(BU$38,$E553),$P$20))-SUM($BF553:BT553))</f>
        <v>0</v>
      </c>
      <c r="BV553" s="446">
        <f>IF($E553=0,0,IF(MIN(BV$38,$E553)&lt;MAX($P$34*($B553+$I$38-1),IF(AND($L$37=0,$P$34=0),"",$L$37-1)),0,YEARFRAC(MAX($P$34*($B553+$I$38-1),IF(AND($L$37=0,$P$34=0),"",$L$37-1)),MIN(BV$38,$E553),$P$20))-SUM($BF553:BU553))</f>
        <v>0</v>
      </c>
      <c r="BW553" s="446">
        <f>IF($E553=0,0,IF(MIN(BW$38,$E553)&lt;MAX($P$34*($B553+$I$38-1),IF(AND($L$37=0,$P$34=0),"",$L$37-1)),0,YEARFRAC(MAX($P$34*($B553+$I$38-1),IF(AND($L$37=0,$P$34=0),"",$L$37-1)),MIN(BW$38,$E553),$P$20))-SUM($BF553:BV553))</f>
        <v>0</v>
      </c>
      <c r="BX553" s="446">
        <f>IF($E553=0,0,IF(MIN(BX$38,$E553)&lt;MAX($P$34*($B553+$I$38-1),IF(AND($L$37=0,$P$34=0),"",$L$37-1)),0,YEARFRAC(MAX($P$34*($B553+$I$38-1),IF(AND($L$37=0,$P$34=0),"",$L$37-1)),MIN(BX$38,$E553),$P$20))-SUM($BF553:BW553))</f>
        <v>0</v>
      </c>
      <c r="BY553" s="446">
        <f>IF($E553=0,0,IF(MIN(BY$38,$E553)&lt;MAX($P$34*($B553+$I$38-1),IF(AND($L$37=0,$P$34=0),"",$L$37-1)),0,YEARFRAC(MAX($P$34*($B553+$I$38-1),IF(AND($L$37=0,$P$34=0),"",$L$37-1)),MIN(BY$38,$E553),$P$20))-SUM($BF553:BX553))</f>
        <v>0</v>
      </c>
      <c r="BZ553" s="446">
        <f>IF($E553=0,0,IF(MIN(BZ$38,$E553)&lt;MAX($P$34*($B553+$I$38-1),IF(AND($L$37=0,$P$34=0),"",$L$37-1)),0,YEARFRAC(MAX($P$34*($B553+$I$38-1),IF(AND($L$37=0,$P$34=0),"",$L$37-1)),MIN(BZ$38,$E553),$P$20))-SUM($BF553:BY553))</f>
        <v>0</v>
      </c>
      <c r="CA553" s="446">
        <f>IF($E553=0,0,IF(MIN(CA$38,$E553)&lt;MAX($P$34*($B553+$I$38-1),IF(AND($L$37=0,$P$34=0),"",$L$37-1)),0,YEARFRAC(MAX($P$34*($B553+$I$38-1),IF(AND($L$37=0,$P$34=0),"",$L$37-1)),MIN(CA$38,$E553),$P$20))-SUM($BF553:BZ553))</f>
        <v>0</v>
      </c>
      <c r="CB553" s="446">
        <f>IF($E553=0,0,IF(MIN(CB$38,$E553)&lt;MAX($P$34*($B553+$I$38-1),IF(AND($L$37=0,$P$34=0),"",$L$37-1)),0,YEARFRAC(MAX($P$34*($B553+$I$38-1),IF(AND($L$37=0,$P$34=0),"",$L$37-1)),MIN(CB$38,$E553),$P$20))-SUM($BF553:CA553))</f>
        <v>0</v>
      </c>
      <c r="CC553" s="446">
        <f>IF($E553=0,0,IF(MIN(CC$38,$E553)&lt;MAX($P$34*($B553+$I$38-1),IF(AND($L$37=0,$P$34=0),"",$L$37-1)),0,YEARFRAC(MAX($P$34*($B553+$I$38-1),IF(AND($L$37=0,$P$34=0),"",$L$37-1)),MIN(CC$38,$E553),$P$20))-SUM($BF553:CB553))</f>
        <v>0</v>
      </c>
      <c r="CD553" s="446">
        <f>IF($E553=0,0,IF(MIN(CD$38,$E553)&lt;MAX($P$34*($B553+$I$38-1),IF(AND($L$37=0,$P$34=0),"",$L$37-1)),0,YEARFRAC(MAX($P$34*($B553+$I$38-1),IF(AND($L$37=0,$P$34=0),"",$L$37-1)),MIN(CD$38,$E553),$P$20))-SUM($BF553:CC553))</f>
        <v>0</v>
      </c>
      <c r="CE553" s="446">
        <f>IF($E553=0,0,IF(MIN(CE$38,$E553)&lt;MAX($P$34*($B553+$I$38-1),IF(AND($L$37=0,$P$34=0),"",$L$37-1)),0,YEARFRAC(MAX($P$34*($B553+$I$38-1),IF(AND($L$37=0,$P$34=0),"",$L$37-1)),MIN(CE$38,$E553),$P$20))-SUM($BF553:CD553))</f>
        <v>0</v>
      </c>
      <c r="CF553" s="446">
        <f>IF($E553=0,0,IF(MIN(CF$38,$E553)&lt;MAX($P$34*($B553+$I$38-1),IF(AND($L$37=0,$P$34=0),"",$L$37-1)),0,YEARFRAC(MAX($P$34*($B553+$I$38-1),IF(AND($L$37=0,$P$34=0),"",$L$37-1)),MIN(CF$38,$E553),$P$20))-SUM($BF553:CE553))</f>
        <v>0</v>
      </c>
      <c r="CG553" s="446">
        <f>IF($E553=0,0,IF(MIN(CG$38,$E553)&lt;MAX($P$34*($B553+$I$38-1),IF(AND($L$37=0,$P$34=0),"",$L$37-1)),0,YEARFRAC(MAX($P$34*($B553+$I$38-1),IF(AND($L$37=0,$P$34=0),"",$L$37-1)),MIN(CG$38,$E553),$P$20))-SUM($BF553:CF553))</f>
        <v>0</v>
      </c>
      <c r="CH553" s="446">
        <f>IF($E553=0,0,IF(MIN(CH$38,$E553)&lt;MAX($P$34*($B553+$I$38-1),IF(AND($L$37=0,$P$34=0),"",$L$37-1)),0,YEARFRAC(MAX($P$34*($B553+$I$38-1),IF(AND($L$37=0,$P$34=0),"",$L$37-1)),MIN(CH$38,$E553),$P$20))-SUM($BF553:CG553))</f>
        <v>0</v>
      </c>
      <c r="CI553" s="446">
        <f>IF($E553=0,0,IF(MIN(CI$38,$E553)&lt;MAX($P$34*($B553+$I$38-1),IF(AND($L$37=0,$P$34=0),"",$L$37-1)),0,YEARFRAC(MAX($P$34*($B553+$I$38-1),IF(AND($L$37=0,$P$34=0),"",$L$37-1)),MIN(CI$38,$E553),$P$20))-SUM($BF553:CH553))</f>
        <v>0</v>
      </c>
      <c r="CJ553" s="446">
        <f>IF($E553=0,0,IF(MIN(CJ$38,$E553)&lt;MAX($P$34*($B553+$I$38-1),IF(AND($L$37=0,$P$34=0),"",$L$37-1)),0,YEARFRAC(MAX($P$34*($B553+$I$38-1),IF(AND($L$37=0,$P$34=0),"",$L$37-1)),MIN(CJ$38,$E553),$P$20))-SUM($BF553:CI553))</f>
        <v>0</v>
      </c>
      <c r="CK553" s="446">
        <f>IF($E553=0,0,IF(MIN(CK$38,$E553)&lt;MAX($P$34*($B553+$I$38-1),IF(AND($L$37=0,$P$34=0),"",$L$37-1)),0,YEARFRAC(MAX($P$34*($B553+$I$38-1),IF(AND($L$37=0,$P$34=0),"",$L$37-1)),MIN(CK$38,$E553),$P$20))-SUM($BF553:CJ553))</f>
        <v>0</v>
      </c>
      <c r="CL553" s="446">
        <f>IF($E553=0,0,IF(MIN(CL$38,$E553)&lt;MAX($P$34*($B553+$I$38-1),IF(AND($L$37=0,$P$34=0),"",$L$37-1)),0,YEARFRAC(MAX($P$34*($B553+$I$38-1),IF(AND($L$37=0,$P$34=0),"",$L$37-1)),MIN(CL$38,$E553),$P$20))-SUM($BF553:CK553))</f>
        <v>0</v>
      </c>
      <c r="CM553" s="446">
        <f>IF($E553=0,0,IF(MIN(CM$38,$E553)&lt;MAX($P$34*($B553+$I$38-1),IF(AND($L$37=0,$P$34=0),"",$L$37-1)),0,YEARFRAC(MAX($P$34*($B553+$I$38-1),IF(AND($L$37=0,$P$34=0),"",$L$37-1)),MIN(CM$38,$E553),$P$20))-SUM($BF553:CL553))</f>
        <v>0</v>
      </c>
      <c r="CN553" s="446">
        <f>IF($E553=0,0,IF(MIN(CN$38,$E553)&lt;MAX($P$34*($B553+$I$38-1),IF(AND($L$37=0,$P$34=0),"",$L$37-1)),0,YEARFRAC(MAX($P$34*($B553+$I$38-1),IF(AND($L$37=0,$P$34=0),"",$L$37-1)),MIN(CN$38,$E553),$P$20))-SUM($BF553:CM553))</f>
        <v>0</v>
      </c>
      <c r="CO553" s="446">
        <f>IF($E553=0,0,IF(MIN(CO$38,$E553)&lt;MAX($P$34*($B553+$I$38-1),IF(AND($L$37=0,$P$34=0),"",$L$37-1)),0,YEARFRAC(MAX($P$34*($B553+$I$38-1),IF(AND($L$37=0,$P$34=0),"",$L$37-1)),MIN(CO$38,$E553),$P$20))-SUM($BF553:CN553))</f>
        <v>0</v>
      </c>
      <c r="CP553" s="446">
        <f>IF($E553=0,0,IF(MIN(CP$38,$E553)&lt;MAX($P$34*($B553+$I$38-1),IF(AND($L$37=0,$P$34=0),"",$L$37-1)),0,YEARFRAC(MAX($P$34*($B553+$I$38-1),IF(AND($L$37=0,$P$34=0),"",$L$37-1)),MIN(CP$38,$E553),$P$20))-SUM($BF553:CO553))</f>
        <v>0</v>
      </c>
      <c r="CQ553" s="446">
        <f>IF($E553=0,0,IF(MIN(CQ$38,$E553)&lt;MAX($P$34*($B553+$I$38-1),IF(AND($L$37=0,$P$34=0),"",$L$37-1)),0,YEARFRAC(MAX($P$34*($B553+$I$38-1),IF(AND($L$37=0,$P$34=0),"",$L$37-1)),MIN(CQ$38,$E553),$P$20))-SUM($BF553:CP553))</f>
        <v>0</v>
      </c>
    </row>
    <row r="554" spans="1:95" s="446" customFormat="1" ht="11.25" hidden="1" customHeight="1" x14ac:dyDescent="0.2">
      <c r="A554" s="152"/>
      <c r="B554" s="153" t="str">
        <f t="shared" ref="B554:B609" si="103">IF(B553="","",IF(AND(MONTH(B553)=12,MONTH(B552)=11,$B$38="com 13º"),IF(B553&gt;$D$19,"",B553),IF(DATE(YEAR(B553),MONTH(B553)+1,DAY(B553))&gt;$D$19,"",DATE(YEAR(B553),MONTH(B553)+1,DAY(B553)))))</f>
        <v/>
      </c>
      <c r="C554" s="29" t="str">
        <f>IF(B554="","",IF($L$35="SELIC - TRIBUTOS",VLOOKUP(DATE(YEAR($D$19),MONTH($D$19)-1,1),ÍNDICES!$A:$DE,HLOOKUP($BL$25,ÍNDICES!$B$3:$T$4,2)+11)-VLOOKUP(B554,ÍNDICES!$A:$DE,HLOOKUP($BL$25,ÍNDICES!$B$3:$T$4,2)+11)+1%,IF(C$38=$W$26,$J$35,IF(ISERROR(IF(B554&gt;$D$19,1,VLOOKUP(DATE(YEAR(B554),MONTH(B554)+IF($C$35=$S$23,1,0),1),ÍNDICES!$A:$DE,$Z$35+1))),"",IF(B554&gt;$D$19,1,VLOOKUP(DATE(YEAR(B554),MONTH(B554)+IF($C$35=$S$23,1,0),1),ÍNDICES!$A:$DE,$Z$35+1))))))</f>
        <v/>
      </c>
      <c r="D554" s="154" t="str">
        <f>IF(ISERROR(IF(OR($D$38=$Y$27,$B554=""),"",VLOOKUP(B554,ÍNDICES!A:DE,AF$35+1))),"",IF(OR($D$38=$Y$27,$B554=""),"",VLOOKUP(B554,ÍNDICES!A:DE,AF$35+1)))</f>
        <v/>
      </c>
      <c r="E554" s="153"/>
      <c r="F554" s="29" t="str">
        <f>IF(E554="","",IF($L$35="SELIC - TRIBUTOS",VLOOKUP(DATE(YEAR($D$19),MONTH($D$19)-1,1),ÍNDICES!$A:$DE,HLOOKUP($BL$25,ÍNDICES!$B$3:$T$4,2)+11)-VLOOKUP(E554,ÍNDICES!$A:$DE,HLOOKUP($BL$25,ÍNDICES!$B$3:$T$4,2)+11)+1%,IF(F$38=$W$26,$J$35,IF(ISERROR(IF(E554&gt;$D$19,1,VLOOKUP(DATE(YEAR(E554),MONTH(E554)+IF($C$35=$S$23,1,0),1),ÍNDICES!$A:$DE,$Z$35+1))),"",IF(E554&gt;$D$19,1,VLOOKUP(DATE(YEAR(E554),MONTH(E554)+IF($C$35=$S$23,1,0),1),ÍNDICES!$A:$DE,$Z$35+1))))))</f>
        <v/>
      </c>
      <c r="G554" s="155"/>
      <c r="H554" s="156" t="str">
        <f t="shared" si="99"/>
        <v/>
      </c>
      <c r="I554" s="29" t="str">
        <f t="shared" si="93"/>
        <v/>
      </c>
      <c r="J554" s="5">
        <f t="shared" si="94"/>
        <v>0</v>
      </c>
      <c r="K554" s="20">
        <f t="shared" ca="1" si="95"/>
        <v>0</v>
      </c>
      <c r="L554" s="5">
        <f t="shared" ca="1" si="96"/>
        <v>0</v>
      </c>
      <c r="M554" s="64">
        <f t="shared" si="100"/>
        <v>0</v>
      </c>
      <c r="N554" s="61">
        <f t="shared" ca="1" si="101"/>
        <v>0</v>
      </c>
      <c r="O554" s="5">
        <f t="shared" ca="1" si="102"/>
        <v>0</v>
      </c>
      <c r="P554" s="446" t="e">
        <f t="shared" si="97"/>
        <v>#VALUE!</v>
      </c>
      <c r="Q554" s="446" t="e">
        <f>IF(OR($B554="",MIN(Q$38,$D$19)&lt;MAX($P$34*($B554+IF($R$17="Distrato",$I$38-1,0)),IF(AND($L$37=0,$P$34=0),"",$L$37-1),IF($R$17="Distrato",$E554,0))),0,YEARFRAC(MAX($P$34*($B554+IF($R$17="Distrato",$I$38-1,0)),IF(AND($L$37=0,$P$34=0),"",$L$37-1),IF($R$17="Distrato",$E554,0)),MIN(Q$38,$D$19),$P$20))-SUM($P554:P554)</f>
        <v>#VALUE!</v>
      </c>
      <c r="R554" s="446" t="e">
        <f>IF(OR($B554="",MIN(R$38,$D$19)&lt;MAX($P$34*($B554+IF($R$17="Distrato",$I$38-1,0)),IF(AND($L$37=0,$P$34=0),"",$L$37-1),IF($R$17="Distrato",$E554,0))),0,YEARFRAC(MAX($P$34*($B554+IF($R$17="Distrato",$I$38-1,0)),IF(AND($L$37=0,$P$34=0),"",$L$37-1),IF($R$17="Distrato",$E554,0)),MIN(R$38,$D$19),$P$20))-SUM($P554:Q554)</f>
        <v>#VALUE!</v>
      </c>
      <c r="S554" s="446" t="e">
        <f>IF(OR($B554="",MIN(S$38,$D$19)&lt;MAX($P$34*($B554+IF($R$17="Distrato",$I$38-1,0)),IF(AND($L$37=0,$P$34=0),"",$L$37-1),IF($R$17="Distrato",$E554,0))),0,YEARFRAC(MAX($P$34*($B554+IF($R$17="Distrato",$I$38-1,0)),IF(AND($L$37=0,$P$34=0),"",$L$37-1),IF($R$17="Distrato",$E554,0)),MIN(S$38,$D$19),$P$20))-SUM($P554:R554)</f>
        <v>#VALUE!</v>
      </c>
      <c r="T554" s="446" t="e">
        <f>IF(OR($B554="",MIN(T$38,$D$19)&lt;MAX($P$34*($B554+IF($R$17="Distrato",$I$38-1,0)),IF(AND($L$37=0,$P$34=0),"",$L$37-1),IF($R$17="Distrato",$E554,0))),0,YEARFRAC(MAX($P$34*($B554+IF($R$17="Distrato",$I$38-1,0)),IF(AND($L$37=0,$P$34=0),"",$L$37-1),IF($R$17="Distrato",$E554,0)),MIN(T$38,$D$19),$P$20))-SUM($P554:S554)</f>
        <v>#VALUE!</v>
      </c>
      <c r="U554" s="446" t="e">
        <f>IF(OR($B554="",MIN(U$38,$D$19)&lt;MAX($P$34*($B554+IF($R$17="Distrato",$I$38-1,0)),IF(AND($L$37=0,$P$34=0),"",$L$37-1),IF($R$17="Distrato",$E554,0))),0,YEARFRAC(MAX($P$34*($B554+IF($R$17="Distrato",$I$38-1,0)),IF(AND($L$37=0,$P$34=0),"",$L$37-1),IF($R$17="Distrato",$E554,0)),MIN(U$38,$D$19),$P$20))-SUM($P554:T554)</f>
        <v>#VALUE!</v>
      </c>
      <c r="V554" s="446" t="e">
        <f>IF(OR($B554="",MIN(V$38,$D$19)&lt;MAX($P$34*($B554+IF($R$17="Distrato",$I$38-1,0)),IF(AND($L$37=0,$P$34=0),"",$L$37-1),IF($R$17="Distrato",$E554,0))),0,YEARFRAC(MAX($P$34*($B554+IF($R$17="Distrato",$I$38-1,0)),IF(AND($L$37=0,$P$34=0),"",$L$37-1),IF($R$17="Distrato",$E554,0)),MIN(V$38,$D$19),$P$20))-SUM($P554:U554)</f>
        <v>#VALUE!</v>
      </c>
      <c r="W554" s="446" t="e">
        <f>IF(OR($B554="",MIN(W$38,$D$19)&lt;MAX($P$34*($B554+IF($R$17="Distrato",$I$38-1,0)),IF(AND($L$37=0,$P$34=0),"",$L$37-1),IF($R$17="Distrato",$E554,0))),0,YEARFRAC(MAX($P$34*($B554+IF($R$17="Distrato",$I$38-1,0)),IF(AND($L$37=0,$P$34=0),"",$L$37-1),IF($R$17="Distrato",$E554,0)),MIN(W$38,$D$19),$P$20))-SUM($P554:V554)</f>
        <v>#VALUE!</v>
      </c>
      <c r="X554" s="446" t="e">
        <f>IF(OR($B554="",MIN(X$38,$D$19)&lt;MAX($P$34*($B554+IF($R$17="Distrato",$I$38-1,0)),IF(AND($L$37=0,$P$34=0),"",$L$37-1),IF($R$17="Distrato",$E554,0))),0,YEARFRAC(MAX($P$34*($B554+IF($R$17="Distrato",$I$38-1,0)),IF(AND($L$37=0,$P$34=0),"",$L$37-1),IF($R$17="Distrato",$E554,0)),MIN(X$38,$D$19),$P$20))-SUM($P554:W554)</f>
        <v>#VALUE!</v>
      </c>
      <c r="Y554" s="446" t="e">
        <f>IF(OR($B554="",MIN(Y$38,$D$19)&lt;MAX($P$34*($B554+IF($R$17="Distrato",$I$38-1,0)),IF(AND($L$37=0,$P$34=0),"",$L$37-1),IF($R$17="Distrato",$E554,0))),0,YEARFRAC(MAX($P$34*($B554+IF($R$17="Distrato",$I$38-1,0)),IF(AND($L$37=0,$P$34=0),"",$L$37-1),IF($R$17="Distrato",$E554,0)),MIN(Y$38,$D$19),$P$20))-SUM($P554:X554)</f>
        <v>#VALUE!</v>
      </c>
      <c r="Z554" s="446" t="e">
        <f>IF(OR($B554="",MIN(Z$38,$D$19)&lt;MAX($P$34*($B554+IF($R$17="Distrato",$I$38-1,0)),IF(AND($L$37=0,$P$34=0),"",$L$37-1),IF($R$17="Distrato",$E554,0))),0,YEARFRAC(MAX($P$34*($B554+IF($R$17="Distrato",$I$38-1,0)),IF(AND($L$37=0,$P$34=0),"",$L$37-1),IF($R$17="Distrato",$E554,0)),MIN(Z$38,$D$19),$P$20))-SUM($P554:Y554)</f>
        <v>#VALUE!</v>
      </c>
      <c r="AA554" s="446" t="e">
        <f>IF(OR($B554="",MIN(AA$38,$D$19)&lt;MAX($P$34*($B554+IF($R$17="Distrato",$I$38-1,0)),IF(AND($L$37=0,$P$34=0),"",$L$37-1),IF($R$17="Distrato",$E554,0))),0,YEARFRAC(MAX($P$34*($B554+IF($R$17="Distrato",$I$38-1,0)),IF(AND($L$37=0,$P$34=0),"",$L$37-1),IF($R$17="Distrato",$E554,0)),MIN(AA$38,$D$19),$P$20))-SUM($P554:Z554)</f>
        <v>#VALUE!</v>
      </c>
      <c r="AB554" s="446" t="e">
        <f>IF(OR($B554="",MIN(AB$38,$D$19)&lt;MAX($P$34*($B554+IF($R$17="Distrato",$I$38-1,0)),IF(AND($L$37=0,$P$34=0),"",$L$37-1),IF($R$17="Distrato",$E554,0))),0,YEARFRAC(MAX($P$34*($B554+IF($R$17="Distrato",$I$38-1,0)),IF(AND($L$37=0,$P$34=0),"",$L$37-1),IF($R$17="Distrato",$E554,0)),MIN(AB$38,$D$19),$P$20))-SUM($P554:AA554)</f>
        <v>#VALUE!</v>
      </c>
      <c r="AC554" s="446" t="e">
        <f>IF(OR($B554="",MIN(AC$38,$D$19)&lt;MAX($P$34*($B554+IF($R$17="Distrato",$I$38-1,0)),IF(AND($L$37=0,$P$34=0),"",$L$37-1),IF($R$17="Distrato",$E554,0))),0,YEARFRAC(MAX($P$34*($B554+IF($R$17="Distrato",$I$38-1,0)),IF(AND($L$37=0,$P$34=0),"",$L$37-1),IF($R$17="Distrato",$E554,0)),MIN(AC$38,$D$19),$P$20))-SUM($P554:AB554)</f>
        <v>#VALUE!</v>
      </c>
      <c r="AD554" s="446" t="e">
        <f>IF(OR($B554="",MIN(AD$38,$D$19)&lt;MAX($P$34*($B554+IF($R$17="Distrato",$I$38-1,0)),IF(AND($L$37=0,$P$34=0),"",$L$37-1),IF($R$17="Distrato",$E554,0))),0,YEARFRAC(MAX($P$34*($B554+IF($R$17="Distrato",$I$38-1,0)),IF(AND($L$37=0,$P$34=0),"",$L$37-1),IF($R$17="Distrato",$E554,0)),MIN(AD$38,$D$19),$P$20))-SUM($P554:AC554)</f>
        <v>#VALUE!</v>
      </c>
      <c r="AE554" s="446" t="e">
        <f>IF(OR($B554="",MIN(AE$38,$D$19)&lt;MAX($P$34*($B554+IF($R$17="Distrato",$I$38-1,0)),IF(AND($L$37=0,$P$34=0),"",$L$37-1),IF($R$17="Distrato",$E554,0))),0,YEARFRAC(MAX($P$34*($B554+IF($R$17="Distrato",$I$38-1,0)),IF(AND($L$37=0,$P$34=0),"",$L$37-1),IF($R$17="Distrato",$E554,0)),MIN(AE$38,$D$19),$P$20))-SUM($P554:AD554)</f>
        <v>#VALUE!</v>
      </c>
      <c r="AF554" s="446" t="e">
        <f>IF(OR($B554="",MIN(AF$38,$D$19)&lt;MAX($P$34*($B554+IF($R$17="Distrato",$I$38-1,0)),IF(AND($L$37=0,$P$34=0),"",$L$37-1),IF($R$17="Distrato",$E554,0))),0,YEARFRAC(MAX($P$34*($B554+IF($R$17="Distrato",$I$38-1,0)),IF(AND($L$37=0,$P$34=0),"",$L$37-1),IF($R$17="Distrato",$E554,0)),MIN(AF$38,$D$19),$P$20))-SUM($P554:AE554)</f>
        <v>#VALUE!</v>
      </c>
      <c r="AG554" s="446" t="e">
        <f>IF(OR($B554="",MIN(AG$38,$D$19)&lt;MAX($P$34*($B554+IF($R$17="Distrato",$I$38-1,0)),IF(AND($L$37=0,$P$34=0),"",$L$37-1),IF($R$17="Distrato",$E554,0))),0,YEARFRAC(MAX($P$34*($B554+IF($R$17="Distrato",$I$38-1,0)),IF(AND($L$37=0,$P$34=0),"",$L$37-1),IF($R$17="Distrato",$E554,0)),MIN(AG$38,$D$19),$P$20))-SUM($P554:AF554)</f>
        <v>#VALUE!</v>
      </c>
      <c r="AH554" s="446" t="e">
        <f>IF(OR($B554="",MIN(AH$38,$D$19)&lt;MAX($P$34*($B554+IF($R$17="Distrato",$I$38-1,0)),IF(AND($L$37=0,$P$34=0),"",$L$37-1),IF($R$17="Distrato",$E554,0))),0,YEARFRAC(MAX($P$34*($B554+IF($R$17="Distrato",$I$38-1,0)),IF(AND($L$37=0,$P$34=0),"",$L$37-1),IF($R$17="Distrato",$E554,0)),MIN(AH$38,$D$19),$P$20))-SUM($P554:AG554)</f>
        <v>#VALUE!</v>
      </c>
      <c r="AI554" s="446" t="e">
        <f>IF(OR($B554="",MIN(AI$38,$D$19)&lt;MAX($P$34*($B554+IF($R$17="Distrato",$I$38-1,0)),IF(AND($L$37=0,$P$34=0),"",$L$37-1),IF($R$17="Distrato",$E554,0))),0,YEARFRAC(MAX($P$34*($B554+IF($R$17="Distrato",$I$38-1,0)),IF(AND($L$37=0,$P$34=0),"",$L$37-1),IF($R$17="Distrato",$E554,0)),MIN(AI$38,$D$19),$P$20))-SUM($P554:AH554)</f>
        <v>#VALUE!</v>
      </c>
      <c r="AJ554" s="446" t="e">
        <f>IF(OR($B554="",MIN(AJ$38,$D$19)&lt;MAX($P$34*($B554+IF($R$17="Distrato",$I$38-1,0)),IF(AND($L$37=0,$P$34=0),"",$L$37-1),IF($R$17="Distrato",$E554,0))),0,YEARFRAC(MAX($P$34*($B554+IF($R$17="Distrato",$I$38-1,0)),IF(AND($L$37=0,$P$34=0),"",$L$37-1),IF($R$17="Distrato",$E554,0)),MIN(AJ$38,$D$19),$P$20))-SUM($P554:AI554)</f>
        <v>#VALUE!</v>
      </c>
      <c r="AK554" s="446" t="e">
        <f>IF(OR($B554="",MIN(AK$38,$D$19)&lt;MAX($P$34*($B554+IF($R$17="Distrato",$I$38-1,0)),IF(AND($L$37=0,$P$34=0),"",$L$37-1),IF($R$17="Distrato",$E554,0))),0,YEARFRAC(MAX($P$34*($B554+IF($R$17="Distrato",$I$38-1,0)),IF(AND($L$37=0,$P$34=0),"",$L$37-1),IF($R$17="Distrato",$E554,0)),MIN(AK$38,$D$19),$P$20))-SUM($P554:AJ554)</f>
        <v>#VALUE!</v>
      </c>
      <c r="AL554" s="446" t="e">
        <f>IF(OR($B554="",MIN(AL$38,$D$19)&lt;MAX($P$34*($B554+IF($R$17="Distrato",$I$38-1,0)),IF(AND($L$37=0,$P$34=0),"",$L$37-1),IF($R$17="Distrato",$E554,0))),0,YEARFRAC(MAX($P$34*($B554+IF($R$17="Distrato",$I$38-1,0)),IF(AND($L$37=0,$P$34=0),"",$L$37-1),IF($R$17="Distrato",$E554,0)),MIN(AL$38,$D$19),$P$20))-SUM($P554:AK554)</f>
        <v>#VALUE!</v>
      </c>
      <c r="AM554" s="446" t="e">
        <f>IF(OR($B554="",MIN(AM$38,$D$19)&lt;MAX($P$34*($B554+IF($R$17="Distrato",$I$38-1,0)),IF(AND($L$37=0,$P$34=0),"",$L$37-1),IF($R$17="Distrato",$E554,0))),0,YEARFRAC(MAX($P$34*($B554+IF($R$17="Distrato",$I$38-1,0)),IF(AND($L$37=0,$P$34=0),"",$L$37-1),IF($R$17="Distrato",$E554,0)),MIN(AM$38,$D$19),$P$20))-SUM($P554:AL554)</f>
        <v>#VALUE!</v>
      </c>
      <c r="AN554" s="446" t="e">
        <f>IF(OR($B554="",MIN(AN$38,$D$19)&lt;MAX($P$34*($B554+IF($R$17="Distrato",$I$38-1,0)),IF(AND($L$37=0,$P$34=0),"",$L$37-1),IF($R$17="Distrato",$E554,0))),0,YEARFRAC(MAX($P$34*($B554+IF($R$17="Distrato",$I$38-1,0)),IF(AND($L$37=0,$P$34=0),"",$L$37-1),IF($R$17="Distrato",$E554,0)),MIN(AN$38,$D$19),$P$20))-SUM($P554:AM554)</f>
        <v>#VALUE!</v>
      </c>
      <c r="AO554" s="446" t="e">
        <f>IF(OR($B554="",MIN(AO$38,$D$19)&lt;MAX($P$34*($B554+IF($R$17="Distrato",$I$38-1,0)),IF(AND($L$37=0,$P$34=0),"",$L$37-1),IF($R$17="Distrato",$E554,0))),0,YEARFRAC(MAX($P$34*($B554+IF($R$17="Distrato",$I$38-1,0)),IF(AND($L$37=0,$P$34=0),"",$L$37-1),IF($R$17="Distrato",$E554,0)),MIN(AO$38,$D$19),$P$20))-SUM($P554:AN554)</f>
        <v>#VALUE!</v>
      </c>
      <c r="AP554" s="446" t="e">
        <f>IF(OR($B554="",MIN(AP$38,$D$19)&lt;MAX($P$34*($B554+IF($R$17="Distrato",$I$38-1,0)),IF(AND($L$37=0,$P$34=0),"",$L$37-1),IF($R$17="Distrato",$E554,0))),0,YEARFRAC(MAX($P$34*($B554+IF($R$17="Distrato",$I$38-1,0)),IF(AND($L$37=0,$P$34=0),"",$L$37-1),IF($R$17="Distrato",$E554,0)),MIN(AP$38,$D$19),$P$20))-SUM($P554:AO554)</f>
        <v>#VALUE!</v>
      </c>
      <c r="AQ554" s="446" t="e">
        <f>IF(OR($B554="",MIN(AQ$38,$D$19)&lt;MAX($P$34*($B554+IF($R$17="Distrato",$I$38-1,0)),IF(AND($L$37=0,$P$34=0),"",$L$37-1),IF($R$17="Distrato",$E554,0))),0,YEARFRAC(MAX($P$34*($B554+IF($R$17="Distrato",$I$38-1,0)),IF(AND($L$37=0,$P$34=0),"",$L$37-1),IF($R$17="Distrato",$E554,0)),MIN(AQ$38,$D$19),$P$20))-SUM($P554:AP554)</f>
        <v>#VALUE!</v>
      </c>
      <c r="AR554" s="446" t="e">
        <f>IF(OR($B554="",MIN(AR$38,$D$19)&lt;MAX($P$34*($B554+IF($R$17="Distrato",$I$38-1,0)),IF(AND($L$37=0,$P$34=0),"",$L$37-1),IF($R$17="Distrato",$E554,0))),0,YEARFRAC(MAX($P$34*($B554+IF($R$17="Distrato",$I$38-1,0)),IF(AND($L$37=0,$P$34=0),"",$L$37-1),IF($R$17="Distrato",$E554,0)),MIN(AR$38,$D$19),$P$20))-SUM($P554:AQ554)</f>
        <v>#VALUE!</v>
      </c>
      <c r="AS554" s="446" t="e">
        <f>IF(OR($B554="",MIN(AS$38,$D$19)&lt;MAX($P$34*($B554+IF($R$17="Distrato",$I$38-1,0)),IF(AND($L$37=0,$P$34=0),"",$L$37-1),IF($R$17="Distrato",$E554,0))),0,YEARFRAC(MAX($P$34*($B554+IF($R$17="Distrato",$I$38-1,0)),IF(AND($L$37=0,$P$34=0),"",$L$37-1),IF($R$17="Distrato",$E554,0)),MIN(AS$38,$D$19),$P$20))-SUM($P554:AR554)</f>
        <v>#VALUE!</v>
      </c>
      <c r="AT554" s="446" t="e">
        <f>IF(OR($B554="",MIN(AT$38,$D$19)&lt;MAX($P$34*($B554+IF($R$17="Distrato",$I$38-1,0)),IF(AND($L$37=0,$P$34=0),"",$L$37-1),IF($R$17="Distrato",$E554,0))),0,YEARFRAC(MAX($P$34*($B554+IF($R$17="Distrato",$I$38-1,0)),IF(AND($L$37=0,$P$34=0),"",$L$37-1),IF($R$17="Distrato",$E554,0)),MIN(AT$38,$D$19),$P$20))-SUM($P554:AS554)</f>
        <v>#VALUE!</v>
      </c>
      <c r="AU554" s="446" t="e">
        <f>IF(OR($B554="",MIN(AU$38,$D$19)&lt;MAX($P$34*($B554+IF($R$17="Distrato",$I$38-1,0)),IF(AND($L$37=0,$P$34=0),"",$L$37-1),IF($R$17="Distrato",$E554,0))),0,YEARFRAC(MAX($P$34*($B554+IF($R$17="Distrato",$I$38-1,0)),IF(AND($L$37=0,$P$34=0),"",$L$37-1),IF($R$17="Distrato",$E554,0)),MIN(AU$38,$D$19),$P$20))-SUM($P554:AT554)</f>
        <v>#VALUE!</v>
      </c>
      <c r="AV554" s="446" t="e">
        <f>IF(OR($B554="",MIN(AV$38,$D$19)&lt;MAX($P$34*($B554+IF($R$17="Distrato",$I$38-1,0)),IF(AND($L$37=0,$P$34=0),"",$L$37-1),IF($R$17="Distrato",$E554,0))),0,YEARFRAC(MAX($P$34*($B554+IF($R$17="Distrato",$I$38-1,0)),IF(AND($L$37=0,$P$34=0),"",$L$37-1),IF($R$17="Distrato",$E554,0)),MIN(AV$38,$D$19),$P$20))-SUM($P554:AU554)</f>
        <v>#VALUE!</v>
      </c>
      <c r="AW554" s="446" t="e">
        <f>IF(OR($B554="",MIN(AW$38,$D$19)&lt;MAX($P$34*($B554+IF($R$17="Distrato",$I$38-1,0)),IF(AND($L$37=0,$P$34=0),"",$L$37-1),IF($R$17="Distrato",$E554,0))),0,YEARFRAC(MAX($P$34*($B554+IF($R$17="Distrato",$I$38-1,0)),IF(AND($L$37=0,$P$34=0),"",$L$37-1),IF($R$17="Distrato",$E554,0)),MIN(AW$38,$D$19),$P$20))-SUM($P554:AV554)</f>
        <v>#VALUE!</v>
      </c>
      <c r="AX554" s="446" t="e">
        <f>IF(OR($B554="",MIN(AX$38,$D$19)&lt;MAX($P$34*($B554+IF($R$17="Distrato",$I$38-1,0)),IF(AND($L$37=0,$P$34=0),"",$L$37-1),IF($R$17="Distrato",$E554,0))),0,YEARFRAC(MAX($P$34*($B554+IF($R$17="Distrato",$I$38-1,0)),IF(AND($L$37=0,$P$34=0),"",$L$37-1),IF($R$17="Distrato",$E554,0)),MIN(AX$38,$D$19),$P$20))-SUM($P554:AW554)</f>
        <v>#VALUE!</v>
      </c>
      <c r="AY554" s="446" t="e">
        <f>IF(OR($B554="",MIN(AY$38,$D$19)&lt;MAX($P$34*($B554+IF($R$17="Distrato",$I$38-1,0)),IF(AND($L$37=0,$P$34=0),"",$L$37-1),IF($R$17="Distrato",$E554,0))),0,YEARFRAC(MAX($P$34*($B554+IF($R$17="Distrato",$I$38-1,0)),IF(AND($L$37=0,$P$34=0),"",$L$37-1),IF($R$17="Distrato",$E554,0)),MIN(AY$38,$D$19),$P$20))-SUM($P554:AX554)</f>
        <v>#VALUE!</v>
      </c>
      <c r="AZ554" s="446" t="e">
        <f>IF(OR($B554="",MIN(AZ$38,$D$19)&lt;MAX($P$34*($B554+IF($R$17="Distrato",$I$38-1,0)),IF(AND($L$37=0,$P$34=0),"",$L$37-1),IF($R$17="Distrato",$E554,0))),0,YEARFRAC(MAX($P$34*($B554+IF($R$17="Distrato",$I$38-1,0)),IF(AND($L$37=0,$P$34=0),"",$L$37-1),IF($R$17="Distrato",$E554,0)),MIN(AZ$38,$D$19),$P$20))-SUM($P554:AY554)</f>
        <v>#VALUE!</v>
      </c>
      <c r="BA554" s="446" t="e">
        <f>IF(OR($B554="",MIN(BA$38,$D$19)&lt;MAX($P$34*($B554+IF($R$17="Distrato",$I$38-1,0)),IF(AND($L$37=0,$P$34=0),"",$L$37-1),IF($R$17="Distrato",$E554,0))),0,YEARFRAC(MAX($P$34*($B554+IF($R$17="Distrato",$I$38-1,0)),IF(AND($L$37=0,$P$34=0),"",$L$37-1),IF($R$17="Distrato",$E554,0)),MIN(BA$38,$D$19),$P$20))-SUM($P554:AZ554)</f>
        <v>#VALUE!</v>
      </c>
      <c r="BB554" s="447"/>
      <c r="BF554" s="446">
        <f t="shared" si="98"/>
        <v>0</v>
      </c>
      <c r="BG554" s="446">
        <f>IF($E554=0,0,IF(MIN(BG$38,$E554)&lt;MAX($P$34*($B554+$I$38-1),IF(AND($L$37=0,$P$34=0),"",$L$37-1)),0,YEARFRAC(MAX($P$34*($B554+$I$38-1),IF(AND($L$37=0,$P$34=0),"",$L$37-1)),MIN(BG$38,$E554),$P$20))-SUM($BF554:BF554))</f>
        <v>0</v>
      </c>
      <c r="BH554" s="446">
        <f>IF($E554=0,0,IF(MIN(BH$38,$E554)&lt;MAX($P$34*($B554+$I$38-1),IF(AND($L$37=0,$P$34=0),"",$L$37-1)),0,YEARFRAC(MAX($P$34*($B554+$I$38-1),IF(AND($L$37=0,$P$34=0),"",$L$37-1)),MIN(BH$38,$E554),$P$20))-SUM($BF554:BG554))</f>
        <v>0</v>
      </c>
      <c r="BI554" s="446">
        <f>IF($E554=0,0,IF(MIN(BI$38,$E554)&lt;MAX($P$34*($B554+$I$38-1),IF(AND($L$37=0,$P$34=0),"",$L$37-1)),0,YEARFRAC(MAX($P$34*($B554+$I$38-1),IF(AND($L$37=0,$P$34=0),"",$L$37-1)),MIN(BI$38,$E554),$P$20))-SUM($BF554:BH554))</f>
        <v>0</v>
      </c>
      <c r="BJ554" s="446">
        <f>IF($E554=0,0,IF(MIN(BJ$38,$E554)&lt;MAX($P$34*($B554+$I$38-1),IF(AND($L$37=0,$P$34=0),"",$L$37-1)),0,YEARFRAC(MAX($P$34*($B554+$I$38-1),IF(AND($L$37=0,$P$34=0),"",$L$37-1)),MIN(BJ$38,$E554),$P$20))-SUM($BF554:BI554))</f>
        <v>0</v>
      </c>
      <c r="BK554" s="446">
        <f>IF($E554=0,0,IF(MIN(BK$38,$E554)&lt;MAX($P$34*($B554+$I$38-1),IF(AND($L$37=0,$P$34=0),"",$L$37-1)),0,YEARFRAC(MAX($P$34*($B554+$I$38-1),IF(AND($L$37=0,$P$34=0),"",$L$37-1)),MIN(BK$38,$E554),$P$20))-SUM($BF554:BJ554))</f>
        <v>0</v>
      </c>
      <c r="BL554" s="446">
        <f>IF($E554=0,0,IF(MIN(BL$38,$E554)&lt;MAX($P$34*($B554+$I$38-1),IF(AND($L$37=0,$P$34=0),"",$L$37-1)),0,YEARFRAC(MAX($P$34*($B554+$I$38-1),IF(AND($L$37=0,$P$34=0),"",$L$37-1)),MIN(BL$38,$E554),$P$20))-SUM($BF554:BK554))</f>
        <v>0</v>
      </c>
      <c r="BM554" s="446">
        <f>IF($E554=0,0,IF(MIN(BM$38,$E554)&lt;MAX($P$34*($B554+$I$38-1),IF(AND($L$37=0,$P$34=0),"",$L$37-1)),0,YEARFRAC(MAX($P$34*($B554+$I$38-1),IF(AND($L$37=0,$P$34=0),"",$L$37-1)),MIN(BM$38,$E554),$P$20))-SUM($BF554:BL554))</f>
        <v>0</v>
      </c>
      <c r="BN554" s="446">
        <f>IF($E554=0,0,IF(MIN(BN$38,$E554)&lt;MAX($P$34*($B554+$I$38-1),IF(AND($L$37=0,$P$34=0),"",$L$37-1)),0,YEARFRAC(MAX($P$34*($B554+$I$38-1),IF(AND($L$37=0,$P$34=0),"",$L$37-1)),MIN(BN$38,$E554),$P$20))-SUM($BF554:BM554))</f>
        <v>0</v>
      </c>
      <c r="BO554" s="446">
        <f>IF($E554=0,0,IF(MIN(BO$38,$E554)&lt;MAX($P$34*($B554+$I$38-1),IF(AND($L$37=0,$P$34=0),"",$L$37-1)),0,YEARFRAC(MAX($P$34*($B554+$I$38-1),IF(AND($L$37=0,$P$34=0),"",$L$37-1)),MIN(BO$38,$E554),$P$20))-SUM($BF554:BN554))</f>
        <v>0</v>
      </c>
      <c r="BP554" s="446">
        <f>IF($E554=0,0,IF(MIN(BP$38,$E554)&lt;MAX($P$34*($B554+$I$38-1),IF(AND($L$37=0,$P$34=0),"",$L$37-1)),0,YEARFRAC(MAX($P$34*($B554+$I$38-1),IF(AND($L$37=0,$P$34=0),"",$L$37-1)),MIN(BP$38,$E554),$P$20))-SUM($BF554:BO554))</f>
        <v>0</v>
      </c>
      <c r="BQ554" s="446">
        <f>IF($E554=0,0,IF(MIN(BQ$38,$E554)&lt;MAX($P$34*($B554+$I$38-1),IF(AND($L$37=0,$P$34=0),"",$L$37-1)),0,YEARFRAC(MAX($P$34*($B554+$I$38-1),IF(AND($L$37=0,$P$34=0),"",$L$37-1)),MIN(BQ$38,$E554),$P$20))-SUM($BF554:BP554))</f>
        <v>0</v>
      </c>
      <c r="BR554" s="446">
        <f>IF($E554=0,0,IF(MIN(BR$38,$E554)&lt;MAX($P$34*($B554+$I$38-1),IF(AND($L$37=0,$P$34=0),"",$L$37-1)),0,YEARFRAC(MAX($P$34*($B554+$I$38-1),IF(AND($L$37=0,$P$34=0),"",$L$37-1)),MIN(BR$38,$E554),$P$20))-SUM($BF554:BQ554))</f>
        <v>0</v>
      </c>
      <c r="BS554" s="446">
        <f>IF($E554=0,0,IF(MIN(BS$38,$E554)&lt;MAX($P$34*($B554+$I$38-1),IF(AND($L$37=0,$P$34=0),"",$L$37-1)),0,YEARFRAC(MAX($P$34*($B554+$I$38-1),IF(AND($L$37=0,$P$34=0),"",$L$37-1)),MIN(BS$38,$E554),$P$20))-SUM($BF554:BR554))</f>
        <v>0</v>
      </c>
      <c r="BT554" s="446">
        <f>IF($E554=0,0,IF(MIN(BT$38,$E554)&lt;MAX($P$34*($B554+$I$38-1),IF(AND($L$37=0,$P$34=0),"",$L$37-1)),0,YEARFRAC(MAX($P$34*($B554+$I$38-1),IF(AND($L$37=0,$P$34=0),"",$L$37-1)),MIN(BT$38,$E554),$P$20))-SUM($BF554:BS554))</f>
        <v>0</v>
      </c>
      <c r="BU554" s="446">
        <f>IF($E554=0,0,IF(MIN(BU$38,$E554)&lt;MAX($P$34*($B554+$I$38-1),IF(AND($L$37=0,$P$34=0),"",$L$37-1)),0,YEARFRAC(MAX($P$34*($B554+$I$38-1),IF(AND($L$37=0,$P$34=0),"",$L$37-1)),MIN(BU$38,$E554),$P$20))-SUM($BF554:BT554))</f>
        <v>0</v>
      </c>
      <c r="BV554" s="446">
        <f>IF($E554=0,0,IF(MIN(BV$38,$E554)&lt;MAX($P$34*($B554+$I$38-1),IF(AND($L$37=0,$P$34=0),"",$L$37-1)),0,YEARFRAC(MAX($P$34*($B554+$I$38-1),IF(AND($L$37=0,$P$34=0),"",$L$37-1)),MIN(BV$38,$E554),$P$20))-SUM($BF554:BU554))</f>
        <v>0</v>
      </c>
      <c r="BW554" s="446">
        <f>IF($E554=0,0,IF(MIN(BW$38,$E554)&lt;MAX($P$34*($B554+$I$38-1),IF(AND($L$37=0,$P$34=0),"",$L$37-1)),0,YEARFRAC(MAX($P$34*($B554+$I$38-1),IF(AND($L$37=0,$P$34=0),"",$L$37-1)),MIN(BW$38,$E554),$P$20))-SUM($BF554:BV554))</f>
        <v>0</v>
      </c>
      <c r="BX554" s="446">
        <f>IF($E554=0,0,IF(MIN(BX$38,$E554)&lt;MAX($P$34*($B554+$I$38-1),IF(AND($L$37=0,$P$34=0),"",$L$37-1)),0,YEARFRAC(MAX($P$34*($B554+$I$38-1),IF(AND($L$37=0,$P$34=0),"",$L$37-1)),MIN(BX$38,$E554),$P$20))-SUM($BF554:BW554))</f>
        <v>0</v>
      </c>
      <c r="BY554" s="446">
        <f>IF($E554=0,0,IF(MIN(BY$38,$E554)&lt;MAX($P$34*($B554+$I$38-1),IF(AND($L$37=0,$P$34=0),"",$L$37-1)),0,YEARFRAC(MAX($P$34*($B554+$I$38-1),IF(AND($L$37=0,$P$34=0),"",$L$37-1)),MIN(BY$38,$E554),$P$20))-SUM($BF554:BX554))</f>
        <v>0</v>
      </c>
      <c r="BZ554" s="446">
        <f>IF($E554=0,0,IF(MIN(BZ$38,$E554)&lt;MAX($P$34*($B554+$I$38-1),IF(AND($L$37=0,$P$34=0),"",$L$37-1)),0,YEARFRAC(MAX($P$34*($B554+$I$38-1),IF(AND($L$37=0,$P$34=0),"",$L$37-1)),MIN(BZ$38,$E554),$P$20))-SUM($BF554:BY554))</f>
        <v>0</v>
      </c>
      <c r="CA554" s="446">
        <f>IF($E554=0,0,IF(MIN(CA$38,$E554)&lt;MAX($P$34*($B554+$I$38-1),IF(AND($L$37=0,$P$34=0),"",$L$37-1)),0,YEARFRAC(MAX($P$34*($B554+$I$38-1),IF(AND($L$37=0,$P$34=0),"",$L$37-1)),MIN(CA$38,$E554),$P$20))-SUM($BF554:BZ554))</f>
        <v>0</v>
      </c>
      <c r="CB554" s="446">
        <f>IF($E554=0,0,IF(MIN(CB$38,$E554)&lt;MAX($P$34*($B554+$I$38-1),IF(AND($L$37=0,$P$34=0),"",$L$37-1)),0,YEARFRAC(MAX($P$34*($B554+$I$38-1),IF(AND($L$37=0,$P$34=0),"",$L$37-1)),MIN(CB$38,$E554),$P$20))-SUM($BF554:CA554))</f>
        <v>0</v>
      </c>
      <c r="CC554" s="446">
        <f>IF($E554=0,0,IF(MIN(CC$38,$E554)&lt;MAX($P$34*($B554+$I$38-1),IF(AND($L$37=0,$P$34=0),"",$L$37-1)),0,YEARFRAC(MAX($P$34*($B554+$I$38-1),IF(AND($L$37=0,$P$34=0),"",$L$37-1)),MIN(CC$38,$E554),$P$20))-SUM($BF554:CB554))</f>
        <v>0</v>
      </c>
      <c r="CD554" s="446">
        <f>IF($E554=0,0,IF(MIN(CD$38,$E554)&lt;MAX($P$34*($B554+$I$38-1),IF(AND($L$37=0,$P$34=0),"",$L$37-1)),0,YEARFRAC(MAX($P$34*($B554+$I$38-1),IF(AND($L$37=0,$P$34=0),"",$L$37-1)),MIN(CD$38,$E554),$P$20))-SUM($BF554:CC554))</f>
        <v>0</v>
      </c>
      <c r="CE554" s="446">
        <f>IF($E554=0,0,IF(MIN(CE$38,$E554)&lt;MAX($P$34*($B554+$I$38-1),IF(AND($L$37=0,$P$34=0),"",$L$37-1)),0,YEARFRAC(MAX($P$34*($B554+$I$38-1),IF(AND($L$37=0,$P$34=0),"",$L$37-1)),MIN(CE$38,$E554),$P$20))-SUM($BF554:CD554))</f>
        <v>0</v>
      </c>
      <c r="CF554" s="446">
        <f>IF($E554=0,0,IF(MIN(CF$38,$E554)&lt;MAX($P$34*($B554+$I$38-1),IF(AND($L$37=0,$P$34=0),"",$L$37-1)),0,YEARFRAC(MAX($P$34*($B554+$I$38-1),IF(AND($L$37=0,$P$34=0),"",$L$37-1)),MIN(CF$38,$E554),$P$20))-SUM($BF554:CE554))</f>
        <v>0</v>
      </c>
      <c r="CG554" s="446">
        <f>IF($E554=0,0,IF(MIN(CG$38,$E554)&lt;MAX($P$34*($B554+$I$38-1),IF(AND($L$37=0,$P$34=0),"",$L$37-1)),0,YEARFRAC(MAX($P$34*($B554+$I$38-1),IF(AND($L$37=0,$P$34=0),"",$L$37-1)),MIN(CG$38,$E554),$P$20))-SUM($BF554:CF554))</f>
        <v>0</v>
      </c>
      <c r="CH554" s="446">
        <f>IF($E554=0,0,IF(MIN(CH$38,$E554)&lt;MAX($P$34*($B554+$I$38-1),IF(AND($L$37=0,$P$34=0),"",$L$37-1)),0,YEARFRAC(MAX($P$34*($B554+$I$38-1),IF(AND($L$37=0,$P$34=0),"",$L$37-1)),MIN(CH$38,$E554),$P$20))-SUM($BF554:CG554))</f>
        <v>0</v>
      </c>
      <c r="CI554" s="446">
        <f>IF($E554=0,0,IF(MIN(CI$38,$E554)&lt;MAX($P$34*($B554+$I$38-1),IF(AND($L$37=0,$P$34=0),"",$L$37-1)),0,YEARFRAC(MAX($P$34*($B554+$I$38-1),IF(AND($L$37=0,$P$34=0),"",$L$37-1)),MIN(CI$38,$E554),$P$20))-SUM($BF554:CH554))</f>
        <v>0</v>
      </c>
      <c r="CJ554" s="446">
        <f>IF($E554=0,0,IF(MIN(CJ$38,$E554)&lt;MAX($P$34*($B554+$I$38-1),IF(AND($L$37=0,$P$34=0),"",$L$37-1)),0,YEARFRAC(MAX($P$34*($B554+$I$38-1),IF(AND($L$37=0,$P$34=0),"",$L$37-1)),MIN(CJ$38,$E554),$P$20))-SUM($BF554:CI554))</f>
        <v>0</v>
      </c>
      <c r="CK554" s="446">
        <f>IF($E554=0,0,IF(MIN(CK$38,$E554)&lt;MAX($P$34*($B554+$I$38-1),IF(AND($L$37=0,$P$34=0),"",$L$37-1)),0,YEARFRAC(MAX($P$34*($B554+$I$38-1),IF(AND($L$37=0,$P$34=0),"",$L$37-1)),MIN(CK$38,$E554),$P$20))-SUM($BF554:CJ554))</f>
        <v>0</v>
      </c>
      <c r="CL554" s="446">
        <f>IF($E554=0,0,IF(MIN(CL$38,$E554)&lt;MAX($P$34*($B554+$I$38-1),IF(AND($L$37=0,$P$34=0),"",$L$37-1)),0,YEARFRAC(MAX($P$34*($B554+$I$38-1),IF(AND($L$37=0,$P$34=0),"",$L$37-1)),MIN(CL$38,$E554),$P$20))-SUM($BF554:CK554))</f>
        <v>0</v>
      </c>
      <c r="CM554" s="446">
        <f>IF($E554=0,0,IF(MIN(CM$38,$E554)&lt;MAX($P$34*($B554+$I$38-1),IF(AND($L$37=0,$P$34=0),"",$L$37-1)),0,YEARFRAC(MAX($P$34*($B554+$I$38-1),IF(AND($L$37=0,$P$34=0),"",$L$37-1)),MIN(CM$38,$E554),$P$20))-SUM($BF554:CL554))</f>
        <v>0</v>
      </c>
      <c r="CN554" s="446">
        <f>IF($E554=0,0,IF(MIN(CN$38,$E554)&lt;MAX($P$34*($B554+$I$38-1),IF(AND($L$37=0,$P$34=0),"",$L$37-1)),0,YEARFRAC(MAX($P$34*($B554+$I$38-1),IF(AND($L$37=0,$P$34=0),"",$L$37-1)),MIN(CN$38,$E554),$P$20))-SUM($BF554:CM554))</f>
        <v>0</v>
      </c>
      <c r="CO554" s="446">
        <f>IF($E554=0,0,IF(MIN(CO$38,$E554)&lt;MAX($P$34*($B554+$I$38-1),IF(AND($L$37=0,$P$34=0),"",$L$37-1)),0,YEARFRAC(MAX($P$34*($B554+$I$38-1),IF(AND($L$37=0,$P$34=0),"",$L$37-1)),MIN(CO$38,$E554),$P$20))-SUM($BF554:CN554))</f>
        <v>0</v>
      </c>
      <c r="CP554" s="446">
        <f>IF($E554=0,0,IF(MIN(CP$38,$E554)&lt;MAX($P$34*($B554+$I$38-1),IF(AND($L$37=0,$P$34=0),"",$L$37-1)),0,YEARFRAC(MAX($P$34*($B554+$I$38-1),IF(AND($L$37=0,$P$34=0),"",$L$37-1)),MIN(CP$38,$E554),$P$20))-SUM($BF554:CO554))</f>
        <v>0</v>
      </c>
      <c r="CQ554" s="446">
        <f>IF($E554=0,0,IF(MIN(CQ$38,$E554)&lt;MAX($P$34*($B554+$I$38-1),IF(AND($L$37=0,$P$34=0),"",$L$37-1)),0,YEARFRAC(MAX($P$34*($B554+$I$38-1),IF(AND($L$37=0,$P$34=0),"",$L$37-1)),MIN(CQ$38,$E554),$P$20))-SUM($BF554:CP554))</f>
        <v>0</v>
      </c>
    </row>
    <row r="555" spans="1:95" s="446" customFormat="1" ht="11.25" hidden="1" customHeight="1" x14ac:dyDescent="0.2">
      <c r="A555" s="152"/>
      <c r="B555" s="153" t="str">
        <f t="shared" si="103"/>
        <v/>
      </c>
      <c r="C555" s="29" t="str">
        <f>IF(B555="","",IF($L$35="SELIC - TRIBUTOS",VLOOKUP(DATE(YEAR($D$19),MONTH($D$19)-1,1),ÍNDICES!$A:$DE,HLOOKUP($BL$25,ÍNDICES!$B$3:$T$4,2)+11)-VLOOKUP(B555,ÍNDICES!$A:$DE,HLOOKUP($BL$25,ÍNDICES!$B$3:$T$4,2)+11)+1%,IF(C$38=$W$26,$J$35,IF(ISERROR(IF(B555&gt;$D$19,1,VLOOKUP(DATE(YEAR(B555),MONTH(B555)+IF($C$35=$S$23,1,0),1),ÍNDICES!$A:$DE,$Z$35+1))),"",IF(B555&gt;$D$19,1,VLOOKUP(DATE(YEAR(B555),MONTH(B555)+IF($C$35=$S$23,1,0),1),ÍNDICES!$A:$DE,$Z$35+1))))))</f>
        <v/>
      </c>
      <c r="D555" s="154" t="str">
        <f>IF(ISERROR(IF(OR($D$38=$Y$27,$B555=""),"",VLOOKUP(B555,ÍNDICES!A:DE,AF$35+1))),"",IF(OR($D$38=$Y$27,$B555=""),"",VLOOKUP(B555,ÍNDICES!A:DE,AF$35+1)))</f>
        <v/>
      </c>
      <c r="E555" s="153"/>
      <c r="F555" s="29" t="str">
        <f>IF(E555="","",IF($L$35="SELIC - TRIBUTOS",VLOOKUP(DATE(YEAR($D$19),MONTH($D$19)-1,1),ÍNDICES!$A:$DE,HLOOKUP($BL$25,ÍNDICES!$B$3:$T$4,2)+11)-VLOOKUP(E555,ÍNDICES!$A:$DE,HLOOKUP($BL$25,ÍNDICES!$B$3:$T$4,2)+11)+1%,IF(F$38=$W$26,$J$35,IF(ISERROR(IF(E555&gt;$D$19,1,VLOOKUP(DATE(YEAR(E555),MONTH(E555)+IF($C$35=$S$23,1,0),1),ÍNDICES!$A:$DE,$Z$35+1))),"",IF(E555&gt;$D$19,1,VLOOKUP(DATE(YEAR(E555),MONTH(E555)+IF($C$35=$S$23,1,0),1),ÍNDICES!$A:$DE,$Z$35+1))))))</f>
        <v/>
      </c>
      <c r="G555" s="155"/>
      <c r="H555" s="156" t="str">
        <f t="shared" si="99"/>
        <v/>
      </c>
      <c r="I555" s="29" t="str">
        <f t="shared" si="93"/>
        <v/>
      </c>
      <c r="J555" s="5">
        <f t="shared" si="94"/>
        <v>0</v>
      </c>
      <c r="K555" s="20">
        <f t="shared" ca="1" si="95"/>
        <v>0</v>
      </c>
      <c r="L555" s="5">
        <f t="shared" ca="1" si="96"/>
        <v>0</v>
      </c>
      <c r="M555" s="64">
        <f t="shared" si="100"/>
        <v>0</v>
      </c>
      <c r="N555" s="61">
        <f t="shared" ca="1" si="101"/>
        <v>0</v>
      </c>
      <c r="O555" s="5">
        <f t="shared" ca="1" si="102"/>
        <v>0</v>
      </c>
      <c r="P555" s="446" t="e">
        <f t="shared" si="97"/>
        <v>#VALUE!</v>
      </c>
      <c r="Q555" s="446" t="e">
        <f>IF(OR($B555="",MIN(Q$38,$D$19)&lt;MAX($P$34*($B555+IF($R$17="Distrato",$I$38-1,0)),IF(AND($L$37=0,$P$34=0),"",$L$37-1),IF($R$17="Distrato",$E555,0))),0,YEARFRAC(MAX($P$34*($B555+IF($R$17="Distrato",$I$38-1,0)),IF(AND($L$37=0,$P$34=0),"",$L$37-1),IF($R$17="Distrato",$E555,0)),MIN(Q$38,$D$19),$P$20))-SUM($P555:P555)</f>
        <v>#VALUE!</v>
      </c>
      <c r="R555" s="446" t="e">
        <f>IF(OR($B555="",MIN(R$38,$D$19)&lt;MAX($P$34*($B555+IF($R$17="Distrato",$I$38-1,0)),IF(AND($L$37=0,$P$34=0),"",$L$37-1),IF($R$17="Distrato",$E555,0))),0,YEARFRAC(MAX($P$34*($B555+IF($R$17="Distrato",$I$38-1,0)),IF(AND($L$37=0,$P$34=0),"",$L$37-1),IF($R$17="Distrato",$E555,0)),MIN(R$38,$D$19),$P$20))-SUM($P555:Q555)</f>
        <v>#VALUE!</v>
      </c>
      <c r="S555" s="446" t="e">
        <f>IF(OR($B555="",MIN(S$38,$D$19)&lt;MAX($P$34*($B555+IF($R$17="Distrato",$I$38-1,0)),IF(AND($L$37=0,$P$34=0),"",$L$37-1),IF($R$17="Distrato",$E555,0))),0,YEARFRAC(MAX($P$34*($B555+IF($R$17="Distrato",$I$38-1,0)),IF(AND($L$37=0,$P$34=0),"",$L$37-1),IF($R$17="Distrato",$E555,0)),MIN(S$38,$D$19),$P$20))-SUM($P555:R555)</f>
        <v>#VALUE!</v>
      </c>
      <c r="T555" s="446" t="e">
        <f>IF(OR($B555="",MIN(T$38,$D$19)&lt;MAX($P$34*($B555+IF($R$17="Distrato",$I$38-1,0)),IF(AND($L$37=0,$P$34=0),"",$L$37-1),IF($R$17="Distrato",$E555,0))),0,YEARFRAC(MAX($P$34*($B555+IF($R$17="Distrato",$I$38-1,0)),IF(AND($L$37=0,$P$34=0),"",$L$37-1),IF($R$17="Distrato",$E555,0)),MIN(T$38,$D$19),$P$20))-SUM($P555:S555)</f>
        <v>#VALUE!</v>
      </c>
      <c r="U555" s="446" t="e">
        <f>IF(OR($B555="",MIN(U$38,$D$19)&lt;MAX($P$34*($B555+IF($R$17="Distrato",$I$38-1,0)),IF(AND($L$37=0,$P$34=0),"",$L$37-1),IF($R$17="Distrato",$E555,0))),0,YEARFRAC(MAX($P$34*($B555+IF($R$17="Distrato",$I$38-1,0)),IF(AND($L$37=0,$P$34=0),"",$L$37-1),IF($R$17="Distrato",$E555,0)),MIN(U$38,$D$19),$P$20))-SUM($P555:T555)</f>
        <v>#VALUE!</v>
      </c>
      <c r="V555" s="446" t="e">
        <f>IF(OR($B555="",MIN(V$38,$D$19)&lt;MAX($P$34*($B555+IF($R$17="Distrato",$I$38-1,0)),IF(AND($L$37=0,$P$34=0),"",$L$37-1),IF($R$17="Distrato",$E555,0))),0,YEARFRAC(MAX($P$34*($B555+IF($R$17="Distrato",$I$38-1,0)),IF(AND($L$37=0,$P$34=0),"",$L$37-1),IF($R$17="Distrato",$E555,0)),MIN(V$38,$D$19),$P$20))-SUM($P555:U555)</f>
        <v>#VALUE!</v>
      </c>
      <c r="W555" s="446" t="e">
        <f>IF(OR($B555="",MIN(W$38,$D$19)&lt;MAX($P$34*($B555+IF($R$17="Distrato",$I$38-1,0)),IF(AND($L$37=0,$P$34=0),"",$L$37-1),IF($R$17="Distrato",$E555,0))),0,YEARFRAC(MAX($P$34*($B555+IF($R$17="Distrato",$I$38-1,0)),IF(AND($L$37=0,$P$34=0),"",$L$37-1),IF($R$17="Distrato",$E555,0)),MIN(W$38,$D$19),$P$20))-SUM($P555:V555)</f>
        <v>#VALUE!</v>
      </c>
      <c r="X555" s="446" t="e">
        <f>IF(OR($B555="",MIN(X$38,$D$19)&lt;MAX($P$34*($B555+IF($R$17="Distrato",$I$38-1,0)),IF(AND($L$37=0,$P$34=0),"",$L$37-1),IF($R$17="Distrato",$E555,0))),0,YEARFRAC(MAX($P$34*($B555+IF($R$17="Distrato",$I$38-1,0)),IF(AND($L$37=0,$P$34=0),"",$L$37-1),IF($R$17="Distrato",$E555,0)),MIN(X$38,$D$19),$P$20))-SUM($P555:W555)</f>
        <v>#VALUE!</v>
      </c>
      <c r="Y555" s="446" t="e">
        <f>IF(OR($B555="",MIN(Y$38,$D$19)&lt;MAX($P$34*($B555+IF($R$17="Distrato",$I$38-1,0)),IF(AND($L$37=0,$P$34=0),"",$L$37-1),IF($R$17="Distrato",$E555,0))),0,YEARFRAC(MAX($P$34*($B555+IF($R$17="Distrato",$I$38-1,0)),IF(AND($L$37=0,$P$34=0),"",$L$37-1),IF($R$17="Distrato",$E555,0)),MIN(Y$38,$D$19),$P$20))-SUM($P555:X555)</f>
        <v>#VALUE!</v>
      </c>
      <c r="Z555" s="446" t="e">
        <f>IF(OR($B555="",MIN(Z$38,$D$19)&lt;MAX($P$34*($B555+IF($R$17="Distrato",$I$38-1,0)),IF(AND($L$37=0,$P$34=0),"",$L$37-1),IF($R$17="Distrato",$E555,0))),0,YEARFRAC(MAX($P$34*($B555+IF($R$17="Distrato",$I$38-1,0)),IF(AND($L$37=0,$P$34=0),"",$L$37-1),IF($R$17="Distrato",$E555,0)),MIN(Z$38,$D$19),$P$20))-SUM($P555:Y555)</f>
        <v>#VALUE!</v>
      </c>
      <c r="AA555" s="446" t="e">
        <f>IF(OR($B555="",MIN(AA$38,$D$19)&lt;MAX($P$34*($B555+IF($R$17="Distrato",$I$38-1,0)),IF(AND($L$37=0,$P$34=0),"",$L$37-1),IF($R$17="Distrato",$E555,0))),0,YEARFRAC(MAX($P$34*($B555+IF($R$17="Distrato",$I$38-1,0)),IF(AND($L$37=0,$P$34=0),"",$L$37-1),IF($R$17="Distrato",$E555,0)),MIN(AA$38,$D$19),$P$20))-SUM($P555:Z555)</f>
        <v>#VALUE!</v>
      </c>
      <c r="AB555" s="446" t="e">
        <f>IF(OR($B555="",MIN(AB$38,$D$19)&lt;MAX($P$34*($B555+IF($R$17="Distrato",$I$38-1,0)),IF(AND($L$37=0,$P$34=0),"",$L$37-1),IF($R$17="Distrato",$E555,0))),0,YEARFRAC(MAX($P$34*($B555+IF($R$17="Distrato",$I$38-1,0)),IF(AND($L$37=0,$P$34=0),"",$L$37-1),IF($R$17="Distrato",$E555,0)),MIN(AB$38,$D$19),$P$20))-SUM($P555:AA555)</f>
        <v>#VALUE!</v>
      </c>
      <c r="AC555" s="446" t="e">
        <f>IF(OR($B555="",MIN(AC$38,$D$19)&lt;MAX($P$34*($B555+IF($R$17="Distrato",$I$38-1,0)),IF(AND($L$37=0,$P$34=0),"",$L$37-1),IF($R$17="Distrato",$E555,0))),0,YEARFRAC(MAX($P$34*($B555+IF($R$17="Distrato",$I$38-1,0)),IF(AND($L$37=0,$P$34=0),"",$L$37-1),IF($R$17="Distrato",$E555,0)),MIN(AC$38,$D$19),$P$20))-SUM($P555:AB555)</f>
        <v>#VALUE!</v>
      </c>
      <c r="AD555" s="446" t="e">
        <f>IF(OR($B555="",MIN(AD$38,$D$19)&lt;MAX($P$34*($B555+IF($R$17="Distrato",$I$38-1,0)),IF(AND($L$37=0,$P$34=0),"",$L$37-1),IF($R$17="Distrato",$E555,0))),0,YEARFRAC(MAX($P$34*($B555+IF($R$17="Distrato",$I$38-1,0)),IF(AND($L$37=0,$P$34=0),"",$L$37-1),IF($R$17="Distrato",$E555,0)),MIN(AD$38,$D$19),$P$20))-SUM($P555:AC555)</f>
        <v>#VALUE!</v>
      </c>
      <c r="AE555" s="446" t="e">
        <f>IF(OR($B555="",MIN(AE$38,$D$19)&lt;MAX($P$34*($B555+IF($R$17="Distrato",$I$38-1,0)),IF(AND($L$37=0,$P$34=0),"",$L$37-1),IF($R$17="Distrato",$E555,0))),0,YEARFRAC(MAX($P$34*($B555+IF($R$17="Distrato",$I$38-1,0)),IF(AND($L$37=0,$P$34=0),"",$L$37-1),IF($R$17="Distrato",$E555,0)),MIN(AE$38,$D$19),$P$20))-SUM($P555:AD555)</f>
        <v>#VALUE!</v>
      </c>
      <c r="AF555" s="446" t="e">
        <f>IF(OR($B555="",MIN(AF$38,$D$19)&lt;MAX($P$34*($B555+IF($R$17="Distrato",$I$38-1,0)),IF(AND($L$37=0,$P$34=0),"",$L$37-1),IF($R$17="Distrato",$E555,0))),0,YEARFRAC(MAX($P$34*($B555+IF($R$17="Distrato",$I$38-1,0)),IF(AND($L$37=0,$P$34=0),"",$L$37-1),IF($R$17="Distrato",$E555,0)),MIN(AF$38,$D$19),$P$20))-SUM($P555:AE555)</f>
        <v>#VALUE!</v>
      </c>
      <c r="AG555" s="446" t="e">
        <f>IF(OR($B555="",MIN(AG$38,$D$19)&lt;MAX($P$34*($B555+IF($R$17="Distrato",$I$38-1,0)),IF(AND($L$37=0,$P$34=0),"",$L$37-1),IF($R$17="Distrato",$E555,0))),0,YEARFRAC(MAX($P$34*($B555+IF($R$17="Distrato",$I$38-1,0)),IF(AND($L$37=0,$P$34=0),"",$L$37-1),IF($R$17="Distrato",$E555,0)),MIN(AG$38,$D$19),$P$20))-SUM($P555:AF555)</f>
        <v>#VALUE!</v>
      </c>
      <c r="AH555" s="446" t="e">
        <f>IF(OR($B555="",MIN(AH$38,$D$19)&lt;MAX($P$34*($B555+IF($R$17="Distrato",$I$38-1,0)),IF(AND($L$37=0,$P$34=0),"",$L$37-1),IF($R$17="Distrato",$E555,0))),0,YEARFRAC(MAX($P$34*($B555+IF($R$17="Distrato",$I$38-1,0)),IF(AND($L$37=0,$P$34=0),"",$L$37-1),IF($R$17="Distrato",$E555,0)),MIN(AH$38,$D$19),$P$20))-SUM($P555:AG555)</f>
        <v>#VALUE!</v>
      </c>
      <c r="AI555" s="446" t="e">
        <f>IF(OR($B555="",MIN(AI$38,$D$19)&lt;MAX($P$34*($B555+IF($R$17="Distrato",$I$38-1,0)),IF(AND($L$37=0,$P$34=0),"",$L$37-1),IF($R$17="Distrato",$E555,0))),0,YEARFRAC(MAX($P$34*($B555+IF($R$17="Distrato",$I$38-1,0)),IF(AND($L$37=0,$P$34=0),"",$L$37-1),IF($R$17="Distrato",$E555,0)),MIN(AI$38,$D$19),$P$20))-SUM($P555:AH555)</f>
        <v>#VALUE!</v>
      </c>
      <c r="AJ555" s="446" t="e">
        <f>IF(OR($B555="",MIN(AJ$38,$D$19)&lt;MAX($P$34*($B555+IF($R$17="Distrato",$I$38-1,0)),IF(AND($L$37=0,$P$34=0),"",$L$37-1),IF($R$17="Distrato",$E555,0))),0,YEARFRAC(MAX($P$34*($B555+IF($R$17="Distrato",$I$38-1,0)),IF(AND($L$37=0,$P$34=0),"",$L$37-1),IF($R$17="Distrato",$E555,0)),MIN(AJ$38,$D$19),$P$20))-SUM($P555:AI555)</f>
        <v>#VALUE!</v>
      </c>
      <c r="AK555" s="446" t="e">
        <f>IF(OR($B555="",MIN(AK$38,$D$19)&lt;MAX($P$34*($B555+IF($R$17="Distrato",$I$38-1,0)),IF(AND($L$37=0,$P$34=0),"",$L$37-1),IF($R$17="Distrato",$E555,0))),0,YEARFRAC(MAX($P$34*($B555+IF($R$17="Distrato",$I$38-1,0)),IF(AND($L$37=0,$P$34=0),"",$L$37-1),IF($R$17="Distrato",$E555,0)),MIN(AK$38,$D$19),$P$20))-SUM($P555:AJ555)</f>
        <v>#VALUE!</v>
      </c>
      <c r="AL555" s="446" t="e">
        <f>IF(OR($B555="",MIN(AL$38,$D$19)&lt;MAX($P$34*($B555+IF($R$17="Distrato",$I$38-1,0)),IF(AND($L$37=0,$P$34=0),"",$L$37-1),IF($R$17="Distrato",$E555,0))),0,YEARFRAC(MAX($P$34*($B555+IF($R$17="Distrato",$I$38-1,0)),IF(AND($L$37=0,$P$34=0),"",$L$37-1),IF($R$17="Distrato",$E555,0)),MIN(AL$38,$D$19),$P$20))-SUM($P555:AK555)</f>
        <v>#VALUE!</v>
      </c>
      <c r="AM555" s="446" t="e">
        <f>IF(OR($B555="",MIN(AM$38,$D$19)&lt;MAX($P$34*($B555+IF($R$17="Distrato",$I$38-1,0)),IF(AND($L$37=0,$P$34=0),"",$L$37-1),IF($R$17="Distrato",$E555,0))),0,YEARFRAC(MAX($P$34*($B555+IF($R$17="Distrato",$I$38-1,0)),IF(AND($L$37=0,$P$34=0),"",$L$37-1),IF($R$17="Distrato",$E555,0)),MIN(AM$38,$D$19),$P$20))-SUM($P555:AL555)</f>
        <v>#VALUE!</v>
      </c>
      <c r="AN555" s="446" t="e">
        <f>IF(OR($B555="",MIN(AN$38,$D$19)&lt;MAX($P$34*($B555+IF($R$17="Distrato",$I$38-1,0)),IF(AND($L$37=0,$P$34=0),"",$L$37-1),IF($R$17="Distrato",$E555,0))),0,YEARFRAC(MAX($P$34*($B555+IF($R$17="Distrato",$I$38-1,0)),IF(AND($L$37=0,$P$34=0),"",$L$37-1),IF($R$17="Distrato",$E555,0)),MIN(AN$38,$D$19),$P$20))-SUM($P555:AM555)</f>
        <v>#VALUE!</v>
      </c>
      <c r="AO555" s="446" t="e">
        <f>IF(OR($B555="",MIN(AO$38,$D$19)&lt;MAX($P$34*($B555+IF($R$17="Distrato",$I$38-1,0)),IF(AND($L$37=0,$P$34=0),"",$L$37-1),IF($R$17="Distrato",$E555,0))),0,YEARFRAC(MAX($P$34*($B555+IF($R$17="Distrato",$I$38-1,0)),IF(AND($L$37=0,$P$34=0),"",$L$37-1),IF($R$17="Distrato",$E555,0)),MIN(AO$38,$D$19),$P$20))-SUM($P555:AN555)</f>
        <v>#VALUE!</v>
      </c>
      <c r="AP555" s="446" t="e">
        <f>IF(OR($B555="",MIN(AP$38,$D$19)&lt;MAX($P$34*($B555+IF($R$17="Distrato",$I$38-1,0)),IF(AND($L$37=0,$P$34=0),"",$L$37-1),IF($R$17="Distrato",$E555,0))),0,YEARFRAC(MAX($P$34*($B555+IF($R$17="Distrato",$I$38-1,0)),IF(AND($L$37=0,$P$34=0),"",$L$37-1),IF($R$17="Distrato",$E555,0)),MIN(AP$38,$D$19),$P$20))-SUM($P555:AO555)</f>
        <v>#VALUE!</v>
      </c>
      <c r="AQ555" s="446" t="e">
        <f>IF(OR($B555="",MIN(AQ$38,$D$19)&lt;MAX($P$34*($B555+IF($R$17="Distrato",$I$38-1,0)),IF(AND($L$37=0,$P$34=0),"",$L$37-1),IF($R$17="Distrato",$E555,0))),0,YEARFRAC(MAX($P$34*($B555+IF($R$17="Distrato",$I$38-1,0)),IF(AND($L$37=0,$P$34=0),"",$L$37-1),IF($R$17="Distrato",$E555,0)),MIN(AQ$38,$D$19),$P$20))-SUM($P555:AP555)</f>
        <v>#VALUE!</v>
      </c>
      <c r="AR555" s="446" t="e">
        <f>IF(OR($B555="",MIN(AR$38,$D$19)&lt;MAX($P$34*($B555+IF($R$17="Distrato",$I$38-1,0)),IF(AND($L$37=0,$P$34=0),"",$L$37-1),IF($R$17="Distrato",$E555,0))),0,YEARFRAC(MAX($P$34*($B555+IF($R$17="Distrato",$I$38-1,0)),IF(AND($L$37=0,$P$34=0),"",$L$37-1),IF($R$17="Distrato",$E555,0)),MIN(AR$38,$D$19),$P$20))-SUM($P555:AQ555)</f>
        <v>#VALUE!</v>
      </c>
      <c r="AS555" s="446" t="e">
        <f>IF(OR($B555="",MIN(AS$38,$D$19)&lt;MAX($P$34*($B555+IF($R$17="Distrato",$I$38-1,0)),IF(AND($L$37=0,$P$34=0),"",$L$37-1),IF($R$17="Distrato",$E555,0))),0,YEARFRAC(MAX($P$34*($B555+IF($R$17="Distrato",$I$38-1,0)),IF(AND($L$37=0,$P$34=0),"",$L$37-1),IF($R$17="Distrato",$E555,0)),MIN(AS$38,$D$19),$P$20))-SUM($P555:AR555)</f>
        <v>#VALUE!</v>
      </c>
      <c r="AT555" s="446" t="e">
        <f>IF(OR($B555="",MIN(AT$38,$D$19)&lt;MAX($P$34*($B555+IF($R$17="Distrato",$I$38-1,0)),IF(AND($L$37=0,$P$34=0),"",$L$37-1),IF($R$17="Distrato",$E555,0))),0,YEARFRAC(MAX($P$34*($B555+IF($R$17="Distrato",$I$38-1,0)),IF(AND($L$37=0,$P$34=0),"",$L$37-1),IF($R$17="Distrato",$E555,0)),MIN(AT$38,$D$19),$P$20))-SUM($P555:AS555)</f>
        <v>#VALUE!</v>
      </c>
      <c r="AU555" s="446" t="e">
        <f>IF(OR($B555="",MIN(AU$38,$D$19)&lt;MAX($P$34*($B555+IF($R$17="Distrato",$I$38-1,0)),IF(AND($L$37=0,$P$34=0),"",$L$37-1),IF($R$17="Distrato",$E555,0))),0,YEARFRAC(MAX($P$34*($B555+IF($R$17="Distrato",$I$38-1,0)),IF(AND($L$37=0,$P$34=0),"",$L$37-1),IF($R$17="Distrato",$E555,0)),MIN(AU$38,$D$19),$P$20))-SUM($P555:AT555)</f>
        <v>#VALUE!</v>
      </c>
      <c r="AV555" s="446" t="e">
        <f>IF(OR($B555="",MIN(AV$38,$D$19)&lt;MAX($P$34*($B555+IF($R$17="Distrato",$I$38-1,0)),IF(AND($L$37=0,$P$34=0),"",$L$37-1),IF($R$17="Distrato",$E555,0))),0,YEARFRAC(MAX($P$34*($B555+IF($R$17="Distrato",$I$38-1,0)),IF(AND($L$37=0,$P$34=0),"",$L$37-1),IF($R$17="Distrato",$E555,0)),MIN(AV$38,$D$19),$P$20))-SUM($P555:AU555)</f>
        <v>#VALUE!</v>
      </c>
      <c r="AW555" s="446" t="e">
        <f>IF(OR($B555="",MIN(AW$38,$D$19)&lt;MAX($P$34*($B555+IF($R$17="Distrato",$I$38-1,0)),IF(AND($L$37=0,$P$34=0),"",$L$37-1),IF($R$17="Distrato",$E555,0))),0,YEARFRAC(MAX($P$34*($B555+IF($R$17="Distrato",$I$38-1,0)),IF(AND($L$37=0,$P$34=0),"",$L$37-1),IF($R$17="Distrato",$E555,0)),MIN(AW$38,$D$19),$P$20))-SUM($P555:AV555)</f>
        <v>#VALUE!</v>
      </c>
      <c r="AX555" s="446" t="e">
        <f>IF(OR($B555="",MIN(AX$38,$D$19)&lt;MAX($P$34*($B555+IF($R$17="Distrato",$I$38-1,0)),IF(AND($L$37=0,$P$34=0),"",$L$37-1),IF($R$17="Distrato",$E555,0))),0,YEARFRAC(MAX($P$34*($B555+IF($R$17="Distrato",$I$38-1,0)),IF(AND($L$37=0,$P$34=0),"",$L$37-1),IF($R$17="Distrato",$E555,0)),MIN(AX$38,$D$19),$P$20))-SUM($P555:AW555)</f>
        <v>#VALUE!</v>
      </c>
      <c r="AY555" s="446" t="e">
        <f>IF(OR($B555="",MIN(AY$38,$D$19)&lt;MAX($P$34*($B555+IF($R$17="Distrato",$I$38-1,0)),IF(AND($L$37=0,$P$34=0),"",$L$37-1),IF($R$17="Distrato",$E555,0))),0,YEARFRAC(MAX($P$34*($B555+IF($R$17="Distrato",$I$38-1,0)),IF(AND($L$37=0,$P$34=0),"",$L$37-1),IF($R$17="Distrato",$E555,0)),MIN(AY$38,$D$19),$P$20))-SUM($P555:AX555)</f>
        <v>#VALUE!</v>
      </c>
      <c r="AZ555" s="446" t="e">
        <f>IF(OR($B555="",MIN(AZ$38,$D$19)&lt;MAX($P$34*($B555+IF($R$17="Distrato",$I$38-1,0)),IF(AND($L$37=0,$P$34=0),"",$L$37-1),IF($R$17="Distrato",$E555,0))),0,YEARFRAC(MAX($P$34*($B555+IF($R$17="Distrato",$I$38-1,0)),IF(AND($L$37=0,$P$34=0),"",$L$37-1),IF($R$17="Distrato",$E555,0)),MIN(AZ$38,$D$19),$P$20))-SUM($P555:AY555)</f>
        <v>#VALUE!</v>
      </c>
      <c r="BA555" s="446" t="e">
        <f>IF(OR($B555="",MIN(BA$38,$D$19)&lt;MAX($P$34*($B555+IF($R$17="Distrato",$I$38-1,0)),IF(AND($L$37=0,$P$34=0),"",$L$37-1),IF($R$17="Distrato",$E555,0))),0,YEARFRAC(MAX($P$34*($B555+IF($R$17="Distrato",$I$38-1,0)),IF(AND($L$37=0,$P$34=0),"",$L$37-1),IF($R$17="Distrato",$E555,0)),MIN(BA$38,$D$19),$P$20))-SUM($P555:AZ555)</f>
        <v>#VALUE!</v>
      </c>
      <c r="BB555" s="447"/>
      <c r="BF555" s="446">
        <f t="shared" si="98"/>
        <v>0</v>
      </c>
      <c r="BG555" s="446">
        <f>IF($E555=0,0,IF(MIN(BG$38,$E555)&lt;MAX($P$34*($B555+$I$38-1),IF(AND($L$37=0,$P$34=0),"",$L$37-1)),0,YEARFRAC(MAX($P$34*($B555+$I$38-1),IF(AND($L$37=0,$P$34=0),"",$L$37-1)),MIN(BG$38,$E555),$P$20))-SUM($BF555:BF555))</f>
        <v>0</v>
      </c>
      <c r="BH555" s="446">
        <f>IF($E555=0,0,IF(MIN(BH$38,$E555)&lt;MAX($P$34*($B555+$I$38-1),IF(AND($L$37=0,$P$34=0),"",$L$37-1)),0,YEARFRAC(MAX($P$34*($B555+$I$38-1),IF(AND($L$37=0,$P$34=0),"",$L$37-1)),MIN(BH$38,$E555),$P$20))-SUM($BF555:BG555))</f>
        <v>0</v>
      </c>
      <c r="BI555" s="446">
        <f>IF($E555=0,0,IF(MIN(BI$38,$E555)&lt;MAX($P$34*($B555+$I$38-1),IF(AND($L$37=0,$P$34=0),"",$L$37-1)),0,YEARFRAC(MAX($P$34*($B555+$I$38-1),IF(AND($L$37=0,$P$34=0),"",$L$37-1)),MIN(BI$38,$E555),$P$20))-SUM($BF555:BH555))</f>
        <v>0</v>
      </c>
      <c r="BJ555" s="446">
        <f>IF($E555=0,0,IF(MIN(BJ$38,$E555)&lt;MAX($P$34*($B555+$I$38-1),IF(AND($L$37=0,$P$34=0),"",$L$37-1)),0,YEARFRAC(MAX($P$34*($B555+$I$38-1),IF(AND($L$37=0,$P$34=0),"",$L$37-1)),MIN(BJ$38,$E555),$P$20))-SUM($BF555:BI555))</f>
        <v>0</v>
      </c>
      <c r="BK555" s="446">
        <f>IF($E555=0,0,IF(MIN(BK$38,$E555)&lt;MAX($P$34*($B555+$I$38-1),IF(AND($L$37=0,$P$34=0),"",$L$37-1)),0,YEARFRAC(MAX($P$34*($B555+$I$38-1),IF(AND($L$37=0,$P$34=0),"",$L$37-1)),MIN(BK$38,$E555),$P$20))-SUM($BF555:BJ555))</f>
        <v>0</v>
      </c>
      <c r="BL555" s="446">
        <f>IF($E555=0,0,IF(MIN(BL$38,$E555)&lt;MAX($P$34*($B555+$I$38-1),IF(AND($L$37=0,$P$34=0),"",$L$37-1)),0,YEARFRAC(MAX($P$34*($B555+$I$38-1),IF(AND($L$37=0,$P$34=0),"",$L$37-1)),MIN(BL$38,$E555),$P$20))-SUM($BF555:BK555))</f>
        <v>0</v>
      </c>
      <c r="BM555" s="446">
        <f>IF($E555=0,0,IF(MIN(BM$38,$E555)&lt;MAX($P$34*($B555+$I$38-1),IF(AND($L$37=0,$P$34=0),"",$L$37-1)),0,YEARFRAC(MAX($P$34*($B555+$I$38-1),IF(AND($L$37=0,$P$34=0),"",$L$37-1)),MIN(BM$38,$E555),$P$20))-SUM($BF555:BL555))</f>
        <v>0</v>
      </c>
      <c r="BN555" s="446">
        <f>IF($E555=0,0,IF(MIN(BN$38,$E555)&lt;MAX($P$34*($B555+$I$38-1),IF(AND($L$37=0,$P$34=0),"",$L$37-1)),0,YEARFRAC(MAX($P$34*($B555+$I$38-1),IF(AND($L$37=0,$P$34=0),"",$L$37-1)),MIN(BN$38,$E555),$P$20))-SUM($BF555:BM555))</f>
        <v>0</v>
      </c>
      <c r="BO555" s="446">
        <f>IF($E555=0,0,IF(MIN(BO$38,$E555)&lt;MAX($P$34*($B555+$I$38-1),IF(AND($L$37=0,$P$34=0),"",$L$37-1)),0,YEARFRAC(MAX($P$34*($B555+$I$38-1),IF(AND($L$37=0,$P$34=0),"",$L$37-1)),MIN(BO$38,$E555),$P$20))-SUM($BF555:BN555))</f>
        <v>0</v>
      </c>
      <c r="BP555" s="446">
        <f>IF($E555=0,0,IF(MIN(BP$38,$E555)&lt;MAX($P$34*($B555+$I$38-1),IF(AND($L$37=0,$P$34=0),"",$L$37-1)),0,YEARFRAC(MAX($P$34*($B555+$I$38-1),IF(AND($L$37=0,$P$34=0),"",$L$37-1)),MIN(BP$38,$E555),$P$20))-SUM($BF555:BO555))</f>
        <v>0</v>
      </c>
      <c r="BQ555" s="446">
        <f>IF($E555=0,0,IF(MIN(BQ$38,$E555)&lt;MAX($P$34*($B555+$I$38-1),IF(AND($L$37=0,$P$34=0),"",$L$37-1)),0,YEARFRAC(MAX($P$34*($B555+$I$38-1),IF(AND($L$37=0,$P$34=0),"",$L$37-1)),MIN(BQ$38,$E555),$P$20))-SUM($BF555:BP555))</f>
        <v>0</v>
      </c>
      <c r="BR555" s="446">
        <f>IF($E555=0,0,IF(MIN(BR$38,$E555)&lt;MAX($P$34*($B555+$I$38-1),IF(AND($L$37=0,$P$34=0),"",$L$37-1)),0,YEARFRAC(MAX($P$34*($B555+$I$38-1),IF(AND($L$37=0,$P$34=0),"",$L$37-1)),MIN(BR$38,$E555),$P$20))-SUM($BF555:BQ555))</f>
        <v>0</v>
      </c>
      <c r="BS555" s="446">
        <f>IF($E555=0,0,IF(MIN(BS$38,$E555)&lt;MAX($P$34*($B555+$I$38-1),IF(AND($L$37=0,$P$34=0),"",$L$37-1)),0,YEARFRAC(MAX($P$34*($B555+$I$38-1),IF(AND($L$37=0,$P$34=0),"",$L$37-1)),MIN(BS$38,$E555),$P$20))-SUM($BF555:BR555))</f>
        <v>0</v>
      </c>
      <c r="BT555" s="446">
        <f>IF($E555=0,0,IF(MIN(BT$38,$E555)&lt;MAX($P$34*($B555+$I$38-1),IF(AND($L$37=0,$P$34=0),"",$L$37-1)),0,YEARFRAC(MAX($P$34*($B555+$I$38-1),IF(AND($L$37=0,$P$34=0),"",$L$37-1)),MIN(BT$38,$E555),$P$20))-SUM($BF555:BS555))</f>
        <v>0</v>
      </c>
      <c r="BU555" s="446">
        <f>IF($E555=0,0,IF(MIN(BU$38,$E555)&lt;MAX($P$34*($B555+$I$38-1),IF(AND($L$37=0,$P$34=0),"",$L$37-1)),0,YEARFRAC(MAX($P$34*($B555+$I$38-1),IF(AND($L$37=0,$P$34=0),"",$L$37-1)),MIN(BU$38,$E555),$P$20))-SUM($BF555:BT555))</f>
        <v>0</v>
      </c>
      <c r="BV555" s="446">
        <f>IF($E555=0,0,IF(MIN(BV$38,$E555)&lt;MAX($P$34*($B555+$I$38-1),IF(AND($L$37=0,$P$34=0),"",$L$37-1)),0,YEARFRAC(MAX($P$34*($B555+$I$38-1),IF(AND($L$37=0,$P$34=0),"",$L$37-1)),MIN(BV$38,$E555),$P$20))-SUM($BF555:BU555))</f>
        <v>0</v>
      </c>
      <c r="BW555" s="446">
        <f>IF($E555=0,0,IF(MIN(BW$38,$E555)&lt;MAX($P$34*($B555+$I$38-1),IF(AND($L$37=0,$P$34=0),"",$L$37-1)),0,YEARFRAC(MAX($P$34*($B555+$I$38-1),IF(AND($L$37=0,$P$34=0),"",$L$37-1)),MIN(BW$38,$E555),$P$20))-SUM($BF555:BV555))</f>
        <v>0</v>
      </c>
      <c r="BX555" s="446">
        <f>IF($E555=0,0,IF(MIN(BX$38,$E555)&lt;MAX($P$34*($B555+$I$38-1),IF(AND($L$37=0,$P$34=0),"",$L$37-1)),0,YEARFRAC(MAX($P$34*($B555+$I$38-1),IF(AND($L$37=0,$P$34=0),"",$L$37-1)),MIN(BX$38,$E555),$P$20))-SUM($BF555:BW555))</f>
        <v>0</v>
      </c>
      <c r="BY555" s="446">
        <f>IF($E555=0,0,IF(MIN(BY$38,$E555)&lt;MAX($P$34*($B555+$I$38-1),IF(AND($L$37=0,$P$34=0),"",$L$37-1)),0,YEARFRAC(MAX($P$34*($B555+$I$38-1),IF(AND($L$37=0,$P$34=0),"",$L$37-1)),MIN(BY$38,$E555),$P$20))-SUM($BF555:BX555))</f>
        <v>0</v>
      </c>
      <c r="BZ555" s="446">
        <f>IF($E555=0,0,IF(MIN(BZ$38,$E555)&lt;MAX($P$34*($B555+$I$38-1),IF(AND($L$37=0,$P$34=0),"",$L$37-1)),0,YEARFRAC(MAX($P$34*($B555+$I$38-1),IF(AND($L$37=0,$P$34=0),"",$L$37-1)),MIN(BZ$38,$E555),$P$20))-SUM($BF555:BY555))</f>
        <v>0</v>
      </c>
      <c r="CA555" s="446">
        <f>IF($E555=0,0,IF(MIN(CA$38,$E555)&lt;MAX($P$34*($B555+$I$38-1),IF(AND($L$37=0,$P$34=0),"",$L$37-1)),0,YEARFRAC(MAX($P$34*($B555+$I$38-1),IF(AND($L$37=0,$P$34=0),"",$L$37-1)),MIN(CA$38,$E555),$P$20))-SUM($BF555:BZ555))</f>
        <v>0</v>
      </c>
      <c r="CB555" s="446">
        <f>IF($E555=0,0,IF(MIN(CB$38,$E555)&lt;MAX($P$34*($B555+$I$38-1),IF(AND($L$37=0,$P$34=0),"",$L$37-1)),0,YEARFRAC(MAX($P$34*($B555+$I$38-1),IF(AND($L$37=0,$P$34=0),"",$L$37-1)),MIN(CB$38,$E555),$P$20))-SUM($BF555:CA555))</f>
        <v>0</v>
      </c>
      <c r="CC555" s="446">
        <f>IF($E555=0,0,IF(MIN(CC$38,$E555)&lt;MAX($P$34*($B555+$I$38-1),IF(AND($L$37=0,$P$34=0),"",$L$37-1)),0,YEARFRAC(MAX($P$34*($B555+$I$38-1),IF(AND($L$37=0,$P$34=0),"",$L$37-1)),MIN(CC$38,$E555),$P$20))-SUM($BF555:CB555))</f>
        <v>0</v>
      </c>
      <c r="CD555" s="446">
        <f>IF($E555=0,0,IF(MIN(CD$38,$E555)&lt;MAX($P$34*($B555+$I$38-1),IF(AND($L$37=0,$P$34=0),"",$L$37-1)),0,YEARFRAC(MAX($P$34*($B555+$I$38-1),IF(AND($L$37=0,$P$34=0),"",$L$37-1)),MIN(CD$38,$E555),$P$20))-SUM($BF555:CC555))</f>
        <v>0</v>
      </c>
      <c r="CE555" s="446">
        <f>IF($E555=0,0,IF(MIN(CE$38,$E555)&lt;MAX($P$34*($B555+$I$38-1),IF(AND($L$37=0,$P$34=0),"",$L$37-1)),0,YEARFRAC(MAX($P$34*($B555+$I$38-1),IF(AND($L$37=0,$P$34=0),"",$L$37-1)),MIN(CE$38,$E555),$P$20))-SUM($BF555:CD555))</f>
        <v>0</v>
      </c>
      <c r="CF555" s="446">
        <f>IF($E555=0,0,IF(MIN(CF$38,$E555)&lt;MAX($P$34*($B555+$I$38-1),IF(AND($L$37=0,$P$34=0),"",$L$37-1)),0,YEARFRAC(MAX($P$34*($B555+$I$38-1),IF(AND($L$37=0,$P$34=0),"",$L$37-1)),MIN(CF$38,$E555),$P$20))-SUM($BF555:CE555))</f>
        <v>0</v>
      </c>
      <c r="CG555" s="446">
        <f>IF($E555=0,0,IF(MIN(CG$38,$E555)&lt;MAX($P$34*($B555+$I$38-1),IF(AND($L$37=0,$P$34=0),"",$L$37-1)),0,YEARFRAC(MAX($P$34*($B555+$I$38-1),IF(AND($L$37=0,$P$34=0),"",$L$37-1)),MIN(CG$38,$E555),$P$20))-SUM($BF555:CF555))</f>
        <v>0</v>
      </c>
      <c r="CH555" s="446">
        <f>IF($E555=0,0,IF(MIN(CH$38,$E555)&lt;MAX($P$34*($B555+$I$38-1),IF(AND($L$37=0,$P$34=0),"",$L$37-1)),0,YEARFRAC(MAX($P$34*($B555+$I$38-1),IF(AND($L$37=0,$P$34=0),"",$L$37-1)),MIN(CH$38,$E555),$P$20))-SUM($BF555:CG555))</f>
        <v>0</v>
      </c>
      <c r="CI555" s="446">
        <f>IF($E555=0,0,IF(MIN(CI$38,$E555)&lt;MAX($P$34*($B555+$I$38-1),IF(AND($L$37=0,$P$34=0),"",$L$37-1)),0,YEARFRAC(MAX($P$34*($B555+$I$38-1),IF(AND($L$37=0,$P$34=0),"",$L$37-1)),MIN(CI$38,$E555),$P$20))-SUM($BF555:CH555))</f>
        <v>0</v>
      </c>
      <c r="CJ555" s="446">
        <f>IF($E555=0,0,IF(MIN(CJ$38,$E555)&lt;MAX($P$34*($B555+$I$38-1),IF(AND($L$37=0,$P$34=0),"",$L$37-1)),0,YEARFRAC(MAX($P$34*($B555+$I$38-1),IF(AND($L$37=0,$P$34=0),"",$L$37-1)),MIN(CJ$38,$E555),$P$20))-SUM($BF555:CI555))</f>
        <v>0</v>
      </c>
      <c r="CK555" s="446">
        <f>IF($E555=0,0,IF(MIN(CK$38,$E555)&lt;MAX($P$34*($B555+$I$38-1),IF(AND($L$37=0,$P$34=0),"",$L$37-1)),0,YEARFRAC(MAX($P$34*($B555+$I$38-1),IF(AND($L$37=0,$P$34=0),"",$L$37-1)),MIN(CK$38,$E555),$P$20))-SUM($BF555:CJ555))</f>
        <v>0</v>
      </c>
      <c r="CL555" s="446">
        <f>IF($E555=0,0,IF(MIN(CL$38,$E555)&lt;MAX($P$34*($B555+$I$38-1),IF(AND($L$37=0,$P$34=0),"",$L$37-1)),0,YEARFRAC(MAX($P$34*($B555+$I$38-1),IF(AND($L$37=0,$P$34=0),"",$L$37-1)),MIN(CL$38,$E555),$P$20))-SUM($BF555:CK555))</f>
        <v>0</v>
      </c>
      <c r="CM555" s="446">
        <f>IF($E555=0,0,IF(MIN(CM$38,$E555)&lt;MAX($P$34*($B555+$I$38-1),IF(AND($L$37=0,$P$34=0),"",$L$37-1)),0,YEARFRAC(MAX($P$34*($B555+$I$38-1),IF(AND($L$37=0,$P$34=0),"",$L$37-1)),MIN(CM$38,$E555),$P$20))-SUM($BF555:CL555))</f>
        <v>0</v>
      </c>
      <c r="CN555" s="446">
        <f>IF($E555=0,0,IF(MIN(CN$38,$E555)&lt;MAX($P$34*($B555+$I$38-1),IF(AND($L$37=0,$P$34=0),"",$L$37-1)),0,YEARFRAC(MAX($P$34*($B555+$I$38-1),IF(AND($L$37=0,$P$34=0),"",$L$37-1)),MIN(CN$38,$E555),$P$20))-SUM($BF555:CM555))</f>
        <v>0</v>
      </c>
      <c r="CO555" s="446">
        <f>IF($E555=0,0,IF(MIN(CO$38,$E555)&lt;MAX($P$34*($B555+$I$38-1),IF(AND($L$37=0,$P$34=0),"",$L$37-1)),0,YEARFRAC(MAX($P$34*($B555+$I$38-1),IF(AND($L$37=0,$P$34=0),"",$L$37-1)),MIN(CO$38,$E555),$P$20))-SUM($BF555:CN555))</f>
        <v>0</v>
      </c>
      <c r="CP555" s="446">
        <f>IF($E555=0,0,IF(MIN(CP$38,$E555)&lt;MAX($P$34*($B555+$I$38-1),IF(AND($L$37=0,$P$34=0),"",$L$37-1)),0,YEARFRAC(MAX($P$34*($B555+$I$38-1),IF(AND($L$37=0,$P$34=0),"",$L$37-1)),MIN(CP$38,$E555),$P$20))-SUM($BF555:CO555))</f>
        <v>0</v>
      </c>
      <c r="CQ555" s="446">
        <f>IF($E555=0,0,IF(MIN(CQ$38,$E555)&lt;MAX($P$34*($B555+$I$38-1),IF(AND($L$37=0,$P$34=0),"",$L$37-1)),0,YEARFRAC(MAX($P$34*($B555+$I$38-1),IF(AND($L$37=0,$P$34=0),"",$L$37-1)),MIN(CQ$38,$E555),$P$20))-SUM($BF555:CP555))</f>
        <v>0</v>
      </c>
    </row>
    <row r="556" spans="1:95" s="446" customFormat="1" ht="11.25" hidden="1" customHeight="1" x14ac:dyDescent="0.2">
      <c r="A556" s="152"/>
      <c r="B556" s="153" t="str">
        <f t="shared" si="103"/>
        <v/>
      </c>
      <c r="C556" s="29" t="str">
        <f>IF(B556="","",IF($L$35="SELIC - TRIBUTOS",VLOOKUP(DATE(YEAR($D$19),MONTH($D$19)-1,1),ÍNDICES!$A:$DE,HLOOKUP($BL$25,ÍNDICES!$B$3:$T$4,2)+11)-VLOOKUP(B556,ÍNDICES!$A:$DE,HLOOKUP($BL$25,ÍNDICES!$B$3:$T$4,2)+11)+1%,IF(C$38=$W$26,$J$35,IF(ISERROR(IF(B556&gt;$D$19,1,VLOOKUP(DATE(YEAR(B556),MONTH(B556)+IF($C$35=$S$23,1,0),1),ÍNDICES!$A:$DE,$Z$35+1))),"",IF(B556&gt;$D$19,1,VLOOKUP(DATE(YEAR(B556),MONTH(B556)+IF($C$35=$S$23,1,0),1),ÍNDICES!$A:$DE,$Z$35+1))))))</f>
        <v/>
      </c>
      <c r="D556" s="154" t="str">
        <f>IF(ISERROR(IF(OR($D$38=$Y$27,$B556=""),"",VLOOKUP(B556,ÍNDICES!A:DE,AF$35+1))),"",IF(OR($D$38=$Y$27,$B556=""),"",VLOOKUP(B556,ÍNDICES!A:DE,AF$35+1)))</f>
        <v/>
      </c>
      <c r="E556" s="153"/>
      <c r="F556" s="29" t="str">
        <f>IF(E556="","",IF($L$35="SELIC - TRIBUTOS",VLOOKUP(DATE(YEAR($D$19),MONTH($D$19)-1,1),ÍNDICES!$A:$DE,HLOOKUP($BL$25,ÍNDICES!$B$3:$T$4,2)+11)-VLOOKUP(E556,ÍNDICES!$A:$DE,HLOOKUP($BL$25,ÍNDICES!$B$3:$T$4,2)+11)+1%,IF(F$38=$W$26,$J$35,IF(ISERROR(IF(E556&gt;$D$19,1,VLOOKUP(DATE(YEAR(E556),MONTH(E556)+IF($C$35=$S$23,1,0),1),ÍNDICES!$A:$DE,$Z$35+1))),"",IF(E556&gt;$D$19,1,VLOOKUP(DATE(YEAR(E556),MONTH(E556)+IF($C$35=$S$23,1,0),1),ÍNDICES!$A:$DE,$Z$35+1))))))</f>
        <v/>
      </c>
      <c r="G556" s="155"/>
      <c r="H556" s="156" t="str">
        <f t="shared" si="99"/>
        <v/>
      </c>
      <c r="I556" s="29" t="str">
        <f t="shared" si="93"/>
        <v/>
      </c>
      <c r="J556" s="5">
        <f t="shared" si="94"/>
        <v>0</v>
      </c>
      <c r="K556" s="20">
        <f t="shared" ca="1" si="95"/>
        <v>0</v>
      </c>
      <c r="L556" s="5">
        <f t="shared" ca="1" si="96"/>
        <v>0</v>
      </c>
      <c r="M556" s="64">
        <f t="shared" si="100"/>
        <v>0</v>
      </c>
      <c r="N556" s="61">
        <f t="shared" ca="1" si="101"/>
        <v>0</v>
      </c>
      <c r="O556" s="5">
        <f t="shared" ca="1" si="102"/>
        <v>0</v>
      </c>
      <c r="P556" s="446" t="e">
        <f t="shared" si="97"/>
        <v>#VALUE!</v>
      </c>
      <c r="Q556" s="446" t="e">
        <f>IF(OR($B556="",MIN(Q$38,$D$19)&lt;MAX($P$34*($B556+IF($R$17="Distrato",$I$38-1,0)),IF(AND($L$37=0,$P$34=0),"",$L$37-1),IF($R$17="Distrato",$E556,0))),0,YEARFRAC(MAX($P$34*($B556+IF($R$17="Distrato",$I$38-1,0)),IF(AND($L$37=0,$P$34=0),"",$L$37-1),IF($R$17="Distrato",$E556,0)),MIN(Q$38,$D$19),$P$20))-SUM($P556:P556)</f>
        <v>#VALUE!</v>
      </c>
      <c r="R556" s="446" t="e">
        <f>IF(OR($B556="",MIN(R$38,$D$19)&lt;MAX($P$34*($B556+IF($R$17="Distrato",$I$38-1,0)),IF(AND($L$37=0,$P$34=0),"",$L$37-1),IF($R$17="Distrato",$E556,0))),0,YEARFRAC(MAX($P$34*($B556+IF($R$17="Distrato",$I$38-1,0)),IF(AND($L$37=0,$P$34=0),"",$L$37-1),IF($R$17="Distrato",$E556,0)),MIN(R$38,$D$19),$P$20))-SUM($P556:Q556)</f>
        <v>#VALUE!</v>
      </c>
      <c r="S556" s="446" t="e">
        <f>IF(OR($B556="",MIN(S$38,$D$19)&lt;MAX($P$34*($B556+IF($R$17="Distrato",$I$38-1,0)),IF(AND($L$37=0,$P$34=0),"",$L$37-1),IF($R$17="Distrato",$E556,0))),0,YEARFRAC(MAX($P$34*($B556+IF($R$17="Distrato",$I$38-1,0)),IF(AND($L$37=0,$P$34=0),"",$L$37-1),IF($R$17="Distrato",$E556,0)),MIN(S$38,$D$19),$P$20))-SUM($P556:R556)</f>
        <v>#VALUE!</v>
      </c>
      <c r="T556" s="446" t="e">
        <f>IF(OR($B556="",MIN(T$38,$D$19)&lt;MAX($P$34*($B556+IF($R$17="Distrato",$I$38-1,0)),IF(AND($L$37=0,$P$34=0),"",$L$37-1),IF($R$17="Distrato",$E556,0))),0,YEARFRAC(MAX($P$34*($B556+IF($R$17="Distrato",$I$38-1,0)),IF(AND($L$37=0,$P$34=0),"",$L$37-1),IF($R$17="Distrato",$E556,0)),MIN(T$38,$D$19),$P$20))-SUM($P556:S556)</f>
        <v>#VALUE!</v>
      </c>
      <c r="U556" s="446" t="e">
        <f>IF(OR($B556="",MIN(U$38,$D$19)&lt;MAX($P$34*($B556+IF($R$17="Distrato",$I$38-1,0)),IF(AND($L$37=0,$P$34=0),"",$L$37-1),IF($R$17="Distrato",$E556,0))),0,YEARFRAC(MAX($P$34*($B556+IF($R$17="Distrato",$I$38-1,0)),IF(AND($L$37=0,$P$34=0),"",$L$37-1),IF($R$17="Distrato",$E556,0)),MIN(U$38,$D$19),$P$20))-SUM($P556:T556)</f>
        <v>#VALUE!</v>
      </c>
      <c r="V556" s="446" t="e">
        <f>IF(OR($B556="",MIN(V$38,$D$19)&lt;MAX($P$34*($B556+IF($R$17="Distrato",$I$38-1,0)),IF(AND($L$37=0,$P$34=0),"",$L$37-1),IF($R$17="Distrato",$E556,0))),0,YEARFRAC(MAX($P$34*($B556+IF($R$17="Distrato",$I$38-1,0)),IF(AND($L$37=0,$P$34=0),"",$L$37-1),IF($R$17="Distrato",$E556,0)),MIN(V$38,$D$19),$P$20))-SUM($P556:U556)</f>
        <v>#VALUE!</v>
      </c>
      <c r="W556" s="446" t="e">
        <f>IF(OR($B556="",MIN(W$38,$D$19)&lt;MAX($P$34*($B556+IF($R$17="Distrato",$I$38-1,0)),IF(AND($L$37=0,$P$34=0),"",$L$37-1),IF($R$17="Distrato",$E556,0))),0,YEARFRAC(MAX($P$34*($B556+IF($R$17="Distrato",$I$38-1,0)),IF(AND($L$37=0,$P$34=0),"",$L$37-1),IF($R$17="Distrato",$E556,0)),MIN(W$38,$D$19),$P$20))-SUM($P556:V556)</f>
        <v>#VALUE!</v>
      </c>
      <c r="X556" s="446" t="e">
        <f>IF(OR($B556="",MIN(X$38,$D$19)&lt;MAX($P$34*($B556+IF($R$17="Distrato",$I$38-1,0)),IF(AND($L$37=0,$P$34=0),"",$L$37-1),IF($R$17="Distrato",$E556,0))),0,YEARFRAC(MAX($P$34*($B556+IF($R$17="Distrato",$I$38-1,0)),IF(AND($L$37=0,$P$34=0),"",$L$37-1),IF($R$17="Distrato",$E556,0)),MIN(X$38,$D$19),$P$20))-SUM($P556:W556)</f>
        <v>#VALUE!</v>
      </c>
      <c r="Y556" s="446" t="e">
        <f>IF(OR($B556="",MIN(Y$38,$D$19)&lt;MAX($P$34*($B556+IF($R$17="Distrato",$I$38-1,0)),IF(AND($L$37=0,$P$34=0),"",$L$37-1),IF($R$17="Distrato",$E556,0))),0,YEARFRAC(MAX($P$34*($B556+IF($R$17="Distrato",$I$38-1,0)),IF(AND($L$37=0,$P$34=0),"",$L$37-1),IF($R$17="Distrato",$E556,0)),MIN(Y$38,$D$19),$P$20))-SUM($P556:X556)</f>
        <v>#VALUE!</v>
      </c>
      <c r="Z556" s="446" t="e">
        <f>IF(OR($B556="",MIN(Z$38,$D$19)&lt;MAX($P$34*($B556+IF($R$17="Distrato",$I$38-1,0)),IF(AND($L$37=0,$P$34=0),"",$L$37-1),IF($R$17="Distrato",$E556,0))),0,YEARFRAC(MAX($P$34*($B556+IF($R$17="Distrato",$I$38-1,0)),IF(AND($L$37=0,$P$34=0),"",$L$37-1),IF($R$17="Distrato",$E556,0)),MIN(Z$38,$D$19),$P$20))-SUM($P556:Y556)</f>
        <v>#VALUE!</v>
      </c>
      <c r="AA556" s="446" t="e">
        <f>IF(OR($B556="",MIN(AA$38,$D$19)&lt;MAX($P$34*($B556+IF($R$17="Distrato",$I$38-1,0)),IF(AND($L$37=0,$P$34=0),"",$L$37-1),IF($R$17="Distrato",$E556,0))),0,YEARFRAC(MAX($P$34*($B556+IF($R$17="Distrato",$I$38-1,0)),IF(AND($L$37=0,$P$34=0),"",$L$37-1),IF($R$17="Distrato",$E556,0)),MIN(AA$38,$D$19),$P$20))-SUM($P556:Z556)</f>
        <v>#VALUE!</v>
      </c>
      <c r="AB556" s="446" t="e">
        <f>IF(OR($B556="",MIN(AB$38,$D$19)&lt;MAX($P$34*($B556+IF($R$17="Distrato",$I$38-1,0)),IF(AND($L$37=0,$P$34=0),"",$L$37-1),IF($R$17="Distrato",$E556,0))),0,YEARFRAC(MAX($P$34*($B556+IF($R$17="Distrato",$I$38-1,0)),IF(AND($L$37=0,$P$34=0),"",$L$37-1),IF($R$17="Distrato",$E556,0)),MIN(AB$38,$D$19),$P$20))-SUM($P556:AA556)</f>
        <v>#VALUE!</v>
      </c>
      <c r="AC556" s="446" t="e">
        <f>IF(OR($B556="",MIN(AC$38,$D$19)&lt;MAX($P$34*($B556+IF($R$17="Distrato",$I$38-1,0)),IF(AND($L$37=0,$P$34=0),"",$L$37-1),IF($R$17="Distrato",$E556,0))),0,YEARFRAC(MAX($P$34*($B556+IF($R$17="Distrato",$I$38-1,0)),IF(AND($L$37=0,$P$34=0),"",$L$37-1),IF($R$17="Distrato",$E556,0)),MIN(AC$38,$D$19),$P$20))-SUM($P556:AB556)</f>
        <v>#VALUE!</v>
      </c>
      <c r="AD556" s="446" t="e">
        <f>IF(OR($B556="",MIN(AD$38,$D$19)&lt;MAX($P$34*($B556+IF($R$17="Distrato",$I$38-1,0)),IF(AND($L$37=0,$P$34=0),"",$L$37-1),IF($R$17="Distrato",$E556,0))),0,YEARFRAC(MAX($P$34*($B556+IF($R$17="Distrato",$I$38-1,0)),IF(AND($L$37=0,$P$34=0),"",$L$37-1),IF($R$17="Distrato",$E556,0)),MIN(AD$38,$D$19),$P$20))-SUM($P556:AC556)</f>
        <v>#VALUE!</v>
      </c>
      <c r="AE556" s="446" t="e">
        <f>IF(OR($B556="",MIN(AE$38,$D$19)&lt;MAX($P$34*($B556+IF($R$17="Distrato",$I$38-1,0)),IF(AND($L$37=0,$P$34=0),"",$L$37-1),IF($R$17="Distrato",$E556,0))),0,YEARFRAC(MAX($P$34*($B556+IF($R$17="Distrato",$I$38-1,0)),IF(AND($L$37=0,$P$34=0),"",$L$37-1),IF($R$17="Distrato",$E556,0)),MIN(AE$38,$D$19),$P$20))-SUM($P556:AD556)</f>
        <v>#VALUE!</v>
      </c>
      <c r="AF556" s="446" t="e">
        <f>IF(OR($B556="",MIN(AF$38,$D$19)&lt;MAX($P$34*($B556+IF($R$17="Distrato",$I$38-1,0)),IF(AND($L$37=0,$P$34=0),"",$L$37-1),IF($R$17="Distrato",$E556,0))),0,YEARFRAC(MAX($P$34*($B556+IF($R$17="Distrato",$I$38-1,0)),IF(AND($L$37=0,$P$34=0),"",$L$37-1),IF($R$17="Distrato",$E556,0)),MIN(AF$38,$D$19),$P$20))-SUM($P556:AE556)</f>
        <v>#VALUE!</v>
      </c>
      <c r="AG556" s="446" t="e">
        <f>IF(OR($B556="",MIN(AG$38,$D$19)&lt;MAX($P$34*($B556+IF($R$17="Distrato",$I$38-1,0)),IF(AND($L$37=0,$P$34=0),"",$L$37-1),IF($R$17="Distrato",$E556,0))),0,YEARFRAC(MAX($P$34*($B556+IF($R$17="Distrato",$I$38-1,0)),IF(AND($L$37=0,$P$34=0),"",$L$37-1),IF($R$17="Distrato",$E556,0)),MIN(AG$38,$D$19),$P$20))-SUM($P556:AF556)</f>
        <v>#VALUE!</v>
      </c>
      <c r="AH556" s="446" t="e">
        <f>IF(OR($B556="",MIN(AH$38,$D$19)&lt;MAX($P$34*($B556+IF($R$17="Distrato",$I$38-1,0)),IF(AND($L$37=0,$P$34=0),"",$L$37-1),IF($R$17="Distrato",$E556,0))),0,YEARFRAC(MAX($P$34*($B556+IF($R$17="Distrato",$I$38-1,0)),IF(AND($L$37=0,$P$34=0),"",$L$37-1),IF($R$17="Distrato",$E556,0)),MIN(AH$38,$D$19),$P$20))-SUM($P556:AG556)</f>
        <v>#VALUE!</v>
      </c>
      <c r="AI556" s="446" t="e">
        <f>IF(OR($B556="",MIN(AI$38,$D$19)&lt;MAX($P$34*($B556+IF($R$17="Distrato",$I$38-1,0)),IF(AND($L$37=0,$P$34=0),"",$L$37-1),IF($R$17="Distrato",$E556,0))),0,YEARFRAC(MAX($P$34*($B556+IF($R$17="Distrato",$I$38-1,0)),IF(AND($L$37=0,$P$34=0),"",$L$37-1),IF($R$17="Distrato",$E556,0)),MIN(AI$38,$D$19),$P$20))-SUM($P556:AH556)</f>
        <v>#VALUE!</v>
      </c>
      <c r="AJ556" s="446" t="e">
        <f>IF(OR($B556="",MIN(AJ$38,$D$19)&lt;MAX($P$34*($B556+IF($R$17="Distrato",$I$38-1,0)),IF(AND($L$37=0,$P$34=0),"",$L$37-1),IF($R$17="Distrato",$E556,0))),0,YEARFRAC(MAX($P$34*($B556+IF($R$17="Distrato",$I$38-1,0)),IF(AND($L$37=0,$P$34=0),"",$L$37-1),IF($R$17="Distrato",$E556,0)),MIN(AJ$38,$D$19),$P$20))-SUM($P556:AI556)</f>
        <v>#VALUE!</v>
      </c>
      <c r="AK556" s="446" t="e">
        <f>IF(OR($B556="",MIN(AK$38,$D$19)&lt;MAX($P$34*($B556+IF($R$17="Distrato",$I$38-1,0)),IF(AND($L$37=0,$P$34=0),"",$L$37-1),IF($R$17="Distrato",$E556,0))),0,YEARFRAC(MAX($P$34*($B556+IF($R$17="Distrato",$I$38-1,0)),IF(AND($L$37=0,$P$34=0),"",$L$37-1),IF($R$17="Distrato",$E556,0)),MIN(AK$38,$D$19),$P$20))-SUM($P556:AJ556)</f>
        <v>#VALUE!</v>
      </c>
      <c r="AL556" s="446" t="e">
        <f>IF(OR($B556="",MIN(AL$38,$D$19)&lt;MAX($P$34*($B556+IF($R$17="Distrato",$I$38-1,0)),IF(AND($L$37=0,$P$34=0),"",$L$37-1),IF($R$17="Distrato",$E556,0))),0,YEARFRAC(MAX($P$34*($B556+IF($R$17="Distrato",$I$38-1,0)),IF(AND($L$37=0,$P$34=0),"",$L$37-1),IF($R$17="Distrato",$E556,0)),MIN(AL$38,$D$19),$P$20))-SUM($P556:AK556)</f>
        <v>#VALUE!</v>
      </c>
      <c r="AM556" s="446" t="e">
        <f>IF(OR($B556="",MIN(AM$38,$D$19)&lt;MAX($P$34*($B556+IF($R$17="Distrato",$I$38-1,0)),IF(AND($L$37=0,$P$34=0),"",$L$37-1),IF($R$17="Distrato",$E556,0))),0,YEARFRAC(MAX($P$34*($B556+IF($R$17="Distrato",$I$38-1,0)),IF(AND($L$37=0,$P$34=0),"",$L$37-1),IF($R$17="Distrato",$E556,0)),MIN(AM$38,$D$19),$P$20))-SUM($P556:AL556)</f>
        <v>#VALUE!</v>
      </c>
      <c r="AN556" s="446" t="e">
        <f>IF(OR($B556="",MIN(AN$38,$D$19)&lt;MAX($P$34*($B556+IF($R$17="Distrato",$I$38-1,0)),IF(AND($L$37=0,$P$34=0),"",$L$37-1),IF($R$17="Distrato",$E556,0))),0,YEARFRAC(MAX($P$34*($B556+IF($R$17="Distrato",$I$38-1,0)),IF(AND($L$37=0,$P$34=0),"",$L$37-1),IF($R$17="Distrato",$E556,0)),MIN(AN$38,$D$19),$P$20))-SUM($P556:AM556)</f>
        <v>#VALUE!</v>
      </c>
      <c r="AO556" s="446" t="e">
        <f>IF(OR($B556="",MIN(AO$38,$D$19)&lt;MAX($P$34*($B556+IF($R$17="Distrato",$I$38-1,0)),IF(AND($L$37=0,$P$34=0),"",$L$37-1),IF($R$17="Distrato",$E556,0))),0,YEARFRAC(MAX($P$34*($B556+IF($R$17="Distrato",$I$38-1,0)),IF(AND($L$37=0,$P$34=0),"",$L$37-1),IF($R$17="Distrato",$E556,0)),MIN(AO$38,$D$19),$P$20))-SUM($P556:AN556)</f>
        <v>#VALUE!</v>
      </c>
      <c r="AP556" s="446" t="e">
        <f>IF(OR($B556="",MIN(AP$38,$D$19)&lt;MAX($P$34*($B556+IF($R$17="Distrato",$I$38-1,0)),IF(AND($L$37=0,$P$34=0),"",$L$37-1),IF($R$17="Distrato",$E556,0))),0,YEARFRAC(MAX($P$34*($B556+IF($R$17="Distrato",$I$38-1,0)),IF(AND($L$37=0,$P$34=0),"",$L$37-1),IF($R$17="Distrato",$E556,0)),MIN(AP$38,$D$19),$P$20))-SUM($P556:AO556)</f>
        <v>#VALUE!</v>
      </c>
      <c r="AQ556" s="446" t="e">
        <f>IF(OR($B556="",MIN(AQ$38,$D$19)&lt;MAX($P$34*($B556+IF($R$17="Distrato",$I$38-1,0)),IF(AND($L$37=0,$P$34=0),"",$L$37-1),IF($R$17="Distrato",$E556,0))),0,YEARFRAC(MAX($P$34*($B556+IF($R$17="Distrato",$I$38-1,0)),IF(AND($L$37=0,$P$34=0),"",$L$37-1),IF($R$17="Distrato",$E556,0)),MIN(AQ$38,$D$19),$P$20))-SUM($P556:AP556)</f>
        <v>#VALUE!</v>
      </c>
      <c r="AR556" s="446" t="e">
        <f>IF(OR($B556="",MIN(AR$38,$D$19)&lt;MAX($P$34*($B556+IF($R$17="Distrato",$I$38-1,0)),IF(AND($L$37=0,$P$34=0),"",$L$37-1),IF($R$17="Distrato",$E556,0))),0,YEARFRAC(MAX($P$34*($B556+IF($R$17="Distrato",$I$38-1,0)),IF(AND($L$37=0,$P$34=0),"",$L$37-1),IF($R$17="Distrato",$E556,0)),MIN(AR$38,$D$19),$P$20))-SUM($P556:AQ556)</f>
        <v>#VALUE!</v>
      </c>
      <c r="AS556" s="446" t="e">
        <f>IF(OR($B556="",MIN(AS$38,$D$19)&lt;MAX($P$34*($B556+IF($R$17="Distrato",$I$38-1,0)),IF(AND($L$37=0,$P$34=0),"",$L$37-1),IF($R$17="Distrato",$E556,0))),0,YEARFRAC(MAX($P$34*($B556+IF($R$17="Distrato",$I$38-1,0)),IF(AND($L$37=0,$P$34=0),"",$L$37-1),IF($R$17="Distrato",$E556,0)),MIN(AS$38,$D$19),$P$20))-SUM($P556:AR556)</f>
        <v>#VALUE!</v>
      </c>
      <c r="AT556" s="446" t="e">
        <f>IF(OR($B556="",MIN(AT$38,$D$19)&lt;MAX($P$34*($B556+IF($R$17="Distrato",$I$38-1,0)),IF(AND($L$37=0,$P$34=0),"",$L$37-1),IF($R$17="Distrato",$E556,0))),0,YEARFRAC(MAX($P$34*($B556+IF($R$17="Distrato",$I$38-1,0)),IF(AND($L$37=0,$P$34=0),"",$L$37-1),IF($R$17="Distrato",$E556,0)),MIN(AT$38,$D$19),$P$20))-SUM($P556:AS556)</f>
        <v>#VALUE!</v>
      </c>
      <c r="AU556" s="446" t="e">
        <f>IF(OR($B556="",MIN(AU$38,$D$19)&lt;MAX($P$34*($B556+IF($R$17="Distrato",$I$38-1,0)),IF(AND($L$37=0,$P$34=0),"",$L$37-1),IF($R$17="Distrato",$E556,0))),0,YEARFRAC(MAX($P$34*($B556+IF($R$17="Distrato",$I$38-1,0)),IF(AND($L$37=0,$P$34=0),"",$L$37-1),IF($R$17="Distrato",$E556,0)),MIN(AU$38,$D$19),$P$20))-SUM($P556:AT556)</f>
        <v>#VALUE!</v>
      </c>
      <c r="AV556" s="446" t="e">
        <f>IF(OR($B556="",MIN(AV$38,$D$19)&lt;MAX($P$34*($B556+IF($R$17="Distrato",$I$38-1,0)),IF(AND($L$37=0,$P$34=0),"",$L$37-1),IF($R$17="Distrato",$E556,0))),0,YEARFRAC(MAX($P$34*($B556+IF($R$17="Distrato",$I$38-1,0)),IF(AND($L$37=0,$P$34=0),"",$L$37-1),IF($R$17="Distrato",$E556,0)),MIN(AV$38,$D$19),$P$20))-SUM($P556:AU556)</f>
        <v>#VALUE!</v>
      </c>
      <c r="AW556" s="446" t="e">
        <f>IF(OR($B556="",MIN(AW$38,$D$19)&lt;MAX($P$34*($B556+IF($R$17="Distrato",$I$38-1,0)),IF(AND($L$37=0,$P$34=0),"",$L$37-1),IF($R$17="Distrato",$E556,0))),0,YEARFRAC(MAX($P$34*($B556+IF($R$17="Distrato",$I$38-1,0)),IF(AND($L$37=0,$P$34=0),"",$L$37-1),IF($R$17="Distrato",$E556,0)),MIN(AW$38,$D$19),$P$20))-SUM($P556:AV556)</f>
        <v>#VALUE!</v>
      </c>
      <c r="AX556" s="446" t="e">
        <f>IF(OR($B556="",MIN(AX$38,$D$19)&lt;MAX($P$34*($B556+IF($R$17="Distrato",$I$38-1,0)),IF(AND($L$37=0,$P$34=0),"",$L$37-1),IF($R$17="Distrato",$E556,0))),0,YEARFRAC(MAX($P$34*($B556+IF($R$17="Distrato",$I$38-1,0)),IF(AND($L$37=0,$P$34=0),"",$L$37-1),IF($R$17="Distrato",$E556,0)),MIN(AX$38,$D$19),$P$20))-SUM($P556:AW556)</f>
        <v>#VALUE!</v>
      </c>
      <c r="AY556" s="446" t="e">
        <f>IF(OR($B556="",MIN(AY$38,$D$19)&lt;MAX($P$34*($B556+IF($R$17="Distrato",$I$38-1,0)),IF(AND($L$37=0,$P$34=0),"",$L$37-1),IF($R$17="Distrato",$E556,0))),0,YEARFRAC(MAX($P$34*($B556+IF($R$17="Distrato",$I$38-1,0)),IF(AND($L$37=0,$P$34=0),"",$L$37-1),IF($R$17="Distrato",$E556,0)),MIN(AY$38,$D$19),$P$20))-SUM($P556:AX556)</f>
        <v>#VALUE!</v>
      </c>
      <c r="AZ556" s="446" t="e">
        <f>IF(OR($B556="",MIN(AZ$38,$D$19)&lt;MAX($P$34*($B556+IF($R$17="Distrato",$I$38-1,0)),IF(AND($L$37=0,$P$34=0),"",$L$37-1),IF($R$17="Distrato",$E556,0))),0,YEARFRAC(MAX($P$34*($B556+IF($R$17="Distrato",$I$38-1,0)),IF(AND($L$37=0,$P$34=0),"",$L$37-1),IF($R$17="Distrato",$E556,0)),MIN(AZ$38,$D$19),$P$20))-SUM($P556:AY556)</f>
        <v>#VALUE!</v>
      </c>
      <c r="BA556" s="446" t="e">
        <f>IF(OR($B556="",MIN(BA$38,$D$19)&lt;MAX($P$34*($B556+IF($R$17="Distrato",$I$38-1,0)),IF(AND($L$37=0,$P$34=0),"",$L$37-1),IF($R$17="Distrato",$E556,0))),0,YEARFRAC(MAX($P$34*($B556+IF($R$17="Distrato",$I$38-1,0)),IF(AND($L$37=0,$P$34=0),"",$L$37-1),IF($R$17="Distrato",$E556,0)),MIN(BA$38,$D$19),$P$20))-SUM($P556:AZ556)</f>
        <v>#VALUE!</v>
      </c>
      <c r="BB556" s="447"/>
      <c r="BF556" s="446">
        <f t="shared" si="98"/>
        <v>0</v>
      </c>
      <c r="BG556" s="446">
        <f>IF($E556=0,0,IF(MIN(BG$38,$E556)&lt;MAX($P$34*($B556+$I$38-1),IF(AND($L$37=0,$P$34=0),"",$L$37-1)),0,YEARFRAC(MAX($P$34*($B556+$I$38-1),IF(AND($L$37=0,$P$34=0),"",$L$37-1)),MIN(BG$38,$E556),$P$20))-SUM($BF556:BF556))</f>
        <v>0</v>
      </c>
      <c r="BH556" s="446">
        <f>IF($E556=0,0,IF(MIN(BH$38,$E556)&lt;MAX($P$34*($B556+$I$38-1),IF(AND($L$37=0,$P$34=0),"",$L$37-1)),0,YEARFRAC(MAX($P$34*($B556+$I$38-1),IF(AND($L$37=0,$P$34=0),"",$L$37-1)),MIN(BH$38,$E556),$P$20))-SUM($BF556:BG556))</f>
        <v>0</v>
      </c>
      <c r="BI556" s="446">
        <f>IF($E556=0,0,IF(MIN(BI$38,$E556)&lt;MAX($P$34*($B556+$I$38-1),IF(AND($L$37=0,$P$34=0),"",$L$37-1)),0,YEARFRAC(MAX($P$34*($B556+$I$38-1),IF(AND($L$37=0,$P$34=0),"",$L$37-1)),MIN(BI$38,$E556),$P$20))-SUM($BF556:BH556))</f>
        <v>0</v>
      </c>
      <c r="BJ556" s="446">
        <f>IF($E556=0,0,IF(MIN(BJ$38,$E556)&lt;MAX($P$34*($B556+$I$38-1),IF(AND($L$37=0,$P$34=0),"",$L$37-1)),0,YEARFRAC(MAX($P$34*($B556+$I$38-1),IF(AND($L$37=0,$P$34=0),"",$L$37-1)),MIN(BJ$38,$E556),$P$20))-SUM($BF556:BI556))</f>
        <v>0</v>
      </c>
      <c r="BK556" s="446">
        <f>IF($E556=0,0,IF(MIN(BK$38,$E556)&lt;MAX($P$34*($B556+$I$38-1),IF(AND($L$37=0,$P$34=0),"",$L$37-1)),0,YEARFRAC(MAX($P$34*($B556+$I$38-1),IF(AND($L$37=0,$P$34=0),"",$L$37-1)),MIN(BK$38,$E556),$P$20))-SUM($BF556:BJ556))</f>
        <v>0</v>
      </c>
      <c r="BL556" s="446">
        <f>IF($E556=0,0,IF(MIN(BL$38,$E556)&lt;MAX($P$34*($B556+$I$38-1),IF(AND($L$37=0,$P$34=0),"",$L$37-1)),0,YEARFRAC(MAX($P$34*($B556+$I$38-1),IF(AND($L$37=0,$P$34=0),"",$L$37-1)),MIN(BL$38,$E556),$P$20))-SUM($BF556:BK556))</f>
        <v>0</v>
      </c>
      <c r="BM556" s="446">
        <f>IF($E556=0,0,IF(MIN(BM$38,$E556)&lt;MAX($P$34*($B556+$I$38-1),IF(AND($L$37=0,$P$34=0),"",$L$37-1)),0,YEARFRAC(MAX($P$34*($B556+$I$38-1),IF(AND($L$37=0,$P$34=0),"",$L$37-1)),MIN(BM$38,$E556),$P$20))-SUM($BF556:BL556))</f>
        <v>0</v>
      </c>
      <c r="BN556" s="446">
        <f>IF($E556=0,0,IF(MIN(BN$38,$E556)&lt;MAX($P$34*($B556+$I$38-1),IF(AND($L$37=0,$P$34=0),"",$L$37-1)),0,YEARFRAC(MAX($P$34*($B556+$I$38-1),IF(AND($L$37=0,$P$34=0),"",$L$37-1)),MIN(BN$38,$E556),$P$20))-SUM($BF556:BM556))</f>
        <v>0</v>
      </c>
      <c r="BO556" s="446">
        <f>IF($E556=0,0,IF(MIN(BO$38,$E556)&lt;MAX($P$34*($B556+$I$38-1),IF(AND($L$37=0,$P$34=0),"",$L$37-1)),0,YEARFRAC(MAX($P$34*($B556+$I$38-1),IF(AND($L$37=0,$P$34=0),"",$L$37-1)),MIN(BO$38,$E556),$P$20))-SUM($BF556:BN556))</f>
        <v>0</v>
      </c>
      <c r="BP556" s="446">
        <f>IF($E556=0,0,IF(MIN(BP$38,$E556)&lt;MAX($P$34*($B556+$I$38-1),IF(AND($L$37=0,$P$34=0),"",$L$37-1)),0,YEARFRAC(MAX($P$34*($B556+$I$38-1),IF(AND($L$37=0,$P$34=0),"",$L$37-1)),MIN(BP$38,$E556),$P$20))-SUM($BF556:BO556))</f>
        <v>0</v>
      </c>
      <c r="BQ556" s="446">
        <f>IF($E556=0,0,IF(MIN(BQ$38,$E556)&lt;MAX($P$34*($B556+$I$38-1),IF(AND($L$37=0,$P$34=0),"",$L$37-1)),0,YEARFRAC(MAX($P$34*($B556+$I$38-1),IF(AND($L$37=0,$P$34=0),"",$L$37-1)),MIN(BQ$38,$E556),$P$20))-SUM($BF556:BP556))</f>
        <v>0</v>
      </c>
      <c r="BR556" s="446">
        <f>IF($E556=0,0,IF(MIN(BR$38,$E556)&lt;MAX($P$34*($B556+$I$38-1),IF(AND($L$37=0,$P$34=0),"",$L$37-1)),0,YEARFRAC(MAX($P$34*($B556+$I$38-1),IF(AND($L$37=0,$P$34=0),"",$L$37-1)),MIN(BR$38,$E556),$P$20))-SUM($BF556:BQ556))</f>
        <v>0</v>
      </c>
      <c r="BS556" s="446">
        <f>IF($E556=0,0,IF(MIN(BS$38,$E556)&lt;MAX($P$34*($B556+$I$38-1),IF(AND($L$37=0,$P$34=0),"",$L$37-1)),0,YEARFRAC(MAX($P$34*($B556+$I$38-1),IF(AND($L$37=0,$P$34=0),"",$L$37-1)),MIN(BS$38,$E556),$P$20))-SUM($BF556:BR556))</f>
        <v>0</v>
      </c>
      <c r="BT556" s="446">
        <f>IF($E556=0,0,IF(MIN(BT$38,$E556)&lt;MAX($P$34*($B556+$I$38-1),IF(AND($L$37=0,$P$34=0),"",$L$37-1)),0,YEARFRAC(MAX($P$34*($B556+$I$38-1),IF(AND($L$37=0,$P$34=0),"",$L$37-1)),MIN(BT$38,$E556),$P$20))-SUM($BF556:BS556))</f>
        <v>0</v>
      </c>
      <c r="BU556" s="446">
        <f>IF($E556=0,0,IF(MIN(BU$38,$E556)&lt;MAX($P$34*($B556+$I$38-1),IF(AND($L$37=0,$P$34=0),"",$L$37-1)),0,YEARFRAC(MAX($P$34*($B556+$I$38-1),IF(AND($L$37=0,$P$34=0),"",$L$37-1)),MIN(BU$38,$E556),$P$20))-SUM($BF556:BT556))</f>
        <v>0</v>
      </c>
      <c r="BV556" s="446">
        <f>IF($E556=0,0,IF(MIN(BV$38,$E556)&lt;MAX($P$34*($B556+$I$38-1),IF(AND($L$37=0,$P$34=0),"",$L$37-1)),0,YEARFRAC(MAX($P$34*($B556+$I$38-1),IF(AND($L$37=0,$P$34=0),"",$L$37-1)),MIN(BV$38,$E556),$P$20))-SUM($BF556:BU556))</f>
        <v>0</v>
      </c>
      <c r="BW556" s="446">
        <f>IF($E556=0,0,IF(MIN(BW$38,$E556)&lt;MAX($P$34*($B556+$I$38-1),IF(AND($L$37=0,$P$34=0),"",$L$37-1)),0,YEARFRAC(MAX($P$34*($B556+$I$38-1),IF(AND($L$37=0,$P$34=0),"",$L$37-1)),MIN(BW$38,$E556),$P$20))-SUM($BF556:BV556))</f>
        <v>0</v>
      </c>
      <c r="BX556" s="446">
        <f>IF($E556=0,0,IF(MIN(BX$38,$E556)&lt;MAX($P$34*($B556+$I$38-1),IF(AND($L$37=0,$P$34=0),"",$L$37-1)),0,YEARFRAC(MAX($P$34*($B556+$I$38-1),IF(AND($L$37=0,$P$34=0),"",$L$37-1)),MIN(BX$38,$E556),$P$20))-SUM($BF556:BW556))</f>
        <v>0</v>
      </c>
      <c r="BY556" s="446">
        <f>IF($E556=0,0,IF(MIN(BY$38,$E556)&lt;MAX($P$34*($B556+$I$38-1),IF(AND($L$37=0,$P$34=0),"",$L$37-1)),0,YEARFRAC(MAX($P$34*($B556+$I$38-1),IF(AND($L$37=0,$P$34=0),"",$L$37-1)),MIN(BY$38,$E556),$P$20))-SUM($BF556:BX556))</f>
        <v>0</v>
      </c>
      <c r="BZ556" s="446">
        <f>IF($E556=0,0,IF(MIN(BZ$38,$E556)&lt;MAX($P$34*($B556+$I$38-1),IF(AND($L$37=0,$P$34=0),"",$L$37-1)),0,YEARFRAC(MAX($P$34*($B556+$I$38-1),IF(AND($L$37=0,$P$34=0),"",$L$37-1)),MIN(BZ$38,$E556),$P$20))-SUM($BF556:BY556))</f>
        <v>0</v>
      </c>
      <c r="CA556" s="446">
        <f>IF($E556=0,0,IF(MIN(CA$38,$E556)&lt;MAX($P$34*($B556+$I$38-1),IF(AND($L$37=0,$P$34=0),"",$L$37-1)),0,YEARFRAC(MAX($P$34*($B556+$I$38-1),IF(AND($L$37=0,$P$34=0),"",$L$37-1)),MIN(CA$38,$E556),$P$20))-SUM($BF556:BZ556))</f>
        <v>0</v>
      </c>
      <c r="CB556" s="446">
        <f>IF($E556=0,0,IF(MIN(CB$38,$E556)&lt;MAX($P$34*($B556+$I$38-1),IF(AND($L$37=0,$P$34=0),"",$L$37-1)),0,YEARFRAC(MAX($P$34*($B556+$I$38-1),IF(AND($L$37=0,$P$34=0),"",$L$37-1)),MIN(CB$38,$E556),$P$20))-SUM($BF556:CA556))</f>
        <v>0</v>
      </c>
      <c r="CC556" s="446">
        <f>IF($E556=0,0,IF(MIN(CC$38,$E556)&lt;MAX($P$34*($B556+$I$38-1),IF(AND($L$37=0,$P$34=0),"",$L$37-1)),0,YEARFRAC(MAX($P$34*($B556+$I$38-1),IF(AND($L$37=0,$P$34=0),"",$L$37-1)),MIN(CC$38,$E556),$P$20))-SUM($BF556:CB556))</f>
        <v>0</v>
      </c>
      <c r="CD556" s="446">
        <f>IF($E556=0,0,IF(MIN(CD$38,$E556)&lt;MAX($P$34*($B556+$I$38-1),IF(AND($L$37=0,$P$34=0),"",$L$37-1)),0,YEARFRAC(MAX($P$34*($B556+$I$38-1),IF(AND($L$37=0,$P$34=0),"",$L$37-1)),MIN(CD$38,$E556),$P$20))-SUM($BF556:CC556))</f>
        <v>0</v>
      </c>
      <c r="CE556" s="446">
        <f>IF($E556=0,0,IF(MIN(CE$38,$E556)&lt;MAX($P$34*($B556+$I$38-1),IF(AND($L$37=0,$P$34=0),"",$L$37-1)),0,YEARFRAC(MAX($P$34*($B556+$I$38-1),IF(AND($L$37=0,$P$34=0),"",$L$37-1)),MIN(CE$38,$E556),$P$20))-SUM($BF556:CD556))</f>
        <v>0</v>
      </c>
      <c r="CF556" s="446">
        <f>IF($E556=0,0,IF(MIN(CF$38,$E556)&lt;MAX($P$34*($B556+$I$38-1),IF(AND($L$37=0,$P$34=0),"",$L$37-1)),0,YEARFRAC(MAX($P$34*($B556+$I$38-1),IF(AND($L$37=0,$P$34=0),"",$L$37-1)),MIN(CF$38,$E556),$P$20))-SUM($BF556:CE556))</f>
        <v>0</v>
      </c>
      <c r="CG556" s="446">
        <f>IF($E556=0,0,IF(MIN(CG$38,$E556)&lt;MAX($P$34*($B556+$I$38-1),IF(AND($L$37=0,$P$34=0),"",$L$37-1)),0,YEARFRAC(MAX($P$34*($B556+$I$38-1),IF(AND($L$37=0,$P$34=0),"",$L$37-1)),MIN(CG$38,$E556),$P$20))-SUM($BF556:CF556))</f>
        <v>0</v>
      </c>
      <c r="CH556" s="446">
        <f>IF($E556=0,0,IF(MIN(CH$38,$E556)&lt;MAX($P$34*($B556+$I$38-1),IF(AND($L$37=0,$P$34=0),"",$L$37-1)),0,YEARFRAC(MAX($P$34*($B556+$I$38-1),IF(AND($L$37=0,$P$34=0),"",$L$37-1)),MIN(CH$38,$E556),$P$20))-SUM($BF556:CG556))</f>
        <v>0</v>
      </c>
      <c r="CI556" s="446">
        <f>IF($E556=0,0,IF(MIN(CI$38,$E556)&lt;MAX($P$34*($B556+$I$38-1),IF(AND($L$37=0,$P$34=0),"",$L$37-1)),0,YEARFRAC(MAX($P$34*($B556+$I$38-1),IF(AND($L$37=0,$P$34=0),"",$L$37-1)),MIN(CI$38,$E556),$P$20))-SUM($BF556:CH556))</f>
        <v>0</v>
      </c>
      <c r="CJ556" s="446">
        <f>IF($E556=0,0,IF(MIN(CJ$38,$E556)&lt;MAX($P$34*($B556+$I$38-1),IF(AND($L$37=0,$P$34=0),"",$L$37-1)),0,YEARFRAC(MAX($P$34*($B556+$I$38-1),IF(AND($L$37=0,$P$34=0),"",$L$37-1)),MIN(CJ$38,$E556),$P$20))-SUM($BF556:CI556))</f>
        <v>0</v>
      </c>
      <c r="CK556" s="446">
        <f>IF($E556=0,0,IF(MIN(CK$38,$E556)&lt;MAX($P$34*($B556+$I$38-1),IF(AND($L$37=0,$P$34=0),"",$L$37-1)),0,YEARFRAC(MAX($P$34*($B556+$I$38-1),IF(AND($L$37=0,$P$34=0),"",$L$37-1)),MIN(CK$38,$E556),$P$20))-SUM($BF556:CJ556))</f>
        <v>0</v>
      </c>
      <c r="CL556" s="446">
        <f>IF($E556=0,0,IF(MIN(CL$38,$E556)&lt;MAX($P$34*($B556+$I$38-1),IF(AND($L$37=0,$P$34=0),"",$L$37-1)),0,YEARFRAC(MAX($P$34*($B556+$I$38-1),IF(AND($L$37=0,$P$34=0),"",$L$37-1)),MIN(CL$38,$E556),$P$20))-SUM($BF556:CK556))</f>
        <v>0</v>
      </c>
      <c r="CM556" s="446">
        <f>IF($E556=0,0,IF(MIN(CM$38,$E556)&lt;MAX($P$34*($B556+$I$38-1),IF(AND($L$37=0,$P$34=0),"",$L$37-1)),0,YEARFRAC(MAX($P$34*($B556+$I$38-1),IF(AND($L$37=0,$P$34=0),"",$L$37-1)),MIN(CM$38,$E556),$P$20))-SUM($BF556:CL556))</f>
        <v>0</v>
      </c>
      <c r="CN556" s="446">
        <f>IF($E556=0,0,IF(MIN(CN$38,$E556)&lt;MAX($P$34*($B556+$I$38-1),IF(AND($L$37=0,$P$34=0),"",$L$37-1)),0,YEARFRAC(MAX($P$34*($B556+$I$38-1),IF(AND($L$37=0,$P$34=0),"",$L$37-1)),MIN(CN$38,$E556),$P$20))-SUM($BF556:CM556))</f>
        <v>0</v>
      </c>
      <c r="CO556" s="446">
        <f>IF($E556=0,0,IF(MIN(CO$38,$E556)&lt;MAX($P$34*($B556+$I$38-1),IF(AND($L$37=0,$P$34=0),"",$L$37-1)),0,YEARFRAC(MAX($P$34*($B556+$I$38-1),IF(AND($L$37=0,$P$34=0),"",$L$37-1)),MIN(CO$38,$E556),$P$20))-SUM($BF556:CN556))</f>
        <v>0</v>
      </c>
      <c r="CP556" s="446">
        <f>IF($E556=0,0,IF(MIN(CP$38,$E556)&lt;MAX($P$34*($B556+$I$38-1),IF(AND($L$37=0,$P$34=0),"",$L$37-1)),0,YEARFRAC(MAX($P$34*($B556+$I$38-1),IF(AND($L$37=0,$P$34=0),"",$L$37-1)),MIN(CP$38,$E556),$P$20))-SUM($BF556:CO556))</f>
        <v>0</v>
      </c>
      <c r="CQ556" s="446">
        <f>IF($E556=0,0,IF(MIN(CQ$38,$E556)&lt;MAX($P$34*($B556+$I$38-1),IF(AND($L$37=0,$P$34=0),"",$L$37-1)),0,YEARFRAC(MAX($P$34*($B556+$I$38-1),IF(AND($L$37=0,$P$34=0),"",$L$37-1)),MIN(CQ$38,$E556),$P$20))-SUM($BF556:CP556))</f>
        <v>0</v>
      </c>
    </row>
    <row r="557" spans="1:95" s="446" customFormat="1" ht="11.25" hidden="1" customHeight="1" x14ac:dyDescent="0.2">
      <c r="A557" s="152"/>
      <c r="B557" s="153" t="str">
        <f t="shared" si="103"/>
        <v/>
      </c>
      <c r="C557" s="29" t="str">
        <f>IF(B557="","",IF($L$35="SELIC - TRIBUTOS",VLOOKUP(DATE(YEAR($D$19),MONTH($D$19)-1,1),ÍNDICES!$A:$DE,HLOOKUP($BL$25,ÍNDICES!$B$3:$T$4,2)+11)-VLOOKUP(B557,ÍNDICES!$A:$DE,HLOOKUP($BL$25,ÍNDICES!$B$3:$T$4,2)+11)+1%,IF(C$38=$W$26,$J$35,IF(ISERROR(IF(B557&gt;$D$19,1,VLOOKUP(DATE(YEAR(B557),MONTH(B557)+IF($C$35=$S$23,1,0),1),ÍNDICES!$A:$DE,$Z$35+1))),"",IF(B557&gt;$D$19,1,VLOOKUP(DATE(YEAR(B557),MONTH(B557)+IF($C$35=$S$23,1,0),1),ÍNDICES!$A:$DE,$Z$35+1))))))</f>
        <v/>
      </c>
      <c r="D557" s="154" t="str">
        <f>IF(ISERROR(IF(OR($D$38=$Y$27,$B557=""),"",VLOOKUP(B557,ÍNDICES!A:DE,AF$35+1))),"",IF(OR($D$38=$Y$27,$B557=""),"",VLOOKUP(B557,ÍNDICES!A:DE,AF$35+1)))</f>
        <v/>
      </c>
      <c r="E557" s="153"/>
      <c r="F557" s="29" t="str">
        <f>IF(E557="","",IF($L$35="SELIC - TRIBUTOS",VLOOKUP(DATE(YEAR($D$19),MONTH($D$19)-1,1),ÍNDICES!$A:$DE,HLOOKUP($BL$25,ÍNDICES!$B$3:$T$4,2)+11)-VLOOKUP(E557,ÍNDICES!$A:$DE,HLOOKUP($BL$25,ÍNDICES!$B$3:$T$4,2)+11)+1%,IF(F$38=$W$26,$J$35,IF(ISERROR(IF(E557&gt;$D$19,1,VLOOKUP(DATE(YEAR(E557),MONTH(E557)+IF($C$35=$S$23,1,0),1),ÍNDICES!$A:$DE,$Z$35+1))),"",IF(E557&gt;$D$19,1,VLOOKUP(DATE(YEAR(E557),MONTH(E557)+IF($C$35=$S$23,1,0),1),ÍNDICES!$A:$DE,$Z$35+1))))))</f>
        <v/>
      </c>
      <c r="G557" s="155"/>
      <c r="H557" s="156" t="str">
        <f t="shared" si="99"/>
        <v/>
      </c>
      <c r="I557" s="29" t="str">
        <f t="shared" si="93"/>
        <v/>
      </c>
      <c r="J557" s="5">
        <f t="shared" si="94"/>
        <v>0</v>
      </c>
      <c r="K557" s="20">
        <f t="shared" ca="1" si="95"/>
        <v>0</v>
      </c>
      <c r="L557" s="5">
        <f t="shared" ca="1" si="96"/>
        <v>0</v>
      </c>
      <c r="M557" s="64">
        <f t="shared" si="100"/>
        <v>0</v>
      </c>
      <c r="N557" s="61">
        <f t="shared" ca="1" si="101"/>
        <v>0</v>
      </c>
      <c r="O557" s="5">
        <f t="shared" ca="1" si="102"/>
        <v>0</v>
      </c>
      <c r="P557" s="446" t="e">
        <f t="shared" si="97"/>
        <v>#VALUE!</v>
      </c>
      <c r="Q557" s="446" t="e">
        <f>IF(OR($B557="",MIN(Q$38,$D$19)&lt;MAX($P$34*($B557+IF($R$17="Distrato",$I$38-1,0)),IF(AND($L$37=0,$P$34=0),"",$L$37-1),IF($R$17="Distrato",$E557,0))),0,YEARFRAC(MAX($P$34*($B557+IF($R$17="Distrato",$I$38-1,0)),IF(AND($L$37=0,$P$34=0),"",$L$37-1),IF($R$17="Distrato",$E557,0)),MIN(Q$38,$D$19),$P$20))-SUM($P557:P557)</f>
        <v>#VALUE!</v>
      </c>
      <c r="R557" s="446" t="e">
        <f>IF(OR($B557="",MIN(R$38,$D$19)&lt;MAX($P$34*($B557+IF($R$17="Distrato",$I$38-1,0)),IF(AND($L$37=0,$P$34=0),"",$L$37-1),IF($R$17="Distrato",$E557,0))),0,YEARFRAC(MAX($P$34*($B557+IF($R$17="Distrato",$I$38-1,0)),IF(AND($L$37=0,$P$34=0),"",$L$37-1),IF($R$17="Distrato",$E557,0)),MIN(R$38,$D$19),$P$20))-SUM($P557:Q557)</f>
        <v>#VALUE!</v>
      </c>
      <c r="S557" s="446" t="e">
        <f>IF(OR($B557="",MIN(S$38,$D$19)&lt;MAX($P$34*($B557+IF($R$17="Distrato",$I$38-1,0)),IF(AND($L$37=0,$P$34=0),"",$L$37-1),IF($R$17="Distrato",$E557,0))),0,YEARFRAC(MAX($P$34*($B557+IF($R$17="Distrato",$I$38-1,0)),IF(AND($L$37=0,$P$34=0),"",$L$37-1),IF($R$17="Distrato",$E557,0)),MIN(S$38,$D$19),$P$20))-SUM($P557:R557)</f>
        <v>#VALUE!</v>
      </c>
      <c r="T557" s="446" t="e">
        <f>IF(OR($B557="",MIN(T$38,$D$19)&lt;MAX($P$34*($B557+IF($R$17="Distrato",$I$38-1,0)),IF(AND($L$37=0,$P$34=0),"",$L$37-1),IF($R$17="Distrato",$E557,0))),0,YEARFRAC(MAX($P$34*($B557+IF($R$17="Distrato",$I$38-1,0)),IF(AND($L$37=0,$P$34=0),"",$L$37-1),IF($R$17="Distrato",$E557,0)),MIN(T$38,$D$19),$P$20))-SUM($P557:S557)</f>
        <v>#VALUE!</v>
      </c>
      <c r="U557" s="446" t="e">
        <f>IF(OR($B557="",MIN(U$38,$D$19)&lt;MAX($P$34*($B557+IF($R$17="Distrato",$I$38-1,0)),IF(AND($L$37=0,$P$34=0),"",$L$37-1),IF($R$17="Distrato",$E557,0))),0,YEARFRAC(MAX($P$34*($B557+IF($R$17="Distrato",$I$38-1,0)),IF(AND($L$37=0,$P$34=0),"",$L$37-1),IF($R$17="Distrato",$E557,0)),MIN(U$38,$D$19),$P$20))-SUM($P557:T557)</f>
        <v>#VALUE!</v>
      </c>
      <c r="V557" s="446" t="e">
        <f>IF(OR($B557="",MIN(V$38,$D$19)&lt;MAX($P$34*($B557+IF($R$17="Distrato",$I$38-1,0)),IF(AND($L$37=0,$P$34=0),"",$L$37-1),IF($R$17="Distrato",$E557,0))),0,YEARFRAC(MAX($P$34*($B557+IF($R$17="Distrato",$I$38-1,0)),IF(AND($L$37=0,$P$34=0),"",$L$37-1),IF($R$17="Distrato",$E557,0)),MIN(V$38,$D$19),$P$20))-SUM($P557:U557)</f>
        <v>#VALUE!</v>
      </c>
      <c r="W557" s="446" t="e">
        <f>IF(OR($B557="",MIN(W$38,$D$19)&lt;MAX($P$34*($B557+IF($R$17="Distrato",$I$38-1,0)),IF(AND($L$37=0,$P$34=0),"",$L$37-1),IF($R$17="Distrato",$E557,0))),0,YEARFRAC(MAX($P$34*($B557+IF($R$17="Distrato",$I$38-1,0)),IF(AND($L$37=0,$P$34=0),"",$L$37-1),IF($R$17="Distrato",$E557,0)),MIN(W$38,$D$19),$P$20))-SUM($P557:V557)</f>
        <v>#VALUE!</v>
      </c>
      <c r="X557" s="446" t="e">
        <f>IF(OR($B557="",MIN(X$38,$D$19)&lt;MAX($P$34*($B557+IF($R$17="Distrato",$I$38-1,0)),IF(AND($L$37=0,$P$34=0),"",$L$37-1),IF($R$17="Distrato",$E557,0))),0,YEARFRAC(MAX($P$34*($B557+IF($R$17="Distrato",$I$38-1,0)),IF(AND($L$37=0,$P$34=0),"",$L$37-1),IF($R$17="Distrato",$E557,0)),MIN(X$38,$D$19),$P$20))-SUM($P557:W557)</f>
        <v>#VALUE!</v>
      </c>
      <c r="Y557" s="446" t="e">
        <f>IF(OR($B557="",MIN(Y$38,$D$19)&lt;MAX($P$34*($B557+IF($R$17="Distrato",$I$38-1,0)),IF(AND($L$37=0,$P$34=0),"",$L$37-1),IF($R$17="Distrato",$E557,0))),0,YEARFRAC(MAX($P$34*($B557+IF($R$17="Distrato",$I$38-1,0)),IF(AND($L$37=0,$P$34=0),"",$L$37-1),IF($R$17="Distrato",$E557,0)),MIN(Y$38,$D$19),$P$20))-SUM($P557:X557)</f>
        <v>#VALUE!</v>
      </c>
      <c r="Z557" s="446" t="e">
        <f>IF(OR($B557="",MIN(Z$38,$D$19)&lt;MAX($P$34*($B557+IF($R$17="Distrato",$I$38-1,0)),IF(AND($L$37=0,$P$34=0),"",$L$37-1),IF($R$17="Distrato",$E557,0))),0,YEARFRAC(MAX($P$34*($B557+IF($R$17="Distrato",$I$38-1,0)),IF(AND($L$37=0,$P$34=0),"",$L$37-1),IF($R$17="Distrato",$E557,0)),MIN(Z$38,$D$19),$P$20))-SUM($P557:Y557)</f>
        <v>#VALUE!</v>
      </c>
      <c r="AA557" s="446" t="e">
        <f>IF(OR($B557="",MIN(AA$38,$D$19)&lt;MAX($P$34*($B557+IF($R$17="Distrato",$I$38-1,0)),IF(AND($L$37=0,$P$34=0),"",$L$37-1),IF($R$17="Distrato",$E557,0))),0,YEARFRAC(MAX($P$34*($B557+IF($R$17="Distrato",$I$38-1,0)),IF(AND($L$37=0,$P$34=0),"",$L$37-1),IF($R$17="Distrato",$E557,0)),MIN(AA$38,$D$19),$P$20))-SUM($P557:Z557)</f>
        <v>#VALUE!</v>
      </c>
      <c r="AB557" s="446" t="e">
        <f>IF(OR($B557="",MIN(AB$38,$D$19)&lt;MAX($P$34*($B557+IF($R$17="Distrato",$I$38-1,0)),IF(AND($L$37=0,$P$34=0),"",$L$37-1),IF($R$17="Distrato",$E557,0))),0,YEARFRAC(MAX($P$34*($B557+IF($R$17="Distrato",$I$38-1,0)),IF(AND($L$37=0,$P$34=0),"",$L$37-1),IF($R$17="Distrato",$E557,0)),MIN(AB$38,$D$19),$P$20))-SUM($P557:AA557)</f>
        <v>#VALUE!</v>
      </c>
      <c r="AC557" s="446" t="e">
        <f>IF(OR($B557="",MIN(AC$38,$D$19)&lt;MAX($P$34*($B557+IF($R$17="Distrato",$I$38-1,0)),IF(AND($L$37=0,$P$34=0),"",$L$37-1),IF($R$17="Distrato",$E557,0))),0,YEARFRAC(MAX($P$34*($B557+IF($R$17="Distrato",$I$38-1,0)),IF(AND($L$37=0,$P$34=0),"",$L$37-1),IF($R$17="Distrato",$E557,0)),MIN(AC$38,$D$19),$P$20))-SUM($P557:AB557)</f>
        <v>#VALUE!</v>
      </c>
      <c r="AD557" s="446" t="e">
        <f>IF(OR($B557="",MIN(AD$38,$D$19)&lt;MAX($P$34*($B557+IF($R$17="Distrato",$I$38-1,0)),IF(AND($L$37=0,$P$34=0),"",$L$37-1),IF($R$17="Distrato",$E557,0))),0,YEARFRAC(MAX($P$34*($B557+IF($R$17="Distrato",$I$38-1,0)),IF(AND($L$37=0,$P$34=0),"",$L$37-1),IF($R$17="Distrato",$E557,0)),MIN(AD$38,$D$19),$P$20))-SUM($P557:AC557)</f>
        <v>#VALUE!</v>
      </c>
      <c r="AE557" s="446" t="e">
        <f>IF(OR($B557="",MIN(AE$38,$D$19)&lt;MAX($P$34*($B557+IF($R$17="Distrato",$I$38-1,0)),IF(AND($L$37=0,$P$34=0),"",$L$37-1),IF($R$17="Distrato",$E557,0))),0,YEARFRAC(MAX($P$34*($B557+IF($R$17="Distrato",$I$38-1,0)),IF(AND($L$37=0,$P$34=0),"",$L$37-1),IF($R$17="Distrato",$E557,0)),MIN(AE$38,$D$19),$P$20))-SUM($P557:AD557)</f>
        <v>#VALUE!</v>
      </c>
      <c r="AF557" s="446" t="e">
        <f>IF(OR($B557="",MIN(AF$38,$D$19)&lt;MAX($P$34*($B557+IF($R$17="Distrato",$I$38-1,0)),IF(AND($L$37=0,$P$34=0),"",$L$37-1),IF($R$17="Distrato",$E557,0))),0,YEARFRAC(MAX($P$34*($B557+IF($R$17="Distrato",$I$38-1,0)),IF(AND($L$37=0,$P$34=0),"",$L$37-1),IF($R$17="Distrato",$E557,0)),MIN(AF$38,$D$19),$P$20))-SUM($P557:AE557)</f>
        <v>#VALUE!</v>
      </c>
      <c r="AG557" s="446" t="e">
        <f>IF(OR($B557="",MIN(AG$38,$D$19)&lt;MAX($P$34*($B557+IF($R$17="Distrato",$I$38-1,0)),IF(AND($L$37=0,$P$34=0),"",$L$37-1),IF($R$17="Distrato",$E557,0))),0,YEARFRAC(MAX($P$34*($B557+IF($R$17="Distrato",$I$38-1,0)),IF(AND($L$37=0,$P$34=0),"",$L$37-1),IF($R$17="Distrato",$E557,0)),MIN(AG$38,$D$19),$P$20))-SUM($P557:AF557)</f>
        <v>#VALUE!</v>
      </c>
      <c r="AH557" s="446" t="e">
        <f>IF(OR($B557="",MIN(AH$38,$D$19)&lt;MAX($P$34*($B557+IF($R$17="Distrato",$I$38-1,0)),IF(AND($L$37=0,$P$34=0),"",$L$37-1),IF($R$17="Distrato",$E557,0))),0,YEARFRAC(MAX($P$34*($B557+IF($R$17="Distrato",$I$38-1,0)),IF(AND($L$37=0,$P$34=0),"",$L$37-1),IF($R$17="Distrato",$E557,0)),MIN(AH$38,$D$19),$P$20))-SUM($P557:AG557)</f>
        <v>#VALUE!</v>
      </c>
      <c r="AI557" s="446" t="e">
        <f>IF(OR($B557="",MIN(AI$38,$D$19)&lt;MAX($P$34*($B557+IF($R$17="Distrato",$I$38-1,0)),IF(AND($L$37=0,$P$34=0),"",$L$37-1),IF($R$17="Distrato",$E557,0))),0,YEARFRAC(MAX($P$34*($B557+IF($R$17="Distrato",$I$38-1,0)),IF(AND($L$37=0,$P$34=0),"",$L$37-1),IF($R$17="Distrato",$E557,0)),MIN(AI$38,$D$19),$P$20))-SUM($P557:AH557)</f>
        <v>#VALUE!</v>
      </c>
      <c r="AJ557" s="446" t="e">
        <f>IF(OR($B557="",MIN(AJ$38,$D$19)&lt;MAX($P$34*($B557+IF($R$17="Distrato",$I$38-1,0)),IF(AND($L$37=0,$P$34=0),"",$L$37-1),IF($R$17="Distrato",$E557,0))),0,YEARFRAC(MAX($P$34*($B557+IF($R$17="Distrato",$I$38-1,0)),IF(AND($L$37=0,$P$34=0),"",$L$37-1),IF($R$17="Distrato",$E557,0)),MIN(AJ$38,$D$19),$P$20))-SUM($P557:AI557)</f>
        <v>#VALUE!</v>
      </c>
      <c r="AK557" s="446" t="e">
        <f>IF(OR($B557="",MIN(AK$38,$D$19)&lt;MAX($P$34*($B557+IF($R$17="Distrato",$I$38-1,0)),IF(AND($L$37=0,$P$34=0),"",$L$37-1),IF($R$17="Distrato",$E557,0))),0,YEARFRAC(MAX($P$34*($B557+IF($R$17="Distrato",$I$38-1,0)),IF(AND($L$37=0,$P$34=0),"",$L$37-1),IF($R$17="Distrato",$E557,0)),MIN(AK$38,$D$19),$P$20))-SUM($P557:AJ557)</f>
        <v>#VALUE!</v>
      </c>
      <c r="AL557" s="446" t="e">
        <f>IF(OR($B557="",MIN(AL$38,$D$19)&lt;MAX($P$34*($B557+IF($R$17="Distrato",$I$38-1,0)),IF(AND($L$37=0,$P$34=0),"",$L$37-1),IF($R$17="Distrato",$E557,0))),0,YEARFRAC(MAX($P$34*($B557+IF($R$17="Distrato",$I$38-1,0)),IF(AND($L$37=0,$P$34=0),"",$L$37-1),IF($R$17="Distrato",$E557,0)),MIN(AL$38,$D$19),$P$20))-SUM($P557:AK557)</f>
        <v>#VALUE!</v>
      </c>
      <c r="AM557" s="446" t="e">
        <f>IF(OR($B557="",MIN(AM$38,$D$19)&lt;MAX($P$34*($B557+IF($R$17="Distrato",$I$38-1,0)),IF(AND($L$37=0,$P$34=0),"",$L$37-1),IF($R$17="Distrato",$E557,0))),0,YEARFRAC(MAX($P$34*($B557+IF($R$17="Distrato",$I$38-1,0)),IF(AND($L$37=0,$P$34=0),"",$L$37-1),IF($R$17="Distrato",$E557,0)),MIN(AM$38,$D$19),$P$20))-SUM($P557:AL557)</f>
        <v>#VALUE!</v>
      </c>
      <c r="AN557" s="446" t="e">
        <f>IF(OR($B557="",MIN(AN$38,$D$19)&lt;MAX($P$34*($B557+IF($R$17="Distrato",$I$38-1,0)),IF(AND($L$37=0,$P$34=0),"",$L$37-1),IF($R$17="Distrato",$E557,0))),0,YEARFRAC(MAX($P$34*($B557+IF($R$17="Distrato",$I$38-1,0)),IF(AND($L$37=0,$P$34=0),"",$L$37-1),IF($R$17="Distrato",$E557,0)),MIN(AN$38,$D$19),$P$20))-SUM($P557:AM557)</f>
        <v>#VALUE!</v>
      </c>
      <c r="AO557" s="446" t="e">
        <f>IF(OR($B557="",MIN(AO$38,$D$19)&lt;MAX($P$34*($B557+IF($R$17="Distrato",$I$38-1,0)),IF(AND($L$37=0,$P$34=0),"",$L$37-1),IF($R$17="Distrato",$E557,0))),0,YEARFRAC(MAX($P$34*($B557+IF($R$17="Distrato",$I$38-1,0)),IF(AND($L$37=0,$P$34=0),"",$L$37-1),IF($R$17="Distrato",$E557,0)),MIN(AO$38,$D$19),$P$20))-SUM($P557:AN557)</f>
        <v>#VALUE!</v>
      </c>
      <c r="AP557" s="446" t="e">
        <f>IF(OR($B557="",MIN(AP$38,$D$19)&lt;MAX($P$34*($B557+IF($R$17="Distrato",$I$38-1,0)),IF(AND($L$37=0,$P$34=0),"",$L$37-1),IF($R$17="Distrato",$E557,0))),0,YEARFRAC(MAX($P$34*($B557+IF($R$17="Distrato",$I$38-1,0)),IF(AND($L$37=0,$P$34=0),"",$L$37-1),IF($R$17="Distrato",$E557,0)),MIN(AP$38,$D$19),$P$20))-SUM($P557:AO557)</f>
        <v>#VALUE!</v>
      </c>
      <c r="AQ557" s="446" t="e">
        <f>IF(OR($B557="",MIN(AQ$38,$D$19)&lt;MAX($P$34*($B557+IF($R$17="Distrato",$I$38-1,0)),IF(AND($L$37=0,$P$34=0),"",$L$37-1),IF($R$17="Distrato",$E557,0))),0,YEARFRAC(MAX($P$34*($B557+IF($R$17="Distrato",$I$38-1,0)),IF(AND($L$37=0,$P$34=0),"",$L$37-1),IF($R$17="Distrato",$E557,0)),MIN(AQ$38,$D$19),$P$20))-SUM($P557:AP557)</f>
        <v>#VALUE!</v>
      </c>
      <c r="AR557" s="446" t="e">
        <f>IF(OR($B557="",MIN(AR$38,$D$19)&lt;MAX($P$34*($B557+IF($R$17="Distrato",$I$38-1,0)),IF(AND($L$37=0,$P$34=0),"",$L$37-1),IF($R$17="Distrato",$E557,0))),0,YEARFRAC(MAX($P$34*($B557+IF($R$17="Distrato",$I$38-1,0)),IF(AND($L$37=0,$P$34=0),"",$L$37-1),IF($R$17="Distrato",$E557,0)),MIN(AR$38,$D$19),$P$20))-SUM($P557:AQ557)</f>
        <v>#VALUE!</v>
      </c>
      <c r="AS557" s="446" t="e">
        <f>IF(OR($B557="",MIN(AS$38,$D$19)&lt;MAX($P$34*($B557+IF($R$17="Distrato",$I$38-1,0)),IF(AND($L$37=0,$P$34=0),"",$L$37-1),IF($R$17="Distrato",$E557,0))),0,YEARFRAC(MAX($P$34*($B557+IF($R$17="Distrato",$I$38-1,0)),IF(AND($L$37=0,$P$34=0),"",$L$37-1),IF($R$17="Distrato",$E557,0)),MIN(AS$38,$D$19),$P$20))-SUM($P557:AR557)</f>
        <v>#VALUE!</v>
      </c>
      <c r="AT557" s="446" t="e">
        <f>IF(OR($B557="",MIN(AT$38,$D$19)&lt;MAX($P$34*($B557+IF($R$17="Distrato",$I$38-1,0)),IF(AND($L$37=0,$P$34=0),"",$L$37-1),IF($R$17="Distrato",$E557,0))),0,YEARFRAC(MAX($P$34*($B557+IF($R$17="Distrato",$I$38-1,0)),IF(AND($L$37=0,$P$34=0),"",$L$37-1),IF($R$17="Distrato",$E557,0)),MIN(AT$38,$D$19),$P$20))-SUM($P557:AS557)</f>
        <v>#VALUE!</v>
      </c>
      <c r="AU557" s="446" t="e">
        <f>IF(OR($B557="",MIN(AU$38,$D$19)&lt;MAX($P$34*($B557+IF($R$17="Distrato",$I$38-1,0)),IF(AND($L$37=0,$P$34=0),"",$L$37-1),IF($R$17="Distrato",$E557,0))),0,YEARFRAC(MAX($P$34*($B557+IF($R$17="Distrato",$I$38-1,0)),IF(AND($L$37=0,$P$34=0),"",$L$37-1),IF($R$17="Distrato",$E557,0)),MIN(AU$38,$D$19),$P$20))-SUM($P557:AT557)</f>
        <v>#VALUE!</v>
      </c>
      <c r="AV557" s="446" t="e">
        <f>IF(OR($B557="",MIN(AV$38,$D$19)&lt;MAX($P$34*($B557+IF($R$17="Distrato",$I$38-1,0)),IF(AND($L$37=0,$P$34=0),"",$L$37-1),IF($R$17="Distrato",$E557,0))),0,YEARFRAC(MAX($P$34*($B557+IF($R$17="Distrato",$I$38-1,0)),IF(AND($L$37=0,$P$34=0),"",$L$37-1),IF($R$17="Distrato",$E557,0)),MIN(AV$38,$D$19),$P$20))-SUM($P557:AU557)</f>
        <v>#VALUE!</v>
      </c>
      <c r="AW557" s="446" t="e">
        <f>IF(OR($B557="",MIN(AW$38,$D$19)&lt;MAX($P$34*($B557+IF($R$17="Distrato",$I$38-1,0)),IF(AND($L$37=0,$P$34=0),"",$L$37-1),IF($R$17="Distrato",$E557,0))),0,YEARFRAC(MAX($P$34*($B557+IF($R$17="Distrato",$I$38-1,0)),IF(AND($L$37=0,$P$34=0),"",$L$37-1),IF($R$17="Distrato",$E557,0)),MIN(AW$38,$D$19),$P$20))-SUM($P557:AV557)</f>
        <v>#VALUE!</v>
      </c>
      <c r="AX557" s="446" t="e">
        <f>IF(OR($B557="",MIN(AX$38,$D$19)&lt;MAX($P$34*($B557+IF($R$17="Distrato",$I$38-1,0)),IF(AND($L$37=0,$P$34=0),"",$L$37-1),IF($R$17="Distrato",$E557,0))),0,YEARFRAC(MAX($P$34*($B557+IF($R$17="Distrato",$I$38-1,0)),IF(AND($L$37=0,$P$34=0),"",$L$37-1),IF($R$17="Distrato",$E557,0)),MIN(AX$38,$D$19),$P$20))-SUM($P557:AW557)</f>
        <v>#VALUE!</v>
      </c>
      <c r="AY557" s="446" t="e">
        <f>IF(OR($B557="",MIN(AY$38,$D$19)&lt;MAX($P$34*($B557+IF($R$17="Distrato",$I$38-1,0)),IF(AND($L$37=0,$P$34=0),"",$L$37-1),IF($R$17="Distrato",$E557,0))),0,YEARFRAC(MAX($P$34*($B557+IF($R$17="Distrato",$I$38-1,0)),IF(AND($L$37=0,$P$34=0),"",$L$37-1),IF($R$17="Distrato",$E557,0)),MIN(AY$38,$D$19),$P$20))-SUM($P557:AX557)</f>
        <v>#VALUE!</v>
      </c>
      <c r="AZ557" s="446" t="e">
        <f>IF(OR($B557="",MIN(AZ$38,$D$19)&lt;MAX($P$34*($B557+IF($R$17="Distrato",$I$38-1,0)),IF(AND($L$37=0,$P$34=0),"",$L$37-1),IF($R$17="Distrato",$E557,0))),0,YEARFRAC(MAX($P$34*($B557+IF($R$17="Distrato",$I$38-1,0)),IF(AND($L$37=0,$P$34=0),"",$L$37-1),IF($R$17="Distrato",$E557,0)),MIN(AZ$38,$D$19),$P$20))-SUM($P557:AY557)</f>
        <v>#VALUE!</v>
      </c>
      <c r="BA557" s="446" t="e">
        <f>IF(OR($B557="",MIN(BA$38,$D$19)&lt;MAX($P$34*($B557+IF($R$17="Distrato",$I$38-1,0)),IF(AND($L$37=0,$P$34=0),"",$L$37-1),IF($R$17="Distrato",$E557,0))),0,YEARFRAC(MAX($P$34*($B557+IF($R$17="Distrato",$I$38-1,0)),IF(AND($L$37=0,$P$34=0),"",$L$37-1),IF($R$17="Distrato",$E557,0)),MIN(BA$38,$D$19),$P$20))-SUM($P557:AZ557)</f>
        <v>#VALUE!</v>
      </c>
      <c r="BB557" s="447"/>
      <c r="BF557" s="446">
        <f t="shared" si="98"/>
        <v>0</v>
      </c>
      <c r="BG557" s="446">
        <f>IF($E557=0,0,IF(MIN(BG$38,$E557)&lt;MAX($P$34*($B557+$I$38-1),IF(AND($L$37=0,$P$34=0),"",$L$37-1)),0,YEARFRAC(MAX($P$34*($B557+$I$38-1),IF(AND($L$37=0,$P$34=0),"",$L$37-1)),MIN(BG$38,$E557),$P$20))-SUM($BF557:BF557))</f>
        <v>0</v>
      </c>
      <c r="BH557" s="446">
        <f>IF($E557=0,0,IF(MIN(BH$38,$E557)&lt;MAX($P$34*($B557+$I$38-1),IF(AND($L$37=0,$P$34=0),"",$L$37-1)),0,YEARFRAC(MAX($P$34*($B557+$I$38-1),IF(AND($L$37=0,$P$34=0),"",$L$37-1)),MIN(BH$38,$E557),$P$20))-SUM($BF557:BG557))</f>
        <v>0</v>
      </c>
      <c r="BI557" s="446">
        <f>IF($E557=0,0,IF(MIN(BI$38,$E557)&lt;MAX($P$34*($B557+$I$38-1),IF(AND($L$37=0,$P$34=0),"",$L$37-1)),0,YEARFRAC(MAX($P$34*($B557+$I$38-1),IF(AND($L$37=0,$P$34=0),"",$L$37-1)),MIN(BI$38,$E557),$P$20))-SUM($BF557:BH557))</f>
        <v>0</v>
      </c>
      <c r="BJ557" s="446">
        <f>IF($E557=0,0,IF(MIN(BJ$38,$E557)&lt;MAX($P$34*($B557+$I$38-1),IF(AND($L$37=0,$P$34=0),"",$L$37-1)),0,YEARFRAC(MAX($P$34*($B557+$I$38-1),IF(AND($L$37=0,$P$34=0),"",$L$37-1)),MIN(BJ$38,$E557),$P$20))-SUM($BF557:BI557))</f>
        <v>0</v>
      </c>
      <c r="BK557" s="446">
        <f>IF($E557=0,0,IF(MIN(BK$38,$E557)&lt;MAX($P$34*($B557+$I$38-1),IF(AND($L$37=0,$P$34=0),"",$L$37-1)),0,YEARFRAC(MAX($P$34*($B557+$I$38-1),IF(AND($L$37=0,$P$34=0),"",$L$37-1)),MIN(BK$38,$E557),$P$20))-SUM($BF557:BJ557))</f>
        <v>0</v>
      </c>
      <c r="BL557" s="446">
        <f>IF($E557=0,0,IF(MIN(BL$38,$E557)&lt;MAX($P$34*($B557+$I$38-1),IF(AND($L$37=0,$P$34=0),"",$L$37-1)),0,YEARFRAC(MAX($P$34*($B557+$I$38-1),IF(AND($L$37=0,$P$34=0),"",$L$37-1)),MIN(BL$38,$E557),$P$20))-SUM($BF557:BK557))</f>
        <v>0</v>
      </c>
      <c r="BM557" s="446">
        <f>IF($E557=0,0,IF(MIN(BM$38,$E557)&lt;MAX($P$34*($B557+$I$38-1),IF(AND($L$37=0,$P$34=0),"",$L$37-1)),0,YEARFRAC(MAX($P$34*($B557+$I$38-1),IF(AND($L$37=0,$P$34=0),"",$L$37-1)),MIN(BM$38,$E557),$P$20))-SUM($BF557:BL557))</f>
        <v>0</v>
      </c>
      <c r="BN557" s="446">
        <f>IF($E557=0,0,IF(MIN(BN$38,$E557)&lt;MAX($P$34*($B557+$I$38-1),IF(AND($L$37=0,$P$34=0),"",$L$37-1)),0,YEARFRAC(MAX($P$34*($B557+$I$38-1),IF(AND($L$37=0,$P$34=0),"",$L$37-1)),MIN(BN$38,$E557),$P$20))-SUM($BF557:BM557))</f>
        <v>0</v>
      </c>
      <c r="BO557" s="446">
        <f>IF($E557=0,0,IF(MIN(BO$38,$E557)&lt;MAX($P$34*($B557+$I$38-1),IF(AND($L$37=0,$P$34=0),"",$L$37-1)),0,YEARFRAC(MAX($P$34*($B557+$I$38-1),IF(AND($L$37=0,$P$34=0),"",$L$37-1)),MIN(BO$38,$E557),$P$20))-SUM($BF557:BN557))</f>
        <v>0</v>
      </c>
      <c r="BP557" s="446">
        <f>IF($E557=0,0,IF(MIN(BP$38,$E557)&lt;MAX($P$34*($B557+$I$38-1),IF(AND($L$37=0,$P$34=0),"",$L$37-1)),0,YEARFRAC(MAX($P$34*($B557+$I$38-1),IF(AND($L$37=0,$P$34=0),"",$L$37-1)),MIN(BP$38,$E557),$P$20))-SUM($BF557:BO557))</f>
        <v>0</v>
      </c>
      <c r="BQ557" s="446">
        <f>IF($E557=0,0,IF(MIN(BQ$38,$E557)&lt;MAX($P$34*($B557+$I$38-1),IF(AND($L$37=0,$P$34=0),"",$L$37-1)),0,YEARFRAC(MAX($P$34*($B557+$I$38-1),IF(AND($L$37=0,$P$34=0),"",$L$37-1)),MIN(BQ$38,$E557),$P$20))-SUM($BF557:BP557))</f>
        <v>0</v>
      </c>
      <c r="BR557" s="446">
        <f>IF($E557=0,0,IF(MIN(BR$38,$E557)&lt;MAX($P$34*($B557+$I$38-1),IF(AND($L$37=0,$P$34=0),"",$L$37-1)),0,YEARFRAC(MAX($P$34*($B557+$I$38-1),IF(AND($L$37=0,$P$34=0),"",$L$37-1)),MIN(BR$38,$E557),$P$20))-SUM($BF557:BQ557))</f>
        <v>0</v>
      </c>
      <c r="BS557" s="446">
        <f>IF($E557=0,0,IF(MIN(BS$38,$E557)&lt;MAX($P$34*($B557+$I$38-1),IF(AND($L$37=0,$P$34=0),"",$L$37-1)),0,YEARFRAC(MAX($P$34*($B557+$I$38-1),IF(AND($L$37=0,$P$34=0),"",$L$37-1)),MIN(BS$38,$E557),$P$20))-SUM($BF557:BR557))</f>
        <v>0</v>
      </c>
      <c r="BT557" s="446">
        <f>IF($E557=0,0,IF(MIN(BT$38,$E557)&lt;MAX($P$34*($B557+$I$38-1),IF(AND($L$37=0,$P$34=0),"",$L$37-1)),0,YEARFRAC(MAX($P$34*($B557+$I$38-1),IF(AND($L$37=0,$P$34=0),"",$L$37-1)),MIN(BT$38,$E557),$P$20))-SUM($BF557:BS557))</f>
        <v>0</v>
      </c>
      <c r="BU557" s="446">
        <f>IF($E557=0,0,IF(MIN(BU$38,$E557)&lt;MAX($P$34*($B557+$I$38-1),IF(AND($L$37=0,$P$34=0),"",$L$37-1)),0,YEARFRAC(MAX($P$34*($B557+$I$38-1),IF(AND($L$37=0,$P$34=0),"",$L$37-1)),MIN(BU$38,$E557),$P$20))-SUM($BF557:BT557))</f>
        <v>0</v>
      </c>
      <c r="BV557" s="446">
        <f>IF($E557=0,0,IF(MIN(BV$38,$E557)&lt;MAX($P$34*($B557+$I$38-1),IF(AND($L$37=0,$P$34=0),"",$L$37-1)),0,YEARFRAC(MAX($P$34*($B557+$I$38-1),IF(AND($L$37=0,$P$34=0),"",$L$37-1)),MIN(BV$38,$E557),$P$20))-SUM($BF557:BU557))</f>
        <v>0</v>
      </c>
      <c r="BW557" s="446">
        <f>IF($E557=0,0,IF(MIN(BW$38,$E557)&lt;MAX($P$34*($B557+$I$38-1),IF(AND($L$37=0,$P$34=0),"",$L$37-1)),0,YEARFRAC(MAX($P$34*($B557+$I$38-1),IF(AND($L$37=0,$P$34=0),"",$L$37-1)),MIN(BW$38,$E557),$P$20))-SUM($BF557:BV557))</f>
        <v>0</v>
      </c>
      <c r="BX557" s="446">
        <f>IF($E557=0,0,IF(MIN(BX$38,$E557)&lt;MAX($P$34*($B557+$I$38-1),IF(AND($L$37=0,$P$34=0),"",$L$37-1)),0,YEARFRAC(MAX($P$34*($B557+$I$38-1),IF(AND($L$37=0,$P$34=0),"",$L$37-1)),MIN(BX$38,$E557),$P$20))-SUM($BF557:BW557))</f>
        <v>0</v>
      </c>
      <c r="BY557" s="446">
        <f>IF($E557=0,0,IF(MIN(BY$38,$E557)&lt;MAX($P$34*($B557+$I$38-1),IF(AND($L$37=0,$P$34=0),"",$L$37-1)),0,YEARFRAC(MAX($P$34*($B557+$I$38-1),IF(AND($L$37=0,$P$34=0),"",$L$37-1)),MIN(BY$38,$E557),$P$20))-SUM($BF557:BX557))</f>
        <v>0</v>
      </c>
      <c r="BZ557" s="446">
        <f>IF($E557=0,0,IF(MIN(BZ$38,$E557)&lt;MAX($P$34*($B557+$I$38-1),IF(AND($L$37=0,$P$34=0),"",$L$37-1)),0,YEARFRAC(MAX($P$34*($B557+$I$38-1),IF(AND($L$37=0,$P$34=0),"",$L$37-1)),MIN(BZ$38,$E557),$P$20))-SUM($BF557:BY557))</f>
        <v>0</v>
      </c>
      <c r="CA557" s="446">
        <f>IF($E557=0,0,IF(MIN(CA$38,$E557)&lt;MAX($P$34*($B557+$I$38-1),IF(AND($L$37=0,$P$34=0),"",$L$37-1)),0,YEARFRAC(MAX($P$34*($B557+$I$38-1),IF(AND($L$37=0,$P$34=0),"",$L$37-1)),MIN(CA$38,$E557),$P$20))-SUM($BF557:BZ557))</f>
        <v>0</v>
      </c>
      <c r="CB557" s="446">
        <f>IF($E557=0,0,IF(MIN(CB$38,$E557)&lt;MAX($P$34*($B557+$I$38-1),IF(AND($L$37=0,$P$34=0),"",$L$37-1)),0,YEARFRAC(MAX($P$34*($B557+$I$38-1),IF(AND($L$37=0,$P$34=0),"",$L$37-1)),MIN(CB$38,$E557),$P$20))-SUM($BF557:CA557))</f>
        <v>0</v>
      </c>
      <c r="CC557" s="446">
        <f>IF($E557=0,0,IF(MIN(CC$38,$E557)&lt;MAX($P$34*($B557+$I$38-1),IF(AND($L$37=0,$P$34=0),"",$L$37-1)),0,YEARFRAC(MAX($P$34*($B557+$I$38-1),IF(AND($L$37=0,$P$34=0),"",$L$37-1)),MIN(CC$38,$E557),$P$20))-SUM($BF557:CB557))</f>
        <v>0</v>
      </c>
      <c r="CD557" s="446">
        <f>IF($E557=0,0,IF(MIN(CD$38,$E557)&lt;MAX($P$34*($B557+$I$38-1),IF(AND($L$37=0,$P$34=0),"",$L$37-1)),0,YEARFRAC(MAX($P$34*($B557+$I$38-1),IF(AND($L$37=0,$P$34=0),"",$L$37-1)),MIN(CD$38,$E557),$P$20))-SUM($BF557:CC557))</f>
        <v>0</v>
      </c>
      <c r="CE557" s="446">
        <f>IF($E557=0,0,IF(MIN(CE$38,$E557)&lt;MAX($P$34*($B557+$I$38-1),IF(AND($L$37=0,$P$34=0),"",$L$37-1)),0,YEARFRAC(MAX($P$34*($B557+$I$38-1),IF(AND($L$37=0,$P$34=0),"",$L$37-1)),MIN(CE$38,$E557),$P$20))-SUM($BF557:CD557))</f>
        <v>0</v>
      </c>
      <c r="CF557" s="446">
        <f>IF($E557=0,0,IF(MIN(CF$38,$E557)&lt;MAX($P$34*($B557+$I$38-1),IF(AND($L$37=0,$P$34=0),"",$L$37-1)),0,YEARFRAC(MAX($P$34*($B557+$I$38-1),IF(AND($L$37=0,$P$34=0),"",$L$37-1)),MIN(CF$38,$E557),$P$20))-SUM($BF557:CE557))</f>
        <v>0</v>
      </c>
      <c r="CG557" s="446">
        <f>IF($E557=0,0,IF(MIN(CG$38,$E557)&lt;MAX($P$34*($B557+$I$38-1),IF(AND($L$37=0,$P$34=0),"",$L$37-1)),0,YEARFRAC(MAX($P$34*($B557+$I$38-1),IF(AND($L$37=0,$P$34=0),"",$L$37-1)),MIN(CG$38,$E557),$P$20))-SUM($BF557:CF557))</f>
        <v>0</v>
      </c>
      <c r="CH557" s="446">
        <f>IF($E557=0,0,IF(MIN(CH$38,$E557)&lt;MAX($P$34*($B557+$I$38-1),IF(AND($L$37=0,$P$34=0),"",$L$37-1)),0,YEARFRAC(MAX($P$34*($B557+$I$38-1),IF(AND($L$37=0,$P$34=0),"",$L$37-1)),MIN(CH$38,$E557),$P$20))-SUM($BF557:CG557))</f>
        <v>0</v>
      </c>
      <c r="CI557" s="446">
        <f>IF($E557=0,0,IF(MIN(CI$38,$E557)&lt;MAX($P$34*($B557+$I$38-1),IF(AND($L$37=0,$P$34=0),"",$L$37-1)),0,YEARFRAC(MAX($P$34*($B557+$I$38-1),IF(AND($L$37=0,$P$34=0),"",$L$37-1)),MIN(CI$38,$E557),$P$20))-SUM($BF557:CH557))</f>
        <v>0</v>
      </c>
      <c r="CJ557" s="446">
        <f>IF($E557=0,0,IF(MIN(CJ$38,$E557)&lt;MAX($P$34*($B557+$I$38-1),IF(AND($L$37=0,$P$34=0),"",$L$37-1)),0,YEARFRAC(MAX($P$34*($B557+$I$38-1),IF(AND($L$37=0,$P$34=0),"",$L$37-1)),MIN(CJ$38,$E557),$P$20))-SUM($BF557:CI557))</f>
        <v>0</v>
      </c>
      <c r="CK557" s="446">
        <f>IF($E557=0,0,IF(MIN(CK$38,$E557)&lt;MAX($P$34*($B557+$I$38-1),IF(AND($L$37=0,$P$34=0),"",$L$37-1)),0,YEARFRAC(MAX($P$34*($B557+$I$38-1),IF(AND($L$37=0,$P$34=0),"",$L$37-1)),MIN(CK$38,$E557),$P$20))-SUM($BF557:CJ557))</f>
        <v>0</v>
      </c>
      <c r="CL557" s="446">
        <f>IF($E557=0,0,IF(MIN(CL$38,$E557)&lt;MAX($P$34*($B557+$I$38-1),IF(AND($L$37=0,$P$34=0),"",$L$37-1)),0,YEARFRAC(MAX($P$34*($B557+$I$38-1),IF(AND($L$37=0,$P$34=0),"",$L$37-1)),MIN(CL$38,$E557),$P$20))-SUM($BF557:CK557))</f>
        <v>0</v>
      </c>
      <c r="CM557" s="446">
        <f>IF($E557=0,0,IF(MIN(CM$38,$E557)&lt;MAX($P$34*($B557+$I$38-1),IF(AND($L$37=0,$P$34=0),"",$L$37-1)),0,YEARFRAC(MAX($P$34*($B557+$I$38-1),IF(AND($L$37=0,$P$34=0),"",$L$37-1)),MIN(CM$38,$E557),$P$20))-SUM($BF557:CL557))</f>
        <v>0</v>
      </c>
      <c r="CN557" s="446">
        <f>IF($E557=0,0,IF(MIN(CN$38,$E557)&lt;MAX($P$34*($B557+$I$38-1),IF(AND($L$37=0,$P$34=0),"",$L$37-1)),0,YEARFRAC(MAX($P$34*($B557+$I$38-1),IF(AND($L$37=0,$P$34=0),"",$L$37-1)),MIN(CN$38,$E557),$P$20))-SUM($BF557:CM557))</f>
        <v>0</v>
      </c>
      <c r="CO557" s="446">
        <f>IF($E557=0,0,IF(MIN(CO$38,$E557)&lt;MAX($P$34*($B557+$I$38-1),IF(AND($L$37=0,$P$34=0),"",$L$37-1)),0,YEARFRAC(MAX($P$34*($B557+$I$38-1),IF(AND($L$37=0,$P$34=0),"",$L$37-1)),MIN(CO$38,$E557),$P$20))-SUM($BF557:CN557))</f>
        <v>0</v>
      </c>
      <c r="CP557" s="446">
        <f>IF($E557=0,0,IF(MIN(CP$38,$E557)&lt;MAX($P$34*($B557+$I$38-1),IF(AND($L$37=0,$P$34=0),"",$L$37-1)),0,YEARFRAC(MAX($P$34*($B557+$I$38-1),IF(AND($L$37=0,$P$34=0),"",$L$37-1)),MIN(CP$38,$E557),$P$20))-SUM($BF557:CO557))</f>
        <v>0</v>
      </c>
      <c r="CQ557" s="446">
        <f>IF($E557=0,0,IF(MIN(CQ$38,$E557)&lt;MAX($P$34*($B557+$I$38-1),IF(AND($L$37=0,$P$34=0),"",$L$37-1)),0,YEARFRAC(MAX($P$34*($B557+$I$38-1),IF(AND($L$37=0,$P$34=0),"",$L$37-1)),MIN(CQ$38,$E557),$P$20))-SUM($BF557:CP557))</f>
        <v>0</v>
      </c>
    </row>
    <row r="558" spans="1:95" s="446" customFormat="1" ht="11.25" hidden="1" customHeight="1" x14ac:dyDescent="0.2">
      <c r="A558" s="152"/>
      <c r="B558" s="153" t="str">
        <f t="shared" si="103"/>
        <v/>
      </c>
      <c r="C558" s="29" t="str">
        <f>IF(B558="","",IF($L$35="SELIC - TRIBUTOS",VLOOKUP(DATE(YEAR($D$19),MONTH($D$19)-1,1),ÍNDICES!$A:$DE,HLOOKUP($BL$25,ÍNDICES!$B$3:$T$4,2)+11)-VLOOKUP(B558,ÍNDICES!$A:$DE,HLOOKUP($BL$25,ÍNDICES!$B$3:$T$4,2)+11)+1%,IF(C$38=$W$26,$J$35,IF(ISERROR(IF(B558&gt;$D$19,1,VLOOKUP(DATE(YEAR(B558),MONTH(B558)+IF($C$35=$S$23,1,0),1),ÍNDICES!$A:$DE,$Z$35+1))),"",IF(B558&gt;$D$19,1,VLOOKUP(DATE(YEAR(B558),MONTH(B558)+IF($C$35=$S$23,1,0),1),ÍNDICES!$A:$DE,$Z$35+1))))))</f>
        <v/>
      </c>
      <c r="D558" s="154" t="str">
        <f>IF(ISERROR(IF(OR($D$38=$Y$27,$B558=""),"",VLOOKUP(B558,ÍNDICES!A:DE,AF$35+1))),"",IF(OR($D$38=$Y$27,$B558=""),"",VLOOKUP(B558,ÍNDICES!A:DE,AF$35+1)))</f>
        <v/>
      </c>
      <c r="E558" s="153"/>
      <c r="F558" s="29" t="str">
        <f>IF(E558="","",IF($L$35="SELIC - TRIBUTOS",VLOOKUP(DATE(YEAR($D$19),MONTH($D$19)-1,1),ÍNDICES!$A:$DE,HLOOKUP($BL$25,ÍNDICES!$B$3:$T$4,2)+11)-VLOOKUP(E558,ÍNDICES!$A:$DE,HLOOKUP($BL$25,ÍNDICES!$B$3:$T$4,2)+11)+1%,IF(F$38=$W$26,$J$35,IF(ISERROR(IF(E558&gt;$D$19,1,VLOOKUP(DATE(YEAR(E558),MONTH(E558)+IF($C$35=$S$23,1,0),1),ÍNDICES!$A:$DE,$Z$35+1))),"",IF(E558&gt;$D$19,1,VLOOKUP(DATE(YEAR(E558),MONTH(E558)+IF($C$35=$S$23,1,0),1),ÍNDICES!$A:$DE,$Z$35+1))))))</f>
        <v/>
      </c>
      <c r="G558" s="155"/>
      <c r="H558" s="156" t="str">
        <f t="shared" si="99"/>
        <v/>
      </c>
      <c r="I558" s="29" t="str">
        <f t="shared" si="93"/>
        <v/>
      </c>
      <c r="J558" s="5">
        <f t="shared" si="94"/>
        <v>0</v>
      </c>
      <c r="K558" s="20">
        <f t="shared" ca="1" si="95"/>
        <v>0</v>
      </c>
      <c r="L558" s="5">
        <f t="shared" ca="1" si="96"/>
        <v>0</v>
      </c>
      <c r="M558" s="64">
        <f t="shared" si="100"/>
        <v>0</v>
      </c>
      <c r="N558" s="61">
        <f t="shared" ca="1" si="101"/>
        <v>0</v>
      </c>
      <c r="O558" s="5">
        <f t="shared" ca="1" si="102"/>
        <v>0</v>
      </c>
      <c r="P558" s="446" t="e">
        <f t="shared" si="97"/>
        <v>#VALUE!</v>
      </c>
      <c r="Q558" s="446" t="e">
        <f>IF(OR($B558="",MIN(Q$38,$D$19)&lt;MAX($P$34*($B558+IF($R$17="Distrato",$I$38-1,0)),IF(AND($L$37=0,$P$34=0),"",$L$37-1),IF($R$17="Distrato",$E558,0))),0,YEARFRAC(MAX($P$34*($B558+IF($R$17="Distrato",$I$38-1,0)),IF(AND($L$37=0,$P$34=0),"",$L$37-1),IF($R$17="Distrato",$E558,0)),MIN(Q$38,$D$19),$P$20))-SUM($P558:P558)</f>
        <v>#VALUE!</v>
      </c>
      <c r="R558" s="446" t="e">
        <f>IF(OR($B558="",MIN(R$38,$D$19)&lt;MAX($P$34*($B558+IF($R$17="Distrato",$I$38-1,0)),IF(AND($L$37=0,$P$34=0),"",$L$37-1),IF($R$17="Distrato",$E558,0))),0,YEARFRAC(MAX($P$34*($B558+IF($R$17="Distrato",$I$38-1,0)),IF(AND($L$37=0,$P$34=0),"",$L$37-1),IF($R$17="Distrato",$E558,0)),MIN(R$38,$D$19),$P$20))-SUM($P558:Q558)</f>
        <v>#VALUE!</v>
      </c>
      <c r="S558" s="446" t="e">
        <f>IF(OR($B558="",MIN(S$38,$D$19)&lt;MAX($P$34*($B558+IF($R$17="Distrato",$I$38-1,0)),IF(AND($L$37=0,$P$34=0),"",$L$37-1),IF($R$17="Distrato",$E558,0))),0,YEARFRAC(MAX($P$34*($B558+IF($R$17="Distrato",$I$38-1,0)),IF(AND($L$37=0,$P$34=0),"",$L$37-1),IF($R$17="Distrato",$E558,0)),MIN(S$38,$D$19),$P$20))-SUM($P558:R558)</f>
        <v>#VALUE!</v>
      </c>
      <c r="T558" s="446" t="e">
        <f>IF(OR($B558="",MIN(T$38,$D$19)&lt;MAX($P$34*($B558+IF($R$17="Distrato",$I$38-1,0)),IF(AND($L$37=0,$P$34=0),"",$L$37-1),IF($R$17="Distrato",$E558,0))),0,YEARFRAC(MAX($P$34*($B558+IF($R$17="Distrato",$I$38-1,0)),IF(AND($L$37=0,$P$34=0),"",$L$37-1),IF($R$17="Distrato",$E558,0)),MIN(T$38,$D$19),$P$20))-SUM($P558:S558)</f>
        <v>#VALUE!</v>
      </c>
      <c r="U558" s="446" t="e">
        <f>IF(OR($B558="",MIN(U$38,$D$19)&lt;MAX($P$34*($B558+IF($R$17="Distrato",$I$38-1,0)),IF(AND($L$37=0,$P$34=0),"",$L$37-1),IF($R$17="Distrato",$E558,0))),0,YEARFRAC(MAX($P$34*($B558+IF($R$17="Distrato",$I$38-1,0)),IF(AND($L$37=0,$P$34=0),"",$L$37-1),IF($R$17="Distrato",$E558,0)),MIN(U$38,$D$19),$P$20))-SUM($P558:T558)</f>
        <v>#VALUE!</v>
      </c>
      <c r="V558" s="446" t="e">
        <f>IF(OR($B558="",MIN(V$38,$D$19)&lt;MAX($P$34*($B558+IF($R$17="Distrato",$I$38-1,0)),IF(AND($L$37=0,$P$34=0),"",$L$37-1),IF($R$17="Distrato",$E558,0))),0,YEARFRAC(MAX($P$34*($B558+IF($R$17="Distrato",$I$38-1,0)),IF(AND($L$37=0,$P$34=0),"",$L$37-1),IF($R$17="Distrato",$E558,0)),MIN(V$38,$D$19),$P$20))-SUM($P558:U558)</f>
        <v>#VALUE!</v>
      </c>
      <c r="W558" s="446" t="e">
        <f>IF(OR($B558="",MIN(W$38,$D$19)&lt;MAX($P$34*($B558+IF($R$17="Distrato",$I$38-1,0)),IF(AND($L$37=0,$P$34=0),"",$L$37-1),IF($R$17="Distrato",$E558,0))),0,YEARFRAC(MAX($P$34*($B558+IF($R$17="Distrato",$I$38-1,0)),IF(AND($L$37=0,$P$34=0),"",$L$37-1),IF($R$17="Distrato",$E558,0)),MIN(W$38,$D$19),$P$20))-SUM($P558:V558)</f>
        <v>#VALUE!</v>
      </c>
      <c r="X558" s="446" t="e">
        <f>IF(OR($B558="",MIN(X$38,$D$19)&lt;MAX($P$34*($B558+IF($R$17="Distrato",$I$38-1,0)),IF(AND($L$37=0,$P$34=0),"",$L$37-1),IF($R$17="Distrato",$E558,0))),0,YEARFRAC(MAX($P$34*($B558+IF($R$17="Distrato",$I$38-1,0)),IF(AND($L$37=0,$P$34=0),"",$L$37-1),IF($R$17="Distrato",$E558,0)),MIN(X$38,$D$19),$P$20))-SUM($P558:W558)</f>
        <v>#VALUE!</v>
      </c>
      <c r="Y558" s="446" t="e">
        <f>IF(OR($B558="",MIN(Y$38,$D$19)&lt;MAX($P$34*($B558+IF($R$17="Distrato",$I$38-1,0)),IF(AND($L$37=0,$P$34=0),"",$L$37-1),IF($R$17="Distrato",$E558,0))),0,YEARFRAC(MAX($P$34*($B558+IF($R$17="Distrato",$I$38-1,0)),IF(AND($L$37=0,$P$34=0),"",$L$37-1),IF($R$17="Distrato",$E558,0)),MIN(Y$38,$D$19),$P$20))-SUM($P558:X558)</f>
        <v>#VALUE!</v>
      </c>
      <c r="Z558" s="446" t="e">
        <f>IF(OR($B558="",MIN(Z$38,$D$19)&lt;MAX($P$34*($B558+IF($R$17="Distrato",$I$38-1,0)),IF(AND($L$37=0,$P$34=0),"",$L$37-1),IF($R$17="Distrato",$E558,0))),0,YEARFRAC(MAX($P$34*($B558+IF($R$17="Distrato",$I$38-1,0)),IF(AND($L$37=0,$P$34=0),"",$L$37-1),IF($R$17="Distrato",$E558,0)),MIN(Z$38,$D$19),$P$20))-SUM($P558:Y558)</f>
        <v>#VALUE!</v>
      </c>
      <c r="AA558" s="446" t="e">
        <f>IF(OR($B558="",MIN(AA$38,$D$19)&lt;MAX($P$34*($B558+IF($R$17="Distrato",$I$38-1,0)),IF(AND($L$37=0,$P$34=0),"",$L$37-1),IF($R$17="Distrato",$E558,0))),0,YEARFRAC(MAX($P$34*($B558+IF($R$17="Distrato",$I$38-1,0)),IF(AND($L$37=0,$P$34=0),"",$L$37-1),IF($R$17="Distrato",$E558,0)),MIN(AA$38,$D$19),$P$20))-SUM($P558:Z558)</f>
        <v>#VALUE!</v>
      </c>
      <c r="AB558" s="446" t="e">
        <f>IF(OR($B558="",MIN(AB$38,$D$19)&lt;MAX($P$34*($B558+IF($R$17="Distrato",$I$38-1,0)),IF(AND($L$37=0,$P$34=0),"",$L$37-1),IF($R$17="Distrato",$E558,0))),0,YEARFRAC(MAX($P$34*($B558+IF($R$17="Distrato",$I$38-1,0)),IF(AND($L$37=0,$P$34=0),"",$L$37-1),IF($R$17="Distrato",$E558,0)),MIN(AB$38,$D$19),$P$20))-SUM($P558:AA558)</f>
        <v>#VALUE!</v>
      </c>
      <c r="AC558" s="446" t="e">
        <f>IF(OR($B558="",MIN(AC$38,$D$19)&lt;MAX($P$34*($B558+IF($R$17="Distrato",$I$38-1,0)),IF(AND($L$37=0,$P$34=0),"",$L$37-1),IF($R$17="Distrato",$E558,0))),0,YEARFRAC(MAX($P$34*($B558+IF($R$17="Distrato",$I$38-1,0)),IF(AND($L$37=0,$P$34=0),"",$L$37-1),IF($R$17="Distrato",$E558,0)),MIN(AC$38,$D$19),$P$20))-SUM($P558:AB558)</f>
        <v>#VALUE!</v>
      </c>
      <c r="AD558" s="446" t="e">
        <f>IF(OR($B558="",MIN(AD$38,$D$19)&lt;MAX($P$34*($B558+IF($R$17="Distrato",$I$38-1,0)),IF(AND($L$37=0,$P$34=0),"",$L$37-1),IF($R$17="Distrato",$E558,0))),0,YEARFRAC(MAX($P$34*($B558+IF($R$17="Distrato",$I$38-1,0)),IF(AND($L$37=0,$P$34=0),"",$L$37-1),IF($R$17="Distrato",$E558,0)),MIN(AD$38,$D$19),$P$20))-SUM($P558:AC558)</f>
        <v>#VALUE!</v>
      </c>
      <c r="AE558" s="446" t="e">
        <f>IF(OR($B558="",MIN(AE$38,$D$19)&lt;MAX($P$34*($B558+IF($R$17="Distrato",$I$38-1,0)),IF(AND($L$37=0,$P$34=0),"",$L$37-1),IF($R$17="Distrato",$E558,0))),0,YEARFRAC(MAX($P$34*($B558+IF($R$17="Distrato",$I$38-1,0)),IF(AND($L$37=0,$P$34=0),"",$L$37-1),IF($R$17="Distrato",$E558,0)),MIN(AE$38,$D$19),$P$20))-SUM($P558:AD558)</f>
        <v>#VALUE!</v>
      </c>
      <c r="AF558" s="446" t="e">
        <f>IF(OR($B558="",MIN(AF$38,$D$19)&lt;MAX($P$34*($B558+IF($R$17="Distrato",$I$38-1,0)),IF(AND($L$37=0,$P$34=0),"",$L$37-1),IF($R$17="Distrato",$E558,0))),0,YEARFRAC(MAX($P$34*($B558+IF($R$17="Distrato",$I$38-1,0)),IF(AND($L$37=0,$P$34=0),"",$L$37-1),IF($R$17="Distrato",$E558,0)),MIN(AF$38,$D$19),$P$20))-SUM($P558:AE558)</f>
        <v>#VALUE!</v>
      </c>
      <c r="AG558" s="446" t="e">
        <f>IF(OR($B558="",MIN(AG$38,$D$19)&lt;MAX($P$34*($B558+IF($R$17="Distrato",$I$38-1,0)),IF(AND($L$37=0,$P$34=0),"",$L$37-1),IF($R$17="Distrato",$E558,0))),0,YEARFRAC(MAX($P$34*($B558+IF($R$17="Distrato",$I$38-1,0)),IF(AND($L$37=0,$P$34=0),"",$L$37-1),IF($R$17="Distrato",$E558,0)),MIN(AG$38,$D$19),$P$20))-SUM($P558:AF558)</f>
        <v>#VALUE!</v>
      </c>
      <c r="AH558" s="446" t="e">
        <f>IF(OR($B558="",MIN(AH$38,$D$19)&lt;MAX($P$34*($B558+IF($R$17="Distrato",$I$38-1,0)),IF(AND($L$37=0,$P$34=0),"",$L$37-1),IF($R$17="Distrato",$E558,0))),0,YEARFRAC(MAX($P$34*($B558+IF($R$17="Distrato",$I$38-1,0)),IF(AND($L$37=0,$P$34=0),"",$L$37-1),IF($R$17="Distrato",$E558,0)),MIN(AH$38,$D$19),$P$20))-SUM($P558:AG558)</f>
        <v>#VALUE!</v>
      </c>
      <c r="AI558" s="446" t="e">
        <f>IF(OR($B558="",MIN(AI$38,$D$19)&lt;MAX($P$34*($B558+IF($R$17="Distrato",$I$38-1,0)),IF(AND($L$37=0,$P$34=0),"",$L$37-1),IF($R$17="Distrato",$E558,0))),0,YEARFRAC(MAX($P$34*($B558+IF($R$17="Distrato",$I$38-1,0)),IF(AND($L$37=0,$P$34=0),"",$L$37-1),IF($R$17="Distrato",$E558,0)),MIN(AI$38,$D$19),$P$20))-SUM($P558:AH558)</f>
        <v>#VALUE!</v>
      </c>
      <c r="AJ558" s="446" t="e">
        <f>IF(OR($B558="",MIN(AJ$38,$D$19)&lt;MAX($P$34*($B558+IF($R$17="Distrato",$I$38-1,0)),IF(AND($L$37=0,$P$34=0),"",$L$37-1),IF($R$17="Distrato",$E558,0))),0,YEARFRAC(MAX($P$34*($B558+IF($R$17="Distrato",$I$38-1,0)),IF(AND($L$37=0,$P$34=0),"",$L$37-1),IF($R$17="Distrato",$E558,0)),MIN(AJ$38,$D$19),$P$20))-SUM($P558:AI558)</f>
        <v>#VALUE!</v>
      </c>
      <c r="AK558" s="446" t="e">
        <f>IF(OR($B558="",MIN(AK$38,$D$19)&lt;MAX($P$34*($B558+IF($R$17="Distrato",$I$38-1,0)),IF(AND($L$37=0,$P$34=0),"",$L$37-1),IF($R$17="Distrato",$E558,0))),0,YEARFRAC(MAX($P$34*($B558+IF($R$17="Distrato",$I$38-1,0)),IF(AND($L$37=0,$P$34=0),"",$L$37-1),IF($R$17="Distrato",$E558,0)),MIN(AK$38,$D$19),$P$20))-SUM($P558:AJ558)</f>
        <v>#VALUE!</v>
      </c>
      <c r="AL558" s="446" t="e">
        <f>IF(OR($B558="",MIN(AL$38,$D$19)&lt;MAX($P$34*($B558+IF($R$17="Distrato",$I$38-1,0)),IF(AND($L$37=0,$P$34=0),"",$L$37-1),IF($R$17="Distrato",$E558,0))),0,YEARFRAC(MAX($P$34*($B558+IF($R$17="Distrato",$I$38-1,0)),IF(AND($L$37=0,$P$34=0),"",$L$37-1),IF($R$17="Distrato",$E558,0)),MIN(AL$38,$D$19),$P$20))-SUM($P558:AK558)</f>
        <v>#VALUE!</v>
      </c>
      <c r="AM558" s="446" t="e">
        <f>IF(OR($B558="",MIN(AM$38,$D$19)&lt;MAX($P$34*($B558+IF($R$17="Distrato",$I$38-1,0)),IF(AND($L$37=0,$P$34=0),"",$L$37-1),IF($R$17="Distrato",$E558,0))),0,YEARFRAC(MAX($P$34*($B558+IF($R$17="Distrato",$I$38-1,0)),IF(AND($L$37=0,$P$34=0),"",$L$37-1),IF($R$17="Distrato",$E558,0)),MIN(AM$38,$D$19),$P$20))-SUM($P558:AL558)</f>
        <v>#VALUE!</v>
      </c>
      <c r="AN558" s="446" t="e">
        <f>IF(OR($B558="",MIN(AN$38,$D$19)&lt;MAX($P$34*($B558+IF($R$17="Distrato",$I$38-1,0)),IF(AND($L$37=0,$P$34=0),"",$L$37-1),IF($R$17="Distrato",$E558,0))),0,YEARFRAC(MAX($P$34*($B558+IF($R$17="Distrato",$I$38-1,0)),IF(AND($L$37=0,$P$34=0),"",$L$37-1),IF($R$17="Distrato",$E558,0)),MIN(AN$38,$D$19),$P$20))-SUM($P558:AM558)</f>
        <v>#VALUE!</v>
      </c>
      <c r="AO558" s="446" t="e">
        <f>IF(OR($B558="",MIN(AO$38,$D$19)&lt;MAX($P$34*($B558+IF($R$17="Distrato",$I$38-1,0)),IF(AND($L$37=0,$P$34=0),"",$L$37-1),IF($R$17="Distrato",$E558,0))),0,YEARFRAC(MAX($P$34*($B558+IF($R$17="Distrato",$I$38-1,0)),IF(AND($L$37=0,$P$34=0),"",$L$37-1),IF($R$17="Distrato",$E558,0)),MIN(AO$38,$D$19),$P$20))-SUM($P558:AN558)</f>
        <v>#VALUE!</v>
      </c>
      <c r="AP558" s="446" t="e">
        <f>IF(OR($B558="",MIN(AP$38,$D$19)&lt;MAX($P$34*($B558+IF($R$17="Distrato",$I$38-1,0)),IF(AND($L$37=0,$P$34=0),"",$L$37-1),IF($R$17="Distrato",$E558,0))),0,YEARFRAC(MAX($P$34*($B558+IF($R$17="Distrato",$I$38-1,0)),IF(AND($L$37=0,$P$34=0),"",$L$37-1),IF($R$17="Distrato",$E558,0)),MIN(AP$38,$D$19),$P$20))-SUM($P558:AO558)</f>
        <v>#VALUE!</v>
      </c>
      <c r="AQ558" s="446" t="e">
        <f>IF(OR($B558="",MIN(AQ$38,$D$19)&lt;MAX($P$34*($B558+IF($R$17="Distrato",$I$38-1,0)),IF(AND($L$37=0,$P$34=0),"",$L$37-1),IF($R$17="Distrato",$E558,0))),0,YEARFRAC(MAX($P$34*($B558+IF($R$17="Distrato",$I$38-1,0)),IF(AND($L$37=0,$P$34=0),"",$L$37-1),IF($R$17="Distrato",$E558,0)),MIN(AQ$38,$D$19),$P$20))-SUM($P558:AP558)</f>
        <v>#VALUE!</v>
      </c>
      <c r="AR558" s="446" t="e">
        <f>IF(OR($B558="",MIN(AR$38,$D$19)&lt;MAX($P$34*($B558+IF($R$17="Distrato",$I$38-1,0)),IF(AND($L$37=0,$P$34=0),"",$L$37-1),IF($R$17="Distrato",$E558,0))),0,YEARFRAC(MAX($P$34*($B558+IF($R$17="Distrato",$I$38-1,0)),IF(AND($L$37=0,$P$34=0),"",$L$37-1),IF($R$17="Distrato",$E558,0)),MIN(AR$38,$D$19),$P$20))-SUM($P558:AQ558)</f>
        <v>#VALUE!</v>
      </c>
      <c r="AS558" s="446" t="e">
        <f>IF(OR($B558="",MIN(AS$38,$D$19)&lt;MAX($P$34*($B558+IF($R$17="Distrato",$I$38-1,0)),IF(AND($L$37=0,$P$34=0),"",$L$37-1),IF($R$17="Distrato",$E558,0))),0,YEARFRAC(MAX($P$34*($B558+IF($R$17="Distrato",$I$38-1,0)),IF(AND($L$37=0,$P$34=0),"",$L$37-1),IF($R$17="Distrato",$E558,0)),MIN(AS$38,$D$19),$P$20))-SUM($P558:AR558)</f>
        <v>#VALUE!</v>
      </c>
      <c r="AT558" s="446" t="e">
        <f>IF(OR($B558="",MIN(AT$38,$D$19)&lt;MAX($P$34*($B558+IF($R$17="Distrato",$I$38-1,0)),IF(AND($L$37=0,$P$34=0),"",$L$37-1),IF($R$17="Distrato",$E558,0))),0,YEARFRAC(MAX($P$34*($B558+IF($R$17="Distrato",$I$38-1,0)),IF(AND($L$37=0,$P$34=0),"",$L$37-1),IF($R$17="Distrato",$E558,0)),MIN(AT$38,$D$19),$P$20))-SUM($P558:AS558)</f>
        <v>#VALUE!</v>
      </c>
      <c r="AU558" s="446" t="e">
        <f>IF(OR($B558="",MIN(AU$38,$D$19)&lt;MAX($P$34*($B558+IF($R$17="Distrato",$I$38-1,0)),IF(AND($L$37=0,$P$34=0),"",$L$37-1),IF($R$17="Distrato",$E558,0))),0,YEARFRAC(MAX($P$34*($B558+IF($R$17="Distrato",$I$38-1,0)),IF(AND($L$37=0,$P$34=0),"",$L$37-1),IF($R$17="Distrato",$E558,0)),MIN(AU$38,$D$19),$P$20))-SUM($P558:AT558)</f>
        <v>#VALUE!</v>
      </c>
      <c r="AV558" s="446" t="e">
        <f>IF(OR($B558="",MIN(AV$38,$D$19)&lt;MAX($P$34*($B558+IF($R$17="Distrato",$I$38-1,0)),IF(AND($L$37=0,$P$34=0),"",$L$37-1),IF($R$17="Distrato",$E558,0))),0,YEARFRAC(MAX($P$34*($B558+IF($R$17="Distrato",$I$38-1,0)),IF(AND($L$37=0,$P$34=0),"",$L$37-1),IF($R$17="Distrato",$E558,0)),MIN(AV$38,$D$19),$P$20))-SUM($P558:AU558)</f>
        <v>#VALUE!</v>
      </c>
      <c r="AW558" s="446" t="e">
        <f>IF(OR($B558="",MIN(AW$38,$D$19)&lt;MAX($P$34*($B558+IF($R$17="Distrato",$I$38-1,0)),IF(AND($L$37=0,$P$34=0),"",$L$37-1),IF($R$17="Distrato",$E558,0))),0,YEARFRAC(MAX($P$34*($B558+IF($R$17="Distrato",$I$38-1,0)),IF(AND($L$37=0,$P$34=0),"",$L$37-1),IF($R$17="Distrato",$E558,0)),MIN(AW$38,$D$19),$P$20))-SUM($P558:AV558)</f>
        <v>#VALUE!</v>
      </c>
      <c r="AX558" s="446" t="e">
        <f>IF(OR($B558="",MIN(AX$38,$D$19)&lt;MAX($P$34*($B558+IF($R$17="Distrato",$I$38-1,0)),IF(AND($L$37=0,$P$34=0),"",$L$37-1),IF($R$17="Distrato",$E558,0))),0,YEARFRAC(MAX($P$34*($B558+IF($R$17="Distrato",$I$38-1,0)),IF(AND($L$37=0,$P$34=0),"",$L$37-1),IF($R$17="Distrato",$E558,0)),MIN(AX$38,$D$19),$P$20))-SUM($P558:AW558)</f>
        <v>#VALUE!</v>
      </c>
      <c r="AY558" s="446" t="e">
        <f>IF(OR($B558="",MIN(AY$38,$D$19)&lt;MAX($P$34*($B558+IF($R$17="Distrato",$I$38-1,0)),IF(AND($L$37=0,$P$34=0),"",$L$37-1),IF($R$17="Distrato",$E558,0))),0,YEARFRAC(MAX($P$34*($B558+IF($R$17="Distrato",$I$38-1,0)),IF(AND($L$37=0,$P$34=0),"",$L$37-1),IF($R$17="Distrato",$E558,0)),MIN(AY$38,$D$19),$P$20))-SUM($P558:AX558)</f>
        <v>#VALUE!</v>
      </c>
      <c r="AZ558" s="446" t="e">
        <f>IF(OR($B558="",MIN(AZ$38,$D$19)&lt;MAX($P$34*($B558+IF($R$17="Distrato",$I$38-1,0)),IF(AND($L$37=0,$P$34=0),"",$L$37-1),IF($R$17="Distrato",$E558,0))),0,YEARFRAC(MAX($P$34*($B558+IF($R$17="Distrato",$I$38-1,0)),IF(AND($L$37=0,$P$34=0),"",$L$37-1),IF($R$17="Distrato",$E558,0)),MIN(AZ$38,$D$19),$P$20))-SUM($P558:AY558)</f>
        <v>#VALUE!</v>
      </c>
      <c r="BA558" s="446" t="e">
        <f>IF(OR($B558="",MIN(BA$38,$D$19)&lt;MAX($P$34*($B558+IF($R$17="Distrato",$I$38-1,0)),IF(AND($L$37=0,$P$34=0),"",$L$37-1),IF($R$17="Distrato",$E558,0))),0,YEARFRAC(MAX($P$34*($B558+IF($R$17="Distrato",$I$38-1,0)),IF(AND($L$37=0,$P$34=0),"",$L$37-1),IF($R$17="Distrato",$E558,0)),MIN(BA$38,$D$19),$P$20))-SUM($P558:AZ558)</f>
        <v>#VALUE!</v>
      </c>
      <c r="BB558" s="447"/>
      <c r="BF558" s="446">
        <f t="shared" si="98"/>
        <v>0</v>
      </c>
      <c r="BG558" s="446">
        <f>IF($E558=0,0,IF(MIN(BG$38,$E558)&lt;MAX($P$34*($B558+$I$38-1),IF(AND($L$37=0,$P$34=0),"",$L$37-1)),0,YEARFRAC(MAX($P$34*($B558+$I$38-1),IF(AND($L$37=0,$P$34=0),"",$L$37-1)),MIN(BG$38,$E558),$P$20))-SUM($BF558:BF558))</f>
        <v>0</v>
      </c>
      <c r="BH558" s="446">
        <f>IF($E558=0,0,IF(MIN(BH$38,$E558)&lt;MAX($P$34*($B558+$I$38-1),IF(AND($L$37=0,$P$34=0),"",$L$37-1)),0,YEARFRAC(MAX($P$34*($B558+$I$38-1),IF(AND($L$37=0,$P$34=0),"",$L$37-1)),MIN(BH$38,$E558),$P$20))-SUM($BF558:BG558))</f>
        <v>0</v>
      </c>
      <c r="BI558" s="446">
        <f>IF($E558=0,0,IF(MIN(BI$38,$E558)&lt;MAX($P$34*($B558+$I$38-1),IF(AND($L$37=0,$P$34=0),"",$L$37-1)),0,YEARFRAC(MAX($P$34*($B558+$I$38-1),IF(AND($L$37=0,$P$34=0),"",$L$37-1)),MIN(BI$38,$E558),$P$20))-SUM($BF558:BH558))</f>
        <v>0</v>
      </c>
      <c r="BJ558" s="446">
        <f>IF($E558=0,0,IF(MIN(BJ$38,$E558)&lt;MAX($P$34*($B558+$I$38-1),IF(AND($L$37=0,$P$34=0),"",$L$37-1)),0,YEARFRAC(MAX($P$34*($B558+$I$38-1),IF(AND($L$37=0,$P$34=0),"",$L$37-1)),MIN(BJ$38,$E558),$P$20))-SUM($BF558:BI558))</f>
        <v>0</v>
      </c>
      <c r="BK558" s="446">
        <f>IF($E558=0,0,IF(MIN(BK$38,$E558)&lt;MAX($P$34*($B558+$I$38-1),IF(AND($L$37=0,$P$34=0),"",$L$37-1)),0,YEARFRAC(MAX($P$34*($B558+$I$38-1),IF(AND($L$37=0,$P$34=0),"",$L$37-1)),MIN(BK$38,$E558),$P$20))-SUM($BF558:BJ558))</f>
        <v>0</v>
      </c>
      <c r="BL558" s="446">
        <f>IF($E558=0,0,IF(MIN(BL$38,$E558)&lt;MAX($P$34*($B558+$I$38-1),IF(AND($L$37=0,$P$34=0),"",$L$37-1)),0,YEARFRAC(MAX($P$34*($B558+$I$38-1),IF(AND($L$37=0,$P$34=0),"",$L$37-1)),MIN(BL$38,$E558),$P$20))-SUM($BF558:BK558))</f>
        <v>0</v>
      </c>
      <c r="BM558" s="446">
        <f>IF($E558=0,0,IF(MIN(BM$38,$E558)&lt;MAX($P$34*($B558+$I$38-1),IF(AND($L$37=0,$P$34=0),"",$L$37-1)),0,YEARFRAC(MAX($P$34*($B558+$I$38-1),IF(AND($L$37=0,$P$34=0),"",$L$37-1)),MIN(BM$38,$E558),$P$20))-SUM($BF558:BL558))</f>
        <v>0</v>
      </c>
      <c r="BN558" s="446">
        <f>IF($E558=0,0,IF(MIN(BN$38,$E558)&lt;MAX($P$34*($B558+$I$38-1),IF(AND($L$37=0,$P$34=0),"",$L$37-1)),0,YEARFRAC(MAX($P$34*($B558+$I$38-1),IF(AND($L$37=0,$P$34=0),"",$L$37-1)),MIN(BN$38,$E558),$P$20))-SUM($BF558:BM558))</f>
        <v>0</v>
      </c>
      <c r="BO558" s="446">
        <f>IF($E558=0,0,IF(MIN(BO$38,$E558)&lt;MAX($P$34*($B558+$I$38-1),IF(AND($L$37=0,$P$34=0),"",$L$37-1)),0,YEARFRAC(MAX($P$34*($B558+$I$38-1),IF(AND($L$37=0,$P$34=0),"",$L$37-1)),MIN(BO$38,$E558),$P$20))-SUM($BF558:BN558))</f>
        <v>0</v>
      </c>
      <c r="BP558" s="446">
        <f>IF($E558=0,0,IF(MIN(BP$38,$E558)&lt;MAX($P$34*($B558+$I$38-1),IF(AND($L$37=0,$P$34=0),"",$L$37-1)),0,YEARFRAC(MAX($P$34*($B558+$I$38-1),IF(AND($L$37=0,$P$34=0),"",$L$37-1)),MIN(BP$38,$E558),$P$20))-SUM($BF558:BO558))</f>
        <v>0</v>
      </c>
      <c r="BQ558" s="446">
        <f>IF($E558=0,0,IF(MIN(BQ$38,$E558)&lt;MAX($P$34*($B558+$I$38-1),IF(AND($L$37=0,$P$34=0),"",$L$37-1)),0,YEARFRAC(MAX($P$34*($B558+$I$38-1),IF(AND($L$37=0,$P$34=0),"",$L$37-1)),MIN(BQ$38,$E558),$P$20))-SUM($BF558:BP558))</f>
        <v>0</v>
      </c>
      <c r="BR558" s="446">
        <f>IF($E558=0,0,IF(MIN(BR$38,$E558)&lt;MAX($P$34*($B558+$I$38-1),IF(AND($L$37=0,$P$34=0),"",$L$37-1)),0,YEARFRAC(MAX($P$34*($B558+$I$38-1),IF(AND($L$37=0,$P$34=0),"",$L$37-1)),MIN(BR$38,$E558),$P$20))-SUM($BF558:BQ558))</f>
        <v>0</v>
      </c>
      <c r="BS558" s="446">
        <f>IF($E558=0,0,IF(MIN(BS$38,$E558)&lt;MAX($P$34*($B558+$I$38-1),IF(AND($L$37=0,$P$34=0),"",$L$37-1)),0,YEARFRAC(MAX($P$34*($B558+$I$38-1),IF(AND($L$37=0,$P$34=0),"",$L$37-1)),MIN(BS$38,$E558),$P$20))-SUM($BF558:BR558))</f>
        <v>0</v>
      </c>
      <c r="BT558" s="446">
        <f>IF($E558=0,0,IF(MIN(BT$38,$E558)&lt;MAX($P$34*($B558+$I$38-1),IF(AND($L$37=0,$P$34=0),"",$L$37-1)),0,YEARFRAC(MAX($P$34*($B558+$I$38-1),IF(AND($L$37=0,$P$34=0),"",$L$37-1)),MIN(BT$38,$E558),$P$20))-SUM($BF558:BS558))</f>
        <v>0</v>
      </c>
      <c r="BU558" s="446">
        <f>IF($E558=0,0,IF(MIN(BU$38,$E558)&lt;MAX($P$34*($B558+$I$38-1),IF(AND($L$37=0,$P$34=0),"",$L$37-1)),0,YEARFRAC(MAX($P$34*($B558+$I$38-1),IF(AND($L$37=0,$P$34=0),"",$L$37-1)),MIN(BU$38,$E558),$P$20))-SUM($BF558:BT558))</f>
        <v>0</v>
      </c>
      <c r="BV558" s="446">
        <f>IF($E558=0,0,IF(MIN(BV$38,$E558)&lt;MAX($P$34*($B558+$I$38-1),IF(AND($L$37=0,$P$34=0),"",$L$37-1)),0,YEARFRAC(MAX($P$34*($B558+$I$38-1),IF(AND($L$37=0,$P$34=0),"",$L$37-1)),MIN(BV$38,$E558),$P$20))-SUM($BF558:BU558))</f>
        <v>0</v>
      </c>
      <c r="BW558" s="446">
        <f>IF($E558=0,0,IF(MIN(BW$38,$E558)&lt;MAX($P$34*($B558+$I$38-1),IF(AND($L$37=0,$P$34=0),"",$L$37-1)),0,YEARFRAC(MAX($P$34*($B558+$I$38-1),IF(AND($L$37=0,$P$34=0),"",$L$37-1)),MIN(BW$38,$E558),$P$20))-SUM($BF558:BV558))</f>
        <v>0</v>
      </c>
      <c r="BX558" s="446">
        <f>IF($E558=0,0,IF(MIN(BX$38,$E558)&lt;MAX($P$34*($B558+$I$38-1),IF(AND($L$37=0,$P$34=0),"",$L$37-1)),0,YEARFRAC(MAX($P$34*($B558+$I$38-1),IF(AND($L$37=0,$P$34=0),"",$L$37-1)),MIN(BX$38,$E558),$P$20))-SUM($BF558:BW558))</f>
        <v>0</v>
      </c>
      <c r="BY558" s="446">
        <f>IF($E558=0,0,IF(MIN(BY$38,$E558)&lt;MAX($P$34*($B558+$I$38-1),IF(AND($L$37=0,$P$34=0),"",$L$37-1)),0,YEARFRAC(MAX($P$34*($B558+$I$38-1),IF(AND($L$37=0,$P$34=0),"",$L$37-1)),MIN(BY$38,$E558),$P$20))-SUM($BF558:BX558))</f>
        <v>0</v>
      </c>
      <c r="BZ558" s="446">
        <f>IF($E558=0,0,IF(MIN(BZ$38,$E558)&lt;MAX($P$34*($B558+$I$38-1),IF(AND($L$37=0,$P$34=0),"",$L$37-1)),0,YEARFRAC(MAX($P$34*($B558+$I$38-1),IF(AND($L$37=0,$P$34=0),"",$L$37-1)),MIN(BZ$38,$E558),$P$20))-SUM($BF558:BY558))</f>
        <v>0</v>
      </c>
      <c r="CA558" s="446">
        <f>IF($E558=0,0,IF(MIN(CA$38,$E558)&lt;MAX($P$34*($B558+$I$38-1),IF(AND($L$37=0,$P$34=0),"",$L$37-1)),0,YEARFRAC(MAX($P$34*($B558+$I$38-1),IF(AND($L$37=0,$P$34=0),"",$L$37-1)),MIN(CA$38,$E558),$P$20))-SUM($BF558:BZ558))</f>
        <v>0</v>
      </c>
      <c r="CB558" s="446">
        <f>IF($E558=0,0,IF(MIN(CB$38,$E558)&lt;MAX($P$34*($B558+$I$38-1),IF(AND($L$37=0,$P$34=0),"",$L$37-1)),0,YEARFRAC(MAX($P$34*($B558+$I$38-1),IF(AND($L$37=0,$P$34=0),"",$L$37-1)),MIN(CB$38,$E558),$P$20))-SUM($BF558:CA558))</f>
        <v>0</v>
      </c>
      <c r="CC558" s="446">
        <f>IF($E558=0,0,IF(MIN(CC$38,$E558)&lt;MAX($P$34*($B558+$I$38-1),IF(AND($L$37=0,$P$34=0),"",$L$37-1)),0,YEARFRAC(MAX($P$34*($B558+$I$38-1),IF(AND($L$37=0,$P$34=0),"",$L$37-1)),MIN(CC$38,$E558),$P$20))-SUM($BF558:CB558))</f>
        <v>0</v>
      </c>
      <c r="CD558" s="446">
        <f>IF($E558=0,0,IF(MIN(CD$38,$E558)&lt;MAX($P$34*($B558+$I$38-1),IF(AND($L$37=0,$P$34=0),"",$L$37-1)),0,YEARFRAC(MAX($P$34*($B558+$I$38-1),IF(AND($L$37=0,$P$34=0),"",$L$37-1)),MIN(CD$38,$E558),$P$20))-SUM($BF558:CC558))</f>
        <v>0</v>
      </c>
      <c r="CE558" s="446">
        <f>IF($E558=0,0,IF(MIN(CE$38,$E558)&lt;MAX($P$34*($B558+$I$38-1),IF(AND($L$37=0,$P$34=0),"",$L$37-1)),0,YEARFRAC(MAX($P$34*($B558+$I$38-1),IF(AND($L$37=0,$P$34=0),"",$L$37-1)),MIN(CE$38,$E558),$P$20))-SUM($BF558:CD558))</f>
        <v>0</v>
      </c>
      <c r="CF558" s="446">
        <f>IF($E558=0,0,IF(MIN(CF$38,$E558)&lt;MAX($P$34*($B558+$I$38-1),IF(AND($L$37=0,$P$34=0),"",$L$37-1)),0,YEARFRAC(MAX($P$34*($B558+$I$38-1),IF(AND($L$37=0,$P$34=0),"",$L$37-1)),MIN(CF$38,$E558),$P$20))-SUM($BF558:CE558))</f>
        <v>0</v>
      </c>
      <c r="CG558" s="446">
        <f>IF($E558=0,0,IF(MIN(CG$38,$E558)&lt;MAX($P$34*($B558+$I$38-1),IF(AND($L$37=0,$P$34=0),"",$L$37-1)),0,YEARFRAC(MAX($P$34*($B558+$I$38-1),IF(AND($L$37=0,$P$34=0),"",$L$37-1)),MIN(CG$38,$E558),$P$20))-SUM($BF558:CF558))</f>
        <v>0</v>
      </c>
      <c r="CH558" s="446">
        <f>IF($E558=0,0,IF(MIN(CH$38,$E558)&lt;MAX($P$34*($B558+$I$38-1),IF(AND($L$37=0,$P$34=0),"",$L$37-1)),0,YEARFRAC(MAX($P$34*($B558+$I$38-1),IF(AND($L$37=0,$P$34=0),"",$L$37-1)),MIN(CH$38,$E558),$P$20))-SUM($BF558:CG558))</f>
        <v>0</v>
      </c>
      <c r="CI558" s="446">
        <f>IF($E558=0,0,IF(MIN(CI$38,$E558)&lt;MAX($P$34*($B558+$I$38-1),IF(AND($L$37=0,$P$34=0),"",$L$37-1)),0,YEARFRAC(MAX($P$34*($B558+$I$38-1),IF(AND($L$37=0,$P$34=0),"",$L$37-1)),MIN(CI$38,$E558),$P$20))-SUM($BF558:CH558))</f>
        <v>0</v>
      </c>
      <c r="CJ558" s="446">
        <f>IF($E558=0,0,IF(MIN(CJ$38,$E558)&lt;MAX($P$34*($B558+$I$38-1),IF(AND($L$37=0,$P$34=0),"",$L$37-1)),0,YEARFRAC(MAX($P$34*($B558+$I$38-1),IF(AND($L$37=0,$P$34=0),"",$L$37-1)),MIN(CJ$38,$E558),$P$20))-SUM($BF558:CI558))</f>
        <v>0</v>
      </c>
      <c r="CK558" s="446">
        <f>IF($E558=0,0,IF(MIN(CK$38,$E558)&lt;MAX($P$34*($B558+$I$38-1),IF(AND($L$37=0,$P$34=0),"",$L$37-1)),0,YEARFRAC(MAX($P$34*($B558+$I$38-1),IF(AND($L$37=0,$P$34=0),"",$L$37-1)),MIN(CK$38,$E558),$P$20))-SUM($BF558:CJ558))</f>
        <v>0</v>
      </c>
      <c r="CL558" s="446">
        <f>IF($E558=0,0,IF(MIN(CL$38,$E558)&lt;MAX($P$34*($B558+$I$38-1),IF(AND($L$37=0,$P$34=0),"",$L$37-1)),0,YEARFRAC(MAX($P$34*($B558+$I$38-1),IF(AND($L$37=0,$P$34=0),"",$L$37-1)),MIN(CL$38,$E558),$P$20))-SUM($BF558:CK558))</f>
        <v>0</v>
      </c>
      <c r="CM558" s="446">
        <f>IF($E558=0,0,IF(MIN(CM$38,$E558)&lt;MAX($P$34*($B558+$I$38-1),IF(AND($L$37=0,$P$34=0),"",$L$37-1)),0,YEARFRAC(MAX($P$34*($B558+$I$38-1),IF(AND($L$37=0,$P$34=0),"",$L$37-1)),MIN(CM$38,$E558),$P$20))-SUM($BF558:CL558))</f>
        <v>0</v>
      </c>
      <c r="CN558" s="446">
        <f>IF($E558=0,0,IF(MIN(CN$38,$E558)&lt;MAX($P$34*($B558+$I$38-1),IF(AND($L$37=0,$P$34=0),"",$L$37-1)),0,YEARFRAC(MAX($P$34*($B558+$I$38-1),IF(AND($L$37=0,$P$34=0),"",$L$37-1)),MIN(CN$38,$E558),$P$20))-SUM($BF558:CM558))</f>
        <v>0</v>
      </c>
      <c r="CO558" s="446">
        <f>IF($E558=0,0,IF(MIN(CO$38,$E558)&lt;MAX($P$34*($B558+$I$38-1),IF(AND($L$37=0,$P$34=0),"",$L$37-1)),0,YEARFRAC(MAX($P$34*($B558+$I$38-1),IF(AND($L$37=0,$P$34=0),"",$L$37-1)),MIN(CO$38,$E558),$P$20))-SUM($BF558:CN558))</f>
        <v>0</v>
      </c>
      <c r="CP558" s="446">
        <f>IF($E558=0,0,IF(MIN(CP$38,$E558)&lt;MAX($P$34*($B558+$I$38-1),IF(AND($L$37=0,$P$34=0),"",$L$37-1)),0,YEARFRAC(MAX($P$34*($B558+$I$38-1),IF(AND($L$37=0,$P$34=0),"",$L$37-1)),MIN(CP$38,$E558),$P$20))-SUM($BF558:CO558))</f>
        <v>0</v>
      </c>
      <c r="CQ558" s="446">
        <f>IF($E558=0,0,IF(MIN(CQ$38,$E558)&lt;MAX($P$34*($B558+$I$38-1),IF(AND($L$37=0,$P$34=0),"",$L$37-1)),0,YEARFRAC(MAX($P$34*($B558+$I$38-1),IF(AND($L$37=0,$P$34=0),"",$L$37-1)),MIN(CQ$38,$E558),$P$20))-SUM($BF558:CP558))</f>
        <v>0</v>
      </c>
    </row>
    <row r="559" spans="1:95" s="446" customFormat="1" ht="11.25" hidden="1" customHeight="1" x14ac:dyDescent="0.2">
      <c r="A559" s="152"/>
      <c r="B559" s="153" t="str">
        <f t="shared" si="103"/>
        <v/>
      </c>
      <c r="C559" s="29" t="str">
        <f>IF(B559="","",IF($L$35="SELIC - TRIBUTOS",VLOOKUP(DATE(YEAR($D$19),MONTH($D$19)-1,1),ÍNDICES!$A:$DE,HLOOKUP($BL$25,ÍNDICES!$B$3:$T$4,2)+11)-VLOOKUP(B559,ÍNDICES!$A:$DE,HLOOKUP($BL$25,ÍNDICES!$B$3:$T$4,2)+11)+1%,IF(C$38=$W$26,$J$35,IF(ISERROR(IF(B559&gt;$D$19,1,VLOOKUP(DATE(YEAR(B559),MONTH(B559)+IF($C$35=$S$23,1,0),1),ÍNDICES!$A:$DE,$Z$35+1))),"",IF(B559&gt;$D$19,1,VLOOKUP(DATE(YEAR(B559),MONTH(B559)+IF($C$35=$S$23,1,0),1),ÍNDICES!$A:$DE,$Z$35+1))))))</f>
        <v/>
      </c>
      <c r="D559" s="154" t="str">
        <f>IF(ISERROR(IF(OR($D$38=$Y$27,$B559=""),"",VLOOKUP(B559,ÍNDICES!A:DE,AF$35+1))),"",IF(OR($D$38=$Y$27,$B559=""),"",VLOOKUP(B559,ÍNDICES!A:DE,AF$35+1)))</f>
        <v/>
      </c>
      <c r="E559" s="153"/>
      <c r="F559" s="29" t="str">
        <f>IF(E559="","",IF($L$35="SELIC - TRIBUTOS",VLOOKUP(DATE(YEAR($D$19),MONTH($D$19)-1,1),ÍNDICES!$A:$DE,HLOOKUP($BL$25,ÍNDICES!$B$3:$T$4,2)+11)-VLOOKUP(E559,ÍNDICES!$A:$DE,HLOOKUP($BL$25,ÍNDICES!$B$3:$T$4,2)+11)+1%,IF(F$38=$W$26,$J$35,IF(ISERROR(IF(E559&gt;$D$19,1,VLOOKUP(DATE(YEAR(E559),MONTH(E559)+IF($C$35=$S$23,1,0),1),ÍNDICES!$A:$DE,$Z$35+1))),"",IF(E559&gt;$D$19,1,VLOOKUP(DATE(YEAR(E559),MONTH(E559)+IF($C$35=$S$23,1,0),1),ÍNDICES!$A:$DE,$Z$35+1))))))</f>
        <v/>
      </c>
      <c r="G559" s="155"/>
      <c r="H559" s="156" t="str">
        <f t="shared" si="99"/>
        <v/>
      </c>
      <c r="I559" s="29" t="str">
        <f t="shared" si="93"/>
        <v/>
      </c>
      <c r="J559" s="5">
        <f t="shared" si="94"/>
        <v>0</v>
      </c>
      <c r="K559" s="20">
        <f t="shared" ca="1" si="95"/>
        <v>0</v>
      </c>
      <c r="L559" s="5">
        <f t="shared" ca="1" si="96"/>
        <v>0</v>
      </c>
      <c r="M559" s="64">
        <f t="shared" si="100"/>
        <v>0</v>
      </c>
      <c r="N559" s="61">
        <f t="shared" ca="1" si="101"/>
        <v>0</v>
      </c>
      <c r="O559" s="5">
        <f t="shared" ca="1" si="102"/>
        <v>0</v>
      </c>
      <c r="P559" s="446" t="e">
        <f t="shared" si="97"/>
        <v>#VALUE!</v>
      </c>
      <c r="Q559" s="446" t="e">
        <f>IF(OR($B559="",MIN(Q$38,$D$19)&lt;MAX($P$34*($B559+IF($R$17="Distrato",$I$38-1,0)),IF(AND($L$37=0,$P$34=0),"",$L$37-1),IF($R$17="Distrato",$E559,0))),0,YEARFRAC(MAX($P$34*($B559+IF($R$17="Distrato",$I$38-1,0)),IF(AND($L$37=0,$P$34=0),"",$L$37-1),IF($R$17="Distrato",$E559,0)),MIN(Q$38,$D$19),$P$20))-SUM($P559:P559)</f>
        <v>#VALUE!</v>
      </c>
      <c r="R559" s="446" t="e">
        <f>IF(OR($B559="",MIN(R$38,$D$19)&lt;MAX($P$34*($B559+IF($R$17="Distrato",$I$38-1,0)),IF(AND($L$37=0,$P$34=0),"",$L$37-1),IF($R$17="Distrato",$E559,0))),0,YEARFRAC(MAX($P$34*($B559+IF($R$17="Distrato",$I$38-1,0)),IF(AND($L$37=0,$P$34=0),"",$L$37-1),IF($R$17="Distrato",$E559,0)),MIN(R$38,$D$19),$P$20))-SUM($P559:Q559)</f>
        <v>#VALUE!</v>
      </c>
      <c r="S559" s="446" t="e">
        <f>IF(OR($B559="",MIN(S$38,$D$19)&lt;MAX($P$34*($B559+IF($R$17="Distrato",$I$38-1,0)),IF(AND($L$37=0,$P$34=0),"",$L$37-1),IF($R$17="Distrato",$E559,0))),0,YEARFRAC(MAX($P$34*($B559+IF($R$17="Distrato",$I$38-1,0)),IF(AND($L$37=0,$P$34=0),"",$L$37-1),IF($R$17="Distrato",$E559,0)),MIN(S$38,$D$19),$P$20))-SUM($P559:R559)</f>
        <v>#VALUE!</v>
      </c>
      <c r="T559" s="446" t="e">
        <f>IF(OR($B559="",MIN(T$38,$D$19)&lt;MAX($P$34*($B559+IF($R$17="Distrato",$I$38-1,0)),IF(AND($L$37=0,$P$34=0),"",$L$37-1),IF($R$17="Distrato",$E559,0))),0,YEARFRAC(MAX($P$34*($B559+IF($R$17="Distrato",$I$38-1,0)),IF(AND($L$37=0,$P$34=0),"",$L$37-1),IF($R$17="Distrato",$E559,0)),MIN(T$38,$D$19),$P$20))-SUM($P559:S559)</f>
        <v>#VALUE!</v>
      </c>
      <c r="U559" s="446" t="e">
        <f>IF(OR($B559="",MIN(U$38,$D$19)&lt;MAX($P$34*($B559+IF($R$17="Distrato",$I$38-1,0)),IF(AND($L$37=0,$P$34=0),"",$L$37-1),IF($R$17="Distrato",$E559,0))),0,YEARFRAC(MAX($P$34*($B559+IF($R$17="Distrato",$I$38-1,0)),IF(AND($L$37=0,$P$34=0),"",$L$37-1),IF($R$17="Distrato",$E559,0)),MIN(U$38,$D$19),$P$20))-SUM($P559:T559)</f>
        <v>#VALUE!</v>
      </c>
      <c r="V559" s="446" t="e">
        <f>IF(OR($B559="",MIN(V$38,$D$19)&lt;MAX($P$34*($B559+IF($R$17="Distrato",$I$38-1,0)),IF(AND($L$37=0,$P$34=0),"",$L$37-1),IF($R$17="Distrato",$E559,0))),0,YEARFRAC(MAX($P$34*($B559+IF($R$17="Distrato",$I$38-1,0)),IF(AND($L$37=0,$P$34=0),"",$L$37-1),IF($R$17="Distrato",$E559,0)),MIN(V$38,$D$19),$P$20))-SUM($P559:U559)</f>
        <v>#VALUE!</v>
      </c>
      <c r="W559" s="446" t="e">
        <f>IF(OR($B559="",MIN(W$38,$D$19)&lt;MAX($P$34*($B559+IF($R$17="Distrato",$I$38-1,0)),IF(AND($L$37=0,$P$34=0),"",$L$37-1),IF($R$17="Distrato",$E559,0))),0,YEARFRAC(MAX($P$34*($B559+IF($R$17="Distrato",$I$38-1,0)),IF(AND($L$37=0,$P$34=0),"",$L$37-1),IF($R$17="Distrato",$E559,0)),MIN(W$38,$D$19),$P$20))-SUM($P559:V559)</f>
        <v>#VALUE!</v>
      </c>
      <c r="X559" s="446" t="e">
        <f>IF(OR($B559="",MIN(X$38,$D$19)&lt;MAX($P$34*($B559+IF($R$17="Distrato",$I$38-1,0)),IF(AND($L$37=0,$P$34=0),"",$L$37-1),IF($R$17="Distrato",$E559,0))),0,YEARFRAC(MAX($P$34*($B559+IF($R$17="Distrato",$I$38-1,0)),IF(AND($L$37=0,$P$34=0),"",$L$37-1),IF($R$17="Distrato",$E559,0)),MIN(X$38,$D$19),$P$20))-SUM($P559:W559)</f>
        <v>#VALUE!</v>
      </c>
      <c r="Y559" s="446" t="e">
        <f>IF(OR($B559="",MIN(Y$38,$D$19)&lt;MAX($P$34*($B559+IF($R$17="Distrato",$I$38-1,0)),IF(AND($L$37=0,$P$34=0),"",$L$37-1),IF($R$17="Distrato",$E559,0))),0,YEARFRAC(MAX($P$34*($B559+IF($R$17="Distrato",$I$38-1,0)),IF(AND($L$37=0,$P$34=0),"",$L$37-1),IF($R$17="Distrato",$E559,0)),MIN(Y$38,$D$19),$P$20))-SUM($P559:X559)</f>
        <v>#VALUE!</v>
      </c>
      <c r="Z559" s="446" t="e">
        <f>IF(OR($B559="",MIN(Z$38,$D$19)&lt;MAX($P$34*($B559+IF($R$17="Distrato",$I$38-1,0)),IF(AND($L$37=0,$P$34=0),"",$L$37-1),IF($R$17="Distrato",$E559,0))),0,YEARFRAC(MAX($P$34*($B559+IF($R$17="Distrato",$I$38-1,0)),IF(AND($L$37=0,$P$34=0),"",$L$37-1),IF($R$17="Distrato",$E559,0)),MIN(Z$38,$D$19),$P$20))-SUM($P559:Y559)</f>
        <v>#VALUE!</v>
      </c>
      <c r="AA559" s="446" t="e">
        <f>IF(OR($B559="",MIN(AA$38,$D$19)&lt;MAX($P$34*($B559+IF($R$17="Distrato",$I$38-1,0)),IF(AND($L$37=0,$P$34=0),"",$L$37-1),IF($R$17="Distrato",$E559,0))),0,YEARFRAC(MAX($P$34*($B559+IF($R$17="Distrato",$I$38-1,0)),IF(AND($L$37=0,$P$34=0),"",$L$37-1),IF($R$17="Distrato",$E559,0)),MIN(AA$38,$D$19),$P$20))-SUM($P559:Z559)</f>
        <v>#VALUE!</v>
      </c>
      <c r="AB559" s="446" t="e">
        <f>IF(OR($B559="",MIN(AB$38,$D$19)&lt;MAX($P$34*($B559+IF($R$17="Distrato",$I$38-1,0)),IF(AND($L$37=0,$P$34=0),"",$L$37-1),IF($R$17="Distrato",$E559,0))),0,YEARFRAC(MAX($P$34*($B559+IF($R$17="Distrato",$I$38-1,0)),IF(AND($L$37=0,$P$34=0),"",$L$37-1),IF($R$17="Distrato",$E559,0)),MIN(AB$38,$D$19),$P$20))-SUM($P559:AA559)</f>
        <v>#VALUE!</v>
      </c>
      <c r="AC559" s="446" t="e">
        <f>IF(OR($B559="",MIN(AC$38,$D$19)&lt;MAX($P$34*($B559+IF($R$17="Distrato",$I$38-1,0)),IF(AND($L$37=0,$P$34=0),"",$L$37-1),IF($R$17="Distrato",$E559,0))),0,YEARFRAC(MAX($P$34*($B559+IF($R$17="Distrato",$I$38-1,0)),IF(AND($L$37=0,$P$34=0),"",$L$37-1),IF($R$17="Distrato",$E559,0)),MIN(AC$38,$D$19),$P$20))-SUM($P559:AB559)</f>
        <v>#VALUE!</v>
      </c>
      <c r="AD559" s="446" t="e">
        <f>IF(OR($B559="",MIN(AD$38,$D$19)&lt;MAX($P$34*($B559+IF($R$17="Distrato",$I$38-1,0)),IF(AND($L$37=0,$P$34=0),"",$L$37-1),IF($R$17="Distrato",$E559,0))),0,YEARFRAC(MAX($P$34*($B559+IF($R$17="Distrato",$I$38-1,0)),IF(AND($L$37=0,$P$34=0),"",$L$37-1),IF($R$17="Distrato",$E559,0)),MIN(AD$38,$D$19),$P$20))-SUM($P559:AC559)</f>
        <v>#VALUE!</v>
      </c>
      <c r="AE559" s="446" t="e">
        <f>IF(OR($B559="",MIN(AE$38,$D$19)&lt;MAX($P$34*($B559+IF($R$17="Distrato",$I$38-1,0)),IF(AND($L$37=0,$P$34=0),"",$L$37-1),IF($R$17="Distrato",$E559,0))),0,YEARFRAC(MAX($P$34*($B559+IF($R$17="Distrato",$I$38-1,0)),IF(AND($L$37=0,$P$34=0),"",$L$37-1),IF($R$17="Distrato",$E559,0)),MIN(AE$38,$D$19),$P$20))-SUM($P559:AD559)</f>
        <v>#VALUE!</v>
      </c>
      <c r="AF559" s="446" t="e">
        <f>IF(OR($B559="",MIN(AF$38,$D$19)&lt;MAX($P$34*($B559+IF($R$17="Distrato",$I$38-1,0)),IF(AND($L$37=0,$P$34=0),"",$L$37-1),IF($R$17="Distrato",$E559,0))),0,YEARFRAC(MAX($P$34*($B559+IF($R$17="Distrato",$I$38-1,0)),IF(AND($L$37=0,$P$34=0),"",$L$37-1),IF($R$17="Distrato",$E559,0)),MIN(AF$38,$D$19),$P$20))-SUM($P559:AE559)</f>
        <v>#VALUE!</v>
      </c>
      <c r="AG559" s="446" t="e">
        <f>IF(OR($B559="",MIN(AG$38,$D$19)&lt;MAX($P$34*($B559+IF($R$17="Distrato",$I$38-1,0)),IF(AND($L$37=0,$P$34=0),"",$L$37-1),IF($R$17="Distrato",$E559,0))),0,YEARFRAC(MAX($P$34*($B559+IF($R$17="Distrato",$I$38-1,0)),IF(AND($L$37=0,$P$34=0),"",$L$37-1),IF($R$17="Distrato",$E559,0)),MIN(AG$38,$D$19),$P$20))-SUM($P559:AF559)</f>
        <v>#VALUE!</v>
      </c>
      <c r="AH559" s="446" t="e">
        <f>IF(OR($B559="",MIN(AH$38,$D$19)&lt;MAX($P$34*($B559+IF($R$17="Distrato",$I$38-1,0)),IF(AND($L$37=0,$P$34=0),"",$L$37-1),IF($R$17="Distrato",$E559,0))),0,YEARFRAC(MAX($P$34*($B559+IF($R$17="Distrato",$I$38-1,0)),IF(AND($L$37=0,$P$34=0),"",$L$37-1),IF($R$17="Distrato",$E559,0)),MIN(AH$38,$D$19),$P$20))-SUM($P559:AG559)</f>
        <v>#VALUE!</v>
      </c>
      <c r="AI559" s="446" t="e">
        <f>IF(OR($B559="",MIN(AI$38,$D$19)&lt;MAX($P$34*($B559+IF($R$17="Distrato",$I$38-1,0)),IF(AND($L$37=0,$P$34=0),"",$L$37-1),IF($R$17="Distrato",$E559,0))),0,YEARFRAC(MAX($P$34*($B559+IF($R$17="Distrato",$I$38-1,0)),IF(AND($L$37=0,$P$34=0),"",$L$37-1),IF($R$17="Distrato",$E559,0)),MIN(AI$38,$D$19),$P$20))-SUM($P559:AH559)</f>
        <v>#VALUE!</v>
      </c>
      <c r="AJ559" s="446" t="e">
        <f>IF(OR($B559="",MIN(AJ$38,$D$19)&lt;MAX($P$34*($B559+IF($R$17="Distrato",$I$38-1,0)),IF(AND($L$37=0,$P$34=0),"",$L$37-1),IF($R$17="Distrato",$E559,0))),0,YEARFRAC(MAX($P$34*($B559+IF($R$17="Distrato",$I$38-1,0)),IF(AND($L$37=0,$P$34=0),"",$L$37-1),IF($R$17="Distrato",$E559,0)),MIN(AJ$38,$D$19),$P$20))-SUM($P559:AI559)</f>
        <v>#VALUE!</v>
      </c>
      <c r="AK559" s="446" t="e">
        <f>IF(OR($B559="",MIN(AK$38,$D$19)&lt;MAX($P$34*($B559+IF($R$17="Distrato",$I$38-1,0)),IF(AND($L$37=0,$P$34=0),"",$L$37-1),IF($R$17="Distrato",$E559,0))),0,YEARFRAC(MAX($P$34*($B559+IF($R$17="Distrato",$I$38-1,0)),IF(AND($L$37=0,$P$34=0),"",$L$37-1),IF($R$17="Distrato",$E559,0)),MIN(AK$38,$D$19),$P$20))-SUM($P559:AJ559)</f>
        <v>#VALUE!</v>
      </c>
      <c r="AL559" s="446" t="e">
        <f>IF(OR($B559="",MIN(AL$38,$D$19)&lt;MAX($P$34*($B559+IF($R$17="Distrato",$I$38-1,0)),IF(AND($L$37=0,$P$34=0),"",$L$37-1),IF($R$17="Distrato",$E559,0))),0,YEARFRAC(MAX($P$34*($B559+IF($R$17="Distrato",$I$38-1,0)),IF(AND($L$37=0,$P$34=0),"",$L$37-1),IF($R$17="Distrato",$E559,0)),MIN(AL$38,$D$19),$P$20))-SUM($P559:AK559)</f>
        <v>#VALUE!</v>
      </c>
      <c r="AM559" s="446" t="e">
        <f>IF(OR($B559="",MIN(AM$38,$D$19)&lt;MAX($P$34*($B559+IF($R$17="Distrato",$I$38-1,0)),IF(AND($L$37=0,$P$34=0),"",$L$37-1),IF($R$17="Distrato",$E559,0))),0,YEARFRAC(MAX($P$34*($B559+IF($R$17="Distrato",$I$38-1,0)),IF(AND($L$37=0,$P$34=0),"",$L$37-1),IF($R$17="Distrato",$E559,0)),MIN(AM$38,$D$19),$P$20))-SUM($P559:AL559)</f>
        <v>#VALUE!</v>
      </c>
      <c r="AN559" s="446" t="e">
        <f>IF(OR($B559="",MIN(AN$38,$D$19)&lt;MAX($P$34*($B559+IF($R$17="Distrato",$I$38-1,0)),IF(AND($L$37=0,$P$34=0),"",$L$37-1),IF($R$17="Distrato",$E559,0))),0,YEARFRAC(MAX($P$34*($B559+IF($R$17="Distrato",$I$38-1,0)),IF(AND($L$37=0,$P$34=0),"",$L$37-1),IF($R$17="Distrato",$E559,0)),MIN(AN$38,$D$19),$P$20))-SUM($P559:AM559)</f>
        <v>#VALUE!</v>
      </c>
      <c r="AO559" s="446" t="e">
        <f>IF(OR($B559="",MIN(AO$38,$D$19)&lt;MAX($P$34*($B559+IF($R$17="Distrato",$I$38-1,0)),IF(AND($L$37=0,$P$34=0),"",$L$37-1),IF($R$17="Distrato",$E559,0))),0,YEARFRAC(MAX($P$34*($B559+IF($R$17="Distrato",$I$38-1,0)),IF(AND($L$37=0,$P$34=0),"",$L$37-1),IF($R$17="Distrato",$E559,0)),MIN(AO$38,$D$19),$P$20))-SUM($P559:AN559)</f>
        <v>#VALUE!</v>
      </c>
      <c r="AP559" s="446" t="e">
        <f>IF(OR($B559="",MIN(AP$38,$D$19)&lt;MAX($P$34*($B559+IF($R$17="Distrato",$I$38-1,0)),IF(AND($L$37=0,$P$34=0),"",$L$37-1),IF($R$17="Distrato",$E559,0))),0,YEARFRAC(MAX($P$34*($B559+IF($R$17="Distrato",$I$38-1,0)),IF(AND($L$37=0,$P$34=0),"",$L$37-1),IF($R$17="Distrato",$E559,0)),MIN(AP$38,$D$19),$P$20))-SUM($P559:AO559)</f>
        <v>#VALUE!</v>
      </c>
      <c r="AQ559" s="446" t="e">
        <f>IF(OR($B559="",MIN(AQ$38,$D$19)&lt;MAX($P$34*($B559+IF($R$17="Distrato",$I$38-1,0)),IF(AND($L$37=0,$P$34=0),"",$L$37-1),IF($R$17="Distrato",$E559,0))),0,YEARFRAC(MAX($P$34*($B559+IF($R$17="Distrato",$I$38-1,0)),IF(AND($L$37=0,$P$34=0),"",$L$37-1),IF($R$17="Distrato",$E559,0)),MIN(AQ$38,$D$19),$P$20))-SUM($P559:AP559)</f>
        <v>#VALUE!</v>
      </c>
      <c r="AR559" s="446" t="e">
        <f>IF(OR($B559="",MIN(AR$38,$D$19)&lt;MAX($P$34*($B559+IF($R$17="Distrato",$I$38-1,0)),IF(AND($L$37=0,$P$34=0),"",$L$37-1),IF($R$17="Distrato",$E559,0))),0,YEARFRAC(MAX($P$34*($B559+IF($R$17="Distrato",$I$38-1,0)),IF(AND($L$37=0,$P$34=0),"",$L$37-1),IF($R$17="Distrato",$E559,0)),MIN(AR$38,$D$19),$P$20))-SUM($P559:AQ559)</f>
        <v>#VALUE!</v>
      </c>
      <c r="AS559" s="446" t="e">
        <f>IF(OR($B559="",MIN(AS$38,$D$19)&lt;MAX($P$34*($B559+IF($R$17="Distrato",$I$38-1,0)),IF(AND($L$37=0,$P$34=0),"",$L$37-1),IF($R$17="Distrato",$E559,0))),0,YEARFRAC(MAX($P$34*($B559+IF($R$17="Distrato",$I$38-1,0)),IF(AND($L$37=0,$P$34=0),"",$L$37-1),IF($R$17="Distrato",$E559,0)),MIN(AS$38,$D$19),$P$20))-SUM($P559:AR559)</f>
        <v>#VALUE!</v>
      </c>
      <c r="AT559" s="446" t="e">
        <f>IF(OR($B559="",MIN(AT$38,$D$19)&lt;MAX($P$34*($B559+IF($R$17="Distrato",$I$38-1,0)),IF(AND($L$37=0,$P$34=0),"",$L$37-1),IF($R$17="Distrato",$E559,0))),0,YEARFRAC(MAX($P$34*($B559+IF($R$17="Distrato",$I$38-1,0)),IF(AND($L$37=0,$P$34=0),"",$L$37-1),IF($R$17="Distrato",$E559,0)),MIN(AT$38,$D$19),$P$20))-SUM($P559:AS559)</f>
        <v>#VALUE!</v>
      </c>
      <c r="AU559" s="446" t="e">
        <f>IF(OR($B559="",MIN(AU$38,$D$19)&lt;MAX($P$34*($B559+IF($R$17="Distrato",$I$38-1,0)),IF(AND($L$37=0,$P$34=0),"",$L$37-1),IF($R$17="Distrato",$E559,0))),0,YEARFRAC(MAX($P$34*($B559+IF($R$17="Distrato",$I$38-1,0)),IF(AND($L$37=0,$P$34=0),"",$L$37-1),IF($R$17="Distrato",$E559,0)),MIN(AU$38,$D$19),$P$20))-SUM($P559:AT559)</f>
        <v>#VALUE!</v>
      </c>
      <c r="AV559" s="446" t="e">
        <f>IF(OR($B559="",MIN(AV$38,$D$19)&lt;MAX($P$34*($B559+IF($R$17="Distrato",$I$38-1,0)),IF(AND($L$37=0,$P$34=0),"",$L$37-1),IF($R$17="Distrato",$E559,0))),0,YEARFRAC(MAX($P$34*($B559+IF($R$17="Distrato",$I$38-1,0)),IF(AND($L$37=0,$P$34=0),"",$L$37-1),IF($R$17="Distrato",$E559,0)),MIN(AV$38,$D$19),$P$20))-SUM($P559:AU559)</f>
        <v>#VALUE!</v>
      </c>
      <c r="AW559" s="446" t="e">
        <f>IF(OR($B559="",MIN(AW$38,$D$19)&lt;MAX($P$34*($B559+IF($R$17="Distrato",$I$38-1,0)),IF(AND($L$37=0,$P$34=0),"",$L$37-1),IF($R$17="Distrato",$E559,0))),0,YEARFRAC(MAX($P$34*($B559+IF($R$17="Distrato",$I$38-1,0)),IF(AND($L$37=0,$P$34=0),"",$L$37-1),IF($R$17="Distrato",$E559,0)),MIN(AW$38,$D$19),$P$20))-SUM($P559:AV559)</f>
        <v>#VALUE!</v>
      </c>
      <c r="AX559" s="446" t="e">
        <f>IF(OR($B559="",MIN(AX$38,$D$19)&lt;MAX($P$34*($B559+IF($R$17="Distrato",$I$38-1,0)),IF(AND($L$37=0,$P$34=0),"",$L$37-1),IF($R$17="Distrato",$E559,0))),0,YEARFRAC(MAX($P$34*($B559+IF($R$17="Distrato",$I$38-1,0)),IF(AND($L$37=0,$P$34=0),"",$L$37-1),IF($R$17="Distrato",$E559,0)),MIN(AX$38,$D$19),$P$20))-SUM($P559:AW559)</f>
        <v>#VALUE!</v>
      </c>
      <c r="AY559" s="446" t="e">
        <f>IF(OR($B559="",MIN(AY$38,$D$19)&lt;MAX($P$34*($B559+IF($R$17="Distrato",$I$38-1,0)),IF(AND($L$37=0,$P$34=0),"",$L$37-1),IF($R$17="Distrato",$E559,0))),0,YEARFRAC(MAX($P$34*($B559+IF($R$17="Distrato",$I$38-1,0)),IF(AND($L$37=0,$P$34=0),"",$L$37-1),IF($R$17="Distrato",$E559,0)),MIN(AY$38,$D$19),$P$20))-SUM($P559:AX559)</f>
        <v>#VALUE!</v>
      </c>
      <c r="AZ559" s="446" t="e">
        <f>IF(OR($B559="",MIN(AZ$38,$D$19)&lt;MAX($P$34*($B559+IF($R$17="Distrato",$I$38-1,0)),IF(AND($L$37=0,$P$34=0),"",$L$37-1),IF($R$17="Distrato",$E559,0))),0,YEARFRAC(MAX($P$34*($B559+IF($R$17="Distrato",$I$38-1,0)),IF(AND($L$37=0,$P$34=0),"",$L$37-1),IF($R$17="Distrato",$E559,0)),MIN(AZ$38,$D$19),$P$20))-SUM($P559:AY559)</f>
        <v>#VALUE!</v>
      </c>
      <c r="BA559" s="446" t="e">
        <f>IF(OR($B559="",MIN(BA$38,$D$19)&lt;MAX($P$34*($B559+IF($R$17="Distrato",$I$38-1,0)),IF(AND($L$37=0,$P$34=0),"",$L$37-1),IF($R$17="Distrato",$E559,0))),0,YEARFRAC(MAX($P$34*($B559+IF($R$17="Distrato",$I$38-1,0)),IF(AND($L$37=0,$P$34=0),"",$L$37-1),IF($R$17="Distrato",$E559,0)),MIN(BA$38,$D$19),$P$20))-SUM($P559:AZ559)</f>
        <v>#VALUE!</v>
      </c>
      <c r="BB559" s="447"/>
      <c r="BF559" s="446">
        <f t="shared" si="98"/>
        <v>0</v>
      </c>
      <c r="BG559" s="446">
        <f>IF($E559=0,0,IF(MIN(BG$38,$E559)&lt;MAX($P$34*($B559+$I$38-1),IF(AND($L$37=0,$P$34=0),"",$L$37-1)),0,YEARFRAC(MAX($P$34*($B559+$I$38-1),IF(AND($L$37=0,$P$34=0),"",$L$37-1)),MIN(BG$38,$E559),$P$20))-SUM($BF559:BF559))</f>
        <v>0</v>
      </c>
      <c r="BH559" s="446">
        <f>IF($E559=0,0,IF(MIN(BH$38,$E559)&lt;MAX($P$34*($B559+$I$38-1),IF(AND($L$37=0,$P$34=0),"",$L$37-1)),0,YEARFRAC(MAX($P$34*($B559+$I$38-1),IF(AND($L$37=0,$P$34=0),"",$L$37-1)),MIN(BH$38,$E559),$P$20))-SUM($BF559:BG559))</f>
        <v>0</v>
      </c>
      <c r="BI559" s="446">
        <f>IF($E559=0,0,IF(MIN(BI$38,$E559)&lt;MAX($P$34*($B559+$I$38-1),IF(AND($L$37=0,$P$34=0),"",$L$37-1)),0,YEARFRAC(MAX($P$34*($B559+$I$38-1),IF(AND($L$37=0,$P$34=0),"",$L$37-1)),MIN(BI$38,$E559),$P$20))-SUM($BF559:BH559))</f>
        <v>0</v>
      </c>
      <c r="BJ559" s="446">
        <f>IF($E559=0,0,IF(MIN(BJ$38,$E559)&lt;MAX($P$34*($B559+$I$38-1),IF(AND($L$37=0,$P$34=0),"",$L$37-1)),0,YEARFRAC(MAX($P$34*($B559+$I$38-1),IF(AND($L$37=0,$P$34=0),"",$L$37-1)),MIN(BJ$38,$E559),$P$20))-SUM($BF559:BI559))</f>
        <v>0</v>
      </c>
      <c r="BK559" s="446">
        <f>IF($E559=0,0,IF(MIN(BK$38,$E559)&lt;MAX($P$34*($B559+$I$38-1),IF(AND($L$37=0,$P$34=0),"",$L$37-1)),0,YEARFRAC(MAX($P$34*($B559+$I$38-1),IF(AND($L$37=0,$P$34=0),"",$L$37-1)),MIN(BK$38,$E559),$P$20))-SUM($BF559:BJ559))</f>
        <v>0</v>
      </c>
      <c r="BL559" s="446">
        <f>IF($E559=0,0,IF(MIN(BL$38,$E559)&lt;MAX($P$34*($B559+$I$38-1),IF(AND($L$37=0,$P$34=0),"",$L$37-1)),0,YEARFRAC(MAX($P$34*($B559+$I$38-1),IF(AND($L$37=0,$P$34=0),"",$L$37-1)),MIN(BL$38,$E559),$P$20))-SUM($BF559:BK559))</f>
        <v>0</v>
      </c>
      <c r="BM559" s="446">
        <f>IF($E559=0,0,IF(MIN(BM$38,$E559)&lt;MAX($P$34*($B559+$I$38-1),IF(AND($L$37=0,$P$34=0),"",$L$37-1)),0,YEARFRAC(MAX($P$34*($B559+$I$38-1),IF(AND($L$37=0,$P$34=0),"",$L$37-1)),MIN(BM$38,$E559),$P$20))-SUM($BF559:BL559))</f>
        <v>0</v>
      </c>
      <c r="BN559" s="446">
        <f>IF($E559=0,0,IF(MIN(BN$38,$E559)&lt;MAX($P$34*($B559+$I$38-1),IF(AND($L$37=0,$P$34=0),"",$L$37-1)),0,YEARFRAC(MAX($P$34*($B559+$I$38-1),IF(AND($L$37=0,$P$34=0),"",$L$37-1)),MIN(BN$38,$E559),$P$20))-SUM($BF559:BM559))</f>
        <v>0</v>
      </c>
      <c r="BO559" s="446">
        <f>IF($E559=0,0,IF(MIN(BO$38,$E559)&lt;MAX($P$34*($B559+$I$38-1),IF(AND($L$37=0,$P$34=0),"",$L$37-1)),0,YEARFRAC(MAX($P$34*($B559+$I$38-1),IF(AND($L$37=0,$P$34=0),"",$L$37-1)),MIN(BO$38,$E559),$P$20))-SUM($BF559:BN559))</f>
        <v>0</v>
      </c>
      <c r="BP559" s="446">
        <f>IF($E559=0,0,IF(MIN(BP$38,$E559)&lt;MAX($P$34*($B559+$I$38-1),IF(AND($L$37=0,$P$34=0),"",$L$37-1)),0,YEARFRAC(MAX($P$34*($B559+$I$38-1),IF(AND($L$37=0,$P$34=0),"",$L$37-1)),MIN(BP$38,$E559),$P$20))-SUM($BF559:BO559))</f>
        <v>0</v>
      </c>
      <c r="BQ559" s="446">
        <f>IF($E559=0,0,IF(MIN(BQ$38,$E559)&lt;MAX($P$34*($B559+$I$38-1),IF(AND($L$37=0,$P$34=0),"",$L$37-1)),0,YEARFRAC(MAX($P$34*($B559+$I$38-1),IF(AND($L$37=0,$P$34=0),"",$L$37-1)),MIN(BQ$38,$E559),$P$20))-SUM($BF559:BP559))</f>
        <v>0</v>
      </c>
      <c r="BR559" s="446">
        <f>IF($E559=0,0,IF(MIN(BR$38,$E559)&lt;MAX($P$34*($B559+$I$38-1),IF(AND($L$37=0,$P$34=0),"",$L$37-1)),0,YEARFRAC(MAX($P$34*($B559+$I$38-1),IF(AND($L$37=0,$P$34=0),"",$L$37-1)),MIN(BR$38,$E559),$P$20))-SUM($BF559:BQ559))</f>
        <v>0</v>
      </c>
      <c r="BS559" s="446">
        <f>IF($E559=0,0,IF(MIN(BS$38,$E559)&lt;MAX($P$34*($B559+$I$38-1),IF(AND($L$37=0,$P$34=0),"",$L$37-1)),0,YEARFRAC(MAX($P$34*($B559+$I$38-1),IF(AND($L$37=0,$P$34=0),"",$L$37-1)),MIN(BS$38,$E559),$P$20))-SUM($BF559:BR559))</f>
        <v>0</v>
      </c>
      <c r="BT559" s="446">
        <f>IF($E559=0,0,IF(MIN(BT$38,$E559)&lt;MAX($P$34*($B559+$I$38-1),IF(AND($L$37=0,$P$34=0),"",$L$37-1)),0,YEARFRAC(MAX($P$34*($B559+$I$38-1),IF(AND($L$37=0,$P$34=0),"",$L$37-1)),MIN(BT$38,$E559),$P$20))-SUM($BF559:BS559))</f>
        <v>0</v>
      </c>
      <c r="BU559" s="446">
        <f>IF($E559=0,0,IF(MIN(BU$38,$E559)&lt;MAX($P$34*($B559+$I$38-1),IF(AND($L$37=0,$P$34=0),"",$L$37-1)),0,YEARFRAC(MAX($P$34*($B559+$I$38-1),IF(AND($L$37=0,$P$34=0),"",$L$37-1)),MIN(BU$38,$E559),$P$20))-SUM($BF559:BT559))</f>
        <v>0</v>
      </c>
      <c r="BV559" s="446">
        <f>IF($E559=0,0,IF(MIN(BV$38,$E559)&lt;MAX($P$34*($B559+$I$38-1),IF(AND($L$37=0,$P$34=0),"",$L$37-1)),0,YEARFRAC(MAX($P$34*($B559+$I$38-1),IF(AND($L$37=0,$P$34=0),"",$L$37-1)),MIN(BV$38,$E559),$P$20))-SUM($BF559:BU559))</f>
        <v>0</v>
      </c>
      <c r="BW559" s="446">
        <f>IF($E559=0,0,IF(MIN(BW$38,$E559)&lt;MAX($P$34*($B559+$I$38-1),IF(AND($L$37=0,$P$34=0),"",$L$37-1)),0,YEARFRAC(MAX($P$34*($B559+$I$38-1),IF(AND($L$37=0,$P$34=0),"",$L$37-1)),MIN(BW$38,$E559),$P$20))-SUM($BF559:BV559))</f>
        <v>0</v>
      </c>
      <c r="BX559" s="446">
        <f>IF($E559=0,0,IF(MIN(BX$38,$E559)&lt;MAX($P$34*($B559+$I$38-1),IF(AND($L$37=0,$P$34=0),"",$L$37-1)),0,YEARFRAC(MAX($P$34*($B559+$I$38-1),IF(AND($L$37=0,$P$34=0),"",$L$37-1)),MIN(BX$38,$E559),$P$20))-SUM($BF559:BW559))</f>
        <v>0</v>
      </c>
      <c r="BY559" s="446">
        <f>IF($E559=0,0,IF(MIN(BY$38,$E559)&lt;MAX($P$34*($B559+$I$38-1),IF(AND($L$37=0,$P$34=0),"",$L$37-1)),0,YEARFRAC(MAX($P$34*($B559+$I$38-1),IF(AND($L$37=0,$P$34=0),"",$L$37-1)),MIN(BY$38,$E559),$P$20))-SUM($BF559:BX559))</f>
        <v>0</v>
      </c>
      <c r="BZ559" s="446">
        <f>IF($E559=0,0,IF(MIN(BZ$38,$E559)&lt;MAX($P$34*($B559+$I$38-1),IF(AND($L$37=0,$P$34=0),"",$L$37-1)),0,YEARFRAC(MAX($P$34*($B559+$I$38-1),IF(AND($L$37=0,$P$34=0),"",$L$37-1)),MIN(BZ$38,$E559),$P$20))-SUM($BF559:BY559))</f>
        <v>0</v>
      </c>
      <c r="CA559" s="446">
        <f>IF($E559=0,0,IF(MIN(CA$38,$E559)&lt;MAX($P$34*($B559+$I$38-1),IF(AND($L$37=0,$P$34=0),"",$L$37-1)),0,YEARFRAC(MAX($P$34*($B559+$I$38-1),IF(AND($L$37=0,$P$34=0),"",$L$37-1)),MIN(CA$38,$E559),$P$20))-SUM($BF559:BZ559))</f>
        <v>0</v>
      </c>
      <c r="CB559" s="446">
        <f>IF($E559=0,0,IF(MIN(CB$38,$E559)&lt;MAX($P$34*($B559+$I$38-1),IF(AND($L$37=0,$P$34=0),"",$L$37-1)),0,YEARFRAC(MAX($P$34*($B559+$I$38-1),IF(AND($L$37=0,$P$34=0),"",$L$37-1)),MIN(CB$38,$E559),$P$20))-SUM($BF559:CA559))</f>
        <v>0</v>
      </c>
      <c r="CC559" s="446">
        <f>IF($E559=0,0,IF(MIN(CC$38,$E559)&lt;MAX($P$34*($B559+$I$38-1),IF(AND($L$37=0,$P$34=0),"",$L$37-1)),0,YEARFRAC(MAX($P$34*($B559+$I$38-1),IF(AND($L$37=0,$P$34=0),"",$L$37-1)),MIN(CC$38,$E559),$P$20))-SUM($BF559:CB559))</f>
        <v>0</v>
      </c>
      <c r="CD559" s="446">
        <f>IF($E559=0,0,IF(MIN(CD$38,$E559)&lt;MAX($P$34*($B559+$I$38-1),IF(AND($L$37=0,$P$34=0),"",$L$37-1)),0,YEARFRAC(MAX($P$34*($B559+$I$38-1),IF(AND($L$37=0,$P$34=0),"",$L$37-1)),MIN(CD$38,$E559),$P$20))-SUM($BF559:CC559))</f>
        <v>0</v>
      </c>
      <c r="CE559" s="446">
        <f>IF($E559=0,0,IF(MIN(CE$38,$E559)&lt;MAX($P$34*($B559+$I$38-1),IF(AND($L$37=0,$P$34=0),"",$L$37-1)),0,YEARFRAC(MAX($P$34*($B559+$I$38-1),IF(AND($L$37=0,$P$34=0),"",$L$37-1)),MIN(CE$38,$E559),$P$20))-SUM($BF559:CD559))</f>
        <v>0</v>
      </c>
      <c r="CF559" s="446">
        <f>IF($E559=0,0,IF(MIN(CF$38,$E559)&lt;MAX($P$34*($B559+$I$38-1),IF(AND($L$37=0,$P$34=0),"",$L$37-1)),0,YEARFRAC(MAX($P$34*($B559+$I$38-1),IF(AND($L$37=0,$P$34=0),"",$L$37-1)),MIN(CF$38,$E559),$P$20))-SUM($BF559:CE559))</f>
        <v>0</v>
      </c>
      <c r="CG559" s="446">
        <f>IF($E559=0,0,IF(MIN(CG$38,$E559)&lt;MAX($P$34*($B559+$I$38-1),IF(AND($L$37=0,$P$34=0),"",$L$37-1)),0,YEARFRAC(MAX($P$34*($B559+$I$38-1),IF(AND($L$37=0,$P$34=0),"",$L$37-1)),MIN(CG$38,$E559),$P$20))-SUM($BF559:CF559))</f>
        <v>0</v>
      </c>
      <c r="CH559" s="446">
        <f>IF($E559=0,0,IF(MIN(CH$38,$E559)&lt;MAX($P$34*($B559+$I$38-1),IF(AND($L$37=0,$P$34=0),"",$L$37-1)),0,YEARFRAC(MAX($P$34*($B559+$I$38-1),IF(AND($L$37=0,$P$34=0),"",$L$37-1)),MIN(CH$38,$E559),$P$20))-SUM($BF559:CG559))</f>
        <v>0</v>
      </c>
      <c r="CI559" s="446">
        <f>IF($E559=0,0,IF(MIN(CI$38,$E559)&lt;MAX($P$34*($B559+$I$38-1),IF(AND($L$37=0,$P$34=0),"",$L$37-1)),0,YEARFRAC(MAX($P$34*($B559+$I$38-1),IF(AND($L$37=0,$P$34=0),"",$L$37-1)),MIN(CI$38,$E559),$P$20))-SUM($BF559:CH559))</f>
        <v>0</v>
      </c>
      <c r="CJ559" s="446">
        <f>IF($E559=0,0,IF(MIN(CJ$38,$E559)&lt;MAX($P$34*($B559+$I$38-1),IF(AND($L$37=0,$P$34=0),"",$L$37-1)),0,YEARFRAC(MAX($P$34*($B559+$I$38-1),IF(AND($L$37=0,$P$34=0),"",$L$37-1)),MIN(CJ$38,$E559),$P$20))-SUM($BF559:CI559))</f>
        <v>0</v>
      </c>
      <c r="CK559" s="446">
        <f>IF($E559=0,0,IF(MIN(CK$38,$E559)&lt;MAX($P$34*($B559+$I$38-1),IF(AND($L$37=0,$P$34=0),"",$L$37-1)),0,YEARFRAC(MAX($P$34*($B559+$I$38-1),IF(AND($L$37=0,$P$34=0),"",$L$37-1)),MIN(CK$38,$E559),$P$20))-SUM($BF559:CJ559))</f>
        <v>0</v>
      </c>
      <c r="CL559" s="446">
        <f>IF($E559=0,0,IF(MIN(CL$38,$E559)&lt;MAX($P$34*($B559+$I$38-1),IF(AND($L$37=0,$P$34=0),"",$L$37-1)),0,YEARFRAC(MAX($P$34*($B559+$I$38-1),IF(AND($L$37=0,$P$34=0),"",$L$37-1)),MIN(CL$38,$E559),$P$20))-SUM($BF559:CK559))</f>
        <v>0</v>
      </c>
      <c r="CM559" s="446">
        <f>IF($E559=0,0,IF(MIN(CM$38,$E559)&lt;MAX($P$34*($B559+$I$38-1),IF(AND($L$37=0,$P$34=0),"",$L$37-1)),0,YEARFRAC(MAX($P$34*($B559+$I$38-1),IF(AND($L$37=0,$P$34=0),"",$L$37-1)),MIN(CM$38,$E559),$P$20))-SUM($BF559:CL559))</f>
        <v>0</v>
      </c>
      <c r="CN559" s="446">
        <f>IF($E559=0,0,IF(MIN(CN$38,$E559)&lt;MAX($P$34*($B559+$I$38-1),IF(AND($L$37=0,$P$34=0),"",$L$37-1)),0,YEARFRAC(MAX($P$34*($B559+$I$38-1),IF(AND($L$37=0,$P$34=0),"",$L$37-1)),MIN(CN$38,$E559),$P$20))-SUM($BF559:CM559))</f>
        <v>0</v>
      </c>
      <c r="CO559" s="446">
        <f>IF($E559=0,0,IF(MIN(CO$38,$E559)&lt;MAX($P$34*($B559+$I$38-1),IF(AND($L$37=0,$P$34=0),"",$L$37-1)),0,YEARFRAC(MAX($P$34*($B559+$I$38-1),IF(AND($L$37=0,$P$34=0),"",$L$37-1)),MIN(CO$38,$E559),$P$20))-SUM($BF559:CN559))</f>
        <v>0</v>
      </c>
      <c r="CP559" s="446">
        <f>IF($E559=0,0,IF(MIN(CP$38,$E559)&lt;MAX($P$34*($B559+$I$38-1),IF(AND($L$37=0,$P$34=0),"",$L$37-1)),0,YEARFRAC(MAX($P$34*($B559+$I$38-1),IF(AND($L$37=0,$P$34=0),"",$L$37-1)),MIN(CP$38,$E559),$P$20))-SUM($BF559:CO559))</f>
        <v>0</v>
      </c>
      <c r="CQ559" s="446">
        <f>IF($E559=0,0,IF(MIN(CQ$38,$E559)&lt;MAX($P$34*($B559+$I$38-1),IF(AND($L$37=0,$P$34=0),"",$L$37-1)),0,YEARFRAC(MAX($P$34*($B559+$I$38-1),IF(AND($L$37=0,$P$34=0),"",$L$37-1)),MIN(CQ$38,$E559),$P$20))-SUM($BF559:CP559))</f>
        <v>0</v>
      </c>
    </row>
    <row r="560" spans="1:95" s="446" customFormat="1" ht="11.25" hidden="1" customHeight="1" x14ac:dyDescent="0.2">
      <c r="A560" s="152"/>
      <c r="B560" s="153" t="str">
        <f t="shared" si="103"/>
        <v/>
      </c>
      <c r="C560" s="29" t="str">
        <f>IF(B560="","",IF($L$35="SELIC - TRIBUTOS",VLOOKUP(DATE(YEAR($D$19),MONTH($D$19)-1,1),ÍNDICES!$A:$DE,HLOOKUP($BL$25,ÍNDICES!$B$3:$T$4,2)+11)-VLOOKUP(B560,ÍNDICES!$A:$DE,HLOOKUP($BL$25,ÍNDICES!$B$3:$T$4,2)+11)+1%,IF(C$38=$W$26,$J$35,IF(ISERROR(IF(B560&gt;$D$19,1,VLOOKUP(DATE(YEAR(B560),MONTH(B560)+IF($C$35=$S$23,1,0),1),ÍNDICES!$A:$DE,$Z$35+1))),"",IF(B560&gt;$D$19,1,VLOOKUP(DATE(YEAR(B560),MONTH(B560)+IF($C$35=$S$23,1,0),1),ÍNDICES!$A:$DE,$Z$35+1))))))</f>
        <v/>
      </c>
      <c r="D560" s="154" t="str">
        <f>IF(ISERROR(IF(OR($D$38=$Y$27,$B560=""),"",VLOOKUP(B560,ÍNDICES!A:DE,AF$35+1))),"",IF(OR($D$38=$Y$27,$B560=""),"",VLOOKUP(B560,ÍNDICES!A:DE,AF$35+1)))</f>
        <v/>
      </c>
      <c r="E560" s="153"/>
      <c r="F560" s="29" t="str">
        <f>IF(E560="","",IF($L$35="SELIC - TRIBUTOS",VLOOKUP(DATE(YEAR($D$19),MONTH($D$19)-1,1),ÍNDICES!$A:$DE,HLOOKUP($BL$25,ÍNDICES!$B$3:$T$4,2)+11)-VLOOKUP(E560,ÍNDICES!$A:$DE,HLOOKUP($BL$25,ÍNDICES!$B$3:$T$4,2)+11)+1%,IF(F$38=$W$26,$J$35,IF(ISERROR(IF(E560&gt;$D$19,1,VLOOKUP(DATE(YEAR(E560),MONTH(E560)+IF($C$35=$S$23,1,0),1),ÍNDICES!$A:$DE,$Z$35+1))),"",IF(E560&gt;$D$19,1,VLOOKUP(DATE(YEAR(E560),MONTH(E560)+IF($C$35=$S$23,1,0),1),ÍNDICES!$A:$DE,$Z$35+1))))))</f>
        <v/>
      </c>
      <c r="G560" s="155"/>
      <c r="H560" s="156" t="str">
        <f t="shared" si="99"/>
        <v/>
      </c>
      <c r="I560" s="29" t="str">
        <f t="shared" si="93"/>
        <v/>
      </c>
      <c r="J560" s="5">
        <f t="shared" si="94"/>
        <v>0</v>
      </c>
      <c r="K560" s="20">
        <f t="shared" ca="1" si="95"/>
        <v>0</v>
      </c>
      <c r="L560" s="5">
        <f t="shared" ca="1" si="96"/>
        <v>0</v>
      </c>
      <c r="M560" s="64">
        <f t="shared" si="100"/>
        <v>0</v>
      </c>
      <c r="N560" s="61">
        <f t="shared" ca="1" si="101"/>
        <v>0</v>
      </c>
      <c r="O560" s="5">
        <f t="shared" ca="1" si="102"/>
        <v>0</v>
      </c>
      <c r="P560" s="446" t="e">
        <f t="shared" si="97"/>
        <v>#VALUE!</v>
      </c>
      <c r="Q560" s="446" t="e">
        <f>IF(OR($B560="",MIN(Q$38,$D$19)&lt;MAX($P$34*($B560+IF($R$17="Distrato",$I$38-1,0)),IF(AND($L$37=0,$P$34=0),"",$L$37-1),IF($R$17="Distrato",$E560,0))),0,YEARFRAC(MAX($P$34*($B560+IF($R$17="Distrato",$I$38-1,0)),IF(AND($L$37=0,$P$34=0),"",$L$37-1),IF($R$17="Distrato",$E560,0)),MIN(Q$38,$D$19),$P$20))-SUM($P560:P560)</f>
        <v>#VALUE!</v>
      </c>
      <c r="R560" s="446" t="e">
        <f>IF(OR($B560="",MIN(R$38,$D$19)&lt;MAX($P$34*($B560+IF($R$17="Distrato",$I$38-1,0)),IF(AND($L$37=0,$P$34=0),"",$L$37-1),IF($R$17="Distrato",$E560,0))),0,YEARFRAC(MAX($P$34*($B560+IF($R$17="Distrato",$I$38-1,0)),IF(AND($L$37=0,$P$34=0),"",$L$37-1),IF($R$17="Distrato",$E560,0)),MIN(R$38,$D$19),$P$20))-SUM($P560:Q560)</f>
        <v>#VALUE!</v>
      </c>
      <c r="S560" s="446" t="e">
        <f>IF(OR($B560="",MIN(S$38,$D$19)&lt;MAX($P$34*($B560+IF($R$17="Distrato",$I$38-1,0)),IF(AND($L$37=0,$P$34=0),"",$L$37-1),IF($R$17="Distrato",$E560,0))),0,YEARFRAC(MAX($P$34*($B560+IF($R$17="Distrato",$I$38-1,0)),IF(AND($L$37=0,$P$34=0),"",$L$37-1),IF($R$17="Distrato",$E560,0)),MIN(S$38,$D$19),$P$20))-SUM($P560:R560)</f>
        <v>#VALUE!</v>
      </c>
      <c r="T560" s="446" t="e">
        <f>IF(OR($B560="",MIN(T$38,$D$19)&lt;MAX($P$34*($B560+IF($R$17="Distrato",$I$38-1,0)),IF(AND($L$37=0,$P$34=0),"",$L$37-1),IF($R$17="Distrato",$E560,0))),0,YEARFRAC(MAX($P$34*($B560+IF($R$17="Distrato",$I$38-1,0)),IF(AND($L$37=0,$P$34=0),"",$L$37-1),IF($R$17="Distrato",$E560,0)),MIN(T$38,$D$19),$P$20))-SUM($P560:S560)</f>
        <v>#VALUE!</v>
      </c>
      <c r="U560" s="446" t="e">
        <f>IF(OR($B560="",MIN(U$38,$D$19)&lt;MAX($P$34*($B560+IF($R$17="Distrato",$I$38-1,0)),IF(AND($L$37=0,$P$34=0),"",$L$37-1),IF($R$17="Distrato",$E560,0))),0,YEARFRAC(MAX($P$34*($B560+IF($R$17="Distrato",$I$38-1,0)),IF(AND($L$37=0,$P$34=0),"",$L$37-1),IF($R$17="Distrato",$E560,0)),MIN(U$38,$D$19),$P$20))-SUM($P560:T560)</f>
        <v>#VALUE!</v>
      </c>
      <c r="V560" s="446" t="e">
        <f>IF(OR($B560="",MIN(V$38,$D$19)&lt;MAX($P$34*($B560+IF($R$17="Distrato",$I$38-1,0)),IF(AND($L$37=0,$P$34=0),"",$L$37-1),IF($R$17="Distrato",$E560,0))),0,YEARFRAC(MAX($P$34*($B560+IF($R$17="Distrato",$I$38-1,0)),IF(AND($L$37=0,$P$34=0),"",$L$37-1),IF($R$17="Distrato",$E560,0)),MIN(V$38,$D$19),$P$20))-SUM($P560:U560)</f>
        <v>#VALUE!</v>
      </c>
      <c r="W560" s="446" t="e">
        <f>IF(OR($B560="",MIN(W$38,$D$19)&lt;MAX($P$34*($B560+IF($R$17="Distrato",$I$38-1,0)),IF(AND($L$37=0,$P$34=0),"",$L$37-1),IF($R$17="Distrato",$E560,0))),0,YEARFRAC(MAX($P$34*($B560+IF($R$17="Distrato",$I$38-1,0)),IF(AND($L$37=0,$P$34=0),"",$L$37-1),IF($R$17="Distrato",$E560,0)),MIN(W$38,$D$19),$P$20))-SUM($P560:V560)</f>
        <v>#VALUE!</v>
      </c>
      <c r="X560" s="446" t="e">
        <f>IF(OR($B560="",MIN(X$38,$D$19)&lt;MAX($P$34*($B560+IF($R$17="Distrato",$I$38-1,0)),IF(AND($L$37=0,$P$34=0),"",$L$37-1),IF($R$17="Distrato",$E560,0))),0,YEARFRAC(MAX($P$34*($B560+IF($R$17="Distrato",$I$38-1,0)),IF(AND($L$37=0,$P$34=0),"",$L$37-1),IF($R$17="Distrato",$E560,0)),MIN(X$38,$D$19),$P$20))-SUM($P560:W560)</f>
        <v>#VALUE!</v>
      </c>
      <c r="Y560" s="446" t="e">
        <f>IF(OR($B560="",MIN(Y$38,$D$19)&lt;MAX($P$34*($B560+IF($R$17="Distrato",$I$38-1,0)),IF(AND($L$37=0,$P$34=0),"",$L$37-1),IF($R$17="Distrato",$E560,0))),0,YEARFRAC(MAX($P$34*($B560+IF($R$17="Distrato",$I$38-1,0)),IF(AND($L$37=0,$P$34=0),"",$L$37-1),IF($R$17="Distrato",$E560,0)),MIN(Y$38,$D$19),$P$20))-SUM($P560:X560)</f>
        <v>#VALUE!</v>
      </c>
      <c r="Z560" s="446" t="e">
        <f>IF(OR($B560="",MIN(Z$38,$D$19)&lt;MAX($P$34*($B560+IF($R$17="Distrato",$I$38-1,0)),IF(AND($L$37=0,$P$34=0),"",$L$37-1),IF($R$17="Distrato",$E560,0))),0,YEARFRAC(MAX($P$34*($B560+IF($R$17="Distrato",$I$38-1,0)),IF(AND($L$37=0,$P$34=0),"",$L$37-1),IF($R$17="Distrato",$E560,0)),MIN(Z$38,$D$19),$P$20))-SUM($P560:Y560)</f>
        <v>#VALUE!</v>
      </c>
      <c r="AA560" s="446" t="e">
        <f>IF(OR($B560="",MIN(AA$38,$D$19)&lt;MAX($P$34*($B560+IF($R$17="Distrato",$I$38-1,0)),IF(AND($L$37=0,$P$34=0),"",$L$37-1),IF($R$17="Distrato",$E560,0))),0,YEARFRAC(MAX($P$34*($B560+IF($R$17="Distrato",$I$38-1,0)),IF(AND($L$37=0,$P$34=0),"",$L$37-1),IF($R$17="Distrato",$E560,0)),MIN(AA$38,$D$19),$P$20))-SUM($P560:Z560)</f>
        <v>#VALUE!</v>
      </c>
      <c r="AB560" s="446" t="e">
        <f>IF(OR($B560="",MIN(AB$38,$D$19)&lt;MAX($P$34*($B560+IF($R$17="Distrato",$I$38-1,0)),IF(AND($L$37=0,$P$34=0),"",$L$37-1),IF($R$17="Distrato",$E560,0))),0,YEARFRAC(MAX($P$34*($B560+IF($R$17="Distrato",$I$38-1,0)),IF(AND($L$37=0,$P$34=0),"",$L$37-1),IF($R$17="Distrato",$E560,0)),MIN(AB$38,$D$19),$P$20))-SUM($P560:AA560)</f>
        <v>#VALUE!</v>
      </c>
      <c r="AC560" s="446" t="e">
        <f>IF(OR($B560="",MIN(AC$38,$D$19)&lt;MAX($P$34*($B560+IF($R$17="Distrato",$I$38-1,0)),IF(AND($L$37=0,$P$34=0),"",$L$37-1),IF($R$17="Distrato",$E560,0))),0,YEARFRAC(MAX($P$34*($B560+IF($R$17="Distrato",$I$38-1,0)),IF(AND($L$37=0,$P$34=0),"",$L$37-1),IF($R$17="Distrato",$E560,0)),MIN(AC$38,$D$19),$P$20))-SUM($P560:AB560)</f>
        <v>#VALUE!</v>
      </c>
      <c r="AD560" s="446" t="e">
        <f>IF(OR($B560="",MIN(AD$38,$D$19)&lt;MAX($P$34*($B560+IF($R$17="Distrato",$I$38-1,0)),IF(AND($L$37=0,$P$34=0),"",$L$37-1),IF($R$17="Distrato",$E560,0))),0,YEARFRAC(MAX($P$34*($B560+IF($R$17="Distrato",$I$38-1,0)),IF(AND($L$37=0,$P$34=0),"",$L$37-1),IF($R$17="Distrato",$E560,0)),MIN(AD$38,$D$19),$P$20))-SUM($P560:AC560)</f>
        <v>#VALUE!</v>
      </c>
      <c r="AE560" s="446" t="e">
        <f>IF(OR($B560="",MIN(AE$38,$D$19)&lt;MAX($P$34*($B560+IF($R$17="Distrato",$I$38-1,0)),IF(AND($L$37=0,$P$34=0),"",$L$37-1),IF($R$17="Distrato",$E560,0))),0,YEARFRAC(MAX($P$34*($B560+IF($R$17="Distrato",$I$38-1,0)),IF(AND($L$37=0,$P$34=0),"",$L$37-1),IF($R$17="Distrato",$E560,0)),MIN(AE$38,$D$19),$P$20))-SUM($P560:AD560)</f>
        <v>#VALUE!</v>
      </c>
      <c r="AF560" s="446" t="e">
        <f>IF(OR($B560="",MIN(AF$38,$D$19)&lt;MAX($P$34*($B560+IF($R$17="Distrato",$I$38-1,0)),IF(AND($L$37=0,$P$34=0),"",$L$37-1),IF($R$17="Distrato",$E560,0))),0,YEARFRAC(MAX($P$34*($B560+IF($R$17="Distrato",$I$38-1,0)),IF(AND($L$37=0,$P$34=0),"",$L$37-1),IF($R$17="Distrato",$E560,0)),MIN(AF$38,$D$19),$P$20))-SUM($P560:AE560)</f>
        <v>#VALUE!</v>
      </c>
      <c r="AG560" s="446" t="e">
        <f>IF(OR($B560="",MIN(AG$38,$D$19)&lt;MAX($P$34*($B560+IF($R$17="Distrato",$I$38-1,0)),IF(AND($L$37=0,$P$34=0),"",$L$37-1),IF($R$17="Distrato",$E560,0))),0,YEARFRAC(MAX($P$34*($B560+IF($R$17="Distrato",$I$38-1,0)),IF(AND($L$37=0,$P$34=0),"",$L$37-1),IF($R$17="Distrato",$E560,0)),MIN(AG$38,$D$19),$P$20))-SUM($P560:AF560)</f>
        <v>#VALUE!</v>
      </c>
      <c r="AH560" s="446" t="e">
        <f>IF(OR($B560="",MIN(AH$38,$D$19)&lt;MAX($P$34*($B560+IF($R$17="Distrato",$I$38-1,0)),IF(AND($L$37=0,$P$34=0),"",$L$37-1),IF($R$17="Distrato",$E560,0))),0,YEARFRAC(MAX($P$34*($B560+IF($R$17="Distrato",$I$38-1,0)),IF(AND($L$37=0,$P$34=0),"",$L$37-1),IF($R$17="Distrato",$E560,0)),MIN(AH$38,$D$19),$P$20))-SUM($P560:AG560)</f>
        <v>#VALUE!</v>
      </c>
      <c r="AI560" s="446" t="e">
        <f>IF(OR($B560="",MIN(AI$38,$D$19)&lt;MAX($P$34*($B560+IF($R$17="Distrato",$I$38-1,0)),IF(AND($L$37=0,$P$34=0),"",$L$37-1),IF($R$17="Distrato",$E560,0))),0,YEARFRAC(MAX($P$34*($B560+IF($R$17="Distrato",$I$38-1,0)),IF(AND($L$37=0,$P$34=0),"",$L$37-1),IF($R$17="Distrato",$E560,0)),MIN(AI$38,$D$19),$P$20))-SUM($P560:AH560)</f>
        <v>#VALUE!</v>
      </c>
      <c r="AJ560" s="446" t="e">
        <f>IF(OR($B560="",MIN(AJ$38,$D$19)&lt;MAX($P$34*($B560+IF($R$17="Distrato",$I$38-1,0)),IF(AND($L$37=0,$P$34=0),"",$L$37-1),IF($R$17="Distrato",$E560,0))),0,YEARFRAC(MAX($P$34*($B560+IF($R$17="Distrato",$I$38-1,0)),IF(AND($L$37=0,$P$34=0),"",$L$37-1),IF($R$17="Distrato",$E560,0)),MIN(AJ$38,$D$19),$P$20))-SUM($P560:AI560)</f>
        <v>#VALUE!</v>
      </c>
      <c r="AK560" s="446" t="e">
        <f>IF(OR($B560="",MIN(AK$38,$D$19)&lt;MAX($P$34*($B560+IF($R$17="Distrato",$I$38-1,0)),IF(AND($L$37=0,$P$34=0),"",$L$37-1),IF($R$17="Distrato",$E560,0))),0,YEARFRAC(MAX($P$34*($B560+IF($R$17="Distrato",$I$38-1,0)),IF(AND($L$37=0,$P$34=0),"",$L$37-1),IF($R$17="Distrato",$E560,0)),MIN(AK$38,$D$19),$P$20))-SUM($P560:AJ560)</f>
        <v>#VALUE!</v>
      </c>
      <c r="AL560" s="446" t="e">
        <f>IF(OR($B560="",MIN(AL$38,$D$19)&lt;MAX($P$34*($B560+IF($R$17="Distrato",$I$38-1,0)),IF(AND($L$37=0,$P$34=0),"",$L$37-1),IF($R$17="Distrato",$E560,0))),0,YEARFRAC(MAX($P$34*($B560+IF($R$17="Distrato",$I$38-1,0)),IF(AND($L$37=0,$P$34=0),"",$L$37-1),IF($R$17="Distrato",$E560,0)),MIN(AL$38,$D$19),$P$20))-SUM($P560:AK560)</f>
        <v>#VALUE!</v>
      </c>
      <c r="AM560" s="446" t="e">
        <f>IF(OR($B560="",MIN(AM$38,$D$19)&lt;MAX($P$34*($B560+IF($R$17="Distrato",$I$38-1,0)),IF(AND($L$37=0,$P$34=0),"",$L$37-1),IF($R$17="Distrato",$E560,0))),0,YEARFRAC(MAX($P$34*($B560+IF($R$17="Distrato",$I$38-1,0)),IF(AND($L$37=0,$P$34=0),"",$L$37-1),IF($R$17="Distrato",$E560,0)),MIN(AM$38,$D$19),$P$20))-SUM($P560:AL560)</f>
        <v>#VALUE!</v>
      </c>
      <c r="AN560" s="446" t="e">
        <f>IF(OR($B560="",MIN(AN$38,$D$19)&lt;MAX($P$34*($B560+IF($R$17="Distrato",$I$38-1,0)),IF(AND($L$37=0,$P$34=0),"",$L$37-1),IF($R$17="Distrato",$E560,0))),0,YEARFRAC(MAX($P$34*($B560+IF($R$17="Distrato",$I$38-1,0)),IF(AND($L$37=0,$P$34=0),"",$L$37-1),IF($R$17="Distrato",$E560,0)),MIN(AN$38,$D$19),$P$20))-SUM($P560:AM560)</f>
        <v>#VALUE!</v>
      </c>
      <c r="AO560" s="446" t="e">
        <f>IF(OR($B560="",MIN(AO$38,$D$19)&lt;MAX($P$34*($B560+IF($R$17="Distrato",$I$38-1,0)),IF(AND($L$37=0,$P$34=0),"",$L$37-1),IF($R$17="Distrato",$E560,0))),0,YEARFRAC(MAX($P$34*($B560+IF($R$17="Distrato",$I$38-1,0)),IF(AND($L$37=0,$P$34=0),"",$L$37-1),IF($R$17="Distrato",$E560,0)),MIN(AO$38,$D$19),$P$20))-SUM($P560:AN560)</f>
        <v>#VALUE!</v>
      </c>
      <c r="AP560" s="446" t="e">
        <f>IF(OR($B560="",MIN(AP$38,$D$19)&lt;MAX($P$34*($B560+IF($R$17="Distrato",$I$38-1,0)),IF(AND($L$37=0,$P$34=0),"",$L$37-1),IF($R$17="Distrato",$E560,0))),0,YEARFRAC(MAX($P$34*($B560+IF($R$17="Distrato",$I$38-1,0)),IF(AND($L$37=0,$P$34=0),"",$L$37-1),IF($R$17="Distrato",$E560,0)),MIN(AP$38,$D$19),$P$20))-SUM($P560:AO560)</f>
        <v>#VALUE!</v>
      </c>
      <c r="AQ560" s="446" t="e">
        <f>IF(OR($B560="",MIN(AQ$38,$D$19)&lt;MAX($P$34*($B560+IF($R$17="Distrato",$I$38-1,0)),IF(AND($L$37=0,$P$34=0),"",$L$37-1),IF($R$17="Distrato",$E560,0))),0,YEARFRAC(MAX($P$34*($B560+IF($R$17="Distrato",$I$38-1,0)),IF(AND($L$37=0,$P$34=0),"",$L$37-1),IF($R$17="Distrato",$E560,0)),MIN(AQ$38,$D$19),$P$20))-SUM($P560:AP560)</f>
        <v>#VALUE!</v>
      </c>
      <c r="AR560" s="446" t="e">
        <f>IF(OR($B560="",MIN(AR$38,$D$19)&lt;MAX($P$34*($B560+IF($R$17="Distrato",$I$38-1,0)),IF(AND($L$37=0,$P$34=0),"",$L$37-1),IF($R$17="Distrato",$E560,0))),0,YEARFRAC(MAX($P$34*($B560+IF($R$17="Distrato",$I$38-1,0)),IF(AND($L$37=0,$P$34=0),"",$L$37-1),IF($R$17="Distrato",$E560,0)),MIN(AR$38,$D$19),$P$20))-SUM($P560:AQ560)</f>
        <v>#VALUE!</v>
      </c>
      <c r="AS560" s="446" t="e">
        <f>IF(OR($B560="",MIN(AS$38,$D$19)&lt;MAX($P$34*($B560+IF($R$17="Distrato",$I$38-1,0)),IF(AND($L$37=0,$P$34=0),"",$L$37-1),IF($R$17="Distrato",$E560,0))),0,YEARFRAC(MAX($P$34*($B560+IF($R$17="Distrato",$I$38-1,0)),IF(AND($L$37=0,$P$34=0),"",$L$37-1),IF($R$17="Distrato",$E560,0)),MIN(AS$38,$D$19),$P$20))-SUM($P560:AR560)</f>
        <v>#VALUE!</v>
      </c>
      <c r="AT560" s="446" t="e">
        <f>IF(OR($B560="",MIN(AT$38,$D$19)&lt;MAX($P$34*($B560+IF($R$17="Distrato",$I$38-1,0)),IF(AND($L$37=0,$P$34=0),"",$L$37-1),IF($R$17="Distrato",$E560,0))),0,YEARFRAC(MAX($P$34*($B560+IF($R$17="Distrato",$I$38-1,0)),IF(AND($L$37=0,$P$34=0),"",$L$37-1),IF($R$17="Distrato",$E560,0)),MIN(AT$38,$D$19),$P$20))-SUM($P560:AS560)</f>
        <v>#VALUE!</v>
      </c>
      <c r="AU560" s="446" t="e">
        <f>IF(OR($B560="",MIN(AU$38,$D$19)&lt;MAX($P$34*($B560+IF($R$17="Distrato",$I$38-1,0)),IF(AND($L$37=0,$P$34=0),"",$L$37-1),IF($R$17="Distrato",$E560,0))),0,YEARFRAC(MAX($P$34*($B560+IF($R$17="Distrato",$I$38-1,0)),IF(AND($L$37=0,$P$34=0),"",$L$37-1),IF($R$17="Distrato",$E560,0)),MIN(AU$38,$D$19),$P$20))-SUM($P560:AT560)</f>
        <v>#VALUE!</v>
      </c>
      <c r="AV560" s="446" t="e">
        <f>IF(OR($B560="",MIN(AV$38,$D$19)&lt;MAX($P$34*($B560+IF($R$17="Distrato",$I$38-1,0)),IF(AND($L$37=0,$P$34=0),"",$L$37-1),IF($R$17="Distrato",$E560,0))),0,YEARFRAC(MAX($P$34*($B560+IF($R$17="Distrato",$I$38-1,0)),IF(AND($L$37=0,$P$34=0),"",$L$37-1),IF($R$17="Distrato",$E560,0)),MIN(AV$38,$D$19),$P$20))-SUM($P560:AU560)</f>
        <v>#VALUE!</v>
      </c>
      <c r="AW560" s="446" t="e">
        <f>IF(OR($B560="",MIN(AW$38,$D$19)&lt;MAX($P$34*($B560+IF($R$17="Distrato",$I$38-1,0)),IF(AND($L$37=0,$P$34=0),"",$L$37-1),IF($R$17="Distrato",$E560,0))),0,YEARFRAC(MAX($P$34*($B560+IF($R$17="Distrato",$I$38-1,0)),IF(AND($L$37=0,$P$34=0),"",$L$37-1),IF($R$17="Distrato",$E560,0)),MIN(AW$38,$D$19),$P$20))-SUM($P560:AV560)</f>
        <v>#VALUE!</v>
      </c>
      <c r="AX560" s="446" t="e">
        <f>IF(OR($B560="",MIN(AX$38,$D$19)&lt;MAX($P$34*($B560+IF($R$17="Distrato",$I$38-1,0)),IF(AND($L$37=0,$P$34=0),"",$L$37-1),IF($R$17="Distrato",$E560,0))),0,YEARFRAC(MAX($P$34*($B560+IF($R$17="Distrato",$I$38-1,0)),IF(AND($L$37=0,$P$34=0),"",$L$37-1),IF($R$17="Distrato",$E560,0)),MIN(AX$38,$D$19),$P$20))-SUM($P560:AW560)</f>
        <v>#VALUE!</v>
      </c>
      <c r="AY560" s="446" t="e">
        <f>IF(OR($B560="",MIN(AY$38,$D$19)&lt;MAX($P$34*($B560+IF($R$17="Distrato",$I$38-1,0)),IF(AND($L$37=0,$P$34=0),"",$L$37-1),IF($R$17="Distrato",$E560,0))),0,YEARFRAC(MAX($P$34*($B560+IF($R$17="Distrato",$I$38-1,0)),IF(AND($L$37=0,$P$34=0),"",$L$37-1),IF($R$17="Distrato",$E560,0)),MIN(AY$38,$D$19),$P$20))-SUM($P560:AX560)</f>
        <v>#VALUE!</v>
      </c>
      <c r="AZ560" s="446" t="e">
        <f>IF(OR($B560="",MIN(AZ$38,$D$19)&lt;MAX($P$34*($B560+IF($R$17="Distrato",$I$38-1,0)),IF(AND($L$37=0,$P$34=0),"",$L$37-1),IF($R$17="Distrato",$E560,0))),0,YEARFRAC(MAX($P$34*($B560+IF($R$17="Distrato",$I$38-1,0)),IF(AND($L$37=0,$P$34=0),"",$L$37-1),IF($R$17="Distrato",$E560,0)),MIN(AZ$38,$D$19),$P$20))-SUM($P560:AY560)</f>
        <v>#VALUE!</v>
      </c>
      <c r="BA560" s="446" t="e">
        <f>IF(OR($B560="",MIN(BA$38,$D$19)&lt;MAX($P$34*($B560+IF($R$17="Distrato",$I$38-1,0)),IF(AND($L$37=0,$P$34=0),"",$L$37-1),IF($R$17="Distrato",$E560,0))),0,YEARFRAC(MAX($P$34*($B560+IF($R$17="Distrato",$I$38-1,0)),IF(AND($L$37=0,$P$34=0),"",$L$37-1),IF($R$17="Distrato",$E560,0)),MIN(BA$38,$D$19),$P$20))-SUM($P560:AZ560)</f>
        <v>#VALUE!</v>
      </c>
      <c r="BB560" s="447"/>
      <c r="BF560" s="446">
        <f t="shared" si="98"/>
        <v>0</v>
      </c>
      <c r="BG560" s="446">
        <f>IF($E560=0,0,IF(MIN(BG$38,$E560)&lt;MAX($P$34*($B560+$I$38-1),IF(AND($L$37=0,$P$34=0),"",$L$37-1)),0,YEARFRAC(MAX($P$34*($B560+$I$38-1),IF(AND($L$37=0,$P$34=0),"",$L$37-1)),MIN(BG$38,$E560),$P$20))-SUM($BF560:BF560))</f>
        <v>0</v>
      </c>
      <c r="BH560" s="446">
        <f>IF($E560=0,0,IF(MIN(BH$38,$E560)&lt;MAX($P$34*($B560+$I$38-1),IF(AND($L$37=0,$P$34=0),"",$L$37-1)),0,YEARFRAC(MAX($P$34*($B560+$I$38-1),IF(AND($L$37=0,$P$34=0),"",$L$37-1)),MIN(BH$38,$E560),$P$20))-SUM($BF560:BG560))</f>
        <v>0</v>
      </c>
      <c r="BI560" s="446">
        <f>IF($E560=0,0,IF(MIN(BI$38,$E560)&lt;MAX($P$34*($B560+$I$38-1),IF(AND($L$37=0,$P$34=0),"",$L$37-1)),0,YEARFRAC(MAX($P$34*($B560+$I$38-1),IF(AND($L$37=0,$P$34=0),"",$L$37-1)),MIN(BI$38,$E560),$P$20))-SUM($BF560:BH560))</f>
        <v>0</v>
      </c>
      <c r="BJ560" s="446">
        <f>IF($E560=0,0,IF(MIN(BJ$38,$E560)&lt;MAX($P$34*($B560+$I$38-1),IF(AND($L$37=0,$P$34=0),"",$L$37-1)),0,YEARFRAC(MAX($P$34*($B560+$I$38-1),IF(AND($L$37=0,$P$34=0),"",$L$37-1)),MIN(BJ$38,$E560),$P$20))-SUM($BF560:BI560))</f>
        <v>0</v>
      </c>
      <c r="BK560" s="446">
        <f>IF($E560=0,0,IF(MIN(BK$38,$E560)&lt;MAX($P$34*($B560+$I$38-1),IF(AND($L$37=0,$P$34=0),"",$L$37-1)),0,YEARFRAC(MAX($P$34*($B560+$I$38-1),IF(AND($L$37=0,$P$34=0),"",$L$37-1)),MIN(BK$38,$E560),$P$20))-SUM($BF560:BJ560))</f>
        <v>0</v>
      </c>
      <c r="BL560" s="446">
        <f>IF($E560=0,0,IF(MIN(BL$38,$E560)&lt;MAX($P$34*($B560+$I$38-1),IF(AND($L$37=0,$P$34=0),"",$L$37-1)),0,YEARFRAC(MAX($P$34*($B560+$I$38-1),IF(AND($L$37=0,$P$34=0),"",$L$37-1)),MIN(BL$38,$E560),$P$20))-SUM($BF560:BK560))</f>
        <v>0</v>
      </c>
      <c r="BM560" s="446">
        <f>IF($E560=0,0,IF(MIN(BM$38,$E560)&lt;MAX($P$34*($B560+$I$38-1),IF(AND($L$37=0,$P$34=0),"",$L$37-1)),0,YEARFRAC(MAX($P$34*($B560+$I$38-1),IF(AND($L$37=0,$P$34=0),"",$L$37-1)),MIN(BM$38,$E560),$P$20))-SUM($BF560:BL560))</f>
        <v>0</v>
      </c>
      <c r="BN560" s="446">
        <f>IF($E560=0,0,IF(MIN(BN$38,$E560)&lt;MAX($P$34*($B560+$I$38-1),IF(AND($L$37=0,$P$34=0),"",$L$37-1)),0,YEARFRAC(MAX($P$34*($B560+$I$38-1),IF(AND($L$37=0,$P$34=0),"",$L$37-1)),MIN(BN$38,$E560),$P$20))-SUM($BF560:BM560))</f>
        <v>0</v>
      </c>
      <c r="BO560" s="446">
        <f>IF($E560=0,0,IF(MIN(BO$38,$E560)&lt;MAX($P$34*($B560+$I$38-1),IF(AND($L$37=0,$P$34=0),"",$L$37-1)),0,YEARFRAC(MAX($P$34*($B560+$I$38-1),IF(AND($L$37=0,$P$34=0),"",$L$37-1)),MIN(BO$38,$E560),$P$20))-SUM($BF560:BN560))</f>
        <v>0</v>
      </c>
      <c r="BP560" s="446">
        <f>IF($E560=0,0,IF(MIN(BP$38,$E560)&lt;MAX($P$34*($B560+$I$38-1),IF(AND($L$37=0,$P$34=0),"",$L$37-1)),0,YEARFRAC(MAX($P$34*($B560+$I$38-1),IF(AND($L$37=0,$P$34=0),"",$L$37-1)),MIN(BP$38,$E560),$P$20))-SUM($BF560:BO560))</f>
        <v>0</v>
      </c>
      <c r="BQ560" s="446">
        <f>IF($E560=0,0,IF(MIN(BQ$38,$E560)&lt;MAX($P$34*($B560+$I$38-1),IF(AND($L$37=0,$P$34=0),"",$L$37-1)),0,YEARFRAC(MAX($P$34*($B560+$I$38-1),IF(AND($L$37=0,$P$34=0),"",$L$37-1)),MIN(BQ$38,$E560),$P$20))-SUM($BF560:BP560))</f>
        <v>0</v>
      </c>
      <c r="BR560" s="446">
        <f>IF($E560=0,0,IF(MIN(BR$38,$E560)&lt;MAX($P$34*($B560+$I$38-1),IF(AND($L$37=0,$P$34=0),"",$L$37-1)),0,YEARFRAC(MAX($P$34*($B560+$I$38-1),IF(AND($L$37=0,$P$34=0),"",$L$37-1)),MIN(BR$38,$E560),$P$20))-SUM($BF560:BQ560))</f>
        <v>0</v>
      </c>
      <c r="BS560" s="446">
        <f>IF($E560=0,0,IF(MIN(BS$38,$E560)&lt;MAX($P$34*($B560+$I$38-1),IF(AND($L$37=0,$P$34=0),"",$L$37-1)),0,YEARFRAC(MAX($P$34*($B560+$I$38-1),IF(AND($L$37=0,$P$34=0),"",$L$37-1)),MIN(BS$38,$E560),$P$20))-SUM($BF560:BR560))</f>
        <v>0</v>
      </c>
      <c r="BT560" s="446">
        <f>IF($E560=0,0,IF(MIN(BT$38,$E560)&lt;MAX($P$34*($B560+$I$38-1),IF(AND($L$37=0,$P$34=0),"",$L$37-1)),0,YEARFRAC(MAX($P$34*($B560+$I$38-1),IF(AND($L$37=0,$P$34=0),"",$L$37-1)),MIN(BT$38,$E560),$P$20))-SUM($BF560:BS560))</f>
        <v>0</v>
      </c>
      <c r="BU560" s="446">
        <f>IF($E560=0,0,IF(MIN(BU$38,$E560)&lt;MAX($P$34*($B560+$I$38-1),IF(AND($L$37=0,$P$34=0),"",$L$37-1)),0,YEARFRAC(MAX($P$34*($B560+$I$38-1),IF(AND($L$37=0,$P$34=0),"",$L$37-1)),MIN(BU$38,$E560),$P$20))-SUM($BF560:BT560))</f>
        <v>0</v>
      </c>
      <c r="BV560" s="446">
        <f>IF($E560=0,0,IF(MIN(BV$38,$E560)&lt;MAX($P$34*($B560+$I$38-1),IF(AND($L$37=0,$P$34=0),"",$L$37-1)),0,YEARFRAC(MAX($P$34*($B560+$I$38-1),IF(AND($L$37=0,$P$34=0),"",$L$37-1)),MIN(BV$38,$E560),$P$20))-SUM($BF560:BU560))</f>
        <v>0</v>
      </c>
      <c r="BW560" s="446">
        <f>IF($E560=0,0,IF(MIN(BW$38,$E560)&lt;MAX($P$34*($B560+$I$38-1),IF(AND($L$37=0,$P$34=0),"",$L$37-1)),0,YEARFRAC(MAX($P$34*($B560+$I$38-1),IF(AND($L$37=0,$P$34=0),"",$L$37-1)),MIN(BW$38,$E560),$P$20))-SUM($BF560:BV560))</f>
        <v>0</v>
      </c>
      <c r="BX560" s="446">
        <f>IF($E560=0,0,IF(MIN(BX$38,$E560)&lt;MAX($P$34*($B560+$I$38-1),IF(AND($L$37=0,$P$34=0),"",$L$37-1)),0,YEARFRAC(MAX($P$34*($B560+$I$38-1),IF(AND($L$37=0,$P$34=0),"",$L$37-1)),MIN(BX$38,$E560),$P$20))-SUM($BF560:BW560))</f>
        <v>0</v>
      </c>
      <c r="BY560" s="446">
        <f>IF($E560=0,0,IF(MIN(BY$38,$E560)&lt;MAX($P$34*($B560+$I$38-1),IF(AND($L$37=0,$P$34=0),"",$L$37-1)),0,YEARFRAC(MAX($P$34*($B560+$I$38-1),IF(AND($L$37=0,$P$34=0),"",$L$37-1)),MIN(BY$38,$E560),$P$20))-SUM($BF560:BX560))</f>
        <v>0</v>
      </c>
      <c r="BZ560" s="446">
        <f>IF($E560=0,0,IF(MIN(BZ$38,$E560)&lt;MAX($P$34*($B560+$I$38-1),IF(AND($L$37=0,$P$34=0),"",$L$37-1)),0,YEARFRAC(MAX($P$34*($B560+$I$38-1),IF(AND($L$37=0,$P$34=0),"",$L$37-1)),MIN(BZ$38,$E560),$P$20))-SUM($BF560:BY560))</f>
        <v>0</v>
      </c>
      <c r="CA560" s="446">
        <f>IF($E560=0,0,IF(MIN(CA$38,$E560)&lt;MAX($P$34*($B560+$I$38-1),IF(AND($L$37=0,$P$34=0),"",$L$37-1)),0,YEARFRAC(MAX($P$34*($B560+$I$38-1),IF(AND($L$37=0,$P$34=0),"",$L$37-1)),MIN(CA$38,$E560),$P$20))-SUM($BF560:BZ560))</f>
        <v>0</v>
      </c>
      <c r="CB560" s="446">
        <f>IF($E560=0,0,IF(MIN(CB$38,$E560)&lt;MAX($P$34*($B560+$I$38-1),IF(AND($L$37=0,$P$34=0),"",$L$37-1)),0,YEARFRAC(MAX($P$34*($B560+$I$38-1),IF(AND($L$37=0,$P$34=0),"",$L$37-1)),MIN(CB$38,$E560),$P$20))-SUM($BF560:CA560))</f>
        <v>0</v>
      </c>
      <c r="CC560" s="446">
        <f>IF($E560=0,0,IF(MIN(CC$38,$E560)&lt;MAX($P$34*($B560+$I$38-1),IF(AND($L$37=0,$P$34=0),"",$L$37-1)),0,YEARFRAC(MAX($P$34*($B560+$I$38-1),IF(AND($L$37=0,$P$34=0),"",$L$37-1)),MIN(CC$38,$E560),$P$20))-SUM($BF560:CB560))</f>
        <v>0</v>
      </c>
      <c r="CD560" s="446">
        <f>IF($E560=0,0,IF(MIN(CD$38,$E560)&lt;MAX($P$34*($B560+$I$38-1),IF(AND($L$37=0,$P$34=0),"",$L$37-1)),0,YEARFRAC(MAX($P$34*($B560+$I$38-1),IF(AND($L$37=0,$P$34=0),"",$L$37-1)),MIN(CD$38,$E560),$P$20))-SUM($BF560:CC560))</f>
        <v>0</v>
      </c>
      <c r="CE560" s="446">
        <f>IF($E560=0,0,IF(MIN(CE$38,$E560)&lt;MAX($P$34*($B560+$I$38-1),IF(AND($L$37=0,$P$34=0),"",$L$37-1)),0,YEARFRAC(MAX($P$34*($B560+$I$38-1),IF(AND($L$37=0,$P$34=0),"",$L$37-1)),MIN(CE$38,$E560),$P$20))-SUM($BF560:CD560))</f>
        <v>0</v>
      </c>
      <c r="CF560" s="446">
        <f>IF($E560=0,0,IF(MIN(CF$38,$E560)&lt;MAX($P$34*($B560+$I$38-1),IF(AND($L$37=0,$P$34=0),"",$L$37-1)),0,YEARFRAC(MAX($P$34*($B560+$I$38-1),IF(AND($L$37=0,$P$34=0),"",$L$37-1)),MIN(CF$38,$E560),$P$20))-SUM($BF560:CE560))</f>
        <v>0</v>
      </c>
      <c r="CG560" s="446">
        <f>IF($E560=0,0,IF(MIN(CG$38,$E560)&lt;MAX($P$34*($B560+$I$38-1),IF(AND($L$37=0,$P$34=0),"",$L$37-1)),0,YEARFRAC(MAX($P$34*($B560+$I$38-1),IF(AND($L$37=0,$P$34=0),"",$L$37-1)),MIN(CG$38,$E560),$P$20))-SUM($BF560:CF560))</f>
        <v>0</v>
      </c>
      <c r="CH560" s="446">
        <f>IF($E560=0,0,IF(MIN(CH$38,$E560)&lt;MAX($P$34*($B560+$I$38-1),IF(AND($L$37=0,$P$34=0),"",$L$37-1)),0,YEARFRAC(MAX($P$34*($B560+$I$38-1),IF(AND($L$37=0,$P$34=0),"",$L$37-1)),MIN(CH$38,$E560),$P$20))-SUM($BF560:CG560))</f>
        <v>0</v>
      </c>
      <c r="CI560" s="446">
        <f>IF($E560=0,0,IF(MIN(CI$38,$E560)&lt;MAX($P$34*($B560+$I$38-1),IF(AND($L$37=0,$P$34=0),"",$L$37-1)),0,YEARFRAC(MAX($P$34*($B560+$I$38-1),IF(AND($L$37=0,$P$34=0),"",$L$37-1)),MIN(CI$38,$E560),$P$20))-SUM($BF560:CH560))</f>
        <v>0</v>
      </c>
      <c r="CJ560" s="446">
        <f>IF($E560=0,0,IF(MIN(CJ$38,$E560)&lt;MAX($P$34*($B560+$I$38-1),IF(AND($L$37=0,$P$34=0),"",$L$37-1)),0,YEARFRAC(MAX($P$34*($B560+$I$38-1),IF(AND($L$37=0,$P$34=0),"",$L$37-1)),MIN(CJ$38,$E560),$P$20))-SUM($BF560:CI560))</f>
        <v>0</v>
      </c>
      <c r="CK560" s="446">
        <f>IF($E560=0,0,IF(MIN(CK$38,$E560)&lt;MAX($P$34*($B560+$I$38-1),IF(AND($L$37=0,$P$34=0),"",$L$37-1)),0,YEARFRAC(MAX($P$34*($B560+$I$38-1),IF(AND($L$37=0,$P$34=0),"",$L$37-1)),MIN(CK$38,$E560),$P$20))-SUM($BF560:CJ560))</f>
        <v>0</v>
      </c>
      <c r="CL560" s="446">
        <f>IF($E560=0,0,IF(MIN(CL$38,$E560)&lt;MAX($P$34*($B560+$I$38-1),IF(AND($L$37=0,$P$34=0),"",$L$37-1)),0,YEARFRAC(MAX($P$34*($B560+$I$38-1),IF(AND($L$37=0,$P$34=0),"",$L$37-1)),MIN(CL$38,$E560),$P$20))-SUM($BF560:CK560))</f>
        <v>0</v>
      </c>
      <c r="CM560" s="446">
        <f>IF($E560=0,0,IF(MIN(CM$38,$E560)&lt;MAX($P$34*($B560+$I$38-1),IF(AND($L$37=0,$P$34=0),"",$L$37-1)),0,YEARFRAC(MAX($P$34*($B560+$I$38-1),IF(AND($L$37=0,$P$34=0),"",$L$37-1)),MIN(CM$38,$E560),$P$20))-SUM($BF560:CL560))</f>
        <v>0</v>
      </c>
      <c r="CN560" s="446">
        <f>IF($E560=0,0,IF(MIN(CN$38,$E560)&lt;MAX($P$34*($B560+$I$38-1),IF(AND($L$37=0,$P$34=0),"",$L$37-1)),0,YEARFRAC(MAX($P$34*($B560+$I$38-1),IF(AND($L$37=0,$P$34=0),"",$L$37-1)),MIN(CN$38,$E560),$P$20))-SUM($BF560:CM560))</f>
        <v>0</v>
      </c>
      <c r="CO560" s="446">
        <f>IF($E560=0,0,IF(MIN(CO$38,$E560)&lt;MAX($P$34*($B560+$I$38-1),IF(AND($L$37=0,$P$34=0),"",$L$37-1)),0,YEARFRAC(MAX($P$34*($B560+$I$38-1),IF(AND($L$37=0,$P$34=0),"",$L$37-1)),MIN(CO$38,$E560),$P$20))-SUM($BF560:CN560))</f>
        <v>0</v>
      </c>
      <c r="CP560" s="446">
        <f>IF($E560=0,0,IF(MIN(CP$38,$E560)&lt;MAX($P$34*($B560+$I$38-1),IF(AND($L$37=0,$P$34=0),"",$L$37-1)),0,YEARFRAC(MAX($P$34*($B560+$I$38-1),IF(AND($L$37=0,$P$34=0),"",$L$37-1)),MIN(CP$38,$E560),$P$20))-SUM($BF560:CO560))</f>
        <v>0</v>
      </c>
      <c r="CQ560" s="446">
        <f>IF($E560=0,0,IF(MIN(CQ$38,$E560)&lt;MAX($P$34*($B560+$I$38-1),IF(AND($L$37=0,$P$34=0),"",$L$37-1)),0,YEARFRAC(MAX($P$34*($B560+$I$38-1),IF(AND($L$37=0,$P$34=0),"",$L$37-1)),MIN(CQ$38,$E560),$P$20))-SUM($BF560:CP560))</f>
        <v>0</v>
      </c>
    </row>
    <row r="561" spans="1:95" s="446" customFormat="1" ht="11.25" hidden="1" customHeight="1" x14ac:dyDescent="0.2">
      <c r="A561" s="152"/>
      <c r="B561" s="153" t="str">
        <f t="shared" si="103"/>
        <v/>
      </c>
      <c r="C561" s="29" t="str">
        <f>IF(B561="","",IF($L$35="SELIC - TRIBUTOS",VLOOKUP(DATE(YEAR($D$19),MONTH($D$19)-1,1),ÍNDICES!$A:$DE,HLOOKUP($BL$25,ÍNDICES!$B$3:$T$4,2)+11)-VLOOKUP(B561,ÍNDICES!$A:$DE,HLOOKUP($BL$25,ÍNDICES!$B$3:$T$4,2)+11)+1%,IF(C$38=$W$26,$J$35,IF(ISERROR(IF(B561&gt;$D$19,1,VLOOKUP(DATE(YEAR(B561),MONTH(B561)+IF($C$35=$S$23,1,0),1),ÍNDICES!$A:$DE,$Z$35+1))),"",IF(B561&gt;$D$19,1,VLOOKUP(DATE(YEAR(B561),MONTH(B561)+IF($C$35=$S$23,1,0),1),ÍNDICES!$A:$DE,$Z$35+1))))))</f>
        <v/>
      </c>
      <c r="D561" s="154" t="str">
        <f>IF(ISERROR(IF(OR($D$38=$Y$27,$B561=""),"",VLOOKUP(B561,ÍNDICES!A:DE,AF$35+1))),"",IF(OR($D$38=$Y$27,$B561=""),"",VLOOKUP(B561,ÍNDICES!A:DE,AF$35+1)))</f>
        <v/>
      </c>
      <c r="E561" s="153"/>
      <c r="F561" s="29" t="str">
        <f>IF(E561="","",IF($L$35="SELIC - TRIBUTOS",VLOOKUP(DATE(YEAR($D$19),MONTH($D$19)-1,1),ÍNDICES!$A:$DE,HLOOKUP($BL$25,ÍNDICES!$B$3:$T$4,2)+11)-VLOOKUP(E561,ÍNDICES!$A:$DE,HLOOKUP($BL$25,ÍNDICES!$B$3:$T$4,2)+11)+1%,IF(F$38=$W$26,$J$35,IF(ISERROR(IF(E561&gt;$D$19,1,VLOOKUP(DATE(YEAR(E561),MONTH(E561)+IF($C$35=$S$23,1,0),1),ÍNDICES!$A:$DE,$Z$35+1))),"",IF(E561&gt;$D$19,1,VLOOKUP(DATE(YEAR(E561),MONTH(E561)+IF($C$35=$S$23,1,0),1),ÍNDICES!$A:$DE,$Z$35+1))))))</f>
        <v/>
      </c>
      <c r="G561" s="155"/>
      <c r="H561" s="156" t="str">
        <f t="shared" si="99"/>
        <v/>
      </c>
      <c r="I561" s="29" t="str">
        <f t="shared" si="93"/>
        <v/>
      </c>
      <c r="J561" s="5">
        <f t="shared" si="94"/>
        <v>0</v>
      </c>
      <c r="K561" s="20">
        <f t="shared" ca="1" si="95"/>
        <v>0</v>
      </c>
      <c r="L561" s="5">
        <f t="shared" ca="1" si="96"/>
        <v>0</v>
      </c>
      <c r="M561" s="64">
        <f t="shared" si="100"/>
        <v>0</v>
      </c>
      <c r="N561" s="61">
        <f t="shared" ca="1" si="101"/>
        <v>0</v>
      </c>
      <c r="O561" s="5">
        <f t="shared" ca="1" si="102"/>
        <v>0</v>
      </c>
      <c r="P561" s="446" t="e">
        <f t="shared" si="97"/>
        <v>#VALUE!</v>
      </c>
      <c r="Q561" s="446" t="e">
        <f>IF(OR($B561="",MIN(Q$38,$D$19)&lt;MAX($P$34*($B561+IF($R$17="Distrato",$I$38-1,0)),IF(AND($L$37=0,$P$34=0),"",$L$37-1),IF($R$17="Distrato",$E561,0))),0,YEARFRAC(MAX($P$34*($B561+IF($R$17="Distrato",$I$38-1,0)),IF(AND($L$37=0,$P$34=0),"",$L$37-1),IF($R$17="Distrato",$E561,0)),MIN(Q$38,$D$19),$P$20))-SUM($P561:P561)</f>
        <v>#VALUE!</v>
      </c>
      <c r="R561" s="446" t="e">
        <f>IF(OR($B561="",MIN(R$38,$D$19)&lt;MAX($P$34*($B561+IF($R$17="Distrato",$I$38-1,0)),IF(AND($L$37=0,$P$34=0),"",$L$37-1),IF($R$17="Distrato",$E561,0))),0,YEARFRAC(MAX($P$34*($B561+IF($R$17="Distrato",$I$38-1,0)),IF(AND($L$37=0,$P$34=0),"",$L$37-1),IF($R$17="Distrato",$E561,0)),MIN(R$38,$D$19),$P$20))-SUM($P561:Q561)</f>
        <v>#VALUE!</v>
      </c>
      <c r="S561" s="446" t="e">
        <f>IF(OR($B561="",MIN(S$38,$D$19)&lt;MAX($P$34*($B561+IF($R$17="Distrato",$I$38-1,0)),IF(AND($L$37=0,$P$34=0),"",$L$37-1),IF($R$17="Distrato",$E561,0))),0,YEARFRAC(MAX($P$34*($B561+IF($R$17="Distrato",$I$38-1,0)),IF(AND($L$37=0,$P$34=0),"",$L$37-1),IF($R$17="Distrato",$E561,0)),MIN(S$38,$D$19),$P$20))-SUM($P561:R561)</f>
        <v>#VALUE!</v>
      </c>
      <c r="T561" s="446" t="e">
        <f>IF(OR($B561="",MIN(T$38,$D$19)&lt;MAX($P$34*($B561+IF($R$17="Distrato",$I$38-1,0)),IF(AND($L$37=0,$P$34=0),"",$L$37-1),IF($R$17="Distrato",$E561,0))),0,YEARFRAC(MAX($P$34*($B561+IF($R$17="Distrato",$I$38-1,0)),IF(AND($L$37=0,$P$34=0),"",$L$37-1),IF($R$17="Distrato",$E561,0)),MIN(T$38,$D$19),$P$20))-SUM($P561:S561)</f>
        <v>#VALUE!</v>
      </c>
      <c r="U561" s="446" t="e">
        <f>IF(OR($B561="",MIN(U$38,$D$19)&lt;MAX($P$34*($B561+IF($R$17="Distrato",$I$38-1,0)),IF(AND($L$37=0,$P$34=0),"",$L$37-1),IF($R$17="Distrato",$E561,0))),0,YEARFRAC(MAX($P$34*($B561+IF($R$17="Distrato",$I$38-1,0)),IF(AND($L$37=0,$P$34=0),"",$L$37-1),IF($R$17="Distrato",$E561,0)),MIN(U$38,$D$19),$P$20))-SUM($P561:T561)</f>
        <v>#VALUE!</v>
      </c>
      <c r="V561" s="446" t="e">
        <f>IF(OR($B561="",MIN(V$38,$D$19)&lt;MAX($P$34*($B561+IF($R$17="Distrato",$I$38-1,0)),IF(AND($L$37=0,$P$34=0),"",$L$37-1),IF($R$17="Distrato",$E561,0))),0,YEARFRAC(MAX($P$34*($B561+IF($R$17="Distrato",$I$38-1,0)),IF(AND($L$37=0,$P$34=0),"",$L$37-1),IF($R$17="Distrato",$E561,0)),MIN(V$38,$D$19),$P$20))-SUM($P561:U561)</f>
        <v>#VALUE!</v>
      </c>
      <c r="W561" s="446" t="e">
        <f>IF(OR($B561="",MIN(W$38,$D$19)&lt;MAX($P$34*($B561+IF($R$17="Distrato",$I$38-1,0)),IF(AND($L$37=0,$P$34=0),"",$L$37-1),IF($R$17="Distrato",$E561,0))),0,YEARFRAC(MAX($P$34*($B561+IF($R$17="Distrato",$I$38-1,0)),IF(AND($L$37=0,$P$34=0),"",$L$37-1),IF($R$17="Distrato",$E561,0)),MIN(W$38,$D$19),$P$20))-SUM($P561:V561)</f>
        <v>#VALUE!</v>
      </c>
      <c r="X561" s="446" t="e">
        <f>IF(OR($B561="",MIN(X$38,$D$19)&lt;MAX($P$34*($B561+IF($R$17="Distrato",$I$38-1,0)),IF(AND($L$37=0,$P$34=0),"",$L$37-1),IF($R$17="Distrato",$E561,0))),0,YEARFRAC(MAX($P$34*($B561+IF($R$17="Distrato",$I$38-1,0)),IF(AND($L$37=0,$P$34=0),"",$L$37-1),IF($R$17="Distrato",$E561,0)),MIN(X$38,$D$19),$P$20))-SUM($P561:W561)</f>
        <v>#VALUE!</v>
      </c>
      <c r="Y561" s="446" t="e">
        <f>IF(OR($B561="",MIN(Y$38,$D$19)&lt;MAX($P$34*($B561+IF($R$17="Distrato",$I$38-1,0)),IF(AND($L$37=0,$P$34=0),"",$L$37-1),IF($R$17="Distrato",$E561,0))),0,YEARFRAC(MAX($P$34*($B561+IF($R$17="Distrato",$I$38-1,0)),IF(AND($L$37=0,$P$34=0),"",$L$37-1),IF($R$17="Distrato",$E561,0)),MIN(Y$38,$D$19),$P$20))-SUM($P561:X561)</f>
        <v>#VALUE!</v>
      </c>
      <c r="Z561" s="446" t="e">
        <f>IF(OR($B561="",MIN(Z$38,$D$19)&lt;MAX($P$34*($B561+IF($R$17="Distrato",$I$38-1,0)),IF(AND($L$37=0,$P$34=0),"",$L$37-1),IF($R$17="Distrato",$E561,0))),0,YEARFRAC(MAX($P$34*($B561+IF($R$17="Distrato",$I$38-1,0)),IF(AND($L$37=0,$P$34=0),"",$L$37-1),IF($R$17="Distrato",$E561,0)),MIN(Z$38,$D$19),$P$20))-SUM($P561:Y561)</f>
        <v>#VALUE!</v>
      </c>
      <c r="AA561" s="446" t="e">
        <f>IF(OR($B561="",MIN(AA$38,$D$19)&lt;MAX($P$34*($B561+IF($R$17="Distrato",$I$38-1,0)),IF(AND($L$37=0,$P$34=0),"",$L$37-1),IF($R$17="Distrato",$E561,0))),0,YEARFRAC(MAX($P$34*($B561+IF($R$17="Distrato",$I$38-1,0)),IF(AND($L$37=0,$P$34=0),"",$L$37-1),IF($R$17="Distrato",$E561,0)),MIN(AA$38,$D$19),$P$20))-SUM($P561:Z561)</f>
        <v>#VALUE!</v>
      </c>
      <c r="AB561" s="446" t="e">
        <f>IF(OR($B561="",MIN(AB$38,$D$19)&lt;MAX($P$34*($B561+IF($R$17="Distrato",$I$38-1,0)),IF(AND($L$37=0,$P$34=0),"",$L$37-1),IF($R$17="Distrato",$E561,0))),0,YEARFRAC(MAX($P$34*($B561+IF($R$17="Distrato",$I$38-1,0)),IF(AND($L$37=0,$P$34=0),"",$L$37-1),IF($R$17="Distrato",$E561,0)),MIN(AB$38,$D$19),$P$20))-SUM($P561:AA561)</f>
        <v>#VALUE!</v>
      </c>
      <c r="AC561" s="446" t="e">
        <f>IF(OR($B561="",MIN(AC$38,$D$19)&lt;MAX($P$34*($B561+IF($R$17="Distrato",$I$38-1,0)),IF(AND($L$37=0,$P$34=0),"",$L$37-1),IF($R$17="Distrato",$E561,0))),0,YEARFRAC(MAX($P$34*($B561+IF($R$17="Distrato",$I$38-1,0)),IF(AND($L$37=0,$P$34=0),"",$L$37-1),IF($R$17="Distrato",$E561,0)),MIN(AC$38,$D$19),$P$20))-SUM($P561:AB561)</f>
        <v>#VALUE!</v>
      </c>
      <c r="AD561" s="446" t="e">
        <f>IF(OR($B561="",MIN(AD$38,$D$19)&lt;MAX($P$34*($B561+IF($R$17="Distrato",$I$38-1,0)),IF(AND($L$37=0,$P$34=0),"",$L$37-1),IF($R$17="Distrato",$E561,0))),0,YEARFRAC(MAX($P$34*($B561+IF($R$17="Distrato",$I$38-1,0)),IF(AND($L$37=0,$P$34=0),"",$L$37-1),IF($R$17="Distrato",$E561,0)),MIN(AD$38,$D$19),$P$20))-SUM($P561:AC561)</f>
        <v>#VALUE!</v>
      </c>
      <c r="AE561" s="446" t="e">
        <f>IF(OR($B561="",MIN(AE$38,$D$19)&lt;MAX($P$34*($B561+IF($R$17="Distrato",$I$38-1,0)),IF(AND($L$37=0,$P$34=0),"",$L$37-1),IF($R$17="Distrato",$E561,0))),0,YEARFRAC(MAX($P$34*($B561+IF($R$17="Distrato",$I$38-1,0)),IF(AND($L$37=0,$P$34=0),"",$L$37-1),IF($R$17="Distrato",$E561,0)),MIN(AE$38,$D$19),$P$20))-SUM($P561:AD561)</f>
        <v>#VALUE!</v>
      </c>
      <c r="AF561" s="446" t="e">
        <f>IF(OR($B561="",MIN(AF$38,$D$19)&lt;MAX($P$34*($B561+IF($R$17="Distrato",$I$38-1,0)),IF(AND($L$37=0,$P$34=0),"",$L$37-1),IF($R$17="Distrato",$E561,0))),0,YEARFRAC(MAX($P$34*($B561+IF($R$17="Distrato",$I$38-1,0)),IF(AND($L$37=0,$P$34=0),"",$L$37-1),IF($R$17="Distrato",$E561,0)),MIN(AF$38,$D$19),$P$20))-SUM($P561:AE561)</f>
        <v>#VALUE!</v>
      </c>
      <c r="AG561" s="446" t="e">
        <f>IF(OR($B561="",MIN(AG$38,$D$19)&lt;MAX($P$34*($B561+IF($R$17="Distrato",$I$38-1,0)),IF(AND($L$37=0,$P$34=0),"",$L$37-1),IF($R$17="Distrato",$E561,0))),0,YEARFRAC(MAX($P$34*($B561+IF($R$17="Distrato",$I$38-1,0)),IF(AND($L$37=0,$P$34=0),"",$L$37-1),IF($R$17="Distrato",$E561,0)),MIN(AG$38,$D$19),$P$20))-SUM($P561:AF561)</f>
        <v>#VALUE!</v>
      </c>
      <c r="AH561" s="446" t="e">
        <f>IF(OR($B561="",MIN(AH$38,$D$19)&lt;MAX($P$34*($B561+IF($R$17="Distrato",$I$38-1,0)),IF(AND($L$37=0,$P$34=0),"",$L$37-1),IF($R$17="Distrato",$E561,0))),0,YEARFRAC(MAX($P$34*($B561+IF($R$17="Distrato",$I$38-1,0)),IF(AND($L$37=0,$P$34=0),"",$L$37-1),IF($R$17="Distrato",$E561,0)),MIN(AH$38,$D$19),$P$20))-SUM($P561:AG561)</f>
        <v>#VALUE!</v>
      </c>
      <c r="AI561" s="446" t="e">
        <f>IF(OR($B561="",MIN(AI$38,$D$19)&lt;MAX($P$34*($B561+IF($R$17="Distrato",$I$38-1,0)),IF(AND($L$37=0,$P$34=0),"",$L$37-1),IF($R$17="Distrato",$E561,0))),0,YEARFRAC(MAX($P$34*($B561+IF($R$17="Distrato",$I$38-1,0)),IF(AND($L$37=0,$P$34=0),"",$L$37-1),IF($R$17="Distrato",$E561,0)),MIN(AI$38,$D$19),$P$20))-SUM($P561:AH561)</f>
        <v>#VALUE!</v>
      </c>
      <c r="AJ561" s="446" t="e">
        <f>IF(OR($B561="",MIN(AJ$38,$D$19)&lt;MAX($P$34*($B561+IF($R$17="Distrato",$I$38-1,0)),IF(AND($L$37=0,$P$34=0),"",$L$37-1),IF($R$17="Distrato",$E561,0))),0,YEARFRAC(MAX($P$34*($B561+IF($R$17="Distrato",$I$38-1,0)),IF(AND($L$37=0,$P$34=0),"",$L$37-1),IF($R$17="Distrato",$E561,0)),MIN(AJ$38,$D$19),$P$20))-SUM($P561:AI561)</f>
        <v>#VALUE!</v>
      </c>
      <c r="AK561" s="446" t="e">
        <f>IF(OR($B561="",MIN(AK$38,$D$19)&lt;MAX($P$34*($B561+IF($R$17="Distrato",$I$38-1,0)),IF(AND($L$37=0,$P$34=0),"",$L$37-1),IF($R$17="Distrato",$E561,0))),0,YEARFRAC(MAX($P$34*($B561+IF($R$17="Distrato",$I$38-1,0)),IF(AND($L$37=0,$P$34=0),"",$L$37-1),IF($R$17="Distrato",$E561,0)),MIN(AK$38,$D$19),$P$20))-SUM($P561:AJ561)</f>
        <v>#VALUE!</v>
      </c>
      <c r="AL561" s="446" t="e">
        <f>IF(OR($B561="",MIN(AL$38,$D$19)&lt;MAX($P$34*($B561+IF($R$17="Distrato",$I$38-1,0)),IF(AND($L$37=0,$P$34=0),"",$L$37-1),IF($R$17="Distrato",$E561,0))),0,YEARFRAC(MAX($P$34*($B561+IF($R$17="Distrato",$I$38-1,0)),IF(AND($L$37=0,$P$34=0),"",$L$37-1),IF($R$17="Distrato",$E561,0)),MIN(AL$38,$D$19),$P$20))-SUM($P561:AK561)</f>
        <v>#VALUE!</v>
      </c>
      <c r="AM561" s="446" t="e">
        <f>IF(OR($B561="",MIN(AM$38,$D$19)&lt;MAX($P$34*($B561+IF($R$17="Distrato",$I$38-1,0)),IF(AND($L$37=0,$P$34=0),"",$L$37-1),IF($R$17="Distrato",$E561,0))),0,YEARFRAC(MAX($P$34*($B561+IF($R$17="Distrato",$I$38-1,0)),IF(AND($L$37=0,$P$34=0),"",$L$37-1),IF($R$17="Distrato",$E561,0)),MIN(AM$38,$D$19),$P$20))-SUM($P561:AL561)</f>
        <v>#VALUE!</v>
      </c>
      <c r="AN561" s="446" t="e">
        <f>IF(OR($B561="",MIN(AN$38,$D$19)&lt;MAX($P$34*($B561+IF($R$17="Distrato",$I$38-1,0)),IF(AND($L$37=0,$P$34=0),"",$L$37-1),IF($R$17="Distrato",$E561,0))),0,YEARFRAC(MAX($P$34*($B561+IF($R$17="Distrato",$I$38-1,0)),IF(AND($L$37=0,$P$34=0),"",$L$37-1),IF($R$17="Distrato",$E561,0)),MIN(AN$38,$D$19),$P$20))-SUM($P561:AM561)</f>
        <v>#VALUE!</v>
      </c>
      <c r="AO561" s="446" t="e">
        <f>IF(OR($B561="",MIN(AO$38,$D$19)&lt;MAX($P$34*($B561+IF($R$17="Distrato",$I$38-1,0)),IF(AND($L$37=0,$P$34=0),"",$L$37-1),IF($R$17="Distrato",$E561,0))),0,YEARFRAC(MAX($P$34*($B561+IF($R$17="Distrato",$I$38-1,0)),IF(AND($L$37=0,$P$34=0),"",$L$37-1),IF($R$17="Distrato",$E561,0)),MIN(AO$38,$D$19),$P$20))-SUM($P561:AN561)</f>
        <v>#VALUE!</v>
      </c>
      <c r="AP561" s="446" t="e">
        <f>IF(OR($B561="",MIN(AP$38,$D$19)&lt;MAX($P$34*($B561+IF($R$17="Distrato",$I$38-1,0)),IF(AND($L$37=0,$P$34=0),"",$L$37-1),IF($R$17="Distrato",$E561,0))),0,YEARFRAC(MAX($P$34*($B561+IF($R$17="Distrato",$I$38-1,0)),IF(AND($L$37=0,$P$34=0),"",$L$37-1),IF($R$17="Distrato",$E561,0)),MIN(AP$38,$D$19),$P$20))-SUM($P561:AO561)</f>
        <v>#VALUE!</v>
      </c>
      <c r="AQ561" s="446" t="e">
        <f>IF(OR($B561="",MIN(AQ$38,$D$19)&lt;MAX($P$34*($B561+IF($R$17="Distrato",$I$38-1,0)),IF(AND($L$37=0,$P$34=0),"",$L$37-1),IF($R$17="Distrato",$E561,0))),0,YEARFRAC(MAX($P$34*($B561+IF($R$17="Distrato",$I$38-1,0)),IF(AND($L$37=0,$P$34=0),"",$L$37-1),IF($R$17="Distrato",$E561,0)),MIN(AQ$38,$D$19),$P$20))-SUM($P561:AP561)</f>
        <v>#VALUE!</v>
      </c>
      <c r="AR561" s="446" t="e">
        <f>IF(OR($B561="",MIN(AR$38,$D$19)&lt;MAX($P$34*($B561+IF($R$17="Distrato",$I$38-1,0)),IF(AND($L$37=0,$P$34=0),"",$L$37-1),IF($R$17="Distrato",$E561,0))),0,YEARFRAC(MAX($P$34*($B561+IF($R$17="Distrato",$I$38-1,0)),IF(AND($L$37=0,$P$34=0),"",$L$37-1),IF($R$17="Distrato",$E561,0)),MIN(AR$38,$D$19),$P$20))-SUM($P561:AQ561)</f>
        <v>#VALUE!</v>
      </c>
      <c r="AS561" s="446" t="e">
        <f>IF(OR($B561="",MIN(AS$38,$D$19)&lt;MAX($P$34*($B561+IF($R$17="Distrato",$I$38-1,0)),IF(AND($L$37=0,$P$34=0),"",$L$37-1),IF($R$17="Distrato",$E561,0))),0,YEARFRAC(MAX($P$34*($B561+IF($R$17="Distrato",$I$38-1,0)),IF(AND($L$37=0,$P$34=0),"",$L$37-1),IF($R$17="Distrato",$E561,0)),MIN(AS$38,$D$19),$P$20))-SUM($P561:AR561)</f>
        <v>#VALUE!</v>
      </c>
      <c r="AT561" s="446" t="e">
        <f>IF(OR($B561="",MIN(AT$38,$D$19)&lt;MAX($P$34*($B561+IF($R$17="Distrato",$I$38-1,0)),IF(AND($L$37=0,$P$34=0),"",$L$37-1),IF($R$17="Distrato",$E561,0))),0,YEARFRAC(MAX($P$34*($B561+IF($R$17="Distrato",$I$38-1,0)),IF(AND($L$37=0,$P$34=0),"",$L$37-1),IF($R$17="Distrato",$E561,0)),MIN(AT$38,$D$19),$P$20))-SUM($P561:AS561)</f>
        <v>#VALUE!</v>
      </c>
      <c r="AU561" s="446" t="e">
        <f>IF(OR($B561="",MIN(AU$38,$D$19)&lt;MAX($P$34*($B561+IF($R$17="Distrato",$I$38-1,0)),IF(AND($L$37=0,$P$34=0),"",$L$37-1),IF($R$17="Distrato",$E561,0))),0,YEARFRAC(MAX($P$34*($B561+IF($R$17="Distrato",$I$38-1,0)),IF(AND($L$37=0,$P$34=0),"",$L$37-1),IF($R$17="Distrato",$E561,0)),MIN(AU$38,$D$19),$P$20))-SUM($P561:AT561)</f>
        <v>#VALUE!</v>
      </c>
      <c r="AV561" s="446" t="e">
        <f>IF(OR($B561="",MIN(AV$38,$D$19)&lt;MAX($P$34*($B561+IF($R$17="Distrato",$I$38-1,0)),IF(AND($L$37=0,$P$34=0),"",$L$37-1),IF($R$17="Distrato",$E561,0))),0,YEARFRAC(MAX($P$34*($B561+IF($R$17="Distrato",$I$38-1,0)),IF(AND($L$37=0,$P$34=0),"",$L$37-1),IF($R$17="Distrato",$E561,0)),MIN(AV$38,$D$19),$P$20))-SUM($P561:AU561)</f>
        <v>#VALUE!</v>
      </c>
      <c r="AW561" s="446" t="e">
        <f>IF(OR($B561="",MIN(AW$38,$D$19)&lt;MAX($P$34*($B561+IF($R$17="Distrato",$I$38-1,0)),IF(AND($L$37=0,$P$34=0),"",$L$37-1),IF($R$17="Distrato",$E561,0))),0,YEARFRAC(MAX($P$34*($B561+IF($R$17="Distrato",$I$38-1,0)),IF(AND($L$37=0,$P$34=0),"",$L$37-1),IF($R$17="Distrato",$E561,0)),MIN(AW$38,$D$19),$P$20))-SUM($P561:AV561)</f>
        <v>#VALUE!</v>
      </c>
      <c r="AX561" s="446" t="e">
        <f>IF(OR($B561="",MIN(AX$38,$D$19)&lt;MAX($P$34*($B561+IF($R$17="Distrato",$I$38-1,0)),IF(AND($L$37=0,$P$34=0),"",$L$37-1),IF($R$17="Distrato",$E561,0))),0,YEARFRAC(MAX($P$34*($B561+IF($R$17="Distrato",$I$38-1,0)),IF(AND($L$37=0,$P$34=0),"",$L$37-1),IF($R$17="Distrato",$E561,0)),MIN(AX$38,$D$19),$P$20))-SUM($P561:AW561)</f>
        <v>#VALUE!</v>
      </c>
      <c r="AY561" s="446" t="e">
        <f>IF(OR($B561="",MIN(AY$38,$D$19)&lt;MAX($P$34*($B561+IF($R$17="Distrato",$I$38-1,0)),IF(AND($L$37=0,$P$34=0),"",$L$37-1),IF($R$17="Distrato",$E561,0))),0,YEARFRAC(MAX($P$34*($B561+IF($R$17="Distrato",$I$38-1,0)),IF(AND($L$37=0,$P$34=0),"",$L$37-1),IF($R$17="Distrato",$E561,0)),MIN(AY$38,$D$19),$P$20))-SUM($P561:AX561)</f>
        <v>#VALUE!</v>
      </c>
      <c r="AZ561" s="446" t="e">
        <f>IF(OR($B561="",MIN(AZ$38,$D$19)&lt;MAX($P$34*($B561+IF($R$17="Distrato",$I$38-1,0)),IF(AND($L$37=0,$P$34=0),"",$L$37-1),IF($R$17="Distrato",$E561,0))),0,YEARFRAC(MAX($P$34*($B561+IF($R$17="Distrato",$I$38-1,0)),IF(AND($L$37=0,$P$34=0),"",$L$37-1),IF($R$17="Distrato",$E561,0)),MIN(AZ$38,$D$19),$P$20))-SUM($P561:AY561)</f>
        <v>#VALUE!</v>
      </c>
      <c r="BA561" s="446" t="e">
        <f>IF(OR($B561="",MIN(BA$38,$D$19)&lt;MAX($P$34*($B561+IF($R$17="Distrato",$I$38-1,0)),IF(AND($L$37=0,$P$34=0),"",$L$37-1),IF($R$17="Distrato",$E561,0))),0,YEARFRAC(MAX($P$34*($B561+IF($R$17="Distrato",$I$38-1,0)),IF(AND($L$37=0,$P$34=0),"",$L$37-1),IF($R$17="Distrato",$E561,0)),MIN(BA$38,$D$19),$P$20))-SUM($P561:AZ561)</f>
        <v>#VALUE!</v>
      </c>
      <c r="BB561" s="447"/>
      <c r="BF561" s="446">
        <f t="shared" si="98"/>
        <v>0</v>
      </c>
      <c r="BG561" s="446">
        <f>IF($E561=0,0,IF(MIN(BG$38,$E561)&lt;MAX($P$34*($B561+$I$38-1),IF(AND($L$37=0,$P$34=0),"",$L$37-1)),0,YEARFRAC(MAX($P$34*($B561+$I$38-1),IF(AND($L$37=0,$P$34=0),"",$L$37-1)),MIN(BG$38,$E561),$P$20))-SUM($BF561:BF561))</f>
        <v>0</v>
      </c>
      <c r="BH561" s="446">
        <f>IF($E561=0,0,IF(MIN(BH$38,$E561)&lt;MAX($P$34*($B561+$I$38-1),IF(AND($L$37=0,$P$34=0),"",$L$37-1)),0,YEARFRAC(MAX($P$34*($B561+$I$38-1),IF(AND($L$37=0,$P$34=0),"",$L$37-1)),MIN(BH$38,$E561),$P$20))-SUM($BF561:BG561))</f>
        <v>0</v>
      </c>
      <c r="BI561" s="446">
        <f>IF($E561=0,0,IF(MIN(BI$38,$E561)&lt;MAX($P$34*($B561+$I$38-1),IF(AND($L$37=0,$P$34=0),"",$L$37-1)),0,YEARFRAC(MAX($P$34*($B561+$I$38-1),IF(AND($L$37=0,$P$34=0),"",$L$37-1)),MIN(BI$38,$E561),$P$20))-SUM($BF561:BH561))</f>
        <v>0</v>
      </c>
      <c r="BJ561" s="446">
        <f>IF($E561=0,0,IF(MIN(BJ$38,$E561)&lt;MAX($P$34*($B561+$I$38-1),IF(AND($L$37=0,$P$34=0),"",$L$37-1)),0,YEARFRAC(MAX($P$34*($B561+$I$38-1),IF(AND($L$37=0,$P$34=0),"",$L$37-1)),MIN(BJ$38,$E561),$P$20))-SUM($BF561:BI561))</f>
        <v>0</v>
      </c>
      <c r="BK561" s="446">
        <f>IF($E561=0,0,IF(MIN(BK$38,$E561)&lt;MAX($P$34*($B561+$I$38-1),IF(AND($L$37=0,$P$34=0),"",$L$37-1)),0,YEARFRAC(MAX($P$34*($B561+$I$38-1),IF(AND($L$37=0,$P$34=0),"",$L$37-1)),MIN(BK$38,$E561),$P$20))-SUM($BF561:BJ561))</f>
        <v>0</v>
      </c>
      <c r="BL561" s="446">
        <f>IF($E561=0,0,IF(MIN(BL$38,$E561)&lt;MAX($P$34*($B561+$I$38-1),IF(AND($L$37=0,$P$34=0),"",$L$37-1)),0,YEARFRAC(MAX($P$34*($B561+$I$38-1),IF(AND($L$37=0,$P$34=0),"",$L$37-1)),MIN(BL$38,$E561),$P$20))-SUM($BF561:BK561))</f>
        <v>0</v>
      </c>
      <c r="BM561" s="446">
        <f>IF($E561=0,0,IF(MIN(BM$38,$E561)&lt;MAX($P$34*($B561+$I$38-1),IF(AND($L$37=0,$P$34=0),"",$L$37-1)),0,YEARFRAC(MAX($P$34*($B561+$I$38-1),IF(AND($L$37=0,$P$34=0),"",$L$37-1)),MIN(BM$38,$E561),$P$20))-SUM($BF561:BL561))</f>
        <v>0</v>
      </c>
      <c r="BN561" s="446">
        <f>IF($E561=0,0,IF(MIN(BN$38,$E561)&lt;MAX($P$34*($B561+$I$38-1),IF(AND($L$37=0,$P$34=0),"",$L$37-1)),0,YEARFRAC(MAX($P$34*($B561+$I$38-1),IF(AND($L$37=0,$P$34=0),"",$L$37-1)),MIN(BN$38,$E561),$P$20))-SUM($BF561:BM561))</f>
        <v>0</v>
      </c>
      <c r="BO561" s="446">
        <f>IF($E561=0,0,IF(MIN(BO$38,$E561)&lt;MAX($P$34*($B561+$I$38-1),IF(AND($L$37=0,$P$34=0),"",$L$37-1)),0,YEARFRAC(MAX($P$34*($B561+$I$38-1),IF(AND($L$37=0,$P$34=0),"",$L$37-1)),MIN(BO$38,$E561),$P$20))-SUM($BF561:BN561))</f>
        <v>0</v>
      </c>
      <c r="BP561" s="446">
        <f>IF($E561=0,0,IF(MIN(BP$38,$E561)&lt;MAX($P$34*($B561+$I$38-1),IF(AND($L$37=0,$P$34=0),"",$L$37-1)),0,YEARFRAC(MAX($P$34*($B561+$I$38-1),IF(AND($L$37=0,$P$34=0),"",$L$37-1)),MIN(BP$38,$E561),$P$20))-SUM($BF561:BO561))</f>
        <v>0</v>
      </c>
      <c r="BQ561" s="446">
        <f>IF($E561=0,0,IF(MIN(BQ$38,$E561)&lt;MAX($P$34*($B561+$I$38-1),IF(AND($L$37=0,$P$34=0),"",$L$37-1)),0,YEARFRAC(MAX($P$34*($B561+$I$38-1),IF(AND($L$37=0,$P$34=0),"",$L$37-1)),MIN(BQ$38,$E561),$P$20))-SUM($BF561:BP561))</f>
        <v>0</v>
      </c>
      <c r="BR561" s="446">
        <f>IF($E561=0,0,IF(MIN(BR$38,$E561)&lt;MAX($P$34*($B561+$I$38-1),IF(AND($L$37=0,$P$34=0),"",$L$37-1)),0,YEARFRAC(MAX($P$34*($B561+$I$38-1),IF(AND($L$37=0,$P$34=0),"",$L$37-1)),MIN(BR$38,$E561),$P$20))-SUM($BF561:BQ561))</f>
        <v>0</v>
      </c>
      <c r="BS561" s="446">
        <f>IF($E561=0,0,IF(MIN(BS$38,$E561)&lt;MAX($P$34*($B561+$I$38-1),IF(AND($L$37=0,$P$34=0),"",$L$37-1)),0,YEARFRAC(MAX($P$34*($B561+$I$38-1),IF(AND($L$37=0,$P$34=0),"",$L$37-1)),MIN(BS$38,$E561),$P$20))-SUM($BF561:BR561))</f>
        <v>0</v>
      </c>
      <c r="BT561" s="446">
        <f>IF($E561=0,0,IF(MIN(BT$38,$E561)&lt;MAX($P$34*($B561+$I$38-1),IF(AND($L$37=0,$P$34=0),"",$L$37-1)),0,YEARFRAC(MAX($P$34*($B561+$I$38-1),IF(AND($L$37=0,$P$34=0),"",$L$37-1)),MIN(BT$38,$E561),$P$20))-SUM($BF561:BS561))</f>
        <v>0</v>
      </c>
      <c r="BU561" s="446">
        <f>IF($E561=0,0,IF(MIN(BU$38,$E561)&lt;MAX($P$34*($B561+$I$38-1),IF(AND($L$37=0,$P$34=0),"",$L$37-1)),0,YEARFRAC(MAX($P$34*($B561+$I$38-1),IF(AND($L$37=0,$P$34=0),"",$L$37-1)),MIN(BU$38,$E561),$P$20))-SUM($BF561:BT561))</f>
        <v>0</v>
      </c>
      <c r="BV561" s="446">
        <f>IF($E561=0,0,IF(MIN(BV$38,$E561)&lt;MAX($P$34*($B561+$I$38-1),IF(AND($L$37=0,$P$34=0),"",$L$37-1)),0,YEARFRAC(MAX($P$34*($B561+$I$38-1),IF(AND($L$37=0,$P$34=0),"",$L$37-1)),MIN(BV$38,$E561),$P$20))-SUM($BF561:BU561))</f>
        <v>0</v>
      </c>
      <c r="BW561" s="446">
        <f>IF($E561=0,0,IF(MIN(BW$38,$E561)&lt;MAX($P$34*($B561+$I$38-1),IF(AND($L$37=0,$P$34=0),"",$L$37-1)),0,YEARFRAC(MAX($P$34*($B561+$I$38-1),IF(AND($L$37=0,$P$34=0),"",$L$37-1)),MIN(BW$38,$E561),$P$20))-SUM($BF561:BV561))</f>
        <v>0</v>
      </c>
      <c r="BX561" s="446">
        <f>IF($E561=0,0,IF(MIN(BX$38,$E561)&lt;MAX($P$34*($B561+$I$38-1),IF(AND($L$37=0,$P$34=0),"",$L$37-1)),0,YEARFRAC(MAX($P$34*($B561+$I$38-1),IF(AND($L$37=0,$P$34=0),"",$L$37-1)),MIN(BX$38,$E561),$P$20))-SUM($BF561:BW561))</f>
        <v>0</v>
      </c>
      <c r="BY561" s="446">
        <f>IF($E561=0,0,IF(MIN(BY$38,$E561)&lt;MAX($P$34*($B561+$I$38-1),IF(AND($L$37=0,$P$34=0),"",$L$37-1)),0,YEARFRAC(MAX($P$34*($B561+$I$38-1),IF(AND($L$37=0,$P$34=0),"",$L$37-1)),MIN(BY$38,$E561),$P$20))-SUM($BF561:BX561))</f>
        <v>0</v>
      </c>
      <c r="BZ561" s="446">
        <f>IF($E561=0,0,IF(MIN(BZ$38,$E561)&lt;MAX($P$34*($B561+$I$38-1),IF(AND($L$37=0,$P$34=0),"",$L$37-1)),0,YEARFRAC(MAX($P$34*($B561+$I$38-1),IF(AND($L$37=0,$P$34=0),"",$L$37-1)),MIN(BZ$38,$E561),$P$20))-SUM($BF561:BY561))</f>
        <v>0</v>
      </c>
      <c r="CA561" s="446">
        <f>IF($E561=0,0,IF(MIN(CA$38,$E561)&lt;MAX($P$34*($B561+$I$38-1),IF(AND($L$37=0,$P$34=0),"",$L$37-1)),0,YEARFRAC(MAX($P$34*($B561+$I$38-1),IF(AND($L$37=0,$P$34=0),"",$L$37-1)),MIN(CA$38,$E561),$P$20))-SUM($BF561:BZ561))</f>
        <v>0</v>
      </c>
      <c r="CB561" s="446">
        <f>IF($E561=0,0,IF(MIN(CB$38,$E561)&lt;MAX($P$34*($B561+$I$38-1),IF(AND($L$37=0,$P$34=0),"",$L$37-1)),0,YEARFRAC(MAX($P$34*($B561+$I$38-1),IF(AND($L$37=0,$P$34=0),"",$L$37-1)),MIN(CB$38,$E561),$P$20))-SUM($BF561:CA561))</f>
        <v>0</v>
      </c>
      <c r="CC561" s="446">
        <f>IF($E561=0,0,IF(MIN(CC$38,$E561)&lt;MAX($P$34*($B561+$I$38-1),IF(AND($L$37=0,$P$34=0),"",$L$37-1)),0,YEARFRAC(MAX($P$34*($B561+$I$38-1),IF(AND($L$37=0,$P$34=0),"",$L$37-1)),MIN(CC$38,$E561),$P$20))-SUM($BF561:CB561))</f>
        <v>0</v>
      </c>
      <c r="CD561" s="446">
        <f>IF($E561=0,0,IF(MIN(CD$38,$E561)&lt;MAX($P$34*($B561+$I$38-1),IF(AND($L$37=0,$P$34=0),"",$L$37-1)),0,YEARFRAC(MAX($P$34*($B561+$I$38-1),IF(AND($L$37=0,$P$34=0),"",$L$37-1)),MIN(CD$38,$E561),$P$20))-SUM($BF561:CC561))</f>
        <v>0</v>
      </c>
      <c r="CE561" s="446">
        <f>IF($E561=0,0,IF(MIN(CE$38,$E561)&lt;MAX($P$34*($B561+$I$38-1),IF(AND($L$37=0,$P$34=0),"",$L$37-1)),0,YEARFRAC(MAX($P$34*($B561+$I$38-1),IF(AND($L$37=0,$P$34=0),"",$L$37-1)),MIN(CE$38,$E561),$P$20))-SUM($BF561:CD561))</f>
        <v>0</v>
      </c>
      <c r="CF561" s="446">
        <f>IF($E561=0,0,IF(MIN(CF$38,$E561)&lt;MAX($P$34*($B561+$I$38-1),IF(AND($L$37=0,$P$34=0),"",$L$37-1)),0,YEARFRAC(MAX($P$34*($B561+$I$38-1),IF(AND($L$37=0,$P$34=0),"",$L$37-1)),MIN(CF$38,$E561),$P$20))-SUM($BF561:CE561))</f>
        <v>0</v>
      </c>
      <c r="CG561" s="446">
        <f>IF($E561=0,0,IF(MIN(CG$38,$E561)&lt;MAX($P$34*($B561+$I$38-1),IF(AND($L$37=0,$P$34=0),"",$L$37-1)),0,YEARFRAC(MAX($P$34*($B561+$I$38-1),IF(AND($L$37=0,$P$34=0),"",$L$37-1)),MIN(CG$38,$E561),$P$20))-SUM($BF561:CF561))</f>
        <v>0</v>
      </c>
      <c r="CH561" s="446">
        <f>IF($E561=0,0,IF(MIN(CH$38,$E561)&lt;MAX($P$34*($B561+$I$38-1),IF(AND($L$37=0,$P$34=0),"",$L$37-1)),0,YEARFRAC(MAX($P$34*($B561+$I$38-1),IF(AND($L$37=0,$P$34=0),"",$L$37-1)),MIN(CH$38,$E561),$P$20))-SUM($BF561:CG561))</f>
        <v>0</v>
      </c>
      <c r="CI561" s="446">
        <f>IF($E561=0,0,IF(MIN(CI$38,$E561)&lt;MAX($P$34*($B561+$I$38-1),IF(AND($L$37=0,$P$34=0),"",$L$37-1)),0,YEARFRAC(MAX($P$34*($B561+$I$38-1),IF(AND($L$37=0,$P$34=0),"",$L$37-1)),MIN(CI$38,$E561),$P$20))-SUM($BF561:CH561))</f>
        <v>0</v>
      </c>
      <c r="CJ561" s="446">
        <f>IF($E561=0,0,IF(MIN(CJ$38,$E561)&lt;MAX($P$34*($B561+$I$38-1),IF(AND($L$37=0,$P$34=0),"",$L$37-1)),0,YEARFRAC(MAX($P$34*($B561+$I$38-1),IF(AND($L$37=0,$P$34=0),"",$L$37-1)),MIN(CJ$38,$E561),$P$20))-SUM($BF561:CI561))</f>
        <v>0</v>
      </c>
      <c r="CK561" s="446">
        <f>IF($E561=0,0,IF(MIN(CK$38,$E561)&lt;MAX($P$34*($B561+$I$38-1),IF(AND($L$37=0,$P$34=0),"",$L$37-1)),0,YEARFRAC(MAX($P$34*($B561+$I$38-1),IF(AND($L$37=0,$P$34=0),"",$L$37-1)),MIN(CK$38,$E561),$P$20))-SUM($BF561:CJ561))</f>
        <v>0</v>
      </c>
      <c r="CL561" s="446">
        <f>IF($E561=0,0,IF(MIN(CL$38,$E561)&lt;MAX($P$34*($B561+$I$38-1),IF(AND($L$37=0,$P$34=0),"",$L$37-1)),0,YEARFRAC(MAX($P$34*($B561+$I$38-1),IF(AND($L$37=0,$P$34=0),"",$L$37-1)),MIN(CL$38,$E561),$P$20))-SUM($BF561:CK561))</f>
        <v>0</v>
      </c>
      <c r="CM561" s="446">
        <f>IF($E561=0,0,IF(MIN(CM$38,$E561)&lt;MAX($P$34*($B561+$I$38-1),IF(AND($L$37=0,$P$34=0),"",$L$37-1)),0,YEARFRAC(MAX($P$34*($B561+$I$38-1),IF(AND($L$37=0,$P$34=0),"",$L$37-1)),MIN(CM$38,$E561),$P$20))-SUM($BF561:CL561))</f>
        <v>0</v>
      </c>
      <c r="CN561" s="446">
        <f>IF($E561=0,0,IF(MIN(CN$38,$E561)&lt;MAX($P$34*($B561+$I$38-1),IF(AND($L$37=0,$P$34=0),"",$L$37-1)),0,YEARFRAC(MAX($P$34*($B561+$I$38-1),IF(AND($L$37=0,$P$34=0),"",$L$37-1)),MIN(CN$38,$E561),$P$20))-SUM($BF561:CM561))</f>
        <v>0</v>
      </c>
      <c r="CO561" s="446">
        <f>IF($E561=0,0,IF(MIN(CO$38,$E561)&lt;MAX($P$34*($B561+$I$38-1),IF(AND($L$37=0,$P$34=0),"",$L$37-1)),0,YEARFRAC(MAX($P$34*($B561+$I$38-1),IF(AND($L$37=0,$P$34=0),"",$L$37-1)),MIN(CO$38,$E561),$P$20))-SUM($BF561:CN561))</f>
        <v>0</v>
      </c>
      <c r="CP561" s="446">
        <f>IF($E561=0,0,IF(MIN(CP$38,$E561)&lt;MAX($P$34*($B561+$I$38-1),IF(AND($L$37=0,$P$34=0),"",$L$37-1)),0,YEARFRAC(MAX($P$34*($B561+$I$38-1),IF(AND($L$37=0,$P$34=0),"",$L$37-1)),MIN(CP$38,$E561),$P$20))-SUM($BF561:CO561))</f>
        <v>0</v>
      </c>
      <c r="CQ561" s="446">
        <f>IF($E561=0,0,IF(MIN(CQ$38,$E561)&lt;MAX($P$34*($B561+$I$38-1),IF(AND($L$37=0,$P$34=0),"",$L$37-1)),0,YEARFRAC(MAX($P$34*($B561+$I$38-1),IF(AND($L$37=0,$P$34=0),"",$L$37-1)),MIN(CQ$38,$E561),$P$20))-SUM($BF561:CP561))</f>
        <v>0</v>
      </c>
    </row>
    <row r="562" spans="1:95" s="446" customFormat="1" ht="11.25" hidden="1" customHeight="1" x14ac:dyDescent="0.2">
      <c r="A562" s="152"/>
      <c r="B562" s="153" t="str">
        <f t="shared" si="103"/>
        <v/>
      </c>
      <c r="C562" s="29" t="str">
        <f>IF(B562="","",IF($L$35="SELIC - TRIBUTOS",VLOOKUP(DATE(YEAR($D$19),MONTH($D$19)-1,1),ÍNDICES!$A:$DE,HLOOKUP($BL$25,ÍNDICES!$B$3:$T$4,2)+11)-VLOOKUP(B562,ÍNDICES!$A:$DE,HLOOKUP($BL$25,ÍNDICES!$B$3:$T$4,2)+11)+1%,IF(C$38=$W$26,$J$35,IF(ISERROR(IF(B562&gt;$D$19,1,VLOOKUP(DATE(YEAR(B562),MONTH(B562)+IF($C$35=$S$23,1,0),1),ÍNDICES!$A:$DE,$Z$35+1))),"",IF(B562&gt;$D$19,1,VLOOKUP(DATE(YEAR(B562),MONTH(B562)+IF($C$35=$S$23,1,0),1),ÍNDICES!$A:$DE,$Z$35+1))))))</f>
        <v/>
      </c>
      <c r="D562" s="154" t="str">
        <f>IF(ISERROR(IF(OR($D$38=$Y$27,$B562=""),"",VLOOKUP(B562,ÍNDICES!A:DE,AF$35+1))),"",IF(OR($D$38=$Y$27,$B562=""),"",VLOOKUP(B562,ÍNDICES!A:DE,AF$35+1)))</f>
        <v/>
      </c>
      <c r="E562" s="153"/>
      <c r="F562" s="29" t="str">
        <f>IF(E562="","",IF($L$35="SELIC - TRIBUTOS",VLOOKUP(DATE(YEAR($D$19),MONTH($D$19)-1,1),ÍNDICES!$A:$DE,HLOOKUP($BL$25,ÍNDICES!$B$3:$T$4,2)+11)-VLOOKUP(E562,ÍNDICES!$A:$DE,HLOOKUP($BL$25,ÍNDICES!$B$3:$T$4,2)+11)+1%,IF(F$38=$W$26,$J$35,IF(ISERROR(IF(E562&gt;$D$19,1,VLOOKUP(DATE(YEAR(E562),MONTH(E562)+IF($C$35=$S$23,1,0),1),ÍNDICES!$A:$DE,$Z$35+1))),"",IF(E562&gt;$D$19,1,VLOOKUP(DATE(YEAR(E562),MONTH(E562)+IF($C$35=$S$23,1,0),1),ÍNDICES!$A:$DE,$Z$35+1))))))</f>
        <v/>
      </c>
      <c r="G562" s="155"/>
      <c r="H562" s="156" t="str">
        <f t="shared" si="99"/>
        <v/>
      </c>
      <c r="I562" s="29" t="str">
        <f t="shared" si="93"/>
        <v/>
      </c>
      <c r="J562" s="5">
        <f t="shared" si="94"/>
        <v>0</v>
      </c>
      <c r="K562" s="20">
        <f t="shared" ca="1" si="95"/>
        <v>0</v>
      </c>
      <c r="L562" s="5">
        <f t="shared" ca="1" si="96"/>
        <v>0</v>
      </c>
      <c r="M562" s="64">
        <f t="shared" si="100"/>
        <v>0</v>
      </c>
      <c r="N562" s="61">
        <f t="shared" ca="1" si="101"/>
        <v>0</v>
      </c>
      <c r="O562" s="5">
        <f t="shared" ca="1" si="102"/>
        <v>0</v>
      </c>
      <c r="P562" s="446" t="e">
        <f t="shared" si="97"/>
        <v>#VALUE!</v>
      </c>
      <c r="Q562" s="446" t="e">
        <f>IF(OR($B562="",MIN(Q$38,$D$19)&lt;MAX($P$34*($B562+IF($R$17="Distrato",$I$38-1,0)),IF(AND($L$37=0,$P$34=0),"",$L$37-1),IF($R$17="Distrato",$E562,0))),0,YEARFRAC(MAX($P$34*($B562+IF($R$17="Distrato",$I$38-1,0)),IF(AND($L$37=0,$P$34=0),"",$L$37-1),IF($R$17="Distrato",$E562,0)),MIN(Q$38,$D$19),$P$20))-SUM($P562:P562)</f>
        <v>#VALUE!</v>
      </c>
      <c r="R562" s="446" t="e">
        <f>IF(OR($B562="",MIN(R$38,$D$19)&lt;MAX($P$34*($B562+IF($R$17="Distrato",$I$38-1,0)),IF(AND($L$37=0,$P$34=0),"",$L$37-1),IF($R$17="Distrato",$E562,0))),0,YEARFRAC(MAX($P$34*($B562+IF($R$17="Distrato",$I$38-1,0)),IF(AND($L$37=0,$P$34=0),"",$L$37-1),IF($R$17="Distrato",$E562,0)),MIN(R$38,$D$19),$P$20))-SUM($P562:Q562)</f>
        <v>#VALUE!</v>
      </c>
      <c r="S562" s="446" t="e">
        <f>IF(OR($B562="",MIN(S$38,$D$19)&lt;MAX($P$34*($B562+IF($R$17="Distrato",$I$38-1,0)),IF(AND($L$37=0,$P$34=0),"",$L$37-1),IF($R$17="Distrato",$E562,0))),0,YEARFRAC(MAX($P$34*($B562+IF($R$17="Distrato",$I$38-1,0)),IF(AND($L$37=0,$P$34=0),"",$L$37-1),IF($R$17="Distrato",$E562,0)),MIN(S$38,$D$19),$P$20))-SUM($P562:R562)</f>
        <v>#VALUE!</v>
      </c>
      <c r="T562" s="446" t="e">
        <f>IF(OR($B562="",MIN(T$38,$D$19)&lt;MAX($P$34*($B562+IF($R$17="Distrato",$I$38-1,0)),IF(AND($L$37=0,$P$34=0),"",$L$37-1),IF($R$17="Distrato",$E562,0))),0,YEARFRAC(MAX($P$34*($B562+IF($R$17="Distrato",$I$38-1,0)),IF(AND($L$37=0,$P$34=0),"",$L$37-1),IF($R$17="Distrato",$E562,0)),MIN(T$38,$D$19),$P$20))-SUM($P562:S562)</f>
        <v>#VALUE!</v>
      </c>
      <c r="U562" s="446" t="e">
        <f>IF(OR($B562="",MIN(U$38,$D$19)&lt;MAX($P$34*($B562+IF($R$17="Distrato",$I$38-1,0)),IF(AND($L$37=0,$P$34=0),"",$L$37-1),IF($R$17="Distrato",$E562,0))),0,YEARFRAC(MAX($P$34*($B562+IF($R$17="Distrato",$I$38-1,0)),IF(AND($L$37=0,$P$34=0),"",$L$37-1),IF($R$17="Distrato",$E562,0)),MIN(U$38,$D$19),$P$20))-SUM($P562:T562)</f>
        <v>#VALUE!</v>
      </c>
      <c r="V562" s="446" t="e">
        <f>IF(OR($B562="",MIN(V$38,$D$19)&lt;MAX($P$34*($B562+IF($R$17="Distrato",$I$38-1,0)),IF(AND($L$37=0,$P$34=0),"",$L$37-1),IF($R$17="Distrato",$E562,0))),0,YEARFRAC(MAX($P$34*($B562+IF($R$17="Distrato",$I$38-1,0)),IF(AND($L$37=0,$P$34=0),"",$L$37-1),IF($R$17="Distrato",$E562,0)),MIN(V$38,$D$19),$P$20))-SUM($P562:U562)</f>
        <v>#VALUE!</v>
      </c>
      <c r="W562" s="446" t="e">
        <f>IF(OR($B562="",MIN(W$38,$D$19)&lt;MAX($P$34*($B562+IF($R$17="Distrato",$I$38-1,0)),IF(AND($L$37=0,$P$34=0),"",$L$37-1),IF($R$17="Distrato",$E562,0))),0,YEARFRAC(MAX($P$34*($B562+IF($R$17="Distrato",$I$38-1,0)),IF(AND($L$37=0,$P$34=0),"",$L$37-1),IF($R$17="Distrato",$E562,0)),MIN(W$38,$D$19),$P$20))-SUM($P562:V562)</f>
        <v>#VALUE!</v>
      </c>
      <c r="X562" s="446" t="e">
        <f>IF(OR($B562="",MIN(X$38,$D$19)&lt;MAX($P$34*($B562+IF($R$17="Distrato",$I$38-1,0)),IF(AND($L$37=0,$P$34=0),"",$L$37-1),IF($R$17="Distrato",$E562,0))),0,YEARFRAC(MAX($P$34*($B562+IF($R$17="Distrato",$I$38-1,0)),IF(AND($L$37=0,$P$34=0),"",$L$37-1),IF($R$17="Distrato",$E562,0)),MIN(X$38,$D$19),$P$20))-SUM($P562:W562)</f>
        <v>#VALUE!</v>
      </c>
      <c r="Y562" s="446" t="e">
        <f>IF(OR($B562="",MIN(Y$38,$D$19)&lt;MAX($P$34*($B562+IF($R$17="Distrato",$I$38-1,0)),IF(AND($L$37=0,$P$34=0),"",$L$37-1),IF($R$17="Distrato",$E562,0))),0,YEARFRAC(MAX($P$34*($B562+IF($R$17="Distrato",$I$38-1,0)),IF(AND($L$37=0,$P$34=0),"",$L$37-1),IF($R$17="Distrato",$E562,0)),MIN(Y$38,$D$19),$P$20))-SUM($P562:X562)</f>
        <v>#VALUE!</v>
      </c>
      <c r="Z562" s="446" t="e">
        <f>IF(OR($B562="",MIN(Z$38,$D$19)&lt;MAX($P$34*($B562+IF($R$17="Distrato",$I$38-1,0)),IF(AND($L$37=0,$P$34=0),"",$L$37-1),IF($R$17="Distrato",$E562,0))),0,YEARFRAC(MAX($P$34*($B562+IF($R$17="Distrato",$I$38-1,0)),IF(AND($L$37=0,$P$34=0),"",$L$37-1),IF($R$17="Distrato",$E562,0)),MIN(Z$38,$D$19),$P$20))-SUM($P562:Y562)</f>
        <v>#VALUE!</v>
      </c>
      <c r="AA562" s="446" t="e">
        <f>IF(OR($B562="",MIN(AA$38,$D$19)&lt;MAX($P$34*($B562+IF($R$17="Distrato",$I$38-1,0)),IF(AND($L$37=0,$P$34=0),"",$L$37-1),IF($R$17="Distrato",$E562,0))),0,YEARFRAC(MAX($P$34*($B562+IF($R$17="Distrato",$I$38-1,0)),IF(AND($L$37=0,$P$34=0),"",$L$37-1),IF($R$17="Distrato",$E562,0)),MIN(AA$38,$D$19),$P$20))-SUM($P562:Z562)</f>
        <v>#VALUE!</v>
      </c>
      <c r="AB562" s="446" t="e">
        <f>IF(OR($B562="",MIN(AB$38,$D$19)&lt;MAX($P$34*($B562+IF($R$17="Distrato",$I$38-1,0)),IF(AND($L$37=0,$P$34=0),"",$L$37-1),IF($R$17="Distrato",$E562,0))),0,YEARFRAC(MAX($P$34*($B562+IF($R$17="Distrato",$I$38-1,0)),IF(AND($L$37=0,$P$34=0),"",$L$37-1),IF($R$17="Distrato",$E562,0)),MIN(AB$38,$D$19),$P$20))-SUM($P562:AA562)</f>
        <v>#VALUE!</v>
      </c>
      <c r="AC562" s="446" t="e">
        <f>IF(OR($B562="",MIN(AC$38,$D$19)&lt;MAX($P$34*($B562+IF($R$17="Distrato",$I$38-1,0)),IF(AND($L$37=0,$P$34=0),"",$L$37-1),IF($R$17="Distrato",$E562,0))),0,YEARFRAC(MAX($P$34*($B562+IF($R$17="Distrato",$I$38-1,0)),IF(AND($L$37=0,$P$34=0),"",$L$37-1),IF($R$17="Distrato",$E562,0)),MIN(AC$38,$D$19),$P$20))-SUM($P562:AB562)</f>
        <v>#VALUE!</v>
      </c>
      <c r="AD562" s="446" t="e">
        <f>IF(OR($B562="",MIN(AD$38,$D$19)&lt;MAX($P$34*($B562+IF($R$17="Distrato",$I$38-1,0)),IF(AND($L$37=0,$P$34=0),"",$L$37-1),IF($R$17="Distrato",$E562,0))),0,YEARFRAC(MAX($P$34*($B562+IF($R$17="Distrato",$I$38-1,0)),IF(AND($L$37=0,$P$34=0),"",$L$37-1),IF($R$17="Distrato",$E562,0)),MIN(AD$38,$D$19),$P$20))-SUM($P562:AC562)</f>
        <v>#VALUE!</v>
      </c>
      <c r="AE562" s="446" t="e">
        <f>IF(OR($B562="",MIN(AE$38,$D$19)&lt;MAX($P$34*($B562+IF($R$17="Distrato",$I$38-1,0)),IF(AND($L$37=0,$P$34=0),"",$L$37-1),IF($R$17="Distrato",$E562,0))),0,YEARFRAC(MAX($P$34*($B562+IF($R$17="Distrato",$I$38-1,0)),IF(AND($L$37=0,$P$34=0),"",$L$37-1),IF($R$17="Distrato",$E562,0)),MIN(AE$38,$D$19),$P$20))-SUM($P562:AD562)</f>
        <v>#VALUE!</v>
      </c>
      <c r="AF562" s="446" t="e">
        <f>IF(OR($B562="",MIN(AF$38,$D$19)&lt;MAX($P$34*($B562+IF($R$17="Distrato",$I$38-1,0)),IF(AND($L$37=0,$P$34=0),"",$L$37-1),IF($R$17="Distrato",$E562,0))),0,YEARFRAC(MAX($P$34*($B562+IF($R$17="Distrato",$I$38-1,0)),IF(AND($L$37=0,$P$34=0),"",$L$37-1),IF($R$17="Distrato",$E562,0)),MIN(AF$38,$D$19),$P$20))-SUM($P562:AE562)</f>
        <v>#VALUE!</v>
      </c>
      <c r="AG562" s="446" t="e">
        <f>IF(OR($B562="",MIN(AG$38,$D$19)&lt;MAX($P$34*($B562+IF($R$17="Distrato",$I$38-1,0)),IF(AND($L$37=0,$P$34=0),"",$L$37-1),IF($R$17="Distrato",$E562,0))),0,YEARFRAC(MAX($P$34*($B562+IF($R$17="Distrato",$I$38-1,0)),IF(AND($L$37=0,$P$34=0),"",$L$37-1),IF($R$17="Distrato",$E562,0)),MIN(AG$38,$D$19),$P$20))-SUM($P562:AF562)</f>
        <v>#VALUE!</v>
      </c>
      <c r="AH562" s="446" t="e">
        <f>IF(OR($B562="",MIN(AH$38,$D$19)&lt;MAX($P$34*($B562+IF($R$17="Distrato",$I$38-1,0)),IF(AND($L$37=0,$P$34=0),"",$L$37-1),IF($R$17="Distrato",$E562,0))),0,YEARFRAC(MAX($P$34*($B562+IF($R$17="Distrato",$I$38-1,0)),IF(AND($L$37=0,$P$34=0),"",$L$37-1),IF($R$17="Distrato",$E562,0)),MIN(AH$38,$D$19),$P$20))-SUM($P562:AG562)</f>
        <v>#VALUE!</v>
      </c>
      <c r="AI562" s="446" t="e">
        <f>IF(OR($B562="",MIN(AI$38,$D$19)&lt;MAX($P$34*($B562+IF($R$17="Distrato",$I$38-1,0)),IF(AND($L$37=0,$P$34=0),"",$L$37-1),IF($R$17="Distrato",$E562,0))),0,YEARFRAC(MAX($P$34*($B562+IF($R$17="Distrato",$I$38-1,0)),IF(AND($L$37=0,$P$34=0),"",$L$37-1),IF($R$17="Distrato",$E562,0)),MIN(AI$38,$D$19),$P$20))-SUM($P562:AH562)</f>
        <v>#VALUE!</v>
      </c>
      <c r="AJ562" s="446" t="e">
        <f>IF(OR($B562="",MIN(AJ$38,$D$19)&lt;MAX($P$34*($B562+IF($R$17="Distrato",$I$38-1,0)),IF(AND($L$37=0,$P$34=0),"",$L$37-1),IF($R$17="Distrato",$E562,0))),0,YEARFRAC(MAX($P$34*($B562+IF($R$17="Distrato",$I$38-1,0)),IF(AND($L$37=0,$P$34=0),"",$L$37-1),IF($R$17="Distrato",$E562,0)),MIN(AJ$38,$D$19),$P$20))-SUM($P562:AI562)</f>
        <v>#VALUE!</v>
      </c>
      <c r="AK562" s="446" t="e">
        <f>IF(OR($B562="",MIN(AK$38,$D$19)&lt;MAX($P$34*($B562+IF($R$17="Distrato",$I$38-1,0)),IF(AND($L$37=0,$P$34=0),"",$L$37-1),IF($R$17="Distrato",$E562,0))),0,YEARFRAC(MAX($P$34*($B562+IF($R$17="Distrato",$I$38-1,0)),IF(AND($L$37=0,$P$34=0),"",$L$37-1),IF($R$17="Distrato",$E562,0)),MIN(AK$38,$D$19),$P$20))-SUM($P562:AJ562)</f>
        <v>#VALUE!</v>
      </c>
      <c r="AL562" s="446" t="e">
        <f>IF(OR($B562="",MIN(AL$38,$D$19)&lt;MAX($P$34*($B562+IF($R$17="Distrato",$I$38-1,0)),IF(AND($L$37=0,$P$34=0),"",$L$37-1),IF($R$17="Distrato",$E562,0))),0,YEARFRAC(MAX($P$34*($B562+IF($R$17="Distrato",$I$38-1,0)),IF(AND($L$37=0,$P$34=0),"",$L$37-1),IF($R$17="Distrato",$E562,0)),MIN(AL$38,$D$19),$P$20))-SUM($P562:AK562)</f>
        <v>#VALUE!</v>
      </c>
      <c r="AM562" s="446" t="e">
        <f>IF(OR($B562="",MIN(AM$38,$D$19)&lt;MAX($P$34*($B562+IF($R$17="Distrato",$I$38-1,0)),IF(AND($L$37=0,$P$34=0),"",$L$37-1),IF($R$17="Distrato",$E562,0))),0,YEARFRAC(MAX($P$34*($B562+IF($R$17="Distrato",$I$38-1,0)),IF(AND($L$37=0,$P$34=0),"",$L$37-1),IF($R$17="Distrato",$E562,0)),MIN(AM$38,$D$19),$P$20))-SUM($P562:AL562)</f>
        <v>#VALUE!</v>
      </c>
      <c r="AN562" s="446" t="e">
        <f>IF(OR($B562="",MIN(AN$38,$D$19)&lt;MAX($P$34*($B562+IF($R$17="Distrato",$I$38-1,0)),IF(AND($L$37=0,$P$34=0),"",$L$37-1),IF($R$17="Distrato",$E562,0))),0,YEARFRAC(MAX($P$34*($B562+IF($R$17="Distrato",$I$38-1,0)),IF(AND($L$37=0,$P$34=0),"",$L$37-1),IF($R$17="Distrato",$E562,0)),MIN(AN$38,$D$19),$P$20))-SUM($P562:AM562)</f>
        <v>#VALUE!</v>
      </c>
      <c r="AO562" s="446" t="e">
        <f>IF(OR($B562="",MIN(AO$38,$D$19)&lt;MAX($P$34*($B562+IF($R$17="Distrato",$I$38-1,0)),IF(AND($L$37=0,$P$34=0),"",$L$37-1),IF($R$17="Distrato",$E562,0))),0,YEARFRAC(MAX($P$34*($B562+IF($R$17="Distrato",$I$38-1,0)),IF(AND($L$37=0,$P$34=0),"",$L$37-1),IF($R$17="Distrato",$E562,0)),MIN(AO$38,$D$19),$P$20))-SUM($P562:AN562)</f>
        <v>#VALUE!</v>
      </c>
      <c r="AP562" s="446" t="e">
        <f>IF(OR($B562="",MIN(AP$38,$D$19)&lt;MAX($P$34*($B562+IF($R$17="Distrato",$I$38-1,0)),IF(AND($L$37=0,$P$34=0),"",$L$37-1),IF($R$17="Distrato",$E562,0))),0,YEARFRAC(MAX($P$34*($B562+IF($R$17="Distrato",$I$38-1,0)),IF(AND($L$37=0,$P$34=0),"",$L$37-1),IF($R$17="Distrato",$E562,0)),MIN(AP$38,$D$19),$P$20))-SUM($P562:AO562)</f>
        <v>#VALUE!</v>
      </c>
      <c r="AQ562" s="446" t="e">
        <f>IF(OR($B562="",MIN(AQ$38,$D$19)&lt;MAX($P$34*($B562+IF($R$17="Distrato",$I$38-1,0)),IF(AND($L$37=0,$P$34=0),"",$L$37-1),IF($R$17="Distrato",$E562,0))),0,YEARFRAC(MAX($P$34*($B562+IF($R$17="Distrato",$I$38-1,0)),IF(AND($L$37=0,$P$34=0),"",$L$37-1),IF($R$17="Distrato",$E562,0)),MIN(AQ$38,$D$19),$P$20))-SUM($P562:AP562)</f>
        <v>#VALUE!</v>
      </c>
      <c r="AR562" s="446" t="e">
        <f>IF(OR($B562="",MIN(AR$38,$D$19)&lt;MAX($P$34*($B562+IF($R$17="Distrato",$I$38-1,0)),IF(AND($L$37=0,$P$34=0),"",$L$37-1),IF($R$17="Distrato",$E562,0))),0,YEARFRAC(MAX($P$34*($B562+IF($R$17="Distrato",$I$38-1,0)),IF(AND($L$37=0,$P$34=0),"",$L$37-1),IF($R$17="Distrato",$E562,0)),MIN(AR$38,$D$19),$P$20))-SUM($P562:AQ562)</f>
        <v>#VALUE!</v>
      </c>
      <c r="AS562" s="446" t="e">
        <f>IF(OR($B562="",MIN(AS$38,$D$19)&lt;MAX($P$34*($B562+IF($R$17="Distrato",$I$38-1,0)),IF(AND($L$37=0,$P$34=0),"",$L$37-1),IF($R$17="Distrato",$E562,0))),0,YEARFRAC(MAX($P$34*($B562+IF($R$17="Distrato",$I$38-1,0)),IF(AND($L$37=0,$P$34=0),"",$L$37-1),IF($R$17="Distrato",$E562,0)),MIN(AS$38,$D$19),$P$20))-SUM($P562:AR562)</f>
        <v>#VALUE!</v>
      </c>
      <c r="AT562" s="446" t="e">
        <f>IF(OR($B562="",MIN(AT$38,$D$19)&lt;MAX($P$34*($B562+IF($R$17="Distrato",$I$38-1,0)),IF(AND($L$37=0,$P$34=0),"",$L$37-1),IF($R$17="Distrato",$E562,0))),0,YEARFRAC(MAX($P$34*($B562+IF($R$17="Distrato",$I$38-1,0)),IF(AND($L$37=0,$P$34=0),"",$L$37-1),IF($R$17="Distrato",$E562,0)),MIN(AT$38,$D$19),$P$20))-SUM($P562:AS562)</f>
        <v>#VALUE!</v>
      </c>
      <c r="AU562" s="446" t="e">
        <f>IF(OR($B562="",MIN(AU$38,$D$19)&lt;MAX($P$34*($B562+IF($R$17="Distrato",$I$38-1,0)),IF(AND($L$37=0,$P$34=0),"",$L$37-1),IF($R$17="Distrato",$E562,0))),0,YEARFRAC(MAX($P$34*($B562+IF($R$17="Distrato",$I$38-1,0)),IF(AND($L$37=0,$P$34=0),"",$L$37-1),IF($R$17="Distrato",$E562,0)),MIN(AU$38,$D$19),$P$20))-SUM($P562:AT562)</f>
        <v>#VALUE!</v>
      </c>
      <c r="AV562" s="446" t="e">
        <f>IF(OR($B562="",MIN(AV$38,$D$19)&lt;MAX($P$34*($B562+IF($R$17="Distrato",$I$38-1,0)),IF(AND($L$37=0,$P$34=0),"",$L$37-1),IF($R$17="Distrato",$E562,0))),0,YEARFRAC(MAX($P$34*($B562+IF($R$17="Distrato",$I$38-1,0)),IF(AND($L$37=0,$P$34=0),"",$L$37-1),IF($R$17="Distrato",$E562,0)),MIN(AV$38,$D$19),$P$20))-SUM($P562:AU562)</f>
        <v>#VALUE!</v>
      </c>
      <c r="AW562" s="446" t="e">
        <f>IF(OR($B562="",MIN(AW$38,$D$19)&lt;MAX($P$34*($B562+IF($R$17="Distrato",$I$38-1,0)),IF(AND($L$37=0,$P$34=0),"",$L$37-1),IF($R$17="Distrato",$E562,0))),0,YEARFRAC(MAX($P$34*($B562+IF($R$17="Distrato",$I$38-1,0)),IF(AND($L$37=0,$P$34=0),"",$L$37-1),IF($R$17="Distrato",$E562,0)),MIN(AW$38,$D$19),$P$20))-SUM($P562:AV562)</f>
        <v>#VALUE!</v>
      </c>
      <c r="AX562" s="446" t="e">
        <f>IF(OR($B562="",MIN(AX$38,$D$19)&lt;MAX($P$34*($B562+IF($R$17="Distrato",$I$38-1,0)),IF(AND($L$37=0,$P$34=0),"",$L$37-1),IF($R$17="Distrato",$E562,0))),0,YEARFRAC(MAX($P$34*($B562+IF($R$17="Distrato",$I$38-1,0)),IF(AND($L$37=0,$P$34=0),"",$L$37-1),IF($R$17="Distrato",$E562,0)),MIN(AX$38,$D$19),$P$20))-SUM($P562:AW562)</f>
        <v>#VALUE!</v>
      </c>
      <c r="AY562" s="446" t="e">
        <f>IF(OR($B562="",MIN(AY$38,$D$19)&lt;MAX($P$34*($B562+IF($R$17="Distrato",$I$38-1,0)),IF(AND($L$37=0,$P$34=0),"",$L$37-1),IF($R$17="Distrato",$E562,0))),0,YEARFRAC(MAX($P$34*($B562+IF($R$17="Distrato",$I$38-1,0)),IF(AND($L$37=0,$P$34=0),"",$L$37-1),IF($R$17="Distrato",$E562,0)),MIN(AY$38,$D$19),$P$20))-SUM($P562:AX562)</f>
        <v>#VALUE!</v>
      </c>
      <c r="AZ562" s="446" t="e">
        <f>IF(OR($B562="",MIN(AZ$38,$D$19)&lt;MAX($P$34*($B562+IF($R$17="Distrato",$I$38-1,0)),IF(AND($L$37=0,$P$34=0),"",$L$37-1),IF($R$17="Distrato",$E562,0))),0,YEARFRAC(MAX($P$34*($B562+IF($R$17="Distrato",$I$38-1,0)),IF(AND($L$37=0,$P$34=0),"",$L$37-1),IF($R$17="Distrato",$E562,0)),MIN(AZ$38,$D$19),$P$20))-SUM($P562:AY562)</f>
        <v>#VALUE!</v>
      </c>
      <c r="BA562" s="446" t="e">
        <f>IF(OR($B562="",MIN(BA$38,$D$19)&lt;MAX($P$34*($B562+IF($R$17="Distrato",$I$38-1,0)),IF(AND($L$37=0,$P$34=0),"",$L$37-1),IF($R$17="Distrato",$E562,0))),0,YEARFRAC(MAX($P$34*($B562+IF($R$17="Distrato",$I$38-1,0)),IF(AND($L$37=0,$P$34=0),"",$L$37-1),IF($R$17="Distrato",$E562,0)),MIN(BA$38,$D$19),$P$20))-SUM($P562:AZ562)</f>
        <v>#VALUE!</v>
      </c>
      <c r="BB562" s="447"/>
      <c r="BF562" s="446">
        <f t="shared" si="98"/>
        <v>0</v>
      </c>
      <c r="BG562" s="446">
        <f>IF($E562=0,0,IF(MIN(BG$38,$E562)&lt;MAX($P$34*($B562+$I$38-1),IF(AND($L$37=0,$P$34=0),"",$L$37-1)),0,YEARFRAC(MAX($P$34*($B562+$I$38-1),IF(AND($L$37=0,$P$34=0),"",$L$37-1)),MIN(BG$38,$E562),$P$20))-SUM($BF562:BF562))</f>
        <v>0</v>
      </c>
      <c r="BH562" s="446">
        <f>IF($E562=0,0,IF(MIN(BH$38,$E562)&lt;MAX($P$34*($B562+$I$38-1),IF(AND($L$37=0,$P$34=0),"",$L$37-1)),0,YEARFRAC(MAX($P$34*($B562+$I$38-1),IF(AND($L$37=0,$P$34=0),"",$L$37-1)),MIN(BH$38,$E562),$P$20))-SUM($BF562:BG562))</f>
        <v>0</v>
      </c>
      <c r="BI562" s="446">
        <f>IF($E562=0,0,IF(MIN(BI$38,$E562)&lt;MAX($P$34*($B562+$I$38-1),IF(AND($L$37=0,$P$34=0),"",$L$37-1)),0,YEARFRAC(MAX($P$34*($B562+$I$38-1),IF(AND($L$37=0,$P$34=0),"",$L$37-1)),MIN(BI$38,$E562),$P$20))-SUM($BF562:BH562))</f>
        <v>0</v>
      </c>
      <c r="BJ562" s="446">
        <f>IF($E562=0,0,IF(MIN(BJ$38,$E562)&lt;MAX($P$34*($B562+$I$38-1),IF(AND($L$37=0,$P$34=0),"",$L$37-1)),0,YEARFRAC(MAX($P$34*($B562+$I$38-1),IF(AND($L$37=0,$P$34=0),"",$L$37-1)),MIN(BJ$38,$E562),$P$20))-SUM($BF562:BI562))</f>
        <v>0</v>
      </c>
      <c r="BK562" s="446">
        <f>IF($E562=0,0,IF(MIN(BK$38,$E562)&lt;MAX($P$34*($B562+$I$38-1),IF(AND($L$37=0,$P$34=0),"",$L$37-1)),0,YEARFRAC(MAX($P$34*($B562+$I$38-1),IF(AND($L$37=0,$P$34=0),"",$L$37-1)),MIN(BK$38,$E562),$P$20))-SUM($BF562:BJ562))</f>
        <v>0</v>
      </c>
      <c r="BL562" s="446">
        <f>IF($E562=0,0,IF(MIN(BL$38,$E562)&lt;MAX($P$34*($B562+$I$38-1),IF(AND($L$37=0,$P$34=0),"",$L$37-1)),0,YEARFRAC(MAX($P$34*($B562+$I$38-1),IF(AND($L$37=0,$P$34=0),"",$L$37-1)),MIN(BL$38,$E562),$P$20))-SUM($BF562:BK562))</f>
        <v>0</v>
      </c>
      <c r="BM562" s="446">
        <f>IF($E562=0,0,IF(MIN(BM$38,$E562)&lt;MAX($P$34*($B562+$I$38-1),IF(AND($L$37=0,$P$34=0),"",$L$37-1)),0,YEARFRAC(MAX($P$34*($B562+$I$38-1),IF(AND($L$37=0,$P$34=0),"",$L$37-1)),MIN(BM$38,$E562),$P$20))-SUM($BF562:BL562))</f>
        <v>0</v>
      </c>
      <c r="BN562" s="446">
        <f>IF($E562=0,0,IF(MIN(BN$38,$E562)&lt;MAX($P$34*($B562+$I$38-1),IF(AND($L$37=0,$P$34=0),"",$L$37-1)),0,YEARFRAC(MAX($P$34*($B562+$I$38-1),IF(AND($L$37=0,$P$34=0),"",$L$37-1)),MIN(BN$38,$E562),$P$20))-SUM($BF562:BM562))</f>
        <v>0</v>
      </c>
      <c r="BO562" s="446">
        <f>IF($E562=0,0,IF(MIN(BO$38,$E562)&lt;MAX($P$34*($B562+$I$38-1),IF(AND($L$37=0,$P$34=0),"",$L$37-1)),0,YEARFRAC(MAX($P$34*($B562+$I$38-1),IF(AND($L$37=0,$P$34=0),"",$L$37-1)),MIN(BO$38,$E562),$P$20))-SUM($BF562:BN562))</f>
        <v>0</v>
      </c>
      <c r="BP562" s="446">
        <f>IF($E562=0,0,IF(MIN(BP$38,$E562)&lt;MAX($P$34*($B562+$I$38-1),IF(AND($L$37=0,$P$34=0),"",$L$37-1)),0,YEARFRAC(MAX($P$34*($B562+$I$38-1),IF(AND($L$37=0,$P$34=0),"",$L$37-1)),MIN(BP$38,$E562),$P$20))-SUM($BF562:BO562))</f>
        <v>0</v>
      </c>
      <c r="BQ562" s="446">
        <f>IF($E562=0,0,IF(MIN(BQ$38,$E562)&lt;MAX($P$34*($B562+$I$38-1),IF(AND($L$37=0,$P$34=0),"",$L$37-1)),0,YEARFRAC(MAX($P$34*($B562+$I$38-1),IF(AND($L$37=0,$P$34=0),"",$L$37-1)),MIN(BQ$38,$E562),$P$20))-SUM($BF562:BP562))</f>
        <v>0</v>
      </c>
      <c r="BR562" s="446">
        <f>IF($E562=0,0,IF(MIN(BR$38,$E562)&lt;MAX($P$34*($B562+$I$38-1),IF(AND($L$37=0,$P$34=0),"",$L$37-1)),0,YEARFRAC(MAX($P$34*($B562+$I$38-1),IF(AND($L$37=0,$P$34=0),"",$L$37-1)),MIN(BR$38,$E562),$P$20))-SUM($BF562:BQ562))</f>
        <v>0</v>
      </c>
      <c r="BS562" s="446">
        <f>IF($E562=0,0,IF(MIN(BS$38,$E562)&lt;MAX($P$34*($B562+$I$38-1),IF(AND($L$37=0,$P$34=0),"",$L$37-1)),0,YEARFRAC(MAX($P$34*($B562+$I$38-1),IF(AND($L$37=0,$P$34=0),"",$L$37-1)),MIN(BS$38,$E562),$P$20))-SUM($BF562:BR562))</f>
        <v>0</v>
      </c>
      <c r="BT562" s="446">
        <f>IF($E562=0,0,IF(MIN(BT$38,$E562)&lt;MAX($P$34*($B562+$I$38-1),IF(AND($L$37=0,$P$34=0),"",$L$37-1)),0,YEARFRAC(MAX($P$34*($B562+$I$38-1),IF(AND($L$37=0,$P$34=0),"",$L$37-1)),MIN(BT$38,$E562),$P$20))-SUM($BF562:BS562))</f>
        <v>0</v>
      </c>
      <c r="BU562" s="446">
        <f>IF($E562=0,0,IF(MIN(BU$38,$E562)&lt;MAX($P$34*($B562+$I$38-1),IF(AND($L$37=0,$P$34=0),"",$L$37-1)),0,YEARFRAC(MAX($P$34*($B562+$I$38-1),IF(AND($L$37=0,$P$34=0),"",$L$37-1)),MIN(BU$38,$E562),$P$20))-SUM($BF562:BT562))</f>
        <v>0</v>
      </c>
      <c r="BV562" s="446">
        <f>IF($E562=0,0,IF(MIN(BV$38,$E562)&lt;MAX($P$34*($B562+$I$38-1),IF(AND($L$37=0,$P$34=0),"",$L$37-1)),0,YEARFRAC(MAX($P$34*($B562+$I$38-1),IF(AND($L$37=0,$P$34=0),"",$L$37-1)),MIN(BV$38,$E562),$P$20))-SUM($BF562:BU562))</f>
        <v>0</v>
      </c>
      <c r="BW562" s="446">
        <f>IF($E562=0,0,IF(MIN(BW$38,$E562)&lt;MAX($P$34*($B562+$I$38-1),IF(AND($L$37=0,$P$34=0),"",$L$37-1)),0,YEARFRAC(MAX($P$34*($B562+$I$38-1),IF(AND($L$37=0,$P$34=0),"",$L$37-1)),MIN(BW$38,$E562),$P$20))-SUM($BF562:BV562))</f>
        <v>0</v>
      </c>
      <c r="BX562" s="446">
        <f>IF($E562=0,0,IF(MIN(BX$38,$E562)&lt;MAX($P$34*($B562+$I$38-1),IF(AND($L$37=0,$P$34=0),"",$L$37-1)),0,YEARFRAC(MAX($P$34*($B562+$I$38-1),IF(AND($L$37=0,$P$34=0),"",$L$37-1)),MIN(BX$38,$E562),$P$20))-SUM($BF562:BW562))</f>
        <v>0</v>
      </c>
      <c r="BY562" s="446">
        <f>IF($E562=0,0,IF(MIN(BY$38,$E562)&lt;MAX($P$34*($B562+$I$38-1),IF(AND($L$37=0,$P$34=0),"",$L$37-1)),0,YEARFRAC(MAX($P$34*($B562+$I$38-1),IF(AND($L$37=0,$P$34=0),"",$L$37-1)),MIN(BY$38,$E562),$P$20))-SUM($BF562:BX562))</f>
        <v>0</v>
      </c>
      <c r="BZ562" s="446">
        <f>IF($E562=0,0,IF(MIN(BZ$38,$E562)&lt;MAX($P$34*($B562+$I$38-1),IF(AND($L$37=0,$P$34=0),"",$L$37-1)),0,YEARFRAC(MAX($P$34*($B562+$I$38-1),IF(AND($L$37=0,$P$34=0),"",$L$37-1)),MIN(BZ$38,$E562),$P$20))-SUM($BF562:BY562))</f>
        <v>0</v>
      </c>
      <c r="CA562" s="446">
        <f>IF($E562=0,0,IF(MIN(CA$38,$E562)&lt;MAX($P$34*($B562+$I$38-1),IF(AND($L$37=0,$P$34=0),"",$L$37-1)),0,YEARFRAC(MAX($P$34*($B562+$I$38-1),IF(AND($L$37=0,$P$34=0),"",$L$37-1)),MIN(CA$38,$E562),$P$20))-SUM($BF562:BZ562))</f>
        <v>0</v>
      </c>
      <c r="CB562" s="446">
        <f>IF($E562=0,0,IF(MIN(CB$38,$E562)&lt;MAX($P$34*($B562+$I$38-1),IF(AND($L$37=0,$P$34=0),"",$L$37-1)),0,YEARFRAC(MAX($P$34*($B562+$I$38-1),IF(AND($L$37=0,$P$34=0),"",$L$37-1)),MIN(CB$38,$E562),$P$20))-SUM($BF562:CA562))</f>
        <v>0</v>
      </c>
      <c r="CC562" s="446">
        <f>IF($E562=0,0,IF(MIN(CC$38,$E562)&lt;MAX($P$34*($B562+$I$38-1),IF(AND($L$37=0,$P$34=0),"",$L$37-1)),0,YEARFRAC(MAX($P$34*($B562+$I$38-1),IF(AND($L$37=0,$P$34=0),"",$L$37-1)),MIN(CC$38,$E562),$P$20))-SUM($BF562:CB562))</f>
        <v>0</v>
      </c>
      <c r="CD562" s="446">
        <f>IF($E562=0,0,IF(MIN(CD$38,$E562)&lt;MAX($P$34*($B562+$I$38-1),IF(AND($L$37=0,$P$34=0),"",$L$37-1)),0,YEARFRAC(MAX($P$34*($B562+$I$38-1),IF(AND($L$37=0,$P$34=0),"",$L$37-1)),MIN(CD$38,$E562),$P$20))-SUM($BF562:CC562))</f>
        <v>0</v>
      </c>
      <c r="CE562" s="446">
        <f>IF($E562=0,0,IF(MIN(CE$38,$E562)&lt;MAX($P$34*($B562+$I$38-1),IF(AND($L$37=0,$P$34=0),"",$L$37-1)),0,YEARFRAC(MAX($P$34*($B562+$I$38-1),IF(AND($L$37=0,$P$34=0),"",$L$37-1)),MIN(CE$38,$E562),$P$20))-SUM($BF562:CD562))</f>
        <v>0</v>
      </c>
      <c r="CF562" s="446">
        <f>IF($E562=0,0,IF(MIN(CF$38,$E562)&lt;MAX($P$34*($B562+$I$38-1),IF(AND($L$37=0,$P$34=0),"",$L$37-1)),0,YEARFRAC(MAX($P$34*($B562+$I$38-1),IF(AND($L$37=0,$P$34=0),"",$L$37-1)),MIN(CF$38,$E562),$P$20))-SUM($BF562:CE562))</f>
        <v>0</v>
      </c>
      <c r="CG562" s="446">
        <f>IF($E562=0,0,IF(MIN(CG$38,$E562)&lt;MAX($P$34*($B562+$I$38-1),IF(AND($L$37=0,$P$34=0),"",$L$37-1)),0,YEARFRAC(MAX($P$34*($B562+$I$38-1),IF(AND($L$37=0,$P$34=0),"",$L$37-1)),MIN(CG$38,$E562),$P$20))-SUM($BF562:CF562))</f>
        <v>0</v>
      </c>
      <c r="CH562" s="446">
        <f>IF($E562=0,0,IF(MIN(CH$38,$E562)&lt;MAX($P$34*($B562+$I$38-1),IF(AND($L$37=0,$P$34=0),"",$L$37-1)),0,YEARFRAC(MAX($P$34*($B562+$I$38-1),IF(AND($L$37=0,$P$34=0),"",$L$37-1)),MIN(CH$38,$E562),$P$20))-SUM($BF562:CG562))</f>
        <v>0</v>
      </c>
      <c r="CI562" s="446">
        <f>IF($E562=0,0,IF(MIN(CI$38,$E562)&lt;MAX($P$34*($B562+$I$38-1),IF(AND($L$37=0,$P$34=0),"",$L$37-1)),0,YEARFRAC(MAX($P$34*($B562+$I$38-1),IF(AND($L$37=0,$P$34=0),"",$L$37-1)),MIN(CI$38,$E562),$P$20))-SUM($BF562:CH562))</f>
        <v>0</v>
      </c>
      <c r="CJ562" s="446">
        <f>IF($E562=0,0,IF(MIN(CJ$38,$E562)&lt;MAX($P$34*($B562+$I$38-1),IF(AND($L$37=0,$P$34=0),"",$L$37-1)),0,YEARFRAC(MAX($P$34*($B562+$I$38-1),IF(AND($L$37=0,$P$34=0),"",$L$37-1)),MIN(CJ$38,$E562),$P$20))-SUM($BF562:CI562))</f>
        <v>0</v>
      </c>
      <c r="CK562" s="446">
        <f>IF($E562=0,0,IF(MIN(CK$38,$E562)&lt;MAX($P$34*($B562+$I$38-1),IF(AND($L$37=0,$P$34=0),"",$L$37-1)),0,YEARFRAC(MAX($P$34*($B562+$I$38-1),IF(AND($L$37=0,$P$34=0),"",$L$37-1)),MIN(CK$38,$E562),$P$20))-SUM($BF562:CJ562))</f>
        <v>0</v>
      </c>
      <c r="CL562" s="446">
        <f>IF($E562=0,0,IF(MIN(CL$38,$E562)&lt;MAX($P$34*($B562+$I$38-1),IF(AND($L$37=0,$P$34=0),"",$L$37-1)),0,YEARFRAC(MAX($P$34*($B562+$I$38-1),IF(AND($L$37=0,$P$34=0),"",$L$37-1)),MIN(CL$38,$E562),$P$20))-SUM($BF562:CK562))</f>
        <v>0</v>
      </c>
      <c r="CM562" s="446">
        <f>IF($E562=0,0,IF(MIN(CM$38,$E562)&lt;MAX($P$34*($B562+$I$38-1),IF(AND($L$37=0,$P$34=0),"",$L$37-1)),0,YEARFRAC(MAX($P$34*($B562+$I$38-1),IF(AND($L$37=0,$P$34=0),"",$L$37-1)),MIN(CM$38,$E562),$P$20))-SUM($BF562:CL562))</f>
        <v>0</v>
      </c>
      <c r="CN562" s="446">
        <f>IF($E562=0,0,IF(MIN(CN$38,$E562)&lt;MAX($P$34*($B562+$I$38-1),IF(AND($L$37=0,$P$34=0),"",$L$37-1)),0,YEARFRAC(MAX($P$34*($B562+$I$38-1),IF(AND($L$37=0,$P$34=0),"",$L$37-1)),MIN(CN$38,$E562),$P$20))-SUM($BF562:CM562))</f>
        <v>0</v>
      </c>
      <c r="CO562" s="446">
        <f>IF($E562=0,0,IF(MIN(CO$38,$E562)&lt;MAX($P$34*($B562+$I$38-1),IF(AND($L$37=0,$P$34=0),"",$L$37-1)),0,YEARFRAC(MAX($P$34*($B562+$I$38-1),IF(AND($L$37=0,$P$34=0),"",$L$37-1)),MIN(CO$38,$E562),$P$20))-SUM($BF562:CN562))</f>
        <v>0</v>
      </c>
      <c r="CP562" s="446">
        <f>IF($E562=0,0,IF(MIN(CP$38,$E562)&lt;MAX($P$34*($B562+$I$38-1),IF(AND($L$37=0,$P$34=0),"",$L$37-1)),0,YEARFRAC(MAX($P$34*($B562+$I$38-1),IF(AND($L$37=0,$P$34=0),"",$L$37-1)),MIN(CP$38,$E562),$P$20))-SUM($BF562:CO562))</f>
        <v>0</v>
      </c>
      <c r="CQ562" s="446">
        <f>IF($E562=0,0,IF(MIN(CQ$38,$E562)&lt;MAX($P$34*($B562+$I$38-1),IF(AND($L$37=0,$P$34=0),"",$L$37-1)),0,YEARFRAC(MAX($P$34*($B562+$I$38-1),IF(AND($L$37=0,$P$34=0),"",$L$37-1)),MIN(CQ$38,$E562),$P$20))-SUM($BF562:CP562))</f>
        <v>0</v>
      </c>
    </row>
    <row r="563" spans="1:95" s="446" customFormat="1" ht="11.25" hidden="1" customHeight="1" x14ac:dyDescent="0.2">
      <c r="A563" s="152"/>
      <c r="B563" s="153" t="str">
        <f t="shared" si="103"/>
        <v/>
      </c>
      <c r="C563" s="29" t="str">
        <f>IF(B563="","",IF($L$35="SELIC - TRIBUTOS",VLOOKUP(DATE(YEAR($D$19),MONTH($D$19)-1,1),ÍNDICES!$A:$DE,HLOOKUP($BL$25,ÍNDICES!$B$3:$T$4,2)+11)-VLOOKUP(B563,ÍNDICES!$A:$DE,HLOOKUP($BL$25,ÍNDICES!$B$3:$T$4,2)+11)+1%,IF(C$38=$W$26,$J$35,IF(ISERROR(IF(B563&gt;$D$19,1,VLOOKUP(DATE(YEAR(B563),MONTH(B563)+IF($C$35=$S$23,1,0),1),ÍNDICES!$A:$DE,$Z$35+1))),"",IF(B563&gt;$D$19,1,VLOOKUP(DATE(YEAR(B563),MONTH(B563)+IF($C$35=$S$23,1,0),1),ÍNDICES!$A:$DE,$Z$35+1))))))</f>
        <v/>
      </c>
      <c r="D563" s="154" t="str">
        <f>IF(ISERROR(IF(OR($D$38=$Y$27,$B563=""),"",VLOOKUP(B563,ÍNDICES!A:DE,AF$35+1))),"",IF(OR($D$38=$Y$27,$B563=""),"",VLOOKUP(B563,ÍNDICES!A:DE,AF$35+1)))</f>
        <v/>
      </c>
      <c r="E563" s="153"/>
      <c r="F563" s="29" t="str">
        <f>IF(E563="","",IF($L$35="SELIC - TRIBUTOS",VLOOKUP(DATE(YEAR($D$19),MONTH($D$19)-1,1),ÍNDICES!$A:$DE,HLOOKUP($BL$25,ÍNDICES!$B$3:$T$4,2)+11)-VLOOKUP(E563,ÍNDICES!$A:$DE,HLOOKUP($BL$25,ÍNDICES!$B$3:$T$4,2)+11)+1%,IF(F$38=$W$26,$J$35,IF(ISERROR(IF(E563&gt;$D$19,1,VLOOKUP(DATE(YEAR(E563),MONTH(E563)+IF($C$35=$S$23,1,0),1),ÍNDICES!$A:$DE,$Z$35+1))),"",IF(E563&gt;$D$19,1,VLOOKUP(DATE(YEAR(E563),MONTH(E563)+IF($C$35=$S$23,1,0),1),ÍNDICES!$A:$DE,$Z$35+1))))))</f>
        <v/>
      </c>
      <c r="G563" s="155"/>
      <c r="H563" s="156" t="str">
        <f t="shared" si="99"/>
        <v/>
      </c>
      <c r="I563" s="29" t="str">
        <f t="shared" si="93"/>
        <v/>
      </c>
      <c r="J563" s="5">
        <f t="shared" si="94"/>
        <v>0</v>
      </c>
      <c r="K563" s="20">
        <f t="shared" ca="1" si="95"/>
        <v>0</v>
      </c>
      <c r="L563" s="5">
        <f t="shared" ca="1" si="96"/>
        <v>0</v>
      </c>
      <c r="M563" s="64">
        <f t="shared" si="100"/>
        <v>0</v>
      </c>
      <c r="N563" s="61">
        <f t="shared" ca="1" si="101"/>
        <v>0</v>
      </c>
      <c r="O563" s="5">
        <f t="shared" ca="1" si="102"/>
        <v>0</v>
      </c>
      <c r="P563" s="446" t="e">
        <f t="shared" si="97"/>
        <v>#VALUE!</v>
      </c>
      <c r="Q563" s="446" t="e">
        <f>IF(OR($B563="",MIN(Q$38,$D$19)&lt;MAX($P$34*($B563+IF($R$17="Distrato",$I$38-1,0)),IF(AND($L$37=0,$P$34=0),"",$L$37-1),IF($R$17="Distrato",$E563,0))),0,YEARFRAC(MAX($P$34*($B563+IF($R$17="Distrato",$I$38-1,0)),IF(AND($L$37=0,$P$34=0),"",$L$37-1),IF($R$17="Distrato",$E563,0)),MIN(Q$38,$D$19),$P$20))-SUM($P563:P563)</f>
        <v>#VALUE!</v>
      </c>
      <c r="R563" s="446" t="e">
        <f>IF(OR($B563="",MIN(R$38,$D$19)&lt;MAX($P$34*($B563+IF($R$17="Distrato",$I$38-1,0)),IF(AND($L$37=0,$P$34=0),"",$L$37-1),IF($R$17="Distrato",$E563,0))),0,YEARFRAC(MAX($P$34*($B563+IF($R$17="Distrato",$I$38-1,0)),IF(AND($L$37=0,$P$34=0),"",$L$37-1),IF($R$17="Distrato",$E563,0)),MIN(R$38,$D$19),$P$20))-SUM($P563:Q563)</f>
        <v>#VALUE!</v>
      </c>
      <c r="S563" s="446" t="e">
        <f>IF(OR($B563="",MIN(S$38,$D$19)&lt;MAX($P$34*($B563+IF($R$17="Distrato",$I$38-1,0)),IF(AND($L$37=0,$P$34=0),"",$L$37-1),IF($R$17="Distrato",$E563,0))),0,YEARFRAC(MAX($P$34*($B563+IF($R$17="Distrato",$I$38-1,0)),IF(AND($L$37=0,$P$34=0),"",$L$37-1),IF($R$17="Distrato",$E563,0)),MIN(S$38,$D$19),$P$20))-SUM($P563:R563)</f>
        <v>#VALUE!</v>
      </c>
      <c r="T563" s="446" t="e">
        <f>IF(OR($B563="",MIN(T$38,$D$19)&lt;MAX($P$34*($B563+IF($R$17="Distrato",$I$38-1,0)),IF(AND($L$37=0,$P$34=0),"",$L$37-1),IF($R$17="Distrato",$E563,0))),0,YEARFRAC(MAX($P$34*($B563+IF($R$17="Distrato",$I$38-1,0)),IF(AND($L$37=0,$P$34=0),"",$L$37-1),IF($R$17="Distrato",$E563,0)),MIN(T$38,$D$19),$P$20))-SUM($P563:S563)</f>
        <v>#VALUE!</v>
      </c>
      <c r="U563" s="446" t="e">
        <f>IF(OR($B563="",MIN(U$38,$D$19)&lt;MAX($P$34*($B563+IF($R$17="Distrato",$I$38-1,0)),IF(AND($L$37=0,$P$34=0),"",$L$37-1),IF($R$17="Distrato",$E563,0))),0,YEARFRAC(MAX($P$34*($B563+IF($R$17="Distrato",$I$38-1,0)),IF(AND($L$37=0,$P$34=0),"",$L$37-1),IF($R$17="Distrato",$E563,0)),MIN(U$38,$D$19),$P$20))-SUM($P563:T563)</f>
        <v>#VALUE!</v>
      </c>
      <c r="V563" s="446" t="e">
        <f>IF(OR($B563="",MIN(V$38,$D$19)&lt;MAX($P$34*($B563+IF($R$17="Distrato",$I$38-1,0)),IF(AND($L$37=0,$P$34=0),"",$L$37-1),IF($R$17="Distrato",$E563,0))),0,YEARFRAC(MAX($P$34*($B563+IF($R$17="Distrato",$I$38-1,0)),IF(AND($L$37=0,$P$34=0),"",$L$37-1),IF($R$17="Distrato",$E563,0)),MIN(V$38,$D$19),$P$20))-SUM($P563:U563)</f>
        <v>#VALUE!</v>
      </c>
      <c r="W563" s="446" t="e">
        <f>IF(OR($B563="",MIN(W$38,$D$19)&lt;MAX($P$34*($B563+IF($R$17="Distrato",$I$38-1,0)),IF(AND($L$37=0,$P$34=0),"",$L$37-1),IF($R$17="Distrato",$E563,0))),0,YEARFRAC(MAX($P$34*($B563+IF($R$17="Distrato",$I$38-1,0)),IF(AND($L$37=0,$P$34=0),"",$L$37-1),IF($R$17="Distrato",$E563,0)),MIN(W$38,$D$19),$P$20))-SUM($P563:V563)</f>
        <v>#VALUE!</v>
      </c>
      <c r="X563" s="446" t="e">
        <f>IF(OR($B563="",MIN(X$38,$D$19)&lt;MAX($P$34*($B563+IF($R$17="Distrato",$I$38-1,0)),IF(AND($L$37=0,$P$34=0),"",$L$37-1),IF($R$17="Distrato",$E563,0))),0,YEARFRAC(MAX($P$34*($B563+IF($R$17="Distrato",$I$38-1,0)),IF(AND($L$37=0,$P$34=0),"",$L$37-1),IF($R$17="Distrato",$E563,0)),MIN(X$38,$D$19),$P$20))-SUM($P563:W563)</f>
        <v>#VALUE!</v>
      </c>
      <c r="Y563" s="446" t="e">
        <f>IF(OR($B563="",MIN(Y$38,$D$19)&lt;MAX($P$34*($B563+IF($R$17="Distrato",$I$38-1,0)),IF(AND($L$37=0,$P$34=0),"",$L$37-1),IF($R$17="Distrato",$E563,0))),0,YEARFRAC(MAX($P$34*($B563+IF($R$17="Distrato",$I$38-1,0)),IF(AND($L$37=0,$P$34=0),"",$L$37-1),IF($R$17="Distrato",$E563,0)),MIN(Y$38,$D$19),$P$20))-SUM($P563:X563)</f>
        <v>#VALUE!</v>
      </c>
      <c r="Z563" s="446" t="e">
        <f>IF(OR($B563="",MIN(Z$38,$D$19)&lt;MAX($P$34*($B563+IF($R$17="Distrato",$I$38-1,0)),IF(AND($L$37=0,$P$34=0),"",$L$37-1),IF($R$17="Distrato",$E563,0))),0,YEARFRAC(MAX($P$34*($B563+IF($R$17="Distrato",$I$38-1,0)),IF(AND($L$37=0,$P$34=0),"",$L$37-1),IF($R$17="Distrato",$E563,0)),MIN(Z$38,$D$19),$P$20))-SUM($P563:Y563)</f>
        <v>#VALUE!</v>
      </c>
      <c r="AA563" s="446" t="e">
        <f>IF(OR($B563="",MIN(AA$38,$D$19)&lt;MAX($P$34*($B563+IF($R$17="Distrato",$I$38-1,0)),IF(AND($L$37=0,$P$34=0),"",$L$37-1),IF($R$17="Distrato",$E563,0))),0,YEARFRAC(MAX($P$34*($B563+IF($R$17="Distrato",$I$38-1,0)),IF(AND($L$37=0,$P$34=0),"",$L$37-1),IF($R$17="Distrato",$E563,0)),MIN(AA$38,$D$19),$P$20))-SUM($P563:Z563)</f>
        <v>#VALUE!</v>
      </c>
      <c r="AB563" s="446" t="e">
        <f>IF(OR($B563="",MIN(AB$38,$D$19)&lt;MAX($P$34*($B563+IF($R$17="Distrato",$I$38-1,0)),IF(AND($L$37=0,$P$34=0),"",$L$37-1),IF($R$17="Distrato",$E563,0))),0,YEARFRAC(MAX($P$34*($B563+IF($R$17="Distrato",$I$38-1,0)),IF(AND($L$37=0,$P$34=0),"",$L$37-1),IF($R$17="Distrato",$E563,0)),MIN(AB$38,$D$19),$P$20))-SUM($P563:AA563)</f>
        <v>#VALUE!</v>
      </c>
      <c r="AC563" s="446" t="e">
        <f>IF(OR($B563="",MIN(AC$38,$D$19)&lt;MAX($P$34*($B563+IF($R$17="Distrato",$I$38-1,0)),IF(AND($L$37=0,$P$34=0),"",$L$37-1),IF($R$17="Distrato",$E563,0))),0,YEARFRAC(MAX($P$34*($B563+IF($R$17="Distrato",$I$38-1,0)),IF(AND($L$37=0,$P$34=0),"",$L$37-1),IF($R$17="Distrato",$E563,0)),MIN(AC$38,$D$19),$P$20))-SUM($P563:AB563)</f>
        <v>#VALUE!</v>
      </c>
      <c r="AD563" s="446" t="e">
        <f>IF(OR($B563="",MIN(AD$38,$D$19)&lt;MAX($P$34*($B563+IF($R$17="Distrato",$I$38-1,0)),IF(AND($L$37=0,$P$34=0),"",$L$37-1),IF($R$17="Distrato",$E563,0))),0,YEARFRAC(MAX($P$34*($B563+IF($R$17="Distrato",$I$38-1,0)),IF(AND($L$37=0,$P$34=0),"",$L$37-1),IF($R$17="Distrato",$E563,0)),MIN(AD$38,$D$19),$P$20))-SUM($P563:AC563)</f>
        <v>#VALUE!</v>
      </c>
      <c r="AE563" s="446" t="e">
        <f>IF(OR($B563="",MIN(AE$38,$D$19)&lt;MAX($P$34*($B563+IF($R$17="Distrato",$I$38-1,0)),IF(AND($L$37=0,$P$34=0),"",$L$37-1),IF($R$17="Distrato",$E563,0))),0,YEARFRAC(MAX($P$34*($B563+IF($R$17="Distrato",$I$38-1,0)),IF(AND($L$37=0,$P$34=0),"",$L$37-1),IF($R$17="Distrato",$E563,0)),MIN(AE$38,$D$19),$P$20))-SUM($P563:AD563)</f>
        <v>#VALUE!</v>
      </c>
      <c r="AF563" s="446" t="e">
        <f>IF(OR($B563="",MIN(AF$38,$D$19)&lt;MAX($P$34*($B563+IF($R$17="Distrato",$I$38-1,0)),IF(AND($L$37=0,$P$34=0),"",$L$37-1),IF($R$17="Distrato",$E563,0))),0,YEARFRAC(MAX($P$34*($B563+IF($R$17="Distrato",$I$38-1,0)),IF(AND($L$37=0,$P$34=0),"",$L$37-1),IF($R$17="Distrato",$E563,0)),MIN(AF$38,$D$19),$P$20))-SUM($P563:AE563)</f>
        <v>#VALUE!</v>
      </c>
      <c r="AG563" s="446" t="e">
        <f>IF(OR($B563="",MIN(AG$38,$D$19)&lt;MAX($P$34*($B563+IF($R$17="Distrato",$I$38-1,0)),IF(AND($L$37=0,$P$34=0),"",$L$37-1),IF($R$17="Distrato",$E563,0))),0,YEARFRAC(MAX($P$34*($B563+IF($R$17="Distrato",$I$38-1,0)),IF(AND($L$37=0,$P$34=0),"",$L$37-1),IF($R$17="Distrato",$E563,0)),MIN(AG$38,$D$19),$P$20))-SUM($P563:AF563)</f>
        <v>#VALUE!</v>
      </c>
      <c r="AH563" s="446" t="e">
        <f>IF(OR($B563="",MIN(AH$38,$D$19)&lt;MAX($P$34*($B563+IF($R$17="Distrato",$I$38-1,0)),IF(AND($L$37=0,$P$34=0),"",$L$37-1),IF($R$17="Distrato",$E563,0))),0,YEARFRAC(MAX($P$34*($B563+IF($R$17="Distrato",$I$38-1,0)),IF(AND($L$37=0,$P$34=0),"",$L$37-1),IF($R$17="Distrato",$E563,0)),MIN(AH$38,$D$19),$P$20))-SUM($P563:AG563)</f>
        <v>#VALUE!</v>
      </c>
      <c r="AI563" s="446" t="e">
        <f>IF(OR($B563="",MIN(AI$38,$D$19)&lt;MAX($P$34*($B563+IF($R$17="Distrato",$I$38-1,0)),IF(AND($L$37=0,$P$34=0),"",$L$37-1),IF($R$17="Distrato",$E563,0))),0,YEARFRAC(MAX($P$34*($B563+IF($R$17="Distrato",$I$38-1,0)),IF(AND($L$37=0,$P$34=0),"",$L$37-1),IF($R$17="Distrato",$E563,0)),MIN(AI$38,$D$19),$P$20))-SUM($P563:AH563)</f>
        <v>#VALUE!</v>
      </c>
      <c r="AJ563" s="446" t="e">
        <f>IF(OR($B563="",MIN(AJ$38,$D$19)&lt;MAX($P$34*($B563+IF($R$17="Distrato",$I$38-1,0)),IF(AND($L$37=0,$P$34=0),"",$L$37-1),IF($R$17="Distrato",$E563,0))),0,YEARFRAC(MAX($P$34*($B563+IF($R$17="Distrato",$I$38-1,0)),IF(AND($L$37=0,$P$34=0),"",$L$37-1),IF($R$17="Distrato",$E563,0)),MIN(AJ$38,$D$19),$P$20))-SUM($P563:AI563)</f>
        <v>#VALUE!</v>
      </c>
      <c r="AK563" s="446" t="e">
        <f>IF(OR($B563="",MIN(AK$38,$D$19)&lt;MAX($P$34*($B563+IF($R$17="Distrato",$I$38-1,0)),IF(AND($L$37=0,$P$34=0),"",$L$37-1),IF($R$17="Distrato",$E563,0))),0,YEARFRAC(MAX($P$34*($B563+IF($R$17="Distrato",$I$38-1,0)),IF(AND($L$37=0,$P$34=0),"",$L$37-1),IF($R$17="Distrato",$E563,0)),MIN(AK$38,$D$19),$P$20))-SUM($P563:AJ563)</f>
        <v>#VALUE!</v>
      </c>
      <c r="AL563" s="446" t="e">
        <f>IF(OR($B563="",MIN(AL$38,$D$19)&lt;MAX($P$34*($B563+IF($R$17="Distrato",$I$38-1,0)),IF(AND($L$37=0,$P$34=0),"",$L$37-1),IF($R$17="Distrato",$E563,0))),0,YEARFRAC(MAX($P$34*($B563+IF($R$17="Distrato",$I$38-1,0)),IF(AND($L$37=0,$P$34=0),"",$L$37-1),IF($R$17="Distrato",$E563,0)),MIN(AL$38,$D$19),$P$20))-SUM($P563:AK563)</f>
        <v>#VALUE!</v>
      </c>
      <c r="AM563" s="446" t="e">
        <f>IF(OR($B563="",MIN(AM$38,$D$19)&lt;MAX($P$34*($B563+IF($R$17="Distrato",$I$38-1,0)),IF(AND($L$37=0,$P$34=0),"",$L$37-1),IF($R$17="Distrato",$E563,0))),0,YEARFRAC(MAX($P$34*($B563+IF($R$17="Distrato",$I$38-1,0)),IF(AND($L$37=0,$P$34=0),"",$L$37-1),IF($R$17="Distrato",$E563,0)),MIN(AM$38,$D$19),$P$20))-SUM($P563:AL563)</f>
        <v>#VALUE!</v>
      </c>
      <c r="AN563" s="446" t="e">
        <f>IF(OR($B563="",MIN(AN$38,$D$19)&lt;MAX($P$34*($B563+IF($R$17="Distrato",$I$38-1,0)),IF(AND($L$37=0,$P$34=0),"",$L$37-1),IF($R$17="Distrato",$E563,0))),0,YEARFRAC(MAX($P$34*($B563+IF($R$17="Distrato",$I$38-1,0)),IF(AND($L$37=0,$P$34=0),"",$L$37-1),IF($R$17="Distrato",$E563,0)),MIN(AN$38,$D$19),$P$20))-SUM($P563:AM563)</f>
        <v>#VALUE!</v>
      </c>
      <c r="AO563" s="446" t="e">
        <f>IF(OR($B563="",MIN(AO$38,$D$19)&lt;MAX($P$34*($B563+IF($R$17="Distrato",$I$38-1,0)),IF(AND($L$37=0,$P$34=0),"",$L$37-1),IF($R$17="Distrato",$E563,0))),0,YEARFRAC(MAX($P$34*($B563+IF($R$17="Distrato",$I$38-1,0)),IF(AND($L$37=0,$P$34=0),"",$L$37-1),IF($R$17="Distrato",$E563,0)),MIN(AO$38,$D$19),$P$20))-SUM($P563:AN563)</f>
        <v>#VALUE!</v>
      </c>
      <c r="AP563" s="446" t="e">
        <f>IF(OR($B563="",MIN(AP$38,$D$19)&lt;MAX($P$34*($B563+IF($R$17="Distrato",$I$38-1,0)),IF(AND($L$37=0,$P$34=0),"",$L$37-1),IF($R$17="Distrato",$E563,0))),0,YEARFRAC(MAX($P$34*($B563+IF($R$17="Distrato",$I$38-1,0)),IF(AND($L$37=0,$P$34=0),"",$L$37-1),IF($R$17="Distrato",$E563,0)),MIN(AP$38,$D$19),$P$20))-SUM($P563:AO563)</f>
        <v>#VALUE!</v>
      </c>
      <c r="AQ563" s="446" t="e">
        <f>IF(OR($B563="",MIN(AQ$38,$D$19)&lt;MAX($P$34*($B563+IF($R$17="Distrato",$I$38-1,0)),IF(AND($L$37=0,$P$34=0),"",$L$37-1),IF($R$17="Distrato",$E563,0))),0,YEARFRAC(MAX($P$34*($B563+IF($R$17="Distrato",$I$38-1,0)),IF(AND($L$37=0,$P$34=0),"",$L$37-1),IF($R$17="Distrato",$E563,0)),MIN(AQ$38,$D$19),$P$20))-SUM($P563:AP563)</f>
        <v>#VALUE!</v>
      </c>
      <c r="AR563" s="446" t="e">
        <f>IF(OR($B563="",MIN(AR$38,$D$19)&lt;MAX($P$34*($B563+IF($R$17="Distrato",$I$38-1,0)),IF(AND($L$37=0,$P$34=0),"",$L$37-1),IF($R$17="Distrato",$E563,0))),0,YEARFRAC(MAX($P$34*($B563+IF($R$17="Distrato",$I$38-1,0)),IF(AND($L$37=0,$P$34=0),"",$L$37-1),IF($R$17="Distrato",$E563,0)),MIN(AR$38,$D$19),$P$20))-SUM($P563:AQ563)</f>
        <v>#VALUE!</v>
      </c>
      <c r="AS563" s="446" t="e">
        <f>IF(OR($B563="",MIN(AS$38,$D$19)&lt;MAX($P$34*($B563+IF($R$17="Distrato",$I$38-1,0)),IF(AND($L$37=0,$P$34=0),"",$L$37-1),IF($R$17="Distrato",$E563,0))),0,YEARFRAC(MAX($P$34*($B563+IF($R$17="Distrato",$I$38-1,0)),IF(AND($L$37=0,$P$34=0),"",$L$37-1),IF($R$17="Distrato",$E563,0)),MIN(AS$38,$D$19),$P$20))-SUM($P563:AR563)</f>
        <v>#VALUE!</v>
      </c>
      <c r="AT563" s="446" t="e">
        <f>IF(OR($B563="",MIN(AT$38,$D$19)&lt;MAX($P$34*($B563+IF($R$17="Distrato",$I$38-1,0)),IF(AND($L$37=0,$P$34=0),"",$L$37-1),IF($R$17="Distrato",$E563,0))),0,YEARFRAC(MAX($P$34*($B563+IF($R$17="Distrato",$I$38-1,0)),IF(AND($L$37=0,$P$34=0),"",$L$37-1),IF($R$17="Distrato",$E563,0)),MIN(AT$38,$D$19),$P$20))-SUM($P563:AS563)</f>
        <v>#VALUE!</v>
      </c>
      <c r="AU563" s="446" t="e">
        <f>IF(OR($B563="",MIN(AU$38,$D$19)&lt;MAX($P$34*($B563+IF($R$17="Distrato",$I$38-1,0)),IF(AND($L$37=0,$P$34=0),"",$L$37-1),IF($R$17="Distrato",$E563,0))),0,YEARFRAC(MAX($P$34*($B563+IF($R$17="Distrato",$I$38-1,0)),IF(AND($L$37=0,$P$34=0),"",$L$37-1),IF($R$17="Distrato",$E563,0)),MIN(AU$38,$D$19),$P$20))-SUM($P563:AT563)</f>
        <v>#VALUE!</v>
      </c>
      <c r="AV563" s="446" t="e">
        <f>IF(OR($B563="",MIN(AV$38,$D$19)&lt;MAX($P$34*($B563+IF($R$17="Distrato",$I$38-1,0)),IF(AND($L$37=0,$P$34=0),"",$L$37-1),IF($R$17="Distrato",$E563,0))),0,YEARFRAC(MAX($P$34*($B563+IF($R$17="Distrato",$I$38-1,0)),IF(AND($L$37=0,$P$34=0),"",$L$37-1),IF($R$17="Distrato",$E563,0)),MIN(AV$38,$D$19),$P$20))-SUM($P563:AU563)</f>
        <v>#VALUE!</v>
      </c>
      <c r="AW563" s="446" t="e">
        <f>IF(OR($B563="",MIN(AW$38,$D$19)&lt;MAX($P$34*($B563+IF($R$17="Distrato",$I$38-1,0)),IF(AND($L$37=0,$P$34=0),"",$L$37-1),IF($R$17="Distrato",$E563,0))),0,YEARFRAC(MAX($P$34*($B563+IF($R$17="Distrato",$I$38-1,0)),IF(AND($L$37=0,$P$34=0),"",$L$37-1),IF($R$17="Distrato",$E563,0)),MIN(AW$38,$D$19),$P$20))-SUM($P563:AV563)</f>
        <v>#VALUE!</v>
      </c>
      <c r="AX563" s="446" t="e">
        <f>IF(OR($B563="",MIN(AX$38,$D$19)&lt;MAX($P$34*($B563+IF($R$17="Distrato",$I$38-1,0)),IF(AND($L$37=0,$P$34=0),"",$L$37-1),IF($R$17="Distrato",$E563,0))),0,YEARFRAC(MAX($P$34*($B563+IF($R$17="Distrato",$I$38-1,0)),IF(AND($L$37=0,$P$34=0),"",$L$37-1),IF($R$17="Distrato",$E563,0)),MIN(AX$38,$D$19),$P$20))-SUM($P563:AW563)</f>
        <v>#VALUE!</v>
      </c>
      <c r="AY563" s="446" t="e">
        <f>IF(OR($B563="",MIN(AY$38,$D$19)&lt;MAX($P$34*($B563+IF($R$17="Distrato",$I$38-1,0)),IF(AND($L$37=0,$P$34=0),"",$L$37-1),IF($R$17="Distrato",$E563,0))),0,YEARFRAC(MAX($P$34*($B563+IF($R$17="Distrato",$I$38-1,0)),IF(AND($L$37=0,$P$34=0),"",$L$37-1),IF($R$17="Distrato",$E563,0)),MIN(AY$38,$D$19),$P$20))-SUM($P563:AX563)</f>
        <v>#VALUE!</v>
      </c>
      <c r="AZ563" s="446" t="e">
        <f>IF(OR($B563="",MIN(AZ$38,$D$19)&lt;MAX($P$34*($B563+IF($R$17="Distrato",$I$38-1,0)),IF(AND($L$37=0,$P$34=0),"",$L$37-1),IF($R$17="Distrato",$E563,0))),0,YEARFRAC(MAX($P$34*($B563+IF($R$17="Distrato",$I$38-1,0)),IF(AND($L$37=0,$P$34=0),"",$L$37-1),IF($R$17="Distrato",$E563,0)),MIN(AZ$38,$D$19),$P$20))-SUM($P563:AY563)</f>
        <v>#VALUE!</v>
      </c>
      <c r="BA563" s="446" t="e">
        <f>IF(OR($B563="",MIN(BA$38,$D$19)&lt;MAX($P$34*($B563+IF($R$17="Distrato",$I$38-1,0)),IF(AND($L$37=0,$P$34=0),"",$L$37-1),IF($R$17="Distrato",$E563,0))),0,YEARFRAC(MAX($P$34*($B563+IF($R$17="Distrato",$I$38-1,0)),IF(AND($L$37=0,$P$34=0),"",$L$37-1),IF($R$17="Distrato",$E563,0)),MIN(BA$38,$D$19),$P$20))-SUM($P563:AZ563)</f>
        <v>#VALUE!</v>
      </c>
      <c r="BB563" s="447"/>
      <c r="BF563" s="446">
        <f t="shared" si="98"/>
        <v>0</v>
      </c>
      <c r="BG563" s="446">
        <f>IF($E563=0,0,IF(MIN(BG$38,$E563)&lt;MAX($P$34*($B563+$I$38-1),IF(AND($L$37=0,$P$34=0),"",$L$37-1)),0,YEARFRAC(MAX($P$34*($B563+$I$38-1),IF(AND($L$37=0,$P$34=0),"",$L$37-1)),MIN(BG$38,$E563),$P$20))-SUM($BF563:BF563))</f>
        <v>0</v>
      </c>
      <c r="BH563" s="446">
        <f>IF($E563=0,0,IF(MIN(BH$38,$E563)&lt;MAX($P$34*($B563+$I$38-1),IF(AND($L$37=0,$P$34=0),"",$L$37-1)),0,YEARFRAC(MAX($P$34*($B563+$I$38-1),IF(AND($L$37=0,$P$34=0),"",$L$37-1)),MIN(BH$38,$E563),$P$20))-SUM($BF563:BG563))</f>
        <v>0</v>
      </c>
      <c r="BI563" s="446">
        <f>IF($E563=0,0,IF(MIN(BI$38,$E563)&lt;MAX($P$34*($B563+$I$38-1),IF(AND($L$37=0,$P$34=0),"",$L$37-1)),0,YEARFRAC(MAX($P$34*($B563+$I$38-1),IF(AND($L$37=0,$P$34=0),"",$L$37-1)),MIN(BI$38,$E563),$P$20))-SUM($BF563:BH563))</f>
        <v>0</v>
      </c>
      <c r="BJ563" s="446">
        <f>IF($E563=0,0,IF(MIN(BJ$38,$E563)&lt;MAX($P$34*($B563+$I$38-1),IF(AND($L$37=0,$P$34=0),"",$L$37-1)),0,YEARFRAC(MAX($P$34*($B563+$I$38-1),IF(AND($L$37=0,$P$34=0),"",$L$37-1)),MIN(BJ$38,$E563),$P$20))-SUM($BF563:BI563))</f>
        <v>0</v>
      </c>
      <c r="BK563" s="446">
        <f>IF($E563=0,0,IF(MIN(BK$38,$E563)&lt;MAX($P$34*($B563+$I$38-1),IF(AND($L$37=0,$P$34=0),"",$L$37-1)),0,YEARFRAC(MAX($P$34*($B563+$I$38-1),IF(AND($L$37=0,$P$34=0),"",$L$37-1)),MIN(BK$38,$E563),$P$20))-SUM($BF563:BJ563))</f>
        <v>0</v>
      </c>
      <c r="BL563" s="446">
        <f>IF($E563=0,0,IF(MIN(BL$38,$E563)&lt;MAX($P$34*($B563+$I$38-1),IF(AND($L$37=0,$P$34=0),"",$L$37-1)),0,YEARFRAC(MAX($P$34*($B563+$I$38-1),IF(AND($L$37=0,$P$34=0),"",$L$37-1)),MIN(BL$38,$E563),$P$20))-SUM($BF563:BK563))</f>
        <v>0</v>
      </c>
      <c r="BM563" s="446">
        <f>IF($E563=0,0,IF(MIN(BM$38,$E563)&lt;MAX($P$34*($B563+$I$38-1),IF(AND($L$37=0,$P$34=0),"",$L$37-1)),0,YEARFRAC(MAX($P$34*($B563+$I$38-1),IF(AND($L$37=0,$P$34=0),"",$L$37-1)),MIN(BM$38,$E563),$P$20))-SUM($BF563:BL563))</f>
        <v>0</v>
      </c>
      <c r="BN563" s="446">
        <f>IF($E563=0,0,IF(MIN(BN$38,$E563)&lt;MAX($P$34*($B563+$I$38-1),IF(AND($L$37=0,$P$34=0),"",$L$37-1)),0,YEARFRAC(MAX($P$34*($B563+$I$38-1),IF(AND($L$37=0,$P$34=0),"",$L$37-1)),MIN(BN$38,$E563),$P$20))-SUM($BF563:BM563))</f>
        <v>0</v>
      </c>
      <c r="BO563" s="446">
        <f>IF($E563=0,0,IF(MIN(BO$38,$E563)&lt;MAX($P$34*($B563+$I$38-1),IF(AND($L$37=0,$P$34=0),"",$L$37-1)),0,YEARFRAC(MAX($P$34*($B563+$I$38-1),IF(AND($L$37=0,$P$34=0),"",$L$37-1)),MIN(BO$38,$E563),$P$20))-SUM($BF563:BN563))</f>
        <v>0</v>
      </c>
      <c r="BP563" s="446">
        <f>IF($E563=0,0,IF(MIN(BP$38,$E563)&lt;MAX($P$34*($B563+$I$38-1),IF(AND($L$37=0,$P$34=0),"",$L$37-1)),0,YEARFRAC(MAX($P$34*($B563+$I$38-1),IF(AND($L$37=0,$P$34=0),"",$L$37-1)),MIN(BP$38,$E563),$P$20))-SUM($BF563:BO563))</f>
        <v>0</v>
      </c>
      <c r="BQ563" s="446">
        <f>IF($E563=0,0,IF(MIN(BQ$38,$E563)&lt;MAX($P$34*($B563+$I$38-1),IF(AND($L$37=0,$P$34=0),"",$L$37-1)),0,YEARFRAC(MAX($P$34*($B563+$I$38-1),IF(AND($L$37=0,$P$34=0),"",$L$37-1)),MIN(BQ$38,$E563),$P$20))-SUM($BF563:BP563))</f>
        <v>0</v>
      </c>
      <c r="BR563" s="446">
        <f>IF($E563=0,0,IF(MIN(BR$38,$E563)&lt;MAX($P$34*($B563+$I$38-1),IF(AND($L$37=0,$P$34=0),"",$L$37-1)),0,YEARFRAC(MAX($P$34*($B563+$I$38-1),IF(AND($L$37=0,$P$34=0),"",$L$37-1)),MIN(BR$38,$E563),$P$20))-SUM($BF563:BQ563))</f>
        <v>0</v>
      </c>
      <c r="BS563" s="446">
        <f>IF($E563=0,0,IF(MIN(BS$38,$E563)&lt;MAX($P$34*($B563+$I$38-1),IF(AND($L$37=0,$P$34=0),"",$L$37-1)),0,YEARFRAC(MAX($P$34*($B563+$I$38-1),IF(AND($L$37=0,$P$34=0),"",$L$37-1)),MIN(BS$38,$E563),$P$20))-SUM($BF563:BR563))</f>
        <v>0</v>
      </c>
      <c r="BT563" s="446">
        <f>IF($E563=0,0,IF(MIN(BT$38,$E563)&lt;MAX($P$34*($B563+$I$38-1),IF(AND($L$37=0,$P$34=0),"",$L$37-1)),0,YEARFRAC(MAX($P$34*($B563+$I$38-1),IF(AND($L$37=0,$P$34=0),"",$L$37-1)),MIN(BT$38,$E563),$P$20))-SUM($BF563:BS563))</f>
        <v>0</v>
      </c>
      <c r="BU563" s="446">
        <f>IF($E563=0,0,IF(MIN(BU$38,$E563)&lt;MAX($P$34*($B563+$I$38-1),IF(AND($L$37=0,$P$34=0),"",$L$37-1)),0,YEARFRAC(MAX($P$34*($B563+$I$38-1),IF(AND($L$37=0,$P$34=0),"",$L$37-1)),MIN(BU$38,$E563),$P$20))-SUM($BF563:BT563))</f>
        <v>0</v>
      </c>
      <c r="BV563" s="446">
        <f>IF($E563=0,0,IF(MIN(BV$38,$E563)&lt;MAX($P$34*($B563+$I$38-1),IF(AND($L$37=0,$P$34=0),"",$L$37-1)),0,YEARFRAC(MAX($P$34*($B563+$I$38-1),IF(AND($L$37=0,$P$34=0),"",$L$37-1)),MIN(BV$38,$E563),$P$20))-SUM($BF563:BU563))</f>
        <v>0</v>
      </c>
      <c r="BW563" s="446">
        <f>IF($E563=0,0,IF(MIN(BW$38,$E563)&lt;MAX($P$34*($B563+$I$38-1),IF(AND($L$37=0,$P$34=0),"",$L$37-1)),0,YEARFRAC(MAX($P$34*($B563+$I$38-1),IF(AND($L$37=0,$P$34=0),"",$L$37-1)),MIN(BW$38,$E563),$P$20))-SUM($BF563:BV563))</f>
        <v>0</v>
      </c>
      <c r="BX563" s="446">
        <f>IF($E563=0,0,IF(MIN(BX$38,$E563)&lt;MAX($P$34*($B563+$I$38-1),IF(AND($L$37=0,$P$34=0),"",$L$37-1)),0,YEARFRAC(MAX($P$34*($B563+$I$38-1),IF(AND($L$37=0,$P$34=0),"",$L$37-1)),MIN(BX$38,$E563),$P$20))-SUM($BF563:BW563))</f>
        <v>0</v>
      </c>
      <c r="BY563" s="446">
        <f>IF($E563=0,0,IF(MIN(BY$38,$E563)&lt;MAX($P$34*($B563+$I$38-1),IF(AND($L$37=0,$P$34=0),"",$L$37-1)),0,YEARFRAC(MAX($P$34*($B563+$I$38-1),IF(AND($L$37=0,$P$34=0),"",$L$37-1)),MIN(BY$38,$E563),$P$20))-SUM($BF563:BX563))</f>
        <v>0</v>
      </c>
      <c r="BZ563" s="446">
        <f>IF($E563=0,0,IF(MIN(BZ$38,$E563)&lt;MAX($P$34*($B563+$I$38-1),IF(AND($L$37=0,$P$34=0),"",$L$37-1)),0,YEARFRAC(MAX($P$34*($B563+$I$38-1),IF(AND($L$37=0,$P$34=0),"",$L$37-1)),MIN(BZ$38,$E563),$P$20))-SUM($BF563:BY563))</f>
        <v>0</v>
      </c>
      <c r="CA563" s="446">
        <f>IF($E563=0,0,IF(MIN(CA$38,$E563)&lt;MAX($P$34*($B563+$I$38-1),IF(AND($L$37=0,$P$34=0),"",$L$37-1)),0,YEARFRAC(MAX($P$34*($B563+$I$38-1),IF(AND($L$37=0,$P$34=0),"",$L$37-1)),MIN(CA$38,$E563),$P$20))-SUM($BF563:BZ563))</f>
        <v>0</v>
      </c>
      <c r="CB563" s="446">
        <f>IF($E563=0,0,IF(MIN(CB$38,$E563)&lt;MAX($P$34*($B563+$I$38-1),IF(AND($L$37=0,$P$34=0),"",$L$37-1)),0,YEARFRAC(MAX($P$34*($B563+$I$38-1),IF(AND($L$37=0,$P$34=0),"",$L$37-1)),MIN(CB$38,$E563),$P$20))-SUM($BF563:CA563))</f>
        <v>0</v>
      </c>
      <c r="CC563" s="446">
        <f>IF($E563=0,0,IF(MIN(CC$38,$E563)&lt;MAX($P$34*($B563+$I$38-1),IF(AND($L$37=0,$P$34=0),"",$L$37-1)),0,YEARFRAC(MAX($P$34*($B563+$I$38-1),IF(AND($L$37=0,$P$34=0),"",$L$37-1)),MIN(CC$38,$E563),$P$20))-SUM($BF563:CB563))</f>
        <v>0</v>
      </c>
      <c r="CD563" s="446">
        <f>IF($E563=0,0,IF(MIN(CD$38,$E563)&lt;MAX($P$34*($B563+$I$38-1),IF(AND($L$37=0,$P$34=0),"",$L$37-1)),0,YEARFRAC(MAX($P$34*($B563+$I$38-1),IF(AND($L$37=0,$P$34=0),"",$L$37-1)),MIN(CD$38,$E563),$P$20))-SUM($BF563:CC563))</f>
        <v>0</v>
      </c>
      <c r="CE563" s="446">
        <f>IF($E563=0,0,IF(MIN(CE$38,$E563)&lt;MAX($P$34*($B563+$I$38-1),IF(AND($L$37=0,$P$34=0),"",$L$37-1)),0,YEARFRAC(MAX($P$34*($B563+$I$38-1),IF(AND($L$37=0,$P$34=0),"",$L$37-1)),MIN(CE$38,$E563),$P$20))-SUM($BF563:CD563))</f>
        <v>0</v>
      </c>
      <c r="CF563" s="446">
        <f>IF($E563=0,0,IF(MIN(CF$38,$E563)&lt;MAX($P$34*($B563+$I$38-1),IF(AND($L$37=0,$P$34=0),"",$L$37-1)),0,YEARFRAC(MAX($P$34*($B563+$I$38-1),IF(AND($L$37=0,$P$34=0),"",$L$37-1)),MIN(CF$38,$E563),$P$20))-SUM($BF563:CE563))</f>
        <v>0</v>
      </c>
      <c r="CG563" s="446">
        <f>IF($E563=0,0,IF(MIN(CG$38,$E563)&lt;MAX($P$34*($B563+$I$38-1),IF(AND($L$37=0,$P$34=0),"",$L$37-1)),0,YEARFRAC(MAX($P$34*($B563+$I$38-1),IF(AND($L$37=0,$P$34=0),"",$L$37-1)),MIN(CG$38,$E563),$P$20))-SUM($BF563:CF563))</f>
        <v>0</v>
      </c>
      <c r="CH563" s="446">
        <f>IF($E563=0,0,IF(MIN(CH$38,$E563)&lt;MAX($P$34*($B563+$I$38-1),IF(AND($L$37=0,$P$34=0),"",$L$37-1)),0,YEARFRAC(MAX($P$34*($B563+$I$38-1),IF(AND($L$37=0,$P$34=0),"",$L$37-1)),MIN(CH$38,$E563),$P$20))-SUM($BF563:CG563))</f>
        <v>0</v>
      </c>
      <c r="CI563" s="446">
        <f>IF($E563=0,0,IF(MIN(CI$38,$E563)&lt;MAX($P$34*($B563+$I$38-1),IF(AND($L$37=0,$P$34=0),"",$L$37-1)),0,YEARFRAC(MAX($P$34*($B563+$I$38-1),IF(AND($L$37=0,$P$34=0),"",$L$37-1)),MIN(CI$38,$E563),$P$20))-SUM($BF563:CH563))</f>
        <v>0</v>
      </c>
      <c r="CJ563" s="446">
        <f>IF($E563=0,0,IF(MIN(CJ$38,$E563)&lt;MAX($P$34*($B563+$I$38-1),IF(AND($L$37=0,$P$34=0),"",$L$37-1)),0,YEARFRAC(MAX($P$34*($B563+$I$38-1),IF(AND($L$37=0,$P$34=0),"",$L$37-1)),MIN(CJ$38,$E563),$P$20))-SUM($BF563:CI563))</f>
        <v>0</v>
      </c>
      <c r="CK563" s="446">
        <f>IF($E563=0,0,IF(MIN(CK$38,$E563)&lt;MAX($P$34*($B563+$I$38-1),IF(AND($L$37=0,$P$34=0),"",$L$37-1)),0,YEARFRAC(MAX($P$34*($B563+$I$38-1),IF(AND($L$37=0,$P$34=0),"",$L$37-1)),MIN(CK$38,$E563),$P$20))-SUM($BF563:CJ563))</f>
        <v>0</v>
      </c>
      <c r="CL563" s="446">
        <f>IF($E563=0,0,IF(MIN(CL$38,$E563)&lt;MAX($P$34*($B563+$I$38-1),IF(AND($L$37=0,$P$34=0),"",$L$37-1)),0,YEARFRAC(MAX($P$34*($B563+$I$38-1),IF(AND($L$37=0,$P$34=0),"",$L$37-1)),MIN(CL$38,$E563),$P$20))-SUM($BF563:CK563))</f>
        <v>0</v>
      </c>
      <c r="CM563" s="446">
        <f>IF($E563=0,0,IF(MIN(CM$38,$E563)&lt;MAX($P$34*($B563+$I$38-1),IF(AND($L$37=0,$P$34=0),"",$L$37-1)),0,YEARFRAC(MAX($P$34*($B563+$I$38-1),IF(AND($L$37=0,$P$34=0),"",$L$37-1)),MIN(CM$38,$E563),$P$20))-SUM($BF563:CL563))</f>
        <v>0</v>
      </c>
      <c r="CN563" s="446">
        <f>IF($E563=0,0,IF(MIN(CN$38,$E563)&lt;MAX($P$34*($B563+$I$38-1),IF(AND($L$37=0,$P$34=0),"",$L$37-1)),0,YEARFRAC(MAX($P$34*($B563+$I$38-1),IF(AND($L$37=0,$P$34=0),"",$L$37-1)),MIN(CN$38,$E563),$P$20))-SUM($BF563:CM563))</f>
        <v>0</v>
      </c>
      <c r="CO563" s="446">
        <f>IF($E563=0,0,IF(MIN(CO$38,$E563)&lt;MAX($P$34*($B563+$I$38-1),IF(AND($L$37=0,$P$34=0),"",$L$37-1)),0,YEARFRAC(MAX($P$34*($B563+$I$38-1),IF(AND($L$37=0,$P$34=0),"",$L$37-1)),MIN(CO$38,$E563),$P$20))-SUM($BF563:CN563))</f>
        <v>0</v>
      </c>
      <c r="CP563" s="446">
        <f>IF($E563=0,0,IF(MIN(CP$38,$E563)&lt;MAX($P$34*($B563+$I$38-1),IF(AND($L$37=0,$P$34=0),"",$L$37-1)),0,YEARFRAC(MAX($P$34*($B563+$I$38-1),IF(AND($L$37=0,$P$34=0),"",$L$37-1)),MIN(CP$38,$E563),$P$20))-SUM($BF563:CO563))</f>
        <v>0</v>
      </c>
      <c r="CQ563" s="446">
        <f>IF($E563=0,0,IF(MIN(CQ$38,$E563)&lt;MAX($P$34*($B563+$I$38-1),IF(AND($L$37=0,$P$34=0),"",$L$37-1)),0,YEARFRAC(MAX($P$34*($B563+$I$38-1),IF(AND($L$37=0,$P$34=0),"",$L$37-1)),MIN(CQ$38,$E563),$P$20))-SUM($BF563:CP563))</f>
        <v>0</v>
      </c>
    </row>
    <row r="564" spans="1:95" s="446" customFormat="1" ht="11.25" hidden="1" customHeight="1" x14ac:dyDescent="0.2">
      <c r="A564" s="152"/>
      <c r="B564" s="153" t="str">
        <f t="shared" si="103"/>
        <v/>
      </c>
      <c r="C564" s="29" t="str">
        <f>IF(B564="","",IF($L$35="SELIC - TRIBUTOS",VLOOKUP(DATE(YEAR($D$19),MONTH($D$19)-1,1),ÍNDICES!$A:$DE,HLOOKUP($BL$25,ÍNDICES!$B$3:$T$4,2)+11)-VLOOKUP(B564,ÍNDICES!$A:$DE,HLOOKUP($BL$25,ÍNDICES!$B$3:$T$4,2)+11)+1%,IF(C$38=$W$26,$J$35,IF(ISERROR(IF(B564&gt;$D$19,1,VLOOKUP(DATE(YEAR(B564),MONTH(B564)+IF($C$35=$S$23,1,0),1),ÍNDICES!$A:$DE,$Z$35+1))),"",IF(B564&gt;$D$19,1,VLOOKUP(DATE(YEAR(B564),MONTH(B564)+IF($C$35=$S$23,1,0),1),ÍNDICES!$A:$DE,$Z$35+1))))))</f>
        <v/>
      </c>
      <c r="D564" s="154" t="str">
        <f>IF(ISERROR(IF(OR($D$38=$Y$27,$B564=""),"",VLOOKUP(B564,ÍNDICES!A:DE,AF$35+1))),"",IF(OR($D$38=$Y$27,$B564=""),"",VLOOKUP(B564,ÍNDICES!A:DE,AF$35+1)))</f>
        <v/>
      </c>
      <c r="E564" s="153"/>
      <c r="F564" s="29" t="str">
        <f>IF(E564="","",IF($L$35="SELIC - TRIBUTOS",VLOOKUP(DATE(YEAR($D$19),MONTH($D$19)-1,1),ÍNDICES!$A:$DE,HLOOKUP($BL$25,ÍNDICES!$B$3:$T$4,2)+11)-VLOOKUP(E564,ÍNDICES!$A:$DE,HLOOKUP($BL$25,ÍNDICES!$B$3:$T$4,2)+11)+1%,IF(F$38=$W$26,$J$35,IF(ISERROR(IF(E564&gt;$D$19,1,VLOOKUP(DATE(YEAR(E564),MONTH(E564)+IF($C$35=$S$23,1,0),1),ÍNDICES!$A:$DE,$Z$35+1))),"",IF(E564&gt;$D$19,1,VLOOKUP(DATE(YEAR(E564),MONTH(E564)+IF($C$35=$S$23,1,0),1),ÍNDICES!$A:$DE,$Z$35+1))))))</f>
        <v/>
      </c>
      <c r="G564" s="155"/>
      <c r="H564" s="156" t="str">
        <f t="shared" si="99"/>
        <v/>
      </c>
      <c r="I564" s="29" t="str">
        <f t="shared" si="93"/>
        <v/>
      </c>
      <c r="J564" s="5">
        <f t="shared" si="94"/>
        <v>0</v>
      </c>
      <c r="K564" s="20">
        <f t="shared" ca="1" si="95"/>
        <v>0</v>
      </c>
      <c r="L564" s="5">
        <f t="shared" ca="1" si="96"/>
        <v>0</v>
      </c>
      <c r="M564" s="64">
        <f t="shared" si="100"/>
        <v>0</v>
      </c>
      <c r="N564" s="61">
        <f t="shared" ca="1" si="101"/>
        <v>0</v>
      </c>
      <c r="O564" s="5">
        <f t="shared" ca="1" si="102"/>
        <v>0</v>
      </c>
      <c r="P564" s="446" t="e">
        <f t="shared" si="97"/>
        <v>#VALUE!</v>
      </c>
      <c r="Q564" s="446" t="e">
        <f>IF(OR($B564="",MIN(Q$38,$D$19)&lt;MAX($P$34*($B564+IF($R$17="Distrato",$I$38-1,0)),IF(AND($L$37=0,$P$34=0),"",$L$37-1),IF($R$17="Distrato",$E564,0))),0,YEARFRAC(MAX($P$34*($B564+IF($R$17="Distrato",$I$38-1,0)),IF(AND($L$37=0,$P$34=0),"",$L$37-1),IF($R$17="Distrato",$E564,0)),MIN(Q$38,$D$19),$P$20))-SUM($P564:P564)</f>
        <v>#VALUE!</v>
      </c>
      <c r="R564" s="446" t="e">
        <f>IF(OR($B564="",MIN(R$38,$D$19)&lt;MAX($P$34*($B564+IF($R$17="Distrato",$I$38-1,0)),IF(AND($L$37=0,$P$34=0),"",$L$37-1),IF($R$17="Distrato",$E564,0))),0,YEARFRAC(MAX($P$34*($B564+IF($R$17="Distrato",$I$38-1,0)),IF(AND($L$37=0,$P$34=0),"",$L$37-1),IF($R$17="Distrato",$E564,0)),MIN(R$38,$D$19),$P$20))-SUM($P564:Q564)</f>
        <v>#VALUE!</v>
      </c>
      <c r="S564" s="446" t="e">
        <f>IF(OR($B564="",MIN(S$38,$D$19)&lt;MAX($P$34*($B564+IF($R$17="Distrato",$I$38-1,0)),IF(AND($L$37=0,$P$34=0),"",$L$37-1),IF($R$17="Distrato",$E564,0))),0,YEARFRAC(MAX($P$34*($B564+IF($R$17="Distrato",$I$38-1,0)),IF(AND($L$37=0,$P$34=0),"",$L$37-1),IF($R$17="Distrato",$E564,0)),MIN(S$38,$D$19),$P$20))-SUM($P564:R564)</f>
        <v>#VALUE!</v>
      </c>
      <c r="T564" s="446" t="e">
        <f>IF(OR($B564="",MIN(T$38,$D$19)&lt;MAX($P$34*($B564+IF($R$17="Distrato",$I$38-1,0)),IF(AND($L$37=0,$P$34=0),"",$L$37-1),IF($R$17="Distrato",$E564,0))),0,YEARFRAC(MAX($P$34*($B564+IF($R$17="Distrato",$I$38-1,0)),IF(AND($L$37=0,$P$34=0),"",$L$37-1),IF($R$17="Distrato",$E564,0)),MIN(T$38,$D$19),$P$20))-SUM($P564:S564)</f>
        <v>#VALUE!</v>
      </c>
      <c r="U564" s="446" t="e">
        <f>IF(OR($B564="",MIN(U$38,$D$19)&lt;MAX($P$34*($B564+IF($R$17="Distrato",$I$38-1,0)),IF(AND($L$37=0,$P$34=0),"",$L$37-1),IF($R$17="Distrato",$E564,0))),0,YEARFRAC(MAX($P$34*($B564+IF($R$17="Distrato",$I$38-1,0)),IF(AND($L$37=0,$P$34=0),"",$L$37-1),IF($R$17="Distrato",$E564,0)),MIN(U$38,$D$19),$P$20))-SUM($P564:T564)</f>
        <v>#VALUE!</v>
      </c>
      <c r="V564" s="446" t="e">
        <f>IF(OR($B564="",MIN(V$38,$D$19)&lt;MAX($P$34*($B564+IF($R$17="Distrato",$I$38-1,0)),IF(AND($L$37=0,$P$34=0),"",$L$37-1),IF($R$17="Distrato",$E564,0))),0,YEARFRAC(MAX($P$34*($B564+IF($R$17="Distrato",$I$38-1,0)),IF(AND($L$37=0,$P$34=0),"",$L$37-1),IF($R$17="Distrato",$E564,0)),MIN(V$38,$D$19),$P$20))-SUM($P564:U564)</f>
        <v>#VALUE!</v>
      </c>
      <c r="W564" s="446" t="e">
        <f>IF(OR($B564="",MIN(W$38,$D$19)&lt;MAX($P$34*($B564+IF($R$17="Distrato",$I$38-1,0)),IF(AND($L$37=0,$P$34=0),"",$L$37-1),IF($R$17="Distrato",$E564,0))),0,YEARFRAC(MAX($P$34*($B564+IF($R$17="Distrato",$I$38-1,0)),IF(AND($L$37=0,$P$34=0),"",$L$37-1),IF($R$17="Distrato",$E564,0)),MIN(W$38,$D$19),$P$20))-SUM($P564:V564)</f>
        <v>#VALUE!</v>
      </c>
      <c r="X564" s="446" t="e">
        <f>IF(OR($B564="",MIN(X$38,$D$19)&lt;MAX($P$34*($B564+IF($R$17="Distrato",$I$38-1,0)),IF(AND($L$37=0,$P$34=0),"",$L$37-1),IF($R$17="Distrato",$E564,0))),0,YEARFRAC(MAX($P$34*($B564+IF($R$17="Distrato",$I$38-1,0)),IF(AND($L$37=0,$P$34=0),"",$L$37-1),IF($R$17="Distrato",$E564,0)),MIN(X$38,$D$19),$P$20))-SUM($P564:W564)</f>
        <v>#VALUE!</v>
      </c>
      <c r="Y564" s="446" t="e">
        <f>IF(OR($B564="",MIN(Y$38,$D$19)&lt;MAX($P$34*($B564+IF($R$17="Distrato",$I$38-1,0)),IF(AND($L$37=0,$P$34=0),"",$L$37-1),IF($R$17="Distrato",$E564,0))),0,YEARFRAC(MAX($P$34*($B564+IF($R$17="Distrato",$I$38-1,0)),IF(AND($L$37=0,$P$34=0),"",$L$37-1),IF($R$17="Distrato",$E564,0)),MIN(Y$38,$D$19),$P$20))-SUM($P564:X564)</f>
        <v>#VALUE!</v>
      </c>
      <c r="Z564" s="446" t="e">
        <f>IF(OR($B564="",MIN(Z$38,$D$19)&lt;MAX($P$34*($B564+IF($R$17="Distrato",$I$38-1,0)),IF(AND($L$37=0,$P$34=0),"",$L$37-1),IF($R$17="Distrato",$E564,0))),0,YEARFRAC(MAX($P$34*($B564+IF($R$17="Distrato",$I$38-1,0)),IF(AND($L$37=0,$P$34=0),"",$L$37-1),IF($R$17="Distrato",$E564,0)),MIN(Z$38,$D$19),$P$20))-SUM($P564:Y564)</f>
        <v>#VALUE!</v>
      </c>
      <c r="AA564" s="446" t="e">
        <f>IF(OR($B564="",MIN(AA$38,$D$19)&lt;MAX($P$34*($B564+IF($R$17="Distrato",$I$38-1,0)),IF(AND($L$37=0,$P$34=0),"",$L$37-1),IF($R$17="Distrato",$E564,0))),0,YEARFRAC(MAX($P$34*($B564+IF($R$17="Distrato",$I$38-1,0)),IF(AND($L$37=0,$P$34=0),"",$L$37-1),IF($R$17="Distrato",$E564,0)),MIN(AA$38,$D$19),$P$20))-SUM($P564:Z564)</f>
        <v>#VALUE!</v>
      </c>
      <c r="AB564" s="446" t="e">
        <f>IF(OR($B564="",MIN(AB$38,$D$19)&lt;MAX($P$34*($B564+IF($R$17="Distrato",$I$38-1,0)),IF(AND($L$37=0,$P$34=0),"",$L$37-1),IF($R$17="Distrato",$E564,0))),0,YEARFRAC(MAX($P$34*($B564+IF($R$17="Distrato",$I$38-1,0)),IF(AND($L$37=0,$P$34=0),"",$L$37-1),IF($R$17="Distrato",$E564,0)),MIN(AB$38,$D$19),$P$20))-SUM($P564:AA564)</f>
        <v>#VALUE!</v>
      </c>
      <c r="AC564" s="446" t="e">
        <f>IF(OR($B564="",MIN(AC$38,$D$19)&lt;MAX($P$34*($B564+IF($R$17="Distrato",$I$38-1,0)),IF(AND($L$37=0,$P$34=0),"",$L$37-1),IF($R$17="Distrato",$E564,0))),0,YEARFRAC(MAX($P$34*($B564+IF($R$17="Distrato",$I$38-1,0)),IF(AND($L$37=0,$P$34=0),"",$L$37-1),IF($R$17="Distrato",$E564,0)),MIN(AC$38,$D$19),$P$20))-SUM($P564:AB564)</f>
        <v>#VALUE!</v>
      </c>
      <c r="AD564" s="446" t="e">
        <f>IF(OR($B564="",MIN(AD$38,$D$19)&lt;MAX($P$34*($B564+IF($R$17="Distrato",$I$38-1,0)),IF(AND($L$37=0,$P$34=0),"",$L$37-1),IF($R$17="Distrato",$E564,0))),0,YEARFRAC(MAX($P$34*($B564+IF($R$17="Distrato",$I$38-1,0)),IF(AND($L$37=0,$P$34=0),"",$L$37-1),IF($R$17="Distrato",$E564,0)),MIN(AD$38,$D$19),$P$20))-SUM($P564:AC564)</f>
        <v>#VALUE!</v>
      </c>
      <c r="AE564" s="446" t="e">
        <f>IF(OR($B564="",MIN(AE$38,$D$19)&lt;MAX($P$34*($B564+IF($R$17="Distrato",$I$38-1,0)),IF(AND($L$37=0,$P$34=0),"",$L$37-1),IF($R$17="Distrato",$E564,0))),0,YEARFRAC(MAX($P$34*($B564+IF($R$17="Distrato",$I$38-1,0)),IF(AND($L$37=0,$P$34=0),"",$L$37-1),IF($R$17="Distrato",$E564,0)),MIN(AE$38,$D$19),$P$20))-SUM($P564:AD564)</f>
        <v>#VALUE!</v>
      </c>
      <c r="AF564" s="446" t="e">
        <f>IF(OR($B564="",MIN(AF$38,$D$19)&lt;MAX($P$34*($B564+IF($R$17="Distrato",$I$38-1,0)),IF(AND($L$37=0,$P$34=0),"",$L$37-1),IF($R$17="Distrato",$E564,0))),0,YEARFRAC(MAX($P$34*($B564+IF($R$17="Distrato",$I$38-1,0)),IF(AND($L$37=0,$P$34=0),"",$L$37-1),IF($R$17="Distrato",$E564,0)),MIN(AF$38,$D$19),$P$20))-SUM($P564:AE564)</f>
        <v>#VALUE!</v>
      </c>
      <c r="AG564" s="446" t="e">
        <f>IF(OR($B564="",MIN(AG$38,$D$19)&lt;MAX($P$34*($B564+IF($R$17="Distrato",$I$38-1,0)),IF(AND($L$37=0,$P$34=0),"",$L$37-1),IF($R$17="Distrato",$E564,0))),0,YEARFRAC(MAX($P$34*($B564+IF($R$17="Distrato",$I$38-1,0)),IF(AND($L$37=0,$P$34=0),"",$L$37-1),IF($R$17="Distrato",$E564,0)),MIN(AG$38,$D$19),$P$20))-SUM($P564:AF564)</f>
        <v>#VALUE!</v>
      </c>
      <c r="AH564" s="446" t="e">
        <f>IF(OR($B564="",MIN(AH$38,$D$19)&lt;MAX($P$34*($B564+IF($R$17="Distrato",$I$38-1,0)),IF(AND($L$37=0,$P$34=0),"",$L$37-1),IF($R$17="Distrato",$E564,0))),0,YEARFRAC(MAX($P$34*($B564+IF($R$17="Distrato",$I$38-1,0)),IF(AND($L$37=0,$P$34=0),"",$L$37-1),IF($R$17="Distrato",$E564,0)),MIN(AH$38,$D$19),$P$20))-SUM($P564:AG564)</f>
        <v>#VALUE!</v>
      </c>
      <c r="AI564" s="446" t="e">
        <f>IF(OR($B564="",MIN(AI$38,$D$19)&lt;MAX($P$34*($B564+IF($R$17="Distrato",$I$38-1,0)),IF(AND($L$37=0,$P$34=0),"",$L$37-1),IF($R$17="Distrato",$E564,0))),0,YEARFRAC(MAX($P$34*($B564+IF($R$17="Distrato",$I$38-1,0)),IF(AND($L$37=0,$P$34=0),"",$L$37-1),IF($R$17="Distrato",$E564,0)),MIN(AI$38,$D$19),$P$20))-SUM($P564:AH564)</f>
        <v>#VALUE!</v>
      </c>
      <c r="AJ564" s="446" t="e">
        <f>IF(OR($B564="",MIN(AJ$38,$D$19)&lt;MAX($P$34*($B564+IF($R$17="Distrato",$I$38-1,0)),IF(AND($L$37=0,$P$34=0),"",$L$37-1),IF($R$17="Distrato",$E564,0))),0,YEARFRAC(MAX($P$34*($B564+IF($R$17="Distrato",$I$38-1,0)),IF(AND($L$37=0,$P$34=0),"",$L$37-1),IF($R$17="Distrato",$E564,0)),MIN(AJ$38,$D$19),$P$20))-SUM($P564:AI564)</f>
        <v>#VALUE!</v>
      </c>
      <c r="AK564" s="446" t="e">
        <f>IF(OR($B564="",MIN(AK$38,$D$19)&lt;MAX($P$34*($B564+IF($R$17="Distrato",$I$38-1,0)),IF(AND($L$37=0,$P$34=0),"",$L$37-1),IF($R$17="Distrato",$E564,0))),0,YEARFRAC(MAX($P$34*($B564+IF($R$17="Distrato",$I$38-1,0)),IF(AND($L$37=0,$P$34=0),"",$L$37-1),IF($R$17="Distrato",$E564,0)),MIN(AK$38,$D$19),$P$20))-SUM($P564:AJ564)</f>
        <v>#VALUE!</v>
      </c>
      <c r="AL564" s="446" t="e">
        <f>IF(OR($B564="",MIN(AL$38,$D$19)&lt;MAX($P$34*($B564+IF($R$17="Distrato",$I$38-1,0)),IF(AND($L$37=0,$P$34=0),"",$L$37-1),IF($R$17="Distrato",$E564,0))),0,YEARFRAC(MAX($P$34*($B564+IF($R$17="Distrato",$I$38-1,0)),IF(AND($L$37=0,$P$34=0),"",$L$37-1),IF($R$17="Distrato",$E564,0)),MIN(AL$38,$D$19),$P$20))-SUM($P564:AK564)</f>
        <v>#VALUE!</v>
      </c>
      <c r="AM564" s="446" t="e">
        <f>IF(OR($B564="",MIN(AM$38,$D$19)&lt;MAX($P$34*($B564+IF($R$17="Distrato",$I$38-1,0)),IF(AND($L$37=0,$P$34=0),"",$L$37-1),IF($R$17="Distrato",$E564,0))),0,YEARFRAC(MAX($P$34*($B564+IF($R$17="Distrato",$I$38-1,0)),IF(AND($L$37=0,$P$34=0),"",$L$37-1),IF($R$17="Distrato",$E564,0)),MIN(AM$38,$D$19),$P$20))-SUM($P564:AL564)</f>
        <v>#VALUE!</v>
      </c>
      <c r="AN564" s="446" t="e">
        <f>IF(OR($B564="",MIN(AN$38,$D$19)&lt;MAX($P$34*($B564+IF($R$17="Distrato",$I$38-1,0)),IF(AND($L$37=0,$P$34=0),"",$L$37-1),IF($R$17="Distrato",$E564,0))),0,YEARFRAC(MAX($P$34*($B564+IF($R$17="Distrato",$I$38-1,0)),IF(AND($L$37=0,$P$34=0),"",$L$37-1),IF($R$17="Distrato",$E564,0)),MIN(AN$38,$D$19),$P$20))-SUM($P564:AM564)</f>
        <v>#VALUE!</v>
      </c>
      <c r="AO564" s="446" t="e">
        <f>IF(OR($B564="",MIN(AO$38,$D$19)&lt;MAX($P$34*($B564+IF($R$17="Distrato",$I$38-1,0)),IF(AND($L$37=0,$P$34=0),"",$L$37-1),IF($R$17="Distrato",$E564,0))),0,YEARFRAC(MAX($P$34*($B564+IF($R$17="Distrato",$I$38-1,0)),IF(AND($L$37=0,$P$34=0),"",$L$37-1),IF($R$17="Distrato",$E564,0)),MIN(AO$38,$D$19),$P$20))-SUM($P564:AN564)</f>
        <v>#VALUE!</v>
      </c>
      <c r="AP564" s="446" t="e">
        <f>IF(OR($B564="",MIN(AP$38,$D$19)&lt;MAX($P$34*($B564+IF($R$17="Distrato",$I$38-1,0)),IF(AND($L$37=0,$P$34=0),"",$L$37-1),IF($R$17="Distrato",$E564,0))),0,YEARFRAC(MAX($P$34*($B564+IF($R$17="Distrato",$I$38-1,0)),IF(AND($L$37=0,$P$34=0),"",$L$37-1),IF($R$17="Distrato",$E564,0)),MIN(AP$38,$D$19),$P$20))-SUM($P564:AO564)</f>
        <v>#VALUE!</v>
      </c>
      <c r="AQ564" s="446" t="e">
        <f>IF(OR($B564="",MIN(AQ$38,$D$19)&lt;MAX($P$34*($B564+IF($R$17="Distrato",$I$38-1,0)),IF(AND($L$37=0,$P$34=0),"",$L$37-1),IF($R$17="Distrato",$E564,0))),0,YEARFRAC(MAX($P$34*($B564+IF($R$17="Distrato",$I$38-1,0)),IF(AND($L$37=0,$P$34=0),"",$L$37-1),IF($R$17="Distrato",$E564,0)),MIN(AQ$38,$D$19),$P$20))-SUM($P564:AP564)</f>
        <v>#VALUE!</v>
      </c>
      <c r="AR564" s="446" t="e">
        <f>IF(OR($B564="",MIN(AR$38,$D$19)&lt;MAX($P$34*($B564+IF($R$17="Distrato",$I$38-1,0)),IF(AND($L$37=0,$P$34=0),"",$L$37-1),IF($R$17="Distrato",$E564,0))),0,YEARFRAC(MAX($P$34*($B564+IF($R$17="Distrato",$I$38-1,0)),IF(AND($L$37=0,$P$34=0),"",$L$37-1),IF($R$17="Distrato",$E564,0)),MIN(AR$38,$D$19),$P$20))-SUM($P564:AQ564)</f>
        <v>#VALUE!</v>
      </c>
      <c r="AS564" s="446" t="e">
        <f>IF(OR($B564="",MIN(AS$38,$D$19)&lt;MAX($P$34*($B564+IF($R$17="Distrato",$I$38-1,0)),IF(AND($L$37=0,$P$34=0),"",$L$37-1),IF($R$17="Distrato",$E564,0))),0,YEARFRAC(MAX($P$34*($B564+IF($R$17="Distrato",$I$38-1,0)),IF(AND($L$37=0,$P$34=0),"",$L$37-1),IF($R$17="Distrato",$E564,0)),MIN(AS$38,$D$19),$P$20))-SUM($P564:AR564)</f>
        <v>#VALUE!</v>
      </c>
      <c r="AT564" s="446" t="e">
        <f>IF(OR($B564="",MIN(AT$38,$D$19)&lt;MAX($P$34*($B564+IF($R$17="Distrato",$I$38-1,0)),IF(AND($L$37=0,$P$34=0),"",$L$37-1),IF($R$17="Distrato",$E564,0))),0,YEARFRAC(MAX($P$34*($B564+IF($R$17="Distrato",$I$38-1,0)),IF(AND($L$37=0,$P$34=0),"",$L$37-1),IF($R$17="Distrato",$E564,0)),MIN(AT$38,$D$19),$P$20))-SUM($P564:AS564)</f>
        <v>#VALUE!</v>
      </c>
      <c r="AU564" s="446" t="e">
        <f>IF(OR($B564="",MIN(AU$38,$D$19)&lt;MAX($P$34*($B564+IF($R$17="Distrato",$I$38-1,0)),IF(AND($L$37=0,$P$34=0),"",$L$37-1),IF($R$17="Distrato",$E564,0))),0,YEARFRAC(MAX($P$34*($B564+IF($R$17="Distrato",$I$38-1,0)),IF(AND($L$37=0,$P$34=0),"",$L$37-1),IF($R$17="Distrato",$E564,0)),MIN(AU$38,$D$19),$P$20))-SUM($P564:AT564)</f>
        <v>#VALUE!</v>
      </c>
      <c r="AV564" s="446" t="e">
        <f>IF(OR($B564="",MIN(AV$38,$D$19)&lt;MAX($P$34*($B564+IF($R$17="Distrato",$I$38-1,0)),IF(AND($L$37=0,$P$34=0),"",$L$37-1),IF($R$17="Distrato",$E564,0))),0,YEARFRAC(MAX($P$34*($B564+IF($R$17="Distrato",$I$38-1,0)),IF(AND($L$37=0,$P$34=0),"",$L$37-1),IF($R$17="Distrato",$E564,0)),MIN(AV$38,$D$19),$P$20))-SUM($P564:AU564)</f>
        <v>#VALUE!</v>
      </c>
      <c r="AW564" s="446" t="e">
        <f>IF(OR($B564="",MIN(AW$38,$D$19)&lt;MAX($P$34*($B564+IF($R$17="Distrato",$I$38-1,0)),IF(AND($L$37=0,$P$34=0),"",$L$37-1),IF($R$17="Distrato",$E564,0))),0,YEARFRAC(MAX($P$34*($B564+IF($R$17="Distrato",$I$38-1,0)),IF(AND($L$37=0,$P$34=0),"",$L$37-1),IF($R$17="Distrato",$E564,0)),MIN(AW$38,$D$19),$P$20))-SUM($P564:AV564)</f>
        <v>#VALUE!</v>
      </c>
      <c r="AX564" s="446" t="e">
        <f>IF(OR($B564="",MIN(AX$38,$D$19)&lt;MAX($P$34*($B564+IF($R$17="Distrato",$I$38-1,0)),IF(AND($L$37=0,$P$34=0),"",$L$37-1),IF($R$17="Distrato",$E564,0))),0,YEARFRAC(MAX($P$34*($B564+IF($R$17="Distrato",$I$38-1,0)),IF(AND($L$37=0,$P$34=0),"",$L$37-1),IF($R$17="Distrato",$E564,0)),MIN(AX$38,$D$19),$P$20))-SUM($P564:AW564)</f>
        <v>#VALUE!</v>
      </c>
      <c r="AY564" s="446" t="e">
        <f>IF(OR($B564="",MIN(AY$38,$D$19)&lt;MAX($P$34*($B564+IF($R$17="Distrato",$I$38-1,0)),IF(AND($L$37=0,$P$34=0),"",$L$37-1),IF($R$17="Distrato",$E564,0))),0,YEARFRAC(MAX($P$34*($B564+IF($R$17="Distrato",$I$38-1,0)),IF(AND($L$37=0,$P$34=0),"",$L$37-1),IF($R$17="Distrato",$E564,0)),MIN(AY$38,$D$19),$P$20))-SUM($P564:AX564)</f>
        <v>#VALUE!</v>
      </c>
      <c r="AZ564" s="446" t="e">
        <f>IF(OR($B564="",MIN(AZ$38,$D$19)&lt;MAX($P$34*($B564+IF($R$17="Distrato",$I$38-1,0)),IF(AND($L$37=0,$P$34=0),"",$L$37-1),IF($R$17="Distrato",$E564,0))),0,YEARFRAC(MAX($P$34*($B564+IF($R$17="Distrato",$I$38-1,0)),IF(AND($L$37=0,$P$34=0),"",$L$37-1),IF($R$17="Distrato",$E564,0)),MIN(AZ$38,$D$19),$P$20))-SUM($P564:AY564)</f>
        <v>#VALUE!</v>
      </c>
      <c r="BA564" s="446" t="e">
        <f>IF(OR($B564="",MIN(BA$38,$D$19)&lt;MAX($P$34*($B564+IF($R$17="Distrato",$I$38-1,0)),IF(AND($L$37=0,$P$34=0),"",$L$37-1),IF($R$17="Distrato",$E564,0))),0,YEARFRAC(MAX($P$34*($B564+IF($R$17="Distrato",$I$38-1,0)),IF(AND($L$37=0,$P$34=0),"",$L$37-1),IF($R$17="Distrato",$E564,0)),MIN(BA$38,$D$19),$P$20))-SUM($P564:AZ564)</f>
        <v>#VALUE!</v>
      </c>
      <c r="BB564" s="447"/>
      <c r="BF564" s="446">
        <f t="shared" si="98"/>
        <v>0</v>
      </c>
      <c r="BG564" s="446">
        <f>IF($E564=0,0,IF(MIN(BG$38,$E564)&lt;MAX($P$34*($B564+$I$38-1),IF(AND($L$37=0,$P$34=0),"",$L$37-1)),0,YEARFRAC(MAX($P$34*($B564+$I$38-1),IF(AND($L$37=0,$P$34=0),"",$L$37-1)),MIN(BG$38,$E564),$P$20))-SUM($BF564:BF564))</f>
        <v>0</v>
      </c>
      <c r="BH564" s="446">
        <f>IF($E564=0,0,IF(MIN(BH$38,$E564)&lt;MAX($P$34*($B564+$I$38-1),IF(AND($L$37=0,$P$34=0),"",$L$37-1)),0,YEARFRAC(MAX($P$34*($B564+$I$38-1),IF(AND($L$37=0,$P$34=0),"",$L$37-1)),MIN(BH$38,$E564),$P$20))-SUM($BF564:BG564))</f>
        <v>0</v>
      </c>
      <c r="BI564" s="446">
        <f>IF($E564=0,0,IF(MIN(BI$38,$E564)&lt;MAX($P$34*($B564+$I$38-1),IF(AND($L$37=0,$P$34=0),"",$L$37-1)),0,YEARFRAC(MAX($P$34*($B564+$I$38-1),IF(AND($L$37=0,$P$34=0),"",$L$37-1)),MIN(BI$38,$E564),$P$20))-SUM($BF564:BH564))</f>
        <v>0</v>
      </c>
      <c r="BJ564" s="446">
        <f>IF($E564=0,0,IF(MIN(BJ$38,$E564)&lt;MAX($P$34*($B564+$I$38-1),IF(AND($L$37=0,$P$34=0),"",$L$37-1)),0,YEARFRAC(MAX($P$34*($B564+$I$38-1),IF(AND($L$37=0,$P$34=0),"",$L$37-1)),MIN(BJ$38,$E564),$P$20))-SUM($BF564:BI564))</f>
        <v>0</v>
      </c>
      <c r="BK564" s="446">
        <f>IF($E564=0,0,IF(MIN(BK$38,$E564)&lt;MAX($P$34*($B564+$I$38-1),IF(AND($L$37=0,$P$34=0),"",$L$37-1)),0,YEARFRAC(MAX($P$34*($B564+$I$38-1),IF(AND($L$37=0,$P$34=0),"",$L$37-1)),MIN(BK$38,$E564),$P$20))-SUM($BF564:BJ564))</f>
        <v>0</v>
      </c>
      <c r="BL564" s="446">
        <f>IF($E564=0,0,IF(MIN(BL$38,$E564)&lt;MAX($P$34*($B564+$I$38-1),IF(AND($L$37=0,$P$34=0),"",$L$37-1)),0,YEARFRAC(MAX($P$34*($B564+$I$38-1),IF(AND($L$37=0,$P$34=0),"",$L$37-1)),MIN(BL$38,$E564),$P$20))-SUM($BF564:BK564))</f>
        <v>0</v>
      </c>
      <c r="BM564" s="446">
        <f>IF($E564=0,0,IF(MIN(BM$38,$E564)&lt;MAX($P$34*($B564+$I$38-1),IF(AND($L$37=0,$P$34=0),"",$L$37-1)),0,YEARFRAC(MAX($P$34*($B564+$I$38-1),IF(AND($L$37=0,$P$34=0),"",$L$37-1)),MIN(BM$38,$E564),$P$20))-SUM($BF564:BL564))</f>
        <v>0</v>
      </c>
      <c r="BN564" s="446">
        <f>IF($E564=0,0,IF(MIN(BN$38,$E564)&lt;MAX($P$34*($B564+$I$38-1),IF(AND($L$37=0,$P$34=0),"",$L$37-1)),0,YEARFRAC(MAX($P$34*($B564+$I$38-1),IF(AND($L$37=0,$P$34=0),"",$L$37-1)),MIN(BN$38,$E564),$P$20))-SUM($BF564:BM564))</f>
        <v>0</v>
      </c>
      <c r="BO564" s="446">
        <f>IF($E564=0,0,IF(MIN(BO$38,$E564)&lt;MAX($P$34*($B564+$I$38-1),IF(AND($L$37=0,$P$34=0),"",$L$37-1)),0,YEARFRAC(MAX($P$34*($B564+$I$38-1),IF(AND($L$37=0,$P$34=0),"",$L$37-1)),MIN(BO$38,$E564),$P$20))-SUM($BF564:BN564))</f>
        <v>0</v>
      </c>
      <c r="BP564" s="446">
        <f>IF($E564=0,0,IF(MIN(BP$38,$E564)&lt;MAX($P$34*($B564+$I$38-1),IF(AND($L$37=0,$P$34=0),"",$L$37-1)),0,YEARFRAC(MAX($P$34*($B564+$I$38-1),IF(AND($L$37=0,$P$34=0),"",$L$37-1)),MIN(BP$38,$E564),$P$20))-SUM($BF564:BO564))</f>
        <v>0</v>
      </c>
      <c r="BQ564" s="446">
        <f>IF($E564=0,0,IF(MIN(BQ$38,$E564)&lt;MAX($P$34*($B564+$I$38-1),IF(AND($L$37=0,$P$34=0),"",$L$37-1)),0,YEARFRAC(MAX($P$34*($B564+$I$38-1),IF(AND($L$37=0,$P$34=0),"",$L$37-1)),MIN(BQ$38,$E564),$P$20))-SUM($BF564:BP564))</f>
        <v>0</v>
      </c>
      <c r="BR564" s="446">
        <f>IF($E564=0,0,IF(MIN(BR$38,$E564)&lt;MAX($P$34*($B564+$I$38-1),IF(AND($L$37=0,$P$34=0),"",$L$37-1)),0,YEARFRAC(MAX($P$34*($B564+$I$38-1),IF(AND($L$37=0,$P$34=0),"",$L$37-1)),MIN(BR$38,$E564),$P$20))-SUM($BF564:BQ564))</f>
        <v>0</v>
      </c>
      <c r="BS564" s="446">
        <f>IF($E564=0,0,IF(MIN(BS$38,$E564)&lt;MAX($P$34*($B564+$I$38-1),IF(AND($L$37=0,$P$34=0),"",$L$37-1)),0,YEARFRAC(MAX($P$34*($B564+$I$38-1),IF(AND($L$37=0,$P$34=0),"",$L$37-1)),MIN(BS$38,$E564),$P$20))-SUM($BF564:BR564))</f>
        <v>0</v>
      </c>
      <c r="BT564" s="446">
        <f>IF($E564=0,0,IF(MIN(BT$38,$E564)&lt;MAX($P$34*($B564+$I$38-1),IF(AND($L$37=0,$P$34=0),"",$L$37-1)),0,YEARFRAC(MAX($P$34*($B564+$I$38-1),IF(AND($L$37=0,$P$34=0),"",$L$37-1)),MIN(BT$38,$E564),$P$20))-SUM($BF564:BS564))</f>
        <v>0</v>
      </c>
      <c r="BU564" s="446">
        <f>IF($E564=0,0,IF(MIN(BU$38,$E564)&lt;MAX($P$34*($B564+$I$38-1),IF(AND($L$37=0,$P$34=0),"",$L$37-1)),0,YEARFRAC(MAX($P$34*($B564+$I$38-1),IF(AND($L$37=0,$P$34=0),"",$L$37-1)),MIN(BU$38,$E564),$P$20))-SUM($BF564:BT564))</f>
        <v>0</v>
      </c>
      <c r="BV564" s="446">
        <f>IF($E564=0,0,IF(MIN(BV$38,$E564)&lt;MAX($P$34*($B564+$I$38-1),IF(AND($L$37=0,$P$34=0),"",$L$37-1)),0,YEARFRAC(MAX($P$34*($B564+$I$38-1),IF(AND($L$37=0,$P$34=0),"",$L$37-1)),MIN(BV$38,$E564),$P$20))-SUM($BF564:BU564))</f>
        <v>0</v>
      </c>
      <c r="BW564" s="446">
        <f>IF($E564=0,0,IF(MIN(BW$38,$E564)&lt;MAX($P$34*($B564+$I$38-1),IF(AND($L$37=0,$P$34=0),"",$L$37-1)),0,YEARFRAC(MAX($P$34*($B564+$I$38-1),IF(AND($L$37=0,$P$34=0),"",$L$37-1)),MIN(BW$38,$E564),$P$20))-SUM($BF564:BV564))</f>
        <v>0</v>
      </c>
      <c r="BX564" s="446">
        <f>IF($E564=0,0,IF(MIN(BX$38,$E564)&lt;MAX($P$34*($B564+$I$38-1),IF(AND($L$37=0,$P$34=0),"",$L$37-1)),0,YEARFRAC(MAX($P$34*($B564+$I$38-1),IF(AND($L$37=0,$P$34=0),"",$L$37-1)),MIN(BX$38,$E564),$P$20))-SUM($BF564:BW564))</f>
        <v>0</v>
      </c>
      <c r="BY564" s="446">
        <f>IF($E564=0,0,IF(MIN(BY$38,$E564)&lt;MAX($P$34*($B564+$I$38-1),IF(AND($L$37=0,$P$34=0),"",$L$37-1)),0,YEARFRAC(MAX($P$34*($B564+$I$38-1),IF(AND($L$37=0,$P$34=0),"",$L$37-1)),MIN(BY$38,$E564),$P$20))-SUM($BF564:BX564))</f>
        <v>0</v>
      </c>
      <c r="BZ564" s="446">
        <f>IF($E564=0,0,IF(MIN(BZ$38,$E564)&lt;MAX($P$34*($B564+$I$38-1),IF(AND($L$37=0,$P$34=0),"",$L$37-1)),0,YEARFRAC(MAX($P$34*($B564+$I$38-1),IF(AND($L$37=0,$P$34=0),"",$L$37-1)),MIN(BZ$38,$E564),$P$20))-SUM($BF564:BY564))</f>
        <v>0</v>
      </c>
      <c r="CA564" s="446">
        <f>IF($E564=0,0,IF(MIN(CA$38,$E564)&lt;MAX($P$34*($B564+$I$38-1),IF(AND($L$37=0,$P$34=0),"",$L$37-1)),0,YEARFRAC(MAX($P$34*($B564+$I$38-1),IF(AND($L$37=0,$P$34=0),"",$L$37-1)),MIN(CA$38,$E564),$P$20))-SUM($BF564:BZ564))</f>
        <v>0</v>
      </c>
      <c r="CB564" s="446">
        <f>IF($E564=0,0,IF(MIN(CB$38,$E564)&lt;MAX($P$34*($B564+$I$38-1),IF(AND($L$37=0,$P$34=0),"",$L$37-1)),0,YEARFRAC(MAX($P$34*($B564+$I$38-1),IF(AND($L$37=0,$P$34=0),"",$L$37-1)),MIN(CB$38,$E564),$P$20))-SUM($BF564:CA564))</f>
        <v>0</v>
      </c>
      <c r="CC564" s="446">
        <f>IF($E564=0,0,IF(MIN(CC$38,$E564)&lt;MAX($P$34*($B564+$I$38-1),IF(AND($L$37=0,$P$34=0),"",$L$37-1)),0,YEARFRAC(MAX($P$34*($B564+$I$38-1),IF(AND($L$37=0,$P$34=0),"",$L$37-1)),MIN(CC$38,$E564),$P$20))-SUM($BF564:CB564))</f>
        <v>0</v>
      </c>
      <c r="CD564" s="446">
        <f>IF($E564=0,0,IF(MIN(CD$38,$E564)&lt;MAX($P$34*($B564+$I$38-1),IF(AND($L$37=0,$P$34=0),"",$L$37-1)),0,YEARFRAC(MAX($P$34*($B564+$I$38-1),IF(AND($L$37=0,$P$34=0),"",$L$37-1)),MIN(CD$38,$E564),$P$20))-SUM($BF564:CC564))</f>
        <v>0</v>
      </c>
      <c r="CE564" s="446">
        <f>IF($E564=0,0,IF(MIN(CE$38,$E564)&lt;MAX($P$34*($B564+$I$38-1),IF(AND($L$37=0,$P$34=0),"",$L$37-1)),0,YEARFRAC(MAX($P$34*($B564+$I$38-1),IF(AND($L$37=0,$P$34=0),"",$L$37-1)),MIN(CE$38,$E564),$P$20))-SUM($BF564:CD564))</f>
        <v>0</v>
      </c>
      <c r="CF564" s="446">
        <f>IF($E564=0,0,IF(MIN(CF$38,$E564)&lt;MAX($P$34*($B564+$I$38-1),IF(AND($L$37=0,$P$34=0),"",$L$37-1)),0,YEARFRAC(MAX($P$34*($B564+$I$38-1),IF(AND($L$37=0,$P$34=0),"",$L$37-1)),MIN(CF$38,$E564),$P$20))-SUM($BF564:CE564))</f>
        <v>0</v>
      </c>
      <c r="CG564" s="446">
        <f>IF($E564=0,0,IF(MIN(CG$38,$E564)&lt;MAX($P$34*($B564+$I$38-1),IF(AND($L$37=0,$P$34=0),"",$L$37-1)),0,YEARFRAC(MAX($P$34*($B564+$I$38-1),IF(AND($L$37=0,$P$34=0),"",$L$37-1)),MIN(CG$38,$E564),$P$20))-SUM($BF564:CF564))</f>
        <v>0</v>
      </c>
      <c r="CH564" s="446">
        <f>IF($E564=0,0,IF(MIN(CH$38,$E564)&lt;MAX($P$34*($B564+$I$38-1),IF(AND($L$37=0,$P$34=0),"",$L$37-1)),0,YEARFRAC(MAX($P$34*($B564+$I$38-1),IF(AND($L$37=0,$P$34=0),"",$L$37-1)),MIN(CH$38,$E564),$P$20))-SUM($BF564:CG564))</f>
        <v>0</v>
      </c>
      <c r="CI564" s="446">
        <f>IF($E564=0,0,IF(MIN(CI$38,$E564)&lt;MAX($P$34*($B564+$I$38-1),IF(AND($L$37=0,$P$34=0),"",$L$37-1)),0,YEARFRAC(MAX($P$34*($B564+$I$38-1),IF(AND($L$37=0,$P$34=0),"",$L$37-1)),MIN(CI$38,$E564),$P$20))-SUM($BF564:CH564))</f>
        <v>0</v>
      </c>
      <c r="CJ564" s="446">
        <f>IF($E564=0,0,IF(MIN(CJ$38,$E564)&lt;MAX($P$34*($B564+$I$38-1),IF(AND($L$37=0,$P$34=0),"",$L$37-1)),0,YEARFRAC(MAX($P$34*($B564+$I$38-1),IF(AND($L$37=0,$P$34=0),"",$L$37-1)),MIN(CJ$38,$E564),$P$20))-SUM($BF564:CI564))</f>
        <v>0</v>
      </c>
      <c r="CK564" s="446">
        <f>IF($E564=0,0,IF(MIN(CK$38,$E564)&lt;MAX($P$34*($B564+$I$38-1),IF(AND($L$37=0,$P$34=0),"",$L$37-1)),0,YEARFRAC(MAX($P$34*($B564+$I$38-1),IF(AND($L$37=0,$P$34=0),"",$L$37-1)),MIN(CK$38,$E564),$P$20))-SUM($BF564:CJ564))</f>
        <v>0</v>
      </c>
      <c r="CL564" s="446">
        <f>IF($E564=0,0,IF(MIN(CL$38,$E564)&lt;MAX($P$34*($B564+$I$38-1),IF(AND($L$37=0,$P$34=0),"",$L$37-1)),0,YEARFRAC(MAX($P$34*($B564+$I$38-1),IF(AND($L$37=0,$P$34=0),"",$L$37-1)),MIN(CL$38,$E564),$P$20))-SUM($BF564:CK564))</f>
        <v>0</v>
      </c>
      <c r="CM564" s="446">
        <f>IF($E564=0,0,IF(MIN(CM$38,$E564)&lt;MAX($P$34*($B564+$I$38-1),IF(AND($L$37=0,$P$34=0),"",$L$37-1)),0,YEARFRAC(MAX($P$34*($B564+$I$38-1),IF(AND($L$37=0,$P$34=0),"",$L$37-1)),MIN(CM$38,$E564),$P$20))-SUM($BF564:CL564))</f>
        <v>0</v>
      </c>
      <c r="CN564" s="446">
        <f>IF($E564=0,0,IF(MIN(CN$38,$E564)&lt;MAX($P$34*($B564+$I$38-1),IF(AND($L$37=0,$P$34=0),"",$L$37-1)),0,YEARFRAC(MAX($P$34*($B564+$I$38-1),IF(AND($L$37=0,$P$34=0),"",$L$37-1)),MIN(CN$38,$E564),$P$20))-SUM($BF564:CM564))</f>
        <v>0</v>
      </c>
      <c r="CO564" s="446">
        <f>IF($E564=0,0,IF(MIN(CO$38,$E564)&lt;MAX($P$34*($B564+$I$38-1),IF(AND($L$37=0,$P$34=0),"",$L$37-1)),0,YEARFRAC(MAX($P$34*($B564+$I$38-1),IF(AND($L$37=0,$P$34=0),"",$L$37-1)),MIN(CO$38,$E564),$P$20))-SUM($BF564:CN564))</f>
        <v>0</v>
      </c>
      <c r="CP564" s="446">
        <f>IF($E564=0,0,IF(MIN(CP$38,$E564)&lt;MAX($P$34*($B564+$I$38-1),IF(AND($L$37=0,$P$34=0),"",$L$37-1)),0,YEARFRAC(MAX($P$34*($B564+$I$38-1),IF(AND($L$37=0,$P$34=0),"",$L$37-1)),MIN(CP$38,$E564),$P$20))-SUM($BF564:CO564))</f>
        <v>0</v>
      </c>
      <c r="CQ564" s="446">
        <f>IF($E564=0,0,IF(MIN(CQ$38,$E564)&lt;MAX($P$34*($B564+$I$38-1),IF(AND($L$37=0,$P$34=0),"",$L$37-1)),0,YEARFRAC(MAX($P$34*($B564+$I$38-1),IF(AND($L$37=0,$P$34=0),"",$L$37-1)),MIN(CQ$38,$E564),$P$20))-SUM($BF564:CP564))</f>
        <v>0</v>
      </c>
    </row>
    <row r="565" spans="1:95" s="446" customFormat="1" ht="11.25" hidden="1" customHeight="1" x14ac:dyDescent="0.2">
      <c r="A565" s="152"/>
      <c r="B565" s="153" t="str">
        <f t="shared" si="103"/>
        <v/>
      </c>
      <c r="C565" s="29" t="str">
        <f>IF(B565="","",IF($L$35="SELIC - TRIBUTOS",VLOOKUP(DATE(YEAR($D$19),MONTH($D$19)-1,1),ÍNDICES!$A:$DE,HLOOKUP($BL$25,ÍNDICES!$B$3:$T$4,2)+11)-VLOOKUP(B565,ÍNDICES!$A:$DE,HLOOKUP($BL$25,ÍNDICES!$B$3:$T$4,2)+11)+1%,IF(C$38=$W$26,$J$35,IF(ISERROR(IF(B565&gt;$D$19,1,VLOOKUP(DATE(YEAR(B565),MONTH(B565)+IF($C$35=$S$23,1,0),1),ÍNDICES!$A:$DE,$Z$35+1))),"",IF(B565&gt;$D$19,1,VLOOKUP(DATE(YEAR(B565),MONTH(B565)+IF($C$35=$S$23,1,0),1),ÍNDICES!$A:$DE,$Z$35+1))))))</f>
        <v/>
      </c>
      <c r="D565" s="154" t="str">
        <f>IF(ISERROR(IF(OR($D$38=$Y$27,$B565=""),"",VLOOKUP(B565,ÍNDICES!A:DE,AF$35+1))),"",IF(OR($D$38=$Y$27,$B565=""),"",VLOOKUP(B565,ÍNDICES!A:DE,AF$35+1)))</f>
        <v/>
      </c>
      <c r="E565" s="153"/>
      <c r="F565" s="29" t="str">
        <f>IF(E565="","",IF($L$35="SELIC - TRIBUTOS",VLOOKUP(DATE(YEAR($D$19),MONTH($D$19)-1,1),ÍNDICES!$A:$DE,HLOOKUP($BL$25,ÍNDICES!$B$3:$T$4,2)+11)-VLOOKUP(E565,ÍNDICES!$A:$DE,HLOOKUP($BL$25,ÍNDICES!$B$3:$T$4,2)+11)+1%,IF(F$38=$W$26,$J$35,IF(ISERROR(IF(E565&gt;$D$19,1,VLOOKUP(DATE(YEAR(E565),MONTH(E565)+IF($C$35=$S$23,1,0),1),ÍNDICES!$A:$DE,$Z$35+1))),"",IF(E565&gt;$D$19,1,VLOOKUP(DATE(YEAR(E565),MONTH(E565)+IF($C$35=$S$23,1,0),1),ÍNDICES!$A:$DE,$Z$35+1))))))</f>
        <v/>
      </c>
      <c r="G565" s="155"/>
      <c r="H565" s="156" t="str">
        <f t="shared" si="99"/>
        <v/>
      </c>
      <c r="I565" s="29" t="str">
        <f t="shared" si="93"/>
        <v/>
      </c>
      <c r="J565" s="5">
        <f t="shared" si="94"/>
        <v>0</v>
      </c>
      <c r="K565" s="20">
        <f t="shared" ca="1" si="95"/>
        <v>0</v>
      </c>
      <c r="L565" s="5">
        <f t="shared" ca="1" si="96"/>
        <v>0</v>
      </c>
      <c r="M565" s="64">
        <f t="shared" si="100"/>
        <v>0</v>
      </c>
      <c r="N565" s="61">
        <f t="shared" ca="1" si="101"/>
        <v>0</v>
      </c>
      <c r="O565" s="5">
        <f t="shared" ca="1" si="102"/>
        <v>0</v>
      </c>
      <c r="P565" s="446" t="e">
        <f t="shared" si="97"/>
        <v>#VALUE!</v>
      </c>
      <c r="Q565" s="446" t="e">
        <f>IF(OR($B565="",MIN(Q$38,$D$19)&lt;MAX($P$34*($B565+IF($R$17="Distrato",$I$38-1,0)),IF(AND($L$37=0,$P$34=0),"",$L$37-1),IF($R$17="Distrato",$E565,0))),0,YEARFRAC(MAX($P$34*($B565+IF($R$17="Distrato",$I$38-1,0)),IF(AND($L$37=0,$P$34=0),"",$L$37-1),IF($R$17="Distrato",$E565,0)),MIN(Q$38,$D$19),$P$20))-SUM($P565:P565)</f>
        <v>#VALUE!</v>
      </c>
      <c r="R565" s="446" t="e">
        <f>IF(OR($B565="",MIN(R$38,$D$19)&lt;MAX($P$34*($B565+IF($R$17="Distrato",$I$38-1,0)),IF(AND($L$37=0,$P$34=0),"",$L$37-1),IF($R$17="Distrato",$E565,0))),0,YEARFRAC(MAX($P$34*($B565+IF($R$17="Distrato",$I$38-1,0)),IF(AND($L$37=0,$P$34=0),"",$L$37-1),IF($R$17="Distrato",$E565,0)),MIN(R$38,$D$19),$P$20))-SUM($P565:Q565)</f>
        <v>#VALUE!</v>
      </c>
      <c r="S565" s="446" t="e">
        <f>IF(OR($B565="",MIN(S$38,$D$19)&lt;MAX($P$34*($B565+IF($R$17="Distrato",$I$38-1,0)),IF(AND($L$37=0,$P$34=0),"",$L$37-1),IF($R$17="Distrato",$E565,0))),0,YEARFRAC(MAX($P$34*($B565+IF($R$17="Distrato",$I$38-1,0)),IF(AND($L$37=0,$P$34=0),"",$L$37-1),IF($R$17="Distrato",$E565,0)),MIN(S$38,$D$19),$P$20))-SUM($P565:R565)</f>
        <v>#VALUE!</v>
      </c>
      <c r="T565" s="446" t="e">
        <f>IF(OR($B565="",MIN(T$38,$D$19)&lt;MAX($P$34*($B565+IF($R$17="Distrato",$I$38-1,0)),IF(AND($L$37=0,$P$34=0),"",$L$37-1),IF($R$17="Distrato",$E565,0))),0,YEARFRAC(MAX($P$34*($B565+IF($R$17="Distrato",$I$38-1,0)),IF(AND($L$37=0,$P$34=0),"",$L$37-1),IF($R$17="Distrato",$E565,0)),MIN(T$38,$D$19),$P$20))-SUM($P565:S565)</f>
        <v>#VALUE!</v>
      </c>
      <c r="U565" s="446" t="e">
        <f>IF(OR($B565="",MIN(U$38,$D$19)&lt;MAX($P$34*($B565+IF($R$17="Distrato",$I$38-1,0)),IF(AND($L$37=0,$P$34=0),"",$L$37-1),IF($R$17="Distrato",$E565,0))),0,YEARFRAC(MAX($P$34*($B565+IF($R$17="Distrato",$I$38-1,0)),IF(AND($L$37=0,$P$34=0),"",$L$37-1),IF($R$17="Distrato",$E565,0)),MIN(U$38,$D$19),$P$20))-SUM($P565:T565)</f>
        <v>#VALUE!</v>
      </c>
      <c r="V565" s="446" t="e">
        <f>IF(OR($B565="",MIN(V$38,$D$19)&lt;MAX($P$34*($B565+IF($R$17="Distrato",$I$38-1,0)),IF(AND($L$37=0,$P$34=0),"",$L$37-1),IF($R$17="Distrato",$E565,0))),0,YEARFRAC(MAX($P$34*($B565+IF($R$17="Distrato",$I$38-1,0)),IF(AND($L$37=0,$P$34=0),"",$L$37-1),IF($R$17="Distrato",$E565,0)),MIN(V$38,$D$19),$P$20))-SUM($P565:U565)</f>
        <v>#VALUE!</v>
      </c>
      <c r="W565" s="446" t="e">
        <f>IF(OR($B565="",MIN(W$38,$D$19)&lt;MAX($P$34*($B565+IF($R$17="Distrato",$I$38-1,0)),IF(AND($L$37=0,$P$34=0),"",$L$37-1),IF($R$17="Distrato",$E565,0))),0,YEARFRAC(MAX($P$34*($B565+IF($R$17="Distrato",$I$38-1,0)),IF(AND($L$37=0,$P$34=0),"",$L$37-1),IF($R$17="Distrato",$E565,0)),MIN(W$38,$D$19),$P$20))-SUM($P565:V565)</f>
        <v>#VALUE!</v>
      </c>
      <c r="X565" s="446" t="e">
        <f>IF(OR($B565="",MIN(X$38,$D$19)&lt;MAX($P$34*($B565+IF($R$17="Distrato",$I$38-1,0)),IF(AND($L$37=0,$P$34=0),"",$L$37-1),IF($R$17="Distrato",$E565,0))),0,YEARFRAC(MAX($P$34*($B565+IF($R$17="Distrato",$I$38-1,0)),IF(AND($L$37=0,$P$34=0),"",$L$37-1),IF($R$17="Distrato",$E565,0)),MIN(X$38,$D$19),$P$20))-SUM($P565:W565)</f>
        <v>#VALUE!</v>
      </c>
      <c r="Y565" s="446" t="e">
        <f>IF(OR($B565="",MIN(Y$38,$D$19)&lt;MAX($P$34*($B565+IF($R$17="Distrato",$I$38-1,0)),IF(AND($L$37=0,$P$34=0),"",$L$37-1),IF($R$17="Distrato",$E565,0))),0,YEARFRAC(MAX($P$34*($B565+IF($R$17="Distrato",$I$38-1,0)),IF(AND($L$37=0,$P$34=0),"",$L$37-1),IF($R$17="Distrato",$E565,0)),MIN(Y$38,$D$19),$P$20))-SUM($P565:X565)</f>
        <v>#VALUE!</v>
      </c>
      <c r="Z565" s="446" t="e">
        <f>IF(OR($B565="",MIN(Z$38,$D$19)&lt;MAX($P$34*($B565+IF($R$17="Distrato",$I$38-1,0)),IF(AND($L$37=0,$P$34=0),"",$L$37-1),IF($R$17="Distrato",$E565,0))),0,YEARFRAC(MAX($P$34*($B565+IF($R$17="Distrato",$I$38-1,0)),IF(AND($L$37=0,$P$34=0),"",$L$37-1),IF($R$17="Distrato",$E565,0)),MIN(Z$38,$D$19),$P$20))-SUM($P565:Y565)</f>
        <v>#VALUE!</v>
      </c>
      <c r="AA565" s="446" t="e">
        <f>IF(OR($B565="",MIN(AA$38,$D$19)&lt;MAX($P$34*($B565+IF($R$17="Distrato",$I$38-1,0)),IF(AND($L$37=0,$P$34=0),"",$L$37-1),IF($R$17="Distrato",$E565,0))),0,YEARFRAC(MAX($P$34*($B565+IF($R$17="Distrato",$I$38-1,0)),IF(AND($L$37=0,$P$34=0),"",$L$37-1),IF($R$17="Distrato",$E565,0)),MIN(AA$38,$D$19),$P$20))-SUM($P565:Z565)</f>
        <v>#VALUE!</v>
      </c>
      <c r="AB565" s="446" t="e">
        <f>IF(OR($B565="",MIN(AB$38,$D$19)&lt;MAX($P$34*($B565+IF($R$17="Distrato",$I$38-1,0)),IF(AND($L$37=0,$P$34=0),"",$L$37-1),IF($R$17="Distrato",$E565,0))),0,YEARFRAC(MAX($P$34*($B565+IF($R$17="Distrato",$I$38-1,0)),IF(AND($L$37=0,$P$34=0),"",$L$37-1),IF($R$17="Distrato",$E565,0)),MIN(AB$38,$D$19),$P$20))-SUM($P565:AA565)</f>
        <v>#VALUE!</v>
      </c>
      <c r="AC565" s="446" t="e">
        <f>IF(OR($B565="",MIN(AC$38,$D$19)&lt;MAX($P$34*($B565+IF($R$17="Distrato",$I$38-1,0)),IF(AND($L$37=0,$P$34=0),"",$L$37-1),IF($R$17="Distrato",$E565,0))),0,YEARFRAC(MAX($P$34*($B565+IF($R$17="Distrato",$I$38-1,0)),IF(AND($L$37=0,$P$34=0),"",$L$37-1),IF($R$17="Distrato",$E565,0)),MIN(AC$38,$D$19),$P$20))-SUM($P565:AB565)</f>
        <v>#VALUE!</v>
      </c>
      <c r="AD565" s="446" t="e">
        <f>IF(OR($B565="",MIN(AD$38,$D$19)&lt;MAX($P$34*($B565+IF($R$17="Distrato",$I$38-1,0)),IF(AND($L$37=0,$P$34=0),"",$L$37-1),IF($R$17="Distrato",$E565,0))),0,YEARFRAC(MAX($P$34*($B565+IF($R$17="Distrato",$I$38-1,0)),IF(AND($L$37=0,$P$34=0),"",$L$37-1),IF($R$17="Distrato",$E565,0)),MIN(AD$38,$D$19),$P$20))-SUM($P565:AC565)</f>
        <v>#VALUE!</v>
      </c>
      <c r="AE565" s="446" t="e">
        <f>IF(OR($B565="",MIN(AE$38,$D$19)&lt;MAX($P$34*($B565+IF($R$17="Distrato",$I$38-1,0)),IF(AND($L$37=0,$P$34=0),"",$L$37-1),IF($R$17="Distrato",$E565,0))),0,YEARFRAC(MAX($P$34*($B565+IF($R$17="Distrato",$I$38-1,0)),IF(AND($L$37=0,$P$34=0),"",$L$37-1),IF($R$17="Distrato",$E565,0)),MIN(AE$38,$D$19),$P$20))-SUM($P565:AD565)</f>
        <v>#VALUE!</v>
      </c>
      <c r="AF565" s="446" t="e">
        <f>IF(OR($B565="",MIN(AF$38,$D$19)&lt;MAX($P$34*($B565+IF($R$17="Distrato",$I$38-1,0)),IF(AND($L$37=0,$P$34=0),"",$L$37-1),IF($R$17="Distrato",$E565,0))),0,YEARFRAC(MAX($P$34*($B565+IF($R$17="Distrato",$I$38-1,0)),IF(AND($L$37=0,$P$34=0),"",$L$37-1),IF($R$17="Distrato",$E565,0)),MIN(AF$38,$D$19),$P$20))-SUM($P565:AE565)</f>
        <v>#VALUE!</v>
      </c>
      <c r="AG565" s="446" t="e">
        <f>IF(OR($B565="",MIN(AG$38,$D$19)&lt;MAX($P$34*($B565+IF($R$17="Distrato",$I$38-1,0)),IF(AND($L$37=0,$P$34=0),"",$L$37-1),IF($R$17="Distrato",$E565,0))),0,YEARFRAC(MAX($P$34*($B565+IF($R$17="Distrato",$I$38-1,0)),IF(AND($L$37=0,$P$34=0),"",$L$37-1),IF($R$17="Distrato",$E565,0)),MIN(AG$38,$D$19),$P$20))-SUM($P565:AF565)</f>
        <v>#VALUE!</v>
      </c>
      <c r="AH565" s="446" t="e">
        <f>IF(OR($B565="",MIN(AH$38,$D$19)&lt;MAX($P$34*($B565+IF($R$17="Distrato",$I$38-1,0)),IF(AND($L$37=0,$P$34=0),"",$L$37-1),IF($R$17="Distrato",$E565,0))),0,YEARFRAC(MAX($P$34*($B565+IF($R$17="Distrato",$I$38-1,0)),IF(AND($L$37=0,$P$34=0),"",$L$37-1),IF($R$17="Distrato",$E565,0)),MIN(AH$38,$D$19),$P$20))-SUM($P565:AG565)</f>
        <v>#VALUE!</v>
      </c>
      <c r="AI565" s="446" t="e">
        <f>IF(OR($B565="",MIN(AI$38,$D$19)&lt;MAX($P$34*($B565+IF($R$17="Distrato",$I$38-1,0)),IF(AND($L$37=0,$P$34=0),"",$L$37-1),IF($R$17="Distrato",$E565,0))),0,YEARFRAC(MAX($P$34*($B565+IF($R$17="Distrato",$I$38-1,0)),IF(AND($L$37=0,$P$34=0),"",$L$37-1),IF($R$17="Distrato",$E565,0)),MIN(AI$38,$D$19),$P$20))-SUM($P565:AH565)</f>
        <v>#VALUE!</v>
      </c>
      <c r="AJ565" s="446" t="e">
        <f>IF(OR($B565="",MIN(AJ$38,$D$19)&lt;MAX($P$34*($B565+IF($R$17="Distrato",$I$38-1,0)),IF(AND($L$37=0,$P$34=0),"",$L$37-1),IF($R$17="Distrato",$E565,0))),0,YEARFRAC(MAX($P$34*($B565+IF($R$17="Distrato",$I$38-1,0)),IF(AND($L$37=0,$P$34=0),"",$L$37-1),IF($R$17="Distrato",$E565,0)),MIN(AJ$38,$D$19),$P$20))-SUM($P565:AI565)</f>
        <v>#VALUE!</v>
      </c>
      <c r="AK565" s="446" t="e">
        <f>IF(OR($B565="",MIN(AK$38,$D$19)&lt;MAX($P$34*($B565+IF($R$17="Distrato",$I$38-1,0)),IF(AND($L$37=0,$P$34=0),"",$L$37-1),IF($R$17="Distrato",$E565,0))),0,YEARFRAC(MAX($P$34*($B565+IF($R$17="Distrato",$I$38-1,0)),IF(AND($L$37=0,$P$34=0),"",$L$37-1),IF($R$17="Distrato",$E565,0)),MIN(AK$38,$D$19),$P$20))-SUM($P565:AJ565)</f>
        <v>#VALUE!</v>
      </c>
      <c r="AL565" s="446" t="e">
        <f>IF(OR($B565="",MIN(AL$38,$D$19)&lt;MAX($P$34*($B565+IF($R$17="Distrato",$I$38-1,0)),IF(AND($L$37=0,$P$34=0),"",$L$37-1),IF($R$17="Distrato",$E565,0))),0,YEARFRAC(MAX($P$34*($B565+IF($R$17="Distrato",$I$38-1,0)),IF(AND($L$37=0,$P$34=0),"",$L$37-1),IF($R$17="Distrato",$E565,0)),MIN(AL$38,$D$19),$P$20))-SUM($P565:AK565)</f>
        <v>#VALUE!</v>
      </c>
      <c r="AM565" s="446" t="e">
        <f>IF(OR($B565="",MIN(AM$38,$D$19)&lt;MAX($P$34*($B565+IF($R$17="Distrato",$I$38-1,0)),IF(AND($L$37=0,$P$34=0),"",$L$37-1),IF($R$17="Distrato",$E565,0))),0,YEARFRAC(MAX($P$34*($B565+IF($R$17="Distrato",$I$38-1,0)),IF(AND($L$37=0,$P$34=0),"",$L$37-1),IF($R$17="Distrato",$E565,0)),MIN(AM$38,$D$19),$P$20))-SUM($P565:AL565)</f>
        <v>#VALUE!</v>
      </c>
      <c r="AN565" s="446" t="e">
        <f>IF(OR($B565="",MIN(AN$38,$D$19)&lt;MAX($P$34*($B565+IF($R$17="Distrato",$I$38-1,0)),IF(AND($L$37=0,$P$34=0),"",$L$37-1),IF($R$17="Distrato",$E565,0))),0,YEARFRAC(MAX($P$34*($B565+IF($R$17="Distrato",$I$38-1,0)),IF(AND($L$37=0,$P$34=0),"",$L$37-1),IF($R$17="Distrato",$E565,0)),MIN(AN$38,$D$19),$P$20))-SUM($P565:AM565)</f>
        <v>#VALUE!</v>
      </c>
      <c r="AO565" s="446" t="e">
        <f>IF(OR($B565="",MIN(AO$38,$D$19)&lt;MAX($P$34*($B565+IF($R$17="Distrato",$I$38-1,0)),IF(AND($L$37=0,$P$34=0),"",$L$37-1),IF($R$17="Distrato",$E565,0))),0,YEARFRAC(MAX($P$34*($B565+IF($R$17="Distrato",$I$38-1,0)),IF(AND($L$37=0,$P$34=0),"",$L$37-1),IF($R$17="Distrato",$E565,0)),MIN(AO$38,$D$19),$P$20))-SUM($P565:AN565)</f>
        <v>#VALUE!</v>
      </c>
      <c r="AP565" s="446" t="e">
        <f>IF(OR($B565="",MIN(AP$38,$D$19)&lt;MAX($P$34*($B565+IF($R$17="Distrato",$I$38-1,0)),IF(AND($L$37=0,$P$34=0),"",$L$37-1),IF($R$17="Distrato",$E565,0))),0,YEARFRAC(MAX($P$34*($B565+IF($R$17="Distrato",$I$38-1,0)),IF(AND($L$37=0,$P$34=0),"",$L$37-1),IF($R$17="Distrato",$E565,0)),MIN(AP$38,$D$19),$P$20))-SUM($P565:AO565)</f>
        <v>#VALUE!</v>
      </c>
      <c r="AQ565" s="446" t="e">
        <f>IF(OR($B565="",MIN(AQ$38,$D$19)&lt;MAX($P$34*($B565+IF($R$17="Distrato",$I$38-1,0)),IF(AND($L$37=0,$P$34=0),"",$L$37-1),IF($R$17="Distrato",$E565,0))),0,YEARFRAC(MAX($P$34*($B565+IF($R$17="Distrato",$I$38-1,0)),IF(AND($L$37=0,$P$34=0),"",$L$37-1),IF($R$17="Distrato",$E565,0)),MIN(AQ$38,$D$19),$P$20))-SUM($P565:AP565)</f>
        <v>#VALUE!</v>
      </c>
      <c r="AR565" s="446" t="e">
        <f>IF(OR($B565="",MIN(AR$38,$D$19)&lt;MAX($P$34*($B565+IF($R$17="Distrato",$I$38-1,0)),IF(AND($L$37=0,$P$34=0),"",$L$37-1),IF($R$17="Distrato",$E565,0))),0,YEARFRAC(MAX($P$34*($B565+IF($R$17="Distrato",$I$38-1,0)),IF(AND($L$37=0,$P$34=0),"",$L$37-1),IF($R$17="Distrato",$E565,0)),MIN(AR$38,$D$19),$P$20))-SUM($P565:AQ565)</f>
        <v>#VALUE!</v>
      </c>
      <c r="AS565" s="446" t="e">
        <f>IF(OR($B565="",MIN(AS$38,$D$19)&lt;MAX($P$34*($B565+IF($R$17="Distrato",$I$38-1,0)),IF(AND($L$37=0,$P$34=0),"",$L$37-1),IF($R$17="Distrato",$E565,0))),0,YEARFRAC(MAX($P$34*($B565+IF($R$17="Distrato",$I$38-1,0)),IF(AND($L$37=0,$P$34=0),"",$L$37-1),IF($R$17="Distrato",$E565,0)),MIN(AS$38,$D$19),$P$20))-SUM($P565:AR565)</f>
        <v>#VALUE!</v>
      </c>
      <c r="AT565" s="446" t="e">
        <f>IF(OR($B565="",MIN(AT$38,$D$19)&lt;MAX($P$34*($B565+IF($R$17="Distrato",$I$38-1,0)),IF(AND($L$37=0,$P$34=0),"",$L$37-1),IF($R$17="Distrato",$E565,0))),0,YEARFRAC(MAX($P$34*($B565+IF($R$17="Distrato",$I$38-1,0)),IF(AND($L$37=0,$P$34=0),"",$L$37-1),IF($R$17="Distrato",$E565,0)),MIN(AT$38,$D$19),$P$20))-SUM($P565:AS565)</f>
        <v>#VALUE!</v>
      </c>
      <c r="AU565" s="446" t="e">
        <f>IF(OR($B565="",MIN(AU$38,$D$19)&lt;MAX($P$34*($B565+IF($R$17="Distrato",$I$38-1,0)),IF(AND($L$37=0,$P$34=0),"",$L$37-1),IF($R$17="Distrato",$E565,0))),0,YEARFRAC(MAX($P$34*($B565+IF($R$17="Distrato",$I$38-1,0)),IF(AND($L$37=0,$P$34=0),"",$L$37-1),IF($R$17="Distrato",$E565,0)),MIN(AU$38,$D$19),$P$20))-SUM($P565:AT565)</f>
        <v>#VALUE!</v>
      </c>
      <c r="AV565" s="446" t="e">
        <f>IF(OR($B565="",MIN(AV$38,$D$19)&lt;MAX($P$34*($B565+IF($R$17="Distrato",$I$38-1,0)),IF(AND($L$37=0,$P$34=0),"",$L$37-1),IF($R$17="Distrato",$E565,0))),0,YEARFRAC(MAX($P$34*($B565+IF($R$17="Distrato",$I$38-1,0)),IF(AND($L$37=0,$P$34=0),"",$L$37-1),IF($R$17="Distrato",$E565,0)),MIN(AV$38,$D$19),$P$20))-SUM($P565:AU565)</f>
        <v>#VALUE!</v>
      </c>
      <c r="AW565" s="446" t="e">
        <f>IF(OR($B565="",MIN(AW$38,$D$19)&lt;MAX($P$34*($B565+IF($R$17="Distrato",$I$38-1,0)),IF(AND($L$37=0,$P$34=0),"",$L$37-1),IF($R$17="Distrato",$E565,0))),0,YEARFRAC(MAX($P$34*($B565+IF($R$17="Distrato",$I$38-1,0)),IF(AND($L$37=0,$P$34=0),"",$L$37-1),IF($R$17="Distrato",$E565,0)),MIN(AW$38,$D$19),$P$20))-SUM($P565:AV565)</f>
        <v>#VALUE!</v>
      </c>
      <c r="AX565" s="446" t="e">
        <f>IF(OR($B565="",MIN(AX$38,$D$19)&lt;MAX($P$34*($B565+IF($R$17="Distrato",$I$38-1,0)),IF(AND($L$37=0,$P$34=0),"",$L$37-1),IF($R$17="Distrato",$E565,0))),0,YEARFRAC(MAX($P$34*($B565+IF($R$17="Distrato",$I$38-1,0)),IF(AND($L$37=0,$P$34=0),"",$L$37-1),IF($R$17="Distrato",$E565,0)),MIN(AX$38,$D$19),$P$20))-SUM($P565:AW565)</f>
        <v>#VALUE!</v>
      </c>
      <c r="AY565" s="446" t="e">
        <f>IF(OR($B565="",MIN(AY$38,$D$19)&lt;MAX($P$34*($B565+IF($R$17="Distrato",$I$38-1,0)),IF(AND($L$37=0,$P$34=0),"",$L$37-1),IF($R$17="Distrato",$E565,0))),0,YEARFRAC(MAX($P$34*($B565+IF($R$17="Distrato",$I$38-1,0)),IF(AND($L$37=0,$P$34=0),"",$L$37-1),IF($R$17="Distrato",$E565,0)),MIN(AY$38,$D$19),$P$20))-SUM($P565:AX565)</f>
        <v>#VALUE!</v>
      </c>
      <c r="AZ565" s="446" t="e">
        <f>IF(OR($B565="",MIN(AZ$38,$D$19)&lt;MAX($P$34*($B565+IF($R$17="Distrato",$I$38-1,0)),IF(AND($L$37=0,$P$34=0),"",$L$37-1),IF($R$17="Distrato",$E565,0))),0,YEARFRAC(MAX($P$34*($B565+IF($R$17="Distrato",$I$38-1,0)),IF(AND($L$37=0,$P$34=0),"",$L$37-1),IF($R$17="Distrato",$E565,0)),MIN(AZ$38,$D$19),$P$20))-SUM($P565:AY565)</f>
        <v>#VALUE!</v>
      </c>
      <c r="BA565" s="446" t="e">
        <f>IF(OR($B565="",MIN(BA$38,$D$19)&lt;MAX($P$34*($B565+IF($R$17="Distrato",$I$38-1,0)),IF(AND($L$37=0,$P$34=0),"",$L$37-1),IF($R$17="Distrato",$E565,0))),0,YEARFRAC(MAX($P$34*($B565+IF($R$17="Distrato",$I$38-1,0)),IF(AND($L$37=0,$P$34=0),"",$L$37-1),IF($R$17="Distrato",$E565,0)),MIN(BA$38,$D$19),$P$20))-SUM($P565:AZ565)</f>
        <v>#VALUE!</v>
      </c>
      <c r="BB565" s="447"/>
      <c r="BF565" s="446">
        <f t="shared" si="98"/>
        <v>0</v>
      </c>
      <c r="BG565" s="446">
        <f>IF($E565=0,0,IF(MIN(BG$38,$E565)&lt;MAX($P$34*($B565+$I$38-1),IF(AND($L$37=0,$P$34=0),"",$L$37-1)),0,YEARFRAC(MAX($P$34*($B565+$I$38-1),IF(AND($L$37=0,$P$34=0),"",$L$37-1)),MIN(BG$38,$E565),$P$20))-SUM($BF565:BF565))</f>
        <v>0</v>
      </c>
      <c r="BH565" s="446">
        <f>IF($E565=0,0,IF(MIN(BH$38,$E565)&lt;MAX($P$34*($B565+$I$38-1),IF(AND($L$37=0,$P$34=0),"",$L$37-1)),0,YEARFRAC(MAX($P$34*($B565+$I$38-1),IF(AND($L$37=0,$P$34=0),"",$L$37-1)),MIN(BH$38,$E565),$P$20))-SUM($BF565:BG565))</f>
        <v>0</v>
      </c>
      <c r="BI565" s="446">
        <f>IF($E565=0,0,IF(MIN(BI$38,$E565)&lt;MAX($P$34*($B565+$I$38-1),IF(AND($L$37=0,$P$34=0),"",$L$37-1)),0,YEARFRAC(MAX($P$34*($B565+$I$38-1),IF(AND($L$37=0,$P$34=0),"",$L$37-1)),MIN(BI$38,$E565),$P$20))-SUM($BF565:BH565))</f>
        <v>0</v>
      </c>
      <c r="BJ565" s="446">
        <f>IF($E565=0,0,IF(MIN(BJ$38,$E565)&lt;MAX($P$34*($B565+$I$38-1),IF(AND($L$37=0,$P$34=0),"",$L$37-1)),0,YEARFRAC(MAX($P$34*($B565+$I$38-1),IF(AND($L$37=0,$P$34=0),"",$L$37-1)),MIN(BJ$38,$E565),$P$20))-SUM($BF565:BI565))</f>
        <v>0</v>
      </c>
      <c r="BK565" s="446">
        <f>IF($E565=0,0,IF(MIN(BK$38,$E565)&lt;MAX($P$34*($B565+$I$38-1),IF(AND($L$37=0,$P$34=0),"",$L$37-1)),0,YEARFRAC(MAX($P$34*($B565+$I$38-1),IF(AND($L$37=0,$P$34=0),"",$L$37-1)),MIN(BK$38,$E565),$P$20))-SUM($BF565:BJ565))</f>
        <v>0</v>
      </c>
      <c r="BL565" s="446">
        <f>IF($E565=0,0,IF(MIN(BL$38,$E565)&lt;MAX($P$34*($B565+$I$38-1),IF(AND($L$37=0,$P$34=0),"",$L$37-1)),0,YEARFRAC(MAX($P$34*($B565+$I$38-1),IF(AND($L$37=0,$P$34=0),"",$L$37-1)),MIN(BL$38,$E565),$P$20))-SUM($BF565:BK565))</f>
        <v>0</v>
      </c>
      <c r="BM565" s="446">
        <f>IF($E565=0,0,IF(MIN(BM$38,$E565)&lt;MAX($P$34*($B565+$I$38-1),IF(AND($L$37=0,$P$34=0),"",$L$37-1)),0,YEARFRAC(MAX($P$34*($B565+$I$38-1),IF(AND($L$37=0,$P$34=0),"",$L$37-1)),MIN(BM$38,$E565),$P$20))-SUM($BF565:BL565))</f>
        <v>0</v>
      </c>
      <c r="BN565" s="446">
        <f>IF($E565=0,0,IF(MIN(BN$38,$E565)&lt;MAX($P$34*($B565+$I$38-1),IF(AND($L$37=0,$P$34=0),"",$L$37-1)),0,YEARFRAC(MAX($P$34*($B565+$I$38-1),IF(AND($L$37=0,$P$34=0),"",$L$37-1)),MIN(BN$38,$E565),$P$20))-SUM($BF565:BM565))</f>
        <v>0</v>
      </c>
      <c r="BO565" s="446">
        <f>IF($E565=0,0,IF(MIN(BO$38,$E565)&lt;MAX($P$34*($B565+$I$38-1),IF(AND($L$37=0,$P$34=0),"",$L$37-1)),0,YEARFRAC(MAX($P$34*($B565+$I$38-1),IF(AND($L$37=0,$P$34=0),"",$L$37-1)),MIN(BO$38,$E565),$P$20))-SUM($BF565:BN565))</f>
        <v>0</v>
      </c>
      <c r="BP565" s="446">
        <f>IF($E565=0,0,IF(MIN(BP$38,$E565)&lt;MAX($P$34*($B565+$I$38-1),IF(AND($L$37=0,$P$34=0),"",$L$37-1)),0,YEARFRAC(MAX($P$34*($B565+$I$38-1),IF(AND($L$37=0,$P$34=0),"",$L$37-1)),MIN(BP$38,$E565),$P$20))-SUM($BF565:BO565))</f>
        <v>0</v>
      </c>
      <c r="BQ565" s="446">
        <f>IF($E565=0,0,IF(MIN(BQ$38,$E565)&lt;MAX($P$34*($B565+$I$38-1),IF(AND($L$37=0,$P$34=0),"",$L$37-1)),0,YEARFRAC(MAX($P$34*($B565+$I$38-1),IF(AND($L$37=0,$P$34=0),"",$L$37-1)),MIN(BQ$38,$E565),$P$20))-SUM($BF565:BP565))</f>
        <v>0</v>
      </c>
      <c r="BR565" s="446">
        <f>IF($E565=0,0,IF(MIN(BR$38,$E565)&lt;MAX($P$34*($B565+$I$38-1),IF(AND($L$37=0,$P$34=0),"",$L$37-1)),0,YEARFRAC(MAX($P$34*($B565+$I$38-1),IF(AND($L$37=0,$P$34=0),"",$L$37-1)),MIN(BR$38,$E565),$P$20))-SUM($BF565:BQ565))</f>
        <v>0</v>
      </c>
      <c r="BS565" s="446">
        <f>IF($E565=0,0,IF(MIN(BS$38,$E565)&lt;MAX($P$34*($B565+$I$38-1),IF(AND($L$37=0,$P$34=0),"",$L$37-1)),0,YEARFRAC(MAX($P$34*($B565+$I$38-1),IF(AND($L$37=0,$P$34=0),"",$L$37-1)),MIN(BS$38,$E565),$P$20))-SUM($BF565:BR565))</f>
        <v>0</v>
      </c>
      <c r="BT565" s="446">
        <f>IF($E565=0,0,IF(MIN(BT$38,$E565)&lt;MAX($P$34*($B565+$I$38-1),IF(AND($L$37=0,$P$34=0),"",$L$37-1)),0,YEARFRAC(MAX($P$34*($B565+$I$38-1),IF(AND($L$37=0,$P$34=0),"",$L$37-1)),MIN(BT$38,$E565),$P$20))-SUM($BF565:BS565))</f>
        <v>0</v>
      </c>
      <c r="BU565" s="446">
        <f>IF($E565=0,0,IF(MIN(BU$38,$E565)&lt;MAX($P$34*($B565+$I$38-1),IF(AND($L$37=0,$P$34=0),"",$L$37-1)),0,YEARFRAC(MAX($P$34*($B565+$I$38-1),IF(AND($L$37=0,$P$34=0),"",$L$37-1)),MIN(BU$38,$E565),$P$20))-SUM($BF565:BT565))</f>
        <v>0</v>
      </c>
      <c r="BV565" s="446">
        <f>IF($E565=0,0,IF(MIN(BV$38,$E565)&lt;MAX($P$34*($B565+$I$38-1),IF(AND($L$37=0,$P$34=0),"",$L$37-1)),0,YEARFRAC(MAX($P$34*($B565+$I$38-1),IF(AND($L$37=0,$P$34=0),"",$L$37-1)),MIN(BV$38,$E565),$P$20))-SUM($BF565:BU565))</f>
        <v>0</v>
      </c>
      <c r="BW565" s="446">
        <f>IF($E565=0,0,IF(MIN(BW$38,$E565)&lt;MAX($P$34*($B565+$I$38-1),IF(AND($L$37=0,$P$34=0),"",$L$37-1)),0,YEARFRAC(MAX($P$34*($B565+$I$38-1),IF(AND($L$37=0,$P$34=0),"",$L$37-1)),MIN(BW$38,$E565),$P$20))-SUM($BF565:BV565))</f>
        <v>0</v>
      </c>
      <c r="BX565" s="446">
        <f>IF($E565=0,0,IF(MIN(BX$38,$E565)&lt;MAX($P$34*($B565+$I$38-1),IF(AND($L$37=0,$P$34=0),"",$L$37-1)),0,YEARFRAC(MAX($P$34*($B565+$I$38-1),IF(AND($L$37=0,$P$34=0),"",$L$37-1)),MIN(BX$38,$E565),$P$20))-SUM($BF565:BW565))</f>
        <v>0</v>
      </c>
      <c r="BY565" s="446">
        <f>IF($E565=0,0,IF(MIN(BY$38,$E565)&lt;MAX($P$34*($B565+$I$38-1),IF(AND($L$37=0,$P$34=0),"",$L$37-1)),0,YEARFRAC(MAX($P$34*($B565+$I$38-1),IF(AND($L$37=0,$P$34=0),"",$L$37-1)),MIN(BY$38,$E565),$P$20))-SUM($BF565:BX565))</f>
        <v>0</v>
      </c>
      <c r="BZ565" s="446">
        <f>IF($E565=0,0,IF(MIN(BZ$38,$E565)&lt;MAX($P$34*($B565+$I$38-1),IF(AND($L$37=0,$P$34=0),"",$L$37-1)),0,YEARFRAC(MAX($P$34*($B565+$I$38-1),IF(AND($L$37=0,$P$34=0),"",$L$37-1)),MIN(BZ$38,$E565),$P$20))-SUM($BF565:BY565))</f>
        <v>0</v>
      </c>
      <c r="CA565" s="446">
        <f>IF($E565=0,0,IF(MIN(CA$38,$E565)&lt;MAX($P$34*($B565+$I$38-1),IF(AND($L$37=0,$P$34=0),"",$L$37-1)),0,YEARFRAC(MAX($P$34*($B565+$I$38-1),IF(AND($L$37=0,$P$34=0),"",$L$37-1)),MIN(CA$38,$E565),$P$20))-SUM($BF565:BZ565))</f>
        <v>0</v>
      </c>
      <c r="CB565" s="446">
        <f>IF($E565=0,0,IF(MIN(CB$38,$E565)&lt;MAX($P$34*($B565+$I$38-1),IF(AND($L$37=0,$P$34=0),"",$L$37-1)),0,YEARFRAC(MAX($P$34*($B565+$I$38-1),IF(AND($L$37=0,$P$34=0),"",$L$37-1)),MIN(CB$38,$E565),$P$20))-SUM($BF565:CA565))</f>
        <v>0</v>
      </c>
      <c r="CC565" s="446">
        <f>IF($E565=0,0,IF(MIN(CC$38,$E565)&lt;MAX($P$34*($B565+$I$38-1),IF(AND($L$37=0,$P$34=0),"",$L$37-1)),0,YEARFRAC(MAX($P$34*($B565+$I$38-1),IF(AND($L$37=0,$P$34=0),"",$L$37-1)),MIN(CC$38,$E565),$P$20))-SUM($BF565:CB565))</f>
        <v>0</v>
      </c>
      <c r="CD565" s="446">
        <f>IF($E565=0,0,IF(MIN(CD$38,$E565)&lt;MAX($P$34*($B565+$I$38-1),IF(AND($L$37=0,$P$34=0),"",$L$37-1)),0,YEARFRAC(MAX($P$34*($B565+$I$38-1),IF(AND($L$37=0,$P$34=0),"",$L$37-1)),MIN(CD$38,$E565),$P$20))-SUM($BF565:CC565))</f>
        <v>0</v>
      </c>
      <c r="CE565" s="446">
        <f>IF($E565=0,0,IF(MIN(CE$38,$E565)&lt;MAX($P$34*($B565+$I$38-1),IF(AND($L$37=0,$P$34=0),"",$L$37-1)),0,YEARFRAC(MAX($P$34*($B565+$I$38-1),IF(AND($L$37=0,$P$34=0),"",$L$37-1)),MIN(CE$38,$E565),$P$20))-SUM($BF565:CD565))</f>
        <v>0</v>
      </c>
      <c r="CF565" s="446">
        <f>IF($E565=0,0,IF(MIN(CF$38,$E565)&lt;MAX($P$34*($B565+$I$38-1),IF(AND($L$37=0,$P$34=0),"",$L$37-1)),0,YEARFRAC(MAX($P$34*($B565+$I$38-1),IF(AND($L$37=0,$P$34=0),"",$L$37-1)),MIN(CF$38,$E565),$P$20))-SUM($BF565:CE565))</f>
        <v>0</v>
      </c>
      <c r="CG565" s="446">
        <f>IF($E565=0,0,IF(MIN(CG$38,$E565)&lt;MAX($P$34*($B565+$I$38-1),IF(AND($L$37=0,$P$34=0),"",$L$37-1)),0,YEARFRAC(MAX($P$34*($B565+$I$38-1),IF(AND($L$37=0,$P$34=0),"",$L$37-1)),MIN(CG$38,$E565),$P$20))-SUM($BF565:CF565))</f>
        <v>0</v>
      </c>
      <c r="CH565" s="446">
        <f>IF($E565=0,0,IF(MIN(CH$38,$E565)&lt;MAX($P$34*($B565+$I$38-1),IF(AND($L$37=0,$P$34=0),"",$L$37-1)),0,YEARFRAC(MAX($P$34*($B565+$I$38-1),IF(AND($L$37=0,$P$34=0),"",$L$37-1)),MIN(CH$38,$E565),$P$20))-SUM($BF565:CG565))</f>
        <v>0</v>
      </c>
      <c r="CI565" s="446">
        <f>IF($E565=0,0,IF(MIN(CI$38,$E565)&lt;MAX($P$34*($B565+$I$38-1),IF(AND($L$37=0,$P$34=0),"",$L$37-1)),0,YEARFRAC(MAX($P$34*($B565+$I$38-1),IF(AND($L$37=0,$P$34=0),"",$L$37-1)),MIN(CI$38,$E565),$P$20))-SUM($BF565:CH565))</f>
        <v>0</v>
      </c>
      <c r="CJ565" s="446">
        <f>IF($E565=0,0,IF(MIN(CJ$38,$E565)&lt;MAX($P$34*($B565+$I$38-1),IF(AND($L$37=0,$P$34=0),"",$L$37-1)),0,YEARFRAC(MAX($P$34*($B565+$I$38-1),IF(AND($L$37=0,$P$34=0),"",$L$37-1)),MIN(CJ$38,$E565),$P$20))-SUM($BF565:CI565))</f>
        <v>0</v>
      </c>
      <c r="CK565" s="446">
        <f>IF($E565=0,0,IF(MIN(CK$38,$E565)&lt;MAX($P$34*($B565+$I$38-1),IF(AND($L$37=0,$P$34=0),"",$L$37-1)),0,YEARFRAC(MAX($P$34*($B565+$I$38-1),IF(AND($L$37=0,$P$34=0),"",$L$37-1)),MIN(CK$38,$E565),$P$20))-SUM($BF565:CJ565))</f>
        <v>0</v>
      </c>
      <c r="CL565" s="446">
        <f>IF($E565=0,0,IF(MIN(CL$38,$E565)&lt;MAX($P$34*($B565+$I$38-1),IF(AND($L$37=0,$P$34=0),"",$L$37-1)),0,YEARFRAC(MAX($P$34*($B565+$I$38-1),IF(AND($L$37=0,$P$34=0),"",$L$37-1)),MIN(CL$38,$E565),$P$20))-SUM($BF565:CK565))</f>
        <v>0</v>
      </c>
      <c r="CM565" s="446">
        <f>IF($E565=0,0,IF(MIN(CM$38,$E565)&lt;MAX($P$34*($B565+$I$38-1),IF(AND($L$37=0,$P$34=0),"",$L$37-1)),0,YEARFRAC(MAX($P$34*($B565+$I$38-1),IF(AND($L$37=0,$P$34=0),"",$L$37-1)),MIN(CM$38,$E565),$P$20))-SUM($BF565:CL565))</f>
        <v>0</v>
      </c>
      <c r="CN565" s="446">
        <f>IF($E565=0,0,IF(MIN(CN$38,$E565)&lt;MAX($P$34*($B565+$I$38-1),IF(AND($L$37=0,$P$34=0),"",$L$37-1)),0,YEARFRAC(MAX($P$34*($B565+$I$38-1),IF(AND($L$37=0,$P$34=0),"",$L$37-1)),MIN(CN$38,$E565),$P$20))-SUM($BF565:CM565))</f>
        <v>0</v>
      </c>
      <c r="CO565" s="446">
        <f>IF($E565=0,0,IF(MIN(CO$38,$E565)&lt;MAX($P$34*($B565+$I$38-1),IF(AND($L$37=0,$P$34=0),"",$L$37-1)),0,YEARFRAC(MAX($P$34*($B565+$I$38-1),IF(AND($L$37=0,$P$34=0),"",$L$37-1)),MIN(CO$38,$E565),$P$20))-SUM($BF565:CN565))</f>
        <v>0</v>
      </c>
      <c r="CP565" s="446">
        <f>IF($E565=0,0,IF(MIN(CP$38,$E565)&lt;MAX($P$34*($B565+$I$38-1),IF(AND($L$37=0,$P$34=0),"",$L$37-1)),0,YEARFRAC(MAX($P$34*($B565+$I$38-1),IF(AND($L$37=0,$P$34=0),"",$L$37-1)),MIN(CP$38,$E565),$P$20))-SUM($BF565:CO565))</f>
        <v>0</v>
      </c>
      <c r="CQ565" s="446">
        <f>IF($E565=0,0,IF(MIN(CQ$38,$E565)&lt;MAX($P$34*($B565+$I$38-1),IF(AND($L$37=0,$P$34=0),"",$L$37-1)),0,YEARFRAC(MAX($P$34*($B565+$I$38-1),IF(AND($L$37=0,$P$34=0),"",$L$37-1)),MIN(CQ$38,$E565),$P$20))-SUM($BF565:CP565))</f>
        <v>0</v>
      </c>
    </row>
    <row r="566" spans="1:95" s="446" customFormat="1" ht="11.25" hidden="1" customHeight="1" x14ac:dyDescent="0.2">
      <c r="A566" s="152"/>
      <c r="B566" s="153" t="str">
        <f t="shared" si="103"/>
        <v/>
      </c>
      <c r="C566" s="29" t="str">
        <f>IF(B566="","",IF($L$35="SELIC - TRIBUTOS",VLOOKUP(DATE(YEAR($D$19),MONTH($D$19)-1,1),ÍNDICES!$A:$DE,HLOOKUP($BL$25,ÍNDICES!$B$3:$T$4,2)+11)-VLOOKUP(B566,ÍNDICES!$A:$DE,HLOOKUP($BL$25,ÍNDICES!$B$3:$T$4,2)+11)+1%,IF(C$38=$W$26,$J$35,IF(ISERROR(IF(B566&gt;$D$19,1,VLOOKUP(DATE(YEAR(B566),MONTH(B566)+IF($C$35=$S$23,1,0),1),ÍNDICES!$A:$DE,$Z$35+1))),"",IF(B566&gt;$D$19,1,VLOOKUP(DATE(YEAR(B566),MONTH(B566)+IF($C$35=$S$23,1,0),1),ÍNDICES!$A:$DE,$Z$35+1))))))</f>
        <v/>
      </c>
      <c r="D566" s="154" t="str">
        <f>IF(ISERROR(IF(OR($D$38=$Y$27,$B566=""),"",VLOOKUP(B566,ÍNDICES!A:DE,AF$35+1))),"",IF(OR($D$38=$Y$27,$B566=""),"",VLOOKUP(B566,ÍNDICES!A:DE,AF$35+1)))</f>
        <v/>
      </c>
      <c r="E566" s="153"/>
      <c r="F566" s="29" t="str">
        <f>IF(E566="","",IF($L$35="SELIC - TRIBUTOS",VLOOKUP(DATE(YEAR($D$19),MONTH($D$19)-1,1),ÍNDICES!$A:$DE,HLOOKUP($BL$25,ÍNDICES!$B$3:$T$4,2)+11)-VLOOKUP(E566,ÍNDICES!$A:$DE,HLOOKUP($BL$25,ÍNDICES!$B$3:$T$4,2)+11)+1%,IF(F$38=$W$26,$J$35,IF(ISERROR(IF(E566&gt;$D$19,1,VLOOKUP(DATE(YEAR(E566),MONTH(E566)+IF($C$35=$S$23,1,0),1),ÍNDICES!$A:$DE,$Z$35+1))),"",IF(E566&gt;$D$19,1,VLOOKUP(DATE(YEAR(E566),MONTH(E566)+IF($C$35=$S$23,1,0),1),ÍNDICES!$A:$DE,$Z$35+1))))))</f>
        <v/>
      </c>
      <c r="G566" s="155"/>
      <c r="H566" s="156" t="str">
        <f t="shared" si="99"/>
        <v/>
      </c>
      <c r="I566" s="29" t="str">
        <f t="shared" si="93"/>
        <v/>
      </c>
      <c r="J566" s="5">
        <f t="shared" si="94"/>
        <v>0</v>
      </c>
      <c r="K566" s="20">
        <f t="shared" ca="1" si="95"/>
        <v>0</v>
      </c>
      <c r="L566" s="5">
        <f t="shared" ca="1" si="96"/>
        <v>0</v>
      </c>
      <c r="M566" s="64">
        <f t="shared" si="100"/>
        <v>0</v>
      </c>
      <c r="N566" s="61">
        <f t="shared" ca="1" si="101"/>
        <v>0</v>
      </c>
      <c r="O566" s="5">
        <f t="shared" ca="1" si="102"/>
        <v>0</v>
      </c>
      <c r="P566" s="446" t="e">
        <f t="shared" si="97"/>
        <v>#VALUE!</v>
      </c>
      <c r="Q566" s="446" t="e">
        <f>IF(OR($B566="",MIN(Q$38,$D$19)&lt;MAX($P$34*($B566+IF($R$17="Distrato",$I$38-1,0)),IF(AND($L$37=0,$P$34=0),"",$L$37-1),IF($R$17="Distrato",$E566,0))),0,YEARFRAC(MAX($P$34*($B566+IF($R$17="Distrato",$I$38-1,0)),IF(AND($L$37=0,$P$34=0),"",$L$37-1),IF($R$17="Distrato",$E566,0)),MIN(Q$38,$D$19),$P$20))-SUM($P566:P566)</f>
        <v>#VALUE!</v>
      </c>
      <c r="R566" s="446" t="e">
        <f>IF(OR($B566="",MIN(R$38,$D$19)&lt;MAX($P$34*($B566+IF($R$17="Distrato",$I$38-1,0)),IF(AND($L$37=0,$P$34=0),"",$L$37-1),IF($R$17="Distrato",$E566,0))),0,YEARFRAC(MAX($P$34*($B566+IF($R$17="Distrato",$I$38-1,0)),IF(AND($L$37=0,$P$34=0),"",$L$37-1),IF($R$17="Distrato",$E566,0)),MIN(R$38,$D$19),$P$20))-SUM($P566:Q566)</f>
        <v>#VALUE!</v>
      </c>
      <c r="S566" s="446" t="e">
        <f>IF(OR($B566="",MIN(S$38,$D$19)&lt;MAX($P$34*($B566+IF($R$17="Distrato",$I$38-1,0)),IF(AND($L$37=0,$P$34=0),"",$L$37-1),IF($R$17="Distrato",$E566,0))),0,YEARFRAC(MAX($P$34*($B566+IF($R$17="Distrato",$I$38-1,0)),IF(AND($L$37=0,$P$34=0),"",$L$37-1),IF($R$17="Distrato",$E566,0)),MIN(S$38,$D$19),$P$20))-SUM($P566:R566)</f>
        <v>#VALUE!</v>
      </c>
      <c r="T566" s="446" t="e">
        <f>IF(OR($B566="",MIN(T$38,$D$19)&lt;MAX($P$34*($B566+IF($R$17="Distrato",$I$38-1,0)),IF(AND($L$37=0,$P$34=0),"",$L$37-1),IF($R$17="Distrato",$E566,0))),0,YEARFRAC(MAX($P$34*($B566+IF($R$17="Distrato",$I$38-1,0)),IF(AND($L$37=0,$P$34=0),"",$L$37-1),IF($R$17="Distrato",$E566,0)),MIN(T$38,$D$19),$P$20))-SUM($P566:S566)</f>
        <v>#VALUE!</v>
      </c>
      <c r="U566" s="446" t="e">
        <f>IF(OR($B566="",MIN(U$38,$D$19)&lt;MAX($P$34*($B566+IF($R$17="Distrato",$I$38-1,0)),IF(AND($L$37=0,$P$34=0),"",$L$37-1),IF($R$17="Distrato",$E566,0))),0,YEARFRAC(MAX($P$34*($B566+IF($R$17="Distrato",$I$38-1,0)),IF(AND($L$37=0,$P$34=0),"",$L$37-1),IF($R$17="Distrato",$E566,0)),MIN(U$38,$D$19),$P$20))-SUM($P566:T566)</f>
        <v>#VALUE!</v>
      </c>
      <c r="V566" s="446" t="e">
        <f>IF(OR($B566="",MIN(V$38,$D$19)&lt;MAX($P$34*($B566+IF($R$17="Distrato",$I$38-1,0)),IF(AND($L$37=0,$P$34=0),"",$L$37-1),IF($R$17="Distrato",$E566,0))),0,YEARFRAC(MAX($P$34*($B566+IF($R$17="Distrato",$I$38-1,0)),IF(AND($L$37=0,$P$34=0),"",$L$37-1),IF($R$17="Distrato",$E566,0)),MIN(V$38,$D$19),$P$20))-SUM($P566:U566)</f>
        <v>#VALUE!</v>
      </c>
      <c r="W566" s="446" t="e">
        <f>IF(OR($B566="",MIN(W$38,$D$19)&lt;MAX($P$34*($B566+IF($R$17="Distrato",$I$38-1,0)),IF(AND($L$37=0,$P$34=0),"",$L$37-1),IF($R$17="Distrato",$E566,0))),0,YEARFRAC(MAX($P$34*($B566+IF($R$17="Distrato",$I$38-1,0)),IF(AND($L$37=0,$P$34=0),"",$L$37-1),IF($R$17="Distrato",$E566,0)),MIN(W$38,$D$19),$P$20))-SUM($P566:V566)</f>
        <v>#VALUE!</v>
      </c>
      <c r="X566" s="446" t="e">
        <f>IF(OR($B566="",MIN(X$38,$D$19)&lt;MAX($P$34*($B566+IF($R$17="Distrato",$I$38-1,0)),IF(AND($L$37=0,$P$34=0),"",$L$37-1),IF($R$17="Distrato",$E566,0))),0,YEARFRAC(MAX($P$34*($B566+IF($R$17="Distrato",$I$38-1,0)),IF(AND($L$37=0,$P$34=0),"",$L$37-1),IF($R$17="Distrato",$E566,0)),MIN(X$38,$D$19),$P$20))-SUM($P566:W566)</f>
        <v>#VALUE!</v>
      </c>
      <c r="Y566" s="446" t="e">
        <f>IF(OR($B566="",MIN(Y$38,$D$19)&lt;MAX($P$34*($B566+IF($R$17="Distrato",$I$38-1,0)),IF(AND($L$37=0,$P$34=0),"",$L$37-1),IF($R$17="Distrato",$E566,0))),0,YEARFRAC(MAX($P$34*($B566+IF($R$17="Distrato",$I$38-1,0)),IF(AND($L$37=0,$P$34=0),"",$L$37-1),IF($R$17="Distrato",$E566,0)),MIN(Y$38,$D$19),$P$20))-SUM($P566:X566)</f>
        <v>#VALUE!</v>
      </c>
      <c r="Z566" s="446" t="e">
        <f>IF(OR($B566="",MIN(Z$38,$D$19)&lt;MAX($P$34*($B566+IF($R$17="Distrato",$I$38-1,0)),IF(AND($L$37=0,$P$34=0),"",$L$37-1),IF($R$17="Distrato",$E566,0))),0,YEARFRAC(MAX($P$34*($B566+IF($R$17="Distrato",$I$38-1,0)),IF(AND($L$37=0,$P$34=0),"",$L$37-1),IF($R$17="Distrato",$E566,0)),MIN(Z$38,$D$19),$P$20))-SUM($P566:Y566)</f>
        <v>#VALUE!</v>
      </c>
      <c r="AA566" s="446" t="e">
        <f>IF(OR($B566="",MIN(AA$38,$D$19)&lt;MAX($P$34*($B566+IF($R$17="Distrato",$I$38-1,0)),IF(AND($L$37=0,$P$34=0),"",$L$37-1),IF($R$17="Distrato",$E566,0))),0,YEARFRAC(MAX($P$34*($B566+IF($R$17="Distrato",$I$38-1,0)),IF(AND($L$37=0,$P$34=0),"",$L$37-1),IF($R$17="Distrato",$E566,0)),MIN(AA$38,$D$19),$P$20))-SUM($P566:Z566)</f>
        <v>#VALUE!</v>
      </c>
      <c r="AB566" s="446" t="e">
        <f>IF(OR($B566="",MIN(AB$38,$D$19)&lt;MAX($P$34*($B566+IF($R$17="Distrato",$I$38-1,0)),IF(AND($L$37=0,$P$34=0),"",$L$37-1),IF($R$17="Distrato",$E566,0))),0,YEARFRAC(MAX($P$34*($B566+IF($R$17="Distrato",$I$38-1,0)),IF(AND($L$37=0,$P$34=0),"",$L$37-1),IF($R$17="Distrato",$E566,0)),MIN(AB$38,$D$19),$P$20))-SUM($P566:AA566)</f>
        <v>#VALUE!</v>
      </c>
      <c r="AC566" s="446" t="e">
        <f>IF(OR($B566="",MIN(AC$38,$D$19)&lt;MAX($P$34*($B566+IF($R$17="Distrato",$I$38-1,0)),IF(AND($L$37=0,$P$34=0),"",$L$37-1),IF($R$17="Distrato",$E566,0))),0,YEARFRAC(MAX($P$34*($B566+IF($R$17="Distrato",$I$38-1,0)),IF(AND($L$37=0,$P$34=0),"",$L$37-1),IF($R$17="Distrato",$E566,0)),MIN(AC$38,$D$19),$P$20))-SUM($P566:AB566)</f>
        <v>#VALUE!</v>
      </c>
      <c r="AD566" s="446" t="e">
        <f>IF(OR($B566="",MIN(AD$38,$D$19)&lt;MAX($P$34*($B566+IF($R$17="Distrato",$I$38-1,0)),IF(AND($L$37=0,$P$34=0),"",$L$37-1),IF($R$17="Distrato",$E566,0))),0,YEARFRAC(MAX($P$34*($B566+IF($R$17="Distrato",$I$38-1,0)),IF(AND($L$37=0,$P$34=0),"",$L$37-1),IF($R$17="Distrato",$E566,0)),MIN(AD$38,$D$19),$P$20))-SUM($P566:AC566)</f>
        <v>#VALUE!</v>
      </c>
      <c r="AE566" s="446" t="e">
        <f>IF(OR($B566="",MIN(AE$38,$D$19)&lt;MAX($P$34*($B566+IF($R$17="Distrato",$I$38-1,0)),IF(AND($L$37=0,$P$34=0),"",$L$37-1),IF($R$17="Distrato",$E566,0))),0,YEARFRAC(MAX($P$34*($B566+IF($R$17="Distrato",$I$38-1,0)),IF(AND($L$37=0,$P$34=0),"",$L$37-1),IF($R$17="Distrato",$E566,0)),MIN(AE$38,$D$19),$P$20))-SUM($P566:AD566)</f>
        <v>#VALUE!</v>
      </c>
      <c r="AF566" s="446" t="e">
        <f>IF(OR($B566="",MIN(AF$38,$D$19)&lt;MAX($P$34*($B566+IF($R$17="Distrato",$I$38-1,0)),IF(AND($L$37=0,$P$34=0),"",$L$37-1),IF($R$17="Distrato",$E566,0))),0,YEARFRAC(MAX($P$34*($B566+IF($R$17="Distrato",$I$38-1,0)),IF(AND($L$37=0,$P$34=0),"",$L$37-1),IF($R$17="Distrato",$E566,0)),MIN(AF$38,$D$19),$P$20))-SUM($P566:AE566)</f>
        <v>#VALUE!</v>
      </c>
      <c r="AG566" s="446" t="e">
        <f>IF(OR($B566="",MIN(AG$38,$D$19)&lt;MAX($P$34*($B566+IF($R$17="Distrato",$I$38-1,0)),IF(AND($L$37=0,$P$34=0),"",$L$37-1),IF($R$17="Distrato",$E566,0))),0,YEARFRAC(MAX($P$34*($B566+IF($R$17="Distrato",$I$38-1,0)),IF(AND($L$37=0,$P$34=0),"",$L$37-1),IF($R$17="Distrato",$E566,0)),MIN(AG$38,$D$19),$P$20))-SUM($P566:AF566)</f>
        <v>#VALUE!</v>
      </c>
      <c r="AH566" s="446" t="e">
        <f>IF(OR($B566="",MIN(AH$38,$D$19)&lt;MAX($P$34*($B566+IF($R$17="Distrato",$I$38-1,0)),IF(AND($L$37=0,$P$34=0),"",$L$37-1),IF($R$17="Distrato",$E566,0))),0,YEARFRAC(MAX($P$34*($B566+IF($R$17="Distrato",$I$38-1,0)),IF(AND($L$37=0,$P$34=0),"",$L$37-1),IF($R$17="Distrato",$E566,0)),MIN(AH$38,$D$19),$P$20))-SUM($P566:AG566)</f>
        <v>#VALUE!</v>
      </c>
      <c r="AI566" s="446" t="e">
        <f>IF(OR($B566="",MIN(AI$38,$D$19)&lt;MAX($P$34*($B566+IF($R$17="Distrato",$I$38-1,0)),IF(AND($L$37=0,$P$34=0),"",$L$37-1),IF($R$17="Distrato",$E566,0))),0,YEARFRAC(MAX($P$34*($B566+IF($R$17="Distrato",$I$38-1,0)),IF(AND($L$37=0,$P$34=0),"",$L$37-1),IF($R$17="Distrato",$E566,0)),MIN(AI$38,$D$19),$P$20))-SUM($P566:AH566)</f>
        <v>#VALUE!</v>
      </c>
      <c r="AJ566" s="446" t="e">
        <f>IF(OR($B566="",MIN(AJ$38,$D$19)&lt;MAX($P$34*($B566+IF($R$17="Distrato",$I$38-1,0)),IF(AND($L$37=0,$P$34=0),"",$L$37-1),IF($R$17="Distrato",$E566,0))),0,YEARFRAC(MAX($P$34*($B566+IF($R$17="Distrato",$I$38-1,0)),IF(AND($L$37=0,$P$34=0),"",$L$37-1),IF($R$17="Distrato",$E566,0)),MIN(AJ$38,$D$19),$P$20))-SUM($P566:AI566)</f>
        <v>#VALUE!</v>
      </c>
      <c r="AK566" s="446" t="e">
        <f>IF(OR($B566="",MIN(AK$38,$D$19)&lt;MAX($P$34*($B566+IF($R$17="Distrato",$I$38-1,0)),IF(AND($L$37=0,$P$34=0),"",$L$37-1),IF($R$17="Distrato",$E566,0))),0,YEARFRAC(MAX($P$34*($B566+IF($R$17="Distrato",$I$38-1,0)),IF(AND($L$37=0,$P$34=0),"",$L$37-1),IF($R$17="Distrato",$E566,0)),MIN(AK$38,$D$19),$P$20))-SUM($P566:AJ566)</f>
        <v>#VALUE!</v>
      </c>
      <c r="AL566" s="446" t="e">
        <f>IF(OR($B566="",MIN(AL$38,$D$19)&lt;MAX($P$34*($B566+IF($R$17="Distrato",$I$38-1,0)),IF(AND($L$37=0,$P$34=0),"",$L$37-1),IF($R$17="Distrato",$E566,0))),0,YEARFRAC(MAX($P$34*($B566+IF($R$17="Distrato",$I$38-1,0)),IF(AND($L$37=0,$P$34=0),"",$L$37-1),IF($R$17="Distrato",$E566,0)),MIN(AL$38,$D$19),$P$20))-SUM($P566:AK566)</f>
        <v>#VALUE!</v>
      </c>
      <c r="AM566" s="446" t="e">
        <f>IF(OR($B566="",MIN(AM$38,$D$19)&lt;MAX($P$34*($B566+IF($R$17="Distrato",$I$38-1,0)),IF(AND($L$37=0,$P$34=0),"",$L$37-1),IF($R$17="Distrato",$E566,0))),0,YEARFRAC(MAX($P$34*($B566+IF($R$17="Distrato",$I$38-1,0)),IF(AND($L$37=0,$P$34=0),"",$L$37-1),IF($R$17="Distrato",$E566,0)),MIN(AM$38,$D$19),$P$20))-SUM($P566:AL566)</f>
        <v>#VALUE!</v>
      </c>
      <c r="AN566" s="446" t="e">
        <f>IF(OR($B566="",MIN(AN$38,$D$19)&lt;MAX($P$34*($B566+IF($R$17="Distrato",$I$38-1,0)),IF(AND($L$37=0,$P$34=0),"",$L$37-1),IF($R$17="Distrato",$E566,0))),0,YEARFRAC(MAX($P$34*($B566+IF($R$17="Distrato",$I$38-1,0)),IF(AND($L$37=0,$P$34=0),"",$L$37-1),IF($R$17="Distrato",$E566,0)),MIN(AN$38,$D$19),$P$20))-SUM($P566:AM566)</f>
        <v>#VALUE!</v>
      </c>
      <c r="AO566" s="446" t="e">
        <f>IF(OR($B566="",MIN(AO$38,$D$19)&lt;MAX($P$34*($B566+IF($R$17="Distrato",$I$38-1,0)),IF(AND($L$37=0,$P$34=0),"",$L$37-1),IF($R$17="Distrato",$E566,0))),0,YEARFRAC(MAX($P$34*($B566+IF($R$17="Distrato",$I$38-1,0)),IF(AND($L$37=0,$P$34=0),"",$L$37-1),IF($R$17="Distrato",$E566,0)),MIN(AO$38,$D$19),$P$20))-SUM($P566:AN566)</f>
        <v>#VALUE!</v>
      </c>
      <c r="AP566" s="446" t="e">
        <f>IF(OR($B566="",MIN(AP$38,$D$19)&lt;MAX($P$34*($B566+IF($R$17="Distrato",$I$38-1,0)),IF(AND($L$37=0,$P$34=0),"",$L$37-1),IF($R$17="Distrato",$E566,0))),0,YEARFRAC(MAX($P$34*($B566+IF($R$17="Distrato",$I$38-1,0)),IF(AND($L$37=0,$P$34=0),"",$L$37-1),IF($R$17="Distrato",$E566,0)),MIN(AP$38,$D$19),$P$20))-SUM($P566:AO566)</f>
        <v>#VALUE!</v>
      </c>
      <c r="AQ566" s="446" t="e">
        <f>IF(OR($B566="",MIN(AQ$38,$D$19)&lt;MAX($P$34*($B566+IF($R$17="Distrato",$I$38-1,0)),IF(AND($L$37=0,$P$34=0),"",$L$37-1),IF($R$17="Distrato",$E566,0))),0,YEARFRAC(MAX($P$34*($B566+IF($R$17="Distrato",$I$38-1,0)),IF(AND($L$37=0,$P$34=0),"",$L$37-1),IF($R$17="Distrato",$E566,0)),MIN(AQ$38,$D$19),$P$20))-SUM($P566:AP566)</f>
        <v>#VALUE!</v>
      </c>
      <c r="AR566" s="446" t="e">
        <f>IF(OR($B566="",MIN(AR$38,$D$19)&lt;MAX($P$34*($B566+IF($R$17="Distrato",$I$38-1,0)),IF(AND($L$37=0,$P$34=0),"",$L$37-1),IF($R$17="Distrato",$E566,0))),0,YEARFRAC(MAX($P$34*($B566+IF($R$17="Distrato",$I$38-1,0)),IF(AND($L$37=0,$P$34=0),"",$L$37-1),IF($R$17="Distrato",$E566,0)),MIN(AR$38,$D$19),$P$20))-SUM($P566:AQ566)</f>
        <v>#VALUE!</v>
      </c>
      <c r="AS566" s="446" t="e">
        <f>IF(OR($B566="",MIN(AS$38,$D$19)&lt;MAX($P$34*($B566+IF($R$17="Distrato",$I$38-1,0)),IF(AND($L$37=0,$P$34=0),"",$L$37-1),IF($R$17="Distrato",$E566,0))),0,YEARFRAC(MAX($P$34*($B566+IF($R$17="Distrato",$I$38-1,0)),IF(AND($L$37=0,$P$34=0),"",$L$37-1),IF($R$17="Distrato",$E566,0)),MIN(AS$38,$D$19),$P$20))-SUM($P566:AR566)</f>
        <v>#VALUE!</v>
      </c>
      <c r="AT566" s="446" t="e">
        <f>IF(OR($B566="",MIN(AT$38,$D$19)&lt;MAX($P$34*($B566+IF($R$17="Distrato",$I$38-1,0)),IF(AND($L$37=0,$P$34=0),"",$L$37-1),IF($R$17="Distrato",$E566,0))),0,YEARFRAC(MAX($P$34*($B566+IF($R$17="Distrato",$I$38-1,0)),IF(AND($L$37=0,$P$34=0),"",$L$37-1),IF($R$17="Distrato",$E566,0)),MIN(AT$38,$D$19),$P$20))-SUM($P566:AS566)</f>
        <v>#VALUE!</v>
      </c>
      <c r="AU566" s="446" t="e">
        <f>IF(OR($B566="",MIN(AU$38,$D$19)&lt;MAX($P$34*($B566+IF($R$17="Distrato",$I$38-1,0)),IF(AND($L$37=0,$P$34=0),"",$L$37-1),IF($R$17="Distrato",$E566,0))),0,YEARFRAC(MAX($P$34*($B566+IF($R$17="Distrato",$I$38-1,0)),IF(AND($L$37=0,$P$34=0),"",$L$37-1),IF($R$17="Distrato",$E566,0)),MIN(AU$38,$D$19),$P$20))-SUM($P566:AT566)</f>
        <v>#VALUE!</v>
      </c>
      <c r="AV566" s="446" t="e">
        <f>IF(OR($B566="",MIN(AV$38,$D$19)&lt;MAX($P$34*($B566+IF($R$17="Distrato",$I$38-1,0)),IF(AND($L$37=0,$P$34=0),"",$L$37-1),IF($R$17="Distrato",$E566,0))),0,YEARFRAC(MAX($P$34*($B566+IF($R$17="Distrato",$I$38-1,0)),IF(AND($L$37=0,$P$34=0),"",$L$37-1),IF($R$17="Distrato",$E566,0)),MIN(AV$38,$D$19),$P$20))-SUM($P566:AU566)</f>
        <v>#VALUE!</v>
      </c>
      <c r="AW566" s="446" t="e">
        <f>IF(OR($B566="",MIN(AW$38,$D$19)&lt;MAX($P$34*($B566+IF($R$17="Distrato",$I$38-1,0)),IF(AND($L$37=0,$P$34=0),"",$L$37-1),IF($R$17="Distrato",$E566,0))),0,YEARFRAC(MAX($P$34*($B566+IF($R$17="Distrato",$I$38-1,0)),IF(AND($L$37=0,$P$34=0),"",$L$37-1),IF($R$17="Distrato",$E566,0)),MIN(AW$38,$D$19),$P$20))-SUM($P566:AV566)</f>
        <v>#VALUE!</v>
      </c>
      <c r="AX566" s="446" t="e">
        <f>IF(OR($B566="",MIN(AX$38,$D$19)&lt;MAX($P$34*($B566+IF($R$17="Distrato",$I$38-1,0)),IF(AND($L$37=0,$P$34=0),"",$L$37-1),IF($R$17="Distrato",$E566,0))),0,YEARFRAC(MAX($P$34*($B566+IF($R$17="Distrato",$I$38-1,0)),IF(AND($L$37=0,$P$34=0),"",$L$37-1),IF($R$17="Distrato",$E566,0)),MIN(AX$38,$D$19),$P$20))-SUM($P566:AW566)</f>
        <v>#VALUE!</v>
      </c>
      <c r="AY566" s="446" t="e">
        <f>IF(OR($B566="",MIN(AY$38,$D$19)&lt;MAX($P$34*($B566+IF($R$17="Distrato",$I$38-1,0)),IF(AND($L$37=0,$P$34=0),"",$L$37-1),IF($R$17="Distrato",$E566,0))),0,YEARFRAC(MAX($P$34*($B566+IF($R$17="Distrato",$I$38-1,0)),IF(AND($L$37=0,$P$34=0),"",$L$37-1),IF($R$17="Distrato",$E566,0)),MIN(AY$38,$D$19),$P$20))-SUM($P566:AX566)</f>
        <v>#VALUE!</v>
      </c>
      <c r="AZ566" s="446" t="e">
        <f>IF(OR($B566="",MIN(AZ$38,$D$19)&lt;MAX($P$34*($B566+IF($R$17="Distrato",$I$38-1,0)),IF(AND($L$37=0,$P$34=0),"",$L$37-1),IF($R$17="Distrato",$E566,0))),0,YEARFRAC(MAX($P$34*($B566+IF($R$17="Distrato",$I$38-1,0)),IF(AND($L$37=0,$P$34=0),"",$L$37-1),IF($R$17="Distrato",$E566,0)),MIN(AZ$38,$D$19),$P$20))-SUM($P566:AY566)</f>
        <v>#VALUE!</v>
      </c>
      <c r="BA566" s="446" t="e">
        <f>IF(OR($B566="",MIN(BA$38,$D$19)&lt;MAX($P$34*($B566+IF($R$17="Distrato",$I$38-1,0)),IF(AND($L$37=0,$P$34=0),"",$L$37-1),IF($R$17="Distrato",$E566,0))),0,YEARFRAC(MAX($P$34*($B566+IF($R$17="Distrato",$I$38-1,0)),IF(AND($L$37=0,$P$34=0),"",$L$37-1),IF($R$17="Distrato",$E566,0)),MIN(BA$38,$D$19),$P$20))-SUM($P566:AZ566)</f>
        <v>#VALUE!</v>
      </c>
      <c r="BB566" s="447"/>
      <c r="BF566" s="446">
        <f t="shared" si="98"/>
        <v>0</v>
      </c>
      <c r="BG566" s="446">
        <f>IF($E566=0,0,IF(MIN(BG$38,$E566)&lt;MAX($P$34*($B566+$I$38-1),IF(AND($L$37=0,$P$34=0),"",$L$37-1)),0,YEARFRAC(MAX($P$34*($B566+$I$38-1),IF(AND($L$37=0,$P$34=0),"",$L$37-1)),MIN(BG$38,$E566),$P$20))-SUM($BF566:BF566))</f>
        <v>0</v>
      </c>
      <c r="BH566" s="446">
        <f>IF($E566=0,0,IF(MIN(BH$38,$E566)&lt;MAX($P$34*($B566+$I$38-1),IF(AND($L$37=0,$P$34=0),"",$L$37-1)),0,YEARFRAC(MAX($P$34*($B566+$I$38-1),IF(AND($L$37=0,$P$34=0),"",$L$37-1)),MIN(BH$38,$E566),$P$20))-SUM($BF566:BG566))</f>
        <v>0</v>
      </c>
      <c r="BI566" s="446">
        <f>IF($E566=0,0,IF(MIN(BI$38,$E566)&lt;MAX($P$34*($B566+$I$38-1),IF(AND($L$37=0,$P$34=0),"",$L$37-1)),0,YEARFRAC(MAX($P$34*($B566+$I$38-1),IF(AND($L$37=0,$P$34=0),"",$L$37-1)),MIN(BI$38,$E566),$P$20))-SUM($BF566:BH566))</f>
        <v>0</v>
      </c>
      <c r="BJ566" s="446">
        <f>IF($E566=0,0,IF(MIN(BJ$38,$E566)&lt;MAX($P$34*($B566+$I$38-1),IF(AND($L$37=0,$P$34=0),"",$L$37-1)),0,YEARFRAC(MAX($P$34*($B566+$I$38-1),IF(AND($L$37=0,$P$34=0),"",$L$37-1)),MIN(BJ$38,$E566),$P$20))-SUM($BF566:BI566))</f>
        <v>0</v>
      </c>
      <c r="BK566" s="446">
        <f>IF($E566=0,0,IF(MIN(BK$38,$E566)&lt;MAX($P$34*($B566+$I$38-1),IF(AND($L$37=0,$P$34=0),"",$L$37-1)),0,YEARFRAC(MAX($P$34*($B566+$I$38-1),IF(AND($L$37=0,$P$34=0),"",$L$37-1)),MIN(BK$38,$E566),$P$20))-SUM($BF566:BJ566))</f>
        <v>0</v>
      </c>
      <c r="BL566" s="446">
        <f>IF($E566=0,0,IF(MIN(BL$38,$E566)&lt;MAX($P$34*($B566+$I$38-1),IF(AND($L$37=0,$P$34=0),"",$L$37-1)),0,YEARFRAC(MAX($P$34*($B566+$I$38-1),IF(AND($L$37=0,$P$34=0),"",$L$37-1)),MIN(BL$38,$E566),$P$20))-SUM($BF566:BK566))</f>
        <v>0</v>
      </c>
      <c r="BM566" s="446">
        <f>IF($E566=0,0,IF(MIN(BM$38,$E566)&lt;MAX($P$34*($B566+$I$38-1),IF(AND($L$37=0,$P$34=0),"",$L$37-1)),0,YEARFRAC(MAX($P$34*($B566+$I$38-1),IF(AND($L$37=0,$P$34=0),"",$L$37-1)),MIN(BM$38,$E566),$P$20))-SUM($BF566:BL566))</f>
        <v>0</v>
      </c>
      <c r="BN566" s="446">
        <f>IF($E566=0,0,IF(MIN(BN$38,$E566)&lt;MAX($P$34*($B566+$I$38-1),IF(AND($L$37=0,$P$34=0),"",$L$37-1)),0,YEARFRAC(MAX($P$34*($B566+$I$38-1),IF(AND($L$37=0,$P$34=0),"",$L$37-1)),MIN(BN$38,$E566),$P$20))-SUM($BF566:BM566))</f>
        <v>0</v>
      </c>
      <c r="BO566" s="446">
        <f>IF($E566=0,0,IF(MIN(BO$38,$E566)&lt;MAX($P$34*($B566+$I$38-1),IF(AND($L$37=0,$P$34=0),"",$L$37-1)),0,YEARFRAC(MAX($P$34*($B566+$I$38-1),IF(AND($L$37=0,$P$34=0),"",$L$37-1)),MIN(BO$38,$E566),$P$20))-SUM($BF566:BN566))</f>
        <v>0</v>
      </c>
      <c r="BP566" s="446">
        <f>IF($E566=0,0,IF(MIN(BP$38,$E566)&lt;MAX($P$34*($B566+$I$38-1),IF(AND($L$37=0,$P$34=0),"",$L$37-1)),0,YEARFRAC(MAX($P$34*($B566+$I$38-1),IF(AND($L$37=0,$P$34=0),"",$L$37-1)),MIN(BP$38,$E566),$P$20))-SUM($BF566:BO566))</f>
        <v>0</v>
      </c>
      <c r="BQ566" s="446">
        <f>IF($E566=0,0,IF(MIN(BQ$38,$E566)&lt;MAX($P$34*($B566+$I$38-1),IF(AND($L$37=0,$P$34=0),"",$L$37-1)),0,YEARFRAC(MAX($P$34*($B566+$I$38-1),IF(AND($L$37=0,$P$34=0),"",$L$37-1)),MIN(BQ$38,$E566),$P$20))-SUM($BF566:BP566))</f>
        <v>0</v>
      </c>
      <c r="BR566" s="446">
        <f>IF($E566=0,0,IF(MIN(BR$38,$E566)&lt;MAX($P$34*($B566+$I$38-1),IF(AND($L$37=0,$P$34=0),"",$L$37-1)),0,YEARFRAC(MAX($P$34*($B566+$I$38-1),IF(AND($L$37=0,$P$34=0),"",$L$37-1)),MIN(BR$38,$E566),$P$20))-SUM($BF566:BQ566))</f>
        <v>0</v>
      </c>
      <c r="BS566" s="446">
        <f>IF($E566=0,0,IF(MIN(BS$38,$E566)&lt;MAX($P$34*($B566+$I$38-1),IF(AND($L$37=0,$P$34=0),"",$L$37-1)),0,YEARFRAC(MAX($P$34*($B566+$I$38-1),IF(AND($L$37=0,$P$34=0),"",$L$37-1)),MIN(BS$38,$E566),$P$20))-SUM($BF566:BR566))</f>
        <v>0</v>
      </c>
      <c r="BT566" s="446">
        <f>IF($E566=0,0,IF(MIN(BT$38,$E566)&lt;MAX($P$34*($B566+$I$38-1),IF(AND($L$37=0,$P$34=0),"",$L$37-1)),0,YEARFRAC(MAX($P$34*($B566+$I$38-1),IF(AND($L$37=0,$P$34=0),"",$L$37-1)),MIN(BT$38,$E566),$P$20))-SUM($BF566:BS566))</f>
        <v>0</v>
      </c>
      <c r="BU566" s="446">
        <f>IF($E566=0,0,IF(MIN(BU$38,$E566)&lt;MAX($P$34*($B566+$I$38-1),IF(AND($L$37=0,$P$34=0),"",$L$37-1)),0,YEARFRAC(MAX($P$34*($B566+$I$38-1),IF(AND($L$37=0,$P$34=0),"",$L$37-1)),MIN(BU$38,$E566),$P$20))-SUM($BF566:BT566))</f>
        <v>0</v>
      </c>
      <c r="BV566" s="446">
        <f>IF($E566=0,0,IF(MIN(BV$38,$E566)&lt;MAX($P$34*($B566+$I$38-1),IF(AND($L$37=0,$P$34=0),"",$L$37-1)),0,YEARFRAC(MAX($P$34*($B566+$I$38-1),IF(AND($L$37=0,$P$34=0),"",$L$37-1)),MIN(BV$38,$E566),$P$20))-SUM($BF566:BU566))</f>
        <v>0</v>
      </c>
      <c r="BW566" s="446">
        <f>IF($E566=0,0,IF(MIN(BW$38,$E566)&lt;MAX($P$34*($B566+$I$38-1),IF(AND($L$37=0,$P$34=0),"",$L$37-1)),0,YEARFRAC(MAX($P$34*($B566+$I$38-1),IF(AND($L$37=0,$P$34=0),"",$L$37-1)),MIN(BW$38,$E566),$P$20))-SUM($BF566:BV566))</f>
        <v>0</v>
      </c>
      <c r="BX566" s="446">
        <f>IF($E566=0,0,IF(MIN(BX$38,$E566)&lt;MAX($P$34*($B566+$I$38-1),IF(AND($L$37=0,$P$34=0),"",$L$37-1)),0,YEARFRAC(MAX($P$34*($B566+$I$38-1),IF(AND($L$37=0,$P$34=0),"",$L$37-1)),MIN(BX$38,$E566),$P$20))-SUM($BF566:BW566))</f>
        <v>0</v>
      </c>
      <c r="BY566" s="446">
        <f>IF($E566=0,0,IF(MIN(BY$38,$E566)&lt;MAX($P$34*($B566+$I$38-1),IF(AND($L$37=0,$P$34=0),"",$L$37-1)),0,YEARFRAC(MAX($P$34*($B566+$I$38-1),IF(AND($L$37=0,$P$34=0),"",$L$37-1)),MIN(BY$38,$E566),$P$20))-SUM($BF566:BX566))</f>
        <v>0</v>
      </c>
      <c r="BZ566" s="446">
        <f>IF($E566=0,0,IF(MIN(BZ$38,$E566)&lt;MAX($P$34*($B566+$I$38-1),IF(AND($L$37=0,$P$34=0),"",$L$37-1)),0,YEARFRAC(MAX($P$34*($B566+$I$38-1),IF(AND($L$37=0,$P$34=0),"",$L$37-1)),MIN(BZ$38,$E566),$P$20))-SUM($BF566:BY566))</f>
        <v>0</v>
      </c>
      <c r="CA566" s="446">
        <f>IF($E566=0,0,IF(MIN(CA$38,$E566)&lt;MAX($P$34*($B566+$I$38-1),IF(AND($L$37=0,$P$34=0),"",$L$37-1)),0,YEARFRAC(MAX($P$34*($B566+$I$38-1),IF(AND($L$37=0,$P$34=0),"",$L$37-1)),MIN(CA$38,$E566),$P$20))-SUM($BF566:BZ566))</f>
        <v>0</v>
      </c>
      <c r="CB566" s="446">
        <f>IF($E566=0,0,IF(MIN(CB$38,$E566)&lt;MAX($P$34*($B566+$I$38-1),IF(AND($L$37=0,$P$34=0),"",$L$37-1)),0,YEARFRAC(MAX($P$34*($B566+$I$38-1),IF(AND($L$37=0,$P$34=0),"",$L$37-1)),MIN(CB$38,$E566),$P$20))-SUM($BF566:CA566))</f>
        <v>0</v>
      </c>
      <c r="CC566" s="446">
        <f>IF($E566=0,0,IF(MIN(CC$38,$E566)&lt;MAX($P$34*($B566+$I$38-1),IF(AND($L$37=0,$P$34=0),"",$L$37-1)),0,YEARFRAC(MAX($P$34*($B566+$I$38-1),IF(AND($L$37=0,$P$34=0),"",$L$37-1)),MIN(CC$38,$E566),$P$20))-SUM($BF566:CB566))</f>
        <v>0</v>
      </c>
      <c r="CD566" s="446">
        <f>IF($E566=0,0,IF(MIN(CD$38,$E566)&lt;MAX($P$34*($B566+$I$38-1),IF(AND($L$37=0,$P$34=0),"",$L$37-1)),0,YEARFRAC(MAX($P$34*($B566+$I$38-1),IF(AND($L$37=0,$P$34=0),"",$L$37-1)),MIN(CD$38,$E566),$P$20))-SUM($BF566:CC566))</f>
        <v>0</v>
      </c>
      <c r="CE566" s="446">
        <f>IF($E566=0,0,IF(MIN(CE$38,$E566)&lt;MAX($P$34*($B566+$I$38-1),IF(AND($L$37=0,$P$34=0),"",$L$37-1)),0,YEARFRAC(MAX($P$34*($B566+$I$38-1),IF(AND($L$37=0,$P$34=0),"",$L$37-1)),MIN(CE$38,$E566),$P$20))-SUM($BF566:CD566))</f>
        <v>0</v>
      </c>
      <c r="CF566" s="446">
        <f>IF($E566=0,0,IF(MIN(CF$38,$E566)&lt;MAX($P$34*($B566+$I$38-1),IF(AND($L$37=0,$P$34=0),"",$L$37-1)),0,YEARFRAC(MAX($P$34*($B566+$I$38-1),IF(AND($L$37=0,$P$34=0),"",$L$37-1)),MIN(CF$38,$E566),$P$20))-SUM($BF566:CE566))</f>
        <v>0</v>
      </c>
      <c r="CG566" s="446">
        <f>IF($E566=0,0,IF(MIN(CG$38,$E566)&lt;MAX($P$34*($B566+$I$38-1),IF(AND($L$37=0,$P$34=0),"",$L$37-1)),0,YEARFRAC(MAX($P$34*($B566+$I$38-1),IF(AND($L$37=0,$P$34=0),"",$L$37-1)),MIN(CG$38,$E566),$P$20))-SUM($BF566:CF566))</f>
        <v>0</v>
      </c>
      <c r="CH566" s="446">
        <f>IF($E566=0,0,IF(MIN(CH$38,$E566)&lt;MAX($P$34*($B566+$I$38-1),IF(AND($L$37=0,$P$34=0),"",$L$37-1)),0,YEARFRAC(MAX($P$34*($B566+$I$38-1),IF(AND($L$37=0,$P$34=0),"",$L$37-1)),MIN(CH$38,$E566),$P$20))-SUM($BF566:CG566))</f>
        <v>0</v>
      </c>
      <c r="CI566" s="446">
        <f>IF($E566=0,0,IF(MIN(CI$38,$E566)&lt;MAX($P$34*($B566+$I$38-1),IF(AND($L$37=0,$P$34=0),"",$L$37-1)),0,YEARFRAC(MAX($P$34*($B566+$I$38-1),IF(AND($L$37=0,$P$34=0),"",$L$37-1)),MIN(CI$38,$E566),$P$20))-SUM($BF566:CH566))</f>
        <v>0</v>
      </c>
      <c r="CJ566" s="446">
        <f>IF($E566=0,0,IF(MIN(CJ$38,$E566)&lt;MAX($P$34*($B566+$I$38-1),IF(AND($L$37=0,$P$34=0),"",$L$37-1)),0,YEARFRAC(MAX($P$34*($B566+$I$38-1),IF(AND($L$37=0,$P$34=0),"",$L$37-1)),MIN(CJ$38,$E566),$P$20))-SUM($BF566:CI566))</f>
        <v>0</v>
      </c>
      <c r="CK566" s="446">
        <f>IF($E566=0,0,IF(MIN(CK$38,$E566)&lt;MAX($P$34*($B566+$I$38-1),IF(AND($L$37=0,$P$34=0),"",$L$37-1)),0,YEARFRAC(MAX($P$34*($B566+$I$38-1),IF(AND($L$37=0,$P$34=0),"",$L$37-1)),MIN(CK$38,$E566),$P$20))-SUM($BF566:CJ566))</f>
        <v>0</v>
      </c>
      <c r="CL566" s="446">
        <f>IF($E566=0,0,IF(MIN(CL$38,$E566)&lt;MAX($P$34*($B566+$I$38-1),IF(AND($L$37=0,$P$34=0),"",$L$37-1)),0,YEARFRAC(MAX($P$34*($B566+$I$38-1),IF(AND($L$37=0,$P$34=0),"",$L$37-1)),MIN(CL$38,$E566),$P$20))-SUM($BF566:CK566))</f>
        <v>0</v>
      </c>
      <c r="CM566" s="446">
        <f>IF($E566=0,0,IF(MIN(CM$38,$E566)&lt;MAX($P$34*($B566+$I$38-1),IF(AND($L$37=0,$P$34=0),"",$L$37-1)),0,YEARFRAC(MAX($P$34*($B566+$I$38-1),IF(AND($L$37=0,$P$34=0),"",$L$37-1)),MIN(CM$38,$E566),$P$20))-SUM($BF566:CL566))</f>
        <v>0</v>
      </c>
      <c r="CN566" s="446">
        <f>IF($E566=0,0,IF(MIN(CN$38,$E566)&lt;MAX($P$34*($B566+$I$38-1),IF(AND($L$37=0,$P$34=0),"",$L$37-1)),0,YEARFRAC(MAX($P$34*($B566+$I$38-1),IF(AND($L$37=0,$P$34=0),"",$L$37-1)),MIN(CN$38,$E566),$P$20))-SUM($BF566:CM566))</f>
        <v>0</v>
      </c>
      <c r="CO566" s="446">
        <f>IF($E566=0,0,IF(MIN(CO$38,$E566)&lt;MAX($P$34*($B566+$I$38-1),IF(AND($L$37=0,$P$34=0),"",$L$37-1)),0,YEARFRAC(MAX($P$34*($B566+$I$38-1),IF(AND($L$37=0,$P$34=0),"",$L$37-1)),MIN(CO$38,$E566),$P$20))-SUM($BF566:CN566))</f>
        <v>0</v>
      </c>
      <c r="CP566" s="446">
        <f>IF($E566=0,0,IF(MIN(CP$38,$E566)&lt;MAX($P$34*($B566+$I$38-1),IF(AND($L$37=0,$P$34=0),"",$L$37-1)),0,YEARFRAC(MAX($P$34*($B566+$I$38-1),IF(AND($L$37=0,$P$34=0),"",$L$37-1)),MIN(CP$38,$E566),$P$20))-SUM($BF566:CO566))</f>
        <v>0</v>
      </c>
      <c r="CQ566" s="446">
        <f>IF($E566=0,0,IF(MIN(CQ$38,$E566)&lt;MAX($P$34*($B566+$I$38-1),IF(AND($L$37=0,$P$34=0),"",$L$37-1)),0,YEARFRAC(MAX($P$34*($B566+$I$38-1),IF(AND($L$37=0,$P$34=0),"",$L$37-1)),MIN(CQ$38,$E566),$P$20))-SUM($BF566:CP566))</f>
        <v>0</v>
      </c>
    </row>
    <row r="567" spans="1:95" s="446" customFormat="1" ht="11.25" hidden="1" customHeight="1" x14ac:dyDescent="0.2">
      <c r="A567" s="152"/>
      <c r="B567" s="153" t="str">
        <f t="shared" si="103"/>
        <v/>
      </c>
      <c r="C567" s="29" t="str">
        <f>IF(B567="","",IF($L$35="SELIC - TRIBUTOS",VLOOKUP(DATE(YEAR($D$19),MONTH($D$19)-1,1),ÍNDICES!$A:$DE,HLOOKUP($BL$25,ÍNDICES!$B$3:$T$4,2)+11)-VLOOKUP(B567,ÍNDICES!$A:$DE,HLOOKUP($BL$25,ÍNDICES!$B$3:$T$4,2)+11)+1%,IF(C$38=$W$26,$J$35,IF(ISERROR(IF(B567&gt;$D$19,1,VLOOKUP(DATE(YEAR(B567),MONTH(B567)+IF($C$35=$S$23,1,0),1),ÍNDICES!$A:$DE,$Z$35+1))),"",IF(B567&gt;$D$19,1,VLOOKUP(DATE(YEAR(B567),MONTH(B567)+IF($C$35=$S$23,1,0),1),ÍNDICES!$A:$DE,$Z$35+1))))))</f>
        <v/>
      </c>
      <c r="D567" s="154" t="str">
        <f>IF(ISERROR(IF(OR($D$38=$Y$27,$B567=""),"",VLOOKUP(B567,ÍNDICES!A:DE,AF$35+1))),"",IF(OR($D$38=$Y$27,$B567=""),"",VLOOKUP(B567,ÍNDICES!A:DE,AF$35+1)))</f>
        <v/>
      </c>
      <c r="E567" s="153"/>
      <c r="F567" s="29" t="str">
        <f>IF(E567="","",IF($L$35="SELIC - TRIBUTOS",VLOOKUP(DATE(YEAR($D$19),MONTH($D$19)-1,1),ÍNDICES!$A:$DE,HLOOKUP($BL$25,ÍNDICES!$B$3:$T$4,2)+11)-VLOOKUP(E567,ÍNDICES!$A:$DE,HLOOKUP($BL$25,ÍNDICES!$B$3:$T$4,2)+11)+1%,IF(F$38=$W$26,$J$35,IF(ISERROR(IF(E567&gt;$D$19,1,VLOOKUP(DATE(YEAR(E567),MONTH(E567)+IF($C$35=$S$23,1,0),1),ÍNDICES!$A:$DE,$Z$35+1))),"",IF(E567&gt;$D$19,1,VLOOKUP(DATE(YEAR(E567),MONTH(E567)+IF($C$35=$S$23,1,0),1),ÍNDICES!$A:$DE,$Z$35+1))))))</f>
        <v/>
      </c>
      <c r="G567" s="155"/>
      <c r="H567" s="156" t="str">
        <f t="shared" si="99"/>
        <v/>
      </c>
      <c r="I567" s="29" t="str">
        <f t="shared" si="93"/>
        <v/>
      </c>
      <c r="J567" s="5">
        <f t="shared" si="94"/>
        <v>0</v>
      </c>
      <c r="K567" s="20">
        <f t="shared" ca="1" si="95"/>
        <v>0</v>
      </c>
      <c r="L567" s="5">
        <f t="shared" ca="1" si="96"/>
        <v>0</v>
      </c>
      <c r="M567" s="64">
        <f t="shared" si="100"/>
        <v>0</v>
      </c>
      <c r="N567" s="61">
        <f t="shared" ca="1" si="101"/>
        <v>0</v>
      </c>
      <c r="O567" s="5">
        <f t="shared" ca="1" si="102"/>
        <v>0</v>
      </c>
      <c r="P567" s="446" t="e">
        <f t="shared" si="97"/>
        <v>#VALUE!</v>
      </c>
      <c r="Q567" s="446" t="e">
        <f>IF(OR($B567="",MIN(Q$38,$D$19)&lt;MAX($P$34*($B567+IF($R$17="Distrato",$I$38-1,0)),IF(AND($L$37=0,$P$34=0),"",$L$37-1),IF($R$17="Distrato",$E567,0))),0,YEARFRAC(MAX($P$34*($B567+IF($R$17="Distrato",$I$38-1,0)),IF(AND($L$37=0,$P$34=0),"",$L$37-1),IF($R$17="Distrato",$E567,0)),MIN(Q$38,$D$19),$P$20))-SUM($P567:P567)</f>
        <v>#VALUE!</v>
      </c>
      <c r="R567" s="446" t="e">
        <f>IF(OR($B567="",MIN(R$38,$D$19)&lt;MAX($P$34*($B567+IF($R$17="Distrato",$I$38-1,0)),IF(AND($L$37=0,$P$34=0),"",$L$37-1),IF($R$17="Distrato",$E567,0))),0,YEARFRAC(MAX($P$34*($B567+IF($R$17="Distrato",$I$38-1,0)),IF(AND($L$37=0,$P$34=0),"",$L$37-1),IF($R$17="Distrato",$E567,0)),MIN(R$38,$D$19),$P$20))-SUM($P567:Q567)</f>
        <v>#VALUE!</v>
      </c>
      <c r="S567" s="446" t="e">
        <f>IF(OR($B567="",MIN(S$38,$D$19)&lt;MAX($P$34*($B567+IF($R$17="Distrato",$I$38-1,0)),IF(AND($L$37=0,$P$34=0),"",$L$37-1),IF($R$17="Distrato",$E567,0))),0,YEARFRAC(MAX($P$34*($B567+IF($R$17="Distrato",$I$38-1,0)),IF(AND($L$37=0,$P$34=0),"",$L$37-1),IF($R$17="Distrato",$E567,0)),MIN(S$38,$D$19),$P$20))-SUM($P567:R567)</f>
        <v>#VALUE!</v>
      </c>
      <c r="T567" s="446" t="e">
        <f>IF(OR($B567="",MIN(T$38,$D$19)&lt;MAX($P$34*($B567+IF($R$17="Distrato",$I$38-1,0)),IF(AND($L$37=0,$P$34=0),"",$L$37-1),IF($R$17="Distrato",$E567,0))),0,YEARFRAC(MAX($P$34*($B567+IF($R$17="Distrato",$I$38-1,0)),IF(AND($L$37=0,$P$34=0),"",$L$37-1),IF($R$17="Distrato",$E567,0)),MIN(T$38,$D$19),$P$20))-SUM($P567:S567)</f>
        <v>#VALUE!</v>
      </c>
      <c r="U567" s="446" t="e">
        <f>IF(OR($B567="",MIN(U$38,$D$19)&lt;MAX($P$34*($B567+IF($R$17="Distrato",$I$38-1,0)),IF(AND($L$37=0,$P$34=0),"",$L$37-1),IF($R$17="Distrato",$E567,0))),0,YEARFRAC(MAX($P$34*($B567+IF($R$17="Distrato",$I$38-1,0)),IF(AND($L$37=0,$P$34=0),"",$L$37-1),IF($R$17="Distrato",$E567,0)),MIN(U$38,$D$19),$P$20))-SUM($P567:T567)</f>
        <v>#VALUE!</v>
      </c>
      <c r="V567" s="446" t="e">
        <f>IF(OR($B567="",MIN(V$38,$D$19)&lt;MAX($P$34*($B567+IF($R$17="Distrato",$I$38-1,0)),IF(AND($L$37=0,$P$34=0),"",$L$37-1),IF($R$17="Distrato",$E567,0))),0,YEARFRAC(MAX($P$34*($B567+IF($R$17="Distrato",$I$38-1,0)),IF(AND($L$37=0,$P$34=0),"",$L$37-1),IF($R$17="Distrato",$E567,0)),MIN(V$38,$D$19),$P$20))-SUM($P567:U567)</f>
        <v>#VALUE!</v>
      </c>
      <c r="W567" s="446" t="e">
        <f>IF(OR($B567="",MIN(W$38,$D$19)&lt;MAX($P$34*($B567+IF($R$17="Distrato",$I$38-1,0)),IF(AND($L$37=0,$P$34=0),"",$L$37-1),IF($R$17="Distrato",$E567,0))),0,YEARFRAC(MAX($P$34*($B567+IF($R$17="Distrato",$I$38-1,0)),IF(AND($L$37=0,$P$34=0),"",$L$37-1),IF($R$17="Distrato",$E567,0)),MIN(W$38,$D$19),$P$20))-SUM($P567:V567)</f>
        <v>#VALUE!</v>
      </c>
      <c r="X567" s="446" t="e">
        <f>IF(OR($B567="",MIN(X$38,$D$19)&lt;MAX($P$34*($B567+IF($R$17="Distrato",$I$38-1,0)),IF(AND($L$37=0,$P$34=0),"",$L$37-1),IF($R$17="Distrato",$E567,0))),0,YEARFRAC(MAX($P$34*($B567+IF($R$17="Distrato",$I$38-1,0)),IF(AND($L$37=0,$P$34=0),"",$L$37-1),IF($R$17="Distrato",$E567,0)),MIN(X$38,$D$19),$P$20))-SUM($P567:W567)</f>
        <v>#VALUE!</v>
      </c>
      <c r="Y567" s="446" t="e">
        <f>IF(OR($B567="",MIN(Y$38,$D$19)&lt;MAX($P$34*($B567+IF($R$17="Distrato",$I$38-1,0)),IF(AND($L$37=0,$P$34=0),"",$L$37-1),IF($R$17="Distrato",$E567,0))),0,YEARFRAC(MAX($P$34*($B567+IF($R$17="Distrato",$I$38-1,0)),IF(AND($L$37=0,$P$34=0),"",$L$37-1),IF($R$17="Distrato",$E567,0)),MIN(Y$38,$D$19),$P$20))-SUM($P567:X567)</f>
        <v>#VALUE!</v>
      </c>
      <c r="Z567" s="446" t="e">
        <f>IF(OR($B567="",MIN(Z$38,$D$19)&lt;MAX($P$34*($B567+IF($R$17="Distrato",$I$38-1,0)),IF(AND($L$37=0,$P$34=0),"",$L$37-1),IF($R$17="Distrato",$E567,0))),0,YEARFRAC(MAX($P$34*($B567+IF($R$17="Distrato",$I$38-1,0)),IF(AND($L$37=0,$P$34=0),"",$L$37-1),IF($R$17="Distrato",$E567,0)),MIN(Z$38,$D$19),$P$20))-SUM($P567:Y567)</f>
        <v>#VALUE!</v>
      </c>
      <c r="AA567" s="446" t="e">
        <f>IF(OR($B567="",MIN(AA$38,$D$19)&lt;MAX($P$34*($B567+IF($R$17="Distrato",$I$38-1,0)),IF(AND($L$37=0,$P$34=0),"",$L$37-1),IF($R$17="Distrato",$E567,0))),0,YEARFRAC(MAX($P$34*($B567+IF($R$17="Distrato",$I$38-1,0)),IF(AND($L$37=0,$P$34=0),"",$L$37-1),IF($R$17="Distrato",$E567,0)),MIN(AA$38,$D$19),$P$20))-SUM($P567:Z567)</f>
        <v>#VALUE!</v>
      </c>
      <c r="AB567" s="446" t="e">
        <f>IF(OR($B567="",MIN(AB$38,$D$19)&lt;MAX($P$34*($B567+IF($R$17="Distrato",$I$38-1,0)),IF(AND($L$37=0,$P$34=0),"",$L$37-1),IF($R$17="Distrato",$E567,0))),0,YEARFRAC(MAX($P$34*($B567+IF($R$17="Distrato",$I$38-1,0)),IF(AND($L$37=0,$P$34=0),"",$L$37-1),IF($R$17="Distrato",$E567,0)),MIN(AB$38,$D$19),$P$20))-SUM($P567:AA567)</f>
        <v>#VALUE!</v>
      </c>
      <c r="AC567" s="446" t="e">
        <f>IF(OR($B567="",MIN(AC$38,$D$19)&lt;MAX($P$34*($B567+IF($R$17="Distrato",$I$38-1,0)),IF(AND($L$37=0,$P$34=0),"",$L$37-1),IF($R$17="Distrato",$E567,0))),0,YEARFRAC(MAX($P$34*($B567+IF($R$17="Distrato",$I$38-1,0)),IF(AND($L$37=0,$P$34=0),"",$L$37-1),IF($R$17="Distrato",$E567,0)),MIN(AC$38,$D$19),$P$20))-SUM($P567:AB567)</f>
        <v>#VALUE!</v>
      </c>
      <c r="AD567" s="446" t="e">
        <f>IF(OR($B567="",MIN(AD$38,$D$19)&lt;MAX($P$34*($B567+IF($R$17="Distrato",$I$38-1,0)),IF(AND($L$37=0,$P$34=0),"",$L$37-1),IF($R$17="Distrato",$E567,0))),0,YEARFRAC(MAX($P$34*($B567+IF($R$17="Distrato",$I$38-1,0)),IF(AND($L$37=0,$P$34=0),"",$L$37-1),IF($R$17="Distrato",$E567,0)),MIN(AD$38,$D$19),$P$20))-SUM($P567:AC567)</f>
        <v>#VALUE!</v>
      </c>
      <c r="AE567" s="446" t="e">
        <f>IF(OR($B567="",MIN(AE$38,$D$19)&lt;MAX($P$34*($B567+IF($R$17="Distrato",$I$38-1,0)),IF(AND($L$37=0,$P$34=0),"",$L$37-1),IF($R$17="Distrato",$E567,0))),0,YEARFRAC(MAX($P$34*($B567+IF($R$17="Distrato",$I$38-1,0)),IF(AND($L$37=0,$P$34=0),"",$L$37-1),IF($R$17="Distrato",$E567,0)),MIN(AE$38,$D$19),$P$20))-SUM($P567:AD567)</f>
        <v>#VALUE!</v>
      </c>
      <c r="AF567" s="446" t="e">
        <f>IF(OR($B567="",MIN(AF$38,$D$19)&lt;MAX($P$34*($B567+IF($R$17="Distrato",$I$38-1,0)),IF(AND($L$37=0,$P$34=0),"",$L$37-1),IF($R$17="Distrato",$E567,0))),0,YEARFRAC(MAX($P$34*($B567+IF($R$17="Distrato",$I$38-1,0)),IF(AND($L$37=0,$P$34=0),"",$L$37-1),IF($R$17="Distrato",$E567,0)),MIN(AF$38,$D$19),$P$20))-SUM($P567:AE567)</f>
        <v>#VALUE!</v>
      </c>
      <c r="AG567" s="446" t="e">
        <f>IF(OR($B567="",MIN(AG$38,$D$19)&lt;MAX($P$34*($B567+IF($R$17="Distrato",$I$38-1,0)),IF(AND($L$37=0,$P$34=0),"",$L$37-1),IF($R$17="Distrato",$E567,0))),0,YEARFRAC(MAX($P$34*($B567+IF($R$17="Distrato",$I$38-1,0)),IF(AND($L$37=0,$P$34=0),"",$L$37-1),IF($R$17="Distrato",$E567,0)),MIN(AG$38,$D$19),$P$20))-SUM($P567:AF567)</f>
        <v>#VALUE!</v>
      </c>
      <c r="AH567" s="446" t="e">
        <f>IF(OR($B567="",MIN(AH$38,$D$19)&lt;MAX($P$34*($B567+IF($R$17="Distrato",$I$38-1,0)),IF(AND($L$37=0,$P$34=0),"",$L$37-1),IF($R$17="Distrato",$E567,0))),0,YEARFRAC(MAX($P$34*($B567+IF($R$17="Distrato",$I$38-1,0)),IF(AND($L$37=0,$P$34=0),"",$L$37-1),IF($R$17="Distrato",$E567,0)),MIN(AH$38,$D$19),$P$20))-SUM($P567:AG567)</f>
        <v>#VALUE!</v>
      </c>
      <c r="AI567" s="446" t="e">
        <f>IF(OR($B567="",MIN(AI$38,$D$19)&lt;MAX($P$34*($B567+IF($R$17="Distrato",$I$38-1,0)),IF(AND($L$37=0,$P$34=0),"",$L$37-1),IF($R$17="Distrato",$E567,0))),0,YEARFRAC(MAX($P$34*($B567+IF($R$17="Distrato",$I$38-1,0)),IF(AND($L$37=0,$P$34=0),"",$L$37-1),IF($R$17="Distrato",$E567,0)),MIN(AI$38,$D$19),$P$20))-SUM($P567:AH567)</f>
        <v>#VALUE!</v>
      </c>
      <c r="AJ567" s="446" t="e">
        <f>IF(OR($B567="",MIN(AJ$38,$D$19)&lt;MAX($P$34*($B567+IF($R$17="Distrato",$I$38-1,0)),IF(AND($L$37=0,$P$34=0),"",$L$37-1),IF($R$17="Distrato",$E567,0))),0,YEARFRAC(MAX($P$34*($B567+IF($R$17="Distrato",$I$38-1,0)),IF(AND($L$37=0,$P$34=0),"",$L$37-1),IF($R$17="Distrato",$E567,0)),MIN(AJ$38,$D$19),$P$20))-SUM($P567:AI567)</f>
        <v>#VALUE!</v>
      </c>
      <c r="AK567" s="446" t="e">
        <f>IF(OR($B567="",MIN(AK$38,$D$19)&lt;MAX($P$34*($B567+IF($R$17="Distrato",$I$38-1,0)),IF(AND($L$37=0,$P$34=0),"",$L$37-1),IF($R$17="Distrato",$E567,0))),0,YEARFRAC(MAX($P$34*($B567+IF($R$17="Distrato",$I$38-1,0)),IF(AND($L$37=0,$P$34=0),"",$L$37-1),IF($R$17="Distrato",$E567,0)),MIN(AK$38,$D$19),$P$20))-SUM($P567:AJ567)</f>
        <v>#VALUE!</v>
      </c>
      <c r="AL567" s="446" t="e">
        <f>IF(OR($B567="",MIN(AL$38,$D$19)&lt;MAX($P$34*($B567+IF($R$17="Distrato",$I$38-1,0)),IF(AND($L$37=0,$P$34=0),"",$L$37-1),IF($R$17="Distrato",$E567,0))),0,YEARFRAC(MAX($P$34*($B567+IF($R$17="Distrato",$I$38-1,0)),IF(AND($L$37=0,$P$34=0),"",$L$37-1),IF($R$17="Distrato",$E567,0)),MIN(AL$38,$D$19),$P$20))-SUM($P567:AK567)</f>
        <v>#VALUE!</v>
      </c>
      <c r="AM567" s="446" t="e">
        <f>IF(OR($B567="",MIN(AM$38,$D$19)&lt;MAX($P$34*($B567+IF($R$17="Distrato",$I$38-1,0)),IF(AND($L$37=0,$P$34=0),"",$L$37-1),IF($R$17="Distrato",$E567,0))),0,YEARFRAC(MAX($P$34*($B567+IF($R$17="Distrato",$I$38-1,0)),IF(AND($L$37=0,$P$34=0),"",$L$37-1),IF($R$17="Distrato",$E567,0)),MIN(AM$38,$D$19),$P$20))-SUM($P567:AL567)</f>
        <v>#VALUE!</v>
      </c>
      <c r="AN567" s="446" t="e">
        <f>IF(OR($B567="",MIN(AN$38,$D$19)&lt;MAX($P$34*($B567+IF($R$17="Distrato",$I$38-1,0)),IF(AND($L$37=0,$P$34=0),"",$L$37-1),IF($R$17="Distrato",$E567,0))),0,YEARFRAC(MAX($P$34*($B567+IF($R$17="Distrato",$I$38-1,0)),IF(AND($L$37=0,$P$34=0),"",$L$37-1),IF($R$17="Distrato",$E567,0)),MIN(AN$38,$D$19),$P$20))-SUM($P567:AM567)</f>
        <v>#VALUE!</v>
      </c>
      <c r="AO567" s="446" t="e">
        <f>IF(OR($B567="",MIN(AO$38,$D$19)&lt;MAX($P$34*($B567+IF($R$17="Distrato",$I$38-1,0)),IF(AND($L$37=0,$P$34=0),"",$L$37-1),IF($R$17="Distrato",$E567,0))),0,YEARFRAC(MAX($P$34*($B567+IF($R$17="Distrato",$I$38-1,0)),IF(AND($L$37=0,$P$34=0),"",$L$37-1),IF($R$17="Distrato",$E567,0)),MIN(AO$38,$D$19),$P$20))-SUM($P567:AN567)</f>
        <v>#VALUE!</v>
      </c>
      <c r="AP567" s="446" t="e">
        <f>IF(OR($B567="",MIN(AP$38,$D$19)&lt;MAX($P$34*($B567+IF($R$17="Distrato",$I$38-1,0)),IF(AND($L$37=0,$P$34=0),"",$L$37-1),IF($R$17="Distrato",$E567,0))),0,YEARFRAC(MAX($P$34*($B567+IF($R$17="Distrato",$I$38-1,0)),IF(AND($L$37=0,$P$34=0),"",$L$37-1),IF($R$17="Distrato",$E567,0)),MIN(AP$38,$D$19),$P$20))-SUM($P567:AO567)</f>
        <v>#VALUE!</v>
      </c>
      <c r="AQ567" s="446" t="e">
        <f>IF(OR($B567="",MIN(AQ$38,$D$19)&lt;MAX($P$34*($B567+IF($R$17="Distrato",$I$38-1,0)),IF(AND($L$37=0,$P$34=0),"",$L$37-1),IF($R$17="Distrato",$E567,0))),0,YEARFRAC(MAX($P$34*($B567+IF($R$17="Distrato",$I$38-1,0)),IF(AND($L$37=0,$P$34=0),"",$L$37-1),IF($R$17="Distrato",$E567,0)),MIN(AQ$38,$D$19),$P$20))-SUM($P567:AP567)</f>
        <v>#VALUE!</v>
      </c>
      <c r="AR567" s="446" t="e">
        <f>IF(OR($B567="",MIN(AR$38,$D$19)&lt;MAX($P$34*($B567+IF($R$17="Distrato",$I$38-1,0)),IF(AND($L$37=0,$P$34=0),"",$L$37-1),IF($R$17="Distrato",$E567,0))),0,YEARFRAC(MAX($P$34*($B567+IF($R$17="Distrato",$I$38-1,0)),IF(AND($L$37=0,$P$34=0),"",$L$37-1),IF($R$17="Distrato",$E567,0)),MIN(AR$38,$D$19),$P$20))-SUM($P567:AQ567)</f>
        <v>#VALUE!</v>
      </c>
      <c r="AS567" s="446" t="e">
        <f>IF(OR($B567="",MIN(AS$38,$D$19)&lt;MAX($P$34*($B567+IF($R$17="Distrato",$I$38-1,0)),IF(AND($L$37=0,$P$34=0),"",$L$37-1),IF($R$17="Distrato",$E567,0))),0,YEARFRAC(MAX($P$34*($B567+IF($R$17="Distrato",$I$38-1,0)),IF(AND($L$37=0,$P$34=0),"",$L$37-1),IF($R$17="Distrato",$E567,0)),MIN(AS$38,$D$19),$P$20))-SUM($P567:AR567)</f>
        <v>#VALUE!</v>
      </c>
      <c r="AT567" s="446" t="e">
        <f>IF(OR($B567="",MIN(AT$38,$D$19)&lt;MAX($P$34*($B567+IF($R$17="Distrato",$I$38-1,0)),IF(AND($L$37=0,$P$34=0),"",$L$37-1),IF($R$17="Distrato",$E567,0))),0,YEARFRAC(MAX($P$34*($B567+IF($R$17="Distrato",$I$38-1,0)),IF(AND($L$37=0,$P$34=0),"",$L$37-1),IF($R$17="Distrato",$E567,0)),MIN(AT$38,$D$19),$P$20))-SUM($P567:AS567)</f>
        <v>#VALUE!</v>
      </c>
      <c r="AU567" s="446" t="e">
        <f>IF(OR($B567="",MIN(AU$38,$D$19)&lt;MAX($P$34*($B567+IF($R$17="Distrato",$I$38-1,0)),IF(AND($L$37=0,$P$34=0),"",$L$37-1),IF($R$17="Distrato",$E567,0))),0,YEARFRAC(MAX($P$34*($B567+IF($R$17="Distrato",$I$38-1,0)),IF(AND($L$37=0,$P$34=0),"",$L$37-1),IF($R$17="Distrato",$E567,0)),MIN(AU$38,$D$19),$P$20))-SUM($P567:AT567)</f>
        <v>#VALUE!</v>
      </c>
      <c r="AV567" s="446" t="e">
        <f>IF(OR($B567="",MIN(AV$38,$D$19)&lt;MAX($P$34*($B567+IF($R$17="Distrato",$I$38-1,0)),IF(AND($L$37=0,$P$34=0),"",$L$37-1),IF($R$17="Distrato",$E567,0))),0,YEARFRAC(MAX($P$34*($B567+IF($R$17="Distrato",$I$38-1,0)),IF(AND($L$37=0,$P$34=0),"",$L$37-1),IF($R$17="Distrato",$E567,0)),MIN(AV$38,$D$19),$P$20))-SUM($P567:AU567)</f>
        <v>#VALUE!</v>
      </c>
      <c r="AW567" s="446" t="e">
        <f>IF(OR($B567="",MIN(AW$38,$D$19)&lt;MAX($P$34*($B567+IF($R$17="Distrato",$I$38-1,0)),IF(AND($L$37=0,$P$34=0),"",$L$37-1),IF($R$17="Distrato",$E567,0))),0,YEARFRAC(MAX($P$34*($B567+IF($R$17="Distrato",$I$38-1,0)),IF(AND($L$37=0,$P$34=0),"",$L$37-1),IF($R$17="Distrato",$E567,0)),MIN(AW$38,$D$19),$P$20))-SUM($P567:AV567)</f>
        <v>#VALUE!</v>
      </c>
      <c r="AX567" s="446" t="e">
        <f>IF(OR($B567="",MIN(AX$38,$D$19)&lt;MAX($P$34*($B567+IF($R$17="Distrato",$I$38-1,0)),IF(AND($L$37=0,$P$34=0),"",$L$37-1),IF($R$17="Distrato",$E567,0))),0,YEARFRAC(MAX($P$34*($B567+IF($R$17="Distrato",$I$38-1,0)),IF(AND($L$37=0,$P$34=0),"",$L$37-1),IF($R$17="Distrato",$E567,0)),MIN(AX$38,$D$19),$P$20))-SUM($P567:AW567)</f>
        <v>#VALUE!</v>
      </c>
      <c r="AY567" s="446" t="e">
        <f>IF(OR($B567="",MIN(AY$38,$D$19)&lt;MAX($P$34*($B567+IF($R$17="Distrato",$I$38-1,0)),IF(AND($L$37=0,$P$34=0),"",$L$37-1),IF($R$17="Distrato",$E567,0))),0,YEARFRAC(MAX($P$34*($B567+IF($R$17="Distrato",$I$38-1,0)),IF(AND($L$37=0,$P$34=0),"",$L$37-1),IF($R$17="Distrato",$E567,0)),MIN(AY$38,$D$19),$P$20))-SUM($P567:AX567)</f>
        <v>#VALUE!</v>
      </c>
      <c r="AZ567" s="446" t="e">
        <f>IF(OR($B567="",MIN(AZ$38,$D$19)&lt;MAX($P$34*($B567+IF($R$17="Distrato",$I$38-1,0)),IF(AND($L$37=0,$P$34=0),"",$L$37-1),IF($R$17="Distrato",$E567,0))),0,YEARFRAC(MAX($P$34*($B567+IF($R$17="Distrato",$I$38-1,0)),IF(AND($L$37=0,$P$34=0),"",$L$37-1),IF($R$17="Distrato",$E567,0)),MIN(AZ$38,$D$19),$P$20))-SUM($P567:AY567)</f>
        <v>#VALUE!</v>
      </c>
      <c r="BA567" s="446" t="e">
        <f>IF(OR($B567="",MIN(BA$38,$D$19)&lt;MAX($P$34*($B567+IF($R$17="Distrato",$I$38-1,0)),IF(AND($L$37=0,$P$34=0),"",$L$37-1),IF($R$17="Distrato",$E567,0))),0,YEARFRAC(MAX($P$34*($B567+IF($R$17="Distrato",$I$38-1,0)),IF(AND($L$37=0,$P$34=0),"",$L$37-1),IF($R$17="Distrato",$E567,0)),MIN(BA$38,$D$19),$P$20))-SUM($P567:AZ567)</f>
        <v>#VALUE!</v>
      </c>
      <c r="BB567" s="447"/>
      <c r="BF567" s="446">
        <f t="shared" si="98"/>
        <v>0</v>
      </c>
      <c r="BG567" s="446">
        <f>IF($E567=0,0,IF(MIN(BG$38,$E567)&lt;MAX($P$34*($B567+$I$38-1),IF(AND($L$37=0,$P$34=0),"",$L$37-1)),0,YEARFRAC(MAX($P$34*($B567+$I$38-1),IF(AND($L$37=0,$P$34=0),"",$L$37-1)),MIN(BG$38,$E567),$P$20))-SUM($BF567:BF567))</f>
        <v>0</v>
      </c>
      <c r="BH567" s="446">
        <f>IF($E567=0,0,IF(MIN(BH$38,$E567)&lt;MAX($P$34*($B567+$I$38-1),IF(AND($L$37=0,$P$34=0),"",$L$37-1)),0,YEARFRAC(MAX($P$34*($B567+$I$38-1),IF(AND($L$37=0,$P$34=0),"",$L$37-1)),MIN(BH$38,$E567),$P$20))-SUM($BF567:BG567))</f>
        <v>0</v>
      </c>
      <c r="BI567" s="446">
        <f>IF($E567=0,0,IF(MIN(BI$38,$E567)&lt;MAX($P$34*($B567+$I$38-1),IF(AND($L$37=0,$P$34=0),"",$L$37-1)),0,YEARFRAC(MAX($P$34*($B567+$I$38-1),IF(AND($L$37=0,$P$34=0),"",$L$37-1)),MIN(BI$38,$E567),$P$20))-SUM($BF567:BH567))</f>
        <v>0</v>
      </c>
      <c r="BJ567" s="446">
        <f>IF($E567=0,0,IF(MIN(BJ$38,$E567)&lt;MAX($P$34*($B567+$I$38-1),IF(AND($L$37=0,$P$34=0),"",$L$37-1)),0,YEARFRAC(MAX($P$34*($B567+$I$38-1),IF(AND($L$37=0,$P$34=0),"",$L$37-1)),MIN(BJ$38,$E567),$P$20))-SUM($BF567:BI567))</f>
        <v>0</v>
      </c>
      <c r="BK567" s="446">
        <f>IF($E567=0,0,IF(MIN(BK$38,$E567)&lt;MAX($P$34*($B567+$I$38-1),IF(AND($L$37=0,$P$34=0),"",$L$37-1)),0,YEARFRAC(MAX($P$34*($B567+$I$38-1),IF(AND($L$37=0,$P$34=0),"",$L$37-1)),MIN(BK$38,$E567),$P$20))-SUM($BF567:BJ567))</f>
        <v>0</v>
      </c>
      <c r="BL567" s="446">
        <f>IF($E567=0,0,IF(MIN(BL$38,$E567)&lt;MAX($P$34*($B567+$I$38-1),IF(AND($L$37=0,$P$34=0),"",$L$37-1)),0,YEARFRAC(MAX($P$34*($B567+$I$38-1),IF(AND($L$37=0,$P$34=0),"",$L$37-1)),MIN(BL$38,$E567),$P$20))-SUM($BF567:BK567))</f>
        <v>0</v>
      </c>
      <c r="BM567" s="446">
        <f>IF($E567=0,0,IF(MIN(BM$38,$E567)&lt;MAX($P$34*($B567+$I$38-1),IF(AND($L$37=0,$P$34=0),"",$L$37-1)),0,YEARFRAC(MAX($P$34*($B567+$I$38-1),IF(AND($L$37=0,$P$34=0),"",$L$37-1)),MIN(BM$38,$E567),$P$20))-SUM($BF567:BL567))</f>
        <v>0</v>
      </c>
      <c r="BN567" s="446">
        <f>IF($E567=0,0,IF(MIN(BN$38,$E567)&lt;MAX($P$34*($B567+$I$38-1),IF(AND($L$37=0,$P$34=0),"",$L$37-1)),0,YEARFRAC(MAX($P$34*($B567+$I$38-1),IF(AND($L$37=0,$P$34=0),"",$L$37-1)),MIN(BN$38,$E567),$P$20))-SUM($BF567:BM567))</f>
        <v>0</v>
      </c>
      <c r="BO567" s="446">
        <f>IF($E567=0,0,IF(MIN(BO$38,$E567)&lt;MAX($P$34*($B567+$I$38-1),IF(AND($L$37=0,$P$34=0),"",$L$37-1)),0,YEARFRAC(MAX($P$34*($B567+$I$38-1),IF(AND($L$37=0,$P$34=0),"",$L$37-1)),MIN(BO$38,$E567),$P$20))-SUM($BF567:BN567))</f>
        <v>0</v>
      </c>
      <c r="BP567" s="446">
        <f>IF($E567=0,0,IF(MIN(BP$38,$E567)&lt;MAX($P$34*($B567+$I$38-1),IF(AND($L$37=0,$P$34=0),"",$L$37-1)),0,YEARFRAC(MAX($P$34*($B567+$I$38-1),IF(AND($L$37=0,$P$34=0),"",$L$37-1)),MIN(BP$38,$E567),$P$20))-SUM($BF567:BO567))</f>
        <v>0</v>
      </c>
      <c r="BQ567" s="446">
        <f>IF($E567=0,0,IF(MIN(BQ$38,$E567)&lt;MAX($P$34*($B567+$I$38-1),IF(AND($L$37=0,$P$34=0),"",$L$37-1)),0,YEARFRAC(MAX($P$34*($B567+$I$38-1),IF(AND($L$37=0,$P$34=0),"",$L$37-1)),MIN(BQ$38,$E567),$P$20))-SUM($BF567:BP567))</f>
        <v>0</v>
      </c>
      <c r="BR567" s="446">
        <f>IF($E567=0,0,IF(MIN(BR$38,$E567)&lt;MAX($P$34*($B567+$I$38-1),IF(AND($L$37=0,$P$34=0),"",$L$37-1)),0,YEARFRAC(MAX($P$34*($B567+$I$38-1),IF(AND($L$37=0,$P$34=0),"",$L$37-1)),MIN(BR$38,$E567),$P$20))-SUM($BF567:BQ567))</f>
        <v>0</v>
      </c>
      <c r="BS567" s="446">
        <f>IF($E567=0,0,IF(MIN(BS$38,$E567)&lt;MAX($P$34*($B567+$I$38-1),IF(AND($L$37=0,$P$34=0),"",$L$37-1)),0,YEARFRAC(MAX($P$34*($B567+$I$38-1),IF(AND($L$37=0,$P$34=0),"",$L$37-1)),MIN(BS$38,$E567),$P$20))-SUM($BF567:BR567))</f>
        <v>0</v>
      </c>
      <c r="BT567" s="446">
        <f>IF($E567=0,0,IF(MIN(BT$38,$E567)&lt;MAX($P$34*($B567+$I$38-1),IF(AND($L$37=0,$P$34=0),"",$L$37-1)),0,YEARFRAC(MAX($P$34*($B567+$I$38-1),IF(AND($L$37=0,$P$34=0),"",$L$37-1)),MIN(BT$38,$E567),$P$20))-SUM($BF567:BS567))</f>
        <v>0</v>
      </c>
      <c r="BU567" s="446">
        <f>IF($E567=0,0,IF(MIN(BU$38,$E567)&lt;MAX($P$34*($B567+$I$38-1),IF(AND($L$37=0,$P$34=0),"",$L$37-1)),0,YEARFRAC(MAX($P$34*($B567+$I$38-1),IF(AND($L$37=0,$P$34=0),"",$L$37-1)),MIN(BU$38,$E567),$P$20))-SUM($BF567:BT567))</f>
        <v>0</v>
      </c>
      <c r="BV567" s="446">
        <f>IF($E567=0,0,IF(MIN(BV$38,$E567)&lt;MAX($P$34*($B567+$I$38-1),IF(AND($L$37=0,$P$34=0),"",$L$37-1)),0,YEARFRAC(MAX($P$34*($B567+$I$38-1),IF(AND($L$37=0,$P$34=0),"",$L$37-1)),MIN(BV$38,$E567),$P$20))-SUM($BF567:BU567))</f>
        <v>0</v>
      </c>
      <c r="BW567" s="446">
        <f>IF($E567=0,0,IF(MIN(BW$38,$E567)&lt;MAX($P$34*($B567+$I$38-1),IF(AND($L$37=0,$P$34=0),"",$L$37-1)),0,YEARFRAC(MAX($P$34*($B567+$I$38-1),IF(AND($L$37=0,$P$34=0),"",$L$37-1)),MIN(BW$38,$E567),$P$20))-SUM($BF567:BV567))</f>
        <v>0</v>
      </c>
      <c r="BX567" s="446">
        <f>IF($E567=0,0,IF(MIN(BX$38,$E567)&lt;MAX($P$34*($B567+$I$38-1),IF(AND($L$37=0,$P$34=0),"",$L$37-1)),0,YEARFRAC(MAX($P$34*($B567+$I$38-1),IF(AND($L$37=0,$P$34=0),"",$L$37-1)),MIN(BX$38,$E567),$P$20))-SUM($BF567:BW567))</f>
        <v>0</v>
      </c>
      <c r="BY567" s="446">
        <f>IF($E567=0,0,IF(MIN(BY$38,$E567)&lt;MAX($P$34*($B567+$I$38-1),IF(AND($L$37=0,$P$34=0),"",$L$37-1)),0,YEARFRAC(MAX($P$34*($B567+$I$38-1),IF(AND($L$37=0,$P$34=0),"",$L$37-1)),MIN(BY$38,$E567),$P$20))-SUM($BF567:BX567))</f>
        <v>0</v>
      </c>
      <c r="BZ567" s="446">
        <f>IF($E567=0,0,IF(MIN(BZ$38,$E567)&lt;MAX($P$34*($B567+$I$38-1),IF(AND($L$37=0,$P$34=0),"",$L$37-1)),0,YEARFRAC(MAX($P$34*($B567+$I$38-1),IF(AND($L$37=0,$P$34=0),"",$L$37-1)),MIN(BZ$38,$E567),$P$20))-SUM($BF567:BY567))</f>
        <v>0</v>
      </c>
      <c r="CA567" s="446">
        <f>IF($E567=0,0,IF(MIN(CA$38,$E567)&lt;MAX($P$34*($B567+$I$38-1),IF(AND($L$37=0,$P$34=0),"",$L$37-1)),0,YEARFRAC(MAX($P$34*($B567+$I$38-1),IF(AND($L$37=0,$P$34=0),"",$L$37-1)),MIN(CA$38,$E567),$P$20))-SUM($BF567:BZ567))</f>
        <v>0</v>
      </c>
      <c r="CB567" s="446">
        <f>IF($E567=0,0,IF(MIN(CB$38,$E567)&lt;MAX($P$34*($B567+$I$38-1),IF(AND($L$37=0,$P$34=0),"",$L$37-1)),0,YEARFRAC(MAX($P$34*($B567+$I$38-1),IF(AND($L$37=0,$P$34=0),"",$L$37-1)),MIN(CB$38,$E567),$P$20))-SUM($BF567:CA567))</f>
        <v>0</v>
      </c>
      <c r="CC567" s="446">
        <f>IF($E567=0,0,IF(MIN(CC$38,$E567)&lt;MAX($P$34*($B567+$I$38-1),IF(AND($L$37=0,$P$34=0),"",$L$37-1)),0,YEARFRAC(MAX($P$34*($B567+$I$38-1),IF(AND($L$37=0,$P$34=0),"",$L$37-1)),MIN(CC$38,$E567),$P$20))-SUM($BF567:CB567))</f>
        <v>0</v>
      </c>
      <c r="CD567" s="446">
        <f>IF($E567=0,0,IF(MIN(CD$38,$E567)&lt;MAX($P$34*($B567+$I$38-1),IF(AND($L$37=0,$P$34=0),"",$L$37-1)),0,YEARFRAC(MAX($P$34*($B567+$I$38-1),IF(AND($L$37=0,$P$34=0),"",$L$37-1)),MIN(CD$38,$E567),$P$20))-SUM($BF567:CC567))</f>
        <v>0</v>
      </c>
      <c r="CE567" s="446">
        <f>IF($E567=0,0,IF(MIN(CE$38,$E567)&lt;MAX($P$34*($B567+$I$38-1),IF(AND($L$37=0,$P$34=0),"",$L$37-1)),0,YEARFRAC(MAX($P$34*($B567+$I$38-1),IF(AND($L$37=0,$P$34=0),"",$L$37-1)),MIN(CE$38,$E567),$P$20))-SUM($BF567:CD567))</f>
        <v>0</v>
      </c>
      <c r="CF567" s="446">
        <f>IF($E567=0,0,IF(MIN(CF$38,$E567)&lt;MAX($P$34*($B567+$I$38-1),IF(AND($L$37=0,$P$34=0),"",$L$37-1)),0,YEARFRAC(MAX($P$34*($B567+$I$38-1),IF(AND($L$37=0,$P$34=0),"",$L$37-1)),MIN(CF$38,$E567),$P$20))-SUM($BF567:CE567))</f>
        <v>0</v>
      </c>
      <c r="CG567" s="446">
        <f>IF($E567=0,0,IF(MIN(CG$38,$E567)&lt;MAX($P$34*($B567+$I$38-1),IF(AND($L$37=0,$P$34=0),"",$L$37-1)),0,YEARFRAC(MAX($P$34*($B567+$I$38-1),IF(AND($L$37=0,$P$34=0),"",$L$37-1)),MIN(CG$38,$E567),$P$20))-SUM($BF567:CF567))</f>
        <v>0</v>
      </c>
      <c r="CH567" s="446">
        <f>IF($E567=0,0,IF(MIN(CH$38,$E567)&lt;MAX($P$34*($B567+$I$38-1),IF(AND($L$37=0,$P$34=0),"",$L$37-1)),0,YEARFRAC(MAX($P$34*($B567+$I$38-1),IF(AND($L$37=0,$P$34=0),"",$L$37-1)),MIN(CH$38,$E567),$P$20))-SUM($BF567:CG567))</f>
        <v>0</v>
      </c>
      <c r="CI567" s="446">
        <f>IF($E567=0,0,IF(MIN(CI$38,$E567)&lt;MAX($P$34*($B567+$I$38-1),IF(AND($L$37=0,$P$34=0),"",$L$37-1)),0,YEARFRAC(MAX($P$34*($B567+$I$38-1),IF(AND($L$37=0,$P$34=0),"",$L$37-1)),MIN(CI$38,$E567),$P$20))-SUM($BF567:CH567))</f>
        <v>0</v>
      </c>
      <c r="CJ567" s="446">
        <f>IF($E567=0,0,IF(MIN(CJ$38,$E567)&lt;MAX($P$34*($B567+$I$38-1),IF(AND($L$37=0,$P$34=0),"",$L$37-1)),0,YEARFRAC(MAX($P$34*($B567+$I$38-1),IF(AND($L$37=0,$P$34=0),"",$L$37-1)),MIN(CJ$38,$E567),$P$20))-SUM($BF567:CI567))</f>
        <v>0</v>
      </c>
      <c r="CK567" s="446">
        <f>IF($E567=0,0,IF(MIN(CK$38,$E567)&lt;MAX($P$34*($B567+$I$38-1),IF(AND($L$37=0,$P$34=0),"",$L$37-1)),0,YEARFRAC(MAX($P$34*($B567+$I$38-1),IF(AND($L$37=0,$P$34=0),"",$L$37-1)),MIN(CK$38,$E567),$P$20))-SUM($BF567:CJ567))</f>
        <v>0</v>
      </c>
      <c r="CL567" s="446">
        <f>IF($E567=0,0,IF(MIN(CL$38,$E567)&lt;MAX($P$34*($B567+$I$38-1),IF(AND($L$37=0,$P$34=0),"",$L$37-1)),0,YEARFRAC(MAX($P$34*($B567+$I$38-1),IF(AND($L$37=0,$P$34=0),"",$L$37-1)),MIN(CL$38,$E567),$P$20))-SUM($BF567:CK567))</f>
        <v>0</v>
      </c>
      <c r="CM567" s="446">
        <f>IF($E567=0,0,IF(MIN(CM$38,$E567)&lt;MAX($P$34*($B567+$I$38-1),IF(AND($L$37=0,$P$34=0),"",$L$37-1)),0,YEARFRAC(MAX($P$34*($B567+$I$38-1),IF(AND($L$37=0,$P$34=0),"",$L$37-1)),MIN(CM$38,$E567),$P$20))-SUM($BF567:CL567))</f>
        <v>0</v>
      </c>
      <c r="CN567" s="446">
        <f>IF($E567=0,0,IF(MIN(CN$38,$E567)&lt;MAX($P$34*($B567+$I$38-1),IF(AND($L$37=0,$P$34=0),"",$L$37-1)),0,YEARFRAC(MAX($P$34*($B567+$I$38-1),IF(AND($L$37=0,$P$34=0),"",$L$37-1)),MIN(CN$38,$E567),$P$20))-SUM($BF567:CM567))</f>
        <v>0</v>
      </c>
      <c r="CO567" s="446">
        <f>IF($E567=0,0,IF(MIN(CO$38,$E567)&lt;MAX($P$34*($B567+$I$38-1),IF(AND($L$37=0,$P$34=0),"",$L$37-1)),0,YEARFRAC(MAX($P$34*($B567+$I$38-1),IF(AND($L$37=0,$P$34=0),"",$L$37-1)),MIN(CO$38,$E567),$P$20))-SUM($BF567:CN567))</f>
        <v>0</v>
      </c>
      <c r="CP567" s="446">
        <f>IF($E567=0,0,IF(MIN(CP$38,$E567)&lt;MAX($P$34*($B567+$I$38-1),IF(AND($L$37=0,$P$34=0),"",$L$37-1)),0,YEARFRAC(MAX($P$34*($B567+$I$38-1),IF(AND($L$37=0,$P$34=0),"",$L$37-1)),MIN(CP$38,$E567),$P$20))-SUM($BF567:CO567))</f>
        <v>0</v>
      </c>
      <c r="CQ567" s="446">
        <f>IF($E567=0,0,IF(MIN(CQ$38,$E567)&lt;MAX($P$34*($B567+$I$38-1),IF(AND($L$37=0,$P$34=0),"",$L$37-1)),0,YEARFRAC(MAX($P$34*($B567+$I$38-1),IF(AND($L$37=0,$P$34=0),"",$L$37-1)),MIN(CQ$38,$E567),$P$20))-SUM($BF567:CP567))</f>
        <v>0</v>
      </c>
    </row>
    <row r="568" spans="1:95" s="446" customFormat="1" ht="11.25" hidden="1" customHeight="1" x14ac:dyDescent="0.2">
      <c r="A568" s="152"/>
      <c r="B568" s="153" t="str">
        <f t="shared" si="103"/>
        <v/>
      </c>
      <c r="C568" s="29" t="str">
        <f>IF(B568="","",IF($L$35="SELIC - TRIBUTOS",VLOOKUP(DATE(YEAR($D$19),MONTH($D$19)-1,1),ÍNDICES!$A:$DE,HLOOKUP($BL$25,ÍNDICES!$B$3:$T$4,2)+11)-VLOOKUP(B568,ÍNDICES!$A:$DE,HLOOKUP($BL$25,ÍNDICES!$B$3:$T$4,2)+11)+1%,IF(C$38=$W$26,$J$35,IF(ISERROR(IF(B568&gt;$D$19,1,VLOOKUP(DATE(YEAR(B568),MONTH(B568)+IF($C$35=$S$23,1,0),1),ÍNDICES!$A:$DE,$Z$35+1))),"",IF(B568&gt;$D$19,1,VLOOKUP(DATE(YEAR(B568),MONTH(B568)+IF($C$35=$S$23,1,0),1),ÍNDICES!$A:$DE,$Z$35+1))))))</f>
        <v/>
      </c>
      <c r="D568" s="154" t="str">
        <f>IF(ISERROR(IF(OR($D$38=$Y$27,$B568=""),"",VLOOKUP(B568,ÍNDICES!A:DE,AF$35+1))),"",IF(OR($D$38=$Y$27,$B568=""),"",VLOOKUP(B568,ÍNDICES!A:DE,AF$35+1)))</f>
        <v/>
      </c>
      <c r="E568" s="153"/>
      <c r="F568" s="29" t="str">
        <f>IF(E568="","",IF($L$35="SELIC - TRIBUTOS",VLOOKUP(DATE(YEAR($D$19),MONTH($D$19)-1,1),ÍNDICES!$A:$DE,HLOOKUP($BL$25,ÍNDICES!$B$3:$T$4,2)+11)-VLOOKUP(E568,ÍNDICES!$A:$DE,HLOOKUP($BL$25,ÍNDICES!$B$3:$T$4,2)+11)+1%,IF(F$38=$W$26,$J$35,IF(ISERROR(IF(E568&gt;$D$19,1,VLOOKUP(DATE(YEAR(E568),MONTH(E568)+IF($C$35=$S$23,1,0),1),ÍNDICES!$A:$DE,$Z$35+1))),"",IF(E568&gt;$D$19,1,VLOOKUP(DATE(YEAR(E568),MONTH(E568)+IF($C$35=$S$23,1,0),1),ÍNDICES!$A:$DE,$Z$35+1))))))</f>
        <v/>
      </c>
      <c r="G568" s="155"/>
      <c r="H568" s="156" t="str">
        <f t="shared" si="99"/>
        <v/>
      </c>
      <c r="I568" s="29" t="str">
        <f t="shared" si="93"/>
        <v/>
      </c>
      <c r="J568" s="5">
        <f t="shared" si="94"/>
        <v>0</v>
      </c>
      <c r="K568" s="20">
        <f t="shared" ca="1" si="95"/>
        <v>0</v>
      </c>
      <c r="L568" s="5">
        <f t="shared" ca="1" si="96"/>
        <v>0</v>
      </c>
      <c r="M568" s="64">
        <f t="shared" si="100"/>
        <v>0</v>
      </c>
      <c r="N568" s="61">
        <f t="shared" ca="1" si="101"/>
        <v>0</v>
      </c>
      <c r="O568" s="5">
        <f t="shared" ca="1" si="102"/>
        <v>0</v>
      </c>
      <c r="P568" s="446" t="e">
        <f t="shared" si="97"/>
        <v>#VALUE!</v>
      </c>
      <c r="Q568" s="446" t="e">
        <f>IF(OR($B568="",MIN(Q$38,$D$19)&lt;MAX($P$34*($B568+IF($R$17="Distrato",$I$38-1,0)),IF(AND($L$37=0,$P$34=0),"",$L$37-1),IF($R$17="Distrato",$E568,0))),0,YEARFRAC(MAX($P$34*($B568+IF($R$17="Distrato",$I$38-1,0)),IF(AND($L$37=0,$P$34=0),"",$L$37-1),IF($R$17="Distrato",$E568,0)),MIN(Q$38,$D$19),$P$20))-SUM($P568:P568)</f>
        <v>#VALUE!</v>
      </c>
      <c r="R568" s="446" t="e">
        <f>IF(OR($B568="",MIN(R$38,$D$19)&lt;MAX($P$34*($B568+IF($R$17="Distrato",$I$38-1,0)),IF(AND($L$37=0,$P$34=0),"",$L$37-1),IF($R$17="Distrato",$E568,0))),0,YEARFRAC(MAX($P$34*($B568+IF($R$17="Distrato",$I$38-1,0)),IF(AND($L$37=0,$P$34=0),"",$L$37-1),IF($R$17="Distrato",$E568,0)),MIN(R$38,$D$19),$P$20))-SUM($P568:Q568)</f>
        <v>#VALUE!</v>
      </c>
      <c r="S568" s="446" t="e">
        <f>IF(OR($B568="",MIN(S$38,$D$19)&lt;MAX($P$34*($B568+IF($R$17="Distrato",$I$38-1,0)),IF(AND($L$37=0,$P$34=0),"",$L$37-1),IF($R$17="Distrato",$E568,0))),0,YEARFRAC(MAX($P$34*($B568+IF($R$17="Distrato",$I$38-1,0)),IF(AND($L$37=0,$P$34=0),"",$L$37-1),IF($R$17="Distrato",$E568,0)),MIN(S$38,$D$19),$P$20))-SUM($P568:R568)</f>
        <v>#VALUE!</v>
      </c>
      <c r="T568" s="446" t="e">
        <f>IF(OR($B568="",MIN(T$38,$D$19)&lt;MAX($P$34*($B568+IF($R$17="Distrato",$I$38-1,0)),IF(AND($L$37=0,$P$34=0),"",$L$37-1),IF($R$17="Distrato",$E568,0))),0,YEARFRAC(MAX($P$34*($B568+IF($R$17="Distrato",$I$38-1,0)),IF(AND($L$37=0,$P$34=0),"",$L$37-1),IF($R$17="Distrato",$E568,0)),MIN(T$38,$D$19),$P$20))-SUM($P568:S568)</f>
        <v>#VALUE!</v>
      </c>
      <c r="U568" s="446" t="e">
        <f>IF(OR($B568="",MIN(U$38,$D$19)&lt;MAX($P$34*($B568+IF($R$17="Distrato",$I$38-1,0)),IF(AND($L$37=0,$P$34=0),"",$L$37-1),IF($R$17="Distrato",$E568,0))),0,YEARFRAC(MAX($P$34*($B568+IF($R$17="Distrato",$I$38-1,0)),IF(AND($L$37=0,$P$34=0),"",$L$37-1),IF($R$17="Distrato",$E568,0)),MIN(U$38,$D$19),$P$20))-SUM($P568:T568)</f>
        <v>#VALUE!</v>
      </c>
      <c r="V568" s="446" t="e">
        <f>IF(OR($B568="",MIN(V$38,$D$19)&lt;MAX($P$34*($B568+IF($R$17="Distrato",$I$38-1,0)),IF(AND($L$37=0,$P$34=0),"",$L$37-1),IF($R$17="Distrato",$E568,0))),0,YEARFRAC(MAX($P$34*($B568+IF($R$17="Distrato",$I$38-1,0)),IF(AND($L$37=0,$P$34=0),"",$L$37-1),IF($R$17="Distrato",$E568,0)),MIN(V$38,$D$19),$P$20))-SUM($P568:U568)</f>
        <v>#VALUE!</v>
      </c>
      <c r="W568" s="446" t="e">
        <f>IF(OR($B568="",MIN(W$38,$D$19)&lt;MAX($P$34*($B568+IF($R$17="Distrato",$I$38-1,0)),IF(AND($L$37=0,$P$34=0),"",$L$37-1),IF($R$17="Distrato",$E568,0))),0,YEARFRAC(MAX($P$34*($B568+IF($R$17="Distrato",$I$38-1,0)),IF(AND($L$37=0,$P$34=0),"",$L$37-1),IF($R$17="Distrato",$E568,0)),MIN(W$38,$D$19),$P$20))-SUM($P568:V568)</f>
        <v>#VALUE!</v>
      </c>
      <c r="X568" s="446" t="e">
        <f>IF(OR($B568="",MIN(X$38,$D$19)&lt;MAX($P$34*($B568+IF($R$17="Distrato",$I$38-1,0)),IF(AND($L$37=0,$P$34=0),"",$L$37-1),IF($R$17="Distrato",$E568,0))),0,YEARFRAC(MAX($P$34*($B568+IF($R$17="Distrato",$I$38-1,0)),IF(AND($L$37=0,$P$34=0),"",$L$37-1),IF($R$17="Distrato",$E568,0)),MIN(X$38,$D$19),$P$20))-SUM($P568:W568)</f>
        <v>#VALUE!</v>
      </c>
      <c r="Y568" s="446" t="e">
        <f>IF(OR($B568="",MIN(Y$38,$D$19)&lt;MAX($P$34*($B568+IF($R$17="Distrato",$I$38-1,0)),IF(AND($L$37=0,$P$34=0),"",$L$37-1),IF($R$17="Distrato",$E568,0))),0,YEARFRAC(MAX($P$34*($B568+IF($R$17="Distrato",$I$38-1,0)),IF(AND($L$37=0,$P$34=0),"",$L$37-1),IF($R$17="Distrato",$E568,0)),MIN(Y$38,$D$19),$P$20))-SUM($P568:X568)</f>
        <v>#VALUE!</v>
      </c>
      <c r="Z568" s="446" t="e">
        <f>IF(OR($B568="",MIN(Z$38,$D$19)&lt;MAX($P$34*($B568+IF($R$17="Distrato",$I$38-1,0)),IF(AND($L$37=0,$P$34=0),"",$L$37-1),IF($R$17="Distrato",$E568,0))),0,YEARFRAC(MAX($P$34*($B568+IF($R$17="Distrato",$I$38-1,0)),IF(AND($L$37=0,$P$34=0),"",$L$37-1),IF($R$17="Distrato",$E568,0)),MIN(Z$38,$D$19),$P$20))-SUM($P568:Y568)</f>
        <v>#VALUE!</v>
      </c>
      <c r="AA568" s="446" t="e">
        <f>IF(OR($B568="",MIN(AA$38,$D$19)&lt;MAX($P$34*($B568+IF($R$17="Distrato",$I$38-1,0)),IF(AND($L$37=0,$P$34=0),"",$L$37-1),IF($R$17="Distrato",$E568,0))),0,YEARFRAC(MAX($P$34*($B568+IF($R$17="Distrato",$I$38-1,0)),IF(AND($L$37=0,$P$34=0),"",$L$37-1),IF($R$17="Distrato",$E568,0)),MIN(AA$38,$D$19),$P$20))-SUM($P568:Z568)</f>
        <v>#VALUE!</v>
      </c>
      <c r="AB568" s="446" t="e">
        <f>IF(OR($B568="",MIN(AB$38,$D$19)&lt;MAX($P$34*($B568+IF($R$17="Distrato",$I$38-1,0)),IF(AND($L$37=0,$P$34=0),"",$L$37-1),IF($R$17="Distrato",$E568,0))),0,YEARFRAC(MAX($P$34*($B568+IF($R$17="Distrato",$I$38-1,0)),IF(AND($L$37=0,$P$34=0),"",$L$37-1),IF($R$17="Distrato",$E568,0)),MIN(AB$38,$D$19),$P$20))-SUM($P568:AA568)</f>
        <v>#VALUE!</v>
      </c>
      <c r="AC568" s="446" t="e">
        <f>IF(OR($B568="",MIN(AC$38,$D$19)&lt;MAX($P$34*($B568+IF($R$17="Distrato",$I$38-1,0)),IF(AND($L$37=0,$P$34=0),"",$L$37-1),IF($R$17="Distrato",$E568,0))),0,YEARFRAC(MAX($P$34*($B568+IF($R$17="Distrato",$I$38-1,0)),IF(AND($L$37=0,$P$34=0),"",$L$37-1),IF($R$17="Distrato",$E568,0)),MIN(AC$38,$D$19),$P$20))-SUM($P568:AB568)</f>
        <v>#VALUE!</v>
      </c>
      <c r="AD568" s="446" t="e">
        <f>IF(OR($B568="",MIN(AD$38,$D$19)&lt;MAX($P$34*($B568+IF($R$17="Distrato",$I$38-1,0)),IF(AND($L$37=0,$P$34=0),"",$L$37-1),IF($R$17="Distrato",$E568,0))),0,YEARFRAC(MAX($P$34*($B568+IF($R$17="Distrato",$I$38-1,0)),IF(AND($L$37=0,$P$34=0),"",$L$37-1),IF($R$17="Distrato",$E568,0)),MIN(AD$38,$D$19),$P$20))-SUM($P568:AC568)</f>
        <v>#VALUE!</v>
      </c>
      <c r="AE568" s="446" t="e">
        <f>IF(OR($B568="",MIN(AE$38,$D$19)&lt;MAX($P$34*($B568+IF($R$17="Distrato",$I$38-1,0)),IF(AND($L$37=0,$P$34=0),"",$L$37-1),IF($R$17="Distrato",$E568,0))),0,YEARFRAC(MAX($P$34*($B568+IF($R$17="Distrato",$I$38-1,0)),IF(AND($L$37=0,$P$34=0),"",$L$37-1),IF($R$17="Distrato",$E568,0)),MIN(AE$38,$D$19),$P$20))-SUM($P568:AD568)</f>
        <v>#VALUE!</v>
      </c>
      <c r="AF568" s="446" t="e">
        <f>IF(OR($B568="",MIN(AF$38,$D$19)&lt;MAX($P$34*($B568+IF($R$17="Distrato",$I$38-1,0)),IF(AND($L$37=0,$P$34=0),"",$L$37-1),IF($R$17="Distrato",$E568,0))),0,YEARFRAC(MAX($P$34*($B568+IF($R$17="Distrato",$I$38-1,0)),IF(AND($L$37=0,$P$34=0),"",$L$37-1),IF($R$17="Distrato",$E568,0)),MIN(AF$38,$D$19),$P$20))-SUM($P568:AE568)</f>
        <v>#VALUE!</v>
      </c>
      <c r="AG568" s="446" t="e">
        <f>IF(OR($B568="",MIN(AG$38,$D$19)&lt;MAX($P$34*($B568+IF($R$17="Distrato",$I$38-1,0)),IF(AND($L$37=0,$P$34=0),"",$L$37-1),IF($R$17="Distrato",$E568,0))),0,YEARFRAC(MAX($P$34*($B568+IF($R$17="Distrato",$I$38-1,0)),IF(AND($L$37=0,$P$34=0),"",$L$37-1),IF($R$17="Distrato",$E568,0)),MIN(AG$38,$D$19),$P$20))-SUM($P568:AF568)</f>
        <v>#VALUE!</v>
      </c>
      <c r="AH568" s="446" t="e">
        <f>IF(OR($B568="",MIN(AH$38,$D$19)&lt;MAX($P$34*($B568+IF($R$17="Distrato",$I$38-1,0)),IF(AND($L$37=0,$P$34=0),"",$L$37-1),IF($R$17="Distrato",$E568,0))),0,YEARFRAC(MAX($P$34*($B568+IF($R$17="Distrato",$I$38-1,0)),IF(AND($L$37=0,$P$34=0),"",$L$37-1),IF($R$17="Distrato",$E568,0)),MIN(AH$38,$D$19),$P$20))-SUM($P568:AG568)</f>
        <v>#VALUE!</v>
      </c>
      <c r="AI568" s="446" t="e">
        <f>IF(OR($B568="",MIN(AI$38,$D$19)&lt;MAX($P$34*($B568+IF($R$17="Distrato",$I$38-1,0)),IF(AND($L$37=0,$P$34=0),"",$L$37-1),IF($R$17="Distrato",$E568,0))),0,YEARFRAC(MAX($P$34*($B568+IF($R$17="Distrato",$I$38-1,0)),IF(AND($L$37=0,$P$34=0),"",$L$37-1),IF($R$17="Distrato",$E568,0)),MIN(AI$38,$D$19),$P$20))-SUM($P568:AH568)</f>
        <v>#VALUE!</v>
      </c>
      <c r="AJ568" s="446" t="e">
        <f>IF(OR($B568="",MIN(AJ$38,$D$19)&lt;MAX($P$34*($B568+IF($R$17="Distrato",$I$38-1,0)),IF(AND($L$37=0,$P$34=0),"",$L$37-1),IF($R$17="Distrato",$E568,0))),0,YEARFRAC(MAX($P$34*($B568+IF($R$17="Distrato",$I$38-1,0)),IF(AND($L$37=0,$P$34=0),"",$L$37-1),IF($R$17="Distrato",$E568,0)),MIN(AJ$38,$D$19),$P$20))-SUM($P568:AI568)</f>
        <v>#VALUE!</v>
      </c>
      <c r="AK568" s="446" t="e">
        <f>IF(OR($B568="",MIN(AK$38,$D$19)&lt;MAX($P$34*($B568+IF($R$17="Distrato",$I$38-1,0)),IF(AND($L$37=0,$P$34=0),"",$L$37-1),IF($R$17="Distrato",$E568,0))),0,YEARFRAC(MAX($P$34*($B568+IF($R$17="Distrato",$I$38-1,0)),IF(AND($L$37=0,$P$34=0),"",$L$37-1),IF($R$17="Distrato",$E568,0)),MIN(AK$38,$D$19),$P$20))-SUM($P568:AJ568)</f>
        <v>#VALUE!</v>
      </c>
      <c r="AL568" s="446" t="e">
        <f>IF(OR($B568="",MIN(AL$38,$D$19)&lt;MAX($P$34*($B568+IF($R$17="Distrato",$I$38-1,0)),IF(AND($L$37=0,$P$34=0),"",$L$37-1),IF($R$17="Distrato",$E568,0))),0,YEARFRAC(MAX($P$34*($B568+IF($R$17="Distrato",$I$38-1,0)),IF(AND($L$37=0,$P$34=0),"",$L$37-1),IF($R$17="Distrato",$E568,0)),MIN(AL$38,$D$19),$P$20))-SUM($P568:AK568)</f>
        <v>#VALUE!</v>
      </c>
      <c r="AM568" s="446" t="e">
        <f>IF(OR($B568="",MIN(AM$38,$D$19)&lt;MAX($P$34*($B568+IF($R$17="Distrato",$I$38-1,0)),IF(AND($L$37=0,$P$34=0),"",$L$37-1),IF($R$17="Distrato",$E568,0))),0,YEARFRAC(MAX($P$34*($B568+IF($R$17="Distrato",$I$38-1,0)),IF(AND($L$37=0,$P$34=0),"",$L$37-1),IF($R$17="Distrato",$E568,0)),MIN(AM$38,$D$19),$P$20))-SUM($P568:AL568)</f>
        <v>#VALUE!</v>
      </c>
      <c r="AN568" s="446" t="e">
        <f>IF(OR($B568="",MIN(AN$38,$D$19)&lt;MAX($P$34*($B568+IF($R$17="Distrato",$I$38-1,0)),IF(AND($L$37=0,$P$34=0),"",$L$37-1),IF($R$17="Distrato",$E568,0))),0,YEARFRAC(MAX($P$34*($B568+IF($R$17="Distrato",$I$38-1,0)),IF(AND($L$37=0,$P$34=0),"",$L$37-1),IF($R$17="Distrato",$E568,0)),MIN(AN$38,$D$19),$P$20))-SUM($P568:AM568)</f>
        <v>#VALUE!</v>
      </c>
      <c r="AO568" s="446" t="e">
        <f>IF(OR($B568="",MIN(AO$38,$D$19)&lt;MAX($P$34*($B568+IF($R$17="Distrato",$I$38-1,0)),IF(AND($L$37=0,$P$34=0),"",$L$37-1),IF($R$17="Distrato",$E568,0))),0,YEARFRAC(MAX($P$34*($B568+IF($R$17="Distrato",$I$38-1,0)),IF(AND($L$37=0,$P$34=0),"",$L$37-1),IF($R$17="Distrato",$E568,0)),MIN(AO$38,$D$19),$P$20))-SUM($P568:AN568)</f>
        <v>#VALUE!</v>
      </c>
      <c r="AP568" s="446" t="e">
        <f>IF(OR($B568="",MIN(AP$38,$D$19)&lt;MAX($P$34*($B568+IF($R$17="Distrato",$I$38-1,0)),IF(AND($L$37=0,$P$34=0),"",$L$37-1),IF($R$17="Distrato",$E568,0))),0,YEARFRAC(MAX($P$34*($B568+IF($R$17="Distrato",$I$38-1,0)),IF(AND($L$37=0,$P$34=0),"",$L$37-1),IF($R$17="Distrato",$E568,0)),MIN(AP$38,$D$19),$P$20))-SUM($P568:AO568)</f>
        <v>#VALUE!</v>
      </c>
      <c r="AQ568" s="446" t="e">
        <f>IF(OR($B568="",MIN(AQ$38,$D$19)&lt;MAX($P$34*($B568+IF($R$17="Distrato",$I$38-1,0)),IF(AND($L$37=0,$P$34=0),"",$L$37-1),IF($R$17="Distrato",$E568,0))),0,YEARFRAC(MAX($P$34*($B568+IF($R$17="Distrato",$I$38-1,0)),IF(AND($L$37=0,$P$34=0),"",$L$37-1),IF($R$17="Distrato",$E568,0)),MIN(AQ$38,$D$19),$P$20))-SUM($P568:AP568)</f>
        <v>#VALUE!</v>
      </c>
      <c r="AR568" s="446" t="e">
        <f>IF(OR($B568="",MIN(AR$38,$D$19)&lt;MAX($P$34*($B568+IF($R$17="Distrato",$I$38-1,0)),IF(AND($L$37=0,$P$34=0),"",$L$37-1),IF($R$17="Distrato",$E568,0))),0,YEARFRAC(MAX($P$34*($B568+IF($R$17="Distrato",$I$38-1,0)),IF(AND($L$37=0,$P$34=0),"",$L$37-1),IF($R$17="Distrato",$E568,0)),MIN(AR$38,$D$19),$P$20))-SUM($P568:AQ568)</f>
        <v>#VALUE!</v>
      </c>
      <c r="AS568" s="446" t="e">
        <f>IF(OR($B568="",MIN(AS$38,$D$19)&lt;MAX($P$34*($B568+IF($R$17="Distrato",$I$38-1,0)),IF(AND($L$37=0,$P$34=0),"",$L$37-1),IF($R$17="Distrato",$E568,0))),0,YEARFRAC(MAX($P$34*($B568+IF($R$17="Distrato",$I$38-1,0)),IF(AND($L$37=0,$P$34=0),"",$L$37-1),IF($R$17="Distrato",$E568,0)),MIN(AS$38,$D$19),$P$20))-SUM($P568:AR568)</f>
        <v>#VALUE!</v>
      </c>
      <c r="AT568" s="446" t="e">
        <f>IF(OR($B568="",MIN(AT$38,$D$19)&lt;MAX($P$34*($B568+IF($R$17="Distrato",$I$38-1,0)),IF(AND($L$37=0,$P$34=0),"",$L$37-1),IF($R$17="Distrato",$E568,0))),0,YEARFRAC(MAX($P$34*($B568+IF($R$17="Distrato",$I$38-1,0)),IF(AND($L$37=0,$P$34=0),"",$L$37-1),IF($R$17="Distrato",$E568,0)),MIN(AT$38,$D$19),$P$20))-SUM($P568:AS568)</f>
        <v>#VALUE!</v>
      </c>
      <c r="AU568" s="446" t="e">
        <f>IF(OR($B568="",MIN(AU$38,$D$19)&lt;MAX($P$34*($B568+IF($R$17="Distrato",$I$38-1,0)),IF(AND($L$37=0,$P$34=0),"",$L$37-1),IF($R$17="Distrato",$E568,0))),0,YEARFRAC(MAX($P$34*($B568+IF($R$17="Distrato",$I$38-1,0)),IF(AND($L$37=0,$P$34=0),"",$L$37-1),IF($R$17="Distrato",$E568,0)),MIN(AU$38,$D$19),$P$20))-SUM($P568:AT568)</f>
        <v>#VALUE!</v>
      </c>
      <c r="AV568" s="446" t="e">
        <f>IF(OR($B568="",MIN(AV$38,$D$19)&lt;MAX($P$34*($B568+IF($R$17="Distrato",$I$38-1,0)),IF(AND($L$37=0,$P$34=0),"",$L$37-1),IF($R$17="Distrato",$E568,0))),0,YEARFRAC(MAX($P$34*($B568+IF($R$17="Distrato",$I$38-1,0)),IF(AND($L$37=0,$P$34=0),"",$L$37-1),IF($R$17="Distrato",$E568,0)),MIN(AV$38,$D$19),$P$20))-SUM($P568:AU568)</f>
        <v>#VALUE!</v>
      </c>
      <c r="AW568" s="446" t="e">
        <f>IF(OR($B568="",MIN(AW$38,$D$19)&lt;MAX($P$34*($B568+IF($R$17="Distrato",$I$38-1,0)),IF(AND($L$37=0,$P$34=0),"",$L$37-1),IF($R$17="Distrato",$E568,0))),0,YEARFRAC(MAX($P$34*($B568+IF($R$17="Distrato",$I$38-1,0)),IF(AND($L$37=0,$P$34=0),"",$L$37-1),IF($R$17="Distrato",$E568,0)),MIN(AW$38,$D$19),$P$20))-SUM($P568:AV568)</f>
        <v>#VALUE!</v>
      </c>
      <c r="AX568" s="446" t="e">
        <f>IF(OR($B568="",MIN(AX$38,$D$19)&lt;MAX($P$34*($B568+IF($R$17="Distrato",$I$38-1,0)),IF(AND($L$37=0,$P$34=0),"",$L$37-1),IF($R$17="Distrato",$E568,0))),0,YEARFRAC(MAX($P$34*($B568+IF($R$17="Distrato",$I$38-1,0)),IF(AND($L$37=0,$P$34=0),"",$L$37-1),IF($R$17="Distrato",$E568,0)),MIN(AX$38,$D$19),$P$20))-SUM($P568:AW568)</f>
        <v>#VALUE!</v>
      </c>
      <c r="AY568" s="446" t="e">
        <f>IF(OR($B568="",MIN(AY$38,$D$19)&lt;MAX($P$34*($B568+IF($R$17="Distrato",$I$38-1,0)),IF(AND($L$37=0,$P$34=0),"",$L$37-1),IF($R$17="Distrato",$E568,0))),0,YEARFRAC(MAX($P$34*($B568+IF($R$17="Distrato",$I$38-1,0)),IF(AND($L$37=0,$P$34=0),"",$L$37-1),IF($R$17="Distrato",$E568,0)),MIN(AY$38,$D$19),$P$20))-SUM($P568:AX568)</f>
        <v>#VALUE!</v>
      </c>
      <c r="AZ568" s="446" t="e">
        <f>IF(OR($B568="",MIN(AZ$38,$D$19)&lt;MAX($P$34*($B568+IF($R$17="Distrato",$I$38-1,0)),IF(AND($L$37=0,$P$34=0),"",$L$37-1),IF($R$17="Distrato",$E568,0))),0,YEARFRAC(MAX($P$34*($B568+IF($R$17="Distrato",$I$38-1,0)),IF(AND($L$37=0,$P$34=0),"",$L$37-1),IF($R$17="Distrato",$E568,0)),MIN(AZ$38,$D$19),$P$20))-SUM($P568:AY568)</f>
        <v>#VALUE!</v>
      </c>
      <c r="BA568" s="446" t="e">
        <f>IF(OR($B568="",MIN(BA$38,$D$19)&lt;MAX($P$34*($B568+IF($R$17="Distrato",$I$38-1,0)),IF(AND($L$37=0,$P$34=0),"",$L$37-1),IF($R$17="Distrato",$E568,0))),0,YEARFRAC(MAX($P$34*($B568+IF($R$17="Distrato",$I$38-1,0)),IF(AND($L$37=0,$P$34=0),"",$L$37-1),IF($R$17="Distrato",$E568,0)),MIN(BA$38,$D$19),$P$20))-SUM($P568:AZ568)</f>
        <v>#VALUE!</v>
      </c>
      <c r="BB568" s="447"/>
      <c r="BF568" s="446">
        <f t="shared" si="98"/>
        <v>0</v>
      </c>
      <c r="BG568" s="446">
        <f>IF($E568=0,0,IF(MIN(BG$38,$E568)&lt;MAX($P$34*($B568+$I$38-1),IF(AND($L$37=0,$P$34=0),"",$L$37-1)),0,YEARFRAC(MAX($P$34*($B568+$I$38-1),IF(AND($L$37=0,$P$34=0),"",$L$37-1)),MIN(BG$38,$E568),$P$20))-SUM($BF568:BF568))</f>
        <v>0</v>
      </c>
      <c r="BH568" s="446">
        <f>IF($E568=0,0,IF(MIN(BH$38,$E568)&lt;MAX($P$34*($B568+$I$38-1),IF(AND($L$37=0,$P$34=0),"",$L$37-1)),0,YEARFRAC(MAX($P$34*($B568+$I$38-1),IF(AND($L$37=0,$P$34=0),"",$L$37-1)),MIN(BH$38,$E568),$P$20))-SUM($BF568:BG568))</f>
        <v>0</v>
      </c>
      <c r="BI568" s="446">
        <f>IF($E568=0,0,IF(MIN(BI$38,$E568)&lt;MAX($P$34*($B568+$I$38-1),IF(AND($L$37=0,$P$34=0),"",$L$37-1)),0,YEARFRAC(MAX($P$34*($B568+$I$38-1),IF(AND($L$37=0,$P$34=0),"",$L$37-1)),MIN(BI$38,$E568),$P$20))-SUM($BF568:BH568))</f>
        <v>0</v>
      </c>
      <c r="BJ568" s="446">
        <f>IF($E568=0,0,IF(MIN(BJ$38,$E568)&lt;MAX($P$34*($B568+$I$38-1),IF(AND($L$37=0,$P$34=0),"",$L$37-1)),0,YEARFRAC(MAX($P$34*($B568+$I$38-1),IF(AND($L$37=0,$P$34=0),"",$L$37-1)),MIN(BJ$38,$E568),$P$20))-SUM($BF568:BI568))</f>
        <v>0</v>
      </c>
      <c r="BK568" s="446">
        <f>IF($E568=0,0,IF(MIN(BK$38,$E568)&lt;MAX($P$34*($B568+$I$38-1),IF(AND($L$37=0,$P$34=0),"",$L$37-1)),0,YEARFRAC(MAX($P$34*($B568+$I$38-1),IF(AND($L$37=0,$P$34=0),"",$L$37-1)),MIN(BK$38,$E568),$P$20))-SUM($BF568:BJ568))</f>
        <v>0</v>
      </c>
      <c r="BL568" s="446">
        <f>IF($E568=0,0,IF(MIN(BL$38,$E568)&lt;MAX($P$34*($B568+$I$38-1),IF(AND($L$37=0,$P$34=0),"",$L$37-1)),0,YEARFRAC(MAX($P$34*($B568+$I$38-1),IF(AND($L$37=0,$P$34=0),"",$L$37-1)),MIN(BL$38,$E568),$P$20))-SUM($BF568:BK568))</f>
        <v>0</v>
      </c>
      <c r="BM568" s="446">
        <f>IF($E568=0,0,IF(MIN(BM$38,$E568)&lt;MAX($P$34*($B568+$I$38-1),IF(AND($L$37=0,$P$34=0),"",$L$37-1)),0,YEARFRAC(MAX($P$34*($B568+$I$38-1),IF(AND($L$37=0,$P$34=0),"",$L$37-1)),MIN(BM$38,$E568),$P$20))-SUM($BF568:BL568))</f>
        <v>0</v>
      </c>
      <c r="BN568" s="446">
        <f>IF($E568=0,0,IF(MIN(BN$38,$E568)&lt;MAX($P$34*($B568+$I$38-1),IF(AND($L$37=0,$P$34=0),"",$L$37-1)),0,YEARFRAC(MAX($P$34*($B568+$I$38-1),IF(AND($L$37=0,$P$34=0),"",$L$37-1)),MIN(BN$38,$E568),$P$20))-SUM($BF568:BM568))</f>
        <v>0</v>
      </c>
      <c r="BO568" s="446">
        <f>IF($E568=0,0,IF(MIN(BO$38,$E568)&lt;MAX($P$34*($B568+$I$38-1),IF(AND($L$37=0,$P$34=0),"",$L$37-1)),0,YEARFRAC(MAX($P$34*($B568+$I$38-1),IF(AND($L$37=0,$P$34=0),"",$L$37-1)),MIN(BO$38,$E568),$P$20))-SUM($BF568:BN568))</f>
        <v>0</v>
      </c>
      <c r="BP568" s="446">
        <f>IF($E568=0,0,IF(MIN(BP$38,$E568)&lt;MAX($P$34*($B568+$I$38-1),IF(AND($L$37=0,$P$34=0),"",$L$37-1)),0,YEARFRAC(MAX($P$34*($B568+$I$38-1),IF(AND($L$37=0,$P$34=0),"",$L$37-1)),MIN(BP$38,$E568),$P$20))-SUM($BF568:BO568))</f>
        <v>0</v>
      </c>
      <c r="BQ568" s="446">
        <f>IF($E568=0,0,IF(MIN(BQ$38,$E568)&lt;MAX($P$34*($B568+$I$38-1),IF(AND($L$37=0,$P$34=0),"",$L$37-1)),0,YEARFRAC(MAX($P$34*($B568+$I$38-1),IF(AND($L$37=0,$P$34=0),"",$L$37-1)),MIN(BQ$38,$E568),$P$20))-SUM($BF568:BP568))</f>
        <v>0</v>
      </c>
      <c r="BR568" s="446">
        <f>IF($E568=0,0,IF(MIN(BR$38,$E568)&lt;MAX($P$34*($B568+$I$38-1),IF(AND($L$37=0,$P$34=0),"",$L$37-1)),0,YEARFRAC(MAX($P$34*($B568+$I$38-1),IF(AND($L$37=0,$P$34=0),"",$L$37-1)),MIN(BR$38,$E568),$P$20))-SUM($BF568:BQ568))</f>
        <v>0</v>
      </c>
      <c r="BS568" s="446">
        <f>IF($E568=0,0,IF(MIN(BS$38,$E568)&lt;MAX($P$34*($B568+$I$38-1),IF(AND($L$37=0,$P$34=0),"",$L$37-1)),0,YEARFRAC(MAX($P$34*($B568+$I$38-1),IF(AND($L$37=0,$P$34=0),"",$L$37-1)),MIN(BS$38,$E568),$P$20))-SUM($BF568:BR568))</f>
        <v>0</v>
      </c>
      <c r="BT568" s="446">
        <f>IF($E568=0,0,IF(MIN(BT$38,$E568)&lt;MAX($P$34*($B568+$I$38-1),IF(AND($L$37=0,$P$34=0),"",$L$37-1)),0,YEARFRAC(MAX($P$34*($B568+$I$38-1),IF(AND($L$37=0,$P$34=0),"",$L$37-1)),MIN(BT$38,$E568),$P$20))-SUM($BF568:BS568))</f>
        <v>0</v>
      </c>
      <c r="BU568" s="446">
        <f>IF($E568=0,0,IF(MIN(BU$38,$E568)&lt;MAX($P$34*($B568+$I$38-1),IF(AND($L$37=0,$P$34=0),"",$L$37-1)),0,YEARFRAC(MAX($P$34*($B568+$I$38-1),IF(AND($L$37=0,$P$34=0),"",$L$37-1)),MIN(BU$38,$E568),$P$20))-SUM($BF568:BT568))</f>
        <v>0</v>
      </c>
      <c r="BV568" s="446">
        <f>IF($E568=0,0,IF(MIN(BV$38,$E568)&lt;MAX($P$34*($B568+$I$38-1),IF(AND($L$37=0,$P$34=0),"",$L$37-1)),0,YEARFRAC(MAX($P$34*($B568+$I$38-1),IF(AND($L$37=0,$P$34=0),"",$L$37-1)),MIN(BV$38,$E568),$P$20))-SUM($BF568:BU568))</f>
        <v>0</v>
      </c>
      <c r="BW568" s="446">
        <f>IF($E568=0,0,IF(MIN(BW$38,$E568)&lt;MAX($P$34*($B568+$I$38-1),IF(AND($L$37=0,$P$34=0),"",$L$37-1)),0,YEARFRAC(MAX($P$34*($B568+$I$38-1),IF(AND($L$37=0,$P$34=0),"",$L$37-1)),MIN(BW$38,$E568),$P$20))-SUM($BF568:BV568))</f>
        <v>0</v>
      </c>
      <c r="BX568" s="446">
        <f>IF($E568=0,0,IF(MIN(BX$38,$E568)&lt;MAX($P$34*($B568+$I$38-1),IF(AND($L$37=0,$P$34=0),"",$L$37-1)),0,YEARFRAC(MAX($P$34*($B568+$I$38-1),IF(AND($L$37=0,$P$34=0),"",$L$37-1)),MIN(BX$38,$E568),$P$20))-SUM($BF568:BW568))</f>
        <v>0</v>
      </c>
      <c r="BY568" s="446">
        <f>IF($E568=0,0,IF(MIN(BY$38,$E568)&lt;MAX($P$34*($B568+$I$38-1),IF(AND($L$37=0,$P$34=0),"",$L$37-1)),0,YEARFRAC(MAX($P$34*($B568+$I$38-1),IF(AND($L$37=0,$P$34=0),"",$L$37-1)),MIN(BY$38,$E568),$P$20))-SUM($BF568:BX568))</f>
        <v>0</v>
      </c>
      <c r="BZ568" s="446">
        <f>IF($E568=0,0,IF(MIN(BZ$38,$E568)&lt;MAX($P$34*($B568+$I$38-1),IF(AND($L$37=0,$P$34=0),"",$L$37-1)),0,YEARFRAC(MAX($P$34*($B568+$I$38-1),IF(AND($L$37=0,$P$34=0),"",$L$37-1)),MIN(BZ$38,$E568),$P$20))-SUM($BF568:BY568))</f>
        <v>0</v>
      </c>
      <c r="CA568" s="446">
        <f>IF($E568=0,0,IF(MIN(CA$38,$E568)&lt;MAX($P$34*($B568+$I$38-1),IF(AND($L$37=0,$P$34=0),"",$L$37-1)),0,YEARFRAC(MAX($P$34*($B568+$I$38-1),IF(AND($L$37=0,$P$34=0),"",$L$37-1)),MIN(CA$38,$E568),$P$20))-SUM($BF568:BZ568))</f>
        <v>0</v>
      </c>
      <c r="CB568" s="446">
        <f>IF($E568=0,0,IF(MIN(CB$38,$E568)&lt;MAX($P$34*($B568+$I$38-1),IF(AND($L$37=0,$P$34=0),"",$L$37-1)),0,YEARFRAC(MAX($P$34*($B568+$I$38-1),IF(AND($L$37=0,$P$34=0),"",$L$37-1)),MIN(CB$38,$E568),$P$20))-SUM($BF568:CA568))</f>
        <v>0</v>
      </c>
      <c r="CC568" s="446">
        <f>IF($E568=0,0,IF(MIN(CC$38,$E568)&lt;MAX($P$34*($B568+$I$38-1),IF(AND($L$37=0,$P$34=0),"",$L$37-1)),0,YEARFRAC(MAX($P$34*($B568+$I$38-1),IF(AND($L$37=0,$P$34=0),"",$L$37-1)),MIN(CC$38,$E568),$P$20))-SUM($BF568:CB568))</f>
        <v>0</v>
      </c>
      <c r="CD568" s="446">
        <f>IF($E568=0,0,IF(MIN(CD$38,$E568)&lt;MAX($P$34*($B568+$I$38-1),IF(AND($L$37=0,$P$34=0),"",$L$37-1)),0,YEARFRAC(MAX($P$34*($B568+$I$38-1),IF(AND($L$37=0,$P$34=0),"",$L$37-1)),MIN(CD$38,$E568),$P$20))-SUM($BF568:CC568))</f>
        <v>0</v>
      </c>
      <c r="CE568" s="446">
        <f>IF($E568=0,0,IF(MIN(CE$38,$E568)&lt;MAX($P$34*($B568+$I$38-1),IF(AND($L$37=0,$P$34=0),"",$L$37-1)),0,YEARFRAC(MAX($P$34*($B568+$I$38-1),IF(AND($L$37=0,$P$34=0),"",$L$37-1)),MIN(CE$38,$E568),$P$20))-SUM($BF568:CD568))</f>
        <v>0</v>
      </c>
      <c r="CF568" s="446">
        <f>IF($E568=0,0,IF(MIN(CF$38,$E568)&lt;MAX($P$34*($B568+$I$38-1),IF(AND($L$37=0,$P$34=0),"",$L$37-1)),0,YEARFRAC(MAX($P$34*($B568+$I$38-1),IF(AND($L$37=0,$P$34=0),"",$L$37-1)),MIN(CF$38,$E568),$P$20))-SUM($BF568:CE568))</f>
        <v>0</v>
      </c>
      <c r="CG568" s="446">
        <f>IF($E568=0,0,IF(MIN(CG$38,$E568)&lt;MAX($P$34*($B568+$I$38-1),IF(AND($L$37=0,$P$34=0),"",$L$37-1)),0,YEARFRAC(MAX($P$34*($B568+$I$38-1),IF(AND($L$37=0,$P$34=0),"",$L$37-1)),MIN(CG$38,$E568),$P$20))-SUM($BF568:CF568))</f>
        <v>0</v>
      </c>
      <c r="CH568" s="446">
        <f>IF($E568=0,0,IF(MIN(CH$38,$E568)&lt;MAX($P$34*($B568+$I$38-1),IF(AND($L$37=0,$P$34=0),"",$L$37-1)),0,YEARFRAC(MAX($P$34*($B568+$I$38-1),IF(AND($L$37=0,$P$34=0),"",$L$37-1)),MIN(CH$38,$E568),$P$20))-SUM($BF568:CG568))</f>
        <v>0</v>
      </c>
      <c r="CI568" s="446">
        <f>IF($E568=0,0,IF(MIN(CI$38,$E568)&lt;MAX($P$34*($B568+$I$38-1),IF(AND($L$37=0,$P$34=0),"",$L$37-1)),0,YEARFRAC(MAX($P$34*($B568+$I$38-1),IF(AND($L$37=0,$P$34=0),"",$L$37-1)),MIN(CI$38,$E568),$P$20))-SUM($BF568:CH568))</f>
        <v>0</v>
      </c>
      <c r="CJ568" s="446">
        <f>IF($E568=0,0,IF(MIN(CJ$38,$E568)&lt;MAX($P$34*($B568+$I$38-1),IF(AND($L$37=0,$P$34=0),"",$L$37-1)),0,YEARFRAC(MAX($P$34*($B568+$I$38-1),IF(AND($L$37=0,$P$34=0),"",$L$37-1)),MIN(CJ$38,$E568),$P$20))-SUM($BF568:CI568))</f>
        <v>0</v>
      </c>
      <c r="CK568" s="446">
        <f>IF($E568=0,0,IF(MIN(CK$38,$E568)&lt;MAX($P$34*($B568+$I$38-1),IF(AND($L$37=0,$P$34=0),"",$L$37-1)),0,YEARFRAC(MAX($P$34*($B568+$I$38-1),IF(AND($L$37=0,$P$34=0),"",$L$37-1)),MIN(CK$38,$E568),$P$20))-SUM($BF568:CJ568))</f>
        <v>0</v>
      </c>
      <c r="CL568" s="446">
        <f>IF($E568=0,0,IF(MIN(CL$38,$E568)&lt;MAX($P$34*($B568+$I$38-1),IF(AND($L$37=0,$P$34=0),"",$L$37-1)),0,YEARFRAC(MAX($P$34*($B568+$I$38-1),IF(AND($L$37=0,$P$34=0),"",$L$37-1)),MIN(CL$38,$E568),$P$20))-SUM($BF568:CK568))</f>
        <v>0</v>
      </c>
      <c r="CM568" s="446">
        <f>IF($E568=0,0,IF(MIN(CM$38,$E568)&lt;MAX($P$34*($B568+$I$38-1),IF(AND($L$37=0,$P$34=0),"",$L$37-1)),0,YEARFRAC(MAX($P$34*($B568+$I$38-1),IF(AND($L$37=0,$P$34=0),"",$L$37-1)),MIN(CM$38,$E568),$P$20))-SUM($BF568:CL568))</f>
        <v>0</v>
      </c>
      <c r="CN568" s="446">
        <f>IF($E568=0,0,IF(MIN(CN$38,$E568)&lt;MAX($P$34*($B568+$I$38-1),IF(AND($L$37=0,$P$34=0),"",$L$37-1)),0,YEARFRAC(MAX($P$34*($B568+$I$38-1),IF(AND($L$37=0,$P$34=0),"",$L$37-1)),MIN(CN$38,$E568),$P$20))-SUM($BF568:CM568))</f>
        <v>0</v>
      </c>
      <c r="CO568" s="446">
        <f>IF($E568=0,0,IF(MIN(CO$38,$E568)&lt;MAX($P$34*($B568+$I$38-1),IF(AND($L$37=0,$P$34=0),"",$L$37-1)),0,YEARFRAC(MAX($P$34*($B568+$I$38-1),IF(AND($L$37=0,$P$34=0),"",$L$37-1)),MIN(CO$38,$E568),$P$20))-SUM($BF568:CN568))</f>
        <v>0</v>
      </c>
      <c r="CP568" s="446">
        <f>IF($E568=0,0,IF(MIN(CP$38,$E568)&lt;MAX($P$34*($B568+$I$38-1),IF(AND($L$37=0,$P$34=0),"",$L$37-1)),0,YEARFRAC(MAX($P$34*($B568+$I$38-1),IF(AND($L$37=0,$P$34=0),"",$L$37-1)),MIN(CP$38,$E568),$P$20))-SUM($BF568:CO568))</f>
        <v>0</v>
      </c>
      <c r="CQ568" s="446">
        <f>IF($E568=0,0,IF(MIN(CQ$38,$E568)&lt;MAX($P$34*($B568+$I$38-1),IF(AND($L$37=0,$P$34=0),"",$L$37-1)),0,YEARFRAC(MAX($P$34*($B568+$I$38-1),IF(AND($L$37=0,$P$34=0),"",$L$37-1)),MIN(CQ$38,$E568),$P$20))-SUM($BF568:CP568))</f>
        <v>0</v>
      </c>
    </row>
    <row r="569" spans="1:95" s="446" customFormat="1" ht="11.25" hidden="1" customHeight="1" x14ac:dyDescent="0.2">
      <c r="A569" s="152"/>
      <c r="B569" s="153" t="str">
        <f t="shared" si="103"/>
        <v/>
      </c>
      <c r="C569" s="29" t="str">
        <f>IF(B569="","",IF($L$35="SELIC - TRIBUTOS",VLOOKUP(DATE(YEAR($D$19),MONTH($D$19)-1,1),ÍNDICES!$A:$DE,HLOOKUP($BL$25,ÍNDICES!$B$3:$T$4,2)+11)-VLOOKUP(B569,ÍNDICES!$A:$DE,HLOOKUP($BL$25,ÍNDICES!$B$3:$T$4,2)+11)+1%,IF(C$38=$W$26,$J$35,IF(ISERROR(IF(B569&gt;$D$19,1,VLOOKUP(DATE(YEAR(B569),MONTH(B569)+IF($C$35=$S$23,1,0),1),ÍNDICES!$A:$DE,$Z$35+1))),"",IF(B569&gt;$D$19,1,VLOOKUP(DATE(YEAR(B569),MONTH(B569)+IF($C$35=$S$23,1,0),1),ÍNDICES!$A:$DE,$Z$35+1))))))</f>
        <v/>
      </c>
      <c r="D569" s="154" t="str">
        <f>IF(ISERROR(IF(OR($D$38=$Y$27,$B569=""),"",VLOOKUP(B569,ÍNDICES!A:DE,AF$35+1))),"",IF(OR($D$38=$Y$27,$B569=""),"",VLOOKUP(B569,ÍNDICES!A:DE,AF$35+1)))</f>
        <v/>
      </c>
      <c r="E569" s="153"/>
      <c r="F569" s="29" t="str">
        <f>IF(E569="","",IF($L$35="SELIC - TRIBUTOS",VLOOKUP(DATE(YEAR($D$19),MONTH($D$19)-1,1),ÍNDICES!$A:$DE,HLOOKUP($BL$25,ÍNDICES!$B$3:$T$4,2)+11)-VLOOKUP(E569,ÍNDICES!$A:$DE,HLOOKUP($BL$25,ÍNDICES!$B$3:$T$4,2)+11)+1%,IF(F$38=$W$26,$J$35,IF(ISERROR(IF(E569&gt;$D$19,1,VLOOKUP(DATE(YEAR(E569),MONTH(E569)+IF($C$35=$S$23,1,0),1),ÍNDICES!$A:$DE,$Z$35+1))),"",IF(E569&gt;$D$19,1,VLOOKUP(DATE(YEAR(E569),MONTH(E569)+IF($C$35=$S$23,1,0),1),ÍNDICES!$A:$DE,$Z$35+1))))))</f>
        <v/>
      </c>
      <c r="G569" s="155"/>
      <c r="H569" s="156" t="str">
        <f t="shared" si="99"/>
        <v/>
      </c>
      <c r="I569" s="29" t="str">
        <f t="shared" si="93"/>
        <v/>
      </c>
      <c r="J569" s="5">
        <f t="shared" si="94"/>
        <v>0</v>
      </c>
      <c r="K569" s="20">
        <f t="shared" ca="1" si="95"/>
        <v>0</v>
      </c>
      <c r="L569" s="5">
        <f t="shared" ca="1" si="96"/>
        <v>0</v>
      </c>
      <c r="M569" s="64">
        <f t="shared" si="100"/>
        <v>0</v>
      </c>
      <c r="N569" s="61">
        <f t="shared" ca="1" si="101"/>
        <v>0</v>
      </c>
      <c r="O569" s="5">
        <f t="shared" ca="1" si="102"/>
        <v>0</v>
      </c>
      <c r="P569" s="446" t="e">
        <f t="shared" si="97"/>
        <v>#VALUE!</v>
      </c>
      <c r="Q569" s="446" t="e">
        <f>IF(OR($B569="",MIN(Q$38,$D$19)&lt;MAX($P$34*($B569+IF($R$17="Distrato",$I$38-1,0)),IF(AND($L$37=0,$P$34=0),"",$L$37-1),IF($R$17="Distrato",$E569,0))),0,YEARFRAC(MAX($P$34*($B569+IF($R$17="Distrato",$I$38-1,0)),IF(AND($L$37=0,$P$34=0),"",$L$37-1),IF($R$17="Distrato",$E569,0)),MIN(Q$38,$D$19),$P$20))-SUM($P569:P569)</f>
        <v>#VALUE!</v>
      </c>
      <c r="R569" s="446" t="e">
        <f>IF(OR($B569="",MIN(R$38,$D$19)&lt;MAX($P$34*($B569+IF($R$17="Distrato",$I$38-1,0)),IF(AND($L$37=0,$P$34=0),"",$L$37-1),IF($R$17="Distrato",$E569,0))),0,YEARFRAC(MAX($P$34*($B569+IF($R$17="Distrato",$I$38-1,0)),IF(AND($L$37=0,$P$34=0),"",$L$37-1),IF($R$17="Distrato",$E569,0)),MIN(R$38,$D$19),$P$20))-SUM($P569:Q569)</f>
        <v>#VALUE!</v>
      </c>
      <c r="S569" s="446" t="e">
        <f>IF(OR($B569="",MIN(S$38,$D$19)&lt;MAX($P$34*($B569+IF($R$17="Distrato",$I$38-1,0)),IF(AND($L$37=0,$P$34=0),"",$L$37-1),IF($R$17="Distrato",$E569,0))),0,YEARFRAC(MAX($P$34*($B569+IF($R$17="Distrato",$I$38-1,0)),IF(AND($L$37=0,$P$34=0),"",$L$37-1),IF($R$17="Distrato",$E569,0)),MIN(S$38,$D$19),$P$20))-SUM($P569:R569)</f>
        <v>#VALUE!</v>
      </c>
      <c r="T569" s="446" t="e">
        <f>IF(OR($B569="",MIN(T$38,$D$19)&lt;MAX($P$34*($B569+IF($R$17="Distrato",$I$38-1,0)),IF(AND($L$37=0,$P$34=0),"",$L$37-1),IF($R$17="Distrato",$E569,0))),0,YEARFRAC(MAX($P$34*($B569+IF($R$17="Distrato",$I$38-1,0)),IF(AND($L$37=0,$P$34=0),"",$L$37-1),IF($R$17="Distrato",$E569,0)),MIN(T$38,$D$19),$P$20))-SUM($P569:S569)</f>
        <v>#VALUE!</v>
      </c>
      <c r="U569" s="446" t="e">
        <f>IF(OR($B569="",MIN(U$38,$D$19)&lt;MAX($P$34*($B569+IF($R$17="Distrato",$I$38-1,0)),IF(AND($L$37=0,$P$34=0),"",$L$37-1),IF($R$17="Distrato",$E569,0))),0,YEARFRAC(MAX($P$34*($B569+IF($R$17="Distrato",$I$38-1,0)),IF(AND($L$37=0,$P$34=0),"",$L$37-1),IF($R$17="Distrato",$E569,0)),MIN(U$38,$D$19),$P$20))-SUM($P569:T569)</f>
        <v>#VALUE!</v>
      </c>
      <c r="V569" s="446" t="e">
        <f>IF(OR($B569="",MIN(V$38,$D$19)&lt;MAX($P$34*($B569+IF($R$17="Distrato",$I$38-1,0)),IF(AND($L$37=0,$P$34=0),"",$L$37-1),IF($R$17="Distrato",$E569,0))),0,YEARFRAC(MAX($P$34*($B569+IF($R$17="Distrato",$I$38-1,0)),IF(AND($L$37=0,$P$34=0),"",$L$37-1),IF($R$17="Distrato",$E569,0)),MIN(V$38,$D$19),$P$20))-SUM($P569:U569)</f>
        <v>#VALUE!</v>
      </c>
      <c r="W569" s="446" t="e">
        <f>IF(OR($B569="",MIN(W$38,$D$19)&lt;MAX($P$34*($B569+IF($R$17="Distrato",$I$38-1,0)),IF(AND($L$37=0,$P$34=0),"",$L$37-1),IF($R$17="Distrato",$E569,0))),0,YEARFRAC(MAX($P$34*($B569+IF($R$17="Distrato",$I$38-1,0)),IF(AND($L$37=0,$P$34=0),"",$L$37-1),IF($R$17="Distrato",$E569,0)),MIN(W$38,$D$19),$P$20))-SUM($P569:V569)</f>
        <v>#VALUE!</v>
      </c>
      <c r="X569" s="446" t="e">
        <f>IF(OR($B569="",MIN(X$38,$D$19)&lt;MAX($P$34*($B569+IF($R$17="Distrato",$I$38-1,0)),IF(AND($L$37=0,$P$34=0),"",$L$37-1),IF($R$17="Distrato",$E569,0))),0,YEARFRAC(MAX($P$34*($B569+IF($R$17="Distrato",$I$38-1,0)),IF(AND($L$37=0,$P$34=0),"",$L$37-1),IF($R$17="Distrato",$E569,0)),MIN(X$38,$D$19),$P$20))-SUM($P569:W569)</f>
        <v>#VALUE!</v>
      </c>
      <c r="Y569" s="446" t="e">
        <f>IF(OR($B569="",MIN(Y$38,$D$19)&lt;MAX($P$34*($B569+IF($R$17="Distrato",$I$38-1,0)),IF(AND($L$37=0,$P$34=0),"",$L$37-1),IF($R$17="Distrato",$E569,0))),0,YEARFRAC(MAX($P$34*($B569+IF($R$17="Distrato",$I$38-1,0)),IF(AND($L$37=0,$P$34=0),"",$L$37-1),IF($R$17="Distrato",$E569,0)),MIN(Y$38,$D$19),$P$20))-SUM($P569:X569)</f>
        <v>#VALUE!</v>
      </c>
      <c r="Z569" s="446" t="e">
        <f>IF(OR($B569="",MIN(Z$38,$D$19)&lt;MAX($P$34*($B569+IF($R$17="Distrato",$I$38-1,0)),IF(AND($L$37=0,$P$34=0),"",$L$37-1),IF($R$17="Distrato",$E569,0))),0,YEARFRAC(MAX($P$34*($B569+IF($R$17="Distrato",$I$38-1,0)),IF(AND($L$37=0,$P$34=0),"",$L$37-1),IF($R$17="Distrato",$E569,0)),MIN(Z$38,$D$19),$P$20))-SUM($P569:Y569)</f>
        <v>#VALUE!</v>
      </c>
      <c r="AA569" s="446" t="e">
        <f>IF(OR($B569="",MIN(AA$38,$D$19)&lt;MAX($P$34*($B569+IF($R$17="Distrato",$I$38-1,0)),IF(AND($L$37=0,$P$34=0),"",$L$37-1),IF($R$17="Distrato",$E569,0))),0,YEARFRAC(MAX($P$34*($B569+IF($R$17="Distrato",$I$38-1,0)),IF(AND($L$37=0,$P$34=0),"",$L$37-1),IF($R$17="Distrato",$E569,0)),MIN(AA$38,$D$19),$P$20))-SUM($P569:Z569)</f>
        <v>#VALUE!</v>
      </c>
      <c r="AB569" s="446" t="e">
        <f>IF(OR($B569="",MIN(AB$38,$D$19)&lt;MAX($P$34*($B569+IF($R$17="Distrato",$I$38-1,0)),IF(AND($L$37=0,$P$34=0),"",$L$37-1),IF($R$17="Distrato",$E569,0))),0,YEARFRAC(MAX($P$34*($B569+IF($R$17="Distrato",$I$38-1,0)),IF(AND($L$37=0,$P$34=0),"",$L$37-1),IF($R$17="Distrato",$E569,0)),MIN(AB$38,$D$19),$P$20))-SUM($P569:AA569)</f>
        <v>#VALUE!</v>
      </c>
      <c r="AC569" s="446" t="e">
        <f>IF(OR($B569="",MIN(AC$38,$D$19)&lt;MAX($P$34*($B569+IF($R$17="Distrato",$I$38-1,0)),IF(AND($L$37=0,$P$34=0),"",$L$37-1),IF($R$17="Distrato",$E569,0))),0,YEARFRAC(MAX($P$34*($B569+IF($R$17="Distrato",$I$38-1,0)),IF(AND($L$37=0,$P$34=0),"",$L$37-1),IF($R$17="Distrato",$E569,0)),MIN(AC$38,$D$19),$P$20))-SUM($P569:AB569)</f>
        <v>#VALUE!</v>
      </c>
      <c r="AD569" s="446" t="e">
        <f>IF(OR($B569="",MIN(AD$38,$D$19)&lt;MAX($P$34*($B569+IF($R$17="Distrato",$I$38-1,0)),IF(AND($L$37=0,$P$34=0),"",$L$37-1),IF($R$17="Distrato",$E569,0))),0,YEARFRAC(MAX($P$34*($B569+IF($R$17="Distrato",$I$38-1,0)),IF(AND($L$37=0,$P$34=0),"",$L$37-1),IF($R$17="Distrato",$E569,0)),MIN(AD$38,$D$19),$P$20))-SUM($P569:AC569)</f>
        <v>#VALUE!</v>
      </c>
      <c r="AE569" s="446" t="e">
        <f>IF(OR($B569="",MIN(AE$38,$D$19)&lt;MAX($P$34*($B569+IF($R$17="Distrato",$I$38-1,0)),IF(AND($L$37=0,$P$34=0),"",$L$37-1),IF($R$17="Distrato",$E569,0))),0,YEARFRAC(MAX($P$34*($B569+IF($R$17="Distrato",$I$38-1,0)),IF(AND($L$37=0,$P$34=0),"",$L$37-1),IF($R$17="Distrato",$E569,0)),MIN(AE$38,$D$19),$P$20))-SUM($P569:AD569)</f>
        <v>#VALUE!</v>
      </c>
      <c r="AF569" s="446" t="e">
        <f>IF(OR($B569="",MIN(AF$38,$D$19)&lt;MAX($P$34*($B569+IF($R$17="Distrato",$I$38-1,0)),IF(AND($L$37=0,$P$34=0),"",$L$37-1),IF($R$17="Distrato",$E569,0))),0,YEARFRAC(MAX($P$34*($B569+IF($R$17="Distrato",$I$38-1,0)),IF(AND($L$37=0,$P$34=0),"",$L$37-1),IF($R$17="Distrato",$E569,0)),MIN(AF$38,$D$19),$P$20))-SUM($P569:AE569)</f>
        <v>#VALUE!</v>
      </c>
      <c r="AG569" s="446" t="e">
        <f>IF(OR($B569="",MIN(AG$38,$D$19)&lt;MAX($P$34*($B569+IF($R$17="Distrato",$I$38-1,0)),IF(AND($L$37=0,$P$34=0),"",$L$37-1),IF($R$17="Distrato",$E569,0))),0,YEARFRAC(MAX($P$34*($B569+IF($R$17="Distrato",$I$38-1,0)),IF(AND($L$37=0,$P$34=0),"",$L$37-1),IF($R$17="Distrato",$E569,0)),MIN(AG$38,$D$19),$P$20))-SUM($P569:AF569)</f>
        <v>#VALUE!</v>
      </c>
      <c r="AH569" s="446" t="e">
        <f>IF(OR($B569="",MIN(AH$38,$D$19)&lt;MAX($P$34*($B569+IF($R$17="Distrato",$I$38-1,0)),IF(AND($L$37=0,$P$34=0),"",$L$37-1),IF($R$17="Distrato",$E569,0))),0,YEARFRAC(MAX($P$34*($B569+IF($R$17="Distrato",$I$38-1,0)),IF(AND($L$37=0,$P$34=0),"",$L$37-1),IF($R$17="Distrato",$E569,0)),MIN(AH$38,$D$19),$P$20))-SUM($P569:AG569)</f>
        <v>#VALUE!</v>
      </c>
      <c r="AI569" s="446" t="e">
        <f>IF(OR($B569="",MIN(AI$38,$D$19)&lt;MAX($P$34*($B569+IF($R$17="Distrato",$I$38-1,0)),IF(AND($L$37=0,$P$34=0),"",$L$37-1),IF($R$17="Distrato",$E569,0))),0,YEARFRAC(MAX($P$34*($B569+IF($R$17="Distrato",$I$38-1,0)),IF(AND($L$37=0,$P$34=0),"",$L$37-1),IF($R$17="Distrato",$E569,0)),MIN(AI$38,$D$19),$P$20))-SUM($P569:AH569)</f>
        <v>#VALUE!</v>
      </c>
      <c r="AJ569" s="446" t="e">
        <f>IF(OR($B569="",MIN(AJ$38,$D$19)&lt;MAX($P$34*($B569+IF($R$17="Distrato",$I$38-1,0)),IF(AND($L$37=0,$P$34=0),"",$L$37-1),IF($R$17="Distrato",$E569,0))),0,YEARFRAC(MAX($P$34*($B569+IF($R$17="Distrato",$I$38-1,0)),IF(AND($L$37=0,$P$34=0),"",$L$37-1),IF($R$17="Distrato",$E569,0)),MIN(AJ$38,$D$19),$P$20))-SUM($P569:AI569)</f>
        <v>#VALUE!</v>
      </c>
      <c r="AK569" s="446" t="e">
        <f>IF(OR($B569="",MIN(AK$38,$D$19)&lt;MAX($P$34*($B569+IF($R$17="Distrato",$I$38-1,0)),IF(AND($L$37=0,$P$34=0),"",$L$37-1),IF($R$17="Distrato",$E569,0))),0,YEARFRAC(MAX($P$34*($B569+IF($R$17="Distrato",$I$38-1,0)),IF(AND($L$37=0,$P$34=0),"",$L$37-1),IF($R$17="Distrato",$E569,0)),MIN(AK$38,$D$19),$P$20))-SUM($P569:AJ569)</f>
        <v>#VALUE!</v>
      </c>
      <c r="AL569" s="446" t="e">
        <f>IF(OR($B569="",MIN(AL$38,$D$19)&lt;MAX($P$34*($B569+IF($R$17="Distrato",$I$38-1,0)),IF(AND($L$37=0,$P$34=0),"",$L$37-1),IF($R$17="Distrato",$E569,0))),0,YEARFRAC(MAX($P$34*($B569+IF($R$17="Distrato",$I$38-1,0)),IF(AND($L$37=0,$P$34=0),"",$L$37-1),IF($R$17="Distrato",$E569,0)),MIN(AL$38,$D$19),$P$20))-SUM($P569:AK569)</f>
        <v>#VALUE!</v>
      </c>
      <c r="AM569" s="446" t="e">
        <f>IF(OR($B569="",MIN(AM$38,$D$19)&lt;MAX($P$34*($B569+IF($R$17="Distrato",$I$38-1,0)),IF(AND($L$37=0,$P$34=0),"",$L$37-1),IF($R$17="Distrato",$E569,0))),0,YEARFRAC(MAX($P$34*($B569+IF($R$17="Distrato",$I$38-1,0)),IF(AND($L$37=0,$P$34=0),"",$L$37-1),IF($R$17="Distrato",$E569,0)),MIN(AM$38,$D$19),$P$20))-SUM($P569:AL569)</f>
        <v>#VALUE!</v>
      </c>
      <c r="AN569" s="446" t="e">
        <f>IF(OR($B569="",MIN(AN$38,$D$19)&lt;MAX($P$34*($B569+IF($R$17="Distrato",$I$38-1,0)),IF(AND($L$37=0,$P$34=0),"",$L$37-1),IF($R$17="Distrato",$E569,0))),0,YEARFRAC(MAX($P$34*($B569+IF($R$17="Distrato",$I$38-1,0)),IF(AND($L$37=0,$P$34=0),"",$L$37-1),IF($R$17="Distrato",$E569,0)),MIN(AN$38,$D$19),$P$20))-SUM($P569:AM569)</f>
        <v>#VALUE!</v>
      </c>
      <c r="AO569" s="446" t="e">
        <f>IF(OR($B569="",MIN(AO$38,$D$19)&lt;MAX($P$34*($B569+IF($R$17="Distrato",$I$38-1,0)),IF(AND($L$37=0,$P$34=0),"",$L$37-1),IF($R$17="Distrato",$E569,0))),0,YEARFRAC(MAX($P$34*($B569+IF($R$17="Distrato",$I$38-1,0)),IF(AND($L$37=0,$P$34=0),"",$L$37-1),IF($R$17="Distrato",$E569,0)),MIN(AO$38,$D$19),$P$20))-SUM($P569:AN569)</f>
        <v>#VALUE!</v>
      </c>
      <c r="AP569" s="446" t="e">
        <f>IF(OR($B569="",MIN(AP$38,$D$19)&lt;MAX($P$34*($B569+IF($R$17="Distrato",$I$38-1,0)),IF(AND($L$37=0,$P$34=0),"",$L$37-1),IF($R$17="Distrato",$E569,0))),0,YEARFRAC(MAX($P$34*($B569+IF($R$17="Distrato",$I$38-1,0)),IF(AND($L$37=0,$P$34=0),"",$L$37-1),IF($R$17="Distrato",$E569,0)),MIN(AP$38,$D$19),$P$20))-SUM($P569:AO569)</f>
        <v>#VALUE!</v>
      </c>
      <c r="AQ569" s="446" t="e">
        <f>IF(OR($B569="",MIN(AQ$38,$D$19)&lt;MAX($P$34*($B569+IF($R$17="Distrato",$I$38-1,0)),IF(AND($L$37=0,$P$34=0),"",$L$37-1),IF($R$17="Distrato",$E569,0))),0,YEARFRAC(MAX($P$34*($B569+IF($R$17="Distrato",$I$38-1,0)),IF(AND($L$37=0,$P$34=0),"",$L$37-1),IF($R$17="Distrato",$E569,0)),MIN(AQ$38,$D$19),$P$20))-SUM($P569:AP569)</f>
        <v>#VALUE!</v>
      </c>
      <c r="AR569" s="446" t="e">
        <f>IF(OR($B569="",MIN(AR$38,$D$19)&lt;MAX($P$34*($B569+IF($R$17="Distrato",$I$38-1,0)),IF(AND($L$37=0,$P$34=0),"",$L$37-1),IF($R$17="Distrato",$E569,0))),0,YEARFRAC(MAX($P$34*($B569+IF($R$17="Distrato",$I$38-1,0)),IF(AND($L$37=0,$P$34=0),"",$L$37-1),IF($R$17="Distrato",$E569,0)),MIN(AR$38,$D$19),$P$20))-SUM($P569:AQ569)</f>
        <v>#VALUE!</v>
      </c>
      <c r="AS569" s="446" t="e">
        <f>IF(OR($B569="",MIN(AS$38,$D$19)&lt;MAX($P$34*($B569+IF($R$17="Distrato",$I$38-1,0)),IF(AND($L$37=0,$P$34=0),"",$L$37-1),IF($R$17="Distrato",$E569,0))),0,YEARFRAC(MAX($P$34*($B569+IF($R$17="Distrato",$I$38-1,0)),IF(AND($L$37=0,$P$34=0),"",$L$37-1),IF($R$17="Distrato",$E569,0)),MIN(AS$38,$D$19),$P$20))-SUM($P569:AR569)</f>
        <v>#VALUE!</v>
      </c>
      <c r="AT569" s="446" t="e">
        <f>IF(OR($B569="",MIN(AT$38,$D$19)&lt;MAX($P$34*($B569+IF($R$17="Distrato",$I$38-1,0)),IF(AND($L$37=0,$P$34=0),"",$L$37-1),IF($R$17="Distrato",$E569,0))),0,YEARFRAC(MAX($P$34*($B569+IF($R$17="Distrato",$I$38-1,0)),IF(AND($L$37=0,$P$34=0),"",$L$37-1),IF($R$17="Distrato",$E569,0)),MIN(AT$38,$D$19),$P$20))-SUM($P569:AS569)</f>
        <v>#VALUE!</v>
      </c>
      <c r="AU569" s="446" t="e">
        <f>IF(OR($B569="",MIN(AU$38,$D$19)&lt;MAX($P$34*($B569+IF($R$17="Distrato",$I$38-1,0)),IF(AND($L$37=0,$P$34=0),"",$L$37-1),IF($R$17="Distrato",$E569,0))),0,YEARFRAC(MAX($P$34*($B569+IF($R$17="Distrato",$I$38-1,0)),IF(AND($L$37=0,$P$34=0),"",$L$37-1),IF($R$17="Distrato",$E569,0)),MIN(AU$38,$D$19),$P$20))-SUM($P569:AT569)</f>
        <v>#VALUE!</v>
      </c>
      <c r="AV569" s="446" t="e">
        <f>IF(OR($B569="",MIN(AV$38,$D$19)&lt;MAX($P$34*($B569+IF($R$17="Distrato",$I$38-1,0)),IF(AND($L$37=0,$P$34=0),"",$L$37-1),IF($R$17="Distrato",$E569,0))),0,YEARFRAC(MAX($P$34*($B569+IF($R$17="Distrato",$I$38-1,0)),IF(AND($L$37=0,$P$34=0),"",$L$37-1),IF($R$17="Distrato",$E569,0)),MIN(AV$38,$D$19),$P$20))-SUM($P569:AU569)</f>
        <v>#VALUE!</v>
      </c>
      <c r="AW569" s="446" t="e">
        <f>IF(OR($B569="",MIN(AW$38,$D$19)&lt;MAX($P$34*($B569+IF($R$17="Distrato",$I$38-1,0)),IF(AND($L$37=0,$P$34=0),"",$L$37-1),IF($R$17="Distrato",$E569,0))),0,YEARFRAC(MAX($P$34*($B569+IF($R$17="Distrato",$I$38-1,0)),IF(AND($L$37=0,$P$34=0),"",$L$37-1),IF($R$17="Distrato",$E569,0)),MIN(AW$38,$D$19),$P$20))-SUM($P569:AV569)</f>
        <v>#VALUE!</v>
      </c>
      <c r="AX569" s="446" t="e">
        <f>IF(OR($B569="",MIN(AX$38,$D$19)&lt;MAX($P$34*($B569+IF($R$17="Distrato",$I$38-1,0)),IF(AND($L$37=0,$P$34=0),"",$L$37-1),IF($R$17="Distrato",$E569,0))),0,YEARFRAC(MAX($P$34*($B569+IF($R$17="Distrato",$I$38-1,0)),IF(AND($L$37=0,$P$34=0),"",$L$37-1),IF($R$17="Distrato",$E569,0)),MIN(AX$38,$D$19),$P$20))-SUM($P569:AW569)</f>
        <v>#VALUE!</v>
      </c>
      <c r="AY569" s="446" t="e">
        <f>IF(OR($B569="",MIN(AY$38,$D$19)&lt;MAX($P$34*($B569+IF($R$17="Distrato",$I$38-1,0)),IF(AND($L$37=0,$P$34=0),"",$L$37-1),IF($R$17="Distrato",$E569,0))),0,YEARFRAC(MAX($P$34*($B569+IF($R$17="Distrato",$I$38-1,0)),IF(AND($L$37=0,$P$34=0),"",$L$37-1),IF($R$17="Distrato",$E569,0)),MIN(AY$38,$D$19),$P$20))-SUM($P569:AX569)</f>
        <v>#VALUE!</v>
      </c>
      <c r="AZ569" s="446" t="e">
        <f>IF(OR($B569="",MIN(AZ$38,$D$19)&lt;MAX($P$34*($B569+IF($R$17="Distrato",$I$38-1,0)),IF(AND($L$37=0,$P$34=0),"",$L$37-1),IF($R$17="Distrato",$E569,0))),0,YEARFRAC(MAX($P$34*($B569+IF($R$17="Distrato",$I$38-1,0)),IF(AND($L$37=0,$P$34=0),"",$L$37-1),IF($R$17="Distrato",$E569,0)),MIN(AZ$38,$D$19),$P$20))-SUM($P569:AY569)</f>
        <v>#VALUE!</v>
      </c>
      <c r="BA569" s="446" t="e">
        <f>IF(OR($B569="",MIN(BA$38,$D$19)&lt;MAX($P$34*($B569+IF($R$17="Distrato",$I$38-1,0)),IF(AND($L$37=0,$P$34=0),"",$L$37-1),IF($R$17="Distrato",$E569,0))),0,YEARFRAC(MAX($P$34*($B569+IF($R$17="Distrato",$I$38-1,0)),IF(AND($L$37=0,$P$34=0),"",$L$37-1),IF($R$17="Distrato",$E569,0)),MIN(BA$38,$D$19),$P$20))-SUM($P569:AZ569)</f>
        <v>#VALUE!</v>
      </c>
      <c r="BB569" s="447"/>
      <c r="BF569" s="446">
        <f t="shared" si="98"/>
        <v>0</v>
      </c>
      <c r="BG569" s="446">
        <f>IF($E569=0,0,IF(MIN(BG$38,$E569)&lt;MAX($P$34*($B569+$I$38-1),IF(AND($L$37=0,$P$34=0),"",$L$37-1)),0,YEARFRAC(MAX($P$34*($B569+$I$38-1),IF(AND($L$37=0,$P$34=0),"",$L$37-1)),MIN(BG$38,$E569),$P$20))-SUM($BF569:BF569))</f>
        <v>0</v>
      </c>
      <c r="BH569" s="446">
        <f>IF($E569=0,0,IF(MIN(BH$38,$E569)&lt;MAX($P$34*($B569+$I$38-1),IF(AND($L$37=0,$P$34=0),"",$L$37-1)),0,YEARFRAC(MAX($P$34*($B569+$I$38-1),IF(AND($L$37=0,$P$34=0),"",$L$37-1)),MIN(BH$38,$E569),$P$20))-SUM($BF569:BG569))</f>
        <v>0</v>
      </c>
      <c r="BI569" s="446">
        <f>IF($E569=0,0,IF(MIN(BI$38,$E569)&lt;MAX($P$34*($B569+$I$38-1),IF(AND($L$37=0,$P$34=0),"",$L$37-1)),0,YEARFRAC(MAX($P$34*($B569+$I$38-1),IF(AND($L$37=0,$P$34=0),"",$L$37-1)),MIN(BI$38,$E569),$P$20))-SUM($BF569:BH569))</f>
        <v>0</v>
      </c>
      <c r="BJ569" s="446">
        <f>IF($E569=0,0,IF(MIN(BJ$38,$E569)&lt;MAX($P$34*($B569+$I$38-1),IF(AND($L$37=0,$P$34=0),"",$L$37-1)),0,YEARFRAC(MAX($P$34*($B569+$I$38-1),IF(AND($L$37=0,$P$34=0),"",$L$37-1)),MIN(BJ$38,$E569),$P$20))-SUM($BF569:BI569))</f>
        <v>0</v>
      </c>
      <c r="BK569" s="446">
        <f>IF($E569=0,0,IF(MIN(BK$38,$E569)&lt;MAX($P$34*($B569+$I$38-1),IF(AND($L$37=0,$P$34=0),"",$L$37-1)),0,YEARFRAC(MAX($P$34*($B569+$I$38-1),IF(AND($L$37=0,$P$34=0),"",$L$37-1)),MIN(BK$38,$E569),$P$20))-SUM($BF569:BJ569))</f>
        <v>0</v>
      </c>
      <c r="BL569" s="446">
        <f>IF($E569=0,0,IF(MIN(BL$38,$E569)&lt;MAX($P$34*($B569+$I$38-1),IF(AND($L$37=0,$P$34=0),"",$L$37-1)),0,YEARFRAC(MAX($P$34*($B569+$I$38-1),IF(AND($L$37=0,$P$34=0),"",$L$37-1)),MIN(BL$38,$E569),$P$20))-SUM($BF569:BK569))</f>
        <v>0</v>
      </c>
      <c r="BM569" s="446">
        <f>IF($E569=0,0,IF(MIN(BM$38,$E569)&lt;MAX($P$34*($B569+$I$38-1),IF(AND($L$37=0,$P$34=0),"",$L$37-1)),0,YEARFRAC(MAX($P$34*($B569+$I$38-1),IF(AND($L$37=0,$P$34=0),"",$L$37-1)),MIN(BM$38,$E569),$P$20))-SUM($BF569:BL569))</f>
        <v>0</v>
      </c>
      <c r="BN569" s="446">
        <f>IF($E569=0,0,IF(MIN(BN$38,$E569)&lt;MAX($P$34*($B569+$I$38-1),IF(AND($L$37=0,$P$34=0),"",$L$37-1)),0,YEARFRAC(MAX($P$34*($B569+$I$38-1),IF(AND($L$37=0,$P$34=0),"",$L$37-1)),MIN(BN$38,$E569),$P$20))-SUM($BF569:BM569))</f>
        <v>0</v>
      </c>
      <c r="BO569" s="446">
        <f>IF($E569=0,0,IF(MIN(BO$38,$E569)&lt;MAX($P$34*($B569+$I$38-1),IF(AND($L$37=0,$P$34=0),"",$L$37-1)),0,YEARFRAC(MAX($P$34*($B569+$I$38-1),IF(AND($L$37=0,$P$34=0),"",$L$37-1)),MIN(BO$38,$E569),$P$20))-SUM($BF569:BN569))</f>
        <v>0</v>
      </c>
      <c r="BP569" s="446">
        <f>IF($E569=0,0,IF(MIN(BP$38,$E569)&lt;MAX($P$34*($B569+$I$38-1),IF(AND($L$37=0,$P$34=0),"",$L$37-1)),0,YEARFRAC(MAX($P$34*($B569+$I$38-1),IF(AND($L$37=0,$P$34=0),"",$L$37-1)),MIN(BP$38,$E569),$P$20))-SUM($BF569:BO569))</f>
        <v>0</v>
      </c>
      <c r="BQ569" s="446">
        <f>IF($E569=0,0,IF(MIN(BQ$38,$E569)&lt;MAX($P$34*($B569+$I$38-1),IF(AND($L$37=0,$P$34=0),"",$L$37-1)),0,YEARFRAC(MAX($P$34*($B569+$I$38-1),IF(AND($L$37=0,$P$34=0),"",$L$37-1)),MIN(BQ$38,$E569),$P$20))-SUM($BF569:BP569))</f>
        <v>0</v>
      </c>
      <c r="BR569" s="446">
        <f>IF($E569=0,0,IF(MIN(BR$38,$E569)&lt;MAX($P$34*($B569+$I$38-1),IF(AND($L$37=0,$P$34=0),"",$L$37-1)),0,YEARFRAC(MAX($P$34*($B569+$I$38-1),IF(AND($L$37=0,$P$34=0),"",$L$37-1)),MIN(BR$38,$E569),$P$20))-SUM($BF569:BQ569))</f>
        <v>0</v>
      </c>
      <c r="BS569" s="446">
        <f>IF($E569=0,0,IF(MIN(BS$38,$E569)&lt;MAX($P$34*($B569+$I$38-1),IF(AND($L$37=0,$P$34=0),"",$L$37-1)),0,YEARFRAC(MAX($P$34*($B569+$I$38-1),IF(AND($L$37=0,$P$34=0),"",$L$37-1)),MIN(BS$38,$E569),$P$20))-SUM($BF569:BR569))</f>
        <v>0</v>
      </c>
      <c r="BT569" s="446">
        <f>IF($E569=0,0,IF(MIN(BT$38,$E569)&lt;MAX($P$34*($B569+$I$38-1),IF(AND($L$37=0,$P$34=0),"",$L$37-1)),0,YEARFRAC(MAX($P$34*($B569+$I$38-1),IF(AND($L$37=0,$P$34=0),"",$L$37-1)),MIN(BT$38,$E569),$P$20))-SUM($BF569:BS569))</f>
        <v>0</v>
      </c>
      <c r="BU569" s="446">
        <f>IF($E569=0,0,IF(MIN(BU$38,$E569)&lt;MAX($P$34*($B569+$I$38-1),IF(AND($L$37=0,$P$34=0),"",$L$37-1)),0,YEARFRAC(MAX($P$34*($B569+$I$38-1),IF(AND($L$37=0,$P$34=0),"",$L$37-1)),MIN(BU$38,$E569),$P$20))-SUM($BF569:BT569))</f>
        <v>0</v>
      </c>
      <c r="BV569" s="446">
        <f>IF($E569=0,0,IF(MIN(BV$38,$E569)&lt;MAX($P$34*($B569+$I$38-1),IF(AND($L$37=0,$P$34=0),"",$L$37-1)),0,YEARFRAC(MAX($P$34*($B569+$I$38-1),IF(AND($L$37=0,$P$34=0),"",$L$37-1)),MIN(BV$38,$E569),$P$20))-SUM($BF569:BU569))</f>
        <v>0</v>
      </c>
      <c r="BW569" s="446">
        <f>IF($E569=0,0,IF(MIN(BW$38,$E569)&lt;MAX($P$34*($B569+$I$38-1),IF(AND($L$37=0,$P$34=0),"",$L$37-1)),0,YEARFRAC(MAX($P$34*($B569+$I$38-1),IF(AND($L$37=0,$P$34=0),"",$L$37-1)),MIN(BW$38,$E569),$P$20))-SUM($BF569:BV569))</f>
        <v>0</v>
      </c>
      <c r="BX569" s="446">
        <f>IF($E569=0,0,IF(MIN(BX$38,$E569)&lt;MAX($P$34*($B569+$I$38-1),IF(AND($L$37=0,$P$34=0),"",$L$37-1)),0,YEARFRAC(MAX($P$34*($B569+$I$38-1),IF(AND($L$37=0,$P$34=0),"",$L$37-1)),MIN(BX$38,$E569),$P$20))-SUM($BF569:BW569))</f>
        <v>0</v>
      </c>
      <c r="BY569" s="446">
        <f>IF($E569=0,0,IF(MIN(BY$38,$E569)&lt;MAX($P$34*($B569+$I$38-1),IF(AND($L$37=0,$P$34=0),"",$L$37-1)),0,YEARFRAC(MAX($P$34*($B569+$I$38-1),IF(AND($L$37=0,$P$34=0),"",$L$37-1)),MIN(BY$38,$E569),$P$20))-SUM($BF569:BX569))</f>
        <v>0</v>
      </c>
      <c r="BZ569" s="446">
        <f>IF($E569=0,0,IF(MIN(BZ$38,$E569)&lt;MAX($P$34*($B569+$I$38-1),IF(AND($L$37=0,$P$34=0),"",$L$37-1)),0,YEARFRAC(MAX($P$34*($B569+$I$38-1),IF(AND($L$37=0,$P$34=0),"",$L$37-1)),MIN(BZ$38,$E569),$P$20))-SUM($BF569:BY569))</f>
        <v>0</v>
      </c>
      <c r="CA569" s="446">
        <f>IF($E569=0,0,IF(MIN(CA$38,$E569)&lt;MAX($P$34*($B569+$I$38-1),IF(AND($L$37=0,$P$34=0),"",$L$37-1)),0,YEARFRAC(MAX($P$34*($B569+$I$38-1),IF(AND($L$37=0,$P$34=0),"",$L$37-1)),MIN(CA$38,$E569),$P$20))-SUM($BF569:BZ569))</f>
        <v>0</v>
      </c>
      <c r="CB569" s="446">
        <f>IF($E569=0,0,IF(MIN(CB$38,$E569)&lt;MAX($P$34*($B569+$I$38-1),IF(AND($L$37=0,$P$34=0),"",$L$37-1)),0,YEARFRAC(MAX($P$34*($B569+$I$38-1),IF(AND($L$37=0,$P$34=0),"",$L$37-1)),MIN(CB$38,$E569),$P$20))-SUM($BF569:CA569))</f>
        <v>0</v>
      </c>
      <c r="CC569" s="446">
        <f>IF($E569=0,0,IF(MIN(CC$38,$E569)&lt;MAX($P$34*($B569+$I$38-1),IF(AND($L$37=0,$P$34=0),"",$L$37-1)),0,YEARFRAC(MAX($P$34*($B569+$I$38-1),IF(AND($L$37=0,$P$34=0),"",$L$37-1)),MIN(CC$38,$E569),$P$20))-SUM($BF569:CB569))</f>
        <v>0</v>
      </c>
      <c r="CD569" s="446">
        <f>IF($E569=0,0,IF(MIN(CD$38,$E569)&lt;MAX($P$34*($B569+$I$38-1),IF(AND($L$37=0,$P$34=0),"",$L$37-1)),0,YEARFRAC(MAX($P$34*($B569+$I$38-1),IF(AND($L$37=0,$P$34=0),"",$L$37-1)),MIN(CD$38,$E569),$P$20))-SUM($BF569:CC569))</f>
        <v>0</v>
      </c>
      <c r="CE569" s="446">
        <f>IF($E569=0,0,IF(MIN(CE$38,$E569)&lt;MAX($P$34*($B569+$I$38-1),IF(AND($L$37=0,$P$34=0),"",$L$37-1)),0,YEARFRAC(MAX($P$34*($B569+$I$38-1),IF(AND($L$37=0,$P$34=0),"",$L$37-1)),MIN(CE$38,$E569),$P$20))-SUM($BF569:CD569))</f>
        <v>0</v>
      </c>
      <c r="CF569" s="446">
        <f>IF($E569=0,0,IF(MIN(CF$38,$E569)&lt;MAX($P$34*($B569+$I$38-1),IF(AND($L$37=0,$P$34=0),"",$L$37-1)),0,YEARFRAC(MAX($P$34*($B569+$I$38-1),IF(AND($L$37=0,$P$34=0),"",$L$37-1)),MIN(CF$38,$E569),$P$20))-SUM($BF569:CE569))</f>
        <v>0</v>
      </c>
      <c r="CG569" s="446">
        <f>IF($E569=0,0,IF(MIN(CG$38,$E569)&lt;MAX($P$34*($B569+$I$38-1),IF(AND($L$37=0,$P$34=0),"",$L$37-1)),0,YEARFRAC(MAX($P$34*($B569+$I$38-1),IF(AND($L$37=0,$P$34=0),"",$L$37-1)),MIN(CG$38,$E569),$P$20))-SUM($BF569:CF569))</f>
        <v>0</v>
      </c>
      <c r="CH569" s="446">
        <f>IF($E569=0,0,IF(MIN(CH$38,$E569)&lt;MAX($P$34*($B569+$I$38-1),IF(AND($L$37=0,$P$34=0),"",$L$37-1)),0,YEARFRAC(MAX($P$34*($B569+$I$38-1),IF(AND($L$37=0,$P$34=0),"",$L$37-1)),MIN(CH$38,$E569),$P$20))-SUM($BF569:CG569))</f>
        <v>0</v>
      </c>
      <c r="CI569" s="446">
        <f>IF($E569=0,0,IF(MIN(CI$38,$E569)&lt;MAX($P$34*($B569+$I$38-1),IF(AND($L$37=0,$P$34=0),"",$L$37-1)),0,YEARFRAC(MAX($P$34*($B569+$I$38-1),IF(AND($L$37=0,$P$34=0),"",$L$37-1)),MIN(CI$38,$E569),$P$20))-SUM($BF569:CH569))</f>
        <v>0</v>
      </c>
      <c r="CJ569" s="446">
        <f>IF($E569=0,0,IF(MIN(CJ$38,$E569)&lt;MAX($P$34*($B569+$I$38-1),IF(AND($L$37=0,$P$34=0),"",$L$37-1)),0,YEARFRAC(MAX($P$34*($B569+$I$38-1),IF(AND($L$37=0,$P$34=0),"",$L$37-1)),MIN(CJ$38,$E569),$P$20))-SUM($BF569:CI569))</f>
        <v>0</v>
      </c>
      <c r="CK569" s="446">
        <f>IF($E569=0,0,IF(MIN(CK$38,$E569)&lt;MAX($P$34*($B569+$I$38-1),IF(AND($L$37=0,$P$34=0),"",$L$37-1)),0,YEARFRAC(MAX($P$34*($B569+$I$38-1),IF(AND($L$37=0,$P$34=0),"",$L$37-1)),MIN(CK$38,$E569),$P$20))-SUM($BF569:CJ569))</f>
        <v>0</v>
      </c>
      <c r="CL569" s="446">
        <f>IF($E569=0,0,IF(MIN(CL$38,$E569)&lt;MAX($P$34*($B569+$I$38-1),IF(AND($L$37=0,$P$34=0),"",$L$37-1)),0,YEARFRAC(MAX($P$34*($B569+$I$38-1),IF(AND($L$37=0,$P$34=0),"",$L$37-1)),MIN(CL$38,$E569),$P$20))-SUM($BF569:CK569))</f>
        <v>0</v>
      </c>
      <c r="CM569" s="446">
        <f>IF($E569=0,0,IF(MIN(CM$38,$E569)&lt;MAX($P$34*($B569+$I$38-1),IF(AND($L$37=0,$P$34=0),"",$L$37-1)),0,YEARFRAC(MAX($P$34*($B569+$I$38-1),IF(AND($L$37=0,$P$34=0),"",$L$37-1)),MIN(CM$38,$E569),$P$20))-SUM($BF569:CL569))</f>
        <v>0</v>
      </c>
      <c r="CN569" s="446">
        <f>IF($E569=0,0,IF(MIN(CN$38,$E569)&lt;MAX($P$34*($B569+$I$38-1),IF(AND($L$37=0,$P$34=0),"",$L$37-1)),0,YEARFRAC(MAX($P$34*($B569+$I$38-1),IF(AND($L$37=0,$P$34=0),"",$L$37-1)),MIN(CN$38,$E569),$P$20))-SUM($BF569:CM569))</f>
        <v>0</v>
      </c>
      <c r="CO569" s="446">
        <f>IF($E569=0,0,IF(MIN(CO$38,$E569)&lt;MAX($P$34*($B569+$I$38-1),IF(AND($L$37=0,$P$34=0),"",$L$37-1)),0,YEARFRAC(MAX($P$34*($B569+$I$38-1),IF(AND($L$37=0,$P$34=0),"",$L$37-1)),MIN(CO$38,$E569),$P$20))-SUM($BF569:CN569))</f>
        <v>0</v>
      </c>
      <c r="CP569" s="446">
        <f>IF($E569=0,0,IF(MIN(CP$38,$E569)&lt;MAX($P$34*($B569+$I$38-1),IF(AND($L$37=0,$P$34=0),"",$L$37-1)),0,YEARFRAC(MAX($P$34*($B569+$I$38-1),IF(AND($L$37=0,$P$34=0),"",$L$37-1)),MIN(CP$38,$E569),$P$20))-SUM($BF569:CO569))</f>
        <v>0</v>
      </c>
      <c r="CQ569" s="446">
        <f>IF($E569=0,0,IF(MIN(CQ$38,$E569)&lt;MAX($P$34*($B569+$I$38-1),IF(AND($L$37=0,$P$34=0),"",$L$37-1)),0,YEARFRAC(MAX($P$34*($B569+$I$38-1),IF(AND($L$37=0,$P$34=0),"",$L$37-1)),MIN(CQ$38,$E569),$P$20))-SUM($BF569:CP569))</f>
        <v>0</v>
      </c>
    </row>
    <row r="570" spans="1:95" s="446" customFormat="1" ht="11.25" hidden="1" customHeight="1" x14ac:dyDescent="0.2">
      <c r="A570" s="152"/>
      <c r="B570" s="153" t="str">
        <f t="shared" si="103"/>
        <v/>
      </c>
      <c r="C570" s="29" t="str">
        <f>IF(B570="","",IF($L$35="SELIC - TRIBUTOS",VLOOKUP(DATE(YEAR($D$19),MONTH($D$19)-1,1),ÍNDICES!$A:$DE,HLOOKUP($BL$25,ÍNDICES!$B$3:$T$4,2)+11)-VLOOKUP(B570,ÍNDICES!$A:$DE,HLOOKUP($BL$25,ÍNDICES!$B$3:$T$4,2)+11)+1%,IF(C$38=$W$26,$J$35,IF(ISERROR(IF(B570&gt;$D$19,1,VLOOKUP(DATE(YEAR(B570),MONTH(B570)+IF($C$35=$S$23,1,0),1),ÍNDICES!$A:$DE,$Z$35+1))),"",IF(B570&gt;$D$19,1,VLOOKUP(DATE(YEAR(B570),MONTH(B570)+IF($C$35=$S$23,1,0),1),ÍNDICES!$A:$DE,$Z$35+1))))))</f>
        <v/>
      </c>
      <c r="D570" s="154" t="str">
        <f>IF(ISERROR(IF(OR($D$38=$Y$27,$B570=""),"",VLOOKUP(B570,ÍNDICES!A:DE,AF$35+1))),"",IF(OR($D$38=$Y$27,$B570=""),"",VLOOKUP(B570,ÍNDICES!A:DE,AF$35+1)))</f>
        <v/>
      </c>
      <c r="E570" s="153"/>
      <c r="F570" s="29" t="str">
        <f>IF(E570="","",IF($L$35="SELIC - TRIBUTOS",VLOOKUP(DATE(YEAR($D$19),MONTH($D$19)-1,1),ÍNDICES!$A:$DE,HLOOKUP($BL$25,ÍNDICES!$B$3:$T$4,2)+11)-VLOOKUP(E570,ÍNDICES!$A:$DE,HLOOKUP($BL$25,ÍNDICES!$B$3:$T$4,2)+11)+1%,IF(F$38=$W$26,$J$35,IF(ISERROR(IF(E570&gt;$D$19,1,VLOOKUP(DATE(YEAR(E570),MONTH(E570)+IF($C$35=$S$23,1,0),1),ÍNDICES!$A:$DE,$Z$35+1))),"",IF(E570&gt;$D$19,1,VLOOKUP(DATE(YEAR(E570),MONTH(E570)+IF($C$35=$S$23,1,0),1),ÍNDICES!$A:$DE,$Z$35+1))))))</f>
        <v/>
      </c>
      <c r="G570" s="155"/>
      <c r="H570" s="156" t="str">
        <f t="shared" si="99"/>
        <v/>
      </c>
      <c r="I570" s="29" t="str">
        <f t="shared" si="93"/>
        <v/>
      </c>
      <c r="J570" s="5">
        <f t="shared" si="94"/>
        <v>0</v>
      </c>
      <c r="K570" s="20">
        <f t="shared" ca="1" si="95"/>
        <v>0</v>
      </c>
      <c r="L570" s="5">
        <f t="shared" ca="1" si="96"/>
        <v>0</v>
      </c>
      <c r="M570" s="64">
        <f t="shared" si="100"/>
        <v>0</v>
      </c>
      <c r="N570" s="61">
        <f t="shared" ca="1" si="101"/>
        <v>0</v>
      </c>
      <c r="O570" s="5">
        <f t="shared" ca="1" si="102"/>
        <v>0</v>
      </c>
      <c r="P570" s="446" t="e">
        <f t="shared" si="97"/>
        <v>#VALUE!</v>
      </c>
      <c r="Q570" s="446" t="e">
        <f>IF(OR($B570="",MIN(Q$38,$D$19)&lt;MAX($P$34*($B570+IF($R$17="Distrato",$I$38-1,0)),IF(AND($L$37=0,$P$34=0),"",$L$37-1),IF($R$17="Distrato",$E570,0))),0,YEARFRAC(MAX($P$34*($B570+IF($R$17="Distrato",$I$38-1,0)),IF(AND($L$37=0,$P$34=0),"",$L$37-1),IF($R$17="Distrato",$E570,0)),MIN(Q$38,$D$19),$P$20))-SUM($P570:P570)</f>
        <v>#VALUE!</v>
      </c>
      <c r="R570" s="446" t="e">
        <f>IF(OR($B570="",MIN(R$38,$D$19)&lt;MAX($P$34*($B570+IF($R$17="Distrato",$I$38-1,0)),IF(AND($L$37=0,$P$34=0),"",$L$37-1),IF($R$17="Distrato",$E570,0))),0,YEARFRAC(MAX($P$34*($B570+IF($R$17="Distrato",$I$38-1,0)),IF(AND($L$37=0,$P$34=0),"",$L$37-1),IF($R$17="Distrato",$E570,0)),MIN(R$38,$D$19),$P$20))-SUM($P570:Q570)</f>
        <v>#VALUE!</v>
      </c>
      <c r="S570" s="446" t="e">
        <f>IF(OR($B570="",MIN(S$38,$D$19)&lt;MAX($P$34*($B570+IF($R$17="Distrato",$I$38-1,0)),IF(AND($L$37=0,$P$34=0),"",$L$37-1),IF($R$17="Distrato",$E570,0))),0,YEARFRAC(MAX($P$34*($B570+IF($R$17="Distrato",$I$38-1,0)),IF(AND($L$37=0,$P$34=0),"",$L$37-1),IF($R$17="Distrato",$E570,0)),MIN(S$38,$D$19),$P$20))-SUM($P570:R570)</f>
        <v>#VALUE!</v>
      </c>
      <c r="T570" s="446" t="e">
        <f>IF(OR($B570="",MIN(T$38,$D$19)&lt;MAX($P$34*($B570+IF($R$17="Distrato",$I$38-1,0)),IF(AND($L$37=0,$P$34=0),"",$L$37-1),IF($R$17="Distrato",$E570,0))),0,YEARFRAC(MAX($P$34*($B570+IF($R$17="Distrato",$I$38-1,0)),IF(AND($L$37=0,$P$34=0),"",$L$37-1),IF($R$17="Distrato",$E570,0)),MIN(T$38,$D$19),$P$20))-SUM($P570:S570)</f>
        <v>#VALUE!</v>
      </c>
      <c r="U570" s="446" t="e">
        <f>IF(OR($B570="",MIN(U$38,$D$19)&lt;MAX($P$34*($B570+IF($R$17="Distrato",$I$38-1,0)),IF(AND($L$37=0,$P$34=0),"",$L$37-1),IF($R$17="Distrato",$E570,0))),0,YEARFRAC(MAX($P$34*($B570+IF($R$17="Distrato",$I$38-1,0)),IF(AND($L$37=0,$P$34=0),"",$L$37-1),IF($R$17="Distrato",$E570,0)),MIN(U$38,$D$19),$P$20))-SUM($P570:T570)</f>
        <v>#VALUE!</v>
      </c>
      <c r="V570" s="446" t="e">
        <f>IF(OR($B570="",MIN(V$38,$D$19)&lt;MAX($P$34*($B570+IF($R$17="Distrato",$I$38-1,0)),IF(AND($L$37=0,$P$34=0),"",$L$37-1),IF($R$17="Distrato",$E570,0))),0,YEARFRAC(MAX($P$34*($B570+IF($R$17="Distrato",$I$38-1,0)),IF(AND($L$37=0,$P$34=0),"",$L$37-1),IF($R$17="Distrato",$E570,0)),MIN(V$38,$D$19),$P$20))-SUM($P570:U570)</f>
        <v>#VALUE!</v>
      </c>
      <c r="W570" s="446" t="e">
        <f>IF(OR($B570="",MIN(W$38,$D$19)&lt;MAX($P$34*($B570+IF($R$17="Distrato",$I$38-1,0)),IF(AND($L$37=0,$P$34=0),"",$L$37-1),IF($R$17="Distrato",$E570,0))),0,YEARFRAC(MAX($P$34*($B570+IF($R$17="Distrato",$I$38-1,0)),IF(AND($L$37=0,$P$34=0),"",$L$37-1),IF($R$17="Distrato",$E570,0)),MIN(W$38,$D$19),$P$20))-SUM($P570:V570)</f>
        <v>#VALUE!</v>
      </c>
      <c r="X570" s="446" t="e">
        <f>IF(OR($B570="",MIN(X$38,$D$19)&lt;MAX($P$34*($B570+IF($R$17="Distrato",$I$38-1,0)),IF(AND($L$37=0,$P$34=0),"",$L$37-1),IF($R$17="Distrato",$E570,0))),0,YEARFRAC(MAX($P$34*($B570+IF($R$17="Distrato",$I$38-1,0)),IF(AND($L$37=0,$P$34=0),"",$L$37-1),IF($R$17="Distrato",$E570,0)),MIN(X$38,$D$19),$P$20))-SUM($P570:W570)</f>
        <v>#VALUE!</v>
      </c>
      <c r="Y570" s="446" t="e">
        <f>IF(OR($B570="",MIN(Y$38,$D$19)&lt;MAX($P$34*($B570+IF($R$17="Distrato",$I$38-1,0)),IF(AND($L$37=0,$P$34=0),"",$L$37-1),IF($R$17="Distrato",$E570,0))),0,YEARFRAC(MAX($P$34*($B570+IF($R$17="Distrato",$I$38-1,0)),IF(AND($L$37=0,$P$34=0),"",$L$37-1),IF($R$17="Distrato",$E570,0)),MIN(Y$38,$D$19),$P$20))-SUM($P570:X570)</f>
        <v>#VALUE!</v>
      </c>
      <c r="Z570" s="446" t="e">
        <f>IF(OR($B570="",MIN(Z$38,$D$19)&lt;MAX($P$34*($B570+IF($R$17="Distrato",$I$38-1,0)),IF(AND($L$37=0,$P$34=0),"",$L$37-1),IF($R$17="Distrato",$E570,0))),0,YEARFRAC(MAX($P$34*($B570+IF($R$17="Distrato",$I$38-1,0)),IF(AND($L$37=0,$P$34=0),"",$L$37-1),IF($R$17="Distrato",$E570,0)),MIN(Z$38,$D$19),$P$20))-SUM($P570:Y570)</f>
        <v>#VALUE!</v>
      </c>
      <c r="AA570" s="446" t="e">
        <f>IF(OR($B570="",MIN(AA$38,$D$19)&lt;MAX($P$34*($B570+IF($R$17="Distrato",$I$38-1,0)),IF(AND($L$37=0,$P$34=0),"",$L$37-1),IF($R$17="Distrato",$E570,0))),0,YEARFRAC(MAX($P$34*($B570+IF($R$17="Distrato",$I$38-1,0)),IF(AND($L$37=0,$P$34=0),"",$L$37-1),IF($R$17="Distrato",$E570,0)),MIN(AA$38,$D$19),$P$20))-SUM($P570:Z570)</f>
        <v>#VALUE!</v>
      </c>
      <c r="AB570" s="446" t="e">
        <f>IF(OR($B570="",MIN(AB$38,$D$19)&lt;MAX($P$34*($B570+IF($R$17="Distrato",$I$38-1,0)),IF(AND($L$37=0,$P$34=0),"",$L$37-1),IF($R$17="Distrato",$E570,0))),0,YEARFRAC(MAX($P$34*($B570+IF($R$17="Distrato",$I$38-1,0)),IF(AND($L$37=0,$P$34=0),"",$L$37-1),IF($R$17="Distrato",$E570,0)),MIN(AB$38,$D$19),$P$20))-SUM($P570:AA570)</f>
        <v>#VALUE!</v>
      </c>
      <c r="AC570" s="446" t="e">
        <f>IF(OR($B570="",MIN(AC$38,$D$19)&lt;MAX($P$34*($B570+IF($R$17="Distrato",$I$38-1,0)),IF(AND($L$37=0,$P$34=0),"",$L$37-1),IF($R$17="Distrato",$E570,0))),0,YEARFRAC(MAX($P$34*($B570+IF($R$17="Distrato",$I$38-1,0)),IF(AND($L$37=0,$P$34=0),"",$L$37-1),IF($R$17="Distrato",$E570,0)),MIN(AC$38,$D$19),$P$20))-SUM($P570:AB570)</f>
        <v>#VALUE!</v>
      </c>
      <c r="AD570" s="446" t="e">
        <f>IF(OR($B570="",MIN(AD$38,$D$19)&lt;MAX($P$34*($B570+IF($R$17="Distrato",$I$38-1,0)),IF(AND($L$37=0,$P$34=0),"",$L$37-1),IF($R$17="Distrato",$E570,0))),0,YEARFRAC(MAX($P$34*($B570+IF($R$17="Distrato",$I$38-1,0)),IF(AND($L$37=0,$P$34=0),"",$L$37-1),IF($R$17="Distrato",$E570,0)),MIN(AD$38,$D$19),$P$20))-SUM($P570:AC570)</f>
        <v>#VALUE!</v>
      </c>
      <c r="AE570" s="446" t="e">
        <f>IF(OR($B570="",MIN(AE$38,$D$19)&lt;MAX($P$34*($B570+IF($R$17="Distrato",$I$38-1,0)),IF(AND($L$37=0,$P$34=0),"",$L$37-1),IF($R$17="Distrato",$E570,0))),0,YEARFRAC(MAX($P$34*($B570+IF($R$17="Distrato",$I$38-1,0)),IF(AND($L$37=0,$P$34=0),"",$L$37-1),IF($R$17="Distrato",$E570,0)),MIN(AE$38,$D$19),$P$20))-SUM($P570:AD570)</f>
        <v>#VALUE!</v>
      </c>
      <c r="AF570" s="446" t="e">
        <f>IF(OR($B570="",MIN(AF$38,$D$19)&lt;MAX($P$34*($B570+IF($R$17="Distrato",$I$38-1,0)),IF(AND($L$37=0,$P$34=0),"",$L$37-1),IF($R$17="Distrato",$E570,0))),0,YEARFRAC(MAX($P$34*($B570+IF($R$17="Distrato",$I$38-1,0)),IF(AND($L$37=0,$P$34=0),"",$L$37-1),IF($R$17="Distrato",$E570,0)),MIN(AF$38,$D$19),$P$20))-SUM($P570:AE570)</f>
        <v>#VALUE!</v>
      </c>
      <c r="AG570" s="446" t="e">
        <f>IF(OR($B570="",MIN(AG$38,$D$19)&lt;MAX($P$34*($B570+IF($R$17="Distrato",$I$38-1,0)),IF(AND($L$37=0,$P$34=0),"",$L$37-1),IF($R$17="Distrato",$E570,0))),0,YEARFRAC(MAX($P$34*($B570+IF($R$17="Distrato",$I$38-1,0)),IF(AND($L$37=0,$P$34=0),"",$L$37-1),IF($R$17="Distrato",$E570,0)),MIN(AG$38,$D$19),$P$20))-SUM($P570:AF570)</f>
        <v>#VALUE!</v>
      </c>
      <c r="AH570" s="446" t="e">
        <f>IF(OR($B570="",MIN(AH$38,$D$19)&lt;MAX($P$34*($B570+IF($R$17="Distrato",$I$38-1,0)),IF(AND($L$37=0,$P$34=0),"",$L$37-1),IF($R$17="Distrato",$E570,0))),0,YEARFRAC(MAX($P$34*($B570+IF($R$17="Distrato",$I$38-1,0)),IF(AND($L$37=0,$P$34=0),"",$L$37-1),IF($R$17="Distrato",$E570,0)),MIN(AH$38,$D$19),$P$20))-SUM($P570:AG570)</f>
        <v>#VALUE!</v>
      </c>
      <c r="AI570" s="446" t="e">
        <f>IF(OR($B570="",MIN(AI$38,$D$19)&lt;MAX($P$34*($B570+IF($R$17="Distrato",$I$38-1,0)),IF(AND($L$37=0,$P$34=0),"",$L$37-1),IF($R$17="Distrato",$E570,0))),0,YEARFRAC(MAX($P$34*($B570+IF($R$17="Distrato",$I$38-1,0)),IF(AND($L$37=0,$P$34=0),"",$L$37-1),IF($R$17="Distrato",$E570,0)),MIN(AI$38,$D$19),$P$20))-SUM($P570:AH570)</f>
        <v>#VALUE!</v>
      </c>
      <c r="AJ570" s="446" t="e">
        <f>IF(OR($B570="",MIN(AJ$38,$D$19)&lt;MAX($P$34*($B570+IF($R$17="Distrato",$I$38-1,0)),IF(AND($L$37=0,$P$34=0),"",$L$37-1),IF($R$17="Distrato",$E570,0))),0,YEARFRAC(MAX($P$34*($B570+IF($R$17="Distrato",$I$38-1,0)),IF(AND($L$37=0,$P$34=0),"",$L$37-1),IF($R$17="Distrato",$E570,0)),MIN(AJ$38,$D$19),$P$20))-SUM($P570:AI570)</f>
        <v>#VALUE!</v>
      </c>
      <c r="AK570" s="446" t="e">
        <f>IF(OR($B570="",MIN(AK$38,$D$19)&lt;MAX($P$34*($B570+IF($R$17="Distrato",$I$38-1,0)),IF(AND($L$37=0,$P$34=0),"",$L$37-1),IF($R$17="Distrato",$E570,0))),0,YEARFRAC(MAX($P$34*($B570+IF($R$17="Distrato",$I$38-1,0)),IF(AND($L$37=0,$P$34=0),"",$L$37-1),IF($R$17="Distrato",$E570,0)),MIN(AK$38,$D$19),$P$20))-SUM($P570:AJ570)</f>
        <v>#VALUE!</v>
      </c>
      <c r="AL570" s="446" t="e">
        <f>IF(OR($B570="",MIN(AL$38,$D$19)&lt;MAX($P$34*($B570+IF($R$17="Distrato",$I$38-1,0)),IF(AND($L$37=0,$P$34=0),"",$L$37-1),IF($R$17="Distrato",$E570,0))),0,YEARFRAC(MAX($P$34*($B570+IF($R$17="Distrato",$I$38-1,0)),IF(AND($L$37=0,$P$34=0),"",$L$37-1),IF($R$17="Distrato",$E570,0)),MIN(AL$38,$D$19),$P$20))-SUM($P570:AK570)</f>
        <v>#VALUE!</v>
      </c>
      <c r="AM570" s="446" t="e">
        <f>IF(OR($B570="",MIN(AM$38,$D$19)&lt;MAX($P$34*($B570+IF($R$17="Distrato",$I$38-1,0)),IF(AND($L$37=0,$P$34=0),"",$L$37-1),IF($R$17="Distrato",$E570,0))),0,YEARFRAC(MAX($P$34*($B570+IF($R$17="Distrato",$I$38-1,0)),IF(AND($L$37=0,$P$34=0),"",$L$37-1),IF($R$17="Distrato",$E570,0)),MIN(AM$38,$D$19),$P$20))-SUM($P570:AL570)</f>
        <v>#VALUE!</v>
      </c>
      <c r="AN570" s="446" t="e">
        <f>IF(OR($B570="",MIN(AN$38,$D$19)&lt;MAX($P$34*($B570+IF($R$17="Distrato",$I$38-1,0)),IF(AND($L$37=0,$P$34=0),"",$L$37-1),IF($R$17="Distrato",$E570,0))),0,YEARFRAC(MAX($P$34*($B570+IF($R$17="Distrato",$I$38-1,0)),IF(AND($L$37=0,$P$34=0),"",$L$37-1),IF($R$17="Distrato",$E570,0)),MIN(AN$38,$D$19),$P$20))-SUM($P570:AM570)</f>
        <v>#VALUE!</v>
      </c>
      <c r="AO570" s="446" t="e">
        <f>IF(OR($B570="",MIN(AO$38,$D$19)&lt;MAX($P$34*($B570+IF($R$17="Distrato",$I$38-1,0)),IF(AND($L$37=0,$P$34=0),"",$L$37-1),IF($R$17="Distrato",$E570,0))),0,YEARFRAC(MAX($P$34*($B570+IF($R$17="Distrato",$I$38-1,0)),IF(AND($L$37=0,$P$34=0),"",$L$37-1),IF($R$17="Distrato",$E570,0)),MIN(AO$38,$D$19),$P$20))-SUM($P570:AN570)</f>
        <v>#VALUE!</v>
      </c>
      <c r="AP570" s="446" t="e">
        <f>IF(OR($B570="",MIN(AP$38,$D$19)&lt;MAX($P$34*($B570+IF($R$17="Distrato",$I$38-1,0)),IF(AND($L$37=0,$P$34=0),"",$L$37-1),IF($R$17="Distrato",$E570,0))),0,YEARFRAC(MAX($P$34*($B570+IF($R$17="Distrato",$I$38-1,0)),IF(AND($L$37=0,$P$34=0),"",$L$37-1),IF($R$17="Distrato",$E570,0)),MIN(AP$38,$D$19),$P$20))-SUM($P570:AO570)</f>
        <v>#VALUE!</v>
      </c>
      <c r="AQ570" s="446" t="e">
        <f>IF(OR($B570="",MIN(AQ$38,$D$19)&lt;MAX($P$34*($B570+IF($R$17="Distrato",$I$38-1,0)),IF(AND($L$37=0,$P$34=0),"",$L$37-1),IF($R$17="Distrato",$E570,0))),0,YEARFRAC(MAX($P$34*($B570+IF($R$17="Distrato",$I$38-1,0)),IF(AND($L$37=0,$P$34=0),"",$L$37-1),IF($R$17="Distrato",$E570,0)),MIN(AQ$38,$D$19),$P$20))-SUM($P570:AP570)</f>
        <v>#VALUE!</v>
      </c>
      <c r="AR570" s="446" t="e">
        <f>IF(OR($B570="",MIN(AR$38,$D$19)&lt;MAX($P$34*($B570+IF($R$17="Distrato",$I$38-1,0)),IF(AND($L$37=0,$P$34=0),"",$L$37-1),IF($R$17="Distrato",$E570,0))),0,YEARFRAC(MAX($P$34*($B570+IF($R$17="Distrato",$I$38-1,0)),IF(AND($L$37=0,$P$34=0),"",$L$37-1),IF($R$17="Distrato",$E570,0)),MIN(AR$38,$D$19),$P$20))-SUM($P570:AQ570)</f>
        <v>#VALUE!</v>
      </c>
      <c r="AS570" s="446" t="e">
        <f>IF(OR($B570="",MIN(AS$38,$D$19)&lt;MAX($P$34*($B570+IF($R$17="Distrato",$I$38-1,0)),IF(AND($L$37=0,$P$34=0),"",$L$37-1),IF($R$17="Distrato",$E570,0))),0,YEARFRAC(MAX($P$34*($B570+IF($R$17="Distrato",$I$38-1,0)),IF(AND($L$37=0,$P$34=0),"",$L$37-1),IF($R$17="Distrato",$E570,0)),MIN(AS$38,$D$19),$P$20))-SUM($P570:AR570)</f>
        <v>#VALUE!</v>
      </c>
      <c r="AT570" s="446" t="e">
        <f>IF(OR($B570="",MIN(AT$38,$D$19)&lt;MAX($P$34*($B570+IF($R$17="Distrato",$I$38-1,0)),IF(AND($L$37=0,$P$34=0),"",$L$37-1),IF($R$17="Distrato",$E570,0))),0,YEARFRAC(MAX($P$34*($B570+IF($R$17="Distrato",$I$38-1,0)),IF(AND($L$37=0,$P$34=0),"",$L$37-1),IF($R$17="Distrato",$E570,0)),MIN(AT$38,$D$19),$P$20))-SUM($P570:AS570)</f>
        <v>#VALUE!</v>
      </c>
      <c r="AU570" s="446" t="e">
        <f>IF(OR($B570="",MIN(AU$38,$D$19)&lt;MAX($P$34*($B570+IF($R$17="Distrato",$I$38-1,0)),IF(AND($L$37=0,$P$34=0),"",$L$37-1),IF($R$17="Distrato",$E570,0))),0,YEARFRAC(MAX($P$34*($B570+IF($R$17="Distrato",$I$38-1,0)),IF(AND($L$37=0,$P$34=0),"",$L$37-1),IF($R$17="Distrato",$E570,0)),MIN(AU$38,$D$19),$P$20))-SUM($P570:AT570)</f>
        <v>#VALUE!</v>
      </c>
      <c r="AV570" s="446" t="e">
        <f>IF(OR($B570="",MIN(AV$38,$D$19)&lt;MAX($P$34*($B570+IF($R$17="Distrato",$I$38-1,0)),IF(AND($L$37=0,$P$34=0),"",$L$37-1),IF($R$17="Distrato",$E570,0))),0,YEARFRAC(MAX($P$34*($B570+IF($R$17="Distrato",$I$38-1,0)),IF(AND($L$37=0,$P$34=0),"",$L$37-1),IF($R$17="Distrato",$E570,0)),MIN(AV$38,$D$19),$P$20))-SUM($P570:AU570)</f>
        <v>#VALUE!</v>
      </c>
      <c r="AW570" s="446" t="e">
        <f>IF(OR($B570="",MIN(AW$38,$D$19)&lt;MAX($P$34*($B570+IF($R$17="Distrato",$I$38-1,0)),IF(AND($L$37=0,$P$34=0),"",$L$37-1),IF($R$17="Distrato",$E570,0))),0,YEARFRAC(MAX($P$34*($B570+IF($R$17="Distrato",$I$38-1,0)),IF(AND($L$37=0,$P$34=0),"",$L$37-1),IF($R$17="Distrato",$E570,0)),MIN(AW$38,$D$19),$P$20))-SUM($P570:AV570)</f>
        <v>#VALUE!</v>
      </c>
      <c r="AX570" s="446" t="e">
        <f>IF(OR($B570="",MIN(AX$38,$D$19)&lt;MAX($P$34*($B570+IF($R$17="Distrato",$I$38-1,0)),IF(AND($L$37=0,$P$34=0),"",$L$37-1),IF($R$17="Distrato",$E570,0))),0,YEARFRAC(MAX($P$34*($B570+IF($R$17="Distrato",$I$38-1,0)),IF(AND($L$37=0,$P$34=0),"",$L$37-1),IF($R$17="Distrato",$E570,0)),MIN(AX$38,$D$19),$P$20))-SUM($P570:AW570)</f>
        <v>#VALUE!</v>
      </c>
      <c r="AY570" s="446" t="e">
        <f>IF(OR($B570="",MIN(AY$38,$D$19)&lt;MAX($P$34*($B570+IF($R$17="Distrato",$I$38-1,0)),IF(AND($L$37=0,$P$34=0),"",$L$37-1),IF($R$17="Distrato",$E570,0))),0,YEARFRAC(MAX($P$34*($B570+IF($R$17="Distrato",$I$38-1,0)),IF(AND($L$37=0,$P$34=0),"",$L$37-1),IF($R$17="Distrato",$E570,0)),MIN(AY$38,$D$19),$P$20))-SUM($P570:AX570)</f>
        <v>#VALUE!</v>
      </c>
      <c r="AZ570" s="446" t="e">
        <f>IF(OR($B570="",MIN(AZ$38,$D$19)&lt;MAX($P$34*($B570+IF($R$17="Distrato",$I$38-1,0)),IF(AND($L$37=0,$P$34=0),"",$L$37-1),IF($R$17="Distrato",$E570,0))),0,YEARFRAC(MAX($P$34*($B570+IF($R$17="Distrato",$I$38-1,0)),IF(AND($L$37=0,$P$34=0),"",$L$37-1),IF($R$17="Distrato",$E570,0)),MIN(AZ$38,$D$19),$P$20))-SUM($P570:AY570)</f>
        <v>#VALUE!</v>
      </c>
      <c r="BA570" s="446" t="e">
        <f>IF(OR($B570="",MIN(BA$38,$D$19)&lt;MAX($P$34*($B570+IF($R$17="Distrato",$I$38-1,0)),IF(AND($L$37=0,$P$34=0),"",$L$37-1),IF($R$17="Distrato",$E570,0))),0,YEARFRAC(MAX($P$34*($B570+IF($R$17="Distrato",$I$38-1,0)),IF(AND($L$37=0,$P$34=0),"",$L$37-1),IF($R$17="Distrato",$E570,0)),MIN(BA$38,$D$19),$P$20))-SUM($P570:AZ570)</f>
        <v>#VALUE!</v>
      </c>
      <c r="BB570" s="447"/>
      <c r="BF570" s="446">
        <f t="shared" si="98"/>
        <v>0</v>
      </c>
      <c r="BG570" s="446">
        <f>IF($E570=0,0,IF(MIN(BG$38,$E570)&lt;MAX($P$34*($B570+$I$38-1),IF(AND($L$37=0,$P$34=0),"",$L$37-1)),0,YEARFRAC(MAX($P$34*($B570+$I$38-1),IF(AND($L$37=0,$P$34=0),"",$L$37-1)),MIN(BG$38,$E570),$P$20))-SUM($BF570:BF570))</f>
        <v>0</v>
      </c>
      <c r="BH570" s="446">
        <f>IF($E570=0,0,IF(MIN(BH$38,$E570)&lt;MAX($P$34*($B570+$I$38-1),IF(AND($L$37=0,$P$34=0),"",$L$37-1)),0,YEARFRAC(MAX($P$34*($B570+$I$38-1),IF(AND($L$37=0,$P$34=0),"",$L$37-1)),MIN(BH$38,$E570),$P$20))-SUM($BF570:BG570))</f>
        <v>0</v>
      </c>
      <c r="BI570" s="446">
        <f>IF($E570=0,0,IF(MIN(BI$38,$E570)&lt;MAX($P$34*($B570+$I$38-1),IF(AND($L$37=0,$P$34=0),"",$L$37-1)),0,YEARFRAC(MAX($P$34*($B570+$I$38-1),IF(AND($L$37=0,$P$34=0),"",$L$37-1)),MIN(BI$38,$E570),$P$20))-SUM($BF570:BH570))</f>
        <v>0</v>
      </c>
      <c r="BJ570" s="446">
        <f>IF($E570=0,0,IF(MIN(BJ$38,$E570)&lt;MAX($P$34*($B570+$I$38-1),IF(AND($L$37=0,$P$34=0),"",$L$37-1)),0,YEARFRAC(MAX($P$34*($B570+$I$38-1),IF(AND($L$37=0,$P$34=0),"",$L$37-1)),MIN(BJ$38,$E570),$P$20))-SUM($BF570:BI570))</f>
        <v>0</v>
      </c>
      <c r="BK570" s="446">
        <f>IF($E570=0,0,IF(MIN(BK$38,$E570)&lt;MAX($P$34*($B570+$I$38-1),IF(AND($L$37=0,$P$34=0),"",$L$37-1)),0,YEARFRAC(MAX($P$34*($B570+$I$38-1),IF(AND($L$37=0,$P$34=0),"",$L$37-1)),MIN(BK$38,$E570),$P$20))-SUM($BF570:BJ570))</f>
        <v>0</v>
      </c>
      <c r="BL570" s="446">
        <f>IF($E570=0,0,IF(MIN(BL$38,$E570)&lt;MAX($P$34*($B570+$I$38-1),IF(AND($L$37=0,$P$34=0),"",$L$37-1)),0,YEARFRAC(MAX($P$34*($B570+$I$38-1),IF(AND($L$37=0,$P$34=0),"",$L$37-1)),MIN(BL$38,$E570),$P$20))-SUM($BF570:BK570))</f>
        <v>0</v>
      </c>
      <c r="BM570" s="446">
        <f>IF($E570=0,0,IF(MIN(BM$38,$E570)&lt;MAX($P$34*($B570+$I$38-1),IF(AND($L$37=0,$P$34=0),"",$L$37-1)),0,YEARFRAC(MAX($P$34*($B570+$I$38-1),IF(AND($L$37=0,$P$34=0),"",$L$37-1)),MIN(BM$38,$E570),$P$20))-SUM($BF570:BL570))</f>
        <v>0</v>
      </c>
      <c r="BN570" s="446">
        <f>IF($E570=0,0,IF(MIN(BN$38,$E570)&lt;MAX($P$34*($B570+$I$38-1),IF(AND($L$37=0,$P$34=0),"",$L$37-1)),0,YEARFRAC(MAX($P$34*($B570+$I$38-1),IF(AND($L$37=0,$P$34=0),"",$L$37-1)),MIN(BN$38,$E570),$P$20))-SUM($BF570:BM570))</f>
        <v>0</v>
      </c>
      <c r="BO570" s="446">
        <f>IF($E570=0,0,IF(MIN(BO$38,$E570)&lt;MAX($P$34*($B570+$I$38-1),IF(AND($L$37=0,$P$34=0),"",$L$37-1)),0,YEARFRAC(MAX($P$34*($B570+$I$38-1),IF(AND($L$37=0,$P$34=0),"",$L$37-1)),MIN(BO$38,$E570),$P$20))-SUM($BF570:BN570))</f>
        <v>0</v>
      </c>
      <c r="BP570" s="446">
        <f>IF($E570=0,0,IF(MIN(BP$38,$E570)&lt;MAX($P$34*($B570+$I$38-1),IF(AND($L$37=0,$P$34=0),"",$L$37-1)),0,YEARFRAC(MAX($P$34*($B570+$I$38-1),IF(AND($L$37=0,$P$34=0),"",$L$37-1)),MIN(BP$38,$E570),$P$20))-SUM($BF570:BO570))</f>
        <v>0</v>
      </c>
      <c r="BQ570" s="446">
        <f>IF($E570=0,0,IF(MIN(BQ$38,$E570)&lt;MAX($P$34*($B570+$I$38-1),IF(AND($L$37=0,$P$34=0),"",$L$37-1)),0,YEARFRAC(MAX($P$34*($B570+$I$38-1),IF(AND($L$37=0,$P$34=0),"",$L$37-1)),MIN(BQ$38,$E570),$P$20))-SUM($BF570:BP570))</f>
        <v>0</v>
      </c>
      <c r="BR570" s="446">
        <f>IF($E570=0,0,IF(MIN(BR$38,$E570)&lt;MAX($P$34*($B570+$I$38-1),IF(AND($L$37=0,$P$34=0),"",$L$37-1)),0,YEARFRAC(MAX($P$34*($B570+$I$38-1),IF(AND($L$37=0,$P$34=0),"",$L$37-1)),MIN(BR$38,$E570),$P$20))-SUM($BF570:BQ570))</f>
        <v>0</v>
      </c>
      <c r="BS570" s="446">
        <f>IF($E570=0,0,IF(MIN(BS$38,$E570)&lt;MAX($P$34*($B570+$I$38-1),IF(AND($L$37=0,$P$34=0),"",$L$37-1)),0,YEARFRAC(MAX($P$34*($B570+$I$38-1),IF(AND($L$37=0,$P$34=0),"",$L$37-1)),MIN(BS$38,$E570),$P$20))-SUM($BF570:BR570))</f>
        <v>0</v>
      </c>
      <c r="BT570" s="446">
        <f>IF($E570=0,0,IF(MIN(BT$38,$E570)&lt;MAX($P$34*($B570+$I$38-1),IF(AND($L$37=0,$P$34=0),"",$L$37-1)),0,YEARFRAC(MAX($P$34*($B570+$I$38-1),IF(AND($L$37=0,$P$34=0),"",$L$37-1)),MIN(BT$38,$E570),$P$20))-SUM($BF570:BS570))</f>
        <v>0</v>
      </c>
      <c r="BU570" s="446">
        <f>IF($E570=0,0,IF(MIN(BU$38,$E570)&lt;MAX($P$34*($B570+$I$38-1),IF(AND($L$37=0,$P$34=0),"",$L$37-1)),0,YEARFRAC(MAX($P$34*($B570+$I$38-1),IF(AND($L$37=0,$P$34=0),"",$L$37-1)),MIN(BU$38,$E570),$P$20))-SUM($BF570:BT570))</f>
        <v>0</v>
      </c>
      <c r="BV570" s="446">
        <f>IF($E570=0,0,IF(MIN(BV$38,$E570)&lt;MAX($P$34*($B570+$I$38-1),IF(AND($L$37=0,$P$34=0),"",$L$37-1)),0,YEARFRAC(MAX($P$34*($B570+$I$38-1),IF(AND($L$37=0,$P$34=0),"",$L$37-1)),MIN(BV$38,$E570),$P$20))-SUM($BF570:BU570))</f>
        <v>0</v>
      </c>
      <c r="BW570" s="446">
        <f>IF($E570=0,0,IF(MIN(BW$38,$E570)&lt;MAX($P$34*($B570+$I$38-1),IF(AND($L$37=0,$P$34=0),"",$L$37-1)),0,YEARFRAC(MAX($P$34*($B570+$I$38-1),IF(AND($L$37=0,$P$34=0),"",$L$37-1)),MIN(BW$38,$E570),$P$20))-SUM($BF570:BV570))</f>
        <v>0</v>
      </c>
      <c r="BX570" s="446">
        <f>IF($E570=0,0,IF(MIN(BX$38,$E570)&lt;MAX($P$34*($B570+$I$38-1),IF(AND($L$37=0,$P$34=0),"",$L$37-1)),0,YEARFRAC(MAX($P$34*($B570+$I$38-1),IF(AND($L$37=0,$P$34=0),"",$L$37-1)),MIN(BX$38,$E570),$P$20))-SUM($BF570:BW570))</f>
        <v>0</v>
      </c>
      <c r="BY570" s="446">
        <f>IF($E570=0,0,IF(MIN(BY$38,$E570)&lt;MAX($P$34*($B570+$I$38-1),IF(AND($L$37=0,$P$34=0),"",$L$37-1)),0,YEARFRAC(MAX($P$34*($B570+$I$38-1),IF(AND($L$37=0,$P$34=0),"",$L$37-1)),MIN(BY$38,$E570),$P$20))-SUM($BF570:BX570))</f>
        <v>0</v>
      </c>
      <c r="BZ570" s="446">
        <f>IF($E570=0,0,IF(MIN(BZ$38,$E570)&lt;MAX($P$34*($B570+$I$38-1),IF(AND($L$37=0,$P$34=0),"",$L$37-1)),0,YEARFRAC(MAX($P$34*($B570+$I$38-1),IF(AND($L$37=0,$P$34=0),"",$L$37-1)),MIN(BZ$38,$E570),$P$20))-SUM($BF570:BY570))</f>
        <v>0</v>
      </c>
      <c r="CA570" s="446">
        <f>IF($E570=0,0,IF(MIN(CA$38,$E570)&lt;MAX($P$34*($B570+$I$38-1),IF(AND($L$37=0,$P$34=0),"",$L$37-1)),0,YEARFRAC(MAX($P$34*($B570+$I$38-1),IF(AND($L$37=0,$P$34=0),"",$L$37-1)),MIN(CA$38,$E570),$P$20))-SUM($BF570:BZ570))</f>
        <v>0</v>
      </c>
      <c r="CB570" s="446">
        <f>IF($E570=0,0,IF(MIN(CB$38,$E570)&lt;MAX($P$34*($B570+$I$38-1),IF(AND($L$37=0,$P$34=0),"",$L$37-1)),0,YEARFRAC(MAX($P$34*($B570+$I$38-1),IF(AND($L$37=0,$P$34=0),"",$L$37-1)),MIN(CB$38,$E570),$P$20))-SUM($BF570:CA570))</f>
        <v>0</v>
      </c>
      <c r="CC570" s="446">
        <f>IF($E570=0,0,IF(MIN(CC$38,$E570)&lt;MAX($P$34*($B570+$I$38-1),IF(AND($L$37=0,$P$34=0),"",$L$37-1)),0,YEARFRAC(MAX($P$34*($B570+$I$38-1),IF(AND($L$37=0,$P$34=0),"",$L$37-1)),MIN(CC$38,$E570),$P$20))-SUM($BF570:CB570))</f>
        <v>0</v>
      </c>
      <c r="CD570" s="446">
        <f>IF($E570=0,0,IF(MIN(CD$38,$E570)&lt;MAX($P$34*($B570+$I$38-1),IF(AND($L$37=0,$P$34=0),"",$L$37-1)),0,YEARFRAC(MAX($P$34*($B570+$I$38-1),IF(AND($L$37=0,$P$34=0),"",$L$37-1)),MIN(CD$38,$E570),$P$20))-SUM($BF570:CC570))</f>
        <v>0</v>
      </c>
      <c r="CE570" s="446">
        <f>IF($E570=0,0,IF(MIN(CE$38,$E570)&lt;MAX($P$34*($B570+$I$38-1),IF(AND($L$37=0,$P$34=0),"",$L$37-1)),0,YEARFRAC(MAX($P$34*($B570+$I$38-1),IF(AND($L$37=0,$P$34=0),"",$L$37-1)),MIN(CE$38,$E570),$P$20))-SUM($BF570:CD570))</f>
        <v>0</v>
      </c>
      <c r="CF570" s="446">
        <f>IF($E570=0,0,IF(MIN(CF$38,$E570)&lt;MAX($P$34*($B570+$I$38-1),IF(AND($L$37=0,$P$34=0),"",$L$37-1)),0,YEARFRAC(MAX($P$34*($B570+$I$38-1),IF(AND($L$37=0,$P$34=0),"",$L$37-1)),MIN(CF$38,$E570),$P$20))-SUM($BF570:CE570))</f>
        <v>0</v>
      </c>
      <c r="CG570" s="446">
        <f>IF($E570=0,0,IF(MIN(CG$38,$E570)&lt;MAX($P$34*($B570+$I$38-1),IF(AND($L$37=0,$P$34=0),"",$L$37-1)),0,YEARFRAC(MAX($P$34*($B570+$I$38-1),IF(AND($L$37=0,$P$34=0),"",$L$37-1)),MIN(CG$38,$E570),$P$20))-SUM($BF570:CF570))</f>
        <v>0</v>
      </c>
      <c r="CH570" s="446">
        <f>IF($E570=0,0,IF(MIN(CH$38,$E570)&lt;MAX($P$34*($B570+$I$38-1),IF(AND($L$37=0,$P$34=0),"",$L$37-1)),0,YEARFRAC(MAX($P$34*($B570+$I$38-1),IF(AND($L$37=0,$P$34=0),"",$L$37-1)),MIN(CH$38,$E570),$P$20))-SUM($BF570:CG570))</f>
        <v>0</v>
      </c>
      <c r="CI570" s="446">
        <f>IF($E570=0,0,IF(MIN(CI$38,$E570)&lt;MAX($P$34*($B570+$I$38-1),IF(AND($L$37=0,$P$34=0),"",$L$37-1)),0,YEARFRAC(MAX($P$34*($B570+$I$38-1),IF(AND($L$37=0,$P$34=0),"",$L$37-1)),MIN(CI$38,$E570),$P$20))-SUM($BF570:CH570))</f>
        <v>0</v>
      </c>
      <c r="CJ570" s="446">
        <f>IF($E570=0,0,IF(MIN(CJ$38,$E570)&lt;MAX($P$34*($B570+$I$38-1),IF(AND($L$37=0,$P$34=0),"",$L$37-1)),0,YEARFRAC(MAX($P$34*($B570+$I$38-1),IF(AND($L$37=0,$P$34=0),"",$L$37-1)),MIN(CJ$38,$E570),$P$20))-SUM($BF570:CI570))</f>
        <v>0</v>
      </c>
      <c r="CK570" s="446">
        <f>IF($E570=0,0,IF(MIN(CK$38,$E570)&lt;MAX($P$34*($B570+$I$38-1),IF(AND($L$37=0,$P$34=0),"",$L$37-1)),0,YEARFRAC(MAX($P$34*($B570+$I$38-1),IF(AND($L$37=0,$P$34=0),"",$L$37-1)),MIN(CK$38,$E570),$P$20))-SUM($BF570:CJ570))</f>
        <v>0</v>
      </c>
      <c r="CL570" s="446">
        <f>IF($E570=0,0,IF(MIN(CL$38,$E570)&lt;MAX($P$34*($B570+$I$38-1),IF(AND($L$37=0,$P$34=0),"",$L$37-1)),0,YEARFRAC(MAX($P$34*($B570+$I$38-1),IF(AND($L$37=0,$P$34=0),"",$L$37-1)),MIN(CL$38,$E570),$P$20))-SUM($BF570:CK570))</f>
        <v>0</v>
      </c>
      <c r="CM570" s="446">
        <f>IF($E570=0,0,IF(MIN(CM$38,$E570)&lt;MAX($P$34*($B570+$I$38-1),IF(AND($L$37=0,$P$34=0),"",$L$37-1)),0,YEARFRAC(MAX($P$34*($B570+$I$38-1),IF(AND($L$37=0,$P$34=0),"",$L$37-1)),MIN(CM$38,$E570),$P$20))-SUM($BF570:CL570))</f>
        <v>0</v>
      </c>
      <c r="CN570" s="446">
        <f>IF($E570=0,0,IF(MIN(CN$38,$E570)&lt;MAX($P$34*($B570+$I$38-1),IF(AND($L$37=0,$P$34=0),"",$L$37-1)),0,YEARFRAC(MAX($P$34*($B570+$I$38-1),IF(AND($L$37=0,$P$34=0),"",$L$37-1)),MIN(CN$38,$E570),$P$20))-SUM($BF570:CM570))</f>
        <v>0</v>
      </c>
      <c r="CO570" s="446">
        <f>IF($E570=0,0,IF(MIN(CO$38,$E570)&lt;MAX($P$34*($B570+$I$38-1),IF(AND($L$37=0,$P$34=0),"",$L$37-1)),0,YEARFRAC(MAX($P$34*($B570+$I$38-1),IF(AND($L$37=0,$P$34=0),"",$L$37-1)),MIN(CO$38,$E570),$P$20))-SUM($BF570:CN570))</f>
        <v>0</v>
      </c>
      <c r="CP570" s="446">
        <f>IF($E570=0,0,IF(MIN(CP$38,$E570)&lt;MAX($P$34*($B570+$I$38-1),IF(AND($L$37=0,$P$34=0),"",$L$37-1)),0,YEARFRAC(MAX($P$34*($B570+$I$38-1),IF(AND($L$37=0,$P$34=0),"",$L$37-1)),MIN(CP$38,$E570),$P$20))-SUM($BF570:CO570))</f>
        <v>0</v>
      </c>
      <c r="CQ570" s="446">
        <f>IF($E570=0,0,IF(MIN(CQ$38,$E570)&lt;MAX($P$34*($B570+$I$38-1),IF(AND($L$37=0,$P$34=0),"",$L$37-1)),0,YEARFRAC(MAX($P$34*($B570+$I$38-1),IF(AND($L$37=0,$P$34=0),"",$L$37-1)),MIN(CQ$38,$E570),$P$20))-SUM($BF570:CP570))</f>
        <v>0</v>
      </c>
    </row>
    <row r="571" spans="1:95" s="446" customFormat="1" ht="11.25" hidden="1" customHeight="1" x14ac:dyDescent="0.2">
      <c r="A571" s="152"/>
      <c r="B571" s="153" t="str">
        <f t="shared" si="103"/>
        <v/>
      </c>
      <c r="C571" s="29" t="str">
        <f>IF(B571="","",IF($L$35="SELIC - TRIBUTOS",VLOOKUP(DATE(YEAR($D$19),MONTH($D$19)-1,1),ÍNDICES!$A:$DE,HLOOKUP($BL$25,ÍNDICES!$B$3:$T$4,2)+11)-VLOOKUP(B571,ÍNDICES!$A:$DE,HLOOKUP($BL$25,ÍNDICES!$B$3:$T$4,2)+11)+1%,IF(C$38=$W$26,$J$35,IF(ISERROR(IF(B571&gt;$D$19,1,VLOOKUP(DATE(YEAR(B571),MONTH(B571)+IF($C$35=$S$23,1,0),1),ÍNDICES!$A:$DE,$Z$35+1))),"",IF(B571&gt;$D$19,1,VLOOKUP(DATE(YEAR(B571),MONTH(B571)+IF($C$35=$S$23,1,0),1),ÍNDICES!$A:$DE,$Z$35+1))))))</f>
        <v/>
      </c>
      <c r="D571" s="154" t="str">
        <f>IF(ISERROR(IF(OR($D$38=$Y$27,$B571=""),"",VLOOKUP(B571,ÍNDICES!A:DE,AF$35+1))),"",IF(OR($D$38=$Y$27,$B571=""),"",VLOOKUP(B571,ÍNDICES!A:DE,AF$35+1)))</f>
        <v/>
      </c>
      <c r="E571" s="153"/>
      <c r="F571" s="29" t="str">
        <f>IF(E571="","",IF($L$35="SELIC - TRIBUTOS",VLOOKUP(DATE(YEAR($D$19),MONTH($D$19)-1,1),ÍNDICES!$A:$DE,HLOOKUP($BL$25,ÍNDICES!$B$3:$T$4,2)+11)-VLOOKUP(E571,ÍNDICES!$A:$DE,HLOOKUP($BL$25,ÍNDICES!$B$3:$T$4,2)+11)+1%,IF(F$38=$W$26,$J$35,IF(ISERROR(IF(E571&gt;$D$19,1,VLOOKUP(DATE(YEAR(E571),MONTH(E571)+IF($C$35=$S$23,1,0),1),ÍNDICES!$A:$DE,$Z$35+1))),"",IF(E571&gt;$D$19,1,VLOOKUP(DATE(YEAR(E571),MONTH(E571)+IF($C$35=$S$23,1,0),1),ÍNDICES!$A:$DE,$Z$35+1))))))</f>
        <v/>
      </c>
      <c r="G571" s="155"/>
      <c r="H571" s="156" t="str">
        <f t="shared" si="99"/>
        <v/>
      </c>
      <c r="I571" s="29" t="str">
        <f t="shared" si="93"/>
        <v/>
      </c>
      <c r="J571" s="5">
        <f t="shared" si="94"/>
        <v>0</v>
      </c>
      <c r="K571" s="20">
        <f t="shared" ca="1" si="95"/>
        <v>0</v>
      </c>
      <c r="L571" s="5">
        <f t="shared" ca="1" si="96"/>
        <v>0</v>
      </c>
      <c r="M571" s="64">
        <f t="shared" si="100"/>
        <v>0</v>
      </c>
      <c r="N571" s="61">
        <f t="shared" ca="1" si="101"/>
        <v>0</v>
      </c>
      <c r="O571" s="5">
        <f t="shared" ca="1" si="102"/>
        <v>0</v>
      </c>
      <c r="P571" s="446" t="e">
        <f t="shared" si="97"/>
        <v>#VALUE!</v>
      </c>
      <c r="Q571" s="446" t="e">
        <f>IF(OR($B571="",MIN(Q$38,$D$19)&lt;MAX($P$34*($B571+IF($R$17="Distrato",$I$38-1,0)),IF(AND($L$37=0,$P$34=0),"",$L$37-1),IF($R$17="Distrato",$E571,0))),0,YEARFRAC(MAX($P$34*($B571+IF($R$17="Distrato",$I$38-1,0)),IF(AND($L$37=0,$P$34=0),"",$L$37-1),IF($R$17="Distrato",$E571,0)),MIN(Q$38,$D$19),$P$20))-SUM($P571:P571)</f>
        <v>#VALUE!</v>
      </c>
      <c r="R571" s="446" t="e">
        <f>IF(OR($B571="",MIN(R$38,$D$19)&lt;MAX($P$34*($B571+IF($R$17="Distrato",$I$38-1,0)),IF(AND($L$37=0,$P$34=0),"",$L$37-1),IF($R$17="Distrato",$E571,0))),0,YEARFRAC(MAX($P$34*($B571+IF($R$17="Distrato",$I$38-1,0)),IF(AND($L$37=0,$P$34=0),"",$L$37-1),IF($R$17="Distrato",$E571,0)),MIN(R$38,$D$19),$P$20))-SUM($P571:Q571)</f>
        <v>#VALUE!</v>
      </c>
      <c r="S571" s="446" t="e">
        <f>IF(OR($B571="",MIN(S$38,$D$19)&lt;MAX($P$34*($B571+IF($R$17="Distrato",$I$38-1,0)),IF(AND($L$37=0,$P$34=0),"",$L$37-1),IF($R$17="Distrato",$E571,0))),0,YEARFRAC(MAX($P$34*($B571+IF($R$17="Distrato",$I$38-1,0)),IF(AND($L$37=0,$P$34=0),"",$L$37-1),IF($R$17="Distrato",$E571,0)),MIN(S$38,$D$19),$P$20))-SUM($P571:R571)</f>
        <v>#VALUE!</v>
      </c>
      <c r="T571" s="446" t="e">
        <f>IF(OR($B571="",MIN(T$38,$D$19)&lt;MAX($P$34*($B571+IF($R$17="Distrato",$I$38-1,0)),IF(AND($L$37=0,$P$34=0),"",$L$37-1),IF($R$17="Distrato",$E571,0))),0,YEARFRAC(MAX($P$34*($B571+IF($R$17="Distrato",$I$38-1,0)),IF(AND($L$37=0,$P$34=0),"",$L$37-1),IF($R$17="Distrato",$E571,0)),MIN(T$38,$D$19),$P$20))-SUM($P571:S571)</f>
        <v>#VALUE!</v>
      </c>
      <c r="U571" s="446" t="e">
        <f>IF(OR($B571="",MIN(U$38,$D$19)&lt;MAX($P$34*($B571+IF($R$17="Distrato",$I$38-1,0)),IF(AND($L$37=0,$P$34=0),"",$L$37-1),IF($R$17="Distrato",$E571,0))),0,YEARFRAC(MAX($P$34*($B571+IF($R$17="Distrato",$I$38-1,0)),IF(AND($L$37=0,$P$34=0),"",$L$37-1),IF($R$17="Distrato",$E571,0)),MIN(U$38,$D$19),$P$20))-SUM($P571:T571)</f>
        <v>#VALUE!</v>
      </c>
      <c r="V571" s="446" t="e">
        <f>IF(OR($B571="",MIN(V$38,$D$19)&lt;MAX($P$34*($B571+IF($R$17="Distrato",$I$38-1,0)),IF(AND($L$37=0,$P$34=0),"",$L$37-1),IF($R$17="Distrato",$E571,0))),0,YEARFRAC(MAX($P$34*($B571+IF($R$17="Distrato",$I$38-1,0)),IF(AND($L$37=0,$P$34=0),"",$L$37-1),IF($R$17="Distrato",$E571,0)),MIN(V$38,$D$19),$P$20))-SUM($P571:U571)</f>
        <v>#VALUE!</v>
      </c>
      <c r="W571" s="446" t="e">
        <f>IF(OR($B571="",MIN(W$38,$D$19)&lt;MAX($P$34*($B571+IF($R$17="Distrato",$I$38-1,0)),IF(AND($L$37=0,$P$34=0),"",$L$37-1),IF($R$17="Distrato",$E571,0))),0,YEARFRAC(MAX($P$34*($B571+IF($R$17="Distrato",$I$38-1,0)),IF(AND($L$37=0,$P$34=0),"",$L$37-1),IF($R$17="Distrato",$E571,0)),MIN(W$38,$D$19),$P$20))-SUM($P571:V571)</f>
        <v>#VALUE!</v>
      </c>
      <c r="X571" s="446" t="e">
        <f>IF(OR($B571="",MIN(X$38,$D$19)&lt;MAX($P$34*($B571+IF($R$17="Distrato",$I$38-1,0)),IF(AND($L$37=0,$P$34=0),"",$L$37-1),IF($R$17="Distrato",$E571,0))),0,YEARFRAC(MAX($P$34*($B571+IF($R$17="Distrato",$I$38-1,0)),IF(AND($L$37=0,$P$34=0),"",$L$37-1),IF($R$17="Distrato",$E571,0)),MIN(X$38,$D$19),$P$20))-SUM($P571:W571)</f>
        <v>#VALUE!</v>
      </c>
      <c r="Y571" s="446" t="e">
        <f>IF(OR($B571="",MIN(Y$38,$D$19)&lt;MAX($P$34*($B571+IF($R$17="Distrato",$I$38-1,0)),IF(AND($L$37=0,$P$34=0),"",$L$37-1),IF($R$17="Distrato",$E571,0))),0,YEARFRAC(MAX($P$34*($B571+IF($R$17="Distrato",$I$38-1,0)),IF(AND($L$37=0,$P$34=0),"",$L$37-1),IF($R$17="Distrato",$E571,0)),MIN(Y$38,$D$19),$P$20))-SUM($P571:X571)</f>
        <v>#VALUE!</v>
      </c>
      <c r="Z571" s="446" t="e">
        <f>IF(OR($B571="",MIN(Z$38,$D$19)&lt;MAX($P$34*($B571+IF($R$17="Distrato",$I$38-1,0)),IF(AND($L$37=0,$P$34=0),"",$L$37-1),IF($R$17="Distrato",$E571,0))),0,YEARFRAC(MAX($P$34*($B571+IF($R$17="Distrato",$I$38-1,0)),IF(AND($L$37=0,$P$34=0),"",$L$37-1),IF($R$17="Distrato",$E571,0)),MIN(Z$38,$D$19),$P$20))-SUM($P571:Y571)</f>
        <v>#VALUE!</v>
      </c>
      <c r="AA571" s="446" t="e">
        <f>IF(OR($B571="",MIN(AA$38,$D$19)&lt;MAX($P$34*($B571+IF($R$17="Distrato",$I$38-1,0)),IF(AND($L$37=0,$P$34=0),"",$L$37-1),IF($R$17="Distrato",$E571,0))),0,YEARFRAC(MAX($P$34*($B571+IF($R$17="Distrato",$I$38-1,0)),IF(AND($L$37=0,$P$34=0),"",$L$37-1),IF($R$17="Distrato",$E571,0)),MIN(AA$38,$D$19),$P$20))-SUM($P571:Z571)</f>
        <v>#VALUE!</v>
      </c>
      <c r="AB571" s="446" t="e">
        <f>IF(OR($B571="",MIN(AB$38,$D$19)&lt;MAX($P$34*($B571+IF($R$17="Distrato",$I$38-1,0)),IF(AND($L$37=0,$P$34=0),"",$L$37-1),IF($R$17="Distrato",$E571,0))),0,YEARFRAC(MAX($P$34*($B571+IF($R$17="Distrato",$I$38-1,0)),IF(AND($L$37=0,$P$34=0),"",$L$37-1),IF($R$17="Distrato",$E571,0)),MIN(AB$38,$D$19),$P$20))-SUM($P571:AA571)</f>
        <v>#VALUE!</v>
      </c>
      <c r="AC571" s="446" t="e">
        <f>IF(OR($B571="",MIN(AC$38,$D$19)&lt;MAX($P$34*($B571+IF($R$17="Distrato",$I$38-1,0)),IF(AND($L$37=0,$P$34=0),"",$L$37-1),IF($R$17="Distrato",$E571,0))),0,YEARFRAC(MAX($P$34*($B571+IF($R$17="Distrato",$I$38-1,0)),IF(AND($L$37=0,$P$34=0),"",$L$37-1),IF($R$17="Distrato",$E571,0)),MIN(AC$38,$D$19),$P$20))-SUM($P571:AB571)</f>
        <v>#VALUE!</v>
      </c>
      <c r="AD571" s="446" t="e">
        <f>IF(OR($B571="",MIN(AD$38,$D$19)&lt;MAX($P$34*($B571+IF($R$17="Distrato",$I$38-1,0)),IF(AND($L$37=0,$P$34=0),"",$L$37-1),IF($R$17="Distrato",$E571,0))),0,YEARFRAC(MAX($P$34*($B571+IF($R$17="Distrato",$I$38-1,0)),IF(AND($L$37=0,$P$34=0),"",$L$37-1),IF($R$17="Distrato",$E571,0)),MIN(AD$38,$D$19),$P$20))-SUM($P571:AC571)</f>
        <v>#VALUE!</v>
      </c>
      <c r="AE571" s="446" t="e">
        <f>IF(OR($B571="",MIN(AE$38,$D$19)&lt;MAX($P$34*($B571+IF($R$17="Distrato",$I$38-1,0)),IF(AND($L$37=0,$P$34=0),"",$L$37-1),IF($R$17="Distrato",$E571,0))),0,YEARFRAC(MAX($P$34*($B571+IF($R$17="Distrato",$I$38-1,0)),IF(AND($L$37=0,$P$34=0),"",$L$37-1),IF($R$17="Distrato",$E571,0)),MIN(AE$38,$D$19),$P$20))-SUM($P571:AD571)</f>
        <v>#VALUE!</v>
      </c>
      <c r="AF571" s="446" t="e">
        <f>IF(OR($B571="",MIN(AF$38,$D$19)&lt;MAX($P$34*($B571+IF($R$17="Distrato",$I$38-1,0)),IF(AND($L$37=0,$P$34=0),"",$L$37-1),IF($R$17="Distrato",$E571,0))),0,YEARFRAC(MAX($P$34*($B571+IF($R$17="Distrato",$I$38-1,0)),IF(AND($L$37=0,$P$34=0),"",$L$37-1),IF($R$17="Distrato",$E571,0)),MIN(AF$38,$D$19),$P$20))-SUM($P571:AE571)</f>
        <v>#VALUE!</v>
      </c>
      <c r="AG571" s="446" t="e">
        <f>IF(OR($B571="",MIN(AG$38,$D$19)&lt;MAX($P$34*($B571+IF($R$17="Distrato",$I$38-1,0)),IF(AND($L$37=0,$P$34=0),"",$L$37-1),IF($R$17="Distrato",$E571,0))),0,YEARFRAC(MAX($P$34*($B571+IF($R$17="Distrato",$I$38-1,0)),IF(AND($L$37=0,$P$34=0),"",$L$37-1),IF($R$17="Distrato",$E571,0)),MIN(AG$38,$D$19),$P$20))-SUM($P571:AF571)</f>
        <v>#VALUE!</v>
      </c>
      <c r="AH571" s="446" t="e">
        <f>IF(OR($B571="",MIN(AH$38,$D$19)&lt;MAX($P$34*($B571+IF($R$17="Distrato",$I$38-1,0)),IF(AND($L$37=0,$P$34=0),"",$L$37-1),IF($R$17="Distrato",$E571,0))),0,YEARFRAC(MAX($P$34*($B571+IF($R$17="Distrato",$I$38-1,0)),IF(AND($L$37=0,$P$34=0),"",$L$37-1),IF($R$17="Distrato",$E571,0)),MIN(AH$38,$D$19),$P$20))-SUM($P571:AG571)</f>
        <v>#VALUE!</v>
      </c>
      <c r="AI571" s="446" t="e">
        <f>IF(OR($B571="",MIN(AI$38,$D$19)&lt;MAX($P$34*($B571+IF($R$17="Distrato",$I$38-1,0)),IF(AND($L$37=0,$P$34=0),"",$L$37-1),IF($R$17="Distrato",$E571,0))),0,YEARFRAC(MAX($P$34*($B571+IF($R$17="Distrato",$I$38-1,0)),IF(AND($L$37=0,$P$34=0),"",$L$37-1),IF($R$17="Distrato",$E571,0)),MIN(AI$38,$D$19),$P$20))-SUM($P571:AH571)</f>
        <v>#VALUE!</v>
      </c>
      <c r="AJ571" s="446" t="e">
        <f>IF(OR($B571="",MIN(AJ$38,$D$19)&lt;MAX($P$34*($B571+IF($R$17="Distrato",$I$38-1,0)),IF(AND($L$37=0,$P$34=0),"",$L$37-1),IF($R$17="Distrato",$E571,0))),0,YEARFRAC(MAX($P$34*($B571+IF($R$17="Distrato",$I$38-1,0)),IF(AND($L$37=0,$P$34=0),"",$L$37-1),IF($R$17="Distrato",$E571,0)),MIN(AJ$38,$D$19),$P$20))-SUM($P571:AI571)</f>
        <v>#VALUE!</v>
      </c>
      <c r="AK571" s="446" t="e">
        <f>IF(OR($B571="",MIN(AK$38,$D$19)&lt;MAX($P$34*($B571+IF($R$17="Distrato",$I$38-1,0)),IF(AND($L$37=0,$P$34=0),"",$L$37-1),IF($R$17="Distrato",$E571,0))),0,YEARFRAC(MAX($P$34*($B571+IF($R$17="Distrato",$I$38-1,0)),IF(AND($L$37=0,$P$34=0),"",$L$37-1),IF($R$17="Distrato",$E571,0)),MIN(AK$38,$D$19),$P$20))-SUM($P571:AJ571)</f>
        <v>#VALUE!</v>
      </c>
      <c r="AL571" s="446" t="e">
        <f>IF(OR($B571="",MIN(AL$38,$D$19)&lt;MAX($P$34*($B571+IF($R$17="Distrato",$I$38-1,0)),IF(AND($L$37=0,$P$34=0),"",$L$37-1),IF($R$17="Distrato",$E571,0))),0,YEARFRAC(MAX($P$34*($B571+IF($R$17="Distrato",$I$38-1,0)),IF(AND($L$37=0,$P$34=0),"",$L$37-1),IF($R$17="Distrato",$E571,0)),MIN(AL$38,$D$19),$P$20))-SUM($P571:AK571)</f>
        <v>#VALUE!</v>
      </c>
      <c r="AM571" s="446" t="e">
        <f>IF(OR($B571="",MIN(AM$38,$D$19)&lt;MAX($P$34*($B571+IF($R$17="Distrato",$I$38-1,0)),IF(AND($L$37=0,$P$34=0),"",$L$37-1),IF($R$17="Distrato",$E571,0))),0,YEARFRAC(MAX($P$34*($B571+IF($R$17="Distrato",$I$38-1,0)),IF(AND($L$37=0,$P$34=0),"",$L$37-1),IF($R$17="Distrato",$E571,0)),MIN(AM$38,$D$19),$P$20))-SUM($P571:AL571)</f>
        <v>#VALUE!</v>
      </c>
      <c r="AN571" s="446" t="e">
        <f>IF(OR($B571="",MIN(AN$38,$D$19)&lt;MAX($P$34*($B571+IF($R$17="Distrato",$I$38-1,0)),IF(AND($L$37=0,$P$34=0),"",$L$37-1),IF($R$17="Distrato",$E571,0))),0,YEARFRAC(MAX($P$34*($B571+IF($R$17="Distrato",$I$38-1,0)),IF(AND($L$37=0,$P$34=0),"",$L$37-1),IF($R$17="Distrato",$E571,0)),MIN(AN$38,$D$19),$P$20))-SUM($P571:AM571)</f>
        <v>#VALUE!</v>
      </c>
      <c r="AO571" s="446" t="e">
        <f>IF(OR($B571="",MIN(AO$38,$D$19)&lt;MAX($P$34*($B571+IF($R$17="Distrato",$I$38-1,0)),IF(AND($L$37=0,$P$34=0),"",$L$37-1),IF($R$17="Distrato",$E571,0))),0,YEARFRAC(MAX($P$34*($B571+IF($R$17="Distrato",$I$38-1,0)),IF(AND($L$37=0,$P$34=0),"",$L$37-1),IF($R$17="Distrato",$E571,0)),MIN(AO$38,$D$19),$P$20))-SUM($P571:AN571)</f>
        <v>#VALUE!</v>
      </c>
      <c r="AP571" s="446" t="e">
        <f>IF(OR($B571="",MIN(AP$38,$D$19)&lt;MAX($P$34*($B571+IF($R$17="Distrato",$I$38-1,0)),IF(AND($L$37=0,$P$34=0),"",$L$37-1),IF($R$17="Distrato",$E571,0))),0,YEARFRAC(MAX($P$34*($B571+IF($R$17="Distrato",$I$38-1,0)),IF(AND($L$37=0,$P$34=0),"",$L$37-1),IF($R$17="Distrato",$E571,0)),MIN(AP$38,$D$19),$P$20))-SUM($P571:AO571)</f>
        <v>#VALUE!</v>
      </c>
      <c r="AQ571" s="446" t="e">
        <f>IF(OR($B571="",MIN(AQ$38,$D$19)&lt;MAX($P$34*($B571+IF($R$17="Distrato",$I$38-1,0)),IF(AND($L$37=0,$P$34=0),"",$L$37-1),IF($R$17="Distrato",$E571,0))),0,YEARFRAC(MAX($P$34*($B571+IF($R$17="Distrato",$I$38-1,0)),IF(AND($L$37=0,$P$34=0),"",$L$37-1),IF($R$17="Distrato",$E571,0)),MIN(AQ$38,$D$19),$P$20))-SUM($P571:AP571)</f>
        <v>#VALUE!</v>
      </c>
      <c r="AR571" s="446" t="e">
        <f>IF(OR($B571="",MIN(AR$38,$D$19)&lt;MAX($P$34*($B571+IF($R$17="Distrato",$I$38-1,0)),IF(AND($L$37=0,$P$34=0),"",$L$37-1),IF($R$17="Distrato",$E571,0))),0,YEARFRAC(MAX($P$34*($B571+IF($R$17="Distrato",$I$38-1,0)),IF(AND($L$37=0,$P$34=0),"",$L$37-1),IF($R$17="Distrato",$E571,0)),MIN(AR$38,$D$19),$P$20))-SUM($P571:AQ571)</f>
        <v>#VALUE!</v>
      </c>
      <c r="AS571" s="446" t="e">
        <f>IF(OR($B571="",MIN(AS$38,$D$19)&lt;MAX($P$34*($B571+IF($R$17="Distrato",$I$38-1,0)),IF(AND($L$37=0,$P$34=0),"",$L$37-1),IF($R$17="Distrato",$E571,0))),0,YEARFRAC(MAX($P$34*($B571+IF($R$17="Distrato",$I$38-1,0)),IF(AND($L$37=0,$P$34=0),"",$L$37-1),IF($R$17="Distrato",$E571,0)),MIN(AS$38,$D$19),$P$20))-SUM($P571:AR571)</f>
        <v>#VALUE!</v>
      </c>
      <c r="AT571" s="446" t="e">
        <f>IF(OR($B571="",MIN(AT$38,$D$19)&lt;MAX($P$34*($B571+IF($R$17="Distrato",$I$38-1,0)),IF(AND($L$37=0,$P$34=0),"",$L$37-1),IF($R$17="Distrato",$E571,0))),0,YEARFRAC(MAX($P$34*($B571+IF($R$17="Distrato",$I$38-1,0)),IF(AND($L$37=0,$P$34=0),"",$L$37-1),IF($R$17="Distrato",$E571,0)),MIN(AT$38,$D$19),$P$20))-SUM($P571:AS571)</f>
        <v>#VALUE!</v>
      </c>
      <c r="AU571" s="446" t="e">
        <f>IF(OR($B571="",MIN(AU$38,$D$19)&lt;MAX($P$34*($B571+IF($R$17="Distrato",$I$38-1,0)),IF(AND($L$37=0,$P$34=0),"",$L$37-1),IF($R$17="Distrato",$E571,0))),0,YEARFRAC(MAX($P$34*($B571+IF($R$17="Distrato",$I$38-1,0)),IF(AND($L$37=0,$P$34=0),"",$L$37-1),IF($R$17="Distrato",$E571,0)),MIN(AU$38,$D$19),$P$20))-SUM($P571:AT571)</f>
        <v>#VALUE!</v>
      </c>
      <c r="AV571" s="446" t="e">
        <f>IF(OR($B571="",MIN(AV$38,$D$19)&lt;MAX($P$34*($B571+IF($R$17="Distrato",$I$38-1,0)),IF(AND($L$37=0,$P$34=0),"",$L$37-1),IF($R$17="Distrato",$E571,0))),0,YEARFRAC(MAX($P$34*($B571+IF($R$17="Distrato",$I$38-1,0)),IF(AND($L$37=0,$P$34=0),"",$L$37-1),IF($R$17="Distrato",$E571,0)),MIN(AV$38,$D$19),$P$20))-SUM($P571:AU571)</f>
        <v>#VALUE!</v>
      </c>
      <c r="AW571" s="446" t="e">
        <f>IF(OR($B571="",MIN(AW$38,$D$19)&lt;MAX($P$34*($B571+IF($R$17="Distrato",$I$38-1,0)),IF(AND($L$37=0,$P$34=0),"",$L$37-1),IF($R$17="Distrato",$E571,0))),0,YEARFRAC(MAX($P$34*($B571+IF($R$17="Distrato",$I$38-1,0)),IF(AND($L$37=0,$P$34=0),"",$L$37-1),IF($R$17="Distrato",$E571,0)),MIN(AW$38,$D$19),$P$20))-SUM($P571:AV571)</f>
        <v>#VALUE!</v>
      </c>
      <c r="AX571" s="446" t="e">
        <f>IF(OR($B571="",MIN(AX$38,$D$19)&lt;MAX($P$34*($B571+IF($R$17="Distrato",$I$38-1,0)),IF(AND($L$37=0,$P$34=0),"",$L$37-1),IF($R$17="Distrato",$E571,0))),0,YEARFRAC(MAX($P$34*($B571+IF($R$17="Distrato",$I$38-1,0)),IF(AND($L$37=0,$P$34=0),"",$L$37-1),IF($R$17="Distrato",$E571,0)),MIN(AX$38,$D$19),$P$20))-SUM($P571:AW571)</f>
        <v>#VALUE!</v>
      </c>
      <c r="AY571" s="446" t="e">
        <f>IF(OR($B571="",MIN(AY$38,$D$19)&lt;MAX($P$34*($B571+IF($R$17="Distrato",$I$38-1,0)),IF(AND($L$37=0,$P$34=0),"",$L$37-1),IF($R$17="Distrato",$E571,0))),0,YEARFRAC(MAX($P$34*($B571+IF($R$17="Distrato",$I$38-1,0)),IF(AND($L$37=0,$P$34=0),"",$L$37-1),IF($R$17="Distrato",$E571,0)),MIN(AY$38,$D$19),$P$20))-SUM($P571:AX571)</f>
        <v>#VALUE!</v>
      </c>
      <c r="AZ571" s="446" t="e">
        <f>IF(OR($B571="",MIN(AZ$38,$D$19)&lt;MAX($P$34*($B571+IF($R$17="Distrato",$I$38-1,0)),IF(AND($L$37=0,$P$34=0),"",$L$37-1),IF($R$17="Distrato",$E571,0))),0,YEARFRAC(MAX($P$34*($B571+IF($R$17="Distrato",$I$38-1,0)),IF(AND($L$37=0,$P$34=0),"",$L$37-1),IF($R$17="Distrato",$E571,0)),MIN(AZ$38,$D$19),$P$20))-SUM($P571:AY571)</f>
        <v>#VALUE!</v>
      </c>
      <c r="BA571" s="446" t="e">
        <f>IF(OR($B571="",MIN(BA$38,$D$19)&lt;MAX($P$34*($B571+IF($R$17="Distrato",$I$38-1,0)),IF(AND($L$37=0,$P$34=0),"",$L$37-1),IF($R$17="Distrato",$E571,0))),0,YEARFRAC(MAX($P$34*($B571+IF($R$17="Distrato",$I$38-1,0)),IF(AND($L$37=0,$P$34=0),"",$L$37-1),IF($R$17="Distrato",$E571,0)),MIN(BA$38,$D$19),$P$20))-SUM($P571:AZ571)</f>
        <v>#VALUE!</v>
      </c>
      <c r="BB571" s="447"/>
      <c r="BF571" s="446">
        <f t="shared" si="98"/>
        <v>0</v>
      </c>
      <c r="BG571" s="446">
        <f>IF($E571=0,0,IF(MIN(BG$38,$E571)&lt;MAX($P$34*($B571+$I$38-1),IF(AND($L$37=0,$P$34=0),"",$L$37-1)),0,YEARFRAC(MAX($P$34*($B571+$I$38-1),IF(AND($L$37=0,$P$34=0),"",$L$37-1)),MIN(BG$38,$E571),$P$20))-SUM($BF571:BF571))</f>
        <v>0</v>
      </c>
      <c r="BH571" s="446">
        <f>IF($E571=0,0,IF(MIN(BH$38,$E571)&lt;MAX($P$34*($B571+$I$38-1),IF(AND($L$37=0,$P$34=0),"",$L$37-1)),0,YEARFRAC(MAX($P$34*($B571+$I$38-1),IF(AND($L$37=0,$P$34=0),"",$L$37-1)),MIN(BH$38,$E571),$P$20))-SUM($BF571:BG571))</f>
        <v>0</v>
      </c>
      <c r="BI571" s="446">
        <f>IF($E571=0,0,IF(MIN(BI$38,$E571)&lt;MAX($P$34*($B571+$I$38-1),IF(AND($L$37=0,$P$34=0),"",$L$37-1)),0,YEARFRAC(MAX($P$34*($B571+$I$38-1),IF(AND($L$37=0,$P$34=0),"",$L$37-1)),MIN(BI$38,$E571),$P$20))-SUM($BF571:BH571))</f>
        <v>0</v>
      </c>
      <c r="BJ571" s="446">
        <f>IF($E571=0,0,IF(MIN(BJ$38,$E571)&lt;MAX($P$34*($B571+$I$38-1),IF(AND($L$37=0,$P$34=0),"",$L$37-1)),0,YEARFRAC(MAX($P$34*($B571+$I$38-1),IF(AND($L$37=0,$P$34=0),"",$L$37-1)),MIN(BJ$38,$E571),$P$20))-SUM($BF571:BI571))</f>
        <v>0</v>
      </c>
      <c r="BK571" s="446">
        <f>IF($E571=0,0,IF(MIN(BK$38,$E571)&lt;MAX($P$34*($B571+$I$38-1),IF(AND($L$37=0,$P$34=0),"",$L$37-1)),0,YEARFRAC(MAX($P$34*($B571+$I$38-1),IF(AND($L$37=0,$P$34=0),"",$L$37-1)),MIN(BK$38,$E571),$P$20))-SUM($BF571:BJ571))</f>
        <v>0</v>
      </c>
      <c r="BL571" s="446">
        <f>IF($E571=0,0,IF(MIN(BL$38,$E571)&lt;MAX($P$34*($B571+$I$38-1),IF(AND($L$37=0,$P$34=0),"",$L$37-1)),0,YEARFRAC(MAX($P$34*($B571+$I$38-1),IF(AND($L$37=0,$P$34=0),"",$L$37-1)),MIN(BL$38,$E571),$P$20))-SUM($BF571:BK571))</f>
        <v>0</v>
      </c>
      <c r="BM571" s="446">
        <f>IF($E571=0,0,IF(MIN(BM$38,$E571)&lt;MAX($P$34*($B571+$I$38-1),IF(AND($L$37=0,$P$34=0),"",$L$37-1)),0,YEARFRAC(MAX($P$34*($B571+$I$38-1),IF(AND($L$37=0,$P$34=0),"",$L$37-1)),MIN(BM$38,$E571),$P$20))-SUM($BF571:BL571))</f>
        <v>0</v>
      </c>
      <c r="BN571" s="446">
        <f>IF($E571=0,0,IF(MIN(BN$38,$E571)&lt;MAX($P$34*($B571+$I$38-1),IF(AND($L$37=0,$P$34=0),"",$L$37-1)),0,YEARFRAC(MAX($P$34*($B571+$I$38-1),IF(AND($L$37=0,$P$34=0),"",$L$37-1)),MIN(BN$38,$E571),$P$20))-SUM($BF571:BM571))</f>
        <v>0</v>
      </c>
      <c r="BO571" s="446">
        <f>IF($E571=0,0,IF(MIN(BO$38,$E571)&lt;MAX($P$34*($B571+$I$38-1),IF(AND($L$37=0,$P$34=0),"",$L$37-1)),0,YEARFRAC(MAX($P$34*($B571+$I$38-1),IF(AND($L$37=0,$P$34=0),"",$L$37-1)),MIN(BO$38,$E571),$P$20))-SUM($BF571:BN571))</f>
        <v>0</v>
      </c>
      <c r="BP571" s="446">
        <f>IF($E571=0,0,IF(MIN(BP$38,$E571)&lt;MAX($P$34*($B571+$I$38-1),IF(AND($L$37=0,$P$34=0),"",$L$37-1)),0,YEARFRAC(MAX($P$34*($B571+$I$38-1),IF(AND($L$37=0,$P$34=0),"",$L$37-1)),MIN(BP$38,$E571),$P$20))-SUM($BF571:BO571))</f>
        <v>0</v>
      </c>
      <c r="BQ571" s="446">
        <f>IF($E571=0,0,IF(MIN(BQ$38,$E571)&lt;MAX($P$34*($B571+$I$38-1),IF(AND($L$37=0,$P$34=0),"",$L$37-1)),0,YEARFRAC(MAX($P$34*($B571+$I$38-1),IF(AND($L$37=0,$P$34=0),"",$L$37-1)),MIN(BQ$38,$E571),$P$20))-SUM($BF571:BP571))</f>
        <v>0</v>
      </c>
      <c r="BR571" s="446">
        <f>IF($E571=0,0,IF(MIN(BR$38,$E571)&lt;MAX($P$34*($B571+$I$38-1),IF(AND($L$37=0,$P$34=0),"",$L$37-1)),0,YEARFRAC(MAX($P$34*($B571+$I$38-1),IF(AND($L$37=0,$P$34=0),"",$L$37-1)),MIN(BR$38,$E571),$P$20))-SUM($BF571:BQ571))</f>
        <v>0</v>
      </c>
      <c r="BS571" s="446">
        <f>IF($E571=0,0,IF(MIN(BS$38,$E571)&lt;MAX($P$34*($B571+$I$38-1),IF(AND($L$37=0,$P$34=0),"",$L$37-1)),0,YEARFRAC(MAX($P$34*($B571+$I$38-1),IF(AND($L$37=0,$P$34=0),"",$L$37-1)),MIN(BS$38,$E571),$P$20))-SUM($BF571:BR571))</f>
        <v>0</v>
      </c>
      <c r="BT571" s="446">
        <f>IF($E571=0,0,IF(MIN(BT$38,$E571)&lt;MAX($P$34*($B571+$I$38-1),IF(AND($L$37=0,$P$34=0),"",$L$37-1)),0,YEARFRAC(MAX($P$34*($B571+$I$38-1),IF(AND($L$37=0,$P$34=0),"",$L$37-1)),MIN(BT$38,$E571),$P$20))-SUM($BF571:BS571))</f>
        <v>0</v>
      </c>
      <c r="BU571" s="446">
        <f>IF($E571=0,0,IF(MIN(BU$38,$E571)&lt;MAX($P$34*($B571+$I$38-1),IF(AND($L$37=0,$P$34=0),"",$L$37-1)),0,YEARFRAC(MAX($P$34*($B571+$I$38-1),IF(AND($L$37=0,$P$34=0),"",$L$37-1)),MIN(BU$38,$E571),$P$20))-SUM($BF571:BT571))</f>
        <v>0</v>
      </c>
      <c r="BV571" s="446">
        <f>IF($E571=0,0,IF(MIN(BV$38,$E571)&lt;MAX($P$34*($B571+$I$38-1),IF(AND($L$37=0,$P$34=0),"",$L$37-1)),0,YEARFRAC(MAX($P$34*($B571+$I$38-1),IF(AND($L$37=0,$P$34=0),"",$L$37-1)),MIN(BV$38,$E571),$P$20))-SUM($BF571:BU571))</f>
        <v>0</v>
      </c>
      <c r="BW571" s="446">
        <f>IF($E571=0,0,IF(MIN(BW$38,$E571)&lt;MAX($P$34*($B571+$I$38-1),IF(AND($L$37=0,$P$34=0),"",$L$37-1)),0,YEARFRAC(MAX($P$34*($B571+$I$38-1),IF(AND($L$37=0,$P$34=0),"",$L$37-1)),MIN(BW$38,$E571),$P$20))-SUM($BF571:BV571))</f>
        <v>0</v>
      </c>
      <c r="BX571" s="446">
        <f>IF($E571=0,0,IF(MIN(BX$38,$E571)&lt;MAX($P$34*($B571+$I$38-1),IF(AND($L$37=0,$P$34=0),"",$L$37-1)),0,YEARFRAC(MAX($P$34*($B571+$I$38-1),IF(AND($L$37=0,$P$34=0),"",$L$37-1)),MIN(BX$38,$E571),$P$20))-SUM($BF571:BW571))</f>
        <v>0</v>
      </c>
      <c r="BY571" s="446">
        <f>IF($E571=0,0,IF(MIN(BY$38,$E571)&lt;MAX($P$34*($B571+$I$38-1),IF(AND($L$37=0,$P$34=0),"",$L$37-1)),0,YEARFRAC(MAX($P$34*($B571+$I$38-1),IF(AND($L$37=0,$P$34=0),"",$L$37-1)),MIN(BY$38,$E571),$P$20))-SUM($BF571:BX571))</f>
        <v>0</v>
      </c>
      <c r="BZ571" s="446">
        <f>IF($E571=0,0,IF(MIN(BZ$38,$E571)&lt;MAX($P$34*($B571+$I$38-1),IF(AND($L$37=0,$P$34=0),"",$L$37-1)),0,YEARFRAC(MAX($P$34*($B571+$I$38-1),IF(AND($L$37=0,$P$34=0),"",$L$37-1)),MIN(BZ$38,$E571),$P$20))-SUM($BF571:BY571))</f>
        <v>0</v>
      </c>
      <c r="CA571" s="446">
        <f>IF($E571=0,0,IF(MIN(CA$38,$E571)&lt;MAX($P$34*($B571+$I$38-1),IF(AND($L$37=0,$P$34=0),"",$L$37-1)),0,YEARFRAC(MAX($P$34*($B571+$I$38-1),IF(AND($L$37=0,$P$34=0),"",$L$37-1)),MIN(CA$38,$E571),$P$20))-SUM($BF571:BZ571))</f>
        <v>0</v>
      </c>
      <c r="CB571" s="446">
        <f>IF($E571=0,0,IF(MIN(CB$38,$E571)&lt;MAX($P$34*($B571+$I$38-1),IF(AND($L$37=0,$P$34=0),"",$L$37-1)),0,YEARFRAC(MAX($P$34*($B571+$I$38-1),IF(AND($L$37=0,$P$34=0),"",$L$37-1)),MIN(CB$38,$E571),$P$20))-SUM($BF571:CA571))</f>
        <v>0</v>
      </c>
      <c r="CC571" s="446">
        <f>IF($E571=0,0,IF(MIN(CC$38,$E571)&lt;MAX($P$34*($B571+$I$38-1),IF(AND($L$37=0,$P$34=0),"",$L$37-1)),0,YEARFRAC(MAX($P$34*($B571+$I$38-1),IF(AND($L$37=0,$P$34=0),"",$L$37-1)),MIN(CC$38,$E571),$P$20))-SUM($BF571:CB571))</f>
        <v>0</v>
      </c>
      <c r="CD571" s="446">
        <f>IF($E571=0,0,IF(MIN(CD$38,$E571)&lt;MAX($P$34*($B571+$I$38-1),IF(AND($L$37=0,$P$34=0),"",$L$37-1)),0,YEARFRAC(MAX($P$34*($B571+$I$38-1),IF(AND($L$37=0,$P$34=0),"",$L$37-1)),MIN(CD$38,$E571),$P$20))-SUM($BF571:CC571))</f>
        <v>0</v>
      </c>
      <c r="CE571" s="446">
        <f>IF($E571=0,0,IF(MIN(CE$38,$E571)&lt;MAX($P$34*($B571+$I$38-1),IF(AND($L$37=0,$P$34=0),"",$L$37-1)),0,YEARFRAC(MAX($P$34*($B571+$I$38-1),IF(AND($L$37=0,$P$34=0),"",$L$37-1)),MIN(CE$38,$E571),$P$20))-SUM($BF571:CD571))</f>
        <v>0</v>
      </c>
      <c r="CF571" s="446">
        <f>IF($E571=0,0,IF(MIN(CF$38,$E571)&lt;MAX($P$34*($B571+$I$38-1),IF(AND($L$37=0,$P$34=0),"",$L$37-1)),0,YEARFRAC(MAX($P$34*($B571+$I$38-1),IF(AND($L$37=0,$P$34=0),"",$L$37-1)),MIN(CF$38,$E571),$P$20))-SUM($BF571:CE571))</f>
        <v>0</v>
      </c>
      <c r="CG571" s="446">
        <f>IF($E571=0,0,IF(MIN(CG$38,$E571)&lt;MAX($P$34*($B571+$I$38-1),IF(AND($L$37=0,$P$34=0),"",$L$37-1)),0,YEARFRAC(MAX($P$34*($B571+$I$38-1),IF(AND($L$37=0,$P$34=0),"",$L$37-1)),MIN(CG$38,$E571),$P$20))-SUM($BF571:CF571))</f>
        <v>0</v>
      </c>
      <c r="CH571" s="446">
        <f>IF($E571=0,0,IF(MIN(CH$38,$E571)&lt;MAX($P$34*($B571+$I$38-1),IF(AND($L$37=0,$P$34=0),"",$L$37-1)),0,YEARFRAC(MAX($P$34*($B571+$I$38-1),IF(AND($L$37=0,$P$34=0),"",$L$37-1)),MIN(CH$38,$E571),$P$20))-SUM($BF571:CG571))</f>
        <v>0</v>
      </c>
      <c r="CI571" s="446">
        <f>IF($E571=0,0,IF(MIN(CI$38,$E571)&lt;MAX($P$34*($B571+$I$38-1),IF(AND($L$37=0,$P$34=0),"",$L$37-1)),0,YEARFRAC(MAX($P$34*($B571+$I$38-1),IF(AND($L$37=0,$P$34=0),"",$L$37-1)),MIN(CI$38,$E571),$P$20))-SUM($BF571:CH571))</f>
        <v>0</v>
      </c>
      <c r="CJ571" s="446">
        <f>IF($E571=0,0,IF(MIN(CJ$38,$E571)&lt;MAX($P$34*($B571+$I$38-1),IF(AND($L$37=0,$P$34=0),"",$L$37-1)),0,YEARFRAC(MAX($P$34*($B571+$I$38-1),IF(AND($L$37=0,$P$34=0),"",$L$37-1)),MIN(CJ$38,$E571),$P$20))-SUM($BF571:CI571))</f>
        <v>0</v>
      </c>
      <c r="CK571" s="446">
        <f>IF($E571=0,0,IF(MIN(CK$38,$E571)&lt;MAX($P$34*($B571+$I$38-1),IF(AND($L$37=0,$P$34=0),"",$L$37-1)),0,YEARFRAC(MAX($P$34*($B571+$I$38-1),IF(AND($L$37=0,$P$34=0),"",$L$37-1)),MIN(CK$38,$E571),$P$20))-SUM($BF571:CJ571))</f>
        <v>0</v>
      </c>
      <c r="CL571" s="446">
        <f>IF($E571=0,0,IF(MIN(CL$38,$E571)&lt;MAX($P$34*($B571+$I$38-1),IF(AND($L$37=0,$P$34=0),"",$L$37-1)),0,YEARFRAC(MAX($P$34*($B571+$I$38-1),IF(AND($L$37=0,$P$34=0),"",$L$37-1)),MIN(CL$38,$E571),$P$20))-SUM($BF571:CK571))</f>
        <v>0</v>
      </c>
      <c r="CM571" s="446">
        <f>IF($E571=0,0,IF(MIN(CM$38,$E571)&lt;MAX($P$34*($B571+$I$38-1),IF(AND($L$37=0,$P$34=0),"",$L$37-1)),0,YEARFRAC(MAX($P$34*($B571+$I$38-1),IF(AND($L$37=0,$P$34=0),"",$L$37-1)),MIN(CM$38,$E571),$P$20))-SUM($BF571:CL571))</f>
        <v>0</v>
      </c>
      <c r="CN571" s="446">
        <f>IF($E571=0,0,IF(MIN(CN$38,$E571)&lt;MAX($P$34*($B571+$I$38-1),IF(AND($L$37=0,$P$34=0),"",$L$37-1)),0,YEARFRAC(MAX($P$34*($B571+$I$38-1),IF(AND($L$37=0,$P$34=0),"",$L$37-1)),MIN(CN$38,$E571),$P$20))-SUM($BF571:CM571))</f>
        <v>0</v>
      </c>
      <c r="CO571" s="446">
        <f>IF($E571=0,0,IF(MIN(CO$38,$E571)&lt;MAX($P$34*($B571+$I$38-1),IF(AND($L$37=0,$P$34=0),"",$L$37-1)),0,YEARFRAC(MAX($P$34*($B571+$I$38-1),IF(AND($L$37=0,$P$34=0),"",$L$37-1)),MIN(CO$38,$E571),$P$20))-SUM($BF571:CN571))</f>
        <v>0</v>
      </c>
      <c r="CP571" s="446">
        <f>IF($E571=0,0,IF(MIN(CP$38,$E571)&lt;MAX($P$34*($B571+$I$38-1),IF(AND($L$37=0,$P$34=0),"",$L$37-1)),0,YEARFRAC(MAX($P$34*($B571+$I$38-1),IF(AND($L$37=0,$P$34=0),"",$L$37-1)),MIN(CP$38,$E571),$P$20))-SUM($BF571:CO571))</f>
        <v>0</v>
      </c>
      <c r="CQ571" s="446">
        <f>IF($E571=0,0,IF(MIN(CQ$38,$E571)&lt;MAX($P$34*($B571+$I$38-1),IF(AND($L$37=0,$P$34=0),"",$L$37-1)),0,YEARFRAC(MAX($P$34*($B571+$I$38-1),IF(AND($L$37=0,$P$34=0),"",$L$37-1)),MIN(CQ$38,$E571),$P$20))-SUM($BF571:CP571))</f>
        <v>0</v>
      </c>
    </row>
    <row r="572" spans="1:95" s="446" customFormat="1" ht="11.25" hidden="1" customHeight="1" x14ac:dyDescent="0.2">
      <c r="A572" s="152"/>
      <c r="B572" s="153" t="str">
        <f t="shared" si="103"/>
        <v/>
      </c>
      <c r="C572" s="29" t="str">
        <f>IF(B572="","",IF($L$35="SELIC - TRIBUTOS",VLOOKUP(DATE(YEAR($D$19),MONTH($D$19)-1,1),ÍNDICES!$A:$DE,HLOOKUP($BL$25,ÍNDICES!$B$3:$T$4,2)+11)-VLOOKUP(B572,ÍNDICES!$A:$DE,HLOOKUP($BL$25,ÍNDICES!$B$3:$T$4,2)+11)+1%,IF(C$38=$W$26,$J$35,IF(ISERROR(IF(B572&gt;$D$19,1,VLOOKUP(DATE(YEAR(B572),MONTH(B572)+IF($C$35=$S$23,1,0),1),ÍNDICES!$A:$DE,$Z$35+1))),"",IF(B572&gt;$D$19,1,VLOOKUP(DATE(YEAR(B572),MONTH(B572)+IF($C$35=$S$23,1,0),1),ÍNDICES!$A:$DE,$Z$35+1))))))</f>
        <v/>
      </c>
      <c r="D572" s="154" t="str">
        <f>IF(ISERROR(IF(OR($D$38=$Y$27,$B572=""),"",VLOOKUP(B572,ÍNDICES!A:DE,AF$35+1))),"",IF(OR($D$38=$Y$27,$B572=""),"",VLOOKUP(B572,ÍNDICES!A:DE,AF$35+1)))</f>
        <v/>
      </c>
      <c r="E572" s="153"/>
      <c r="F572" s="29" t="str">
        <f>IF(E572="","",IF($L$35="SELIC - TRIBUTOS",VLOOKUP(DATE(YEAR($D$19),MONTH($D$19)-1,1),ÍNDICES!$A:$DE,HLOOKUP($BL$25,ÍNDICES!$B$3:$T$4,2)+11)-VLOOKUP(E572,ÍNDICES!$A:$DE,HLOOKUP($BL$25,ÍNDICES!$B$3:$T$4,2)+11)+1%,IF(F$38=$W$26,$J$35,IF(ISERROR(IF(E572&gt;$D$19,1,VLOOKUP(DATE(YEAR(E572),MONTH(E572)+IF($C$35=$S$23,1,0),1),ÍNDICES!$A:$DE,$Z$35+1))),"",IF(E572&gt;$D$19,1,VLOOKUP(DATE(YEAR(E572),MONTH(E572)+IF($C$35=$S$23,1,0),1),ÍNDICES!$A:$DE,$Z$35+1))))))</f>
        <v/>
      </c>
      <c r="G572" s="155"/>
      <c r="H572" s="156" t="str">
        <f t="shared" si="99"/>
        <v/>
      </c>
      <c r="I572" s="29" t="str">
        <f t="shared" si="93"/>
        <v/>
      </c>
      <c r="J572" s="5">
        <f t="shared" si="94"/>
        <v>0</v>
      </c>
      <c r="K572" s="20">
        <f t="shared" ca="1" si="95"/>
        <v>0</v>
      </c>
      <c r="L572" s="5">
        <f t="shared" ca="1" si="96"/>
        <v>0</v>
      </c>
      <c r="M572" s="64">
        <f t="shared" si="100"/>
        <v>0</v>
      </c>
      <c r="N572" s="61">
        <f t="shared" ca="1" si="101"/>
        <v>0</v>
      </c>
      <c r="O572" s="5">
        <f t="shared" ca="1" si="102"/>
        <v>0</v>
      </c>
      <c r="P572" s="446" t="e">
        <f t="shared" si="97"/>
        <v>#VALUE!</v>
      </c>
      <c r="Q572" s="446" t="e">
        <f>IF(OR($B572="",MIN(Q$38,$D$19)&lt;MAX($P$34*($B572+IF($R$17="Distrato",$I$38-1,0)),IF(AND($L$37=0,$P$34=0),"",$L$37-1),IF($R$17="Distrato",$E572,0))),0,YEARFRAC(MAX($P$34*($B572+IF($R$17="Distrato",$I$38-1,0)),IF(AND($L$37=0,$P$34=0),"",$L$37-1),IF($R$17="Distrato",$E572,0)),MIN(Q$38,$D$19),$P$20))-SUM($P572:P572)</f>
        <v>#VALUE!</v>
      </c>
      <c r="R572" s="446" t="e">
        <f>IF(OR($B572="",MIN(R$38,$D$19)&lt;MAX($P$34*($B572+IF($R$17="Distrato",$I$38-1,0)),IF(AND($L$37=0,$P$34=0),"",$L$37-1),IF($R$17="Distrato",$E572,0))),0,YEARFRAC(MAX($P$34*($B572+IF($R$17="Distrato",$I$38-1,0)),IF(AND($L$37=0,$P$34=0),"",$L$37-1),IF($R$17="Distrato",$E572,0)),MIN(R$38,$D$19),$P$20))-SUM($P572:Q572)</f>
        <v>#VALUE!</v>
      </c>
      <c r="S572" s="446" t="e">
        <f>IF(OR($B572="",MIN(S$38,$D$19)&lt;MAX($P$34*($B572+IF($R$17="Distrato",$I$38-1,0)),IF(AND($L$37=0,$P$34=0),"",$L$37-1),IF($R$17="Distrato",$E572,0))),0,YEARFRAC(MAX($P$34*($B572+IF($R$17="Distrato",$I$38-1,0)),IF(AND($L$37=0,$P$34=0),"",$L$37-1),IF($R$17="Distrato",$E572,0)),MIN(S$38,$D$19),$P$20))-SUM($P572:R572)</f>
        <v>#VALUE!</v>
      </c>
      <c r="T572" s="446" t="e">
        <f>IF(OR($B572="",MIN(T$38,$D$19)&lt;MAX($P$34*($B572+IF($R$17="Distrato",$I$38-1,0)),IF(AND($L$37=0,$P$34=0),"",$L$37-1),IF($R$17="Distrato",$E572,0))),0,YEARFRAC(MAX($P$34*($B572+IF($R$17="Distrato",$I$38-1,0)),IF(AND($L$37=0,$P$34=0),"",$L$37-1),IF($R$17="Distrato",$E572,0)),MIN(T$38,$D$19),$P$20))-SUM($P572:S572)</f>
        <v>#VALUE!</v>
      </c>
      <c r="U572" s="446" t="e">
        <f>IF(OR($B572="",MIN(U$38,$D$19)&lt;MAX($P$34*($B572+IF($R$17="Distrato",$I$38-1,0)),IF(AND($L$37=0,$P$34=0),"",$L$37-1),IF($R$17="Distrato",$E572,0))),0,YEARFRAC(MAX($P$34*($B572+IF($R$17="Distrato",$I$38-1,0)),IF(AND($L$37=0,$P$34=0),"",$L$37-1),IF($R$17="Distrato",$E572,0)),MIN(U$38,$D$19),$P$20))-SUM($P572:T572)</f>
        <v>#VALUE!</v>
      </c>
      <c r="V572" s="446" t="e">
        <f>IF(OR($B572="",MIN(V$38,$D$19)&lt;MAX($P$34*($B572+IF($R$17="Distrato",$I$38-1,0)),IF(AND($L$37=0,$P$34=0),"",$L$37-1),IF($R$17="Distrato",$E572,0))),0,YEARFRAC(MAX($P$34*($B572+IF($R$17="Distrato",$I$38-1,0)),IF(AND($L$37=0,$P$34=0),"",$L$37-1),IF($R$17="Distrato",$E572,0)),MIN(V$38,$D$19),$P$20))-SUM($P572:U572)</f>
        <v>#VALUE!</v>
      </c>
      <c r="W572" s="446" t="e">
        <f>IF(OR($B572="",MIN(W$38,$D$19)&lt;MAX($P$34*($B572+IF($R$17="Distrato",$I$38-1,0)),IF(AND($L$37=0,$P$34=0),"",$L$37-1),IF($R$17="Distrato",$E572,0))),0,YEARFRAC(MAX($P$34*($B572+IF($R$17="Distrato",$I$38-1,0)),IF(AND($L$37=0,$P$34=0),"",$L$37-1),IF($R$17="Distrato",$E572,0)),MIN(W$38,$D$19),$P$20))-SUM($P572:V572)</f>
        <v>#VALUE!</v>
      </c>
      <c r="X572" s="446" t="e">
        <f>IF(OR($B572="",MIN(X$38,$D$19)&lt;MAX($P$34*($B572+IF($R$17="Distrato",$I$38-1,0)),IF(AND($L$37=0,$P$34=0),"",$L$37-1),IF($R$17="Distrato",$E572,0))),0,YEARFRAC(MAX($P$34*($B572+IF($R$17="Distrato",$I$38-1,0)),IF(AND($L$37=0,$P$34=0),"",$L$37-1),IF($R$17="Distrato",$E572,0)),MIN(X$38,$D$19),$P$20))-SUM($P572:W572)</f>
        <v>#VALUE!</v>
      </c>
      <c r="Y572" s="446" t="e">
        <f>IF(OR($B572="",MIN(Y$38,$D$19)&lt;MAX($P$34*($B572+IF($R$17="Distrato",$I$38-1,0)),IF(AND($L$37=0,$P$34=0),"",$L$37-1),IF($R$17="Distrato",$E572,0))),0,YEARFRAC(MAX($P$34*($B572+IF($R$17="Distrato",$I$38-1,0)),IF(AND($L$37=0,$P$34=0),"",$L$37-1),IF($R$17="Distrato",$E572,0)),MIN(Y$38,$D$19),$P$20))-SUM($P572:X572)</f>
        <v>#VALUE!</v>
      </c>
      <c r="Z572" s="446" t="e">
        <f>IF(OR($B572="",MIN(Z$38,$D$19)&lt;MAX($P$34*($B572+IF($R$17="Distrato",$I$38-1,0)),IF(AND($L$37=0,$P$34=0),"",$L$37-1),IF($R$17="Distrato",$E572,0))),0,YEARFRAC(MAX($P$34*($B572+IF($R$17="Distrato",$I$38-1,0)),IF(AND($L$37=0,$P$34=0),"",$L$37-1),IF($R$17="Distrato",$E572,0)),MIN(Z$38,$D$19),$P$20))-SUM($P572:Y572)</f>
        <v>#VALUE!</v>
      </c>
      <c r="AA572" s="446" t="e">
        <f>IF(OR($B572="",MIN(AA$38,$D$19)&lt;MAX($P$34*($B572+IF($R$17="Distrato",$I$38-1,0)),IF(AND($L$37=0,$P$34=0),"",$L$37-1),IF($R$17="Distrato",$E572,0))),0,YEARFRAC(MAX($P$34*($B572+IF($R$17="Distrato",$I$38-1,0)),IF(AND($L$37=0,$P$34=0),"",$L$37-1),IF($R$17="Distrato",$E572,0)),MIN(AA$38,$D$19),$P$20))-SUM($P572:Z572)</f>
        <v>#VALUE!</v>
      </c>
      <c r="AB572" s="446" t="e">
        <f>IF(OR($B572="",MIN(AB$38,$D$19)&lt;MAX($P$34*($B572+IF($R$17="Distrato",$I$38-1,0)),IF(AND($L$37=0,$P$34=0),"",$L$37-1),IF($R$17="Distrato",$E572,0))),0,YEARFRAC(MAX($P$34*($B572+IF($R$17="Distrato",$I$38-1,0)),IF(AND($L$37=0,$P$34=0),"",$L$37-1),IF($R$17="Distrato",$E572,0)),MIN(AB$38,$D$19),$P$20))-SUM($P572:AA572)</f>
        <v>#VALUE!</v>
      </c>
      <c r="AC572" s="446" t="e">
        <f>IF(OR($B572="",MIN(AC$38,$D$19)&lt;MAX($P$34*($B572+IF($R$17="Distrato",$I$38-1,0)),IF(AND($L$37=0,$P$34=0),"",$L$37-1),IF($R$17="Distrato",$E572,0))),0,YEARFRAC(MAX($P$34*($B572+IF($R$17="Distrato",$I$38-1,0)),IF(AND($L$37=0,$P$34=0),"",$L$37-1),IF($R$17="Distrato",$E572,0)),MIN(AC$38,$D$19),$P$20))-SUM($P572:AB572)</f>
        <v>#VALUE!</v>
      </c>
      <c r="AD572" s="446" t="e">
        <f>IF(OR($B572="",MIN(AD$38,$D$19)&lt;MAX($P$34*($B572+IF($R$17="Distrato",$I$38-1,0)),IF(AND($L$37=0,$P$34=0),"",$L$37-1),IF($R$17="Distrato",$E572,0))),0,YEARFRAC(MAX($P$34*($B572+IF($R$17="Distrato",$I$38-1,0)),IF(AND($L$37=0,$P$34=0),"",$L$37-1),IF($R$17="Distrato",$E572,0)),MIN(AD$38,$D$19),$P$20))-SUM($P572:AC572)</f>
        <v>#VALUE!</v>
      </c>
      <c r="AE572" s="446" t="e">
        <f>IF(OR($B572="",MIN(AE$38,$D$19)&lt;MAX($P$34*($B572+IF($R$17="Distrato",$I$38-1,0)),IF(AND($L$37=0,$P$34=0),"",$L$37-1),IF($R$17="Distrato",$E572,0))),0,YEARFRAC(MAX($P$34*($B572+IF($R$17="Distrato",$I$38-1,0)),IF(AND($L$37=0,$P$34=0),"",$L$37-1),IF($R$17="Distrato",$E572,0)),MIN(AE$38,$D$19),$P$20))-SUM($P572:AD572)</f>
        <v>#VALUE!</v>
      </c>
      <c r="AF572" s="446" t="e">
        <f>IF(OR($B572="",MIN(AF$38,$D$19)&lt;MAX($P$34*($B572+IF($R$17="Distrato",$I$38-1,0)),IF(AND($L$37=0,$P$34=0),"",$L$37-1),IF($R$17="Distrato",$E572,0))),0,YEARFRAC(MAX($P$34*($B572+IF($R$17="Distrato",$I$38-1,0)),IF(AND($L$37=0,$P$34=0),"",$L$37-1),IF($R$17="Distrato",$E572,0)),MIN(AF$38,$D$19),$P$20))-SUM($P572:AE572)</f>
        <v>#VALUE!</v>
      </c>
      <c r="AG572" s="446" t="e">
        <f>IF(OR($B572="",MIN(AG$38,$D$19)&lt;MAX($P$34*($B572+IF($R$17="Distrato",$I$38-1,0)),IF(AND($L$37=0,$P$34=0),"",$L$37-1),IF($R$17="Distrato",$E572,0))),0,YEARFRAC(MAX($P$34*($B572+IF($R$17="Distrato",$I$38-1,0)),IF(AND($L$37=0,$P$34=0),"",$L$37-1),IF($R$17="Distrato",$E572,0)),MIN(AG$38,$D$19),$P$20))-SUM($P572:AF572)</f>
        <v>#VALUE!</v>
      </c>
      <c r="AH572" s="446" t="e">
        <f>IF(OR($B572="",MIN(AH$38,$D$19)&lt;MAX($P$34*($B572+IF($R$17="Distrato",$I$38-1,0)),IF(AND($L$37=0,$P$34=0),"",$L$37-1),IF($R$17="Distrato",$E572,0))),0,YEARFRAC(MAX($P$34*($B572+IF($R$17="Distrato",$I$38-1,0)),IF(AND($L$37=0,$P$34=0),"",$L$37-1),IF($R$17="Distrato",$E572,0)),MIN(AH$38,$D$19),$P$20))-SUM($P572:AG572)</f>
        <v>#VALUE!</v>
      </c>
      <c r="AI572" s="446" t="e">
        <f>IF(OR($B572="",MIN(AI$38,$D$19)&lt;MAX($P$34*($B572+IF($R$17="Distrato",$I$38-1,0)),IF(AND($L$37=0,$P$34=0),"",$L$37-1),IF($R$17="Distrato",$E572,0))),0,YEARFRAC(MAX($P$34*($B572+IF($R$17="Distrato",$I$38-1,0)),IF(AND($L$37=0,$P$34=0),"",$L$37-1),IF($R$17="Distrato",$E572,0)),MIN(AI$38,$D$19),$P$20))-SUM($P572:AH572)</f>
        <v>#VALUE!</v>
      </c>
      <c r="AJ572" s="446" t="e">
        <f>IF(OR($B572="",MIN(AJ$38,$D$19)&lt;MAX($P$34*($B572+IF($R$17="Distrato",$I$38-1,0)),IF(AND($L$37=0,$P$34=0),"",$L$37-1),IF($R$17="Distrato",$E572,0))),0,YEARFRAC(MAX($P$34*($B572+IF($R$17="Distrato",$I$38-1,0)),IF(AND($L$37=0,$P$34=0),"",$L$37-1),IF($R$17="Distrato",$E572,0)),MIN(AJ$38,$D$19),$P$20))-SUM($P572:AI572)</f>
        <v>#VALUE!</v>
      </c>
      <c r="AK572" s="446" t="e">
        <f>IF(OR($B572="",MIN(AK$38,$D$19)&lt;MAX($P$34*($B572+IF($R$17="Distrato",$I$38-1,0)),IF(AND($L$37=0,$P$34=0),"",$L$37-1),IF($R$17="Distrato",$E572,0))),0,YEARFRAC(MAX($P$34*($B572+IF($R$17="Distrato",$I$38-1,0)),IF(AND($L$37=0,$P$34=0),"",$L$37-1),IF($R$17="Distrato",$E572,0)),MIN(AK$38,$D$19),$P$20))-SUM($P572:AJ572)</f>
        <v>#VALUE!</v>
      </c>
      <c r="AL572" s="446" t="e">
        <f>IF(OR($B572="",MIN(AL$38,$D$19)&lt;MAX($P$34*($B572+IF($R$17="Distrato",$I$38-1,0)),IF(AND($L$37=0,$P$34=0),"",$L$37-1),IF($R$17="Distrato",$E572,0))),0,YEARFRAC(MAX($P$34*($B572+IF($R$17="Distrato",$I$38-1,0)),IF(AND($L$37=0,$P$34=0),"",$L$37-1),IF($R$17="Distrato",$E572,0)),MIN(AL$38,$D$19),$P$20))-SUM($P572:AK572)</f>
        <v>#VALUE!</v>
      </c>
      <c r="AM572" s="446" t="e">
        <f>IF(OR($B572="",MIN(AM$38,$D$19)&lt;MAX($P$34*($B572+IF($R$17="Distrato",$I$38-1,0)),IF(AND($L$37=0,$P$34=0),"",$L$37-1),IF($R$17="Distrato",$E572,0))),0,YEARFRAC(MAX($P$34*($B572+IF($R$17="Distrato",$I$38-1,0)),IF(AND($L$37=0,$P$34=0),"",$L$37-1),IF($R$17="Distrato",$E572,0)),MIN(AM$38,$D$19),$P$20))-SUM($P572:AL572)</f>
        <v>#VALUE!</v>
      </c>
      <c r="AN572" s="446" t="e">
        <f>IF(OR($B572="",MIN(AN$38,$D$19)&lt;MAX($P$34*($B572+IF($R$17="Distrato",$I$38-1,0)),IF(AND($L$37=0,$P$34=0),"",$L$37-1),IF($R$17="Distrato",$E572,0))),0,YEARFRAC(MAX($P$34*($B572+IF($R$17="Distrato",$I$38-1,0)),IF(AND($L$37=0,$P$34=0),"",$L$37-1),IF($R$17="Distrato",$E572,0)),MIN(AN$38,$D$19),$P$20))-SUM($P572:AM572)</f>
        <v>#VALUE!</v>
      </c>
      <c r="AO572" s="446" t="e">
        <f>IF(OR($B572="",MIN(AO$38,$D$19)&lt;MAX($P$34*($B572+IF($R$17="Distrato",$I$38-1,0)),IF(AND($L$37=0,$P$34=0),"",$L$37-1),IF($R$17="Distrato",$E572,0))),0,YEARFRAC(MAX($P$34*($B572+IF($R$17="Distrato",$I$38-1,0)),IF(AND($L$37=0,$P$34=0),"",$L$37-1),IF($R$17="Distrato",$E572,0)),MIN(AO$38,$D$19),$P$20))-SUM($P572:AN572)</f>
        <v>#VALUE!</v>
      </c>
      <c r="AP572" s="446" t="e">
        <f>IF(OR($B572="",MIN(AP$38,$D$19)&lt;MAX($P$34*($B572+IF($R$17="Distrato",$I$38-1,0)),IF(AND($L$37=0,$P$34=0),"",$L$37-1),IF($R$17="Distrato",$E572,0))),0,YEARFRAC(MAX($P$34*($B572+IF($R$17="Distrato",$I$38-1,0)),IF(AND($L$37=0,$P$34=0),"",$L$37-1),IF($R$17="Distrato",$E572,0)),MIN(AP$38,$D$19),$P$20))-SUM($P572:AO572)</f>
        <v>#VALUE!</v>
      </c>
      <c r="AQ572" s="446" t="e">
        <f>IF(OR($B572="",MIN(AQ$38,$D$19)&lt;MAX($P$34*($B572+IF($R$17="Distrato",$I$38-1,0)),IF(AND($L$37=0,$P$34=0),"",$L$37-1),IF($R$17="Distrato",$E572,0))),0,YEARFRAC(MAX($P$34*($B572+IF($R$17="Distrato",$I$38-1,0)),IF(AND($L$37=0,$P$34=0),"",$L$37-1),IF($R$17="Distrato",$E572,0)),MIN(AQ$38,$D$19),$P$20))-SUM($P572:AP572)</f>
        <v>#VALUE!</v>
      </c>
      <c r="AR572" s="446" t="e">
        <f>IF(OR($B572="",MIN(AR$38,$D$19)&lt;MAX($P$34*($B572+IF($R$17="Distrato",$I$38-1,0)),IF(AND($L$37=0,$P$34=0),"",$L$37-1),IF($R$17="Distrato",$E572,0))),0,YEARFRAC(MAX($P$34*($B572+IF($R$17="Distrato",$I$38-1,0)),IF(AND($L$37=0,$P$34=0),"",$L$37-1),IF($R$17="Distrato",$E572,0)),MIN(AR$38,$D$19),$P$20))-SUM($P572:AQ572)</f>
        <v>#VALUE!</v>
      </c>
      <c r="AS572" s="446" t="e">
        <f>IF(OR($B572="",MIN(AS$38,$D$19)&lt;MAX($P$34*($B572+IF($R$17="Distrato",$I$38-1,0)),IF(AND($L$37=0,$P$34=0),"",$L$37-1),IF($R$17="Distrato",$E572,0))),0,YEARFRAC(MAX($P$34*($B572+IF($R$17="Distrato",$I$38-1,0)),IF(AND($L$37=0,$P$34=0),"",$L$37-1),IF($R$17="Distrato",$E572,0)),MIN(AS$38,$D$19),$P$20))-SUM($P572:AR572)</f>
        <v>#VALUE!</v>
      </c>
      <c r="AT572" s="446" t="e">
        <f>IF(OR($B572="",MIN(AT$38,$D$19)&lt;MAX($P$34*($B572+IF($R$17="Distrato",$I$38-1,0)),IF(AND($L$37=0,$P$34=0),"",$L$37-1),IF($R$17="Distrato",$E572,0))),0,YEARFRAC(MAX($P$34*($B572+IF($R$17="Distrato",$I$38-1,0)),IF(AND($L$37=0,$P$34=0),"",$L$37-1),IF($R$17="Distrato",$E572,0)),MIN(AT$38,$D$19),$P$20))-SUM($P572:AS572)</f>
        <v>#VALUE!</v>
      </c>
      <c r="AU572" s="446" t="e">
        <f>IF(OR($B572="",MIN(AU$38,$D$19)&lt;MAX($P$34*($B572+IF($R$17="Distrato",$I$38-1,0)),IF(AND($L$37=0,$P$34=0),"",$L$37-1),IF($R$17="Distrato",$E572,0))),0,YEARFRAC(MAX($P$34*($B572+IF($R$17="Distrato",$I$38-1,0)),IF(AND($L$37=0,$P$34=0),"",$L$37-1),IF($R$17="Distrato",$E572,0)),MIN(AU$38,$D$19),$P$20))-SUM($P572:AT572)</f>
        <v>#VALUE!</v>
      </c>
      <c r="AV572" s="446" t="e">
        <f>IF(OR($B572="",MIN(AV$38,$D$19)&lt;MAX($P$34*($B572+IF($R$17="Distrato",$I$38-1,0)),IF(AND($L$37=0,$P$34=0),"",$L$37-1),IF($R$17="Distrato",$E572,0))),0,YEARFRAC(MAX($P$34*($B572+IF($R$17="Distrato",$I$38-1,0)),IF(AND($L$37=0,$P$34=0),"",$L$37-1),IF($R$17="Distrato",$E572,0)),MIN(AV$38,$D$19),$P$20))-SUM($P572:AU572)</f>
        <v>#VALUE!</v>
      </c>
      <c r="AW572" s="446" t="e">
        <f>IF(OR($B572="",MIN(AW$38,$D$19)&lt;MAX($P$34*($B572+IF($R$17="Distrato",$I$38-1,0)),IF(AND($L$37=0,$P$34=0),"",$L$37-1),IF($R$17="Distrato",$E572,0))),0,YEARFRAC(MAX($P$34*($B572+IF($R$17="Distrato",$I$38-1,0)),IF(AND($L$37=0,$P$34=0),"",$L$37-1),IF($R$17="Distrato",$E572,0)),MIN(AW$38,$D$19),$P$20))-SUM($P572:AV572)</f>
        <v>#VALUE!</v>
      </c>
      <c r="AX572" s="446" t="e">
        <f>IF(OR($B572="",MIN(AX$38,$D$19)&lt;MAX($P$34*($B572+IF($R$17="Distrato",$I$38-1,0)),IF(AND($L$37=0,$P$34=0),"",$L$37-1),IF($R$17="Distrato",$E572,0))),0,YEARFRAC(MAX($P$34*($B572+IF($R$17="Distrato",$I$38-1,0)),IF(AND($L$37=0,$P$34=0),"",$L$37-1),IF($R$17="Distrato",$E572,0)),MIN(AX$38,$D$19),$P$20))-SUM($P572:AW572)</f>
        <v>#VALUE!</v>
      </c>
      <c r="AY572" s="446" t="e">
        <f>IF(OR($B572="",MIN(AY$38,$D$19)&lt;MAX($P$34*($B572+IF($R$17="Distrato",$I$38-1,0)),IF(AND($L$37=0,$P$34=0),"",$L$37-1),IF($R$17="Distrato",$E572,0))),0,YEARFRAC(MAX($P$34*($B572+IF($R$17="Distrato",$I$38-1,0)),IF(AND($L$37=0,$P$34=0),"",$L$37-1),IF($R$17="Distrato",$E572,0)),MIN(AY$38,$D$19),$P$20))-SUM($P572:AX572)</f>
        <v>#VALUE!</v>
      </c>
      <c r="AZ572" s="446" t="e">
        <f>IF(OR($B572="",MIN(AZ$38,$D$19)&lt;MAX($P$34*($B572+IF($R$17="Distrato",$I$38-1,0)),IF(AND($L$37=0,$P$34=0),"",$L$37-1),IF($R$17="Distrato",$E572,0))),0,YEARFRAC(MAX($P$34*($B572+IF($R$17="Distrato",$I$38-1,0)),IF(AND($L$37=0,$P$34=0),"",$L$37-1),IF($R$17="Distrato",$E572,0)),MIN(AZ$38,$D$19),$P$20))-SUM($P572:AY572)</f>
        <v>#VALUE!</v>
      </c>
      <c r="BA572" s="446" t="e">
        <f>IF(OR($B572="",MIN(BA$38,$D$19)&lt;MAX($P$34*($B572+IF($R$17="Distrato",$I$38-1,0)),IF(AND($L$37=0,$P$34=0),"",$L$37-1),IF($R$17="Distrato",$E572,0))),0,YEARFRAC(MAX($P$34*($B572+IF($R$17="Distrato",$I$38-1,0)),IF(AND($L$37=0,$P$34=0),"",$L$37-1),IF($R$17="Distrato",$E572,0)),MIN(BA$38,$D$19),$P$20))-SUM($P572:AZ572)</f>
        <v>#VALUE!</v>
      </c>
      <c r="BB572" s="447"/>
      <c r="BF572" s="446">
        <f t="shared" si="98"/>
        <v>0</v>
      </c>
      <c r="BG572" s="446">
        <f>IF($E572=0,0,IF(MIN(BG$38,$E572)&lt;MAX($P$34*($B572+$I$38-1),IF(AND($L$37=0,$P$34=0),"",$L$37-1)),0,YEARFRAC(MAX($P$34*($B572+$I$38-1),IF(AND($L$37=0,$P$34=0),"",$L$37-1)),MIN(BG$38,$E572),$P$20))-SUM($BF572:BF572))</f>
        <v>0</v>
      </c>
      <c r="BH572" s="446">
        <f>IF($E572=0,0,IF(MIN(BH$38,$E572)&lt;MAX($P$34*($B572+$I$38-1),IF(AND($L$37=0,$P$34=0),"",$L$37-1)),0,YEARFRAC(MAX($P$34*($B572+$I$38-1),IF(AND($L$37=0,$P$34=0),"",$L$37-1)),MIN(BH$38,$E572),$P$20))-SUM($BF572:BG572))</f>
        <v>0</v>
      </c>
      <c r="BI572" s="446">
        <f>IF($E572=0,0,IF(MIN(BI$38,$E572)&lt;MAX($P$34*($B572+$I$38-1),IF(AND($L$37=0,$P$34=0),"",$L$37-1)),0,YEARFRAC(MAX($P$34*($B572+$I$38-1),IF(AND($L$37=0,$P$34=0),"",$L$37-1)),MIN(BI$38,$E572),$P$20))-SUM($BF572:BH572))</f>
        <v>0</v>
      </c>
      <c r="BJ572" s="446">
        <f>IF($E572=0,0,IF(MIN(BJ$38,$E572)&lt;MAX($P$34*($B572+$I$38-1),IF(AND($L$37=0,$P$34=0),"",$L$37-1)),0,YEARFRAC(MAX($P$34*($B572+$I$38-1),IF(AND($L$37=0,$P$34=0),"",$L$37-1)),MIN(BJ$38,$E572),$P$20))-SUM($BF572:BI572))</f>
        <v>0</v>
      </c>
      <c r="BK572" s="446">
        <f>IF($E572=0,0,IF(MIN(BK$38,$E572)&lt;MAX($P$34*($B572+$I$38-1),IF(AND($L$37=0,$P$34=0),"",$L$37-1)),0,YEARFRAC(MAX($P$34*($B572+$I$38-1),IF(AND($L$37=0,$P$34=0),"",$L$37-1)),MIN(BK$38,$E572),$P$20))-SUM($BF572:BJ572))</f>
        <v>0</v>
      </c>
      <c r="BL572" s="446">
        <f>IF($E572=0,0,IF(MIN(BL$38,$E572)&lt;MAX($P$34*($B572+$I$38-1),IF(AND($L$37=0,$P$34=0),"",$L$37-1)),0,YEARFRAC(MAX($P$34*($B572+$I$38-1),IF(AND($L$37=0,$P$34=0),"",$L$37-1)),MIN(BL$38,$E572),$P$20))-SUM($BF572:BK572))</f>
        <v>0</v>
      </c>
      <c r="BM572" s="446">
        <f>IF($E572=0,0,IF(MIN(BM$38,$E572)&lt;MAX($P$34*($B572+$I$38-1),IF(AND($L$37=0,$P$34=0),"",$L$37-1)),0,YEARFRAC(MAX($P$34*($B572+$I$38-1),IF(AND($L$37=0,$P$34=0),"",$L$37-1)),MIN(BM$38,$E572),$P$20))-SUM($BF572:BL572))</f>
        <v>0</v>
      </c>
      <c r="BN572" s="446">
        <f>IF($E572=0,0,IF(MIN(BN$38,$E572)&lt;MAX($P$34*($B572+$I$38-1),IF(AND($L$37=0,$P$34=0),"",$L$37-1)),0,YEARFRAC(MAX($P$34*($B572+$I$38-1),IF(AND($L$37=0,$P$34=0),"",$L$37-1)),MIN(BN$38,$E572),$P$20))-SUM($BF572:BM572))</f>
        <v>0</v>
      </c>
      <c r="BO572" s="446">
        <f>IF($E572=0,0,IF(MIN(BO$38,$E572)&lt;MAX($P$34*($B572+$I$38-1),IF(AND($L$37=0,$P$34=0),"",$L$37-1)),0,YEARFRAC(MAX($P$34*($B572+$I$38-1),IF(AND($L$37=0,$P$34=0),"",$L$37-1)),MIN(BO$38,$E572),$P$20))-SUM($BF572:BN572))</f>
        <v>0</v>
      </c>
      <c r="BP572" s="446">
        <f>IF($E572=0,0,IF(MIN(BP$38,$E572)&lt;MAX($P$34*($B572+$I$38-1),IF(AND($L$37=0,$P$34=0),"",$L$37-1)),0,YEARFRAC(MAX($P$34*($B572+$I$38-1),IF(AND($L$37=0,$P$34=0),"",$L$37-1)),MIN(BP$38,$E572),$P$20))-SUM($BF572:BO572))</f>
        <v>0</v>
      </c>
      <c r="BQ572" s="446">
        <f>IF($E572=0,0,IF(MIN(BQ$38,$E572)&lt;MAX($P$34*($B572+$I$38-1),IF(AND($L$37=0,$P$34=0),"",$L$37-1)),0,YEARFRAC(MAX($P$34*($B572+$I$38-1),IF(AND($L$37=0,$P$34=0),"",$L$37-1)),MIN(BQ$38,$E572),$P$20))-SUM($BF572:BP572))</f>
        <v>0</v>
      </c>
      <c r="BR572" s="446">
        <f>IF($E572=0,0,IF(MIN(BR$38,$E572)&lt;MAX($P$34*($B572+$I$38-1),IF(AND($L$37=0,$P$34=0),"",$L$37-1)),0,YEARFRAC(MAX($P$34*($B572+$I$38-1),IF(AND($L$37=0,$P$34=0),"",$L$37-1)),MIN(BR$38,$E572),$P$20))-SUM($BF572:BQ572))</f>
        <v>0</v>
      </c>
      <c r="BS572" s="446">
        <f>IF($E572=0,0,IF(MIN(BS$38,$E572)&lt;MAX($P$34*($B572+$I$38-1),IF(AND($L$37=0,$P$34=0),"",$L$37-1)),0,YEARFRAC(MAX($P$34*($B572+$I$38-1),IF(AND($L$37=0,$P$34=0),"",$L$37-1)),MIN(BS$38,$E572),$P$20))-SUM($BF572:BR572))</f>
        <v>0</v>
      </c>
      <c r="BT572" s="446">
        <f>IF($E572=0,0,IF(MIN(BT$38,$E572)&lt;MAX($P$34*($B572+$I$38-1),IF(AND($L$37=0,$P$34=0),"",$L$37-1)),0,YEARFRAC(MAX($P$34*($B572+$I$38-1),IF(AND($L$37=0,$P$34=0),"",$L$37-1)),MIN(BT$38,$E572),$P$20))-SUM($BF572:BS572))</f>
        <v>0</v>
      </c>
      <c r="BU572" s="446">
        <f>IF($E572=0,0,IF(MIN(BU$38,$E572)&lt;MAX($P$34*($B572+$I$38-1),IF(AND($L$37=0,$P$34=0),"",$L$37-1)),0,YEARFRAC(MAX($P$34*($B572+$I$38-1),IF(AND($L$37=0,$P$34=0),"",$L$37-1)),MIN(BU$38,$E572),$P$20))-SUM($BF572:BT572))</f>
        <v>0</v>
      </c>
      <c r="BV572" s="446">
        <f>IF($E572=0,0,IF(MIN(BV$38,$E572)&lt;MAX($P$34*($B572+$I$38-1),IF(AND($L$37=0,$P$34=0),"",$L$37-1)),0,YEARFRAC(MAX($P$34*($B572+$I$38-1),IF(AND($L$37=0,$P$34=0),"",$L$37-1)),MIN(BV$38,$E572),$P$20))-SUM($BF572:BU572))</f>
        <v>0</v>
      </c>
      <c r="BW572" s="446">
        <f>IF($E572=0,0,IF(MIN(BW$38,$E572)&lt;MAX($P$34*($B572+$I$38-1),IF(AND($L$37=0,$P$34=0),"",$L$37-1)),0,YEARFRAC(MAX($P$34*($B572+$I$38-1),IF(AND($L$37=0,$P$34=0),"",$L$37-1)),MIN(BW$38,$E572),$P$20))-SUM($BF572:BV572))</f>
        <v>0</v>
      </c>
      <c r="BX572" s="446">
        <f>IF($E572=0,0,IF(MIN(BX$38,$E572)&lt;MAX($P$34*($B572+$I$38-1),IF(AND($L$37=0,$P$34=0),"",$L$37-1)),0,YEARFRAC(MAX($P$34*($B572+$I$38-1),IF(AND($L$37=0,$P$34=0),"",$L$37-1)),MIN(BX$38,$E572),$P$20))-SUM($BF572:BW572))</f>
        <v>0</v>
      </c>
      <c r="BY572" s="446">
        <f>IF($E572=0,0,IF(MIN(BY$38,$E572)&lt;MAX($P$34*($B572+$I$38-1),IF(AND($L$37=0,$P$34=0),"",$L$37-1)),0,YEARFRAC(MAX($P$34*($B572+$I$38-1),IF(AND($L$37=0,$P$34=0),"",$L$37-1)),MIN(BY$38,$E572),$P$20))-SUM($BF572:BX572))</f>
        <v>0</v>
      </c>
      <c r="BZ572" s="446">
        <f>IF($E572=0,0,IF(MIN(BZ$38,$E572)&lt;MAX($P$34*($B572+$I$38-1),IF(AND($L$37=0,$P$34=0),"",$L$37-1)),0,YEARFRAC(MAX($P$34*($B572+$I$38-1),IF(AND($L$37=0,$P$34=0),"",$L$37-1)),MIN(BZ$38,$E572),$P$20))-SUM($BF572:BY572))</f>
        <v>0</v>
      </c>
      <c r="CA572" s="446">
        <f>IF($E572=0,0,IF(MIN(CA$38,$E572)&lt;MAX($P$34*($B572+$I$38-1),IF(AND($L$37=0,$P$34=0),"",$L$37-1)),0,YEARFRAC(MAX($P$34*($B572+$I$38-1),IF(AND($L$37=0,$P$34=0),"",$L$37-1)),MIN(CA$38,$E572),$P$20))-SUM($BF572:BZ572))</f>
        <v>0</v>
      </c>
      <c r="CB572" s="446">
        <f>IF($E572=0,0,IF(MIN(CB$38,$E572)&lt;MAX($P$34*($B572+$I$38-1),IF(AND($L$37=0,$P$34=0),"",$L$37-1)),0,YEARFRAC(MAX($P$34*($B572+$I$38-1),IF(AND($L$37=0,$P$34=0),"",$L$37-1)),MIN(CB$38,$E572),$P$20))-SUM($BF572:CA572))</f>
        <v>0</v>
      </c>
      <c r="CC572" s="446">
        <f>IF($E572=0,0,IF(MIN(CC$38,$E572)&lt;MAX($P$34*($B572+$I$38-1),IF(AND($L$37=0,$P$34=0),"",$L$37-1)),0,YEARFRAC(MAX($P$34*($B572+$I$38-1),IF(AND($L$37=0,$P$34=0),"",$L$37-1)),MIN(CC$38,$E572),$P$20))-SUM($BF572:CB572))</f>
        <v>0</v>
      </c>
      <c r="CD572" s="446">
        <f>IF($E572=0,0,IF(MIN(CD$38,$E572)&lt;MAX($P$34*($B572+$I$38-1),IF(AND($L$37=0,$P$34=0),"",$L$37-1)),0,YEARFRAC(MAX($P$34*($B572+$I$38-1),IF(AND($L$37=0,$P$34=0),"",$L$37-1)),MIN(CD$38,$E572),$P$20))-SUM($BF572:CC572))</f>
        <v>0</v>
      </c>
      <c r="CE572" s="446">
        <f>IF($E572=0,0,IF(MIN(CE$38,$E572)&lt;MAX($P$34*($B572+$I$38-1),IF(AND($L$37=0,$P$34=0),"",$L$37-1)),0,YEARFRAC(MAX($P$34*($B572+$I$38-1),IF(AND($L$37=0,$P$34=0),"",$L$37-1)),MIN(CE$38,$E572),$P$20))-SUM($BF572:CD572))</f>
        <v>0</v>
      </c>
      <c r="CF572" s="446">
        <f>IF($E572=0,0,IF(MIN(CF$38,$E572)&lt;MAX($P$34*($B572+$I$38-1),IF(AND($L$37=0,$P$34=0),"",$L$37-1)),0,YEARFRAC(MAX($P$34*($B572+$I$38-1),IF(AND($L$37=0,$P$34=0),"",$L$37-1)),MIN(CF$38,$E572),$P$20))-SUM($BF572:CE572))</f>
        <v>0</v>
      </c>
      <c r="CG572" s="446">
        <f>IF($E572=0,0,IF(MIN(CG$38,$E572)&lt;MAX($P$34*($B572+$I$38-1),IF(AND($L$37=0,$P$34=0),"",$L$37-1)),0,YEARFRAC(MAX($P$34*($B572+$I$38-1),IF(AND($L$37=0,$P$34=0),"",$L$37-1)),MIN(CG$38,$E572),$P$20))-SUM($BF572:CF572))</f>
        <v>0</v>
      </c>
      <c r="CH572" s="446">
        <f>IF($E572=0,0,IF(MIN(CH$38,$E572)&lt;MAX($P$34*($B572+$I$38-1),IF(AND($L$37=0,$P$34=0),"",$L$37-1)),0,YEARFRAC(MAX($P$34*($B572+$I$38-1),IF(AND($L$37=0,$P$34=0),"",$L$37-1)),MIN(CH$38,$E572),$P$20))-SUM($BF572:CG572))</f>
        <v>0</v>
      </c>
      <c r="CI572" s="446">
        <f>IF($E572=0,0,IF(MIN(CI$38,$E572)&lt;MAX($P$34*($B572+$I$38-1),IF(AND($L$37=0,$P$34=0),"",$L$37-1)),0,YEARFRAC(MAX($P$34*($B572+$I$38-1),IF(AND($L$37=0,$P$34=0),"",$L$37-1)),MIN(CI$38,$E572),$P$20))-SUM($BF572:CH572))</f>
        <v>0</v>
      </c>
      <c r="CJ572" s="446">
        <f>IF($E572=0,0,IF(MIN(CJ$38,$E572)&lt;MAX($P$34*($B572+$I$38-1),IF(AND($L$37=0,$P$34=0),"",$L$37-1)),0,YEARFRAC(MAX($P$34*($B572+$I$38-1),IF(AND($L$37=0,$P$34=0),"",$L$37-1)),MIN(CJ$38,$E572),$P$20))-SUM($BF572:CI572))</f>
        <v>0</v>
      </c>
      <c r="CK572" s="446">
        <f>IF($E572=0,0,IF(MIN(CK$38,$E572)&lt;MAX($P$34*($B572+$I$38-1),IF(AND($L$37=0,$P$34=0),"",$L$37-1)),0,YEARFRAC(MAX($P$34*($B572+$I$38-1),IF(AND($L$37=0,$P$34=0),"",$L$37-1)),MIN(CK$38,$E572),$P$20))-SUM($BF572:CJ572))</f>
        <v>0</v>
      </c>
      <c r="CL572" s="446">
        <f>IF($E572=0,0,IF(MIN(CL$38,$E572)&lt;MAX($P$34*($B572+$I$38-1),IF(AND($L$37=0,$P$34=0),"",$L$37-1)),0,YEARFRAC(MAX($P$34*($B572+$I$38-1),IF(AND($L$37=0,$P$34=0),"",$L$37-1)),MIN(CL$38,$E572),$P$20))-SUM($BF572:CK572))</f>
        <v>0</v>
      </c>
      <c r="CM572" s="446">
        <f>IF($E572=0,0,IF(MIN(CM$38,$E572)&lt;MAX($P$34*($B572+$I$38-1),IF(AND($L$37=0,$P$34=0),"",$L$37-1)),0,YEARFRAC(MAX($P$34*($B572+$I$38-1),IF(AND($L$37=0,$P$34=0),"",$L$37-1)),MIN(CM$38,$E572),$P$20))-SUM($BF572:CL572))</f>
        <v>0</v>
      </c>
      <c r="CN572" s="446">
        <f>IF($E572=0,0,IF(MIN(CN$38,$E572)&lt;MAX($P$34*($B572+$I$38-1),IF(AND($L$37=0,$P$34=0),"",$L$37-1)),0,YEARFRAC(MAX($P$34*($B572+$I$38-1),IF(AND($L$37=0,$P$34=0),"",$L$37-1)),MIN(CN$38,$E572),$P$20))-SUM($BF572:CM572))</f>
        <v>0</v>
      </c>
      <c r="CO572" s="446">
        <f>IF($E572=0,0,IF(MIN(CO$38,$E572)&lt;MAX($P$34*($B572+$I$38-1),IF(AND($L$37=0,$P$34=0),"",$L$37-1)),0,YEARFRAC(MAX($P$34*($B572+$I$38-1),IF(AND($L$37=0,$P$34=0),"",$L$37-1)),MIN(CO$38,$E572),$P$20))-SUM($BF572:CN572))</f>
        <v>0</v>
      </c>
      <c r="CP572" s="446">
        <f>IF($E572=0,0,IF(MIN(CP$38,$E572)&lt;MAX($P$34*($B572+$I$38-1),IF(AND($L$37=0,$P$34=0),"",$L$37-1)),0,YEARFRAC(MAX($P$34*($B572+$I$38-1),IF(AND($L$37=0,$P$34=0),"",$L$37-1)),MIN(CP$38,$E572),$P$20))-SUM($BF572:CO572))</f>
        <v>0</v>
      </c>
      <c r="CQ572" s="446">
        <f>IF($E572=0,0,IF(MIN(CQ$38,$E572)&lt;MAX($P$34*($B572+$I$38-1),IF(AND($L$37=0,$P$34=0),"",$L$37-1)),0,YEARFRAC(MAX($P$34*($B572+$I$38-1),IF(AND($L$37=0,$P$34=0),"",$L$37-1)),MIN(CQ$38,$E572),$P$20))-SUM($BF572:CP572))</f>
        <v>0</v>
      </c>
    </row>
    <row r="573" spans="1:95" s="446" customFormat="1" ht="11.25" hidden="1" customHeight="1" x14ac:dyDescent="0.2">
      <c r="A573" s="152"/>
      <c r="B573" s="153" t="str">
        <f t="shared" si="103"/>
        <v/>
      </c>
      <c r="C573" s="29" t="str">
        <f>IF(B573="","",IF($L$35="SELIC - TRIBUTOS",VLOOKUP(DATE(YEAR($D$19),MONTH($D$19)-1,1),ÍNDICES!$A:$DE,HLOOKUP($BL$25,ÍNDICES!$B$3:$T$4,2)+11)-VLOOKUP(B573,ÍNDICES!$A:$DE,HLOOKUP($BL$25,ÍNDICES!$B$3:$T$4,2)+11)+1%,IF(C$38=$W$26,$J$35,IF(ISERROR(IF(B573&gt;$D$19,1,VLOOKUP(DATE(YEAR(B573),MONTH(B573)+IF($C$35=$S$23,1,0),1),ÍNDICES!$A:$DE,$Z$35+1))),"",IF(B573&gt;$D$19,1,VLOOKUP(DATE(YEAR(B573),MONTH(B573)+IF($C$35=$S$23,1,0),1),ÍNDICES!$A:$DE,$Z$35+1))))))</f>
        <v/>
      </c>
      <c r="D573" s="154" t="str">
        <f>IF(ISERROR(IF(OR($D$38=$Y$27,$B573=""),"",VLOOKUP(B573,ÍNDICES!A:DE,AF$35+1))),"",IF(OR($D$38=$Y$27,$B573=""),"",VLOOKUP(B573,ÍNDICES!A:DE,AF$35+1)))</f>
        <v/>
      </c>
      <c r="E573" s="153"/>
      <c r="F573" s="29" t="str">
        <f>IF(E573="","",IF($L$35="SELIC - TRIBUTOS",VLOOKUP(DATE(YEAR($D$19),MONTH($D$19)-1,1),ÍNDICES!$A:$DE,HLOOKUP($BL$25,ÍNDICES!$B$3:$T$4,2)+11)-VLOOKUP(E573,ÍNDICES!$A:$DE,HLOOKUP($BL$25,ÍNDICES!$B$3:$T$4,2)+11)+1%,IF(F$38=$W$26,$J$35,IF(ISERROR(IF(E573&gt;$D$19,1,VLOOKUP(DATE(YEAR(E573),MONTH(E573)+IF($C$35=$S$23,1,0),1),ÍNDICES!$A:$DE,$Z$35+1))),"",IF(E573&gt;$D$19,1,VLOOKUP(DATE(YEAR(E573),MONTH(E573)+IF($C$35=$S$23,1,0),1),ÍNDICES!$A:$DE,$Z$35+1))))))</f>
        <v/>
      </c>
      <c r="G573" s="155"/>
      <c r="H573" s="156" t="str">
        <f t="shared" si="99"/>
        <v/>
      </c>
      <c r="I573" s="29" t="str">
        <f t="shared" si="93"/>
        <v/>
      </c>
      <c r="J573" s="5">
        <f t="shared" si="94"/>
        <v>0</v>
      </c>
      <c r="K573" s="20">
        <f t="shared" ca="1" si="95"/>
        <v>0</v>
      </c>
      <c r="L573" s="5">
        <f t="shared" ca="1" si="96"/>
        <v>0</v>
      </c>
      <c r="M573" s="64">
        <f t="shared" si="100"/>
        <v>0</v>
      </c>
      <c r="N573" s="61">
        <f t="shared" ca="1" si="101"/>
        <v>0</v>
      </c>
      <c r="O573" s="5">
        <f t="shared" ca="1" si="102"/>
        <v>0</v>
      </c>
      <c r="P573" s="446" t="e">
        <f t="shared" si="97"/>
        <v>#VALUE!</v>
      </c>
      <c r="Q573" s="446" t="e">
        <f>IF(OR($B573="",MIN(Q$38,$D$19)&lt;MAX($P$34*($B573+IF($R$17="Distrato",$I$38-1,0)),IF(AND($L$37=0,$P$34=0),"",$L$37-1),IF($R$17="Distrato",$E573,0))),0,YEARFRAC(MAX($P$34*($B573+IF($R$17="Distrato",$I$38-1,0)),IF(AND($L$37=0,$P$34=0),"",$L$37-1),IF($R$17="Distrato",$E573,0)),MIN(Q$38,$D$19),$P$20))-SUM($P573:P573)</f>
        <v>#VALUE!</v>
      </c>
      <c r="R573" s="446" t="e">
        <f>IF(OR($B573="",MIN(R$38,$D$19)&lt;MAX($P$34*($B573+IF($R$17="Distrato",$I$38-1,0)),IF(AND($L$37=0,$P$34=0),"",$L$37-1),IF($R$17="Distrato",$E573,0))),0,YEARFRAC(MAX($P$34*($B573+IF($R$17="Distrato",$I$38-1,0)),IF(AND($L$37=0,$P$34=0),"",$L$37-1),IF($R$17="Distrato",$E573,0)),MIN(R$38,$D$19),$P$20))-SUM($P573:Q573)</f>
        <v>#VALUE!</v>
      </c>
      <c r="S573" s="446" t="e">
        <f>IF(OR($B573="",MIN(S$38,$D$19)&lt;MAX($P$34*($B573+IF($R$17="Distrato",$I$38-1,0)),IF(AND($L$37=0,$P$34=0),"",$L$37-1),IF($R$17="Distrato",$E573,0))),0,YEARFRAC(MAX($P$34*($B573+IF($R$17="Distrato",$I$38-1,0)),IF(AND($L$37=0,$P$34=0),"",$L$37-1),IF($R$17="Distrato",$E573,0)),MIN(S$38,$D$19),$P$20))-SUM($P573:R573)</f>
        <v>#VALUE!</v>
      </c>
      <c r="T573" s="446" t="e">
        <f>IF(OR($B573="",MIN(T$38,$D$19)&lt;MAX($P$34*($B573+IF($R$17="Distrato",$I$38-1,0)),IF(AND($L$37=0,$P$34=0),"",$L$37-1),IF($R$17="Distrato",$E573,0))),0,YEARFRAC(MAX($P$34*($B573+IF($R$17="Distrato",$I$38-1,0)),IF(AND($L$37=0,$P$34=0),"",$L$37-1),IF($R$17="Distrato",$E573,0)),MIN(T$38,$D$19),$P$20))-SUM($P573:S573)</f>
        <v>#VALUE!</v>
      </c>
      <c r="U573" s="446" t="e">
        <f>IF(OR($B573="",MIN(U$38,$D$19)&lt;MAX($P$34*($B573+IF($R$17="Distrato",$I$38-1,0)),IF(AND($L$37=0,$P$34=0),"",$L$37-1),IF($R$17="Distrato",$E573,0))),0,YEARFRAC(MAX($P$34*($B573+IF($R$17="Distrato",$I$38-1,0)),IF(AND($L$37=0,$P$34=0),"",$L$37-1),IF($R$17="Distrato",$E573,0)),MIN(U$38,$D$19),$P$20))-SUM($P573:T573)</f>
        <v>#VALUE!</v>
      </c>
      <c r="V573" s="446" t="e">
        <f>IF(OR($B573="",MIN(V$38,$D$19)&lt;MAX($P$34*($B573+IF($R$17="Distrato",$I$38-1,0)),IF(AND($L$37=0,$P$34=0),"",$L$37-1),IF($R$17="Distrato",$E573,0))),0,YEARFRAC(MAX($P$34*($B573+IF($R$17="Distrato",$I$38-1,0)),IF(AND($L$37=0,$P$34=0),"",$L$37-1),IF($R$17="Distrato",$E573,0)),MIN(V$38,$D$19),$P$20))-SUM($P573:U573)</f>
        <v>#VALUE!</v>
      </c>
      <c r="W573" s="446" t="e">
        <f>IF(OR($B573="",MIN(W$38,$D$19)&lt;MAX($P$34*($B573+IF($R$17="Distrato",$I$38-1,0)),IF(AND($L$37=0,$P$34=0),"",$L$37-1),IF($R$17="Distrato",$E573,0))),0,YEARFRAC(MAX($P$34*($B573+IF($R$17="Distrato",$I$38-1,0)),IF(AND($L$37=0,$P$34=0),"",$L$37-1),IF($R$17="Distrato",$E573,0)),MIN(W$38,$D$19),$P$20))-SUM($P573:V573)</f>
        <v>#VALUE!</v>
      </c>
      <c r="X573" s="446" t="e">
        <f>IF(OR($B573="",MIN(X$38,$D$19)&lt;MAX($P$34*($B573+IF($R$17="Distrato",$I$38-1,0)),IF(AND($L$37=0,$P$34=0),"",$L$37-1),IF($R$17="Distrato",$E573,0))),0,YEARFRAC(MAX($P$34*($B573+IF($R$17="Distrato",$I$38-1,0)),IF(AND($L$37=0,$P$34=0),"",$L$37-1),IF($R$17="Distrato",$E573,0)),MIN(X$38,$D$19),$P$20))-SUM($P573:W573)</f>
        <v>#VALUE!</v>
      </c>
      <c r="Y573" s="446" t="e">
        <f>IF(OR($B573="",MIN(Y$38,$D$19)&lt;MAX($P$34*($B573+IF($R$17="Distrato",$I$38-1,0)),IF(AND($L$37=0,$P$34=0),"",$L$37-1),IF($R$17="Distrato",$E573,0))),0,YEARFRAC(MAX($P$34*($B573+IF($R$17="Distrato",$I$38-1,0)),IF(AND($L$37=0,$P$34=0),"",$L$37-1),IF($R$17="Distrato",$E573,0)),MIN(Y$38,$D$19),$P$20))-SUM($P573:X573)</f>
        <v>#VALUE!</v>
      </c>
      <c r="Z573" s="446" t="e">
        <f>IF(OR($B573="",MIN(Z$38,$D$19)&lt;MAX($P$34*($B573+IF($R$17="Distrato",$I$38-1,0)),IF(AND($L$37=0,$P$34=0),"",$L$37-1),IF($R$17="Distrato",$E573,0))),0,YEARFRAC(MAX($P$34*($B573+IF($R$17="Distrato",$I$38-1,0)),IF(AND($L$37=0,$P$34=0),"",$L$37-1),IF($R$17="Distrato",$E573,0)),MIN(Z$38,$D$19),$P$20))-SUM($P573:Y573)</f>
        <v>#VALUE!</v>
      </c>
      <c r="AA573" s="446" t="e">
        <f>IF(OR($B573="",MIN(AA$38,$D$19)&lt;MAX($P$34*($B573+IF($R$17="Distrato",$I$38-1,0)),IF(AND($L$37=0,$P$34=0),"",$L$37-1),IF($R$17="Distrato",$E573,0))),0,YEARFRAC(MAX($P$34*($B573+IF($R$17="Distrato",$I$38-1,0)),IF(AND($L$37=0,$P$34=0),"",$L$37-1),IF($R$17="Distrato",$E573,0)),MIN(AA$38,$D$19),$P$20))-SUM($P573:Z573)</f>
        <v>#VALUE!</v>
      </c>
      <c r="AB573" s="446" t="e">
        <f>IF(OR($B573="",MIN(AB$38,$D$19)&lt;MAX($P$34*($B573+IF($R$17="Distrato",$I$38-1,0)),IF(AND($L$37=0,$P$34=0),"",$L$37-1),IF($R$17="Distrato",$E573,0))),0,YEARFRAC(MAX($P$34*($B573+IF($R$17="Distrato",$I$38-1,0)),IF(AND($L$37=0,$P$34=0),"",$L$37-1),IF($R$17="Distrato",$E573,0)),MIN(AB$38,$D$19),$P$20))-SUM($P573:AA573)</f>
        <v>#VALUE!</v>
      </c>
      <c r="AC573" s="446" t="e">
        <f>IF(OR($B573="",MIN(AC$38,$D$19)&lt;MAX($P$34*($B573+IF($R$17="Distrato",$I$38-1,0)),IF(AND($L$37=0,$P$34=0),"",$L$37-1),IF($R$17="Distrato",$E573,0))),0,YEARFRAC(MAX($P$34*($B573+IF($R$17="Distrato",$I$38-1,0)),IF(AND($L$37=0,$P$34=0),"",$L$37-1),IF($R$17="Distrato",$E573,0)),MIN(AC$38,$D$19),$P$20))-SUM($P573:AB573)</f>
        <v>#VALUE!</v>
      </c>
      <c r="AD573" s="446" t="e">
        <f>IF(OR($B573="",MIN(AD$38,$D$19)&lt;MAX($P$34*($B573+IF($R$17="Distrato",$I$38-1,0)),IF(AND($L$37=0,$P$34=0),"",$L$37-1),IF($R$17="Distrato",$E573,0))),0,YEARFRAC(MAX($P$34*($B573+IF($R$17="Distrato",$I$38-1,0)),IF(AND($L$37=0,$P$34=0),"",$L$37-1),IF($R$17="Distrato",$E573,0)),MIN(AD$38,$D$19),$P$20))-SUM($P573:AC573)</f>
        <v>#VALUE!</v>
      </c>
      <c r="AE573" s="446" t="e">
        <f>IF(OR($B573="",MIN(AE$38,$D$19)&lt;MAX($P$34*($B573+IF($R$17="Distrato",$I$38-1,0)),IF(AND($L$37=0,$P$34=0),"",$L$37-1),IF($R$17="Distrato",$E573,0))),0,YEARFRAC(MAX($P$34*($B573+IF($R$17="Distrato",$I$38-1,0)),IF(AND($L$37=0,$P$34=0),"",$L$37-1),IF($R$17="Distrato",$E573,0)),MIN(AE$38,$D$19),$P$20))-SUM($P573:AD573)</f>
        <v>#VALUE!</v>
      </c>
      <c r="AF573" s="446" t="e">
        <f>IF(OR($B573="",MIN(AF$38,$D$19)&lt;MAX($P$34*($B573+IF($R$17="Distrato",$I$38-1,0)),IF(AND($L$37=0,$P$34=0),"",$L$37-1),IF($R$17="Distrato",$E573,0))),0,YEARFRAC(MAX($P$34*($B573+IF($R$17="Distrato",$I$38-1,0)),IF(AND($L$37=0,$P$34=0),"",$L$37-1),IF($R$17="Distrato",$E573,0)),MIN(AF$38,$D$19),$P$20))-SUM($P573:AE573)</f>
        <v>#VALUE!</v>
      </c>
      <c r="AG573" s="446" t="e">
        <f>IF(OR($B573="",MIN(AG$38,$D$19)&lt;MAX($P$34*($B573+IF($R$17="Distrato",$I$38-1,0)),IF(AND($L$37=0,$P$34=0),"",$L$37-1),IF($R$17="Distrato",$E573,0))),0,YEARFRAC(MAX($P$34*($B573+IF($R$17="Distrato",$I$38-1,0)),IF(AND($L$37=0,$P$34=0),"",$L$37-1),IF($R$17="Distrato",$E573,0)),MIN(AG$38,$D$19),$P$20))-SUM($P573:AF573)</f>
        <v>#VALUE!</v>
      </c>
      <c r="AH573" s="446" t="e">
        <f>IF(OR($B573="",MIN(AH$38,$D$19)&lt;MAX($P$34*($B573+IF($R$17="Distrato",$I$38-1,0)),IF(AND($L$37=0,$P$34=0),"",$L$37-1),IF($R$17="Distrato",$E573,0))),0,YEARFRAC(MAX($P$34*($B573+IF($R$17="Distrato",$I$38-1,0)),IF(AND($L$37=0,$P$34=0),"",$L$37-1),IF($R$17="Distrato",$E573,0)),MIN(AH$38,$D$19),$P$20))-SUM($P573:AG573)</f>
        <v>#VALUE!</v>
      </c>
      <c r="AI573" s="446" t="e">
        <f>IF(OR($B573="",MIN(AI$38,$D$19)&lt;MAX($P$34*($B573+IF($R$17="Distrato",$I$38-1,0)),IF(AND($L$37=0,$P$34=0),"",$L$37-1),IF($R$17="Distrato",$E573,0))),0,YEARFRAC(MAX($P$34*($B573+IF($R$17="Distrato",$I$38-1,0)),IF(AND($L$37=0,$P$34=0),"",$L$37-1),IF($R$17="Distrato",$E573,0)),MIN(AI$38,$D$19),$P$20))-SUM($P573:AH573)</f>
        <v>#VALUE!</v>
      </c>
      <c r="AJ573" s="446" t="e">
        <f>IF(OR($B573="",MIN(AJ$38,$D$19)&lt;MAX($P$34*($B573+IF($R$17="Distrato",$I$38-1,0)),IF(AND($L$37=0,$P$34=0),"",$L$37-1),IF($R$17="Distrato",$E573,0))),0,YEARFRAC(MAX($P$34*($B573+IF($R$17="Distrato",$I$38-1,0)),IF(AND($L$37=0,$P$34=0),"",$L$37-1),IF($R$17="Distrato",$E573,0)),MIN(AJ$38,$D$19),$P$20))-SUM($P573:AI573)</f>
        <v>#VALUE!</v>
      </c>
      <c r="AK573" s="446" t="e">
        <f>IF(OR($B573="",MIN(AK$38,$D$19)&lt;MAX($P$34*($B573+IF($R$17="Distrato",$I$38-1,0)),IF(AND($L$37=0,$P$34=0),"",$L$37-1),IF($R$17="Distrato",$E573,0))),0,YEARFRAC(MAX($P$34*($B573+IF($R$17="Distrato",$I$38-1,0)),IF(AND($L$37=0,$P$34=0),"",$L$37-1),IF($R$17="Distrato",$E573,0)),MIN(AK$38,$D$19),$P$20))-SUM($P573:AJ573)</f>
        <v>#VALUE!</v>
      </c>
      <c r="AL573" s="446" t="e">
        <f>IF(OR($B573="",MIN(AL$38,$D$19)&lt;MAX($P$34*($B573+IF($R$17="Distrato",$I$38-1,0)),IF(AND($L$37=0,$P$34=0),"",$L$37-1),IF($R$17="Distrato",$E573,0))),0,YEARFRAC(MAX($P$34*($B573+IF($R$17="Distrato",$I$38-1,0)),IF(AND($L$37=0,$P$34=0),"",$L$37-1),IF($R$17="Distrato",$E573,0)),MIN(AL$38,$D$19),$P$20))-SUM($P573:AK573)</f>
        <v>#VALUE!</v>
      </c>
      <c r="AM573" s="446" t="e">
        <f>IF(OR($B573="",MIN(AM$38,$D$19)&lt;MAX($P$34*($B573+IF($R$17="Distrato",$I$38-1,0)),IF(AND($L$37=0,$P$34=0),"",$L$37-1),IF($R$17="Distrato",$E573,0))),0,YEARFRAC(MAX($P$34*($B573+IF($R$17="Distrato",$I$38-1,0)),IF(AND($L$37=0,$P$34=0),"",$L$37-1),IF($R$17="Distrato",$E573,0)),MIN(AM$38,$D$19),$P$20))-SUM($P573:AL573)</f>
        <v>#VALUE!</v>
      </c>
      <c r="AN573" s="446" t="e">
        <f>IF(OR($B573="",MIN(AN$38,$D$19)&lt;MAX($P$34*($B573+IF($R$17="Distrato",$I$38-1,0)),IF(AND($L$37=0,$P$34=0),"",$L$37-1),IF($R$17="Distrato",$E573,0))),0,YEARFRAC(MAX($P$34*($B573+IF($R$17="Distrato",$I$38-1,0)),IF(AND($L$37=0,$P$34=0),"",$L$37-1),IF($R$17="Distrato",$E573,0)),MIN(AN$38,$D$19),$P$20))-SUM($P573:AM573)</f>
        <v>#VALUE!</v>
      </c>
      <c r="AO573" s="446" t="e">
        <f>IF(OR($B573="",MIN(AO$38,$D$19)&lt;MAX($P$34*($B573+IF($R$17="Distrato",$I$38-1,0)),IF(AND($L$37=0,$P$34=0),"",$L$37-1),IF($R$17="Distrato",$E573,0))),0,YEARFRAC(MAX($P$34*($B573+IF($R$17="Distrato",$I$38-1,0)),IF(AND($L$37=0,$P$34=0),"",$L$37-1),IF($R$17="Distrato",$E573,0)),MIN(AO$38,$D$19),$P$20))-SUM($P573:AN573)</f>
        <v>#VALUE!</v>
      </c>
      <c r="AP573" s="446" t="e">
        <f>IF(OR($B573="",MIN(AP$38,$D$19)&lt;MAX($P$34*($B573+IF($R$17="Distrato",$I$38-1,0)),IF(AND($L$37=0,$P$34=0),"",$L$37-1),IF($R$17="Distrato",$E573,0))),0,YEARFRAC(MAX($P$34*($B573+IF($R$17="Distrato",$I$38-1,0)),IF(AND($L$37=0,$P$34=0),"",$L$37-1),IF($R$17="Distrato",$E573,0)),MIN(AP$38,$D$19),$P$20))-SUM($P573:AO573)</f>
        <v>#VALUE!</v>
      </c>
      <c r="AQ573" s="446" t="e">
        <f>IF(OR($B573="",MIN(AQ$38,$D$19)&lt;MAX($P$34*($B573+IF($R$17="Distrato",$I$38-1,0)),IF(AND($L$37=0,$P$34=0),"",$L$37-1),IF($R$17="Distrato",$E573,0))),0,YEARFRAC(MAX($P$34*($B573+IF($R$17="Distrato",$I$38-1,0)),IF(AND($L$37=0,$P$34=0),"",$L$37-1),IF($R$17="Distrato",$E573,0)),MIN(AQ$38,$D$19),$P$20))-SUM($P573:AP573)</f>
        <v>#VALUE!</v>
      </c>
      <c r="AR573" s="446" t="e">
        <f>IF(OR($B573="",MIN(AR$38,$D$19)&lt;MAX($P$34*($B573+IF($R$17="Distrato",$I$38-1,0)),IF(AND($L$37=0,$P$34=0),"",$L$37-1),IF($R$17="Distrato",$E573,0))),0,YEARFRAC(MAX($P$34*($B573+IF($R$17="Distrato",$I$38-1,0)),IF(AND($L$37=0,$P$34=0),"",$L$37-1),IF($R$17="Distrato",$E573,0)),MIN(AR$38,$D$19),$P$20))-SUM($P573:AQ573)</f>
        <v>#VALUE!</v>
      </c>
      <c r="AS573" s="446" t="e">
        <f>IF(OR($B573="",MIN(AS$38,$D$19)&lt;MAX($P$34*($B573+IF($R$17="Distrato",$I$38-1,0)),IF(AND($L$37=0,$P$34=0),"",$L$37-1),IF($R$17="Distrato",$E573,0))),0,YEARFRAC(MAX($P$34*($B573+IF($R$17="Distrato",$I$38-1,0)),IF(AND($L$37=0,$P$34=0),"",$L$37-1),IF($R$17="Distrato",$E573,0)),MIN(AS$38,$D$19),$P$20))-SUM($P573:AR573)</f>
        <v>#VALUE!</v>
      </c>
      <c r="AT573" s="446" t="e">
        <f>IF(OR($B573="",MIN(AT$38,$D$19)&lt;MAX($P$34*($B573+IF($R$17="Distrato",$I$38-1,0)),IF(AND($L$37=0,$P$34=0),"",$L$37-1),IF($R$17="Distrato",$E573,0))),0,YEARFRAC(MAX($P$34*($B573+IF($R$17="Distrato",$I$38-1,0)),IF(AND($L$37=0,$P$34=0),"",$L$37-1),IF($R$17="Distrato",$E573,0)),MIN(AT$38,$D$19),$P$20))-SUM($P573:AS573)</f>
        <v>#VALUE!</v>
      </c>
      <c r="AU573" s="446" t="e">
        <f>IF(OR($B573="",MIN(AU$38,$D$19)&lt;MAX($P$34*($B573+IF($R$17="Distrato",$I$38-1,0)),IF(AND($L$37=0,$P$34=0),"",$L$37-1),IF($R$17="Distrato",$E573,0))),0,YEARFRAC(MAX($P$34*($B573+IF($R$17="Distrato",$I$38-1,0)),IF(AND($L$37=0,$P$34=0),"",$L$37-1),IF($R$17="Distrato",$E573,0)),MIN(AU$38,$D$19),$P$20))-SUM($P573:AT573)</f>
        <v>#VALUE!</v>
      </c>
      <c r="AV573" s="446" t="e">
        <f>IF(OR($B573="",MIN(AV$38,$D$19)&lt;MAX($P$34*($B573+IF($R$17="Distrato",$I$38-1,0)),IF(AND($L$37=0,$P$34=0),"",$L$37-1),IF($R$17="Distrato",$E573,0))),0,YEARFRAC(MAX($P$34*($B573+IF($R$17="Distrato",$I$38-1,0)),IF(AND($L$37=0,$P$34=0),"",$L$37-1),IF($R$17="Distrato",$E573,0)),MIN(AV$38,$D$19),$P$20))-SUM($P573:AU573)</f>
        <v>#VALUE!</v>
      </c>
      <c r="AW573" s="446" t="e">
        <f>IF(OR($B573="",MIN(AW$38,$D$19)&lt;MAX($P$34*($B573+IF($R$17="Distrato",$I$38-1,0)),IF(AND($L$37=0,$P$34=0),"",$L$37-1),IF($R$17="Distrato",$E573,0))),0,YEARFRAC(MAX($P$34*($B573+IF($R$17="Distrato",$I$38-1,0)),IF(AND($L$37=0,$P$34=0),"",$L$37-1),IF($R$17="Distrato",$E573,0)),MIN(AW$38,$D$19),$P$20))-SUM($P573:AV573)</f>
        <v>#VALUE!</v>
      </c>
      <c r="AX573" s="446" t="e">
        <f>IF(OR($B573="",MIN(AX$38,$D$19)&lt;MAX($P$34*($B573+IF($R$17="Distrato",$I$38-1,0)),IF(AND($L$37=0,$P$34=0),"",$L$37-1),IF($R$17="Distrato",$E573,0))),0,YEARFRAC(MAX($P$34*($B573+IF($R$17="Distrato",$I$38-1,0)),IF(AND($L$37=0,$P$34=0),"",$L$37-1),IF($R$17="Distrato",$E573,0)),MIN(AX$38,$D$19),$P$20))-SUM($P573:AW573)</f>
        <v>#VALUE!</v>
      </c>
      <c r="AY573" s="446" t="e">
        <f>IF(OR($B573="",MIN(AY$38,$D$19)&lt;MAX($P$34*($B573+IF($R$17="Distrato",$I$38-1,0)),IF(AND($L$37=0,$P$34=0),"",$L$37-1),IF($R$17="Distrato",$E573,0))),0,YEARFRAC(MAX($P$34*($B573+IF($R$17="Distrato",$I$38-1,0)),IF(AND($L$37=0,$P$34=0),"",$L$37-1),IF($R$17="Distrato",$E573,0)),MIN(AY$38,$D$19),$P$20))-SUM($P573:AX573)</f>
        <v>#VALUE!</v>
      </c>
      <c r="AZ573" s="446" t="e">
        <f>IF(OR($B573="",MIN(AZ$38,$D$19)&lt;MAX($P$34*($B573+IF($R$17="Distrato",$I$38-1,0)),IF(AND($L$37=0,$P$34=0),"",$L$37-1),IF($R$17="Distrato",$E573,0))),0,YEARFRAC(MAX($P$34*($B573+IF($R$17="Distrato",$I$38-1,0)),IF(AND($L$37=0,$P$34=0),"",$L$37-1),IF($R$17="Distrato",$E573,0)),MIN(AZ$38,$D$19),$P$20))-SUM($P573:AY573)</f>
        <v>#VALUE!</v>
      </c>
      <c r="BA573" s="446" t="e">
        <f>IF(OR($B573="",MIN(BA$38,$D$19)&lt;MAX($P$34*($B573+IF($R$17="Distrato",$I$38-1,0)),IF(AND($L$37=0,$P$34=0),"",$L$37-1),IF($R$17="Distrato",$E573,0))),0,YEARFRAC(MAX($P$34*($B573+IF($R$17="Distrato",$I$38-1,0)),IF(AND($L$37=0,$P$34=0),"",$L$37-1),IF($R$17="Distrato",$E573,0)),MIN(BA$38,$D$19),$P$20))-SUM($P573:AZ573)</f>
        <v>#VALUE!</v>
      </c>
      <c r="BB573" s="447"/>
      <c r="BF573" s="446">
        <f t="shared" si="98"/>
        <v>0</v>
      </c>
      <c r="BG573" s="446">
        <f>IF($E573=0,0,IF(MIN(BG$38,$E573)&lt;MAX($P$34*($B573+$I$38-1),IF(AND($L$37=0,$P$34=0),"",$L$37-1)),0,YEARFRAC(MAX($P$34*($B573+$I$38-1),IF(AND($L$37=0,$P$34=0),"",$L$37-1)),MIN(BG$38,$E573),$P$20))-SUM($BF573:BF573))</f>
        <v>0</v>
      </c>
      <c r="BH573" s="446">
        <f>IF($E573=0,0,IF(MIN(BH$38,$E573)&lt;MAX($P$34*($B573+$I$38-1),IF(AND($L$37=0,$P$34=0),"",$L$37-1)),0,YEARFRAC(MAX($P$34*($B573+$I$38-1),IF(AND($L$37=0,$P$34=0),"",$L$37-1)),MIN(BH$38,$E573),$P$20))-SUM($BF573:BG573))</f>
        <v>0</v>
      </c>
      <c r="BI573" s="446">
        <f>IF($E573=0,0,IF(MIN(BI$38,$E573)&lt;MAX($P$34*($B573+$I$38-1),IF(AND($L$37=0,$P$34=0),"",$L$37-1)),0,YEARFRAC(MAX($P$34*($B573+$I$38-1),IF(AND($L$37=0,$P$34=0),"",$L$37-1)),MIN(BI$38,$E573),$P$20))-SUM($BF573:BH573))</f>
        <v>0</v>
      </c>
      <c r="BJ573" s="446">
        <f>IF($E573=0,0,IF(MIN(BJ$38,$E573)&lt;MAX($P$34*($B573+$I$38-1),IF(AND($L$37=0,$P$34=0),"",$L$37-1)),0,YEARFRAC(MAX($P$34*($B573+$I$38-1),IF(AND($L$37=0,$P$34=0),"",$L$37-1)),MIN(BJ$38,$E573),$P$20))-SUM($BF573:BI573))</f>
        <v>0</v>
      </c>
      <c r="BK573" s="446">
        <f>IF($E573=0,0,IF(MIN(BK$38,$E573)&lt;MAX($P$34*($B573+$I$38-1),IF(AND($L$37=0,$P$34=0),"",$L$37-1)),0,YEARFRAC(MAX($P$34*($B573+$I$38-1),IF(AND($L$37=0,$P$34=0),"",$L$37-1)),MIN(BK$38,$E573),$P$20))-SUM($BF573:BJ573))</f>
        <v>0</v>
      </c>
      <c r="BL573" s="446">
        <f>IF($E573=0,0,IF(MIN(BL$38,$E573)&lt;MAX($P$34*($B573+$I$38-1),IF(AND($L$37=0,$P$34=0),"",$L$37-1)),0,YEARFRAC(MAX($P$34*($B573+$I$38-1),IF(AND($L$37=0,$P$34=0),"",$L$37-1)),MIN(BL$38,$E573),$P$20))-SUM($BF573:BK573))</f>
        <v>0</v>
      </c>
      <c r="BM573" s="446">
        <f>IF($E573=0,0,IF(MIN(BM$38,$E573)&lt;MAX($P$34*($B573+$I$38-1),IF(AND($L$37=0,$P$34=0),"",$L$37-1)),0,YEARFRAC(MAX($P$34*($B573+$I$38-1),IF(AND($L$37=0,$P$34=0),"",$L$37-1)),MIN(BM$38,$E573),$P$20))-SUM($BF573:BL573))</f>
        <v>0</v>
      </c>
      <c r="BN573" s="446">
        <f>IF($E573=0,0,IF(MIN(BN$38,$E573)&lt;MAX($P$34*($B573+$I$38-1),IF(AND($L$37=0,$P$34=0),"",$L$37-1)),0,YEARFRAC(MAX($P$34*($B573+$I$38-1),IF(AND($L$37=0,$P$34=0),"",$L$37-1)),MIN(BN$38,$E573),$P$20))-SUM($BF573:BM573))</f>
        <v>0</v>
      </c>
      <c r="BO573" s="446">
        <f>IF($E573=0,0,IF(MIN(BO$38,$E573)&lt;MAX($P$34*($B573+$I$38-1),IF(AND($L$37=0,$P$34=0),"",$L$37-1)),0,YEARFRAC(MAX($P$34*($B573+$I$38-1),IF(AND($L$37=0,$P$34=0),"",$L$37-1)),MIN(BO$38,$E573),$P$20))-SUM($BF573:BN573))</f>
        <v>0</v>
      </c>
      <c r="BP573" s="446">
        <f>IF($E573=0,0,IF(MIN(BP$38,$E573)&lt;MAX($P$34*($B573+$I$38-1),IF(AND($L$37=0,$P$34=0),"",$L$37-1)),0,YEARFRAC(MAX($P$34*($B573+$I$38-1),IF(AND($L$37=0,$P$34=0),"",$L$37-1)),MIN(BP$38,$E573),$P$20))-SUM($BF573:BO573))</f>
        <v>0</v>
      </c>
      <c r="BQ573" s="446">
        <f>IF($E573=0,0,IF(MIN(BQ$38,$E573)&lt;MAX($P$34*($B573+$I$38-1),IF(AND($L$37=0,$P$34=0),"",$L$37-1)),0,YEARFRAC(MAX($P$34*($B573+$I$38-1),IF(AND($L$37=0,$P$34=0),"",$L$37-1)),MIN(BQ$38,$E573),$P$20))-SUM($BF573:BP573))</f>
        <v>0</v>
      </c>
      <c r="BR573" s="446">
        <f>IF($E573=0,0,IF(MIN(BR$38,$E573)&lt;MAX($P$34*($B573+$I$38-1),IF(AND($L$37=0,$P$34=0),"",$L$37-1)),0,YEARFRAC(MAX($P$34*($B573+$I$38-1),IF(AND($L$37=0,$P$34=0),"",$L$37-1)),MIN(BR$38,$E573),$P$20))-SUM($BF573:BQ573))</f>
        <v>0</v>
      </c>
      <c r="BS573" s="446">
        <f>IF($E573=0,0,IF(MIN(BS$38,$E573)&lt;MAX($P$34*($B573+$I$38-1),IF(AND($L$37=0,$P$34=0),"",$L$37-1)),0,YEARFRAC(MAX($P$34*($B573+$I$38-1),IF(AND($L$37=0,$P$34=0),"",$L$37-1)),MIN(BS$38,$E573),$P$20))-SUM($BF573:BR573))</f>
        <v>0</v>
      </c>
      <c r="BT573" s="446">
        <f>IF($E573=0,0,IF(MIN(BT$38,$E573)&lt;MAX($P$34*($B573+$I$38-1),IF(AND($L$37=0,$P$34=0),"",$L$37-1)),0,YEARFRAC(MAX($P$34*($B573+$I$38-1),IF(AND($L$37=0,$P$34=0),"",$L$37-1)),MIN(BT$38,$E573),$P$20))-SUM($BF573:BS573))</f>
        <v>0</v>
      </c>
      <c r="BU573" s="446">
        <f>IF($E573=0,0,IF(MIN(BU$38,$E573)&lt;MAX($P$34*($B573+$I$38-1),IF(AND($L$37=0,$P$34=0),"",$L$37-1)),0,YEARFRAC(MAX($P$34*($B573+$I$38-1),IF(AND($L$37=0,$P$34=0),"",$L$37-1)),MIN(BU$38,$E573),$P$20))-SUM($BF573:BT573))</f>
        <v>0</v>
      </c>
      <c r="BV573" s="446">
        <f>IF($E573=0,0,IF(MIN(BV$38,$E573)&lt;MAX($P$34*($B573+$I$38-1),IF(AND($L$37=0,$P$34=0),"",$L$37-1)),0,YEARFRAC(MAX($P$34*($B573+$I$38-1),IF(AND($L$37=0,$P$34=0),"",$L$37-1)),MIN(BV$38,$E573),$P$20))-SUM($BF573:BU573))</f>
        <v>0</v>
      </c>
      <c r="BW573" s="446">
        <f>IF($E573=0,0,IF(MIN(BW$38,$E573)&lt;MAX($P$34*($B573+$I$38-1),IF(AND($L$37=0,$P$34=0),"",$L$37-1)),0,YEARFRAC(MAX($P$34*($B573+$I$38-1),IF(AND($L$37=0,$P$34=0),"",$L$37-1)),MIN(BW$38,$E573),$P$20))-SUM($BF573:BV573))</f>
        <v>0</v>
      </c>
      <c r="BX573" s="446">
        <f>IF($E573=0,0,IF(MIN(BX$38,$E573)&lt;MAX($P$34*($B573+$I$38-1),IF(AND($L$37=0,$P$34=0),"",$L$37-1)),0,YEARFRAC(MAX($P$34*($B573+$I$38-1),IF(AND($L$37=0,$P$34=0),"",$L$37-1)),MIN(BX$38,$E573),$P$20))-SUM($BF573:BW573))</f>
        <v>0</v>
      </c>
      <c r="BY573" s="446">
        <f>IF($E573=0,0,IF(MIN(BY$38,$E573)&lt;MAX($P$34*($B573+$I$38-1),IF(AND($L$37=0,$P$34=0),"",$L$37-1)),0,YEARFRAC(MAX($P$34*($B573+$I$38-1),IF(AND($L$37=0,$P$34=0),"",$L$37-1)),MIN(BY$38,$E573),$P$20))-SUM($BF573:BX573))</f>
        <v>0</v>
      </c>
      <c r="BZ573" s="446">
        <f>IF($E573=0,0,IF(MIN(BZ$38,$E573)&lt;MAX($P$34*($B573+$I$38-1),IF(AND($L$37=0,$P$34=0),"",$L$37-1)),0,YEARFRAC(MAX($P$34*($B573+$I$38-1),IF(AND($L$37=0,$P$34=0),"",$L$37-1)),MIN(BZ$38,$E573),$P$20))-SUM($BF573:BY573))</f>
        <v>0</v>
      </c>
      <c r="CA573" s="446">
        <f>IF($E573=0,0,IF(MIN(CA$38,$E573)&lt;MAX($P$34*($B573+$I$38-1),IF(AND($L$37=0,$P$34=0),"",$L$37-1)),0,YEARFRAC(MAX($P$34*($B573+$I$38-1),IF(AND($L$37=0,$P$34=0),"",$L$37-1)),MIN(CA$38,$E573),$P$20))-SUM($BF573:BZ573))</f>
        <v>0</v>
      </c>
      <c r="CB573" s="446">
        <f>IF($E573=0,0,IF(MIN(CB$38,$E573)&lt;MAX($P$34*($B573+$I$38-1),IF(AND($L$37=0,$P$34=0),"",$L$37-1)),0,YEARFRAC(MAX($P$34*($B573+$I$38-1),IF(AND($L$37=0,$P$34=0),"",$L$37-1)),MIN(CB$38,$E573),$P$20))-SUM($BF573:CA573))</f>
        <v>0</v>
      </c>
      <c r="CC573" s="446">
        <f>IF($E573=0,0,IF(MIN(CC$38,$E573)&lt;MAX($P$34*($B573+$I$38-1),IF(AND($L$37=0,$P$34=0),"",$L$37-1)),0,YEARFRAC(MAX($P$34*($B573+$I$38-1),IF(AND($L$37=0,$P$34=0),"",$L$37-1)),MIN(CC$38,$E573),$P$20))-SUM($BF573:CB573))</f>
        <v>0</v>
      </c>
      <c r="CD573" s="446">
        <f>IF($E573=0,0,IF(MIN(CD$38,$E573)&lt;MAX($P$34*($B573+$I$38-1),IF(AND($L$37=0,$P$34=0),"",$L$37-1)),0,YEARFRAC(MAX($P$34*($B573+$I$38-1),IF(AND($L$37=0,$P$34=0),"",$L$37-1)),MIN(CD$38,$E573),$P$20))-SUM($BF573:CC573))</f>
        <v>0</v>
      </c>
      <c r="CE573" s="446">
        <f>IF($E573=0,0,IF(MIN(CE$38,$E573)&lt;MAX($P$34*($B573+$I$38-1),IF(AND($L$37=0,$P$34=0),"",$L$37-1)),0,YEARFRAC(MAX($P$34*($B573+$I$38-1),IF(AND($L$37=0,$P$34=0),"",$L$37-1)),MIN(CE$38,$E573),$P$20))-SUM($BF573:CD573))</f>
        <v>0</v>
      </c>
      <c r="CF573" s="446">
        <f>IF($E573=0,0,IF(MIN(CF$38,$E573)&lt;MAX($P$34*($B573+$I$38-1),IF(AND($L$37=0,$P$34=0),"",$L$37-1)),0,YEARFRAC(MAX($P$34*($B573+$I$38-1),IF(AND($L$37=0,$P$34=0),"",$L$37-1)),MIN(CF$38,$E573),$P$20))-SUM($BF573:CE573))</f>
        <v>0</v>
      </c>
      <c r="CG573" s="446">
        <f>IF($E573=0,0,IF(MIN(CG$38,$E573)&lt;MAX($P$34*($B573+$I$38-1),IF(AND($L$37=0,$P$34=0),"",$L$37-1)),0,YEARFRAC(MAX($P$34*($B573+$I$38-1),IF(AND($L$37=0,$P$34=0),"",$L$37-1)),MIN(CG$38,$E573),$P$20))-SUM($BF573:CF573))</f>
        <v>0</v>
      </c>
      <c r="CH573" s="446">
        <f>IF($E573=0,0,IF(MIN(CH$38,$E573)&lt;MAX($P$34*($B573+$I$38-1),IF(AND($L$37=0,$P$34=0),"",$L$37-1)),0,YEARFRAC(MAX($P$34*($B573+$I$38-1),IF(AND($L$37=0,$P$34=0),"",$L$37-1)),MIN(CH$38,$E573),$P$20))-SUM($BF573:CG573))</f>
        <v>0</v>
      </c>
      <c r="CI573" s="446">
        <f>IF($E573=0,0,IF(MIN(CI$38,$E573)&lt;MAX($P$34*($B573+$I$38-1),IF(AND($L$37=0,$P$34=0),"",$L$37-1)),0,YEARFRAC(MAX($P$34*($B573+$I$38-1),IF(AND($L$37=0,$P$34=0),"",$L$37-1)),MIN(CI$38,$E573),$P$20))-SUM($BF573:CH573))</f>
        <v>0</v>
      </c>
      <c r="CJ573" s="446">
        <f>IF($E573=0,0,IF(MIN(CJ$38,$E573)&lt;MAX($P$34*($B573+$I$38-1),IF(AND($L$37=0,$P$34=0),"",$L$37-1)),0,YEARFRAC(MAX($P$34*($B573+$I$38-1),IF(AND($L$37=0,$P$34=0),"",$L$37-1)),MIN(CJ$38,$E573),$P$20))-SUM($BF573:CI573))</f>
        <v>0</v>
      </c>
      <c r="CK573" s="446">
        <f>IF($E573=0,0,IF(MIN(CK$38,$E573)&lt;MAX($P$34*($B573+$I$38-1),IF(AND($L$37=0,$P$34=0),"",$L$37-1)),0,YEARFRAC(MAX($P$34*($B573+$I$38-1),IF(AND($L$37=0,$P$34=0),"",$L$37-1)),MIN(CK$38,$E573),$P$20))-SUM($BF573:CJ573))</f>
        <v>0</v>
      </c>
      <c r="CL573" s="446">
        <f>IF($E573=0,0,IF(MIN(CL$38,$E573)&lt;MAX($P$34*($B573+$I$38-1),IF(AND($L$37=0,$P$34=0),"",$L$37-1)),0,YEARFRAC(MAX($P$34*($B573+$I$38-1),IF(AND($L$37=0,$P$34=0),"",$L$37-1)),MIN(CL$38,$E573),$P$20))-SUM($BF573:CK573))</f>
        <v>0</v>
      </c>
      <c r="CM573" s="446">
        <f>IF($E573=0,0,IF(MIN(CM$38,$E573)&lt;MAX($P$34*($B573+$I$38-1),IF(AND($L$37=0,$P$34=0),"",$L$37-1)),0,YEARFRAC(MAX($P$34*($B573+$I$38-1),IF(AND($L$37=0,$P$34=0),"",$L$37-1)),MIN(CM$38,$E573),$P$20))-SUM($BF573:CL573))</f>
        <v>0</v>
      </c>
      <c r="CN573" s="446">
        <f>IF($E573=0,0,IF(MIN(CN$38,$E573)&lt;MAX($P$34*($B573+$I$38-1),IF(AND($L$37=0,$P$34=0),"",$L$37-1)),0,YEARFRAC(MAX($P$34*($B573+$I$38-1),IF(AND($L$37=0,$P$34=0),"",$L$37-1)),MIN(CN$38,$E573),$P$20))-SUM($BF573:CM573))</f>
        <v>0</v>
      </c>
      <c r="CO573" s="446">
        <f>IF($E573=0,0,IF(MIN(CO$38,$E573)&lt;MAX($P$34*($B573+$I$38-1),IF(AND($L$37=0,$P$34=0),"",$L$37-1)),0,YEARFRAC(MAX($P$34*($B573+$I$38-1),IF(AND($L$37=0,$P$34=0),"",$L$37-1)),MIN(CO$38,$E573),$P$20))-SUM($BF573:CN573))</f>
        <v>0</v>
      </c>
      <c r="CP573" s="446">
        <f>IF($E573=0,0,IF(MIN(CP$38,$E573)&lt;MAX($P$34*($B573+$I$38-1),IF(AND($L$37=0,$P$34=0),"",$L$37-1)),0,YEARFRAC(MAX($P$34*($B573+$I$38-1),IF(AND($L$37=0,$P$34=0),"",$L$37-1)),MIN(CP$38,$E573),$P$20))-SUM($BF573:CO573))</f>
        <v>0</v>
      </c>
      <c r="CQ573" s="446">
        <f>IF($E573=0,0,IF(MIN(CQ$38,$E573)&lt;MAX($P$34*($B573+$I$38-1),IF(AND($L$37=0,$P$34=0),"",$L$37-1)),0,YEARFRAC(MAX($P$34*($B573+$I$38-1),IF(AND($L$37=0,$P$34=0),"",$L$37-1)),MIN(CQ$38,$E573),$P$20))-SUM($BF573:CP573))</f>
        <v>0</v>
      </c>
    </row>
    <row r="574" spans="1:95" s="446" customFormat="1" ht="11.25" hidden="1" customHeight="1" x14ac:dyDescent="0.2">
      <c r="A574" s="152"/>
      <c r="B574" s="153" t="str">
        <f t="shared" si="103"/>
        <v/>
      </c>
      <c r="C574" s="29" t="str">
        <f>IF(B574="","",IF($L$35="SELIC - TRIBUTOS",VLOOKUP(DATE(YEAR($D$19),MONTH($D$19)-1,1),ÍNDICES!$A:$DE,HLOOKUP($BL$25,ÍNDICES!$B$3:$T$4,2)+11)-VLOOKUP(B574,ÍNDICES!$A:$DE,HLOOKUP($BL$25,ÍNDICES!$B$3:$T$4,2)+11)+1%,IF(C$38=$W$26,$J$35,IF(ISERROR(IF(B574&gt;$D$19,1,VLOOKUP(DATE(YEAR(B574),MONTH(B574)+IF($C$35=$S$23,1,0),1),ÍNDICES!$A:$DE,$Z$35+1))),"",IF(B574&gt;$D$19,1,VLOOKUP(DATE(YEAR(B574),MONTH(B574)+IF($C$35=$S$23,1,0),1),ÍNDICES!$A:$DE,$Z$35+1))))))</f>
        <v/>
      </c>
      <c r="D574" s="154" t="str">
        <f>IF(ISERROR(IF(OR($D$38=$Y$27,$B574=""),"",VLOOKUP(B574,ÍNDICES!A:DE,AF$35+1))),"",IF(OR($D$38=$Y$27,$B574=""),"",VLOOKUP(B574,ÍNDICES!A:DE,AF$35+1)))</f>
        <v/>
      </c>
      <c r="E574" s="153"/>
      <c r="F574" s="29" t="str">
        <f>IF(E574="","",IF($L$35="SELIC - TRIBUTOS",VLOOKUP(DATE(YEAR($D$19),MONTH($D$19)-1,1),ÍNDICES!$A:$DE,HLOOKUP($BL$25,ÍNDICES!$B$3:$T$4,2)+11)-VLOOKUP(E574,ÍNDICES!$A:$DE,HLOOKUP($BL$25,ÍNDICES!$B$3:$T$4,2)+11)+1%,IF(F$38=$W$26,$J$35,IF(ISERROR(IF(E574&gt;$D$19,1,VLOOKUP(DATE(YEAR(E574),MONTH(E574)+IF($C$35=$S$23,1,0),1),ÍNDICES!$A:$DE,$Z$35+1))),"",IF(E574&gt;$D$19,1,VLOOKUP(DATE(YEAR(E574),MONTH(E574)+IF($C$35=$S$23,1,0),1),ÍNDICES!$A:$DE,$Z$35+1))))))</f>
        <v/>
      </c>
      <c r="G574" s="155"/>
      <c r="H574" s="156" t="str">
        <f t="shared" si="99"/>
        <v/>
      </c>
      <c r="I574" s="29" t="str">
        <f t="shared" si="93"/>
        <v/>
      </c>
      <c r="J574" s="5">
        <f t="shared" si="94"/>
        <v>0</v>
      </c>
      <c r="K574" s="20">
        <f t="shared" ca="1" si="95"/>
        <v>0</v>
      </c>
      <c r="L574" s="5">
        <f t="shared" ca="1" si="96"/>
        <v>0</v>
      </c>
      <c r="M574" s="64">
        <f t="shared" si="100"/>
        <v>0</v>
      </c>
      <c r="N574" s="61">
        <f t="shared" ca="1" si="101"/>
        <v>0</v>
      </c>
      <c r="O574" s="5">
        <f t="shared" ca="1" si="102"/>
        <v>0</v>
      </c>
      <c r="P574" s="446" t="e">
        <f t="shared" si="97"/>
        <v>#VALUE!</v>
      </c>
      <c r="Q574" s="446" t="e">
        <f>IF(OR($B574="",MIN(Q$38,$D$19)&lt;MAX($P$34*($B574+IF($R$17="Distrato",$I$38-1,0)),IF(AND($L$37=0,$P$34=0),"",$L$37-1),IF($R$17="Distrato",$E574,0))),0,YEARFRAC(MAX($P$34*($B574+IF($R$17="Distrato",$I$38-1,0)),IF(AND($L$37=0,$P$34=0),"",$L$37-1),IF($R$17="Distrato",$E574,0)),MIN(Q$38,$D$19),$P$20))-SUM($P574:P574)</f>
        <v>#VALUE!</v>
      </c>
      <c r="R574" s="446" t="e">
        <f>IF(OR($B574="",MIN(R$38,$D$19)&lt;MAX($P$34*($B574+IF($R$17="Distrato",$I$38-1,0)),IF(AND($L$37=0,$P$34=0),"",$L$37-1),IF($R$17="Distrato",$E574,0))),0,YEARFRAC(MAX($P$34*($B574+IF($R$17="Distrato",$I$38-1,0)),IF(AND($L$37=0,$P$34=0),"",$L$37-1),IF($R$17="Distrato",$E574,0)),MIN(R$38,$D$19),$P$20))-SUM($P574:Q574)</f>
        <v>#VALUE!</v>
      </c>
      <c r="S574" s="446" t="e">
        <f>IF(OR($B574="",MIN(S$38,$D$19)&lt;MAX($P$34*($B574+IF($R$17="Distrato",$I$38-1,0)),IF(AND($L$37=0,$P$34=0),"",$L$37-1),IF($R$17="Distrato",$E574,0))),0,YEARFRAC(MAX($P$34*($B574+IF($R$17="Distrato",$I$38-1,0)),IF(AND($L$37=0,$P$34=0),"",$L$37-1),IF($R$17="Distrato",$E574,0)),MIN(S$38,$D$19),$P$20))-SUM($P574:R574)</f>
        <v>#VALUE!</v>
      </c>
      <c r="T574" s="446" t="e">
        <f>IF(OR($B574="",MIN(T$38,$D$19)&lt;MAX($P$34*($B574+IF($R$17="Distrato",$I$38-1,0)),IF(AND($L$37=0,$P$34=0),"",$L$37-1),IF($R$17="Distrato",$E574,0))),0,YEARFRAC(MAX($P$34*($B574+IF($R$17="Distrato",$I$38-1,0)),IF(AND($L$37=0,$P$34=0),"",$L$37-1),IF($R$17="Distrato",$E574,0)),MIN(T$38,$D$19),$P$20))-SUM($P574:S574)</f>
        <v>#VALUE!</v>
      </c>
      <c r="U574" s="446" t="e">
        <f>IF(OR($B574="",MIN(U$38,$D$19)&lt;MAX($P$34*($B574+IF($R$17="Distrato",$I$38-1,0)),IF(AND($L$37=0,$P$34=0),"",$L$37-1),IF($R$17="Distrato",$E574,0))),0,YEARFRAC(MAX($P$34*($B574+IF($R$17="Distrato",$I$38-1,0)),IF(AND($L$37=0,$P$34=0),"",$L$37-1),IF($R$17="Distrato",$E574,0)),MIN(U$38,$D$19),$P$20))-SUM($P574:T574)</f>
        <v>#VALUE!</v>
      </c>
      <c r="V574" s="446" t="e">
        <f>IF(OR($B574="",MIN(V$38,$D$19)&lt;MAX($P$34*($B574+IF($R$17="Distrato",$I$38-1,0)),IF(AND($L$37=0,$P$34=0),"",$L$37-1),IF($R$17="Distrato",$E574,0))),0,YEARFRAC(MAX($P$34*($B574+IF($R$17="Distrato",$I$38-1,0)),IF(AND($L$37=0,$P$34=0),"",$L$37-1),IF($R$17="Distrato",$E574,0)),MIN(V$38,$D$19),$P$20))-SUM($P574:U574)</f>
        <v>#VALUE!</v>
      </c>
      <c r="W574" s="446" t="e">
        <f>IF(OR($B574="",MIN(W$38,$D$19)&lt;MAX($P$34*($B574+IF($R$17="Distrato",$I$38-1,0)),IF(AND($L$37=0,$P$34=0),"",$L$37-1),IF($R$17="Distrato",$E574,0))),0,YEARFRAC(MAX($P$34*($B574+IF($R$17="Distrato",$I$38-1,0)),IF(AND($L$37=0,$P$34=0),"",$L$37-1),IF($R$17="Distrato",$E574,0)),MIN(W$38,$D$19),$P$20))-SUM($P574:V574)</f>
        <v>#VALUE!</v>
      </c>
      <c r="X574" s="446" t="e">
        <f>IF(OR($B574="",MIN(X$38,$D$19)&lt;MAX($P$34*($B574+IF($R$17="Distrato",$I$38-1,0)),IF(AND($L$37=0,$P$34=0),"",$L$37-1),IF($R$17="Distrato",$E574,0))),0,YEARFRAC(MAX($P$34*($B574+IF($R$17="Distrato",$I$38-1,0)),IF(AND($L$37=0,$P$34=0),"",$L$37-1),IF($R$17="Distrato",$E574,0)),MIN(X$38,$D$19),$P$20))-SUM($P574:W574)</f>
        <v>#VALUE!</v>
      </c>
      <c r="Y574" s="446" t="e">
        <f>IF(OR($B574="",MIN(Y$38,$D$19)&lt;MAX($P$34*($B574+IF($R$17="Distrato",$I$38-1,0)),IF(AND($L$37=0,$P$34=0),"",$L$37-1),IF($R$17="Distrato",$E574,0))),0,YEARFRAC(MAX($P$34*($B574+IF($R$17="Distrato",$I$38-1,0)),IF(AND($L$37=0,$P$34=0),"",$L$37-1),IF($R$17="Distrato",$E574,0)),MIN(Y$38,$D$19),$P$20))-SUM($P574:X574)</f>
        <v>#VALUE!</v>
      </c>
      <c r="Z574" s="446" t="e">
        <f>IF(OR($B574="",MIN(Z$38,$D$19)&lt;MAX($P$34*($B574+IF($R$17="Distrato",$I$38-1,0)),IF(AND($L$37=0,$P$34=0),"",$L$37-1),IF($R$17="Distrato",$E574,0))),0,YEARFRAC(MAX($P$34*($B574+IF($R$17="Distrato",$I$38-1,0)),IF(AND($L$37=0,$P$34=0),"",$L$37-1),IF($R$17="Distrato",$E574,0)),MIN(Z$38,$D$19),$P$20))-SUM($P574:Y574)</f>
        <v>#VALUE!</v>
      </c>
      <c r="AA574" s="446" t="e">
        <f>IF(OR($B574="",MIN(AA$38,$D$19)&lt;MAX($P$34*($B574+IF($R$17="Distrato",$I$38-1,0)),IF(AND($L$37=0,$P$34=0),"",$L$37-1),IF($R$17="Distrato",$E574,0))),0,YEARFRAC(MAX($P$34*($B574+IF($R$17="Distrato",$I$38-1,0)),IF(AND($L$37=0,$P$34=0),"",$L$37-1),IF($R$17="Distrato",$E574,0)),MIN(AA$38,$D$19),$P$20))-SUM($P574:Z574)</f>
        <v>#VALUE!</v>
      </c>
      <c r="AB574" s="446" t="e">
        <f>IF(OR($B574="",MIN(AB$38,$D$19)&lt;MAX($P$34*($B574+IF($R$17="Distrato",$I$38-1,0)),IF(AND($L$37=0,$P$34=0),"",$L$37-1),IF($R$17="Distrato",$E574,0))),0,YEARFRAC(MAX($P$34*($B574+IF($R$17="Distrato",$I$38-1,0)),IF(AND($L$37=0,$P$34=0),"",$L$37-1),IF($R$17="Distrato",$E574,0)),MIN(AB$38,$D$19),$P$20))-SUM($P574:AA574)</f>
        <v>#VALUE!</v>
      </c>
      <c r="AC574" s="446" t="e">
        <f>IF(OR($B574="",MIN(AC$38,$D$19)&lt;MAX($P$34*($B574+IF($R$17="Distrato",$I$38-1,0)),IF(AND($L$37=0,$P$34=0),"",$L$37-1),IF($R$17="Distrato",$E574,0))),0,YEARFRAC(MAX($P$34*($B574+IF($R$17="Distrato",$I$38-1,0)),IF(AND($L$37=0,$P$34=0),"",$L$37-1),IF($R$17="Distrato",$E574,0)),MIN(AC$38,$D$19),$P$20))-SUM($P574:AB574)</f>
        <v>#VALUE!</v>
      </c>
      <c r="AD574" s="446" t="e">
        <f>IF(OR($B574="",MIN(AD$38,$D$19)&lt;MAX($P$34*($B574+IF($R$17="Distrato",$I$38-1,0)),IF(AND($L$37=0,$P$34=0),"",$L$37-1),IF($R$17="Distrato",$E574,0))),0,YEARFRAC(MAX($P$34*($B574+IF($R$17="Distrato",$I$38-1,0)),IF(AND($L$37=0,$P$34=0),"",$L$37-1),IF($R$17="Distrato",$E574,0)),MIN(AD$38,$D$19),$P$20))-SUM($P574:AC574)</f>
        <v>#VALUE!</v>
      </c>
      <c r="AE574" s="446" t="e">
        <f>IF(OR($B574="",MIN(AE$38,$D$19)&lt;MAX($P$34*($B574+IF($R$17="Distrato",$I$38-1,0)),IF(AND($L$37=0,$P$34=0),"",$L$37-1),IF($R$17="Distrato",$E574,0))),0,YEARFRAC(MAX($P$34*($B574+IF($R$17="Distrato",$I$38-1,0)),IF(AND($L$37=0,$P$34=0),"",$L$37-1),IF($R$17="Distrato",$E574,0)),MIN(AE$38,$D$19),$P$20))-SUM($P574:AD574)</f>
        <v>#VALUE!</v>
      </c>
      <c r="AF574" s="446" t="e">
        <f>IF(OR($B574="",MIN(AF$38,$D$19)&lt;MAX($P$34*($B574+IF($R$17="Distrato",$I$38-1,0)),IF(AND($L$37=0,$P$34=0),"",$L$37-1),IF($R$17="Distrato",$E574,0))),0,YEARFRAC(MAX($P$34*($B574+IF($R$17="Distrato",$I$38-1,0)),IF(AND($L$37=0,$P$34=0),"",$L$37-1),IF($R$17="Distrato",$E574,0)),MIN(AF$38,$D$19),$P$20))-SUM($P574:AE574)</f>
        <v>#VALUE!</v>
      </c>
      <c r="AG574" s="446" t="e">
        <f>IF(OR($B574="",MIN(AG$38,$D$19)&lt;MAX($P$34*($B574+IF($R$17="Distrato",$I$38-1,0)),IF(AND($L$37=0,$P$34=0),"",$L$37-1),IF($R$17="Distrato",$E574,0))),0,YEARFRAC(MAX($P$34*($B574+IF($R$17="Distrato",$I$38-1,0)),IF(AND($L$37=0,$P$34=0),"",$L$37-1),IF($R$17="Distrato",$E574,0)),MIN(AG$38,$D$19),$P$20))-SUM($P574:AF574)</f>
        <v>#VALUE!</v>
      </c>
      <c r="AH574" s="446" t="e">
        <f>IF(OR($B574="",MIN(AH$38,$D$19)&lt;MAX($P$34*($B574+IF($R$17="Distrato",$I$38-1,0)),IF(AND($L$37=0,$P$34=0),"",$L$37-1),IF($R$17="Distrato",$E574,0))),0,YEARFRAC(MAX($P$34*($B574+IF($R$17="Distrato",$I$38-1,0)),IF(AND($L$37=0,$P$34=0),"",$L$37-1),IF($R$17="Distrato",$E574,0)),MIN(AH$38,$D$19),$P$20))-SUM($P574:AG574)</f>
        <v>#VALUE!</v>
      </c>
      <c r="AI574" s="446" t="e">
        <f>IF(OR($B574="",MIN(AI$38,$D$19)&lt;MAX($P$34*($B574+IF($R$17="Distrato",$I$38-1,0)),IF(AND($L$37=0,$P$34=0),"",$L$37-1),IF($R$17="Distrato",$E574,0))),0,YEARFRAC(MAX($P$34*($B574+IF($R$17="Distrato",$I$38-1,0)),IF(AND($L$37=0,$P$34=0),"",$L$37-1),IF($R$17="Distrato",$E574,0)),MIN(AI$38,$D$19),$P$20))-SUM($P574:AH574)</f>
        <v>#VALUE!</v>
      </c>
      <c r="AJ574" s="446" t="e">
        <f>IF(OR($B574="",MIN(AJ$38,$D$19)&lt;MAX($P$34*($B574+IF($R$17="Distrato",$I$38-1,0)),IF(AND($L$37=0,$P$34=0),"",$L$37-1),IF($R$17="Distrato",$E574,0))),0,YEARFRAC(MAX($P$34*($B574+IF($R$17="Distrato",$I$38-1,0)),IF(AND($L$37=0,$P$34=0),"",$L$37-1),IF($R$17="Distrato",$E574,0)),MIN(AJ$38,$D$19),$P$20))-SUM($P574:AI574)</f>
        <v>#VALUE!</v>
      </c>
      <c r="AK574" s="446" t="e">
        <f>IF(OR($B574="",MIN(AK$38,$D$19)&lt;MAX($P$34*($B574+IF($R$17="Distrato",$I$38-1,0)),IF(AND($L$37=0,$P$34=0),"",$L$37-1),IF($R$17="Distrato",$E574,0))),0,YEARFRAC(MAX($P$34*($B574+IF($R$17="Distrato",$I$38-1,0)),IF(AND($L$37=0,$P$34=0),"",$L$37-1),IF($R$17="Distrato",$E574,0)),MIN(AK$38,$D$19),$P$20))-SUM($P574:AJ574)</f>
        <v>#VALUE!</v>
      </c>
      <c r="AL574" s="446" t="e">
        <f>IF(OR($B574="",MIN(AL$38,$D$19)&lt;MAX($P$34*($B574+IF($R$17="Distrato",$I$38-1,0)),IF(AND($L$37=0,$P$34=0),"",$L$37-1),IF($R$17="Distrato",$E574,0))),0,YEARFRAC(MAX($P$34*($B574+IF($R$17="Distrato",$I$38-1,0)),IF(AND($L$37=0,$P$34=0),"",$L$37-1),IF($R$17="Distrato",$E574,0)),MIN(AL$38,$D$19),$P$20))-SUM($P574:AK574)</f>
        <v>#VALUE!</v>
      </c>
      <c r="AM574" s="446" t="e">
        <f>IF(OR($B574="",MIN(AM$38,$D$19)&lt;MAX($P$34*($B574+IF($R$17="Distrato",$I$38-1,0)),IF(AND($L$37=0,$P$34=0),"",$L$37-1),IF($R$17="Distrato",$E574,0))),0,YEARFRAC(MAX($P$34*($B574+IF($R$17="Distrato",$I$38-1,0)),IF(AND($L$37=0,$P$34=0),"",$L$37-1),IF($R$17="Distrato",$E574,0)),MIN(AM$38,$D$19),$P$20))-SUM($P574:AL574)</f>
        <v>#VALUE!</v>
      </c>
      <c r="AN574" s="446" t="e">
        <f>IF(OR($B574="",MIN(AN$38,$D$19)&lt;MAX($P$34*($B574+IF($R$17="Distrato",$I$38-1,0)),IF(AND($L$37=0,$P$34=0),"",$L$37-1),IF($R$17="Distrato",$E574,0))),0,YEARFRAC(MAX($P$34*($B574+IF($R$17="Distrato",$I$38-1,0)),IF(AND($L$37=0,$P$34=0),"",$L$37-1),IF($R$17="Distrato",$E574,0)),MIN(AN$38,$D$19),$P$20))-SUM($P574:AM574)</f>
        <v>#VALUE!</v>
      </c>
      <c r="AO574" s="446" t="e">
        <f>IF(OR($B574="",MIN(AO$38,$D$19)&lt;MAX($P$34*($B574+IF($R$17="Distrato",$I$38-1,0)),IF(AND($L$37=0,$P$34=0),"",$L$37-1),IF($R$17="Distrato",$E574,0))),0,YEARFRAC(MAX($P$34*($B574+IF($R$17="Distrato",$I$38-1,0)),IF(AND($L$37=0,$P$34=0),"",$L$37-1),IF($R$17="Distrato",$E574,0)),MIN(AO$38,$D$19),$P$20))-SUM($P574:AN574)</f>
        <v>#VALUE!</v>
      </c>
      <c r="AP574" s="446" t="e">
        <f>IF(OR($B574="",MIN(AP$38,$D$19)&lt;MAX($P$34*($B574+IF($R$17="Distrato",$I$38-1,0)),IF(AND($L$37=0,$P$34=0),"",$L$37-1),IF($R$17="Distrato",$E574,0))),0,YEARFRAC(MAX($P$34*($B574+IF($R$17="Distrato",$I$38-1,0)),IF(AND($L$37=0,$P$34=0),"",$L$37-1),IF($R$17="Distrato",$E574,0)),MIN(AP$38,$D$19),$P$20))-SUM($P574:AO574)</f>
        <v>#VALUE!</v>
      </c>
      <c r="AQ574" s="446" t="e">
        <f>IF(OR($B574="",MIN(AQ$38,$D$19)&lt;MAX($P$34*($B574+IF($R$17="Distrato",$I$38-1,0)),IF(AND($L$37=0,$P$34=0),"",$L$37-1),IF($R$17="Distrato",$E574,0))),0,YEARFRAC(MAX($P$34*($B574+IF($R$17="Distrato",$I$38-1,0)),IF(AND($L$37=0,$P$34=0),"",$L$37-1),IF($R$17="Distrato",$E574,0)),MIN(AQ$38,$D$19),$P$20))-SUM($P574:AP574)</f>
        <v>#VALUE!</v>
      </c>
      <c r="AR574" s="446" t="e">
        <f>IF(OR($B574="",MIN(AR$38,$D$19)&lt;MAX($P$34*($B574+IF($R$17="Distrato",$I$38-1,0)),IF(AND($L$37=0,$P$34=0),"",$L$37-1),IF($R$17="Distrato",$E574,0))),0,YEARFRAC(MAX($P$34*($B574+IF($R$17="Distrato",$I$38-1,0)),IF(AND($L$37=0,$P$34=0),"",$L$37-1),IF($R$17="Distrato",$E574,0)),MIN(AR$38,$D$19),$P$20))-SUM($P574:AQ574)</f>
        <v>#VALUE!</v>
      </c>
      <c r="AS574" s="446" t="e">
        <f>IF(OR($B574="",MIN(AS$38,$D$19)&lt;MAX($P$34*($B574+IF($R$17="Distrato",$I$38-1,0)),IF(AND($L$37=0,$P$34=0),"",$L$37-1),IF($R$17="Distrato",$E574,0))),0,YEARFRAC(MAX($P$34*($B574+IF($R$17="Distrato",$I$38-1,0)),IF(AND($L$37=0,$P$34=0),"",$L$37-1),IF($R$17="Distrato",$E574,0)),MIN(AS$38,$D$19),$P$20))-SUM($P574:AR574)</f>
        <v>#VALUE!</v>
      </c>
      <c r="AT574" s="446" t="e">
        <f>IF(OR($B574="",MIN(AT$38,$D$19)&lt;MAX($P$34*($B574+IF($R$17="Distrato",$I$38-1,0)),IF(AND($L$37=0,$P$34=0),"",$L$37-1),IF($R$17="Distrato",$E574,0))),0,YEARFRAC(MAX($P$34*($B574+IF($R$17="Distrato",$I$38-1,0)),IF(AND($L$37=0,$P$34=0),"",$L$37-1),IF($R$17="Distrato",$E574,0)),MIN(AT$38,$D$19),$P$20))-SUM($P574:AS574)</f>
        <v>#VALUE!</v>
      </c>
      <c r="AU574" s="446" t="e">
        <f>IF(OR($B574="",MIN(AU$38,$D$19)&lt;MAX($P$34*($B574+IF($R$17="Distrato",$I$38-1,0)),IF(AND($L$37=0,$P$34=0),"",$L$37-1),IF($R$17="Distrato",$E574,0))),0,YEARFRAC(MAX($P$34*($B574+IF($R$17="Distrato",$I$38-1,0)),IF(AND($L$37=0,$P$34=0),"",$L$37-1),IF($R$17="Distrato",$E574,0)),MIN(AU$38,$D$19),$P$20))-SUM($P574:AT574)</f>
        <v>#VALUE!</v>
      </c>
      <c r="AV574" s="446" t="e">
        <f>IF(OR($B574="",MIN(AV$38,$D$19)&lt;MAX($P$34*($B574+IF($R$17="Distrato",$I$38-1,0)),IF(AND($L$37=0,$P$34=0),"",$L$37-1),IF($R$17="Distrato",$E574,0))),0,YEARFRAC(MAX($P$34*($B574+IF($R$17="Distrato",$I$38-1,0)),IF(AND($L$37=0,$P$34=0),"",$L$37-1),IF($R$17="Distrato",$E574,0)),MIN(AV$38,$D$19),$P$20))-SUM($P574:AU574)</f>
        <v>#VALUE!</v>
      </c>
      <c r="AW574" s="446" t="e">
        <f>IF(OR($B574="",MIN(AW$38,$D$19)&lt;MAX($P$34*($B574+IF($R$17="Distrato",$I$38-1,0)),IF(AND($L$37=0,$P$34=0),"",$L$37-1),IF($R$17="Distrato",$E574,0))),0,YEARFRAC(MAX($P$34*($B574+IF($R$17="Distrato",$I$38-1,0)),IF(AND($L$37=0,$P$34=0),"",$L$37-1),IF($R$17="Distrato",$E574,0)),MIN(AW$38,$D$19),$P$20))-SUM($P574:AV574)</f>
        <v>#VALUE!</v>
      </c>
      <c r="AX574" s="446" t="e">
        <f>IF(OR($B574="",MIN(AX$38,$D$19)&lt;MAX($P$34*($B574+IF($R$17="Distrato",$I$38-1,0)),IF(AND($L$37=0,$P$34=0),"",$L$37-1),IF($R$17="Distrato",$E574,0))),0,YEARFRAC(MAX($P$34*($B574+IF($R$17="Distrato",$I$38-1,0)),IF(AND($L$37=0,$P$34=0),"",$L$37-1),IF($R$17="Distrato",$E574,0)),MIN(AX$38,$D$19),$P$20))-SUM($P574:AW574)</f>
        <v>#VALUE!</v>
      </c>
      <c r="AY574" s="446" t="e">
        <f>IF(OR($B574="",MIN(AY$38,$D$19)&lt;MAX($P$34*($B574+IF($R$17="Distrato",$I$38-1,0)),IF(AND($L$37=0,$P$34=0),"",$L$37-1),IF($R$17="Distrato",$E574,0))),0,YEARFRAC(MAX($P$34*($B574+IF($R$17="Distrato",$I$38-1,0)),IF(AND($L$37=0,$P$34=0),"",$L$37-1),IF($R$17="Distrato",$E574,0)),MIN(AY$38,$D$19),$P$20))-SUM($P574:AX574)</f>
        <v>#VALUE!</v>
      </c>
      <c r="AZ574" s="446" t="e">
        <f>IF(OR($B574="",MIN(AZ$38,$D$19)&lt;MAX($P$34*($B574+IF($R$17="Distrato",$I$38-1,0)),IF(AND($L$37=0,$P$34=0),"",$L$37-1),IF($R$17="Distrato",$E574,0))),0,YEARFRAC(MAX($P$34*($B574+IF($R$17="Distrato",$I$38-1,0)),IF(AND($L$37=0,$P$34=0),"",$L$37-1),IF($R$17="Distrato",$E574,0)),MIN(AZ$38,$D$19),$P$20))-SUM($P574:AY574)</f>
        <v>#VALUE!</v>
      </c>
      <c r="BA574" s="446" t="e">
        <f>IF(OR($B574="",MIN(BA$38,$D$19)&lt;MAX($P$34*($B574+IF($R$17="Distrato",$I$38-1,0)),IF(AND($L$37=0,$P$34=0),"",$L$37-1),IF($R$17="Distrato",$E574,0))),0,YEARFRAC(MAX($P$34*($B574+IF($R$17="Distrato",$I$38-1,0)),IF(AND($L$37=0,$P$34=0),"",$L$37-1),IF($R$17="Distrato",$E574,0)),MIN(BA$38,$D$19),$P$20))-SUM($P574:AZ574)</f>
        <v>#VALUE!</v>
      </c>
      <c r="BB574" s="447"/>
      <c r="BF574" s="446">
        <f t="shared" si="98"/>
        <v>0</v>
      </c>
      <c r="BG574" s="446">
        <f>IF($E574=0,0,IF(MIN(BG$38,$E574)&lt;MAX($P$34*($B574+$I$38-1),IF(AND($L$37=0,$P$34=0),"",$L$37-1)),0,YEARFRAC(MAX($P$34*($B574+$I$38-1),IF(AND($L$37=0,$P$34=0),"",$L$37-1)),MIN(BG$38,$E574),$P$20))-SUM($BF574:BF574))</f>
        <v>0</v>
      </c>
      <c r="BH574" s="446">
        <f>IF($E574=0,0,IF(MIN(BH$38,$E574)&lt;MAX($P$34*($B574+$I$38-1),IF(AND($L$37=0,$P$34=0),"",$L$37-1)),0,YEARFRAC(MAX($P$34*($B574+$I$38-1),IF(AND($L$37=0,$P$34=0),"",$L$37-1)),MIN(BH$38,$E574),$P$20))-SUM($BF574:BG574))</f>
        <v>0</v>
      </c>
      <c r="BI574" s="446">
        <f>IF($E574=0,0,IF(MIN(BI$38,$E574)&lt;MAX($P$34*($B574+$I$38-1),IF(AND($L$37=0,$P$34=0),"",$L$37-1)),0,YEARFRAC(MAX($P$34*($B574+$I$38-1),IF(AND($L$37=0,$P$34=0),"",$L$37-1)),MIN(BI$38,$E574),$P$20))-SUM($BF574:BH574))</f>
        <v>0</v>
      </c>
      <c r="BJ574" s="446">
        <f>IF($E574=0,0,IF(MIN(BJ$38,$E574)&lt;MAX($P$34*($B574+$I$38-1),IF(AND($L$37=0,$P$34=0),"",$L$37-1)),0,YEARFRAC(MAX($P$34*($B574+$I$38-1),IF(AND($L$37=0,$P$34=0),"",$L$37-1)),MIN(BJ$38,$E574),$P$20))-SUM($BF574:BI574))</f>
        <v>0</v>
      </c>
      <c r="BK574" s="446">
        <f>IF($E574=0,0,IF(MIN(BK$38,$E574)&lt;MAX($P$34*($B574+$I$38-1),IF(AND($L$37=0,$P$34=0),"",$L$37-1)),0,YEARFRAC(MAX($P$34*($B574+$I$38-1),IF(AND($L$37=0,$P$34=0),"",$L$37-1)),MIN(BK$38,$E574),$P$20))-SUM($BF574:BJ574))</f>
        <v>0</v>
      </c>
      <c r="BL574" s="446">
        <f>IF($E574=0,0,IF(MIN(BL$38,$E574)&lt;MAX($P$34*($B574+$I$38-1),IF(AND($L$37=0,$P$34=0),"",$L$37-1)),0,YEARFRAC(MAX($P$34*($B574+$I$38-1),IF(AND($L$37=0,$P$34=0),"",$L$37-1)),MIN(BL$38,$E574),$P$20))-SUM($BF574:BK574))</f>
        <v>0</v>
      </c>
      <c r="BM574" s="446">
        <f>IF($E574=0,0,IF(MIN(BM$38,$E574)&lt;MAX($P$34*($B574+$I$38-1),IF(AND($L$37=0,$P$34=0),"",$L$37-1)),0,YEARFRAC(MAX($P$34*($B574+$I$38-1),IF(AND($L$37=0,$P$34=0),"",$L$37-1)),MIN(BM$38,$E574),$P$20))-SUM($BF574:BL574))</f>
        <v>0</v>
      </c>
      <c r="BN574" s="446">
        <f>IF($E574=0,0,IF(MIN(BN$38,$E574)&lt;MAX($P$34*($B574+$I$38-1),IF(AND($L$37=0,$P$34=0),"",$L$37-1)),0,YEARFRAC(MAX($P$34*($B574+$I$38-1),IF(AND($L$37=0,$P$34=0),"",$L$37-1)),MIN(BN$38,$E574),$P$20))-SUM($BF574:BM574))</f>
        <v>0</v>
      </c>
      <c r="BO574" s="446">
        <f>IF($E574=0,0,IF(MIN(BO$38,$E574)&lt;MAX($P$34*($B574+$I$38-1),IF(AND($L$37=0,$P$34=0),"",$L$37-1)),0,YEARFRAC(MAX($P$34*($B574+$I$38-1),IF(AND($L$37=0,$P$34=0),"",$L$37-1)),MIN(BO$38,$E574),$P$20))-SUM($BF574:BN574))</f>
        <v>0</v>
      </c>
      <c r="BP574" s="446">
        <f>IF($E574=0,0,IF(MIN(BP$38,$E574)&lt;MAX($P$34*($B574+$I$38-1),IF(AND($L$37=0,$P$34=0),"",$L$37-1)),0,YEARFRAC(MAX($P$34*($B574+$I$38-1),IF(AND($L$37=0,$P$34=0),"",$L$37-1)),MIN(BP$38,$E574),$P$20))-SUM($BF574:BO574))</f>
        <v>0</v>
      </c>
      <c r="BQ574" s="446">
        <f>IF($E574=0,0,IF(MIN(BQ$38,$E574)&lt;MAX($P$34*($B574+$I$38-1),IF(AND($L$37=0,$P$34=0),"",$L$37-1)),0,YEARFRAC(MAX($P$34*($B574+$I$38-1),IF(AND($L$37=0,$P$34=0),"",$L$37-1)),MIN(BQ$38,$E574),$P$20))-SUM($BF574:BP574))</f>
        <v>0</v>
      </c>
      <c r="BR574" s="446">
        <f>IF($E574=0,0,IF(MIN(BR$38,$E574)&lt;MAX($P$34*($B574+$I$38-1),IF(AND($L$37=0,$P$34=0),"",$L$37-1)),0,YEARFRAC(MAX($P$34*($B574+$I$38-1),IF(AND($L$37=0,$P$34=0),"",$L$37-1)),MIN(BR$38,$E574),$P$20))-SUM($BF574:BQ574))</f>
        <v>0</v>
      </c>
      <c r="BS574" s="446">
        <f>IF($E574=0,0,IF(MIN(BS$38,$E574)&lt;MAX($P$34*($B574+$I$38-1),IF(AND($L$37=0,$P$34=0),"",$L$37-1)),0,YEARFRAC(MAX($P$34*($B574+$I$38-1),IF(AND($L$37=0,$P$34=0),"",$L$37-1)),MIN(BS$38,$E574),$P$20))-SUM($BF574:BR574))</f>
        <v>0</v>
      </c>
      <c r="BT574" s="446">
        <f>IF($E574=0,0,IF(MIN(BT$38,$E574)&lt;MAX($P$34*($B574+$I$38-1),IF(AND($L$37=0,$P$34=0),"",$L$37-1)),0,YEARFRAC(MAX($P$34*($B574+$I$38-1),IF(AND($L$37=0,$P$34=0),"",$L$37-1)),MIN(BT$38,$E574),$P$20))-SUM($BF574:BS574))</f>
        <v>0</v>
      </c>
      <c r="BU574" s="446">
        <f>IF($E574=0,0,IF(MIN(BU$38,$E574)&lt;MAX($P$34*($B574+$I$38-1),IF(AND($L$37=0,$P$34=0),"",$L$37-1)),0,YEARFRAC(MAX($P$34*($B574+$I$38-1),IF(AND($L$37=0,$P$34=0),"",$L$37-1)),MIN(BU$38,$E574),$P$20))-SUM($BF574:BT574))</f>
        <v>0</v>
      </c>
      <c r="BV574" s="446">
        <f>IF($E574=0,0,IF(MIN(BV$38,$E574)&lt;MAX($P$34*($B574+$I$38-1),IF(AND($L$37=0,$P$34=0),"",$L$37-1)),0,YEARFRAC(MAX($P$34*($B574+$I$38-1),IF(AND($L$37=0,$P$34=0),"",$L$37-1)),MIN(BV$38,$E574),$P$20))-SUM($BF574:BU574))</f>
        <v>0</v>
      </c>
      <c r="BW574" s="446">
        <f>IF($E574=0,0,IF(MIN(BW$38,$E574)&lt;MAX($P$34*($B574+$I$38-1),IF(AND($L$37=0,$P$34=0),"",$L$37-1)),0,YEARFRAC(MAX($P$34*($B574+$I$38-1),IF(AND($L$37=0,$P$34=0),"",$L$37-1)),MIN(BW$38,$E574),$P$20))-SUM($BF574:BV574))</f>
        <v>0</v>
      </c>
      <c r="BX574" s="446">
        <f>IF($E574=0,0,IF(MIN(BX$38,$E574)&lt;MAX($P$34*($B574+$I$38-1),IF(AND($L$37=0,$P$34=0),"",$L$37-1)),0,YEARFRAC(MAX($P$34*($B574+$I$38-1),IF(AND($L$37=0,$P$34=0),"",$L$37-1)),MIN(BX$38,$E574),$P$20))-SUM($BF574:BW574))</f>
        <v>0</v>
      </c>
      <c r="BY574" s="446">
        <f>IF($E574=0,0,IF(MIN(BY$38,$E574)&lt;MAX($P$34*($B574+$I$38-1),IF(AND($L$37=0,$P$34=0),"",$L$37-1)),0,YEARFRAC(MAX($P$34*($B574+$I$38-1),IF(AND($L$37=0,$P$34=0),"",$L$37-1)),MIN(BY$38,$E574),$P$20))-SUM($BF574:BX574))</f>
        <v>0</v>
      </c>
      <c r="BZ574" s="446">
        <f>IF($E574=0,0,IF(MIN(BZ$38,$E574)&lt;MAX($P$34*($B574+$I$38-1),IF(AND($L$37=0,$P$34=0),"",$L$37-1)),0,YEARFRAC(MAX($P$34*($B574+$I$38-1),IF(AND($L$37=0,$P$34=0),"",$L$37-1)),MIN(BZ$38,$E574),$P$20))-SUM($BF574:BY574))</f>
        <v>0</v>
      </c>
      <c r="CA574" s="446">
        <f>IF($E574=0,0,IF(MIN(CA$38,$E574)&lt;MAX($P$34*($B574+$I$38-1),IF(AND($L$37=0,$P$34=0),"",$L$37-1)),0,YEARFRAC(MAX($P$34*($B574+$I$38-1),IF(AND($L$37=0,$P$34=0),"",$L$37-1)),MIN(CA$38,$E574),$P$20))-SUM($BF574:BZ574))</f>
        <v>0</v>
      </c>
      <c r="CB574" s="446">
        <f>IF($E574=0,0,IF(MIN(CB$38,$E574)&lt;MAX($P$34*($B574+$I$38-1),IF(AND($L$37=0,$P$34=0),"",$L$37-1)),0,YEARFRAC(MAX($P$34*($B574+$I$38-1),IF(AND($L$37=0,$P$34=0),"",$L$37-1)),MIN(CB$38,$E574),$P$20))-SUM($BF574:CA574))</f>
        <v>0</v>
      </c>
      <c r="CC574" s="446">
        <f>IF($E574=0,0,IF(MIN(CC$38,$E574)&lt;MAX($P$34*($B574+$I$38-1),IF(AND($L$37=0,$P$34=0),"",$L$37-1)),0,YEARFRAC(MAX($P$34*($B574+$I$38-1),IF(AND($L$37=0,$P$34=0),"",$L$37-1)),MIN(CC$38,$E574),$P$20))-SUM($BF574:CB574))</f>
        <v>0</v>
      </c>
      <c r="CD574" s="446">
        <f>IF($E574=0,0,IF(MIN(CD$38,$E574)&lt;MAX($P$34*($B574+$I$38-1),IF(AND($L$37=0,$P$34=0),"",$L$37-1)),0,YEARFRAC(MAX($P$34*($B574+$I$38-1),IF(AND($L$37=0,$P$34=0),"",$L$37-1)),MIN(CD$38,$E574),$P$20))-SUM($BF574:CC574))</f>
        <v>0</v>
      </c>
      <c r="CE574" s="446">
        <f>IF($E574=0,0,IF(MIN(CE$38,$E574)&lt;MAX($P$34*($B574+$I$38-1),IF(AND($L$37=0,$P$34=0),"",$L$37-1)),0,YEARFRAC(MAX($P$34*($B574+$I$38-1),IF(AND($L$37=0,$P$34=0),"",$L$37-1)),MIN(CE$38,$E574),$P$20))-SUM($BF574:CD574))</f>
        <v>0</v>
      </c>
      <c r="CF574" s="446">
        <f>IF($E574=0,0,IF(MIN(CF$38,$E574)&lt;MAX($P$34*($B574+$I$38-1),IF(AND($L$37=0,$P$34=0),"",$L$37-1)),0,YEARFRAC(MAX($P$34*($B574+$I$38-1),IF(AND($L$37=0,$P$34=0),"",$L$37-1)),MIN(CF$38,$E574),$P$20))-SUM($BF574:CE574))</f>
        <v>0</v>
      </c>
      <c r="CG574" s="446">
        <f>IF($E574=0,0,IF(MIN(CG$38,$E574)&lt;MAX($P$34*($B574+$I$38-1),IF(AND($L$37=0,$P$34=0),"",$L$37-1)),0,YEARFRAC(MAX($P$34*($B574+$I$38-1),IF(AND($L$37=0,$P$34=0),"",$L$37-1)),MIN(CG$38,$E574),$P$20))-SUM($BF574:CF574))</f>
        <v>0</v>
      </c>
      <c r="CH574" s="446">
        <f>IF($E574=0,0,IF(MIN(CH$38,$E574)&lt;MAX($P$34*($B574+$I$38-1),IF(AND($L$37=0,$P$34=0),"",$L$37-1)),0,YEARFRAC(MAX($P$34*($B574+$I$38-1),IF(AND($L$37=0,$P$34=0),"",$L$37-1)),MIN(CH$38,$E574),$P$20))-SUM($BF574:CG574))</f>
        <v>0</v>
      </c>
      <c r="CI574" s="446">
        <f>IF($E574=0,0,IF(MIN(CI$38,$E574)&lt;MAX($P$34*($B574+$I$38-1),IF(AND($L$37=0,$P$34=0),"",$L$37-1)),0,YEARFRAC(MAX($P$34*($B574+$I$38-1),IF(AND($L$37=0,$P$34=0),"",$L$37-1)),MIN(CI$38,$E574),$P$20))-SUM($BF574:CH574))</f>
        <v>0</v>
      </c>
      <c r="CJ574" s="446">
        <f>IF($E574=0,0,IF(MIN(CJ$38,$E574)&lt;MAX($P$34*($B574+$I$38-1),IF(AND($L$37=0,$P$34=0),"",$L$37-1)),0,YEARFRAC(MAX($P$34*($B574+$I$38-1),IF(AND($L$37=0,$P$34=0),"",$L$37-1)),MIN(CJ$38,$E574),$P$20))-SUM($BF574:CI574))</f>
        <v>0</v>
      </c>
      <c r="CK574" s="446">
        <f>IF($E574=0,0,IF(MIN(CK$38,$E574)&lt;MAX($P$34*($B574+$I$38-1),IF(AND($L$37=0,$P$34=0),"",$L$37-1)),0,YEARFRAC(MAX($P$34*($B574+$I$38-1),IF(AND($L$37=0,$P$34=0),"",$L$37-1)),MIN(CK$38,$E574),$P$20))-SUM($BF574:CJ574))</f>
        <v>0</v>
      </c>
      <c r="CL574" s="446">
        <f>IF($E574=0,0,IF(MIN(CL$38,$E574)&lt;MAX($P$34*($B574+$I$38-1),IF(AND($L$37=0,$P$34=0),"",$L$37-1)),0,YEARFRAC(MAX($P$34*($B574+$I$38-1),IF(AND($L$37=0,$P$34=0),"",$L$37-1)),MIN(CL$38,$E574),$P$20))-SUM($BF574:CK574))</f>
        <v>0</v>
      </c>
      <c r="CM574" s="446">
        <f>IF($E574=0,0,IF(MIN(CM$38,$E574)&lt;MAX($P$34*($B574+$I$38-1),IF(AND($L$37=0,$P$34=0),"",$L$37-1)),0,YEARFRAC(MAX($P$34*($B574+$I$38-1),IF(AND($L$37=0,$P$34=0),"",$L$37-1)),MIN(CM$38,$E574),$P$20))-SUM($BF574:CL574))</f>
        <v>0</v>
      </c>
      <c r="CN574" s="446">
        <f>IF($E574=0,0,IF(MIN(CN$38,$E574)&lt;MAX($P$34*($B574+$I$38-1),IF(AND($L$37=0,$P$34=0),"",$L$37-1)),0,YEARFRAC(MAX($P$34*($B574+$I$38-1),IF(AND($L$37=0,$P$34=0),"",$L$37-1)),MIN(CN$38,$E574),$P$20))-SUM($BF574:CM574))</f>
        <v>0</v>
      </c>
      <c r="CO574" s="446">
        <f>IF($E574=0,0,IF(MIN(CO$38,$E574)&lt;MAX($P$34*($B574+$I$38-1),IF(AND($L$37=0,$P$34=0),"",$L$37-1)),0,YEARFRAC(MAX($P$34*($B574+$I$38-1),IF(AND($L$37=0,$P$34=0),"",$L$37-1)),MIN(CO$38,$E574),$P$20))-SUM($BF574:CN574))</f>
        <v>0</v>
      </c>
      <c r="CP574" s="446">
        <f>IF($E574=0,0,IF(MIN(CP$38,$E574)&lt;MAX($P$34*($B574+$I$38-1),IF(AND($L$37=0,$P$34=0),"",$L$37-1)),0,YEARFRAC(MAX($P$34*($B574+$I$38-1),IF(AND($L$37=0,$P$34=0),"",$L$37-1)),MIN(CP$38,$E574),$P$20))-SUM($BF574:CO574))</f>
        <v>0</v>
      </c>
      <c r="CQ574" s="446">
        <f>IF($E574=0,0,IF(MIN(CQ$38,$E574)&lt;MAX($P$34*($B574+$I$38-1),IF(AND($L$37=0,$P$34=0),"",$L$37-1)),0,YEARFRAC(MAX($P$34*($B574+$I$38-1),IF(AND($L$37=0,$P$34=0),"",$L$37-1)),MIN(CQ$38,$E574),$P$20))-SUM($BF574:CP574))</f>
        <v>0</v>
      </c>
    </row>
    <row r="575" spans="1:95" s="446" customFormat="1" ht="11.25" hidden="1" customHeight="1" x14ac:dyDescent="0.2">
      <c r="A575" s="152"/>
      <c r="B575" s="153" t="str">
        <f t="shared" si="103"/>
        <v/>
      </c>
      <c r="C575" s="29" t="str">
        <f>IF(B575="","",IF($L$35="SELIC - TRIBUTOS",VLOOKUP(DATE(YEAR($D$19),MONTH($D$19)-1,1),ÍNDICES!$A:$DE,HLOOKUP($BL$25,ÍNDICES!$B$3:$T$4,2)+11)-VLOOKUP(B575,ÍNDICES!$A:$DE,HLOOKUP($BL$25,ÍNDICES!$B$3:$T$4,2)+11)+1%,IF(C$38=$W$26,$J$35,IF(ISERROR(IF(B575&gt;$D$19,1,VLOOKUP(DATE(YEAR(B575),MONTH(B575)+IF($C$35=$S$23,1,0),1),ÍNDICES!$A:$DE,$Z$35+1))),"",IF(B575&gt;$D$19,1,VLOOKUP(DATE(YEAR(B575),MONTH(B575)+IF($C$35=$S$23,1,0),1),ÍNDICES!$A:$DE,$Z$35+1))))))</f>
        <v/>
      </c>
      <c r="D575" s="154" t="str">
        <f>IF(ISERROR(IF(OR($D$38=$Y$27,$B575=""),"",VLOOKUP(B575,ÍNDICES!A:DE,AF$35+1))),"",IF(OR($D$38=$Y$27,$B575=""),"",VLOOKUP(B575,ÍNDICES!A:DE,AF$35+1)))</f>
        <v/>
      </c>
      <c r="E575" s="153"/>
      <c r="F575" s="29" t="str">
        <f>IF(E575="","",IF($L$35="SELIC - TRIBUTOS",VLOOKUP(DATE(YEAR($D$19),MONTH($D$19)-1,1),ÍNDICES!$A:$DE,HLOOKUP($BL$25,ÍNDICES!$B$3:$T$4,2)+11)-VLOOKUP(E575,ÍNDICES!$A:$DE,HLOOKUP($BL$25,ÍNDICES!$B$3:$T$4,2)+11)+1%,IF(F$38=$W$26,$J$35,IF(ISERROR(IF(E575&gt;$D$19,1,VLOOKUP(DATE(YEAR(E575),MONTH(E575)+IF($C$35=$S$23,1,0),1),ÍNDICES!$A:$DE,$Z$35+1))),"",IF(E575&gt;$D$19,1,VLOOKUP(DATE(YEAR(E575),MONTH(E575)+IF($C$35=$S$23,1,0),1),ÍNDICES!$A:$DE,$Z$35+1))))))</f>
        <v/>
      </c>
      <c r="G575" s="155"/>
      <c r="H575" s="156" t="str">
        <f t="shared" si="99"/>
        <v/>
      </c>
      <c r="I575" s="29" t="str">
        <f t="shared" si="93"/>
        <v/>
      </c>
      <c r="J575" s="5">
        <f t="shared" si="94"/>
        <v>0</v>
      </c>
      <c r="K575" s="20">
        <f t="shared" ca="1" si="95"/>
        <v>0</v>
      </c>
      <c r="L575" s="5">
        <f t="shared" ca="1" si="96"/>
        <v>0</v>
      </c>
      <c r="M575" s="64">
        <f t="shared" si="100"/>
        <v>0</v>
      </c>
      <c r="N575" s="61">
        <f t="shared" ca="1" si="101"/>
        <v>0</v>
      </c>
      <c r="O575" s="5">
        <f t="shared" ca="1" si="102"/>
        <v>0</v>
      </c>
      <c r="P575" s="446" t="e">
        <f t="shared" si="97"/>
        <v>#VALUE!</v>
      </c>
      <c r="Q575" s="446" t="e">
        <f>IF(OR($B575="",MIN(Q$38,$D$19)&lt;MAX($P$34*($B575+IF($R$17="Distrato",$I$38-1,0)),IF(AND($L$37=0,$P$34=0),"",$L$37-1),IF($R$17="Distrato",$E575,0))),0,YEARFRAC(MAX($P$34*($B575+IF($R$17="Distrato",$I$38-1,0)),IF(AND($L$37=0,$P$34=0),"",$L$37-1),IF($R$17="Distrato",$E575,0)),MIN(Q$38,$D$19),$P$20))-SUM($P575:P575)</f>
        <v>#VALUE!</v>
      </c>
      <c r="R575" s="446" t="e">
        <f>IF(OR($B575="",MIN(R$38,$D$19)&lt;MAX($P$34*($B575+IF($R$17="Distrato",$I$38-1,0)),IF(AND($L$37=0,$P$34=0),"",$L$37-1),IF($R$17="Distrato",$E575,0))),0,YEARFRAC(MAX($P$34*($B575+IF($R$17="Distrato",$I$38-1,0)),IF(AND($L$37=0,$P$34=0),"",$L$37-1),IF($R$17="Distrato",$E575,0)),MIN(R$38,$D$19),$P$20))-SUM($P575:Q575)</f>
        <v>#VALUE!</v>
      </c>
      <c r="S575" s="446" t="e">
        <f>IF(OR($B575="",MIN(S$38,$D$19)&lt;MAX($P$34*($B575+IF($R$17="Distrato",$I$38-1,0)),IF(AND($L$37=0,$P$34=0),"",$L$37-1),IF($R$17="Distrato",$E575,0))),0,YEARFRAC(MAX($P$34*($B575+IF($R$17="Distrato",$I$38-1,0)),IF(AND($L$37=0,$P$34=0),"",$L$37-1),IF($R$17="Distrato",$E575,0)),MIN(S$38,$D$19),$P$20))-SUM($P575:R575)</f>
        <v>#VALUE!</v>
      </c>
      <c r="T575" s="446" t="e">
        <f>IF(OR($B575="",MIN(T$38,$D$19)&lt;MAX($P$34*($B575+IF($R$17="Distrato",$I$38-1,0)),IF(AND($L$37=0,$P$34=0),"",$L$37-1),IF($R$17="Distrato",$E575,0))),0,YEARFRAC(MAX($P$34*($B575+IF($R$17="Distrato",$I$38-1,0)),IF(AND($L$37=0,$P$34=0),"",$L$37-1),IF($R$17="Distrato",$E575,0)),MIN(T$38,$D$19),$P$20))-SUM($P575:S575)</f>
        <v>#VALUE!</v>
      </c>
      <c r="U575" s="446" t="e">
        <f>IF(OR($B575="",MIN(U$38,$D$19)&lt;MAX($P$34*($B575+IF($R$17="Distrato",$I$38-1,0)),IF(AND($L$37=0,$P$34=0),"",$L$37-1),IF($R$17="Distrato",$E575,0))),0,YEARFRAC(MAX($P$34*($B575+IF($R$17="Distrato",$I$38-1,0)),IF(AND($L$37=0,$P$34=0),"",$L$37-1),IF($R$17="Distrato",$E575,0)),MIN(U$38,$D$19),$P$20))-SUM($P575:T575)</f>
        <v>#VALUE!</v>
      </c>
      <c r="V575" s="446" t="e">
        <f>IF(OR($B575="",MIN(V$38,$D$19)&lt;MAX($P$34*($B575+IF($R$17="Distrato",$I$38-1,0)),IF(AND($L$37=0,$P$34=0),"",$L$37-1),IF($R$17="Distrato",$E575,0))),0,YEARFRAC(MAX($P$34*($B575+IF($R$17="Distrato",$I$38-1,0)),IF(AND($L$37=0,$P$34=0),"",$L$37-1),IF($R$17="Distrato",$E575,0)),MIN(V$38,$D$19),$P$20))-SUM($P575:U575)</f>
        <v>#VALUE!</v>
      </c>
      <c r="W575" s="446" t="e">
        <f>IF(OR($B575="",MIN(W$38,$D$19)&lt;MAX($P$34*($B575+IF($R$17="Distrato",$I$38-1,0)),IF(AND($L$37=0,$P$34=0),"",$L$37-1),IF($R$17="Distrato",$E575,0))),0,YEARFRAC(MAX($P$34*($B575+IF($R$17="Distrato",$I$38-1,0)),IF(AND($L$37=0,$P$34=0),"",$L$37-1),IF($R$17="Distrato",$E575,0)),MIN(W$38,$D$19),$P$20))-SUM($P575:V575)</f>
        <v>#VALUE!</v>
      </c>
      <c r="X575" s="446" t="e">
        <f>IF(OR($B575="",MIN(X$38,$D$19)&lt;MAX($P$34*($B575+IF($R$17="Distrato",$I$38-1,0)),IF(AND($L$37=0,$P$34=0),"",$L$37-1),IF($R$17="Distrato",$E575,0))),0,YEARFRAC(MAX($P$34*($B575+IF($R$17="Distrato",$I$38-1,0)),IF(AND($L$37=0,$P$34=0),"",$L$37-1),IF($R$17="Distrato",$E575,0)),MIN(X$38,$D$19),$P$20))-SUM($P575:W575)</f>
        <v>#VALUE!</v>
      </c>
      <c r="Y575" s="446" t="e">
        <f>IF(OR($B575="",MIN(Y$38,$D$19)&lt;MAX($P$34*($B575+IF($R$17="Distrato",$I$38-1,0)),IF(AND($L$37=0,$P$34=0),"",$L$37-1),IF($R$17="Distrato",$E575,0))),0,YEARFRAC(MAX($P$34*($B575+IF($R$17="Distrato",$I$38-1,0)),IF(AND($L$37=0,$P$34=0),"",$L$37-1),IF($R$17="Distrato",$E575,0)),MIN(Y$38,$D$19),$P$20))-SUM($P575:X575)</f>
        <v>#VALUE!</v>
      </c>
      <c r="Z575" s="446" t="e">
        <f>IF(OR($B575="",MIN(Z$38,$D$19)&lt;MAX($P$34*($B575+IF($R$17="Distrato",$I$38-1,0)),IF(AND($L$37=0,$P$34=0),"",$L$37-1),IF($R$17="Distrato",$E575,0))),0,YEARFRAC(MAX($P$34*($B575+IF($R$17="Distrato",$I$38-1,0)),IF(AND($L$37=0,$P$34=0),"",$L$37-1),IF($R$17="Distrato",$E575,0)),MIN(Z$38,$D$19),$P$20))-SUM($P575:Y575)</f>
        <v>#VALUE!</v>
      </c>
      <c r="AA575" s="446" t="e">
        <f>IF(OR($B575="",MIN(AA$38,$D$19)&lt;MAX($P$34*($B575+IF($R$17="Distrato",$I$38-1,0)),IF(AND($L$37=0,$P$34=0),"",$L$37-1),IF($R$17="Distrato",$E575,0))),0,YEARFRAC(MAX($P$34*($B575+IF($R$17="Distrato",$I$38-1,0)),IF(AND($L$37=0,$P$34=0),"",$L$37-1),IF($R$17="Distrato",$E575,0)),MIN(AA$38,$D$19),$P$20))-SUM($P575:Z575)</f>
        <v>#VALUE!</v>
      </c>
      <c r="AB575" s="446" t="e">
        <f>IF(OR($B575="",MIN(AB$38,$D$19)&lt;MAX($P$34*($B575+IF($R$17="Distrato",$I$38-1,0)),IF(AND($L$37=0,$P$34=0),"",$L$37-1),IF($R$17="Distrato",$E575,0))),0,YEARFRAC(MAX($P$34*($B575+IF($R$17="Distrato",$I$38-1,0)),IF(AND($L$37=0,$P$34=0),"",$L$37-1),IF($R$17="Distrato",$E575,0)),MIN(AB$38,$D$19),$P$20))-SUM($P575:AA575)</f>
        <v>#VALUE!</v>
      </c>
      <c r="AC575" s="446" t="e">
        <f>IF(OR($B575="",MIN(AC$38,$D$19)&lt;MAX($P$34*($B575+IF($R$17="Distrato",$I$38-1,0)),IF(AND($L$37=0,$P$34=0),"",$L$37-1),IF($R$17="Distrato",$E575,0))),0,YEARFRAC(MAX($P$34*($B575+IF($R$17="Distrato",$I$38-1,0)),IF(AND($L$37=0,$P$34=0),"",$L$37-1),IF($R$17="Distrato",$E575,0)),MIN(AC$38,$D$19),$P$20))-SUM($P575:AB575)</f>
        <v>#VALUE!</v>
      </c>
      <c r="AD575" s="446" t="e">
        <f>IF(OR($B575="",MIN(AD$38,$D$19)&lt;MAX($P$34*($B575+IF($R$17="Distrato",$I$38-1,0)),IF(AND($L$37=0,$P$34=0),"",$L$37-1),IF($R$17="Distrato",$E575,0))),0,YEARFRAC(MAX($P$34*($B575+IF($R$17="Distrato",$I$38-1,0)),IF(AND($L$37=0,$P$34=0),"",$L$37-1),IF($R$17="Distrato",$E575,0)),MIN(AD$38,$D$19),$P$20))-SUM($P575:AC575)</f>
        <v>#VALUE!</v>
      </c>
      <c r="AE575" s="446" t="e">
        <f>IF(OR($B575="",MIN(AE$38,$D$19)&lt;MAX($P$34*($B575+IF($R$17="Distrato",$I$38-1,0)),IF(AND($L$37=0,$P$34=0),"",$L$37-1),IF($R$17="Distrato",$E575,0))),0,YEARFRAC(MAX($P$34*($B575+IF($R$17="Distrato",$I$38-1,0)),IF(AND($L$37=0,$P$34=0),"",$L$37-1),IF($R$17="Distrato",$E575,0)),MIN(AE$38,$D$19),$P$20))-SUM($P575:AD575)</f>
        <v>#VALUE!</v>
      </c>
      <c r="AF575" s="446" t="e">
        <f>IF(OR($B575="",MIN(AF$38,$D$19)&lt;MAX($P$34*($B575+IF($R$17="Distrato",$I$38-1,0)),IF(AND($L$37=0,$P$34=0),"",$L$37-1),IF($R$17="Distrato",$E575,0))),0,YEARFRAC(MAX($P$34*($B575+IF($R$17="Distrato",$I$38-1,0)),IF(AND($L$37=0,$P$34=0),"",$L$37-1),IF($R$17="Distrato",$E575,0)),MIN(AF$38,$D$19),$P$20))-SUM($P575:AE575)</f>
        <v>#VALUE!</v>
      </c>
      <c r="AG575" s="446" t="e">
        <f>IF(OR($B575="",MIN(AG$38,$D$19)&lt;MAX($P$34*($B575+IF($R$17="Distrato",$I$38-1,0)),IF(AND($L$37=0,$P$34=0),"",$L$37-1),IF($R$17="Distrato",$E575,0))),0,YEARFRAC(MAX($P$34*($B575+IF($R$17="Distrato",$I$38-1,0)),IF(AND($L$37=0,$P$34=0),"",$L$37-1),IF($R$17="Distrato",$E575,0)),MIN(AG$38,$D$19),$P$20))-SUM($P575:AF575)</f>
        <v>#VALUE!</v>
      </c>
      <c r="AH575" s="446" t="e">
        <f>IF(OR($B575="",MIN(AH$38,$D$19)&lt;MAX($P$34*($B575+IF($R$17="Distrato",$I$38-1,0)),IF(AND($L$37=0,$P$34=0),"",$L$37-1),IF($R$17="Distrato",$E575,0))),0,YEARFRAC(MAX($P$34*($B575+IF($R$17="Distrato",$I$38-1,0)),IF(AND($L$37=0,$P$34=0),"",$L$37-1),IF($R$17="Distrato",$E575,0)),MIN(AH$38,$D$19),$P$20))-SUM($P575:AG575)</f>
        <v>#VALUE!</v>
      </c>
      <c r="AI575" s="446" t="e">
        <f>IF(OR($B575="",MIN(AI$38,$D$19)&lt;MAX($P$34*($B575+IF($R$17="Distrato",$I$38-1,0)),IF(AND($L$37=0,$P$34=0),"",$L$37-1),IF($R$17="Distrato",$E575,0))),0,YEARFRAC(MAX($P$34*($B575+IF($R$17="Distrato",$I$38-1,0)),IF(AND($L$37=0,$P$34=0),"",$L$37-1),IF($R$17="Distrato",$E575,0)),MIN(AI$38,$D$19),$P$20))-SUM($P575:AH575)</f>
        <v>#VALUE!</v>
      </c>
      <c r="AJ575" s="446" t="e">
        <f>IF(OR($B575="",MIN(AJ$38,$D$19)&lt;MAX($P$34*($B575+IF($R$17="Distrato",$I$38-1,0)),IF(AND($L$37=0,$P$34=0),"",$L$37-1),IF($R$17="Distrato",$E575,0))),0,YEARFRAC(MAX($P$34*($B575+IF($R$17="Distrato",$I$38-1,0)),IF(AND($L$37=0,$P$34=0),"",$L$37-1),IF($R$17="Distrato",$E575,0)),MIN(AJ$38,$D$19),$P$20))-SUM($P575:AI575)</f>
        <v>#VALUE!</v>
      </c>
      <c r="AK575" s="446" t="e">
        <f>IF(OR($B575="",MIN(AK$38,$D$19)&lt;MAX($P$34*($B575+IF($R$17="Distrato",$I$38-1,0)),IF(AND($L$37=0,$P$34=0),"",$L$37-1),IF($R$17="Distrato",$E575,0))),0,YEARFRAC(MAX($P$34*($B575+IF($R$17="Distrato",$I$38-1,0)),IF(AND($L$37=0,$P$34=0),"",$L$37-1),IF($R$17="Distrato",$E575,0)),MIN(AK$38,$D$19),$P$20))-SUM($P575:AJ575)</f>
        <v>#VALUE!</v>
      </c>
      <c r="AL575" s="446" t="e">
        <f>IF(OR($B575="",MIN(AL$38,$D$19)&lt;MAX($P$34*($B575+IF($R$17="Distrato",$I$38-1,0)),IF(AND($L$37=0,$P$34=0),"",$L$37-1),IF($R$17="Distrato",$E575,0))),0,YEARFRAC(MAX($P$34*($B575+IF($R$17="Distrato",$I$38-1,0)),IF(AND($L$37=0,$P$34=0),"",$L$37-1),IF($R$17="Distrato",$E575,0)),MIN(AL$38,$D$19),$P$20))-SUM($P575:AK575)</f>
        <v>#VALUE!</v>
      </c>
      <c r="AM575" s="446" t="e">
        <f>IF(OR($B575="",MIN(AM$38,$D$19)&lt;MAX($P$34*($B575+IF($R$17="Distrato",$I$38-1,0)),IF(AND($L$37=0,$P$34=0),"",$L$37-1),IF($R$17="Distrato",$E575,0))),0,YEARFRAC(MAX($P$34*($B575+IF($R$17="Distrato",$I$38-1,0)),IF(AND($L$37=0,$P$34=0),"",$L$37-1),IF($R$17="Distrato",$E575,0)),MIN(AM$38,$D$19),$P$20))-SUM($P575:AL575)</f>
        <v>#VALUE!</v>
      </c>
      <c r="AN575" s="446" t="e">
        <f>IF(OR($B575="",MIN(AN$38,$D$19)&lt;MAX($P$34*($B575+IF($R$17="Distrato",$I$38-1,0)),IF(AND($L$37=0,$P$34=0),"",$L$37-1),IF($R$17="Distrato",$E575,0))),0,YEARFRAC(MAX($P$34*($B575+IF($R$17="Distrato",$I$38-1,0)),IF(AND($L$37=0,$P$34=0),"",$L$37-1),IF($R$17="Distrato",$E575,0)),MIN(AN$38,$D$19),$P$20))-SUM($P575:AM575)</f>
        <v>#VALUE!</v>
      </c>
      <c r="AO575" s="446" t="e">
        <f>IF(OR($B575="",MIN(AO$38,$D$19)&lt;MAX($P$34*($B575+IF($R$17="Distrato",$I$38-1,0)),IF(AND($L$37=0,$P$34=0),"",$L$37-1),IF($R$17="Distrato",$E575,0))),0,YEARFRAC(MAX($P$34*($B575+IF($R$17="Distrato",$I$38-1,0)),IF(AND($L$37=0,$P$34=0),"",$L$37-1),IF($R$17="Distrato",$E575,0)),MIN(AO$38,$D$19),$P$20))-SUM($P575:AN575)</f>
        <v>#VALUE!</v>
      </c>
      <c r="AP575" s="446" t="e">
        <f>IF(OR($B575="",MIN(AP$38,$D$19)&lt;MAX($P$34*($B575+IF($R$17="Distrato",$I$38-1,0)),IF(AND($L$37=0,$P$34=0),"",$L$37-1),IF($R$17="Distrato",$E575,0))),0,YEARFRAC(MAX($P$34*($B575+IF($R$17="Distrato",$I$38-1,0)),IF(AND($L$37=0,$P$34=0),"",$L$37-1),IF($R$17="Distrato",$E575,0)),MIN(AP$38,$D$19),$P$20))-SUM($P575:AO575)</f>
        <v>#VALUE!</v>
      </c>
      <c r="AQ575" s="446" t="e">
        <f>IF(OR($B575="",MIN(AQ$38,$D$19)&lt;MAX($P$34*($B575+IF($R$17="Distrato",$I$38-1,0)),IF(AND($L$37=0,$P$34=0),"",$L$37-1),IF($R$17="Distrato",$E575,0))),0,YEARFRAC(MAX($P$34*($B575+IF($R$17="Distrato",$I$38-1,0)),IF(AND($L$37=0,$P$34=0),"",$L$37-1),IF($R$17="Distrato",$E575,0)),MIN(AQ$38,$D$19),$P$20))-SUM($P575:AP575)</f>
        <v>#VALUE!</v>
      </c>
      <c r="AR575" s="446" t="e">
        <f>IF(OR($B575="",MIN(AR$38,$D$19)&lt;MAX($P$34*($B575+IF($R$17="Distrato",$I$38-1,0)),IF(AND($L$37=0,$P$34=0),"",$L$37-1),IF($R$17="Distrato",$E575,0))),0,YEARFRAC(MAX($P$34*($B575+IF($R$17="Distrato",$I$38-1,0)),IF(AND($L$37=0,$P$34=0),"",$L$37-1),IF($R$17="Distrato",$E575,0)),MIN(AR$38,$D$19),$P$20))-SUM($P575:AQ575)</f>
        <v>#VALUE!</v>
      </c>
      <c r="AS575" s="446" t="e">
        <f>IF(OR($B575="",MIN(AS$38,$D$19)&lt;MAX($P$34*($B575+IF($R$17="Distrato",$I$38-1,0)),IF(AND($L$37=0,$P$34=0),"",$L$37-1),IF($R$17="Distrato",$E575,0))),0,YEARFRAC(MAX($P$34*($B575+IF($R$17="Distrato",$I$38-1,0)),IF(AND($L$37=0,$P$34=0),"",$L$37-1),IF($R$17="Distrato",$E575,0)),MIN(AS$38,$D$19),$P$20))-SUM($P575:AR575)</f>
        <v>#VALUE!</v>
      </c>
      <c r="AT575" s="446" t="e">
        <f>IF(OR($B575="",MIN(AT$38,$D$19)&lt;MAX($P$34*($B575+IF($R$17="Distrato",$I$38-1,0)),IF(AND($L$37=0,$P$34=0),"",$L$37-1),IF($R$17="Distrato",$E575,0))),0,YEARFRAC(MAX($P$34*($B575+IF($R$17="Distrato",$I$38-1,0)),IF(AND($L$37=0,$P$34=0),"",$L$37-1),IF($R$17="Distrato",$E575,0)),MIN(AT$38,$D$19),$P$20))-SUM($P575:AS575)</f>
        <v>#VALUE!</v>
      </c>
      <c r="AU575" s="446" t="e">
        <f>IF(OR($B575="",MIN(AU$38,$D$19)&lt;MAX($P$34*($B575+IF($R$17="Distrato",$I$38-1,0)),IF(AND($L$37=0,$P$34=0),"",$L$37-1),IF($R$17="Distrato",$E575,0))),0,YEARFRAC(MAX($P$34*($B575+IF($R$17="Distrato",$I$38-1,0)),IF(AND($L$37=0,$P$34=0),"",$L$37-1),IF($R$17="Distrato",$E575,0)),MIN(AU$38,$D$19),$P$20))-SUM($P575:AT575)</f>
        <v>#VALUE!</v>
      </c>
      <c r="AV575" s="446" t="e">
        <f>IF(OR($B575="",MIN(AV$38,$D$19)&lt;MAX($P$34*($B575+IF($R$17="Distrato",$I$38-1,0)),IF(AND($L$37=0,$P$34=0),"",$L$37-1),IF($R$17="Distrato",$E575,0))),0,YEARFRAC(MAX($P$34*($B575+IF($R$17="Distrato",$I$38-1,0)),IF(AND($L$37=0,$P$34=0),"",$L$37-1),IF($R$17="Distrato",$E575,0)),MIN(AV$38,$D$19),$P$20))-SUM($P575:AU575)</f>
        <v>#VALUE!</v>
      </c>
      <c r="AW575" s="446" t="e">
        <f>IF(OR($B575="",MIN(AW$38,$D$19)&lt;MAX($P$34*($B575+IF($R$17="Distrato",$I$38-1,0)),IF(AND($L$37=0,$P$34=0),"",$L$37-1),IF($R$17="Distrato",$E575,0))),0,YEARFRAC(MAX($P$34*($B575+IF($R$17="Distrato",$I$38-1,0)),IF(AND($L$37=0,$P$34=0),"",$L$37-1),IF($R$17="Distrato",$E575,0)),MIN(AW$38,$D$19),$P$20))-SUM($P575:AV575)</f>
        <v>#VALUE!</v>
      </c>
      <c r="AX575" s="446" t="e">
        <f>IF(OR($B575="",MIN(AX$38,$D$19)&lt;MAX($P$34*($B575+IF($R$17="Distrato",$I$38-1,0)),IF(AND($L$37=0,$P$34=0),"",$L$37-1),IF($R$17="Distrato",$E575,0))),0,YEARFRAC(MAX($P$34*($B575+IF($R$17="Distrato",$I$38-1,0)),IF(AND($L$37=0,$P$34=0),"",$L$37-1),IF($R$17="Distrato",$E575,0)),MIN(AX$38,$D$19),$P$20))-SUM($P575:AW575)</f>
        <v>#VALUE!</v>
      </c>
      <c r="AY575" s="446" t="e">
        <f>IF(OR($B575="",MIN(AY$38,$D$19)&lt;MAX($P$34*($B575+IF($R$17="Distrato",$I$38-1,0)),IF(AND($L$37=0,$P$34=0),"",$L$37-1),IF($R$17="Distrato",$E575,0))),0,YEARFRAC(MAX($P$34*($B575+IF($R$17="Distrato",$I$38-1,0)),IF(AND($L$37=0,$P$34=0),"",$L$37-1),IF($R$17="Distrato",$E575,0)),MIN(AY$38,$D$19),$P$20))-SUM($P575:AX575)</f>
        <v>#VALUE!</v>
      </c>
      <c r="AZ575" s="446" t="e">
        <f>IF(OR($B575="",MIN(AZ$38,$D$19)&lt;MAX($P$34*($B575+IF($R$17="Distrato",$I$38-1,0)),IF(AND($L$37=0,$P$34=0),"",$L$37-1),IF($R$17="Distrato",$E575,0))),0,YEARFRAC(MAX($P$34*($B575+IF($R$17="Distrato",$I$38-1,0)),IF(AND($L$37=0,$P$34=0),"",$L$37-1),IF($R$17="Distrato",$E575,0)),MIN(AZ$38,$D$19),$P$20))-SUM($P575:AY575)</f>
        <v>#VALUE!</v>
      </c>
      <c r="BA575" s="446" t="e">
        <f>IF(OR($B575="",MIN(BA$38,$D$19)&lt;MAX($P$34*($B575+IF($R$17="Distrato",$I$38-1,0)),IF(AND($L$37=0,$P$34=0),"",$L$37-1),IF($R$17="Distrato",$E575,0))),0,YEARFRAC(MAX($P$34*($B575+IF($R$17="Distrato",$I$38-1,0)),IF(AND($L$37=0,$P$34=0),"",$L$37-1),IF($R$17="Distrato",$E575,0)),MIN(BA$38,$D$19),$P$20))-SUM($P575:AZ575)</f>
        <v>#VALUE!</v>
      </c>
      <c r="BB575" s="447"/>
      <c r="BF575" s="446">
        <f t="shared" si="98"/>
        <v>0</v>
      </c>
      <c r="BG575" s="446">
        <f>IF($E575=0,0,IF(MIN(BG$38,$E575)&lt;MAX($P$34*($B575+$I$38-1),IF(AND($L$37=0,$P$34=0),"",$L$37-1)),0,YEARFRAC(MAX($P$34*($B575+$I$38-1),IF(AND($L$37=0,$P$34=0),"",$L$37-1)),MIN(BG$38,$E575),$P$20))-SUM($BF575:BF575))</f>
        <v>0</v>
      </c>
      <c r="BH575" s="446">
        <f>IF($E575=0,0,IF(MIN(BH$38,$E575)&lt;MAX($P$34*($B575+$I$38-1),IF(AND($L$37=0,$P$34=0),"",$L$37-1)),0,YEARFRAC(MAX($P$34*($B575+$I$38-1),IF(AND($L$37=0,$P$34=0),"",$L$37-1)),MIN(BH$38,$E575),$P$20))-SUM($BF575:BG575))</f>
        <v>0</v>
      </c>
      <c r="BI575" s="446">
        <f>IF($E575=0,0,IF(MIN(BI$38,$E575)&lt;MAX($P$34*($B575+$I$38-1),IF(AND($L$37=0,$P$34=0),"",$L$37-1)),0,YEARFRAC(MAX($P$34*($B575+$I$38-1),IF(AND($L$37=0,$P$34=0),"",$L$37-1)),MIN(BI$38,$E575),$P$20))-SUM($BF575:BH575))</f>
        <v>0</v>
      </c>
      <c r="BJ575" s="446">
        <f>IF($E575=0,0,IF(MIN(BJ$38,$E575)&lt;MAX($P$34*($B575+$I$38-1),IF(AND($L$37=0,$P$34=0),"",$L$37-1)),0,YEARFRAC(MAX($P$34*($B575+$I$38-1),IF(AND($L$37=0,$P$34=0),"",$L$37-1)),MIN(BJ$38,$E575),$P$20))-SUM($BF575:BI575))</f>
        <v>0</v>
      </c>
      <c r="BK575" s="446">
        <f>IF($E575=0,0,IF(MIN(BK$38,$E575)&lt;MAX($P$34*($B575+$I$38-1),IF(AND($L$37=0,$P$34=0),"",$L$37-1)),0,YEARFRAC(MAX($P$34*($B575+$I$38-1),IF(AND($L$37=0,$P$34=0),"",$L$37-1)),MIN(BK$38,$E575),$P$20))-SUM($BF575:BJ575))</f>
        <v>0</v>
      </c>
      <c r="BL575" s="446">
        <f>IF($E575=0,0,IF(MIN(BL$38,$E575)&lt;MAX($P$34*($B575+$I$38-1),IF(AND($L$37=0,$P$34=0),"",$L$37-1)),0,YEARFRAC(MAX($P$34*($B575+$I$38-1),IF(AND($L$37=0,$P$34=0),"",$L$37-1)),MIN(BL$38,$E575),$P$20))-SUM($BF575:BK575))</f>
        <v>0</v>
      </c>
      <c r="BM575" s="446">
        <f>IF($E575=0,0,IF(MIN(BM$38,$E575)&lt;MAX($P$34*($B575+$I$38-1),IF(AND($L$37=0,$P$34=0),"",$L$37-1)),0,YEARFRAC(MAX($P$34*($B575+$I$38-1),IF(AND($L$37=0,$P$34=0),"",$L$37-1)),MIN(BM$38,$E575),$P$20))-SUM($BF575:BL575))</f>
        <v>0</v>
      </c>
      <c r="BN575" s="446">
        <f>IF($E575=0,0,IF(MIN(BN$38,$E575)&lt;MAX($P$34*($B575+$I$38-1),IF(AND($L$37=0,$P$34=0),"",$L$37-1)),0,YEARFRAC(MAX($P$34*($B575+$I$38-1),IF(AND($L$37=0,$P$34=0),"",$L$37-1)),MIN(BN$38,$E575),$P$20))-SUM($BF575:BM575))</f>
        <v>0</v>
      </c>
      <c r="BO575" s="446">
        <f>IF($E575=0,0,IF(MIN(BO$38,$E575)&lt;MAX($P$34*($B575+$I$38-1),IF(AND($L$37=0,$P$34=0),"",$L$37-1)),0,YEARFRAC(MAX($P$34*($B575+$I$38-1),IF(AND($L$37=0,$P$34=0),"",$L$37-1)),MIN(BO$38,$E575),$P$20))-SUM($BF575:BN575))</f>
        <v>0</v>
      </c>
      <c r="BP575" s="446">
        <f>IF($E575=0,0,IF(MIN(BP$38,$E575)&lt;MAX($P$34*($B575+$I$38-1),IF(AND($L$37=0,$P$34=0),"",$L$37-1)),0,YEARFRAC(MAX($P$34*($B575+$I$38-1),IF(AND($L$37=0,$P$34=0),"",$L$37-1)),MIN(BP$38,$E575),$P$20))-SUM($BF575:BO575))</f>
        <v>0</v>
      </c>
      <c r="BQ575" s="446">
        <f>IF($E575=0,0,IF(MIN(BQ$38,$E575)&lt;MAX($P$34*($B575+$I$38-1),IF(AND($L$37=0,$P$34=0),"",$L$37-1)),0,YEARFRAC(MAX($P$34*($B575+$I$38-1),IF(AND($L$37=0,$P$34=0),"",$L$37-1)),MIN(BQ$38,$E575),$P$20))-SUM($BF575:BP575))</f>
        <v>0</v>
      </c>
      <c r="BR575" s="446">
        <f>IF($E575=0,0,IF(MIN(BR$38,$E575)&lt;MAX($P$34*($B575+$I$38-1),IF(AND($L$37=0,$P$34=0),"",$L$37-1)),0,YEARFRAC(MAX($P$34*($B575+$I$38-1),IF(AND($L$37=0,$P$34=0),"",$L$37-1)),MIN(BR$38,$E575),$P$20))-SUM($BF575:BQ575))</f>
        <v>0</v>
      </c>
      <c r="BS575" s="446">
        <f>IF($E575=0,0,IF(MIN(BS$38,$E575)&lt;MAX($P$34*($B575+$I$38-1),IF(AND($L$37=0,$P$34=0),"",$L$37-1)),0,YEARFRAC(MAX($P$34*($B575+$I$38-1),IF(AND($L$37=0,$P$34=0),"",$L$37-1)),MIN(BS$38,$E575),$P$20))-SUM($BF575:BR575))</f>
        <v>0</v>
      </c>
      <c r="BT575" s="446">
        <f>IF($E575=0,0,IF(MIN(BT$38,$E575)&lt;MAX($P$34*($B575+$I$38-1),IF(AND($L$37=0,$P$34=0),"",$L$37-1)),0,YEARFRAC(MAX($P$34*($B575+$I$38-1),IF(AND($L$37=0,$P$34=0),"",$L$37-1)),MIN(BT$38,$E575),$P$20))-SUM($BF575:BS575))</f>
        <v>0</v>
      </c>
      <c r="BU575" s="446">
        <f>IF($E575=0,0,IF(MIN(BU$38,$E575)&lt;MAX($P$34*($B575+$I$38-1),IF(AND($L$37=0,$P$34=0),"",$L$37-1)),0,YEARFRAC(MAX($P$34*($B575+$I$38-1),IF(AND($L$37=0,$P$34=0),"",$L$37-1)),MIN(BU$38,$E575),$P$20))-SUM($BF575:BT575))</f>
        <v>0</v>
      </c>
      <c r="BV575" s="446">
        <f>IF($E575=0,0,IF(MIN(BV$38,$E575)&lt;MAX($P$34*($B575+$I$38-1),IF(AND($L$37=0,$P$34=0),"",$L$37-1)),0,YEARFRAC(MAX($P$34*($B575+$I$38-1),IF(AND($L$37=0,$P$34=0),"",$L$37-1)),MIN(BV$38,$E575),$P$20))-SUM($BF575:BU575))</f>
        <v>0</v>
      </c>
      <c r="BW575" s="446">
        <f>IF($E575=0,0,IF(MIN(BW$38,$E575)&lt;MAX($P$34*($B575+$I$38-1),IF(AND($L$37=0,$P$34=0),"",$L$37-1)),0,YEARFRAC(MAX($P$34*($B575+$I$38-1),IF(AND($L$37=0,$P$34=0),"",$L$37-1)),MIN(BW$38,$E575),$P$20))-SUM($BF575:BV575))</f>
        <v>0</v>
      </c>
      <c r="BX575" s="446">
        <f>IF($E575=0,0,IF(MIN(BX$38,$E575)&lt;MAX($P$34*($B575+$I$38-1),IF(AND($L$37=0,$P$34=0),"",$L$37-1)),0,YEARFRAC(MAX($P$34*($B575+$I$38-1),IF(AND($L$37=0,$P$34=0),"",$L$37-1)),MIN(BX$38,$E575),$P$20))-SUM($BF575:BW575))</f>
        <v>0</v>
      </c>
      <c r="BY575" s="446">
        <f>IF($E575=0,0,IF(MIN(BY$38,$E575)&lt;MAX($P$34*($B575+$I$38-1),IF(AND($L$37=0,$P$34=0),"",$L$37-1)),0,YEARFRAC(MAX($P$34*($B575+$I$38-1),IF(AND($L$37=0,$P$34=0),"",$L$37-1)),MIN(BY$38,$E575),$P$20))-SUM($BF575:BX575))</f>
        <v>0</v>
      </c>
      <c r="BZ575" s="446">
        <f>IF($E575=0,0,IF(MIN(BZ$38,$E575)&lt;MAX($P$34*($B575+$I$38-1),IF(AND($L$37=0,$P$34=0),"",$L$37-1)),0,YEARFRAC(MAX($P$34*($B575+$I$38-1),IF(AND($L$37=0,$P$34=0),"",$L$37-1)),MIN(BZ$38,$E575),$P$20))-SUM($BF575:BY575))</f>
        <v>0</v>
      </c>
      <c r="CA575" s="446">
        <f>IF($E575=0,0,IF(MIN(CA$38,$E575)&lt;MAX($P$34*($B575+$I$38-1),IF(AND($L$37=0,$P$34=0),"",$L$37-1)),0,YEARFRAC(MAX($P$34*($B575+$I$38-1),IF(AND($L$37=0,$P$34=0),"",$L$37-1)),MIN(CA$38,$E575),$P$20))-SUM($BF575:BZ575))</f>
        <v>0</v>
      </c>
      <c r="CB575" s="446">
        <f>IF($E575=0,0,IF(MIN(CB$38,$E575)&lt;MAX($P$34*($B575+$I$38-1),IF(AND($L$37=0,$P$34=0),"",$L$37-1)),0,YEARFRAC(MAX($P$34*($B575+$I$38-1),IF(AND($L$37=0,$P$34=0),"",$L$37-1)),MIN(CB$38,$E575),$P$20))-SUM($BF575:CA575))</f>
        <v>0</v>
      </c>
      <c r="CC575" s="446">
        <f>IF($E575=0,0,IF(MIN(CC$38,$E575)&lt;MAX($P$34*($B575+$I$38-1),IF(AND($L$37=0,$P$34=0),"",$L$37-1)),0,YEARFRAC(MAX($P$34*($B575+$I$38-1),IF(AND($L$37=0,$P$34=0),"",$L$37-1)),MIN(CC$38,$E575),$P$20))-SUM($BF575:CB575))</f>
        <v>0</v>
      </c>
      <c r="CD575" s="446">
        <f>IF($E575=0,0,IF(MIN(CD$38,$E575)&lt;MAX($P$34*($B575+$I$38-1),IF(AND($L$37=0,$P$34=0),"",$L$37-1)),0,YEARFRAC(MAX($P$34*($B575+$I$38-1),IF(AND($L$37=0,$P$34=0),"",$L$37-1)),MIN(CD$38,$E575),$P$20))-SUM($BF575:CC575))</f>
        <v>0</v>
      </c>
      <c r="CE575" s="446">
        <f>IF($E575=0,0,IF(MIN(CE$38,$E575)&lt;MAX($P$34*($B575+$I$38-1),IF(AND($L$37=0,$P$34=0),"",$L$37-1)),0,YEARFRAC(MAX($P$34*($B575+$I$38-1),IF(AND($L$37=0,$P$34=0),"",$L$37-1)),MIN(CE$38,$E575),$P$20))-SUM($BF575:CD575))</f>
        <v>0</v>
      </c>
      <c r="CF575" s="446">
        <f>IF($E575=0,0,IF(MIN(CF$38,$E575)&lt;MAX($P$34*($B575+$I$38-1),IF(AND($L$37=0,$P$34=0),"",$L$37-1)),0,YEARFRAC(MAX($P$34*($B575+$I$38-1),IF(AND($L$37=0,$P$34=0),"",$L$37-1)),MIN(CF$38,$E575),$P$20))-SUM($BF575:CE575))</f>
        <v>0</v>
      </c>
      <c r="CG575" s="446">
        <f>IF($E575=0,0,IF(MIN(CG$38,$E575)&lt;MAX($P$34*($B575+$I$38-1),IF(AND($L$37=0,$P$34=0),"",$L$37-1)),0,YEARFRAC(MAX($P$34*($B575+$I$38-1),IF(AND($L$37=0,$P$34=0),"",$L$37-1)),MIN(CG$38,$E575),$P$20))-SUM($BF575:CF575))</f>
        <v>0</v>
      </c>
      <c r="CH575" s="446">
        <f>IF($E575=0,0,IF(MIN(CH$38,$E575)&lt;MAX($P$34*($B575+$I$38-1),IF(AND($L$37=0,$P$34=0),"",$L$37-1)),0,YEARFRAC(MAX($P$34*($B575+$I$38-1),IF(AND($L$37=0,$P$34=0),"",$L$37-1)),MIN(CH$38,$E575),$P$20))-SUM($BF575:CG575))</f>
        <v>0</v>
      </c>
      <c r="CI575" s="446">
        <f>IF($E575=0,0,IF(MIN(CI$38,$E575)&lt;MAX($P$34*($B575+$I$38-1),IF(AND($L$37=0,$P$34=0),"",$L$37-1)),0,YEARFRAC(MAX($P$34*($B575+$I$38-1),IF(AND($L$37=0,$P$34=0),"",$L$37-1)),MIN(CI$38,$E575),$P$20))-SUM($BF575:CH575))</f>
        <v>0</v>
      </c>
      <c r="CJ575" s="446">
        <f>IF($E575=0,0,IF(MIN(CJ$38,$E575)&lt;MAX($P$34*($B575+$I$38-1),IF(AND($L$37=0,$P$34=0),"",$L$37-1)),0,YEARFRAC(MAX($P$34*($B575+$I$38-1),IF(AND($L$37=0,$P$34=0),"",$L$37-1)),MIN(CJ$38,$E575),$P$20))-SUM($BF575:CI575))</f>
        <v>0</v>
      </c>
      <c r="CK575" s="446">
        <f>IF($E575=0,0,IF(MIN(CK$38,$E575)&lt;MAX($P$34*($B575+$I$38-1),IF(AND($L$37=0,$P$34=0),"",$L$37-1)),0,YEARFRAC(MAX($P$34*($B575+$I$38-1),IF(AND($L$37=0,$P$34=0),"",$L$37-1)),MIN(CK$38,$E575),$P$20))-SUM($BF575:CJ575))</f>
        <v>0</v>
      </c>
      <c r="CL575" s="446">
        <f>IF($E575=0,0,IF(MIN(CL$38,$E575)&lt;MAX($P$34*($B575+$I$38-1),IF(AND($L$37=0,$P$34=0),"",$L$37-1)),0,YEARFRAC(MAX($P$34*($B575+$I$38-1),IF(AND($L$37=0,$P$34=0),"",$L$37-1)),MIN(CL$38,$E575),$P$20))-SUM($BF575:CK575))</f>
        <v>0</v>
      </c>
      <c r="CM575" s="446">
        <f>IF($E575=0,0,IF(MIN(CM$38,$E575)&lt;MAX($P$34*($B575+$I$38-1),IF(AND($L$37=0,$P$34=0),"",$L$37-1)),0,YEARFRAC(MAX($P$34*($B575+$I$38-1),IF(AND($L$37=0,$P$34=0),"",$L$37-1)),MIN(CM$38,$E575),$P$20))-SUM($BF575:CL575))</f>
        <v>0</v>
      </c>
      <c r="CN575" s="446">
        <f>IF($E575=0,0,IF(MIN(CN$38,$E575)&lt;MAX($P$34*($B575+$I$38-1),IF(AND($L$37=0,$P$34=0),"",$L$37-1)),0,YEARFRAC(MAX($P$34*($B575+$I$38-1),IF(AND($L$37=0,$P$34=0),"",$L$37-1)),MIN(CN$38,$E575),$P$20))-SUM($BF575:CM575))</f>
        <v>0</v>
      </c>
      <c r="CO575" s="446">
        <f>IF($E575=0,0,IF(MIN(CO$38,$E575)&lt;MAX($P$34*($B575+$I$38-1),IF(AND($L$37=0,$P$34=0),"",$L$37-1)),0,YEARFRAC(MAX($P$34*($B575+$I$38-1),IF(AND($L$37=0,$P$34=0),"",$L$37-1)),MIN(CO$38,$E575),$P$20))-SUM($BF575:CN575))</f>
        <v>0</v>
      </c>
      <c r="CP575" s="446">
        <f>IF($E575=0,0,IF(MIN(CP$38,$E575)&lt;MAX($P$34*($B575+$I$38-1),IF(AND($L$37=0,$P$34=0),"",$L$37-1)),0,YEARFRAC(MAX($P$34*($B575+$I$38-1),IF(AND($L$37=0,$P$34=0),"",$L$37-1)),MIN(CP$38,$E575),$P$20))-SUM($BF575:CO575))</f>
        <v>0</v>
      </c>
      <c r="CQ575" s="446">
        <f>IF($E575=0,0,IF(MIN(CQ$38,$E575)&lt;MAX($P$34*($B575+$I$38-1),IF(AND($L$37=0,$P$34=0),"",$L$37-1)),0,YEARFRAC(MAX($P$34*($B575+$I$38-1),IF(AND($L$37=0,$P$34=0),"",$L$37-1)),MIN(CQ$38,$E575),$P$20))-SUM($BF575:CP575))</f>
        <v>0</v>
      </c>
    </row>
    <row r="576" spans="1:95" s="446" customFormat="1" ht="11.25" hidden="1" customHeight="1" x14ac:dyDescent="0.2">
      <c r="A576" s="152"/>
      <c r="B576" s="153" t="str">
        <f t="shared" si="103"/>
        <v/>
      </c>
      <c r="C576" s="29" t="str">
        <f>IF(B576="","",IF($L$35="SELIC - TRIBUTOS",VLOOKUP(DATE(YEAR($D$19),MONTH($D$19)-1,1),ÍNDICES!$A:$DE,HLOOKUP($BL$25,ÍNDICES!$B$3:$T$4,2)+11)-VLOOKUP(B576,ÍNDICES!$A:$DE,HLOOKUP($BL$25,ÍNDICES!$B$3:$T$4,2)+11)+1%,IF(C$38=$W$26,$J$35,IF(ISERROR(IF(B576&gt;$D$19,1,VLOOKUP(DATE(YEAR(B576),MONTH(B576)+IF($C$35=$S$23,1,0),1),ÍNDICES!$A:$DE,$Z$35+1))),"",IF(B576&gt;$D$19,1,VLOOKUP(DATE(YEAR(B576),MONTH(B576)+IF($C$35=$S$23,1,0),1),ÍNDICES!$A:$DE,$Z$35+1))))))</f>
        <v/>
      </c>
      <c r="D576" s="154" t="str">
        <f>IF(ISERROR(IF(OR($D$38=$Y$27,$B576=""),"",VLOOKUP(B576,ÍNDICES!A:DE,AF$35+1))),"",IF(OR($D$38=$Y$27,$B576=""),"",VLOOKUP(B576,ÍNDICES!A:DE,AF$35+1)))</f>
        <v/>
      </c>
      <c r="E576" s="153"/>
      <c r="F576" s="29" t="str">
        <f>IF(E576="","",IF($L$35="SELIC - TRIBUTOS",VLOOKUP(DATE(YEAR($D$19),MONTH($D$19)-1,1),ÍNDICES!$A:$DE,HLOOKUP($BL$25,ÍNDICES!$B$3:$T$4,2)+11)-VLOOKUP(E576,ÍNDICES!$A:$DE,HLOOKUP($BL$25,ÍNDICES!$B$3:$T$4,2)+11)+1%,IF(F$38=$W$26,$J$35,IF(ISERROR(IF(E576&gt;$D$19,1,VLOOKUP(DATE(YEAR(E576),MONTH(E576)+IF($C$35=$S$23,1,0),1),ÍNDICES!$A:$DE,$Z$35+1))),"",IF(E576&gt;$D$19,1,VLOOKUP(DATE(YEAR(E576),MONTH(E576)+IF($C$35=$S$23,1,0),1),ÍNDICES!$A:$DE,$Z$35+1))))))</f>
        <v/>
      </c>
      <c r="G576" s="155"/>
      <c r="H576" s="156" t="str">
        <f t="shared" si="99"/>
        <v/>
      </c>
      <c r="I576" s="29" t="str">
        <f t="shared" si="93"/>
        <v/>
      </c>
      <c r="J576" s="5">
        <f t="shared" si="94"/>
        <v>0</v>
      </c>
      <c r="K576" s="20">
        <f t="shared" ca="1" si="95"/>
        <v>0</v>
      </c>
      <c r="L576" s="5">
        <f t="shared" ca="1" si="96"/>
        <v>0</v>
      </c>
      <c r="M576" s="64">
        <f t="shared" si="100"/>
        <v>0</v>
      </c>
      <c r="N576" s="61">
        <f t="shared" ca="1" si="101"/>
        <v>0</v>
      </c>
      <c r="O576" s="5">
        <f t="shared" ca="1" si="102"/>
        <v>0</v>
      </c>
      <c r="P576" s="446" t="e">
        <f t="shared" si="97"/>
        <v>#VALUE!</v>
      </c>
      <c r="Q576" s="446" t="e">
        <f>IF(OR($B576="",MIN(Q$38,$D$19)&lt;MAX($P$34*($B576+IF($R$17="Distrato",$I$38-1,0)),IF(AND($L$37=0,$P$34=0),"",$L$37-1),IF($R$17="Distrato",$E576,0))),0,YEARFRAC(MAX($P$34*($B576+IF($R$17="Distrato",$I$38-1,0)),IF(AND($L$37=0,$P$34=0),"",$L$37-1),IF($R$17="Distrato",$E576,0)),MIN(Q$38,$D$19),$P$20))-SUM($P576:P576)</f>
        <v>#VALUE!</v>
      </c>
      <c r="R576" s="446" t="e">
        <f>IF(OR($B576="",MIN(R$38,$D$19)&lt;MAX($P$34*($B576+IF($R$17="Distrato",$I$38-1,0)),IF(AND($L$37=0,$P$34=0),"",$L$37-1),IF($R$17="Distrato",$E576,0))),0,YEARFRAC(MAX($P$34*($B576+IF($R$17="Distrato",$I$38-1,0)),IF(AND($L$37=0,$P$34=0),"",$L$37-1),IF($R$17="Distrato",$E576,0)),MIN(R$38,$D$19),$P$20))-SUM($P576:Q576)</f>
        <v>#VALUE!</v>
      </c>
      <c r="S576" s="446" t="e">
        <f>IF(OR($B576="",MIN(S$38,$D$19)&lt;MAX($P$34*($B576+IF($R$17="Distrato",$I$38-1,0)),IF(AND($L$37=0,$P$34=0),"",$L$37-1),IF($R$17="Distrato",$E576,0))),0,YEARFRAC(MAX($P$34*($B576+IF($R$17="Distrato",$I$38-1,0)),IF(AND($L$37=0,$P$34=0),"",$L$37-1),IF($R$17="Distrato",$E576,0)),MIN(S$38,$D$19),$P$20))-SUM($P576:R576)</f>
        <v>#VALUE!</v>
      </c>
      <c r="T576" s="446" t="e">
        <f>IF(OR($B576="",MIN(T$38,$D$19)&lt;MAX($P$34*($B576+IF($R$17="Distrato",$I$38-1,0)),IF(AND($L$37=0,$P$34=0),"",$L$37-1),IF($R$17="Distrato",$E576,0))),0,YEARFRAC(MAX($P$34*($B576+IF($R$17="Distrato",$I$38-1,0)),IF(AND($L$37=0,$P$34=0),"",$L$37-1),IF($R$17="Distrato",$E576,0)),MIN(T$38,$D$19),$P$20))-SUM($P576:S576)</f>
        <v>#VALUE!</v>
      </c>
      <c r="U576" s="446" t="e">
        <f>IF(OR($B576="",MIN(U$38,$D$19)&lt;MAX($P$34*($B576+IF($R$17="Distrato",$I$38-1,0)),IF(AND($L$37=0,$P$34=0),"",$L$37-1),IF($R$17="Distrato",$E576,0))),0,YEARFRAC(MAX($P$34*($B576+IF($R$17="Distrato",$I$38-1,0)),IF(AND($L$37=0,$P$34=0),"",$L$37-1),IF($R$17="Distrato",$E576,0)),MIN(U$38,$D$19),$P$20))-SUM($P576:T576)</f>
        <v>#VALUE!</v>
      </c>
      <c r="V576" s="446" t="e">
        <f>IF(OR($B576="",MIN(V$38,$D$19)&lt;MAX($P$34*($B576+IF($R$17="Distrato",$I$38-1,0)),IF(AND($L$37=0,$P$34=0),"",$L$37-1),IF($R$17="Distrato",$E576,0))),0,YEARFRAC(MAX($P$34*($B576+IF($R$17="Distrato",$I$38-1,0)),IF(AND($L$37=0,$P$34=0),"",$L$37-1),IF($R$17="Distrato",$E576,0)),MIN(V$38,$D$19),$P$20))-SUM($P576:U576)</f>
        <v>#VALUE!</v>
      </c>
      <c r="W576" s="446" t="e">
        <f>IF(OR($B576="",MIN(W$38,$D$19)&lt;MAX($P$34*($B576+IF($R$17="Distrato",$I$38-1,0)),IF(AND($L$37=0,$P$34=0),"",$L$37-1),IF($R$17="Distrato",$E576,0))),0,YEARFRAC(MAX($P$34*($B576+IF($R$17="Distrato",$I$38-1,0)),IF(AND($L$37=0,$P$34=0),"",$L$37-1),IF($R$17="Distrato",$E576,0)),MIN(W$38,$D$19),$P$20))-SUM($P576:V576)</f>
        <v>#VALUE!</v>
      </c>
      <c r="X576" s="446" t="e">
        <f>IF(OR($B576="",MIN(X$38,$D$19)&lt;MAX($P$34*($B576+IF($R$17="Distrato",$I$38-1,0)),IF(AND($L$37=0,$P$34=0),"",$L$37-1),IF($R$17="Distrato",$E576,0))),0,YEARFRAC(MAX($P$34*($B576+IF($R$17="Distrato",$I$38-1,0)),IF(AND($L$37=0,$P$34=0),"",$L$37-1),IF($R$17="Distrato",$E576,0)),MIN(X$38,$D$19),$P$20))-SUM($P576:W576)</f>
        <v>#VALUE!</v>
      </c>
      <c r="Y576" s="446" t="e">
        <f>IF(OR($B576="",MIN(Y$38,$D$19)&lt;MAX($P$34*($B576+IF($R$17="Distrato",$I$38-1,0)),IF(AND($L$37=0,$P$34=0),"",$L$37-1),IF($R$17="Distrato",$E576,0))),0,YEARFRAC(MAX($P$34*($B576+IF($R$17="Distrato",$I$38-1,0)),IF(AND($L$37=0,$P$34=0),"",$L$37-1),IF($R$17="Distrato",$E576,0)),MIN(Y$38,$D$19),$P$20))-SUM($P576:X576)</f>
        <v>#VALUE!</v>
      </c>
      <c r="Z576" s="446" t="e">
        <f>IF(OR($B576="",MIN(Z$38,$D$19)&lt;MAX($P$34*($B576+IF($R$17="Distrato",$I$38-1,0)),IF(AND($L$37=0,$P$34=0),"",$L$37-1),IF($R$17="Distrato",$E576,0))),0,YEARFRAC(MAX($P$34*($B576+IF($R$17="Distrato",$I$38-1,0)),IF(AND($L$37=0,$P$34=0),"",$L$37-1),IF($R$17="Distrato",$E576,0)),MIN(Z$38,$D$19),$P$20))-SUM($P576:Y576)</f>
        <v>#VALUE!</v>
      </c>
      <c r="AA576" s="446" t="e">
        <f>IF(OR($B576="",MIN(AA$38,$D$19)&lt;MAX($P$34*($B576+IF($R$17="Distrato",$I$38-1,0)),IF(AND($L$37=0,$P$34=0),"",$L$37-1),IF($R$17="Distrato",$E576,0))),0,YEARFRAC(MAX($P$34*($B576+IF($R$17="Distrato",$I$38-1,0)),IF(AND($L$37=0,$P$34=0),"",$L$37-1),IF($R$17="Distrato",$E576,0)),MIN(AA$38,$D$19),$P$20))-SUM($P576:Z576)</f>
        <v>#VALUE!</v>
      </c>
      <c r="AB576" s="446" t="e">
        <f>IF(OR($B576="",MIN(AB$38,$D$19)&lt;MAX($P$34*($B576+IF($R$17="Distrato",$I$38-1,0)),IF(AND($L$37=0,$P$34=0),"",$L$37-1),IF($R$17="Distrato",$E576,0))),0,YEARFRAC(MAX($P$34*($B576+IF($R$17="Distrato",$I$38-1,0)),IF(AND($L$37=0,$P$34=0),"",$L$37-1),IF($R$17="Distrato",$E576,0)),MIN(AB$38,$D$19),$P$20))-SUM($P576:AA576)</f>
        <v>#VALUE!</v>
      </c>
      <c r="AC576" s="446" t="e">
        <f>IF(OR($B576="",MIN(AC$38,$D$19)&lt;MAX($P$34*($B576+IF($R$17="Distrato",$I$38-1,0)),IF(AND($L$37=0,$P$34=0),"",$L$37-1),IF($R$17="Distrato",$E576,0))),0,YEARFRAC(MAX($P$34*($B576+IF($R$17="Distrato",$I$38-1,0)),IF(AND($L$37=0,$P$34=0),"",$L$37-1),IF($R$17="Distrato",$E576,0)),MIN(AC$38,$D$19),$P$20))-SUM($P576:AB576)</f>
        <v>#VALUE!</v>
      </c>
      <c r="AD576" s="446" t="e">
        <f>IF(OR($B576="",MIN(AD$38,$D$19)&lt;MAX($P$34*($B576+IF($R$17="Distrato",$I$38-1,0)),IF(AND($L$37=0,$P$34=0),"",$L$37-1),IF($R$17="Distrato",$E576,0))),0,YEARFRAC(MAX($P$34*($B576+IF($R$17="Distrato",$I$38-1,0)),IF(AND($L$37=0,$P$34=0),"",$L$37-1),IF($R$17="Distrato",$E576,0)),MIN(AD$38,$D$19),$P$20))-SUM($P576:AC576)</f>
        <v>#VALUE!</v>
      </c>
      <c r="AE576" s="446" t="e">
        <f>IF(OR($B576="",MIN(AE$38,$D$19)&lt;MAX($P$34*($B576+IF($R$17="Distrato",$I$38-1,0)),IF(AND($L$37=0,$P$34=0),"",$L$37-1),IF($R$17="Distrato",$E576,0))),0,YEARFRAC(MAX($P$34*($B576+IF($R$17="Distrato",$I$38-1,0)),IF(AND($L$37=0,$P$34=0),"",$L$37-1),IF($R$17="Distrato",$E576,0)),MIN(AE$38,$D$19),$P$20))-SUM($P576:AD576)</f>
        <v>#VALUE!</v>
      </c>
      <c r="AF576" s="446" t="e">
        <f>IF(OR($B576="",MIN(AF$38,$D$19)&lt;MAX($P$34*($B576+IF($R$17="Distrato",$I$38-1,0)),IF(AND($L$37=0,$P$34=0),"",$L$37-1),IF($R$17="Distrato",$E576,0))),0,YEARFRAC(MAX($P$34*($B576+IF($R$17="Distrato",$I$38-1,0)),IF(AND($L$37=0,$P$34=0),"",$L$37-1),IF($R$17="Distrato",$E576,0)),MIN(AF$38,$D$19),$P$20))-SUM($P576:AE576)</f>
        <v>#VALUE!</v>
      </c>
      <c r="AG576" s="446" t="e">
        <f>IF(OR($B576="",MIN(AG$38,$D$19)&lt;MAX($P$34*($B576+IF($R$17="Distrato",$I$38-1,0)),IF(AND($L$37=0,$P$34=0),"",$L$37-1),IF($R$17="Distrato",$E576,0))),0,YEARFRAC(MAX($P$34*($B576+IF($R$17="Distrato",$I$38-1,0)),IF(AND($L$37=0,$P$34=0),"",$L$37-1),IF($R$17="Distrato",$E576,0)),MIN(AG$38,$D$19),$P$20))-SUM($P576:AF576)</f>
        <v>#VALUE!</v>
      </c>
      <c r="AH576" s="446" t="e">
        <f>IF(OR($B576="",MIN(AH$38,$D$19)&lt;MAX($P$34*($B576+IF($R$17="Distrato",$I$38-1,0)),IF(AND($L$37=0,$P$34=0),"",$L$37-1),IF($R$17="Distrato",$E576,0))),0,YEARFRAC(MAX($P$34*($B576+IF($R$17="Distrato",$I$38-1,0)),IF(AND($L$37=0,$P$34=0),"",$L$37-1),IF($R$17="Distrato",$E576,0)),MIN(AH$38,$D$19),$P$20))-SUM($P576:AG576)</f>
        <v>#VALUE!</v>
      </c>
      <c r="AI576" s="446" t="e">
        <f>IF(OR($B576="",MIN(AI$38,$D$19)&lt;MAX($P$34*($B576+IF($R$17="Distrato",$I$38-1,0)),IF(AND($L$37=0,$P$34=0),"",$L$37-1),IF($R$17="Distrato",$E576,0))),0,YEARFRAC(MAX($P$34*($B576+IF($R$17="Distrato",$I$38-1,0)),IF(AND($L$37=0,$P$34=0),"",$L$37-1),IF($R$17="Distrato",$E576,0)),MIN(AI$38,$D$19),$P$20))-SUM($P576:AH576)</f>
        <v>#VALUE!</v>
      </c>
      <c r="AJ576" s="446" t="e">
        <f>IF(OR($B576="",MIN(AJ$38,$D$19)&lt;MAX($P$34*($B576+IF($R$17="Distrato",$I$38-1,0)),IF(AND($L$37=0,$P$34=0),"",$L$37-1),IF($R$17="Distrato",$E576,0))),0,YEARFRAC(MAX($P$34*($B576+IF($R$17="Distrato",$I$38-1,0)),IF(AND($L$37=0,$P$34=0),"",$L$37-1),IF($R$17="Distrato",$E576,0)),MIN(AJ$38,$D$19),$P$20))-SUM($P576:AI576)</f>
        <v>#VALUE!</v>
      </c>
      <c r="AK576" s="446" t="e">
        <f>IF(OR($B576="",MIN(AK$38,$D$19)&lt;MAX($P$34*($B576+IF($R$17="Distrato",$I$38-1,0)),IF(AND($L$37=0,$P$34=0),"",$L$37-1),IF($R$17="Distrato",$E576,0))),0,YEARFRAC(MAX($P$34*($B576+IF($R$17="Distrato",$I$38-1,0)),IF(AND($L$37=0,$P$34=0),"",$L$37-1),IF($R$17="Distrato",$E576,0)),MIN(AK$38,$D$19),$P$20))-SUM($P576:AJ576)</f>
        <v>#VALUE!</v>
      </c>
      <c r="AL576" s="446" t="e">
        <f>IF(OR($B576="",MIN(AL$38,$D$19)&lt;MAX($P$34*($B576+IF($R$17="Distrato",$I$38-1,0)),IF(AND($L$37=0,$P$34=0),"",$L$37-1),IF($R$17="Distrato",$E576,0))),0,YEARFRAC(MAX($P$34*($B576+IF($R$17="Distrato",$I$38-1,0)),IF(AND($L$37=0,$P$34=0),"",$L$37-1),IF($R$17="Distrato",$E576,0)),MIN(AL$38,$D$19),$P$20))-SUM($P576:AK576)</f>
        <v>#VALUE!</v>
      </c>
      <c r="AM576" s="446" t="e">
        <f>IF(OR($B576="",MIN(AM$38,$D$19)&lt;MAX($P$34*($B576+IF($R$17="Distrato",$I$38-1,0)),IF(AND($L$37=0,$P$34=0),"",$L$37-1),IF($R$17="Distrato",$E576,0))),0,YEARFRAC(MAX($P$34*($B576+IF($R$17="Distrato",$I$38-1,0)),IF(AND($L$37=0,$P$34=0),"",$L$37-1),IF($R$17="Distrato",$E576,0)),MIN(AM$38,$D$19),$P$20))-SUM($P576:AL576)</f>
        <v>#VALUE!</v>
      </c>
      <c r="AN576" s="446" t="e">
        <f>IF(OR($B576="",MIN(AN$38,$D$19)&lt;MAX($P$34*($B576+IF($R$17="Distrato",$I$38-1,0)),IF(AND($L$37=0,$P$34=0),"",$L$37-1),IF($R$17="Distrato",$E576,0))),0,YEARFRAC(MAX($P$34*($B576+IF($R$17="Distrato",$I$38-1,0)),IF(AND($L$37=0,$P$34=0),"",$L$37-1),IF($R$17="Distrato",$E576,0)),MIN(AN$38,$D$19),$P$20))-SUM($P576:AM576)</f>
        <v>#VALUE!</v>
      </c>
      <c r="AO576" s="446" t="e">
        <f>IF(OR($B576="",MIN(AO$38,$D$19)&lt;MAX($P$34*($B576+IF($R$17="Distrato",$I$38-1,0)),IF(AND($L$37=0,$P$34=0),"",$L$37-1),IF($R$17="Distrato",$E576,0))),0,YEARFRAC(MAX($P$34*($B576+IF($R$17="Distrato",$I$38-1,0)),IF(AND($L$37=0,$P$34=0),"",$L$37-1),IF($R$17="Distrato",$E576,0)),MIN(AO$38,$D$19),$P$20))-SUM($P576:AN576)</f>
        <v>#VALUE!</v>
      </c>
      <c r="AP576" s="446" t="e">
        <f>IF(OR($B576="",MIN(AP$38,$D$19)&lt;MAX($P$34*($B576+IF($R$17="Distrato",$I$38-1,0)),IF(AND($L$37=0,$P$34=0),"",$L$37-1),IF($R$17="Distrato",$E576,0))),0,YEARFRAC(MAX($P$34*($B576+IF($R$17="Distrato",$I$38-1,0)),IF(AND($L$37=0,$P$34=0),"",$L$37-1),IF($R$17="Distrato",$E576,0)),MIN(AP$38,$D$19),$P$20))-SUM($P576:AO576)</f>
        <v>#VALUE!</v>
      </c>
      <c r="AQ576" s="446" t="e">
        <f>IF(OR($B576="",MIN(AQ$38,$D$19)&lt;MAX($P$34*($B576+IF($R$17="Distrato",$I$38-1,0)),IF(AND($L$37=0,$P$34=0),"",$L$37-1),IF($R$17="Distrato",$E576,0))),0,YEARFRAC(MAX($P$34*($B576+IF($R$17="Distrato",$I$38-1,0)),IF(AND($L$37=0,$P$34=0),"",$L$37-1),IF($R$17="Distrato",$E576,0)),MIN(AQ$38,$D$19),$P$20))-SUM($P576:AP576)</f>
        <v>#VALUE!</v>
      </c>
      <c r="AR576" s="446" t="e">
        <f>IF(OR($B576="",MIN(AR$38,$D$19)&lt;MAX($P$34*($B576+IF($R$17="Distrato",$I$38-1,0)),IF(AND($L$37=0,$P$34=0),"",$L$37-1),IF($R$17="Distrato",$E576,0))),0,YEARFRAC(MAX($P$34*($B576+IF($R$17="Distrato",$I$38-1,0)),IF(AND($L$37=0,$P$34=0),"",$L$37-1),IF($R$17="Distrato",$E576,0)),MIN(AR$38,$D$19),$P$20))-SUM($P576:AQ576)</f>
        <v>#VALUE!</v>
      </c>
      <c r="AS576" s="446" t="e">
        <f>IF(OR($B576="",MIN(AS$38,$D$19)&lt;MAX($P$34*($B576+IF($R$17="Distrato",$I$38-1,0)),IF(AND($L$37=0,$P$34=0),"",$L$37-1),IF($R$17="Distrato",$E576,0))),0,YEARFRAC(MAX($P$34*($B576+IF($R$17="Distrato",$I$38-1,0)),IF(AND($L$37=0,$P$34=0),"",$L$37-1),IF($R$17="Distrato",$E576,0)),MIN(AS$38,$D$19),$P$20))-SUM($P576:AR576)</f>
        <v>#VALUE!</v>
      </c>
      <c r="AT576" s="446" t="e">
        <f>IF(OR($B576="",MIN(AT$38,$D$19)&lt;MAX($P$34*($B576+IF($R$17="Distrato",$I$38-1,0)),IF(AND($L$37=0,$P$34=0),"",$L$37-1),IF($R$17="Distrato",$E576,0))),0,YEARFRAC(MAX($P$34*($B576+IF($R$17="Distrato",$I$38-1,0)),IF(AND($L$37=0,$P$34=0),"",$L$37-1),IF($R$17="Distrato",$E576,0)),MIN(AT$38,$D$19),$P$20))-SUM($P576:AS576)</f>
        <v>#VALUE!</v>
      </c>
      <c r="AU576" s="446" t="e">
        <f>IF(OR($B576="",MIN(AU$38,$D$19)&lt;MAX($P$34*($B576+IF($R$17="Distrato",$I$38-1,0)),IF(AND($L$37=0,$P$34=0),"",$L$37-1),IF($R$17="Distrato",$E576,0))),0,YEARFRAC(MAX($P$34*($B576+IF($R$17="Distrato",$I$38-1,0)),IF(AND($L$37=0,$P$34=0),"",$L$37-1),IF($R$17="Distrato",$E576,0)),MIN(AU$38,$D$19),$P$20))-SUM($P576:AT576)</f>
        <v>#VALUE!</v>
      </c>
      <c r="AV576" s="446" t="e">
        <f>IF(OR($B576="",MIN(AV$38,$D$19)&lt;MAX($P$34*($B576+IF($R$17="Distrato",$I$38-1,0)),IF(AND($L$37=0,$P$34=0),"",$L$37-1),IF($R$17="Distrato",$E576,0))),0,YEARFRAC(MAX($P$34*($B576+IF($R$17="Distrato",$I$38-1,0)),IF(AND($L$37=0,$P$34=0),"",$L$37-1),IF($R$17="Distrato",$E576,0)),MIN(AV$38,$D$19),$P$20))-SUM($P576:AU576)</f>
        <v>#VALUE!</v>
      </c>
      <c r="AW576" s="446" t="e">
        <f>IF(OR($B576="",MIN(AW$38,$D$19)&lt;MAX($P$34*($B576+IF($R$17="Distrato",$I$38-1,0)),IF(AND($L$37=0,$P$34=0),"",$L$37-1),IF($R$17="Distrato",$E576,0))),0,YEARFRAC(MAX($P$34*($B576+IF($R$17="Distrato",$I$38-1,0)),IF(AND($L$37=0,$P$34=0),"",$L$37-1),IF($R$17="Distrato",$E576,0)),MIN(AW$38,$D$19),$P$20))-SUM($P576:AV576)</f>
        <v>#VALUE!</v>
      </c>
      <c r="AX576" s="446" t="e">
        <f>IF(OR($B576="",MIN(AX$38,$D$19)&lt;MAX($P$34*($B576+IF($R$17="Distrato",$I$38-1,0)),IF(AND($L$37=0,$P$34=0),"",$L$37-1),IF($R$17="Distrato",$E576,0))),0,YEARFRAC(MAX($P$34*($B576+IF($R$17="Distrato",$I$38-1,0)),IF(AND($L$37=0,$P$34=0),"",$L$37-1),IF($R$17="Distrato",$E576,0)),MIN(AX$38,$D$19),$P$20))-SUM($P576:AW576)</f>
        <v>#VALUE!</v>
      </c>
      <c r="AY576" s="446" t="e">
        <f>IF(OR($B576="",MIN(AY$38,$D$19)&lt;MAX($P$34*($B576+IF($R$17="Distrato",$I$38-1,0)),IF(AND($L$37=0,$P$34=0),"",$L$37-1),IF($R$17="Distrato",$E576,0))),0,YEARFRAC(MAX($P$34*($B576+IF($R$17="Distrato",$I$38-1,0)),IF(AND($L$37=0,$P$34=0),"",$L$37-1),IF($R$17="Distrato",$E576,0)),MIN(AY$38,$D$19),$P$20))-SUM($P576:AX576)</f>
        <v>#VALUE!</v>
      </c>
      <c r="AZ576" s="446" t="e">
        <f>IF(OR($B576="",MIN(AZ$38,$D$19)&lt;MAX($P$34*($B576+IF($R$17="Distrato",$I$38-1,0)),IF(AND($L$37=0,$P$34=0),"",$L$37-1),IF($R$17="Distrato",$E576,0))),0,YEARFRAC(MAX($P$34*($B576+IF($R$17="Distrato",$I$38-1,0)),IF(AND($L$37=0,$P$34=0),"",$L$37-1),IF($R$17="Distrato",$E576,0)),MIN(AZ$38,$D$19),$P$20))-SUM($P576:AY576)</f>
        <v>#VALUE!</v>
      </c>
      <c r="BA576" s="446" t="e">
        <f>IF(OR($B576="",MIN(BA$38,$D$19)&lt;MAX($P$34*($B576+IF($R$17="Distrato",$I$38-1,0)),IF(AND($L$37=0,$P$34=0),"",$L$37-1),IF($R$17="Distrato",$E576,0))),0,YEARFRAC(MAX($P$34*($B576+IF($R$17="Distrato",$I$38-1,0)),IF(AND($L$37=0,$P$34=0),"",$L$37-1),IF($R$17="Distrato",$E576,0)),MIN(BA$38,$D$19),$P$20))-SUM($P576:AZ576)</f>
        <v>#VALUE!</v>
      </c>
      <c r="BB576" s="447"/>
      <c r="BF576" s="446">
        <f t="shared" si="98"/>
        <v>0</v>
      </c>
      <c r="BG576" s="446">
        <f>IF($E576=0,0,IF(MIN(BG$38,$E576)&lt;MAX($P$34*($B576+$I$38-1),IF(AND($L$37=0,$P$34=0),"",$L$37-1)),0,YEARFRAC(MAX($P$34*($B576+$I$38-1),IF(AND($L$37=0,$P$34=0),"",$L$37-1)),MIN(BG$38,$E576),$P$20))-SUM($BF576:BF576))</f>
        <v>0</v>
      </c>
      <c r="BH576" s="446">
        <f>IF($E576=0,0,IF(MIN(BH$38,$E576)&lt;MAX($P$34*($B576+$I$38-1),IF(AND($L$37=0,$P$34=0),"",$L$37-1)),0,YEARFRAC(MAX($P$34*($B576+$I$38-1),IF(AND($L$37=0,$P$34=0),"",$L$37-1)),MIN(BH$38,$E576),$P$20))-SUM($BF576:BG576))</f>
        <v>0</v>
      </c>
      <c r="BI576" s="446">
        <f>IF($E576=0,0,IF(MIN(BI$38,$E576)&lt;MAX($P$34*($B576+$I$38-1),IF(AND($L$37=0,$P$34=0),"",$L$37-1)),0,YEARFRAC(MAX($P$34*($B576+$I$38-1),IF(AND($L$37=0,$P$34=0),"",$L$37-1)),MIN(BI$38,$E576),$P$20))-SUM($BF576:BH576))</f>
        <v>0</v>
      </c>
      <c r="BJ576" s="446">
        <f>IF($E576=0,0,IF(MIN(BJ$38,$E576)&lt;MAX($P$34*($B576+$I$38-1),IF(AND($L$37=0,$P$34=0),"",$L$37-1)),0,YEARFRAC(MAX($P$34*($B576+$I$38-1),IF(AND($L$37=0,$P$34=0),"",$L$37-1)),MIN(BJ$38,$E576),$P$20))-SUM($BF576:BI576))</f>
        <v>0</v>
      </c>
      <c r="BK576" s="446">
        <f>IF($E576=0,0,IF(MIN(BK$38,$E576)&lt;MAX($P$34*($B576+$I$38-1),IF(AND($L$37=0,$P$34=0),"",$L$37-1)),0,YEARFRAC(MAX($P$34*($B576+$I$38-1),IF(AND($L$37=0,$P$34=0),"",$L$37-1)),MIN(BK$38,$E576),$P$20))-SUM($BF576:BJ576))</f>
        <v>0</v>
      </c>
      <c r="BL576" s="446">
        <f>IF($E576=0,0,IF(MIN(BL$38,$E576)&lt;MAX($P$34*($B576+$I$38-1),IF(AND($L$37=0,$P$34=0),"",$L$37-1)),0,YEARFRAC(MAX($P$34*($B576+$I$38-1),IF(AND($L$37=0,$P$34=0),"",$L$37-1)),MIN(BL$38,$E576),$P$20))-SUM($BF576:BK576))</f>
        <v>0</v>
      </c>
      <c r="BM576" s="446">
        <f>IF($E576=0,0,IF(MIN(BM$38,$E576)&lt;MAX($P$34*($B576+$I$38-1),IF(AND($L$37=0,$P$34=0),"",$L$37-1)),0,YEARFRAC(MAX($P$34*($B576+$I$38-1),IF(AND($L$37=0,$P$34=0),"",$L$37-1)),MIN(BM$38,$E576),$P$20))-SUM($BF576:BL576))</f>
        <v>0</v>
      </c>
      <c r="BN576" s="446">
        <f>IF($E576=0,0,IF(MIN(BN$38,$E576)&lt;MAX($P$34*($B576+$I$38-1),IF(AND($L$37=0,$P$34=0),"",$L$37-1)),0,YEARFRAC(MAX($P$34*($B576+$I$38-1),IF(AND($L$37=0,$P$34=0),"",$L$37-1)),MIN(BN$38,$E576),$P$20))-SUM($BF576:BM576))</f>
        <v>0</v>
      </c>
      <c r="BO576" s="446">
        <f>IF($E576=0,0,IF(MIN(BO$38,$E576)&lt;MAX($P$34*($B576+$I$38-1),IF(AND($L$37=0,$P$34=0),"",$L$37-1)),0,YEARFRAC(MAX($P$34*($B576+$I$38-1),IF(AND($L$37=0,$P$34=0),"",$L$37-1)),MIN(BO$38,$E576),$P$20))-SUM($BF576:BN576))</f>
        <v>0</v>
      </c>
      <c r="BP576" s="446">
        <f>IF($E576=0,0,IF(MIN(BP$38,$E576)&lt;MAX($P$34*($B576+$I$38-1),IF(AND($L$37=0,$P$34=0),"",$L$37-1)),0,YEARFRAC(MAX($P$34*($B576+$I$38-1),IF(AND($L$37=0,$P$34=0),"",$L$37-1)),MIN(BP$38,$E576),$P$20))-SUM($BF576:BO576))</f>
        <v>0</v>
      </c>
      <c r="BQ576" s="446">
        <f>IF($E576=0,0,IF(MIN(BQ$38,$E576)&lt;MAX($P$34*($B576+$I$38-1),IF(AND($L$37=0,$P$34=0),"",$L$37-1)),0,YEARFRAC(MAX($P$34*($B576+$I$38-1),IF(AND($L$37=0,$P$34=0),"",$L$37-1)),MIN(BQ$38,$E576),$P$20))-SUM($BF576:BP576))</f>
        <v>0</v>
      </c>
      <c r="BR576" s="446">
        <f>IF($E576=0,0,IF(MIN(BR$38,$E576)&lt;MAX($P$34*($B576+$I$38-1),IF(AND($L$37=0,$P$34=0),"",$L$37-1)),0,YEARFRAC(MAX($P$34*($B576+$I$38-1),IF(AND($L$37=0,$P$34=0),"",$L$37-1)),MIN(BR$38,$E576),$P$20))-SUM($BF576:BQ576))</f>
        <v>0</v>
      </c>
      <c r="BS576" s="446">
        <f>IF($E576=0,0,IF(MIN(BS$38,$E576)&lt;MAX($P$34*($B576+$I$38-1),IF(AND($L$37=0,$P$34=0),"",$L$37-1)),0,YEARFRAC(MAX($P$34*($B576+$I$38-1),IF(AND($L$37=0,$P$34=0),"",$L$37-1)),MIN(BS$38,$E576),$P$20))-SUM($BF576:BR576))</f>
        <v>0</v>
      </c>
      <c r="BT576" s="446">
        <f>IF($E576=0,0,IF(MIN(BT$38,$E576)&lt;MAX($P$34*($B576+$I$38-1),IF(AND($L$37=0,$P$34=0),"",$L$37-1)),0,YEARFRAC(MAX($P$34*($B576+$I$38-1),IF(AND($L$37=0,$P$34=0),"",$L$37-1)),MIN(BT$38,$E576),$P$20))-SUM($BF576:BS576))</f>
        <v>0</v>
      </c>
      <c r="BU576" s="446">
        <f>IF($E576=0,0,IF(MIN(BU$38,$E576)&lt;MAX($P$34*($B576+$I$38-1),IF(AND($L$37=0,$P$34=0),"",$L$37-1)),0,YEARFRAC(MAX($P$34*($B576+$I$38-1),IF(AND($L$37=0,$P$34=0),"",$L$37-1)),MIN(BU$38,$E576),$P$20))-SUM($BF576:BT576))</f>
        <v>0</v>
      </c>
      <c r="BV576" s="446">
        <f>IF($E576=0,0,IF(MIN(BV$38,$E576)&lt;MAX($P$34*($B576+$I$38-1),IF(AND($L$37=0,$P$34=0),"",$L$37-1)),0,YEARFRAC(MAX($P$34*($B576+$I$38-1),IF(AND($L$37=0,$P$34=0),"",$L$37-1)),MIN(BV$38,$E576),$P$20))-SUM($BF576:BU576))</f>
        <v>0</v>
      </c>
      <c r="BW576" s="446">
        <f>IF($E576=0,0,IF(MIN(BW$38,$E576)&lt;MAX($P$34*($B576+$I$38-1),IF(AND($L$37=0,$P$34=0),"",$L$37-1)),0,YEARFRAC(MAX($P$34*($B576+$I$38-1),IF(AND($L$37=0,$P$34=0),"",$L$37-1)),MIN(BW$38,$E576),$P$20))-SUM($BF576:BV576))</f>
        <v>0</v>
      </c>
      <c r="BX576" s="446">
        <f>IF($E576=0,0,IF(MIN(BX$38,$E576)&lt;MAX($P$34*($B576+$I$38-1),IF(AND($L$37=0,$P$34=0),"",$L$37-1)),0,YEARFRAC(MAX($P$34*($B576+$I$38-1),IF(AND($L$37=0,$P$34=0),"",$L$37-1)),MIN(BX$38,$E576),$P$20))-SUM($BF576:BW576))</f>
        <v>0</v>
      </c>
      <c r="BY576" s="446">
        <f>IF($E576=0,0,IF(MIN(BY$38,$E576)&lt;MAX($P$34*($B576+$I$38-1),IF(AND($L$37=0,$P$34=0),"",$L$37-1)),0,YEARFRAC(MAX($P$34*($B576+$I$38-1),IF(AND($L$37=0,$P$34=0),"",$L$37-1)),MIN(BY$38,$E576),$P$20))-SUM($BF576:BX576))</f>
        <v>0</v>
      </c>
      <c r="BZ576" s="446">
        <f>IF($E576=0,0,IF(MIN(BZ$38,$E576)&lt;MAX($P$34*($B576+$I$38-1),IF(AND($L$37=0,$P$34=0),"",$L$37-1)),0,YEARFRAC(MAX($P$34*($B576+$I$38-1),IF(AND($L$37=0,$P$34=0),"",$L$37-1)),MIN(BZ$38,$E576),$P$20))-SUM($BF576:BY576))</f>
        <v>0</v>
      </c>
      <c r="CA576" s="446">
        <f>IF($E576=0,0,IF(MIN(CA$38,$E576)&lt;MAX($P$34*($B576+$I$38-1),IF(AND($L$37=0,$P$34=0),"",$L$37-1)),0,YEARFRAC(MAX($P$34*($B576+$I$38-1),IF(AND($L$37=0,$P$34=0),"",$L$37-1)),MIN(CA$38,$E576),$P$20))-SUM($BF576:BZ576))</f>
        <v>0</v>
      </c>
      <c r="CB576" s="446">
        <f>IF($E576=0,0,IF(MIN(CB$38,$E576)&lt;MAX($P$34*($B576+$I$38-1),IF(AND($L$37=0,$P$34=0),"",$L$37-1)),0,YEARFRAC(MAX($P$34*($B576+$I$38-1),IF(AND($L$37=0,$P$34=0),"",$L$37-1)),MIN(CB$38,$E576),$P$20))-SUM($BF576:CA576))</f>
        <v>0</v>
      </c>
      <c r="CC576" s="446">
        <f>IF($E576=0,0,IF(MIN(CC$38,$E576)&lt;MAX($P$34*($B576+$I$38-1),IF(AND($L$37=0,$P$34=0),"",$L$37-1)),0,YEARFRAC(MAX($P$34*($B576+$I$38-1),IF(AND($L$37=0,$P$34=0),"",$L$37-1)),MIN(CC$38,$E576),$P$20))-SUM($BF576:CB576))</f>
        <v>0</v>
      </c>
      <c r="CD576" s="446">
        <f>IF($E576=0,0,IF(MIN(CD$38,$E576)&lt;MAX($P$34*($B576+$I$38-1),IF(AND($L$37=0,$P$34=0),"",$L$37-1)),0,YEARFRAC(MAX($P$34*($B576+$I$38-1),IF(AND($L$37=0,$P$34=0),"",$L$37-1)),MIN(CD$38,$E576),$P$20))-SUM($BF576:CC576))</f>
        <v>0</v>
      </c>
      <c r="CE576" s="446">
        <f>IF($E576=0,0,IF(MIN(CE$38,$E576)&lt;MAX($P$34*($B576+$I$38-1),IF(AND($L$37=0,$P$34=0),"",$L$37-1)),0,YEARFRAC(MAX($P$34*($B576+$I$38-1),IF(AND($L$37=0,$P$34=0),"",$L$37-1)),MIN(CE$38,$E576),$P$20))-SUM($BF576:CD576))</f>
        <v>0</v>
      </c>
      <c r="CF576" s="446">
        <f>IF($E576=0,0,IF(MIN(CF$38,$E576)&lt;MAX($P$34*($B576+$I$38-1),IF(AND($L$37=0,$P$34=0),"",$L$37-1)),0,YEARFRAC(MAX($P$34*($B576+$I$38-1),IF(AND($L$37=0,$P$34=0),"",$L$37-1)),MIN(CF$38,$E576),$P$20))-SUM($BF576:CE576))</f>
        <v>0</v>
      </c>
      <c r="CG576" s="446">
        <f>IF($E576=0,0,IF(MIN(CG$38,$E576)&lt;MAX($P$34*($B576+$I$38-1),IF(AND($L$37=0,$P$34=0),"",$L$37-1)),0,YEARFRAC(MAX($P$34*($B576+$I$38-1),IF(AND($L$37=0,$P$34=0),"",$L$37-1)),MIN(CG$38,$E576),$P$20))-SUM($BF576:CF576))</f>
        <v>0</v>
      </c>
      <c r="CH576" s="446">
        <f>IF($E576=0,0,IF(MIN(CH$38,$E576)&lt;MAX($P$34*($B576+$I$38-1),IF(AND($L$37=0,$P$34=0),"",$L$37-1)),0,YEARFRAC(MAX($P$34*($B576+$I$38-1),IF(AND($L$37=0,$P$34=0),"",$L$37-1)),MIN(CH$38,$E576),$P$20))-SUM($BF576:CG576))</f>
        <v>0</v>
      </c>
      <c r="CI576" s="446">
        <f>IF($E576=0,0,IF(MIN(CI$38,$E576)&lt;MAX($P$34*($B576+$I$38-1),IF(AND($L$37=0,$P$34=0),"",$L$37-1)),0,YEARFRAC(MAX($P$34*($B576+$I$38-1),IF(AND($L$37=0,$P$34=0),"",$L$37-1)),MIN(CI$38,$E576),$P$20))-SUM($BF576:CH576))</f>
        <v>0</v>
      </c>
      <c r="CJ576" s="446">
        <f>IF($E576=0,0,IF(MIN(CJ$38,$E576)&lt;MAX($P$34*($B576+$I$38-1),IF(AND($L$37=0,$P$34=0),"",$L$37-1)),0,YEARFRAC(MAX($P$34*($B576+$I$38-1),IF(AND($L$37=0,$P$34=0),"",$L$37-1)),MIN(CJ$38,$E576),$P$20))-SUM($BF576:CI576))</f>
        <v>0</v>
      </c>
      <c r="CK576" s="446">
        <f>IF($E576=0,0,IF(MIN(CK$38,$E576)&lt;MAX($P$34*($B576+$I$38-1),IF(AND($L$37=0,$P$34=0),"",$L$37-1)),0,YEARFRAC(MAX($P$34*($B576+$I$38-1),IF(AND($L$37=0,$P$34=0),"",$L$37-1)),MIN(CK$38,$E576),$P$20))-SUM($BF576:CJ576))</f>
        <v>0</v>
      </c>
      <c r="CL576" s="446">
        <f>IF($E576=0,0,IF(MIN(CL$38,$E576)&lt;MAX($P$34*($B576+$I$38-1),IF(AND($L$37=0,$P$34=0),"",$L$37-1)),0,YEARFRAC(MAX($P$34*($B576+$I$38-1),IF(AND($L$37=0,$P$34=0),"",$L$37-1)),MIN(CL$38,$E576),$P$20))-SUM($BF576:CK576))</f>
        <v>0</v>
      </c>
      <c r="CM576" s="446">
        <f>IF($E576=0,0,IF(MIN(CM$38,$E576)&lt;MAX($P$34*($B576+$I$38-1),IF(AND($L$37=0,$P$34=0),"",$L$37-1)),0,YEARFRAC(MAX($P$34*($B576+$I$38-1),IF(AND($L$37=0,$P$34=0),"",$L$37-1)),MIN(CM$38,$E576),$P$20))-SUM($BF576:CL576))</f>
        <v>0</v>
      </c>
      <c r="CN576" s="446">
        <f>IF($E576=0,0,IF(MIN(CN$38,$E576)&lt;MAX($P$34*($B576+$I$38-1),IF(AND($L$37=0,$P$34=0),"",$L$37-1)),0,YEARFRAC(MAX($P$34*($B576+$I$38-1),IF(AND($L$37=0,$P$34=0),"",$L$37-1)),MIN(CN$38,$E576),$P$20))-SUM($BF576:CM576))</f>
        <v>0</v>
      </c>
      <c r="CO576" s="446">
        <f>IF($E576=0,0,IF(MIN(CO$38,$E576)&lt;MAX($P$34*($B576+$I$38-1),IF(AND($L$37=0,$P$34=0),"",$L$37-1)),0,YEARFRAC(MAX($P$34*($B576+$I$38-1),IF(AND($L$37=0,$P$34=0),"",$L$37-1)),MIN(CO$38,$E576),$P$20))-SUM($BF576:CN576))</f>
        <v>0</v>
      </c>
      <c r="CP576" s="446">
        <f>IF($E576=0,0,IF(MIN(CP$38,$E576)&lt;MAX($P$34*($B576+$I$38-1),IF(AND($L$37=0,$P$34=0),"",$L$37-1)),0,YEARFRAC(MAX($P$34*($B576+$I$38-1),IF(AND($L$37=0,$P$34=0),"",$L$37-1)),MIN(CP$38,$E576),$P$20))-SUM($BF576:CO576))</f>
        <v>0</v>
      </c>
      <c r="CQ576" s="446">
        <f>IF($E576=0,0,IF(MIN(CQ$38,$E576)&lt;MAX($P$34*($B576+$I$38-1),IF(AND($L$37=0,$P$34=0),"",$L$37-1)),0,YEARFRAC(MAX($P$34*($B576+$I$38-1),IF(AND($L$37=0,$P$34=0),"",$L$37-1)),MIN(CQ$38,$E576),$P$20))-SUM($BF576:CP576))</f>
        <v>0</v>
      </c>
    </row>
    <row r="577" spans="1:95" s="446" customFormat="1" ht="11.25" hidden="1" customHeight="1" x14ac:dyDescent="0.2">
      <c r="A577" s="152"/>
      <c r="B577" s="153" t="str">
        <f t="shared" si="103"/>
        <v/>
      </c>
      <c r="C577" s="29" t="str">
        <f>IF(B577="","",IF($L$35="SELIC - TRIBUTOS",VLOOKUP(DATE(YEAR($D$19),MONTH($D$19)-1,1),ÍNDICES!$A:$DE,HLOOKUP($BL$25,ÍNDICES!$B$3:$T$4,2)+11)-VLOOKUP(B577,ÍNDICES!$A:$DE,HLOOKUP($BL$25,ÍNDICES!$B$3:$T$4,2)+11)+1%,IF(C$38=$W$26,$J$35,IF(ISERROR(IF(B577&gt;$D$19,1,VLOOKUP(DATE(YEAR(B577),MONTH(B577)+IF($C$35=$S$23,1,0),1),ÍNDICES!$A:$DE,$Z$35+1))),"",IF(B577&gt;$D$19,1,VLOOKUP(DATE(YEAR(B577),MONTH(B577)+IF($C$35=$S$23,1,0),1),ÍNDICES!$A:$DE,$Z$35+1))))))</f>
        <v/>
      </c>
      <c r="D577" s="154" t="str">
        <f>IF(ISERROR(IF(OR($D$38=$Y$27,$B577=""),"",VLOOKUP(B577,ÍNDICES!A:DE,AF$35+1))),"",IF(OR($D$38=$Y$27,$B577=""),"",VLOOKUP(B577,ÍNDICES!A:DE,AF$35+1)))</f>
        <v/>
      </c>
      <c r="E577" s="153"/>
      <c r="F577" s="29" t="str">
        <f>IF(E577="","",IF($L$35="SELIC - TRIBUTOS",VLOOKUP(DATE(YEAR($D$19),MONTH($D$19)-1,1),ÍNDICES!$A:$DE,HLOOKUP($BL$25,ÍNDICES!$B$3:$T$4,2)+11)-VLOOKUP(E577,ÍNDICES!$A:$DE,HLOOKUP($BL$25,ÍNDICES!$B$3:$T$4,2)+11)+1%,IF(F$38=$W$26,$J$35,IF(ISERROR(IF(E577&gt;$D$19,1,VLOOKUP(DATE(YEAR(E577),MONTH(E577)+IF($C$35=$S$23,1,0),1),ÍNDICES!$A:$DE,$Z$35+1))),"",IF(E577&gt;$D$19,1,VLOOKUP(DATE(YEAR(E577),MONTH(E577)+IF($C$35=$S$23,1,0),1),ÍNDICES!$A:$DE,$Z$35+1))))))</f>
        <v/>
      </c>
      <c r="G577" s="155"/>
      <c r="H577" s="156" t="str">
        <f t="shared" si="99"/>
        <v/>
      </c>
      <c r="I577" s="29" t="str">
        <f t="shared" si="93"/>
        <v/>
      </c>
      <c r="J577" s="5">
        <f t="shared" si="94"/>
        <v>0</v>
      </c>
      <c r="K577" s="20">
        <f t="shared" ca="1" si="95"/>
        <v>0</v>
      </c>
      <c r="L577" s="5">
        <f t="shared" ca="1" si="96"/>
        <v>0</v>
      </c>
      <c r="M577" s="64">
        <f t="shared" si="100"/>
        <v>0</v>
      </c>
      <c r="N577" s="61">
        <f t="shared" ca="1" si="101"/>
        <v>0</v>
      </c>
      <c r="O577" s="5">
        <f t="shared" ca="1" si="102"/>
        <v>0</v>
      </c>
      <c r="P577" s="446" t="e">
        <f t="shared" si="97"/>
        <v>#VALUE!</v>
      </c>
      <c r="Q577" s="446" t="e">
        <f>IF(OR($B577="",MIN(Q$38,$D$19)&lt;MAX($P$34*($B577+IF($R$17="Distrato",$I$38-1,0)),IF(AND($L$37=0,$P$34=0),"",$L$37-1),IF($R$17="Distrato",$E577,0))),0,YEARFRAC(MAX($P$34*($B577+IF($R$17="Distrato",$I$38-1,0)),IF(AND($L$37=0,$P$34=0),"",$L$37-1),IF($R$17="Distrato",$E577,0)),MIN(Q$38,$D$19),$P$20))-SUM($P577:P577)</f>
        <v>#VALUE!</v>
      </c>
      <c r="R577" s="446" t="e">
        <f>IF(OR($B577="",MIN(R$38,$D$19)&lt;MAX($P$34*($B577+IF($R$17="Distrato",$I$38-1,0)),IF(AND($L$37=0,$P$34=0),"",$L$37-1),IF($R$17="Distrato",$E577,0))),0,YEARFRAC(MAX($P$34*($B577+IF($R$17="Distrato",$I$38-1,0)),IF(AND($L$37=0,$P$34=0),"",$L$37-1),IF($R$17="Distrato",$E577,0)),MIN(R$38,$D$19),$P$20))-SUM($P577:Q577)</f>
        <v>#VALUE!</v>
      </c>
      <c r="S577" s="446" t="e">
        <f>IF(OR($B577="",MIN(S$38,$D$19)&lt;MAX($P$34*($B577+IF($R$17="Distrato",$I$38-1,0)),IF(AND($L$37=0,$P$34=0),"",$L$37-1),IF($R$17="Distrato",$E577,0))),0,YEARFRAC(MAX($P$34*($B577+IF($R$17="Distrato",$I$38-1,0)),IF(AND($L$37=0,$P$34=0),"",$L$37-1),IF($R$17="Distrato",$E577,0)),MIN(S$38,$D$19),$P$20))-SUM($P577:R577)</f>
        <v>#VALUE!</v>
      </c>
      <c r="T577" s="446" t="e">
        <f>IF(OR($B577="",MIN(T$38,$D$19)&lt;MAX($P$34*($B577+IF($R$17="Distrato",$I$38-1,0)),IF(AND($L$37=0,$P$34=0),"",$L$37-1),IF($R$17="Distrato",$E577,0))),0,YEARFRAC(MAX($P$34*($B577+IF($R$17="Distrato",$I$38-1,0)),IF(AND($L$37=0,$P$34=0),"",$L$37-1),IF($R$17="Distrato",$E577,0)),MIN(T$38,$D$19),$P$20))-SUM($P577:S577)</f>
        <v>#VALUE!</v>
      </c>
      <c r="U577" s="446" t="e">
        <f>IF(OR($B577="",MIN(U$38,$D$19)&lt;MAX($P$34*($B577+IF($R$17="Distrato",$I$38-1,0)),IF(AND($L$37=0,$P$34=0),"",$L$37-1),IF($R$17="Distrato",$E577,0))),0,YEARFRAC(MAX($P$34*($B577+IF($R$17="Distrato",$I$38-1,0)),IF(AND($L$37=0,$P$34=0),"",$L$37-1),IF($R$17="Distrato",$E577,0)),MIN(U$38,$D$19),$P$20))-SUM($P577:T577)</f>
        <v>#VALUE!</v>
      </c>
      <c r="V577" s="446" t="e">
        <f>IF(OR($B577="",MIN(V$38,$D$19)&lt;MAX($P$34*($B577+IF($R$17="Distrato",$I$38-1,0)),IF(AND($L$37=0,$P$34=0),"",$L$37-1),IF($R$17="Distrato",$E577,0))),0,YEARFRAC(MAX($P$34*($B577+IF($R$17="Distrato",$I$38-1,0)),IF(AND($L$37=0,$P$34=0),"",$L$37-1),IF($R$17="Distrato",$E577,0)),MIN(V$38,$D$19),$P$20))-SUM($P577:U577)</f>
        <v>#VALUE!</v>
      </c>
      <c r="W577" s="446" t="e">
        <f>IF(OR($B577="",MIN(W$38,$D$19)&lt;MAX($P$34*($B577+IF($R$17="Distrato",$I$38-1,0)),IF(AND($L$37=0,$P$34=0),"",$L$37-1),IF($R$17="Distrato",$E577,0))),0,YEARFRAC(MAX($P$34*($B577+IF($R$17="Distrato",$I$38-1,0)),IF(AND($L$37=0,$P$34=0),"",$L$37-1),IF($R$17="Distrato",$E577,0)),MIN(W$38,$D$19),$P$20))-SUM($P577:V577)</f>
        <v>#VALUE!</v>
      </c>
      <c r="X577" s="446" t="e">
        <f>IF(OR($B577="",MIN(X$38,$D$19)&lt;MAX($P$34*($B577+IF($R$17="Distrato",$I$38-1,0)),IF(AND($L$37=0,$P$34=0),"",$L$37-1),IF($R$17="Distrato",$E577,0))),0,YEARFRAC(MAX($P$34*($B577+IF($R$17="Distrato",$I$38-1,0)),IF(AND($L$37=0,$P$34=0),"",$L$37-1),IF($R$17="Distrato",$E577,0)),MIN(X$38,$D$19),$P$20))-SUM($P577:W577)</f>
        <v>#VALUE!</v>
      </c>
      <c r="Y577" s="446" t="e">
        <f>IF(OR($B577="",MIN(Y$38,$D$19)&lt;MAX($P$34*($B577+IF($R$17="Distrato",$I$38-1,0)),IF(AND($L$37=0,$P$34=0),"",$L$37-1),IF($R$17="Distrato",$E577,0))),0,YEARFRAC(MAX($P$34*($B577+IF($R$17="Distrato",$I$38-1,0)),IF(AND($L$37=0,$P$34=0),"",$L$37-1),IF($R$17="Distrato",$E577,0)),MIN(Y$38,$D$19),$P$20))-SUM($P577:X577)</f>
        <v>#VALUE!</v>
      </c>
      <c r="Z577" s="446" t="e">
        <f>IF(OR($B577="",MIN(Z$38,$D$19)&lt;MAX($P$34*($B577+IF($R$17="Distrato",$I$38-1,0)),IF(AND($L$37=0,$P$34=0),"",$L$37-1),IF($R$17="Distrato",$E577,0))),0,YEARFRAC(MAX($P$34*($B577+IF($R$17="Distrato",$I$38-1,0)),IF(AND($L$37=0,$P$34=0),"",$L$37-1),IF($R$17="Distrato",$E577,0)),MIN(Z$38,$D$19),$P$20))-SUM($P577:Y577)</f>
        <v>#VALUE!</v>
      </c>
      <c r="AA577" s="446" t="e">
        <f>IF(OR($B577="",MIN(AA$38,$D$19)&lt;MAX($P$34*($B577+IF($R$17="Distrato",$I$38-1,0)),IF(AND($L$37=0,$P$34=0),"",$L$37-1),IF($R$17="Distrato",$E577,0))),0,YEARFRAC(MAX($P$34*($B577+IF($R$17="Distrato",$I$38-1,0)),IF(AND($L$37=0,$P$34=0),"",$L$37-1),IF($R$17="Distrato",$E577,0)),MIN(AA$38,$D$19),$P$20))-SUM($P577:Z577)</f>
        <v>#VALUE!</v>
      </c>
      <c r="AB577" s="446" t="e">
        <f>IF(OR($B577="",MIN(AB$38,$D$19)&lt;MAX($P$34*($B577+IF($R$17="Distrato",$I$38-1,0)),IF(AND($L$37=0,$P$34=0),"",$L$37-1),IF($R$17="Distrato",$E577,0))),0,YEARFRAC(MAX($P$34*($B577+IF($R$17="Distrato",$I$38-1,0)),IF(AND($L$37=0,$P$34=0),"",$L$37-1),IF($R$17="Distrato",$E577,0)),MIN(AB$38,$D$19),$P$20))-SUM($P577:AA577)</f>
        <v>#VALUE!</v>
      </c>
      <c r="AC577" s="446" t="e">
        <f>IF(OR($B577="",MIN(AC$38,$D$19)&lt;MAX($P$34*($B577+IF($R$17="Distrato",$I$38-1,0)),IF(AND($L$37=0,$P$34=0),"",$L$37-1),IF($R$17="Distrato",$E577,0))),0,YEARFRAC(MAX($P$34*($B577+IF($R$17="Distrato",$I$38-1,0)),IF(AND($L$37=0,$P$34=0),"",$L$37-1),IF($R$17="Distrato",$E577,0)),MIN(AC$38,$D$19),$P$20))-SUM($P577:AB577)</f>
        <v>#VALUE!</v>
      </c>
      <c r="AD577" s="446" t="e">
        <f>IF(OR($B577="",MIN(AD$38,$D$19)&lt;MAX($P$34*($B577+IF($R$17="Distrato",$I$38-1,0)),IF(AND($L$37=0,$P$34=0),"",$L$37-1),IF($R$17="Distrato",$E577,0))),0,YEARFRAC(MAX($P$34*($B577+IF($R$17="Distrato",$I$38-1,0)),IF(AND($L$37=0,$P$34=0),"",$L$37-1),IF($R$17="Distrato",$E577,0)),MIN(AD$38,$D$19),$P$20))-SUM($P577:AC577)</f>
        <v>#VALUE!</v>
      </c>
      <c r="AE577" s="446" t="e">
        <f>IF(OR($B577="",MIN(AE$38,$D$19)&lt;MAX($P$34*($B577+IF($R$17="Distrato",$I$38-1,0)),IF(AND($L$37=0,$P$34=0),"",$L$37-1),IF($R$17="Distrato",$E577,0))),0,YEARFRAC(MAX($P$34*($B577+IF($R$17="Distrato",$I$38-1,0)),IF(AND($L$37=0,$P$34=0),"",$L$37-1),IF($R$17="Distrato",$E577,0)),MIN(AE$38,$D$19),$P$20))-SUM($P577:AD577)</f>
        <v>#VALUE!</v>
      </c>
      <c r="AF577" s="446" t="e">
        <f>IF(OR($B577="",MIN(AF$38,$D$19)&lt;MAX($P$34*($B577+IF($R$17="Distrato",$I$38-1,0)),IF(AND($L$37=0,$P$34=0),"",$L$37-1),IF($R$17="Distrato",$E577,0))),0,YEARFRAC(MAX($P$34*($B577+IF($R$17="Distrato",$I$38-1,0)),IF(AND($L$37=0,$P$34=0),"",$L$37-1),IF($R$17="Distrato",$E577,0)),MIN(AF$38,$D$19),$P$20))-SUM($P577:AE577)</f>
        <v>#VALUE!</v>
      </c>
      <c r="AG577" s="446" t="e">
        <f>IF(OR($B577="",MIN(AG$38,$D$19)&lt;MAX($P$34*($B577+IF($R$17="Distrato",$I$38-1,0)),IF(AND($L$37=0,$P$34=0),"",$L$37-1),IF($R$17="Distrato",$E577,0))),0,YEARFRAC(MAX($P$34*($B577+IF($R$17="Distrato",$I$38-1,0)),IF(AND($L$37=0,$P$34=0),"",$L$37-1),IF($R$17="Distrato",$E577,0)),MIN(AG$38,$D$19),$P$20))-SUM($P577:AF577)</f>
        <v>#VALUE!</v>
      </c>
      <c r="AH577" s="446" t="e">
        <f>IF(OR($B577="",MIN(AH$38,$D$19)&lt;MAX($P$34*($B577+IF($R$17="Distrato",$I$38-1,0)),IF(AND($L$37=0,$P$34=0),"",$L$37-1),IF($R$17="Distrato",$E577,0))),0,YEARFRAC(MAX($P$34*($B577+IF($R$17="Distrato",$I$38-1,0)),IF(AND($L$37=0,$P$34=0),"",$L$37-1),IF($R$17="Distrato",$E577,0)),MIN(AH$38,$D$19),$P$20))-SUM($P577:AG577)</f>
        <v>#VALUE!</v>
      </c>
      <c r="AI577" s="446" t="e">
        <f>IF(OR($B577="",MIN(AI$38,$D$19)&lt;MAX($P$34*($B577+IF($R$17="Distrato",$I$38-1,0)),IF(AND($L$37=0,$P$34=0),"",$L$37-1),IF($R$17="Distrato",$E577,0))),0,YEARFRAC(MAX($P$34*($B577+IF($R$17="Distrato",$I$38-1,0)),IF(AND($L$37=0,$P$34=0),"",$L$37-1),IF($R$17="Distrato",$E577,0)),MIN(AI$38,$D$19),$P$20))-SUM($P577:AH577)</f>
        <v>#VALUE!</v>
      </c>
      <c r="AJ577" s="446" t="e">
        <f>IF(OR($B577="",MIN(AJ$38,$D$19)&lt;MAX($P$34*($B577+IF($R$17="Distrato",$I$38-1,0)),IF(AND($L$37=0,$P$34=0),"",$L$37-1),IF($R$17="Distrato",$E577,0))),0,YEARFRAC(MAX($P$34*($B577+IF($R$17="Distrato",$I$38-1,0)),IF(AND($L$37=0,$P$34=0),"",$L$37-1),IF($R$17="Distrato",$E577,0)),MIN(AJ$38,$D$19),$P$20))-SUM($P577:AI577)</f>
        <v>#VALUE!</v>
      </c>
      <c r="AK577" s="446" t="e">
        <f>IF(OR($B577="",MIN(AK$38,$D$19)&lt;MAX($P$34*($B577+IF($R$17="Distrato",$I$38-1,0)),IF(AND($L$37=0,$P$34=0),"",$L$37-1),IF($R$17="Distrato",$E577,0))),0,YEARFRAC(MAX($P$34*($B577+IF($R$17="Distrato",$I$38-1,0)),IF(AND($L$37=0,$P$34=0),"",$L$37-1),IF($R$17="Distrato",$E577,0)),MIN(AK$38,$D$19),$P$20))-SUM($P577:AJ577)</f>
        <v>#VALUE!</v>
      </c>
      <c r="AL577" s="446" t="e">
        <f>IF(OR($B577="",MIN(AL$38,$D$19)&lt;MAX($P$34*($B577+IF($R$17="Distrato",$I$38-1,0)),IF(AND($L$37=0,$P$34=0),"",$L$37-1),IF($R$17="Distrato",$E577,0))),0,YEARFRAC(MAX($P$34*($B577+IF($R$17="Distrato",$I$38-1,0)),IF(AND($L$37=0,$P$34=0),"",$L$37-1),IF($R$17="Distrato",$E577,0)),MIN(AL$38,$D$19),$P$20))-SUM($P577:AK577)</f>
        <v>#VALUE!</v>
      </c>
      <c r="AM577" s="446" t="e">
        <f>IF(OR($B577="",MIN(AM$38,$D$19)&lt;MAX($P$34*($B577+IF($R$17="Distrato",$I$38-1,0)),IF(AND($L$37=0,$P$34=0),"",$L$37-1),IF($R$17="Distrato",$E577,0))),0,YEARFRAC(MAX($P$34*($B577+IF($R$17="Distrato",$I$38-1,0)),IF(AND($L$37=0,$P$34=0),"",$L$37-1),IF($R$17="Distrato",$E577,0)),MIN(AM$38,$D$19),$P$20))-SUM($P577:AL577)</f>
        <v>#VALUE!</v>
      </c>
      <c r="AN577" s="446" t="e">
        <f>IF(OR($B577="",MIN(AN$38,$D$19)&lt;MAX($P$34*($B577+IF($R$17="Distrato",$I$38-1,0)),IF(AND($L$37=0,$P$34=0),"",$L$37-1),IF($R$17="Distrato",$E577,0))),0,YEARFRAC(MAX($P$34*($B577+IF($R$17="Distrato",$I$38-1,0)),IF(AND($L$37=0,$P$34=0),"",$L$37-1),IF($R$17="Distrato",$E577,0)),MIN(AN$38,$D$19),$P$20))-SUM($P577:AM577)</f>
        <v>#VALUE!</v>
      </c>
      <c r="AO577" s="446" t="e">
        <f>IF(OR($B577="",MIN(AO$38,$D$19)&lt;MAX($P$34*($B577+IF($R$17="Distrato",$I$38-1,0)),IF(AND($L$37=0,$P$34=0),"",$L$37-1),IF($R$17="Distrato",$E577,0))),0,YEARFRAC(MAX($P$34*($B577+IF($R$17="Distrato",$I$38-1,0)),IF(AND($L$37=0,$P$34=0),"",$L$37-1),IF($R$17="Distrato",$E577,0)),MIN(AO$38,$D$19),$P$20))-SUM($P577:AN577)</f>
        <v>#VALUE!</v>
      </c>
      <c r="AP577" s="446" t="e">
        <f>IF(OR($B577="",MIN(AP$38,$D$19)&lt;MAX($P$34*($B577+IF($R$17="Distrato",$I$38-1,0)),IF(AND($L$37=0,$P$34=0),"",$L$37-1),IF($R$17="Distrato",$E577,0))),0,YEARFRAC(MAX($P$34*($B577+IF($R$17="Distrato",$I$38-1,0)),IF(AND($L$37=0,$P$34=0),"",$L$37-1),IF($R$17="Distrato",$E577,0)),MIN(AP$38,$D$19),$P$20))-SUM($P577:AO577)</f>
        <v>#VALUE!</v>
      </c>
      <c r="AQ577" s="446" t="e">
        <f>IF(OR($B577="",MIN(AQ$38,$D$19)&lt;MAX($P$34*($B577+IF($R$17="Distrato",$I$38-1,0)),IF(AND($L$37=0,$P$34=0),"",$L$37-1),IF($R$17="Distrato",$E577,0))),0,YEARFRAC(MAX($P$34*($B577+IF($R$17="Distrato",$I$38-1,0)),IF(AND($L$37=0,$P$34=0),"",$L$37-1),IF($R$17="Distrato",$E577,0)),MIN(AQ$38,$D$19),$P$20))-SUM($P577:AP577)</f>
        <v>#VALUE!</v>
      </c>
      <c r="AR577" s="446" t="e">
        <f>IF(OR($B577="",MIN(AR$38,$D$19)&lt;MAX($P$34*($B577+IF($R$17="Distrato",$I$38-1,0)),IF(AND($L$37=0,$P$34=0),"",$L$37-1),IF($R$17="Distrato",$E577,0))),0,YEARFRAC(MAX($P$34*($B577+IF($R$17="Distrato",$I$38-1,0)),IF(AND($L$37=0,$P$34=0),"",$L$37-1),IF($R$17="Distrato",$E577,0)),MIN(AR$38,$D$19),$P$20))-SUM($P577:AQ577)</f>
        <v>#VALUE!</v>
      </c>
      <c r="AS577" s="446" t="e">
        <f>IF(OR($B577="",MIN(AS$38,$D$19)&lt;MAX($P$34*($B577+IF($R$17="Distrato",$I$38-1,0)),IF(AND($L$37=0,$P$34=0),"",$L$37-1),IF($R$17="Distrato",$E577,0))),0,YEARFRAC(MAX($P$34*($B577+IF($R$17="Distrato",$I$38-1,0)),IF(AND($L$37=0,$P$34=0),"",$L$37-1),IF($R$17="Distrato",$E577,0)),MIN(AS$38,$D$19),$P$20))-SUM($P577:AR577)</f>
        <v>#VALUE!</v>
      </c>
      <c r="AT577" s="446" t="e">
        <f>IF(OR($B577="",MIN(AT$38,$D$19)&lt;MAX($P$34*($B577+IF($R$17="Distrato",$I$38-1,0)),IF(AND($L$37=0,$P$34=0),"",$L$37-1),IF($R$17="Distrato",$E577,0))),0,YEARFRAC(MAX($P$34*($B577+IF($R$17="Distrato",$I$38-1,0)),IF(AND($L$37=0,$P$34=0),"",$L$37-1),IF($R$17="Distrato",$E577,0)),MIN(AT$38,$D$19),$P$20))-SUM($P577:AS577)</f>
        <v>#VALUE!</v>
      </c>
      <c r="AU577" s="446" t="e">
        <f>IF(OR($B577="",MIN(AU$38,$D$19)&lt;MAX($P$34*($B577+IF($R$17="Distrato",$I$38-1,0)),IF(AND($L$37=0,$P$34=0),"",$L$37-1),IF($R$17="Distrato",$E577,0))),0,YEARFRAC(MAX($P$34*($B577+IF($R$17="Distrato",$I$38-1,0)),IF(AND($L$37=0,$P$34=0),"",$L$37-1),IF($R$17="Distrato",$E577,0)),MIN(AU$38,$D$19),$P$20))-SUM($P577:AT577)</f>
        <v>#VALUE!</v>
      </c>
      <c r="AV577" s="446" t="e">
        <f>IF(OR($B577="",MIN(AV$38,$D$19)&lt;MAX($P$34*($B577+IF($R$17="Distrato",$I$38-1,0)),IF(AND($L$37=0,$P$34=0),"",$L$37-1),IF($R$17="Distrato",$E577,0))),0,YEARFRAC(MAX($P$34*($B577+IF($R$17="Distrato",$I$38-1,0)),IF(AND($L$37=0,$P$34=0),"",$L$37-1),IF($R$17="Distrato",$E577,0)),MIN(AV$38,$D$19),$P$20))-SUM($P577:AU577)</f>
        <v>#VALUE!</v>
      </c>
      <c r="AW577" s="446" t="e">
        <f>IF(OR($B577="",MIN(AW$38,$D$19)&lt;MAX($P$34*($B577+IF($R$17="Distrato",$I$38-1,0)),IF(AND($L$37=0,$P$34=0),"",$L$37-1),IF($R$17="Distrato",$E577,0))),0,YEARFRAC(MAX($P$34*($B577+IF($R$17="Distrato",$I$38-1,0)),IF(AND($L$37=0,$P$34=0),"",$L$37-1),IF($R$17="Distrato",$E577,0)),MIN(AW$38,$D$19),$P$20))-SUM($P577:AV577)</f>
        <v>#VALUE!</v>
      </c>
      <c r="AX577" s="446" t="e">
        <f>IF(OR($B577="",MIN(AX$38,$D$19)&lt;MAX($P$34*($B577+IF($R$17="Distrato",$I$38-1,0)),IF(AND($L$37=0,$P$34=0),"",$L$37-1),IF($R$17="Distrato",$E577,0))),0,YEARFRAC(MAX($P$34*($B577+IF($R$17="Distrato",$I$38-1,0)),IF(AND($L$37=0,$P$34=0),"",$L$37-1),IF($R$17="Distrato",$E577,0)),MIN(AX$38,$D$19),$P$20))-SUM($P577:AW577)</f>
        <v>#VALUE!</v>
      </c>
      <c r="AY577" s="446" t="e">
        <f>IF(OR($B577="",MIN(AY$38,$D$19)&lt;MAX($P$34*($B577+IF($R$17="Distrato",$I$38-1,0)),IF(AND($L$37=0,$P$34=0),"",$L$37-1),IF($R$17="Distrato",$E577,0))),0,YEARFRAC(MAX($P$34*($B577+IF($R$17="Distrato",$I$38-1,0)),IF(AND($L$37=0,$P$34=0),"",$L$37-1),IF($R$17="Distrato",$E577,0)),MIN(AY$38,$D$19),$P$20))-SUM($P577:AX577)</f>
        <v>#VALUE!</v>
      </c>
      <c r="AZ577" s="446" t="e">
        <f>IF(OR($B577="",MIN(AZ$38,$D$19)&lt;MAX($P$34*($B577+IF($R$17="Distrato",$I$38-1,0)),IF(AND($L$37=0,$P$34=0),"",$L$37-1),IF($R$17="Distrato",$E577,0))),0,YEARFRAC(MAX($P$34*($B577+IF($R$17="Distrato",$I$38-1,0)),IF(AND($L$37=0,$P$34=0),"",$L$37-1),IF($R$17="Distrato",$E577,0)),MIN(AZ$38,$D$19),$P$20))-SUM($P577:AY577)</f>
        <v>#VALUE!</v>
      </c>
      <c r="BA577" s="446" t="e">
        <f>IF(OR($B577="",MIN(BA$38,$D$19)&lt;MAX($P$34*($B577+IF($R$17="Distrato",$I$38-1,0)),IF(AND($L$37=0,$P$34=0),"",$L$37-1),IF($R$17="Distrato",$E577,0))),0,YEARFRAC(MAX($P$34*($B577+IF($R$17="Distrato",$I$38-1,0)),IF(AND($L$37=0,$P$34=0),"",$L$37-1),IF($R$17="Distrato",$E577,0)),MIN(BA$38,$D$19),$P$20))-SUM($P577:AZ577)</f>
        <v>#VALUE!</v>
      </c>
      <c r="BB577" s="447"/>
      <c r="BF577" s="446">
        <f t="shared" si="98"/>
        <v>0</v>
      </c>
      <c r="BG577" s="446">
        <f>IF($E577=0,0,IF(MIN(BG$38,$E577)&lt;MAX($P$34*($B577+$I$38-1),IF(AND($L$37=0,$P$34=0),"",$L$37-1)),0,YEARFRAC(MAX($P$34*($B577+$I$38-1),IF(AND($L$37=0,$P$34=0),"",$L$37-1)),MIN(BG$38,$E577),$P$20))-SUM($BF577:BF577))</f>
        <v>0</v>
      </c>
      <c r="BH577" s="446">
        <f>IF($E577=0,0,IF(MIN(BH$38,$E577)&lt;MAX($P$34*($B577+$I$38-1),IF(AND($L$37=0,$P$34=0),"",$L$37-1)),0,YEARFRAC(MAX($P$34*($B577+$I$38-1),IF(AND($L$37=0,$P$34=0),"",$L$37-1)),MIN(BH$38,$E577),$P$20))-SUM($BF577:BG577))</f>
        <v>0</v>
      </c>
      <c r="BI577" s="446">
        <f>IF($E577=0,0,IF(MIN(BI$38,$E577)&lt;MAX($P$34*($B577+$I$38-1),IF(AND($L$37=0,$P$34=0),"",$L$37-1)),0,YEARFRAC(MAX($P$34*($B577+$I$38-1),IF(AND($L$37=0,$P$34=0),"",$L$37-1)),MIN(BI$38,$E577),$P$20))-SUM($BF577:BH577))</f>
        <v>0</v>
      </c>
      <c r="BJ577" s="446">
        <f>IF($E577=0,0,IF(MIN(BJ$38,$E577)&lt;MAX($P$34*($B577+$I$38-1),IF(AND($L$37=0,$P$34=0),"",$L$37-1)),0,YEARFRAC(MAX($P$34*($B577+$I$38-1),IF(AND($L$37=0,$P$34=0),"",$L$37-1)),MIN(BJ$38,$E577),$P$20))-SUM($BF577:BI577))</f>
        <v>0</v>
      </c>
      <c r="BK577" s="446">
        <f>IF($E577=0,0,IF(MIN(BK$38,$E577)&lt;MAX($P$34*($B577+$I$38-1),IF(AND($L$37=0,$P$34=0),"",$L$37-1)),0,YEARFRAC(MAX($P$34*($B577+$I$38-1),IF(AND($L$37=0,$P$34=0),"",$L$37-1)),MIN(BK$38,$E577),$P$20))-SUM($BF577:BJ577))</f>
        <v>0</v>
      </c>
      <c r="BL577" s="446">
        <f>IF($E577=0,0,IF(MIN(BL$38,$E577)&lt;MAX($P$34*($B577+$I$38-1),IF(AND($L$37=0,$P$34=0),"",$L$37-1)),0,YEARFRAC(MAX($P$34*($B577+$I$38-1),IF(AND($L$37=0,$P$34=0),"",$L$37-1)),MIN(BL$38,$E577),$P$20))-SUM($BF577:BK577))</f>
        <v>0</v>
      </c>
      <c r="BM577" s="446">
        <f>IF($E577=0,0,IF(MIN(BM$38,$E577)&lt;MAX($P$34*($B577+$I$38-1),IF(AND($L$37=0,$P$34=0),"",$L$37-1)),0,YEARFRAC(MAX($P$34*($B577+$I$38-1),IF(AND($L$37=0,$P$34=0),"",$L$37-1)),MIN(BM$38,$E577),$P$20))-SUM($BF577:BL577))</f>
        <v>0</v>
      </c>
      <c r="BN577" s="446">
        <f>IF($E577=0,0,IF(MIN(BN$38,$E577)&lt;MAX($P$34*($B577+$I$38-1),IF(AND($L$37=0,$P$34=0),"",$L$37-1)),0,YEARFRAC(MAX($P$34*($B577+$I$38-1),IF(AND($L$37=0,$P$34=0),"",$L$37-1)),MIN(BN$38,$E577),$P$20))-SUM($BF577:BM577))</f>
        <v>0</v>
      </c>
      <c r="BO577" s="446">
        <f>IF($E577=0,0,IF(MIN(BO$38,$E577)&lt;MAX($P$34*($B577+$I$38-1),IF(AND($L$37=0,$P$34=0),"",$L$37-1)),0,YEARFRAC(MAX($P$34*($B577+$I$38-1),IF(AND($L$37=0,$P$34=0),"",$L$37-1)),MIN(BO$38,$E577),$P$20))-SUM($BF577:BN577))</f>
        <v>0</v>
      </c>
      <c r="BP577" s="446">
        <f>IF($E577=0,0,IF(MIN(BP$38,$E577)&lt;MAX($P$34*($B577+$I$38-1),IF(AND($L$37=0,$P$34=0),"",$L$37-1)),0,YEARFRAC(MAX($P$34*($B577+$I$38-1),IF(AND($L$37=0,$P$34=0),"",$L$37-1)),MIN(BP$38,$E577),$P$20))-SUM($BF577:BO577))</f>
        <v>0</v>
      </c>
      <c r="BQ577" s="446">
        <f>IF($E577=0,0,IF(MIN(BQ$38,$E577)&lt;MAX($P$34*($B577+$I$38-1),IF(AND($L$37=0,$P$34=0),"",$L$37-1)),0,YEARFRAC(MAX($P$34*($B577+$I$38-1),IF(AND($L$37=0,$P$34=0),"",$L$37-1)),MIN(BQ$38,$E577),$P$20))-SUM($BF577:BP577))</f>
        <v>0</v>
      </c>
      <c r="BR577" s="446">
        <f>IF($E577=0,0,IF(MIN(BR$38,$E577)&lt;MAX($P$34*($B577+$I$38-1),IF(AND($L$37=0,$P$34=0),"",$L$37-1)),0,YEARFRAC(MAX($P$34*($B577+$I$38-1),IF(AND($L$37=0,$P$34=0),"",$L$37-1)),MIN(BR$38,$E577),$P$20))-SUM($BF577:BQ577))</f>
        <v>0</v>
      </c>
      <c r="BS577" s="446">
        <f>IF($E577=0,0,IF(MIN(BS$38,$E577)&lt;MAX($P$34*($B577+$I$38-1),IF(AND($L$37=0,$P$34=0),"",$L$37-1)),0,YEARFRAC(MAX($P$34*($B577+$I$38-1),IF(AND($L$37=0,$P$34=0),"",$L$37-1)),MIN(BS$38,$E577),$P$20))-SUM($BF577:BR577))</f>
        <v>0</v>
      </c>
      <c r="BT577" s="446">
        <f>IF($E577=0,0,IF(MIN(BT$38,$E577)&lt;MAX($P$34*($B577+$I$38-1),IF(AND($L$37=0,$P$34=0),"",$L$37-1)),0,YEARFRAC(MAX($P$34*($B577+$I$38-1),IF(AND($L$37=0,$P$34=0),"",$L$37-1)),MIN(BT$38,$E577),$P$20))-SUM($BF577:BS577))</f>
        <v>0</v>
      </c>
      <c r="BU577" s="446">
        <f>IF($E577=0,0,IF(MIN(BU$38,$E577)&lt;MAX($P$34*($B577+$I$38-1),IF(AND($L$37=0,$P$34=0),"",$L$37-1)),0,YEARFRAC(MAX($P$34*($B577+$I$38-1),IF(AND($L$37=0,$P$34=0),"",$L$37-1)),MIN(BU$38,$E577),$P$20))-SUM($BF577:BT577))</f>
        <v>0</v>
      </c>
      <c r="BV577" s="446">
        <f>IF($E577=0,0,IF(MIN(BV$38,$E577)&lt;MAX($P$34*($B577+$I$38-1),IF(AND($L$37=0,$P$34=0),"",$L$37-1)),0,YEARFRAC(MAX($P$34*($B577+$I$38-1),IF(AND($L$37=0,$P$34=0),"",$L$37-1)),MIN(BV$38,$E577),$P$20))-SUM($BF577:BU577))</f>
        <v>0</v>
      </c>
      <c r="BW577" s="446">
        <f>IF($E577=0,0,IF(MIN(BW$38,$E577)&lt;MAX($P$34*($B577+$I$38-1),IF(AND($L$37=0,$P$34=0),"",$L$37-1)),0,YEARFRAC(MAX($P$34*($B577+$I$38-1),IF(AND($L$37=0,$P$34=0),"",$L$37-1)),MIN(BW$38,$E577),$P$20))-SUM($BF577:BV577))</f>
        <v>0</v>
      </c>
      <c r="BX577" s="446">
        <f>IF($E577=0,0,IF(MIN(BX$38,$E577)&lt;MAX($P$34*($B577+$I$38-1),IF(AND($L$37=0,$P$34=0),"",$L$37-1)),0,YEARFRAC(MAX($P$34*($B577+$I$38-1),IF(AND($L$37=0,$P$34=0),"",$L$37-1)),MIN(BX$38,$E577),$P$20))-SUM($BF577:BW577))</f>
        <v>0</v>
      </c>
      <c r="BY577" s="446">
        <f>IF($E577=0,0,IF(MIN(BY$38,$E577)&lt;MAX($P$34*($B577+$I$38-1),IF(AND($L$37=0,$P$34=0),"",$L$37-1)),0,YEARFRAC(MAX($P$34*($B577+$I$38-1),IF(AND($L$37=0,$P$34=0),"",$L$37-1)),MIN(BY$38,$E577),$P$20))-SUM($BF577:BX577))</f>
        <v>0</v>
      </c>
      <c r="BZ577" s="446">
        <f>IF($E577=0,0,IF(MIN(BZ$38,$E577)&lt;MAX($P$34*($B577+$I$38-1),IF(AND($L$37=0,$P$34=0),"",$L$37-1)),0,YEARFRAC(MAX($P$34*($B577+$I$38-1),IF(AND($L$37=0,$P$34=0),"",$L$37-1)),MIN(BZ$38,$E577),$P$20))-SUM($BF577:BY577))</f>
        <v>0</v>
      </c>
      <c r="CA577" s="446">
        <f>IF($E577=0,0,IF(MIN(CA$38,$E577)&lt;MAX($P$34*($B577+$I$38-1),IF(AND($L$37=0,$P$34=0),"",$L$37-1)),0,YEARFRAC(MAX($P$34*($B577+$I$38-1),IF(AND($L$37=0,$P$34=0),"",$L$37-1)),MIN(CA$38,$E577),$P$20))-SUM($BF577:BZ577))</f>
        <v>0</v>
      </c>
      <c r="CB577" s="446">
        <f>IF($E577=0,0,IF(MIN(CB$38,$E577)&lt;MAX($P$34*($B577+$I$38-1),IF(AND($L$37=0,$P$34=0),"",$L$37-1)),0,YEARFRAC(MAX($P$34*($B577+$I$38-1),IF(AND($L$37=0,$P$34=0),"",$L$37-1)),MIN(CB$38,$E577),$P$20))-SUM($BF577:CA577))</f>
        <v>0</v>
      </c>
      <c r="CC577" s="446">
        <f>IF($E577=0,0,IF(MIN(CC$38,$E577)&lt;MAX($P$34*($B577+$I$38-1),IF(AND($L$37=0,$P$34=0),"",$L$37-1)),0,YEARFRAC(MAX($P$34*($B577+$I$38-1),IF(AND($L$37=0,$P$34=0),"",$L$37-1)),MIN(CC$38,$E577),$P$20))-SUM($BF577:CB577))</f>
        <v>0</v>
      </c>
      <c r="CD577" s="446">
        <f>IF($E577=0,0,IF(MIN(CD$38,$E577)&lt;MAX($P$34*($B577+$I$38-1),IF(AND($L$37=0,$P$34=0),"",$L$37-1)),0,YEARFRAC(MAX($P$34*($B577+$I$38-1),IF(AND($L$37=0,$P$34=0),"",$L$37-1)),MIN(CD$38,$E577),$P$20))-SUM($BF577:CC577))</f>
        <v>0</v>
      </c>
      <c r="CE577" s="446">
        <f>IF($E577=0,0,IF(MIN(CE$38,$E577)&lt;MAX($P$34*($B577+$I$38-1),IF(AND($L$37=0,$P$34=0),"",$L$37-1)),0,YEARFRAC(MAX($P$34*($B577+$I$38-1),IF(AND($L$37=0,$P$34=0),"",$L$37-1)),MIN(CE$38,$E577),$P$20))-SUM($BF577:CD577))</f>
        <v>0</v>
      </c>
      <c r="CF577" s="446">
        <f>IF($E577=0,0,IF(MIN(CF$38,$E577)&lt;MAX($P$34*($B577+$I$38-1),IF(AND($L$37=0,$P$34=0),"",$L$37-1)),0,YEARFRAC(MAX($P$34*($B577+$I$38-1),IF(AND($L$37=0,$P$34=0),"",$L$37-1)),MIN(CF$38,$E577),$P$20))-SUM($BF577:CE577))</f>
        <v>0</v>
      </c>
      <c r="CG577" s="446">
        <f>IF($E577=0,0,IF(MIN(CG$38,$E577)&lt;MAX($P$34*($B577+$I$38-1),IF(AND($L$37=0,$P$34=0),"",$L$37-1)),0,YEARFRAC(MAX($P$34*($B577+$I$38-1),IF(AND($L$37=0,$P$34=0),"",$L$37-1)),MIN(CG$38,$E577),$P$20))-SUM($BF577:CF577))</f>
        <v>0</v>
      </c>
      <c r="CH577" s="446">
        <f>IF($E577=0,0,IF(MIN(CH$38,$E577)&lt;MAX($P$34*($B577+$I$38-1),IF(AND($L$37=0,$P$34=0),"",$L$37-1)),0,YEARFRAC(MAX($P$34*($B577+$I$38-1),IF(AND($L$37=0,$P$34=0),"",$L$37-1)),MIN(CH$38,$E577),$P$20))-SUM($BF577:CG577))</f>
        <v>0</v>
      </c>
      <c r="CI577" s="446">
        <f>IF($E577=0,0,IF(MIN(CI$38,$E577)&lt;MAX($P$34*($B577+$I$38-1),IF(AND($L$37=0,$P$34=0),"",$L$37-1)),0,YEARFRAC(MAX($P$34*($B577+$I$38-1),IF(AND($L$37=0,$P$34=0),"",$L$37-1)),MIN(CI$38,$E577),$P$20))-SUM($BF577:CH577))</f>
        <v>0</v>
      </c>
      <c r="CJ577" s="446">
        <f>IF($E577=0,0,IF(MIN(CJ$38,$E577)&lt;MAX($P$34*($B577+$I$38-1),IF(AND($L$37=0,$P$34=0),"",$L$37-1)),0,YEARFRAC(MAX($P$34*($B577+$I$38-1),IF(AND($L$37=0,$P$34=0),"",$L$37-1)),MIN(CJ$38,$E577),$P$20))-SUM($BF577:CI577))</f>
        <v>0</v>
      </c>
      <c r="CK577" s="446">
        <f>IF($E577=0,0,IF(MIN(CK$38,$E577)&lt;MAX($P$34*($B577+$I$38-1),IF(AND($L$37=0,$P$34=0),"",$L$37-1)),0,YEARFRAC(MAX($P$34*($B577+$I$38-1),IF(AND($L$37=0,$P$34=0),"",$L$37-1)),MIN(CK$38,$E577),$P$20))-SUM($BF577:CJ577))</f>
        <v>0</v>
      </c>
      <c r="CL577" s="446">
        <f>IF($E577=0,0,IF(MIN(CL$38,$E577)&lt;MAX($P$34*($B577+$I$38-1),IF(AND($L$37=0,$P$34=0),"",$L$37-1)),0,YEARFRAC(MAX($P$34*($B577+$I$38-1),IF(AND($L$37=0,$P$34=0),"",$L$37-1)),MIN(CL$38,$E577),$P$20))-SUM($BF577:CK577))</f>
        <v>0</v>
      </c>
      <c r="CM577" s="446">
        <f>IF($E577=0,0,IF(MIN(CM$38,$E577)&lt;MAX($P$34*($B577+$I$38-1),IF(AND($L$37=0,$P$34=0),"",$L$37-1)),0,YEARFRAC(MAX($P$34*($B577+$I$38-1),IF(AND($L$37=0,$P$34=0),"",$L$37-1)),MIN(CM$38,$E577),$P$20))-SUM($BF577:CL577))</f>
        <v>0</v>
      </c>
      <c r="CN577" s="446">
        <f>IF($E577=0,0,IF(MIN(CN$38,$E577)&lt;MAX($P$34*($B577+$I$38-1),IF(AND($L$37=0,$P$34=0),"",$L$37-1)),0,YEARFRAC(MAX($P$34*($B577+$I$38-1),IF(AND($L$37=0,$P$34=0),"",$L$37-1)),MIN(CN$38,$E577),$P$20))-SUM($BF577:CM577))</f>
        <v>0</v>
      </c>
      <c r="CO577" s="446">
        <f>IF($E577=0,0,IF(MIN(CO$38,$E577)&lt;MAX($P$34*($B577+$I$38-1),IF(AND($L$37=0,$P$34=0),"",$L$37-1)),0,YEARFRAC(MAX($P$34*($B577+$I$38-1),IF(AND($L$37=0,$P$34=0),"",$L$37-1)),MIN(CO$38,$E577),$P$20))-SUM($BF577:CN577))</f>
        <v>0</v>
      </c>
      <c r="CP577" s="446">
        <f>IF($E577=0,0,IF(MIN(CP$38,$E577)&lt;MAX($P$34*($B577+$I$38-1),IF(AND($L$37=0,$P$34=0),"",$L$37-1)),0,YEARFRAC(MAX($P$34*($B577+$I$38-1),IF(AND($L$37=0,$P$34=0),"",$L$37-1)),MIN(CP$38,$E577),$P$20))-SUM($BF577:CO577))</f>
        <v>0</v>
      </c>
      <c r="CQ577" s="446">
        <f>IF($E577=0,0,IF(MIN(CQ$38,$E577)&lt;MAX($P$34*($B577+$I$38-1),IF(AND($L$37=0,$P$34=0),"",$L$37-1)),0,YEARFRAC(MAX($P$34*($B577+$I$38-1),IF(AND($L$37=0,$P$34=0),"",$L$37-1)),MIN(CQ$38,$E577),$P$20))-SUM($BF577:CP577))</f>
        <v>0</v>
      </c>
    </row>
    <row r="578" spans="1:95" s="446" customFormat="1" ht="11.25" hidden="1" customHeight="1" x14ac:dyDescent="0.2">
      <c r="A578" s="152"/>
      <c r="B578" s="153" t="str">
        <f t="shared" si="103"/>
        <v/>
      </c>
      <c r="C578" s="29" t="str">
        <f>IF(B578="","",IF($L$35="SELIC - TRIBUTOS",VLOOKUP(DATE(YEAR($D$19),MONTH($D$19)-1,1),ÍNDICES!$A:$DE,HLOOKUP($BL$25,ÍNDICES!$B$3:$T$4,2)+11)-VLOOKUP(B578,ÍNDICES!$A:$DE,HLOOKUP($BL$25,ÍNDICES!$B$3:$T$4,2)+11)+1%,IF(C$38=$W$26,$J$35,IF(ISERROR(IF(B578&gt;$D$19,1,VLOOKUP(DATE(YEAR(B578),MONTH(B578)+IF($C$35=$S$23,1,0),1),ÍNDICES!$A:$DE,$Z$35+1))),"",IF(B578&gt;$D$19,1,VLOOKUP(DATE(YEAR(B578),MONTH(B578)+IF($C$35=$S$23,1,0),1),ÍNDICES!$A:$DE,$Z$35+1))))))</f>
        <v/>
      </c>
      <c r="D578" s="154" t="str">
        <f>IF(ISERROR(IF(OR($D$38=$Y$27,$B578=""),"",VLOOKUP(B578,ÍNDICES!A:DE,AF$35+1))),"",IF(OR($D$38=$Y$27,$B578=""),"",VLOOKUP(B578,ÍNDICES!A:DE,AF$35+1)))</f>
        <v/>
      </c>
      <c r="E578" s="153"/>
      <c r="F578" s="29" t="str">
        <f>IF(E578="","",IF($L$35="SELIC - TRIBUTOS",VLOOKUP(DATE(YEAR($D$19),MONTH($D$19)-1,1),ÍNDICES!$A:$DE,HLOOKUP($BL$25,ÍNDICES!$B$3:$T$4,2)+11)-VLOOKUP(E578,ÍNDICES!$A:$DE,HLOOKUP($BL$25,ÍNDICES!$B$3:$T$4,2)+11)+1%,IF(F$38=$W$26,$J$35,IF(ISERROR(IF(E578&gt;$D$19,1,VLOOKUP(DATE(YEAR(E578),MONTH(E578)+IF($C$35=$S$23,1,0),1),ÍNDICES!$A:$DE,$Z$35+1))),"",IF(E578&gt;$D$19,1,VLOOKUP(DATE(YEAR(E578),MONTH(E578)+IF($C$35=$S$23,1,0),1),ÍNDICES!$A:$DE,$Z$35+1))))))</f>
        <v/>
      </c>
      <c r="G578" s="155"/>
      <c r="H578" s="156" t="str">
        <f t="shared" si="99"/>
        <v/>
      </c>
      <c r="I578" s="29" t="str">
        <f t="shared" si="93"/>
        <v/>
      </c>
      <c r="J578" s="5">
        <f t="shared" si="94"/>
        <v>0</v>
      </c>
      <c r="K578" s="20">
        <f t="shared" ca="1" si="95"/>
        <v>0</v>
      </c>
      <c r="L578" s="5">
        <f t="shared" ca="1" si="96"/>
        <v>0</v>
      </c>
      <c r="M578" s="64">
        <f t="shared" si="100"/>
        <v>0</v>
      </c>
      <c r="N578" s="61">
        <f t="shared" ca="1" si="101"/>
        <v>0</v>
      </c>
      <c r="O578" s="5">
        <f t="shared" ca="1" si="102"/>
        <v>0</v>
      </c>
      <c r="P578" s="446" t="e">
        <f t="shared" si="97"/>
        <v>#VALUE!</v>
      </c>
      <c r="Q578" s="446" t="e">
        <f>IF(OR($B578="",MIN(Q$38,$D$19)&lt;MAX($P$34*($B578+IF($R$17="Distrato",$I$38-1,0)),IF(AND($L$37=0,$P$34=0),"",$L$37-1),IF($R$17="Distrato",$E578,0))),0,YEARFRAC(MAX($P$34*($B578+IF($R$17="Distrato",$I$38-1,0)),IF(AND($L$37=0,$P$34=0),"",$L$37-1),IF($R$17="Distrato",$E578,0)),MIN(Q$38,$D$19),$P$20))-SUM($P578:P578)</f>
        <v>#VALUE!</v>
      </c>
      <c r="R578" s="446" t="e">
        <f>IF(OR($B578="",MIN(R$38,$D$19)&lt;MAX($P$34*($B578+IF($R$17="Distrato",$I$38-1,0)),IF(AND($L$37=0,$P$34=0),"",$L$37-1),IF($R$17="Distrato",$E578,0))),0,YEARFRAC(MAX($P$34*($B578+IF($R$17="Distrato",$I$38-1,0)),IF(AND($L$37=0,$P$34=0),"",$L$37-1),IF($R$17="Distrato",$E578,0)),MIN(R$38,$D$19),$P$20))-SUM($P578:Q578)</f>
        <v>#VALUE!</v>
      </c>
      <c r="S578" s="446" t="e">
        <f>IF(OR($B578="",MIN(S$38,$D$19)&lt;MAX($P$34*($B578+IF($R$17="Distrato",$I$38-1,0)),IF(AND($L$37=0,$P$34=0),"",$L$37-1),IF($R$17="Distrato",$E578,0))),0,YEARFRAC(MAX($P$34*($B578+IF($R$17="Distrato",$I$38-1,0)),IF(AND($L$37=0,$P$34=0),"",$L$37-1),IF($R$17="Distrato",$E578,0)),MIN(S$38,$D$19),$P$20))-SUM($P578:R578)</f>
        <v>#VALUE!</v>
      </c>
      <c r="T578" s="446" t="e">
        <f>IF(OR($B578="",MIN(T$38,$D$19)&lt;MAX($P$34*($B578+IF($R$17="Distrato",$I$38-1,0)),IF(AND($L$37=0,$P$34=0),"",$L$37-1),IF($R$17="Distrato",$E578,0))),0,YEARFRAC(MAX($P$34*($B578+IF($R$17="Distrato",$I$38-1,0)),IF(AND($L$37=0,$P$34=0),"",$L$37-1),IF($R$17="Distrato",$E578,0)),MIN(T$38,$D$19),$P$20))-SUM($P578:S578)</f>
        <v>#VALUE!</v>
      </c>
      <c r="U578" s="446" t="e">
        <f>IF(OR($B578="",MIN(U$38,$D$19)&lt;MAX($P$34*($B578+IF($R$17="Distrato",$I$38-1,0)),IF(AND($L$37=0,$P$34=0),"",$L$37-1),IF($R$17="Distrato",$E578,0))),0,YEARFRAC(MAX($P$34*($B578+IF($R$17="Distrato",$I$38-1,0)),IF(AND($L$37=0,$P$34=0),"",$L$37-1),IF($R$17="Distrato",$E578,0)),MIN(U$38,$D$19),$P$20))-SUM($P578:T578)</f>
        <v>#VALUE!</v>
      </c>
      <c r="V578" s="446" t="e">
        <f>IF(OR($B578="",MIN(V$38,$D$19)&lt;MAX($P$34*($B578+IF($R$17="Distrato",$I$38-1,0)),IF(AND($L$37=0,$P$34=0),"",$L$37-1),IF($R$17="Distrato",$E578,0))),0,YEARFRAC(MAX($P$34*($B578+IF($R$17="Distrato",$I$38-1,0)),IF(AND($L$37=0,$P$34=0),"",$L$37-1),IF($R$17="Distrato",$E578,0)),MIN(V$38,$D$19),$P$20))-SUM($P578:U578)</f>
        <v>#VALUE!</v>
      </c>
      <c r="W578" s="446" t="e">
        <f>IF(OR($B578="",MIN(W$38,$D$19)&lt;MAX($P$34*($B578+IF($R$17="Distrato",$I$38-1,0)),IF(AND($L$37=0,$P$34=0),"",$L$37-1),IF($R$17="Distrato",$E578,0))),0,YEARFRAC(MAX($P$34*($B578+IF($R$17="Distrato",$I$38-1,0)),IF(AND($L$37=0,$P$34=0),"",$L$37-1),IF($R$17="Distrato",$E578,0)),MIN(W$38,$D$19),$P$20))-SUM($P578:V578)</f>
        <v>#VALUE!</v>
      </c>
      <c r="X578" s="446" t="e">
        <f>IF(OR($B578="",MIN(X$38,$D$19)&lt;MAX($P$34*($B578+IF($R$17="Distrato",$I$38-1,0)),IF(AND($L$37=0,$P$34=0),"",$L$37-1),IF($R$17="Distrato",$E578,0))),0,YEARFRAC(MAX($P$34*($B578+IF($R$17="Distrato",$I$38-1,0)),IF(AND($L$37=0,$P$34=0),"",$L$37-1),IF($R$17="Distrato",$E578,0)),MIN(X$38,$D$19),$P$20))-SUM($P578:W578)</f>
        <v>#VALUE!</v>
      </c>
      <c r="Y578" s="446" t="e">
        <f>IF(OR($B578="",MIN(Y$38,$D$19)&lt;MAX($P$34*($B578+IF($R$17="Distrato",$I$38-1,0)),IF(AND($L$37=0,$P$34=0),"",$L$37-1),IF($R$17="Distrato",$E578,0))),0,YEARFRAC(MAX($P$34*($B578+IF($R$17="Distrato",$I$38-1,0)),IF(AND($L$37=0,$P$34=0),"",$L$37-1),IF($R$17="Distrato",$E578,0)),MIN(Y$38,$D$19),$P$20))-SUM($P578:X578)</f>
        <v>#VALUE!</v>
      </c>
      <c r="Z578" s="446" t="e">
        <f>IF(OR($B578="",MIN(Z$38,$D$19)&lt;MAX($P$34*($B578+IF($R$17="Distrato",$I$38-1,0)),IF(AND($L$37=0,$P$34=0),"",$L$37-1),IF($R$17="Distrato",$E578,0))),0,YEARFRAC(MAX($P$34*($B578+IF($R$17="Distrato",$I$38-1,0)),IF(AND($L$37=0,$P$34=0),"",$L$37-1),IF($R$17="Distrato",$E578,0)),MIN(Z$38,$D$19),$P$20))-SUM($P578:Y578)</f>
        <v>#VALUE!</v>
      </c>
      <c r="AA578" s="446" t="e">
        <f>IF(OR($B578="",MIN(AA$38,$D$19)&lt;MAX($P$34*($B578+IF($R$17="Distrato",$I$38-1,0)),IF(AND($L$37=0,$P$34=0),"",$L$37-1),IF($R$17="Distrato",$E578,0))),0,YEARFRAC(MAX($P$34*($B578+IF($R$17="Distrato",$I$38-1,0)),IF(AND($L$37=0,$P$34=0),"",$L$37-1),IF($R$17="Distrato",$E578,0)),MIN(AA$38,$D$19),$P$20))-SUM($P578:Z578)</f>
        <v>#VALUE!</v>
      </c>
      <c r="AB578" s="446" t="e">
        <f>IF(OR($B578="",MIN(AB$38,$D$19)&lt;MAX($P$34*($B578+IF($R$17="Distrato",$I$38-1,0)),IF(AND($L$37=0,$P$34=0),"",$L$37-1),IF($R$17="Distrato",$E578,0))),0,YEARFRAC(MAX($P$34*($B578+IF($R$17="Distrato",$I$38-1,0)),IF(AND($L$37=0,$P$34=0),"",$L$37-1),IF($R$17="Distrato",$E578,0)),MIN(AB$38,$D$19),$P$20))-SUM($P578:AA578)</f>
        <v>#VALUE!</v>
      </c>
      <c r="AC578" s="446" t="e">
        <f>IF(OR($B578="",MIN(AC$38,$D$19)&lt;MAX($P$34*($B578+IF($R$17="Distrato",$I$38-1,0)),IF(AND($L$37=0,$P$34=0),"",$L$37-1),IF($R$17="Distrato",$E578,0))),0,YEARFRAC(MAX($P$34*($B578+IF($R$17="Distrato",$I$38-1,0)),IF(AND($L$37=0,$P$34=0),"",$L$37-1),IF($R$17="Distrato",$E578,0)),MIN(AC$38,$D$19),$P$20))-SUM($P578:AB578)</f>
        <v>#VALUE!</v>
      </c>
      <c r="AD578" s="446" t="e">
        <f>IF(OR($B578="",MIN(AD$38,$D$19)&lt;MAX($P$34*($B578+IF($R$17="Distrato",$I$38-1,0)),IF(AND($L$37=0,$P$34=0),"",$L$37-1),IF($R$17="Distrato",$E578,0))),0,YEARFRAC(MAX($P$34*($B578+IF($R$17="Distrato",$I$38-1,0)),IF(AND($L$37=0,$P$34=0),"",$L$37-1),IF($R$17="Distrato",$E578,0)),MIN(AD$38,$D$19),$P$20))-SUM($P578:AC578)</f>
        <v>#VALUE!</v>
      </c>
      <c r="AE578" s="446" t="e">
        <f>IF(OR($B578="",MIN(AE$38,$D$19)&lt;MAX($P$34*($B578+IF($R$17="Distrato",$I$38-1,0)),IF(AND($L$37=0,$P$34=0),"",$L$37-1),IF($R$17="Distrato",$E578,0))),0,YEARFRAC(MAX($P$34*($B578+IF($R$17="Distrato",$I$38-1,0)),IF(AND($L$37=0,$P$34=0),"",$L$37-1),IF($R$17="Distrato",$E578,0)),MIN(AE$38,$D$19),$P$20))-SUM($P578:AD578)</f>
        <v>#VALUE!</v>
      </c>
      <c r="AF578" s="446" t="e">
        <f>IF(OR($B578="",MIN(AF$38,$D$19)&lt;MAX($P$34*($B578+IF($R$17="Distrato",$I$38-1,0)),IF(AND($L$37=0,$P$34=0),"",$L$37-1),IF($R$17="Distrato",$E578,0))),0,YEARFRAC(MAX($P$34*($B578+IF($R$17="Distrato",$I$38-1,0)),IF(AND($L$37=0,$P$34=0),"",$L$37-1),IF($R$17="Distrato",$E578,0)),MIN(AF$38,$D$19),$P$20))-SUM($P578:AE578)</f>
        <v>#VALUE!</v>
      </c>
      <c r="AG578" s="446" t="e">
        <f>IF(OR($B578="",MIN(AG$38,$D$19)&lt;MAX($P$34*($B578+IF($R$17="Distrato",$I$38-1,0)),IF(AND($L$37=0,$P$34=0),"",$L$37-1),IF($R$17="Distrato",$E578,0))),0,YEARFRAC(MAX($P$34*($B578+IF($R$17="Distrato",$I$38-1,0)),IF(AND($L$37=0,$P$34=0),"",$L$37-1),IF($R$17="Distrato",$E578,0)),MIN(AG$38,$D$19),$P$20))-SUM($P578:AF578)</f>
        <v>#VALUE!</v>
      </c>
      <c r="AH578" s="446" t="e">
        <f>IF(OR($B578="",MIN(AH$38,$D$19)&lt;MAX($P$34*($B578+IF($R$17="Distrato",$I$38-1,0)),IF(AND($L$37=0,$P$34=0),"",$L$37-1),IF($R$17="Distrato",$E578,0))),0,YEARFRAC(MAX($P$34*($B578+IF($R$17="Distrato",$I$38-1,0)),IF(AND($L$37=0,$P$34=0),"",$L$37-1),IF($R$17="Distrato",$E578,0)),MIN(AH$38,$D$19),$P$20))-SUM($P578:AG578)</f>
        <v>#VALUE!</v>
      </c>
      <c r="AI578" s="446" t="e">
        <f>IF(OR($B578="",MIN(AI$38,$D$19)&lt;MAX($P$34*($B578+IF($R$17="Distrato",$I$38-1,0)),IF(AND($L$37=0,$P$34=0),"",$L$37-1),IF($R$17="Distrato",$E578,0))),0,YEARFRAC(MAX($P$34*($B578+IF($R$17="Distrato",$I$38-1,0)),IF(AND($L$37=0,$P$34=0),"",$L$37-1),IF($R$17="Distrato",$E578,0)),MIN(AI$38,$D$19),$P$20))-SUM($P578:AH578)</f>
        <v>#VALUE!</v>
      </c>
      <c r="AJ578" s="446" t="e">
        <f>IF(OR($B578="",MIN(AJ$38,$D$19)&lt;MAX($P$34*($B578+IF($R$17="Distrato",$I$38-1,0)),IF(AND($L$37=0,$P$34=0),"",$L$37-1),IF($R$17="Distrato",$E578,0))),0,YEARFRAC(MAX($P$34*($B578+IF($R$17="Distrato",$I$38-1,0)),IF(AND($L$37=0,$P$34=0),"",$L$37-1),IF($R$17="Distrato",$E578,0)),MIN(AJ$38,$D$19),$P$20))-SUM($P578:AI578)</f>
        <v>#VALUE!</v>
      </c>
      <c r="AK578" s="446" t="e">
        <f>IF(OR($B578="",MIN(AK$38,$D$19)&lt;MAX($P$34*($B578+IF($R$17="Distrato",$I$38-1,0)),IF(AND($L$37=0,$P$34=0),"",$L$37-1),IF($R$17="Distrato",$E578,0))),0,YEARFRAC(MAX($P$34*($B578+IF($R$17="Distrato",$I$38-1,0)),IF(AND($L$37=0,$P$34=0),"",$L$37-1),IF($R$17="Distrato",$E578,0)),MIN(AK$38,$D$19),$P$20))-SUM($P578:AJ578)</f>
        <v>#VALUE!</v>
      </c>
      <c r="AL578" s="446" t="e">
        <f>IF(OR($B578="",MIN(AL$38,$D$19)&lt;MAX($P$34*($B578+IF($R$17="Distrato",$I$38-1,0)),IF(AND($L$37=0,$P$34=0),"",$L$37-1),IF($R$17="Distrato",$E578,0))),0,YEARFRAC(MAX($P$34*($B578+IF($R$17="Distrato",$I$38-1,0)),IF(AND($L$37=0,$P$34=0),"",$L$37-1),IF($R$17="Distrato",$E578,0)),MIN(AL$38,$D$19),$P$20))-SUM($P578:AK578)</f>
        <v>#VALUE!</v>
      </c>
      <c r="AM578" s="446" t="e">
        <f>IF(OR($B578="",MIN(AM$38,$D$19)&lt;MAX($P$34*($B578+IF($R$17="Distrato",$I$38-1,0)),IF(AND($L$37=0,$P$34=0),"",$L$37-1),IF($R$17="Distrato",$E578,0))),0,YEARFRAC(MAX($P$34*($B578+IF($R$17="Distrato",$I$38-1,0)),IF(AND($L$37=0,$P$34=0),"",$L$37-1),IF($R$17="Distrato",$E578,0)),MIN(AM$38,$D$19),$P$20))-SUM($P578:AL578)</f>
        <v>#VALUE!</v>
      </c>
      <c r="AN578" s="446" t="e">
        <f>IF(OR($B578="",MIN(AN$38,$D$19)&lt;MAX($P$34*($B578+IF($R$17="Distrato",$I$38-1,0)),IF(AND($L$37=0,$P$34=0),"",$L$37-1),IF($R$17="Distrato",$E578,0))),0,YEARFRAC(MAX($P$34*($B578+IF($R$17="Distrato",$I$38-1,0)),IF(AND($L$37=0,$P$34=0),"",$L$37-1),IF($R$17="Distrato",$E578,0)),MIN(AN$38,$D$19),$P$20))-SUM($P578:AM578)</f>
        <v>#VALUE!</v>
      </c>
      <c r="AO578" s="446" t="e">
        <f>IF(OR($B578="",MIN(AO$38,$D$19)&lt;MAX($P$34*($B578+IF($R$17="Distrato",$I$38-1,0)),IF(AND($L$37=0,$P$34=0),"",$L$37-1),IF($R$17="Distrato",$E578,0))),0,YEARFRAC(MAX($P$34*($B578+IF($R$17="Distrato",$I$38-1,0)),IF(AND($L$37=0,$P$34=0),"",$L$37-1),IF($R$17="Distrato",$E578,0)),MIN(AO$38,$D$19),$P$20))-SUM($P578:AN578)</f>
        <v>#VALUE!</v>
      </c>
      <c r="AP578" s="446" t="e">
        <f>IF(OR($B578="",MIN(AP$38,$D$19)&lt;MAX($P$34*($B578+IF($R$17="Distrato",$I$38-1,0)),IF(AND($L$37=0,$P$34=0),"",$L$37-1),IF($R$17="Distrato",$E578,0))),0,YEARFRAC(MAX($P$34*($B578+IF($R$17="Distrato",$I$38-1,0)),IF(AND($L$37=0,$P$34=0),"",$L$37-1),IF($R$17="Distrato",$E578,0)),MIN(AP$38,$D$19),$P$20))-SUM($P578:AO578)</f>
        <v>#VALUE!</v>
      </c>
      <c r="AQ578" s="446" t="e">
        <f>IF(OR($B578="",MIN(AQ$38,$D$19)&lt;MAX($P$34*($B578+IF($R$17="Distrato",$I$38-1,0)),IF(AND($L$37=0,$P$34=0),"",$L$37-1),IF($R$17="Distrato",$E578,0))),0,YEARFRAC(MAX($P$34*($B578+IF($R$17="Distrato",$I$38-1,0)),IF(AND($L$37=0,$P$34=0),"",$L$37-1),IF($R$17="Distrato",$E578,0)),MIN(AQ$38,$D$19),$P$20))-SUM($P578:AP578)</f>
        <v>#VALUE!</v>
      </c>
      <c r="AR578" s="446" t="e">
        <f>IF(OR($B578="",MIN(AR$38,$D$19)&lt;MAX($P$34*($B578+IF($R$17="Distrato",$I$38-1,0)),IF(AND($L$37=0,$P$34=0),"",$L$37-1),IF($R$17="Distrato",$E578,0))),0,YEARFRAC(MAX($P$34*($B578+IF($R$17="Distrato",$I$38-1,0)),IF(AND($L$37=0,$P$34=0),"",$L$37-1),IF($R$17="Distrato",$E578,0)),MIN(AR$38,$D$19),$P$20))-SUM($P578:AQ578)</f>
        <v>#VALUE!</v>
      </c>
      <c r="AS578" s="446" t="e">
        <f>IF(OR($B578="",MIN(AS$38,$D$19)&lt;MAX($P$34*($B578+IF($R$17="Distrato",$I$38-1,0)),IF(AND($L$37=0,$P$34=0),"",$L$37-1),IF($R$17="Distrato",$E578,0))),0,YEARFRAC(MAX($P$34*($B578+IF($R$17="Distrato",$I$38-1,0)),IF(AND($L$37=0,$P$34=0),"",$L$37-1),IF($R$17="Distrato",$E578,0)),MIN(AS$38,$D$19),$P$20))-SUM($P578:AR578)</f>
        <v>#VALUE!</v>
      </c>
      <c r="AT578" s="446" t="e">
        <f>IF(OR($B578="",MIN(AT$38,$D$19)&lt;MAX($P$34*($B578+IF($R$17="Distrato",$I$38-1,0)),IF(AND($L$37=0,$P$34=0),"",$L$37-1),IF($R$17="Distrato",$E578,0))),0,YEARFRAC(MAX($P$34*($B578+IF($R$17="Distrato",$I$38-1,0)),IF(AND($L$37=0,$P$34=0),"",$L$37-1),IF($R$17="Distrato",$E578,0)),MIN(AT$38,$D$19),$P$20))-SUM($P578:AS578)</f>
        <v>#VALUE!</v>
      </c>
      <c r="AU578" s="446" t="e">
        <f>IF(OR($B578="",MIN(AU$38,$D$19)&lt;MAX($P$34*($B578+IF($R$17="Distrato",$I$38-1,0)),IF(AND($L$37=0,$P$34=0),"",$L$37-1),IF($R$17="Distrato",$E578,0))),0,YEARFRAC(MAX($P$34*($B578+IF($R$17="Distrato",$I$38-1,0)),IF(AND($L$37=0,$P$34=0),"",$L$37-1),IF($R$17="Distrato",$E578,0)),MIN(AU$38,$D$19),$P$20))-SUM($P578:AT578)</f>
        <v>#VALUE!</v>
      </c>
      <c r="AV578" s="446" t="e">
        <f>IF(OR($B578="",MIN(AV$38,$D$19)&lt;MAX($P$34*($B578+IF($R$17="Distrato",$I$38-1,0)),IF(AND($L$37=0,$P$34=0),"",$L$37-1),IF($R$17="Distrato",$E578,0))),0,YEARFRAC(MAX($P$34*($B578+IF($R$17="Distrato",$I$38-1,0)),IF(AND($L$37=0,$P$34=0),"",$L$37-1),IF($R$17="Distrato",$E578,0)),MIN(AV$38,$D$19),$P$20))-SUM($P578:AU578)</f>
        <v>#VALUE!</v>
      </c>
      <c r="AW578" s="446" t="e">
        <f>IF(OR($B578="",MIN(AW$38,$D$19)&lt;MAX($P$34*($B578+IF($R$17="Distrato",$I$38-1,0)),IF(AND($L$37=0,$P$34=0),"",$L$37-1),IF($R$17="Distrato",$E578,0))),0,YEARFRAC(MAX($P$34*($B578+IF($R$17="Distrato",$I$38-1,0)),IF(AND($L$37=0,$P$34=0),"",$L$37-1),IF($R$17="Distrato",$E578,0)),MIN(AW$38,$D$19),$P$20))-SUM($P578:AV578)</f>
        <v>#VALUE!</v>
      </c>
      <c r="AX578" s="446" t="e">
        <f>IF(OR($B578="",MIN(AX$38,$D$19)&lt;MAX($P$34*($B578+IF($R$17="Distrato",$I$38-1,0)),IF(AND($L$37=0,$P$34=0),"",$L$37-1),IF($R$17="Distrato",$E578,0))),0,YEARFRAC(MAX($P$34*($B578+IF($R$17="Distrato",$I$38-1,0)),IF(AND($L$37=0,$P$34=0),"",$L$37-1),IF($R$17="Distrato",$E578,0)),MIN(AX$38,$D$19),$P$20))-SUM($P578:AW578)</f>
        <v>#VALUE!</v>
      </c>
      <c r="AY578" s="446" t="e">
        <f>IF(OR($B578="",MIN(AY$38,$D$19)&lt;MAX($P$34*($B578+IF($R$17="Distrato",$I$38-1,0)),IF(AND($L$37=0,$P$34=0),"",$L$37-1),IF($R$17="Distrato",$E578,0))),0,YEARFRAC(MAX($P$34*($B578+IF($R$17="Distrato",$I$38-1,0)),IF(AND($L$37=0,$P$34=0),"",$L$37-1),IF($R$17="Distrato",$E578,0)),MIN(AY$38,$D$19),$P$20))-SUM($P578:AX578)</f>
        <v>#VALUE!</v>
      </c>
      <c r="AZ578" s="446" t="e">
        <f>IF(OR($B578="",MIN(AZ$38,$D$19)&lt;MAX($P$34*($B578+IF($R$17="Distrato",$I$38-1,0)),IF(AND($L$37=0,$P$34=0),"",$L$37-1),IF($R$17="Distrato",$E578,0))),0,YEARFRAC(MAX($P$34*($B578+IF($R$17="Distrato",$I$38-1,0)),IF(AND($L$37=0,$P$34=0),"",$L$37-1),IF($R$17="Distrato",$E578,0)),MIN(AZ$38,$D$19),$P$20))-SUM($P578:AY578)</f>
        <v>#VALUE!</v>
      </c>
      <c r="BA578" s="446" t="e">
        <f>IF(OR($B578="",MIN(BA$38,$D$19)&lt;MAX($P$34*($B578+IF($R$17="Distrato",$I$38-1,0)),IF(AND($L$37=0,$P$34=0),"",$L$37-1),IF($R$17="Distrato",$E578,0))),0,YEARFRAC(MAX($P$34*($B578+IF($R$17="Distrato",$I$38-1,0)),IF(AND($L$37=0,$P$34=0),"",$L$37-1),IF($R$17="Distrato",$E578,0)),MIN(BA$38,$D$19),$P$20))-SUM($P578:AZ578)</f>
        <v>#VALUE!</v>
      </c>
      <c r="BB578" s="447"/>
      <c r="BF578" s="446">
        <f t="shared" si="98"/>
        <v>0</v>
      </c>
      <c r="BG578" s="446">
        <f>IF($E578=0,0,IF(MIN(BG$38,$E578)&lt;MAX($P$34*($B578+$I$38-1),IF(AND($L$37=0,$P$34=0),"",$L$37-1)),0,YEARFRAC(MAX($P$34*($B578+$I$38-1),IF(AND($L$37=0,$P$34=0),"",$L$37-1)),MIN(BG$38,$E578),$P$20))-SUM($BF578:BF578))</f>
        <v>0</v>
      </c>
      <c r="BH578" s="446">
        <f>IF($E578=0,0,IF(MIN(BH$38,$E578)&lt;MAX($P$34*($B578+$I$38-1),IF(AND($L$37=0,$P$34=0),"",$L$37-1)),0,YEARFRAC(MAX($P$34*($B578+$I$38-1),IF(AND($L$37=0,$P$34=0),"",$L$37-1)),MIN(BH$38,$E578),$P$20))-SUM($BF578:BG578))</f>
        <v>0</v>
      </c>
      <c r="BI578" s="446">
        <f>IF($E578=0,0,IF(MIN(BI$38,$E578)&lt;MAX($P$34*($B578+$I$38-1),IF(AND($L$37=0,$P$34=0),"",$L$37-1)),0,YEARFRAC(MAX($P$34*($B578+$I$38-1),IF(AND($L$37=0,$P$34=0),"",$L$37-1)),MIN(BI$38,$E578),$P$20))-SUM($BF578:BH578))</f>
        <v>0</v>
      </c>
      <c r="BJ578" s="446">
        <f>IF($E578=0,0,IF(MIN(BJ$38,$E578)&lt;MAX($P$34*($B578+$I$38-1),IF(AND($L$37=0,$P$34=0),"",$L$37-1)),0,YEARFRAC(MAX($P$34*($B578+$I$38-1),IF(AND($L$37=0,$P$34=0),"",$L$37-1)),MIN(BJ$38,$E578),$P$20))-SUM($BF578:BI578))</f>
        <v>0</v>
      </c>
      <c r="BK578" s="446">
        <f>IF($E578=0,0,IF(MIN(BK$38,$E578)&lt;MAX($P$34*($B578+$I$38-1),IF(AND($L$37=0,$P$34=0),"",$L$37-1)),0,YEARFRAC(MAX($P$34*($B578+$I$38-1),IF(AND($L$37=0,$P$34=0),"",$L$37-1)),MIN(BK$38,$E578),$P$20))-SUM($BF578:BJ578))</f>
        <v>0</v>
      </c>
      <c r="BL578" s="446">
        <f>IF($E578=0,0,IF(MIN(BL$38,$E578)&lt;MAX($P$34*($B578+$I$38-1),IF(AND($L$37=0,$P$34=0),"",$L$37-1)),0,YEARFRAC(MAX($P$34*($B578+$I$38-1),IF(AND($L$37=0,$P$34=0),"",$L$37-1)),MIN(BL$38,$E578),$P$20))-SUM($BF578:BK578))</f>
        <v>0</v>
      </c>
      <c r="BM578" s="446">
        <f>IF($E578=0,0,IF(MIN(BM$38,$E578)&lt;MAX($P$34*($B578+$I$38-1),IF(AND($L$37=0,$P$34=0),"",$L$37-1)),0,YEARFRAC(MAX($P$34*($B578+$I$38-1),IF(AND($L$37=0,$P$34=0),"",$L$37-1)),MIN(BM$38,$E578),$P$20))-SUM($BF578:BL578))</f>
        <v>0</v>
      </c>
      <c r="BN578" s="446">
        <f>IF($E578=0,0,IF(MIN(BN$38,$E578)&lt;MAX($P$34*($B578+$I$38-1),IF(AND($L$37=0,$P$34=0),"",$L$37-1)),0,YEARFRAC(MAX($P$34*($B578+$I$38-1),IF(AND($L$37=0,$P$34=0),"",$L$37-1)),MIN(BN$38,$E578),$P$20))-SUM($BF578:BM578))</f>
        <v>0</v>
      </c>
      <c r="BO578" s="446">
        <f>IF($E578=0,0,IF(MIN(BO$38,$E578)&lt;MAX($P$34*($B578+$I$38-1),IF(AND($L$37=0,$P$34=0),"",$L$37-1)),0,YEARFRAC(MAX($P$34*($B578+$I$38-1),IF(AND($L$37=0,$P$34=0),"",$L$37-1)),MIN(BO$38,$E578),$P$20))-SUM($BF578:BN578))</f>
        <v>0</v>
      </c>
      <c r="BP578" s="446">
        <f>IF($E578=0,0,IF(MIN(BP$38,$E578)&lt;MAX($P$34*($B578+$I$38-1),IF(AND($L$37=0,$P$34=0),"",$L$37-1)),0,YEARFRAC(MAX($P$34*($B578+$I$38-1),IF(AND($L$37=0,$P$34=0),"",$L$37-1)),MIN(BP$38,$E578),$P$20))-SUM($BF578:BO578))</f>
        <v>0</v>
      </c>
      <c r="BQ578" s="446">
        <f>IF($E578=0,0,IF(MIN(BQ$38,$E578)&lt;MAX($P$34*($B578+$I$38-1),IF(AND($L$37=0,$P$34=0),"",$L$37-1)),0,YEARFRAC(MAX($P$34*($B578+$I$38-1),IF(AND($L$37=0,$P$34=0),"",$L$37-1)),MIN(BQ$38,$E578),$P$20))-SUM($BF578:BP578))</f>
        <v>0</v>
      </c>
      <c r="BR578" s="446">
        <f>IF($E578=0,0,IF(MIN(BR$38,$E578)&lt;MAX($P$34*($B578+$I$38-1),IF(AND($L$37=0,$P$34=0),"",$L$37-1)),0,YEARFRAC(MAX($P$34*($B578+$I$38-1),IF(AND($L$37=0,$P$34=0),"",$L$37-1)),MIN(BR$38,$E578),$P$20))-SUM($BF578:BQ578))</f>
        <v>0</v>
      </c>
      <c r="BS578" s="446">
        <f>IF($E578=0,0,IF(MIN(BS$38,$E578)&lt;MAX($P$34*($B578+$I$38-1),IF(AND($L$37=0,$P$34=0),"",$L$37-1)),0,YEARFRAC(MAX($P$34*($B578+$I$38-1),IF(AND($L$37=0,$P$34=0),"",$L$37-1)),MIN(BS$38,$E578),$P$20))-SUM($BF578:BR578))</f>
        <v>0</v>
      </c>
      <c r="BT578" s="446">
        <f>IF($E578=0,0,IF(MIN(BT$38,$E578)&lt;MAX($P$34*($B578+$I$38-1),IF(AND($L$37=0,$P$34=0),"",$L$37-1)),0,YEARFRAC(MAX($P$34*($B578+$I$38-1),IF(AND($L$37=0,$P$34=0),"",$L$37-1)),MIN(BT$38,$E578),$P$20))-SUM($BF578:BS578))</f>
        <v>0</v>
      </c>
      <c r="BU578" s="446">
        <f>IF($E578=0,0,IF(MIN(BU$38,$E578)&lt;MAX($P$34*($B578+$I$38-1),IF(AND($L$37=0,$P$34=0),"",$L$37-1)),0,YEARFRAC(MAX($P$34*($B578+$I$38-1),IF(AND($L$37=0,$P$34=0),"",$L$37-1)),MIN(BU$38,$E578),$P$20))-SUM($BF578:BT578))</f>
        <v>0</v>
      </c>
      <c r="BV578" s="446">
        <f>IF($E578=0,0,IF(MIN(BV$38,$E578)&lt;MAX($P$34*($B578+$I$38-1),IF(AND($L$37=0,$P$34=0),"",$L$37-1)),0,YEARFRAC(MAX($P$34*($B578+$I$38-1),IF(AND($L$37=0,$P$34=0),"",$L$37-1)),MIN(BV$38,$E578),$P$20))-SUM($BF578:BU578))</f>
        <v>0</v>
      </c>
      <c r="BW578" s="446">
        <f>IF($E578=0,0,IF(MIN(BW$38,$E578)&lt;MAX($P$34*($B578+$I$38-1),IF(AND($L$37=0,$P$34=0),"",$L$37-1)),0,YEARFRAC(MAX($P$34*($B578+$I$38-1),IF(AND($L$37=0,$P$34=0),"",$L$37-1)),MIN(BW$38,$E578),$P$20))-SUM($BF578:BV578))</f>
        <v>0</v>
      </c>
      <c r="BX578" s="446">
        <f>IF($E578=0,0,IF(MIN(BX$38,$E578)&lt;MAX($P$34*($B578+$I$38-1),IF(AND($L$37=0,$P$34=0),"",$L$37-1)),0,YEARFRAC(MAX($P$34*($B578+$I$38-1),IF(AND($L$37=0,$P$34=0),"",$L$37-1)),MIN(BX$38,$E578),$P$20))-SUM($BF578:BW578))</f>
        <v>0</v>
      </c>
      <c r="BY578" s="446">
        <f>IF($E578=0,0,IF(MIN(BY$38,$E578)&lt;MAX($P$34*($B578+$I$38-1),IF(AND($L$37=0,$P$34=0),"",$L$37-1)),0,YEARFRAC(MAX($P$34*($B578+$I$38-1),IF(AND($L$37=0,$P$34=0),"",$L$37-1)),MIN(BY$38,$E578),$P$20))-SUM($BF578:BX578))</f>
        <v>0</v>
      </c>
      <c r="BZ578" s="446">
        <f>IF($E578=0,0,IF(MIN(BZ$38,$E578)&lt;MAX($P$34*($B578+$I$38-1),IF(AND($L$37=0,$P$34=0),"",$L$37-1)),0,YEARFRAC(MAX($P$34*($B578+$I$38-1),IF(AND($L$37=0,$P$34=0),"",$L$37-1)),MIN(BZ$38,$E578),$P$20))-SUM($BF578:BY578))</f>
        <v>0</v>
      </c>
      <c r="CA578" s="446">
        <f>IF($E578=0,0,IF(MIN(CA$38,$E578)&lt;MAX($P$34*($B578+$I$38-1),IF(AND($L$37=0,$P$34=0),"",$L$37-1)),0,YEARFRAC(MAX($P$34*($B578+$I$38-1),IF(AND($L$37=0,$P$34=0),"",$L$37-1)),MIN(CA$38,$E578),$P$20))-SUM($BF578:BZ578))</f>
        <v>0</v>
      </c>
      <c r="CB578" s="446">
        <f>IF($E578=0,0,IF(MIN(CB$38,$E578)&lt;MAX($P$34*($B578+$I$38-1),IF(AND($L$37=0,$P$34=0),"",$L$37-1)),0,YEARFRAC(MAX($P$34*($B578+$I$38-1),IF(AND($L$37=0,$P$34=0),"",$L$37-1)),MIN(CB$38,$E578),$P$20))-SUM($BF578:CA578))</f>
        <v>0</v>
      </c>
      <c r="CC578" s="446">
        <f>IF($E578=0,0,IF(MIN(CC$38,$E578)&lt;MAX($P$34*($B578+$I$38-1),IF(AND($L$37=0,$P$34=0),"",$L$37-1)),0,YEARFRAC(MAX($P$34*($B578+$I$38-1),IF(AND($L$37=0,$P$34=0),"",$L$37-1)),MIN(CC$38,$E578),$P$20))-SUM($BF578:CB578))</f>
        <v>0</v>
      </c>
      <c r="CD578" s="446">
        <f>IF($E578=0,0,IF(MIN(CD$38,$E578)&lt;MAX($P$34*($B578+$I$38-1),IF(AND($L$37=0,$P$34=0),"",$L$37-1)),0,YEARFRAC(MAX($P$34*($B578+$I$38-1),IF(AND($L$37=0,$P$34=0),"",$L$37-1)),MIN(CD$38,$E578),$P$20))-SUM($BF578:CC578))</f>
        <v>0</v>
      </c>
      <c r="CE578" s="446">
        <f>IF($E578=0,0,IF(MIN(CE$38,$E578)&lt;MAX($P$34*($B578+$I$38-1),IF(AND($L$37=0,$P$34=0),"",$L$37-1)),0,YEARFRAC(MAX($P$34*($B578+$I$38-1),IF(AND($L$37=0,$P$34=0),"",$L$37-1)),MIN(CE$38,$E578),$P$20))-SUM($BF578:CD578))</f>
        <v>0</v>
      </c>
      <c r="CF578" s="446">
        <f>IF($E578=0,0,IF(MIN(CF$38,$E578)&lt;MAX($P$34*($B578+$I$38-1),IF(AND($L$37=0,$P$34=0),"",$L$37-1)),0,YEARFRAC(MAX($P$34*($B578+$I$38-1),IF(AND($L$37=0,$P$34=0),"",$L$37-1)),MIN(CF$38,$E578),$P$20))-SUM($BF578:CE578))</f>
        <v>0</v>
      </c>
      <c r="CG578" s="446">
        <f>IF($E578=0,0,IF(MIN(CG$38,$E578)&lt;MAX($P$34*($B578+$I$38-1),IF(AND($L$37=0,$P$34=0),"",$L$37-1)),0,YEARFRAC(MAX($P$34*($B578+$I$38-1),IF(AND($L$37=0,$P$34=0),"",$L$37-1)),MIN(CG$38,$E578),$P$20))-SUM($BF578:CF578))</f>
        <v>0</v>
      </c>
      <c r="CH578" s="446">
        <f>IF($E578=0,0,IF(MIN(CH$38,$E578)&lt;MAX($P$34*($B578+$I$38-1),IF(AND($L$37=0,$P$34=0),"",$L$37-1)),0,YEARFRAC(MAX($P$34*($B578+$I$38-1),IF(AND($L$37=0,$P$34=0),"",$L$37-1)),MIN(CH$38,$E578),$P$20))-SUM($BF578:CG578))</f>
        <v>0</v>
      </c>
      <c r="CI578" s="446">
        <f>IF($E578=0,0,IF(MIN(CI$38,$E578)&lt;MAX($P$34*($B578+$I$38-1),IF(AND($L$37=0,$P$34=0),"",$L$37-1)),0,YEARFRAC(MAX($P$34*($B578+$I$38-1),IF(AND($L$37=0,$P$34=0),"",$L$37-1)),MIN(CI$38,$E578),$P$20))-SUM($BF578:CH578))</f>
        <v>0</v>
      </c>
      <c r="CJ578" s="446">
        <f>IF($E578=0,0,IF(MIN(CJ$38,$E578)&lt;MAX($P$34*($B578+$I$38-1),IF(AND($L$37=0,$P$34=0),"",$L$37-1)),0,YEARFRAC(MAX($P$34*($B578+$I$38-1),IF(AND($L$37=0,$P$34=0),"",$L$37-1)),MIN(CJ$38,$E578),$P$20))-SUM($BF578:CI578))</f>
        <v>0</v>
      </c>
      <c r="CK578" s="446">
        <f>IF($E578=0,0,IF(MIN(CK$38,$E578)&lt;MAX($P$34*($B578+$I$38-1),IF(AND($L$37=0,$P$34=0),"",$L$37-1)),0,YEARFRAC(MAX($P$34*($B578+$I$38-1),IF(AND($L$37=0,$P$34=0),"",$L$37-1)),MIN(CK$38,$E578),$P$20))-SUM($BF578:CJ578))</f>
        <v>0</v>
      </c>
      <c r="CL578" s="446">
        <f>IF($E578=0,0,IF(MIN(CL$38,$E578)&lt;MAX($P$34*($B578+$I$38-1),IF(AND($L$37=0,$P$34=0),"",$L$37-1)),0,YEARFRAC(MAX($P$34*($B578+$I$38-1),IF(AND($L$37=0,$P$34=0),"",$L$37-1)),MIN(CL$38,$E578),$P$20))-SUM($BF578:CK578))</f>
        <v>0</v>
      </c>
      <c r="CM578" s="446">
        <f>IF($E578=0,0,IF(MIN(CM$38,$E578)&lt;MAX($P$34*($B578+$I$38-1),IF(AND($L$37=0,$P$34=0),"",$L$37-1)),0,YEARFRAC(MAX($P$34*($B578+$I$38-1),IF(AND($L$37=0,$P$34=0),"",$L$37-1)),MIN(CM$38,$E578),$P$20))-SUM($BF578:CL578))</f>
        <v>0</v>
      </c>
      <c r="CN578" s="446">
        <f>IF($E578=0,0,IF(MIN(CN$38,$E578)&lt;MAX($P$34*($B578+$I$38-1),IF(AND($L$37=0,$P$34=0),"",$L$37-1)),0,YEARFRAC(MAX($P$34*($B578+$I$38-1),IF(AND($L$37=0,$P$34=0),"",$L$37-1)),MIN(CN$38,$E578),$P$20))-SUM($BF578:CM578))</f>
        <v>0</v>
      </c>
      <c r="CO578" s="446">
        <f>IF($E578=0,0,IF(MIN(CO$38,$E578)&lt;MAX($P$34*($B578+$I$38-1),IF(AND($L$37=0,$P$34=0),"",$L$37-1)),0,YEARFRAC(MAX($P$34*($B578+$I$38-1),IF(AND($L$37=0,$P$34=0),"",$L$37-1)),MIN(CO$38,$E578),$P$20))-SUM($BF578:CN578))</f>
        <v>0</v>
      </c>
      <c r="CP578" s="446">
        <f>IF($E578=0,0,IF(MIN(CP$38,$E578)&lt;MAX($P$34*($B578+$I$38-1),IF(AND($L$37=0,$P$34=0),"",$L$37-1)),0,YEARFRAC(MAX($P$34*($B578+$I$38-1),IF(AND($L$37=0,$P$34=0),"",$L$37-1)),MIN(CP$38,$E578),$P$20))-SUM($BF578:CO578))</f>
        <v>0</v>
      </c>
      <c r="CQ578" s="446">
        <f>IF($E578=0,0,IF(MIN(CQ$38,$E578)&lt;MAX($P$34*($B578+$I$38-1),IF(AND($L$37=0,$P$34=0),"",$L$37-1)),0,YEARFRAC(MAX($P$34*($B578+$I$38-1),IF(AND($L$37=0,$P$34=0),"",$L$37-1)),MIN(CQ$38,$E578),$P$20))-SUM($BF578:CP578))</f>
        <v>0</v>
      </c>
    </row>
    <row r="579" spans="1:95" s="446" customFormat="1" ht="11.25" hidden="1" customHeight="1" x14ac:dyDescent="0.2">
      <c r="A579" s="152"/>
      <c r="B579" s="153" t="str">
        <f t="shared" si="103"/>
        <v/>
      </c>
      <c r="C579" s="29" t="str">
        <f>IF(B579="","",IF($L$35="SELIC - TRIBUTOS",VLOOKUP(DATE(YEAR($D$19),MONTH($D$19)-1,1),ÍNDICES!$A:$DE,HLOOKUP($BL$25,ÍNDICES!$B$3:$T$4,2)+11)-VLOOKUP(B579,ÍNDICES!$A:$DE,HLOOKUP($BL$25,ÍNDICES!$B$3:$T$4,2)+11)+1%,IF(C$38=$W$26,$J$35,IF(ISERROR(IF(B579&gt;$D$19,1,VLOOKUP(DATE(YEAR(B579),MONTH(B579)+IF($C$35=$S$23,1,0),1),ÍNDICES!$A:$DE,$Z$35+1))),"",IF(B579&gt;$D$19,1,VLOOKUP(DATE(YEAR(B579),MONTH(B579)+IF($C$35=$S$23,1,0),1),ÍNDICES!$A:$DE,$Z$35+1))))))</f>
        <v/>
      </c>
      <c r="D579" s="154" t="str">
        <f>IF(ISERROR(IF(OR($D$38=$Y$27,$B579=""),"",VLOOKUP(B579,ÍNDICES!A:DE,AF$35+1))),"",IF(OR($D$38=$Y$27,$B579=""),"",VLOOKUP(B579,ÍNDICES!A:DE,AF$35+1)))</f>
        <v/>
      </c>
      <c r="E579" s="153"/>
      <c r="F579" s="29" t="str">
        <f>IF(E579="","",IF($L$35="SELIC - TRIBUTOS",VLOOKUP(DATE(YEAR($D$19),MONTH($D$19)-1,1),ÍNDICES!$A:$DE,HLOOKUP($BL$25,ÍNDICES!$B$3:$T$4,2)+11)-VLOOKUP(E579,ÍNDICES!$A:$DE,HLOOKUP($BL$25,ÍNDICES!$B$3:$T$4,2)+11)+1%,IF(F$38=$W$26,$J$35,IF(ISERROR(IF(E579&gt;$D$19,1,VLOOKUP(DATE(YEAR(E579),MONTH(E579)+IF($C$35=$S$23,1,0),1),ÍNDICES!$A:$DE,$Z$35+1))),"",IF(E579&gt;$D$19,1,VLOOKUP(DATE(YEAR(E579),MONTH(E579)+IF($C$35=$S$23,1,0),1),ÍNDICES!$A:$DE,$Z$35+1))))))</f>
        <v/>
      </c>
      <c r="G579" s="155"/>
      <c r="H579" s="156" t="str">
        <f t="shared" si="99"/>
        <v/>
      </c>
      <c r="I579" s="29" t="str">
        <f t="shared" si="93"/>
        <v/>
      </c>
      <c r="J579" s="5">
        <f t="shared" si="94"/>
        <v>0</v>
      </c>
      <c r="K579" s="20">
        <f t="shared" ca="1" si="95"/>
        <v>0</v>
      </c>
      <c r="L579" s="5">
        <f t="shared" ca="1" si="96"/>
        <v>0</v>
      </c>
      <c r="M579" s="64">
        <f t="shared" si="100"/>
        <v>0</v>
      </c>
      <c r="N579" s="61">
        <f t="shared" ca="1" si="101"/>
        <v>0</v>
      </c>
      <c r="O579" s="5">
        <f t="shared" ca="1" si="102"/>
        <v>0</v>
      </c>
      <c r="P579" s="446" t="e">
        <f t="shared" si="97"/>
        <v>#VALUE!</v>
      </c>
      <c r="Q579" s="446" t="e">
        <f>IF(OR($B579="",MIN(Q$38,$D$19)&lt;MAX($P$34*($B579+IF($R$17="Distrato",$I$38-1,0)),IF(AND($L$37=0,$P$34=0),"",$L$37-1),IF($R$17="Distrato",$E579,0))),0,YEARFRAC(MAX($P$34*($B579+IF($R$17="Distrato",$I$38-1,0)),IF(AND($L$37=0,$P$34=0),"",$L$37-1),IF($R$17="Distrato",$E579,0)),MIN(Q$38,$D$19),$P$20))-SUM($P579:P579)</f>
        <v>#VALUE!</v>
      </c>
      <c r="R579" s="446" t="e">
        <f>IF(OR($B579="",MIN(R$38,$D$19)&lt;MAX($P$34*($B579+IF($R$17="Distrato",$I$38-1,0)),IF(AND($L$37=0,$P$34=0),"",$L$37-1),IF($R$17="Distrato",$E579,0))),0,YEARFRAC(MAX($P$34*($B579+IF($R$17="Distrato",$I$38-1,0)),IF(AND($L$37=0,$P$34=0),"",$L$37-1),IF($R$17="Distrato",$E579,0)),MIN(R$38,$D$19),$P$20))-SUM($P579:Q579)</f>
        <v>#VALUE!</v>
      </c>
      <c r="S579" s="446" t="e">
        <f>IF(OR($B579="",MIN(S$38,$D$19)&lt;MAX($P$34*($B579+IF($R$17="Distrato",$I$38-1,0)),IF(AND($L$37=0,$P$34=0),"",$L$37-1),IF($R$17="Distrato",$E579,0))),0,YEARFRAC(MAX($P$34*($B579+IF($R$17="Distrato",$I$38-1,0)),IF(AND($L$37=0,$P$34=0),"",$L$37-1),IF($R$17="Distrato",$E579,0)),MIN(S$38,$D$19),$P$20))-SUM($P579:R579)</f>
        <v>#VALUE!</v>
      </c>
      <c r="T579" s="446" t="e">
        <f>IF(OR($B579="",MIN(T$38,$D$19)&lt;MAX($P$34*($B579+IF($R$17="Distrato",$I$38-1,0)),IF(AND($L$37=0,$P$34=0),"",$L$37-1),IF($R$17="Distrato",$E579,0))),0,YEARFRAC(MAX($P$34*($B579+IF($R$17="Distrato",$I$38-1,0)),IF(AND($L$37=0,$P$34=0),"",$L$37-1),IF($R$17="Distrato",$E579,0)),MIN(T$38,$D$19),$P$20))-SUM($P579:S579)</f>
        <v>#VALUE!</v>
      </c>
      <c r="U579" s="446" t="e">
        <f>IF(OR($B579="",MIN(U$38,$D$19)&lt;MAX($P$34*($B579+IF($R$17="Distrato",$I$38-1,0)),IF(AND($L$37=0,$P$34=0),"",$L$37-1),IF($R$17="Distrato",$E579,0))),0,YEARFRAC(MAX($P$34*($B579+IF($R$17="Distrato",$I$38-1,0)),IF(AND($L$37=0,$P$34=0),"",$L$37-1),IF($R$17="Distrato",$E579,0)),MIN(U$38,$D$19),$P$20))-SUM($P579:T579)</f>
        <v>#VALUE!</v>
      </c>
      <c r="V579" s="446" t="e">
        <f>IF(OR($B579="",MIN(V$38,$D$19)&lt;MAX($P$34*($B579+IF($R$17="Distrato",$I$38-1,0)),IF(AND($L$37=0,$P$34=0),"",$L$37-1),IF($R$17="Distrato",$E579,0))),0,YEARFRAC(MAX($P$34*($B579+IF($R$17="Distrato",$I$38-1,0)),IF(AND($L$37=0,$P$34=0),"",$L$37-1),IF($R$17="Distrato",$E579,0)),MIN(V$38,$D$19),$P$20))-SUM($P579:U579)</f>
        <v>#VALUE!</v>
      </c>
      <c r="W579" s="446" t="e">
        <f>IF(OR($B579="",MIN(W$38,$D$19)&lt;MAX($P$34*($B579+IF($R$17="Distrato",$I$38-1,0)),IF(AND($L$37=0,$P$34=0),"",$L$37-1),IF($R$17="Distrato",$E579,0))),0,YEARFRAC(MAX($P$34*($B579+IF($R$17="Distrato",$I$38-1,0)),IF(AND($L$37=0,$P$34=0),"",$L$37-1),IF($R$17="Distrato",$E579,0)),MIN(W$38,$D$19),$P$20))-SUM($P579:V579)</f>
        <v>#VALUE!</v>
      </c>
      <c r="X579" s="446" t="e">
        <f>IF(OR($B579="",MIN(X$38,$D$19)&lt;MAX($P$34*($B579+IF($R$17="Distrato",$I$38-1,0)),IF(AND($L$37=0,$P$34=0),"",$L$37-1),IF($R$17="Distrato",$E579,0))),0,YEARFRAC(MAX($P$34*($B579+IF($R$17="Distrato",$I$38-1,0)),IF(AND($L$37=0,$P$34=0),"",$L$37-1),IF($R$17="Distrato",$E579,0)),MIN(X$38,$D$19),$P$20))-SUM($P579:W579)</f>
        <v>#VALUE!</v>
      </c>
      <c r="Y579" s="446" t="e">
        <f>IF(OR($B579="",MIN(Y$38,$D$19)&lt;MAX($P$34*($B579+IF($R$17="Distrato",$I$38-1,0)),IF(AND($L$37=0,$P$34=0),"",$L$37-1),IF($R$17="Distrato",$E579,0))),0,YEARFRAC(MAX($P$34*($B579+IF($R$17="Distrato",$I$38-1,0)),IF(AND($L$37=0,$P$34=0),"",$L$37-1),IF($R$17="Distrato",$E579,0)),MIN(Y$38,$D$19),$P$20))-SUM($P579:X579)</f>
        <v>#VALUE!</v>
      </c>
      <c r="Z579" s="446" t="e">
        <f>IF(OR($B579="",MIN(Z$38,$D$19)&lt;MAX($P$34*($B579+IF($R$17="Distrato",$I$38-1,0)),IF(AND($L$37=0,$P$34=0),"",$L$37-1),IF($R$17="Distrato",$E579,0))),0,YEARFRAC(MAX($P$34*($B579+IF($R$17="Distrato",$I$38-1,0)),IF(AND($L$37=0,$P$34=0),"",$L$37-1),IF($R$17="Distrato",$E579,0)),MIN(Z$38,$D$19),$P$20))-SUM($P579:Y579)</f>
        <v>#VALUE!</v>
      </c>
      <c r="AA579" s="446" t="e">
        <f>IF(OR($B579="",MIN(AA$38,$D$19)&lt;MAX($P$34*($B579+IF($R$17="Distrato",$I$38-1,0)),IF(AND($L$37=0,$P$34=0),"",$L$37-1),IF($R$17="Distrato",$E579,0))),0,YEARFRAC(MAX($P$34*($B579+IF($R$17="Distrato",$I$38-1,0)),IF(AND($L$37=0,$P$34=0),"",$L$37-1),IF($R$17="Distrato",$E579,0)),MIN(AA$38,$D$19),$P$20))-SUM($P579:Z579)</f>
        <v>#VALUE!</v>
      </c>
      <c r="AB579" s="446" t="e">
        <f>IF(OR($B579="",MIN(AB$38,$D$19)&lt;MAX($P$34*($B579+IF($R$17="Distrato",$I$38-1,0)),IF(AND($L$37=0,$P$34=0),"",$L$37-1),IF($R$17="Distrato",$E579,0))),0,YEARFRAC(MAX($P$34*($B579+IF($R$17="Distrato",$I$38-1,0)),IF(AND($L$37=0,$P$34=0),"",$L$37-1),IF($R$17="Distrato",$E579,0)),MIN(AB$38,$D$19),$P$20))-SUM($P579:AA579)</f>
        <v>#VALUE!</v>
      </c>
      <c r="AC579" s="446" t="e">
        <f>IF(OR($B579="",MIN(AC$38,$D$19)&lt;MAX($P$34*($B579+IF($R$17="Distrato",$I$38-1,0)),IF(AND($L$37=0,$P$34=0),"",$L$37-1),IF($R$17="Distrato",$E579,0))),0,YEARFRAC(MAX($P$34*($B579+IF($R$17="Distrato",$I$38-1,0)),IF(AND($L$37=0,$P$34=0),"",$L$37-1),IF($R$17="Distrato",$E579,0)),MIN(AC$38,$D$19),$P$20))-SUM($P579:AB579)</f>
        <v>#VALUE!</v>
      </c>
      <c r="AD579" s="446" t="e">
        <f>IF(OR($B579="",MIN(AD$38,$D$19)&lt;MAX($P$34*($B579+IF($R$17="Distrato",$I$38-1,0)),IF(AND($L$37=0,$P$34=0),"",$L$37-1),IF($R$17="Distrato",$E579,0))),0,YEARFRAC(MAX($P$34*($B579+IF($R$17="Distrato",$I$38-1,0)),IF(AND($L$37=0,$P$34=0),"",$L$37-1),IF($R$17="Distrato",$E579,0)),MIN(AD$38,$D$19),$P$20))-SUM($P579:AC579)</f>
        <v>#VALUE!</v>
      </c>
      <c r="AE579" s="446" t="e">
        <f>IF(OR($B579="",MIN(AE$38,$D$19)&lt;MAX($P$34*($B579+IF($R$17="Distrato",$I$38-1,0)),IF(AND($L$37=0,$P$34=0),"",$L$37-1),IF($R$17="Distrato",$E579,0))),0,YEARFRAC(MAX($P$34*($B579+IF($R$17="Distrato",$I$38-1,0)),IF(AND($L$37=0,$P$34=0),"",$L$37-1),IF($R$17="Distrato",$E579,0)),MIN(AE$38,$D$19),$P$20))-SUM($P579:AD579)</f>
        <v>#VALUE!</v>
      </c>
      <c r="AF579" s="446" t="e">
        <f>IF(OR($B579="",MIN(AF$38,$D$19)&lt;MAX($P$34*($B579+IF($R$17="Distrato",$I$38-1,0)),IF(AND($L$37=0,$P$34=0),"",$L$37-1),IF($R$17="Distrato",$E579,0))),0,YEARFRAC(MAX($P$34*($B579+IF($R$17="Distrato",$I$38-1,0)),IF(AND($L$37=0,$P$34=0),"",$L$37-1),IF($R$17="Distrato",$E579,0)),MIN(AF$38,$D$19),$P$20))-SUM($P579:AE579)</f>
        <v>#VALUE!</v>
      </c>
      <c r="AG579" s="446" t="e">
        <f>IF(OR($B579="",MIN(AG$38,$D$19)&lt;MAX($P$34*($B579+IF($R$17="Distrato",$I$38-1,0)),IF(AND($L$37=0,$P$34=0),"",$L$37-1),IF($R$17="Distrato",$E579,0))),0,YEARFRAC(MAX($P$34*($B579+IF($R$17="Distrato",$I$38-1,0)),IF(AND($L$37=0,$P$34=0),"",$L$37-1),IF($R$17="Distrato",$E579,0)),MIN(AG$38,$D$19),$P$20))-SUM($P579:AF579)</f>
        <v>#VALUE!</v>
      </c>
      <c r="AH579" s="446" t="e">
        <f>IF(OR($B579="",MIN(AH$38,$D$19)&lt;MAX($P$34*($B579+IF($R$17="Distrato",$I$38-1,0)),IF(AND($L$37=0,$P$34=0),"",$L$37-1),IF($R$17="Distrato",$E579,0))),0,YEARFRAC(MAX($P$34*($B579+IF($R$17="Distrato",$I$38-1,0)),IF(AND($L$37=0,$P$34=0),"",$L$37-1),IF($R$17="Distrato",$E579,0)),MIN(AH$38,$D$19),$P$20))-SUM($P579:AG579)</f>
        <v>#VALUE!</v>
      </c>
      <c r="AI579" s="446" t="e">
        <f>IF(OR($B579="",MIN(AI$38,$D$19)&lt;MAX($P$34*($B579+IF($R$17="Distrato",$I$38-1,0)),IF(AND($L$37=0,$P$34=0),"",$L$37-1),IF($R$17="Distrato",$E579,0))),0,YEARFRAC(MAX($P$34*($B579+IF($R$17="Distrato",$I$38-1,0)),IF(AND($L$37=0,$P$34=0),"",$L$37-1),IF($R$17="Distrato",$E579,0)),MIN(AI$38,$D$19),$P$20))-SUM($P579:AH579)</f>
        <v>#VALUE!</v>
      </c>
      <c r="AJ579" s="446" t="e">
        <f>IF(OR($B579="",MIN(AJ$38,$D$19)&lt;MAX($P$34*($B579+IF($R$17="Distrato",$I$38-1,0)),IF(AND($L$37=0,$P$34=0),"",$L$37-1),IF($R$17="Distrato",$E579,0))),0,YEARFRAC(MAX($P$34*($B579+IF($R$17="Distrato",$I$38-1,0)),IF(AND($L$37=0,$P$34=0),"",$L$37-1),IF($R$17="Distrato",$E579,0)),MIN(AJ$38,$D$19),$P$20))-SUM($P579:AI579)</f>
        <v>#VALUE!</v>
      </c>
      <c r="AK579" s="446" t="e">
        <f>IF(OR($B579="",MIN(AK$38,$D$19)&lt;MAX($P$34*($B579+IF($R$17="Distrato",$I$38-1,0)),IF(AND($L$37=0,$P$34=0),"",$L$37-1),IF($R$17="Distrato",$E579,0))),0,YEARFRAC(MAX($P$34*($B579+IF($R$17="Distrato",$I$38-1,0)),IF(AND($L$37=0,$P$34=0),"",$L$37-1),IF($R$17="Distrato",$E579,0)),MIN(AK$38,$D$19),$P$20))-SUM($P579:AJ579)</f>
        <v>#VALUE!</v>
      </c>
      <c r="AL579" s="446" t="e">
        <f>IF(OR($B579="",MIN(AL$38,$D$19)&lt;MAX($P$34*($B579+IF($R$17="Distrato",$I$38-1,0)),IF(AND($L$37=0,$P$34=0),"",$L$37-1),IF($R$17="Distrato",$E579,0))),0,YEARFRAC(MAX($P$34*($B579+IF($R$17="Distrato",$I$38-1,0)),IF(AND($L$37=0,$P$34=0),"",$L$37-1),IF($R$17="Distrato",$E579,0)),MIN(AL$38,$D$19),$P$20))-SUM($P579:AK579)</f>
        <v>#VALUE!</v>
      </c>
      <c r="AM579" s="446" t="e">
        <f>IF(OR($B579="",MIN(AM$38,$D$19)&lt;MAX($P$34*($B579+IF($R$17="Distrato",$I$38-1,0)),IF(AND($L$37=0,$P$34=0),"",$L$37-1),IF($R$17="Distrato",$E579,0))),0,YEARFRAC(MAX($P$34*($B579+IF($R$17="Distrato",$I$38-1,0)),IF(AND($L$37=0,$P$34=0),"",$L$37-1),IF($R$17="Distrato",$E579,0)),MIN(AM$38,$D$19),$P$20))-SUM($P579:AL579)</f>
        <v>#VALUE!</v>
      </c>
      <c r="AN579" s="446" t="e">
        <f>IF(OR($B579="",MIN(AN$38,$D$19)&lt;MAX($P$34*($B579+IF($R$17="Distrato",$I$38-1,0)),IF(AND($L$37=0,$P$34=0),"",$L$37-1),IF($R$17="Distrato",$E579,0))),0,YEARFRAC(MAX($P$34*($B579+IF($R$17="Distrato",$I$38-1,0)),IF(AND($L$37=0,$P$34=0),"",$L$37-1),IF($R$17="Distrato",$E579,0)),MIN(AN$38,$D$19),$P$20))-SUM($P579:AM579)</f>
        <v>#VALUE!</v>
      </c>
      <c r="AO579" s="446" t="e">
        <f>IF(OR($B579="",MIN(AO$38,$D$19)&lt;MAX($P$34*($B579+IF($R$17="Distrato",$I$38-1,0)),IF(AND($L$37=0,$P$34=0),"",$L$37-1),IF($R$17="Distrato",$E579,0))),0,YEARFRAC(MAX($P$34*($B579+IF($R$17="Distrato",$I$38-1,0)),IF(AND($L$37=0,$P$34=0),"",$L$37-1),IF($R$17="Distrato",$E579,0)),MIN(AO$38,$D$19),$P$20))-SUM($P579:AN579)</f>
        <v>#VALUE!</v>
      </c>
      <c r="AP579" s="446" t="e">
        <f>IF(OR($B579="",MIN(AP$38,$D$19)&lt;MAX($P$34*($B579+IF($R$17="Distrato",$I$38-1,0)),IF(AND($L$37=0,$P$34=0),"",$L$37-1),IF($R$17="Distrato",$E579,0))),0,YEARFRAC(MAX($P$34*($B579+IF($R$17="Distrato",$I$38-1,0)),IF(AND($L$37=0,$P$34=0),"",$L$37-1),IF($R$17="Distrato",$E579,0)),MIN(AP$38,$D$19),$P$20))-SUM($P579:AO579)</f>
        <v>#VALUE!</v>
      </c>
      <c r="AQ579" s="446" t="e">
        <f>IF(OR($B579="",MIN(AQ$38,$D$19)&lt;MAX($P$34*($B579+IF($R$17="Distrato",$I$38-1,0)),IF(AND($L$37=0,$P$34=0),"",$L$37-1),IF($R$17="Distrato",$E579,0))),0,YEARFRAC(MAX($P$34*($B579+IF($R$17="Distrato",$I$38-1,0)),IF(AND($L$37=0,$P$34=0),"",$L$37-1),IF($R$17="Distrato",$E579,0)),MIN(AQ$38,$D$19),$P$20))-SUM($P579:AP579)</f>
        <v>#VALUE!</v>
      </c>
      <c r="AR579" s="446" t="e">
        <f>IF(OR($B579="",MIN(AR$38,$D$19)&lt;MAX($P$34*($B579+IF($R$17="Distrato",$I$38-1,0)),IF(AND($L$37=0,$P$34=0),"",$L$37-1),IF($R$17="Distrato",$E579,0))),0,YEARFRAC(MAX($P$34*($B579+IF($R$17="Distrato",$I$38-1,0)),IF(AND($L$37=0,$P$34=0),"",$L$37-1),IF($R$17="Distrato",$E579,0)),MIN(AR$38,$D$19),$P$20))-SUM($P579:AQ579)</f>
        <v>#VALUE!</v>
      </c>
      <c r="AS579" s="446" t="e">
        <f>IF(OR($B579="",MIN(AS$38,$D$19)&lt;MAX($P$34*($B579+IF($R$17="Distrato",$I$38-1,0)),IF(AND($L$37=0,$P$34=0),"",$L$37-1),IF($R$17="Distrato",$E579,0))),0,YEARFRAC(MAX($P$34*($B579+IF($R$17="Distrato",$I$38-1,0)),IF(AND($L$37=0,$P$34=0),"",$L$37-1),IF($R$17="Distrato",$E579,0)),MIN(AS$38,$D$19),$P$20))-SUM($P579:AR579)</f>
        <v>#VALUE!</v>
      </c>
      <c r="AT579" s="446" t="e">
        <f>IF(OR($B579="",MIN(AT$38,$D$19)&lt;MAX($P$34*($B579+IF($R$17="Distrato",$I$38-1,0)),IF(AND($L$37=0,$P$34=0),"",$L$37-1),IF($R$17="Distrato",$E579,0))),0,YEARFRAC(MAX($P$34*($B579+IF($R$17="Distrato",$I$38-1,0)),IF(AND($L$37=0,$P$34=0),"",$L$37-1),IF($R$17="Distrato",$E579,0)),MIN(AT$38,$D$19),$P$20))-SUM($P579:AS579)</f>
        <v>#VALUE!</v>
      </c>
      <c r="AU579" s="446" t="e">
        <f>IF(OR($B579="",MIN(AU$38,$D$19)&lt;MAX($P$34*($B579+IF($R$17="Distrato",$I$38-1,0)),IF(AND($L$37=0,$P$34=0),"",$L$37-1),IF($R$17="Distrato",$E579,0))),0,YEARFRAC(MAX($P$34*($B579+IF($R$17="Distrato",$I$38-1,0)),IF(AND($L$37=0,$P$34=0),"",$L$37-1),IF($R$17="Distrato",$E579,0)),MIN(AU$38,$D$19),$P$20))-SUM($P579:AT579)</f>
        <v>#VALUE!</v>
      </c>
      <c r="AV579" s="446" t="e">
        <f>IF(OR($B579="",MIN(AV$38,$D$19)&lt;MAX($P$34*($B579+IF($R$17="Distrato",$I$38-1,0)),IF(AND($L$37=0,$P$34=0),"",$L$37-1),IF($R$17="Distrato",$E579,0))),0,YEARFRAC(MAX($P$34*($B579+IF($R$17="Distrato",$I$38-1,0)),IF(AND($L$37=0,$P$34=0),"",$L$37-1),IF($R$17="Distrato",$E579,0)),MIN(AV$38,$D$19),$P$20))-SUM($P579:AU579)</f>
        <v>#VALUE!</v>
      </c>
      <c r="AW579" s="446" t="e">
        <f>IF(OR($B579="",MIN(AW$38,$D$19)&lt;MAX($P$34*($B579+IF($R$17="Distrato",$I$38-1,0)),IF(AND($L$37=0,$P$34=0),"",$L$37-1),IF($R$17="Distrato",$E579,0))),0,YEARFRAC(MAX($P$34*($B579+IF($R$17="Distrato",$I$38-1,0)),IF(AND($L$37=0,$P$34=0),"",$L$37-1),IF($R$17="Distrato",$E579,0)),MIN(AW$38,$D$19),$P$20))-SUM($P579:AV579)</f>
        <v>#VALUE!</v>
      </c>
      <c r="AX579" s="446" t="e">
        <f>IF(OR($B579="",MIN(AX$38,$D$19)&lt;MAX($P$34*($B579+IF($R$17="Distrato",$I$38-1,0)),IF(AND($L$37=0,$P$34=0),"",$L$37-1),IF($R$17="Distrato",$E579,0))),0,YEARFRAC(MAX($P$34*($B579+IF($R$17="Distrato",$I$38-1,0)),IF(AND($L$37=0,$P$34=0),"",$L$37-1),IF($R$17="Distrato",$E579,0)),MIN(AX$38,$D$19),$P$20))-SUM($P579:AW579)</f>
        <v>#VALUE!</v>
      </c>
      <c r="AY579" s="446" t="e">
        <f>IF(OR($B579="",MIN(AY$38,$D$19)&lt;MAX($P$34*($B579+IF($R$17="Distrato",$I$38-1,0)),IF(AND($L$37=0,$P$34=0),"",$L$37-1),IF($R$17="Distrato",$E579,0))),0,YEARFRAC(MAX($P$34*($B579+IF($R$17="Distrato",$I$38-1,0)),IF(AND($L$37=0,$P$34=0),"",$L$37-1),IF($R$17="Distrato",$E579,0)),MIN(AY$38,$D$19),$P$20))-SUM($P579:AX579)</f>
        <v>#VALUE!</v>
      </c>
      <c r="AZ579" s="446" t="e">
        <f>IF(OR($B579="",MIN(AZ$38,$D$19)&lt;MAX($P$34*($B579+IF($R$17="Distrato",$I$38-1,0)),IF(AND($L$37=0,$P$34=0),"",$L$37-1),IF($R$17="Distrato",$E579,0))),0,YEARFRAC(MAX($P$34*($B579+IF($R$17="Distrato",$I$38-1,0)),IF(AND($L$37=0,$P$34=0),"",$L$37-1),IF($R$17="Distrato",$E579,0)),MIN(AZ$38,$D$19),$P$20))-SUM($P579:AY579)</f>
        <v>#VALUE!</v>
      </c>
      <c r="BA579" s="446" t="e">
        <f>IF(OR($B579="",MIN(BA$38,$D$19)&lt;MAX($P$34*($B579+IF($R$17="Distrato",$I$38-1,0)),IF(AND($L$37=0,$P$34=0),"",$L$37-1),IF($R$17="Distrato",$E579,0))),0,YEARFRAC(MAX($P$34*($B579+IF($R$17="Distrato",$I$38-1,0)),IF(AND($L$37=0,$P$34=0),"",$L$37-1),IF($R$17="Distrato",$E579,0)),MIN(BA$38,$D$19),$P$20))-SUM($P579:AZ579)</f>
        <v>#VALUE!</v>
      </c>
      <c r="BB579" s="447"/>
      <c r="BF579" s="446">
        <f t="shared" si="98"/>
        <v>0</v>
      </c>
      <c r="BG579" s="446">
        <f>IF($E579=0,0,IF(MIN(BG$38,$E579)&lt;MAX($P$34*($B579+$I$38-1),IF(AND($L$37=0,$P$34=0),"",$L$37-1)),0,YEARFRAC(MAX($P$34*($B579+$I$38-1),IF(AND($L$37=0,$P$34=0),"",$L$37-1)),MIN(BG$38,$E579),$P$20))-SUM($BF579:BF579))</f>
        <v>0</v>
      </c>
      <c r="BH579" s="446">
        <f>IF($E579=0,0,IF(MIN(BH$38,$E579)&lt;MAX($P$34*($B579+$I$38-1),IF(AND($L$37=0,$P$34=0),"",$L$37-1)),0,YEARFRAC(MAX($P$34*($B579+$I$38-1),IF(AND($L$37=0,$P$34=0),"",$L$37-1)),MIN(BH$38,$E579),$P$20))-SUM($BF579:BG579))</f>
        <v>0</v>
      </c>
      <c r="BI579" s="446">
        <f>IF($E579=0,0,IF(MIN(BI$38,$E579)&lt;MAX($P$34*($B579+$I$38-1),IF(AND($L$37=0,$P$34=0),"",$L$37-1)),0,YEARFRAC(MAX($P$34*($B579+$I$38-1),IF(AND($L$37=0,$P$34=0),"",$L$37-1)),MIN(BI$38,$E579),$P$20))-SUM($BF579:BH579))</f>
        <v>0</v>
      </c>
      <c r="BJ579" s="446">
        <f>IF($E579=0,0,IF(MIN(BJ$38,$E579)&lt;MAX($P$34*($B579+$I$38-1),IF(AND($L$37=0,$P$34=0),"",$L$37-1)),0,YEARFRAC(MAX($P$34*($B579+$I$38-1),IF(AND($L$37=0,$P$34=0),"",$L$37-1)),MIN(BJ$38,$E579),$P$20))-SUM($BF579:BI579))</f>
        <v>0</v>
      </c>
      <c r="BK579" s="446">
        <f>IF($E579=0,0,IF(MIN(BK$38,$E579)&lt;MAX($P$34*($B579+$I$38-1),IF(AND($L$37=0,$P$34=0),"",$L$37-1)),0,YEARFRAC(MAX($P$34*($B579+$I$38-1),IF(AND($L$37=0,$P$34=0),"",$L$37-1)),MIN(BK$38,$E579),$P$20))-SUM($BF579:BJ579))</f>
        <v>0</v>
      </c>
      <c r="BL579" s="446">
        <f>IF($E579=0,0,IF(MIN(BL$38,$E579)&lt;MAX($P$34*($B579+$I$38-1),IF(AND($L$37=0,$P$34=0),"",$L$37-1)),0,YEARFRAC(MAX($P$34*($B579+$I$38-1),IF(AND($L$37=0,$P$34=0),"",$L$37-1)),MIN(BL$38,$E579),$P$20))-SUM($BF579:BK579))</f>
        <v>0</v>
      </c>
      <c r="BM579" s="446">
        <f>IF($E579=0,0,IF(MIN(BM$38,$E579)&lt;MAX($P$34*($B579+$I$38-1),IF(AND($L$37=0,$P$34=0),"",$L$37-1)),0,YEARFRAC(MAX($P$34*($B579+$I$38-1),IF(AND($L$37=0,$P$34=0),"",$L$37-1)),MIN(BM$38,$E579),$P$20))-SUM($BF579:BL579))</f>
        <v>0</v>
      </c>
      <c r="BN579" s="446">
        <f>IF($E579=0,0,IF(MIN(BN$38,$E579)&lt;MAX($P$34*($B579+$I$38-1),IF(AND($L$37=0,$P$34=0),"",$L$37-1)),0,YEARFRAC(MAX($P$34*($B579+$I$38-1),IF(AND($L$37=0,$P$34=0),"",$L$37-1)),MIN(BN$38,$E579),$P$20))-SUM($BF579:BM579))</f>
        <v>0</v>
      </c>
      <c r="BO579" s="446">
        <f>IF($E579=0,0,IF(MIN(BO$38,$E579)&lt;MAX($P$34*($B579+$I$38-1),IF(AND($L$37=0,$P$34=0),"",$L$37-1)),0,YEARFRAC(MAX($P$34*($B579+$I$38-1),IF(AND($L$37=0,$P$34=0),"",$L$37-1)),MIN(BO$38,$E579),$P$20))-SUM($BF579:BN579))</f>
        <v>0</v>
      </c>
      <c r="BP579" s="446">
        <f>IF($E579=0,0,IF(MIN(BP$38,$E579)&lt;MAX($P$34*($B579+$I$38-1),IF(AND($L$37=0,$P$34=0),"",$L$37-1)),0,YEARFRAC(MAX($P$34*($B579+$I$38-1),IF(AND($L$37=0,$P$34=0),"",$L$37-1)),MIN(BP$38,$E579),$P$20))-SUM($BF579:BO579))</f>
        <v>0</v>
      </c>
      <c r="BQ579" s="446">
        <f>IF($E579=0,0,IF(MIN(BQ$38,$E579)&lt;MAX($P$34*($B579+$I$38-1),IF(AND($L$37=0,$P$34=0),"",$L$37-1)),0,YEARFRAC(MAX($P$34*($B579+$I$38-1),IF(AND($L$37=0,$P$34=0),"",$L$37-1)),MIN(BQ$38,$E579),$P$20))-SUM($BF579:BP579))</f>
        <v>0</v>
      </c>
      <c r="BR579" s="446">
        <f>IF($E579=0,0,IF(MIN(BR$38,$E579)&lt;MAX($P$34*($B579+$I$38-1),IF(AND($L$37=0,$P$34=0),"",$L$37-1)),0,YEARFRAC(MAX($P$34*($B579+$I$38-1),IF(AND($L$37=0,$P$34=0),"",$L$37-1)),MIN(BR$38,$E579),$P$20))-SUM($BF579:BQ579))</f>
        <v>0</v>
      </c>
      <c r="BS579" s="446">
        <f>IF($E579=0,0,IF(MIN(BS$38,$E579)&lt;MAX($P$34*($B579+$I$38-1),IF(AND($L$37=0,$P$34=0),"",$L$37-1)),0,YEARFRAC(MAX($P$34*($B579+$I$38-1),IF(AND($L$37=0,$P$34=0),"",$L$37-1)),MIN(BS$38,$E579),$P$20))-SUM($BF579:BR579))</f>
        <v>0</v>
      </c>
      <c r="BT579" s="446">
        <f>IF($E579=0,0,IF(MIN(BT$38,$E579)&lt;MAX($P$34*($B579+$I$38-1),IF(AND($L$37=0,$P$34=0),"",$L$37-1)),0,YEARFRAC(MAX($P$34*($B579+$I$38-1),IF(AND($L$37=0,$P$34=0),"",$L$37-1)),MIN(BT$38,$E579),$P$20))-SUM($BF579:BS579))</f>
        <v>0</v>
      </c>
      <c r="BU579" s="446">
        <f>IF($E579=0,0,IF(MIN(BU$38,$E579)&lt;MAX($P$34*($B579+$I$38-1),IF(AND($L$37=0,$P$34=0),"",$L$37-1)),0,YEARFRAC(MAX($P$34*($B579+$I$38-1),IF(AND($L$37=0,$P$34=0),"",$L$37-1)),MIN(BU$38,$E579),$P$20))-SUM($BF579:BT579))</f>
        <v>0</v>
      </c>
      <c r="BV579" s="446">
        <f>IF($E579=0,0,IF(MIN(BV$38,$E579)&lt;MAX($P$34*($B579+$I$38-1),IF(AND($L$37=0,$P$34=0),"",$L$37-1)),0,YEARFRAC(MAX($P$34*($B579+$I$38-1),IF(AND($L$37=0,$P$34=0),"",$L$37-1)),MIN(BV$38,$E579),$P$20))-SUM($BF579:BU579))</f>
        <v>0</v>
      </c>
      <c r="BW579" s="446">
        <f>IF($E579=0,0,IF(MIN(BW$38,$E579)&lt;MAX($P$34*($B579+$I$38-1),IF(AND($L$37=0,$P$34=0),"",$L$37-1)),0,YEARFRAC(MAX($P$34*($B579+$I$38-1),IF(AND($L$37=0,$P$34=0),"",$L$37-1)),MIN(BW$38,$E579),$P$20))-SUM($BF579:BV579))</f>
        <v>0</v>
      </c>
      <c r="BX579" s="446">
        <f>IF($E579=0,0,IF(MIN(BX$38,$E579)&lt;MAX($P$34*($B579+$I$38-1),IF(AND($L$37=0,$P$34=0),"",$L$37-1)),0,YEARFRAC(MAX($P$34*($B579+$I$38-1),IF(AND($L$37=0,$P$34=0),"",$L$37-1)),MIN(BX$38,$E579),$P$20))-SUM($BF579:BW579))</f>
        <v>0</v>
      </c>
      <c r="BY579" s="446">
        <f>IF($E579=0,0,IF(MIN(BY$38,$E579)&lt;MAX($P$34*($B579+$I$38-1),IF(AND($L$37=0,$P$34=0),"",$L$37-1)),0,YEARFRAC(MAX($P$34*($B579+$I$38-1),IF(AND($L$37=0,$P$34=0),"",$L$37-1)),MIN(BY$38,$E579),$P$20))-SUM($BF579:BX579))</f>
        <v>0</v>
      </c>
      <c r="BZ579" s="446">
        <f>IF($E579=0,0,IF(MIN(BZ$38,$E579)&lt;MAX($P$34*($B579+$I$38-1),IF(AND($L$37=0,$P$34=0),"",$L$37-1)),0,YEARFRAC(MAX($P$34*($B579+$I$38-1),IF(AND($L$37=0,$P$34=0),"",$L$37-1)),MIN(BZ$38,$E579),$P$20))-SUM($BF579:BY579))</f>
        <v>0</v>
      </c>
      <c r="CA579" s="446">
        <f>IF($E579=0,0,IF(MIN(CA$38,$E579)&lt;MAX($P$34*($B579+$I$38-1),IF(AND($L$37=0,$P$34=0),"",$L$37-1)),0,YEARFRAC(MAX($P$34*($B579+$I$38-1),IF(AND($L$37=0,$P$34=0),"",$L$37-1)),MIN(CA$38,$E579),$P$20))-SUM($BF579:BZ579))</f>
        <v>0</v>
      </c>
      <c r="CB579" s="446">
        <f>IF($E579=0,0,IF(MIN(CB$38,$E579)&lt;MAX($P$34*($B579+$I$38-1),IF(AND($L$37=0,$P$34=0),"",$L$37-1)),0,YEARFRAC(MAX($P$34*($B579+$I$38-1),IF(AND($L$37=0,$P$34=0),"",$L$37-1)),MIN(CB$38,$E579),$P$20))-SUM($BF579:CA579))</f>
        <v>0</v>
      </c>
      <c r="CC579" s="446">
        <f>IF($E579=0,0,IF(MIN(CC$38,$E579)&lt;MAX($P$34*($B579+$I$38-1),IF(AND($L$37=0,$P$34=0),"",$L$37-1)),0,YEARFRAC(MAX($P$34*($B579+$I$38-1),IF(AND($L$37=0,$P$34=0),"",$L$37-1)),MIN(CC$38,$E579),$P$20))-SUM($BF579:CB579))</f>
        <v>0</v>
      </c>
      <c r="CD579" s="446">
        <f>IF($E579=0,0,IF(MIN(CD$38,$E579)&lt;MAX($P$34*($B579+$I$38-1),IF(AND($L$37=0,$P$34=0),"",$L$37-1)),0,YEARFRAC(MAX($P$34*($B579+$I$38-1),IF(AND($L$37=0,$P$34=0),"",$L$37-1)),MIN(CD$38,$E579),$P$20))-SUM($BF579:CC579))</f>
        <v>0</v>
      </c>
      <c r="CE579" s="446">
        <f>IF($E579=0,0,IF(MIN(CE$38,$E579)&lt;MAX($P$34*($B579+$I$38-1),IF(AND($L$37=0,$P$34=0),"",$L$37-1)),0,YEARFRAC(MAX($P$34*($B579+$I$38-1),IF(AND($L$37=0,$P$34=0),"",$L$37-1)),MIN(CE$38,$E579),$P$20))-SUM($BF579:CD579))</f>
        <v>0</v>
      </c>
      <c r="CF579" s="446">
        <f>IF($E579=0,0,IF(MIN(CF$38,$E579)&lt;MAX($P$34*($B579+$I$38-1),IF(AND($L$37=0,$P$34=0),"",$L$37-1)),0,YEARFRAC(MAX($P$34*($B579+$I$38-1),IF(AND($L$37=0,$P$34=0),"",$L$37-1)),MIN(CF$38,$E579),$P$20))-SUM($BF579:CE579))</f>
        <v>0</v>
      </c>
      <c r="CG579" s="446">
        <f>IF($E579=0,0,IF(MIN(CG$38,$E579)&lt;MAX($P$34*($B579+$I$38-1),IF(AND($L$37=0,$P$34=0),"",$L$37-1)),0,YEARFRAC(MAX($P$34*($B579+$I$38-1),IF(AND($L$37=0,$P$34=0),"",$L$37-1)),MIN(CG$38,$E579),$P$20))-SUM($BF579:CF579))</f>
        <v>0</v>
      </c>
      <c r="CH579" s="446">
        <f>IF($E579=0,0,IF(MIN(CH$38,$E579)&lt;MAX($P$34*($B579+$I$38-1),IF(AND($L$37=0,$P$34=0),"",$L$37-1)),0,YEARFRAC(MAX($P$34*($B579+$I$38-1),IF(AND($L$37=0,$P$34=0),"",$L$37-1)),MIN(CH$38,$E579),$P$20))-SUM($BF579:CG579))</f>
        <v>0</v>
      </c>
      <c r="CI579" s="446">
        <f>IF($E579=0,0,IF(MIN(CI$38,$E579)&lt;MAX($P$34*($B579+$I$38-1),IF(AND($L$37=0,$P$34=0),"",$L$37-1)),0,YEARFRAC(MAX($P$34*($B579+$I$38-1),IF(AND($L$37=0,$P$34=0),"",$L$37-1)),MIN(CI$38,$E579),$P$20))-SUM($BF579:CH579))</f>
        <v>0</v>
      </c>
      <c r="CJ579" s="446">
        <f>IF($E579=0,0,IF(MIN(CJ$38,$E579)&lt;MAX($P$34*($B579+$I$38-1),IF(AND($L$37=0,$P$34=0),"",$L$37-1)),0,YEARFRAC(MAX($P$34*($B579+$I$38-1),IF(AND($L$37=0,$P$34=0),"",$L$37-1)),MIN(CJ$38,$E579),$P$20))-SUM($BF579:CI579))</f>
        <v>0</v>
      </c>
      <c r="CK579" s="446">
        <f>IF($E579=0,0,IF(MIN(CK$38,$E579)&lt;MAX($P$34*($B579+$I$38-1),IF(AND($L$37=0,$P$34=0),"",$L$37-1)),0,YEARFRAC(MAX($P$34*($B579+$I$38-1),IF(AND($L$37=0,$P$34=0),"",$L$37-1)),MIN(CK$38,$E579),$P$20))-SUM($BF579:CJ579))</f>
        <v>0</v>
      </c>
      <c r="CL579" s="446">
        <f>IF($E579=0,0,IF(MIN(CL$38,$E579)&lt;MAX($P$34*($B579+$I$38-1),IF(AND($L$37=0,$P$34=0),"",$L$37-1)),0,YEARFRAC(MAX($P$34*($B579+$I$38-1),IF(AND($L$37=0,$P$34=0),"",$L$37-1)),MIN(CL$38,$E579),$P$20))-SUM($BF579:CK579))</f>
        <v>0</v>
      </c>
      <c r="CM579" s="446">
        <f>IF($E579=0,0,IF(MIN(CM$38,$E579)&lt;MAX($P$34*($B579+$I$38-1),IF(AND($L$37=0,$P$34=0),"",$L$37-1)),0,YEARFRAC(MAX($P$34*($B579+$I$38-1),IF(AND($L$37=0,$P$34=0),"",$L$37-1)),MIN(CM$38,$E579),$P$20))-SUM($BF579:CL579))</f>
        <v>0</v>
      </c>
      <c r="CN579" s="446">
        <f>IF($E579=0,0,IF(MIN(CN$38,$E579)&lt;MAX($P$34*($B579+$I$38-1),IF(AND($L$37=0,$P$34=0),"",$L$37-1)),0,YEARFRAC(MAX($P$34*($B579+$I$38-1),IF(AND($L$37=0,$P$34=0),"",$L$37-1)),MIN(CN$38,$E579),$P$20))-SUM($BF579:CM579))</f>
        <v>0</v>
      </c>
      <c r="CO579" s="446">
        <f>IF($E579=0,0,IF(MIN(CO$38,$E579)&lt;MAX($P$34*($B579+$I$38-1),IF(AND($L$37=0,$P$34=0),"",$L$37-1)),0,YEARFRAC(MAX($P$34*($B579+$I$38-1),IF(AND($L$37=0,$P$34=0),"",$L$37-1)),MIN(CO$38,$E579),$P$20))-SUM($BF579:CN579))</f>
        <v>0</v>
      </c>
      <c r="CP579" s="446">
        <f>IF($E579=0,0,IF(MIN(CP$38,$E579)&lt;MAX($P$34*($B579+$I$38-1),IF(AND($L$37=0,$P$34=0),"",$L$37-1)),0,YEARFRAC(MAX($P$34*($B579+$I$38-1),IF(AND($L$37=0,$P$34=0),"",$L$37-1)),MIN(CP$38,$E579),$P$20))-SUM($BF579:CO579))</f>
        <v>0</v>
      </c>
      <c r="CQ579" s="446">
        <f>IF($E579=0,0,IF(MIN(CQ$38,$E579)&lt;MAX($P$34*($B579+$I$38-1),IF(AND($L$37=0,$P$34=0),"",$L$37-1)),0,YEARFRAC(MAX($P$34*($B579+$I$38-1),IF(AND($L$37=0,$P$34=0),"",$L$37-1)),MIN(CQ$38,$E579),$P$20))-SUM($BF579:CP579))</f>
        <v>0</v>
      </c>
    </row>
    <row r="580" spans="1:95" s="446" customFormat="1" ht="11.25" hidden="1" customHeight="1" x14ac:dyDescent="0.2">
      <c r="A580" s="152"/>
      <c r="B580" s="153" t="str">
        <f t="shared" si="103"/>
        <v/>
      </c>
      <c r="C580" s="29" t="str">
        <f>IF(B580="","",IF($L$35="SELIC - TRIBUTOS",VLOOKUP(DATE(YEAR($D$19),MONTH($D$19)-1,1),ÍNDICES!$A:$DE,HLOOKUP($BL$25,ÍNDICES!$B$3:$T$4,2)+11)-VLOOKUP(B580,ÍNDICES!$A:$DE,HLOOKUP($BL$25,ÍNDICES!$B$3:$T$4,2)+11)+1%,IF(C$38=$W$26,$J$35,IF(ISERROR(IF(B580&gt;$D$19,1,VLOOKUP(DATE(YEAR(B580),MONTH(B580)+IF($C$35=$S$23,1,0),1),ÍNDICES!$A:$DE,$Z$35+1))),"",IF(B580&gt;$D$19,1,VLOOKUP(DATE(YEAR(B580),MONTH(B580)+IF($C$35=$S$23,1,0),1),ÍNDICES!$A:$DE,$Z$35+1))))))</f>
        <v/>
      </c>
      <c r="D580" s="154" t="str">
        <f>IF(ISERROR(IF(OR($D$38=$Y$27,$B580=""),"",VLOOKUP(B580,ÍNDICES!A:DE,AF$35+1))),"",IF(OR($D$38=$Y$27,$B580=""),"",VLOOKUP(B580,ÍNDICES!A:DE,AF$35+1)))</f>
        <v/>
      </c>
      <c r="E580" s="153"/>
      <c r="F580" s="29" t="str">
        <f>IF(E580="","",IF($L$35="SELIC - TRIBUTOS",VLOOKUP(DATE(YEAR($D$19),MONTH($D$19)-1,1),ÍNDICES!$A:$DE,HLOOKUP($BL$25,ÍNDICES!$B$3:$T$4,2)+11)-VLOOKUP(E580,ÍNDICES!$A:$DE,HLOOKUP($BL$25,ÍNDICES!$B$3:$T$4,2)+11)+1%,IF(F$38=$W$26,$J$35,IF(ISERROR(IF(E580&gt;$D$19,1,VLOOKUP(DATE(YEAR(E580),MONTH(E580)+IF($C$35=$S$23,1,0),1),ÍNDICES!$A:$DE,$Z$35+1))),"",IF(E580&gt;$D$19,1,VLOOKUP(DATE(YEAR(E580),MONTH(E580)+IF($C$35=$S$23,1,0),1),ÍNDICES!$A:$DE,$Z$35+1))))))</f>
        <v/>
      </c>
      <c r="G580" s="155"/>
      <c r="H580" s="156" t="str">
        <f t="shared" si="99"/>
        <v/>
      </c>
      <c r="I580" s="29" t="str">
        <f t="shared" si="93"/>
        <v/>
      </c>
      <c r="J580" s="5">
        <f t="shared" si="94"/>
        <v>0</v>
      </c>
      <c r="K580" s="20">
        <f t="shared" ca="1" si="95"/>
        <v>0</v>
      </c>
      <c r="L580" s="5">
        <f t="shared" ca="1" si="96"/>
        <v>0</v>
      </c>
      <c r="M580" s="64">
        <f t="shared" si="100"/>
        <v>0</v>
      </c>
      <c r="N580" s="61">
        <f t="shared" ca="1" si="101"/>
        <v>0</v>
      </c>
      <c r="O580" s="5">
        <f t="shared" ca="1" si="102"/>
        <v>0</v>
      </c>
      <c r="P580" s="446" t="e">
        <f t="shared" si="97"/>
        <v>#VALUE!</v>
      </c>
      <c r="Q580" s="446" t="e">
        <f>IF(OR($B580="",MIN(Q$38,$D$19)&lt;MAX($P$34*($B580+IF($R$17="Distrato",$I$38-1,0)),IF(AND($L$37=0,$P$34=0),"",$L$37-1),IF($R$17="Distrato",$E580,0))),0,YEARFRAC(MAX($P$34*($B580+IF($R$17="Distrato",$I$38-1,0)),IF(AND($L$37=0,$P$34=0),"",$L$37-1),IF($R$17="Distrato",$E580,0)),MIN(Q$38,$D$19),$P$20))-SUM($P580:P580)</f>
        <v>#VALUE!</v>
      </c>
      <c r="R580" s="446" t="e">
        <f>IF(OR($B580="",MIN(R$38,$D$19)&lt;MAX($P$34*($B580+IF($R$17="Distrato",$I$38-1,0)),IF(AND($L$37=0,$P$34=0),"",$L$37-1),IF($R$17="Distrato",$E580,0))),0,YEARFRAC(MAX($P$34*($B580+IF($R$17="Distrato",$I$38-1,0)),IF(AND($L$37=0,$P$34=0),"",$L$37-1),IF($R$17="Distrato",$E580,0)),MIN(R$38,$D$19),$P$20))-SUM($P580:Q580)</f>
        <v>#VALUE!</v>
      </c>
      <c r="S580" s="446" t="e">
        <f>IF(OR($B580="",MIN(S$38,$D$19)&lt;MAX($P$34*($B580+IF($R$17="Distrato",$I$38-1,0)),IF(AND($L$37=0,$P$34=0),"",$L$37-1),IF($R$17="Distrato",$E580,0))),0,YEARFRAC(MAX($P$34*($B580+IF($R$17="Distrato",$I$38-1,0)),IF(AND($L$37=0,$P$34=0),"",$L$37-1),IF($R$17="Distrato",$E580,0)),MIN(S$38,$D$19),$P$20))-SUM($P580:R580)</f>
        <v>#VALUE!</v>
      </c>
      <c r="T580" s="446" t="e">
        <f>IF(OR($B580="",MIN(T$38,$D$19)&lt;MAX($P$34*($B580+IF($R$17="Distrato",$I$38-1,0)),IF(AND($L$37=0,$P$34=0),"",$L$37-1),IF($R$17="Distrato",$E580,0))),0,YEARFRAC(MAX($P$34*($B580+IF($R$17="Distrato",$I$38-1,0)),IF(AND($L$37=0,$P$34=0),"",$L$37-1),IF($R$17="Distrato",$E580,0)),MIN(T$38,$D$19),$P$20))-SUM($P580:S580)</f>
        <v>#VALUE!</v>
      </c>
      <c r="U580" s="446" t="e">
        <f>IF(OR($B580="",MIN(U$38,$D$19)&lt;MAX($P$34*($B580+IF($R$17="Distrato",$I$38-1,0)),IF(AND($L$37=0,$P$34=0),"",$L$37-1),IF($R$17="Distrato",$E580,0))),0,YEARFRAC(MAX($P$34*($B580+IF($R$17="Distrato",$I$38-1,0)),IF(AND($L$37=0,$P$34=0),"",$L$37-1),IF($R$17="Distrato",$E580,0)),MIN(U$38,$D$19),$P$20))-SUM($P580:T580)</f>
        <v>#VALUE!</v>
      </c>
      <c r="V580" s="446" t="e">
        <f>IF(OR($B580="",MIN(V$38,$D$19)&lt;MAX($P$34*($B580+IF($R$17="Distrato",$I$38-1,0)),IF(AND($L$37=0,$P$34=0),"",$L$37-1),IF($R$17="Distrato",$E580,0))),0,YEARFRAC(MAX($P$34*($B580+IF($R$17="Distrato",$I$38-1,0)),IF(AND($L$37=0,$P$34=0),"",$L$37-1),IF($R$17="Distrato",$E580,0)),MIN(V$38,$D$19),$P$20))-SUM($P580:U580)</f>
        <v>#VALUE!</v>
      </c>
      <c r="W580" s="446" t="e">
        <f>IF(OR($B580="",MIN(W$38,$D$19)&lt;MAX($P$34*($B580+IF($R$17="Distrato",$I$38-1,0)),IF(AND($L$37=0,$P$34=0),"",$L$37-1),IF($R$17="Distrato",$E580,0))),0,YEARFRAC(MAX($P$34*($B580+IF($R$17="Distrato",$I$38-1,0)),IF(AND($L$37=0,$P$34=0),"",$L$37-1),IF($R$17="Distrato",$E580,0)),MIN(W$38,$D$19),$P$20))-SUM($P580:V580)</f>
        <v>#VALUE!</v>
      </c>
      <c r="X580" s="446" t="e">
        <f>IF(OR($B580="",MIN(X$38,$D$19)&lt;MAX($P$34*($B580+IF($R$17="Distrato",$I$38-1,0)),IF(AND($L$37=0,$P$34=0),"",$L$37-1),IF($R$17="Distrato",$E580,0))),0,YEARFRAC(MAX($P$34*($B580+IF($R$17="Distrato",$I$38-1,0)),IF(AND($L$37=0,$P$34=0),"",$L$37-1),IF($R$17="Distrato",$E580,0)),MIN(X$38,$D$19),$P$20))-SUM($P580:W580)</f>
        <v>#VALUE!</v>
      </c>
      <c r="Y580" s="446" t="e">
        <f>IF(OR($B580="",MIN(Y$38,$D$19)&lt;MAX($P$34*($B580+IF($R$17="Distrato",$I$38-1,0)),IF(AND($L$37=0,$P$34=0),"",$L$37-1),IF($R$17="Distrato",$E580,0))),0,YEARFRAC(MAX($P$34*($B580+IF($R$17="Distrato",$I$38-1,0)),IF(AND($L$37=0,$P$34=0),"",$L$37-1),IF($R$17="Distrato",$E580,0)),MIN(Y$38,$D$19),$P$20))-SUM($P580:X580)</f>
        <v>#VALUE!</v>
      </c>
      <c r="Z580" s="446" t="e">
        <f>IF(OR($B580="",MIN(Z$38,$D$19)&lt;MAX($P$34*($B580+IF($R$17="Distrato",$I$38-1,0)),IF(AND($L$37=0,$P$34=0),"",$L$37-1),IF($R$17="Distrato",$E580,0))),0,YEARFRAC(MAX($P$34*($B580+IF($R$17="Distrato",$I$38-1,0)),IF(AND($L$37=0,$P$34=0),"",$L$37-1),IF($R$17="Distrato",$E580,0)),MIN(Z$38,$D$19),$P$20))-SUM($P580:Y580)</f>
        <v>#VALUE!</v>
      </c>
      <c r="AA580" s="446" t="e">
        <f>IF(OR($B580="",MIN(AA$38,$D$19)&lt;MAX($P$34*($B580+IF($R$17="Distrato",$I$38-1,0)),IF(AND($L$37=0,$P$34=0),"",$L$37-1),IF($R$17="Distrato",$E580,0))),0,YEARFRAC(MAX($P$34*($B580+IF($R$17="Distrato",$I$38-1,0)),IF(AND($L$37=0,$P$34=0),"",$L$37-1),IF($R$17="Distrato",$E580,0)),MIN(AA$38,$D$19),$P$20))-SUM($P580:Z580)</f>
        <v>#VALUE!</v>
      </c>
      <c r="AB580" s="446" t="e">
        <f>IF(OR($B580="",MIN(AB$38,$D$19)&lt;MAX($P$34*($B580+IF($R$17="Distrato",$I$38-1,0)),IF(AND($L$37=0,$P$34=0),"",$L$37-1),IF($R$17="Distrato",$E580,0))),0,YEARFRAC(MAX($P$34*($B580+IF($R$17="Distrato",$I$38-1,0)),IF(AND($L$37=0,$P$34=0),"",$L$37-1),IF($R$17="Distrato",$E580,0)),MIN(AB$38,$D$19),$P$20))-SUM($P580:AA580)</f>
        <v>#VALUE!</v>
      </c>
      <c r="AC580" s="446" t="e">
        <f>IF(OR($B580="",MIN(AC$38,$D$19)&lt;MAX($P$34*($B580+IF($R$17="Distrato",$I$38-1,0)),IF(AND($L$37=0,$P$34=0),"",$L$37-1),IF($R$17="Distrato",$E580,0))),0,YEARFRAC(MAX($P$34*($B580+IF($R$17="Distrato",$I$38-1,0)),IF(AND($L$37=0,$P$34=0),"",$L$37-1),IF($R$17="Distrato",$E580,0)),MIN(AC$38,$D$19),$P$20))-SUM($P580:AB580)</f>
        <v>#VALUE!</v>
      </c>
      <c r="AD580" s="446" t="e">
        <f>IF(OR($B580="",MIN(AD$38,$D$19)&lt;MAX($P$34*($B580+IF($R$17="Distrato",$I$38-1,0)),IF(AND($L$37=0,$P$34=0),"",$L$37-1),IF($R$17="Distrato",$E580,0))),0,YEARFRAC(MAX($P$34*($B580+IF($R$17="Distrato",$I$38-1,0)),IF(AND($L$37=0,$P$34=0),"",$L$37-1),IF($R$17="Distrato",$E580,0)),MIN(AD$38,$D$19),$P$20))-SUM($P580:AC580)</f>
        <v>#VALUE!</v>
      </c>
      <c r="AE580" s="446" t="e">
        <f>IF(OR($B580="",MIN(AE$38,$D$19)&lt;MAX($P$34*($B580+IF($R$17="Distrato",$I$38-1,0)),IF(AND($L$37=0,$P$34=0),"",$L$37-1),IF($R$17="Distrato",$E580,0))),0,YEARFRAC(MAX($P$34*($B580+IF($R$17="Distrato",$I$38-1,0)),IF(AND($L$37=0,$P$34=0),"",$L$37-1),IF($R$17="Distrato",$E580,0)),MIN(AE$38,$D$19),$P$20))-SUM($P580:AD580)</f>
        <v>#VALUE!</v>
      </c>
      <c r="AF580" s="446" t="e">
        <f>IF(OR($B580="",MIN(AF$38,$D$19)&lt;MAX($P$34*($B580+IF($R$17="Distrato",$I$38-1,0)),IF(AND($L$37=0,$P$34=0),"",$L$37-1),IF($R$17="Distrato",$E580,0))),0,YEARFRAC(MAX($P$34*($B580+IF($R$17="Distrato",$I$38-1,0)),IF(AND($L$37=0,$P$34=0),"",$L$37-1),IF($R$17="Distrato",$E580,0)),MIN(AF$38,$D$19),$P$20))-SUM($P580:AE580)</f>
        <v>#VALUE!</v>
      </c>
      <c r="AG580" s="446" t="e">
        <f>IF(OR($B580="",MIN(AG$38,$D$19)&lt;MAX($P$34*($B580+IF($R$17="Distrato",$I$38-1,0)),IF(AND($L$37=0,$P$34=0),"",$L$37-1),IF($R$17="Distrato",$E580,0))),0,YEARFRAC(MAX($P$34*($B580+IF($R$17="Distrato",$I$38-1,0)),IF(AND($L$37=0,$P$34=0),"",$L$37-1),IF($R$17="Distrato",$E580,0)),MIN(AG$38,$D$19),$P$20))-SUM($P580:AF580)</f>
        <v>#VALUE!</v>
      </c>
      <c r="AH580" s="446" t="e">
        <f>IF(OR($B580="",MIN(AH$38,$D$19)&lt;MAX($P$34*($B580+IF($R$17="Distrato",$I$38-1,0)),IF(AND($L$37=0,$P$34=0),"",$L$37-1),IF($R$17="Distrato",$E580,0))),0,YEARFRAC(MAX($P$34*($B580+IF($R$17="Distrato",$I$38-1,0)),IF(AND($L$37=0,$P$34=0),"",$L$37-1),IF($R$17="Distrato",$E580,0)),MIN(AH$38,$D$19),$P$20))-SUM($P580:AG580)</f>
        <v>#VALUE!</v>
      </c>
      <c r="AI580" s="446" t="e">
        <f>IF(OR($B580="",MIN(AI$38,$D$19)&lt;MAX($P$34*($B580+IF($R$17="Distrato",$I$38-1,0)),IF(AND($L$37=0,$P$34=0),"",$L$37-1),IF($R$17="Distrato",$E580,0))),0,YEARFRAC(MAX($P$34*($B580+IF($R$17="Distrato",$I$38-1,0)),IF(AND($L$37=0,$P$34=0),"",$L$37-1),IF($R$17="Distrato",$E580,0)),MIN(AI$38,$D$19),$P$20))-SUM($P580:AH580)</f>
        <v>#VALUE!</v>
      </c>
      <c r="AJ580" s="446" t="e">
        <f>IF(OR($B580="",MIN(AJ$38,$D$19)&lt;MAX($P$34*($B580+IF($R$17="Distrato",$I$38-1,0)),IF(AND($L$37=0,$P$34=0),"",$L$37-1),IF($R$17="Distrato",$E580,0))),0,YEARFRAC(MAX($P$34*($B580+IF($R$17="Distrato",$I$38-1,0)),IF(AND($L$37=0,$P$34=0),"",$L$37-1),IF($R$17="Distrato",$E580,0)),MIN(AJ$38,$D$19),$P$20))-SUM($P580:AI580)</f>
        <v>#VALUE!</v>
      </c>
      <c r="AK580" s="446" t="e">
        <f>IF(OR($B580="",MIN(AK$38,$D$19)&lt;MAX($P$34*($B580+IF($R$17="Distrato",$I$38-1,0)),IF(AND($L$37=0,$P$34=0),"",$L$37-1),IF($R$17="Distrato",$E580,0))),0,YEARFRAC(MAX($P$34*($B580+IF($R$17="Distrato",$I$38-1,0)),IF(AND($L$37=0,$P$34=0),"",$L$37-1),IF($R$17="Distrato",$E580,0)),MIN(AK$38,$D$19),$P$20))-SUM($P580:AJ580)</f>
        <v>#VALUE!</v>
      </c>
      <c r="AL580" s="446" t="e">
        <f>IF(OR($B580="",MIN(AL$38,$D$19)&lt;MAX($P$34*($B580+IF($R$17="Distrato",$I$38-1,0)),IF(AND($L$37=0,$P$34=0),"",$L$37-1),IF($R$17="Distrato",$E580,0))),0,YEARFRAC(MAX($P$34*($B580+IF($R$17="Distrato",$I$38-1,0)),IF(AND($L$37=0,$P$34=0),"",$L$37-1),IF($R$17="Distrato",$E580,0)),MIN(AL$38,$D$19),$P$20))-SUM($P580:AK580)</f>
        <v>#VALUE!</v>
      </c>
      <c r="AM580" s="446" t="e">
        <f>IF(OR($B580="",MIN(AM$38,$D$19)&lt;MAX($P$34*($B580+IF($R$17="Distrato",$I$38-1,0)),IF(AND($L$37=0,$P$34=0),"",$L$37-1),IF($R$17="Distrato",$E580,0))),0,YEARFRAC(MAX($P$34*($B580+IF($R$17="Distrato",$I$38-1,0)),IF(AND($L$37=0,$P$34=0),"",$L$37-1),IF($R$17="Distrato",$E580,0)),MIN(AM$38,$D$19),$P$20))-SUM($P580:AL580)</f>
        <v>#VALUE!</v>
      </c>
      <c r="AN580" s="446" t="e">
        <f>IF(OR($B580="",MIN(AN$38,$D$19)&lt;MAX($P$34*($B580+IF($R$17="Distrato",$I$38-1,0)),IF(AND($L$37=0,$P$34=0),"",$L$37-1),IF($R$17="Distrato",$E580,0))),0,YEARFRAC(MAX($P$34*($B580+IF($R$17="Distrato",$I$38-1,0)),IF(AND($L$37=0,$P$34=0),"",$L$37-1),IF($R$17="Distrato",$E580,0)),MIN(AN$38,$D$19),$P$20))-SUM($P580:AM580)</f>
        <v>#VALUE!</v>
      </c>
      <c r="AO580" s="446" t="e">
        <f>IF(OR($B580="",MIN(AO$38,$D$19)&lt;MAX($P$34*($B580+IF($R$17="Distrato",$I$38-1,0)),IF(AND($L$37=0,$P$34=0),"",$L$37-1),IF($R$17="Distrato",$E580,0))),0,YEARFRAC(MAX($P$34*($B580+IF($R$17="Distrato",$I$38-1,0)),IF(AND($L$37=0,$P$34=0),"",$L$37-1),IF($R$17="Distrato",$E580,0)),MIN(AO$38,$D$19),$P$20))-SUM($P580:AN580)</f>
        <v>#VALUE!</v>
      </c>
      <c r="AP580" s="446" t="e">
        <f>IF(OR($B580="",MIN(AP$38,$D$19)&lt;MAX($P$34*($B580+IF($R$17="Distrato",$I$38-1,0)),IF(AND($L$37=0,$P$34=0),"",$L$37-1),IF($R$17="Distrato",$E580,0))),0,YEARFRAC(MAX($P$34*($B580+IF($R$17="Distrato",$I$38-1,0)),IF(AND($L$37=0,$P$34=0),"",$L$37-1),IF($R$17="Distrato",$E580,0)),MIN(AP$38,$D$19),$P$20))-SUM($P580:AO580)</f>
        <v>#VALUE!</v>
      </c>
      <c r="AQ580" s="446" t="e">
        <f>IF(OR($B580="",MIN(AQ$38,$D$19)&lt;MAX($P$34*($B580+IF($R$17="Distrato",$I$38-1,0)),IF(AND($L$37=0,$P$34=0),"",$L$37-1),IF($R$17="Distrato",$E580,0))),0,YEARFRAC(MAX($P$34*($B580+IF($R$17="Distrato",$I$38-1,0)),IF(AND($L$37=0,$P$34=0),"",$L$37-1),IF($R$17="Distrato",$E580,0)),MIN(AQ$38,$D$19),$P$20))-SUM($P580:AP580)</f>
        <v>#VALUE!</v>
      </c>
      <c r="AR580" s="446" t="e">
        <f>IF(OR($B580="",MIN(AR$38,$D$19)&lt;MAX($P$34*($B580+IF($R$17="Distrato",$I$38-1,0)),IF(AND($L$37=0,$P$34=0),"",$L$37-1),IF($R$17="Distrato",$E580,0))),0,YEARFRAC(MAX($P$34*($B580+IF($R$17="Distrato",$I$38-1,0)),IF(AND($L$37=0,$P$34=0),"",$L$37-1),IF($R$17="Distrato",$E580,0)),MIN(AR$38,$D$19),$P$20))-SUM($P580:AQ580)</f>
        <v>#VALUE!</v>
      </c>
      <c r="AS580" s="446" t="e">
        <f>IF(OR($B580="",MIN(AS$38,$D$19)&lt;MAX($P$34*($B580+IF($R$17="Distrato",$I$38-1,0)),IF(AND($L$37=0,$P$34=0),"",$L$37-1),IF($R$17="Distrato",$E580,0))),0,YEARFRAC(MAX($P$34*($B580+IF($R$17="Distrato",$I$38-1,0)),IF(AND($L$37=0,$P$34=0),"",$L$37-1),IF($R$17="Distrato",$E580,0)),MIN(AS$38,$D$19),$P$20))-SUM($P580:AR580)</f>
        <v>#VALUE!</v>
      </c>
      <c r="AT580" s="446" t="e">
        <f>IF(OR($B580="",MIN(AT$38,$D$19)&lt;MAX($P$34*($B580+IF($R$17="Distrato",$I$38-1,0)),IF(AND($L$37=0,$P$34=0),"",$L$37-1),IF($R$17="Distrato",$E580,0))),0,YEARFRAC(MAX($P$34*($B580+IF($R$17="Distrato",$I$38-1,0)),IF(AND($L$37=0,$P$34=0),"",$L$37-1),IF($R$17="Distrato",$E580,0)),MIN(AT$38,$D$19),$P$20))-SUM($P580:AS580)</f>
        <v>#VALUE!</v>
      </c>
      <c r="AU580" s="446" t="e">
        <f>IF(OR($B580="",MIN(AU$38,$D$19)&lt;MAX($P$34*($B580+IF($R$17="Distrato",$I$38-1,0)),IF(AND($L$37=0,$P$34=0),"",$L$37-1),IF($R$17="Distrato",$E580,0))),0,YEARFRAC(MAX($P$34*($B580+IF($R$17="Distrato",$I$38-1,0)),IF(AND($L$37=0,$P$34=0),"",$L$37-1),IF($R$17="Distrato",$E580,0)),MIN(AU$38,$D$19),$P$20))-SUM($P580:AT580)</f>
        <v>#VALUE!</v>
      </c>
      <c r="AV580" s="446" t="e">
        <f>IF(OR($B580="",MIN(AV$38,$D$19)&lt;MAX($P$34*($B580+IF($R$17="Distrato",$I$38-1,0)),IF(AND($L$37=0,$P$34=0),"",$L$37-1),IF($R$17="Distrato",$E580,0))),0,YEARFRAC(MAX($P$34*($B580+IF($R$17="Distrato",$I$38-1,0)),IF(AND($L$37=0,$P$34=0),"",$L$37-1),IF($R$17="Distrato",$E580,0)),MIN(AV$38,$D$19),$P$20))-SUM($P580:AU580)</f>
        <v>#VALUE!</v>
      </c>
      <c r="AW580" s="446" t="e">
        <f>IF(OR($B580="",MIN(AW$38,$D$19)&lt;MAX($P$34*($B580+IF($R$17="Distrato",$I$38-1,0)),IF(AND($L$37=0,$P$34=0),"",$L$37-1),IF($R$17="Distrato",$E580,0))),0,YEARFRAC(MAX($P$34*($B580+IF($R$17="Distrato",$I$38-1,0)),IF(AND($L$37=0,$P$34=0),"",$L$37-1),IF($R$17="Distrato",$E580,0)),MIN(AW$38,$D$19),$P$20))-SUM($P580:AV580)</f>
        <v>#VALUE!</v>
      </c>
      <c r="AX580" s="446" t="e">
        <f>IF(OR($B580="",MIN(AX$38,$D$19)&lt;MAX($P$34*($B580+IF($R$17="Distrato",$I$38-1,0)),IF(AND($L$37=0,$P$34=0),"",$L$37-1),IF($R$17="Distrato",$E580,0))),0,YEARFRAC(MAX($P$34*($B580+IF($R$17="Distrato",$I$38-1,0)),IF(AND($L$37=0,$P$34=0),"",$L$37-1),IF($R$17="Distrato",$E580,0)),MIN(AX$38,$D$19),$P$20))-SUM($P580:AW580)</f>
        <v>#VALUE!</v>
      </c>
      <c r="AY580" s="446" t="e">
        <f>IF(OR($B580="",MIN(AY$38,$D$19)&lt;MAX($P$34*($B580+IF($R$17="Distrato",$I$38-1,0)),IF(AND($L$37=0,$P$34=0),"",$L$37-1),IF($R$17="Distrato",$E580,0))),0,YEARFRAC(MAX($P$34*($B580+IF($R$17="Distrato",$I$38-1,0)),IF(AND($L$37=0,$P$34=0),"",$L$37-1),IF($R$17="Distrato",$E580,0)),MIN(AY$38,$D$19),$P$20))-SUM($P580:AX580)</f>
        <v>#VALUE!</v>
      </c>
      <c r="AZ580" s="446" t="e">
        <f>IF(OR($B580="",MIN(AZ$38,$D$19)&lt;MAX($P$34*($B580+IF($R$17="Distrato",$I$38-1,0)),IF(AND($L$37=0,$P$34=0),"",$L$37-1),IF($R$17="Distrato",$E580,0))),0,YEARFRAC(MAX($P$34*($B580+IF($R$17="Distrato",$I$38-1,0)),IF(AND($L$37=0,$P$34=0),"",$L$37-1),IF($R$17="Distrato",$E580,0)),MIN(AZ$38,$D$19),$P$20))-SUM($P580:AY580)</f>
        <v>#VALUE!</v>
      </c>
      <c r="BA580" s="446" t="e">
        <f>IF(OR($B580="",MIN(BA$38,$D$19)&lt;MAX($P$34*($B580+IF($R$17="Distrato",$I$38-1,0)),IF(AND($L$37=0,$P$34=0),"",$L$37-1),IF($R$17="Distrato",$E580,0))),0,YEARFRAC(MAX($P$34*($B580+IF($R$17="Distrato",$I$38-1,0)),IF(AND($L$37=0,$P$34=0),"",$L$37-1),IF($R$17="Distrato",$E580,0)),MIN(BA$38,$D$19),$P$20))-SUM($P580:AZ580)</f>
        <v>#VALUE!</v>
      </c>
      <c r="BB580" s="447"/>
      <c r="BF580" s="446">
        <f t="shared" si="98"/>
        <v>0</v>
      </c>
      <c r="BG580" s="446">
        <f>IF($E580=0,0,IF(MIN(BG$38,$E580)&lt;MAX($P$34*($B580+$I$38-1),IF(AND($L$37=0,$P$34=0),"",$L$37-1)),0,YEARFRAC(MAX($P$34*($B580+$I$38-1),IF(AND($L$37=0,$P$34=0),"",$L$37-1)),MIN(BG$38,$E580),$P$20))-SUM($BF580:BF580))</f>
        <v>0</v>
      </c>
      <c r="BH580" s="446">
        <f>IF($E580=0,0,IF(MIN(BH$38,$E580)&lt;MAX($P$34*($B580+$I$38-1),IF(AND($L$37=0,$P$34=0),"",$L$37-1)),0,YEARFRAC(MAX($P$34*($B580+$I$38-1),IF(AND($L$37=0,$P$34=0),"",$L$37-1)),MIN(BH$38,$E580),$P$20))-SUM($BF580:BG580))</f>
        <v>0</v>
      </c>
      <c r="BI580" s="446">
        <f>IF($E580=0,0,IF(MIN(BI$38,$E580)&lt;MAX($P$34*($B580+$I$38-1),IF(AND($L$37=0,$P$34=0),"",$L$37-1)),0,YEARFRAC(MAX($P$34*($B580+$I$38-1),IF(AND($L$37=0,$P$34=0),"",$L$37-1)),MIN(BI$38,$E580),$P$20))-SUM($BF580:BH580))</f>
        <v>0</v>
      </c>
      <c r="BJ580" s="446">
        <f>IF($E580=0,0,IF(MIN(BJ$38,$E580)&lt;MAX($P$34*($B580+$I$38-1),IF(AND($L$37=0,$P$34=0),"",$L$37-1)),0,YEARFRAC(MAX($P$34*($B580+$I$38-1),IF(AND($L$37=0,$P$34=0),"",$L$37-1)),MIN(BJ$38,$E580),$P$20))-SUM($BF580:BI580))</f>
        <v>0</v>
      </c>
      <c r="BK580" s="446">
        <f>IF($E580=0,0,IF(MIN(BK$38,$E580)&lt;MAX($P$34*($B580+$I$38-1),IF(AND($L$37=0,$P$34=0),"",$L$37-1)),0,YEARFRAC(MAX($P$34*($B580+$I$38-1),IF(AND($L$37=0,$P$34=0),"",$L$37-1)),MIN(BK$38,$E580),$P$20))-SUM($BF580:BJ580))</f>
        <v>0</v>
      </c>
      <c r="BL580" s="446">
        <f>IF($E580=0,0,IF(MIN(BL$38,$E580)&lt;MAX($P$34*($B580+$I$38-1),IF(AND($L$37=0,$P$34=0),"",$L$37-1)),0,YEARFRAC(MAX($P$34*($B580+$I$38-1),IF(AND($L$37=0,$P$34=0),"",$L$37-1)),MIN(BL$38,$E580),$P$20))-SUM($BF580:BK580))</f>
        <v>0</v>
      </c>
      <c r="BM580" s="446">
        <f>IF($E580=0,0,IF(MIN(BM$38,$E580)&lt;MAX($P$34*($B580+$I$38-1),IF(AND($L$37=0,$P$34=0),"",$L$37-1)),0,YEARFRAC(MAX($P$34*($B580+$I$38-1),IF(AND($L$37=0,$P$34=0),"",$L$37-1)),MIN(BM$38,$E580),$P$20))-SUM($BF580:BL580))</f>
        <v>0</v>
      </c>
      <c r="BN580" s="446">
        <f>IF($E580=0,0,IF(MIN(BN$38,$E580)&lt;MAX($P$34*($B580+$I$38-1),IF(AND($L$37=0,$P$34=0),"",$L$37-1)),0,YEARFRAC(MAX($P$34*($B580+$I$38-1),IF(AND($L$37=0,$P$34=0),"",$L$37-1)),MIN(BN$38,$E580),$P$20))-SUM($BF580:BM580))</f>
        <v>0</v>
      </c>
      <c r="BO580" s="446">
        <f>IF($E580=0,0,IF(MIN(BO$38,$E580)&lt;MAX($P$34*($B580+$I$38-1),IF(AND($L$37=0,$P$34=0),"",$L$37-1)),0,YEARFRAC(MAX($P$34*($B580+$I$38-1),IF(AND($L$37=0,$P$34=0),"",$L$37-1)),MIN(BO$38,$E580),$P$20))-SUM($BF580:BN580))</f>
        <v>0</v>
      </c>
      <c r="BP580" s="446">
        <f>IF($E580=0,0,IF(MIN(BP$38,$E580)&lt;MAX($P$34*($B580+$I$38-1),IF(AND($L$37=0,$P$34=0),"",$L$37-1)),0,YEARFRAC(MAX($P$34*($B580+$I$38-1),IF(AND($L$37=0,$P$34=0),"",$L$37-1)),MIN(BP$38,$E580),$P$20))-SUM($BF580:BO580))</f>
        <v>0</v>
      </c>
      <c r="BQ580" s="446">
        <f>IF($E580=0,0,IF(MIN(BQ$38,$E580)&lt;MAX($P$34*($B580+$I$38-1),IF(AND($L$37=0,$P$34=0),"",$L$37-1)),0,YEARFRAC(MAX($P$34*($B580+$I$38-1),IF(AND($L$37=0,$P$34=0),"",$L$37-1)),MIN(BQ$38,$E580),$P$20))-SUM($BF580:BP580))</f>
        <v>0</v>
      </c>
      <c r="BR580" s="446">
        <f>IF($E580=0,0,IF(MIN(BR$38,$E580)&lt;MAX($P$34*($B580+$I$38-1),IF(AND($L$37=0,$P$34=0),"",$L$37-1)),0,YEARFRAC(MAX($P$34*($B580+$I$38-1),IF(AND($L$37=0,$P$34=0),"",$L$37-1)),MIN(BR$38,$E580),$P$20))-SUM($BF580:BQ580))</f>
        <v>0</v>
      </c>
      <c r="BS580" s="446">
        <f>IF($E580=0,0,IF(MIN(BS$38,$E580)&lt;MAX($P$34*($B580+$I$38-1),IF(AND($L$37=0,$P$34=0),"",$L$37-1)),0,YEARFRAC(MAX($P$34*($B580+$I$38-1),IF(AND($L$37=0,$P$34=0),"",$L$37-1)),MIN(BS$38,$E580),$P$20))-SUM($BF580:BR580))</f>
        <v>0</v>
      </c>
      <c r="BT580" s="446">
        <f>IF($E580=0,0,IF(MIN(BT$38,$E580)&lt;MAX($P$34*($B580+$I$38-1),IF(AND($L$37=0,$P$34=0),"",$L$37-1)),0,YEARFRAC(MAX($P$34*($B580+$I$38-1),IF(AND($L$37=0,$P$34=0),"",$L$37-1)),MIN(BT$38,$E580),$P$20))-SUM($BF580:BS580))</f>
        <v>0</v>
      </c>
      <c r="BU580" s="446">
        <f>IF($E580=0,0,IF(MIN(BU$38,$E580)&lt;MAX($P$34*($B580+$I$38-1),IF(AND($L$37=0,$P$34=0),"",$L$37-1)),0,YEARFRAC(MAX($P$34*($B580+$I$38-1),IF(AND($L$37=0,$P$34=0),"",$L$37-1)),MIN(BU$38,$E580),$P$20))-SUM($BF580:BT580))</f>
        <v>0</v>
      </c>
      <c r="BV580" s="446">
        <f>IF($E580=0,0,IF(MIN(BV$38,$E580)&lt;MAX($P$34*($B580+$I$38-1),IF(AND($L$37=0,$P$34=0),"",$L$37-1)),0,YEARFRAC(MAX($P$34*($B580+$I$38-1),IF(AND($L$37=0,$P$34=0),"",$L$37-1)),MIN(BV$38,$E580),$P$20))-SUM($BF580:BU580))</f>
        <v>0</v>
      </c>
      <c r="BW580" s="446">
        <f>IF($E580=0,0,IF(MIN(BW$38,$E580)&lt;MAX($P$34*($B580+$I$38-1),IF(AND($L$37=0,$P$34=0),"",$L$37-1)),0,YEARFRAC(MAX($P$34*($B580+$I$38-1),IF(AND($L$37=0,$P$34=0),"",$L$37-1)),MIN(BW$38,$E580),$P$20))-SUM($BF580:BV580))</f>
        <v>0</v>
      </c>
      <c r="BX580" s="446">
        <f>IF($E580=0,0,IF(MIN(BX$38,$E580)&lt;MAX($P$34*($B580+$I$38-1),IF(AND($L$37=0,$P$34=0),"",$L$37-1)),0,YEARFRAC(MAX($P$34*($B580+$I$38-1),IF(AND($L$37=0,$P$34=0),"",$L$37-1)),MIN(BX$38,$E580),$P$20))-SUM($BF580:BW580))</f>
        <v>0</v>
      </c>
      <c r="BY580" s="446">
        <f>IF($E580=0,0,IF(MIN(BY$38,$E580)&lt;MAX($P$34*($B580+$I$38-1),IF(AND($L$37=0,$P$34=0),"",$L$37-1)),0,YEARFRAC(MAX($P$34*($B580+$I$38-1),IF(AND($L$37=0,$P$34=0),"",$L$37-1)),MIN(BY$38,$E580),$P$20))-SUM($BF580:BX580))</f>
        <v>0</v>
      </c>
      <c r="BZ580" s="446">
        <f>IF($E580=0,0,IF(MIN(BZ$38,$E580)&lt;MAX($P$34*($B580+$I$38-1),IF(AND($L$37=0,$P$34=0),"",$L$37-1)),0,YEARFRAC(MAX($P$34*($B580+$I$38-1),IF(AND($L$37=0,$P$34=0),"",$L$37-1)),MIN(BZ$38,$E580),$P$20))-SUM($BF580:BY580))</f>
        <v>0</v>
      </c>
      <c r="CA580" s="446">
        <f>IF($E580=0,0,IF(MIN(CA$38,$E580)&lt;MAX($P$34*($B580+$I$38-1),IF(AND($L$37=0,$P$34=0),"",$L$37-1)),0,YEARFRAC(MAX($P$34*($B580+$I$38-1),IF(AND($L$37=0,$P$34=0),"",$L$37-1)),MIN(CA$38,$E580),$P$20))-SUM($BF580:BZ580))</f>
        <v>0</v>
      </c>
      <c r="CB580" s="446">
        <f>IF($E580=0,0,IF(MIN(CB$38,$E580)&lt;MAX($P$34*($B580+$I$38-1),IF(AND($L$37=0,$P$34=0),"",$L$37-1)),0,YEARFRAC(MAX($P$34*($B580+$I$38-1),IF(AND($L$37=0,$P$34=0),"",$L$37-1)),MIN(CB$38,$E580),$P$20))-SUM($BF580:CA580))</f>
        <v>0</v>
      </c>
      <c r="CC580" s="446">
        <f>IF($E580=0,0,IF(MIN(CC$38,$E580)&lt;MAX($P$34*($B580+$I$38-1),IF(AND($L$37=0,$P$34=0),"",$L$37-1)),0,YEARFRAC(MAX($P$34*($B580+$I$38-1),IF(AND($L$37=0,$P$34=0),"",$L$37-1)),MIN(CC$38,$E580),$P$20))-SUM($BF580:CB580))</f>
        <v>0</v>
      </c>
      <c r="CD580" s="446">
        <f>IF($E580=0,0,IF(MIN(CD$38,$E580)&lt;MAX($P$34*($B580+$I$38-1),IF(AND($L$37=0,$P$34=0),"",$L$37-1)),0,YEARFRAC(MAX($P$34*($B580+$I$38-1),IF(AND($L$37=0,$P$34=0),"",$L$37-1)),MIN(CD$38,$E580),$P$20))-SUM($BF580:CC580))</f>
        <v>0</v>
      </c>
      <c r="CE580" s="446">
        <f>IF($E580=0,0,IF(MIN(CE$38,$E580)&lt;MAX($P$34*($B580+$I$38-1),IF(AND($L$37=0,$P$34=0),"",$L$37-1)),0,YEARFRAC(MAX($P$34*($B580+$I$38-1),IF(AND($L$37=0,$P$34=0),"",$L$37-1)),MIN(CE$38,$E580),$P$20))-SUM($BF580:CD580))</f>
        <v>0</v>
      </c>
      <c r="CF580" s="446">
        <f>IF($E580=0,0,IF(MIN(CF$38,$E580)&lt;MAX($P$34*($B580+$I$38-1),IF(AND($L$37=0,$P$34=0),"",$L$37-1)),0,YEARFRAC(MAX($P$34*($B580+$I$38-1),IF(AND($L$37=0,$P$34=0),"",$L$37-1)),MIN(CF$38,$E580),$P$20))-SUM($BF580:CE580))</f>
        <v>0</v>
      </c>
      <c r="CG580" s="446">
        <f>IF($E580=0,0,IF(MIN(CG$38,$E580)&lt;MAX($P$34*($B580+$I$38-1),IF(AND($L$37=0,$P$34=0),"",$L$37-1)),0,YEARFRAC(MAX($P$34*($B580+$I$38-1),IF(AND($L$37=0,$P$34=0),"",$L$37-1)),MIN(CG$38,$E580),$P$20))-SUM($BF580:CF580))</f>
        <v>0</v>
      </c>
      <c r="CH580" s="446">
        <f>IF($E580=0,0,IF(MIN(CH$38,$E580)&lt;MAX($P$34*($B580+$I$38-1),IF(AND($L$37=0,$P$34=0),"",$L$37-1)),0,YEARFRAC(MAX($P$34*($B580+$I$38-1),IF(AND($L$37=0,$P$34=0),"",$L$37-1)),MIN(CH$38,$E580),$P$20))-SUM($BF580:CG580))</f>
        <v>0</v>
      </c>
      <c r="CI580" s="446">
        <f>IF($E580=0,0,IF(MIN(CI$38,$E580)&lt;MAX($P$34*($B580+$I$38-1),IF(AND($L$37=0,$P$34=0),"",$L$37-1)),0,YEARFRAC(MAX($P$34*($B580+$I$38-1),IF(AND($L$37=0,$P$34=0),"",$L$37-1)),MIN(CI$38,$E580),$P$20))-SUM($BF580:CH580))</f>
        <v>0</v>
      </c>
      <c r="CJ580" s="446">
        <f>IF($E580=0,0,IF(MIN(CJ$38,$E580)&lt;MAX($P$34*($B580+$I$38-1),IF(AND($L$37=0,$P$34=0),"",$L$37-1)),0,YEARFRAC(MAX($P$34*($B580+$I$38-1),IF(AND($L$37=0,$P$34=0),"",$L$37-1)),MIN(CJ$38,$E580),$P$20))-SUM($BF580:CI580))</f>
        <v>0</v>
      </c>
      <c r="CK580" s="446">
        <f>IF($E580=0,0,IF(MIN(CK$38,$E580)&lt;MAX($P$34*($B580+$I$38-1),IF(AND($L$37=0,$P$34=0),"",$L$37-1)),0,YEARFRAC(MAX($P$34*($B580+$I$38-1),IF(AND($L$37=0,$P$34=0),"",$L$37-1)),MIN(CK$38,$E580),$P$20))-SUM($BF580:CJ580))</f>
        <v>0</v>
      </c>
      <c r="CL580" s="446">
        <f>IF($E580=0,0,IF(MIN(CL$38,$E580)&lt;MAX($P$34*($B580+$I$38-1),IF(AND($L$37=0,$P$34=0),"",$L$37-1)),0,YEARFRAC(MAX($P$34*($B580+$I$38-1),IF(AND($L$37=0,$P$34=0),"",$L$37-1)),MIN(CL$38,$E580),$P$20))-SUM($BF580:CK580))</f>
        <v>0</v>
      </c>
      <c r="CM580" s="446">
        <f>IF($E580=0,0,IF(MIN(CM$38,$E580)&lt;MAX($P$34*($B580+$I$38-1),IF(AND($L$37=0,$P$34=0),"",$L$37-1)),0,YEARFRAC(MAX($P$34*($B580+$I$38-1),IF(AND($L$37=0,$P$34=0),"",$L$37-1)),MIN(CM$38,$E580),$P$20))-SUM($BF580:CL580))</f>
        <v>0</v>
      </c>
      <c r="CN580" s="446">
        <f>IF($E580=0,0,IF(MIN(CN$38,$E580)&lt;MAX($P$34*($B580+$I$38-1),IF(AND($L$37=0,$P$34=0),"",$L$37-1)),0,YEARFRAC(MAX($P$34*($B580+$I$38-1),IF(AND($L$37=0,$P$34=0),"",$L$37-1)),MIN(CN$38,$E580),$P$20))-SUM($BF580:CM580))</f>
        <v>0</v>
      </c>
      <c r="CO580" s="446">
        <f>IF($E580=0,0,IF(MIN(CO$38,$E580)&lt;MAX($P$34*($B580+$I$38-1),IF(AND($L$37=0,$P$34=0),"",$L$37-1)),0,YEARFRAC(MAX($P$34*($B580+$I$38-1),IF(AND($L$37=0,$P$34=0),"",$L$37-1)),MIN(CO$38,$E580),$P$20))-SUM($BF580:CN580))</f>
        <v>0</v>
      </c>
      <c r="CP580" s="446">
        <f>IF($E580=0,0,IF(MIN(CP$38,$E580)&lt;MAX($P$34*($B580+$I$38-1),IF(AND($L$37=0,$P$34=0),"",$L$37-1)),0,YEARFRAC(MAX($P$34*($B580+$I$38-1),IF(AND($L$37=0,$P$34=0),"",$L$37-1)),MIN(CP$38,$E580),$P$20))-SUM($BF580:CO580))</f>
        <v>0</v>
      </c>
      <c r="CQ580" s="446">
        <f>IF($E580=0,0,IF(MIN(CQ$38,$E580)&lt;MAX($P$34*($B580+$I$38-1),IF(AND($L$37=0,$P$34=0),"",$L$37-1)),0,YEARFRAC(MAX($P$34*($B580+$I$38-1),IF(AND($L$37=0,$P$34=0),"",$L$37-1)),MIN(CQ$38,$E580),$P$20))-SUM($BF580:CP580))</f>
        <v>0</v>
      </c>
    </row>
    <row r="581" spans="1:95" s="446" customFormat="1" ht="11.25" hidden="1" customHeight="1" x14ac:dyDescent="0.2">
      <c r="A581" s="152"/>
      <c r="B581" s="153" t="str">
        <f t="shared" si="103"/>
        <v/>
      </c>
      <c r="C581" s="29" t="str">
        <f>IF(B581="","",IF($L$35="SELIC - TRIBUTOS",VLOOKUP(DATE(YEAR($D$19),MONTH($D$19)-1,1),ÍNDICES!$A:$DE,HLOOKUP($BL$25,ÍNDICES!$B$3:$T$4,2)+11)-VLOOKUP(B581,ÍNDICES!$A:$DE,HLOOKUP($BL$25,ÍNDICES!$B$3:$T$4,2)+11)+1%,IF(C$38=$W$26,$J$35,IF(ISERROR(IF(B581&gt;$D$19,1,VLOOKUP(DATE(YEAR(B581),MONTH(B581)+IF($C$35=$S$23,1,0),1),ÍNDICES!$A:$DE,$Z$35+1))),"",IF(B581&gt;$D$19,1,VLOOKUP(DATE(YEAR(B581),MONTH(B581)+IF($C$35=$S$23,1,0),1),ÍNDICES!$A:$DE,$Z$35+1))))))</f>
        <v/>
      </c>
      <c r="D581" s="154" t="str">
        <f>IF(ISERROR(IF(OR($D$38=$Y$27,$B581=""),"",VLOOKUP(B581,ÍNDICES!A:DE,AF$35+1))),"",IF(OR($D$38=$Y$27,$B581=""),"",VLOOKUP(B581,ÍNDICES!A:DE,AF$35+1)))</f>
        <v/>
      </c>
      <c r="E581" s="153"/>
      <c r="F581" s="29" t="str">
        <f>IF(E581="","",IF($L$35="SELIC - TRIBUTOS",VLOOKUP(DATE(YEAR($D$19),MONTH($D$19)-1,1),ÍNDICES!$A:$DE,HLOOKUP($BL$25,ÍNDICES!$B$3:$T$4,2)+11)-VLOOKUP(E581,ÍNDICES!$A:$DE,HLOOKUP($BL$25,ÍNDICES!$B$3:$T$4,2)+11)+1%,IF(F$38=$W$26,$J$35,IF(ISERROR(IF(E581&gt;$D$19,1,VLOOKUP(DATE(YEAR(E581),MONTH(E581)+IF($C$35=$S$23,1,0),1),ÍNDICES!$A:$DE,$Z$35+1))),"",IF(E581&gt;$D$19,1,VLOOKUP(DATE(YEAR(E581),MONTH(E581)+IF($C$35=$S$23,1,0),1),ÍNDICES!$A:$DE,$Z$35+1))))))</f>
        <v/>
      </c>
      <c r="G581" s="155"/>
      <c r="H581" s="156" t="str">
        <f t="shared" si="99"/>
        <v/>
      </c>
      <c r="I581" s="29" t="str">
        <f t="shared" si="93"/>
        <v/>
      </c>
      <c r="J581" s="5">
        <f t="shared" si="94"/>
        <v>0</v>
      </c>
      <c r="K581" s="20">
        <f t="shared" ca="1" si="95"/>
        <v>0</v>
      </c>
      <c r="L581" s="5">
        <f t="shared" ca="1" si="96"/>
        <v>0</v>
      </c>
      <c r="M581" s="64">
        <f t="shared" si="100"/>
        <v>0</v>
      </c>
      <c r="N581" s="61">
        <f t="shared" ca="1" si="101"/>
        <v>0</v>
      </c>
      <c r="O581" s="5">
        <f t="shared" ca="1" si="102"/>
        <v>0</v>
      </c>
      <c r="P581" s="446" t="e">
        <f t="shared" si="97"/>
        <v>#VALUE!</v>
      </c>
      <c r="Q581" s="446" t="e">
        <f>IF(OR($B581="",MIN(Q$38,$D$19)&lt;MAX($P$34*($B581+IF($R$17="Distrato",$I$38-1,0)),IF(AND($L$37=0,$P$34=0),"",$L$37-1),IF($R$17="Distrato",$E581,0))),0,YEARFRAC(MAX($P$34*($B581+IF($R$17="Distrato",$I$38-1,0)),IF(AND($L$37=0,$P$34=0),"",$L$37-1),IF($R$17="Distrato",$E581,0)),MIN(Q$38,$D$19),$P$20))-SUM($P581:P581)</f>
        <v>#VALUE!</v>
      </c>
      <c r="R581" s="446" t="e">
        <f>IF(OR($B581="",MIN(R$38,$D$19)&lt;MAX($P$34*($B581+IF($R$17="Distrato",$I$38-1,0)),IF(AND($L$37=0,$P$34=0),"",$L$37-1),IF($R$17="Distrato",$E581,0))),0,YEARFRAC(MAX($P$34*($B581+IF($R$17="Distrato",$I$38-1,0)),IF(AND($L$37=0,$P$34=0),"",$L$37-1),IF($R$17="Distrato",$E581,0)),MIN(R$38,$D$19),$P$20))-SUM($P581:Q581)</f>
        <v>#VALUE!</v>
      </c>
      <c r="S581" s="446" t="e">
        <f>IF(OR($B581="",MIN(S$38,$D$19)&lt;MAX($P$34*($B581+IF($R$17="Distrato",$I$38-1,0)),IF(AND($L$37=0,$P$34=0),"",$L$37-1),IF($R$17="Distrato",$E581,0))),0,YEARFRAC(MAX($P$34*($B581+IF($R$17="Distrato",$I$38-1,0)),IF(AND($L$37=0,$P$34=0),"",$L$37-1),IF($R$17="Distrato",$E581,0)),MIN(S$38,$D$19),$P$20))-SUM($P581:R581)</f>
        <v>#VALUE!</v>
      </c>
      <c r="T581" s="446" t="e">
        <f>IF(OR($B581="",MIN(T$38,$D$19)&lt;MAX($P$34*($B581+IF($R$17="Distrato",$I$38-1,0)),IF(AND($L$37=0,$P$34=0),"",$L$37-1),IF($R$17="Distrato",$E581,0))),0,YEARFRAC(MAX($P$34*($B581+IF($R$17="Distrato",$I$38-1,0)),IF(AND($L$37=0,$P$34=0),"",$L$37-1),IF($R$17="Distrato",$E581,0)),MIN(T$38,$D$19),$P$20))-SUM($P581:S581)</f>
        <v>#VALUE!</v>
      </c>
      <c r="U581" s="446" t="e">
        <f>IF(OR($B581="",MIN(U$38,$D$19)&lt;MAX($P$34*($B581+IF($R$17="Distrato",$I$38-1,0)),IF(AND($L$37=0,$P$34=0),"",$L$37-1),IF($R$17="Distrato",$E581,0))),0,YEARFRAC(MAX($P$34*($B581+IF($R$17="Distrato",$I$38-1,0)),IF(AND($L$37=0,$P$34=0),"",$L$37-1),IF($R$17="Distrato",$E581,0)),MIN(U$38,$D$19),$P$20))-SUM($P581:T581)</f>
        <v>#VALUE!</v>
      </c>
      <c r="V581" s="446" t="e">
        <f>IF(OR($B581="",MIN(V$38,$D$19)&lt;MAX($P$34*($B581+IF($R$17="Distrato",$I$38-1,0)),IF(AND($L$37=0,$P$34=0),"",$L$37-1),IF($R$17="Distrato",$E581,0))),0,YEARFRAC(MAX($P$34*($B581+IF($R$17="Distrato",$I$38-1,0)),IF(AND($L$37=0,$P$34=0),"",$L$37-1),IF($R$17="Distrato",$E581,0)),MIN(V$38,$D$19),$P$20))-SUM($P581:U581)</f>
        <v>#VALUE!</v>
      </c>
      <c r="W581" s="446" t="e">
        <f>IF(OR($B581="",MIN(W$38,$D$19)&lt;MAX($P$34*($B581+IF($R$17="Distrato",$I$38-1,0)),IF(AND($L$37=0,$P$34=0),"",$L$37-1),IF($R$17="Distrato",$E581,0))),0,YEARFRAC(MAX($P$34*($B581+IF($R$17="Distrato",$I$38-1,0)),IF(AND($L$37=0,$P$34=0),"",$L$37-1),IF($R$17="Distrato",$E581,0)),MIN(W$38,$D$19),$P$20))-SUM($P581:V581)</f>
        <v>#VALUE!</v>
      </c>
      <c r="X581" s="446" t="e">
        <f>IF(OR($B581="",MIN(X$38,$D$19)&lt;MAX($P$34*($B581+IF($R$17="Distrato",$I$38-1,0)),IF(AND($L$37=0,$P$34=0),"",$L$37-1),IF($R$17="Distrato",$E581,0))),0,YEARFRAC(MAX($P$34*($B581+IF($R$17="Distrato",$I$38-1,0)),IF(AND($L$37=0,$P$34=0),"",$L$37-1),IF($R$17="Distrato",$E581,0)),MIN(X$38,$D$19),$P$20))-SUM($P581:W581)</f>
        <v>#VALUE!</v>
      </c>
      <c r="Y581" s="446" t="e">
        <f>IF(OR($B581="",MIN(Y$38,$D$19)&lt;MAX($P$34*($B581+IF($R$17="Distrato",$I$38-1,0)),IF(AND($L$37=0,$P$34=0),"",$L$37-1),IF($R$17="Distrato",$E581,0))),0,YEARFRAC(MAX($P$34*($B581+IF($R$17="Distrato",$I$38-1,0)),IF(AND($L$37=0,$P$34=0),"",$L$37-1),IF($R$17="Distrato",$E581,0)),MIN(Y$38,$D$19),$P$20))-SUM($P581:X581)</f>
        <v>#VALUE!</v>
      </c>
      <c r="Z581" s="446" t="e">
        <f>IF(OR($B581="",MIN(Z$38,$D$19)&lt;MAX($P$34*($B581+IF($R$17="Distrato",$I$38-1,0)),IF(AND($L$37=0,$P$34=0),"",$L$37-1),IF($R$17="Distrato",$E581,0))),0,YEARFRAC(MAX($P$34*($B581+IF($R$17="Distrato",$I$38-1,0)),IF(AND($L$37=0,$P$34=0),"",$L$37-1),IF($R$17="Distrato",$E581,0)),MIN(Z$38,$D$19),$P$20))-SUM($P581:Y581)</f>
        <v>#VALUE!</v>
      </c>
      <c r="AA581" s="446" t="e">
        <f>IF(OR($B581="",MIN(AA$38,$D$19)&lt;MAX($P$34*($B581+IF($R$17="Distrato",$I$38-1,0)),IF(AND($L$37=0,$P$34=0),"",$L$37-1),IF($R$17="Distrato",$E581,0))),0,YEARFRAC(MAX($P$34*($B581+IF($R$17="Distrato",$I$38-1,0)),IF(AND($L$37=0,$P$34=0),"",$L$37-1),IF($R$17="Distrato",$E581,0)),MIN(AA$38,$D$19),$P$20))-SUM($P581:Z581)</f>
        <v>#VALUE!</v>
      </c>
      <c r="AB581" s="446" t="e">
        <f>IF(OR($B581="",MIN(AB$38,$D$19)&lt;MAX($P$34*($B581+IF($R$17="Distrato",$I$38-1,0)),IF(AND($L$37=0,$P$34=0),"",$L$37-1),IF($R$17="Distrato",$E581,0))),0,YEARFRAC(MAX($P$34*($B581+IF($R$17="Distrato",$I$38-1,0)),IF(AND($L$37=0,$P$34=0),"",$L$37-1),IF($R$17="Distrato",$E581,0)),MIN(AB$38,$D$19),$P$20))-SUM($P581:AA581)</f>
        <v>#VALUE!</v>
      </c>
      <c r="AC581" s="446" t="e">
        <f>IF(OR($B581="",MIN(AC$38,$D$19)&lt;MAX($P$34*($B581+IF($R$17="Distrato",$I$38-1,0)),IF(AND($L$37=0,$P$34=0),"",$L$37-1),IF($R$17="Distrato",$E581,0))),0,YEARFRAC(MAX($P$34*($B581+IF($R$17="Distrato",$I$38-1,0)),IF(AND($L$37=0,$P$34=0),"",$L$37-1),IF($R$17="Distrato",$E581,0)),MIN(AC$38,$D$19),$P$20))-SUM($P581:AB581)</f>
        <v>#VALUE!</v>
      </c>
      <c r="AD581" s="446" t="e">
        <f>IF(OR($B581="",MIN(AD$38,$D$19)&lt;MAX($P$34*($B581+IF($R$17="Distrato",$I$38-1,0)),IF(AND($L$37=0,$P$34=0),"",$L$37-1),IF($R$17="Distrato",$E581,0))),0,YEARFRAC(MAX($P$34*($B581+IF($R$17="Distrato",$I$38-1,0)),IF(AND($L$37=0,$P$34=0),"",$L$37-1),IF($R$17="Distrato",$E581,0)),MIN(AD$38,$D$19),$P$20))-SUM($P581:AC581)</f>
        <v>#VALUE!</v>
      </c>
      <c r="AE581" s="446" t="e">
        <f>IF(OR($B581="",MIN(AE$38,$D$19)&lt;MAX($P$34*($B581+IF($R$17="Distrato",$I$38-1,0)),IF(AND($L$37=0,$P$34=0),"",$L$37-1),IF($R$17="Distrato",$E581,0))),0,YEARFRAC(MAX($P$34*($B581+IF($R$17="Distrato",$I$38-1,0)),IF(AND($L$37=0,$P$34=0),"",$L$37-1),IF($R$17="Distrato",$E581,0)),MIN(AE$38,$D$19),$P$20))-SUM($P581:AD581)</f>
        <v>#VALUE!</v>
      </c>
      <c r="AF581" s="446" t="e">
        <f>IF(OR($B581="",MIN(AF$38,$D$19)&lt;MAX($P$34*($B581+IF($R$17="Distrato",$I$38-1,0)),IF(AND($L$37=0,$P$34=0),"",$L$37-1),IF($R$17="Distrato",$E581,0))),0,YEARFRAC(MAX($P$34*($B581+IF($R$17="Distrato",$I$38-1,0)),IF(AND($L$37=0,$P$34=0),"",$L$37-1),IF($R$17="Distrato",$E581,0)),MIN(AF$38,$D$19),$P$20))-SUM($P581:AE581)</f>
        <v>#VALUE!</v>
      </c>
      <c r="AG581" s="446" t="e">
        <f>IF(OR($B581="",MIN(AG$38,$D$19)&lt;MAX($P$34*($B581+IF($R$17="Distrato",$I$38-1,0)),IF(AND($L$37=0,$P$34=0),"",$L$37-1),IF($R$17="Distrato",$E581,0))),0,YEARFRAC(MAX($P$34*($B581+IF($R$17="Distrato",$I$38-1,0)),IF(AND($L$37=0,$P$34=0),"",$L$37-1),IF($R$17="Distrato",$E581,0)),MIN(AG$38,$D$19),$P$20))-SUM($P581:AF581)</f>
        <v>#VALUE!</v>
      </c>
      <c r="AH581" s="446" t="e">
        <f>IF(OR($B581="",MIN(AH$38,$D$19)&lt;MAX($P$34*($B581+IF($R$17="Distrato",$I$38-1,0)),IF(AND($L$37=0,$P$34=0),"",$L$37-1),IF($R$17="Distrato",$E581,0))),0,YEARFRAC(MAX($P$34*($B581+IF($R$17="Distrato",$I$38-1,0)),IF(AND($L$37=0,$P$34=0),"",$L$37-1),IF($R$17="Distrato",$E581,0)),MIN(AH$38,$D$19),$P$20))-SUM($P581:AG581)</f>
        <v>#VALUE!</v>
      </c>
      <c r="AI581" s="446" t="e">
        <f>IF(OR($B581="",MIN(AI$38,$D$19)&lt;MAX($P$34*($B581+IF($R$17="Distrato",$I$38-1,0)),IF(AND($L$37=0,$P$34=0),"",$L$37-1),IF($R$17="Distrato",$E581,0))),0,YEARFRAC(MAX($P$34*($B581+IF($R$17="Distrato",$I$38-1,0)),IF(AND($L$37=0,$P$34=0),"",$L$37-1),IF($R$17="Distrato",$E581,0)),MIN(AI$38,$D$19),$P$20))-SUM($P581:AH581)</f>
        <v>#VALUE!</v>
      </c>
      <c r="AJ581" s="446" t="e">
        <f>IF(OR($B581="",MIN(AJ$38,$D$19)&lt;MAX($P$34*($B581+IF($R$17="Distrato",$I$38-1,0)),IF(AND($L$37=0,$P$34=0),"",$L$37-1),IF($R$17="Distrato",$E581,0))),0,YEARFRAC(MAX($P$34*($B581+IF($R$17="Distrato",$I$38-1,0)),IF(AND($L$37=0,$P$34=0),"",$L$37-1),IF($R$17="Distrato",$E581,0)),MIN(AJ$38,$D$19),$P$20))-SUM($P581:AI581)</f>
        <v>#VALUE!</v>
      </c>
      <c r="AK581" s="446" t="e">
        <f>IF(OR($B581="",MIN(AK$38,$D$19)&lt;MAX($P$34*($B581+IF($R$17="Distrato",$I$38-1,0)),IF(AND($L$37=0,$P$34=0),"",$L$37-1),IF($R$17="Distrato",$E581,0))),0,YEARFRAC(MAX($P$34*($B581+IF($R$17="Distrato",$I$38-1,0)),IF(AND($L$37=0,$P$34=0),"",$L$37-1),IF($R$17="Distrato",$E581,0)),MIN(AK$38,$D$19),$P$20))-SUM($P581:AJ581)</f>
        <v>#VALUE!</v>
      </c>
      <c r="AL581" s="446" t="e">
        <f>IF(OR($B581="",MIN(AL$38,$D$19)&lt;MAX($P$34*($B581+IF($R$17="Distrato",$I$38-1,0)),IF(AND($L$37=0,$P$34=0),"",$L$37-1),IF($R$17="Distrato",$E581,0))),0,YEARFRAC(MAX($P$34*($B581+IF($R$17="Distrato",$I$38-1,0)),IF(AND($L$37=0,$P$34=0),"",$L$37-1),IF($R$17="Distrato",$E581,0)),MIN(AL$38,$D$19),$P$20))-SUM($P581:AK581)</f>
        <v>#VALUE!</v>
      </c>
      <c r="AM581" s="446" t="e">
        <f>IF(OR($B581="",MIN(AM$38,$D$19)&lt;MAX($P$34*($B581+IF($R$17="Distrato",$I$38-1,0)),IF(AND($L$37=0,$P$34=0),"",$L$37-1),IF($R$17="Distrato",$E581,0))),0,YEARFRAC(MAX($P$34*($B581+IF($R$17="Distrato",$I$38-1,0)),IF(AND($L$37=0,$P$34=0),"",$L$37-1),IF($R$17="Distrato",$E581,0)),MIN(AM$38,$D$19),$P$20))-SUM($P581:AL581)</f>
        <v>#VALUE!</v>
      </c>
      <c r="AN581" s="446" t="e">
        <f>IF(OR($B581="",MIN(AN$38,$D$19)&lt;MAX($P$34*($B581+IF($R$17="Distrato",$I$38-1,0)),IF(AND($L$37=0,$P$34=0),"",$L$37-1),IF($R$17="Distrato",$E581,0))),0,YEARFRAC(MAX($P$34*($B581+IF($R$17="Distrato",$I$38-1,0)),IF(AND($L$37=0,$P$34=0),"",$L$37-1),IF($R$17="Distrato",$E581,0)),MIN(AN$38,$D$19),$P$20))-SUM($P581:AM581)</f>
        <v>#VALUE!</v>
      </c>
      <c r="AO581" s="446" t="e">
        <f>IF(OR($B581="",MIN(AO$38,$D$19)&lt;MAX($P$34*($B581+IF($R$17="Distrato",$I$38-1,0)),IF(AND($L$37=0,$P$34=0),"",$L$37-1),IF($R$17="Distrato",$E581,0))),0,YEARFRAC(MAX($P$34*($B581+IF($R$17="Distrato",$I$38-1,0)),IF(AND($L$37=0,$P$34=0),"",$L$37-1),IF($R$17="Distrato",$E581,0)),MIN(AO$38,$D$19),$P$20))-SUM($P581:AN581)</f>
        <v>#VALUE!</v>
      </c>
      <c r="AP581" s="446" t="e">
        <f>IF(OR($B581="",MIN(AP$38,$D$19)&lt;MAX($P$34*($B581+IF($R$17="Distrato",$I$38-1,0)),IF(AND($L$37=0,$P$34=0),"",$L$37-1),IF($R$17="Distrato",$E581,0))),0,YEARFRAC(MAX($P$34*($B581+IF($R$17="Distrato",$I$38-1,0)),IF(AND($L$37=0,$P$34=0),"",$L$37-1),IF($R$17="Distrato",$E581,0)),MIN(AP$38,$D$19),$P$20))-SUM($P581:AO581)</f>
        <v>#VALUE!</v>
      </c>
      <c r="AQ581" s="446" t="e">
        <f>IF(OR($B581="",MIN(AQ$38,$D$19)&lt;MAX($P$34*($B581+IF($R$17="Distrato",$I$38-1,0)),IF(AND($L$37=0,$P$34=0),"",$L$37-1),IF($R$17="Distrato",$E581,0))),0,YEARFRAC(MAX($P$34*($B581+IF($R$17="Distrato",$I$38-1,0)),IF(AND($L$37=0,$P$34=0),"",$L$37-1),IF($R$17="Distrato",$E581,0)),MIN(AQ$38,$D$19),$P$20))-SUM($P581:AP581)</f>
        <v>#VALUE!</v>
      </c>
      <c r="AR581" s="446" t="e">
        <f>IF(OR($B581="",MIN(AR$38,$D$19)&lt;MAX($P$34*($B581+IF($R$17="Distrato",$I$38-1,0)),IF(AND($L$37=0,$P$34=0),"",$L$37-1),IF($R$17="Distrato",$E581,0))),0,YEARFRAC(MAX($P$34*($B581+IF($R$17="Distrato",$I$38-1,0)),IF(AND($L$37=0,$P$34=0),"",$L$37-1),IF($R$17="Distrato",$E581,0)),MIN(AR$38,$D$19),$P$20))-SUM($P581:AQ581)</f>
        <v>#VALUE!</v>
      </c>
      <c r="AS581" s="446" t="e">
        <f>IF(OR($B581="",MIN(AS$38,$D$19)&lt;MAX($P$34*($B581+IF($R$17="Distrato",$I$38-1,0)),IF(AND($L$37=0,$P$34=0),"",$L$37-1),IF($R$17="Distrato",$E581,0))),0,YEARFRAC(MAX($P$34*($B581+IF($R$17="Distrato",$I$38-1,0)),IF(AND($L$37=0,$P$34=0),"",$L$37-1),IF($R$17="Distrato",$E581,0)),MIN(AS$38,$D$19),$P$20))-SUM($P581:AR581)</f>
        <v>#VALUE!</v>
      </c>
      <c r="AT581" s="446" t="e">
        <f>IF(OR($B581="",MIN(AT$38,$D$19)&lt;MAX($P$34*($B581+IF($R$17="Distrato",$I$38-1,0)),IF(AND($L$37=0,$P$34=0),"",$L$37-1),IF($R$17="Distrato",$E581,0))),0,YEARFRAC(MAX($P$34*($B581+IF($R$17="Distrato",$I$38-1,0)),IF(AND($L$37=0,$P$34=0),"",$L$37-1),IF($R$17="Distrato",$E581,0)),MIN(AT$38,$D$19),$P$20))-SUM($P581:AS581)</f>
        <v>#VALUE!</v>
      </c>
      <c r="AU581" s="446" t="e">
        <f>IF(OR($B581="",MIN(AU$38,$D$19)&lt;MAX($P$34*($B581+IF($R$17="Distrato",$I$38-1,0)),IF(AND($L$37=0,$P$34=0),"",$L$37-1),IF($R$17="Distrato",$E581,0))),0,YEARFRAC(MAX($P$34*($B581+IF($R$17="Distrato",$I$38-1,0)),IF(AND($L$37=0,$P$34=0),"",$L$37-1),IF($R$17="Distrato",$E581,0)),MIN(AU$38,$D$19),$P$20))-SUM($P581:AT581)</f>
        <v>#VALUE!</v>
      </c>
      <c r="AV581" s="446" t="e">
        <f>IF(OR($B581="",MIN(AV$38,$D$19)&lt;MAX($P$34*($B581+IF($R$17="Distrato",$I$38-1,0)),IF(AND($L$37=0,$P$34=0),"",$L$37-1),IF($R$17="Distrato",$E581,0))),0,YEARFRAC(MAX($P$34*($B581+IF($R$17="Distrato",$I$38-1,0)),IF(AND($L$37=0,$P$34=0),"",$L$37-1),IF($R$17="Distrato",$E581,0)),MIN(AV$38,$D$19),$P$20))-SUM($P581:AU581)</f>
        <v>#VALUE!</v>
      </c>
      <c r="AW581" s="446" t="e">
        <f>IF(OR($B581="",MIN(AW$38,$D$19)&lt;MAX($P$34*($B581+IF($R$17="Distrato",$I$38-1,0)),IF(AND($L$37=0,$P$34=0),"",$L$37-1),IF($R$17="Distrato",$E581,0))),0,YEARFRAC(MAX($P$34*($B581+IF($R$17="Distrato",$I$38-1,0)),IF(AND($L$37=0,$P$34=0),"",$L$37-1),IF($R$17="Distrato",$E581,0)),MIN(AW$38,$D$19),$P$20))-SUM($P581:AV581)</f>
        <v>#VALUE!</v>
      </c>
      <c r="AX581" s="446" t="e">
        <f>IF(OR($B581="",MIN(AX$38,$D$19)&lt;MAX($P$34*($B581+IF($R$17="Distrato",$I$38-1,0)),IF(AND($L$37=0,$P$34=0),"",$L$37-1),IF($R$17="Distrato",$E581,0))),0,YEARFRAC(MAX($P$34*($B581+IF($R$17="Distrato",$I$38-1,0)),IF(AND($L$37=0,$P$34=0),"",$L$37-1),IF($R$17="Distrato",$E581,0)),MIN(AX$38,$D$19),$P$20))-SUM($P581:AW581)</f>
        <v>#VALUE!</v>
      </c>
      <c r="AY581" s="446" t="e">
        <f>IF(OR($B581="",MIN(AY$38,$D$19)&lt;MAX($P$34*($B581+IF($R$17="Distrato",$I$38-1,0)),IF(AND($L$37=0,$P$34=0),"",$L$37-1),IF($R$17="Distrato",$E581,0))),0,YEARFRAC(MAX($P$34*($B581+IF($R$17="Distrato",$I$38-1,0)),IF(AND($L$37=0,$P$34=0),"",$L$37-1),IF($R$17="Distrato",$E581,0)),MIN(AY$38,$D$19),$P$20))-SUM($P581:AX581)</f>
        <v>#VALUE!</v>
      </c>
      <c r="AZ581" s="446" t="e">
        <f>IF(OR($B581="",MIN(AZ$38,$D$19)&lt;MAX($P$34*($B581+IF($R$17="Distrato",$I$38-1,0)),IF(AND($L$37=0,$P$34=0),"",$L$37-1),IF($R$17="Distrato",$E581,0))),0,YEARFRAC(MAX($P$34*($B581+IF($R$17="Distrato",$I$38-1,0)),IF(AND($L$37=0,$P$34=0),"",$L$37-1),IF($R$17="Distrato",$E581,0)),MIN(AZ$38,$D$19),$P$20))-SUM($P581:AY581)</f>
        <v>#VALUE!</v>
      </c>
      <c r="BA581" s="446" t="e">
        <f>IF(OR($B581="",MIN(BA$38,$D$19)&lt;MAX($P$34*($B581+IF($R$17="Distrato",$I$38-1,0)),IF(AND($L$37=0,$P$34=0),"",$L$37-1),IF($R$17="Distrato",$E581,0))),0,YEARFRAC(MAX($P$34*($B581+IF($R$17="Distrato",$I$38-1,0)),IF(AND($L$37=0,$P$34=0),"",$L$37-1),IF($R$17="Distrato",$E581,0)),MIN(BA$38,$D$19),$P$20))-SUM($P581:AZ581)</f>
        <v>#VALUE!</v>
      </c>
      <c r="BB581" s="447"/>
      <c r="BF581" s="446">
        <f t="shared" si="98"/>
        <v>0</v>
      </c>
      <c r="BG581" s="446">
        <f>IF($E581=0,0,IF(MIN(BG$38,$E581)&lt;MAX($P$34*($B581+$I$38-1),IF(AND($L$37=0,$P$34=0),"",$L$37-1)),0,YEARFRAC(MAX($P$34*($B581+$I$38-1),IF(AND($L$37=0,$P$34=0),"",$L$37-1)),MIN(BG$38,$E581),$P$20))-SUM($BF581:BF581))</f>
        <v>0</v>
      </c>
      <c r="BH581" s="446">
        <f>IF($E581=0,0,IF(MIN(BH$38,$E581)&lt;MAX($P$34*($B581+$I$38-1),IF(AND($L$37=0,$P$34=0),"",$L$37-1)),0,YEARFRAC(MAX($P$34*($B581+$I$38-1),IF(AND($L$37=0,$P$34=0),"",$L$37-1)),MIN(BH$38,$E581),$P$20))-SUM($BF581:BG581))</f>
        <v>0</v>
      </c>
      <c r="BI581" s="446">
        <f>IF($E581=0,0,IF(MIN(BI$38,$E581)&lt;MAX($P$34*($B581+$I$38-1),IF(AND($L$37=0,$P$34=0),"",$L$37-1)),0,YEARFRAC(MAX($P$34*($B581+$I$38-1),IF(AND($L$37=0,$P$34=0),"",$L$37-1)),MIN(BI$38,$E581),$P$20))-SUM($BF581:BH581))</f>
        <v>0</v>
      </c>
      <c r="BJ581" s="446">
        <f>IF($E581=0,0,IF(MIN(BJ$38,$E581)&lt;MAX($P$34*($B581+$I$38-1),IF(AND($L$37=0,$P$34=0),"",$L$37-1)),0,YEARFRAC(MAX($P$34*($B581+$I$38-1),IF(AND($L$37=0,$P$34=0),"",$L$37-1)),MIN(BJ$38,$E581),$P$20))-SUM($BF581:BI581))</f>
        <v>0</v>
      </c>
      <c r="BK581" s="446">
        <f>IF($E581=0,0,IF(MIN(BK$38,$E581)&lt;MAX($P$34*($B581+$I$38-1),IF(AND($L$37=0,$P$34=0),"",$L$37-1)),0,YEARFRAC(MAX($P$34*($B581+$I$38-1),IF(AND($L$37=0,$P$34=0),"",$L$37-1)),MIN(BK$38,$E581),$P$20))-SUM($BF581:BJ581))</f>
        <v>0</v>
      </c>
      <c r="BL581" s="446">
        <f>IF($E581=0,0,IF(MIN(BL$38,$E581)&lt;MAX($P$34*($B581+$I$38-1),IF(AND($L$37=0,$P$34=0),"",$L$37-1)),0,YEARFRAC(MAX($P$34*($B581+$I$38-1),IF(AND($L$37=0,$P$34=0),"",$L$37-1)),MIN(BL$38,$E581),$P$20))-SUM($BF581:BK581))</f>
        <v>0</v>
      </c>
      <c r="BM581" s="446">
        <f>IF($E581=0,0,IF(MIN(BM$38,$E581)&lt;MAX($P$34*($B581+$I$38-1),IF(AND($L$37=0,$P$34=0),"",$L$37-1)),0,YEARFRAC(MAX($P$34*($B581+$I$38-1),IF(AND($L$37=0,$P$34=0),"",$L$37-1)),MIN(BM$38,$E581),$P$20))-SUM($BF581:BL581))</f>
        <v>0</v>
      </c>
      <c r="BN581" s="446">
        <f>IF($E581=0,0,IF(MIN(BN$38,$E581)&lt;MAX($P$34*($B581+$I$38-1),IF(AND($L$37=0,$P$34=0),"",$L$37-1)),0,YEARFRAC(MAX($P$34*($B581+$I$38-1),IF(AND($L$37=0,$P$34=0),"",$L$37-1)),MIN(BN$38,$E581),$P$20))-SUM($BF581:BM581))</f>
        <v>0</v>
      </c>
      <c r="BO581" s="446">
        <f>IF($E581=0,0,IF(MIN(BO$38,$E581)&lt;MAX($P$34*($B581+$I$38-1),IF(AND($L$37=0,$P$34=0),"",$L$37-1)),0,YEARFRAC(MAX($P$34*($B581+$I$38-1),IF(AND($L$37=0,$P$34=0),"",$L$37-1)),MIN(BO$38,$E581),$P$20))-SUM($BF581:BN581))</f>
        <v>0</v>
      </c>
      <c r="BP581" s="446">
        <f>IF($E581=0,0,IF(MIN(BP$38,$E581)&lt;MAX($P$34*($B581+$I$38-1),IF(AND($L$37=0,$P$34=0),"",$L$37-1)),0,YEARFRAC(MAX($P$34*($B581+$I$38-1),IF(AND($L$37=0,$P$34=0),"",$L$37-1)),MIN(BP$38,$E581),$P$20))-SUM($BF581:BO581))</f>
        <v>0</v>
      </c>
      <c r="BQ581" s="446">
        <f>IF($E581=0,0,IF(MIN(BQ$38,$E581)&lt;MAX($P$34*($B581+$I$38-1),IF(AND($L$37=0,$P$34=0),"",$L$37-1)),0,YEARFRAC(MAX($P$34*($B581+$I$38-1),IF(AND($L$37=0,$P$34=0),"",$L$37-1)),MIN(BQ$38,$E581),$P$20))-SUM($BF581:BP581))</f>
        <v>0</v>
      </c>
      <c r="BR581" s="446">
        <f>IF($E581=0,0,IF(MIN(BR$38,$E581)&lt;MAX($P$34*($B581+$I$38-1),IF(AND($L$37=0,$P$34=0),"",$L$37-1)),0,YEARFRAC(MAX($P$34*($B581+$I$38-1),IF(AND($L$37=0,$P$34=0),"",$L$37-1)),MIN(BR$38,$E581),$P$20))-SUM($BF581:BQ581))</f>
        <v>0</v>
      </c>
      <c r="BS581" s="446">
        <f>IF($E581=0,0,IF(MIN(BS$38,$E581)&lt;MAX($P$34*($B581+$I$38-1),IF(AND($L$37=0,$P$34=0),"",$L$37-1)),0,YEARFRAC(MAX($P$34*($B581+$I$38-1),IF(AND($L$37=0,$P$34=0),"",$L$37-1)),MIN(BS$38,$E581),$P$20))-SUM($BF581:BR581))</f>
        <v>0</v>
      </c>
      <c r="BT581" s="446">
        <f>IF($E581=0,0,IF(MIN(BT$38,$E581)&lt;MAX($P$34*($B581+$I$38-1),IF(AND($L$37=0,$P$34=0),"",$L$37-1)),0,YEARFRAC(MAX($P$34*($B581+$I$38-1),IF(AND($L$37=0,$P$34=0),"",$L$37-1)),MIN(BT$38,$E581),$P$20))-SUM($BF581:BS581))</f>
        <v>0</v>
      </c>
      <c r="BU581" s="446">
        <f>IF($E581=0,0,IF(MIN(BU$38,$E581)&lt;MAX($P$34*($B581+$I$38-1),IF(AND($L$37=0,$P$34=0),"",$L$37-1)),0,YEARFRAC(MAX($P$34*($B581+$I$38-1),IF(AND($L$37=0,$P$34=0),"",$L$37-1)),MIN(BU$38,$E581),$P$20))-SUM($BF581:BT581))</f>
        <v>0</v>
      </c>
      <c r="BV581" s="446">
        <f>IF($E581=0,0,IF(MIN(BV$38,$E581)&lt;MAX($P$34*($B581+$I$38-1),IF(AND($L$37=0,$P$34=0),"",$L$37-1)),0,YEARFRAC(MAX($P$34*($B581+$I$38-1),IF(AND($L$37=0,$P$34=0),"",$L$37-1)),MIN(BV$38,$E581),$P$20))-SUM($BF581:BU581))</f>
        <v>0</v>
      </c>
      <c r="BW581" s="446">
        <f>IF($E581=0,0,IF(MIN(BW$38,$E581)&lt;MAX($P$34*($B581+$I$38-1),IF(AND($L$37=0,$P$34=0),"",$L$37-1)),0,YEARFRAC(MAX($P$34*($B581+$I$38-1),IF(AND($L$37=0,$P$34=0),"",$L$37-1)),MIN(BW$38,$E581),$P$20))-SUM($BF581:BV581))</f>
        <v>0</v>
      </c>
      <c r="BX581" s="446">
        <f>IF($E581=0,0,IF(MIN(BX$38,$E581)&lt;MAX($P$34*($B581+$I$38-1),IF(AND($L$37=0,$P$34=0),"",$L$37-1)),0,YEARFRAC(MAX($P$34*($B581+$I$38-1),IF(AND($L$37=0,$P$34=0),"",$L$37-1)),MIN(BX$38,$E581),$P$20))-SUM($BF581:BW581))</f>
        <v>0</v>
      </c>
      <c r="BY581" s="446">
        <f>IF($E581=0,0,IF(MIN(BY$38,$E581)&lt;MAX($P$34*($B581+$I$38-1),IF(AND($L$37=0,$P$34=0),"",$L$37-1)),0,YEARFRAC(MAX($P$34*($B581+$I$38-1),IF(AND($L$37=0,$P$34=0),"",$L$37-1)),MIN(BY$38,$E581),$P$20))-SUM($BF581:BX581))</f>
        <v>0</v>
      </c>
      <c r="BZ581" s="446">
        <f>IF($E581=0,0,IF(MIN(BZ$38,$E581)&lt;MAX($P$34*($B581+$I$38-1),IF(AND($L$37=0,$P$34=0),"",$L$37-1)),0,YEARFRAC(MAX($P$34*($B581+$I$38-1),IF(AND($L$37=0,$P$34=0),"",$L$37-1)),MIN(BZ$38,$E581),$P$20))-SUM($BF581:BY581))</f>
        <v>0</v>
      </c>
      <c r="CA581" s="446">
        <f>IF($E581=0,0,IF(MIN(CA$38,$E581)&lt;MAX($P$34*($B581+$I$38-1),IF(AND($L$37=0,$P$34=0),"",$L$37-1)),0,YEARFRAC(MAX($P$34*($B581+$I$38-1),IF(AND($L$37=0,$P$34=0),"",$L$37-1)),MIN(CA$38,$E581),$P$20))-SUM($BF581:BZ581))</f>
        <v>0</v>
      </c>
      <c r="CB581" s="446">
        <f>IF($E581=0,0,IF(MIN(CB$38,$E581)&lt;MAX($P$34*($B581+$I$38-1),IF(AND($L$37=0,$P$34=0),"",$L$37-1)),0,YEARFRAC(MAX($P$34*($B581+$I$38-1),IF(AND($L$37=0,$P$34=0),"",$L$37-1)),MIN(CB$38,$E581),$P$20))-SUM($BF581:CA581))</f>
        <v>0</v>
      </c>
      <c r="CC581" s="446">
        <f>IF($E581=0,0,IF(MIN(CC$38,$E581)&lt;MAX($P$34*($B581+$I$38-1),IF(AND($L$37=0,$P$34=0),"",$L$37-1)),0,YEARFRAC(MAX($P$34*($B581+$I$38-1),IF(AND($L$37=0,$P$34=0),"",$L$37-1)),MIN(CC$38,$E581),$P$20))-SUM($BF581:CB581))</f>
        <v>0</v>
      </c>
      <c r="CD581" s="446">
        <f>IF($E581=0,0,IF(MIN(CD$38,$E581)&lt;MAX($P$34*($B581+$I$38-1),IF(AND($L$37=0,$P$34=0),"",$L$37-1)),0,YEARFRAC(MAX($P$34*($B581+$I$38-1),IF(AND($L$37=0,$P$34=0),"",$L$37-1)),MIN(CD$38,$E581),$P$20))-SUM($BF581:CC581))</f>
        <v>0</v>
      </c>
      <c r="CE581" s="446">
        <f>IF($E581=0,0,IF(MIN(CE$38,$E581)&lt;MAX($P$34*($B581+$I$38-1),IF(AND($L$37=0,$P$34=0),"",$L$37-1)),0,YEARFRAC(MAX($P$34*($B581+$I$38-1),IF(AND($L$37=0,$P$34=0),"",$L$37-1)),MIN(CE$38,$E581),$P$20))-SUM($BF581:CD581))</f>
        <v>0</v>
      </c>
      <c r="CF581" s="446">
        <f>IF($E581=0,0,IF(MIN(CF$38,$E581)&lt;MAX($P$34*($B581+$I$38-1),IF(AND($L$37=0,$P$34=0),"",$L$37-1)),0,YEARFRAC(MAX($P$34*($B581+$I$38-1),IF(AND($L$37=0,$P$34=0),"",$L$37-1)),MIN(CF$38,$E581),$P$20))-SUM($BF581:CE581))</f>
        <v>0</v>
      </c>
      <c r="CG581" s="446">
        <f>IF($E581=0,0,IF(MIN(CG$38,$E581)&lt;MAX($P$34*($B581+$I$38-1),IF(AND($L$37=0,$P$34=0),"",$L$37-1)),0,YEARFRAC(MAX($P$34*($B581+$I$38-1),IF(AND($L$37=0,$P$34=0),"",$L$37-1)),MIN(CG$38,$E581),$P$20))-SUM($BF581:CF581))</f>
        <v>0</v>
      </c>
      <c r="CH581" s="446">
        <f>IF($E581=0,0,IF(MIN(CH$38,$E581)&lt;MAX($P$34*($B581+$I$38-1),IF(AND($L$37=0,$P$34=0),"",$L$37-1)),0,YEARFRAC(MAX($P$34*($B581+$I$38-1),IF(AND($L$37=0,$P$34=0),"",$L$37-1)),MIN(CH$38,$E581),$P$20))-SUM($BF581:CG581))</f>
        <v>0</v>
      </c>
      <c r="CI581" s="446">
        <f>IF($E581=0,0,IF(MIN(CI$38,$E581)&lt;MAX($P$34*($B581+$I$38-1),IF(AND($L$37=0,$P$34=0),"",$L$37-1)),0,YEARFRAC(MAX($P$34*($B581+$I$38-1),IF(AND($L$37=0,$P$34=0),"",$L$37-1)),MIN(CI$38,$E581),$P$20))-SUM($BF581:CH581))</f>
        <v>0</v>
      </c>
      <c r="CJ581" s="446">
        <f>IF($E581=0,0,IF(MIN(CJ$38,$E581)&lt;MAX($P$34*($B581+$I$38-1),IF(AND($L$37=0,$P$34=0),"",$L$37-1)),0,YEARFRAC(MAX($P$34*($B581+$I$38-1),IF(AND($L$37=0,$P$34=0),"",$L$37-1)),MIN(CJ$38,$E581),$P$20))-SUM($BF581:CI581))</f>
        <v>0</v>
      </c>
      <c r="CK581" s="446">
        <f>IF($E581=0,0,IF(MIN(CK$38,$E581)&lt;MAX($P$34*($B581+$I$38-1),IF(AND($L$37=0,$P$34=0),"",$L$37-1)),0,YEARFRAC(MAX($P$34*($B581+$I$38-1),IF(AND($L$37=0,$P$34=0),"",$L$37-1)),MIN(CK$38,$E581),$P$20))-SUM($BF581:CJ581))</f>
        <v>0</v>
      </c>
      <c r="CL581" s="446">
        <f>IF($E581=0,0,IF(MIN(CL$38,$E581)&lt;MAX($P$34*($B581+$I$38-1),IF(AND($L$37=0,$P$34=0),"",$L$37-1)),0,YEARFRAC(MAX($P$34*($B581+$I$38-1),IF(AND($L$37=0,$P$34=0),"",$L$37-1)),MIN(CL$38,$E581),$P$20))-SUM($BF581:CK581))</f>
        <v>0</v>
      </c>
      <c r="CM581" s="446">
        <f>IF($E581=0,0,IF(MIN(CM$38,$E581)&lt;MAX($P$34*($B581+$I$38-1),IF(AND($L$37=0,$P$34=0),"",$L$37-1)),0,YEARFRAC(MAX($P$34*($B581+$I$38-1),IF(AND($L$37=0,$P$34=0),"",$L$37-1)),MIN(CM$38,$E581),$P$20))-SUM($BF581:CL581))</f>
        <v>0</v>
      </c>
      <c r="CN581" s="446">
        <f>IF($E581=0,0,IF(MIN(CN$38,$E581)&lt;MAX($P$34*($B581+$I$38-1),IF(AND($L$37=0,$P$34=0),"",$L$37-1)),0,YEARFRAC(MAX($P$34*($B581+$I$38-1),IF(AND($L$37=0,$P$34=0),"",$L$37-1)),MIN(CN$38,$E581),$P$20))-SUM($BF581:CM581))</f>
        <v>0</v>
      </c>
      <c r="CO581" s="446">
        <f>IF($E581=0,0,IF(MIN(CO$38,$E581)&lt;MAX($P$34*($B581+$I$38-1),IF(AND($L$37=0,$P$34=0),"",$L$37-1)),0,YEARFRAC(MAX($P$34*($B581+$I$38-1),IF(AND($L$37=0,$P$34=0),"",$L$37-1)),MIN(CO$38,$E581),$P$20))-SUM($BF581:CN581))</f>
        <v>0</v>
      </c>
      <c r="CP581" s="446">
        <f>IF($E581=0,0,IF(MIN(CP$38,$E581)&lt;MAX($P$34*($B581+$I$38-1),IF(AND($L$37=0,$P$34=0),"",$L$37-1)),0,YEARFRAC(MAX($P$34*($B581+$I$38-1),IF(AND($L$37=0,$P$34=0),"",$L$37-1)),MIN(CP$38,$E581),$P$20))-SUM($BF581:CO581))</f>
        <v>0</v>
      </c>
      <c r="CQ581" s="446">
        <f>IF($E581=0,0,IF(MIN(CQ$38,$E581)&lt;MAX($P$34*($B581+$I$38-1),IF(AND($L$37=0,$P$34=0),"",$L$37-1)),0,YEARFRAC(MAX($P$34*($B581+$I$38-1),IF(AND($L$37=0,$P$34=0),"",$L$37-1)),MIN(CQ$38,$E581),$P$20))-SUM($BF581:CP581))</f>
        <v>0</v>
      </c>
    </row>
    <row r="582" spans="1:95" s="446" customFormat="1" ht="11.25" hidden="1" customHeight="1" x14ac:dyDescent="0.2">
      <c r="A582" s="152"/>
      <c r="B582" s="153" t="str">
        <f t="shared" si="103"/>
        <v/>
      </c>
      <c r="C582" s="29" t="str">
        <f>IF(B582="","",IF($L$35="SELIC - TRIBUTOS",VLOOKUP(DATE(YEAR($D$19),MONTH($D$19)-1,1),ÍNDICES!$A:$DE,HLOOKUP($BL$25,ÍNDICES!$B$3:$T$4,2)+11)-VLOOKUP(B582,ÍNDICES!$A:$DE,HLOOKUP($BL$25,ÍNDICES!$B$3:$T$4,2)+11)+1%,IF(C$38=$W$26,$J$35,IF(ISERROR(IF(B582&gt;$D$19,1,VLOOKUP(DATE(YEAR(B582),MONTH(B582)+IF($C$35=$S$23,1,0),1),ÍNDICES!$A:$DE,$Z$35+1))),"",IF(B582&gt;$D$19,1,VLOOKUP(DATE(YEAR(B582),MONTH(B582)+IF($C$35=$S$23,1,0),1),ÍNDICES!$A:$DE,$Z$35+1))))))</f>
        <v/>
      </c>
      <c r="D582" s="154" t="str">
        <f>IF(ISERROR(IF(OR($D$38=$Y$27,$B582=""),"",VLOOKUP(B582,ÍNDICES!A:DE,AF$35+1))),"",IF(OR($D$38=$Y$27,$B582=""),"",VLOOKUP(B582,ÍNDICES!A:DE,AF$35+1)))</f>
        <v/>
      </c>
      <c r="E582" s="153"/>
      <c r="F582" s="29" t="str">
        <f>IF(E582="","",IF($L$35="SELIC - TRIBUTOS",VLOOKUP(DATE(YEAR($D$19),MONTH($D$19)-1,1),ÍNDICES!$A:$DE,HLOOKUP($BL$25,ÍNDICES!$B$3:$T$4,2)+11)-VLOOKUP(E582,ÍNDICES!$A:$DE,HLOOKUP($BL$25,ÍNDICES!$B$3:$T$4,2)+11)+1%,IF(F$38=$W$26,$J$35,IF(ISERROR(IF(E582&gt;$D$19,1,VLOOKUP(DATE(YEAR(E582),MONTH(E582)+IF($C$35=$S$23,1,0),1),ÍNDICES!$A:$DE,$Z$35+1))),"",IF(E582&gt;$D$19,1,VLOOKUP(DATE(YEAR(E582),MONTH(E582)+IF($C$35=$S$23,1,0),1),ÍNDICES!$A:$DE,$Z$35+1))))))</f>
        <v/>
      </c>
      <c r="G582" s="155"/>
      <c r="H582" s="156" t="str">
        <f t="shared" si="99"/>
        <v/>
      </c>
      <c r="I582" s="29" t="str">
        <f t="shared" si="93"/>
        <v/>
      </c>
      <c r="J582" s="5">
        <f t="shared" si="94"/>
        <v>0</v>
      </c>
      <c r="K582" s="20">
        <f t="shared" ca="1" si="95"/>
        <v>0</v>
      </c>
      <c r="L582" s="5">
        <f t="shared" ca="1" si="96"/>
        <v>0</v>
      </c>
      <c r="M582" s="64">
        <f t="shared" si="100"/>
        <v>0</v>
      </c>
      <c r="N582" s="61">
        <f t="shared" ca="1" si="101"/>
        <v>0</v>
      </c>
      <c r="O582" s="5">
        <f t="shared" ca="1" si="102"/>
        <v>0</v>
      </c>
      <c r="P582" s="446" t="e">
        <f t="shared" si="97"/>
        <v>#VALUE!</v>
      </c>
      <c r="Q582" s="446" t="e">
        <f>IF(OR($B582="",MIN(Q$38,$D$19)&lt;MAX($P$34*($B582+IF($R$17="Distrato",$I$38-1,0)),IF(AND($L$37=0,$P$34=0),"",$L$37-1),IF($R$17="Distrato",$E582,0))),0,YEARFRAC(MAX($P$34*($B582+IF($R$17="Distrato",$I$38-1,0)),IF(AND($L$37=0,$P$34=0),"",$L$37-1),IF($R$17="Distrato",$E582,0)),MIN(Q$38,$D$19),$P$20))-SUM($P582:P582)</f>
        <v>#VALUE!</v>
      </c>
      <c r="R582" s="446" t="e">
        <f>IF(OR($B582="",MIN(R$38,$D$19)&lt;MAX($P$34*($B582+IF($R$17="Distrato",$I$38-1,0)),IF(AND($L$37=0,$P$34=0),"",$L$37-1),IF($R$17="Distrato",$E582,0))),0,YEARFRAC(MAX($P$34*($B582+IF($R$17="Distrato",$I$38-1,0)),IF(AND($L$37=0,$P$34=0),"",$L$37-1),IF($R$17="Distrato",$E582,0)),MIN(R$38,$D$19),$P$20))-SUM($P582:Q582)</f>
        <v>#VALUE!</v>
      </c>
      <c r="S582" s="446" t="e">
        <f>IF(OR($B582="",MIN(S$38,$D$19)&lt;MAX($P$34*($B582+IF($R$17="Distrato",$I$38-1,0)),IF(AND($L$37=0,$P$34=0),"",$L$37-1),IF($R$17="Distrato",$E582,0))),0,YEARFRAC(MAX($P$34*($B582+IF($R$17="Distrato",$I$38-1,0)),IF(AND($L$37=0,$P$34=0),"",$L$37-1),IF($R$17="Distrato",$E582,0)),MIN(S$38,$D$19),$P$20))-SUM($P582:R582)</f>
        <v>#VALUE!</v>
      </c>
      <c r="T582" s="446" t="e">
        <f>IF(OR($B582="",MIN(T$38,$D$19)&lt;MAX($P$34*($B582+IF($R$17="Distrato",$I$38-1,0)),IF(AND($L$37=0,$P$34=0),"",$L$37-1),IF($R$17="Distrato",$E582,0))),0,YEARFRAC(MAX($P$34*($B582+IF($R$17="Distrato",$I$38-1,0)),IF(AND($L$37=0,$P$34=0),"",$L$37-1),IF($R$17="Distrato",$E582,0)),MIN(T$38,$D$19),$P$20))-SUM($P582:S582)</f>
        <v>#VALUE!</v>
      </c>
      <c r="U582" s="446" t="e">
        <f>IF(OR($B582="",MIN(U$38,$D$19)&lt;MAX($P$34*($B582+IF($R$17="Distrato",$I$38-1,0)),IF(AND($L$37=0,$P$34=0),"",$L$37-1),IF($R$17="Distrato",$E582,0))),0,YEARFRAC(MAX($P$34*($B582+IF($R$17="Distrato",$I$38-1,0)),IF(AND($L$37=0,$P$34=0),"",$L$37-1),IF($R$17="Distrato",$E582,0)),MIN(U$38,$D$19),$P$20))-SUM($P582:T582)</f>
        <v>#VALUE!</v>
      </c>
      <c r="V582" s="446" t="e">
        <f>IF(OR($B582="",MIN(V$38,$D$19)&lt;MAX($P$34*($B582+IF($R$17="Distrato",$I$38-1,0)),IF(AND($L$37=0,$P$34=0),"",$L$37-1),IF($R$17="Distrato",$E582,0))),0,YEARFRAC(MAX($P$34*($B582+IF($R$17="Distrato",$I$38-1,0)),IF(AND($L$37=0,$P$34=0),"",$L$37-1),IF($R$17="Distrato",$E582,0)),MIN(V$38,$D$19),$P$20))-SUM($P582:U582)</f>
        <v>#VALUE!</v>
      </c>
      <c r="W582" s="446" t="e">
        <f>IF(OR($B582="",MIN(W$38,$D$19)&lt;MAX($P$34*($B582+IF($R$17="Distrato",$I$38-1,0)),IF(AND($L$37=0,$P$34=0),"",$L$37-1),IF($R$17="Distrato",$E582,0))),0,YEARFRAC(MAX($P$34*($B582+IF($R$17="Distrato",$I$38-1,0)),IF(AND($L$37=0,$P$34=0),"",$L$37-1),IF($R$17="Distrato",$E582,0)),MIN(W$38,$D$19),$P$20))-SUM($P582:V582)</f>
        <v>#VALUE!</v>
      </c>
      <c r="X582" s="446" t="e">
        <f>IF(OR($B582="",MIN(X$38,$D$19)&lt;MAX($P$34*($B582+IF($R$17="Distrato",$I$38-1,0)),IF(AND($L$37=0,$P$34=0),"",$L$37-1),IF($R$17="Distrato",$E582,0))),0,YEARFRAC(MAX($P$34*($B582+IF($R$17="Distrato",$I$38-1,0)),IF(AND($L$37=0,$P$34=0),"",$L$37-1),IF($R$17="Distrato",$E582,0)),MIN(X$38,$D$19),$P$20))-SUM($P582:W582)</f>
        <v>#VALUE!</v>
      </c>
      <c r="Y582" s="446" t="e">
        <f>IF(OR($B582="",MIN(Y$38,$D$19)&lt;MAX($P$34*($B582+IF($R$17="Distrato",$I$38-1,0)),IF(AND($L$37=0,$P$34=0),"",$L$37-1),IF($R$17="Distrato",$E582,0))),0,YEARFRAC(MAX($P$34*($B582+IF($R$17="Distrato",$I$38-1,0)),IF(AND($L$37=0,$P$34=0),"",$L$37-1),IF($R$17="Distrato",$E582,0)),MIN(Y$38,$D$19),$P$20))-SUM($P582:X582)</f>
        <v>#VALUE!</v>
      </c>
      <c r="Z582" s="446" t="e">
        <f>IF(OR($B582="",MIN(Z$38,$D$19)&lt;MAX($P$34*($B582+IF($R$17="Distrato",$I$38-1,0)),IF(AND($L$37=0,$P$34=0),"",$L$37-1),IF($R$17="Distrato",$E582,0))),0,YEARFRAC(MAX($P$34*($B582+IF($R$17="Distrato",$I$38-1,0)),IF(AND($L$37=0,$P$34=0),"",$L$37-1),IF($R$17="Distrato",$E582,0)),MIN(Z$38,$D$19),$P$20))-SUM($P582:Y582)</f>
        <v>#VALUE!</v>
      </c>
      <c r="AA582" s="446" t="e">
        <f>IF(OR($B582="",MIN(AA$38,$D$19)&lt;MAX($P$34*($B582+IF($R$17="Distrato",$I$38-1,0)),IF(AND($L$37=0,$P$34=0),"",$L$37-1),IF($R$17="Distrato",$E582,0))),0,YEARFRAC(MAX($P$34*($B582+IF($R$17="Distrato",$I$38-1,0)),IF(AND($L$37=0,$P$34=0),"",$L$37-1),IF($R$17="Distrato",$E582,0)),MIN(AA$38,$D$19),$P$20))-SUM($P582:Z582)</f>
        <v>#VALUE!</v>
      </c>
      <c r="AB582" s="446" t="e">
        <f>IF(OR($B582="",MIN(AB$38,$D$19)&lt;MAX($P$34*($B582+IF($R$17="Distrato",$I$38-1,0)),IF(AND($L$37=0,$P$34=0),"",$L$37-1),IF($R$17="Distrato",$E582,0))),0,YEARFRAC(MAX($P$34*($B582+IF($R$17="Distrato",$I$38-1,0)),IF(AND($L$37=0,$P$34=0),"",$L$37-1),IF($R$17="Distrato",$E582,0)),MIN(AB$38,$D$19),$P$20))-SUM($P582:AA582)</f>
        <v>#VALUE!</v>
      </c>
      <c r="AC582" s="446" t="e">
        <f>IF(OR($B582="",MIN(AC$38,$D$19)&lt;MAX($P$34*($B582+IF($R$17="Distrato",$I$38-1,0)),IF(AND($L$37=0,$P$34=0),"",$L$37-1),IF($R$17="Distrato",$E582,0))),0,YEARFRAC(MAX($P$34*($B582+IF($R$17="Distrato",$I$38-1,0)),IF(AND($L$37=0,$P$34=0),"",$L$37-1),IF($R$17="Distrato",$E582,0)),MIN(AC$38,$D$19),$P$20))-SUM($P582:AB582)</f>
        <v>#VALUE!</v>
      </c>
      <c r="AD582" s="446" t="e">
        <f>IF(OR($B582="",MIN(AD$38,$D$19)&lt;MAX($P$34*($B582+IF($R$17="Distrato",$I$38-1,0)),IF(AND($L$37=0,$P$34=0),"",$L$37-1),IF($R$17="Distrato",$E582,0))),0,YEARFRAC(MAX($P$34*($B582+IF($R$17="Distrato",$I$38-1,0)),IF(AND($L$37=0,$P$34=0),"",$L$37-1),IF($R$17="Distrato",$E582,0)),MIN(AD$38,$D$19),$P$20))-SUM($P582:AC582)</f>
        <v>#VALUE!</v>
      </c>
      <c r="AE582" s="446" t="e">
        <f>IF(OR($B582="",MIN(AE$38,$D$19)&lt;MAX($P$34*($B582+IF($R$17="Distrato",$I$38-1,0)),IF(AND($L$37=0,$P$34=0),"",$L$37-1),IF($R$17="Distrato",$E582,0))),0,YEARFRAC(MAX($P$34*($B582+IF($R$17="Distrato",$I$38-1,0)),IF(AND($L$37=0,$P$34=0),"",$L$37-1),IF($R$17="Distrato",$E582,0)),MIN(AE$38,$D$19),$P$20))-SUM($P582:AD582)</f>
        <v>#VALUE!</v>
      </c>
      <c r="AF582" s="446" t="e">
        <f>IF(OR($B582="",MIN(AF$38,$D$19)&lt;MAX($P$34*($B582+IF($R$17="Distrato",$I$38-1,0)),IF(AND($L$37=0,$P$34=0),"",$L$37-1),IF($R$17="Distrato",$E582,0))),0,YEARFRAC(MAX($P$34*($B582+IF($R$17="Distrato",$I$38-1,0)),IF(AND($L$37=0,$P$34=0),"",$L$37-1),IF($R$17="Distrato",$E582,0)),MIN(AF$38,$D$19),$P$20))-SUM($P582:AE582)</f>
        <v>#VALUE!</v>
      </c>
      <c r="AG582" s="446" t="e">
        <f>IF(OR($B582="",MIN(AG$38,$D$19)&lt;MAX($P$34*($B582+IF($R$17="Distrato",$I$38-1,0)),IF(AND($L$37=0,$P$34=0),"",$L$37-1),IF($R$17="Distrato",$E582,0))),0,YEARFRAC(MAX($P$34*($B582+IF($R$17="Distrato",$I$38-1,0)),IF(AND($L$37=0,$P$34=0),"",$L$37-1),IF($R$17="Distrato",$E582,0)),MIN(AG$38,$D$19),$P$20))-SUM($P582:AF582)</f>
        <v>#VALUE!</v>
      </c>
      <c r="AH582" s="446" t="e">
        <f>IF(OR($B582="",MIN(AH$38,$D$19)&lt;MAX($P$34*($B582+IF($R$17="Distrato",$I$38-1,0)),IF(AND($L$37=0,$P$34=0),"",$L$37-1),IF($R$17="Distrato",$E582,0))),0,YEARFRAC(MAX($P$34*($B582+IF($R$17="Distrato",$I$38-1,0)),IF(AND($L$37=0,$P$34=0),"",$L$37-1),IF($R$17="Distrato",$E582,0)),MIN(AH$38,$D$19),$P$20))-SUM($P582:AG582)</f>
        <v>#VALUE!</v>
      </c>
      <c r="AI582" s="446" t="e">
        <f>IF(OR($B582="",MIN(AI$38,$D$19)&lt;MAX($P$34*($B582+IF($R$17="Distrato",$I$38-1,0)),IF(AND($L$37=0,$P$34=0),"",$L$37-1),IF($R$17="Distrato",$E582,0))),0,YEARFRAC(MAX($P$34*($B582+IF($R$17="Distrato",$I$38-1,0)),IF(AND($L$37=0,$P$34=0),"",$L$37-1),IF($R$17="Distrato",$E582,0)),MIN(AI$38,$D$19),$P$20))-SUM($P582:AH582)</f>
        <v>#VALUE!</v>
      </c>
      <c r="AJ582" s="446" t="e">
        <f>IF(OR($B582="",MIN(AJ$38,$D$19)&lt;MAX($P$34*($B582+IF($R$17="Distrato",$I$38-1,0)),IF(AND($L$37=0,$P$34=0),"",$L$37-1),IF($R$17="Distrato",$E582,0))),0,YEARFRAC(MAX($P$34*($B582+IF($R$17="Distrato",$I$38-1,0)),IF(AND($L$37=0,$P$34=0),"",$L$37-1),IF($R$17="Distrato",$E582,0)),MIN(AJ$38,$D$19),$P$20))-SUM($P582:AI582)</f>
        <v>#VALUE!</v>
      </c>
      <c r="AK582" s="446" t="e">
        <f>IF(OR($B582="",MIN(AK$38,$D$19)&lt;MAX($P$34*($B582+IF($R$17="Distrato",$I$38-1,0)),IF(AND($L$37=0,$P$34=0),"",$L$37-1),IF($R$17="Distrato",$E582,0))),0,YEARFRAC(MAX($P$34*($B582+IF($R$17="Distrato",$I$38-1,0)),IF(AND($L$37=0,$P$34=0),"",$L$37-1),IF($R$17="Distrato",$E582,0)),MIN(AK$38,$D$19),$P$20))-SUM($P582:AJ582)</f>
        <v>#VALUE!</v>
      </c>
      <c r="AL582" s="446" t="e">
        <f>IF(OR($B582="",MIN(AL$38,$D$19)&lt;MAX($P$34*($B582+IF($R$17="Distrato",$I$38-1,0)),IF(AND($L$37=0,$P$34=0),"",$L$37-1),IF($R$17="Distrato",$E582,0))),0,YEARFRAC(MAX($P$34*($B582+IF($R$17="Distrato",$I$38-1,0)),IF(AND($L$37=0,$P$34=0),"",$L$37-1),IF($R$17="Distrato",$E582,0)),MIN(AL$38,$D$19),$P$20))-SUM($P582:AK582)</f>
        <v>#VALUE!</v>
      </c>
      <c r="AM582" s="446" t="e">
        <f>IF(OR($B582="",MIN(AM$38,$D$19)&lt;MAX($P$34*($B582+IF($R$17="Distrato",$I$38-1,0)),IF(AND($L$37=0,$P$34=0),"",$L$37-1),IF($R$17="Distrato",$E582,0))),0,YEARFRAC(MAX($P$34*($B582+IF($R$17="Distrato",$I$38-1,0)),IF(AND($L$37=0,$P$34=0),"",$L$37-1),IF($R$17="Distrato",$E582,0)),MIN(AM$38,$D$19),$P$20))-SUM($P582:AL582)</f>
        <v>#VALUE!</v>
      </c>
      <c r="AN582" s="446" t="e">
        <f>IF(OR($B582="",MIN(AN$38,$D$19)&lt;MAX($P$34*($B582+IF($R$17="Distrato",$I$38-1,0)),IF(AND($L$37=0,$P$34=0),"",$L$37-1),IF($R$17="Distrato",$E582,0))),0,YEARFRAC(MAX($P$34*($B582+IF($R$17="Distrato",$I$38-1,0)),IF(AND($L$37=0,$P$34=0),"",$L$37-1),IF($R$17="Distrato",$E582,0)),MIN(AN$38,$D$19),$P$20))-SUM($P582:AM582)</f>
        <v>#VALUE!</v>
      </c>
      <c r="AO582" s="446" t="e">
        <f>IF(OR($B582="",MIN(AO$38,$D$19)&lt;MAX($P$34*($B582+IF($R$17="Distrato",$I$38-1,0)),IF(AND($L$37=0,$P$34=0),"",$L$37-1),IF($R$17="Distrato",$E582,0))),0,YEARFRAC(MAX($P$34*($B582+IF($R$17="Distrato",$I$38-1,0)),IF(AND($L$37=0,$P$34=0),"",$L$37-1),IF($R$17="Distrato",$E582,0)),MIN(AO$38,$D$19),$P$20))-SUM($P582:AN582)</f>
        <v>#VALUE!</v>
      </c>
      <c r="AP582" s="446" t="e">
        <f>IF(OR($B582="",MIN(AP$38,$D$19)&lt;MAX($P$34*($B582+IF($R$17="Distrato",$I$38-1,0)),IF(AND($L$37=0,$P$34=0),"",$L$37-1),IF($R$17="Distrato",$E582,0))),0,YEARFRAC(MAX($P$34*($B582+IF($R$17="Distrato",$I$38-1,0)),IF(AND($L$37=0,$P$34=0),"",$L$37-1),IF($R$17="Distrato",$E582,0)),MIN(AP$38,$D$19),$P$20))-SUM($P582:AO582)</f>
        <v>#VALUE!</v>
      </c>
      <c r="AQ582" s="446" t="e">
        <f>IF(OR($B582="",MIN(AQ$38,$D$19)&lt;MAX($P$34*($B582+IF($R$17="Distrato",$I$38-1,0)),IF(AND($L$37=0,$P$34=0),"",$L$37-1),IF($R$17="Distrato",$E582,0))),0,YEARFRAC(MAX($P$34*($B582+IF($R$17="Distrato",$I$38-1,0)),IF(AND($L$37=0,$P$34=0),"",$L$37-1),IF($R$17="Distrato",$E582,0)),MIN(AQ$38,$D$19),$P$20))-SUM($P582:AP582)</f>
        <v>#VALUE!</v>
      </c>
      <c r="AR582" s="446" t="e">
        <f>IF(OR($B582="",MIN(AR$38,$D$19)&lt;MAX($P$34*($B582+IF($R$17="Distrato",$I$38-1,0)),IF(AND($L$37=0,$P$34=0),"",$L$37-1),IF($R$17="Distrato",$E582,0))),0,YEARFRAC(MAX($P$34*($B582+IF($R$17="Distrato",$I$38-1,0)),IF(AND($L$37=0,$P$34=0),"",$L$37-1),IF($R$17="Distrato",$E582,0)),MIN(AR$38,$D$19),$P$20))-SUM($P582:AQ582)</f>
        <v>#VALUE!</v>
      </c>
      <c r="AS582" s="446" t="e">
        <f>IF(OR($B582="",MIN(AS$38,$D$19)&lt;MAX($P$34*($B582+IF($R$17="Distrato",$I$38-1,0)),IF(AND($L$37=0,$P$34=0),"",$L$37-1),IF($R$17="Distrato",$E582,0))),0,YEARFRAC(MAX($P$34*($B582+IF($R$17="Distrato",$I$38-1,0)),IF(AND($L$37=0,$P$34=0),"",$L$37-1),IF($R$17="Distrato",$E582,0)),MIN(AS$38,$D$19),$P$20))-SUM($P582:AR582)</f>
        <v>#VALUE!</v>
      </c>
      <c r="AT582" s="446" t="e">
        <f>IF(OR($B582="",MIN(AT$38,$D$19)&lt;MAX($P$34*($B582+IF($R$17="Distrato",$I$38-1,0)),IF(AND($L$37=0,$P$34=0),"",$L$37-1),IF($R$17="Distrato",$E582,0))),0,YEARFRAC(MAX($P$34*($B582+IF($R$17="Distrato",$I$38-1,0)),IF(AND($L$37=0,$P$34=0),"",$L$37-1),IF($R$17="Distrato",$E582,0)),MIN(AT$38,$D$19),$P$20))-SUM($P582:AS582)</f>
        <v>#VALUE!</v>
      </c>
      <c r="AU582" s="446" t="e">
        <f>IF(OR($B582="",MIN(AU$38,$D$19)&lt;MAX($P$34*($B582+IF($R$17="Distrato",$I$38-1,0)),IF(AND($L$37=0,$P$34=0),"",$L$37-1),IF($R$17="Distrato",$E582,0))),0,YEARFRAC(MAX($P$34*($B582+IF($R$17="Distrato",$I$38-1,0)),IF(AND($L$37=0,$P$34=0),"",$L$37-1),IF($R$17="Distrato",$E582,0)),MIN(AU$38,$D$19),$P$20))-SUM($P582:AT582)</f>
        <v>#VALUE!</v>
      </c>
      <c r="AV582" s="446" t="e">
        <f>IF(OR($B582="",MIN(AV$38,$D$19)&lt;MAX($P$34*($B582+IF($R$17="Distrato",$I$38-1,0)),IF(AND($L$37=0,$P$34=0),"",$L$37-1),IF($R$17="Distrato",$E582,0))),0,YEARFRAC(MAX($P$34*($B582+IF($R$17="Distrato",$I$38-1,0)),IF(AND($L$37=0,$P$34=0),"",$L$37-1),IF($R$17="Distrato",$E582,0)),MIN(AV$38,$D$19),$P$20))-SUM($P582:AU582)</f>
        <v>#VALUE!</v>
      </c>
      <c r="AW582" s="446" t="e">
        <f>IF(OR($B582="",MIN(AW$38,$D$19)&lt;MAX($P$34*($B582+IF($R$17="Distrato",$I$38-1,0)),IF(AND($L$37=0,$P$34=0),"",$L$37-1),IF($R$17="Distrato",$E582,0))),0,YEARFRAC(MAX($P$34*($B582+IF($R$17="Distrato",$I$38-1,0)),IF(AND($L$37=0,$P$34=0),"",$L$37-1),IF($R$17="Distrato",$E582,0)),MIN(AW$38,$D$19),$P$20))-SUM($P582:AV582)</f>
        <v>#VALUE!</v>
      </c>
      <c r="AX582" s="446" t="e">
        <f>IF(OR($B582="",MIN(AX$38,$D$19)&lt;MAX($P$34*($B582+IF($R$17="Distrato",$I$38-1,0)),IF(AND($L$37=0,$P$34=0),"",$L$37-1),IF($R$17="Distrato",$E582,0))),0,YEARFRAC(MAX($P$34*($B582+IF($R$17="Distrato",$I$38-1,0)),IF(AND($L$37=0,$P$34=0),"",$L$37-1),IF($R$17="Distrato",$E582,0)),MIN(AX$38,$D$19),$P$20))-SUM($P582:AW582)</f>
        <v>#VALUE!</v>
      </c>
      <c r="AY582" s="446" t="e">
        <f>IF(OR($B582="",MIN(AY$38,$D$19)&lt;MAX($P$34*($B582+IF($R$17="Distrato",$I$38-1,0)),IF(AND($L$37=0,$P$34=0),"",$L$37-1),IF($R$17="Distrato",$E582,0))),0,YEARFRAC(MAX($P$34*($B582+IF($R$17="Distrato",$I$38-1,0)),IF(AND($L$37=0,$P$34=0),"",$L$37-1),IF($R$17="Distrato",$E582,0)),MIN(AY$38,$D$19),$P$20))-SUM($P582:AX582)</f>
        <v>#VALUE!</v>
      </c>
      <c r="AZ582" s="446" t="e">
        <f>IF(OR($B582="",MIN(AZ$38,$D$19)&lt;MAX($P$34*($B582+IF($R$17="Distrato",$I$38-1,0)),IF(AND($L$37=0,$P$34=0),"",$L$37-1),IF($R$17="Distrato",$E582,0))),0,YEARFRAC(MAX($P$34*($B582+IF($R$17="Distrato",$I$38-1,0)),IF(AND($L$37=0,$P$34=0),"",$L$37-1),IF($R$17="Distrato",$E582,0)),MIN(AZ$38,$D$19),$P$20))-SUM($P582:AY582)</f>
        <v>#VALUE!</v>
      </c>
      <c r="BA582" s="446" t="e">
        <f>IF(OR($B582="",MIN(BA$38,$D$19)&lt;MAX($P$34*($B582+IF($R$17="Distrato",$I$38-1,0)),IF(AND($L$37=0,$P$34=0),"",$L$37-1),IF($R$17="Distrato",$E582,0))),0,YEARFRAC(MAX($P$34*($B582+IF($R$17="Distrato",$I$38-1,0)),IF(AND($L$37=0,$P$34=0),"",$L$37-1),IF($R$17="Distrato",$E582,0)),MIN(BA$38,$D$19),$P$20))-SUM($P582:AZ582)</f>
        <v>#VALUE!</v>
      </c>
      <c r="BB582" s="447"/>
      <c r="BF582" s="446">
        <f t="shared" si="98"/>
        <v>0</v>
      </c>
      <c r="BG582" s="446">
        <f>IF($E582=0,0,IF(MIN(BG$38,$E582)&lt;MAX($P$34*($B582+$I$38-1),IF(AND($L$37=0,$P$34=0),"",$L$37-1)),0,YEARFRAC(MAX($P$34*($B582+$I$38-1),IF(AND($L$37=0,$P$34=0),"",$L$37-1)),MIN(BG$38,$E582),$P$20))-SUM($BF582:BF582))</f>
        <v>0</v>
      </c>
      <c r="BH582" s="446">
        <f>IF($E582=0,0,IF(MIN(BH$38,$E582)&lt;MAX($P$34*($B582+$I$38-1),IF(AND($L$37=0,$P$34=0),"",$L$37-1)),0,YEARFRAC(MAX($P$34*($B582+$I$38-1),IF(AND($L$37=0,$P$34=0),"",$L$37-1)),MIN(BH$38,$E582),$P$20))-SUM($BF582:BG582))</f>
        <v>0</v>
      </c>
      <c r="BI582" s="446">
        <f>IF($E582=0,0,IF(MIN(BI$38,$E582)&lt;MAX($P$34*($B582+$I$38-1),IF(AND($L$37=0,$P$34=0),"",$L$37-1)),0,YEARFRAC(MAX($P$34*($B582+$I$38-1),IF(AND($L$37=0,$P$34=0),"",$L$37-1)),MIN(BI$38,$E582),$P$20))-SUM($BF582:BH582))</f>
        <v>0</v>
      </c>
      <c r="BJ582" s="446">
        <f>IF($E582=0,0,IF(MIN(BJ$38,$E582)&lt;MAX($P$34*($B582+$I$38-1),IF(AND($L$37=0,$P$34=0),"",$L$37-1)),0,YEARFRAC(MAX($P$34*($B582+$I$38-1),IF(AND($L$37=0,$P$34=0),"",$L$37-1)),MIN(BJ$38,$E582),$P$20))-SUM($BF582:BI582))</f>
        <v>0</v>
      </c>
      <c r="BK582" s="446">
        <f>IF($E582=0,0,IF(MIN(BK$38,$E582)&lt;MAX($P$34*($B582+$I$38-1),IF(AND($L$37=0,$P$34=0),"",$L$37-1)),0,YEARFRAC(MAX($P$34*($B582+$I$38-1),IF(AND($L$37=0,$P$34=0),"",$L$37-1)),MIN(BK$38,$E582),$P$20))-SUM($BF582:BJ582))</f>
        <v>0</v>
      </c>
      <c r="BL582" s="446">
        <f>IF($E582=0,0,IF(MIN(BL$38,$E582)&lt;MAX($P$34*($B582+$I$38-1),IF(AND($L$37=0,$P$34=0),"",$L$37-1)),0,YEARFRAC(MAX($P$34*($B582+$I$38-1),IF(AND($L$37=0,$P$34=0),"",$L$37-1)),MIN(BL$38,$E582),$P$20))-SUM($BF582:BK582))</f>
        <v>0</v>
      </c>
      <c r="BM582" s="446">
        <f>IF($E582=0,0,IF(MIN(BM$38,$E582)&lt;MAX($P$34*($B582+$I$38-1),IF(AND($L$37=0,$P$34=0),"",$L$37-1)),0,YEARFRAC(MAX($P$34*($B582+$I$38-1),IF(AND($L$37=0,$P$34=0),"",$L$37-1)),MIN(BM$38,$E582),$P$20))-SUM($BF582:BL582))</f>
        <v>0</v>
      </c>
      <c r="BN582" s="446">
        <f>IF($E582=0,0,IF(MIN(BN$38,$E582)&lt;MAX($P$34*($B582+$I$38-1),IF(AND($L$37=0,$P$34=0),"",$L$37-1)),0,YEARFRAC(MAX($P$34*($B582+$I$38-1),IF(AND($L$37=0,$P$34=0),"",$L$37-1)),MIN(BN$38,$E582),$P$20))-SUM($BF582:BM582))</f>
        <v>0</v>
      </c>
      <c r="BO582" s="446">
        <f>IF($E582=0,0,IF(MIN(BO$38,$E582)&lt;MAX($P$34*($B582+$I$38-1),IF(AND($L$37=0,$P$34=0),"",$L$37-1)),0,YEARFRAC(MAX($P$34*($B582+$I$38-1),IF(AND($L$37=0,$P$34=0),"",$L$37-1)),MIN(BO$38,$E582),$P$20))-SUM($BF582:BN582))</f>
        <v>0</v>
      </c>
      <c r="BP582" s="446">
        <f>IF($E582=0,0,IF(MIN(BP$38,$E582)&lt;MAX($P$34*($B582+$I$38-1),IF(AND($L$37=0,$P$34=0),"",$L$37-1)),0,YEARFRAC(MAX($P$34*($B582+$I$38-1),IF(AND($L$37=0,$P$34=0),"",$L$37-1)),MIN(BP$38,$E582),$P$20))-SUM($BF582:BO582))</f>
        <v>0</v>
      </c>
      <c r="BQ582" s="446">
        <f>IF($E582=0,0,IF(MIN(BQ$38,$E582)&lt;MAX($P$34*($B582+$I$38-1),IF(AND($L$37=0,$P$34=0),"",$L$37-1)),0,YEARFRAC(MAX($P$34*($B582+$I$38-1),IF(AND($L$37=0,$P$34=0),"",$L$37-1)),MIN(BQ$38,$E582),$P$20))-SUM($BF582:BP582))</f>
        <v>0</v>
      </c>
      <c r="BR582" s="446">
        <f>IF($E582=0,0,IF(MIN(BR$38,$E582)&lt;MAX($P$34*($B582+$I$38-1),IF(AND($L$37=0,$P$34=0),"",$L$37-1)),0,YEARFRAC(MAX($P$34*($B582+$I$38-1),IF(AND($L$37=0,$P$34=0),"",$L$37-1)),MIN(BR$38,$E582),$P$20))-SUM($BF582:BQ582))</f>
        <v>0</v>
      </c>
      <c r="BS582" s="446">
        <f>IF($E582=0,0,IF(MIN(BS$38,$E582)&lt;MAX($P$34*($B582+$I$38-1),IF(AND($L$37=0,$P$34=0),"",$L$37-1)),0,YEARFRAC(MAX($P$34*($B582+$I$38-1),IF(AND($L$37=0,$P$34=0),"",$L$37-1)),MIN(BS$38,$E582),$P$20))-SUM($BF582:BR582))</f>
        <v>0</v>
      </c>
      <c r="BT582" s="446">
        <f>IF($E582=0,0,IF(MIN(BT$38,$E582)&lt;MAX($P$34*($B582+$I$38-1),IF(AND($L$37=0,$P$34=0),"",$L$37-1)),0,YEARFRAC(MAX($P$34*($B582+$I$38-1),IF(AND($L$37=0,$P$34=0),"",$L$37-1)),MIN(BT$38,$E582),$P$20))-SUM($BF582:BS582))</f>
        <v>0</v>
      </c>
      <c r="BU582" s="446">
        <f>IF($E582=0,0,IF(MIN(BU$38,$E582)&lt;MAX($P$34*($B582+$I$38-1),IF(AND($L$37=0,$P$34=0),"",$L$37-1)),0,YEARFRAC(MAX($P$34*($B582+$I$38-1),IF(AND($L$37=0,$P$34=0),"",$L$37-1)),MIN(BU$38,$E582),$P$20))-SUM($BF582:BT582))</f>
        <v>0</v>
      </c>
      <c r="BV582" s="446">
        <f>IF($E582=0,0,IF(MIN(BV$38,$E582)&lt;MAX($P$34*($B582+$I$38-1),IF(AND($L$37=0,$P$34=0),"",$L$37-1)),0,YEARFRAC(MAX($P$34*($B582+$I$38-1),IF(AND($L$37=0,$P$34=0),"",$L$37-1)),MIN(BV$38,$E582),$P$20))-SUM($BF582:BU582))</f>
        <v>0</v>
      </c>
      <c r="BW582" s="446">
        <f>IF($E582=0,0,IF(MIN(BW$38,$E582)&lt;MAX($P$34*($B582+$I$38-1),IF(AND($L$37=0,$P$34=0),"",$L$37-1)),0,YEARFRAC(MAX($P$34*($B582+$I$38-1),IF(AND($L$37=0,$P$34=0),"",$L$37-1)),MIN(BW$38,$E582),$P$20))-SUM($BF582:BV582))</f>
        <v>0</v>
      </c>
      <c r="BX582" s="446">
        <f>IF($E582=0,0,IF(MIN(BX$38,$E582)&lt;MAX($P$34*($B582+$I$38-1),IF(AND($L$37=0,$P$34=0),"",$L$37-1)),0,YEARFRAC(MAX($P$34*($B582+$I$38-1),IF(AND($L$37=0,$P$34=0),"",$L$37-1)),MIN(BX$38,$E582),$P$20))-SUM($BF582:BW582))</f>
        <v>0</v>
      </c>
      <c r="BY582" s="446">
        <f>IF($E582=0,0,IF(MIN(BY$38,$E582)&lt;MAX($P$34*($B582+$I$38-1),IF(AND($L$37=0,$P$34=0),"",$L$37-1)),0,YEARFRAC(MAX($P$34*($B582+$I$38-1),IF(AND($L$37=0,$P$34=0),"",$L$37-1)),MIN(BY$38,$E582),$P$20))-SUM($BF582:BX582))</f>
        <v>0</v>
      </c>
      <c r="BZ582" s="446">
        <f>IF($E582=0,0,IF(MIN(BZ$38,$E582)&lt;MAX($P$34*($B582+$I$38-1),IF(AND($L$37=0,$P$34=0),"",$L$37-1)),0,YEARFRAC(MAX($P$34*($B582+$I$38-1),IF(AND($L$37=0,$P$34=0),"",$L$37-1)),MIN(BZ$38,$E582),$P$20))-SUM($BF582:BY582))</f>
        <v>0</v>
      </c>
      <c r="CA582" s="446">
        <f>IF($E582=0,0,IF(MIN(CA$38,$E582)&lt;MAX($P$34*($B582+$I$38-1),IF(AND($L$37=0,$P$34=0),"",$L$37-1)),0,YEARFRAC(MAX($P$34*($B582+$I$38-1),IF(AND($L$37=0,$P$34=0),"",$L$37-1)),MIN(CA$38,$E582),$P$20))-SUM($BF582:BZ582))</f>
        <v>0</v>
      </c>
      <c r="CB582" s="446">
        <f>IF($E582=0,0,IF(MIN(CB$38,$E582)&lt;MAX($P$34*($B582+$I$38-1),IF(AND($L$37=0,$P$34=0),"",$L$37-1)),0,YEARFRAC(MAX($P$34*($B582+$I$38-1),IF(AND($L$37=0,$P$34=0),"",$L$37-1)),MIN(CB$38,$E582),$P$20))-SUM($BF582:CA582))</f>
        <v>0</v>
      </c>
      <c r="CC582" s="446">
        <f>IF($E582=0,0,IF(MIN(CC$38,$E582)&lt;MAX($P$34*($B582+$I$38-1),IF(AND($L$37=0,$P$34=0),"",$L$37-1)),0,YEARFRAC(MAX($P$34*($B582+$I$38-1),IF(AND($L$37=0,$P$34=0),"",$L$37-1)),MIN(CC$38,$E582),$P$20))-SUM($BF582:CB582))</f>
        <v>0</v>
      </c>
      <c r="CD582" s="446">
        <f>IF($E582=0,0,IF(MIN(CD$38,$E582)&lt;MAX($P$34*($B582+$I$38-1),IF(AND($L$37=0,$P$34=0),"",$L$37-1)),0,YEARFRAC(MAX($P$34*($B582+$I$38-1),IF(AND($L$37=0,$P$34=0),"",$L$37-1)),MIN(CD$38,$E582),$P$20))-SUM($BF582:CC582))</f>
        <v>0</v>
      </c>
      <c r="CE582" s="446">
        <f>IF($E582=0,0,IF(MIN(CE$38,$E582)&lt;MAX($P$34*($B582+$I$38-1),IF(AND($L$37=0,$P$34=0),"",$L$37-1)),0,YEARFRAC(MAX($P$34*($B582+$I$38-1),IF(AND($L$37=0,$P$34=0),"",$L$37-1)),MIN(CE$38,$E582),$P$20))-SUM($BF582:CD582))</f>
        <v>0</v>
      </c>
      <c r="CF582" s="446">
        <f>IF($E582=0,0,IF(MIN(CF$38,$E582)&lt;MAX($P$34*($B582+$I$38-1),IF(AND($L$37=0,$P$34=0),"",$L$37-1)),0,YEARFRAC(MAX($P$34*($B582+$I$38-1),IF(AND($L$37=0,$P$34=0),"",$L$37-1)),MIN(CF$38,$E582),$P$20))-SUM($BF582:CE582))</f>
        <v>0</v>
      </c>
      <c r="CG582" s="446">
        <f>IF($E582=0,0,IF(MIN(CG$38,$E582)&lt;MAX($P$34*($B582+$I$38-1),IF(AND($L$37=0,$P$34=0),"",$L$37-1)),0,YEARFRAC(MAX($P$34*($B582+$I$38-1),IF(AND($L$37=0,$P$34=0),"",$L$37-1)),MIN(CG$38,$E582),$P$20))-SUM($BF582:CF582))</f>
        <v>0</v>
      </c>
      <c r="CH582" s="446">
        <f>IF($E582=0,0,IF(MIN(CH$38,$E582)&lt;MAX($P$34*($B582+$I$38-1),IF(AND($L$37=0,$P$34=0),"",$L$37-1)),0,YEARFRAC(MAX($P$34*($B582+$I$38-1),IF(AND($L$37=0,$P$34=0),"",$L$37-1)),MIN(CH$38,$E582),$P$20))-SUM($BF582:CG582))</f>
        <v>0</v>
      </c>
      <c r="CI582" s="446">
        <f>IF($E582=0,0,IF(MIN(CI$38,$E582)&lt;MAX($P$34*($B582+$I$38-1),IF(AND($L$37=0,$P$34=0),"",$L$37-1)),0,YEARFRAC(MAX($P$34*($B582+$I$38-1),IF(AND($L$37=0,$P$34=0),"",$L$37-1)),MIN(CI$38,$E582),$P$20))-SUM($BF582:CH582))</f>
        <v>0</v>
      </c>
      <c r="CJ582" s="446">
        <f>IF($E582=0,0,IF(MIN(CJ$38,$E582)&lt;MAX($P$34*($B582+$I$38-1),IF(AND($L$37=0,$P$34=0),"",$L$37-1)),0,YEARFRAC(MAX($P$34*($B582+$I$38-1),IF(AND($L$37=0,$P$34=0),"",$L$37-1)),MIN(CJ$38,$E582),$P$20))-SUM($BF582:CI582))</f>
        <v>0</v>
      </c>
      <c r="CK582" s="446">
        <f>IF($E582=0,0,IF(MIN(CK$38,$E582)&lt;MAX($P$34*($B582+$I$38-1),IF(AND($L$37=0,$P$34=0),"",$L$37-1)),0,YEARFRAC(MAX($P$34*($B582+$I$38-1),IF(AND($L$37=0,$P$34=0),"",$L$37-1)),MIN(CK$38,$E582),$P$20))-SUM($BF582:CJ582))</f>
        <v>0</v>
      </c>
      <c r="CL582" s="446">
        <f>IF($E582=0,0,IF(MIN(CL$38,$E582)&lt;MAX($P$34*($B582+$I$38-1),IF(AND($L$37=0,$P$34=0),"",$L$37-1)),0,YEARFRAC(MAX($P$34*($B582+$I$38-1),IF(AND($L$37=0,$P$34=0),"",$L$37-1)),MIN(CL$38,$E582),$P$20))-SUM($BF582:CK582))</f>
        <v>0</v>
      </c>
      <c r="CM582" s="446">
        <f>IF($E582=0,0,IF(MIN(CM$38,$E582)&lt;MAX($P$34*($B582+$I$38-1),IF(AND($L$37=0,$P$34=0),"",$L$37-1)),0,YEARFRAC(MAX($P$34*($B582+$I$38-1),IF(AND($L$37=0,$P$34=0),"",$L$37-1)),MIN(CM$38,$E582),$P$20))-SUM($BF582:CL582))</f>
        <v>0</v>
      </c>
      <c r="CN582" s="446">
        <f>IF($E582=0,0,IF(MIN(CN$38,$E582)&lt;MAX($P$34*($B582+$I$38-1),IF(AND($L$37=0,$P$34=0),"",$L$37-1)),0,YEARFRAC(MAX($P$34*($B582+$I$38-1),IF(AND($L$37=0,$P$34=0),"",$L$37-1)),MIN(CN$38,$E582),$P$20))-SUM($BF582:CM582))</f>
        <v>0</v>
      </c>
      <c r="CO582" s="446">
        <f>IF($E582=0,0,IF(MIN(CO$38,$E582)&lt;MAX($P$34*($B582+$I$38-1),IF(AND($L$37=0,$P$34=0),"",$L$37-1)),0,YEARFRAC(MAX($P$34*($B582+$I$38-1),IF(AND($L$37=0,$P$34=0),"",$L$37-1)),MIN(CO$38,$E582),$P$20))-SUM($BF582:CN582))</f>
        <v>0</v>
      </c>
      <c r="CP582" s="446">
        <f>IF($E582=0,0,IF(MIN(CP$38,$E582)&lt;MAX($P$34*($B582+$I$38-1),IF(AND($L$37=0,$P$34=0),"",$L$37-1)),0,YEARFRAC(MAX($P$34*($B582+$I$38-1),IF(AND($L$37=0,$P$34=0),"",$L$37-1)),MIN(CP$38,$E582),$P$20))-SUM($BF582:CO582))</f>
        <v>0</v>
      </c>
      <c r="CQ582" s="446">
        <f>IF($E582=0,0,IF(MIN(CQ$38,$E582)&lt;MAX($P$34*($B582+$I$38-1),IF(AND($L$37=0,$P$34=0),"",$L$37-1)),0,YEARFRAC(MAX($P$34*($B582+$I$38-1),IF(AND($L$37=0,$P$34=0),"",$L$37-1)),MIN(CQ$38,$E582),$P$20))-SUM($BF582:CP582))</f>
        <v>0</v>
      </c>
    </row>
    <row r="583" spans="1:95" s="446" customFormat="1" ht="11.25" hidden="1" customHeight="1" x14ac:dyDescent="0.2">
      <c r="A583" s="152"/>
      <c r="B583" s="153" t="str">
        <f t="shared" si="103"/>
        <v/>
      </c>
      <c r="C583" s="29" t="str">
        <f>IF(B583="","",IF($L$35="SELIC - TRIBUTOS",VLOOKUP(DATE(YEAR($D$19),MONTH($D$19)-1,1),ÍNDICES!$A:$DE,HLOOKUP($BL$25,ÍNDICES!$B$3:$T$4,2)+11)-VLOOKUP(B583,ÍNDICES!$A:$DE,HLOOKUP($BL$25,ÍNDICES!$B$3:$T$4,2)+11)+1%,IF(C$38=$W$26,$J$35,IF(ISERROR(IF(B583&gt;$D$19,1,VLOOKUP(DATE(YEAR(B583),MONTH(B583)+IF($C$35=$S$23,1,0),1),ÍNDICES!$A:$DE,$Z$35+1))),"",IF(B583&gt;$D$19,1,VLOOKUP(DATE(YEAR(B583),MONTH(B583)+IF($C$35=$S$23,1,0),1),ÍNDICES!$A:$DE,$Z$35+1))))))</f>
        <v/>
      </c>
      <c r="D583" s="154" t="str">
        <f>IF(ISERROR(IF(OR($D$38=$Y$27,$B583=""),"",VLOOKUP(B583,ÍNDICES!A:DE,AF$35+1))),"",IF(OR($D$38=$Y$27,$B583=""),"",VLOOKUP(B583,ÍNDICES!A:DE,AF$35+1)))</f>
        <v/>
      </c>
      <c r="E583" s="153"/>
      <c r="F583" s="29" t="str">
        <f>IF(E583="","",IF($L$35="SELIC - TRIBUTOS",VLOOKUP(DATE(YEAR($D$19),MONTH($D$19)-1,1),ÍNDICES!$A:$DE,HLOOKUP($BL$25,ÍNDICES!$B$3:$T$4,2)+11)-VLOOKUP(E583,ÍNDICES!$A:$DE,HLOOKUP($BL$25,ÍNDICES!$B$3:$T$4,2)+11)+1%,IF(F$38=$W$26,$J$35,IF(ISERROR(IF(E583&gt;$D$19,1,VLOOKUP(DATE(YEAR(E583),MONTH(E583)+IF($C$35=$S$23,1,0),1),ÍNDICES!$A:$DE,$Z$35+1))),"",IF(E583&gt;$D$19,1,VLOOKUP(DATE(YEAR(E583),MONTH(E583)+IF($C$35=$S$23,1,0),1),ÍNDICES!$A:$DE,$Z$35+1))))))</f>
        <v/>
      </c>
      <c r="G583" s="155"/>
      <c r="H583" s="156" t="str">
        <f t="shared" si="99"/>
        <v/>
      </c>
      <c r="I583" s="29" t="str">
        <f t="shared" si="93"/>
        <v/>
      </c>
      <c r="J583" s="5">
        <f t="shared" si="94"/>
        <v>0</v>
      </c>
      <c r="K583" s="20">
        <f t="shared" ca="1" si="95"/>
        <v>0</v>
      </c>
      <c r="L583" s="5">
        <f t="shared" ca="1" si="96"/>
        <v>0</v>
      </c>
      <c r="M583" s="64">
        <f t="shared" si="100"/>
        <v>0</v>
      </c>
      <c r="N583" s="61">
        <f t="shared" ca="1" si="101"/>
        <v>0</v>
      </c>
      <c r="O583" s="5">
        <f t="shared" ca="1" si="102"/>
        <v>0</v>
      </c>
      <c r="P583" s="446" t="e">
        <f t="shared" si="97"/>
        <v>#VALUE!</v>
      </c>
      <c r="Q583" s="446" t="e">
        <f>IF(OR($B583="",MIN(Q$38,$D$19)&lt;MAX($P$34*($B583+IF($R$17="Distrato",$I$38-1,0)),IF(AND($L$37=0,$P$34=0),"",$L$37-1),IF($R$17="Distrato",$E583,0))),0,YEARFRAC(MAX($P$34*($B583+IF($R$17="Distrato",$I$38-1,0)),IF(AND($L$37=0,$P$34=0),"",$L$37-1),IF($R$17="Distrato",$E583,0)),MIN(Q$38,$D$19),$P$20))-SUM($P583:P583)</f>
        <v>#VALUE!</v>
      </c>
      <c r="R583" s="446" t="e">
        <f>IF(OR($B583="",MIN(R$38,$D$19)&lt;MAX($P$34*($B583+IF($R$17="Distrato",$I$38-1,0)),IF(AND($L$37=0,$P$34=0),"",$L$37-1),IF($R$17="Distrato",$E583,0))),0,YEARFRAC(MAX($P$34*($B583+IF($R$17="Distrato",$I$38-1,0)),IF(AND($L$37=0,$P$34=0),"",$L$37-1),IF($R$17="Distrato",$E583,0)),MIN(R$38,$D$19),$P$20))-SUM($P583:Q583)</f>
        <v>#VALUE!</v>
      </c>
      <c r="S583" s="446" t="e">
        <f>IF(OR($B583="",MIN(S$38,$D$19)&lt;MAX($P$34*($B583+IF($R$17="Distrato",$I$38-1,0)),IF(AND($L$37=0,$P$34=0),"",$L$37-1),IF($R$17="Distrato",$E583,0))),0,YEARFRAC(MAX($P$34*($B583+IF($R$17="Distrato",$I$38-1,0)),IF(AND($L$37=0,$P$34=0),"",$L$37-1),IF($R$17="Distrato",$E583,0)),MIN(S$38,$D$19),$P$20))-SUM($P583:R583)</f>
        <v>#VALUE!</v>
      </c>
      <c r="T583" s="446" t="e">
        <f>IF(OR($B583="",MIN(T$38,$D$19)&lt;MAX($P$34*($B583+IF($R$17="Distrato",$I$38-1,0)),IF(AND($L$37=0,$P$34=0),"",$L$37-1),IF($R$17="Distrato",$E583,0))),0,YEARFRAC(MAX($P$34*($B583+IF($R$17="Distrato",$I$38-1,0)),IF(AND($L$37=0,$P$34=0),"",$L$37-1),IF($R$17="Distrato",$E583,0)),MIN(T$38,$D$19),$P$20))-SUM($P583:S583)</f>
        <v>#VALUE!</v>
      </c>
      <c r="U583" s="446" t="e">
        <f>IF(OR($B583="",MIN(U$38,$D$19)&lt;MAX($P$34*($B583+IF($R$17="Distrato",$I$38-1,0)),IF(AND($L$37=0,$P$34=0),"",$L$37-1),IF($R$17="Distrato",$E583,0))),0,YEARFRAC(MAX($P$34*($B583+IF($R$17="Distrato",$I$38-1,0)),IF(AND($L$37=0,$P$34=0),"",$L$37-1),IF($R$17="Distrato",$E583,0)),MIN(U$38,$D$19),$P$20))-SUM($P583:T583)</f>
        <v>#VALUE!</v>
      </c>
      <c r="V583" s="446" t="e">
        <f>IF(OR($B583="",MIN(V$38,$D$19)&lt;MAX($P$34*($B583+IF($R$17="Distrato",$I$38-1,0)),IF(AND($L$37=0,$P$34=0),"",$L$37-1),IF($R$17="Distrato",$E583,0))),0,YEARFRAC(MAX($P$34*($B583+IF($R$17="Distrato",$I$38-1,0)),IF(AND($L$37=0,$P$34=0),"",$L$37-1),IF($R$17="Distrato",$E583,0)),MIN(V$38,$D$19),$P$20))-SUM($P583:U583)</f>
        <v>#VALUE!</v>
      </c>
      <c r="W583" s="446" t="e">
        <f>IF(OR($B583="",MIN(W$38,$D$19)&lt;MAX($P$34*($B583+IF($R$17="Distrato",$I$38-1,0)),IF(AND($L$37=0,$P$34=0),"",$L$37-1),IF($R$17="Distrato",$E583,0))),0,YEARFRAC(MAX($P$34*($B583+IF($R$17="Distrato",$I$38-1,0)),IF(AND($L$37=0,$P$34=0),"",$L$37-1),IF($R$17="Distrato",$E583,0)),MIN(W$38,$D$19),$P$20))-SUM($P583:V583)</f>
        <v>#VALUE!</v>
      </c>
      <c r="X583" s="446" t="e">
        <f>IF(OR($B583="",MIN(X$38,$D$19)&lt;MAX($P$34*($B583+IF($R$17="Distrato",$I$38-1,0)),IF(AND($L$37=0,$P$34=0),"",$L$37-1),IF($R$17="Distrato",$E583,0))),0,YEARFRAC(MAX($P$34*($B583+IF($R$17="Distrato",$I$38-1,0)),IF(AND($L$37=0,$P$34=0),"",$L$37-1),IF($R$17="Distrato",$E583,0)),MIN(X$38,$D$19),$P$20))-SUM($P583:W583)</f>
        <v>#VALUE!</v>
      </c>
      <c r="Y583" s="446" t="e">
        <f>IF(OR($B583="",MIN(Y$38,$D$19)&lt;MAX($P$34*($B583+IF($R$17="Distrato",$I$38-1,0)),IF(AND($L$37=0,$P$34=0),"",$L$37-1),IF($R$17="Distrato",$E583,0))),0,YEARFRAC(MAX($P$34*($B583+IF($R$17="Distrato",$I$38-1,0)),IF(AND($L$37=0,$P$34=0),"",$L$37-1),IF($R$17="Distrato",$E583,0)),MIN(Y$38,$D$19),$P$20))-SUM($P583:X583)</f>
        <v>#VALUE!</v>
      </c>
      <c r="Z583" s="446" t="e">
        <f>IF(OR($B583="",MIN(Z$38,$D$19)&lt;MAX($P$34*($B583+IF($R$17="Distrato",$I$38-1,0)),IF(AND($L$37=0,$P$34=0),"",$L$37-1),IF($R$17="Distrato",$E583,0))),0,YEARFRAC(MAX($P$34*($B583+IF($R$17="Distrato",$I$38-1,0)),IF(AND($L$37=0,$P$34=0),"",$L$37-1),IF($R$17="Distrato",$E583,0)),MIN(Z$38,$D$19),$P$20))-SUM($P583:Y583)</f>
        <v>#VALUE!</v>
      </c>
      <c r="AA583" s="446" t="e">
        <f>IF(OR($B583="",MIN(AA$38,$D$19)&lt;MAX($P$34*($B583+IF($R$17="Distrato",$I$38-1,0)),IF(AND($L$37=0,$P$34=0),"",$L$37-1),IF($R$17="Distrato",$E583,0))),0,YEARFRAC(MAX($P$34*($B583+IF($R$17="Distrato",$I$38-1,0)),IF(AND($L$37=0,$P$34=0),"",$L$37-1),IF($R$17="Distrato",$E583,0)),MIN(AA$38,$D$19),$P$20))-SUM($P583:Z583)</f>
        <v>#VALUE!</v>
      </c>
      <c r="AB583" s="446" t="e">
        <f>IF(OR($B583="",MIN(AB$38,$D$19)&lt;MAX($P$34*($B583+IF($R$17="Distrato",$I$38-1,0)),IF(AND($L$37=0,$P$34=0),"",$L$37-1),IF($R$17="Distrato",$E583,0))),0,YEARFRAC(MAX($P$34*($B583+IF($R$17="Distrato",$I$38-1,0)),IF(AND($L$37=0,$P$34=0),"",$L$37-1),IF($R$17="Distrato",$E583,0)),MIN(AB$38,$D$19),$P$20))-SUM($P583:AA583)</f>
        <v>#VALUE!</v>
      </c>
      <c r="AC583" s="446" t="e">
        <f>IF(OR($B583="",MIN(AC$38,$D$19)&lt;MAX($P$34*($B583+IF($R$17="Distrato",$I$38-1,0)),IF(AND($L$37=0,$P$34=0),"",$L$37-1),IF($R$17="Distrato",$E583,0))),0,YEARFRAC(MAX($P$34*($B583+IF($R$17="Distrato",$I$38-1,0)),IF(AND($L$37=0,$P$34=0),"",$L$37-1),IF($R$17="Distrato",$E583,0)),MIN(AC$38,$D$19),$P$20))-SUM($P583:AB583)</f>
        <v>#VALUE!</v>
      </c>
      <c r="AD583" s="446" t="e">
        <f>IF(OR($B583="",MIN(AD$38,$D$19)&lt;MAX($P$34*($B583+IF($R$17="Distrato",$I$38-1,0)),IF(AND($L$37=0,$P$34=0),"",$L$37-1),IF($R$17="Distrato",$E583,0))),0,YEARFRAC(MAX($P$34*($B583+IF($R$17="Distrato",$I$38-1,0)),IF(AND($L$37=0,$P$34=0),"",$L$37-1),IF($R$17="Distrato",$E583,0)),MIN(AD$38,$D$19),$P$20))-SUM($P583:AC583)</f>
        <v>#VALUE!</v>
      </c>
      <c r="AE583" s="446" t="e">
        <f>IF(OR($B583="",MIN(AE$38,$D$19)&lt;MAX($P$34*($B583+IF($R$17="Distrato",$I$38-1,0)),IF(AND($L$37=0,$P$34=0),"",$L$37-1),IF($R$17="Distrato",$E583,0))),0,YEARFRAC(MAX($P$34*($B583+IF($R$17="Distrato",$I$38-1,0)),IF(AND($L$37=0,$P$34=0),"",$L$37-1),IF($R$17="Distrato",$E583,0)),MIN(AE$38,$D$19),$P$20))-SUM($P583:AD583)</f>
        <v>#VALUE!</v>
      </c>
      <c r="AF583" s="446" t="e">
        <f>IF(OR($B583="",MIN(AF$38,$D$19)&lt;MAX($P$34*($B583+IF($R$17="Distrato",$I$38-1,0)),IF(AND($L$37=0,$P$34=0),"",$L$37-1),IF($R$17="Distrato",$E583,0))),0,YEARFRAC(MAX($P$34*($B583+IF($R$17="Distrato",$I$38-1,0)),IF(AND($L$37=0,$P$34=0),"",$L$37-1),IF($R$17="Distrato",$E583,0)),MIN(AF$38,$D$19),$P$20))-SUM($P583:AE583)</f>
        <v>#VALUE!</v>
      </c>
      <c r="AG583" s="446" t="e">
        <f>IF(OR($B583="",MIN(AG$38,$D$19)&lt;MAX($P$34*($B583+IF($R$17="Distrato",$I$38-1,0)),IF(AND($L$37=0,$P$34=0),"",$L$37-1),IF($R$17="Distrato",$E583,0))),0,YEARFRAC(MAX($P$34*($B583+IF($R$17="Distrato",$I$38-1,0)),IF(AND($L$37=0,$P$34=0),"",$L$37-1),IF($R$17="Distrato",$E583,0)),MIN(AG$38,$D$19),$P$20))-SUM($P583:AF583)</f>
        <v>#VALUE!</v>
      </c>
      <c r="AH583" s="446" t="e">
        <f>IF(OR($B583="",MIN(AH$38,$D$19)&lt;MAX($P$34*($B583+IF($R$17="Distrato",$I$38-1,0)),IF(AND($L$37=0,$P$34=0),"",$L$37-1),IF($R$17="Distrato",$E583,0))),0,YEARFRAC(MAX($P$34*($B583+IF($R$17="Distrato",$I$38-1,0)),IF(AND($L$37=0,$P$34=0),"",$L$37-1),IF($R$17="Distrato",$E583,0)),MIN(AH$38,$D$19),$P$20))-SUM($P583:AG583)</f>
        <v>#VALUE!</v>
      </c>
      <c r="AI583" s="446" t="e">
        <f>IF(OR($B583="",MIN(AI$38,$D$19)&lt;MAX($P$34*($B583+IF($R$17="Distrato",$I$38-1,0)),IF(AND($L$37=0,$P$34=0),"",$L$37-1),IF($R$17="Distrato",$E583,0))),0,YEARFRAC(MAX($P$34*($B583+IF($R$17="Distrato",$I$38-1,0)),IF(AND($L$37=0,$P$34=0),"",$L$37-1),IF($R$17="Distrato",$E583,0)),MIN(AI$38,$D$19),$P$20))-SUM($P583:AH583)</f>
        <v>#VALUE!</v>
      </c>
      <c r="AJ583" s="446" t="e">
        <f>IF(OR($B583="",MIN(AJ$38,$D$19)&lt;MAX($P$34*($B583+IF($R$17="Distrato",$I$38-1,0)),IF(AND($L$37=0,$P$34=0),"",$L$37-1),IF($R$17="Distrato",$E583,0))),0,YEARFRAC(MAX($P$34*($B583+IF($R$17="Distrato",$I$38-1,0)),IF(AND($L$37=0,$P$34=0),"",$L$37-1),IF($R$17="Distrato",$E583,0)),MIN(AJ$38,$D$19),$P$20))-SUM($P583:AI583)</f>
        <v>#VALUE!</v>
      </c>
      <c r="AK583" s="446" t="e">
        <f>IF(OR($B583="",MIN(AK$38,$D$19)&lt;MAX($P$34*($B583+IF($R$17="Distrato",$I$38-1,0)),IF(AND($L$37=0,$P$34=0),"",$L$37-1),IF($R$17="Distrato",$E583,0))),0,YEARFRAC(MAX($P$34*($B583+IF($R$17="Distrato",$I$38-1,0)),IF(AND($L$37=0,$P$34=0),"",$L$37-1),IF($R$17="Distrato",$E583,0)),MIN(AK$38,$D$19),$P$20))-SUM($P583:AJ583)</f>
        <v>#VALUE!</v>
      </c>
      <c r="AL583" s="446" t="e">
        <f>IF(OR($B583="",MIN(AL$38,$D$19)&lt;MAX($P$34*($B583+IF($R$17="Distrato",$I$38-1,0)),IF(AND($L$37=0,$P$34=0),"",$L$37-1),IF($R$17="Distrato",$E583,0))),0,YEARFRAC(MAX($P$34*($B583+IF($R$17="Distrato",$I$38-1,0)),IF(AND($L$37=0,$P$34=0),"",$L$37-1),IF($R$17="Distrato",$E583,0)),MIN(AL$38,$D$19),$P$20))-SUM($P583:AK583)</f>
        <v>#VALUE!</v>
      </c>
      <c r="AM583" s="446" t="e">
        <f>IF(OR($B583="",MIN(AM$38,$D$19)&lt;MAX($P$34*($B583+IF($R$17="Distrato",$I$38-1,0)),IF(AND($L$37=0,$P$34=0),"",$L$37-1),IF($R$17="Distrato",$E583,0))),0,YEARFRAC(MAX($P$34*($B583+IF($R$17="Distrato",$I$38-1,0)),IF(AND($L$37=0,$P$34=0),"",$L$37-1),IF($R$17="Distrato",$E583,0)),MIN(AM$38,$D$19),$P$20))-SUM($P583:AL583)</f>
        <v>#VALUE!</v>
      </c>
      <c r="AN583" s="446" t="e">
        <f>IF(OR($B583="",MIN(AN$38,$D$19)&lt;MAX($P$34*($B583+IF($R$17="Distrato",$I$38-1,0)),IF(AND($L$37=0,$P$34=0),"",$L$37-1),IF($R$17="Distrato",$E583,0))),0,YEARFRAC(MAX($P$34*($B583+IF($R$17="Distrato",$I$38-1,0)),IF(AND($L$37=0,$P$34=0),"",$L$37-1),IF($R$17="Distrato",$E583,0)),MIN(AN$38,$D$19),$P$20))-SUM($P583:AM583)</f>
        <v>#VALUE!</v>
      </c>
      <c r="AO583" s="446" t="e">
        <f>IF(OR($B583="",MIN(AO$38,$D$19)&lt;MAX($P$34*($B583+IF($R$17="Distrato",$I$38-1,0)),IF(AND($L$37=0,$P$34=0),"",$L$37-1),IF($R$17="Distrato",$E583,0))),0,YEARFRAC(MAX($P$34*($B583+IF($R$17="Distrato",$I$38-1,0)),IF(AND($L$37=0,$P$34=0),"",$L$37-1),IF($R$17="Distrato",$E583,0)),MIN(AO$38,$D$19),$P$20))-SUM($P583:AN583)</f>
        <v>#VALUE!</v>
      </c>
      <c r="AP583" s="446" t="e">
        <f>IF(OR($B583="",MIN(AP$38,$D$19)&lt;MAX($P$34*($B583+IF($R$17="Distrato",$I$38-1,0)),IF(AND($L$37=0,$P$34=0),"",$L$37-1),IF($R$17="Distrato",$E583,0))),0,YEARFRAC(MAX($P$34*($B583+IF($R$17="Distrato",$I$38-1,0)),IF(AND($L$37=0,$P$34=0),"",$L$37-1),IF($R$17="Distrato",$E583,0)),MIN(AP$38,$D$19),$P$20))-SUM($P583:AO583)</f>
        <v>#VALUE!</v>
      </c>
      <c r="AQ583" s="446" t="e">
        <f>IF(OR($B583="",MIN(AQ$38,$D$19)&lt;MAX($P$34*($B583+IF($R$17="Distrato",$I$38-1,0)),IF(AND($L$37=0,$P$34=0),"",$L$37-1),IF($R$17="Distrato",$E583,0))),0,YEARFRAC(MAX($P$34*($B583+IF($R$17="Distrato",$I$38-1,0)),IF(AND($L$37=0,$P$34=0),"",$L$37-1),IF($R$17="Distrato",$E583,0)),MIN(AQ$38,$D$19),$P$20))-SUM($P583:AP583)</f>
        <v>#VALUE!</v>
      </c>
      <c r="AR583" s="446" t="e">
        <f>IF(OR($B583="",MIN(AR$38,$D$19)&lt;MAX($P$34*($B583+IF($R$17="Distrato",$I$38-1,0)),IF(AND($L$37=0,$P$34=0),"",$L$37-1),IF($R$17="Distrato",$E583,0))),0,YEARFRAC(MAX($P$34*($B583+IF($R$17="Distrato",$I$38-1,0)),IF(AND($L$37=0,$P$34=0),"",$L$37-1),IF($R$17="Distrato",$E583,0)),MIN(AR$38,$D$19),$P$20))-SUM($P583:AQ583)</f>
        <v>#VALUE!</v>
      </c>
      <c r="AS583" s="446" t="e">
        <f>IF(OR($B583="",MIN(AS$38,$D$19)&lt;MAX($P$34*($B583+IF($R$17="Distrato",$I$38-1,0)),IF(AND($L$37=0,$P$34=0),"",$L$37-1),IF($R$17="Distrato",$E583,0))),0,YEARFRAC(MAX($P$34*($B583+IF($R$17="Distrato",$I$38-1,0)),IF(AND($L$37=0,$P$34=0),"",$L$37-1),IF($R$17="Distrato",$E583,0)),MIN(AS$38,$D$19),$P$20))-SUM($P583:AR583)</f>
        <v>#VALUE!</v>
      </c>
      <c r="AT583" s="446" t="e">
        <f>IF(OR($B583="",MIN(AT$38,$D$19)&lt;MAX($P$34*($B583+IF($R$17="Distrato",$I$38-1,0)),IF(AND($L$37=0,$P$34=0),"",$L$37-1),IF($R$17="Distrato",$E583,0))),0,YEARFRAC(MAX($P$34*($B583+IF($R$17="Distrato",$I$38-1,0)),IF(AND($L$37=0,$P$34=0),"",$L$37-1),IF($R$17="Distrato",$E583,0)),MIN(AT$38,$D$19),$P$20))-SUM($P583:AS583)</f>
        <v>#VALUE!</v>
      </c>
      <c r="AU583" s="446" t="e">
        <f>IF(OR($B583="",MIN(AU$38,$D$19)&lt;MAX($P$34*($B583+IF($R$17="Distrato",$I$38-1,0)),IF(AND($L$37=0,$P$34=0),"",$L$37-1),IF($R$17="Distrato",$E583,0))),0,YEARFRAC(MAX($P$34*($B583+IF($R$17="Distrato",$I$38-1,0)),IF(AND($L$37=0,$P$34=0),"",$L$37-1),IF($R$17="Distrato",$E583,0)),MIN(AU$38,$D$19),$P$20))-SUM($P583:AT583)</f>
        <v>#VALUE!</v>
      </c>
      <c r="AV583" s="446" t="e">
        <f>IF(OR($B583="",MIN(AV$38,$D$19)&lt;MAX($P$34*($B583+IF($R$17="Distrato",$I$38-1,0)),IF(AND($L$37=0,$P$34=0),"",$L$37-1),IF($R$17="Distrato",$E583,0))),0,YEARFRAC(MAX($P$34*($B583+IF($R$17="Distrato",$I$38-1,0)),IF(AND($L$37=0,$P$34=0),"",$L$37-1),IF($R$17="Distrato",$E583,0)),MIN(AV$38,$D$19),$P$20))-SUM($P583:AU583)</f>
        <v>#VALUE!</v>
      </c>
      <c r="AW583" s="446" t="e">
        <f>IF(OR($B583="",MIN(AW$38,$D$19)&lt;MAX($P$34*($B583+IF($R$17="Distrato",$I$38-1,0)),IF(AND($L$37=0,$P$34=0),"",$L$37-1),IF($R$17="Distrato",$E583,0))),0,YEARFRAC(MAX($P$34*($B583+IF($R$17="Distrato",$I$38-1,0)),IF(AND($L$37=0,$P$34=0),"",$L$37-1),IF($R$17="Distrato",$E583,0)),MIN(AW$38,$D$19),$P$20))-SUM($P583:AV583)</f>
        <v>#VALUE!</v>
      </c>
      <c r="AX583" s="446" t="e">
        <f>IF(OR($B583="",MIN(AX$38,$D$19)&lt;MAX($P$34*($B583+IF($R$17="Distrato",$I$38-1,0)),IF(AND($L$37=0,$P$34=0),"",$L$37-1),IF($R$17="Distrato",$E583,0))),0,YEARFRAC(MAX($P$34*($B583+IF($R$17="Distrato",$I$38-1,0)),IF(AND($L$37=0,$P$34=0),"",$L$37-1),IF($R$17="Distrato",$E583,0)),MIN(AX$38,$D$19),$P$20))-SUM($P583:AW583)</f>
        <v>#VALUE!</v>
      </c>
      <c r="AY583" s="446" t="e">
        <f>IF(OR($B583="",MIN(AY$38,$D$19)&lt;MAX($P$34*($B583+IF($R$17="Distrato",$I$38-1,0)),IF(AND($L$37=0,$P$34=0),"",$L$37-1),IF($R$17="Distrato",$E583,0))),0,YEARFRAC(MAX($P$34*($B583+IF($R$17="Distrato",$I$38-1,0)),IF(AND($L$37=0,$P$34=0),"",$L$37-1),IF($R$17="Distrato",$E583,0)),MIN(AY$38,$D$19),$P$20))-SUM($P583:AX583)</f>
        <v>#VALUE!</v>
      </c>
      <c r="AZ583" s="446" t="e">
        <f>IF(OR($B583="",MIN(AZ$38,$D$19)&lt;MAX($P$34*($B583+IF($R$17="Distrato",$I$38-1,0)),IF(AND($L$37=0,$P$34=0),"",$L$37-1),IF($R$17="Distrato",$E583,0))),0,YEARFRAC(MAX($P$34*($B583+IF($R$17="Distrato",$I$38-1,0)),IF(AND($L$37=0,$P$34=0),"",$L$37-1),IF($R$17="Distrato",$E583,0)),MIN(AZ$38,$D$19),$P$20))-SUM($P583:AY583)</f>
        <v>#VALUE!</v>
      </c>
      <c r="BA583" s="446" t="e">
        <f>IF(OR($B583="",MIN(BA$38,$D$19)&lt;MAX($P$34*($B583+IF($R$17="Distrato",$I$38-1,0)),IF(AND($L$37=0,$P$34=0),"",$L$37-1),IF($R$17="Distrato",$E583,0))),0,YEARFRAC(MAX($P$34*($B583+IF($R$17="Distrato",$I$38-1,0)),IF(AND($L$37=0,$P$34=0),"",$L$37-1),IF($R$17="Distrato",$E583,0)),MIN(BA$38,$D$19),$P$20))-SUM($P583:AZ583)</f>
        <v>#VALUE!</v>
      </c>
      <c r="BB583" s="447"/>
      <c r="BF583" s="446">
        <f t="shared" si="98"/>
        <v>0</v>
      </c>
      <c r="BG583" s="446">
        <f>IF($E583=0,0,IF(MIN(BG$38,$E583)&lt;MAX($P$34*($B583+$I$38-1),IF(AND($L$37=0,$P$34=0),"",$L$37-1)),0,YEARFRAC(MAX($P$34*($B583+$I$38-1),IF(AND($L$37=0,$P$34=0),"",$L$37-1)),MIN(BG$38,$E583),$P$20))-SUM($BF583:BF583))</f>
        <v>0</v>
      </c>
      <c r="BH583" s="446">
        <f>IF($E583=0,0,IF(MIN(BH$38,$E583)&lt;MAX($P$34*($B583+$I$38-1),IF(AND($L$37=0,$P$34=0),"",$L$37-1)),0,YEARFRAC(MAX($P$34*($B583+$I$38-1),IF(AND($L$37=0,$P$34=0),"",$L$37-1)),MIN(BH$38,$E583),$P$20))-SUM($BF583:BG583))</f>
        <v>0</v>
      </c>
      <c r="BI583" s="446">
        <f>IF($E583=0,0,IF(MIN(BI$38,$E583)&lt;MAX($P$34*($B583+$I$38-1),IF(AND($L$37=0,$P$34=0),"",$L$37-1)),0,YEARFRAC(MAX($P$34*($B583+$I$38-1),IF(AND($L$37=0,$P$34=0),"",$L$37-1)),MIN(BI$38,$E583),$P$20))-SUM($BF583:BH583))</f>
        <v>0</v>
      </c>
      <c r="BJ583" s="446">
        <f>IF($E583=0,0,IF(MIN(BJ$38,$E583)&lt;MAX($P$34*($B583+$I$38-1),IF(AND($L$37=0,$P$34=0),"",$L$37-1)),0,YEARFRAC(MAX($P$34*($B583+$I$38-1),IF(AND($L$37=0,$P$34=0),"",$L$37-1)),MIN(BJ$38,$E583),$P$20))-SUM($BF583:BI583))</f>
        <v>0</v>
      </c>
      <c r="BK583" s="446">
        <f>IF($E583=0,0,IF(MIN(BK$38,$E583)&lt;MAX($P$34*($B583+$I$38-1),IF(AND($L$37=0,$P$34=0),"",$L$37-1)),0,YEARFRAC(MAX($P$34*($B583+$I$38-1),IF(AND($L$37=0,$P$34=0),"",$L$37-1)),MIN(BK$38,$E583),$P$20))-SUM($BF583:BJ583))</f>
        <v>0</v>
      </c>
      <c r="BL583" s="446">
        <f>IF($E583=0,0,IF(MIN(BL$38,$E583)&lt;MAX($P$34*($B583+$I$38-1),IF(AND($L$37=0,$P$34=0),"",$L$37-1)),0,YEARFRAC(MAX($P$34*($B583+$I$38-1),IF(AND($L$37=0,$P$34=0),"",$L$37-1)),MIN(BL$38,$E583),$P$20))-SUM($BF583:BK583))</f>
        <v>0</v>
      </c>
      <c r="BM583" s="446">
        <f>IF($E583=0,0,IF(MIN(BM$38,$E583)&lt;MAX($P$34*($B583+$I$38-1),IF(AND($L$37=0,$P$34=0),"",$L$37-1)),0,YEARFRAC(MAX($P$34*($B583+$I$38-1),IF(AND($L$37=0,$P$34=0),"",$L$37-1)),MIN(BM$38,$E583),$P$20))-SUM($BF583:BL583))</f>
        <v>0</v>
      </c>
      <c r="BN583" s="446">
        <f>IF($E583=0,0,IF(MIN(BN$38,$E583)&lt;MAX($P$34*($B583+$I$38-1),IF(AND($L$37=0,$P$34=0),"",$L$37-1)),0,YEARFRAC(MAX($P$34*($B583+$I$38-1),IF(AND($L$37=0,$P$34=0),"",$L$37-1)),MIN(BN$38,$E583),$P$20))-SUM($BF583:BM583))</f>
        <v>0</v>
      </c>
      <c r="BO583" s="446">
        <f>IF($E583=0,0,IF(MIN(BO$38,$E583)&lt;MAX($P$34*($B583+$I$38-1),IF(AND($L$37=0,$P$34=0),"",$L$37-1)),0,YEARFRAC(MAX($P$34*($B583+$I$38-1),IF(AND($L$37=0,$P$34=0),"",$L$37-1)),MIN(BO$38,$E583),$P$20))-SUM($BF583:BN583))</f>
        <v>0</v>
      </c>
      <c r="BP583" s="446">
        <f>IF($E583=0,0,IF(MIN(BP$38,$E583)&lt;MAX($P$34*($B583+$I$38-1),IF(AND($L$37=0,$P$34=0),"",$L$37-1)),0,YEARFRAC(MAX($P$34*($B583+$I$38-1),IF(AND($L$37=0,$P$34=0),"",$L$37-1)),MIN(BP$38,$E583),$P$20))-SUM($BF583:BO583))</f>
        <v>0</v>
      </c>
      <c r="BQ583" s="446">
        <f>IF($E583=0,0,IF(MIN(BQ$38,$E583)&lt;MAX($P$34*($B583+$I$38-1),IF(AND($L$37=0,$P$34=0),"",$L$37-1)),0,YEARFRAC(MAX($P$34*($B583+$I$38-1),IF(AND($L$37=0,$P$34=0),"",$L$37-1)),MIN(BQ$38,$E583),$P$20))-SUM($BF583:BP583))</f>
        <v>0</v>
      </c>
      <c r="BR583" s="446">
        <f>IF($E583=0,0,IF(MIN(BR$38,$E583)&lt;MAX($P$34*($B583+$I$38-1),IF(AND($L$37=0,$P$34=0),"",$L$37-1)),0,YEARFRAC(MAX($P$34*($B583+$I$38-1),IF(AND($L$37=0,$P$34=0),"",$L$37-1)),MIN(BR$38,$E583),$P$20))-SUM($BF583:BQ583))</f>
        <v>0</v>
      </c>
      <c r="BS583" s="446">
        <f>IF($E583=0,0,IF(MIN(BS$38,$E583)&lt;MAX($P$34*($B583+$I$38-1),IF(AND($L$37=0,$P$34=0),"",$L$37-1)),0,YEARFRAC(MAX($P$34*($B583+$I$38-1),IF(AND($L$37=0,$P$34=0),"",$L$37-1)),MIN(BS$38,$E583),$P$20))-SUM($BF583:BR583))</f>
        <v>0</v>
      </c>
      <c r="BT583" s="446">
        <f>IF($E583=0,0,IF(MIN(BT$38,$E583)&lt;MAX($P$34*($B583+$I$38-1),IF(AND($L$37=0,$P$34=0),"",$L$37-1)),0,YEARFRAC(MAX($P$34*($B583+$I$38-1),IF(AND($L$37=0,$P$34=0),"",$L$37-1)),MIN(BT$38,$E583),$P$20))-SUM($BF583:BS583))</f>
        <v>0</v>
      </c>
      <c r="BU583" s="446">
        <f>IF($E583=0,0,IF(MIN(BU$38,$E583)&lt;MAX($P$34*($B583+$I$38-1),IF(AND($L$37=0,$P$34=0),"",$L$37-1)),0,YEARFRAC(MAX($P$34*($B583+$I$38-1),IF(AND($L$37=0,$P$34=0),"",$L$37-1)),MIN(BU$38,$E583),$P$20))-SUM($BF583:BT583))</f>
        <v>0</v>
      </c>
      <c r="BV583" s="446">
        <f>IF($E583=0,0,IF(MIN(BV$38,$E583)&lt;MAX($P$34*($B583+$I$38-1),IF(AND($L$37=0,$P$34=0),"",$L$37-1)),0,YEARFRAC(MAX($P$34*($B583+$I$38-1),IF(AND($L$37=0,$P$34=0),"",$L$37-1)),MIN(BV$38,$E583),$P$20))-SUM($BF583:BU583))</f>
        <v>0</v>
      </c>
      <c r="BW583" s="446">
        <f>IF($E583=0,0,IF(MIN(BW$38,$E583)&lt;MAX($P$34*($B583+$I$38-1),IF(AND($L$37=0,$P$34=0),"",$L$37-1)),0,YEARFRAC(MAX($P$34*($B583+$I$38-1),IF(AND($L$37=0,$P$34=0),"",$L$37-1)),MIN(BW$38,$E583),$P$20))-SUM($BF583:BV583))</f>
        <v>0</v>
      </c>
      <c r="BX583" s="446">
        <f>IF($E583=0,0,IF(MIN(BX$38,$E583)&lt;MAX($P$34*($B583+$I$38-1),IF(AND($L$37=0,$P$34=0),"",$L$37-1)),0,YEARFRAC(MAX($P$34*($B583+$I$38-1),IF(AND($L$37=0,$P$34=0),"",$L$37-1)),MIN(BX$38,$E583),$P$20))-SUM($BF583:BW583))</f>
        <v>0</v>
      </c>
      <c r="BY583" s="446">
        <f>IF($E583=0,0,IF(MIN(BY$38,$E583)&lt;MAX($P$34*($B583+$I$38-1),IF(AND($L$37=0,$P$34=0),"",$L$37-1)),0,YEARFRAC(MAX($P$34*($B583+$I$38-1),IF(AND($L$37=0,$P$34=0),"",$L$37-1)),MIN(BY$38,$E583),$P$20))-SUM($BF583:BX583))</f>
        <v>0</v>
      </c>
      <c r="BZ583" s="446">
        <f>IF($E583=0,0,IF(MIN(BZ$38,$E583)&lt;MAX($P$34*($B583+$I$38-1),IF(AND($L$37=0,$P$34=0),"",$L$37-1)),0,YEARFRAC(MAX($P$34*($B583+$I$38-1),IF(AND($L$37=0,$P$34=0),"",$L$37-1)),MIN(BZ$38,$E583),$P$20))-SUM($BF583:BY583))</f>
        <v>0</v>
      </c>
      <c r="CA583" s="446">
        <f>IF($E583=0,0,IF(MIN(CA$38,$E583)&lt;MAX($P$34*($B583+$I$38-1),IF(AND($L$37=0,$P$34=0),"",$L$37-1)),0,YEARFRAC(MAX($P$34*($B583+$I$38-1),IF(AND($L$37=0,$P$34=0),"",$L$37-1)),MIN(CA$38,$E583),$P$20))-SUM($BF583:BZ583))</f>
        <v>0</v>
      </c>
      <c r="CB583" s="446">
        <f>IF($E583=0,0,IF(MIN(CB$38,$E583)&lt;MAX($P$34*($B583+$I$38-1),IF(AND($L$37=0,$P$34=0),"",$L$37-1)),0,YEARFRAC(MAX($P$34*($B583+$I$38-1),IF(AND($L$37=0,$P$34=0),"",$L$37-1)),MIN(CB$38,$E583),$P$20))-SUM($BF583:CA583))</f>
        <v>0</v>
      </c>
      <c r="CC583" s="446">
        <f>IF($E583=0,0,IF(MIN(CC$38,$E583)&lt;MAX($P$34*($B583+$I$38-1),IF(AND($L$37=0,$P$34=0),"",$L$37-1)),0,YEARFRAC(MAX($P$34*($B583+$I$38-1),IF(AND($L$37=0,$P$34=0),"",$L$37-1)),MIN(CC$38,$E583),$P$20))-SUM($BF583:CB583))</f>
        <v>0</v>
      </c>
      <c r="CD583" s="446">
        <f>IF($E583=0,0,IF(MIN(CD$38,$E583)&lt;MAX($P$34*($B583+$I$38-1),IF(AND($L$37=0,$P$34=0),"",$L$37-1)),0,YEARFRAC(MAX($P$34*($B583+$I$38-1),IF(AND($L$37=0,$P$34=0),"",$L$37-1)),MIN(CD$38,$E583),$P$20))-SUM($BF583:CC583))</f>
        <v>0</v>
      </c>
      <c r="CE583" s="446">
        <f>IF($E583=0,0,IF(MIN(CE$38,$E583)&lt;MAX($P$34*($B583+$I$38-1),IF(AND($L$37=0,$P$34=0),"",$L$37-1)),0,YEARFRAC(MAX($P$34*($B583+$I$38-1),IF(AND($L$37=0,$P$34=0),"",$L$37-1)),MIN(CE$38,$E583),$P$20))-SUM($BF583:CD583))</f>
        <v>0</v>
      </c>
      <c r="CF583" s="446">
        <f>IF($E583=0,0,IF(MIN(CF$38,$E583)&lt;MAX($P$34*($B583+$I$38-1),IF(AND($L$37=0,$P$34=0),"",$L$37-1)),0,YEARFRAC(MAX($P$34*($B583+$I$38-1),IF(AND($L$37=0,$P$34=0),"",$L$37-1)),MIN(CF$38,$E583),$P$20))-SUM($BF583:CE583))</f>
        <v>0</v>
      </c>
      <c r="CG583" s="446">
        <f>IF($E583=0,0,IF(MIN(CG$38,$E583)&lt;MAX($P$34*($B583+$I$38-1),IF(AND($L$37=0,$P$34=0),"",$L$37-1)),0,YEARFRAC(MAX($P$34*($B583+$I$38-1),IF(AND($L$37=0,$P$34=0),"",$L$37-1)),MIN(CG$38,$E583),$P$20))-SUM($BF583:CF583))</f>
        <v>0</v>
      </c>
      <c r="CH583" s="446">
        <f>IF($E583=0,0,IF(MIN(CH$38,$E583)&lt;MAX($P$34*($B583+$I$38-1),IF(AND($L$37=0,$P$34=0),"",$L$37-1)),0,YEARFRAC(MAX($P$34*($B583+$I$38-1),IF(AND($L$37=0,$P$34=0),"",$L$37-1)),MIN(CH$38,$E583),$P$20))-SUM($BF583:CG583))</f>
        <v>0</v>
      </c>
      <c r="CI583" s="446">
        <f>IF($E583=0,0,IF(MIN(CI$38,$E583)&lt;MAX($P$34*($B583+$I$38-1),IF(AND($L$37=0,$P$34=0),"",$L$37-1)),0,YEARFRAC(MAX($P$34*($B583+$I$38-1),IF(AND($L$37=0,$P$34=0),"",$L$37-1)),MIN(CI$38,$E583),$P$20))-SUM($BF583:CH583))</f>
        <v>0</v>
      </c>
      <c r="CJ583" s="446">
        <f>IF($E583=0,0,IF(MIN(CJ$38,$E583)&lt;MAX($P$34*($B583+$I$38-1),IF(AND($L$37=0,$P$34=0),"",$L$37-1)),0,YEARFRAC(MAX($P$34*($B583+$I$38-1),IF(AND($L$37=0,$P$34=0),"",$L$37-1)),MIN(CJ$38,$E583),$P$20))-SUM($BF583:CI583))</f>
        <v>0</v>
      </c>
      <c r="CK583" s="446">
        <f>IF($E583=0,0,IF(MIN(CK$38,$E583)&lt;MAX($P$34*($B583+$I$38-1),IF(AND($L$37=0,$P$34=0),"",$L$37-1)),0,YEARFRAC(MAX($P$34*($B583+$I$38-1),IF(AND($L$37=0,$P$34=0),"",$L$37-1)),MIN(CK$38,$E583),$P$20))-SUM($BF583:CJ583))</f>
        <v>0</v>
      </c>
      <c r="CL583" s="446">
        <f>IF($E583=0,0,IF(MIN(CL$38,$E583)&lt;MAX($P$34*($B583+$I$38-1),IF(AND($L$37=0,$P$34=0),"",$L$37-1)),0,YEARFRAC(MAX($P$34*($B583+$I$38-1),IF(AND($L$37=0,$P$34=0),"",$L$37-1)),MIN(CL$38,$E583),$P$20))-SUM($BF583:CK583))</f>
        <v>0</v>
      </c>
      <c r="CM583" s="446">
        <f>IF($E583=0,0,IF(MIN(CM$38,$E583)&lt;MAX($P$34*($B583+$I$38-1),IF(AND($L$37=0,$P$34=0),"",$L$37-1)),0,YEARFRAC(MAX($P$34*($B583+$I$38-1),IF(AND($L$37=0,$P$34=0),"",$L$37-1)),MIN(CM$38,$E583),$P$20))-SUM($BF583:CL583))</f>
        <v>0</v>
      </c>
      <c r="CN583" s="446">
        <f>IF($E583=0,0,IF(MIN(CN$38,$E583)&lt;MAX($P$34*($B583+$I$38-1),IF(AND($L$37=0,$P$34=0),"",$L$37-1)),0,YEARFRAC(MAX($P$34*($B583+$I$38-1),IF(AND($L$37=0,$P$34=0),"",$L$37-1)),MIN(CN$38,$E583),$P$20))-SUM($BF583:CM583))</f>
        <v>0</v>
      </c>
      <c r="CO583" s="446">
        <f>IF($E583=0,0,IF(MIN(CO$38,$E583)&lt;MAX($P$34*($B583+$I$38-1),IF(AND($L$37=0,$P$34=0),"",$L$37-1)),0,YEARFRAC(MAX($P$34*($B583+$I$38-1),IF(AND($L$37=0,$P$34=0),"",$L$37-1)),MIN(CO$38,$E583),$P$20))-SUM($BF583:CN583))</f>
        <v>0</v>
      </c>
      <c r="CP583" s="446">
        <f>IF($E583=0,0,IF(MIN(CP$38,$E583)&lt;MAX($P$34*($B583+$I$38-1),IF(AND($L$37=0,$P$34=0),"",$L$37-1)),0,YEARFRAC(MAX($P$34*($B583+$I$38-1),IF(AND($L$37=0,$P$34=0),"",$L$37-1)),MIN(CP$38,$E583),$P$20))-SUM($BF583:CO583))</f>
        <v>0</v>
      </c>
      <c r="CQ583" s="446">
        <f>IF($E583=0,0,IF(MIN(CQ$38,$E583)&lt;MAX($P$34*($B583+$I$38-1),IF(AND($L$37=0,$P$34=0),"",$L$37-1)),0,YEARFRAC(MAX($P$34*($B583+$I$38-1),IF(AND($L$37=0,$P$34=0),"",$L$37-1)),MIN(CQ$38,$E583),$P$20))-SUM($BF583:CP583))</f>
        <v>0</v>
      </c>
    </row>
    <row r="584" spans="1:95" s="446" customFormat="1" ht="11.25" hidden="1" customHeight="1" x14ac:dyDescent="0.2">
      <c r="A584" s="152"/>
      <c r="B584" s="153" t="str">
        <f t="shared" si="103"/>
        <v/>
      </c>
      <c r="C584" s="29" t="str">
        <f>IF(B584="","",IF($L$35="SELIC - TRIBUTOS",VLOOKUP(DATE(YEAR($D$19),MONTH($D$19)-1,1),ÍNDICES!$A:$DE,HLOOKUP($BL$25,ÍNDICES!$B$3:$T$4,2)+11)-VLOOKUP(B584,ÍNDICES!$A:$DE,HLOOKUP($BL$25,ÍNDICES!$B$3:$T$4,2)+11)+1%,IF(C$38=$W$26,$J$35,IF(ISERROR(IF(B584&gt;$D$19,1,VLOOKUP(DATE(YEAR(B584),MONTH(B584)+IF($C$35=$S$23,1,0),1),ÍNDICES!$A:$DE,$Z$35+1))),"",IF(B584&gt;$D$19,1,VLOOKUP(DATE(YEAR(B584),MONTH(B584)+IF($C$35=$S$23,1,0),1),ÍNDICES!$A:$DE,$Z$35+1))))))</f>
        <v/>
      </c>
      <c r="D584" s="154" t="str">
        <f>IF(ISERROR(IF(OR($D$38=$Y$27,$B584=""),"",VLOOKUP(B584,ÍNDICES!A:DE,AF$35+1))),"",IF(OR($D$38=$Y$27,$B584=""),"",VLOOKUP(B584,ÍNDICES!A:DE,AF$35+1)))</f>
        <v/>
      </c>
      <c r="E584" s="153"/>
      <c r="F584" s="29" t="str">
        <f>IF(E584="","",IF($L$35="SELIC - TRIBUTOS",VLOOKUP(DATE(YEAR($D$19),MONTH($D$19)-1,1),ÍNDICES!$A:$DE,HLOOKUP($BL$25,ÍNDICES!$B$3:$T$4,2)+11)-VLOOKUP(E584,ÍNDICES!$A:$DE,HLOOKUP($BL$25,ÍNDICES!$B$3:$T$4,2)+11)+1%,IF(F$38=$W$26,$J$35,IF(ISERROR(IF(E584&gt;$D$19,1,VLOOKUP(DATE(YEAR(E584),MONTH(E584)+IF($C$35=$S$23,1,0),1),ÍNDICES!$A:$DE,$Z$35+1))),"",IF(E584&gt;$D$19,1,VLOOKUP(DATE(YEAR(E584),MONTH(E584)+IF($C$35=$S$23,1,0),1),ÍNDICES!$A:$DE,$Z$35+1))))))</f>
        <v/>
      </c>
      <c r="G584" s="155"/>
      <c r="H584" s="156" t="str">
        <f t="shared" si="99"/>
        <v/>
      </c>
      <c r="I584" s="29" t="str">
        <f t="shared" si="93"/>
        <v/>
      </c>
      <c r="J584" s="5">
        <f t="shared" si="94"/>
        <v>0</v>
      </c>
      <c r="K584" s="20">
        <f t="shared" ca="1" si="95"/>
        <v>0</v>
      </c>
      <c r="L584" s="5">
        <f t="shared" ca="1" si="96"/>
        <v>0</v>
      </c>
      <c r="M584" s="64">
        <f t="shared" si="100"/>
        <v>0</v>
      </c>
      <c r="N584" s="61">
        <f t="shared" ca="1" si="101"/>
        <v>0</v>
      </c>
      <c r="O584" s="5">
        <f t="shared" ca="1" si="102"/>
        <v>0</v>
      </c>
      <c r="P584" s="446" t="e">
        <f t="shared" si="97"/>
        <v>#VALUE!</v>
      </c>
      <c r="Q584" s="446" t="e">
        <f>IF(OR($B584="",MIN(Q$38,$D$19)&lt;MAX($P$34*($B584+IF($R$17="Distrato",$I$38-1,0)),IF(AND($L$37=0,$P$34=0),"",$L$37-1),IF($R$17="Distrato",$E584,0))),0,YEARFRAC(MAX($P$34*($B584+IF($R$17="Distrato",$I$38-1,0)),IF(AND($L$37=0,$P$34=0),"",$L$37-1),IF($R$17="Distrato",$E584,0)),MIN(Q$38,$D$19),$P$20))-SUM($P584:P584)</f>
        <v>#VALUE!</v>
      </c>
      <c r="R584" s="446" t="e">
        <f>IF(OR($B584="",MIN(R$38,$D$19)&lt;MAX($P$34*($B584+IF($R$17="Distrato",$I$38-1,0)),IF(AND($L$37=0,$P$34=0),"",$L$37-1),IF($R$17="Distrato",$E584,0))),0,YEARFRAC(MAX($P$34*($B584+IF($R$17="Distrato",$I$38-1,0)),IF(AND($L$37=0,$P$34=0),"",$L$37-1),IF($R$17="Distrato",$E584,0)),MIN(R$38,$D$19),$P$20))-SUM($P584:Q584)</f>
        <v>#VALUE!</v>
      </c>
      <c r="S584" s="446" t="e">
        <f>IF(OR($B584="",MIN(S$38,$D$19)&lt;MAX($P$34*($B584+IF($R$17="Distrato",$I$38-1,0)),IF(AND($L$37=0,$P$34=0),"",$L$37-1),IF($R$17="Distrato",$E584,0))),0,YEARFRAC(MAX($P$34*($B584+IF($R$17="Distrato",$I$38-1,0)),IF(AND($L$37=0,$P$34=0),"",$L$37-1),IF($R$17="Distrato",$E584,0)),MIN(S$38,$D$19),$P$20))-SUM($P584:R584)</f>
        <v>#VALUE!</v>
      </c>
      <c r="T584" s="446" t="e">
        <f>IF(OR($B584="",MIN(T$38,$D$19)&lt;MAX($P$34*($B584+IF($R$17="Distrato",$I$38-1,0)),IF(AND($L$37=0,$P$34=0),"",$L$37-1),IF($R$17="Distrato",$E584,0))),0,YEARFRAC(MAX($P$34*($B584+IF($R$17="Distrato",$I$38-1,0)),IF(AND($L$37=0,$P$34=0),"",$L$37-1),IF($R$17="Distrato",$E584,0)),MIN(T$38,$D$19),$P$20))-SUM($P584:S584)</f>
        <v>#VALUE!</v>
      </c>
      <c r="U584" s="446" t="e">
        <f>IF(OR($B584="",MIN(U$38,$D$19)&lt;MAX($P$34*($B584+IF($R$17="Distrato",$I$38-1,0)),IF(AND($L$37=0,$P$34=0),"",$L$37-1),IF($R$17="Distrato",$E584,0))),0,YEARFRAC(MAX($P$34*($B584+IF($R$17="Distrato",$I$38-1,0)),IF(AND($L$37=0,$P$34=0),"",$L$37-1),IF($R$17="Distrato",$E584,0)),MIN(U$38,$D$19),$P$20))-SUM($P584:T584)</f>
        <v>#VALUE!</v>
      </c>
      <c r="V584" s="446" t="e">
        <f>IF(OR($B584="",MIN(V$38,$D$19)&lt;MAX($P$34*($B584+IF($R$17="Distrato",$I$38-1,0)),IF(AND($L$37=0,$P$34=0),"",$L$37-1),IF($R$17="Distrato",$E584,0))),0,YEARFRAC(MAX($P$34*($B584+IF($R$17="Distrato",$I$38-1,0)),IF(AND($L$37=0,$P$34=0),"",$L$37-1),IF($R$17="Distrato",$E584,0)),MIN(V$38,$D$19),$P$20))-SUM($P584:U584)</f>
        <v>#VALUE!</v>
      </c>
      <c r="W584" s="446" t="e">
        <f>IF(OR($B584="",MIN(W$38,$D$19)&lt;MAX($P$34*($B584+IF($R$17="Distrato",$I$38-1,0)),IF(AND($L$37=0,$P$34=0),"",$L$37-1),IF($R$17="Distrato",$E584,0))),0,YEARFRAC(MAX($P$34*($B584+IF($R$17="Distrato",$I$38-1,0)),IF(AND($L$37=0,$P$34=0),"",$L$37-1),IF($R$17="Distrato",$E584,0)),MIN(W$38,$D$19),$P$20))-SUM($P584:V584)</f>
        <v>#VALUE!</v>
      </c>
      <c r="X584" s="446" t="e">
        <f>IF(OR($B584="",MIN(X$38,$D$19)&lt;MAX($P$34*($B584+IF($R$17="Distrato",$I$38-1,0)),IF(AND($L$37=0,$P$34=0),"",$L$37-1),IF($R$17="Distrato",$E584,0))),0,YEARFRAC(MAX($P$34*($B584+IF($R$17="Distrato",$I$38-1,0)),IF(AND($L$37=0,$P$34=0),"",$L$37-1),IF($R$17="Distrato",$E584,0)),MIN(X$38,$D$19),$P$20))-SUM($P584:W584)</f>
        <v>#VALUE!</v>
      </c>
      <c r="Y584" s="446" t="e">
        <f>IF(OR($B584="",MIN(Y$38,$D$19)&lt;MAX($P$34*($B584+IF($R$17="Distrato",$I$38-1,0)),IF(AND($L$37=0,$P$34=0),"",$L$37-1),IF($R$17="Distrato",$E584,0))),0,YEARFRAC(MAX($P$34*($B584+IF($R$17="Distrato",$I$38-1,0)),IF(AND($L$37=0,$P$34=0),"",$L$37-1),IF($R$17="Distrato",$E584,0)),MIN(Y$38,$D$19),$P$20))-SUM($P584:X584)</f>
        <v>#VALUE!</v>
      </c>
      <c r="Z584" s="446" t="e">
        <f>IF(OR($B584="",MIN(Z$38,$D$19)&lt;MAX($P$34*($B584+IF($R$17="Distrato",$I$38-1,0)),IF(AND($L$37=0,$P$34=0),"",$L$37-1),IF($R$17="Distrato",$E584,0))),0,YEARFRAC(MAX($P$34*($B584+IF($R$17="Distrato",$I$38-1,0)),IF(AND($L$37=0,$P$34=0),"",$L$37-1),IF($R$17="Distrato",$E584,0)),MIN(Z$38,$D$19),$P$20))-SUM($P584:Y584)</f>
        <v>#VALUE!</v>
      </c>
      <c r="AA584" s="446" t="e">
        <f>IF(OR($B584="",MIN(AA$38,$D$19)&lt;MAX($P$34*($B584+IF($R$17="Distrato",$I$38-1,0)),IF(AND($L$37=0,$P$34=0),"",$L$37-1),IF($R$17="Distrato",$E584,0))),0,YEARFRAC(MAX($P$34*($B584+IF($R$17="Distrato",$I$38-1,0)),IF(AND($L$37=0,$P$34=0),"",$L$37-1),IF($R$17="Distrato",$E584,0)),MIN(AA$38,$D$19),$P$20))-SUM($P584:Z584)</f>
        <v>#VALUE!</v>
      </c>
      <c r="AB584" s="446" t="e">
        <f>IF(OR($B584="",MIN(AB$38,$D$19)&lt;MAX($P$34*($B584+IF($R$17="Distrato",$I$38-1,0)),IF(AND($L$37=0,$P$34=0),"",$L$37-1),IF($R$17="Distrato",$E584,0))),0,YEARFRAC(MAX($P$34*($B584+IF($R$17="Distrato",$I$38-1,0)),IF(AND($L$37=0,$P$34=0),"",$L$37-1),IF($R$17="Distrato",$E584,0)),MIN(AB$38,$D$19),$P$20))-SUM($P584:AA584)</f>
        <v>#VALUE!</v>
      </c>
      <c r="AC584" s="446" t="e">
        <f>IF(OR($B584="",MIN(AC$38,$D$19)&lt;MAX($P$34*($B584+IF($R$17="Distrato",$I$38-1,0)),IF(AND($L$37=0,$P$34=0),"",$L$37-1),IF($R$17="Distrato",$E584,0))),0,YEARFRAC(MAX($P$34*($B584+IF($R$17="Distrato",$I$38-1,0)),IF(AND($L$37=0,$P$34=0),"",$L$37-1),IF($R$17="Distrato",$E584,0)),MIN(AC$38,$D$19),$P$20))-SUM($P584:AB584)</f>
        <v>#VALUE!</v>
      </c>
      <c r="AD584" s="446" t="e">
        <f>IF(OR($B584="",MIN(AD$38,$D$19)&lt;MAX($P$34*($B584+IF($R$17="Distrato",$I$38-1,0)),IF(AND($L$37=0,$P$34=0),"",$L$37-1),IF($R$17="Distrato",$E584,0))),0,YEARFRAC(MAX($P$34*($B584+IF($R$17="Distrato",$I$38-1,0)),IF(AND($L$37=0,$P$34=0),"",$L$37-1),IF($R$17="Distrato",$E584,0)),MIN(AD$38,$D$19),$P$20))-SUM($P584:AC584)</f>
        <v>#VALUE!</v>
      </c>
      <c r="AE584" s="446" t="e">
        <f>IF(OR($B584="",MIN(AE$38,$D$19)&lt;MAX($P$34*($B584+IF($R$17="Distrato",$I$38-1,0)),IF(AND($L$37=0,$P$34=0),"",$L$37-1),IF($R$17="Distrato",$E584,0))),0,YEARFRAC(MAX($P$34*($B584+IF($R$17="Distrato",$I$38-1,0)),IF(AND($L$37=0,$P$34=0),"",$L$37-1),IF($R$17="Distrato",$E584,0)),MIN(AE$38,$D$19),$P$20))-SUM($P584:AD584)</f>
        <v>#VALUE!</v>
      </c>
      <c r="AF584" s="446" t="e">
        <f>IF(OR($B584="",MIN(AF$38,$D$19)&lt;MAX($P$34*($B584+IF($R$17="Distrato",$I$38-1,0)),IF(AND($L$37=0,$P$34=0),"",$L$37-1),IF($R$17="Distrato",$E584,0))),0,YEARFRAC(MAX($P$34*($B584+IF($R$17="Distrato",$I$38-1,0)),IF(AND($L$37=0,$P$34=0),"",$L$37-1),IF($R$17="Distrato",$E584,0)),MIN(AF$38,$D$19),$P$20))-SUM($P584:AE584)</f>
        <v>#VALUE!</v>
      </c>
      <c r="AG584" s="446" t="e">
        <f>IF(OR($B584="",MIN(AG$38,$D$19)&lt;MAX($P$34*($B584+IF($R$17="Distrato",$I$38-1,0)),IF(AND($L$37=0,$P$34=0),"",$L$37-1),IF($R$17="Distrato",$E584,0))),0,YEARFRAC(MAX($P$34*($B584+IF($R$17="Distrato",$I$38-1,0)),IF(AND($L$37=0,$P$34=0),"",$L$37-1),IF($R$17="Distrato",$E584,0)),MIN(AG$38,$D$19),$P$20))-SUM($P584:AF584)</f>
        <v>#VALUE!</v>
      </c>
      <c r="AH584" s="446" t="e">
        <f>IF(OR($B584="",MIN(AH$38,$D$19)&lt;MAX($P$34*($B584+IF($R$17="Distrato",$I$38-1,0)),IF(AND($L$37=0,$P$34=0),"",$L$37-1),IF($R$17="Distrato",$E584,0))),0,YEARFRAC(MAX($P$34*($B584+IF($R$17="Distrato",$I$38-1,0)),IF(AND($L$37=0,$P$34=0),"",$L$37-1),IF($R$17="Distrato",$E584,0)),MIN(AH$38,$D$19),$P$20))-SUM($P584:AG584)</f>
        <v>#VALUE!</v>
      </c>
      <c r="AI584" s="446" t="e">
        <f>IF(OR($B584="",MIN(AI$38,$D$19)&lt;MAX($P$34*($B584+IF($R$17="Distrato",$I$38-1,0)),IF(AND($L$37=0,$P$34=0),"",$L$37-1),IF($R$17="Distrato",$E584,0))),0,YEARFRAC(MAX($P$34*($B584+IF($R$17="Distrato",$I$38-1,0)),IF(AND($L$37=0,$P$34=0),"",$L$37-1),IF($R$17="Distrato",$E584,0)),MIN(AI$38,$D$19),$P$20))-SUM($P584:AH584)</f>
        <v>#VALUE!</v>
      </c>
      <c r="AJ584" s="446" t="e">
        <f>IF(OR($B584="",MIN(AJ$38,$D$19)&lt;MAX($P$34*($B584+IF($R$17="Distrato",$I$38-1,0)),IF(AND($L$37=0,$P$34=0),"",$L$37-1),IF($R$17="Distrato",$E584,0))),0,YEARFRAC(MAX($P$34*($B584+IF($R$17="Distrato",$I$38-1,0)),IF(AND($L$37=0,$P$34=0),"",$L$37-1),IF($R$17="Distrato",$E584,0)),MIN(AJ$38,$D$19),$P$20))-SUM($P584:AI584)</f>
        <v>#VALUE!</v>
      </c>
      <c r="AK584" s="446" t="e">
        <f>IF(OR($B584="",MIN(AK$38,$D$19)&lt;MAX($P$34*($B584+IF($R$17="Distrato",$I$38-1,0)),IF(AND($L$37=0,$P$34=0),"",$L$37-1),IF($R$17="Distrato",$E584,0))),0,YEARFRAC(MAX($P$34*($B584+IF($R$17="Distrato",$I$38-1,0)),IF(AND($L$37=0,$P$34=0),"",$L$37-1),IF($R$17="Distrato",$E584,0)),MIN(AK$38,$D$19),$P$20))-SUM($P584:AJ584)</f>
        <v>#VALUE!</v>
      </c>
      <c r="AL584" s="446" t="e">
        <f>IF(OR($B584="",MIN(AL$38,$D$19)&lt;MAX($P$34*($B584+IF($R$17="Distrato",$I$38-1,0)),IF(AND($L$37=0,$P$34=0),"",$L$37-1),IF($R$17="Distrato",$E584,0))),0,YEARFRAC(MAX($P$34*($B584+IF($R$17="Distrato",$I$38-1,0)),IF(AND($L$37=0,$P$34=0),"",$L$37-1),IF($R$17="Distrato",$E584,0)),MIN(AL$38,$D$19),$P$20))-SUM($P584:AK584)</f>
        <v>#VALUE!</v>
      </c>
      <c r="AM584" s="446" t="e">
        <f>IF(OR($B584="",MIN(AM$38,$D$19)&lt;MAX($P$34*($B584+IF($R$17="Distrato",$I$38-1,0)),IF(AND($L$37=0,$P$34=0),"",$L$37-1),IF($R$17="Distrato",$E584,0))),0,YEARFRAC(MAX($P$34*($B584+IF($R$17="Distrato",$I$38-1,0)),IF(AND($L$37=0,$P$34=0),"",$L$37-1),IF($R$17="Distrato",$E584,0)),MIN(AM$38,$D$19),$P$20))-SUM($P584:AL584)</f>
        <v>#VALUE!</v>
      </c>
      <c r="AN584" s="446" t="e">
        <f>IF(OR($B584="",MIN(AN$38,$D$19)&lt;MAX($P$34*($B584+IF($R$17="Distrato",$I$38-1,0)),IF(AND($L$37=0,$P$34=0),"",$L$37-1),IF($R$17="Distrato",$E584,0))),0,YEARFRAC(MAX($P$34*($B584+IF($R$17="Distrato",$I$38-1,0)),IF(AND($L$37=0,$P$34=0),"",$L$37-1),IF($R$17="Distrato",$E584,0)),MIN(AN$38,$D$19),$P$20))-SUM($P584:AM584)</f>
        <v>#VALUE!</v>
      </c>
      <c r="AO584" s="446" t="e">
        <f>IF(OR($B584="",MIN(AO$38,$D$19)&lt;MAX($P$34*($B584+IF($R$17="Distrato",$I$38-1,0)),IF(AND($L$37=0,$P$34=0),"",$L$37-1),IF($R$17="Distrato",$E584,0))),0,YEARFRAC(MAX($P$34*($B584+IF($R$17="Distrato",$I$38-1,0)),IF(AND($L$37=0,$P$34=0),"",$L$37-1),IF($R$17="Distrato",$E584,0)),MIN(AO$38,$D$19),$P$20))-SUM($P584:AN584)</f>
        <v>#VALUE!</v>
      </c>
      <c r="AP584" s="446" t="e">
        <f>IF(OR($B584="",MIN(AP$38,$D$19)&lt;MAX($P$34*($B584+IF($R$17="Distrato",$I$38-1,0)),IF(AND($L$37=0,$P$34=0),"",$L$37-1),IF($R$17="Distrato",$E584,0))),0,YEARFRAC(MAX($P$34*($B584+IF($R$17="Distrato",$I$38-1,0)),IF(AND($L$37=0,$P$34=0),"",$L$37-1),IF($R$17="Distrato",$E584,0)),MIN(AP$38,$D$19),$P$20))-SUM($P584:AO584)</f>
        <v>#VALUE!</v>
      </c>
      <c r="AQ584" s="446" t="e">
        <f>IF(OR($B584="",MIN(AQ$38,$D$19)&lt;MAX($P$34*($B584+IF($R$17="Distrato",$I$38-1,0)),IF(AND($L$37=0,$P$34=0),"",$L$37-1),IF($R$17="Distrato",$E584,0))),0,YEARFRAC(MAX($P$34*($B584+IF($R$17="Distrato",$I$38-1,0)),IF(AND($L$37=0,$P$34=0),"",$L$37-1),IF($R$17="Distrato",$E584,0)),MIN(AQ$38,$D$19),$P$20))-SUM($P584:AP584)</f>
        <v>#VALUE!</v>
      </c>
      <c r="AR584" s="446" t="e">
        <f>IF(OR($B584="",MIN(AR$38,$D$19)&lt;MAX($P$34*($B584+IF($R$17="Distrato",$I$38-1,0)),IF(AND($L$37=0,$P$34=0),"",$L$37-1),IF($R$17="Distrato",$E584,0))),0,YEARFRAC(MAX($P$34*($B584+IF($R$17="Distrato",$I$38-1,0)),IF(AND($L$37=0,$P$34=0),"",$L$37-1),IF($R$17="Distrato",$E584,0)),MIN(AR$38,$D$19),$P$20))-SUM($P584:AQ584)</f>
        <v>#VALUE!</v>
      </c>
      <c r="AS584" s="446" t="e">
        <f>IF(OR($B584="",MIN(AS$38,$D$19)&lt;MAX($P$34*($B584+IF($R$17="Distrato",$I$38-1,0)),IF(AND($L$37=0,$P$34=0),"",$L$37-1),IF($R$17="Distrato",$E584,0))),0,YEARFRAC(MAX($P$34*($B584+IF($R$17="Distrato",$I$38-1,0)),IF(AND($L$37=0,$P$34=0),"",$L$37-1),IF($R$17="Distrato",$E584,0)),MIN(AS$38,$D$19),$P$20))-SUM($P584:AR584)</f>
        <v>#VALUE!</v>
      </c>
      <c r="AT584" s="446" t="e">
        <f>IF(OR($B584="",MIN(AT$38,$D$19)&lt;MAX($P$34*($B584+IF($R$17="Distrato",$I$38-1,0)),IF(AND($L$37=0,$P$34=0),"",$L$37-1),IF($R$17="Distrato",$E584,0))),0,YEARFRAC(MAX($P$34*($B584+IF($R$17="Distrato",$I$38-1,0)),IF(AND($L$37=0,$P$34=0),"",$L$37-1),IF($R$17="Distrato",$E584,0)),MIN(AT$38,$D$19),$P$20))-SUM($P584:AS584)</f>
        <v>#VALUE!</v>
      </c>
      <c r="AU584" s="446" t="e">
        <f>IF(OR($B584="",MIN(AU$38,$D$19)&lt;MAX($P$34*($B584+IF($R$17="Distrato",$I$38-1,0)),IF(AND($L$37=0,$P$34=0),"",$L$37-1),IF($R$17="Distrato",$E584,0))),0,YEARFRAC(MAX($P$34*($B584+IF($R$17="Distrato",$I$38-1,0)),IF(AND($L$37=0,$P$34=0),"",$L$37-1),IF($R$17="Distrato",$E584,0)),MIN(AU$38,$D$19),$P$20))-SUM($P584:AT584)</f>
        <v>#VALUE!</v>
      </c>
      <c r="AV584" s="446" t="e">
        <f>IF(OR($B584="",MIN(AV$38,$D$19)&lt;MAX($P$34*($B584+IF($R$17="Distrato",$I$38-1,0)),IF(AND($L$37=0,$P$34=0),"",$L$37-1),IF($R$17="Distrato",$E584,0))),0,YEARFRAC(MAX($P$34*($B584+IF($R$17="Distrato",$I$38-1,0)),IF(AND($L$37=0,$P$34=0),"",$L$37-1),IF($R$17="Distrato",$E584,0)),MIN(AV$38,$D$19),$P$20))-SUM($P584:AU584)</f>
        <v>#VALUE!</v>
      </c>
      <c r="AW584" s="446" t="e">
        <f>IF(OR($B584="",MIN(AW$38,$D$19)&lt;MAX($P$34*($B584+IF($R$17="Distrato",$I$38-1,0)),IF(AND($L$37=0,$P$34=0),"",$L$37-1),IF($R$17="Distrato",$E584,0))),0,YEARFRAC(MAX($P$34*($B584+IF($R$17="Distrato",$I$38-1,0)),IF(AND($L$37=0,$P$34=0),"",$L$37-1),IF($R$17="Distrato",$E584,0)),MIN(AW$38,$D$19),$P$20))-SUM($P584:AV584)</f>
        <v>#VALUE!</v>
      </c>
      <c r="AX584" s="446" t="e">
        <f>IF(OR($B584="",MIN(AX$38,$D$19)&lt;MAX($P$34*($B584+IF($R$17="Distrato",$I$38-1,0)),IF(AND($L$37=0,$P$34=0),"",$L$37-1),IF($R$17="Distrato",$E584,0))),0,YEARFRAC(MAX($P$34*($B584+IF($R$17="Distrato",$I$38-1,0)),IF(AND($L$37=0,$P$34=0),"",$L$37-1),IF($R$17="Distrato",$E584,0)),MIN(AX$38,$D$19),$P$20))-SUM($P584:AW584)</f>
        <v>#VALUE!</v>
      </c>
      <c r="AY584" s="446" t="e">
        <f>IF(OR($B584="",MIN(AY$38,$D$19)&lt;MAX($P$34*($B584+IF($R$17="Distrato",$I$38-1,0)),IF(AND($L$37=0,$P$34=0),"",$L$37-1),IF($R$17="Distrato",$E584,0))),0,YEARFRAC(MAX($P$34*($B584+IF($R$17="Distrato",$I$38-1,0)),IF(AND($L$37=0,$P$34=0),"",$L$37-1),IF($R$17="Distrato",$E584,0)),MIN(AY$38,$D$19),$P$20))-SUM($P584:AX584)</f>
        <v>#VALUE!</v>
      </c>
      <c r="AZ584" s="446" t="e">
        <f>IF(OR($B584="",MIN(AZ$38,$D$19)&lt;MAX($P$34*($B584+IF($R$17="Distrato",$I$38-1,0)),IF(AND($L$37=0,$P$34=0),"",$L$37-1),IF($R$17="Distrato",$E584,0))),0,YEARFRAC(MAX($P$34*($B584+IF($R$17="Distrato",$I$38-1,0)),IF(AND($L$37=0,$P$34=0),"",$L$37-1),IF($R$17="Distrato",$E584,0)),MIN(AZ$38,$D$19),$P$20))-SUM($P584:AY584)</f>
        <v>#VALUE!</v>
      </c>
      <c r="BA584" s="446" t="e">
        <f>IF(OR($B584="",MIN(BA$38,$D$19)&lt;MAX($P$34*($B584+IF($R$17="Distrato",$I$38-1,0)),IF(AND($L$37=0,$P$34=0),"",$L$37-1),IF($R$17="Distrato",$E584,0))),0,YEARFRAC(MAX($P$34*($B584+IF($R$17="Distrato",$I$38-1,0)),IF(AND($L$37=0,$P$34=0),"",$L$37-1),IF($R$17="Distrato",$E584,0)),MIN(BA$38,$D$19),$P$20))-SUM($P584:AZ584)</f>
        <v>#VALUE!</v>
      </c>
      <c r="BB584" s="447"/>
      <c r="BF584" s="446">
        <f t="shared" si="98"/>
        <v>0</v>
      </c>
      <c r="BG584" s="446">
        <f>IF($E584=0,0,IF(MIN(BG$38,$E584)&lt;MAX($P$34*($B584+$I$38-1),IF(AND($L$37=0,$P$34=0),"",$L$37-1)),0,YEARFRAC(MAX($P$34*($B584+$I$38-1),IF(AND($L$37=0,$P$34=0),"",$L$37-1)),MIN(BG$38,$E584),$P$20))-SUM($BF584:BF584))</f>
        <v>0</v>
      </c>
      <c r="BH584" s="446">
        <f>IF($E584=0,0,IF(MIN(BH$38,$E584)&lt;MAX($P$34*($B584+$I$38-1),IF(AND($L$37=0,$P$34=0),"",$L$37-1)),0,YEARFRAC(MAX($P$34*($B584+$I$38-1),IF(AND($L$37=0,$P$34=0),"",$L$37-1)),MIN(BH$38,$E584),$P$20))-SUM($BF584:BG584))</f>
        <v>0</v>
      </c>
      <c r="BI584" s="446">
        <f>IF($E584=0,0,IF(MIN(BI$38,$E584)&lt;MAX($P$34*($B584+$I$38-1),IF(AND($L$37=0,$P$34=0),"",$L$37-1)),0,YEARFRAC(MAX($P$34*($B584+$I$38-1),IF(AND($L$37=0,$P$34=0),"",$L$37-1)),MIN(BI$38,$E584),$P$20))-SUM($BF584:BH584))</f>
        <v>0</v>
      </c>
      <c r="BJ584" s="446">
        <f>IF($E584=0,0,IF(MIN(BJ$38,$E584)&lt;MAX($P$34*($B584+$I$38-1),IF(AND($L$37=0,$P$34=0),"",$L$37-1)),0,YEARFRAC(MAX($P$34*($B584+$I$38-1),IF(AND($L$37=0,$P$34=0),"",$L$37-1)),MIN(BJ$38,$E584),$P$20))-SUM($BF584:BI584))</f>
        <v>0</v>
      </c>
      <c r="BK584" s="446">
        <f>IF($E584=0,0,IF(MIN(BK$38,$E584)&lt;MAX($P$34*($B584+$I$38-1),IF(AND($L$37=0,$P$34=0),"",$L$37-1)),0,YEARFRAC(MAX($P$34*($B584+$I$38-1),IF(AND($L$37=0,$P$34=0),"",$L$37-1)),MIN(BK$38,$E584),$P$20))-SUM($BF584:BJ584))</f>
        <v>0</v>
      </c>
      <c r="BL584" s="446">
        <f>IF($E584=0,0,IF(MIN(BL$38,$E584)&lt;MAX($P$34*($B584+$I$38-1),IF(AND($L$37=0,$P$34=0),"",$L$37-1)),0,YEARFRAC(MAX($P$34*($B584+$I$38-1),IF(AND($L$37=0,$P$34=0),"",$L$37-1)),MIN(BL$38,$E584),$P$20))-SUM($BF584:BK584))</f>
        <v>0</v>
      </c>
      <c r="BM584" s="446">
        <f>IF($E584=0,0,IF(MIN(BM$38,$E584)&lt;MAX($P$34*($B584+$I$38-1),IF(AND($L$37=0,$P$34=0),"",$L$37-1)),0,YEARFRAC(MAX($P$34*($B584+$I$38-1),IF(AND($L$37=0,$P$34=0),"",$L$37-1)),MIN(BM$38,$E584),$P$20))-SUM($BF584:BL584))</f>
        <v>0</v>
      </c>
      <c r="BN584" s="446">
        <f>IF($E584=0,0,IF(MIN(BN$38,$E584)&lt;MAX($P$34*($B584+$I$38-1),IF(AND($L$37=0,$P$34=0),"",$L$37-1)),0,YEARFRAC(MAX($P$34*($B584+$I$38-1),IF(AND($L$37=0,$P$34=0),"",$L$37-1)),MIN(BN$38,$E584),$P$20))-SUM($BF584:BM584))</f>
        <v>0</v>
      </c>
      <c r="BO584" s="446">
        <f>IF($E584=0,0,IF(MIN(BO$38,$E584)&lt;MAX($P$34*($B584+$I$38-1),IF(AND($L$37=0,$P$34=0),"",$L$37-1)),0,YEARFRAC(MAX($P$34*($B584+$I$38-1),IF(AND($L$37=0,$P$34=0),"",$L$37-1)),MIN(BO$38,$E584),$P$20))-SUM($BF584:BN584))</f>
        <v>0</v>
      </c>
      <c r="BP584" s="446">
        <f>IF($E584=0,0,IF(MIN(BP$38,$E584)&lt;MAX($P$34*($B584+$I$38-1),IF(AND($L$37=0,$P$34=0),"",$L$37-1)),0,YEARFRAC(MAX($P$34*($B584+$I$38-1),IF(AND($L$37=0,$P$34=0),"",$L$37-1)),MIN(BP$38,$E584),$P$20))-SUM($BF584:BO584))</f>
        <v>0</v>
      </c>
      <c r="BQ584" s="446">
        <f>IF($E584=0,0,IF(MIN(BQ$38,$E584)&lt;MAX($P$34*($B584+$I$38-1),IF(AND($L$37=0,$P$34=0),"",$L$37-1)),0,YEARFRAC(MAX($P$34*($B584+$I$38-1),IF(AND($L$37=0,$P$34=0),"",$L$37-1)),MIN(BQ$38,$E584),$P$20))-SUM($BF584:BP584))</f>
        <v>0</v>
      </c>
      <c r="BR584" s="446">
        <f>IF($E584=0,0,IF(MIN(BR$38,$E584)&lt;MAX($P$34*($B584+$I$38-1),IF(AND($L$37=0,$P$34=0),"",$L$37-1)),0,YEARFRAC(MAX($P$34*($B584+$I$38-1),IF(AND($L$37=0,$P$34=0),"",$L$37-1)),MIN(BR$38,$E584),$P$20))-SUM($BF584:BQ584))</f>
        <v>0</v>
      </c>
      <c r="BS584" s="446">
        <f>IF($E584=0,0,IF(MIN(BS$38,$E584)&lt;MAX($P$34*($B584+$I$38-1),IF(AND($L$37=0,$P$34=0),"",$L$37-1)),0,YEARFRAC(MAX($P$34*($B584+$I$38-1),IF(AND($L$37=0,$P$34=0),"",$L$37-1)),MIN(BS$38,$E584),$P$20))-SUM($BF584:BR584))</f>
        <v>0</v>
      </c>
      <c r="BT584" s="446">
        <f>IF($E584=0,0,IF(MIN(BT$38,$E584)&lt;MAX($P$34*($B584+$I$38-1),IF(AND($L$37=0,$P$34=0),"",$L$37-1)),0,YEARFRAC(MAX($P$34*($B584+$I$38-1),IF(AND($L$37=0,$P$34=0),"",$L$37-1)),MIN(BT$38,$E584),$P$20))-SUM($BF584:BS584))</f>
        <v>0</v>
      </c>
      <c r="BU584" s="446">
        <f>IF($E584=0,0,IF(MIN(BU$38,$E584)&lt;MAX($P$34*($B584+$I$38-1),IF(AND($L$37=0,$P$34=0),"",$L$37-1)),0,YEARFRAC(MAX($P$34*($B584+$I$38-1),IF(AND($L$37=0,$P$34=0),"",$L$37-1)),MIN(BU$38,$E584),$P$20))-SUM($BF584:BT584))</f>
        <v>0</v>
      </c>
      <c r="BV584" s="446">
        <f>IF($E584=0,0,IF(MIN(BV$38,$E584)&lt;MAX($P$34*($B584+$I$38-1),IF(AND($L$37=0,$P$34=0),"",$L$37-1)),0,YEARFRAC(MAX($P$34*($B584+$I$38-1),IF(AND($L$37=0,$P$34=0),"",$L$37-1)),MIN(BV$38,$E584),$P$20))-SUM($BF584:BU584))</f>
        <v>0</v>
      </c>
      <c r="BW584" s="446">
        <f>IF($E584=0,0,IF(MIN(BW$38,$E584)&lt;MAX($P$34*($B584+$I$38-1),IF(AND($L$37=0,$P$34=0),"",$L$37-1)),0,YEARFRAC(MAX($P$34*($B584+$I$38-1),IF(AND($L$37=0,$P$34=0),"",$L$37-1)),MIN(BW$38,$E584),$P$20))-SUM($BF584:BV584))</f>
        <v>0</v>
      </c>
      <c r="BX584" s="446">
        <f>IF($E584=0,0,IF(MIN(BX$38,$E584)&lt;MAX($P$34*($B584+$I$38-1),IF(AND($L$37=0,$P$34=0),"",$L$37-1)),0,YEARFRAC(MAX($P$34*($B584+$I$38-1),IF(AND($L$37=0,$P$34=0),"",$L$37-1)),MIN(BX$38,$E584),$P$20))-SUM($BF584:BW584))</f>
        <v>0</v>
      </c>
      <c r="BY584" s="446">
        <f>IF($E584=0,0,IF(MIN(BY$38,$E584)&lt;MAX($P$34*($B584+$I$38-1),IF(AND($L$37=0,$P$34=0),"",$L$37-1)),0,YEARFRAC(MAX($P$34*($B584+$I$38-1),IF(AND($L$37=0,$P$34=0),"",$L$37-1)),MIN(BY$38,$E584),$P$20))-SUM($BF584:BX584))</f>
        <v>0</v>
      </c>
      <c r="BZ584" s="446">
        <f>IF($E584=0,0,IF(MIN(BZ$38,$E584)&lt;MAX($P$34*($B584+$I$38-1),IF(AND($L$37=0,$P$34=0),"",$L$37-1)),0,YEARFRAC(MAX($P$34*($B584+$I$38-1),IF(AND($L$37=0,$P$34=0),"",$L$37-1)),MIN(BZ$38,$E584),$P$20))-SUM($BF584:BY584))</f>
        <v>0</v>
      </c>
      <c r="CA584" s="446">
        <f>IF($E584=0,0,IF(MIN(CA$38,$E584)&lt;MAX($P$34*($B584+$I$38-1),IF(AND($L$37=0,$P$34=0),"",$L$37-1)),0,YEARFRAC(MAX($P$34*($B584+$I$38-1),IF(AND($L$37=0,$P$34=0),"",$L$37-1)),MIN(CA$38,$E584),$P$20))-SUM($BF584:BZ584))</f>
        <v>0</v>
      </c>
      <c r="CB584" s="446">
        <f>IF($E584=0,0,IF(MIN(CB$38,$E584)&lt;MAX($P$34*($B584+$I$38-1),IF(AND($L$37=0,$P$34=0),"",$L$37-1)),0,YEARFRAC(MAX($P$34*($B584+$I$38-1),IF(AND($L$37=0,$P$34=0),"",$L$37-1)),MIN(CB$38,$E584),$P$20))-SUM($BF584:CA584))</f>
        <v>0</v>
      </c>
      <c r="CC584" s="446">
        <f>IF($E584=0,0,IF(MIN(CC$38,$E584)&lt;MAX($P$34*($B584+$I$38-1),IF(AND($L$37=0,$P$34=0),"",$L$37-1)),0,YEARFRAC(MAX($P$34*($B584+$I$38-1),IF(AND($L$37=0,$P$34=0),"",$L$37-1)),MIN(CC$38,$E584),$P$20))-SUM($BF584:CB584))</f>
        <v>0</v>
      </c>
      <c r="CD584" s="446">
        <f>IF($E584=0,0,IF(MIN(CD$38,$E584)&lt;MAX($P$34*($B584+$I$38-1),IF(AND($L$37=0,$P$34=0),"",$L$37-1)),0,YEARFRAC(MAX($P$34*($B584+$I$38-1),IF(AND($L$37=0,$P$34=0),"",$L$37-1)),MIN(CD$38,$E584),$P$20))-SUM($BF584:CC584))</f>
        <v>0</v>
      </c>
      <c r="CE584" s="446">
        <f>IF($E584=0,0,IF(MIN(CE$38,$E584)&lt;MAX($P$34*($B584+$I$38-1),IF(AND($L$37=0,$P$34=0),"",$L$37-1)),0,YEARFRAC(MAX($P$34*($B584+$I$38-1),IF(AND($L$37=0,$P$34=0),"",$L$37-1)),MIN(CE$38,$E584),$P$20))-SUM($BF584:CD584))</f>
        <v>0</v>
      </c>
      <c r="CF584" s="446">
        <f>IF($E584=0,0,IF(MIN(CF$38,$E584)&lt;MAX($P$34*($B584+$I$38-1),IF(AND($L$37=0,$P$34=0),"",$L$37-1)),0,YEARFRAC(MAX($P$34*($B584+$I$38-1),IF(AND($L$37=0,$P$34=0),"",$L$37-1)),MIN(CF$38,$E584),$P$20))-SUM($BF584:CE584))</f>
        <v>0</v>
      </c>
      <c r="CG584" s="446">
        <f>IF($E584=0,0,IF(MIN(CG$38,$E584)&lt;MAX($P$34*($B584+$I$38-1),IF(AND($L$37=0,$P$34=0),"",$L$37-1)),0,YEARFRAC(MAX($P$34*($B584+$I$38-1),IF(AND($L$37=0,$P$34=0),"",$L$37-1)),MIN(CG$38,$E584),$P$20))-SUM($BF584:CF584))</f>
        <v>0</v>
      </c>
      <c r="CH584" s="446">
        <f>IF($E584=0,0,IF(MIN(CH$38,$E584)&lt;MAX($P$34*($B584+$I$38-1),IF(AND($L$37=0,$P$34=0),"",$L$37-1)),0,YEARFRAC(MAX($P$34*($B584+$I$38-1),IF(AND($L$37=0,$P$34=0),"",$L$37-1)),MIN(CH$38,$E584),$P$20))-SUM($BF584:CG584))</f>
        <v>0</v>
      </c>
      <c r="CI584" s="446">
        <f>IF($E584=0,0,IF(MIN(CI$38,$E584)&lt;MAX($P$34*($B584+$I$38-1),IF(AND($L$37=0,$P$34=0),"",$L$37-1)),0,YEARFRAC(MAX($P$34*($B584+$I$38-1),IF(AND($L$37=0,$P$34=0),"",$L$37-1)),MIN(CI$38,$E584),$P$20))-SUM($BF584:CH584))</f>
        <v>0</v>
      </c>
      <c r="CJ584" s="446">
        <f>IF($E584=0,0,IF(MIN(CJ$38,$E584)&lt;MAX($P$34*($B584+$I$38-1),IF(AND($L$37=0,$P$34=0),"",$L$37-1)),0,YEARFRAC(MAX($P$34*($B584+$I$38-1),IF(AND($L$37=0,$P$34=0),"",$L$37-1)),MIN(CJ$38,$E584),$P$20))-SUM($BF584:CI584))</f>
        <v>0</v>
      </c>
      <c r="CK584" s="446">
        <f>IF($E584=0,0,IF(MIN(CK$38,$E584)&lt;MAX($P$34*($B584+$I$38-1),IF(AND($L$37=0,$P$34=0),"",$L$37-1)),0,YEARFRAC(MAX($P$34*($B584+$I$38-1),IF(AND($L$37=0,$P$34=0),"",$L$37-1)),MIN(CK$38,$E584),$P$20))-SUM($BF584:CJ584))</f>
        <v>0</v>
      </c>
      <c r="CL584" s="446">
        <f>IF($E584=0,0,IF(MIN(CL$38,$E584)&lt;MAX($P$34*($B584+$I$38-1),IF(AND($L$37=0,$P$34=0),"",$L$37-1)),0,YEARFRAC(MAX($P$34*($B584+$I$38-1),IF(AND($L$37=0,$P$34=0),"",$L$37-1)),MIN(CL$38,$E584),$P$20))-SUM($BF584:CK584))</f>
        <v>0</v>
      </c>
      <c r="CM584" s="446">
        <f>IF($E584=0,0,IF(MIN(CM$38,$E584)&lt;MAX($P$34*($B584+$I$38-1),IF(AND($L$37=0,$P$34=0),"",$L$37-1)),0,YEARFRAC(MAX($P$34*($B584+$I$38-1),IF(AND($L$37=0,$P$34=0),"",$L$37-1)),MIN(CM$38,$E584),$P$20))-SUM($BF584:CL584))</f>
        <v>0</v>
      </c>
      <c r="CN584" s="446">
        <f>IF($E584=0,0,IF(MIN(CN$38,$E584)&lt;MAX($P$34*($B584+$I$38-1),IF(AND($L$37=0,$P$34=0),"",$L$37-1)),0,YEARFRAC(MAX($P$34*($B584+$I$38-1),IF(AND($L$37=0,$P$34=0),"",$L$37-1)),MIN(CN$38,$E584),$P$20))-SUM($BF584:CM584))</f>
        <v>0</v>
      </c>
      <c r="CO584" s="446">
        <f>IF($E584=0,0,IF(MIN(CO$38,$E584)&lt;MAX($P$34*($B584+$I$38-1),IF(AND($L$37=0,$P$34=0),"",$L$37-1)),0,YEARFRAC(MAX($P$34*($B584+$I$38-1),IF(AND($L$37=0,$P$34=0),"",$L$37-1)),MIN(CO$38,$E584),$P$20))-SUM($BF584:CN584))</f>
        <v>0</v>
      </c>
      <c r="CP584" s="446">
        <f>IF($E584=0,0,IF(MIN(CP$38,$E584)&lt;MAX($P$34*($B584+$I$38-1),IF(AND($L$37=0,$P$34=0),"",$L$37-1)),0,YEARFRAC(MAX($P$34*($B584+$I$38-1),IF(AND($L$37=0,$P$34=0),"",$L$37-1)),MIN(CP$38,$E584),$P$20))-SUM($BF584:CO584))</f>
        <v>0</v>
      </c>
      <c r="CQ584" s="446">
        <f>IF($E584=0,0,IF(MIN(CQ$38,$E584)&lt;MAX($P$34*($B584+$I$38-1),IF(AND($L$37=0,$P$34=0),"",$L$37-1)),0,YEARFRAC(MAX($P$34*($B584+$I$38-1),IF(AND($L$37=0,$P$34=0),"",$L$37-1)),MIN(CQ$38,$E584),$P$20))-SUM($BF584:CP584))</f>
        <v>0</v>
      </c>
    </row>
    <row r="585" spans="1:95" s="446" customFormat="1" ht="11.25" hidden="1" customHeight="1" x14ac:dyDescent="0.2">
      <c r="A585" s="152"/>
      <c r="B585" s="153" t="str">
        <f t="shared" si="103"/>
        <v/>
      </c>
      <c r="C585" s="29" t="str">
        <f>IF(B585="","",IF($L$35="SELIC - TRIBUTOS",VLOOKUP(DATE(YEAR($D$19),MONTH($D$19)-1,1),ÍNDICES!$A:$DE,HLOOKUP($BL$25,ÍNDICES!$B$3:$T$4,2)+11)-VLOOKUP(B585,ÍNDICES!$A:$DE,HLOOKUP($BL$25,ÍNDICES!$B$3:$T$4,2)+11)+1%,IF(C$38=$W$26,$J$35,IF(ISERROR(IF(B585&gt;$D$19,1,VLOOKUP(DATE(YEAR(B585),MONTH(B585)+IF($C$35=$S$23,1,0),1),ÍNDICES!$A:$DE,$Z$35+1))),"",IF(B585&gt;$D$19,1,VLOOKUP(DATE(YEAR(B585),MONTH(B585)+IF($C$35=$S$23,1,0),1),ÍNDICES!$A:$DE,$Z$35+1))))))</f>
        <v/>
      </c>
      <c r="D585" s="154" t="str">
        <f>IF(ISERROR(IF(OR($D$38=$Y$27,$B585=""),"",VLOOKUP(B585,ÍNDICES!A:DE,AF$35+1))),"",IF(OR($D$38=$Y$27,$B585=""),"",VLOOKUP(B585,ÍNDICES!A:DE,AF$35+1)))</f>
        <v/>
      </c>
      <c r="E585" s="153"/>
      <c r="F585" s="29" t="str">
        <f>IF(E585="","",IF($L$35="SELIC - TRIBUTOS",VLOOKUP(DATE(YEAR($D$19),MONTH($D$19)-1,1),ÍNDICES!$A:$DE,HLOOKUP($BL$25,ÍNDICES!$B$3:$T$4,2)+11)-VLOOKUP(E585,ÍNDICES!$A:$DE,HLOOKUP($BL$25,ÍNDICES!$B$3:$T$4,2)+11)+1%,IF(F$38=$W$26,$J$35,IF(ISERROR(IF(E585&gt;$D$19,1,VLOOKUP(DATE(YEAR(E585),MONTH(E585)+IF($C$35=$S$23,1,0),1),ÍNDICES!$A:$DE,$Z$35+1))),"",IF(E585&gt;$D$19,1,VLOOKUP(DATE(YEAR(E585),MONTH(E585)+IF($C$35=$S$23,1,0),1),ÍNDICES!$A:$DE,$Z$35+1))))))</f>
        <v/>
      </c>
      <c r="G585" s="155"/>
      <c r="H585" s="156" t="str">
        <f t="shared" si="99"/>
        <v/>
      </c>
      <c r="I585" s="29" t="str">
        <f t="shared" si="93"/>
        <v/>
      </c>
      <c r="J585" s="5">
        <f t="shared" si="94"/>
        <v>0</v>
      </c>
      <c r="K585" s="20">
        <f t="shared" ca="1" si="95"/>
        <v>0</v>
      </c>
      <c r="L585" s="5">
        <f t="shared" ca="1" si="96"/>
        <v>0</v>
      </c>
      <c r="M585" s="64">
        <f t="shared" si="100"/>
        <v>0</v>
      </c>
      <c r="N585" s="61">
        <f t="shared" ca="1" si="101"/>
        <v>0</v>
      </c>
      <c r="O585" s="5">
        <f t="shared" ca="1" si="102"/>
        <v>0</v>
      </c>
      <c r="P585" s="446" t="e">
        <f t="shared" si="97"/>
        <v>#VALUE!</v>
      </c>
      <c r="Q585" s="446" t="e">
        <f>IF(OR($B585="",MIN(Q$38,$D$19)&lt;MAX($P$34*($B585+IF($R$17="Distrato",$I$38-1,0)),IF(AND($L$37=0,$P$34=0),"",$L$37-1),IF($R$17="Distrato",$E585,0))),0,YEARFRAC(MAX($P$34*($B585+IF($R$17="Distrato",$I$38-1,0)),IF(AND($L$37=0,$P$34=0),"",$L$37-1),IF($R$17="Distrato",$E585,0)),MIN(Q$38,$D$19),$P$20))-SUM($P585:P585)</f>
        <v>#VALUE!</v>
      </c>
      <c r="R585" s="446" t="e">
        <f>IF(OR($B585="",MIN(R$38,$D$19)&lt;MAX($P$34*($B585+IF($R$17="Distrato",$I$38-1,0)),IF(AND($L$37=0,$P$34=0),"",$L$37-1),IF($R$17="Distrato",$E585,0))),0,YEARFRAC(MAX($P$34*($B585+IF($R$17="Distrato",$I$38-1,0)),IF(AND($L$37=0,$P$34=0),"",$L$37-1),IF($R$17="Distrato",$E585,0)),MIN(R$38,$D$19),$P$20))-SUM($P585:Q585)</f>
        <v>#VALUE!</v>
      </c>
      <c r="S585" s="446" t="e">
        <f>IF(OR($B585="",MIN(S$38,$D$19)&lt;MAX($P$34*($B585+IF($R$17="Distrato",$I$38-1,0)),IF(AND($L$37=0,$P$34=0),"",$L$37-1),IF($R$17="Distrato",$E585,0))),0,YEARFRAC(MAX($P$34*($B585+IF($R$17="Distrato",$I$38-1,0)),IF(AND($L$37=0,$P$34=0),"",$L$37-1),IF($R$17="Distrato",$E585,0)),MIN(S$38,$D$19),$P$20))-SUM($P585:R585)</f>
        <v>#VALUE!</v>
      </c>
      <c r="T585" s="446" t="e">
        <f>IF(OR($B585="",MIN(T$38,$D$19)&lt;MAX($P$34*($B585+IF($R$17="Distrato",$I$38-1,0)),IF(AND($L$37=0,$P$34=0),"",$L$37-1),IF($R$17="Distrato",$E585,0))),0,YEARFRAC(MAX($P$34*($B585+IF($R$17="Distrato",$I$38-1,0)),IF(AND($L$37=0,$P$34=0),"",$L$37-1),IF($R$17="Distrato",$E585,0)),MIN(T$38,$D$19),$P$20))-SUM($P585:S585)</f>
        <v>#VALUE!</v>
      </c>
      <c r="U585" s="446" t="e">
        <f>IF(OR($B585="",MIN(U$38,$D$19)&lt;MAX($P$34*($B585+IF($R$17="Distrato",$I$38-1,0)),IF(AND($L$37=0,$P$34=0),"",$L$37-1),IF($R$17="Distrato",$E585,0))),0,YEARFRAC(MAX($P$34*($B585+IF($R$17="Distrato",$I$38-1,0)),IF(AND($L$37=0,$P$34=0),"",$L$37-1),IF($R$17="Distrato",$E585,0)),MIN(U$38,$D$19),$P$20))-SUM($P585:T585)</f>
        <v>#VALUE!</v>
      </c>
      <c r="V585" s="446" t="e">
        <f>IF(OR($B585="",MIN(V$38,$D$19)&lt;MAX($P$34*($B585+IF($R$17="Distrato",$I$38-1,0)),IF(AND($L$37=0,$P$34=0),"",$L$37-1),IF($R$17="Distrato",$E585,0))),0,YEARFRAC(MAX($P$34*($B585+IF($R$17="Distrato",$I$38-1,0)),IF(AND($L$37=0,$P$34=0),"",$L$37-1),IF($R$17="Distrato",$E585,0)),MIN(V$38,$D$19),$P$20))-SUM($P585:U585)</f>
        <v>#VALUE!</v>
      </c>
      <c r="W585" s="446" t="e">
        <f>IF(OR($B585="",MIN(W$38,$D$19)&lt;MAX($P$34*($B585+IF($R$17="Distrato",$I$38-1,0)),IF(AND($L$37=0,$P$34=0),"",$L$37-1),IF($R$17="Distrato",$E585,0))),0,YEARFRAC(MAX($P$34*($B585+IF($R$17="Distrato",$I$38-1,0)),IF(AND($L$37=0,$P$34=0),"",$L$37-1),IF($R$17="Distrato",$E585,0)),MIN(W$38,$D$19),$P$20))-SUM($P585:V585)</f>
        <v>#VALUE!</v>
      </c>
      <c r="X585" s="446" t="e">
        <f>IF(OR($B585="",MIN(X$38,$D$19)&lt;MAX($P$34*($B585+IF($R$17="Distrato",$I$38-1,0)),IF(AND($L$37=0,$P$34=0),"",$L$37-1),IF($R$17="Distrato",$E585,0))),0,YEARFRAC(MAX($P$34*($B585+IF($R$17="Distrato",$I$38-1,0)),IF(AND($L$37=0,$P$34=0),"",$L$37-1),IF($R$17="Distrato",$E585,0)),MIN(X$38,$D$19),$P$20))-SUM($P585:W585)</f>
        <v>#VALUE!</v>
      </c>
      <c r="Y585" s="446" t="e">
        <f>IF(OR($B585="",MIN(Y$38,$D$19)&lt;MAX($P$34*($B585+IF($R$17="Distrato",$I$38-1,0)),IF(AND($L$37=0,$P$34=0),"",$L$37-1),IF($R$17="Distrato",$E585,0))),0,YEARFRAC(MAX($P$34*($B585+IF($R$17="Distrato",$I$38-1,0)),IF(AND($L$37=0,$P$34=0),"",$L$37-1),IF($R$17="Distrato",$E585,0)),MIN(Y$38,$D$19),$P$20))-SUM($P585:X585)</f>
        <v>#VALUE!</v>
      </c>
      <c r="Z585" s="446" t="e">
        <f>IF(OR($B585="",MIN(Z$38,$D$19)&lt;MAX($P$34*($B585+IF($R$17="Distrato",$I$38-1,0)),IF(AND($L$37=0,$P$34=0),"",$L$37-1),IF($R$17="Distrato",$E585,0))),0,YEARFRAC(MAX($P$34*($B585+IF($R$17="Distrato",$I$38-1,0)),IF(AND($L$37=0,$P$34=0),"",$L$37-1),IF($R$17="Distrato",$E585,0)),MIN(Z$38,$D$19),$P$20))-SUM($P585:Y585)</f>
        <v>#VALUE!</v>
      </c>
      <c r="AA585" s="446" t="e">
        <f>IF(OR($B585="",MIN(AA$38,$D$19)&lt;MAX($P$34*($B585+IF($R$17="Distrato",$I$38-1,0)),IF(AND($L$37=0,$P$34=0),"",$L$37-1),IF($R$17="Distrato",$E585,0))),0,YEARFRAC(MAX($P$34*($B585+IF($R$17="Distrato",$I$38-1,0)),IF(AND($L$37=0,$P$34=0),"",$L$37-1),IF($R$17="Distrato",$E585,0)),MIN(AA$38,$D$19),$P$20))-SUM($P585:Z585)</f>
        <v>#VALUE!</v>
      </c>
      <c r="AB585" s="446" t="e">
        <f>IF(OR($B585="",MIN(AB$38,$D$19)&lt;MAX($P$34*($B585+IF($R$17="Distrato",$I$38-1,0)),IF(AND($L$37=0,$P$34=0),"",$L$37-1),IF($R$17="Distrato",$E585,0))),0,YEARFRAC(MAX($P$34*($B585+IF($R$17="Distrato",$I$38-1,0)),IF(AND($L$37=0,$P$34=0),"",$L$37-1),IF($R$17="Distrato",$E585,0)),MIN(AB$38,$D$19),$P$20))-SUM($P585:AA585)</f>
        <v>#VALUE!</v>
      </c>
      <c r="AC585" s="446" t="e">
        <f>IF(OR($B585="",MIN(AC$38,$D$19)&lt;MAX($P$34*($B585+IF($R$17="Distrato",$I$38-1,0)),IF(AND($L$37=0,$P$34=0),"",$L$37-1),IF($R$17="Distrato",$E585,0))),0,YEARFRAC(MAX($P$34*($B585+IF($R$17="Distrato",$I$38-1,0)),IF(AND($L$37=0,$P$34=0),"",$L$37-1),IF($R$17="Distrato",$E585,0)),MIN(AC$38,$D$19),$P$20))-SUM($P585:AB585)</f>
        <v>#VALUE!</v>
      </c>
      <c r="AD585" s="446" t="e">
        <f>IF(OR($B585="",MIN(AD$38,$D$19)&lt;MAX($P$34*($B585+IF($R$17="Distrato",$I$38-1,0)),IF(AND($L$37=0,$P$34=0),"",$L$37-1),IF($R$17="Distrato",$E585,0))),0,YEARFRAC(MAX($P$34*($B585+IF($R$17="Distrato",$I$38-1,0)),IF(AND($L$37=0,$P$34=0),"",$L$37-1),IF($R$17="Distrato",$E585,0)),MIN(AD$38,$D$19),$P$20))-SUM($P585:AC585)</f>
        <v>#VALUE!</v>
      </c>
      <c r="AE585" s="446" t="e">
        <f>IF(OR($B585="",MIN(AE$38,$D$19)&lt;MAX($P$34*($B585+IF($R$17="Distrato",$I$38-1,0)),IF(AND($L$37=0,$P$34=0),"",$L$37-1),IF($R$17="Distrato",$E585,0))),0,YEARFRAC(MAX($P$34*($B585+IF($R$17="Distrato",$I$38-1,0)),IF(AND($L$37=0,$P$34=0),"",$L$37-1),IF($R$17="Distrato",$E585,0)),MIN(AE$38,$D$19),$P$20))-SUM($P585:AD585)</f>
        <v>#VALUE!</v>
      </c>
      <c r="AF585" s="446" t="e">
        <f>IF(OR($B585="",MIN(AF$38,$D$19)&lt;MAX($P$34*($B585+IF($R$17="Distrato",$I$38-1,0)),IF(AND($L$37=0,$P$34=0),"",$L$37-1),IF($R$17="Distrato",$E585,0))),0,YEARFRAC(MAX($P$34*($B585+IF($R$17="Distrato",$I$38-1,0)),IF(AND($L$37=0,$P$34=0),"",$L$37-1),IF($R$17="Distrato",$E585,0)),MIN(AF$38,$D$19),$P$20))-SUM($P585:AE585)</f>
        <v>#VALUE!</v>
      </c>
      <c r="AG585" s="446" t="e">
        <f>IF(OR($B585="",MIN(AG$38,$D$19)&lt;MAX($P$34*($B585+IF($R$17="Distrato",$I$38-1,0)),IF(AND($L$37=0,$P$34=0),"",$L$37-1),IF($R$17="Distrato",$E585,0))),0,YEARFRAC(MAX($P$34*($B585+IF($R$17="Distrato",$I$38-1,0)),IF(AND($L$37=0,$P$34=0),"",$L$37-1),IF($R$17="Distrato",$E585,0)),MIN(AG$38,$D$19),$P$20))-SUM($P585:AF585)</f>
        <v>#VALUE!</v>
      </c>
      <c r="AH585" s="446" t="e">
        <f>IF(OR($B585="",MIN(AH$38,$D$19)&lt;MAX($P$34*($B585+IF($R$17="Distrato",$I$38-1,0)),IF(AND($L$37=0,$P$34=0),"",$L$37-1),IF($R$17="Distrato",$E585,0))),0,YEARFRAC(MAX($P$34*($B585+IF($R$17="Distrato",$I$38-1,0)),IF(AND($L$37=0,$P$34=0),"",$L$37-1),IF($R$17="Distrato",$E585,0)),MIN(AH$38,$D$19),$P$20))-SUM($P585:AG585)</f>
        <v>#VALUE!</v>
      </c>
      <c r="AI585" s="446" t="e">
        <f>IF(OR($B585="",MIN(AI$38,$D$19)&lt;MAX($P$34*($B585+IF($R$17="Distrato",$I$38-1,0)),IF(AND($L$37=0,$P$34=0),"",$L$37-1),IF($R$17="Distrato",$E585,0))),0,YEARFRAC(MAX($P$34*($B585+IF($R$17="Distrato",$I$38-1,0)),IF(AND($L$37=0,$P$34=0),"",$L$37-1),IF($R$17="Distrato",$E585,0)),MIN(AI$38,$D$19),$P$20))-SUM($P585:AH585)</f>
        <v>#VALUE!</v>
      </c>
      <c r="AJ585" s="446" t="e">
        <f>IF(OR($B585="",MIN(AJ$38,$D$19)&lt;MAX($P$34*($B585+IF($R$17="Distrato",$I$38-1,0)),IF(AND($L$37=0,$P$34=0),"",$L$37-1),IF($R$17="Distrato",$E585,0))),0,YEARFRAC(MAX($P$34*($B585+IF($R$17="Distrato",$I$38-1,0)),IF(AND($L$37=0,$P$34=0),"",$L$37-1),IF($R$17="Distrato",$E585,0)),MIN(AJ$38,$D$19),$P$20))-SUM($P585:AI585)</f>
        <v>#VALUE!</v>
      </c>
      <c r="AK585" s="446" t="e">
        <f>IF(OR($B585="",MIN(AK$38,$D$19)&lt;MAX($P$34*($B585+IF($R$17="Distrato",$I$38-1,0)),IF(AND($L$37=0,$P$34=0),"",$L$37-1),IF($R$17="Distrato",$E585,0))),0,YEARFRAC(MAX($P$34*($B585+IF($R$17="Distrato",$I$38-1,0)),IF(AND($L$37=0,$P$34=0),"",$L$37-1),IF($R$17="Distrato",$E585,0)),MIN(AK$38,$D$19),$P$20))-SUM($P585:AJ585)</f>
        <v>#VALUE!</v>
      </c>
      <c r="AL585" s="446" t="e">
        <f>IF(OR($B585="",MIN(AL$38,$D$19)&lt;MAX($P$34*($B585+IF($R$17="Distrato",$I$38-1,0)),IF(AND($L$37=0,$P$34=0),"",$L$37-1),IF($R$17="Distrato",$E585,0))),0,YEARFRAC(MAX($P$34*($B585+IF($R$17="Distrato",$I$38-1,0)),IF(AND($L$37=0,$P$34=0),"",$L$37-1),IF($R$17="Distrato",$E585,0)),MIN(AL$38,$D$19),$P$20))-SUM($P585:AK585)</f>
        <v>#VALUE!</v>
      </c>
      <c r="AM585" s="446" t="e">
        <f>IF(OR($B585="",MIN(AM$38,$D$19)&lt;MAX($P$34*($B585+IF($R$17="Distrato",$I$38-1,0)),IF(AND($L$37=0,$P$34=0),"",$L$37-1),IF($R$17="Distrato",$E585,0))),0,YEARFRAC(MAX($P$34*($B585+IF($R$17="Distrato",$I$38-1,0)),IF(AND($L$37=0,$P$34=0),"",$L$37-1),IF($R$17="Distrato",$E585,0)),MIN(AM$38,$D$19),$P$20))-SUM($P585:AL585)</f>
        <v>#VALUE!</v>
      </c>
      <c r="AN585" s="446" t="e">
        <f>IF(OR($B585="",MIN(AN$38,$D$19)&lt;MAX($P$34*($B585+IF($R$17="Distrato",$I$38-1,0)),IF(AND($L$37=0,$P$34=0),"",$L$37-1),IF($R$17="Distrato",$E585,0))),0,YEARFRAC(MAX($P$34*($B585+IF($R$17="Distrato",$I$38-1,0)),IF(AND($L$37=0,$P$34=0),"",$L$37-1),IF($R$17="Distrato",$E585,0)),MIN(AN$38,$D$19),$P$20))-SUM($P585:AM585)</f>
        <v>#VALUE!</v>
      </c>
      <c r="AO585" s="446" t="e">
        <f>IF(OR($B585="",MIN(AO$38,$D$19)&lt;MAX($P$34*($B585+IF($R$17="Distrato",$I$38-1,0)),IF(AND($L$37=0,$P$34=0),"",$L$37-1),IF($R$17="Distrato",$E585,0))),0,YEARFRAC(MAX($P$34*($B585+IF($R$17="Distrato",$I$38-1,0)),IF(AND($L$37=0,$P$34=0),"",$L$37-1),IF($R$17="Distrato",$E585,0)),MIN(AO$38,$D$19),$P$20))-SUM($P585:AN585)</f>
        <v>#VALUE!</v>
      </c>
      <c r="AP585" s="446" t="e">
        <f>IF(OR($B585="",MIN(AP$38,$D$19)&lt;MAX($P$34*($B585+IF($R$17="Distrato",$I$38-1,0)),IF(AND($L$37=0,$P$34=0),"",$L$37-1),IF($R$17="Distrato",$E585,0))),0,YEARFRAC(MAX($P$34*($B585+IF($R$17="Distrato",$I$38-1,0)),IF(AND($L$37=0,$P$34=0),"",$L$37-1),IF($R$17="Distrato",$E585,0)),MIN(AP$38,$D$19),$P$20))-SUM($P585:AO585)</f>
        <v>#VALUE!</v>
      </c>
      <c r="AQ585" s="446" t="e">
        <f>IF(OR($B585="",MIN(AQ$38,$D$19)&lt;MAX($P$34*($B585+IF($R$17="Distrato",$I$38-1,0)),IF(AND($L$37=0,$P$34=0),"",$L$37-1),IF($R$17="Distrato",$E585,0))),0,YEARFRAC(MAX($P$34*($B585+IF($R$17="Distrato",$I$38-1,0)),IF(AND($L$37=0,$P$34=0),"",$L$37-1),IF($R$17="Distrato",$E585,0)),MIN(AQ$38,$D$19),$P$20))-SUM($P585:AP585)</f>
        <v>#VALUE!</v>
      </c>
      <c r="AR585" s="446" t="e">
        <f>IF(OR($B585="",MIN(AR$38,$D$19)&lt;MAX($P$34*($B585+IF($R$17="Distrato",$I$38-1,0)),IF(AND($L$37=0,$P$34=0),"",$L$37-1),IF($R$17="Distrato",$E585,0))),0,YEARFRAC(MAX($P$34*($B585+IF($R$17="Distrato",$I$38-1,0)),IF(AND($L$37=0,$P$34=0),"",$L$37-1),IF($R$17="Distrato",$E585,0)),MIN(AR$38,$D$19),$P$20))-SUM($P585:AQ585)</f>
        <v>#VALUE!</v>
      </c>
      <c r="AS585" s="446" t="e">
        <f>IF(OR($B585="",MIN(AS$38,$D$19)&lt;MAX($P$34*($B585+IF($R$17="Distrato",$I$38-1,0)),IF(AND($L$37=0,$P$34=0),"",$L$37-1),IF($R$17="Distrato",$E585,0))),0,YEARFRAC(MAX($P$34*($B585+IF($R$17="Distrato",$I$38-1,0)),IF(AND($L$37=0,$P$34=0),"",$L$37-1),IF($R$17="Distrato",$E585,0)),MIN(AS$38,$D$19),$P$20))-SUM($P585:AR585)</f>
        <v>#VALUE!</v>
      </c>
      <c r="AT585" s="446" t="e">
        <f>IF(OR($B585="",MIN(AT$38,$D$19)&lt;MAX($P$34*($B585+IF($R$17="Distrato",$I$38-1,0)),IF(AND($L$37=0,$P$34=0),"",$L$37-1),IF($R$17="Distrato",$E585,0))),0,YEARFRAC(MAX($P$34*($B585+IF($R$17="Distrato",$I$38-1,0)),IF(AND($L$37=0,$P$34=0),"",$L$37-1),IF($R$17="Distrato",$E585,0)),MIN(AT$38,$D$19),$P$20))-SUM($P585:AS585)</f>
        <v>#VALUE!</v>
      </c>
      <c r="AU585" s="446" t="e">
        <f>IF(OR($B585="",MIN(AU$38,$D$19)&lt;MAX($P$34*($B585+IF($R$17="Distrato",$I$38-1,0)),IF(AND($L$37=0,$P$34=0),"",$L$37-1),IF($R$17="Distrato",$E585,0))),0,YEARFRAC(MAX($P$34*($B585+IF($R$17="Distrato",$I$38-1,0)),IF(AND($L$37=0,$P$34=0),"",$L$37-1),IF($R$17="Distrato",$E585,0)),MIN(AU$38,$D$19),$P$20))-SUM($P585:AT585)</f>
        <v>#VALUE!</v>
      </c>
      <c r="AV585" s="446" t="e">
        <f>IF(OR($B585="",MIN(AV$38,$D$19)&lt;MAX($P$34*($B585+IF($R$17="Distrato",$I$38-1,0)),IF(AND($L$37=0,$P$34=0),"",$L$37-1),IF($R$17="Distrato",$E585,0))),0,YEARFRAC(MAX($P$34*($B585+IF($R$17="Distrato",$I$38-1,0)),IF(AND($L$37=0,$P$34=0),"",$L$37-1),IF($R$17="Distrato",$E585,0)),MIN(AV$38,$D$19),$P$20))-SUM($P585:AU585)</f>
        <v>#VALUE!</v>
      </c>
      <c r="AW585" s="446" t="e">
        <f>IF(OR($B585="",MIN(AW$38,$D$19)&lt;MAX($P$34*($B585+IF($R$17="Distrato",$I$38-1,0)),IF(AND($L$37=0,$P$34=0),"",$L$37-1),IF($R$17="Distrato",$E585,0))),0,YEARFRAC(MAX($P$34*($B585+IF($R$17="Distrato",$I$38-1,0)),IF(AND($L$37=0,$P$34=0),"",$L$37-1),IF($R$17="Distrato",$E585,0)),MIN(AW$38,$D$19),$P$20))-SUM($P585:AV585)</f>
        <v>#VALUE!</v>
      </c>
      <c r="AX585" s="446" t="e">
        <f>IF(OR($B585="",MIN(AX$38,$D$19)&lt;MAX($P$34*($B585+IF($R$17="Distrato",$I$38-1,0)),IF(AND($L$37=0,$P$34=0),"",$L$37-1),IF($R$17="Distrato",$E585,0))),0,YEARFRAC(MAX($P$34*($B585+IF($R$17="Distrato",$I$38-1,0)),IF(AND($L$37=0,$P$34=0),"",$L$37-1),IF($R$17="Distrato",$E585,0)),MIN(AX$38,$D$19),$P$20))-SUM($P585:AW585)</f>
        <v>#VALUE!</v>
      </c>
      <c r="AY585" s="446" t="e">
        <f>IF(OR($B585="",MIN(AY$38,$D$19)&lt;MAX($P$34*($B585+IF($R$17="Distrato",$I$38-1,0)),IF(AND($L$37=0,$P$34=0),"",$L$37-1),IF($R$17="Distrato",$E585,0))),0,YEARFRAC(MAX($P$34*($B585+IF($R$17="Distrato",$I$38-1,0)),IF(AND($L$37=0,$P$34=0),"",$L$37-1),IF($R$17="Distrato",$E585,0)),MIN(AY$38,$D$19),$P$20))-SUM($P585:AX585)</f>
        <v>#VALUE!</v>
      </c>
      <c r="AZ585" s="446" t="e">
        <f>IF(OR($B585="",MIN(AZ$38,$D$19)&lt;MAX($P$34*($B585+IF($R$17="Distrato",$I$38-1,0)),IF(AND($L$37=0,$P$34=0),"",$L$37-1),IF($R$17="Distrato",$E585,0))),0,YEARFRAC(MAX($P$34*($B585+IF($R$17="Distrato",$I$38-1,0)),IF(AND($L$37=0,$P$34=0),"",$L$37-1),IF($R$17="Distrato",$E585,0)),MIN(AZ$38,$D$19),$P$20))-SUM($P585:AY585)</f>
        <v>#VALUE!</v>
      </c>
      <c r="BA585" s="446" t="e">
        <f>IF(OR($B585="",MIN(BA$38,$D$19)&lt;MAX($P$34*($B585+IF($R$17="Distrato",$I$38-1,0)),IF(AND($L$37=0,$P$34=0),"",$L$37-1),IF($R$17="Distrato",$E585,0))),0,YEARFRAC(MAX($P$34*($B585+IF($R$17="Distrato",$I$38-1,0)),IF(AND($L$37=0,$P$34=0),"",$L$37-1),IF($R$17="Distrato",$E585,0)),MIN(BA$38,$D$19),$P$20))-SUM($P585:AZ585)</f>
        <v>#VALUE!</v>
      </c>
      <c r="BB585" s="447"/>
      <c r="BF585" s="446">
        <f t="shared" si="98"/>
        <v>0</v>
      </c>
      <c r="BG585" s="446">
        <f>IF($E585=0,0,IF(MIN(BG$38,$E585)&lt;MAX($P$34*($B585+$I$38-1),IF(AND($L$37=0,$P$34=0),"",$L$37-1)),0,YEARFRAC(MAX($P$34*($B585+$I$38-1),IF(AND($L$37=0,$P$34=0),"",$L$37-1)),MIN(BG$38,$E585),$P$20))-SUM($BF585:BF585))</f>
        <v>0</v>
      </c>
      <c r="BH585" s="446">
        <f>IF($E585=0,0,IF(MIN(BH$38,$E585)&lt;MAX($P$34*($B585+$I$38-1),IF(AND($L$37=0,$P$34=0),"",$L$37-1)),0,YEARFRAC(MAX($P$34*($B585+$I$38-1),IF(AND($L$37=0,$P$34=0),"",$L$37-1)),MIN(BH$38,$E585),$P$20))-SUM($BF585:BG585))</f>
        <v>0</v>
      </c>
      <c r="BI585" s="446">
        <f>IF($E585=0,0,IF(MIN(BI$38,$E585)&lt;MAX($P$34*($B585+$I$38-1),IF(AND($L$37=0,$P$34=0),"",$L$37-1)),0,YEARFRAC(MAX($P$34*($B585+$I$38-1),IF(AND($L$37=0,$P$34=0),"",$L$37-1)),MIN(BI$38,$E585),$P$20))-SUM($BF585:BH585))</f>
        <v>0</v>
      </c>
      <c r="BJ585" s="446">
        <f>IF($E585=0,0,IF(MIN(BJ$38,$E585)&lt;MAX($P$34*($B585+$I$38-1),IF(AND($L$37=0,$P$34=0),"",$L$37-1)),0,YEARFRAC(MAX($P$34*($B585+$I$38-1),IF(AND($L$37=0,$P$34=0),"",$L$37-1)),MIN(BJ$38,$E585),$P$20))-SUM($BF585:BI585))</f>
        <v>0</v>
      </c>
      <c r="BK585" s="446">
        <f>IF($E585=0,0,IF(MIN(BK$38,$E585)&lt;MAX($P$34*($B585+$I$38-1),IF(AND($L$37=0,$P$34=0),"",$L$37-1)),0,YEARFRAC(MAX($P$34*($B585+$I$38-1),IF(AND($L$37=0,$P$34=0),"",$L$37-1)),MIN(BK$38,$E585),$P$20))-SUM($BF585:BJ585))</f>
        <v>0</v>
      </c>
      <c r="BL585" s="446">
        <f>IF($E585=0,0,IF(MIN(BL$38,$E585)&lt;MAX($P$34*($B585+$I$38-1),IF(AND($L$37=0,$P$34=0),"",$L$37-1)),0,YEARFRAC(MAX($P$34*($B585+$I$38-1),IF(AND($L$37=0,$P$34=0),"",$L$37-1)),MIN(BL$38,$E585),$P$20))-SUM($BF585:BK585))</f>
        <v>0</v>
      </c>
      <c r="BM585" s="446">
        <f>IF($E585=0,0,IF(MIN(BM$38,$E585)&lt;MAX($P$34*($B585+$I$38-1),IF(AND($L$37=0,$P$34=0),"",$L$37-1)),0,YEARFRAC(MAX($P$34*($B585+$I$38-1),IF(AND($L$37=0,$P$34=0),"",$L$37-1)),MIN(BM$38,$E585),$P$20))-SUM($BF585:BL585))</f>
        <v>0</v>
      </c>
      <c r="BN585" s="446">
        <f>IF($E585=0,0,IF(MIN(BN$38,$E585)&lt;MAX($P$34*($B585+$I$38-1),IF(AND($L$37=0,$P$34=0),"",$L$37-1)),0,YEARFRAC(MAX($P$34*($B585+$I$38-1),IF(AND($L$37=0,$P$34=0),"",$L$37-1)),MIN(BN$38,$E585),$P$20))-SUM($BF585:BM585))</f>
        <v>0</v>
      </c>
      <c r="BO585" s="446">
        <f>IF($E585=0,0,IF(MIN(BO$38,$E585)&lt;MAX($P$34*($B585+$I$38-1),IF(AND($L$37=0,$P$34=0),"",$L$37-1)),0,YEARFRAC(MAX($P$34*($B585+$I$38-1),IF(AND($L$37=0,$P$34=0),"",$L$37-1)),MIN(BO$38,$E585),$P$20))-SUM($BF585:BN585))</f>
        <v>0</v>
      </c>
      <c r="BP585" s="446">
        <f>IF($E585=0,0,IF(MIN(BP$38,$E585)&lt;MAX($P$34*($B585+$I$38-1),IF(AND($L$37=0,$P$34=0),"",$L$37-1)),0,YEARFRAC(MAX($P$34*($B585+$I$38-1),IF(AND($L$37=0,$P$34=0),"",$L$37-1)),MIN(BP$38,$E585),$P$20))-SUM($BF585:BO585))</f>
        <v>0</v>
      </c>
      <c r="BQ585" s="446">
        <f>IF($E585=0,0,IF(MIN(BQ$38,$E585)&lt;MAX($P$34*($B585+$I$38-1),IF(AND($L$37=0,$P$34=0),"",$L$37-1)),0,YEARFRAC(MAX($P$34*($B585+$I$38-1),IF(AND($L$37=0,$P$34=0),"",$L$37-1)),MIN(BQ$38,$E585),$P$20))-SUM($BF585:BP585))</f>
        <v>0</v>
      </c>
      <c r="BR585" s="446">
        <f>IF($E585=0,0,IF(MIN(BR$38,$E585)&lt;MAX($P$34*($B585+$I$38-1),IF(AND($L$37=0,$P$34=0),"",$L$37-1)),0,YEARFRAC(MAX($P$34*($B585+$I$38-1),IF(AND($L$37=0,$P$34=0),"",$L$37-1)),MIN(BR$38,$E585),$P$20))-SUM($BF585:BQ585))</f>
        <v>0</v>
      </c>
      <c r="BS585" s="446">
        <f>IF($E585=0,0,IF(MIN(BS$38,$E585)&lt;MAX($P$34*($B585+$I$38-1),IF(AND($L$37=0,$P$34=0),"",$L$37-1)),0,YEARFRAC(MAX($P$34*($B585+$I$38-1),IF(AND($L$37=0,$P$34=0),"",$L$37-1)),MIN(BS$38,$E585),$P$20))-SUM($BF585:BR585))</f>
        <v>0</v>
      </c>
      <c r="BT585" s="446">
        <f>IF($E585=0,0,IF(MIN(BT$38,$E585)&lt;MAX($P$34*($B585+$I$38-1),IF(AND($L$37=0,$P$34=0),"",$L$37-1)),0,YEARFRAC(MAX($P$34*($B585+$I$38-1),IF(AND($L$37=0,$P$34=0),"",$L$37-1)),MIN(BT$38,$E585),$P$20))-SUM($BF585:BS585))</f>
        <v>0</v>
      </c>
      <c r="BU585" s="446">
        <f>IF($E585=0,0,IF(MIN(BU$38,$E585)&lt;MAX($P$34*($B585+$I$38-1),IF(AND($L$37=0,$P$34=0),"",$L$37-1)),0,YEARFRAC(MAX($P$34*($B585+$I$38-1),IF(AND($L$37=0,$P$34=0),"",$L$37-1)),MIN(BU$38,$E585),$P$20))-SUM($BF585:BT585))</f>
        <v>0</v>
      </c>
      <c r="BV585" s="446">
        <f>IF($E585=0,0,IF(MIN(BV$38,$E585)&lt;MAX($P$34*($B585+$I$38-1),IF(AND($L$37=0,$P$34=0),"",$L$37-1)),0,YEARFRAC(MAX($P$34*($B585+$I$38-1),IF(AND($L$37=0,$P$34=0),"",$L$37-1)),MIN(BV$38,$E585),$P$20))-SUM($BF585:BU585))</f>
        <v>0</v>
      </c>
      <c r="BW585" s="446">
        <f>IF($E585=0,0,IF(MIN(BW$38,$E585)&lt;MAX($P$34*($B585+$I$38-1),IF(AND($L$37=0,$P$34=0),"",$L$37-1)),0,YEARFRAC(MAX($P$34*($B585+$I$38-1),IF(AND($L$37=0,$P$34=0),"",$L$37-1)),MIN(BW$38,$E585),$P$20))-SUM($BF585:BV585))</f>
        <v>0</v>
      </c>
      <c r="BX585" s="446">
        <f>IF($E585=0,0,IF(MIN(BX$38,$E585)&lt;MAX($P$34*($B585+$I$38-1),IF(AND($L$37=0,$P$34=0),"",$L$37-1)),0,YEARFRAC(MAX($P$34*($B585+$I$38-1),IF(AND($L$37=0,$P$34=0),"",$L$37-1)),MIN(BX$38,$E585),$P$20))-SUM($BF585:BW585))</f>
        <v>0</v>
      </c>
      <c r="BY585" s="446">
        <f>IF($E585=0,0,IF(MIN(BY$38,$E585)&lt;MAX($P$34*($B585+$I$38-1),IF(AND($L$37=0,$P$34=0),"",$L$37-1)),0,YEARFRAC(MAX($P$34*($B585+$I$38-1),IF(AND($L$37=0,$P$34=0),"",$L$37-1)),MIN(BY$38,$E585),$P$20))-SUM($BF585:BX585))</f>
        <v>0</v>
      </c>
      <c r="BZ585" s="446">
        <f>IF($E585=0,0,IF(MIN(BZ$38,$E585)&lt;MAX($P$34*($B585+$I$38-1),IF(AND($L$37=0,$P$34=0),"",$L$37-1)),0,YEARFRAC(MAX($P$34*($B585+$I$38-1),IF(AND($L$37=0,$P$34=0),"",$L$37-1)),MIN(BZ$38,$E585),$P$20))-SUM($BF585:BY585))</f>
        <v>0</v>
      </c>
      <c r="CA585" s="446">
        <f>IF($E585=0,0,IF(MIN(CA$38,$E585)&lt;MAX($P$34*($B585+$I$38-1),IF(AND($L$37=0,$P$34=0),"",$L$37-1)),0,YEARFRAC(MAX($P$34*($B585+$I$38-1),IF(AND($L$37=0,$P$34=0),"",$L$37-1)),MIN(CA$38,$E585),$P$20))-SUM($BF585:BZ585))</f>
        <v>0</v>
      </c>
      <c r="CB585" s="446">
        <f>IF($E585=0,0,IF(MIN(CB$38,$E585)&lt;MAX($P$34*($B585+$I$38-1),IF(AND($L$37=0,$P$34=0),"",$L$37-1)),0,YEARFRAC(MAX($P$34*($B585+$I$38-1),IF(AND($L$37=0,$P$34=0),"",$L$37-1)),MIN(CB$38,$E585),$P$20))-SUM($BF585:CA585))</f>
        <v>0</v>
      </c>
      <c r="CC585" s="446">
        <f>IF($E585=0,0,IF(MIN(CC$38,$E585)&lt;MAX($P$34*($B585+$I$38-1),IF(AND($L$37=0,$P$34=0),"",$L$37-1)),0,YEARFRAC(MAX($P$34*($B585+$I$38-1),IF(AND($L$37=0,$P$34=0),"",$L$37-1)),MIN(CC$38,$E585),$P$20))-SUM($BF585:CB585))</f>
        <v>0</v>
      </c>
      <c r="CD585" s="446">
        <f>IF($E585=0,0,IF(MIN(CD$38,$E585)&lt;MAX($P$34*($B585+$I$38-1),IF(AND($L$37=0,$P$34=0),"",$L$37-1)),0,YEARFRAC(MAX($P$34*($B585+$I$38-1),IF(AND($L$37=0,$P$34=0),"",$L$37-1)),MIN(CD$38,$E585),$P$20))-SUM($BF585:CC585))</f>
        <v>0</v>
      </c>
      <c r="CE585" s="446">
        <f>IF($E585=0,0,IF(MIN(CE$38,$E585)&lt;MAX($P$34*($B585+$I$38-1),IF(AND($L$37=0,$P$34=0),"",$L$37-1)),0,YEARFRAC(MAX($P$34*($B585+$I$38-1),IF(AND($L$37=0,$P$34=0),"",$L$37-1)),MIN(CE$38,$E585),$P$20))-SUM($BF585:CD585))</f>
        <v>0</v>
      </c>
      <c r="CF585" s="446">
        <f>IF($E585=0,0,IF(MIN(CF$38,$E585)&lt;MAX($P$34*($B585+$I$38-1),IF(AND($L$37=0,$P$34=0),"",$L$37-1)),0,YEARFRAC(MAX($P$34*($B585+$I$38-1),IF(AND($L$37=0,$P$34=0),"",$L$37-1)),MIN(CF$38,$E585),$P$20))-SUM($BF585:CE585))</f>
        <v>0</v>
      </c>
      <c r="CG585" s="446">
        <f>IF($E585=0,0,IF(MIN(CG$38,$E585)&lt;MAX($P$34*($B585+$I$38-1),IF(AND($L$37=0,$P$34=0),"",$L$37-1)),0,YEARFRAC(MAX($P$34*($B585+$I$38-1),IF(AND($L$37=0,$P$34=0),"",$L$37-1)),MIN(CG$38,$E585),$P$20))-SUM($BF585:CF585))</f>
        <v>0</v>
      </c>
      <c r="CH585" s="446">
        <f>IF($E585=0,0,IF(MIN(CH$38,$E585)&lt;MAX($P$34*($B585+$I$38-1),IF(AND($L$37=0,$P$34=0),"",$L$37-1)),0,YEARFRAC(MAX($P$34*($B585+$I$38-1),IF(AND($L$37=0,$P$34=0),"",$L$37-1)),MIN(CH$38,$E585),$P$20))-SUM($BF585:CG585))</f>
        <v>0</v>
      </c>
      <c r="CI585" s="446">
        <f>IF($E585=0,0,IF(MIN(CI$38,$E585)&lt;MAX($P$34*($B585+$I$38-1),IF(AND($L$37=0,$P$34=0),"",$L$37-1)),0,YEARFRAC(MAX($P$34*($B585+$I$38-1),IF(AND($L$37=0,$P$34=0),"",$L$37-1)),MIN(CI$38,$E585),$P$20))-SUM($BF585:CH585))</f>
        <v>0</v>
      </c>
      <c r="CJ585" s="446">
        <f>IF($E585=0,0,IF(MIN(CJ$38,$E585)&lt;MAX($P$34*($B585+$I$38-1),IF(AND($L$37=0,$P$34=0),"",$L$37-1)),0,YEARFRAC(MAX($P$34*($B585+$I$38-1),IF(AND($L$37=0,$P$34=0),"",$L$37-1)),MIN(CJ$38,$E585),$P$20))-SUM($BF585:CI585))</f>
        <v>0</v>
      </c>
      <c r="CK585" s="446">
        <f>IF($E585=0,0,IF(MIN(CK$38,$E585)&lt;MAX($P$34*($B585+$I$38-1),IF(AND($L$37=0,$P$34=0),"",$L$37-1)),0,YEARFRAC(MAX($P$34*($B585+$I$38-1),IF(AND($L$37=0,$P$34=0),"",$L$37-1)),MIN(CK$38,$E585),$P$20))-SUM($BF585:CJ585))</f>
        <v>0</v>
      </c>
      <c r="CL585" s="446">
        <f>IF($E585=0,0,IF(MIN(CL$38,$E585)&lt;MAX($P$34*($B585+$I$38-1),IF(AND($L$37=0,$P$34=0),"",$L$37-1)),0,YEARFRAC(MAX($P$34*($B585+$I$38-1),IF(AND($L$37=0,$P$34=0),"",$L$37-1)),MIN(CL$38,$E585),$P$20))-SUM($BF585:CK585))</f>
        <v>0</v>
      </c>
      <c r="CM585" s="446">
        <f>IF($E585=0,0,IF(MIN(CM$38,$E585)&lt;MAX($P$34*($B585+$I$38-1),IF(AND($L$37=0,$P$34=0),"",$L$37-1)),0,YEARFRAC(MAX($P$34*($B585+$I$38-1),IF(AND($L$37=0,$P$34=0),"",$L$37-1)),MIN(CM$38,$E585),$P$20))-SUM($BF585:CL585))</f>
        <v>0</v>
      </c>
      <c r="CN585" s="446">
        <f>IF($E585=0,0,IF(MIN(CN$38,$E585)&lt;MAX($P$34*($B585+$I$38-1),IF(AND($L$37=0,$P$34=0),"",$L$37-1)),0,YEARFRAC(MAX($P$34*($B585+$I$38-1),IF(AND($L$37=0,$P$34=0),"",$L$37-1)),MIN(CN$38,$E585),$P$20))-SUM($BF585:CM585))</f>
        <v>0</v>
      </c>
      <c r="CO585" s="446">
        <f>IF($E585=0,0,IF(MIN(CO$38,$E585)&lt;MAX($P$34*($B585+$I$38-1),IF(AND($L$37=0,$P$34=0),"",$L$37-1)),0,YEARFRAC(MAX($P$34*($B585+$I$38-1),IF(AND($L$37=0,$P$34=0),"",$L$37-1)),MIN(CO$38,$E585),$P$20))-SUM($BF585:CN585))</f>
        <v>0</v>
      </c>
      <c r="CP585" s="446">
        <f>IF($E585=0,0,IF(MIN(CP$38,$E585)&lt;MAX($P$34*($B585+$I$38-1),IF(AND($L$37=0,$P$34=0),"",$L$37-1)),0,YEARFRAC(MAX($P$34*($B585+$I$38-1),IF(AND($L$37=0,$P$34=0),"",$L$37-1)),MIN(CP$38,$E585),$P$20))-SUM($BF585:CO585))</f>
        <v>0</v>
      </c>
      <c r="CQ585" s="446">
        <f>IF($E585=0,0,IF(MIN(CQ$38,$E585)&lt;MAX($P$34*($B585+$I$38-1),IF(AND($L$37=0,$P$34=0),"",$L$37-1)),0,YEARFRAC(MAX($P$34*($B585+$I$38-1),IF(AND($L$37=0,$P$34=0),"",$L$37-1)),MIN(CQ$38,$E585),$P$20))-SUM($BF585:CP585))</f>
        <v>0</v>
      </c>
    </row>
    <row r="586" spans="1:95" s="446" customFormat="1" ht="11.25" hidden="1" customHeight="1" x14ac:dyDescent="0.2">
      <c r="A586" s="152"/>
      <c r="B586" s="153" t="str">
        <f t="shared" si="103"/>
        <v/>
      </c>
      <c r="C586" s="29" t="str">
        <f>IF(B586="","",IF($L$35="SELIC - TRIBUTOS",VLOOKUP(DATE(YEAR($D$19),MONTH($D$19)-1,1),ÍNDICES!$A:$DE,HLOOKUP($BL$25,ÍNDICES!$B$3:$T$4,2)+11)-VLOOKUP(B586,ÍNDICES!$A:$DE,HLOOKUP($BL$25,ÍNDICES!$B$3:$T$4,2)+11)+1%,IF(C$38=$W$26,$J$35,IF(ISERROR(IF(B586&gt;$D$19,1,VLOOKUP(DATE(YEAR(B586),MONTH(B586)+IF($C$35=$S$23,1,0),1),ÍNDICES!$A:$DE,$Z$35+1))),"",IF(B586&gt;$D$19,1,VLOOKUP(DATE(YEAR(B586),MONTH(B586)+IF($C$35=$S$23,1,0),1),ÍNDICES!$A:$DE,$Z$35+1))))))</f>
        <v/>
      </c>
      <c r="D586" s="154" t="str">
        <f>IF(ISERROR(IF(OR($D$38=$Y$27,$B586=""),"",VLOOKUP(B586,ÍNDICES!A:DE,AF$35+1))),"",IF(OR($D$38=$Y$27,$B586=""),"",VLOOKUP(B586,ÍNDICES!A:DE,AF$35+1)))</f>
        <v/>
      </c>
      <c r="E586" s="153"/>
      <c r="F586" s="29" t="str">
        <f>IF(E586="","",IF($L$35="SELIC - TRIBUTOS",VLOOKUP(DATE(YEAR($D$19),MONTH($D$19)-1,1),ÍNDICES!$A:$DE,HLOOKUP($BL$25,ÍNDICES!$B$3:$T$4,2)+11)-VLOOKUP(E586,ÍNDICES!$A:$DE,HLOOKUP($BL$25,ÍNDICES!$B$3:$T$4,2)+11)+1%,IF(F$38=$W$26,$J$35,IF(ISERROR(IF(E586&gt;$D$19,1,VLOOKUP(DATE(YEAR(E586),MONTH(E586)+IF($C$35=$S$23,1,0),1),ÍNDICES!$A:$DE,$Z$35+1))),"",IF(E586&gt;$D$19,1,VLOOKUP(DATE(YEAR(E586),MONTH(E586)+IF($C$35=$S$23,1,0),1),ÍNDICES!$A:$DE,$Z$35+1))))))</f>
        <v/>
      </c>
      <c r="G586" s="155"/>
      <c r="H586" s="156" t="str">
        <f t="shared" si="99"/>
        <v/>
      </c>
      <c r="I586" s="29" t="str">
        <f t="shared" si="93"/>
        <v/>
      </c>
      <c r="J586" s="5">
        <f t="shared" si="94"/>
        <v>0</v>
      </c>
      <c r="K586" s="20">
        <f t="shared" ca="1" si="95"/>
        <v>0</v>
      </c>
      <c r="L586" s="5">
        <f t="shared" ca="1" si="96"/>
        <v>0</v>
      </c>
      <c r="M586" s="64">
        <f t="shared" si="100"/>
        <v>0</v>
      </c>
      <c r="N586" s="61">
        <f t="shared" ca="1" si="101"/>
        <v>0</v>
      </c>
      <c r="O586" s="5">
        <f t="shared" ca="1" si="102"/>
        <v>0</v>
      </c>
      <c r="P586" s="446" t="e">
        <f t="shared" si="97"/>
        <v>#VALUE!</v>
      </c>
      <c r="Q586" s="446" t="e">
        <f>IF(OR($B586="",MIN(Q$38,$D$19)&lt;MAX($P$34*($B586+IF($R$17="Distrato",$I$38-1,0)),IF(AND($L$37=0,$P$34=0),"",$L$37-1),IF($R$17="Distrato",$E586,0))),0,YEARFRAC(MAX($P$34*($B586+IF($R$17="Distrato",$I$38-1,0)),IF(AND($L$37=0,$P$34=0),"",$L$37-1),IF($R$17="Distrato",$E586,0)),MIN(Q$38,$D$19),$P$20))-SUM($P586:P586)</f>
        <v>#VALUE!</v>
      </c>
      <c r="R586" s="446" t="e">
        <f>IF(OR($B586="",MIN(R$38,$D$19)&lt;MAX($P$34*($B586+IF($R$17="Distrato",$I$38-1,0)),IF(AND($L$37=0,$P$34=0),"",$L$37-1),IF($R$17="Distrato",$E586,0))),0,YEARFRAC(MAX($P$34*($B586+IF($R$17="Distrato",$I$38-1,0)),IF(AND($L$37=0,$P$34=0),"",$L$37-1),IF($R$17="Distrato",$E586,0)),MIN(R$38,$D$19),$P$20))-SUM($P586:Q586)</f>
        <v>#VALUE!</v>
      </c>
      <c r="S586" s="446" t="e">
        <f>IF(OR($B586="",MIN(S$38,$D$19)&lt;MAX($P$34*($B586+IF($R$17="Distrato",$I$38-1,0)),IF(AND($L$37=0,$P$34=0),"",$L$37-1),IF($R$17="Distrato",$E586,0))),0,YEARFRAC(MAX($P$34*($B586+IF($R$17="Distrato",$I$38-1,0)),IF(AND($L$37=0,$P$34=0),"",$L$37-1),IF($R$17="Distrato",$E586,0)),MIN(S$38,$D$19),$P$20))-SUM($P586:R586)</f>
        <v>#VALUE!</v>
      </c>
      <c r="T586" s="446" t="e">
        <f>IF(OR($B586="",MIN(T$38,$D$19)&lt;MAX($P$34*($B586+IF($R$17="Distrato",$I$38-1,0)),IF(AND($L$37=0,$P$34=0),"",$L$37-1),IF($R$17="Distrato",$E586,0))),0,YEARFRAC(MAX($P$34*($B586+IF($R$17="Distrato",$I$38-1,0)),IF(AND($L$37=0,$P$34=0),"",$L$37-1),IF($R$17="Distrato",$E586,0)),MIN(T$38,$D$19),$P$20))-SUM($P586:S586)</f>
        <v>#VALUE!</v>
      </c>
      <c r="U586" s="446" t="e">
        <f>IF(OR($B586="",MIN(U$38,$D$19)&lt;MAX($P$34*($B586+IF($R$17="Distrato",$I$38-1,0)),IF(AND($L$37=0,$P$34=0),"",$L$37-1),IF($R$17="Distrato",$E586,0))),0,YEARFRAC(MAX($P$34*($B586+IF($R$17="Distrato",$I$38-1,0)),IF(AND($L$37=0,$P$34=0),"",$L$37-1),IF($R$17="Distrato",$E586,0)),MIN(U$38,$D$19),$P$20))-SUM($P586:T586)</f>
        <v>#VALUE!</v>
      </c>
      <c r="V586" s="446" t="e">
        <f>IF(OR($B586="",MIN(V$38,$D$19)&lt;MAX($P$34*($B586+IF($R$17="Distrato",$I$38-1,0)),IF(AND($L$37=0,$P$34=0),"",$L$37-1),IF($R$17="Distrato",$E586,0))),0,YEARFRAC(MAX($P$34*($B586+IF($R$17="Distrato",$I$38-1,0)),IF(AND($L$37=0,$P$34=0),"",$L$37-1),IF($R$17="Distrato",$E586,0)),MIN(V$38,$D$19),$P$20))-SUM($P586:U586)</f>
        <v>#VALUE!</v>
      </c>
      <c r="W586" s="446" t="e">
        <f>IF(OR($B586="",MIN(W$38,$D$19)&lt;MAX($P$34*($B586+IF($R$17="Distrato",$I$38-1,0)),IF(AND($L$37=0,$P$34=0),"",$L$37-1),IF($R$17="Distrato",$E586,0))),0,YEARFRAC(MAX($P$34*($B586+IF($R$17="Distrato",$I$38-1,0)),IF(AND($L$37=0,$P$34=0),"",$L$37-1),IF($R$17="Distrato",$E586,0)),MIN(W$38,$D$19),$P$20))-SUM($P586:V586)</f>
        <v>#VALUE!</v>
      </c>
      <c r="X586" s="446" t="e">
        <f>IF(OR($B586="",MIN(X$38,$D$19)&lt;MAX($P$34*($B586+IF($R$17="Distrato",$I$38-1,0)),IF(AND($L$37=0,$P$34=0),"",$L$37-1),IF($R$17="Distrato",$E586,0))),0,YEARFRAC(MAX($P$34*($B586+IF($R$17="Distrato",$I$38-1,0)),IF(AND($L$37=0,$P$34=0),"",$L$37-1),IF($R$17="Distrato",$E586,0)),MIN(X$38,$D$19),$P$20))-SUM($P586:W586)</f>
        <v>#VALUE!</v>
      </c>
      <c r="Y586" s="446" t="e">
        <f>IF(OR($B586="",MIN(Y$38,$D$19)&lt;MAX($P$34*($B586+IF($R$17="Distrato",$I$38-1,0)),IF(AND($L$37=0,$P$34=0),"",$L$37-1),IF($R$17="Distrato",$E586,0))),0,YEARFRAC(MAX($P$34*($B586+IF($R$17="Distrato",$I$38-1,0)),IF(AND($L$37=0,$P$34=0),"",$L$37-1),IF($R$17="Distrato",$E586,0)),MIN(Y$38,$D$19),$P$20))-SUM($P586:X586)</f>
        <v>#VALUE!</v>
      </c>
      <c r="Z586" s="446" t="e">
        <f>IF(OR($B586="",MIN(Z$38,$D$19)&lt;MAX($P$34*($B586+IF($R$17="Distrato",$I$38-1,0)),IF(AND($L$37=0,$P$34=0),"",$L$37-1),IF($R$17="Distrato",$E586,0))),0,YEARFRAC(MAX($P$34*($B586+IF($R$17="Distrato",$I$38-1,0)),IF(AND($L$37=0,$P$34=0),"",$L$37-1),IF($R$17="Distrato",$E586,0)),MIN(Z$38,$D$19),$P$20))-SUM($P586:Y586)</f>
        <v>#VALUE!</v>
      </c>
      <c r="AA586" s="446" t="e">
        <f>IF(OR($B586="",MIN(AA$38,$D$19)&lt;MAX($P$34*($B586+IF($R$17="Distrato",$I$38-1,0)),IF(AND($L$37=0,$P$34=0),"",$L$37-1),IF($R$17="Distrato",$E586,0))),0,YEARFRAC(MAX($P$34*($B586+IF($R$17="Distrato",$I$38-1,0)),IF(AND($L$37=0,$P$34=0),"",$L$37-1),IF($R$17="Distrato",$E586,0)),MIN(AA$38,$D$19),$P$20))-SUM($P586:Z586)</f>
        <v>#VALUE!</v>
      </c>
      <c r="AB586" s="446" t="e">
        <f>IF(OR($B586="",MIN(AB$38,$D$19)&lt;MAX($P$34*($B586+IF($R$17="Distrato",$I$38-1,0)),IF(AND($L$37=0,$P$34=0),"",$L$37-1),IF($R$17="Distrato",$E586,0))),0,YEARFRAC(MAX($P$34*($B586+IF($R$17="Distrato",$I$38-1,0)),IF(AND($L$37=0,$P$34=0),"",$L$37-1),IF($R$17="Distrato",$E586,0)),MIN(AB$38,$D$19),$P$20))-SUM($P586:AA586)</f>
        <v>#VALUE!</v>
      </c>
      <c r="AC586" s="446" t="e">
        <f>IF(OR($B586="",MIN(AC$38,$D$19)&lt;MAX($P$34*($B586+IF($R$17="Distrato",$I$38-1,0)),IF(AND($L$37=0,$P$34=0),"",$L$37-1),IF($R$17="Distrato",$E586,0))),0,YEARFRAC(MAX($P$34*($B586+IF($R$17="Distrato",$I$38-1,0)),IF(AND($L$37=0,$P$34=0),"",$L$37-1),IF($R$17="Distrato",$E586,0)),MIN(AC$38,$D$19),$P$20))-SUM($P586:AB586)</f>
        <v>#VALUE!</v>
      </c>
      <c r="AD586" s="446" t="e">
        <f>IF(OR($B586="",MIN(AD$38,$D$19)&lt;MAX($P$34*($B586+IF($R$17="Distrato",$I$38-1,0)),IF(AND($L$37=0,$P$34=0),"",$L$37-1),IF($R$17="Distrato",$E586,0))),0,YEARFRAC(MAX($P$34*($B586+IF($R$17="Distrato",$I$38-1,0)),IF(AND($L$37=0,$P$34=0),"",$L$37-1),IF($R$17="Distrato",$E586,0)),MIN(AD$38,$D$19),$P$20))-SUM($P586:AC586)</f>
        <v>#VALUE!</v>
      </c>
      <c r="AE586" s="446" t="e">
        <f>IF(OR($B586="",MIN(AE$38,$D$19)&lt;MAX($P$34*($B586+IF($R$17="Distrato",$I$38-1,0)),IF(AND($L$37=0,$P$34=0),"",$L$37-1),IF($R$17="Distrato",$E586,0))),0,YEARFRAC(MAX($P$34*($B586+IF($R$17="Distrato",$I$38-1,0)),IF(AND($L$37=0,$P$34=0),"",$L$37-1),IF($R$17="Distrato",$E586,0)),MIN(AE$38,$D$19),$P$20))-SUM($P586:AD586)</f>
        <v>#VALUE!</v>
      </c>
      <c r="AF586" s="446" t="e">
        <f>IF(OR($B586="",MIN(AF$38,$D$19)&lt;MAX($P$34*($B586+IF($R$17="Distrato",$I$38-1,0)),IF(AND($L$37=0,$P$34=0),"",$L$37-1),IF($R$17="Distrato",$E586,0))),0,YEARFRAC(MAX($P$34*($B586+IF($R$17="Distrato",$I$38-1,0)),IF(AND($L$37=0,$P$34=0),"",$L$37-1),IF($R$17="Distrato",$E586,0)),MIN(AF$38,$D$19),$P$20))-SUM($P586:AE586)</f>
        <v>#VALUE!</v>
      </c>
      <c r="AG586" s="446" t="e">
        <f>IF(OR($B586="",MIN(AG$38,$D$19)&lt;MAX($P$34*($B586+IF($R$17="Distrato",$I$38-1,0)),IF(AND($L$37=0,$P$34=0),"",$L$37-1),IF($R$17="Distrato",$E586,0))),0,YEARFRAC(MAX($P$34*($B586+IF($R$17="Distrato",$I$38-1,0)),IF(AND($L$37=0,$P$34=0),"",$L$37-1),IF($R$17="Distrato",$E586,0)),MIN(AG$38,$D$19),$P$20))-SUM($P586:AF586)</f>
        <v>#VALUE!</v>
      </c>
      <c r="AH586" s="446" t="e">
        <f>IF(OR($B586="",MIN(AH$38,$D$19)&lt;MAX($P$34*($B586+IF($R$17="Distrato",$I$38-1,0)),IF(AND($L$37=0,$P$34=0),"",$L$37-1),IF($R$17="Distrato",$E586,0))),0,YEARFRAC(MAX($P$34*($B586+IF($R$17="Distrato",$I$38-1,0)),IF(AND($L$37=0,$P$34=0),"",$L$37-1),IF($R$17="Distrato",$E586,0)),MIN(AH$38,$D$19),$P$20))-SUM($P586:AG586)</f>
        <v>#VALUE!</v>
      </c>
      <c r="AI586" s="446" t="e">
        <f>IF(OR($B586="",MIN(AI$38,$D$19)&lt;MAX($P$34*($B586+IF($R$17="Distrato",$I$38-1,0)),IF(AND($L$37=0,$P$34=0),"",$L$37-1),IF($R$17="Distrato",$E586,0))),0,YEARFRAC(MAX($P$34*($B586+IF($R$17="Distrato",$I$38-1,0)),IF(AND($L$37=0,$P$34=0),"",$L$37-1),IF($R$17="Distrato",$E586,0)),MIN(AI$38,$D$19),$P$20))-SUM($P586:AH586)</f>
        <v>#VALUE!</v>
      </c>
      <c r="AJ586" s="446" t="e">
        <f>IF(OR($B586="",MIN(AJ$38,$D$19)&lt;MAX($P$34*($B586+IF($R$17="Distrato",$I$38-1,0)),IF(AND($L$37=0,$P$34=0),"",$L$37-1),IF($R$17="Distrato",$E586,0))),0,YEARFRAC(MAX($P$34*($B586+IF($R$17="Distrato",$I$38-1,0)),IF(AND($L$37=0,$P$34=0),"",$L$37-1),IF($R$17="Distrato",$E586,0)),MIN(AJ$38,$D$19),$P$20))-SUM($P586:AI586)</f>
        <v>#VALUE!</v>
      </c>
      <c r="AK586" s="446" t="e">
        <f>IF(OR($B586="",MIN(AK$38,$D$19)&lt;MAX($P$34*($B586+IF($R$17="Distrato",$I$38-1,0)),IF(AND($L$37=0,$P$34=0),"",$L$37-1),IF($R$17="Distrato",$E586,0))),0,YEARFRAC(MAX($P$34*($B586+IF($R$17="Distrato",$I$38-1,0)),IF(AND($L$37=0,$P$34=0),"",$L$37-1),IF($R$17="Distrato",$E586,0)),MIN(AK$38,$D$19),$P$20))-SUM($P586:AJ586)</f>
        <v>#VALUE!</v>
      </c>
      <c r="AL586" s="446" t="e">
        <f>IF(OR($B586="",MIN(AL$38,$D$19)&lt;MAX($P$34*($B586+IF($R$17="Distrato",$I$38-1,0)),IF(AND($L$37=0,$P$34=0),"",$L$37-1),IF($R$17="Distrato",$E586,0))),0,YEARFRAC(MAX($P$34*($B586+IF($R$17="Distrato",$I$38-1,0)),IF(AND($L$37=0,$P$34=0),"",$L$37-1),IF($R$17="Distrato",$E586,0)),MIN(AL$38,$D$19),$P$20))-SUM($P586:AK586)</f>
        <v>#VALUE!</v>
      </c>
      <c r="AM586" s="446" t="e">
        <f>IF(OR($B586="",MIN(AM$38,$D$19)&lt;MAX($P$34*($B586+IF($R$17="Distrato",$I$38-1,0)),IF(AND($L$37=0,$P$34=0),"",$L$37-1),IF($R$17="Distrato",$E586,0))),0,YEARFRAC(MAX($P$34*($B586+IF($R$17="Distrato",$I$38-1,0)),IF(AND($L$37=0,$P$34=0),"",$L$37-1),IF($R$17="Distrato",$E586,0)),MIN(AM$38,$D$19),$P$20))-SUM($P586:AL586)</f>
        <v>#VALUE!</v>
      </c>
      <c r="AN586" s="446" t="e">
        <f>IF(OR($B586="",MIN(AN$38,$D$19)&lt;MAX($P$34*($B586+IF($R$17="Distrato",$I$38-1,0)),IF(AND($L$37=0,$P$34=0),"",$L$37-1),IF($R$17="Distrato",$E586,0))),0,YEARFRAC(MAX($P$34*($B586+IF($R$17="Distrato",$I$38-1,0)),IF(AND($L$37=0,$P$34=0),"",$L$37-1),IF($R$17="Distrato",$E586,0)),MIN(AN$38,$D$19),$P$20))-SUM($P586:AM586)</f>
        <v>#VALUE!</v>
      </c>
      <c r="AO586" s="446" t="e">
        <f>IF(OR($B586="",MIN(AO$38,$D$19)&lt;MAX($P$34*($B586+IF($R$17="Distrato",$I$38-1,0)),IF(AND($L$37=0,$P$34=0),"",$L$37-1),IF($R$17="Distrato",$E586,0))),0,YEARFRAC(MAX($P$34*($B586+IF($R$17="Distrato",$I$38-1,0)),IF(AND($L$37=0,$P$34=0),"",$L$37-1),IF($R$17="Distrato",$E586,0)),MIN(AO$38,$D$19),$P$20))-SUM($P586:AN586)</f>
        <v>#VALUE!</v>
      </c>
      <c r="AP586" s="446" t="e">
        <f>IF(OR($B586="",MIN(AP$38,$D$19)&lt;MAX($P$34*($B586+IF($R$17="Distrato",$I$38-1,0)),IF(AND($L$37=0,$P$34=0),"",$L$37-1),IF($R$17="Distrato",$E586,0))),0,YEARFRAC(MAX($P$34*($B586+IF($R$17="Distrato",$I$38-1,0)),IF(AND($L$37=0,$P$34=0),"",$L$37-1),IF($R$17="Distrato",$E586,0)),MIN(AP$38,$D$19),$P$20))-SUM($P586:AO586)</f>
        <v>#VALUE!</v>
      </c>
      <c r="AQ586" s="446" t="e">
        <f>IF(OR($B586="",MIN(AQ$38,$D$19)&lt;MAX($P$34*($B586+IF($R$17="Distrato",$I$38-1,0)),IF(AND($L$37=0,$P$34=0),"",$L$37-1),IF($R$17="Distrato",$E586,0))),0,YEARFRAC(MAX($P$34*($B586+IF($R$17="Distrato",$I$38-1,0)),IF(AND($L$37=0,$P$34=0),"",$L$37-1),IF($R$17="Distrato",$E586,0)),MIN(AQ$38,$D$19),$P$20))-SUM($P586:AP586)</f>
        <v>#VALUE!</v>
      </c>
      <c r="AR586" s="446" t="e">
        <f>IF(OR($B586="",MIN(AR$38,$D$19)&lt;MAX($P$34*($B586+IF($R$17="Distrato",$I$38-1,0)),IF(AND($L$37=0,$P$34=0),"",$L$37-1),IF($R$17="Distrato",$E586,0))),0,YEARFRAC(MAX($P$34*($B586+IF($R$17="Distrato",$I$38-1,0)),IF(AND($L$37=0,$P$34=0),"",$L$37-1),IF($R$17="Distrato",$E586,0)),MIN(AR$38,$D$19),$P$20))-SUM($P586:AQ586)</f>
        <v>#VALUE!</v>
      </c>
      <c r="AS586" s="446" t="e">
        <f>IF(OR($B586="",MIN(AS$38,$D$19)&lt;MAX($P$34*($B586+IF($R$17="Distrato",$I$38-1,0)),IF(AND($L$37=0,$P$34=0),"",$L$37-1),IF($R$17="Distrato",$E586,0))),0,YEARFRAC(MAX($P$34*($B586+IF($R$17="Distrato",$I$38-1,0)),IF(AND($L$37=0,$P$34=0),"",$L$37-1),IF($R$17="Distrato",$E586,0)),MIN(AS$38,$D$19),$P$20))-SUM($P586:AR586)</f>
        <v>#VALUE!</v>
      </c>
      <c r="AT586" s="446" t="e">
        <f>IF(OR($B586="",MIN(AT$38,$D$19)&lt;MAX($P$34*($B586+IF($R$17="Distrato",$I$38-1,0)),IF(AND($L$37=0,$P$34=0),"",$L$37-1),IF($R$17="Distrato",$E586,0))),0,YEARFRAC(MAX($P$34*($B586+IF($R$17="Distrato",$I$38-1,0)),IF(AND($L$37=0,$P$34=0),"",$L$37-1),IF($R$17="Distrato",$E586,0)),MIN(AT$38,$D$19),$P$20))-SUM($P586:AS586)</f>
        <v>#VALUE!</v>
      </c>
      <c r="AU586" s="446" t="e">
        <f>IF(OR($B586="",MIN(AU$38,$D$19)&lt;MAX($P$34*($B586+IF($R$17="Distrato",$I$38-1,0)),IF(AND($L$37=0,$P$34=0),"",$L$37-1),IF($R$17="Distrato",$E586,0))),0,YEARFRAC(MAX($P$34*($B586+IF($R$17="Distrato",$I$38-1,0)),IF(AND($L$37=0,$P$34=0),"",$L$37-1),IF($R$17="Distrato",$E586,0)),MIN(AU$38,$D$19),$P$20))-SUM($P586:AT586)</f>
        <v>#VALUE!</v>
      </c>
      <c r="AV586" s="446" t="e">
        <f>IF(OR($B586="",MIN(AV$38,$D$19)&lt;MAX($P$34*($B586+IF($R$17="Distrato",$I$38-1,0)),IF(AND($L$37=0,$P$34=0),"",$L$37-1),IF($R$17="Distrato",$E586,0))),0,YEARFRAC(MAX($P$34*($B586+IF($R$17="Distrato",$I$38-1,0)),IF(AND($L$37=0,$P$34=0),"",$L$37-1),IF($R$17="Distrato",$E586,0)),MIN(AV$38,$D$19),$P$20))-SUM($P586:AU586)</f>
        <v>#VALUE!</v>
      </c>
      <c r="AW586" s="446" t="e">
        <f>IF(OR($B586="",MIN(AW$38,$D$19)&lt;MAX($P$34*($B586+IF($R$17="Distrato",$I$38-1,0)),IF(AND($L$37=0,$P$34=0),"",$L$37-1),IF($R$17="Distrato",$E586,0))),0,YEARFRAC(MAX($P$34*($B586+IF($R$17="Distrato",$I$38-1,0)),IF(AND($L$37=0,$P$34=0),"",$L$37-1),IF($R$17="Distrato",$E586,0)),MIN(AW$38,$D$19),$P$20))-SUM($P586:AV586)</f>
        <v>#VALUE!</v>
      </c>
      <c r="AX586" s="446" t="e">
        <f>IF(OR($B586="",MIN(AX$38,$D$19)&lt;MAX($P$34*($B586+IF($R$17="Distrato",$I$38-1,0)),IF(AND($L$37=0,$P$34=0),"",$L$37-1),IF($R$17="Distrato",$E586,0))),0,YEARFRAC(MAX($P$34*($B586+IF($R$17="Distrato",$I$38-1,0)),IF(AND($L$37=0,$P$34=0),"",$L$37-1),IF($R$17="Distrato",$E586,0)),MIN(AX$38,$D$19),$P$20))-SUM($P586:AW586)</f>
        <v>#VALUE!</v>
      </c>
      <c r="AY586" s="446" t="e">
        <f>IF(OR($B586="",MIN(AY$38,$D$19)&lt;MAX($P$34*($B586+IF($R$17="Distrato",$I$38-1,0)),IF(AND($L$37=0,$P$34=0),"",$L$37-1),IF($R$17="Distrato",$E586,0))),0,YEARFRAC(MAX($P$34*($B586+IF($R$17="Distrato",$I$38-1,0)),IF(AND($L$37=0,$P$34=0),"",$L$37-1),IF($R$17="Distrato",$E586,0)),MIN(AY$38,$D$19),$P$20))-SUM($P586:AX586)</f>
        <v>#VALUE!</v>
      </c>
      <c r="AZ586" s="446" t="e">
        <f>IF(OR($B586="",MIN(AZ$38,$D$19)&lt;MAX($P$34*($B586+IF($R$17="Distrato",$I$38-1,0)),IF(AND($L$37=0,$P$34=0),"",$L$37-1),IF($R$17="Distrato",$E586,0))),0,YEARFRAC(MAX($P$34*($B586+IF($R$17="Distrato",$I$38-1,0)),IF(AND($L$37=0,$P$34=0),"",$L$37-1),IF($R$17="Distrato",$E586,0)),MIN(AZ$38,$D$19),$P$20))-SUM($P586:AY586)</f>
        <v>#VALUE!</v>
      </c>
      <c r="BA586" s="446" t="e">
        <f>IF(OR($B586="",MIN(BA$38,$D$19)&lt;MAX($P$34*($B586+IF($R$17="Distrato",$I$38-1,0)),IF(AND($L$37=0,$P$34=0),"",$L$37-1),IF($R$17="Distrato",$E586,0))),0,YEARFRAC(MAX($P$34*($B586+IF($R$17="Distrato",$I$38-1,0)),IF(AND($L$37=0,$P$34=0),"",$L$37-1),IF($R$17="Distrato",$E586,0)),MIN(BA$38,$D$19),$P$20))-SUM($P586:AZ586)</f>
        <v>#VALUE!</v>
      </c>
      <c r="BB586" s="447"/>
      <c r="BF586" s="446">
        <f t="shared" si="98"/>
        <v>0</v>
      </c>
      <c r="BG586" s="446">
        <f>IF($E586=0,0,IF(MIN(BG$38,$E586)&lt;MAX($P$34*($B586+$I$38-1),IF(AND($L$37=0,$P$34=0),"",$L$37-1)),0,YEARFRAC(MAX($P$34*($B586+$I$38-1),IF(AND($L$37=0,$P$34=0),"",$L$37-1)),MIN(BG$38,$E586),$P$20))-SUM($BF586:BF586))</f>
        <v>0</v>
      </c>
      <c r="BH586" s="446">
        <f>IF($E586=0,0,IF(MIN(BH$38,$E586)&lt;MAX($P$34*($B586+$I$38-1),IF(AND($L$37=0,$P$34=0),"",$L$37-1)),0,YEARFRAC(MAX($P$34*($B586+$I$38-1),IF(AND($L$37=0,$P$34=0),"",$L$37-1)),MIN(BH$38,$E586),$P$20))-SUM($BF586:BG586))</f>
        <v>0</v>
      </c>
      <c r="BI586" s="446">
        <f>IF($E586=0,0,IF(MIN(BI$38,$E586)&lt;MAX($P$34*($B586+$I$38-1),IF(AND($L$37=0,$P$34=0),"",$L$37-1)),0,YEARFRAC(MAX($P$34*($B586+$I$38-1),IF(AND($L$37=0,$P$34=0),"",$L$37-1)),MIN(BI$38,$E586),$P$20))-SUM($BF586:BH586))</f>
        <v>0</v>
      </c>
      <c r="BJ586" s="446">
        <f>IF($E586=0,0,IF(MIN(BJ$38,$E586)&lt;MAX($P$34*($B586+$I$38-1),IF(AND($L$37=0,$P$34=0),"",$L$37-1)),0,YEARFRAC(MAX($P$34*($B586+$I$38-1),IF(AND($L$37=0,$P$34=0),"",$L$37-1)),MIN(BJ$38,$E586),$P$20))-SUM($BF586:BI586))</f>
        <v>0</v>
      </c>
      <c r="BK586" s="446">
        <f>IF($E586=0,0,IF(MIN(BK$38,$E586)&lt;MAX($P$34*($B586+$I$38-1),IF(AND($L$37=0,$P$34=0),"",$L$37-1)),0,YEARFRAC(MAX($P$34*($B586+$I$38-1),IF(AND($L$37=0,$P$34=0),"",$L$37-1)),MIN(BK$38,$E586),$P$20))-SUM($BF586:BJ586))</f>
        <v>0</v>
      </c>
      <c r="BL586" s="446">
        <f>IF($E586=0,0,IF(MIN(BL$38,$E586)&lt;MAX($P$34*($B586+$I$38-1),IF(AND($L$37=0,$P$34=0),"",$L$37-1)),0,YEARFRAC(MAX($P$34*($B586+$I$38-1),IF(AND($L$37=0,$P$34=0),"",$L$37-1)),MIN(BL$38,$E586),$P$20))-SUM($BF586:BK586))</f>
        <v>0</v>
      </c>
      <c r="BM586" s="446">
        <f>IF($E586=0,0,IF(MIN(BM$38,$E586)&lt;MAX($P$34*($B586+$I$38-1),IF(AND($L$37=0,$P$34=0),"",$L$37-1)),0,YEARFRAC(MAX($P$34*($B586+$I$38-1),IF(AND($L$37=0,$P$34=0),"",$L$37-1)),MIN(BM$38,$E586),$P$20))-SUM($BF586:BL586))</f>
        <v>0</v>
      </c>
      <c r="BN586" s="446">
        <f>IF($E586=0,0,IF(MIN(BN$38,$E586)&lt;MAX($P$34*($B586+$I$38-1),IF(AND($L$37=0,$P$34=0),"",$L$37-1)),0,YEARFRAC(MAX($P$34*($B586+$I$38-1),IF(AND($L$37=0,$P$34=0),"",$L$37-1)),MIN(BN$38,$E586),$P$20))-SUM($BF586:BM586))</f>
        <v>0</v>
      </c>
      <c r="BO586" s="446">
        <f>IF($E586=0,0,IF(MIN(BO$38,$E586)&lt;MAX($P$34*($B586+$I$38-1),IF(AND($L$37=0,$P$34=0),"",$L$37-1)),0,YEARFRAC(MAX($P$34*($B586+$I$38-1),IF(AND($L$37=0,$P$34=0),"",$L$37-1)),MIN(BO$38,$E586),$P$20))-SUM($BF586:BN586))</f>
        <v>0</v>
      </c>
      <c r="BP586" s="446">
        <f>IF($E586=0,0,IF(MIN(BP$38,$E586)&lt;MAX($P$34*($B586+$I$38-1),IF(AND($L$37=0,$P$34=0),"",$L$37-1)),0,YEARFRAC(MAX($P$34*($B586+$I$38-1),IF(AND($L$37=0,$P$34=0),"",$L$37-1)),MIN(BP$38,$E586),$P$20))-SUM($BF586:BO586))</f>
        <v>0</v>
      </c>
      <c r="BQ586" s="446">
        <f>IF($E586=0,0,IF(MIN(BQ$38,$E586)&lt;MAX($P$34*($B586+$I$38-1),IF(AND($L$37=0,$P$34=0),"",$L$37-1)),0,YEARFRAC(MAX($P$34*($B586+$I$38-1),IF(AND($L$37=0,$P$34=0),"",$L$37-1)),MIN(BQ$38,$E586),$P$20))-SUM($BF586:BP586))</f>
        <v>0</v>
      </c>
      <c r="BR586" s="446">
        <f>IF($E586=0,0,IF(MIN(BR$38,$E586)&lt;MAX($P$34*($B586+$I$38-1),IF(AND($L$37=0,$P$34=0),"",$L$37-1)),0,YEARFRAC(MAX($P$34*($B586+$I$38-1),IF(AND($L$37=0,$P$34=0),"",$L$37-1)),MIN(BR$38,$E586),$P$20))-SUM($BF586:BQ586))</f>
        <v>0</v>
      </c>
      <c r="BS586" s="446">
        <f>IF($E586=0,0,IF(MIN(BS$38,$E586)&lt;MAX($P$34*($B586+$I$38-1),IF(AND($L$37=0,$P$34=0),"",$L$37-1)),0,YEARFRAC(MAX($P$34*($B586+$I$38-1),IF(AND($L$37=0,$P$34=0),"",$L$37-1)),MIN(BS$38,$E586),$P$20))-SUM($BF586:BR586))</f>
        <v>0</v>
      </c>
      <c r="BT586" s="446">
        <f>IF($E586=0,0,IF(MIN(BT$38,$E586)&lt;MAX($P$34*($B586+$I$38-1),IF(AND($L$37=0,$P$34=0),"",$L$37-1)),0,YEARFRAC(MAX($P$34*($B586+$I$38-1),IF(AND($L$37=0,$P$34=0),"",$L$37-1)),MIN(BT$38,$E586),$P$20))-SUM($BF586:BS586))</f>
        <v>0</v>
      </c>
      <c r="BU586" s="446">
        <f>IF($E586=0,0,IF(MIN(BU$38,$E586)&lt;MAX($P$34*($B586+$I$38-1),IF(AND($L$37=0,$P$34=0),"",$L$37-1)),0,YEARFRAC(MAX($P$34*($B586+$I$38-1),IF(AND($L$37=0,$P$34=0),"",$L$37-1)),MIN(BU$38,$E586),$P$20))-SUM($BF586:BT586))</f>
        <v>0</v>
      </c>
      <c r="BV586" s="446">
        <f>IF($E586=0,0,IF(MIN(BV$38,$E586)&lt;MAX($P$34*($B586+$I$38-1),IF(AND($L$37=0,$P$34=0),"",$L$37-1)),0,YEARFRAC(MAX($P$34*($B586+$I$38-1),IF(AND($L$37=0,$P$34=0),"",$L$37-1)),MIN(BV$38,$E586),$P$20))-SUM($BF586:BU586))</f>
        <v>0</v>
      </c>
      <c r="BW586" s="446">
        <f>IF($E586=0,0,IF(MIN(BW$38,$E586)&lt;MAX($P$34*($B586+$I$38-1),IF(AND($L$37=0,$P$34=0),"",$L$37-1)),0,YEARFRAC(MAX($P$34*($B586+$I$38-1),IF(AND($L$37=0,$P$34=0),"",$L$37-1)),MIN(BW$38,$E586),$P$20))-SUM($BF586:BV586))</f>
        <v>0</v>
      </c>
      <c r="BX586" s="446">
        <f>IF($E586=0,0,IF(MIN(BX$38,$E586)&lt;MAX($P$34*($B586+$I$38-1),IF(AND($L$37=0,$P$34=0),"",$L$37-1)),0,YEARFRAC(MAX($P$34*($B586+$I$38-1),IF(AND($L$37=0,$P$34=0),"",$L$37-1)),MIN(BX$38,$E586),$P$20))-SUM($BF586:BW586))</f>
        <v>0</v>
      </c>
      <c r="BY586" s="446">
        <f>IF($E586=0,0,IF(MIN(BY$38,$E586)&lt;MAX($P$34*($B586+$I$38-1),IF(AND($L$37=0,$P$34=0),"",$L$37-1)),0,YEARFRAC(MAX($P$34*($B586+$I$38-1),IF(AND($L$37=0,$P$34=0),"",$L$37-1)),MIN(BY$38,$E586),$P$20))-SUM($BF586:BX586))</f>
        <v>0</v>
      </c>
      <c r="BZ586" s="446">
        <f>IF($E586=0,0,IF(MIN(BZ$38,$E586)&lt;MAX($P$34*($B586+$I$38-1),IF(AND($L$37=0,$P$34=0),"",$L$37-1)),0,YEARFRAC(MAX($P$34*($B586+$I$38-1),IF(AND($L$37=0,$P$34=0),"",$L$37-1)),MIN(BZ$38,$E586),$P$20))-SUM($BF586:BY586))</f>
        <v>0</v>
      </c>
      <c r="CA586" s="446">
        <f>IF($E586=0,0,IF(MIN(CA$38,$E586)&lt;MAX($P$34*($B586+$I$38-1),IF(AND($L$37=0,$P$34=0),"",$L$37-1)),0,YEARFRAC(MAX($P$34*($B586+$I$38-1),IF(AND($L$37=0,$P$34=0),"",$L$37-1)),MIN(CA$38,$E586),$P$20))-SUM($BF586:BZ586))</f>
        <v>0</v>
      </c>
      <c r="CB586" s="446">
        <f>IF($E586=0,0,IF(MIN(CB$38,$E586)&lt;MAX($P$34*($B586+$I$38-1),IF(AND($L$37=0,$P$34=0),"",$L$37-1)),0,YEARFRAC(MAX($P$34*($B586+$I$38-1),IF(AND($L$37=0,$P$34=0),"",$L$37-1)),MIN(CB$38,$E586),$P$20))-SUM($BF586:CA586))</f>
        <v>0</v>
      </c>
      <c r="CC586" s="446">
        <f>IF($E586=0,0,IF(MIN(CC$38,$E586)&lt;MAX($P$34*($B586+$I$38-1),IF(AND($L$37=0,$P$34=0),"",$L$37-1)),0,YEARFRAC(MAX($P$34*($B586+$I$38-1),IF(AND($L$37=0,$P$34=0),"",$L$37-1)),MIN(CC$38,$E586),$P$20))-SUM($BF586:CB586))</f>
        <v>0</v>
      </c>
      <c r="CD586" s="446">
        <f>IF($E586=0,0,IF(MIN(CD$38,$E586)&lt;MAX($P$34*($B586+$I$38-1),IF(AND($L$37=0,$P$34=0),"",$L$37-1)),0,YEARFRAC(MAX($P$34*($B586+$I$38-1),IF(AND($L$37=0,$P$34=0),"",$L$37-1)),MIN(CD$38,$E586),$P$20))-SUM($BF586:CC586))</f>
        <v>0</v>
      </c>
      <c r="CE586" s="446">
        <f>IF($E586=0,0,IF(MIN(CE$38,$E586)&lt;MAX($P$34*($B586+$I$38-1),IF(AND($L$37=0,$P$34=0),"",$L$37-1)),0,YEARFRAC(MAX($P$34*($B586+$I$38-1),IF(AND($L$37=0,$P$34=0),"",$L$37-1)),MIN(CE$38,$E586),$P$20))-SUM($BF586:CD586))</f>
        <v>0</v>
      </c>
      <c r="CF586" s="446">
        <f>IF($E586=0,0,IF(MIN(CF$38,$E586)&lt;MAX($P$34*($B586+$I$38-1),IF(AND($L$37=0,$P$34=0),"",$L$37-1)),0,YEARFRAC(MAX($P$34*($B586+$I$38-1),IF(AND($L$37=0,$P$34=0),"",$L$37-1)),MIN(CF$38,$E586),$P$20))-SUM($BF586:CE586))</f>
        <v>0</v>
      </c>
      <c r="CG586" s="446">
        <f>IF($E586=0,0,IF(MIN(CG$38,$E586)&lt;MAX($P$34*($B586+$I$38-1),IF(AND($L$37=0,$P$34=0),"",$L$37-1)),0,YEARFRAC(MAX($P$34*($B586+$I$38-1),IF(AND($L$37=0,$P$34=0),"",$L$37-1)),MIN(CG$38,$E586),$P$20))-SUM($BF586:CF586))</f>
        <v>0</v>
      </c>
      <c r="CH586" s="446">
        <f>IF($E586=0,0,IF(MIN(CH$38,$E586)&lt;MAX($P$34*($B586+$I$38-1),IF(AND($L$37=0,$P$34=0),"",$L$37-1)),0,YEARFRAC(MAX($P$34*($B586+$I$38-1),IF(AND($L$37=0,$P$34=0),"",$L$37-1)),MIN(CH$38,$E586),$P$20))-SUM($BF586:CG586))</f>
        <v>0</v>
      </c>
      <c r="CI586" s="446">
        <f>IF($E586=0,0,IF(MIN(CI$38,$E586)&lt;MAX($P$34*($B586+$I$38-1),IF(AND($L$37=0,$P$34=0),"",$L$37-1)),0,YEARFRAC(MAX($P$34*($B586+$I$38-1),IF(AND($L$37=0,$P$34=0),"",$L$37-1)),MIN(CI$38,$E586),$P$20))-SUM($BF586:CH586))</f>
        <v>0</v>
      </c>
      <c r="CJ586" s="446">
        <f>IF($E586=0,0,IF(MIN(CJ$38,$E586)&lt;MAX($P$34*($B586+$I$38-1),IF(AND($L$37=0,$P$34=0),"",$L$37-1)),0,YEARFRAC(MAX($P$34*($B586+$I$38-1),IF(AND($L$37=0,$P$34=0),"",$L$37-1)),MIN(CJ$38,$E586),$P$20))-SUM($BF586:CI586))</f>
        <v>0</v>
      </c>
      <c r="CK586" s="446">
        <f>IF($E586=0,0,IF(MIN(CK$38,$E586)&lt;MAX($P$34*($B586+$I$38-1),IF(AND($L$37=0,$P$34=0),"",$L$37-1)),0,YEARFRAC(MAX($P$34*($B586+$I$38-1),IF(AND($L$37=0,$P$34=0),"",$L$37-1)),MIN(CK$38,$E586),$P$20))-SUM($BF586:CJ586))</f>
        <v>0</v>
      </c>
      <c r="CL586" s="446">
        <f>IF($E586=0,0,IF(MIN(CL$38,$E586)&lt;MAX($P$34*($B586+$I$38-1),IF(AND($L$37=0,$P$34=0),"",$L$37-1)),0,YEARFRAC(MAX($P$34*($B586+$I$38-1),IF(AND($L$37=0,$P$34=0),"",$L$37-1)),MIN(CL$38,$E586),$P$20))-SUM($BF586:CK586))</f>
        <v>0</v>
      </c>
      <c r="CM586" s="446">
        <f>IF($E586=0,0,IF(MIN(CM$38,$E586)&lt;MAX($P$34*($B586+$I$38-1),IF(AND($L$37=0,$P$34=0),"",$L$37-1)),0,YEARFRAC(MAX($P$34*($B586+$I$38-1),IF(AND($L$37=0,$P$34=0),"",$L$37-1)),MIN(CM$38,$E586),$P$20))-SUM($BF586:CL586))</f>
        <v>0</v>
      </c>
      <c r="CN586" s="446">
        <f>IF($E586=0,0,IF(MIN(CN$38,$E586)&lt;MAX($P$34*($B586+$I$38-1),IF(AND($L$37=0,$P$34=0),"",$L$37-1)),0,YEARFRAC(MAX($P$34*($B586+$I$38-1),IF(AND($L$37=0,$P$34=0),"",$L$37-1)),MIN(CN$38,$E586),$P$20))-SUM($BF586:CM586))</f>
        <v>0</v>
      </c>
      <c r="CO586" s="446">
        <f>IF($E586=0,0,IF(MIN(CO$38,$E586)&lt;MAX($P$34*($B586+$I$38-1),IF(AND($L$37=0,$P$34=0),"",$L$37-1)),0,YEARFRAC(MAX($P$34*($B586+$I$38-1),IF(AND($L$37=0,$P$34=0),"",$L$37-1)),MIN(CO$38,$E586),$P$20))-SUM($BF586:CN586))</f>
        <v>0</v>
      </c>
      <c r="CP586" s="446">
        <f>IF($E586=0,0,IF(MIN(CP$38,$E586)&lt;MAX($P$34*($B586+$I$38-1),IF(AND($L$37=0,$P$34=0),"",$L$37-1)),0,YEARFRAC(MAX($P$34*($B586+$I$38-1),IF(AND($L$37=0,$P$34=0),"",$L$37-1)),MIN(CP$38,$E586),$P$20))-SUM($BF586:CO586))</f>
        <v>0</v>
      </c>
      <c r="CQ586" s="446">
        <f>IF($E586=0,0,IF(MIN(CQ$38,$E586)&lt;MAX($P$34*($B586+$I$38-1),IF(AND($L$37=0,$P$34=0),"",$L$37-1)),0,YEARFRAC(MAX($P$34*($B586+$I$38-1),IF(AND($L$37=0,$P$34=0),"",$L$37-1)),MIN(CQ$38,$E586),$P$20))-SUM($BF586:CP586))</f>
        <v>0</v>
      </c>
    </row>
    <row r="587" spans="1:95" s="446" customFormat="1" ht="11.25" hidden="1" customHeight="1" x14ac:dyDescent="0.2">
      <c r="A587" s="152"/>
      <c r="B587" s="153" t="str">
        <f t="shared" si="103"/>
        <v/>
      </c>
      <c r="C587" s="29" t="str">
        <f>IF(B587="","",IF($L$35="SELIC - TRIBUTOS",VLOOKUP(DATE(YEAR($D$19),MONTH($D$19)-1,1),ÍNDICES!$A:$DE,HLOOKUP($BL$25,ÍNDICES!$B$3:$T$4,2)+11)-VLOOKUP(B587,ÍNDICES!$A:$DE,HLOOKUP($BL$25,ÍNDICES!$B$3:$T$4,2)+11)+1%,IF(C$38=$W$26,$J$35,IF(ISERROR(IF(B587&gt;$D$19,1,VLOOKUP(DATE(YEAR(B587),MONTH(B587)+IF($C$35=$S$23,1,0),1),ÍNDICES!$A:$DE,$Z$35+1))),"",IF(B587&gt;$D$19,1,VLOOKUP(DATE(YEAR(B587),MONTH(B587)+IF($C$35=$S$23,1,0),1),ÍNDICES!$A:$DE,$Z$35+1))))))</f>
        <v/>
      </c>
      <c r="D587" s="154" t="str">
        <f>IF(ISERROR(IF(OR($D$38=$Y$27,$B587=""),"",VLOOKUP(B587,ÍNDICES!A:DE,AF$35+1))),"",IF(OR($D$38=$Y$27,$B587=""),"",VLOOKUP(B587,ÍNDICES!A:DE,AF$35+1)))</f>
        <v/>
      </c>
      <c r="E587" s="153"/>
      <c r="F587" s="29" t="str">
        <f>IF(E587="","",IF($L$35="SELIC - TRIBUTOS",VLOOKUP(DATE(YEAR($D$19),MONTH($D$19)-1,1),ÍNDICES!$A:$DE,HLOOKUP($BL$25,ÍNDICES!$B$3:$T$4,2)+11)-VLOOKUP(E587,ÍNDICES!$A:$DE,HLOOKUP($BL$25,ÍNDICES!$B$3:$T$4,2)+11)+1%,IF(F$38=$W$26,$J$35,IF(ISERROR(IF(E587&gt;$D$19,1,VLOOKUP(DATE(YEAR(E587),MONTH(E587)+IF($C$35=$S$23,1,0),1),ÍNDICES!$A:$DE,$Z$35+1))),"",IF(E587&gt;$D$19,1,VLOOKUP(DATE(YEAR(E587),MONTH(E587)+IF($C$35=$S$23,1,0),1),ÍNDICES!$A:$DE,$Z$35+1))))))</f>
        <v/>
      </c>
      <c r="G587" s="155"/>
      <c r="H587" s="156" t="str">
        <f t="shared" si="99"/>
        <v/>
      </c>
      <c r="I587" s="29" t="str">
        <f t="shared" si="93"/>
        <v/>
      </c>
      <c r="J587" s="5">
        <f t="shared" si="94"/>
        <v>0</v>
      </c>
      <c r="K587" s="20">
        <f t="shared" ca="1" si="95"/>
        <v>0</v>
      </c>
      <c r="L587" s="5">
        <f t="shared" ca="1" si="96"/>
        <v>0</v>
      </c>
      <c r="M587" s="64">
        <f t="shared" si="100"/>
        <v>0</v>
      </c>
      <c r="N587" s="61">
        <f t="shared" ca="1" si="101"/>
        <v>0</v>
      </c>
      <c r="O587" s="5">
        <f t="shared" ca="1" si="102"/>
        <v>0</v>
      </c>
      <c r="P587" s="446" t="e">
        <f t="shared" si="97"/>
        <v>#VALUE!</v>
      </c>
      <c r="Q587" s="446" t="e">
        <f>IF(OR($B587="",MIN(Q$38,$D$19)&lt;MAX($P$34*($B587+IF($R$17="Distrato",$I$38-1,0)),IF(AND($L$37=0,$P$34=0),"",$L$37-1),IF($R$17="Distrato",$E587,0))),0,YEARFRAC(MAX($P$34*($B587+IF($R$17="Distrato",$I$38-1,0)),IF(AND($L$37=0,$P$34=0),"",$L$37-1),IF($R$17="Distrato",$E587,0)),MIN(Q$38,$D$19),$P$20))-SUM($P587:P587)</f>
        <v>#VALUE!</v>
      </c>
      <c r="R587" s="446" t="e">
        <f>IF(OR($B587="",MIN(R$38,$D$19)&lt;MAX($P$34*($B587+IF($R$17="Distrato",$I$38-1,0)),IF(AND($L$37=0,$P$34=0),"",$L$37-1),IF($R$17="Distrato",$E587,0))),0,YEARFRAC(MAX($P$34*($B587+IF($R$17="Distrato",$I$38-1,0)),IF(AND($L$37=0,$P$34=0),"",$L$37-1),IF($R$17="Distrato",$E587,0)),MIN(R$38,$D$19),$P$20))-SUM($P587:Q587)</f>
        <v>#VALUE!</v>
      </c>
      <c r="S587" s="446" t="e">
        <f>IF(OR($B587="",MIN(S$38,$D$19)&lt;MAX($P$34*($B587+IF($R$17="Distrato",$I$38-1,0)),IF(AND($L$37=0,$P$34=0),"",$L$37-1),IF($R$17="Distrato",$E587,0))),0,YEARFRAC(MAX($P$34*($B587+IF($R$17="Distrato",$I$38-1,0)),IF(AND($L$37=0,$P$34=0),"",$L$37-1),IF($R$17="Distrato",$E587,0)),MIN(S$38,$D$19),$P$20))-SUM($P587:R587)</f>
        <v>#VALUE!</v>
      </c>
      <c r="T587" s="446" t="e">
        <f>IF(OR($B587="",MIN(T$38,$D$19)&lt;MAX($P$34*($B587+IF($R$17="Distrato",$I$38-1,0)),IF(AND($L$37=0,$P$34=0),"",$L$37-1),IF($R$17="Distrato",$E587,0))),0,YEARFRAC(MAX($P$34*($B587+IF($R$17="Distrato",$I$38-1,0)),IF(AND($L$37=0,$P$34=0),"",$L$37-1),IF($R$17="Distrato",$E587,0)),MIN(T$38,$D$19),$P$20))-SUM($P587:S587)</f>
        <v>#VALUE!</v>
      </c>
      <c r="U587" s="446" t="e">
        <f>IF(OR($B587="",MIN(U$38,$D$19)&lt;MAX($P$34*($B587+IF($R$17="Distrato",$I$38-1,0)),IF(AND($L$37=0,$P$34=0),"",$L$37-1),IF($R$17="Distrato",$E587,0))),0,YEARFRAC(MAX($P$34*($B587+IF($R$17="Distrato",$I$38-1,0)),IF(AND($L$37=0,$P$34=0),"",$L$37-1),IF($R$17="Distrato",$E587,0)),MIN(U$38,$D$19),$P$20))-SUM($P587:T587)</f>
        <v>#VALUE!</v>
      </c>
      <c r="V587" s="446" t="e">
        <f>IF(OR($B587="",MIN(V$38,$D$19)&lt;MAX($P$34*($B587+IF($R$17="Distrato",$I$38-1,0)),IF(AND($L$37=0,$P$34=0),"",$L$37-1),IF($R$17="Distrato",$E587,0))),0,YEARFRAC(MAX($P$34*($B587+IF($R$17="Distrato",$I$38-1,0)),IF(AND($L$37=0,$P$34=0),"",$L$37-1),IF($R$17="Distrato",$E587,0)),MIN(V$38,$D$19),$P$20))-SUM($P587:U587)</f>
        <v>#VALUE!</v>
      </c>
      <c r="W587" s="446" t="e">
        <f>IF(OR($B587="",MIN(W$38,$D$19)&lt;MAX($P$34*($B587+IF($R$17="Distrato",$I$38-1,0)),IF(AND($L$37=0,$P$34=0),"",$L$37-1),IF($R$17="Distrato",$E587,0))),0,YEARFRAC(MAX($P$34*($B587+IF($R$17="Distrato",$I$38-1,0)),IF(AND($L$37=0,$P$34=0),"",$L$37-1),IF($R$17="Distrato",$E587,0)),MIN(W$38,$D$19),$P$20))-SUM($P587:V587)</f>
        <v>#VALUE!</v>
      </c>
      <c r="X587" s="446" t="e">
        <f>IF(OR($B587="",MIN(X$38,$D$19)&lt;MAX($P$34*($B587+IF($R$17="Distrato",$I$38-1,0)),IF(AND($L$37=0,$P$34=0),"",$L$37-1),IF($R$17="Distrato",$E587,0))),0,YEARFRAC(MAX($P$34*($B587+IF($R$17="Distrato",$I$38-1,0)),IF(AND($L$37=0,$P$34=0),"",$L$37-1),IF($R$17="Distrato",$E587,0)),MIN(X$38,$D$19),$P$20))-SUM($P587:W587)</f>
        <v>#VALUE!</v>
      </c>
      <c r="Y587" s="446" t="e">
        <f>IF(OR($B587="",MIN(Y$38,$D$19)&lt;MAX($P$34*($B587+IF($R$17="Distrato",$I$38-1,0)),IF(AND($L$37=0,$P$34=0),"",$L$37-1),IF($R$17="Distrato",$E587,0))),0,YEARFRAC(MAX($P$34*($B587+IF($R$17="Distrato",$I$38-1,0)),IF(AND($L$37=0,$P$34=0),"",$L$37-1),IF($R$17="Distrato",$E587,0)),MIN(Y$38,$D$19),$P$20))-SUM($P587:X587)</f>
        <v>#VALUE!</v>
      </c>
      <c r="Z587" s="446" t="e">
        <f>IF(OR($B587="",MIN(Z$38,$D$19)&lt;MAX($P$34*($B587+IF($R$17="Distrato",$I$38-1,0)),IF(AND($L$37=0,$P$34=0),"",$L$37-1),IF($R$17="Distrato",$E587,0))),0,YEARFRAC(MAX($P$34*($B587+IF($R$17="Distrato",$I$38-1,0)),IF(AND($L$37=0,$P$34=0),"",$L$37-1),IF($R$17="Distrato",$E587,0)),MIN(Z$38,$D$19),$P$20))-SUM($P587:Y587)</f>
        <v>#VALUE!</v>
      </c>
      <c r="AA587" s="446" t="e">
        <f>IF(OR($B587="",MIN(AA$38,$D$19)&lt;MAX($P$34*($B587+IF($R$17="Distrato",$I$38-1,0)),IF(AND($L$37=0,$P$34=0),"",$L$37-1),IF($R$17="Distrato",$E587,0))),0,YEARFRAC(MAX($P$34*($B587+IF($R$17="Distrato",$I$38-1,0)),IF(AND($L$37=0,$P$34=0),"",$L$37-1),IF($R$17="Distrato",$E587,0)),MIN(AA$38,$D$19),$P$20))-SUM($P587:Z587)</f>
        <v>#VALUE!</v>
      </c>
      <c r="AB587" s="446" t="e">
        <f>IF(OR($B587="",MIN(AB$38,$D$19)&lt;MAX($P$34*($B587+IF($R$17="Distrato",$I$38-1,0)),IF(AND($L$37=0,$P$34=0),"",$L$37-1),IF($R$17="Distrato",$E587,0))),0,YEARFRAC(MAX($P$34*($B587+IF($R$17="Distrato",$I$38-1,0)),IF(AND($L$37=0,$P$34=0),"",$L$37-1),IF($R$17="Distrato",$E587,0)),MIN(AB$38,$D$19),$P$20))-SUM($P587:AA587)</f>
        <v>#VALUE!</v>
      </c>
      <c r="AC587" s="446" t="e">
        <f>IF(OR($B587="",MIN(AC$38,$D$19)&lt;MAX($P$34*($B587+IF($R$17="Distrato",$I$38-1,0)),IF(AND($L$37=0,$P$34=0),"",$L$37-1),IF($R$17="Distrato",$E587,0))),0,YEARFRAC(MAX($P$34*($B587+IF($R$17="Distrato",$I$38-1,0)),IF(AND($L$37=0,$P$34=0),"",$L$37-1),IF($R$17="Distrato",$E587,0)),MIN(AC$38,$D$19),$P$20))-SUM($P587:AB587)</f>
        <v>#VALUE!</v>
      </c>
      <c r="AD587" s="446" t="e">
        <f>IF(OR($B587="",MIN(AD$38,$D$19)&lt;MAX($P$34*($B587+IF($R$17="Distrato",$I$38-1,0)),IF(AND($L$37=0,$P$34=0),"",$L$37-1),IF($R$17="Distrato",$E587,0))),0,YEARFRAC(MAX($P$34*($B587+IF($R$17="Distrato",$I$38-1,0)),IF(AND($L$37=0,$P$34=0),"",$L$37-1),IF($R$17="Distrato",$E587,0)),MIN(AD$38,$D$19),$P$20))-SUM($P587:AC587)</f>
        <v>#VALUE!</v>
      </c>
      <c r="AE587" s="446" t="e">
        <f>IF(OR($B587="",MIN(AE$38,$D$19)&lt;MAX($P$34*($B587+IF($R$17="Distrato",$I$38-1,0)),IF(AND($L$37=0,$P$34=0),"",$L$37-1),IF($R$17="Distrato",$E587,0))),0,YEARFRAC(MAX($P$34*($B587+IF($R$17="Distrato",$I$38-1,0)),IF(AND($L$37=0,$P$34=0),"",$L$37-1),IF($R$17="Distrato",$E587,0)),MIN(AE$38,$D$19),$P$20))-SUM($P587:AD587)</f>
        <v>#VALUE!</v>
      </c>
      <c r="AF587" s="446" t="e">
        <f>IF(OR($B587="",MIN(AF$38,$D$19)&lt;MAX($P$34*($B587+IF($R$17="Distrato",$I$38-1,0)),IF(AND($L$37=0,$P$34=0),"",$L$37-1),IF($R$17="Distrato",$E587,0))),0,YEARFRAC(MAX($P$34*($B587+IF($R$17="Distrato",$I$38-1,0)),IF(AND($L$37=0,$P$34=0),"",$L$37-1),IF($R$17="Distrato",$E587,0)),MIN(AF$38,$D$19),$P$20))-SUM($P587:AE587)</f>
        <v>#VALUE!</v>
      </c>
      <c r="AG587" s="446" t="e">
        <f>IF(OR($B587="",MIN(AG$38,$D$19)&lt;MAX($P$34*($B587+IF($R$17="Distrato",$I$38-1,0)),IF(AND($L$37=0,$P$34=0),"",$L$37-1),IF($R$17="Distrato",$E587,0))),0,YEARFRAC(MAX($P$34*($B587+IF($R$17="Distrato",$I$38-1,0)),IF(AND($L$37=0,$P$34=0),"",$L$37-1),IF($R$17="Distrato",$E587,0)),MIN(AG$38,$D$19),$P$20))-SUM($P587:AF587)</f>
        <v>#VALUE!</v>
      </c>
      <c r="AH587" s="446" t="e">
        <f>IF(OR($B587="",MIN(AH$38,$D$19)&lt;MAX($P$34*($B587+IF($R$17="Distrato",$I$38-1,0)),IF(AND($L$37=0,$P$34=0),"",$L$37-1),IF($R$17="Distrato",$E587,0))),0,YEARFRAC(MAX($P$34*($B587+IF($R$17="Distrato",$I$38-1,0)),IF(AND($L$37=0,$P$34=0),"",$L$37-1),IF($R$17="Distrato",$E587,0)),MIN(AH$38,$D$19),$P$20))-SUM($P587:AG587)</f>
        <v>#VALUE!</v>
      </c>
      <c r="AI587" s="446" t="e">
        <f>IF(OR($B587="",MIN(AI$38,$D$19)&lt;MAX($P$34*($B587+IF($R$17="Distrato",$I$38-1,0)),IF(AND($L$37=0,$P$34=0),"",$L$37-1),IF($R$17="Distrato",$E587,0))),0,YEARFRAC(MAX($P$34*($B587+IF($R$17="Distrato",$I$38-1,0)),IF(AND($L$37=0,$P$34=0),"",$L$37-1),IF($R$17="Distrato",$E587,0)),MIN(AI$38,$D$19),$P$20))-SUM($P587:AH587)</f>
        <v>#VALUE!</v>
      </c>
      <c r="AJ587" s="446" t="e">
        <f>IF(OR($B587="",MIN(AJ$38,$D$19)&lt;MAX($P$34*($B587+IF($R$17="Distrato",$I$38-1,0)),IF(AND($L$37=0,$P$34=0),"",$L$37-1),IF($R$17="Distrato",$E587,0))),0,YEARFRAC(MAX($P$34*($B587+IF($R$17="Distrato",$I$38-1,0)),IF(AND($L$37=0,$P$34=0),"",$L$37-1),IF($R$17="Distrato",$E587,0)),MIN(AJ$38,$D$19),$P$20))-SUM($P587:AI587)</f>
        <v>#VALUE!</v>
      </c>
      <c r="AK587" s="446" t="e">
        <f>IF(OR($B587="",MIN(AK$38,$D$19)&lt;MAX($P$34*($B587+IF($R$17="Distrato",$I$38-1,0)),IF(AND($L$37=0,$P$34=0),"",$L$37-1),IF($R$17="Distrato",$E587,0))),0,YEARFRAC(MAX($P$34*($B587+IF($R$17="Distrato",$I$38-1,0)),IF(AND($L$37=0,$P$34=0),"",$L$37-1),IF($R$17="Distrato",$E587,0)),MIN(AK$38,$D$19),$P$20))-SUM($P587:AJ587)</f>
        <v>#VALUE!</v>
      </c>
      <c r="AL587" s="446" t="e">
        <f>IF(OR($B587="",MIN(AL$38,$D$19)&lt;MAX($P$34*($B587+IF($R$17="Distrato",$I$38-1,0)),IF(AND($L$37=0,$P$34=0),"",$L$37-1),IF($R$17="Distrato",$E587,0))),0,YEARFRAC(MAX($P$34*($B587+IF($R$17="Distrato",$I$38-1,0)),IF(AND($L$37=0,$P$34=0),"",$L$37-1),IF($R$17="Distrato",$E587,0)),MIN(AL$38,$D$19),$P$20))-SUM($P587:AK587)</f>
        <v>#VALUE!</v>
      </c>
      <c r="AM587" s="446" t="e">
        <f>IF(OR($B587="",MIN(AM$38,$D$19)&lt;MAX($P$34*($B587+IF($R$17="Distrato",$I$38-1,0)),IF(AND($L$37=0,$P$34=0),"",$L$37-1),IF($R$17="Distrato",$E587,0))),0,YEARFRAC(MAX($P$34*($B587+IF($R$17="Distrato",$I$38-1,0)),IF(AND($L$37=0,$P$34=0),"",$L$37-1),IF($R$17="Distrato",$E587,0)),MIN(AM$38,$D$19),$P$20))-SUM($P587:AL587)</f>
        <v>#VALUE!</v>
      </c>
      <c r="AN587" s="446" t="e">
        <f>IF(OR($B587="",MIN(AN$38,$D$19)&lt;MAX($P$34*($B587+IF($R$17="Distrato",$I$38-1,0)),IF(AND($L$37=0,$P$34=0),"",$L$37-1),IF($R$17="Distrato",$E587,0))),0,YEARFRAC(MAX($P$34*($B587+IF($R$17="Distrato",$I$38-1,0)),IF(AND($L$37=0,$P$34=0),"",$L$37-1),IF($R$17="Distrato",$E587,0)),MIN(AN$38,$D$19),$P$20))-SUM($P587:AM587)</f>
        <v>#VALUE!</v>
      </c>
      <c r="AO587" s="446" t="e">
        <f>IF(OR($B587="",MIN(AO$38,$D$19)&lt;MAX($P$34*($B587+IF($R$17="Distrato",$I$38-1,0)),IF(AND($L$37=0,$P$34=0),"",$L$37-1),IF($R$17="Distrato",$E587,0))),0,YEARFRAC(MAX($P$34*($B587+IF($R$17="Distrato",$I$38-1,0)),IF(AND($L$37=0,$P$34=0),"",$L$37-1),IF($R$17="Distrato",$E587,0)),MIN(AO$38,$D$19),$P$20))-SUM($P587:AN587)</f>
        <v>#VALUE!</v>
      </c>
      <c r="AP587" s="446" t="e">
        <f>IF(OR($B587="",MIN(AP$38,$D$19)&lt;MAX($P$34*($B587+IF($R$17="Distrato",$I$38-1,0)),IF(AND($L$37=0,$P$34=0),"",$L$37-1),IF($R$17="Distrato",$E587,0))),0,YEARFRAC(MAX($P$34*($B587+IF($R$17="Distrato",$I$38-1,0)),IF(AND($L$37=0,$P$34=0),"",$L$37-1),IF($R$17="Distrato",$E587,0)),MIN(AP$38,$D$19),$P$20))-SUM($P587:AO587)</f>
        <v>#VALUE!</v>
      </c>
      <c r="AQ587" s="446" t="e">
        <f>IF(OR($B587="",MIN(AQ$38,$D$19)&lt;MAX($P$34*($B587+IF($R$17="Distrato",$I$38-1,0)),IF(AND($L$37=0,$P$34=0),"",$L$37-1),IF($R$17="Distrato",$E587,0))),0,YEARFRAC(MAX($P$34*($B587+IF($R$17="Distrato",$I$38-1,0)),IF(AND($L$37=0,$P$34=0),"",$L$37-1),IF($R$17="Distrato",$E587,0)),MIN(AQ$38,$D$19),$P$20))-SUM($P587:AP587)</f>
        <v>#VALUE!</v>
      </c>
      <c r="AR587" s="446" t="e">
        <f>IF(OR($B587="",MIN(AR$38,$D$19)&lt;MAX($P$34*($B587+IF($R$17="Distrato",$I$38-1,0)),IF(AND($L$37=0,$P$34=0),"",$L$37-1),IF($R$17="Distrato",$E587,0))),0,YEARFRAC(MAX($P$34*($B587+IF($R$17="Distrato",$I$38-1,0)),IF(AND($L$37=0,$P$34=0),"",$L$37-1),IF($R$17="Distrato",$E587,0)),MIN(AR$38,$D$19),$P$20))-SUM($P587:AQ587)</f>
        <v>#VALUE!</v>
      </c>
      <c r="AS587" s="446" t="e">
        <f>IF(OR($B587="",MIN(AS$38,$D$19)&lt;MAX($P$34*($B587+IF($R$17="Distrato",$I$38-1,0)),IF(AND($L$37=0,$P$34=0),"",$L$37-1),IF($R$17="Distrato",$E587,0))),0,YEARFRAC(MAX($P$34*($B587+IF($R$17="Distrato",$I$38-1,0)),IF(AND($L$37=0,$P$34=0),"",$L$37-1),IF($R$17="Distrato",$E587,0)),MIN(AS$38,$D$19),$P$20))-SUM($P587:AR587)</f>
        <v>#VALUE!</v>
      </c>
      <c r="AT587" s="446" t="e">
        <f>IF(OR($B587="",MIN(AT$38,$D$19)&lt;MAX($P$34*($B587+IF($R$17="Distrato",$I$38-1,0)),IF(AND($L$37=0,$P$34=0),"",$L$37-1),IF($R$17="Distrato",$E587,0))),0,YEARFRAC(MAX($P$34*($B587+IF($R$17="Distrato",$I$38-1,0)),IF(AND($L$37=0,$P$34=0),"",$L$37-1),IF($R$17="Distrato",$E587,0)),MIN(AT$38,$D$19),$P$20))-SUM($P587:AS587)</f>
        <v>#VALUE!</v>
      </c>
      <c r="AU587" s="446" t="e">
        <f>IF(OR($B587="",MIN(AU$38,$D$19)&lt;MAX($P$34*($B587+IF($R$17="Distrato",$I$38-1,0)),IF(AND($L$37=0,$P$34=0),"",$L$37-1),IF($R$17="Distrato",$E587,0))),0,YEARFRAC(MAX($P$34*($B587+IF($R$17="Distrato",$I$38-1,0)),IF(AND($L$37=0,$P$34=0),"",$L$37-1),IF($R$17="Distrato",$E587,0)),MIN(AU$38,$D$19),$P$20))-SUM($P587:AT587)</f>
        <v>#VALUE!</v>
      </c>
      <c r="AV587" s="446" t="e">
        <f>IF(OR($B587="",MIN(AV$38,$D$19)&lt;MAX($P$34*($B587+IF($R$17="Distrato",$I$38-1,0)),IF(AND($L$37=0,$P$34=0),"",$L$37-1),IF($R$17="Distrato",$E587,0))),0,YEARFRAC(MAX($P$34*($B587+IF($R$17="Distrato",$I$38-1,0)),IF(AND($L$37=0,$P$34=0),"",$L$37-1),IF($R$17="Distrato",$E587,0)),MIN(AV$38,$D$19),$P$20))-SUM($P587:AU587)</f>
        <v>#VALUE!</v>
      </c>
      <c r="AW587" s="446" t="e">
        <f>IF(OR($B587="",MIN(AW$38,$D$19)&lt;MAX($P$34*($B587+IF($R$17="Distrato",$I$38-1,0)),IF(AND($L$37=0,$P$34=0),"",$L$37-1),IF($R$17="Distrato",$E587,0))),0,YEARFRAC(MAX($P$34*($B587+IF($R$17="Distrato",$I$38-1,0)),IF(AND($L$37=0,$P$34=0),"",$L$37-1),IF($R$17="Distrato",$E587,0)),MIN(AW$38,$D$19),$P$20))-SUM($P587:AV587)</f>
        <v>#VALUE!</v>
      </c>
      <c r="AX587" s="446" t="e">
        <f>IF(OR($B587="",MIN(AX$38,$D$19)&lt;MAX($P$34*($B587+IF($R$17="Distrato",$I$38-1,0)),IF(AND($L$37=0,$P$34=0),"",$L$37-1),IF($R$17="Distrato",$E587,0))),0,YEARFRAC(MAX($P$34*($B587+IF($R$17="Distrato",$I$38-1,0)),IF(AND($L$37=0,$P$34=0),"",$L$37-1),IF($R$17="Distrato",$E587,0)),MIN(AX$38,$D$19),$P$20))-SUM($P587:AW587)</f>
        <v>#VALUE!</v>
      </c>
      <c r="AY587" s="446" t="e">
        <f>IF(OR($B587="",MIN(AY$38,$D$19)&lt;MAX($P$34*($B587+IF($R$17="Distrato",$I$38-1,0)),IF(AND($L$37=0,$P$34=0),"",$L$37-1),IF($R$17="Distrato",$E587,0))),0,YEARFRAC(MAX($P$34*($B587+IF($R$17="Distrato",$I$38-1,0)),IF(AND($L$37=0,$P$34=0),"",$L$37-1),IF($R$17="Distrato",$E587,0)),MIN(AY$38,$D$19),$P$20))-SUM($P587:AX587)</f>
        <v>#VALUE!</v>
      </c>
      <c r="AZ587" s="446" t="e">
        <f>IF(OR($B587="",MIN(AZ$38,$D$19)&lt;MAX($P$34*($B587+IF($R$17="Distrato",$I$38-1,0)),IF(AND($L$37=0,$P$34=0),"",$L$37-1),IF($R$17="Distrato",$E587,0))),0,YEARFRAC(MAX($P$34*($B587+IF($R$17="Distrato",$I$38-1,0)),IF(AND($L$37=0,$P$34=0),"",$L$37-1),IF($R$17="Distrato",$E587,0)),MIN(AZ$38,$D$19),$P$20))-SUM($P587:AY587)</f>
        <v>#VALUE!</v>
      </c>
      <c r="BA587" s="446" t="e">
        <f>IF(OR($B587="",MIN(BA$38,$D$19)&lt;MAX($P$34*($B587+IF($R$17="Distrato",$I$38-1,0)),IF(AND($L$37=0,$P$34=0),"",$L$37-1),IF($R$17="Distrato",$E587,0))),0,YEARFRAC(MAX($P$34*($B587+IF($R$17="Distrato",$I$38-1,0)),IF(AND($L$37=0,$P$34=0),"",$L$37-1),IF($R$17="Distrato",$E587,0)),MIN(BA$38,$D$19),$P$20))-SUM($P587:AZ587)</f>
        <v>#VALUE!</v>
      </c>
      <c r="BB587" s="447"/>
      <c r="BF587" s="446">
        <f t="shared" si="98"/>
        <v>0</v>
      </c>
      <c r="BG587" s="446">
        <f>IF($E587=0,0,IF(MIN(BG$38,$E587)&lt;MAX($P$34*($B587+$I$38-1),IF(AND($L$37=0,$P$34=0),"",$L$37-1)),0,YEARFRAC(MAX($P$34*($B587+$I$38-1),IF(AND($L$37=0,$P$34=0),"",$L$37-1)),MIN(BG$38,$E587),$P$20))-SUM($BF587:BF587))</f>
        <v>0</v>
      </c>
      <c r="BH587" s="446">
        <f>IF($E587=0,0,IF(MIN(BH$38,$E587)&lt;MAX($P$34*($B587+$I$38-1),IF(AND($L$37=0,$P$34=0),"",$L$37-1)),0,YEARFRAC(MAX($P$34*($B587+$I$38-1),IF(AND($L$37=0,$P$34=0),"",$L$37-1)),MIN(BH$38,$E587),$P$20))-SUM($BF587:BG587))</f>
        <v>0</v>
      </c>
      <c r="BI587" s="446">
        <f>IF($E587=0,0,IF(MIN(BI$38,$E587)&lt;MAX($P$34*($B587+$I$38-1),IF(AND($L$37=0,$P$34=0),"",$L$37-1)),0,YEARFRAC(MAX($P$34*($B587+$I$38-1),IF(AND($L$37=0,$P$34=0),"",$L$37-1)),MIN(BI$38,$E587),$P$20))-SUM($BF587:BH587))</f>
        <v>0</v>
      </c>
      <c r="BJ587" s="446">
        <f>IF($E587=0,0,IF(MIN(BJ$38,$E587)&lt;MAX($P$34*($B587+$I$38-1),IF(AND($L$37=0,$P$34=0),"",$L$37-1)),0,YEARFRAC(MAX($P$34*($B587+$I$38-1),IF(AND($L$37=0,$P$34=0),"",$L$37-1)),MIN(BJ$38,$E587),$P$20))-SUM($BF587:BI587))</f>
        <v>0</v>
      </c>
      <c r="BK587" s="446">
        <f>IF($E587=0,0,IF(MIN(BK$38,$E587)&lt;MAX($P$34*($B587+$I$38-1),IF(AND($L$37=0,$P$34=0),"",$L$37-1)),0,YEARFRAC(MAX($P$34*($B587+$I$38-1),IF(AND($L$37=0,$P$34=0),"",$L$37-1)),MIN(BK$38,$E587),$P$20))-SUM($BF587:BJ587))</f>
        <v>0</v>
      </c>
      <c r="BL587" s="446">
        <f>IF($E587=0,0,IF(MIN(BL$38,$E587)&lt;MAX($P$34*($B587+$I$38-1),IF(AND($L$37=0,$P$34=0),"",$L$37-1)),0,YEARFRAC(MAX($P$34*($B587+$I$38-1),IF(AND($L$37=0,$P$34=0),"",$L$37-1)),MIN(BL$38,$E587),$P$20))-SUM($BF587:BK587))</f>
        <v>0</v>
      </c>
      <c r="BM587" s="446">
        <f>IF($E587=0,0,IF(MIN(BM$38,$E587)&lt;MAX($P$34*($B587+$I$38-1),IF(AND($L$37=0,$P$34=0),"",$L$37-1)),0,YEARFRAC(MAX($P$34*($B587+$I$38-1),IF(AND($L$37=0,$P$34=0),"",$L$37-1)),MIN(BM$38,$E587),$P$20))-SUM($BF587:BL587))</f>
        <v>0</v>
      </c>
      <c r="BN587" s="446">
        <f>IF($E587=0,0,IF(MIN(BN$38,$E587)&lt;MAX($P$34*($B587+$I$38-1),IF(AND($L$37=0,$P$34=0),"",$L$37-1)),0,YEARFRAC(MAX($P$34*($B587+$I$38-1),IF(AND($L$37=0,$P$34=0),"",$L$37-1)),MIN(BN$38,$E587),$P$20))-SUM($BF587:BM587))</f>
        <v>0</v>
      </c>
      <c r="BO587" s="446">
        <f>IF($E587=0,0,IF(MIN(BO$38,$E587)&lt;MAX($P$34*($B587+$I$38-1),IF(AND($L$37=0,$P$34=0),"",$L$37-1)),0,YEARFRAC(MAX($P$34*($B587+$I$38-1),IF(AND($L$37=0,$P$34=0),"",$L$37-1)),MIN(BO$38,$E587),$P$20))-SUM($BF587:BN587))</f>
        <v>0</v>
      </c>
      <c r="BP587" s="446">
        <f>IF($E587=0,0,IF(MIN(BP$38,$E587)&lt;MAX($P$34*($B587+$I$38-1),IF(AND($L$37=0,$P$34=0),"",$L$37-1)),0,YEARFRAC(MAX($P$34*($B587+$I$38-1),IF(AND($L$37=0,$P$34=0),"",$L$37-1)),MIN(BP$38,$E587),$P$20))-SUM($BF587:BO587))</f>
        <v>0</v>
      </c>
      <c r="BQ587" s="446">
        <f>IF($E587=0,0,IF(MIN(BQ$38,$E587)&lt;MAX($P$34*($B587+$I$38-1),IF(AND($L$37=0,$P$34=0),"",$L$37-1)),0,YEARFRAC(MAX($P$34*($B587+$I$38-1),IF(AND($L$37=0,$P$34=0),"",$L$37-1)),MIN(BQ$38,$E587),$P$20))-SUM($BF587:BP587))</f>
        <v>0</v>
      </c>
      <c r="BR587" s="446">
        <f>IF($E587=0,0,IF(MIN(BR$38,$E587)&lt;MAX($P$34*($B587+$I$38-1),IF(AND($L$37=0,$P$34=0),"",$L$37-1)),0,YEARFRAC(MAX($P$34*($B587+$I$38-1),IF(AND($L$37=0,$P$34=0),"",$L$37-1)),MIN(BR$38,$E587),$P$20))-SUM($BF587:BQ587))</f>
        <v>0</v>
      </c>
      <c r="BS587" s="446">
        <f>IF($E587=0,0,IF(MIN(BS$38,$E587)&lt;MAX($P$34*($B587+$I$38-1),IF(AND($L$37=0,$P$34=0),"",$L$37-1)),0,YEARFRAC(MAX($P$34*($B587+$I$38-1),IF(AND($L$37=0,$P$34=0),"",$L$37-1)),MIN(BS$38,$E587),$P$20))-SUM($BF587:BR587))</f>
        <v>0</v>
      </c>
      <c r="BT587" s="446">
        <f>IF($E587=0,0,IF(MIN(BT$38,$E587)&lt;MAX($P$34*($B587+$I$38-1),IF(AND($L$37=0,$P$34=0),"",$L$37-1)),0,YEARFRAC(MAX($P$34*($B587+$I$38-1),IF(AND($L$37=0,$P$34=0),"",$L$37-1)),MIN(BT$38,$E587),$P$20))-SUM($BF587:BS587))</f>
        <v>0</v>
      </c>
      <c r="BU587" s="446">
        <f>IF($E587=0,0,IF(MIN(BU$38,$E587)&lt;MAX($P$34*($B587+$I$38-1),IF(AND($L$37=0,$P$34=0),"",$L$37-1)),0,YEARFRAC(MAX($P$34*($B587+$I$38-1),IF(AND($L$37=0,$P$34=0),"",$L$37-1)),MIN(BU$38,$E587),$P$20))-SUM($BF587:BT587))</f>
        <v>0</v>
      </c>
      <c r="BV587" s="446">
        <f>IF($E587=0,0,IF(MIN(BV$38,$E587)&lt;MAX($P$34*($B587+$I$38-1),IF(AND($L$37=0,$P$34=0),"",$L$37-1)),0,YEARFRAC(MAX($P$34*($B587+$I$38-1),IF(AND($L$37=0,$P$34=0),"",$L$37-1)),MIN(BV$38,$E587),$P$20))-SUM($BF587:BU587))</f>
        <v>0</v>
      </c>
      <c r="BW587" s="446">
        <f>IF($E587=0,0,IF(MIN(BW$38,$E587)&lt;MAX($P$34*($B587+$I$38-1),IF(AND($L$37=0,$P$34=0),"",$L$37-1)),0,YEARFRAC(MAX($P$34*($B587+$I$38-1),IF(AND($L$37=0,$P$34=0),"",$L$37-1)),MIN(BW$38,$E587),$P$20))-SUM($BF587:BV587))</f>
        <v>0</v>
      </c>
      <c r="BX587" s="446">
        <f>IF($E587=0,0,IF(MIN(BX$38,$E587)&lt;MAX($P$34*($B587+$I$38-1),IF(AND($L$37=0,$P$34=0),"",$L$37-1)),0,YEARFRAC(MAX($P$34*($B587+$I$38-1),IF(AND($L$37=0,$P$34=0),"",$L$37-1)),MIN(BX$38,$E587),$P$20))-SUM($BF587:BW587))</f>
        <v>0</v>
      </c>
      <c r="BY587" s="446">
        <f>IF($E587=0,0,IF(MIN(BY$38,$E587)&lt;MAX($P$34*($B587+$I$38-1),IF(AND($L$37=0,$P$34=0),"",$L$37-1)),0,YEARFRAC(MAX($P$34*($B587+$I$38-1),IF(AND($L$37=0,$P$34=0),"",$L$37-1)),MIN(BY$38,$E587),$P$20))-SUM($BF587:BX587))</f>
        <v>0</v>
      </c>
      <c r="BZ587" s="446">
        <f>IF($E587=0,0,IF(MIN(BZ$38,$E587)&lt;MAX($P$34*($B587+$I$38-1),IF(AND($L$37=0,$P$34=0),"",$L$37-1)),0,YEARFRAC(MAX($P$34*($B587+$I$38-1),IF(AND($L$37=0,$P$34=0),"",$L$37-1)),MIN(BZ$38,$E587),$P$20))-SUM($BF587:BY587))</f>
        <v>0</v>
      </c>
      <c r="CA587" s="446">
        <f>IF($E587=0,0,IF(MIN(CA$38,$E587)&lt;MAX($P$34*($B587+$I$38-1),IF(AND($L$37=0,$P$34=0),"",$L$37-1)),0,YEARFRAC(MAX($P$34*($B587+$I$38-1),IF(AND($L$37=0,$P$34=0),"",$L$37-1)),MIN(CA$38,$E587),$P$20))-SUM($BF587:BZ587))</f>
        <v>0</v>
      </c>
      <c r="CB587" s="446">
        <f>IF($E587=0,0,IF(MIN(CB$38,$E587)&lt;MAX($P$34*($B587+$I$38-1),IF(AND($L$37=0,$P$34=0),"",$L$37-1)),0,YEARFRAC(MAX($P$34*($B587+$I$38-1),IF(AND($L$37=0,$P$34=0),"",$L$37-1)),MIN(CB$38,$E587),$P$20))-SUM($BF587:CA587))</f>
        <v>0</v>
      </c>
      <c r="CC587" s="446">
        <f>IF($E587=0,0,IF(MIN(CC$38,$E587)&lt;MAX($P$34*($B587+$I$38-1),IF(AND($L$37=0,$P$34=0),"",$L$37-1)),0,YEARFRAC(MAX($P$34*($B587+$I$38-1),IF(AND($L$37=0,$P$34=0),"",$L$37-1)),MIN(CC$38,$E587),$P$20))-SUM($BF587:CB587))</f>
        <v>0</v>
      </c>
      <c r="CD587" s="446">
        <f>IF($E587=0,0,IF(MIN(CD$38,$E587)&lt;MAX($P$34*($B587+$I$38-1),IF(AND($L$37=0,$P$34=0),"",$L$37-1)),0,YEARFRAC(MAX($P$34*($B587+$I$38-1),IF(AND($L$37=0,$P$34=0),"",$L$37-1)),MIN(CD$38,$E587),$P$20))-SUM($BF587:CC587))</f>
        <v>0</v>
      </c>
      <c r="CE587" s="446">
        <f>IF($E587=0,0,IF(MIN(CE$38,$E587)&lt;MAX($P$34*($B587+$I$38-1),IF(AND($L$37=0,$P$34=0),"",$L$37-1)),0,YEARFRAC(MAX($P$34*($B587+$I$38-1),IF(AND($L$37=0,$P$34=0),"",$L$37-1)),MIN(CE$38,$E587),$P$20))-SUM($BF587:CD587))</f>
        <v>0</v>
      </c>
      <c r="CF587" s="446">
        <f>IF($E587=0,0,IF(MIN(CF$38,$E587)&lt;MAX($P$34*($B587+$I$38-1),IF(AND($L$37=0,$P$34=0),"",$L$37-1)),0,YEARFRAC(MAX($P$34*($B587+$I$38-1),IF(AND($L$37=0,$P$34=0),"",$L$37-1)),MIN(CF$38,$E587),$P$20))-SUM($BF587:CE587))</f>
        <v>0</v>
      </c>
      <c r="CG587" s="446">
        <f>IF($E587=0,0,IF(MIN(CG$38,$E587)&lt;MAX($P$34*($B587+$I$38-1),IF(AND($L$37=0,$P$34=0),"",$L$37-1)),0,YEARFRAC(MAX($P$34*($B587+$I$38-1),IF(AND($L$37=0,$P$34=0),"",$L$37-1)),MIN(CG$38,$E587),$P$20))-SUM($BF587:CF587))</f>
        <v>0</v>
      </c>
      <c r="CH587" s="446">
        <f>IF($E587=0,0,IF(MIN(CH$38,$E587)&lt;MAX($P$34*($B587+$I$38-1),IF(AND($L$37=0,$P$34=0),"",$L$37-1)),0,YEARFRAC(MAX($P$34*($B587+$I$38-1),IF(AND($L$37=0,$P$34=0),"",$L$37-1)),MIN(CH$38,$E587),$P$20))-SUM($BF587:CG587))</f>
        <v>0</v>
      </c>
      <c r="CI587" s="446">
        <f>IF($E587=0,0,IF(MIN(CI$38,$E587)&lt;MAX($P$34*($B587+$I$38-1),IF(AND($L$37=0,$P$34=0),"",$L$37-1)),0,YEARFRAC(MAX($P$34*($B587+$I$38-1),IF(AND($L$37=0,$P$34=0),"",$L$37-1)),MIN(CI$38,$E587),$P$20))-SUM($BF587:CH587))</f>
        <v>0</v>
      </c>
      <c r="CJ587" s="446">
        <f>IF($E587=0,0,IF(MIN(CJ$38,$E587)&lt;MAX($P$34*($B587+$I$38-1),IF(AND($L$37=0,$P$34=0),"",$L$37-1)),0,YEARFRAC(MAX($P$34*($B587+$I$38-1),IF(AND($L$37=0,$P$34=0),"",$L$37-1)),MIN(CJ$38,$E587),$P$20))-SUM($BF587:CI587))</f>
        <v>0</v>
      </c>
      <c r="CK587" s="446">
        <f>IF($E587=0,0,IF(MIN(CK$38,$E587)&lt;MAX($P$34*($B587+$I$38-1),IF(AND($L$37=0,$P$34=0),"",$L$37-1)),0,YEARFRAC(MAX($P$34*($B587+$I$38-1),IF(AND($L$37=0,$P$34=0),"",$L$37-1)),MIN(CK$38,$E587),$P$20))-SUM($BF587:CJ587))</f>
        <v>0</v>
      </c>
      <c r="CL587" s="446">
        <f>IF($E587=0,0,IF(MIN(CL$38,$E587)&lt;MAX($P$34*($B587+$I$38-1),IF(AND($L$37=0,$P$34=0),"",$L$37-1)),0,YEARFRAC(MAX($P$34*($B587+$I$38-1),IF(AND($L$37=0,$P$34=0),"",$L$37-1)),MIN(CL$38,$E587),$P$20))-SUM($BF587:CK587))</f>
        <v>0</v>
      </c>
      <c r="CM587" s="446">
        <f>IF($E587=0,0,IF(MIN(CM$38,$E587)&lt;MAX($P$34*($B587+$I$38-1),IF(AND($L$37=0,$P$34=0),"",$L$37-1)),0,YEARFRAC(MAX($P$34*($B587+$I$38-1),IF(AND($L$37=0,$P$34=0),"",$L$37-1)),MIN(CM$38,$E587),$P$20))-SUM($BF587:CL587))</f>
        <v>0</v>
      </c>
      <c r="CN587" s="446">
        <f>IF($E587=0,0,IF(MIN(CN$38,$E587)&lt;MAX($P$34*($B587+$I$38-1),IF(AND($L$37=0,$P$34=0),"",$L$37-1)),0,YEARFRAC(MAX($P$34*($B587+$I$38-1),IF(AND($L$37=0,$P$34=0),"",$L$37-1)),MIN(CN$38,$E587),$P$20))-SUM($BF587:CM587))</f>
        <v>0</v>
      </c>
      <c r="CO587" s="446">
        <f>IF($E587=0,0,IF(MIN(CO$38,$E587)&lt;MAX($P$34*($B587+$I$38-1),IF(AND($L$37=0,$P$34=0),"",$L$37-1)),0,YEARFRAC(MAX($P$34*($B587+$I$38-1),IF(AND($L$37=0,$P$34=0),"",$L$37-1)),MIN(CO$38,$E587),$P$20))-SUM($BF587:CN587))</f>
        <v>0</v>
      </c>
      <c r="CP587" s="446">
        <f>IF($E587=0,0,IF(MIN(CP$38,$E587)&lt;MAX($P$34*($B587+$I$38-1),IF(AND($L$37=0,$P$34=0),"",$L$37-1)),0,YEARFRAC(MAX($P$34*($B587+$I$38-1),IF(AND($L$37=0,$P$34=0),"",$L$37-1)),MIN(CP$38,$E587),$P$20))-SUM($BF587:CO587))</f>
        <v>0</v>
      </c>
      <c r="CQ587" s="446">
        <f>IF($E587=0,0,IF(MIN(CQ$38,$E587)&lt;MAX($P$34*($B587+$I$38-1),IF(AND($L$37=0,$P$34=0),"",$L$37-1)),0,YEARFRAC(MAX($P$34*($B587+$I$38-1),IF(AND($L$37=0,$P$34=0),"",$L$37-1)),MIN(CQ$38,$E587),$P$20))-SUM($BF587:CP587))</f>
        <v>0</v>
      </c>
    </row>
    <row r="588" spans="1:95" s="446" customFormat="1" ht="11.25" hidden="1" customHeight="1" x14ac:dyDescent="0.2">
      <c r="A588" s="152"/>
      <c r="B588" s="153" t="str">
        <f t="shared" si="103"/>
        <v/>
      </c>
      <c r="C588" s="29" t="str">
        <f>IF(B588="","",IF($L$35="SELIC - TRIBUTOS",VLOOKUP(DATE(YEAR($D$19),MONTH($D$19)-1,1),ÍNDICES!$A:$DE,HLOOKUP($BL$25,ÍNDICES!$B$3:$T$4,2)+11)-VLOOKUP(B588,ÍNDICES!$A:$DE,HLOOKUP($BL$25,ÍNDICES!$B$3:$T$4,2)+11)+1%,IF(C$38=$W$26,$J$35,IF(ISERROR(IF(B588&gt;$D$19,1,VLOOKUP(DATE(YEAR(B588),MONTH(B588)+IF($C$35=$S$23,1,0),1),ÍNDICES!$A:$DE,$Z$35+1))),"",IF(B588&gt;$D$19,1,VLOOKUP(DATE(YEAR(B588),MONTH(B588)+IF($C$35=$S$23,1,0),1),ÍNDICES!$A:$DE,$Z$35+1))))))</f>
        <v/>
      </c>
      <c r="D588" s="154" t="str">
        <f>IF(ISERROR(IF(OR($D$38=$Y$27,$B588=""),"",VLOOKUP(B588,ÍNDICES!A:DE,AF$35+1))),"",IF(OR($D$38=$Y$27,$B588=""),"",VLOOKUP(B588,ÍNDICES!A:DE,AF$35+1)))</f>
        <v/>
      </c>
      <c r="E588" s="153"/>
      <c r="F588" s="29" t="str">
        <f>IF(E588="","",IF($L$35="SELIC - TRIBUTOS",VLOOKUP(DATE(YEAR($D$19),MONTH($D$19)-1,1),ÍNDICES!$A:$DE,HLOOKUP($BL$25,ÍNDICES!$B$3:$T$4,2)+11)-VLOOKUP(E588,ÍNDICES!$A:$DE,HLOOKUP($BL$25,ÍNDICES!$B$3:$T$4,2)+11)+1%,IF(F$38=$W$26,$J$35,IF(ISERROR(IF(E588&gt;$D$19,1,VLOOKUP(DATE(YEAR(E588),MONTH(E588)+IF($C$35=$S$23,1,0),1),ÍNDICES!$A:$DE,$Z$35+1))),"",IF(E588&gt;$D$19,1,VLOOKUP(DATE(YEAR(E588),MONTH(E588)+IF($C$35=$S$23,1,0),1),ÍNDICES!$A:$DE,$Z$35+1))))))</f>
        <v/>
      </c>
      <c r="G588" s="155"/>
      <c r="H588" s="156" t="str">
        <f t="shared" si="99"/>
        <v/>
      </c>
      <c r="I588" s="29" t="str">
        <f t="shared" si="93"/>
        <v/>
      </c>
      <c r="J588" s="5">
        <f t="shared" si="94"/>
        <v>0</v>
      </c>
      <c r="K588" s="20">
        <f t="shared" ca="1" si="95"/>
        <v>0</v>
      </c>
      <c r="L588" s="5">
        <f t="shared" ca="1" si="96"/>
        <v>0</v>
      </c>
      <c r="M588" s="64">
        <f t="shared" si="100"/>
        <v>0</v>
      </c>
      <c r="N588" s="61">
        <f t="shared" ca="1" si="101"/>
        <v>0</v>
      </c>
      <c r="O588" s="5">
        <f t="shared" ca="1" si="102"/>
        <v>0</v>
      </c>
      <c r="P588" s="446" t="e">
        <f t="shared" si="97"/>
        <v>#VALUE!</v>
      </c>
      <c r="Q588" s="446" t="e">
        <f>IF(OR($B588="",MIN(Q$38,$D$19)&lt;MAX($P$34*($B588+IF($R$17="Distrato",$I$38-1,0)),IF(AND($L$37=0,$P$34=0),"",$L$37-1),IF($R$17="Distrato",$E588,0))),0,YEARFRAC(MAX($P$34*($B588+IF($R$17="Distrato",$I$38-1,0)),IF(AND($L$37=0,$P$34=0),"",$L$37-1),IF($R$17="Distrato",$E588,0)),MIN(Q$38,$D$19),$P$20))-SUM($P588:P588)</f>
        <v>#VALUE!</v>
      </c>
      <c r="R588" s="446" t="e">
        <f>IF(OR($B588="",MIN(R$38,$D$19)&lt;MAX($P$34*($B588+IF($R$17="Distrato",$I$38-1,0)),IF(AND($L$37=0,$P$34=0),"",$L$37-1),IF($R$17="Distrato",$E588,0))),0,YEARFRAC(MAX($P$34*($B588+IF($R$17="Distrato",$I$38-1,0)),IF(AND($L$37=0,$P$34=0),"",$L$37-1),IF($R$17="Distrato",$E588,0)),MIN(R$38,$D$19),$P$20))-SUM($P588:Q588)</f>
        <v>#VALUE!</v>
      </c>
      <c r="S588" s="446" t="e">
        <f>IF(OR($B588="",MIN(S$38,$D$19)&lt;MAX($P$34*($B588+IF($R$17="Distrato",$I$38-1,0)),IF(AND($L$37=0,$P$34=0),"",$L$37-1),IF($R$17="Distrato",$E588,0))),0,YEARFRAC(MAX($P$34*($B588+IF($R$17="Distrato",$I$38-1,0)),IF(AND($L$37=0,$P$34=0),"",$L$37-1),IF($R$17="Distrato",$E588,0)),MIN(S$38,$D$19),$P$20))-SUM($P588:R588)</f>
        <v>#VALUE!</v>
      </c>
      <c r="T588" s="446" t="e">
        <f>IF(OR($B588="",MIN(T$38,$D$19)&lt;MAX($P$34*($B588+IF($R$17="Distrato",$I$38-1,0)),IF(AND($L$37=0,$P$34=0),"",$L$37-1),IF($R$17="Distrato",$E588,0))),0,YEARFRAC(MAX($P$34*($B588+IF($R$17="Distrato",$I$38-1,0)),IF(AND($L$37=0,$P$34=0),"",$L$37-1),IF($R$17="Distrato",$E588,0)),MIN(T$38,$D$19),$P$20))-SUM($P588:S588)</f>
        <v>#VALUE!</v>
      </c>
      <c r="U588" s="446" t="e">
        <f>IF(OR($B588="",MIN(U$38,$D$19)&lt;MAX($P$34*($B588+IF($R$17="Distrato",$I$38-1,0)),IF(AND($L$37=0,$P$34=0),"",$L$37-1),IF($R$17="Distrato",$E588,0))),0,YEARFRAC(MAX($P$34*($B588+IF($R$17="Distrato",$I$38-1,0)),IF(AND($L$37=0,$P$34=0),"",$L$37-1),IF($R$17="Distrato",$E588,0)),MIN(U$38,$D$19),$P$20))-SUM($P588:T588)</f>
        <v>#VALUE!</v>
      </c>
      <c r="V588" s="446" t="e">
        <f>IF(OR($B588="",MIN(V$38,$D$19)&lt;MAX($P$34*($B588+IF($R$17="Distrato",$I$38-1,0)),IF(AND($L$37=0,$P$34=0),"",$L$37-1),IF($R$17="Distrato",$E588,0))),0,YEARFRAC(MAX($P$34*($B588+IF($R$17="Distrato",$I$38-1,0)),IF(AND($L$37=0,$P$34=0),"",$L$37-1),IF($R$17="Distrato",$E588,0)),MIN(V$38,$D$19),$P$20))-SUM($P588:U588)</f>
        <v>#VALUE!</v>
      </c>
      <c r="W588" s="446" t="e">
        <f>IF(OR($B588="",MIN(W$38,$D$19)&lt;MAX($P$34*($B588+IF($R$17="Distrato",$I$38-1,0)),IF(AND($L$37=0,$P$34=0),"",$L$37-1),IF($R$17="Distrato",$E588,0))),0,YEARFRAC(MAX($P$34*($B588+IF($R$17="Distrato",$I$38-1,0)),IF(AND($L$37=0,$P$34=0),"",$L$37-1),IF($R$17="Distrato",$E588,0)),MIN(W$38,$D$19),$P$20))-SUM($P588:V588)</f>
        <v>#VALUE!</v>
      </c>
      <c r="X588" s="446" t="e">
        <f>IF(OR($B588="",MIN(X$38,$D$19)&lt;MAX($P$34*($B588+IF($R$17="Distrato",$I$38-1,0)),IF(AND($L$37=0,$P$34=0),"",$L$37-1),IF($R$17="Distrato",$E588,0))),0,YEARFRAC(MAX($P$34*($B588+IF($R$17="Distrato",$I$38-1,0)),IF(AND($L$37=0,$P$34=0),"",$L$37-1),IF($R$17="Distrato",$E588,0)),MIN(X$38,$D$19),$P$20))-SUM($P588:W588)</f>
        <v>#VALUE!</v>
      </c>
      <c r="Y588" s="446" t="e">
        <f>IF(OR($B588="",MIN(Y$38,$D$19)&lt;MAX($P$34*($B588+IF($R$17="Distrato",$I$38-1,0)),IF(AND($L$37=0,$P$34=0),"",$L$37-1),IF($R$17="Distrato",$E588,0))),0,YEARFRAC(MAX($P$34*($B588+IF($R$17="Distrato",$I$38-1,0)),IF(AND($L$37=0,$P$34=0),"",$L$37-1),IF($R$17="Distrato",$E588,0)),MIN(Y$38,$D$19),$P$20))-SUM($P588:X588)</f>
        <v>#VALUE!</v>
      </c>
      <c r="Z588" s="446" t="e">
        <f>IF(OR($B588="",MIN(Z$38,$D$19)&lt;MAX($P$34*($B588+IF($R$17="Distrato",$I$38-1,0)),IF(AND($L$37=0,$P$34=0),"",$L$37-1),IF($R$17="Distrato",$E588,0))),0,YEARFRAC(MAX($P$34*($B588+IF($R$17="Distrato",$I$38-1,0)),IF(AND($L$37=0,$P$34=0),"",$L$37-1),IF($R$17="Distrato",$E588,0)),MIN(Z$38,$D$19),$P$20))-SUM($P588:Y588)</f>
        <v>#VALUE!</v>
      </c>
      <c r="AA588" s="446" t="e">
        <f>IF(OR($B588="",MIN(AA$38,$D$19)&lt;MAX($P$34*($B588+IF($R$17="Distrato",$I$38-1,0)),IF(AND($L$37=0,$P$34=0),"",$L$37-1),IF($R$17="Distrato",$E588,0))),0,YEARFRAC(MAX($P$34*($B588+IF($R$17="Distrato",$I$38-1,0)),IF(AND($L$37=0,$P$34=0),"",$L$37-1),IF($R$17="Distrato",$E588,0)),MIN(AA$38,$D$19),$P$20))-SUM($P588:Z588)</f>
        <v>#VALUE!</v>
      </c>
      <c r="AB588" s="446" t="e">
        <f>IF(OR($B588="",MIN(AB$38,$D$19)&lt;MAX($P$34*($B588+IF($R$17="Distrato",$I$38-1,0)),IF(AND($L$37=0,$P$34=0),"",$L$37-1),IF($R$17="Distrato",$E588,0))),0,YEARFRAC(MAX($P$34*($B588+IF($R$17="Distrato",$I$38-1,0)),IF(AND($L$37=0,$P$34=0),"",$L$37-1),IF($R$17="Distrato",$E588,0)),MIN(AB$38,$D$19),$P$20))-SUM($P588:AA588)</f>
        <v>#VALUE!</v>
      </c>
      <c r="AC588" s="446" t="e">
        <f>IF(OR($B588="",MIN(AC$38,$D$19)&lt;MAX($P$34*($B588+IF($R$17="Distrato",$I$38-1,0)),IF(AND($L$37=0,$P$34=0),"",$L$37-1),IF($R$17="Distrato",$E588,0))),0,YEARFRAC(MAX($P$34*($B588+IF($R$17="Distrato",$I$38-1,0)),IF(AND($L$37=0,$P$34=0),"",$L$37-1),IF($R$17="Distrato",$E588,0)),MIN(AC$38,$D$19),$P$20))-SUM($P588:AB588)</f>
        <v>#VALUE!</v>
      </c>
      <c r="AD588" s="446" t="e">
        <f>IF(OR($B588="",MIN(AD$38,$D$19)&lt;MAX($P$34*($B588+IF($R$17="Distrato",$I$38-1,0)),IF(AND($L$37=0,$P$34=0),"",$L$37-1),IF($R$17="Distrato",$E588,0))),0,YEARFRAC(MAX($P$34*($B588+IF($R$17="Distrato",$I$38-1,0)),IF(AND($L$37=0,$P$34=0),"",$L$37-1),IF($R$17="Distrato",$E588,0)),MIN(AD$38,$D$19),$P$20))-SUM($P588:AC588)</f>
        <v>#VALUE!</v>
      </c>
      <c r="AE588" s="446" t="e">
        <f>IF(OR($B588="",MIN(AE$38,$D$19)&lt;MAX($P$34*($B588+IF($R$17="Distrato",$I$38-1,0)),IF(AND($L$37=0,$P$34=0),"",$L$37-1),IF($R$17="Distrato",$E588,0))),0,YEARFRAC(MAX($P$34*($B588+IF($R$17="Distrato",$I$38-1,0)),IF(AND($L$37=0,$P$34=0),"",$L$37-1),IF($R$17="Distrato",$E588,0)),MIN(AE$38,$D$19),$P$20))-SUM($P588:AD588)</f>
        <v>#VALUE!</v>
      </c>
      <c r="AF588" s="446" t="e">
        <f>IF(OR($B588="",MIN(AF$38,$D$19)&lt;MAX($P$34*($B588+IF($R$17="Distrato",$I$38-1,0)),IF(AND($L$37=0,$P$34=0),"",$L$37-1),IF($R$17="Distrato",$E588,0))),0,YEARFRAC(MAX($P$34*($B588+IF($R$17="Distrato",$I$38-1,0)),IF(AND($L$37=0,$P$34=0),"",$L$37-1),IF($R$17="Distrato",$E588,0)),MIN(AF$38,$D$19),$P$20))-SUM($P588:AE588)</f>
        <v>#VALUE!</v>
      </c>
      <c r="AG588" s="446" t="e">
        <f>IF(OR($B588="",MIN(AG$38,$D$19)&lt;MAX($P$34*($B588+IF($R$17="Distrato",$I$38-1,0)),IF(AND($L$37=0,$P$34=0),"",$L$37-1),IF($R$17="Distrato",$E588,0))),0,YEARFRAC(MAX($P$34*($B588+IF($R$17="Distrato",$I$38-1,0)),IF(AND($L$37=0,$P$34=0),"",$L$37-1),IF($R$17="Distrato",$E588,0)),MIN(AG$38,$D$19),$P$20))-SUM($P588:AF588)</f>
        <v>#VALUE!</v>
      </c>
      <c r="AH588" s="446" t="e">
        <f>IF(OR($B588="",MIN(AH$38,$D$19)&lt;MAX($P$34*($B588+IF($R$17="Distrato",$I$38-1,0)),IF(AND($L$37=0,$P$34=0),"",$L$37-1),IF($R$17="Distrato",$E588,0))),0,YEARFRAC(MAX($P$34*($B588+IF($R$17="Distrato",$I$38-1,0)),IF(AND($L$37=0,$P$34=0),"",$L$37-1),IF($R$17="Distrato",$E588,0)),MIN(AH$38,$D$19),$P$20))-SUM($P588:AG588)</f>
        <v>#VALUE!</v>
      </c>
      <c r="AI588" s="446" t="e">
        <f>IF(OR($B588="",MIN(AI$38,$D$19)&lt;MAX($P$34*($B588+IF($R$17="Distrato",$I$38-1,0)),IF(AND($L$37=0,$P$34=0),"",$L$37-1),IF($R$17="Distrato",$E588,0))),0,YEARFRAC(MAX($P$34*($B588+IF($R$17="Distrato",$I$38-1,0)),IF(AND($L$37=0,$P$34=0),"",$L$37-1),IF($R$17="Distrato",$E588,0)),MIN(AI$38,$D$19),$P$20))-SUM($P588:AH588)</f>
        <v>#VALUE!</v>
      </c>
      <c r="AJ588" s="446" t="e">
        <f>IF(OR($B588="",MIN(AJ$38,$D$19)&lt;MAX($P$34*($B588+IF($R$17="Distrato",$I$38-1,0)),IF(AND($L$37=0,$P$34=0),"",$L$37-1),IF($R$17="Distrato",$E588,0))),0,YEARFRAC(MAX($P$34*($B588+IF($R$17="Distrato",$I$38-1,0)),IF(AND($L$37=0,$P$34=0),"",$L$37-1),IF($R$17="Distrato",$E588,0)),MIN(AJ$38,$D$19),$P$20))-SUM($P588:AI588)</f>
        <v>#VALUE!</v>
      </c>
      <c r="AK588" s="446" t="e">
        <f>IF(OR($B588="",MIN(AK$38,$D$19)&lt;MAX($P$34*($B588+IF($R$17="Distrato",$I$38-1,0)),IF(AND($L$37=0,$P$34=0),"",$L$37-1),IF($R$17="Distrato",$E588,0))),0,YEARFRAC(MAX($P$34*($B588+IF($R$17="Distrato",$I$38-1,0)),IF(AND($L$37=0,$P$34=0),"",$L$37-1),IF($R$17="Distrato",$E588,0)),MIN(AK$38,$D$19),$P$20))-SUM($P588:AJ588)</f>
        <v>#VALUE!</v>
      </c>
      <c r="AL588" s="446" t="e">
        <f>IF(OR($B588="",MIN(AL$38,$D$19)&lt;MAX($P$34*($B588+IF($R$17="Distrato",$I$38-1,0)),IF(AND($L$37=0,$P$34=0),"",$L$37-1),IF($R$17="Distrato",$E588,0))),0,YEARFRAC(MAX($P$34*($B588+IF($R$17="Distrato",$I$38-1,0)),IF(AND($L$37=0,$P$34=0),"",$L$37-1),IF($R$17="Distrato",$E588,0)),MIN(AL$38,$D$19),$P$20))-SUM($P588:AK588)</f>
        <v>#VALUE!</v>
      </c>
      <c r="AM588" s="446" t="e">
        <f>IF(OR($B588="",MIN(AM$38,$D$19)&lt;MAX($P$34*($B588+IF($R$17="Distrato",$I$38-1,0)),IF(AND($L$37=0,$P$34=0),"",$L$37-1),IF($R$17="Distrato",$E588,0))),0,YEARFRAC(MAX($P$34*($B588+IF($R$17="Distrato",$I$38-1,0)),IF(AND($L$37=0,$P$34=0),"",$L$37-1),IF($R$17="Distrato",$E588,0)),MIN(AM$38,$D$19),$P$20))-SUM($P588:AL588)</f>
        <v>#VALUE!</v>
      </c>
      <c r="AN588" s="446" t="e">
        <f>IF(OR($B588="",MIN(AN$38,$D$19)&lt;MAX($P$34*($B588+IF($R$17="Distrato",$I$38-1,0)),IF(AND($L$37=0,$P$34=0),"",$L$37-1),IF($R$17="Distrato",$E588,0))),0,YEARFRAC(MAX($P$34*($B588+IF($R$17="Distrato",$I$38-1,0)),IF(AND($L$37=0,$P$34=0),"",$L$37-1),IF($R$17="Distrato",$E588,0)),MIN(AN$38,$D$19),$P$20))-SUM($P588:AM588)</f>
        <v>#VALUE!</v>
      </c>
      <c r="AO588" s="446" t="e">
        <f>IF(OR($B588="",MIN(AO$38,$D$19)&lt;MAX($P$34*($B588+IF($R$17="Distrato",$I$38-1,0)),IF(AND($L$37=0,$P$34=0),"",$L$37-1),IF($R$17="Distrato",$E588,0))),0,YEARFRAC(MAX($P$34*($B588+IF($R$17="Distrato",$I$38-1,0)),IF(AND($L$37=0,$P$34=0),"",$L$37-1),IF($R$17="Distrato",$E588,0)),MIN(AO$38,$D$19),$P$20))-SUM($P588:AN588)</f>
        <v>#VALUE!</v>
      </c>
      <c r="AP588" s="446" t="e">
        <f>IF(OR($B588="",MIN(AP$38,$D$19)&lt;MAX($P$34*($B588+IF($R$17="Distrato",$I$38-1,0)),IF(AND($L$37=0,$P$34=0),"",$L$37-1),IF($R$17="Distrato",$E588,0))),0,YEARFRAC(MAX($P$34*($B588+IF($R$17="Distrato",$I$38-1,0)),IF(AND($L$37=0,$P$34=0),"",$L$37-1),IF($R$17="Distrato",$E588,0)),MIN(AP$38,$D$19),$P$20))-SUM($P588:AO588)</f>
        <v>#VALUE!</v>
      </c>
      <c r="AQ588" s="446" t="e">
        <f>IF(OR($B588="",MIN(AQ$38,$D$19)&lt;MAX($P$34*($B588+IF($R$17="Distrato",$I$38-1,0)),IF(AND($L$37=0,$P$34=0),"",$L$37-1),IF($R$17="Distrato",$E588,0))),0,YEARFRAC(MAX($P$34*($B588+IF($R$17="Distrato",$I$38-1,0)),IF(AND($L$37=0,$P$34=0),"",$L$37-1),IF($R$17="Distrato",$E588,0)),MIN(AQ$38,$D$19),$P$20))-SUM($P588:AP588)</f>
        <v>#VALUE!</v>
      </c>
      <c r="AR588" s="446" t="e">
        <f>IF(OR($B588="",MIN(AR$38,$D$19)&lt;MAX($P$34*($B588+IF($R$17="Distrato",$I$38-1,0)),IF(AND($L$37=0,$P$34=0),"",$L$37-1),IF($R$17="Distrato",$E588,0))),0,YEARFRAC(MAX($P$34*($B588+IF($R$17="Distrato",$I$38-1,0)),IF(AND($L$37=0,$P$34=0),"",$L$37-1),IF($R$17="Distrato",$E588,0)),MIN(AR$38,$D$19),$P$20))-SUM($P588:AQ588)</f>
        <v>#VALUE!</v>
      </c>
      <c r="AS588" s="446" t="e">
        <f>IF(OR($B588="",MIN(AS$38,$D$19)&lt;MAX($P$34*($B588+IF($R$17="Distrato",$I$38-1,0)),IF(AND($L$37=0,$P$34=0),"",$L$37-1),IF($R$17="Distrato",$E588,0))),0,YEARFRAC(MAX($P$34*($B588+IF($R$17="Distrato",$I$38-1,0)),IF(AND($L$37=0,$P$34=0),"",$L$37-1),IF($R$17="Distrato",$E588,0)),MIN(AS$38,$D$19),$P$20))-SUM($P588:AR588)</f>
        <v>#VALUE!</v>
      </c>
      <c r="AT588" s="446" t="e">
        <f>IF(OR($B588="",MIN(AT$38,$D$19)&lt;MAX($P$34*($B588+IF($R$17="Distrato",$I$38-1,0)),IF(AND($L$37=0,$P$34=0),"",$L$37-1),IF($R$17="Distrato",$E588,0))),0,YEARFRAC(MAX($P$34*($B588+IF($R$17="Distrato",$I$38-1,0)),IF(AND($L$37=0,$P$34=0),"",$L$37-1),IF($R$17="Distrato",$E588,0)),MIN(AT$38,$D$19),$P$20))-SUM($P588:AS588)</f>
        <v>#VALUE!</v>
      </c>
      <c r="AU588" s="446" t="e">
        <f>IF(OR($B588="",MIN(AU$38,$D$19)&lt;MAX($P$34*($B588+IF($R$17="Distrato",$I$38-1,0)),IF(AND($L$37=0,$P$34=0),"",$L$37-1),IF($R$17="Distrato",$E588,0))),0,YEARFRAC(MAX($P$34*($B588+IF($R$17="Distrato",$I$38-1,0)),IF(AND($L$37=0,$P$34=0),"",$L$37-1),IF($R$17="Distrato",$E588,0)),MIN(AU$38,$D$19),$P$20))-SUM($P588:AT588)</f>
        <v>#VALUE!</v>
      </c>
      <c r="AV588" s="446" t="e">
        <f>IF(OR($B588="",MIN(AV$38,$D$19)&lt;MAX($P$34*($B588+IF($R$17="Distrato",$I$38-1,0)),IF(AND($L$37=0,$P$34=0),"",$L$37-1),IF($R$17="Distrato",$E588,0))),0,YEARFRAC(MAX($P$34*($B588+IF($R$17="Distrato",$I$38-1,0)),IF(AND($L$37=0,$P$34=0),"",$L$37-1),IF($R$17="Distrato",$E588,0)),MIN(AV$38,$D$19),$P$20))-SUM($P588:AU588)</f>
        <v>#VALUE!</v>
      </c>
      <c r="AW588" s="446" t="e">
        <f>IF(OR($B588="",MIN(AW$38,$D$19)&lt;MAX($P$34*($B588+IF($R$17="Distrato",$I$38-1,0)),IF(AND($L$37=0,$P$34=0),"",$L$37-1),IF($R$17="Distrato",$E588,0))),0,YEARFRAC(MAX($P$34*($B588+IF($R$17="Distrato",$I$38-1,0)),IF(AND($L$37=0,$P$34=0),"",$L$37-1),IF($R$17="Distrato",$E588,0)),MIN(AW$38,$D$19),$P$20))-SUM($P588:AV588)</f>
        <v>#VALUE!</v>
      </c>
      <c r="AX588" s="446" t="e">
        <f>IF(OR($B588="",MIN(AX$38,$D$19)&lt;MAX($P$34*($B588+IF($R$17="Distrato",$I$38-1,0)),IF(AND($L$37=0,$P$34=0),"",$L$37-1),IF($R$17="Distrato",$E588,0))),0,YEARFRAC(MAX($P$34*($B588+IF($R$17="Distrato",$I$38-1,0)),IF(AND($L$37=0,$P$34=0),"",$L$37-1),IF($R$17="Distrato",$E588,0)),MIN(AX$38,$D$19),$P$20))-SUM($P588:AW588)</f>
        <v>#VALUE!</v>
      </c>
      <c r="AY588" s="446" t="e">
        <f>IF(OR($B588="",MIN(AY$38,$D$19)&lt;MAX($P$34*($B588+IF($R$17="Distrato",$I$38-1,0)),IF(AND($L$37=0,$P$34=0),"",$L$37-1),IF($R$17="Distrato",$E588,0))),0,YEARFRAC(MAX($P$34*($B588+IF($R$17="Distrato",$I$38-1,0)),IF(AND($L$37=0,$P$34=0),"",$L$37-1),IF($R$17="Distrato",$E588,0)),MIN(AY$38,$D$19),$P$20))-SUM($P588:AX588)</f>
        <v>#VALUE!</v>
      </c>
      <c r="AZ588" s="446" t="e">
        <f>IF(OR($B588="",MIN(AZ$38,$D$19)&lt;MAX($P$34*($B588+IF($R$17="Distrato",$I$38-1,0)),IF(AND($L$37=0,$P$34=0),"",$L$37-1),IF($R$17="Distrato",$E588,0))),0,YEARFRAC(MAX($P$34*($B588+IF($R$17="Distrato",$I$38-1,0)),IF(AND($L$37=0,$P$34=0),"",$L$37-1),IF($R$17="Distrato",$E588,0)),MIN(AZ$38,$D$19),$P$20))-SUM($P588:AY588)</f>
        <v>#VALUE!</v>
      </c>
      <c r="BA588" s="446" t="e">
        <f>IF(OR($B588="",MIN(BA$38,$D$19)&lt;MAX($P$34*($B588+IF($R$17="Distrato",$I$38-1,0)),IF(AND($L$37=0,$P$34=0),"",$L$37-1),IF($R$17="Distrato",$E588,0))),0,YEARFRAC(MAX($P$34*($B588+IF($R$17="Distrato",$I$38-1,0)),IF(AND($L$37=0,$P$34=0),"",$L$37-1),IF($R$17="Distrato",$E588,0)),MIN(BA$38,$D$19),$P$20))-SUM($P588:AZ588)</f>
        <v>#VALUE!</v>
      </c>
      <c r="BB588" s="447"/>
      <c r="BF588" s="446">
        <f t="shared" si="98"/>
        <v>0</v>
      </c>
      <c r="BG588" s="446">
        <f>IF($E588=0,0,IF(MIN(BG$38,$E588)&lt;MAX($P$34*($B588+$I$38-1),IF(AND($L$37=0,$P$34=0),"",$L$37-1)),0,YEARFRAC(MAX($P$34*($B588+$I$38-1),IF(AND($L$37=0,$P$34=0),"",$L$37-1)),MIN(BG$38,$E588),$P$20))-SUM($BF588:BF588))</f>
        <v>0</v>
      </c>
      <c r="BH588" s="446">
        <f>IF($E588=0,0,IF(MIN(BH$38,$E588)&lt;MAX($P$34*($B588+$I$38-1),IF(AND($L$37=0,$P$34=0),"",$L$37-1)),0,YEARFRAC(MAX($P$34*($B588+$I$38-1),IF(AND($L$37=0,$P$34=0),"",$L$37-1)),MIN(BH$38,$E588),$P$20))-SUM($BF588:BG588))</f>
        <v>0</v>
      </c>
      <c r="BI588" s="446">
        <f>IF($E588=0,0,IF(MIN(BI$38,$E588)&lt;MAX($P$34*($B588+$I$38-1),IF(AND($L$37=0,$P$34=0),"",$L$37-1)),0,YEARFRAC(MAX($P$34*($B588+$I$38-1),IF(AND($L$37=0,$P$34=0),"",$L$37-1)),MIN(BI$38,$E588),$P$20))-SUM($BF588:BH588))</f>
        <v>0</v>
      </c>
      <c r="BJ588" s="446">
        <f>IF($E588=0,0,IF(MIN(BJ$38,$E588)&lt;MAX($P$34*($B588+$I$38-1),IF(AND($L$37=0,$P$34=0),"",$L$37-1)),0,YEARFRAC(MAX($P$34*($B588+$I$38-1),IF(AND($L$37=0,$P$34=0),"",$L$37-1)),MIN(BJ$38,$E588),$P$20))-SUM($BF588:BI588))</f>
        <v>0</v>
      </c>
      <c r="BK588" s="446">
        <f>IF($E588=0,0,IF(MIN(BK$38,$E588)&lt;MAX($P$34*($B588+$I$38-1),IF(AND($L$37=0,$P$34=0),"",$L$37-1)),0,YEARFRAC(MAX($P$34*($B588+$I$38-1),IF(AND($L$37=0,$P$34=0),"",$L$37-1)),MIN(BK$38,$E588),$P$20))-SUM($BF588:BJ588))</f>
        <v>0</v>
      </c>
      <c r="BL588" s="446">
        <f>IF($E588=0,0,IF(MIN(BL$38,$E588)&lt;MAX($P$34*($B588+$I$38-1),IF(AND($L$37=0,$P$34=0),"",$L$37-1)),0,YEARFRAC(MAX($P$34*($B588+$I$38-1),IF(AND($L$37=0,$P$34=0),"",$L$37-1)),MIN(BL$38,$E588),$P$20))-SUM($BF588:BK588))</f>
        <v>0</v>
      </c>
      <c r="BM588" s="446">
        <f>IF($E588=0,0,IF(MIN(BM$38,$E588)&lt;MAX($P$34*($B588+$I$38-1),IF(AND($L$37=0,$P$34=0),"",$L$37-1)),0,YEARFRAC(MAX($P$34*($B588+$I$38-1),IF(AND($L$37=0,$P$34=0),"",$L$37-1)),MIN(BM$38,$E588),$P$20))-SUM($BF588:BL588))</f>
        <v>0</v>
      </c>
      <c r="BN588" s="446">
        <f>IF($E588=0,0,IF(MIN(BN$38,$E588)&lt;MAX($P$34*($B588+$I$38-1),IF(AND($L$37=0,$P$34=0),"",$L$37-1)),0,YEARFRAC(MAX($P$34*($B588+$I$38-1),IF(AND($L$37=0,$P$34=0),"",$L$37-1)),MIN(BN$38,$E588),$P$20))-SUM($BF588:BM588))</f>
        <v>0</v>
      </c>
      <c r="BO588" s="446">
        <f>IF($E588=0,0,IF(MIN(BO$38,$E588)&lt;MAX($P$34*($B588+$I$38-1),IF(AND($L$37=0,$P$34=0),"",$L$37-1)),0,YEARFRAC(MAX($P$34*($B588+$I$38-1),IF(AND($L$37=0,$P$34=0),"",$L$37-1)),MIN(BO$38,$E588),$P$20))-SUM($BF588:BN588))</f>
        <v>0</v>
      </c>
      <c r="BP588" s="446">
        <f>IF($E588=0,0,IF(MIN(BP$38,$E588)&lt;MAX($P$34*($B588+$I$38-1),IF(AND($L$37=0,$P$34=0),"",$L$37-1)),0,YEARFRAC(MAX($P$34*($B588+$I$38-1),IF(AND($L$37=0,$P$34=0),"",$L$37-1)),MIN(BP$38,$E588),$P$20))-SUM($BF588:BO588))</f>
        <v>0</v>
      </c>
      <c r="BQ588" s="446">
        <f>IF($E588=0,0,IF(MIN(BQ$38,$E588)&lt;MAX($P$34*($B588+$I$38-1),IF(AND($L$37=0,$P$34=0),"",$L$37-1)),0,YEARFRAC(MAX($P$34*($B588+$I$38-1),IF(AND($L$37=0,$P$34=0),"",$L$37-1)),MIN(BQ$38,$E588),$P$20))-SUM($BF588:BP588))</f>
        <v>0</v>
      </c>
      <c r="BR588" s="446">
        <f>IF($E588=0,0,IF(MIN(BR$38,$E588)&lt;MAX($P$34*($B588+$I$38-1),IF(AND($L$37=0,$P$34=0),"",$L$37-1)),0,YEARFRAC(MAX($P$34*($B588+$I$38-1),IF(AND($L$37=0,$P$34=0),"",$L$37-1)),MIN(BR$38,$E588),$P$20))-SUM($BF588:BQ588))</f>
        <v>0</v>
      </c>
      <c r="BS588" s="446">
        <f>IF($E588=0,0,IF(MIN(BS$38,$E588)&lt;MAX($P$34*($B588+$I$38-1),IF(AND($L$37=0,$P$34=0),"",$L$37-1)),0,YEARFRAC(MAX($P$34*($B588+$I$38-1),IF(AND($L$37=0,$P$34=0),"",$L$37-1)),MIN(BS$38,$E588),$P$20))-SUM($BF588:BR588))</f>
        <v>0</v>
      </c>
      <c r="BT588" s="446">
        <f>IF($E588=0,0,IF(MIN(BT$38,$E588)&lt;MAX($P$34*($B588+$I$38-1),IF(AND($L$37=0,$P$34=0),"",$L$37-1)),0,YEARFRAC(MAX($P$34*($B588+$I$38-1),IF(AND($L$37=0,$P$34=0),"",$L$37-1)),MIN(BT$38,$E588),$P$20))-SUM($BF588:BS588))</f>
        <v>0</v>
      </c>
      <c r="BU588" s="446">
        <f>IF($E588=0,0,IF(MIN(BU$38,$E588)&lt;MAX($P$34*($B588+$I$38-1),IF(AND($L$37=0,$P$34=0),"",$L$37-1)),0,YEARFRAC(MAX($P$34*($B588+$I$38-1),IF(AND($L$37=0,$P$34=0),"",$L$37-1)),MIN(BU$38,$E588),$P$20))-SUM($BF588:BT588))</f>
        <v>0</v>
      </c>
      <c r="BV588" s="446">
        <f>IF($E588=0,0,IF(MIN(BV$38,$E588)&lt;MAX($P$34*($B588+$I$38-1),IF(AND($L$37=0,$P$34=0),"",$L$37-1)),0,YEARFRAC(MAX($P$34*($B588+$I$38-1),IF(AND($L$37=0,$P$34=0),"",$L$37-1)),MIN(BV$38,$E588),$P$20))-SUM($BF588:BU588))</f>
        <v>0</v>
      </c>
      <c r="BW588" s="446">
        <f>IF($E588=0,0,IF(MIN(BW$38,$E588)&lt;MAX($P$34*($B588+$I$38-1),IF(AND($L$37=0,$P$34=0),"",$L$37-1)),0,YEARFRAC(MAX($P$34*($B588+$I$38-1),IF(AND($L$37=0,$P$34=0),"",$L$37-1)),MIN(BW$38,$E588),$P$20))-SUM($BF588:BV588))</f>
        <v>0</v>
      </c>
      <c r="BX588" s="446">
        <f>IF($E588=0,0,IF(MIN(BX$38,$E588)&lt;MAX($P$34*($B588+$I$38-1),IF(AND($L$37=0,$P$34=0),"",$L$37-1)),0,YEARFRAC(MAX($P$34*($B588+$I$38-1),IF(AND($L$37=0,$P$34=0),"",$L$37-1)),MIN(BX$38,$E588),$P$20))-SUM($BF588:BW588))</f>
        <v>0</v>
      </c>
      <c r="BY588" s="446">
        <f>IF($E588=0,0,IF(MIN(BY$38,$E588)&lt;MAX($P$34*($B588+$I$38-1),IF(AND($L$37=0,$P$34=0),"",$L$37-1)),0,YEARFRAC(MAX($P$34*($B588+$I$38-1),IF(AND($L$37=0,$P$34=0),"",$L$37-1)),MIN(BY$38,$E588),$P$20))-SUM($BF588:BX588))</f>
        <v>0</v>
      </c>
      <c r="BZ588" s="446">
        <f>IF($E588=0,0,IF(MIN(BZ$38,$E588)&lt;MAX($P$34*($B588+$I$38-1),IF(AND($L$37=0,$P$34=0),"",$L$37-1)),0,YEARFRAC(MAX($P$34*($B588+$I$38-1),IF(AND($L$37=0,$P$34=0),"",$L$37-1)),MIN(BZ$38,$E588),$P$20))-SUM($BF588:BY588))</f>
        <v>0</v>
      </c>
      <c r="CA588" s="446">
        <f>IF($E588=0,0,IF(MIN(CA$38,$E588)&lt;MAX($P$34*($B588+$I$38-1),IF(AND($L$37=0,$P$34=0),"",$L$37-1)),0,YEARFRAC(MAX($P$34*($B588+$I$38-1),IF(AND($L$37=0,$P$34=0),"",$L$37-1)),MIN(CA$38,$E588),$P$20))-SUM($BF588:BZ588))</f>
        <v>0</v>
      </c>
      <c r="CB588" s="446">
        <f>IF($E588=0,0,IF(MIN(CB$38,$E588)&lt;MAX($P$34*($B588+$I$38-1),IF(AND($L$37=0,$P$34=0),"",$L$37-1)),0,YEARFRAC(MAX($P$34*($B588+$I$38-1),IF(AND($L$37=0,$P$34=0),"",$L$37-1)),MIN(CB$38,$E588),$P$20))-SUM($BF588:CA588))</f>
        <v>0</v>
      </c>
      <c r="CC588" s="446">
        <f>IF($E588=0,0,IF(MIN(CC$38,$E588)&lt;MAX($P$34*($B588+$I$38-1),IF(AND($L$37=0,$P$34=0),"",$L$37-1)),0,YEARFRAC(MAX($P$34*($B588+$I$38-1),IF(AND($L$37=0,$P$34=0),"",$L$37-1)),MIN(CC$38,$E588),$P$20))-SUM($BF588:CB588))</f>
        <v>0</v>
      </c>
      <c r="CD588" s="446">
        <f>IF($E588=0,0,IF(MIN(CD$38,$E588)&lt;MAX($P$34*($B588+$I$38-1),IF(AND($L$37=0,$P$34=0),"",$L$37-1)),0,YEARFRAC(MAX($P$34*($B588+$I$38-1),IF(AND($L$37=0,$P$34=0),"",$L$37-1)),MIN(CD$38,$E588),$P$20))-SUM($BF588:CC588))</f>
        <v>0</v>
      </c>
      <c r="CE588" s="446">
        <f>IF($E588=0,0,IF(MIN(CE$38,$E588)&lt;MAX($P$34*($B588+$I$38-1),IF(AND($L$37=0,$P$34=0),"",$L$37-1)),0,YEARFRAC(MAX($P$34*($B588+$I$38-1),IF(AND($L$37=0,$P$34=0),"",$L$37-1)),MIN(CE$38,$E588),$P$20))-SUM($BF588:CD588))</f>
        <v>0</v>
      </c>
      <c r="CF588" s="446">
        <f>IF($E588=0,0,IF(MIN(CF$38,$E588)&lt;MAX($P$34*($B588+$I$38-1),IF(AND($L$37=0,$P$34=0),"",$L$37-1)),0,YEARFRAC(MAX($P$34*($B588+$I$38-1),IF(AND($L$37=0,$P$34=0),"",$L$37-1)),MIN(CF$38,$E588),$P$20))-SUM($BF588:CE588))</f>
        <v>0</v>
      </c>
      <c r="CG588" s="446">
        <f>IF($E588=0,0,IF(MIN(CG$38,$E588)&lt;MAX($P$34*($B588+$I$38-1),IF(AND($L$37=0,$P$34=0),"",$L$37-1)),0,YEARFRAC(MAX($P$34*($B588+$I$38-1),IF(AND($L$37=0,$P$34=0),"",$L$37-1)),MIN(CG$38,$E588),$P$20))-SUM($BF588:CF588))</f>
        <v>0</v>
      </c>
      <c r="CH588" s="446">
        <f>IF($E588=0,0,IF(MIN(CH$38,$E588)&lt;MAX($P$34*($B588+$I$38-1),IF(AND($L$37=0,$P$34=0),"",$L$37-1)),0,YEARFRAC(MAX($P$34*($B588+$I$38-1),IF(AND($L$37=0,$P$34=0),"",$L$37-1)),MIN(CH$38,$E588),$P$20))-SUM($BF588:CG588))</f>
        <v>0</v>
      </c>
      <c r="CI588" s="446">
        <f>IF($E588=0,0,IF(MIN(CI$38,$E588)&lt;MAX($P$34*($B588+$I$38-1),IF(AND($L$37=0,$P$34=0),"",$L$37-1)),0,YEARFRAC(MAX($P$34*($B588+$I$38-1),IF(AND($L$37=0,$P$34=0),"",$L$37-1)),MIN(CI$38,$E588),$P$20))-SUM($BF588:CH588))</f>
        <v>0</v>
      </c>
      <c r="CJ588" s="446">
        <f>IF($E588=0,0,IF(MIN(CJ$38,$E588)&lt;MAX($P$34*($B588+$I$38-1),IF(AND($L$37=0,$P$34=0),"",$L$37-1)),0,YEARFRAC(MAX($P$34*($B588+$I$38-1),IF(AND($L$37=0,$P$34=0),"",$L$37-1)),MIN(CJ$38,$E588),$P$20))-SUM($BF588:CI588))</f>
        <v>0</v>
      </c>
      <c r="CK588" s="446">
        <f>IF($E588=0,0,IF(MIN(CK$38,$E588)&lt;MAX($P$34*($B588+$I$38-1),IF(AND($L$37=0,$P$34=0),"",$L$37-1)),0,YEARFRAC(MAX($P$34*($B588+$I$38-1),IF(AND($L$37=0,$P$34=0),"",$L$37-1)),MIN(CK$38,$E588),$P$20))-SUM($BF588:CJ588))</f>
        <v>0</v>
      </c>
      <c r="CL588" s="446">
        <f>IF($E588=0,0,IF(MIN(CL$38,$E588)&lt;MAX($P$34*($B588+$I$38-1),IF(AND($L$37=0,$P$34=0),"",$L$37-1)),0,YEARFRAC(MAX($P$34*($B588+$I$38-1),IF(AND($L$37=0,$P$34=0),"",$L$37-1)),MIN(CL$38,$E588),$P$20))-SUM($BF588:CK588))</f>
        <v>0</v>
      </c>
      <c r="CM588" s="446">
        <f>IF($E588=0,0,IF(MIN(CM$38,$E588)&lt;MAX($P$34*($B588+$I$38-1),IF(AND($L$37=0,$P$34=0),"",$L$37-1)),0,YEARFRAC(MAX($P$34*($B588+$I$38-1),IF(AND($L$37=0,$P$34=0),"",$L$37-1)),MIN(CM$38,$E588),$P$20))-SUM($BF588:CL588))</f>
        <v>0</v>
      </c>
      <c r="CN588" s="446">
        <f>IF($E588=0,0,IF(MIN(CN$38,$E588)&lt;MAX($P$34*($B588+$I$38-1),IF(AND($L$37=0,$P$34=0),"",$L$37-1)),0,YEARFRAC(MAX($P$34*($B588+$I$38-1),IF(AND($L$37=0,$P$34=0),"",$L$37-1)),MIN(CN$38,$E588),$P$20))-SUM($BF588:CM588))</f>
        <v>0</v>
      </c>
      <c r="CO588" s="446">
        <f>IF($E588=0,0,IF(MIN(CO$38,$E588)&lt;MAX($P$34*($B588+$I$38-1),IF(AND($L$37=0,$P$34=0),"",$L$37-1)),0,YEARFRAC(MAX($P$34*($B588+$I$38-1),IF(AND($L$37=0,$P$34=0),"",$L$37-1)),MIN(CO$38,$E588),$P$20))-SUM($BF588:CN588))</f>
        <v>0</v>
      </c>
      <c r="CP588" s="446">
        <f>IF($E588=0,0,IF(MIN(CP$38,$E588)&lt;MAX($P$34*($B588+$I$38-1),IF(AND($L$37=0,$P$34=0),"",$L$37-1)),0,YEARFRAC(MAX($P$34*($B588+$I$38-1),IF(AND($L$37=0,$P$34=0),"",$L$37-1)),MIN(CP$38,$E588),$P$20))-SUM($BF588:CO588))</f>
        <v>0</v>
      </c>
      <c r="CQ588" s="446">
        <f>IF($E588=0,0,IF(MIN(CQ$38,$E588)&lt;MAX($P$34*($B588+$I$38-1),IF(AND($L$37=0,$P$34=0),"",$L$37-1)),0,YEARFRAC(MAX($P$34*($B588+$I$38-1),IF(AND($L$37=0,$P$34=0),"",$L$37-1)),MIN(CQ$38,$E588),$P$20))-SUM($BF588:CP588))</f>
        <v>0</v>
      </c>
    </row>
    <row r="589" spans="1:95" s="446" customFormat="1" ht="11.25" hidden="1" customHeight="1" x14ac:dyDescent="0.2">
      <c r="A589" s="152"/>
      <c r="B589" s="153" t="str">
        <f t="shared" si="103"/>
        <v/>
      </c>
      <c r="C589" s="29" t="str">
        <f>IF(B589="","",IF($L$35="SELIC - TRIBUTOS",VLOOKUP(DATE(YEAR($D$19),MONTH($D$19)-1,1),ÍNDICES!$A:$DE,HLOOKUP($BL$25,ÍNDICES!$B$3:$T$4,2)+11)-VLOOKUP(B589,ÍNDICES!$A:$DE,HLOOKUP($BL$25,ÍNDICES!$B$3:$T$4,2)+11)+1%,IF(C$38=$W$26,$J$35,IF(ISERROR(IF(B589&gt;$D$19,1,VLOOKUP(DATE(YEAR(B589),MONTH(B589)+IF($C$35=$S$23,1,0),1),ÍNDICES!$A:$DE,$Z$35+1))),"",IF(B589&gt;$D$19,1,VLOOKUP(DATE(YEAR(B589),MONTH(B589)+IF($C$35=$S$23,1,0),1),ÍNDICES!$A:$DE,$Z$35+1))))))</f>
        <v/>
      </c>
      <c r="D589" s="154" t="str">
        <f>IF(ISERROR(IF(OR($D$38=$Y$27,$B589=""),"",VLOOKUP(B589,ÍNDICES!A:DE,AF$35+1))),"",IF(OR($D$38=$Y$27,$B589=""),"",VLOOKUP(B589,ÍNDICES!A:DE,AF$35+1)))</f>
        <v/>
      </c>
      <c r="E589" s="153"/>
      <c r="F589" s="29" t="str">
        <f>IF(E589="","",IF($L$35="SELIC - TRIBUTOS",VLOOKUP(DATE(YEAR($D$19),MONTH($D$19)-1,1),ÍNDICES!$A:$DE,HLOOKUP($BL$25,ÍNDICES!$B$3:$T$4,2)+11)-VLOOKUP(E589,ÍNDICES!$A:$DE,HLOOKUP($BL$25,ÍNDICES!$B$3:$T$4,2)+11)+1%,IF(F$38=$W$26,$J$35,IF(ISERROR(IF(E589&gt;$D$19,1,VLOOKUP(DATE(YEAR(E589),MONTH(E589)+IF($C$35=$S$23,1,0),1),ÍNDICES!$A:$DE,$Z$35+1))),"",IF(E589&gt;$D$19,1,VLOOKUP(DATE(YEAR(E589),MONTH(E589)+IF($C$35=$S$23,1,0),1),ÍNDICES!$A:$DE,$Z$35+1))))))</f>
        <v/>
      </c>
      <c r="G589" s="155"/>
      <c r="H589" s="156" t="str">
        <f t="shared" si="99"/>
        <v/>
      </c>
      <c r="I589" s="29" t="str">
        <f t="shared" si="93"/>
        <v/>
      </c>
      <c r="J589" s="5">
        <f t="shared" si="94"/>
        <v>0</v>
      </c>
      <c r="K589" s="20">
        <f t="shared" ca="1" si="95"/>
        <v>0</v>
      </c>
      <c r="L589" s="5">
        <f t="shared" ca="1" si="96"/>
        <v>0</v>
      </c>
      <c r="M589" s="64">
        <f t="shared" si="100"/>
        <v>0</v>
      </c>
      <c r="N589" s="61">
        <f t="shared" ca="1" si="101"/>
        <v>0</v>
      </c>
      <c r="O589" s="5">
        <f t="shared" ca="1" si="102"/>
        <v>0</v>
      </c>
      <c r="P589" s="446" t="e">
        <f t="shared" si="97"/>
        <v>#VALUE!</v>
      </c>
      <c r="Q589" s="446" t="e">
        <f>IF(OR($B589="",MIN(Q$38,$D$19)&lt;MAX($P$34*($B589+IF($R$17="Distrato",$I$38-1,0)),IF(AND($L$37=0,$P$34=0),"",$L$37-1),IF($R$17="Distrato",$E589,0))),0,YEARFRAC(MAX($P$34*($B589+IF($R$17="Distrato",$I$38-1,0)),IF(AND($L$37=0,$P$34=0),"",$L$37-1),IF($R$17="Distrato",$E589,0)),MIN(Q$38,$D$19),$P$20))-SUM($P589:P589)</f>
        <v>#VALUE!</v>
      </c>
      <c r="R589" s="446" t="e">
        <f>IF(OR($B589="",MIN(R$38,$D$19)&lt;MAX($P$34*($B589+IF($R$17="Distrato",$I$38-1,0)),IF(AND($L$37=0,$P$34=0),"",$L$37-1),IF($R$17="Distrato",$E589,0))),0,YEARFRAC(MAX($P$34*($B589+IF($R$17="Distrato",$I$38-1,0)),IF(AND($L$37=0,$P$34=0),"",$L$37-1),IF($R$17="Distrato",$E589,0)),MIN(R$38,$D$19),$P$20))-SUM($P589:Q589)</f>
        <v>#VALUE!</v>
      </c>
      <c r="S589" s="446" t="e">
        <f>IF(OR($B589="",MIN(S$38,$D$19)&lt;MAX($P$34*($B589+IF($R$17="Distrato",$I$38-1,0)),IF(AND($L$37=0,$P$34=0),"",$L$37-1),IF($R$17="Distrato",$E589,0))),0,YEARFRAC(MAX($P$34*($B589+IF($R$17="Distrato",$I$38-1,0)),IF(AND($L$37=0,$P$34=0),"",$L$37-1),IF($R$17="Distrato",$E589,0)),MIN(S$38,$D$19),$P$20))-SUM($P589:R589)</f>
        <v>#VALUE!</v>
      </c>
      <c r="T589" s="446" t="e">
        <f>IF(OR($B589="",MIN(T$38,$D$19)&lt;MAX($P$34*($B589+IF($R$17="Distrato",$I$38-1,0)),IF(AND($L$37=0,$P$34=0),"",$L$37-1),IF($R$17="Distrato",$E589,0))),0,YEARFRAC(MAX($P$34*($B589+IF($R$17="Distrato",$I$38-1,0)),IF(AND($L$37=0,$P$34=0),"",$L$37-1),IF($R$17="Distrato",$E589,0)),MIN(T$38,$D$19),$P$20))-SUM($P589:S589)</f>
        <v>#VALUE!</v>
      </c>
      <c r="U589" s="446" t="e">
        <f>IF(OR($B589="",MIN(U$38,$D$19)&lt;MAX($P$34*($B589+IF($R$17="Distrato",$I$38-1,0)),IF(AND($L$37=0,$P$34=0),"",$L$37-1),IF($R$17="Distrato",$E589,0))),0,YEARFRAC(MAX($P$34*($B589+IF($R$17="Distrato",$I$38-1,0)),IF(AND($L$37=0,$P$34=0),"",$L$37-1),IF($R$17="Distrato",$E589,0)),MIN(U$38,$D$19),$P$20))-SUM($P589:T589)</f>
        <v>#VALUE!</v>
      </c>
      <c r="V589" s="446" t="e">
        <f>IF(OR($B589="",MIN(V$38,$D$19)&lt;MAX($P$34*($B589+IF($R$17="Distrato",$I$38-1,0)),IF(AND($L$37=0,$P$34=0),"",$L$37-1),IF($R$17="Distrato",$E589,0))),0,YEARFRAC(MAX($P$34*($B589+IF($R$17="Distrato",$I$38-1,0)),IF(AND($L$37=0,$P$34=0),"",$L$37-1),IF($R$17="Distrato",$E589,0)),MIN(V$38,$D$19),$P$20))-SUM($P589:U589)</f>
        <v>#VALUE!</v>
      </c>
      <c r="W589" s="446" t="e">
        <f>IF(OR($B589="",MIN(W$38,$D$19)&lt;MAX($P$34*($B589+IF($R$17="Distrato",$I$38-1,0)),IF(AND($L$37=0,$P$34=0),"",$L$37-1),IF($R$17="Distrato",$E589,0))),0,YEARFRAC(MAX($P$34*($B589+IF($R$17="Distrato",$I$38-1,0)),IF(AND($L$37=0,$P$34=0),"",$L$37-1),IF($R$17="Distrato",$E589,0)),MIN(W$38,$D$19),$P$20))-SUM($P589:V589)</f>
        <v>#VALUE!</v>
      </c>
      <c r="X589" s="446" t="e">
        <f>IF(OR($B589="",MIN(X$38,$D$19)&lt;MAX($P$34*($B589+IF($R$17="Distrato",$I$38-1,0)),IF(AND($L$37=0,$P$34=0),"",$L$37-1),IF($R$17="Distrato",$E589,0))),0,YEARFRAC(MAX($P$34*($B589+IF($R$17="Distrato",$I$38-1,0)),IF(AND($L$37=0,$P$34=0),"",$L$37-1),IF($R$17="Distrato",$E589,0)),MIN(X$38,$D$19),$P$20))-SUM($P589:W589)</f>
        <v>#VALUE!</v>
      </c>
      <c r="Y589" s="446" t="e">
        <f>IF(OR($B589="",MIN(Y$38,$D$19)&lt;MAX($P$34*($B589+IF($R$17="Distrato",$I$38-1,0)),IF(AND($L$37=0,$P$34=0),"",$L$37-1),IF($R$17="Distrato",$E589,0))),0,YEARFRAC(MAX($P$34*($B589+IF($R$17="Distrato",$I$38-1,0)),IF(AND($L$37=0,$P$34=0),"",$L$37-1),IF($R$17="Distrato",$E589,0)),MIN(Y$38,$D$19),$P$20))-SUM($P589:X589)</f>
        <v>#VALUE!</v>
      </c>
      <c r="Z589" s="446" t="e">
        <f>IF(OR($B589="",MIN(Z$38,$D$19)&lt;MAX($P$34*($B589+IF($R$17="Distrato",$I$38-1,0)),IF(AND($L$37=0,$P$34=0),"",$L$37-1),IF($R$17="Distrato",$E589,0))),0,YEARFRAC(MAX($P$34*($B589+IF($R$17="Distrato",$I$38-1,0)),IF(AND($L$37=0,$P$34=0),"",$L$37-1),IF($R$17="Distrato",$E589,0)),MIN(Z$38,$D$19),$P$20))-SUM($P589:Y589)</f>
        <v>#VALUE!</v>
      </c>
      <c r="AA589" s="446" t="e">
        <f>IF(OR($B589="",MIN(AA$38,$D$19)&lt;MAX($P$34*($B589+IF($R$17="Distrato",$I$38-1,0)),IF(AND($L$37=0,$P$34=0),"",$L$37-1),IF($R$17="Distrato",$E589,0))),0,YEARFRAC(MAX($P$34*($B589+IF($R$17="Distrato",$I$38-1,0)),IF(AND($L$37=0,$P$34=0),"",$L$37-1),IF($R$17="Distrato",$E589,0)),MIN(AA$38,$D$19),$P$20))-SUM($P589:Z589)</f>
        <v>#VALUE!</v>
      </c>
      <c r="AB589" s="446" t="e">
        <f>IF(OR($B589="",MIN(AB$38,$D$19)&lt;MAX($P$34*($B589+IF($R$17="Distrato",$I$38-1,0)),IF(AND($L$37=0,$P$34=0),"",$L$37-1),IF($R$17="Distrato",$E589,0))),0,YEARFRAC(MAX($P$34*($B589+IF($R$17="Distrato",$I$38-1,0)),IF(AND($L$37=0,$P$34=0),"",$L$37-1),IF($R$17="Distrato",$E589,0)),MIN(AB$38,$D$19),$P$20))-SUM($P589:AA589)</f>
        <v>#VALUE!</v>
      </c>
      <c r="AC589" s="446" t="e">
        <f>IF(OR($B589="",MIN(AC$38,$D$19)&lt;MAX($P$34*($B589+IF($R$17="Distrato",$I$38-1,0)),IF(AND($L$37=0,$P$34=0),"",$L$37-1),IF($R$17="Distrato",$E589,0))),0,YEARFRAC(MAX($P$34*($B589+IF($R$17="Distrato",$I$38-1,0)),IF(AND($L$37=0,$P$34=0),"",$L$37-1),IF($R$17="Distrato",$E589,0)),MIN(AC$38,$D$19),$P$20))-SUM($P589:AB589)</f>
        <v>#VALUE!</v>
      </c>
      <c r="AD589" s="446" t="e">
        <f>IF(OR($B589="",MIN(AD$38,$D$19)&lt;MAX($P$34*($B589+IF($R$17="Distrato",$I$38-1,0)),IF(AND($L$37=0,$P$34=0),"",$L$37-1),IF($R$17="Distrato",$E589,0))),0,YEARFRAC(MAX($P$34*($B589+IF($R$17="Distrato",$I$38-1,0)),IF(AND($L$37=0,$P$34=0),"",$L$37-1),IF($R$17="Distrato",$E589,0)),MIN(AD$38,$D$19),$P$20))-SUM($P589:AC589)</f>
        <v>#VALUE!</v>
      </c>
      <c r="AE589" s="446" t="e">
        <f>IF(OR($B589="",MIN(AE$38,$D$19)&lt;MAX($P$34*($B589+IF($R$17="Distrato",$I$38-1,0)),IF(AND($L$37=0,$P$34=0),"",$L$37-1),IF($R$17="Distrato",$E589,0))),0,YEARFRAC(MAX($P$34*($B589+IF($R$17="Distrato",$I$38-1,0)),IF(AND($L$37=0,$P$34=0),"",$L$37-1),IF($R$17="Distrato",$E589,0)),MIN(AE$38,$D$19),$P$20))-SUM($P589:AD589)</f>
        <v>#VALUE!</v>
      </c>
      <c r="AF589" s="446" t="e">
        <f>IF(OR($B589="",MIN(AF$38,$D$19)&lt;MAX($P$34*($B589+IF($R$17="Distrato",$I$38-1,0)),IF(AND($L$37=0,$P$34=0),"",$L$37-1),IF($R$17="Distrato",$E589,0))),0,YEARFRAC(MAX($P$34*($B589+IF($R$17="Distrato",$I$38-1,0)),IF(AND($L$37=0,$P$34=0),"",$L$37-1),IF($R$17="Distrato",$E589,0)),MIN(AF$38,$D$19),$P$20))-SUM($P589:AE589)</f>
        <v>#VALUE!</v>
      </c>
      <c r="AG589" s="446" t="e">
        <f>IF(OR($B589="",MIN(AG$38,$D$19)&lt;MAX($P$34*($B589+IF($R$17="Distrato",$I$38-1,0)),IF(AND($L$37=0,$P$34=0),"",$L$37-1),IF($R$17="Distrato",$E589,0))),0,YEARFRAC(MAX($P$34*($B589+IF($R$17="Distrato",$I$38-1,0)),IF(AND($L$37=0,$P$34=0),"",$L$37-1),IF($R$17="Distrato",$E589,0)),MIN(AG$38,$D$19),$P$20))-SUM($P589:AF589)</f>
        <v>#VALUE!</v>
      </c>
      <c r="AH589" s="446" t="e">
        <f>IF(OR($B589="",MIN(AH$38,$D$19)&lt;MAX($P$34*($B589+IF($R$17="Distrato",$I$38-1,0)),IF(AND($L$37=0,$P$34=0),"",$L$37-1),IF($R$17="Distrato",$E589,0))),0,YEARFRAC(MAX($P$34*($B589+IF($R$17="Distrato",$I$38-1,0)),IF(AND($L$37=0,$P$34=0),"",$L$37-1),IF($R$17="Distrato",$E589,0)),MIN(AH$38,$D$19),$P$20))-SUM($P589:AG589)</f>
        <v>#VALUE!</v>
      </c>
      <c r="AI589" s="446" t="e">
        <f>IF(OR($B589="",MIN(AI$38,$D$19)&lt;MAX($P$34*($B589+IF($R$17="Distrato",$I$38-1,0)),IF(AND($L$37=0,$P$34=0),"",$L$37-1),IF($R$17="Distrato",$E589,0))),0,YEARFRAC(MAX($P$34*($B589+IF($R$17="Distrato",$I$38-1,0)),IF(AND($L$37=0,$P$34=0),"",$L$37-1),IF($R$17="Distrato",$E589,0)),MIN(AI$38,$D$19),$P$20))-SUM($P589:AH589)</f>
        <v>#VALUE!</v>
      </c>
      <c r="AJ589" s="446" t="e">
        <f>IF(OR($B589="",MIN(AJ$38,$D$19)&lt;MAX($P$34*($B589+IF($R$17="Distrato",$I$38-1,0)),IF(AND($L$37=0,$P$34=0),"",$L$37-1),IF($R$17="Distrato",$E589,0))),0,YEARFRAC(MAX($P$34*($B589+IF($R$17="Distrato",$I$38-1,0)),IF(AND($L$37=0,$P$34=0),"",$L$37-1),IF($R$17="Distrato",$E589,0)),MIN(AJ$38,$D$19),$P$20))-SUM($P589:AI589)</f>
        <v>#VALUE!</v>
      </c>
      <c r="AK589" s="446" t="e">
        <f>IF(OR($B589="",MIN(AK$38,$D$19)&lt;MAX($P$34*($B589+IF($R$17="Distrato",$I$38-1,0)),IF(AND($L$37=0,$P$34=0),"",$L$37-1),IF($R$17="Distrato",$E589,0))),0,YEARFRAC(MAX($P$34*($B589+IF($R$17="Distrato",$I$38-1,0)),IF(AND($L$37=0,$P$34=0),"",$L$37-1),IF($R$17="Distrato",$E589,0)),MIN(AK$38,$D$19),$P$20))-SUM($P589:AJ589)</f>
        <v>#VALUE!</v>
      </c>
      <c r="AL589" s="446" t="e">
        <f>IF(OR($B589="",MIN(AL$38,$D$19)&lt;MAX($P$34*($B589+IF($R$17="Distrato",$I$38-1,0)),IF(AND($L$37=0,$P$34=0),"",$L$37-1),IF($R$17="Distrato",$E589,0))),0,YEARFRAC(MAX($P$34*($B589+IF($R$17="Distrato",$I$38-1,0)),IF(AND($L$37=0,$P$34=0),"",$L$37-1),IF($R$17="Distrato",$E589,0)),MIN(AL$38,$D$19),$P$20))-SUM($P589:AK589)</f>
        <v>#VALUE!</v>
      </c>
      <c r="AM589" s="446" t="e">
        <f>IF(OR($B589="",MIN(AM$38,$D$19)&lt;MAX($P$34*($B589+IF($R$17="Distrato",$I$38-1,0)),IF(AND($L$37=0,$P$34=0),"",$L$37-1),IF($R$17="Distrato",$E589,0))),0,YEARFRAC(MAX($P$34*($B589+IF($R$17="Distrato",$I$38-1,0)),IF(AND($L$37=0,$P$34=0),"",$L$37-1),IF($R$17="Distrato",$E589,0)),MIN(AM$38,$D$19),$P$20))-SUM($P589:AL589)</f>
        <v>#VALUE!</v>
      </c>
      <c r="AN589" s="446" t="e">
        <f>IF(OR($B589="",MIN(AN$38,$D$19)&lt;MAX($P$34*($B589+IF($R$17="Distrato",$I$38-1,0)),IF(AND($L$37=0,$P$34=0),"",$L$37-1),IF($R$17="Distrato",$E589,0))),0,YEARFRAC(MAX($P$34*($B589+IF($R$17="Distrato",$I$38-1,0)),IF(AND($L$37=0,$P$34=0),"",$L$37-1),IF($R$17="Distrato",$E589,0)),MIN(AN$38,$D$19),$P$20))-SUM($P589:AM589)</f>
        <v>#VALUE!</v>
      </c>
      <c r="AO589" s="446" t="e">
        <f>IF(OR($B589="",MIN(AO$38,$D$19)&lt;MAX($P$34*($B589+IF($R$17="Distrato",$I$38-1,0)),IF(AND($L$37=0,$P$34=0),"",$L$37-1),IF($R$17="Distrato",$E589,0))),0,YEARFRAC(MAX($P$34*($B589+IF($R$17="Distrato",$I$38-1,0)),IF(AND($L$37=0,$P$34=0),"",$L$37-1),IF($R$17="Distrato",$E589,0)),MIN(AO$38,$D$19),$P$20))-SUM($P589:AN589)</f>
        <v>#VALUE!</v>
      </c>
      <c r="AP589" s="446" t="e">
        <f>IF(OR($B589="",MIN(AP$38,$D$19)&lt;MAX($P$34*($B589+IF($R$17="Distrato",$I$38-1,0)),IF(AND($L$37=0,$P$34=0),"",$L$37-1),IF($R$17="Distrato",$E589,0))),0,YEARFRAC(MAX($P$34*($B589+IF($R$17="Distrato",$I$38-1,0)),IF(AND($L$37=0,$P$34=0),"",$L$37-1),IF($R$17="Distrato",$E589,0)),MIN(AP$38,$D$19),$P$20))-SUM($P589:AO589)</f>
        <v>#VALUE!</v>
      </c>
      <c r="AQ589" s="446" t="e">
        <f>IF(OR($B589="",MIN(AQ$38,$D$19)&lt;MAX($P$34*($B589+IF($R$17="Distrato",$I$38-1,0)),IF(AND($L$37=0,$P$34=0),"",$L$37-1),IF($R$17="Distrato",$E589,0))),0,YEARFRAC(MAX($P$34*($B589+IF($R$17="Distrato",$I$38-1,0)),IF(AND($L$37=0,$P$34=0),"",$L$37-1),IF($R$17="Distrato",$E589,0)),MIN(AQ$38,$D$19),$P$20))-SUM($P589:AP589)</f>
        <v>#VALUE!</v>
      </c>
      <c r="AR589" s="446" t="e">
        <f>IF(OR($B589="",MIN(AR$38,$D$19)&lt;MAX($P$34*($B589+IF($R$17="Distrato",$I$38-1,0)),IF(AND($L$37=0,$P$34=0),"",$L$37-1),IF($R$17="Distrato",$E589,0))),0,YEARFRAC(MAX($P$34*($B589+IF($R$17="Distrato",$I$38-1,0)),IF(AND($L$37=0,$P$34=0),"",$L$37-1),IF($R$17="Distrato",$E589,0)),MIN(AR$38,$D$19),$P$20))-SUM($P589:AQ589)</f>
        <v>#VALUE!</v>
      </c>
      <c r="AS589" s="446" t="e">
        <f>IF(OR($B589="",MIN(AS$38,$D$19)&lt;MAX($P$34*($B589+IF($R$17="Distrato",$I$38-1,0)),IF(AND($L$37=0,$P$34=0),"",$L$37-1),IF($R$17="Distrato",$E589,0))),0,YEARFRAC(MAX($P$34*($B589+IF($R$17="Distrato",$I$38-1,0)),IF(AND($L$37=0,$P$34=0),"",$L$37-1),IF($R$17="Distrato",$E589,0)),MIN(AS$38,$D$19),$P$20))-SUM($P589:AR589)</f>
        <v>#VALUE!</v>
      </c>
      <c r="AT589" s="446" t="e">
        <f>IF(OR($B589="",MIN(AT$38,$D$19)&lt;MAX($P$34*($B589+IF($R$17="Distrato",$I$38-1,0)),IF(AND($L$37=0,$P$34=0),"",$L$37-1),IF($R$17="Distrato",$E589,0))),0,YEARFRAC(MAX($P$34*($B589+IF($R$17="Distrato",$I$38-1,0)),IF(AND($L$37=0,$P$34=0),"",$L$37-1),IF($R$17="Distrato",$E589,0)),MIN(AT$38,$D$19),$P$20))-SUM($P589:AS589)</f>
        <v>#VALUE!</v>
      </c>
      <c r="AU589" s="446" t="e">
        <f>IF(OR($B589="",MIN(AU$38,$D$19)&lt;MAX($P$34*($B589+IF($R$17="Distrato",$I$38-1,0)),IF(AND($L$37=0,$P$34=0),"",$L$37-1),IF($R$17="Distrato",$E589,0))),0,YEARFRAC(MAX($P$34*($B589+IF($R$17="Distrato",$I$38-1,0)),IF(AND($L$37=0,$P$34=0),"",$L$37-1),IF($R$17="Distrato",$E589,0)),MIN(AU$38,$D$19),$P$20))-SUM($P589:AT589)</f>
        <v>#VALUE!</v>
      </c>
      <c r="AV589" s="446" t="e">
        <f>IF(OR($B589="",MIN(AV$38,$D$19)&lt;MAX($P$34*($B589+IF($R$17="Distrato",$I$38-1,0)),IF(AND($L$37=0,$P$34=0),"",$L$37-1),IF($R$17="Distrato",$E589,0))),0,YEARFRAC(MAX($P$34*($B589+IF($R$17="Distrato",$I$38-1,0)),IF(AND($L$37=0,$P$34=0),"",$L$37-1),IF($R$17="Distrato",$E589,0)),MIN(AV$38,$D$19),$P$20))-SUM($P589:AU589)</f>
        <v>#VALUE!</v>
      </c>
      <c r="AW589" s="446" t="e">
        <f>IF(OR($B589="",MIN(AW$38,$D$19)&lt;MAX($P$34*($B589+IF($R$17="Distrato",$I$38-1,0)),IF(AND($L$37=0,$P$34=0),"",$L$37-1),IF($R$17="Distrato",$E589,0))),0,YEARFRAC(MAX($P$34*($B589+IF($R$17="Distrato",$I$38-1,0)),IF(AND($L$37=0,$P$34=0),"",$L$37-1),IF($R$17="Distrato",$E589,0)),MIN(AW$38,$D$19),$P$20))-SUM($P589:AV589)</f>
        <v>#VALUE!</v>
      </c>
      <c r="AX589" s="446" t="e">
        <f>IF(OR($B589="",MIN(AX$38,$D$19)&lt;MAX($P$34*($B589+IF($R$17="Distrato",$I$38-1,0)),IF(AND($L$37=0,$P$34=0),"",$L$37-1),IF($R$17="Distrato",$E589,0))),0,YEARFRAC(MAX($P$34*($B589+IF($R$17="Distrato",$I$38-1,0)),IF(AND($L$37=0,$P$34=0),"",$L$37-1),IF($R$17="Distrato",$E589,0)),MIN(AX$38,$D$19),$P$20))-SUM($P589:AW589)</f>
        <v>#VALUE!</v>
      </c>
      <c r="AY589" s="446" t="e">
        <f>IF(OR($B589="",MIN(AY$38,$D$19)&lt;MAX($P$34*($B589+IF($R$17="Distrato",$I$38-1,0)),IF(AND($L$37=0,$P$34=0),"",$L$37-1),IF($R$17="Distrato",$E589,0))),0,YEARFRAC(MAX($P$34*($B589+IF($R$17="Distrato",$I$38-1,0)),IF(AND($L$37=0,$P$34=0),"",$L$37-1),IF($R$17="Distrato",$E589,0)),MIN(AY$38,$D$19),$P$20))-SUM($P589:AX589)</f>
        <v>#VALUE!</v>
      </c>
      <c r="AZ589" s="446" t="e">
        <f>IF(OR($B589="",MIN(AZ$38,$D$19)&lt;MAX($P$34*($B589+IF($R$17="Distrato",$I$38-1,0)),IF(AND($L$37=0,$P$34=0),"",$L$37-1),IF($R$17="Distrato",$E589,0))),0,YEARFRAC(MAX($P$34*($B589+IF($R$17="Distrato",$I$38-1,0)),IF(AND($L$37=0,$P$34=0),"",$L$37-1),IF($R$17="Distrato",$E589,0)),MIN(AZ$38,$D$19),$P$20))-SUM($P589:AY589)</f>
        <v>#VALUE!</v>
      </c>
      <c r="BA589" s="446" t="e">
        <f>IF(OR($B589="",MIN(BA$38,$D$19)&lt;MAX($P$34*($B589+IF($R$17="Distrato",$I$38-1,0)),IF(AND($L$37=0,$P$34=0),"",$L$37-1),IF($R$17="Distrato",$E589,0))),0,YEARFRAC(MAX($P$34*($B589+IF($R$17="Distrato",$I$38-1,0)),IF(AND($L$37=0,$P$34=0),"",$L$37-1),IF($R$17="Distrato",$E589,0)),MIN(BA$38,$D$19),$P$20))-SUM($P589:AZ589)</f>
        <v>#VALUE!</v>
      </c>
      <c r="BB589" s="447"/>
      <c r="BF589" s="446">
        <f t="shared" si="98"/>
        <v>0</v>
      </c>
      <c r="BG589" s="446">
        <f>IF($E589=0,0,IF(MIN(BG$38,$E589)&lt;MAX($P$34*($B589+$I$38-1),IF(AND($L$37=0,$P$34=0),"",$L$37-1)),0,YEARFRAC(MAX($P$34*($B589+$I$38-1),IF(AND($L$37=0,$P$34=0),"",$L$37-1)),MIN(BG$38,$E589),$P$20))-SUM($BF589:BF589))</f>
        <v>0</v>
      </c>
      <c r="BH589" s="446">
        <f>IF($E589=0,0,IF(MIN(BH$38,$E589)&lt;MAX($P$34*($B589+$I$38-1),IF(AND($L$37=0,$P$34=0),"",$L$37-1)),0,YEARFRAC(MAX($P$34*($B589+$I$38-1),IF(AND($L$37=0,$P$34=0),"",$L$37-1)),MIN(BH$38,$E589),$P$20))-SUM($BF589:BG589))</f>
        <v>0</v>
      </c>
      <c r="BI589" s="446">
        <f>IF($E589=0,0,IF(MIN(BI$38,$E589)&lt;MAX($P$34*($B589+$I$38-1),IF(AND($L$37=0,$P$34=0),"",$L$37-1)),0,YEARFRAC(MAX($P$34*($B589+$I$38-1),IF(AND($L$37=0,$P$34=0),"",$L$37-1)),MIN(BI$38,$E589),$P$20))-SUM($BF589:BH589))</f>
        <v>0</v>
      </c>
      <c r="BJ589" s="446">
        <f>IF($E589=0,0,IF(MIN(BJ$38,$E589)&lt;MAX($P$34*($B589+$I$38-1),IF(AND($L$37=0,$P$34=0),"",$L$37-1)),0,YEARFRAC(MAX($P$34*($B589+$I$38-1),IF(AND($L$37=0,$P$34=0),"",$L$37-1)),MIN(BJ$38,$E589),$P$20))-SUM($BF589:BI589))</f>
        <v>0</v>
      </c>
      <c r="BK589" s="446">
        <f>IF($E589=0,0,IF(MIN(BK$38,$E589)&lt;MAX($P$34*($B589+$I$38-1),IF(AND($L$37=0,$P$34=0),"",$L$37-1)),0,YEARFRAC(MAX($P$34*($B589+$I$38-1),IF(AND($L$37=0,$P$34=0),"",$L$37-1)),MIN(BK$38,$E589),$P$20))-SUM($BF589:BJ589))</f>
        <v>0</v>
      </c>
      <c r="BL589" s="446">
        <f>IF($E589=0,0,IF(MIN(BL$38,$E589)&lt;MAX($P$34*($B589+$I$38-1),IF(AND($L$37=0,$P$34=0),"",$L$37-1)),0,YEARFRAC(MAX($P$34*($B589+$I$38-1),IF(AND($L$37=0,$P$34=0),"",$L$37-1)),MIN(BL$38,$E589),$P$20))-SUM($BF589:BK589))</f>
        <v>0</v>
      </c>
      <c r="BM589" s="446">
        <f>IF($E589=0,0,IF(MIN(BM$38,$E589)&lt;MAX($P$34*($B589+$I$38-1),IF(AND($L$37=0,$P$34=0),"",$L$37-1)),0,YEARFRAC(MAX($P$34*($B589+$I$38-1),IF(AND($L$37=0,$P$34=0),"",$L$37-1)),MIN(BM$38,$E589),$P$20))-SUM($BF589:BL589))</f>
        <v>0</v>
      </c>
      <c r="BN589" s="446">
        <f>IF($E589=0,0,IF(MIN(BN$38,$E589)&lt;MAX($P$34*($B589+$I$38-1),IF(AND($L$37=0,$P$34=0),"",$L$37-1)),0,YEARFRAC(MAX($P$34*($B589+$I$38-1),IF(AND($L$37=0,$P$34=0),"",$L$37-1)),MIN(BN$38,$E589),$P$20))-SUM($BF589:BM589))</f>
        <v>0</v>
      </c>
      <c r="BO589" s="446">
        <f>IF($E589=0,0,IF(MIN(BO$38,$E589)&lt;MAX($P$34*($B589+$I$38-1),IF(AND($L$37=0,$P$34=0),"",$L$37-1)),0,YEARFRAC(MAX($P$34*($B589+$I$38-1),IF(AND($L$37=0,$P$34=0),"",$L$37-1)),MIN(BO$38,$E589),$P$20))-SUM($BF589:BN589))</f>
        <v>0</v>
      </c>
      <c r="BP589" s="446">
        <f>IF($E589=0,0,IF(MIN(BP$38,$E589)&lt;MAX($P$34*($B589+$I$38-1),IF(AND($L$37=0,$P$34=0),"",$L$37-1)),0,YEARFRAC(MAX($P$34*($B589+$I$38-1),IF(AND($L$37=0,$P$34=0),"",$L$37-1)),MIN(BP$38,$E589),$P$20))-SUM($BF589:BO589))</f>
        <v>0</v>
      </c>
      <c r="BQ589" s="446">
        <f>IF($E589=0,0,IF(MIN(BQ$38,$E589)&lt;MAX($P$34*($B589+$I$38-1),IF(AND($L$37=0,$P$34=0),"",$L$37-1)),0,YEARFRAC(MAX($P$34*($B589+$I$38-1),IF(AND($L$37=0,$P$34=0),"",$L$37-1)),MIN(BQ$38,$E589),$P$20))-SUM($BF589:BP589))</f>
        <v>0</v>
      </c>
      <c r="BR589" s="446">
        <f>IF($E589=0,0,IF(MIN(BR$38,$E589)&lt;MAX($P$34*($B589+$I$38-1),IF(AND($L$37=0,$P$34=0),"",$L$37-1)),0,YEARFRAC(MAX($P$34*($B589+$I$38-1),IF(AND($L$37=0,$P$34=0),"",$L$37-1)),MIN(BR$38,$E589),$P$20))-SUM($BF589:BQ589))</f>
        <v>0</v>
      </c>
      <c r="BS589" s="446">
        <f>IF($E589=0,0,IF(MIN(BS$38,$E589)&lt;MAX($P$34*($B589+$I$38-1),IF(AND($L$37=0,$P$34=0),"",$L$37-1)),0,YEARFRAC(MAX($P$34*($B589+$I$38-1),IF(AND($L$37=0,$P$34=0),"",$L$37-1)),MIN(BS$38,$E589),$P$20))-SUM($BF589:BR589))</f>
        <v>0</v>
      </c>
      <c r="BT589" s="446">
        <f>IF($E589=0,0,IF(MIN(BT$38,$E589)&lt;MAX($P$34*($B589+$I$38-1),IF(AND($L$37=0,$P$34=0),"",$L$37-1)),0,YEARFRAC(MAX($P$34*($B589+$I$38-1),IF(AND($L$37=0,$P$34=0),"",$L$37-1)),MIN(BT$38,$E589),$P$20))-SUM($BF589:BS589))</f>
        <v>0</v>
      </c>
      <c r="BU589" s="446">
        <f>IF($E589=0,0,IF(MIN(BU$38,$E589)&lt;MAX($P$34*($B589+$I$38-1),IF(AND($L$37=0,$P$34=0),"",$L$37-1)),0,YEARFRAC(MAX($P$34*($B589+$I$38-1),IF(AND($L$37=0,$P$34=0),"",$L$37-1)),MIN(BU$38,$E589),$P$20))-SUM($BF589:BT589))</f>
        <v>0</v>
      </c>
      <c r="BV589" s="446">
        <f>IF($E589=0,0,IF(MIN(BV$38,$E589)&lt;MAX($P$34*($B589+$I$38-1),IF(AND($L$37=0,$P$34=0),"",$L$37-1)),0,YEARFRAC(MAX($P$34*($B589+$I$38-1),IF(AND($L$37=0,$P$34=0),"",$L$37-1)),MIN(BV$38,$E589),$P$20))-SUM($BF589:BU589))</f>
        <v>0</v>
      </c>
      <c r="BW589" s="446">
        <f>IF($E589=0,0,IF(MIN(BW$38,$E589)&lt;MAX($P$34*($B589+$I$38-1),IF(AND($L$37=0,$P$34=0),"",$L$37-1)),0,YEARFRAC(MAX($P$34*($B589+$I$38-1),IF(AND($L$37=0,$P$34=0),"",$L$37-1)),MIN(BW$38,$E589),$P$20))-SUM($BF589:BV589))</f>
        <v>0</v>
      </c>
      <c r="BX589" s="446">
        <f>IF($E589=0,0,IF(MIN(BX$38,$E589)&lt;MAX($P$34*($B589+$I$38-1),IF(AND($L$37=0,$P$34=0),"",$L$37-1)),0,YEARFRAC(MAX($P$34*($B589+$I$38-1),IF(AND($L$37=0,$P$34=0),"",$L$37-1)),MIN(BX$38,$E589),$P$20))-SUM($BF589:BW589))</f>
        <v>0</v>
      </c>
      <c r="BY589" s="446">
        <f>IF($E589=0,0,IF(MIN(BY$38,$E589)&lt;MAX($P$34*($B589+$I$38-1),IF(AND($L$37=0,$P$34=0),"",$L$37-1)),0,YEARFRAC(MAX($P$34*($B589+$I$38-1),IF(AND($L$37=0,$P$34=0),"",$L$37-1)),MIN(BY$38,$E589),$P$20))-SUM($BF589:BX589))</f>
        <v>0</v>
      </c>
      <c r="BZ589" s="446">
        <f>IF($E589=0,0,IF(MIN(BZ$38,$E589)&lt;MAX($P$34*($B589+$I$38-1),IF(AND($L$37=0,$P$34=0),"",$L$37-1)),0,YEARFRAC(MAX($P$34*($B589+$I$38-1),IF(AND($L$37=0,$P$34=0),"",$L$37-1)),MIN(BZ$38,$E589),$P$20))-SUM($BF589:BY589))</f>
        <v>0</v>
      </c>
      <c r="CA589" s="446">
        <f>IF($E589=0,0,IF(MIN(CA$38,$E589)&lt;MAX($P$34*($B589+$I$38-1),IF(AND($L$37=0,$P$34=0),"",$L$37-1)),0,YEARFRAC(MAX($P$34*($B589+$I$38-1),IF(AND($L$37=0,$P$34=0),"",$L$37-1)),MIN(CA$38,$E589),$P$20))-SUM($BF589:BZ589))</f>
        <v>0</v>
      </c>
      <c r="CB589" s="446">
        <f>IF($E589=0,0,IF(MIN(CB$38,$E589)&lt;MAX($P$34*($B589+$I$38-1),IF(AND($L$37=0,$P$34=0),"",$L$37-1)),0,YEARFRAC(MAX($P$34*($B589+$I$38-1),IF(AND($L$37=0,$P$34=0),"",$L$37-1)),MIN(CB$38,$E589),$P$20))-SUM($BF589:CA589))</f>
        <v>0</v>
      </c>
      <c r="CC589" s="446">
        <f>IF($E589=0,0,IF(MIN(CC$38,$E589)&lt;MAX($P$34*($B589+$I$38-1),IF(AND($L$37=0,$P$34=0),"",$L$37-1)),0,YEARFRAC(MAX($P$34*($B589+$I$38-1),IF(AND($L$37=0,$P$34=0),"",$L$37-1)),MIN(CC$38,$E589),$P$20))-SUM($BF589:CB589))</f>
        <v>0</v>
      </c>
      <c r="CD589" s="446">
        <f>IF($E589=0,0,IF(MIN(CD$38,$E589)&lt;MAX($P$34*($B589+$I$38-1),IF(AND($L$37=0,$P$34=0),"",$L$37-1)),0,YEARFRAC(MAX($P$34*($B589+$I$38-1),IF(AND($L$37=0,$P$34=0),"",$L$37-1)),MIN(CD$38,$E589),$P$20))-SUM($BF589:CC589))</f>
        <v>0</v>
      </c>
      <c r="CE589" s="446">
        <f>IF($E589=0,0,IF(MIN(CE$38,$E589)&lt;MAX($P$34*($B589+$I$38-1),IF(AND($L$37=0,$P$34=0),"",$L$37-1)),0,YEARFRAC(MAX($P$34*($B589+$I$38-1),IF(AND($L$37=0,$P$34=0),"",$L$37-1)),MIN(CE$38,$E589),$P$20))-SUM($BF589:CD589))</f>
        <v>0</v>
      </c>
      <c r="CF589" s="446">
        <f>IF($E589=0,0,IF(MIN(CF$38,$E589)&lt;MAX($P$34*($B589+$I$38-1),IF(AND($L$37=0,$P$34=0),"",$L$37-1)),0,YEARFRAC(MAX($P$34*($B589+$I$38-1),IF(AND($L$37=0,$P$34=0),"",$L$37-1)),MIN(CF$38,$E589),$P$20))-SUM($BF589:CE589))</f>
        <v>0</v>
      </c>
      <c r="CG589" s="446">
        <f>IF($E589=0,0,IF(MIN(CG$38,$E589)&lt;MAX($P$34*($B589+$I$38-1),IF(AND($L$37=0,$P$34=0),"",$L$37-1)),0,YEARFRAC(MAX($P$34*($B589+$I$38-1),IF(AND($L$37=0,$P$34=0),"",$L$37-1)),MIN(CG$38,$E589),$P$20))-SUM($BF589:CF589))</f>
        <v>0</v>
      </c>
      <c r="CH589" s="446">
        <f>IF($E589=0,0,IF(MIN(CH$38,$E589)&lt;MAX($P$34*($B589+$I$38-1),IF(AND($L$37=0,$P$34=0),"",$L$37-1)),0,YEARFRAC(MAX($P$34*($B589+$I$38-1),IF(AND($L$37=0,$P$34=0),"",$L$37-1)),MIN(CH$38,$E589),$P$20))-SUM($BF589:CG589))</f>
        <v>0</v>
      </c>
      <c r="CI589" s="446">
        <f>IF($E589=0,0,IF(MIN(CI$38,$E589)&lt;MAX($P$34*($B589+$I$38-1),IF(AND($L$37=0,$P$34=0),"",$L$37-1)),0,YEARFRAC(MAX($P$34*($B589+$I$38-1),IF(AND($L$37=0,$P$34=0),"",$L$37-1)),MIN(CI$38,$E589),$P$20))-SUM($BF589:CH589))</f>
        <v>0</v>
      </c>
      <c r="CJ589" s="446">
        <f>IF($E589=0,0,IF(MIN(CJ$38,$E589)&lt;MAX($P$34*($B589+$I$38-1),IF(AND($L$37=0,$P$34=0),"",$L$37-1)),0,YEARFRAC(MAX($P$34*($B589+$I$38-1),IF(AND($L$37=0,$P$34=0),"",$L$37-1)),MIN(CJ$38,$E589),$P$20))-SUM($BF589:CI589))</f>
        <v>0</v>
      </c>
      <c r="CK589" s="446">
        <f>IF($E589=0,0,IF(MIN(CK$38,$E589)&lt;MAX($P$34*($B589+$I$38-1),IF(AND($L$37=0,$P$34=0),"",$L$37-1)),0,YEARFRAC(MAX($P$34*($B589+$I$38-1),IF(AND($L$37=0,$P$34=0),"",$L$37-1)),MIN(CK$38,$E589),$P$20))-SUM($BF589:CJ589))</f>
        <v>0</v>
      </c>
      <c r="CL589" s="446">
        <f>IF($E589=0,0,IF(MIN(CL$38,$E589)&lt;MAX($P$34*($B589+$I$38-1),IF(AND($L$37=0,$P$34=0),"",$L$37-1)),0,YEARFRAC(MAX($P$34*($B589+$I$38-1),IF(AND($L$37=0,$P$34=0),"",$L$37-1)),MIN(CL$38,$E589),$P$20))-SUM($BF589:CK589))</f>
        <v>0</v>
      </c>
      <c r="CM589" s="446">
        <f>IF($E589=0,0,IF(MIN(CM$38,$E589)&lt;MAX($P$34*($B589+$I$38-1),IF(AND($L$37=0,$P$34=0),"",$L$37-1)),0,YEARFRAC(MAX($P$34*($B589+$I$38-1),IF(AND($L$37=0,$P$34=0),"",$L$37-1)),MIN(CM$38,$E589),$P$20))-SUM($BF589:CL589))</f>
        <v>0</v>
      </c>
      <c r="CN589" s="446">
        <f>IF($E589=0,0,IF(MIN(CN$38,$E589)&lt;MAX($P$34*($B589+$I$38-1),IF(AND($L$37=0,$P$34=0),"",$L$37-1)),0,YEARFRAC(MAX($P$34*($B589+$I$38-1),IF(AND($L$37=0,$P$34=0),"",$L$37-1)),MIN(CN$38,$E589),$P$20))-SUM($BF589:CM589))</f>
        <v>0</v>
      </c>
      <c r="CO589" s="446">
        <f>IF($E589=0,0,IF(MIN(CO$38,$E589)&lt;MAX($P$34*($B589+$I$38-1),IF(AND($L$37=0,$P$34=0),"",$L$37-1)),0,YEARFRAC(MAX($P$34*($B589+$I$38-1),IF(AND($L$37=0,$P$34=0),"",$L$37-1)),MIN(CO$38,$E589),$P$20))-SUM($BF589:CN589))</f>
        <v>0</v>
      </c>
      <c r="CP589" s="446">
        <f>IF($E589=0,0,IF(MIN(CP$38,$E589)&lt;MAX($P$34*($B589+$I$38-1),IF(AND($L$37=0,$P$34=0),"",$L$37-1)),0,YEARFRAC(MAX($P$34*($B589+$I$38-1),IF(AND($L$37=0,$P$34=0),"",$L$37-1)),MIN(CP$38,$E589),$P$20))-SUM($BF589:CO589))</f>
        <v>0</v>
      </c>
      <c r="CQ589" s="446">
        <f>IF($E589=0,0,IF(MIN(CQ$38,$E589)&lt;MAX($P$34*($B589+$I$38-1),IF(AND($L$37=0,$P$34=0),"",$L$37-1)),0,YEARFRAC(MAX($P$34*($B589+$I$38-1),IF(AND($L$37=0,$P$34=0),"",$L$37-1)),MIN(CQ$38,$E589),$P$20))-SUM($BF589:CP589))</f>
        <v>0</v>
      </c>
    </row>
    <row r="590" spans="1:95" s="446" customFormat="1" ht="11.25" hidden="1" customHeight="1" x14ac:dyDescent="0.2">
      <c r="A590" s="152"/>
      <c r="B590" s="153" t="str">
        <f t="shared" si="103"/>
        <v/>
      </c>
      <c r="C590" s="29" t="str">
        <f>IF(B590="","",IF($L$35="SELIC - TRIBUTOS",VLOOKUP(DATE(YEAR($D$19),MONTH($D$19)-1,1),ÍNDICES!$A:$DE,HLOOKUP($BL$25,ÍNDICES!$B$3:$T$4,2)+11)-VLOOKUP(B590,ÍNDICES!$A:$DE,HLOOKUP($BL$25,ÍNDICES!$B$3:$T$4,2)+11)+1%,IF(C$38=$W$26,$J$35,IF(ISERROR(IF(B590&gt;$D$19,1,VLOOKUP(DATE(YEAR(B590),MONTH(B590)+IF($C$35=$S$23,1,0),1),ÍNDICES!$A:$DE,$Z$35+1))),"",IF(B590&gt;$D$19,1,VLOOKUP(DATE(YEAR(B590),MONTH(B590)+IF($C$35=$S$23,1,0),1),ÍNDICES!$A:$DE,$Z$35+1))))))</f>
        <v/>
      </c>
      <c r="D590" s="154" t="str">
        <f>IF(ISERROR(IF(OR($D$38=$Y$27,$B590=""),"",VLOOKUP(B590,ÍNDICES!A:DE,AF$35+1))),"",IF(OR($D$38=$Y$27,$B590=""),"",VLOOKUP(B590,ÍNDICES!A:DE,AF$35+1)))</f>
        <v/>
      </c>
      <c r="E590" s="153"/>
      <c r="F590" s="29" t="str">
        <f>IF(E590="","",IF($L$35="SELIC - TRIBUTOS",VLOOKUP(DATE(YEAR($D$19),MONTH($D$19)-1,1),ÍNDICES!$A:$DE,HLOOKUP($BL$25,ÍNDICES!$B$3:$T$4,2)+11)-VLOOKUP(E590,ÍNDICES!$A:$DE,HLOOKUP($BL$25,ÍNDICES!$B$3:$T$4,2)+11)+1%,IF(F$38=$W$26,$J$35,IF(ISERROR(IF(E590&gt;$D$19,1,VLOOKUP(DATE(YEAR(E590),MONTH(E590)+IF($C$35=$S$23,1,0),1),ÍNDICES!$A:$DE,$Z$35+1))),"",IF(E590&gt;$D$19,1,VLOOKUP(DATE(YEAR(E590),MONTH(E590)+IF($C$35=$S$23,1,0),1),ÍNDICES!$A:$DE,$Z$35+1))))))</f>
        <v/>
      </c>
      <c r="G590" s="155"/>
      <c r="H590" s="156" t="str">
        <f t="shared" si="99"/>
        <v/>
      </c>
      <c r="I590" s="29" t="str">
        <f t="shared" si="93"/>
        <v/>
      </c>
      <c r="J590" s="5">
        <f t="shared" si="94"/>
        <v>0</v>
      </c>
      <c r="K590" s="20">
        <f t="shared" ca="1" si="95"/>
        <v>0</v>
      </c>
      <c r="L590" s="5">
        <f t="shared" ca="1" si="96"/>
        <v>0</v>
      </c>
      <c r="M590" s="64">
        <f t="shared" si="100"/>
        <v>0</v>
      </c>
      <c r="N590" s="61">
        <f t="shared" ca="1" si="101"/>
        <v>0</v>
      </c>
      <c r="O590" s="5">
        <f t="shared" ca="1" si="102"/>
        <v>0</v>
      </c>
      <c r="P590" s="446" t="e">
        <f t="shared" si="97"/>
        <v>#VALUE!</v>
      </c>
      <c r="Q590" s="446" t="e">
        <f>IF(OR($B590="",MIN(Q$38,$D$19)&lt;MAX($P$34*($B590+IF($R$17="Distrato",$I$38-1,0)),IF(AND($L$37=0,$P$34=0),"",$L$37-1),IF($R$17="Distrato",$E590,0))),0,YEARFRAC(MAX($P$34*($B590+IF($R$17="Distrato",$I$38-1,0)),IF(AND($L$37=0,$P$34=0),"",$L$37-1),IF($R$17="Distrato",$E590,0)),MIN(Q$38,$D$19),$P$20))-SUM($P590:P590)</f>
        <v>#VALUE!</v>
      </c>
      <c r="R590" s="446" t="e">
        <f>IF(OR($B590="",MIN(R$38,$D$19)&lt;MAX($P$34*($B590+IF($R$17="Distrato",$I$38-1,0)),IF(AND($L$37=0,$P$34=0),"",$L$37-1),IF($R$17="Distrato",$E590,0))),0,YEARFRAC(MAX($P$34*($B590+IF($R$17="Distrato",$I$38-1,0)),IF(AND($L$37=0,$P$34=0),"",$L$37-1),IF($R$17="Distrato",$E590,0)),MIN(R$38,$D$19),$P$20))-SUM($P590:Q590)</f>
        <v>#VALUE!</v>
      </c>
      <c r="S590" s="446" t="e">
        <f>IF(OR($B590="",MIN(S$38,$D$19)&lt;MAX($P$34*($B590+IF($R$17="Distrato",$I$38-1,0)),IF(AND($L$37=0,$P$34=0),"",$L$37-1),IF($R$17="Distrato",$E590,0))),0,YEARFRAC(MAX($P$34*($B590+IF($R$17="Distrato",$I$38-1,0)),IF(AND($L$37=0,$P$34=0),"",$L$37-1),IF($R$17="Distrato",$E590,0)),MIN(S$38,$D$19),$P$20))-SUM($P590:R590)</f>
        <v>#VALUE!</v>
      </c>
      <c r="T590" s="446" t="e">
        <f>IF(OR($B590="",MIN(T$38,$D$19)&lt;MAX($P$34*($B590+IF($R$17="Distrato",$I$38-1,0)),IF(AND($L$37=0,$P$34=0),"",$L$37-1),IF($R$17="Distrato",$E590,0))),0,YEARFRAC(MAX($P$34*($B590+IF($R$17="Distrato",$I$38-1,0)),IF(AND($L$37=0,$P$34=0),"",$L$37-1),IF($R$17="Distrato",$E590,0)),MIN(T$38,$D$19),$P$20))-SUM($P590:S590)</f>
        <v>#VALUE!</v>
      </c>
      <c r="U590" s="446" t="e">
        <f>IF(OR($B590="",MIN(U$38,$D$19)&lt;MAX($P$34*($B590+IF($R$17="Distrato",$I$38-1,0)),IF(AND($L$37=0,$P$34=0),"",$L$37-1),IF($R$17="Distrato",$E590,0))),0,YEARFRAC(MAX($P$34*($B590+IF($R$17="Distrato",$I$38-1,0)),IF(AND($L$37=0,$P$34=0),"",$L$37-1),IF($R$17="Distrato",$E590,0)),MIN(U$38,$D$19),$P$20))-SUM($P590:T590)</f>
        <v>#VALUE!</v>
      </c>
      <c r="V590" s="446" t="e">
        <f>IF(OR($B590="",MIN(V$38,$D$19)&lt;MAX($P$34*($B590+IF($R$17="Distrato",$I$38-1,0)),IF(AND($L$37=0,$P$34=0),"",$L$37-1),IF($R$17="Distrato",$E590,0))),0,YEARFRAC(MAX($P$34*($B590+IF($R$17="Distrato",$I$38-1,0)),IF(AND($L$37=0,$P$34=0),"",$L$37-1),IF($R$17="Distrato",$E590,0)),MIN(V$38,$D$19),$P$20))-SUM($P590:U590)</f>
        <v>#VALUE!</v>
      </c>
      <c r="W590" s="446" t="e">
        <f>IF(OR($B590="",MIN(W$38,$D$19)&lt;MAX($P$34*($B590+IF($R$17="Distrato",$I$38-1,0)),IF(AND($L$37=0,$P$34=0),"",$L$37-1),IF($R$17="Distrato",$E590,0))),0,YEARFRAC(MAX($P$34*($B590+IF($R$17="Distrato",$I$38-1,0)),IF(AND($L$37=0,$P$34=0),"",$L$37-1),IF($R$17="Distrato",$E590,0)),MIN(W$38,$D$19),$P$20))-SUM($P590:V590)</f>
        <v>#VALUE!</v>
      </c>
      <c r="X590" s="446" t="e">
        <f>IF(OR($B590="",MIN(X$38,$D$19)&lt;MAX($P$34*($B590+IF($R$17="Distrato",$I$38-1,0)),IF(AND($L$37=0,$P$34=0),"",$L$37-1),IF($R$17="Distrato",$E590,0))),0,YEARFRAC(MAX($P$34*($B590+IF($R$17="Distrato",$I$38-1,0)),IF(AND($L$37=0,$P$34=0),"",$L$37-1),IF($R$17="Distrato",$E590,0)),MIN(X$38,$D$19),$P$20))-SUM($P590:W590)</f>
        <v>#VALUE!</v>
      </c>
      <c r="Y590" s="446" t="e">
        <f>IF(OR($B590="",MIN(Y$38,$D$19)&lt;MAX($P$34*($B590+IF($R$17="Distrato",$I$38-1,0)),IF(AND($L$37=0,$P$34=0),"",$L$37-1),IF($R$17="Distrato",$E590,0))),0,YEARFRAC(MAX($P$34*($B590+IF($R$17="Distrato",$I$38-1,0)),IF(AND($L$37=0,$P$34=0),"",$L$37-1),IF($R$17="Distrato",$E590,0)),MIN(Y$38,$D$19),$P$20))-SUM($P590:X590)</f>
        <v>#VALUE!</v>
      </c>
      <c r="Z590" s="446" t="e">
        <f>IF(OR($B590="",MIN(Z$38,$D$19)&lt;MAX($P$34*($B590+IF($R$17="Distrato",$I$38-1,0)),IF(AND($L$37=0,$P$34=0),"",$L$37-1),IF($R$17="Distrato",$E590,0))),0,YEARFRAC(MAX($P$34*($B590+IF($R$17="Distrato",$I$38-1,0)),IF(AND($L$37=0,$P$34=0),"",$L$37-1),IF($R$17="Distrato",$E590,0)),MIN(Z$38,$D$19),$P$20))-SUM($P590:Y590)</f>
        <v>#VALUE!</v>
      </c>
      <c r="AA590" s="446" t="e">
        <f>IF(OR($B590="",MIN(AA$38,$D$19)&lt;MAX($P$34*($B590+IF($R$17="Distrato",$I$38-1,0)),IF(AND($L$37=0,$P$34=0),"",$L$37-1),IF($R$17="Distrato",$E590,0))),0,YEARFRAC(MAX($P$34*($B590+IF($R$17="Distrato",$I$38-1,0)),IF(AND($L$37=0,$P$34=0),"",$L$37-1),IF($R$17="Distrato",$E590,0)),MIN(AA$38,$D$19),$P$20))-SUM($P590:Z590)</f>
        <v>#VALUE!</v>
      </c>
      <c r="AB590" s="446" t="e">
        <f>IF(OR($B590="",MIN(AB$38,$D$19)&lt;MAX($P$34*($B590+IF($R$17="Distrato",$I$38-1,0)),IF(AND($L$37=0,$P$34=0),"",$L$37-1),IF($R$17="Distrato",$E590,0))),0,YEARFRAC(MAX($P$34*($B590+IF($R$17="Distrato",$I$38-1,0)),IF(AND($L$37=0,$P$34=0),"",$L$37-1),IF($R$17="Distrato",$E590,0)),MIN(AB$38,$D$19),$P$20))-SUM($P590:AA590)</f>
        <v>#VALUE!</v>
      </c>
      <c r="AC590" s="446" t="e">
        <f>IF(OR($B590="",MIN(AC$38,$D$19)&lt;MAX($P$34*($B590+IF($R$17="Distrato",$I$38-1,0)),IF(AND($L$37=0,$P$34=0),"",$L$37-1),IF($R$17="Distrato",$E590,0))),0,YEARFRAC(MAX($P$34*($B590+IF($R$17="Distrato",$I$38-1,0)),IF(AND($L$37=0,$P$34=0),"",$L$37-1),IF($R$17="Distrato",$E590,0)),MIN(AC$38,$D$19),$P$20))-SUM($P590:AB590)</f>
        <v>#VALUE!</v>
      </c>
      <c r="AD590" s="446" t="e">
        <f>IF(OR($B590="",MIN(AD$38,$D$19)&lt;MAX($P$34*($B590+IF($R$17="Distrato",$I$38-1,0)),IF(AND($L$37=0,$P$34=0),"",$L$37-1),IF($R$17="Distrato",$E590,0))),0,YEARFRAC(MAX($P$34*($B590+IF($R$17="Distrato",$I$38-1,0)),IF(AND($L$37=0,$P$34=0),"",$L$37-1),IF($R$17="Distrato",$E590,0)),MIN(AD$38,$D$19),$P$20))-SUM($P590:AC590)</f>
        <v>#VALUE!</v>
      </c>
      <c r="AE590" s="446" t="e">
        <f>IF(OR($B590="",MIN(AE$38,$D$19)&lt;MAX($P$34*($B590+IF($R$17="Distrato",$I$38-1,0)),IF(AND($L$37=0,$P$34=0),"",$L$37-1),IF($R$17="Distrato",$E590,0))),0,YEARFRAC(MAX($P$34*($B590+IF($R$17="Distrato",$I$38-1,0)),IF(AND($L$37=0,$P$34=0),"",$L$37-1),IF($R$17="Distrato",$E590,0)),MIN(AE$38,$D$19),$P$20))-SUM($P590:AD590)</f>
        <v>#VALUE!</v>
      </c>
      <c r="AF590" s="446" t="e">
        <f>IF(OR($B590="",MIN(AF$38,$D$19)&lt;MAX($P$34*($B590+IF($R$17="Distrato",$I$38-1,0)),IF(AND($L$37=0,$P$34=0),"",$L$37-1),IF($R$17="Distrato",$E590,0))),0,YEARFRAC(MAX($P$34*($B590+IF($R$17="Distrato",$I$38-1,0)),IF(AND($L$37=0,$P$34=0),"",$L$37-1),IF($R$17="Distrato",$E590,0)),MIN(AF$38,$D$19),$P$20))-SUM($P590:AE590)</f>
        <v>#VALUE!</v>
      </c>
      <c r="AG590" s="446" t="e">
        <f>IF(OR($B590="",MIN(AG$38,$D$19)&lt;MAX($P$34*($B590+IF($R$17="Distrato",$I$38-1,0)),IF(AND($L$37=0,$P$34=0),"",$L$37-1),IF($R$17="Distrato",$E590,0))),0,YEARFRAC(MAX($P$34*($B590+IF($R$17="Distrato",$I$38-1,0)),IF(AND($L$37=0,$P$34=0),"",$L$37-1),IF($R$17="Distrato",$E590,0)),MIN(AG$38,$D$19),$P$20))-SUM($P590:AF590)</f>
        <v>#VALUE!</v>
      </c>
      <c r="AH590" s="446" t="e">
        <f>IF(OR($B590="",MIN(AH$38,$D$19)&lt;MAX($P$34*($B590+IF($R$17="Distrato",$I$38-1,0)),IF(AND($L$37=0,$P$34=0),"",$L$37-1),IF($R$17="Distrato",$E590,0))),0,YEARFRAC(MAX($P$34*($B590+IF($R$17="Distrato",$I$38-1,0)),IF(AND($L$37=0,$P$34=0),"",$L$37-1),IF($R$17="Distrato",$E590,0)),MIN(AH$38,$D$19),$P$20))-SUM($P590:AG590)</f>
        <v>#VALUE!</v>
      </c>
      <c r="AI590" s="446" t="e">
        <f>IF(OR($B590="",MIN(AI$38,$D$19)&lt;MAX($P$34*($B590+IF($R$17="Distrato",$I$38-1,0)),IF(AND($L$37=0,$P$34=0),"",$L$37-1),IF($R$17="Distrato",$E590,0))),0,YEARFRAC(MAX($P$34*($B590+IF($R$17="Distrato",$I$38-1,0)),IF(AND($L$37=0,$P$34=0),"",$L$37-1),IF($R$17="Distrato",$E590,0)),MIN(AI$38,$D$19),$P$20))-SUM($P590:AH590)</f>
        <v>#VALUE!</v>
      </c>
      <c r="AJ590" s="446" t="e">
        <f>IF(OR($B590="",MIN(AJ$38,$D$19)&lt;MAX($P$34*($B590+IF($R$17="Distrato",$I$38-1,0)),IF(AND($L$37=0,$P$34=0),"",$L$37-1),IF($R$17="Distrato",$E590,0))),0,YEARFRAC(MAX($P$34*($B590+IF($R$17="Distrato",$I$38-1,0)),IF(AND($L$37=0,$P$34=0),"",$L$37-1),IF($R$17="Distrato",$E590,0)),MIN(AJ$38,$D$19),$P$20))-SUM($P590:AI590)</f>
        <v>#VALUE!</v>
      </c>
      <c r="AK590" s="446" t="e">
        <f>IF(OR($B590="",MIN(AK$38,$D$19)&lt;MAX($P$34*($B590+IF($R$17="Distrato",$I$38-1,0)),IF(AND($L$37=0,$P$34=0),"",$L$37-1),IF($R$17="Distrato",$E590,0))),0,YEARFRAC(MAX($P$34*($B590+IF($R$17="Distrato",$I$38-1,0)),IF(AND($L$37=0,$P$34=0),"",$L$37-1),IF($R$17="Distrato",$E590,0)),MIN(AK$38,$D$19),$P$20))-SUM($P590:AJ590)</f>
        <v>#VALUE!</v>
      </c>
      <c r="AL590" s="446" t="e">
        <f>IF(OR($B590="",MIN(AL$38,$D$19)&lt;MAX($P$34*($B590+IF($R$17="Distrato",$I$38-1,0)),IF(AND($L$37=0,$P$34=0),"",$L$37-1),IF($R$17="Distrato",$E590,0))),0,YEARFRAC(MAX($P$34*($B590+IF($R$17="Distrato",$I$38-1,0)),IF(AND($L$37=0,$P$34=0),"",$L$37-1),IF($R$17="Distrato",$E590,0)),MIN(AL$38,$D$19),$P$20))-SUM($P590:AK590)</f>
        <v>#VALUE!</v>
      </c>
      <c r="AM590" s="446" t="e">
        <f>IF(OR($B590="",MIN(AM$38,$D$19)&lt;MAX($P$34*($B590+IF($R$17="Distrato",$I$38-1,0)),IF(AND($L$37=0,$P$34=0),"",$L$37-1),IF($R$17="Distrato",$E590,0))),0,YEARFRAC(MAX($P$34*($B590+IF($R$17="Distrato",$I$38-1,0)),IF(AND($L$37=0,$P$34=0),"",$L$37-1),IF($R$17="Distrato",$E590,0)),MIN(AM$38,$D$19),$P$20))-SUM($P590:AL590)</f>
        <v>#VALUE!</v>
      </c>
      <c r="AN590" s="446" t="e">
        <f>IF(OR($B590="",MIN(AN$38,$D$19)&lt;MAX($P$34*($B590+IF($R$17="Distrato",$I$38-1,0)),IF(AND($L$37=0,$P$34=0),"",$L$37-1),IF($R$17="Distrato",$E590,0))),0,YEARFRAC(MAX($P$34*($B590+IF($R$17="Distrato",$I$38-1,0)),IF(AND($L$37=0,$P$34=0),"",$L$37-1),IF($R$17="Distrato",$E590,0)),MIN(AN$38,$D$19),$P$20))-SUM($P590:AM590)</f>
        <v>#VALUE!</v>
      </c>
      <c r="AO590" s="446" t="e">
        <f>IF(OR($B590="",MIN(AO$38,$D$19)&lt;MAX($P$34*($B590+IF($R$17="Distrato",$I$38-1,0)),IF(AND($L$37=0,$P$34=0),"",$L$37-1),IF($R$17="Distrato",$E590,0))),0,YEARFRAC(MAX($P$34*($B590+IF($R$17="Distrato",$I$38-1,0)),IF(AND($L$37=0,$P$34=0),"",$L$37-1),IF($R$17="Distrato",$E590,0)),MIN(AO$38,$D$19),$P$20))-SUM($P590:AN590)</f>
        <v>#VALUE!</v>
      </c>
      <c r="AP590" s="446" t="e">
        <f>IF(OR($B590="",MIN(AP$38,$D$19)&lt;MAX($P$34*($B590+IF($R$17="Distrato",$I$38-1,0)),IF(AND($L$37=0,$P$34=0),"",$L$37-1),IF($R$17="Distrato",$E590,0))),0,YEARFRAC(MAX($P$34*($B590+IF($R$17="Distrato",$I$38-1,0)),IF(AND($L$37=0,$P$34=0),"",$L$37-1),IF($R$17="Distrato",$E590,0)),MIN(AP$38,$D$19),$P$20))-SUM($P590:AO590)</f>
        <v>#VALUE!</v>
      </c>
      <c r="AQ590" s="446" t="e">
        <f>IF(OR($B590="",MIN(AQ$38,$D$19)&lt;MAX($P$34*($B590+IF($R$17="Distrato",$I$38-1,0)),IF(AND($L$37=0,$P$34=0),"",$L$37-1),IF($R$17="Distrato",$E590,0))),0,YEARFRAC(MAX($P$34*($B590+IF($R$17="Distrato",$I$38-1,0)),IF(AND($L$37=0,$P$34=0),"",$L$37-1),IF($R$17="Distrato",$E590,0)),MIN(AQ$38,$D$19),$P$20))-SUM($P590:AP590)</f>
        <v>#VALUE!</v>
      </c>
      <c r="AR590" s="446" t="e">
        <f>IF(OR($B590="",MIN(AR$38,$D$19)&lt;MAX($P$34*($B590+IF($R$17="Distrato",$I$38-1,0)),IF(AND($L$37=0,$P$34=0),"",$L$37-1),IF($R$17="Distrato",$E590,0))),0,YEARFRAC(MAX($P$34*($B590+IF($R$17="Distrato",$I$38-1,0)),IF(AND($L$37=0,$P$34=0),"",$L$37-1),IF($R$17="Distrato",$E590,0)),MIN(AR$38,$D$19),$P$20))-SUM($P590:AQ590)</f>
        <v>#VALUE!</v>
      </c>
      <c r="AS590" s="446" t="e">
        <f>IF(OR($B590="",MIN(AS$38,$D$19)&lt;MAX($P$34*($B590+IF($R$17="Distrato",$I$38-1,0)),IF(AND($L$37=0,$P$34=0),"",$L$37-1),IF($R$17="Distrato",$E590,0))),0,YEARFRAC(MAX($P$34*($B590+IF($R$17="Distrato",$I$38-1,0)),IF(AND($L$37=0,$P$34=0),"",$L$37-1),IF($R$17="Distrato",$E590,0)),MIN(AS$38,$D$19),$P$20))-SUM($P590:AR590)</f>
        <v>#VALUE!</v>
      </c>
      <c r="AT590" s="446" t="e">
        <f>IF(OR($B590="",MIN(AT$38,$D$19)&lt;MAX($P$34*($B590+IF($R$17="Distrato",$I$38-1,0)),IF(AND($L$37=0,$P$34=0),"",$L$37-1),IF($R$17="Distrato",$E590,0))),0,YEARFRAC(MAX($P$34*($B590+IF($R$17="Distrato",$I$38-1,0)),IF(AND($L$37=0,$P$34=0),"",$L$37-1),IF($R$17="Distrato",$E590,0)),MIN(AT$38,$D$19),$P$20))-SUM($P590:AS590)</f>
        <v>#VALUE!</v>
      </c>
      <c r="AU590" s="446" t="e">
        <f>IF(OR($B590="",MIN(AU$38,$D$19)&lt;MAX($P$34*($B590+IF($R$17="Distrato",$I$38-1,0)),IF(AND($L$37=0,$P$34=0),"",$L$37-1),IF($R$17="Distrato",$E590,0))),0,YEARFRAC(MAX($P$34*($B590+IF($R$17="Distrato",$I$38-1,0)),IF(AND($L$37=0,$P$34=0),"",$L$37-1),IF($R$17="Distrato",$E590,0)),MIN(AU$38,$D$19),$P$20))-SUM($P590:AT590)</f>
        <v>#VALUE!</v>
      </c>
      <c r="AV590" s="446" t="e">
        <f>IF(OR($B590="",MIN(AV$38,$D$19)&lt;MAX($P$34*($B590+IF($R$17="Distrato",$I$38-1,0)),IF(AND($L$37=0,$P$34=0),"",$L$37-1),IF($R$17="Distrato",$E590,0))),0,YEARFRAC(MAX($P$34*($B590+IF($R$17="Distrato",$I$38-1,0)),IF(AND($L$37=0,$P$34=0),"",$L$37-1),IF($R$17="Distrato",$E590,0)),MIN(AV$38,$D$19),$P$20))-SUM($P590:AU590)</f>
        <v>#VALUE!</v>
      </c>
      <c r="AW590" s="446" t="e">
        <f>IF(OR($B590="",MIN(AW$38,$D$19)&lt;MAX($P$34*($B590+IF($R$17="Distrato",$I$38-1,0)),IF(AND($L$37=0,$P$34=0),"",$L$37-1),IF($R$17="Distrato",$E590,0))),0,YEARFRAC(MAX($P$34*($B590+IF($R$17="Distrato",$I$38-1,0)),IF(AND($L$37=0,$P$34=0),"",$L$37-1),IF($R$17="Distrato",$E590,0)),MIN(AW$38,$D$19),$P$20))-SUM($P590:AV590)</f>
        <v>#VALUE!</v>
      </c>
      <c r="AX590" s="446" t="e">
        <f>IF(OR($B590="",MIN(AX$38,$D$19)&lt;MAX($P$34*($B590+IF($R$17="Distrato",$I$38-1,0)),IF(AND($L$37=0,$P$34=0),"",$L$37-1),IF($R$17="Distrato",$E590,0))),0,YEARFRAC(MAX($P$34*($B590+IF($R$17="Distrato",$I$38-1,0)),IF(AND($L$37=0,$P$34=0),"",$L$37-1),IF($R$17="Distrato",$E590,0)),MIN(AX$38,$D$19),$P$20))-SUM($P590:AW590)</f>
        <v>#VALUE!</v>
      </c>
      <c r="AY590" s="446" t="e">
        <f>IF(OR($B590="",MIN(AY$38,$D$19)&lt;MAX($P$34*($B590+IF($R$17="Distrato",$I$38-1,0)),IF(AND($L$37=0,$P$34=0),"",$L$37-1),IF($R$17="Distrato",$E590,0))),0,YEARFRAC(MAX($P$34*($B590+IF($R$17="Distrato",$I$38-1,0)),IF(AND($L$37=0,$P$34=0),"",$L$37-1),IF($R$17="Distrato",$E590,0)),MIN(AY$38,$D$19),$P$20))-SUM($P590:AX590)</f>
        <v>#VALUE!</v>
      </c>
      <c r="AZ590" s="446" t="e">
        <f>IF(OR($B590="",MIN(AZ$38,$D$19)&lt;MAX($P$34*($B590+IF($R$17="Distrato",$I$38-1,0)),IF(AND($L$37=0,$P$34=0),"",$L$37-1),IF($R$17="Distrato",$E590,0))),0,YEARFRAC(MAX($P$34*($B590+IF($R$17="Distrato",$I$38-1,0)),IF(AND($L$37=0,$P$34=0),"",$L$37-1),IF($R$17="Distrato",$E590,0)),MIN(AZ$38,$D$19),$P$20))-SUM($P590:AY590)</f>
        <v>#VALUE!</v>
      </c>
      <c r="BA590" s="446" t="e">
        <f>IF(OR($B590="",MIN(BA$38,$D$19)&lt;MAX($P$34*($B590+IF($R$17="Distrato",$I$38-1,0)),IF(AND($L$37=0,$P$34=0),"",$L$37-1),IF($R$17="Distrato",$E590,0))),0,YEARFRAC(MAX($P$34*($B590+IF($R$17="Distrato",$I$38-1,0)),IF(AND($L$37=0,$P$34=0),"",$L$37-1),IF($R$17="Distrato",$E590,0)),MIN(BA$38,$D$19),$P$20))-SUM($P590:AZ590)</f>
        <v>#VALUE!</v>
      </c>
      <c r="BB590" s="447"/>
      <c r="BF590" s="446">
        <f t="shared" si="98"/>
        <v>0</v>
      </c>
      <c r="BG590" s="446">
        <f>IF($E590=0,0,IF(MIN(BG$38,$E590)&lt;MAX($P$34*($B590+$I$38-1),IF(AND($L$37=0,$P$34=0),"",$L$37-1)),0,YEARFRAC(MAX($P$34*($B590+$I$38-1),IF(AND($L$37=0,$P$34=0),"",$L$37-1)),MIN(BG$38,$E590),$P$20))-SUM($BF590:BF590))</f>
        <v>0</v>
      </c>
      <c r="BH590" s="446">
        <f>IF($E590=0,0,IF(MIN(BH$38,$E590)&lt;MAX($P$34*($B590+$I$38-1),IF(AND($L$37=0,$P$34=0),"",$L$37-1)),0,YEARFRAC(MAX($P$34*($B590+$I$38-1),IF(AND($L$37=0,$P$34=0),"",$L$37-1)),MIN(BH$38,$E590),$P$20))-SUM($BF590:BG590))</f>
        <v>0</v>
      </c>
      <c r="BI590" s="446">
        <f>IF($E590=0,0,IF(MIN(BI$38,$E590)&lt;MAX($P$34*($B590+$I$38-1),IF(AND($L$37=0,$P$34=0),"",$L$37-1)),0,YEARFRAC(MAX($P$34*($B590+$I$38-1),IF(AND($L$37=0,$P$34=0),"",$L$37-1)),MIN(BI$38,$E590),$P$20))-SUM($BF590:BH590))</f>
        <v>0</v>
      </c>
      <c r="BJ590" s="446">
        <f>IF($E590=0,0,IF(MIN(BJ$38,$E590)&lt;MAX($P$34*($B590+$I$38-1),IF(AND($L$37=0,$P$34=0),"",$L$37-1)),0,YEARFRAC(MAX($P$34*($B590+$I$38-1),IF(AND($L$37=0,$P$34=0),"",$L$37-1)),MIN(BJ$38,$E590),$P$20))-SUM($BF590:BI590))</f>
        <v>0</v>
      </c>
      <c r="BK590" s="446">
        <f>IF($E590=0,0,IF(MIN(BK$38,$E590)&lt;MAX($P$34*($B590+$I$38-1),IF(AND($L$37=0,$P$34=0),"",$L$37-1)),0,YEARFRAC(MAX($P$34*($B590+$I$38-1),IF(AND($L$37=0,$P$34=0),"",$L$37-1)),MIN(BK$38,$E590),$P$20))-SUM($BF590:BJ590))</f>
        <v>0</v>
      </c>
      <c r="BL590" s="446">
        <f>IF($E590=0,0,IF(MIN(BL$38,$E590)&lt;MAX($P$34*($B590+$I$38-1),IF(AND($L$37=0,$P$34=0),"",$L$37-1)),0,YEARFRAC(MAX($P$34*($B590+$I$38-1),IF(AND($L$37=0,$P$34=0),"",$L$37-1)),MIN(BL$38,$E590),$P$20))-SUM($BF590:BK590))</f>
        <v>0</v>
      </c>
      <c r="BM590" s="446">
        <f>IF($E590=0,0,IF(MIN(BM$38,$E590)&lt;MAX($P$34*($B590+$I$38-1),IF(AND($L$37=0,$P$34=0),"",$L$37-1)),0,YEARFRAC(MAX($P$34*($B590+$I$38-1),IF(AND($L$37=0,$P$34=0),"",$L$37-1)),MIN(BM$38,$E590),$P$20))-SUM($BF590:BL590))</f>
        <v>0</v>
      </c>
      <c r="BN590" s="446">
        <f>IF($E590=0,0,IF(MIN(BN$38,$E590)&lt;MAX($P$34*($B590+$I$38-1),IF(AND($L$37=0,$P$34=0),"",$L$37-1)),0,YEARFRAC(MAX($P$34*($B590+$I$38-1),IF(AND($L$37=0,$P$34=0),"",$L$37-1)),MIN(BN$38,$E590),$P$20))-SUM($BF590:BM590))</f>
        <v>0</v>
      </c>
      <c r="BO590" s="446">
        <f>IF($E590=0,0,IF(MIN(BO$38,$E590)&lt;MAX($P$34*($B590+$I$38-1),IF(AND($L$37=0,$P$34=0),"",$L$37-1)),0,YEARFRAC(MAX($P$34*($B590+$I$38-1),IF(AND($L$37=0,$P$34=0),"",$L$37-1)),MIN(BO$38,$E590),$P$20))-SUM($BF590:BN590))</f>
        <v>0</v>
      </c>
      <c r="BP590" s="446">
        <f>IF($E590=0,0,IF(MIN(BP$38,$E590)&lt;MAX($P$34*($B590+$I$38-1),IF(AND($L$37=0,$P$34=0),"",$L$37-1)),0,YEARFRAC(MAX($P$34*($B590+$I$38-1),IF(AND($L$37=0,$P$34=0),"",$L$37-1)),MIN(BP$38,$E590),$P$20))-SUM($BF590:BO590))</f>
        <v>0</v>
      </c>
      <c r="BQ590" s="446">
        <f>IF($E590=0,0,IF(MIN(BQ$38,$E590)&lt;MAX($P$34*($B590+$I$38-1),IF(AND($L$37=0,$P$34=0),"",$L$37-1)),0,YEARFRAC(MAX($P$34*($B590+$I$38-1),IF(AND($L$37=0,$P$34=0),"",$L$37-1)),MIN(BQ$38,$E590),$P$20))-SUM($BF590:BP590))</f>
        <v>0</v>
      </c>
      <c r="BR590" s="446">
        <f>IF($E590=0,0,IF(MIN(BR$38,$E590)&lt;MAX($P$34*($B590+$I$38-1),IF(AND($L$37=0,$P$34=0),"",$L$37-1)),0,YEARFRAC(MAX($P$34*($B590+$I$38-1),IF(AND($L$37=0,$P$34=0),"",$L$37-1)),MIN(BR$38,$E590),$P$20))-SUM($BF590:BQ590))</f>
        <v>0</v>
      </c>
      <c r="BS590" s="446">
        <f>IF($E590=0,0,IF(MIN(BS$38,$E590)&lt;MAX($P$34*($B590+$I$38-1),IF(AND($L$37=0,$P$34=0),"",$L$37-1)),0,YEARFRAC(MAX($P$34*($B590+$I$38-1),IF(AND($L$37=0,$P$34=0),"",$L$37-1)),MIN(BS$38,$E590),$P$20))-SUM($BF590:BR590))</f>
        <v>0</v>
      </c>
      <c r="BT590" s="446">
        <f>IF($E590=0,0,IF(MIN(BT$38,$E590)&lt;MAX($P$34*($B590+$I$38-1),IF(AND($L$37=0,$P$34=0),"",$L$37-1)),0,YEARFRAC(MAX($P$34*($B590+$I$38-1),IF(AND($L$37=0,$P$34=0),"",$L$37-1)),MIN(BT$38,$E590),$P$20))-SUM($BF590:BS590))</f>
        <v>0</v>
      </c>
      <c r="BU590" s="446">
        <f>IF($E590=0,0,IF(MIN(BU$38,$E590)&lt;MAX($P$34*($B590+$I$38-1),IF(AND($L$37=0,$P$34=0),"",$L$37-1)),0,YEARFRAC(MAX($P$34*($B590+$I$38-1),IF(AND($L$37=0,$P$34=0),"",$L$37-1)),MIN(BU$38,$E590),$P$20))-SUM($BF590:BT590))</f>
        <v>0</v>
      </c>
      <c r="BV590" s="446">
        <f>IF($E590=0,0,IF(MIN(BV$38,$E590)&lt;MAX($P$34*($B590+$I$38-1),IF(AND($L$37=0,$P$34=0),"",$L$37-1)),0,YEARFRAC(MAX($P$34*($B590+$I$38-1),IF(AND($L$37=0,$P$34=0),"",$L$37-1)),MIN(BV$38,$E590),$P$20))-SUM($BF590:BU590))</f>
        <v>0</v>
      </c>
      <c r="BW590" s="446">
        <f>IF($E590=0,0,IF(MIN(BW$38,$E590)&lt;MAX($P$34*($B590+$I$38-1),IF(AND($L$37=0,$P$34=0),"",$L$37-1)),0,YEARFRAC(MAX($P$34*($B590+$I$38-1),IF(AND($L$37=0,$P$34=0),"",$L$37-1)),MIN(BW$38,$E590),$P$20))-SUM($BF590:BV590))</f>
        <v>0</v>
      </c>
      <c r="BX590" s="446">
        <f>IF($E590=0,0,IF(MIN(BX$38,$E590)&lt;MAX($P$34*($B590+$I$38-1),IF(AND($L$37=0,$P$34=0),"",$L$37-1)),0,YEARFRAC(MAX($P$34*($B590+$I$38-1),IF(AND($L$37=0,$P$34=0),"",$L$37-1)),MIN(BX$38,$E590),$P$20))-SUM($BF590:BW590))</f>
        <v>0</v>
      </c>
      <c r="BY590" s="446">
        <f>IF($E590=0,0,IF(MIN(BY$38,$E590)&lt;MAX($P$34*($B590+$I$38-1),IF(AND($L$37=0,$P$34=0),"",$L$37-1)),0,YEARFRAC(MAX($P$34*($B590+$I$38-1),IF(AND($L$37=0,$P$34=0),"",$L$37-1)),MIN(BY$38,$E590),$P$20))-SUM($BF590:BX590))</f>
        <v>0</v>
      </c>
      <c r="BZ590" s="446">
        <f>IF($E590=0,0,IF(MIN(BZ$38,$E590)&lt;MAX($P$34*($B590+$I$38-1),IF(AND($L$37=0,$P$34=0),"",$L$37-1)),0,YEARFRAC(MAX($P$34*($B590+$I$38-1),IF(AND($L$37=0,$P$34=0),"",$L$37-1)),MIN(BZ$38,$E590),$P$20))-SUM($BF590:BY590))</f>
        <v>0</v>
      </c>
      <c r="CA590" s="446">
        <f>IF($E590=0,0,IF(MIN(CA$38,$E590)&lt;MAX($P$34*($B590+$I$38-1),IF(AND($L$37=0,$P$34=0),"",$L$37-1)),0,YEARFRAC(MAX($P$34*($B590+$I$38-1),IF(AND($L$37=0,$P$34=0),"",$L$37-1)),MIN(CA$38,$E590),$P$20))-SUM($BF590:BZ590))</f>
        <v>0</v>
      </c>
      <c r="CB590" s="446">
        <f>IF($E590=0,0,IF(MIN(CB$38,$E590)&lt;MAX($P$34*($B590+$I$38-1),IF(AND($L$37=0,$P$34=0),"",$L$37-1)),0,YEARFRAC(MAX($P$34*($B590+$I$38-1),IF(AND($L$37=0,$P$34=0),"",$L$37-1)),MIN(CB$38,$E590),$P$20))-SUM($BF590:CA590))</f>
        <v>0</v>
      </c>
      <c r="CC590" s="446">
        <f>IF($E590=0,0,IF(MIN(CC$38,$E590)&lt;MAX($P$34*($B590+$I$38-1),IF(AND($L$37=0,$P$34=0),"",$L$37-1)),0,YEARFRAC(MAX($P$34*($B590+$I$38-1),IF(AND($L$37=0,$P$34=0),"",$L$37-1)),MIN(CC$38,$E590),$P$20))-SUM($BF590:CB590))</f>
        <v>0</v>
      </c>
      <c r="CD590" s="446">
        <f>IF($E590=0,0,IF(MIN(CD$38,$E590)&lt;MAX($P$34*($B590+$I$38-1),IF(AND($L$37=0,$P$34=0),"",$L$37-1)),0,YEARFRAC(MAX($P$34*($B590+$I$38-1),IF(AND($L$37=0,$P$34=0),"",$L$37-1)),MIN(CD$38,$E590),$P$20))-SUM($BF590:CC590))</f>
        <v>0</v>
      </c>
      <c r="CE590" s="446">
        <f>IF($E590=0,0,IF(MIN(CE$38,$E590)&lt;MAX($P$34*($B590+$I$38-1),IF(AND($L$37=0,$P$34=0),"",$L$37-1)),0,YEARFRAC(MAX($P$34*($B590+$I$38-1),IF(AND($L$37=0,$P$34=0),"",$L$37-1)),MIN(CE$38,$E590),$P$20))-SUM($BF590:CD590))</f>
        <v>0</v>
      </c>
      <c r="CF590" s="446">
        <f>IF($E590=0,0,IF(MIN(CF$38,$E590)&lt;MAX($P$34*($B590+$I$38-1),IF(AND($L$37=0,$P$34=0),"",$L$37-1)),0,YEARFRAC(MAX($P$34*($B590+$I$38-1),IF(AND($L$37=0,$P$34=0),"",$L$37-1)),MIN(CF$38,$E590),$P$20))-SUM($BF590:CE590))</f>
        <v>0</v>
      </c>
      <c r="CG590" s="446">
        <f>IF($E590=0,0,IF(MIN(CG$38,$E590)&lt;MAX($P$34*($B590+$I$38-1),IF(AND($L$37=0,$P$34=0),"",$L$37-1)),0,YEARFRAC(MAX($P$34*($B590+$I$38-1),IF(AND($L$37=0,$P$34=0),"",$L$37-1)),MIN(CG$38,$E590),$P$20))-SUM($BF590:CF590))</f>
        <v>0</v>
      </c>
      <c r="CH590" s="446">
        <f>IF($E590=0,0,IF(MIN(CH$38,$E590)&lt;MAX($P$34*($B590+$I$38-1),IF(AND($L$37=0,$P$34=0),"",$L$37-1)),0,YEARFRAC(MAX($P$34*($B590+$I$38-1),IF(AND($L$37=0,$P$34=0),"",$L$37-1)),MIN(CH$38,$E590),$P$20))-SUM($BF590:CG590))</f>
        <v>0</v>
      </c>
      <c r="CI590" s="446">
        <f>IF($E590=0,0,IF(MIN(CI$38,$E590)&lt;MAX($P$34*($B590+$I$38-1),IF(AND($L$37=0,$P$34=0),"",$L$37-1)),0,YEARFRAC(MAX($P$34*($B590+$I$38-1),IF(AND($L$37=0,$P$34=0),"",$L$37-1)),MIN(CI$38,$E590),$P$20))-SUM($BF590:CH590))</f>
        <v>0</v>
      </c>
      <c r="CJ590" s="446">
        <f>IF($E590=0,0,IF(MIN(CJ$38,$E590)&lt;MAX($P$34*($B590+$I$38-1),IF(AND($L$37=0,$P$34=0),"",$L$37-1)),0,YEARFRAC(MAX($P$34*($B590+$I$38-1),IF(AND($L$37=0,$P$34=0),"",$L$37-1)),MIN(CJ$38,$E590),$P$20))-SUM($BF590:CI590))</f>
        <v>0</v>
      </c>
      <c r="CK590" s="446">
        <f>IF($E590=0,0,IF(MIN(CK$38,$E590)&lt;MAX($P$34*($B590+$I$38-1),IF(AND($L$37=0,$P$34=0),"",$L$37-1)),0,YEARFRAC(MAX($P$34*($B590+$I$38-1),IF(AND($L$37=0,$P$34=0),"",$L$37-1)),MIN(CK$38,$E590),$P$20))-SUM($BF590:CJ590))</f>
        <v>0</v>
      </c>
      <c r="CL590" s="446">
        <f>IF($E590=0,0,IF(MIN(CL$38,$E590)&lt;MAX($P$34*($B590+$I$38-1),IF(AND($L$37=0,$P$34=0),"",$L$37-1)),0,YEARFRAC(MAX($P$34*($B590+$I$38-1),IF(AND($L$37=0,$P$34=0),"",$L$37-1)),MIN(CL$38,$E590),$P$20))-SUM($BF590:CK590))</f>
        <v>0</v>
      </c>
      <c r="CM590" s="446">
        <f>IF($E590=0,0,IF(MIN(CM$38,$E590)&lt;MAX($P$34*($B590+$I$38-1),IF(AND($L$37=0,$P$34=0),"",$L$37-1)),0,YEARFRAC(MAX($P$34*($B590+$I$38-1),IF(AND($L$37=0,$P$34=0),"",$L$37-1)),MIN(CM$38,$E590),$P$20))-SUM($BF590:CL590))</f>
        <v>0</v>
      </c>
      <c r="CN590" s="446">
        <f>IF($E590=0,0,IF(MIN(CN$38,$E590)&lt;MAX($P$34*($B590+$I$38-1),IF(AND($L$37=0,$P$34=0),"",$L$37-1)),0,YEARFRAC(MAX($P$34*($B590+$I$38-1),IF(AND($L$37=0,$P$34=0),"",$L$37-1)),MIN(CN$38,$E590),$P$20))-SUM($BF590:CM590))</f>
        <v>0</v>
      </c>
      <c r="CO590" s="446">
        <f>IF($E590=0,0,IF(MIN(CO$38,$E590)&lt;MAX($P$34*($B590+$I$38-1),IF(AND($L$37=0,$P$34=0),"",$L$37-1)),0,YEARFRAC(MAX($P$34*($B590+$I$38-1),IF(AND($L$37=0,$P$34=0),"",$L$37-1)),MIN(CO$38,$E590),$P$20))-SUM($BF590:CN590))</f>
        <v>0</v>
      </c>
      <c r="CP590" s="446">
        <f>IF($E590=0,0,IF(MIN(CP$38,$E590)&lt;MAX($P$34*($B590+$I$38-1),IF(AND($L$37=0,$P$34=0),"",$L$37-1)),0,YEARFRAC(MAX($P$34*($B590+$I$38-1),IF(AND($L$37=0,$P$34=0),"",$L$37-1)),MIN(CP$38,$E590),$P$20))-SUM($BF590:CO590))</f>
        <v>0</v>
      </c>
      <c r="CQ590" s="446">
        <f>IF($E590=0,0,IF(MIN(CQ$38,$E590)&lt;MAX($P$34*($B590+$I$38-1),IF(AND($L$37=0,$P$34=0),"",$L$37-1)),0,YEARFRAC(MAX($P$34*($B590+$I$38-1),IF(AND($L$37=0,$P$34=0),"",$L$37-1)),MIN(CQ$38,$E590),$P$20))-SUM($BF590:CP590))</f>
        <v>0</v>
      </c>
    </row>
    <row r="591" spans="1:95" s="446" customFormat="1" ht="11.25" hidden="1" customHeight="1" x14ac:dyDescent="0.2">
      <c r="A591" s="152"/>
      <c r="B591" s="153" t="str">
        <f t="shared" si="103"/>
        <v/>
      </c>
      <c r="C591" s="29" t="str">
        <f>IF(B591="","",IF($L$35="SELIC - TRIBUTOS",VLOOKUP(DATE(YEAR($D$19),MONTH($D$19)-1,1),ÍNDICES!$A:$DE,HLOOKUP($BL$25,ÍNDICES!$B$3:$T$4,2)+11)-VLOOKUP(B591,ÍNDICES!$A:$DE,HLOOKUP($BL$25,ÍNDICES!$B$3:$T$4,2)+11)+1%,IF(C$38=$W$26,$J$35,IF(ISERROR(IF(B591&gt;$D$19,1,VLOOKUP(DATE(YEAR(B591),MONTH(B591)+IF($C$35=$S$23,1,0),1),ÍNDICES!$A:$DE,$Z$35+1))),"",IF(B591&gt;$D$19,1,VLOOKUP(DATE(YEAR(B591),MONTH(B591)+IF($C$35=$S$23,1,0),1),ÍNDICES!$A:$DE,$Z$35+1))))))</f>
        <v/>
      </c>
      <c r="D591" s="154" t="str">
        <f>IF(ISERROR(IF(OR($D$38=$Y$27,$B591=""),"",VLOOKUP(B591,ÍNDICES!A:DE,AF$35+1))),"",IF(OR($D$38=$Y$27,$B591=""),"",VLOOKUP(B591,ÍNDICES!A:DE,AF$35+1)))</f>
        <v/>
      </c>
      <c r="E591" s="153"/>
      <c r="F591" s="29" t="str">
        <f>IF(E591="","",IF($L$35="SELIC - TRIBUTOS",VLOOKUP(DATE(YEAR($D$19),MONTH($D$19)-1,1),ÍNDICES!$A:$DE,HLOOKUP($BL$25,ÍNDICES!$B$3:$T$4,2)+11)-VLOOKUP(E591,ÍNDICES!$A:$DE,HLOOKUP($BL$25,ÍNDICES!$B$3:$T$4,2)+11)+1%,IF(F$38=$W$26,$J$35,IF(ISERROR(IF(E591&gt;$D$19,1,VLOOKUP(DATE(YEAR(E591),MONTH(E591)+IF($C$35=$S$23,1,0),1),ÍNDICES!$A:$DE,$Z$35+1))),"",IF(E591&gt;$D$19,1,VLOOKUP(DATE(YEAR(E591),MONTH(E591)+IF($C$35=$S$23,1,0),1),ÍNDICES!$A:$DE,$Z$35+1))))))</f>
        <v/>
      </c>
      <c r="G591" s="155"/>
      <c r="H591" s="156" t="str">
        <f t="shared" si="99"/>
        <v/>
      </c>
      <c r="I591" s="29" t="str">
        <f t="shared" si="93"/>
        <v/>
      </c>
      <c r="J591" s="5">
        <f t="shared" si="94"/>
        <v>0</v>
      </c>
      <c r="K591" s="20">
        <f t="shared" ca="1" si="95"/>
        <v>0</v>
      </c>
      <c r="L591" s="5">
        <f t="shared" ca="1" si="96"/>
        <v>0</v>
      </c>
      <c r="M591" s="64">
        <f t="shared" si="100"/>
        <v>0</v>
      </c>
      <c r="N591" s="61">
        <f t="shared" ca="1" si="101"/>
        <v>0</v>
      </c>
      <c r="O591" s="5">
        <f t="shared" ca="1" si="102"/>
        <v>0</v>
      </c>
      <c r="P591" s="446" t="e">
        <f t="shared" si="97"/>
        <v>#VALUE!</v>
      </c>
      <c r="Q591" s="446" t="e">
        <f>IF(OR($B591="",MIN(Q$38,$D$19)&lt;MAX($P$34*($B591+IF($R$17="Distrato",$I$38-1,0)),IF(AND($L$37=0,$P$34=0),"",$L$37-1),IF($R$17="Distrato",$E591,0))),0,YEARFRAC(MAX($P$34*($B591+IF($R$17="Distrato",$I$38-1,0)),IF(AND($L$37=0,$P$34=0),"",$L$37-1),IF($R$17="Distrato",$E591,0)),MIN(Q$38,$D$19),$P$20))-SUM($P591:P591)</f>
        <v>#VALUE!</v>
      </c>
      <c r="R591" s="446" t="e">
        <f>IF(OR($B591="",MIN(R$38,$D$19)&lt;MAX($P$34*($B591+IF($R$17="Distrato",$I$38-1,0)),IF(AND($L$37=0,$P$34=0),"",$L$37-1),IF($R$17="Distrato",$E591,0))),0,YEARFRAC(MAX($P$34*($B591+IF($R$17="Distrato",$I$38-1,0)),IF(AND($L$37=0,$P$34=0),"",$L$37-1),IF($R$17="Distrato",$E591,0)),MIN(R$38,$D$19),$P$20))-SUM($P591:Q591)</f>
        <v>#VALUE!</v>
      </c>
      <c r="S591" s="446" t="e">
        <f>IF(OR($B591="",MIN(S$38,$D$19)&lt;MAX($P$34*($B591+IF($R$17="Distrato",$I$38-1,0)),IF(AND($L$37=0,$P$34=0),"",$L$37-1),IF($R$17="Distrato",$E591,0))),0,YEARFRAC(MAX($P$34*($B591+IF($R$17="Distrato",$I$38-1,0)),IF(AND($L$37=0,$P$34=0),"",$L$37-1),IF($R$17="Distrato",$E591,0)),MIN(S$38,$D$19),$P$20))-SUM($P591:R591)</f>
        <v>#VALUE!</v>
      </c>
      <c r="T591" s="446" t="e">
        <f>IF(OR($B591="",MIN(T$38,$D$19)&lt;MAX($P$34*($B591+IF($R$17="Distrato",$I$38-1,0)),IF(AND($L$37=0,$P$34=0),"",$L$37-1),IF($R$17="Distrato",$E591,0))),0,YEARFRAC(MAX($P$34*($B591+IF($R$17="Distrato",$I$38-1,0)),IF(AND($L$37=0,$P$34=0),"",$L$37-1),IF($R$17="Distrato",$E591,0)),MIN(T$38,$D$19),$P$20))-SUM($P591:S591)</f>
        <v>#VALUE!</v>
      </c>
      <c r="U591" s="446" t="e">
        <f>IF(OR($B591="",MIN(U$38,$D$19)&lt;MAX($P$34*($B591+IF($R$17="Distrato",$I$38-1,0)),IF(AND($L$37=0,$P$34=0),"",$L$37-1),IF($R$17="Distrato",$E591,0))),0,YEARFRAC(MAX($P$34*($B591+IF($R$17="Distrato",$I$38-1,0)),IF(AND($L$37=0,$P$34=0),"",$L$37-1),IF($R$17="Distrato",$E591,0)),MIN(U$38,$D$19),$P$20))-SUM($P591:T591)</f>
        <v>#VALUE!</v>
      </c>
      <c r="V591" s="446" t="e">
        <f>IF(OR($B591="",MIN(V$38,$D$19)&lt;MAX($P$34*($B591+IF($R$17="Distrato",$I$38-1,0)),IF(AND($L$37=0,$P$34=0),"",$L$37-1),IF($R$17="Distrato",$E591,0))),0,YEARFRAC(MAX($P$34*($B591+IF($R$17="Distrato",$I$38-1,0)),IF(AND($L$37=0,$P$34=0),"",$L$37-1),IF($R$17="Distrato",$E591,0)),MIN(V$38,$D$19),$P$20))-SUM($P591:U591)</f>
        <v>#VALUE!</v>
      </c>
      <c r="W591" s="446" t="e">
        <f>IF(OR($B591="",MIN(W$38,$D$19)&lt;MAX($P$34*($B591+IF($R$17="Distrato",$I$38-1,0)),IF(AND($L$37=0,$P$34=0),"",$L$37-1),IF($R$17="Distrato",$E591,0))),0,YEARFRAC(MAX($P$34*($B591+IF($R$17="Distrato",$I$38-1,0)),IF(AND($L$37=0,$P$34=0),"",$L$37-1),IF($R$17="Distrato",$E591,0)),MIN(W$38,$D$19),$P$20))-SUM($P591:V591)</f>
        <v>#VALUE!</v>
      </c>
      <c r="X591" s="446" t="e">
        <f>IF(OR($B591="",MIN(X$38,$D$19)&lt;MAX($P$34*($B591+IF($R$17="Distrato",$I$38-1,0)),IF(AND($L$37=0,$P$34=0),"",$L$37-1),IF($R$17="Distrato",$E591,0))),0,YEARFRAC(MAX($P$34*($B591+IF($R$17="Distrato",$I$38-1,0)),IF(AND($L$37=0,$P$34=0),"",$L$37-1),IF($R$17="Distrato",$E591,0)),MIN(X$38,$D$19),$P$20))-SUM($P591:W591)</f>
        <v>#VALUE!</v>
      </c>
      <c r="Y591" s="446" t="e">
        <f>IF(OR($B591="",MIN(Y$38,$D$19)&lt;MAX($P$34*($B591+IF($R$17="Distrato",$I$38-1,0)),IF(AND($L$37=0,$P$34=0),"",$L$37-1),IF($R$17="Distrato",$E591,0))),0,YEARFRAC(MAX($P$34*($B591+IF($R$17="Distrato",$I$38-1,0)),IF(AND($L$37=0,$P$34=0),"",$L$37-1),IF($R$17="Distrato",$E591,0)),MIN(Y$38,$D$19),$P$20))-SUM($P591:X591)</f>
        <v>#VALUE!</v>
      </c>
      <c r="Z591" s="446" t="e">
        <f>IF(OR($B591="",MIN(Z$38,$D$19)&lt;MAX($P$34*($B591+IF($R$17="Distrato",$I$38-1,0)),IF(AND($L$37=0,$P$34=0),"",$L$37-1),IF($R$17="Distrato",$E591,0))),0,YEARFRAC(MAX($P$34*($B591+IF($R$17="Distrato",$I$38-1,0)),IF(AND($L$37=0,$P$34=0),"",$L$37-1),IF($R$17="Distrato",$E591,0)),MIN(Z$38,$D$19),$P$20))-SUM($P591:Y591)</f>
        <v>#VALUE!</v>
      </c>
      <c r="AA591" s="446" t="e">
        <f>IF(OR($B591="",MIN(AA$38,$D$19)&lt;MAX($P$34*($B591+IF($R$17="Distrato",$I$38-1,0)),IF(AND($L$37=0,$P$34=0),"",$L$37-1),IF($R$17="Distrato",$E591,0))),0,YEARFRAC(MAX($P$34*($B591+IF($R$17="Distrato",$I$38-1,0)),IF(AND($L$37=0,$P$34=0),"",$L$37-1),IF($R$17="Distrato",$E591,0)),MIN(AA$38,$D$19),$P$20))-SUM($P591:Z591)</f>
        <v>#VALUE!</v>
      </c>
      <c r="AB591" s="446" t="e">
        <f>IF(OR($B591="",MIN(AB$38,$D$19)&lt;MAX($P$34*($B591+IF($R$17="Distrato",$I$38-1,0)),IF(AND($L$37=0,$P$34=0),"",$L$37-1),IF($R$17="Distrato",$E591,0))),0,YEARFRAC(MAX($P$34*($B591+IF($R$17="Distrato",$I$38-1,0)),IF(AND($L$37=0,$P$34=0),"",$L$37-1),IF($R$17="Distrato",$E591,0)),MIN(AB$38,$D$19),$P$20))-SUM($P591:AA591)</f>
        <v>#VALUE!</v>
      </c>
      <c r="AC591" s="446" t="e">
        <f>IF(OR($B591="",MIN(AC$38,$D$19)&lt;MAX($P$34*($B591+IF($R$17="Distrato",$I$38-1,0)),IF(AND($L$37=0,$P$34=0),"",$L$37-1),IF($R$17="Distrato",$E591,0))),0,YEARFRAC(MAX($P$34*($B591+IF($R$17="Distrato",$I$38-1,0)),IF(AND($L$37=0,$P$34=0),"",$L$37-1),IF($R$17="Distrato",$E591,0)),MIN(AC$38,$D$19),$P$20))-SUM($P591:AB591)</f>
        <v>#VALUE!</v>
      </c>
      <c r="AD591" s="446" t="e">
        <f>IF(OR($B591="",MIN(AD$38,$D$19)&lt;MAX($P$34*($B591+IF($R$17="Distrato",$I$38-1,0)),IF(AND($L$37=0,$P$34=0),"",$L$37-1),IF($R$17="Distrato",$E591,0))),0,YEARFRAC(MAX($P$34*($B591+IF($R$17="Distrato",$I$38-1,0)),IF(AND($L$37=0,$P$34=0),"",$L$37-1),IF($R$17="Distrato",$E591,0)),MIN(AD$38,$D$19),$P$20))-SUM($P591:AC591)</f>
        <v>#VALUE!</v>
      </c>
      <c r="AE591" s="446" t="e">
        <f>IF(OR($B591="",MIN(AE$38,$D$19)&lt;MAX($P$34*($B591+IF($R$17="Distrato",$I$38-1,0)),IF(AND($L$37=0,$P$34=0),"",$L$37-1),IF($R$17="Distrato",$E591,0))),0,YEARFRAC(MAX($P$34*($B591+IF($R$17="Distrato",$I$38-1,0)),IF(AND($L$37=0,$P$34=0),"",$L$37-1),IF($R$17="Distrato",$E591,0)),MIN(AE$38,$D$19),$P$20))-SUM($P591:AD591)</f>
        <v>#VALUE!</v>
      </c>
      <c r="AF591" s="446" t="e">
        <f>IF(OR($B591="",MIN(AF$38,$D$19)&lt;MAX($P$34*($B591+IF($R$17="Distrato",$I$38-1,0)),IF(AND($L$37=0,$P$34=0),"",$L$37-1),IF($R$17="Distrato",$E591,0))),0,YEARFRAC(MAX($P$34*($B591+IF($R$17="Distrato",$I$38-1,0)),IF(AND($L$37=0,$P$34=0),"",$L$37-1),IF($R$17="Distrato",$E591,0)),MIN(AF$38,$D$19),$P$20))-SUM($P591:AE591)</f>
        <v>#VALUE!</v>
      </c>
      <c r="AG591" s="446" t="e">
        <f>IF(OR($B591="",MIN(AG$38,$D$19)&lt;MAX($P$34*($B591+IF($R$17="Distrato",$I$38-1,0)),IF(AND($L$37=0,$P$34=0),"",$L$37-1),IF($R$17="Distrato",$E591,0))),0,YEARFRAC(MAX($P$34*($B591+IF($R$17="Distrato",$I$38-1,0)),IF(AND($L$37=0,$P$34=0),"",$L$37-1),IF($R$17="Distrato",$E591,0)),MIN(AG$38,$D$19),$P$20))-SUM($P591:AF591)</f>
        <v>#VALUE!</v>
      </c>
      <c r="AH591" s="446" t="e">
        <f>IF(OR($B591="",MIN(AH$38,$D$19)&lt;MAX($P$34*($B591+IF($R$17="Distrato",$I$38-1,0)),IF(AND($L$37=0,$P$34=0),"",$L$37-1),IF($R$17="Distrato",$E591,0))),0,YEARFRAC(MAX($P$34*($B591+IF($R$17="Distrato",$I$38-1,0)),IF(AND($L$37=0,$P$34=0),"",$L$37-1),IF($R$17="Distrato",$E591,0)),MIN(AH$38,$D$19),$P$20))-SUM($P591:AG591)</f>
        <v>#VALUE!</v>
      </c>
      <c r="AI591" s="446" t="e">
        <f>IF(OR($B591="",MIN(AI$38,$D$19)&lt;MAX($P$34*($B591+IF($R$17="Distrato",$I$38-1,0)),IF(AND($L$37=0,$P$34=0),"",$L$37-1),IF($R$17="Distrato",$E591,0))),0,YEARFRAC(MAX($P$34*($B591+IF($R$17="Distrato",$I$38-1,0)),IF(AND($L$37=0,$P$34=0),"",$L$37-1),IF($R$17="Distrato",$E591,0)),MIN(AI$38,$D$19),$P$20))-SUM($P591:AH591)</f>
        <v>#VALUE!</v>
      </c>
      <c r="AJ591" s="446" t="e">
        <f>IF(OR($B591="",MIN(AJ$38,$D$19)&lt;MAX($P$34*($B591+IF($R$17="Distrato",$I$38-1,0)),IF(AND($L$37=0,$P$34=0),"",$L$37-1),IF($R$17="Distrato",$E591,0))),0,YEARFRAC(MAX($P$34*($B591+IF($R$17="Distrato",$I$38-1,0)),IF(AND($L$37=0,$P$34=0),"",$L$37-1),IF($R$17="Distrato",$E591,0)),MIN(AJ$38,$D$19),$P$20))-SUM($P591:AI591)</f>
        <v>#VALUE!</v>
      </c>
      <c r="AK591" s="446" t="e">
        <f>IF(OR($B591="",MIN(AK$38,$D$19)&lt;MAX($P$34*($B591+IF($R$17="Distrato",$I$38-1,0)),IF(AND($L$37=0,$P$34=0),"",$L$37-1),IF($R$17="Distrato",$E591,0))),0,YEARFRAC(MAX($P$34*($B591+IF($R$17="Distrato",$I$38-1,0)),IF(AND($L$37=0,$P$34=0),"",$L$37-1),IF($R$17="Distrato",$E591,0)),MIN(AK$38,$D$19),$P$20))-SUM($P591:AJ591)</f>
        <v>#VALUE!</v>
      </c>
      <c r="AL591" s="446" t="e">
        <f>IF(OR($B591="",MIN(AL$38,$D$19)&lt;MAX($P$34*($B591+IF($R$17="Distrato",$I$38-1,0)),IF(AND($L$37=0,$P$34=0),"",$L$37-1),IF($R$17="Distrato",$E591,0))),0,YEARFRAC(MAX($P$34*($B591+IF($R$17="Distrato",$I$38-1,0)),IF(AND($L$37=0,$P$34=0),"",$L$37-1),IF($R$17="Distrato",$E591,0)),MIN(AL$38,$D$19),$P$20))-SUM($P591:AK591)</f>
        <v>#VALUE!</v>
      </c>
      <c r="AM591" s="446" t="e">
        <f>IF(OR($B591="",MIN(AM$38,$D$19)&lt;MAX($P$34*($B591+IF($R$17="Distrato",$I$38-1,0)),IF(AND($L$37=0,$P$34=0),"",$L$37-1),IF($R$17="Distrato",$E591,0))),0,YEARFRAC(MAX($P$34*($B591+IF($R$17="Distrato",$I$38-1,0)),IF(AND($L$37=0,$P$34=0),"",$L$37-1),IF($R$17="Distrato",$E591,0)),MIN(AM$38,$D$19),$P$20))-SUM($P591:AL591)</f>
        <v>#VALUE!</v>
      </c>
      <c r="AN591" s="446" t="e">
        <f>IF(OR($B591="",MIN(AN$38,$D$19)&lt;MAX($P$34*($B591+IF($R$17="Distrato",$I$38-1,0)),IF(AND($L$37=0,$P$34=0),"",$L$37-1),IF($R$17="Distrato",$E591,0))),0,YEARFRAC(MAX($P$34*($B591+IF($R$17="Distrato",$I$38-1,0)),IF(AND($L$37=0,$P$34=0),"",$L$37-1),IF($R$17="Distrato",$E591,0)),MIN(AN$38,$D$19),$P$20))-SUM($P591:AM591)</f>
        <v>#VALUE!</v>
      </c>
      <c r="AO591" s="446" t="e">
        <f>IF(OR($B591="",MIN(AO$38,$D$19)&lt;MAX($P$34*($B591+IF($R$17="Distrato",$I$38-1,0)),IF(AND($L$37=0,$P$34=0),"",$L$37-1),IF($R$17="Distrato",$E591,0))),0,YEARFRAC(MAX($P$34*($B591+IF($R$17="Distrato",$I$38-1,0)),IF(AND($L$37=0,$P$34=0),"",$L$37-1),IF($R$17="Distrato",$E591,0)),MIN(AO$38,$D$19),$P$20))-SUM($P591:AN591)</f>
        <v>#VALUE!</v>
      </c>
      <c r="AP591" s="446" t="e">
        <f>IF(OR($B591="",MIN(AP$38,$D$19)&lt;MAX($P$34*($B591+IF($R$17="Distrato",$I$38-1,0)),IF(AND($L$37=0,$P$34=0),"",$L$37-1),IF($R$17="Distrato",$E591,0))),0,YEARFRAC(MAX($P$34*($B591+IF($R$17="Distrato",$I$38-1,0)),IF(AND($L$37=0,$P$34=0),"",$L$37-1),IF($R$17="Distrato",$E591,0)),MIN(AP$38,$D$19),$P$20))-SUM($P591:AO591)</f>
        <v>#VALUE!</v>
      </c>
      <c r="AQ591" s="446" t="e">
        <f>IF(OR($B591="",MIN(AQ$38,$D$19)&lt;MAX($P$34*($B591+IF($R$17="Distrato",$I$38-1,0)),IF(AND($L$37=0,$P$34=0),"",$L$37-1),IF($R$17="Distrato",$E591,0))),0,YEARFRAC(MAX($P$34*($B591+IF($R$17="Distrato",$I$38-1,0)),IF(AND($L$37=0,$P$34=0),"",$L$37-1),IF($R$17="Distrato",$E591,0)),MIN(AQ$38,$D$19),$P$20))-SUM($P591:AP591)</f>
        <v>#VALUE!</v>
      </c>
      <c r="AR591" s="446" t="e">
        <f>IF(OR($B591="",MIN(AR$38,$D$19)&lt;MAX($P$34*($B591+IF($R$17="Distrato",$I$38-1,0)),IF(AND($L$37=0,$P$34=0),"",$L$37-1),IF($R$17="Distrato",$E591,0))),0,YEARFRAC(MAX($P$34*($B591+IF($R$17="Distrato",$I$38-1,0)),IF(AND($L$37=0,$P$34=0),"",$L$37-1),IF($R$17="Distrato",$E591,0)),MIN(AR$38,$D$19),$P$20))-SUM($P591:AQ591)</f>
        <v>#VALUE!</v>
      </c>
      <c r="AS591" s="446" t="e">
        <f>IF(OR($B591="",MIN(AS$38,$D$19)&lt;MAX($P$34*($B591+IF($R$17="Distrato",$I$38-1,0)),IF(AND($L$37=0,$P$34=0),"",$L$37-1),IF($R$17="Distrato",$E591,0))),0,YEARFRAC(MAX($P$34*($B591+IF($R$17="Distrato",$I$38-1,0)),IF(AND($L$37=0,$P$34=0),"",$L$37-1),IF($R$17="Distrato",$E591,0)),MIN(AS$38,$D$19),$P$20))-SUM($P591:AR591)</f>
        <v>#VALUE!</v>
      </c>
      <c r="AT591" s="446" t="e">
        <f>IF(OR($B591="",MIN(AT$38,$D$19)&lt;MAX($P$34*($B591+IF($R$17="Distrato",$I$38-1,0)),IF(AND($L$37=0,$P$34=0),"",$L$37-1),IF($R$17="Distrato",$E591,0))),0,YEARFRAC(MAX($P$34*($B591+IF($R$17="Distrato",$I$38-1,0)),IF(AND($L$37=0,$P$34=0),"",$L$37-1),IF($R$17="Distrato",$E591,0)),MIN(AT$38,$D$19),$P$20))-SUM($P591:AS591)</f>
        <v>#VALUE!</v>
      </c>
      <c r="AU591" s="446" t="e">
        <f>IF(OR($B591="",MIN(AU$38,$D$19)&lt;MAX($P$34*($B591+IF($R$17="Distrato",$I$38-1,0)),IF(AND($L$37=0,$P$34=0),"",$L$37-1),IF($R$17="Distrato",$E591,0))),0,YEARFRAC(MAX($P$34*($B591+IF($R$17="Distrato",$I$38-1,0)),IF(AND($L$37=0,$P$34=0),"",$L$37-1),IF($R$17="Distrato",$E591,0)),MIN(AU$38,$D$19),$P$20))-SUM($P591:AT591)</f>
        <v>#VALUE!</v>
      </c>
      <c r="AV591" s="446" t="e">
        <f>IF(OR($B591="",MIN(AV$38,$D$19)&lt;MAX($P$34*($B591+IF($R$17="Distrato",$I$38-1,0)),IF(AND($L$37=0,$P$34=0),"",$L$37-1),IF($R$17="Distrato",$E591,0))),0,YEARFRAC(MAX($P$34*($B591+IF($R$17="Distrato",$I$38-1,0)),IF(AND($L$37=0,$P$34=0),"",$L$37-1),IF($R$17="Distrato",$E591,0)),MIN(AV$38,$D$19),$P$20))-SUM($P591:AU591)</f>
        <v>#VALUE!</v>
      </c>
      <c r="AW591" s="446" t="e">
        <f>IF(OR($B591="",MIN(AW$38,$D$19)&lt;MAX($P$34*($B591+IF($R$17="Distrato",$I$38-1,0)),IF(AND($L$37=0,$P$34=0),"",$L$37-1),IF($R$17="Distrato",$E591,0))),0,YEARFRAC(MAX($P$34*($B591+IF($R$17="Distrato",$I$38-1,0)),IF(AND($L$37=0,$P$34=0),"",$L$37-1),IF($R$17="Distrato",$E591,0)),MIN(AW$38,$D$19),$P$20))-SUM($P591:AV591)</f>
        <v>#VALUE!</v>
      </c>
      <c r="AX591" s="446" t="e">
        <f>IF(OR($B591="",MIN(AX$38,$D$19)&lt;MAX($P$34*($B591+IF($R$17="Distrato",$I$38-1,0)),IF(AND($L$37=0,$P$34=0),"",$L$37-1),IF($R$17="Distrato",$E591,0))),0,YEARFRAC(MAX($P$34*($B591+IF($R$17="Distrato",$I$38-1,0)),IF(AND($L$37=0,$P$34=0),"",$L$37-1),IF($R$17="Distrato",$E591,0)),MIN(AX$38,$D$19),$P$20))-SUM($P591:AW591)</f>
        <v>#VALUE!</v>
      </c>
      <c r="AY591" s="446" t="e">
        <f>IF(OR($B591="",MIN(AY$38,$D$19)&lt;MAX($P$34*($B591+IF($R$17="Distrato",$I$38-1,0)),IF(AND($L$37=0,$P$34=0),"",$L$37-1),IF($R$17="Distrato",$E591,0))),0,YEARFRAC(MAX($P$34*($B591+IF($R$17="Distrato",$I$38-1,0)),IF(AND($L$37=0,$P$34=0),"",$L$37-1),IF($R$17="Distrato",$E591,0)),MIN(AY$38,$D$19),$P$20))-SUM($P591:AX591)</f>
        <v>#VALUE!</v>
      </c>
      <c r="AZ591" s="446" t="e">
        <f>IF(OR($B591="",MIN(AZ$38,$D$19)&lt;MAX($P$34*($B591+IF($R$17="Distrato",$I$38-1,0)),IF(AND($L$37=0,$P$34=0),"",$L$37-1),IF($R$17="Distrato",$E591,0))),0,YEARFRAC(MAX($P$34*($B591+IF($R$17="Distrato",$I$38-1,0)),IF(AND($L$37=0,$P$34=0),"",$L$37-1),IF($R$17="Distrato",$E591,0)),MIN(AZ$38,$D$19),$P$20))-SUM($P591:AY591)</f>
        <v>#VALUE!</v>
      </c>
      <c r="BA591" s="446" t="e">
        <f>IF(OR($B591="",MIN(BA$38,$D$19)&lt;MAX($P$34*($B591+IF($R$17="Distrato",$I$38-1,0)),IF(AND($L$37=0,$P$34=0),"",$L$37-1),IF($R$17="Distrato",$E591,0))),0,YEARFRAC(MAX($P$34*($B591+IF($R$17="Distrato",$I$38-1,0)),IF(AND($L$37=0,$P$34=0),"",$L$37-1),IF($R$17="Distrato",$E591,0)),MIN(BA$38,$D$19),$P$20))-SUM($P591:AZ591)</f>
        <v>#VALUE!</v>
      </c>
      <c r="BB591" s="447"/>
      <c r="BF591" s="446">
        <f t="shared" si="98"/>
        <v>0</v>
      </c>
      <c r="BG591" s="446">
        <f>IF($E591=0,0,IF(MIN(BG$38,$E591)&lt;MAX($P$34*($B591+$I$38-1),IF(AND($L$37=0,$P$34=0),"",$L$37-1)),0,YEARFRAC(MAX($P$34*($B591+$I$38-1),IF(AND($L$37=0,$P$34=0),"",$L$37-1)),MIN(BG$38,$E591),$P$20))-SUM($BF591:BF591))</f>
        <v>0</v>
      </c>
      <c r="BH591" s="446">
        <f>IF($E591=0,0,IF(MIN(BH$38,$E591)&lt;MAX($P$34*($B591+$I$38-1),IF(AND($L$37=0,$P$34=0),"",$L$37-1)),0,YEARFRAC(MAX($P$34*($B591+$I$38-1),IF(AND($L$37=0,$P$34=0),"",$L$37-1)),MIN(BH$38,$E591),$P$20))-SUM($BF591:BG591))</f>
        <v>0</v>
      </c>
      <c r="BI591" s="446">
        <f>IF($E591=0,0,IF(MIN(BI$38,$E591)&lt;MAX($P$34*($B591+$I$38-1),IF(AND($L$37=0,$P$34=0),"",$L$37-1)),0,YEARFRAC(MAX($P$34*($B591+$I$38-1),IF(AND($L$37=0,$P$34=0),"",$L$37-1)),MIN(BI$38,$E591),$P$20))-SUM($BF591:BH591))</f>
        <v>0</v>
      </c>
      <c r="BJ591" s="446">
        <f>IF($E591=0,0,IF(MIN(BJ$38,$E591)&lt;MAX($P$34*($B591+$I$38-1),IF(AND($L$37=0,$P$34=0),"",$L$37-1)),0,YEARFRAC(MAX($P$34*($B591+$I$38-1),IF(AND($L$37=0,$P$34=0),"",$L$37-1)),MIN(BJ$38,$E591),$P$20))-SUM($BF591:BI591))</f>
        <v>0</v>
      </c>
      <c r="BK591" s="446">
        <f>IF($E591=0,0,IF(MIN(BK$38,$E591)&lt;MAX($P$34*($B591+$I$38-1),IF(AND($L$37=0,$P$34=0),"",$L$37-1)),0,YEARFRAC(MAX($P$34*($B591+$I$38-1),IF(AND($L$37=0,$P$34=0),"",$L$37-1)),MIN(BK$38,$E591),$P$20))-SUM($BF591:BJ591))</f>
        <v>0</v>
      </c>
      <c r="BL591" s="446">
        <f>IF($E591=0,0,IF(MIN(BL$38,$E591)&lt;MAX($P$34*($B591+$I$38-1),IF(AND($L$37=0,$P$34=0),"",$L$37-1)),0,YEARFRAC(MAX($P$34*($B591+$I$38-1),IF(AND($L$37=0,$P$34=0),"",$L$37-1)),MIN(BL$38,$E591),$P$20))-SUM($BF591:BK591))</f>
        <v>0</v>
      </c>
      <c r="BM591" s="446">
        <f>IF($E591=0,0,IF(MIN(BM$38,$E591)&lt;MAX($P$34*($B591+$I$38-1),IF(AND($L$37=0,$P$34=0),"",$L$37-1)),0,YEARFRAC(MAX($P$34*($B591+$I$38-1),IF(AND($L$37=0,$P$34=0),"",$L$37-1)),MIN(BM$38,$E591),$P$20))-SUM($BF591:BL591))</f>
        <v>0</v>
      </c>
      <c r="BN591" s="446">
        <f>IF($E591=0,0,IF(MIN(BN$38,$E591)&lt;MAX($P$34*($B591+$I$38-1),IF(AND($L$37=0,$P$34=0),"",$L$37-1)),0,YEARFRAC(MAX($P$34*($B591+$I$38-1),IF(AND($L$37=0,$P$34=0),"",$L$37-1)),MIN(BN$38,$E591),$P$20))-SUM($BF591:BM591))</f>
        <v>0</v>
      </c>
      <c r="BO591" s="446">
        <f>IF($E591=0,0,IF(MIN(BO$38,$E591)&lt;MAX($P$34*($B591+$I$38-1),IF(AND($L$37=0,$P$34=0),"",$L$37-1)),0,YEARFRAC(MAX($P$34*($B591+$I$38-1),IF(AND($L$37=0,$P$34=0),"",$L$37-1)),MIN(BO$38,$E591),$P$20))-SUM($BF591:BN591))</f>
        <v>0</v>
      </c>
      <c r="BP591" s="446">
        <f>IF($E591=0,0,IF(MIN(BP$38,$E591)&lt;MAX($P$34*($B591+$I$38-1),IF(AND($L$37=0,$P$34=0),"",$L$37-1)),0,YEARFRAC(MAX($P$34*($B591+$I$38-1),IF(AND($L$37=0,$P$34=0),"",$L$37-1)),MIN(BP$38,$E591),$P$20))-SUM($BF591:BO591))</f>
        <v>0</v>
      </c>
      <c r="BQ591" s="446">
        <f>IF($E591=0,0,IF(MIN(BQ$38,$E591)&lt;MAX($P$34*($B591+$I$38-1),IF(AND($L$37=0,$P$34=0),"",$L$37-1)),0,YEARFRAC(MAX($P$34*($B591+$I$38-1),IF(AND($L$37=0,$P$34=0),"",$L$37-1)),MIN(BQ$38,$E591),$P$20))-SUM($BF591:BP591))</f>
        <v>0</v>
      </c>
      <c r="BR591" s="446">
        <f>IF($E591=0,0,IF(MIN(BR$38,$E591)&lt;MAX($P$34*($B591+$I$38-1),IF(AND($L$37=0,$P$34=0),"",$L$37-1)),0,YEARFRAC(MAX($P$34*($B591+$I$38-1),IF(AND($L$37=0,$P$34=0),"",$L$37-1)),MIN(BR$38,$E591),$P$20))-SUM($BF591:BQ591))</f>
        <v>0</v>
      </c>
      <c r="BS591" s="446">
        <f>IF($E591=0,0,IF(MIN(BS$38,$E591)&lt;MAX($P$34*($B591+$I$38-1),IF(AND($L$37=0,$P$34=0),"",$L$37-1)),0,YEARFRAC(MAX($P$34*($B591+$I$38-1),IF(AND($L$37=0,$P$34=0),"",$L$37-1)),MIN(BS$38,$E591),$P$20))-SUM($BF591:BR591))</f>
        <v>0</v>
      </c>
      <c r="BT591" s="446">
        <f>IF($E591=0,0,IF(MIN(BT$38,$E591)&lt;MAX($P$34*($B591+$I$38-1),IF(AND($L$37=0,$P$34=0),"",$L$37-1)),0,YEARFRAC(MAX($P$34*($B591+$I$38-1),IF(AND($L$37=0,$P$34=0),"",$L$37-1)),MIN(BT$38,$E591),$P$20))-SUM($BF591:BS591))</f>
        <v>0</v>
      </c>
      <c r="BU591" s="446">
        <f>IF($E591=0,0,IF(MIN(BU$38,$E591)&lt;MAX($P$34*($B591+$I$38-1),IF(AND($L$37=0,$P$34=0),"",$L$37-1)),0,YEARFRAC(MAX($P$34*($B591+$I$38-1),IF(AND($L$37=0,$P$34=0),"",$L$37-1)),MIN(BU$38,$E591),$P$20))-SUM($BF591:BT591))</f>
        <v>0</v>
      </c>
      <c r="BV591" s="446">
        <f>IF($E591=0,0,IF(MIN(BV$38,$E591)&lt;MAX($P$34*($B591+$I$38-1),IF(AND($L$37=0,$P$34=0),"",$L$37-1)),0,YEARFRAC(MAX($P$34*($B591+$I$38-1),IF(AND($L$37=0,$P$34=0),"",$L$37-1)),MIN(BV$38,$E591),$P$20))-SUM($BF591:BU591))</f>
        <v>0</v>
      </c>
      <c r="BW591" s="446">
        <f>IF($E591=0,0,IF(MIN(BW$38,$E591)&lt;MAX($P$34*($B591+$I$38-1),IF(AND($L$37=0,$P$34=0),"",$L$37-1)),0,YEARFRAC(MAX($P$34*($B591+$I$38-1),IF(AND($L$37=0,$P$34=0),"",$L$37-1)),MIN(BW$38,$E591),$P$20))-SUM($BF591:BV591))</f>
        <v>0</v>
      </c>
      <c r="BX591" s="446">
        <f>IF($E591=0,0,IF(MIN(BX$38,$E591)&lt;MAX($P$34*($B591+$I$38-1),IF(AND($L$37=0,$P$34=0),"",$L$37-1)),0,YEARFRAC(MAX($P$34*($B591+$I$38-1),IF(AND($L$37=0,$P$34=0),"",$L$37-1)),MIN(BX$38,$E591),$P$20))-SUM($BF591:BW591))</f>
        <v>0</v>
      </c>
      <c r="BY591" s="446">
        <f>IF($E591=0,0,IF(MIN(BY$38,$E591)&lt;MAX($P$34*($B591+$I$38-1),IF(AND($L$37=0,$P$34=0),"",$L$37-1)),0,YEARFRAC(MAX($P$34*($B591+$I$38-1),IF(AND($L$37=0,$P$34=0),"",$L$37-1)),MIN(BY$38,$E591),$P$20))-SUM($BF591:BX591))</f>
        <v>0</v>
      </c>
      <c r="BZ591" s="446">
        <f>IF($E591=0,0,IF(MIN(BZ$38,$E591)&lt;MAX($P$34*($B591+$I$38-1),IF(AND($L$37=0,$P$34=0),"",$L$37-1)),0,YEARFRAC(MAX($P$34*($B591+$I$38-1),IF(AND($L$37=0,$P$34=0),"",$L$37-1)),MIN(BZ$38,$E591),$P$20))-SUM($BF591:BY591))</f>
        <v>0</v>
      </c>
      <c r="CA591" s="446">
        <f>IF($E591=0,0,IF(MIN(CA$38,$E591)&lt;MAX($P$34*($B591+$I$38-1),IF(AND($L$37=0,$P$34=0),"",$L$37-1)),0,YEARFRAC(MAX($P$34*($B591+$I$38-1),IF(AND($L$37=0,$P$34=0),"",$L$37-1)),MIN(CA$38,$E591),$P$20))-SUM($BF591:BZ591))</f>
        <v>0</v>
      </c>
      <c r="CB591" s="446">
        <f>IF($E591=0,0,IF(MIN(CB$38,$E591)&lt;MAX($P$34*($B591+$I$38-1),IF(AND($L$37=0,$P$34=0),"",$L$37-1)),0,YEARFRAC(MAX($P$34*($B591+$I$38-1),IF(AND($L$37=0,$P$34=0),"",$L$37-1)),MIN(CB$38,$E591),$P$20))-SUM($BF591:CA591))</f>
        <v>0</v>
      </c>
      <c r="CC591" s="446">
        <f>IF($E591=0,0,IF(MIN(CC$38,$E591)&lt;MAX($P$34*($B591+$I$38-1),IF(AND($L$37=0,$P$34=0),"",$L$37-1)),0,YEARFRAC(MAX($P$34*($B591+$I$38-1),IF(AND($L$37=0,$P$34=0),"",$L$37-1)),MIN(CC$38,$E591),$P$20))-SUM($BF591:CB591))</f>
        <v>0</v>
      </c>
      <c r="CD591" s="446">
        <f>IF($E591=0,0,IF(MIN(CD$38,$E591)&lt;MAX($P$34*($B591+$I$38-1),IF(AND($L$37=0,$P$34=0),"",$L$37-1)),0,YEARFRAC(MAX($P$34*($B591+$I$38-1),IF(AND($L$37=0,$P$34=0),"",$L$37-1)),MIN(CD$38,$E591),$P$20))-SUM($BF591:CC591))</f>
        <v>0</v>
      </c>
      <c r="CE591" s="446">
        <f>IF($E591=0,0,IF(MIN(CE$38,$E591)&lt;MAX($P$34*($B591+$I$38-1),IF(AND($L$37=0,$P$34=0),"",$L$37-1)),0,YEARFRAC(MAX($P$34*($B591+$I$38-1),IF(AND($L$37=0,$P$34=0),"",$L$37-1)),MIN(CE$38,$E591),$P$20))-SUM($BF591:CD591))</f>
        <v>0</v>
      </c>
      <c r="CF591" s="446">
        <f>IF($E591=0,0,IF(MIN(CF$38,$E591)&lt;MAX($P$34*($B591+$I$38-1),IF(AND($L$37=0,$P$34=0),"",$L$37-1)),0,YEARFRAC(MAX($P$34*($B591+$I$38-1),IF(AND($L$37=0,$P$34=0),"",$L$37-1)),MIN(CF$38,$E591),$P$20))-SUM($BF591:CE591))</f>
        <v>0</v>
      </c>
      <c r="CG591" s="446">
        <f>IF($E591=0,0,IF(MIN(CG$38,$E591)&lt;MAX($P$34*($B591+$I$38-1),IF(AND($L$37=0,$P$34=0),"",$L$37-1)),0,YEARFRAC(MAX($P$34*($B591+$I$38-1),IF(AND($L$37=0,$P$34=0),"",$L$37-1)),MIN(CG$38,$E591),$P$20))-SUM($BF591:CF591))</f>
        <v>0</v>
      </c>
      <c r="CH591" s="446">
        <f>IF($E591=0,0,IF(MIN(CH$38,$E591)&lt;MAX($P$34*($B591+$I$38-1),IF(AND($L$37=0,$P$34=0),"",$L$37-1)),0,YEARFRAC(MAX($P$34*($B591+$I$38-1),IF(AND($L$37=0,$P$34=0),"",$L$37-1)),MIN(CH$38,$E591),$P$20))-SUM($BF591:CG591))</f>
        <v>0</v>
      </c>
      <c r="CI591" s="446">
        <f>IF($E591=0,0,IF(MIN(CI$38,$E591)&lt;MAX($P$34*($B591+$I$38-1),IF(AND($L$37=0,$P$34=0),"",$L$37-1)),0,YEARFRAC(MAX($P$34*($B591+$I$38-1),IF(AND($L$37=0,$P$34=0),"",$L$37-1)),MIN(CI$38,$E591),$P$20))-SUM($BF591:CH591))</f>
        <v>0</v>
      </c>
      <c r="CJ591" s="446">
        <f>IF($E591=0,0,IF(MIN(CJ$38,$E591)&lt;MAX($P$34*($B591+$I$38-1),IF(AND($L$37=0,$P$34=0),"",$L$37-1)),0,YEARFRAC(MAX($P$34*($B591+$I$38-1),IF(AND($L$37=0,$P$34=0),"",$L$37-1)),MIN(CJ$38,$E591),$P$20))-SUM($BF591:CI591))</f>
        <v>0</v>
      </c>
      <c r="CK591" s="446">
        <f>IF($E591=0,0,IF(MIN(CK$38,$E591)&lt;MAX($P$34*($B591+$I$38-1),IF(AND($L$37=0,$P$34=0),"",$L$37-1)),0,YEARFRAC(MAX($P$34*($B591+$I$38-1),IF(AND($L$37=0,$P$34=0),"",$L$37-1)),MIN(CK$38,$E591),$P$20))-SUM($BF591:CJ591))</f>
        <v>0</v>
      </c>
      <c r="CL591" s="446">
        <f>IF($E591=0,0,IF(MIN(CL$38,$E591)&lt;MAX($P$34*($B591+$I$38-1),IF(AND($L$37=0,$P$34=0),"",$L$37-1)),0,YEARFRAC(MAX($P$34*($B591+$I$38-1),IF(AND($L$37=0,$P$34=0),"",$L$37-1)),MIN(CL$38,$E591),$P$20))-SUM($BF591:CK591))</f>
        <v>0</v>
      </c>
      <c r="CM591" s="446">
        <f>IF($E591=0,0,IF(MIN(CM$38,$E591)&lt;MAX($P$34*($B591+$I$38-1),IF(AND($L$37=0,$P$34=0),"",$L$37-1)),0,YEARFRAC(MAX($P$34*($B591+$I$38-1),IF(AND($L$37=0,$P$34=0),"",$L$37-1)),MIN(CM$38,$E591),$P$20))-SUM($BF591:CL591))</f>
        <v>0</v>
      </c>
      <c r="CN591" s="446">
        <f>IF($E591=0,0,IF(MIN(CN$38,$E591)&lt;MAX($P$34*($B591+$I$38-1),IF(AND($L$37=0,$P$34=0),"",$L$37-1)),0,YEARFRAC(MAX($P$34*($B591+$I$38-1),IF(AND($L$37=0,$P$34=0),"",$L$37-1)),MIN(CN$38,$E591),$P$20))-SUM($BF591:CM591))</f>
        <v>0</v>
      </c>
      <c r="CO591" s="446">
        <f>IF($E591=0,0,IF(MIN(CO$38,$E591)&lt;MAX($P$34*($B591+$I$38-1),IF(AND($L$37=0,$P$34=0),"",$L$37-1)),0,YEARFRAC(MAX($P$34*($B591+$I$38-1),IF(AND($L$37=0,$P$34=0),"",$L$37-1)),MIN(CO$38,$E591),$P$20))-SUM($BF591:CN591))</f>
        <v>0</v>
      </c>
      <c r="CP591" s="446">
        <f>IF($E591=0,0,IF(MIN(CP$38,$E591)&lt;MAX($P$34*($B591+$I$38-1),IF(AND($L$37=0,$P$34=0),"",$L$37-1)),0,YEARFRAC(MAX($P$34*($B591+$I$38-1),IF(AND($L$37=0,$P$34=0),"",$L$37-1)),MIN(CP$38,$E591),$P$20))-SUM($BF591:CO591))</f>
        <v>0</v>
      </c>
      <c r="CQ591" s="446">
        <f>IF($E591=0,0,IF(MIN(CQ$38,$E591)&lt;MAX($P$34*($B591+$I$38-1),IF(AND($L$37=0,$P$34=0),"",$L$37-1)),0,YEARFRAC(MAX($P$34*($B591+$I$38-1),IF(AND($L$37=0,$P$34=0),"",$L$37-1)),MIN(CQ$38,$E591),$P$20))-SUM($BF591:CP591))</f>
        <v>0</v>
      </c>
    </row>
    <row r="592" spans="1:95" s="446" customFormat="1" ht="11.25" hidden="1" customHeight="1" x14ac:dyDescent="0.2">
      <c r="A592" s="152"/>
      <c r="B592" s="153" t="str">
        <f t="shared" si="103"/>
        <v/>
      </c>
      <c r="C592" s="29" t="str">
        <f>IF(B592="","",IF($L$35="SELIC - TRIBUTOS",VLOOKUP(DATE(YEAR($D$19),MONTH($D$19)-1,1),ÍNDICES!$A:$DE,HLOOKUP($BL$25,ÍNDICES!$B$3:$T$4,2)+11)-VLOOKUP(B592,ÍNDICES!$A:$DE,HLOOKUP($BL$25,ÍNDICES!$B$3:$T$4,2)+11)+1%,IF(C$38=$W$26,$J$35,IF(ISERROR(IF(B592&gt;$D$19,1,VLOOKUP(DATE(YEAR(B592),MONTH(B592)+IF($C$35=$S$23,1,0),1),ÍNDICES!$A:$DE,$Z$35+1))),"",IF(B592&gt;$D$19,1,VLOOKUP(DATE(YEAR(B592),MONTH(B592)+IF($C$35=$S$23,1,0),1),ÍNDICES!$A:$DE,$Z$35+1))))))</f>
        <v/>
      </c>
      <c r="D592" s="154" t="str">
        <f>IF(ISERROR(IF(OR($D$38=$Y$27,$B592=""),"",VLOOKUP(B592,ÍNDICES!A:DE,AF$35+1))),"",IF(OR($D$38=$Y$27,$B592=""),"",VLOOKUP(B592,ÍNDICES!A:DE,AF$35+1)))</f>
        <v/>
      </c>
      <c r="E592" s="153"/>
      <c r="F592" s="29" t="str">
        <f>IF(E592="","",IF($L$35="SELIC - TRIBUTOS",VLOOKUP(DATE(YEAR($D$19),MONTH($D$19)-1,1),ÍNDICES!$A:$DE,HLOOKUP($BL$25,ÍNDICES!$B$3:$T$4,2)+11)-VLOOKUP(E592,ÍNDICES!$A:$DE,HLOOKUP($BL$25,ÍNDICES!$B$3:$T$4,2)+11)+1%,IF(F$38=$W$26,$J$35,IF(ISERROR(IF(E592&gt;$D$19,1,VLOOKUP(DATE(YEAR(E592),MONTH(E592)+IF($C$35=$S$23,1,0),1),ÍNDICES!$A:$DE,$Z$35+1))),"",IF(E592&gt;$D$19,1,VLOOKUP(DATE(YEAR(E592),MONTH(E592)+IF($C$35=$S$23,1,0),1),ÍNDICES!$A:$DE,$Z$35+1))))))</f>
        <v/>
      </c>
      <c r="G592" s="155"/>
      <c r="H592" s="156" t="str">
        <f t="shared" si="99"/>
        <v/>
      </c>
      <c r="I592" s="29" t="str">
        <f t="shared" si="93"/>
        <v/>
      </c>
      <c r="J592" s="5">
        <f t="shared" si="94"/>
        <v>0</v>
      </c>
      <c r="K592" s="20">
        <f t="shared" ca="1" si="95"/>
        <v>0</v>
      </c>
      <c r="L592" s="5">
        <f t="shared" ca="1" si="96"/>
        <v>0</v>
      </c>
      <c r="M592" s="64">
        <f t="shared" si="100"/>
        <v>0</v>
      </c>
      <c r="N592" s="61">
        <f t="shared" ca="1" si="101"/>
        <v>0</v>
      </c>
      <c r="O592" s="5">
        <f t="shared" ca="1" si="102"/>
        <v>0</v>
      </c>
      <c r="P592" s="446" t="e">
        <f t="shared" si="97"/>
        <v>#VALUE!</v>
      </c>
      <c r="Q592" s="446" t="e">
        <f>IF(OR($B592="",MIN(Q$38,$D$19)&lt;MAX($P$34*($B592+IF($R$17="Distrato",$I$38-1,0)),IF(AND($L$37=0,$P$34=0),"",$L$37-1),IF($R$17="Distrato",$E592,0))),0,YEARFRAC(MAX($P$34*($B592+IF($R$17="Distrato",$I$38-1,0)),IF(AND($L$37=0,$P$34=0),"",$L$37-1),IF($R$17="Distrato",$E592,0)),MIN(Q$38,$D$19),$P$20))-SUM($P592:P592)</f>
        <v>#VALUE!</v>
      </c>
      <c r="R592" s="446" t="e">
        <f>IF(OR($B592="",MIN(R$38,$D$19)&lt;MAX($P$34*($B592+IF($R$17="Distrato",$I$38-1,0)),IF(AND($L$37=0,$P$34=0),"",$L$37-1),IF($R$17="Distrato",$E592,0))),0,YEARFRAC(MAX($P$34*($B592+IF($R$17="Distrato",$I$38-1,0)),IF(AND($L$37=0,$P$34=0),"",$L$37-1),IF($R$17="Distrato",$E592,0)),MIN(R$38,$D$19),$P$20))-SUM($P592:Q592)</f>
        <v>#VALUE!</v>
      </c>
      <c r="S592" s="446" t="e">
        <f>IF(OR($B592="",MIN(S$38,$D$19)&lt;MAX($P$34*($B592+IF($R$17="Distrato",$I$38-1,0)),IF(AND($L$37=0,$P$34=0),"",$L$37-1),IF($R$17="Distrato",$E592,0))),0,YEARFRAC(MAX($P$34*($B592+IF($R$17="Distrato",$I$38-1,0)),IF(AND($L$37=0,$P$34=0),"",$L$37-1),IF($R$17="Distrato",$E592,0)),MIN(S$38,$D$19),$P$20))-SUM($P592:R592)</f>
        <v>#VALUE!</v>
      </c>
      <c r="T592" s="446" t="e">
        <f>IF(OR($B592="",MIN(T$38,$D$19)&lt;MAX($P$34*($B592+IF($R$17="Distrato",$I$38-1,0)),IF(AND($L$37=0,$P$34=0),"",$L$37-1),IF($R$17="Distrato",$E592,0))),0,YEARFRAC(MAX($P$34*($B592+IF($R$17="Distrato",$I$38-1,0)),IF(AND($L$37=0,$P$34=0),"",$L$37-1),IF($R$17="Distrato",$E592,0)),MIN(T$38,$D$19),$P$20))-SUM($P592:S592)</f>
        <v>#VALUE!</v>
      </c>
      <c r="U592" s="446" t="e">
        <f>IF(OR($B592="",MIN(U$38,$D$19)&lt;MAX($P$34*($B592+IF($R$17="Distrato",$I$38-1,0)),IF(AND($L$37=0,$P$34=0),"",$L$37-1),IF($R$17="Distrato",$E592,0))),0,YEARFRAC(MAX($P$34*($B592+IF($R$17="Distrato",$I$38-1,0)),IF(AND($L$37=0,$P$34=0),"",$L$37-1),IF($R$17="Distrato",$E592,0)),MIN(U$38,$D$19),$P$20))-SUM($P592:T592)</f>
        <v>#VALUE!</v>
      </c>
      <c r="V592" s="446" t="e">
        <f>IF(OR($B592="",MIN(V$38,$D$19)&lt;MAX($P$34*($B592+IF($R$17="Distrato",$I$38-1,0)),IF(AND($L$37=0,$P$34=0),"",$L$37-1),IF($R$17="Distrato",$E592,0))),0,YEARFRAC(MAX($P$34*($B592+IF($R$17="Distrato",$I$38-1,0)),IF(AND($L$37=0,$P$34=0),"",$L$37-1),IF($R$17="Distrato",$E592,0)),MIN(V$38,$D$19),$P$20))-SUM($P592:U592)</f>
        <v>#VALUE!</v>
      </c>
      <c r="W592" s="446" t="e">
        <f>IF(OR($B592="",MIN(W$38,$D$19)&lt;MAX($P$34*($B592+IF($R$17="Distrato",$I$38-1,0)),IF(AND($L$37=0,$P$34=0),"",$L$37-1),IF($R$17="Distrato",$E592,0))),0,YEARFRAC(MAX($P$34*($B592+IF($R$17="Distrato",$I$38-1,0)),IF(AND($L$37=0,$P$34=0),"",$L$37-1),IF($R$17="Distrato",$E592,0)),MIN(W$38,$D$19),$P$20))-SUM($P592:V592)</f>
        <v>#VALUE!</v>
      </c>
      <c r="X592" s="446" t="e">
        <f>IF(OR($B592="",MIN(X$38,$D$19)&lt;MAX($P$34*($B592+IF($R$17="Distrato",$I$38-1,0)),IF(AND($L$37=0,$P$34=0),"",$L$37-1),IF($R$17="Distrato",$E592,0))),0,YEARFRAC(MAX($P$34*($B592+IF($R$17="Distrato",$I$38-1,0)),IF(AND($L$37=0,$P$34=0),"",$L$37-1),IF($R$17="Distrato",$E592,0)),MIN(X$38,$D$19),$P$20))-SUM($P592:W592)</f>
        <v>#VALUE!</v>
      </c>
      <c r="Y592" s="446" t="e">
        <f>IF(OR($B592="",MIN(Y$38,$D$19)&lt;MAX($P$34*($B592+IF($R$17="Distrato",$I$38-1,0)),IF(AND($L$37=0,$P$34=0),"",$L$37-1),IF($R$17="Distrato",$E592,0))),0,YEARFRAC(MAX($P$34*($B592+IF($R$17="Distrato",$I$38-1,0)),IF(AND($L$37=0,$P$34=0),"",$L$37-1),IF($R$17="Distrato",$E592,0)),MIN(Y$38,$D$19),$P$20))-SUM($P592:X592)</f>
        <v>#VALUE!</v>
      </c>
      <c r="Z592" s="446" t="e">
        <f>IF(OR($B592="",MIN(Z$38,$D$19)&lt;MAX($P$34*($B592+IF($R$17="Distrato",$I$38-1,0)),IF(AND($L$37=0,$P$34=0),"",$L$37-1),IF($R$17="Distrato",$E592,0))),0,YEARFRAC(MAX($P$34*($B592+IF($R$17="Distrato",$I$38-1,0)),IF(AND($L$37=0,$P$34=0),"",$L$37-1),IF($R$17="Distrato",$E592,0)),MIN(Z$38,$D$19),$P$20))-SUM($P592:Y592)</f>
        <v>#VALUE!</v>
      </c>
      <c r="AA592" s="446" t="e">
        <f>IF(OR($B592="",MIN(AA$38,$D$19)&lt;MAX($P$34*($B592+IF($R$17="Distrato",$I$38-1,0)),IF(AND($L$37=0,$P$34=0),"",$L$37-1),IF($R$17="Distrato",$E592,0))),0,YEARFRAC(MAX($P$34*($B592+IF($R$17="Distrato",$I$38-1,0)),IF(AND($L$37=0,$P$34=0),"",$L$37-1),IF($R$17="Distrato",$E592,0)),MIN(AA$38,$D$19),$P$20))-SUM($P592:Z592)</f>
        <v>#VALUE!</v>
      </c>
      <c r="AB592" s="446" t="e">
        <f>IF(OR($B592="",MIN(AB$38,$D$19)&lt;MAX($P$34*($B592+IF($R$17="Distrato",$I$38-1,0)),IF(AND($L$37=0,$P$34=0),"",$L$37-1),IF($R$17="Distrato",$E592,0))),0,YEARFRAC(MAX($P$34*($B592+IF($R$17="Distrato",$I$38-1,0)),IF(AND($L$37=0,$P$34=0),"",$L$37-1),IF($R$17="Distrato",$E592,0)),MIN(AB$38,$D$19),$P$20))-SUM($P592:AA592)</f>
        <v>#VALUE!</v>
      </c>
      <c r="AC592" s="446" t="e">
        <f>IF(OR($B592="",MIN(AC$38,$D$19)&lt;MAX($P$34*($B592+IF($R$17="Distrato",$I$38-1,0)),IF(AND($L$37=0,$P$34=0),"",$L$37-1),IF($R$17="Distrato",$E592,0))),0,YEARFRAC(MAX($P$34*($B592+IF($R$17="Distrato",$I$38-1,0)),IF(AND($L$37=0,$P$34=0),"",$L$37-1),IF($R$17="Distrato",$E592,0)),MIN(AC$38,$D$19),$P$20))-SUM($P592:AB592)</f>
        <v>#VALUE!</v>
      </c>
      <c r="AD592" s="446" t="e">
        <f>IF(OR($B592="",MIN(AD$38,$D$19)&lt;MAX($P$34*($B592+IF($R$17="Distrato",$I$38-1,0)),IF(AND($L$37=0,$P$34=0),"",$L$37-1),IF($R$17="Distrato",$E592,0))),0,YEARFRAC(MAX($P$34*($B592+IF($R$17="Distrato",$I$38-1,0)),IF(AND($L$37=0,$P$34=0),"",$L$37-1),IF($R$17="Distrato",$E592,0)),MIN(AD$38,$D$19),$P$20))-SUM($P592:AC592)</f>
        <v>#VALUE!</v>
      </c>
      <c r="AE592" s="446" t="e">
        <f>IF(OR($B592="",MIN(AE$38,$D$19)&lt;MAX($P$34*($B592+IF($R$17="Distrato",$I$38-1,0)),IF(AND($L$37=0,$P$34=0),"",$L$37-1),IF($R$17="Distrato",$E592,0))),0,YEARFRAC(MAX($P$34*($B592+IF($R$17="Distrato",$I$38-1,0)),IF(AND($L$37=0,$P$34=0),"",$L$37-1),IF($R$17="Distrato",$E592,0)),MIN(AE$38,$D$19),$P$20))-SUM($P592:AD592)</f>
        <v>#VALUE!</v>
      </c>
      <c r="AF592" s="446" t="e">
        <f>IF(OR($B592="",MIN(AF$38,$D$19)&lt;MAX($P$34*($B592+IF($R$17="Distrato",$I$38-1,0)),IF(AND($L$37=0,$P$34=0),"",$L$37-1),IF($R$17="Distrato",$E592,0))),0,YEARFRAC(MAX($P$34*($B592+IF($R$17="Distrato",$I$38-1,0)),IF(AND($L$37=0,$P$34=0),"",$L$37-1),IF($R$17="Distrato",$E592,0)),MIN(AF$38,$D$19),$P$20))-SUM($P592:AE592)</f>
        <v>#VALUE!</v>
      </c>
      <c r="AG592" s="446" t="e">
        <f>IF(OR($B592="",MIN(AG$38,$D$19)&lt;MAX($P$34*($B592+IF($R$17="Distrato",$I$38-1,0)),IF(AND($L$37=0,$P$34=0),"",$L$37-1),IF($R$17="Distrato",$E592,0))),0,YEARFRAC(MAX($P$34*($B592+IF($R$17="Distrato",$I$38-1,0)),IF(AND($L$37=0,$P$34=0),"",$L$37-1),IF($R$17="Distrato",$E592,0)),MIN(AG$38,$D$19),$P$20))-SUM($P592:AF592)</f>
        <v>#VALUE!</v>
      </c>
      <c r="AH592" s="446" t="e">
        <f>IF(OR($B592="",MIN(AH$38,$D$19)&lt;MAX($P$34*($B592+IF($R$17="Distrato",$I$38-1,0)),IF(AND($L$37=0,$P$34=0),"",$L$37-1),IF($R$17="Distrato",$E592,0))),0,YEARFRAC(MAX($P$34*($B592+IF($R$17="Distrato",$I$38-1,0)),IF(AND($L$37=0,$P$34=0),"",$L$37-1),IF($R$17="Distrato",$E592,0)),MIN(AH$38,$D$19),$P$20))-SUM($P592:AG592)</f>
        <v>#VALUE!</v>
      </c>
      <c r="AI592" s="446" t="e">
        <f>IF(OR($B592="",MIN(AI$38,$D$19)&lt;MAX($P$34*($B592+IF($R$17="Distrato",$I$38-1,0)),IF(AND($L$37=0,$P$34=0),"",$L$37-1),IF($R$17="Distrato",$E592,0))),0,YEARFRAC(MAX($P$34*($B592+IF($R$17="Distrato",$I$38-1,0)),IF(AND($L$37=0,$P$34=0),"",$L$37-1),IF($R$17="Distrato",$E592,0)),MIN(AI$38,$D$19),$P$20))-SUM($P592:AH592)</f>
        <v>#VALUE!</v>
      </c>
      <c r="AJ592" s="446" t="e">
        <f>IF(OR($B592="",MIN(AJ$38,$D$19)&lt;MAX($P$34*($B592+IF($R$17="Distrato",$I$38-1,0)),IF(AND($L$37=0,$P$34=0),"",$L$37-1),IF($R$17="Distrato",$E592,0))),0,YEARFRAC(MAX($P$34*($B592+IF($R$17="Distrato",$I$38-1,0)),IF(AND($L$37=0,$P$34=0),"",$L$37-1),IF($R$17="Distrato",$E592,0)),MIN(AJ$38,$D$19),$P$20))-SUM($P592:AI592)</f>
        <v>#VALUE!</v>
      </c>
      <c r="AK592" s="446" t="e">
        <f>IF(OR($B592="",MIN(AK$38,$D$19)&lt;MAX($P$34*($B592+IF($R$17="Distrato",$I$38-1,0)),IF(AND($L$37=0,$P$34=0),"",$L$37-1),IF($R$17="Distrato",$E592,0))),0,YEARFRAC(MAX($P$34*($B592+IF($R$17="Distrato",$I$38-1,0)),IF(AND($L$37=0,$P$34=0),"",$L$37-1),IF($R$17="Distrato",$E592,0)),MIN(AK$38,$D$19),$P$20))-SUM($P592:AJ592)</f>
        <v>#VALUE!</v>
      </c>
      <c r="AL592" s="446" t="e">
        <f>IF(OR($B592="",MIN(AL$38,$D$19)&lt;MAX($P$34*($B592+IF($R$17="Distrato",$I$38-1,0)),IF(AND($L$37=0,$P$34=0),"",$L$37-1),IF($R$17="Distrato",$E592,0))),0,YEARFRAC(MAX($P$34*($B592+IF($R$17="Distrato",$I$38-1,0)),IF(AND($L$37=0,$P$34=0),"",$L$37-1),IF($R$17="Distrato",$E592,0)),MIN(AL$38,$D$19),$P$20))-SUM($P592:AK592)</f>
        <v>#VALUE!</v>
      </c>
      <c r="AM592" s="446" t="e">
        <f>IF(OR($B592="",MIN(AM$38,$D$19)&lt;MAX($P$34*($B592+IF($R$17="Distrato",$I$38-1,0)),IF(AND($L$37=0,$P$34=0),"",$L$37-1),IF($R$17="Distrato",$E592,0))),0,YEARFRAC(MAX($P$34*($B592+IF($R$17="Distrato",$I$38-1,0)),IF(AND($L$37=0,$P$34=0),"",$L$37-1),IF($R$17="Distrato",$E592,0)),MIN(AM$38,$D$19),$P$20))-SUM($P592:AL592)</f>
        <v>#VALUE!</v>
      </c>
      <c r="AN592" s="446" t="e">
        <f>IF(OR($B592="",MIN(AN$38,$D$19)&lt;MAX($P$34*($B592+IF($R$17="Distrato",$I$38-1,0)),IF(AND($L$37=0,$P$34=0),"",$L$37-1),IF($R$17="Distrato",$E592,0))),0,YEARFRAC(MAX($P$34*($B592+IF($R$17="Distrato",$I$38-1,0)),IF(AND($L$37=0,$P$34=0),"",$L$37-1),IF($R$17="Distrato",$E592,0)),MIN(AN$38,$D$19),$P$20))-SUM($P592:AM592)</f>
        <v>#VALUE!</v>
      </c>
      <c r="AO592" s="446" t="e">
        <f>IF(OR($B592="",MIN(AO$38,$D$19)&lt;MAX($P$34*($B592+IF($R$17="Distrato",$I$38-1,0)),IF(AND($L$37=0,$P$34=0),"",$L$37-1),IF($R$17="Distrato",$E592,0))),0,YEARFRAC(MAX($P$34*($B592+IF($R$17="Distrato",$I$38-1,0)),IF(AND($L$37=0,$P$34=0),"",$L$37-1),IF($R$17="Distrato",$E592,0)),MIN(AO$38,$D$19),$P$20))-SUM($P592:AN592)</f>
        <v>#VALUE!</v>
      </c>
      <c r="AP592" s="446" t="e">
        <f>IF(OR($B592="",MIN(AP$38,$D$19)&lt;MAX($P$34*($B592+IF($R$17="Distrato",$I$38-1,0)),IF(AND($L$37=0,$P$34=0),"",$L$37-1),IF($R$17="Distrato",$E592,0))),0,YEARFRAC(MAX($P$34*($B592+IF($R$17="Distrato",$I$38-1,0)),IF(AND($L$37=0,$P$34=0),"",$L$37-1),IF($R$17="Distrato",$E592,0)),MIN(AP$38,$D$19),$P$20))-SUM($P592:AO592)</f>
        <v>#VALUE!</v>
      </c>
      <c r="AQ592" s="446" t="e">
        <f>IF(OR($B592="",MIN(AQ$38,$D$19)&lt;MAX($P$34*($B592+IF($R$17="Distrato",$I$38-1,0)),IF(AND($L$37=0,$P$34=0),"",$L$37-1),IF($R$17="Distrato",$E592,0))),0,YEARFRAC(MAX($P$34*($B592+IF($R$17="Distrato",$I$38-1,0)),IF(AND($L$37=0,$P$34=0),"",$L$37-1),IF($R$17="Distrato",$E592,0)),MIN(AQ$38,$D$19),$P$20))-SUM($P592:AP592)</f>
        <v>#VALUE!</v>
      </c>
      <c r="AR592" s="446" t="e">
        <f>IF(OR($B592="",MIN(AR$38,$D$19)&lt;MAX($P$34*($B592+IF($R$17="Distrato",$I$38-1,0)),IF(AND($L$37=0,$P$34=0),"",$L$37-1),IF($R$17="Distrato",$E592,0))),0,YEARFRAC(MAX($P$34*($B592+IF($R$17="Distrato",$I$38-1,0)),IF(AND($L$37=0,$P$34=0),"",$L$37-1),IF($R$17="Distrato",$E592,0)),MIN(AR$38,$D$19),$P$20))-SUM($P592:AQ592)</f>
        <v>#VALUE!</v>
      </c>
      <c r="AS592" s="446" t="e">
        <f>IF(OR($B592="",MIN(AS$38,$D$19)&lt;MAX($P$34*($B592+IF($R$17="Distrato",$I$38-1,0)),IF(AND($L$37=0,$P$34=0),"",$L$37-1),IF($R$17="Distrato",$E592,0))),0,YEARFRAC(MAX($P$34*($B592+IF($R$17="Distrato",$I$38-1,0)),IF(AND($L$37=0,$P$34=0),"",$L$37-1),IF($R$17="Distrato",$E592,0)),MIN(AS$38,$D$19),$P$20))-SUM($P592:AR592)</f>
        <v>#VALUE!</v>
      </c>
      <c r="AT592" s="446" t="e">
        <f>IF(OR($B592="",MIN(AT$38,$D$19)&lt;MAX($P$34*($B592+IF($R$17="Distrato",$I$38-1,0)),IF(AND($L$37=0,$P$34=0),"",$L$37-1),IF($R$17="Distrato",$E592,0))),0,YEARFRAC(MAX($P$34*($B592+IF($R$17="Distrato",$I$38-1,0)),IF(AND($L$37=0,$P$34=0),"",$L$37-1),IF($R$17="Distrato",$E592,0)),MIN(AT$38,$D$19),$P$20))-SUM($P592:AS592)</f>
        <v>#VALUE!</v>
      </c>
      <c r="AU592" s="446" t="e">
        <f>IF(OR($B592="",MIN(AU$38,$D$19)&lt;MAX($P$34*($B592+IF($R$17="Distrato",$I$38-1,0)),IF(AND($L$37=0,$P$34=0),"",$L$37-1),IF($R$17="Distrato",$E592,0))),0,YEARFRAC(MAX($P$34*($B592+IF($R$17="Distrato",$I$38-1,0)),IF(AND($L$37=0,$P$34=0),"",$L$37-1),IF($R$17="Distrato",$E592,0)),MIN(AU$38,$D$19),$P$20))-SUM($P592:AT592)</f>
        <v>#VALUE!</v>
      </c>
      <c r="AV592" s="446" t="e">
        <f>IF(OR($B592="",MIN(AV$38,$D$19)&lt;MAX($P$34*($B592+IF($R$17="Distrato",$I$38-1,0)),IF(AND($L$37=0,$P$34=0),"",$L$37-1),IF($R$17="Distrato",$E592,0))),0,YEARFRAC(MAX($P$34*($B592+IF($R$17="Distrato",$I$38-1,0)),IF(AND($L$37=0,$P$34=0),"",$L$37-1),IF($R$17="Distrato",$E592,0)),MIN(AV$38,$D$19),$P$20))-SUM($P592:AU592)</f>
        <v>#VALUE!</v>
      </c>
      <c r="AW592" s="446" t="e">
        <f>IF(OR($B592="",MIN(AW$38,$D$19)&lt;MAX($P$34*($B592+IF($R$17="Distrato",$I$38-1,0)),IF(AND($L$37=0,$P$34=0),"",$L$37-1),IF($R$17="Distrato",$E592,0))),0,YEARFRAC(MAX($P$34*($B592+IF($R$17="Distrato",$I$38-1,0)),IF(AND($L$37=0,$P$34=0),"",$L$37-1),IF($R$17="Distrato",$E592,0)),MIN(AW$38,$D$19),$P$20))-SUM($P592:AV592)</f>
        <v>#VALUE!</v>
      </c>
      <c r="AX592" s="446" t="e">
        <f>IF(OR($B592="",MIN(AX$38,$D$19)&lt;MAX($P$34*($B592+IF($R$17="Distrato",$I$38-1,0)),IF(AND($L$37=0,$P$34=0),"",$L$37-1),IF($R$17="Distrato",$E592,0))),0,YEARFRAC(MAX($P$34*($B592+IF($R$17="Distrato",$I$38-1,0)),IF(AND($L$37=0,$P$34=0),"",$L$37-1),IF($R$17="Distrato",$E592,0)),MIN(AX$38,$D$19),$P$20))-SUM($P592:AW592)</f>
        <v>#VALUE!</v>
      </c>
      <c r="AY592" s="446" t="e">
        <f>IF(OR($B592="",MIN(AY$38,$D$19)&lt;MAX($P$34*($B592+IF($R$17="Distrato",$I$38-1,0)),IF(AND($L$37=0,$P$34=0),"",$L$37-1),IF($R$17="Distrato",$E592,0))),0,YEARFRAC(MAX($P$34*($B592+IF($R$17="Distrato",$I$38-1,0)),IF(AND($L$37=0,$P$34=0),"",$L$37-1),IF($R$17="Distrato",$E592,0)),MIN(AY$38,$D$19),$P$20))-SUM($P592:AX592)</f>
        <v>#VALUE!</v>
      </c>
      <c r="AZ592" s="446" t="e">
        <f>IF(OR($B592="",MIN(AZ$38,$D$19)&lt;MAX($P$34*($B592+IF($R$17="Distrato",$I$38-1,0)),IF(AND($L$37=0,$P$34=0),"",$L$37-1),IF($R$17="Distrato",$E592,0))),0,YEARFRAC(MAX($P$34*($B592+IF($R$17="Distrato",$I$38-1,0)),IF(AND($L$37=0,$P$34=0),"",$L$37-1),IF($R$17="Distrato",$E592,0)),MIN(AZ$38,$D$19),$P$20))-SUM($P592:AY592)</f>
        <v>#VALUE!</v>
      </c>
      <c r="BA592" s="446" t="e">
        <f>IF(OR($B592="",MIN(BA$38,$D$19)&lt;MAX($P$34*($B592+IF($R$17="Distrato",$I$38-1,0)),IF(AND($L$37=0,$P$34=0),"",$L$37-1),IF($R$17="Distrato",$E592,0))),0,YEARFRAC(MAX($P$34*($B592+IF($R$17="Distrato",$I$38-1,0)),IF(AND($L$37=0,$P$34=0),"",$L$37-1),IF($R$17="Distrato",$E592,0)),MIN(BA$38,$D$19),$P$20))-SUM($P592:AZ592)</f>
        <v>#VALUE!</v>
      </c>
      <c r="BB592" s="447"/>
      <c r="BF592" s="446">
        <f t="shared" si="98"/>
        <v>0</v>
      </c>
      <c r="BG592" s="446">
        <f>IF($E592=0,0,IF(MIN(BG$38,$E592)&lt;MAX($P$34*($B592+$I$38-1),IF(AND($L$37=0,$P$34=0),"",$L$37-1)),0,YEARFRAC(MAX($P$34*($B592+$I$38-1),IF(AND($L$37=0,$P$34=0),"",$L$37-1)),MIN(BG$38,$E592),$P$20))-SUM($BF592:BF592))</f>
        <v>0</v>
      </c>
      <c r="BH592" s="446">
        <f>IF($E592=0,0,IF(MIN(BH$38,$E592)&lt;MAX($P$34*($B592+$I$38-1),IF(AND($L$37=0,$P$34=0),"",$L$37-1)),0,YEARFRAC(MAX($P$34*($B592+$I$38-1),IF(AND($L$37=0,$P$34=0),"",$L$37-1)),MIN(BH$38,$E592),$P$20))-SUM($BF592:BG592))</f>
        <v>0</v>
      </c>
      <c r="BI592" s="446">
        <f>IF($E592=0,0,IF(MIN(BI$38,$E592)&lt;MAX($P$34*($B592+$I$38-1),IF(AND($L$37=0,$P$34=0),"",$L$37-1)),0,YEARFRAC(MAX($P$34*($B592+$I$38-1),IF(AND($L$37=0,$P$34=0),"",$L$37-1)),MIN(BI$38,$E592),$P$20))-SUM($BF592:BH592))</f>
        <v>0</v>
      </c>
      <c r="BJ592" s="446">
        <f>IF($E592=0,0,IF(MIN(BJ$38,$E592)&lt;MAX($P$34*($B592+$I$38-1),IF(AND($L$37=0,$P$34=0),"",$L$37-1)),0,YEARFRAC(MAX($P$34*($B592+$I$38-1),IF(AND($L$37=0,$P$34=0),"",$L$37-1)),MIN(BJ$38,$E592),$P$20))-SUM($BF592:BI592))</f>
        <v>0</v>
      </c>
      <c r="BK592" s="446">
        <f>IF($E592=0,0,IF(MIN(BK$38,$E592)&lt;MAX($P$34*($B592+$I$38-1),IF(AND($L$37=0,$P$34=0),"",$L$37-1)),0,YEARFRAC(MAX($P$34*($B592+$I$38-1),IF(AND($L$37=0,$P$34=0),"",$L$37-1)),MIN(BK$38,$E592),$P$20))-SUM($BF592:BJ592))</f>
        <v>0</v>
      </c>
      <c r="BL592" s="446">
        <f>IF($E592=0,0,IF(MIN(BL$38,$E592)&lt;MAX($P$34*($B592+$I$38-1),IF(AND($L$37=0,$P$34=0),"",$L$37-1)),0,YEARFRAC(MAX($P$34*($B592+$I$38-1),IF(AND($L$37=0,$P$34=0),"",$L$37-1)),MIN(BL$38,$E592),$P$20))-SUM($BF592:BK592))</f>
        <v>0</v>
      </c>
      <c r="BM592" s="446">
        <f>IF($E592=0,0,IF(MIN(BM$38,$E592)&lt;MAX($P$34*($B592+$I$38-1),IF(AND($L$37=0,$P$34=0),"",$L$37-1)),0,YEARFRAC(MAX($P$34*($B592+$I$38-1),IF(AND($L$37=0,$P$34=0),"",$L$37-1)),MIN(BM$38,$E592),$P$20))-SUM($BF592:BL592))</f>
        <v>0</v>
      </c>
      <c r="BN592" s="446">
        <f>IF($E592=0,0,IF(MIN(BN$38,$E592)&lt;MAX($P$34*($B592+$I$38-1),IF(AND($L$37=0,$P$34=0),"",$L$37-1)),0,YEARFRAC(MAX($P$34*($B592+$I$38-1),IF(AND($L$37=0,$P$34=0),"",$L$37-1)),MIN(BN$38,$E592),$P$20))-SUM($BF592:BM592))</f>
        <v>0</v>
      </c>
      <c r="BO592" s="446">
        <f>IF($E592=0,0,IF(MIN(BO$38,$E592)&lt;MAX($P$34*($B592+$I$38-1),IF(AND($L$37=0,$P$34=0),"",$L$37-1)),0,YEARFRAC(MAX($P$34*($B592+$I$38-1),IF(AND($L$37=0,$P$34=0),"",$L$37-1)),MIN(BO$38,$E592),$P$20))-SUM($BF592:BN592))</f>
        <v>0</v>
      </c>
      <c r="BP592" s="446">
        <f>IF($E592=0,0,IF(MIN(BP$38,$E592)&lt;MAX($P$34*($B592+$I$38-1),IF(AND($L$37=0,$P$34=0),"",$L$37-1)),0,YEARFRAC(MAX($P$34*($B592+$I$38-1),IF(AND($L$37=0,$P$34=0),"",$L$37-1)),MIN(BP$38,$E592),$P$20))-SUM($BF592:BO592))</f>
        <v>0</v>
      </c>
      <c r="BQ592" s="446">
        <f>IF($E592=0,0,IF(MIN(BQ$38,$E592)&lt;MAX($P$34*($B592+$I$38-1),IF(AND($L$37=0,$P$34=0),"",$L$37-1)),0,YEARFRAC(MAX($P$34*($B592+$I$38-1),IF(AND($L$37=0,$P$34=0),"",$L$37-1)),MIN(BQ$38,$E592),$P$20))-SUM($BF592:BP592))</f>
        <v>0</v>
      </c>
      <c r="BR592" s="446">
        <f>IF($E592=0,0,IF(MIN(BR$38,$E592)&lt;MAX($P$34*($B592+$I$38-1),IF(AND($L$37=0,$P$34=0),"",$L$37-1)),0,YEARFRAC(MAX($P$34*($B592+$I$38-1),IF(AND($L$37=0,$P$34=0),"",$L$37-1)),MIN(BR$38,$E592),$P$20))-SUM($BF592:BQ592))</f>
        <v>0</v>
      </c>
      <c r="BS592" s="446">
        <f>IF($E592=0,0,IF(MIN(BS$38,$E592)&lt;MAX($P$34*($B592+$I$38-1),IF(AND($L$37=0,$P$34=0),"",$L$37-1)),0,YEARFRAC(MAX($P$34*($B592+$I$38-1),IF(AND($L$37=0,$P$34=0),"",$L$37-1)),MIN(BS$38,$E592),$P$20))-SUM($BF592:BR592))</f>
        <v>0</v>
      </c>
      <c r="BT592" s="446">
        <f>IF($E592=0,0,IF(MIN(BT$38,$E592)&lt;MAX($P$34*($B592+$I$38-1),IF(AND($L$37=0,$P$34=0),"",$L$37-1)),0,YEARFRAC(MAX($P$34*($B592+$I$38-1),IF(AND($L$37=0,$P$34=0),"",$L$37-1)),MIN(BT$38,$E592),$P$20))-SUM($BF592:BS592))</f>
        <v>0</v>
      </c>
      <c r="BU592" s="446">
        <f>IF($E592=0,0,IF(MIN(BU$38,$E592)&lt;MAX($P$34*($B592+$I$38-1),IF(AND($L$37=0,$P$34=0),"",$L$37-1)),0,YEARFRAC(MAX($P$34*($B592+$I$38-1),IF(AND($L$37=0,$P$34=0),"",$L$37-1)),MIN(BU$38,$E592),$P$20))-SUM($BF592:BT592))</f>
        <v>0</v>
      </c>
      <c r="BV592" s="446">
        <f>IF($E592=0,0,IF(MIN(BV$38,$E592)&lt;MAX($P$34*($B592+$I$38-1),IF(AND($L$37=0,$P$34=0),"",$L$37-1)),0,YEARFRAC(MAX($P$34*($B592+$I$38-1),IF(AND($L$37=0,$P$34=0),"",$L$37-1)),MIN(BV$38,$E592),$P$20))-SUM($BF592:BU592))</f>
        <v>0</v>
      </c>
      <c r="BW592" s="446">
        <f>IF($E592=0,0,IF(MIN(BW$38,$E592)&lt;MAX($P$34*($B592+$I$38-1),IF(AND($L$37=0,$P$34=0),"",$L$37-1)),0,YEARFRAC(MAX($P$34*($B592+$I$38-1),IF(AND($L$37=0,$P$34=0),"",$L$37-1)),MIN(BW$38,$E592),$P$20))-SUM($BF592:BV592))</f>
        <v>0</v>
      </c>
      <c r="BX592" s="446">
        <f>IF($E592=0,0,IF(MIN(BX$38,$E592)&lt;MAX($P$34*($B592+$I$38-1),IF(AND($L$37=0,$P$34=0),"",$L$37-1)),0,YEARFRAC(MAX($P$34*($B592+$I$38-1),IF(AND($L$37=0,$P$34=0),"",$L$37-1)),MIN(BX$38,$E592),$P$20))-SUM($BF592:BW592))</f>
        <v>0</v>
      </c>
      <c r="BY592" s="446">
        <f>IF($E592=0,0,IF(MIN(BY$38,$E592)&lt;MAX($P$34*($B592+$I$38-1),IF(AND($L$37=0,$P$34=0),"",$L$37-1)),0,YEARFRAC(MAX($P$34*($B592+$I$38-1),IF(AND($L$37=0,$P$34=0),"",$L$37-1)),MIN(BY$38,$E592),$P$20))-SUM($BF592:BX592))</f>
        <v>0</v>
      </c>
      <c r="BZ592" s="446">
        <f>IF($E592=0,0,IF(MIN(BZ$38,$E592)&lt;MAX($P$34*($B592+$I$38-1),IF(AND($L$37=0,$P$34=0),"",$L$37-1)),0,YEARFRAC(MAX($P$34*($B592+$I$38-1),IF(AND($L$37=0,$P$34=0),"",$L$37-1)),MIN(BZ$38,$E592),$P$20))-SUM($BF592:BY592))</f>
        <v>0</v>
      </c>
      <c r="CA592" s="446">
        <f>IF($E592=0,0,IF(MIN(CA$38,$E592)&lt;MAX($P$34*($B592+$I$38-1),IF(AND($L$37=0,$P$34=0),"",$L$37-1)),0,YEARFRAC(MAX($P$34*($B592+$I$38-1),IF(AND($L$37=0,$P$34=0),"",$L$37-1)),MIN(CA$38,$E592),$P$20))-SUM($BF592:BZ592))</f>
        <v>0</v>
      </c>
      <c r="CB592" s="446">
        <f>IF($E592=0,0,IF(MIN(CB$38,$E592)&lt;MAX($P$34*($B592+$I$38-1),IF(AND($L$37=0,$P$34=0),"",$L$37-1)),0,YEARFRAC(MAX($P$34*($B592+$I$38-1),IF(AND($L$37=0,$P$34=0),"",$L$37-1)),MIN(CB$38,$E592),$P$20))-SUM($BF592:CA592))</f>
        <v>0</v>
      </c>
      <c r="CC592" s="446">
        <f>IF($E592=0,0,IF(MIN(CC$38,$E592)&lt;MAX($P$34*($B592+$I$38-1),IF(AND($L$37=0,$P$34=0),"",$L$37-1)),0,YEARFRAC(MAX($P$34*($B592+$I$38-1),IF(AND($L$37=0,$P$34=0),"",$L$37-1)),MIN(CC$38,$E592),$P$20))-SUM($BF592:CB592))</f>
        <v>0</v>
      </c>
      <c r="CD592" s="446">
        <f>IF($E592=0,0,IF(MIN(CD$38,$E592)&lt;MAX($P$34*($B592+$I$38-1),IF(AND($L$37=0,$P$34=0),"",$L$37-1)),0,YEARFRAC(MAX($P$34*($B592+$I$38-1),IF(AND($L$37=0,$P$34=0),"",$L$37-1)),MIN(CD$38,$E592),$P$20))-SUM($BF592:CC592))</f>
        <v>0</v>
      </c>
      <c r="CE592" s="446">
        <f>IF($E592=0,0,IF(MIN(CE$38,$E592)&lt;MAX($P$34*($B592+$I$38-1),IF(AND($L$37=0,$P$34=0),"",$L$37-1)),0,YEARFRAC(MAX($P$34*($B592+$I$38-1),IF(AND($L$37=0,$P$34=0),"",$L$37-1)),MIN(CE$38,$E592),$P$20))-SUM($BF592:CD592))</f>
        <v>0</v>
      </c>
      <c r="CF592" s="446">
        <f>IF($E592=0,0,IF(MIN(CF$38,$E592)&lt;MAX($P$34*($B592+$I$38-1),IF(AND($L$37=0,$P$34=0),"",$L$37-1)),0,YEARFRAC(MAX($P$34*($B592+$I$38-1),IF(AND($L$37=0,$P$34=0),"",$L$37-1)),MIN(CF$38,$E592),$P$20))-SUM($BF592:CE592))</f>
        <v>0</v>
      </c>
      <c r="CG592" s="446">
        <f>IF($E592=0,0,IF(MIN(CG$38,$E592)&lt;MAX($P$34*($B592+$I$38-1),IF(AND($L$37=0,$P$34=0),"",$L$37-1)),0,YEARFRAC(MAX($P$34*($B592+$I$38-1),IF(AND($L$37=0,$P$34=0),"",$L$37-1)),MIN(CG$38,$E592),$P$20))-SUM($BF592:CF592))</f>
        <v>0</v>
      </c>
      <c r="CH592" s="446">
        <f>IF($E592=0,0,IF(MIN(CH$38,$E592)&lt;MAX($P$34*($B592+$I$38-1),IF(AND($L$37=0,$P$34=0),"",$L$37-1)),0,YEARFRAC(MAX($P$34*($B592+$I$38-1),IF(AND($L$37=0,$P$34=0),"",$L$37-1)),MIN(CH$38,$E592),$P$20))-SUM($BF592:CG592))</f>
        <v>0</v>
      </c>
      <c r="CI592" s="446">
        <f>IF($E592=0,0,IF(MIN(CI$38,$E592)&lt;MAX($P$34*($B592+$I$38-1),IF(AND($L$37=0,$P$34=0),"",$L$37-1)),0,YEARFRAC(MAX($P$34*($B592+$I$38-1),IF(AND($L$37=0,$P$34=0),"",$L$37-1)),MIN(CI$38,$E592),$P$20))-SUM($BF592:CH592))</f>
        <v>0</v>
      </c>
      <c r="CJ592" s="446">
        <f>IF($E592=0,0,IF(MIN(CJ$38,$E592)&lt;MAX($P$34*($B592+$I$38-1),IF(AND($L$37=0,$P$34=0),"",$L$37-1)),0,YEARFRAC(MAX($P$34*($B592+$I$38-1),IF(AND($L$37=0,$P$34=0),"",$L$37-1)),MIN(CJ$38,$E592),$P$20))-SUM($BF592:CI592))</f>
        <v>0</v>
      </c>
      <c r="CK592" s="446">
        <f>IF($E592=0,0,IF(MIN(CK$38,$E592)&lt;MAX($P$34*($B592+$I$38-1),IF(AND($L$37=0,$P$34=0),"",$L$37-1)),0,YEARFRAC(MAX($P$34*($B592+$I$38-1),IF(AND($L$37=0,$P$34=0),"",$L$37-1)),MIN(CK$38,$E592),$P$20))-SUM($BF592:CJ592))</f>
        <v>0</v>
      </c>
      <c r="CL592" s="446">
        <f>IF($E592=0,0,IF(MIN(CL$38,$E592)&lt;MAX($P$34*($B592+$I$38-1),IF(AND($L$37=0,$P$34=0),"",$L$37-1)),0,YEARFRAC(MAX($P$34*($B592+$I$38-1),IF(AND($L$37=0,$P$34=0),"",$L$37-1)),MIN(CL$38,$E592),$P$20))-SUM($BF592:CK592))</f>
        <v>0</v>
      </c>
      <c r="CM592" s="446">
        <f>IF($E592=0,0,IF(MIN(CM$38,$E592)&lt;MAX($P$34*($B592+$I$38-1),IF(AND($L$37=0,$P$34=0),"",$L$37-1)),0,YEARFRAC(MAX($P$34*($B592+$I$38-1),IF(AND($L$37=0,$P$34=0),"",$L$37-1)),MIN(CM$38,$E592),$P$20))-SUM($BF592:CL592))</f>
        <v>0</v>
      </c>
      <c r="CN592" s="446">
        <f>IF($E592=0,0,IF(MIN(CN$38,$E592)&lt;MAX($P$34*($B592+$I$38-1),IF(AND($L$37=0,$P$34=0),"",$L$37-1)),0,YEARFRAC(MAX($P$34*($B592+$I$38-1),IF(AND($L$37=0,$P$34=0),"",$L$37-1)),MIN(CN$38,$E592),$P$20))-SUM($BF592:CM592))</f>
        <v>0</v>
      </c>
      <c r="CO592" s="446">
        <f>IF($E592=0,0,IF(MIN(CO$38,$E592)&lt;MAX($P$34*($B592+$I$38-1),IF(AND($L$37=0,$P$34=0),"",$L$37-1)),0,YEARFRAC(MAX($P$34*($B592+$I$38-1),IF(AND($L$37=0,$P$34=0),"",$L$37-1)),MIN(CO$38,$E592),$P$20))-SUM($BF592:CN592))</f>
        <v>0</v>
      </c>
      <c r="CP592" s="446">
        <f>IF($E592=0,0,IF(MIN(CP$38,$E592)&lt;MAX($P$34*($B592+$I$38-1),IF(AND($L$37=0,$P$34=0),"",$L$37-1)),0,YEARFRAC(MAX($P$34*($B592+$I$38-1),IF(AND($L$37=0,$P$34=0),"",$L$37-1)),MIN(CP$38,$E592),$P$20))-SUM($BF592:CO592))</f>
        <v>0</v>
      </c>
      <c r="CQ592" s="446">
        <f>IF($E592=0,0,IF(MIN(CQ$38,$E592)&lt;MAX($P$34*($B592+$I$38-1),IF(AND($L$37=0,$P$34=0),"",$L$37-1)),0,YEARFRAC(MAX($P$34*($B592+$I$38-1),IF(AND($L$37=0,$P$34=0),"",$L$37-1)),MIN(CQ$38,$E592),$P$20))-SUM($BF592:CP592))</f>
        <v>0</v>
      </c>
    </row>
    <row r="593" spans="1:95" s="446" customFormat="1" ht="11.25" hidden="1" customHeight="1" x14ac:dyDescent="0.2">
      <c r="A593" s="152"/>
      <c r="B593" s="153" t="str">
        <f t="shared" si="103"/>
        <v/>
      </c>
      <c r="C593" s="29" t="str">
        <f>IF(B593="","",IF($L$35="SELIC - TRIBUTOS",VLOOKUP(DATE(YEAR($D$19),MONTH($D$19)-1,1),ÍNDICES!$A:$DE,HLOOKUP($BL$25,ÍNDICES!$B$3:$T$4,2)+11)-VLOOKUP(B593,ÍNDICES!$A:$DE,HLOOKUP($BL$25,ÍNDICES!$B$3:$T$4,2)+11)+1%,IF(C$38=$W$26,$J$35,IF(ISERROR(IF(B593&gt;$D$19,1,VLOOKUP(DATE(YEAR(B593),MONTH(B593)+IF($C$35=$S$23,1,0),1),ÍNDICES!$A:$DE,$Z$35+1))),"",IF(B593&gt;$D$19,1,VLOOKUP(DATE(YEAR(B593),MONTH(B593)+IF($C$35=$S$23,1,0),1),ÍNDICES!$A:$DE,$Z$35+1))))))</f>
        <v/>
      </c>
      <c r="D593" s="154" t="str">
        <f>IF(ISERROR(IF(OR($D$38=$Y$27,$B593=""),"",VLOOKUP(B593,ÍNDICES!A:DE,AF$35+1))),"",IF(OR($D$38=$Y$27,$B593=""),"",VLOOKUP(B593,ÍNDICES!A:DE,AF$35+1)))</f>
        <v/>
      </c>
      <c r="E593" s="153"/>
      <c r="F593" s="29" t="str">
        <f>IF(E593="","",IF($L$35="SELIC - TRIBUTOS",VLOOKUP(DATE(YEAR($D$19),MONTH($D$19)-1,1),ÍNDICES!$A:$DE,HLOOKUP($BL$25,ÍNDICES!$B$3:$T$4,2)+11)-VLOOKUP(E593,ÍNDICES!$A:$DE,HLOOKUP($BL$25,ÍNDICES!$B$3:$T$4,2)+11)+1%,IF(F$38=$W$26,$J$35,IF(ISERROR(IF(E593&gt;$D$19,1,VLOOKUP(DATE(YEAR(E593),MONTH(E593)+IF($C$35=$S$23,1,0),1),ÍNDICES!$A:$DE,$Z$35+1))),"",IF(E593&gt;$D$19,1,VLOOKUP(DATE(YEAR(E593),MONTH(E593)+IF($C$35=$S$23,1,0),1),ÍNDICES!$A:$DE,$Z$35+1))))))</f>
        <v/>
      </c>
      <c r="G593" s="155"/>
      <c r="H593" s="156" t="str">
        <f t="shared" si="99"/>
        <v/>
      </c>
      <c r="I593" s="29" t="str">
        <f t="shared" si="93"/>
        <v/>
      </c>
      <c r="J593" s="5">
        <f t="shared" si="94"/>
        <v>0</v>
      </c>
      <c r="K593" s="20">
        <f t="shared" ca="1" si="95"/>
        <v>0</v>
      </c>
      <c r="L593" s="5">
        <f t="shared" ca="1" si="96"/>
        <v>0</v>
      </c>
      <c r="M593" s="64">
        <f t="shared" si="100"/>
        <v>0</v>
      </c>
      <c r="N593" s="61">
        <f t="shared" ca="1" si="101"/>
        <v>0</v>
      </c>
      <c r="O593" s="5">
        <f t="shared" ca="1" si="102"/>
        <v>0</v>
      </c>
      <c r="P593" s="446" t="e">
        <f t="shared" si="97"/>
        <v>#VALUE!</v>
      </c>
      <c r="Q593" s="446" t="e">
        <f>IF(OR($B593="",MIN(Q$38,$D$19)&lt;MAX($P$34*($B593+IF($R$17="Distrato",$I$38-1,0)),IF(AND($L$37=0,$P$34=0),"",$L$37-1),IF($R$17="Distrato",$E593,0))),0,YEARFRAC(MAX($P$34*($B593+IF($R$17="Distrato",$I$38-1,0)),IF(AND($L$37=0,$P$34=0),"",$L$37-1),IF($R$17="Distrato",$E593,0)),MIN(Q$38,$D$19),$P$20))-SUM($P593:P593)</f>
        <v>#VALUE!</v>
      </c>
      <c r="R593" s="446" t="e">
        <f>IF(OR($B593="",MIN(R$38,$D$19)&lt;MAX($P$34*($B593+IF($R$17="Distrato",$I$38-1,0)),IF(AND($L$37=0,$P$34=0),"",$L$37-1),IF($R$17="Distrato",$E593,0))),0,YEARFRAC(MAX($P$34*($B593+IF($R$17="Distrato",$I$38-1,0)),IF(AND($L$37=0,$P$34=0),"",$L$37-1),IF($R$17="Distrato",$E593,0)),MIN(R$38,$D$19),$P$20))-SUM($P593:Q593)</f>
        <v>#VALUE!</v>
      </c>
      <c r="S593" s="446" t="e">
        <f>IF(OR($B593="",MIN(S$38,$D$19)&lt;MAX($P$34*($B593+IF($R$17="Distrato",$I$38-1,0)),IF(AND($L$37=0,$P$34=0),"",$L$37-1),IF($R$17="Distrato",$E593,0))),0,YEARFRAC(MAX($P$34*($B593+IF($R$17="Distrato",$I$38-1,0)),IF(AND($L$37=0,$P$34=0),"",$L$37-1),IF($R$17="Distrato",$E593,0)),MIN(S$38,$D$19),$P$20))-SUM($P593:R593)</f>
        <v>#VALUE!</v>
      </c>
      <c r="T593" s="446" t="e">
        <f>IF(OR($B593="",MIN(T$38,$D$19)&lt;MAX($P$34*($B593+IF($R$17="Distrato",$I$38-1,0)),IF(AND($L$37=0,$P$34=0),"",$L$37-1),IF($R$17="Distrato",$E593,0))),0,YEARFRAC(MAX($P$34*($B593+IF($R$17="Distrato",$I$38-1,0)),IF(AND($L$37=0,$P$34=0),"",$L$37-1),IF($R$17="Distrato",$E593,0)),MIN(T$38,$D$19),$P$20))-SUM($P593:S593)</f>
        <v>#VALUE!</v>
      </c>
      <c r="U593" s="446" t="e">
        <f>IF(OR($B593="",MIN(U$38,$D$19)&lt;MAX($P$34*($B593+IF($R$17="Distrato",$I$38-1,0)),IF(AND($L$37=0,$P$34=0),"",$L$37-1),IF($R$17="Distrato",$E593,0))),0,YEARFRAC(MAX($P$34*($B593+IF($R$17="Distrato",$I$38-1,0)),IF(AND($L$37=0,$P$34=0),"",$L$37-1),IF($R$17="Distrato",$E593,0)),MIN(U$38,$D$19),$P$20))-SUM($P593:T593)</f>
        <v>#VALUE!</v>
      </c>
      <c r="V593" s="446" t="e">
        <f>IF(OR($B593="",MIN(V$38,$D$19)&lt;MAX($P$34*($B593+IF($R$17="Distrato",$I$38-1,0)),IF(AND($L$37=0,$P$34=0),"",$L$37-1),IF($R$17="Distrato",$E593,0))),0,YEARFRAC(MAX($P$34*($B593+IF($R$17="Distrato",$I$38-1,0)),IF(AND($L$37=0,$P$34=0),"",$L$37-1),IF($R$17="Distrato",$E593,0)),MIN(V$38,$D$19),$P$20))-SUM($P593:U593)</f>
        <v>#VALUE!</v>
      </c>
      <c r="W593" s="446" t="e">
        <f>IF(OR($B593="",MIN(W$38,$D$19)&lt;MAX($P$34*($B593+IF($R$17="Distrato",$I$38-1,0)),IF(AND($L$37=0,$P$34=0),"",$L$37-1),IF($R$17="Distrato",$E593,0))),0,YEARFRAC(MAX($P$34*($B593+IF($R$17="Distrato",$I$38-1,0)),IF(AND($L$37=0,$P$34=0),"",$L$37-1),IF($R$17="Distrato",$E593,0)),MIN(W$38,$D$19),$P$20))-SUM($P593:V593)</f>
        <v>#VALUE!</v>
      </c>
      <c r="X593" s="446" t="e">
        <f>IF(OR($B593="",MIN(X$38,$D$19)&lt;MAX($P$34*($B593+IF($R$17="Distrato",$I$38-1,0)),IF(AND($L$37=0,$P$34=0),"",$L$37-1),IF($R$17="Distrato",$E593,0))),0,YEARFRAC(MAX($P$34*($B593+IF($R$17="Distrato",$I$38-1,0)),IF(AND($L$37=0,$P$34=0),"",$L$37-1),IF($R$17="Distrato",$E593,0)),MIN(X$38,$D$19),$P$20))-SUM($P593:W593)</f>
        <v>#VALUE!</v>
      </c>
      <c r="Y593" s="446" t="e">
        <f>IF(OR($B593="",MIN(Y$38,$D$19)&lt;MAX($P$34*($B593+IF($R$17="Distrato",$I$38-1,0)),IF(AND($L$37=0,$P$34=0),"",$L$37-1),IF($R$17="Distrato",$E593,0))),0,YEARFRAC(MAX($P$34*($B593+IF($R$17="Distrato",$I$38-1,0)),IF(AND($L$37=0,$P$34=0),"",$L$37-1),IF($R$17="Distrato",$E593,0)),MIN(Y$38,$D$19),$P$20))-SUM($P593:X593)</f>
        <v>#VALUE!</v>
      </c>
      <c r="Z593" s="446" t="e">
        <f>IF(OR($B593="",MIN(Z$38,$D$19)&lt;MAX($P$34*($B593+IF($R$17="Distrato",$I$38-1,0)),IF(AND($L$37=0,$P$34=0),"",$L$37-1),IF($R$17="Distrato",$E593,0))),0,YEARFRAC(MAX($P$34*($B593+IF($R$17="Distrato",$I$38-1,0)),IF(AND($L$37=0,$P$34=0),"",$L$37-1),IF($R$17="Distrato",$E593,0)),MIN(Z$38,$D$19),$P$20))-SUM($P593:Y593)</f>
        <v>#VALUE!</v>
      </c>
      <c r="AA593" s="446" t="e">
        <f>IF(OR($B593="",MIN(AA$38,$D$19)&lt;MAX($P$34*($B593+IF($R$17="Distrato",$I$38-1,0)),IF(AND($L$37=0,$P$34=0),"",$L$37-1),IF($R$17="Distrato",$E593,0))),0,YEARFRAC(MAX($P$34*($B593+IF($R$17="Distrato",$I$38-1,0)),IF(AND($L$37=0,$P$34=0),"",$L$37-1),IF($R$17="Distrato",$E593,0)),MIN(AA$38,$D$19),$P$20))-SUM($P593:Z593)</f>
        <v>#VALUE!</v>
      </c>
      <c r="AB593" s="446" t="e">
        <f>IF(OR($B593="",MIN(AB$38,$D$19)&lt;MAX($P$34*($B593+IF($R$17="Distrato",$I$38-1,0)),IF(AND($L$37=0,$P$34=0),"",$L$37-1),IF($R$17="Distrato",$E593,0))),0,YEARFRAC(MAX($P$34*($B593+IF($R$17="Distrato",$I$38-1,0)),IF(AND($L$37=0,$P$34=0),"",$L$37-1),IF($R$17="Distrato",$E593,0)),MIN(AB$38,$D$19),$P$20))-SUM($P593:AA593)</f>
        <v>#VALUE!</v>
      </c>
      <c r="AC593" s="446" t="e">
        <f>IF(OR($B593="",MIN(AC$38,$D$19)&lt;MAX($P$34*($B593+IF($R$17="Distrato",$I$38-1,0)),IF(AND($L$37=0,$P$34=0),"",$L$37-1),IF($R$17="Distrato",$E593,0))),0,YEARFRAC(MAX($P$34*($B593+IF($R$17="Distrato",$I$38-1,0)),IF(AND($L$37=0,$P$34=0),"",$L$37-1),IF($R$17="Distrato",$E593,0)),MIN(AC$38,$D$19),$P$20))-SUM($P593:AB593)</f>
        <v>#VALUE!</v>
      </c>
      <c r="AD593" s="446" t="e">
        <f>IF(OR($B593="",MIN(AD$38,$D$19)&lt;MAX($P$34*($B593+IF($R$17="Distrato",$I$38-1,0)),IF(AND($L$37=0,$P$34=0),"",$L$37-1),IF($R$17="Distrato",$E593,0))),0,YEARFRAC(MAX($P$34*($B593+IF($R$17="Distrato",$I$38-1,0)),IF(AND($L$37=0,$P$34=0),"",$L$37-1),IF($R$17="Distrato",$E593,0)),MIN(AD$38,$D$19),$P$20))-SUM($P593:AC593)</f>
        <v>#VALUE!</v>
      </c>
      <c r="AE593" s="446" t="e">
        <f>IF(OR($B593="",MIN(AE$38,$D$19)&lt;MAX($P$34*($B593+IF($R$17="Distrato",$I$38-1,0)),IF(AND($L$37=0,$P$34=0),"",$L$37-1),IF($R$17="Distrato",$E593,0))),0,YEARFRAC(MAX($P$34*($B593+IF($R$17="Distrato",$I$38-1,0)),IF(AND($L$37=0,$P$34=0),"",$L$37-1),IF($R$17="Distrato",$E593,0)),MIN(AE$38,$D$19),$P$20))-SUM($P593:AD593)</f>
        <v>#VALUE!</v>
      </c>
      <c r="AF593" s="446" t="e">
        <f>IF(OR($B593="",MIN(AF$38,$D$19)&lt;MAX($P$34*($B593+IF($R$17="Distrato",$I$38-1,0)),IF(AND($L$37=0,$P$34=0),"",$L$37-1),IF($R$17="Distrato",$E593,0))),0,YEARFRAC(MAX($P$34*($B593+IF($R$17="Distrato",$I$38-1,0)),IF(AND($L$37=0,$P$34=0),"",$L$37-1),IF($R$17="Distrato",$E593,0)),MIN(AF$38,$D$19),$P$20))-SUM($P593:AE593)</f>
        <v>#VALUE!</v>
      </c>
      <c r="AG593" s="446" t="e">
        <f>IF(OR($B593="",MIN(AG$38,$D$19)&lt;MAX($P$34*($B593+IF($R$17="Distrato",$I$38-1,0)),IF(AND($L$37=0,$P$34=0),"",$L$37-1),IF($R$17="Distrato",$E593,0))),0,YEARFRAC(MAX($P$34*($B593+IF($R$17="Distrato",$I$38-1,0)),IF(AND($L$37=0,$P$34=0),"",$L$37-1),IF($R$17="Distrato",$E593,0)),MIN(AG$38,$D$19),$P$20))-SUM($P593:AF593)</f>
        <v>#VALUE!</v>
      </c>
      <c r="AH593" s="446" t="e">
        <f>IF(OR($B593="",MIN(AH$38,$D$19)&lt;MAX($P$34*($B593+IF($R$17="Distrato",$I$38-1,0)),IF(AND($L$37=0,$P$34=0),"",$L$37-1),IF($R$17="Distrato",$E593,0))),0,YEARFRAC(MAX($P$34*($B593+IF($R$17="Distrato",$I$38-1,0)),IF(AND($L$37=0,$P$34=0),"",$L$37-1),IF($R$17="Distrato",$E593,0)),MIN(AH$38,$D$19),$P$20))-SUM($P593:AG593)</f>
        <v>#VALUE!</v>
      </c>
      <c r="AI593" s="446" t="e">
        <f>IF(OR($B593="",MIN(AI$38,$D$19)&lt;MAX($P$34*($B593+IF($R$17="Distrato",$I$38-1,0)),IF(AND($L$37=0,$P$34=0),"",$L$37-1),IF($R$17="Distrato",$E593,0))),0,YEARFRAC(MAX($P$34*($B593+IF($R$17="Distrato",$I$38-1,0)),IF(AND($L$37=0,$P$34=0),"",$L$37-1),IF($R$17="Distrato",$E593,0)),MIN(AI$38,$D$19),$P$20))-SUM($P593:AH593)</f>
        <v>#VALUE!</v>
      </c>
      <c r="AJ593" s="446" t="e">
        <f>IF(OR($B593="",MIN(AJ$38,$D$19)&lt;MAX($P$34*($B593+IF($R$17="Distrato",$I$38-1,0)),IF(AND($L$37=0,$P$34=0),"",$L$37-1),IF($R$17="Distrato",$E593,0))),0,YEARFRAC(MAX($P$34*($B593+IF($R$17="Distrato",$I$38-1,0)),IF(AND($L$37=0,$P$34=0),"",$L$37-1),IF($R$17="Distrato",$E593,0)),MIN(AJ$38,$D$19),$P$20))-SUM($P593:AI593)</f>
        <v>#VALUE!</v>
      </c>
      <c r="AK593" s="446" t="e">
        <f>IF(OR($B593="",MIN(AK$38,$D$19)&lt;MAX($P$34*($B593+IF($R$17="Distrato",$I$38-1,0)),IF(AND($L$37=0,$P$34=0),"",$L$37-1),IF($R$17="Distrato",$E593,0))),0,YEARFRAC(MAX($P$34*($B593+IF($R$17="Distrato",$I$38-1,0)),IF(AND($L$37=0,$P$34=0),"",$L$37-1),IF($R$17="Distrato",$E593,0)),MIN(AK$38,$D$19),$P$20))-SUM($P593:AJ593)</f>
        <v>#VALUE!</v>
      </c>
      <c r="AL593" s="446" t="e">
        <f>IF(OR($B593="",MIN(AL$38,$D$19)&lt;MAX($P$34*($B593+IF($R$17="Distrato",$I$38-1,0)),IF(AND($L$37=0,$P$34=0),"",$L$37-1),IF($R$17="Distrato",$E593,0))),0,YEARFRAC(MAX($P$34*($B593+IF($R$17="Distrato",$I$38-1,0)),IF(AND($L$37=0,$P$34=0),"",$L$37-1),IF($R$17="Distrato",$E593,0)),MIN(AL$38,$D$19),$P$20))-SUM($P593:AK593)</f>
        <v>#VALUE!</v>
      </c>
      <c r="AM593" s="446" t="e">
        <f>IF(OR($B593="",MIN(AM$38,$D$19)&lt;MAX($P$34*($B593+IF($R$17="Distrato",$I$38-1,0)),IF(AND($L$37=0,$P$34=0),"",$L$37-1),IF($R$17="Distrato",$E593,0))),0,YEARFRAC(MAX($P$34*($B593+IF($R$17="Distrato",$I$38-1,0)),IF(AND($L$37=0,$P$34=0),"",$L$37-1),IF($R$17="Distrato",$E593,0)),MIN(AM$38,$D$19),$P$20))-SUM($P593:AL593)</f>
        <v>#VALUE!</v>
      </c>
      <c r="AN593" s="446" t="e">
        <f>IF(OR($B593="",MIN(AN$38,$D$19)&lt;MAX($P$34*($B593+IF($R$17="Distrato",$I$38-1,0)),IF(AND($L$37=0,$P$34=0),"",$L$37-1),IF($R$17="Distrato",$E593,0))),0,YEARFRAC(MAX($P$34*($B593+IF($R$17="Distrato",$I$38-1,0)),IF(AND($L$37=0,$P$34=0),"",$L$37-1),IF($R$17="Distrato",$E593,0)),MIN(AN$38,$D$19),$P$20))-SUM($P593:AM593)</f>
        <v>#VALUE!</v>
      </c>
      <c r="AO593" s="446" t="e">
        <f>IF(OR($B593="",MIN(AO$38,$D$19)&lt;MAX($P$34*($B593+IF($R$17="Distrato",$I$38-1,0)),IF(AND($L$37=0,$P$34=0),"",$L$37-1),IF($R$17="Distrato",$E593,0))),0,YEARFRAC(MAX($P$34*($B593+IF($R$17="Distrato",$I$38-1,0)),IF(AND($L$37=0,$P$34=0),"",$L$37-1),IF($R$17="Distrato",$E593,0)),MIN(AO$38,$D$19),$P$20))-SUM($P593:AN593)</f>
        <v>#VALUE!</v>
      </c>
      <c r="AP593" s="446" t="e">
        <f>IF(OR($B593="",MIN(AP$38,$D$19)&lt;MAX($P$34*($B593+IF($R$17="Distrato",$I$38-1,0)),IF(AND($L$37=0,$P$34=0),"",$L$37-1),IF($R$17="Distrato",$E593,0))),0,YEARFRAC(MAX($P$34*($B593+IF($R$17="Distrato",$I$38-1,0)),IF(AND($L$37=0,$P$34=0),"",$L$37-1),IF($R$17="Distrato",$E593,0)),MIN(AP$38,$D$19),$P$20))-SUM($P593:AO593)</f>
        <v>#VALUE!</v>
      </c>
      <c r="AQ593" s="446" t="e">
        <f>IF(OR($B593="",MIN(AQ$38,$D$19)&lt;MAX($P$34*($B593+IF($R$17="Distrato",$I$38-1,0)),IF(AND($L$37=0,$P$34=0),"",$L$37-1),IF($R$17="Distrato",$E593,0))),0,YEARFRAC(MAX($P$34*($B593+IF($R$17="Distrato",$I$38-1,0)),IF(AND($L$37=0,$P$34=0),"",$L$37-1),IF($R$17="Distrato",$E593,0)),MIN(AQ$38,$D$19),$P$20))-SUM($P593:AP593)</f>
        <v>#VALUE!</v>
      </c>
      <c r="AR593" s="446" t="e">
        <f>IF(OR($B593="",MIN(AR$38,$D$19)&lt;MAX($P$34*($B593+IF($R$17="Distrato",$I$38-1,0)),IF(AND($L$37=0,$P$34=0),"",$L$37-1),IF($R$17="Distrato",$E593,0))),0,YEARFRAC(MAX($P$34*($B593+IF($R$17="Distrato",$I$38-1,0)),IF(AND($L$37=0,$P$34=0),"",$L$37-1),IF($R$17="Distrato",$E593,0)),MIN(AR$38,$D$19),$P$20))-SUM($P593:AQ593)</f>
        <v>#VALUE!</v>
      </c>
      <c r="AS593" s="446" t="e">
        <f>IF(OR($B593="",MIN(AS$38,$D$19)&lt;MAX($P$34*($B593+IF($R$17="Distrato",$I$38-1,0)),IF(AND($L$37=0,$P$34=0),"",$L$37-1),IF($R$17="Distrato",$E593,0))),0,YEARFRAC(MAX($P$34*($B593+IF($R$17="Distrato",$I$38-1,0)),IF(AND($L$37=0,$P$34=0),"",$L$37-1),IF($R$17="Distrato",$E593,0)),MIN(AS$38,$D$19),$P$20))-SUM($P593:AR593)</f>
        <v>#VALUE!</v>
      </c>
      <c r="AT593" s="446" t="e">
        <f>IF(OR($B593="",MIN(AT$38,$D$19)&lt;MAX($P$34*($B593+IF($R$17="Distrato",$I$38-1,0)),IF(AND($L$37=0,$P$34=0),"",$L$37-1),IF($R$17="Distrato",$E593,0))),0,YEARFRAC(MAX($P$34*($B593+IF($R$17="Distrato",$I$38-1,0)),IF(AND($L$37=0,$P$34=0),"",$L$37-1),IF($R$17="Distrato",$E593,0)),MIN(AT$38,$D$19),$P$20))-SUM($P593:AS593)</f>
        <v>#VALUE!</v>
      </c>
      <c r="AU593" s="446" t="e">
        <f>IF(OR($B593="",MIN(AU$38,$D$19)&lt;MAX($P$34*($B593+IF($R$17="Distrato",$I$38-1,0)),IF(AND($L$37=0,$P$34=0),"",$L$37-1),IF($R$17="Distrato",$E593,0))),0,YEARFRAC(MAX($P$34*($B593+IF($R$17="Distrato",$I$38-1,0)),IF(AND($L$37=0,$P$34=0),"",$L$37-1),IF($R$17="Distrato",$E593,0)),MIN(AU$38,$D$19),$P$20))-SUM($P593:AT593)</f>
        <v>#VALUE!</v>
      </c>
      <c r="AV593" s="446" t="e">
        <f>IF(OR($B593="",MIN(AV$38,$D$19)&lt;MAX($P$34*($B593+IF($R$17="Distrato",$I$38-1,0)),IF(AND($L$37=0,$P$34=0),"",$L$37-1),IF($R$17="Distrato",$E593,0))),0,YEARFRAC(MAX($P$34*($B593+IF($R$17="Distrato",$I$38-1,0)),IF(AND($L$37=0,$P$34=0),"",$L$37-1),IF($R$17="Distrato",$E593,0)),MIN(AV$38,$D$19),$P$20))-SUM($P593:AU593)</f>
        <v>#VALUE!</v>
      </c>
      <c r="AW593" s="446" t="e">
        <f>IF(OR($B593="",MIN(AW$38,$D$19)&lt;MAX($P$34*($B593+IF($R$17="Distrato",$I$38-1,0)),IF(AND($L$37=0,$P$34=0),"",$L$37-1),IF($R$17="Distrato",$E593,0))),0,YEARFRAC(MAX($P$34*($B593+IF($R$17="Distrato",$I$38-1,0)),IF(AND($L$37=0,$P$34=0),"",$L$37-1),IF($R$17="Distrato",$E593,0)),MIN(AW$38,$D$19),$P$20))-SUM($P593:AV593)</f>
        <v>#VALUE!</v>
      </c>
      <c r="AX593" s="446" t="e">
        <f>IF(OR($B593="",MIN(AX$38,$D$19)&lt;MAX($P$34*($B593+IF($R$17="Distrato",$I$38-1,0)),IF(AND($L$37=0,$P$34=0),"",$L$37-1),IF($R$17="Distrato",$E593,0))),0,YEARFRAC(MAX($P$34*($B593+IF($R$17="Distrato",$I$38-1,0)),IF(AND($L$37=0,$P$34=0),"",$L$37-1),IF($R$17="Distrato",$E593,0)),MIN(AX$38,$D$19),$P$20))-SUM($P593:AW593)</f>
        <v>#VALUE!</v>
      </c>
      <c r="AY593" s="446" t="e">
        <f>IF(OR($B593="",MIN(AY$38,$D$19)&lt;MAX($P$34*($B593+IF($R$17="Distrato",$I$38-1,0)),IF(AND($L$37=0,$P$34=0),"",$L$37-1),IF($R$17="Distrato",$E593,0))),0,YEARFRAC(MAX($P$34*($B593+IF($R$17="Distrato",$I$38-1,0)),IF(AND($L$37=0,$P$34=0),"",$L$37-1),IF($R$17="Distrato",$E593,0)),MIN(AY$38,$D$19),$P$20))-SUM($P593:AX593)</f>
        <v>#VALUE!</v>
      </c>
      <c r="AZ593" s="446" t="e">
        <f>IF(OR($B593="",MIN(AZ$38,$D$19)&lt;MAX($P$34*($B593+IF($R$17="Distrato",$I$38-1,0)),IF(AND($L$37=0,$P$34=0),"",$L$37-1),IF($R$17="Distrato",$E593,0))),0,YEARFRAC(MAX($P$34*($B593+IF($R$17="Distrato",$I$38-1,0)),IF(AND($L$37=0,$P$34=0),"",$L$37-1),IF($R$17="Distrato",$E593,0)),MIN(AZ$38,$D$19),$P$20))-SUM($P593:AY593)</f>
        <v>#VALUE!</v>
      </c>
      <c r="BA593" s="446" t="e">
        <f>IF(OR($B593="",MIN(BA$38,$D$19)&lt;MAX($P$34*($B593+IF($R$17="Distrato",$I$38-1,0)),IF(AND($L$37=0,$P$34=0),"",$L$37-1),IF($R$17="Distrato",$E593,0))),0,YEARFRAC(MAX($P$34*($B593+IF($R$17="Distrato",$I$38-1,0)),IF(AND($L$37=0,$P$34=0),"",$L$37-1),IF($R$17="Distrato",$E593,0)),MIN(BA$38,$D$19),$P$20))-SUM($P593:AZ593)</f>
        <v>#VALUE!</v>
      </c>
      <c r="BB593" s="447"/>
      <c r="BF593" s="446">
        <f t="shared" si="98"/>
        <v>0</v>
      </c>
      <c r="BG593" s="446">
        <f>IF($E593=0,0,IF(MIN(BG$38,$E593)&lt;MAX($P$34*($B593+$I$38-1),IF(AND($L$37=0,$P$34=0),"",$L$37-1)),0,YEARFRAC(MAX($P$34*($B593+$I$38-1),IF(AND($L$37=0,$P$34=0),"",$L$37-1)),MIN(BG$38,$E593),$P$20))-SUM($BF593:BF593))</f>
        <v>0</v>
      </c>
      <c r="BH593" s="446">
        <f>IF($E593=0,0,IF(MIN(BH$38,$E593)&lt;MAX($P$34*($B593+$I$38-1),IF(AND($L$37=0,$P$34=0),"",$L$37-1)),0,YEARFRAC(MAX($P$34*($B593+$I$38-1),IF(AND($L$37=0,$P$34=0),"",$L$37-1)),MIN(BH$38,$E593),$P$20))-SUM($BF593:BG593))</f>
        <v>0</v>
      </c>
      <c r="BI593" s="446">
        <f>IF($E593=0,0,IF(MIN(BI$38,$E593)&lt;MAX($P$34*($B593+$I$38-1),IF(AND($L$37=0,$P$34=0),"",$L$37-1)),0,YEARFRAC(MAX($P$34*($B593+$I$38-1),IF(AND($L$37=0,$P$34=0),"",$L$37-1)),MIN(BI$38,$E593),$P$20))-SUM($BF593:BH593))</f>
        <v>0</v>
      </c>
      <c r="BJ593" s="446">
        <f>IF($E593=0,0,IF(MIN(BJ$38,$E593)&lt;MAX($P$34*($B593+$I$38-1),IF(AND($L$37=0,$P$34=0),"",$L$37-1)),0,YEARFRAC(MAX($P$34*($B593+$I$38-1),IF(AND($L$37=0,$P$34=0),"",$L$37-1)),MIN(BJ$38,$E593),$P$20))-SUM($BF593:BI593))</f>
        <v>0</v>
      </c>
      <c r="BK593" s="446">
        <f>IF($E593=0,0,IF(MIN(BK$38,$E593)&lt;MAX($P$34*($B593+$I$38-1),IF(AND($L$37=0,$P$34=0),"",$L$37-1)),0,YEARFRAC(MAX($P$34*($B593+$I$38-1),IF(AND($L$37=0,$P$34=0),"",$L$37-1)),MIN(BK$38,$E593),$P$20))-SUM($BF593:BJ593))</f>
        <v>0</v>
      </c>
      <c r="BL593" s="446">
        <f>IF($E593=0,0,IF(MIN(BL$38,$E593)&lt;MAX($P$34*($B593+$I$38-1),IF(AND($L$37=0,$P$34=0),"",$L$37-1)),0,YEARFRAC(MAX($P$34*($B593+$I$38-1),IF(AND($L$37=0,$P$34=0),"",$L$37-1)),MIN(BL$38,$E593),$P$20))-SUM($BF593:BK593))</f>
        <v>0</v>
      </c>
      <c r="BM593" s="446">
        <f>IF($E593=0,0,IF(MIN(BM$38,$E593)&lt;MAX($P$34*($B593+$I$38-1),IF(AND($L$37=0,$P$34=0),"",$L$37-1)),0,YEARFRAC(MAX($P$34*($B593+$I$38-1),IF(AND($L$37=0,$P$34=0),"",$L$37-1)),MIN(BM$38,$E593),$P$20))-SUM($BF593:BL593))</f>
        <v>0</v>
      </c>
      <c r="BN593" s="446">
        <f>IF($E593=0,0,IF(MIN(BN$38,$E593)&lt;MAX($P$34*($B593+$I$38-1),IF(AND($L$37=0,$P$34=0),"",$L$37-1)),0,YEARFRAC(MAX($P$34*($B593+$I$38-1),IF(AND($L$37=0,$P$34=0),"",$L$37-1)),MIN(BN$38,$E593),$P$20))-SUM($BF593:BM593))</f>
        <v>0</v>
      </c>
      <c r="BO593" s="446">
        <f>IF($E593=0,0,IF(MIN(BO$38,$E593)&lt;MAX($P$34*($B593+$I$38-1),IF(AND($L$37=0,$P$34=0),"",$L$37-1)),0,YEARFRAC(MAX($P$34*($B593+$I$38-1),IF(AND($L$37=0,$P$34=0),"",$L$37-1)),MIN(BO$38,$E593),$P$20))-SUM($BF593:BN593))</f>
        <v>0</v>
      </c>
      <c r="BP593" s="446">
        <f>IF($E593=0,0,IF(MIN(BP$38,$E593)&lt;MAX($P$34*($B593+$I$38-1),IF(AND($L$37=0,$P$34=0),"",$L$37-1)),0,YEARFRAC(MAX($P$34*($B593+$I$38-1),IF(AND($L$37=0,$P$34=0),"",$L$37-1)),MIN(BP$38,$E593),$P$20))-SUM($BF593:BO593))</f>
        <v>0</v>
      </c>
      <c r="BQ593" s="446">
        <f>IF($E593=0,0,IF(MIN(BQ$38,$E593)&lt;MAX($P$34*($B593+$I$38-1),IF(AND($L$37=0,$P$34=0),"",$L$37-1)),0,YEARFRAC(MAX($P$34*($B593+$I$38-1),IF(AND($L$37=0,$P$34=0),"",$L$37-1)),MIN(BQ$38,$E593),$P$20))-SUM($BF593:BP593))</f>
        <v>0</v>
      </c>
      <c r="BR593" s="446">
        <f>IF($E593=0,0,IF(MIN(BR$38,$E593)&lt;MAX($P$34*($B593+$I$38-1),IF(AND($L$37=0,$P$34=0),"",$L$37-1)),0,YEARFRAC(MAX($P$34*($B593+$I$38-1),IF(AND($L$37=0,$P$34=0),"",$L$37-1)),MIN(BR$38,$E593),$P$20))-SUM($BF593:BQ593))</f>
        <v>0</v>
      </c>
      <c r="BS593" s="446">
        <f>IF($E593=0,0,IF(MIN(BS$38,$E593)&lt;MAX($P$34*($B593+$I$38-1),IF(AND($L$37=0,$P$34=0),"",$L$37-1)),0,YEARFRAC(MAX($P$34*($B593+$I$38-1),IF(AND($L$37=0,$P$34=0),"",$L$37-1)),MIN(BS$38,$E593),$P$20))-SUM($BF593:BR593))</f>
        <v>0</v>
      </c>
      <c r="BT593" s="446">
        <f>IF($E593=0,0,IF(MIN(BT$38,$E593)&lt;MAX($P$34*($B593+$I$38-1),IF(AND($L$37=0,$P$34=0),"",$L$37-1)),0,YEARFRAC(MAX($P$34*($B593+$I$38-1),IF(AND($L$37=0,$P$34=0),"",$L$37-1)),MIN(BT$38,$E593),$P$20))-SUM($BF593:BS593))</f>
        <v>0</v>
      </c>
      <c r="BU593" s="446">
        <f>IF($E593=0,0,IF(MIN(BU$38,$E593)&lt;MAX($P$34*($B593+$I$38-1),IF(AND($L$37=0,$P$34=0),"",$L$37-1)),0,YEARFRAC(MAX($P$34*($B593+$I$38-1),IF(AND($L$37=0,$P$34=0),"",$L$37-1)),MIN(BU$38,$E593),$P$20))-SUM($BF593:BT593))</f>
        <v>0</v>
      </c>
      <c r="BV593" s="446">
        <f>IF($E593=0,0,IF(MIN(BV$38,$E593)&lt;MAX($P$34*($B593+$I$38-1),IF(AND($L$37=0,$P$34=0),"",$L$37-1)),0,YEARFRAC(MAX($P$34*($B593+$I$38-1),IF(AND($L$37=0,$P$34=0),"",$L$37-1)),MIN(BV$38,$E593),$P$20))-SUM($BF593:BU593))</f>
        <v>0</v>
      </c>
      <c r="BW593" s="446">
        <f>IF($E593=0,0,IF(MIN(BW$38,$E593)&lt;MAX($P$34*($B593+$I$38-1),IF(AND($L$37=0,$P$34=0),"",$L$37-1)),0,YEARFRAC(MAX($P$34*($B593+$I$38-1),IF(AND($L$37=0,$P$34=0),"",$L$37-1)),MIN(BW$38,$E593),$P$20))-SUM($BF593:BV593))</f>
        <v>0</v>
      </c>
      <c r="BX593" s="446">
        <f>IF($E593=0,0,IF(MIN(BX$38,$E593)&lt;MAX($P$34*($B593+$I$38-1),IF(AND($L$37=0,$P$34=0),"",$L$37-1)),0,YEARFRAC(MAX($P$34*($B593+$I$38-1),IF(AND($L$37=0,$P$34=0),"",$L$37-1)),MIN(BX$38,$E593),$P$20))-SUM($BF593:BW593))</f>
        <v>0</v>
      </c>
      <c r="BY593" s="446">
        <f>IF($E593=0,0,IF(MIN(BY$38,$E593)&lt;MAX($P$34*($B593+$I$38-1),IF(AND($L$37=0,$P$34=0),"",$L$37-1)),0,YEARFRAC(MAX($P$34*($B593+$I$38-1),IF(AND($L$37=0,$P$34=0),"",$L$37-1)),MIN(BY$38,$E593),$P$20))-SUM($BF593:BX593))</f>
        <v>0</v>
      </c>
      <c r="BZ593" s="446">
        <f>IF($E593=0,0,IF(MIN(BZ$38,$E593)&lt;MAX($P$34*($B593+$I$38-1),IF(AND($L$37=0,$P$34=0),"",$L$37-1)),0,YEARFRAC(MAX($P$34*($B593+$I$38-1),IF(AND($L$37=0,$P$34=0),"",$L$37-1)),MIN(BZ$38,$E593),$P$20))-SUM($BF593:BY593))</f>
        <v>0</v>
      </c>
      <c r="CA593" s="446">
        <f>IF($E593=0,0,IF(MIN(CA$38,$E593)&lt;MAX($P$34*($B593+$I$38-1),IF(AND($L$37=0,$P$34=0),"",$L$37-1)),0,YEARFRAC(MAX($P$34*($B593+$I$38-1),IF(AND($L$37=0,$P$34=0),"",$L$37-1)),MIN(CA$38,$E593),$P$20))-SUM($BF593:BZ593))</f>
        <v>0</v>
      </c>
      <c r="CB593" s="446">
        <f>IF($E593=0,0,IF(MIN(CB$38,$E593)&lt;MAX($P$34*($B593+$I$38-1),IF(AND($L$37=0,$P$34=0),"",$L$37-1)),0,YEARFRAC(MAX($P$34*($B593+$I$38-1),IF(AND($L$37=0,$P$34=0),"",$L$37-1)),MIN(CB$38,$E593),$P$20))-SUM($BF593:CA593))</f>
        <v>0</v>
      </c>
      <c r="CC593" s="446">
        <f>IF($E593=0,0,IF(MIN(CC$38,$E593)&lt;MAX($P$34*($B593+$I$38-1),IF(AND($L$37=0,$P$34=0),"",$L$37-1)),0,YEARFRAC(MAX($P$34*($B593+$I$38-1),IF(AND($L$37=0,$P$34=0),"",$L$37-1)),MIN(CC$38,$E593),$P$20))-SUM($BF593:CB593))</f>
        <v>0</v>
      </c>
      <c r="CD593" s="446">
        <f>IF($E593=0,0,IF(MIN(CD$38,$E593)&lt;MAX($P$34*($B593+$I$38-1),IF(AND($L$37=0,$P$34=0),"",$L$37-1)),0,YEARFRAC(MAX($P$34*($B593+$I$38-1),IF(AND($L$37=0,$P$34=0),"",$L$37-1)),MIN(CD$38,$E593),$P$20))-SUM($BF593:CC593))</f>
        <v>0</v>
      </c>
      <c r="CE593" s="446">
        <f>IF($E593=0,0,IF(MIN(CE$38,$E593)&lt;MAX($P$34*($B593+$I$38-1),IF(AND($L$37=0,$P$34=0),"",$L$37-1)),0,YEARFRAC(MAX($P$34*($B593+$I$38-1),IF(AND($L$37=0,$P$34=0),"",$L$37-1)),MIN(CE$38,$E593),$P$20))-SUM($BF593:CD593))</f>
        <v>0</v>
      </c>
      <c r="CF593" s="446">
        <f>IF($E593=0,0,IF(MIN(CF$38,$E593)&lt;MAX($P$34*($B593+$I$38-1),IF(AND($L$37=0,$P$34=0),"",$L$37-1)),0,YEARFRAC(MAX($P$34*($B593+$I$38-1),IF(AND($L$37=0,$P$34=0),"",$L$37-1)),MIN(CF$38,$E593),$P$20))-SUM($BF593:CE593))</f>
        <v>0</v>
      </c>
      <c r="CG593" s="446">
        <f>IF($E593=0,0,IF(MIN(CG$38,$E593)&lt;MAX($P$34*($B593+$I$38-1),IF(AND($L$37=0,$P$34=0),"",$L$37-1)),0,YEARFRAC(MAX($P$34*($B593+$I$38-1),IF(AND($L$37=0,$P$34=0),"",$L$37-1)),MIN(CG$38,$E593),$P$20))-SUM($BF593:CF593))</f>
        <v>0</v>
      </c>
      <c r="CH593" s="446">
        <f>IF($E593=0,0,IF(MIN(CH$38,$E593)&lt;MAX($P$34*($B593+$I$38-1),IF(AND($L$37=0,$P$34=0),"",$L$37-1)),0,YEARFRAC(MAX($P$34*($B593+$I$38-1),IF(AND($L$37=0,$P$34=0),"",$L$37-1)),MIN(CH$38,$E593),$P$20))-SUM($BF593:CG593))</f>
        <v>0</v>
      </c>
      <c r="CI593" s="446">
        <f>IF($E593=0,0,IF(MIN(CI$38,$E593)&lt;MAX($P$34*($B593+$I$38-1),IF(AND($L$37=0,$P$34=0),"",$L$37-1)),0,YEARFRAC(MAX($P$34*($B593+$I$38-1),IF(AND($L$37=0,$P$34=0),"",$L$37-1)),MIN(CI$38,$E593),$P$20))-SUM($BF593:CH593))</f>
        <v>0</v>
      </c>
      <c r="CJ593" s="446">
        <f>IF($E593=0,0,IF(MIN(CJ$38,$E593)&lt;MAX($P$34*($B593+$I$38-1),IF(AND($L$37=0,$P$34=0),"",$L$37-1)),0,YEARFRAC(MAX($P$34*($B593+$I$38-1),IF(AND($L$37=0,$P$34=0),"",$L$37-1)),MIN(CJ$38,$E593),$P$20))-SUM($BF593:CI593))</f>
        <v>0</v>
      </c>
      <c r="CK593" s="446">
        <f>IF($E593=0,0,IF(MIN(CK$38,$E593)&lt;MAX($P$34*($B593+$I$38-1),IF(AND($L$37=0,$P$34=0),"",$L$37-1)),0,YEARFRAC(MAX($P$34*($B593+$I$38-1),IF(AND($L$37=0,$P$34=0),"",$L$37-1)),MIN(CK$38,$E593),$P$20))-SUM($BF593:CJ593))</f>
        <v>0</v>
      </c>
      <c r="CL593" s="446">
        <f>IF($E593=0,0,IF(MIN(CL$38,$E593)&lt;MAX($P$34*($B593+$I$38-1),IF(AND($L$37=0,$P$34=0),"",$L$37-1)),0,YEARFRAC(MAX($P$34*($B593+$I$38-1),IF(AND($L$37=0,$P$34=0),"",$L$37-1)),MIN(CL$38,$E593),$P$20))-SUM($BF593:CK593))</f>
        <v>0</v>
      </c>
      <c r="CM593" s="446">
        <f>IF($E593=0,0,IF(MIN(CM$38,$E593)&lt;MAX($P$34*($B593+$I$38-1),IF(AND($L$37=0,$P$34=0),"",$L$37-1)),0,YEARFRAC(MAX($P$34*($B593+$I$38-1),IF(AND($L$37=0,$P$34=0),"",$L$37-1)),MIN(CM$38,$E593),$P$20))-SUM($BF593:CL593))</f>
        <v>0</v>
      </c>
      <c r="CN593" s="446">
        <f>IF($E593=0,0,IF(MIN(CN$38,$E593)&lt;MAX($P$34*($B593+$I$38-1),IF(AND($L$37=0,$P$34=0),"",$L$37-1)),0,YEARFRAC(MAX($P$34*($B593+$I$38-1),IF(AND($L$37=0,$P$34=0),"",$L$37-1)),MIN(CN$38,$E593),$P$20))-SUM($BF593:CM593))</f>
        <v>0</v>
      </c>
      <c r="CO593" s="446">
        <f>IF($E593=0,0,IF(MIN(CO$38,$E593)&lt;MAX($P$34*($B593+$I$38-1),IF(AND($L$37=0,$P$34=0),"",$L$37-1)),0,YEARFRAC(MAX($P$34*($B593+$I$38-1),IF(AND($L$37=0,$P$34=0),"",$L$37-1)),MIN(CO$38,$E593),$P$20))-SUM($BF593:CN593))</f>
        <v>0</v>
      </c>
      <c r="CP593" s="446">
        <f>IF($E593=0,0,IF(MIN(CP$38,$E593)&lt;MAX($P$34*($B593+$I$38-1),IF(AND($L$37=0,$P$34=0),"",$L$37-1)),0,YEARFRAC(MAX($P$34*($B593+$I$38-1),IF(AND($L$37=0,$P$34=0),"",$L$37-1)),MIN(CP$38,$E593),$P$20))-SUM($BF593:CO593))</f>
        <v>0</v>
      </c>
      <c r="CQ593" s="446">
        <f>IF($E593=0,0,IF(MIN(CQ$38,$E593)&lt;MAX($P$34*($B593+$I$38-1),IF(AND($L$37=0,$P$34=0),"",$L$37-1)),0,YEARFRAC(MAX($P$34*($B593+$I$38-1),IF(AND($L$37=0,$P$34=0),"",$L$37-1)),MIN(CQ$38,$E593),$P$20))-SUM($BF593:CP593))</f>
        <v>0</v>
      </c>
    </row>
    <row r="594" spans="1:95" s="446" customFormat="1" ht="11.25" hidden="1" customHeight="1" x14ac:dyDescent="0.2">
      <c r="A594" s="152"/>
      <c r="B594" s="153" t="str">
        <f t="shared" si="103"/>
        <v/>
      </c>
      <c r="C594" s="29" t="str">
        <f>IF(B594="","",IF($L$35="SELIC - TRIBUTOS",VLOOKUP(DATE(YEAR($D$19),MONTH($D$19)-1,1),ÍNDICES!$A:$DE,HLOOKUP($BL$25,ÍNDICES!$B$3:$T$4,2)+11)-VLOOKUP(B594,ÍNDICES!$A:$DE,HLOOKUP($BL$25,ÍNDICES!$B$3:$T$4,2)+11)+1%,IF(C$38=$W$26,$J$35,IF(ISERROR(IF(B594&gt;$D$19,1,VLOOKUP(DATE(YEAR(B594),MONTH(B594)+IF($C$35=$S$23,1,0),1),ÍNDICES!$A:$DE,$Z$35+1))),"",IF(B594&gt;$D$19,1,VLOOKUP(DATE(YEAR(B594),MONTH(B594)+IF($C$35=$S$23,1,0),1),ÍNDICES!$A:$DE,$Z$35+1))))))</f>
        <v/>
      </c>
      <c r="D594" s="154" t="str">
        <f>IF(ISERROR(IF(OR($D$38=$Y$27,$B594=""),"",VLOOKUP(B594,ÍNDICES!A:DE,AF$35+1))),"",IF(OR($D$38=$Y$27,$B594=""),"",VLOOKUP(B594,ÍNDICES!A:DE,AF$35+1)))</f>
        <v/>
      </c>
      <c r="E594" s="153"/>
      <c r="F594" s="29" t="str">
        <f>IF(E594="","",IF($L$35="SELIC - TRIBUTOS",VLOOKUP(DATE(YEAR($D$19),MONTH($D$19)-1,1),ÍNDICES!$A:$DE,HLOOKUP($BL$25,ÍNDICES!$B$3:$T$4,2)+11)-VLOOKUP(E594,ÍNDICES!$A:$DE,HLOOKUP($BL$25,ÍNDICES!$B$3:$T$4,2)+11)+1%,IF(F$38=$W$26,$J$35,IF(ISERROR(IF(E594&gt;$D$19,1,VLOOKUP(DATE(YEAR(E594),MONTH(E594)+IF($C$35=$S$23,1,0),1),ÍNDICES!$A:$DE,$Z$35+1))),"",IF(E594&gt;$D$19,1,VLOOKUP(DATE(YEAR(E594),MONTH(E594)+IF($C$35=$S$23,1,0),1),ÍNDICES!$A:$DE,$Z$35+1))))))</f>
        <v/>
      </c>
      <c r="G594" s="155"/>
      <c r="H594" s="156" t="str">
        <f t="shared" si="99"/>
        <v/>
      </c>
      <c r="I594" s="29" t="str">
        <f t="shared" si="93"/>
        <v/>
      </c>
      <c r="J594" s="5">
        <f t="shared" si="94"/>
        <v>0</v>
      </c>
      <c r="K594" s="20">
        <f t="shared" ca="1" si="95"/>
        <v>0</v>
      </c>
      <c r="L594" s="5">
        <f t="shared" ca="1" si="96"/>
        <v>0</v>
      </c>
      <c r="M594" s="64">
        <f t="shared" si="100"/>
        <v>0</v>
      </c>
      <c r="N594" s="61">
        <f t="shared" ca="1" si="101"/>
        <v>0</v>
      </c>
      <c r="O594" s="5">
        <f t="shared" ca="1" si="102"/>
        <v>0</v>
      </c>
      <c r="P594" s="446" t="e">
        <f t="shared" si="97"/>
        <v>#VALUE!</v>
      </c>
      <c r="Q594" s="446" t="e">
        <f>IF(OR($B594="",MIN(Q$38,$D$19)&lt;MAX($P$34*($B594+IF($R$17="Distrato",$I$38-1,0)),IF(AND($L$37=0,$P$34=0),"",$L$37-1),IF($R$17="Distrato",$E594,0))),0,YEARFRAC(MAX($P$34*($B594+IF($R$17="Distrato",$I$38-1,0)),IF(AND($L$37=0,$P$34=0),"",$L$37-1),IF($R$17="Distrato",$E594,0)),MIN(Q$38,$D$19),$P$20))-SUM($P594:P594)</f>
        <v>#VALUE!</v>
      </c>
      <c r="R594" s="446" t="e">
        <f>IF(OR($B594="",MIN(R$38,$D$19)&lt;MAX($P$34*($B594+IF($R$17="Distrato",$I$38-1,0)),IF(AND($L$37=0,$P$34=0),"",$L$37-1),IF($R$17="Distrato",$E594,0))),0,YEARFRAC(MAX($P$34*($B594+IF($R$17="Distrato",$I$38-1,0)),IF(AND($L$37=0,$P$34=0),"",$L$37-1),IF($R$17="Distrato",$E594,0)),MIN(R$38,$D$19),$P$20))-SUM($P594:Q594)</f>
        <v>#VALUE!</v>
      </c>
      <c r="S594" s="446" t="e">
        <f>IF(OR($B594="",MIN(S$38,$D$19)&lt;MAX($P$34*($B594+IF($R$17="Distrato",$I$38-1,0)),IF(AND($L$37=0,$P$34=0),"",$L$37-1),IF($R$17="Distrato",$E594,0))),0,YEARFRAC(MAX($P$34*($B594+IF($R$17="Distrato",$I$38-1,0)),IF(AND($L$37=0,$P$34=0),"",$L$37-1),IF($R$17="Distrato",$E594,0)),MIN(S$38,$D$19),$P$20))-SUM($P594:R594)</f>
        <v>#VALUE!</v>
      </c>
      <c r="T594" s="446" t="e">
        <f>IF(OR($B594="",MIN(T$38,$D$19)&lt;MAX($P$34*($B594+IF($R$17="Distrato",$I$38-1,0)),IF(AND($L$37=0,$P$34=0),"",$L$37-1),IF($R$17="Distrato",$E594,0))),0,YEARFRAC(MAX($P$34*($B594+IF($R$17="Distrato",$I$38-1,0)),IF(AND($L$37=0,$P$34=0),"",$L$37-1),IF($R$17="Distrato",$E594,0)),MIN(T$38,$D$19),$P$20))-SUM($P594:S594)</f>
        <v>#VALUE!</v>
      </c>
      <c r="U594" s="446" t="e">
        <f>IF(OR($B594="",MIN(U$38,$D$19)&lt;MAX($P$34*($B594+IF($R$17="Distrato",$I$38-1,0)),IF(AND($L$37=0,$P$34=0),"",$L$37-1),IF($R$17="Distrato",$E594,0))),0,YEARFRAC(MAX($P$34*($B594+IF($R$17="Distrato",$I$38-1,0)),IF(AND($L$37=0,$P$34=0),"",$L$37-1),IF($R$17="Distrato",$E594,0)),MIN(U$38,$D$19),$P$20))-SUM($P594:T594)</f>
        <v>#VALUE!</v>
      </c>
      <c r="V594" s="446" t="e">
        <f>IF(OR($B594="",MIN(V$38,$D$19)&lt;MAX($P$34*($B594+IF($R$17="Distrato",$I$38-1,0)),IF(AND($L$37=0,$P$34=0),"",$L$37-1),IF($R$17="Distrato",$E594,0))),0,YEARFRAC(MAX($P$34*($B594+IF($R$17="Distrato",$I$38-1,0)),IF(AND($L$37=0,$P$34=0),"",$L$37-1),IF($R$17="Distrato",$E594,0)),MIN(V$38,$D$19),$P$20))-SUM($P594:U594)</f>
        <v>#VALUE!</v>
      </c>
      <c r="W594" s="446" t="e">
        <f>IF(OR($B594="",MIN(W$38,$D$19)&lt;MAX($P$34*($B594+IF($R$17="Distrato",$I$38-1,0)),IF(AND($L$37=0,$P$34=0),"",$L$37-1),IF($R$17="Distrato",$E594,0))),0,YEARFRAC(MAX($P$34*($B594+IF($R$17="Distrato",$I$38-1,0)),IF(AND($L$37=0,$P$34=0),"",$L$37-1),IF($R$17="Distrato",$E594,0)),MIN(W$38,$D$19),$P$20))-SUM($P594:V594)</f>
        <v>#VALUE!</v>
      </c>
      <c r="X594" s="446" t="e">
        <f>IF(OR($B594="",MIN(X$38,$D$19)&lt;MAX($P$34*($B594+IF($R$17="Distrato",$I$38-1,0)),IF(AND($L$37=0,$P$34=0),"",$L$37-1),IF($R$17="Distrato",$E594,0))),0,YEARFRAC(MAX($P$34*($B594+IF($R$17="Distrato",$I$38-1,0)),IF(AND($L$37=0,$P$34=0),"",$L$37-1),IF($R$17="Distrato",$E594,0)),MIN(X$38,$D$19),$P$20))-SUM($P594:W594)</f>
        <v>#VALUE!</v>
      </c>
      <c r="Y594" s="446" t="e">
        <f>IF(OR($B594="",MIN(Y$38,$D$19)&lt;MAX($P$34*($B594+IF($R$17="Distrato",$I$38-1,0)),IF(AND($L$37=0,$P$34=0),"",$L$37-1),IF($R$17="Distrato",$E594,0))),0,YEARFRAC(MAX($P$34*($B594+IF($R$17="Distrato",$I$38-1,0)),IF(AND($L$37=0,$P$34=0),"",$L$37-1),IF($R$17="Distrato",$E594,0)),MIN(Y$38,$D$19),$P$20))-SUM($P594:X594)</f>
        <v>#VALUE!</v>
      </c>
      <c r="Z594" s="446" t="e">
        <f>IF(OR($B594="",MIN(Z$38,$D$19)&lt;MAX($P$34*($B594+IF($R$17="Distrato",$I$38-1,0)),IF(AND($L$37=0,$P$34=0),"",$L$37-1),IF($R$17="Distrato",$E594,0))),0,YEARFRAC(MAX($P$34*($B594+IF($R$17="Distrato",$I$38-1,0)),IF(AND($L$37=0,$P$34=0),"",$L$37-1),IF($R$17="Distrato",$E594,0)),MIN(Z$38,$D$19),$P$20))-SUM($P594:Y594)</f>
        <v>#VALUE!</v>
      </c>
      <c r="AA594" s="446" t="e">
        <f>IF(OR($B594="",MIN(AA$38,$D$19)&lt;MAX($P$34*($B594+IF($R$17="Distrato",$I$38-1,0)),IF(AND($L$37=0,$P$34=0),"",$L$37-1),IF($R$17="Distrato",$E594,0))),0,YEARFRAC(MAX($P$34*($B594+IF($R$17="Distrato",$I$38-1,0)),IF(AND($L$37=0,$P$34=0),"",$L$37-1),IF($R$17="Distrato",$E594,0)),MIN(AA$38,$D$19),$P$20))-SUM($P594:Z594)</f>
        <v>#VALUE!</v>
      </c>
      <c r="AB594" s="446" t="e">
        <f>IF(OR($B594="",MIN(AB$38,$D$19)&lt;MAX($P$34*($B594+IF($R$17="Distrato",$I$38-1,0)),IF(AND($L$37=0,$P$34=0),"",$L$37-1),IF($R$17="Distrato",$E594,0))),0,YEARFRAC(MAX($P$34*($B594+IF($R$17="Distrato",$I$38-1,0)),IF(AND($L$37=0,$P$34=0),"",$L$37-1),IF($R$17="Distrato",$E594,0)),MIN(AB$38,$D$19),$P$20))-SUM($P594:AA594)</f>
        <v>#VALUE!</v>
      </c>
      <c r="AC594" s="446" t="e">
        <f>IF(OR($B594="",MIN(AC$38,$D$19)&lt;MAX($P$34*($B594+IF($R$17="Distrato",$I$38-1,0)),IF(AND($L$37=0,$P$34=0),"",$L$37-1),IF($R$17="Distrato",$E594,0))),0,YEARFRAC(MAX($P$34*($B594+IF($R$17="Distrato",$I$38-1,0)),IF(AND($L$37=0,$P$34=0),"",$L$37-1),IF($R$17="Distrato",$E594,0)),MIN(AC$38,$D$19),$P$20))-SUM($P594:AB594)</f>
        <v>#VALUE!</v>
      </c>
      <c r="AD594" s="446" t="e">
        <f>IF(OR($B594="",MIN(AD$38,$D$19)&lt;MAX($P$34*($B594+IF($R$17="Distrato",$I$38-1,0)),IF(AND($L$37=0,$P$34=0),"",$L$37-1),IF($R$17="Distrato",$E594,0))),0,YEARFRAC(MAX($P$34*($B594+IF($R$17="Distrato",$I$38-1,0)),IF(AND($L$37=0,$P$34=0),"",$L$37-1),IF($R$17="Distrato",$E594,0)),MIN(AD$38,$D$19),$P$20))-SUM($P594:AC594)</f>
        <v>#VALUE!</v>
      </c>
      <c r="AE594" s="446" t="e">
        <f>IF(OR($B594="",MIN(AE$38,$D$19)&lt;MAX($P$34*($B594+IF($R$17="Distrato",$I$38-1,0)),IF(AND($L$37=0,$P$34=0),"",$L$37-1),IF($R$17="Distrato",$E594,0))),0,YEARFRAC(MAX($P$34*($B594+IF($R$17="Distrato",$I$38-1,0)),IF(AND($L$37=0,$P$34=0),"",$L$37-1),IF($R$17="Distrato",$E594,0)),MIN(AE$38,$D$19),$P$20))-SUM($P594:AD594)</f>
        <v>#VALUE!</v>
      </c>
      <c r="AF594" s="446" t="e">
        <f>IF(OR($B594="",MIN(AF$38,$D$19)&lt;MAX($P$34*($B594+IF($R$17="Distrato",$I$38-1,0)),IF(AND($L$37=0,$P$34=0),"",$L$37-1),IF($R$17="Distrato",$E594,0))),0,YEARFRAC(MAX($P$34*($B594+IF($R$17="Distrato",$I$38-1,0)),IF(AND($L$37=0,$P$34=0),"",$L$37-1),IF($R$17="Distrato",$E594,0)),MIN(AF$38,$D$19),$P$20))-SUM($P594:AE594)</f>
        <v>#VALUE!</v>
      </c>
      <c r="AG594" s="446" t="e">
        <f>IF(OR($B594="",MIN(AG$38,$D$19)&lt;MAX($P$34*($B594+IF($R$17="Distrato",$I$38-1,0)),IF(AND($L$37=0,$P$34=0),"",$L$37-1),IF($R$17="Distrato",$E594,0))),0,YEARFRAC(MAX($P$34*($B594+IF($R$17="Distrato",$I$38-1,0)),IF(AND($L$37=0,$P$34=0),"",$L$37-1),IF($R$17="Distrato",$E594,0)),MIN(AG$38,$D$19),$P$20))-SUM($P594:AF594)</f>
        <v>#VALUE!</v>
      </c>
      <c r="AH594" s="446" t="e">
        <f>IF(OR($B594="",MIN(AH$38,$D$19)&lt;MAX($P$34*($B594+IF($R$17="Distrato",$I$38-1,0)),IF(AND($L$37=0,$P$34=0),"",$L$37-1),IF($R$17="Distrato",$E594,0))),0,YEARFRAC(MAX($P$34*($B594+IF($R$17="Distrato",$I$38-1,0)),IF(AND($L$37=0,$P$34=0),"",$L$37-1),IF($R$17="Distrato",$E594,0)),MIN(AH$38,$D$19),$P$20))-SUM($P594:AG594)</f>
        <v>#VALUE!</v>
      </c>
      <c r="AI594" s="446" t="e">
        <f>IF(OR($B594="",MIN(AI$38,$D$19)&lt;MAX($P$34*($B594+IF($R$17="Distrato",$I$38-1,0)),IF(AND($L$37=0,$P$34=0),"",$L$37-1),IF($R$17="Distrato",$E594,0))),0,YEARFRAC(MAX($P$34*($B594+IF($R$17="Distrato",$I$38-1,0)),IF(AND($L$37=0,$P$34=0),"",$L$37-1),IF($R$17="Distrato",$E594,0)),MIN(AI$38,$D$19),$P$20))-SUM($P594:AH594)</f>
        <v>#VALUE!</v>
      </c>
      <c r="AJ594" s="446" t="e">
        <f>IF(OR($B594="",MIN(AJ$38,$D$19)&lt;MAX($P$34*($B594+IF($R$17="Distrato",$I$38-1,0)),IF(AND($L$37=0,$P$34=0),"",$L$37-1),IF($R$17="Distrato",$E594,0))),0,YEARFRAC(MAX($P$34*($B594+IF($R$17="Distrato",$I$38-1,0)),IF(AND($L$37=0,$P$34=0),"",$L$37-1),IF($R$17="Distrato",$E594,0)),MIN(AJ$38,$D$19),$P$20))-SUM($P594:AI594)</f>
        <v>#VALUE!</v>
      </c>
      <c r="AK594" s="446" t="e">
        <f>IF(OR($B594="",MIN(AK$38,$D$19)&lt;MAX($P$34*($B594+IF($R$17="Distrato",$I$38-1,0)),IF(AND($L$37=0,$P$34=0),"",$L$37-1),IF($R$17="Distrato",$E594,0))),0,YEARFRAC(MAX($P$34*($B594+IF($R$17="Distrato",$I$38-1,0)),IF(AND($L$37=0,$P$34=0),"",$L$37-1),IF($R$17="Distrato",$E594,0)),MIN(AK$38,$D$19),$P$20))-SUM($P594:AJ594)</f>
        <v>#VALUE!</v>
      </c>
      <c r="AL594" s="446" t="e">
        <f>IF(OR($B594="",MIN(AL$38,$D$19)&lt;MAX($P$34*($B594+IF($R$17="Distrato",$I$38-1,0)),IF(AND($L$37=0,$P$34=0),"",$L$37-1),IF($R$17="Distrato",$E594,0))),0,YEARFRAC(MAX($P$34*($B594+IF($R$17="Distrato",$I$38-1,0)),IF(AND($L$37=0,$P$34=0),"",$L$37-1),IF($R$17="Distrato",$E594,0)),MIN(AL$38,$D$19),$P$20))-SUM($P594:AK594)</f>
        <v>#VALUE!</v>
      </c>
      <c r="AM594" s="446" t="e">
        <f>IF(OR($B594="",MIN(AM$38,$D$19)&lt;MAX($P$34*($B594+IF($R$17="Distrato",$I$38-1,0)),IF(AND($L$37=0,$P$34=0),"",$L$37-1),IF($R$17="Distrato",$E594,0))),0,YEARFRAC(MAX($P$34*($B594+IF($R$17="Distrato",$I$38-1,0)),IF(AND($L$37=0,$P$34=0),"",$L$37-1),IF($R$17="Distrato",$E594,0)),MIN(AM$38,$D$19),$P$20))-SUM($P594:AL594)</f>
        <v>#VALUE!</v>
      </c>
      <c r="AN594" s="446" t="e">
        <f>IF(OR($B594="",MIN(AN$38,$D$19)&lt;MAX($P$34*($B594+IF($R$17="Distrato",$I$38-1,0)),IF(AND($L$37=0,$P$34=0),"",$L$37-1),IF($R$17="Distrato",$E594,0))),0,YEARFRAC(MAX($P$34*($B594+IF($R$17="Distrato",$I$38-1,0)),IF(AND($L$37=0,$P$34=0),"",$L$37-1),IF($R$17="Distrato",$E594,0)),MIN(AN$38,$D$19),$P$20))-SUM($P594:AM594)</f>
        <v>#VALUE!</v>
      </c>
      <c r="AO594" s="446" t="e">
        <f>IF(OR($B594="",MIN(AO$38,$D$19)&lt;MAX($P$34*($B594+IF($R$17="Distrato",$I$38-1,0)),IF(AND($L$37=0,$P$34=0),"",$L$37-1),IF($R$17="Distrato",$E594,0))),0,YEARFRAC(MAX($P$34*($B594+IF($R$17="Distrato",$I$38-1,0)),IF(AND($L$37=0,$P$34=0),"",$L$37-1),IF($R$17="Distrato",$E594,0)),MIN(AO$38,$D$19),$P$20))-SUM($P594:AN594)</f>
        <v>#VALUE!</v>
      </c>
      <c r="AP594" s="446" t="e">
        <f>IF(OR($B594="",MIN(AP$38,$D$19)&lt;MAX($P$34*($B594+IF($R$17="Distrato",$I$38-1,0)),IF(AND($L$37=0,$P$34=0),"",$L$37-1),IF($R$17="Distrato",$E594,0))),0,YEARFRAC(MAX($P$34*($B594+IF($R$17="Distrato",$I$38-1,0)),IF(AND($L$37=0,$P$34=0),"",$L$37-1),IF($R$17="Distrato",$E594,0)),MIN(AP$38,$D$19),$P$20))-SUM($P594:AO594)</f>
        <v>#VALUE!</v>
      </c>
      <c r="AQ594" s="446" t="e">
        <f>IF(OR($B594="",MIN(AQ$38,$D$19)&lt;MAX($P$34*($B594+IF($R$17="Distrato",$I$38-1,0)),IF(AND($L$37=0,$P$34=0),"",$L$37-1),IF($R$17="Distrato",$E594,0))),0,YEARFRAC(MAX($P$34*($B594+IF($R$17="Distrato",$I$38-1,0)),IF(AND($L$37=0,$P$34=0),"",$L$37-1),IF($R$17="Distrato",$E594,0)),MIN(AQ$38,$D$19),$P$20))-SUM($P594:AP594)</f>
        <v>#VALUE!</v>
      </c>
      <c r="AR594" s="446" t="e">
        <f>IF(OR($B594="",MIN(AR$38,$D$19)&lt;MAX($P$34*($B594+IF($R$17="Distrato",$I$38-1,0)),IF(AND($L$37=0,$P$34=0),"",$L$37-1),IF($R$17="Distrato",$E594,0))),0,YEARFRAC(MAX($P$34*($B594+IF($R$17="Distrato",$I$38-1,0)),IF(AND($L$37=0,$P$34=0),"",$L$37-1),IF($R$17="Distrato",$E594,0)),MIN(AR$38,$D$19),$P$20))-SUM($P594:AQ594)</f>
        <v>#VALUE!</v>
      </c>
      <c r="AS594" s="446" t="e">
        <f>IF(OR($B594="",MIN(AS$38,$D$19)&lt;MAX($P$34*($B594+IF($R$17="Distrato",$I$38-1,0)),IF(AND($L$37=0,$P$34=0),"",$L$37-1),IF($R$17="Distrato",$E594,0))),0,YEARFRAC(MAX($P$34*($B594+IF($R$17="Distrato",$I$38-1,0)),IF(AND($L$37=0,$P$34=0),"",$L$37-1),IF($R$17="Distrato",$E594,0)),MIN(AS$38,$D$19),$P$20))-SUM($P594:AR594)</f>
        <v>#VALUE!</v>
      </c>
      <c r="AT594" s="446" t="e">
        <f>IF(OR($B594="",MIN(AT$38,$D$19)&lt;MAX($P$34*($B594+IF($R$17="Distrato",$I$38-1,0)),IF(AND($L$37=0,$P$34=0),"",$L$37-1),IF($R$17="Distrato",$E594,0))),0,YEARFRAC(MAX($P$34*($B594+IF($R$17="Distrato",$I$38-1,0)),IF(AND($L$37=0,$P$34=0),"",$L$37-1),IF($R$17="Distrato",$E594,0)),MIN(AT$38,$D$19),$P$20))-SUM($P594:AS594)</f>
        <v>#VALUE!</v>
      </c>
      <c r="AU594" s="446" t="e">
        <f>IF(OR($B594="",MIN(AU$38,$D$19)&lt;MAX($P$34*($B594+IF($R$17="Distrato",$I$38-1,0)),IF(AND($L$37=0,$P$34=0),"",$L$37-1),IF($R$17="Distrato",$E594,0))),0,YEARFRAC(MAX($P$34*($B594+IF($R$17="Distrato",$I$38-1,0)),IF(AND($L$37=0,$P$34=0),"",$L$37-1),IF($R$17="Distrato",$E594,0)),MIN(AU$38,$D$19),$P$20))-SUM($P594:AT594)</f>
        <v>#VALUE!</v>
      </c>
      <c r="AV594" s="446" t="e">
        <f>IF(OR($B594="",MIN(AV$38,$D$19)&lt;MAX($P$34*($B594+IF($R$17="Distrato",$I$38-1,0)),IF(AND($L$37=0,$P$34=0),"",$L$37-1),IF($R$17="Distrato",$E594,0))),0,YEARFRAC(MAX($P$34*($B594+IF($R$17="Distrato",$I$38-1,0)),IF(AND($L$37=0,$P$34=0),"",$L$37-1),IF($R$17="Distrato",$E594,0)),MIN(AV$38,$D$19),$P$20))-SUM($P594:AU594)</f>
        <v>#VALUE!</v>
      </c>
      <c r="AW594" s="446" t="e">
        <f>IF(OR($B594="",MIN(AW$38,$D$19)&lt;MAX($P$34*($B594+IF($R$17="Distrato",$I$38-1,0)),IF(AND($L$37=0,$P$34=0),"",$L$37-1),IF($R$17="Distrato",$E594,0))),0,YEARFRAC(MAX($P$34*($B594+IF($R$17="Distrato",$I$38-1,0)),IF(AND($L$37=0,$P$34=0),"",$L$37-1),IF($R$17="Distrato",$E594,0)),MIN(AW$38,$D$19),$P$20))-SUM($P594:AV594)</f>
        <v>#VALUE!</v>
      </c>
      <c r="AX594" s="446" t="e">
        <f>IF(OR($B594="",MIN(AX$38,$D$19)&lt;MAX($P$34*($B594+IF($R$17="Distrato",$I$38-1,0)),IF(AND($L$37=0,$P$34=0),"",$L$37-1),IF($R$17="Distrato",$E594,0))),0,YEARFRAC(MAX($P$34*($B594+IF($R$17="Distrato",$I$38-1,0)),IF(AND($L$37=0,$P$34=0),"",$L$37-1),IF($R$17="Distrato",$E594,0)),MIN(AX$38,$D$19),$P$20))-SUM($P594:AW594)</f>
        <v>#VALUE!</v>
      </c>
      <c r="AY594" s="446" t="e">
        <f>IF(OR($B594="",MIN(AY$38,$D$19)&lt;MAX($P$34*($B594+IF($R$17="Distrato",$I$38-1,0)),IF(AND($L$37=0,$P$34=0),"",$L$37-1),IF($R$17="Distrato",$E594,0))),0,YEARFRAC(MAX($P$34*($B594+IF($R$17="Distrato",$I$38-1,0)),IF(AND($L$37=0,$P$34=0),"",$L$37-1),IF($R$17="Distrato",$E594,0)),MIN(AY$38,$D$19),$P$20))-SUM($P594:AX594)</f>
        <v>#VALUE!</v>
      </c>
      <c r="AZ594" s="446" t="e">
        <f>IF(OR($B594="",MIN(AZ$38,$D$19)&lt;MAX($P$34*($B594+IF($R$17="Distrato",$I$38-1,0)),IF(AND($L$37=0,$P$34=0),"",$L$37-1),IF($R$17="Distrato",$E594,0))),0,YEARFRAC(MAX($P$34*($B594+IF($R$17="Distrato",$I$38-1,0)),IF(AND($L$37=0,$P$34=0),"",$L$37-1),IF($R$17="Distrato",$E594,0)),MIN(AZ$38,$D$19),$P$20))-SUM($P594:AY594)</f>
        <v>#VALUE!</v>
      </c>
      <c r="BA594" s="446" t="e">
        <f>IF(OR($B594="",MIN(BA$38,$D$19)&lt;MAX($P$34*($B594+IF($R$17="Distrato",$I$38-1,0)),IF(AND($L$37=0,$P$34=0),"",$L$37-1),IF($R$17="Distrato",$E594,0))),0,YEARFRAC(MAX($P$34*($B594+IF($R$17="Distrato",$I$38-1,0)),IF(AND($L$37=0,$P$34=0),"",$L$37-1),IF($R$17="Distrato",$E594,0)),MIN(BA$38,$D$19),$P$20))-SUM($P594:AZ594)</f>
        <v>#VALUE!</v>
      </c>
      <c r="BB594" s="447"/>
      <c r="BF594" s="446">
        <f t="shared" si="98"/>
        <v>0</v>
      </c>
      <c r="BG594" s="446">
        <f>IF($E594=0,0,IF(MIN(BG$38,$E594)&lt;MAX($P$34*($B594+$I$38-1),IF(AND($L$37=0,$P$34=0),"",$L$37-1)),0,YEARFRAC(MAX($P$34*($B594+$I$38-1),IF(AND($L$37=0,$P$34=0),"",$L$37-1)),MIN(BG$38,$E594),$P$20))-SUM($BF594:BF594))</f>
        <v>0</v>
      </c>
      <c r="BH594" s="446">
        <f>IF($E594=0,0,IF(MIN(BH$38,$E594)&lt;MAX($P$34*($B594+$I$38-1),IF(AND($L$37=0,$P$34=0),"",$L$37-1)),0,YEARFRAC(MAX($P$34*($B594+$I$38-1),IF(AND($L$37=0,$P$34=0),"",$L$37-1)),MIN(BH$38,$E594),$P$20))-SUM($BF594:BG594))</f>
        <v>0</v>
      </c>
      <c r="BI594" s="446">
        <f>IF($E594=0,0,IF(MIN(BI$38,$E594)&lt;MAX($P$34*($B594+$I$38-1),IF(AND($L$37=0,$P$34=0),"",$L$37-1)),0,YEARFRAC(MAX($P$34*($B594+$I$38-1),IF(AND($L$37=0,$P$34=0),"",$L$37-1)),MIN(BI$38,$E594),$P$20))-SUM($BF594:BH594))</f>
        <v>0</v>
      </c>
      <c r="BJ594" s="446">
        <f>IF($E594=0,0,IF(MIN(BJ$38,$E594)&lt;MAX($P$34*($B594+$I$38-1),IF(AND($L$37=0,$P$34=0),"",$L$37-1)),0,YEARFRAC(MAX($P$34*($B594+$I$38-1),IF(AND($L$37=0,$P$34=0),"",$L$37-1)),MIN(BJ$38,$E594),$P$20))-SUM($BF594:BI594))</f>
        <v>0</v>
      </c>
      <c r="BK594" s="446">
        <f>IF($E594=0,0,IF(MIN(BK$38,$E594)&lt;MAX($P$34*($B594+$I$38-1),IF(AND($L$37=0,$P$34=0),"",$L$37-1)),0,YEARFRAC(MAX($P$34*($B594+$I$38-1),IF(AND($L$37=0,$P$34=0),"",$L$37-1)),MIN(BK$38,$E594),$P$20))-SUM($BF594:BJ594))</f>
        <v>0</v>
      </c>
      <c r="BL594" s="446">
        <f>IF($E594=0,0,IF(MIN(BL$38,$E594)&lt;MAX($P$34*($B594+$I$38-1),IF(AND($L$37=0,$P$34=0),"",$L$37-1)),0,YEARFRAC(MAX($P$34*($B594+$I$38-1),IF(AND($L$37=0,$P$34=0),"",$L$37-1)),MIN(BL$38,$E594),$P$20))-SUM($BF594:BK594))</f>
        <v>0</v>
      </c>
      <c r="BM594" s="446">
        <f>IF($E594=0,0,IF(MIN(BM$38,$E594)&lt;MAX($P$34*($B594+$I$38-1),IF(AND($L$37=0,$P$34=0),"",$L$37-1)),0,YEARFRAC(MAX($P$34*($B594+$I$38-1),IF(AND($L$37=0,$P$34=0),"",$L$37-1)),MIN(BM$38,$E594),$P$20))-SUM($BF594:BL594))</f>
        <v>0</v>
      </c>
      <c r="BN594" s="446">
        <f>IF($E594=0,0,IF(MIN(BN$38,$E594)&lt;MAX($P$34*($B594+$I$38-1),IF(AND($L$37=0,$P$34=0),"",$L$37-1)),0,YEARFRAC(MAX($P$34*($B594+$I$38-1),IF(AND($L$37=0,$P$34=0),"",$L$37-1)),MIN(BN$38,$E594),$P$20))-SUM($BF594:BM594))</f>
        <v>0</v>
      </c>
      <c r="BO594" s="446">
        <f>IF($E594=0,0,IF(MIN(BO$38,$E594)&lt;MAX($P$34*($B594+$I$38-1),IF(AND($L$37=0,$P$34=0),"",$L$37-1)),0,YEARFRAC(MAX($P$34*($B594+$I$38-1),IF(AND($L$37=0,$P$34=0),"",$L$37-1)),MIN(BO$38,$E594),$P$20))-SUM($BF594:BN594))</f>
        <v>0</v>
      </c>
      <c r="BP594" s="446">
        <f>IF($E594=0,0,IF(MIN(BP$38,$E594)&lt;MAX($P$34*($B594+$I$38-1),IF(AND($L$37=0,$P$34=0),"",$L$37-1)),0,YEARFRAC(MAX($P$34*($B594+$I$38-1),IF(AND($L$37=0,$P$34=0),"",$L$37-1)),MIN(BP$38,$E594),$P$20))-SUM($BF594:BO594))</f>
        <v>0</v>
      </c>
      <c r="BQ594" s="446">
        <f>IF($E594=0,0,IF(MIN(BQ$38,$E594)&lt;MAX($P$34*($B594+$I$38-1),IF(AND($L$37=0,$P$34=0),"",$L$37-1)),0,YEARFRAC(MAX($P$34*($B594+$I$38-1),IF(AND($L$37=0,$P$34=0),"",$L$37-1)),MIN(BQ$38,$E594),$P$20))-SUM($BF594:BP594))</f>
        <v>0</v>
      </c>
      <c r="BR594" s="446">
        <f>IF($E594=0,0,IF(MIN(BR$38,$E594)&lt;MAX($P$34*($B594+$I$38-1),IF(AND($L$37=0,$P$34=0),"",$L$37-1)),0,YEARFRAC(MAX($P$34*($B594+$I$38-1),IF(AND($L$37=0,$P$34=0),"",$L$37-1)),MIN(BR$38,$E594),$P$20))-SUM($BF594:BQ594))</f>
        <v>0</v>
      </c>
      <c r="BS594" s="446">
        <f>IF($E594=0,0,IF(MIN(BS$38,$E594)&lt;MAX($P$34*($B594+$I$38-1),IF(AND($L$37=0,$P$34=0),"",$L$37-1)),0,YEARFRAC(MAX($P$34*($B594+$I$38-1),IF(AND($L$37=0,$P$34=0),"",$L$37-1)),MIN(BS$38,$E594),$P$20))-SUM($BF594:BR594))</f>
        <v>0</v>
      </c>
      <c r="BT594" s="446">
        <f>IF($E594=0,0,IF(MIN(BT$38,$E594)&lt;MAX($P$34*($B594+$I$38-1),IF(AND($L$37=0,$P$34=0),"",$L$37-1)),0,YEARFRAC(MAX($P$34*($B594+$I$38-1),IF(AND($L$37=0,$P$34=0),"",$L$37-1)),MIN(BT$38,$E594),$P$20))-SUM($BF594:BS594))</f>
        <v>0</v>
      </c>
      <c r="BU594" s="446">
        <f>IF($E594=0,0,IF(MIN(BU$38,$E594)&lt;MAX($P$34*($B594+$I$38-1),IF(AND($L$37=0,$P$34=0),"",$L$37-1)),0,YEARFRAC(MAX($P$34*($B594+$I$38-1),IF(AND($L$37=0,$P$34=0),"",$L$37-1)),MIN(BU$38,$E594),$P$20))-SUM($BF594:BT594))</f>
        <v>0</v>
      </c>
      <c r="BV594" s="446">
        <f>IF($E594=0,0,IF(MIN(BV$38,$E594)&lt;MAX($P$34*($B594+$I$38-1),IF(AND($L$37=0,$P$34=0),"",$L$37-1)),0,YEARFRAC(MAX($P$34*($B594+$I$38-1),IF(AND($L$37=0,$P$34=0),"",$L$37-1)),MIN(BV$38,$E594),$P$20))-SUM($BF594:BU594))</f>
        <v>0</v>
      </c>
      <c r="BW594" s="446">
        <f>IF($E594=0,0,IF(MIN(BW$38,$E594)&lt;MAX($P$34*($B594+$I$38-1),IF(AND($L$37=0,$P$34=0),"",$L$37-1)),0,YEARFRAC(MAX($P$34*($B594+$I$38-1),IF(AND($L$37=0,$P$34=0),"",$L$37-1)),MIN(BW$38,$E594),$P$20))-SUM($BF594:BV594))</f>
        <v>0</v>
      </c>
      <c r="BX594" s="446">
        <f>IF($E594=0,0,IF(MIN(BX$38,$E594)&lt;MAX($P$34*($B594+$I$38-1),IF(AND($L$37=0,$P$34=0),"",$L$37-1)),0,YEARFRAC(MAX($P$34*($B594+$I$38-1),IF(AND($L$37=0,$P$34=0),"",$L$37-1)),MIN(BX$38,$E594),$P$20))-SUM($BF594:BW594))</f>
        <v>0</v>
      </c>
      <c r="BY594" s="446">
        <f>IF($E594=0,0,IF(MIN(BY$38,$E594)&lt;MAX($P$34*($B594+$I$38-1),IF(AND($L$37=0,$P$34=0),"",$L$37-1)),0,YEARFRAC(MAX($P$34*($B594+$I$38-1),IF(AND($L$37=0,$P$34=0),"",$L$37-1)),MIN(BY$38,$E594),$P$20))-SUM($BF594:BX594))</f>
        <v>0</v>
      </c>
      <c r="BZ594" s="446">
        <f>IF($E594=0,0,IF(MIN(BZ$38,$E594)&lt;MAX($P$34*($B594+$I$38-1),IF(AND($L$37=0,$P$34=0),"",$L$37-1)),0,YEARFRAC(MAX($P$34*($B594+$I$38-1),IF(AND($L$37=0,$P$34=0),"",$L$37-1)),MIN(BZ$38,$E594),$P$20))-SUM($BF594:BY594))</f>
        <v>0</v>
      </c>
      <c r="CA594" s="446">
        <f>IF($E594=0,0,IF(MIN(CA$38,$E594)&lt;MAX($P$34*($B594+$I$38-1),IF(AND($L$37=0,$P$34=0),"",$L$37-1)),0,YEARFRAC(MAX($P$34*($B594+$I$38-1),IF(AND($L$37=0,$P$34=0),"",$L$37-1)),MIN(CA$38,$E594),$P$20))-SUM($BF594:BZ594))</f>
        <v>0</v>
      </c>
      <c r="CB594" s="446">
        <f>IF($E594=0,0,IF(MIN(CB$38,$E594)&lt;MAX($P$34*($B594+$I$38-1),IF(AND($L$37=0,$P$34=0),"",$L$37-1)),0,YEARFRAC(MAX($P$34*($B594+$I$38-1),IF(AND($L$37=0,$P$34=0),"",$L$37-1)),MIN(CB$38,$E594),$P$20))-SUM($BF594:CA594))</f>
        <v>0</v>
      </c>
      <c r="CC594" s="446">
        <f>IF($E594=0,0,IF(MIN(CC$38,$E594)&lt;MAX($P$34*($B594+$I$38-1),IF(AND($L$37=0,$P$34=0),"",$L$37-1)),0,YEARFRAC(MAX($P$34*($B594+$I$38-1),IF(AND($L$37=0,$P$34=0),"",$L$37-1)),MIN(CC$38,$E594),$P$20))-SUM($BF594:CB594))</f>
        <v>0</v>
      </c>
      <c r="CD594" s="446">
        <f>IF($E594=0,0,IF(MIN(CD$38,$E594)&lt;MAX($P$34*($B594+$I$38-1),IF(AND($L$37=0,$P$34=0),"",$L$37-1)),0,YEARFRAC(MAX($P$34*($B594+$I$38-1),IF(AND($L$37=0,$P$34=0),"",$L$37-1)),MIN(CD$38,$E594),$P$20))-SUM($BF594:CC594))</f>
        <v>0</v>
      </c>
      <c r="CE594" s="446">
        <f>IF($E594=0,0,IF(MIN(CE$38,$E594)&lt;MAX($P$34*($B594+$I$38-1),IF(AND($L$37=0,$P$34=0),"",$L$37-1)),0,YEARFRAC(MAX($P$34*($B594+$I$38-1),IF(AND($L$37=0,$P$34=0),"",$L$37-1)),MIN(CE$38,$E594),$P$20))-SUM($BF594:CD594))</f>
        <v>0</v>
      </c>
      <c r="CF594" s="446">
        <f>IF($E594=0,0,IF(MIN(CF$38,$E594)&lt;MAX($P$34*($B594+$I$38-1),IF(AND($L$37=0,$P$34=0),"",$L$37-1)),0,YEARFRAC(MAX($P$34*($B594+$I$38-1),IF(AND($L$37=0,$P$34=0),"",$L$37-1)),MIN(CF$38,$E594),$P$20))-SUM($BF594:CE594))</f>
        <v>0</v>
      </c>
      <c r="CG594" s="446">
        <f>IF($E594=0,0,IF(MIN(CG$38,$E594)&lt;MAX($P$34*($B594+$I$38-1),IF(AND($L$37=0,$P$34=0),"",$L$37-1)),0,YEARFRAC(MAX($P$34*($B594+$I$38-1),IF(AND($L$37=0,$P$34=0),"",$L$37-1)),MIN(CG$38,$E594),$P$20))-SUM($BF594:CF594))</f>
        <v>0</v>
      </c>
      <c r="CH594" s="446">
        <f>IF($E594=0,0,IF(MIN(CH$38,$E594)&lt;MAX($P$34*($B594+$I$38-1),IF(AND($L$37=0,$P$34=0),"",$L$37-1)),0,YEARFRAC(MAX($P$34*($B594+$I$38-1),IF(AND($L$37=0,$P$34=0),"",$L$37-1)),MIN(CH$38,$E594),$P$20))-SUM($BF594:CG594))</f>
        <v>0</v>
      </c>
      <c r="CI594" s="446">
        <f>IF($E594=0,0,IF(MIN(CI$38,$E594)&lt;MAX($P$34*($B594+$I$38-1),IF(AND($L$37=0,$P$34=0),"",$L$37-1)),0,YEARFRAC(MAX($P$34*($B594+$I$38-1),IF(AND($L$37=0,$P$34=0),"",$L$37-1)),MIN(CI$38,$E594),$P$20))-SUM($BF594:CH594))</f>
        <v>0</v>
      </c>
      <c r="CJ594" s="446">
        <f>IF($E594=0,0,IF(MIN(CJ$38,$E594)&lt;MAX($P$34*($B594+$I$38-1),IF(AND($L$37=0,$P$34=0),"",$L$37-1)),0,YEARFRAC(MAX($P$34*($B594+$I$38-1),IF(AND($L$37=0,$P$34=0),"",$L$37-1)),MIN(CJ$38,$E594),$P$20))-SUM($BF594:CI594))</f>
        <v>0</v>
      </c>
      <c r="CK594" s="446">
        <f>IF($E594=0,0,IF(MIN(CK$38,$E594)&lt;MAX($P$34*($B594+$I$38-1),IF(AND($L$37=0,$P$34=0),"",$L$37-1)),0,YEARFRAC(MAX($P$34*($B594+$I$38-1),IF(AND($L$37=0,$P$34=0),"",$L$37-1)),MIN(CK$38,$E594),$P$20))-SUM($BF594:CJ594))</f>
        <v>0</v>
      </c>
      <c r="CL594" s="446">
        <f>IF($E594=0,0,IF(MIN(CL$38,$E594)&lt;MAX($P$34*($B594+$I$38-1),IF(AND($L$37=0,$P$34=0),"",$L$37-1)),0,YEARFRAC(MAX($P$34*($B594+$I$38-1),IF(AND($L$37=0,$P$34=0),"",$L$37-1)),MIN(CL$38,$E594),$P$20))-SUM($BF594:CK594))</f>
        <v>0</v>
      </c>
      <c r="CM594" s="446">
        <f>IF($E594=0,0,IF(MIN(CM$38,$E594)&lt;MAX($P$34*($B594+$I$38-1),IF(AND($L$37=0,$P$34=0),"",$L$37-1)),0,YEARFRAC(MAX($P$34*($B594+$I$38-1),IF(AND($L$37=0,$P$34=0),"",$L$37-1)),MIN(CM$38,$E594),$P$20))-SUM($BF594:CL594))</f>
        <v>0</v>
      </c>
      <c r="CN594" s="446">
        <f>IF($E594=0,0,IF(MIN(CN$38,$E594)&lt;MAX($P$34*($B594+$I$38-1),IF(AND($L$37=0,$P$34=0),"",$L$37-1)),0,YEARFRAC(MAX($P$34*($B594+$I$38-1),IF(AND($L$37=0,$P$34=0),"",$L$37-1)),MIN(CN$38,$E594),$P$20))-SUM($BF594:CM594))</f>
        <v>0</v>
      </c>
      <c r="CO594" s="446">
        <f>IF($E594=0,0,IF(MIN(CO$38,$E594)&lt;MAX($P$34*($B594+$I$38-1),IF(AND($L$37=0,$P$34=0),"",$L$37-1)),0,YEARFRAC(MAX($P$34*($B594+$I$38-1),IF(AND($L$37=0,$P$34=0),"",$L$37-1)),MIN(CO$38,$E594),$P$20))-SUM($BF594:CN594))</f>
        <v>0</v>
      </c>
      <c r="CP594" s="446">
        <f>IF($E594=0,0,IF(MIN(CP$38,$E594)&lt;MAX($P$34*($B594+$I$38-1),IF(AND($L$37=0,$P$34=0),"",$L$37-1)),0,YEARFRAC(MAX($P$34*($B594+$I$38-1),IF(AND($L$37=0,$P$34=0),"",$L$37-1)),MIN(CP$38,$E594),$P$20))-SUM($BF594:CO594))</f>
        <v>0</v>
      </c>
      <c r="CQ594" s="446">
        <f>IF($E594=0,0,IF(MIN(CQ$38,$E594)&lt;MAX($P$34*($B594+$I$38-1),IF(AND($L$37=0,$P$34=0),"",$L$37-1)),0,YEARFRAC(MAX($P$34*($B594+$I$38-1),IF(AND($L$37=0,$P$34=0),"",$L$37-1)),MIN(CQ$38,$E594),$P$20))-SUM($BF594:CP594))</f>
        <v>0</v>
      </c>
    </row>
    <row r="595" spans="1:95" s="446" customFormat="1" ht="11.25" hidden="1" customHeight="1" x14ac:dyDescent="0.2">
      <c r="A595" s="152"/>
      <c r="B595" s="153" t="str">
        <f t="shared" si="103"/>
        <v/>
      </c>
      <c r="C595" s="29" t="str">
        <f>IF(B595="","",IF($L$35="SELIC - TRIBUTOS",VLOOKUP(DATE(YEAR($D$19),MONTH($D$19)-1,1),ÍNDICES!$A:$DE,HLOOKUP($BL$25,ÍNDICES!$B$3:$T$4,2)+11)-VLOOKUP(B595,ÍNDICES!$A:$DE,HLOOKUP($BL$25,ÍNDICES!$B$3:$T$4,2)+11)+1%,IF(C$38=$W$26,$J$35,IF(ISERROR(IF(B595&gt;$D$19,1,VLOOKUP(DATE(YEAR(B595),MONTH(B595)+IF($C$35=$S$23,1,0),1),ÍNDICES!$A:$DE,$Z$35+1))),"",IF(B595&gt;$D$19,1,VLOOKUP(DATE(YEAR(B595),MONTH(B595)+IF($C$35=$S$23,1,0),1),ÍNDICES!$A:$DE,$Z$35+1))))))</f>
        <v/>
      </c>
      <c r="D595" s="154" t="str">
        <f>IF(ISERROR(IF(OR($D$38=$Y$27,$B595=""),"",VLOOKUP(B595,ÍNDICES!A:DE,AF$35+1))),"",IF(OR($D$38=$Y$27,$B595=""),"",VLOOKUP(B595,ÍNDICES!A:DE,AF$35+1)))</f>
        <v/>
      </c>
      <c r="E595" s="153"/>
      <c r="F595" s="29" t="str">
        <f>IF(E595="","",IF($L$35="SELIC - TRIBUTOS",VLOOKUP(DATE(YEAR($D$19),MONTH($D$19)-1,1),ÍNDICES!$A:$DE,HLOOKUP($BL$25,ÍNDICES!$B$3:$T$4,2)+11)-VLOOKUP(E595,ÍNDICES!$A:$DE,HLOOKUP($BL$25,ÍNDICES!$B$3:$T$4,2)+11)+1%,IF(F$38=$W$26,$J$35,IF(ISERROR(IF(E595&gt;$D$19,1,VLOOKUP(DATE(YEAR(E595),MONTH(E595)+IF($C$35=$S$23,1,0),1),ÍNDICES!$A:$DE,$Z$35+1))),"",IF(E595&gt;$D$19,1,VLOOKUP(DATE(YEAR(E595),MONTH(E595)+IF($C$35=$S$23,1,0),1),ÍNDICES!$A:$DE,$Z$35+1))))))</f>
        <v/>
      </c>
      <c r="G595" s="155"/>
      <c r="H595" s="156" t="str">
        <f t="shared" si="99"/>
        <v/>
      </c>
      <c r="I595" s="29" t="str">
        <f t="shared" si="93"/>
        <v/>
      </c>
      <c r="J595" s="5">
        <f t="shared" si="94"/>
        <v>0</v>
      </c>
      <c r="K595" s="20">
        <f t="shared" ca="1" si="95"/>
        <v>0</v>
      </c>
      <c r="L595" s="5">
        <f t="shared" ca="1" si="96"/>
        <v>0</v>
      </c>
      <c r="M595" s="64">
        <f t="shared" si="100"/>
        <v>0</v>
      </c>
      <c r="N595" s="61">
        <f t="shared" ca="1" si="101"/>
        <v>0</v>
      </c>
      <c r="O595" s="5">
        <f t="shared" ca="1" si="102"/>
        <v>0</v>
      </c>
      <c r="P595" s="446" t="e">
        <f t="shared" si="97"/>
        <v>#VALUE!</v>
      </c>
      <c r="Q595" s="446" t="e">
        <f>IF(OR($B595="",MIN(Q$38,$D$19)&lt;MAX($P$34*($B595+IF($R$17="Distrato",$I$38-1,0)),IF(AND($L$37=0,$P$34=0),"",$L$37-1),IF($R$17="Distrato",$E595,0))),0,YEARFRAC(MAX($P$34*($B595+IF($R$17="Distrato",$I$38-1,0)),IF(AND($L$37=0,$P$34=0),"",$L$37-1),IF($R$17="Distrato",$E595,0)),MIN(Q$38,$D$19),$P$20))-SUM($P595:P595)</f>
        <v>#VALUE!</v>
      </c>
      <c r="R595" s="446" t="e">
        <f>IF(OR($B595="",MIN(R$38,$D$19)&lt;MAX($P$34*($B595+IF($R$17="Distrato",$I$38-1,0)),IF(AND($L$37=0,$P$34=0),"",$L$37-1),IF($R$17="Distrato",$E595,0))),0,YEARFRAC(MAX($P$34*($B595+IF($R$17="Distrato",$I$38-1,0)),IF(AND($L$37=0,$P$34=0),"",$L$37-1),IF($R$17="Distrato",$E595,0)),MIN(R$38,$D$19),$P$20))-SUM($P595:Q595)</f>
        <v>#VALUE!</v>
      </c>
      <c r="S595" s="446" t="e">
        <f>IF(OR($B595="",MIN(S$38,$D$19)&lt;MAX($P$34*($B595+IF($R$17="Distrato",$I$38-1,0)),IF(AND($L$37=0,$P$34=0),"",$L$37-1),IF($R$17="Distrato",$E595,0))),0,YEARFRAC(MAX($P$34*($B595+IF($R$17="Distrato",$I$38-1,0)),IF(AND($L$37=0,$P$34=0),"",$L$37-1),IF($R$17="Distrato",$E595,0)),MIN(S$38,$D$19),$P$20))-SUM($P595:R595)</f>
        <v>#VALUE!</v>
      </c>
      <c r="T595" s="446" t="e">
        <f>IF(OR($B595="",MIN(T$38,$D$19)&lt;MAX($P$34*($B595+IF($R$17="Distrato",$I$38-1,0)),IF(AND($L$37=0,$P$34=0),"",$L$37-1),IF($R$17="Distrato",$E595,0))),0,YEARFRAC(MAX($P$34*($B595+IF($R$17="Distrato",$I$38-1,0)),IF(AND($L$37=0,$P$34=0),"",$L$37-1),IF($R$17="Distrato",$E595,0)),MIN(T$38,$D$19),$P$20))-SUM($P595:S595)</f>
        <v>#VALUE!</v>
      </c>
      <c r="U595" s="446" t="e">
        <f>IF(OR($B595="",MIN(U$38,$D$19)&lt;MAX($P$34*($B595+IF($R$17="Distrato",$I$38-1,0)),IF(AND($L$37=0,$P$34=0),"",$L$37-1),IF($R$17="Distrato",$E595,0))),0,YEARFRAC(MAX($P$34*($B595+IF($R$17="Distrato",$I$38-1,0)),IF(AND($L$37=0,$P$34=0),"",$L$37-1),IF($R$17="Distrato",$E595,0)),MIN(U$38,$D$19),$P$20))-SUM($P595:T595)</f>
        <v>#VALUE!</v>
      </c>
      <c r="V595" s="446" t="e">
        <f>IF(OR($B595="",MIN(V$38,$D$19)&lt;MAX($P$34*($B595+IF($R$17="Distrato",$I$38-1,0)),IF(AND($L$37=0,$P$34=0),"",$L$37-1),IF($R$17="Distrato",$E595,0))),0,YEARFRAC(MAX($P$34*($B595+IF($R$17="Distrato",$I$38-1,0)),IF(AND($L$37=0,$P$34=0),"",$L$37-1),IF($R$17="Distrato",$E595,0)),MIN(V$38,$D$19),$P$20))-SUM($P595:U595)</f>
        <v>#VALUE!</v>
      </c>
      <c r="W595" s="446" t="e">
        <f>IF(OR($B595="",MIN(W$38,$D$19)&lt;MAX($P$34*($B595+IF($R$17="Distrato",$I$38-1,0)),IF(AND($L$37=0,$P$34=0),"",$L$37-1),IF($R$17="Distrato",$E595,0))),0,YEARFRAC(MAX($P$34*($B595+IF($R$17="Distrato",$I$38-1,0)),IF(AND($L$37=0,$P$34=0),"",$L$37-1),IF($R$17="Distrato",$E595,0)),MIN(W$38,$D$19),$P$20))-SUM($P595:V595)</f>
        <v>#VALUE!</v>
      </c>
      <c r="X595" s="446" t="e">
        <f>IF(OR($B595="",MIN(X$38,$D$19)&lt;MAX($P$34*($B595+IF($R$17="Distrato",$I$38-1,0)),IF(AND($L$37=0,$P$34=0),"",$L$37-1),IF($R$17="Distrato",$E595,0))),0,YEARFRAC(MAX($P$34*($B595+IF($R$17="Distrato",$I$38-1,0)),IF(AND($L$37=0,$P$34=0),"",$L$37-1),IF($R$17="Distrato",$E595,0)),MIN(X$38,$D$19),$P$20))-SUM($P595:W595)</f>
        <v>#VALUE!</v>
      </c>
      <c r="Y595" s="446" t="e">
        <f>IF(OR($B595="",MIN(Y$38,$D$19)&lt;MAX($P$34*($B595+IF($R$17="Distrato",$I$38-1,0)),IF(AND($L$37=0,$P$34=0),"",$L$37-1),IF($R$17="Distrato",$E595,0))),0,YEARFRAC(MAX($P$34*($B595+IF($R$17="Distrato",$I$38-1,0)),IF(AND($L$37=0,$P$34=0),"",$L$37-1),IF($R$17="Distrato",$E595,0)),MIN(Y$38,$D$19),$P$20))-SUM($P595:X595)</f>
        <v>#VALUE!</v>
      </c>
      <c r="Z595" s="446" t="e">
        <f>IF(OR($B595="",MIN(Z$38,$D$19)&lt;MAX($P$34*($B595+IF($R$17="Distrato",$I$38-1,0)),IF(AND($L$37=0,$P$34=0),"",$L$37-1),IF($R$17="Distrato",$E595,0))),0,YEARFRAC(MAX($P$34*($B595+IF($R$17="Distrato",$I$38-1,0)),IF(AND($L$37=0,$P$34=0),"",$L$37-1),IF($R$17="Distrato",$E595,0)),MIN(Z$38,$D$19),$P$20))-SUM($P595:Y595)</f>
        <v>#VALUE!</v>
      </c>
      <c r="AA595" s="446" t="e">
        <f>IF(OR($B595="",MIN(AA$38,$D$19)&lt;MAX($P$34*($B595+IF($R$17="Distrato",$I$38-1,0)),IF(AND($L$37=0,$P$34=0),"",$L$37-1),IF($R$17="Distrato",$E595,0))),0,YEARFRAC(MAX($P$34*($B595+IF($R$17="Distrato",$I$38-1,0)),IF(AND($L$37=0,$P$34=0),"",$L$37-1),IF($R$17="Distrato",$E595,0)),MIN(AA$38,$D$19),$P$20))-SUM($P595:Z595)</f>
        <v>#VALUE!</v>
      </c>
      <c r="AB595" s="446" t="e">
        <f>IF(OR($B595="",MIN(AB$38,$D$19)&lt;MAX($P$34*($B595+IF($R$17="Distrato",$I$38-1,0)),IF(AND($L$37=0,$P$34=0),"",$L$37-1),IF($R$17="Distrato",$E595,0))),0,YEARFRAC(MAX($P$34*($B595+IF($R$17="Distrato",$I$38-1,0)),IF(AND($L$37=0,$P$34=0),"",$L$37-1),IF($R$17="Distrato",$E595,0)),MIN(AB$38,$D$19),$P$20))-SUM($P595:AA595)</f>
        <v>#VALUE!</v>
      </c>
      <c r="AC595" s="446" t="e">
        <f>IF(OR($B595="",MIN(AC$38,$D$19)&lt;MAX($P$34*($B595+IF($R$17="Distrato",$I$38-1,0)),IF(AND($L$37=0,$P$34=0),"",$L$37-1),IF($R$17="Distrato",$E595,0))),0,YEARFRAC(MAX($P$34*($B595+IF($R$17="Distrato",$I$38-1,0)),IF(AND($L$37=0,$P$34=0),"",$L$37-1),IF($R$17="Distrato",$E595,0)),MIN(AC$38,$D$19),$P$20))-SUM($P595:AB595)</f>
        <v>#VALUE!</v>
      </c>
      <c r="AD595" s="446" t="e">
        <f>IF(OR($B595="",MIN(AD$38,$D$19)&lt;MAX($P$34*($B595+IF($R$17="Distrato",$I$38-1,0)),IF(AND($L$37=0,$P$34=0),"",$L$37-1),IF($R$17="Distrato",$E595,0))),0,YEARFRAC(MAX($P$34*($B595+IF($R$17="Distrato",$I$38-1,0)),IF(AND($L$37=0,$P$34=0),"",$L$37-1),IF($R$17="Distrato",$E595,0)),MIN(AD$38,$D$19),$P$20))-SUM($P595:AC595)</f>
        <v>#VALUE!</v>
      </c>
      <c r="AE595" s="446" t="e">
        <f>IF(OR($B595="",MIN(AE$38,$D$19)&lt;MAX($P$34*($B595+IF($R$17="Distrato",$I$38-1,0)),IF(AND($L$37=0,$P$34=0),"",$L$37-1),IF($R$17="Distrato",$E595,0))),0,YEARFRAC(MAX($P$34*($B595+IF($R$17="Distrato",$I$38-1,0)),IF(AND($L$37=0,$P$34=0),"",$L$37-1),IF($R$17="Distrato",$E595,0)),MIN(AE$38,$D$19),$P$20))-SUM($P595:AD595)</f>
        <v>#VALUE!</v>
      </c>
      <c r="AF595" s="446" t="e">
        <f>IF(OR($B595="",MIN(AF$38,$D$19)&lt;MAX($P$34*($B595+IF($R$17="Distrato",$I$38-1,0)),IF(AND($L$37=0,$P$34=0),"",$L$37-1),IF($R$17="Distrato",$E595,0))),0,YEARFRAC(MAX($P$34*($B595+IF($R$17="Distrato",$I$38-1,0)),IF(AND($L$37=0,$P$34=0),"",$L$37-1),IF($R$17="Distrato",$E595,0)),MIN(AF$38,$D$19),$P$20))-SUM($P595:AE595)</f>
        <v>#VALUE!</v>
      </c>
      <c r="AG595" s="446" t="e">
        <f>IF(OR($B595="",MIN(AG$38,$D$19)&lt;MAX($P$34*($B595+IF($R$17="Distrato",$I$38-1,0)),IF(AND($L$37=0,$P$34=0),"",$L$37-1),IF($R$17="Distrato",$E595,0))),0,YEARFRAC(MAX($P$34*($B595+IF($R$17="Distrato",$I$38-1,0)),IF(AND($L$37=0,$P$34=0),"",$L$37-1),IF($R$17="Distrato",$E595,0)),MIN(AG$38,$D$19),$P$20))-SUM($P595:AF595)</f>
        <v>#VALUE!</v>
      </c>
      <c r="AH595" s="446" t="e">
        <f>IF(OR($B595="",MIN(AH$38,$D$19)&lt;MAX($P$34*($B595+IF($R$17="Distrato",$I$38-1,0)),IF(AND($L$37=0,$P$34=0),"",$L$37-1),IF($R$17="Distrato",$E595,0))),0,YEARFRAC(MAX($P$34*($B595+IF($R$17="Distrato",$I$38-1,0)),IF(AND($L$37=0,$P$34=0),"",$L$37-1),IF($R$17="Distrato",$E595,0)),MIN(AH$38,$D$19),$P$20))-SUM($P595:AG595)</f>
        <v>#VALUE!</v>
      </c>
      <c r="AI595" s="446" t="e">
        <f>IF(OR($B595="",MIN(AI$38,$D$19)&lt;MAX($P$34*($B595+IF($R$17="Distrato",$I$38-1,0)),IF(AND($L$37=0,$P$34=0),"",$L$37-1),IF($R$17="Distrato",$E595,0))),0,YEARFRAC(MAX($P$34*($B595+IF($R$17="Distrato",$I$38-1,0)),IF(AND($L$37=0,$P$34=0),"",$L$37-1),IF($R$17="Distrato",$E595,0)),MIN(AI$38,$D$19),$P$20))-SUM($P595:AH595)</f>
        <v>#VALUE!</v>
      </c>
      <c r="AJ595" s="446" t="e">
        <f>IF(OR($B595="",MIN(AJ$38,$D$19)&lt;MAX($P$34*($B595+IF($R$17="Distrato",$I$38-1,0)),IF(AND($L$37=0,$P$34=0),"",$L$37-1),IF($R$17="Distrato",$E595,0))),0,YEARFRAC(MAX($P$34*($B595+IF($R$17="Distrato",$I$38-1,0)),IF(AND($L$37=0,$P$34=0),"",$L$37-1),IF($R$17="Distrato",$E595,0)),MIN(AJ$38,$D$19),$P$20))-SUM($P595:AI595)</f>
        <v>#VALUE!</v>
      </c>
      <c r="AK595" s="446" t="e">
        <f>IF(OR($B595="",MIN(AK$38,$D$19)&lt;MAX($P$34*($B595+IF($R$17="Distrato",$I$38-1,0)),IF(AND($L$37=0,$P$34=0),"",$L$37-1),IF($R$17="Distrato",$E595,0))),0,YEARFRAC(MAX($P$34*($B595+IF($R$17="Distrato",$I$38-1,0)),IF(AND($L$37=0,$P$34=0),"",$L$37-1),IF($R$17="Distrato",$E595,0)),MIN(AK$38,$D$19),$P$20))-SUM($P595:AJ595)</f>
        <v>#VALUE!</v>
      </c>
      <c r="AL595" s="446" t="e">
        <f>IF(OR($B595="",MIN(AL$38,$D$19)&lt;MAX($P$34*($B595+IF($R$17="Distrato",$I$38-1,0)),IF(AND($L$37=0,$P$34=0),"",$L$37-1),IF($R$17="Distrato",$E595,0))),0,YEARFRAC(MAX($P$34*($B595+IF($R$17="Distrato",$I$38-1,0)),IF(AND($L$37=0,$P$34=0),"",$L$37-1),IF($R$17="Distrato",$E595,0)),MIN(AL$38,$D$19),$P$20))-SUM($P595:AK595)</f>
        <v>#VALUE!</v>
      </c>
      <c r="AM595" s="446" t="e">
        <f>IF(OR($B595="",MIN(AM$38,$D$19)&lt;MAX($P$34*($B595+IF($R$17="Distrato",$I$38-1,0)),IF(AND($L$37=0,$P$34=0),"",$L$37-1),IF($R$17="Distrato",$E595,0))),0,YEARFRAC(MAX($P$34*($B595+IF($R$17="Distrato",$I$38-1,0)),IF(AND($L$37=0,$P$34=0),"",$L$37-1),IF($R$17="Distrato",$E595,0)),MIN(AM$38,$D$19),$P$20))-SUM($P595:AL595)</f>
        <v>#VALUE!</v>
      </c>
      <c r="AN595" s="446" t="e">
        <f>IF(OR($B595="",MIN(AN$38,$D$19)&lt;MAX($P$34*($B595+IF($R$17="Distrato",$I$38-1,0)),IF(AND($L$37=0,$P$34=0),"",$L$37-1),IF($R$17="Distrato",$E595,0))),0,YEARFRAC(MAX($P$34*($B595+IF($R$17="Distrato",$I$38-1,0)),IF(AND($L$37=0,$P$34=0),"",$L$37-1),IF($R$17="Distrato",$E595,0)),MIN(AN$38,$D$19),$P$20))-SUM($P595:AM595)</f>
        <v>#VALUE!</v>
      </c>
      <c r="AO595" s="446" t="e">
        <f>IF(OR($B595="",MIN(AO$38,$D$19)&lt;MAX($P$34*($B595+IF($R$17="Distrato",$I$38-1,0)),IF(AND($L$37=0,$P$34=0),"",$L$37-1),IF($R$17="Distrato",$E595,0))),0,YEARFRAC(MAX($P$34*($B595+IF($R$17="Distrato",$I$38-1,0)),IF(AND($L$37=0,$P$34=0),"",$L$37-1),IF($R$17="Distrato",$E595,0)),MIN(AO$38,$D$19),$P$20))-SUM($P595:AN595)</f>
        <v>#VALUE!</v>
      </c>
      <c r="AP595" s="446" t="e">
        <f>IF(OR($B595="",MIN(AP$38,$D$19)&lt;MAX($P$34*($B595+IF($R$17="Distrato",$I$38-1,0)),IF(AND($L$37=0,$P$34=0),"",$L$37-1),IF($R$17="Distrato",$E595,0))),0,YEARFRAC(MAX($P$34*($B595+IF($R$17="Distrato",$I$38-1,0)),IF(AND($L$37=0,$P$34=0),"",$L$37-1),IF($R$17="Distrato",$E595,0)),MIN(AP$38,$D$19),$P$20))-SUM($P595:AO595)</f>
        <v>#VALUE!</v>
      </c>
      <c r="AQ595" s="446" t="e">
        <f>IF(OR($B595="",MIN(AQ$38,$D$19)&lt;MAX($P$34*($B595+IF($R$17="Distrato",$I$38-1,0)),IF(AND($L$37=0,$P$34=0),"",$L$37-1),IF($R$17="Distrato",$E595,0))),0,YEARFRAC(MAX($P$34*($B595+IF($R$17="Distrato",$I$38-1,0)),IF(AND($L$37=0,$P$34=0),"",$L$37-1),IF($R$17="Distrato",$E595,0)),MIN(AQ$38,$D$19),$P$20))-SUM($P595:AP595)</f>
        <v>#VALUE!</v>
      </c>
      <c r="AR595" s="446" t="e">
        <f>IF(OR($B595="",MIN(AR$38,$D$19)&lt;MAX($P$34*($B595+IF($R$17="Distrato",$I$38-1,0)),IF(AND($L$37=0,$P$34=0),"",$L$37-1),IF($R$17="Distrato",$E595,0))),0,YEARFRAC(MAX($P$34*($B595+IF($R$17="Distrato",$I$38-1,0)),IF(AND($L$37=0,$P$34=0),"",$L$37-1),IF($R$17="Distrato",$E595,0)),MIN(AR$38,$D$19),$P$20))-SUM($P595:AQ595)</f>
        <v>#VALUE!</v>
      </c>
      <c r="AS595" s="446" t="e">
        <f>IF(OR($B595="",MIN(AS$38,$D$19)&lt;MAX($P$34*($B595+IF($R$17="Distrato",$I$38-1,0)),IF(AND($L$37=0,$P$34=0),"",$L$37-1),IF($R$17="Distrato",$E595,0))),0,YEARFRAC(MAX($P$34*($B595+IF($R$17="Distrato",$I$38-1,0)),IF(AND($L$37=0,$P$34=0),"",$L$37-1),IF($R$17="Distrato",$E595,0)),MIN(AS$38,$D$19),$P$20))-SUM($P595:AR595)</f>
        <v>#VALUE!</v>
      </c>
      <c r="AT595" s="446" t="e">
        <f>IF(OR($B595="",MIN(AT$38,$D$19)&lt;MAX($P$34*($B595+IF($R$17="Distrato",$I$38-1,0)),IF(AND($L$37=0,$P$34=0),"",$L$37-1),IF($R$17="Distrato",$E595,0))),0,YEARFRAC(MAX($P$34*($B595+IF($R$17="Distrato",$I$38-1,0)),IF(AND($L$37=0,$P$34=0),"",$L$37-1),IF($R$17="Distrato",$E595,0)),MIN(AT$38,$D$19),$P$20))-SUM($P595:AS595)</f>
        <v>#VALUE!</v>
      </c>
      <c r="AU595" s="446" t="e">
        <f>IF(OR($B595="",MIN(AU$38,$D$19)&lt;MAX($P$34*($B595+IF($R$17="Distrato",$I$38-1,0)),IF(AND($L$37=0,$P$34=0),"",$L$37-1),IF($R$17="Distrato",$E595,0))),0,YEARFRAC(MAX($P$34*($B595+IF($R$17="Distrato",$I$38-1,0)),IF(AND($L$37=0,$P$34=0),"",$L$37-1),IF($R$17="Distrato",$E595,0)),MIN(AU$38,$D$19),$P$20))-SUM($P595:AT595)</f>
        <v>#VALUE!</v>
      </c>
      <c r="AV595" s="446" t="e">
        <f>IF(OR($B595="",MIN(AV$38,$D$19)&lt;MAX($P$34*($B595+IF($R$17="Distrato",$I$38-1,0)),IF(AND($L$37=0,$P$34=0),"",$L$37-1),IF($R$17="Distrato",$E595,0))),0,YEARFRAC(MAX($P$34*($B595+IF($R$17="Distrato",$I$38-1,0)),IF(AND($L$37=0,$P$34=0),"",$L$37-1),IF($R$17="Distrato",$E595,0)),MIN(AV$38,$D$19),$P$20))-SUM($P595:AU595)</f>
        <v>#VALUE!</v>
      </c>
      <c r="AW595" s="446" t="e">
        <f>IF(OR($B595="",MIN(AW$38,$D$19)&lt;MAX($P$34*($B595+IF($R$17="Distrato",$I$38-1,0)),IF(AND($L$37=0,$P$34=0),"",$L$37-1),IF($R$17="Distrato",$E595,0))),0,YEARFRAC(MAX($P$34*($B595+IF($R$17="Distrato",$I$38-1,0)),IF(AND($L$37=0,$P$34=0),"",$L$37-1),IF($R$17="Distrato",$E595,0)),MIN(AW$38,$D$19),$P$20))-SUM($P595:AV595)</f>
        <v>#VALUE!</v>
      </c>
      <c r="AX595" s="446" t="e">
        <f>IF(OR($B595="",MIN(AX$38,$D$19)&lt;MAX($P$34*($B595+IF($R$17="Distrato",$I$38-1,0)),IF(AND($L$37=0,$P$34=0),"",$L$37-1),IF($R$17="Distrato",$E595,0))),0,YEARFRAC(MAX($P$34*($B595+IF($R$17="Distrato",$I$38-1,0)),IF(AND($L$37=0,$P$34=0),"",$L$37-1),IF($R$17="Distrato",$E595,0)),MIN(AX$38,$D$19),$P$20))-SUM($P595:AW595)</f>
        <v>#VALUE!</v>
      </c>
      <c r="AY595" s="446" t="e">
        <f>IF(OR($B595="",MIN(AY$38,$D$19)&lt;MAX($P$34*($B595+IF($R$17="Distrato",$I$38-1,0)),IF(AND($L$37=0,$P$34=0),"",$L$37-1),IF($R$17="Distrato",$E595,0))),0,YEARFRAC(MAX($P$34*($B595+IF($R$17="Distrato",$I$38-1,0)),IF(AND($L$37=0,$P$34=0),"",$L$37-1),IF($R$17="Distrato",$E595,0)),MIN(AY$38,$D$19),$P$20))-SUM($P595:AX595)</f>
        <v>#VALUE!</v>
      </c>
      <c r="AZ595" s="446" t="e">
        <f>IF(OR($B595="",MIN(AZ$38,$D$19)&lt;MAX($P$34*($B595+IF($R$17="Distrato",$I$38-1,0)),IF(AND($L$37=0,$P$34=0),"",$L$37-1),IF($R$17="Distrato",$E595,0))),0,YEARFRAC(MAX($P$34*($B595+IF($R$17="Distrato",$I$38-1,0)),IF(AND($L$37=0,$P$34=0),"",$L$37-1),IF($R$17="Distrato",$E595,0)),MIN(AZ$38,$D$19),$P$20))-SUM($P595:AY595)</f>
        <v>#VALUE!</v>
      </c>
      <c r="BA595" s="446" t="e">
        <f>IF(OR($B595="",MIN(BA$38,$D$19)&lt;MAX($P$34*($B595+IF($R$17="Distrato",$I$38-1,0)),IF(AND($L$37=0,$P$34=0),"",$L$37-1),IF($R$17="Distrato",$E595,0))),0,YEARFRAC(MAX($P$34*($B595+IF($R$17="Distrato",$I$38-1,0)),IF(AND($L$37=0,$P$34=0),"",$L$37-1),IF($R$17="Distrato",$E595,0)),MIN(BA$38,$D$19),$P$20))-SUM($P595:AZ595)</f>
        <v>#VALUE!</v>
      </c>
      <c r="BB595" s="447"/>
      <c r="BF595" s="446">
        <f t="shared" si="98"/>
        <v>0</v>
      </c>
      <c r="BG595" s="446">
        <f>IF($E595=0,0,IF(MIN(BG$38,$E595)&lt;MAX($P$34*($B595+$I$38-1),IF(AND($L$37=0,$P$34=0),"",$L$37-1)),0,YEARFRAC(MAX($P$34*($B595+$I$38-1),IF(AND($L$37=0,$P$34=0),"",$L$37-1)),MIN(BG$38,$E595),$P$20))-SUM($BF595:BF595))</f>
        <v>0</v>
      </c>
      <c r="BH595" s="446">
        <f>IF($E595=0,0,IF(MIN(BH$38,$E595)&lt;MAX($P$34*($B595+$I$38-1),IF(AND($L$37=0,$P$34=0),"",$L$37-1)),0,YEARFRAC(MAX($P$34*($B595+$I$38-1),IF(AND($L$37=0,$P$34=0),"",$L$37-1)),MIN(BH$38,$E595),$P$20))-SUM($BF595:BG595))</f>
        <v>0</v>
      </c>
      <c r="BI595" s="446">
        <f>IF($E595=0,0,IF(MIN(BI$38,$E595)&lt;MAX($P$34*($B595+$I$38-1),IF(AND($L$37=0,$P$34=0),"",$L$37-1)),0,YEARFRAC(MAX($P$34*($B595+$I$38-1),IF(AND($L$37=0,$P$34=0),"",$L$37-1)),MIN(BI$38,$E595),$P$20))-SUM($BF595:BH595))</f>
        <v>0</v>
      </c>
      <c r="BJ595" s="446">
        <f>IF($E595=0,0,IF(MIN(BJ$38,$E595)&lt;MAX($P$34*($B595+$I$38-1),IF(AND($L$37=0,$P$34=0),"",$L$37-1)),0,YEARFRAC(MAX($P$34*($B595+$I$38-1),IF(AND($L$37=0,$P$34=0),"",$L$37-1)),MIN(BJ$38,$E595),$P$20))-SUM($BF595:BI595))</f>
        <v>0</v>
      </c>
      <c r="BK595" s="446">
        <f>IF($E595=0,0,IF(MIN(BK$38,$E595)&lt;MAX($P$34*($B595+$I$38-1),IF(AND($L$37=0,$P$34=0),"",$L$37-1)),0,YEARFRAC(MAX($P$34*($B595+$I$38-1),IF(AND($L$37=0,$P$34=0),"",$L$37-1)),MIN(BK$38,$E595),$P$20))-SUM($BF595:BJ595))</f>
        <v>0</v>
      </c>
      <c r="BL595" s="446">
        <f>IF($E595=0,0,IF(MIN(BL$38,$E595)&lt;MAX($P$34*($B595+$I$38-1),IF(AND($L$37=0,$P$34=0),"",$L$37-1)),0,YEARFRAC(MAX($P$34*($B595+$I$38-1),IF(AND($L$37=0,$P$34=0),"",$L$37-1)),MIN(BL$38,$E595),$P$20))-SUM($BF595:BK595))</f>
        <v>0</v>
      </c>
      <c r="BM595" s="446">
        <f>IF($E595=0,0,IF(MIN(BM$38,$E595)&lt;MAX($P$34*($B595+$I$38-1),IF(AND($L$37=0,$P$34=0),"",$L$37-1)),0,YEARFRAC(MAX($P$34*($B595+$I$38-1),IF(AND($L$37=0,$P$34=0),"",$L$37-1)),MIN(BM$38,$E595),$P$20))-SUM($BF595:BL595))</f>
        <v>0</v>
      </c>
      <c r="BN595" s="446">
        <f>IF($E595=0,0,IF(MIN(BN$38,$E595)&lt;MAX($P$34*($B595+$I$38-1),IF(AND($L$37=0,$P$34=0),"",$L$37-1)),0,YEARFRAC(MAX($P$34*($B595+$I$38-1),IF(AND($L$37=0,$P$34=0),"",$L$37-1)),MIN(BN$38,$E595),$P$20))-SUM($BF595:BM595))</f>
        <v>0</v>
      </c>
      <c r="BO595" s="446">
        <f>IF($E595=0,0,IF(MIN(BO$38,$E595)&lt;MAX($P$34*($B595+$I$38-1),IF(AND($L$37=0,$P$34=0),"",$L$37-1)),0,YEARFRAC(MAX($P$34*($B595+$I$38-1),IF(AND($L$37=0,$P$34=0),"",$L$37-1)),MIN(BO$38,$E595),$P$20))-SUM($BF595:BN595))</f>
        <v>0</v>
      </c>
      <c r="BP595" s="446">
        <f>IF($E595=0,0,IF(MIN(BP$38,$E595)&lt;MAX($P$34*($B595+$I$38-1),IF(AND($L$37=0,$P$34=0),"",$L$37-1)),0,YEARFRAC(MAX($P$34*($B595+$I$38-1),IF(AND($L$37=0,$P$34=0),"",$L$37-1)),MIN(BP$38,$E595),$P$20))-SUM($BF595:BO595))</f>
        <v>0</v>
      </c>
      <c r="BQ595" s="446">
        <f>IF($E595=0,0,IF(MIN(BQ$38,$E595)&lt;MAX($P$34*($B595+$I$38-1),IF(AND($L$37=0,$P$34=0),"",$L$37-1)),0,YEARFRAC(MAX($P$34*($B595+$I$38-1),IF(AND($L$37=0,$P$34=0),"",$L$37-1)),MIN(BQ$38,$E595),$P$20))-SUM($BF595:BP595))</f>
        <v>0</v>
      </c>
      <c r="BR595" s="446">
        <f>IF($E595=0,0,IF(MIN(BR$38,$E595)&lt;MAX($P$34*($B595+$I$38-1),IF(AND($L$37=0,$P$34=0),"",$L$37-1)),0,YEARFRAC(MAX($P$34*($B595+$I$38-1),IF(AND($L$37=0,$P$34=0),"",$L$37-1)),MIN(BR$38,$E595),$P$20))-SUM($BF595:BQ595))</f>
        <v>0</v>
      </c>
      <c r="BS595" s="446">
        <f>IF($E595=0,0,IF(MIN(BS$38,$E595)&lt;MAX($P$34*($B595+$I$38-1),IF(AND($L$37=0,$P$34=0),"",$L$37-1)),0,YEARFRAC(MAX($P$34*($B595+$I$38-1),IF(AND($L$37=0,$P$34=0),"",$L$37-1)),MIN(BS$38,$E595),$P$20))-SUM($BF595:BR595))</f>
        <v>0</v>
      </c>
      <c r="BT595" s="446">
        <f>IF($E595=0,0,IF(MIN(BT$38,$E595)&lt;MAX($P$34*($B595+$I$38-1),IF(AND($L$37=0,$P$34=0),"",$L$37-1)),0,YEARFRAC(MAX($P$34*($B595+$I$38-1),IF(AND($L$37=0,$P$34=0),"",$L$37-1)),MIN(BT$38,$E595),$P$20))-SUM($BF595:BS595))</f>
        <v>0</v>
      </c>
      <c r="BU595" s="446">
        <f>IF($E595=0,0,IF(MIN(BU$38,$E595)&lt;MAX($P$34*($B595+$I$38-1),IF(AND($L$37=0,$P$34=0),"",$L$37-1)),0,YEARFRAC(MAX($P$34*($B595+$I$38-1),IF(AND($L$37=0,$P$34=0),"",$L$37-1)),MIN(BU$38,$E595),$P$20))-SUM($BF595:BT595))</f>
        <v>0</v>
      </c>
      <c r="BV595" s="446">
        <f>IF($E595=0,0,IF(MIN(BV$38,$E595)&lt;MAX($P$34*($B595+$I$38-1),IF(AND($L$37=0,$P$34=0),"",$L$37-1)),0,YEARFRAC(MAX($P$34*($B595+$I$38-1),IF(AND($L$37=0,$P$34=0),"",$L$37-1)),MIN(BV$38,$E595),$P$20))-SUM($BF595:BU595))</f>
        <v>0</v>
      </c>
      <c r="BW595" s="446">
        <f>IF($E595=0,0,IF(MIN(BW$38,$E595)&lt;MAX($P$34*($B595+$I$38-1),IF(AND($L$37=0,$P$34=0),"",$L$37-1)),0,YEARFRAC(MAX($P$34*($B595+$I$38-1),IF(AND($L$37=0,$P$34=0),"",$L$37-1)),MIN(BW$38,$E595),$P$20))-SUM($BF595:BV595))</f>
        <v>0</v>
      </c>
      <c r="BX595" s="446">
        <f>IF($E595=0,0,IF(MIN(BX$38,$E595)&lt;MAX($P$34*($B595+$I$38-1),IF(AND($L$37=0,$P$34=0),"",$L$37-1)),0,YEARFRAC(MAX($P$34*($B595+$I$38-1),IF(AND($L$37=0,$P$34=0),"",$L$37-1)),MIN(BX$38,$E595),$P$20))-SUM($BF595:BW595))</f>
        <v>0</v>
      </c>
      <c r="BY595" s="446">
        <f>IF($E595=0,0,IF(MIN(BY$38,$E595)&lt;MAX($P$34*($B595+$I$38-1),IF(AND($L$37=0,$P$34=0),"",$L$37-1)),0,YEARFRAC(MAX($P$34*($B595+$I$38-1),IF(AND($L$37=0,$P$34=0),"",$L$37-1)),MIN(BY$38,$E595),$P$20))-SUM($BF595:BX595))</f>
        <v>0</v>
      </c>
      <c r="BZ595" s="446">
        <f>IF($E595=0,0,IF(MIN(BZ$38,$E595)&lt;MAX($P$34*($B595+$I$38-1),IF(AND($L$37=0,$P$34=0),"",$L$37-1)),0,YEARFRAC(MAX($P$34*($B595+$I$38-1),IF(AND($L$37=0,$P$34=0),"",$L$37-1)),MIN(BZ$38,$E595),$P$20))-SUM($BF595:BY595))</f>
        <v>0</v>
      </c>
      <c r="CA595" s="446">
        <f>IF($E595=0,0,IF(MIN(CA$38,$E595)&lt;MAX($P$34*($B595+$I$38-1),IF(AND($L$37=0,$P$34=0),"",$L$37-1)),0,YEARFRAC(MAX($P$34*($B595+$I$38-1),IF(AND($L$37=0,$P$34=0),"",$L$37-1)),MIN(CA$38,$E595),$P$20))-SUM($BF595:BZ595))</f>
        <v>0</v>
      </c>
      <c r="CB595" s="446">
        <f>IF($E595=0,0,IF(MIN(CB$38,$E595)&lt;MAX($P$34*($B595+$I$38-1),IF(AND($L$37=0,$P$34=0),"",$L$37-1)),0,YEARFRAC(MAX($P$34*($B595+$I$38-1),IF(AND($L$37=0,$P$34=0),"",$L$37-1)),MIN(CB$38,$E595),$P$20))-SUM($BF595:CA595))</f>
        <v>0</v>
      </c>
      <c r="CC595" s="446">
        <f>IF($E595=0,0,IF(MIN(CC$38,$E595)&lt;MAX($P$34*($B595+$I$38-1),IF(AND($L$37=0,$P$34=0),"",$L$37-1)),0,YEARFRAC(MAX($P$34*($B595+$I$38-1),IF(AND($L$37=0,$P$34=0),"",$L$37-1)),MIN(CC$38,$E595),$P$20))-SUM($BF595:CB595))</f>
        <v>0</v>
      </c>
      <c r="CD595" s="446">
        <f>IF($E595=0,0,IF(MIN(CD$38,$E595)&lt;MAX($P$34*($B595+$I$38-1),IF(AND($L$37=0,$P$34=0),"",$L$37-1)),0,YEARFRAC(MAX($P$34*($B595+$I$38-1),IF(AND($L$37=0,$P$34=0),"",$L$37-1)),MIN(CD$38,$E595),$P$20))-SUM($BF595:CC595))</f>
        <v>0</v>
      </c>
      <c r="CE595" s="446">
        <f>IF($E595=0,0,IF(MIN(CE$38,$E595)&lt;MAX($P$34*($B595+$I$38-1),IF(AND($L$37=0,$P$34=0),"",$L$37-1)),0,YEARFRAC(MAX($P$34*($B595+$I$38-1),IF(AND($L$37=0,$P$34=0),"",$L$37-1)),MIN(CE$38,$E595),$P$20))-SUM($BF595:CD595))</f>
        <v>0</v>
      </c>
      <c r="CF595" s="446">
        <f>IF($E595=0,0,IF(MIN(CF$38,$E595)&lt;MAX($P$34*($B595+$I$38-1),IF(AND($L$37=0,$P$34=0),"",$L$37-1)),0,YEARFRAC(MAX($P$34*($B595+$I$38-1),IF(AND($L$37=0,$P$34=0),"",$L$37-1)),MIN(CF$38,$E595),$P$20))-SUM($BF595:CE595))</f>
        <v>0</v>
      </c>
      <c r="CG595" s="446">
        <f>IF($E595=0,0,IF(MIN(CG$38,$E595)&lt;MAX($P$34*($B595+$I$38-1),IF(AND($L$37=0,$P$34=0),"",$L$37-1)),0,YEARFRAC(MAX($P$34*($B595+$I$38-1),IF(AND($L$37=0,$P$34=0),"",$L$37-1)),MIN(CG$38,$E595),$P$20))-SUM($BF595:CF595))</f>
        <v>0</v>
      </c>
      <c r="CH595" s="446">
        <f>IF($E595=0,0,IF(MIN(CH$38,$E595)&lt;MAX($P$34*($B595+$I$38-1),IF(AND($L$37=0,$P$34=0),"",$L$37-1)),0,YEARFRAC(MAX($P$34*($B595+$I$38-1),IF(AND($L$37=0,$P$34=0),"",$L$37-1)),MIN(CH$38,$E595),$P$20))-SUM($BF595:CG595))</f>
        <v>0</v>
      </c>
      <c r="CI595" s="446">
        <f>IF($E595=0,0,IF(MIN(CI$38,$E595)&lt;MAX($P$34*($B595+$I$38-1),IF(AND($L$37=0,$P$34=0),"",$L$37-1)),0,YEARFRAC(MAX($P$34*($B595+$I$38-1),IF(AND($L$37=0,$P$34=0),"",$L$37-1)),MIN(CI$38,$E595),$P$20))-SUM($BF595:CH595))</f>
        <v>0</v>
      </c>
      <c r="CJ595" s="446">
        <f>IF($E595=0,0,IF(MIN(CJ$38,$E595)&lt;MAX($P$34*($B595+$I$38-1),IF(AND($L$37=0,$P$34=0),"",$L$37-1)),0,YEARFRAC(MAX($P$34*($B595+$I$38-1),IF(AND($L$37=0,$P$34=0),"",$L$37-1)),MIN(CJ$38,$E595),$P$20))-SUM($BF595:CI595))</f>
        <v>0</v>
      </c>
      <c r="CK595" s="446">
        <f>IF($E595=0,0,IF(MIN(CK$38,$E595)&lt;MAX($P$34*($B595+$I$38-1),IF(AND($L$37=0,$P$34=0),"",$L$37-1)),0,YEARFRAC(MAX($P$34*($B595+$I$38-1),IF(AND($L$37=0,$P$34=0),"",$L$37-1)),MIN(CK$38,$E595),$P$20))-SUM($BF595:CJ595))</f>
        <v>0</v>
      </c>
      <c r="CL595" s="446">
        <f>IF($E595=0,0,IF(MIN(CL$38,$E595)&lt;MAX($P$34*($B595+$I$38-1),IF(AND($L$37=0,$P$34=0),"",$L$37-1)),0,YEARFRAC(MAX($P$34*($B595+$I$38-1),IF(AND($L$37=0,$P$34=0),"",$L$37-1)),MIN(CL$38,$E595),$P$20))-SUM($BF595:CK595))</f>
        <v>0</v>
      </c>
      <c r="CM595" s="446">
        <f>IF($E595=0,0,IF(MIN(CM$38,$E595)&lt;MAX($P$34*($B595+$I$38-1),IF(AND($L$37=0,$P$34=0),"",$L$37-1)),0,YEARFRAC(MAX($P$34*($B595+$I$38-1),IF(AND($L$37=0,$P$34=0),"",$L$37-1)),MIN(CM$38,$E595),$P$20))-SUM($BF595:CL595))</f>
        <v>0</v>
      </c>
      <c r="CN595" s="446">
        <f>IF($E595=0,0,IF(MIN(CN$38,$E595)&lt;MAX($P$34*($B595+$I$38-1),IF(AND($L$37=0,$P$34=0),"",$L$37-1)),0,YEARFRAC(MAX($P$34*($B595+$I$38-1),IF(AND($L$37=0,$P$34=0),"",$L$37-1)),MIN(CN$38,$E595),$P$20))-SUM($BF595:CM595))</f>
        <v>0</v>
      </c>
      <c r="CO595" s="446">
        <f>IF($E595=0,0,IF(MIN(CO$38,$E595)&lt;MAX($P$34*($B595+$I$38-1),IF(AND($L$37=0,$P$34=0),"",$L$37-1)),0,YEARFRAC(MAX($P$34*($B595+$I$38-1),IF(AND($L$37=0,$P$34=0),"",$L$37-1)),MIN(CO$38,$E595),$P$20))-SUM($BF595:CN595))</f>
        <v>0</v>
      </c>
      <c r="CP595" s="446">
        <f>IF($E595=0,0,IF(MIN(CP$38,$E595)&lt;MAX($P$34*($B595+$I$38-1),IF(AND($L$37=0,$P$34=0),"",$L$37-1)),0,YEARFRAC(MAX($P$34*($B595+$I$38-1),IF(AND($L$37=0,$P$34=0),"",$L$37-1)),MIN(CP$38,$E595),$P$20))-SUM($BF595:CO595))</f>
        <v>0</v>
      </c>
      <c r="CQ595" s="446">
        <f>IF($E595=0,0,IF(MIN(CQ$38,$E595)&lt;MAX($P$34*($B595+$I$38-1),IF(AND($L$37=0,$P$34=0),"",$L$37-1)),0,YEARFRAC(MAX($P$34*($B595+$I$38-1),IF(AND($L$37=0,$P$34=0),"",$L$37-1)),MIN(CQ$38,$E595),$P$20))-SUM($BF595:CP595))</f>
        <v>0</v>
      </c>
    </row>
    <row r="596" spans="1:95" s="446" customFormat="1" ht="11.25" hidden="1" customHeight="1" x14ac:dyDescent="0.2">
      <c r="A596" s="152"/>
      <c r="B596" s="153" t="str">
        <f t="shared" si="103"/>
        <v/>
      </c>
      <c r="C596" s="29" t="str">
        <f>IF(B596="","",IF($L$35="SELIC - TRIBUTOS",VLOOKUP(DATE(YEAR($D$19),MONTH($D$19)-1,1),ÍNDICES!$A:$DE,HLOOKUP($BL$25,ÍNDICES!$B$3:$T$4,2)+11)-VLOOKUP(B596,ÍNDICES!$A:$DE,HLOOKUP($BL$25,ÍNDICES!$B$3:$T$4,2)+11)+1%,IF(C$38=$W$26,$J$35,IF(ISERROR(IF(B596&gt;$D$19,1,VLOOKUP(DATE(YEAR(B596),MONTH(B596)+IF($C$35=$S$23,1,0),1),ÍNDICES!$A:$DE,$Z$35+1))),"",IF(B596&gt;$D$19,1,VLOOKUP(DATE(YEAR(B596),MONTH(B596)+IF($C$35=$S$23,1,0),1),ÍNDICES!$A:$DE,$Z$35+1))))))</f>
        <v/>
      </c>
      <c r="D596" s="154" t="str">
        <f>IF(ISERROR(IF(OR($D$38=$Y$27,$B596=""),"",VLOOKUP(B596,ÍNDICES!A:DE,AF$35+1))),"",IF(OR($D$38=$Y$27,$B596=""),"",VLOOKUP(B596,ÍNDICES!A:DE,AF$35+1)))</f>
        <v/>
      </c>
      <c r="E596" s="153"/>
      <c r="F596" s="29" t="str">
        <f>IF(E596="","",IF($L$35="SELIC - TRIBUTOS",VLOOKUP(DATE(YEAR($D$19),MONTH($D$19)-1,1),ÍNDICES!$A:$DE,HLOOKUP($BL$25,ÍNDICES!$B$3:$T$4,2)+11)-VLOOKUP(E596,ÍNDICES!$A:$DE,HLOOKUP($BL$25,ÍNDICES!$B$3:$T$4,2)+11)+1%,IF(F$38=$W$26,$J$35,IF(ISERROR(IF(E596&gt;$D$19,1,VLOOKUP(DATE(YEAR(E596),MONTH(E596)+IF($C$35=$S$23,1,0),1),ÍNDICES!$A:$DE,$Z$35+1))),"",IF(E596&gt;$D$19,1,VLOOKUP(DATE(YEAR(E596),MONTH(E596)+IF($C$35=$S$23,1,0),1),ÍNDICES!$A:$DE,$Z$35+1))))))</f>
        <v/>
      </c>
      <c r="G596" s="155"/>
      <c r="H596" s="156" t="str">
        <f t="shared" si="99"/>
        <v/>
      </c>
      <c r="I596" s="29" t="str">
        <f t="shared" si="93"/>
        <v/>
      </c>
      <c r="J596" s="5">
        <f t="shared" si="94"/>
        <v>0</v>
      </c>
      <c r="K596" s="20">
        <f t="shared" ca="1" si="95"/>
        <v>0</v>
      </c>
      <c r="L596" s="5">
        <f t="shared" ca="1" si="96"/>
        <v>0</v>
      </c>
      <c r="M596" s="64">
        <f t="shared" si="100"/>
        <v>0</v>
      </c>
      <c r="N596" s="61">
        <f t="shared" ca="1" si="101"/>
        <v>0</v>
      </c>
      <c r="O596" s="5">
        <f t="shared" ca="1" si="102"/>
        <v>0</v>
      </c>
      <c r="P596" s="446" t="e">
        <f t="shared" si="97"/>
        <v>#VALUE!</v>
      </c>
      <c r="Q596" s="446" t="e">
        <f>IF(OR($B596="",MIN(Q$38,$D$19)&lt;MAX($P$34*($B596+IF($R$17="Distrato",$I$38-1,0)),IF(AND($L$37=0,$P$34=0),"",$L$37-1),IF($R$17="Distrato",$E596,0))),0,YEARFRAC(MAX($P$34*($B596+IF($R$17="Distrato",$I$38-1,0)),IF(AND($L$37=0,$P$34=0),"",$L$37-1),IF($R$17="Distrato",$E596,0)),MIN(Q$38,$D$19),$P$20))-SUM($P596:P596)</f>
        <v>#VALUE!</v>
      </c>
      <c r="R596" s="446" t="e">
        <f>IF(OR($B596="",MIN(R$38,$D$19)&lt;MAX($P$34*($B596+IF($R$17="Distrato",$I$38-1,0)),IF(AND($L$37=0,$P$34=0),"",$L$37-1),IF($R$17="Distrato",$E596,0))),0,YEARFRAC(MAX($P$34*($B596+IF($R$17="Distrato",$I$38-1,0)),IF(AND($L$37=0,$P$34=0),"",$L$37-1),IF($R$17="Distrato",$E596,0)),MIN(R$38,$D$19),$P$20))-SUM($P596:Q596)</f>
        <v>#VALUE!</v>
      </c>
      <c r="S596" s="446" t="e">
        <f>IF(OR($B596="",MIN(S$38,$D$19)&lt;MAX($P$34*($B596+IF($R$17="Distrato",$I$38-1,0)),IF(AND($L$37=0,$P$34=0),"",$L$37-1),IF($R$17="Distrato",$E596,0))),0,YEARFRAC(MAX($P$34*($B596+IF($R$17="Distrato",$I$38-1,0)),IF(AND($L$37=0,$P$34=0),"",$L$37-1),IF($R$17="Distrato",$E596,0)),MIN(S$38,$D$19),$P$20))-SUM($P596:R596)</f>
        <v>#VALUE!</v>
      </c>
      <c r="T596" s="446" t="e">
        <f>IF(OR($B596="",MIN(T$38,$D$19)&lt;MAX($P$34*($B596+IF($R$17="Distrato",$I$38-1,0)),IF(AND($L$37=0,$P$34=0),"",$L$37-1),IF($R$17="Distrato",$E596,0))),0,YEARFRAC(MAX($P$34*($B596+IF($R$17="Distrato",$I$38-1,0)),IF(AND($L$37=0,$P$34=0),"",$L$37-1),IF($R$17="Distrato",$E596,0)),MIN(T$38,$D$19),$P$20))-SUM($P596:S596)</f>
        <v>#VALUE!</v>
      </c>
      <c r="U596" s="446" t="e">
        <f>IF(OR($B596="",MIN(U$38,$D$19)&lt;MAX($P$34*($B596+IF($R$17="Distrato",$I$38-1,0)),IF(AND($L$37=0,$P$34=0),"",$L$37-1),IF($R$17="Distrato",$E596,0))),0,YEARFRAC(MAX($P$34*($B596+IF($R$17="Distrato",$I$38-1,0)),IF(AND($L$37=0,$P$34=0),"",$L$37-1),IF($R$17="Distrato",$E596,0)),MIN(U$38,$D$19),$P$20))-SUM($P596:T596)</f>
        <v>#VALUE!</v>
      </c>
      <c r="V596" s="446" t="e">
        <f>IF(OR($B596="",MIN(V$38,$D$19)&lt;MAX($P$34*($B596+IF($R$17="Distrato",$I$38-1,0)),IF(AND($L$37=0,$P$34=0),"",$L$37-1),IF($R$17="Distrato",$E596,0))),0,YEARFRAC(MAX($P$34*($B596+IF($R$17="Distrato",$I$38-1,0)),IF(AND($L$37=0,$P$34=0),"",$L$37-1),IF($R$17="Distrato",$E596,0)),MIN(V$38,$D$19),$P$20))-SUM($P596:U596)</f>
        <v>#VALUE!</v>
      </c>
      <c r="W596" s="446" t="e">
        <f>IF(OR($B596="",MIN(W$38,$D$19)&lt;MAX($P$34*($B596+IF($R$17="Distrato",$I$38-1,0)),IF(AND($L$37=0,$P$34=0),"",$L$37-1),IF($R$17="Distrato",$E596,0))),0,YEARFRAC(MAX($P$34*($B596+IF($R$17="Distrato",$I$38-1,0)),IF(AND($L$37=0,$P$34=0),"",$L$37-1),IF($R$17="Distrato",$E596,0)),MIN(W$38,$D$19),$P$20))-SUM($P596:V596)</f>
        <v>#VALUE!</v>
      </c>
      <c r="X596" s="446" t="e">
        <f>IF(OR($B596="",MIN(X$38,$D$19)&lt;MAX($P$34*($B596+IF($R$17="Distrato",$I$38-1,0)),IF(AND($L$37=0,$P$34=0),"",$L$37-1),IF($R$17="Distrato",$E596,0))),0,YEARFRAC(MAX($P$34*($B596+IF($R$17="Distrato",$I$38-1,0)),IF(AND($L$37=0,$P$34=0),"",$L$37-1),IF($R$17="Distrato",$E596,0)),MIN(X$38,$D$19),$P$20))-SUM($P596:W596)</f>
        <v>#VALUE!</v>
      </c>
      <c r="Y596" s="446" t="e">
        <f>IF(OR($B596="",MIN(Y$38,$D$19)&lt;MAX($P$34*($B596+IF($R$17="Distrato",$I$38-1,0)),IF(AND($L$37=0,$P$34=0),"",$L$37-1),IF($R$17="Distrato",$E596,0))),0,YEARFRAC(MAX($P$34*($B596+IF($R$17="Distrato",$I$38-1,0)),IF(AND($L$37=0,$P$34=0),"",$L$37-1),IF($R$17="Distrato",$E596,0)),MIN(Y$38,$D$19),$P$20))-SUM($P596:X596)</f>
        <v>#VALUE!</v>
      </c>
      <c r="Z596" s="446" t="e">
        <f>IF(OR($B596="",MIN(Z$38,$D$19)&lt;MAX($P$34*($B596+IF($R$17="Distrato",$I$38-1,0)),IF(AND($L$37=0,$P$34=0),"",$L$37-1),IF($R$17="Distrato",$E596,0))),0,YEARFRAC(MAX($P$34*($B596+IF($R$17="Distrato",$I$38-1,0)),IF(AND($L$37=0,$P$34=0),"",$L$37-1),IF($R$17="Distrato",$E596,0)),MIN(Z$38,$D$19),$P$20))-SUM($P596:Y596)</f>
        <v>#VALUE!</v>
      </c>
      <c r="AA596" s="446" t="e">
        <f>IF(OR($B596="",MIN(AA$38,$D$19)&lt;MAX($P$34*($B596+IF($R$17="Distrato",$I$38-1,0)),IF(AND($L$37=0,$P$34=0),"",$L$37-1),IF($R$17="Distrato",$E596,0))),0,YEARFRAC(MAX($P$34*($B596+IF($R$17="Distrato",$I$38-1,0)),IF(AND($L$37=0,$P$34=0),"",$L$37-1),IF($R$17="Distrato",$E596,0)),MIN(AA$38,$D$19),$P$20))-SUM($P596:Z596)</f>
        <v>#VALUE!</v>
      </c>
      <c r="AB596" s="446" t="e">
        <f>IF(OR($B596="",MIN(AB$38,$D$19)&lt;MAX($P$34*($B596+IF($R$17="Distrato",$I$38-1,0)),IF(AND($L$37=0,$P$34=0),"",$L$37-1),IF($R$17="Distrato",$E596,0))),0,YEARFRAC(MAX($P$34*($B596+IF($R$17="Distrato",$I$38-1,0)),IF(AND($L$37=0,$P$34=0),"",$L$37-1),IF($R$17="Distrato",$E596,0)),MIN(AB$38,$D$19),$P$20))-SUM($P596:AA596)</f>
        <v>#VALUE!</v>
      </c>
      <c r="AC596" s="446" t="e">
        <f>IF(OR($B596="",MIN(AC$38,$D$19)&lt;MAX($P$34*($B596+IF($R$17="Distrato",$I$38-1,0)),IF(AND($L$37=0,$P$34=0),"",$L$37-1),IF($R$17="Distrato",$E596,0))),0,YEARFRAC(MAX($P$34*($B596+IF($R$17="Distrato",$I$38-1,0)),IF(AND($L$37=0,$P$34=0),"",$L$37-1),IF($R$17="Distrato",$E596,0)),MIN(AC$38,$D$19),$P$20))-SUM($P596:AB596)</f>
        <v>#VALUE!</v>
      </c>
      <c r="AD596" s="446" t="e">
        <f>IF(OR($B596="",MIN(AD$38,$D$19)&lt;MAX($P$34*($B596+IF($R$17="Distrato",$I$38-1,0)),IF(AND($L$37=0,$P$34=0),"",$L$37-1),IF($R$17="Distrato",$E596,0))),0,YEARFRAC(MAX($P$34*($B596+IF($R$17="Distrato",$I$38-1,0)),IF(AND($L$37=0,$P$34=0),"",$L$37-1),IF($R$17="Distrato",$E596,0)),MIN(AD$38,$D$19),$P$20))-SUM($P596:AC596)</f>
        <v>#VALUE!</v>
      </c>
      <c r="AE596" s="446" t="e">
        <f>IF(OR($B596="",MIN(AE$38,$D$19)&lt;MAX($P$34*($B596+IF($R$17="Distrato",$I$38-1,0)),IF(AND($L$37=0,$P$34=0),"",$L$37-1),IF($R$17="Distrato",$E596,0))),0,YEARFRAC(MAX($P$34*($B596+IF($R$17="Distrato",$I$38-1,0)),IF(AND($L$37=0,$P$34=0),"",$L$37-1),IF($R$17="Distrato",$E596,0)),MIN(AE$38,$D$19),$P$20))-SUM($P596:AD596)</f>
        <v>#VALUE!</v>
      </c>
      <c r="AF596" s="446" t="e">
        <f>IF(OR($B596="",MIN(AF$38,$D$19)&lt;MAX($P$34*($B596+IF($R$17="Distrato",$I$38-1,0)),IF(AND($L$37=0,$P$34=0),"",$L$37-1),IF($R$17="Distrato",$E596,0))),0,YEARFRAC(MAX($P$34*($B596+IF($R$17="Distrato",$I$38-1,0)),IF(AND($L$37=0,$P$34=0),"",$L$37-1),IF($R$17="Distrato",$E596,0)),MIN(AF$38,$D$19),$P$20))-SUM($P596:AE596)</f>
        <v>#VALUE!</v>
      </c>
      <c r="AG596" s="446" t="e">
        <f>IF(OR($B596="",MIN(AG$38,$D$19)&lt;MAX($P$34*($B596+IF($R$17="Distrato",$I$38-1,0)),IF(AND($L$37=0,$P$34=0),"",$L$37-1),IF($R$17="Distrato",$E596,0))),0,YEARFRAC(MAX($P$34*($B596+IF($R$17="Distrato",$I$38-1,0)),IF(AND($L$37=0,$P$34=0),"",$L$37-1),IF($R$17="Distrato",$E596,0)),MIN(AG$38,$D$19),$P$20))-SUM($P596:AF596)</f>
        <v>#VALUE!</v>
      </c>
      <c r="AH596" s="446" t="e">
        <f>IF(OR($B596="",MIN(AH$38,$D$19)&lt;MAX($P$34*($B596+IF($R$17="Distrato",$I$38-1,0)),IF(AND($L$37=0,$P$34=0),"",$L$37-1),IF($R$17="Distrato",$E596,0))),0,YEARFRAC(MAX($P$34*($B596+IF($R$17="Distrato",$I$38-1,0)),IF(AND($L$37=0,$P$34=0),"",$L$37-1),IF($R$17="Distrato",$E596,0)),MIN(AH$38,$D$19),$P$20))-SUM($P596:AG596)</f>
        <v>#VALUE!</v>
      </c>
      <c r="AI596" s="446" t="e">
        <f>IF(OR($B596="",MIN(AI$38,$D$19)&lt;MAX($P$34*($B596+IF($R$17="Distrato",$I$38-1,0)),IF(AND($L$37=0,$P$34=0),"",$L$37-1),IF($R$17="Distrato",$E596,0))),0,YEARFRAC(MAX($P$34*($B596+IF($R$17="Distrato",$I$38-1,0)),IF(AND($L$37=0,$P$34=0),"",$L$37-1),IF($R$17="Distrato",$E596,0)),MIN(AI$38,$D$19),$P$20))-SUM($P596:AH596)</f>
        <v>#VALUE!</v>
      </c>
      <c r="AJ596" s="446" t="e">
        <f>IF(OR($B596="",MIN(AJ$38,$D$19)&lt;MAX($P$34*($B596+IF($R$17="Distrato",$I$38-1,0)),IF(AND($L$37=0,$P$34=0),"",$L$37-1),IF($R$17="Distrato",$E596,0))),0,YEARFRAC(MAX($P$34*($B596+IF($R$17="Distrato",$I$38-1,0)),IF(AND($L$37=0,$P$34=0),"",$L$37-1),IF($R$17="Distrato",$E596,0)),MIN(AJ$38,$D$19),$P$20))-SUM($P596:AI596)</f>
        <v>#VALUE!</v>
      </c>
      <c r="AK596" s="446" t="e">
        <f>IF(OR($B596="",MIN(AK$38,$D$19)&lt;MAX($P$34*($B596+IF($R$17="Distrato",$I$38-1,0)),IF(AND($L$37=0,$P$34=0),"",$L$37-1),IF($R$17="Distrato",$E596,0))),0,YEARFRAC(MAX($P$34*($B596+IF($R$17="Distrato",$I$38-1,0)),IF(AND($L$37=0,$P$34=0),"",$L$37-1),IF($R$17="Distrato",$E596,0)),MIN(AK$38,$D$19),$P$20))-SUM($P596:AJ596)</f>
        <v>#VALUE!</v>
      </c>
      <c r="AL596" s="446" t="e">
        <f>IF(OR($B596="",MIN(AL$38,$D$19)&lt;MAX($P$34*($B596+IF($R$17="Distrato",$I$38-1,0)),IF(AND($L$37=0,$P$34=0),"",$L$37-1),IF($R$17="Distrato",$E596,0))),0,YEARFRAC(MAX($P$34*($B596+IF($R$17="Distrato",$I$38-1,0)),IF(AND($L$37=0,$P$34=0),"",$L$37-1),IF($R$17="Distrato",$E596,0)),MIN(AL$38,$D$19),$P$20))-SUM($P596:AK596)</f>
        <v>#VALUE!</v>
      </c>
      <c r="AM596" s="446" t="e">
        <f>IF(OR($B596="",MIN(AM$38,$D$19)&lt;MAX($P$34*($B596+IF($R$17="Distrato",$I$38-1,0)),IF(AND($L$37=0,$P$34=0),"",$L$37-1),IF($R$17="Distrato",$E596,0))),0,YEARFRAC(MAX($P$34*($B596+IF($R$17="Distrato",$I$38-1,0)),IF(AND($L$37=0,$P$34=0),"",$L$37-1),IF($R$17="Distrato",$E596,0)),MIN(AM$38,$D$19),$P$20))-SUM($P596:AL596)</f>
        <v>#VALUE!</v>
      </c>
      <c r="AN596" s="446" t="e">
        <f>IF(OR($B596="",MIN(AN$38,$D$19)&lt;MAX($P$34*($B596+IF($R$17="Distrato",$I$38-1,0)),IF(AND($L$37=0,$P$34=0),"",$L$37-1),IF($R$17="Distrato",$E596,0))),0,YEARFRAC(MAX($P$34*($B596+IF($R$17="Distrato",$I$38-1,0)),IF(AND($L$37=0,$P$34=0),"",$L$37-1),IF($R$17="Distrato",$E596,0)),MIN(AN$38,$D$19),$P$20))-SUM($P596:AM596)</f>
        <v>#VALUE!</v>
      </c>
      <c r="AO596" s="446" t="e">
        <f>IF(OR($B596="",MIN(AO$38,$D$19)&lt;MAX($P$34*($B596+IF($R$17="Distrato",$I$38-1,0)),IF(AND($L$37=0,$P$34=0),"",$L$37-1),IF($R$17="Distrato",$E596,0))),0,YEARFRAC(MAX($P$34*($B596+IF($R$17="Distrato",$I$38-1,0)),IF(AND($L$37=0,$P$34=0),"",$L$37-1),IF($R$17="Distrato",$E596,0)),MIN(AO$38,$D$19),$P$20))-SUM($P596:AN596)</f>
        <v>#VALUE!</v>
      </c>
      <c r="AP596" s="446" t="e">
        <f>IF(OR($B596="",MIN(AP$38,$D$19)&lt;MAX($P$34*($B596+IF($R$17="Distrato",$I$38-1,0)),IF(AND($L$37=0,$P$34=0),"",$L$37-1),IF($R$17="Distrato",$E596,0))),0,YEARFRAC(MAX($P$34*($B596+IF($R$17="Distrato",$I$38-1,0)),IF(AND($L$37=0,$P$34=0),"",$L$37-1),IF($R$17="Distrato",$E596,0)),MIN(AP$38,$D$19),$P$20))-SUM($P596:AO596)</f>
        <v>#VALUE!</v>
      </c>
      <c r="AQ596" s="446" t="e">
        <f>IF(OR($B596="",MIN(AQ$38,$D$19)&lt;MAX($P$34*($B596+IF($R$17="Distrato",$I$38-1,0)),IF(AND($L$37=0,$P$34=0),"",$L$37-1),IF($R$17="Distrato",$E596,0))),0,YEARFRAC(MAX($P$34*($B596+IF($R$17="Distrato",$I$38-1,0)),IF(AND($L$37=0,$P$34=0),"",$L$37-1),IF($R$17="Distrato",$E596,0)),MIN(AQ$38,$D$19),$P$20))-SUM($P596:AP596)</f>
        <v>#VALUE!</v>
      </c>
      <c r="AR596" s="446" t="e">
        <f>IF(OR($B596="",MIN(AR$38,$D$19)&lt;MAX($P$34*($B596+IF($R$17="Distrato",$I$38-1,0)),IF(AND($L$37=0,$P$34=0),"",$L$37-1),IF($R$17="Distrato",$E596,0))),0,YEARFRAC(MAX($P$34*($B596+IF($R$17="Distrato",$I$38-1,0)),IF(AND($L$37=0,$P$34=0),"",$L$37-1),IF($R$17="Distrato",$E596,0)),MIN(AR$38,$D$19),$P$20))-SUM($P596:AQ596)</f>
        <v>#VALUE!</v>
      </c>
      <c r="AS596" s="446" t="e">
        <f>IF(OR($B596="",MIN(AS$38,$D$19)&lt;MAX($P$34*($B596+IF($R$17="Distrato",$I$38-1,0)),IF(AND($L$37=0,$P$34=0),"",$L$37-1),IF($R$17="Distrato",$E596,0))),0,YEARFRAC(MAX($P$34*($B596+IF($R$17="Distrato",$I$38-1,0)),IF(AND($L$37=0,$P$34=0),"",$L$37-1),IF($R$17="Distrato",$E596,0)),MIN(AS$38,$D$19),$P$20))-SUM($P596:AR596)</f>
        <v>#VALUE!</v>
      </c>
      <c r="AT596" s="446" t="e">
        <f>IF(OR($B596="",MIN(AT$38,$D$19)&lt;MAX($P$34*($B596+IF($R$17="Distrato",$I$38-1,0)),IF(AND($L$37=0,$P$34=0),"",$L$37-1),IF($R$17="Distrato",$E596,0))),0,YEARFRAC(MAX($P$34*($B596+IF($R$17="Distrato",$I$38-1,0)),IF(AND($L$37=0,$P$34=0),"",$L$37-1),IF($R$17="Distrato",$E596,0)),MIN(AT$38,$D$19),$P$20))-SUM($P596:AS596)</f>
        <v>#VALUE!</v>
      </c>
      <c r="AU596" s="446" t="e">
        <f>IF(OR($B596="",MIN(AU$38,$D$19)&lt;MAX($P$34*($B596+IF($R$17="Distrato",$I$38-1,0)),IF(AND($L$37=0,$P$34=0),"",$L$37-1),IF($R$17="Distrato",$E596,0))),0,YEARFRAC(MAX($P$34*($B596+IF($R$17="Distrato",$I$38-1,0)),IF(AND($L$37=0,$P$34=0),"",$L$37-1),IF($R$17="Distrato",$E596,0)),MIN(AU$38,$D$19),$P$20))-SUM($P596:AT596)</f>
        <v>#VALUE!</v>
      </c>
      <c r="AV596" s="446" t="e">
        <f>IF(OR($B596="",MIN(AV$38,$D$19)&lt;MAX($P$34*($B596+IF($R$17="Distrato",$I$38-1,0)),IF(AND($L$37=0,$P$34=0),"",$L$37-1),IF($R$17="Distrato",$E596,0))),0,YEARFRAC(MAX($P$34*($B596+IF($R$17="Distrato",$I$38-1,0)),IF(AND($L$37=0,$P$34=0),"",$L$37-1),IF($R$17="Distrato",$E596,0)),MIN(AV$38,$D$19),$P$20))-SUM($P596:AU596)</f>
        <v>#VALUE!</v>
      </c>
      <c r="AW596" s="446" t="e">
        <f>IF(OR($B596="",MIN(AW$38,$D$19)&lt;MAX($P$34*($B596+IF($R$17="Distrato",$I$38-1,0)),IF(AND($L$37=0,$P$34=0),"",$L$37-1),IF($R$17="Distrato",$E596,0))),0,YEARFRAC(MAX($P$34*($B596+IF($R$17="Distrato",$I$38-1,0)),IF(AND($L$37=0,$P$34=0),"",$L$37-1),IF($R$17="Distrato",$E596,0)),MIN(AW$38,$D$19),$P$20))-SUM($P596:AV596)</f>
        <v>#VALUE!</v>
      </c>
      <c r="AX596" s="446" t="e">
        <f>IF(OR($B596="",MIN(AX$38,$D$19)&lt;MAX($P$34*($B596+IF($R$17="Distrato",$I$38-1,0)),IF(AND($L$37=0,$P$34=0),"",$L$37-1),IF($R$17="Distrato",$E596,0))),0,YEARFRAC(MAX($P$34*($B596+IF($R$17="Distrato",$I$38-1,0)),IF(AND($L$37=0,$P$34=0),"",$L$37-1),IF($R$17="Distrato",$E596,0)),MIN(AX$38,$D$19),$P$20))-SUM($P596:AW596)</f>
        <v>#VALUE!</v>
      </c>
      <c r="AY596" s="446" t="e">
        <f>IF(OR($B596="",MIN(AY$38,$D$19)&lt;MAX($P$34*($B596+IF($R$17="Distrato",$I$38-1,0)),IF(AND($L$37=0,$P$34=0),"",$L$37-1),IF($R$17="Distrato",$E596,0))),0,YEARFRAC(MAX($P$34*($B596+IF($R$17="Distrato",$I$38-1,0)),IF(AND($L$37=0,$P$34=0),"",$L$37-1),IF($R$17="Distrato",$E596,0)),MIN(AY$38,$D$19),$P$20))-SUM($P596:AX596)</f>
        <v>#VALUE!</v>
      </c>
      <c r="AZ596" s="446" t="e">
        <f>IF(OR($B596="",MIN(AZ$38,$D$19)&lt;MAX($P$34*($B596+IF($R$17="Distrato",$I$38-1,0)),IF(AND($L$37=0,$P$34=0),"",$L$37-1),IF($R$17="Distrato",$E596,0))),0,YEARFRAC(MAX($P$34*($B596+IF($R$17="Distrato",$I$38-1,0)),IF(AND($L$37=0,$P$34=0),"",$L$37-1),IF($R$17="Distrato",$E596,0)),MIN(AZ$38,$D$19),$P$20))-SUM($P596:AY596)</f>
        <v>#VALUE!</v>
      </c>
      <c r="BA596" s="446" t="e">
        <f>IF(OR($B596="",MIN(BA$38,$D$19)&lt;MAX($P$34*($B596+IF($R$17="Distrato",$I$38-1,0)),IF(AND($L$37=0,$P$34=0),"",$L$37-1),IF($R$17="Distrato",$E596,0))),0,YEARFRAC(MAX($P$34*($B596+IF($R$17="Distrato",$I$38-1,0)),IF(AND($L$37=0,$P$34=0),"",$L$37-1),IF($R$17="Distrato",$E596,0)),MIN(BA$38,$D$19),$P$20))-SUM($P596:AZ596)</f>
        <v>#VALUE!</v>
      </c>
      <c r="BB596" s="447"/>
      <c r="BF596" s="446">
        <f t="shared" si="98"/>
        <v>0</v>
      </c>
      <c r="BG596" s="446">
        <f>IF($E596=0,0,IF(MIN(BG$38,$E596)&lt;MAX($P$34*($B596+$I$38-1),IF(AND($L$37=0,$P$34=0),"",$L$37-1)),0,YEARFRAC(MAX($P$34*($B596+$I$38-1),IF(AND($L$37=0,$P$34=0),"",$L$37-1)),MIN(BG$38,$E596),$P$20))-SUM($BF596:BF596))</f>
        <v>0</v>
      </c>
      <c r="BH596" s="446">
        <f>IF($E596=0,0,IF(MIN(BH$38,$E596)&lt;MAX($P$34*($B596+$I$38-1),IF(AND($L$37=0,$P$34=0),"",$L$37-1)),0,YEARFRAC(MAX($P$34*($B596+$I$38-1),IF(AND($L$37=0,$P$34=0),"",$L$37-1)),MIN(BH$38,$E596),$P$20))-SUM($BF596:BG596))</f>
        <v>0</v>
      </c>
      <c r="BI596" s="446">
        <f>IF($E596=0,0,IF(MIN(BI$38,$E596)&lt;MAX($P$34*($B596+$I$38-1),IF(AND($L$37=0,$P$34=0),"",$L$37-1)),0,YEARFRAC(MAX($P$34*($B596+$I$38-1),IF(AND($L$37=0,$P$34=0),"",$L$37-1)),MIN(BI$38,$E596),$P$20))-SUM($BF596:BH596))</f>
        <v>0</v>
      </c>
      <c r="BJ596" s="446">
        <f>IF($E596=0,0,IF(MIN(BJ$38,$E596)&lt;MAX($P$34*($B596+$I$38-1),IF(AND($L$37=0,$P$34=0),"",$L$37-1)),0,YEARFRAC(MAX($P$34*($B596+$I$38-1),IF(AND($L$37=0,$P$34=0),"",$L$37-1)),MIN(BJ$38,$E596),$P$20))-SUM($BF596:BI596))</f>
        <v>0</v>
      </c>
      <c r="BK596" s="446">
        <f>IF($E596=0,0,IF(MIN(BK$38,$E596)&lt;MAX($P$34*($B596+$I$38-1),IF(AND($L$37=0,$P$34=0),"",$L$37-1)),0,YEARFRAC(MAX($P$34*($B596+$I$38-1),IF(AND($L$37=0,$P$34=0),"",$L$37-1)),MIN(BK$38,$E596),$P$20))-SUM($BF596:BJ596))</f>
        <v>0</v>
      </c>
      <c r="BL596" s="446">
        <f>IF($E596=0,0,IF(MIN(BL$38,$E596)&lt;MAX($P$34*($B596+$I$38-1),IF(AND($L$37=0,$P$34=0),"",$L$37-1)),0,YEARFRAC(MAX($P$34*($B596+$I$38-1),IF(AND($L$37=0,$P$34=0),"",$L$37-1)),MIN(BL$38,$E596),$P$20))-SUM($BF596:BK596))</f>
        <v>0</v>
      </c>
      <c r="BM596" s="446">
        <f>IF($E596=0,0,IF(MIN(BM$38,$E596)&lt;MAX($P$34*($B596+$I$38-1),IF(AND($L$37=0,$P$34=0),"",$L$37-1)),0,YEARFRAC(MAX($P$34*($B596+$I$38-1),IF(AND($L$37=0,$P$34=0),"",$L$37-1)),MIN(BM$38,$E596),$P$20))-SUM($BF596:BL596))</f>
        <v>0</v>
      </c>
      <c r="BN596" s="446">
        <f>IF($E596=0,0,IF(MIN(BN$38,$E596)&lt;MAX($P$34*($B596+$I$38-1),IF(AND($L$37=0,$P$34=0),"",$L$37-1)),0,YEARFRAC(MAX($P$34*($B596+$I$38-1),IF(AND($L$37=0,$P$34=0),"",$L$37-1)),MIN(BN$38,$E596),$P$20))-SUM($BF596:BM596))</f>
        <v>0</v>
      </c>
      <c r="BO596" s="446">
        <f>IF($E596=0,0,IF(MIN(BO$38,$E596)&lt;MAX($P$34*($B596+$I$38-1),IF(AND($L$37=0,$P$34=0),"",$L$37-1)),0,YEARFRAC(MAX($P$34*($B596+$I$38-1),IF(AND($L$37=0,$P$34=0),"",$L$37-1)),MIN(BO$38,$E596),$P$20))-SUM($BF596:BN596))</f>
        <v>0</v>
      </c>
      <c r="BP596" s="446">
        <f>IF($E596=0,0,IF(MIN(BP$38,$E596)&lt;MAX($P$34*($B596+$I$38-1),IF(AND($L$37=0,$P$34=0),"",$L$37-1)),0,YEARFRAC(MAX($P$34*($B596+$I$38-1),IF(AND($L$37=0,$P$34=0),"",$L$37-1)),MIN(BP$38,$E596),$P$20))-SUM($BF596:BO596))</f>
        <v>0</v>
      </c>
      <c r="BQ596" s="446">
        <f>IF($E596=0,0,IF(MIN(BQ$38,$E596)&lt;MAX($P$34*($B596+$I$38-1),IF(AND($L$37=0,$P$34=0),"",$L$37-1)),0,YEARFRAC(MAX($P$34*($B596+$I$38-1),IF(AND($L$37=0,$P$34=0),"",$L$37-1)),MIN(BQ$38,$E596),$P$20))-SUM($BF596:BP596))</f>
        <v>0</v>
      </c>
      <c r="BR596" s="446">
        <f>IF($E596=0,0,IF(MIN(BR$38,$E596)&lt;MAX($P$34*($B596+$I$38-1),IF(AND($L$37=0,$P$34=0),"",$L$37-1)),0,YEARFRAC(MAX($P$34*($B596+$I$38-1),IF(AND($L$37=0,$P$34=0),"",$L$37-1)),MIN(BR$38,$E596),$P$20))-SUM($BF596:BQ596))</f>
        <v>0</v>
      </c>
      <c r="BS596" s="446">
        <f>IF($E596=0,0,IF(MIN(BS$38,$E596)&lt;MAX($P$34*($B596+$I$38-1),IF(AND($L$37=0,$P$34=0),"",$L$37-1)),0,YEARFRAC(MAX($P$34*($B596+$I$38-1),IF(AND($L$37=0,$P$34=0),"",$L$37-1)),MIN(BS$38,$E596),$P$20))-SUM($BF596:BR596))</f>
        <v>0</v>
      </c>
      <c r="BT596" s="446">
        <f>IF($E596=0,0,IF(MIN(BT$38,$E596)&lt;MAX($P$34*($B596+$I$38-1),IF(AND($L$37=0,$P$34=0),"",$L$37-1)),0,YEARFRAC(MAX($P$34*($B596+$I$38-1),IF(AND($L$37=0,$P$34=0),"",$L$37-1)),MIN(BT$38,$E596),$P$20))-SUM($BF596:BS596))</f>
        <v>0</v>
      </c>
      <c r="BU596" s="446">
        <f>IF($E596=0,0,IF(MIN(BU$38,$E596)&lt;MAX($P$34*($B596+$I$38-1),IF(AND($L$37=0,$P$34=0),"",$L$37-1)),0,YEARFRAC(MAX($P$34*($B596+$I$38-1),IF(AND($L$37=0,$P$34=0),"",$L$37-1)),MIN(BU$38,$E596),$P$20))-SUM($BF596:BT596))</f>
        <v>0</v>
      </c>
      <c r="BV596" s="446">
        <f>IF($E596=0,0,IF(MIN(BV$38,$E596)&lt;MAX($P$34*($B596+$I$38-1),IF(AND($L$37=0,$P$34=0),"",$L$37-1)),0,YEARFRAC(MAX($P$34*($B596+$I$38-1),IF(AND($L$37=0,$P$34=0),"",$L$37-1)),MIN(BV$38,$E596),$P$20))-SUM($BF596:BU596))</f>
        <v>0</v>
      </c>
      <c r="BW596" s="446">
        <f>IF($E596=0,0,IF(MIN(BW$38,$E596)&lt;MAX($P$34*($B596+$I$38-1),IF(AND($L$37=0,$P$34=0),"",$L$37-1)),0,YEARFRAC(MAX($P$34*($B596+$I$38-1),IF(AND($L$37=0,$P$34=0),"",$L$37-1)),MIN(BW$38,$E596),$P$20))-SUM($BF596:BV596))</f>
        <v>0</v>
      </c>
      <c r="BX596" s="446">
        <f>IF($E596=0,0,IF(MIN(BX$38,$E596)&lt;MAX($P$34*($B596+$I$38-1),IF(AND($L$37=0,$P$34=0),"",$L$37-1)),0,YEARFRAC(MAX($P$34*($B596+$I$38-1),IF(AND($L$37=0,$P$34=0),"",$L$37-1)),MIN(BX$38,$E596),$P$20))-SUM($BF596:BW596))</f>
        <v>0</v>
      </c>
      <c r="BY596" s="446">
        <f>IF($E596=0,0,IF(MIN(BY$38,$E596)&lt;MAX($P$34*($B596+$I$38-1),IF(AND($L$37=0,$P$34=0),"",$L$37-1)),0,YEARFRAC(MAX($P$34*($B596+$I$38-1),IF(AND($L$37=0,$P$34=0),"",$L$37-1)),MIN(BY$38,$E596),$P$20))-SUM($BF596:BX596))</f>
        <v>0</v>
      </c>
      <c r="BZ596" s="446">
        <f>IF($E596=0,0,IF(MIN(BZ$38,$E596)&lt;MAX($P$34*($B596+$I$38-1),IF(AND($L$37=0,$P$34=0),"",$L$37-1)),0,YEARFRAC(MAX($P$34*($B596+$I$38-1),IF(AND($L$37=0,$P$34=0),"",$L$37-1)),MIN(BZ$38,$E596),$P$20))-SUM($BF596:BY596))</f>
        <v>0</v>
      </c>
      <c r="CA596" s="446">
        <f>IF($E596=0,0,IF(MIN(CA$38,$E596)&lt;MAX($P$34*($B596+$I$38-1),IF(AND($L$37=0,$P$34=0),"",$L$37-1)),0,YEARFRAC(MAX($P$34*($B596+$I$38-1),IF(AND($L$37=0,$P$34=0),"",$L$37-1)),MIN(CA$38,$E596),$P$20))-SUM($BF596:BZ596))</f>
        <v>0</v>
      </c>
      <c r="CB596" s="446">
        <f>IF($E596=0,0,IF(MIN(CB$38,$E596)&lt;MAX($P$34*($B596+$I$38-1),IF(AND($L$37=0,$P$34=0),"",$L$37-1)),0,YEARFRAC(MAX($P$34*($B596+$I$38-1),IF(AND($L$37=0,$P$34=0),"",$L$37-1)),MIN(CB$38,$E596),$P$20))-SUM($BF596:CA596))</f>
        <v>0</v>
      </c>
      <c r="CC596" s="446">
        <f>IF($E596=0,0,IF(MIN(CC$38,$E596)&lt;MAX($P$34*($B596+$I$38-1),IF(AND($L$37=0,$P$34=0),"",$L$37-1)),0,YEARFRAC(MAX($P$34*($B596+$I$38-1),IF(AND($L$37=0,$P$34=0),"",$L$37-1)),MIN(CC$38,$E596),$P$20))-SUM($BF596:CB596))</f>
        <v>0</v>
      </c>
      <c r="CD596" s="446">
        <f>IF($E596=0,0,IF(MIN(CD$38,$E596)&lt;MAX($P$34*($B596+$I$38-1),IF(AND($L$37=0,$P$34=0),"",$L$37-1)),0,YEARFRAC(MAX($P$34*($B596+$I$38-1),IF(AND($L$37=0,$P$34=0),"",$L$37-1)),MIN(CD$38,$E596),$P$20))-SUM($BF596:CC596))</f>
        <v>0</v>
      </c>
      <c r="CE596" s="446">
        <f>IF($E596=0,0,IF(MIN(CE$38,$E596)&lt;MAX($P$34*($B596+$I$38-1),IF(AND($L$37=0,$P$34=0),"",$L$37-1)),0,YEARFRAC(MAX($P$34*($B596+$I$38-1),IF(AND($L$37=0,$P$34=0),"",$L$37-1)),MIN(CE$38,$E596),$P$20))-SUM($BF596:CD596))</f>
        <v>0</v>
      </c>
      <c r="CF596" s="446">
        <f>IF($E596=0,0,IF(MIN(CF$38,$E596)&lt;MAX($P$34*($B596+$I$38-1),IF(AND($L$37=0,$P$34=0),"",$L$37-1)),0,YEARFRAC(MAX($P$34*($B596+$I$38-1),IF(AND($L$37=0,$P$34=0),"",$L$37-1)),MIN(CF$38,$E596),$P$20))-SUM($BF596:CE596))</f>
        <v>0</v>
      </c>
      <c r="CG596" s="446">
        <f>IF($E596=0,0,IF(MIN(CG$38,$E596)&lt;MAX($P$34*($B596+$I$38-1),IF(AND($L$37=0,$P$34=0),"",$L$37-1)),0,YEARFRAC(MAX($P$34*($B596+$I$38-1),IF(AND($L$37=0,$P$34=0),"",$L$37-1)),MIN(CG$38,$E596),$P$20))-SUM($BF596:CF596))</f>
        <v>0</v>
      </c>
      <c r="CH596" s="446">
        <f>IF($E596=0,0,IF(MIN(CH$38,$E596)&lt;MAX($P$34*($B596+$I$38-1),IF(AND($L$37=0,$P$34=0),"",$L$37-1)),0,YEARFRAC(MAX($P$34*($B596+$I$38-1),IF(AND($L$37=0,$P$34=0),"",$L$37-1)),MIN(CH$38,$E596),$P$20))-SUM($BF596:CG596))</f>
        <v>0</v>
      </c>
      <c r="CI596" s="446">
        <f>IF($E596=0,0,IF(MIN(CI$38,$E596)&lt;MAX($P$34*($B596+$I$38-1),IF(AND($L$37=0,$P$34=0),"",$L$37-1)),0,YEARFRAC(MAX($P$34*($B596+$I$38-1),IF(AND($L$37=0,$P$34=0),"",$L$37-1)),MIN(CI$38,$E596),$P$20))-SUM($BF596:CH596))</f>
        <v>0</v>
      </c>
      <c r="CJ596" s="446">
        <f>IF($E596=0,0,IF(MIN(CJ$38,$E596)&lt;MAX($P$34*($B596+$I$38-1),IF(AND($L$37=0,$P$34=0),"",$L$37-1)),0,YEARFRAC(MAX($P$34*($B596+$I$38-1),IF(AND($L$37=0,$P$34=0),"",$L$37-1)),MIN(CJ$38,$E596),$P$20))-SUM($BF596:CI596))</f>
        <v>0</v>
      </c>
      <c r="CK596" s="446">
        <f>IF($E596=0,0,IF(MIN(CK$38,$E596)&lt;MAX($P$34*($B596+$I$38-1),IF(AND($L$37=0,$P$34=0),"",$L$37-1)),0,YEARFRAC(MAX($P$34*($B596+$I$38-1),IF(AND($L$37=0,$P$34=0),"",$L$37-1)),MIN(CK$38,$E596),$P$20))-SUM($BF596:CJ596))</f>
        <v>0</v>
      </c>
      <c r="CL596" s="446">
        <f>IF($E596=0,0,IF(MIN(CL$38,$E596)&lt;MAX($P$34*($B596+$I$38-1),IF(AND($L$37=0,$P$34=0),"",$L$37-1)),0,YEARFRAC(MAX($P$34*($B596+$I$38-1),IF(AND($L$37=0,$P$34=0),"",$L$37-1)),MIN(CL$38,$E596),$P$20))-SUM($BF596:CK596))</f>
        <v>0</v>
      </c>
      <c r="CM596" s="446">
        <f>IF($E596=0,0,IF(MIN(CM$38,$E596)&lt;MAX($P$34*($B596+$I$38-1),IF(AND($L$37=0,$P$34=0),"",$L$37-1)),0,YEARFRAC(MAX($P$34*($B596+$I$38-1),IF(AND($L$37=0,$P$34=0),"",$L$37-1)),MIN(CM$38,$E596),$P$20))-SUM($BF596:CL596))</f>
        <v>0</v>
      </c>
      <c r="CN596" s="446">
        <f>IF($E596=0,0,IF(MIN(CN$38,$E596)&lt;MAX($P$34*($B596+$I$38-1),IF(AND($L$37=0,$P$34=0),"",$L$37-1)),0,YEARFRAC(MAX($P$34*($B596+$I$38-1),IF(AND($L$37=0,$P$34=0),"",$L$37-1)),MIN(CN$38,$E596),$P$20))-SUM($BF596:CM596))</f>
        <v>0</v>
      </c>
      <c r="CO596" s="446">
        <f>IF($E596=0,0,IF(MIN(CO$38,$E596)&lt;MAX($P$34*($B596+$I$38-1),IF(AND($L$37=0,$P$34=0),"",$L$37-1)),0,YEARFRAC(MAX($P$34*($B596+$I$38-1),IF(AND($L$37=0,$P$34=0),"",$L$37-1)),MIN(CO$38,$E596),$P$20))-SUM($BF596:CN596))</f>
        <v>0</v>
      </c>
      <c r="CP596" s="446">
        <f>IF($E596=0,0,IF(MIN(CP$38,$E596)&lt;MAX($P$34*($B596+$I$38-1),IF(AND($L$37=0,$P$34=0),"",$L$37-1)),0,YEARFRAC(MAX($P$34*($B596+$I$38-1),IF(AND($L$37=0,$P$34=0),"",$L$37-1)),MIN(CP$38,$E596),$P$20))-SUM($BF596:CO596))</f>
        <v>0</v>
      </c>
      <c r="CQ596" s="446">
        <f>IF($E596=0,0,IF(MIN(CQ$38,$E596)&lt;MAX($P$34*($B596+$I$38-1),IF(AND($L$37=0,$P$34=0),"",$L$37-1)),0,YEARFRAC(MAX($P$34*($B596+$I$38-1),IF(AND($L$37=0,$P$34=0),"",$L$37-1)),MIN(CQ$38,$E596),$P$20))-SUM($BF596:CP596))</f>
        <v>0</v>
      </c>
    </row>
    <row r="597" spans="1:95" s="446" customFormat="1" ht="11.25" hidden="1" customHeight="1" x14ac:dyDescent="0.2">
      <c r="A597" s="152"/>
      <c r="B597" s="153" t="str">
        <f t="shared" si="103"/>
        <v/>
      </c>
      <c r="C597" s="29" t="str">
        <f>IF(B597="","",IF($L$35="SELIC - TRIBUTOS",VLOOKUP(DATE(YEAR($D$19),MONTH($D$19)-1,1),ÍNDICES!$A:$DE,HLOOKUP($BL$25,ÍNDICES!$B$3:$T$4,2)+11)-VLOOKUP(B597,ÍNDICES!$A:$DE,HLOOKUP($BL$25,ÍNDICES!$B$3:$T$4,2)+11)+1%,IF(C$38=$W$26,$J$35,IF(ISERROR(IF(B597&gt;$D$19,1,VLOOKUP(DATE(YEAR(B597),MONTH(B597)+IF($C$35=$S$23,1,0),1),ÍNDICES!$A:$DE,$Z$35+1))),"",IF(B597&gt;$D$19,1,VLOOKUP(DATE(YEAR(B597),MONTH(B597)+IF($C$35=$S$23,1,0),1),ÍNDICES!$A:$DE,$Z$35+1))))))</f>
        <v/>
      </c>
      <c r="D597" s="154" t="str">
        <f>IF(ISERROR(IF(OR($D$38=$Y$27,$B597=""),"",VLOOKUP(B597,ÍNDICES!A:DE,AF$35+1))),"",IF(OR($D$38=$Y$27,$B597=""),"",VLOOKUP(B597,ÍNDICES!A:DE,AF$35+1)))</f>
        <v/>
      </c>
      <c r="E597" s="153"/>
      <c r="F597" s="29" t="str">
        <f>IF(E597="","",IF($L$35="SELIC - TRIBUTOS",VLOOKUP(DATE(YEAR($D$19),MONTH($D$19)-1,1),ÍNDICES!$A:$DE,HLOOKUP($BL$25,ÍNDICES!$B$3:$T$4,2)+11)-VLOOKUP(E597,ÍNDICES!$A:$DE,HLOOKUP($BL$25,ÍNDICES!$B$3:$T$4,2)+11)+1%,IF(F$38=$W$26,$J$35,IF(ISERROR(IF(E597&gt;$D$19,1,VLOOKUP(DATE(YEAR(E597),MONTH(E597)+IF($C$35=$S$23,1,0),1),ÍNDICES!$A:$DE,$Z$35+1))),"",IF(E597&gt;$D$19,1,VLOOKUP(DATE(YEAR(E597),MONTH(E597)+IF($C$35=$S$23,1,0),1),ÍNDICES!$A:$DE,$Z$35+1))))))</f>
        <v/>
      </c>
      <c r="G597" s="155"/>
      <c r="H597" s="156" t="str">
        <f t="shared" si="99"/>
        <v/>
      </c>
      <c r="I597" s="29" t="str">
        <f t="shared" si="93"/>
        <v/>
      </c>
      <c r="J597" s="5">
        <f t="shared" si="94"/>
        <v>0</v>
      </c>
      <c r="K597" s="20">
        <f t="shared" ca="1" si="95"/>
        <v>0</v>
      </c>
      <c r="L597" s="5">
        <f t="shared" ca="1" si="96"/>
        <v>0</v>
      </c>
      <c r="M597" s="64">
        <f t="shared" si="100"/>
        <v>0</v>
      </c>
      <c r="N597" s="61">
        <f t="shared" ca="1" si="101"/>
        <v>0</v>
      </c>
      <c r="O597" s="5">
        <f t="shared" ca="1" si="102"/>
        <v>0</v>
      </c>
      <c r="P597" s="446" t="e">
        <f t="shared" si="97"/>
        <v>#VALUE!</v>
      </c>
      <c r="Q597" s="446" t="e">
        <f>IF(OR($B597="",MIN(Q$38,$D$19)&lt;MAX($P$34*($B597+IF($R$17="Distrato",$I$38-1,0)),IF(AND($L$37=0,$P$34=0),"",$L$37-1),IF($R$17="Distrato",$E597,0))),0,YEARFRAC(MAX($P$34*($B597+IF($R$17="Distrato",$I$38-1,0)),IF(AND($L$37=0,$P$34=0),"",$L$37-1),IF($R$17="Distrato",$E597,0)),MIN(Q$38,$D$19),$P$20))-SUM($P597:P597)</f>
        <v>#VALUE!</v>
      </c>
      <c r="R597" s="446" t="e">
        <f>IF(OR($B597="",MIN(R$38,$D$19)&lt;MAX($P$34*($B597+IF($R$17="Distrato",$I$38-1,0)),IF(AND($L$37=0,$P$34=0),"",$L$37-1),IF($R$17="Distrato",$E597,0))),0,YEARFRAC(MAX($P$34*($B597+IF($R$17="Distrato",$I$38-1,0)),IF(AND($L$37=0,$P$34=0),"",$L$37-1),IF($R$17="Distrato",$E597,0)),MIN(R$38,$D$19),$P$20))-SUM($P597:Q597)</f>
        <v>#VALUE!</v>
      </c>
      <c r="S597" s="446" t="e">
        <f>IF(OR($B597="",MIN(S$38,$D$19)&lt;MAX($P$34*($B597+IF($R$17="Distrato",$I$38-1,0)),IF(AND($L$37=0,$P$34=0),"",$L$37-1),IF($R$17="Distrato",$E597,0))),0,YEARFRAC(MAX($P$34*($B597+IF($R$17="Distrato",$I$38-1,0)),IF(AND($L$37=0,$P$34=0),"",$L$37-1),IF($R$17="Distrato",$E597,0)),MIN(S$38,$D$19),$P$20))-SUM($P597:R597)</f>
        <v>#VALUE!</v>
      </c>
      <c r="T597" s="446" t="e">
        <f>IF(OR($B597="",MIN(T$38,$D$19)&lt;MAX($P$34*($B597+IF($R$17="Distrato",$I$38-1,0)),IF(AND($L$37=0,$P$34=0),"",$L$37-1),IF($R$17="Distrato",$E597,0))),0,YEARFRAC(MAX($P$34*($B597+IF($R$17="Distrato",$I$38-1,0)),IF(AND($L$37=0,$P$34=0),"",$L$37-1),IF($R$17="Distrato",$E597,0)),MIN(T$38,$D$19),$P$20))-SUM($P597:S597)</f>
        <v>#VALUE!</v>
      </c>
      <c r="U597" s="446" t="e">
        <f>IF(OR($B597="",MIN(U$38,$D$19)&lt;MAX($P$34*($B597+IF($R$17="Distrato",$I$38-1,0)),IF(AND($L$37=0,$P$34=0),"",$L$37-1),IF($R$17="Distrato",$E597,0))),0,YEARFRAC(MAX($P$34*($B597+IF($R$17="Distrato",$I$38-1,0)),IF(AND($L$37=0,$P$34=0),"",$L$37-1),IF($R$17="Distrato",$E597,0)),MIN(U$38,$D$19),$P$20))-SUM($P597:T597)</f>
        <v>#VALUE!</v>
      </c>
      <c r="V597" s="446" t="e">
        <f>IF(OR($B597="",MIN(V$38,$D$19)&lt;MAX($P$34*($B597+IF($R$17="Distrato",$I$38-1,0)),IF(AND($L$37=0,$P$34=0),"",$L$37-1),IF($R$17="Distrato",$E597,0))),0,YEARFRAC(MAX($P$34*($B597+IF($R$17="Distrato",$I$38-1,0)),IF(AND($L$37=0,$P$34=0),"",$L$37-1),IF($R$17="Distrato",$E597,0)),MIN(V$38,$D$19),$P$20))-SUM($P597:U597)</f>
        <v>#VALUE!</v>
      </c>
      <c r="W597" s="446" t="e">
        <f>IF(OR($B597="",MIN(W$38,$D$19)&lt;MAX($P$34*($B597+IF($R$17="Distrato",$I$38-1,0)),IF(AND($L$37=0,$P$34=0),"",$L$37-1),IF($R$17="Distrato",$E597,0))),0,YEARFRAC(MAX($P$34*($B597+IF($R$17="Distrato",$I$38-1,0)),IF(AND($L$37=0,$P$34=0),"",$L$37-1),IF($R$17="Distrato",$E597,0)),MIN(W$38,$D$19),$P$20))-SUM($P597:V597)</f>
        <v>#VALUE!</v>
      </c>
      <c r="X597" s="446" t="e">
        <f>IF(OR($B597="",MIN(X$38,$D$19)&lt;MAX($P$34*($B597+IF($R$17="Distrato",$I$38-1,0)),IF(AND($L$37=0,$P$34=0),"",$L$37-1),IF($R$17="Distrato",$E597,0))),0,YEARFRAC(MAX($P$34*($B597+IF($R$17="Distrato",$I$38-1,0)),IF(AND($L$37=0,$P$34=0),"",$L$37-1),IF($R$17="Distrato",$E597,0)),MIN(X$38,$D$19),$P$20))-SUM($P597:W597)</f>
        <v>#VALUE!</v>
      </c>
      <c r="Y597" s="446" t="e">
        <f>IF(OR($B597="",MIN(Y$38,$D$19)&lt;MAX($P$34*($B597+IF($R$17="Distrato",$I$38-1,0)),IF(AND($L$37=0,$P$34=0),"",$L$37-1),IF($R$17="Distrato",$E597,0))),0,YEARFRAC(MAX($P$34*($B597+IF($R$17="Distrato",$I$38-1,0)),IF(AND($L$37=0,$P$34=0),"",$L$37-1),IF($R$17="Distrato",$E597,0)),MIN(Y$38,$D$19),$P$20))-SUM($P597:X597)</f>
        <v>#VALUE!</v>
      </c>
      <c r="Z597" s="446" t="e">
        <f>IF(OR($B597="",MIN(Z$38,$D$19)&lt;MAX($P$34*($B597+IF($R$17="Distrato",$I$38-1,0)),IF(AND($L$37=0,$P$34=0),"",$L$37-1),IF($R$17="Distrato",$E597,0))),0,YEARFRAC(MAX($P$34*($B597+IF($R$17="Distrato",$I$38-1,0)),IF(AND($L$37=0,$P$34=0),"",$L$37-1),IF($R$17="Distrato",$E597,0)),MIN(Z$38,$D$19),$P$20))-SUM($P597:Y597)</f>
        <v>#VALUE!</v>
      </c>
      <c r="AA597" s="446" t="e">
        <f>IF(OR($B597="",MIN(AA$38,$D$19)&lt;MAX($P$34*($B597+IF($R$17="Distrato",$I$38-1,0)),IF(AND($L$37=0,$P$34=0),"",$L$37-1),IF($R$17="Distrato",$E597,0))),0,YEARFRAC(MAX($P$34*($B597+IF($R$17="Distrato",$I$38-1,0)),IF(AND($L$37=0,$P$34=0),"",$L$37-1),IF($R$17="Distrato",$E597,0)),MIN(AA$38,$D$19),$P$20))-SUM($P597:Z597)</f>
        <v>#VALUE!</v>
      </c>
      <c r="AB597" s="446" t="e">
        <f>IF(OR($B597="",MIN(AB$38,$D$19)&lt;MAX($P$34*($B597+IF($R$17="Distrato",$I$38-1,0)),IF(AND($L$37=0,$P$34=0),"",$L$37-1),IF($R$17="Distrato",$E597,0))),0,YEARFRAC(MAX($P$34*($B597+IF($R$17="Distrato",$I$38-1,0)),IF(AND($L$37=0,$P$34=0),"",$L$37-1),IF($R$17="Distrato",$E597,0)),MIN(AB$38,$D$19),$P$20))-SUM($P597:AA597)</f>
        <v>#VALUE!</v>
      </c>
      <c r="AC597" s="446" t="e">
        <f>IF(OR($B597="",MIN(AC$38,$D$19)&lt;MAX($P$34*($B597+IF($R$17="Distrato",$I$38-1,0)),IF(AND($L$37=0,$P$34=0),"",$L$37-1),IF($R$17="Distrato",$E597,0))),0,YEARFRAC(MAX($P$34*($B597+IF($R$17="Distrato",$I$38-1,0)),IF(AND($L$37=0,$P$34=0),"",$L$37-1),IF($R$17="Distrato",$E597,0)),MIN(AC$38,$D$19),$P$20))-SUM($P597:AB597)</f>
        <v>#VALUE!</v>
      </c>
      <c r="AD597" s="446" t="e">
        <f>IF(OR($B597="",MIN(AD$38,$D$19)&lt;MAX($P$34*($B597+IF($R$17="Distrato",$I$38-1,0)),IF(AND($L$37=0,$P$34=0),"",$L$37-1),IF($R$17="Distrato",$E597,0))),0,YEARFRAC(MAX($P$34*($B597+IF($R$17="Distrato",$I$38-1,0)),IF(AND($L$37=0,$P$34=0),"",$L$37-1),IF($R$17="Distrato",$E597,0)),MIN(AD$38,$D$19),$P$20))-SUM($P597:AC597)</f>
        <v>#VALUE!</v>
      </c>
      <c r="AE597" s="446" t="e">
        <f>IF(OR($B597="",MIN(AE$38,$D$19)&lt;MAX($P$34*($B597+IF($R$17="Distrato",$I$38-1,0)),IF(AND($L$37=0,$P$34=0),"",$L$37-1),IF($R$17="Distrato",$E597,0))),0,YEARFRAC(MAX($P$34*($B597+IF($R$17="Distrato",$I$38-1,0)),IF(AND($L$37=0,$P$34=0),"",$L$37-1),IF($R$17="Distrato",$E597,0)),MIN(AE$38,$D$19),$P$20))-SUM($P597:AD597)</f>
        <v>#VALUE!</v>
      </c>
      <c r="AF597" s="446" t="e">
        <f>IF(OR($B597="",MIN(AF$38,$D$19)&lt;MAX($P$34*($B597+IF($R$17="Distrato",$I$38-1,0)),IF(AND($L$37=0,$P$34=0),"",$L$37-1),IF($R$17="Distrato",$E597,0))),0,YEARFRAC(MAX($P$34*($B597+IF($R$17="Distrato",$I$38-1,0)),IF(AND($L$37=0,$P$34=0),"",$L$37-1),IF($R$17="Distrato",$E597,0)),MIN(AF$38,$D$19),$P$20))-SUM($P597:AE597)</f>
        <v>#VALUE!</v>
      </c>
      <c r="AG597" s="446" t="e">
        <f>IF(OR($B597="",MIN(AG$38,$D$19)&lt;MAX($P$34*($B597+IF($R$17="Distrato",$I$38-1,0)),IF(AND($L$37=0,$P$34=0),"",$L$37-1),IF($R$17="Distrato",$E597,0))),0,YEARFRAC(MAX($P$34*($B597+IF($R$17="Distrato",$I$38-1,0)),IF(AND($L$37=0,$P$34=0),"",$L$37-1),IF($R$17="Distrato",$E597,0)),MIN(AG$38,$D$19),$P$20))-SUM($P597:AF597)</f>
        <v>#VALUE!</v>
      </c>
      <c r="AH597" s="446" t="e">
        <f>IF(OR($B597="",MIN(AH$38,$D$19)&lt;MAX($P$34*($B597+IF($R$17="Distrato",$I$38-1,0)),IF(AND($L$37=0,$P$34=0),"",$L$37-1),IF($R$17="Distrato",$E597,0))),0,YEARFRAC(MAX($P$34*($B597+IF($R$17="Distrato",$I$38-1,0)),IF(AND($L$37=0,$P$34=0),"",$L$37-1),IF($R$17="Distrato",$E597,0)),MIN(AH$38,$D$19),$P$20))-SUM($P597:AG597)</f>
        <v>#VALUE!</v>
      </c>
      <c r="AI597" s="446" t="e">
        <f>IF(OR($B597="",MIN(AI$38,$D$19)&lt;MAX($P$34*($B597+IF($R$17="Distrato",$I$38-1,0)),IF(AND($L$37=0,$P$34=0),"",$L$37-1),IF($R$17="Distrato",$E597,0))),0,YEARFRAC(MAX($P$34*($B597+IF($R$17="Distrato",$I$38-1,0)),IF(AND($L$37=0,$P$34=0),"",$L$37-1),IF($R$17="Distrato",$E597,0)),MIN(AI$38,$D$19),$P$20))-SUM($P597:AH597)</f>
        <v>#VALUE!</v>
      </c>
      <c r="AJ597" s="446" t="e">
        <f>IF(OR($B597="",MIN(AJ$38,$D$19)&lt;MAX($P$34*($B597+IF($R$17="Distrato",$I$38-1,0)),IF(AND($L$37=0,$P$34=0),"",$L$37-1),IF($R$17="Distrato",$E597,0))),0,YEARFRAC(MAX($P$34*($B597+IF($R$17="Distrato",$I$38-1,0)),IF(AND($L$37=0,$P$34=0),"",$L$37-1),IF($R$17="Distrato",$E597,0)),MIN(AJ$38,$D$19),$P$20))-SUM($P597:AI597)</f>
        <v>#VALUE!</v>
      </c>
      <c r="AK597" s="446" t="e">
        <f>IF(OR($B597="",MIN(AK$38,$D$19)&lt;MAX($P$34*($B597+IF($R$17="Distrato",$I$38-1,0)),IF(AND($L$37=0,$P$34=0),"",$L$37-1),IF($R$17="Distrato",$E597,0))),0,YEARFRAC(MAX($P$34*($B597+IF($R$17="Distrato",$I$38-1,0)),IF(AND($L$37=0,$P$34=0),"",$L$37-1),IF($R$17="Distrato",$E597,0)),MIN(AK$38,$D$19),$P$20))-SUM($P597:AJ597)</f>
        <v>#VALUE!</v>
      </c>
      <c r="AL597" s="446" t="e">
        <f>IF(OR($B597="",MIN(AL$38,$D$19)&lt;MAX($P$34*($B597+IF($R$17="Distrato",$I$38-1,0)),IF(AND($L$37=0,$P$34=0),"",$L$37-1),IF($R$17="Distrato",$E597,0))),0,YEARFRAC(MAX($P$34*($B597+IF($R$17="Distrato",$I$38-1,0)),IF(AND($L$37=0,$P$34=0),"",$L$37-1),IF($R$17="Distrato",$E597,0)),MIN(AL$38,$D$19),$P$20))-SUM($P597:AK597)</f>
        <v>#VALUE!</v>
      </c>
      <c r="AM597" s="446" t="e">
        <f>IF(OR($B597="",MIN(AM$38,$D$19)&lt;MAX($P$34*($B597+IF($R$17="Distrato",$I$38-1,0)),IF(AND($L$37=0,$P$34=0),"",$L$37-1),IF($R$17="Distrato",$E597,0))),0,YEARFRAC(MAX($P$34*($B597+IF($R$17="Distrato",$I$38-1,0)),IF(AND($L$37=0,$P$34=0),"",$L$37-1),IF($R$17="Distrato",$E597,0)),MIN(AM$38,$D$19),$P$20))-SUM($P597:AL597)</f>
        <v>#VALUE!</v>
      </c>
      <c r="AN597" s="446" t="e">
        <f>IF(OR($B597="",MIN(AN$38,$D$19)&lt;MAX($P$34*($B597+IF($R$17="Distrato",$I$38-1,0)),IF(AND($L$37=0,$P$34=0),"",$L$37-1),IF($R$17="Distrato",$E597,0))),0,YEARFRAC(MAX($P$34*($B597+IF($R$17="Distrato",$I$38-1,0)),IF(AND($L$37=0,$P$34=0),"",$L$37-1),IF($R$17="Distrato",$E597,0)),MIN(AN$38,$D$19),$P$20))-SUM($P597:AM597)</f>
        <v>#VALUE!</v>
      </c>
      <c r="AO597" s="446" t="e">
        <f>IF(OR($B597="",MIN(AO$38,$D$19)&lt;MAX($P$34*($B597+IF($R$17="Distrato",$I$38-1,0)),IF(AND($L$37=0,$P$34=0),"",$L$37-1),IF($R$17="Distrato",$E597,0))),0,YEARFRAC(MAX($P$34*($B597+IF($R$17="Distrato",$I$38-1,0)),IF(AND($L$37=0,$P$34=0),"",$L$37-1),IF($R$17="Distrato",$E597,0)),MIN(AO$38,$D$19),$P$20))-SUM($P597:AN597)</f>
        <v>#VALUE!</v>
      </c>
      <c r="AP597" s="446" t="e">
        <f>IF(OR($B597="",MIN(AP$38,$D$19)&lt;MAX($P$34*($B597+IF($R$17="Distrato",$I$38-1,0)),IF(AND($L$37=0,$P$34=0),"",$L$37-1),IF($R$17="Distrato",$E597,0))),0,YEARFRAC(MAX($P$34*($B597+IF($R$17="Distrato",$I$38-1,0)),IF(AND($L$37=0,$P$34=0),"",$L$37-1),IF($R$17="Distrato",$E597,0)),MIN(AP$38,$D$19),$P$20))-SUM($P597:AO597)</f>
        <v>#VALUE!</v>
      </c>
      <c r="AQ597" s="446" t="e">
        <f>IF(OR($B597="",MIN(AQ$38,$D$19)&lt;MAX($P$34*($B597+IF($R$17="Distrato",$I$38-1,0)),IF(AND($L$37=0,$P$34=0),"",$L$37-1),IF($R$17="Distrato",$E597,0))),0,YEARFRAC(MAX($P$34*($B597+IF($R$17="Distrato",$I$38-1,0)),IF(AND($L$37=0,$P$34=0),"",$L$37-1),IF($R$17="Distrato",$E597,0)),MIN(AQ$38,$D$19),$P$20))-SUM($P597:AP597)</f>
        <v>#VALUE!</v>
      </c>
      <c r="AR597" s="446" t="e">
        <f>IF(OR($B597="",MIN(AR$38,$D$19)&lt;MAX($P$34*($B597+IF($R$17="Distrato",$I$38-1,0)),IF(AND($L$37=0,$P$34=0),"",$L$37-1),IF($R$17="Distrato",$E597,0))),0,YEARFRAC(MAX($P$34*($B597+IF($R$17="Distrato",$I$38-1,0)),IF(AND($L$37=0,$P$34=0),"",$L$37-1),IF($R$17="Distrato",$E597,0)),MIN(AR$38,$D$19),$P$20))-SUM($P597:AQ597)</f>
        <v>#VALUE!</v>
      </c>
      <c r="AS597" s="446" t="e">
        <f>IF(OR($B597="",MIN(AS$38,$D$19)&lt;MAX($P$34*($B597+IF($R$17="Distrato",$I$38-1,0)),IF(AND($L$37=0,$P$34=0),"",$L$37-1),IF($R$17="Distrato",$E597,0))),0,YEARFRAC(MAX($P$34*($B597+IF($R$17="Distrato",$I$38-1,0)),IF(AND($L$37=0,$P$34=0),"",$L$37-1),IF($R$17="Distrato",$E597,0)),MIN(AS$38,$D$19),$P$20))-SUM($P597:AR597)</f>
        <v>#VALUE!</v>
      </c>
      <c r="AT597" s="446" t="e">
        <f>IF(OR($B597="",MIN(AT$38,$D$19)&lt;MAX($P$34*($B597+IF($R$17="Distrato",$I$38-1,0)),IF(AND($L$37=0,$P$34=0),"",$L$37-1),IF($R$17="Distrato",$E597,0))),0,YEARFRAC(MAX($P$34*($B597+IF($R$17="Distrato",$I$38-1,0)),IF(AND($L$37=0,$P$34=0),"",$L$37-1),IF($R$17="Distrato",$E597,0)),MIN(AT$38,$D$19),$P$20))-SUM($P597:AS597)</f>
        <v>#VALUE!</v>
      </c>
      <c r="AU597" s="446" t="e">
        <f>IF(OR($B597="",MIN(AU$38,$D$19)&lt;MAX($P$34*($B597+IF($R$17="Distrato",$I$38-1,0)),IF(AND($L$37=0,$P$34=0),"",$L$37-1),IF($R$17="Distrato",$E597,0))),0,YEARFRAC(MAX($P$34*($B597+IF($R$17="Distrato",$I$38-1,0)),IF(AND($L$37=0,$P$34=0),"",$L$37-1),IF($R$17="Distrato",$E597,0)),MIN(AU$38,$D$19),$P$20))-SUM($P597:AT597)</f>
        <v>#VALUE!</v>
      </c>
      <c r="AV597" s="446" t="e">
        <f>IF(OR($B597="",MIN(AV$38,$D$19)&lt;MAX($P$34*($B597+IF($R$17="Distrato",$I$38-1,0)),IF(AND($L$37=0,$P$34=0),"",$L$37-1),IF($R$17="Distrato",$E597,0))),0,YEARFRAC(MAX($P$34*($B597+IF($R$17="Distrato",$I$38-1,0)),IF(AND($L$37=0,$P$34=0),"",$L$37-1),IF($R$17="Distrato",$E597,0)),MIN(AV$38,$D$19),$P$20))-SUM($P597:AU597)</f>
        <v>#VALUE!</v>
      </c>
      <c r="AW597" s="446" t="e">
        <f>IF(OR($B597="",MIN(AW$38,$D$19)&lt;MAX($P$34*($B597+IF($R$17="Distrato",$I$38-1,0)),IF(AND($L$37=0,$P$34=0),"",$L$37-1),IF($R$17="Distrato",$E597,0))),0,YEARFRAC(MAX($P$34*($B597+IF($R$17="Distrato",$I$38-1,0)),IF(AND($L$37=0,$P$34=0),"",$L$37-1),IF($R$17="Distrato",$E597,0)),MIN(AW$38,$D$19),$P$20))-SUM($P597:AV597)</f>
        <v>#VALUE!</v>
      </c>
      <c r="AX597" s="446" t="e">
        <f>IF(OR($B597="",MIN(AX$38,$D$19)&lt;MAX($P$34*($B597+IF($R$17="Distrato",$I$38-1,0)),IF(AND($L$37=0,$P$34=0),"",$L$37-1),IF($R$17="Distrato",$E597,0))),0,YEARFRAC(MAX($P$34*($B597+IF($R$17="Distrato",$I$38-1,0)),IF(AND($L$37=0,$P$34=0),"",$L$37-1),IF($R$17="Distrato",$E597,0)),MIN(AX$38,$D$19),$P$20))-SUM($P597:AW597)</f>
        <v>#VALUE!</v>
      </c>
      <c r="AY597" s="446" t="e">
        <f>IF(OR($B597="",MIN(AY$38,$D$19)&lt;MAX($P$34*($B597+IF($R$17="Distrato",$I$38-1,0)),IF(AND($L$37=0,$P$34=0),"",$L$37-1),IF($R$17="Distrato",$E597,0))),0,YEARFRAC(MAX($P$34*($B597+IF($R$17="Distrato",$I$38-1,0)),IF(AND($L$37=0,$P$34=0),"",$L$37-1),IF($R$17="Distrato",$E597,0)),MIN(AY$38,$D$19),$P$20))-SUM($P597:AX597)</f>
        <v>#VALUE!</v>
      </c>
      <c r="AZ597" s="446" t="e">
        <f>IF(OR($B597="",MIN(AZ$38,$D$19)&lt;MAX($P$34*($B597+IF($R$17="Distrato",$I$38-1,0)),IF(AND($L$37=0,$P$34=0),"",$L$37-1),IF($R$17="Distrato",$E597,0))),0,YEARFRAC(MAX($P$34*($B597+IF($R$17="Distrato",$I$38-1,0)),IF(AND($L$37=0,$P$34=0),"",$L$37-1),IF($R$17="Distrato",$E597,0)),MIN(AZ$38,$D$19),$P$20))-SUM($P597:AY597)</f>
        <v>#VALUE!</v>
      </c>
      <c r="BA597" s="446" t="e">
        <f>IF(OR($B597="",MIN(BA$38,$D$19)&lt;MAX($P$34*($B597+IF($R$17="Distrato",$I$38-1,0)),IF(AND($L$37=0,$P$34=0),"",$L$37-1),IF($R$17="Distrato",$E597,0))),0,YEARFRAC(MAX($P$34*($B597+IF($R$17="Distrato",$I$38-1,0)),IF(AND($L$37=0,$P$34=0),"",$L$37-1),IF($R$17="Distrato",$E597,0)),MIN(BA$38,$D$19),$P$20))-SUM($P597:AZ597)</f>
        <v>#VALUE!</v>
      </c>
      <c r="BB597" s="447"/>
      <c r="BF597" s="446">
        <f t="shared" si="98"/>
        <v>0</v>
      </c>
      <c r="BG597" s="446">
        <f>IF($E597=0,0,IF(MIN(BG$38,$E597)&lt;MAX($P$34*($B597+$I$38-1),IF(AND($L$37=0,$P$34=0),"",$L$37-1)),0,YEARFRAC(MAX($P$34*($B597+$I$38-1),IF(AND($L$37=0,$P$34=0),"",$L$37-1)),MIN(BG$38,$E597),$P$20))-SUM($BF597:BF597))</f>
        <v>0</v>
      </c>
      <c r="BH597" s="446">
        <f>IF($E597=0,0,IF(MIN(BH$38,$E597)&lt;MAX($P$34*($B597+$I$38-1),IF(AND($L$37=0,$P$34=0),"",$L$37-1)),0,YEARFRAC(MAX($P$34*($B597+$I$38-1),IF(AND($L$37=0,$P$34=0),"",$L$37-1)),MIN(BH$38,$E597),$P$20))-SUM($BF597:BG597))</f>
        <v>0</v>
      </c>
      <c r="BI597" s="446">
        <f>IF($E597=0,0,IF(MIN(BI$38,$E597)&lt;MAX($P$34*($B597+$I$38-1),IF(AND($L$37=0,$P$34=0),"",$L$37-1)),0,YEARFRAC(MAX($P$34*($B597+$I$38-1),IF(AND($L$37=0,$P$34=0),"",$L$37-1)),MIN(BI$38,$E597),$P$20))-SUM($BF597:BH597))</f>
        <v>0</v>
      </c>
      <c r="BJ597" s="446">
        <f>IF($E597=0,0,IF(MIN(BJ$38,$E597)&lt;MAX($P$34*($B597+$I$38-1),IF(AND($L$37=0,$P$34=0),"",$L$37-1)),0,YEARFRAC(MAX($P$34*($B597+$I$38-1),IF(AND($L$37=0,$P$34=0),"",$L$37-1)),MIN(BJ$38,$E597),$P$20))-SUM($BF597:BI597))</f>
        <v>0</v>
      </c>
      <c r="BK597" s="446">
        <f>IF($E597=0,0,IF(MIN(BK$38,$E597)&lt;MAX($P$34*($B597+$I$38-1),IF(AND($L$37=0,$P$34=0),"",$L$37-1)),0,YEARFRAC(MAX($P$34*($B597+$I$38-1),IF(AND($L$37=0,$P$34=0),"",$L$37-1)),MIN(BK$38,$E597),$P$20))-SUM($BF597:BJ597))</f>
        <v>0</v>
      </c>
      <c r="BL597" s="446">
        <f>IF($E597=0,0,IF(MIN(BL$38,$E597)&lt;MAX($P$34*($B597+$I$38-1),IF(AND($L$37=0,$P$34=0),"",$L$37-1)),0,YEARFRAC(MAX($P$34*($B597+$I$38-1),IF(AND($L$37=0,$P$34=0),"",$L$37-1)),MIN(BL$38,$E597),$P$20))-SUM($BF597:BK597))</f>
        <v>0</v>
      </c>
      <c r="BM597" s="446">
        <f>IF($E597=0,0,IF(MIN(BM$38,$E597)&lt;MAX($P$34*($B597+$I$38-1),IF(AND($L$37=0,$P$34=0),"",$L$37-1)),0,YEARFRAC(MAX($P$34*($B597+$I$38-1),IF(AND($L$37=0,$P$34=0),"",$L$37-1)),MIN(BM$38,$E597),$P$20))-SUM($BF597:BL597))</f>
        <v>0</v>
      </c>
      <c r="BN597" s="446">
        <f>IF($E597=0,0,IF(MIN(BN$38,$E597)&lt;MAX($P$34*($B597+$I$38-1),IF(AND($L$37=0,$P$34=0),"",$L$37-1)),0,YEARFRAC(MAX($P$34*($B597+$I$38-1),IF(AND($L$37=0,$P$34=0),"",$L$37-1)),MIN(BN$38,$E597),$P$20))-SUM($BF597:BM597))</f>
        <v>0</v>
      </c>
      <c r="BO597" s="446">
        <f>IF($E597=0,0,IF(MIN(BO$38,$E597)&lt;MAX($P$34*($B597+$I$38-1),IF(AND($L$37=0,$P$34=0),"",$L$37-1)),0,YEARFRAC(MAX($P$34*($B597+$I$38-1),IF(AND($L$37=0,$P$34=0),"",$L$37-1)),MIN(BO$38,$E597),$P$20))-SUM($BF597:BN597))</f>
        <v>0</v>
      </c>
      <c r="BP597" s="446">
        <f>IF($E597=0,0,IF(MIN(BP$38,$E597)&lt;MAX($P$34*($B597+$I$38-1),IF(AND($L$37=0,$P$34=0),"",$L$37-1)),0,YEARFRAC(MAX($P$34*($B597+$I$38-1),IF(AND($L$37=0,$P$34=0),"",$L$37-1)),MIN(BP$38,$E597),$P$20))-SUM($BF597:BO597))</f>
        <v>0</v>
      </c>
      <c r="BQ597" s="446">
        <f>IF($E597=0,0,IF(MIN(BQ$38,$E597)&lt;MAX($P$34*($B597+$I$38-1),IF(AND($L$37=0,$P$34=0),"",$L$37-1)),0,YEARFRAC(MAX($P$34*($B597+$I$38-1),IF(AND($L$37=0,$P$34=0),"",$L$37-1)),MIN(BQ$38,$E597),$P$20))-SUM($BF597:BP597))</f>
        <v>0</v>
      </c>
      <c r="BR597" s="446">
        <f>IF($E597=0,0,IF(MIN(BR$38,$E597)&lt;MAX($P$34*($B597+$I$38-1),IF(AND($L$37=0,$P$34=0),"",$L$37-1)),0,YEARFRAC(MAX($P$34*($B597+$I$38-1),IF(AND($L$37=0,$P$34=0),"",$L$37-1)),MIN(BR$38,$E597),$P$20))-SUM($BF597:BQ597))</f>
        <v>0</v>
      </c>
      <c r="BS597" s="446">
        <f>IF($E597=0,0,IF(MIN(BS$38,$E597)&lt;MAX($P$34*($B597+$I$38-1),IF(AND($L$37=0,$P$34=0),"",$L$37-1)),0,YEARFRAC(MAX($P$34*($B597+$I$38-1),IF(AND($L$37=0,$P$34=0),"",$L$37-1)),MIN(BS$38,$E597),$P$20))-SUM($BF597:BR597))</f>
        <v>0</v>
      </c>
      <c r="BT597" s="446">
        <f>IF($E597=0,0,IF(MIN(BT$38,$E597)&lt;MAX($P$34*($B597+$I$38-1),IF(AND($L$37=0,$P$34=0),"",$L$37-1)),0,YEARFRAC(MAX($P$34*($B597+$I$38-1),IF(AND($L$37=0,$P$34=0),"",$L$37-1)),MIN(BT$38,$E597),$P$20))-SUM($BF597:BS597))</f>
        <v>0</v>
      </c>
      <c r="BU597" s="446">
        <f>IF($E597=0,0,IF(MIN(BU$38,$E597)&lt;MAX($P$34*($B597+$I$38-1),IF(AND($L$37=0,$P$34=0),"",$L$37-1)),0,YEARFRAC(MAX($P$34*($B597+$I$38-1),IF(AND($L$37=0,$P$34=0),"",$L$37-1)),MIN(BU$38,$E597),$P$20))-SUM($BF597:BT597))</f>
        <v>0</v>
      </c>
      <c r="BV597" s="446">
        <f>IF($E597=0,0,IF(MIN(BV$38,$E597)&lt;MAX($P$34*($B597+$I$38-1),IF(AND($L$37=0,$P$34=0),"",$L$37-1)),0,YEARFRAC(MAX($P$34*($B597+$I$38-1),IF(AND($L$37=0,$P$34=0),"",$L$37-1)),MIN(BV$38,$E597),$P$20))-SUM($BF597:BU597))</f>
        <v>0</v>
      </c>
      <c r="BW597" s="446">
        <f>IF($E597=0,0,IF(MIN(BW$38,$E597)&lt;MAX($P$34*($B597+$I$38-1),IF(AND($L$37=0,$P$34=0),"",$L$37-1)),0,YEARFRAC(MAX($P$34*($B597+$I$38-1),IF(AND($L$37=0,$P$34=0),"",$L$37-1)),MIN(BW$38,$E597),$P$20))-SUM($BF597:BV597))</f>
        <v>0</v>
      </c>
      <c r="BX597" s="446">
        <f>IF($E597=0,0,IF(MIN(BX$38,$E597)&lt;MAX($P$34*($B597+$I$38-1),IF(AND($L$37=0,$P$34=0),"",$L$37-1)),0,YEARFRAC(MAX($P$34*($B597+$I$38-1),IF(AND($L$37=0,$P$34=0),"",$L$37-1)),MIN(BX$38,$E597),$P$20))-SUM($BF597:BW597))</f>
        <v>0</v>
      </c>
      <c r="BY597" s="446">
        <f>IF($E597=0,0,IF(MIN(BY$38,$E597)&lt;MAX($P$34*($B597+$I$38-1),IF(AND($L$37=0,$P$34=0),"",$L$37-1)),0,YEARFRAC(MAX($P$34*($B597+$I$38-1),IF(AND($L$37=0,$P$34=0),"",$L$37-1)),MIN(BY$38,$E597),$P$20))-SUM($BF597:BX597))</f>
        <v>0</v>
      </c>
      <c r="BZ597" s="446">
        <f>IF($E597=0,0,IF(MIN(BZ$38,$E597)&lt;MAX($P$34*($B597+$I$38-1),IF(AND($L$37=0,$P$34=0),"",$L$37-1)),0,YEARFRAC(MAX($P$34*($B597+$I$38-1),IF(AND($L$37=0,$P$34=0),"",$L$37-1)),MIN(BZ$38,$E597),$P$20))-SUM($BF597:BY597))</f>
        <v>0</v>
      </c>
      <c r="CA597" s="446">
        <f>IF($E597=0,0,IF(MIN(CA$38,$E597)&lt;MAX($P$34*($B597+$I$38-1),IF(AND($L$37=0,$P$34=0),"",$L$37-1)),0,YEARFRAC(MAX($P$34*($B597+$I$38-1),IF(AND($L$37=0,$P$34=0),"",$L$37-1)),MIN(CA$38,$E597),$P$20))-SUM($BF597:BZ597))</f>
        <v>0</v>
      </c>
      <c r="CB597" s="446">
        <f>IF($E597=0,0,IF(MIN(CB$38,$E597)&lt;MAX($P$34*($B597+$I$38-1),IF(AND($L$37=0,$P$34=0),"",$L$37-1)),0,YEARFRAC(MAX($P$34*($B597+$I$38-1),IF(AND($L$37=0,$P$34=0),"",$L$37-1)),MIN(CB$38,$E597),$P$20))-SUM($BF597:CA597))</f>
        <v>0</v>
      </c>
      <c r="CC597" s="446">
        <f>IF($E597=0,0,IF(MIN(CC$38,$E597)&lt;MAX($P$34*($B597+$I$38-1),IF(AND($L$37=0,$P$34=0),"",$L$37-1)),0,YEARFRAC(MAX($P$34*($B597+$I$38-1),IF(AND($L$37=0,$P$34=0),"",$L$37-1)),MIN(CC$38,$E597),$P$20))-SUM($BF597:CB597))</f>
        <v>0</v>
      </c>
      <c r="CD597" s="446">
        <f>IF($E597=0,0,IF(MIN(CD$38,$E597)&lt;MAX($P$34*($B597+$I$38-1),IF(AND($L$37=0,$P$34=0),"",$L$37-1)),0,YEARFRAC(MAX($P$34*($B597+$I$38-1),IF(AND($L$37=0,$P$34=0),"",$L$37-1)),MIN(CD$38,$E597),$P$20))-SUM($BF597:CC597))</f>
        <v>0</v>
      </c>
      <c r="CE597" s="446">
        <f>IF($E597=0,0,IF(MIN(CE$38,$E597)&lt;MAX($P$34*($B597+$I$38-1),IF(AND($L$37=0,$P$34=0),"",$L$37-1)),0,YEARFRAC(MAX($P$34*($B597+$I$38-1),IF(AND($L$37=0,$P$34=0),"",$L$37-1)),MIN(CE$38,$E597),$P$20))-SUM($BF597:CD597))</f>
        <v>0</v>
      </c>
      <c r="CF597" s="446">
        <f>IF($E597=0,0,IF(MIN(CF$38,$E597)&lt;MAX($P$34*($B597+$I$38-1),IF(AND($L$37=0,$P$34=0),"",$L$37-1)),0,YEARFRAC(MAX($P$34*($B597+$I$38-1),IF(AND($L$37=0,$P$34=0),"",$L$37-1)),MIN(CF$38,$E597),$P$20))-SUM($BF597:CE597))</f>
        <v>0</v>
      </c>
      <c r="CG597" s="446">
        <f>IF($E597=0,0,IF(MIN(CG$38,$E597)&lt;MAX($P$34*($B597+$I$38-1),IF(AND($L$37=0,$P$34=0),"",$L$37-1)),0,YEARFRAC(MAX($P$34*($B597+$I$38-1),IF(AND($L$37=0,$P$34=0),"",$L$37-1)),MIN(CG$38,$E597),$P$20))-SUM($BF597:CF597))</f>
        <v>0</v>
      </c>
      <c r="CH597" s="446">
        <f>IF($E597=0,0,IF(MIN(CH$38,$E597)&lt;MAX($P$34*($B597+$I$38-1),IF(AND($L$37=0,$P$34=0),"",$L$37-1)),0,YEARFRAC(MAX($P$34*($B597+$I$38-1),IF(AND($L$37=0,$P$34=0),"",$L$37-1)),MIN(CH$38,$E597),$P$20))-SUM($BF597:CG597))</f>
        <v>0</v>
      </c>
      <c r="CI597" s="446">
        <f>IF($E597=0,0,IF(MIN(CI$38,$E597)&lt;MAX($P$34*($B597+$I$38-1),IF(AND($L$37=0,$P$34=0),"",$L$37-1)),0,YEARFRAC(MAX($P$34*($B597+$I$38-1),IF(AND($L$37=0,$P$34=0),"",$L$37-1)),MIN(CI$38,$E597),$P$20))-SUM($BF597:CH597))</f>
        <v>0</v>
      </c>
      <c r="CJ597" s="446">
        <f>IF($E597=0,0,IF(MIN(CJ$38,$E597)&lt;MAX($P$34*($B597+$I$38-1),IF(AND($L$37=0,$P$34=0),"",$L$37-1)),0,YEARFRAC(MAX($P$34*($B597+$I$38-1),IF(AND($L$37=0,$P$34=0),"",$L$37-1)),MIN(CJ$38,$E597),$P$20))-SUM($BF597:CI597))</f>
        <v>0</v>
      </c>
      <c r="CK597" s="446">
        <f>IF($E597=0,0,IF(MIN(CK$38,$E597)&lt;MAX($P$34*($B597+$I$38-1),IF(AND($L$37=0,$P$34=0),"",$L$37-1)),0,YEARFRAC(MAX($P$34*($B597+$I$38-1),IF(AND($L$37=0,$P$34=0),"",$L$37-1)),MIN(CK$38,$E597),$P$20))-SUM($BF597:CJ597))</f>
        <v>0</v>
      </c>
      <c r="CL597" s="446">
        <f>IF($E597=0,0,IF(MIN(CL$38,$E597)&lt;MAX($P$34*($B597+$I$38-1),IF(AND($L$37=0,$P$34=0),"",$L$37-1)),0,YEARFRAC(MAX($P$34*($B597+$I$38-1),IF(AND($L$37=0,$P$34=0),"",$L$37-1)),MIN(CL$38,$E597),$P$20))-SUM($BF597:CK597))</f>
        <v>0</v>
      </c>
      <c r="CM597" s="446">
        <f>IF($E597=0,0,IF(MIN(CM$38,$E597)&lt;MAX($P$34*($B597+$I$38-1),IF(AND($L$37=0,$P$34=0),"",$L$37-1)),0,YEARFRAC(MAX($P$34*($B597+$I$38-1),IF(AND($L$37=0,$P$34=0),"",$L$37-1)),MIN(CM$38,$E597),$P$20))-SUM($BF597:CL597))</f>
        <v>0</v>
      </c>
      <c r="CN597" s="446">
        <f>IF($E597=0,0,IF(MIN(CN$38,$E597)&lt;MAX($P$34*($B597+$I$38-1),IF(AND($L$37=0,$P$34=0),"",$L$37-1)),0,YEARFRAC(MAX($P$34*($B597+$I$38-1),IF(AND($L$37=0,$P$34=0),"",$L$37-1)),MIN(CN$38,$E597),$P$20))-SUM($BF597:CM597))</f>
        <v>0</v>
      </c>
      <c r="CO597" s="446">
        <f>IF($E597=0,0,IF(MIN(CO$38,$E597)&lt;MAX($P$34*($B597+$I$38-1),IF(AND($L$37=0,$P$34=0),"",$L$37-1)),0,YEARFRAC(MAX($P$34*($B597+$I$38-1),IF(AND($L$37=0,$P$34=0),"",$L$37-1)),MIN(CO$38,$E597),$P$20))-SUM($BF597:CN597))</f>
        <v>0</v>
      </c>
      <c r="CP597" s="446">
        <f>IF($E597=0,0,IF(MIN(CP$38,$E597)&lt;MAX($P$34*($B597+$I$38-1),IF(AND($L$37=0,$P$34=0),"",$L$37-1)),0,YEARFRAC(MAX($P$34*($B597+$I$38-1),IF(AND($L$37=0,$P$34=0),"",$L$37-1)),MIN(CP$38,$E597),$P$20))-SUM($BF597:CO597))</f>
        <v>0</v>
      </c>
      <c r="CQ597" s="446">
        <f>IF($E597=0,0,IF(MIN(CQ$38,$E597)&lt;MAX($P$34*($B597+$I$38-1),IF(AND($L$37=0,$P$34=0),"",$L$37-1)),0,YEARFRAC(MAX($P$34*($B597+$I$38-1),IF(AND($L$37=0,$P$34=0),"",$L$37-1)),MIN(CQ$38,$E597),$P$20))-SUM($BF597:CP597))</f>
        <v>0</v>
      </c>
    </row>
    <row r="598" spans="1:95" s="446" customFormat="1" ht="11.25" hidden="1" customHeight="1" x14ac:dyDescent="0.2">
      <c r="A598" s="152"/>
      <c r="B598" s="153" t="str">
        <f t="shared" si="103"/>
        <v/>
      </c>
      <c r="C598" s="29" t="str">
        <f>IF(B598="","",IF($L$35="SELIC - TRIBUTOS",VLOOKUP(DATE(YEAR($D$19),MONTH($D$19)-1,1),ÍNDICES!$A:$DE,HLOOKUP($BL$25,ÍNDICES!$B$3:$T$4,2)+11)-VLOOKUP(B598,ÍNDICES!$A:$DE,HLOOKUP($BL$25,ÍNDICES!$B$3:$T$4,2)+11)+1%,IF(C$38=$W$26,$J$35,IF(ISERROR(IF(B598&gt;$D$19,1,VLOOKUP(DATE(YEAR(B598),MONTH(B598)+IF($C$35=$S$23,1,0),1),ÍNDICES!$A:$DE,$Z$35+1))),"",IF(B598&gt;$D$19,1,VLOOKUP(DATE(YEAR(B598),MONTH(B598)+IF($C$35=$S$23,1,0),1),ÍNDICES!$A:$DE,$Z$35+1))))))</f>
        <v/>
      </c>
      <c r="D598" s="154" t="str">
        <f>IF(ISERROR(IF(OR($D$38=$Y$27,$B598=""),"",VLOOKUP(B598,ÍNDICES!A:DE,AF$35+1))),"",IF(OR($D$38=$Y$27,$B598=""),"",VLOOKUP(B598,ÍNDICES!A:DE,AF$35+1)))</f>
        <v/>
      </c>
      <c r="E598" s="153"/>
      <c r="F598" s="29" t="str">
        <f>IF(E598="","",IF($L$35="SELIC - TRIBUTOS",VLOOKUP(DATE(YEAR($D$19),MONTH($D$19)-1,1),ÍNDICES!$A:$DE,HLOOKUP($BL$25,ÍNDICES!$B$3:$T$4,2)+11)-VLOOKUP(E598,ÍNDICES!$A:$DE,HLOOKUP($BL$25,ÍNDICES!$B$3:$T$4,2)+11)+1%,IF(F$38=$W$26,$J$35,IF(ISERROR(IF(E598&gt;$D$19,1,VLOOKUP(DATE(YEAR(E598),MONTH(E598)+IF($C$35=$S$23,1,0),1),ÍNDICES!$A:$DE,$Z$35+1))),"",IF(E598&gt;$D$19,1,VLOOKUP(DATE(YEAR(E598),MONTH(E598)+IF($C$35=$S$23,1,0),1),ÍNDICES!$A:$DE,$Z$35+1))))))</f>
        <v/>
      </c>
      <c r="G598" s="155"/>
      <c r="H598" s="156" t="str">
        <f t="shared" si="99"/>
        <v/>
      </c>
      <c r="I598" s="29" t="str">
        <f t="shared" si="93"/>
        <v/>
      </c>
      <c r="J598" s="5">
        <f t="shared" si="94"/>
        <v>0</v>
      </c>
      <c r="K598" s="20">
        <f t="shared" ca="1" si="95"/>
        <v>0</v>
      </c>
      <c r="L598" s="5">
        <f t="shared" ca="1" si="96"/>
        <v>0</v>
      </c>
      <c r="M598" s="64">
        <f t="shared" si="100"/>
        <v>0</v>
      </c>
      <c r="N598" s="61">
        <f t="shared" ca="1" si="101"/>
        <v>0</v>
      </c>
      <c r="O598" s="5">
        <f t="shared" ca="1" si="102"/>
        <v>0</v>
      </c>
      <c r="P598" s="446" t="e">
        <f t="shared" si="97"/>
        <v>#VALUE!</v>
      </c>
      <c r="Q598" s="446" t="e">
        <f>IF(OR($B598="",MIN(Q$38,$D$19)&lt;MAX($P$34*($B598+IF($R$17="Distrato",$I$38-1,0)),IF(AND($L$37=0,$P$34=0),"",$L$37-1),IF($R$17="Distrato",$E598,0))),0,YEARFRAC(MAX($P$34*($B598+IF($R$17="Distrato",$I$38-1,0)),IF(AND($L$37=0,$P$34=0),"",$L$37-1),IF($R$17="Distrato",$E598,0)),MIN(Q$38,$D$19),$P$20))-SUM($P598:P598)</f>
        <v>#VALUE!</v>
      </c>
      <c r="R598" s="446" t="e">
        <f>IF(OR($B598="",MIN(R$38,$D$19)&lt;MAX($P$34*($B598+IF($R$17="Distrato",$I$38-1,0)),IF(AND($L$37=0,$P$34=0),"",$L$37-1),IF($R$17="Distrato",$E598,0))),0,YEARFRAC(MAX($P$34*($B598+IF($R$17="Distrato",$I$38-1,0)),IF(AND($L$37=0,$P$34=0),"",$L$37-1),IF($R$17="Distrato",$E598,0)),MIN(R$38,$D$19),$P$20))-SUM($P598:Q598)</f>
        <v>#VALUE!</v>
      </c>
      <c r="S598" s="446" t="e">
        <f>IF(OR($B598="",MIN(S$38,$D$19)&lt;MAX($P$34*($B598+IF($R$17="Distrato",$I$38-1,0)),IF(AND($L$37=0,$P$34=0),"",$L$37-1),IF($R$17="Distrato",$E598,0))),0,YEARFRAC(MAX($P$34*($B598+IF($R$17="Distrato",$I$38-1,0)),IF(AND($L$37=0,$P$34=0),"",$L$37-1),IF($R$17="Distrato",$E598,0)),MIN(S$38,$D$19),$P$20))-SUM($P598:R598)</f>
        <v>#VALUE!</v>
      </c>
      <c r="T598" s="446" t="e">
        <f>IF(OR($B598="",MIN(T$38,$D$19)&lt;MAX($P$34*($B598+IF($R$17="Distrato",$I$38-1,0)),IF(AND($L$37=0,$P$34=0),"",$L$37-1),IF($R$17="Distrato",$E598,0))),0,YEARFRAC(MAX($P$34*($B598+IF($R$17="Distrato",$I$38-1,0)),IF(AND($L$37=0,$P$34=0),"",$L$37-1),IF($R$17="Distrato",$E598,0)),MIN(T$38,$D$19),$P$20))-SUM($P598:S598)</f>
        <v>#VALUE!</v>
      </c>
      <c r="U598" s="446" t="e">
        <f>IF(OR($B598="",MIN(U$38,$D$19)&lt;MAX($P$34*($B598+IF($R$17="Distrato",$I$38-1,0)),IF(AND($L$37=0,$P$34=0),"",$L$37-1),IF($R$17="Distrato",$E598,0))),0,YEARFRAC(MAX($P$34*($B598+IF($R$17="Distrato",$I$38-1,0)),IF(AND($L$37=0,$P$34=0),"",$L$37-1),IF($R$17="Distrato",$E598,0)),MIN(U$38,$D$19),$P$20))-SUM($P598:T598)</f>
        <v>#VALUE!</v>
      </c>
      <c r="V598" s="446" t="e">
        <f>IF(OR($B598="",MIN(V$38,$D$19)&lt;MAX($P$34*($B598+IF($R$17="Distrato",$I$38-1,0)),IF(AND($L$37=0,$P$34=0),"",$L$37-1),IF($R$17="Distrato",$E598,0))),0,YEARFRAC(MAX($P$34*($B598+IF($R$17="Distrato",$I$38-1,0)),IF(AND($L$37=0,$P$34=0),"",$L$37-1),IF($R$17="Distrato",$E598,0)),MIN(V$38,$D$19),$P$20))-SUM($P598:U598)</f>
        <v>#VALUE!</v>
      </c>
      <c r="W598" s="446" t="e">
        <f>IF(OR($B598="",MIN(W$38,$D$19)&lt;MAX($P$34*($B598+IF($R$17="Distrato",$I$38-1,0)),IF(AND($L$37=0,$P$34=0),"",$L$37-1),IF($R$17="Distrato",$E598,0))),0,YEARFRAC(MAX($P$34*($B598+IF($R$17="Distrato",$I$38-1,0)),IF(AND($L$37=0,$P$34=0),"",$L$37-1),IF($R$17="Distrato",$E598,0)),MIN(W$38,$D$19),$P$20))-SUM($P598:V598)</f>
        <v>#VALUE!</v>
      </c>
      <c r="X598" s="446" t="e">
        <f>IF(OR($B598="",MIN(X$38,$D$19)&lt;MAX($P$34*($B598+IF($R$17="Distrato",$I$38-1,0)),IF(AND($L$37=0,$P$34=0),"",$L$37-1),IF($R$17="Distrato",$E598,0))),0,YEARFRAC(MAX($P$34*($B598+IF($R$17="Distrato",$I$38-1,0)),IF(AND($L$37=0,$P$34=0),"",$L$37-1),IF($R$17="Distrato",$E598,0)),MIN(X$38,$D$19),$P$20))-SUM($P598:W598)</f>
        <v>#VALUE!</v>
      </c>
      <c r="Y598" s="446" t="e">
        <f>IF(OR($B598="",MIN(Y$38,$D$19)&lt;MAX($P$34*($B598+IF($R$17="Distrato",$I$38-1,0)),IF(AND($L$37=0,$P$34=0),"",$L$37-1),IF($R$17="Distrato",$E598,0))),0,YEARFRAC(MAX($P$34*($B598+IF($R$17="Distrato",$I$38-1,0)),IF(AND($L$37=0,$P$34=0),"",$L$37-1),IF($R$17="Distrato",$E598,0)),MIN(Y$38,$D$19),$P$20))-SUM($P598:X598)</f>
        <v>#VALUE!</v>
      </c>
      <c r="Z598" s="446" t="e">
        <f>IF(OR($B598="",MIN(Z$38,$D$19)&lt;MAX($P$34*($B598+IF($R$17="Distrato",$I$38-1,0)),IF(AND($L$37=0,$P$34=0),"",$L$37-1),IF($R$17="Distrato",$E598,0))),0,YEARFRAC(MAX($P$34*($B598+IF($R$17="Distrato",$I$38-1,0)),IF(AND($L$37=0,$P$34=0),"",$L$37-1),IF($R$17="Distrato",$E598,0)),MIN(Z$38,$D$19),$P$20))-SUM($P598:Y598)</f>
        <v>#VALUE!</v>
      </c>
      <c r="AA598" s="446" t="e">
        <f>IF(OR($B598="",MIN(AA$38,$D$19)&lt;MAX($P$34*($B598+IF($R$17="Distrato",$I$38-1,0)),IF(AND($L$37=0,$P$34=0),"",$L$37-1),IF($R$17="Distrato",$E598,0))),0,YEARFRAC(MAX($P$34*($B598+IF($R$17="Distrato",$I$38-1,0)),IF(AND($L$37=0,$P$34=0),"",$L$37-1),IF($R$17="Distrato",$E598,0)),MIN(AA$38,$D$19),$P$20))-SUM($P598:Z598)</f>
        <v>#VALUE!</v>
      </c>
      <c r="AB598" s="446" t="e">
        <f>IF(OR($B598="",MIN(AB$38,$D$19)&lt;MAX($P$34*($B598+IF($R$17="Distrato",$I$38-1,0)),IF(AND($L$37=0,$P$34=0),"",$L$37-1),IF($R$17="Distrato",$E598,0))),0,YEARFRAC(MAX($P$34*($B598+IF($R$17="Distrato",$I$38-1,0)),IF(AND($L$37=0,$P$34=0),"",$L$37-1),IF($R$17="Distrato",$E598,0)),MIN(AB$38,$D$19),$P$20))-SUM($P598:AA598)</f>
        <v>#VALUE!</v>
      </c>
      <c r="AC598" s="446" t="e">
        <f>IF(OR($B598="",MIN(AC$38,$D$19)&lt;MAX($P$34*($B598+IF($R$17="Distrato",$I$38-1,0)),IF(AND($L$37=0,$P$34=0),"",$L$37-1),IF($R$17="Distrato",$E598,0))),0,YEARFRAC(MAX($P$34*($B598+IF($R$17="Distrato",$I$38-1,0)),IF(AND($L$37=0,$P$34=0),"",$L$37-1),IF($R$17="Distrato",$E598,0)),MIN(AC$38,$D$19),$P$20))-SUM($P598:AB598)</f>
        <v>#VALUE!</v>
      </c>
      <c r="AD598" s="446" t="e">
        <f>IF(OR($B598="",MIN(AD$38,$D$19)&lt;MAX($P$34*($B598+IF($R$17="Distrato",$I$38-1,0)),IF(AND($L$37=0,$P$34=0),"",$L$37-1),IF($R$17="Distrato",$E598,0))),0,YEARFRAC(MAX($P$34*($B598+IF($R$17="Distrato",$I$38-1,0)),IF(AND($L$37=0,$P$34=0),"",$L$37-1),IF($R$17="Distrato",$E598,0)),MIN(AD$38,$D$19),$P$20))-SUM($P598:AC598)</f>
        <v>#VALUE!</v>
      </c>
      <c r="AE598" s="446" t="e">
        <f>IF(OR($B598="",MIN(AE$38,$D$19)&lt;MAX($P$34*($B598+IF($R$17="Distrato",$I$38-1,0)),IF(AND($L$37=0,$P$34=0),"",$L$37-1),IF($R$17="Distrato",$E598,0))),0,YEARFRAC(MAX($P$34*($B598+IF($R$17="Distrato",$I$38-1,0)),IF(AND($L$37=0,$P$34=0),"",$L$37-1),IF($R$17="Distrato",$E598,0)),MIN(AE$38,$D$19),$P$20))-SUM($P598:AD598)</f>
        <v>#VALUE!</v>
      </c>
      <c r="AF598" s="446" t="e">
        <f>IF(OR($B598="",MIN(AF$38,$D$19)&lt;MAX($P$34*($B598+IF($R$17="Distrato",$I$38-1,0)),IF(AND($L$37=0,$P$34=0),"",$L$37-1),IF($R$17="Distrato",$E598,0))),0,YEARFRAC(MAX($P$34*($B598+IF($R$17="Distrato",$I$38-1,0)),IF(AND($L$37=0,$P$34=0),"",$L$37-1),IF($R$17="Distrato",$E598,0)),MIN(AF$38,$D$19),$P$20))-SUM($P598:AE598)</f>
        <v>#VALUE!</v>
      </c>
      <c r="AG598" s="446" t="e">
        <f>IF(OR($B598="",MIN(AG$38,$D$19)&lt;MAX($P$34*($B598+IF($R$17="Distrato",$I$38-1,0)),IF(AND($L$37=0,$P$34=0),"",$L$37-1),IF($R$17="Distrato",$E598,0))),0,YEARFRAC(MAX($P$34*($B598+IF($R$17="Distrato",$I$38-1,0)),IF(AND($L$37=0,$P$34=0),"",$L$37-1),IF($R$17="Distrato",$E598,0)),MIN(AG$38,$D$19),$P$20))-SUM($P598:AF598)</f>
        <v>#VALUE!</v>
      </c>
      <c r="AH598" s="446" t="e">
        <f>IF(OR($B598="",MIN(AH$38,$D$19)&lt;MAX($P$34*($B598+IF($R$17="Distrato",$I$38-1,0)),IF(AND($L$37=0,$P$34=0),"",$L$37-1),IF($R$17="Distrato",$E598,0))),0,YEARFRAC(MAX($P$34*($B598+IF($R$17="Distrato",$I$38-1,0)),IF(AND($L$37=0,$P$34=0),"",$L$37-1),IF($R$17="Distrato",$E598,0)),MIN(AH$38,$D$19),$P$20))-SUM($P598:AG598)</f>
        <v>#VALUE!</v>
      </c>
      <c r="AI598" s="446" t="e">
        <f>IF(OR($B598="",MIN(AI$38,$D$19)&lt;MAX($P$34*($B598+IF($R$17="Distrato",$I$38-1,0)),IF(AND($L$37=0,$P$34=0),"",$L$37-1),IF($R$17="Distrato",$E598,0))),0,YEARFRAC(MAX($P$34*($B598+IF($R$17="Distrato",$I$38-1,0)),IF(AND($L$37=0,$P$34=0),"",$L$37-1),IF($R$17="Distrato",$E598,0)),MIN(AI$38,$D$19),$P$20))-SUM($P598:AH598)</f>
        <v>#VALUE!</v>
      </c>
      <c r="AJ598" s="446" t="e">
        <f>IF(OR($B598="",MIN(AJ$38,$D$19)&lt;MAX($P$34*($B598+IF($R$17="Distrato",$I$38-1,0)),IF(AND($L$37=0,$P$34=0),"",$L$37-1),IF($R$17="Distrato",$E598,0))),0,YEARFRAC(MAX($P$34*($B598+IF($R$17="Distrato",$I$38-1,0)),IF(AND($L$37=0,$P$34=0),"",$L$37-1),IF($R$17="Distrato",$E598,0)),MIN(AJ$38,$D$19),$P$20))-SUM($P598:AI598)</f>
        <v>#VALUE!</v>
      </c>
      <c r="AK598" s="446" t="e">
        <f>IF(OR($B598="",MIN(AK$38,$D$19)&lt;MAX($P$34*($B598+IF($R$17="Distrato",$I$38-1,0)),IF(AND($L$37=0,$P$34=0),"",$L$37-1),IF($R$17="Distrato",$E598,0))),0,YEARFRAC(MAX($P$34*($B598+IF($R$17="Distrato",$I$38-1,0)),IF(AND($L$37=0,$P$34=0),"",$L$37-1),IF($R$17="Distrato",$E598,0)),MIN(AK$38,$D$19),$P$20))-SUM($P598:AJ598)</f>
        <v>#VALUE!</v>
      </c>
      <c r="AL598" s="446" t="e">
        <f>IF(OR($B598="",MIN(AL$38,$D$19)&lt;MAX($P$34*($B598+IF($R$17="Distrato",$I$38-1,0)),IF(AND($L$37=0,$P$34=0),"",$L$37-1),IF($R$17="Distrato",$E598,0))),0,YEARFRAC(MAX($P$34*($B598+IF($R$17="Distrato",$I$38-1,0)),IF(AND($L$37=0,$P$34=0),"",$L$37-1),IF($R$17="Distrato",$E598,0)),MIN(AL$38,$D$19),$P$20))-SUM($P598:AK598)</f>
        <v>#VALUE!</v>
      </c>
      <c r="AM598" s="446" t="e">
        <f>IF(OR($B598="",MIN(AM$38,$D$19)&lt;MAX($P$34*($B598+IF($R$17="Distrato",$I$38-1,0)),IF(AND($L$37=0,$P$34=0),"",$L$37-1),IF($R$17="Distrato",$E598,0))),0,YEARFRAC(MAX($P$34*($B598+IF($R$17="Distrato",$I$38-1,0)),IF(AND($L$37=0,$P$34=0),"",$L$37-1),IF($R$17="Distrato",$E598,0)),MIN(AM$38,$D$19),$P$20))-SUM($P598:AL598)</f>
        <v>#VALUE!</v>
      </c>
      <c r="AN598" s="446" t="e">
        <f>IF(OR($B598="",MIN(AN$38,$D$19)&lt;MAX($P$34*($B598+IF($R$17="Distrato",$I$38-1,0)),IF(AND($L$37=0,$P$34=0),"",$L$37-1),IF($R$17="Distrato",$E598,0))),0,YEARFRAC(MAX($P$34*($B598+IF($R$17="Distrato",$I$38-1,0)),IF(AND($L$37=0,$P$34=0),"",$L$37-1),IF($R$17="Distrato",$E598,0)),MIN(AN$38,$D$19),$P$20))-SUM($P598:AM598)</f>
        <v>#VALUE!</v>
      </c>
      <c r="AO598" s="446" t="e">
        <f>IF(OR($B598="",MIN(AO$38,$D$19)&lt;MAX($P$34*($B598+IF($R$17="Distrato",$I$38-1,0)),IF(AND($L$37=0,$P$34=0),"",$L$37-1),IF($R$17="Distrato",$E598,0))),0,YEARFRAC(MAX($P$34*($B598+IF($R$17="Distrato",$I$38-1,0)),IF(AND($L$37=0,$P$34=0),"",$L$37-1),IF($R$17="Distrato",$E598,0)),MIN(AO$38,$D$19),$P$20))-SUM($P598:AN598)</f>
        <v>#VALUE!</v>
      </c>
      <c r="AP598" s="446" t="e">
        <f>IF(OR($B598="",MIN(AP$38,$D$19)&lt;MAX($P$34*($B598+IF($R$17="Distrato",$I$38-1,0)),IF(AND($L$37=0,$P$34=0),"",$L$37-1),IF($R$17="Distrato",$E598,0))),0,YEARFRAC(MAX($P$34*($B598+IF($R$17="Distrato",$I$38-1,0)),IF(AND($L$37=0,$P$34=0),"",$L$37-1),IF($R$17="Distrato",$E598,0)),MIN(AP$38,$D$19),$P$20))-SUM($P598:AO598)</f>
        <v>#VALUE!</v>
      </c>
      <c r="AQ598" s="446" t="e">
        <f>IF(OR($B598="",MIN(AQ$38,$D$19)&lt;MAX($P$34*($B598+IF($R$17="Distrato",$I$38-1,0)),IF(AND($L$37=0,$P$34=0),"",$L$37-1),IF($R$17="Distrato",$E598,0))),0,YEARFRAC(MAX($P$34*($B598+IF($R$17="Distrato",$I$38-1,0)),IF(AND($L$37=0,$P$34=0),"",$L$37-1),IF($R$17="Distrato",$E598,0)),MIN(AQ$38,$D$19),$P$20))-SUM($P598:AP598)</f>
        <v>#VALUE!</v>
      </c>
      <c r="AR598" s="446" t="e">
        <f>IF(OR($B598="",MIN(AR$38,$D$19)&lt;MAX($P$34*($B598+IF($R$17="Distrato",$I$38-1,0)),IF(AND($L$37=0,$P$34=0),"",$L$37-1),IF($R$17="Distrato",$E598,0))),0,YEARFRAC(MAX($P$34*($B598+IF($R$17="Distrato",$I$38-1,0)),IF(AND($L$37=0,$P$34=0),"",$L$37-1),IF($R$17="Distrato",$E598,0)),MIN(AR$38,$D$19),$P$20))-SUM($P598:AQ598)</f>
        <v>#VALUE!</v>
      </c>
      <c r="AS598" s="446" t="e">
        <f>IF(OR($B598="",MIN(AS$38,$D$19)&lt;MAX($P$34*($B598+IF($R$17="Distrato",$I$38-1,0)),IF(AND($L$37=0,$P$34=0),"",$L$37-1),IF($R$17="Distrato",$E598,0))),0,YEARFRAC(MAX($P$34*($B598+IF($R$17="Distrato",$I$38-1,0)),IF(AND($L$37=0,$P$34=0),"",$L$37-1),IF($R$17="Distrato",$E598,0)),MIN(AS$38,$D$19),$P$20))-SUM($P598:AR598)</f>
        <v>#VALUE!</v>
      </c>
      <c r="AT598" s="446" t="e">
        <f>IF(OR($B598="",MIN(AT$38,$D$19)&lt;MAX($P$34*($B598+IF($R$17="Distrato",$I$38-1,0)),IF(AND($L$37=0,$P$34=0),"",$L$37-1),IF($R$17="Distrato",$E598,0))),0,YEARFRAC(MAX($P$34*($B598+IF($R$17="Distrato",$I$38-1,0)),IF(AND($L$37=0,$P$34=0),"",$L$37-1),IF($R$17="Distrato",$E598,0)),MIN(AT$38,$D$19),$P$20))-SUM($P598:AS598)</f>
        <v>#VALUE!</v>
      </c>
      <c r="AU598" s="446" t="e">
        <f>IF(OR($B598="",MIN(AU$38,$D$19)&lt;MAX($P$34*($B598+IF($R$17="Distrato",$I$38-1,0)),IF(AND($L$37=0,$P$34=0),"",$L$37-1),IF($R$17="Distrato",$E598,0))),0,YEARFRAC(MAX($P$34*($B598+IF($R$17="Distrato",$I$38-1,0)),IF(AND($L$37=0,$P$34=0),"",$L$37-1),IF($R$17="Distrato",$E598,0)),MIN(AU$38,$D$19),$P$20))-SUM($P598:AT598)</f>
        <v>#VALUE!</v>
      </c>
      <c r="AV598" s="446" t="e">
        <f>IF(OR($B598="",MIN(AV$38,$D$19)&lt;MAX($P$34*($B598+IF($R$17="Distrato",$I$38-1,0)),IF(AND($L$37=0,$P$34=0),"",$L$37-1),IF($R$17="Distrato",$E598,0))),0,YEARFRAC(MAX($P$34*($B598+IF($R$17="Distrato",$I$38-1,0)),IF(AND($L$37=0,$P$34=0),"",$L$37-1),IF($R$17="Distrato",$E598,0)),MIN(AV$38,$D$19),$P$20))-SUM($P598:AU598)</f>
        <v>#VALUE!</v>
      </c>
      <c r="AW598" s="446" t="e">
        <f>IF(OR($B598="",MIN(AW$38,$D$19)&lt;MAX($P$34*($B598+IF($R$17="Distrato",$I$38-1,0)),IF(AND($L$37=0,$P$34=0),"",$L$37-1),IF($R$17="Distrato",$E598,0))),0,YEARFRAC(MAX($P$34*($B598+IF($R$17="Distrato",$I$38-1,0)),IF(AND($L$37=0,$P$34=0),"",$L$37-1),IF($R$17="Distrato",$E598,0)),MIN(AW$38,$D$19),$P$20))-SUM($P598:AV598)</f>
        <v>#VALUE!</v>
      </c>
      <c r="AX598" s="446" t="e">
        <f>IF(OR($B598="",MIN(AX$38,$D$19)&lt;MAX($P$34*($B598+IF($R$17="Distrato",$I$38-1,0)),IF(AND($L$37=0,$P$34=0),"",$L$37-1),IF($R$17="Distrato",$E598,0))),0,YEARFRAC(MAX($P$34*($B598+IF($R$17="Distrato",$I$38-1,0)),IF(AND($L$37=0,$P$34=0),"",$L$37-1),IF($R$17="Distrato",$E598,0)),MIN(AX$38,$D$19),$P$20))-SUM($P598:AW598)</f>
        <v>#VALUE!</v>
      </c>
      <c r="AY598" s="446" t="e">
        <f>IF(OR($B598="",MIN(AY$38,$D$19)&lt;MAX($P$34*($B598+IF($R$17="Distrato",$I$38-1,0)),IF(AND($L$37=0,$P$34=0),"",$L$37-1),IF($R$17="Distrato",$E598,0))),0,YEARFRAC(MAX($P$34*($B598+IF($R$17="Distrato",$I$38-1,0)),IF(AND($L$37=0,$P$34=0),"",$L$37-1),IF($R$17="Distrato",$E598,0)),MIN(AY$38,$D$19),$P$20))-SUM($P598:AX598)</f>
        <v>#VALUE!</v>
      </c>
      <c r="AZ598" s="446" t="e">
        <f>IF(OR($B598="",MIN(AZ$38,$D$19)&lt;MAX($P$34*($B598+IF($R$17="Distrato",$I$38-1,0)),IF(AND($L$37=0,$P$34=0),"",$L$37-1),IF($R$17="Distrato",$E598,0))),0,YEARFRAC(MAX($P$34*($B598+IF($R$17="Distrato",$I$38-1,0)),IF(AND($L$37=0,$P$34=0),"",$L$37-1),IF($R$17="Distrato",$E598,0)),MIN(AZ$38,$D$19),$P$20))-SUM($P598:AY598)</f>
        <v>#VALUE!</v>
      </c>
      <c r="BA598" s="446" t="e">
        <f>IF(OR($B598="",MIN(BA$38,$D$19)&lt;MAX($P$34*($B598+IF($R$17="Distrato",$I$38-1,0)),IF(AND($L$37=0,$P$34=0),"",$L$37-1),IF($R$17="Distrato",$E598,0))),0,YEARFRAC(MAX($P$34*($B598+IF($R$17="Distrato",$I$38-1,0)),IF(AND($L$37=0,$P$34=0),"",$L$37-1),IF($R$17="Distrato",$E598,0)),MIN(BA$38,$D$19),$P$20))-SUM($P598:AZ598)</f>
        <v>#VALUE!</v>
      </c>
      <c r="BB598" s="447"/>
      <c r="BF598" s="446">
        <f t="shared" si="98"/>
        <v>0</v>
      </c>
      <c r="BG598" s="446">
        <f>IF($E598=0,0,IF(MIN(BG$38,$E598)&lt;MAX($P$34*($B598+$I$38-1),IF(AND($L$37=0,$P$34=0),"",$L$37-1)),0,YEARFRAC(MAX($P$34*($B598+$I$38-1),IF(AND($L$37=0,$P$34=0),"",$L$37-1)),MIN(BG$38,$E598),$P$20))-SUM($BF598:BF598))</f>
        <v>0</v>
      </c>
      <c r="BH598" s="446">
        <f>IF($E598=0,0,IF(MIN(BH$38,$E598)&lt;MAX($P$34*($B598+$I$38-1),IF(AND($L$37=0,$P$34=0),"",$L$37-1)),0,YEARFRAC(MAX($P$34*($B598+$I$38-1),IF(AND($L$37=0,$P$34=0),"",$L$37-1)),MIN(BH$38,$E598),$P$20))-SUM($BF598:BG598))</f>
        <v>0</v>
      </c>
      <c r="BI598" s="446">
        <f>IF($E598=0,0,IF(MIN(BI$38,$E598)&lt;MAX($P$34*($B598+$I$38-1),IF(AND($L$37=0,$P$34=0),"",$L$37-1)),0,YEARFRAC(MAX($P$34*($B598+$I$38-1),IF(AND($L$37=0,$P$34=0),"",$L$37-1)),MIN(BI$38,$E598),$P$20))-SUM($BF598:BH598))</f>
        <v>0</v>
      </c>
      <c r="BJ598" s="446">
        <f>IF($E598=0,0,IF(MIN(BJ$38,$E598)&lt;MAX($P$34*($B598+$I$38-1),IF(AND($L$37=0,$P$34=0),"",$L$37-1)),0,YEARFRAC(MAX($P$34*($B598+$I$38-1),IF(AND($L$37=0,$P$34=0),"",$L$37-1)),MIN(BJ$38,$E598),$P$20))-SUM($BF598:BI598))</f>
        <v>0</v>
      </c>
      <c r="BK598" s="446">
        <f>IF($E598=0,0,IF(MIN(BK$38,$E598)&lt;MAX($P$34*($B598+$I$38-1),IF(AND($L$37=0,$P$34=0),"",$L$37-1)),0,YEARFRAC(MAX($P$34*($B598+$I$38-1),IF(AND($L$37=0,$P$34=0),"",$L$37-1)),MIN(BK$38,$E598),$P$20))-SUM($BF598:BJ598))</f>
        <v>0</v>
      </c>
      <c r="BL598" s="446">
        <f>IF($E598=0,0,IF(MIN(BL$38,$E598)&lt;MAX($P$34*($B598+$I$38-1),IF(AND($L$37=0,$P$34=0),"",$L$37-1)),0,YEARFRAC(MAX($P$34*($B598+$I$38-1),IF(AND($L$37=0,$P$34=0),"",$L$37-1)),MIN(BL$38,$E598),$P$20))-SUM($BF598:BK598))</f>
        <v>0</v>
      </c>
      <c r="BM598" s="446">
        <f>IF($E598=0,0,IF(MIN(BM$38,$E598)&lt;MAX($P$34*($B598+$I$38-1),IF(AND($L$37=0,$P$34=0),"",$L$37-1)),0,YEARFRAC(MAX($P$34*($B598+$I$38-1),IF(AND($L$37=0,$P$34=0),"",$L$37-1)),MIN(BM$38,$E598),$P$20))-SUM($BF598:BL598))</f>
        <v>0</v>
      </c>
      <c r="BN598" s="446">
        <f>IF($E598=0,0,IF(MIN(BN$38,$E598)&lt;MAX($P$34*($B598+$I$38-1),IF(AND($L$37=0,$P$34=0),"",$L$37-1)),0,YEARFRAC(MAX($P$34*($B598+$I$38-1),IF(AND($L$37=0,$P$34=0),"",$L$37-1)),MIN(BN$38,$E598),$P$20))-SUM($BF598:BM598))</f>
        <v>0</v>
      </c>
      <c r="BO598" s="446">
        <f>IF($E598=0,0,IF(MIN(BO$38,$E598)&lt;MAX($P$34*($B598+$I$38-1),IF(AND($L$37=0,$P$34=0),"",$L$37-1)),0,YEARFRAC(MAX($P$34*($B598+$I$38-1),IF(AND($L$37=0,$P$34=0),"",$L$37-1)),MIN(BO$38,$E598),$P$20))-SUM($BF598:BN598))</f>
        <v>0</v>
      </c>
      <c r="BP598" s="446">
        <f>IF($E598=0,0,IF(MIN(BP$38,$E598)&lt;MAX($P$34*($B598+$I$38-1),IF(AND($L$37=0,$P$34=0),"",$L$37-1)),0,YEARFRAC(MAX($P$34*($B598+$I$38-1),IF(AND($L$37=0,$P$34=0),"",$L$37-1)),MIN(BP$38,$E598),$P$20))-SUM($BF598:BO598))</f>
        <v>0</v>
      </c>
      <c r="BQ598" s="446">
        <f>IF($E598=0,0,IF(MIN(BQ$38,$E598)&lt;MAX($P$34*($B598+$I$38-1),IF(AND($L$37=0,$P$34=0),"",$L$37-1)),0,YEARFRAC(MAX($P$34*($B598+$I$38-1),IF(AND($L$37=0,$P$34=0),"",$L$37-1)),MIN(BQ$38,$E598),$P$20))-SUM($BF598:BP598))</f>
        <v>0</v>
      </c>
      <c r="BR598" s="446">
        <f>IF($E598=0,0,IF(MIN(BR$38,$E598)&lt;MAX($P$34*($B598+$I$38-1),IF(AND($L$37=0,$P$34=0),"",$L$37-1)),0,YEARFRAC(MAX($P$34*($B598+$I$38-1),IF(AND($L$37=0,$P$34=0),"",$L$37-1)),MIN(BR$38,$E598),$P$20))-SUM($BF598:BQ598))</f>
        <v>0</v>
      </c>
      <c r="BS598" s="446">
        <f>IF($E598=0,0,IF(MIN(BS$38,$E598)&lt;MAX($P$34*($B598+$I$38-1),IF(AND($L$37=0,$P$34=0),"",$L$37-1)),0,YEARFRAC(MAX($P$34*($B598+$I$38-1),IF(AND($L$37=0,$P$34=0),"",$L$37-1)),MIN(BS$38,$E598),$P$20))-SUM($BF598:BR598))</f>
        <v>0</v>
      </c>
      <c r="BT598" s="446">
        <f>IF($E598=0,0,IF(MIN(BT$38,$E598)&lt;MAX($P$34*($B598+$I$38-1),IF(AND($L$37=0,$P$34=0),"",$L$37-1)),0,YEARFRAC(MAX($P$34*($B598+$I$38-1),IF(AND($L$37=0,$P$34=0),"",$L$37-1)),MIN(BT$38,$E598),$P$20))-SUM($BF598:BS598))</f>
        <v>0</v>
      </c>
      <c r="BU598" s="446">
        <f>IF($E598=0,0,IF(MIN(BU$38,$E598)&lt;MAX($P$34*($B598+$I$38-1),IF(AND($L$37=0,$P$34=0),"",$L$37-1)),0,YEARFRAC(MAX($P$34*($B598+$I$38-1),IF(AND($L$37=0,$P$34=0),"",$L$37-1)),MIN(BU$38,$E598),$P$20))-SUM($BF598:BT598))</f>
        <v>0</v>
      </c>
      <c r="BV598" s="446">
        <f>IF($E598=0,0,IF(MIN(BV$38,$E598)&lt;MAX($P$34*($B598+$I$38-1),IF(AND($L$37=0,$P$34=0),"",$L$37-1)),0,YEARFRAC(MAX($P$34*($B598+$I$38-1),IF(AND($L$37=0,$P$34=0),"",$L$37-1)),MIN(BV$38,$E598),$P$20))-SUM($BF598:BU598))</f>
        <v>0</v>
      </c>
      <c r="BW598" s="446">
        <f>IF($E598=0,0,IF(MIN(BW$38,$E598)&lt;MAX($P$34*($B598+$I$38-1),IF(AND($L$37=0,$P$34=0),"",$L$37-1)),0,YEARFRAC(MAX($P$34*($B598+$I$38-1),IF(AND($L$37=0,$P$34=0),"",$L$37-1)),MIN(BW$38,$E598),$P$20))-SUM($BF598:BV598))</f>
        <v>0</v>
      </c>
      <c r="BX598" s="446">
        <f>IF($E598=0,0,IF(MIN(BX$38,$E598)&lt;MAX($P$34*($B598+$I$38-1),IF(AND($L$37=0,$P$34=0),"",$L$37-1)),0,YEARFRAC(MAX($P$34*($B598+$I$38-1),IF(AND($L$37=0,$P$34=0),"",$L$37-1)),MIN(BX$38,$E598),$P$20))-SUM($BF598:BW598))</f>
        <v>0</v>
      </c>
      <c r="BY598" s="446">
        <f>IF($E598=0,0,IF(MIN(BY$38,$E598)&lt;MAX($P$34*($B598+$I$38-1),IF(AND($L$37=0,$P$34=0),"",$L$37-1)),0,YEARFRAC(MAX($P$34*($B598+$I$38-1),IF(AND($L$37=0,$P$34=0),"",$L$37-1)),MIN(BY$38,$E598),$P$20))-SUM($BF598:BX598))</f>
        <v>0</v>
      </c>
      <c r="BZ598" s="446">
        <f>IF($E598=0,0,IF(MIN(BZ$38,$E598)&lt;MAX($P$34*($B598+$I$38-1),IF(AND($L$37=0,$P$34=0),"",$L$37-1)),0,YEARFRAC(MAX($P$34*($B598+$I$38-1),IF(AND($L$37=0,$P$34=0),"",$L$37-1)),MIN(BZ$38,$E598),$P$20))-SUM($BF598:BY598))</f>
        <v>0</v>
      </c>
      <c r="CA598" s="446">
        <f>IF($E598=0,0,IF(MIN(CA$38,$E598)&lt;MAX($P$34*($B598+$I$38-1),IF(AND($L$37=0,$P$34=0),"",$L$37-1)),0,YEARFRAC(MAX($P$34*($B598+$I$38-1),IF(AND($L$37=0,$P$34=0),"",$L$37-1)),MIN(CA$38,$E598),$P$20))-SUM($BF598:BZ598))</f>
        <v>0</v>
      </c>
      <c r="CB598" s="446">
        <f>IF($E598=0,0,IF(MIN(CB$38,$E598)&lt;MAX($P$34*($B598+$I$38-1),IF(AND($L$37=0,$P$34=0),"",$L$37-1)),0,YEARFRAC(MAX($P$34*($B598+$I$38-1),IF(AND($L$37=0,$P$34=0),"",$L$37-1)),MIN(CB$38,$E598),$P$20))-SUM($BF598:CA598))</f>
        <v>0</v>
      </c>
      <c r="CC598" s="446">
        <f>IF($E598=0,0,IF(MIN(CC$38,$E598)&lt;MAX($P$34*($B598+$I$38-1),IF(AND($L$37=0,$P$34=0),"",$L$37-1)),0,YEARFRAC(MAX($P$34*($B598+$I$38-1),IF(AND($L$37=0,$P$34=0),"",$L$37-1)),MIN(CC$38,$E598),$P$20))-SUM($BF598:CB598))</f>
        <v>0</v>
      </c>
      <c r="CD598" s="446">
        <f>IF($E598=0,0,IF(MIN(CD$38,$E598)&lt;MAX($P$34*($B598+$I$38-1),IF(AND($L$37=0,$P$34=0),"",$L$37-1)),0,YEARFRAC(MAX($P$34*($B598+$I$38-1),IF(AND($L$37=0,$P$34=0),"",$L$37-1)),MIN(CD$38,$E598),$P$20))-SUM($BF598:CC598))</f>
        <v>0</v>
      </c>
      <c r="CE598" s="446">
        <f>IF($E598=0,0,IF(MIN(CE$38,$E598)&lt;MAX($P$34*($B598+$I$38-1),IF(AND($L$37=0,$P$34=0),"",$L$37-1)),0,YEARFRAC(MAX($P$34*($B598+$I$38-1),IF(AND($L$37=0,$P$34=0),"",$L$37-1)),MIN(CE$38,$E598),$P$20))-SUM($BF598:CD598))</f>
        <v>0</v>
      </c>
      <c r="CF598" s="446">
        <f>IF($E598=0,0,IF(MIN(CF$38,$E598)&lt;MAX($P$34*($B598+$I$38-1),IF(AND($L$37=0,$P$34=0),"",$L$37-1)),0,YEARFRAC(MAX($P$34*($B598+$I$38-1),IF(AND($L$37=0,$P$34=0),"",$L$37-1)),MIN(CF$38,$E598),$P$20))-SUM($BF598:CE598))</f>
        <v>0</v>
      </c>
      <c r="CG598" s="446">
        <f>IF($E598=0,0,IF(MIN(CG$38,$E598)&lt;MAX($P$34*($B598+$I$38-1),IF(AND($L$37=0,$P$34=0),"",$L$37-1)),0,YEARFRAC(MAX($P$34*($B598+$I$38-1),IF(AND($L$37=0,$P$34=0),"",$L$37-1)),MIN(CG$38,$E598),$P$20))-SUM($BF598:CF598))</f>
        <v>0</v>
      </c>
      <c r="CH598" s="446">
        <f>IF($E598=0,0,IF(MIN(CH$38,$E598)&lt;MAX($P$34*($B598+$I$38-1),IF(AND($L$37=0,$P$34=0),"",$L$37-1)),0,YEARFRAC(MAX($P$34*($B598+$I$38-1),IF(AND($L$37=0,$P$34=0),"",$L$37-1)),MIN(CH$38,$E598),$P$20))-SUM($BF598:CG598))</f>
        <v>0</v>
      </c>
      <c r="CI598" s="446">
        <f>IF($E598=0,0,IF(MIN(CI$38,$E598)&lt;MAX($P$34*($B598+$I$38-1),IF(AND($L$37=0,$P$34=0),"",$L$37-1)),0,YEARFRAC(MAX($P$34*($B598+$I$38-1),IF(AND($L$37=0,$P$34=0),"",$L$37-1)),MIN(CI$38,$E598),$P$20))-SUM($BF598:CH598))</f>
        <v>0</v>
      </c>
      <c r="CJ598" s="446">
        <f>IF($E598=0,0,IF(MIN(CJ$38,$E598)&lt;MAX($P$34*($B598+$I$38-1),IF(AND($L$37=0,$P$34=0),"",$L$37-1)),0,YEARFRAC(MAX($P$34*($B598+$I$38-1),IF(AND($L$37=0,$P$34=0),"",$L$37-1)),MIN(CJ$38,$E598),$P$20))-SUM($BF598:CI598))</f>
        <v>0</v>
      </c>
      <c r="CK598" s="446">
        <f>IF($E598=0,0,IF(MIN(CK$38,$E598)&lt;MAX($P$34*($B598+$I$38-1),IF(AND($L$37=0,$P$34=0),"",$L$37-1)),0,YEARFRAC(MAX($P$34*($B598+$I$38-1),IF(AND($L$37=0,$P$34=0),"",$L$37-1)),MIN(CK$38,$E598),$P$20))-SUM($BF598:CJ598))</f>
        <v>0</v>
      </c>
      <c r="CL598" s="446">
        <f>IF($E598=0,0,IF(MIN(CL$38,$E598)&lt;MAX($P$34*($B598+$I$38-1),IF(AND($L$37=0,$P$34=0),"",$L$37-1)),0,YEARFRAC(MAX($P$34*($B598+$I$38-1),IF(AND($L$37=0,$P$34=0),"",$L$37-1)),MIN(CL$38,$E598),$P$20))-SUM($BF598:CK598))</f>
        <v>0</v>
      </c>
      <c r="CM598" s="446">
        <f>IF($E598=0,0,IF(MIN(CM$38,$E598)&lt;MAX($P$34*($B598+$I$38-1),IF(AND($L$37=0,$P$34=0),"",$L$37-1)),0,YEARFRAC(MAX($P$34*($B598+$I$38-1),IF(AND($L$37=0,$P$34=0),"",$L$37-1)),MIN(CM$38,$E598),$P$20))-SUM($BF598:CL598))</f>
        <v>0</v>
      </c>
      <c r="CN598" s="446">
        <f>IF($E598=0,0,IF(MIN(CN$38,$E598)&lt;MAX($P$34*($B598+$I$38-1),IF(AND($L$37=0,$P$34=0),"",$L$37-1)),0,YEARFRAC(MAX($P$34*($B598+$I$38-1),IF(AND($L$37=0,$P$34=0),"",$L$37-1)),MIN(CN$38,$E598),$P$20))-SUM($BF598:CM598))</f>
        <v>0</v>
      </c>
      <c r="CO598" s="446">
        <f>IF($E598=0,0,IF(MIN(CO$38,$E598)&lt;MAX($P$34*($B598+$I$38-1),IF(AND($L$37=0,$P$34=0),"",$L$37-1)),0,YEARFRAC(MAX($P$34*($B598+$I$38-1),IF(AND($L$37=0,$P$34=0),"",$L$37-1)),MIN(CO$38,$E598),$P$20))-SUM($BF598:CN598))</f>
        <v>0</v>
      </c>
      <c r="CP598" s="446">
        <f>IF($E598=0,0,IF(MIN(CP$38,$E598)&lt;MAX($P$34*($B598+$I$38-1),IF(AND($L$37=0,$P$34=0),"",$L$37-1)),0,YEARFRAC(MAX($P$34*($B598+$I$38-1),IF(AND($L$37=0,$P$34=0),"",$L$37-1)),MIN(CP$38,$E598),$P$20))-SUM($BF598:CO598))</f>
        <v>0</v>
      </c>
      <c r="CQ598" s="446">
        <f>IF($E598=0,0,IF(MIN(CQ$38,$E598)&lt;MAX($P$34*($B598+$I$38-1),IF(AND($L$37=0,$P$34=0),"",$L$37-1)),0,YEARFRAC(MAX($P$34*($B598+$I$38-1),IF(AND($L$37=0,$P$34=0),"",$L$37-1)),MIN(CQ$38,$E598),$P$20))-SUM($BF598:CP598))</f>
        <v>0</v>
      </c>
    </row>
    <row r="599" spans="1:95" s="446" customFormat="1" ht="11.25" hidden="1" customHeight="1" x14ac:dyDescent="0.2">
      <c r="A599" s="152"/>
      <c r="B599" s="153" t="str">
        <f t="shared" si="103"/>
        <v/>
      </c>
      <c r="C599" s="29" t="str">
        <f>IF(B599="","",IF($L$35="SELIC - TRIBUTOS",VLOOKUP(DATE(YEAR($D$19),MONTH($D$19)-1,1),ÍNDICES!$A:$DE,HLOOKUP($BL$25,ÍNDICES!$B$3:$T$4,2)+11)-VLOOKUP(B599,ÍNDICES!$A:$DE,HLOOKUP($BL$25,ÍNDICES!$B$3:$T$4,2)+11)+1%,IF(C$38=$W$26,$J$35,IF(ISERROR(IF(B599&gt;$D$19,1,VLOOKUP(DATE(YEAR(B599),MONTH(B599)+IF($C$35=$S$23,1,0),1),ÍNDICES!$A:$DE,$Z$35+1))),"",IF(B599&gt;$D$19,1,VLOOKUP(DATE(YEAR(B599),MONTH(B599)+IF($C$35=$S$23,1,0),1),ÍNDICES!$A:$DE,$Z$35+1))))))</f>
        <v/>
      </c>
      <c r="D599" s="154" t="str">
        <f>IF(ISERROR(IF(OR($D$38=$Y$27,$B599=""),"",VLOOKUP(B599,ÍNDICES!A:DE,AF$35+1))),"",IF(OR($D$38=$Y$27,$B599=""),"",VLOOKUP(B599,ÍNDICES!A:DE,AF$35+1)))</f>
        <v/>
      </c>
      <c r="E599" s="153"/>
      <c r="F599" s="29" t="str">
        <f>IF(E599="","",IF($L$35="SELIC - TRIBUTOS",VLOOKUP(DATE(YEAR($D$19),MONTH($D$19)-1,1),ÍNDICES!$A:$DE,HLOOKUP($BL$25,ÍNDICES!$B$3:$T$4,2)+11)-VLOOKUP(E599,ÍNDICES!$A:$DE,HLOOKUP($BL$25,ÍNDICES!$B$3:$T$4,2)+11)+1%,IF(F$38=$W$26,$J$35,IF(ISERROR(IF(E599&gt;$D$19,1,VLOOKUP(DATE(YEAR(E599),MONTH(E599)+IF($C$35=$S$23,1,0),1),ÍNDICES!$A:$DE,$Z$35+1))),"",IF(E599&gt;$D$19,1,VLOOKUP(DATE(YEAR(E599),MONTH(E599)+IF($C$35=$S$23,1,0),1),ÍNDICES!$A:$DE,$Z$35+1))))))</f>
        <v/>
      </c>
      <c r="G599" s="155"/>
      <c r="H599" s="156" t="str">
        <f t="shared" si="99"/>
        <v/>
      </c>
      <c r="I599" s="29" t="str">
        <f t="shared" si="93"/>
        <v/>
      </c>
      <c r="J599" s="5">
        <f t="shared" si="94"/>
        <v>0</v>
      </c>
      <c r="K599" s="20">
        <f t="shared" ca="1" si="95"/>
        <v>0</v>
      </c>
      <c r="L599" s="5">
        <f t="shared" ca="1" si="96"/>
        <v>0</v>
      </c>
      <c r="M599" s="64">
        <f t="shared" si="100"/>
        <v>0</v>
      </c>
      <c r="N599" s="61">
        <f t="shared" ca="1" si="101"/>
        <v>0</v>
      </c>
      <c r="O599" s="5">
        <f t="shared" ca="1" si="102"/>
        <v>0</v>
      </c>
      <c r="P599" s="446" t="e">
        <f t="shared" si="97"/>
        <v>#VALUE!</v>
      </c>
      <c r="Q599" s="446" t="e">
        <f>IF(OR($B599="",MIN(Q$38,$D$19)&lt;MAX($P$34*($B599+IF($R$17="Distrato",$I$38-1,0)),IF(AND($L$37=0,$P$34=0),"",$L$37-1),IF($R$17="Distrato",$E599,0))),0,YEARFRAC(MAX($P$34*($B599+IF($R$17="Distrato",$I$38-1,0)),IF(AND($L$37=0,$P$34=0),"",$L$37-1),IF($R$17="Distrato",$E599,0)),MIN(Q$38,$D$19),$P$20))-SUM($P599:P599)</f>
        <v>#VALUE!</v>
      </c>
      <c r="R599" s="446" t="e">
        <f>IF(OR($B599="",MIN(R$38,$D$19)&lt;MAX($P$34*($B599+IF($R$17="Distrato",$I$38-1,0)),IF(AND($L$37=0,$P$34=0),"",$L$37-1),IF($R$17="Distrato",$E599,0))),0,YEARFRAC(MAX($P$34*($B599+IF($R$17="Distrato",$I$38-1,0)),IF(AND($L$37=0,$P$34=0),"",$L$37-1),IF($R$17="Distrato",$E599,0)),MIN(R$38,$D$19),$P$20))-SUM($P599:Q599)</f>
        <v>#VALUE!</v>
      </c>
      <c r="S599" s="446" t="e">
        <f>IF(OR($B599="",MIN(S$38,$D$19)&lt;MAX($P$34*($B599+IF($R$17="Distrato",$I$38-1,0)),IF(AND($L$37=0,$P$34=0),"",$L$37-1),IF($R$17="Distrato",$E599,0))),0,YEARFRAC(MAX($P$34*($B599+IF($R$17="Distrato",$I$38-1,0)),IF(AND($L$37=0,$P$34=0),"",$L$37-1),IF($R$17="Distrato",$E599,0)),MIN(S$38,$D$19),$P$20))-SUM($P599:R599)</f>
        <v>#VALUE!</v>
      </c>
      <c r="T599" s="446" t="e">
        <f>IF(OR($B599="",MIN(T$38,$D$19)&lt;MAX($P$34*($B599+IF($R$17="Distrato",$I$38-1,0)),IF(AND($L$37=0,$P$34=0),"",$L$37-1),IF($R$17="Distrato",$E599,0))),0,YEARFRAC(MAX($P$34*($B599+IF($R$17="Distrato",$I$38-1,0)),IF(AND($L$37=0,$P$34=0),"",$L$37-1),IF($R$17="Distrato",$E599,0)),MIN(T$38,$D$19),$P$20))-SUM($P599:S599)</f>
        <v>#VALUE!</v>
      </c>
      <c r="U599" s="446" t="e">
        <f>IF(OR($B599="",MIN(U$38,$D$19)&lt;MAX($P$34*($B599+IF($R$17="Distrato",$I$38-1,0)),IF(AND($L$37=0,$P$34=0),"",$L$37-1),IF($R$17="Distrato",$E599,0))),0,YEARFRAC(MAX($P$34*($B599+IF($R$17="Distrato",$I$38-1,0)),IF(AND($L$37=0,$P$34=0),"",$L$37-1),IF($R$17="Distrato",$E599,0)),MIN(U$38,$D$19),$P$20))-SUM($P599:T599)</f>
        <v>#VALUE!</v>
      </c>
      <c r="V599" s="446" t="e">
        <f>IF(OR($B599="",MIN(V$38,$D$19)&lt;MAX($P$34*($B599+IF($R$17="Distrato",$I$38-1,0)),IF(AND($L$37=0,$P$34=0),"",$L$37-1),IF($R$17="Distrato",$E599,0))),0,YEARFRAC(MAX($P$34*($B599+IF($R$17="Distrato",$I$38-1,0)),IF(AND($L$37=0,$P$34=0),"",$L$37-1),IF($R$17="Distrato",$E599,0)),MIN(V$38,$D$19),$P$20))-SUM($P599:U599)</f>
        <v>#VALUE!</v>
      </c>
      <c r="W599" s="446" t="e">
        <f>IF(OR($B599="",MIN(W$38,$D$19)&lt;MAX($P$34*($B599+IF($R$17="Distrato",$I$38-1,0)),IF(AND($L$37=0,$P$34=0),"",$L$37-1),IF($R$17="Distrato",$E599,0))),0,YEARFRAC(MAX($P$34*($B599+IF($R$17="Distrato",$I$38-1,0)),IF(AND($L$37=0,$P$34=0),"",$L$37-1),IF($R$17="Distrato",$E599,0)),MIN(W$38,$D$19),$P$20))-SUM($P599:V599)</f>
        <v>#VALUE!</v>
      </c>
      <c r="X599" s="446" t="e">
        <f>IF(OR($B599="",MIN(X$38,$D$19)&lt;MAX($P$34*($B599+IF($R$17="Distrato",$I$38-1,0)),IF(AND($L$37=0,$P$34=0),"",$L$37-1),IF($R$17="Distrato",$E599,0))),0,YEARFRAC(MAX($P$34*($B599+IF($R$17="Distrato",$I$38-1,0)),IF(AND($L$37=0,$P$34=0),"",$L$37-1),IF($R$17="Distrato",$E599,0)),MIN(X$38,$D$19),$P$20))-SUM($P599:W599)</f>
        <v>#VALUE!</v>
      </c>
      <c r="Y599" s="446" t="e">
        <f>IF(OR($B599="",MIN(Y$38,$D$19)&lt;MAX($P$34*($B599+IF($R$17="Distrato",$I$38-1,0)),IF(AND($L$37=0,$P$34=0),"",$L$37-1),IF($R$17="Distrato",$E599,0))),0,YEARFRAC(MAX($P$34*($B599+IF($R$17="Distrato",$I$38-1,0)),IF(AND($L$37=0,$P$34=0),"",$L$37-1),IF($R$17="Distrato",$E599,0)),MIN(Y$38,$D$19),$P$20))-SUM($P599:X599)</f>
        <v>#VALUE!</v>
      </c>
      <c r="Z599" s="446" t="e">
        <f>IF(OR($B599="",MIN(Z$38,$D$19)&lt;MAX($P$34*($B599+IF($R$17="Distrato",$I$38-1,0)),IF(AND($L$37=0,$P$34=0),"",$L$37-1),IF($R$17="Distrato",$E599,0))),0,YEARFRAC(MAX($P$34*($B599+IF($R$17="Distrato",$I$38-1,0)),IF(AND($L$37=0,$P$34=0),"",$L$37-1),IF($R$17="Distrato",$E599,0)),MIN(Z$38,$D$19),$P$20))-SUM($P599:Y599)</f>
        <v>#VALUE!</v>
      </c>
      <c r="AA599" s="446" t="e">
        <f>IF(OR($B599="",MIN(AA$38,$D$19)&lt;MAX($P$34*($B599+IF($R$17="Distrato",$I$38-1,0)),IF(AND($L$37=0,$P$34=0),"",$L$37-1),IF($R$17="Distrato",$E599,0))),0,YEARFRAC(MAX($P$34*($B599+IF($R$17="Distrato",$I$38-1,0)),IF(AND($L$37=0,$P$34=0),"",$L$37-1),IF($R$17="Distrato",$E599,0)),MIN(AA$38,$D$19),$P$20))-SUM($P599:Z599)</f>
        <v>#VALUE!</v>
      </c>
      <c r="AB599" s="446" t="e">
        <f>IF(OR($B599="",MIN(AB$38,$D$19)&lt;MAX($P$34*($B599+IF($R$17="Distrato",$I$38-1,0)),IF(AND($L$37=0,$P$34=0),"",$L$37-1),IF($R$17="Distrato",$E599,0))),0,YEARFRAC(MAX($P$34*($B599+IF($R$17="Distrato",$I$38-1,0)),IF(AND($L$37=0,$P$34=0),"",$L$37-1),IF($R$17="Distrato",$E599,0)),MIN(AB$38,$D$19),$P$20))-SUM($P599:AA599)</f>
        <v>#VALUE!</v>
      </c>
      <c r="AC599" s="446" t="e">
        <f>IF(OR($B599="",MIN(AC$38,$D$19)&lt;MAX($P$34*($B599+IF($R$17="Distrato",$I$38-1,0)),IF(AND($L$37=0,$P$34=0),"",$L$37-1),IF($R$17="Distrato",$E599,0))),0,YEARFRAC(MAX($P$34*($B599+IF($R$17="Distrato",$I$38-1,0)),IF(AND($L$37=0,$P$34=0),"",$L$37-1),IF($R$17="Distrato",$E599,0)),MIN(AC$38,$D$19),$P$20))-SUM($P599:AB599)</f>
        <v>#VALUE!</v>
      </c>
      <c r="AD599" s="446" t="e">
        <f>IF(OR($B599="",MIN(AD$38,$D$19)&lt;MAX($P$34*($B599+IF($R$17="Distrato",$I$38-1,0)),IF(AND($L$37=0,$P$34=0),"",$L$37-1),IF($R$17="Distrato",$E599,0))),0,YEARFRAC(MAX($P$34*($B599+IF($R$17="Distrato",$I$38-1,0)),IF(AND($L$37=0,$P$34=0),"",$L$37-1),IF($R$17="Distrato",$E599,0)),MIN(AD$38,$D$19),$P$20))-SUM($P599:AC599)</f>
        <v>#VALUE!</v>
      </c>
      <c r="AE599" s="446" t="e">
        <f>IF(OR($B599="",MIN(AE$38,$D$19)&lt;MAX($P$34*($B599+IF($R$17="Distrato",$I$38-1,0)),IF(AND($L$37=0,$P$34=0),"",$L$37-1),IF($R$17="Distrato",$E599,0))),0,YEARFRAC(MAX($P$34*($B599+IF($R$17="Distrato",$I$38-1,0)),IF(AND($L$37=0,$P$34=0),"",$L$37-1),IF($R$17="Distrato",$E599,0)),MIN(AE$38,$D$19),$P$20))-SUM($P599:AD599)</f>
        <v>#VALUE!</v>
      </c>
      <c r="AF599" s="446" t="e">
        <f>IF(OR($B599="",MIN(AF$38,$D$19)&lt;MAX($P$34*($B599+IF($R$17="Distrato",$I$38-1,0)),IF(AND($L$37=0,$P$34=0),"",$L$37-1),IF($R$17="Distrato",$E599,0))),0,YEARFRAC(MAX($P$34*($B599+IF($R$17="Distrato",$I$38-1,0)),IF(AND($L$37=0,$P$34=0),"",$L$37-1),IF($R$17="Distrato",$E599,0)),MIN(AF$38,$D$19),$P$20))-SUM($P599:AE599)</f>
        <v>#VALUE!</v>
      </c>
      <c r="AG599" s="446" t="e">
        <f>IF(OR($B599="",MIN(AG$38,$D$19)&lt;MAX($P$34*($B599+IF($R$17="Distrato",$I$38-1,0)),IF(AND($L$37=0,$P$34=0),"",$L$37-1),IF($R$17="Distrato",$E599,0))),0,YEARFRAC(MAX($P$34*($B599+IF($R$17="Distrato",$I$38-1,0)),IF(AND($L$37=0,$P$34=0),"",$L$37-1),IF($R$17="Distrato",$E599,0)),MIN(AG$38,$D$19),$P$20))-SUM($P599:AF599)</f>
        <v>#VALUE!</v>
      </c>
      <c r="AH599" s="446" t="e">
        <f>IF(OR($B599="",MIN(AH$38,$D$19)&lt;MAX($P$34*($B599+IF($R$17="Distrato",$I$38-1,0)),IF(AND($L$37=0,$P$34=0),"",$L$37-1),IF($R$17="Distrato",$E599,0))),0,YEARFRAC(MAX($P$34*($B599+IF($R$17="Distrato",$I$38-1,0)),IF(AND($L$37=0,$P$34=0),"",$L$37-1),IF($R$17="Distrato",$E599,0)),MIN(AH$38,$D$19),$P$20))-SUM($P599:AG599)</f>
        <v>#VALUE!</v>
      </c>
      <c r="AI599" s="446" t="e">
        <f>IF(OR($B599="",MIN(AI$38,$D$19)&lt;MAX($P$34*($B599+IF($R$17="Distrato",$I$38-1,0)),IF(AND($L$37=0,$P$34=0),"",$L$37-1),IF($R$17="Distrato",$E599,0))),0,YEARFRAC(MAX($P$34*($B599+IF($R$17="Distrato",$I$38-1,0)),IF(AND($L$37=0,$P$34=0),"",$L$37-1),IF($R$17="Distrato",$E599,0)),MIN(AI$38,$D$19),$P$20))-SUM($P599:AH599)</f>
        <v>#VALUE!</v>
      </c>
      <c r="AJ599" s="446" t="e">
        <f>IF(OR($B599="",MIN(AJ$38,$D$19)&lt;MAX($P$34*($B599+IF($R$17="Distrato",$I$38-1,0)),IF(AND($L$37=0,$P$34=0),"",$L$37-1),IF($R$17="Distrato",$E599,0))),0,YEARFRAC(MAX($P$34*($B599+IF($R$17="Distrato",$I$38-1,0)),IF(AND($L$37=0,$P$34=0),"",$L$37-1),IF($R$17="Distrato",$E599,0)),MIN(AJ$38,$D$19),$P$20))-SUM($P599:AI599)</f>
        <v>#VALUE!</v>
      </c>
      <c r="AK599" s="446" t="e">
        <f>IF(OR($B599="",MIN(AK$38,$D$19)&lt;MAX($P$34*($B599+IF($R$17="Distrato",$I$38-1,0)),IF(AND($L$37=0,$P$34=0),"",$L$37-1),IF($R$17="Distrato",$E599,0))),0,YEARFRAC(MAX($P$34*($B599+IF($R$17="Distrato",$I$38-1,0)),IF(AND($L$37=0,$P$34=0),"",$L$37-1),IF($R$17="Distrato",$E599,0)),MIN(AK$38,$D$19),$P$20))-SUM($P599:AJ599)</f>
        <v>#VALUE!</v>
      </c>
      <c r="AL599" s="446" t="e">
        <f>IF(OR($B599="",MIN(AL$38,$D$19)&lt;MAX($P$34*($B599+IF($R$17="Distrato",$I$38-1,0)),IF(AND($L$37=0,$P$34=0),"",$L$37-1),IF($R$17="Distrato",$E599,0))),0,YEARFRAC(MAX($P$34*($B599+IF($R$17="Distrato",$I$38-1,0)),IF(AND($L$37=0,$P$34=0),"",$L$37-1),IF($R$17="Distrato",$E599,0)),MIN(AL$38,$D$19),$P$20))-SUM($P599:AK599)</f>
        <v>#VALUE!</v>
      </c>
      <c r="AM599" s="446" t="e">
        <f>IF(OR($B599="",MIN(AM$38,$D$19)&lt;MAX($P$34*($B599+IF($R$17="Distrato",$I$38-1,0)),IF(AND($L$37=0,$P$34=0),"",$L$37-1),IF($R$17="Distrato",$E599,0))),0,YEARFRAC(MAX($P$34*($B599+IF($R$17="Distrato",$I$38-1,0)),IF(AND($L$37=0,$P$34=0),"",$L$37-1),IF($R$17="Distrato",$E599,0)),MIN(AM$38,$D$19),$P$20))-SUM($P599:AL599)</f>
        <v>#VALUE!</v>
      </c>
      <c r="AN599" s="446" t="e">
        <f>IF(OR($B599="",MIN(AN$38,$D$19)&lt;MAX($P$34*($B599+IF($R$17="Distrato",$I$38-1,0)),IF(AND($L$37=0,$P$34=0),"",$L$37-1),IF($R$17="Distrato",$E599,0))),0,YEARFRAC(MAX($P$34*($B599+IF($R$17="Distrato",$I$38-1,0)),IF(AND($L$37=0,$P$34=0),"",$L$37-1),IF($R$17="Distrato",$E599,0)),MIN(AN$38,$D$19),$P$20))-SUM($P599:AM599)</f>
        <v>#VALUE!</v>
      </c>
      <c r="AO599" s="446" t="e">
        <f>IF(OR($B599="",MIN(AO$38,$D$19)&lt;MAX($P$34*($B599+IF($R$17="Distrato",$I$38-1,0)),IF(AND($L$37=0,$P$34=0),"",$L$37-1),IF($R$17="Distrato",$E599,0))),0,YEARFRAC(MAX($P$34*($B599+IF($R$17="Distrato",$I$38-1,0)),IF(AND($L$37=0,$P$34=0),"",$L$37-1),IF($R$17="Distrato",$E599,0)),MIN(AO$38,$D$19),$P$20))-SUM($P599:AN599)</f>
        <v>#VALUE!</v>
      </c>
      <c r="AP599" s="446" t="e">
        <f>IF(OR($B599="",MIN(AP$38,$D$19)&lt;MAX($P$34*($B599+IF($R$17="Distrato",$I$38-1,0)),IF(AND($L$37=0,$P$34=0),"",$L$37-1),IF($R$17="Distrato",$E599,0))),0,YEARFRAC(MAX($P$34*($B599+IF($R$17="Distrato",$I$38-1,0)),IF(AND($L$37=0,$P$34=0),"",$L$37-1),IF($R$17="Distrato",$E599,0)),MIN(AP$38,$D$19),$P$20))-SUM($P599:AO599)</f>
        <v>#VALUE!</v>
      </c>
      <c r="AQ599" s="446" t="e">
        <f>IF(OR($B599="",MIN(AQ$38,$D$19)&lt;MAX($P$34*($B599+IF($R$17="Distrato",$I$38-1,0)),IF(AND($L$37=0,$P$34=0),"",$L$37-1),IF($R$17="Distrato",$E599,0))),0,YEARFRAC(MAX($P$34*($B599+IF($R$17="Distrato",$I$38-1,0)),IF(AND($L$37=0,$P$34=0),"",$L$37-1),IF($R$17="Distrato",$E599,0)),MIN(AQ$38,$D$19),$P$20))-SUM($P599:AP599)</f>
        <v>#VALUE!</v>
      </c>
      <c r="AR599" s="446" t="e">
        <f>IF(OR($B599="",MIN(AR$38,$D$19)&lt;MAX($P$34*($B599+IF($R$17="Distrato",$I$38-1,0)),IF(AND($L$37=0,$P$34=0),"",$L$37-1),IF($R$17="Distrato",$E599,0))),0,YEARFRAC(MAX($P$34*($B599+IF($R$17="Distrato",$I$38-1,0)),IF(AND($L$37=0,$P$34=0),"",$L$37-1),IF($R$17="Distrato",$E599,0)),MIN(AR$38,$D$19),$P$20))-SUM($P599:AQ599)</f>
        <v>#VALUE!</v>
      </c>
      <c r="AS599" s="446" t="e">
        <f>IF(OR($B599="",MIN(AS$38,$D$19)&lt;MAX($P$34*($B599+IF($R$17="Distrato",$I$38-1,0)),IF(AND($L$37=0,$P$34=0),"",$L$37-1),IF($R$17="Distrato",$E599,0))),0,YEARFRAC(MAX($P$34*($B599+IF($R$17="Distrato",$I$38-1,0)),IF(AND($L$37=0,$P$34=0),"",$L$37-1),IF($R$17="Distrato",$E599,0)),MIN(AS$38,$D$19),$P$20))-SUM($P599:AR599)</f>
        <v>#VALUE!</v>
      </c>
      <c r="AT599" s="446" t="e">
        <f>IF(OR($B599="",MIN(AT$38,$D$19)&lt;MAX($P$34*($B599+IF($R$17="Distrato",$I$38-1,0)),IF(AND($L$37=0,$P$34=0),"",$L$37-1),IF($R$17="Distrato",$E599,0))),0,YEARFRAC(MAX($P$34*($B599+IF($R$17="Distrato",$I$38-1,0)),IF(AND($L$37=0,$P$34=0),"",$L$37-1),IF($R$17="Distrato",$E599,0)),MIN(AT$38,$D$19),$P$20))-SUM($P599:AS599)</f>
        <v>#VALUE!</v>
      </c>
      <c r="AU599" s="446" t="e">
        <f>IF(OR($B599="",MIN(AU$38,$D$19)&lt;MAX($P$34*($B599+IF($R$17="Distrato",$I$38-1,0)),IF(AND($L$37=0,$P$34=0),"",$L$37-1),IF($R$17="Distrato",$E599,0))),0,YEARFRAC(MAX($P$34*($B599+IF($R$17="Distrato",$I$38-1,0)),IF(AND($L$37=0,$P$34=0),"",$L$37-1),IF($R$17="Distrato",$E599,0)),MIN(AU$38,$D$19),$P$20))-SUM($P599:AT599)</f>
        <v>#VALUE!</v>
      </c>
      <c r="AV599" s="446" t="e">
        <f>IF(OR($B599="",MIN(AV$38,$D$19)&lt;MAX($P$34*($B599+IF($R$17="Distrato",$I$38-1,0)),IF(AND($L$37=0,$P$34=0),"",$L$37-1),IF($R$17="Distrato",$E599,0))),0,YEARFRAC(MAX($P$34*($B599+IF($R$17="Distrato",$I$38-1,0)),IF(AND($L$37=0,$P$34=0),"",$L$37-1),IF($R$17="Distrato",$E599,0)),MIN(AV$38,$D$19),$P$20))-SUM($P599:AU599)</f>
        <v>#VALUE!</v>
      </c>
      <c r="AW599" s="446" t="e">
        <f>IF(OR($B599="",MIN(AW$38,$D$19)&lt;MAX($P$34*($B599+IF($R$17="Distrato",$I$38-1,0)),IF(AND($L$37=0,$P$34=0),"",$L$37-1),IF($R$17="Distrato",$E599,0))),0,YEARFRAC(MAX($P$34*($B599+IF($R$17="Distrato",$I$38-1,0)),IF(AND($L$37=0,$P$34=0),"",$L$37-1),IF($R$17="Distrato",$E599,0)),MIN(AW$38,$D$19),$P$20))-SUM($P599:AV599)</f>
        <v>#VALUE!</v>
      </c>
      <c r="AX599" s="446" t="e">
        <f>IF(OR($B599="",MIN(AX$38,$D$19)&lt;MAX($P$34*($B599+IF($R$17="Distrato",$I$38-1,0)),IF(AND($L$37=0,$P$34=0),"",$L$37-1),IF($R$17="Distrato",$E599,0))),0,YEARFRAC(MAX($P$34*($B599+IF($R$17="Distrato",$I$38-1,0)),IF(AND($L$37=0,$P$34=0),"",$L$37-1),IF($R$17="Distrato",$E599,0)),MIN(AX$38,$D$19),$P$20))-SUM($P599:AW599)</f>
        <v>#VALUE!</v>
      </c>
      <c r="AY599" s="446" t="e">
        <f>IF(OR($B599="",MIN(AY$38,$D$19)&lt;MAX($P$34*($B599+IF($R$17="Distrato",$I$38-1,0)),IF(AND($L$37=0,$P$34=0),"",$L$37-1),IF($R$17="Distrato",$E599,0))),0,YEARFRAC(MAX($P$34*($B599+IF($R$17="Distrato",$I$38-1,0)),IF(AND($L$37=0,$P$34=0),"",$L$37-1),IF($R$17="Distrato",$E599,0)),MIN(AY$38,$D$19),$P$20))-SUM($P599:AX599)</f>
        <v>#VALUE!</v>
      </c>
      <c r="AZ599" s="446" t="e">
        <f>IF(OR($B599="",MIN(AZ$38,$D$19)&lt;MAX($P$34*($B599+IF($R$17="Distrato",$I$38-1,0)),IF(AND($L$37=0,$P$34=0),"",$L$37-1),IF($R$17="Distrato",$E599,0))),0,YEARFRAC(MAX($P$34*($B599+IF($R$17="Distrato",$I$38-1,0)),IF(AND($L$37=0,$P$34=0),"",$L$37-1),IF($R$17="Distrato",$E599,0)),MIN(AZ$38,$D$19),$P$20))-SUM($P599:AY599)</f>
        <v>#VALUE!</v>
      </c>
      <c r="BA599" s="446" t="e">
        <f>IF(OR($B599="",MIN(BA$38,$D$19)&lt;MAX($P$34*($B599+IF($R$17="Distrato",$I$38-1,0)),IF(AND($L$37=0,$P$34=0),"",$L$37-1),IF($R$17="Distrato",$E599,0))),0,YEARFRAC(MAX($P$34*($B599+IF($R$17="Distrato",$I$38-1,0)),IF(AND($L$37=0,$P$34=0),"",$L$37-1),IF($R$17="Distrato",$E599,0)),MIN(BA$38,$D$19),$P$20))-SUM($P599:AZ599)</f>
        <v>#VALUE!</v>
      </c>
      <c r="BB599" s="447"/>
      <c r="BF599" s="446">
        <f t="shared" si="98"/>
        <v>0</v>
      </c>
      <c r="BG599" s="446">
        <f>IF($E599=0,0,IF(MIN(BG$38,$E599)&lt;MAX($P$34*($B599+$I$38-1),IF(AND($L$37=0,$P$34=0),"",$L$37-1)),0,YEARFRAC(MAX($P$34*($B599+$I$38-1),IF(AND($L$37=0,$P$34=0),"",$L$37-1)),MIN(BG$38,$E599),$P$20))-SUM($BF599:BF599))</f>
        <v>0</v>
      </c>
      <c r="BH599" s="446">
        <f>IF($E599=0,0,IF(MIN(BH$38,$E599)&lt;MAX($P$34*($B599+$I$38-1),IF(AND($L$37=0,$P$34=0),"",$L$37-1)),0,YEARFRAC(MAX($P$34*($B599+$I$38-1),IF(AND($L$37=0,$P$34=0),"",$L$37-1)),MIN(BH$38,$E599),$P$20))-SUM($BF599:BG599))</f>
        <v>0</v>
      </c>
      <c r="BI599" s="446">
        <f>IF($E599=0,0,IF(MIN(BI$38,$E599)&lt;MAX($P$34*($B599+$I$38-1),IF(AND($L$37=0,$P$34=0),"",$L$37-1)),0,YEARFRAC(MAX($P$34*($B599+$I$38-1),IF(AND($L$37=0,$P$34=0),"",$L$37-1)),MIN(BI$38,$E599),$P$20))-SUM($BF599:BH599))</f>
        <v>0</v>
      </c>
      <c r="BJ599" s="446">
        <f>IF($E599=0,0,IF(MIN(BJ$38,$E599)&lt;MAX($P$34*($B599+$I$38-1),IF(AND($L$37=0,$P$34=0),"",$L$37-1)),0,YEARFRAC(MAX($P$34*($B599+$I$38-1),IF(AND($L$37=0,$P$34=0),"",$L$37-1)),MIN(BJ$38,$E599),$P$20))-SUM($BF599:BI599))</f>
        <v>0</v>
      </c>
      <c r="BK599" s="446">
        <f>IF($E599=0,0,IF(MIN(BK$38,$E599)&lt;MAX($P$34*($B599+$I$38-1),IF(AND($L$37=0,$P$34=0),"",$L$37-1)),0,YEARFRAC(MAX($P$34*($B599+$I$38-1),IF(AND($L$37=0,$P$34=0),"",$L$37-1)),MIN(BK$38,$E599),$P$20))-SUM($BF599:BJ599))</f>
        <v>0</v>
      </c>
      <c r="BL599" s="446">
        <f>IF($E599=0,0,IF(MIN(BL$38,$E599)&lt;MAX($P$34*($B599+$I$38-1),IF(AND($L$37=0,$P$34=0),"",$L$37-1)),0,YEARFRAC(MAX($P$34*($B599+$I$38-1),IF(AND($L$37=0,$P$34=0),"",$L$37-1)),MIN(BL$38,$E599),$P$20))-SUM($BF599:BK599))</f>
        <v>0</v>
      </c>
      <c r="BM599" s="446">
        <f>IF($E599=0,0,IF(MIN(BM$38,$E599)&lt;MAX($P$34*($B599+$I$38-1),IF(AND($L$37=0,$P$34=0),"",$L$37-1)),0,YEARFRAC(MAX($P$34*($B599+$I$38-1),IF(AND($L$37=0,$P$34=0),"",$L$37-1)),MIN(BM$38,$E599),$P$20))-SUM($BF599:BL599))</f>
        <v>0</v>
      </c>
      <c r="BN599" s="446">
        <f>IF($E599=0,0,IF(MIN(BN$38,$E599)&lt;MAX($P$34*($B599+$I$38-1),IF(AND($L$37=0,$P$34=0),"",$L$37-1)),0,YEARFRAC(MAX($P$34*($B599+$I$38-1),IF(AND($L$37=0,$P$34=0),"",$L$37-1)),MIN(BN$38,$E599),$P$20))-SUM($BF599:BM599))</f>
        <v>0</v>
      </c>
      <c r="BO599" s="446">
        <f>IF($E599=0,0,IF(MIN(BO$38,$E599)&lt;MAX($P$34*($B599+$I$38-1),IF(AND($L$37=0,$P$34=0),"",$L$37-1)),0,YEARFRAC(MAX($P$34*($B599+$I$38-1),IF(AND($L$37=0,$P$34=0),"",$L$37-1)),MIN(BO$38,$E599),$P$20))-SUM($BF599:BN599))</f>
        <v>0</v>
      </c>
      <c r="BP599" s="446">
        <f>IF($E599=0,0,IF(MIN(BP$38,$E599)&lt;MAX($P$34*($B599+$I$38-1),IF(AND($L$37=0,$P$34=0),"",$L$37-1)),0,YEARFRAC(MAX($P$34*($B599+$I$38-1),IF(AND($L$37=0,$P$34=0),"",$L$37-1)),MIN(BP$38,$E599),$P$20))-SUM($BF599:BO599))</f>
        <v>0</v>
      </c>
      <c r="BQ599" s="446">
        <f>IF($E599=0,0,IF(MIN(BQ$38,$E599)&lt;MAX($P$34*($B599+$I$38-1),IF(AND($L$37=0,$P$34=0),"",$L$37-1)),0,YEARFRAC(MAX($P$34*($B599+$I$38-1),IF(AND($L$37=0,$P$34=0),"",$L$37-1)),MIN(BQ$38,$E599),$P$20))-SUM($BF599:BP599))</f>
        <v>0</v>
      </c>
      <c r="BR599" s="446">
        <f>IF($E599=0,0,IF(MIN(BR$38,$E599)&lt;MAX($P$34*($B599+$I$38-1),IF(AND($L$37=0,$P$34=0),"",$L$37-1)),0,YEARFRAC(MAX($P$34*($B599+$I$38-1),IF(AND($L$37=0,$P$34=0),"",$L$37-1)),MIN(BR$38,$E599),$P$20))-SUM($BF599:BQ599))</f>
        <v>0</v>
      </c>
      <c r="BS599" s="446">
        <f>IF($E599=0,0,IF(MIN(BS$38,$E599)&lt;MAX($P$34*($B599+$I$38-1),IF(AND($L$37=0,$P$34=0),"",$L$37-1)),0,YEARFRAC(MAX($P$34*($B599+$I$38-1),IF(AND($L$37=0,$P$34=0),"",$L$37-1)),MIN(BS$38,$E599),$P$20))-SUM($BF599:BR599))</f>
        <v>0</v>
      </c>
      <c r="BT599" s="446">
        <f>IF($E599=0,0,IF(MIN(BT$38,$E599)&lt;MAX($P$34*($B599+$I$38-1),IF(AND($L$37=0,$P$34=0),"",$L$37-1)),0,YEARFRAC(MAX($P$34*($B599+$I$38-1),IF(AND($L$37=0,$P$34=0),"",$L$37-1)),MIN(BT$38,$E599),$P$20))-SUM($BF599:BS599))</f>
        <v>0</v>
      </c>
      <c r="BU599" s="446">
        <f>IF($E599=0,0,IF(MIN(BU$38,$E599)&lt;MAX($P$34*($B599+$I$38-1),IF(AND($L$37=0,$P$34=0),"",$L$37-1)),0,YEARFRAC(MAX($P$34*($B599+$I$38-1),IF(AND($L$37=0,$P$34=0),"",$L$37-1)),MIN(BU$38,$E599),$P$20))-SUM($BF599:BT599))</f>
        <v>0</v>
      </c>
      <c r="BV599" s="446">
        <f>IF($E599=0,0,IF(MIN(BV$38,$E599)&lt;MAX($P$34*($B599+$I$38-1),IF(AND($L$37=0,$P$34=0),"",$L$37-1)),0,YEARFRAC(MAX($P$34*($B599+$I$38-1),IF(AND($L$37=0,$P$34=0),"",$L$37-1)),MIN(BV$38,$E599),$P$20))-SUM($BF599:BU599))</f>
        <v>0</v>
      </c>
      <c r="BW599" s="446">
        <f>IF($E599=0,0,IF(MIN(BW$38,$E599)&lt;MAX($P$34*($B599+$I$38-1),IF(AND($L$37=0,$P$34=0),"",$L$37-1)),0,YEARFRAC(MAX($P$34*($B599+$I$38-1),IF(AND($L$37=0,$P$34=0),"",$L$37-1)),MIN(BW$38,$E599),$P$20))-SUM($BF599:BV599))</f>
        <v>0</v>
      </c>
      <c r="BX599" s="446">
        <f>IF($E599=0,0,IF(MIN(BX$38,$E599)&lt;MAX($P$34*($B599+$I$38-1),IF(AND($L$37=0,$P$34=0),"",$L$37-1)),0,YEARFRAC(MAX($P$34*($B599+$I$38-1),IF(AND($L$37=0,$P$34=0),"",$L$37-1)),MIN(BX$38,$E599),$P$20))-SUM($BF599:BW599))</f>
        <v>0</v>
      </c>
      <c r="BY599" s="446">
        <f>IF($E599=0,0,IF(MIN(BY$38,$E599)&lt;MAX($P$34*($B599+$I$38-1),IF(AND($L$37=0,$P$34=0),"",$L$37-1)),0,YEARFRAC(MAX($P$34*($B599+$I$38-1),IF(AND($L$37=0,$P$34=0),"",$L$37-1)),MIN(BY$38,$E599),$P$20))-SUM($BF599:BX599))</f>
        <v>0</v>
      </c>
      <c r="BZ599" s="446">
        <f>IF($E599=0,0,IF(MIN(BZ$38,$E599)&lt;MAX($P$34*($B599+$I$38-1),IF(AND($L$37=0,$P$34=0),"",$L$37-1)),0,YEARFRAC(MAX($P$34*($B599+$I$38-1),IF(AND($L$37=0,$P$34=0),"",$L$37-1)),MIN(BZ$38,$E599),$P$20))-SUM($BF599:BY599))</f>
        <v>0</v>
      </c>
      <c r="CA599" s="446">
        <f>IF($E599=0,0,IF(MIN(CA$38,$E599)&lt;MAX($P$34*($B599+$I$38-1),IF(AND($L$37=0,$P$34=0),"",$L$37-1)),0,YEARFRAC(MAX($P$34*($B599+$I$38-1),IF(AND($L$37=0,$P$34=0),"",$L$37-1)),MIN(CA$38,$E599),$P$20))-SUM($BF599:BZ599))</f>
        <v>0</v>
      </c>
      <c r="CB599" s="446">
        <f>IF($E599=0,0,IF(MIN(CB$38,$E599)&lt;MAX($P$34*($B599+$I$38-1),IF(AND($L$37=0,$P$34=0),"",$L$37-1)),0,YEARFRAC(MAX($P$34*($B599+$I$38-1),IF(AND($L$37=0,$P$34=0),"",$L$37-1)),MIN(CB$38,$E599),$P$20))-SUM($BF599:CA599))</f>
        <v>0</v>
      </c>
      <c r="CC599" s="446">
        <f>IF($E599=0,0,IF(MIN(CC$38,$E599)&lt;MAX($P$34*($B599+$I$38-1),IF(AND($L$37=0,$P$34=0),"",$L$37-1)),0,YEARFRAC(MAX($P$34*($B599+$I$38-1),IF(AND($L$37=0,$P$34=0),"",$L$37-1)),MIN(CC$38,$E599),$P$20))-SUM($BF599:CB599))</f>
        <v>0</v>
      </c>
      <c r="CD599" s="446">
        <f>IF($E599=0,0,IF(MIN(CD$38,$E599)&lt;MAX($P$34*($B599+$I$38-1),IF(AND($L$37=0,$P$34=0),"",$L$37-1)),0,YEARFRAC(MAX($P$34*($B599+$I$38-1),IF(AND($L$37=0,$P$34=0),"",$L$37-1)),MIN(CD$38,$E599),$P$20))-SUM($BF599:CC599))</f>
        <v>0</v>
      </c>
      <c r="CE599" s="446">
        <f>IF($E599=0,0,IF(MIN(CE$38,$E599)&lt;MAX($P$34*($B599+$I$38-1),IF(AND($L$37=0,$P$34=0),"",$L$37-1)),0,YEARFRAC(MAX($P$34*($B599+$I$38-1),IF(AND($L$37=0,$P$34=0),"",$L$37-1)),MIN(CE$38,$E599),$P$20))-SUM($BF599:CD599))</f>
        <v>0</v>
      </c>
      <c r="CF599" s="446">
        <f>IF($E599=0,0,IF(MIN(CF$38,$E599)&lt;MAX($P$34*($B599+$I$38-1),IF(AND($L$37=0,$P$34=0),"",$L$37-1)),0,YEARFRAC(MAX($P$34*($B599+$I$38-1),IF(AND($L$37=0,$P$34=0),"",$L$37-1)),MIN(CF$38,$E599),$P$20))-SUM($BF599:CE599))</f>
        <v>0</v>
      </c>
      <c r="CG599" s="446">
        <f>IF($E599=0,0,IF(MIN(CG$38,$E599)&lt;MAX($P$34*($B599+$I$38-1),IF(AND($L$37=0,$P$34=0),"",$L$37-1)),0,YEARFRAC(MAX($P$34*($B599+$I$38-1),IF(AND($L$37=0,$P$34=0),"",$L$37-1)),MIN(CG$38,$E599),$P$20))-SUM($BF599:CF599))</f>
        <v>0</v>
      </c>
      <c r="CH599" s="446">
        <f>IF($E599=0,0,IF(MIN(CH$38,$E599)&lt;MAX($P$34*($B599+$I$38-1),IF(AND($L$37=0,$P$34=0),"",$L$37-1)),0,YEARFRAC(MAX($P$34*($B599+$I$38-1),IF(AND($L$37=0,$P$34=0),"",$L$37-1)),MIN(CH$38,$E599),$P$20))-SUM($BF599:CG599))</f>
        <v>0</v>
      </c>
      <c r="CI599" s="446">
        <f>IF($E599=0,0,IF(MIN(CI$38,$E599)&lt;MAX($P$34*($B599+$I$38-1),IF(AND($L$37=0,$P$34=0),"",$L$37-1)),0,YEARFRAC(MAX($P$34*($B599+$I$38-1),IF(AND($L$37=0,$P$34=0),"",$L$37-1)),MIN(CI$38,$E599),$P$20))-SUM($BF599:CH599))</f>
        <v>0</v>
      </c>
      <c r="CJ599" s="446">
        <f>IF($E599=0,0,IF(MIN(CJ$38,$E599)&lt;MAX($P$34*($B599+$I$38-1),IF(AND($L$37=0,$P$34=0),"",$L$37-1)),0,YEARFRAC(MAX($P$34*($B599+$I$38-1),IF(AND($L$37=0,$P$34=0),"",$L$37-1)),MIN(CJ$38,$E599),$P$20))-SUM($BF599:CI599))</f>
        <v>0</v>
      </c>
      <c r="CK599" s="446">
        <f>IF($E599=0,0,IF(MIN(CK$38,$E599)&lt;MAX($P$34*($B599+$I$38-1),IF(AND($L$37=0,$P$34=0),"",$L$37-1)),0,YEARFRAC(MAX($P$34*($B599+$I$38-1),IF(AND($L$37=0,$P$34=0),"",$L$37-1)),MIN(CK$38,$E599),$P$20))-SUM($BF599:CJ599))</f>
        <v>0</v>
      </c>
      <c r="CL599" s="446">
        <f>IF($E599=0,0,IF(MIN(CL$38,$E599)&lt;MAX($P$34*($B599+$I$38-1),IF(AND($L$37=0,$P$34=0),"",$L$37-1)),0,YEARFRAC(MAX($P$34*($B599+$I$38-1),IF(AND($L$37=0,$P$34=0),"",$L$37-1)),MIN(CL$38,$E599),$P$20))-SUM($BF599:CK599))</f>
        <v>0</v>
      </c>
      <c r="CM599" s="446">
        <f>IF($E599=0,0,IF(MIN(CM$38,$E599)&lt;MAX($P$34*($B599+$I$38-1),IF(AND($L$37=0,$P$34=0),"",$L$37-1)),0,YEARFRAC(MAX($P$34*($B599+$I$38-1),IF(AND($L$37=0,$P$34=0),"",$L$37-1)),MIN(CM$38,$E599),$P$20))-SUM($BF599:CL599))</f>
        <v>0</v>
      </c>
      <c r="CN599" s="446">
        <f>IF($E599=0,0,IF(MIN(CN$38,$E599)&lt;MAX($P$34*($B599+$I$38-1),IF(AND($L$37=0,$P$34=0),"",$L$37-1)),0,YEARFRAC(MAX($P$34*($B599+$I$38-1),IF(AND($L$37=0,$P$34=0),"",$L$37-1)),MIN(CN$38,$E599),$P$20))-SUM($BF599:CM599))</f>
        <v>0</v>
      </c>
      <c r="CO599" s="446">
        <f>IF($E599=0,0,IF(MIN(CO$38,$E599)&lt;MAX($P$34*($B599+$I$38-1),IF(AND($L$37=0,$P$34=0),"",$L$37-1)),0,YEARFRAC(MAX($P$34*($B599+$I$38-1),IF(AND($L$37=0,$P$34=0),"",$L$37-1)),MIN(CO$38,$E599),$P$20))-SUM($BF599:CN599))</f>
        <v>0</v>
      </c>
      <c r="CP599" s="446">
        <f>IF($E599=0,0,IF(MIN(CP$38,$E599)&lt;MAX($P$34*($B599+$I$38-1),IF(AND($L$37=0,$P$34=0),"",$L$37-1)),0,YEARFRAC(MAX($P$34*($B599+$I$38-1),IF(AND($L$37=0,$P$34=0),"",$L$37-1)),MIN(CP$38,$E599),$P$20))-SUM($BF599:CO599))</f>
        <v>0</v>
      </c>
      <c r="CQ599" s="446">
        <f>IF($E599=0,0,IF(MIN(CQ$38,$E599)&lt;MAX($P$34*($B599+$I$38-1),IF(AND($L$37=0,$P$34=0),"",$L$37-1)),0,YEARFRAC(MAX($P$34*($B599+$I$38-1),IF(AND($L$37=0,$P$34=0),"",$L$37-1)),MIN(CQ$38,$E599),$P$20))-SUM($BF599:CP599))</f>
        <v>0</v>
      </c>
    </row>
    <row r="600" spans="1:95" s="446" customFormat="1" ht="11.25" hidden="1" customHeight="1" x14ac:dyDescent="0.2">
      <c r="A600" s="152"/>
      <c r="B600" s="153" t="str">
        <f t="shared" si="103"/>
        <v/>
      </c>
      <c r="C600" s="29" t="str">
        <f>IF(B600="","",IF($L$35="SELIC - TRIBUTOS",VLOOKUP(DATE(YEAR($D$19),MONTH($D$19)-1,1),ÍNDICES!$A:$DE,HLOOKUP($BL$25,ÍNDICES!$B$3:$T$4,2)+11)-VLOOKUP(B600,ÍNDICES!$A:$DE,HLOOKUP($BL$25,ÍNDICES!$B$3:$T$4,2)+11)+1%,IF(C$38=$W$26,$J$35,IF(ISERROR(IF(B600&gt;$D$19,1,VLOOKUP(DATE(YEAR(B600),MONTH(B600)+IF($C$35=$S$23,1,0),1),ÍNDICES!$A:$DE,$Z$35+1))),"",IF(B600&gt;$D$19,1,VLOOKUP(DATE(YEAR(B600),MONTH(B600)+IF($C$35=$S$23,1,0),1),ÍNDICES!$A:$DE,$Z$35+1))))))</f>
        <v/>
      </c>
      <c r="D600" s="154" t="str">
        <f>IF(ISERROR(IF(OR($D$38=$Y$27,$B600=""),"",VLOOKUP(B600,ÍNDICES!A:DE,AF$35+1))),"",IF(OR($D$38=$Y$27,$B600=""),"",VLOOKUP(B600,ÍNDICES!A:DE,AF$35+1)))</f>
        <v/>
      </c>
      <c r="E600" s="153"/>
      <c r="F600" s="29" t="str">
        <f>IF(E600="","",IF($L$35="SELIC - TRIBUTOS",VLOOKUP(DATE(YEAR($D$19),MONTH($D$19)-1,1),ÍNDICES!$A:$DE,HLOOKUP($BL$25,ÍNDICES!$B$3:$T$4,2)+11)-VLOOKUP(E600,ÍNDICES!$A:$DE,HLOOKUP($BL$25,ÍNDICES!$B$3:$T$4,2)+11)+1%,IF(F$38=$W$26,$J$35,IF(ISERROR(IF(E600&gt;$D$19,1,VLOOKUP(DATE(YEAR(E600),MONTH(E600)+IF($C$35=$S$23,1,0),1),ÍNDICES!$A:$DE,$Z$35+1))),"",IF(E600&gt;$D$19,1,VLOOKUP(DATE(YEAR(E600),MONTH(E600)+IF($C$35=$S$23,1,0),1),ÍNDICES!$A:$DE,$Z$35+1))))))</f>
        <v/>
      </c>
      <c r="G600" s="155"/>
      <c r="H600" s="156" t="str">
        <f t="shared" si="99"/>
        <v/>
      </c>
      <c r="I600" s="29" t="str">
        <f t="shared" si="93"/>
        <v/>
      </c>
      <c r="J600" s="5">
        <f t="shared" si="94"/>
        <v>0</v>
      </c>
      <c r="K600" s="20">
        <f t="shared" ca="1" si="95"/>
        <v>0</v>
      </c>
      <c r="L600" s="5">
        <f t="shared" ca="1" si="96"/>
        <v>0</v>
      </c>
      <c r="M600" s="64">
        <f t="shared" si="100"/>
        <v>0</v>
      </c>
      <c r="N600" s="61">
        <f t="shared" ca="1" si="101"/>
        <v>0</v>
      </c>
      <c r="O600" s="5">
        <f t="shared" ca="1" si="102"/>
        <v>0</v>
      </c>
      <c r="P600" s="446" t="e">
        <f t="shared" si="97"/>
        <v>#VALUE!</v>
      </c>
      <c r="Q600" s="446" t="e">
        <f>IF(OR($B600="",MIN(Q$38,$D$19)&lt;MAX($P$34*($B600+IF($R$17="Distrato",$I$38-1,0)),IF(AND($L$37=0,$P$34=0),"",$L$37-1),IF($R$17="Distrato",$E600,0))),0,YEARFRAC(MAX($P$34*($B600+IF($R$17="Distrato",$I$38-1,0)),IF(AND($L$37=0,$P$34=0),"",$L$37-1),IF($R$17="Distrato",$E600,0)),MIN(Q$38,$D$19),$P$20))-SUM($P600:P600)</f>
        <v>#VALUE!</v>
      </c>
      <c r="R600" s="446" t="e">
        <f>IF(OR($B600="",MIN(R$38,$D$19)&lt;MAX($P$34*($B600+IF($R$17="Distrato",$I$38-1,0)),IF(AND($L$37=0,$P$34=0),"",$L$37-1),IF($R$17="Distrato",$E600,0))),0,YEARFRAC(MAX($P$34*($B600+IF($R$17="Distrato",$I$38-1,0)),IF(AND($L$37=0,$P$34=0),"",$L$37-1),IF($R$17="Distrato",$E600,0)),MIN(R$38,$D$19),$P$20))-SUM($P600:Q600)</f>
        <v>#VALUE!</v>
      </c>
      <c r="S600" s="446" t="e">
        <f>IF(OR($B600="",MIN(S$38,$D$19)&lt;MAX($P$34*($B600+IF($R$17="Distrato",$I$38-1,0)),IF(AND($L$37=0,$P$34=0),"",$L$37-1),IF($R$17="Distrato",$E600,0))),0,YEARFRAC(MAX($P$34*($B600+IF($R$17="Distrato",$I$38-1,0)),IF(AND($L$37=0,$P$34=0),"",$L$37-1),IF($R$17="Distrato",$E600,0)),MIN(S$38,$D$19),$P$20))-SUM($P600:R600)</f>
        <v>#VALUE!</v>
      </c>
      <c r="T600" s="446" t="e">
        <f>IF(OR($B600="",MIN(T$38,$D$19)&lt;MAX($P$34*($B600+IF($R$17="Distrato",$I$38-1,0)),IF(AND($L$37=0,$P$34=0),"",$L$37-1),IF($R$17="Distrato",$E600,0))),0,YEARFRAC(MAX($P$34*($B600+IF($R$17="Distrato",$I$38-1,0)),IF(AND($L$37=0,$P$34=0),"",$L$37-1),IF($R$17="Distrato",$E600,0)),MIN(T$38,$D$19),$P$20))-SUM($P600:S600)</f>
        <v>#VALUE!</v>
      </c>
      <c r="U600" s="446" t="e">
        <f>IF(OR($B600="",MIN(U$38,$D$19)&lt;MAX($P$34*($B600+IF($R$17="Distrato",$I$38-1,0)),IF(AND($L$37=0,$P$34=0),"",$L$37-1),IF($R$17="Distrato",$E600,0))),0,YEARFRAC(MAX($P$34*($B600+IF($R$17="Distrato",$I$38-1,0)),IF(AND($L$37=0,$P$34=0),"",$L$37-1),IF($R$17="Distrato",$E600,0)),MIN(U$38,$D$19),$P$20))-SUM($P600:T600)</f>
        <v>#VALUE!</v>
      </c>
      <c r="V600" s="446" t="e">
        <f>IF(OR($B600="",MIN(V$38,$D$19)&lt;MAX($P$34*($B600+IF($R$17="Distrato",$I$38-1,0)),IF(AND($L$37=0,$P$34=0),"",$L$37-1),IF($R$17="Distrato",$E600,0))),0,YEARFRAC(MAX($P$34*($B600+IF($R$17="Distrato",$I$38-1,0)),IF(AND($L$37=0,$P$34=0),"",$L$37-1),IF($R$17="Distrato",$E600,0)),MIN(V$38,$D$19),$P$20))-SUM($P600:U600)</f>
        <v>#VALUE!</v>
      </c>
      <c r="W600" s="446" t="e">
        <f>IF(OR($B600="",MIN(W$38,$D$19)&lt;MAX($P$34*($B600+IF($R$17="Distrato",$I$38-1,0)),IF(AND($L$37=0,$P$34=0),"",$L$37-1),IF($R$17="Distrato",$E600,0))),0,YEARFRAC(MAX($P$34*($B600+IF($R$17="Distrato",$I$38-1,0)),IF(AND($L$37=0,$P$34=0),"",$L$37-1),IF($R$17="Distrato",$E600,0)),MIN(W$38,$D$19),$P$20))-SUM($P600:V600)</f>
        <v>#VALUE!</v>
      </c>
      <c r="X600" s="446" t="e">
        <f>IF(OR($B600="",MIN(X$38,$D$19)&lt;MAX($P$34*($B600+IF($R$17="Distrato",$I$38-1,0)),IF(AND($L$37=0,$P$34=0),"",$L$37-1),IF($R$17="Distrato",$E600,0))),0,YEARFRAC(MAX($P$34*($B600+IF($R$17="Distrato",$I$38-1,0)),IF(AND($L$37=0,$P$34=0),"",$L$37-1),IF($R$17="Distrato",$E600,0)),MIN(X$38,$D$19),$P$20))-SUM($P600:W600)</f>
        <v>#VALUE!</v>
      </c>
      <c r="Y600" s="446" t="e">
        <f>IF(OR($B600="",MIN(Y$38,$D$19)&lt;MAX($P$34*($B600+IF($R$17="Distrato",$I$38-1,0)),IF(AND($L$37=0,$P$34=0),"",$L$37-1),IF($R$17="Distrato",$E600,0))),0,YEARFRAC(MAX($P$34*($B600+IF($R$17="Distrato",$I$38-1,0)),IF(AND($L$37=0,$P$34=0),"",$L$37-1),IF($R$17="Distrato",$E600,0)),MIN(Y$38,$D$19),$P$20))-SUM($P600:X600)</f>
        <v>#VALUE!</v>
      </c>
      <c r="Z600" s="446" t="e">
        <f>IF(OR($B600="",MIN(Z$38,$D$19)&lt;MAX($P$34*($B600+IF($R$17="Distrato",$I$38-1,0)),IF(AND($L$37=0,$P$34=0),"",$L$37-1),IF($R$17="Distrato",$E600,0))),0,YEARFRAC(MAX($P$34*($B600+IF($R$17="Distrato",$I$38-1,0)),IF(AND($L$37=0,$P$34=0),"",$L$37-1),IF($R$17="Distrato",$E600,0)),MIN(Z$38,$D$19),$P$20))-SUM($P600:Y600)</f>
        <v>#VALUE!</v>
      </c>
      <c r="AA600" s="446" t="e">
        <f>IF(OR($B600="",MIN(AA$38,$D$19)&lt;MAX($P$34*($B600+IF($R$17="Distrato",$I$38-1,0)),IF(AND($L$37=0,$P$34=0),"",$L$37-1),IF($R$17="Distrato",$E600,0))),0,YEARFRAC(MAX($P$34*($B600+IF($R$17="Distrato",$I$38-1,0)),IF(AND($L$37=0,$P$34=0),"",$L$37-1),IF($R$17="Distrato",$E600,0)),MIN(AA$38,$D$19),$P$20))-SUM($P600:Z600)</f>
        <v>#VALUE!</v>
      </c>
      <c r="AB600" s="446" t="e">
        <f>IF(OR($B600="",MIN(AB$38,$D$19)&lt;MAX($P$34*($B600+IF($R$17="Distrato",$I$38-1,0)),IF(AND($L$37=0,$P$34=0),"",$L$37-1),IF($R$17="Distrato",$E600,0))),0,YEARFRAC(MAX($P$34*($B600+IF($R$17="Distrato",$I$38-1,0)),IF(AND($L$37=0,$P$34=0),"",$L$37-1),IF($R$17="Distrato",$E600,0)),MIN(AB$38,$D$19),$P$20))-SUM($P600:AA600)</f>
        <v>#VALUE!</v>
      </c>
      <c r="AC600" s="446" t="e">
        <f>IF(OR($B600="",MIN(AC$38,$D$19)&lt;MAX($P$34*($B600+IF($R$17="Distrato",$I$38-1,0)),IF(AND($L$37=0,$P$34=0),"",$L$37-1),IF($R$17="Distrato",$E600,0))),0,YEARFRAC(MAX($P$34*($B600+IF($R$17="Distrato",$I$38-1,0)),IF(AND($L$37=0,$P$34=0),"",$L$37-1),IF($R$17="Distrato",$E600,0)),MIN(AC$38,$D$19),$P$20))-SUM($P600:AB600)</f>
        <v>#VALUE!</v>
      </c>
      <c r="AD600" s="446" t="e">
        <f>IF(OR($B600="",MIN(AD$38,$D$19)&lt;MAX($P$34*($B600+IF($R$17="Distrato",$I$38-1,0)),IF(AND($L$37=0,$P$34=0),"",$L$37-1),IF($R$17="Distrato",$E600,0))),0,YEARFRAC(MAX($P$34*($B600+IF($R$17="Distrato",$I$38-1,0)),IF(AND($L$37=0,$P$34=0),"",$L$37-1),IF($R$17="Distrato",$E600,0)),MIN(AD$38,$D$19),$P$20))-SUM($P600:AC600)</f>
        <v>#VALUE!</v>
      </c>
      <c r="AE600" s="446" t="e">
        <f>IF(OR($B600="",MIN(AE$38,$D$19)&lt;MAX($P$34*($B600+IF($R$17="Distrato",$I$38-1,0)),IF(AND($L$37=0,$P$34=0),"",$L$37-1),IF($R$17="Distrato",$E600,0))),0,YEARFRAC(MAX($P$34*($B600+IF($R$17="Distrato",$I$38-1,0)),IF(AND($L$37=0,$P$34=0),"",$L$37-1),IF($R$17="Distrato",$E600,0)),MIN(AE$38,$D$19),$P$20))-SUM($P600:AD600)</f>
        <v>#VALUE!</v>
      </c>
      <c r="AF600" s="446" t="e">
        <f>IF(OR($B600="",MIN(AF$38,$D$19)&lt;MAX($P$34*($B600+IF($R$17="Distrato",$I$38-1,0)),IF(AND($L$37=0,$P$34=0),"",$L$37-1),IF($R$17="Distrato",$E600,0))),0,YEARFRAC(MAX($P$34*($B600+IF($R$17="Distrato",$I$38-1,0)),IF(AND($L$37=0,$P$34=0),"",$L$37-1),IF($R$17="Distrato",$E600,0)),MIN(AF$38,$D$19),$P$20))-SUM($P600:AE600)</f>
        <v>#VALUE!</v>
      </c>
      <c r="AG600" s="446" t="e">
        <f>IF(OR($B600="",MIN(AG$38,$D$19)&lt;MAX($P$34*($B600+IF($R$17="Distrato",$I$38-1,0)),IF(AND($L$37=0,$P$34=0),"",$L$37-1),IF($R$17="Distrato",$E600,0))),0,YEARFRAC(MAX($P$34*($B600+IF($R$17="Distrato",$I$38-1,0)),IF(AND($L$37=0,$P$34=0),"",$L$37-1),IF($R$17="Distrato",$E600,0)),MIN(AG$38,$D$19),$P$20))-SUM($P600:AF600)</f>
        <v>#VALUE!</v>
      </c>
      <c r="AH600" s="446" t="e">
        <f>IF(OR($B600="",MIN(AH$38,$D$19)&lt;MAX($P$34*($B600+IF($R$17="Distrato",$I$38-1,0)),IF(AND($L$37=0,$P$34=0),"",$L$37-1),IF($R$17="Distrato",$E600,0))),0,YEARFRAC(MAX($P$34*($B600+IF($R$17="Distrato",$I$38-1,0)),IF(AND($L$37=0,$P$34=0),"",$L$37-1),IF($R$17="Distrato",$E600,0)),MIN(AH$38,$D$19),$P$20))-SUM($P600:AG600)</f>
        <v>#VALUE!</v>
      </c>
      <c r="AI600" s="446" t="e">
        <f>IF(OR($B600="",MIN(AI$38,$D$19)&lt;MAX($P$34*($B600+IF($R$17="Distrato",$I$38-1,0)),IF(AND($L$37=0,$P$34=0),"",$L$37-1),IF($R$17="Distrato",$E600,0))),0,YEARFRAC(MAX($P$34*($B600+IF($R$17="Distrato",$I$38-1,0)),IF(AND($L$37=0,$P$34=0),"",$L$37-1),IF($R$17="Distrato",$E600,0)),MIN(AI$38,$D$19),$P$20))-SUM($P600:AH600)</f>
        <v>#VALUE!</v>
      </c>
      <c r="AJ600" s="446" t="e">
        <f>IF(OR($B600="",MIN(AJ$38,$D$19)&lt;MAX($P$34*($B600+IF($R$17="Distrato",$I$38-1,0)),IF(AND($L$37=0,$P$34=0),"",$L$37-1),IF($R$17="Distrato",$E600,0))),0,YEARFRAC(MAX($P$34*($B600+IF($R$17="Distrato",$I$38-1,0)),IF(AND($L$37=0,$P$34=0),"",$L$37-1),IF($R$17="Distrato",$E600,0)),MIN(AJ$38,$D$19),$P$20))-SUM($P600:AI600)</f>
        <v>#VALUE!</v>
      </c>
      <c r="AK600" s="446" t="e">
        <f>IF(OR($B600="",MIN(AK$38,$D$19)&lt;MAX($P$34*($B600+IF($R$17="Distrato",$I$38-1,0)),IF(AND($L$37=0,$P$34=0),"",$L$37-1),IF($R$17="Distrato",$E600,0))),0,YEARFRAC(MAX($P$34*($B600+IF($R$17="Distrato",$I$38-1,0)),IF(AND($L$37=0,$P$34=0),"",$L$37-1),IF($R$17="Distrato",$E600,0)),MIN(AK$38,$D$19),$P$20))-SUM($P600:AJ600)</f>
        <v>#VALUE!</v>
      </c>
      <c r="AL600" s="446" t="e">
        <f>IF(OR($B600="",MIN(AL$38,$D$19)&lt;MAX($P$34*($B600+IF($R$17="Distrato",$I$38-1,0)),IF(AND($L$37=0,$P$34=0),"",$L$37-1),IF($R$17="Distrato",$E600,0))),0,YEARFRAC(MAX($P$34*($B600+IF($R$17="Distrato",$I$38-1,0)),IF(AND($L$37=0,$P$34=0),"",$L$37-1),IF($R$17="Distrato",$E600,0)),MIN(AL$38,$D$19),$P$20))-SUM($P600:AK600)</f>
        <v>#VALUE!</v>
      </c>
      <c r="AM600" s="446" t="e">
        <f>IF(OR($B600="",MIN(AM$38,$D$19)&lt;MAX($P$34*($B600+IF($R$17="Distrato",$I$38-1,0)),IF(AND($L$37=0,$P$34=0),"",$L$37-1),IF($R$17="Distrato",$E600,0))),0,YEARFRAC(MAX($P$34*($B600+IF($R$17="Distrato",$I$38-1,0)),IF(AND($L$37=0,$P$34=0),"",$L$37-1),IF($R$17="Distrato",$E600,0)),MIN(AM$38,$D$19),$P$20))-SUM($P600:AL600)</f>
        <v>#VALUE!</v>
      </c>
      <c r="AN600" s="446" t="e">
        <f>IF(OR($B600="",MIN(AN$38,$D$19)&lt;MAX($P$34*($B600+IF($R$17="Distrato",$I$38-1,0)),IF(AND($L$37=0,$P$34=0),"",$L$37-1),IF($R$17="Distrato",$E600,0))),0,YEARFRAC(MAX($P$34*($B600+IF($R$17="Distrato",$I$38-1,0)),IF(AND($L$37=0,$P$34=0),"",$L$37-1),IF($R$17="Distrato",$E600,0)),MIN(AN$38,$D$19),$P$20))-SUM($P600:AM600)</f>
        <v>#VALUE!</v>
      </c>
      <c r="AO600" s="446" t="e">
        <f>IF(OR($B600="",MIN(AO$38,$D$19)&lt;MAX($P$34*($B600+IF($R$17="Distrato",$I$38-1,0)),IF(AND($L$37=0,$P$34=0),"",$L$37-1),IF($R$17="Distrato",$E600,0))),0,YEARFRAC(MAX($P$34*($B600+IF($R$17="Distrato",$I$38-1,0)),IF(AND($L$37=0,$P$34=0),"",$L$37-1),IF($R$17="Distrato",$E600,0)),MIN(AO$38,$D$19),$P$20))-SUM($P600:AN600)</f>
        <v>#VALUE!</v>
      </c>
      <c r="AP600" s="446" t="e">
        <f>IF(OR($B600="",MIN(AP$38,$D$19)&lt;MAX($P$34*($B600+IF($R$17="Distrato",$I$38-1,0)),IF(AND($L$37=0,$P$34=0),"",$L$37-1),IF($R$17="Distrato",$E600,0))),0,YEARFRAC(MAX($P$34*($B600+IF($R$17="Distrato",$I$38-1,0)),IF(AND($L$37=0,$P$34=0),"",$L$37-1),IF($R$17="Distrato",$E600,0)),MIN(AP$38,$D$19),$P$20))-SUM($P600:AO600)</f>
        <v>#VALUE!</v>
      </c>
      <c r="AQ600" s="446" t="e">
        <f>IF(OR($B600="",MIN(AQ$38,$D$19)&lt;MAX($P$34*($B600+IF($R$17="Distrato",$I$38-1,0)),IF(AND($L$37=0,$P$34=0),"",$L$37-1),IF($R$17="Distrato",$E600,0))),0,YEARFRAC(MAX($P$34*($B600+IF($R$17="Distrato",$I$38-1,0)),IF(AND($L$37=0,$P$34=0),"",$L$37-1),IF($R$17="Distrato",$E600,0)),MIN(AQ$38,$D$19),$P$20))-SUM($P600:AP600)</f>
        <v>#VALUE!</v>
      </c>
      <c r="AR600" s="446" t="e">
        <f>IF(OR($B600="",MIN(AR$38,$D$19)&lt;MAX($P$34*($B600+IF($R$17="Distrato",$I$38-1,0)),IF(AND($L$37=0,$P$34=0),"",$L$37-1),IF($R$17="Distrato",$E600,0))),0,YEARFRAC(MAX($P$34*($B600+IF($R$17="Distrato",$I$38-1,0)),IF(AND($L$37=0,$P$34=0),"",$L$37-1),IF($R$17="Distrato",$E600,0)),MIN(AR$38,$D$19),$P$20))-SUM($P600:AQ600)</f>
        <v>#VALUE!</v>
      </c>
      <c r="AS600" s="446" t="e">
        <f>IF(OR($B600="",MIN(AS$38,$D$19)&lt;MAX($P$34*($B600+IF($R$17="Distrato",$I$38-1,0)),IF(AND($L$37=0,$P$34=0),"",$L$37-1),IF($R$17="Distrato",$E600,0))),0,YEARFRAC(MAX($P$34*($B600+IF($R$17="Distrato",$I$38-1,0)),IF(AND($L$37=0,$P$34=0),"",$L$37-1),IF($R$17="Distrato",$E600,0)),MIN(AS$38,$D$19),$P$20))-SUM($P600:AR600)</f>
        <v>#VALUE!</v>
      </c>
      <c r="AT600" s="446" t="e">
        <f>IF(OR($B600="",MIN(AT$38,$D$19)&lt;MAX($P$34*($B600+IF($R$17="Distrato",$I$38-1,0)),IF(AND($L$37=0,$P$34=0),"",$L$37-1),IF($R$17="Distrato",$E600,0))),0,YEARFRAC(MAX($P$34*($B600+IF($R$17="Distrato",$I$38-1,0)),IF(AND($L$37=0,$P$34=0),"",$L$37-1),IF($R$17="Distrato",$E600,0)),MIN(AT$38,$D$19),$P$20))-SUM($P600:AS600)</f>
        <v>#VALUE!</v>
      </c>
      <c r="AU600" s="446" t="e">
        <f>IF(OR($B600="",MIN(AU$38,$D$19)&lt;MAX($P$34*($B600+IF($R$17="Distrato",$I$38-1,0)),IF(AND($L$37=0,$P$34=0),"",$L$37-1),IF($R$17="Distrato",$E600,0))),0,YEARFRAC(MAX($P$34*($B600+IF($R$17="Distrato",$I$38-1,0)),IF(AND($L$37=0,$P$34=0),"",$L$37-1),IF($R$17="Distrato",$E600,0)),MIN(AU$38,$D$19),$P$20))-SUM($P600:AT600)</f>
        <v>#VALUE!</v>
      </c>
      <c r="AV600" s="446" t="e">
        <f>IF(OR($B600="",MIN(AV$38,$D$19)&lt;MAX($P$34*($B600+IF($R$17="Distrato",$I$38-1,0)),IF(AND($L$37=0,$P$34=0),"",$L$37-1),IF($R$17="Distrato",$E600,0))),0,YEARFRAC(MAX($P$34*($B600+IF($R$17="Distrato",$I$38-1,0)),IF(AND($L$37=0,$P$34=0),"",$L$37-1),IF($R$17="Distrato",$E600,0)),MIN(AV$38,$D$19),$P$20))-SUM($P600:AU600)</f>
        <v>#VALUE!</v>
      </c>
      <c r="AW600" s="446" t="e">
        <f>IF(OR($B600="",MIN(AW$38,$D$19)&lt;MAX($P$34*($B600+IF($R$17="Distrato",$I$38-1,0)),IF(AND($L$37=0,$P$34=0),"",$L$37-1),IF($R$17="Distrato",$E600,0))),0,YEARFRAC(MAX($P$34*($B600+IF($R$17="Distrato",$I$38-1,0)),IF(AND($L$37=0,$P$34=0),"",$L$37-1),IF($R$17="Distrato",$E600,0)),MIN(AW$38,$D$19),$P$20))-SUM($P600:AV600)</f>
        <v>#VALUE!</v>
      </c>
      <c r="AX600" s="446" t="e">
        <f>IF(OR($B600="",MIN(AX$38,$D$19)&lt;MAX($P$34*($B600+IF($R$17="Distrato",$I$38-1,0)),IF(AND($L$37=0,$P$34=0),"",$L$37-1),IF($R$17="Distrato",$E600,0))),0,YEARFRAC(MAX($P$34*($B600+IF($R$17="Distrato",$I$38-1,0)),IF(AND($L$37=0,$P$34=0),"",$L$37-1),IF($R$17="Distrato",$E600,0)),MIN(AX$38,$D$19),$P$20))-SUM($P600:AW600)</f>
        <v>#VALUE!</v>
      </c>
      <c r="AY600" s="446" t="e">
        <f>IF(OR($B600="",MIN(AY$38,$D$19)&lt;MAX($P$34*($B600+IF($R$17="Distrato",$I$38-1,0)),IF(AND($L$37=0,$P$34=0),"",$L$37-1),IF($R$17="Distrato",$E600,0))),0,YEARFRAC(MAX($P$34*($B600+IF($R$17="Distrato",$I$38-1,0)),IF(AND($L$37=0,$P$34=0),"",$L$37-1),IF($R$17="Distrato",$E600,0)),MIN(AY$38,$D$19),$P$20))-SUM($P600:AX600)</f>
        <v>#VALUE!</v>
      </c>
      <c r="AZ600" s="446" t="e">
        <f>IF(OR($B600="",MIN(AZ$38,$D$19)&lt;MAX($P$34*($B600+IF($R$17="Distrato",$I$38-1,0)),IF(AND($L$37=0,$P$34=0),"",$L$37-1),IF($R$17="Distrato",$E600,0))),0,YEARFRAC(MAX($P$34*($B600+IF($R$17="Distrato",$I$38-1,0)),IF(AND($L$37=0,$P$34=0),"",$L$37-1),IF($R$17="Distrato",$E600,0)),MIN(AZ$38,$D$19),$P$20))-SUM($P600:AY600)</f>
        <v>#VALUE!</v>
      </c>
      <c r="BA600" s="446" t="e">
        <f>IF(OR($B600="",MIN(BA$38,$D$19)&lt;MAX($P$34*($B600+IF($R$17="Distrato",$I$38-1,0)),IF(AND($L$37=0,$P$34=0),"",$L$37-1),IF($R$17="Distrato",$E600,0))),0,YEARFRAC(MAX($P$34*($B600+IF($R$17="Distrato",$I$38-1,0)),IF(AND($L$37=0,$P$34=0),"",$L$37-1),IF($R$17="Distrato",$E600,0)),MIN(BA$38,$D$19),$P$20))-SUM($P600:AZ600)</f>
        <v>#VALUE!</v>
      </c>
      <c r="BB600" s="447"/>
      <c r="BF600" s="446">
        <f t="shared" si="98"/>
        <v>0</v>
      </c>
      <c r="BG600" s="446">
        <f>IF($E600=0,0,IF(MIN(BG$38,$E600)&lt;MAX($P$34*($B600+$I$38-1),IF(AND($L$37=0,$P$34=0),"",$L$37-1)),0,YEARFRAC(MAX($P$34*($B600+$I$38-1),IF(AND($L$37=0,$P$34=0),"",$L$37-1)),MIN(BG$38,$E600),$P$20))-SUM($BF600:BF600))</f>
        <v>0</v>
      </c>
      <c r="BH600" s="446">
        <f>IF($E600=0,0,IF(MIN(BH$38,$E600)&lt;MAX($P$34*($B600+$I$38-1),IF(AND($L$37=0,$P$34=0),"",$L$37-1)),0,YEARFRAC(MAX($P$34*($B600+$I$38-1),IF(AND($L$37=0,$P$34=0),"",$L$37-1)),MIN(BH$38,$E600),$P$20))-SUM($BF600:BG600))</f>
        <v>0</v>
      </c>
      <c r="BI600" s="446">
        <f>IF($E600=0,0,IF(MIN(BI$38,$E600)&lt;MAX($P$34*($B600+$I$38-1),IF(AND($L$37=0,$P$34=0),"",$L$37-1)),0,YEARFRAC(MAX($P$34*($B600+$I$38-1),IF(AND($L$37=0,$P$34=0),"",$L$37-1)),MIN(BI$38,$E600),$P$20))-SUM($BF600:BH600))</f>
        <v>0</v>
      </c>
      <c r="BJ600" s="446">
        <f>IF($E600=0,0,IF(MIN(BJ$38,$E600)&lt;MAX($P$34*($B600+$I$38-1),IF(AND($L$37=0,$P$34=0),"",$L$37-1)),0,YEARFRAC(MAX($P$34*($B600+$I$38-1),IF(AND($L$37=0,$P$34=0),"",$L$37-1)),MIN(BJ$38,$E600),$P$20))-SUM($BF600:BI600))</f>
        <v>0</v>
      </c>
      <c r="BK600" s="446">
        <f>IF($E600=0,0,IF(MIN(BK$38,$E600)&lt;MAX($P$34*($B600+$I$38-1),IF(AND($L$37=0,$P$34=0),"",$L$37-1)),0,YEARFRAC(MAX($P$34*($B600+$I$38-1),IF(AND($L$37=0,$P$34=0),"",$L$37-1)),MIN(BK$38,$E600),$P$20))-SUM($BF600:BJ600))</f>
        <v>0</v>
      </c>
      <c r="BL600" s="446">
        <f>IF($E600=0,0,IF(MIN(BL$38,$E600)&lt;MAX($P$34*($B600+$I$38-1),IF(AND($L$37=0,$P$34=0),"",$L$37-1)),0,YEARFRAC(MAX($P$34*($B600+$I$38-1),IF(AND($L$37=0,$P$34=0),"",$L$37-1)),MIN(BL$38,$E600),$P$20))-SUM($BF600:BK600))</f>
        <v>0</v>
      </c>
      <c r="BM600" s="446">
        <f>IF($E600=0,0,IF(MIN(BM$38,$E600)&lt;MAX($P$34*($B600+$I$38-1),IF(AND($L$37=0,$P$34=0),"",$L$37-1)),0,YEARFRAC(MAX($P$34*($B600+$I$38-1),IF(AND($L$37=0,$P$34=0),"",$L$37-1)),MIN(BM$38,$E600),$P$20))-SUM($BF600:BL600))</f>
        <v>0</v>
      </c>
      <c r="BN600" s="446">
        <f>IF($E600=0,0,IF(MIN(BN$38,$E600)&lt;MAX($P$34*($B600+$I$38-1),IF(AND($L$37=0,$P$34=0),"",$L$37-1)),0,YEARFRAC(MAX($P$34*($B600+$I$38-1),IF(AND($L$37=0,$P$34=0),"",$L$37-1)),MIN(BN$38,$E600),$P$20))-SUM($BF600:BM600))</f>
        <v>0</v>
      </c>
      <c r="BO600" s="446">
        <f>IF($E600=0,0,IF(MIN(BO$38,$E600)&lt;MAX($P$34*($B600+$I$38-1),IF(AND($L$37=0,$P$34=0),"",$L$37-1)),0,YEARFRAC(MAX($P$34*($B600+$I$38-1),IF(AND($L$37=0,$P$34=0),"",$L$37-1)),MIN(BO$38,$E600),$P$20))-SUM($BF600:BN600))</f>
        <v>0</v>
      </c>
      <c r="BP600" s="446">
        <f>IF($E600=0,0,IF(MIN(BP$38,$E600)&lt;MAX($P$34*($B600+$I$38-1),IF(AND($L$37=0,$P$34=0),"",$L$37-1)),0,YEARFRAC(MAX($P$34*($B600+$I$38-1),IF(AND($L$37=0,$P$34=0),"",$L$37-1)),MIN(BP$38,$E600),$P$20))-SUM($BF600:BO600))</f>
        <v>0</v>
      </c>
      <c r="BQ600" s="446">
        <f>IF($E600=0,0,IF(MIN(BQ$38,$E600)&lt;MAX($P$34*($B600+$I$38-1),IF(AND($L$37=0,$P$34=0),"",$L$37-1)),0,YEARFRAC(MAX($P$34*($B600+$I$38-1),IF(AND($L$37=0,$P$34=0),"",$L$37-1)),MIN(BQ$38,$E600),$P$20))-SUM($BF600:BP600))</f>
        <v>0</v>
      </c>
      <c r="BR600" s="446">
        <f>IF($E600=0,0,IF(MIN(BR$38,$E600)&lt;MAX($P$34*($B600+$I$38-1),IF(AND($L$37=0,$P$34=0),"",$L$37-1)),0,YEARFRAC(MAX($P$34*($B600+$I$38-1),IF(AND($L$37=0,$P$34=0),"",$L$37-1)),MIN(BR$38,$E600),$P$20))-SUM($BF600:BQ600))</f>
        <v>0</v>
      </c>
      <c r="BS600" s="446">
        <f>IF($E600=0,0,IF(MIN(BS$38,$E600)&lt;MAX($P$34*($B600+$I$38-1),IF(AND($L$37=0,$P$34=0),"",$L$37-1)),0,YEARFRAC(MAX($P$34*($B600+$I$38-1),IF(AND($L$37=0,$P$34=0),"",$L$37-1)),MIN(BS$38,$E600),$P$20))-SUM($BF600:BR600))</f>
        <v>0</v>
      </c>
      <c r="BT600" s="446">
        <f>IF($E600=0,0,IF(MIN(BT$38,$E600)&lt;MAX($P$34*($B600+$I$38-1),IF(AND($L$37=0,$P$34=0),"",$L$37-1)),0,YEARFRAC(MAX($P$34*($B600+$I$38-1),IF(AND($L$37=0,$P$34=0),"",$L$37-1)),MIN(BT$38,$E600),$P$20))-SUM($BF600:BS600))</f>
        <v>0</v>
      </c>
      <c r="BU600" s="446">
        <f>IF($E600=0,0,IF(MIN(BU$38,$E600)&lt;MAX($P$34*($B600+$I$38-1),IF(AND($L$37=0,$P$34=0),"",$L$37-1)),0,YEARFRAC(MAX($P$34*($B600+$I$38-1),IF(AND($L$37=0,$P$34=0),"",$L$37-1)),MIN(BU$38,$E600),$P$20))-SUM($BF600:BT600))</f>
        <v>0</v>
      </c>
      <c r="BV600" s="446">
        <f>IF($E600=0,0,IF(MIN(BV$38,$E600)&lt;MAX($P$34*($B600+$I$38-1),IF(AND($L$37=0,$P$34=0),"",$L$37-1)),0,YEARFRAC(MAX($P$34*($B600+$I$38-1),IF(AND($L$37=0,$P$34=0),"",$L$37-1)),MIN(BV$38,$E600),$P$20))-SUM($BF600:BU600))</f>
        <v>0</v>
      </c>
      <c r="BW600" s="446">
        <f>IF($E600=0,0,IF(MIN(BW$38,$E600)&lt;MAX($P$34*($B600+$I$38-1),IF(AND($L$37=0,$P$34=0),"",$L$37-1)),0,YEARFRAC(MAX($P$34*($B600+$I$38-1),IF(AND($L$37=0,$P$34=0),"",$L$37-1)),MIN(BW$38,$E600),$P$20))-SUM($BF600:BV600))</f>
        <v>0</v>
      </c>
      <c r="BX600" s="446">
        <f>IF($E600=0,0,IF(MIN(BX$38,$E600)&lt;MAX($P$34*($B600+$I$38-1),IF(AND($L$37=0,$P$34=0),"",$L$37-1)),0,YEARFRAC(MAX($P$34*($B600+$I$38-1),IF(AND($L$37=0,$P$34=0),"",$L$37-1)),MIN(BX$38,$E600),$P$20))-SUM($BF600:BW600))</f>
        <v>0</v>
      </c>
      <c r="BY600" s="446">
        <f>IF($E600=0,0,IF(MIN(BY$38,$E600)&lt;MAX($P$34*($B600+$I$38-1),IF(AND($L$37=0,$P$34=0),"",$L$37-1)),0,YEARFRAC(MAX($P$34*($B600+$I$38-1),IF(AND($L$37=0,$P$34=0),"",$L$37-1)),MIN(BY$38,$E600),$P$20))-SUM($BF600:BX600))</f>
        <v>0</v>
      </c>
      <c r="BZ600" s="446">
        <f>IF($E600=0,0,IF(MIN(BZ$38,$E600)&lt;MAX($P$34*($B600+$I$38-1),IF(AND($L$37=0,$P$34=0),"",$L$37-1)),0,YEARFRAC(MAX($P$34*($B600+$I$38-1),IF(AND($L$37=0,$P$34=0),"",$L$37-1)),MIN(BZ$38,$E600),$P$20))-SUM($BF600:BY600))</f>
        <v>0</v>
      </c>
      <c r="CA600" s="446">
        <f>IF($E600=0,0,IF(MIN(CA$38,$E600)&lt;MAX($P$34*($B600+$I$38-1),IF(AND($L$37=0,$P$34=0),"",$L$37-1)),0,YEARFRAC(MAX($P$34*($B600+$I$38-1),IF(AND($L$37=0,$P$34=0),"",$L$37-1)),MIN(CA$38,$E600),$P$20))-SUM($BF600:BZ600))</f>
        <v>0</v>
      </c>
      <c r="CB600" s="446">
        <f>IF($E600=0,0,IF(MIN(CB$38,$E600)&lt;MAX($P$34*($B600+$I$38-1),IF(AND($L$37=0,$P$34=0),"",$L$37-1)),0,YEARFRAC(MAX($P$34*($B600+$I$38-1),IF(AND($L$37=0,$P$34=0),"",$L$37-1)),MIN(CB$38,$E600),$P$20))-SUM($BF600:CA600))</f>
        <v>0</v>
      </c>
      <c r="CC600" s="446">
        <f>IF($E600=0,0,IF(MIN(CC$38,$E600)&lt;MAX($P$34*($B600+$I$38-1),IF(AND($L$37=0,$P$34=0),"",$L$37-1)),0,YEARFRAC(MAX($P$34*($B600+$I$38-1),IF(AND($L$37=0,$P$34=0),"",$L$37-1)),MIN(CC$38,$E600),$P$20))-SUM($BF600:CB600))</f>
        <v>0</v>
      </c>
      <c r="CD600" s="446">
        <f>IF($E600=0,0,IF(MIN(CD$38,$E600)&lt;MAX($P$34*($B600+$I$38-1),IF(AND($L$37=0,$P$34=0),"",$L$37-1)),0,YEARFRAC(MAX($P$34*($B600+$I$38-1),IF(AND($L$37=0,$P$34=0),"",$L$37-1)),MIN(CD$38,$E600),$P$20))-SUM($BF600:CC600))</f>
        <v>0</v>
      </c>
      <c r="CE600" s="446">
        <f>IF($E600=0,0,IF(MIN(CE$38,$E600)&lt;MAX($P$34*($B600+$I$38-1),IF(AND($L$37=0,$P$34=0),"",$L$37-1)),0,YEARFRAC(MAX($P$34*($B600+$I$38-1),IF(AND($L$37=0,$P$34=0),"",$L$37-1)),MIN(CE$38,$E600),$P$20))-SUM($BF600:CD600))</f>
        <v>0</v>
      </c>
      <c r="CF600" s="446">
        <f>IF($E600=0,0,IF(MIN(CF$38,$E600)&lt;MAX($P$34*($B600+$I$38-1),IF(AND($L$37=0,$P$34=0),"",$L$37-1)),0,YEARFRAC(MAX($P$34*($B600+$I$38-1),IF(AND($L$37=0,$P$34=0),"",$L$37-1)),MIN(CF$38,$E600),$P$20))-SUM($BF600:CE600))</f>
        <v>0</v>
      </c>
      <c r="CG600" s="446">
        <f>IF($E600=0,0,IF(MIN(CG$38,$E600)&lt;MAX($P$34*($B600+$I$38-1),IF(AND($L$37=0,$P$34=0),"",$L$37-1)),0,YEARFRAC(MAX($P$34*($B600+$I$38-1),IF(AND($L$37=0,$P$34=0),"",$L$37-1)),MIN(CG$38,$E600),$P$20))-SUM($BF600:CF600))</f>
        <v>0</v>
      </c>
      <c r="CH600" s="446">
        <f>IF($E600=0,0,IF(MIN(CH$38,$E600)&lt;MAX($P$34*($B600+$I$38-1),IF(AND($L$37=0,$P$34=0),"",$L$37-1)),0,YEARFRAC(MAX($P$34*($B600+$I$38-1),IF(AND($L$37=0,$P$34=0),"",$L$37-1)),MIN(CH$38,$E600),$P$20))-SUM($BF600:CG600))</f>
        <v>0</v>
      </c>
      <c r="CI600" s="446">
        <f>IF($E600=0,0,IF(MIN(CI$38,$E600)&lt;MAX($P$34*($B600+$I$38-1),IF(AND($L$37=0,$P$34=0),"",$L$37-1)),0,YEARFRAC(MAX($P$34*($B600+$I$38-1),IF(AND($L$37=0,$P$34=0),"",$L$37-1)),MIN(CI$38,$E600),$P$20))-SUM($BF600:CH600))</f>
        <v>0</v>
      </c>
      <c r="CJ600" s="446">
        <f>IF($E600=0,0,IF(MIN(CJ$38,$E600)&lt;MAX($P$34*($B600+$I$38-1),IF(AND($L$37=0,$P$34=0),"",$L$37-1)),0,YEARFRAC(MAX($P$34*($B600+$I$38-1),IF(AND($L$37=0,$P$34=0),"",$L$37-1)),MIN(CJ$38,$E600),$P$20))-SUM($BF600:CI600))</f>
        <v>0</v>
      </c>
      <c r="CK600" s="446">
        <f>IF($E600=0,0,IF(MIN(CK$38,$E600)&lt;MAX($P$34*($B600+$I$38-1),IF(AND($L$37=0,$P$34=0),"",$L$37-1)),0,YEARFRAC(MAX($P$34*($B600+$I$38-1),IF(AND($L$37=0,$P$34=0),"",$L$37-1)),MIN(CK$38,$E600),$P$20))-SUM($BF600:CJ600))</f>
        <v>0</v>
      </c>
      <c r="CL600" s="446">
        <f>IF($E600=0,0,IF(MIN(CL$38,$E600)&lt;MAX($P$34*($B600+$I$38-1),IF(AND($L$37=0,$P$34=0),"",$L$37-1)),0,YEARFRAC(MAX($P$34*($B600+$I$38-1),IF(AND($L$37=0,$P$34=0),"",$L$37-1)),MIN(CL$38,$E600),$P$20))-SUM($BF600:CK600))</f>
        <v>0</v>
      </c>
      <c r="CM600" s="446">
        <f>IF($E600=0,0,IF(MIN(CM$38,$E600)&lt;MAX($P$34*($B600+$I$38-1),IF(AND($L$37=0,$P$34=0),"",$L$37-1)),0,YEARFRAC(MAX($P$34*($B600+$I$38-1),IF(AND($L$37=0,$P$34=0),"",$L$37-1)),MIN(CM$38,$E600),$P$20))-SUM($BF600:CL600))</f>
        <v>0</v>
      </c>
      <c r="CN600" s="446">
        <f>IF($E600=0,0,IF(MIN(CN$38,$E600)&lt;MAX($P$34*($B600+$I$38-1),IF(AND($L$37=0,$P$34=0),"",$L$37-1)),0,YEARFRAC(MAX($P$34*($B600+$I$38-1),IF(AND($L$37=0,$P$34=0),"",$L$37-1)),MIN(CN$38,$E600),$P$20))-SUM($BF600:CM600))</f>
        <v>0</v>
      </c>
      <c r="CO600" s="446">
        <f>IF($E600=0,0,IF(MIN(CO$38,$E600)&lt;MAX($P$34*($B600+$I$38-1),IF(AND($L$37=0,$P$34=0),"",$L$37-1)),0,YEARFRAC(MAX($P$34*($B600+$I$38-1),IF(AND($L$37=0,$P$34=0),"",$L$37-1)),MIN(CO$38,$E600),$P$20))-SUM($BF600:CN600))</f>
        <v>0</v>
      </c>
      <c r="CP600" s="446">
        <f>IF($E600=0,0,IF(MIN(CP$38,$E600)&lt;MAX($P$34*($B600+$I$38-1),IF(AND($L$37=0,$P$34=0),"",$L$37-1)),0,YEARFRAC(MAX($P$34*($B600+$I$38-1),IF(AND($L$37=0,$P$34=0),"",$L$37-1)),MIN(CP$38,$E600),$P$20))-SUM($BF600:CO600))</f>
        <v>0</v>
      </c>
      <c r="CQ600" s="446">
        <f>IF($E600=0,0,IF(MIN(CQ$38,$E600)&lt;MAX($P$34*($B600+$I$38-1),IF(AND($L$37=0,$P$34=0),"",$L$37-1)),0,YEARFRAC(MAX($P$34*($B600+$I$38-1),IF(AND($L$37=0,$P$34=0),"",$L$37-1)),MIN(CQ$38,$E600),$P$20))-SUM($BF600:CP600))</f>
        <v>0</v>
      </c>
    </row>
    <row r="601" spans="1:95" s="446" customFormat="1" ht="11.25" hidden="1" customHeight="1" x14ac:dyDescent="0.2">
      <c r="A601" s="152"/>
      <c r="B601" s="153" t="str">
        <f t="shared" si="103"/>
        <v/>
      </c>
      <c r="C601" s="29" t="str">
        <f>IF(B601="","",IF($L$35="SELIC - TRIBUTOS",VLOOKUP(DATE(YEAR($D$19),MONTH($D$19)-1,1),ÍNDICES!$A:$DE,HLOOKUP($BL$25,ÍNDICES!$B$3:$T$4,2)+11)-VLOOKUP(B601,ÍNDICES!$A:$DE,HLOOKUP($BL$25,ÍNDICES!$B$3:$T$4,2)+11)+1%,IF(C$38=$W$26,$J$35,IF(ISERROR(IF(B601&gt;$D$19,1,VLOOKUP(DATE(YEAR(B601),MONTH(B601)+IF($C$35=$S$23,1,0),1),ÍNDICES!$A:$DE,$Z$35+1))),"",IF(B601&gt;$D$19,1,VLOOKUP(DATE(YEAR(B601),MONTH(B601)+IF($C$35=$S$23,1,0),1),ÍNDICES!$A:$DE,$Z$35+1))))))</f>
        <v/>
      </c>
      <c r="D601" s="154" t="str">
        <f>IF(ISERROR(IF(OR($D$38=$Y$27,$B601=""),"",VLOOKUP(B601,ÍNDICES!A:DE,AF$35+1))),"",IF(OR($D$38=$Y$27,$B601=""),"",VLOOKUP(B601,ÍNDICES!A:DE,AF$35+1)))</f>
        <v/>
      </c>
      <c r="E601" s="153"/>
      <c r="F601" s="29" t="str">
        <f>IF(E601="","",IF($L$35="SELIC - TRIBUTOS",VLOOKUP(DATE(YEAR($D$19),MONTH($D$19)-1,1),ÍNDICES!$A:$DE,HLOOKUP($BL$25,ÍNDICES!$B$3:$T$4,2)+11)-VLOOKUP(E601,ÍNDICES!$A:$DE,HLOOKUP($BL$25,ÍNDICES!$B$3:$T$4,2)+11)+1%,IF(F$38=$W$26,$J$35,IF(ISERROR(IF(E601&gt;$D$19,1,VLOOKUP(DATE(YEAR(E601),MONTH(E601)+IF($C$35=$S$23,1,0),1),ÍNDICES!$A:$DE,$Z$35+1))),"",IF(E601&gt;$D$19,1,VLOOKUP(DATE(YEAR(E601),MONTH(E601)+IF($C$35=$S$23,1,0),1),ÍNDICES!$A:$DE,$Z$35+1))))))</f>
        <v/>
      </c>
      <c r="G601" s="155"/>
      <c r="H601" s="156" t="str">
        <f t="shared" si="99"/>
        <v/>
      </c>
      <c r="I601" s="29" t="str">
        <f t="shared" si="93"/>
        <v/>
      </c>
      <c r="J601" s="5">
        <f t="shared" si="94"/>
        <v>0</v>
      </c>
      <c r="K601" s="20">
        <f t="shared" ca="1" si="95"/>
        <v>0</v>
      </c>
      <c r="L601" s="5">
        <f t="shared" ca="1" si="96"/>
        <v>0</v>
      </c>
      <c r="M601" s="64">
        <f t="shared" si="100"/>
        <v>0</v>
      </c>
      <c r="N601" s="61">
        <f t="shared" ca="1" si="101"/>
        <v>0</v>
      </c>
      <c r="O601" s="5">
        <f t="shared" ca="1" si="102"/>
        <v>0</v>
      </c>
      <c r="P601" s="446" t="e">
        <f t="shared" si="97"/>
        <v>#VALUE!</v>
      </c>
      <c r="Q601" s="446" t="e">
        <f>IF(OR($B601="",MIN(Q$38,$D$19)&lt;MAX($P$34*($B601+IF($R$17="Distrato",$I$38-1,0)),IF(AND($L$37=0,$P$34=0),"",$L$37-1),IF($R$17="Distrato",$E601,0))),0,YEARFRAC(MAX($P$34*($B601+IF($R$17="Distrato",$I$38-1,0)),IF(AND($L$37=0,$P$34=0),"",$L$37-1),IF($R$17="Distrato",$E601,0)),MIN(Q$38,$D$19),$P$20))-SUM($P601:P601)</f>
        <v>#VALUE!</v>
      </c>
      <c r="R601" s="446" t="e">
        <f>IF(OR($B601="",MIN(R$38,$D$19)&lt;MAX($P$34*($B601+IF($R$17="Distrato",$I$38-1,0)),IF(AND($L$37=0,$P$34=0),"",$L$37-1),IF($R$17="Distrato",$E601,0))),0,YEARFRAC(MAX($P$34*($B601+IF($R$17="Distrato",$I$38-1,0)),IF(AND($L$37=0,$P$34=0),"",$L$37-1),IF($R$17="Distrato",$E601,0)),MIN(R$38,$D$19),$P$20))-SUM($P601:Q601)</f>
        <v>#VALUE!</v>
      </c>
      <c r="S601" s="446" t="e">
        <f>IF(OR($B601="",MIN(S$38,$D$19)&lt;MAX($P$34*($B601+IF($R$17="Distrato",$I$38-1,0)),IF(AND($L$37=0,$P$34=0),"",$L$37-1),IF($R$17="Distrato",$E601,0))),0,YEARFRAC(MAX($P$34*($B601+IF($R$17="Distrato",$I$38-1,0)),IF(AND($L$37=0,$P$34=0),"",$L$37-1),IF($R$17="Distrato",$E601,0)),MIN(S$38,$D$19),$P$20))-SUM($P601:R601)</f>
        <v>#VALUE!</v>
      </c>
      <c r="T601" s="446" t="e">
        <f>IF(OR($B601="",MIN(T$38,$D$19)&lt;MAX($P$34*($B601+IF($R$17="Distrato",$I$38-1,0)),IF(AND($L$37=0,$P$34=0),"",$L$37-1),IF($R$17="Distrato",$E601,0))),0,YEARFRAC(MAX($P$34*($B601+IF($R$17="Distrato",$I$38-1,0)),IF(AND($L$37=0,$P$34=0),"",$L$37-1),IF($R$17="Distrato",$E601,0)),MIN(T$38,$D$19),$P$20))-SUM($P601:S601)</f>
        <v>#VALUE!</v>
      </c>
      <c r="U601" s="446" t="e">
        <f>IF(OR($B601="",MIN(U$38,$D$19)&lt;MAX($P$34*($B601+IF($R$17="Distrato",$I$38-1,0)),IF(AND($L$37=0,$P$34=0),"",$L$37-1),IF($R$17="Distrato",$E601,0))),0,YEARFRAC(MAX($P$34*($B601+IF($R$17="Distrato",$I$38-1,0)),IF(AND($L$37=0,$P$34=0),"",$L$37-1),IF($R$17="Distrato",$E601,0)),MIN(U$38,$D$19),$P$20))-SUM($P601:T601)</f>
        <v>#VALUE!</v>
      </c>
      <c r="V601" s="446" t="e">
        <f>IF(OR($B601="",MIN(V$38,$D$19)&lt;MAX($P$34*($B601+IF($R$17="Distrato",$I$38-1,0)),IF(AND($L$37=0,$P$34=0),"",$L$37-1),IF($R$17="Distrato",$E601,0))),0,YEARFRAC(MAX($P$34*($B601+IF($R$17="Distrato",$I$38-1,0)),IF(AND($L$37=0,$P$34=0),"",$L$37-1),IF($R$17="Distrato",$E601,0)),MIN(V$38,$D$19),$P$20))-SUM($P601:U601)</f>
        <v>#VALUE!</v>
      </c>
      <c r="W601" s="446" t="e">
        <f>IF(OR($B601="",MIN(W$38,$D$19)&lt;MAX($P$34*($B601+IF($R$17="Distrato",$I$38-1,0)),IF(AND($L$37=0,$P$34=0),"",$L$37-1),IF($R$17="Distrato",$E601,0))),0,YEARFRAC(MAX($P$34*($B601+IF($R$17="Distrato",$I$38-1,0)),IF(AND($L$37=0,$P$34=0),"",$L$37-1),IF($R$17="Distrato",$E601,0)),MIN(W$38,$D$19),$P$20))-SUM($P601:V601)</f>
        <v>#VALUE!</v>
      </c>
      <c r="X601" s="446" t="e">
        <f>IF(OR($B601="",MIN(X$38,$D$19)&lt;MAX($P$34*($B601+IF($R$17="Distrato",$I$38-1,0)),IF(AND($L$37=0,$P$34=0),"",$L$37-1),IF($R$17="Distrato",$E601,0))),0,YEARFRAC(MAX($P$34*($B601+IF($R$17="Distrato",$I$38-1,0)),IF(AND($L$37=0,$P$34=0),"",$L$37-1),IF($R$17="Distrato",$E601,0)),MIN(X$38,$D$19),$P$20))-SUM($P601:W601)</f>
        <v>#VALUE!</v>
      </c>
      <c r="Y601" s="446" t="e">
        <f>IF(OR($B601="",MIN(Y$38,$D$19)&lt;MAX($P$34*($B601+IF($R$17="Distrato",$I$38-1,0)),IF(AND($L$37=0,$P$34=0),"",$L$37-1),IF($R$17="Distrato",$E601,0))),0,YEARFRAC(MAX($P$34*($B601+IF($R$17="Distrato",$I$38-1,0)),IF(AND($L$37=0,$P$34=0),"",$L$37-1),IF($R$17="Distrato",$E601,0)),MIN(Y$38,$D$19),$P$20))-SUM($P601:X601)</f>
        <v>#VALUE!</v>
      </c>
      <c r="Z601" s="446" t="e">
        <f>IF(OR($B601="",MIN(Z$38,$D$19)&lt;MAX($P$34*($B601+IF($R$17="Distrato",$I$38-1,0)),IF(AND($L$37=0,$P$34=0),"",$L$37-1),IF($R$17="Distrato",$E601,0))),0,YEARFRAC(MAX($P$34*($B601+IF($R$17="Distrato",$I$38-1,0)),IF(AND($L$37=0,$P$34=0),"",$L$37-1),IF($R$17="Distrato",$E601,0)),MIN(Z$38,$D$19),$P$20))-SUM($P601:Y601)</f>
        <v>#VALUE!</v>
      </c>
      <c r="AA601" s="446" t="e">
        <f>IF(OR($B601="",MIN(AA$38,$D$19)&lt;MAX($P$34*($B601+IF($R$17="Distrato",$I$38-1,0)),IF(AND($L$37=0,$P$34=0),"",$L$37-1),IF($R$17="Distrato",$E601,0))),0,YEARFRAC(MAX($P$34*($B601+IF($R$17="Distrato",$I$38-1,0)),IF(AND($L$37=0,$P$34=0),"",$L$37-1),IF($R$17="Distrato",$E601,0)),MIN(AA$38,$D$19),$P$20))-SUM($P601:Z601)</f>
        <v>#VALUE!</v>
      </c>
      <c r="AB601" s="446" t="e">
        <f>IF(OR($B601="",MIN(AB$38,$D$19)&lt;MAX($P$34*($B601+IF($R$17="Distrato",$I$38-1,0)),IF(AND($L$37=0,$P$34=0),"",$L$37-1),IF($R$17="Distrato",$E601,0))),0,YEARFRAC(MAX($P$34*($B601+IF($R$17="Distrato",$I$38-1,0)),IF(AND($L$37=0,$P$34=0),"",$L$37-1),IF($R$17="Distrato",$E601,0)),MIN(AB$38,$D$19),$P$20))-SUM($P601:AA601)</f>
        <v>#VALUE!</v>
      </c>
      <c r="AC601" s="446" t="e">
        <f>IF(OR($B601="",MIN(AC$38,$D$19)&lt;MAX($P$34*($B601+IF($R$17="Distrato",$I$38-1,0)),IF(AND($L$37=0,$P$34=0),"",$L$37-1),IF($R$17="Distrato",$E601,0))),0,YEARFRAC(MAX($P$34*($B601+IF($R$17="Distrato",$I$38-1,0)),IF(AND($L$37=0,$P$34=0),"",$L$37-1),IF($R$17="Distrato",$E601,0)),MIN(AC$38,$D$19),$P$20))-SUM($P601:AB601)</f>
        <v>#VALUE!</v>
      </c>
      <c r="AD601" s="446" t="e">
        <f>IF(OR($B601="",MIN(AD$38,$D$19)&lt;MAX($P$34*($B601+IF($R$17="Distrato",$I$38-1,0)),IF(AND($L$37=0,$P$34=0),"",$L$37-1),IF($R$17="Distrato",$E601,0))),0,YEARFRAC(MAX($P$34*($B601+IF($R$17="Distrato",$I$38-1,0)),IF(AND($L$37=0,$P$34=0),"",$L$37-1),IF($R$17="Distrato",$E601,0)),MIN(AD$38,$D$19),$P$20))-SUM($P601:AC601)</f>
        <v>#VALUE!</v>
      </c>
      <c r="AE601" s="446" t="e">
        <f>IF(OR($B601="",MIN(AE$38,$D$19)&lt;MAX($P$34*($B601+IF($R$17="Distrato",$I$38-1,0)),IF(AND($L$37=0,$P$34=0),"",$L$37-1),IF($R$17="Distrato",$E601,0))),0,YEARFRAC(MAX($P$34*($B601+IF($R$17="Distrato",$I$38-1,0)),IF(AND($L$37=0,$P$34=0),"",$L$37-1),IF($R$17="Distrato",$E601,0)),MIN(AE$38,$D$19),$P$20))-SUM($P601:AD601)</f>
        <v>#VALUE!</v>
      </c>
      <c r="AF601" s="446" t="e">
        <f>IF(OR($B601="",MIN(AF$38,$D$19)&lt;MAX($P$34*($B601+IF($R$17="Distrato",$I$38-1,0)),IF(AND($L$37=0,$P$34=0),"",$L$37-1),IF($R$17="Distrato",$E601,0))),0,YEARFRAC(MAX($P$34*($B601+IF($R$17="Distrato",$I$38-1,0)),IF(AND($L$37=0,$P$34=0),"",$L$37-1),IF($R$17="Distrato",$E601,0)),MIN(AF$38,$D$19),$P$20))-SUM($P601:AE601)</f>
        <v>#VALUE!</v>
      </c>
      <c r="AG601" s="446" t="e">
        <f>IF(OR($B601="",MIN(AG$38,$D$19)&lt;MAX($P$34*($B601+IF($R$17="Distrato",$I$38-1,0)),IF(AND($L$37=0,$P$34=0),"",$L$37-1),IF($R$17="Distrato",$E601,0))),0,YEARFRAC(MAX($P$34*($B601+IF($R$17="Distrato",$I$38-1,0)),IF(AND($L$37=0,$P$34=0),"",$L$37-1),IF($R$17="Distrato",$E601,0)),MIN(AG$38,$D$19),$P$20))-SUM($P601:AF601)</f>
        <v>#VALUE!</v>
      </c>
      <c r="AH601" s="446" t="e">
        <f>IF(OR($B601="",MIN(AH$38,$D$19)&lt;MAX($P$34*($B601+IF($R$17="Distrato",$I$38-1,0)),IF(AND($L$37=0,$P$34=0),"",$L$37-1),IF($R$17="Distrato",$E601,0))),0,YEARFRAC(MAX($P$34*($B601+IF($R$17="Distrato",$I$38-1,0)),IF(AND($L$37=0,$P$34=0),"",$L$37-1),IF($R$17="Distrato",$E601,0)),MIN(AH$38,$D$19),$P$20))-SUM($P601:AG601)</f>
        <v>#VALUE!</v>
      </c>
      <c r="AI601" s="446" t="e">
        <f>IF(OR($B601="",MIN(AI$38,$D$19)&lt;MAX($P$34*($B601+IF($R$17="Distrato",$I$38-1,0)),IF(AND($L$37=0,$P$34=0),"",$L$37-1),IF($R$17="Distrato",$E601,0))),0,YEARFRAC(MAX($P$34*($B601+IF($R$17="Distrato",$I$38-1,0)),IF(AND($L$37=0,$P$34=0),"",$L$37-1),IF($R$17="Distrato",$E601,0)),MIN(AI$38,$D$19),$P$20))-SUM($P601:AH601)</f>
        <v>#VALUE!</v>
      </c>
      <c r="AJ601" s="446" t="e">
        <f>IF(OR($B601="",MIN(AJ$38,$D$19)&lt;MAX($P$34*($B601+IF($R$17="Distrato",$I$38-1,0)),IF(AND($L$37=0,$P$34=0),"",$L$37-1),IF($R$17="Distrato",$E601,0))),0,YEARFRAC(MAX($P$34*($B601+IF($R$17="Distrato",$I$38-1,0)),IF(AND($L$37=0,$P$34=0),"",$L$37-1),IF($R$17="Distrato",$E601,0)),MIN(AJ$38,$D$19),$P$20))-SUM($P601:AI601)</f>
        <v>#VALUE!</v>
      </c>
      <c r="AK601" s="446" t="e">
        <f>IF(OR($B601="",MIN(AK$38,$D$19)&lt;MAX($P$34*($B601+IF($R$17="Distrato",$I$38-1,0)),IF(AND($L$37=0,$P$34=0),"",$L$37-1),IF($R$17="Distrato",$E601,0))),0,YEARFRAC(MAX($P$34*($B601+IF($R$17="Distrato",$I$38-1,0)),IF(AND($L$37=0,$P$34=0),"",$L$37-1),IF($R$17="Distrato",$E601,0)),MIN(AK$38,$D$19),$P$20))-SUM($P601:AJ601)</f>
        <v>#VALUE!</v>
      </c>
      <c r="AL601" s="446" t="e">
        <f>IF(OR($B601="",MIN(AL$38,$D$19)&lt;MAX($P$34*($B601+IF($R$17="Distrato",$I$38-1,0)),IF(AND($L$37=0,$P$34=0),"",$L$37-1),IF($R$17="Distrato",$E601,0))),0,YEARFRAC(MAX($P$34*($B601+IF($R$17="Distrato",$I$38-1,0)),IF(AND($L$37=0,$P$34=0),"",$L$37-1),IF($R$17="Distrato",$E601,0)),MIN(AL$38,$D$19),$P$20))-SUM($P601:AK601)</f>
        <v>#VALUE!</v>
      </c>
      <c r="AM601" s="446" t="e">
        <f>IF(OR($B601="",MIN(AM$38,$D$19)&lt;MAX($P$34*($B601+IF($R$17="Distrato",$I$38-1,0)),IF(AND($L$37=0,$P$34=0),"",$L$37-1),IF($R$17="Distrato",$E601,0))),0,YEARFRAC(MAX($P$34*($B601+IF($R$17="Distrato",$I$38-1,0)),IF(AND($L$37=0,$P$34=0),"",$L$37-1),IF($R$17="Distrato",$E601,0)),MIN(AM$38,$D$19),$P$20))-SUM($P601:AL601)</f>
        <v>#VALUE!</v>
      </c>
      <c r="AN601" s="446" t="e">
        <f>IF(OR($B601="",MIN(AN$38,$D$19)&lt;MAX($P$34*($B601+IF($R$17="Distrato",$I$38-1,0)),IF(AND($L$37=0,$P$34=0),"",$L$37-1),IF($R$17="Distrato",$E601,0))),0,YEARFRAC(MAX($P$34*($B601+IF($R$17="Distrato",$I$38-1,0)),IF(AND($L$37=0,$P$34=0),"",$L$37-1),IF($R$17="Distrato",$E601,0)),MIN(AN$38,$D$19),$P$20))-SUM($P601:AM601)</f>
        <v>#VALUE!</v>
      </c>
      <c r="AO601" s="446" t="e">
        <f>IF(OR($B601="",MIN(AO$38,$D$19)&lt;MAX($P$34*($B601+IF($R$17="Distrato",$I$38-1,0)),IF(AND($L$37=0,$P$34=0),"",$L$37-1),IF($R$17="Distrato",$E601,0))),0,YEARFRAC(MAX($P$34*($B601+IF($R$17="Distrato",$I$38-1,0)),IF(AND($L$37=0,$P$34=0),"",$L$37-1),IF($R$17="Distrato",$E601,0)),MIN(AO$38,$D$19),$P$20))-SUM($P601:AN601)</f>
        <v>#VALUE!</v>
      </c>
      <c r="AP601" s="446" t="e">
        <f>IF(OR($B601="",MIN(AP$38,$D$19)&lt;MAX($P$34*($B601+IF($R$17="Distrato",$I$38-1,0)),IF(AND($L$37=0,$P$34=0),"",$L$37-1),IF($R$17="Distrato",$E601,0))),0,YEARFRAC(MAX($P$34*($B601+IF($R$17="Distrato",$I$38-1,0)),IF(AND($L$37=0,$P$34=0),"",$L$37-1),IF($R$17="Distrato",$E601,0)),MIN(AP$38,$D$19),$P$20))-SUM($P601:AO601)</f>
        <v>#VALUE!</v>
      </c>
      <c r="AQ601" s="446" t="e">
        <f>IF(OR($B601="",MIN(AQ$38,$D$19)&lt;MAX($P$34*($B601+IF($R$17="Distrato",$I$38-1,0)),IF(AND($L$37=0,$P$34=0),"",$L$37-1),IF($R$17="Distrato",$E601,0))),0,YEARFRAC(MAX($P$34*($B601+IF($R$17="Distrato",$I$38-1,0)),IF(AND($L$37=0,$P$34=0),"",$L$37-1),IF($R$17="Distrato",$E601,0)),MIN(AQ$38,$D$19),$P$20))-SUM($P601:AP601)</f>
        <v>#VALUE!</v>
      </c>
      <c r="AR601" s="446" t="e">
        <f>IF(OR($B601="",MIN(AR$38,$D$19)&lt;MAX($P$34*($B601+IF($R$17="Distrato",$I$38-1,0)),IF(AND($L$37=0,$P$34=0),"",$L$37-1),IF($R$17="Distrato",$E601,0))),0,YEARFRAC(MAX($P$34*($B601+IF($R$17="Distrato",$I$38-1,0)),IF(AND($L$37=0,$P$34=0),"",$L$37-1),IF($R$17="Distrato",$E601,0)),MIN(AR$38,$D$19),$P$20))-SUM($P601:AQ601)</f>
        <v>#VALUE!</v>
      </c>
      <c r="AS601" s="446" t="e">
        <f>IF(OR($B601="",MIN(AS$38,$D$19)&lt;MAX($P$34*($B601+IF($R$17="Distrato",$I$38-1,0)),IF(AND($L$37=0,$P$34=0),"",$L$37-1),IF($R$17="Distrato",$E601,0))),0,YEARFRAC(MAX($P$34*($B601+IF($R$17="Distrato",$I$38-1,0)),IF(AND($L$37=0,$P$34=0),"",$L$37-1),IF($R$17="Distrato",$E601,0)),MIN(AS$38,$D$19),$P$20))-SUM($P601:AR601)</f>
        <v>#VALUE!</v>
      </c>
      <c r="AT601" s="446" t="e">
        <f>IF(OR($B601="",MIN(AT$38,$D$19)&lt;MAX($P$34*($B601+IF($R$17="Distrato",$I$38-1,0)),IF(AND($L$37=0,$P$34=0),"",$L$37-1),IF($R$17="Distrato",$E601,0))),0,YEARFRAC(MAX($P$34*($B601+IF($R$17="Distrato",$I$38-1,0)),IF(AND($L$37=0,$P$34=0),"",$L$37-1),IF($R$17="Distrato",$E601,0)),MIN(AT$38,$D$19),$P$20))-SUM($P601:AS601)</f>
        <v>#VALUE!</v>
      </c>
      <c r="AU601" s="446" t="e">
        <f>IF(OR($B601="",MIN(AU$38,$D$19)&lt;MAX($P$34*($B601+IF($R$17="Distrato",$I$38-1,0)),IF(AND($L$37=0,$P$34=0),"",$L$37-1),IF($R$17="Distrato",$E601,0))),0,YEARFRAC(MAX($P$34*($B601+IF($R$17="Distrato",$I$38-1,0)),IF(AND($L$37=0,$P$34=0),"",$L$37-1),IF($R$17="Distrato",$E601,0)),MIN(AU$38,$D$19),$P$20))-SUM($P601:AT601)</f>
        <v>#VALUE!</v>
      </c>
      <c r="AV601" s="446" t="e">
        <f>IF(OR($B601="",MIN(AV$38,$D$19)&lt;MAX($P$34*($B601+IF($R$17="Distrato",$I$38-1,0)),IF(AND($L$37=0,$P$34=0),"",$L$37-1),IF($R$17="Distrato",$E601,0))),0,YEARFRAC(MAX($P$34*($B601+IF($R$17="Distrato",$I$38-1,0)),IF(AND($L$37=0,$P$34=0),"",$L$37-1),IF($R$17="Distrato",$E601,0)),MIN(AV$38,$D$19),$P$20))-SUM($P601:AU601)</f>
        <v>#VALUE!</v>
      </c>
      <c r="AW601" s="446" t="e">
        <f>IF(OR($B601="",MIN(AW$38,$D$19)&lt;MAX($P$34*($B601+IF($R$17="Distrato",$I$38-1,0)),IF(AND($L$37=0,$P$34=0),"",$L$37-1),IF($R$17="Distrato",$E601,0))),0,YEARFRAC(MAX($P$34*($B601+IF($R$17="Distrato",$I$38-1,0)),IF(AND($L$37=0,$P$34=0),"",$L$37-1),IF($R$17="Distrato",$E601,0)),MIN(AW$38,$D$19),$P$20))-SUM($P601:AV601)</f>
        <v>#VALUE!</v>
      </c>
      <c r="AX601" s="446" t="e">
        <f>IF(OR($B601="",MIN(AX$38,$D$19)&lt;MAX($P$34*($B601+IF($R$17="Distrato",$I$38-1,0)),IF(AND($L$37=0,$P$34=0),"",$L$37-1),IF($R$17="Distrato",$E601,0))),0,YEARFRAC(MAX($P$34*($B601+IF($R$17="Distrato",$I$38-1,0)),IF(AND($L$37=0,$P$34=0),"",$L$37-1),IF($R$17="Distrato",$E601,0)),MIN(AX$38,$D$19),$P$20))-SUM($P601:AW601)</f>
        <v>#VALUE!</v>
      </c>
      <c r="AY601" s="446" t="e">
        <f>IF(OR($B601="",MIN(AY$38,$D$19)&lt;MAX($P$34*($B601+IF($R$17="Distrato",$I$38-1,0)),IF(AND($L$37=0,$P$34=0),"",$L$37-1),IF($R$17="Distrato",$E601,0))),0,YEARFRAC(MAX($P$34*($B601+IF($R$17="Distrato",$I$38-1,0)),IF(AND($L$37=0,$P$34=0),"",$L$37-1),IF($R$17="Distrato",$E601,0)),MIN(AY$38,$D$19),$P$20))-SUM($P601:AX601)</f>
        <v>#VALUE!</v>
      </c>
      <c r="AZ601" s="446" t="e">
        <f>IF(OR($B601="",MIN(AZ$38,$D$19)&lt;MAX($P$34*($B601+IF($R$17="Distrato",$I$38-1,0)),IF(AND($L$37=0,$P$34=0),"",$L$37-1),IF($R$17="Distrato",$E601,0))),0,YEARFRAC(MAX($P$34*($B601+IF($R$17="Distrato",$I$38-1,0)),IF(AND($L$37=0,$P$34=0),"",$L$37-1),IF($R$17="Distrato",$E601,0)),MIN(AZ$38,$D$19),$P$20))-SUM($P601:AY601)</f>
        <v>#VALUE!</v>
      </c>
      <c r="BA601" s="446" t="e">
        <f>IF(OR($B601="",MIN(BA$38,$D$19)&lt;MAX($P$34*($B601+IF($R$17="Distrato",$I$38-1,0)),IF(AND($L$37=0,$P$34=0),"",$L$37-1),IF($R$17="Distrato",$E601,0))),0,YEARFRAC(MAX($P$34*($B601+IF($R$17="Distrato",$I$38-1,0)),IF(AND($L$37=0,$P$34=0),"",$L$37-1),IF($R$17="Distrato",$E601,0)),MIN(BA$38,$D$19),$P$20))-SUM($P601:AZ601)</f>
        <v>#VALUE!</v>
      </c>
      <c r="BB601" s="447"/>
      <c r="BF601" s="446">
        <f t="shared" si="98"/>
        <v>0</v>
      </c>
      <c r="BG601" s="446">
        <f>IF($E601=0,0,IF(MIN(BG$38,$E601)&lt;MAX($P$34*($B601+$I$38-1),IF(AND($L$37=0,$P$34=0),"",$L$37-1)),0,YEARFRAC(MAX($P$34*($B601+$I$38-1),IF(AND($L$37=0,$P$34=0),"",$L$37-1)),MIN(BG$38,$E601),$P$20))-SUM($BF601:BF601))</f>
        <v>0</v>
      </c>
      <c r="BH601" s="446">
        <f>IF($E601=0,0,IF(MIN(BH$38,$E601)&lt;MAX($P$34*($B601+$I$38-1),IF(AND($L$37=0,$P$34=0),"",$L$37-1)),0,YEARFRAC(MAX($P$34*($B601+$I$38-1),IF(AND($L$37=0,$P$34=0),"",$L$37-1)),MIN(BH$38,$E601),$P$20))-SUM($BF601:BG601))</f>
        <v>0</v>
      </c>
      <c r="BI601" s="446">
        <f>IF($E601=0,0,IF(MIN(BI$38,$E601)&lt;MAX($P$34*($B601+$I$38-1),IF(AND($L$37=0,$P$34=0),"",$L$37-1)),0,YEARFRAC(MAX($P$34*($B601+$I$38-1),IF(AND($L$37=0,$P$34=0),"",$L$37-1)),MIN(BI$38,$E601),$P$20))-SUM($BF601:BH601))</f>
        <v>0</v>
      </c>
      <c r="BJ601" s="446">
        <f>IF($E601=0,0,IF(MIN(BJ$38,$E601)&lt;MAX($P$34*($B601+$I$38-1),IF(AND($L$37=0,$P$34=0),"",$L$37-1)),0,YEARFRAC(MAX($P$34*($B601+$I$38-1),IF(AND($L$37=0,$P$34=0),"",$L$37-1)),MIN(BJ$38,$E601),$P$20))-SUM($BF601:BI601))</f>
        <v>0</v>
      </c>
      <c r="BK601" s="446">
        <f>IF($E601=0,0,IF(MIN(BK$38,$E601)&lt;MAX($P$34*($B601+$I$38-1),IF(AND($L$37=0,$P$34=0),"",$L$37-1)),0,YEARFRAC(MAX($P$34*($B601+$I$38-1),IF(AND($L$37=0,$P$34=0),"",$L$37-1)),MIN(BK$38,$E601),$P$20))-SUM($BF601:BJ601))</f>
        <v>0</v>
      </c>
      <c r="BL601" s="446">
        <f>IF($E601=0,0,IF(MIN(BL$38,$E601)&lt;MAX($P$34*($B601+$I$38-1),IF(AND($L$37=0,$P$34=0),"",$L$37-1)),0,YEARFRAC(MAX($P$34*($B601+$I$38-1),IF(AND($L$37=0,$P$34=0),"",$L$37-1)),MIN(BL$38,$E601),$P$20))-SUM($BF601:BK601))</f>
        <v>0</v>
      </c>
      <c r="BM601" s="446">
        <f>IF($E601=0,0,IF(MIN(BM$38,$E601)&lt;MAX($P$34*($B601+$I$38-1),IF(AND($L$37=0,$P$34=0),"",$L$37-1)),0,YEARFRAC(MAX($P$34*($B601+$I$38-1),IF(AND($L$37=0,$P$34=0),"",$L$37-1)),MIN(BM$38,$E601),$P$20))-SUM($BF601:BL601))</f>
        <v>0</v>
      </c>
      <c r="BN601" s="446">
        <f>IF($E601=0,0,IF(MIN(BN$38,$E601)&lt;MAX($P$34*($B601+$I$38-1),IF(AND($L$37=0,$P$34=0),"",$L$37-1)),0,YEARFRAC(MAX($P$34*($B601+$I$38-1),IF(AND($L$37=0,$P$34=0),"",$L$37-1)),MIN(BN$38,$E601),$P$20))-SUM($BF601:BM601))</f>
        <v>0</v>
      </c>
      <c r="BO601" s="446">
        <f>IF($E601=0,0,IF(MIN(BO$38,$E601)&lt;MAX($P$34*($B601+$I$38-1),IF(AND($L$37=0,$P$34=0),"",$L$37-1)),0,YEARFRAC(MAX($P$34*($B601+$I$38-1),IF(AND($L$37=0,$P$34=0),"",$L$37-1)),MIN(BO$38,$E601),$P$20))-SUM($BF601:BN601))</f>
        <v>0</v>
      </c>
      <c r="BP601" s="446">
        <f>IF($E601=0,0,IF(MIN(BP$38,$E601)&lt;MAX($P$34*($B601+$I$38-1),IF(AND($L$37=0,$P$34=0),"",$L$37-1)),0,YEARFRAC(MAX($P$34*($B601+$I$38-1),IF(AND($L$37=0,$P$34=0),"",$L$37-1)),MIN(BP$38,$E601),$P$20))-SUM($BF601:BO601))</f>
        <v>0</v>
      </c>
      <c r="BQ601" s="446">
        <f>IF($E601=0,0,IF(MIN(BQ$38,$E601)&lt;MAX($P$34*($B601+$I$38-1),IF(AND($L$37=0,$P$34=0),"",$L$37-1)),0,YEARFRAC(MAX($P$34*($B601+$I$38-1),IF(AND($L$37=0,$P$34=0),"",$L$37-1)),MIN(BQ$38,$E601),$P$20))-SUM($BF601:BP601))</f>
        <v>0</v>
      </c>
      <c r="BR601" s="446">
        <f>IF($E601=0,0,IF(MIN(BR$38,$E601)&lt;MAX($P$34*($B601+$I$38-1),IF(AND($L$37=0,$P$34=0),"",$L$37-1)),0,YEARFRAC(MAX($P$34*($B601+$I$38-1),IF(AND($L$37=0,$P$34=0),"",$L$37-1)),MIN(BR$38,$E601),$P$20))-SUM($BF601:BQ601))</f>
        <v>0</v>
      </c>
      <c r="BS601" s="446">
        <f>IF($E601=0,0,IF(MIN(BS$38,$E601)&lt;MAX($P$34*($B601+$I$38-1),IF(AND($L$37=0,$P$34=0),"",$L$37-1)),0,YEARFRAC(MAX($P$34*($B601+$I$38-1),IF(AND($L$37=0,$P$34=0),"",$L$37-1)),MIN(BS$38,$E601),$P$20))-SUM($BF601:BR601))</f>
        <v>0</v>
      </c>
      <c r="BT601" s="446">
        <f>IF($E601=0,0,IF(MIN(BT$38,$E601)&lt;MAX($P$34*($B601+$I$38-1),IF(AND($L$37=0,$P$34=0),"",$L$37-1)),0,YEARFRAC(MAX($P$34*($B601+$I$38-1),IF(AND($L$37=0,$P$34=0),"",$L$37-1)),MIN(BT$38,$E601),$P$20))-SUM($BF601:BS601))</f>
        <v>0</v>
      </c>
      <c r="BU601" s="446">
        <f>IF($E601=0,0,IF(MIN(BU$38,$E601)&lt;MAX($P$34*($B601+$I$38-1),IF(AND($L$37=0,$P$34=0),"",$L$37-1)),0,YEARFRAC(MAX($P$34*($B601+$I$38-1),IF(AND($L$37=0,$P$34=0),"",$L$37-1)),MIN(BU$38,$E601),$P$20))-SUM($BF601:BT601))</f>
        <v>0</v>
      </c>
      <c r="BV601" s="446">
        <f>IF($E601=0,0,IF(MIN(BV$38,$E601)&lt;MAX($P$34*($B601+$I$38-1),IF(AND($L$37=0,$P$34=0),"",$L$37-1)),0,YEARFRAC(MAX($P$34*($B601+$I$38-1),IF(AND($L$37=0,$P$34=0),"",$L$37-1)),MIN(BV$38,$E601),$P$20))-SUM($BF601:BU601))</f>
        <v>0</v>
      </c>
      <c r="BW601" s="446">
        <f>IF($E601=0,0,IF(MIN(BW$38,$E601)&lt;MAX($P$34*($B601+$I$38-1),IF(AND($L$37=0,$P$34=0),"",$L$37-1)),0,YEARFRAC(MAX($P$34*($B601+$I$38-1),IF(AND($L$37=0,$P$34=0),"",$L$37-1)),MIN(BW$38,$E601),$P$20))-SUM($BF601:BV601))</f>
        <v>0</v>
      </c>
      <c r="BX601" s="446">
        <f>IF($E601=0,0,IF(MIN(BX$38,$E601)&lt;MAX($P$34*($B601+$I$38-1),IF(AND($L$37=0,$P$34=0),"",$L$37-1)),0,YEARFRAC(MAX($P$34*($B601+$I$38-1),IF(AND($L$37=0,$P$34=0),"",$L$37-1)),MIN(BX$38,$E601),$P$20))-SUM($BF601:BW601))</f>
        <v>0</v>
      </c>
      <c r="BY601" s="446">
        <f>IF($E601=0,0,IF(MIN(BY$38,$E601)&lt;MAX($P$34*($B601+$I$38-1),IF(AND($L$37=0,$P$34=0),"",$L$37-1)),0,YEARFRAC(MAX($P$34*($B601+$I$38-1),IF(AND($L$37=0,$P$34=0),"",$L$37-1)),MIN(BY$38,$E601),$P$20))-SUM($BF601:BX601))</f>
        <v>0</v>
      </c>
      <c r="BZ601" s="446">
        <f>IF($E601=0,0,IF(MIN(BZ$38,$E601)&lt;MAX($P$34*($B601+$I$38-1),IF(AND($L$37=0,$P$34=0),"",$L$37-1)),0,YEARFRAC(MAX($P$34*($B601+$I$38-1),IF(AND($L$37=0,$P$34=0),"",$L$37-1)),MIN(BZ$38,$E601),$P$20))-SUM($BF601:BY601))</f>
        <v>0</v>
      </c>
      <c r="CA601" s="446">
        <f>IF($E601=0,0,IF(MIN(CA$38,$E601)&lt;MAX($P$34*($B601+$I$38-1),IF(AND($L$37=0,$P$34=0),"",$L$37-1)),0,YEARFRAC(MAX($P$34*($B601+$I$38-1),IF(AND($L$37=0,$P$34=0),"",$L$37-1)),MIN(CA$38,$E601),$P$20))-SUM($BF601:BZ601))</f>
        <v>0</v>
      </c>
      <c r="CB601" s="446">
        <f>IF($E601=0,0,IF(MIN(CB$38,$E601)&lt;MAX($P$34*($B601+$I$38-1),IF(AND($L$37=0,$P$34=0),"",$L$37-1)),0,YEARFRAC(MAX($P$34*($B601+$I$38-1),IF(AND($L$37=0,$P$34=0),"",$L$37-1)),MIN(CB$38,$E601),$P$20))-SUM($BF601:CA601))</f>
        <v>0</v>
      </c>
      <c r="CC601" s="446">
        <f>IF($E601=0,0,IF(MIN(CC$38,$E601)&lt;MAX($P$34*($B601+$I$38-1),IF(AND($L$37=0,$P$34=0),"",$L$37-1)),0,YEARFRAC(MAX($P$34*($B601+$I$38-1),IF(AND($L$37=0,$P$34=0),"",$L$37-1)),MIN(CC$38,$E601),$P$20))-SUM($BF601:CB601))</f>
        <v>0</v>
      </c>
      <c r="CD601" s="446">
        <f>IF($E601=0,0,IF(MIN(CD$38,$E601)&lt;MAX($P$34*($B601+$I$38-1),IF(AND($L$37=0,$P$34=0),"",$L$37-1)),0,YEARFRAC(MAX($P$34*($B601+$I$38-1),IF(AND($L$37=0,$P$34=0),"",$L$37-1)),MIN(CD$38,$E601),$P$20))-SUM($BF601:CC601))</f>
        <v>0</v>
      </c>
      <c r="CE601" s="446">
        <f>IF($E601=0,0,IF(MIN(CE$38,$E601)&lt;MAX($P$34*($B601+$I$38-1),IF(AND($L$37=0,$P$34=0),"",$L$37-1)),0,YEARFRAC(MAX($P$34*($B601+$I$38-1),IF(AND($L$37=0,$P$34=0),"",$L$37-1)),MIN(CE$38,$E601),$P$20))-SUM($BF601:CD601))</f>
        <v>0</v>
      </c>
      <c r="CF601" s="446">
        <f>IF($E601=0,0,IF(MIN(CF$38,$E601)&lt;MAX($P$34*($B601+$I$38-1),IF(AND($L$37=0,$P$34=0),"",$L$37-1)),0,YEARFRAC(MAX($P$34*($B601+$I$38-1),IF(AND($L$37=0,$P$34=0),"",$L$37-1)),MIN(CF$38,$E601),$P$20))-SUM($BF601:CE601))</f>
        <v>0</v>
      </c>
      <c r="CG601" s="446">
        <f>IF($E601=0,0,IF(MIN(CG$38,$E601)&lt;MAX($P$34*($B601+$I$38-1),IF(AND($L$37=0,$P$34=0),"",$L$37-1)),0,YEARFRAC(MAX($P$34*($B601+$I$38-1),IF(AND($L$37=0,$P$34=0),"",$L$37-1)),MIN(CG$38,$E601),$P$20))-SUM($BF601:CF601))</f>
        <v>0</v>
      </c>
      <c r="CH601" s="446">
        <f>IF($E601=0,0,IF(MIN(CH$38,$E601)&lt;MAX($P$34*($B601+$I$38-1),IF(AND($L$37=0,$P$34=0),"",$L$37-1)),0,YEARFRAC(MAX($P$34*($B601+$I$38-1),IF(AND($L$37=0,$P$34=0),"",$L$37-1)),MIN(CH$38,$E601),$P$20))-SUM($BF601:CG601))</f>
        <v>0</v>
      </c>
      <c r="CI601" s="446">
        <f>IF($E601=0,0,IF(MIN(CI$38,$E601)&lt;MAX($P$34*($B601+$I$38-1),IF(AND($L$37=0,$P$34=0),"",$L$37-1)),0,YEARFRAC(MAX($P$34*($B601+$I$38-1),IF(AND($L$37=0,$P$34=0),"",$L$37-1)),MIN(CI$38,$E601),$P$20))-SUM($BF601:CH601))</f>
        <v>0</v>
      </c>
      <c r="CJ601" s="446">
        <f>IF($E601=0,0,IF(MIN(CJ$38,$E601)&lt;MAX($P$34*($B601+$I$38-1),IF(AND($L$37=0,$P$34=0),"",$L$37-1)),0,YEARFRAC(MAX($P$34*($B601+$I$38-1),IF(AND($L$37=0,$P$34=0),"",$L$37-1)),MIN(CJ$38,$E601),$P$20))-SUM($BF601:CI601))</f>
        <v>0</v>
      </c>
      <c r="CK601" s="446">
        <f>IF($E601=0,0,IF(MIN(CK$38,$E601)&lt;MAX($P$34*($B601+$I$38-1),IF(AND($L$37=0,$P$34=0),"",$L$37-1)),0,YEARFRAC(MAX($P$34*($B601+$I$38-1),IF(AND($L$37=0,$P$34=0),"",$L$37-1)),MIN(CK$38,$E601),$P$20))-SUM($BF601:CJ601))</f>
        <v>0</v>
      </c>
      <c r="CL601" s="446">
        <f>IF($E601=0,0,IF(MIN(CL$38,$E601)&lt;MAX($P$34*($B601+$I$38-1),IF(AND($L$37=0,$P$34=0),"",$L$37-1)),0,YEARFRAC(MAX($P$34*($B601+$I$38-1),IF(AND($L$37=0,$P$34=0),"",$L$37-1)),MIN(CL$38,$E601),$P$20))-SUM($BF601:CK601))</f>
        <v>0</v>
      </c>
      <c r="CM601" s="446">
        <f>IF($E601=0,0,IF(MIN(CM$38,$E601)&lt;MAX($P$34*($B601+$I$38-1),IF(AND($L$37=0,$P$34=0),"",$L$37-1)),0,YEARFRAC(MAX($P$34*($B601+$I$38-1),IF(AND($L$37=0,$P$34=0),"",$L$37-1)),MIN(CM$38,$E601),$P$20))-SUM($BF601:CL601))</f>
        <v>0</v>
      </c>
      <c r="CN601" s="446">
        <f>IF($E601=0,0,IF(MIN(CN$38,$E601)&lt;MAX($P$34*($B601+$I$38-1),IF(AND($L$37=0,$P$34=0),"",$L$37-1)),0,YEARFRAC(MAX($P$34*($B601+$I$38-1),IF(AND($L$37=0,$P$34=0),"",$L$37-1)),MIN(CN$38,$E601),$P$20))-SUM($BF601:CM601))</f>
        <v>0</v>
      </c>
      <c r="CO601" s="446">
        <f>IF($E601=0,0,IF(MIN(CO$38,$E601)&lt;MAX($P$34*($B601+$I$38-1),IF(AND($L$37=0,$P$34=0),"",$L$37-1)),0,YEARFRAC(MAX($P$34*($B601+$I$38-1),IF(AND($L$37=0,$P$34=0),"",$L$37-1)),MIN(CO$38,$E601),$P$20))-SUM($BF601:CN601))</f>
        <v>0</v>
      </c>
      <c r="CP601" s="446">
        <f>IF($E601=0,0,IF(MIN(CP$38,$E601)&lt;MAX($P$34*($B601+$I$38-1),IF(AND($L$37=0,$P$34=0),"",$L$37-1)),0,YEARFRAC(MAX($P$34*($B601+$I$38-1),IF(AND($L$37=0,$P$34=0),"",$L$37-1)),MIN(CP$38,$E601),$P$20))-SUM($BF601:CO601))</f>
        <v>0</v>
      </c>
      <c r="CQ601" s="446">
        <f>IF($E601=0,0,IF(MIN(CQ$38,$E601)&lt;MAX($P$34*($B601+$I$38-1),IF(AND($L$37=0,$P$34=0),"",$L$37-1)),0,YEARFRAC(MAX($P$34*($B601+$I$38-1),IF(AND($L$37=0,$P$34=0),"",$L$37-1)),MIN(CQ$38,$E601),$P$20))-SUM($BF601:CP601))</f>
        <v>0</v>
      </c>
    </row>
    <row r="602" spans="1:95" s="446" customFormat="1" ht="11.25" hidden="1" customHeight="1" x14ac:dyDescent="0.2">
      <c r="A602" s="152"/>
      <c r="B602" s="153" t="str">
        <f t="shared" si="103"/>
        <v/>
      </c>
      <c r="C602" s="29" t="str">
        <f>IF(B602="","",IF($L$35="SELIC - TRIBUTOS",VLOOKUP(DATE(YEAR($D$19),MONTH($D$19)-1,1),ÍNDICES!$A:$DE,HLOOKUP($BL$25,ÍNDICES!$B$3:$T$4,2)+11)-VLOOKUP(B602,ÍNDICES!$A:$DE,HLOOKUP($BL$25,ÍNDICES!$B$3:$T$4,2)+11)+1%,IF(C$38=$W$26,$J$35,IF(ISERROR(IF(B602&gt;$D$19,1,VLOOKUP(DATE(YEAR(B602),MONTH(B602)+IF($C$35=$S$23,1,0),1),ÍNDICES!$A:$DE,$Z$35+1))),"",IF(B602&gt;$D$19,1,VLOOKUP(DATE(YEAR(B602),MONTH(B602)+IF($C$35=$S$23,1,0),1),ÍNDICES!$A:$DE,$Z$35+1))))))</f>
        <v/>
      </c>
      <c r="D602" s="154" t="str">
        <f>IF(ISERROR(IF(OR($D$38=$Y$27,$B602=""),"",VLOOKUP(B602,ÍNDICES!A:DE,AF$35+1))),"",IF(OR($D$38=$Y$27,$B602=""),"",VLOOKUP(B602,ÍNDICES!A:DE,AF$35+1)))</f>
        <v/>
      </c>
      <c r="E602" s="153"/>
      <c r="F602" s="29" t="str">
        <f>IF(E602="","",IF($L$35="SELIC - TRIBUTOS",VLOOKUP(DATE(YEAR($D$19),MONTH($D$19)-1,1),ÍNDICES!$A:$DE,HLOOKUP($BL$25,ÍNDICES!$B$3:$T$4,2)+11)-VLOOKUP(E602,ÍNDICES!$A:$DE,HLOOKUP($BL$25,ÍNDICES!$B$3:$T$4,2)+11)+1%,IF(F$38=$W$26,$J$35,IF(ISERROR(IF(E602&gt;$D$19,1,VLOOKUP(DATE(YEAR(E602),MONTH(E602)+IF($C$35=$S$23,1,0),1),ÍNDICES!$A:$DE,$Z$35+1))),"",IF(E602&gt;$D$19,1,VLOOKUP(DATE(YEAR(E602),MONTH(E602)+IF($C$35=$S$23,1,0),1),ÍNDICES!$A:$DE,$Z$35+1))))))</f>
        <v/>
      </c>
      <c r="G602" s="155"/>
      <c r="H602" s="156" t="str">
        <f t="shared" si="99"/>
        <v/>
      </c>
      <c r="I602" s="29" t="str">
        <f t="shared" si="93"/>
        <v/>
      </c>
      <c r="J602" s="5">
        <f t="shared" si="94"/>
        <v>0</v>
      </c>
      <c r="K602" s="20">
        <f t="shared" ca="1" si="95"/>
        <v>0</v>
      </c>
      <c r="L602" s="5">
        <f t="shared" ca="1" si="96"/>
        <v>0</v>
      </c>
      <c r="M602" s="64">
        <f t="shared" si="100"/>
        <v>0</v>
      </c>
      <c r="N602" s="61">
        <f t="shared" ca="1" si="101"/>
        <v>0</v>
      </c>
      <c r="O602" s="5">
        <f t="shared" ca="1" si="102"/>
        <v>0</v>
      </c>
      <c r="P602" s="446" t="e">
        <f t="shared" si="97"/>
        <v>#VALUE!</v>
      </c>
      <c r="Q602" s="446" t="e">
        <f>IF(OR($B602="",MIN(Q$38,$D$19)&lt;MAX($P$34*($B602+IF($R$17="Distrato",$I$38-1,0)),IF(AND($L$37=0,$P$34=0),"",$L$37-1),IF($R$17="Distrato",$E602,0))),0,YEARFRAC(MAX($P$34*($B602+IF($R$17="Distrato",$I$38-1,0)),IF(AND($L$37=0,$P$34=0),"",$L$37-1),IF($R$17="Distrato",$E602,0)),MIN(Q$38,$D$19),$P$20))-SUM($P602:P602)</f>
        <v>#VALUE!</v>
      </c>
      <c r="R602" s="446" t="e">
        <f>IF(OR($B602="",MIN(R$38,$D$19)&lt;MAX($P$34*($B602+IF($R$17="Distrato",$I$38-1,0)),IF(AND($L$37=0,$P$34=0),"",$L$37-1),IF($R$17="Distrato",$E602,0))),0,YEARFRAC(MAX($P$34*($B602+IF($R$17="Distrato",$I$38-1,0)),IF(AND($L$37=0,$P$34=0),"",$L$37-1),IF($R$17="Distrato",$E602,0)),MIN(R$38,$D$19),$P$20))-SUM($P602:Q602)</f>
        <v>#VALUE!</v>
      </c>
      <c r="S602" s="446" t="e">
        <f>IF(OR($B602="",MIN(S$38,$D$19)&lt;MAX($P$34*($B602+IF($R$17="Distrato",$I$38-1,0)),IF(AND($L$37=0,$P$34=0),"",$L$37-1),IF($R$17="Distrato",$E602,0))),0,YEARFRAC(MAX($P$34*($B602+IF($R$17="Distrato",$I$38-1,0)),IF(AND($L$37=0,$P$34=0),"",$L$37-1),IF($R$17="Distrato",$E602,0)),MIN(S$38,$D$19),$P$20))-SUM($P602:R602)</f>
        <v>#VALUE!</v>
      </c>
      <c r="T602" s="446" t="e">
        <f>IF(OR($B602="",MIN(T$38,$D$19)&lt;MAX($P$34*($B602+IF($R$17="Distrato",$I$38-1,0)),IF(AND($L$37=0,$P$34=0),"",$L$37-1),IF($R$17="Distrato",$E602,0))),0,YEARFRAC(MAX($P$34*($B602+IF($R$17="Distrato",$I$38-1,0)),IF(AND($L$37=0,$P$34=0),"",$L$37-1),IF($R$17="Distrato",$E602,0)),MIN(T$38,$D$19),$P$20))-SUM($P602:S602)</f>
        <v>#VALUE!</v>
      </c>
      <c r="U602" s="446" t="e">
        <f>IF(OR($B602="",MIN(U$38,$D$19)&lt;MAX($P$34*($B602+IF($R$17="Distrato",$I$38-1,0)),IF(AND($L$37=0,$P$34=0),"",$L$37-1),IF($R$17="Distrato",$E602,0))),0,YEARFRAC(MAX($P$34*($B602+IF($R$17="Distrato",$I$38-1,0)),IF(AND($L$37=0,$P$34=0),"",$L$37-1),IF($R$17="Distrato",$E602,0)),MIN(U$38,$D$19),$P$20))-SUM($P602:T602)</f>
        <v>#VALUE!</v>
      </c>
      <c r="V602" s="446" t="e">
        <f>IF(OR($B602="",MIN(V$38,$D$19)&lt;MAX($P$34*($B602+IF($R$17="Distrato",$I$38-1,0)),IF(AND($L$37=0,$P$34=0),"",$L$37-1),IF($R$17="Distrato",$E602,0))),0,YEARFRAC(MAX($P$34*($B602+IF($R$17="Distrato",$I$38-1,0)),IF(AND($L$37=0,$P$34=0),"",$L$37-1),IF($R$17="Distrato",$E602,0)),MIN(V$38,$D$19),$P$20))-SUM($P602:U602)</f>
        <v>#VALUE!</v>
      </c>
      <c r="W602" s="446" t="e">
        <f>IF(OR($B602="",MIN(W$38,$D$19)&lt;MAX($P$34*($B602+IF($R$17="Distrato",$I$38-1,0)),IF(AND($L$37=0,$P$34=0),"",$L$37-1),IF($R$17="Distrato",$E602,0))),0,YEARFRAC(MAX($P$34*($B602+IF($R$17="Distrato",$I$38-1,0)),IF(AND($L$37=0,$P$34=0),"",$L$37-1),IF($R$17="Distrato",$E602,0)),MIN(W$38,$D$19),$P$20))-SUM($P602:V602)</f>
        <v>#VALUE!</v>
      </c>
      <c r="X602" s="446" t="e">
        <f>IF(OR($B602="",MIN(X$38,$D$19)&lt;MAX($P$34*($B602+IF($R$17="Distrato",$I$38-1,0)),IF(AND($L$37=0,$P$34=0),"",$L$37-1),IF($R$17="Distrato",$E602,0))),0,YEARFRAC(MAX($P$34*($B602+IF($R$17="Distrato",$I$38-1,0)),IF(AND($L$37=0,$P$34=0),"",$L$37-1),IF($R$17="Distrato",$E602,0)),MIN(X$38,$D$19),$P$20))-SUM($P602:W602)</f>
        <v>#VALUE!</v>
      </c>
      <c r="Y602" s="446" t="e">
        <f>IF(OR($B602="",MIN(Y$38,$D$19)&lt;MAX($P$34*($B602+IF($R$17="Distrato",$I$38-1,0)),IF(AND($L$37=0,$P$34=0),"",$L$37-1),IF($R$17="Distrato",$E602,0))),0,YEARFRAC(MAX($P$34*($B602+IF($R$17="Distrato",$I$38-1,0)),IF(AND($L$37=0,$P$34=0),"",$L$37-1),IF($R$17="Distrato",$E602,0)),MIN(Y$38,$D$19),$P$20))-SUM($P602:X602)</f>
        <v>#VALUE!</v>
      </c>
      <c r="Z602" s="446" t="e">
        <f>IF(OR($B602="",MIN(Z$38,$D$19)&lt;MAX($P$34*($B602+IF($R$17="Distrato",$I$38-1,0)),IF(AND($L$37=0,$P$34=0),"",$L$37-1),IF($R$17="Distrato",$E602,0))),0,YEARFRAC(MAX($P$34*($B602+IF($R$17="Distrato",$I$38-1,0)),IF(AND($L$37=0,$P$34=0),"",$L$37-1),IF($R$17="Distrato",$E602,0)),MIN(Z$38,$D$19),$P$20))-SUM($P602:Y602)</f>
        <v>#VALUE!</v>
      </c>
      <c r="AA602" s="446" t="e">
        <f>IF(OR($B602="",MIN(AA$38,$D$19)&lt;MAX($P$34*($B602+IF($R$17="Distrato",$I$38-1,0)),IF(AND($L$37=0,$P$34=0),"",$L$37-1),IF($R$17="Distrato",$E602,0))),0,YEARFRAC(MAX($P$34*($B602+IF($R$17="Distrato",$I$38-1,0)),IF(AND($L$37=0,$P$34=0),"",$L$37-1),IF($R$17="Distrato",$E602,0)),MIN(AA$38,$D$19),$P$20))-SUM($P602:Z602)</f>
        <v>#VALUE!</v>
      </c>
      <c r="AB602" s="446" t="e">
        <f>IF(OR($B602="",MIN(AB$38,$D$19)&lt;MAX($P$34*($B602+IF($R$17="Distrato",$I$38-1,0)),IF(AND($L$37=0,$P$34=0),"",$L$37-1),IF($R$17="Distrato",$E602,0))),0,YEARFRAC(MAX($P$34*($B602+IF($R$17="Distrato",$I$38-1,0)),IF(AND($L$37=0,$P$34=0),"",$L$37-1),IF($R$17="Distrato",$E602,0)),MIN(AB$38,$D$19),$P$20))-SUM($P602:AA602)</f>
        <v>#VALUE!</v>
      </c>
      <c r="AC602" s="446" t="e">
        <f>IF(OR($B602="",MIN(AC$38,$D$19)&lt;MAX($P$34*($B602+IF($R$17="Distrato",$I$38-1,0)),IF(AND($L$37=0,$P$34=0),"",$L$37-1),IF($R$17="Distrato",$E602,0))),0,YEARFRAC(MAX($P$34*($B602+IF($R$17="Distrato",$I$38-1,0)),IF(AND($L$37=0,$P$34=0),"",$L$37-1),IF($R$17="Distrato",$E602,0)),MIN(AC$38,$D$19),$P$20))-SUM($P602:AB602)</f>
        <v>#VALUE!</v>
      </c>
      <c r="AD602" s="446" t="e">
        <f>IF(OR($B602="",MIN(AD$38,$D$19)&lt;MAX($P$34*($B602+IF($R$17="Distrato",$I$38-1,0)),IF(AND($L$37=0,$P$34=0),"",$L$37-1),IF($R$17="Distrato",$E602,0))),0,YEARFRAC(MAX($P$34*($B602+IF($R$17="Distrato",$I$38-1,0)),IF(AND($L$37=0,$P$34=0),"",$L$37-1),IF($R$17="Distrato",$E602,0)),MIN(AD$38,$D$19),$P$20))-SUM($P602:AC602)</f>
        <v>#VALUE!</v>
      </c>
      <c r="AE602" s="446" t="e">
        <f>IF(OR($B602="",MIN(AE$38,$D$19)&lt;MAX($P$34*($B602+IF($R$17="Distrato",$I$38-1,0)),IF(AND($L$37=0,$P$34=0),"",$L$37-1),IF($R$17="Distrato",$E602,0))),0,YEARFRAC(MAX($P$34*($B602+IF($R$17="Distrato",$I$38-1,0)),IF(AND($L$37=0,$P$34=0),"",$L$37-1),IF($R$17="Distrato",$E602,0)),MIN(AE$38,$D$19),$P$20))-SUM($P602:AD602)</f>
        <v>#VALUE!</v>
      </c>
      <c r="AF602" s="446" t="e">
        <f>IF(OR($B602="",MIN(AF$38,$D$19)&lt;MAX($P$34*($B602+IF($R$17="Distrato",$I$38-1,0)),IF(AND($L$37=0,$P$34=0),"",$L$37-1),IF($R$17="Distrato",$E602,0))),0,YEARFRAC(MAX($P$34*($B602+IF($R$17="Distrato",$I$38-1,0)),IF(AND($L$37=0,$P$34=0),"",$L$37-1),IF($R$17="Distrato",$E602,0)),MIN(AF$38,$D$19),$P$20))-SUM($P602:AE602)</f>
        <v>#VALUE!</v>
      </c>
      <c r="AG602" s="446" t="e">
        <f>IF(OR($B602="",MIN(AG$38,$D$19)&lt;MAX($P$34*($B602+IF($R$17="Distrato",$I$38-1,0)),IF(AND($L$37=0,$P$34=0),"",$L$37-1),IF($R$17="Distrato",$E602,0))),0,YEARFRAC(MAX($P$34*($B602+IF($R$17="Distrato",$I$38-1,0)),IF(AND($L$37=0,$P$34=0),"",$L$37-1),IF($R$17="Distrato",$E602,0)),MIN(AG$38,$D$19),$P$20))-SUM($P602:AF602)</f>
        <v>#VALUE!</v>
      </c>
      <c r="AH602" s="446" t="e">
        <f>IF(OR($B602="",MIN(AH$38,$D$19)&lt;MAX($P$34*($B602+IF($R$17="Distrato",$I$38-1,0)),IF(AND($L$37=0,$P$34=0),"",$L$37-1),IF($R$17="Distrato",$E602,0))),0,YEARFRAC(MAX($P$34*($B602+IF($R$17="Distrato",$I$38-1,0)),IF(AND($L$37=0,$P$34=0),"",$L$37-1),IF($R$17="Distrato",$E602,0)),MIN(AH$38,$D$19),$P$20))-SUM($P602:AG602)</f>
        <v>#VALUE!</v>
      </c>
      <c r="AI602" s="446" t="e">
        <f>IF(OR($B602="",MIN(AI$38,$D$19)&lt;MAX($P$34*($B602+IF($R$17="Distrato",$I$38-1,0)),IF(AND($L$37=0,$P$34=0),"",$L$37-1),IF($R$17="Distrato",$E602,0))),0,YEARFRAC(MAX($P$34*($B602+IF($R$17="Distrato",$I$38-1,0)),IF(AND($L$37=0,$P$34=0),"",$L$37-1),IF($R$17="Distrato",$E602,0)),MIN(AI$38,$D$19),$P$20))-SUM($P602:AH602)</f>
        <v>#VALUE!</v>
      </c>
      <c r="AJ602" s="446" t="e">
        <f>IF(OR($B602="",MIN(AJ$38,$D$19)&lt;MAX($P$34*($B602+IF($R$17="Distrato",$I$38-1,0)),IF(AND($L$37=0,$P$34=0),"",$L$37-1),IF($R$17="Distrato",$E602,0))),0,YEARFRAC(MAX($P$34*($B602+IF($R$17="Distrato",$I$38-1,0)),IF(AND($L$37=0,$P$34=0),"",$L$37-1),IF($R$17="Distrato",$E602,0)),MIN(AJ$38,$D$19),$P$20))-SUM($P602:AI602)</f>
        <v>#VALUE!</v>
      </c>
      <c r="AK602" s="446" t="e">
        <f>IF(OR($B602="",MIN(AK$38,$D$19)&lt;MAX($P$34*($B602+IF($R$17="Distrato",$I$38-1,0)),IF(AND($L$37=0,$P$34=0),"",$L$37-1),IF($R$17="Distrato",$E602,0))),0,YEARFRAC(MAX($P$34*($B602+IF($R$17="Distrato",$I$38-1,0)),IF(AND($L$37=0,$P$34=0),"",$L$37-1),IF($R$17="Distrato",$E602,0)),MIN(AK$38,$D$19),$P$20))-SUM($P602:AJ602)</f>
        <v>#VALUE!</v>
      </c>
      <c r="AL602" s="446" t="e">
        <f>IF(OR($B602="",MIN(AL$38,$D$19)&lt;MAX($P$34*($B602+IF($R$17="Distrato",$I$38-1,0)),IF(AND($L$37=0,$P$34=0),"",$L$37-1),IF($R$17="Distrato",$E602,0))),0,YEARFRAC(MAX($P$34*($B602+IF($R$17="Distrato",$I$38-1,0)),IF(AND($L$37=0,$P$34=0),"",$L$37-1),IF($R$17="Distrato",$E602,0)),MIN(AL$38,$D$19),$P$20))-SUM($P602:AK602)</f>
        <v>#VALUE!</v>
      </c>
      <c r="AM602" s="446" t="e">
        <f>IF(OR($B602="",MIN(AM$38,$D$19)&lt;MAX($P$34*($B602+IF($R$17="Distrato",$I$38-1,0)),IF(AND($L$37=0,$P$34=0),"",$L$37-1),IF($R$17="Distrato",$E602,0))),0,YEARFRAC(MAX($P$34*($B602+IF($R$17="Distrato",$I$38-1,0)),IF(AND($L$37=0,$P$34=0),"",$L$37-1),IF($R$17="Distrato",$E602,0)),MIN(AM$38,$D$19),$P$20))-SUM($P602:AL602)</f>
        <v>#VALUE!</v>
      </c>
      <c r="AN602" s="446" t="e">
        <f>IF(OR($B602="",MIN(AN$38,$D$19)&lt;MAX($P$34*($B602+IF($R$17="Distrato",$I$38-1,0)),IF(AND($L$37=0,$P$34=0),"",$L$37-1),IF($R$17="Distrato",$E602,0))),0,YEARFRAC(MAX($P$34*($B602+IF($R$17="Distrato",$I$38-1,0)),IF(AND($L$37=0,$P$34=0),"",$L$37-1),IF($R$17="Distrato",$E602,0)),MIN(AN$38,$D$19),$P$20))-SUM($P602:AM602)</f>
        <v>#VALUE!</v>
      </c>
      <c r="AO602" s="446" t="e">
        <f>IF(OR($B602="",MIN(AO$38,$D$19)&lt;MAX($P$34*($B602+IF($R$17="Distrato",$I$38-1,0)),IF(AND($L$37=0,$P$34=0),"",$L$37-1),IF($R$17="Distrato",$E602,0))),0,YEARFRAC(MAX($P$34*($B602+IF($R$17="Distrato",$I$38-1,0)),IF(AND($L$37=0,$P$34=0),"",$L$37-1),IF($R$17="Distrato",$E602,0)),MIN(AO$38,$D$19),$P$20))-SUM($P602:AN602)</f>
        <v>#VALUE!</v>
      </c>
      <c r="AP602" s="446" t="e">
        <f>IF(OR($B602="",MIN(AP$38,$D$19)&lt;MAX($P$34*($B602+IF($R$17="Distrato",$I$38-1,0)),IF(AND($L$37=0,$P$34=0),"",$L$37-1),IF($R$17="Distrato",$E602,0))),0,YEARFRAC(MAX($P$34*($B602+IF($R$17="Distrato",$I$38-1,0)),IF(AND($L$37=0,$P$34=0),"",$L$37-1),IF($R$17="Distrato",$E602,0)),MIN(AP$38,$D$19),$P$20))-SUM($P602:AO602)</f>
        <v>#VALUE!</v>
      </c>
      <c r="AQ602" s="446" t="e">
        <f>IF(OR($B602="",MIN(AQ$38,$D$19)&lt;MAX($P$34*($B602+IF($R$17="Distrato",$I$38-1,0)),IF(AND($L$37=0,$P$34=0),"",$L$37-1),IF($R$17="Distrato",$E602,0))),0,YEARFRAC(MAX($P$34*($B602+IF($R$17="Distrato",$I$38-1,0)),IF(AND($L$37=0,$P$34=0),"",$L$37-1),IF($R$17="Distrato",$E602,0)),MIN(AQ$38,$D$19),$P$20))-SUM($P602:AP602)</f>
        <v>#VALUE!</v>
      </c>
      <c r="AR602" s="446" t="e">
        <f>IF(OR($B602="",MIN(AR$38,$D$19)&lt;MAX($P$34*($B602+IF($R$17="Distrato",$I$38-1,0)),IF(AND($L$37=0,$P$34=0),"",$L$37-1),IF($R$17="Distrato",$E602,0))),0,YEARFRAC(MAX($P$34*($B602+IF($R$17="Distrato",$I$38-1,0)),IF(AND($L$37=0,$P$34=0),"",$L$37-1),IF($R$17="Distrato",$E602,0)),MIN(AR$38,$D$19),$P$20))-SUM($P602:AQ602)</f>
        <v>#VALUE!</v>
      </c>
      <c r="AS602" s="446" t="e">
        <f>IF(OR($B602="",MIN(AS$38,$D$19)&lt;MAX($P$34*($B602+IF($R$17="Distrato",$I$38-1,0)),IF(AND($L$37=0,$P$34=0),"",$L$37-1),IF($R$17="Distrato",$E602,0))),0,YEARFRAC(MAX($P$34*($B602+IF($R$17="Distrato",$I$38-1,0)),IF(AND($L$37=0,$P$34=0),"",$L$37-1),IF($R$17="Distrato",$E602,0)),MIN(AS$38,$D$19),$P$20))-SUM($P602:AR602)</f>
        <v>#VALUE!</v>
      </c>
      <c r="AT602" s="446" t="e">
        <f>IF(OR($B602="",MIN(AT$38,$D$19)&lt;MAX($P$34*($B602+IF($R$17="Distrato",$I$38-1,0)),IF(AND($L$37=0,$P$34=0),"",$L$37-1),IF($R$17="Distrato",$E602,0))),0,YEARFRAC(MAX($P$34*($B602+IF($R$17="Distrato",$I$38-1,0)),IF(AND($L$37=0,$P$34=0),"",$L$37-1),IF($R$17="Distrato",$E602,0)),MIN(AT$38,$D$19),$P$20))-SUM($P602:AS602)</f>
        <v>#VALUE!</v>
      </c>
      <c r="AU602" s="446" t="e">
        <f>IF(OR($B602="",MIN(AU$38,$D$19)&lt;MAX($P$34*($B602+IF($R$17="Distrato",$I$38-1,0)),IF(AND($L$37=0,$P$34=0),"",$L$37-1),IF($R$17="Distrato",$E602,0))),0,YEARFRAC(MAX($P$34*($B602+IF($R$17="Distrato",$I$38-1,0)),IF(AND($L$37=0,$P$34=0),"",$L$37-1),IF($R$17="Distrato",$E602,0)),MIN(AU$38,$D$19),$P$20))-SUM($P602:AT602)</f>
        <v>#VALUE!</v>
      </c>
      <c r="AV602" s="446" t="e">
        <f>IF(OR($B602="",MIN(AV$38,$D$19)&lt;MAX($P$34*($B602+IF($R$17="Distrato",$I$38-1,0)),IF(AND($L$37=0,$P$34=0),"",$L$37-1),IF($R$17="Distrato",$E602,0))),0,YEARFRAC(MAX($P$34*($B602+IF($R$17="Distrato",$I$38-1,0)),IF(AND($L$37=0,$P$34=0),"",$L$37-1),IF($R$17="Distrato",$E602,0)),MIN(AV$38,$D$19),$P$20))-SUM($P602:AU602)</f>
        <v>#VALUE!</v>
      </c>
      <c r="AW602" s="446" t="e">
        <f>IF(OR($B602="",MIN(AW$38,$D$19)&lt;MAX($P$34*($B602+IF($R$17="Distrato",$I$38-1,0)),IF(AND($L$37=0,$P$34=0),"",$L$37-1),IF($R$17="Distrato",$E602,0))),0,YEARFRAC(MAX($P$34*($B602+IF($R$17="Distrato",$I$38-1,0)),IF(AND($L$37=0,$P$34=0),"",$L$37-1),IF($R$17="Distrato",$E602,0)),MIN(AW$38,$D$19),$P$20))-SUM($P602:AV602)</f>
        <v>#VALUE!</v>
      </c>
      <c r="AX602" s="446" t="e">
        <f>IF(OR($B602="",MIN(AX$38,$D$19)&lt;MAX($P$34*($B602+IF($R$17="Distrato",$I$38-1,0)),IF(AND($L$37=0,$P$34=0),"",$L$37-1),IF($R$17="Distrato",$E602,0))),0,YEARFRAC(MAX($P$34*($B602+IF($R$17="Distrato",$I$38-1,0)),IF(AND($L$37=0,$P$34=0),"",$L$37-1),IF($R$17="Distrato",$E602,0)),MIN(AX$38,$D$19),$P$20))-SUM($P602:AW602)</f>
        <v>#VALUE!</v>
      </c>
      <c r="AY602" s="446" t="e">
        <f>IF(OR($B602="",MIN(AY$38,$D$19)&lt;MAX($P$34*($B602+IF($R$17="Distrato",$I$38-1,0)),IF(AND($L$37=0,$P$34=0),"",$L$37-1),IF($R$17="Distrato",$E602,0))),0,YEARFRAC(MAX($P$34*($B602+IF($R$17="Distrato",$I$38-1,0)),IF(AND($L$37=0,$P$34=0),"",$L$37-1),IF($R$17="Distrato",$E602,0)),MIN(AY$38,$D$19),$P$20))-SUM($P602:AX602)</f>
        <v>#VALUE!</v>
      </c>
      <c r="AZ602" s="446" t="e">
        <f>IF(OR($B602="",MIN(AZ$38,$D$19)&lt;MAX($P$34*($B602+IF($R$17="Distrato",$I$38-1,0)),IF(AND($L$37=0,$P$34=0),"",$L$37-1),IF($R$17="Distrato",$E602,0))),0,YEARFRAC(MAX($P$34*($B602+IF($R$17="Distrato",$I$38-1,0)),IF(AND($L$37=0,$P$34=0),"",$L$37-1),IF($R$17="Distrato",$E602,0)),MIN(AZ$38,$D$19),$P$20))-SUM($P602:AY602)</f>
        <v>#VALUE!</v>
      </c>
      <c r="BA602" s="446" t="e">
        <f>IF(OR($B602="",MIN(BA$38,$D$19)&lt;MAX($P$34*($B602+IF($R$17="Distrato",$I$38-1,0)),IF(AND($L$37=0,$P$34=0),"",$L$37-1),IF($R$17="Distrato",$E602,0))),0,YEARFRAC(MAX($P$34*($B602+IF($R$17="Distrato",$I$38-1,0)),IF(AND($L$37=0,$P$34=0),"",$L$37-1),IF($R$17="Distrato",$E602,0)),MIN(BA$38,$D$19),$P$20))-SUM($P602:AZ602)</f>
        <v>#VALUE!</v>
      </c>
      <c r="BB602" s="447"/>
      <c r="BF602" s="446">
        <f t="shared" si="98"/>
        <v>0</v>
      </c>
      <c r="BG602" s="446">
        <f>IF($E602=0,0,IF(MIN(BG$38,$E602)&lt;MAX($P$34*($B602+$I$38-1),IF(AND($L$37=0,$P$34=0),"",$L$37-1)),0,YEARFRAC(MAX($P$34*($B602+$I$38-1),IF(AND($L$37=0,$P$34=0),"",$L$37-1)),MIN(BG$38,$E602),$P$20))-SUM($BF602:BF602))</f>
        <v>0</v>
      </c>
      <c r="BH602" s="446">
        <f>IF($E602=0,0,IF(MIN(BH$38,$E602)&lt;MAX($P$34*($B602+$I$38-1),IF(AND($L$37=0,$P$34=0),"",$L$37-1)),0,YEARFRAC(MAX($P$34*($B602+$I$38-1),IF(AND($L$37=0,$P$34=0),"",$L$37-1)),MIN(BH$38,$E602),$P$20))-SUM($BF602:BG602))</f>
        <v>0</v>
      </c>
      <c r="BI602" s="446">
        <f>IF($E602=0,0,IF(MIN(BI$38,$E602)&lt;MAX($P$34*($B602+$I$38-1),IF(AND($L$37=0,$P$34=0),"",$L$37-1)),0,YEARFRAC(MAX($P$34*($B602+$I$38-1),IF(AND($L$37=0,$P$34=0),"",$L$37-1)),MIN(BI$38,$E602),$P$20))-SUM($BF602:BH602))</f>
        <v>0</v>
      </c>
      <c r="BJ602" s="446">
        <f>IF($E602=0,0,IF(MIN(BJ$38,$E602)&lt;MAX($P$34*($B602+$I$38-1),IF(AND($L$37=0,$P$34=0),"",$L$37-1)),0,YEARFRAC(MAX($P$34*($B602+$I$38-1),IF(AND($L$37=0,$P$34=0),"",$L$37-1)),MIN(BJ$38,$E602),$P$20))-SUM($BF602:BI602))</f>
        <v>0</v>
      </c>
      <c r="BK602" s="446">
        <f>IF($E602=0,0,IF(MIN(BK$38,$E602)&lt;MAX($P$34*($B602+$I$38-1),IF(AND($L$37=0,$P$34=0),"",$L$37-1)),0,YEARFRAC(MAX($P$34*($B602+$I$38-1),IF(AND($L$37=0,$P$34=0),"",$L$37-1)),MIN(BK$38,$E602),$P$20))-SUM($BF602:BJ602))</f>
        <v>0</v>
      </c>
      <c r="BL602" s="446">
        <f>IF($E602=0,0,IF(MIN(BL$38,$E602)&lt;MAX($P$34*($B602+$I$38-1),IF(AND($L$37=0,$P$34=0),"",$L$37-1)),0,YEARFRAC(MAX($P$34*($B602+$I$38-1),IF(AND($L$37=0,$P$34=0),"",$L$37-1)),MIN(BL$38,$E602),$P$20))-SUM($BF602:BK602))</f>
        <v>0</v>
      </c>
      <c r="BM602" s="446">
        <f>IF($E602=0,0,IF(MIN(BM$38,$E602)&lt;MAX($P$34*($B602+$I$38-1),IF(AND($L$37=0,$P$34=0),"",$L$37-1)),0,YEARFRAC(MAX($P$34*($B602+$I$38-1),IF(AND($L$37=0,$P$34=0),"",$L$37-1)),MIN(BM$38,$E602),$P$20))-SUM($BF602:BL602))</f>
        <v>0</v>
      </c>
      <c r="BN602" s="446">
        <f>IF($E602=0,0,IF(MIN(BN$38,$E602)&lt;MAX($P$34*($B602+$I$38-1),IF(AND($L$37=0,$P$34=0),"",$L$37-1)),0,YEARFRAC(MAX($P$34*($B602+$I$38-1),IF(AND($L$37=0,$P$34=0),"",$L$37-1)),MIN(BN$38,$E602),$P$20))-SUM($BF602:BM602))</f>
        <v>0</v>
      </c>
      <c r="BO602" s="446">
        <f>IF($E602=0,0,IF(MIN(BO$38,$E602)&lt;MAX($P$34*($B602+$I$38-1),IF(AND($L$37=0,$P$34=0),"",$L$37-1)),0,YEARFRAC(MAX($P$34*($B602+$I$38-1),IF(AND($L$37=0,$P$34=0),"",$L$37-1)),MIN(BO$38,$E602),$P$20))-SUM($BF602:BN602))</f>
        <v>0</v>
      </c>
      <c r="BP602" s="446">
        <f>IF($E602=0,0,IF(MIN(BP$38,$E602)&lt;MAX($P$34*($B602+$I$38-1),IF(AND($L$37=0,$P$34=0),"",$L$37-1)),0,YEARFRAC(MAX($P$34*($B602+$I$38-1),IF(AND($L$37=0,$P$34=0),"",$L$37-1)),MIN(BP$38,$E602),$P$20))-SUM($BF602:BO602))</f>
        <v>0</v>
      </c>
      <c r="BQ602" s="446">
        <f>IF($E602=0,0,IF(MIN(BQ$38,$E602)&lt;MAX($P$34*($B602+$I$38-1),IF(AND($L$37=0,$P$34=0),"",$L$37-1)),0,YEARFRAC(MAX($P$34*($B602+$I$38-1),IF(AND($L$37=0,$P$34=0),"",$L$37-1)),MIN(BQ$38,$E602),$P$20))-SUM($BF602:BP602))</f>
        <v>0</v>
      </c>
      <c r="BR602" s="446">
        <f>IF($E602=0,0,IF(MIN(BR$38,$E602)&lt;MAX($P$34*($B602+$I$38-1),IF(AND($L$37=0,$P$34=0),"",$L$37-1)),0,YEARFRAC(MAX($P$34*($B602+$I$38-1),IF(AND($L$37=0,$P$34=0),"",$L$37-1)),MIN(BR$38,$E602),$P$20))-SUM($BF602:BQ602))</f>
        <v>0</v>
      </c>
      <c r="BS602" s="446">
        <f>IF($E602=0,0,IF(MIN(BS$38,$E602)&lt;MAX($P$34*($B602+$I$38-1),IF(AND($L$37=0,$P$34=0),"",$L$37-1)),0,YEARFRAC(MAX($P$34*($B602+$I$38-1),IF(AND($L$37=0,$P$34=0),"",$L$37-1)),MIN(BS$38,$E602),$P$20))-SUM($BF602:BR602))</f>
        <v>0</v>
      </c>
      <c r="BT602" s="446">
        <f>IF($E602=0,0,IF(MIN(BT$38,$E602)&lt;MAX($P$34*($B602+$I$38-1),IF(AND($L$37=0,$P$34=0),"",$L$37-1)),0,YEARFRAC(MAX($P$34*($B602+$I$38-1),IF(AND($L$37=0,$P$34=0),"",$L$37-1)),MIN(BT$38,$E602),$P$20))-SUM($BF602:BS602))</f>
        <v>0</v>
      </c>
      <c r="BU602" s="446">
        <f>IF($E602=0,0,IF(MIN(BU$38,$E602)&lt;MAX($P$34*($B602+$I$38-1),IF(AND($L$37=0,$P$34=0),"",$L$37-1)),0,YEARFRAC(MAX($P$34*($B602+$I$38-1),IF(AND($L$37=0,$P$34=0),"",$L$37-1)),MIN(BU$38,$E602),$P$20))-SUM($BF602:BT602))</f>
        <v>0</v>
      </c>
      <c r="BV602" s="446">
        <f>IF($E602=0,0,IF(MIN(BV$38,$E602)&lt;MAX($P$34*($B602+$I$38-1),IF(AND($L$37=0,$P$34=0),"",$L$37-1)),0,YEARFRAC(MAX($P$34*($B602+$I$38-1),IF(AND($L$37=0,$P$34=0),"",$L$37-1)),MIN(BV$38,$E602),$P$20))-SUM($BF602:BU602))</f>
        <v>0</v>
      </c>
      <c r="BW602" s="446">
        <f>IF($E602=0,0,IF(MIN(BW$38,$E602)&lt;MAX($P$34*($B602+$I$38-1),IF(AND($L$37=0,$P$34=0),"",$L$37-1)),0,YEARFRAC(MAX($P$34*($B602+$I$38-1),IF(AND($L$37=0,$P$34=0),"",$L$37-1)),MIN(BW$38,$E602),$P$20))-SUM($BF602:BV602))</f>
        <v>0</v>
      </c>
      <c r="BX602" s="446">
        <f>IF($E602=0,0,IF(MIN(BX$38,$E602)&lt;MAX($P$34*($B602+$I$38-1),IF(AND($L$37=0,$P$34=0),"",$L$37-1)),0,YEARFRAC(MAX($P$34*($B602+$I$38-1),IF(AND($L$37=0,$P$34=0),"",$L$37-1)),MIN(BX$38,$E602),$P$20))-SUM($BF602:BW602))</f>
        <v>0</v>
      </c>
      <c r="BY602" s="446">
        <f>IF($E602=0,0,IF(MIN(BY$38,$E602)&lt;MAX($P$34*($B602+$I$38-1),IF(AND($L$37=0,$P$34=0),"",$L$37-1)),0,YEARFRAC(MAX($P$34*($B602+$I$38-1),IF(AND($L$37=0,$P$34=0),"",$L$37-1)),MIN(BY$38,$E602),$P$20))-SUM($BF602:BX602))</f>
        <v>0</v>
      </c>
      <c r="BZ602" s="446">
        <f>IF($E602=0,0,IF(MIN(BZ$38,$E602)&lt;MAX($P$34*($B602+$I$38-1),IF(AND($L$37=0,$P$34=0),"",$L$37-1)),0,YEARFRAC(MAX($P$34*($B602+$I$38-1),IF(AND($L$37=0,$P$34=0),"",$L$37-1)),MIN(BZ$38,$E602),$P$20))-SUM($BF602:BY602))</f>
        <v>0</v>
      </c>
      <c r="CA602" s="446">
        <f>IF($E602=0,0,IF(MIN(CA$38,$E602)&lt;MAX($P$34*($B602+$I$38-1),IF(AND($L$37=0,$P$34=0),"",$L$37-1)),0,YEARFRAC(MAX($P$34*($B602+$I$38-1),IF(AND($L$37=0,$P$34=0),"",$L$37-1)),MIN(CA$38,$E602),$P$20))-SUM($BF602:BZ602))</f>
        <v>0</v>
      </c>
      <c r="CB602" s="446">
        <f>IF($E602=0,0,IF(MIN(CB$38,$E602)&lt;MAX($P$34*($B602+$I$38-1),IF(AND($L$37=0,$P$34=0),"",$L$37-1)),0,YEARFRAC(MAX($P$34*($B602+$I$38-1),IF(AND($L$37=0,$P$34=0),"",$L$37-1)),MIN(CB$38,$E602),$P$20))-SUM($BF602:CA602))</f>
        <v>0</v>
      </c>
      <c r="CC602" s="446">
        <f>IF($E602=0,0,IF(MIN(CC$38,$E602)&lt;MAX($P$34*($B602+$I$38-1),IF(AND($L$37=0,$P$34=0),"",$L$37-1)),0,YEARFRAC(MAX($P$34*($B602+$I$38-1),IF(AND($L$37=0,$P$34=0),"",$L$37-1)),MIN(CC$38,$E602),$P$20))-SUM($BF602:CB602))</f>
        <v>0</v>
      </c>
      <c r="CD602" s="446">
        <f>IF($E602=0,0,IF(MIN(CD$38,$E602)&lt;MAX($P$34*($B602+$I$38-1),IF(AND($L$37=0,$P$34=0),"",$L$37-1)),0,YEARFRAC(MAX($P$34*($B602+$I$38-1),IF(AND($L$37=0,$P$34=0),"",$L$37-1)),MIN(CD$38,$E602),$P$20))-SUM($BF602:CC602))</f>
        <v>0</v>
      </c>
      <c r="CE602" s="446">
        <f>IF($E602=0,0,IF(MIN(CE$38,$E602)&lt;MAX($P$34*($B602+$I$38-1),IF(AND($L$37=0,$P$34=0),"",$L$37-1)),0,YEARFRAC(MAX($P$34*($B602+$I$38-1),IF(AND($L$37=0,$P$34=0),"",$L$37-1)),MIN(CE$38,$E602),$P$20))-SUM($BF602:CD602))</f>
        <v>0</v>
      </c>
      <c r="CF602" s="446">
        <f>IF($E602=0,0,IF(MIN(CF$38,$E602)&lt;MAX($P$34*($B602+$I$38-1),IF(AND($L$37=0,$P$34=0),"",$L$37-1)),0,YEARFRAC(MAX($P$34*($B602+$I$38-1),IF(AND($L$37=0,$P$34=0),"",$L$37-1)),MIN(CF$38,$E602),$P$20))-SUM($BF602:CE602))</f>
        <v>0</v>
      </c>
      <c r="CG602" s="446">
        <f>IF($E602=0,0,IF(MIN(CG$38,$E602)&lt;MAX($P$34*($B602+$I$38-1),IF(AND($L$37=0,$P$34=0),"",$L$37-1)),0,YEARFRAC(MAX($P$34*($B602+$I$38-1),IF(AND($L$37=0,$P$34=0),"",$L$37-1)),MIN(CG$38,$E602),$P$20))-SUM($BF602:CF602))</f>
        <v>0</v>
      </c>
      <c r="CH602" s="446">
        <f>IF($E602=0,0,IF(MIN(CH$38,$E602)&lt;MAX($P$34*($B602+$I$38-1),IF(AND($L$37=0,$P$34=0),"",$L$37-1)),0,YEARFRAC(MAX($P$34*($B602+$I$38-1),IF(AND($L$37=0,$P$34=0),"",$L$37-1)),MIN(CH$38,$E602),$P$20))-SUM($BF602:CG602))</f>
        <v>0</v>
      </c>
      <c r="CI602" s="446">
        <f>IF($E602=0,0,IF(MIN(CI$38,$E602)&lt;MAX($P$34*($B602+$I$38-1),IF(AND($L$37=0,$P$34=0),"",$L$37-1)),0,YEARFRAC(MAX($P$34*($B602+$I$38-1),IF(AND($L$37=0,$P$34=0),"",$L$37-1)),MIN(CI$38,$E602),$P$20))-SUM($BF602:CH602))</f>
        <v>0</v>
      </c>
      <c r="CJ602" s="446">
        <f>IF($E602=0,0,IF(MIN(CJ$38,$E602)&lt;MAX($P$34*($B602+$I$38-1),IF(AND($L$37=0,$P$34=0),"",$L$37-1)),0,YEARFRAC(MAX($P$34*($B602+$I$38-1),IF(AND($L$37=0,$P$34=0),"",$L$37-1)),MIN(CJ$38,$E602),$P$20))-SUM($BF602:CI602))</f>
        <v>0</v>
      </c>
      <c r="CK602" s="446">
        <f>IF($E602=0,0,IF(MIN(CK$38,$E602)&lt;MAX($P$34*($B602+$I$38-1),IF(AND($L$37=0,$P$34=0),"",$L$37-1)),0,YEARFRAC(MAX($P$34*($B602+$I$38-1),IF(AND($L$37=0,$P$34=0),"",$L$37-1)),MIN(CK$38,$E602),$P$20))-SUM($BF602:CJ602))</f>
        <v>0</v>
      </c>
      <c r="CL602" s="446">
        <f>IF($E602=0,0,IF(MIN(CL$38,$E602)&lt;MAX($P$34*($B602+$I$38-1),IF(AND($L$37=0,$P$34=0),"",$L$37-1)),0,YEARFRAC(MAX($P$34*($B602+$I$38-1),IF(AND($L$37=0,$P$34=0),"",$L$37-1)),MIN(CL$38,$E602),$P$20))-SUM($BF602:CK602))</f>
        <v>0</v>
      </c>
      <c r="CM602" s="446">
        <f>IF($E602=0,0,IF(MIN(CM$38,$E602)&lt;MAX($P$34*($B602+$I$38-1),IF(AND($L$37=0,$P$34=0),"",$L$37-1)),0,YEARFRAC(MAX($P$34*($B602+$I$38-1),IF(AND($L$37=0,$P$34=0),"",$L$37-1)),MIN(CM$38,$E602),$P$20))-SUM($BF602:CL602))</f>
        <v>0</v>
      </c>
      <c r="CN602" s="446">
        <f>IF($E602=0,0,IF(MIN(CN$38,$E602)&lt;MAX($P$34*($B602+$I$38-1),IF(AND($L$37=0,$P$34=0),"",$L$37-1)),0,YEARFRAC(MAX($P$34*($B602+$I$38-1),IF(AND($L$37=0,$P$34=0),"",$L$37-1)),MIN(CN$38,$E602),$P$20))-SUM($BF602:CM602))</f>
        <v>0</v>
      </c>
      <c r="CO602" s="446">
        <f>IF($E602=0,0,IF(MIN(CO$38,$E602)&lt;MAX($P$34*($B602+$I$38-1),IF(AND($L$37=0,$P$34=0),"",$L$37-1)),0,YEARFRAC(MAX($P$34*($B602+$I$38-1),IF(AND($L$37=0,$P$34=0),"",$L$37-1)),MIN(CO$38,$E602),$P$20))-SUM($BF602:CN602))</f>
        <v>0</v>
      </c>
      <c r="CP602" s="446">
        <f>IF($E602=0,0,IF(MIN(CP$38,$E602)&lt;MAX($P$34*($B602+$I$38-1),IF(AND($L$37=0,$P$34=0),"",$L$37-1)),0,YEARFRAC(MAX($P$34*($B602+$I$38-1),IF(AND($L$37=0,$P$34=0),"",$L$37-1)),MIN(CP$38,$E602),$P$20))-SUM($BF602:CO602))</f>
        <v>0</v>
      </c>
      <c r="CQ602" s="446">
        <f>IF($E602=0,0,IF(MIN(CQ$38,$E602)&lt;MAX($P$34*($B602+$I$38-1),IF(AND($L$37=0,$P$34=0),"",$L$37-1)),0,YEARFRAC(MAX($P$34*($B602+$I$38-1),IF(AND($L$37=0,$P$34=0),"",$L$37-1)),MIN(CQ$38,$E602),$P$20))-SUM($BF602:CP602))</f>
        <v>0</v>
      </c>
    </row>
    <row r="603" spans="1:95" s="446" customFormat="1" ht="11.25" hidden="1" customHeight="1" x14ac:dyDescent="0.2">
      <c r="A603" s="152"/>
      <c r="B603" s="153" t="str">
        <f t="shared" si="103"/>
        <v/>
      </c>
      <c r="C603" s="29" t="str">
        <f>IF(B603="","",IF($L$35="SELIC - TRIBUTOS",VLOOKUP(DATE(YEAR($D$19),MONTH($D$19)-1,1),ÍNDICES!$A:$DE,HLOOKUP($BL$25,ÍNDICES!$B$3:$T$4,2)+11)-VLOOKUP(B603,ÍNDICES!$A:$DE,HLOOKUP($BL$25,ÍNDICES!$B$3:$T$4,2)+11)+1%,IF(C$38=$W$26,$J$35,IF(ISERROR(IF(B603&gt;$D$19,1,VLOOKUP(DATE(YEAR(B603),MONTH(B603)+IF($C$35=$S$23,1,0),1),ÍNDICES!$A:$DE,$Z$35+1))),"",IF(B603&gt;$D$19,1,VLOOKUP(DATE(YEAR(B603),MONTH(B603)+IF($C$35=$S$23,1,0),1),ÍNDICES!$A:$DE,$Z$35+1))))))</f>
        <v/>
      </c>
      <c r="D603" s="154" t="str">
        <f>IF(ISERROR(IF(OR($D$38=$Y$27,$B603=""),"",VLOOKUP(B603,ÍNDICES!A:DE,AF$35+1))),"",IF(OR($D$38=$Y$27,$B603=""),"",VLOOKUP(B603,ÍNDICES!A:DE,AF$35+1)))</f>
        <v/>
      </c>
      <c r="E603" s="153"/>
      <c r="F603" s="29" t="str">
        <f>IF(E603="","",IF($L$35="SELIC - TRIBUTOS",VLOOKUP(DATE(YEAR($D$19),MONTH($D$19)-1,1),ÍNDICES!$A:$DE,HLOOKUP($BL$25,ÍNDICES!$B$3:$T$4,2)+11)-VLOOKUP(E603,ÍNDICES!$A:$DE,HLOOKUP($BL$25,ÍNDICES!$B$3:$T$4,2)+11)+1%,IF(F$38=$W$26,$J$35,IF(ISERROR(IF(E603&gt;$D$19,1,VLOOKUP(DATE(YEAR(E603),MONTH(E603)+IF($C$35=$S$23,1,0),1),ÍNDICES!$A:$DE,$Z$35+1))),"",IF(E603&gt;$D$19,1,VLOOKUP(DATE(YEAR(E603),MONTH(E603)+IF($C$35=$S$23,1,0),1),ÍNDICES!$A:$DE,$Z$35+1))))))</f>
        <v/>
      </c>
      <c r="G603" s="155"/>
      <c r="H603" s="156" t="str">
        <f t="shared" si="99"/>
        <v/>
      </c>
      <c r="I603" s="29" t="str">
        <f t="shared" si="93"/>
        <v/>
      </c>
      <c r="J603" s="5">
        <f t="shared" si="94"/>
        <v>0</v>
      </c>
      <c r="K603" s="20">
        <f t="shared" ca="1" si="95"/>
        <v>0</v>
      </c>
      <c r="L603" s="5">
        <f t="shared" ca="1" si="96"/>
        <v>0</v>
      </c>
      <c r="M603" s="64">
        <f t="shared" si="100"/>
        <v>0</v>
      </c>
      <c r="N603" s="61">
        <f t="shared" ca="1" si="101"/>
        <v>0</v>
      </c>
      <c r="O603" s="5">
        <f t="shared" ca="1" si="102"/>
        <v>0</v>
      </c>
      <c r="P603" s="446" t="e">
        <f t="shared" si="97"/>
        <v>#VALUE!</v>
      </c>
      <c r="Q603" s="446" t="e">
        <f>IF(OR($B603="",MIN(Q$38,$D$19)&lt;MAX($P$34*($B603+IF($R$17="Distrato",$I$38-1,0)),IF(AND($L$37=0,$P$34=0),"",$L$37-1),IF($R$17="Distrato",$E603,0))),0,YEARFRAC(MAX($P$34*($B603+IF($R$17="Distrato",$I$38-1,0)),IF(AND($L$37=0,$P$34=0),"",$L$37-1),IF($R$17="Distrato",$E603,0)),MIN(Q$38,$D$19),$P$20))-SUM($P603:P603)</f>
        <v>#VALUE!</v>
      </c>
      <c r="R603" s="446" t="e">
        <f>IF(OR($B603="",MIN(R$38,$D$19)&lt;MAX($P$34*($B603+IF($R$17="Distrato",$I$38-1,0)),IF(AND($L$37=0,$P$34=0),"",$L$37-1),IF($R$17="Distrato",$E603,0))),0,YEARFRAC(MAX($P$34*($B603+IF($R$17="Distrato",$I$38-1,0)),IF(AND($L$37=0,$P$34=0),"",$L$37-1),IF($R$17="Distrato",$E603,0)),MIN(R$38,$D$19),$P$20))-SUM($P603:Q603)</f>
        <v>#VALUE!</v>
      </c>
      <c r="S603" s="446" t="e">
        <f>IF(OR($B603="",MIN(S$38,$D$19)&lt;MAX($P$34*($B603+IF($R$17="Distrato",$I$38-1,0)),IF(AND($L$37=0,$P$34=0),"",$L$37-1),IF($R$17="Distrato",$E603,0))),0,YEARFRAC(MAX($P$34*($B603+IF($R$17="Distrato",$I$38-1,0)),IF(AND($L$37=0,$P$34=0),"",$L$37-1),IF($R$17="Distrato",$E603,0)),MIN(S$38,$D$19),$P$20))-SUM($P603:R603)</f>
        <v>#VALUE!</v>
      </c>
      <c r="T603" s="446" t="e">
        <f>IF(OR($B603="",MIN(T$38,$D$19)&lt;MAX($P$34*($B603+IF($R$17="Distrato",$I$38-1,0)),IF(AND($L$37=0,$P$34=0),"",$L$37-1),IF($R$17="Distrato",$E603,0))),0,YEARFRAC(MAX($P$34*($B603+IF($R$17="Distrato",$I$38-1,0)),IF(AND($L$37=0,$P$34=0),"",$L$37-1),IF($R$17="Distrato",$E603,0)),MIN(T$38,$D$19),$P$20))-SUM($P603:S603)</f>
        <v>#VALUE!</v>
      </c>
      <c r="U603" s="446" t="e">
        <f>IF(OR($B603="",MIN(U$38,$D$19)&lt;MAX($P$34*($B603+IF($R$17="Distrato",$I$38-1,0)),IF(AND($L$37=0,$P$34=0),"",$L$37-1),IF($R$17="Distrato",$E603,0))),0,YEARFRAC(MAX($P$34*($B603+IF($R$17="Distrato",$I$38-1,0)),IF(AND($L$37=0,$P$34=0),"",$L$37-1),IF($R$17="Distrato",$E603,0)),MIN(U$38,$D$19),$P$20))-SUM($P603:T603)</f>
        <v>#VALUE!</v>
      </c>
      <c r="V603" s="446" t="e">
        <f>IF(OR($B603="",MIN(V$38,$D$19)&lt;MAX($P$34*($B603+IF($R$17="Distrato",$I$38-1,0)),IF(AND($L$37=0,$P$34=0),"",$L$37-1),IF($R$17="Distrato",$E603,0))),0,YEARFRAC(MAX($P$34*($B603+IF($R$17="Distrato",$I$38-1,0)),IF(AND($L$37=0,$P$34=0),"",$L$37-1),IF($R$17="Distrato",$E603,0)),MIN(V$38,$D$19),$P$20))-SUM($P603:U603)</f>
        <v>#VALUE!</v>
      </c>
      <c r="W603" s="446" t="e">
        <f>IF(OR($B603="",MIN(W$38,$D$19)&lt;MAX($P$34*($B603+IF($R$17="Distrato",$I$38-1,0)),IF(AND($L$37=0,$P$34=0),"",$L$37-1),IF($R$17="Distrato",$E603,0))),0,YEARFRAC(MAX($P$34*($B603+IF($R$17="Distrato",$I$38-1,0)),IF(AND($L$37=0,$P$34=0),"",$L$37-1),IF($R$17="Distrato",$E603,0)),MIN(W$38,$D$19),$P$20))-SUM($P603:V603)</f>
        <v>#VALUE!</v>
      </c>
      <c r="X603" s="446" t="e">
        <f>IF(OR($B603="",MIN(X$38,$D$19)&lt;MAX($P$34*($B603+IF($R$17="Distrato",$I$38-1,0)),IF(AND($L$37=0,$P$34=0),"",$L$37-1),IF($R$17="Distrato",$E603,0))),0,YEARFRAC(MAX($P$34*($B603+IF($R$17="Distrato",$I$38-1,0)),IF(AND($L$37=0,$P$34=0),"",$L$37-1),IF($R$17="Distrato",$E603,0)),MIN(X$38,$D$19),$P$20))-SUM($P603:W603)</f>
        <v>#VALUE!</v>
      </c>
      <c r="Y603" s="446" t="e">
        <f>IF(OR($B603="",MIN(Y$38,$D$19)&lt;MAX($P$34*($B603+IF($R$17="Distrato",$I$38-1,0)),IF(AND($L$37=0,$P$34=0),"",$L$37-1),IF($R$17="Distrato",$E603,0))),0,YEARFRAC(MAX($P$34*($B603+IF($R$17="Distrato",$I$38-1,0)),IF(AND($L$37=0,$P$34=0),"",$L$37-1),IF($R$17="Distrato",$E603,0)),MIN(Y$38,$D$19),$P$20))-SUM($P603:X603)</f>
        <v>#VALUE!</v>
      </c>
      <c r="Z603" s="446" t="e">
        <f>IF(OR($B603="",MIN(Z$38,$D$19)&lt;MAX($P$34*($B603+IF($R$17="Distrato",$I$38-1,0)),IF(AND($L$37=0,$P$34=0),"",$L$37-1),IF($R$17="Distrato",$E603,0))),0,YEARFRAC(MAX($P$34*($B603+IF($R$17="Distrato",$I$38-1,0)),IF(AND($L$37=0,$P$34=0),"",$L$37-1),IF($R$17="Distrato",$E603,0)),MIN(Z$38,$D$19),$P$20))-SUM($P603:Y603)</f>
        <v>#VALUE!</v>
      </c>
      <c r="AA603" s="446" t="e">
        <f>IF(OR($B603="",MIN(AA$38,$D$19)&lt;MAX($P$34*($B603+IF($R$17="Distrato",$I$38-1,0)),IF(AND($L$37=0,$P$34=0),"",$L$37-1),IF($R$17="Distrato",$E603,0))),0,YEARFRAC(MAX($P$34*($B603+IF($R$17="Distrato",$I$38-1,0)),IF(AND($L$37=0,$P$34=0),"",$L$37-1),IF($R$17="Distrato",$E603,0)),MIN(AA$38,$D$19),$P$20))-SUM($P603:Z603)</f>
        <v>#VALUE!</v>
      </c>
      <c r="AB603" s="446" t="e">
        <f>IF(OR($B603="",MIN(AB$38,$D$19)&lt;MAX($P$34*($B603+IF($R$17="Distrato",$I$38-1,0)),IF(AND($L$37=0,$P$34=0),"",$L$37-1),IF($R$17="Distrato",$E603,0))),0,YEARFRAC(MAX($P$34*($B603+IF($R$17="Distrato",$I$38-1,0)),IF(AND($L$37=0,$P$34=0),"",$L$37-1),IF($R$17="Distrato",$E603,0)),MIN(AB$38,$D$19),$P$20))-SUM($P603:AA603)</f>
        <v>#VALUE!</v>
      </c>
      <c r="AC603" s="446" t="e">
        <f>IF(OR($B603="",MIN(AC$38,$D$19)&lt;MAX($P$34*($B603+IF($R$17="Distrato",$I$38-1,0)),IF(AND($L$37=0,$P$34=0),"",$L$37-1),IF($R$17="Distrato",$E603,0))),0,YEARFRAC(MAX($P$34*($B603+IF($R$17="Distrato",$I$38-1,0)),IF(AND($L$37=0,$P$34=0),"",$L$37-1),IF($R$17="Distrato",$E603,0)),MIN(AC$38,$D$19),$P$20))-SUM($P603:AB603)</f>
        <v>#VALUE!</v>
      </c>
      <c r="AD603" s="446" t="e">
        <f>IF(OR($B603="",MIN(AD$38,$D$19)&lt;MAX($P$34*($B603+IF($R$17="Distrato",$I$38-1,0)),IF(AND($L$37=0,$P$34=0),"",$L$37-1),IF($R$17="Distrato",$E603,0))),0,YEARFRAC(MAX($P$34*($B603+IF($R$17="Distrato",$I$38-1,0)),IF(AND($L$37=0,$P$34=0),"",$L$37-1),IF($R$17="Distrato",$E603,0)),MIN(AD$38,$D$19),$P$20))-SUM($P603:AC603)</f>
        <v>#VALUE!</v>
      </c>
      <c r="AE603" s="446" t="e">
        <f>IF(OR($B603="",MIN(AE$38,$D$19)&lt;MAX($P$34*($B603+IF($R$17="Distrato",$I$38-1,0)),IF(AND($L$37=0,$P$34=0),"",$L$37-1),IF($R$17="Distrato",$E603,0))),0,YEARFRAC(MAX($P$34*($B603+IF($R$17="Distrato",$I$38-1,0)),IF(AND($L$37=0,$P$34=0),"",$L$37-1),IF($R$17="Distrato",$E603,0)),MIN(AE$38,$D$19),$P$20))-SUM($P603:AD603)</f>
        <v>#VALUE!</v>
      </c>
      <c r="AF603" s="446" t="e">
        <f>IF(OR($B603="",MIN(AF$38,$D$19)&lt;MAX($P$34*($B603+IF($R$17="Distrato",$I$38-1,0)),IF(AND($L$37=0,$P$34=0),"",$L$37-1),IF($R$17="Distrato",$E603,0))),0,YEARFRAC(MAX($P$34*($B603+IF($R$17="Distrato",$I$38-1,0)),IF(AND($L$37=0,$P$34=0),"",$L$37-1),IF($R$17="Distrato",$E603,0)),MIN(AF$38,$D$19),$P$20))-SUM($P603:AE603)</f>
        <v>#VALUE!</v>
      </c>
      <c r="AG603" s="446" t="e">
        <f>IF(OR($B603="",MIN(AG$38,$D$19)&lt;MAX($P$34*($B603+IF($R$17="Distrato",$I$38-1,0)),IF(AND($L$37=0,$P$34=0),"",$L$37-1),IF($R$17="Distrato",$E603,0))),0,YEARFRAC(MAX($P$34*($B603+IF($R$17="Distrato",$I$38-1,0)),IF(AND($L$37=0,$P$34=0),"",$L$37-1),IF($R$17="Distrato",$E603,0)),MIN(AG$38,$D$19),$P$20))-SUM($P603:AF603)</f>
        <v>#VALUE!</v>
      </c>
      <c r="AH603" s="446" t="e">
        <f>IF(OR($B603="",MIN(AH$38,$D$19)&lt;MAX($P$34*($B603+IF($R$17="Distrato",$I$38-1,0)),IF(AND($L$37=0,$P$34=0),"",$L$37-1),IF($R$17="Distrato",$E603,0))),0,YEARFRAC(MAX($P$34*($B603+IF($R$17="Distrato",$I$38-1,0)),IF(AND($L$37=0,$P$34=0),"",$L$37-1),IF($R$17="Distrato",$E603,0)),MIN(AH$38,$D$19),$P$20))-SUM($P603:AG603)</f>
        <v>#VALUE!</v>
      </c>
      <c r="AI603" s="446" t="e">
        <f>IF(OR($B603="",MIN(AI$38,$D$19)&lt;MAX($P$34*($B603+IF($R$17="Distrato",$I$38-1,0)),IF(AND($L$37=0,$P$34=0),"",$L$37-1),IF($R$17="Distrato",$E603,0))),0,YEARFRAC(MAX($P$34*($B603+IF($R$17="Distrato",$I$38-1,0)),IF(AND($L$37=0,$P$34=0),"",$L$37-1),IF($R$17="Distrato",$E603,0)),MIN(AI$38,$D$19),$P$20))-SUM($P603:AH603)</f>
        <v>#VALUE!</v>
      </c>
      <c r="AJ603" s="446" t="e">
        <f>IF(OR($B603="",MIN(AJ$38,$D$19)&lt;MAX($P$34*($B603+IF($R$17="Distrato",$I$38-1,0)),IF(AND($L$37=0,$P$34=0),"",$L$37-1),IF($R$17="Distrato",$E603,0))),0,YEARFRAC(MAX($P$34*($B603+IF($R$17="Distrato",$I$38-1,0)),IF(AND($L$37=0,$P$34=0),"",$L$37-1),IF($R$17="Distrato",$E603,0)),MIN(AJ$38,$D$19),$P$20))-SUM($P603:AI603)</f>
        <v>#VALUE!</v>
      </c>
      <c r="AK603" s="446" t="e">
        <f>IF(OR($B603="",MIN(AK$38,$D$19)&lt;MAX($P$34*($B603+IF($R$17="Distrato",$I$38-1,0)),IF(AND($L$37=0,$P$34=0),"",$L$37-1),IF($R$17="Distrato",$E603,0))),0,YEARFRAC(MAX($P$34*($B603+IF($R$17="Distrato",$I$38-1,0)),IF(AND($L$37=0,$P$34=0),"",$L$37-1),IF($R$17="Distrato",$E603,0)),MIN(AK$38,$D$19),$P$20))-SUM($P603:AJ603)</f>
        <v>#VALUE!</v>
      </c>
      <c r="AL603" s="446" t="e">
        <f>IF(OR($B603="",MIN(AL$38,$D$19)&lt;MAX($P$34*($B603+IF($R$17="Distrato",$I$38-1,0)),IF(AND($L$37=0,$P$34=0),"",$L$37-1),IF($R$17="Distrato",$E603,0))),0,YEARFRAC(MAX($P$34*($B603+IF($R$17="Distrato",$I$38-1,0)),IF(AND($L$37=0,$P$34=0),"",$L$37-1),IF($R$17="Distrato",$E603,0)),MIN(AL$38,$D$19),$P$20))-SUM($P603:AK603)</f>
        <v>#VALUE!</v>
      </c>
      <c r="AM603" s="446" t="e">
        <f>IF(OR($B603="",MIN(AM$38,$D$19)&lt;MAX($P$34*($B603+IF($R$17="Distrato",$I$38-1,0)),IF(AND($L$37=0,$P$34=0),"",$L$37-1),IF($R$17="Distrato",$E603,0))),0,YEARFRAC(MAX($P$34*($B603+IF($R$17="Distrato",$I$38-1,0)),IF(AND($L$37=0,$P$34=0),"",$L$37-1),IF($R$17="Distrato",$E603,0)),MIN(AM$38,$D$19),$P$20))-SUM($P603:AL603)</f>
        <v>#VALUE!</v>
      </c>
      <c r="AN603" s="446" t="e">
        <f>IF(OR($B603="",MIN(AN$38,$D$19)&lt;MAX($P$34*($B603+IF($R$17="Distrato",$I$38-1,0)),IF(AND($L$37=0,$P$34=0),"",$L$37-1),IF($R$17="Distrato",$E603,0))),0,YEARFRAC(MAX($P$34*($B603+IF($R$17="Distrato",$I$38-1,0)),IF(AND($L$37=0,$P$34=0),"",$L$37-1),IF($R$17="Distrato",$E603,0)),MIN(AN$38,$D$19),$P$20))-SUM($P603:AM603)</f>
        <v>#VALUE!</v>
      </c>
      <c r="AO603" s="446" t="e">
        <f>IF(OR($B603="",MIN(AO$38,$D$19)&lt;MAX($P$34*($B603+IF($R$17="Distrato",$I$38-1,0)),IF(AND($L$37=0,$P$34=0),"",$L$37-1),IF($R$17="Distrato",$E603,0))),0,YEARFRAC(MAX($P$34*($B603+IF($R$17="Distrato",$I$38-1,0)),IF(AND($L$37=0,$P$34=0),"",$L$37-1),IF($R$17="Distrato",$E603,0)),MIN(AO$38,$D$19),$P$20))-SUM($P603:AN603)</f>
        <v>#VALUE!</v>
      </c>
      <c r="AP603" s="446" t="e">
        <f>IF(OR($B603="",MIN(AP$38,$D$19)&lt;MAX($P$34*($B603+IF($R$17="Distrato",$I$38-1,0)),IF(AND($L$37=0,$P$34=0),"",$L$37-1),IF($R$17="Distrato",$E603,0))),0,YEARFRAC(MAX($P$34*($B603+IF($R$17="Distrato",$I$38-1,0)),IF(AND($L$37=0,$P$34=0),"",$L$37-1),IF($R$17="Distrato",$E603,0)),MIN(AP$38,$D$19),$P$20))-SUM($P603:AO603)</f>
        <v>#VALUE!</v>
      </c>
      <c r="AQ603" s="446" t="e">
        <f>IF(OR($B603="",MIN(AQ$38,$D$19)&lt;MAX($P$34*($B603+IF($R$17="Distrato",$I$38-1,0)),IF(AND($L$37=0,$P$34=0),"",$L$37-1),IF($R$17="Distrato",$E603,0))),0,YEARFRAC(MAX($P$34*($B603+IF($R$17="Distrato",$I$38-1,0)),IF(AND($L$37=0,$P$34=0),"",$L$37-1),IF($R$17="Distrato",$E603,0)),MIN(AQ$38,$D$19),$P$20))-SUM($P603:AP603)</f>
        <v>#VALUE!</v>
      </c>
      <c r="AR603" s="446" t="e">
        <f>IF(OR($B603="",MIN(AR$38,$D$19)&lt;MAX($P$34*($B603+IF($R$17="Distrato",$I$38-1,0)),IF(AND($L$37=0,$P$34=0),"",$L$37-1),IF($R$17="Distrato",$E603,0))),0,YEARFRAC(MAX($P$34*($B603+IF($R$17="Distrato",$I$38-1,0)),IF(AND($L$37=0,$P$34=0),"",$L$37-1),IF($R$17="Distrato",$E603,0)),MIN(AR$38,$D$19),$P$20))-SUM($P603:AQ603)</f>
        <v>#VALUE!</v>
      </c>
      <c r="AS603" s="446" t="e">
        <f>IF(OR($B603="",MIN(AS$38,$D$19)&lt;MAX($P$34*($B603+IF($R$17="Distrato",$I$38-1,0)),IF(AND($L$37=0,$P$34=0),"",$L$37-1),IF($R$17="Distrato",$E603,0))),0,YEARFRAC(MAX($P$34*($B603+IF($R$17="Distrato",$I$38-1,0)),IF(AND($L$37=0,$P$34=0),"",$L$37-1),IF($R$17="Distrato",$E603,0)),MIN(AS$38,$D$19),$P$20))-SUM($P603:AR603)</f>
        <v>#VALUE!</v>
      </c>
      <c r="AT603" s="446" t="e">
        <f>IF(OR($B603="",MIN(AT$38,$D$19)&lt;MAX($P$34*($B603+IF($R$17="Distrato",$I$38-1,0)),IF(AND($L$37=0,$P$34=0),"",$L$37-1),IF($R$17="Distrato",$E603,0))),0,YEARFRAC(MAX($P$34*($B603+IF($R$17="Distrato",$I$38-1,0)),IF(AND($L$37=0,$P$34=0),"",$L$37-1),IF($R$17="Distrato",$E603,0)),MIN(AT$38,$D$19),$P$20))-SUM($P603:AS603)</f>
        <v>#VALUE!</v>
      </c>
      <c r="AU603" s="446" t="e">
        <f>IF(OR($B603="",MIN(AU$38,$D$19)&lt;MAX($P$34*($B603+IF($R$17="Distrato",$I$38-1,0)),IF(AND($L$37=0,$P$34=0),"",$L$37-1),IF($R$17="Distrato",$E603,0))),0,YEARFRAC(MAX($P$34*($B603+IF($R$17="Distrato",$I$38-1,0)),IF(AND($L$37=0,$P$34=0),"",$L$37-1),IF($R$17="Distrato",$E603,0)),MIN(AU$38,$D$19),$P$20))-SUM($P603:AT603)</f>
        <v>#VALUE!</v>
      </c>
      <c r="AV603" s="446" t="e">
        <f>IF(OR($B603="",MIN(AV$38,$D$19)&lt;MAX($P$34*($B603+IF($R$17="Distrato",$I$38-1,0)),IF(AND($L$37=0,$P$34=0),"",$L$37-1),IF($R$17="Distrato",$E603,0))),0,YEARFRAC(MAX($P$34*($B603+IF($R$17="Distrato",$I$38-1,0)),IF(AND($L$37=0,$P$34=0),"",$L$37-1),IF($R$17="Distrato",$E603,0)),MIN(AV$38,$D$19),$P$20))-SUM($P603:AU603)</f>
        <v>#VALUE!</v>
      </c>
      <c r="AW603" s="446" t="e">
        <f>IF(OR($B603="",MIN(AW$38,$D$19)&lt;MAX($P$34*($B603+IF($R$17="Distrato",$I$38-1,0)),IF(AND($L$37=0,$P$34=0),"",$L$37-1),IF($R$17="Distrato",$E603,0))),0,YEARFRAC(MAX($P$34*($B603+IF($R$17="Distrato",$I$38-1,0)),IF(AND($L$37=0,$P$34=0),"",$L$37-1),IF($R$17="Distrato",$E603,0)),MIN(AW$38,$D$19),$P$20))-SUM($P603:AV603)</f>
        <v>#VALUE!</v>
      </c>
      <c r="AX603" s="446" t="e">
        <f>IF(OR($B603="",MIN(AX$38,$D$19)&lt;MAX($P$34*($B603+IF($R$17="Distrato",$I$38-1,0)),IF(AND($L$37=0,$P$34=0),"",$L$37-1),IF($R$17="Distrato",$E603,0))),0,YEARFRAC(MAX($P$34*($B603+IF($R$17="Distrato",$I$38-1,0)),IF(AND($L$37=0,$P$34=0),"",$L$37-1),IF($R$17="Distrato",$E603,0)),MIN(AX$38,$D$19),$P$20))-SUM($P603:AW603)</f>
        <v>#VALUE!</v>
      </c>
      <c r="AY603" s="446" t="e">
        <f>IF(OR($B603="",MIN(AY$38,$D$19)&lt;MAX($P$34*($B603+IF($R$17="Distrato",$I$38-1,0)),IF(AND($L$37=0,$P$34=0),"",$L$37-1),IF($R$17="Distrato",$E603,0))),0,YEARFRAC(MAX($P$34*($B603+IF($R$17="Distrato",$I$38-1,0)),IF(AND($L$37=0,$P$34=0),"",$L$37-1),IF($R$17="Distrato",$E603,0)),MIN(AY$38,$D$19),$P$20))-SUM($P603:AX603)</f>
        <v>#VALUE!</v>
      </c>
      <c r="AZ603" s="446" t="e">
        <f>IF(OR($B603="",MIN(AZ$38,$D$19)&lt;MAX($P$34*($B603+IF($R$17="Distrato",$I$38-1,0)),IF(AND($L$37=0,$P$34=0),"",$L$37-1),IF($R$17="Distrato",$E603,0))),0,YEARFRAC(MAX($P$34*($B603+IF($R$17="Distrato",$I$38-1,0)),IF(AND($L$37=0,$P$34=0),"",$L$37-1),IF($R$17="Distrato",$E603,0)),MIN(AZ$38,$D$19),$P$20))-SUM($P603:AY603)</f>
        <v>#VALUE!</v>
      </c>
      <c r="BA603" s="446" t="e">
        <f>IF(OR($B603="",MIN(BA$38,$D$19)&lt;MAX($P$34*($B603+IF($R$17="Distrato",$I$38-1,0)),IF(AND($L$37=0,$P$34=0),"",$L$37-1),IF($R$17="Distrato",$E603,0))),0,YEARFRAC(MAX($P$34*($B603+IF($R$17="Distrato",$I$38-1,0)),IF(AND($L$37=0,$P$34=0),"",$L$37-1),IF($R$17="Distrato",$E603,0)),MIN(BA$38,$D$19),$P$20))-SUM($P603:AZ603)</f>
        <v>#VALUE!</v>
      </c>
      <c r="BB603" s="447"/>
      <c r="BF603" s="446">
        <f t="shared" si="98"/>
        <v>0</v>
      </c>
      <c r="BG603" s="446">
        <f>IF($E603=0,0,IF(MIN(BG$38,$E603)&lt;MAX($P$34*($B603+$I$38-1),IF(AND($L$37=0,$P$34=0),"",$L$37-1)),0,YEARFRAC(MAX($P$34*($B603+$I$38-1),IF(AND($L$37=0,$P$34=0),"",$L$37-1)),MIN(BG$38,$E603),$P$20))-SUM($BF603:BF603))</f>
        <v>0</v>
      </c>
      <c r="BH603" s="446">
        <f>IF($E603=0,0,IF(MIN(BH$38,$E603)&lt;MAX($P$34*($B603+$I$38-1),IF(AND($L$37=0,$P$34=0),"",$L$37-1)),0,YEARFRAC(MAX($P$34*($B603+$I$38-1),IF(AND($L$37=0,$P$34=0),"",$L$37-1)),MIN(BH$38,$E603),$P$20))-SUM($BF603:BG603))</f>
        <v>0</v>
      </c>
      <c r="BI603" s="446">
        <f>IF($E603=0,0,IF(MIN(BI$38,$E603)&lt;MAX($P$34*($B603+$I$38-1),IF(AND($L$37=0,$P$34=0),"",$L$37-1)),0,YEARFRAC(MAX($P$34*($B603+$I$38-1),IF(AND($L$37=0,$P$34=0),"",$L$37-1)),MIN(BI$38,$E603),$P$20))-SUM($BF603:BH603))</f>
        <v>0</v>
      </c>
      <c r="BJ603" s="446">
        <f>IF($E603=0,0,IF(MIN(BJ$38,$E603)&lt;MAX($P$34*($B603+$I$38-1),IF(AND($L$37=0,$P$34=0),"",$L$37-1)),0,YEARFRAC(MAX($P$34*($B603+$I$38-1),IF(AND($L$37=0,$P$34=0),"",$L$37-1)),MIN(BJ$38,$E603),$P$20))-SUM($BF603:BI603))</f>
        <v>0</v>
      </c>
      <c r="BK603" s="446">
        <f>IF($E603=0,0,IF(MIN(BK$38,$E603)&lt;MAX($P$34*($B603+$I$38-1),IF(AND($L$37=0,$P$34=0),"",$L$37-1)),0,YEARFRAC(MAX($P$34*($B603+$I$38-1),IF(AND($L$37=0,$P$34=0),"",$L$37-1)),MIN(BK$38,$E603),$P$20))-SUM($BF603:BJ603))</f>
        <v>0</v>
      </c>
      <c r="BL603" s="446">
        <f>IF($E603=0,0,IF(MIN(BL$38,$E603)&lt;MAX($P$34*($B603+$I$38-1),IF(AND($L$37=0,$P$34=0),"",$L$37-1)),0,YEARFRAC(MAX($P$34*($B603+$I$38-1),IF(AND($L$37=0,$P$34=0),"",$L$37-1)),MIN(BL$38,$E603),$P$20))-SUM($BF603:BK603))</f>
        <v>0</v>
      </c>
      <c r="BM603" s="446">
        <f>IF($E603=0,0,IF(MIN(BM$38,$E603)&lt;MAX($P$34*($B603+$I$38-1),IF(AND($L$37=0,$P$34=0),"",$L$37-1)),0,YEARFRAC(MAX($P$34*($B603+$I$38-1),IF(AND($L$37=0,$P$34=0),"",$L$37-1)),MIN(BM$38,$E603),$P$20))-SUM($BF603:BL603))</f>
        <v>0</v>
      </c>
      <c r="BN603" s="446">
        <f>IF($E603=0,0,IF(MIN(BN$38,$E603)&lt;MAX($P$34*($B603+$I$38-1),IF(AND($L$37=0,$P$34=0),"",$L$37-1)),0,YEARFRAC(MAX($P$34*($B603+$I$38-1),IF(AND($L$37=0,$P$34=0),"",$L$37-1)),MIN(BN$38,$E603),$P$20))-SUM($BF603:BM603))</f>
        <v>0</v>
      </c>
      <c r="BO603" s="446">
        <f>IF($E603=0,0,IF(MIN(BO$38,$E603)&lt;MAX($P$34*($B603+$I$38-1),IF(AND($L$37=0,$P$34=0),"",$L$37-1)),0,YEARFRAC(MAX($P$34*($B603+$I$38-1),IF(AND($L$37=0,$P$34=0),"",$L$37-1)),MIN(BO$38,$E603),$P$20))-SUM($BF603:BN603))</f>
        <v>0</v>
      </c>
      <c r="BP603" s="446">
        <f>IF($E603=0,0,IF(MIN(BP$38,$E603)&lt;MAX($P$34*($B603+$I$38-1),IF(AND($L$37=0,$P$34=0),"",$L$37-1)),0,YEARFRAC(MAX($P$34*($B603+$I$38-1),IF(AND($L$37=0,$P$34=0),"",$L$37-1)),MIN(BP$38,$E603),$P$20))-SUM($BF603:BO603))</f>
        <v>0</v>
      </c>
      <c r="BQ603" s="446">
        <f>IF($E603=0,0,IF(MIN(BQ$38,$E603)&lt;MAX($P$34*($B603+$I$38-1),IF(AND($L$37=0,$P$34=0),"",$L$37-1)),0,YEARFRAC(MAX($P$34*($B603+$I$38-1),IF(AND($L$37=0,$P$34=0),"",$L$37-1)),MIN(BQ$38,$E603),$P$20))-SUM($BF603:BP603))</f>
        <v>0</v>
      </c>
      <c r="BR603" s="446">
        <f>IF($E603=0,0,IF(MIN(BR$38,$E603)&lt;MAX($P$34*($B603+$I$38-1),IF(AND($L$37=0,$P$34=0),"",$L$37-1)),0,YEARFRAC(MAX($P$34*($B603+$I$38-1),IF(AND($L$37=0,$P$34=0),"",$L$37-1)),MIN(BR$38,$E603),$P$20))-SUM($BF603:BQ603))</f>
        <v>0</v>
      </c>
      <c r="BS603" s="446">
        <f>IF($E603=0,0,IF(MIN(BS$38,$E603)&lt;MAX($P$34*($B603+$I$38-1),IF(AND($L$37=0,$P$34=0),"",$L$37-1)),0,YEARFRAC(MAX($P$34*($B603+$I$38-1),IF(AND($L$37=0,$P$34=0),"",$L$37-1)),MIN(BS$38,$E603),$P$20))-SUM($BF603:BR603))</f>
        <v>0</v>
      </c>
      <c r="BT603" s="446">
        <f>IF($E603=0,0,IF(MIN(BT$38,$E603)&lt;MAX($P$34*($B603+$I$38-1),IF(AND($L$37=0,$P$34=0),"",$L$37-1)),0,YEARFRAC(MAX($P$34*($B603+$I$38-1),IF(AND($L$37=0,$P$34=0),"",$L$37-1)),MIN(BT$38,$E603),$P$20))-SUM($BF603:BS603))</f>
        <v>0</v>
      </c>
      <c r="BU603" s="446">
        <f>IF($E603=0,0,IF(MIN(BU$38,$E603)&lt;MAX($P$34*($B603+$I$38-1),IF(AND($L$37=0,$P$34=0),"",$L$37-1)),0,YEARFRAC(MAX($P$34*($B603+$I$38-1),IF(AND($L$37=0,$P$34=0),"",$L$37-1)),MIN(BU$38,$E603),$P$20))-SUM($BF603:BT603))</f>
        <v>0</v>
      </c>
      <c r="BV603" s="446">
        <f>IF($E603=0,0,IF(MIN(BV$38,$E603)&lt;MAX($P$34*($B603+$I$38-1),IF(AND($L$37=0,$P$34=0),"",$L$37-1)),0,YEARFRAC(MAX($P$34*($B603+$I$38-1),IF(AND($L$37=0,$P$34=0),"",$L$37-1)),MIN(BV$38,$E603),$P$20))-SUM($BF603:BU603))</f>
        <v>0</v>
      </c>
      <c r="BW603" s="446">
        <f>IF($E603=0,0,IF(MIN(BW$38,$E603)&lt;MAX($P$34*($B603+$I$38-1),IF(AND($L$37=0,$P$34=0),"",$L$37-1)),0,YEARFRAC(MAX($P$34*($B603+$I$38-1),IF(AND($L$37=0,$P$34=0),"",$L$37-1)),MIN(BW$38,$E603),$P$20))-SUM($BF603:BV603))</f>
        <v>0</v>
      </c>
      <c r="BX603" s="446">
        <f>IF($E603=0,0,IF(MIN(BX$38,$E603)&lt;MAX($P$34*($B603+$I$38-1),IF(AND($L$37=0,$P$34=0),"",$L$37-1)),0,YEARFRAC(MAX($P$34*($B603+$I$38-1),IF(AND($L$37=0,$P$34=0),"",$L$37-1)),MIN(BX$38,$E603),$P$20))-SUM($BF603:BW603))</f>
        <v>0</v>
      </c>
      <c r="BY603" s="446">
        <f>IF($E603=0,0,IF(MIN(BY$38,$E603)&lt;MAX($P$34*($B603+$I$38-1),IF(AND($L$37=0,$P$34=0),"",$L$37-1)),0,YEARFRAC(MAX($P$34*($B603+$I$38-1),IF(AND($L$37=0,$P$34=0),"",$L$37-1)),MIN(BY$38,$E603),$P$20))-SUM($BF603:BX603))</f>
        <v>0</v>
      </c>
      <c r="BZ603" s="446">
        <f>IF($E603=0,0,IF(MIN(BZ$38,$E603)&lt;MAX($P$34*($B603+$I$38-1),IF(AND($L$37=0,$P$34=0),"",$L$37-1)),0,YEARFRAC(MAX($P$34*($B603+$I$38-1),IF(AND($L$37=0,$P$34=0),"",$L$37-1)),MIN(BZ$38,$E603),$P$20))-SUM($BF603:BY603))</f>
        <v>0</v>
      </c>
      <c r="CA603" s="446">
        <f>IF($E603=0,0,IF(MIN(CA$38,$E603)&lt;MAX($P$34*($B603+$I$38-1),IF(AND($L$37=0,$P$34=0),"",$L$37-1)),0,YEARFRAC(MAX($P$34*($B603+$I$38-1),IF(AND($L$37=0,$P$34=0),"",$L$37-1)),MIN(CA$38,$E603),$P$20))-SUM($BF603:BZ603))</f>
        <v>0</v>
      </c>
      <c r="CB603" s="446">
        <f>IF($E603=0,0,IF(MIN(CB$38,$E603)&lt;MAX($P$34*($B603+$I$38-1),IF(AND($L$37=0,$P$34=0),"",$L$37-1)),0,YEARFRAC(MAX($P$34*($B603+$I$38-1),IF(AND($L$37=0,$P$34=0),"",$L$37-1)),MIN(CB$38,$E603),$P$20))-SUM($BF603:CA603))</f>
        <v>0</v>
      </c>
      <c r="CC603" s="446">
        <f>IF($E603=0,0,IF(MIN(CC$38,$E603)&lt;MAX($P$34*($B603+$I$38-1),IF(AND($L$37=0,$P$34=0),"",$L$37-1)),0,YEARFRAC(MAX($P$34*($B603+$I$38-1),IF(AND($L$37=0,$P$34=0),"",$L$37-1)),MIN(CC$38,$E603),$P$20))-SUM($BF603:CB603))</f>
        <v>0</v>
      </c>
      <c r="CD603" s="446">
        <f>IF($E603=0,0,IF(MIN(CD$38,$E603)&lt;MAX($P$34*($B603+$I$38-1),IF(AND($L$37=0,$P$34=0),"",$L$37-1)),0,YEARFRAC(MAX($P$34*($B603+$I$38-1),IF(AND($L$37=0,$P$34=0),"",$L$37-1)),MIN(CD$38,$E603),$P$20))-SUM($BF603:CC603))</f>
        <v>0</v>
      </c>
      <c r="CE603" s="446">
        <f>IF($E603=0,0,IF(MIN(CE$38,$E603)&lt;MAX($P$34*($B603+$I$38-1),IF(AND($L$37=0,$P$34=0),"",$L$37-1)),0,YEARFRAC(MAX($P$34*($B603+$I$38-1),IF(AND($L$37=0,$P$34=0),"",$L$37-1)),MIN(CE$38,$E603),$P$20))-SUM($BF603:CD603))</f>
        <v>0</v>
      </c>
      <c r="CF603" s="446">
        <f>IF($E603=0,0,IF(MIN(CF$38,$E603)&lt;MAX($P$34*($B603+$I$38-1),IF(AND($L$37=0,$P$34=0),"",$L$37-1)),0,YEARFRAC(MAX($P$34*($B603+$I$38-1),IF(AND($L$37=0,$P$34=0),"",$L$37-1)),MIN(CF$38,$E603),$P$20))-SUM($BF603:CE603))</f>
        <v>0</v>
      </c>
      <c r="CG603" s="446">
        <f>IF($E603=0,0,IF(MIN(CG$38,$E603)&lt;MAX($P$34*($B603+$I$38-1),IF(AND($L$37=0,$P$34=0),"",$L$37-1)),0,YEARFRAC(MAX($P$34*($B603+$I$38-1),IF(AND($L$37=0,$P$34=0),"",$L$37-1)),MIN(CG$38,$E603),$P$20))-SUM($BF603:CF603))</f>
        <v>0</v>
      </c>
      <c r="CH603" s="446">
        <f>IF($E603=0,0,IF(MIN(CH$38,$E603)&lt;MAX($P$34*($B603+$I$38-1),IF(AND($L$37=0,$P$34=0),"",$L$37-1)),0,YEARFRAC(MAX($P$34*($B603+$I$38-1),IF(AND($L$37=0,$P$34=0),"",$L$37-1)),MIN(CH$38,$E603),$P$20))-SUM($BF603:CG603))</f>
        <v>0</v>
      </c>
      <c r="CI603" s="446">
        <f>IF($E603=0,0,IF(MIN(CI$38,$E603)&lt;MAX($P$34*($B603+$I$38-1),IF(AND($L$37=0,$P$34=0),"",$L$37-1)),0,YEARFRAC(MAX($P$34*($B603+$I$38-1),IF(AND($L$37=0,$P$34=0),"",$L$37-1)),MIN(CI$38,$E603),$P$20))-SUM($BF603:CH603))</f>
        <v>0</v>
      </c>
      <c r="CJ603" s="446">
        <f>IF($E603=0,0,IF(MIN(CJ$38,$E603)&lt;MAX($P$34*($B603+$I$38-1),IF(AND($L$37=0,$P$34=0),"",$L$37-1)),0,YEARFRAC(MAX($P$34*($B603+$I$38-1),IF(AND($L$37=0,$P$34=0),"",$L$37-1)),MIN(CJ$38,$E603),$P$20))-SUM($BF603:CI603))</f>
        <v>0</v>
      </c>
      <c r="CK603" s="446">
        <f>IF($E603=0,0,IF(MIN(CK$38,$E603)&lt;MAX($P$34*($B603+$I$38-1),IF(AND($L$37=0,$P$34=0),"",$L$37-1)),0,YEARFRAC(MAX($P$34*($B603+$I$38-1),IF(AND($L$37=0,$P$34=0),"",$L$37-1)),MIN(CK$38,$E603),$P$20))-SUM($BF603:CJ603))</f>
        <v>0</v>
      </c>
      <c r="CL603" s="446">
        <f>IF($E603=0,0,IF(MIN(CL$38,$E603)&lt;MAX($P$34*($B603+$I$38-1),IF(AND($L$37=0,$P$34=0),"",$L$37-1)),0,YEARFRAC(MAX($P$34*($B603+$I$38-1),IF(AND($L$37=0,$P$34=0),"",$L$37-1)),MIN(CL$38,$E603),$P$20))-SUM($BF603:CK603))</f>
        <v>0</v>
      </c>
      <c r="CM603" s="446">
        <f>IF($E603=0,0,IF(MIN(CM$38,$E603)&lt;MAX($P$34*($B603+$I$38-1),IF(AND($L$37=0,$P$34=0),"",$L$37-1)),0,YEARFRAC(MAX($P$34*($B603+$I$38-1),IF(AND($L$37=0,$P$34=0),"",$L$37-1)),MIN(CM$38,$E603),$P$20))-SUM($BF603:CL603))</f>
        <v>0</v>
      </c>
      <c r="CN603" s="446">
        <f>IF($E603=0,0,IF(MIN(CN$38,$E603)&lt;MAX($P$34*($B603+$I$38-1),IF(AND($L$37=0,$P$34=0),"",$L$37-1)),0,YEARFRAC(MAX($P$34*($B603+$I$38-1),IF(AND($L$37=0,$P$34=0),"",$L$37-1)),MIN(CN$38,$E603),$P$20))-SUM($BF603:CM603))</f>
        <v>0</v>
      </c>
      <c r="CO603" s="446">
        <f>IF($E603=0,0,IF(MIN(CO$38,$E603)&lt;MAX($P$34*($B603+$I$38-1),IF(AND($L$37=0,$P$34=0),"",$L$37-1)),0,YEARFRAC(MAX($P$34*($B603+$I$38-1),IF(AND($L$37=0,$P$34=0),"",$L$37-1)),MIN(CO$38,$E603),$P$20))-SUM($BF603:CN603))</f>
        <v>0</v>
      </c>
      <c r="CP603" s="446">
        <f>IF($E603=0,0,IF(MIN(CP$38,$E603)&lt;MAX($P$34*($B603+$I$38-1),IF(AND($L$37=0,$P$34=0),"",$L$37-1)),0,YEARFRAC(MAX($P$34*($B603+$I$38-1),IF(AND($L$37=0,$P$34=0),"",$L$37-1)),MIN(CP$38,$E603),$P$20))-SUM($BF603:CO603))</f>
        <v>0</v>
      </c>
      <c r="CQ603" s="446">
        <f>IF($E603=0,0,IF(MIN(CQ$38,$E603)&lt;MAX($P$34*($B603+$I$38-1),IF(AND($L$37=0,$P$34=0),"",$L$37-1)),0,YEARFRAC(MAX($P$34*($B603+$I$38-1),IF(AND($L$37=0,$P$34=0),"",$L$37-1)),MIN(CQ$38,$E603),$P$20))-SUM($BF603:CP603))</f>
        <v>0</v>
      </c>
    </row>
    <row r="604" spans="1:95" s="446" customFormat="1" ht="11.25" hidden="1" customHeight="1" x14ac:dyDescent="0.2">
      <c r="A604" s="152"/>
      <c r="B604" s="153" t="str">
        <f t="shared" si="103"/>
        <v/>
      </c>
      <c r="C604" s="29" t="str">
        <f>IF(B604="","",IF($L$35="SELIC - TRIBUTOS",VLOOKUP(DATE(YEAR($D$19),MONTH($D$19)-1,1),ÍNDICES!$A:$DE,HLOOKUP($BL$25,ÍNDICES!$B$3:$T$4,2)+11)-VLOOKUP(B604,ÍNDICES!$A:$DE,HLOOKUP($BL$25,ÍNDICES!$B$3:$T$4,2)+11)+1%,IF(C$38=$W$26,$J$35,IF(ISERROR(IF(B604&gt;$D$19,1,VLOOKUP(DATE(YEAR(B604),MONTH(B604)+IF($C$35=$S$23,1,0),1),ÍNDICES!$A:$DE,$Z$35+1))),"",IF(B604&gt;$D$19,1,VLOOKUP(DATE(YEAR(B604),MONTH(B604)+IF($C$35=$S$23,1,0),1),ÍNDICES!$A:$DE,$Z$35+1))))))</f>
        <v/>
      </c>
      <c r="D604" s="154" t="str">
        <f>IF(ISERROR(IF(OR($D$38=$Y$27,$B604=""),"",VLOOKUP(B604,ÍNDICES!A:DE,AF$35+1))),"",IF(OR($D$38=$Y$27,$B604=""),"",VLOOKUP(B604,ÍNDICES!A:DE,AF$35+1)))</f>
        <v/>
      </c>
      <c r="E604" s="153"/>
      <c r="F604" s="29" t="str">
        <f>IF(E604="","",IF($L$35="SELIC - TRIBUTOS",VLOOKUP(DATE(YEAR($D$19),MONTH($D$19)-1,1),ÍNDICES!$A:$DE,HLOOKUP($BL$25,ÍNDICES!$B$3:$T$4,2)+11)-VLOOKUP(E604,ÍNDICES!$A:$DE,HLOOKUP($BL$25,ÍNDICES!$B$3:$T$4,2)+11)+1%,IF(F$38=$W$26,$J$35,IF(ISERROR(IF(E604&gt;$D$19,1,VLOOKUP(DATE(YEAR(E604),MONTH(E604)+IF($C$35=$S$23,1,0),1),ÍNDICES!$A:$DE,$Z$35+1))),"",IF(E604&gt;$D$19,1,VLOOKUP(DATE(YEAR(E604),MONTH(E604)+IF($C$35=$S$23,1,0),1),ÍNDICES!$A:$DE,$Z$35+1))))))</f>
        <v/>
      </c>
      <c r="G604" s="155"/>
      <c r="H604" s="156" t="str">
        <f t="shared" si="99"/>
        <v/>
      </c>
      <c r="I604" s="29" t="str">
        <f t="shared" si="93"/>
        <v/>
      </c>
      <c r="J604" s="5">
        <f t="shared" si="94"/>
        <v>0</v>
      </c>
      <c r="K604" s="20">
        <f t="shared" ca="1" si="95"/>
        <v>0</v>
      </c>
      <c r="L604" s="5">
        <f t="shared" ca="1" si="96"/>
        <v>0</v>
      </c>
      <c r="M604" s="64">
        <f t="shared" si="100"/>
        <v>0</v>
      </c>
      <c r="N604" s="61">
        <f t="shared" ca="1" si="101"/>
        <v>0</v>
      </c>
      <c r="O604" s="5">
        <f t="shared" ca="1" si="102"/>
        <v>0</v>
      </c>
      <c r="P604" s="446" t="e">
        <f t="shared" si="97"/>
        <v>#VALUE!</v>
      </c>
      <c r="Q604" s="446" t="e">
        <f>IF(OR($B604="",MIN(Q$38,$D$19)&lt;MAX($P$34*($B604+IF($R$17="Distrato",$I$38-1,0)),IF(AND($L$37=0,$P$34=0),"",$L$37-1),IF($R$17="Distrato",$E604,0))),0,YEARFRAC(MAX($P$34*($B604+IF($R$17="Distrato",$I$38-1,0)),IF(AND($L$37=0,$P$34=0),"",$L$37-1),IF($R$17="Distrato",$E604,0)),MIN(Q$38,$D$19),$P$20))-SUM($P604:P604)</f>
        <v>#VALUE!</v>
      </c>
      <c r="R604" s="446" t="e">
        <f>IF(OR($B604="",MIN(R$38,$D$19)&lt;MAX($P$34*($B604+IF($R$17="Distrato",$I$38-1,0)),IF(AND($L$37=0,$P$34=0),"",$L$37-1),IF($R$17="Distrato",$E604,0))),0,YEARFRAC(MAX($P$34*($B604+IF($R$17="Distrato",$I$38-1,0)),IF(AND($L$37=0,$P$34=0),"",$L$37-1),IF($R$17="Distrato",$E604,0)),MIN(R$38,$D$19),$P$20))-SUM($P604:Q604)</f>
        <v>#VALUE!</v>
      </c>
      <c r="S604" s="446" t="e">
        <f>IF(OR($B604="",MIN(S$38,$D$19)&lt;MAX($P$34*($B604+IF($R$17="Distrato",$I$38-1,0)),IF(AND($L$37=0,$P$34=0),"",$L$37-1),IF($R$17="Distrato",$E604,0))),0,YEARFRAC(MAX($P$34*($B604+IF($R$17="Distrato",$I$38-1,0)),IF(AND($L$37=0,$P$34=0),"",$L$37-1),IF($R$17="Distrato",$E604,0)),MIN(S$38,$D$19),$P$20))-SUM($P604:R604)</f>
        <v>#VALUE!</v>
      </c>
      <c r="T604" s="446" t="e">
        <f>IF(OR($B604="",MIN(T$38,$D$19)&lt;MAX($P$34*($B604+IF($R$17="Distrato",$I$38-1,0)),IF(AND($L$37=0,$P$34=0),"",$L$37-1),IF($R$17="Distrato",$E604,0))),0,YEARFRAC(MAX($P$34*($B604+IF($R$17="Distrato",$I$38-1,0)),IF(AND($L$37=0,$P$34=0),"",$L$37-1),IF($R$17="Distrato",$E604,0)),MIN(T$38,$D$19),$P$20))-SUM($P604:S604)</f>
        <v>#VALUE!</v>
      </c>
      <c r="U604" s="446" t="e">
        <f>IF(OR($B604="",MIN(U$38,$D$19)&lt;MAX($P$34*($B604+IF($R$17="Distrato",$I$38-1,0)),IF(AND($L$37=0,$P$34=0),"",$L$37-1),IF($R$17="Distrato",$E604,0))),0,YEARFRAC(MAX($P$34*($B604+IF($R$17="Distrato",$I$38-1,0)),IF(AND($L$37=0,$P$34=0),"",$L$37-1),IF($R$17="Distrato",$E604,0)),MIN(U$38,$D$19),$P$20))-SUM($P604:T604)</f>
        <v>#VALUE!</v>
      </c>
      <c r="V604" s="446" t="e">
        <f>IF(OR($B604="",MIN(V$38,$D$19)&lt;MAX($P$34*($B604+IF($R$17="Distrato",$I$38-1,0)),IF(AND($L$37=0,$P$34=0),"",$L$37-1),IF($R$17="Distrato",$E604,0))),0,YEARFRAC(MAX($P$34*($B604+IF($R$17="Distrato",$I$38-1,0)),IF(AND($L$37=0,$P$34=0),"",$L$37-1),IF($R$17="Distrato",$E604,0)),MIN(V$38,$D$19),$P$20))-SUM($P604:U604)</f>
        <v>#VALUE!</v>
      </c>
      <c r="W604" s="446" t="e">
        <f>IF(OR($B604="",MIN(W$38,$D$19)&lt;MAX($P$34*($B604+IF($R$17="Distrato",$I$38-1,0)),IF(AND($L$37=0,$P$34=0),"",$L$37-1),IF($R$17="Distrato",$E604,0))),0,YEARFRAC(MAX($P$34*($B604+IF($R$17="Distrato",$I$38-1,0)),IF(AND($L$37=0,$P$34=0),"",$L$37-1),IF($R$17="Distrato",$E604,0)),MIN(W$38,$D$19),$P$20))-SUM($P604:V604)</f>
        <v>#VALUE!</v>
      </c>
      <c r="X604" s="446" t="e">
        <f>IF(OR($B604="",MIN(X$38,$D$19)&lt;MAX($P$34*($B604+IF($R$17="Distrato",$I$38-1,0)),IF(AND($L$37=0,$P$34=0),"",$L$37-1),IF($R$17="Distrato",$E604,0))),0,YEARFRAC(MAX($P$34*($B604+IF($R$17="Distrato",$I$38-1,0)),IF(AND($L$37=0,$P$34=0),"",$L$37-1),IF($R$17="Distrato",$E604,0)),MIN(X$38,$D$19),$P$20))-SUM($P604:W604)</f>
        <v>#VALUE!</v>
      </c>
      <c r="Y604" s="446" t="e">
        <f>IF(OR($B604="",MIN(Y$38,$D$19)&lt;MAX($P$34*($B604+IF($R$17="Distrato",$I$38-1,0)),IF(AND($L$37=0,$P$34=0),"",$L$37-1),IF($R$17="Distrato",$E604,0))),0,YEARFRAC(MAX($P$34*($B604+IF($R$17="Distrato",$I$38-1,0)),IF(AND($L$37=0,$P$34=0),"",$L$37-1),IF($R$17="Distrato",$E604,0)),MIN(Y$38,$D$19),$P$20))-SUM($P604:X604)</f>
        <v>#VALUE!</v>
      </c>
      <c r="Z604" s="446" t="e">
        <f>IF(OR($B604="",MIN(Z$38,$D$19)&lt;MAX($P$34*($B604+IF($R$17="Distrato",$I$38-1,0)),IF(AND($L$37=0,$P$34=0),"",$L$37-1),IF($R$17="Distrato",$E604,0))),0,YEARFRAC(MAX($P$34*($B604+IF($R$17="Distrato",$I$38-1,0)),IF(AND($L$37=0,$P$34=0),"",$L$37-1),IF($R$17="Distrato",$E604,0)),MIN(Z$38,$D$19),$P$20))-SUM($P604:Y604)</f>
        <v>#VALUE!</v>
      </c>
      <c r="AA604" s="446" t="e">
        <f>IF(OR($B604="",MIN(AA$38,$D$19)&lt;MAX($P$34*($B604+IF($R$17="Distrato",$I$38-1,0)),IF(AND($L$37=0,$P$34=0),"",$L$37-1),IF($R$17="Distrato",$E604,0))),0,YEARFRAC(MAX($P$34*($B604+IF($R$17="Distrato",$I$38-1,0)),IF(AND($L$37=0,$P$34=0),"",$L$37-1),IF($R$17="Distrato",$E604,0)),MIN(AA$38,$D$19),$P$20))-SUM($P604:Z604)</f>
        <v>#VALUE!</v>
      </c>
      <c r="AB604" s="446" t="e">
        <f>IF(OR($B604="",MIN(AB$38,$D$19)&lt;MAX($P$34*($B604+IF($R$17="Distrato",$I$38-1,0)),IF(AND($L$37=0,$P$34=0),"",$L$37-1),IF($R$17="Distrato",$E604,0))),0,YEARFRAC(MAX($P$34*($B604+IF($R$17="Distrato",$I$38-1,0)),IF(AND($L$37=0,$P$34=0),"",$L$37-1),IF($R$17="Distrato",$E604,0)),MIN(AB$38,$D$19),$P$20))-SUM($P604:AA604)</f>
        <v>#VALUE!</v>
      </c>
      <c r="AC604" s="446" t="e">
        <f>IF(OR($B604="",MIN(AC$38,$D$19)&lt;MAX($P$34*($B604+IF($R$17="Distrato",$I$38-1,0)),IF(AND($L$37=0,$P$34=0),"",$L$37-1),IF($R$17="Distrato",$E604,0))),0,YEARFRAC(MAX($P$34*($B604+IF($R$17="Distrato",$I$38-1,0)),IF(AND($L$37=0,$P$34=0),"",$L$37-1),IF($R$17="Distrato",$E604,0)),MIN(AC$38,$D$19),$P$20))-SUM($P604:AB604)</f>
        <v>#VALUE!</v>
      </c>
      <c r="AD604" s="446" t="e">
        <f>IF(OR($B604="",MIN(AD$38,$D$19)&lt;MAX($P$34*($B604+IF($R$17="Distrato",$I$38-1,0)),IF(AND($L$37=0,$P$34=0),"",$L$37-1),IF($R$17="Distrato",$E604,0))),0,YEARFRAC(MAX($P$34*($B604+IF($R$17="Distrato",$I$38-1,0)),IF(AND($L$37=0,$P$34=0),"",$L$37-1),IF($R$17="Distrato",$E604,0)),MIN(AD$38,$D$19),$P$20))-SUM($P604:AC604)</f>
        <v>#VALUE!</v>
      </c>
      <c r="AE604" s="446" t="e">
        <f>IF(OR($B604="",MIN(AE$38,$D$19)&lt;MAX($P$34*($B604+IF($R$17="Distrato",$I$38-1,0)),IF(AND($L$37=0,$P$34=0),"",$L$37-1),IF($R$17="Distrato",$E604,0))),0,YEARFRAC(MAX($P$34*($B604+IF($R$17="Distrato",$I$38-1,0)),IF(AND($L$37=0,$P$34=0),"",$L$37-1),IF($R$17="Distrato",$E604,0)),MIN(AE$38,$D$19),$P$20))-SUM($P604:AD604)</f>
        <v>#VALUE!</v>
      </c>
      <c r="AF604" s="446" t="e">
        <f>IF(OR($B604="",MIN(AF$38,$D$19)&lt;MAX($P$34*($B604+IF($R$17="Distrato",$I$38-1,0)),IF(AND($L$37=0,$P$34=0),"",$L$37-1),IF($R$17="Distrato",$E604,0))),0,YEARFRAC(MAX($P$34*($B604+IF($R$17="Distrato",$I$38-1,0)),IF(AND($L$37=0,$P$34=0),"",$L$37-1),IF($R$17="Distrato",$E604,0)),MIN(AF$38,$D$19),$P$20))-SUM($P604:AE604)</f>
        <v>#VALUE!</v>
      </c>
      <c r="AG604" s="446" t="e">
        <f>IF(OR($B604="",MIN(AG$38,$D$19)&lt;MAX($P$34*($B604+IF($R$17="Distrato",$I$38-1,0)),IF(AND($L$37=0,$P$34=0),"",$L$37-1),IF($R$17="Distrato",$E604,0))),0,YEARFRAC(MAX($P$34*($B604+IF($R$17="Distrato",$I$38-1,0)),IF(AND($L$37=0,$P$34=0),"",$L$37-1),IF($R$17="Distrato",$E604,0)),MIN(AG$38,$D$19),$P$20))-SUM($P604:AF604)</f>
        <v>#VALUE!</v>
      </c>
      <c r="AH604" s="446" t="e">
        <f>IF(OR($B604="",MIN(AH$38,$D$19)&lt;MAX($P$34*($B604+IF($R$17="Distrato",$I$38-1,0)),IF(AND($L$37=0,$P$34=0),"",$L$37-1),IF($R$17="Distrato",$E604,0))),0,YEARFRAC(MAX($P$34*($B604+IF($R$17="Distrato",$I$38-1,0)),IF(AND($L$37=0,$P$34=0),"",$L$37-1),IF($R$17="Distrato",$E604,0)),MIN(AH$38,$D$19),$P$20))-SUM($P604:AG604)</f>
        <v>#VALUE!</v>
      </c>
      <c r="AI604" s="446" t="e">
        <f>IF(OR($B604="",MIN(AI$38,$D$19)&lt;MAX($P$34*($B604+IF($R$17="Distrato",$I$38-1,0)),IF(AND($L$37=0,$P$34=0),"",$L$37-1),IF($R$17="Distrato",$E604,0))),0,YEARFRAC(MAX($P$34*($B604+IF($R$17="Distrato",$I$38-1,0)),IF(AND($L$37=0,$P$34=0),"",$L$37-1),IF($R$17="Distrato",$E604,0)),MIN(AI$38,$D$19),$P$20))-SUM($P604:AH604)</f>
        <v>#VALUE!</v>
      </c>
      <c r="AJ604" s="446" t="e">
        <f>IF(OR($B604="",MIN(AJ$38,$D$19)&lt;MAX($P$34*($B604+IF($R$17="Distrato",$I$38-1,0)),IF(AND($L$37=0,$P$34=0),"",$L$37-1),IF($R$17="Distrato",$E604,0))),0,YEARFRAC(MAX($P$34*($B604+IF($R$17="Distrato",$I$38-1,0)),IF(AND($L$37=0,$P$34=0),"",$L$37-1),IF($R$17="Distrato",$E604,0)),MIN(AJ$38,$D$19),$P$20))-SUM($P604:AI604)</f>
        <v>#VALUE!</v>
      </c>
      <c r="AK604" s="446" t="e">
        <f>IF(OR($B604="",MIN(AK$38,$D$19)&lt;MAX($P$34*($B604+IF($R$17="Distrato",$I$38-1,0)),IF(AND($L$37=0,$P$34=0),"",$L$37-1),IF($R$17="Distrato",$E604,0))),0,YEARFRAC(MAX($P$34*($B604+IF($R$17="Distrato",$I$38-1,0)),IF(AND($L$37=0,$P$34=0),"",$L$37-1),IF($R$17="Distrato",$E604,0)),MIN(AK$38,$D$19),$P$20))-SUM($P604:AJ604)</f>
        <v>#VALUE!</v>
      </c>
      <c r="AL604" s="446" t="e">
        <f>IF(OR($B604="",MIN(AL$38,$D$19)&lt;MAX($P$34*($B604+IF($R$17="Distrato",$I$38-1,0)),IF(AND($L$37=0,$P$34=0),"",$L$37-1),IF($R$17="Distrato",$E604,0))),0,YEARFRAC(MAX($P$34*($B604+IF($R$17="Distrato",$I$38-1,0)),IF(AND($L$37=0,$P$34=0),"",$L$37-1),IF($R$17="Distrato",$E604,0)),MIN(AL$38,$D$19),$P$20))-SUM($P604:AK604)</f>
        <v>#VALUE!</v>
      </c>
      <c r="AM604" s="446" t="e">
        <f>IF(OR($B604="",MIN(AM$38,$D$19)&lt;MAX($P$34*($B604+IF($R$17="Distrato",$I$38-1,0)),IF(AND($L$37=0,$P$34=0),"",$L$37-1),IF($R$17="Distrato",$E604,0))),0,YEARFRAC(MAX($P$34*($B604+IF($R$17="Distrato",$I$38-1,0)),IF(AND($L$37=0,$P$34=0),"",$L$37-1),IF($R$17="Distrato",$E604,0)),MIN(AM$38,$D$19),$P$20))-SUM($P604:AL604)</f>
        <v>#VALUE!</v>
      </c>
      <c r="AN604" s="446" t="e">
        <f>IF(OR($B604="",MIN(AN$38,$D$19)&lt;MAX($P$34*($B604+IF($R$17="Distrato",$I$38-1,0)),IF(AND($L$37=0,$P$34=0),"",$L$37-1),IF($R$17="Distrato",$E604,0))),0,YEARFRAC(MAX($P$34*($B604+IF($R$17="Distrato",$I$38-1,0)),IF(AND($L$37=0,$P$34=0),"",$L$37-1),IF($R$17="Distrato",$E604,0)),MIN(AN$38,$D$19),$P$20))-SUM($P604:AM604)</f>
        <v>#VALUE!</v>
      </c>
      <c r="AO604" s="446" t="e">
        <f>IF(OR($B604="",MIN(AO$38,$D$19)&lt;MAX($P$34*($B604+IF($R$17="Distrato",$I$38-1,0)),IF(AND($L$37=0,$P$34=0),"",$L$37-1),IF($R$17="Distrato",$E604,0))),0,YEARFRAC(MAX($P$34*($B604+IF($R$17="Distrato",$I$38-1,0)),IF(AND($L$37=0,$P$34=0),"",$L$37-1),IF($R$17="Distrato",$E604,0)),MIN(AO$38,$D$19),$P$20))-SUM($P604:AN604)</f>
        <v>#VALUE!</v>
      </c>
      <c r="AP604" s="446" t="e">
        <f>IF(OR($B604="",MIN(AP$38,$D$19)&lt;MAX($P$34*($B604+IF($R$17="Distrato",$I$38-1,0)),IF(AND($L$37=0,$P$34=0),"",$L$37-1),IF($R$17="Distrato",$E604,0))),0,YEARFRAC(MAX($P$34*($B604+IF($R$17="Distrato",$I$38-1,0)),IF(AND($L$37=0,$P$34=0),"",$L$37-1),IF($R$17="Distrato",$E604,0)),MIN(AP$38,$D$19),$P$20))-SUM($P604:AO604)</f>
        <v>#VALUE!</v>
      </c>
      <c r="AQ604" s="446" t="e">
        <f>IF(OR($B604="",MIN(AQ$38,$D$19)&lt;MAX($P$34*($B604+IF($R$17="Distrato",$I$38-1,0)),IF(AND($L$37=0,$P$34=0),"",$L$37-1),IF($R$17="Distrato",$E604,0))),0,YEARFRAC(MAX($P$34*($B604+IF($R$17="Distrato",$I$38-1,0)),IF(AND($L$37=0,$P$34=0),"",$L$37-1),IF($R$17="Distrato",$E604,0)),MIN(AQ$38,$D$19),$P$20))-SUM($P604:AP604)</f>
        <v>#VALUE!</v>
      </c>
      <c r="AR604" s="446" t="e">
        <f>IF(OR($B604="",MIN(AR$38,$D$19)&lt;MAX($P$34*($B604+IF($R$17="Distrato",$I$38-1,0)),IF(AND($L$37=0,$P$34=0),"",$L$37-1),IF($R$17="Distrato",$E604,0))),0,YEARFRAC(MAX($P$34*($B604+IF($R$17="Distrato",$I$38-1,0)),IF(AND($L$37=0,$P$34=0),"",$L$37-1),IF($R$17="Distrato",$E604,0)),MIN(AR$38,$D$19),$P$20))-SUM($P604:AQ604)</f>
        <v>#VALUE!</v>
      </c>
      <c r="AS604" s="446" t="e">
        <f>IF(OR($B604="",MIN(AS$38,$D$19)&lt;MAX($P$34*($B604+IF($R$17="Distrato",$I$38-1,0)),IF(AND($L$37=0,$P$34=0),"",$L$37-1),IF($R$17="Distrato",$E604,0))),0,YEARFRAC(MAX($P$34*($B604+IF($R$17="Distrato",$I$38-1,0)),IF(AND($L$37=0,$P$34=0),"",$L$37-1),IF($R$17="Distrato",$E604,0)),MIN(AS$38,$D$19),$P$20))-SUM($P604:AR604)</f>
        <v>#VALUE!</v>
      </c>
      <c r="AT604" s="446" t="e">
        <f>IF(OR($B604="",MIN(AT$38,$D$19)&lt;MAX($P$34*($B604+IF($R$17="Distrato",$I$38-1,0)),IF(AND($L$37=0,$P$34=0),"",$L$37-1),IF($R$17="Distrato",$E604,0))),0,YEARFRAC(MAX($P$34*($B604+IF($R$17="Distrato",$I$38-1,0)),IF(AND($L$37=0,$P$34=0),"",$L$37-1),IF($R$17="Distrato",$E604,0)),MIN(AT$38,$D$19),$P$20))-SUM($P604:AS604)</f>
        <v>#VALUE!</v>
      </c>
      <c r="AU604" s="446" t="e">
        <f>IF(OR($B604="",MIN(AU$38,$D$19)&lt;MAX($P$34*($B604+IF($R$17="Distrato",$I$38-1,0)),IF(AND($L$37=0,$P$34=0),"",$L$37-1),IF($R$17="Distrato",$E604,0))),0,YEARFRAC(MAX($P$34*($B604+IF($R$17="Distrato",$I$38-1,0)),IF(AND($L$37=0,$P$34=0),"",$L$37-1),IF($R$17="Distrato",$E604,0)),MIN(AU$38,$D$19),$P$20))-SUM($P604:AT604)</f>
        <v>#VALUE!</v>
      </c>
      <c r="AV604" s="446" t="e">
        <f>IF(OR($B604="",MIN(AV$38,$D$19)&lt;MAX($P$34*($B604+IF($R$17="Distrato",$I$38-1,0)),IF(AND($L$37=0,$P$34=0),"",$L$37-1),IF($R$17="Distrato",$E604,0))),0,YEARFRAC(MAX($P$34*($B604+IF($R$17="Distrato",$I$38-1,0)),IF(AND($L$37=0,$P$34=0),"",$L$37-1),IF($R$17="Distrato",$E604,0)),MIN(AV$38,$D$19),$P$20))-SUM($P604:AU604)</f>
        <v>#VALUE!</v>
      </c>
      <c r="AW604" s="446" t="e">
        <f>IF(OR($B604="",MIN(AW$38,$D$19)&lt;MAX($P$34*($B604+IF($R$17="Distrato",$I$38-1,0)),IF(AND($L$37=0,$P$34=0),"",$L$37-1),IF($R$17="Distrato",$E604,0))),0,YEARFRAC(MAX($P$34*($B604+IF($R$17="Distrato",$I$38-1,0)),IF(AND($L$37=0,$P$34=0),"",$L$37-1),IF($R$17="Distrato",$E604,0)),MIN(AW$38,$D$19),$P$20))-SUM($P604:AV604)</f>
        <v>#VALUE!</v>
      </c>
      <c r="AX604" s="446" t="e">
        <f>IF(OR($B604="",MIN(AX$38,$D$19)&lt;MAX($P$34*($B604+IF($R$17="Distrato",$I$38-1,0)),IF(AND($L$37=0,$P$34=0),"",$L$37-1),IF($R$17="Distrato",$E604,0))),0,YEARFRAC(MAX($P$34*($B604+IF($R$17="Distrato",$I$38-1,0)),IF(AND($L$37=0,$P$34=0),"",$L$37-1),IF($R$17="Distrato",$E604,0)),MIN(AX$38,$D$19),$P$20))-SUM($P604:AW604)</f>
        <v>#VALUE!</v>
      </c>
      <c r="AY604" s="446" t="e">
        <f>IF(OR($B604="",MIN(AY$38,$D$19)&lt;MAX($P$34*($B604+IF($R$17="Distrato",$I$38-1,0)),IF(AND($L$37=0,$P$34=0),"",$L$37-1),IF($R$17="Distrato",$E604,0))),0,YEARFRAC(MAX($P$34*($B604+IF($R$17="Distrato",$I$38-1,0)),IF(AND($L$37=0,$P$34=0),"",$L$37-1),IF($R$17="Distrato",$E604,0)),MIN(AY$38,$D$19),$P$20))-SUM($P604:AX604)</f>
        <v>#VALUE!</v>
      </c>
      <c r="AZ604" s="446" t="e">
        <f>IF(OR($B604="",MIN(AZ$38,$D$19)&lt;MAX($P$34*($B604+IF($R$17="Distrato",$I$38-1,0)),IF(AND($L$37=0,$P$34=0),"",$L$37-1),IF($R$17="Distrato",$E604,0))),0,YEARFRAC(MAX($P$34*($B604+IF($R$17="Distrato",$I$38-1,0)),IF(AND($L$37=0,$P$34=0),"",$L$37-1),IF($R$17="Distrato",$E604,0)),MIN(AZ$38,$D$19),$P$20))-SUM($P604:AY604)</f>
        <v>#VALUE!</v>
      </c>
      <c r="BA604" s="446" t="e">
        <f>IF(OR($B604="",MIN(BA$38,$D$19)&lt;MAX($P$34*($B604+IF($R$17="Distrato",$I$38-1,0)),IF(AND($L$37=0,$P$34=0),"",$L$37-1),IF($R$17="Distrato",$E604,0))),0,YEARFRAC(MAX($P$34*($B604+IF($R$17="Distrato",$I$38-1,0)),IF(AND($L$37=0,$P$34=0),"",$L$37-1),IF($R$17="Distrato",$E604,0)),MIN(BA$38,$D$19),$P$20))-SUM($P604:AZ604)</f>
        <v>#VALUE!</v>
      </c>
      <c r="BB604" s="447"/>
      <c r="BF604" s="446">
        <f t="shared" si="98"/>
        <v>0</v>
      </c>
      <c r="BG604" s="446">
        <f>IF($E604=0,0,IF(MIN(BG$38,$E604)&lt;MAX($P$34*($B604+$I$38-1),IF(AND($L$37=0,$P$34=0),"",$L$37-1)),0,YEARFRAC(MAX($P$34*($B604+$I$38-1),IF(AND($L$37=0,$P$34=0),"",$L$37-1)),MIN(BG$38,$E604),$P$20))-SUM($BF604:BF604))</f>
        <v>0</v>
      </c>
      <c r="BH604" s="446">
        <f>IF($E604=0,0,IF(MIN(BH$38,$E604)&lt;MAX($P$34*($B604+$I$38-1),IF(AND($L$37=0,$P$34=0),"",$L$37-1)),0,YEARFRAC(MAX($P$34*($B604+$I$38-1),IF(AND($L$37=0,$P$34=0),"",$L$37-1)),MIN(BH$38,$E604),$P$20))-SUM($BF604:BG604))</f>
        <v>0</v>
      </c>
      <c r="BI604" s="446">
        <f>IF($E604=0,0,IF(MIN(BI$38,$E604)&lt;MAX($P$34*($B604+$I$38-1),IF(AND($L$37=0,$P$34=0),"",$L$37-1)),0,YEARFRAC(MAX($P$34*($B604+$I$38-1),IF(AND($L$37=0,$P$34=0),"",$L$37-1)),MIN(BI$38,$E604),$P$20))-SUM($BF604:BH604))</f>
        <v>0</v>
      </c>
      <c r="BJ604" s="446">
        <f>IF($E604=0,0,IF(MIN(BJ$38,$E604)&lt;MAX($P$34*($B604+$I$38-1),IF(AND($L$37=0,$P$34=0),"",$L$37-1)),0,YEARFRAC(MAX($P$34*($B604+$I$38-1),IF(AND($L$37=0,$P$34=0),"",$L$37-1)),MIN(BJ$38,$E604),$P$20))-SUM($BF604:BI604))</f>
        <v>0</v>
      </c>
      <c r="BK604" s="446">
        <f>IF($E604=0,0,IF(MIN(BK$38,$E604)&lt;MAX($P$34*($B604+$I$38-1),IF(AND($L$37=0,$P$34=0),"",$L$37-1)),0,YEARFRAC(MAX($P$34*($B604+$I$38-1),IF(AND($L$37=0,$P$34=0),"",$L$37-1)),MIN(BK$38,$E604),$P$20))-SUM($BF604:BJ604))</f>
        <v>0</v>
      </c>
      <c r="BL604" s="446">
        <f>IF($E604=0,0,IF(MIN(BL$38,$E604)&lt;MAX($P$34*($B604+$I$38-1),IF(AND($L$37=0,$P$34=0),"",$L$37-1)),0,YEARFRAC(MAX($P$34*($B604+$I$38-1),IF(AND($L$37=0,$P$34=0),"",$L$37-1)),MIN(BL$38,$E604),$P$20))-SUM($BF604:BK604))</f>
        <v>0</v>
      </c>
      <c r="BM604" s="446">
        <f>IF($E604=0,0,IF(MIN(BM$38,$E604)&lt;MAX($P$34*($B604+$I$38-1),IF(AND($L$37=0,$P$34=0),"",$L$37-1)),0,YEARFRAC(MAX($P$34*($B604+$I$38-1),IF(AND($L$37=0,$P$34=0),"",$L$37-1)),MIN(BM$38,$E604),$P$20))-SUM($BF604:BL604))</f>
        <v>0</v>
      </c>
      <c r="BN604" s="446">
        <f>IF($E604=0,0,IF(MIN(BN$38,$E604)&lt;MAX($P$34*($B604+$I$38-1),IF(AND($L$37=0,$P$34=0),"",$L$37-1)),0,YEARFRAC(MAX($P$34*($B604+$I$38-1),IF(AND($L$37=0,$P$34=0),"",$L$37-1)),MIN(BN$38,$E604),$P$20))-SUM($BF604:BM604))</f>
        <v>0</v>
      </c>
      <c r="BO604" s="446">
        <f>IF($E604=0,0,IF(MIN(BO$38,$E604)&lt;MAX($P$34*($B604+$I$38-1),IF(AND($L$37=0,$P$34=0),"",$L$37-1)),0,YEARFRAC(MAX($P$34*($B604+$I$38-1),IF(AND($L$37=0,$P$34=0),"",$L$37-1)),MIN(BO$38,$E604),$P$20))-SUM($BF604:BN604))</f>
        <v>0</v>
      </c>
      <c r="BP604" s="446">
        <f>IF($E604=0,0,IF(MIN(BP$38,$E604)&lt;MAX($P$34*($B604+$I$38-1),IF(AND($L$37=0,$P$34=0),"",$L$37-1)),0,YEARFRAC(MAX($P$34*($B604+$I$38-1),IF(AND($L$37=0,$P$34=0),"",$L$37-1)),MIN(BP$38,$E604),$P$20))-SUM($BF604:BO604))</f>
        <v>0</v>
      </c>
      <c r="BQ604" s="446">
        <f>IF($E604=0,0,IF(MIN(BQ$38,$E604)&lt;MAX($P$34*($B604+$I$38-1),IF(AND($L$37=0,$P$34=0),"",$L$37-1)),0,YEARFRAC(MAX($P$34*($B604+$I$38-1),IF(AND($L$37=0,$P$34=0),"",$L$37-1)),MIN(BQ$38,$E604),$P$20))-SUM($BF604:BP604))</f>
        <v>0</v>
      </c>
      <c r="BR604" s="446">
        <f>IF($E604=0,0,IF(MIN(BR$38,$E604)&lt;MAX($P$34*($B604+$I$38-1),IF(AND($L$37=0,$P$34=0),"",$L$37-1)),0,YEARFRAC(MAX($P$34*($B604+$I$38-1),IF(AND($L$37=0,$P$34=0),"",$L$37-1)),MIN(BR$38,$E604),$P$20))-SUM($BF604:BQ604))</f>
        <v>0</v>
      </c>
      <c r="BS604" s="446">
        <f>IF($E604=0,0,IF(MIN(BS$38,$E604)&lt;MAX($P$34*($B604+$I$38-1),IF(AND($L$37=0,$P$34=0),"",$L$37-1)),0,YEARFRAC(MAX($P$34*($B604+$I$38-1),IF(AND($L$37=0,$P$34=0),"",$L$37-1)),MIN(BS$38,$E604),$P$20))-SUM($BF604:BR604))</f>
        <v>0</v>
      </c>
      <c r="BT604" s="446">
        <f>IF($E604=0,0,IF(MIN(BT$38,$E604)&lt;MAX($P$34*($B604+$I$38-1),IF(AND($L$37=0,$P$34=0),"",$L$37-1)),0,YEARFRAC(MAX($P$34*($B604+$I$38-1),IF(AND($L$37=0,$P$34=0),"",$L$37-1)),MIN(BT$38,$E604),$P$20))-SUM($BF604:BS604))</f>
        <v>0</v>
      </c>
      <c r="BU604" s="446">
        <f>IF($E604=0,0,IF(MIN(BU$38,$E604)&lt;MAX($P$34*($B604+$I$38-1),IF(AND($L$37=0,$P$34=0),"",$L$37-1)),0,YEARFRAC(MAX($P$34*($B604+$I$38-1),IF(AND($L$37=0,$P$34=0),"",$L$37-1)),MIN(BU$38,$E604),$P$20))-SUM($BF604:BT604))</f>
        <v>0</v>
      </c>
      <c r="BV604" s="446">
        <f>IF($E604=0,0,IF(MIN(BV$38,$E604)&lt;MAX($P$34*($B604+$I$38-1),IF(AND($L$37=0,$P$34=0),"",$L$37-1)),0,YEARFRAC(MAX($P$34*($B604+$I$38-1),IF(AND($L$37=0,$P$34=0),"",$L$37-1)),MIN(BV$38,$E604),$P$20))-SUM($BF604:BU604))</f>
        <v>0</v>
      </c>
      <c r="BW604" s="446">
        <f>IF($E604=0,0,IF(MIN(BW$38,$E604)&lt;MAX($P$34*($B604+$I$38-1),IF(AND($L$37=0,$P$34=0),"",$L$37-1)),0,YEARFRAC(MAX($P$34*($B604+$I$38-1),IF(AND($L$37=0,$P$34=0),"",$L$37-1)),MIN(BW$38,$E604),$P$20))-SUM($BF604:BV604))</f>
        <v>0</v>
      </c>
      <c r="BX604" s="446">
        <f>IF($E604=0,0,IF(MIN(BX$38,$E604)&lt;MAX($P$34*($B604+$I$38-1),IF(AND($L$37=0,$P$34=0),"",$L$37-1)),0,YEARFRAC(MAX($P$34*($B604+$I$38-1),IF(AND($L$37=0,$P$34=0),"",$L$37-1)),MIN(BX$38,$E604),$P$20))-SUM($BF604:BW604))</f>
        <v>0</v>
      </c>
      <c r="BY604" s="446">
        <f>IF($E604=0,0,IF(MIN(BY$38,$E604)&lt;MAX($P$34*($B604+$I$38-1),IF(AND($L$37=0,$P$34=0),"",$L$37-1)),0,YEARFRAC(MAX($P$34*($B604+$I$38-1),IF(AND($L$37=0,$P$34=0),"",$L$37-1)),MIN(BY$38,$E604),$P$20))-SUM($BF604:BX604))</f>
        <v>0</v>
      </c>
      <c r="BZ604" s="446">
        <f>IF($E604=0,0,IF(MIN(BZ$38,$E604)&lt;MAX($P$34*($B604+$I$38-1),IF(AND($L$37=0,$P$34=0),"",$L$37-1)),0,YEARFRAC(MAX($P$34*($B604+$I$38-1),IF(AND($L$37=0,$P$34=0),"",$L$37-1)),MIN(BZ$38,$E604),$P$20))-SUM($BF604:BY604))</f>
        <v>0</v>
      </c>
      <c r="CA604" s="446">
        <f>IF($E604=0,0,IF(MIN(CA$38,$E604)&lt;MAX($P$34*($B604+$I$38-1),IF(AND($L$37=0,$P$34=0),"",$L$37-1)),0,YEARFRAC(MAX($P$34*($B604+$I$38-1),IF(AND($L$37=0,$P$34=0),"",$L$37-1)),MIN(CA$38,$E604),$P$20))-SUM($BF604:BZ604))</f>
        <v>0</v>
      </c>
      <c r="CB604" s="446">
        <f>IF($E604=0,0,IF(MIN(CB$38,$E604)&lt;MAX($P$34*($B604+$I$38-1),IF(AND($L$37=0,$P$34=0),"",$L$37-1)),0,YEARFRAC(MAX($P$34*($B604+$I$38-1),IF(AND($L$37=0,$P$34=0),"",$L$37-1)),MIN(CB$38,$E604),$P$20))-SUM($BF604:CA604))</f>
        <v>0</v>
      </c>
      <c r="CC604" s="446">
        <f>IF($E604=0,0,IF(MIN(CC$38,$E604)&lt;MAX($P$34*($B604+$I$38-1),IF(AND($L$37=0,$P$34=0),"",$L$37-1)),0,YEARFRAC(MAX($P$34*($B604+$I$38-1),IF(AND($L$37=0,$P$34=0),"",$L$37-1)),MIN(CC$38,$E604),$P$20))-SUM($BF604:CB604))</f>
        <v>0</v>
      </c>
      <c r="CD604" s="446">
        <f>IF($E604=0,0,IF(MIN(CD$38,$E604)&lt;MAX($P$34*($B604+$I$38-1),IF(AND($L$37=0,$P$34=0),"",$L$37-1)),0,YEARFRAC(MAX($P$34*($B604+$I$38-1),IF(AND($L$37=0,$P$34=0),"",$L$37-1)),MIN(CD$38,$E604),$P$20))-SUM($BF604:CC604))</f>
        <v>0</v>
      </c>
      <c r="CE604" s="446">
        <f>IF($E604=0,0,IF(MIN(CE$38,$E604)&lt;MAX($P$34*($B604+$I$38-1),IF(AND($L$37=0,$P$34=0),"",$L$37-1)),0,YEARFRAC(MAX($P$34*($B604+$I$38-1),IF(AND($L$37=0,$P$34=0),"",$L$37-1)),MIN(CE$38,$E604),$P$20))-SUM($BF604:CD604))</f>
        <v>0</v>
      </c>
      <c r="CF604" s="446">
        <f>IF($E604=0,0,IF(MIN(CF$38,$E604)&lt;MAX($P$34*($B604+$I$38-1),IF(AND($L$37=0,$P$34=0),"",$L$37-1)),0,YEARFRAC(MAX($P$34*($B604+$I$38-1),IF(AND($L$37=0,$P$34=0),"",$L$37-1)),MIN(CF$38,$E604),$P$20))-SUM($BF604:CE604))</f>
        <v>0</v>
      </c>
      <c r="CG604" s="446">
        <f>IF($E604=0,0,IF(MIN(CG$38,$E604)&lt;MAX($P$34*($B604+$I$38-1),IF(AND($L$37=0,$P$34=0),"",$L$37-1)),0,YEARFRAC(MAX($P$34*($B604+$I$38-1),IF(AND($L$37=0,$P$34=0),"",$L$37-1)),MIN(CG$38,$E604),$P$20))-SUM($BF604:CF604))</f>
        <v>0</v>
      </c>
      <c r="CH604" s="446">
        <f>IF($E604=0,0,IF(MIN(CH$38,$E604)&lt;MAX($P$34*($B604+$I$38-1),IF(AND($L$37=0,$P$34=0),"",$L$37-1)),0,YEARFRAC(MAX($P$34*($B604+$I$38-1),IF(AND($L$37=0,$P$34=0),"",$L$37-1)),MIN(CH$38,$E604),$P$20))-SUM($BF604:CG604))</f>
        <v>0</v>
      </c>
      <c r="CI604" s="446">
        <f>IF($E604=0,0,IF(MIN(CI$38,$E604)&lt;MAX($P$34*($B604+$I$38-1),IF(AND($L$37=0,$P$34=0),"",$L$37-1)),0,YEARFRAC(MAX($P$34*($B604+$I$38-1),IF(AND($L$37=0,$P$34=0),"",$L$37-1)),MIN(CI$38,$E604),$P$20))-SUM($BF604:CH604))</f>
        <v>0</v>
      </c>
      <c r="CJ604" s="446">
        <f>IF($E604=0,0,IF(MIN(CJ$38,$E604)&lt;MAX($P$34*($B604+$I$38-1),IF(AND($L$37=0,$P$34=0),"",$L$37-1)),0,YEARFRAC(MAX($P$34*($B604+$I$38-1),IF(AND($L$37=0,$P$34=0),"",$L$37-1)),MIN(CJ$38,$E604),$P$20))-SUM($BF604:CI604))</f>
        <v>0</v>
      </c>
      <c r="CK604" s="446">
        <f>IF($E604=0,0,IF(MIN(CK$38,$E604)&lt;MAX($P$34*($B604+$I$38-1),IF(AND($L$37=0,$P$34=0),"",$L$37-1)),0,YEARFRAC(MAX($P$34*($B604+$I$38-1),IF(AND($L$37=0,$P$34=0),"",$L$37-1)),MIN(CK$38,$E604),$P$20))-SUM($BF604:CJ604))</f>
        <v>0</v>
      </c>
      <c r="CL604" s="446">
        <f>IF($E604=0,0,IF(MIN(CL$38,$E604)&lt;MAX($P$34*($B604+$I$38-1),IF(AND($L$37=0,$P$34=0),"",$L$37-1)),0,YEARFRAC(MAX($P$34*($B604+$I$38-1),IF(AND($L$37=0,$P$34=0),"",$L$37-1)),MIN(CL$38,$E604),$P$20))-SUM($BF604:CK604))</f>
        <v>0</v>
      </c>
      <c r="CM604" s="446">
        <f>IF($E604=0,0,IF(MIN(CM$38,$E604)&lt;MAX($P$34*($B604+$I$38-1),IF(AND($L$37=0,$P$34=0),"",$L$37-1)),0,YEARFRAC(MAX($P$34*($B604+$I$38-1),IF(AND($L$37=0,$P$34=0),"",$L$37-1)),MIN(CM$38,$E604),$P$20))-SUM($BF604:CL604))</f>
        <v>0</v>
      </c>
      <c r="CN604" s="446">
        <f>IF($E604=0,0,IF(MIN(CN$38,$E604)&lt;MAX($P$34*($B604+$I$38-1),IF(AND($L$37=0,$P$34=0),"",$L$37-1)),0,YEARFRAC(MAX($P$34*($B604+$I$38-1),IF(AND($L$37=0,$P$34=0),"",$L$37-1)),MIN(CN$38,$E604),$P$20))-SUM($BF604:CM604))</f>
        <v>0</v>
      </c>
      <c r="CO604" s="446">
        <f>IF($E604=0,0,IF(MIN(CO$38,$E604)&lt;MAX($P$34*($B604+$I$38-1),IF(AND($L$37=0,$P$34=0),"",$L$37-1)),0,YEARFRAC(MAX($P$34*($B604+$I$38-1),IF(AND($L$37=0,$P$34=0),"",$L$37-1)),MIN(CO$38,$E604),$P$20))-SUM($BF604:CN604))</f>
        <v>0</v>
      </c>
      <c r="CP604" s="446">
        <f>IF($E604=0,0,IF(MIN(CP$38,$E604)&lt;MAX($P$34*($B604+$I$38-1),IF(AND($L$37=0,$P$34=0),"",$L$37-1)),0,YEARFRAC(MAX($P$34*($B604+$I$38-1),IF(AND($L$37=0,$P$34=0),"",$L$37-1)),MIN(CP$38,$E604),$P$20))-SUM($BF604:CO604))</f>
        <v>0</v>
      </c>
      <c r="CQ604" s="446">
        <f>IF($E604=0,0,IF(MIN(CQ$38,$E604)&lt;MAX($P$34*($B604+$I$38-1),IF(AND($L$37=0,$P$34=0),"",$L$37-1)),0,YEARFRAC(MAX($P$34*($B604+$I$38-1),IF(AND($L$37=0,$P$34=0),"",$L$37-1)),MIN(CQ$38,$E604),$P$20))-SUM($BF604:CP604))</f>
        <v>0</v>
      </c>
    </row>
    <row r="605" spans="1:95" s="446" customFormat="1" ht="11.25" hidden="1" customHeight="1" x14ac:dyDescent="0.2">
      <c r="A605" s="152"/>
      <c r="B605" s="153" t="str">
        <f t="shared" si="103"/>
        <v/>
      </c>
      <c r="C605" s="29" t="str">
        <f>IF(B605="","",IF($L$35="SELIC - TRIBUTOS",VLOOKUP(DATE(YEAR($D$19),MONTH($D$19)-1,1),ÍNDICES!$A:$DE,HLOOKUP($BL$25,ÍNDICES!$B$3:$T$4,2)+11)-VLOOKUP(B605,ÍNDICES!$A:$DE,HLOOKUP($BL$25,ÍNDICES!$B$3:$T$4,2)+11)+1%,IF(C$38=$W$26,$J$35,IF(ISERROR(IF(B605&gt;$D$19,1,VLOOKUP(DATE(YEAR(B605),MONTH(B605)+IF($C$35=$S$23,1,0),1),ÍNDICES!$A:$DE,$Z$35+1))),"",IF(B605&gt;$D$19,1,VLOOKUP(DATE(YEAR(B605),MONTH(B605)+IF($C$35=$S$23,1,0),1),ÍNDICES!$A:$DE,$Z$35+1))))))</f>
        <v/>
      </c>
      <c r="D605" s="154" t="str">
        <f>IF(ISERROR(IF(OR($D$38=$Y$27,$B605=""),"",VLOOKUP(B605,ÍNDICES!A:DE,AF$35+1))),"",IF(OR($D$38=$Y$27,$B605=""),"",VLOOKUP(B605,ÍNDICES!A:DE,AF$35+1)))</f>
        <v/>
      </c>
      <c r="E605" s="153"/>
      <c r="F605" s="29" t="str">
        <f>IF(E605="","",IF($L$35="SELIC - TRIBUTOS",VLOOKUP(DATE(YEAR($D$19),MONTH($D$19)-1,1),ÍNDICES!$A:$DE,HLOOKUP($BL$25,ÍNDICES!$B$3:$T$4,2)+11)-VLOOKUP(E605,ÍNDICES!$A:$DE,HLOOKUP($BL$25,ÍNDICES!$B$3:$T$4,2)+11)+1%,IF(F$38=$W$26,$J$35,IF(ISERROR(IF(E605&gt;$D$19,1,VLOOKUP(DATE(YEAR(E605),MONTH(E605)+IF($C$35=$S$23,1,0),1),ÍNDICES!$A:$DE,$Z$35+1))),"",IF(E605&gt;$D$19,1,VLOOKUP(DATE(YEAR(E605),MONTH(E605)+IF($C$35=$S$23,1,0),1),ÍNDICES!$A:$DE,$Z$35+1))))))</f>
        <v/>
      </c>
      <c r="G605" s="155"/>
      <c r="H605" s="156" t="str">
        <f t="shared" si="99"/>
        <v/>
      </c>
      <c r="I605" s="29" t="str">
        <f t="shared" si="93"/>
        <v/>
      </c>
      <c r="J605" s="5">
        <f t="shared" si="94"/>
        <v>0</v>
      </c>
      <c r="K605" s="20">
        <f t="shared" ca="1" si="95"/>
        <v>0</v>
      </c>
      <c r="L605" s="5">
        <f t="shared" ca="1" si="96"/>
        <v>0</v>
      </c>
      <c r="M605" s="64">
        <f t="shared" si="100"/>
        <v>0</v>
      </c>
      <c r="N605" s="61">
        <f t="shared" ca="1" si="101"/>
        <v>0</v>
      </c>
      <c r="O605" s="5">
        <f t="shared" ca="1" si="102"/>
        <v>0</v>
      </c>
      <c r="P605" s="446" t="e">
        <f t="shared" si="97"/>
        <v>#VALUE!</v>
      </c>
      <c r="Q605" s="446" t="e">
        <f>IF(OR($B605="",MIN(Q$38,$D$19)&lt;MAX($P$34*($B605+IF($R$17="Distrato",$I$38-1,0)),IF(AND($L$37=0,$P$34=0),"",$L$37-1),IF($R$17="Distrato",$E605,0))),0,YEARFRAC(MAX($P$34*($B605+IF($R$17="Distrato",$I$38-1,0)),IF(AND($L$37=0,$P$34=0),"",$L$37-1),IF($R$17="Distrato",$E605,0)),MIN(Q$38,$D$19),$P$20))-SUM($P605:P605)</f>
        <v>#VALUE!</v>
      </c>
      <c r="R605" s="446" t="e">
        <f>IF(OR($B605="",MIN(R$38,$D$19)&lt;MAX($P$34*($B605+IF($R$17="Distrato",$I$38-1,0)),IF(AND($L$37=0,$P$34=0),"",$L$37-1),IF($R$17="Distrato",$E605,0))),0,YEARFRAC(MAX($P$34*($B605+IF($R$17="Distrato",$I$38-1,0)),IF(AND($L$37=0,$P$34=0),"",$L$37-1),IF($R$17="Distrato",$E605,0)),MIN(R$38,$D$19),$P$20))-SUM($P605:Q605)</f>
        <v>#VALUE!</v>
      </c>
      <c r="S605" s="446" t="e">
        <f>IF(OR($B605="",MIN(S$38,$D$19)&lt;MAX($P$34*($B605+IF($R$17="Distrato",$I$38-1,0)),IF(AND($L$37=0,$P$34=0),"",$L$37-1),IF($R$17="Distrato",$E605,0))),0,YEARFRAC(MAX($P$34*($B605+IF($R$17="Distrato",$I$38-1,0)),IF(AND($L$37=0,$P$34=0),"",$L$37-1),IF($R$17="Distrato",$E605,0)),MIN(S$38,$D$19),$P$20))-SUM($P605:R605)</f>
        <v>#VALUE!</v>
      </c>
      <c r="T605" s="446" t="e">
        <f>IF(OR($B605="",MIN(T$38,$D$19)&lt;MAX($P$34*($B605+IF($R$17="Distrato",$I$38-1,0)),IF(AND($L$37=0,$P$34=0),"",$L$37-1),IF($R$17="Distrato",$E605,0))),0,YEARFRAC(MAX($P$34*($B605+IF($R$17="Distrato",$I$38-1,0)),IF(AND($L$37=0,$P$34=0),"",$L$37-1),IF($R$17="Distrato",$E605,0)),MIN(T$38,$D$19),$P$20))-SUM($P605:S605)</f>
        <v>#VALUE!</v>
      </c>
      <c r="U605" s="446" t="e">
        <f>IF(OR($B605="",MIN(U$38,$D$19)&lt;MAX($P$34*($B605+IF($R$17="Distrato",$I$38-1,0)),IF(AND($L$37=0,$P$34=0),"",$L$37-1),IF($R$17="Distrato",$E605,0))),0,YEARFRAC(MAX($P$34*($B605+IF($R$17="Distrato",$I$38-1,0)),IF(AND($L$37=0,$P$34=0),"",$L$37-1),IF($R$17="Distrato",$E605,0)),MIN(U$38,$D$19),$P$20))-SUM($P605:T605)</f>
        <v>#VALUE!</v>
      </c>
      <c r="V605" s="446" t="e">
        <f>IF(OR($B605="",MIN(V$38,$D$19)&lt;MAX($P$34*($B605+IF($R$17="Distrato",$I$38-1,0)),IF(AND($L$37=0,$P$34=0),"",$L$37-1),IF($R$17="Distrato",$E605,0))),0,YEARFRAC(MAX($P$34*($B605+IF($R$17="Distrato",$I$38-1,0)),IF(AND($L$37=0,$P$34=0),"",$L$37-1),IF($R$17="Distrato",$E605,0)),MIN(V$38,$D$19),$P$20))-SUM($P605:U605)</f>
        <v>#VALUE!</v>
      </c>
      <c r="W605" s="446" t="e">
        <f>IF(OR($B605="",MIN(W$38,$D$19)&lt;MAX($P$34*($B605+IF($R$17="Distrato",$I$38-1,0)),IF(AND($L$37=0,$P$34=0),"",$L$37-1),IF($R$17="Distrato",$E605,0))),0,YEARFRAC(MAX($P$34*($B605+IF($R$17="Distrato",$I$38-1,0)),IF(AND($L$37=0,$P$34=0),"",$L$37-1),IF($R$17="Distrato",$E605,0)),MIN(W$38,$D$19),$P$20))-SUM($P605:V605)</f>
        <v>#VALUE!</v>
      </c>
      <c r="X605" s="446" t="e">
        <f>IF(OR($B605="",MIN(X$38,$D$19)&lt;MAX($P$34*($B605+IF($R$17="Distrato",$I$38-1,0)),IF(AND($L$37=0,$P$34=0),"",$L$37-1),IF($R$17="Distrato",$E605,0))),0,YEARFRAC(MAX($P$34*($B605+IF($R$17="Distrato",$I$38-1,0)),IF(AND($L$37=0,$P$34=0),"",$L$37-1),IF($R$17="Distrato",$E605,0)),MIN(X$38,$D$19),$P$20))-SUM($P605:W605)</f>
        <v>#VALUE!</v>
      </c>
      <c r="Y605" s="446" t="e">
        <f>IF(OR($B605="",MIN(Y$38,$D$19)&lt;MAX($P$34*($B605+IF($R$17="Distrato",$I$38-1,0)),IF(AND($L$37=0,$P$34=0),"",$L$37-1),IF($R$17="Distrato",$E605,0))),0,YEARFRAC(MAX($P$34*($B605+IF($R$17="Distrato",$I$38-1,0)),IF(AND($L$37=0,$P$34=0),"",$L$37-1),IF($R$17="Distrato",$E605,0)),MIN(Y$38,$D$19),$P$20))-SUM($P605:X605)</f>
        <v>#VALUE!</v>
      </c>
      <c r="Z605" s="446" t="e">
        <f>IF(OR($B605="",MIN(Z$38,$D$19)&lt;MAX($P$34*($B605+IF($R$17="Distrato",$I$38-1,0)),IF(AND($L$37=0,$P$34=0),"",$L$37-1),IF($R$17="Distrato",$E605,0))),0,YEARFRAC(MAX($P$34*($B605+IF($R$17="Distrato",$I$38-1,0)),IF(AND($L$37=0,$P$34=0),"",$L$37-1),IF($R$17="Distrato",$E605,0)),MIN(Z$38,$D$19),$P$20))-SUM($P605:Y605)</f>
        <v>#VALUE!</v>
      </c>
      <c r="AA605" s="446" t="e">
        <f>IF(OR($B605="",MIN(AA$38,$D$19)&lt;MAX($P$34*($B605+IF($R$17="Distrato",$I$38-1,0)),IF(AND($L$37=0,$P$34=0),"",$L$37-1),IF($R$17="Distrato",$E605,0))),0,YEARFRAC(MAX($P$34*($B605+IF($R$17="Distrato",$I$38-1,0)),IF(AND($L$37=0,$P$34=0),"",$L$37-1),IF($R$17="Distrato",$E605,0)),MIN(AA$38,$D$19),$P$20))-SUM($P605:Z605)</f>
        <v>#VALUE!</v>
      </c>
      <c r="AB605" s="446" t="e">
        <f>IF(OR($B605="",MIN(AB$38,$D$19)&lt;MAX($P$34*($B605+IF($R$17="Distrato",$I$38-1,0)),IF(AND($L$37=0,$P$34=0),"",$L$37-1),IF($R$17="Distrato",$E605,0))),0,YEARFRAC(MAX($P$34*($B605+IF($R$17="Distrato",$I$38-1,0)),IF(AND($L$37=0,$P$34=0),"",$L$37-1),IF($R$17="Distrato",$E605,0)),MIN(AB$38,$D$19),$P$20))-SUM($P605:AA605)</f>
        <v>#VALUE!</v>
      </c>
      <c r="AC605" s="446" t="e">
        <f>IF(OR($B605="",MIN(AC$38,$D$19)&lt;MAX($P$34*($B605+IF($R$17="Distrato",$I$38-1,0)),IF(AND($L$37=0,$P$34=0),"",$L$37-1),IF($R$17="Distrato",$E605,0))),0,YEARFRAC(MAX($P$34*($B605+IF($R$17="Distrato",$I$38-1,0)),IF(AND($L$37=0,$P$34=0),"",$L$37-1),IF($R$17="Distrato",$E605,0)),MIN(AC$38,$D$19),$P$20))-SUM($P605:AB605)</f>
        <v>#VALUE!</v>
      </c>
      <c r="AD605" s="446" t="e">
        <f>IF(OR($B605="",MIN(AD$38,$D$19)&lt;MAX($P$34*($B605+IF($R$17="Distrato",$I$38-1,0)),IF(AND($L$37=0,$P$34=0),"",$L$37-1),IF($R$17="Distrato",$E605,0))),0,YEARFRAC(MAX($P$34*($B605+IF($R$17="Distrato",$I$38-1,0)),IF(AND($L$37=0,$P$34=0),"",$L$37-1),IF($R$17="Distrato",$E605,0)),MIN(AD$38,$D$19),$P$20))-SUM($P605:AC605)</f>
        <v>#VALUE!</v>
      </c>
      <c r="AE605" s="446" t="e">
        <f>IF(OR($B605="",MIN(AE$38,$D$19)&lt;MAX($P$34*($B605+IF($R$17="Distrato",$I$38-1,0)),IF(AND($L$37=0,$P$34=0),"",$L$37-1),IF($R$17="Distrato",$E605,0))),0,YEARFRAC(MAX($P$34*($B605+IF($R$17="Distrato",$I$38-1,0)),IF(AND($L$37=0,$P$34=0),"",$L$37-1),IF($R$17="Distrato",$E605,0)),MIN(AE$38,$D$19),$P$20))-SUM($P605:AD605)</f>
        <v>#VALUE!</v>
      </c>
      <c r="AF605" s="446" t="e">
        <f>IF(OR($B605="",MIN(AF$38,$D$19)&lt;MAX($P$34*($B605+IF($R$17="Distrato",$I$38-1,0)),IF(AND($L$37=0,$P$34=0),"",$L$37-1),IF($R$17="Distrato",$E605,0))),0,YEARFRAC(MAX($P$34*($B605+IF($R$17="Distrato",$I$38-1,0)),IF(AND($L$37=0,$P$34=0),"",$L$37-1),IF($R$17="Distrato",$E605,0)),MIN(AF$38,$D$19),$P$20))-SUM($P605:AE605)</f>
        <v>#VALUE!</v>
      </c>
      <c r="AG605" s="446" t="e">
        <f>IF(OR($B605="",MIN(AG$38,$D$19)&lt;MAX($P$34*($B605+IF($R$17="Distrato",$I$38-1,0)),IF(AND($L$37=0,$P$34=0),"",$L$37-1),IF($R$17="Distrato",$E605,0))),0,YEARFRAC(MAX($P$34*($B605+IF($R$17="Distrato",$I$38-1,0)),IF(AND($L$37=0,$P$34=0),"",$L$37-1),IF($R$17="Distrato",$E605,0)),MIN(AG$38,$D$19),$P$20))-SUM($P605:AF605)</f>
        <v>#VALUE!</v>
      </c>
      <c r="AH605" s="446" t="e">
        <f>IF(OR($B605="",MIN(AH$38,$D$19)&lt;MAX($P$34*($B605+IF($R$17="Distrato",$I$38-1,0)),IF(AND($L$37=0,$P$34=0),"",$L$37-1),IF($R$17="Distrato",$E605,0))),0,YEARFRAC(MAX($P$34*($B605+IF($R$17="Distrato",$I$38-1,0)),IF(AND($L$37=0,$P$34=0),"",$L$37-1),IF($R$17="Distrato",$E605,0)),MIN(AH$38,$D$19),$P$20))-SUM($P605:AG605)</f>
        <v>#VALUE!</v>
      </c>
      <c r="AI605" s="446" t="e">
        <f>IF(OR($B605="",MIN(AI$38,$D$19)&lt;MAX($P$34*($B605+IF($R$17="Distrato",$I$38-1,0)),IF(AND($L$37=0,$P$34=0),"",$L$37-1),IF($R$17="Distrato",$E605,0))),0,YEARFRAC(MAX($P$34*($B605+IF($R$17="Distrato",$I$38-1,0)),IF(AND($L$37=0,$P$34=0),"",$L$37-1),IF($R$17="Distrato",$E605,0)),MIN(AI$38,$D$19),$P$20))-SUM($P605:AH605)</f>
        <v>#VALUE!</v>
      </c>
      <c r="AJ605" s="446" t="e">
        <f>IF(OR($B605="",MIN(AJ$38,$D$19)&lt;MAX($P$34*($B605+IF($R$17="Distrato",$I$38-1,0)),IF(AND($L$37=0,$P$34=0),"",$L$37-1),IF($R$17="Distrato",$E605,0))),0,YEARFRAC(MAX($P$34*($B605+IF($R$17="Distrato",$I$38-1,0)),IF(AND($L$37=0,$P$34=0),"",$L$37-1),IF($R$17="Distrato",$E605,0)),MIN(AJ$38,$D$19),$P$20))-SUM($P605:AI605)</f>
        <v>#VALUE!</v>
      </c>
      <c r="AK605" s="446" t="e">
        <f>IF(OR($B605="",MIN(AK$38,$D$19)&lt;MAX($P$34*($B605+IF($R$17="Distrato",$I$38-1,0)),IF(AND($L$37=0,$P$34=0),"",$L$37-1),IF($R$17="Distrato",$E605,0))),0,YEARFRAC(MAX($P$34*($B605+IF($R$17="Distrato",$I$38-1,0)),IF(AND($L$37=0,$P$34=0),"",$L$37-1),IF($R$17="Distrato",$E605,0)),MIN(AK$38,$D$19),$P$20))-SUM($P605:AJ605)</f>
        <v>#VALUE!</v>
      </c>
      <c r="AL605" s="446" t="e">
        <f>IF(OR($B605="",MIN(AL$38,$D$19)&lt;MAX($P$34*($B605+IF($R$17="Distrato",$I$38-1,0)),IF(AND($L$37=0,$P$34=0),"",$L$37-1),IF($R$17="Distrato",$E605,0))),0,YEARFRAC(MAX($P$34*($B605+IF($R$17="Distrato",$I$38-1,0)),IF(AND($L$37=0,$P$34=0),"",$L$37-1),IF($R$17="Distrato",$E605,0)),MIN(AL$38,$D$19),$P$20))-SUM($P605:AK605)</f>
        <v>#VALUE!</v>
      </c>
      <c r="AM605" s="446" t="e">
        <f>IF(OR($B605="",MIN(AM$38,$D$19)&lt;MAX($P$34*($B605+IF($R$17="Distrato",$I$38-1,0)),IF(AND($L$37=0,$P$34=0),"",$L$37-1),IF($R$17="Distrato",$E605,0))),0,YEARFRAC(MAX($P$34*($B605+IF($R$17="Distrato",$I$38-1,0)),IF(AND($L$37=0,$P$34=0),"",$L$37-1),IF($R$17="Distrato",$E605,0)),MIN(AM$38,$D$19),$P$20))-SUM($P605:AL605)</f>
        <v>#VALUE!</v>
      </c>
      <c r="AN605" s="446" t="e">
        <f>IF(OR($B605="",MIN(AN$38,$D$19)&lt;MAX($P$34*($B605+IF($R$17="Distrato",$I$38-1,0)),IF(AND($L$37=0,$P$34=0),"",$L$37-1),IF($R$17="Distrato",$E605,0))),0,YEARFRAC(MAX($P$34*($B605+IF($R$17="Distrato",$I$38-1,0)),IF(AND($L$37=0,$P$34=0),"",$L$37-1),IF($R$17="Distrato",$E605,0)),MIN(AN$38,$D$19),$P$20))-SUM($P605:AM605)</f>
        <v>#VALUE!</v>
      </c>
      <c r="AO605" s="446" t="e">
        <f>IF(OR($B605="",MIN(AO$38,$D$19)&lt;MAX($P$34*($B605+IF($R$17="Distrato",$I$38-1,0)),IF(AND($L$37=0,$P$34=0),"",$L$37-1),IF($R$17="Distrato",$E605,0))),0,YEARFRAC(MAX($P$34*($B605+IF($R$17="Distrato",$I$38-1,0)),IF(AND($L$37=0,$P$34=0),"",$L$37-1),IF($R$17="Distrato",$E605,0)),MIN(AO$38,$D$19),$P$20))-SUM($P605:AN605)</f>
        <v>#VALUE!</v>
      </c>
      <c r="AP605" s="446" t="e">
        <f>IF(OR($B605="",MIN(AP$38,$D$19)&lt;MAX($P$34*($B605+IF($R$17="Distrato",$I$38-1,0)),IF(AND($L$37=0,$P$34=0),"",$L$37-1),IF($R$17="Distrato",$E605,0))),0,YEARFRAC(MAX($P$34*($B605+IF($R$17="Distrato",$I$38-1,0)),IF(AND($L$37=0,$P$34=0),"",$L$37-1),IF($R$17="Distrato",$E605,0)),MIN(AP$38,$D$19),$P$20))-SUM($P605:AO605)</f>
        <v>#VALUE!</v>
      </c>
      <c r="AQ605" s="446" t="e">
        <f>IF(OR($B605="",MIN(AQ$38,$D$19)&lt;MAX($P$34*($B605+IF($R$17="Distrato",$I$38-1,0)),IF(AND($L$37=0,$P$34=0),"",$L$37-1),IF($R$17="Distrato",$E605,0))),0,YEARFRAC(MAX($P$34*($B605+IF($R$17="Distrato",$I$38-1,0)),IF(AND($L$37=0,$P$34=0),"",$L$37-1),IF($R$17="Distrato",$E605,0)),MIN(AQ$38,$D$19),$P$20))-SUM($P605:AP605)</f>
        <v>#VALUE!</v>
      </c>
      <c r="AR605" s="446" t="e">
        <f>IF(OR($B605="",MIN(AR$38,$D$19)&lt;MAX($P$34*($B605+IF($R$17="Distrato",$I$38-1,0)),IF(AND($L$37=0,$P$34=0),"",$L$37-1),IF($R$17="Distrato",$E605,0))),0,YEARFRAC(MAX($P$34*($B605+IF($R$17="Distrato",$I$38-1,0)),IF(AND($L$37=0,$P$34=0),"",$L$37-1),IF($R$17="Distrato",$E605,0)),MIN(AR$38,$D$19),$P$20))-SUM($P605:AQ605)</f>
        <v>#VALUE!</v>
      </c>
      <c r="AS605" s="446" t="e">
        <f>IF(OR($B605="",MIN(AS$38,$D$19)&lt;MAX($P$34*($B605+IF($R$17="Distrato",$I$38-1,0)),IF(AND($L$37=0,$P$34=0),"",$L$37-1),IF($R$17="Distrato",$E605,0))),0,YEARFRAC(MAX($P$34*($B605+IF($R$17="Distrato",$I$38-1,0)),IF(AND($L$37=0,$P$34=0),"",$L$37-1),IF($R$17="Distrato",$E605,0)),MIN(AS$38,$D$19),$P$20))-SUM($P605:AR605)</f>
        <v>#VALUE!</v>
      </c>
      <c r="AT605" s="446" t="e">
        <f>IF(OR($B605="",MIN(AT$38,$D$19)&lt;MAX($P$34*($B605+IF($R$17="Distrato",$I$38-1,0)),IF(AND($L$37=0,$P$34=0),"",$L$37-1),IF($R$17="Distrato",$E605,0))),0,YEARFRAC(MAX($P$34*($B605+IF($R$17="Distrato",$I$38-1,0)),IF(AND($L$37=0,$P$34=0),"",$L$37-1),IF($R$17="Distrato",$E605,0)),MIN(AT$38,$D$19),$P$20))-SUM($P605:AS605)</f>
        <v>#VALUE!</v>
      </c>
      <c r="AU605" s="446" t="e">
        <f>IF(OR($B605="",MIN(AU$38,$D$19)&lt;MAX($P$34*($B605+IF($R$17="Distrato",$I$38-1,0)),IF(AND($L$37=0,$P$34=0),"",$L$37-1),IF($R$17="Distrato",$E605,0))),0,YEARFRAC(MAX($P$34*($B605+IF($R$17="Distrato",$I$38-1,0)),IF(AND($L$37=0,$P$34=0),"",$L$37-1),IF($R$17="Distrato",$E605,0)),MIN(AU$38,$D$19),$P$20))-SUM($P605:AT605)</f>
        <v>#VALUE!</v>
      </c>
      <c r="AV605" s="446" t="e">
        <f>IF(OR($B605="",MIN(AV$38,$D$19)&lt;MAX($P$34*($B605+IF($R$17="Distrato",$I$38-1,0)),IF(AND($L$37=0,$P$34=0),"",$L$37-1),IF($R$17="Distrato",$E605,0))),0,YEARFRAC(MAX($P$34*($B605+IF($R$17="Distrato",$I$38-1,0)),IF(AND($L$37=0,$P$34=0),"",$L$37-1),IF($R$17="Distrato",$E605,0)),MIN(AV$38,$D$19),$P$20))-SUM($P605:AU605)</f>
        <v>#VALUE!</v>
      </c>
      <c r="AW605" s="446" t="e">
        <f>IF(OR($B605="",MIN(AW$38,$D$19)&lt;MAX($P$34*($B605+IF($R$17="Distrato",$I$38-1,0)),IF(AND($L$37=0,$P$34=0),"",$L$37-1),IF($R$17="Distrato",$E605,0))),0,YEARFRAC(MAX($P$34*($B605+IF($R$17="Distrato",$I$38-1,0)),IF(AND($L$37=0,$P$34=0),"",$L$37-1),IF($R$17="Distrato",$E605,0)),MIN(AW$38,$D$19),$P$20))-SUM($P605:AV605)</f>
        <v>#VALUE!</v>
      </c>
      <c r="AX605" s="446" t="e">
        <f>IF(OR($B605="",MIN(AX$38,$D$19)&lt;MAX($P$34*($B605+IF($R$17="Distrato",$I$38-1,0)),IF(AND($L$37=0,$P$34=0),"",$L$37-1),IF($R$17="Distrato",$E605,0))),0,YEARFRAC(MAX($P$34*($B605+IF($R$17="Distrato",$I$38-1,0)),IF(AND($L$37=0,$P$34=0),"",$L$37-1),IF($R$17="Distrato",$E605,0)),MIN(AX$38,$D$19),$P$20))-SUM($P605:AW605)</f>
        <v>#VALUE!</v>
      </c>
      <c r="AY605" s="446" t="e">
        <f>IF(OR($B605="",MIN(AY$38,$D$19)&lt;MAX($P$34*($B605+IF($R$17="Distrato",$I$38-1,0)),IF(AND($L$37=0,$P$34=0),"",$L$37-1),IF($R$17="Distrato",$E605,0))),0,YEARFRAC(MAX($P$34*($B605+IF($R$17="Distrato",$I$38-1,0)),IF(AND($L$37=0,$P$34=0),"",$L$37-1),IF($R$17="Distrato",$E605,0)),MIN(AY$38,$D$19),$P$20))-SUM($P605:AX605)</f>
        <v>#VALUE!</v>
      </c>
      <c r="AZ605" s="446" t="e">
        <f>IF(OR($B605="",MIN(AZ$38,$D$19)&lt;MAX($P$34*($B605+IF($R$17="Distrato",$I$38-1,0)),IF(AND($L$37=0,$P$34=0),"",$L$37-1),IF($R$17="Distrato",$E605,0))),0,YEARFRAC(MAX($P$34*($B605+IF($R$17="Distrato",$I$38-1,0)),IF(AND($L$37=0,$P$34=0),"",$L$37-1),IF($R$17="Distrato",$E605,0)),MIN(AZ$38,$D$19),$P$20))-SUM($P605:AY605)</f>
        <v>#VALUE!</v>
      </c>
      <c r="BA605" s="446" t="e">
        <f>IF(OR($B605="",MIN(BA$38,$D$19)&lt;MAX($P$34*($B605+IF($R$17="Distrato",$I$38-1,0)),IF(AND($L$37=0,$P$34=0),"",$L$37-1),IF($R$17="Distrato",$E605,0))),0,YEARFRAC(MAX($P$34*($B605+IF($R$17="Distrato",$I$38-1,0)),IF(AND($L$37=0,$P$34=0),"",$L$37-1),IF($R$17="Distrato",$E605,0)),MIN(BA$38,$D$19),$P$20))-SUM($P605:AZ605)</f>
        <v>#VALUE!</v>
      </c>
      <c r="BB605" s="447"/>
      <c r="BF605" s="446">
        <f t="shared" si="98"/>
        <v>0</v>
      </c>
      <c r="BG605" s="446">
        <f>IF($E605=0,0,IF(MIN(BG$38,$E605)&lt;MAX($P$34*($B605+$I$38-1),IF(AND($L$37=0,$P$34=0),"",$L$37-1)),0,YEARFRAC(MAX($P$34*($B605+$I$38-1),IF(AND($L$37=0,$P$34=0),"",$L$37-1)),MIN(BG$38,$E605),$P$20))-SUM($BF605:BF605))</f>
        <v>0</v>
      </c>
      <c r="BH605" s="446">
        <f>IF($E605=0,0,IF(MIN(BH$38,$E605)&lt;MAX($P$34*($B605+$I$38-1),IF(AND($L$37=0,$P$34=0),"",$L$37-1)),0,YEARFRAC(MAX($P$34*($B605+$I$38-1),IF(AND($L$37=0,$P$34=0),"",$L$37-1)),MIN(BH$38,$E605),$P$20))-SUM($BF605:BG605))</f>
        <v>0</v>
      </c>
      <c r="BI605" s="446">
        <f>IF($E605=0,0,IF(MIN(BI$38,$E605)&lt;MAX($P$34*($B605+$I$38-1),IF(AND($L$37=0,$P$34=0),"",$L$37-1)),0,YEARFRAC(MAX($P$34*($B605+$I$38-1),IF(AND($L$37=0,$P$34=0),"",$L$37-1)),MIN(BI$38,$E605),$P$20))-SUM($BF605:BH605))</f>
        <v>0</v>
      </c>
      <c r="BJ605" s="446">
        <f>IF($E605=0,0,IF(MIN(BJ$38,$E605)&lt;MAX($P$34*($B605+$I$38-1),IF(AND($L$37=0,$P$34=0),"",$L$37-1)),0,YEARFRAC(MAX($P$34*($B605+$I$38-1),IF(AND($L$37=0,$P$34=0),"",$L$37-1)),MIN(BJ$38,$E605),$P$20))-SUM($BF605:BI605))</f>
        <v>0</v>
      </c>
      <c r="BK605" s="446">
        <f>IF($E605=0,0,IF(MIN(BK$38,$E605)&lt;MAX($P$34*($B605+$I$38-1),IF(AND($L$37=0,$P$34=0),"",$L$37-1)),0,YEARFRAC(MAX($P$34*($B605+$I$38-1),IF(AND($L$37=0,$P$34=0),"",$L$37-1)),MIN(BK$38,$E605),$P$20))-SUM($BF605:BJ605))</f>
        <v>0</v>
      </c>
      <c r="BL605" s="446">
        <f>IF($E605=0,0,IF(MIN(BL$38,$E605)&lt;MAX($P$34*($B605+$I$38-1),IF(AND($L$37=0,$P$34=0),"",$L$37-1)),0,YEARFRAC(MAX($P$34*($B605+$I$38-1),IF(AND($L$37=0,$P$34=0),"",$L$37-1)),MIN(BL$38,$E605),$P$20))-SUM($BF605:BK605))</f>
        <v>0</v>
      </c>
      <c r="BM605" s="446">
        <f>IF($E605=0,0,IF(MIN(BM$38,$E605)&lt;MAX($P$34*($B605+$I$38-1),IF(AND($L$37=0,$P$34=0),"",$L$37-1)),0,YEARFRAC(MAX($P$34*($B605+$I$38-1),IF(AND($L$37=0,$P$34=0),"",$L$37-1)),MIN(BM$38,$E605),$P$20))-SUM($BF605:BL605))</f>
        <v>0</v>
      </c>
      <c r="BN605" s="446">
        <f>IF($E605=0,0,IF(MIN(BN$38,$E605)&lt;MAX($P$34*($B605+$I$38-1),IF(AND($L$37=0,$P$34=0),"",$L$37-1)),0,YEARFRAC(MAX($P$34*($B605+$I$38-1),IF(AND($L$37=0,$P$34=0),"",$L$37-1)),MIN(BN$38,$E605),$P$20))-SUM($BF605:BM605))</f>
        <v>0</v>
      </c>
      <c r="BO605" s="446">
        <f>IF($E605=0,0,IF(MIN(BO$38,$E605)&lt;MAX($P$34*($B605+$I$38-1),IF(AND($L$37=0,$P$34=0),"",$L$37-1)),0,YEARFRAC(MAX($P$34*($B605+$I$38-1),IF(AND($L$37=0,$P$34=0),"",$L$37-1)),MIN(BO$38,$E605),$P$20))-SUM($BF605:BN605))</f>
        <v>0</v>
      </c>
      <c r="BP605" s="446">
        <f>IF($E605=0,0,IF(MIN(BP$38,$E605)&lt;MAX($P$34*($B605+$I$38-1),IF(AND($L$37=0,$P$34=0),"",$L$37-1)),0,YEARFRAC(MAX($P$34*($B605+$I$38-1),IF(AND($L$37=0,$P$34=0),"",$L$37-1)),MIN(BP$38,$E605),$P$20))-SUM($BF605:BO605))</f>
        <v>0</v>
      </c>
      <c r="BQ605" s="446">
        <f>IF($E605=0,0,IF(MIN(BQ$38,$E605)&lt;MAX($P$34*($B605+$I$38-1),IF(AND($L$37=0,$P$34=0),"",$L$37-1)),0,YEARFRAC(MAX($P$34*($B605+$I$38-1),IF(AND($L$37=0,$P$34=0),"",$L$37-1)),MIN(BQ$38,$E605),$P$20))-SUM($BF605:BP605))</f>
        <v>0</v>
      </c>
      <c r="BR605" s="446">
        <f>IF($E605=0,0,IF(MIN(BR$38,$E605)&lt;MAX($P$34*($B605+$I$38-1),IF(AND($L$37=0,$P$34=0),"",$L$37-1)),0,YEARFRAC(MAX($P$34*($B605+$I$38-1),IF(AND($L$37=0,$P$34=0),"",$L$37-1)),MIN(BR$38,$E605),$P$20))-SUM($BF605:BQ605))</f>
        <v>0</v>
      </c>
      <c r="BS605" s="446">
        <f>IF($E605=0,0,IF(MIN(BS$38,$E605)&lt;MAX($P$34*($B605+$I$38-1),IF(AND($L$37=0,$P$34=0),"",$L$37-1)),0,YEARFRAC(MAX($P$34*($B605+$I$38-1),IF(AND($L$37=0,$P$34=0),"",$L$37-1)),MIN(BS$38,$E605),$P$20))-SUM($BF605:BR605))</f>
        <v>0</v>
      </c>
      <c r="BT605" s="446">
        <f>IF($E605=0,0,IF(MIN(BT$38,$E605)&lt;MAX($P$34*($B605+$I$38-1),IF(AND($L$37=0,$P$34=0),"",$L$37-1)),0,YEARFRAC(MAX($P$34*($B605+$I$38-1),IF(AND($L$37=0,$P$34=0),"",$L$37-1)),MIN(BT$38,$E605),$P$20))-SUM($BF605:BS605))</f>
        <v>0</v>
      </c>
      <c r="BU605" s="446">
        <f>IF($E605=0,0,IF(MIN(BU$38,$E605)&lt;MAX($P$34*($B605+$I$38-1),IF(AND($L$37=0,$P$34=0),"",$L$37-1)),0,YEARFRAC(MAX($P$34*($B605+$I$38-1),IF(AND($L$37=0,$P$34=0),"",$L$37-1)),MIN(BU$38,$E605),$P$20))-SUM($BF605:BT605))</f>
        <v>0</v>
      </c>
      <c r="BV605" s="446">
        <f>IF($E605=0,0,IF(MIN(BV$38,$E605)&lt;MAX($P$34*($B605+$I$38-1),IF(AND($L$37=0,$P$34=0),"",$L$37-1)),0,YEARFRAC(MAX($P$34*($B605+$I$38-1),IF(AND($L$37=0,$P$34=0),"",$L$37-1)),MIN(BV$38,$E605),$P$20))-SUM($BF605:BU605))</f>
        <v>0</v>
      </c>
      <c r="BW605" s="446">
        <f>IF($E605=0,0,IF(MIN(BW$38,$E605)&lt;MAX($P$34*($B605+$I$38-1),IF(AND($L$37=0,$P$34=0),"",$L$37-1)),0,YEARFRAC(MAX($P$34*($B605+$I$38-1),IF(AND($L$37=0,$P$34=0),"",$L$37-1)),MIN(BW$38,$E605),$P$20))-SUM($BF605:BV605))</f>
        <v>0</v>
      </c>
      <c r="BX605" s="446">
        <f>IF($E605=0,0,IF(MIN(BX$38,$E605)&lt;MAX($P$34*($B605+$I$38-1),IF(AND($L$37=0,$P$34=0),"",$L$37-1)),0,YEARFRAC(MAX($P$34*($B605+$I$38-1),IF(AND($L$37=0,$P$34=0),"",$L$37-1)),MIN(BX$38,$E605),$P$20))-SUM($BF605:BW605))</f>
        <v>0</v>
      </c>
      <c r="BY605" s="446">
        <f>IF($E605=0,0,IF(MIN(BY$38,$E605)&lt;MAX($P$34*($B605+$I$38-1),IF(AND($L$37=0,$P$34=0),"",$L$37-1)),0,YEARFRAC(MAX($P$34*($B605+$I$38-1),IF(AND($L$37=0,$P$34=0),"",$L$37-1)),MIN(BY$38,$E605),$P$20))-SUM($BF605:BX605))</f>
        <v>0</v>
      </c>
      <c r="BZ605" s="446">
        <f>IF($E605=0,0,IF(MIN(BZ$38,$E605)&lt;MAX($P$34*($B605+$I$38-1),IF(AND($L$37=0,$P$34=0),"",$L$37-1)),0,YEARFRAC(MAX($P$34*($B605+$I$38-1),IF(AND($L$37=0,$P$34=0),"",$L$37-1)),MIN(BZ$38,$E605),$P$20))-SUM($BF605:BY605))</f>
        <v>0</v>
      </c>
      <c r="CA605" s="446">
        <f>IF($E605=0,0,IF(MIN(CA$38,$E605)&lt;MAX($P$34*($B605+$I$38-1),IF(AND($L$37=0,$P$34=0),"",$L$37-1)),0,YEARFRAC(MAX($P$34*($B605+$I$38-1),IF(AND($L$37=0,$P$34=0),"",$L$37-1)),MIN(CA$38,$E605),$P$20))-SUM($BF605:BZ605))</f>
        <v>0</v>
      </c>
      <c r="CB605" s="446">
        <f>IF($E605=0,0,IF(MIN(CB$38,$E605)&lt;MAX($P$34*($B605+$I$38-1),IF(AND($L$37=0,$P$34=0),"",$L$37-1)),0,YEARFRAC(MAX($P$34*($B605+$I$38-1),IF(AND($L$37=0,$P$34=0),"",$L$37-1)),MIN(CB$38,$E605),$P$20))-SUM($BF605:CA605))</f>
        <v>0</v>
      </c>
      <c r="CC605" s="446">
        <f>IF($E605=0,0,IF(MIN(CC$38,$E605)&lt;MAX($P$34*($B605+$I$38-1),IF(AND($L$37=0,$P$34=0),"",$L$37-1)),0,YEARFRAC(MAX($P$34*($B605+$I$38-1),IF(AND($L$37=0,$P$34=0),"",$L$37-1)),MIN(CC$38,$E605),$P$20))-SUM($BF605:CB605))</f>
        <v>0</v>
      </c>
      <c r="CD605" s="446">
        <f>IF($E605=0,0,IF(MIN(CD$38,$E605)&lt;MAX($P$34*($B605+$I$38-1),IF(AND($L$37=0,$P$34=0),"",$L$37-1)),0,YEARFRAC(MAX($P$34*($B605+$I$38-1),IF(AND($L$37=0,$P$34=0),"",$L$37-1)),MIN(CD$38,$E605),$P$20))-SUM($BF605:CC605))</f>
        <v>0</v>
      </c>
      <c r="CE605" s="446">
        <f>IF($E605=0,0,IF(MIN(CE$38,$E605)&lt;MAX($P$34*($B605+$I$38-1),IF(AND($L$37=0,$P$34=0),"",$L$37-1)),0,YEARFRAC(MAX($P$34*($B605+$I$38-1),IF(AND($L$37=0,$P$34=0),"",$L$37-1)),MIN(CE$38,$E605),$P$20))-SUM($BF605:CD605))</f>
        <v>0</v>
      </c>
      <c r="CF605" s="446">
        <f>IF($E605=0,0,IF(MIN(CF$38,$E605)&lt;MAX($P$34*($B605+$I$38-1),IF(AND($L$37=0,$P$34=0),"",$L$37-1)),0,YEARFRAC(MAX($P$34*($B605+$I$38-1),IF(AND($L$37=0,$P$34=0),"",$L$37-1)),MIN(CF$38,$E605),$P$20))-SUM($BF605:CE605))</f>
        <v>0</v>
      </c>
      <c r="CG605" s="446">
        <f>IF($E605=0,0,IF(MIN(CG$38,$E605)&lt;MAX($P$34*($B605+$I$38-1),IF(AND($L$37=0,$P$34=0),"",$L$37-1)),0,YEARFRAC(MAX($P$34*($B605+$I$38-1),IF(AND($L$37=0,$P$34=0),"",$L$37-1)),MIN(CG$38,$E605),$P$20))-SUM($BF605:CF605))</f>
        <v>0</v>
      </c>
      <c r="CH605" s="446">
        <f>IF($E605=0,0,IF(MIN(CH$38,$E605)&lt;MAX($P$34*($B605+$I$38-1),IF(AND($L$37=0,$P$34=0),"",$L$37-1)),0,YEARFRAC(MAX($P$34*($B605+$I$38-1),IF(AND($L$37=0,$P$34=0),"",$L$37-1)),MIN(CH$38,$E605),$P$20))-SUM($BF605:CG605))</f>
        <v>0</v>
      </c>
      <c r="CI605" s="446">
        <f>IF($E605=0,0,IF(MIN(CI$38,$E605)&lt;MAX($P$34*($B605+$I$38-1),IF(AND($L$37=0,$P$34=0),"",$L$37-1)),0,YEARFRAC(MAX($P$34*($B605+$I$38-1),IF(AND($L$37=0,$P$34=0),"",$L$37-1)),MIN(CI$38,$E605),$P$20))-SUM($BF605:CH605))</f>
        <v>0</v>
      </c>
      <c r="CJ605" s="446">
        <f>IF($E605=0,0,IF(MIN(CJ$38,$E605)&lt;MAX($P$34*($B605+$I$38-1),IF(AND($L$37=0,$P$34=0),"",$L$37-1)),0,YEARFRAC(MAX($P$34*($B605+$I$38-1),IF(AND($L$37=0,$P$34=0),"",$L$37-1)),MIN(CJ$38,$E605),$P$20))-SUM($BF605:CI605))</f>
        <v>0</v>
      </c>
      <c r="CK605" s="446">
        <f>IF($E605=0,0,IF(MIN(CK$38,$E605)&lt;MAX($P$34*($B605+$I$38-1),IF(AND($L$37=0,$P$34=0),"",$L$37-1)),0,YEARFRAC(MAX($P$34*($B605+$I$38-1),IF(AND($L$37=0,$P$34=0),"",$L$37-1)),MIN(CK$38,$E605),$P$20))-SUM($BF605:CJ605))</f>
        <v>0</v>
      </c>
      <c r="CL605" s="446">
        <f>IF($E605=0,0,IF(MIN(CL$38,$E605)&lt;MAX($P$34*($B605+$I$38-1),IF(AND($L$37=0,$P$34=0),"",$L$37-1)),0,YEARFRAC(MAX($P$34*($B605+$I$38-1),IF(AND($L$37=0,$P$34=0),"",$L$37-1)),MIN(CL$38,$E605),$P$20))-SUM($BF605:CK605))</f>
        <v>0</v>
      </c>
      <c r="CM605" s="446">
        <f>IF($E605=0,0,IF(MIN(CM$38,$E605)&lt;MAX($P$34*($B605+$I$38-1),IF(AND($L$37=0,$P$34=0),"",$L$37-1)),0,YEARFRAC(MAX($P$34*($B605+$I$38-1),IF(AND($L$37=0,$P$34=0),"",$L$37-1)),MIN(CM$38,$E605),$P$20))-SUM($BF605:CL605))</f>
        <v>0</v>
      </c>
      <c r="CN605" s="446">
        <f>IF($E605=0,0,IF(MIN(CN$38,$E605)&lt;MAX($P$34*($B605+$I$38-1),IF(AND($L$37=0,$P$34=0),"",$L$37-1)),0,YEARFRAC(MAX($P$34*($B605+$I$38-1),IF(AND($L$37=0,$P$34=0),"",$L$37-1)),MIN(CN$38,$E605),$P$20))-SUM($BF605:CM605))</f>
        <v>0</v>
      </c>
      <c r="CO605" s="446">
        <f>IF($E605=0,0,IF(MIN(CO$38,$E605)&lt;MAX($P$34*($B605+$I$38-1),IF(AND($L$37=0,$P$34=0),"",$L$37-1)),0,YEARFRAC(MAX($P$34*($B605+$I$38-1),IF(AND($L$37=0,$P$34=0),"",$L$37-1)),MIN(CO$38,$E605),$P$20))-SUM($BF605:CN605))</f>
        <v>0</v>
      </c>
      <c r="CP605" s="446">
        <f>IF($E605=0,0,IF(MIN(CP$38,$E605)&lt;MAX($P$34*($B605+$I$38-1),IF(AND($L$37=0,$P$34=0),"",$L$37-1)),0,YEARFRAC(MAX($P$34*($B605+$I$38-1),IF(AND($L$37=0,$P$34=0),"",$L$37-1)),MIN(CP$38,$E605),$P$20))-SUM($BF605:CO605))</f>
        <v>0</v>
      </c>
      <c r="CQ605" s="446">
        <f>IF($E605=0,0,IF(MIN(CQ$38,$E605)&lt;MAX($P$34*($B605+$I$38-1),IF(AND($L$37=0,$P$34=0),"",$L$37-1)),0,YEARFRAC(MAX($P$34*($B605+$I$38-1),IF(AND($L$37=0,$P$34=0),"",$L$37-1)),MIN(CQ$38,$E605),$P$20))-SUM($BF605:CP605))</f>
        <v>0</v>
      </c>
    </row>
    <row r="606" spans="1:95" s="446" customFormat="1" ht="11.25" hidden="1" customHeight="1" x14ac:dyDescent="0.2">
      <c r="A606" s="152"/>
      <c r="B606" s="153" t="str">
        <f t="shared" si="103"/>
        <v/>
      </c>
      <c r="C606" s="29" t="str">
        <f>IF(B606="","",IF($L$35="SELIC - TRIBUTOS",VLOOKUP(DATE(YEAR($D$19),MONTH($D$19)-1,1),ÍNDICES!$A:$DE,HLOOKUP($BL$25,ÍNDICES!$B$3:$T$4,2)+11)-VLOOKUP(B606,ÍNDICES!$A:$DE,HLOOKUP($BL$25,ÍNDICES!$B$3:$T$4,2)+11)+1%,IF(C$38=$W$26,$J$35,IF(ISERROR(IF(B606&gt;$D$19,1,VLOOKUP(DATE(YEAR(B606),MONTH(B606)+IF($C$35=$S$23,1,0),1),ÍNDICES!$A:$DE,$Z$35+1))),"",IF(B606&gt;$D$19,1,VLOOKUP(DATE(YEAR(B606),MONTH(B606)+IF($C$35=$S$23,1,0),1),ÍNDICES!$A:$DE,$Z$35+1))))))</f>
        <v/>
      </c>
      <c r="D606" s="154" t="str">
        <f>IF(ISERROR(IF(OR($D$38=$Y$27,$B606=""),"",VLOOKUP(B606,ÍNDICES!A:DE,AF$35+1))),"",IF(OR($D$38=$Y$27,$B606=""),"",VLOOKUP(B606,ÍNDICES!A:DE,AF$35+1)))</f>
        <v/>
      </c>
      <c r="E606" s="153"/>
      <c r="F606" s="29" t="str">
        <f>IF(E606="","",IF($L$35="SELIC - TRIBUTOS",VLOOKUP(DATE(YEAR($D$19),MONTH($D$19)-1,1),ÍNDICES!$A:$DE,HLOOKUP($BL$25,ÍNDICES!$B$3:$T$4,2)+11)-VLOOKUP(E606,ÍNDICES!$A:$DE,HLOOKUP($BL$25,ÍNDICES!$B$3:$T$4,2)+11)+1%,IF(F$38=$W$26,$J$35,IF(ISERROR(IF(E606&gt;$D$19,1,VLOOKUP(DATE(YEAR(E606),MONTH(E606)+IF($C$35=$S$23,1,0),1),ÍNDICES!$A:$DE,$Z$35+1))),"",IF(E606&gt;$D$19,1,VLOOKUP(DATE(YEAR(E606),MONTH(E606)+IF($C$35=$S$23,1,0),1),ÍNDICES!$A:$DE,$Z$35+1))))))</f>
        <v/>
      </c>
      <c r="G606" s="155"/>
      <c r="H606" s="156" t="str">
        <f t="shared" si="99"/>
        <v/>
      </c>
      <c r="I606" s="29" t="str">
        <f t="shared" si="93"/>
        <v/>
      </c>
      <c r="J606" s="5">
        <f t="shared" si="94"/>
        <v>0</v>
      </c>
      <c r="K606" s="20">
        <f t="shared" ca="1" si="95"/>
        <v>0</v>
      </c>
      <c r="L606" s="5">
        <f t="shared" ca="1" si="96"/>
        <v>0</v>
      </c>
      <c r="M606" s="64">
        <f t="shared" si="100"/>
        <v>0</v>
      </c>
      <c r="N606" s="61">
        <f t="shared" ca="1" si="101"/>
        <v>0</v>
      </c>
      <c r="O606" s="5">
        <f t="shared" ca="1" si="102"/>
        <v>0</v>
      </c>
      <c r="P606" s="446" t="e">
        <f t="shared" si="97"/>
        <v>#VALUE!</v>
      </c>
      <c r="Q606" s="446" t="e">
        <f>IF(OR($B606="",MIN(Q$38,$D$19)&lt;MAX($P$34*($B606+IF($R$17="Distrato",$I$38-1,0)),IF(AND($L$37=0,$P$34=0),"",$L$37-1),IF($R$17="Distrato",$E606,0))),0,YEARFRAC(MAX($P$34*($B606+IF($R$17="Distrato",$I$38-1,0)),IF(AND($L$37=0,$P$34=0),"",$L$37-1),IF($R$17="Distrato",$E606,0)),MIN(Q$38,$D$19),$P$20))-SUM($P606:P606)</f>
        <v>#VALUE!</v>
      </c>
      <c r="R606" s="446" t="e">
        <f>IF(OR($B606="",MIN(R$38,$D$19)&lt;MAX($P$34*($B606+IF($R$17="Distrato",$I$38-1,0)),IF(AND($L$37=0,$P$34=0),"",$L$37-1),IF($R$17="Distrato",$E606,0))),0,YEARFRAC(MAX($P$34*($B606+IF($R$17="Distrato",$I$38-1,0)),IF(AND($L$37=0,$P$34=0),"",$L$37-1),IF($R$17="Distrato",$E606,0)),MIN(R$38,$D$19),$P$20))-SUM($P606:Q606)</f>
        <v>#VALUE!</v>
      </c>
      <c r="S606" s="446" t="e">
        <f>IF(OR($B606="",MIN(S$38,$D$19)&lt;MAX($P$34*($B606+IF($R$17="Distrato",$I$38-1,0)),IF(AND($L$37=0,$P$34=0),"",$L$37-1),IF($R$17="Distrato",$E606,0))),0,YEARFRAC(MAX($P$34*($B606+IF($R$17="Distrato",$I$38-1,0)),IF(AND($L$37=0,$P$34=0),"",$L$37-1),IF($R$17="Distrato",$E606,0)),MIN(S$38,$D$19),$P$20))-SUM($P606:R606)</f>
        <v>#VALUE!</v>
      </c>
      <c r="T606" s="446" t="e">
        <f>IF(OR($B606="",MIN(T$38,$D$19)&lt;MAX($P$34*($B606+IF($R$17="Distrato",$I$38-1,0)),IF(AND($L$37=0,$P$34=0),"",$L$37-1),IF($R$17="Distrato",$E606,0))),0,YEARFRAC(MAX($P$34*($B606+IF($R$17="Distrato",$I$38-1,0)),IF(AND($L$37=0,$P$34=0),"",$L$37-1),IF($R$17="Distrato",$E606,0)),MIN(T$38,$D$19),$P$20))-SUM($P606:S606)</f>
        <v>#VALUE!</v>
      </c>
      <c r="U606" s="446" t="e">
        <f>IF(OR($B606="",MIN(U$38,$D$19)&lt;MAX($P$34*($B606+IF($R$17="Distrato",$I$38-1,0)),IF(AND($L$37=0,$P$34=0),"",$L$37-1),IF($R$17="Distrato",$E606,0))),0,YEARFRAC(MAX($P$34*($B606+IF($R$17="Distrato",$I$38-1,0)),IF(AND($L$37=0,$P$34=0),"",$L$37-1),IF($R$17="Distrato",$E606,0)),MIN(U$38,$D$19),$P$20))-SUM($P606:T606)</f>
        <v>#VALUE!</v>
      </c>
      <c r="V606" s="446" t="e">
        <f>IF(OR($B606="",MIN(V$38,$D$19)&lt;MAX($P$34*($B606+IF($R$17="Distrato",$I$38-1,0)),IF(AND($L$37=0,$P$34=0),"",$L$37-1),IF($R$17="Distrato",$E606,0))),0,YEARFRAC(MAX($P$34*($B606+IF($R$17="Distrato",$I$38-1,0)),IF(AND($L$37=0,$P$34=0),"",$L$37-1),IF($R$17="Distrato",$E606,0)),MIN(V$38,$D$19),$P$20))-SUM($P606:U606)</f>
        <v>#VALUE!</v>
      </c>
      <c r="W606" s="446" t="e">
        <f>IF(OR($B606="",MIN(W$38,$D$19)&lt;MAX($P$34*($B606+IF($R$17="Distrato",$I$38-1,0)),IF(AND($L$37=0,$P$34=0),"",$L$37-1),IF($R$17="Distrato",$E606,0))),0,YEARFRAC(MAX($P$34*($B606+IF($R$17="Distrato",$I$38-1,0)),IF(AND($L$37=0,$P$34=0),"",$L$37-1),IF($R$17="Distrato",$E606,0)),MIN(W$38,$D$19),$P$20))-SUM($P606:V606)</f>
        <v>#VALUE!</v>
      </c>
      <c r="X606" s="446" t="e">
        <f>IF(OR($B606="",MIN(X$38,$D$19)&lt;MAX($P$34*($B606+IF($R$17="Distrato",$I$38-1,0)),IF(AND($L$37=0,$P$34=0),"",$L$37-1),IF($R$17="Distrato",$E606,0))),0,YEARFRAC(MAX($P$34*($B606+IF($R$17="Distrato",$I$38-1,0)),IF(AND($L$37=0,$P$34=0),"",$L$37-1),IF($R$17="Distrato",$E606,0)),MIN(X$38,$D$19),$P$20))-SUM($P606:W606)</f>
        <v>#VALUE!</v>
      </c>
      <c r="Y606" s="446" t="e">
        <f>IF(OR($B606="",MIN(Y$38,$D$19)&lt;MAX($P$34*($B606+IF($R$17="Distrato",$I$38-1,0)),IF(AND($L$37=0,$P$34=0),"",$L$37-1),IF($R$17="Distrato",$E606,0))),0,YEARFRAC(MAX($P$34*($B606+IF($R$17="Distrato",$I$38-1,0)),IF(AND($L$37=0,$P$34=0),"",$L$37-1),IF($R$17="Distrato",$E606,0)),MIN(Y$38,$D$19),$P$20))-SUM($P606:X606)</f>
        <v>#VALUE!</v>
      </c>
      <c r="Z606" s="446" t="e">
        <f>IF(OR($B606="",MIN(Z$38,$D$19)&lt;MAX($P$34*($B606+IF($R$17="Distrato",$I$38-1,0)),IF(AND($L$37=0,$P$34=0),"",$L$37-1),IF($R$17="Distrato",$E606,0))),0,YEARFRAC(MAX($P$34*($B606+IF($R$17="Distrato",$I$38-1,0)),IF(AND($L$37=0,$P$34=0),"",$L$37-1),IF($R$17="Distrato",$E606,0)),MIN(Z$38,$D$19),$P$20))-SUM($P606:Y606)</f>
        <v>#VALUE!</v>
      </c>
      <c r="AA606" s="446" t="e">
        <f>IF(OR($B606="",MIN(AA$38,$D$19)&lt;MAX($P$34*($B606+IF($R$17="Distrato",$I$38-1,0)),IF(AND($L$37=0,$P$34=0),"",$L$37-1),IF($R$17="Distrato",$E606,0))),0,YEARFRAC(MAX($P$34*($B606+IF($R$17="Distrato",$I$38-1,0)),IF(AND($L$37=0,$P$34=0),"",$L$37-1),IF($R$17="Distrato",$E606,0)),MIN(AA$38,$D$19),$P$20))-SUM($P606:Z606)</f>
        <v>#VALUE!</v>
      </c>
      <c r="AB606" s="446" t="e">
        <f>IF(OR($B606="",MIN(AB$38,$D$19)&lt;MAX($P$34*($B606+IF($R$17="Distrato",$I$38-1,0)),IF(AND($L$37=0,$P$34=0),"",$L$37-1),IF($R$17="Distrato",$E606,0))),0,YEARFRAC(MAX($P$34*($B606+IF($R$17="Distrato",$I$38-1,0)),IF(AND($L$37=0,$P$34=0),"",$L$37-1),IF($R$17="Distrato",$E606,0)),MIN(AB$38,$D$19),$P$20))-SUM($P606:AA606)</f>
        <v>#VALUE!</v>
      </c>
      <c r="AC606" s="446" t="e">
        <f>IF(OR($B606="",MIN(AC$38,$D$19)&lt;MAX($P$34*($B606+IF($R$17="Distrato",$I$38-1,0)),IF(AND($L$37=0,$P$34=0),"",$L$37-1),IF($R$17="Distrato",$E606,0))),0,YEARFRAC(MAX($P$34*($B606+IF($R$17="Distrato",$I$38-1,0)),IF(AND($L$37=0,$P$34=0),"",$L$37-1),IF($R$17="Distrato",$E606,0)),MIN(AC$38,$D$19),$P$20))-SUM($P606:AB606)</f>
        <v>#VALUE!</v>
      </c>
      <c r="AD606" s="446" t="e">
        <f>IF(OR($B606="",MIN(AD$38,$D$19)&lt;MAX($P$34*($B606+IF($R$17="Distrato",$I$38-1,0)),IF(AND($L$37=0,$P$34=0),"",$L$37-1),IF($R$17="Distrato",$E606,0))),0,YEARFRAC(MAX($P$34*($B606+IF($R$17="Distrato",$I$38-1,0)),IF(AND($L$37=0,$P$34=0),"",$L$37-1),IF($R$17="Distrato",$E606,0)),MIN(AD$38,$D$19),$P$20))-SUM($P606:AC606)</f>
        <v>#VALUE!</v>
      </c>
      <c r="AE606" s="446" t="e">
        <f>IF(OR($B606="",MIN(AE$38,$D$19)&lt;MAX($P$34*($B606+IF($R$17="Distrato",$I$38-1,0)),IF(AND($L$37=0,$P$34=0),"",$L$37-1),IF($R$17="Distrato",$E606,0))),0,YEARFRAC(MAX($P$34*($B606+IF($R$17="Distrato",$I$38-1,0)),IF(AND($L$37=0,$P$34=0),"",$L$37-1),IF($R$17="Distrato",$E606,0)),MIN(AE$38,$D$19),$P$20))-SUM($P606:AD606)</f>
        <v>#VALUE!</v>
      </c>
      <c r="AF606" s="446" t="e">
        <f>IF(OR($B606="",MIN(AF$38,$D$19)&lt;MAX($P$34*($B606+IF($R$17="Distrato",$I$38-1,0)),IF(AND($L$37=0,$P$34=0),"",$L$37-1),IF($R$17="Distrato",$E606,0))),0,YEARFRAC(MAX($P$34*($B606+IF($R$17="Distrato",$I$38-1,0)),IF(AND($L$37=0,$P$34=0),"",$L$37-1),IF($R$17="Distrato",$E606,0)),MIN(AF$38,$D$19),$P$20))-SUM($P606:AE606)</f>
        <v>#VALUE!</v>
      </c>
      <c r="AG606" s="446" t="e">
        <f>IF(OR($B606="",MIN(AG$38,$D$19)&lt;MAX($P$34*($B606+IF($R$17="Distrato",$I$38-1,0)),IF(AND($L$37=0,$P$34=0),"",$L$37-1),IF($R$17="Distrato",$E606,0))),0,YEARFRAC(MAX($P$34*($B606+IF($R$17="Distrato",$I$38-1,0)),IF(AND($L$37=0,$P$34=0),"",$L$37-1),IF($R$17="Distrato",$E606,0)),MIN(AG$38,$D$19),$P$20))-SUM($P606:AF606)</f>
        <v>#VALUE!</v>
      </c>
      <c r="AH606" s="446" t="e">
        <f>IF(OR($B606="",MIN(AH$38,$D$19)&lt;MAX($P$34*($B606+IF($R$17="Distrato",$I$38-1,0)),IF(AND($L$37=0,$P$34=0),"",$L$37-1),IF($R$17="Distrato",$E606,0))),0,YEARFRAC(MAX($P$34*($B606+IF($R$17="Distrato",$I$38-1,0)),IF(AND($L$37=0,$P$34=0),"",$L$37-1),IF($R$17="Distrato",$E606,0)),MIN(AH$38,$D$19),$P$20))-SUM($P606:AG606)</f>
        <v>#VALUE!</v>
      </c>
      <c r="AI606" s="446" t="e">
        <f>IF(OR($B606="",MIN(AI$38,$D$19)&lt;MAX($P$34*($B606+IF($R$17="Distrato",$I$38-1,0)),IF(AND($L$37=0,$P$34=0),"",$L$37-1),IF($R$17="Distrato",$E606,0))),0,YEARFRAC(MAX($P$34*($B606+IF($R$17="Distrato",$I$38-1,0)),IF(AND($L$37=0,$P$34=0),"",$L$37-1),IF($R$17="Distrato",$E606,0)),MIN(AI$38,$D$19),$P$20))-SUM($P606:AH606)</f>
        <v>#VALUE!</v>
      </c>
      <c r="AJ606" s="446" t="e">
        <f>IF(OR($B606="",MIN(AJ$38,$D$19)&lt;MAX($P$34*($B606+IF($R$17="Distrato",$I$38-1,0)),IF(AND($L$37=0,$P$34=0),"",$L$37-1),IF($R$17="Distrato",$E606,0))),0,YEARFRAC(MAX($P$34*($B606+IF($R$17="Distrato",$I$38-1,0)),IF(AND($L$37=0,$P$34=0),"",$L$37-1),IF($R$17="Distrato",$E606,0)),MIN(AJ$38,$D$19),$P$20))-SUM($P606:AI606)</f>
        <v>#VALUE!</v>
      </c>
      <c r="AK606" s="446" t="e">
        <f>IF(OR($B606="",MIN(AK$38,$D$19)&lt;MAX($P$34*($B606+IF($R$17="Distrato",$I$38-1,0)),IF(AND($L$37=0,$P$34=0),"",$L$37-1),IF($R$17="Distrato",$E606,0))),0,YEARFRAC(MAX($P$34*($B606+IF($R$17="Distrato",$I$38-1,0)),IF(AND($L$37=0,$P$34=0),"",$L$37-1),IF($R$17="Distrato",$E606,0)),MIN(AK$38,$D$19),$P$20))-SUM($P606:AJ606)</f>
        <v>#VALUE!</v>
      </c>
      <c r="AL606" s="446" t="e">
        <f>IF(OR($B606="",MIN(AL$38,$D$19)&lt;MAX($P$34*($B606+IF($R$17="Distrato",$I$38-1,0)),IF(AND($L$37=0,$P$34=0),"",$L$37-1),IF($R$17="Distrato",$E606,0))),0,YEARFRAC(MAX($P$34*($B606+IF($R$17="Distrato",$I$38-1,0)),IF(AND($L$37=0,$P$34=0),"",$L$37-1),IF($R$17="Distrato",$E606,0)),MIN(AL$38,$D$19),$P$20))-SUM($P606:AK606)</f>
        <v>#VALUE!</v>
      </c>
      <c r="AM606" s="446" t="e">
        <f>IF(OR($B606="",MIN(AM$38,$D$19)&lt;MAX($P$34*($B606+IF($R$17="Distrato",$I$38-1,0)),IF(AND($L$37=0,$P$34=0),"",$L$37-1),IF($R$17="Distrato",$E606,0))),0,YEARFRAC(MAX($P$34*($B606+IF($R$17="Distrato",$I$38-1,0)),IF(AND($L$37=0,$P$34=0),"",$L$37-1),IF($R$17="Distrato",$E606,0)),MIN(AM$38,$D$19),$P$20))-SUM($P606:AL606)</f>
        <v>#VALUE!</v>
      </c>
      <c r="AN606" s="446" t="e">
        <f>IF(OR($B606="",MIN(AN$38,$D$19)&lt;MAX($P$34*($B606+IF($R$17="Distrato",$I$38-1,0)),IF(AND($L$37=0,$P$34=0),"",$L$37-1),IF($R$17="Distrato",$E606,0))),0,YEARFRAC(MAX($P$34*($B606+IF($R$17="Distrato",$I$38-1,0)),IF(AND($L$37=0,$P$34=0),"",$L$37-1),IF($R$17="Distrato",$E606,0)),MIN(AN$38,$D$19),$P$20))-SUM($P606:AM606)</f>
        <v>#VALUE!</v>
      </c>
      <c r="AO606" s="446" t="e">
        <f>IF(OR($B606="",MIN(AO$38,$D$19)&lt;MAX($P$34*($B606+IF($R$17="Distrato",$I$38-1,0)),IF(AND($L$37=0,$P$34=0),"",$L$37-1),IF($R$17="Distrato",$E606,0))),0,YEARFRAC(MAX($P$34*($B606+IF($R$17="Distrato",$I$38-1,0)),IF(AND($L$37=0,$P$34=0),"",$L$37-1),IF($R$17="Distrato",$E606,0)),MIN(AO$38,$D$19),$P$20))-SUM($P606:AN606)</f>
        <v>#VALUE!</v>
      </c>
      <c r="AP606" s="446" t="e">
        <f>IF(OR($B606="",MIN(AP$38,$D$19)&lt;MAX($P$34*($B606+IF($R$17="Distrato",$I$38-1,0)),IF(AND($L$37=0,$P$34=0),"",$L$37-1),IF($R$17="Distrato",$E606,0))),0,YEARFRAC(MAX($P$34*($B606+IF($R$17="Distrato",$I$38-1,0)),IF(AND($L$37=0,$P$34=0),"",$L$37-1),IF($R$17="Distrato",$E606,0)),MIN(AP$38,$D$19),$P$20))-SUM($P606:AO606)</f>
        <v>#VALUE!</v>
      </c>
      <c r="AQ606" s="446" t="e">
        <f>IF(OR($B606="",MIN(AQ$38,$D$19)&lt;MAX($P$34*($B606+IF($R$17="Distrato",$I$38-1,0)),IF(AND($L$37=0,$P$34=0),"",$L$37-1),IF($R$17="Distrato",$E606,0))),0,YEARFRAC(MAX($P$34*($B606+IF($R$17="Distrato",$I$38-1,0)),IF(AND($L$37=0,$P$34=0),"",$L$37-1),IF($R$17="Distrato",$E606,0)),MIN(AQ$38,$D$19),$P$20))-SUM($P606:AP606)</f>
        <v>#VALUE!</v>
      </c>
      <c r="AR606" s="446" t="e">
        <f>IF(OR($B606="",MIN(AR$38,$D$19)&lt;MAX($P$34*($B606+IF($R$17="Distrato",$I$38-1,0)),IF(AND($L$37=0,$P$34=0),"",$L$37-1),IF($R$17="Distrato",$E606,0))),0,YEARFRAC(MAX($P$34*($B606+IF($R$17="Distrato",$I$38-1,0)),IF(AND($L$37=0,$P$34=0),"",$L$37-1),IF($R$17="Distrato",$E606,0)),MIN(AR$38,$D$19),$P$20))-SUM($P606:AQ606)</f>
        <v>#VALUE!</v>
      </c>
      <c r="AS606" s="446" t="e">
        <f>IF(OR($B606="",MIN(AS$38,$D$19)&lt;MAX($P$34*($B606+IF($R$17="Distrato",$I$38-1,0)),IF(AND($L$37=0,$P$34=0),"",$L$37-1),IF($R$17="Distrato",$E606,0))),0,YEARFRAC(MAX($P$34*($B606+IF($R$17="Distrato",$I$38-1,0)),IF(AND($L$37=0,$P$34=0),"",$L$37-1),IF($R$17="Distrato",$E606,0)),MIN(AS$38,$D$19),$P$20))-SUM($P606:AR606)</f>
        <v>#VALUE!</v>
      </c>
      <c r="AT606" s="446" t="e">
        <f>IF(OR($B606="",MIN(AT$38,$D$19)&lt;MAX($P$34*($B606+IF($R$17="Distrato",$I$38-1,0)),IF(AND($L$37=0,$P$34=0),"",$L$37-1),IF($R$17="Distrato",$E606,0))),0,YEARFRAC(MAX($P$34*($B606+IF($R$17="Distrato",$I$38-1,0)),IF(AND($L$37=0,$P$34=0),"",$L$37-1),IF($R$17="Distrato",$E606,0)),MIN(AT$38,$D$19),$P$20))-SUM($P606:AS606)</f>
        <v>#VALUE!</v>
      </c>
      <c r="AU606" s="446" t="e">
        <f>IF(OR($B606="",MIN(AU$38,$D$19)&lt;MAX($P$34*($B606+IF($R$17="Distrato",$I$38-1,0)),IF(AND($L$37=0,$P$34=0),"",$L$37-1),IF($R$17="Distrato",$E606,0))),0,YEARFRAC(MAX($P$34*($B606+IF($R$17="Distrato",$I$38-1,0)),IF(AND($L$37=0,$P$34=0),"",$L$37-1),IF($R$17="Distrato",$E606,0)),MIN(AU$38,$D$19),$P$20))-SUM($P606:AT606)</f>
        <v>#VALUE!</v>
      </c>
      <c r="AV606" s="446" t="e">
        <f>IF(OR($B606="",MIN(AV$38,$D$19)&lt;MAX($P$34*($B606+IF($R$17="Distrato",$I$38-1,0)),IF(AND($L$37=0,$P$34=0),"",$L$37-1),IF($R$17="Distrato",$E606,0))),0,YEARFRAC(MAX($P$34*($B606+IF($R$17="Distrato",$I$38-1,0)),IF(AND($L$37=0,$P$34=0),"",$L$37-1),IF($R$17="Distrato",$E606,0)),MIN(AV$38,$D$19),$P$20))-SUM($P606:AU606)</f>
        <v>#VALUE!</v>
      </c>
      <c r="AW606" s="446" t="e">
        <f>IF(OR($B606="",MIN(AW$38,$D$19)&lt;MAX($P$34*($B606+IF($R$17="Distrato",$I$38-1,0)),IF(AND($L$37=0,$P$34=0),"",$L$37-1),IF($R$17="Distrato",$E606,0))),0,YEARFRAC(MAX($P$34*($B606+IF($R$17="Distrato",$I$38-1,0)),IF(AND($L$37=0,$P$34=0),"",$L$37-1),IF($R$17="Distrato",$E606,0)),MIN(AW$38,$D$19),$P$20))-SUM($P606:AV606)</f>
        <v>#VALUE!</v>
      </c>
      <c r="AX606" s="446" t="e">
        <f>IF(OR($B606="",MIN(AX$38,$D$19)&lt;MAX($P$34*($B606+IF($R$17="Distrato",$I$38-1,0)),IF(AND($L$37=0,$P$34=0),"",$L$37-1),IF($R$17="Distrato",$E606,0))),0,YEARFRAC(MAX($P$34*($B606+IF($R$17="Distrato",$I$38-1,0)),IF(AND($L$37=0,$P$34=0),"",$L$37-1),IF($R$17="Distrato",$E606,0)),MIN(AX$38,$D$19),$P$20))-SUM($P606:AW606)</f>
        <v>#VALUE!</v>
      </c>
      <c r="AY606" s="446" t="e">
        <f>IF(OR($B606="",MIN(AY$38,$D$19)&lt;MAX($P$34*($B606+IF($R$17="Distrato",$I$38-1,0)),IF(AND($L$37=0,$P$34=0),"",$L$37-1),IF($R$17="Distrato",$E606,0))),0,YEARFRAC(MAX($P$34*($B606+IF($R$17="Distrato",$I$38-1,0)),IF(AND($L$37=0,$P$34=0),"",$L$37-1),IF($R$17="Distrato",$E606,0)),MIN(AY$38,$D$19),$P$20))-SUM($P606:AX606)</f>
        <v>#VALUE!</v>
      </c>
      <c r="AZ606" s="446" t="e">
        <f>IF(OR($B606="",MIN(AZ$38,$D$19)&lt;MAX($P$34*($B606+IF($R$17="Distrato",$I$38-1,0)),IF(AND($L$37=0,$P$34=0),"",$L$37-1),IF($R$17="Distrato",$E606,0))),0,YEARFRAC(MAX($P$34*($B606+IF($R$17="Distrato",$I$38-1,0)),IF(AND($L$37=0,$P$34=0),"",$L$37-1),IF($R$17="Distrato",$E606,0)),MIN(AZ$38,$D$19),$P$20))-SUM($P606:AY606)</f>
        <v>#VALUE!</v>
      </c>
      <c r="BA606" s="446" t="e">
        <f>IF(OR($B606="",MIN(BA$38,$D$19)&lt;MAX($P$34*($B606+IF($R$17="Distrato",$I$38-1,0)),IF(AND($L$37=0,$P$34=0),"",$L$37-1),IF($R$17="Distrato",$E606,0))),0,YEARFRAC(MAX($P$34*($B606+IF($R$17="Distrato",$I$38-1,0)),IF(AND($L$37=0,$P$34=0),"",$L$37-1),IF($R$17="Distrato",$E606,0)),MIN(BA$38,$D$19),$P$20))-SUM($P606:AZ606)</f>
        <v>#VALUE!</v>
      </c>
      <c r="BB606" s="447"/>
      <c r="BF606" s="446">
        <f t="shared" si="98"/>
        <v>0</v>
      </c>
      <c r="BG606" s="446">
        <f>IF($E606=0,0,IF(MIN(BG$38,$E606)&lt;MAX($P$34*($B606+$I$38-1),IF(AND($L$37=0,$P$34=0),"",$L$37-1)),0,YEARFRAC(MAX($P$34*($B606+$I$38-1),IF(AND($L$37=0,$P$34=0),"",$L$37-1)),MIN(BG$38,$E606),$P$20))-SUM($BF606:BF606))</f>
        <v>0</v>
      </c>
      <c r="BH606" s="446">
        <f>IF($E606=0,0,IF(MIN(BH$38,$E606)&lt;MAX($P$34*($B606+$I$38-1),IF(AND($L$37=0,$P$34=0),"",$L$37-1)),0,YEARFRAC(MAX($P$34*($B606+$I$38-1),IF(AND($L$37=0,$P$34=0),"",$L$37-1)),MIN(BH$38,$E606),$P$20))-SUM($BF606:BG606))</f>
        <v>0</v>
      </c>
      <c r="BI606" s="446">
        <f>IF($E606=0,0,IF(MIN(BI$38,$E606)&lt;MAX($P$34*($B606+$I$38-1),IF(AND($L$37=0,$P$34=0),"",$L$37-1)),0,YEARFRAC(MAX($P$34*($B606+$I$38-1),IF(AND($L$37=0,$P$34=0),"",$L$37-1)),MIN(BI$38,$E606),$P$20))-SUM($BF606:BH606))</f>
        <v>0</v>
      </c>
      <c r="BJ606" s="446">
        <f>IF($E606=0,0,IF(MIN(BJ$38,$E606)&lt;MAX($P$34*($B606+$I$38-1),IF(AND($L$37=0,$P$34=0),"",$L$37-1)),0,YEARFRAC(MAX($P$34*($B606+$I$38-1),IF(AND($L$37=0,$P$34=0),"",$L$37-1)),MIN(BJ$38,$E606),$P$20))-SUM($BF606:BI606))</f>
        <v>0</v>
      </c>
      <c r="BK606" s="446">
        <f>IF($E606=0,0,IF(MIN(BK$38,$E606)&lt;MAX($P$34*($B606+$I$38-1),IF(AND($L$37=0,$P$34=0),"",$L$37-1)),0,YEARFRAC(MAX($P$34*($B606+$I$38-1),IF(AND($L$37=0,$P$34=0),"",$L$37-1)),MIN(BK$38,$E606),$P$20))-SUM($BF606:BJ606))</f>
        <v>0</v>
      </c>
      <c r="BL606" s="446">
        <f>IF($E606=0,0,IF(MIN(BL$38,$E606)&lt;MAX($P$34*($B606+$I$38-1),IF(AND($L$37=0,$P$34=0),"",$L$37-1)),0,YEARFRAC(MAX($P$34*($B606+$I$38-1),IF(AND($L$37=0,$P$34=0),"",$L$37-1)),MIN(BL$38,$E606),$P$20))-SUM($BF606:BK606))</f>
        <v>0</v>
      </c>
      <c r="BM606" s="446">
        <f>IF($E606=0,0,IF(MIN(BM$38,$E606)&lt;MAX($P$34*($B606+$I$38-1),IF(AND($L$37=0,$P$34=0),"",$L$37-1)),0,YEARFRAC(MAX($P$34*($B606+$I$38-1),IF(AND($L$37=0,$P$34=0),"",$L$37-1)),MIN(BM$38,$E606),$P$20))-SUM($BF606:BL606))</f>
        <v>0</v>
      </c>
      <c r="BN606" s="446">
        <f>IF($E606=0,0,IF(MIN(BN$38,$E606)&lt;MAX($P$34*($B606+$I$38-1),IF(AND($L$37=0,$P$34=0),"",$L$37-1)),0,YEARFRAC(MAX($P$34*($B606+$I$38-1),IF(AND($L$37=0,$P$34=0),"",$L$37-1)),MIN(BN$38,$E606),$P$20))-SUM($BF606:BM606))</f>
        <v>0</v>
      </c>
      <c r="BO606" s="446">
        <f>IF($E606=0,0,IF(MIN(BO$38,$E606)&lt;MAX($P$34*($B606+$I$38-1),IF(AND($L$37=0,$P$34=0),"",$L$37-1)),0,YEARFRAC(MAX($P$34*($B606+$I$38-1),IF(AND($L$37=0,$P$34=0),"",$L$37-1)),MIN(BO$38,$E606),$P$20))-SUM($BF606:BN606))</f>
        <v>0</v>
      </c>
      <c r="BP606" s="446">
        <f>IF($E606=0,0,IF(MIN(BP$38,$E606)&lt;MAX($P$34*($B606+$I$38-1),IF(AND($L$37=0,$P$34=0),"",$L$37-1)),0,YEARFRAC(MAX($P$34*($B606+$I$38-1),IF(AND($L$37=0,$P$34=0),"",$L$37-1)),MIN(BP$38,$E606),$P$20))-SUM($BF606:BO606))</f>
        <v>0</v>
      </c>
      <c r="BQ606" s="446">
        <f>IF($E606=0,0,IF(MIN(BQ$38,$E606)&lt;MAX($P$34*($B606+$I$38-1),IF(AND($L$37=0,$P$34=0),"",$L$37-1)),0,YEARFRAC(MAX($P$34*($B606+$I$38-1),IF(AND($L$37=0,$P$34=0),"",$L$37-1)),MIN(BQ$38,$E606),$P$20))-SUM($BF606:BP606))</f>
        <v>0</v>
      </c>
      <c r="BR606" s="446">
        <f>IF($E606=0,0,IF(MIN(BR$38,$E606)&lt;MAX($P$34*($B606+$I$38-1),IF(AND($L$37=0,$P$34=0),"",$L$37-1)),0,YEARFRAC(MAX($P$34*($B606+$I$38-1),IF(AND($L$37=0,$P$34=0),"",$L$37-1)),MIN(BR$38,$E606),$P$20))-SUM($BF606:BQ606))</f>
        <v>0</v>
      </c>
      <c r="BS606" s="446">
        <f>IF($E606=0,0,IF(MIN(BS$38,$E606)&lt;MAX($P$34*($B606+$I$38-1),IF(AND($L$37=0,$P$34=0),"",$L$37-1)),0,YEARFRAC(MAX($P$34*($B606+$I$38-1),IF(AND($L$37=0,$P$34=0),"",$L$37-1)),MIN(BS$38,$E606),$P$20))-SUM($BF606:BR606))</f>
        <v>0</v>
      </c>
      <c r="BT606" s="446">
        <f>IF($E606=0,0,IF(MIN(BT$38,$E606)&lt;MAX($P$34*($B606+$I$38-1),IF(AND($L$37=0,$P$34=0),"",$L$37-1)),0,YEARFRAC(MAX($P$34*($B606+$I$38-1),IF(AND($L$37=0,$P$34=0),"",$L$37-1)),MIN(BT$38,$E606),$P$20))-SUM($BF606:BS606))</f>
        <v>0</v>
      </c>
      <c r="BU606" s="446">
        <f>IF($E606=0,0,IF(MIN(BU$38,$E606)&lt;MAX($P$34*($B606+$I$38-1),IF(AND($L$37=0,$P$34=0),"",$L$37-1)),0,YEARFRAC(MAX($P$34*($B606+$I$38-1),IF(AND($L$37=0,$P$34=0),"",$L$37-1)),MIN(BU$38,$E606),$P$20))-SUM($BF606:BT606))</f>
        <v>0</v>
      </c>
      <c r="BV606" s="446">
        <f>IF($E606=0,0,IF(MIN(BV$38,$E606)&lt;MAX($P$34*($B606+$I$38-1),IF(AND($L$37=0,$P$34=0),"",$L$37-1)),0,YEARFRAC(MAX($P$34*($B606+$I$38-1),IF(AND($L$37=0,$P$34=0),"",$L$37-1)),MIN(BV$38,$E606),$P$20))-SUM($BF606:BU606))</f>
        <v>0</v>
      </c>
      <c r="BW606" s="446">
        <f>IF($E606=0,0,IF(MIN(BW$38,$E606)&lt;MAX($P$34*($B606+$I$38-1),IF(AND($L$37=0,$P$34=0),"",$L$37-1)),0,YEARFRAC(MAX($P$34*($B606+$I$38-1),IF(AND($L$37=0,$P$34=0),"",$L$37-1)),MIN(BW$38,$E606),$P$20))-SUM($BF606:BV606))</f>
        <v>0</v>
      </c>
      <c r="BX606" s="446">
        <f>IF($E606=0,0,IF(MIN(BX$38,$E606)&lt;MAX($P$34*($B606+$I$38-1),IF(AND($L$37=0,$P$34=0),"",$L$37-1)),0,YEARFRAC(MAX($P$34*($B606+$I$38-1),IF(AND($L$37=0,$P$34=0),"",$L$37-1)),MIN(BX$38,$E606),$P$20))-SUM($BF606:BW606))</f>
        <v>0</v>
      </c>
      <c r="BY606" s="446">
        <f>IF($E606=0,0,IF(MIN(BY$38,$E606)&lt;MAX($P$34*($B606+$I$38-1),IF(AND($L$37=0,$P$34=0),"",$L$37-1)),0,YEARFRAC(MAX($P$34*($B606+$I$38-1),IF(AND($L$37=0,$P$34=0),"",$L$37-1)),MIN(BY$38,$E606),$P$20))-SUM($BF606:BX606))</f>
        <v>0</v>
      </c>
      <c r="BZ606" s="446">
        <f>IF($E606=0,0,IF(MIN(BZ$38,$E606)&lt;MAX($P$34*($B606+$I$38-1),IF(AND($L$37=0,$P$34=0),"",$L$37-1)),0,YEARFRAC(MAX($P$34*($B606+$I$38-1),IF(AND($L$37=0,$P$34=0),"",$L$37-1)),MIN(BZ$38,$E606),$P$20))-SUM($BF606:BY606))</f>
        <v>0</v>
      </c>
      <c r="CA606" s="446">
        <f>IF($E606=0,0,IF(MIN(CA$38,$E606)&lt;MAX($P$34*($B606+$I$38-1),IF(AND($L$37=0,$P$34=0),"",$L$37-1)),0,YEARFRAC(MAX($P$34*($B606+$I$38-1),IF(AND($L$37=0,$P$34=0),"",$L$37-1)),MIN(CA$38,$E606),$P$20))-SUM($BF606:BZ606))</f>
        <v>0</v>
      </c>
      <c r="CB606" s="446">
        <f>IF($E606=0,0,IF(MIN(CB$38,$E606)&lt;MAX($P$34*($B606+$I$38-1),IF(AND($L$37=0,$P$34=0),"",$L$37-1)),0,YEARFRAC(MAX($P$34*($B606+$I$38-1),IF(AND($L$37=0,$P$34=0),"",$L$37-1)),MIN(CB$38,$E606),$P$20))-SUM($BF606:CA606))</f>
        <v>0</v>
      </c>
      <c r="CC606" s="446">
        <f>IF($E606=0,0,IF(MIN(CC$38,$E606)&lt;MAX($P$34*($B606+$I$38-1),IF(AND($L$37=0,$P$34=0),"",$L$37-1)),0,YEARFRAC(MAX($P$34*($B606+$I$38-1),IF(AND($L$37=0,$P$34=0),"",$L$37-1)),MIN(CC$38,$E606),$P$20))-SUM($BF606:CB606))</f>
        <v>0</v>
      </c>
      <c r="CD606" s="446">
        <f>IF($E606=0,0,IF(MIN(CD$38,$E606)&lt;MAX($P$34*($B606+$I$38-1),IF(AND($L$37=0,$P$34=0),"",$L$37-1)),0,YEARFRAC(MAX($P$34*($B606+$I$38-1),IF(AND($L$37=0,$P$34=0),"",$L$37-1)),MIN(CD$38,$E606),$P$20))-SUM($BF606:CC606))</f>
        <v>0</v>
      </c>
      <c r="CE606" s="446">
        <f>IF($E606=0,0,IF(MIN(CE$38,$E606)&lt;MAX($P$34*($B606+$I$38-1),IF(AND($L$37=0,$P$34=0),"",$L$37-1)),0,YEARFRAC(MAX($P$34*($B606+$I$38-1),IF(AND($L$37=0,$P$34=0),"",$L$37-1)),MIN(CE$38,$E606),$P$20))-SUM($BF606:CD606))</f>
        <v>0</v>
      </c>
      <c r="CF606" s="446">
        <f>IF($E606=0,0,IF(MIN(CF$38,$E606)&lt;MAX($P$34*($B606+$I$38-1),IF(AND($L$37=0,$P$34=0),"",$L$37-1)),0,YEARFRAC(MAX($P$34*($B606+$I$38-1),IF(AND($L$37=0,$P$34=0),"",$L$37-1)),MIN(CF$38,$E606),$P$20))-SUM($BF606:CE606))</f>
        <v>0</v>
      </c>
      <c r="CG606" s="446">
        <f>IF($E606=0,0,IF(MIN(CG$38,$E606)&lt;MAX($P$34*($B606+$I$38-1),IF(AND($L$37=0,$P$34=0),"",$L$37-1)),0,YEARFRAC(MAX($P$34*($B606+$I$38-1),IF(AND($L$37=0,$P$34=0),"",$L$37-1)),MIN(CG$38,$E606),$P$20))-SUM($BF606:CF606))</f>
        <v>0</v>
      </c>
      <c r="CH606" s="446">
        <f>IF($E606=0,0,IF(MIN(CH$38,$E606)&lt;MAX($P$34*($B606+$I$38-1),IF(AND($L$37=0,$P$34=0),"",$L$37-1)),0,YEARFRAC(MAX($P$34*($B606+$I$38-1),IF(AND($L$37=0,$P$34=0),"",$L$37-1)),MIN(CH$38,$E606),$P$20))-SUM($BF606:CG606))</f>
        <v>0</v>
      </c>
      <c r="CI606" s="446">
        <f>IF($E606=0,0,IF(MIN(CI$38,$E606)&lt;MAX($P$34*($B606+$I$38-1),IF(AND($L$37=0,$P$34=0),"",$L$37-1)),0,YEARFRAC(MAX($P$34*($B606+$I$38-1),IF(AND($L$37=0,$P$34=0),"",$L$37-1)),MIN(CI$38,$E606),$P$20))-SUM($BF606:CH606))</f>
        <v>0</v>
      </c>
      <c r="CJ606" s="446">
        <f>IF($E606=0,0,IF(MIN(CJ$38,$E606)&lt;MAX($P$34*($B606+$I$38-1),IF(AND($L$37=0,$P$34=0),"",$L$37-1)),0,YEARFRAC(MAX($P$34*($B606+$I$38-1),IF(AND($L$37=0,$P$34=0),"",$L$37-1)),MIN(CJ$38,$E606),$P$20))-SUM($BF606:CI606))</f>
        <v>0</v>
      </c>
      <c r="CK606" s="446">
        <f>IF($E606=0,0,IF(MIN(CK$38,$E606)&lt;MAX($P$34*($B606+$I$38-1),IF(AND($L$37=0,$P$34=0),"",$L$37-1)),0,YEARFRAC(MAX($P$34*($B606+$I$38-1),IF(AND($L$37=0,$P$34=0),"",$L$37-1)),MIN(CK$38,$E606),$P$20))-SUM($BF606:CJ606))</f>
        <v>0</v>
      </c>
      <c r="CL606" s="446">
        <f>IF($E606=0,0,IF(MIN(CL$38,$E606)&lt;MAX($P$34*($B606+$I$38-1),IF(AND($L$37=0,$P$34=0),"",$L$37-1)),0,YEARFRAC(MAX($P$34*($B606+$I$38-1),IF(AND($L$37=0,$P$34=0),"",$L$37-1)),MIN(CL$38,$E606),$P$20))-SUM($BF606:CK606))</f>
        <v>0</v>
      </c>
      <c r="CM606" s="446">
        <f>IF($E606=0,0,IF(MIN(CM$38,$E606)&lt;MAX($P$34*($B606+$I$38-1),IF(AND($L$37=0,$P$34=0),"",$L$37-1)),0,YEARFRAC(MAX($P$34*($B606+$I$38-1),IF(AND($L$37=0,$P$34=0),"",$L$37-1)),MIN(CM$38,$E606),$P$20))-SUM($BF606:CL606))</f>
        <v>0</v>
      </c>
      <c r="CN606" s="446">
        <f>IF($E606=0,0,IF(MIN(CN$38,$E606)&lt;MAX($P$34*($B606+$I$38-1),IF(AND($L$37=0,$P$34=0),"",$L$37-1)),0,YEARFRAC(MAX($P$34*($B606+$I$38-1),IF(AND($L$37=0,$P$34=0),"",$L$37-1)),MIN(CN$38,$E606),$P$20))-SUM($BF606:CM606))</f>
        <v>0</v>
      </c>
      <c r="CO606" s="446">
        <f>IF($E606=0,0,IF(MIN(CO$38,$E606)&lt;MAX($P$34*($B606+$I$38-1),IF(AND($L$37=0,$P$34=0),"",$L$37-1)),0,YEARFRAC(MAX($P$34*($B606+$I$38-1),IF(AND($L$37=0,$P$34=0),"",$L$37-1)),MIN(CO$38,$E606),$P$20))-SUM($BF606:CN606))</f>
        <v>0</v>
      </c>
      <c r="CP606" s="446">
        <f>IF($E606=0,0,IF(MIN(CP$38,$E606)&lt;MAX($P$34*($B606+$I$38-1),IF(AND($L$37=0,$P$34=0),"",$L$37-1)),0,YEARFRAC(MAX($P$34*($B606+$I$38-1),IF(AND($L$37=0,$P$34=0),"",$L$37-1)),MIN(CP$38,$E606),$P$20))-SUM($BF606:CO606))</f>
        <v>0</v>
      </c>
      <c r="CQ606" s="446">
        <f>IF($E606=0,0,IF(MIN(CQ$38,$E606)&lt;MAX($P$34*($B606+$I$38-1),IF(AND($L$37=0,$P$34=0),"",$L$37-1)),0,YEARFRAC(MAX($P$34*($B606+$I$38-1),IF(AND($L$37=0,$P$34=0),"",$L$37-1)),MIN(CQ$38,$E606),$P$20))-SUM($BF606:CP606))</f>
        <v>0</v>
      </c>
    </row>
    <row r="607" spans="1:95" s="446" customFormat="1" ht="11.25" hidden="1" customHeight="1" x14ac:dyDescent="0.2">
      <c r="A607" s="152"/>
      <c r="B607" s="153" t="str">
        <f t="shared" si="103"/>
        <v/>
      </c>
      <c r="C607" s="29" t="str">
        <f>IF(B607="","",IF($L$35="SELIC - TRIBUTOS",VLOOKUP(DATE(YEAR($D$19),MONTH($D$19)-1,1),ÍNDICES!$A:$DE,HLOOKUP($BL$25,ÍNDICES!$B$3:$T$4,2)+11)-VLOOKUP(B607,ÍNDICES!$A:$DE,HLOOKUP($BL$25,ÍNDICES!$B$3:$T$4,2)+11)+1%,IF(C$38=$W$26,$J$35,IF(ISERROR(IF(B607&gt;$D$19,1,VLOOKUP(DATE(YEAR(B607),MONTH(B607)+IF($C$35=$S$23,1,0),1),ÍNDICES!$A:$DE,$Z$35+1))),"",IF(B607&gt;$D$19,1,VLOOKUP(DATE(YEAR(B607),MONTH(B607)+IF($C$35=$S$23,1,0),1),ÍNDICES!$A:$DE,$Z$35+1))))))</f>
        <v/>
      </c>
      <c r="D607" s="154" t="str">
        <f>IF(ISERROR(IF(OR($D$38=$Y$27,$B607=""),"",VLOOKUP(B607,ÍNDICES!A:DE,AF$35+1))),"",IF(OR($D$38=$Y$27,$B607=""),"",VLOOKUP(B607,ÍNDICES!A:DE,AF$35+1)))</f>
        <v/>
      </c>
      <c r="E607" s="153"/>
      <c r="F607" s="29" t="str">
        <f>IF(E607="","",IF($L$35="SELIC - TRIBUTOS",VLOOKUP(DATE(YEAR($D$19),MONTH($D$19)-1,1),ÍNDICES!$A:$DE,HLOOKUP($BL$25,ÍNDICES!$B$3:$T$4,2)+11)-VLOOKUP(E607,ÍNDICES!$A:$DE,HLOOKUP($BL$25,ÍNDICES!$B$3:$T$4,2)+11)+1%,IF(F$38=$W$26,$J$35,IF(ISERROR(IF(E607&gt;$D$19,1,VLOOKUP(DATE(YEAR(E607),MONTH(E607)+IF($C$35=$S$23,1,0),1),ÍNDICES!$A:$DE,$Z$35+1))),"",IF(E607&gt;$D$19,1,VLOOKUP(DATE(YEAR(E607),MONTH(E607)+IF($C$35=$S$23,1,0),1),ÍNDICES!$A:$DE,$Z$35+1))))))</f>
        <v/>
      </c>
      <c r="G607" s="155"/>
      <c r="H607" s="156" t="str">
        <f t="shared" si="99"/>
        <v/>
      </c>
      <c r="I607" s="29" t="str">
        <f t="shared" si="93"/>
        <v/>
      </c>
      <c r="J607" s="5">
        <f t="shared" si="94"/>
        <v>0</v>
      </c>
      <c r="K607" s="20">
        <f t="shared" ca="1" si="95"/>
        <v>0</v>
      </c>
      <c r="L607" s="5">
        <f t="shared" ca="1" si="96"/>
        <v>0</v>
      </c>
      <c r="M607" s="64">
        <f t="shared" si="100"/>
        <v>0</v>
      </c>
      <c r="N607" s="61">
        <f t="shared" ca="1" si="101"/>
        <v>0</v>
      </c>
      <c r="O607" s="5">
        <f t="shared" ca="1" si="102"/>
        <v>0</v>
      </c>
      <c r="P607" s="446" t="e">
        <f t="shared" si="97"/>
        <v>#VALUE!</v>
      </c>
      <c r="Q607" s="446" t="e">
        <f>IF(OR($B607="",MIN(Q$38,$D$19)&lt;MAX($P$34*($B607+IF($R$17="Distrato",$I$38-1,0)),IF(AND($L$37=0,$P$34=0),"",$L$37-1),IF($R$17="Distrato",$E607,0))),0,YEARFRAC(MAX($P$34*($B607+IF($R$17="Distrato",$I$38-1,0)),IF(AND($L$37=0,$P$34=0),"",$L$37-1),IF($R$17="Distrato",$E607,0)),MIN(Q$38,$D$19),$P$20))-SUM($P607:P607)</f>
        <v>#VALUE!</v>
      </c>
      <c r="R607" s="446" t="e">
        <f>IF(OR($B607="",MIN(R$38,$D$19)&lt;MAX($P$34*($B607+IF($R$17="Distrato",$I$38-1,0)),IF(AND($L$37=0,$P$34=0),"",$L$37-1),IF($R$17="Distrato",$E607,0))),0,YEARFRAC(MAX($P$34*($B607+IF($R$17="Distrato",$I$38-1,0)),IF(AND($L$37=0,$P$34=0),"",$L$37-1),IF($R$17="Distrato",$E607,0)),MIN(R$38,$D$19),$P$20))-SUM($P607:Q607)</f>
        <v>#VALUE!</v>
      </c>
      <c r="S607" s="446" t="e">
        <f>IF(OR($B607="",MIN(S$38,$D$19)&lt;MAX($P$34*($B607+IF($R$17="Distrato",$I$38-1,0)),IF(AND($L$37=0,$P$34=0),"",$L$37-1),IF($R$17="Distrato",$E607,0))),0,YEARFRAC(MAX($P$34*($B607+IF($R$17="Distrato",$I$38-1,0)),IF(AND($L$37=0,$P$34=0),"",$L$37-1),IF($R$17="Distrato",$E607,0)),MIN(S$38,$D$19),$P$20))-SUM($P607:R607)</f>
        <v>#VALUE!</v>
      </c>
      <c r="T607" s="446" t="e">
        <f>IF(OR($B607="",MIN(T$38,$D$19)&lt;MAX($P$34*($B607+IF($R$17="Distrato",$I$38-1,0)),IF(AND($L$37=0,$P$34=0),"",$L$37-1),IF($R$17="Distrato",$E607,0))),0,YEARFRAC(MAX($P$34*($B607+IF($R$17="Distrato",$I$38-1,0)),IF(AND($L$37=0,$P$34=0),"",$L$37-1),IF($R$17="Distrato",$E607,0)),MIN(T$38,$D$19),$P$20))-SUM($P607:S607)</f>
        <v>#VALUE!</v>
      </c>
      <c r="U607" s="446" t="e">
        <f>IF(OR($B607="",MIN(U$38,$D$19)&lt;MAX($P$34*($B607+IF($R$17="Distrato",$I$38-1,0)),IF(AND($L$37=0,$P$34=0),"",$L$37-1),IF($R$17="Distrato",$E607,0))),0,YEARFRAC(MAX($P$34*($B607+IF($R$17="Distrato",$I$38-1,0)),IF(AND($L$37=0,$P$34=0),"",$L$37-1),IF($R$17="Distrato",$E607,0)),MIN(U$38,$D$19),$P$20))-SUM($P607:T607)</f>
        <v>#VALUE!</v>
      </c>
      <c r="V607" s="446" t="e">
        <f>IF(OR($B607="",MIN(V$38,$D$19)&lt;MAX($P$34*($B607+IF($R$17="Distrato",$I$38-1,0)),IF(AND($L$37=0,$P$34=0),"",$L$37-1),IF($R$17="Distrato",$E607,0))),0,YEARFRAC(MAX($P$34*($B607+IF($R$17="Distrato",$I$38-1,0)),IF(AND($L$37=0,$P$34=0),"",$L$37-1),IF($R$17="Distrato",$E607,0)),MIN(V$38,$D$19),$P$20))-SUM($P607:U607)</f>
        <v>#VALUE!</v>
      </c>
      <c r="W607" s="446" t="e">
        <f>IF(OR($B607="",MIN(W$38,$D$19)&lt;MAX($P$34*($B607+IF($R$17="Distrato",$I$38-1,0)),IF(AND($L$37=0,$P$34=0),"",$L$37-1),IF($R$17="Distrato",$E607,0))),0,YEARFRAC(MAX($P$34*($B607+IF($R$17="Distrato",$I$38-1,0)),IF(AND($L$37=0,$P$34=0),"",$L$37-1),IF($R$17="Distrato",$E607,0)),MIN(W$38,$D$19),$P$20))-SUM($P607:V607)</f>
        <v>#VALUE!</v>
      </c>
      <c r="X607" s="446" t="e">
        <f>IF(OR($B607="",MIN(X$38,$D$19)&lt;MAX($P$34*($B607+IF($R$17="Distrato",$I$38-1,0)),IF(AND($L$37=0,$P$34=0),"",$L$37-1),IF($R$17="Distrato",$E607,0))),0,YEARFRAC(MAX($P$34*($B607+IF($R$17="Distrato",$I$38-1,0)),IF(AND($L$37=0,$P$34=0),"",$L$37-1),IF($R$17="Distrato",$E607,0)),MIN(X$38,$D$19),$P$20))-SUM($P607:W607)</f>
        <v>#VALUE!</v>
      </c>
      <c r="Y607" s="446" t="e">
        <f>IF(OR($B607="",MIN(Y$38,$D$19)&lt;MAX($P$34*($B607+IF($R$17="Distrato",$I$38-1,0)),IF(AND($L$37=0,$P$34=0),"",$L$37-1),IF($R$17="Distrato",$E607,0))),0,YEARFRAC(MAX($P$34*($B607+IF($R$17="Distrato",$I$38-1,0)),IF(AND($L$37=0,$P$34=0),"",$L$37-1),IF($R$17="Distrato",$E607,0)),MIN(Y$38,$D$19),$P$20))-SUM($P607:X607)</f>
        <v>#VALUE!</v>
      </c>
      <c r="Z607" s="446" t="e">
        <f>IF(OR($B607="",MIN(Z$38,$D$19)&lt;MAX($P$34*($B607+IF($R$17="Distrato",$I$38-1,0)),IF(AND($L$37=0,$P$34=0),"",$L$37-1),IF($R$17="Distrato",$E607,0))),0,YEARFRAC(MAX($P$34*($B607+IF($R$17="Distrato",$I$38-1,0)),IF(AND($L$37=0,$P$34=0),"",$L$37-1),IF($R$17="Distrato",$E607,0)),MIN(Z$38,$D$19),$P$20))-SUM($P607:Y607)</f>
        <v>#VALUE!</v>
      </c>
      <c r="AA607" s="446" t="e">
        <f>IF(OR($B607="",MIN(AA$38,$D$19)&lt;MAX($P$34*($B607+IF($R$17="Distrato",$I$38-1,0)),IF(AND($L$37=0,$P$34=0),"",$L$37-1),IF($R$17="Distrato",$E607,0))),0,YEARFRAC(MAX($P$34*($B607+IF($R$17="Distrato",$I$38-1,0)),IF(AND($L$37=0,$P$34=0),"",$L$37-1),IF($R$17="Distrato",$E607,0)),MIN(AA$38,$D$19),$P$20))-SUM($P607:Z607)</f>
        <v>#VALUE!</v>
      </c>
      <c r="AB607" s="446" t="e">
        <f>IF(OR($B607="",MIN(AB$38,$D$19)&lt;MAX($P$34*($B607+IF($R$17="Distrato",$I$38-1,0)),IF(AND($L$37=0,$P$34=0),"",$L$37-1),IF($R$17="Distrato",$E607,0))),0,YEARFRAC(MAX($P$34*($B607+IF($R$17="Distrato",$I$38-1,0)),IF(AND($L$37=0,$P$34=0),"",$L$37-1),IF($R$17="Distrato",$E607,0)),MIN(AB$38,$D$19),$P$20))-SUM($P607:AA607)</f>
        <v>#VALUE!</v>
      </c>
      <c r="AC607" s="446" t="e">
        <f>IF(OR($B607="",MIN(AC$38,$D$19)&lt;MAX($P$34*($B607+IF($R$17="Distrato",$I$38-1,0)),IF(AND($L$37=0,$P$34=0),"",$L$37-1),IF($R$17="Distrato",$E607,0))),0,YEARFRAC(MAX($P$34*($B607+IF($R$17="Distrato",$I$38-1,0)),IF(AND($L$37=0,$P$34=0),"",$L$37-1),IF($R$17="Distrato",$E607,0)),MIN(AC$38,$D$19),$P$20))-SUM($P607:AB607)</f>
        <v>#VALUE!</v>
      </c>
      <c r="AD607" s="446" t="e">
        <f>IF(OR($B607="",MIN(AD$38,$D$19)&lt;MAX($P$34*($B607+IF($R$17="Distrato",$I$38-1,0)),IF(AND($L$37=0,$P$34=0),"",$L$37-1),IF($R$17="Distrato",$E607,0))),0,YEARFRAC(MAX($P$34*($B607+IF($R$17="Distrato",$I$38-1,0)),IF(AND($L$37=0,$P$34=0),"",$L$37-1),IF($R$17="Distrato",$E607,0)),MIN(AD$38,$D$19),$P$20))-SUM($P607:AC607)</f>
        <v>#VALUE!</v>
      </c>
      <c r="AE607" s="446" t="e">
        <f>IF(OR($B607="",MIN(AE$38,$D$19)&lt;MAX($P$34*($B607+IF($R$17="Distrato",$I$38-1,0)),IF(AND($L$37=0,$P$34=0),"",$L$37-1),IF($R$17="Distrato",$E607,0))),0,YEARFRAC(MAX($P$34*($B607+IF($R$17="Distrato",$I$38-1,0)),IF(AND($L$37=0,$P$34=0),"",$L$37-1),IF($R$17="Distrato",$E607,0)),MIN(AE$38,$D$19),$P$20))-SUM($P607:AD607)</f>
        <v>#VALUE!</v>
      </c>
      <c r="AF607" s="446" t="e">
        <f>IF(OR($B607="",MIN(AF$38,$D$19)&lt;MAX($P$34*($B607+IF($R$17="Distrato",$I$38-1,0)),IF(AND($L$37=0,$P$34=0),"",$L$37-1),IF($R$17="Distrato",$E607,0))),0,YEARFRAC(MAX($P$34*($B607+IF($R$17="Distrato",$I$38-1,0)),IF(AND($L$37=0,$P$34=0),"",$L$37-1),IF($R$17="Distrato",$E607,0)),MIN(AF$38,$D$19),$P$20))-SUM($P607:AE607)</f>
        <v>#VALUE!</v>
      </c>
      <c r="AG607" s="446" t="e">
        <f>IF(OR($B607="",MIN(AG$38,$D$19)&lt;MAX($P$34*($B607+IF($R$17="Distrato",$I$38-1,0)),IF(AND($L$37=0,$P$34=0),"",$L$37-1),IF($R$17="Distrato",$E607,0))),0,YEARFRAC(MAX($P$34*($B607+IF($R$17="Distrato",$I$38-1,0)),IF(AND($L$37=0,$P$34=0),"",$L$37-1),IF($R$17="Distrato",$E607,0)),MIN(AG$38,$D$19),$P$20))-SUM($P607:AF607)</f>
        <v>#VALUE!</v>
      </c>
      <c r="AH607" s="446" t="e">
        <f>IF(OR($B607="",MIN(AH$38,$D$19)&lt;MAX($P$34*($B607+IF($R$17="Distrato",$I$38-1,0)),IF(AND($L$37=0,$P$34=0),"",$L$37-1),IF($R$17="Distrato",$E607,0))),0,YEARFRAC(MAX($P$34*($B607+IF($R$17="Distrato",$I$38-1,0)),IF(AND($L$37=0,$P$34=0),"",$L$37-1),IF($R$17="Distrato",$E607,0)),MIN(AH$38,$D$19),$P$20))-SUM($P607:AG607)</f>
        <v>#VALUE!</v>
      </c>
      <c r="AI607" s="446" t="e">
        <f>IF(OR($B607="",MIN(AI$38,$D$19)&lt;MAX($P$34*($B607+IF($R$17="Distrato",$I$38-1,0)),IF(AND($L$37=0,$P$34=0),"",$L$37-1),IF($R$17="Distrato",$E607,0))),0,YEARFRAC(MAX($P$34*($B607+IF($R$17="Distrato",$I$38-1,0)),IF(AND($L$37=0,$P$34=0),"",$L$37-1),IF($R$17="Distrato",$E607,0)),MIN(AI$38,$D$19),$P$20))-SUM($P607:AH607)</f>
        <v>#VALUE!</v>
      </c>
      <c r="AJ607" s="446" t="e">
        <f>IF(OR($B607="",MIN(AJ$38,$D$19)&lt;MAX($P$34*($B607+IF($R$17="Distrato",$I$38-1,0)),IF(AND($L$37=0,$P$34=0),"",$L$37-1),IF($R$17="Distrato",$E607,0))),0,YEARFRAC(MAX($P$34*($B607+IF($R$17="Distrato",$I$38-1,0)),IF(AND($L$37=0,$P$34=0),"",$L$37-1),IF($R$17="Distrato",$E607,0)),MIN(AJ$38,$D$19),$P$20))-SUM($P607:AI607)</f>
        <v>#VALUE!</v>
      </c>
      <c r="AK607" s="446" t="e">
        <f>IF(OR($B607="",MIN(AK$38,$D$19)&lt;MAX($P$34*($B607+IF($R$17="Distrato",$I$38-1,0)),IF(AND($L$37=0,$P$34=0),"",$L$37-1),IF($R$17="Distrato",$E607,0))),0,YEARFRAC(MAX($P$34*($B607+IF($R$17="Distrato",$I$38-1,0)),IF(AND($L$37=0,$P$34=0),"",$L$37-1),IF($R$17="Distrato",$E607,0)),MIN(AK$38,$D$19),$P$20))-SUM($P607:AJ607)</f>
        <v>#VALUE!</v>
      </c>
      <c r="AL607" s="446" t="e">
        <f>IF(OR($B607="",MIN(AL$38,$D$19)&lt;MAX($P$34*($B607+IF($R$17="Distrato",$I$38-1,0)),IF(AND($L$37=0,$P$34=0),"",$L$37-1),IF($R$17="Distrato",$E607,0))),0,YEARFRAC(MAX($P$34*($B607+IF($R$17="Distrato",$I$38-1,0)),IF(AND($L$37=0,$P$34=0),"",$L$37-1),IF($R$17="Distrato",$E607,0)),MIN(AL$38,$D$19),$P$20))-SUM($P607:AK607)</f>
        <v>#VALUE!</v>
      </c>
      <c r="AM607" s="446" t="e">
        <f>IF(OR($B607="",MIN(AM$38,$D$19)&lt;MAX($P$34*($B607+IF($R$17="Distrato",$I$38-1,0)),IF(AND($L$37=0,$P$34=0),"",$L$37-1),IF($R$17="Distrato",$E607,0))),0,YEARFRAC(MAX($P$34*($B607+IF($R$17="Distrato",$I$38-1,0)),IF(AND($L$37=0,$P$34=0),"",$L$37-1),IF($R$17="Distrato",$E607,0)),MIN(AM$38,$D$19),$P$20))-SUM($P607:AL607)</f>
        <v>#VALUE!</v>
      </c>
      <c r="AN607" s="446" t="e">
        <f>IF(OR($B607="",MIN(AN$38,$D$19)&lt;MAX($P$34*($B607+IF($R$17="Distrato",$I$38-1,0)),IF(AND($L$37=0,$P$34=0),"",$L$37-1),IF($R$17="Distrato",$E607,0))),0,YEARFRAC(MAX($P$34*($B607+IF($R$17="Distrato",$I$38-1,0)),IF(AND($L$37=0,$P$34=0),"",$L$37-1),IF($R$17="Distrato",$E607,0)),MIN(AN$38,$D$19),$P$20))-SUM($P607:AM607)</f>
        <v>#VALUE!</v>
      </c>
      <c r="AO607" s="446" t="e">
        <f>IF(OR($B607="",MIN(AO$38,$D$19)&lt;MAX($P$34*($B607+IF($R$17="Distrato",$I$38-1,0)),IF(AND($L$37=0,$P$34=0),"",$L$37-1),IF($R$17="Distrato",$E607,0))),0,YEARFRAC(MAX($P$34*($B607+IF($R$17="Distrato",$I$38-1,0)),IF(AND($L$37=0,$P$34=0),"",$L$37-1),IF($R$17="Distrato",$E607,0)),MIN(AO$38,$D$19),$P$20))-SUM($P607:AN607)</f>
        <v>#VALUE!</v>
      </c>
      <c r="AP607" s="446" t="e">
        <f>IF(OR($B607="",MIN(AP$38,$D$19)&lt;MAX($P$34*($B607+IF($R$17="Distrato",$I$38-1,0)),IF(AND($L$37=0,$P$34=0),"",$L$37-1),IF($R$17="Distrato",$E607,0))),0,YEARFRAC(MAX($P$34*($B607+IF($R$17="Distrato",$I$38-1,0)),IF(AND($L$37=0,$P$34=0),"",$L$37-1),IF($R$17="Distrato",$E607,0)),MIN(AP$38,$D$19),$P$20))-SUM($P607:AO607)</f>
        <v>#VALUE!</v>
      </c>
      <c r="AQ607" s="446" t="e">
        <f>IF(OR($B607="",MIN(AQ$38,$D$19)&lt;MAX($P$34*($B607+IF($R$17="Distrato",$I$38-1,0)),IF(AND($L$37=0,$P$34=0),"",$L$37-1),IF($R$17="Distrato",$E607,0))),0,YEARFRAC(MAX($P$34*($B607+IF($R$17="Distrato",$I$38-1,0)),IF(AND($L$37=0,$P$34=0),"",$L$37-1),IF($R$17="Distrato",$E607,0)),MIN(AQ$38,$D$19),$P$20))-SUM($P607:AP607)</f>
        <v>#VALUE!</v>
      </c>
      <c r="AR607" s="446" t="e">
        <f>IF(OR($B607="",MIN(AR$38,$D$19)&lt;MAX($P$34*($B607+IF($R$17="Distrato",$I$38-1,0)),IF(AND($L$37=0,$P$34=0),"",$L$37-1),IF($R$17="Distrato",$E607,0))),0,YEARFRAC(MAX($P$34*($B607+IF($R$17="Distrato",$I$38-1,0)),IF(AND($L$37=0,$P$34=0),"",$L$37-1),IF($R$17="Distrato",$E607,0)),MIN(AR$38,$D$19),$P$20))-SUM($P607:AQ607)</f>
        <v>#VALUE!</v>
      </c>
      <c r="AS607" s="446" t="e">
        <f>IF(OR($B607="",MIN(AS$38,$D$19)&lt;MAX($P$34*($B607+IF($R$17="Distrato",$I$38-1,0)),IF(AND($L$37=0,$P$34=0),"",$L$37-1),IF($R$17="Distrato",$E607,0))),0,YEARFRAC(MAX($P$34*($B607+IF($R$17="Distrato",$I$38-1,0)),IF(AND($L$37=0,$P$34=0),"",$L$37-1),IF($R$17="Distrato",$E607,0)),MIN(AS$38,$D$19),$P$20))-SUM($P607:AR607)</f>
        <v>#VALUE!</v>
      </c>
      <c r="AT607" s="446" t="e">
        <f>IF(OR($B607="",MIN(AT$38,$D$19)&lt;MAX($P$34*($B607+IF($R$17="Distrato",$I$38-1,0)),IF(AND($L$37=0,$P$34=0),"",$L$37-1),IF($R$17="Distrato",$E607,0))),0,YEARFRAC(MAX($P$34*($B607+IF($R$17="Distrato",$I$38-1,0)),IF(AND($L$37=0,$P$34=0),"",$L$37-1),IF($R$17="Distrato",$E607,0)),MIN(AT$38,$D$19),$P$20))-SUM($P607:AS607)</f>
        <v>#VALUE!</v>
      </c>
      <c r="AU607" s="446" t="e">
        <f>IF(OR($B607="",MIN(AU$38,$D$19)&lt;MAX($P$34*($B607+IF($R$17="Distrato",$I$38-1,0)),IF(AND($L$37=0,$P$34=0),"",$L$37-1),IF($R$17="Distrato",$E607,0))),0,YEARFRAC(MAX($P$34*($B607+IF($R$17="Distrato",$I$38-1,0)),IF(AND($L$37=0,$P$34=0),"",$L$37-1),IF($R$17="Distrato",$E607,0)),MIN(AU$38,$D$19),$P$20))-SUM($P607:AT607)</f>
        <v>#VALUE!</v>
      </c>
      <c r="AV607" s="446" t="e">
        <f>IF(OR($B607="",MIN(AV$38,$D$19)&lt;MAX($P$34*($B607+IF($R$17="Distrato",$I$38-1,0)),IF(AND($L$37=0,$P$34=0),"",$L$37-1),IF($R$17="Distrato",$E607,0))),0,YEARFRAC(MAX($P$34*($B607+IF($R$17="Distrato",$I$38-1,0)),IF(AND($L$37=0,$P$34=0),"",$L$37-1),IF($R$17="Distrato",$E607,0)),MIN(AV$38,$D$19),$P$20))-SUM($P607:AU607)</f>
        <v>#VALUE!</v>
      </c>
      <c r="AW607" s="446" t="e">
        <f>IF(OR($B607="",MIN(AW$38,$D$19)&lt;MAX($P$34*($B607+IF($R$17="Distrato",$I$38-1,0)),IF(AND($L$37=0,$P$34=0),"",$L$37-1),IF($R$17="Distrato",$E607,0))),0,YEARFRAC(MAX($P$34*($B607+IF($R$17="Distrato",$I$38-1,0)),IF(AND($L$37=0,$P$34=0),"",$L$37-1),IF($R$17="Distrato",$E607,0)),MIN(AW$38,$D$19),$P$20))-SUM($P607:AV607)</f>
        <v>#VALUE!</v>
      </c>
      <c r="AX607" s="446" t="e">
        <f>IF(OR($B607="",MIN(AX$38,$D$19)&lt;MAX($P$34*($B607+IF($R$17="Distrato",$I$38-1,0)),IF(AND($L$37=0,$P$34=0),"",$L$37-1),IF($R$17="Distrato",$E607,0))),0,YEARFRAC(MAX($P$34*($B607+IF($R$17="Distrato",$I$38-1,0)),IF(AND($L$37=0,$P$34=0),"",$L$37-1),IF($R$17="Distrato",$E607,0)),MIN(AX$38,$D$19),$P$20))-SUM($P607:AW607)</f>
        <v>#VALUE!</v>
      </c>
      <c r="AY607" s="446" t="e">
        <f>IF(OR($B607="",MIN(AY$38,$D$19)&lt;MAX($P$34*($B607+IF($R$17="Distrato",$I$38-1,0)),IF(AND($L$37=0,$P$34=0),"",$L$37-1),IF($R$17="Distrato",$E607,0))),0,YEARFRAC(MAX($P$34*($B607+IF($R$17="Distrato",$I$38-1,0)),IF(AND($L$37=0,$P$34=0),"",$L$37-1),IF($R$17="Distrato",$E607,0)),MIN(AY$38,$D$19),$P$20))-SUM($P607:AX607)</f>
        <v>#VALUE!</v>
      </c>
      <c r="AZ607" s="446" t="e">
        <f>IF(OR($B607="",MIN(AZ$38,$D$19)&lt;MAX($P$34*($B607+IF($R$17="Distrato",$I$38-1,0)),IF(AND($L$37=0,$P$34=0),"",$L$37-1),IF($R$17="Distrato",$E607,0))),0,YEARFRAC(MAX($P$34*($B607+IF($R$17="Distrato",$I$38-1,0)),IF(AND($L$37=0,$P$34=0),"",$L$37-1),IF($R$17="Distrato",$E607,0)),MIN(AZ$38,$D$19),$P$20))-SUM($P607:AY607)</f>
        <v>#VALUE!</v>
      </c>
      <c r="BA607" s="446" t="e">
        <f>IF(OR($B607="",MIN(BA$38,$D$19)&lt;MAX($P$34*($B607+IF($R$17="Distrato",$I$38-1,0)),IF(AND($L$37=0,$P$34=0),"",$L$37-1),IF($R$17="Distrato",$E607,0))),0,YEARFRAC(MAX($P$34*($B607+IF($R$17="Distrato",$I$38-1,0)),IF(AND($L$37=0,$P$34=0),"",$L$37-1),IF($R$17="Distrato",$E607,0)),MIN(BA$38,$D$19),$P$20))-SUM($P607:AZ607)</f>
        <v>#VALUE!</v>
      </c>
      <c r="BB607" s="447"/>
      <c r="BF607" s="446">
        <f t="shared" si="98"/>
        <v>0</v>
      </c>
      <c r="BG607" s="446">
        <f>IF($E607=0,0,IF(MIN(BG$38,$E607)&lt;MAX($P$34*($B607+$I$38-1),IF(AND($L$37=0,$P$34=0),"",$L$37-1)),0,YEARFRAC(MAX($P$34*($B607+$I$38-1),IF(AND($L$37=0,$P$34=0),"",$L$37-1)),MIN(BG$38,$E607),$P$20))-SUM($BF607:BF607))</f>
        <v>0</v>
      </c>
      <c r="BH607" s="446">
        <f>IF($E607=0,0,IF(MIN(BH$38,$E607)&lt;MAX($P$34*($B607+$I$38-1),IF(AND($L$37=0,$P$34=0),"",$L$37-1)),0,YEARFRAC(MAX($P$34*($B607+$I$38-1),IF(AND($L$37=0,$P$34=0),"",$L$37-1)),MIN(BH$38,$E607),$P$20))-SUM($BF607:BG607))</f>
        <v>0</v>
      </c>
      <c r="BI607" s="446">
        <f>IF($E607=0,0,IF(MIN(BI$38,$E607)&lt;MAX($P$34*($B607+$I$38-1),IF(AND($L$37=0,$P$34=0),"",$L$37-1)),0,YEARFRAC(MAX($P$34*($B607+$I$38-1),IF(AND($L$37=0,$P$34=0),"",$L$37-1)),MIN(BI$38,$E607),$P$20))-SUM($BF607:BH607))</f>
        <v>0</v>
      </c>
      <c r="BJ607" s="446">
        <f>IF($E607=0,0,IF(MIN(BJ$38,$E607)&lt;MAX($P$34*($B607+$I$38-1),IF(AND($L$37=0,$P$34=0),"",$L$37-1)),0,YEARFRAC(MAX($P$34*($B607+$I$38-1),IF(AND($L$37=0,$P$34=0),"",$L$37-1)),MIN(BJ$38,$E607),$P$20))-SUM($BF607:BI607))</f>
        <v>0</v>
      </c>
      <c r="BK607" s="446">
        <f>IF($E607=0,0,IF(MIN(BK$38,$E607)&lt;MAX($P$34*($B607+$I$38-1),IF(AND($L$37=0,$P$34=0),"",$L$37-1)),0,YEARFRAC(MAX($P$34*($B607+$I$38-1),IF(AND($L$37=0,$P$34=0),"",$L$37-1)),MIN(BK$38,$E607),$P$20))-SUM($BF607:BJ607))</f>
        <v>0</v>
      </c>
      <c r="BL607" s="446">
        <f>IF($E607=0,0,IF(MIN(BL$38,$E607)&lt;MAX($P$34*($B607+$I$38-1),IF(AND($L$37=0,$P$34=0),"",$L$37-1)),0,YEARFRAC(MAX($P$34*($B607+$I$38-1),IF(AND($L$37=0,$P$34=0),"",$L$37-1)),MIN(BL$38,$E607),$P$20))-SUM($BF607:BK607))</f>
        <v>0</v>
      </c>
      <c r="BM607" s="446">
        <f>IF($E607=0,0,IF(MIN(BM$38,$E607)&lt;MAX($P$34*($B607+$I$38-1),IF(AND($L$37=0,$P$34=0),"",$L$37-1)),0,YEARFRAC(MAX($P$34*($B607+$I$38-1),IF(AND($L$37=0,$P$34=0),"",$L$37-1)),MIN(BM$38,$E607),$P$20))-SUM($BF607:BL607))</f>
        <v>0</v>
      </c>
      <c r="BN607" s="446">
        <f>IF($E607=0,0,IF(MIN(BN$38,$E607)&lt;MAX($P$34*($B607+$I$38-1),IF(AND($L$37=0,$P$34=0),"",$L$37-1)),0,YEARFRAC(MAX($P$34*($B607+$I$38-1),IF(AND($L$37=0,$P$34=0),"",$L$37-1)),MIN(BN$38,$E607),$P$20))-SUM($BF607:BM607))</f>
        <v>0</v>
      </c>
      <c r="BO607" s="446">
        <f>IF($E607=0,0,IF(MIN(BO$38,$E607)&lt;MAX($P$34*($B607+$I$38-1),IF(AND($L$37=0,$P$34=0),"",$L$37-1)),0,YEARFRAC(MAX($P$34*($B607+$I$38-1),IF(AND($L$37=0,$P$34=0),"",$L$37-1)),MIN(BO$38,$E607),$P$20))-SUM($BF607:BN607))</f>
        <v>0</v>
      </c>
      <c r="BP607" s="446">
        <f>IF($E607=0,0,IF(MIN(BP$38,$E607)&lt;MAX($P$34*($B607+$I$38-1),IF(AND($L$37=0,$P$34=0),"",$L$37-1)),0,YEARFRAC(MAX($P$34*($B607+$I$38-1),IF(AND($L$37=0,$P$34=0),"",$L$37-1)),MIN(BP$38,$E607),$P$20))-SUM($BF607:BO607))</f>
        <v>0</v>
      </c>
      <c r="BQ607" s="446">
        <f>IF($E607=0,0,IF(MIN(BQ$38,$E607)&lt;MAX($P$34*($B607+$I$38-1),IF(AND($L$37=0,$P$34=0),"",$L$37-1)),0,YEARFRAC(MAX($P$34*($B607+$I$38-1),IF(AND($L$37=0,$P$34=0),"",$L$37-1)),MIN(BQ$38,$E607),$P$20))-SUM($BF607:BP607))</f>
        <v>0</v>
      </c>
      <c r="BR607" s="446">
        <f>IF($E607=0,0,IF(MIN(BR$38,$E607)&lt;MAX($P$34*($B607+$I$38-1),IF(AND($L$37=0,$P$34=0),"",$L$37-1)),0,YEARFRAC(MAX($P$34*($B607+$I$38-1),IF(AND($L$37=0,$P$34=0),"",$L$37-1)),MIN(BR$38,$E607),$P$20))-SUM($BF607:BQ607))</f>
        <v>0</v>
      </c>
      <c r="BS607" s="446">
        <f>IF($E607=0,0,IF(MIN(BS$38,$E607)&lt;MAX($P$34*($B607+$I$38-1),IF(AND($L$37=0,$P$34=0),"",$L$37-1)),0,YEARFRAC(MAX($P$34*($B607+$I$38-1),IF(AND($L$37=0,$P$34=0),"",$L$37-1)),MIN(BS$38,$E607),$P$20))-SUM($BF607:BR607))</f>
        <v>0</v>
      </c>
      <c r="BT607" s="446">
        <f>IF($E607=0,0,IF(MIN(BT$38,$E607)&lt;MAX($P$34*($B607+$I$38-1),IF(AND($L$37=0,$P$34=0),"",$L$37-1)),0,YEARFRAC(MAX($P$34*($B607+$I$38-1),IF(AND($L$37=0,$P$34=0),"",$L$37-1)),MIN(BT$38,$E607),$P$20))-SUM($BF607:BS607))</f>
        <v>0</v>
      </c>
      <c r="BU607" s="446">
        <f>IF($E607=0,0,IF(MIN(BU$38,$E607)&lt;MAX($P$34*($B607+$I$38-1),IF(AND($L$37=0,$P$34=0),"",$L$37-1)),0,YEARFRAC(MAX($P$34*($B607+$I$38-1),IF(AND($L$37=0,$P$34=0),"",$L$37-1)),MIN(BU$38,$E607),$P$20))-SUM($BF607:BT607))</f>
        <v>0</v>
      </c>
      <c r="BV607" s="446">
        <f>IF($E607=0,0,IF(MIN(BV$38,$E607)&lt;MAX($P$34*($B607+$I$38-1),IF(AND($L$37=0,$P$34=0),"",$L$37-1)),0,YEARFRAC(MAX($P$34*($B607+$I$38-1),IF(AND($L$37=0,$P$34=0),"",$L$37-1)),MIN(BV$38,$E607),$P$20))-SUM($BF607:BU607))</f>
        <v>0</v>
      </c>
      <c r="BW607" s="446">
        <f>IF($E607=0,0,IF(MIN(BW$38,$E607)&lt;MAX($P$34*($B607+$I$38-1),IF(AND($L$37=0,$P$34=0),"",$L$37-1)),0,YEARFRAC(MAX($P$34*($B607+$I$38-1),IF(AND($L$37=0,$P$34=0),"",$L$37-1)),MIN(BW$38,$E607),$P$20))-SUM($BF607:BV607))</f>
        <v>0</v>
      </c>
      <c r="BX607" s="446">
        <f>IF($E607=0,0,IF(MIN(BX$38,$E607)&lt;MAX($P$34*($B607+$I$38-1),IF(AND($L$37=0,$P$34=0),"",$L$37-1)),0,YEARFRAC(MAX($P$34*($B607+$I$38-1),IF(AND($L$37=0,$P$34=0),"",$L$37-1)),MIN(BX$38,$E607),$P$20))-SUM($BF607:BW607))</f>
        <v>0</v>
      </c>
      <c r="BY607" s="446">
        <f>IF($E607=0,0,IF(MIN(BY$38,$E607)&lt;MAX($P$34*($B607+$I$38-1),IF(AND($L$37=0,$P$34=0),"",$L$37-1)),0,YEARFRAC(MAX($P$34*($B607+$I$38-1),IF(AND($L$37=0,$P$34=0),"",$L$37-1)),MIN(BY$38,$E607),$P$20))-SUM($BF607:BX607))</f>
        <v>0</v>
      </c>
      <c r="BZ607" s="446">
        <f>IF($E607=0,0,IF(MIN(BZ$38,$E607)&lt;MAX($P$34*($B607+$I$38-1),IF(AND($L$37=0,$P$34=0),"",$L$37-1)),0,YEARFRAC(MAX($P$34*($B607+$I$38-1),IF(AND($L$37=0,$P$34=0),"",$L$37-1)),MIN(BZ$38,$E607),$P$20))-SUM($BF607:BY607))</f>
        <v>0</v>
      </c>
      <c r="CA607" s="446">
        <f>IF($E607=0,0,IF(MIN(CA$38,$E607)&lt;MAX($P$34*($B607+$I$38-1),IF(AND($L$37=0,$P$34=0),"",$L$37-1)),0,YEARFRAC(MAX($P$34*($B607+$I$38-1),IF(AND($L$37=0,$P$34=0),"",$L$37-1)),MIN(CA$38,$E607),$P$20))-SUM($BF607:BZ607))</f>
        <v>0</v>
      </c>
      <c r="CB607" s="446">
        <f>IF($E607=0,0,IF(MIN(CB$38,$E607)&lt;MAX($P$34*($B607+$I$38-1),IF(AND($L$37=0,$P$34=0),"",$L$37-1)),0,YEARFRAC(MAX($P$34*($B607+$I$38-1),IF(AND($L$37=0,$P$34=0),"",$L$37-1)),MIN(CB$38,$E607),$P$20))-SUM($BF607:CA607))</f>
        <v>0</v>
      </c>
      <c r="CC607" s="446">
        <f>IF($E607=0,0,IF(MIN(CC$38,$E607)&lt;MAX($P$34*($B607+$I$38-1),IF(AND($L$37=0,$P$34=0),"",$L$37-1)),0,YEARFRAC(MAX($P$34*($B607+$I$38-1),IF(AND($L$37=0,$P$34=0),"",$L$37-1)),MIN(CC$38,$E607),$P$20))-SUM($BF607:CB607))</f>
        <v>0</v>
      </c>
      <c r="CD607" s="446">
        <f>IF($E607=0,0,IF(MIN(CD$38,$E607)&lt;MAX($P$34*($B607+$I$38-1),IF(AND($L$37=0,$P$34=0),"",$L$37-1)),0,YEARFRAC(MAX($P$34*($B607+$I$38-1),IF(AND($L$37=0,$P$34=0),"",$L$37-1)),MIN(CD$38,$E607),$P$20))-SUM($BF607:CC607))</f>
        <v>0</v>
      </c>
      <c r="CE607" s="446">
        <f>IF($E607=0,0,IF(MIN(CE$38,$E607)&lt;MAX($P$34*($B607+$I$38-1),IF(AND($L$37=0,$P$34=0),"",$L$37-1)),0,YEARFRAC(MAX($P$34*($B607+$I$38-1),IF(AND($L$37=0,$P$34=0),"",$L$37-1)),MIN(CE$38,$E607),$P$20))-SUM($BF607:CD607))</f>
        <v>0</v>
      </c>
      <c r="CF607" s="446">
        <f>IF($E607=0,0,IF(MIN(CF$38,$E607)&lt;MAX($P$34*($B607+$I$38-1),IF(AND($L$37=0,$P$34=0),"",$L$37-1)),0,YEARFRAC(MAX($P$34*($B607+$I$38-1),IF(AND($L$37=0,$P$34=0),"",$L$37-1)),MIN(CF$38,$E607),$P$20))-SUM($BF607:CE607))</f>
        <v>0</v>
      </c>
      <c r="CG607" s="446">
        <f>IF($E607=0,0,IF(MIN(CG$38,$E607)&lt;MAX($P$34*($B607+$I$38-1),IF(AND($L$37=0,$P$34=0),"",$L$37-1)),0,YEARFRAC(MAX($P$34*($B607+$I$38-1),IF(AND($L$37=0,$P$34=0),"",$L$37-1)),MIN(CG$38,$E607),$P$20))-SUM($BF607:CF607))</f>
        <v>0</v>
      </c>
      <c r="CH607" s="446">
        <f>IF($E607=0,0,IF(MIN(CH$38,$E607)&lt;MAX($P$34*($B607+$I$38-1),IF(AND($L$37=0,$P$34=0),"",$L$37-1)),0,YEARFRAC(MAX($P$34*($B607+$I$38-1),IF(AND($L$37=0,$P$34=0),"",$L$37-1)),MIN(CH$38,$E607),$P$20))-SUM($BF607:CG607))</f>
        <v>0</v>
      </c>
      <c r="CI607" s="446">
        <f>IF($E607=0,0,IF(MIN(CI$38,$E607)&lt;MAX($P$34*($B607+$I$38-1),IF(AND($L$37=0,$P$34=0),"",$L$37-1)),0,YEARFRAC(MAX($P$34*($B607+$I$38-1),IF(AND($L$37=0,$P$34=0),"",$L$37-1)),MIN(CI$38,$E607),$P$20))-SUM($BF607:CH607))</f>
        <v>0</v>
      </c>
      <c r="CJ607" s="446">
        <f>IF($E607=0,0,IF(MIN(CJ$38,$E607)&lt;MAX($P$34*($B607+$I$38-1),IF(AND($L$37=0,$P$34=0),"",$L$37-1)),0,YEARFRAC(MAX($P$34*($B607+$I$38-1),IF(AND($L$37=0,$P$34=0),"",$L$37-1)),MIN(CJ$38,$E607),$P$20))-SUM($BF607:CI607))</f>
        <v>0</v>
      </c>
      <c r="CK607" s="446">
        <f>IF($E607=0,0,IF(MIN(CK$38,$E607)&lt;MAX($P$34*($B607+$I$38-1),IF(AND($L$37=0,$P$34=0),"",$L$37-1)),0,YEARFRAC(MAX($P$34*($B607+$I$38-1),IF(AND($L$37=0,$P$34=0),"",$L$37-1)),MIN(CK$38,$E607),$P$20))-SUM($BF607:CJ607))</f>
        <v>0</v>
      </c>
      <c r="CL607" s="446">
        <f>IF($E607=0,0,IF(MIN(CL$38,$E607)&lt;MAX($P$34*($B607+$I$38-1),IF(AND($L$37=0,$P$34=0),"",$L$37-1)),0,YEARFRAC(MAX($P$34*($B607+$I$38-1),IF(AND($L$37=0,$P$34=0),"",$L$37-1)),MIN(CL$38,$E607),$P$20))-SUM($BF607:CK607))</f>
        <v>0</v>
      </c>
      <c r="CM607" s="446">
        <f>IF($E607=0,0,IF(MIN(CM$38,$E607)&lt;MAX($P$34*($B607+$I$38-1),IF(AND($L$37=0,$P$34=0),"",$L$37-1)),0,YEARFRAC(MAX($P$34*($B607+$I$38-1),IF(AND($L$37=0,$P$34=0),"",$L$37-1)),MIN(CM$38,$E607),$P$20))-SUM($BF607:CL607))</f>
        <v>0</v>
      </c>
      <c r="CN607" s="446">
        <f>IF($E607=0,0,IF(MIN(CN$38,$E607)&lt;MAX($P$34*($B607+$I$38-1),IF(AND($L$37=0,$P$34=0),"",$L$37-1)),0,YEARFRAC(MAX($P$34*($B607+$I$38-1),IF(AND($L$37=0,$P$34=0),"",$L$37-1)),MIN(CN$38,$E607),$P$20))-SUM($BF607:CM607))</f>
        <v>0</v>
      </c>
      <c r="CO607" s="446">
        <f>IF($E607=0,0,IF(MIN(CO$38,$E607)&lt;MAX($P$34*($B607+$I$38-1),IF(AND($L$37=0,$P$34=0),"",$L$37-1)),0,YEARFRAC(MAX($P$34*($B607+$I$38-1),IF(AND($L$37=0,$P$34=0),"",$L$37-1)),MIN(CO$38,$E607),$P$20))-SUM($BF607:CN607))</f>
        <v>0</v>
      </c>
      <c r="CP607" s="446">
        <f>IF($E607=0,0,IF(MIN(CP$38,$E607)&lt;MAX($P$34*($B607+$I$38-1),IF(AND($L$37=0,$P$34=0),"",$L$37-1)),0,YEARFRAC(MAX($P$34*($B607+$I$38-1),IF(AND($L$37=0,$P$34=0),"",$L$37-1)),MIN(CP$38,$E607),$P$20))-SUM($BF607:CO607))</f>
        <v>0</v>
      </c>
      <c r="CQ607" s="446">
        <f>IF($E607=0,0,IF(MIN(CQ$38,$E607)&lt;MAX($P$34*($B607+$I$38-1),IF(AND($L$37=0,$P$34=0),"",$L$37-1)),0,YEARFRAC(MAX($P$34*($B607+$I$38-1),IF(AND($L$37=0,$P$34=0),"",$L$37-1)),MIN(CQ$38,$E607),$P$20))-SUM($BF607:CP607))</f>
        <v>0</v>
      </c>
    </row>
    <row r="608" spans="1:95" s="446" customFormat="1" ht="11.25" hidden="1" customHeight="1" x14ac:dyDescent="0.2">
      <c r="A608" s="152"/>
      <c r="B608" s="153" t="str">
        <f t="shared" si="103"/>
        <v/>
      </c>
      <c r="C608" s="29" t="str">
        <f>IF(B608="","",IF($L$35="SELIC - TRIBUTOS",VLOOKUP(DATE(YEAR($D$19),MONTH($D$19)-1,1),ÍNDICES!$A:$DE,HLOOKUP($BL$25,ÍNDICES!$B$3:$T$4,2)+11)-VLOOKUP(B608,ÍNDICES!$A:$DE,HLOOKUP($BL$25,ÍNDICES!$B$3:$T$4,2)+11)+1%,IF(C$38=$W$26,$J$35,IF(ISERROR(IF(B608&gt;$D$19,1,VLOOKUP(DATE(YEAR(B608),MONTH(B608)+IF($C$35=$S$23,1,0),1),ÍNDICES!$A:$DE,$Z$35+1))),"",IF(B608&gt;$D$19,1,VLOOKUP(DATE(YEAR(B608),MONTH(B608)+IF($C$35=$S$23,1,0),1),ÍNDICES!$A:$DE,$Z$35+1))))))</f>
        <v/>
      </c>
      <c r="D608" s="154" t="str">
        <f>IF(ISERROR(IF(OR($D$38=$Y$27,$B608=""),"",VLOOKUP(B608,ÍNDICES!A:DE,AF$35+1))),"",IF(OR($D$38=$Y$27,$B608=""),"",VLOOKUP(B608,ÍNDICES!A:DE,AF$35+1)))</f>
        <v/>
      </c>
      <c r="E608" s="153"/>
      <c r="F608" s="29" t="str">
        <f>IF(E608="","",IF($L$35="SELIC - TRIBUTOS",VLOOKUP(DATE(YEAR($D$19),MONTH($D$19)-1,1),ÍNDICES!$A:$DE,HLOOKUP($BL$25,ÍNDICES!$B$3:$T$4,2)+11)-VLOOKUP(E608,ÍNDICES!$A:$DE,HLOOKUP($BL$25,ÍNDICES!$B$3:$T$4,2)+11)+1%,IF(F$38=$W$26,$J$35,IF(ISERROR(IF(E608&gt;$D$19,1,VLOOKUP(DATE(YEAR(E608),MONTH(E608)+IF($C$35=$S$23,1,0),1),ÍNDICES!$A:$DE,$Z$35+1))),"",IF(E608&gt;$D$19,1,VLOOKUP(DATE(YEAR(E608),MONTH(E608)+IF($C$35=$S$23,1,0),1),ÍNDICES!$A:$DE,$Z$35+1))))))</f>
        <v/>
      </c>
      <c r="G608" s="155"/>
      <c r="H608" s="156" t="str">
        <f t="shared" si="99"/>
        <v/>
      </c>
      <c r="I608" s="29" t="str">
        <f t="shared" si="93"/>
        <v/>
      </c>
      <c r="J608" s="5">
        <f t="shared" si="94"/>
        <v>0</v>
      </c>
      <c r="K608" s="20">
        <f t="shared" ca="1" si="95"/>
        <v>0</v>
      </c>
      <c r="L608" s="5">
        <f t="shared" ca="1" si="96"/>
        <v>0</v>
      </c>
      <c r="M608" s="64">
        <f t="shared" si="100"/>
        <v>0</v>
      </c>
      <c r="N608" s="61">
        <f t="shared" ca="1" si="101"/>
        <v>0</v>
      </c>
      <c r="O608" s="5">
        <f t="shared" ca="1" si="102"/>
        <v>0</v>
      </c>
      <c r="P608" s="446" t="e">
        <f t="shared" si="97"/>
        <v>#VALUE!</v>
      </c>
      <c r="Q608" s="446" t="e">
        <f>IF(OR($B608="",MIN(Q$38,$D$19)&lt;MAX($P$34*($B608+IF($R$17="Distrato",$I$38-1,0)),IF(AND($L$37=0,$P$34=0),"",$L$37-1),IF($R$17="Distrato",$E608,0))),0,YEARFRAC(MAX($P$34*($B608+IF($R$17="Distrato",$I$38-1,0)),IF(AND($L$37=0,$P$34=0),"",$L$37-1),IF($R$17="Distrato",$E608,0)),MIN(Q$38,$D$19),$P$20))-SUM($P608:P608)</f>
        <v>#VALUE!</v>
      </c>
      <c r="R608" s="446" t="e">
        <f>IF(OR($B608="",MIN(R$38,$D$19)&lt;MAX($P$34*($B608+IF($R$17="Distrato",$I$38-1,0)),IF(AND($L$37=0,$P$34=0),"",$L$37-1),IF($R$17="Distrato",$E608,0))),0,YEARFRAC(MAX($P$34*($B608+IF($R$17="Distrato",$I$38-1,0)),IF(AND($L$37=0,$P$34=0),"",$L$37-1),IF($R$17="Distrato",$E608,0)),MIN(R$38,$D$19),$P$20))-SUM($P608:Q608)</f>
        <v>#VALUE!</v>
      </c>
      <c r="S608" s="446" t="e">
        <f>IF(OR($B608="",MIN(S$38,$D$19)&lt;MAX($P$34*($B608+IF($R$17="Distrato",$I$38-1,0)),IF(AND($L$37=0,$P$34=0),"",$L$37-1),IF($R$17="Distrato",$E608,0))),0,YEARFRAC(MAX($P$34*($B608+IF($R$17="Distrato",$I$38-1,0)),IF(AND($L$37=0,$P$34=0),"",$L$37-1),IF($R$17="Distrato",$E608,0)),MIN(S$38,$D$19),$P$20))-SUM($P608:R608)</f>
        <v>#VALUE!</v>
      </c>
      <c r="T608" s="446" t="e">
        <f>IF(OR($B608="",MIN(T$38,$D$19)&lt;MAX($P$34*($B608+IF($R$17="Distrato",$I$38-1,0)),IF(AND($L$37=0,$P$34=0),"",$L$37-1),IF($R$17="Distrato",$E608,0))),0,YEARFRAC(MAX($P$34*($B608+IF($R$17="Distrato",$I$38-1,0)),IF(AND($L$37=0,$P$34=0),"",$L$37-1),IF($R$17="Distrato",$E608,0)),MIN(T$38,$D$19),$P$20))-SUM($P608:S608)</f>
        <v>#VALUE!</v>
      </c>
      <c r="U608" s="446" t="e">
        <f>IF(OR($B608="",MIN(U$38,$D$19)&lt;MAX($P$34*($B608+IF($R$17="Distrato",$I$38-1,0)),IF(AND($L$37=0,$P$34=0),"",$L$37-1),IF($R$17="Distrato",$E608,0))),0,YEARFRAC(MAX($P$34*($B608+IF($R$17="Distrato",$I$38-1,0)),IF(AND($L$37=0,$P$34=0),"",$L$37-1),IF($R$17="Distrato",$E608,0)),MIN(U$38,$D$19),$P$20))-SUM($P608:T608)</f>
        <v>#VALUE!</v>
      </c>
      <c r="V608" s="446" t="e">
        <f>IF(OR($B608="",MIN(V$38,$D$19)&lt;MAX($P$34*($B608+IF($R$17="Distrato",$I$38-1,0)),IF(AND($L$37=0,$P$34=0),"",$L$37-1),IF($R$17="Distrato",$E608,0))),0,YEARFRAC(MAX($P$34*($B608+IF($R$17="Distrato",$I$38-1,0)),IF(AND($L$37=0,$P$34=0),"",$L$37-1),IF($R$17="Distrato",$E608,0)),MIN(V$38,$D$19),$P$20))-SUM($P608:U608)</f>
        <v>#VALUE!</v>
      </c>
      <c r="W608" s="446" t="e">
        <f>IF(OR($B608="",MIN(W$38,$D$19)&lt;MAX($P$34*($B608+IF($R$17="Distrato",$I$38-1,0)),IF(AND($L$37=0,$P$34=0),"",$L$37-1),IF($R$17="Distrato",$E608,0))),0,YEARFRAC(MAX($P$34*($B608+IF($R$17="Distrato",$I$38-1,0)),IF(AND($L$37=0,$P$34=0),"",$L$37-1),IF($R$17="Distrato",$E608,0)),MIN(W$38,$D$19),$P$20))-SUM($P608:V608)</f>
        <v>#VALUE!</v>
      </c>
      <c r="X608" s="446" t="e">
        <f>IF(OR($B608="",MIN(X$38,$D$19)&lt;MAX($P$34*($B608+IF($R$17="Distrato",$I$38-1,0)),IF(AND($L$37=0,$P$34=0),"",$L$37-1),IF($R$17="Distrato",$E608,0))),0,YEARFRAC(MAX($P$34*($B608+IF($R$17="Distrato",$I$38-1,0)),IF(AND($L$37=0,$P$34=0),"",$L$37-1),IF($R$17="Distrato",$E608,0)),MIN(X$38,$D$19),$P$20))-SUM($P608:W608)</f>
        <v>#VALUE!</v>
      </c>
      <c r="Y608" s="446" t="e">
        <f>IF(OR($B608="",MIN(Y$38,$D$19)&lt;MAX($P$34*($B608+IF($R$17="Distrato",$I$38-1,0)),IF(AND($L$37=0,$P$34=0),"",$L$37-1),IF($R$17="Distrato",$E608,0))),0,YEARFRAC(MAX($P$34*($B608+IF($R$17="Distrato",$I$38-1,0)),IF(AND($L$37=0,$P$34=0),"",$L$37-1),IF($R$17="Distrato",$E608,0)),MIN(Y$38,$D$19),$P$20))-SUM($P608:X608)</f>
        <v>#VALUE!</v>
      </c>
      <c r="Z608" s="446" t="e">
        <f>IF(OR($B608="",MIN(Z$38,$D$19)&lt;MAX($P$34*($B608+IF($R$17="Distrato",$I$38-1,0)),IF(AND($L$37=0,$P$34=0),"",$L$37-1),IF($R$17="Distrato",$E608,0))),0,YEARFRAC(MAX($P$34*($B608+IF($R$17="Distrato",$I$38-1,0)),IF(AND($L$37=0,$P$34=0),"",$L$37-1),IF($R$17="Distrato",$E608,0)),MIN(Z$38,$D$19),$P$20))-SUM($P608:Y608)</f>
        <v>#VALUE!</v>
      </c>
      <c r="AA608" s="446" t="e">
        <f>IF(OR($B608="",MIN(AA$38,$D$19)&lt;MAX($P$34*($B608+IF($R$17="Distrato",$I$38-1,0)),IF(AND($L$37=0,$P$34=0),"",$L$37-1),IF($R$17="Distrato",$E608,0))),0,YEARFRAC(MAX($P$34*($B608+IF($R$17="Distrato",$I$38-1,0)),IF(AND($L$37=0,$P$34=0),"",$L$37-1),IF($R$17="Distrato",$E608,0)),MIN(AA$38,$D$19),$P$20))-SUM($P608:Z608)</f>
        <v>#VALUE!</v>
      </c>
      <c r="AB608" s="446" t="e">
        <f>IF(OR($B608="",MIN(AB$38,$D$19)&lt;MAX($P$34*($B608+IF($R$17="Distrato",$I$38-1,0)),IF(AND($L$37=0,$P$34=0),"",$L$37-1),IF($R$17="Distrato",$E608,0))),0,YEARFRAC(MAX($P$34*($B608+IF($R$17="Distrato",$I$38-1,0)),IF(AND($L$37=0,$P$34=0),"",$L$37-1),IF($R$17="Distrato",$E608,0)),MIN(AB$38,$D$19),$P$20))-SUM($P608:AA608)</f>
        <v>#VALUE!</v>
      </c>
      <c r="AC608" s="446" t="e">
        <f>IF(OR($B608="",MIN(AC$38,$D$19)&lt;MAX($P$34*($B608+IF($R$17="Distrato",$I$38-1,0)),IF(AND($L$37=0,$P$34=0),"",$L$37-1),IF($R$17="Distrato",$E608,0))),0,YEARFRAC(MAX($P$34*($B608+IF($R$17="Distrato",$I$38-1,0)),IF(AND($L$37=0,$P$34=0),"",$L$37-1),IF($R$17="Distrato",$E608,0)),MIN(AC$38,$D$19),$P$20))-SUM($P608:AB608)</f>
        <v>#VALUE!</v>
      </c>
      <c r="AD608" s="446" t="e">
        <f>IF(OR($B608="",MIN(AD$38,$D$19)&lt;MAX($P$34*($B608+IF($R$17="Distrato",$I$38-1,0)),IF(AND($L$37=0,$P$34=0),"",$L$37-1),IF($R$17="Distrato",$E608,0))),0,YEARFRAC(MAX($P$34*($B608+IF($R$17="Distrato",$I$38-1,0)),IF(AND($L$37=0,$P$34=0),"",$L$37-1),IF($R$17="Distrato",$E608,0)),MIN(AD$38,$D$19),$P$20))-SUM($P608:AC608)</f>
        <v>#VALUE!</v>
      </c>
      <c r="AE608" s="446" t="e">
        <f>IF(OR($B608="",MIN(AE$38,$D$19)&lt;MAX($P$34*($B608+IF($R$17="Distrato",$I$38-1,0)),IF(AND($L$37=0,$P$34=0),"",$L$37-1),IF($R$17="Distrato",$E608,0))),0,YEARFRAC(MAX($P$34*($B608+IF($R$17="Distrato",$I$38-1,0)),IF(AND($L$37=0,$P$34=0),"",$L$37-1),IF($R$17="Distrato",$E608,0)),MIN(AE$38,$D$19),$P$20))-SUM($P608:AD608)</f>
        <v>#VALUE!</v>
      </c>
      <c r="AF608" s="446" t="e">
        <f>IF(OR($B608="",MIN(AF$38,$D$19)&lt;MAX($P$34*($B608+IF($R$17="Distrato",$I$38-1,0)),IF(AND($L$37=0,$P$34=0),"",$L$37-1),IF($R$17="Distrato",$E608,0))),0,YEARFRAC(MAX($P$34*($B608+IF($R$17="Distrato",$I$38-1,0)),IF(AND($L$37=0,$P$34=0),"",$L$37-1),IF($R$17="Distrato",$E608,0)),MIN(AF$38,$D$19),$P$20))-SUM($P608:AE608)</f>
        <v>#VALUE!</v>
      </c>
      <c r="AG608" s="446" t="e">
        <f>IF(OR($B608="",MIN(AG$38,$D$19)&lt;MAX($P$34*($B608+IF($R$17="Distrato",$I$38-1,0)),IF(AND($L$37=0,$P$34=0),"",$L$37-1),IF($R$17="Distrato",$E608,0))),0,YEARFRAC(MAX($P$34*($B608+IF($R$17="Distrato",$I$38-1,0)),IF(AND($L$37=0,$P$34=0),"",$L$37-1),IF($R$17="Distrato",$E608,0)),MIN(AG$38,$D$19),$P$20))-SUM($P608:AF608)</f>
        <v>#VALUE!</v>
      </c>
      <c r="AH608" s="446" t="e">
        <f>IF(OR($B608="",MIN(AH$38,$D$19)&lt;MAX($P$34*($B608+IF($R$17="Distrato",$I$38-1,0)),IF(AND($L$37=0,$P$34=0),"",$L$37-1),IF($R$17="Distrato",$E608,0))),0,YEARFRAC(MAX($P$34*($B608+IF($R$17="Distrato",$I$38-1,0)),IF(AND($L$37=0,$P$34=0),"",$L$37-1),IF($R$17="Distrato",$E608,0)),MIN(AH$38,$D$19),$P$20))-SUM($P608:AG608)</f>
        <v>#VALUE!</v>
      </c>
      <c r="AI608" s="446" t="e">
        <f>IF(OR($B608="",MIN(AI$38,$D$19)&lt;MAX($P$34*($B608+IF($R$17="Distrato",$I$38-1,0)),IF(AND($L$37=0,$P$34=0),"",$L$37-1),IF($R$17="Distrato",$E608,0))),0,YEARFRAC(MAX($P$34*($B608+IF($R$17="Distrato",$I$38-1,0)),IF(AND($L$37=0,$P$34=0),"",$L$37-1),IF($R$17="Distrato",$E608,0)),MIN(AI$38,$D$19),$P$20))-SUM($P608:AH608)</f>
        <v>#VALUE!</v>
      </c>
      <c r="AJ608" s="446" t="e">
        <f>IF(OR($B608="",MIN(AJ$38,$D$19)&lt;MAX($P$34*($B608+IF($R$17="Distrato",$I$38-1,0)),IF(AND($L$37=0,$P$34=0),"",$L$37-1),IF($R$17="Distrato",$E608,0))),0,YEARFRAC(MAX($P$34*($B608+IF($R$17="Distrato",$I$38-1,0)),IF(AND($L$37=0,$P$34=0),"",$L$37-1),IF($R$17="Distrato",$E608,0)),MIN(AJ$38,$D$19),$P$20))-SUM($P608:AI608)</f>
        <v>#VALUE!</v>
      </c>
      <c r="AK608" s="446" t="e">
        <f>IF(OR($B608="",MIN(AK$38,$D$19)&lt;MAX($P$34*($B608+IF($R$17="Distrato",$I$38-1,0)),IF(AND($L$37=0,$P$34=0),"",$L$37-1),IF($R$17="Distrato",$E608,0))),0,YEARFRAC(MAX($P$34*($B608+IF($R$17="Distrato",$I$38-1,0)),IF(AND($L$37=0,$P$34=0),"",$L$37-1),IF($R$17="Distrato",$E608,0)),MIN(AK$38,$D$19),$P$20))-SUM($P608:AJ608)</f>
        <v>#VALUE!</v>
      </c>
      <c r="AL608" s="446" t="e">
        <f>IF(OR($B608="",MIN(AL$38,$D$19)&lt;MAX($P$34*($B608+IF($R$17="Distrato",$I$38-1,0)),IF(AND($L$37=0,$P$34=0),"",$L$37-1),IF($R$17="Distrato",$E608,0))),0,YEARFRAC(MAX($P$34*($B608+IF($R$17="Distrato",$I$38-1,0)),IF(AND($L$37=0,$P$34=0),"",$L$37-1),IF($R$17="Distrato",$E608,0)),MIN(AL$38,$D$19),$P$20))-SUM($P608:AK608)</f>
        <v>#VALUE!</v>
      </c>
      <c r="AM608" s="446" t="e">
        <f>IF(OR($B608="",MIN(AM$38,$D$19)&lt;MAX($P$34*($B608+IF($R$17="Distrato",$I$38-1,0)),IF(AND($L$37=0,$P$34=0),"",$L$37-1),IF($R$17="Distrato",$E608,0))),0,YEARFRAC(MAX($P$34*($B608+IF($R$17="Distrato",$I$38-1,0)),IF(AND($L$37=0,$P$34=0),"",$L$37-1),IF($R$17="Distrato",$E608,0)),MIN(AM$38,$D$19),$P$20))-SUM($P608:AL608)</f>
        <v>#VALUE!</v>
      </c>
      <c r="AN608" s="446" t="e">
        <f>IF(OR($B608="",MIN(AN$38,$D$19)&lt;MAX($P$34*($B608+IF($R$17="Distrato",$I$38-1,0)),IF(AND($L$37=0,$P$34=0),"",$L$37-1),IF($R$17="Distrato",$E608,0))),0,YEARFRAC(MAX($P$34*($B608+IF($R$17="Distrato",$I$38-1,0)),IF(AND($L$37=0,$P$34=0),"",$L$37-1),IF($R$17="Distrato",$E608,0)),MIN(AN$38,$D$19),$P$20))-SUM($P608:AM608)</f>
        <v>#VALUE!</v>
      </c>
      <c r="AO608" s="446" t="e">
        <f>IF(OR($B608="",MIN(AO$38,$D$19)&lt;MAX($P$34*($B608+IF($R$17="Distrato",$I$38-1,0)),IF(AND($L$37=0,$P$34=0),"",$L$37-1),IF($R$17="Distrato",$E608,0))),0,YEARFRAC(MAX($P$34*($B608+IF($R$17="Distrato",$I$38-1,0)),IF(AND($L$37=0,$P$34=0),"",$L$37-1),IF($R$17="Distrato",$E608,0)),MIN(AO$38,$D$19),$P$20))-SUM($P608:AN608)</f>
        <v>#VALUE!</v>
      </c>
      <c r="AP608" s="446" t="e">
        <f>IF(OR($B608="",MIN(AP$38,$D$19)&lt;MAX($P$34*($B608+IF($R$17="Distrato",$I$38-1,0)),IF(AND($L$37=0,$P$34=0),"",$L$37-1),IF($R$17="Distrato",$E608,0))),0,YEARFRAC(MAX($P$34*($B608+IF($R$17="Distrato",$I$38-1,0)),IF(AND($L$37=0,$P$34=0),"",$L$37-1),IF($R$17="Distrato",$E608,0)),MIN(AP$38,$D$19),$P$20))-SUM($P608:AO608)</f>
        <v>#VALUE!</v>
      </c>
      <c r="AQ608" s="446" t="e">
        <f>IF(OR($B608="",MIN(AQ$38,$D$19)&lt;MAX($P$34*($B608+IF($R$17="Distrato",$I$38-1,0)),IF(AND($L$37=0,$P$34=0),"",$L$37-1),IF($R$17="Distrato",$E608,0))),0,YEARFRAC(MAX($P$34*($B608+IF($R$17="Distrato",$I$38-1,0)),IF(AND($L$37=0,$P$34=0),"",$L$37-1),IF($R$17="Distrato",$E608,0)),MIN(AQ$38,$D$19),$P$20))-SUM($P608:AP608)</f>
        <v>#VALUE!</v>
      </c>
      <c r="AR608" s="446" t="e">
        <f>IF(OR($B608="",MIN(AR$38,$D$19)&lt;MAX($P$34*($B608+IF($R$17="Distrato",$I$38-1,0)),IF(AND($L$37=0,$P$34=0),"",$L$37-1),IF($R$17="Distrato",$E608,0))),0,YEARFRAC(MAX($P$34*($B608+IF($R$17="Distrato",$I$38-1,0)),IF(AND($L$37=0,$P$34=0),"",$L$37-1),IF($R$17="Distrato",$E608,0)),MIN(AR$38,$D$19),$P$20))-SUM($P608:AQ608)</f>
        <v>#VALUE!</v>
      </c>
      <c r="AS608" s="446" t="e">
        <f>IF(OR($B608="",MIN(AS$38,$D$19)&lt;MAX($P$34*($B608+IF($R$17="Distrato",$I$38-1,0)),IF(AND($L$37=0,$P$34=0),"",$L$37-1),IF($R$17="Distrato",$E608,0))),0,YEARFRAC(MAX($P$34*($B608+IF($R$17="Distrato",$I$38-1,0)),IF(AND($L$37=0,$P$34=0),"",$L$37-1),IF($R$17="Distrato",$E608,0)),MIN(AS$38,$D$19),$P$20))-SUM($P608:AR608)</f>
        <v>#VALUE!</v>
      </c>
      <c r="AT608" s="446" t="e">
        <f>IF(OR($B608="",MIN(AT$38,$D$19)&lt;MAX($P$34*($B608+IF($R$17="Distrato",$I$38-1,0)),IF(AND($L$37=0,$P$34=0),"",$L$37-1),IF($R$17="Distrato",$E608,0))),0,YEARFRAC(MAX($P$34*($B608+IF($R$17="Distrato",$I$38-1,0)),IF(AND($L$37=0,$P$34=0),"",$L$37-1),IF($R$17="Distrato",$E608,0)),MIN(AT$38,$D$19),$P$20))-SUM($P608:AS608)</f>
        <v>#VALUE!</v>
      </c>
      <c r="AU608" s="446" t="e">
        <f>IF(OR($B608="",MIN(AU$38,$D$19)&lt;MAX($P$34*($B608+IF($R$17="Distrato",$I$38-1,0)),IF(AND($L$37=0,$P$34=0),"",$L$37-1),IF($R$17="Distrato",$E608,0))),0,YEARFRAC(MAX($P$34*($B608+IF($R$17="Distrato",$I$38-1,0)),IF(AND($L$37=0,$P$34=0),"",$L$37-1),IF($R$17="Distrato",$E608,0)),MIN(AU$38,$D$19),$P$20))-SUM($P608:AT608)</f>
        <v>#VALUE!</v>
      </c>
      <c r="AV608" s="446" t="e">
        <f>IF(OR($B608="",MIN(AV$38,$D$19)&lt;MAX($P$34*($B608+IF($R$17="Distrato",$I$38-1,0)),IF(AND($L$37=0,$P$34=0),"",$L$37-1),IF($R$17="Distrato",$E608,0))),0,YEARFRAC(MAX($P$34*($B608+IF($R$17="Distrato",$I$38-1,0)),IF(AND($L$37=0,$P$34=0),"",$L$37-1),IF($R$17="Distrato",$E608,0)),MIN(AV$38,$D$19),$P$20))-SUM($P608:AU608)</f>
        <v>#VALUE!</v>
      </c>
      <c r="AW608" s="446" t="e">
        <f>IF(OR($B608="",MIN(AW$38,$D$19)&lt;MAX($P$34*($B608+IF($R$17="Distrato",$I$38-1,0)),IF(AND($L$37=0,$P$34=0),"",$L$37-1),IF($R$17="Distrato",$E608,0))),0,YEARFRAC(MAX($P$34*($B608+IF($R$17="Distrato",$I$38-1,0)),IF(AND($L$37=0,$P$34=0),"",$L$37-1),IF($R$17="Distrato",$E608,0)),MIN(AW$38,$D$19),$P$20))-SUM($P608:AV608)</f>
        <v>#VALUE!</v>
      </c>
      <c r="AX608" s="446" t="e">
        <f>IF(OR($B608="",MIN(AX$38,$D$19)&lt;MAX($P$34*($B608+IF($R$17="Distrato",$I$38-1,0)),IF(AND($L$37=0,$P$34=0),"",$L$37-1),IF($R$17="Distrato",$E608,0))),0,YEARFRAC(MAX($P$34*($B608+IF($R$17="Distrato",$I$38-1,0)),IF(AND($L$37=0,$P$34=0),"",$L$37-1),IF($R$17="Distrato",$E608,0)),MIN(AX$38,$D$19),$P$20))-SUM($P608:AW608)</f>
        <v>#VALUE!</v>
      </c>
      <c r="AY608" s="446" t="e">
        <f>IF(OR($B608="",MIN(AY$38,$D$19)&lt;MAX($P$34*($B608+IF($R$17="Distrato",$I$38-1,0)),IF(AND($L$37=0,$P$34=0),"",$L$37-1),IF($R$17="Distrato",$E608,0))),0,YEARFRAC(MAX($P$34*($B608+IF($R$17="Distrato",$I$38-1,0)),IF(AND($L$37=0,$P$34=0),"",$L$37-1),IF($R$17="Distrato",$E608,0)),MIN(AY$38,$D$19),$P$20))-SUM($P608:AX608)</f>
        <v>#VALUE!</v>
      </c>
      <c r="AZ608" s="446" t="e">
        <f>IF(OR($B608="",MIN(AZ$38,$D$19)&lt;MAX($P$34*($B608+IF($R$17="Distrato",$I$38-1,0)),IF(AND($L$37=0,$P$34=0),"",$L$37-1),IF($R$17="Distrato",$E608,0))),0,YEARFRAC(MAX($P$34*($B608+IF($R$17="Distrato",$I$38-1,0)),IF(AND($L$37=0,$P$34=0),"",$L$37-1),IF($R$17="Distrato",$E608,0)),MIN(AZ$38,$D$19),$P$20))-SUM($P608:AY608)</f>
        <v>#VALUE!</v>
      </c>
      <c r="BA608" s="446" t="e">
        <f>IF(OR($B608="",MIN(BA$38,$D$19)&lt;MAX($P$34*($B608+IF($R$17="Distrato",$I$38-1,0)),IF(AND($L$37=0,$P$34=0),"",$L$37-1),IF($R$17="Distrato",$E608,0))),0,YEARFRAC(MAX($P$34*($B608+IF($R$17="Distrato",$I$38-1,0)),IF(AND($L$37=0,$P$34=0),"",$L$37-1),IF($R$17="Distrato",$E608,0)),MIN(BA$38,$D$19),$P$20))-SUM($P608:AZ608)</f>
        <v>#VALUE!</v>
      </c>
      <c r="BB608" s="447"/>
      <c r="BF608" s="446">
        <f t="shared" si="98"/>
        <v>0</v>
      </c>
      <c r="BG608" s="446">
        <f>IF($E608=0,0,IF(MIN(BG$38,$E608)&lt;MAX($P$34*($B608+$I$38-1),IF(AND($L$37=0,$P$34=0),"",$L$37-1)),0,YEARFRAC(MAX($P$34*($B608+$I$38-1),IF(AND($L$37=0,$P$34=0),"",$L$37-1)),MIN(BG$38,$E608),$P$20))-SUM($BF608:BF608))</f>
        <v>0</v>
      </c>
      <c r="BH608" s="446">
        <f>IF($E608=0,0,IF(MIN(BH$38,$E608)&lt;MAX($P$34*($B608+$I$38-1),IF(AND($L$37=0,$P$34=0),"",$L$37-1)),0,YEARFRAC(MAX($P$34*($B608+$I$38-1),IF(AND($L$37=0,$P$34=0),"",$L$37-1)),MIN(BH$38,$E608),$P$20))-SUM($BF608:BG608))</f>
        <v>0</v>
      </c>
      <c r="BI608" s="446">
        <f>IF($E608=0,0,IF(MIN(BI$38,$E608)&lt;MAX($P$34*($B608+$I$38-1),IF(AND($L$37=0,$P$34=0),"",$L$37-1)),0,YEARFRAC(MAX($P$34*($B608+$I$38-1),IF(AND($L$37=0,$P$34=0),"",$L$37-1)),MIN(BI$38,$E608),$P$20))-SUM($BF608:BH608))</f>
        <v>0</v>
      </c>
      <c r="BJ608" s="446">
        <f>IF($E608=0,0,IF(MIN(BJ$38,$E608)&lt;MAX($P$34*($B608+$I$38-1),IF(AND($L$37=0,$P$34=0),"",$L$37-1)),0,YEARFRAC(MAX($P$34*($B608+$I$38-1),IF(AND($L$37=0,$P$34=0),"",$L$37-1)),MIN(BJ$38,$E608),$P$20))-SUM($BF608:BI608))</f>
        <v>0</v>
      </c>
      <c r="BK608" s="446">
        <f>IF($E608=0,0,IF(MIN(BK$38,$E608)&lt;MAX($P$34*($B608+$I$38-1),IF(AND($L$37=0,$P$34=0),"",$L$37-1)),0,YEARFRAC(MAX($P$34*($B608+$I$38-1),IF(AND($L$37=0,$P$34=0),"",$L$37-1)),MIN(BK$38,$E608),$P$20))-SUM($BF608:BJ608))</f>
        <v>0</v>
      </c>
      <c r="BL608" s="446">
        <f>IF($E608=0,0,IF(MIN(BL$38,$E608)&lt;MAX($P$34*($B608+$I$38-1),IF(AND($L$37=0,$P$34=0),"",$L$37-1)),0,YEARFRAC(MAX($P$34*($B608+$I$38-1),IF(AND($L$37=0,$P$34=0),"",$L$37-1)),MIN(BL$38,$E608),$P$20))-SUM($BF608:BK608))</f>
        <v>0</v>
      </c>
      <c r="BM608" s="446">
        <f>IF($E608=0,0,IF(MIN(BM$38,$E608)&lt;MAX($P$34*($B608+$I$38-1),IF(AND($L$37=0,$P$34=0),"",$L$37-1)),0,YEARFRAC(MAX($P$34*($B608+$I$38-1),IF(AND($L$37=0,$P$34=0),"",$L$37-1)),MIN(BM$38,$E608),$P$20))-SUM($BF608:BL608))</f>
        <v>0</v>
      </c>
      <c r="BN608" s="446">
        <f>IF($E608=0,0,IF(MIN(BN$38,$E608)&lt;MAX($P$34*($B608+$I$38-1),IF(AND($L$37=0,$P$34=0),"",$L$37-1)),0,YEARFRAC(MAX($P$34*($B608+$I$38-1),IF(AND($L$37=0,$P$34=0),"",$L$37-1)),MIN(BN$38,$E608),$P$20))-SUM($BF608:BM608))</f>
        <v>0</v>
      </c>
      <c r="BO608" s="446">
        <f>IF($E608=0,0,IF(MIN(BO$38,$E608)&lt;MAX($P$34*($B608+$I$38-1),IF(AND($L$37=0,$P$34=0),"",$L$37-1)),0,YEARFRAC(MAX($P$34*($B608+$I$38-1),IF(AND($L$37=0,$P$34=0),"",$L$37-1)),MIN(BO$38,$E608),$P$20))-SUM($BF608:BN608))</f>
        <v>0</v>
      </c>
      <c r="BP608" s="446">
        <f>IF($E608=0,0,IF(MIN(BP$38,$E608)&lt;MAX($P$34*($B608+$I$38-1),IF(AND($L$37=0,$P$34=0),"",$L$37-1)),0,YEARFRAC(MAX($P$34*($B608+$I$38-1),IF(AND($L$37=0,$P$34=0),"",$L$37-1)),MIN(BP$38,$E608),$P$20))-SUM($BF608:BO608))</f>
        <v>0</v>
      </c>
      <c r="BQ608" s="446">
        <f>IF($E608=0,0,IF(MIN(BQ$38,$E608)&lt;MAX($P$34*($B608+$I$38-1),IF(AND($L$37=0,$P$34=0),"",$L$37-1)),0,YEARFRAC(MAX($P$34*($B608+$I$38-1),IF(AND($L$37=0,$P$34=0),"",$L$37-1)),MIN(BQ$38,$E608),$P$20))-SUM($BF608:BP608))</f>
        <v>0</v>
      </c>
      <c r="BR608" s="446">
        <f>IF($E608=0,0,IF(MIN(BR$38,$E608)&lt;MAX($P$34*($B608+$I$38-1),IF(AND($L$37=0,$P$34=0),"",$L$37-1)),0,YEARFRAC(MAX($P$34*($B608+$I$38-1),IF(AND($L$37=0,$P$34=0),"",$L$37-1)),MIN(BR$38,$E608),$P$20))-SUM($BF608:BQ608))</f>
        <v>0</v>
      </c>
      <c r="BS608" s="446">
        <f>IF($E608=0,0,IF(MIN(BS$38,$E608)&lt;MAX($P$34*($B608+$I$38-1),IF(AND($L$37=0,$P$34=0),"",$L$37-1)),0,YEARFRAC(MAX($P$34*($B608+$I$38-1),IF(AND($L$37=0,$P$34=0),"",$L$37-1)),MIN(BS$38,$E608),$P$20))-SUM($BF608:BR608))</f>
        <v>0</v>
      </c>
      <c r="BT608" s="446">
        <f>IF($E608=0,0,IF(MIN(BT$38,$E608)&lt;MAX($P$34*($B608+$I$38-1),IF(AND($L$37=0,$P$34=0),"",$L$37-1)),0,YEARFRAC(MAX($P$34*($B608+$I$38-1),IF(AND($L$37=0,$P$34=0),"",$L$37-1)),MIN(BT$38,$E608),$P$20))-SUM($BF608:BS608))</f>
        <v>0</v>
      </c>
      <c r="BU608" s="446">
        <f>IF($E608=0,0,IF(MIN(BU$38,$E608)&lt;MAX($P$34*($B608+$I$38-1),IF(AND($L$37=0,$P$34=0),"",$L$37-1)),0,YEARFRAC(MAX($P$34*($B608+$I$38-1),IF(AND($L$37=0,$P$34=0),"",$L$37-1)),MIN(BU$38,$E608),$P$20))-SUM($BF608:BT608))</f>
        <v>0</v>
      </c>
      <c r="BV608" s="446">
        <f>IF($E608=0,0,IF(MIN(BV$38,$E608)&lt;MAX($P$34*($B608+$I$38-1),IF(AND($L$37=0,$P$34=0),"",$L$37-1)),0,YEARFRAC(MAX($P$34*($B608+$I$38-1),IF(AND($L$37=0,$P$34=0),"",$L$37-1)),MIN(BV$38,$E608),$P$20))-SUM($BF608:BU608))</f>
        <v>0</v>
      </c>
      <c r="BW608" s="446">
        <f>IF($E608=0,0,IF(MIN(BW$38,$E608)&lt;MAX($P$34*($B608+$I$38-1),IF(AND($L$37=0,$P$34=0),"",$L$37-1)),0,YEARFRAC(MAX($P$34*($B608+$I$38-1),IF(AND($L$37=0,$P$34=0),"",$L$37-1)),MIN(BW$38,$E608),$P$20))-SUM($BF608:BV608))</f>
        <v>0</v>
      </c>
      <c r="BX608" s="446">
        <f>IF($E608=0,0,IF(MIN(BX$38,$E608)&lt;MAX($P$34*($B608+$I$38-1),IF(AND($L$37=0,$P$34=0),"",$L$37-1)),0,YEARFRAC(MAX($P$34*($B608+$I$38-1),IF(AND($L$37=0,$P$34=0),"",$L$37-1)),MIN(BX$38,$E608),$P$20))-SUM($BF608:BW608))</f>
        <v>0</v>
      </c>
      <c r="BY608" s="446">
        <f>IF($E608=0,0,IF(MIN(BY$38,$E608)&lt;MAX($P$34*($B608+$I$38-1),IF(AND($L$37=0,$P$34=0),"",$L$37-1)),0,YEARFRAC(MAX($P$34*($B608+$I$38-1),IF(AND($L$37=0,$P$34=0),"",$L$37-1)),MIN(BY$38,$E608),$P$20))-SUM($BF608:BX608))</f>
        <v>0</v>
      </c>
      <c r="BZ608" s="446">
        <f>IF($E608=0,0,IF(MIN(BZ$38,$E608)&lt;MAX($P$34*($B608+$I$38-1),IF(AND($L$37=0,$P$34=0),"",$L$37-1)),0,YEARFRAC(MAX($P$34*($B608+$I$38-1),IF(AND($L$37=0,$P$34=0),"",$L$37-1)),MIN(BZ$38,$E608),$P$20))-SUM($BF608:BY608))</f>
        <v>0</v>
      </c>
      <c r="CA608" s="446">
        <f>IF($E608=0,0,IF(MIN(CA$38,$E608)&lt;MAX($P$34*($B608+$I$38-1),IF(AND($L$37=0,$P$34=0),"",$L$37-1)),0,YEARFRAC(MAX($P$34*($B608+$I$38-1),IF(AND($L$37=0,$P$34=0),"",$L$37-1)),MIN(CA$38,$E608),$P$20))-SUM($BF608:BZ608))</f>
        <v>0</v>
      </c>
      <c r="CB608" s="446">
        <f>IF($E608=0,0,IF(MIN(CB$38,$E608)&lt;MAX($P$34*($B608+$I$38-1),IF(AND($L$37=0,$P$34=0),"",$L$37-1)),0,YEARFRAC(MAX($P$34*($B608+$I$38-1),IF(AND($L$37=0,$P$34=0),"",$L$37-1)),MIN(CB$38,$E608),$P$20))-SUM($BF608:CA608))</f>
        <v>0</v>
      </c>
      <c r="CC608" s="446">
        <f>IF($E608=0,0,IF(MIN(CC$38,$E608)&lt;MAX($P$34*($B608+$I$38-1),IF(AND($L$37=0,$P$34=0),"",$L$37-1)),0,YEARFRAC(MAX($P$34*($B608+$I$38-1),IF(AND($L$37=0,$P$34=0),"",$L$37-1)),MIN(CC$38,$E608),$P$20))-SUM($BF608:CB608))</f>
        <v>0</v>
      </c>
      <c r="CD608" s="446">
        <f>IF($E608=0,0,IF(MIN(CD$38,$E608)&lt;MAX($P$34*($B608+$I$38-1),IF(AND($L$37=0,$P$34=0),"",$L$37-1)),0,YEARFRAC(MAX($P$34*($B608+$I$38-1),IF(AND($L$37=0,$P$34=0),"",$L$37-1)),MIN(CD$38,$E608),$P$20))-SUM($BF608:CC608))</f>
        <v>0</v>
      </c>
      <c r="CE608" s="446">
        <f>IF($E608=0,0,IF(MIN(CE$38,$E608)&lt;MAX($P$34*($B608+$I$38-1),IF(AND($L$37=0,$P$34=0),"",$L$37-1)),0,YEARFRAC(MAX($P$34*($B608+$I$38-1),IF(AND($L$37=0,$P$34=0),"",$L$37-1)),MIN(CE$38,$E608),$P$20))-SUM($BF608:CD608))</f>
        <v>0</v>
      </c>
      <c r="CF608" s="446">
        <f>IF($E608=0,0,IF(MIN(CF$38,$E608)&lt;MAX($P$34*($B608+$I$38-1),IF(AND($L$37=0,$P$34=0),"",$L$37-1)),0,YEARFRAC(MAX($P$34*($B608+$I$38-1),IF(AND($L$37=0,$P$34=0),"",$L$37-1)),MIN(CF$38,$E608),$P$20))-SUM($BF608:CE608))</f>
        <v>0</v>
      </c>
      <c r="CG608" s="446">
        <f>IF($E608=0,0,IF(MIN(CG$38,$E608)&lt;MAX($P$34*($B608+$I$38-1),IF(AND($L$37=0,$P$34=0),"",$L$37-1)),0,YEARFRAC(MAX($P$34*($B608+$I$38-1),IF(AND($L$37=0,$P$34=0),"",$L$37-1)),MIN(CG$38,$E608),$P$20))-SUM($BF608:CF608))</f>
        <v>0</v>
      </c>
      <c r="CH608" s="446">
        <f>IF($E608=0,0,IF(MIN(CH$38,$E608)&lt;MAX($P$34*($B608+$I$38-1),IF(AND($L$37=0,$P$34=0),"",$L$37-1)),0,YEARFRAC(MAX($P$34*($B608+$I$38-1),IF(AND($L$37=0,$P$34=0),"",$L$37-1)),MIN(CH$38,$E608),$P$20))-SUM($BF608:CG608))</f>
        <v>0</v>
      </c>
      <c r="CI608" s="446">
        <f>IF($E608=0,0,IF(MIN(CI$38,$E608)&lt;MAX($P$34*($B608+$I$38-1),IF(AND($L$37=0,$P$34=0),"",$L$37-1)),0,YEARFRAC(MAX($P$34*($B608+$I$38-1),IF(AND($L$37=0,$P$34=0),"",$L$37-1)),MIN(CI$38,$E608),$P$20))-SUM($BF608:CH608))</f>
        <v>0</v>
      </c>
      <c r="CJ608" s="446">
        <f>IF($E608=0,0,IF(MIN(CJ$38,$E608)&lt;MAX($P$34*($B608+$I$38-1),IF(AND($L$37=0,$P$34=0),"",$L$37-1)),0,YEARFRAC(MAX($P$34*($B608+$I$38-1),IF(AND($L$37=0,$P$34=0),"",$L$37-1)),MIN(CJ$38,$E608),$P$20))-SUM($BF608:CI608))</f>
        <v>0</v>
      </c>
      <c r="CK608" s="446">
        <f>IF($E608=0,0,IF(MIN(CK$38,$E608)&lt;MAX($P$34*($B608+$I$38-1),IF(AND($L$37=0,$P$34=0),"",$L$37-1)),0,YEARFRAC(MAX($P$34*($B608+$I$38-1),IF(AND($L$37=0,$P$34=0),"",$L$37-1)),MIN(CK$38,$E608),$P$20))-SUM($BF608:CJ608))</f>
        <v>0</v>
      </c>
      <c r="CL608" s="446">
        <f>IF($E608=0,0,IF(MIN(CL$38,$E608)&lt;MAX($P$34*($B608+$I$38-1),IF(AND($L$37=0,$P$34=0),"",$L$37-1)),0,YEARFRAC(MAX($P$34*($B608+$I$38-1),IF(AND($L$37=0,$P$34=0),"",$L$37-1)),MIN(CL$38,$E608),$P$20))-SUM($BF608:CK608))</f>
        <v>0</v>
      </c>
      <c r="CM608" s="446">
        <f>IF($E608=0,0,IF(MIN(CM$38,$E608)&lt;MAX($P$34*($B608+$I$38-1),IF(AND($L$37=0,$P$34=0),"",$L$37-1)),0,YEARFRAC(MAX($P$34*($B608+$I$38-1),IF(AND($L$37=0,$P$34=0),"",$L$37-1)),MIN(CM$38,$E608),$P$20))-SUM($BF608:CL608))</f>
        <v>0</v>
      </c>
      <c r="CN608" s="446">
        <f>IF($E608=0,0,IF(MIN(CN$38,$E608)&lt;MAX($P$34*($B608+$I$38-1),IF(AND($L$37=0,$P$34=0),"",$L$37-1)),0,YEARFRAC(MAX($P$34*($B608+$I$38-1),IF(AND($L$37=0,$P$34=0),"",$L$37-1)),MIN(CN$38,$E608),$P$20))-SUM($BF608:CM608))</f>
        <v>0</v>
      </c>
      <c r="CO608" s="446">
        <f>IF($E608=0,0,IF(MIN(CO$38,$E608)&lt;MAX($P$34*($B608+$I$38-1),IF(AND($L$37=0,$P$34=0),"",$L$37-1)),0,YEARFRAC(MAX($P$34*($B608+$I$38-1),IF(AND($L$37=0,$P$34=0),"",$L$37-1)),MIN(CO$38,$E608),$P$20))-SUM($BF608:CN608))</f>
        <v>0</v>
      </c>
      <c r="CP608" s="446">
        <f>IF($E608=0,0,IF(MIN(CP$38,$E608)&lt;MAX($P$34*($B608+$I$38-1),IF(AND($L$37=0,$P$34=0),"",$L$37-1)),0,YEARFRAC(MAX($P$34*($B608+$I$38-1),IF(AND($L$37=0,$P$34=0),"",$L$37-1)),MIN(CP$38,$E608),$P$20))-SUM($BF608:CO608))</f>
        <v>0</v>
      </c>
      <c r="CQ608" s="446">
        <f>IF($E608=0,0,IF(MIN(CQ$38,$E608)&lt;MAX($P$34*($B608+$I$38-1),IF(AND($L$37=0,$P$34=0),"",$L$37-1)),0,YEARFRAC(MAX($P$34*($B608+$I$38-1),IF(AND($L$37=0,$P$34=0),"",$L$37-1)),MIN(CQ$38,$E608),$P$20))-SUM($BF608:CP608))</f>
        <v>0</v>
      </c>
    </row>
    <row r="609" spans="1:95" s="446" customFormat="1" ht="11.25" hidden="1" customHeight="1" x14ac:dyDescent="0.2">
      <c r="A609" s="152"/>
      <c r="B609" s="153" t="str">
        <f t="shared" si="103"/>
        <v/>
      </c>
      <c r="C609" s="29" t="str">
        <f>IF(B609="","",IF($L$35="SELIC - TRIBUTOS",VLOOKUP(DATE(YEAR($D$19),MONTH($D$19)-1,1),ÍNDICES!$A:$DE,HLOOKUP($BL$25,ÍNDICES!$B$3:$T$4,2)+11)-VLOOKUP(B609,ÍNDICES!$A:$DE,HLOOKUP($BL$25,ÍNDICES!$B$3:$T$4,2)+11)+1%,IF(C$38=$W$26,$J$35,IF(ISERROR(IF(B609&gt;$D$19,1,VLOOKUP(DATE(YEAR(B609),MONTH(B609)+IF($C$35=$S$23,1,0),1),ÍNDICES!$A:$DE,$Z$35+1))),"",IF(B609&gt;$D$19,1,VLOOKUP(DATE(YEAR(B609),MONTH(B609)+IF($C$35=$S$23,1,0),1),ÍNDICES!$A:$DE,$Z$35+1))))))</f>
        <v/>
      </c>
      <c r="D609" s="154" t="str">
        <f>IF(ISERROR(IF(OR($D$38=$Y$27,$B609=""),"",VLOOKUP(B609,ÍNDICES!A:DE,AF$35+1))),"",IF(OR($D$38=$Y$27,$B609=""),"",VLOOKUP(B609,ÍNDICES!A:DE,AF$35+1)))</f>
        <v/>
      </c>
      <c r="E609" s="153"/>
      <c r="F609" s="29" t="str">
        <f>IF(E609="","",IF($L$35="SELIC - TRIBUTOS",VLOOKUP(DATE(YEAR($D$19),MONTH($D$19)-1,1),ÍNDICES!$A:$DE,HLOOKUP($BL$25,ÍNDICES!$B$3:$T$4,2)+11)-VLOOKUP(E609,ÍNDICES!$A:$DE,HLOOKUP($BL$25,ÍNDICES!$B$3:$T$4,2)+11)+1%,IF(F$38=$W$26,$J$35,IF(ISERROR(IF(E609&gt;$D$19,1,VLOOKUP(DATE(YEAR(E609),MONTH(E609)+IF($C$35=$S$23,1,0),1),ÍNDICES!$A:$DE,$Z$35+1))),"",IF(E609&gt;$D$19,1,VLOOKUP(DATE(YEAR(E609),MONTH(E609)+IF($C$35=$S$23,1,0),1),ÍNDICES!$A:$DE,$Z$35+1))))))</f>
        <v/>
      </c>
      <c r="G609" s="155"/>
      <c r="H609" s="156" t="str">
        <f t="shared" si="99"/>
        <v/>
      </c>
      <c r="I609" s="29" t="str">
        <f t="shared" si="93"/>
        <v/>
      </c>
      <c r="J609" s="5">
        <f t="shared" si="94"/>
        <v>0</v>
      </c>
      <c r="K609" s="20">
        <f t="shared" ca="1" si="95"/>
        <v>0</v>
      </c>
      <c r="L609" s="5">
        <f t="shared" ca="1" si="96"/>
        <v>0</v>
      </c>
      <c r="M609" s="64">
        <f t="shared" si="100"/>
        <v>0</v>
      </c>
      <c r="N609" s="61">
        <f t="shared" ca="1" si="101"/>
        <v>0</v>
      </c>
      <c r="O609" s="5">
        <f t="shared" ca="1" si="102"/>
        <v>0</v>
      </c>
      <c r="P609" s="446" t="e">
        <f t="shared" si="97"/>
        <v>#VALUE!</v>
      </c>
      <c r="Q609" s="446" t="e">
        <f>IF(OR($B609="",MIN(Q$38,$D$19)&lt;MAX($P$34*($B609+IF($R$17="Distrato",$I$38-1,0)),IF(AND($L$37=0,$P$34=0),"",$L$37-1),IF($R$17="Distrato",$E609,0))),0,YEARFRAC(MAX($P$34*($B609+IF($R$17="Distrato",$I$38-1,0)),IF(AND($L$37=0,$P$34=0),"",$L$37-1),IF($R$17="Distrato",$E609,0)),MIN(Q$38,$D$19),$P$20))-SUM($P609:P609)</f>
        <v>#VALUE!</v>
      </c>
      <c r="R609" s="446" t="e">
        <f>IF(OR($B609="",MIN(R$38,$D$19)&lt;MAX($P$34*($B609+IF($R$17="Distrato",$I$38-1,0)),IF(AND($L$37=0,$P$34=0),"",$L$37-1),IF($R$17="Distrato",$E609,0))),0,YEARFRAC(MAX($P$34*($B609+IF($R$17="Distrato",$I$38-1,0)),IF(AND($L$37=0,$P$34=0),"",$L$37-1),IF($R$17="Distrato",$E609,0)),MIN(R$38,$D$19),$P$20))-SUM($P609:Q609)</f>
        <v>#VALUE!</v>
      </c>
      <c r="S609" s="446" t="e">
        <f>IF(OR($B609="",MIN(S$38,$D$19)&lt;MAX($P$34*($B609+IF($R$17="Distrato",$I$38-1,0)),IF(AND($L$37=0,$P$34=0),"",$L$37-1),IF($R$17="Distrato",$E609,0))),0,YEARFRAC(MAX($P$34*($B609+IF($R$17="Distrato",$I$38-1,0)),IF(AND($L$37=0,$P$34=0),"",$L$37-1),IF($R$17="Distrato",$E609,0)),MIN(S$38,$D$19),$P$20))-SUM($P609:R609)</f>
        <v>#VALUE!</v>
      </c>
      <c r="T609" s="446" t="e">
        <f>IF(OR($B609="",MIN(T$38,$D$19)&lt;MAX($P$34*($B609+IF($R$17="Distrato",$I$38-1,0)),IF(AND($L$37=0,$P$34=0),"",$L$37-1),IF($R$17="Distrato",$E609,0))),0,YEARFRAC(MAX($P$34*($B609+IF($R$17="Distrato",$I$38-1,0)),IF(AND($L$37=0,$P$34=0),"",$L$37-1),IF($R$17="Distrato",$E609,0)),MIN(T$38,$D$19),$P$20))-SUM($P609:S609)</f>
        <v>#VALUE!</v>
      </c>
      <c r="U609" s="446" t="e">
        <f>IF(OR($B609="",MIN(U$38,$D$19)&lt;MAX($P$34*($B609+IF($R$17="Distrato",$I$38-1,0)),IF(AND($L$37=0,$P$34=0),"",$L$37-1),IF($R$17="Distrato",$E609,0))),0,YEARFRAC(MAX($P$34*($B609+IF($R$17="Distrato",$I$38-1,0)),IF(AND($L$37=0,$P$34=0),"",$L$37-1),IF($R$17="Distrato",$E609,0)),MIN(U$38,$D$19),$P$20))-SUM($P609:T609)</f>
        <v>#VALUE!</v>
      </c>
      <c r="V609" s="446" t="e">
        <f>IF(OR($B609="",MIN(V$38,$D$19)&lt;MAX($P$34*($B609+IF($R$17="Distrato",$I$38-1,0)),IF(AND($L$37=0,$P$34=0),"",$L$37-1),IF($R$17="Distrato",$E609,0))),0,YEARFRAC(MAX($P$34*($B609+IF($R$17="Distrato",$I$38-1,0)),IF(AND($L$37=0,$P$34=0),"",$L$37-1),IF($R$17="Distrato",$E609,0)),MIN(V$38,$D$19),$P$20))-SUM($P609:U609)</f>
        <v>#VALUE!</v>
      </c>
      <c r="W609" s="446" t="e">
        <f>IF(OR($B609="",MIN(W$38,$D$19)&lt;MAX($P$34*($B609+IF($R$17="Distrato",$I$38-1,0)),IF(AND($L$37=0,$P$34=0),"",$L$37-1),IF($R$17="Distrato",$E609,0))),0,YEARFRAC(MAX($P$34*($B609+IF($R$17="Distrato",$I$38-1,0)),IF(AND($L$37=0,$P$34=0),"",$L$37-1),IF($R$17="Distrato",$E609,0)),MIN(W$38,$D$19),$P$20))-SUM($P609:V609)</f>
        <v>#VALUE!</v>
      </c>
      <c r="X609" s="446" t="e">
        <f>IF(OR($B609="",MIN(X$38,$D$19)&lt;MAX($P$34*($B609+IF($R$17="Distrato",$I$38-1,0)),IF(AND($L$37=0,$P$34=0),"",$L$37-1),IF($R$17="Distrato",$E609,0))),0,YEARFRAC(MAX($P$34*($B609+IF($R$17="Distrato",$I$38-1,0)),IF(AND($L$37=0,$P$34=0),"",$L$37-1),IF($R$17="Distrato",$E609,0)),MIN(X$38,$D$19),$P$20))-SUM($P609:W609)</f>
        <v>#VALUE!</v>
      </c>
      <c r="Y609" s="446" t="e">
        <f>IF(OR($B609="",MIN(Y$38,$D$19)&lt;MAX($P$34*($B609+IF($R$17="Distrato",$I$38-1,0)),IF(AND($L$37=0,$P$34=0),"",$L$37-1),IF($R$17="Distrato",$E609,0))),0,YEARFRAC(MAX($P$34*($B609+IF($R$17="Distrato",$I$38-1,0)),IF(AND($L$37=0,$P$34=0),"",$L$37-1),IF($R$17="Distrato",$E609,0)),MIN(Y$38,$D$19),$P$20))-SUM($P609:X609)</f>
        <v>#VALUE!</v>
      </c>
      <c r="Z609" s="446" t="e">
        <f>IF(OR($B609="",MIN(Z$38,$D$19)&lt;MAX($P$34*($B609+IF($R$17="Distrato",$I$38-1,0)),IF(AND($L$37=0,$P$34=0),"",$L$37-1),IF($R$17="Distrato",$E609,0))),0,YEARFRAC(MAX($P$34*($B609+IF($R$17="Distrato",$I$38-1,0)),IF(AND($L$37=0,$P$34=0),"",$L$37-1),IF($R$17="Distrato",$E609,0)),MIN(Z$38,$D$19),$P$20))-SUM($P609:Y609)</f>
        <v>#VALUE!</v>
      </c>
      <c r="AA609" s="446" t="e">
        <f>IF(OR($B609="",MIN(AA$38,$D$19)&lt;MAX($P$34*($B609+IF($R$17="Distrato",$I$38-1,0)),IF(AND($L$37=0,$P$34=0),"",$L$37-1),IF($R$17="Distrato",$E609,0))),0,YEARFRAC(MAX($P$34*($B609+IF($R$17="Distrato",$I$38-1,0)),IF(AND($L$37=0,$P$34=0),"",$L$37-1),IF($R$17="Distrato",$E609,0)),MIN(AA$38,$D$19),$P$20))-SUM($P609:Z609)</f>
        <v>#VALUE!</v>
      </c>
      <c r="AB609" s="446" t="e">
        <f>IF(OR($B609="",MIN(AB$38,$D$19)&lt;MAX($P$34*($B609+IF($R$17="Distrato",$I$38-1,0)),IF(AND($L$37=0,$P$34=0),"",$L$37-1),IF($R$17="Distrato",$E609,0))),0,YEARFRAC(MAX($P$34*($B609+IF($R$17="Distrato",$I$38-1,0)),IF(AND($L$37=0,$P$34=0),"",$L$37-1),IF($R$17="Distrato",$E609,0)),MIN(AB$38,$D$19),$P$20))-SUM($P609:AA609)</f>
        <v>#VALUE!</v>
      </c>
      <c r="AC609" s="446" t="e">
        <f>IF(OR($B609="",MIN(AC$38,$D$19)&lt;MAX($P$34*($B609+IF($R$17="Distrato",$I$38-1,0)),IF(AND($L$37=0,$P$34=0),"",$L$37-1),IF($R$17="Distrato",$E609,0))),0,YEARFRAC(MAX($P$34*($B609+IF($R$17="Distrato",$I$38-1,0)),IF(AND($L$37=0,$P$34=0),"",$L$37-1),IF($R$17="Distrato",$E609,0)),MIN(AC$38,$D$19),$P$20))-SUM($P609:AB609)</f>
        <v>#VALUE!</v>
      </c>
      <c r="AD609" s="446" t="e">
        <f>IF(OR($B609="",MIN(AD$38,$D$19)&lt;MAX($P$34*($B609+IF($R$17="Distrato",$I$38-1,0)),IF(AND($L$37=0,$P$34=0),"",$L$37-1),IF($R$17="Distrato",$E609,0))),0,YEARFRAC(MAX($P$34*($B609+IF($R$17="Distrato",$I$38-1,0)),IF(AND($L$37=0,$P$34=0),"",$L$37-1),IF($R$17="Distrato",$E609,0)),MIN(AD$38,$D$19),$P$20))-SUM($P609:AC609)</f>
        <v>#VALUE!</v>
      </c>
      <c r="AE609" s="446" t="e">
        <f>IF(OR($B609="",MIN(AE$38,$D$19)&lt;MAX($P$34*($B609+IF($R$17="Distrato",$I$38-1,0)),IF(AND($L$37=0,$P$34=0),"",$L$37-1),IF($R$17="Distrato",$E609,0))),0,YEARFRAC(MAX($P$34*($B609+IF($R$17="Distrato",$I$38-1,0)),IF(AND($L$37=0,$P$34=0),"",$L$37-1),IF($R$17="Distrato",$E609,0)),MIN(AE$38,$D$19),$P$20))-SUM($P609:AD609)</f>
        <v>#VALUE!</v>
      </c>
      <c r="AF609" s="446" t="e">
        <f>IF(OR($B609="",MIN(AF$38,$D$19)&lt;MAX($P$34*($B609+IF($R$17="Distrato",$I$38-1,0)),IF(AND($L$37=0,$P$34=0),"",$L$37-1),IF($R$17="Distrato",$E609,0))),0,YEARFRAC(MAX($P$34*($B609+IF($R$17="Distrato",$I$38-1,0)),IF(AND($L$37=0,$P$34=0),"",$L$37-1),IF($R$17="Distrato",$E609,0)),MIN(AF$38,$D$19),$P$20))-SUM($P609:AE609)</f>
        <v>#VALUE!</v>
      </c>
      <c r="AG609" s="446" t="e">
        <f>IF(OR($B609="",MIN(AG$38,$D$19)&lt;MAX($P$34*($B609+IF($R$17="Distrato",$I$38-1,0)),IF(AND($L$37=0,$P$34=0),"",$L$37-1),IF($R$17="Distrato",$E609,0))),0,YEARFRAC(MAX($P$34*($B609+IF($R$17="Distrato",$I$38-1,0)),IF(AND($L$37=0,$P$34=0),"",$L$37-1),IF($R$17="Distrato",$E609,0)),MIN(AG$38,$D$19),$P$20))-SUM($P609:AF609)</f>
        <v>#VALUE!</v>
      </c>
      <c r="AH609" s="446" t="e">
        <f>IF(OR($B609="",MIN(AH$38,$D$19)&lt;MAX($P$34*($B609+IF($R$17="Distrato",$I$38-1,0)),IF(AND($L$37=0,$P$34=0),"",$L$37-1),IF($R$17="Distrato",$E609,0))),0,YEARFRAC(MAX($P$34*($B609+IF($R$17="Distrato",$I$38-1,0)),IF(AND($L$37=0,$P$34=0),"",$L$37-1),IF($R$17="Distrato",$E609,0)),MIN(AH$38,$D$19),$P$20))-SUM($P609:AG609)</f>
        <v>#VALUE!</v>
      </c>
      <c r="AI609" s="446" t="e">
        <f>IF(OR($B609="",MIN(AI$38,$D$19)&lt;MAX($P$34*($B609+IF($R$17="Distrato",$I$38-1,0)),IF(AND($L$37=0,$P$34=0),"",$L$37-1),IF($R$17="Distrato",$E609,0))),0,YEARFRAC(MAX($P$34*($B609+IF($R$17="Distrato",$I$38-1,0)),IF(AND($L$37=0,$P$34=0),"",$L$37-1),IF($R$17="Distrato",$E609,0)),MIN(AI$38,$D$19),$P$20))-SUM($P609:AH609)</f>
        <v>#VALUE!</v>
      </c>
      <c r="AJ609" s="446" t="e">
        <f>IF(OR($B609="",MIN(AJ$38,$D$19)&lt;MAX($P$34*($B609+IF($R$17="Distrato",$I$38-1,0)),IF(AND($L$37=0,$P$34=0),"",$L$37-1),IF($R$17="Distrato",$E609,0))),0,YEARFRAC(MAX($P$34*($B609+IF($R$17="Distrato",$I$38-1,0)),IF(AND($L$37=0,$P$34=0),"",$L$37-1),IF($R$17="Distrato",$E609,0)),MIN(AJ$38,$D$19),$P$20))-SUM($P609:AI609)</f>
        <v>#VALUE!</v>
      </c>
      <c r="AK609" s="446" t="e">
        <f>IF(OR($B609="",MIN(AK$38,$D$19)&lt;MAX($P$34*($B609+IF($R$17="Distrato",$I$38-1,0)),IF(AND($L$37=0,$P$34=0),"",$L$37-1),IF($R$17="Distrato",$E609,0))),0,YEARFRAC(MAX($P$34*($B609+IF($R$17="Distrato",$I$38-1,0)),IF(AND($L$37=0,$P$34=0),"",$L$37-1),IF($R$17="Distrato",$E609,0)),MIN(AK$38,$D$19),$P$20))-SUM($P609:AJ609)</f>
        <v>#VALUE!</v>
      </c>
      <c r="AL609" s="446" t="e">
        <f>IF(OR($B609="",MIN(AL$38,$D$19)&lt;MAX($P$34*($B609+IF($R$17="Distrato",$I$38-1,0)),IF(AND($L$37=0,$P$34=0),"",$L$37-1),IF($R$17="Distrato",$E609,0))),0,YEARFRAC(MAX($P$34*($B609+IF($R$17="Distrato",$I$38-1,0)),IF(AND($L$37=0,$P$34=0),"",$L$37-1),IF($R$17="Distrato",$E609,0)),MIN(AL$38,$D$19),$P$20))-SUM($P609:AK609)</f>
        <v>#VALUE!</v>
      </c>
      <c r="AM609" s="446" t="e">
        <f>IF(OR($B609="",MIN(AM$38,$D$19)&lt;MAX($P$34*($B609+IF($R$17="Distrato",$I$38-1,0)),IF(AND($L$37=0,$P$34=0),"",$L$37-1),IF($R$17="Distrato",$E609,0))),0,YEARFRAC(MAX($P$34*($B609+IF($R$17="Distrato",$I$38-1,0)),IF(AND($L$37=0,$P$34=0),"",$L$37-1),IF($R$17="Distrato",$E609,0)),MIN(AM$38,$D$19),$P$20))-SUM($P609:AL609)</f>
        <v>#VALUE!</v>
      </c>
      <c r="AN609" s="446" t="e">
        <f>IF(OR($B609="",MIN(AN$38,$D$19)&lt;MAX($P$34*($B609+IF($R$17="Distrato",$I$38-1,0)),IF(AND($L$37=0,$P$34=0),"",$L$37-1),IF($R$17="Distrato",$E609,0))),0,YEARFRAC(MAX($P$34*($B609+IF($R$17="Distrato",$I$38-1,0)),IF(AND($L$37=0,$P$34=0),"",$L$37-1),IF($R$17="Distrato",$E609,0)),MIN(AN$38,$D$19),$P$20))-SUM($P609:AM609)</f>
        <v>#VALUE!</v>
      </c>
      <c r="AO609" s="446" t="e">
        <f>IF(OR($B609="",MIN(AO$38,$D$19)&lt;MAX($P$34*($B609+IF($R$17="Distrato",$I$38-1,0)),IF(AND($L$37=0,$P$34=0),"",$L$37-1),IF($R$17="Distrato",$E609,0))),0,YEARFRAC(MAX($P$34*($B609+IF($R$17="Distrato",$I$38-1,0)),IF(AND($L$37=0,$P$34=0),"",$L$37-1),IF($R$17="Distrato",$E609,0)),MIN(AO$38,$D$19),$P$20))-SUM($P609:AN609)</f>
        <v>#VALUE!</v>
      </c>
      <c r="AP609" s="446" t="e">
        <f>IF(OR($B609="",MIN(AP$38,$D$19)&lt;MAX($P$34*($B609+IF($R$17="Distrato",$I$38-1,0)),IF(AND($L$37=0,$P$34=0),"",$L$37-1),IF($R$17="Distrato",$E609,0))),0,YEARFRAC(MAX($P$34*($B609+IF($R$17="Distrato",$I$38-1,0)),IF(AND($L$37=0,$P$34=0),"",$L$37-1),IF($R$17="Distrato",$E609,0)),MIN(AP$38,$D$19),$P$20))-SUM($P609:AO609)</f>
        <v>#VALUE!</v>
      </c>
      <c r="AQ609" s="446" t="e">
        <f>IF(OR($B609="",MIN(AQ$38,$D$19)&lt;MAX($P$34*($B609+IF($R$17="Distrato",$I$38-1,0)),IF(AND($L$37=0,$P$34=0),"",$L$37-1),IF($R$17="Distrato",$E609,0))),0,YEARFRAC(MAX($P$34*($B609+IF($R$17="Distrato",$I$38-1,0)),IF(AND($L$37=0,$P$34=0),"",$L$37-1),IF($R$17="Distrato",$E609,0)),MIN(AQ$38,$D$19),$P$20))-SUM($P609:AP609)</f>
        <v>#VALUE!</v>
      </c>
      <c r="AR609" s="446" t="e">
        <f>IF(OR($B609="",MIN(AR$38,$D$19)&lt;MAX($P$34*($B609+IF($R$17="Distrato",$I$38-1,0)),IF(AND($L$37=0,$P$34=0),"",$L$37-1),IF($R$17="Distrato",$E609,0))),0,YEARFRAC(MAX($P$34*($B609+IF($R$17="Distrato",$I$38-1,0)),IF(AND($L$37=0,$P$34=0),"",$L$37-1),IF($R$17="Distrato",$E609,0)),MIN(AR$38,$D$19),$P$20))-SUM($P609:AQ609)</f>
        <v>#VALUE!</v>
      </c>
      <c r="AS609" s="446" t="e">
        <f>IF(OR($B609="",MIN(AS$38,$D$19)&lt;MAX($P$34*($B609+IF($R$17="Distrato",$I$38-1,0)),IF(AND($L$37=0,$P$34=0),"",$L$37-1),IF($R$17="Distrato",$E609,0))),0,YEARFRAC(MAX($P$34*($B609+IF($R$17="Distrato",$I$38-1,0)),IF(AND($L$37=0,$P$34=0),"",$L$37-1),IF($R$17="Distrato",$E609,0)),MIN(AS$38,$D$19),$P$20))-SUM($P609:AR609)</f>
        <v>#VALUE!</v>
      </c>
      <c r="AT609" s="446" t="e">
        <f>IF(OR($B609="",MIN(AT$38,$D$19)&lt;MAX($P$34*($B609+IF($R$17="Distrato",$I$38-1,0)),IF(AND($L$37=0,$P$34=0),"",$L$37-1),IF($R$17="Distrato",$E609,0))),0,YEARFRAC(MAX($P$34*($B609+IF($R$17="Distrato",$I$38-1,0)),IF(AND($L$37=0,$P$34=0),"",$L$37-1),IF($R$17="Distrato",$E609,0)),MIN(AT$38,$D$19),$P$20))-SUM($P609:AS609)</f>
        <v>#VALUE!</v>
      </c>
      <c r="AU609" s="446" t="e">
        <f>IF(OR($B609="",MIN(AU$38,$D$19)&lt;MAX($P$34*($B609+IF($R$17="Distrato",$I$38-1,0)),IF(AND($L$37=0,$P$34=0),"",$L$37-1),IF($R$17="Distrato",$E609,0))),0,YEARFRAC(MAX($P$34*($B609+IF($R$17="Distrato",$I$38-1,0)),IF(AND($L$37=0,$P$34=0),"",$L$37-1),IF($R$17="Distrato",$E609,0)),MIN(AU$38,$D$19),$P$20))-SUM($P609:AT609)</f>
        <v>#VALUE!</v>
      </c>
      <c r="AV609" s="446" t="e">
        <f>IF(OR($B609="",MIN(AV$38,$D$19)&lt;MAX($P$34*($B609+IF($R$17="Distrato",$I$38-1,0)),IF(AND($L$37=0,$P$34=0),"",$L$37-1),IF($R$17="Distrato",$E609,0))),0,YEARFRAC(MAX($P$34*($B609+IF($R$17="Distrato",$I$38-1,0)),IF(AND($L$37=0,$P$34=0),"",$L$37-1),IF($R$17="Distrato",$E609,0)),MIN(AV$38,$D$19),$P$20))-SUM($P609:AU609)</f>
        <v>#VALUE!</v>
      </c>
      <c r="AW609" s="446" t="e">
        <f>IF(OR($B609="",MIN(AW$38,$D$19)&lt;MAX($P$34*($B609+IF($R$17="Distrato",$I$38-1,0)),IF(AND($L$37=0,$P$34=0),"",$L$37-1),IF($R$17="Distrato",$E609,0))),0,YEARFRAC(MAX($P$34*($B609+IF($R$17="Distrato",$I$38-1,0)),IF(AND($L$37=0,$P$34=0),"",$L$37-1),IF($R$17="Distrato",$E609,0)),MIN(AW$38,$D$19),$P$20))-SUM($P609:AV609)</f>
        <v>#VALUE!</v>
      </c>
      <c r="AX609" s="446" t="e">
        <f>IF(OR($B609="",MIN(AX$38,$D$19)&lt;MAX($P$34*($B609+IF($R$17="Distrato",$I$38-1,0)),IF(AND($L$37=0,$P$34=0),"",$L$37-1),IF($R$17="Distrato",$E609,0))),0,YEARFRAC(MAX($P$34*($B609+IF($R$17="Distrato",$I$38-1,0)),IF(AND($L$37=0,$P$34=0),"",$L$37-1),IF($R$17="Distrato",$E609,0)),MIN(AX$38,$D$19),$P$20))-SUM($P609:AW609)</f>
        <v>#VALUE!</v>
      </c>
      <c r="AY609" s="446" t="e">
        <f>IF(OR($B609="",MIN(AY$38,$D$19)&lt;MAX($P$34*($B609+IF($R$17="Distrato",$I$38-1,0)),IF(AND($L$37=0,$P$34=0),"",$L$37-1),IF($R$17="Distrato",$E609,0))),0,YEARFRAC(MAX($P$34*($B609+IF($R$17="Distrato",$I$38-1,0)),IF(AND($L$37=0,$P$34=0),"",$L$37-1),IF($R$17="Distrato",$E609,0)),MIN(AY$38,$D$19),$P$20))-SUM($P609:AX609)</f>
        <v>#VALUE!</v>
      </c>
      <c r="AZ609" s="446" t="e">
        <f>IF(OR($B609="",MIN(AZ$38,$D$19)&lt;MAX($P$34*($B609+IF($R$17="Distrato",$I$38-1,0)),IF(AND($L$37=0,$P$34=0),"",$L$37-1),IF($R$17="Distrato",$E609,0))),0,YEARFRAC(MAX($P$34*($B609+IF($R$17="Distrato",$I$38-1,0)),IF(AND($L$37=0,$P$34=0),"",$L$37-1),IF($R$17="Distrato",$E609,0)),MIN(AZ$38,$D$19),$P$20))-SUM($P609:AY609)</f>
        <v>#VALUE!</v>
      </c>
      <c r="BA609" s="446" t="e">
        <f>IF(OR($B609="",MIN(BA$38,$D$19)&lt;MAX($P$34*($B609+IF($R$17="Distrato",$I$38-1,0)),IF(AND($L$37=0,$P$34=0),"",$L$37-1),IF($R$17="Distrato",$E609,0))),0,YEARFRAC(MAX($P$34*($B609+IF($R$17="Distrato",$I$38-1,0)),IF(AND($L$37=0,$P$34=0),"",$L$37-1),IF($R$17="Distrato",$E609,0)),MIN(BA$38,$D$19),$P$20))-SUM($P609:AZ609)</f>
        <v>#VALUE!</v>
      </c>
      <c r="BB609" s="447"/>
      <c r="BF609" s="446">
        <f t="shared" si="98"/>
        <v>0</v>
      </c>
      <c r="BG609" s="446">
        <f>IF($E609=0,0,IF(MIN(BG$38,$E609)&lt;MAX($P$34*($B609+$I$38-1),IF(AND($L$37=0,$P$34=0),"",$L$37-1)),0,YEARFRAC(MAX($P$34*($B609+$I$38-1),IF(AND($L$37=0,$P$34=0),"",$L$37-1)),MIN(BG$38,$E609),$P$20))-SUM($BF609:BF609))</f>
        <v>0</v>
      </c>
      <c r="BH609" s="446">
        <f>IF($E609=0,0,IF(MIN(BH$38,$E609)&lt;MAX($P$34*($B609+$I$38-1),IF(AND($L$37=0,$P$34=0),"",$L$37-1)),0,YEARFRAC(MAX($P$34*($B609+$I$38-1),IF(AND($L$37=0,$P$34=0),"",$L$37-1)),MIN(BH$38,$E609),$P$20))-SUM($BF609:BG609))</f>
        <v>0</v>
      </c>
      <c r="BI609" s="446">
        <f>IF($E609=0,0,IF(MIN(BI$38,$E609)&lt;MAX($P$34*($B609+$I$38-1),IF(AND($L$37=0,$P$34=0),"",$L$37-1)),0,YEARFRAC(MAX($P$34*($B609+$I$38-1),IF(AND($L$37=0,$P$34=0),"",$L$37-1)),MIN(BI$38,$E609),$P$20))-SUM($BF609:BH609))</f>
        <v>0</v>
      </c>
      <c r="BJ609" s="446">
        <f>IF($E609=0,0,IF(MIN(BJ$38,$E609)&lt;MAX($P$34*($B609+$I$38-1),IF(AND($L$37=0,$P$34=0),"",$L$37-1)),0,YEARFRAC(MAX($P$34*($B609+$I$38-1),IF(AND($L$37=0,$P$34=0),"",$L$37-1)),MIN(BJ$38,$E609),$P$20))-SUM($BF609:BI609))</f>
        <v>0</v>
      </c>
      <c r="BK609" s="446">
        <f>IF($E609=0,0,IF(MIN(BK$38,$E609)&lt;MAX($P$34*($B609+$I$38-1),IF(AND($L$37=0,$P$34=0),"",$L$37-1)),0,YEARFRAC(MAX($P$34*($B609+$I$38-1),IF(AND($L$37=0,$P$34=0),"",$L$37-1)),MIN(BK$38,$E609),$P$20))-SUM($BF609:BJ609))</f>
        <v>0</v>
      </c>
      <c r="BL609" s="446">
        <f>IF($E609=0,0,IF(MIN(BL$38,$E609)&lt;MAX($P$34*($B609+$I$38-1),IF(AND($L$37=0,$P$34=0),"",$L$37-1)),0,YEARFRAC(MAX($P$34*($B609+$I$38-1),IF(AND($L$37=0,$P$34=0),"",$L$37-1)),MIN(BL$38,$E609),$P$20))-SUM($BF609:BK609))</f>
        <v>0</v>
      </c>
      <c r="BM609" s="446">
        <f>IF($E609=0,0,IF(MIN(BM$38,$E609)&lt;MAX($P$34*($B609+$I$38-1),IF(AND($L$37=0,$P$34=0),"",$L$37-1)),0,YEARFRAC(MAX($P$34*($B609+$I$38-1),IF(AND($L$37=0,$P$34=0),"",$L$37-1)),MIN(BM$38,$E609),$P$20))-SUM($BF609:BL609))</f>
        <v>0</v>
      </c>
      <c r="BN609" s="446">
        <f>IF($E609=0,0,IF(MIN(BN$38,$E609)&lt;MAX($P$34*($B609+$I$38-1),IF(AND($L$37=0,$P$34=0),"",$L$37-1)),0,YEARFRAC(MAX($P$34*($B609+$I$38-1),IF(AND($L$37=0,$P$34=0),"",$L$37-1)),MIN(BN$38,$E609),$P$20))-SUM($BF609:BM609))</f>
        <v>0</v>
      </c>
      <c r="BO609" s="446">
        <f>IF($E609=0,0,IF(MIN(BO$38,$E609)&lt;MAX($P$34*($B609+$I$38-1),IF(AND($L$37=0,$P$34=0),"",$L$37-1)),0,YEARFRAC(MAX($P$34*($B609+$I$38-1),IF(AND($L$37=0,$P$34=0),"",$L$37-1)),MIN(BO$38,$E609),$P$20))-SUM($BF609:BN609))</f>
        <v>0</v>
      </c>
      <c r="BP609" s="446">
        <f>IF($E609=0,0,IF(MIN(BP$38,$E609)&lt;MAX($P$34*($B609+$I$38-1),IF(AND($L$37=0,$P$34=0),"",$L$37-1)),0,YEARFRAC(MAX($P$34*($B609+$I$38-1),IF(AND($L$37=0,$P$34=0),"",$L$37-1)),MIN(BP$38,$E609),$P$20))-SUM($BF609:BO609))</f>
        <v>0</v>
      </c>
      <c r="BQ609" s="446">
        <f>IF($E609=0,0,IF(MIN(BQ$38,$E609)&lt;MAX($P$34*($B609+$I$38-1),IF(AND($L$37=0,$P$34=0),"",$L$37-1)),0,YEARFRAC(MAX($P$34*($B609+$I$38-1),IF(AND($L$37=0,$P$34=0),"",$L$37-1)),MIN(BQ$38,$E609),$P$20))-SUM($BF609:BP609))</f>
        <v>0</v>
      </c>
      <c r="BR609" s="446">
        <f>IF($E609=0,0,IF(MIN(BR$38,$E609)&lt;MAX($P$34*($B609+$I$38-1),IF(AND($L$37=0,$P$34=0),"",$L$37-1)),0,YEARFRAC(MAX($P$34*($B609+$I$38-1),IF(AND($L$37=0,$P$34=0),"",$L$37-1)),MIN(BR$38,$E609),$P$20))-SUM($BF609:BQ609))</f>
        <v>0</v>
      </c>
      <c r="BS609" s="446">
        <f>IF($E609=0,0,IF(MIN(BS$38,$E609)&lt;MAX($P$34*($B609+$I$38-1),IF(AND($L$37=0,$P$34=0),"",$L$37-1)),0,YEARFRAC(MAX($P$34*($B609+$I$38-1),IF(AND($L$37=0,$P$34=0),"",$L$37-1)),MIN(BS$38,$E609),$P$20))-SUM($BF609:BR609))</f>
        <v>0</v>
      </c>
      <c r="BT609" s="446">
        <f>IF($E609=0,0,IF(MIN(BT$38,$E609)&lt;MAX($P$34*($B609+$I$38-1),IF(AND($L$37=0,$P$34=0),"",$L$37-1)),0,YEARFRAC(MAX($P$34*($B609+$I$38-1),IF(AND($L$37=0,$P$34=0),"",$L$37-1)),MIN(BT$38,$E609),$P$20))-SUM($BF609:BS609))</f>
        <v>0</v>
      </c>
      <c r="BU609" s="446">
        <f>IF($E609=0,0,IF(MIN(BU$38,$E609)&lt;MAX($P$34*($B609+$I$38-1),IF(AND($L$37=0,$P$34=0),"",$L$37-1)),0,YEARFRAC(MAX($P$34*($B609+$I$38-1),IF(AND($L$37=0,$P$34=0),"",$L$37-1)),MIN(BU$38,$E609),$P$20))-SUM($BF609:BT609))</f>
        <v>0</v>
      </c>
      <c r="BV609" s="446">
        <f>IF($E609=0,0,IF(MIN(BV$38,$E609)&lt;MAX($P$34*($B609+$I$38-1),IF(AND($L$37=0,$P$34=0),"",$L$37-1)),0,YEARFRAC(MAX($P$34*($B609+$I$38-1),IF(AND($L$37=0,$P$34=0),"",$L$37-1)),MIN(BV$38,$E609),$P$20))-SUM($BF609:BU609))</f>
        <v>0</v>
      </c>
      <c r="BW609" s="446">
        <f>IF($E609=0,0,IF(MIN(BW$38,$E609)&lt;MAX($P$34*($B609+$I$38-1),IF(AND($L$37=0,$P$34=0),"",$L$37-1)),0,YEARFRAC(MAX($P$34*($B609+$I$38-1),IF(AND($L$37=0,$P$34=0),"",$L$37-1)),MIN(BW$38,$E609),$P$20))-SUM($BF609:BV609))</f>
        <v>0</v>
      </c>
      <c r="BX609" s="446">
        <f>IF($E609=0,0,IF(MIN(BX$38,$E609)&lt;MAX($P$34*($B609+$I$38-1),IF(AND($L$37=0,$P$34=0),"",$L$37-1)),0,YEARFRAC(MAX($P$34*($B609+$I$38-1),IF(AND($L$37=0,$P$34=0),"",$L$37-1)),MIN(BX$38,$E609),$P$20))-SUM($BF609:BW609))</f>
        <v>0</v>
      </c>
      <c r="BY609" s="446">
        <f>IF($E609=0,0,IF(MIN(BY$38,$E609)&lt;MAX($P$34*($B609+$I$38-1),IF(AND($L$37=0,$P$34=0),"",$L$37-1)),0,YEARFRAC(MAX($P$34*($B609+$I$38-1),IF(AND($L$37=0,$P$34=0),"",$L$37-1)),MIN(BY$38,$E609),$P$20))-SUM($BF609:BX609))</f>
        <v>0</v>
      </c>
      <c r="BZ609" s="446">
        <f>IF($E609=0,0,IF(MIN(BZ$38,$E609)&lt;MAX($P$34*($B609+$I$38-1),IF(AND($L$37=0,$P$34=0),"",$L$37-1)),0,YEARFRAC(MAX($P$34*($B609+$I$38-1),IF(AND($L$37=0,$P$34=0),"",$L$37-1)),MIN(BZ$38,$E609),$P$20))-SUM($BF609:BY609))</f>
        <v>0</v>
      </c>
      <c r="CA609" s="446">
        <f>IF($E609=0,0,IF(MIN(CA$38,$E609)&lt;MAX($P$34*($B609+$I$38-1),IF(AND($L$37=0,$P$34=0),"",$L$37-1)),0,YEARFRAC(MAX($P$34*($B609+$I$38-1),IF(AND($L$37=0,$P$34=0),"",$L$37-1)),MIN(CA$38,$E609),$P$20))-SUM($BF609:BZ609))</f>
        <v>0</v>
      </c>
      <c r="CB609" s="446">
        <f>IF($E609=0,0,IF(MIN(CB$38,$E609)&lt;MAX($P$34*($B609+$I$38-1),IF(AND($L$37=0,$P$34=0),"",$L$37-1)),0,YEARFRAC(MAX($P$34*($B609+$I$38-1),IF(AND($L$37=0,$P$34=0),"",$L$37-1)),MIN(CB$38,$E609),$P$20))-SUM($BF609:CA609))</f>
        <v>0</v>
      </c>
      <c r="CC609" s="446">
        <f>IF($E609=0,0,IF(MIN(CC$38,$E609)&lt;MAX($P$34*($B609+$I$38-1),IF(AND($L$37=0,$P$34=0),"",$L$37-1)),0,YEARFRAC(MAX($P$34*($B609+$I$38-1),IF(AND($L$37=0,$P$34=0),"",$L$37-1)),MIN(CC$38,$E609),$P$20))-SUM($BF609:CB609))</f>
        <v>0</v>
      </c>
      <c r="CD609" s="446">
        <f>IF($E609=0,0,IF(MIN(CD$38,$E609)&lt;MAX($P$34*($B609+$I$38-1),IF(AND($L$37=0,$P$34=0),"",$L$37-1)),0,YEARFRAC(MAX($P$34*($B609+$I$38-1),IF(AND($L$37=0,$P$34=0),"",$L$37-1)),MIN(CD$38,$E609),$P$20))-SUM($BF609:CC609))</f>
        <v>0</v>
      </c>
      <c r="CE609" s="446">
        <f>IF($E609=0,0,IF(MIN(CE$38,$E609)&lt;MAX($P$34*($B609+$I$38-1),IF(AND($L$37=0,$P$34=0),"",$L$37-1)),0,YEARFRAC(MAX($P$34*($B609+$I$38-1),IF(AND($L$37=0,$P$34=0),"",$L$37-1)),MIN(CE$38,$E609),$P$20))-SUM($BF609:CD609))</f>
        <v>0</v>
      </c>
      <c r="CF609" s="446">
        <f>IF($E609=0,0,IF(MIN(CF$38,$E609)&lt;MAX($P$34*($B609+$I$38-1),IF(AND($L$37=0,$P$34=0),"",$L$37-1)),0,YEARFRAC(MAX($P$34*($B609+$I$38-1),IF(AND($L$37=0,$P$34=0),"",$L$37-1)),MIN(CF$38,$E609),$P$20))-SUM($BF609:CE609))</f>
        <v>0</v>
      </c>
      <c r="CG609" s="446">
        <f>IF($E609=0,0,IF(MIN(CG$38,$E609)&lt;MAX($P$34*($B609+$I$38-1),IF(AND($L$37=0,$P$34=0),"",$L$37-1)),0,YEARFRAC(MAX($P$34*($B609+$I$38-1),IF(AND($L$37=0,$P$34=0),"",$L$37-1)),MIN(CG$38,$E609),$P$20))-SUM($BF609:CF609))</f>
        <v>0</v>
      </c>
      <c r="CH609" s="446">
        <f>IF($E609=0,0,IF(MIN(CH$38,$E609)&lt;MAX($P$34*($B609+$I$38-1),IF(AND($L$37=0,$P$34=0),"",$L$37-1)),0,YEARFRAC(MAX($P$34*($B609+$I$38-1),IF(AND($L$37=0,$P$34=0),"",$L$37-1)),MIN(CH$38,$E609),$P$20))-SUM($BF609:CG609))</f>
        <v>0</v>
      </c>
      <c r="CI609" s="446">
        <f>IF($E609=0,0,IF(MIN(CI$38,$E609)&lt;MAX($P$34*($B609+$I$38-1),IF(AND($L$37=0,$P$34=0),"",$L$37-1)),0,YEARFRAC(MAX($P$34*($B609+$I$38-1),IF(AND($L$37=0,$P$34=0),"",$L$37-1)),MIN(CI$38,$E609),$P$20))-SUM($BF609:CH609))</f>
        <v>0</v>
      </c>
      <c r="CJ609" s="446">
        <f>IF($E609=0,0,IF(MIN(CJ$38,$E609)&lt;MAX($P$34*($B609+$I$38-1),IF(AND($L$37=0,$P$34=0),"",$L$37-1)),0,YEARFRAC(MAX($P$34*($B609+$I$38-1),IF(AND($L$37=0,$P$34=0),"",$L$37-1)),MIN(CJ$38,$E609),$P$20))-SUM($BF609:CI609))</f>
        <v>0</v>
      </c>
      <c r="CK609" s="446">
        <f>IF($E609=0,0,IF(MIN(CK$38,$E609)&lt;MAX($P$34*($B609+$I$38-1),IF(AND($L$37=0,$P$34=0),"",$L$37-1)),0,YEARFRAC(MAX($P$34*($B609+$I$38-1),IF(AND($L$37=0,$P$34=0),"",$L$37-1)),MIN(CK$38,$E609),$P$20))-SUM($BF609:CJ609))</f>
        <v>0</v>
      </c>
      <c r="CL609" s="446">
        <f>IF($E609=0,0,IF(MIN(CL$38,$E609)&lt;MAX($P$34*($B609+$I$38-1),IF(AND($L$37=0,$P$34=0),"",$L$37-1)),0,YEARFRAC(MAX($P$34*($B609+$I$38-1),IF(AND($L$37=0,$P$34=0),"",$L$37-1)),MIN(CL$38,$E609),$P$20))-SUM($BF609:CK609))</f>
        <v>0</v>
      </c>
      <c r="CM609" s="446">
        <f>IF($E609=0,0,IF(MIN(CM$38,$E609)&lt;MAX($P$34*($B609+$I$38-1),IF(AND($L$37=0,$P$34=0),"",$L$37-1)),0,YEARFRAC(MAX($P$34*($B609+$I$38-1),IF(AND($L$37=0,$P$34=0),"",$L$37-1)),MIN(CM$38,$E609),$P$20))-SUM($BF609:CL609))</f>
        <v>0</v>
      </c>
      <c r="CN609" s="446">
        <f>IF($E609=0,0,IF(MIN(CN$38,$E609)&lt;MAX($P$34*($B609+$I$38-1),IF(AND($L$37=0,$P$34=0),"",$L$37-1)),0,YEARFRAC(MAX($P$34*($B609+$I$38-1),IF(AND($L$37=0,$P$34=0),"",$L$37-1)),MIN(CN$38,$E609),$P$20))-SUM($BF609:CM609))</f>
        <v>0</v>
      </c>
      <c r="CO609" s="446">
        <f>IF($E609=0,0,IF(MIN(CO$38,$E609)&lt;MAX($P$34*($B609+$I$38-1),IF(AND($L$37=0,$P$34=0),"",$L$37-1)),0,YEARFRAC(MAX($P$34*($B609+$I$38-1),IF(AND($L$37=0,$P$34=0),"",$L$37-1)),MIN(CO$38,$E609),$P$20))-SUM($BF609:CN609))</f>
        <v>0</v>
      </c>
      <c r="CP609" s="446">
        <f>IF($E609=0,0,IF(MIN(CP$38,$E609)&lt;MAX($P$34*($B609+$I$38-1),IF(AND($L$37=0,$P$34=0),"",$L$37-1)),0,YEARFRAC(MAX($P$34*($B609+$I$38-1),IF(AND($L$37=0,$P$34=0),"",$L$37-1)),MIN(CP$38,$E609),$P$20))-SUM($BF609:CO609))</f>
        <v>0</v>
      </c>
      <c r="CQ609" s="446">
        <f>IF($E609=0,0,IF(MIN(CQ$38,$E609)&lt;MAX($P$34*($B609+$I$38-1),IF(AND($L$37=0,$P$34=0),"",$L$37-1)),0,YEARFRAC(MAX($P$34*($B609+$I$38-1),IF(AND($L$37=0,$P$34=0),"",$L$37-1)),MIN(CQ$38,$E609),$P$20))-SUM($BF609:CP609))</f>
        <v>0</v>
      </c>
    </row>
    <row r="610" spans="1:95" s="446" customFormat="1" ht="11.25" customHeight="1" x14ac:dyDescent="0.2">
      <c r="A610" s="427" t="str">
        <f>IF(A34="","",A34)</f>
        <v/>
      </c>
      <c r="B610" s="157"/>
      <c r="C610" s="29"/>
      <c r="D610" s="158">
        <f>SUM(D40:D609)</f>
        <v>0</v>
      </c>
      <c r="E610" s="159"/>
      <c r="F610" s="158"/>
      <c r="G610" s="158">
        <f>SUM(G40:G609)</f>
        <v>0</v>
      </c>
      <c r="H610" s="160"/>
      <c r="I610" s="158"/>
      <c r="J610" s="161">
        <f>SUM(J40:J609)</f>
        <v>0</v>
      </c>
      <c r="K610" s="162">
        <f ca="1">SUM(K40:K609)</f>
        <v>0</v>
      </c>
      <c r="L610" s="161">
        <f ca="1">SUM(L40:L609)</f>
        <v>0</v>
      </c>
      <c r="M610" s="163"/>
      <c r="N610" s="161">
        <f ca="1">SUM(N40:N609)</f>
        <v>0</v>
      </c>
      <c r="O610" s="161">
        <f ca="1">SUM(O40:O609)</f>
        <v>0</v>
      </c>
      <c r="BB610" s="447"/>
    </row>
    <row r="611" spans="1:95" s="446" customFormat="1" ht="6" customHeight="1" x14ac:dyDescent="0.2">
      <c r="A611" s="17"/>
      <c r="B611" s="17"/>
      <c r="C611" s="17"/>
      <c r="D611" s="17"/>
      <c r="E611" s="17"/>
      <c r="F611" s="17"/>
      <c r="G611" s="17"/>
      <c r="H611" s="145"/>
      <c r="I611" s="17"/>
      <c r="J611" s="164"/>
      <c r="K611" s="19"/>
      <c r="L611" s="18"/>
      <c r="M611" s="65"/>
      <c r="N611" s="19"/>
      <c r="O611" s="19"/>
      <c r="BB611" s="447"/>
    </row>
    <row r="612" spans="1:95" s="446" customFormat="1" ht="12.95" customHeight="1" x14ac:dyDescent="0.2">
      <c r="A612" s="619"/>
      <c r="B612" s="620"/>
      <c r="C612" s="620"/>
      <c r="D612" s="620"/>
      <c r="E612" s="620"/>
      <c r="F612" s="620"/>
      <c r="G612" s="620"/>
      <c r="H612" s="620"/>
      <c r="I612" s="620"/>
      <c r="J612" s="621"/>
      <c r="K612" s="124"/>
      <c r="L612" s="165"/>
      <c r="M612" s="76"/>
      <c r="N612" s="166" t="s">
        <v>65</v>
      </c>
      <c r="O612" s="167" t="s">
        <v>25</v>
      </c>
      <c r="P612" s="446">
        <f>IF(OR(O612=$Y$22,G680&gt;0),1,0)</f>
        <v>0</v>
      </c>
      <c r="Z612" s="457" t="s">
        <v>23</v>
      </c>
      <c r="BB612" s="447"/>
    </row>
    <row r="613" spans="1:95" s="446" customFormat="1" ht="12.95" customHeight="1" x14ac:dyDescent="0.2">
      <c r="A613" s="124"/>
      <c r="B613" s="128" t="s">
        <v>67</v>
      </c>
      <c r="C613" s="528" t="str">
        <f>C35</f>
        <v>próprio mês</v>
      </c>
      <c r="D613" s="129"/>
      <c r="E613" s="129"/>
      <c r="F613" s="129"/>
      <c r="G613" s="129"/>
      <c r="H613" s="168"/>
      <c r="I613" s="129" t="str">
        <f>IF($L613="SELIC - TRIBUTOS","","Índice Final:")</f>
        <v>Índice Final:</v>
      </c>
      <c r="J613" s="169">
        <f ca="1">IF($L613="SELIC - TRIBUTOS","",VLOOKUP(DATE(YEAR($D$19),MONTH($D$19)+IF($C613="mês seguinte",1,0),1),ÍNDICES!$A:$DE,$Z613+1))</f>
        <v>92.252543000000003</v>
      </c>
      <c r="K613" s="170" t="s">
        <v>69</v>
      </c>
      <c r="L613" s="598" t="str">
        <f>IF($B$23=$W$22,L35,$U$15)</f>
        <v>TABELA PRÁTICA - INPC</v>
      </c>
      <c r="M613" s="599"/>
      <c r="N613" s="599"/>
      <c r="O613" s="600"/>
      <c r="Z613" s="452">
        <f ca="1">SUMIF(ÍNDICES!$A$3:$W$4,L613,ÍNDICES!$A$4:$W$4)+10</f>
        <v>13</v>
      </c>
      <c r="BB613" s="447"/>
    </row>
    <row r="614" spans="1:95" s="452" customFormat="1" ht="12.95" customHeight="1" x14ac:dyDescent="0.15">
      <c r="A614" s="62" t="s">
        <v>70</v>
      </c>
      <c r="B614" s="3" t="s">
        <v>92</v>
      </c>
      <c r="C614" s="62" t="str">
        <f>IF($L$613="SELIC - TRIBUTOS","VARIAÇÃO","ÍNDICE")</f>
        <v>ÍNDICE</v>
      </c>
      <c r="D614" s="62" t="s">
        <v>72</v>
      </c>
      <c r="E614" s="3"/>
      <c r="F614" s="4"/>
      <c r="G614" s="62"/>
      <c r="H614" s="171"/>
      <c r="I614" s="605" t="str">
        <f>IF(R17="Distrato","Diferença (na data do pagamento)","Valor a Atualizar")</f>
        <v>Valor a Atualizar</v>
      </c>
      <c r="J614" s="62" t="s">
        <v>93</v>
      </c>
      <c r="K614" s="14" t="s">
        <v>94</v>
      </c>
      <c r="L614" s="62" t="s">
        <v>95</v>
      </c>
      <c r="M614" s="63" t="s">
        <v>75</v>
      </c>
      <c r="N614" s="62" t="s">
        <v>78</v>
      </c>
      <c r="O614" s="135" t="s">
        <v>79</v>
      </c>
      <c r="BB614" s="453"/>
    </row>
    <row r="615" spans="1:95" s="452" customFormat="1" ht="12.95" customHeight="1" x14ac:dyDescent="0.2">
      <c r="A615" s="5" t="s">
        <v>80</v>
      </c>
      <c r="B615" s="6" t="s">
        <v>96</v>
      </c>
      <c r="C615" s="5" t="str">
        <f>IF($L$613="SELIC - TRIBUTOS","SELIC (até data cálc.)","VENCIMENTO")</f>
        <v>VENCIMENTO</v>
      </c>
      <c r="D615" s="62" t="s">
        <v>97</v>
      </c>
      <c r="E615" s="3"/>
      <c r="F615" s="7"/>
      <c r="G615" s="62"/>
      <c r="H615" s="171"/>
      <c r="I615" s="606"/>
      <c r="J615" s="62" t="s">
        <v>98</v>
      </c>
      <c r="K615" s="14" t="s">
        <v>99</v>
      </c>
      <c r="L615" s="59">
        <f>$L$37</f>
        <v>39814</v>
      </c>
      <c r="M615" s="7" t="s">
        <v>100</v>
      </c>
      <c r="N615" s="138" t="s">
        <v>64</v>
      </c>
      <c r="O615" s="20" t="s">
        <v>87</v>
      </c>
      <c r="P615" s="479"/>
      <c r="Q615" s="479"/>
      <c r="R615" s="479"/>
      <c r="S615" s="479"/>
      <c r="T615" s="479"/>
      <c r="U615" s="479"/>
      <c r="V615" s="479"/>
      <c r="W615" s="479"/>
      <c r="X615" s="479"/>
      <c r="Y615" s="479"/>
      <c r="Z615" s="479"/>
      <c r="AA615" s="479"/>
      <c r="AB615" s="479"/>
      <c r="AC615" s="479"/>
      <c r="AD615" s="479"/>
      <c r="AE615" s="479"/>
      <c r="AF615" s="479"/>
      <c r="AG615" s="479"/>
      <c r="AH615" s="479"/>
      <c r="AI615" s="479"/>
      <c r="AJ615" s="479"/>
      <c r="AK615" s="479"/>
      <c r="AL615" s="479"/>
      <c r="AM615" s="479"/>
      <c r="AN615" s="479"/>
      <c r="AO615" s="479"/>
      <c r="BB615" s="453"/>
    </row>
    <row r="616" spans="1:95" s="446" customFormat="1" ht="12.95" customHeight="1" x14ac:dyDescent="0.2">
      <c r="A616" s="172"/>
      <c r="B616" s="173"/>
      <c r="C616" s="151"/>
      <c r="D616" s="5"/>
      <c r="E616" s="62"/>
      <c r="F616" s="8"/>
      <c r="G616" s="174"/>
      <c r="H616" s="175"/>
      <c r="I616" s="607"/>
      <c r="J616" s="5"/>
      <c r="K616" s="30">
        <v>1</v>
      </c>
      <c r="L616" s="27"/>
      <c r="M616" s="7"/>
      <c r="N616" s="358">
        <v>0</v>
      </c>
      <c r="O616" s="176">
        <v>1</v>
      </c>
      <c r="P616" s="480"/>
      <c r="Q616" s="480"/>
      <c r="R616" s="480"/>
      <c r="S616" s="480"/>
      <c r="T616" s="480"/>
      <c r="U616" s="480"/>
      <c r="V616" s="480"/>
      <c r="W616" s="480"/>
      <c r="X616" s="480"/>
      <c r="Y616" s="480"/>
      <c r="Z616" s="480"/>
      <c r="AA616" s="480"/>
      <c r="AB616" s="480"/>
      <c r="AC616" s="480"/>
      <c r="AD616" s="480"/>
      <c r="AE616" s="480"/>
      <c r="AF616" s="480"/>
      <c r="AG616" s="480"/>
      <c r="AH616" s="480"/>
      <c r="AI616" s="480"/>
      <c r="AJ616" s="480"/>
      <c r="AK616" s="480"/>
      <c r="AL616" s="480"/>
      <c r="AM616" s="480"/>
      <c r="AN616" s="480"/>
      <c r="AO616" s="480"/>
      <c r="BB616" s="447"/>
    </row>
    <row r="617" spans="1:95" s="446" customFormat="1" ht="6" customHeight="1" x14ac:dyDescent="0.2">
      <c r="A617" s="172"/>
      <c r="B617" s="173"/>
      <c r="C617" s="151"/>
      <c r="D617" s="5"/>
      <c r="E617" s="148"/>
      <c r="F617" s="148"/>
      <c r="G617" s="148"/>
      <c r="H617" s="149"/>
      <c r="I617" s="148"/>
      <c r="J617" s="5"/>
      <c r="K617" s="5"/>
      <c r="L617" s="151"/>
      <c r="M617" s="7"/>
      <c r="N617" s="151"/>
      <c r="O617" s="20"/>
      <c r="P617" s="445"/>
      <c r="Q617" s="445"/>
      <c r="R617" s="445"/>
      <c r="S617" s="445"/>
      <c r="T617" s="445"/>
      <c r="U617" s="445"/>
      <c r="V617" s="445"/>
      <c r="W617" s="445"/>
      <c r="X617" s="445"/>
      <c r="Y617" s="445"/>
      <c r="Z617" s="445"/>
      <c r="AA617" s="445"/>
      <c r="AB617" s="445"/>
      <c r="AC617" s="445"/>
      <c r="AD617" s="445"/>
      <c r="AE617" s="445"/>
      <c r="AF617" s="445"/>
      <c r="AG617" s="445"/>
      <c r="AH617" s="445"/>
      <c r="AI617" s="445"/>
      <c r="AJ617" s="445"/>
      <c r="BB617" s="447"/>
    </row>
    <row r="618" spans="1:95" s="446" customFormat="1" ht="11.25" customHeight="1" x14ac:dyDescent="0.2">
      <c r="A618" s="177"/>
      <c r="B618" s="178"/>
      <c r="C618" s="29" t="str">
        <f>IF(B618="","",IF($L$613="SELIC - TRIBUTOS",VLOOKUP(DATE(YEAR($D$19),MONTH($D$19)-1,1),ÍNDICES!$A:$DE,HLOOKUP($BL$25,ÍNDICES!$B$3:$T$4,2)+11)-VLOOKUP(B618,ÍNDICES!$A:$DE,HLOOKUP($BL$25,ÍNDICES!$B$3:$T$4,2)+11)+1%,IF(C$616=$W$26,$J$613,IF(ISERROR(IF(B618&gt;$D$19,1,VLOOKUP(DATE(YEAR(B618),MONTH(B618)+IF($C$613=$S$23,1,0),1),ÍNDICES!$A:$DE,$Z$613+1))),"",IF(B618&gt;$D$19,1,VLOOKUP(DATE(YEAR(B618),MONTH(B618)+IF($C$613=$S$23,1,0),1),ÍNDICES!$A:$DE,$Z$613+1))))))</f>
        <v/>
      </c>
      <c r="D618" s="155"/>
      <c r="E618" s="179"/>
      <c r="F618" s="29"/>
      <c r="G618" s="180"/>
      <c r="H618" s="181"/>
      <c r="I618" s="182" t="str">
        <f>IF(E618="",IF(D618="","",D618),IF(ISERROR(D618/(IF(E618&lt;B618,1,C618/F618))-G618),-G618,D618/(IF(E618&lt;B618,1,C618/F618))-G618))</f>
        <v/>
      </c>
      <c r="J618" s="5" t="str">
        <f>IF(ISERROR(IF(I618="","",I618*IF(B618&gt;$D$19,1,$J$613)/IF(E618&gt;B618,F618,C618))),0,IF(I618="","",I618*IF(B618&gt;$D$19,1,$J$613)/IF(E618&gt;B618,F618,C618)))</f>
        <v/>
      </c>
      <c r="K618" s="5">
        <f ca="1">IF($L$613="SELIC - TRIBUTOS",$K$616*(IFERROR(G618*(1+F618),0)-IFERROR(D618*(1+C618),0)),$K$616*(IFERROR(D618/C618*$J$613,0)-IFERROR(G618/F618*$J$613,0)))</f>
        <v>0</v>
      </c>
      <c r="L618" s="5">
        <f t="shared" ref="L618:L649" ca="1" si="104">IF(L$613="SELIC - TRIBUTOS",0,IFERROR(K618*SUMPRODUCT($P$37:$BA$37,$P618:$BA618),0))</f>
        <v>0</v>
      </c>
      <c r="M618" s="64">
        <f>IFERROR(SUM(P618:BA618),0)</f>
        <v>0</v>
      </c>
      <c r="N618" s="61">
        <f t="shared" ref="N618:N649" ca="1" si="105">IFERROR($N$616*(K618+IF(OR(L$613=$P$15,$N$615=$R$32),0,L618)),"")</f>
        <v>0</v>
      </c>
      <c r="O618" s="20">
        <f t="shared" ref="O618:O679" ca="1" si="106">IF(ISERROR((K618+N618+L618)*$N$25),"",(K618+N618+L618)*O$616)</f>
        <v>0</v>
      </c>
      <c r="P618" s="446">
        <f>IF(OR($B618="",MIN(P$38,$D$19)&lt;MAX($P$612*($B618+IF($R$17="Distrato",$I$38-1,0)),IF(AND($L$615=0,$P$612=0),"",$L$615-1),IF($R$17="Distrato",$E618,0))),0,YEARFRAC(MAX($P$612*($B618+IF($R$17="Distrato",$I$38-1,0)),IF(AND($L$615=0,$P$612=0),"",$L$615-1),IF($R$17="Distrato",$E618,0)),MIN(P$38,$D$19),$P$20))</f>
        <v>0</v>
      </c>
      <c r="Q618" s="446">
        <f>IF(OR($B618="",MIN(Q$38,$D$19)&lt;MAX($P$612*($B618+IF($R$17="Distrato",$I$38-1,0)),IF(AND($L$615=0,$P$612=0),"",$L$615-1),IF($R$17="Distrato",$E618,0))),0,YEARFRAC(MAX($P$612*($B618+IF($R$17="Distrato",$I$38-1,0)),IF(AND($L$615=0,$P$612=0),"",$L$615-1),IF($R$17="Distrato",$E618,0)),MIN(Q$38,$D$19),$P$20))-SUM($P618:P618)</f>
        <v>0</v>
      </c>
      <c r="R618" s="446">
        <f>IF(OR($B618="",MIN(R$38,$D$19)&lt;MAX($P$612*($B618+IF($R$17="Distrato",$I$38-1,0)),IF(AND($L$615=0,$P$612=0),"",$L$615-1),IF($R$17="Distrato",$E618,0))),0,YEARFRAC(MAX($P$612*($B618+IF($R$17="Distrato",$I$38-1,0)),IF(AND($L$615=0,$P$612=0),"",$L$615-1),IF($R$17="Distrato",$E618,0)),MIN(R$38,$D$19),$P$20))-SUM($P618:Q618)</f>
        <v>0</v>
      </c>
      <c r="S618" s="446">
        <f>IF(OR($B618="",MIN(S$38,$D$19)&lt;MAX($P$612*($B618+IF($R$17="Distrato",$I$38-1,0)),IF(AND($L$615=0,$P$612=0),"",$L$615-1),IF($R$17="Distrato",$E618,0))),0,YEARFRAC(MAX($P$612*($B618+IF($R$17="Distrato",$I$38-1,0)),IF(AND($L$615=0,$P$612=0),"",$L$615-1),IF($R$17="Distrato",$E618,0)),MIN(S$38,$D$19),$P$20))-SUM($P618:R618)</f>
        <v>0</v>
      </c>
      <c r="T618" s="446">
        <f>IF(OR($B618="",MIN(T$38,$D$19)&lt;MAX($P$612*($B618+IF($R$17="Distrato",$I$38-1,0)),IF(AND($L$615=0,$P$612=0),"",$L$615-1),IF($R$17="Distrato",$E618,0))),0,YEARFRAC(MAX($P$612*($B618+IF($R$17="Distrato",$I$38-1,0)),IF(AND($L$615=0,$P$612=0),"",$L$615-1),IF($R$17="Distrato",$E618,0)),MIN(T$38,$D$19),$P$20))-SUM($P618:S618)</f>
        <v>0</v>
      </c>
      <c r="U618" s="446">
        <f>IF(OR($B618="",MIN(U$38,$D$19)&lt;MAX($P$612*($B618+IF($R$17="Distrato",$I$38-1,0)),IF(AND($L$615=0,$P$612=0),"",$L$615-1),IF($R$17="Distrato",$E618,0))),0,YEARFRAC(MAX($P$612*($B618+IF($R$17="Distrato",$I$38-1,0)),IF(AND($L$615=0,$P$612=0),"",$L$615-1),IF($R$17="Distrato",$E618,0)),MIN(U$38,$D$19),$P$20))-SUM($P618:T618)</f>
        <v>0</v>
      </c>
      <c r="V618" s="446">
        <f>IF(OR($B618="",MIN(V$38,$D$19)&lt;MAX($P$612*($B618+IF($R$17="Distrato",$I$38-1,0)),IF(AND($L$615=0,$P$612=0),"",$L$615-1),IF($R$17="Distrato",$E618,0))),0,YEARFRAC(MAX($P$612*($B618+IF($R$17="Distrato",$I$38-1,0)),IF(AND($L$615=0,$P$612=0),"",$L$615-1),IF($R$17="Distrato",$E618,0)),MIN(V$38,$D$19),$P$20))-SUM($P618:U618)</f>
        <v>0</v>
      </c>
      <c r="W618" s="446">
        <f>IF(OR($B618="",MIN(W$38,$D$19)&lt;MAX($P$612*($B618+IF($R$17="Distrato",$I$38-1,0)),IF(AND($L$615=0,$P$612=0),"",$L$615-1),IF($R$17="Distrato",$E618,0))),0,YEARFRAC(MAX($P$612*($B618+IF($R$17="Distrato",$I$38-1,0)),IF(AND($L$615=0,$P$612=0),"",$L$615-1),IF($R$17="Distrato",$E618,0)),MIN(W$38,$D$19),$P$20))-SUM($P618:V618)</f>
        <v>0</v>
      </c>
      <c r="X618" s="446">
        <f>IF(OR($B618="",MIN(X$38,$D$19)&lt;MAX($P$612*($B618+IF($R$17="Distrato",$I$38-1,0)),IF(AND($L$615=0,$P$612=0),"",$L$615-1),IF($R$17="Distrato",$E618,0))),0,YEARFRAC(MAX($P$612*($B618+IF($R$17="Distrato",$I$38-1,0)),IF(AND($L$615=0,$P$612=0),"",$L$615-1),IF($R$17="Distrato",$E618,0)),MIN(X$38,$D$19),$P$20))-SUM($P618:W618)</f>
        <v>0</v>
      </c>
      <c r="Y618" s="446">
        <f>IF(OR($B618="",MIN(Y$38,$D$19)&lt;MAX($P$612*($B618+IF($R$17="Distrato",$I$38-1,0)),IF(AND($L$615=0,$P$612=0),"",$L$615-1),IF($R$17="Distrato",$E618,0))),0,YEARFRAC(MAX($P$612*($B618+IF($R$17="Distrato",$I$38-1,0)),IF(AND($L$615=0,$P$612=0),"",$L$615-1),IF($R$17="Distrato",$E618,0)),MIN(Y$38,$D$19),$P$20))-SUM($P618:X618)</f>
        <v>0</v>
      </c>
      <c r="Z618" s="446">
        <f>IF(OR($B618="",MIN(Z$38,$D$19)&lt;MAX($P$612*($B618+IF($R$17="Distrato",$I$38-1,0)),IF(AND($L$615=0,$P$612=0),"",$L$615-1),IF($R$17="Distrato",$E618,0))),0,YEARFRAC(MAX($P$612*($B618+IF($R$17="Distrato",$I$38-1,0)),IF(AND($L$615=0,$P$612=0),"",$L$615-1),IF($R$17="Distrato",$E618,0)),MIN(Z$38,$D$19),$P$20))-SUM($P618:Y618)</f>
        <v>0</v>
      </c>
      <c r="AA618" s="446">
        <f>IF(OR($B618="",MIN(AA$38,$D$19)&lt;MAX($P$612*($B618+IF($R$17="Distrato",$I$38-1,0)),IF(AND($L$615=0,$P$612=0),"",$L$615-1),IF($R$17="Distrato",$E618,0))),0,YEARFRAC(MAX($P$612*($B618+IF($R$17="Distrato",$I$38-1,0)),IF(AND($L$615=0,$P$612=0),"",$L$615-1),IF($R$17="Distrato",$E618,0)),MIN(AA$38,$D$19),$P$20))-SUM($P618:Z618)</f>
        <v>0</v>
      </c>
      <c r="AB618" s="446">
        <f>IF(OR($B618="",MIN(AB$38,$D$19)&lt;MAX($P$612*($B618+IF($R$17="Distrato",$I$38-1,0)),IF(AND($L$615=0,$P$612=0),"",$L$615-1),IF($R$17="Distrato",$E618,0))),0,YEARFRAC(MAX($P$612*($B618+IF($R$17="Distrato",$I$38-1,0)),IF(AND($L$615=0,$P$612=0),"",$L$615-1),IF($R$17="Distrato",$E618,0)),MIN(AB$38,$D$19),$P$20))-SUM($P618:AA618)</f>
        <v>0</v>
      </c>
      <c r="AC618" s="446">
        <f>IF(OR($B618="",MIN(AC$38,$D$19)&lt;MAX($P$612*($B618+IF($R$17="Distrato",$I$38-1,0)),IF(AND($L$615=0,$P$612=0),"",$L$615-1),IF($R$17="Distrato",$E618,0))),0,YEARFRAC(MAX($P$612*($B618+IF($R$17="Distrato",$I$38-1,0)),IF(AND($L$615=0,$P$612=0),"",$L$615-1),IF($R$17="Distrato",$E618,0)),MIN(AC$38,$D$19),$P$20))-SUM($P618:AB618)</f>
        <v>0</v>
      </c>
      <c r="AD618" s="446">
        <f>IF(OR($B618="",MIN(AD$38,$D$19)&lt;MAX($P$612*($B618+IF($R$17="Distrato",$I$38-1,0)),IF(AND($L$615=0,$P$612=0),"",$L$615-1),IF($R$17="Distrato",$E618,0))),0,YEARFRAC(MAX($P$612*($B618+IF($R$17="Distrato",$I$38-1,0)),IF(AND($L$615=0,$P$612=0),"",$L$615-1),IF($R$17="Distrato",$E618,0)),MIN(AD$38,$D$19),$P$20))-SUM($P618:AC618)</f>
        <v>0</v>
      </c>
      <c r="AE618" s="446">
        <f>IF(OR($B618="",MIN(AE$38,$D$19)&lt;MAX($P$612*($B618+IF($R$17="Distrato",$I$38-1,0)),IF(AND($L$615=0,$P$612=0),"",$L$615-1),IF($R$17="Distrato",$E618,0))),0,YEARFRAC(MAX($P$612*($B618+IF($R$17="Distrato",$I$38-1,0)),IF(AND($L$615=0,$P$612=0),"",$L$615-1),IF($R$17="Distrato",$E618,0)),MIN(AE$38,$D$19),$P$20))-SUM($P618:AD618)</f>
        <v>0</v>
      </c>
      <c r="AF618" s="446">
        <f>IF(OR($B618="",MIN(AF$38,$D$19)&lt;MAX($P$612*($B618+IF($R$17="Distrato",$I$38-1,0)),IF(AND($L$615=0,$P$612=0),"",$L$615-1),IF($R$17="Distrato",$E618,0))),0,YEARFRAC(MAX($P$612*($B618+IF($R$17="Distrato",$I$38-1,0)),IF(AND($L$615=0,$P$612=0),"",$L$615-1),IF($R$17="Distrato",$E618,0)),MIN(AF$38,$D$19),$P$20))-SUM($P618:AE618)</f>
        <v>0</v>
      </c>
      <c r="AG618" s="446">
        <f>IF(OR($B618="",MIN(AG$38,$D$19)&lt;MAX($P$612*($B618+IF($R$17="Distrato",$I$38-1,0)),IF(AND($L$615=0,$P$612=0),"",$L$615-1),IF($R$17="Distrato",$E618,0))),0,YEARFRAC(MAX($P$612*($B618+IF($R$17="Distrato",$I$38-1,0)),IF(AND($L$615=0,$P$612=0),"",$L$615-1),IF($R$17="Distrato",$E618,0)),MIN(AG$38,$D$19),$P$20))-SUM($P618:AF618)</f>
        <v>0</v>
      </c>
      <c r="AH618" s="446">
        <f>IF(OR($B618="",MIN(AH$38,$D$19)&lt;MAX($P$612*($B618+IF($R$17="Distrato",$I$38-1,0)),IF(AND($L$615=0,$P$612=0),"",$L$615-1),IF($R$17="Distrato",$E618,0))),0,YEARFRAC(MAX($P$612*($B618+IF($R$17="Distrato",$I$38-1,0)),IF(AND($L$615=0,$P$612=0),"",$L$615-1),IF($R$17="Distrato",$E618,0)),MIN(AH$38,$D$19),$P$20))-SUM($P618:AG618)</f>
        <v>0</v>
      </c>
      <c r="AI618" s="446">
        <f>IF(OR($B618="",MIN(AI$38,$D$19)&lt;MAX($P$612*($B618+IF($R$17="Distrato",$I$38-1,0)),IF(AND($L$615=0,$P$612=0),"",$L$615-1),IF($R$17="Distrato",$E618,0))),0,YEARFRAC(MAX($P$612*($B618+IF($R$17="Distrato",$I$38-1,0)),IF(AND($L$615=0,$P$612=0),"",$L$615-1),IF($R$17="Distrato",$E618,0)),MIN(AI$38,$D$19),$P$20))-SUM($P618:AH618)</f>
        <v>0</v>
      </c>
      <c r="AJ618" s="446">
        <f>IF(OR($B618="",MIN(AJ$38,$D$19)&lt;MAX($P$612*($B618+IF($R$17="Distrato",$I$38-1,0)),IF(AND($L$615=0,$P$612=0),"",$L$615-1),IF($R$17="Distrato",$E618,0))),0,YEARFRAC(MAX($P$612*($B618+IF($R$17="Distrato",$I$38-1,0)),IF(AND($L$615=0,$P$612=0),"",$L$615-1),IF($R$17="Distrato",$E618,0)),MIN(AJ$38,$D$19),$P$20))-SUM($P618:AI618)</f>
        <v>0</v>
      </c>
      <c r="AK618" s="446">
        <f>IF(OR($B618="",MIN(AK$38,$D$19)&lt;MAX($P$612*($B618+IF($R$17="Distrato",$I$38-1,0)),IF(AND($L$615=0,$P$612=0),"",$L$615-1),IF($R$17="Distrato",$E618,0))),0,YEARFRAC(MAX($P$612*($B618+IF($R$17="Distrato",$I$38-1,0)),IF(AND($L$615=0,$P$612=0),"",$L$615-1),IF($R$17="Distrato",$E618,0)),MIN(AK$38,$D$19),$P$20))-SUM($P618:AJ618)</f>
        <v>0</v>
      </c>
      <c r="AL618" s="446">
        <f>IF(OR($B618="",MIN(AL$38,$D$19)&lt;MAX($P$612*($B618+IF($R$17="Distrato",$I$38-1,0)),IF(AND($L$615=0,$P$612=0),"",$L$615-1),IF($R$17="Distrato",$E618,0))),0,YEARFRAC(MAX($P$612*($B618+IF($R$17="Distrato",$I$38-1,0)),IF(AND($L$615=0,$P$612=0),"",$L$615-1),IF($R$17="Distrato",$E618,0)),MIN(AL$38,$D$19),$P$20))-SUM($P618:AK618)</f>
        <v>0</v>
      </c>
      <c r="AM618" s="446">
        <f>IF(OR($B618="",MIN(AM$38,$D$19)&lt;MAX($P$612*($B618+IF($R$17="Distrato",$I$38-1,0)),IF(AND($L$615=0,$P$612=0),"",$L$615-1),IF($R$17="Distrato",$E618,0))),0,YEARFRAC(MAX($P$612*($B618+IF($R$17="Distrato",$I$38-1,0)),IF(AND($L$615=0,$P$612=0),"",$L$615-1),IF($R$17="Distrato",$E618,0)),MIN(AM$38,$D$19),$P$20))-SUM($P618:AL618)</f>
        <v>0</v>
      </c>
      <c r="AN618" s="446">
        <f>IF(OR($B618="",MIN(AN$38,$D$19)&lt;MAX($P$612*($B618+IF($R$17="Distrato",$I$38-1,0)),IF(AND($L$615=0,$P$612=0),"",$L$615-1),IF($R$17="Distrato",$E618,0))),0,YEARFRAC(MAX($P$612*($B618+IF($R$17="Distrato",$I$38-1,0)),IF(AND($L$615=0,$P$612=0),"",$L$615-1),IF($R$17="Distrato",$E618,0)),MIN(AN$38,$D$19),$P$20))-SUM($P618:AM618)</f>
        <v>0</v>
      </c>
      <c r="AO618" s="446">
        <f>IF(OR($B618="",MIN(AO$38,$D$19)&lt;MAX($P$612*($B618+IF($R$17="Distrato",$I$38-1,0)),IF(AND($L$615=0,$P$612=0),"",$L$615-1),IF($R$17="Distrato",$E618,0))),0,YEARFRAC(MAX($P$612*($B618+IF($R$17="Distrato",$I$38-1,0)),IF(AND($L$615=0,$P$612=0),"",$L$615-1),IF($R$17="Distrato",$E618,0)),MIN(AO$38,$D$19),$P$20))-SUM($P618:AN618)</f>
        <v>0</v>
      </c>
      <c r="AP618" s="446">
        <f>IF(OR($B618="",MIN(AP$38,$D$19)&lt;MAX($P$612*($B618+IF($R$17="Distrato",$I$38-1,0)),IF(AND($L$615=0,$P$612=0),"",$L$615-1),IF($R$17="Distrato",$E618,0))),0,YEARFRAC(MAX($P$612*($B618+IF($R$17="Distrato",$I$38-1,0)),IF(AND($L$615=0,$P$612=0),"",$L$615-1),IF($R$17="Distrato",$E618,0)),MIN(AP$38,$D$19),$P$20))-SUM($P618:AO618)</f>
        <v>0</v>
      </c>
      <c r="AQ618" s="446">
        <f>IF(OR($B618="",MIN(AQ$38,$D$19)&lt;MAX($P$612*($B618+IF($R$17="Distrato",$I$38-1,0)),IF(AND($L$615=0,$P$612=0),"",$L$615-1),IF($R$17="Distrato",$E618,0))),0,YEARFRAC(MAX($P$612*($B618+IF($R$17="Distrato",$I$38-1,0)),IF(AND($L$615=0,$P$612=0),"",$L$615-1),IF($R$17="Distrato",$E618,0)),MIN(AQ$38,$D$19),$P$20))-SUM($P618:AP618)</f>
        <v>0</v>
      </c>
      <c r="AR618" s="446">
        <f>IF(OR($B618="",MIN(AR$38,$D$19)&lt;MAX($P$612*($B618+IF($R$17="Distrato",$I$38-1,0)),IF(AND($L$615=0,$P$612=0),"",$L$615-1),IF($R$17="Distrato",$E618,0))),0,YEARFRAC(MAX($P$612*($B618+IF($R$17="Distrato",$I$38-1,0)),IF(AND($L$615=0,$P$612=0),"",$L$615-1),IF($R$17="Distrato",$E618,0)),MIN(AR$38,$D$19),$P$20))-SUM($P618:AQ618)</f>
        <v>0</v>
      </c>
      <c r="AS618" s="446">
        <f>IF(OR($B618="",MIN(AS$38,$D$19)&lt;MAX($P$612*($B618+IF($R$17="Distrato",$I$38-1,0)),IF(AND($L$615=0,$P$612=0),"",$L$615-1),IF($R$17="Distrato",$E618,0))),0,YEARFRAC(MAX($P$612*($B618+IF($R$17="Distrato",$I$38-1,0)),IF(AND($L$615=0,$P$612=0),"",$L$615-1),IF($R$17="Distrato",$E618,0)),MIN(AS$38,$D$19),$P$20))-SUM($P618:AR618)</f>
        <v>0</v>
      </c>
      <c r="AT618" s="446">
        <f>IF(OR($B618="",MIN(AT$38,$D$19)&lt;MAX($P$612*($B618+IF($R$17="Distrato",$I$38-1,0)),IF(AND($L$615=0,$P$612=0),"",$L$615-1),IF($R$17="Distrato",$E618,0))),0,YEARFRAC(MAX($P$612*($B618+IF($R$17="Distrato",$I$38-1,0)),IF(AND($L$615=0,$P$612=0),"",$L$615-1),IF($R$17="Distrato",$E618,0)),MIN(AT$38,$D$19),$P$20))-SUM($P618:AS618)</f>
        <v>0</v>
      </c>
      <c r="AU618" s="446">
        <f>IF(OR($B618="",MIN(AU$38,$D$19)&lt;MAX($P$612*($B618+IF($R$17="Distrato",$I$38-1,0)),IF(AND($L$615=0,$P$612=0),"",$L$615-1),IF($R$17="Distrato",$E618,0))),0,YEARFRAC(MAX($P$612*($B618+IF($R$17="Distrato",$I$38-1,0)),IF(AND($L$615=0,$P$612=0),"",$L$615-1),IF($R$17="Distrato",$E618,0)),MIN(AU$38,$D$19),$P$20))-SUM($P618:AT618)</f>
        <v>0</v>
      </c>
      <c r="AV618" s="446">
        <f>IF(OR($B618="",MIN(AV$38,$D$19)&lt;MAX($P$612*($B618+IF($R$17="Distrato",$I$38-1,0)),IF(AND($L$615=0,$P$612=0),"",$L$615-1),IF($R$17="Distrato",$E618,0))),0,YEARFRAC(MAX($P$612*($B618+IF($R$17="Distrato",$I$38-1,0)),IF(AND($L$615=0,$P$612=0),"",$L$615-1),IF($R$17="Distrato",$E618,0)),MIN(AV$38,$D$19),$P$20))-SUM($P618:AU618)</f>
        <v>0</v>
      </c>
      <c r="AW618" s="446">
        <f>IF(OR($B618="",MIN(AW$38,$D$19)&lt;MAX($P$612*($B618+IF($R$17="Distrato",$I$38-1,0)),IF(AND($L$615=0,$P$612=0),"",$L$615-1),IF($R$17="Distrato",$E618,0))),0,YEARFRAC(MAX($P$612*($B618+IF($R$17="Distrato",$I$38-1,0)),IF(AND($L$615=0,$P$612=0),"",$L$615-1),IF($R$17="Distrato",$E618,0)),MIN(AW$38,$D$19),$P$20))-SUM($P618:AV618)</f>
        <v>0</v>
      </c>
      <c r="AX618" s="446">
        <f>IF(OR($B618="",MIN(AX$38,$D$19)&lt;MAX($P$612*($B618+IF($R$17="Distrato",$I$38-1,0)),IF(AND($L$615=0,$P$612=0),"",$L$615-1),IF($R$17="Distrato",$E618,0))),0,YEARFRAC(MAX($P$612*($B618+IF($R$17="Distrato",$I$38-1,0)),IF(AND($L$615=0,$P$612=0),"",$L$615-1),IF($R$17="Distrato",$E618,0)),MIN(AX$38,$D$19),$P$20))-SUM($P618:AW618)</f>
        <v>0</v>
      </c>
      <c r="AY618" s="446">
        <f>IF(OR($B618="",MIN(AY$38,$D$19)&lt;MAX($P$612*($B618+IF($R$17="Distrato",$I$38-1,0)),IF(AND($L$615=0,$P$612=0),"",$L$615-1),IF($R$17="Distrato",$E618,0))),0,YEARFRAC(MAX($P$612*($B618+IF($R$17="Distrato",$I$38-1,0)),IF(AND($L$615=0,$P$612=0),"",$L$615-1),IF($R$17="Distrato",$E618,0)),MIN(AY$38,$D$19),$P$20))-SUM($P618:AX618)</f>
        <v>0</v>
      </c>
      <c r="AZ618" s="446">
        <f>IF(OR($B618="",MIN(AZ$38,$D$19)&lt;MAX($P$612*($B618+IF($R$17="Distrato",$I$38-1,0)),IF(AND($L$615=0,$P$612=0),"",$L$615-1),IF($R$17="Distrato",$E618,0))),0,YEARFRAC(MAX($P$612*($B618+IF($R$17="Distrato",$I$38-1,0)),IF(AND($L$615=0,$P$612=0),"",$L$615-1),IF($R$17="Distrato",$E618,0)),MIN(AZ$38,$D$19),$P$20))-SUM($P618:AY618)</f>
        <v>0</v>
      </c>
      <c r="BA618" s="446">
        <f>IF(OR($B618="",MIN(BA$38,$D$19)&lt;MAX($P$612*($B618+IF($R$17="Distrato",$I$38-1,0)),IF(AND($L$615=0,$P$612=0),"",$L$615-1),IF($R$17="Distrato",$E618,0))),0,YEARFRAC(MAX($P$612*($B618+IF($R$17="Distrato",$I$38-1,0)),IF(AND($L$615=0,$P$612=0),"",$L$615-1),IF($R$17="Distrato",$E618,0)),MIN(BA$38,$D$19),$P$20))-SUM($P618:AZ618)</f>
        <v>0</v>
      </c>
      <c r="BB618" s="447"/>
    </row>
    <row r="619" spans="1:95" s="446" customFormat="1" ht="11.25" hidden="1" customHeight="1" x14ac:dyDescent="0.2">
      <c r="A619" s="177"/>
      <c r="B619" s="178"/>
      <c r="C619" s="29" t="str">
        <f>IF(B619="","",IF($L$613="SELIC - TRIBUTOS",VLOOKUP(DATE(YEAR($D$19),MONTH($D$19)-1,1),ÍNDICES!$A:$DE,HLOOKUP($BL$25,ÍNDICES!$B$3:$T$4,2)+11)-VLOOKUP(B619,ÍNDICES!$A:$DE,HLOOKUP($BL$25,ÍNDICES!$B$3:$T$4,2)+11)+1%,IF(C$616=$W$26,$J$613,IF(ISERROR(IF(B619&gt;$D$19,1,VLOOKUP(DATE(YEAR(B619),MONTH(B619)+IF($C$613=$S$23,1,0),1),ÍNDICES!$A:$DE,$Z$613+1))),"",IF(B619&gt;$D$19,1,VLOOKUP(DATE(YEAR(B619),MONTH(B619)+IF($C$613=$S$23,1,0),1),ÍNDICES!$A:$DE,$Z$613+1))))))</f>
        <v/>
      </c>
      <c r="D619" s="155"/>
      <c r="E619" s="179"/>
      <c r="F619" s="29"/>
      <c r="G619" s="180"/>
      <c r="H619" s="181"/>
      <c r="I619" s="182" t="str">
        <f t="shared" ref="I619:I679" si="107">IF(E619="",IF(D619="","",D619),IF(ISERROR(D619/(IF(E619&lt;B619,1,C619/F619))-G619),-G619,D619/(IF(E619&lt;B619,1,C619/F619))-G619))</f>
        <v/>
      </c>
      <c r="J619" s="5" t="str">
        <f t="shared" ref="J619:J679" si="108">IF(ISERROR(IF(I619="","",I619*IF(B619&gt;$D$19,1,$J$613)/IF(E619&gt;B619,F619,C619))),0,IF(I619="","",I619*IF(B619&gt;$D$19,1,$J$613)/IF(E619&gt;B619,F619,C619)))</f>
        <v/>
      </c>
      <c r="K619" s="5">
        <f t="shared" ref="K619:K679" ca="1" si="109">IF($L$613="SELIC - TRIBUTOS",$K$616*(IFERROR(G619*(1+F619),0)-IFERROR(D619*(1+C619),0)),$K$616*(IFERROR(D619/C619*$J$613,0)-IFERROR(G619/F619*$J$613,0)))</f>
        <v>0</v>
      </c>
      <c r="L619" s="5">
        <f t="shared" ca="1" si="104"/>
        <v>0</v>
      </c>
      <c r="M619" s="64">
        <f t="shared" ref="M619:M679" si="110">IFERROR(SUM(P619:BA619),0)</f>
        <v>0</v>
      </c>
      <c r="N619" s="61">
        <f t="shared" ca="1" si="105"/>
        <v>0</v>
      </c>
      <c r="O619" s="20">
        <f t="shared" ca="1" si="106"/>
        <v>0</v>
      </c>
      <c r="P619" s="446">
        <f t="shared" ref="P619:P649" si="111">IF(OR($B619="",MIN(P$38,$D$19)&lt;MAX($P$612*($B619+IF($R$17="Distrato",$I$38-1,0)),IF(AND($L$615=0,$P$612=0),"",$L$615-1),IF($R$17="Distrato",$E619,0))),0,YEARFRAC(MAX($P$612*($B619+IF($R$17="Distrato",$I$38-1,0)),IF(AND($L$615=0,$P$612=0),"",$L$615-1),IF($R$17="Distrato",$E619,0)),MIN(P$38,$D$19),$P$20))</f>
        <v>0</v>
      </c>
      <c r="Q619" s="446">
        <f>IF(OR($B619="",MIN(Q$38,$D$19)&lt;MAX($P$612*($B619+IF($R$17="Distrato",$I$38-1,0)),IF(AND($L$615=0,$P$612=0),"",$L$615-1),IF($R$17="Distrato",$E619,0))),0,YEARFRAC(MAX($P$612*($B619+IF($R$17="Distrato",$I$38-1,0)),IF(AND($L$615=0,$P$612=0),"",$L$615-1),IF($R$17="Distrato",$E619,0)),MIN(Q$38,$D$19),$P$20))-SUM($P619:P619)</f>
        <v>0</v>
      </c>
      <c r="R619" s="446">
        <f>IF(OR($B619="",MIN(R$38,$D$19)&lt;MAX($P$612*($B619+IF($R$17="Distrato",$I$38-1,0)),IF(AND($L$615=0,$P$612=0),"",$L$615-1),IF($R$17="Distrato",$E619,0))),0,YEARFRAC(MAX($P$612*($B619+IF($R$17="Distrato",$I$38-1,0)),IF(AND($L$615=0,$P$612=0),"",$L$615-1),IF($R$17="Distrato",$E619,0)),MIN(R$38,$D$19),$P$20))-SUM($P619:Q619)</f>
        <v>0</v>
      </c>
      <c r="S619" s="446">
        <f>IF(OR($B619="",MIN(S$38,$D$19)&lt;MAX($P$612*($B619+IF($R$17="Distrato",$I$38-1,0)),IF(AND($L$615=0,$P$612=0),"",$L$615-1),IF($R$17="Distrato",$E619,0))),0,YEARFRAC(MAX($P$612*($B619+IF($R$17="Distrato",$I$38-1,0)),IF(AND($L$615=0,$P$612=0),"",$L$615-1),IF($R$17="Distrato",$E619,0)),MIN(S$38,$D$19),$P$20))-SUM($P619:R619)</f>
        <v>0</v>
      </c>
      <c r="T619" s="446">
        <f>IF(OR($B619="",MIN(T$38,$D$19)&lt;MAX($P$612*($B619+IF($R$17="Distrato",$I$38-1,0)),IF(AND($L$615=0,$P$612=0),"",$L$615-1),IF($R$17="Distrato",$E619,0))),0,YEARFRAC(MAX($P$612*($B619+IF($R$17="Distrato",$I$38-1,0)),IF(AND($L$615=0,$P$612=0),"",$L$615-1),IF($R$17="Distrato",$E619,0)),MIN(T$38,$D$19),$P$20))-SUM($P619:S619)</f>
        <v>0</v>
      </c>
      <c r="U619" s="446">
        <f>IF(OR($B619="",MIN(U$38,$D$19)&lt;MAX($P$612*($B619+IF($R$17="Distrato",$I$38-1,0)),IF(AND($L$615=0,$P$612=0),"",$L$615-1),IF($R$17="Distrato",$E619,0))),0,YEARFRAC(MAX($P$612*($B619+IF($R$17="Distrato",$I$38-1,0)),IF(AND($L$615=0,$P$612=0),"",$L$615-1),IF($R$17="Distrato",$E619,0)),MIN(U$38,$D$19),$P$20))-SUM($P619:T619)</f>
        <v>0</v>
      </c>
      <c r="V619" s="446">
        <f>IF(OR($B619="",MIN(V$38,$D$19)&lt;MAX($P$612*($B619+IF($R$17="Distrato",$I$38-1,0)),IF(AND($L$615=0,$P$612=0),"",$L$615-1),IF($R$17="Distrato",$E619,0))),0,YEARFRAC(MAX($P$612*($B619+IF($R$17="Distrato",$I$38-1,0)),IF(AND($L$615=0,$P$612=0),"",$L$615-1),IF($R$17="Distrato",$E619,0)),MIN(V$38,$D$19),$P$20))-SUM($P619:U619)</f>
        <v>0</v>
      </c>
      <c r="W619" s="446">
        <f>IF(OR($B619="",MIN(W$38,$D$19)&lt;MAX($P$612*($B619+IF($R$17="Distrato",$I$38-1,0)),IF(AND($L$615=0,$P$612=0),"",$L$615-1),IF($R$17="Distrato",$E619,0))),0,YEARFRAC(MAX($P$612*($B619+IF($R$17="Distrato",$I$38-1,0)),IF(AND($L$615=0,$P$612=0),"",$L$615-1),IF($R$17="Distrato",$E619,0)),MIN(W$38,$D$19),$P$20))-SUM($P619:V619)</f>
        <v>0</v>
      </c>
      <c r="X619" s="446">
        <f>IF(OR($B619="",MIN(X$38,$D$19)&lt;MAX($P$612*($B619+IF($R$17="Distrato",$I$38-1,0)),IF(AND($L$615=0,$P$612=0),"",$L$615-1),IF($R$17="Distrato",$E619,0))),0,YEARFRAC(MAX($P$612*($B619+IF($R$17="Distrato",$I$38-1,0)),IF(AND($L$615=0,$P$612=0),"",$L$615-1),IF($R$17="Distrato",$E619,0)),MIN(X$38,$D$19),$P$20))-SUM($P619:W619)</f>
        <v>0</v>
      </c>
      <c r="Y619" s="446">
        <f>IF(OR($B619="",MIN(Y$38,$D$19)&lt;MAX($P$612*($B619+IF($R$17="Distrato",$I$38-1,0)),IF(AND($L$615=0,$P$612=0),"",$L$615-1),IF($R$17="Distrato",$E619,0))),0,YEARFRAC(MAX($P$612*($B619+IF($R$17="Distrato",$I$38-1,0)),IF(AND($L$615=0,$P$612=0),"",$L$615-1),IF($R$17="Distrato",$E619,0)),MIN(Y$38,$D$19),$P$20))-SUM($P619:X619)</f>
        <v>0</v>
      </c>
      <c r="Z619" s="446">
        <f>IF(OR($B619="",MIN(Z$38,$D$19)&lt;MAX($P$612*($B619+IF($R$17="Distrato",$I$38-1,0)),IF(AND($L$615=0,$P$612=0),"",$L$615-1),IF($R$17="Distrato",$E619,0))),0,YEARFRAC(MAX($P$612*($B619+IF($R$17="Distrato",$I$38-1,0)),IF(AND($L$615=0,$P$612=0),"",$L$615-1),IF($R$17="Distrato",$E619,0)),MIN(Z$38,$D$19),$P$20))-SUM($P619:Y619)</f>
        <v>0</v>
      </c>
      <c r="AA619" s="446">
        <f>IF(OR($B619="",MIN(AA$38,$D$19)&lt;MAX($P$612*($B619+IF($R$17="Distrato",$I$38-1,0)),IF(AND($L$615=0,$P$612=0),"",$L$615-1),IF($R$17="Distrato",$E619,0))),0,YEARFRAC(MAX($P$612*($B619+IF($R$17="Distrato",$I$38-1,0)),IF(AND($L$615=0,$P$612=0),"",$L$615-1),IF($R$17="Distrato",$E619,0)),MIN(AA$38,$D$19),$P$20))-SUM($P619:Z619)</f>
        <v>0</v>
      </c>
      <c r="AB619" s="446">
        <f>IF(OR($B619="",MIN(AB$38,$D$19)&lt;MAX($P$612*($B619+IF($R$17="Distrato",$I$38-1,0)),IF(AND($L$615=0,$P$612=0),"",$L$615-1),IF($R$17="Distrato",$E619,0))),0,YEARFRAC(MAX($P$612*($B619+IF($R$17="Distrato",$I$38-1,0)),IF(AND($L$615=0,$P$612=0),"",$L$615-1),IF($R$17="Distrato",$E619,0)),MIN(AB$38,$D$19),$P$20))-SUM($P619:AA619)</f>
        <v>0</v>
      </c>
      <c r="AC619" s="446">
        <f>IF(OR($B619="",MIN(AC$38,$D$19)&lt;MAX($P$612*($B619+IF($R$17="Distrato",$I$38-1,0)),IF(AND($L$615=0,$P$612=0),"",$L$615-1),IF($R$17="Distrato",$E619,0))),0,YEARFRAC(MAX($P$612*($B619+IF($R$17="Distrato",$I$38-1,0)),IF(AND($L$615=0,$P$612=0),"",$L$615-1),IF($R$17="Distrato",$E619,0)),MIN(AC$38,$D$19),$P$20))-SUM($P619:AB619)</f>
        <v>0</v>
      </c>
      <c r="AD619" s="446">
        <f>IF(OR($B619="",MIN(AD$38,$D$19)&lt;MAX($P$612*($B619+IF($R$17="Distrato",$I$38-1,0)),IF(AND($L$615=0,$P$612=0),"",$L$615-1),IF($R$17="Distrato",$E619,0))),0,YEARFRAC(MAX($P$612*($B619+IF($R$17="Distrato",$I$38-1,0)),IF(AND($L$615=0,$P$612=0),"",$L$615-1),IF($R$17="Distrato",$E619,0)),MIN(AD$38,$D$19),$P$20))-SUM($P619:AC619)</f>
        <v>0</v>
      </c>
      <c r="AE619" s="446">
        <f>IF(OR($B619="",MIN(AE$38,$D$19)&lt;MAX($P$612*($B619+IF($R$17="Distrato",$I$38-1,0)),IF(AND($L$615=0,$P$612=0),"",$L$615-1),IF($R$17="Distrato",$E619,0))),0,YEARFRAC(MAX($P$612*($B619+IF($R$17="Distrato",$I$38-1,0)),IF(AND($L$615=0,$P$612=0),"",$L$615-1),IF($R$17="Distrato",$E619,0)),MIN(AE$38,$D$19),$P$20))-SUM($P619:AD619)</f>
        <v>0</v>
      </c>
      <c r="AF619" s="446">
        <f>IF(OR($B619="",MIN(AF$38,$D$19)&lt;MAX($P$612*($B619+IF($R$17="Distrato",$I$38-1,0)),IF(AND($L$615=0,$P$612=0),"",$L$615-1),IF($R$17="Distrato",$E619,0))),0,YEARFRAC(MAX($P$612*($B619+IF($R$17="Distrato",$I$38-1,0)),IF(AND($L$615=0,$P$612=0),"",$L$615-1),IF($R$17="Distrato",$E619,0)),MIN(AF$38,$D$19),$P$20))-SUM($P619:AE619)</f>
        <v>0</v>
      </c>
      <c r="AG619" s="446">
        <f>IF(OR($B619="",MIN(AG$38,$D$19)&lt;MAX($P$612*($B619+IF($R$17="Distrato",$I$38-1,0)),IF(AND($L$615=0,$P$612=0),"",$L$615-1),IF($R$17="Distrato",$E619,0))),0,YEARFRAC(MAX($P$612*($B619+IF($R$17="Distrato",$I$38-1,0)),IF(AND($L$615=0,$P$612=0),"",$L$615-1),IF($R$17="Distrato",$E619,0)),MIN(AG$38,$D$19),$P$20))-SUM($P619:AF619)</f>
        <v>0</v>
      </c>
      <c r="AH619" s="446">
        <f>IF(OR($B619="",MIN(AH$38,$D$19)&lt;MAX($P$612*($B619+IF($R$17="Distrato",$I$38-1,0)),IF(AND($L$615=0,$P$612=0),"",$L$615-1),IF($R$17="Distrato",$E619,0))),0,YEARFRAC(MAX($P$612*($B619+IF($R$17="Distrato",$I$38-1,0)),IF(AND($L$615=0,$P$612=0),"",$L$615-1),IF($R$17="Distrato",$E619,0)),MIN(AH$38,$D$19),$P$20))-SUM($P619:AG619)</f>
        <v>0</v>
      </c>
      <c r="AI619" s="446">
        <f>IF(OR($B619="",MIN(AI$38,$D$19)&lt;MAX($P$612*($B619+IF($R$17="Distrato",$I$38-1,0)),IF(AND($L$615=0,$P$612=0),"",$L$615-1),IF($R$17="Distrato",$E619,0))),0,YEARFRAC(MAX($P$612*($B619+IF($R$17="Distrato",$I$38-1,0)),IF(AND($L$615=0,$P$612=0),"",$L$615-1),IF($R$17="Distrato",$E619,0)),MIN(AI$38,$D$19),$P$20))-SUM($P619:AH619)</f>
        <v>0</v>
      </c>
      <c r="AJ619" s="446">
        <f>IF(OR($B619="",MIN(AJ$38,$D$19)&lt;MAX($P$612*($B619+IF($R$17="Distrato",$I$38-1,0)),IF(AND($L$615=0,$P$612=0),"",$L$615-1),IF($R$17="Distrato",$E619,0))),0,YEARFRAC(MAX($P$612*($B619+IF($R$17="Distrato",$I$38-1,0)),IF(AND($L$615=0,$P$612=0),"",$L$615-1),IF($R$17="Distrato",$E619,0)),MIN(AJ$38,$D$19),$P$20))-SUM($P619:AI619)</f>
        <v>0</v>
      </c>
      <c r="AK619" s="446">
        <f>IF(OR($B619="",MIN(AK$38,$D$19)&lt;MAX($P$612*($B619+IF($R$17="Distrato",$I$38-1,0)),IF(AND($L$615=0,$P$612=0),"",$L$615-1),IF($R$17="Distrato",$E619,0))),0,YEARFRAC(MAX($P$612*($B619+IF($R$17="Distrato",$I$38-1,0)),IF(AND($L$615=0,$P$612=0),"",$L$615-1),IF($R$17="Distrato",$E619,0)),MIN(AK$38,$D$19),$P$20))-SUM($P619:AJ619)</f>
        <v>0</v>
      </c>
      <c r="AL619" s="446">
        <f>IF(OR($B619="",MIN(AL$38,$D$19)&lt;MAX($P$612*($B619+IF($R$17="Distrato",$I$38-1,0)),IF(AND($L$615=0,$P$612=0),"",$L$615-1),IF($R$17="Distrato",$E619,0))),0,YEARFRAC(MAX($P$612*($B619+IF($R$17="Distrato",$I$38-1,0)),IF(AND($L$615=0,$P$612=0),"",$L$615-1),IF($R$17="Distrato",$E619,0)),MIN(AL$38,$D$19),$P$20))-SUM($P619:AK619)</f>
        <v>0</v>
      </c>
      <c r="AM619" s="446">
        <f>IF(OR($B619="",MIN(AM$38,$D$19)&lt;MAX($P$612*($B619+IF($R$17="Distrato",$I$38-1,0)),IF(AND($L$615=0,$P$612=0),"",$L$615-1),IF($R$17="Distrato",$E619,0))),0,YEARFRAC(MAX($P$612*($B619+IF($R$17="Distrato",$I$38-1,0)),IF(AND($L$615=0,$P$612=0),"",$L$615-1),IF($R$17="Distrato",$E619,0)),MIN(AM$38,$D$19),$P$20))-SUM($P619:AL619)</f>
        <v>0</v>
      </c>
      <c r="AN619" s="446">
        <f>IF(OR($B619="",MIN(AN$38,$D$19)&lt;MAX($P$612*($B619+IF($R$17="Distrato",$I$38-1,0)),IF(AND($L$615=0,$P$612=0),"",$L$615-1),IF($R$17="Distrato",$E619,0))),0,YEARFRAC(MAX($P$612*($B619+IF($R$17="Distrato",$I$38-1,0)),IF(AND($L$615=0,$P$612=0),"",$L$615-1),IF($R$17="Distrato",$E619,0)),MIN(AN$38,$D$19),$P$20))-SUM($P619:AM619)</f>
        <v>0</v>
      </c>
      <c r="AO619" s="446">
        <f>IF(OR($B619="",MIN(AO$38,$D$19)&lt;MAX($P$612*($B619+IF($R$17="Distrato",$I$38-1,0)),IF(AND($L$615=0,$P$612=0),"",$L$615-1),IF($R$17="Distrato",$E619,0))),0,YEARFRAC(MAX($P$612*($B619+IF($R$17="Distrato",$I$38-1,0)),IF(AND($L$615=0,$P$612=0),"",$L$615-1),IF($R$17="Distrato",$E619,0)),MIN(AO$38,$D$19),$P$20))-SUM($P619:AN619)</f>
        <v>0</v>
      </c>
      <c r="AP619" s="446">
        <f>IF(OR($B619="",MIN(AP$38,$D$19)&lt;MAX($P$612*($B619+IF($R$17="Distrato",$I$38-1,0)),IF(AND($L$615=0,$P$612=0),"",$L$615-1),IF($R$17="Distrato",$E619,0))),0,YEARFRAC(MAX($P$612*($B619+IF($R$17="Distrato",$I$38-1,0)),IF(AND($L$615=0,$P$612=0),"",$L$615-1),IF($R$17="Distrato",$E619,0)),MIN(AP$38,$D$19),$P$20))-SUM($P619:AO619)</f>
        <v>0</v>
      </c>
      <c r="AQ619" s="446">
        <f>IF(OR($B619="",MIN(AQ$38,$D$19)&lt;MAX($P$612*($B619+IF($R$17="Distrato",$I$38-1,0)),IF(AND($L$615=0,$P$612=0),"",$L$615-1),IF($R$17="Distrato",$E619,0))),0,YEARFRAC(MAX($P$612*($B619+IF($R$17="Distrato",$I$38-1,0)),IF(AND($L$615=0,$P$612=0),"",$L$615-1),IF($R$17="Distrato",$E619,0)),MIN(AQ$38,$D$19),$P$20))-SUM($P619:AP619)</f>
        <v>0</v>
      </c>
      <c r="AR619" s="446">
        <f>IF(OR($B619="",MIN(AR$38,$D$19)&lt;MAX($P$612*($B619+IF($R$17="Distrato",$I$38-1,0)),IF(AND($L$615=0,$P$612=0),"",$L$615-1),IF($R$17="Distrato",$E619,0))),0,YEARFRAC(MAX($P$612*($B619+IF($R$17="Distrato",$I$38-1,0)),IF(AND($L$615=0,$P$612=0),"",$L$615-1),IF($R$17="Distrato",$E619,0)),MIN(AR$38,$D$19),$P$20))-SUM($P619:AQ619)</f>
        <v>0</v>
      </c>
      <c r="AS619" s="446">
        <f>IF(OR($B619="",MIN(AS$38,$D$19)&lt;MAX($P$612*($B619+IF($R$17="Distrato",$I$38-1,0)),IF(AND($L$615=0,$P$612=0),"",$L$615-1),IF($R$17="Distrato",$E619,0))),0,YEARFRAC(MAX($P$612*($B619+IF($R$17="Distrato",$I$38-1,0)),IF(AND($L$615=0,$P$612=0),"",$L$615-1),IF($R$17="Distrato",$E619,0)),MIN(AS$38,$D$19),$P$20))-SUM($P619:AR619)</f>
        <v>0</v>
      </c>
      <c r="AT619" s="446">
        <f>IF(OR($B619="",MIN(AT$38,$D$19)&lt;MAX($P$612*($B619+IF($R$17="Distrato",$I$38-1,0)),IF(AND($L$615=0,$P$612=0),"",$L$615-1),IF($R$17="Distrato",$E619,0))),0,YEARFRAC(MAX($P$612*($B619+IF($R$17="Distrato",$I$38-1,0)),IF(AND($L$615=0,$P$612=0),"",$L$615-1),IF($R$17="Distrato",$E619,0)),MIN(AT$38,$D$19),$P$20))-SUM($P619:AS619)</f>
        <v>0</v>
      </c>
      <c r="AU619" s="446">
        <f>IF(OR($B619="",MIN(AU$38,$D$19)&lt;MAX($P$612*($B619+IF($R$17="Distrato",$I$38-1,0)),IF(AND($L$615=0,$P$612=0),"",$L$615-1),IF($R$17="Distrato",$E619,0))),0,YEARFRAC(MAX($P$612*($B619+IF($R$17="Distrato",$I$38-1,0)),IF(AND($L$615=0,$P$612=0),"",$L$615-1),IF($R$17="Distrato",$E619,0)),MIN(AU$38,$D$19),$P$20))-SUM($P619:AT619)</f>
        <v>0</v>
      </c>
      <c r="AV619" s="446">
        <f>IF(OR($B619="",MIN(AV$38,$D$19)&lt;MAX($P$612*($B619+IF($R$17="Distrato",$I$38-1,0)),IF(AND($L$615=0,$P$612=0),"",$L$615-1),IF($R$17="Distrato",$E619,0))),0,YEARFRAC(MAX($P$612*($B619+IF($R$17="Distrato",$I$38-1,0)),IF(AND($L$615=0,$P$612=0),"",$L$615-1),IF($R$17="Distrato",$E619,0)),MIN(AV$38,$D$19),$P$20))-SUM($P619:AU619)</f>
        <v>0</v>
      </c>
      <c r="AW619" s="446">
        <f>IF(OR($B619="",MIN(AW$38,$D$19)&lt;MAX($P$612*($B619+IF($R$17="Distrato",$I$38-1,0)),IF(AND($L$615=0,$P$612=0),"",$L$615-1),IF($R$17="Distrato",$E619,0))),0,YEARFRAC(MAX($P$612*($B619+IF($R$17="Distrato",$I$38-1,0)),IF(AND($L$615=0,$P$612=0),"",$L$615-1),IF($R$17="Distrato",$E619,0)),MIN(AW$38,$D$19),$P$20))-SUM($P619:AV619)</f>
        <v>0</v>
      </c>
      <c r="AX619" s="446">
        <f>IF(OR($B619="",MIN(AX$38,$D$19)&lt;MAX($P$612*($B619+IF($R$17="Distrato",$I$38-1,0)),IF(AND($L$615=0,$P$612=0),"",$L$615-1),IF($R$17="Distrato",$E619,0))),0,YEARFRAC(MAX($P$612*($B619+IF($R$17="Distrato",$I$38-1,0)),IF(AND($L$615=0,$P$612=0),"",$L$615-1),IF($R$17="Distrato",$E619,0)),MIN(AX$38,$D$19),$P$20))-SUM($P619:AW619)</f>
        <v>0</v>
      </c>
      <c r="AY619" s="446">
        <f>IF(OR($B619="",MIN(AY$38,$D$19)&lt;MAX($P$612*($B619+IF($R$17="Distrato",$I$38-1,0)),IF(AND($L$615=0,$P$612=0),"",$L$615-1),IF($R$17="Distrato",$E619,0))),0,YEARFRAC(MAX($P$612*($B619+IF($R$17="Distrato",$I$38-1,0)),IF(AND($L$615=0,$P$612=0),"",$L$615-1),IF($R$17="Distrato",$E619,0)),MIN(AY$38,$D$19),$P$20))-SUM($P619:AX619)</f>
        <v>0</v>
      </c>
      <c r="AZ619" s="446">
        <f>IF(OR($B619="",MIN(AZ$38,$D$19)&lt;MAX($P$612*($B619+IF($R$17="Distrato",$I$38-1,0)),IF(AND($L$615=0,$P$612=0),"",$L$615-1),IF($R$17="Distrato",$E619,0))),0,YEARFRAC(MAX($P$612*($B619+IF($R$17="Distrato",$I$38-1,0)),IF(AND($L$615=0,$P$612=0),"",$L$615-1),IF($R$17="Distrato",$E619,0)),MIN(AZ$38,$D$19),$P$20))-SUM($P619:AY619)</f>
        <v>0</v>
      </c>
      <c r="BA619" s="446">
        <f>IF(OR($B619="",MIN(BA$38,$D$19)&lt;MAX($P$612*($B619+IF($R$17="Distrato",$I$38-1,0)),IF(AND($L$615=0,$P$612=0),"",$L$615-1),IF($R$17="Distrato",$E619,0))),0,YEARFRAC(MAX($P$612*($B619+IF($R$17="Distrato",$I$38-1,0)),IF(AND($L$615=0,$P$612=0),"",$L$615-1),IF($R$17="Distrato",$E619,0)),MIN(BA$38,$D$19),$P$20))-SUM($P619:AZ619)</f>
        <v>0</v>
      </c>
      <c r="BB619" s="447"/>
    </row>
    <row r="620" spans="1:95" s="446" customFormat="1" ht="11.25" hidden="1" customHeight="1" x14ac:dyDescent="0.2">
      <c r="A620" s="177"/>
      <c r="B620" s="178"/>
      <c r="C620" s="29" t="str">
        <f>IF(B620="","",IF($L$613="SELIC - TRIBUTOS",VLOOKUP(DATE(YEAR($D$19),MONTH($D$19)-1,1),ÍNDICES!$A:$DE,HLOOKUP($BL$25,ÍNDICES!$B$3:$T$4,2)+11)-VLOOKUP(B620,ÍNDICES!$A:$DE,HLOOKUP($BL$25,ÍNDICES!$B$3:$T$4,2)+11)+1%,IF(C$616=$W$26,$J$613,IF(ISERROR(IF(B620&gt;$D$19,1,VLOOKUP(DATE(YEAR(B620),MONTH(B620)+IF($C$613=$S$23,1,0),1),ÍNDICES!$A:$DE,$Z$613+1))),"",IF(B620&gt;$D$19,1,VLOOKUP(DATE(YEAR(B620),MONTH(B620)+IF($C$613=$S$23,1,0),1),ÍNDICES!$A:$DE,$Z$613+1))))))</f>
        <v/>
      </c>
      <c r="D620" s="155"/>
      <c r="E620" s="179"/>
      <c r="F620" s="29"/>
      <c r="G620" s="180"/>
      <c r="H620" s="181"/>
      <c r="I620" s="182" t="str">
        <f t="shared" si="107"/>
        <v/>
      </c>
      <c r="J620" s="5" t="str">
        <f t="shared" si="108"/>
        <v/>
      </c>
      <c r="K620" s="5">
        <f t="shared" ca="1" si="109"/>
        <v>0</v>
      </c>
      <c r="L620" s="5">
        <f t="shared" ca="1" si="104"/>
        <v>0</v>
      </c>
      <c r="M620" s="64">
        <f t="shared" si="110"/>
        <v>0</v>
      </c>
      <c r="N620" s="61">
        <f t="shared" ca="1" si="105"/>
        <v>0</v>
      </c>
      <c r="O620" s="20">
        <f t="shared" ca="1" si="106"/>
        <v>0</v>
      </c>
      <c r="P620" s="446">
        <f t="shared" si="111"/>
        <v>0</v>
      </c>
      <c r="Q620" s="446">
        <f>IF(OR($B620="",MIN(Q$38,$D$19)&lt;MAX($P$612*($B620+IF($R$17="Distrato",$I$38-1,0)),IF(AND($L$615=0,$P$612=0),"",$L$615-1),IF($R$17="Distrato",$E620,0))),0,YEARFRAC(MAX($P$612*($B620+IF($R$17="Distrato",$I$38-1,0)),IF(AND($L$615=0,$P$612=0),"",$L$615-1),IF($R$17="Distrato",$E620,0)),MIN(Q$38,$D$19),$P$20))-SUM($P620:P620)</f>
        <v>0</v>
      </c>
      <c r="R620" s="446">
        <f>IF(OR($B620="",MIN(R$38,$D$19)&lt;MAX($P$612*($B620+IF($R$17="Distrato",$I$38-1,0)),IF(AND($L$615=0,$P$612=0),"",$L$615-1),IF($R$17="Distrato",$E620,0))),0,YEARFRAC(MAX($P$612*($B620+IF($R$17="Distrato",$I$38-1,0)),IF(AND($L$615=0,$P$612=0),"",$L$615-1),IF($R$17="Distrato",$E620,0)),MIN(R$38,$D$19),$P$20))-SUM($P620:Q620)</f>
        <v>0</v>
      </c>
      <c r="S620" s="446">
        <f>IF(OR($B620="",MIN(S$38,$D$19)&lt;MAX($P$612*($B620+IF($R$17="Distrato",$I$38-1,0)),IF(AND($L$615=0,$P$612=0),"",$L$615-1),IF($R$17="Distrato",$E620,0))),0,YEARFRAC(MAX($P$612*($B620+IF($R$17="Distrato",$I$38-1,0)),IF(AND($L$615=0,$P$612=0),"",$L$615-1),IF($R$17="Distrato",$E620,0)),MIN(S$38,$D$19),$P$20))-SUM($P620:R620)</f>
        <v>0</v>
      </c>
      <c r="T620" s="446">
        <f>IF(OR($B620="",MIN(T$38,$D$19)&lt;MAX($P$612*($B620+IF($R$17="Distrato",$I$38-1,0)),IF(AND($L$615=0,$P$612=0),"",$L$615-1),IF($R$17="Distrato",$E620,0))),0,YEARFRAC(MAX($P$612*($B620+IF($R$17="Distrato",$I$38-1,0)),IF(AND($L$615=0,$P$612=0),"",$L$615-1),IF($R$17="Distrato",$E620,0)),MIN(T$38,$D$19),$P$20))-SUM($P620:S620)</f>
        <v>0</v>
      </c>
      <c r="U620" s="446">
        <f>IF(OR($B620="",MIN(U$38,$D$19)&lt;MAX($P$612*($B620+IF($R$17="Distrato",$I$38-1,0)),IF(AND($L$615=0,$P$612=0),"",$L$615-1),IF($R$17="Distrato",$E620,0))),0,YEARFRAC(MAX($P$612*($B620+IF($R$17="Distrato",$I$38-1,0)),IF(AND($L$615=0,$P$612=0),"",$L$615-1),IF($R$17="Distrato",$E620,0)),MIN(U$38,$D$19),$P$20))-SUM($P620:T620)</f>
        <v>0</v>
      </c>
      <c r="V620" s="446">
        <f>IF(OR($B620="",MIN(V$38,$D$19)&lt;MAX($P$612*($B620+IF($R$17="Distrato",$I$38-1,0)),IF(AND($L$615=0,$P$612=0),"",$L$615-1),IF($R$17="Distrato",$E620,0))),0,YEARFRAC(MAX($P$612*($B620+IF($R$17="Distrato",$I$38-1,0)),IF(AND($L$615=0,$P$612=0),"",$L$615-1),IF($R$17="Distrato",$E620,0)),MIN(V$38,$D$19),$P$20))-SUM($P620:U620)</f>
        <v>0</v>
      </c>
      <c r="W620" s="446">
        <f>IF(OR($B620="",MIN(W$38,$D$19)&lt;MAX($P$612*($B620+IF($R$17="Distrato",$I$38-1,0)),IF(AND($L$615=0,$P$612=0),"",$L$615-1),IF($R$17="Distrato",$E620,0))),0,YEARFRAC(MAX($P$612*($B620+IF($R$17="Distrato",$I$38-1,0)),IF(AND($L$615=0,$P$612=0),"",$L$615-1),IF($R$17="Distrato",$E620,0)),MIN(W$38,$D$19),$P$20))-SUM($P620:V620)</f>
        <v>0</v>
      </c>
      <c r="X620" s="446">
        <f>IF(OR($B620="",MIN(X$38,$D$19)&lt;MAX($P$612*($B620+IF($R$17="Distrato",$I$38-1,0)),IF(AND($L$615=0,$P$612=0),"",$L$615-1),IF($R$17="Distrato",$E620,0))),0,YEARFRAC(MAX($P$612*($B620+IF($R$17="Distrato",$I$38-1,0)),IF(AND($L$615=0,$P$612=0),"",$L$615-1),IF($R$17="Distrato",$E620,0)),MIN(X$38,$D$19),$P$20))-SUM($P620:W620)</f>
        <v>0</v>
      </c>
      <c r="Y620" s="446">
        <f>IF(OR($B620="",MIN(Y$38,$D$19)&lt;MAX($P$612*($B620+IF($R$17="Distrato",$I$38-1,0)),IF(AND($L$615=0,$P$612=0),"",$L$615-1),IF($R$17="Distrato",$E620,0))),0,YEARFRAC(MAX($P$612*($B620+IF($R$17="Distrato",$I$38-1,0)),IF(AND($L$615=0,$P$612=0),"",$L$615-1),IF($R$17="Distrato",$E620,0)),MIN(Y$38,$D$19),$P$20))-SUM($P620:X620)</f>
        <v>0</v>
      </c>
      <c r="Z620" s="446">
        <f>IF(OR($B620="",MIN(Z$38,$D$19)&lt;MAX($P$612*($B620+IF($R$17="Distrato",$I$38-1,0)),IF(AND($L$615=0,$P$612=0),"",$L$615-1),IF($R$17="Distrato",$E620,0))),0,YEARFRAC(MAX($P$612*($B620+IF($R$17="Distrato",$I$38-1,0)),IF(AND($L$615=0,$P$612=0),"",$L$615-1),IF($R$17="Distrato",$E620,0)),MIN(Z$38,$D$19),$P$20))-SUM($P620:Y620)</f>
        <v>0</v>
      </c>
      <c r="AA620" s="446">
        <f>IF(OR($B620="",MIN(AA$38,$D$19)&lt;MAX($P$612*($B620+IF($R$17="Distrato",$I$38-1,0)),IF(AND($L$615=0,$P$612=0),"",$L$615-1),IF($R$17="Distrato",$E620,0))),0,YEARFRAC(MAX($P$612*($B620+IF($R$17="Distrato",$I$38-1,0)),IF(AND($L$615=0,$P$612=0),"",$L$615-1),IF($R$17="Distrato",$E620,0)),MIN(AA$38,$D$19),$P$20))-SUM($P620:Z620)</f>
        <v>0</v>
      </c>
      <c r="AB620" s="446">
        <f>IF(OR($B620="",MIN(AB$38,$D$19)&lt;MAX($P$612*($B620+IF($R$17="Distrato",$I$38-1,0)),IF(AND($L$615=0,$P$612=0),"",$L$615-1),IF($R$17="Distrato",$E620,0))),0,YEARFRAC(MAX($P$612*($B620+IF($R$17="Distrato",$I$38-1,0)),IF(AND($L$615=0,$P$612=0),"",$L$615-1),IF($R$17="Distrato",$E620,0)),MIN(AB$38,$D$19),$P$20))-SUM($P620:AA620)</f>
        <v>0</v>
      </c>
      <c r="AC620" s="446">
        <f>IF(OR($B620="",MIN(AC$38,$D$19)&lt;MAX($P$612*($B620+IF($R$17="Distrato",$I$38-1,0)),IF(AND($L$615=0,$P$612=0),"",$L$615-1),IF($R$17="Distrato",$E620,0))),0,YEARFRAC(MAX($P$612*($B620+IF($R$17="Distrato",$I$38-1,0)),IF(AND($L$615=0,$P$612=0),"",$L$615-1),IF($R$17="Distrato",$E620,0)),MIN(AC$38,$D$19),$P$20))-SUM($P620:AB620)</f>
        <v>0</v>
      </c>
      <c r="AD620" s="446">
        <f>IF(OR($B620="",MIN(AD$38,$D$19)&lt;MAX($P$612*($B620+IF($R$17="Distrato",$I$38-1,0)),IF(AND($L$615=0,$P$612=0),"",$L$615-1),IF($R$17="Distrato",$E620,0))),0,YEARFRAC(MAX($P$612*($B620+IF($R$17="Distrato",$I$38-1,0)),IF(AND($L$615=0,$P$612=0),"",$L$615-1),IF($R$17="Distrato",$E620,0)),MIN(AD$38,$D$19),$P$20))-SUM($P620:AC620)</f>
        <v>0</v>
      </c>
      <c r="AE620" s="446">
        <f>IF(OR($B620="",MIN(AE$38,$D$19)&lt;MAX($P$612*($B620+IF($R$17="Distrato",$I$38-1,0)),IF(AND($L$615=0,$P$612=0),"",$L$615-1),IF($R$17="Distrato",$E620,0))),0,YEARFRAC(MAX($P$612*($B620+IF($R$17="Distrato",$I$38-1,0)),IF(AND($L$615=0,$P$612=0),"",$L$615-1),IF($R$17="Distrato",$E620,0)),MIN(AE$38,$D$19),$P$20))-SUM($P620:AD620)</f>
        <v>0</v>
      </c>
      <c r="AF620" s="446">
        <f>IF(OR($B620="",MIN(AF$38,$D$19)&lt;MAX($P$612*($B620+IF($R$17="Distrato",$I$38-1,0)),IF(AND($L$615=0,$P$612=0),"",$L$615-1),IF($R$17="Distrato",$E620,0))),0,YEARFRAC(MAX($P$612*($B620+IF($R$17="Distrato",$I$38-1,0)),IF(AND($L$615=0,$P$612=0),"",$L$615-1),IF($R$17="Distrato",$E620,0)),MIN(AF$38,$D$19),$P$20))-SUM($P620:AE620)</f>
        <v>0</v>
      </c>
      <c r="AG620" s="446">
        <f>IF(OR($B620="",MIN(AG$38,$D$19)&lt;MAX($P$612*($B620+IF($R$17="Distrato",$I$38-1,0)),IF(AND($L$615=0,$P$612=0),"",$L$615-1),IF($R$17="Distrato",$E620,0))),0,YEARFRAC(MAX($P$612*($B620+IF($R$17="Distrato",$I$38-1,0)),IF(AND($L$615=0,$P$612=0),"",$L$615-1),IF($R$17="Distrato",$E620,0)),MIN(AG$38,$D$19),$P$20))-SUM($P620:AF620)</f>
        <v>0</v>
      </c>
      <c r="AH620" s="446">
        <f>IF(OR($B620="",MIN(AH$38,$D$19)&lt;MAX($P$612*($B620+IF($R$17="Distrato",$I$38-1,0)),IF(AND($L$615=0,$P$612=0),"",$L$615-1),IF($R$17="Distrato",$E620,0))),0,YEARFRAC(MAX($P$612*($B620+IF($R$17="Distrato",$I$38-1,0)),IF(AND($L$615=0,$P$612=0),"",$L$615-1),IF($R$17="Distrato",$E620,0)),MIN(AH$38,$D$19),$P$20))-SUM($P620:AG620)</f>
        <v>0</v>
      </c>
      <c r="AI620" s="446">
        <f>IF(OR($B620="",MIN(AI$38,$D$19)&lt;MAX($P$612*($B620+IF($R$17="Distrato",$I$38-1,0)),IF(AND($L$615=0,$P$612=0),"",$L$615-1),IF($R$17="Distrato",$E620,0))),0,YEARFRAC(MAX($P$612*($B620+IF($R$17="Distrato",$I$38-1,0)),IF(AND($L$615=0,$P$612=0),"",$L$615-1),IF($R$17="Distrato",$E620,0)),MIN(AI$38,$D$19),$P$20))-SUM($P620:AH620)</f>
        <v>0</v>
      </c>
      <c r="AJ620" s="446">
        <f>IF(OR($B620="",MIN(AJ$38,$D$19)&lt;MAX($P$612*($B620+IF($R$17="Distrato",$I$38-1,0)),IF(AND($L$615=0,$P$612=0),"",$L$615-1),IF($R$17="Distrato",$E620,0))),0,YEARFRAC(MAX($P$612*($B620+IF($R$17="Distrato",$I$38-1,0)),IF(AND($L$615=0,$P$612=0),"",$L$615-1),IF($R$17="Distrato",$E620,0)),MIN(AJ$38,$D$19),$P$20))-SUM($P620:AI620)</f>
        <v>0</v>
      </c>
      <c r="AK620" s="446">
        <f>IF(OR($B620="",MIN(AK$38,$D$19)&lt;MAX($P$612*($B620+IF($R$17="Distrato",$I$38-1,0)),IF(AND($L$615=0,$P$612=0),"",$L$615-1),IF($R$17="Distrato",$E620,0))),0,YEARFRAC(MAX($P$612*($B620+IF($R$17="Distrato",$I$38-1,0)),IF(AND($L$615=0,$P$612=0),"",$L$615-1),IF($R$17="Distrato",$E620,0)),MIN(AK$38,$D$19),$P$20))-SUM($P620:AJ620)</f>
        <v>0</v>
      </c>
      <c r="AL620" s="446">
        <f>IF(OR($B620="",MIN(AL$38,$D$19)&lt;MAX($P$612*($B620+IF($R$17="Distrato",$I$38-1,0)),IF(AND($L$615=0,$P$612=0),"",$L$615-1),IF($R$17="Distrato",$E620,0))),0,YEARFRAC(MAX($P$612*($B620+IF($R$17="Distrato",$I$38-1,0)),IF(AND($L$615=0,$P$612=0),"",$L$615-1),IF($R$17="Distrato",$E620,0)),MIN(AL$38,$D$19),$P$20))-SUM($P620:AK620)</f>
        <v>0</v>
      </c>
      <c r="AM620" s="446">
        <f>IF(OR($B620="",MIN(AM$38,$D$19)&lt;MAX($P$612*($B620+IF($R$17="Distrato",$I$38-1,0)),IF(AND($L$615=0,$P$612=0),"",$L$615-1),IF($R$17="Distrato",$E620,0))),0,YEARFRAC(MAX($P$612*($B620+IF($R$17="Distrato",$I$38-1,0)),IF(AND($L$615=0,$P$612=0),"",$L$615-1),IF($R$17="Distrato",$E620,0)),MIN(AM$38,$D$19),$P$20))-SUM($P620:AL620)</f>
        <v>0</v>
      </c>
      <c r="AN620" s="446">
        <f>IF(OR($B620="",MIN(AN$38,$D$19)&lt;MAX($P$612*($B620+IF($R$17="Distrato",$I$38-1,0)),IF(AND($L$615=0,$P$612=0),"",$L$615-1),IF($R$17="Distrato",$E620,0))),0,YEARFRAC(MAX($P$612*($B620+IF($R$17="Distrato",$I$38-1,0)),IF(AND($L$615=0,$P$612=0),"",$L$615-1),IF($R$17="Distrato",$E620,0)),MIN(AN$38,$D$19),$P$20))-SUM($P620:AM620)</f>
        <v>0</v>
      </c>
      <c r="AO620" s="446">
        <f>IF(OR($B620="",MIN(AO$38,$D$19)&lt;MAX($P$612*($B620+IF($R$17="Distrato",$I$38-1,0)),IF(AND($L$615=0,$P$612=0),"",$L$615-1),IF($R$17="Distrato",$E620,0))),0,YEARFRAC(MAX($P$612*($B620+IF($R$17="Distrato",$I$38-1,0)),IF(AND($L$615=0,$P$612=0),"",$L$615-1),IF($R$17="Distrato",$E620,0)),MIN(AO$38,$D$19),$P$20))-SUM($P620:AN620)</f>
        <v>0</v>
      </c>
      <c r="AP620" s="446">
        <f>IF(OR($B620="",MIN(AP$38,$D$19)&lt;MAX($P$612*($B620+IF($R$17="Distrato",$I$38-1,0)),IF(AND($L$615=0,$P$612=0),"",$L$615-1),IF($R$17="Distrato",$E620,0))),0,YEARFRAC(MAX($P$612*($B620+IF($R$17="Distrato",$I$38-1,0)),IF(AND($L$615=0,$P$612=0),"",$L$615-1),IF($R$17="Distrato",$E620,0)),MIN(AP$38,$D$19),$P$20))-SUM($P620:AO620)</f>
        <v>0</v>
      </c>
      <c r="AQ620" s="446">
        <f>IF(OR($B620="",MIN(AQ$38,$D$19)&lt;MAX($P$612*($B620+IF($R$17="Distrato",$I$38-1,0)),IF(AND($L$615=0,$P$612=0),"",$L$615-1),IF($R$17="Distrato",$E620,0))),0,YEARFRAC(MAX($P$612*($B620+IF($R$17="Distrato",$I$38-1,0)),IF(AND($L$615=0,$P$612=0),"",$L$615-1),IF($R$17="Distrato",$E620,0)),MIN(AQ$38,$D$19),$P$20))-SUM($P620:AP620)</f>
        <v>0</v>
      </c>
      <c r="AR620" s="446">
        <f>IF(OR($B620="",MIN(AR$38,$D$19)&lt;MAX($P$612*($B620+IF($R$17="Distrato",$I$38-1,0)),IF(AND($L$615=0,$P$612=0),"",$L$615-1),IF($R$17="Distrato",$E620,0))),0,YEARFRAC(MAX($P$612*($B620+IF($R$17="Distrato",$I$38-1,0)),IF(AND($L$615=0,$P$612=0),"",$L$615-1),IF($R$17="Distrato",$E620,0)),MIN(AR$38,$D$19),$P$20))-SUM($P620:AQ620)</f>
        <v>0</v>
      </c>
      <c r="AS620" s="446">
        <f>IF(OR($B620="",MIN(AS$38,$D$19)&lt;MAX($P$612*($B620+IF($R$17="Distrato",$I$38-1,0)),IF(AND($L$615=0,$P$612=0),"",$L$615-1),IF($R$17="Distrato",$E620,0))),0,YEARFRAC(MAX($P$612*($B620+IF($R$17="Distrato",$I$38-1,0)),IF(AND($L$615=0,$P$612=0),"",$L$615-1),IF($R$17="Distrato",$E620,0)),MIN(AS$38,$D$19),$P$20))-SUM($P620:AR620)</f>
        <v>0</v>
      </c>
      <c r="AT620" s="446">
        <f>IF(OR($B620="",MIN(AT$38,$D$19)&lt;MAX($P$612*($B620+IF($R$17="Distrato",$I$38-1,0)),IF(AND($L$615=0,$P$612=0),"",$L$615-1),IF($R$17="Distrato",$E620,0))),0,YEARFRAC(MAX($P$612*($B620+IF($R$17="Distrato",$I$38-1,0)),IF(AND($L$615=0,$P$612=0),"",$L$615-1),IF($R$17="Distrato",$E620,0)),MIN(AT$38,$D$19),$P$20))-SUM($P620:AS620)</f>
        <v>0</v>
      </c>
      <c r="AU620" s="446">
        <f>IF(OR($B620="",MIN(AU$38,$D$19)&lt;MAX($P$612*($B620+IF($R$17="Distrato",$I$38-1,0)),IF(AND($L$615=0,$P$612=0),"",$L$615-1),IF($R$17="Distrato",$E620,0))),0,YEARFRAC(MAX($P$612*($B620+IF($R$17="Distrato",$I$38-1,0)),IF(AND($L$615=0,$P$612=0),"",$L$615-1),IF($R$17="Distrato",$E620,0)),MIN(AU$38,$D$19),$P$20))-SUM($P620:AT620)</f>
        <v>0</v>
      </c>
      <c r="AV620" s="446">
        <f>IF(OR($B620="",MIN(AV$38,$D$19)&lt;MAX($P$612*($B620+IF($R$17="Distrato",$I$38-1,0)),IF(AND($L$615=0,$P$612=0),"",$L$615-1),IF($R$17="Distrato",$E620,0))),0,YEARFRAC(MAX($P$612*($B620+IF($R$17="Distrato",$I$38-1,0)),IF(AND($L$615=0,$P$612=0),"",$L$615-1),IF($R$17="Distrato",$E620,0)),MIN(AV$38,$D$19),$P$20))-SUM($P620:AU620)</f>
        <v>0</v>
      </c>
      <c r="AW620" s="446">
        <f>IF(OR($B620="",MIN(AW$38,$D$19)&lt;MAX($P$612*($B620+IF($R$17="Distrato",$I$38-1,0)),IF(AND($L$615=0,$P$612=0),"",$L$615-1),IF($R$17="Distrato",$E620,0))),0,YEARFRAC(MAX($P$612*($B620+IF($R$17="Distrato",$I$38-1,0)),IF(AND($L$615=0,$P$612=0),"",$L$615-1),IF($R$17="Distrato",$E620,0)),MIN(AW$38,$D$19),$P$20))-SUM($P620:AV620)</f>
        <v>0</v>
      </c>
      <c r="AX620" s="446">
        <f>IF(OR($B620="",MIN(AX$38,$D$19)&lt;MAX($P$612*($B620+IF($R$17="Distrato",$I$38-1,0)),IF(AND($L$615=0,$P$612=0),"",$L$615-1),IF($R$17="Distrato",$E620,0))),0,YEARFRAC(MAX($P$612*($B620+IF($R$17="Distrato",$I$38-1,0)),IF(AND($L$615=0,$P$612=0),"",$L$615-1),IF($R$17="Distrato",$E620,0)),MIN(AX$38,$D$19),$P$20))-SUM($P620:AW620)</f>
        <v>0</v>
      </c>
      <c r="AY620" s="446">
        <f>IF(OR($B620="",MIN(AY$38,$D$19)&lt;MAX($P$612*($B620+IF($R$17="Distrato",$I$38-1,0)),IF(AND($L$615=0,$P$612=0),"",$L$615-1),IF($R$17="Distrato",$E620,0))),0,YEARFRAC(MAX($P$612*($B620+IF($R$17="Distrato",$I$38-1,0)),IF(AND($L$615=0,$P$612=0),"",$L$615-1),IF($R$17="Distrato",$E620,0)),MIN(AY$38,$D$19),$P$20))-SUM($P620:AX620)</f>
        <v>0</v>
      </c>
      <c r="AZ620" s="446">
        <f>IF(OR($B620="",MIN(AZ$38,$D$19)&lt;MAX($P$612*($B620+IF($R$17="Distrato",$I$38-1,0)),IF(AND($L$615=0,$P$612=0),"",$L$615-1),IF($R$17="Distrato",$E620,0))),0,YEARFRAC(MAX($P$612*($B620+IF($R$17="Distrato",$I$38-1,0)),IF(AND($L$615=0,$P$612=0),"",$L$615-1),IF($R$17="Distrato",$E620,0)),MIN(AZ$38,$D$19),$P$20))-SUM($P620:AY620)</f>
        <v>0</v>
      </c>
      <c r="BA620" s="446">
        <f>IF(OR($B620="",MIN(BA$38,$D$19)&lt;MAX($P$612*($B620+IF($R$17="Distrato",$I$38-1,0)),IF(AND($L$615=0,$P$612=0),"",$L$615-1),IF($R$17="Distrato",$E620,0))),0,YEARFRAC(MAX($P$612*($B620+IF($R$17="Distrato",$I$38-1,0)),IF(AND($L$615=0,$P$612=0),"",$L$615-1),IF($R$17="Distrato",$E620,0)),MIN(BA$38,$D$19),$P$20))-SUM($P620:AZ620)</f>
        <v>0</v>
      </c>
      <c r="BB620" s="447"/>
    </row>
    <row r="621" spans="1:95" s="446" customFormat="1" ht="11.25" hidden="1" x14ac:dyDescent="0.2">
      <c r="A621" s="177"/>
      <c r="B621" s="178"/>
      <c r="C621" s="29" t="str">
        <f>IF(B621="","",IF($L$613="SELIC - TRIBUTOS",VLOOKUP(DATE(YEAR($D$19),MONTH($D$19)-1,1),ÍNDICES!$A:$DE,HLOOKUP($BL$25,ÍNDICES!$B$3:$T$4,2)+11)-VLOOKUP(B621,ÍNDICES!$A:$DE,HLOOKUP($BL$25,ÍNDICES!$B$3:$T$4,2)+11)+1%,IF(C$616=$W$26,$J$613,IF(ISERROR(IF(B621&gt;$D$19,1,VLOOKUP(DATE(YEAR(B621),MONTH(B621)+IF($C$613=$S$23,1,0),1),ÍNDICES!$A:$DE,$Z$613+1))),"",IF(B621&gt;$D$19,1,VLOOKUP(DATE(YEAR(B621),MONTH(B621)+IF($C$613=$S$23,1,0),1),ÍNDICES!$A:$DE,$Z$613+1))))))</f>
        <v/>
      </c>
      <c r="D621" s="155"/>
      <c r="E621" s="179"/>
      <c r="F621" s="29"/>
      <c r="G621" s="180"/>
      <c r="H621" s="181"/>
      <c r="I621" s="182" t="str">
        <f t="shared" si="107"/>
        <v/>
      </c>
      <c r="J621" s="5" t="str">
        <f t="shared" si="108"/>
        <v/>
      </c>
      <c r="K621" s="5">
        <f t="shared" ca="1" si="109"/>
        <v>0</v>
      </c>
      <c r="L621" s="5">
        <f t="shared" ca="1" si="104"/>
        <v>0</v>
      </c>
      <c r="M621" s="64">
        <f t="shared" si="110"/>
        <v>0</v>
      </c>
      <c r="N621" s="61">
        <f t="shared" ca="1" si="105"/>
        <v>0</v>
      </c>
      <c r="O621" s="20">
        <f t="shared" ca="1" si="106"/>
        <v>0</v>
      </c>
      <c r="P621" s="446">
        <f t="shared" si="111"/>
        <v>0</v>
      </c>
      <c r="Q621" s="446">
        <f>IF(OR($B621="",MIN(Q$38,$D$19)&lt;MAX($P$612*($B621+IF($R$17="Distrato",$I$38-1,0)),IF(AND($L$615=0,$P$612=0),"",$L$615-1),IF($R$17="Distrato",$E621,0))),0,YEARFRAC(MAX($P$612*($B621+IF($R$17="Distrato",$I$38-1,0)),IF(AND($L$615=0,$P$612=0),"",$L$615-1),IF($R$17="Distrato",$E621,0)),MIN(Q$38,$D$19),$P$20))-SUM($P621:P621)</f>
        <v>0</v>
      </c>
      <c r="R621" s="446">
        <f>IF(OR($B621="",MIN(R$38,$D$19)&lt;MAX($P$612*($B621+IF($R$17="Distrato",$I$38-1,0)),IF(AND($L$615=0,$P$612=0),"",$L$615-1),IF($R$17="Distrato",$E621,0))),0,YEARFRAC(MAX($P$612*($B621+IF($R$17="Distrato",$I$38-1,0)),IF(AND($L$615=0,$P$612=0),"",$L$615-1),IF($R$17="Distrato",$E621,0)),MIN(R$38,$D$19),$P$20))-SUM($P621:Q621)</f>
        <v>0</v>
      </c>
      <c r="S621" s="446">
        <f>IF(OR($B621="",MIN(S$38,$D$19)&lt;MAX($P$612*($B621+IF($R$17="Distrato",$I$38-1,0)),IF(AND($L$615=0,$P$612=0),"",$L$615-1),IF($R$17="Distrato",$E621,0))),0,YEARFRAC(MAX($P$612*($B621+IF($R$17="Distrato",$I$38-1,0)),IF(AND($L$615=0,$P$612=0),"",$L$615-1),IF($R$17="Distrato",$E621,0)),MIN(S$38,$D$19),$P$20))-SUM($P621:R621)</f>
        <v>0</v>
      </c>
      <c r="T621" s="446">
        <f>IF(OR($B621="",MIN(T$38,$D$19)&lt;MAX($P$612*($B621+IF($R$17="Distrato",$I$38-1,0)),IF(AND($L$615=0,$P$612=0),"",$L$615-1),IF($R$17="Distrato",$E621,0))),0,YEARFRAC(MAX($P$612*($B621+IF($R$17="Distrato",$I$38-1,0)),IF(AND($L$615=0,$P$612=0),"",$L$615-1),IF($R$17="Distrato",$E621,0)),MIN(T$38,$D$19),$P$20))-SUM($P621:S621)</f>
        <v>0</v>
      </c>
      <c r="U621" s="446">
        <f>IF(OR($B621="",MIN(U$38,$D$19)&lt;MAX($P$612*($B621+IF($R$17="Distrato",$I$38-1,0)),IF(AND($L$615=0,$P$612=0),"",$L$615-1),IF($R$17="Distrato",$E621,0))),0,YEARFRAC(MAX($P$612*($B621+IF($R$17="Distrato",$I$38-1,0)),IF(AND($L$615=0,$P$612=0),"",$L$615-1),IF($R$17="Distrato",$E621,0)),MIN(U$38,$D$19),$P$20))-SUM($P621:T621)</f>
        <v>0</v>
      </c>
      <c r="V621" s="446">
        <f>IF(OR($B621="",MIN(V$38,$D$19)&lt;MAX($P$612*($B621+IF($R$17="Distrato",$I$38-1,0)),IF(AND($L$615=0,$P$612=0),"",$L$615-1),IF($R$17="Distrato",$E621,0))),0,YEARFRAC(MAX($P$612*($B621+IF($R$17="Distrato",$I$38-1,0)),IF(AND($L$615=0,$P$612=0),"",$L$615-1),IF($R$17="Distrato",$E621,0)),MIN(V$38,$D$19),$P$20))-SUM($P621:U621)</f>
        <v>0</v>
      </c>
      <c r="W621" s="446">
        <f>IF(OR($B621="",MIN(W$38,$D$19)&lt;MAX($P$612*($B621+IF($R$17="Distrato",$I$38-1,0)),IF(AND($L$615=0,$P$612=0),"",$L$615-1),IF($R$17="Distrato",$E621,0))),0,YEARFRAC(MAX($P$612*($B621+IF($R$17="Distrato",$I$38-1,0)),IF(AND($L$615=0,$P$612=0),"",$L$615-1),IF($R$17="Distrato",$E621,0)),MIN(W$38,$D$19),$P$20))-SUM($P621:V621)</f>
        <v>0</v>
      </c>
      <c r="X621" s="446">
        <f>IF(OR($B621="",MIN(X$38,$D$19)&lt;MAX($P$612*($B621+IF($R$17="Distrato",$I$38-1,0)),IF(AND($L$615=0,$P$612=0),"",$L$615-1),IF($R$17="Distrato",$E621,0))),0,YEARFRAC(MAX($P$612*($B621+IF($R$17="Distrato",$I$38-1,0)),IF(AND($L$615=0,$P$612=0),"",$L$615-1),IF($R$17="Distrato",$E621,0)),MIN(X$38,$D$19),$P$20))-SUM($P621:W621)</f>
        <v>0</v>
      </c>
      <c r="Y621" s="446">
        <f>IF(OR($B621="",MIN(Y$38,$D$19)&lt;MAX($P$612*($B621+IF($R$17="Distrato",$I$38-1,0)),IF(AND($L$615=0,$P$612=0),"",$L$615-1),IF($R$17="Distrato",$E621,0))),0,YEARFRAC(MAX($P$612*($B621+IF($R$17="Distrato",$I$38-1,0)),IF(AND($L$615=0,$P$612=0),"",$L$615-1),IF($R$17="Distrato",$E621,0)),MIN(Y$38,$D$19),$P$20))-SUM($P621:X621)</f>
        <v>0</v>
      </c>
      <c r="Z621" s="446">
        <f>IF(OR($B621="",MIN(Z$38,$D$19)&lt;MAX($P$612*($B621+IF($R$17="Distrato",$I$38-1,0)),IF(AND($L$615=0,$P$612=0),"",$L$615-1),IF($R$17="Distrato",$E621,0))),0,YEARFRAC(MAX($P$612*($B621+IF($R$17="Distrato",$I$38-1,0)),IF(AND($L$615=0,$P$612=0),"",$L$615-1),IF($R$17="Distrato",$E621,0)),MIN(Z$38,$D$19),$P$20))-SUM($P621:Y621)</f>
        <v>0</v>
      </c>
      <c r="AA621" s="446">
        <f>IF(OR($B621="",MIN(AA$38,$D$19)&lt;MAX($P$612*($B621+IF($R$17="Distrato",$I$38-1,0)),IF(AND($L$615=0,$P$612=0),"",$L$615-1),IF($R$17="Distrato",$E621,0))),0,YEARFRAC(MAX($P$612*($B621+IF($R$17="Distrato",$I$38-1,0)),IF(AND($L$615=0,$P$612=0),"",$L$615-1),IF($R$17="Distrato",$E621,0)),MIN(AA$38,$D$19),$P$20))-SUM($P621:Z621)</f>
        <v>0</v>
      </c>
      <c r="AB621" s="446">
        <f>IF(OR($B621="",MIN(AB$38,$D$19)&lt;MAX($P$612*($B621+IF($R$17="Distrato",$I$38-1,0)),IF(AND($L$615=0,$P$612=0),"",$L$615-1),IF($R$17="Distrato",$E621,0))),0,YEARFRAC(MAX($P$612*($B621+IF($R$17="Distrato",$I$38-1,0)),IF(AND($L$615=0,$P$612=0),"",$L$615-1),IF($R$17="Distrato",$E621,0)),MIN(AB$38,$D$19),$P$20))-SUM($P621:AA621)</f>
        <v>0</v>
      </c>
      <c r="AC621" s="446">
        <f>IF(OR($B621="",MIN(AC$38,$D$19)&lt;MAX($P$612*($B621+IF($R$17="Distrato",$I$38-1,0)),IF(AND($L$615=0,$P$612=0),"",$L$615-1),IF($R$17="Distrato",$E621,0))),0,YEARFRAC(MAX($P$612*($B621+IF($R$17="Distrato",$I$38-1,0)),IF(AND($L$615=0,$P$612=0),"",$L$615-1),IF($R$17="Distrato",$E621,0)),MIN(AC$38,$D$19),$P$20))-SUM($P621:AB621)</f>
        <v>0</v>
      </c>
      <c r="AD621" s="446">
        <f>IF(OR($B621="",MIN(AD$38,$D$19)&lt;MAX($P$612*($B621+IF($R$17="Distrato",$I$38-1,0)),IF(AND($L$615=0,$P$612=0),"",$L$615-1),IF($R$17="Distrato",$E621,0))),0,YEARFRAC(MAX($P$612*($B621+IF($R$17="Distrato",$I$38-1,0)),IF(AND($L$615=0,$P$612=0),"",$L$615-1),IF($R$17="Distrato",$E621,0)),MIN(AD$38,$D$19),$P$20))-SUM($P621:AC621)</f>
        <v>0</v>
      </c>
      <c r="AE621" s="446">
        <f>IF(OR($B621="",MIN(AE$38,$D$19)&lt;MAX($P$612*($B621+IF($R$17="Distrato",$I$38-1,0)),IF(AND($L$615=0,$P$612=0),"",$L$615-1),IF($R$17="Distrato",$E621,0))),0,YEARFRAC(MAX($P$612*($B621+IF($R$17="Distrato",$I$38-1,0)),IF(AND($L$615=0,$P$612=0),"",$L$615-1),IF($R$17="Distrato",$E621,0)),MIN(AE$38,$D$19),$P$20))-SUM($P621:AD621)</f>
        <v>0</v>
      </c>
      <c r="AF621" s="446">
        <f>IF(OR($B621="",MIN(AF$38,$D$19)&lt;MAX($P$612*($B621+IF($R$17="Distrato",$I$38-1,0)),IF(AND($L$615=0,$P$612=0),"",$L$615-1),IF($R$17="Distrato",$E621,0))),0,YEARFRAC(MAX($P$612*($B621+IF($R$17="Distrato",$I$38-1,0)),IF(AND($L$615=0,$P$612=0),"",$L$615-1),IF($R$17="Distrato",$E621,0)),MIN(AF$38,$D$19),$P$20))-SUM($P621:AE621)</f>
        <v>0</v>
      </c>
      <c r="AG621" s="446">
        <f>IF(OR($B621="",MIN(AG$38,$D$19)&lt;MAX($P$612*($B621+IF($R$17="Distrato",$I$38-1,0)),IF(AND($L$615=0,$P$612=0),"",$L$615-1),IF($R$17="Distrato",$E621,0))),0,YEARFRAC(MAX($P$612*($B621+IF($R$17="Distrato",$I$38-1,0)),IF(AND($L$615=0,$P$612=0),"",$L$615-1),IF($R$17="Distrato",$E621,0)),MIN(AG$38,$D$19),$P$20))-SUM($P621:AF621)</f>
        <v>0</v>
      </c>
      <c r="AH621" s="446">
        <f>IF(OR($B621="",MIN(AH$38,$D$19)&lt;MAX($P$612*($B621+IF($R$17="Distrato",$I$38-1,0)),IF(AND($L$615=0,$P$612=0),"",$L$615-1),IF($R$17="Distrato",$E621,0))),0,YEARFRAC(MAX($P$612*($B621+IF($R$17="Distrato",$I$38-1,0)),IF(AND($L$615=0,$P$612=0),"",$L$615-1),IF($R$17="Distrato",$E621,0)),MIN(AH$38,$D$19),$P$20))-SUM($P621:AG621)</f>
        <v>0</v>
      </c>
      <c r="AI621" s="446">
        <f>IF(OR($B621="",MIN(AI$38,$D$19)&lt;MAX($P$612*($B621+IF($R$17="Distrato",$I$38-1,0)),IF(AND($L$615=0,$P$612=0),"",$L$615-1),IF($R$17="Distrato",$E621,0))),0,YEARFRAC(MAX($P$612*($B621+IF($R$17="Distrato",$I$38-1,0)),IF(AND($L$615=0,$P$612=0),"",$L$615-1),IF($R$17="Distrato",$E621,0)),MIN(AI$38,$D$19),$P$20))-SUM($P621:AH621)</f>
        <v>0</v>
      </c>
      <c r="AJ621" s="446">
        <f>IF(OR($B621="",MIN(AJ$38,$D$19)&lt;MAX($P$612*($B621+IF($R$17="Distrato",$I$38-1,0)),IF(AND($L$615=0,$P$612=0),"",$L$615-1),IF($R$17="Distrato",$E621,0))),0,YEARFRAC(MAX($P$612*($B621+IF($R$17="Distrato",$I$38-1,0)),IF(AND($L$615=0,$P$612=0),"",$L$615-1),IF($R$17="Distrato",$E621,0)),MIN(AJ$38,$D$19),$P$20))-SUM($P621:AI621)</f>
        <v>0</v>
      </c>
      <c r="AK621" s="446">
        <f>IF(OR($B621="",MIN(AK$38,$D$19)&lt;MAX($P$612*($B621+IF($R$17="Distrato",$I$38-1,0)),IF(AND($L$615=0,$P$612=0),"",$L$615-1),IF($R$17="Distrato",$E621,0))),0,YEARFRAC(MAX($P$612*($B621+IF($R$17="Distrato",$I$38-1,0)),IF(AND($L$615=0,$P$612=0),"",$L$615-1),IF($R$17="Distrato",$E621,0)),MIN(AK$38,$D$19),$P$20))-SUM($P621:AJ621)</f>
        <v>0</v>
      </c>
      <c r="AL621" s="446">
        <f>IF(OR($B621="",MIN(AL$38,$D$19)&lt;MAX($P$612*($B621+IF($R$17="Distrato",$I$38-1,0)),IF(AND($L$615=0,$P$612=0),"",$L$615-1),IF($R$17="Distrato",$E621,0))),0,YEARFRAC(MAX($P$612*($B621+IF($R$17="Distrato",$I$38-1,0)),IF(AND($L$615=0,$P$612=0),"",$L$615-1),IF($R$17="Distrato",$E621,0)),MIN(AL$38,$D$19),$P$20))-SUM($P621:AK621)</f>
        <v>0</v>
      </c>
      <c r="AM621" s="446">
        <f>IF(OR($B621="",MIN(AM$38,$D$19)&lt;MAX($P$612*($B621+IF($R$17="Distrato",$I$38-1,0)),IF(AND($L$615=0,$P$612=0),"",$L$615-1),IF($R$17="Distrato",$E621,0))),0,YEARFRAC(MAX($P$612*($B621+IF($R$17="Distrato",$I$38-1,0)),IF(AND($L$615=0,$P$612=0),"",$L$615-1),IF($R$17="Distrato",$E621,0)),MIN(AM$38,$D$19),$P$20))-SUM($P621:AL621)</f>
        <v>0</v>
      </c>
      <c r="AN621" s="446">
        <f>IF(OR($B621="",MIN(AN$38,$D$19)&lt;MAX($P$612*($B621+IF($R$17="Distrato",$I$38-1,0)),IF(AND($L$615=0,$P$612=0),"",$L$615-1),IF($R$17="Distrato",$E621,0))),0,YEARFRAC(MAX($P$612*($B621+IF($R$17="Distrato",$I$38-1,0)),IF(AND($L$615=0,$P$612=0),"",$L$615-1),IF($R$17="Distrato",$E621,0)),MIN(AN$38,$D$19),$P$20))-SUM($P621:AM621)</f>
        <v>0</v>
      </c>
      <c r="AO621" s="446">
        <f>IF(OR($B621="",MIN(AO$38,$D$19)&lt;MAX($P$612*($B621+IF($R$17="Distrato",$I$38-1,0)),IF(AND($L$615=0,$P$612=0),"",$L$615-1),IF($R$17="Distrato",$E621,0))),0,YEARFRAC(MAX($P$612*($B621+IF($R$17="Distrato",$I$38-1,0)),IF(AND($L$615=0,$P$612=0),"",$L$615-1),IF($R$17="Distrato",$E621,0)),MIN(AO$38,$D$19),$P$20))-SUM($P621:AN621)</f>
        <v>0</v>
      </c>
      <c r="AP621" s="446">
        <f>IF(OR($B621="",MIN(AP$38,$D$19)&lt;MAX($P$612*($B621+IF($R$17="Distrato",$I$38-1,0)),IF(AND($L$615=0,$P$612=0),"",$L$615-1),IF($R$17="Distrato",$E621,0))),0,YEARFRAC(MAX($P$612*($B621+IF($R$17="Distrato",$I$38-1,0)),IF(AND($L$615=0,$P$612=0),"",$L$615-1),IF($R$17="Distrato",$E621,0)),MIN(AP$38,$D$19),$P$20))-SUM($P621:AO621)</f>
        <v>0</v>
      </c>
      <c r="AQ621" s="446">
        <f>IF(OR($B621="",MIN(AQ$38,$D$19)&lt;MAX($P$612*($B621+IF($R$17="Distrato",$I$38-1,0)),IF(AND($L$615=0,$P$612=0),"",$L$615-1),IF($R$17="Distrato",$E621,0))),0,YEARFRAC(MAX($P$612*($B621+IF($R$17="Distrato",$I$38-1,0)),IF(AND($L$615=0,$P$612=0),"",$L$615-1),IF($R$17="Distrato",$E621,0)),MIN(AQ$38,$D$19),$P$20))-SUM($P621:AP621)</f>
        <v>0</v>
      </c>
      <c r="AR621" s="446">
        <f>IF(OR($B621="",MIN(AR$38,$D$19)&lt;MAX($P$612*($B621+IF($R$17="Distrato",$I$38-1,0)),IF(AND($L$615=0,$P$612=0),"",$L$615-1),IF($R$17="Distrato",$E621,0))),0,YEARFRAC(MAX($P$612*($B621+IF($R$17="Distrato",$I$38-1,0)),IF(AND($L$615=0,$P$612=0),"",$L$615-1),IF($R$17="Distrato",$E621,0)),MIN(AR$38,$D$19),$P$20))-SUM($P621:AQ621)</f>
        <v>0</v>
      </c>
      <c r="AS621" s="446">
        <f>IF(OR($B621="",MIN(AS$38,$D$19)&lt;MAX($P$612*($B621+IF($R$17="Distrato",$I$38-1,0)),IF(AND($L$615=0,$P$612=0),"",$L$615-1),IF($R$17="Distrato",$E621,0))),0,YEARFRAC(MAX($P$612*($B621+IF($R$17="Distrato",$I$38-1,0)),IF(AND($L$615=0,$P$612=0),"",$L$615-1),IF($R$17="Distrato",$E621,0)),MIN(AS$38,$D$19),$P$20))-SUM($P621:AR621)</f>
        <v>0</v>
      </c>
      <c r="AT621" s="446">
        <f>IF(OR($B621="",MIN(AT$38,$D$19)&lt;MAX($P$612*($B621+IF($R$17="Distrato",$I$38-1,0)),IF(AND($L$615=0,$P$612=0),"",$L$615-1),IF($R$17="Distrato",$E621,0))),0,YEARFRAC(MAX($P$612*($B621+IF($R$17="Distrato",$I$38-1,0)),IF(AND($L$615=0,$P$612=0),"",$L$615-1),IF($R$17="Distrato",$E621,0)),MIN(AT$38,$D$19),$P$20))-SUM($P621:AS621)</f>
        <v>0</v>
      </c>
      <c r="AU621" s="446">
        <f>IF(OR($B621="",MIN(AU$38,$D$19)&lt;MAX($P$612*($B621+IF($R$17="Distrato",$I$38-1,0)),IF(AND($L$615=0,$P$612=0),"",$L$615-1),IF($R$17="Distrato",$E621,0))),0,YEARFRAC(MAX($P$612*($B621+IF($R$17="Distrato",$I$38-1,0)),IF(AND($L$615=0,$P$612=0),"",$L$615-1),IF($R$17="Distrato",$E621,0)),MIN(AU$38,$D$19),$P$20))-SUM($P621:AT621)</f>
        <v>0</v>
      </c>
      <c r="AV621" s="446">
        <f>IF(OR($B621="",MIN(AV$38,$D$19)&lt;MAX($P$612*($B621+IF($R$17="Distrato",$I$38-1,0)),IF(AND($L$615=0,$P$612=0),"",$L$615-1),IF($R$17="Distrato",$E621,0))),0,YEARFRAC(MAX($P$612*($B621+IF($R$17="Distrato",$I$38-1,0)),IF(AND($L$615=0,$P$612=0),"",$L$615-1),IF($R$17="Distrato",$E621,0)),MIN(AV$38,$D$19),$P$20))-SUM($P621:AU621)</f>
        <v>0</v>
      </c>
      <c r="AW621" s="446">
        <f>IF(OR($B621="",MIN(AW$38,$D$19)&lt;MAX($P$612*($B621+IF($R$17="Distrato",$I$38-1,0)),IF(AND($L$615=0,$P$612=0),"",$L$615-1),IF($R$17="Distrato",$E621,0))),0,YEARFRAC(MAX($P$612*($B621+IF($R$17="Distrato",$I$38-1,0)),IF(AND($L$615=0,$P$612=0),"",$L$615-1),IF($R$17="Distrato",$E621,0)),MIN(AW$38,$D$19),$P$20))-SUM($P621:AV621)</f>
        <v>0</v>
      </c>
      <c r="AX621" s="446">
        <f>IF(OR($B621="",MIN(AX$38,$D$19)&lt;MAX($P$612*($B621+IF($R$17="Distrato",$I$38-1,0)),IF(AND($L$615=0,$P$612=0),"",$L$615-1),IF($R$17="Distrato",$E621,0))),0,YEARFRAC(MAX($P$612*($B621+IF($R$17="Distrato",$I$38-1,0)),IF(AND($L$615=0,$P$612=0),"",$L$615-1),IF($R$17="Distrato",$E621,0)),MIN(AX$38,$D$19),$P$20))-SUM($P621:AW621)</f>
        <v>0</v>
      </c>
      <c r="AY621" s="446">
        <f>IF(OR($B621="",MIN(AY$38,$D$19)&lt;MAX($P$612*($B621+IF($R$17="Distrato",$I$38-1,0)),IF(AND($L$615=0,$P$612=0),"",$L$615-1),IF($R$17="Distrato",$E621,0))),0,YEARFRAC(MAX($P$612*($B621+IF($R$17="Distrato",$I$38-1,0)),IF(AND($L$615=0,$P$612=0),"",$L$615-1),IF($R$17="Distrato",$E621,0)),MIN(AY$38,$D$19),$P$20))-SUM($P621:AX621)</f>
        <v>0</v>
      </c>
      <c r="AZ621" s="446">
        <f>IF(OR($B621="",MIN(AZ$38,$D$19)&lt;MAX($P$612*($B621+IF($R$17="Distrato",$I$38-1,0)),IF(AND($L$615=0,$P$612=0),"",$L$615-1),IF($R$17="Distrato",$E621,0))),0,YEARFRAC(MAX($P$612*($B621+IF($R$17="Distrato",$I$38-1,0)),IF(AND($L$615=0,$P$612=0),"",$L$615-1),IF($R$17="Distrato",$E621,0)),MIN(AZ$38,$D$19),$P$20))-SUM($P621:AY621)</f>
        <v>0</v>
      </c>
      <c r="BA621" s="446">
        <f>IF(OR($B621="",MIN(BA$38,$D$19)&lt;MAX($P$612*($B621+IF($R$17="Distrato",$I$38-1,0)),IF(AND($L$615=0,$P$612=0),"",$L$615-1),IF($R$17="Distrato",$E621,0))),0,YEARFRAC(MAX($P$612*($B621+IF($R$17="Distrato",$I$38-1,0)),IF(AND($L$615=0,$P$612=0),"",$L$615-1),IF($R$17="Distrato",$E621,0)),MIN(BA$38,$D$19),$P$20))-SUM($P621:AZ621)</f>
        <v>0</v>
      </c>
      <c r="BB621" s="447"/>
    </row>
    <row r="622" spans="1:95" s="446" customFormat="1" ht="11.25" hidden="1" x14ac:dyDescent="0.2">
      <c r="A622" s="177"/>
      <c r="B622" s="178"/>
      <c r="C622" s="29" t="str">
        <f>IF(B622="","",IF($L$613="SELIC - TRIBUTOS",VLOOKUP(DATE(YEAR($D$19),MONTH($D$19)-1,1),ÍNDICES!$A:$DE,HLOOKUP($BL$25,ÍNDICES!$B$3:$T$4,2)+11)-VLOOKUP(B622,ÍNDICES!$A:$DE,HLOOKUP($BL$25,ÍNDICES!$B$3:$T$4,2)+11)+1%,IF(C$616=$W$26,$J$613,IF(ISERROR(IF(B622&gt;$D$19,1,VLOOKUP(DATE(YEAR(B622),MONTH(B622)+IF($C$613=$S$23,1,0),1),ÍNDICES!$A:$DE,$Z$613+1))),"",IF(B622&gt;$D$19,1,VLOOKUP(DATE(YEAR(B622),MONTH(B622)+IF($C$613=$S$23,1,0),1),ÍNDICES!$A:$DE,$Z$613+1))))))</f>
        <v/>
      </c>
      <c r="D622" s="155"/>
      <c r="E622" s="179"/>
      <c r="F622" s="29"/>
      <c r="G622" s="180"/>
      <c r="H622" s="181"/>
      <c r="I622" s="182" t="str">
        <f t="shared" si="107"/>
        <v/>
      </c>
      <c r="J622" s="5" t="str">
        <f t="shared" si="108"/>
        <v/>
      </c>
      <c r="K622" s="5">
        <f ca="1">IF($L$613="SELIC - TRIBUTOS",$K$616*(IFERROR(G622*(1+F622),0)-IFERROR(D622*(1+C622),0)),$K$616*(IFERROR(D622/C622*$J$613,0)-IFERROR(G622/F622*$J$613,0)))</f>
        <v>0</v>
      </c>
      <c r="L622" s="5">
        <f t="shared" ca="1" si="104"/>
        <v>0</v>
      </c>
      <c r="M622" s="64">
        <f t="shared" si="110"/>
        <v>0</v>
      </c>
      <c r="N622" s="61">
        <f t="shared" ca="1" si="105"/>
        <v>0</v>
      </c>
      <c r="O622" s="20">
        <f t="shared" ca="1" si="106"/>
        <v>0</v>
      </c>
      <c r="P622" s="446">
        <f t="shared" si="111"/>
        <v>0</v>
      </c>
      <c r="Q622" s="446">
        <f>IF(OR($B622="",MIN(Q$38,$D$19)&lt;MAX($P$612*($B622+IF($R$17="Distrato",$I$38-1,0)),IF(AND($L$615=0,$P$612=0),"",$L$615-1),IF($R$17="Distrato",$E622,0))),0,YEARFRAC(MAX($P$612*($B622+IF($R$17="Distrato",$I$38-1,0)),IF(AND($L$615=0,$P$612=0),"",$L$615-1),IF($R$17="Distrato",$E622,0)),MIN(Q$38,$D$19),$P$20))-SUM($P622:P622)</f>
        <v>0</v>
      </c>
      <c r="R622" s="446">
        <f>IF(OR($B622="",MIN(R$38,$D$19)&lt;MAX($P$612*($B622+IF($R$17="Distrato",$I$38-1,0)),IF(AND($L$615=0,$P$612=0),"",$L$615-1),IF($R$17="Distrato",$E622,0))),0,YEARFRAC(MAX($P$612*($B622+IF($R$17="Distrato",$I$38-1,0)),IF(AND($L$615=0,$P$612=0),"",$L$615-1),IF($R$17="Distrato",$E622,0)),MIN(R$38,$D$19),$P$20))-SUM($P622:Q622)</f>
        <v>0</v>
      </c>
      <c r="S622" s="446">
        <f>IF(OR($B622="",MIN(S$38,$D$19)&lt;MAX($P$612*($B622+IF($R$17="Distrato",$I$38-1,0)),IF(AND($L$615=0,$P$612=0),"",$L$615-1),IF($R$17="Distrato",$E622,0))),0,YEARFRAC(MAX($P$612*($B622+IF($R$17="Distrato",$I$38-1,0)),IF(AND($L$615=0,$P$612=0),"",$L$615-1),IF($R$17="Distrato",$E622,0)),MIN(S$38,$D$19),$P$20))-SUM($P622:R622)</f>
        <v>0</v>
      </c>
      <c r="T622" s="446">
        <f>IF(OR($B622="",MIN(T$38,$D$19)&lt;MAX($P$612*($B622+IF($R$17="Distrato",$I$38-1,0)),IF(AND($L$615=0,$P$612=0),"",$L$615-1),IF($R$17="Distrato",$E622,0))),0,YEARFRAC(MAX($P$612*($B622+IF($R$17="Distrato",$I$38-1,0)),IF(AND($L$615=0,$P$612=0),"",$L$615-1),IF($R$17="Distrato",$E622,0)),MIN(T$38,$D$19),$P$20))-SUM($P622:S622)</f>
        <v>0</v>
      </c>
      <c r="U622" s="446">
        <f>IF(OR($B622="",MIN(U$38,$D$19)&lt;MAX($P$612*($B622+IF($R$17="Distrato",$I$38-1,0)),IF(AND($L$615=0,$P$612=0),"",$L$615-1),IF($R$17="Distrato",$E622,0))),0,YEARFRAC(MAX($P$612*($B622+IF($R$17="Distrato",$I$38-1,0)),IF(AND($L$615=0,$P$612=0),"",$L$615-1),IF($R$17="Distrato",$E622,0)),MIN(U$38,$D$19),$P$20))-SUM($P622:T622)</f>
        <v>0</v>
      </c>
      <c r="V622" s="446">
        <f>IF(OR($B622="",MIN(V$38,$D$19)&lt;MAX($P$612*($B622+IF($R$17="Distrato",$I$38-1,0)),IF(AND($L$615=0,$P$612=0),"",$L$615-1),IF($R$17="Distrato",$E622,0))),0,YEARFRAC(MAX($P$612*($B622+IF($R$17="Distrato",$I$38-1,0)),IF(AND($L$615=0,$P$612=0),"",$L$615-1),IF($R$17="Distrato",$E622,0)),MIN(V$38,$D$19),$P$20))-SUM($P622:U622)</f>
        <v>0</v>
      </c>
      <c r="W622" s="446">
        <f>IF(OR($B622="",MIN(W$38,$D$19)&lt;MAX($P$612*($B622+IF($R$17="Distrato",$I$38-1,0)),IF(AND($L$615=0,$P$612=0),"",$L$615-1),IF($R$17="Distrato",$E622,0))),0,YEARFRAC(MAX($P$612*($B622+IF($R$17="Distrato",$I$38-1,0)),IF(AND($L$615=0,$P$612=0),"",$L$615-1),IF($R$17="Distrato",$E622,0)),MIN(W$38,$D$19),$P$20))-SUM($P622:V622)</f>
        <v>0</v>
      </c>
      <c r="X622" s="446">
        <f>IF(OR($B622="",MIN(X$38,$D$19)&lt;MAX($P$612*($B622+IF($R$17="Distrato",$I$38-1,0)),IF(AND($L$615=0,$P$612=0),"",$L$615-1),IF($R$17="Distrato",$E622,0))),0,YEARFRAC(MAX($P$612*($B622+IF($R$17="Distrato",$I$38-1,0)),IF(AND($L$615=0,$P$612=0),"",$L$615-1),IF($R$17="Distrato",$E622,0)),MIN(X$38,$D$19),$P$20))-SUM($P622:W622)</f>
        <v>0</v>
      </c>
      <c r="Y622" s="446">
        <f>IF(OR($B622="",MIN(Y$38,$D$19)&lt;MAX($P$612*($B622+IF($R$17="Distrato",$I$38-1,0)),IF(AND($L$615=0,$P$612=0),"",$L$615-1),IF($R$17="Distrato",$E622,0))),0,YEARFRAC(MAX($P$612*($B622+IF($R$17="Distrato",$I$38-1,0)),IF(AND($L$615=0,$P$612=0),"",$L$615-1),IF($R$17="Distrato",$E622,0)),MIN(Y$38,$D$19),$P$20))-SUM($P622:X622)</f>
        <v>0</v>
      </c>
      <c r="Z622" s="446">
        <f>IF(OR($B622="",MIN(Z$38,$D$19)&lt;MAX($P$612*($B622+IF($R$17="Distrato",$I$38-1,0)),IF(AND($L$615=0,$P$612=0),"",$L$615-1),IF($R$17="Distrato",$E622,0))),0,YEARFRAC(MAX($P$612*($B622+IF($R$17="Distrato",$I$38-1,0)),IF(AND($L$615=0,$P$612=0),"",$L$615-1),IF($R$17="Distrato",$E622,0)),MIN(Z$38,$D$19),$P$20))-SUM($P622:Y622)</f>
        <v>0</v>
      </c>
      <c r="AA622" s="446">
        <f>IF(OR($B622="",MIN(AA$38,$D$19)&lt;MAX($P$612*($B622+IF($R$17="Distrato",$I$38-1,0)),IF(AND($L$615=0,$P$612=0),"",$L$615-1),IF($R$17="Distrato",$E622,0))),0,YEARFRAC(MAX($P$612*($B622+IF($R$17="Distrato",$I$38-1,0)),IF(AND($L$615=0,$P$612=0),"",$L$615-1),IF($R$17="Distrato",$E622,0)),MIN(AA$38,$D$19),$P$20))-SUM($P622:Z622)</f>
        <v>0</v>
      </c>
      <c r="AB622" s="446">
        <f>IF(OR($B622="",MIN(AB$38,$D$19)&lt;MAX($P$612*($B622+IF($R$17="Distrato",$I$38-1,0)),IF(AND($L$615=0,$P$612=0),"",$L$615-1),IF($R$17="Distrato",$E622,0))),0,YEARFRAC(MAX($P$612*($B622+IF($R$17="Distrato",$I$38-1,0)),IF(AND($L$615=0,$P$612=0),"",$L$615-1),IF($R$17="Distrato",$E622,0)),MIN(AB$38,$D$19),$P$20))-SUM($P622:AA622)</f>
        <v>0</v>
      </c>
      <c r="AC622" s="446">
        <f>IF(OR($B622="",MIN(AC$38,$D$19)&lt;MAX($P$612*($B622+IF($R$17="Distrato",$I$38-1,0)),IF(AND($L$615=0,$P$612=0),"",$L$615-1),IF($R$17="Distrato",$E622,0))),0,YEARFRAC(MAX($P$612*($B622+IF($R$17="Distrato",$I$38-1,0)),IF(AND($L$615=0,$P$612=0),"",$L$615-1),IF($R$17="Distrato",$E622,0)),MIN(AC$38,$D$19),$P$20))-SUM($P622:AB622)</f>
        <v>0</v>
      </c>
      <c r="AD622" s="446">
        <f>IF(OR($B622="",MIN(AD$38,$D$19)&lt;MAX($P$612*($B622+IF($R$17="Distrato",$I$38-1,0)),IF(AND($L$615=0,$P$612=0),"",$L$615-1),IF($R$17="Distrato",$E622,0))),0,YEARFRAC(MAX($P$612*($B622+IF($R$17="Distrato",$I$38-1,0)),IF(AND($L$615=0,$P$612=0),"",$L$615-1),IF($R$17="Distrato",$E622,0)),MIN(AD$38,$D$19),$P$20))-SUM($P622:AC622)</f>
        <v>0</v>
      </c>
      <c r="AE622" s="446">
        <f>IF(OR($B622="",MIN(AE$38,$D$19)&lt;MAX($P$612*($B622+IF($R$17="Distrato",$I$38-1,0)),IF(AND($L$615=0,$P$612=0),"",$L$615-1),IF($R$17="Distrato",$E622,0))),0,YEARFRAC(MAX($P$612*($B622+IF($R$17="Distrato",$I$38-1,0)),IF(AND($L$615=0,$P$612=0),"",$L$615-1),IF($R$17="Distrato",$E622,0)),MIN(AE$38,$D$19),$P$20))-SUM($P622:AD622)</f>
        <v>0</v>
      </c>
      <c r="AF622" s="446">
        <f>IF(OR($B622="",MIN(AF$38,$D$19)&lt;MAX($P$612*($B622+IF($R$17="Distrato",$I$38-1,0)),IF(AND($L$615=0,$P$612=0),"",$L$615-1),IF($R$17="Distrato",$E622,0))),0,YEARFRAC(MAX($P$612*($B622+IF($R$17="Distrato",$I$38-1,0)),IF(AND($L$615=0,$P$612=0),"",$L$615-1),IF($R$17="Distrato",$E622,0)),MIN(AF$38,$D$19),$P$20))-SUM($P622:AE622)</f>
        <v>0</v>
      </c>
      <c r="AG622" s="446">
        <f>IF(OR($B622="",MIN(AG$38,$D$19)&lt;MAX($P$612*($B622+IF($R$17="Distrato",$I$38-1,0)),IF(AND($L$615=0,$P$612=0),"",$L$615-1),IF($R$17="Distrato",$E622,0))),0,YEARFRAC(MAX($P$612*($B622+IF($R$17="Distrato",$I$38-1,0)),IF(AND($L$615=0,$P$612=0),"",$L$615-1),IF($R$17="Distrato",$E622,0)),MIN(AG$38,$D$19),$P$20))-SUM($P622:AF622)</f>
        <v>0</v>
      </c>
      <c r="AH622" s="446">
        <f>IF(OR($B622="",MIN(AH$38,$D$19)&lt;MAX($P$612*($B622+IF($R$17="Distrato",$I$38-1,0)),IF(AND($L$615=0,$P$612=0),"",$L$615-1),IF($R$17="Distrato",$E622,0))),0,YEARFRAC(MAX($P$612*($B622+IF($R$17="Distrato",$I$38-1,0)),IF(AND($L$615=0,$P$612=0),"",$L$615-1),IF($R$17="Distrato",$E622,0)),MIN(AH$38,$D$19),$P$20))-SUM($P622:AG622)</f>
        <v>0</v>
      </c>
      <c r="AI622" s="446">
        <f>IF(OR($B622="",MIN(AI$38,$D$19)&lt;MAX($P$612*($B622+IF($R$17="Distrato",$I$38-1,0)),IF(AND($L$615=0,$P$612=0),"",$L$615-1),IF($R$17="Distrato",$E622,0))),0,YEARFRAC(MAX($P$612*($B622+IF($R$17="Distrato",$I$38-1,0)),IF(AND($L$615=0,$P$612=0),"",$L$615-1),IF($R$17="Distrato",$E622,0)),MIN(AI$38,$D$19),$P$20))-SUM($P622:AH622)</f>
        <v>0</v>
      </c>
      <c r="AJ622" s="446">
        <f>IF(OR($B622="",MIN(AJ$38,$D$19)&lt;MAX($P$612*($B622+IF($R$17="Distrato",$I$38-1,0)),IF(AND($L$615=0,$P$612=0),"",$L$615-1),IF($R$17="Distrato",$E622,0))),0,YEARFRAC(MAX($P$612*($B622+IF($R$17="Distrato",$I$38-1,0)),IF(AND($L$615=0,$P$612=0),"",$L$615-1),IF($R$17="Distrato",$E622,0)),MIN(AJ$38,$D$19),$P$20))-SUM($P622:AI622)</f>
        <v>0</v>
      </c>
      <c r="AK622" s="446">
        <f>IF(OR($B622="",MIN(AK$38,$D$19)&lt;MAX($P$612*($B622+IF($R$17="Distrato",$I$38-1,0)),IF(AND($L$615=0,$P$612=0),"",$L$615-1),IF($R$17="Distrato",$E622,0))),0,YEARFRAC(MAX($P$612*($B622+IF($R$17="Distrato",$I$38-1,0)),IF(AND($L$615=0,$P$612=0),"",$L$615-1),IF($R$17="Distrato",$E622,0)),MIN(AK$38,$D$19),$P$20))-SUM($P622:AJ622)</f>
        <v>0</v>
      </c>
      <c r="AL622" s="446">
        <f>IF(OR($B622="",MIN(AL$38,$D$19)&lt;MAX($P$612*($B622+IF($R$17="Distrato",$I$38-1,0)),IF(AND($L$615=0,$P$612=0),"",$L$615-1),IF($R$17="Distrato",$E622,0))),0,YEARFRAC(MAX($P$612*($B622+IF($R$17="Distrato",$I$38-1,0)),IF(AND($L$615=0,$P$612=0),"",$L$615-1),IF($R$17="Distrato",$E622,0)),MIN(AL$38,$D$19),$P$20))-SUM($P622:AK622)</f>
        <v>0</v>
      </c>
      <c r="AM622" s="446">
        <f>IF(OR($B622="",MIN(AM$38,$D$19)&lt;MAX($P$612*($B622+IF($R$17="Distrato",$I$38-1,0)),IF(AND($L$615=0,$P$612=0),"",$L$615-1),IF($R$17="Distrato",$E622,0))),0,YEARFRAC(MAX($P$612*($B622+IF($R$17="Distrato",$I$38-1,0)),IF(AND($L$615=0,$P$612=0),"",$L$615-1),IF($R$17="Distrato",$E622,0)),MIN(AM$38,$D$19),$P$20))-SUM($P622:AL622)</f>
        <v>0</v>
      </c>
      <c r="AN622" s="446">
        <f>IF(OR($B622="",MIN(AN$38,$D$19)&lt;MAX($P$612*($B622+IF($R$17="Distrato",$I$38-1,0)),IF(AND($L$615=0,$P$612=0),"",$L$615-1),IF($R$17="Distrato",$E622,0))),0,YEARFRAC(MAX($P$612*($B622+IF($R$17="Distrato",$I$38-1,0)),IF(AND($L$615=0,$P$612=0),"",$L$615-1),IF($R$17="Distrato",$E622,0)),MIN(AN$38,$D$19),$P$20))-SUM($P622:AM622)</f>
        <v>0</v>
      </c>
      <c r="AO622" s="446">
        <f>IF(OR($B622="",MIN(AO$38,$D$19)&lt;MAX($P$612*($B622+IF($R$17="Distrato",$I$38-1,0)),IF(AND($L$615=0,$P$612=0),"",$L$615-1),IF($R$17="Distrato",$E622,0))),0,YEARFRAC(MAX($P$612*($B622+IF($R$17="Distrato",$I$38-1,0)),IF(AND($L$615=0,$P$612=0),"",$L$615-1),IF($R$17="Distrato",$E622,0)),MIN(AO$38,$D$19),$P$20))-SUM($P622:AN622)</f>
        <v>0</v>
      </c>
      <c r="AP622" s="446">
        <f>IF(OR($B622="",MIN(AP$38,$D$19)&lt;MAX($P$612*($B622+IF($R$17="Distrato",$I$38-1,0)),IF(AND($L$615=0,$P$612=0),"",$L$615-1),IF($R$17="Distrato",$E622,0))),0,YEARFRAC(MAX($P$612*($B622+IF($R$17="Distrato",$I$38-1,0)),IF(AND($L$615=0,$P$612=0),"",$L$615-1),IF($R$17="Distrato",$E622,0)),MIN(AP$38,$D$19),$P$20))-SUM($P622:AO622)</f>
        <v>0</v>
      </c>
      <c r="AQ622" s="446">
        <f>IF(OR($B622="",MIN(AQ$38,$D$19)&lt;MAX($P$612*($B622+IF($R$17="Distrato",$I$38-1,0)),IF(AND($L$615=0,$P$612=0),"",$L$615-1),IF($R$17="Distrato",$E622,0))),0,YEARFRAC(MAX($P$612*($B622+IF($R$17="Distrato",$I$38-1,0)),IF(AND($L$615=0,$P$612=0),"",$L$615-1),IF($R$17="Distrato",$E622,0)),MIN(AQ$38,$D$19),$P$20))-SUM($P622:AP622)</f>
        <v>0</v>
      </c>
      <c r="AR622" s="446">
        <f>IF(OR($B622="",MIN(AR$38,$D$19)&lt;MAX($P$612*($B622+IF($R$17="Distrato",$I$38-1,0)),IF(AND($L$615=0,$P$612=0),"",$L$615-1),IF($R$17="Distrato",$E622,0))),0,YEARFRAC(MAX($P$612*($B622+IF($R$17="Distrato",$I$38-1,0)),IF(AND($L$615=0,$P$612=0),"",$L$615-1),IF($R$17="Distrato",$E622,0)),MIN(AR$38,$D$19),$P$20))-SUM($P622:AQ622)</f>
        <v>0</v>
      </c>
      <c r="AS622" s="446">
        <f>IF(OR($B622="",MIN(AS$38,$D$19)&lt;MAX($P$612*($B622+IF($R$17="Distrato",$I$38-1,0)),IF(AND($L$615=0,$P$612=0),"",$L$615-1),IF($R$17="Distrato",$E622,0))),0,YEARFRAC(MAX($P$612*($B622+IF($R$17="Distrato",$I$38-1,0)),IF(AND($L$615=0,$P$612=0),"",$L$615-1),IF($R$17="Distrato",$E622,0)),MIN(AS$38,$D$19),$P$20))-SUM($P622:AR622)</f>
        <v>0</v>
      </c>
      <c r="AT622" s="446">
        <f>IF(OR($B622="",MIN(AT$38,$D$19)&lt;MAX($P$612*($B622+IF($R$17="Distrato",$I$38-1,0)),IF(AND($L$615=0,$P$612=0),"",$L$615-1),IF($R$17="Distrato",$E622,0))),0,YEARFRAC(MAX($P$612*($B622+IF($R$17="Distrato",$I$38-1,0)),IF(AND($L$615=0,$P$612=0),"",$L$615-1),IF($R$17="Distrato",$E622,0)),MIN(AT$38,$D$19),$P$20))-SUM($P622:AS622)</f>
        <v>0</v>
      </c>
      <c r="AU622" s="446">
        <f>IF(OR($B622="",MIN(AU$38,$D$19)&lt;MAX($P$612*($B622+IF($R$17="Distrato",$I$38-1,0)),IF(AND($L$615=0,$P$612=0),"",$L$615-1),IF($R$17="Distrato",$E622,0))),0,YEARFRAC(MAX($P$612*($B622+IF($R$17="Distrato",$I$38-1,0)),IF(AND($L$615=0,$P$612=0),"",$L$615-1),IF($R$17="Distrato",$E622,0)),MIN(AU$38,$D$19),$P$20))-SUM($P622:AT622)</f>
        <v>0</v>
      </c>
      <c r="AV622" s="446">
        <f>IF(OR($B622="",MIN(AV$38,$D$19)&lt;MAX($P$612*($B622+IF($R$17="Distrato",$I$38-1,0)),IF(AND($L$615=0,$P$612=0),"",$L$615-1),IF($R$17="Distrato",$E622,0))),0,YEARFRAC(MAX($P$612*($B622+IF($R$17="Distrato",$I$38-1,0)),IF(AND($L$615=0,$P$612=0),"",$L$615-1),IF($R$17="Distrato",$E622,0)),MIN(AV$38,$D$19),$P$20))-SUM($P622:AU622)</f>
        <v>0</v>
      </c>
      <c r="AW622" s="446">
        <f>IF(OR($B622="",MIN(AW$38,$D$19)&lt;MAX($P$612*($B622+IF($R$17="Distrato",$I$38-1,0)),IF(AND($L$615=0,$P$612=0),"",$L$615-1),IF($R$17="Distrato",$E622,0))),0,YEARFRAC(MAX($P$612*($B622+IF($R$17="Distrato",$I$38-1,0)),IF(AND($L$615=0,$P$612=0),"",$L$615-1),IF($R$17="Distrato",$E622,0)),MIN(AW$38,$D$19),$P$20))-SUM($P622:AV622)</f>
        <v>0</v>
      </c>
      <c r="AX622" s="446">
        <f>IF(OR($B622="",MIN(AX$38,$D$19)&lt;MAX($P$612*($B622+IF($R$17="Distrato",$I$38-1,0)),IF(AND($L$615=0,$P$612=0),"",$L$615-1),IF($R$17="Distrato",$E622,0))),0,YEARFRAC(MAX($P$612*($B622+IF($R$17="Distrato",$I$38-1,0)),IF(AND($L$615=0,$P$612=0),"",$L$615-1),IF($R$17="Distrato",$E622,0)),MIN(AX$38,$D$19),$P$20))-SUM($P622:AW622)</f>
        <v>0</v>
      </c>
      <c r="AY622" s="446">
        <f>IF(OR($B622="",MIN(AY$38,$D$19)&lt;MAX($P$612*($B622+IF($R$17="Distrato",$I$38-1,0)),IF(AND($L$615=0,$P$612=0),"",$L$615-1),IF($R$17="Distrato",$E622,0))),0,YEARFRAC(MAX($P$612*($B622+IF($R$17="Distrato",$I$38-1,0)),IF(AND($L$615=0,$P$612=0),"",$L$615-1),IF($R$17="Distrato",$E622,0)),MIN(AY$38,$D$19),$P$20))-SUM($P622:AX622)</f>
        <v>0</v>
      </c>
      <c r="AZ622" s="446">
        <f>IF(OR($B622="",MIN(AZ$38,$D$19)&lt;MAX($P$612*($B622+IF($R$17="Distrato",$I$38-1,0)),IF(AND($L$615=0,$P$612=0),"",$L$615-1),IF($R$17="Distrato",$E622,0))),0,YEARFRAC(MAX($P$612*($B622+IF($R$17="Distrato",$I$38-1,0)),IF(AND($L$615=0,$P$612=0),"",$L$615-1),IF($R$17="Distrato",$E622,0)),MIN(AZ$38,$D$19),$P$20))-SUM($P622:AY622)</f>
        <v>0</v>
      </c>
      <c r="BA622" s="446">
        <f>IF(OR($B622="",MIN(BA$38,$D$19)&lt;MAX($P$612*($B622+IF($R$17="Distrato",$I$38-1,0)),IF(AND($L$615=0,$P$612=0),"",$L$615-1),IF($R$17="Distrato",$E622,0))),0,YEARFRAC(MAX($P$612*($B622+IF($R$17="Distrato",$I$38-1,0)),IF(AND($L$615=0,$P$612=0),"",$L$615-1),IF($R$17="Distrato",$E622,0)),MIN(BA$38,$D$19),$P$20))-SUM($P622:AZ622)</f>
        <v>0</v>
      </c>
      <c r="BB622" s="447"/>
    </row>
    <row r="623" spans="1:95" s="446" customFormat="1" ht="11.25" hidden="1" x14ac:dyDescent="0.2">
      <c r="A623" s="177"/>
      <c r="B623" s="178"/>
      <c r="C623" s="29" t="str">
        <f>IF(B623="","",IF($L$613="SELIC - TRIBUTOS",VLOOKUP(DATE(YEAR($D$19),MONTH($D$19)-1,1),ÍNDICES!$A:$DE,HLOOKUP($BL$25,ÍNDICES!$B$3:$T$4,2)+11)-VLOOKUP(B623,ÍNDICES!$A:$DE,HLOOKUP($BL$25,ÍNDICES!$B$3:$T$4,2)+11)+1%,IF(C$616=$W$26,$J$613,IF(ISERROR(IF(B623&gt;$D$19,1,VLOOKUP(DATE(YEAR(B623),MONTH(B623)+IF($C$613=$S$23,1,0),1),ÍNDICES!$A:$DE,$Z$613+1))),"",IF(B623&gt;$D$19,1,VLOOKUP(DATE(YEAR(B623),MONTH(B623)+IF($C$613=$S$23,1,0),1),ÍNDICES!$A:$DE,$Z$613+1))))))</f>
        <v/>
      </c>
      <c r="D623" s="155"/>
      <c r="E623" s="179"/>
      <c r="F623" s="29"/>
      <c r="G623" s="180"/>
      <c r="H623" s="181"/>
      <c r="I623" s="182" t="str">
        <f t="shared" si="107"/>
        <v/>
      </c>
      <c r="J623" s="5" t="str">
        <f t="shared" si="108"/>
        <v/>
      </c>
      <c r="K623" s="5">
        <f t="shared" ca="1" si="109"/>
        <v>0</v>
      </c>
      <c r="L623" s="5">
        <f t="shared" ca="1" si="104"/>
        <v>0</v>
      </c>
      <c r="M623" s="64">
        <f t="shared" si="110"/>
        <v>0</v>
      </c>
      <c r="N623" s="61">
        <f t="shared" ca="1" si="105"/>
        <v>0</v>
      </c>
      <c r="O623" s="20">
        <f t="shared" ca="1" si="106"/>
        <v>0</v>
      </c>
      <c r="P623" s="446">
        <f t="shared" si="111"/>
        <v>0</v>
      </c>
      <c r="Q623" s="446">
        <f>IF(OR($B623="",MIN(Q$38,$D$19)&lt;MAX($P$612*($B623+IF($R$17="Distrato",$I$38-1,0)),IF(AND($L$615=0,$P$612=0),"",$L$615-1),IF($R$17="Distrato",$E623,0))),0,YEARFRAC(MAX($P$612*($B623+IF($R$17="Distrato",$I$38-1,0)),IF(AND($L$615=0,$P$612=0),"",$L$615-1),IF($R$17="Distrato",$E623,0)),MIN(Q$38,$D$19),$P$20))-SUM($P623:P623)</f>
        <v>0</v>
      </c>
      <c r="R623" s="446">
        <f>IF(OR($B623="",MIN(R$38,$D$19)&lt;MAX($P$612*($B623+IF($R$17="Distrato",$I$38-1,0)),IF(AND($L$615=0,$P$612=0),"",$L$615-1),IF($R$17="Distrato",$E623,0))),0,YEARFRAC(MAX($P$612*($B623+IF($R$17="Distrato",$I$38-1,0)),IF(AND($L$615=0,$P$612=0),"",$L$615-1),IF($R$17="Distrato",$E623,0)),MIN(R$38,$D$19),$P$20))-SUM($P623:Q623)</f>
        <v>0</v>
      </c>
      <c r="S623" s="446">
        <f>IF(OR($B623="",MIN(S$38,$D$19)&lt;MAX($P$612*($B623+IF($R$17="Distrato",$I$38-1,0)),IF(AND($L$615=0,$P$612=0),"",$L$615-1),IF($R$17="Distrato",$E623,0))),0,YEARFRAC(MAX($P$612*($B623+IF($R$17="Distrato",$I$38-1,0)),IF(AND($L$615=0,$P$612=0),"",$L$615-1),IF($R$17="Distrato",$E623,0)),MIN(S$38,$D$19),$P$20))-SUM($P623:R623)</f>
        <v>0</v>
      </c>
      <c r="T623" s="446">
        <f>IF(OR($B623="",MIN(T$38,$D$19)&lt;MAX($P$612*($B623+IF($R$17="Distrato",$I$38-1,0)),IF(AND($L$615=0,$P$612=0),"",$L$615-1),IF($R$17="Distrato",$E623,0))),0,YEARFRAC(MAX($P$612*($B623+IF($R$17="Distrato",$I$38-1,0)),IF(AND($L$615=0,$P$612=0),"",$L$615-1),IF($R$17="Distrato",$E623,0)),MIN(T$38,$D$19),$P$20))-SUM($P623:S623)</f>
        <v>0</v>
      </c>
      <c r="U623" s="446">
        <f>IF(OR($B623="",MIN(U$38,$D$19)&lt;MAX($P$612*($B623+IF($R$17="Distrato",$I$38-1,0)),IF(AND($L$615=0,$P$612=0),"",$L$615-1),IF($R$17="Distrato",$E623,0))),0,YEARFRAC(MAX($P$612*($B623+IF($R$17="Distrato",$I$38-1,0)),IF(AND($L$615=0,$P$612=0),"",$L$615-1),IF($R$17="Distrato",$E623,0)),MIN(U$38,$D$19),$P$20))-SUM($P623:T623)</f>
        <v>0</v>
      </c>
      <c r="V623" s="446">
        <f>IF(OR($B623="",MIN(V$38,$D$19)&lt;MAX($P$612*($B623+IF($R$17="Distrato",$I$38-1,0)),IF(AND($L$615=0,$P$612=0),"",$L$615-1),IF($R$17="Distrato",$E623,0))),0,YEARFRAC(MAX($P$612*($B623+IF($R$17="Distrato",$I$38-1,0)),IF(AND($L$615=0,$P$612=0),"",$L$615-1),IF($R$17="Distrato",$E623,0)),MIN(V$38,$D$19),$P$20))-SUM($P623:U623)</f>
        <v>0</v>
      </c>
      <c r="W623" s="446">
        <f>IF(OR($B623="",MIN(W$38,$D$19)&lt;MAX($P$612*($B623+IF($R$17="Distrato",$I$38-1,0)),IF(AND($L$615=0,$P$612=0),"",$L$615-1),IF($R$17="Distrato",$E623,0))),0,YEARFRAC(MAX($P$612*($B623+IF($R$17="Distrato",$I$38-1,0)),IF(AND($L$615=0,$P$612=0),"",$L$615-1),IF($R$17="Distrato",$E623,0)),MIN(W$38,$D$19),$P$20))-SUM($P623:V623)</f>
        <v>0</v>
      </c>
      <c r="X623" s="446">
        <f>IF(OR($B623="",MIN(X$38,$D$19)&lt;MAX($P$612*($B623+IF($R$17="Distrato",$I$38-1,0)),IF(AND($L$615=0,$P$612=0),"",$L$615-1),IF($R$17="Distrato",$E623,0))),0,YEARFRAC(MAX($P$612*($B623+IF($R$17="Distrato",$I$38-1,0)),IF(AND($L$615=0,$P$612=0),"",$L$615-1),IF($R$17="Distrato",$E623,0)),MIN(X$38,$D$19),$P$20))-SUM($P623:W623)</f>
        <v>0</v>
      </c>
      <c r="Y623" s="446">
        <f>IF(OR($B623="",MIN(Y$38,$D$19)&lt;MAX($P$612*($B623+IF($R$17="Distrato",$I$38-1,0)),IF(AND($L$615=0,$P$612=0),"",$L$615-1),IF($R$17="Distrato",$E623,0))),0,YEARFRAC(MAX($P$612*($B623+IF($R$17="Distrato",$I$38-1,0)),IF(AND($L$615=0,$P$612=0),"",$L$615-1),IF($R$17="Distrato",$E623,0)),MIN(Y$38,$D$19),$P$20))-SUM($P623:X623)</f>
        <v>0</v>
      </c>
      <c r="Z623" s="446">
        <f>IF(OR($B623="",MIN(Z$38,$D$19)&lt;MAX($P$612*($B623+IF($R$17="Distrato",$I$38-1,0)),IF(AND($L$615=0,$P$612=0),"",$L$615-1),IF($R$17="Distrato",$E623,0))),0,YEARFRAC(MAX($P$612*($B623+IF($R$17="Distrato",$I$38-1,0)),IF(AND($L$615=0,$P$612=0),"",$L$615-1),IF($R$17="Distrato",$E623,0)),MIN(Z$38,$D$19),$P$20))-SUM($P623:Y623)</f>
        <v>0</v>
      </c>
      <c r="AA623" s="446">
        <f>IF(OR($B623="",MIN(AA$38,$D$19)&lt;MAX($P$612*($B623+IF($R$17="Distrato",$I$38-1,0)),IF(AND($L$615=0,$P$612=0),"",$L$615-1),IF($R$17="Distrato",$E623,0))),0,YEARFRAC(MAX($P$612*($B623+IF($R$17="Distrato",$I$38-1,0)),IF(AND($L$615=0,$P$612=0),"",$L$615-1),IF($R$17="Distrato",$E623,0)),MIN(AA$38,$D$19),$P$20))-SUM($P623:Z623)</f>
        <v>0</v>
      </c>
      <c r="AB623" s="446">
        <f>IF(OR($B623="",MIN(AB$38,$D$19)&lt;MAX($P$612*($B623+IF($R$17="Distrato",$I$38-1,0)),IF(AND($L$615=0,$P$612=0),"",$L$615-1),IF($R$17="Distrato",$E623,0))),0,YEARFRAC(MAX($P$612*($B623+IF($R$17="Distrato",$I$38-1,0)),IF(AND($L$615=0,$P$612=0),"",$L$615-1),IF($R$17="Distrato",$E623,0)),MIN(AB$38,$D$19),$P$20))-SUM($P623:AA623)</f>
        <v>0</v>
      </c>
      <c r="AC623" s="446">
        <f>IF(OR($B623="",MIN(AC$38,$D$19)&lt;MAX($P$612*($B623+IF($R$17="Distrato",$I$38-1,0)),IF(AND($L$615=0,$P$612=0),"",$L$615-1),IF($R$17="Distrato",$E623,0))),0,YEARFRAC(MAX($P$612*($B623+IF($R$17="Distrato",$I$38-1,0)),IF(AND($L$615=0,$P$612=0),"",$L$615-1),IF($R$17="Distrato",$E623,0)),MIN(AC$38,$D$19),$P$20))-SUM($P623:AB623)</f>
        <v>0</v>
      </c>
      <c r="AD623" s="446">
        <f>IF(OR($B623="",MIN(AD$38,$D$19)&lt;MAX($P$612*($B623+IF($R$17="Distrato",$I$38-1,0)),IF(AND($L$615=0,$P$612=0),"",$L$615-1),IF($R$17="Distrato",$E623,0))),0,YEARFRAC(MAX($P$612*($B623+IF($R$17="Distrato",$I$38-1,0)),IF(AND($L$615=0,$P$612=0),"",$L$615-1),IF($R$17="Distrato",$E623,0)),MIN(AD$38,$D$19),$P$20))-SUM($P623:AC623)</f>
        <v>0</v>
      </c>
      <c r="AE623" s="446">
        <f>IF(OR($B623="",MIN(AE$38,$D$19)&lt;MAX($P$612*($B623+IF($R$17="Distrato",$I$38-1,0)),IF(AND($L$615=0,$P$612=0),"",$L$615-1),IF($R$17="Distrato",$E623,0))),0,YEARFRAC(MAX($P$612*($B623+IF($R$17="Distrato",$I$38-1,0)),IF(AND($L$615=0,$P$612=0),"",$L$615-1),IF($R$17="Distrato",$E623,0)),MIN(AE$38,$D$19),$P$20))-SUM($P623:AD623)</f>
        <v>0</v>
      </c>
      <c r="AF623" s="446">
        <f>IF(OR($B623="",MIN(AF$38,$D$19)&lt;MAX($P$612*($B623+IF($R$17="Distrato",$I$38-1,0)),IF(AND($L$615=0,$P$612=0),"",$L$615-1),IF($R$17="Distrato",$E623,0))),0,YEARFRAC(MAX($P$612*($B623+IF($R$17="Distrato",$I$38-1,0)),IF(AND($L$615=0,$P$612=0),"",$L$615-1),IF($R$17="Distrato",$E623,0)),MIN(AF$38,$D$19),$P$20))-SUM($P623:AE623)</f>
        <v>0</v>
      </c>
      <c r="AG623" s="446">
        <f>IF(OR($B623="",MIN(AG$38,$D$19)&lt;MAX($P$612*($B623+IF($R$17="Distrato",$I$38-1,0)),IF(AND($L$615=0,$P$612=0),"",$L$615-1),IF($R$17="Distrato",$E623,0))),0,YEARFRAC(MAX($P$612*($B623+IF($R$17="Distrato",$I$38-1,0)),IF(AND($L$615=0,$P$612=0),"",$L$615-1),IF($R$17="Distrato",$E623,0)),MIN(AG$38,$D$19),$P$20))-SUM($P623:AF623)</f>
        <v>0</v>
      </c>
      <c r="AH623" s="446">
        <f>IF(OR($B623="",MIN(AH$38,$D$19)&lt;MAX($P$612*($B623+IF($R$17="Distrato",$I$38-1,0)),IF(AND($L$615=0,$P$612=0),"",$L$615-1),IF($R$17="Distrato",$E623,0))),0,YEARFRAC(MAX($P$612*($B623+IF($R$17="Distrato",$I$38-1,0)),IF(AND($L$615=0,$P$612=0),"",$L$615-1),IF($R$17="Distrato",$E623,0)),MIN(AH$38,$D$19),$P$20))-SUM($P623:AG623)</f>
        <v>0</v>
      </c>
      <c r="AI623" s="446">
        <f>IF(OR($B623="",MIN(AI$38,$D$19)&lt;MAX($P$612*($B623+IF($R$17="Distrato",$I$38-1,0)),IF(AND($L$615=0,$P$612=0),"",$L$615-1),IF($R$17="Distrato",$E623,0))),0,YEARFRAC(MAX($P$612*($B623+IF($R$17="Distrato",$I$38-1,0)),IF(AND($L$615=0,$P$612=0),"",$L$615-1),IF($R$17="Distrato",$E623,0)),MIN(AI$38,$D$19),$P$20))-SUM($P623:AH623)</f>
        <v>0</v>
      </c>
      <c r="AJ623" s="446">
        <f>IF(OR($B623="",MIN(AJ$38,$D$19)&lt;MAX($P$612*($B623+IF($R$17="Distrato",$I$38-1,0)),IF(AND($L$615=0,$P$612=0),"",$L$615-1),IF($R$17="Distrato",$E623,0))),0,YEARFRAC(MAX($P$612*($B623+IF($R$17="Distrato",$I$38-1,0)),IF(AND($L$615=0,$P$612=0),"",$L$615-1),IF($R$17="Distrato",$E623,0)),MIN(AJ$38,$D$19),$P$20))-SUM($P623:AI623)</f>
        <v>0</v>
      </c>
      <c r="AK623" s="446">
        <f>IF(OR($B623="",MIN(AK$38,$D$19)&lt;MAX($P$612*($B623+IF($R$17="Distrato",$I$38-1,0)),IF(AND($L$615=0,$P$612=0),"",$L$615-1),IF($R$17="Distrato",$E623,0))),0,YEARFRAC(MAX($P$612*($B623+IF($R$17="Distrato",$I$38-1,0)),IF(AND($L$615=0,$P$612=0),"",$L$615-1),IF($R$17="Distrato",$E623,0)),MIN(AK$38,$D$19),$P$20))-SUM($P623:AJ623)</f>
        <v>0</v>
      </c>
      <c r="AL623" s="446">
        <f>IF(OR($B623="",MIN(AL$38,$D$19)&lt;MAX($P$612*($B623+IF($R$17="Distrato",$I$38-1,0)),IF(AND($L$615=0,$P$612=0),"",$L$615-1),IF($R$17="Distrato",$E623,0))),0,YEARFRAC(MAX($P$612*($B623+IF($R$17="Distrato",$I$38-1,0)),IF(AND($L$615=0,$P$612=0),"",$L$615-1),IF($R$17="Distrato",$E623,0)),MIN(AL$38,$D$19),$P$20))-SUM($P623:AK623)</f>
        <v>0</v>
      </c>
      <c r="AM623" s="446">
        <f>IF(OR($B623="",MIN(AM$38,$D$19)&lt;MAX($P$612*($B623+IF($R$17="Distrato",$I$38-1,0)),IF(AND($L$615=0,$P$612=0),"",$L$615-1),IF($R$17="Distrato",$E623,0))),0,YEARFRAC(MAX($P$612*($B623+IF($R$17="Distrato",$I$38-1,0)),IF(AND($L$615=0,$P$612=0),"",$L$615-1),IF($R$17="Distrato",$E623,0)),MIN(AM$38,$D$19),$P$20))-SUM($P623:AL623)</f>
        <v>0</v>
      </c>
      <c r="AN623" s="446">
        <f>IF(OR($B623="",MIN(AN$38,$D$19)&lt;MAX($P$612*($B623+IF($R$17="Distrato",$I$38-1,0)),IF(AND($L$615=0,$P$612=0),"",$L$615-1),IF($R$17="Distrato",$E623,0))),0,YEARFRAC(MAX($P$612*($B623+IF($R$17="Distrato",$I$38-1,0)),IF(AND($L$615=0,$P$612=0),"",$L$615-1),IF($R$17="Distrato",$E623,0)),MIN(AN$38,$D$19),$P$20))-SUM($P623:AM623)</f>
        <v>0</v>
      </c>
      <c r="AO623" s="446">
        <f>IF(OR($B623="",MIN(AO$38,$D$19)&lt;MAX($P$612*($B623+IF($R$17="Distrato",$I$38-1,0)),IF(AND($L$615=0,$P$612=0),"",$L$615-1),IF($R$17="Distrato",$E623,0))),0,YEARFRAC(MAX($P$612*($B623+IF($R$17="Distrato",$I$38-1,0)),IF(AND($L$615=0,$P$612=0),"",$L$615-1),IF($R$17="Distrato",$E623,0)),MIN(AO$38,$D$19),$P$20))-SUM($P623:AN623)</f>
        <v>0</v>
      </c>
      <c r="AP623" s="446">
        <f>IF(OR($B623="",MIN(AP$38,$D$19)&lt;MAX($P$612*($B623+IF($R$17="Distrato",$I$38-1,0)),IF(AND($L$615=0,$P$612=0),"",$L$615-1),IF($R$17="Distrato",$E623,0))),0,YEARFRAC(MAX($P$612*($B623+IF($R$17="Distrato",$I$38-1,0)),IF(AND($L$615=0,$P$612=0),"",$L$615-1),IF($R$17="Distrato",$E623,0)),MIN(AP$38,$D$19),$P$20))-SUM($P623:AO623)</f>
        <v>0</v>
      </c>
      <c r="AQ623" s="446">
        <f>IF(OR($B623="",MIN(AQ$38,$D$19)&lt;MAX($P$612*($B623+IF($R$17="Distrato",$I$38-1,0)),IF(AND($L$615=0,$P$612=0),"",$L$615-1),IF($R$17="Distrato",$E623,0))),0,YEARFRAC(MAX($P$612*($B623+IF($R$17="Distrato",$I$38-1,0)),IF(AND($L$615=0,$P$612=0),"",$L$615-1),IF($R$17="Distrato",$E623,0)),MIN(AQ$38,$D$19),$P$20))-SUM($P623:AP623)</f>
        <v>0</v>
      </c>
      <c r="AR623" s="446">
        <f>IF(OR($B623="",MIN(AR$38,$D$19)&lt;MAX($P$612*($B623+IF($R$17="Distrato",$I$38-1,0)),IF(AND($L$615=0,$P$612=0),"",$L$615-1),IF($R$17="Distrato",$E623,0))),0,YEARFRAC(MAX($P$612*($B623+IF($R$17="Distrato",$I$38-1,0)),IF(AND($L$615=0,$P$612=0),"",$L$615-1),IF($R$17="Distrato",$E623,0)),MIN(AR$38,$D$19),$P$20))-SUM($P623:AQ623)</f>
        <v>0</v>
      </c>
      <c r="AS623" s="446">
        <f>IF(OR($B623="",MIN(AS$38,$D$19)&lt;MAX($P$612*($B623+IF($R$17="Distrato",$I$38-1,0)),IF(AND($L$615=0,$P$612=0),"",$L$615-1),IF($R$17="Distrato",$E623,0))),0,YEARFRAC(MAX($P$612*($B623+IF($R$17="Distrato",$I$38-1,0)),IF(AND($L$615=0,$P$612=0),"",$L$615-1),IF($R$17="Distrato",$E623,0)),MIN(AS$38,$D$19),$P$20))-SUM($P623:AR623)</f>
        <v>0</v>
      </c>
      <c r="AT623" s="446">
        <f>IF(OR($B623="",MIN(AT$38,$D$19)&lt;MAX($P$612*($B623+IF($R$17="Distrato",$I$38-1,0)),IF(AND($L$615=0,$P$612=0),"",$L$615-1),IF($R$17="Distrato",$E623,0))),0,YEARFRAC(MAX($P$612*($B623+IF($R$17="Distrato",$I$38-1,0)),IF(AND($L$615=0,$P$612=0),"",$L$615-1),IF($R$17="Distrato",$E623,0)),MIN(AT$38,$D$19),$P$20))-SUM($P623:AS623)</f>
        <v>0</v>
      </c>
      <c r="AU623" s="446">
        <f>IF(OR($B623="",MIN(AU$38,$D$19)&lt;MAX($P$612*($B623+IF($R$17="Distrato",$I$38-1,0)),IF(AND($L$615=0,$P$612=0),"",$L$615-1),IF($R$17="Distrato",$E623,0))),0,YEARFRAC(MAX($P$612*($B623+IF($R$17="Distrato",$I$38-1,0)),IF(AND($L$615=0,$P$612=0),"",$L$615-1),IF($R$17="Distrato",$E623,0)),MIN(AU$38,$D$19),$P$20))-SUM($P623:AT623)</f>
        <v>0</v>
      </c>
      <c r="AV623" s="446">
        <f>IF(OR($B623="",MIN(AV$38,$D$19)&lt;MAX($P$612*($B623+IF($R$17="Distrato",$I$38-1,0)),IF(AND($L$615=0,$P$612=0),"",$L$615-1),IF($R$17="Distrato",$E623,0))),0,YEARFRAC(MAX($P$612*($B623+IF($R$17="Distrato",$I$38-1,0)),IF(AND($L$615=0,$P$612=0),"",$L$615-1),IF($R$17="Distrato",$E623,0)),MIN(AV$38,$D$19),$P$20))-SUM($P623:AU623)</f>
        <v>0</v>
      </c>
      <c r="AW623" s="446">
        <f>IF(OR($B623="",MIN(AW$38,$D$19)&lt;MAX($P$612*($B623+IF($R$17="Distrato",$I$38-1,0)),IF(AND($L$615=0,$P$612=0),"",$L$615-1),IF($R$17="Distrato",$E623,0))),0,YEARFRAC(MAX($P$612*($B623+IF($R$17="Distrato",$I$38-1,0)),IF(AND($L$615=0,$P$612=0),"",$L$615-1),IF($R$17="Distrato",$E623,0)),MIN(AW$38,$D$19),$P$20))-SUM($P623:AV623)</f>
        <v>0</v>
      </c>
      <c r="AX623" s="446">
        <f>IF(OR($B623="",MIN(AX$38,$D$19)&lt;MAX($P$612*($B623+IF($R$17="Distrato",$I$38-1,0)),IF(AND($L$615=0,$P$612=0),"",$L$615-1),IF($R$17="Distrato",$E623,0))),0,YEARFRAC(MAX($P$612*($B623+IF($R$17="Distrato",$I$38-1,0)),IF(AND($L$615=0,$P$612=0),"",$L$615-1),IF($R$17="Distrato",$E623,0)),MIN(AX$38,$D$19),$P$20))-SUM($P623:AW623)</f>
        <v>0</v>
      </c>
      <c r="AY623" s="446">
        <f>IF(OR($B623="",MIN(AY$38,$D$19)&lt;MAX($P$612*($B623+IF($R$17="Distrato",$I$38-1,0)),IF(AND($L$615=0,$P$612=0),"",$L$615-1),IF($R$17="Distrato",$E623,0))),0,YEARFRAC(MAX($P$612*($B623+IF($R$17="Distrato",$I$38-1,0)),IF(AND($L$615=0,$P$612=0),"",$L$615-1),IF($R$17="Distrato",$E623,0)),MIN(AY$38,$D$19),$P$20))-SUM($P623:AX623)</f>
        <v>0</v>
      </c>
      <c r="AZ623" s="446">
        <f>IF(OR($B623="",MIN(AZ$38,$D$19)&lt;MAX($P$612*($B623+IF($R$17="Distrato",$I$38-1,0)),IF(AND($L$615=0,$P$612=0),"",$L$615-1),IF($R$17="Distrato",$E623,0))),0,YEARFRAC(MAX($P$612*($B623+IF($R$17="Distrato",$I$38-1,0)),IF(AND($L$615=0,$P$612=0),"",$L$615-1),IF($R$17="Distrato",$E623,0)),MIN(AZ$38,$D$19),$P$20))-SUM($P623:AY623)</f>
        <v>0</v>
      </c>
      <c r="BA623" s="446">
        <f>IF(OR($B623="",MIN(BA$38,$D$19)&lt;MAX($P$612*($B623+IF($R$17="Distrato",$I$38-1,0)),IF(AND($L$615=0,$P$612=0),"",$L$615-1),IF($R$17="Distrato",$E623,0))),0,YEARFRAC(MAX($P$612*($B623+IF($R$17="Distrato",$I$38-1,0)),IF(AND($L$615=0,$P$612=0),"",$L$615-1),IF($R$17="Distrato",$E623,0)),MIN(BA$38,$D$19),$P$20))-SUM($P623:AZ623)</f>
        <v>0</v>
      </c>
      <c r="BB623" s="447"/>
    </row>
    <row r="624" spans="1:95" s="446" customFormat="1" ht="11.25" hidden="1" x14ac:dyDescent="0.2">
      <c r="A624" s="177"/>
      <c r="B624" s="178"/>
      <c r="C624" s="29" t="str">
        <f>IF(B624="","",IF($L$613="SELIC - TRIBUTOS",VLOOKUP(DATE(YEAR($D$19),MONTH($D$19)-1,1),ÍNDICES!$A:$DE,HLOOKUP($BL$25,ÍNDICES!$B$3:$T$4,2)+11)-VLOOKUP(B624,ÍNDICES!$A:$DE,HLOOKUP($BL$25,ÍNDICES!$B$3:$T$4,2)+11)+1%,IF(C$616=$W$26,$J$613,IF(ISERROR(IF(B624&gt;$D$19,1,VLOOKUP(DATE(YEAR(B624),MONTH(B624)+IF($C$613=$S$23,1,0),1),ÍNDICES!$A:$DE,$Z$613+1))),"",IF(B624&gt;$D$19,1,VLOOKUP(DATE(YEAR(B624),MONTH(B624)+IF($C$613=$S$23,1,0),1),ÍNDICES!$A:$DE,$Z$613+1))))))</f>
        <v/>
      </c>
      <c r="D624" s="155"/>
      <c r="E624" s="179"/>
      <c r="F624" s="29"/>
      <c r="G624" s="180"/>
      <c r="H624" s="181"/>
      <c r="I624" s="182" t="str">
        <f t="shared" si="107"/>
        <v/>
      </c>
      <c r="J624" s="5" t="str">
        <f t="shared" si="108"/>
        <v/>
      </c>
      <c r="K624" s="5">
        <f t="shared" ca="1" si="109"/>
        <v>0</v>
      </c>
      <c r="L624" s="5">
        <f t="shared" ca="1" si="104"/>
        <v>0</v>
      </c>
      <c r="M624" s="64">
        <f t="shared" si="110"/>
        <v>0</v>
      </c>
      <c r="N624" s="61">
        <f t="shared" ca="1" si="105"/>
        <v>0</v>
      </c>
      <c r="O624" s="20">
        <f t="shared" ca="1" si="106"/>
        <v>0</v>
      </c>
      <c r="P624" s="446">
        <f t="shared" si="111"/>
        <v>0</v>
      </c>
      <c r="Q624" s="446">
        <f>IF(OR($B624="",MIN(Q$38,$D$19)&lt;MAX($P$612*($B624+IF($R$17="Distrato",$I$38-1,0)),IF(AND($L$615=0,$P$612=0),"",$L$615-1),IF($R$17="Distrato",$E624,0))),0,YEARFRAC(MAX($P$612*($B624+IF($R$17="Distrato",$I$38-1,0)),IF(AND($L$615=0,$P$612=0),"",$L$615-1),IF($R$17="Distrato",$E624,0)),MIN(Q$38,$D$19),$P$20))-SUM($P624:P624)</f>
        <v>0</v>
      </c>
      <c r="R624" s="446">
        <f>IF(OR($B624="",MIN(R$38,$D$19)&lt;MAX($P$612*($B624+IF($R$17="Distrato",$I$38-1,0)),IF(AND($L$615=0,$P$612=0),"",$L$615-1),IF($R$17="Distrato",$E624,0))),0,YEARFRAC(MAX($P$612*($B624+IF($R$17="Distrato",$I$38-1,0)),IF(AND($L$615=0,$P$612=0),"",$L$615-1),IF($R$17="Distrato",$E624,0)),MIN(R$38,$D$19),$P$20))-SUM($P624:Q624)</f>
        <v>0</v>
      </c>
      <c r="S624" s="446">
        <f>IF(OR($B624="",MIN(S$38,$D$19)&lt;MAX($P$612*($B624+IF($R$17="Distrato",$I$38-1,0)),IF(AND($L$615=0,$P$612=0),"",$L$615-1),IF($R$17="Distrato",$E624,0))),0,YEARFRAC(MAX($P$612*($B624+IF($R$17="Distrato",$I$38-1,0)),IF(AND($L$615=0,$P$612=0),"",$L$615-1),IF($R$17="Distrato",$E624,0)),MIN(S$38,$D$19),$P$20))-SUM($P624:R624)</f>
        <v>0</v>
      </c>
      <c r="T624" s="446">
        <f>IF(OR($B624="",MIN(T$38,$D$19)&lt;MAX($P$612*($B624+IF($R$17="Distrato",$I$38-1,0)),IF(AND($L$615=0,$P$612=0),"",$L$615-1),IF($R$17="Distrato",$E624,0))),0,YEARFRAC(MAX($P$612*($B624+IF($R$17="Distrato",$I$38-1,0)),IF(AND($L$615=0,$P$612=0),"",$L$615-1),IF($R$17="Distrato",$E624,0)),MIN(T$38,$D$19),$P$20))-SUM($P624:S624)</f>
        <v>0</v>
      </c>
      <c r="U624" s="446">
        <f>IF(OR($B624="",MIN(U$38,$D$19)&lt;MAX($P$612*($B624+IF($R$17="Distrato",$I$38-1,0)),IF(AND($L$615=0,$P$612=0),"",$L$615-1),IF($R$17="Distrato",$E624,0))),0,YEARFRAC(MAX($P$612*($B624+IF($R$17="Distrato",$I$38-1,0)),IF(AND($L$615=0,$P$612=0),"",$L$615-1),IF($R$17="Distrato",$E624,0)),MIN(U$38,$D$19),$P$20))-SUM($P624:T624)</f>
        <v>0</v>
      </c>
      <c r="V624" s="446">
        <f>IF(OR($B624="",MIN(V$38,$D$19)&lt;MAX($P$612*($B624+IF($R$17="Distrato",$I$38-1,0)),IF(AND($L$615=0,$P$612=0),"",$L$615-1),IF($R$17="Distrato",$E624,0))),0,YEARFRAC(MAX($P$612*($B624+IF($R$17="Distrato",$I$38-1,0)),IF(AND($L$615=0,$P$612=0),"",$L$615-1),IF($R$17="Distrato",$E624,0)),MIN(V$38,$D$19),$P$20))-SUM($P624:U624)</f>
        <v>0</v>
      </c>
      <c r="W624" s="446">
        <f>IF(OR($B624="",MIN(W$38,$D$19)&lt;MAX($P$612*($B624+IF($R$17="Distrato",$I$38-1,0)),IF(AND($L$615=0,$P$612=0),"",$L$615-1),IF($R$17="Distrato",$E624,0))),0,YEARFRAC(MAX($P$612*($B624+IF($R$17="Distrato",$I$38-1,0)),IF(AND($L$615=0,$P$612=0),"",$L$615-1),IF($R$17="Distrato",$E624,0)),MIN(W$38,$D$19),$P$20))-SUM($P624:V624)</f>
        <v>0</v>
      </c>
      <c r="X624" s="446">
        <f>IF(OR($B624="",MIN(X$38,$D$19)&lt;MAX($P$612*($B624+IF($R$17="Distrato",$I$38-1,0)),IF(AND($L$615=0,$P$612=0),"",$L$615-1),IF($R$17="Distrato",$E624,0))),0,YEARFRAC(MAX($P$612*($B624+IF($R$17="Distrato",$I$38-1,0)),IF(AND($L$615=0,$P$612=0),"",$L$615-1),IF($R$17="Distrato",$E624,0)),MIN(X$38,$D$19),$P$20))-SUM($P624:W624)</f>
        <v>0</v>
      </c>
      <c r="Y624" s="446">
        <f>IF(OR($B624="",MIN(Y$38,$D$19)&lt;MAX($P$612*($B624+IF($R$17="Distrato",$I$38-1,0)),IF(AND($L$615=0,$P$612=0),"",$L$615-1),IF($R$17="Distrato",$E624,0))),0,YEARFRAC(MAX($P$612*($B624+IF($R$17="Distrato",$I$38-1,0)),IF(AND($L$615=0,$P$612=0),"",$L$615-1),IF($R$17="Distrato",$E624,0)),MIN(Y$38,$D$19),$P$20))-SUM($P624:X624)</f>
        <v>0</v>
      </c>
      <c r="Z624" s="446">
        <f>IF(OR($B624="",MIN(Z$38,$D$19)&lt;MAX($P$612*($B624+IF($R$17="Distrato",$I$38-1,0)),IF(AND($L$615=0,$P$612=0),"",$L$615-1),IF($R$17="Distrato",$E624,0))),0,YEARFRAC(MAX($P$612*($B624+IF($R$17="Distrato",$I$38-1,0)),IF(AND($L$615=0,$P$612=0),"",$L$615-1),IF($R$17="Distrato",$E624,0)),MIN(Z$38,$D$19),$P$20))-SUM($P624:Y624)</f>
        <v>0</v>
      </c>
      <c r="AA624" s="446">
        <f>IF(OR($B624="",MIN(AA$38,$D$19)&lt;MAX($P$612*($B624+IF($R$17="Distrato",$I$38-1,0)),IF(AND($L$615=0,$P$612=0),"",$L$615-1),IF($R$17="Distrato",$E624,0))),0,YEARFRAC(MAX($P$612*($B624+IF($R$17="Distrato",$I$38-1,0)),IF(AND($L$615=0,$P$612=0),"",$L$615-1),IF($R$17="Distrato",$E624,0)),MIN(AA$38,$D$19),$P$20))-SUM($P624:Z624)</f>
        <v>0</v>
      </c>
      <c r="AB624" s="446">
        <f>IF(OR($B624="",MIN(AB$38,$D$19)&lt;MAX($P$612*($B624+IF($R$17="Distrato",$I$38-1,0)),IF(AND($L$615=0,$P$612=0),"",$L$615-1),IF($R$17="Distrato",$E624,0))),0,YEARFRAC(MAX($P$612*($B624+IF($R$17="Distrato",$I$38-1,0)),IF(AND($L$615=0,$P$612=0),"",$L$615-1),IF($R$17="Distrato",$E624,0)),MIN(AB$38,$D$19),$P$20))-SUM($P624:AA624)</f>
        <v>0</v>
      </c>
      <c r="AC624" s="446">
        <f>IF(OR($B624="",MIN(AC$38,$D$19)&lt;MAX($P$612*($B624+IF($R$17="Distrato",$I$38-1,0)),IF(AND($L$615=0,$P$612=0),"",$L$615-1),IF($R$17="Distrato",$E624,0))),0,YEARFRAC(MAX($P$612*($B624+IF($R$17="Distrato",$I$38-1,0)),IF(AND($L$615=0,$P$612=0),"",$L$615-1),IF($R$17="Distrato",$E624,0)),MIN(AC$38,$D$19),$P$20))-SUM($P624:AB624)</f>
        <v>0</v>
      </c>
      <c r="AD624" s="446">
        <f>IF(OR($B624="",MIN(AD$38,$D$19)&lt;MAX($P$612*($B624+IF($R$17="Distrato",$I$38-1,0)),IF(AND($L$615=0,$P$612=0),"",$L$615-1),IF($R$17="Distrato",$E624,0))),0,YEARFRAC(MAX($P$612*($B624+IF($R$17="Distrato",$I$38-1,0)),IF(AND($L$615=0,$P$612=0),"",$L$615-1),IF($R$17="Distrato",$E624,0)),MIN(AD$38,$D$19),$P$20))-SUM($P624:AC624)</f>
        <v>0</v>
      </c>
      <c r="AE624" s="446">
        <f>IF(OR($B624="",MIN(AE$38,$D$19)&lt;MAX($P$612*($B624+IF($R$17="Distrato",$I$38-1,0)),IF(AND($L$615=0,$P$612=0),"",$L$615-1),IF($R$17="Distrato",$E624,0))),0,YEARFRAC(MAX($P$612*($B624+IF($R$17="Distrato",$I$38-1,0)),IF(AND($L$615=0,$P$612=0),"",$L$615-1),IF($R$17="Distrato",$E624,0)),MIN(AE$38,$D$19),$P$20))-SUM($P624:AD624)</f>
        <v>0</v>
      </c>
      <c r="AF624" s="446">
        <f>IF(OR($B624="",MIN(AF$38,$D$19)&lt;MAX($P$612*($B624+IF($R$17="Distrato",$I$38-1,0)),IF(AND($L$615=0,$P$612=0),"",$L$615-1),IF($R$17="Distrato",$E624,0))),0,YEARFRAC(MAX($P$612*($B624+IF($R$17="Distrato",$I$38-1,0)),IF(AND($L$615=0,$P$612=0),"",$L$615-1),IF($R$17="Distrato",$E624,0)),MIN(AF$38,$D$19),$P$20))-SUM($P624:AE624)</f>
        <v>0</v>
      </c>
      <c r="AG624" s="446">
        <f>IF(OR($B624="",MIN(AG$38,$D$19)&lt;MAX($P$612*($B624+IF($R$17="Distrato",$I$38-1,0)),IF(AND($L$615=0,$P$612=0),"",$L$615-1),IF($R$17="Distrato",$E624,0))),0,YEARFRAC(MAX($P$612*($B624+IF($R$17="Distrato",$I$38-1,0)),IF(AND($L$615=0,$P$612=0),"",$L$615-1),IF($R$17="Distrato",$E624,0)),MIN(AG$38,$D$19),$P$20))-SUM($P624:AF624)</f>
        <v>0</v>
      </c>
      <c r="AH624" s="446">
        <f>IF(OR($B624="",MIN(AH$38,$D$19)&lt;MAX($P$612*($B624+IF($R$17="Distrato",$I$38-1,0)),IF(AND($L$615=0,$P$612=0),"",$L$615-1),IF($R$17="Distrato",$E624,0))),0,YEARFRAC(MAX($P$612*($B624+IF($R$17="Distrato",$I$38-1,0)),IF(AND($L$615=0,$P$612=0),"",$L$615-1),IF($R$17="Distrato",$E624,0)),MIN(AH$38,$D$19),$P$20))-SUM($P624:AG624)</f>
        <v>0</v>
      </c>
      <c r="AI624" s="446">
        <f>IF(OR($B624="",MIN(AI$38,$D$19)&lt;MAX($P$612*($B624+IF($R$17="Distrato",$I$38-1,0)),IF(AND($L$615=0,$P$612=0),"",$L$615-1),IF($R$17="Distrato",$E624,0))),0,YEARFRAC(MAX($P$612*($B624+IF($R$17="Distrato",$I$38-1,0)),IF(AND($L$615=0,$P$612=0),"",$L$615-1),IF($R$17="Distrato",$E624,0)),MIN(AI$38,$D$19),$P$20))-SUM($P624:AH624)</f>
        <v>0</v>
      </c>
      <c r="AJ624" s="446">
        <f>IF(OR($B624="",MIN(AJ$38,$D$19)&lt;MAX($P$612*($B624+IF($R$17="Distrato",$I$38-1,0)),IF(AND($L$615=0,$P$612=0),"",$L$615-1),IF($R$17="Distrato",$E624,0))),0,YEARFRAC(MAX($P$612*($B624+IF($R$17="Distrato",$I$38-1,0)),IF(AND($L$615=0,$P$612=0),"",$L$615-1),IF($R$17="Distrato",$E624,0)),MIN(AJ$38,$D$19),$P$20))-SUM($P624:AI624)</f>
        <v>0</v>
      </c>
      <c r="AK624" s="446">
        <f>IF(OR($B624="",MIN(AK$38,$D$19)&lt;MAX($P$612*($B624+IF($R$17="Distrato",$I$38-1,0)),IF(AND($L$615=0,$P$612=0),"",$L$615-1),IF($R$17="Distrato",$E624,0))),0,YEARFRAC(MAX($P$612*($B624+IF($R$17="Distrato",$I$38-1,0)),IF(AND($L$615=0,$P$612=0),"",$L$615-1),IF($R$17="Distrato",$E624,0)),MIN(AK$38,$D$19),$P$20))-SUM($P624:AJ624)</f>
        <v>0</v>
      </c>
      <c r="AL624" s="446">
        <f>IF(OR($B624="",MIN(AL$38,$D$19)&lt;MAX($P$612*($B624+IF($R$17="Distrato",$I$38-1,0)),IF(AND($L$615=0,$P$612=0),"",$L$615-1),IF($R$17="Distrato",$E624,0))),0,YEARFRAC(MAX($P$612*($B624+IF($R$17="Distrato",$I$38-1,0)),IF(AND($L$615=0,$P$612=0),"",$L$615-1),IF($R$17="Distrato",$E624,0)),MIN(AL$38,$D$19),$P$20))-SUM($P624:AK624)</f>
        <v>0</v>
      </c>
      <c r="AM624" s="446">
        <f>IF(OR($B624="",MIN(AM$38,$D$19)&lt;MAX($P$612*($B624+IF($R$17="Distrato",$I$38-1,0)),IF(AND($L$615=0,$P$612=0),"",$L$615-1),IF($R$17="Distrato",$E624,0))),0,YEARFRAC(MAX($P$612*($B624+IF($R$17="Distrato",$I$38-1,0)),IF(AND($L$615=0,$P$612=0),"",$L$615-1),IF($R$17="Distrato",$E624,0)),MIN(AM$38,$D$19),$P$20))-SUM($P624:AL624)</f>
        <v>0</v>
      </c>
      <c r="AN624" s="446">
        <f>IF(OR($B624="",MIN(AN$38,$D$19)&lt;MAX($P$612*($B624+IF($R$17="Distrato",$I$38-1,0)),IF(AND($L$615=0,$P$612=0),"",$L$615-1),IF($R$17="Distrato",$E624,0))),0,YEARFRAC(MAX($P$612*($B624+IF($R$17="Distrato",$I$38-1,0)),IF(AND($L$615=0,$P$612=0),"",$L$615-1),IF($R$17="Distrato",$E624,0)),MIN(AN$38,$D$19),$P$20))-SUM($P624:AM624)</f>
        <v>0</v>
      </c>
      <c r="AO624" s="446">
        <f>IF(OR($B624="",MIN(AO$38,$D$19)&lt;MAX($P$612*($B624+IF($R$17="Distrato",$I$38-1,0)),IF(AND($L$615=0,$P$612=0),"",$L$615-1),IF($R$17="Distrato",$E624,0))),0,YEARFRAC(MAX($P$612*($B624+IF($R$17="Distrato",$I$38-1,0)),IF(AND($L$615=0,$P$612=0),"",$L$615-1),IF($R$17="Distrato",$E624,0)),MIN(AO$38,$D$19),$P$20))-SUM($P624:AN624)</f>
        <v>0</v>
      </c>
      <c r="AP624" s="446">
        <f>IF(OR($B624="",MIN(AP$38,$D$19)&lt;MAX($P$612*($B624+IF($R$17="Distrato",$I$38-1,0)),IF(AND($L$615=0,$P$612=0),"",$L$615-1),IF($R$17="Distrato",$E624,0))),0,YEARFRAC(MAX($P$612*($B624+IF($R$17="Distrato",$I$38-1,0)),IF(AND($L$615=0,$P$612=0),"",$L$615-1),IF($R$17="Distrato",$E624,0)),MIN(AP$38,$D$19),$P$20))-SUM($P624:AO624)</f>
        <v>0</v>
      </c>
      <c r="AQ624" s="446">
        <f>IF(OR($B624="",MIN(AQ$38,$D$19)&lt;MAX($P$612*($B624+IF($R$17="Distrato",$I$38-1,0)),IF(AND($L$615=0,$P$612=0),"",$L$615-1),IF($R$17="Distrato",$E624,0))),0,YEARFRAC(MAX($P$612*($B624+IF($R$17="Distrato",$I$38-1,0)),IF(AND($L$615=0,$P$612=0),"",$L$615-1),IF($R$17="Distrato",$E624,0)),MIN(AQ$38,$D$19),$P$20))-SUM($P624:AP624)</f>
        <v>0</v>
      </c>
      <c r="AR624" s="446">
        <f>IF(OR($B624="",MIN(AR$38,$D$19)&lt;MAX($P$612*($B624+IF($R$17="Distrato",$I$38-1,0)),IF(AND($L$615=0,$P$612=0),"",$L$615-1),IF($R$17="Distrato",$E624,0))),0,YEARFRAC(MAX($P$612*($B624+IF($R$17="Distrato",$I$38-1,0)),IF(AND($L$615=0,$P$612=0),"",$L$615-1),IF($R$17="Distrato",$E624,0)),MIN(AR$38,$D$19),$P$20))-SUM($P624:AQ624)</f>
        <v>0</v>
      </c>
      <c r="AS624" s="446">
        <f>IF(OR($B624="",MIN(AS$38,$D$19)&lt;MAX($P$612*($B624+IF($R$17="Distrato",$I$38-1,0)),IF(AND($L$615=0,$P$612=0),"",$L$615-1),IF($R$17="Distrato",$E624,0))),0,YEARFRAC(MAX($P$612*($B624+IF($R$17="Distrato",$I$38-1,0)),IF(AND($L$615=0,$P$612=0),"",$L$615-1),IF($R$17="Distrato",$E624,0)),MIN(AS$38,$D$19),$P$20))-SUM($P624:AR624)</f>
        <v>0</v>
      </c>
      <c r="AT624" s="446">
        <f>IF(OR($B624="",MIN(AT$38,$D$19)&lt;MAX($P$612*($B624+IF($R$17="Distrato",$I$38-1,0)),IF(AND($L$615=0,$P$612=0),"",$L$615-1),IF($R$17="Distrato",$E624,0))),0,YEARFRAC(MAX($P$612*($B624+IF($R$17="Distrato",$I$38-1,0)),IF(AND($L$615=0,$P$612=0),"",$L$615-1),IF($R$17="Distrato",$E624,0)),MIN(AT$38,$D$19),$P$20))-SUM($P624:AS624)</f>
        <v>0</v>
      </c>
      <c r="AU624" s="446">
        <f>IF(OR($B624="",MIN(AU$38,$D$19)&lt;MAX($P$612*($B624+IF($R$17="Distrato",$I$38-1,0)),IF(AND($L$615=0,$P$612=0),"",$L$615-1),IF($R$17="Distrato",$E624,0))),0,YEARFRAC(MAX($P$612*($B624+IF($R$17="Distrato",$I$38-1,0)),IF(AND($L$615=0,$P$612=0),"",$L$615-1),IF($R$17="Distrato",$E624,0)),MIN(AU$38,$D$19),$P$20))-SUM($P624:AT624)</f>
        <v>0</v>
      </c>
      <c r="AV624" s="446">
        <f>IF(OR($B624="",MIN(AV$38,$D$19)&lt;MAX($P$612*($B624+IF($R$17="Distrato",$I$38-1,0)),IF(AND($L$615=0,$P$612=0),"",$L$615-1),IF($R$17="Distrato",$E624,0))),0,YEARFRAC(MAX($P$612*($B624+IF($R$17="Distrato",$I$38-1,0)),IF(AND($L$615=0,$P$612=0),"",$L$615-1),IF($R$17="Distrato",$E624,0)),MIN(AV$38,$D$19),$P$20))-SUM($P624:AU624)</f>
        <v>0</v>
      </c>
      <c r="AW624" s="446">
        <f>IF(OR($B624="",MIN(AW$38,$D$19)&lt;MAX($P$612*($B624+IF($R$17="Distrato",$I$38-1,0)),IF(AND($L$615=0,$P$612=0),"",$L$615-1),IF($R$17="Distrato",$E624,0))),0,YEARFRAC(MAX($P$612*($B624+IF($R$17="Distrato",$I$38-1,0)),IF(AND($L$615=0,$P$612=0),"",$L$615-1),IF($R$17="Distrato",$E624,0)),MIN(AW$38,$D$19),$P$20))-SUM($P624:AV624)</f>
        <v>0</v>
      </c>
      <c r="AX624" s="446">
        <f>IF(OR($B624="",MIN(AX$38,$D$19)&lt;MAX($P$612*($B624+IF($R$17="Distrato",$I$38-1,0)),IF(AND($L$615=0,$P$612=0),"",$L$615-1),IF($R$17="Distrato",$E624,0))),0,YEARFRAC(MAX($P$612*($B624+IF($R$17="Distrato",$I$38-1,0)),IF(AND($L$615=0,$P$612=0),"",$L$615-1),IF($R$17="Distrato",$E624,0)),MIN(AX$38,$D$19),$P$20))-SUM($P624:AW624)</f>
        <v>0</v>
      </c>
      <c r="AY624" s="446">
        <f>IF(OR($B624="",MIN(AY$38,$D$19)&lt;MAX($P$612*($B624+IF($R$17="Distrato",$I$38-1,0)),IF(AND($L$615=0,$P$612=0),"",$L$615-1),IF($R$17="Distrato",$E624,0))),0,YEARFRAC(MAX($P$612*($B624+IF($R$17="Distrato",$I$38-1,0)),IF(AND($L$615=0,$P$612=0),"",$L$615-1),IF($R$17="Distrato",$E624,0)),MIN(AY$38,$D$19),$P$20))-SUM($P624:AX624)</f>
        <v>0</v>
      </c>
      <c r="AZ624" s="446">
        <f>IF(OR($B624="",MIN(AZ$38,$D$19)&lt;MAX($P$612*($B624+IF($R$17="Distrato",$I$38-1,0)),IF(AND($L$615=0,$P$612=0),"",$L$615-1),IF($R$17="Distrato",$E624,0))),0,YEARFRAC(MAX($P$612*($B624+IF($R$17="Distrato",$I$38-1,0)),IF(AND($L$615=0,$P$612=0),"",$L$615-1),IF($R$17="Distrato",$E624,0)),MIN(AZ$38,$D$19),$P$20))-SUM($P624:AY624)</f>
        <v>0</v>
      </c>
      <c r="BA624" s="446">
        <f>IF(OR($B624="",MIN(BA$38,$D$19)&lt;MAX($P$612*($B624+IF($R$17="Distrato",$I$38-1,0)),IF(AND($L$615=0,$P$612=0),"",$L$615-1),IF($R$17="Distrato",$E624,0))),0,YEARFRAC(MAX($P$612*($B624+IF($R$17="Distrato",$I$38-1,0)),IF(AND($L$615=0,$P$612=0),"",$L$615-1),IF($R$17="Distrato",$E624,0)),MIN(BA$38,$D$19),$P$20))-SUM($P624:AZ624)</f>
        <v>0</v>
      </c>
      <c r="BB624" s="447"/>
    </row>
    <row r="625" spans="1:54" s="446" customFormat="1" ht="11.25" hidden="1" x14ac:dyDescent="0.2">
      <c r="A625" s="177"/>
      <c r="B625" s="178"/>
      <c r="C625" s="29" t="str">
        <f>IF(B625="","",IF($L$613="SELIC - TRIBUTOS",VLOOKUP(DATE(YEAR($D$19),MONTH($D$19)-1,1),ÍNDICES!$A:$DE,HLOOKUP($BL$25,ÍNDICES!$B$3:$T$4,2)+11)-VLOOKUP(B625,ÍNDICES!$A:$DE,HLOOKUP($BL$25,ÍNDICES!$B$3:$T$4,2)+11)+1%,IF(C$616=$W$26,$J$613,IF(ISERROR(IF(B625&gt;$D$19,1,VLOOKUP(DATE(YEAR(B625),MONTH(B625)+IF($C$613=$S$23,1,0),1),ÍNDICES!$A:$DE,$Z$613+1))),"",IF(B625&gt;$D$19,1,VLOOKUP(DATE(YEAR(B625),MONTH(B625)+IF($C$613=$S$23,1,0),1),ÍNDICES!$A:$DE,$Z$613+1))))))</f>
        <v/>
      </c>
      <c r="D625" s="155"/>
      <c r="E625" s="179"/>
      <c r="F625" s="29"/>
      <c r="G625" s="180"/>
      <c r="H625" s="181"/>
      <c r="I625" s="182" t="str">
        <f t="shared" si="107"/>
        <v/>
      </c>
      <c r="J625" s="5" t="str">
        <f t="shared" si="108"/>
        <v/>
      </c>
      <c r="K625" s="5">
        <f t="shared" ca="1" si="109"/>
        <v>0</v>
      </c>
      <c r="L625" s="5">
        <f t="shared" ca="1" si="104"/>
        <v>0</v>
      </c>
      <c r="M625" s="64">
        <f t="shared" si="110"/>
        <v>0</v>
      </c>
      <c r="N625" s="61">
        <f t="shared" ca="1" si="105"/>
        <v>0</v>
      </c>
      <c r="O625" s="20">
        <f t="shared" ca="1" si="106"/>
        <v>0</v>
      </c>
      <c r="P625" s="446">
        <f t="shared" si="111"/>
        <v>0</v>
      </c>
      <c r="Q625" s="446">
        <f>IF(OR($B625="",MIN(Q$38,$D$19)&lt;MAX($P$612*($B625+IF($R$17="Distrato",$I$38-1,0)),IF(AND($L$615=0,$P$612=0),"",$L$615-1),IF($R$17="Distrato",$E625,0))),0,YEARFRAC(MAX($P$612*($B625+IF($R$17="Distrato",$I$38-1,0)),IF(AND($L$615=0,$P$612=0),"",$L$615-1),IF($R$17="Distrato",$E625,0)),MIN(Q$38,$D$19),$P$20))-SUM($P625:P625)</f>
        <v>0</v>
      </c>
      <c r="R625" s="446">
        <f>IF(OR($B625="",MIN(R$38,$D$19)&lt;MAX($P$612*($B625+IF($R$17="Distrato",$I$38-1,0)),IF(AND($L$615=0,$P$612=0),"",$L$615-1),IF($R$17="Distrato",$E625,0))),0,YEARFRAC(MAX($P$612*($B625+IF($R$17="Distrato",$I$38-1,0)),IF(AND($L$615=0,$P$612=0),"",$L$615-1),IF($R$17="Distrato",$E625,0)),MIN(R$38,$D$19),$P$20))-SUM($P625:Q625)</f>
        <v>0</v>
      </c>
      <c r="S625" s="446">
        <f>IF(OR($B625="",MIN(S$38,$D$19)&lt;MAX($P$612*($B625+IF($R$17="Distrato",$I$38-1,0)),IF(AND($L$615=0,$P$612=0),"",$L$615-1),IF($R$17="Distrato",$E625,0))),0,YEARFRAC(MAX($P$612*($B625+IF($R$17="Distrato",$I$38-1,0)),IF(AND($L$615=0,$P$612=0),"",$L$615-1),IF($R$17="Distrato",$E625,0)),MIN(S$38,$D$19),$P$20))-SUM($P625:R625)</f>
        <v>0</v>
      </c>
      <c r="T625" s="446">
        <f>IF(OR($B625="",MIN(T$38,$D$19)&lt;MAX($P$612*($B625+IF($R$17="Distrato",$I$38-1,0)),IF(AND($L$615=0,$P$612=0),"",$L$615-1),IF($R$17="Distrato",$E625,0))),0,YEARFRAC(MAX($P$612*($B625+IF($R$17="Distrato",$I$38-1,0)),IF(AND($L$615=0,$P$612=0),"",$L$615-1),IF($R$17="Distrato",$E625,0)),MIN(T$38,$D$19),$P$20))-SUM($P625:S625)</f>
        <v>0</v>
      </c>
      <c r="U625" s="446">
        <f>IF(OR($B625="",MIN(U$38,$D$19)&lt;MAX($P$612*($B625+IF($R$17="Distrato",$I$38-1,0)),IF(AND($L$615=0,$P$612=0),"",$L$615-1),IF($R$17="Distrato",$E625,0))),0,YEARFRAC(MAX($P$612*($B625+IF($R$17="Distrato",$I$38-1,0)),IF(AND($L$615=0,$P$612=0),"",$L$615-1),IF($R$17="Distrato",$E625,0)),MIN(U$38,$D$19),$P$20))-SUM($P625:T625)</f>
        <v>0</v>
      </c>
      <c r="V625" s="446">
        <f>IF(OR($B625="",MIN(V$38,$D$19)&lt;MAX($P$612*($B625+IF($R$17="Distrato",$I$38-1,0)),IF(AND($L$615=0,$P$612=0),"",$L$615-1),IF($R$17="Distrato",$E625,0))),0,YEARFRAC(MAX($P$612*($B625+IF($R$17="Distrato",$I$38-1,0)),IF(AND($L$615=0,$P$612=0),"",$L$615-1),IF($R$17="Distrato",$E625,0)),MIN(V$38,$D$19),$P$20))-SUM($P625:U625)</f>
        <v>0</v>
      </c>
      <c r="W625" s="446">
        <f>IF(OR($B625="",MIN(W$38,$D$19)&lt;MAX($P$612*($B625+IF($R$17="Distrato",$I$38-1,0)),IF(AND($L$615=0,$P$612=0),"",$L$615-1),IF($R$17="Distrato",$E625,0))),0,YEARFRAC(MAX($P$612*($B625+IF($R$17="Distrato",$I$38-1,0)),IF(AND($L$615=0,$P$612=0),"",$L$615-1),IF($R$17="Distrato",$E625,0)),MIN(W$38,$D$19),$P$20))-SUM($P625:V625)</f>
        <v>0</v>
      </c>
      <c r="X625" s="446">
        <f>IF(OR($B625="",MIN(X$38,$D$19)&lt;MAX($P$612*($B625+IF($R$17="Distrato",$I$38-1,0)),IF(AND($L$615=0,$P$612=0),"",$L$615-1),IF($R$17="Distrato",$E625,0))),0,YEARFRAC(MAX($P$612*($B625+IF($R$17="Distrato",$I$38-1,0)),IF(AND($L$615=0,$P$612=0),"",$L$615-1),IF($R$17="Distrato",$E625,0)),MIN(X$38,$D$19),$P$20))-SUM($P625:W625)</f>
        <v>0</v>
      </c>
      <c r="Y625" s="446">
        <f>IF(OR($B625="",MIN(Y$38,$D$19)&lt;MAX($P$612*($B625+IF($R$17="Distrato",$I$38-1,0)),IF(AND($L$615=0,$P$612=0),"",$L$615-1),IF($R$17="Distrato",$E625,0))),0,YEARFRAC(MAX($P$612*($B625+IF($R$17="Distrato",$I$38-1,0)),IF(AND($L$615=0,$P$612=0),"",$L$615-1),IF($R$17="Distrato",$E625,0)),MIN(Y$38,$D$19),$P$20))-SUM($P625:X625)</f>
        <v>0</v>
      </c>
      <c r="Z625" s="446">
        <f>IF(OR($B625="",MIN(Z$38,$D$19)&lt;MAX($P$612*($B625+IF($R$17="Distrato",$I$38-1,0)),IF(AND($L$615=0,$P$612=0),"",$L$615-1),IF($R$17="Distrato",$E625,0))),0,YEARFRAC(MAX($P$612*($B625+IF($R$17="Distrato",$I$38-1,0)),IF(AND($L$615=0,$P$612=0),"",$L$615-1),IF($R$17="Distrato",$E625,0)),MIN(Z$38,$D$19),$P$20))-SUM($P625:Y625)</f>
        <v>0</v>
      </c>
      <c r="AA625" s="446">
        <f>IF(OR($B625="",MIN(AA$38,$D$19)&lt;MAX($P$612*($B625+IF($R$17="Distrato",$I$38-1,0)),IF(AND($L$615=0,$P$612=0),"",$L$615-1),IF($R$17="Distrato",$E625,0))),0,YEARFRAC(MAX($P$612*($B625+IF($R$17="Distrato",$I$38-1,0)),IF(AND($L$615=0,$P$612=0),"",$L$615-1),IF($R$17="Distrato",$E625,0)),MIN(AA$38,$D$19),$P$20))-SUM($P625:Z625)</f>
        <v>0</v>
      </c>
      <c r="AB625" s="446">
        <f>IF(OR($B625="",MIN(AB$38,$D$19)&lt;MAX($P$612*($B625+IF($R$17="Distrato",$I$38-1,0)),IF(AND($L$615=0,$P$612=0),"",$L$615-1),IF($R$17="Distrato",$E625,0))),0,YEARFRAC(MAX($P$612*($B625+IF($R$17="Distrato",$I$38-1,0)),IF(AND($L$615=0,$P$612=0),"",$L$615-1),IF($R$17="Distrato",$E625,0)),MIN(AB$38,$D$19),$P$20))-SUM($P625:AA625)</f>
        <v>0</v>
      </c>
      <c r="AC625" s="446">
        <f>IF(OR($B625="",MIN(AC$38,$D$19)&lt;MAX($P$612*($B625+IF($R$17="Distrato",$I$38-1,0)),IF(AND($L$615=0,$P$612=0),"",$L$615-1),IF($R$17="Distrato",$E625,0))),0,YEARFRAC(MAX($P$612*($B625+IF($R$17="Distrato",$I$38-1,0)),IF(AND($L$615=0,$P$612=0),"",$L$615-1),IF($R$17="Distrato",$E625,0)),MIN(AC$38,$D$19),$P$20))-SUM($P625:AB625)</f>
        <v>0</v>
      </c>
      <c r="AD625" s="446">
        <f>IF(OR($B625="",MIN(AD$38,$D$19)&lt;MAX($P$612*($B625+IF($R$17="Distrato",$I$38-1,0)),IF(AND($L$615=0,$P$612=0),"",$L$615-1),IF($R$17="Distrato",$E625,0))),0,YEARFRAC(MAX($P$612*($B625+IF($R$17="Distrato",$I$38-1,0)),IF(AND($L$615=0,$P$612=0),"",$L$615-1),IF($R$17="Distrato",$E625,0)),MIN(AD$38,$D$19),$P$20))-SUM($P625:AC625)</f>
        <v>0</v>
      </c>
      <c r="AE625" s="446">
        <f>IF(OR($B625="",MIN(AE$38,$D$19)&lt;MAX($P$612*($B625+IF($R$17="Distrato",$I$38-1,0)),IF(AND($L$615=0,$P$612=0),"",$L$615-1),IF($R$17="Distrato",$E625,0))),0,YEARFRAC(MAX($P$612*($B625+IF($R$17="Distrato",$I$38-1,0)),IF(AND($L$615=0,$P$612=0),"",$L$615-1),IF($R$17="Distrato",$E625,0)),MIN(AE$38,$D$19),$P$20))-SUM($P625:AD625)</f>
        <v>0</v>
      </c>
      <c r="AF625" s="446">
        <f>IF(OR($B625="",MIN(AF$38,$D$19)&lt;MAX($P$612*($B625+IF($R$17="Distrato",$I$38-1,0)),IF(AND($L$615=0,$P$612=0),"",$L$615-1),IF($R$17="Distrato",$E625,0))),0,YEARFRAC(MAX($P$612*($B625+IF($R$17="Distrato",$I$38-1,0)),IF(AND($L$615=0,$P$612=0),"",$L$615-1),IF($R$17="Distrato",$E625,0)),MIN(AF$38,$D$19),$P$20))-SUM($P625:AE625)</f>
        <v>0</v>
      </c>
      <c r="AG625" s="446">
        <f>IF(OR($B625="",MIN(AG$38,$D$19)&lt;MAX($P$612*($B625+IF($R$17="Distrato",$I$38-1,0)),IF(AND($L$615=0,$P$612=0),"",$L$615-1),IF($R$17="Distrato",$E625,0))),0,YEARFRAC(MAX($P$612*($B625+IF($R$17="Distrato",$I$38-1,0)),IF(AND($L$615=0,$P$612=0),"",$L$615-1),IF($R$17="Distrato",$E625,0)),MIN(AG$38,$D$19),$P$20))-SUM($P625:AF625)</f>
        <v>0</v>
      </c>
      <c r="AH625" s="446">
        <f>IF(OR($B625="",MIN(AH$38,$D$19)&lt;MAX($P$612*($B625+IF($R$17="Distrato",$I$38-1,0)),IF(AND($L$615=0,$P$612=0),"",$L$615-1),IF($R$17="Distrato",$E625,0))),0,YEARFRAC(MAX($P$612*($B625+IF($R$17="Distrato",$I$38-1,0)),IF(AND($L$615=0,$P$612=0),"",$L$615-1),IF($R$17="Distrato",$E625,0)),MIN(AH$38,$D$19),$P$20))-SUM($P625:AG625)</f>
        <v>0</v>
      </c>
      <c r="AI625" s="446">
        <f>IF(OR($B625="",MIN(AI$38,$D$19)&lt;MAX($P$612*($B625+IF($R$17="Distrato",$I$38-1,0)),IF(AND($L$615=0,$P$612=0),"",$L$615-1),IF($R$17="Distrato",$E625,0))),0,YEARFRAC(MAX($P$612*($B625+IF($R$17="Distrato",$I$38-1,0)),IF(AND($L$615=0,$P$612=0),"",$L$615-1),IF($R$17="Distrato",$E625,0)),MIN(AI$38,$D$19),$P$20))-SUM($P625:AH625)</f>
        <v>0</v>
      </c>
      <c r="AJ625" s="446">
        <f>IF(OR($B625="",MIN(AJ$38,$D$19)&lt;MAX($P$612*($B625+IF($R$17="Distrato",$I$38-1,0)),IF(AND($L$615=0,$P$612=0),"",$L$615-1),IF($R$17="Distrato",$E625,0))),0,YEARFRAC(MAX($P$612*($B625+IF($R$17="Distrato",$I$38-1,0)),IF(AND($L$615=0,$P$612=0),"",$L$615-1),IF($R$17="Distrato",$E625,0)),MIN(AJ$38,$D$19),$P$20))-SUM($P625:AI625)</f>
        <v>0</v>
      </c>
      <c r="AK625" s="446">
        <f>IF(OR($B625="",MIN(AK$38,$D$19)&lt;MAX($P$612*($B625+IF($R$17="Distrato",$I$38-1,0)),IF(AND($L$615=0,$P$612=0),"",$L$615-1),IF($R$17="Distrato",$E625,0))),0,YEARFRAC(MAX($P$612*($B625+IF($R$17="Distrato",$I$38-1,0)),IF(AND($L$615=0,$P$612=0),"",$L$615-1),IF($R$17="Distrato",$E625,0)),MIN(AK$38,$D$19),$P$20))-SUM($P625:AJ625)</f>
        <v>0</v>
      </c>
      <c r="AL625" s="446">
        <f>IF(OR($B625="",MIN(AL$38,$D$19)&lt;MAX($P$612*($B625+IF($R$17="Distrato",$I$38-1,0)),IF(AND($L$615=0,$P$612=0),"",$L$615-1),IF($R$17="Distrato",$E625,0))),0,YEARFRAC(MAX($P$612*($B625+IF($R$17="Distrato",$I$38-1,0)),IF(AND($L$615=0,$P$612=0),"",$L$615-1),IF($R$17="Distrato",$E625,0)),MIN(AL$38,$D$19),$P$20))-SUM($P625:AK625)</f>
        <v>0</v>
      </c>
      <c r="AM625" s="446">
        <f>IF(OR($B625="",MIN(AM$38,$D$19)&lt;MAX($P$612*($B625+IF($R$17="Distrato",$I$38-1,0)),IF(AND($L$615=0,$P$612=0),"",$L$615-1),IF($R$17="Distrato",$E625,0))),0,YEARFRAC(MAX($P$612*($B625+IF($R$17="Distrato",$I$38-1,0)),IF(AND($L$615=0,$P$612=0),"",$L$615-1),IF($R$17="Distrato",$E625,0)),MIN(AM$38,$D$19),$P$20))-SUM($P625:AL625)</f>
        <v>0</v>
      </c>
      <c r="AN625" s="446">
        <f>IF(OR($B625="",MIN(AN$38,$D$19)&lt;MAX($P$612*($B625+IF($R$17="Distrato",$I$38-1,0)),IF(AND($L$615=0,$P$612=0),"",$L$615-1),IF($R$17="Distrato",$E625,0))),0,YEARFRAC(MAX($P$612*($B625+IF($R$17="Distrato",$I$38-1,0)),IF(AND($L$615=0,$P$612=0),"",$L$615-1),IF($R$17="Distrato",$E625,0)),MIN(AN$38,$D$19),$P$20))-SUM($P625:AM625)</f>
        <v>0</v>
      </c>
      <c r="AO625" s="446">
        <f>IF(OR($B625="",MIN(AO$38,$D$19)&lt;MAX($P$612*($B625+IF($R$17="Distrato",$I$38-1,0)),IF(AND($L$615=0,$P$612=0),"",$L$615-1),IF($R$17="Distrato",$E625,0))),0,YEARFRAC(MAX($P$612*($B625+IF($R$17="Distrato",$I$38-1,0)),IF(AND($L$615=0,$P$612=0),"",$L$615-1),IF($R$17="Distrato",$E625,0)),MIN(AO$38,$D$19),$P$20))-SUM($P625:AN625)</f>
        <v>0</v>
      </c>
      <c r="AP625" s="446">
        <f>IF(OR($B625="",MIN(AP$38,$D$19)&lt;MAX($P$612*($B625+IF($R$17="Distrato",$I$38-1,0)),IF(AND($L$615=0,$P$612=0),"",$L$615-1),IF($R$17="Distrato",$E625,0))),0,YEARFRAC(MAX($P$612*($B625+IF($R$17="Distrato",$I$38-1,0)),IF(AND($L$615=0,$P$612=0),"",$L$615-1),IF($R$17="Distrato",$E625,0)),MIN(AP$38,$D$19),$P$20))-SUM($P625:AO625)</f>
        <v>0</v>
      </c>
      <c r="AQ625" s="446">
        <f>IF(OR($B625="",MIN(AQ$38,$D$19)&lt;MAX($P$612*($B625+IF($R$17="Distrato",$I$38-1,0)),IF(AND($L$615=0,$P$612=0),"",$L$615-1),IF($R$17="Distrato",$E625,0))),0,YEARFRAC(MAX($P$612*($B625+IF($R$17="Distrato",$I$38-1,0)),IF(AND($L$615=0,$P$612=0),"",$L$615-1),IF($R$17="Distrato",$E625,0)),MIN(AQ$38,$D$19),$P$20))-SUM($P625:AP625)</f>
        <v>0</v>
      </c>
      <c r="AR625" s="446">
        <f>IF(OR($B625="",MIN(AR$38,$D$19)&lt;MAX($P$612*($B625+IF($R$17="Distrato",$I$38-1,0)),IF(AND($L$615=0,$P$612=0),"",$L$615-1),IF($R$17="Distrato",$E625,0))),0,YEARFRAC(MAX($P$612*($B625+IF($R$17="Distrato",$I$38-1,0)),IF(AND($L$615=0,$P$612=0),"",$L$615-1),IF($R$17="Distrato",$E625,0)),MIN(AR$38,$D$19),$P$20))-SUM($P625:AQ625)</f>
        <v>0</v>
      </c>
      <c r="AS625" s="446">
        <f>IF(OR($B625="",MIN(AS$38,$D$19)&lt;MAX($P$612*($B625+IF($R$17="Distrato",$I$38-1,0)),IF(AND($L$615=0,$P$612=0),"",$L$615-1),IF($R$17="Distrato",$E625,0))),0,YEARFRAC(MAX($P$612*($B625+IF($R$17="Distrato",$I$38-1,0)),IF(AND($L$615=0,$P$612=0),"",$L$615-1),IF($R$17="Distrato",$E625,0)),MIN(AS$38,$D$19),$P$20))-SUM($P625:AR625)</f>
        <v>0</v>
      </c>
      <c r="AT625" s="446">
        <f>IF(OR($B625="",MIN(AT$38,$D$19)&lt;MAX($P$612*($B625+IF($R$17="Distrato",$I$38-1,0)),IF(AND($L$615=0,$P$612=0),"",$L$615-1),IF($R$17="Distrato",$E625,0))),0,YEARFRAC(MAX($P$612*($B625+IF($R$17="Distrato",$I$38-1,0)),IF(AND($L$615=0,$P$612=0),"",$L$615-1),IF($R$17="Distrato",$E625,0)),MIN(AT$38,$D$19),$P$20))-SUM($P625:AS625)</f>
        <v>0</v>
      </c>
      <c r="AU625" s="446">
        <f>IF(OR($B625="",MIN(AU$38,$D$19)&lt;MAX($P$612*($B625+IF($R$17="Distrato",$I$38-1,0)),IF(AND($L$615=0,$P$612=0),"",$L$615-1),IF($R$17="Distrato",$E625,0))),0,YEARFRAC(MAX($P$612*($B625+IF($R$17="Distrato",$I$38-1,0)),IF(AND($L$615=0,$P$612=0),"",$L$615-1),IF($R$17="Distrato",$E625,0)),MIN(AU$38,$D$19),$P$20))-SUM($P625:AT625)</f>
        <v>0</v>
      </c>
      <c r="AV625" s="446">
        <f>IF(OR($B625="",MIN(AV$38,$D$19)&lt;MAX($P$612*($B625+IF($R$17="Distrato",$I$38-1,0)),IF(AND($L$615=0,$P$612=0),"",$L$615-1),IF($R$17="Distrato",$E625,0))),0,YEARFRAC(MAX($P$612*($B625+IF($R$17="Distrato",$I$38-1,0)),IF(AND($L$615=0,$P$612=0),"",$L$615-1),IF($R$17="Distrato",$E625,0)),MIN(AV$38,$D$19),$P$20))-SUM($P625:AU625)</f>
        <v>0</v>
      </c>
      <c r="AW625" s="446">
        <f>IF(OR($B625="",MIN(AW$38,$D$19)&lt;MAX($P$612*($B625+IF($R$17="Distrato",$I$38-1,0)),IF(AND($L$615=0,$P$612=0),"",$L$615-1),IF($R$17="Distrato",$E625,0))),0,YEARFRAC(MAX($P$612*($B625+IF($R$17="Distrato",$I$38-1,0)),IF(AND($L$615=0,$P$612=0),"",$L$615-1),IF($R$17="Distrato",$E625,0)),MIN(AW$38,$D$19),$P$20))-SUM($P625:AV625)</f>
        <v>0</v>
      </c>
      <c r="AX625" s="446">
        <f>IF(OR($B625="",MIN(AX$38,$D$19)&lt;MAX($P$612*($B625+IF($R$17="Distrato",$I$38-1,0)),IF(AND($L$615=0,$P$612=0),"",$L$615-1),IF($R$17="Distrato",$E625,0))),0,YEARFRAC(MAX($P$612*($B625+IF($R$17="Distrato",$I$38-1,0)),IF(AND($L$615=0,$P$612=0),"",$L$615-1),IF($R$17="Distrato",$E625,0)),MIN(AX$38,$D$19),$P$20))-SUM($P625:AW625)</f>
        <v>0</v>
      </c>
      <c r="AY625" s="446">
        <f>IF(OR($B625="",MIN(AY$38,$D$19)&lt;MAX($P$612*($B625+IF($R$17="Distrato",$I$38-1,0)),IF(AND($L$615=0,$P$612=0),"",$L$615-1),IF($R$17="Distrato",$E625,0))),0,YEARFRAC(MAX($P$612*($B625+IF($R$17="Distrato",$I$38-1,0)),IF(AND($L$615=0,$P$612=0),"",$L$615-1),IF($R$17="Distrato",$E625,0)),MIN(AY$38,$D$19),$P$20))-SUM($P625:AX625)</f>
        <v>0</v>
      </c>
      <c r="AZ625" s="446">
        <f>IF(OR($B625="",MIN(AZ$38,$D$19)&lt;MAX($P$612*($B625+IF($R$17="Distrato",$I$38-1,0)),IF(AND($L$615=0,$P$612=0),"",$L$615-1),IF($R$17="Distrato",$E625,0))),0,YEARFRAC(MAX($P$612*($B625+IF($R$17="Distrato",$I$38-1,0)),IF(AND($L$615=0,$P$612=0),"",$L$615-1),IF($R$17="Distrato",$E625,0)),MIN(AZ$38,$D$19),$P$20))-SUM($P625:AY625)</f>
        <v>0</v>
      </c>
      <c r="BA625" s="446">
        <f>IF(OR($B625="",MIN(BA$38,$D$19)&lt;MAX($P$612*($B625+IF($R$17="Distrato",$I$38-1,0)),IF(AND($L$615=0,$P$612=0),"",$L$615-1),IF($R$17="Distrato",$E625,0))),0,YEARFRAC(MAX($P$612*($B625+IF($R$17="Distrato",$I$38-1,0)),IF(AND($L$615=0,$P$612=0),"",$L$615-1),IF($R$17="Distrato",$E625,0)),MIN(BA$38,$D$19),$P$20))-SUM($P625:AZ625)</f>
        <v>0</v>
      </c>
      <c r="BB625" s="447"/>
    </row>
    <row r="626" spans="1:54" s="446" customFormat="1" ht="11.25" hidden="1" x14ac:dyDescent="0.2">
      <c r="A626" s="177"/>
      <c r="B626" s="178"/>
      <c r="C626" s="29" t="str">
        <f>IF(B626="","",IF($L$613="SELIC - TRIBUTOS",VLOOKUP(DATE(YEAR($D$19),MONTH($D$19)-1,1),ÍNDICES!$A:$DE,HLOOKUP($BL$25,ÍNDICES!$B$3:$T$4,2)+11)-VLOOKUP(B626,ÍNDICES!$A:$DE,HLOOKUP($BL$25,ÍNDICES!$B$3:$T$4,2)+11)+1%,IF(C$616=$W$26,$J$613,IF(ISERROR(IF(B626&gt;$D$19,1,VLOOKUP(DATE(YEAR(B626),MONTH(B626)+IF($C$613=$S$23,1,0),1),ÍNDICES!$A:$DE,$Z$613+1))),"",IF(B626&gt;$D$19,1,VLOOKUP(DATE(YEAR(B626),MONTH(B626)+IF($C$613=$S$23,1,0),1),ÍNDICES!$A:$DE,$Z$613+1))))))</f>
        <v/>
      </c>
      <c r="D626" s="155"/>
      <c r="E626" s="179"/>
      <c r="F626" s="29"/>
      <c r="G626" s="180"/>
      <c r="H626" s="181"/>
      <c r="I626" s="182" t="str">
        <f t="shared" si="107"/>
        <v/>
      </c>
      <c r="J626" s="5" t="str">
        <f t="shared" si="108"/>
        <v/>
      </c>
      <c r="K626" s="5">
        <f t="shared" ca="1" si="109"/>
        <v>0</v>
      </c>
      <c r="L626" s="5">
        <f t="shared" ca="1" si="104"/>
        <v>0</v>
      </c>
      <c r="M626" s="64">
        <f t="shared" si="110"/>
        <v>0</v>
      </c>
      <c r="N626" s="61">
        <f t="shared" ca="1" si="105"/>
        <v>0</v>
      </c>
      <c r="O626" s="20">
        <f t="shared" ca="1" si="106"/>
        <v>0</v>
      </c>
      <c r="P626" s="446">
        <f t="shared" si="111"/>
        <v>0</v>
      </c>
      <c r="Q626" s="446">
        <f>IF(OR($B626="",MIN(Q$38,$D$19)&lt;MAX($P$612*($B626+IF($R$17="Distrato",$I$38-1,0)),IF(AND($L$615=0,$P$612=0),"",$L$615-1),IF($R$17="Distrato",$E626,0))),0,YEARFRAC(MAX($P$612*($B626+IF($R$17="Distrato",$I$38-1,0)),IF(AND($L$615=0,$P$612=0),"",$L$615-1),IF($R$17="Distrato",$E626,0)),MIN(Q$38,$D$19),$P$20))-SUM($P626:P626)</f>
        <v>0</v>
      </c>
      <c r="R626" s="446">
        <f>IF(OR($B626="",MIN(R$38,$D$19)&lt;MAX($P$612*($B626+IF($R$17="Distrato",$I$38-1,0)),IF(AND($L$615=0,$P$612=0),"",$L$615-1),IF($R$17="Distrato",$E626,0))),0,YEARFRAC(MAX($P$612*($B626+IF($R$17="Distrato",$I$38-1,0)),IF(AND($L$615=0,$P$612=0),"",$L$615-1),IF($R$17="Distrato",$E626,0)),MIN(R$38,$D$19),$P$20))-SUM($P626:Q626)</f>
        <v>0</v>
      </c>
      <c r="S626" s="446">
        <f>IF(OR($B626="",MIN(S$38,$D$19)&lt;MAX($P$612*($B626+IF($R$17="Distrato",$I$38-1,0)),IF(AND($L$615=0,$P$612=0),"",$L$615-1),IF($R$17="Distrato",$E626,0))),0,YEARFRAC(MAX($P$612*($B626+IF($R$17="Distrato",$I$38-1,0)),IF(AND($L$615=0,$P$612=0),"",$L$615-1),IF($R$17="Distrato",$E626,0)),MIN(S$38,$D$19),$P$20))-SUM($P626:R626)</f>
        <v>0</v>
      </c>
      <c r="T626" s="446">
        <f>IF(OR($B626="",MIN(T$38,$D$19)&lt;MAX($P$612*($B626+IF($R$17="Distrato",$I$38-1,0)),IF(AND($L$615=0,$P$612=0),"",$L$615-1),IF($R$17="Distrato",$E626,0))),0,YEARFRAC(MAX($P$612*($B626+IF($R$17="Distrato",$I$38-1,0)),IF(AND($L$615=0,$P$612=0),"",$L$615-1),IF($R$17="Distrato",$E626,0)),MIN(T$38,$D$19),$P$20))-SUM($P626:S626)</f>
        <v>0</v>
      </c>
      <c r="U626" s="446">
        <f>IF(OR($B626="",MIN(U$38,$D$19)&lt;MAX($P$612*($B626+IF($R$17="Distrato",$I$38-1,0)),IF(AND($L$615=0,$P$612=0),"",$L$615-1),IF($R$17="Distrato",$E626,0))),0,YEARFRAC(MAX($P$612*($B626+IF($R$17="Distrato",$I$38-1,0)),IF(AND($L$615=0,$P$612=0),"",$L$615-1),IF($R$17="Distrato",$E626,0)),MIN(U$38,$D$19),$P$20))-SUM($P626:T626)</f>
        <v>0</v>
      </c>
      <c r="V626" s="446">
        <f>IF(OR($B626="",MIN(V$38,$D$19)&lt;MAX($P$612*($B626+IF($R$17="Distrato",$I$38-1,0)),IF(AND($L$615=0,$P$612=0),"",$L$615-1),IF($R$17="Distrato",$E626,0))),0,YEARFRAC(MAX($P$612*($B626+IF($R$17="Distrato",$I$38-1,0)),IF(AND($L$615=0,$P$612=0),"",$L$615-1),IF($R$17="Distrato",$E626,0)),MIN(V$38,$D$19),$P$20))-SUM($P626:U626)</f>
        <v>0</v>
      </c>
      <c r="W626" s="446">
        <f>IF(OR($B626="",MIN(W$38,$D$19)&lt;MAX($P$612*($B626+IF($R$17="Distrato",$I$38-1,0)),IF(AND($L$615=0,$P$612=0),"",$L$615-1),IF($R$17="Distrato",$E626,0))),0,YEARFRAC(MAX($P$612*($B626+IF($R$17="Distrato",$I$38-1,0)),IF(AND($L$615=0,$P$612=0),"",$L$615-1),IF($R$17="Distrato",$E626,0)),MIN(W$38,$D$19),$P$20))-SUM($P626:V626)</f>
        <v>0</v>
      </c>
      <c r="X626" s="446">
        <f>IF(OR($B626="",MIN(X$38,$D$19)&lt;MAX($P$612*($B626+IF($R$17="Distrato",$I$38-1,0)),IF(AND($L$615=0,$P$612=0),"",$L$615-1),IF($R$17="Distrato",$E626,0))),0,YEARFRAC(MAX($P$612*($B626+IF($R$17="Distrato",$I$38-1,0)),IF(AND($L$615=0,$P$612=0),"",$L$615-1),IF($R$17="Distrato",$E626,0)),MIN(X$38,$D$19),$P$20))-SUM($P626:W626)</f>
        <v>0</v>
      </c>
      <c r="Y626" s="446">
        <f>IF(OR($B626="",MIN(Y$38,$D$19)&lt;MAX($P$612*($B626+IF($R$17="Distrato",$I$38-1,0)),IF(AND($L$615=0,$P$612=0),"",$L$615-1),IF($R$17="Distrato",$E626,0))),0,YEARFRAC(MAX($P$612*($B626+IF($R$17="Distrato",$I$38-1,0)),IF(AND($L$615=0,$P$612=0),"",$L$615-1),IF($R$17="Distrato",$E626,0)),MIN(Y$38,$D$19),$P$20))-SUM($P626:X626)</f>
        <v>0</v>
      </c>
      <c r="Z626" s="446">
        <f>IF(OR($B626="",MIN(Z$38,$D$19)&lt;MAX($P$612*($B626+IF($R$17="Distrato",$I$38-1,0)),IF(AND($L$615=0,$P$612=0),"",$L$615-1),IF($R$17="Distrato",$E626,0))),0,YEARFRAC(MAX($P$612*($B626+IF($R$17="Distrato",$I$38-1,0)),IF(AND($L$615=0,$P$612=0),"",$L$615-1),IF($R$17="Distrato",$E626,0)),MIN(Z$38,$D$19),$P$20))-SUM($P626:Y626)</f>
        <v>0</v>
      </c>
      <c r="AA626" s="446">
        <f>IF(OR($B626="",MIN(AA$38,$D$19)&lt;MAX($P$612*($B626+IF($R$17="Distrato",$I$38-1,0)),IF(AND($L$615=0,$P$612=0),"",$L$615-1),IF($R$17="Distrato",$E626,0))),0,YEARFRAC(MAX($P$612*($B626+IF($R$17="Distrato",$I$38-1,0)),IF(AND($L$615=0,$P$612=0),"",$L$615-1),IF($R$17="Distrato",$E626,0)),MIN(AA$38,$D$19),$P$20))-SUM($P626:Z626)</f>
        <v>0</v>
      </c>
      <c r="AB626" s="446">
        <f>IF(OR($B626="",MIN(AB$38,$D$19)&lt;MAX($P$612*($B626+IF($R$17="Distrato",$I$38-1,0)),IF(AND($L$615=0,$P$612=0),"",$L$615-1),IF($R$17="Distrato",$E626,0))),0,YEARFRAC(MAX($P$612*($B626+IF($R$17="Distrato",$I$38-1,0)),IF(AND($L$615=0,$P$612=0),"",$L$615-1),IF($R$17="Distrato",$E626,0)),MIN(AB$38,$D$19),$P$20))-SUM($P626:AA626)</f>
        <v>0</v>
      </c>
      <c r="AC626" s="446">
        <f>IF(OR($B626="",MIN(AC$38,$D$19)&lt;MAX($P$612*($B626+IF($R$17="Distrato",$I$38-1,0)),IF(AND($L$615=0,$P$612=0),"",$L$615-1),IF($R$17="Distrato",$E626,0))),0,YEARFRAC(MAX($P$612*($B626+IF($R$17="Distrato",$I$38-1,0)),IF(AND($L$615=0,$P$612=0),"",$L$615-1),IF($R$17="Distrato",$E626,0)),MIN(AC$38,$D$19),$P$20))-SUM($P626:AB626)</f>
        <v>0</v>
      </c>
      <c r="AD626" s="446">
        <f>IF(OR($B626="",MIN(AD$38,$D$19)&lt;MAX($P$612*($B626+IF($R$17="Distrato",$I$38-1,0)),IF(AND($L$615=0,$P$612=0),"",$L$615-1),IF($R$17="Distrato",$E626,0))),0,YEARFRAC(MAX($P$612*($B626+IF($R$17="Distrato",$I$38-1,0)),IF(AND($L$615=0,$P$612=0),"",$L$615-1),IF($R$17="Distrato",$E626,0)),MIN(AD$38,$D$19),$P$20))-SUM($P626:AC626)</f>
        <v>0</v>
      </c>
      <c r="AE626" s="446">
        <f>IF(OR($B626="",MIN(AE$38,$D$19)&lt;MAX($P$612*($B626+IF($R$17="Distrato",$I$38-1,0)),IF(AND($L$615=0,$P$612=0),"",$L$615-1),IF($R$17="Distrato",$E626,0))),0,YEARFRAC(MAX($P$612*($B626+IF($R$17="Distrato",$I$38-1,0)),IF(AND($L$615=0,$P$612=0),"",$L$615-1),IF($R$17="Distrato",$E626,0)),MIN(AE$38,$D$19),$P$20))-SUM($P626:AD626)</f>
        <v>0</v>
      </c>
      <c r="AF626" s="446">
        <f>IF(OR($B626="",MIN(AF$38,$D$19)&lt;MAX($P$612*($B626+IF($R$17="Distrato",$I$38-1,0)),IF(AND($L$615=0,$P$612=0),"",$L$615-1),IF($R$17="Distrato",$E626,0))),0,YEARFRAC(MAX($P$612*($B626+IF($R$17="Distrato",$I$38-1,0)),IF(AND($L$615=0,$P$612=0),"",$L$615-1),IF($R$17="Distrato",$E626,0)),MIN(AF$38,$D$19),$P$20))-SUM($P626:AE626)</f>
        <v>0</v>
      </c>
      <c r="AG626" s="446">
        <f>IF(OR($B626="",MIN(AG$38,$D$19)&lt;MAX($P$612*($B626+IF($R$17="Distrato",$I$38-1,0)),IF(AND($L$615=0,$P$612=0),"",$L$615-1),IF($R$17="Distrato",$E626,0))),0,YEARFRAC(MAX($P$612*($B626+IF($R$17="Distrato",$I$38-1,0)),IF(AND($L$615=0,$P$612=0),"",$L$615-1),IF($R$17="Distrato",$E626,0)),MIN(AG$38,$D$19),$P$20))-SUM($P626:AF626)</f>
        <v>0</v>
      </c>
      <c r="AH626" s="446">
        <f>IF(OR($B626="",MIN(AH$38,$D$19)&lt;MAX($P$612*($B626+IF($R$17="Distrato",$I$38-1,0)),IF(AND($L$615=0,$P$612=0),"",$L$615-1),IF($R$17="Distrato",$E626,0))),0,YEARFRAC(MAX($P$612*($B626+IF($R$17="Distrato",$I$38-1,0)),IF(AND($L$615=0,$P$612=0),"",$L$615-1),IF($R$17="Distrato",$E626,0)),MIN(AH$38,$D$19),$P$20))-SUM($P626:AG626)</f>
        <v>0</v>
      </c>
      <c r="AI626" s="446">
        <f>IF(OR($B626="",MIN(AI$38,$D$19)&lt;MAX($P$612*($B626+IF($R$17="Distrato",$I$38-1,0)),IF(AND($L$615=0,$P$612=0),"",$L$615-1),IF($R$17="Distrato",$E626,0))),0,YEARFRAC(MAX($P$612*($B626+IF($R$17="Distrato",$I$38-1,0)),IF(AND($L$615=0,$P$612=0),"",$L$615-1),IF($R$17="Distrato",$E626,0)),MIN(AI$38,$D$19),$P$20))-SUM($P626:AH626)</f>
        <v>0</v>
      </c>
      <c r="AJ626" s="446">
        <f>IF(OR($B626="",MIN(AJ$38,$D$19)&lt;MAX($P$612*($B626+IF($R$17="Distrato",$I$38-1,0)),IF(AND($L$615=0,$P$612=0),"",$L$615-1),IF($R$17="Distrato",$E626,0))),0,YEARFRAC(MAX($P$612*($B626+IF($R$17="Distrato",$I$38-1,0)),IF(AND($L$615=0,$P$612=0),"",$L$615-1),IF($R$17="Distrato",$E626,0)),MIN(AJ$38,$D$19),$P$20))-SUM($P626:AI626)</f>
        <v>0</v>
      </c>
      <c r="AK626" s="446">
        <f>IF(OR($B626="",MIN(AK$38,$D$19)&lt;MAX($P$612*($B626+IF($R$17="Distrato",$I$38-1,0)),IF(AND($L$615=0,$P$612=0),"",$L$615-1),IF($R$17="Distrato",$E626,0))),0,YEARFRAC(MAX($P$612*($B626+IF($R$17="Distrato",$I$38-1,0)),IF(AND($L$615=0,$P$612=0),"",$L$615-1),IF($R$17="Distrato",$E626,0)),MIN(AK$38,$D$19),$P$20))-SUM($P626:AJ626)</f>
        <v>0</v>
      </c>
      <c r="AL626" s="446">
        <f>IF(OR($B626="",MIN(AL$38,$D$19)&lt;MAX($P$612*($B626+IF($R$17="Distrato",$I$38-1,0)),IF(AND($L$615=0,$P$612=0),"",$L$615-1),IF($R$17="Distrato",$E626,0))),0,YEARFRAC(MAX($P$612*($B626+IF($R$17="Distrato",$I$38-1,0)),IF(AND($L$615=0,$P$612=0),"",$L$615-1),IF($R$17="Distrato",$E626,0)),MIN(AL$38,$D$19),$P$20))-SUM($P626:AK626)</f>
        <v>0</v>
      </c>
      <c r="AM626" s="446">
        <f>IF(OR($B626="",MIN(AM$38,$D$19)&lt;MAX($P$612*($B626+IF($R$17="Distrato",$I$38-1,0)),IF(AND($L$615=0,$P$612=0),"",$L$615-1),IF($R$17="Distrato",$E626,0))),0,YEARFRAC(MAX($P$612*($B626+IF($R$17="Distrato",$I$38-1,0)),IF(AND($L$615=0,$P$612=0),"",$L$615-1),IF($R$17="Distrato",$E626,0)),MIN(AM$38,$D$19),$P$20))-SUM($P626:AL626)</f>
        <v>0</v>
      </c>
      <c r="AN626" s="446">
        <f>IF(OR($B626="",MIN(AN$38,$D$19)&lt;MAX($P$612*($B626+IF($R$17="Distrato",$I$38-1,0)),IF(AND($L$615=0,$P$612=0),"",$L$615-1),IF($R$17="Distrato",$E626,0))),0,YEARFRAC(MAX($P$612*($B626+IF($R$17="Distrato",$I$38-1,0)),IF(AND($L$615=0,$P$612=0),"",$L$615-1),IF($R$17="Distrato",$E626,0)),MIN(AN$38,$D$19),$P$20))-SUM($P626:AM626)</f>
        <v>0</v>
      </c>
      <c r="AO626" s="446">
        <f>IF(OR($B626="",MIN(AO$38,$D$19)&lt;MAX($P$612*($B626+IF($R$17="Distrato",$I$38-1,0)),IF(AND($L$615=0,$P$612=0),"",$L$615-1),IF($R$17="Distrato",$E626,0))),0,YEARFRAC(MAX($P$612*($B626+IF($R$17="Distrato",$I$38-1,0)),IF(AND($L$615=0,$P$612=0),"",$L$615-1),IF($R$17="Distrato",$E626,0)),MIN(AO$38,$D$19),$P$20))-SUM($P626:AN626)</f>
        <v>0</v>
      </c>
      <c r="AP626" s="446">
        <f>IF(OR($B626="",MIN(AP$38,$D$19)&lt;MAX($P$612*($B626+IF($R$17="Distrato",$I$38-1,0)),IF(AND($L$615=0,$P$612=0),"",$L$615-1),IF($R$17="Distrato",$E626,0))),0,YEARFRAC(MAX($P$612*($B626+IF($R$17="Distrato",$I$38-1,0)),IF(AND($L$615=0,$P$612=0),"",$L$615-1),IF($R$17="Distrato",$E626,0)),MIN(AP$38,$D$19),$P$20))-SUM($P626:AO626)</f>
        <v>0</v>
      </c>
      <c r="AQ626" s="446">
        <f>IF(OR($B626="",MIN(AQ$38,$D$19)&lt;MAX($P$612*($B626+IF($R$17="Distrato",$I$38-1,0)),IF(AND($L$615=0,$P$612=0),"",$L$615-1),IF($R$17="Distrato",$E626,0))),0,YEARFRAC(MAX($P$612*($B626+IF($R$17="Distrato",$I$38-1,0)),IF(AND($L$615=0,$P$612=0),"",$L$615-1),IF($R$17="Distrato",$E626,0)),MIN(AQ$38,$D$19),$P$20))-SUM($P626:AP626)</f>
        <v>0</v>
      </c>
      <c r="AR626" s="446">
        <f>IF(OR($B626="",MIN(AR$38,$D$19)&lt;MAX($P$612*($B626+IF($R$17="Distrato",$I$38-1,0)),IF(AND($L$615=0,$P$612=0),"",$L$615-1),IF($R$17="Distrato",$E626,0))),0,YEARFRAC(MAX($P$612*($B626+IF($R$17="Distrato",$I$38-1,0)),IF(AND($L$615=0,$P$612=0),"",$L$615-1),IF($R$17="Distrato",$E626,0)),MIN(AR$38,$D$19),$P$20))-SUM($P626:AQ626)</f>
        <v>0</v>
      </c>
      <c r="AS626" s="446">
        <f>IF(OR($B626="",MIN(AS$38,$D$19)&lt;MAX($P$612*($B626+IF($R$17="Distrato",$I$38-1,0)),IF(AND($L$615=0,$P$612=0),"",$L$615-1),IF($R$17="Distrato",$E626,0))),0,YEARFRAC(MAX($P$612*($B626+IF($R$17="Distrato",$I$38-1,0)),IF(AND($L$615=0,$P$612=0),"",$L$615-1),IF($R$17="Distrato",$E626,0)),MIN(AS$38,$D$19),$P$20))-SUM($P626:AR626)</f>
        <v>0</v>
      </c>
      <c r="AT626" s="446">
        <f>IF(OR($B626="",MIN(AT$38,$D$19)&lt;MAX($P$612*($B626+IF($R$17="Distrato",$I$38-1,0)),IF(AND($L$615=0,$P$612=0),"",$L$615-1),IF($R$17="Distrato",$E626,0))),0,YEARFRAC(MAX($P$612*($B626+IF($R$17="Distrato",$I$38-1,0)),IF(AND($L$615=0,$P$612=0),"",$L$615-1),IF($R$17="Distrato",$E626,0)),MIN(AT$38,$D$19),$P$20))-SUM($P626:AS626)</f>
        <v>0</v>
      </c>
      <c r="AU626" s="446">
        <f>IF(OR($B626="",MIN(AU$38,$D$19)&lt;MAX($P$612*($B626+IF($R$17="Distrato",$I$38-1,0)),IF(AND($L$615=0,$P$612=0),"",$L$615-1),IF($R$17="Distrato",$E626,0))),0,YEARFRAC(MAX($P$612*($B626+IF($R$17="Distrato",$I$38-1,0)),IF(AND($L$615=0,$P$612=0),"",$L$615-1),IF($R$17="Distrato",$E626,0)),MIN(AU$38,$D$19),$P$20))-SUM($P626:AT626)</f>
        <v>0</v>
      </c>
      <c r="AV626" s="446">
        <f>IF(OR($B626="",MIN(AV$38,$D$19)&lt;MAX($P$612*($B626+IF($R$17="Distrato",$I$38-1,0)),IF(AND($L$615=0,$P$612=0),"",$L$615-1),IF($R$17="Distrato",$E626,0))),0,YEARFRAC(MAX($P$612*($B626+IF($R$17="Distrato",$I$38-1,0)),IF(AND($L$615=0,$P$612=0),"",$L$615-1),IF($R$17="Distrato",$E626,0)),MIN(AV$38,$D$19),$P$20))-SUM($P626:AU626)</f>
        <v>0</v>
      </c>
      <c r="AW626" s="446">
        <f>IF(OR($B626="",MIN(AW$38,$D$19)&lt;MAX($P$612*($B626+IF($R$17="Distrato",$I$38-1,0)),IF(AND($L$615=0,$P$612=0),"",$L$615-1),IF($R$17="Distrato",$E626,0))),0,YEARFRAC(MAX($P$612*($B626+IF($R$17="Distrato",$I$38-1,0)),IF(AND($L$615=0,$P$612=0),"",$L$615-1),IF($R$17="Distrato",$E626,0)),MIN(AW$38,$D$19),$P$20))-SUM($P626:AV626)</f>
        <v>0</v>
      </c>
      <c r="AX626" s="446">
        <f>IF(OR($B626="",MIN(AX$38,$D$19)&lt;MAX($P$612*($B626+IF($R$17="Distrato",$I$38-1,0)),IF(AND($L$615=0,$P$612=0),"",$L$615-1),IF($R$17="Distrato",$E626,0))),0,YEARFRAC(MAX($P$612*($B626+IF($R$17="Distrato",$I$38-1,0)),IF(AND($L$615=0,$P$612=0),"",$L$615-1),IF($R$17="Distrato",$E626,0)),MIN(AX$38,$D$19),$P$20))-SUM($P626:AW626)</f>
        <v>0</v>
      </c>
      <c r="AY626" s="446">
        <f>IF(OR($B626="",MIN(AY$38,$D$19)&lt;MAX($P$612*($B626+IF($R$17="Distrato",$I$38-1,0)),IF(AND($L$615=0,$P$612=0),"",$L$615-1),IF($R$17="Distrato",$E626,0))),0,YEARFRAC(MAX($P$612*($B626+IF($R$17="Distrato",$I$38-1,0)),IF(AND($L$615=0,$P$612=0),"",$L$615-1),IF($R$17="Distrato",$E626,0)),MIN(AY$38,$D$19),$P$20))-SUM($P626:AX626)</f>
        <v>0</v>
      </c>
      <c r="AZ626" s="446">
        <f>IF(OR($B626="",MIN(AZ$38,$D$19)&lt;MAX($P$612*($B626+IF($R$17="Distrato",$I$38-1,0)),IF(AND($L$615=0,$P$612=0),"",$L$615-1),IF($R$17="Distrato",$E626,0))),0,YEARFRAC(MAX($P$612*($B626+IF($R$17="Distrato",$I$38-1,0)),IF(AND($L$615=0,$P$612=0),"",$L$615-1),IF($R$17="Distrato",$E626,0)),MIN(AZ$38,$D$19),$P$20))-SUM($P626:AY626)</f>
        <v>0</v>
      </c>
      <c r="BA626" s="446">
        <f>IF(OR($B626="",MIN(BA$38,$D$19)&lt;MAX($P$612*($B626+IF($R$17="Distrato",$I$38-1,0)),IF(AND($L$615=0,$P$612=0),"",$L$615-1),IF($R$17="Distrato",$E626,0))),0,YEARFRAC(MAX($P$612*($B626+IF($R$17="Distrato",$I$38-1,0)),IF(AND($L$615=0,$P$612=0),"",$L$615-1),IF($R$17="Distrato",$E626,0)),MIN(BA$38,$D$19),$P$20))-SUM($P626:AZ626)</f>
        <v>0</v>
      </c>
      <c r="BB626" s="447"/>
    </row>
    <row r="627" spans="1:54" s="446" customFormat="1" ht="11.25" hidden="1" x14ac:dyDescent="0.2">
      <c r="A627" s="177"/>
      <c r="B627" s="178"/>
      <c r="C627" s="29" t="str">
        <f>IF(B627="","",IF($L$613="SELIC - TRIBUTOS",VLOOKUP(DATE(YEAR($D$19),MONTH($D$19)-1,1),ÍNDICES!$A:$DE,HLOOKUP($BL$25,ÍNDICES!$B$3:$T$4,2)+11)-VLOOKUP(B627,ÍNDICES!$A:$DE,HLOOKUP($BL$25,ÍNDICES!$B$3:$T$4,2)+11)+1%,IF(C$616=$W$26,$J$613,IF(ISERROR(IF(B627&gt;$D$19,1,VLOOKUP(DATE(YEAR(B627),MONTH(B627)+IF($C$613=$S$23,1,0),1),ÍNDICES!$A:$DE,$Z$613+1))),"",IF(B627&gt;$D$19,1,VLOOKUP(DATE(YEAR(B627),MONTH(B627)+IF($C$613=$S$23,1,0),1),ÍNDICES!$A:$DE,$Z$613+1))))))</f>
        <v/>
      </c>
      <c r="D627" s="155"/>
      <c r="E627" s="179"/>
      <c r="F627" s="29"/>
      <c r="G627" s="180"/>
      <c r="H627" s="181"/>
      <c r="I627" s="182" t="str">
        <f t="shared" si="107"/>
        <v/>
      </c>
      <c r="J627" s="5" t="str">
        <f t="shared" si="108"/>
        <v/>
      </c>
      <c r="K627" s="5">
        <f t="shared" ca="1" si="109"/>
        <v>0</v>
      </c>
      <c r="L627" s="5">
        <f t="shared" ca="1" si="104"/>
        <v>0</v>
      </c>
      <c r="M627" s="64">
        <f t="shared" si="110"/>
        <v>0</v>
      </c>
      <c r="N627" s="61">
        <f t="shared" ca="1" si="105"/>
        <v>0</v>
      </c>
      <c r="O627" s="20">
        <f t="shared" ca="1" si="106"/>
        <v>0</v>
      </c>
      <c r="P627" s="446">
        <f t="shared" si="111"/>
        <v>0</v>
      </c>
      <c r="Q627" s="446">
        <f>IF(OR($B627="",MIN(Q$38,$D$19)&lt;MAX($P$612*($B627+IF($R$17="Distrato",$I$38-1,0)),IF(AND($L$615=0,$P$612=0),"",$L$615-1),IF($R$17="Distrato",$E627,0))),0,YEARFRAC(MAX($P$612*($B627+IF($R$17="Distrato",$I$38-1,0)),IF(AND($L$615=0,$P$612=0),"",$L$615-1),IF($R$17="Distrato",$E627,0)),MIN(Q$38,$D$19),$P$20))-SUM($P627:P627)</f>
        <v>0</v>
      </c>
      <c r="R627" s="446">
        <f>IF(OR($B627="",MIN(R$38,$D$19)&lt;MAX($P$612*($B627+IF($R$17="Distrato",$I$38-1,0)),IF(AND($L$615=0,$P$612=0),"",$L$615-1),IF($R$17="Distrato",$E627,0))),0,YEARFRAC(MAX($P$612*($B627+IF($R$17="Distrato",$I$38-1,0)),IF(AND($L$615=0,$P$612=0),"",$L$615-1),IF($R$17="Distrato",$E627,0)),MIN(R$38,$D$19),$P$20))-SUM($P627:Q627)</f>
        <v>0</v>
      </c>
      <c r="S627" s="446">
        <f>IF(OR($B627="",MIN(S$38,$D$19)&lt;MAX($P$612*($B627+IF($R$17="Distrato",$I$38-1,0)),IF(AND($L$615=0,$P$612=0),"",$L$615-1),IF($R$17="Distrato",$E627,0))),0,YEARFRAC(MAX($P$612*($B627+IF($R$17="Distrato",$I$38-1,0)),IF(AND($L$615=0,$P$612=0),"",$L$615-1),IF($R$17="Distrato",$E627,0)),MIN(S$38,$D$19),$P$20))-SUM($P627:R627)</f>
        <v>0</v>
      </c>
      <c r="T627" s="446">
        <f>IF(OR($B627="",MIN(T$38,$D$19)&lt;MAX($P$612*($B627+IF($R$17="Distrato",$I$38-1,0)),IF(AND($L$615=0,$P$612=0),"",$L$615-1),IF($R$17="Distrato",$E627,0))),0,YEARFRAC(MAX($P$612*($B627+IF($R$17="Distrato",$I$38-1,0)),IF(AND($L$615=0,$P$612=0),"",$L$615-1),IF($R$17="Distrato",$E627,0)),MIN(T$38,$D$19),$P$20))-SUM($P627:S627)</f>
        <v>0</v>
      </c>
      <c r="U627" s="446">
        <f>IF(OR($B627="",MIN(U$38,$D$19)&lt;MAX($P$612*($B627+IF($R$17="Distrato",$I$38-1,0)),IF(AND($L$615=0,$P$612=0),"",$L$615-1),IF($R$17="Distrato",$E627,0))),0,YEARFRAC(MAX($P$612*($B627+IF($R$17="Distrato",$I$38-1,0)),IF(AND($L$615=0,$P$612=0),"",$L$615-1),IF($R$17="Distrato",$E627,0)),MIN(U$38,$D$19),$P$20))-SUM($P627:T627)</f>
        <v>0</v>
      </c>
      <c r="V627" s="446">
        <f>IF(OR($B627="",MIN(V$38,$D$19)&lt;MAX($P$612*($B627+IF($R$17="Distrato",$I$38-1,0)),IF(AND($L$615=0,$P$612=0),"",$L$615-1),IF($R$17="Distrato",$E627,0))),0,YEARFRAC(MAX($P$612*($B627+IF($R$17="Distrato",$I$38-1,0)),IF(AND($L$615=0,$P$612=0),"",$L$615-1),IF($R$17="Distrato",$E627,0)),MIN(V$38,$D$19),$P$20))-SUM($P627:U627)</f>
        <v>0</v>
      </c>
      <c r="W627" s="446">
        <f>IF(OR($B627="",MIN(W$38,$D$19)&lt;MAX($P$612*($B627+IF($R$17="Distrato",$I$38-1,0)),IF(AND($L$615=0,$P$612=0),"",$L$615-1),IF($R$17="Distrato",$E627,0))),0,YEARFRAC(MAX($P$612*($B627+IF($R$17="Distrato",$I$38-1,0)),IF(AND($L$615=0,$P$612=0),"",$L$615-1),IF($R$17="Distrato",$E627,0)),MIN(W$38,$D$19),$P$20))-SUM($P627:V627)</f>
        <v>0</v>
      </c>
      <c r="X627" s="446">
        <f>IF(OR($B627="",MIN(X$38,$D$19)&lt;MAX($P$612*($B627+IF($R$17="Distrato",$I$38-1,0)),IF(AND($L$615=0,$P$612=0),"",$L$615-1),IF($R$17="Distrato",$E627,0))),0,YEARFRAC(MAX($P$612*($B627+IF($R$17="Distrato",$I$38-1,0)),IF(AND($L$615=0,$P$612=0),"",$L$615-1),IF($R$17="Distrato",$E627,0)),MIN(X$38,$D$19),$P$20))-SUM($P627:W627)</f>
        <v>0</v>
      </c>
      <c r="Y627" s="446">
        <f>IF(OR($B627="",MIN(Y$38,$D$19)&lt;MAX($P$612*($B627+IF($R$17="Distrato",$I$38-1,0)),IF(AND($L$615=0,$P$612=0),"",$L$615-1),IF($R$17="Distrato",$E627,0))),0,YEARFRAC(MAX($P$612*($B627+IF($R$17="Distrato",$I$38-1,0)),IF(AND($L$615=0,$P$612=0),"",$L$615-1),IF($R$17="Distrato",$E627,0)),MIN(Y$38,$D$19),$P$20))-SUM($P627:X627)</f>
        <v>0</v>
      </c>
      <c r="Z627" s="446">
        <f>IF(OR($B627="",MIN(Z$38,$D$19)&lt;MAX($P$612*($B627+IF($R$17="Distrato",$I$38-1,0)),IF(AND($L$615=0,$P$612=0),"",$L$615-1),IF($R$17="Distrato",$E627,0))),0,YEARFRAC(MAX($P$612*($B627+IF($R$17="Distrato",$I$38-1,0)),IF(AND($L$615=0,$P$612=0),"",$L$615-1),IF($R$17="Distrato",$E627,0)),MIN(Z$38,$D$19),$P$20))-SUM($P627:Y627)</f>
        <v>0</v>
      </c>
      <c r="AA627" s="446">
        <f>IF(OR($B627="",MIN(AA$38,$D$19)&lt;MAX($P$612*($B627+IF($R$17="Distrato",$I$38-1,0)),IF(AND($L$615=0,$P$612=0),"",$L$615-1),IF($R$17="Distrato",$E627,0))),0,YEARFRAC(MAX($P$612*($B627+IF($R$17="Distrato",$I$38-1,0)),IF(AND($L$615=0,$P$612=0),"",$L$615-1),IF($R$17="Distrato",$E627,0)),MIN(AA$38,$D$19),$P$20))-SUM($P627:Z627)</f>
        <v>0</v>
      </c>
      <c r="AB627" s="446">
        <f>IF(OR($B627="",MIN(AB$38,$D$19)&lt;MAX($P$612*($B627+IF($R$17="Distrato",$I$38-1,0)),IF(AND($L$615=0,$P$612=0),"",$L$615-1),IF($R$17="Distrato",$E627,0))),0,YEARFRAC(MAX($P$612*($B627+IF($R$17="Distrato",$I$38-1,0)),IF(AND($L$615=0,$P$612=0),"",$L$615-1),IF($R$17="Distrato",$E627,0)),MIN(AB$38,$D$19),$P$20))-SUM($P627:AA627)</f>
        <v>0</v>
      </c>
      <c r="AC627" s="446">
        <f>IF(OR($B627="",MIN(AC$38,$D$19)&lt;MAX($P$612*($B627+IF($R$17="Distrato",$I$38-1,0)),IF(AND($L$615=0,$P$612=0),"",$L$615-1),IF($R$17="Distrato",$E627,0))),0,YEARFRAC(MAX($P$612*($B627+IF($R$17="Distrato",$I$38-1,0)),IF(AND($L$615=0,$P$612=0),"",$L$615-1),IF($R$17="Distrato",$E627,0)),MIN(AC$38,$D$19),$P$20))-SUM($P627:AB627)</f>
        <v>0</v>
      </c>
      <c r="AD627" s="446">
        <f>IF(OR($B627="",MIN(AD$38,$D$19)&lt;MAX($P$612*($B627+IF($R$17="Distrato",$I$38-1,0)),IF(AND($L$615=0,$P$612=0),"",$L$615-1),IF($R$17="Distrato",$E627,0))),0,YEARFRAC(MAX($P$612*($B627+IF($R$17="Distrato",$I$38-1,0)),IF(AND($L$615=0,$P$612=0),"",$L$615-1),IF($R$17="Distrato",$E627,0)),MIN(AD$38,$D$19),$P$20))-SUM($P627:AC627)</f>
        <v>0</v>
      </c>
      <c r="AE627" s="446">
        <f>IF(OR($B627="",MIN(AE$38,$D$19)&lt;MAX($P$612*($B627+IF($R$17="Distrato",$I$38-1,0)),IF(AND($L$615=0,$P$612=0),"",$L$615-1),IF($R$17="Distrato",$E627,0))),0,YEARFRAC(MAX($P$612*($B627+IF($R$17="Distrato",$I$38-1,0)),IF(AND($L$615=0,$P$612=0),"",$L$615-1),IF($R$17="Distrato",$E627,0)),MIN(AE$38,$D$19),$P$20))-SUM($P627:AD627)</f>
        <v>0</v>
      </c>
      <c r="AF627" s="446">
        <f>IF(OR($B627="",MIN(AF$38,$D$19)&lt;MAX($P$612*($B627+IF($R$17="Distrato",$I$38-1,0)),IF(AND($L$615=0,$P$612=0),"",$L$615-1),IF($R$17="Distrato",$E627,0))),0,YEARFRAC(MAX($P$612*($B627+IF($R$17="Distrato",$I$38-1,0)),IF(AND($L$615=0,$P$612=0),"",$L$615-1),IF($R$17="Distrato",$E627,0)),MIN(AF$38,$D$19),$P$20))-SUM($P627:AE627)</f>
        <v>0</v>
      </c>
      <c r="AG627" s="446">
        <f>IF(OR($B627="",MIN(AG$38,$D$19)&lt;MAX($P$612*($B627+IF($R$17="Distrato",$I$38-1,0)),IF(AND($L$615=0,$P$612=0),"",$L$615-1),IF($R$17="Distrato",$E627,0))),0,YEARFRAC(MAX($P$612*($B627+IF($R$17="Distrato",$I$38-1,0)),IF(AND($L$615=0,$P$612=0),"",$L$615-1),IF($R$17="Distrato",$E627,0)),MIN(AG$38,$D$19),$P$20))-SUM($P627:AF627)</f>
        <v>0</v>
      </c>
      <c r="AH627" s="446">
        <f>IF(OR($B627="",MIN(AH$38,$D$19)&lt;MAX($P$612*($B627+IF($R$17="Distrato",$I$38-1,0)),IF(AND($L$615=0,$P$612=0),"",$L$615-1),IF($R$17="Distrato",$E627,0))),0,YEARFRAC(MAX($P$612*($B627+IF($R$17="Distrato",$I$38-1,0)),IF(AND($L$615=0,$P$612=0),"",$L$615-1),IF($R$17="Distrato",$E627,0)),MIN(AH$38,$D$19),$P$20))-SUM($P627:AG627)</f>
        <v>0</v>
      </c>
      <c r="AI627" s="446">
        <f>IF(OR($B627="",MIN(AI$38,$D$19)&lt;MAX($P$612*($B627+IF($R$17="Distrato",$I$38-1,0)),IF(AND($L$615=0,$P$612=0),"",$L$615-1),IF($R$17="Distrato",$E627,0))),0,YEARFRAC(MAX($P$612*($B627+IF($R$17="Distrato",$I$38-1,0)),IF(AND($L$615=0,$P$612=0),"",$L$615-1),IF($R$17="Distrato",$E627,0)),MIN(AI$38,$D$19),$P$20))-SUM($P627:AH627)</f>
        <v>0</v>
      </c>
      <c r="AJ627" s="446">
        <f>IF(OR($B627="",MIN(AJ$38,$D$19)&lt;MAX($P$612*($B627+IF($R$17="Distrato",$I$38-1,0)),IF(AND($L$615=0,$P$612=0),"",$L$615-1),IF($R$17="Distrato",$E627,0))),0,YEARFRAC(MAX($P$612*($B627+IF($R$17="Distrato",$I$38-1,0)),IF(AND($L$615=0,$P$612=0),"",$L$615-1),IF($R$17="Distrato",$E627,0)),MIN(AJ$38,$D$19),$P$20))-SUM($P627:AI627)</f>
        <v>0</v>
      </c>
      <c r="AK627" s="446">
        <f>IF(OR($B627="",MIN(AK$38,$D$19)&lt;MAX($P$612*($B627+IF($R$17="Distrato",$I$38-1,0)),IF(AND($L$615=0,$P$612=0),"",$L$615-1),IF($R$17="Distrato",$E627,0))),0,YEARFRAC(MAX($P$612*($B627+IF($R$17="Distrato",$I$38-1,0)),IF(AND($L$615=0,$P$612=0),"",$L$615-1),IF($R$17="Distrato",$E627,0)),MIN(AK$38,$D$19),$P$20))-SUM($P627:AJ627)</f>
        <v>0</v>
      </c>
      <c r="AL627" s="446">
        <f>IF(OR($B627="",MIN(AL$38,$D$19)&lt;MAX($P$612*($B627+IF($R$17="Distrato",$I$38-1,0)),IF(AND($L$615=0,$P$612=0),"",$L$615-1),IF($R$17="Distrato",$E627,0))),0,YEARFRAC(MAX($P$612*($B627+IF($R$17="Distrato",$I$38-1,0)),IF(AND($L$615=0,$P$612=0),"",$L$615-1),IF($R$17="Distrato",$E627,0)),MIN(AL$38,$D$19),$P$20))-SUM($P627:AK627)</f>
        <v>0</v>
      </c>
      <c r="AM627" s="446">
        <f>IF(OR($B627="",MIN(AM$38,$D$19)&lt;MAX($P$612*($B627+IF($R$17="Distrato",$I$38-1,0)),IF(AND($L$615=0,$P$612=0),"",$L$615-1),IF($R$17="Distrato",$E627,0))),0,YEARFRAC(MAX($P$612*($B627+IF($R$17="Distrato",$I$38-1,0)),IF(AND($L$615=0,$P$612=0),"",$L$615-1),IF($R$17="Distrato",$E627,0)),MIN(AM$38,$D$19),$P$20))-SUM($P627:AL627)</f>
        <v>0</v>
      </c>
      <c r="AN627" s="446">
        <f>IF(OR($B627="",MIN(AN$38,$D$19)&lt;MAX($P$612*($B627+IF($R$17="Distrato",$I$38-1,0)),IF(AND($L$615=0,$P$612=0),"",$L$615-1),IF($R$17="Distrato",$E627,0))),0,YEARFRAC(MAX($P$612*($B627+IF($R$17="Distrato",$I$38-1,0)),IF(AND($L$615=0,$P$612=0),"",$L$615-1),IF($R$17="Distrato",$E627,0)),MIN(AN$38,$D$19),$P$20))-SUM($P627:AM627)</f>
        <v>0</v>
      </c>
      <c r="AO627" s="446">
        <f>IF(OR($B627="",MIN(AO$38,$D$19)&lt;MAX($P$612*($B627+IF($R$17="Distrato",$I$38-1,0)),IF(AND($L$615=0,$P$612=0),"",$L$615-1),IF($R$17="Distrato",$E627,0))),0,YEARFRAC(MAX($P$612*($B627+IF($R$17="Distrato",$I$38-1,0)),IF(AND($L$615=0,$P$612=0),"",$L$615-1),IF($R$17="Distrato",$E627,0)),MIN(AO$38,$D$19),$P$20))-SUM($P627:AN627)</f>
        <v>0</v>
      </c>
      <c r="AP627" s="446">
        <f>IF(OR($B627="",MIN(AP$38,$D$19)&lt;MAX($P$612*($B627+IF($R$17="Distrato",$I$38-1,0)),IF(AND($L$615=0,$P$612=0),"",$L$615-1),IF($R$17="Distrato",$E627,0))),0,YEARFRAC(MAX($P$612*($B627+IF($R$17="Distrato",$I$38-1,0)),IF(AND($L$615=0,$P$612=0),"",$L$615-1),IF($R$17="Distrato",$E627,0)),MIN(AP$38,$D$19),$P$20))-SUM($P627:AO627)</f>
        <v>0</v>
      </c>
      <c r="AQ627" s="446">
        <f>IF(OR($B627="",MIN(AQ$38,$D$19)&lt;MAX($P$612*($B627+IF($R$17="Distrato",$I$38-1,0)),IF(AND($L$615=0,$P$612=0),"",$L$615-1),IF($R$17="Distrato",$E627,0))),0,YEARFRAC(MAX($P$612*($B627+IF($R$17="Distrato",$I$38-1,0)),IF(AND($L$615=0,$P$612=0),"",$L$615-1),IF($R$17="Distrato",$E627,0)),MIN(AQ$38,$D$19),$P$20))-SUM($P627:AP627)</f>
        <v>0</v>
      </c>
      <c r="AR627" s="446">
        <f>IF(OR($B627="",MIN(AR$38,$D$19)&lt;MAX($P$612*($B627+IF($R$17="Distrato",$I$38-1,0)),IF(AND($L$615=0,$P$612=0),"",$L$615-1),IF($R$17="Distrato",$E627,0))),0,YEARFRAC(MAX($P$612*($B627+IF($R$17="Distrato",$I$38-1,0)),IF(AND($L$615=0,$P$612=0),"",$L$615-1),IF($R$17="Distrato",$E627,0)),MIN(AR$38,$D$19),$P$20))-SUM($P627:AQ627)</f>
        <v>0</v>
      </c>
      <c r="AS627" s="446">
        <f>IF(OR($B627="",MIN(AS$38,$D$19)&lt;MAX($P$612*($B627+IF($R$17="Distrato",$I$38-1,0)),IF(AND($L$615=0,$P$612=0),"",$L$615-1),IF($R$17="Distrato",$E627,0))),0,YEARFRAC(MAX($P$612*($B627+IF($R$17="Distrato",$I$38-1,0)),IF(AND($L$615=0,$P$612=0),"",$L$615-1),IF($R$17="Distrato",$E627,0)),MIN(AS$38,$D$19),$P$20))-SUM($P627:AR627)</f>
        <v>0</v>
      </c>
      <c r="AT627" s="446">
        <f>IF(OR($B627="",MIN(AT$38,$D$19)&lt;MAX($P$612*($B627+IF($R$17="Distrato",$I$38-1,0)),IF(AND($L$615=0,$P$612=0),"",$L$615-1),IF($R$17="Distrato",$E627,0))),0,YEARFRAC(MAX($P$612*($B627+IF($R$17="Distrato",$I$38-1,0)),IF(AND($L$615=0,$P$612=0),"",$L$615-1),IF($R$17="Distrato",$E627,0)),MIN(AT$38,$D$19),$P$20))-SUM($P627:AS627)</f>
        <v>0</v>
      </c>
      <c r="AU627" s="446">
        <f>IF(OR($B627="",MIN(AU$38,$D$19)&lt;MAX($P$612*($B627+IF($R$17="Distrato",$I$38-1,0)),IF(AND($L$615=0,$P$612=0),"",$L$615-1),IF($R$17="Distrato",$E627,0))),0,YEARFRAC(MAX($P$612*($B627+IF($R$17="Distrato",$I$38-1,0)),IF(AND($L$615=0,$P$612=0),"",$L$615-1),IF($R$17="Distrato",$E627,0)),MIN(AU$38,$D$19),$P$20))-SUM($P627:AT627)</f>
        <v>0</v>
      </c>
      <c r="AV627" s="446">
        <f>IF(OR($B627="",MIN(AV$38,$D$19)&lt;MAX($P$612*($B627+IF($R$17="Distrato",$I$38-1,0)),IF(AND($L$615=0,$P$612=0),"",$L$615-1),IF($R$17="Distrato",$E627,0))),0,YEARFRAC(MAX($P$612*($B627+IF($R$17="Distrato",$I$38-1,0)),IF(AND($L$615=0,$P$612=0),"",$L$615-1),IF($R$17="Distrato",$E627,0)),MIN(AV$38,$D$19),$P$20))-SUM($P627:AU627)</f>
        <v>0</v>
      </c>
      <c r="AW627" s="446">
        <f>IF(OR($B627="",MIN(AW$38,$D$19)&lt;MAX($P$612*($B627+IF($R$17="Distrato",$I$38-1,0)),IF(AND($L$615=0,$P$612=0),"",$L$615-1),IF($R$17="Distrato",$E627,0))),0,YEARFRAC(MAX($P$612*($B627+IF($R$17="Distrato",$I$38-1,0)),IF(AND($L$615=0,$P$612=0),"",$L$615-1),IF($R$17="Distrato",$E627,0)),MIN(AW$38,$D$19),$P$20))-SUM($P627:AV627)</f>
        <v>0</v>
      </c>
      <c r="AX627" s="446">
        <f>IF(OR($B627="",MIN(AX$38,$D$19)&lt;MAX($P$612*($B627+IF($R$17="Distrato",$I$38-1,0)),IF(AND($L$615=0,$P$612=0),"",$L$615-1),IF($R$17="Distrato",$E627,0))),0,YEARFRAC(MAX($P$612*($B627+IF($R$17="Distrato",$I$38-1,0)),IF(AND($L$615=0,$P$612=0),"",$L$615-1),IF($R$17="Distrato",$E627,0)),MIN(AX$38,$D$19),$P$20))-SUM($P627:AW627)</f>
        <v>0</v>
      </c>
      <c r="AY627" s="446">
        <f>IF(OR($B627="",MIN(AY$38,$D$19)&lt;MAX($P$612*($B627+IF($R$17="Distrato",$I$38-1,0)),IF(AND($L$615=0,$P$612=0),"",$L$615-1),IF($R$17="Distrato",$E627,0))),0,YEARFRAC(MAX($P$612*($B627+IF($R$17="Distrato",$I$38-1,0)),IF(AND($L$615=0,$P$612=0),"",$L$615-1),IF($R$17="Distrato",$E627,0)),MIN(AY$38,$D$19),$P$20))-SUM($P627:AX627)</f>
        <v>0</v>
      </c>
      <c r="AZ627" s="446">
        <f>IF(OR($B627="",MIN(AZ$38,$D$19)&lt;MAX($P$612*($B627+IF($R$17="Distrato",$I$38-1,0)),IF(AND($L$615=0,$P$612=0),"",$L$615-1),IF($R$17="Distrato",$E627,0))),0,YEARFRAC(MAX($P$612*($B627+IF($R$17="Distrato",$I$38-1,0)),IF(AND($L$615=0,$P$612=0),"",$L$615-1),IF($R$17="Distrato",$E627,0)),MIN(AZ$38,$D$19),$P$20))-SUM($P627:AY627)</f>
        <v>0</v>
      </c>
      <c r="BA627" s="446">
        <f>IF(OR($B627="",MIN(BA$38,$D$19)&lt;MAX($P$612*($B627+IF($R$17="Distrato",$I$38-1,0)),IF(AND($L$615=0,$P$612=0),"",$L$615-1),IF($R$17="Distrato",$E627,0))),0,YEARFRAC(MAX($P$612*($B627+IF($R$17="Distrato",$I$38-1,0)),IF(AND($L$615=0,$P$612=0),"",$L$615-1),IF($R$17="Distrato",$E627,0)),MIN(BA$38,$D$19),$P$20))-SUM($P627:AZ627)</f>
        <v>0</v>
      </c>
      <c r="BB627" s="447"/>
    </row>
    <row r="628" spans="1:54" s="446" customFormat="1" ht="11.25" hidden="1" x14ac:dyDescent="0.2">
      <c r="A628" s="177"/>
      <c r="B628" s="178"/>
      <c r="C628" s="29" t="str">
        <f>IF(B628="","",IF($L$613="SELIC - TRIBUTOS",VLOOKUP(DATE(YEAR($D$19),MONTH($D$19)-1,1),ÍNDICES!$A:$DE,HLOOKUP($BL$25,ÍNDICES!$B$3:$T$4,2)+11)-VLOOKUP(B628,ÍNDICES!$A:$DE,HLOOKUP($BL$25,ÍNDICES!$B$3:$T$4,2)+11)+1%,IF(C$616=$W$26,$J$613,IF(ISERROR(IF(B628&gt;$D$19,1,VLOOKUP(DATE(YEAR(B628),MONTH(B628)+IF($C$613=$S$23,1,0),1),ÍNDICES!$A:$DE,$Z$613+1))),"",IF(B628&gt;$D$19,1,VLOOKUP(DATE(YEAR(B628),MONTH(B628)+IF($C$613=$S$23,1,0),1),ÍNDICES!$A:$DE,$Z$613+1))))))</f>
        <v/>
      </c>
      <c r="D628" s="155"/>
      <c r="E628" s="179"/>
      <c r="F628" s="29"/>
      <c r="G628" s="180"/>
      <c r="H628" s="181"/>
      <c r="I628" s="182" t="str">
        <f t="shared" si="107"/>
        <v/>
      </c>
      <c r="J628" s="5" t="str">
        <f t="shared" si="108"/>
        <v/>
      </c>
      <c r="K628" s="5">
        <f t="shared" ca="1" si="109"/>
        <v>0</v>
      </c>
      <c r="L628" s="5">
        <f t="shared" ca="1" si="104"/>
        <v>0</v>
      </c>
      <c r="M628" s="64">
        <f t="shared" si="110"/>
        <v>0</v>
      </c>
      <c r="N628" s="61">
        <f t="shared" ca="1" si="105"/>
        <v>0</v>
      </c>
      <c r="O628" s="20">
        <f t="shared" ca="1" si="106"/>
        <v>0</v>
      </c>
      <c r="P628" s="446">
        <f t="shared" si="111"/>
        <v>0</v>
      </c>
      <c r="Q628" s="446">
        <f>IF(OR($B628="",MIN(Q$38,$D$19)&lt;MAX($P$612*($B628+IF($R$17="Distrato",$I$38-1,0)),IF(AND($L$615=0,$P$612=0),"",$L$615-1),IF($R$17="Distrato",$E628,0))),0,YEARFRAC(MAX($P$612*($B628+IF($R$17="Distrato",$I$38-1,0)),IF(AND($L$615=0,$P$612=0),"",$L$615-1),IF($R$17="Distrato",$E628,0)),MIN(Q$38,$D$19),$P$20))-SUM($P628:P628)</f>
        <v>0</v>
      </c>
      <c r="R628" s="446">
        <f>IF(OR($B628="",MIN(R$38,$D$19)&lt;MAX($P$612*($B628+IF($R$17="Distrato",$I$38-1,0)),IF(AND($L$615=0,$P$612=0),"",$L$615-1),IF($R$17="Distrato",$E628,0))),0,YEARFRAC(MAX($P$612*($B628+IF($R$17="Distrato",$I$38-1,0)),IF(AND($L$615=0,$P$612=0),"",$L$615-1),IF($R$17="Distrato",$E628,0)),MIN(R$38,$D$19),$P$20))-SUM($P628:Q628)</f>
        <v>0</v>
      </c>
      <c r="S628" s="446">
        <f>IF(OR($B628="",MIN(S$38,$D$19)&lt;MAX($P$612*($B628+IF($R$17="Distrato",$I$38-1,0)),IF(AND($L$615=0,$P$612=0),"",$L$615-1),IF($R$17="Distrato",$E628,0))),0,YEARFRAC(MAX($P$612*($B628+IF($R$17="Distrato",$I$38-1,0)),IF(AND($L$615=0,$P$612=0),"",$L$615-1),IF($R$17="Distrato",$E628,0)),MIN(S$38,$D$19),$P$20))-SUM($P628:R628)</f>
        <v>0</v>
      </c>
      <c r="T628" s="446">
        <f>IF(OR($B628="",MIN(T$38,$D$19)&lt;MAX($P$612*($B628+IF($R$17="Distrato",$I$38-1,0)),IF(AND($L$615=0,$P$612=0),"",$L$615-1),IF($R$17="Distrato",$E628,0))),0,YEARFRAC(MAX($P$612*($B628+IF($R$17="Distrato",$I$38-1,0)),IF(AND($L$615=0,$P$612=0),"",$L$615-1),IF($R$17="Distrato",$E628,0)),MIN(T$38,$D$19),$P$20))-SUM($P628:S628)</f>
        <v>0</v>
      </c>
      <c r="U628" s="446">
        <f>IF(OR($B628="",MIN(U$38,$D$19)&lt;MAX($P$612*($B628+IF($R$17="Distrato",$I$38-1,0)),IF(AND($L$615=0,$P$612=0),"",$L$615-1),IF($R$17="Distrato",$E628,0))),0,YEARFRAC(MAX($P$612*($B628+IF($R$17="Distrato",$I$38-1,0)),IF(AND($L$615=0,$P$612=0),"",$L$615-1),IF($R$17="Distrato",$E628,0)),MIN(U$38,$D$19),$P$20))-SUM($P628:T628)</f>
        <v>0</v>
      </c>
      <c r="V628" s="446">
        <f>IF(OR($B628="",MIN(V$38,$D$19)&lt;MAX($P$612*($B628+IF($R$17="Distrato",$I$38-1,0)),IF(AND($L$615=0,$P$612=0),"",$L$615-1),IF($R$17="Distrato",$E628,0))),0,YEARFRAC(MAX($P$612*($B628+IF($R$17="Distrato",$I$38-1,0)),IF(AND($L$615=0,$P$612=0),"",$L$615-1),IF($R$17="Distrato",$E628,0)),MIN(V$38,$D$19),$P$20))-SUM($P628:U628)</f>
        <v>0</v>
      </c>
      <c r="W628" s="446">
        <f>IF(OR($B628="",MIN(W$38,$D$19)&lt;MAX($P$612*($B628+IF($R$17="Distrato",$I$38-1,0)),IF(AND($L$615=0,$P$612=0),"",$L$615-1),IF($R$17="Distrato",$E628,0))),0,YEARFRAC(MAX($P$612*($B628+IF($R$17="Distrato",$I$38-1,0)),IF(AND($L$615=0,$P$612=0),"",$L$615-1),IF($R$17="Distrato",$E628,0)),MIN(W$38,$D$19),$P$20))-SUM($P628:V628)</f>
        <v>0</v>
      </c>
      <c r="X628" s="446">
        <f>IF(OR($B628="",MIN(X$38,$D$19)&lt;MAX($P$612*($B628+IF($R$17="Distrato",$I$38-1,0)),IF(AND($L$615=0,$P$612=0),"",$L$615-1),IF($R$17="Distrato",$E628,0))),0,YEARFRAC(MAX($P$612*($B628+IF($R$17="Distrato",$I$38-1,0)),IF(AND($L$615=0,$P$612=0),"",$L$615-1),IF($R$17="Distrato",$E628,0)),MIN(X$38,$D$19),$P$20))-SUM($P628:W628)</f>
        <v>0</v>
      </c>
      <c r="Y628" s="446">
        <f>IF(OR($B628="",MIN(Y$38,$D$19)&lt;MAX($P$612*($B628+IF($R$17="Distrato",$I$38-1,0)),IF(AND($L$615=0,$P$612=0),"",$L$615-1),IF($R$17="Distrato",$E628,0))),0,YEARFRAC(MAX($P$612*($B628+IF($R$17="Distrato",$I$38-1,0)),IF(AND($L$615=0,$P$612=0),"",$L$615-1),IF($R$17="Distrato",$E628,0)),MIN(Y$38,$D$19),$P$20))-SUM($P628:X628)</f>
        <v>0</v>
      </c>
      <c r="Z628" s="446">
        <f>IF(OR($B628="",MIN(Z$38,$D$19)&lt;MAX($P$612*($B628+IF($R$17="Distrato",$I$38-1,0)),IF(AND($L$615=0,$P$612=0),"",$L$615-1),IF($R$17="Distrato",$E628,0))),0,YEARFRAC(MAX($P$612*($B628+IF($R$17="Distrato",$I$38-1,0)),IF(AND($L$615=0,$P$612=0),"",$L$615-1),IF($R$17="Distrato",$E628,0)),MIN(Z$38,$D$19),$P$20))-SUM($P628:Y628)</f>
        <v>0</v>
      </c>
      <c r="AA628" s="446">
        <f>IF(OR($B628="",MIN(AA$38,$D$19)&lt;MAX($P$612*($B628+IF($R$17="Distrato",$I$38-1,0)),IF(AND($L$615=0,$P$612=0),"",$L$615-1),IF($R$17="Distrato",$E628,0))),0,YEARFRAC(MAX($P$612*($B628+IF($R$17="Distrato",$I$38-1,0)),IF(AND($L$615=0,$P$612=0),"",$L$615-1),IF($R$17="Distrato",$E628,0)),MIN(AA$38,$D$19),$P$20))-SUM($P628:Z628)</f>
        <v>0</v>
      </c>
      <c r="AB628" s="446">
        <f>IF(OR($B628="",MIN(AB$38,$D$19)&lt;MAX($P$612*($B628+IF($R$17="Distrato",$I$38-1,0)),IF(AND($L$615=0,$P$612=0),"",$L$615-1),IF($R$17="Distrato",$E628,0))),0,YEARFRAC(MAX($P$612*($B628+IF($R$17="Distrato",$I$38-1,0)),IF(AND($L$615=0,$P$612=0),"",$L$615-1),IF($R$17="Distrato",$E628,0)),MIN(AB$38,$D$19),$P$20))-SUM($P628:AA628)</f>
        <v>0</v>
      </c>
      <c r="AC628" s="446">
        <f>IF(OR($B628="",MIN(AC$38,$D$19)&lt;MAX($P$612*($B628+IF($R$17="Distrato",$I$38-1,0)),IF(AND($L$615=0,$P$612=0),"",$L$615-1),IF($R$17="Distrato",$E628,0))),0,YEARFRAC(MAX($P$612*($B628+IF($R$17="Distrato",$I$38-1,0)),IF(AND($L$615=0,$P$612=0),"",$L$615-1),IF($R$17="Distrato",$E628,0)),MIN(AC$38,$D$19),$P$20))-SUM($P628:AB628)</f>
        <v>0</v>
      </c>
      <c r="AD628" s="446">
        <f>IF(OR($B628="",MIN(AD$38,$D$19)&lt;MAX($P$612*($B628+IF($R$17="Distrato",$I$38-1,0)),IF(AND($L$615=0,$P$612=0),"",$L$615-1),IF($R$17="Distrato",$E628,0))),0,YEARFRAC(MAX($P$612*($B628+IF($R$17="Distrato",$I$38-1,0)),IF(AND($L$615=0,$P$612=0),"",$L$615-1),IF($R$17="Distrato",$E628,0)),MIN(AD$38,$D$19),$P$20))-SUM($P628:AC628)</f>
        <v>0</v>
      </c>
      <c r="AE628" s="446">
        <f>IF(OR($B628="",MIN(AE$38,$D$19)&lt;MAX($P$612*($B628+IF($R$17="Distrato",$I$38-1,0)),IF(AND($L$615=0,$P$612=0),"",$L$615-1),IF($R$17="Distrato",$E628,0))),0,YEARFRAC(MAX($P$612*($B628+IF($R$17="Distrato",$I$38-1,0)),IF(AND($L$615=0,$P$612=0),"",$L$615-1),IF($R$17="Distrato",$E628,0)),MIN(AE$38,$D$19),$P$20))-SUM($P628:AD628)</f>
        <v>0</v>
      </c>
      <c r="AF628" s="446">
        <f>IF(OR($B628="",MIN(AF$38,$D$19)&lt;MAX($P$612*($B628+IF($R$17="Distrato",$I$38-1,0)),IF(AND($L$615=0,$P$612=0),"",$L$615-1),IF($R$17="Distrato",$E628,0))),0,YEARFRAC(MAX($P$612*($B628+IF($R$17="Distrato",$I$38-1,0)),IF(AND($L$615=0,$P$612=0),"",$L$615-1),IF($R$17="Distrato",$E628,0)),MIN(AF$38,$D$19),$P$20))-SUM($P628:AE628)</f>
        <v>0</v>
      </c>
      <c r="AG628" s="446">
        <f>IF(OR($B628="",MIN(AG$38,$D$19)&lt;MAX($P$612*($B628+IF($R$17="Distrato",$I$38-1,0)),IF(AND($L$615=0,$P$612=0),"",$L$615-1),IF($R$17="Distrato",$E628,0))),0,YEARFRAC(MAX($P$612*($B628+IF($R$17="Distrato",$I$38-1,0)),IF(AND($L$615=0,$P$612=0),"",$L$615-1),IF($R$17="Distrato",$E628,0)),MIN(AG$38,$D$19),$P$20))-SUM($P628:AF628)</f>
        <v>0</v>
      </c>
      <c r="AH628" s="446">
        <f>IF(OR($B628="",MIN(AH$38,$D$19)&lt;MAX($P$612*($B628+IF($R$17="Distrato",$I$38-1,0)),IF(AND($L$615=0,$P$612=0),"",$L$615-1),IF($R$17="Distrato",$E628,0))),0,YEARFRAC(MAX($P$612*($B628+IF($R$17="Distrato",$I$38-1,0)),IF(AND($L$615=0,$P$612=0),"",$L$615-1),IF($R$17="Distrato",$E628,0)),MIN(AH$38,$D$19),$P$20))-SUM($P628:AG628)</f>
        <v>0</v>
      </c>
      <c r="AI628" s="446">
        <f>IF(OR($B628="",MIN(AI$38,$D$19)&lt;MAX($P$612*($B628+IF($R$17="Distrato",$I$38-1,0)),IF(AND($L$615=0,$P$612=0),"",$L$615-1),IF($R$17="Distrato",$E628,0))),0,YEARFRAC(MAX($P$612*($B628+IF($R$17="Distrato",$I$38-1,0)),IF(AND($L$615=0,$P$612=0),"",$L$615-1),IF($R$17="Distrato",$E628,0)),MIN(AI$38,$D$19),$P$20))-SUM($P628:AH628)</f>
        <v>0</v>
      </c>
      <c r="AJ628" s="446">
        <f>IF(OR($B628="",MIN(AJ$38,$D$19)&lt;MAX($P$612*($B628+IF($R$17="Distrato",$I$38-1,0)),IF(AND($L$615=0,$P$612=0),"",$L$615-1),IF($R$17="Distrato",$E628,0))),0,YEARFRAC(MAX($P$612*($B628+IF($R$17="Distrato",$I$38-1,0)),IF(AND($L$615=0,$P$612=0),"",$L$615-1),IF($R$17="Distrato",$E628,0)),MIN(AJ$38,$D$19),$P$20))-SUM($P628:AI628)</f>
        <v>0</v>
      </c>
      <c r="AK628" s="446">
        <f>IF(OR($B628="",MIN(AK$38,$D$19)&lt;MAX($P$612*($B628+IF($R$17="Distrato",$I$38-1,0)),IF(AND($L$615=0,$P$612=0),"",$L$615-1),IF($R$17="Distrato",$E628,0))),0,YEARFRAC(MAX($P$612*($B628+IF($R$17="Distrato",$I$38-1,0)),IF(AND($L$615=0,$P$612=0),"",$L$615-1),IF($R$17="Distrato",$E628,0)),MIN(AK$38,$D$19),$P$20))-SUM($P628:AJ628)</f>
        <v>0</v>
      </c>
      <c r="AL628" s="446">
        <f>IF(OR($B628="",MIN(AL$38,$D$19)&lt;MAX($P$612*($B628+IF($R$17="Distrato",$I$38-1,0)),IF(AND($L$615=0,$P$612=0),"",$L$615-1),IF($R$17="Distrato",$E628,0))),0,YEARFRAC(MAX($P$612*($B628+IF($R$17="Distrato",$I$38-1,0)),IF(AND($L$615=0,$P$612=0),"",$L$615-1),IF($R$17="Distrato",$E628,0)),MIN(AL$38,$D$19),$P$20))-SUM($P628:AK628)</f>
        <v>0</v>
      </c>
      <c r="AM628" s="446">
        <f>IF(OR($B628="",MIN(AM$38,$D$19)&lt;MAX($P$612*($B628+IF($R$17="Distrato",$I$38-1,0)),IF(AND($L$615=0,$P$612=0),"",$L$615-1),IF($R$17="Distrato",$E628,0))),0,YEARFRAC(MAX($P$612*($B628+IF($R$17="Distrato",$I$38-1,0)),IF(AND($L$615=0,$P$612=0),"",$L$615-1),IF($R$17="Distrato",$E628,0)),MIN(AM$38,$D$19),$P$20))-SUM($P628:AL628)</f>
        <v>0</v>
      </c>
      <c r="AN628" s="446">
        <f>IF(OR($B628="",MIN(AN$38,$D$19)&lt;MAX($P$612*($B628+IF($R$17="Distrato",$I$38-1,0)),IF(AND($L$615=0,$P$612=0),"",$L$615-1),IF($R$17="Distrato",$E628,0))),0,YEARFRAC(MAX($P$612*($B628+IF($R$17="Distrato",$I$38-1,0)),IF(AND($L$615=0,$P$612=0),"",$L$615-1),IF($R$17="Distrato",$E628,0)),MIN(AN$38,$D$19),$P$20))-SUM($P628:AM628)</f>
        <v>0</v>
      </c>
      <c r="AO628" s="446">
        <f>IF(OR($B628="",MIN(AO$38,$D$19)&lt;MAX($P$612*($B628+IF($R$17="Distrato",$I$38-1,0)),IF(AND($L$615=0,$P$612=0),"",$L$615-1),IF($R$17="Distrato",$E628,0))),0,YEARFRAC(MAX($P$612*($B628+IF($R$17="Distrato",$I$38-1,0)),IF(AND($L$615=0,$P$612=0),"",$L$615-1),IF($R$17="Distrato",$E628,0)),MIN(AO$38,$D$19),$P$20))-SUM($P628:AN628)</f>
        <v>0</v>
      </c>
      <c r="AP628" s="446">
        <f>IF(OR($B628="",MIN(AP$38,$D$19)&lt;MAX($P$612*($B628+IF($R$17="Distrato",$I$38-1,0)),IF(AND($L$615=0,$P$612=0),"",$L$615-1),IF($R$17="Distrato",$E628,0))),0,YEARFRAC(MAX($P$612*($B628+IF($R$17="Distrato",$I$38-1,0)),IF(AND($L$615=0,$P$612=0),"",$L$615-1),IF($R$17="Distrato",$E628,0)),MIN(AP$38,$D$19),$P$20))-SUM($P628:AO628)</f>
        <v>0</v>
      </c>
      <c r="AQ628" s="446">
        <f>IF(OR($B628="",MIN(AQ$38,$D$19)&lt;MAX($P$612*($B628+IF($R$17="Distrato",$I$38-1,0)),IF(AND($L$615=0,$P$612=0),"",$L$615-1),IF($R$17="Distrato",$E628,0))),0,YEARFRAC(MAX($P$612*($B628+IF($R$17="Distrato",$I$38-1,0)),IF(AND($L$615=0,$P$612=0),"",$L$615-1),IF($R$17="Distrato",$E628,0)),MIN(AQ$38,$D$19),$P$20))-SUM($P628:AP628)</f>
        <v>0</v>
      </c>
      <c r="AR628" s="446">
        <f>IF(OR($B628="",MIN(AR$38,$D$19)&lt;MAX($P$612*($B628+IF($R$17="Distrato",$I$38-1,0)),IF(AND($L$615=0,$P$612=0),"",$L$615-1),IF($R$17="Distrato",$E628,0))),0,YEARFRAC(MAX($P$612*($B628+IF($R$17="Distrato",$I$38-1,0)),IF(AND($L$615=0,$P$612=0),"",$L$615-1),IF($R$17="Distrato",$E628,0)),MIN(AR$38,$D$19),$P$20))-SUM($P628:AQ628)</f>
        <v>0</v>
      </c>
      <c r="AS628" s="446">
        <f>IF(OR($B628="",MIN(AS$38,$D$19)&lt;MAX($P$612*($B628+IF($R$17="Distrato",$I$38-1,0)),IF(AND($L$615=0,$P$612=0),"",$L$615-1),IF($R$17="Distrato",$E628,0))),0,YEARFRAC(MAX($P$612*($B628+IF($R$17="Distrato",$I$38-1,0)),IF(AND($L$615=0,$P$612=0),"",$L$615-1),IF($R$17="Distrato",$E628,0)),MIN(AS$38,$D$19),$P$20))-SUM($P628:AR628)</f>
        <v>0</v>
      </c>
      <c r="AT628" s="446">
        <f>IF(OR($B628="",MIN(AT$38,$D$19)&lt;MAX($P$612*($B628+IF($R$17="Distrato",$I$38-1,0)),IF(AND($L$615=0,$P$612=0),"",$L$615-1),IF($R$17="Distrato",$E628,0))),0,YEARFRAC(MAX($P$612*($B628+IF($R$17="Distrato",$I$38-1,0)),IF(AND($L$615=0,$P$612=0),"",$L$615-1),IF($R$17="Distrato",$E628,0)),MIN(AT$38,$D$19),$P$20))-SUM($P628:AS628)</f>
        <v>0</v>
      </c>
      <c r="AU628" s="446">
        <f>IF(OR($B628="",MIN(AU$38,$D$19)&lt;MAX($P$612*($B628+IF($R$17="Distrato",$I$38-1,0)),IF(AND($L$615=0,$P$612=0),"",$L$615-1),IF($R$17="Distrato",$E628,0))),0,YEARFRAC(MAX($P$612*($B628+IF($R$17="Distrato",$I$38-1,0)),IF(AND($L$615=0,$P$612=0),"",$L$615-1),IF($R$17="Distrato",$E628,0)),MIN(AU$38,$D$19),$P$20))-SUM($P628:AT628)</f>
        <v>0</v>
      </c>
      <c r="AV628" s="446">
        <f>IF(OR($B628="",MIN(AV$38,$D$19)&lt;MAX($P$612*($B628+IF($R$17="Distrato",$I$38-1,0)),IF(AND($L$615=0,$P$612=0),"",$L$615-1),IF($R$17="Distrato",$E628,0))),0,YEARFRAC(MAX($P$612*($B628+IF($R$17="Distrato",$I$38-1,0)),IF(AND($L$615=0,$P$612=0),"",$L$615-1),IF($R$17="Distrato",$E628,0)),MIN(AV$38,$D$19),$P$20))-SUM($P628:AU628)</f>
        <v>0</v>
      </c>
      <c r="AW628" s="446">
        <f>IF(OR($B628="",MIN(AW$38,$D$19)&lt;MAX($P$612*($B628+IF($R$17="Distrato",$I$38-1,0)),IF(AND($L$615=0,$P$612=0),"",$L$615-1),IF($R$17="Distrato",$E628,0))),0,YEARFRAC(MAX($P$612*($B628+IF($R$17="Distrato",$I$38-1,0)),IF(AND($L$615=0,$P$612=0),"",$L$615-1),IF($R$17="Distrato",$E628,0)),MIN(AW$38,$D$19),$P$20))-SUM($P628:AV628)</f>
        <v>0</v>
      </c>
      <c r="AX628" s="446">
        <f>IF(OR($B628="",MIN(AX$38,$D$19)&lt;MAX($P$612*($B628+IF($R$17="Distrato",$I$38-1,0)),IF(AND($L$615=0,$P$612=0),"",$L$615-1),IF($R$17="Distrato",$E628,0))),0,YEARFRAC(MAX($P$612*($B628+IF($R$17="Distrato",$I$38-1,0)),IF(AND($L$615=0,$P$612=0),"",$L$615-1),IF($R$17="Distrato",$E628,0)),MIN(AX$38,$D$19),$P$20))-SUM($P628:AW628)</f>
        <v>0</v>
      </c>
      <c r="AY628" s="446">
        <f>IF(OR($B628="",MIN(AY$38,$D$19)&lt;MAX($P$612*($B628+IF($R$17="Distrato",$I$38-1,0)),IF(AND($L$615=0,$P$612=0),"",$L$615-1),IF($R$17="Distrato",$E628,0))),0,YEARFRAC(MAX($P$612*($B628+IF($R$17="Distrato",$I$38-1,0)),IF(AND($L$615=0,$P$612=0),"",$L$615-1),IF($R$17="Distrato",$E628,0)),MIN(AY$38,$D$19),$P$20))-SUM($P628:AX628)</f>
        <v>0</v>
      </c>
      <c r="AZ628" s="446">
        <f>IF(OR($B628="",MIN(AZ$38,$D$19)&lt;MAX($P$612*($B628+IF($R$17="Distrato",$I$38-1,0)),IF(AND($L$615=0,$P$612=0),"",$L$615-1),IF($R$17="Distrato",$E628,0))),0,YEARFRAC(MAX($P$612*($B628+IF($R$17="Distrato",$I$38-1,0)),IF(AND($L$615=0,$P$612=0),"",$L$615-1),IF($R$17="Distrato",$E628,0)),MIN(AZ$38,$D$19),$P$20))-SUM($P628:AY628)</f>
        <v>0</v>
      </c>
      <c r="BA628" s="446">
        <f>IF(OR($B628="",MIN(BA$38,$D$19)&lt;MAX($P$612*($B628+IF($R$17="Distrato",$I$38-1,0)),IF(AND($L$615=0,$P$612=0),"",$L$615-1),IF($R$17="Distrato",$E628,0))),0,YEARFRAC(MAX($P$612*($B628+IF($R$17="Distrato",$I$38-1,0)),IF(AND($L$615=0,$P$612=0),"",$L$615-1),IF($R$17="Distrato",$E628,0)),MIN(BA$38,$D$19),$P$20))-SUM($P628:AZ628)</f>
        <v>0</v>
      </c>
      <c r="BB628" s="447"/>
    </row>
    <row r="629" spans="1:54" s="446" customFormat="1" ht="11.25" hidden="1" x14ac:dyDescent="0.2">
      <c r="A629" s="177"/>
      <c r="B629" s="178"/>
      <c r="C629" s="29" t="str">
        <f>IF(B629="","",IF($L$613="SELIC - TRIBUTOS",VLOOKUP(DATE(YEAR($D$19),MONTH($D$19)-1,1),ÍNDICES!$A:$DE,HLOOKUP($BL$25,ÍNDICES!$B$3:$T$4,2)+11)-VLOOKUP(B629,ÍNDICES!$A:$DE,HLOOKUP($BL$25,ÍNDICES!$B$3:$T$4,2)+11)+1%,IF(C$616=$W$26,$J$613,IF(ISERROR(IF(B629&gt;$D$19,1,VLOOKUP(DATE(YEAR(B629),MONTH(B629)+IF($C$613=$S$23,1,0),1),ÍNDICES!$A:$DE,$Z$613+1))),"",IF(B629&gt;$D$19,1,VLOOKUP(DATE(YEAR(B629),MONTH(B629)+IF($C$613=$S$23,1,0),1),ÍNDICES!$A:$DE,$Z$613+1))))))</f>
        <v/>
      </c>
      <c r="D629" s="155"/>
      <c r="E629" s="179"/>
      <c r="F629" s="29"/>
      <c r="G629" s="180"/>
      <c r="H629" s="181"/>
      <c r="I629" s="182" t="str">
        <f t="shared" si="107"/>
        <v/>
      </c>
      <c r="J629" s="5" t="str">
        <f t="shared" si="108"/>
        <v/>
      </c>
      <c r="K629" s="5">
        <f t="shared" ca="1" si="109"/>
        <v>0</v>
      </c>
      <c r="L629" s="5">
        <f t="shared" ca="1" si="104"/>
        <v>0</v>
      </c>
      <c r="M629" s="64">
        <f t="shared" si="110"/>
        <v>0</v>
      </c>
      <c r="N629" s="61">
        <f t="shared" ca="1" si="105"/>
        <v>0</v>
      </c>
      <c r="O629" s="20">
        <f t="shared" ca="1" si="106"/>
        <v>0</v>
      </c>
      <c r="P629" s="446">
        <f t="shared" si="111"/>
        <v>0</v>
      </c>
      <c r="Q629" s="446">
        <f>IF(OR($B629="",MIN(Q$38,$D$19)&lt;MAX($P$612*($B629+IF($R$17="Distrato",$I$38-1,0)),IF(AND($L$615=0,$P$612=0),"",$L$615-1),IF($R$17="Distrato",$E629,0))),0,YEARFRAC(MAX($P$612*($B629+IF($R$17="Distrato",$I$38-1,0)),IF(AND($L$615=0,$P$612=0),"",$L$615-1),IF($R$17="Distrato",$E629,0)),MIN(Q$38,$D$19),$P$20))-SUM($P629:P629)</f>
        <v>0</v>
      </c>
      <c r="R629" s="446">
        <f>IF(OR($B629="",MIN(R$38,$D$19)&lt;MAX($P$612*($B629+IF($R$17="Distrato",$I$38-1,0)),IF(AND($L$615=0,$P$612=0),"",$L$615-1),IF($R$17="Distrato",$E629,0))),0,YEARFRAC(MAX($P$612*($B629+IF($R$17="Distrato",$I$38-1,0)),IF(AND($L$615=0,$P$612=0),"",$L$615-1),IF($R$17="Distrato",$E629,0)),MIN(R$38,$D$19),$P$20))-SUM($P629:Q629)</f>
        <v>0</v>
      </c>
      <c r="S629" s="446">
        <f>IF(OR($B629="",MIN(S$38,$D$19)&lt;MAX($P$612*($B629+IF($R$17="Distrato",$I$38-1,0)),IF(AND($L$615=0,$P$612=0),"",$L$615-1),IF($R$17="Distrato",$E629,0))),0,YEARFRAC(MAX($P$612*($B629+IF($R$17="Distrato",$I$38-1,0)),IF(AND($L$615=0,$P$612=0),"",$L$615-1),IF($R$17="Distrato",$E629,0)),MIN(S$38,$D$19),$P$20))-SUM($P629:R629)</f>
        <v>0</v>
      </c>
      <c r="T629" s="446">
        <f>IF(OR($B629="",MIN(T$38,$D$19)&lt;MAX($P$612*($B629+IF($R$17="Distrato",$I$38-1,0)),IF(AND($L$615=0,$P$612=0),"",$L$615-1),IF($R$17="Distrato",$E629,0))),0,YEARFRAC(MAX($P$612*($B629+IF($R$17="Distrato",$I$38-1,0)),IF(AND($L$615=0,$P$612=0),"",$L$615-1),IF($R$17="Distrato",$E629,0)),MIN(T$38,$D$19),$P$20))-SUM($P629:S629)</f>
        <v>0</v>
      </c>
      <c r="U629" s="446">
        <f>IF(OR($B629="",MIN(U$38,$D$19)&lt;MAX($P$612*($B629+IF($R$17="Distrato",$I$38-1,0)),IF(AND($L$615=0,$P$612=0),"",$L$615-1),IF($R$17="Distrato",$E629,0))),0,YEARFRAC(MAX($P$612*($B629+IF($R$17="Distrato",$I$38-1,0)),IF(AND($L$615=0,$P$612=0),"",$L$615-1),IF($R$17="Distrato",$E629,0)),MIN(U$38,$D$19),$P$20))-SUM($P629:T629)</f>
        <v>0</v>
      </c>
      <c r="V629" s="446">
        <f>IF(OR($B629="",MIN(V$38,$D$19)&lt;MAX($P$612*($B629+IF($R$17="Distrato",$I$38-1,0)),IF(AND($L$615=0,$P$612=0),"",$L$615-1),IF($R$17="Distrato",$E629,0))),0,YEARFRAC(MAX($P$612*($B629+IF($R$17="Distrato",$I$38-1,0)),IF(AND($L$615=0,$P$612=0),"",$L$615-1),IF($R$17="Distrato",$E629,0)),MIN(V$38,$D$19),$P$20))-SUM($P629:U629)</f>
        <v>0</v>
      </c>
      <c r="W629" s="446">
        <f>IF(OR($B629="",MIN(W$38,$D$19)&lt;MAX($P$612*($B629+IF($R$17="Distrato",$I$38-1,0)),IF(AND($L$615=0,$P$612=0),"",$L$615-1),IF($R$17="Distrato",$E629,0))),0,YEARFRAC(MAX($P$612*($B629+IF($R$17="Distrato",$I$38-1,0)),IF(AND($L$615=0,$P$612=0),"",$L$615-1),IF($R$17="Distrato",$E629,0)),MIN(W$38,$D$19),$P$20))-SUM($P629:V629)</f>
        <v>0</v>
      </c>
      <c r="X629" s="446">
        <f>IF(OR($B629="",MIN(X$38,$D$19)&lt;MAX($P$612*($B629+IF($R$17="Distrato",$I$38-1,0)),IF(AND($L$615=0,$P$612=0),"",$L$615-1),IF($R$17="Distrato",$E629,0))),0,YEARFRAC(MAX($P$612*($B629+IF($R$17="Distrato",$I$38-1,0)),IF(AND($L$615=0,$P$612=0),"",$L$615-1),IF($R$17="Distrato",$E629,0)),MIN(X$38,$D$19),$P$20))-SUM($P629:W629)</f>
        <v>0</v>
      </c>
      <c r="Y629" s="446">
        <f>IF(OR($B629="",MIN(Y$38,$D$19)&lt;MAX($P$612*($B629+IF($R$17="Distrato",$I$38-1,0)),IF(AND($L$615=0,$P$612=0),"",$L$615-1),IF($R$17="Distrato",$E629,0))),0,YEARFRAC(MAX($P$612*($B629+IF($R$17="Distrato",$I$38-1,0)),IF(AND($L$615=0,$P$612=0),"",$L$615-1),IF($R$17="Distrato",$E629,0)),MIN(Y$38,$D$19),$P$20))-SUM($P629:X629)</f>
        <v>0</v>
      </c>
      <c r="Z629" s="446">
        <f>IF(OR($B629="",MIN(Z$38,$D$19)&lt;MAX($P$612*($B629+IF($R$17="Distrato",$I$38-1,0)),IF(AND($L$615=0,$P$612=0),"",$L$615-1),IF($R$17="Distrato",$E629,0))),0,YEARFRAC(MAX($P$612*($B629+IF($R$17="Distrato",$I$38-1,0)),IF(AND($L$615=0,$P$612=0),"",$L$615-1),IF($R$17="Distrato",$E629,0)),MIN(Z$38,$D$19),$P$20))-SUM($P629:Y629)</f>
        <v>0</v>
      </c>
      <c r="AA629" s="446">
        <f>IF(OR($B629="",MIN(AA$38,$D$19)&lt;MAX($P$612*($B629+IF($R$17="Distrato",$I$38-1,0)),IF(AND($L$615=0,$P$612=0),"",$L$615-1),IF($R$17="Distrato",$E629,0))),0,YEARFRAC(MAX($P$612*($B629+IF($R$17="Distrato",$I$38-1,0)),IF(AND($L$615=0,$P$612=0),"",$L$615-1),IF($R$17="Distrato",$E629,0)),MIN(AA$38,$D$19),$P$20))-SUM($P629:Z629)</f>
        <v>0</v>
      </c>
      <c r="AB629" s="446">
        <f>IF(OR($B629="",MIN(AB$38,$D$19)&lt;MAX($P$612*($B629+IF($R$17="Distrato",$I$38-1,0)),IF(AND($L$615=0,$P$612=0),"",$L$615-1),IF($R$17="Distrato",$E629,0))),0,YEARFRAC(MAX($P$612*($B629+IF($R$17="Distrato",$I$38-1,0)),IF(AND($L$615=0,$P$612=0),"",$L$615-1),IF($R$17="Distrato",$E629,0)),MIN(AB$38,$D$19),$P$20))-SUM($P629:AA629)</f>
        <v>0</v>
      </c>
      <c r="AC629" s="446">
        <f>IF(OR($B629="",MIN(AC$38,$D$19)&lt;MAX($P$612*($B629+IF($R$17="Distrato",$I$38-1,0)),IF(AND($L$615=0,$P$612=0),"",$L$615-1),IF($R$17="Distrato",$E629,0))),0,YEARFRAC(MAX($P$612*($B629+IF($R$17="Distrato",$I$38-1,0)),IF(AND($L$615=0,$P$612=0),"",$L$615-1),IF($R$17="Distrato",$E629,0)),MIN(AC$38,$D$19),$P$20))-SUM($P629:AB629)</f>
        <v>0</v>
      </c>
      <c r="AD629" s="446">
        <f>IF(OR($B629="",MIN(AD$38,$D$19)&lt;MAX($P$612*($B629+IF($R$17="Distrato",$I$38-1,0)),IF(AND($L$615=0,$P$612=0),"",$L$615-1),IF($R$17="Distrato",$E629,0))),0,YEARFRAC(MAX($P$612*($B629+IF($R$17="Distrato",$I$38-1,0)),IF(AND($L$615=0,$P$612=0),"",$L$615-1),IF($R$17="Distrato",$E629,0)),MIN(AD$38,$D$19),$P$20))-SUM($P629:AC629)</f>
        <v>0</v>
      </c>
      <c r="AE629" s="446">
        <f>IF(OR($B629="",MIN(AE$38,$D$19)&lt;MAX($P$612*($B629+IF($R$17="Distrato",$I$38-1,0)),IF(AND($L$615=0,$P$612=0),"",$L$615-1),IF($R$17="Distrato",$E629,0))),0,YEARFRAC(MAX($P$612*($B629+IF($R$17="Distrato",$I$38-1,0)),IF(AND($L$615=0,$P$612=0),"",$L$615-1),IF($R$17="Distrato",$E629,0)),MIN(AE$38,$D$19),$P$20))-SUM($P629:AD629)</f>
        <v>0</v>
      </c>
      <c r="AF629" s="446">
        <f>IF(OR($B629="",MIN(AF$38,$D$19)&lt;MAX($P$612*($B629+IF($R$17="Distrato",$I$38-1,0)),IF(AND($L$615=0,$P$612=0),"",$L$615-1),IF($R$17="Distrato",$E629,0))),0,YEARFRAC(MAX($P$612*($B629+IF($R$17="Distrato",$I$38-1,0)),IF(AND($L$615=0,$P$612=0),"",$L$615-1),IF($R$17="Distrato",$E629,0)),MIN(AF$38,$D$19),$P$20))-SUM($P629:AE629)</f>
        <v>0</v>
      </c>
      <c r="AG629" s="446">
        <f>IF(OR($B629="",MIN(AG$38,$D$19)&lt;MAX($P$612*($B629+IF($R$17="Distrato",$I$38-1,0)),IF(AND($L$615=0,$P$612=0),"",$L$615-1),IF($R$17="Distrato",$E629,0))),0,YEARFRAC(MAX($P$612*($B629+IF($R$17="Distrato",$I$38-1,0)),IF(AND($L$615=0,$P$612=0),"",$L$615-1),IF($R$17="Distrato",$E629,0)),MIN(AG$38,$D$19),$P$20))-SUM($P629:AF629)</f>
        <v>0</v>
      </c>
      <c r="AH629" s="446">
        <f>IF(OR($B629="",MIN(AH$38,$D$19)&lt;MAX($P$612*($B629+IF($R$17="Distrato",$I$38-1,0)),IF(AND($L$615=0,$P$612=0),"",$L$615-1),IF($R$17="Distrato",$E629,0))),0,YEARFRAC(MAX($P$612*($B629+IF($R$17="Distrato",$I$38-1,0)),IF(AND($L$615=0,$P$612=0),"",$L$615-1),IF($R$17="Distrato",$E629,0)),MIN(AH$38,$D$19),$P$20))-SUM($P629:AG629)</f>
        <v>0</v>
      </c>
      <c r="AI629" s="446">
        <f>IF(OR($B629="",MIN(AI$38,$D$19)&lt;MAX($P$612*($B629+IF($R$17="Distrato",$I$38-1,0)),IF(AND($L$615=0,$P$612=0),"",$L$615-1),IF($R$17="Distrato",$E629,0))),0,YEARFRAC(MAX($P$612*($B629+IF($R$17="Distrato",$I$38-1,0)),IF(AND($L$615=0,$P$612=0),"",$L$615-1),IF($R$17="Distrato",$E629,0)),MIN(AI$38,$D$19),$P$20))-SUM($P629:AH629)</f>
        <v>0</v>
      </c>
      <c r="AJ629" s="446">
        <f>IF(OR($B629="",MIN(AJ$38,$D$19)&lt;MAX($P$612*($B629+IF($R$17="Distrato",$I$38-1,0)),IF(AND($L$615=0,$P$612=0),"",$L$615-1),IF($R$17="Distrato",$E629,0))),0,YEARFRAC(MAX($P$612*($B629+IF($R$17="Distrato",$I$38-1,0)),IF(AND($L$615=0,$P$612=0),"",$L$615-1),IF($R$17="Distrato",$E629,0)),MIN(AJ$38,$D$19),$P$20))-SUM($P629:AI629)</f>
        <v>0</v>
      </c>
      <c r="AK629" s="446">
        <f>IF(OR($B629="",MIN(AK$38,$D$19)&lt;MAX($P$612*($B629+IF($R$17="Distrato",$I$38-1,0)),IF(AND($L$615=0,$P$612=0),"",$L$615-1),IF($R$17="Distrato",$E629,0))),0,YEARFRAC(MAX($P$612*($B629+IF($R$17="Distrato",$I$38-1,0)),IF(AND($L$615=0,$P$612=0),"",$L$615-1),IF($R$17="Distrato",$E629,0)),MIN(AK$38,$D$19),$P$20))-SUM($P629:AJ629)</f>
        <v>0</v>
      </c>
      <c r="AL629" s="446">
        <f>IF(OR($B629="",MIN(AL$38,$D$19)&lt;MAX($P$612*($B629+IF($R$17="Distrato",$I$38-1,0)),IF(AND($L$615=0,$P$612=0),"",$L$615-1),IF($R$17="Distrato",$E629,0))),0,YEARFRAC(MAX($P$612*($B629+IF($R$17="Distrato",$I$38-1,0)),IF(AND($L$615=0,$P$612=0),"",$L$615-1),IF($R$17="Distrato",$E629,0)),MIN(AL$38,$D$19),$P$20))-SUM($P629:AK629)</f>
        <v>0</v>
      </c>
      <c r="AM629" s="446">
        <f>IF(OR($B629="",MIN(AM$38,$D$19)&lt;MAX($P$612*($B629+IF($R$17="Distrato",$I$38-1,0)),IF(AND($L$615=0,$P$612=0),"",$L$615-1),IF($R$17="Distrato",$E629,0))),0,YEARFRAC(MAX($P$612*($B629+IF($R$17="Distrato",$I$38-1,0)),IF(AND($L$615=0,$P$612=0),"",$L$615-1),IF($R$17="Distrato",$E629,0)),MIN(AM$38,$D$19),$P$20))-SUM($P629:AL629)</f>
        <v>0</v>
      </c>
      <c r="AN629" s="446">
        <f>IF(OR($B629="",MIN(AN$38,$D$19)&lt;MAX($P$612*($B629+IF($R$17="Distrato",$I$38-1,0)),IF(AND($L$615=0,$P$612=0),"",$L$615-1),IF($R$17="Distrato",$E629,0))),0,YEARFRAC(MAX($P$612*($B629+IF($R$17="Distrato",$I$38-1,0)),IF(AND($L$615=0,$P$612=0),"",$L$615-1),IF($R$17="Distrato",$E629,0)),MIN(AN$38,$D$19),$P$20))-SUM($P629:AM629)</f>
        <v>0</v>
      </c>
      <c r="AO629" s="446">
        <f>IF(OR($B629="",MIN(AO$38,$D$19)&lt;MAX($P$612*($B629+IF($R$17="Distrato",$I$38-1,0)),IF(AND($L$615=0,$P$612=0),"",$L$615-1),IF($R$17="Distrato",$E629,0))),0,YEARFRAC(MAX($P$612*($B629+IF($R$17="Distrato",$I$38-1,0)),IF(AND($L$615=0,$P$612=0),"",$L$615-1),IF($R$17="Distrato",$E629,0)),MIN(AO$38,$D$19),$P$20))-SUM($P629:AN629)</f>
        <v>0</v>
      </c>
      <c r="AP629" s="446">
        <f>IF(OR($B629="",MIN(AP$38,$D$19)&lt;MAX($P$612*($B629+IF($R$17="Distrato",$I$38-1,0)),IF(AND($L$615=0,$P$612=0),"",$L$615-1),IF($R$17="Distrato",$E629,0))),0,YEARFRAC(MAX($P$612*($B629+IF($R$17="Distrato",$I$38-1,0)),IF(AND($L$615=0,$P$612=0),"",$L$615-1),IF($R$17="Distrato",$E629,0)),MIN(AP$38,$D$19),$P$20))-SUM($P629:AO629)</f>
        <v>0</v>
      </c>
      <c r="AQ629" s="446">
        <f>IF(OR($B629="",MIN(AQ$38,$D$19)&lt;MAX($P$612*($B629+IF($R$17="Distrato",$I$38-1,0)),IF(AND($L$615=0,$P$612=0),"",$L$615-1),IF($R$17="Distrato",$E629,0))),0,YEARFRAC(MAX($P$612*($B629+IF($R$17="Distrato",$I$38-1,0)),IF(AND($L$615=0,$P$612=0),"",$L$615-1),IF($R$17="Distrato",$E629,0)),MIN(AQ$38,$D$19),$P$20))-SUM($P629:AP629)</f>
        <v>0</v>
      </c>
      <c r="AR629" s="446">
        <f>IF(OR($B629="",MIN(AR$38,$D$19)&lt;MAX($P$612*($B629+IF($R$17="Distrato",$I$38-1,0)),IF(AND($L$615=0,$P$612=0),"",$L$615-1),IF($R$17="Distrato",$E629,0))),0,YEARFRAC(MAX($P$612*($B629+IF($R$17="Distrato",$I$38-1,0)),IF(AND($L$615=0,$P$612=0),"",$L$615-1),IF($R$17="Distrato",$E629,0)),MIN(AR$38,$D$19),$P$20))-SUM($P629:AQ629)</f>
        <v>0</v>
      </c>
      <c r="AS629" s="446">
        <f>IF(OR($B629="",MIN(AS$38,$D$19)&lt;MAX($P$612*($B629+IF($R$17="Distrato",$I$38-1,0)),IF(AND($L$615=0,$P$612=0),"",$L$615-1),IF($R$17="Distrato",$E629,0))),0,YEARFRAC(MAX($P$612*($B629+IF($R$17="Distrato",$I$38-1,0)),IF(AND($L$615=0,$P$612=0),"",$L$615-1),IF($R$17="Distrato",$E629,0)),MIN(AS$38,$D$19),$P$20))-SUM($P629:AR629)</f>
        <v>0</v>
      </c>
      <c r="AT629" s="446">
        <f>IF(OR($B629="",MIN(AT$38,$D$19)&lt;MAX($P$612*($B629+IF($R$17="Distrato",$I$38-1,0)),IF(AND($L$615=0,$P$612=0),"",$L$615-1),IF($R$17="Distrato",$E629,0))),0,YEARFRAC(MAX($P$612*($B629+IF($R$17="Distrato",$I$38-1,0)),IF(AND($L$615=0,$P$612=0),"",$L$615-1),IF($R$17="Distrato",$E629,0)),MIN(AT$38,$D$19),$P$20))-SUM($P629:AS629)</f>
        <v>0</v>
      </c>
      <c r="AU629" s="446">
        <f>IF(OR($B629="",MIN(AU$38,$D$19)&lt;MAX($P$612*($B629+IF($R$17="Distrato",$I$38-1,0)),IF(AND($L$615=0,$P$612=0),"",$L$615-1),IF($R$17="Distrato",$E629,0))),0,YEARFRAC(MAX($P$612*($B629+IF($R$17="Distrato",$I$38-1,0)),IF(AND($L$615=0,$P$612=0),"",$L$615-1),IF($R$17="Distrato",$E629,0)),MIN(AU$38,$D$19),$P$20))-SUM($P629:AT629)</f>
        <v>0</v>
      </c>
      <c r="AV629" s="446">
        <f>IF(OR($B629="",MIN(AV$38,$D$19)&lt;MAX($P$612*($B629+IF($R$17="Distrato",$I$38-1,0)),IF(AND($L$615=0,$P$612=0),"",$L$615-1),IF($R$17="Distrato",$E629,0))),0,YEARFRAC(MAX($P$612*($B629+IF($R$17="Distrato",$I$38-1,0)),IF(AND($L$615=0,$P$612=0),"",$L$615-1),IF($R$17="Distrato",$E629,0)),MIN(AV$38,$D$19),$P$20))-SUM($P629:AU629)</f>
        <v>0</v>
      </c>
      <c r="AW629" s="446">
        <f>IF(OR($B629="",MIN(AW$38,$D$19)&lt;MAX($P$612*($B629+IF($R$17="Distrato",$I$38-1,0)),IF(AND($L$615=0,$P$612=0),"",$L$615-1),IF($R$17="Distrato",$E629,0))),0,YEARFRAC(MAX($P$612*($B629+IF($R$17="Distrato",$I$38-1,0)),IF(AND($L$615=0,$P$612=0),"",$L$615-1),IF($R$17="Distrato",$E629,0)),MIN(AW$38,$D$19),$P$20))-SUM($P629:AV629)</f>
        <v>0</v>
      </c>
      <c r="AX629" s="446">
        <f>IF(OR($B629="",MIN(AX$38,$D$19)&lt;MAX($P$612*($B629+IF($R$17="Distrato",$I$38-1,0)),IF(AND($L$615=0,$P$612=0),"",$L$615-1),IF($R$17="Distrato",$E629,0))),0,YEARFRAC(MAX($P$612*($B629+IF($R$17="Distrato",$I$38-1,0)),IF(AND($L$615=0,$P$612=0),"",$L$615-1),IF($R$17="Distrato",$E629,0)),MIN(AX$38,$D$19),$P$20))-SUM($P629:AW629)</f>
        <v>0</v>
      </c>
      <c r="AY629" s="446">
        <f>IF(OR($B629="",MIN(AY$38,$D$19)&lt;MAX($P$612*($B629+IF($R$17="Distrato",$I$38-1,0)),IF(AND($L$615=0,$P$612=0),"",$L$615-1),IF($R$17="Distrato",$E629,0))),0,YEARFRAC(MAX($P$612*($B629+IF($R$17="Distrato",$I$38-1,0)),IF(AND($L$615=0,$P$612=0),"",$L$615-1),IF($R$17="Distrato",$E629,0)),MIN(AY$38,$D$19),$P$20))-SUM($P629:AX629)</f>
        <v>0</v>
      </c>
      <c r="AZ629" s="446">
        <f>IF(OR($B629="",MIN(AZ$38,$D$19)&lt;MAX($P$612*($B629+IF($R$17="Distrato",$I$38-1,0)),IF(AND($L$615=0,$P$612=0),"",$L$615-1),IF($R$17="Distrato",$E629,0))),0,YEARFRAC(MAX($P$612*($B629+IF($R$17="Distrato",$I$38-1,0)),IF(AND($L$615=0,$P$612=0),"",$L$615-1),IF($R$17="Distrato",$E629,0)),MIN(AZ$38,$D$19),$P$20))-SUM($P629:AY629)</f>
        <v>0</v>
      </c>
      <c r="BA629" s="446">
        <f>IF(OR($B629="",MIN(BA$38,$D$19)&lt;MAX($P$612*($B629+IF($R$17="Distrato",$I$38-1,0)),IF(AND($L$615=0,$P$612=0),"",$L$615-1),IF($R$17="Distrato",$E629,0))),0,YEARFRAC(MAX($P$612*($B629+IF($R$17="Distrato",$I$38-1,0)),IF(AND($L$615=0,$P$612=0),"",$L$615-1),IF($R$17="Distrato",$E629,0)),MIN(BA$38,$D$19),$P$20))-SUM($P629:AZ629)</f>
        <v>0</v>
      </c>
      <c r="BB629" s="447"/>
    </row>
    <row r="630" spans="1:54" s="446" customFormat="1" ht="11.25" hidden="1" x14ac:dyDescent="0.2">
      <c r="A630" s="177"/>
      <c r="B630" s="178"/>
      <c r="C630" s="29" t="str">
        <f>IF(B630="","",IF($L$613="SELIC - TRIBUTOS",VLOOKUP(DATE(YEAR($D$19),MONTH($D$19)-1,1),ÍNDICES!$A:$DE,HLOOKUP($BL$25,ÍNDICES!$B$3:$T$4,2)+11)-VLOOKUP(B630,ÍNDICES!$A:$DE,HLOOKUP($BL$25,ÍNDICES!$B$3:$T$4,2)+11)+1%,IF(C$616=$W$26,$J$613,IF(ISERROR(IF(B630&gt;$D$19,1,VLOOKUP(DATE(YEAR(B630),MONTH(B630)+IF($C$613=$S$23,1,0),1),ÍNDICES!$A:$DE,$Z$613+1))),"",IF(B630&gt;$D$19,1,VLOOKUP(DATE(YEAR(B630),MONTH(B630)+IF($C$613=$S$23,1,0),1),ÍNDICES!$A:$DE,$Z$613+1))))))</f>
        <v/>
      </c>
      <c r="D630" s="155"/>
      <c r="E630" s="179"/>
      <c r="F630" s="29"/>
      <c r="G630" s="180"/>
      <c r="H630" s="181"/>
      <c r="I630" s="182" t="str">
        <f t="shared" si="107"/>
        <v/>
      </c>
      <c r="J630" s="5" t="str">
        <f t="shared" si="108"/>
        <v/>
      </c>
      <c r="K630" s="5">
        <f t="shared" ca="1" si="109"/>
        <v>0</v>
      </c>
      <c r="L630" s="5">
        <f t="shared" ca="1" si="104"/>
        <v>0</v>
      </c>
      <c r="M630" s="64">
        <f t="shared" si="110"/>
        <v>0</v>
      </c>
      <c r="N630" s="61">
        <f t="shared" ca="1" si="105"/>
        <v>0</v>
      </c>
      <c r="O630" s="20">
        <f t="shared" ca="1" si="106"/>
        <v>0</v>
      </c>
      <c r="P630" s="446">
        <f t="shared" si="111"/>
        <v>0</v>
      </c>
      <c r="Q630" s="446">
        <f>IF(OR($B630="",MIN(Q$38,$D$19)&lt;MAX($P$612*($B630+IF($R$17="Distrato",$I$38-1,0)),IF(AND($L$615=0,$P$612=0),"",$L$615-1),IF($R$17="Distrato",$E630,0))),0,YEARFRAC(MAX($P$612*($B630+IF($R$17="Distrato",$I$38-1,0)),IF(AND($L$615=0,$P$612=0),"",$L$615-1),IF($R$17="Distrato",$E630,0)),MIN(Q$38,$D$19),$P$20))-SUM($P630:P630)</f>
        <v>0</v>
      </c>
      <c r="R630" s="446">
        <f>IF(OR($B630="",MIN(R$38,$D$19)&lt;MAX($P$612*($B630+IF($R$17="Distrato",$I$38-1,0)),IF(AND($L$615=0,$P$612=0),"",$L$615-1),IF($R$17="Distrato",$E630,0))),0,YEARFRAC(MAX($P$612*($B630+IF($R$17="Distrato",$I$38-1,0)),IF(AND($L$615=0,$P$612=0),"",$L$615-1),IF($R$17="Distrato",$E630,0)),MIN(R$38,$D$19),$P$20))-SUM($P630:Q630)</f>
        <v>0</v>
      </c>
      <c r="S630" s="446">
        <f>IF(OR($B630="",MIN(S$38,$D$19)&lt;MAX($P$612*($B630+IF($R$17="Distrato",$I$38-1,0)),IF(AND($L$615=0,$P$612=0),"",$L$615-1),IF($R$17="Distrato",$E630,0))),0,YEARFRAC(MAX($P$612*($B630+IF($R$17="Distrato",$I$38-1,0)),IF(AND($L$615=0,$P$612=0),"",$L$615-1),IF($R$17="Distrato",$E630,0)),MIN(S$38,$D$19),$P$20))-SUM($P630:R630)</f>
        <v>0</v>
      </c>
      <c r="T630" s="446">
        <f>IF(OR($B630="",MIN(T$38,$D$19)&lt;MAX($P$612*($B630+IF($R$17="Distrato",$I$38-1,0)),IF(AND($L$615=0,$P$612=0),"",$L$615-1),IF($R$17="Distrato",$E630,0))),0,YEARFRAC(MAX($P$612*($B630+IF($R$17="Distrato",$I$38-1,0)),IF(AND($L$615=0,$P$612=0),"",$L$615-1),IF($R$17="Distrato",$E630,0)),MIN(T$38,$D$19),$P$20))-SUM($P630:S630)</f>
        <v>0</v>
      </c>
      <c r="U630" s="446">
        <f>IF(OR($B630="",MIN(U$38,$D$19)&lt;MAX($P$612*($B630+IF($R$17="Distrato",$I$38-1,0)),IF(AND($L$615=0,$P$612=0),"",$L$615-1),IF($R$17="Distrato",$E630,0))),0,YEARFRAC(MAX($P$612*($B630+IF($R$17="Distrato",$I$38-1,0)),IF(AND($L$615=0,$P$612=0),"",$L$615-1),IF($R$17="Distrato",$E630,0)),MIN(U$38,$D$19),$P$20))-SUM($P630:T630)</f>
        <v>0</v>
      </c>
      <c r="V630" s="446">
        <f>IF(OR($B630="",MIN(V$38,$D$19)&lt;MAX($P$612*($B630+IF($R$17="Distrato",$I$38-1,0)),IF(AND($L$615=0,$P$612=0),"",$L$615-1),IF($R$17="Distrato",$E630,0))),0,YEARFRAC(MAX($P$612*($B630+IF($R$17="Distrato",$I$38-1,0)),IF(AND($L$615=0,$P$612=0),"",$L$615-1),IF($R$17="Distrato",$E630,0)),MIN(V$38,$D$19),$P$20))-SUM($P630:U630)</f>
        <v>0</v>
      </c>
      <c r="W630" s="446">
        <f>IF(OR($B630="",MIN(W$38,$D$19)&lt;MAX($P$612*($B630+IF($R$17="Distrato",$I$38-1,0)),IF(AND($L$615=0,$P$612=0),"",$L$615-1),IF($R$17="Distrato",$E630,0))),0,YEARFRAC(MAX($P$612*($B630+IF($R$17="Distrato",$I$38-1,0)),IF(AND($L$615=0,$P$612=0),"",$L$615-1),IF($R$17="Distrato",$E630,0)),MIN(W$38,$D$19),$P$20))-SUM($P630:V630)</f>
        <v>0</v>
      </c>
      <c r="X630" s="446">
        <f>IF(OR($B630="",MIN(X$38,$D$19)&lt;MAX($P$612*($B630+IF($R$17="Distrato",$I$38-1,0)),IF(AND($L$615=0,$P$612=0),"",$L$615-1),IF($R$17="Distrato",$E630,0))),0,YEARFRAC(MAX($P$612*($B630+IF($R$17="Distrato",$I$38-1,0)),IF(AND($L$615=0,$P$612=0),"",$L$615-1),IF($R$17="Distrato",$E630,0)),MIN(X$38,$D$19),$P$20))-SUM($P630:W630)</f>
        <v>0</v>
      </c>
      <c r="Y630" s="446">
        <f>IF(OR($B630="",MIN(Y$38,$D$19)&lt;MAX($P$612*($B630+IF($R$17="Distrato",$I$38-1,0)),IF(AND($L$615=0,$P$612=0),"",$L$615-1),IF($R$17="Distrato",$E630,0))),0,YEARFRAC(MAX($P$612*($B630+IF($R$17="Distrato",$I$38-1,0)),IF(AND($L$615=0,$P$612=0),"",$L$615-1),IF($R$17="Distrato",$E630,0)),MIN(Y$38,$D$19),$P$20))-SUM($P630:X630)</f>
        <v>0</v>
      </c>
      <c r="Z630" s="446">
        <f>IF(OR($B630="",MIN(Z$38,$D$19)&lt;MAX($P$612*($B630+IF($R$17="Distrato",$I$38-1,0)),IF(AND($L$615=0,$P$612=0),"",$L$615-1),IF($R$17="Distrato",$E630,0))),0,YEARFRAC(MAX($P$612*($B630+IF($R$17="Distrato",$I$38-1,0)),IF(AND($L$615=0,$P$612=0),"",$L$615-1),IF($R$17="Distrato",$E630,0)),MIN(Z$38,$D$19),$P$20))-SUM($P630:Y630)</f>
        <v>0</v>
      </c>
      <c r="AA630" s="446">
        <f>IF(OR($B630="",MIN(AA$38,$D$19)&lt;MAX($P$612*($B630+IF($R$17="Distrato",$I$38-1,0)),IF(AND($L$615=0,$P$612=0),"",$L$615-1),IF($R$17="Distrato",$E630,0))),0,YEARFRAC(MAX($P$612*($B630+IF($R$17="Distrato",$I$38-1,0)),IF(AND($L$615=0,$P$612=0),"",$L$615-1),IF($R$17="Distrato",$E630,0)),MIN(AA$38,$D$19),$P$20))-SUM($P630:Z630)</f>
        <v>0</v>
      </c>
      <c r="AB630" s="446">
        <f>IF(OR($B630="",MIN(AB$38,$D$19)&lt;MAX($P$612*($B630+IF($R$17="Distrato",$I$38-1,0)),IF(AND($L$615=0,$P$612=0),"",$L$615-1),IF($R$17="Distrato",$E630,0))),0,YEARFRAC(MAX($P$612*($B630+IF($R$17="Distrato",$I$38-1,0)),IF(AND($L$615=0,$P$612=0),"",$L$615-1),IF($R$17="Distrato",$E630,0)),MIN(AB$38,$D$19),$P$20))-SUM($P630:AA630)</f>
        <v>0</v>
      </c>
      <c r="AC630" s="446">
        <f>IF(OR($B630="",MIN(AC$38,$D$19)&lt;MAX($P$612*($B630+IF($R$17="Distrato",$I$38-1,0)),IF(AND($L$615=0,$P$612=0),"",$L$615-1),IF($R$17="Distrato",$E630,0))),0,YEARFRAC(MAX($P$612*($B630+IF($R$17="Distrato",$I$38-1,0)),IF(AND($L$615=0,$P$612=0),"",$L$615-1),IF($R$17="Distrato",$E630,0)),MIN(AC$38,$D$19),$P$20))-SUM($P630:AB630)</f>
        <v>0</v>
      </c>
      <c r="AD630" s="446">
        <f>IF(OR($B630="",MIN(AD$38,$D$19)&lt;MAX($P$612*($B630+IF($R$17="Distrato",$I$38-1,0)),IF(AND($L$615=0,$P$612=0),"",$L$615-1),IF($R$17="Distrato",$E630,0))),0,YEARFRAC(MAX($P$612*($B630+IF($R$17="Distrato",$I$38-1,0)),IF(AND($L$615=0,$P$612=0),"",$L$615-1),IF($R$17="Distrato",$E630,0)),MIN(AD$38,$D$19),$P$20))-SUM($P630:AC630)</f>
        <v>0</v>
      </c>
      <c r="AE630" s="446">
        <f>IF(OR($B630="",MIN(AE$38,$D$19)&lt;MAX($P$612*($B630+IF($R$17="Distrato",$I$38-1,0)),IF(AND($L$615=0,$P$612=0),"",$L$615-1),IF($R$17="Distrato",$E630,0))),0,YEARFRAC(MAX($P$612*($B630+IF($R$17="Distrato",$I$38-1,0)),IF(AND($L$615=0,$P$612=0),"",$L$615-1),IF($R$17="Distrato",$E630,0)),MIN(AE$38,$D$19),$P$20))-SUM($P630:AD630)</f>
        <v>0</v>
      </c>
      <c r="AF630" s="446">
        <f>IF(OR($B630="",MIN(AF$38,$D$19)&lt;MAX($P$612*($B630+IF($R$17="Distrato",$I$38-1,0)),IF(AND($L$615=0,$P$612=0),"",$L$615-1),IF($R$17="Distrato",$E630,0))),0,YEARFRAC(MAX($P$612*($B630+IF($R$17="Distrato",$I$38-1,0)),IF(AND($L$615=0,$P$612=0),"",$L$615-1),IF($R$17="Distrato",$E630,0)),MIN(AF$38,$D$19),$P$20))-SUM($P630:AE630)</f>
        <v>0</v>
      </c>
      <c r="AG630" s="446">
        <f>IF(OR($B630="",MIN(AG$38,$D$19)&lt;MAX($P$612*($B630+IF($R$17="Distrato",$I$38-1,0)),IF(AND($L$615=0,$P$612=0),"",$L$615-1),IF($R$17="Distrato",$E630,0))),0,YEARFRAC(MAX($P$612*($B630+IF($R$17="Distrato",$I$38-1,0)),IF(AND($L$615=0,$P$612=0),"",$L$615-1),IF($R$17="Distrato",$E630,0)),MIN(AG$38,$D$19),$P$20))-SUM($P630:AF630)</f>
        <v>0</v>
      </c>
      <c r="AH630" s="446">
        <f>IF(OR($B630="",MIN(AH$38,$D$19)&lt;MAX($P$612*($B630+IF($R$17="Distrato",$I$38-1,0)),IF(AND($L$615=0,$P$612=0),"",$L$615-1),IF($R$17="Distrato",$E630,0))),0,YEARFRAC(MAX($P$612*($B630+IF($R$17="Distrato",$I$38-1,0)),IF(AND($L$615=0,$P$612=0),"",$L$615-1),IF($R$17="Distrato",$E630,0)),MIN(AH$38,$D$19),$P$20))-SUM($P630:AG630)</f>
        <v>0</v>
      </c>
      <c r="AI630" s="446">
        <f>IF(OR($B630="",MIN(AI$38,$D$19)&lt;MAX($P$612*($B630+IF($R$17="Distrato",$I$38-1,0)),IF(AND($L$615=0,$P$612=0),"",$L$615-1),IF($R$17="Distrato",$E630,0))),0,YEARFRAC(MAX($P$612*($B630+IF($R$17="Distrato",$I$38-1,0)),IF(AND($L$615=0,$P$612=0),"",$L$615-1),IF($R$17="Distrato",$E630,0)),MIN(AI$38,$D$19),$P$20))-SUM($P630:AH630)</f>
        <v>0</v>
      </c>
      <c r="AJ630" s="446">
        <f>IF(OR($B630="",MIN(AJ$38,$D$19)&lt;MAX($P$612*($B630+IF($R$17="Distrato",$I$38-1,0)),IF(AND($L$615=0,$P$612=0),"",$L$615-1),IF($R$17="Distrato",$E630,0))),0,YEARFRAC(MAX($P$612*($B630+IF($R$17="Distrato",$I$38-1,0)),IF(AND($L$615=0,$P$612=0),"",$L$615-1),IF($R$17="Distrato",$E630,0)),MIN(AJ$38,$D$19),$P$20))-SUM($P630:AI630)</f>
        <v>0</v>
      </c>
      <c r="AK630" s="446">
        <f>IF(OR($B630="",MIN(AK$38,$D$19)&lt;MAX($P$612*($B630+IF($R$17="Distrato",$I$38-1,0)),IF(AND($L$615=0,$P$612=0),"",$L$615-1),IF($R$17="Distrato",$E630,0))),0,YEARFRAC(MAX($P$612*($B630+IF($R$17="Distrato",$I$38-1,0)),IF(AND($L$615=0,$P$612=0),"",$L$615-1),IF($R$17="Distrato",$E630,0)),MIN(AK$38,$D$19),$P$20))-SUM($P630:AJ630)</f>
        <v>0</v>
      </c>
      <c r="AL630" s="446">
        <f>IF(OR($B630="",MIN(AL$38,$D$19)&lt;MAX($P$612*($B630+IF($R$17="Distrato",$I$38-1,0)),IF(AND($L$615=0,$P$612=0),"",$L$615-1),IF($R$17="Distrato",$E630,0))),0,YEARFRAC(MAX($P$612*($B630+IF($R$17="Distrato",$I$38-1,0)),IF(AND($L$615=0,$P$612=0),"",$L$615-1),IF($R$17="Distrato",$E630,0)),MIN(AL$38,$D$19),$P$20))-SUM($P630:AK630)</f>
        <v>0</v>
      </c>
      <c r="AM630" s="446">
        <f>IF(OR($B630="",MIN(AM$38,$D$19)&lt;MAX($P$612*($B630+IF($R$17="Distrato",$I$38-1,0)),IF(AND($L$615=0,$P$612=0),"",$L$615-1),IF($R$17="Distrato",$E630,0))),0,YEARFRAC(MAX($P$612*($B630+IF($R$17="Distrato",$I$38-1,0)),IF(AND($L$615=0,$P$612=0),"",$L$615-1),IF($R$17="Distrato",$E630,0)),MIN(AM$38,$D$19),$P$20))-SUM($P630:AL630)</f>
        <v>0</v>
      </c>
      <c r="AN630" s="446">
        <f>IF(OR($B630="",MIN(AN$38,$D$19)&lt;MAX($P$612*($B630+IF($R$17="Distrato",$I$38-1,0)),IF(AND($L$615=0,$P$612=0),"",$L$615-1),IF($R$17="Distrato",$E630,0))),0,YEARFRAC(MAX($P$612*($B630+IF($R$17="Distrato",$I$38-1,0)),IF(AND($L$615=0,$P$612=0),"",$L$615-1),IF($R$17="Distrato",$E630,0)),MIN(AN$38,$D$19),$P$20))-SUM($P630:AM630)</f>
        <v>0</v>
      </c>
      <c r="AO630" s="446">
        <f>IF(OR($B630="",MIN(AO$38,$D$19)&lt;MAX($P$612*($B630+IF($R$17="Distrato",$I$38-1,0)),IF(AND($L$615=0,$P$612=0),"",$L$615-1),IF($R$17="Distrato",$E630,0))),0,YEARFRAC(MAX($P$612*($B630+IF($R$17="Distrato",$I$38-1,0)),IF(AND($L$615=0,$P$612=0),"",$L$615-1),IF($R$17="Distrato",$E630,0)),MIN(AO$38,$D$19),$P$20))-SUM($P630:AN630)</f>
        <v>0</v>
      </c>
      <c r="AP630" s="446">
        <f>IF(OR($B630="",MIN(AP$38,$D$19)&lt;MAX($P$612*($B630+IF($R$17="Distrato",$I$38-1,0)),IF(AND($L$615=0,$P$612=0),"",$L$615-1),IF($R$17="Distrato",$E630,0))),0,YEARFRAC(MAX($P$612*($B630+IF($R$17="Distrato",$I$38-1,0)),IF(AND($L$615=0,$P$612=0),"",$L$615-1),IF($R$17="Distrato",$E630,0)),MIN(AP$38,$D$19),$P$20))-SUM($P630:AO630)</f>
        <v>0</v>
      </c>
      <c r="AQ630" s="446">
        <f>IF(OR($B630="",MIN(AQ$38,$D$19)&lt;MAX($P$612*($B630+IF($R$17="Distrato",$I$38-1,0)),IF(AND($L$615=0,$P$612=0),"",$L$615-1),IF($R$17="Distrato",$E630,0))),0,YEARFRAC(MAX($P$612*($B630+IF($R$17="Distrato",$I$38-1,0)),IF(AND($L$615=0,$P$612=0),"",$L$615-1),IF($R$17="Distrato",$E630,0)),MIN(AQ$38,$D$19),$P$20))-SUM($P630:AP630)</f>
        <v>0</v>
      </c>
      <c r="AR630" s="446">
        <f>IF(OR($B630="",MIN(AR$38,$D$19)&lt;MAX($P$612*($B630+IF($R$17="Distrato",$I$38-1,0)),IF(AND($L$615=0,$P$612=0),"",$L$615-1),IF($R$17="Distrato",$E630,0))),0,YEARFRAC(MAX($P$612*($B630+IF($R$17="Distrato",$I$38-1,0)),IF(AND($L$615=0,$P$612=0),"",$L$615-1),IF($R$17="Distrato",$E630,0)),MIN(AR$38,$D$19),$P$20))-SUM($P630:AQ630)</f>
        <v>0</v>
      </c>
      <c r="AS630" s="446">
        <f>IF(OR($B630="",MIN(AS$38,$D$19)&lt;MAX($P$612*($B630+IF($R$17="Distrato",$I$38-1,0)),IF(AND($L$615=0,$P$612=0),"",$L$615-1),IF($R$17="Distrato",$E630,0))),0,YEARFRAC(MAX($P$612*($B630+IF($R$17="Distrato",$I$38-1,0)),IF(AND($L$615=0,$P$612=0),"",$L$615-1),IF($R$17="Distrato",$E630,0)),MIN(AS$38,$D$19),$P$20))-SUM($P630:AR630)</f>
        <v>0</v>
      </c>
      <c r="AT630" s="446">
        <f>IF(OR($B630="",MIN(AT$38,$D$19)&lt;MAX($P$612*($B630+IF($R$17="Distrato",$I$38-1,0)),IF(AND($L$615=0,$P$612=0),"",$L$615-1),IF($R$17="Distrato",$E630,0))),0,YEARFRAC(MAX($P$612*($B630+IF($R$17="Distrato",$I$38-1,0)),IF(AND($L$615=0,$P$612=0),"",$L$615-1),IF($R$17="Distrato",$E630,0)),MIN(AT$38,$D$19),$P$20))-SUM($P630:AS630)</f>
        <v>0</v>
      </c>
      <c r="AU630" s="446">
        <f>IF(OR($B630="",MIN(AU$38,$D$19)&lt;MAX($P$612*($B630+IF($R$17="Distrato",$I$38-1,0)),IF(AND($L$615=0,$P$612=0),"",$L$615-1),IF($R$17="Distrato",$E630,0))),0,YEARFRAC(MAX($P$612*($B630+IF($R$17="Distrato",$I$38-1,0)),IF(AND($L$615=0,$P$612=0),"",$L$615-1),IF($R$17="Distrato",$E630,0)),MIN(AU$38,$D$19),$P$20))-SUM($P630:AT630)</f>
        <v>0</v>
      </c>
      <c r="AV630" s="446">
        <f>IF(OR($B630="",MIN(AV$38,$D$19)&lt;MAX($P$612*($B630+IF($R$17="Distrato",$I$38-1,0)),IF(AND($L$615=0,$P$612=0),"",$L$615-1),IF($R$17="Distrato",$E630,0))),0,YEARFRAC(MAX($P$612*($B630+IF($R$17="Distrato",$I$38-1,0)),IF(AND($L$615=0,$P$612=0),"",$L$615-1),IF($R$17="Distrato",$E630,0)),MIN(AV$38,$D$19),$P$20))-SUM($P630:AU630)</f>
        <v>0</v>
      </c>
      <c r="AW630" s="446">
        <f>IF(OR($B630="",MIN(AW$38,$D$19)&lt;MAX($P$612*($B630+IF($R$17="Distrato",$I$38-1,0)),IF(AND($L$615=0,$P$612=0),"",$L$615-1),IF($R$17="Distrato",$E630,0))),0,YEARFRAC(MAX($P$612*($B630+IF($R$17="Distrato",$I$38-1,0)),IF(AND($L$615=0,$P$612=0),"",$L$615-1),IF($R$17="Distrato",$E630,0)),MIN(AW$38,$D$19),$P$20))-SUM($P630:AV630)</f>
        <v>0</v>
      </c>
      <c r="AX630" s="446">
        <f>IF(OR($B630="",MIN(AX$38,$D$19)&lt;MAX($P$612*($B630+IF($R$17="Distrato",$I$38-1,0)),IF(AND($L$615=0,$P$612=0),"",$L$615-1),IF($R$17="Distrato",$E630,0))),0,YEARFRAC(MAX($P$612*($B630+IF($R$17="Distrato",$I$38-1,0)),IF(AND($L$615=0,$P$612=0),"",$L$615-1),IF($R$17="Distrato",$E630,0)),MIN(AX$38,$D$19),$P$20))-SUM($P630:AW630)</f>
        <v>0</v>
      </c>
      <c r="AY630" s="446">
        <f>IF(OR($B630="",MIN(AY$38,$D$19)&lt;MAX($P$612*($B630+IF($R$17="Distrato",$I$38-1,0)),IF(AND($L$615=0,$P$612=0),"",$L$615-1),IF($R$17="Distrato",$E630,0))),0,YEARFRAC(MAX($P$612*($B630+IF($R$17="Distrato",$I$38-1,0)),IF(AND($L$615=0,$P$612=0),"",$L$615-1),IF($R$17="Distrato",$E630,0)),MIN(AY$38,$D$19),$P$20))-SUM($P630:AX630)</f>
        <v>0</v>
      </c>
      <c r="AZ630" s="446">
        <f>IF(OR($B630="",MIN(AZ$38,$D$19)&lt;MAX($P$612*($B630+IF($R$17="Distrato",$I$38-1,0)),IF(AND($L$615=0,$P$612=0),"",$L$615-1),IF($R$17="Distrato",$E630,0))),0,YEARFRAC(MAX($P$612*($B630+IF($R$17="Distrato",$I$38-1,0)),IF(AND($L$615=0,$P$612=0),"",$L$615-1),IF($R$17="Distrato",$E630,0)),MIN(AZ$38,$D$19),$P$20))-SUM($P630:AY630)</f>
        <v>0</v>
      </c>
      <c r="BA630" s="446">
        <f>IF(OR($B630="",MIN(BA$38,$D$19)&lt;MAX($P$612*($B630+IF($R$17="Distrato",$I$38-1,0)),IF(AND($L$615=0,$P$612=0),"",$L$615-1),IF($R$17="Distrato",$E630,0))),0,YEARFRAC(MAX($P$612*($B630+IF($R$17="Distrato",$I$38-1,0)),IF(AND($L$615=0,$P$612=0),"",$L$615-1),IF($R$17="Distrato",$E630,0)),MIN(BA$38,$D$19),$P$20))-SUM($P630:AZ630)</f>
        <v>0</v>
      </c>
      <c r="BB630" s="447"/>
    </row>
    <row r="631" spans="1:54" s="446" customFormat="1" ht="11.25" hidden="1" x14ac:dyDescent="0.2">
      <c r="A631" s="177"/>
      <c r="B631" s="178"/>
      <c r="C631" s="29" t="str">
        <f>IF(B631="","",IF($L$613="SELIC - TRIBUTOS",VLOOKUP(DATE(YEAR($D$19),MONTH($D$19)-1,1),ÍNDICES!$A:$DE,HLOOKUP($BL$25,ÍNDICES!$B$3:$T$4,2)+11)-VLOOKUP(B631,ÍNDICES!$A:$DE,HLOOKUP($BL$25,ÍNDICES!$B$3:$T$4,2)+11)+1%,IF(C$616=$W$26,$J$613,IF(ISERROR(IF(B631&gt;$D$19,1,VLOOKUP(DATE(YEAR(B631),MONTH(B631)+IF($C$613=$S$23,1,0),1),ÍNDICES!$A:$DE,$Z$613+1))),"",IF(B631&gt;$D$19,1,VLOOKUP(DATE(YEAR(B631),MONTH(B631)+IF($C$613=$S$23,1,0),1),ÍNDICES!$A:$DE,$Z$613+1))))))</f>
        <v/>
      </c>
      <c r="D631" s="155"/>
      <c r="E631" s="179"/>
      <c r="F631" s="29"/>
      <c r="G631" s="180"/>
      <c r="H631" s="181"/>
      <c r="I631" s="182" t="str">
        <f t="shared" si="107"/>
        <v/>
      </c>
      <c r="J631" s="5" t="str">
        <f t="shared" si="108"/>
        <v/>
      </c>
      <c r="K631" s="5">
        <f t="shared" ca="1" si="109"/>
        <v>0</v>
      </c>
      <c r="L631" s="5">
        <f t="shared" ca="1" si="104"/>
        <v>0</v>
      </c>
      <c r="M631" s="64">
        <f t="shared" si="110"/>
        <v>0</v>
      </c>
      <c r="N631" s="61">
        <f t="shared" ca="1" si="105"/>
        <v>0</v>
      </c>
      <c r="O631" s="20">
        <f t="shared" ca="1" si="106"/>
        <v>0</v>
      </c>
      <c r="P631" s="446">
        <f t="shared" si="111"/>
        <v>0</v>
      </c>
      <c r="Q631" s="446">
        <f>IF(OR($B631="",MIN(Q$38,$D$19)&lt;MAX($P$612*($B631+IF($R$17="Distrato",$I$38-1,0)),IF(AND($L$615=0,$P$612=0),"",$L$615-1),IF($R$17="Distrato",$E631,0))),0,YEARFRAC(MAX($P$612*($B631+IF($R$17="Distrato",$I$38-1,0)),IF(AND($L$615=0,$P$612=0),"",$L$615-1),IF($R$17="Distrato",$E631,0)),MIN(Q$38,$D$19),$P$20))-SUM($P631:P631)</f>
        <v>0</v>
      </c>
      <c r="R631" s="446">
        <f>IF(OR($B631="",MIN(R$38,$D$19)&lt;MAX($P$612*($B631+IF($R$17="Distrato",$I$38-1,0)),IF(AND($L$615=0,$P$612=0),"",$L$615-1),IF($R$17="Distrato",$E631,0))),0,YEARFRAC(MAX($P$612*($B631+IF($R$17="Distrato",$I$38-1,0)),IF(AND($L$615=0,$P$612=0),"",$L$615-1),IF($R$17="Distrato",$E631,0)),MIN(R$38,$D$19),$P$20))-SUM($P631:Q631)</f>
        <v>0</v>
      </c>
      <c r="S631" s="446">
        <f>IF(OR($B631="",MIN(S$38,$D$19)&lt;MAX($P$612*($B631+IF($R$17="Distrato",$I$38-1,0)),IF(AND($L$615=0,$P$612=0),"",$L$615-1),IF($R$17="Distrato",$E631,0))),0,YEARFRAC(MAX($P$612*($B631+IF($R$17="Distrato",$I$38-1,0)),IF(AND($L$615=0,$P$612=0),"",$L$615-1),IF($R$17="Distrato",$E631,0)),MIN(S$38,$D$19),$P$20))-SUM($P631:R631)</f>
        <v>0</v>
      </c>
      <c r="T631" s="446">
        <f>IF(OR($B631="",MIN(T$38,$D$19)&lt;MAX($P$612*($B631+IF($R$17="Distrato",$I$38-1,0)),IF(AND($L$615=0,$P$612=0),"",$L$615-1),IF($R$17="Distrato",$E631,0))),0,YEARFRAC(MAX($P$612*($B631+IF($R$17="Distrato",$I$38-1,0)),IF(AND($L$615=0,$P$612=0),"",$L$615-1),IF($R$17="Distrato",$E631,0)),MIN(T$38,$D$19),$P$20))-SUM($P631:S631)</f>
        <v>0</v>
      </c>
      <c r="U631" s="446">
        <f>IF(OR($B631="",MIN(U$38,$D$19)&lt;MAX($P$612*($B631+IF($R$17="Distrato",$I$38-1,0)),IF(AND($L$615=0,$P$612=0),"",$L$615-1),IF($R$17="Distrato",$E631,0))),0,YEARFRAC(MAX($P$612*($B631+IF($R$17="Distrato",$I$38-1,0)),IF(AND($L$615=0,$P$612=0),"",$L$615-1),IF($R$17="Distrato",$E631,0)),MIN(U$38,$D$19),$P$20))-SUM($P631:T631)</f>
        <v>0</v>
      </c>
      <c r="V631" s="446">
        <f>IF(OR($B631="",MIN(V$38,$D$19)&lt;MAX($P$612*($B631+IF($R$17="Distrato",$I$38-1,0)),IF(AND($L$615=0,$P$612=0),"",$L$615-1),IF($R$17="Distrato",$E631,0))),0,YEARFRAC(MAX($P$612*($B631+IF($R$17="Distrato",$I$38-1,0)),IF(AND($L$615=0,$P$612=0),"",$L$615-1),IF($R$17="Distrato",$E631,0)),MIN(V$38,$D$19),$P$20))-SUM($P631:U631)</f>
        <v>0</v>
      </c>
      <c r="W631" s="446">
        <f>IF(OR($B631="",MIN(W$38,$D$19)&lt;MAX($P$612*($B631+IF($R$17="Distrato",$I$38-1,0)),IF(AND($L$615=0,$P$612=0),"",$L$615-1),IF($R$17="Distrato",$E631,0))),0,YEARFRAC(MAX($P$612*($B631+IF($R$17="Distrato",$I$38-1,0)),IF(AND($L$615=0,$P$612=0),"",$L$615-1),IF($R$17="Distrato",$E631,0)),MIN(W$38,$D$19),$P$20))-SUM($P631:V631)</f>
        <v>0</v>
      </c>
      <c r="X631" s="446">
        <f>IF(OR($B631="",MIN(X$38,$D$19)&lt;MAX($P$612*($B631+IF($R$17="Distrato",$I$38-1,0)),IF(AND($L$615=0,$P$612=0),"",$L$615-1),IF($R$17="Distrato",$E631,0))),0,YEARFRAC(MAX($P$612*($B631+IF($R$17="Distrato",$I$38-1,0)),IF(AND($L$615=0,$P$612=0),"",$L$615-1),IF($R$17="Distrato",$E631,0)),MIN(X$38,$D$19),$P$20))-SUM($P631:W631)</f>
        <v>0</v>
      </c>
      <c r="Y631" s="446">
        <f>IF(OR($B631="",MIN(Y$38,$D$19)&lt;MAX($P$612*($B631+IF($R$17="Distrato",$I$38-1,0)),IF(AND($L$615=0,$P$612=0),"",$L$615-1),IF($R$17="Distrato",$E631,0))),0,YEARFRAC(MAX($P$612*($B631+IF($R$17="Distrato",$I$38-1,0)),IF(AND($L$615=0,$P$612=0),"",$L$615-1),IF($R$17="Distrato",$E631,0)),MIN(Y$38,$D$19),$P$20))-SUM($P631:X631)</f>
        <v>0</v>
      </c>
      <c r="Z631" s="446">
        <f>IF(OR($B631="",MIN(Z$38,$D$19)&lt;MAX($P$612*($B631+IF($R$17="Distrato",$I$38-1,0)),IF(AND($L$615=0,$P$612=0),"",$L$615-1),IF($R$17="Distrato",$E631,0))),0,YEARFRAC(MAX($P$612*($B631+IF($R$17="Distrato",$I$38-1,0)),IF(AND($L$615=0,$P$612=0),"",$L$615-1),IF($R$17="Distrato",$E631,0)),MIN(Z$38,$D$19),$P$20))-SUM($P631:Y631)</f>
        <v>0</v>
      </c>
      <c r="AA631" s="446">
        <f>IF(OR($B631="",MIN(AA$38,$D$19)&lt;MAX($P$612*($B631+IF($R$17="Distrato",$I$38-1,0)),IF(AND($L$615=0,$P$612=0),"",$L$615-1),IF($R$17="Distrato",$E631,0))),0,YEARFRAC(MAX($P$612*($B631+IF($R$17="Distrato",$I$38-1,0)),IF(AND($L$615=0,$P$612=0),"",$L$615-1),IF($R$17="Distrato",$E631,0)),MIN(AA$38,$D$19),$P$20))-SUM($P631:Z631)</f>
        <v>0</v>
      </c>
      <c r="AB631" s="446">
        <f>IF(OR($B631="",MIN(AB$38,$D$19)&lt;MAX($P$612*($B631+IF($R$17="Distrato",$I$38-1,0)),IF(AND($L$615=0,$P$612=0),"",$L$615-1),IF($R$17="Distrato",$E631,0))),0,YEARFRAC(MAX($P$612*($B631+IF($R$17="Distrato",$I$38-1,0)),IF(AND($L$615=0,$P$612=0),"",$L$615-1),IF($R$17="Distrato",$E631,0)),MIN(AB$38,$D$19),$P$20))-SUM($P631:AA631)</f>
        <v>0</v>
      </c>
      <c r="AC631" s="446">
        <f>IF(OR($B631="",MIN(AC$38,$D$19)&lt;MAX($P$612*($B631+IF($R$17="Distrato",$I$38-1,0)),IF(AND($L$615=0,$P$612=0),"",$L$615-1),IF($R$17="Distrato",$E631,0))),0,YEARFRAC(MAX($P$612*($B631+IF($R$17="Distrato",$I$38-1,0)),IF(AND($L$615=0,$P$612=0),"",$L$615-1),IF($R$17="Distrato",$E631,0)),MIN(AC$38,$D$19),$P$20))-SUM($P631:AB631)</f>
        <v>0</v>
      </c>
      <c r="AD631" s="446">
        <f>IF(OR($B631="",MIN(AD$38,$D$19)&lt;MAX($P$612*($B631+IF($R$17="Distrato",$I$38-1,0)),IF(AND($L$615=0,$P$612=0),"",$L$615-1),IF($R$17="Distrato",$E631,0))),0,YEARFRAC(MAX($P$612*($B631+IF($R$17="Distrato",$I$38-1,0)),IF(AND($L$615=0,$P$612=0),"",$L$615-1),IF($R$17="Distrato",$E631,0)),MIN(AD$38,$D$19),$P$20))-SUM($P631:AC631)</f>
        <v>0</v>
      </c>
      <c r="AE631" s="446">
        <f>IF(OR($B631="",MIN(AE$38,$D$19)&lt;MAX($P$612*($B631+IF($R$17="Distrato",$I$38-1,0)),IF(AND($L$615=0,$P$612=0),"",$L$615-1),IF($R$17="Distrato",$E631,0))),0,YEARFRAC(MAX($P$612*($B631+IF($R$17="Distrato",$I$38-1,0)),IF(AND($L$615=0,$P$612=0),"",$L$615-1),IF($R$17="Distrato",$E631,0)),MIN(AE$38,$D$19),$P$20))-SUM($P631:AD631)</f>
        <v>0</v>
      </c>
      <c r="AF631" s="446">
        <f>IF(OR($B631="",MIN(AF$38,$D$19)&lt;MAX($P$612*($B631+IF($R$17="Distrato",$I$38-1,0)),IF(AND($L$615=0,$P$612=0),"",$L$615-1),IF($R$17="Distrato",$E631,0))),0,YEARFRAC(MAX($P$612*($B631+IF($R$17="Distrato",$I$38-1,0)),IF(AND($L$615=0,$P$612=0),"",$L$615-1),IF($R$17="Distrato",$E631,0)),MIN(AF$38,$D$19),$P$20))-SUM($P631:AE631)</f>
        <v>0</v>
      </c>
      <c r="AG631" s="446">
        <f>IF(OR($B631="",MIN(AG$38,$D$19)&lt;MAX($P$612*($B631+IF($R$17="Distrato",$I$38-1,0)),IF(AND($L$615=0,$P$612=0),"",$L$615-1),IF($R$17="Distrato",$E631,0))),0,YEARFRAC(MAX($P$612*($B631+IF($R$17="Distrato",$I$38-1,0)),IF(AND($L$615=0,$P$612=0),"",$L$615-1),IF($R$17="Distrato",$E631,0)),MIN(AG$38,$D$19),$P$20))-SUM($P631:AF631)</f>
        <v>0</v>
      </c>
      <c r="AH631" s="446">
        <f>IF(OR($B631="",MIN(AH$38,$D$19)&lt;MAX($P$612*($B631+IF($R$17="Distrato",$I$38-1,0)),IF(AND($L$615=0,$P$612=0),"",$L$615-1),IF($R$17="Distrato",$E631,0))),0,YEARFRAC(MAX($P$612*($B631+IF($R$17="Distrato",$I$38-1,0)),IF(AND($L$615=0,$P$612=0),"",$L$615-1),IF($R$17="Distrato",$E631,0)),MIN(AH$38,$D$19),$P$20))-SUM($P631:AG631)</f>
        <v>0</v>
      </c>
      <c r="AI631" s="446">
        <f>IF(OR($B631="",MIN(AI$38,$D$19)&lt;MAX($P$612*($B631+IF($R$17="Distrato",$I$38-1,0)),IF(AND($L$615=0,$P$612=0),"",$L$615-1),IF($R$17="Distrato",$E631,0))),0,YEARFRAC(MAX($P$612*($B631+IF($R$17="Distrato",$I$38-1,0)),IF(AND($L$615=0,$P$612=0),"",$L$615-1),IF($R$17="Distrato",$E631,0)),MIN(AI$38,$D$19),$P$20))-SUM($P631:AH631)</f>
        <v>0</v>
      </c>
      <c r="AJ631" s="446">
        <f>IF(OR($B631="",MIN(AJ$38,$D$19)&lt;MAX($P$612*($B631+IF($R$17="Distrato",$I$38-1,0)),IF(AND($L$615=0,$P$612=0),"",$L$615-1),IF($R$17="Distrato",$E631,0))),0,YEARFRAC(MAX($P$612*($B631+IF($R$17="Distrato",$I$38-1,0)),IF(AND($L$615=0,$P$612=0),"",$L$615-1),IF($R$17="Distrato",$E631,0)),MIN(AJ$38,$D$19),$P$20))-SUM($P631:AI631)</f>
        <v>0</v>
      </c>
      <c r="AK631" s="446">
        <f>IF(OR($B631="",MIN(AK$38,$D$19)&lt;MAX($P$612*($B631+IF($R$17="Distrato",$I$38-1,0)),IF(AND($L$615=0,$P$612=0),"",$L$615-1),IF($R$17="Distrato",$E631,0))),0,YEARFRAC(MAX($P$612*($B631+IF($R$17="Distrato",$I$38-1,0)),IF(AND($L$615=0,$P$612=0),"",$L$615-1),IF($R$17="Distrato",$E631,0)),MIN(AK$38,$D$19),$P$20))-SUM($P631:AJ631)</f>
        <v>0</v>
      </c>
      <c r="AL631" s="446">
        <f>IF(OR($B631="",MIN(AL$38,$D$19)&lt;MAX($P$612*($B631+IF($R$17="Distrato",$I$38-1,0)),IF(AND($L$615=0,$P$612=0),"",$L$615-1),IF($R$17="Distrato",$E631,0))),0,YEARFRAC(MAX($P$612*($B631+IF($R$17="Distrato",$I$38-1,0)),IF(AND($L$615=0,$P$612=0),"",$L$615-1),IF($R$17="Distrato",$E631,0)),MIN(AL$38,$D$19),$P$20))-SUM($P631:AK631)</f>
        <v>0</v>
      </c>
      <c r="AM631" s="446">
        <f>IF(OR($B631="",MIN(AM$38,$D$19)&lt;MAX($P$612*($B631+IF($R$17="Distrato",$I$38-1,0)),IF(AND($L$615=0,$P$612=0),"",$L$615-1),IF($R$17="Distrato",$E631,0))),0,YEARFRAC(MAX($P$612*($B631+IF($R$17="Distrato",$I$38-1,0)),IF(AND($L$615=0,$P$612=0),"",$L$615-1),IF($R$17="Distrato",$E631,0)),MIN(AM$38,$D$19),$P$20))-SUM($P631:AL631)</f>
        <v>0</v>
      </c>
      <c r="AN631" s="446">
        <f>IF(OR($B631="",MIN(AN$38,$D$19)&lt;MAX($P$612*($B631+IF($R$17="Distrato",$I$38-1,0)),IF(AND($L$615=0,$P$612=0),"",$L$615-1),IF($R$17="Distrato",$E631,0))),0,YEARFRAC(MAX($P$612*($B631+IF($R$17="Distrato",$I$38-1,0)),IF(AND($L$615=0,$P$612=0),"",$L$615-1),IF($R$17="Distrato",$E631,0)),MIN(AN$38,$D$19),$P$20))-SUM($P631:AM631)</f>
        <v>0</v>
      </c>
      <c r="AO631" s="446">
        <f>IF(OR($B631="",MIN(AO$38,$D$19)&lt;MAX($P$612*($B631+IF($R$17="Distrato",$I$38-1,0)),IF(AND($L$615=0,$P$612=0),"",$L$615-1),IF($R$17="Distrato",$E631,0))),0,YEARFRAC(MAX($P$612*($B631+IF($R$17="Distrato",$I$38-1,0)),IF(AND($L$615=0,$P$612=0),"",$L$615-1),IF($R$17="Distrato",$E631,0)),MIN(AO$38,$D$19),$P$20))-SUM($P631:AN631)</f>
        <v>0</v>
      </c>
      <c r="AP631" s="446">
        <f>IF(OR($B631="",MIN(AP$38,$D$19)&lt;MAX($P$612*($B631+IF($R$17="Distrato",$I$38-1,0)),IF(AND($L$615=0,$P$612=0),"",$L$615-1),IF($R$17="Distrato",$E631,0))),0,YEARFRAC(MAX($P$612*($B631+IF($R$17="Distrato",$I$38-1,0)),IF(AND($L$615=0,$P$612=0),"",$L$615-1),IF($R$17="Distrato",$E631,0)),MIN(AP$38,$D$19),$P$20))-SUM($P631:AO631)</f>
        <v>0</v>
      </c>
      <c r="AQ631" s="446">
        <f>IF(OR($B631="",MIN(AQ$38,$D$19)&lt;MAX($P$612*($B631+IF($R$17="Distrato",$I$38-1,0)),IF(AND($L$615=0,$P$612=0),"",$L$615-1),IF($R$17="Distrato",$E631,0))),0,YEARFRAC(MAX($P$612*($B631+IF($R$17="Distrato",$I$38-1,0)),IF(AND($L$615=0,$P$612=0),"",$L$615-1),IF($R$17="Distrato",$E631,0)),MIN(AQ$38,$D$19),$P$20))-SUM($P631:AP631)</f>
        <v>0</v>
      </c>
      <c r="AR631" s="446">
        <f>IF(OR($B631="",MIN(AR$38,$D$19)&lt;MAX($P$612*($B631+IF($R$17="Distrato",$I$38-1,0)),IF(AND($L$615=0,$P$612=0),"",$L$615-1),IF($R$17="Distrato",$E631,0))),0,YEARFRAC(MAX($P$612*($B631+IF($R$17="Distrato",$I$38-1,0)),IF(AND($L$615=0,$P$612=0),"",$L$615-1),IF($R$17="Distrato",$E631,0)),MIN(AR$38,$D$19),$P$20))-SUM($P631:AQ631)</f>
        <v>0</v>
      </c>
      <c r="AS631" s="446">
        <f>IF(OR($B631="",MIN(AS$38,$D$19)&lt;MAX($P$612*($B631+IF($R$17="Distrato",$I$38-1,0)),IF(AND($L$615=0,$P$612=0),"",$L$615-1),IF($R$17="Distrato",$E631,0))),0,YEARFRAC(MAX($P$612*($B631+IF($R$17="Distrato",$I$38-1,0)),IF(AND($L$615=0,$P$612=0),"",$L$615-1),IF($R$17="Distrato",$E631,0)),MIN(AS$38,$D$19),$P$20))-SUM($P631:AR631)</f>
        <v>0</v>
      </c>
      <c r="AT631" s="446">
        <f>IF(OR($B631="",MIN(AT$38,$D$19)&lt;MAX($P$612*($B631+IF($R$17="Distrato",$I$38-1,0)),IF(AND($L$615=0,$P$612=0),"",$L$615-1),IF($R$17="Distrato",$E631,0))),0,YEARFRAC(MAX($P$612*($B631+IF($R$17="Distrato",$I$38-1,0)),IF(AND($L$615=0,$P$612=0),"",$L$615-1),IF($R$17="Distrato",$E631,0)),MIN(AT$38,$D$19),$P$20))-SUM($P631:AS631)</f>
        <v>0</v>
      </c>
      <c r="AU631" s="446">
        <f>IF(OR($B631="",MIN(AU$38,$D$19)&lt;MAX($P$612*($B631+IF($R$17="Distrato",$I$38-1,0)),IF(AND($L$615=0,$P$612=0),"",$L$615-1),IF($R$17="Distrato",$E631,0))),0,YEARFRAC(MAX($P$612*($B631+IF($R$17="Distrato",$I$38-1,0)),IF(AND($L$615=0,$P$612=0),"",$L$615-1),IF($R$17="Distrato",$E631,0)),MIN(AU$38,$D$19),$P$20))-SUM($P631:AT631)</f>
        <v>0</v>
      </c>
      <c r="AV631" s="446">
        <f>IF(OR($B631="",MIN(AV$38,$D$19)&lt;MAX($P$612*($B631+IF($R$17="Distrato",$I$38-1,0)),IF(AND($L$615=0,$P$612=0),"",$L$615-1),IF($R$17="Distrato",$E631,0))),0,YEARFRAC(MAX($P$612*($B631+IF($R$17="Distrato",$I$38-1,0)),IF(AND($L$615=0,$P$612=0),"",$L$615-1),IF($R$17="Distrato",$E631,0)),MIN(AV$38,$D$19),$P$20))-SUM($P631:AU631)</f>
        <v>0</v>
      </c>
      <c r="AW631" s="446">
        <f>IF(OR($B631="",MIN(AW$38,$D$19)&lt;MAX($P$612*($B631+IF($R$17="Distrato",$I$38-1,0)),IF(AND($L$615=0,$P$612=0),"",$L$615-1),IF($R$17="Distrato",$E631,0))),0,YEARFRAC(MAX($P$612*($B631+IF($R$17="Distrato",$I$38-1,0)),IF(AND($L$615=0,$P$612=0),"",$L$615-1),IF($R$17="Distrato",$E631,0)),MIN(AW$38,$D$19),$P$20))-SUM($P631:AV631)</f>
        <v>0</v>
      </c>
      <c r="AX631" s="446">
        <f>IF(OR($B631="",MIN(AX$38,$D$19)&lt;MAX($P$612*($B631+IF($R$17="Distrato",$I$38-1,0)),IF(AND($L$615=0,$P$612=0),"",$L$615-1),IF($R$17="Distrato",$E631,0))),0,YEARFRAC(MAX($P$612*($B631+IF($R$17="Distrato",$I$38-1,0)),IF(AND($L$615=0,$P$612=0),"",$L$615-1),IF($R$17="Distrato",$E631,0)),MIN(AX$38,$D$19),$P$20))-SUM($P631:AW631)</f>
        <v>0</v>
      </c>
      <c r="AY631" s="446">
        <f>IF(OR($B631="",MIN(AY$38,$D$19)&lt;MAX($P$612*($B631+IF($R$17="Distrato",$I$38-1,0)),IF(AND($L$615=0,$P$612=0),"",$L$615-1),IF($R$17="Distrato",$E631,0))),0,YEARFRAC(MAX($P$612*($B631+IF($R$17="Distrato",$I$38-1,0)),IF(AND($L$615=0,$P$612=0),"",$L$615-1),IF($R$17="Distrato",$E631,0)),MIN(AY$38,$D$19),$P$20))-SUM($P631:AX631)</f>
        <v>0</v>
      </c>
      <c r="AZ631" s="446">
        <f>IF(OR($B631="",MIN(AZ$38,$D$19)&lt;MAX($P$612*($B631+IF($R$17="Distrato",$I$38-1,0)),IF(AND($L$615=0,$P$612=0),"",$L$615-1),IF($R$17="Distrato",$E631,0))),0,YEARFRAC(MAX($P$612*($B631+IF($R$17="Distrato",$I$38-1,0)),IF(AND($L$615=0,$P$612=0),"",$L$615-1),IF($R$17="Distrato",$E631,0)),MIN(AZ$38,$D$19),$P$20))-SUM($P631:AY631)</f>
        <v>0</v>
      </c>
      <c r="BA631" s="446">
        <f>IF(OR($B631="",MIN(BA$38,$D$19)&lt;MAX($P$612*($B631+IF($R$17="Distrato",$I$38-1,0)),IF(AND($L$615=0,$P$612=0),"",$L$615-1),IF($R$17="Distrato",$E631,0))),0,YEARFRAC(MAX($P$612*($B631+IF($R$17="Distrato",$I$38-1,0)),IF(AND($L$615=0,$P$612=0),"",$L$615-1),IF($R$17="Distrato",$E631,0)),MIN(BA$38,$D$19),$P$20))-SUM($P631:AZ631)</f>
        <v>0</v>
      </c>
      <c r="BB631" s="447"/>
    </row>
    <row r="632" spans="1:54" s="446" customFormat="1" ht="11.25" hidden="1" x14ac:dyDescent="0.2">
      <c r="A632" s="177"/>
      <c r="B632" s="178"/>
      <c r="C632" s="29" t="str">
        <f>IF(B632="","",IF($L$613="SELIC - TRIBUTOS",VLOOKUP(DATE(YEAR($D$19),MONTH($D$19)-1,1),ÍNDICES!$A:$DE,HLOOKUP($BL$25,ÍNDICES!$B$3:$T$4,2)+11)-VLOOKUP(B632,ÍNDICES!$A:$DE,HLOOKUP($BL$25,ÍNDICES!$B$3:$T$4,2)+11)+1%,IF(C$616=$W$26,$J$613,IF(ISERROR(IF(B632&gt;$D$19,1,VLOOKUP(DATE(YEAR(B632),MONTH(B632)+IF($C$613=$S$23,1,0),1),ÍNDICES!$A:$DE,$Z$613+1))),"",IF(B632&gt;$D$19,1,VLOOKUP(DATE(YEAR(B632),MONTH(B632)+IF($C$613=$S$23,1,0),1),ÍNDICES!$A:$DE,$Z$613+1))))))</f>
        <v/>
      </c>
      <c r="D632" s="155"/>
      <c r="E632" s="179"/>
      <c r="F632" s="29"/>
      <c r="G632" s="180"/>
      <c r="H632" s="181"/>
      <c r="I632" s="182" t="str">
        <f t="shared" si="107"/>
        <v/>
      </c>
      <c r="J632" s="5" t="str">
        <f t="shared" si="108"/>
        <v/>
      </c>
      <c r="K632" s="5">
        <f t="shared" ca="1" si="109"/>
        <v>0</v>
      </c>
      <c r="L632" s="5">
        <f t="shared" ca="1" si="104"/>
        <v>0</v>
      </c>
      <c r="M632" s="64">
        <f t="shared" si="110"/>
        <v>0</v>
      </c>
      <c r="N632" s="61">
        <f t="shared" ca="1" si="105"/>
        <v>0</v>
      </c>
      <c r="O632" s="20">
        <f t="shared" ca="1" si="106"/>
        <v>0</v>
      </c>
      <c r="P632" s="446">
        <f t="shared" si="111"/>
        <v>0</v>
      </c>
      <c r="Q632" s="446">
        <f>IF(OR($B632="",MIN(Q$38,$D$19)&lt;MAX($P$612*($B632+IF($R$17="Distrato",$I$38-1,0)),IF(AND($L$615=0,$P$612=0),"",$L$615-1),IF($R$17="Distrato",$E632,0))),0,YEARFRAC(MAX($P$612*($B632+IF($R$17="Distrato",$I$38-1,0)),IF(AND($L$615=0,$P$612=0),"",$L$615-1),IF($R$17="Distrato",$E632,0)),MIN(Q$38,$D$19),$P$20))-SUM($P632:P632)</f>
        <v>0</v>
      </c>
      <c r="R632" s="446">
        <f>IF(OR($B632="",MIN(R$38,$D$19)&lt;MAX($P$612*($B632+IF($R$17="Distrato",$I$38-1,0)),IF(AND($L$615=0,$P$612=0),"",$L$615-1),IF($R$17="Distrato",$E632,0))),0,YEARFRAC(MAX($P$612*($B632+IF($R$17="Distrato",$I$38-1,0)),IF(AND($L$615=0,$P$612=0),"",$L$615-1),IF($R$17="Distrato",$E632,0)),MIN(R$38,$D$19),$P$20))-SUM($P632:Q632)</f>
        <v>0</v>
      </c>
      <c r="S632" s="446">
        <f>IF(OR($B632="",MIN(S$38,$D$19)&lt;MAX($P$612*($B632+IF($R$17="Distrato",$I$38-1,0)),IF(AND($L$615=0,$P$612=0),"",$L$615-1),IF($R$17="Distrato",$E632,0))),0,YEARFRAC(MAX($P$612*($B632+IF($R$17="Distrato",$I$38-1,0)),IF(AND($L$615=0,$P$612=0),"",$L$615-1),IF($R$17="Distrato",$E632,0)),MIN(S$38,$D$19),$P$20))-SUM($P632:R632)</f>
        <v>0</v>
      </c>
      <c r="T632" s="446">
        <f>IF(OR($B632="",MIN(T$38,$D$19)&lt;MAX($P$612*($B632+IF($R$17="Distrato",$I$38-1,0)),IF(AND($L$615=0,$P$612=0),"",$L$615-1),IF($R$17="Distrato",$E632,0))),0,YEARFRAC(MAX($P$612*($B632+IF($R$17="Distrato",$I$38-1,0)),IF(AND($L$615=0,$P$612=0),"",$L$615-1),IF($R$17="Distrato",$E632,0)),MIN(T$38,$D$19),$P$20))-SUM($P632:S632)</f>
        <v>0</v>
      </c>
      <c r="U632" s="446">
        <f>IF(OR($B632="",MIN(U$38,$D$19)&lt;MAX($P$612*($B632+IF($R$17="Distrato",$I$38-1,0)),IF(AND($L$615=0,$P$612=0),"",$L$615-1),IF($R$17="Distrato",$E632,0))),0,YEARFRAC(MAX($P$612*($B632+IF($R$17="Distrato",$I$38-1,0)),IF(AND($L$615=0,$P$612=0),"",$L$615-1),IF($R$17="Distrato",$E632,0)),MIN(U$38,$D$19),$P$20))-SUM($P632:T632)</f>
        <v>0</v>
      </c>
      <c r="V632" s="446">
        <f>IF(OR($B632="",MIN(V$38,$D$19)&lt;MAX($P$612*($B632+IF($R$17="Distrato",$I$38-1,0)),IF(AND($L$615=0,$P$612=0),"",$L$615-1),IF($R$17="Distrato",$E632,0))),0,YEARFRAC(MAX($P$612*($B632+IF($R$17="Distrato",$I$38-1,0)),IF(AND($L$615=0,$P$612=0),"",$L$615-1),IF($R$17="Distrato",$E632,0)),MIN(V$38,$D$19),$P$20))-SUM($P632:U632)</f>
        <v>0</v>
      </c>
      <c r="W632" s="446">
        <f>IF(OR($B632="",MIN(W$38,$D$19)&lt;MAX($P$612*($B632+IF($R$17="Distrato",$I$38-1,0)),IF(AND($L$615=0,$P$612=0),"",$L$615-1),IF($R$17="Distrato",$E632,0))),0,YEARFRAC(MAX($P$612*($B632+IF($R$17="Distrato",$I$38-1,0)),IF(AND($L$615=0,$P$612=0),"",$L$615-1),IF($R$17="Distrato",$E632,0)),MIN(W$38,$D$19),$P$20))-SUM($P632:V632)</f>
        <v>0</v>
      </c>
      <c r="X632" s="446">
        <f>IF(OR($B632="",MIN(X$38,$D$19)&lt;MAX($P$612*($B632+IF($R$17="Distrato",$I$38-1,0)),IF(AND($L$615=0,$P$612=0),"",$L$615-1),IF($R$17="Distrato",$E632,0))),0,YEARFRAC(MAX($P$612*($B632+IF($R$17="Distrato",$I$38-1,0)),IF(AND($L$615=0,$P$612=0),"",$L$615-1),IF($R$17="Distrato",$E632,0)),MIN(X$38,$D$19),$P$20))-SUM($P632:W632)</f>
        <v>0</v>
      </c>
      <c r="Y632" s="446">
        <f>IF(OR($B632="",MIN(Y$38,$D$19)&lt;MAX($P$612*($B632+IF($R$17="Distrato",$I$38-1,0)),IF(AND($L$615=0,$P$612=0),"",$L$615-1),IF($R$17="Distrato",$E632,0))),0,YEARFRAC(MAX($P$612*($B632+IF($R$17="Distrato",$I$38-1,0)),IF(AND($L$615=0,$P$612=0),"",$L$615-1),IF($R$17="Distrato",$E632,0)),MIN(Y$38,$D$19),$P$20))-SUM($P632:X632)</f>
        <v>0</v>
      </c>
      <c r="Z632" s="446">
        <f>IF(OR($B632="",MIN(Z$38,$D$19)&lt;MAX($P$612*($B632+IF($R$17="Distrato",$I$38-1,0)),IF(AND($L$615=0,$P$612=0),"",$L$615-1),IF($R$17="Distrato",$E632,0))),0,YEARFRAC(MAX($P$612*($B632+IF($R$17="Distrato",$I$38-1,0)),IF(AND($L$615=0,$P$612=0),"",$L$615-1),IF($R$17="Distrato",$E632,0)),MIN(Z$38,$D$19),$P$20))-SUM($P632:Y632)</f>
        <v>0</v>
      </c>
      <c r="AA632" s="446">
        <f>IF(OR($B632="",MIN(AA$38,$D$19)&lt;MAX($P$612*($B632+IF($R$17="Distrato",$I$38-1,0)),IF(AND($L$615=0,$P$612=0),"",$L$615-1),IF($R$17="Distrato",$E632,0))),0,YEARFRAC(MAX($P$612*($B632+IF($R$17="Distrato",$I$38-1,0)),IF(AND($L$615=0,$P$612=0),"",$L$615-1),IF($R$17="Distrato",$E632,0)),MIN(AA$38,$D$19),$P$20))-SUM($P632:Z632)</f>
        <v>0</v>
      </c>
      <c r="AB632" s="446">
        <f>IF(OR($B632="",MIN(AB$38,$D$19)&lt;MAX($P$612*($B632+IF($R$17="Distrato",$I$38-1,0)),IF(AND($L$615=0,$P$612=0),"",$L$615-1),IF($R$17="Distrato",$E632,0))),0,YEARFRAC(MAX($P$612*($B632+IF($R$17="Distrato",$I$38-1,0)),IF(AND($L$615=0,$P$612=0),"",$L$615-1),IF($R$17="Distrato",$E632,0)),MIN(AB$38,$D$19),$P$20))-SUM($P632:AA632)</f>
        <v>0</v>
      </c>
      <c r="AC632" s="446">
        <f>IF(OR($B632="",MIN(AC$38,$D$19)&lt;MAX($P$612*($B632+IF($R$17="Distrato",$I$38-1,0)),IF(AND($L$615=0,$P$612=0),"",$L$615-1),IF($R$17="Distrato",$E632,0))),0,YEARFRAC(MAX($P$612*($B632+IF($R$17="Distrato",$I$38-1,0)),IF(AND($L$615=0,$P$612=0),"",$L$615-1),IF($R$17="Distrato",$E632,0)),MIN(AC$38,$D$19),$P$20))-SUM($P632:AB632)</f>
        <v>0</v>
      </c>
      <c r="AD632" s="446">
        <f>IF(OR($B632="",MIN(AD$38,$D$19)&lt;MAX($P$612*($B632+IF($R$17="Distrato",$I$38-1,0)),IF(AND($L$615=0,$P$612=0),"",$L$615-1),IF($R$17="Distrato",$E632,0))),0,YEARFRAC(MAX($P$612*($B632+IF($R$17="Distrato",$I$38-1,0)),IF(AND($L$615=0,$P$612=0),"",$L$615-1),IF($R$17="Distrato",$E632,0)),MIN(AD$38,$D$19),$P$20))-SUM($P632:AC632)</f>
        <v>0</v>
      </c>
      <c r="AE632" s="446">
        <f>IF(OR($B632="",MIN(AE$38,$D$19)&lt;MAX($P$612*($B632+IF($R$17="Distrato",$I$38-1,0)),IF(AND($L$615=0,$P$612=0),"",$L$615-1),IF($R$17="Distrato",$E632,0))),0,YEARFRAC(MAX($P$612*($B632+IF($R$17="Distrato",$I$38-1,0)),IF(AND($L$615=0,$P$612=0),"",$L$615-1),IF($R$17="Distrato",$E632,0)),MIN(AE$38,$D$19),$P$20))-SUM($P632:AD632)</f>
        <v>0</v>
      </c>
      <c r="AF632" s="446">
        <f>IF(OR($B632="",MIN(AF$38,$D$19)&lt;MAX($P$612*($B632+IF($R$17="Distrato",$I$38-1,0)),IF(AND($L$615=0,$P$612=0),"",$L$615-1),IF($R$17="Distrato",$E632,0))),0,YEARFRAC(MAX($P$612*($B632+IF($R$17="Distrato",$I$38-1,0)),IF(AND($L$615=0,$P$612=0),"",$L$615-1),IF($R$17="Distrato",$E632,0)),MIN(AF$38,$D$19),$P$20))-SUM($P632:AE632)</f>
        <v>0</v>
      </c>
      <c r="AG632" s="446">
        <f>IF(OR($B632="",MIN(AG$38,$D$19)&lt;MAX($P$612*($B632+IF($R$17="Distrato",$I$38-1,0)),IF(AND($L$615=0,$P$612=0),"",$L$615-1),IF($R$17="Distrato",$E632,0))),0,YEARFRAC(MAX($P$612*($B632+IF($R$17="Distrato",$I$38-1,0)),IF(AND($L$615=0,$P$612=0),"",$L$615-1),IF($R$17="Distrato",$E632,0)),MIN(AG$38,$D$19),$P$20))-SUM($P632:AF632)</f>
        <v>0</v>
      </c>
      <c r="AH632" s="446">
        <f>IF(OR($B632="",MIN(AH$38,$D$19)&lt;MAX($P$612*($B632+IF($R$17="Distrato",$I$38-1,0)),IF(AND($L$615=0,$P$612=0),"",$L$615-1),IF($R$17="Distrato",$E632,0))),0,YEARFRAC(MAX($P$612*($B632+IF($R$17="Distrato",$I$38-1,0)),IF(AND($L$615=0,$P$612=0),"",$L$615-1),IF($R$17="Distrato",$E632,0)),MIN(AH$38,$D$19),$P$20))-SUM($P632:AG632)</f>
        <v>0</v>
      </c>
      <c r="AI632" s="446">
        <f>IF(OR($B632="",MIN(AI$38,$D$19)&lt;MAX($P$612*($B632+IF($R$17="Distrato",$I$38-1,0)),IF(AND($L$615=0,$P$612=0),"",$L$615-1),IF($R$17="Distrato",$E632,0))),0,YEARFRAC(MAX($P$612*($B632+IF($R$17="Distrato",$I$38-1,0)),IF(AND($L$615=0,$P$612=0),"",$L$615-1),IF($R$17="Distrato",$E632,0)),MIN(AI$38,$D$19),$P$20))-SUM($P632:AH632)</f>
        <v>0</v>
      </c>
      <c r="AJ632" s="446">
        <f>IF(OR($B632="",MIN(AJ$38,$D$19)&lt;MAX($P$612*($B632+IF($R$17="Distrato",$I$38-1,0)),IF(AND($L$615=0,$P$612=0),"",$L$615-1),IF($R$17="Distrato",$E632,0))),0,YEARFRAC(MAX($P$612*($B632+IF($R$17="Distrato",$I$38-1,0)),IF(AND($L$615=0,$P$612=0),"",$L$615-1),IF($R$17="Distrato",$E632,0)),MIN(AJ$38,$D$19),$P$20))-SUM($P632:AI632)</f>
        <v>0</v>
      </c>
      <c r="AK632" s="446">
        <f>IF(OR($B632="",MIN(AK$38,$D$19)&lt;MAX($P$612*($B632+IF($R$17="Distrato",$I$38-1,0)),IF(AND($L$615=0,$P$612=0),"",$L$615-1),IF($R$17="Distrato",$E632,0))),0,YEARFRAC(MAX($P$612*($B632+IF($R$17="Distrato",$I$38-1,0)),IF(AND($L$615=0,$P$612=0),"",$L$615-1),IF($R$17="Distrato",$E632,0)),MIN(AK$38,$D$19),$P$20))-SUM($P632:AJ632)</f>
        <v>0</v>
      </c>
      <c r="AL632" s="446">
        <f>IF(OR($B632="",MIN(AL$38,$D$19)&lt;MAX($P$612*($B632+IF($R$17="Distrato",$I$38-1,0)),IF(AND($L$615=0,$P$612=0),"",$L$615-1),IF($R$17="Distrato",$E632,0))),0,YEARFRAC(MAX($P$612*($B632+IF($R$17="Distrato",$I$38-1,0)),IF(AND($L$615=0,$P$612=0),"",$L$615-1),IF($R$17="Distrato",$E632,0)),MIN(AL$38,$D$19),$P$20))-SUM($P632:AK632)</f>
        <v>0</v>
      </c>
      <c r="AM632" s="446">
        <f>IF(OR($B632="",MIN(AM$38,$D$19)&lt;MAX($P$612*($B632+IF($R$17="Distrato",$I$38-1,0)),IF(AND($L$615=0,$P$612=0),"",$L$615-1),IF($R$17="Distrato",$E632,0))),0,YEARFRAC(MAX($P$612*($B632+IF($R$17="Distrato",$I$38-1,0)),IF(AND($L$615=0,$P$612=0),"",$L$615-1),IF($R$17="Distrato",$E632,0)),MIN(AM$38,$D$19),$P$20))-SUM($P632:AL632)</f>
        <v>0</v>
      </c>
      <c r="AN632" s="446">
        <f>IF(OR($B632="",MIN(AN$38,$D$19)&lt;MAX($P$612*($B632+IF($R$17="Distrato",$I$38-1,0)),IF(AND($L$615=0,$P$612=0),"",$L$615-1),IF($R$17="Distrato",$E632,0))),0,YEARFRAC(MAX($P$612*($B632+IF($R$17="Distrato",$I$38-1,0)),IF(AND($L$615=0,$P$612=0),"",$L$615-1),IF($R$17="Distrato",$E632,0)),MIN(AN$38,$D$19),$P$20))-SUM($P632:AM632)</f>
        <v>0</v>
      </c>
      <c r="AO632" s="446">
        <f>IF(OR($B632="",MIN(AO$38,$D$19)&lt;MAX($P$612*($B632+IF($R$17="Distrato",$I$38-1,0)),IF(AND($L$615=0,$P$612=0),"",$L$615-1),IF($R$17="Distrato",$E632,0))),0,YEARFRAC(MAX($P$612*($B632+IF($R$17="Distrato",$I$38-1,0)),IF(AND($L$615=0,$P$612=0),"",$L$615-1),IF($R$17="Distrato",$E632,0)),MIN(AO$38,$D$19),$P$20))-SUM($P632:AN632)</f>
        <v>0</v>
      </c>
      <c r="AP632" s="446">
        <f>IF(OR($B632="",MIN(AP$38,$D$19)&lt;MAX($P$612*($B632+IF($R$17="Distrato",$I$38-1,0)),IF(AND($L$615=0,$P$612=0),"",$L$615-1),IF($R$17="Distrato",$E632,0))),0,YEARFRAC(MAX($P$612*($B632+IF($R$17="Distrato",$I$38-1,0)),IF(AND($L$615=0,$P$612=0),"",$L$615-1),IF($R$17="Distrato",$E632,0)),MIN(AP$38,$D$19),$P$20))-SUM($P632:AO632)</f>
        <v>0</v>
      </c>
      <c r="AQ632" s="446">
        <f>IF(OR($B632="",MIN(AQ$38,$D$19)&lt;MAX($P$612*($B632+IF($R$17="Distrato",$I$38-1,0)),IF(AND($L$615=0,$P$612=0),"",$L$615-1),IF($R$17="Distrato",$E632,0))),0,YEARFRAC(MAX($P$612*($B632+IF($R$17="Distrato",$I$38-1,0)),IF(AND($L$615=0,$P$612=0),"",$L$615-1),IF($R$17="Distrato",$E632,0)),MIN(AQ$38,$D$19),$P$20))-SUM($P632:AP632)</f>
        <v>0</v>
      </c>
      <c r="AR632" s="446">
        <f>IF(OR($B632="",MIN(AR$38,$D$19)&lt;MAX($P$612*($B632+IF($R$17="Distrato",$I$38-1,0)),IF(AND($L$615=0,$P$612=0),"",$L$615-1),IF($R$17="Distrato",$E632,0))),0,YEARFRAC(MAX($P$612*($B632+IF($R$17="Distrato",$I$38-1,0)),IF(AND($L$615=0,$P$612=0),"",$L$615-1),IF($R$17="Distrato",$E632,0)),MIN(AR$38,$D$19),$P$20))-SUM($P632:AQ632)</f>
        <v>0</v>
      </c>
      <c r="AS632" s="446">
        <f>IF(OR($B632="",MIN(AS$38,$D$19)&lt;MAX($P$612*($B632+IF($R$17="Distrato",$I$38-1,0)),IF(AND($L$615=0,$P$612=0),"",$L$615-1),IF($R$17="Distrato",$E632,0))),0,YEARFRAC(MAX($P$612*($B632+IF($R$17="Distrato",$I$38-1,0)),IF(AND($L$615=0,$P$612=0),"",$L$615-1),IF($R$17="Distrato",$E632,0)),MIN(AS$38,$D$19),$P$20))-SUM($P632:AR632)</f>
        <v>0</v>
      </c>
      <c r="AT632" s="446">
        <f>IF(OR($B632="",MIN(AT$38,$D$19)&lt;MAX($P$612*($B632+IF($R$17="Distrato",$I$38-1,0)),IF(AND($L$615=0,$P$612=0),"",$L$615-1),IF($R$17="Distrato",$E632,0))),0,YEARFRAC(MAX($P$612*($B632+IF($R$17="Distrato",$I$38-1,0)),IF(AND($L$615=0,$P$612=0),"",$L$615-1),IF($R$17="Distrato",$E632,0)),MIN(AT$38,$D$19),$P$20))-SUM($P632:AS632)</f>
        <v>0</v>
      </c>
      <c r="AU632" s="446">
        <f>IF(OR($B632="",MIN(AU$38,$D$19)&lt;MAX($P$612*($B632+IF($R$17="Distrato",$I$38-1,0)),IF(AND($L$615=0,$P$612=0),"",$L$615-1),IF($R$17="Distrato",$E632,0))),0,YEARFRAC(MAX($P$612*($B632+IF($R$17="Distrato",$I$38-1,0)),IF(AND($L$615=0,$P$612=0),"",$L$615-1),IF($R$17="Distrato",$E632,0)),MIN(AU$38,$D$19),$P$20))-SUM($P632:AT632)</f>
        <v>0</v>
      </c>
      <c r="AV632" s="446">
        <f>IF(OR($B632="",MIN(AV$38,$D$19)&lt;MAX($P$612*($B632+IF($R$17="Distrato",$I$38-1,0)),IF(AND($L$615=0,$P$612=0),"",$L$615-1),IF($R$17="Distrato",$E632,0))),0,YEARFRAC(MAX($P$612*($B632+IF($R$17="Distrato",$I$38-1,0)),IF(AND($L$615=0,$P$612=0),"",$L$615-1),IF($R$17="Distrato",$E632,0)),MIN(AV$38,$D$19),$P$20))-SUM($P632:AU632)</f>
        <v>0</v>
      </c>
      <c r="AW632" s="446">
        <f>IF(OR($B632="",MIN(AW$38,$D$19)&lt;MAX($P$612*($B632+IF($R$17="Distrato",$I$38-1,0)),IF(AND($L$615=0,$P$612=0),"",$L$615-1),IF($R$17="Distrato",$E632,0))),0,YEARFRAC(MAX($P$612*($B632+IF($R$17="Distrato",$I$38-1,0)),IF(AND($L$615=0,$P$612=0),"",$L$615-1),IF($R$17="Distrato",$E632,0)),MIN(AW$38,$D$19),$P$20))-SUM($P632:AV632)</f>
        <v>0</v>
      </c>
      <c r="AX632" s="446">
        <f>IF(OR($B632="",MIN(AX$38,$D$19)&lt;MAX($P$612*($B632+IF($R$17="Distrato",$I$38-1,0)),IF(AND($L$615=0,$P$612=0),"",$L$615-1),IF($R$17="Distrato",$E632,0))),0,YEARFRAC(MAX($P$612*($B632+IF($R$17="Distrato",$I$38-1,0)),IF(AND($L$615=0,$P$612=0),"",$L$615-1),IF($R$17="Distrato",$E632,0)),MIN(AX$38,$D$19),$P$20))-SUM($P632:AW632)</f>
        <v>0</v>
      </c>
      <c r="AY632" s="446">
        <f>IF(OR($B632="",MIN(AY$38,$D$19)&lt;MAX($P$612*($B632+IF($R$17="Distrato",$I$38-1,0)),IF(AND($L$615=0,$P$612=0),"",$L$615-1),IF($R$17="Distrato",$E632,0))),0,YEARFRAC(MAX($P$612*($B632+IF($R$17="Distrato",$I$38-1,0)),IF(AND($L$615=0,$P$612=0),"",$L$615-1),IF($R$17="Distrato",$E632,0)),MIN(AY$38,$D$19),$P$20))-SUM($P632:AX632)</f>
        <v>0</v>
      </c>
      <c r="AZ632" s="446">
        <f>IF(OR($B632="",MIN(AZ$38,$D$19)&lt;MAX($P$612*($B632+IF($R$17="Distrato",$I$38-1,0)),IF(AND($L$615=0,$P$612=0),"",$L$615-1),IF($R$17="Distrato",$E632,0))),0,YEARFRAC(MAX($P$612*($B632+IF($R$17="Distrato",$I$38-1,0)),IF(AND($L$615=0,$P$612=0),"",$L$615-1),IF($R$17="Distrato",$E632,0)),MIN(AZ$38,$D$19),$P$20))-SUM($P632:AY632)</f>
        <v>0</v>
      </c>
      <c r="BA632" s="446">
        <f>IF(OR($B632="",MIN(BA$38,$D$19)&lt;MAX($P$612*($B632+IF($R$17="Distrato",$I$38-1,0)),IF(AND($L$615=0,$P$612=0),"",$L$615-1),IF($R$17="Distrato",$E632,0))),0,YEARFRAC(MAX($P$612*($B632+IF($R$17="Distrato",$I$38-1,0)),IF(AND($L$615=0,$P$612=0),"",$L$615-1),IF($R$17="Distrato",$E632,0)),MIN(BA$38,$D$19),$P$20))-SUM($P632:AZ632)</f>
        <v>0</v>
      </c>
      <c r="BB632" s="447"/>
    </row>
    <row r="633" spans="1:54" s="446" customFormat="1" ht="11.25" hidden="1" x14ac:dyDescent="0.2">
      <c r="A633" s="177"/>
      <c r="B633" s="178"/>
      <c r="C633" s="29" t="str">
        <f>IF(B633="","",IF($L$613="SELIC - TRIBUTOS",VLOOKUP(DATE(YEAR($D$19),MONTH($D$19)-1,1),ÍNDICES!$A:$DE,HLOOKUP($BL$25,ÍNDICES!$B$3:$T$4,2)+11)-VLOOKUP(B633,ÍNDICES!$A:$DE,HLOOKUP($BL$25,ÍNDICES!$B$3:$T$4,2)+11)+1%,IF(C$616=$W$26,$J$613,IF(ISERROR(IF(B633&gt;$D$19,1,VLOOKUP(DATE(YEAR(B633),MONTH(B633)+IF($C$613=$S$23,1,0),1),ÍNDICES!$A:$DE,$Z$613+1))),"",IF(B633&gt;$D$19,1,VLOOKUP(DATE(YEAR(B633),MONTH(B633)+IF($C$613=$S$23,1,0),1),ÍNDICES!$A:$DE,$Z$613+1))))))</f>
        <v/>
      </c>
      <c r="D633" s="155"/>
      <c r="E633" s="179"/>
      <c r="F633" s="29"/>
      <c r="G633" s="180"/>
      <c r="H633" s="181"/>
      <c r="I633" s="182" t="str">
        <f t="shared" si="107"/>
        <v/>
      </c>
      <c r="J633" s="5" t="str">
        <f t="shared" si="108"/>
        <v/>
      </c>
      <c r="K633" s="5">
        <f t="shared" ca="1" si="109"/>
        <v>0</v>
      </c>
      <c r="L633" s="5">
        <f t="shared" ca="1" si="104"/>
        <v>0</v>
      </c>
      <c r="M633" s="64">
        <f t="shared" si="110"/>
        <v>0</v>
      </c>
      <c r="N633" s="61">
        <f t="shared" ca="1" si="105"/>
        <v>0</v>
      </c>
      <c r="O633" s="20">
        <f t="shared" ca="1" si="106"/>
        <v>0</v>
      </c>
      <c r="P633" s="446">
        <f t="shared" si="111"/>
        <v>0</v>
      </c>
      <c r="Q633" s="446">
        <f>IF(OR($B633="",MIN(Q$38,$D$19)&lt;MAX($P$612*($B633+IF($R$17="Distrato",$I$38-1,0)),IF(AND($L$615=0,$P$612=0),"",$L$615-1),IF($R$17="Distrato",$E633,0))),0,YEARFRAC(MAX($P$612*($B633+IF($R$17="Distrato",$I$38-1,0)),IF(AND($L$615=0,$P$612=0),"",$L$615-1),IF($R$17="Distrato",$E633,0)),MIN(Q$38,$D$19),$P$20))-SUM($P633:P633)</f>
        <v>0</v>
      </c>
      <c r="R633" s="446">
        <f>IF(OR($B633="",MIN(R$38,$D$19)&lt;MAX($P$612*($B633+IF($R$17="Distrato",$I$38-1,0)),IF(AND($L$615=0,$P$612=0),"",$L$615-1),IF($R$17="Distrato",$E633,0))),0,YEARFRAC(MAX($P$612*($B633+IF($R$17="Distrato",$I$38-1,0)),IF(AND($L$615=0,$P$612=0),"",$L$615-1),IF($R$17="Distrato",$E633,0)),MIN(R$38,$D$19),$P$20))-SUM($P633:Q633)</f>
        <v>0</v>
      </c>
      <c r="S633" s="446">
        <f>IF(OR($B633="",MIN(S$38,$D$19)&lt;MAX($P$612*($B633+IF($R$17="Distrato",$I$38-1,0)),IF(AND($L$615=0,$P$612=0),"",$L$615-1),IF($R$17="Distrato",$E633,0))),0,YEARFRAC(MAX($P$612*($B633+IF($R$17="Distrato",$I$38-1,0)),IF(AND($L$615=0,$P$612=0),"",$L$615-1),IF($R$17="Distrato",$E633,0)),MIN(S$38,$D$19),$P$20))-SUM($P633:R633)</f>
        <v>0</v>
      </c>
      <c r="T633" s="446">
        <f>IF(OR($B633="",MIN(T$38,$D$19)&lt;MAX($P$612*($B633+IF($R$17="Distrato",$I$38-1,0)),IF(AND($L$615=0,$P$612=0),"",$L$615-1),IF($R$17="Distrato",$E633,0))),0,YEARFRAC(MAX($P$612*($B633+IF($R$17="Distrato",$I$38-1,0)),IF(AND($L$615=0,$P$612=0),"",$L$615-1),IF($R$17="Distrato",$E633,0)),MIN(T$38,$D$19),$P$20))-SUM($P633:S633)</f>
        <v>0</v>
      </c>
      <c r="U633" s="446">
        <f>IF(OR($B633="",MIN(U$38,$D$19)&lt;MAX($P$612*($B633+IF($R$17="Distrato",$I$38-1,0)),IF(AND($L$615=0,$P$612=0),"",$L$615-1),IF($R$17="Distrato",$E633,0))),0,YEARFRAC(MAX($P$612*($B633+IF($R$17="Distrato",$I$38-1,0)),IF(AND($L$615=0,$P$612=0),"",$L$615-1),IF($R$17="Distrato",$E633,0)),MIN(U$38,$D$19),$P$20))-SUM($P633:T633)</f>
        <v>0</v>
      </c>
      <c r="V633" s="446">
        <f>IF(OR($B633="",MIN(V$38,$D$19)&lt;MAX($P$612*($B633+IF($R$17="Distrato",$I$38-1,0)),IF(AND($L$615=0,$P$612=0),"",$L$615-1),IF($R$17="Distrato",$E633,0))),0,YEARFRAC(MAX($P$612*($B633+IF($R$17="Distrato",$I$38-1,0)),IF(AND($L$615=0,$P$612=0),"",$L$615-1),IF($R$17="Distrato",$E633,0)),MIN(V$38,$D$19),$P$20))-SUM($P633:U633)</f>
        <v>0</v>
      </c>
      <c r="W633" s="446">
        <f>IF(OR($B633="",MIN(W$38,$D$19)&lt;MAX($P$612*($B633+IF($R$17="Distrato",$I$38-1,0)),IF(AND($L$615=0,$P$612=0),"",$L$615-1),IF($R$17="Distrato",$E633,0))),0,YEARFRAC(MAX($P$612*($B633+IF($R$17="Distrato",$I$38-1,0)),IF(AND($L$615=0,$P$612=0),"",$L$615-1),IF($R$17="Distrato",$E633,0)),MIN(W$38,$D$19),$P$20))-SUM($P633:V633)</f>
        <v>0</v>
      </c>
      <c r="X633" s="446">
        <f>IF(OR($B633="",MIN(X$38,$D$19)&lt;MAX($P$612*($B633+IF($R$17="Distrato",$I$38-1,0)),IF(AND($L$615=0,$P$612=0),"",$L$615-1),IF($R$17="Distrato",$E633,0))),0,YEARFRAC(MAX($P$612*($B633+IF($R$17="Distrato",$I$38-1,0)),IF(AND($L$615=0,$P$612=0),"",$L$615-1),IF($R$17="Distrato",$E633,0)),MIN(X$38,$D$19),$P$20))-SUM($P633:W633)</f>
        <v>0</v>
      </c>
      <c r="Y633" s="446">
        <f>IF(OR($B633="",MIN(Y$38,$D$19)&lt;MAX($P$612*($B633+IF($R$17="Distrato",$I$38-1,0)),IF(AND($L$615=0,$P$612=0),"",$L$615-1),IF($R$17="Distrato",$E633,0))),0,YEARFRAC(MAX($P$612*($B633+IF($R$17="Distrato",$I$38-1,0)),IF(AND($L$615=0,$P$612=0),"",$L$615-1),IF($R$17="Distrato",$E633,0)),MIN(Y$38,$D$19),$P$20))-SUM($P633:X633)</f>
        <v>0</v>
      </c>
      <c r="Z633" s="446">
        <f>IF(OR($B633="",MIN(Z$38,$D$19)&lt;MAX($P$612*($B633+IF($R$17="Distrato",$I$38-1,0)),IF(AND($L$615=0,$P$612=0),"",$L$615-1),IF($R$17="Distrato",$E633,0))),0,YEARFRAC(MAX($P$612*($B633+IF($R$17="Distrato",$I$38-1,0)),IF(AND($L$615=0,$P$612=0),"",$L$615-1),IF($R$17="Distrato",$E633,0)),MIN(Z$38,$D$19),$P$20))-SUM($P633:Y633)</f>
        <v>0</v>
      </c>
      <c r="AA633" s="446">
        <f>IF(OR($B633="",MIN(AA$38,$D$19)&lt;MAX($P$612*($B633+IF($R$17="Distrato",$I$38-1,0)),IF(AND($L$615=0,$P$612=0),"",$L$615-1),IF($R$17="Distrato",$E633,0))),0,YEARFRAC(MAX($P$612*($B633+IF($R$17="Distrato",$I$38-1,0)),IF(AND($L$615=0,$P$612=0),"",$L$615-1),IF($R$17="Distrato",$E633,0)),MIN(AA$38,$D$19),$P$20))-SUM($P633:Z633)</f>
        <v>0</v>
      </c>
      <c r="AB633" s="446">
        <f>IF(OR($B633="",MIN(AB$38,$D$19)&lt;MAX($P$612*($B633+IF($R$17="Distrato",$I$38-1,0)),IF(AND($L$615=0,$P$612=0),"",$L$615-1),IF($R$17="Distrato",$E633,0))),0,YEARFRAC(MAX($P$612*($B633+IF($R$17="Distrato",$I$38-1,0)),IF(AND($L$615=0,$P$612=0),"",$L$615-1),IF($R$17="Distrato",$E633,0)),MIN(AB$38,$D$19),$P$20))-SUM($P633:AA633)</f>
        <v>0</v>
      </c>
      <c r="AC633" s="446">
        <f>IF(OR($B633="",MIN(AC$38,$D$19)&lt;MAX($P$612*($B633+IF($R$17="Distrato",$I$38-1,0)),IF(AND($L$615=0,$P$612=0),"",$L$615-1),IF($R$17="Distrato",$E633,0))),0,YEARFRAC(MAX($P$612*($B633+IF($R$17="Distrato",$I$38-1,0)),IF(AND($L$615=0,$P$612=0),"",$L$615-1),IF($R$17="Distrato",$E633,0)),MIN(AC$38,$D$19),$P$20))-SUM($P633:AB633)</f>
        <v>0</v>
      </c>
      <c r="AD633" s="446">
        <f>IF(OR($B633="",MIN(AD$38,$D$19)&lt;MAX($P$612*($B633+IF($R$17="Distrato",$I$38-1,0)),IF(AND($L$615=0,$P$612=0),"",$L$615-1),IF($R$17="Distrato",$E633,0))),0,YEARFRAC(MAX($P$612*($B633+IF($R$17="Distrato",$I$38-1,0)),IF(AND($L$615=0,$P$612=0),"",$L$615-1),IF($R$17="Distrato",$E633,0)),MIN(AD$38,$D$19),$P$20))-SUM($P633:AC633)</f>
        <v>0</v>
      </c>
      <c r="AE633" s="446">
        <f>IF(OR($B633="",MIN(AE$38,$D$19)&lt;MAX($P$612*($B633+IF($R$17="Distrato",$I$38-1,0)),IF(AND($L$615=0,$P$612=0),"",$L$615-1),IF($R$17="Distrato",$E633,0))),0,YEARFRAC(MAX($P$612*($B633+IF($R$17="Distrato",$I$38-1,0)),IF(AND($L$615=0,$P$612=0),"",$L$615-1),IF($R$17="Distrato",$E633,0)),MIN(AE$38,$D$19),$P$20))-SUM($P633:AD633)</f>
        <v>0</v>
      </c>
      <c r="AF633" s="446">
        <f>IF(OR($B633="",MIN(AF$38,$D$19)&lt;MAX($P$612*($B633+IF($R$17="Distrato",$I$38-1,0)),IF(AND($L$615=0,$P$612=0),"",$L$615-1),IF($R$17="Distrato",$E633,0))),0,YEARFRAC(MAX($P$612*($B633+IF($R$17="Distrato",$I$38-1,0)),IF(AND($L$615=0,$P$612=0),"",$L$615-1),IF($R$17="Distrato",$E633,0)),MIN(AF$38,$D$19),$P$20))-SUM($P633:AE633)</f>
        <v>0</v>
      </c>
      <c r="AG633" s="446">
        <f>IF(OR($B633="",MIN(AG$38,$D$19)&lt;MAX($P$612*($B633+IF($R$17="Distrato",$I$38-1,0)),IF(AND($L$615=0,$P$612=0),"",$L$615-1),IF($R$17="Distrato",$E633,0))),0,YEARFRAC(MAX($P$612*($B633+IF($R$17="Distrato",$I$38-1,0)),IF(AND($L$615=0,$P$612=0),"",$L$615-1),IF($R$17="Distrato",$E633,0)),MIN(AG$38,$D$19),$P$20))-SUM($P633:AF633)</f>
        <v>0</v>
      </c>
      <c r="AH633" s="446">
        <f>IF(OR($B633="",MIN(AH$38,$D$19)&lt;MAX($P$612*($B633+IF($R$17="Distrato",$I$38-1,0)),IF(AND($L$615=0,$P$612=0),"",$L$615-1),IF($R$17="Distrato",$E633,0))),0,YEARFRAC(MAX($P$612*($B633+IF($R$17="Distrato",$I$38-1,0)),IF(AND($L$615=0,$P$612=0),"",$L$615-1),IF($R$17="Distrato",$E633,0)),MIN(AH$38,$D$19),$P$20))-SUM($P633:AG633)</f>
        <v>0</v>
      </c>
      <c r="AI633" s="446">
        <f>IF(OR($B633="",MIN(AI$38,$D$19)&lt;MAX($P$612*($B633+IF($R$17="Distrato",$I$38-1,0)),IF(AND($L$615=0,$P$612=0),"",$L$615-1),IF($R$17="Distrato",$E633,0))),0,YEARFRAC(MAX($P$612*($B633+IF($R$17="Distrato",$I$38-1,0)),IF(AND($L$615=0,$P$612=0),"",$L$615-1),IF($R$17="Distrato",$E633,0)),MIN(AI$38,$D$19),$P$20))-SUM($P633:AH633)</f>
        <v>0</v>
      </c>
      <c r="AJ633" s="446">
        <f>IF(OR($B633="",MIN(AJ$38,$D$19)&lt;MAX($P$612*($B633+IF($R$17="Distrato",$I$38-1,0)),IF(AND($L$615=0,$P$612=0),"",$L$615-1),IF($R$17="Distrato",$E633,0))),0,YEARFRAC(MAX($P$612*($B633+IF($R$17="Distrato",$I$38-1,0)),IF(AND($L$615=0,$P$612=0),"",$L$615-1),IF($R$17="Distrato",$E633,0)),MIN(AJ$38,$D$19),$P$20))-SUM($P633:AI633)</f>
        <v>0</v>
      </c>
      <c r="AK633" s="446">
        <f>IF(OR($B633="",MIN(AK$38,$D$19)&lt;MAX($P$612*($B633+IF($R$17="Distrato",$I$38-1,0)),IF(AND($L$615=0,$P$612=0),"",$L$615-1),IF($R$17="Distrato",$E633,0))),0,YEARFRAC(MAX($P$612*($B633+IF($R$17="Distrato",$I$38-1,0)),IF(AND($L$615=0,$P$612=0),"",$L$615-1),IF($R$17="Distrato",$E633,0)),MIN(AK$38,$D$19),$P$20))-SUM($P633:AJ633)</f>
        <v>0</v>
      </c>
      <c r="AL633" s="446">
        <f>IF(OR($B633="",MIN(AL$38,$D$19)&lt;MAX($P$612*($B633+IF($R$17="Distrato",$I$38-1,0)),IF(AND($L$615=0,$P$612=0),"",$L$615-1),IF($R$17="Distrato",$E633,0))),0,YEARFRAC(MAX($P$612*($B633+IF($R$17="Distrato",$I$38-1,0)),IF(AND($L$615=0,$P$612=0),"",$L$615-1),IF($R$17="Distrato",$E633,0)),MIN(AL$38,$D$19),$P$20))-SUM($P633:AK633)</f>
        <v>0</v>
      </c>
      <c r="AM633" s="446">
        <f>IF(OR($B633="",MIN(AM$38,$D$19)&lt;MAX($P$612*($B633+IF($R$17="Distrato",$I$38-1,0)),IF(AND($L$615=0,$P$612=0),"",$L$615-1),IF($R$17="Distrato",$E633,0))),0,YEARFRAC(MAX($P$612*($B633+IF($R$17="Distrato",$I$38-1,0)),IF(AND($L$615=0,$P$612=0),"",$L$615-1),IF($R$17="Distrato",$E633,0)),MIN(AM$38,$D$19),$P$20))-SUM($P633:AL633)</f>
        <v>0</v>
      </c>
      <c r="AN633" s="446">
        <f>IF(OR($B633="",MIN(AN$38,$D$19)&lt;MAX($P$612*($B633+IF($R$17="Distrato",$I$38-1,0)),IF(AND($L$615=0,$P$612=0),"",$L$615-1),IF($R$17="Distrato",$E633,0))),0,YEARFRAC(MAX($P$612*($B633+IF($R$17="Distrato",$I$38-1,0)),IF(AND($L$615=0,$P$612=0),"",$L$615-1),IF($R$17="Distrato",$E633,0)),MIN(AN$38,$D$19),$P$20))-SUM($P633:AM633)</f>
        <v>0</v>
      </c>
      <c r="AO633" s="446">
        <f>IF(OR($B633="",MIN(AO$38,$D$19)&lt;MAX($P$612*($B633+IF($R$17="Distrato",$I$38-1,0)),IF(AND($L$615=0,$P$612=0),"",$L$615-1),IF($R$17="Distrato",$E633,0))),0,YEARFRAC(MAX($P$612*($B633+IF($R$17="Distrato",$I$38-1,0)),IF(AND($L$615=0,$P$612=0),"",$L$615-1),IF($R$17="Distrato",$E633,0)),MIN(AO$38,$D$19),$P$20))-SUM($P633:AN633)</f>
        <v>0</v>
      </c>
      <c r="AP633" s="446">
        <f>IF(OR($B633="",MIN(AP$38,$D$19)&lt;MAX($P$612*($B633+IF($R$17="Distrato",$I$38-1,0)),IF(AND($L$615=0,$P$612=0),"",$L$615-1),IF($R$17="Distrato",$E633,0))),0,YEARFRAC(MAX($P$612*($B633+IF($R$17="Distrato",$I$38-1,0)),IF(AND($L$615=0,$P$612=0),"",$L$615-1),IF($R$17="Distrato",$E633,0)),MIN(AP$38,$D$19),$P$20))-SUM($P633:AO633)</f>
        <v>0</v>
      </c>
      <c r="AQ633" s="446">
        <f>IF(OR($B633="",MIN(AQ$38,$D$19)&lt;MAX($P$612*($B633+IF($R$17="Distrato",$I$38-1,0)),IF(AND($L$615=0,$P$612=0),"",$L$615-1),IF($R$17="Distrato",$E633,0))),0,YEARFRAC(MAX($P$612*($B633+IF($R$17="Distrato",$I$38-1,0)),IF(AND($L$615=0,$P$612=0),"",$L$615-1),IF($R$17="Distrato",$E633,0)),MIN(AQ$38,$D$19),$P$20))-SUM($P633:AP633)</f>
        <v>0</v>
      </c>
      <c r="AR633" s="446">
        <f>IF(OR($B633="",MIN(AR$38,$D$19)&lt;MAX($P$612*($B633+IF($R$17="Distrato",$I$38-1,0)),IF(AND($L$615=0,$P$612=0),"",$L$615-1),IF($R$17="Distrato",$E633,0))),0,YEARFRAC(MAX($P$612*($B633+IF($R$17="Distrato",$I$38-1,0)),IF(AND($L$615=0,$P$612=0),"",$L$615-1),IF($R$17="Distrato",$E633,0)),MIN(AR$38,$D$19),$P$20))-SUM($P633:AQ633)</f>
        <v>0</v>
      </c>
      <c r="AS633" s="446">
        <f>IF(OR($B633="",MIN(AS$38,$D$19)&lt;MAX($P$612*($B633+IF($R$17="Distrato",$I$38-1,0)),IF(AND($L$615=0,$P$612=0),"",$L$615-1),IF($R$17="Distrato",$E633,0))),0,YEARFRAC(MAX($P$612*($B633+IF($R$17="Distrato",$I$38-1,0)),IF(AND($L$615=0,$P$612=0),"",$L$615-1),IF($R$17="Distrato",$E633,0)),MIN(AS$38,$D$19),$P$20))-SUM($P633:AR633)</f>
        <v>0</v>
      </c>
      <c r="AT633" s="446">
        <f>IF(OR($B633="",MIN(AT$38,$D$19)&lt;MAX($P$612*($B633+IF($R$17="Distrato",$I$38-1,0)),IF(AND($L$615=0,$P$612=0),"",$L$615-1),IF($R$17="Distrato",$E633,0))),0,YEARFRAC(MAX($P$612*($B633+IF($R$17="Distrato",$I$38-1,0)),IF(AND($L$615=0,$P$612=0),"",$L$615-1),IF($R$17="Distrato",$E633,0)),MIN(AT$38,$D$19),$P$20))-SUM($P633:AS633)</f>
        <v>0</v>
      </c>
      <c r="AU633" s="446">
        <f>IF(OR($B633="",MIN(AU$38,$D$19)&lt;MAX($P$612*($B633+IF($R$17="Distrato",$I$38-1,0)),IF(AND($L$615=0,$P$612=0),"",$L$615-1),IF($R$17="Distrato",$E633,0))),0,YEARFRAC(MAX($P$612*($B633+IF($R$17="Distrato",$I$38-1,0)),IF(AND($L$615=0,$P$612=0),"",$L$615-1),IF($R$17="Distrato",$E633,0)),MIN(AU$38,$D$19),$P$20))-SUM($P633:AT633)</f>
        <v>0</v>
      </c>
      <c r="AV633" s="446">
        <f>IF(OR($B633="",MIN(AV$38,$D$19)&lt;MAX($P$612*($B633+IF($R$17="Distrato",$I$38-1,0)),IF(AND($L$615=0,$P$612=0),"",$L$615-1),IF($R$17="Distrato",$E633,0))),0,YEARFRAC(MAX($P$612*($B633+IF($R$17="Distrato",$I$38-1,0)),IF(AND($L$615=0,$P$612=0),"",$L$615-1),IF($R$17="Distrato",$E633,0)),MIN(AV$38,$D$19),$P$20))-SUM($P633:AU633)</f>
        <v>0</v>
      </c>
      <c r="AW633" s="446">
        <f>IF(OR($B633="",MIN(AW$38,$D$19)&lt;MAX($P$612*($B633+IF($R$17="Distrato",$I$38-1,0)),IF(AND($L$615=0,$P$612=0),"",$L$615-1),IF($R$17="Distrato",$E633,0))),0,YEARFRAC(MAX($P$612*($B633+IF($R$17="Distrato",$I$38-1,0)),IF(AND($L$615=0,$P$612=0),"",$L$615-1),IF($R$17="Distrato",$E633,0)),MIN(AW$38,$D$19),$P$20))-SUM($P633:AV633)</f>
        <v>0</v>
      </c>
      <c r="AX633" s="446">
        <f>IF(OR($B633="",MIN(AX$38,$D$19)&lt;MAX($P$612*($B633+IF($R$17="Distrato",$I$38-1,0)),IF(AND($L$615=0,$P$612=0),"",$L$615-1),IF($R$17="Distrato",$E633,0))),0,YEARFRAC(MAX($P$612*($B633+IF($R$17="Distrato",$I$38-1,0)),IF(AND($L$615=0,$P$612=0),"",$L$615-1),IF($R$17="Distrato",$E633,0)),MIN(AX$38,$D$19),$P$20))-SUM($P633:AW633)</f>
        <v>0</v>
      </c>
      <c r="AY633" s="446">
        <f>IF(OR($B633="",MIN(AY$38,$D$19)&lt;MAX($P$612*($B633+IF($R$17="Distrato",$I$38-1,0)),IF(AND($L$615=0,$P$612=0),"",$L$615-1),IF($R$17="Distrato",$E633,0))),0,YEARFRAC(MAX($P$612*($B633+IF($R$17="Distrato",$I$38-1,0)),IF(AND($L$615=0,$P$612=0),"",$L$615-1),IF($R$17="Distrato",$E633,0)),MIN(AY$38,$D$19),$P$20))-SUM($P633:AX633)</f>
        <v>0</v>
      </c>
      <c r="AZ633" s="446">
        <f>IF(OR($B633="",MIN(AZ$38,$D$19)&lt;MAX($P$612*($B633+IF($R$17="Distrato",$I$38-1,0)),IF(AND($L$615=0,$P$612=0),"",$L$615-1),IF($R$17="Distrato",$E633,0))),0,YEARFRAC(MAX($P$612*($B633+IF($R$17="Distrato",$I$38-1,0)),IF(AND($L$615=0,$P$612=0),"",$L$615-1),IF($R$17="Distrato",$E633,0)),MIN(AZ$38,$D$19),$P$20))-SUM($P633:AY633)</f>
        <v>0</v>
      </c>
      <c r="BA633" s="446">
        <f>IF(OR($B633="",MIN(BA$38,$D$19)&lt;MAX($P$612*($B633+IF($R$17="Distrato",$I$38-1,0)),IF(AND($L$615=0,$P$612=0),"",$L$615-1),IF($R$17="Distrato",$E633,0))),0,YEARFRAC(MAX($P$612*($B633+IF($R$17="Distrato",$I$38-1,0)),IF(AND($L$615=0,$P$612=0),"",$L$615-1),IF($R$17="Distrato",$E633,0)),MIN(BA$38,$D$19),$P$20))-SUM($P633:AZ633)</f>
        <v>0</v>
      </c>
      <c r="BB633" s="447"/>
    </row>
    <row r="634" spans="1:54" s="446" customFormat="1" ht="12.95" hidden="1" customHeight="1" x14ac:dyDescent="0.2">
      <c r="A634" s="177"/>
      <c r="B634" s="178"/>
      <c r="C634" s="29" t="str">
        <f>IF(B634="","",IF($L$613="SELIC - TRIBUTOS",VLOOKUP(DATE(YEAR($D$19),MONTH($D$19)-1,1),ÍNDICES!$A:$DE,HLOOKUP($BL$25,ÍNDICES!$B$3:$T$4,2)+11)-VLOOKUP(B634,ÍNDICES!$A:$DE,HLOOKUP($BL$25,ÍNDICES!$B$3:$T$4,2)+11)+1%,IF(C$616=$W$26,$J$613,IF(ISERROR(IF(B634&gt;$D$19,1,VLOOKUP(DATE(YEAR(B634),MONTH(B634)+IF($C$613=$S$23,1,0),1),ÍNDICES!$A:$DE,$Z$613+1))),"",IF(B634&gt;$D$19,1,VLOOKUP(DATE(YEAR(B634),MONTH(B634)+IF($C$613=$S$23,1,0),1),ÍNDICES!$A:$DE,$Z$613+1))))))</f>
        <v/>
      </c>
      <c r="D634" s="155"/>
      <c r="E634" s="179"/>
      <c r="F634" s="29"/>
      <c r="G634" s="180"/>
      <c r="H634" s="181"/>
      <c r="I634" s="182" t="str">
        <f t="shared" si="107"/>
        <v/>
      </c>
      <c r="J634" s="5" t="str">
        <f t="shared" si="108"/>
        <v/>
      </c>
      <c r="K634" s="5">
        <f t="shared" ca="1" si="109"/>
        <v>0</v>
      </c>
      <c r="L634" s="5">
        <f t="shared" ca="1" si="104"/>
        <v>0</v>
      </c>
      <c r="M634" s="64">
        <f t="shared" si="110"/>
        <v>0</v>
      </c>
      <c r="N634" s="61">
        <f t="shared" ca="1" si="105"/>
        <v>0</v>
      </c>
      <c r="O634" s="20">
        <f t="shared" ca="1" si="106"/>
        <v>0</v>
      </c>
      <c r="P634" s="446">
        <f t="shared" si="111"/>
        <v>0</v>
      </c>
      <c r="Q634" s="446">
        <f>IF(OR($B634="",MIN(Q$38,$D$19)&lt;MAX($P$612*($B634+IF($R$17="Distrato",$I$38-1,0)),IF(AND($L$615=0,$P$612=0),"",$L$615-1),IF($R$17="Distrato",$E634,0))),0,YEARFRAC(MAX($P$612*($B634+IF($R$17="Distrato",$I$38-1,0)),IF(AND($L$615=0,$P$612=0),"",$L$615-1),IF($R$17="Distrato",$E634,0)),MIN(Q$38,$D$19),$P$20))-SUM($P634:P634)</f>
        <v>0</v>
      </c>
      <c r="R634" s="446">
        <f>IF(OR($B634="",MIN(R$38,$D$19)&lt;MAX($P$612*($B634+IF($R$17="Distrato",$I$38-1,0)),IF(AND($L$615=0,$P$612=0),"",$L$615-1),IF($R$17="Distrato",$E634,0))),0,YEARFRAC(MAX($P$612*($B634+IF($R$17="Distrato",$I$38-1,0)),IF(AND($L$615=0,$P$612=0),"",$L$615-1),IF($R$17="Distrato",$E634,0)),MIN(R$38,$D$19),$P$20))-SUM($P634:Q634)</f>
        <v>0</v>
      </c>
      <c r="S634" s="446">
        <f>IF(OR($B634="",MIN(S$38,$D$19)&lt;MAX($P$612*($B634+IF($R$17="Distrato",$I$38-1,0)),IF(AND($L$615=0,$P$612=0),"",$L$615-1),IF($R$17="Distrato",$E634,0))),0,YEARFRAC(MAX($P$612*($B634+IF($R$17="Distrato",$I$38-1,0)),IF(AND($L$615=0,$P$612=0),"",$L$615-1),IF($R$17="Distrato",$E634,0)),MIN(S$38,$D$19),$P$20))-SUM($P634:R634)</f>
        <v>0</v>
      </c>
      <c r="T634" s="446">
        <f>IF(OR($B634="",MIN(T$38,$D$19)&lt;MAX($P$612*($B634+IF($R$17="Distrato",$I$38-1,0)),IF(AND($L$615=0,$P$612=0),"",$L$615-1),IF($R$17="Distrato",$E634,0))),0,YEARFRAC(MAX($P$612*($B634+IF($R$17="Distrato",$I$38-1,0)),IF(AND($L$615=0,$P$612=0),"",$L$615-1),IF($R$17="Distrato",$E634,0)),MIN(T$38,$D$19),$P$20))-SUM($P634:S634)</f>
        <v>0</v>
      </c>
      <c r="U634" s="446">
        <f>IF(OR($B634="",MIN(U$38,$D$19)&lt;MAX($P$612*($B634+IF($R$17="Distrato",$I$38-1,0)),IF(AND($L$615=0,$P$612=0),"",$L$615-1),IF($R$17="Distrato",$E634,0))),0,YEARFRAC(MAX($P$612*($B634+IF($R$17="Distrato",$I$38-1,0)),IF(AND($L$615=0,$P$612=0),"",$L$615-1),IF($R$17="Distrato",$E634,0)),MIN(U$38,$D$19),$P$20))-SUM($P634:T634)</f>
        <v>0</v>
      </c>
      <c r="V634" s="446">
        <f>IF(OR($B634="",MIN(V$38,$D$19)&lt;MAX($P$612*($B634+IF($R$17="Distrato",$I$38-1,0)),IF(AND($L$615=0,$P$612=0),"",$L$615-1),IF($R$17="Distrato",$E634,0))),0,YEARFRAC(MAX($P$612*($B634+IF($R$17="Distrato",$I$38-1,0)),IF(AND($L$615=0,$P$612=0),"",$L$615-1),IF($R$17="Distrato",$E634,0)),MIN(V$38,$D$19),$P$20))-SUM($P634:U634)</f>
        <v>0</v>
      </c>
      <c r="W634" s="446">
        <f>IF(OR($B634="",MIN(W$38,$D$19)&lt;MAX($P$612*($B634+IF($R$17="Distrato",$I$38-1,0)),IF(AND($L$615=0,$P$612=0),"",$L$615-1),IF($R$17="Distrato",$E634,0))),0,YEARFRAC(MAX($P$612*($B634+IF($R$17="Distrato",$I$38-1,0)),IF(AND($L$615=0,$P$612=0),"",$L$615-1),IF($R$17="Distrato",$E634,0)),MIN(W$38,$D$19),$P$20))-SUM($P634:V634)</f>
        <v>0</v>
      </c>
      <c r="X634" s="446">
        <f>IF(OR($B634="",MIN(X$38,$D$19)&lt;MAX($P$612*($B634+IF($R$17="Distrato",$I$38-1,0)),IF(AND($L$615=0,$P$612=0),"",$L$615-1),IF($R$17="Distrato",$E634,0))),0,YEARFRAC(MAX($P$612*($B634+IF($R$17="Distrato",$I$38-1,0)),IF(AND($L$615=0,$P$612=0),"",$L$615-1),IF($R$17="Distrato",$E634,0)),MIN(X$38,$D$19),$P$20))-SUM($P634:W634)</f>
        <v>0</v>
      </c>
      <c r="Y634" s="446">
        <f>IF(OR($B634="",MIN(Y$38,$D$19)&lt;MAX($P$612*($B634+IF($R$17="Distrato",$I$38-1,0)),IF(AND($L$615=0,$P$612=0),"",$L$615-1),IF($R$17="Distrato",$E634,0))),0,YEARFRAC(MAX($P$612*($B634+IF($R$17="Distrato",$I$38-1,0)),IF(AND($L$615=0,$P$612=0),"",$L$615-1),IF($R$17="Distrato",$E634,0)),MIN(Y$38,$D$19),$P$20))-SUM($P634:X634)</f>
        <v>0</v>
      </c>
      <c r="Z634" s="446">
        <f>IF(OR($B634="",MIN(Z$38,$D$19)&lt;MAX($P$612*($B634+IF($R$17="Distrato",$I$38-1,0)),IF(AND($L$615=0,$P$612=0),"",$L$615-1),IF($R$17="Distrato",$E634,0))),0,YEARFRAC(MAX($P$612*($B634+IF($R$17="Distrato",$I$38-1,0)),IF(AND($L$615=0,$P$612=0),"",$L$615-1),IF($R$17="Distrato",$E634,0)),MIN(Z$38,$D$19),$P$20))-SUM($P634:Y634)</f>
        <v>0</v>
      </c>
      <c r="AA634" s="446">
        <f>IF(OR($B634="",MIN(AA$38,$D$19)&lt;MAX($P$612*($B634+IF($R$17="Distrato",$I$38-1,0)),IF(AND($L$615=0,$P$612=0),"",$L$615-1),IF($R$17="Distrato",$E634,0))),0,YEARFRAC(MAX($P$612*($B634+IF($R$17="Distrato",$I$38-1,0)),IF(AND($L$615=0,$P$612=0),"",$L$615-1),IF($R$17="Distrato",$E634,0)),MIN(AA$38,$D$19),$P$20))-SUM($P634:Z634)</f>
        <v>0</v>
      </c>
      <c r="AB634" s="446">
        <f>IF(OR($B634="",MIN(AB$38,$D$19)&lt;MAX($P$612*($B634+IF($R$17="Distrato",$I$38-1,0)),IF(AND($L$615=0,$P$612=0),"",$L$615-1),IF($R$17="Distrato",$E634,0))),0,YEARFRAC(MAX($P$612*($B634+IF($R$17="Distrato",$I$38-1,0)),IF(AND($L$615=0,$P$612=0),"",$L$615-1),IF($R$17="Distrato",$E634,0)),MIN(AB$38,$D$19),$P$20))-SUM($P634:AA634)</f>
        <v>0</v>
      </c>
      <c r="AC634" s="446">
        <f>IF(OR($B634="",MIN(AC$38,$D$19)&lt;MAX($P$612*($B634+IF($R$17="Distrato",$I$38-1,0)),IF(AND($L$615=0,$P$612=0),"",$L$615-1),IF($R$17="Distrato",$E634,0))),0,YEARFRAC(MAX($P$612*($B634+IF($R$17="Distrato",$I$38-1,0)),IF(AND($L$615=0,$P$612=0),"",$L$615-1),IF($R$17="Distrato",$E634,0)),MIN(AC$38,$D$19),$P$20))-SUM($P634:AB634)</f>
        <v>0</v>
      </c>
      <c r="AD634" s="446">
        <f>IF(OR($B634="",MIN(AD$38,$D$19)&lt;MAX($P$612*($B634+IF($R$17="Distrato",$I$38-1,0)),IF(AND($L$615=0,$P$612=0),"",$L$615-1),IF($R$17="Distrato",$E634,0))),0,YEARFRAC(MAX($P$612*($B634+IF($R$17="Distrato",$I$38-1,0)),IF(AND($L$615=0,$P$612=0),"",$L$615-1),IF($R$17="Distrato",$E634,0)),MIN(AD$38,$D$19),$P$20))-SUM($P634:AC634)</f>
        <v>0</v>
      </c>
      <c r="AE634" s="446">
        <f>IF(OR($B634="",MIN(AE$38,$D$19)&lt;MAX($P$612*($B634+IF($R$17="Distrato",$I$38-1,0)),IF(AND($L$615=0,$P$612=0),"",$L$615-1),IF($R$17="Distrato",$E634,0))),0,YEARFRAC(MAX($P$612*($B634+IF($R$17="Distrato",$I$38-1,0)),IF(AND($L$615=0,$P$612=0),"",$L$615-1),IF($R$17="Distrato",$E634,0)),MIN(AE$38,$D$19),$P$20))-SUM($P634:AD634)</f>
        <v>0</v>
      </c>
      <c r="AF634" s="446">
        <f>IF(OR($B634="",MIN(AF$38,$D$19)&lt;MAX($P$612*($B634+IF($R$17="Distrato",$I$38-1,0)),IF(AND($L$615=0,$P$612=0),"",$L$615-1),IF($R$17="Distrato",$E634,0))),0,YEARFRAC(MAX($P$612*($B634+IF($R$17="Distrato",$I$38-1,0)),IF(AND($L$615=0,$P$612=0),"",$L$615-1),IF($R$17="Distrato",$E634,0)),MIN(AF$38,$D$19),$P$20))-SUM($P634:AE634)</f>
        <v>0</v>
      </c>
      <c r="AG634" s="446">
        <f>IF(OR($B634="",MIN(AG$38,$D$19)&lt;MAX($P$612*($B634+IF($R$17="Distrato",$I$38-1,0)),IF(AND($L$615=0,$P$612=0),"",$L$615-1),IF($R$17="Distrato",$E634,0))),0,YEARFRAC(MAX($P$612*($B634+IF($R$17="Distrato",$I$38-1,0)),IF(AND($L$615=0,$P$612=0),"",$L$615-1),IF($R$17="Distrato",$E634,0)),MIN(AG$38,$D$19),$P$20))-SUM($P634:AF634)</f>
        <v>0</v>
      </c>
      <c r="AH634" s="446">
        <f>IF(OR($B634="",MIN(AH$38,$D$19)&lt;MAX($P$612*($B634+IF($R$17="Distrato",$I$38-1,0)),IF(AND($L$615=0,$P$612=0),"",$L$615-1),IF($R$17="Distrato",$E634,0))),0,YEARFRAC(MAX($P$612*($B634+IF($R$17="Distrato",$I$38-1,0)),IF(AND($L$615=0,$P$612=0),"",$L$615-1),IF($R$17="Distrato",$E634,0)),MIN(AH$38,$D$19),$P$20))-SUM($P634:AG634)</f>
        <v>0</v>
      </c>
      <c r="AI634" s="446">
        <f>IF(OR($B634="",MIN(AI$38,$D$19)&lt;MAX($P$612*($B634+IF($R$17="Distrato",$I$38-1,0)),IF(AND($L$615=0,$P$612=0),"",$L$615-1),IF($R$17="Distrato",$E634,0))),0,YEARFRAC(MAX($P$612*($B634+IF($R$17="Distrato",$I$38-1,0)),IF(AND($L$615=0,$P$612=0),"",$L$615-1),IF($R$17="Distrato",$E634,0)),MIN(AI$38,$D$19),$P$20))-SUM($P634:AH634)</f>
        <v>0</v>
      </c>
      <c r="AJ634" s="446">
        <f>IF(OR($B634="",MIN(AJ$38,$D$19)&lt;MAX($P$612*($B634+IF($R$17="Distrato",$I$38-1,0)),IF(AND($L$615=0,$P$612=0),"",$L$615-1),IF($R$17="Distrato",$E634,0))),0,YEARFRAC(MAX($P$612*($B634+IF($R$17="Distrato",$I$38-1,0)),IF(AND($L$615=0,$P$612=0),"",$L$615-1),IF($R$17="Distrato",$E634,0)),MIN(AJ$38,$D$19),$P$20))-SUM($P634:AI634)</f>
        <v>0</v>
      </c>
      <c r="AK634" s="446">
        <f>IF(OR($B634="",MIN(AK$38,$D$19)&lt;MAX($P$612*($B634+IF($R$17="Distrato",$I$38-1,0)),IF(AND($L$615=0,$P$612=0),"",$L$615-1),IF($R$17="Distrato",$E634,0))),0,YEARFRAC(MAX($P$612*($B634+IF($R$17="Distrato",$I$38-1,0)),IF(AND($L$615=0,$P$612=0),"",$L$615-1),IF($R$17="Distrato",$E634,0)),MIN(AK$38,$D$19),$P$20))-SUM($P634:AJ634)</f>
        <v>0</v>
      </c>
      <c r="AL634" s="446">
        <f>IF(OR($B634="",MIN(AL$38,$D$19)&lt;MAX($P$612*($B634+IF($R$17="Distrato",$I$38-1,0)),IF(AND($L$615=0,$P$612=0),"",$L$615-1),IF($R$17="Distrato",$E634,0))),0,YEARFRAC(MAX($P$612*($B634+IF($R$17="Distrato",$I$38-1,0)),IF(AND($L$615=0,$P$612=0),"",$L$615-1),IF($R$17="Distrato",$E634,0)),MIN(AL$38,$D$19),$P$20))-SUM($P634:AK634)</f>
        <v>0</v>
      </c>
      <c r="AM634" s="446">
        <f>IF(OR($B634="",MIN(AM$38,$D$19)&lt;MAX($P$612*($B634+IF($R$17="Distrato",$I$38-1,0)),IF(AND($L$615=0,$P$612=0),"",$L$615-1),IF($R$17="Distrato",$E634,0))),0,YEARFRAC(MAX($P$612*($B634+IF($R$17="Distrato",$I$38-1,0)),IF(AND($L$615=0,$P$612=0),"",$L$615-1),IF($R$17="Distrato",$E634,0)),MIN(AM$38,$D$19),$P$20))-SUM($P634:AL634)</f>
        <v>0</v>
      </c>
      <c r="AN634" s="446">
        <f>IF(OR($B634="",MIN(AN$38,$D$19)&lt;MAX($P$612*($B634+IF($R$17="Distrato",$I$38-1,0)),IF(AND($L$615=0,$P$612=0),"",$L$615-1),IF($R$17="Distrato",$E634,0))),0,YEARFRAC(MAX($P$612*($B634+IF($R$17="Distrato",$I$38-1,0)),IF(AND($L$615=0,$P$612=0),"",$L$615-1),IF($R$17="Distrato",$E634,0)),MIN(AN$38,$D$19),$P$20))-SUM($P634:AM634)</f>
        <v>0</v>
      </c>
      <c r="AO634" s="446">
        <f>IF(OR($B634="",MIN(AO$38,$D$19)&lt;MAX($P$612*($B634+IF($R$17="Distrato",$I$38-1,0)),IF(AND($L$615=0,$P$612=0),"",$L$615-1),IF($R$17="Distrato",$E634,0))),0,YEARFRAC(MAX($P$612*($B634+IF($R$17="Distrato",$I$38-1,0)),IF(AND($L$615=0,$P$612=0),"",$L$615-1),IF($R$17="Distrato",$E634,0)),MIN(AO$38,$D$19),$P$20))-SUM($P634:AN634)</f>
        <v>0</v>
      </c>
      <c r="AP634" s="446">
        <f>IF(OR($B634="",MIN(AP$38,$D$19)&lt;MAX($P$612*($B634+IF($R$17="Distrato",$I$38-1,0)),IF(AND($L$615=0,$P$612=0),"",$L$615-1),IF($R$17="Distrato",$E634,0))),0,YEARFRAC(MAX($P$612*($B634+IF($R$17="Distrato",$I$38-1,0)),IF(AND($L$615=0,$P$612=0),"",$L$615-1),IF($R$17="Distrato",$E634,0)),MIN(AP$38,$D$19),$P$20))-SUM($P634:AO634)</f>
        <v>0</v>
      </c>
      <c r="AQ634" s="446">
        <f>IF(OR($B634="",MIN(AQ$38,$D$19)&lt;MAX($P$612*($B634+IF($R$17="Distrato",$I$38-1,0)),IF(AND($L$615=0,$P$612=0),"",$L$615-1),IF($R$17="Distrato",$E634,0))),0,YEARFRAC(MAX($P$612*($B634+IF($R$17="Distrato",$I$38-1,0)),IF(AND($L$615=0,$P$612=0),"",$L$615-1),IF($R$17="Distrato",$E634,0)),MIN(AQ$38,$D$19),$P$20))-SUM($P634:AP634)</f>
        <v>0</v>
      </c>
      <c r="AR634" s="446">
        <f>IF(OR($B634="",MIN(AR$38,$D$19)&lt;MAX($P$612*($B634+IF($R$17="Distrato",$I$38-1,0)),IF(AND($L$615=0,$P$612=0),"",$L$615-1),IF($R$17="Distrato",$E634,0))),0,YEARFRAC(MAX($P$612*($B634+IF($R$17="Distrato",$I$38-1,0)),IF(AND($L$615=0,$P$612=0),"",$L$615-1),IF($R$17="Distrato",$E634,0)),MIN(AR$38,$D$19),$P$20))-SUM($P634:AQ634)</f>
        <v>0</v>
      </c>
      <c r="AS634" s="446">
        <f>IF(OR($B634="",MIN(AS$38,$D$19)&lt;MAX($P$612*($B634+IF($R$17="Distrato",$I$38-1,0)),IF(AND($L$615=0,$P$612=0),"",$L$615-1),IF($R$17="Distrato",$E634,0))),0,YEARFRAC(MAX($P$612*($B634+IF($R$17="Distrato",$I$38-1,0)),IF(AND($L$615=0,$P$612=0),"",$L$615-1),IF($R$17="Distrato",$E634,0)),MIN(AS$38,$D$19),$P$20))-SUM($P634:AR634)</f>
        <v>0</v>
      </c>
      <c r="AT634" s="446">
        <f>IF(OR($B634="",MIN(AT$38,$D$19)&lt;MAX($P$612*($B634+IF($R$17="Distrato",$I$38-1,0)),IF(AND($L$615=0,$P$612=0),"",$L$615-1),IF($R$17="Distrato",$E634,0))),0,YEARFRAC(MAX($P$612*($B634+IF($R$17="Distrato",$I$38-1,0)),IF(AND($L$615=0,$P$612=0),"",$L$615-1),IF($R$17="Distrato",$E634,0)),MIN(AT$38,$D$19),$P$20))-SUM($P634:AS634)</f>
        <v>0</v>
      </c>
      <c r="AU634" s="446">
        <f>IF(OR($B634="",MIN(AU$38,$D$19)&lt;MAX($P$612*($B634+IF($R$17="Distrato",$I$38-1,0)),IF(AND($L$615=0,$P$612=0),"",$L$615-1),IF($R$17="Distrato",$E634,0))),0,YEARFRAC(MAX($P$612*($B634+IF($R$17="Distrato",$I$38-1,0)),IF(AND($L$615=0,$P$612=0),"",$L$615-1),IF($R$17="Distrato",$E634,0)),MIN(AU$38,$D$19),$P$20))-SUM($P634:AT634)</f>
        <v>0</v>
      </c>
      <c r="AV634" s="446">
        <f>IF(OR($B634="",MIN(AV$38,$D$19)&lt;MAX($P$612*($B634+IF($R$17="Distrato",$I$38-1,0)),IF(AND($L$615=0,$P$612=0),"",$L$615-1),IF($R$17="Distrato",$E634,0))),0,YEARFRAC(MAX($P$612*($B634+IF($R$17="Distrato",$I$38-1,0)),IF(AND($L$615=0,$P$612=0),"",$L$615-1),IF($R$17="Distrato",$E634,0)),MIN(AV$38,$D$19),$P$20))-SUM($P634:AU634)</f>
        <v>0</v>
      </c>
      <c r="AW634" s="446">
        <f>IF(OR($B634="",MIN(AW$38,$D$19)&lt;MAX($P$612*($B634+IF($R$17="Distrato",$I$38-1,0)),IF(AND($L$615=0,$P$612=0),"",$L$615-1),IF($R$17="Distrato",$E634,0))),0,YEARFRAC(MAX($P$612*($B634+IF($R$17="Distrato",$I$38-1,0)),IF(AND($L$615=0,$P$612=0),"",$L$615-1),IF($R$17="Distrato",$E634,0)),MIN(AW$38,$D$19),$P$20))-SUM($P634:AV634)</f>
        <v>0</v>
      </c>
      <c r="AX634" s="446">
        <f>IF(OR($B634="",MIN(AX$38,$D$19)&lt;MAX($P$612*($B634+IF($R$17="Distrato",$I$38-1,0)),IF(AND($L$615=0,$P$612=0),"",$L$615-1),IF($R$17="Distrato",$E634,0))),0,YEARFRAC(MAX($P$612*($B634+IF($R$17="Distrato",$I$38-1,0)),IF(AND($L$615=0,$P$612=0),"",$L$615-1),IF($R$17="Distrato",$E634,0)),MIN(AX$38,$D$19),$P$20))-SUM($P634:AW634)</f>
        <v>0</v>
      </c>
      <c r="AY634" s="446">
        <f>IF(OR($B634="",MIN(AY$38,$D$19)&lt;MAX($P$612*($B634+IF($R$17="Distrato",$I$38-1,0)),IF(AND($L$615=0,$P$612=0),"",$L$615-1),IF($R$17="Distrato",$E634,0))),0,YEARFRAC(MAX($P$612*($B634+IF($R$17="Distrato",$I$38-1,0)),IF(AND($L$615=0,$P$612=0),"",$L$615-1),IF($R$17="Distrato",$E634,0)),MIN(AY$38,$D$19),$P$20))-SUM($P634:AX634)</f>
        <v>0</v>
      </c>
      <c r="AZ634" s="446">
        <f>IF(OR($B634="",MIN(AZ$38,$D$19)&lt;MAX($P$612*($B634+IF($R$17="Distrato",$I$38-1,0)),IF(AND($L$615=0,$P$612=0),"",$L$615-1),IF($R$17="Distrato",$E634,0))),0,YEARFRAC(MAX($P$612*($B634+IF($R$17="Distrato",$I$38-1,0)),IF(AND($L$615=0,$P$612=0),"",$L$615-1),IF($R$17="Distrato",$E634,0)),MIN(AZ$38,$D$19),$P$20))-SUM($P634:AY634)</f>
        <v>0</v>
      </c>
      <c r="BA634" s="446">
        <f>IF(OR($B634="",MIN(BA$38,$D$19)&lt;MAX($P$612*($B634+IF($R$17="Distrato",$I$38-1,0)),IF(AND($L$615=0,$P$612=0),"",$L$615-1),IF($R$17="Distrato",$E634,0))),0,YEARFRAC(MAX($P$612*($B634+IF($R$17="Distrato",$I$38-1,0)),IF(AND($L$615=0,$P$612=0),"",$L$615-1),IF($R$17="Distrato",$E634,0)),MIN(BA$38,$D$19),$P$20))-SUM($P634:AZ634)</f>
        <v>0</v>
      </c>
      <c r="BB634" s="447"/>
    </row>
    <row r="635" spans="1:54" s="446" customFormat="1" ht="11.25" hidden="1" x14ac:dyDescent="0.2">
      <c r="A635" s="177"/>
      <c r="B635" s="178"/>
      <c r="C635" s="29" t="str">
        <f>IF(B635="","",IF($L$613="SELIC - TRIBUTOS",VLOOKUP(DATE(YEAR($D$19),MONTH($D$19)-1,1),ÍNDICES!$A:$DE,HLOOKUP($BL$25,ÍNDICES!$B$3:$T$4,2)+11)-VLOOKUP(B635,ÍNDICES!$A:$DE,HLOOKUP($BL$25,ÍNDICES!$B$3:$T$4,2)+11)+1%,IF(C$616=$W$26,$J$613,IF(ISERROR(IF(B635&gt;$D$19,1,VLOOKUP(DATE(YEAR(B635),MONTH(B635)+IF($C$613=$S$23,1,0),1),ÍNDICES!$A:$DE,$Z$613+1))),"",IF(B635&gt;$D$19,1,VLOOKUP(DATE(YEAR(B635),MONTH(B635)+IF($C$613=$S$23,1,0),1),ÍNDICES!$A:$DE,$Z$613+1))))))</f>
        <v/>
      </c>
      <c r="D635" s="155"/>
      <c r="E635" s="179"/>
      <c r="F635" s="29"/>
      <c r="G635" s="180"/>
      <c r="H635" s="181"/>
      <c r="I635" s="182" t="str">
        <f t="shared" si="107"/>
        <v/>
      </c>
      <c r="J635" s="5" t="str">
        <f t="shared" si="108"/>
        <v/>
      </c>
      <c r="K635" s="5">
        <f t="shared" ca="1" si="109"/>
        <v>0</v>
      </c>
      <c r="L635" s="5">
        <f t="shared" ca="1" si="104"/>
        <v>0</v>
      </c>
      <c r="M635" s="64">
        <f t="shared" si="110"/>
        <v>0</v>
      </c>
      <c r="N635" s="61">
        <f t="shared" ca="1" si="105"/>
        <v>0</v>
      </c>
      <c r="O635" s="20">
        <f t="shared" ca="1" si="106"/>
        <v>0</v>
      </c>
      <c r="P635" s="446">
        <f t="shared" si="111"/>
        <v>0</v>
      </c>
      <c r="Q635" s="446">
        <f>IF(OR($B635="",MIN(Q$38,$D$19)&lt;MAX($P$612*($B635+IF($R$17="Distrato",$I$38-1,0)),IF(AND($L$615=0,$P$612=0),"",$L$615-1),IF($R$17="Distrato",$E635,0))),0,YEARFRAC(MAX($P$612*($B635+IF($R$17="Distrato",$I$38-1,0)),IF(AND($L$615=0,$P$612=0),"",$L$615-1),IF($R$17="Distrato",$E635,0)),MIN(Q$38,$D$19),$P$20))-SUM($P635:P635)</f>
        <v>0</v>
      </c>
      <c r="R635" s="446">
        <f>IF(OR($B635="",MIN(R$38,$D$19)&lt;MAX($P$612*($B635+IF($R$17="Distrato",$I$38-1,0)),IF(AND($L$615=0,$P$612=0),"",$L$615-1),IF($R$17="Distrato",$E635,0))),0,YEARFRAC(MAX($P$612*($B635+IF($R$17="Distrato",$I$38-1,0)),IF(AND($L$615=0,$P$612=0),"",$L$615-1),IF($R$17="Distrato",$E635,0)),MIN(R$38,$D$19),$P$20))-SUM($P635:Q635)</f>
        <v>0</v>
      </c>
      <c r="S635" s="446">
        <f>IF(OR($B635="",MIN(S$38,$D$19)&lt;MAX($P$612*($B635+IF($R$17="Distrato",$I$38-1,0)),IF(AND($L$615=0,$P$612=0),"",$L$615-1),IF($R$17="Distrato",$E635,0))),0,YEARFRAC(MAX($P$612*($B635+IF($R$17="Distrato",$I$38-1,0)),IF(AND($L$615=0,$P$612=0),"",$L$615-1),IF($R$17="Distrato",$E635,0)),MIN(S$38,$D$19),$P$20))-SUM($P635:R635)</f>
        <v>0</v>
      </c>
      <c r="T635" s="446">
        <f>IF(OR($B635="",MIN(T$38,$D$19)&lt;MAX($P$612*($B635+IF($R$17="Distrato",$I$38-1,0)),IF(AND($L$615=0,$P$612=0),"",$L$615-1),IF($R$17="Distrato",$E635,0))),0,YEARFRAC(MAX($P$612*($B635+IF($R$17="Distrato",$I$38-1,0)),IF(AND($L$615=0,$P$612=0),"",$L$615-1),IF($R$17="Distrato",$E635,0)),MIN(T$38,$D$19),$P$20))-SUM($P635:S635)</f>
        <v>0</v>
      </c>
      <c r="U635" s="446">
        <f>IF(OR($B635="",MIN(U$38,$D$19)&lt;MAX($P$612*($B635+IF($R$17="Distrato",$I$38-1,0)),IF(AND($L$615=0,$P$612=0),"",$L$615-1),IF($R$17="Distrato",$E635,0))),0,YEARFRAC(MAX($P$612*($B635+IF($R$17="Distrato",$I$38-1,0)),IF(AND($L$615=0,$P$612=0),"",$L$615-1),IF($R$17="Distrato",$E635,0)),MIN(U$38,$D$19),$P$20))-SUM($P635:T635)</f>
        <v>0</v>
      </c>
      <c r="V635" s="446">
        <f>IF(OR($B635="",MIN(V$38,$D$19)&lt;MAX($P$612*($B635+IF($R$17="Distrato",$I$38-1,0)),IF(AND($L$615=0,$P$612=0),"",$L$615-1),IF($R$17="Distrato",$E635,0))),0,YEARFRAC(MAX($P$612*($B635+IF($R$17="Distrato",$I$38-1,0)),IF(AND($L$615=0,$P$612=0),"",$L$615-1),IF($R$17="Distrato",$E635,0)),MIN(V$38,$D$19),$P$20))-SUM($P635:U635)</f>
        <v>0</v>
      </c>
      <c r="W635" s="446">
        <f>IF(OR($B635="",MIN(W$38,$D$19)&lt;MAX($P$612*($B635+IF($R$17="Distrato",$I$38-1,0)),IF(AND($L$615=0,$P$612=0),"",$L$615-1),IF($R$17="Distrato",$E635,0))),0,YEARFRAC(MAX($P$612*($B635+IF($R$17="Distrato",$I$38-1,0)),IF(AND($L$615=0,$P$612=0),"",$L$615-1),IF($R$17="Distrato",$E635,0)),MIN(W$38,$D$19),$P$20))-SUM($P635:V635)</f>
        <v>0</v>
      </c>
      <c r="X635" s="446">
        <f>IF(OR($B635="",MIN(X$38,$D$19)&lt;MAX($P$612*($B635+IF($R$17="Distrato",$I$38-1,0)),IF(AND($L$615=0,$P$612=0),"",$L$615-1),IF($R$17="Distrato",$E635,0))),0,YEARFRAC(MAX($P$612*($B635+IF($R$17="Distrato",$I$38-1,0)),IF(AND($L$615=0,$P$612=0),"",$L$615-1),IF($R$17="Distrato",$E635,0)),MIN(X$38,$D$19),$P$20))-SUM($P635:W635)</f>
        <v>0</v>
      </c>
      <c r="Y635" s="446">
        <f>IF(OR($B635="",MIN(Y$38,$D$19)&lt;MAX($P$612*($B635+IF($R$17="Distrato",$I$38-1,0)),IF(AND($L$615=0,$P$612=0),"",$L$615-1),IF($R$17="Distrato",$E635,0))),0,YEARFRAC(MAX($P$612*($B635+IF($R$17="Distrato",$I$38-1,0)),IF(AND($L$615=0,$P$612=0),"",$L$615-1),IF($R$17="Distrato",$E635,0)),MIN(Y$38,$D$19),$P$20))-SUM($P635:X635)</f>
        <v>0</v>
      </c>
      <c r="Z635" s="446">
        <f>IF(OR($B635="",MIN(Z$38,$D$19)&lt;MAX($P$612*($B635+IF($R$17="Distrato",$I$38-1,0)),IF(AND($L$615=0,$P$612=0),"",$L$615-1),IF($R$17="Distrato",$E635,0))),0,YEARFRAC(MAX($P$612*($B635+IF($R$17="Distrato",$I$38-1,0)),IF(AND($L$615=0,$P$612=0),"",$L$615-1),IF($R$17="Distrato",$E635,0)),MIN(Z$38,$D$19),$P$20))-SUM($P635:Y635)</f>
        <v>0</v>
      </c>
      <c r="AA635" s="446">
        <f>IF(OR($B635="",MIN(AA$38,$D$19)&lt;MAX($P$612*($B635+IF($R$17="Distrato",$I$38-1,0)),IF(AND($L$615=0,$P$612=0),"",$L$615-1),IF($R$17="Distrato",$E635,0))),0,YEARFRAC(MAX($P$612*($B635+IF($R$17="Distrato",$I$38-1,0)),IF(AND($L$615=0,$P$612=0),"",$L$615-1),IF($R$17="Distrato",$E635,0)),MIN(AA$38,$D$19),$P$20))-SUM($P635:Z635)</f>
        <v>0</v>
      </c>
      <c r="AB635" s="446">
        <f>IF(OR($B635="",MIN(AB$38,$D$19)&lt;MAX($P$612*($B635+IF($R$17="Distrato",$I$38-1,0)),IF(AND($L$615=0,$P$612=0),"",$L$615-1),IF($R$17="Distrato",$E635,0))),0,YEARFRAC(MAX($P$612*($B635+IF($R$17="Distrato",$I$38-1,0)),IF(AND($L$615=0,$P$612=0),"",$L$615-1),IF($R$17="Distrato",$E635,0)),MIN(AB$38,$D$19),$P$20))-SUM($P635:AA635)</f>
        <v>0</v>
      </c>
      <c r="AC635" s="446">
        <f>IF(OR($B635="",MIN(AC$38,$D$19)&lt;MAX($P$612*($B635+IF($R$17="Distrato",$I$38-1,0)),IF(AND($L$615=0,$P$612=0),"",$L$615-1),IF($R$17="Distrato",$E635,0))),0,YEARFRAC(MAX($P$612*($B635+IF($R$17="Distrato",$I$38-1,0)),IF(AND($L$615=0,$P$612=0),"",$L$615-1),IF($R$17="Distrato",$E635,0)),MIN(AC$38,$D$19),$P$20))-SUM($P635:AB635)</f>
        <v>0</v>
      </c>
      <c r="AD635" s="446">
        <f>IF(OR($B635="",MIN(AD$38,$D$19)&lt;MAX($P$612*($B635+IF($R$17="Distrato",$I$38-1,0)),IF(AND($L$615=0,$P$612=0),"",$L$615-1),IF($R$17="Distrato",$E635,0))),0,YEARFRAC(MAX($P$612*($B635+IF($R$17="Distrato",$I$38-1,0)),IF(AND($L$615=0,$P$612=0),"",$L$615-1),IF($R$17="Distrato",$E635,0)),MIN(AD$38,$D$19),$P$20))-SUM($P635:AC635)</f>
        <v>0</v>
      </c>
      <c r="AE635" s="446">
        <f>IF(OR($B635="",MIN(AE$38,$D$19)&lt;MAX($P$612*($B635+IF($R$17="Distrato",$I$38-1,0)),IF(AND($L$615=0,$P$612=0),"",$L$615-1),IF($R$17="Distrato",$E635,0))),0,YEARFRAC(MAX($P$612*($B635+IF($R$17="Distrato",$I$38-1,0)),IF(AND($L$615=0,$P$612=0),"",$L$615-1),IF($R$17="Distrato",$E635,0)),MIN(AE$38,$D$19),$P$20))-SUM($P635:AD635)</f>
        <v>0</v>
      </c>
      <c r="AF635" s="446">
        <f>IF(OR($B635="",MIN(AF$38,$D$19)&lt;MAX($P$612*($B635+IF($R$17="Distrato",$I$38-1,0)),IF(AND($L$615=0,$P$612=0),"",$L$615-1),IF($R$17="Distrato",$E635,0))),0,YEARFRAC(MAX($P$612*($B635+IF($R$17="Distrato",$I$38-1,0)),IF(AND($L$615=0,$P$612=0),"",$L$615-1),IF($R$17="Distrato",$E635,0)),MIN(AF$38,$D$19),$P$20))-SUM($P635:AE635)</f>
        <v>0</v>
      </c>
      <c r="AG635" s="446">
        <f>IF(OR($B635="",MIN(AG$38,$D$19)&lt;MAX($P$612*($B635+IF($R$17="Distrato",$I$38-1,0)),IF(AND($L$615=0,$P$612=0),"",$L$615-1),IF($R$17="Distrato",$E635,0))),0,YEARFRAC(MAX($P$612*($B635+IF($R$17="Distrato",$I$38-1,0)),IF(AND($L$615=0,$P$612=0),"",$L$615-1),IF($R$17="Distrato",$E635,0)),MIN(AG$38,$D$19),$P$20))-SUM($P635:AF635)</f>
        <v>0</v>
      </c>
      <c r="AH635" s="446">
        <f>IF(OR($B635="",MIN(AH$38,$D$19)&lt;MAX($P$612*($B635+IF($R$17="Distrato",$I$38-1,0)),IF(AND($L$615=0,$P$612=0),"",$L$615-1),IF($R$17="Distrato",$E635,0))),0,YEARFRAC(MAX($P$612*($B635+IF($R$17="Distrato",$I$38-1,0)),IF(AND($L$615=0,$P$612=0),"",$L$615-1),IF($R$17="Distrato",$E635,0)),MIN(AH$38,$D$19),$P$20))-SUM($P635:AG635)</f>
        <v>0</v>
      </c>
      <c r="AI635" s="446">
        <f>IF(OR($B635="",MIN(AI$38,$D$19)&lt;MAX($P$612*($B635+IF($R$17="Distrato",$I$38-1,0)),IF(AND($L$615=0,$P$612=0),"",$L$615-1),IF($R$17="Distrato",$E635,0))),0,YEARFRAC(MAX($P$612*($B635+IF($R$17="Distrato",$I$38-1,0)),IF(AND($L$615=0,$P$612=0),"",$L$615-1),IF($R$17="Distrato",$E635,0)),MIN(AI$38,$D$19),$P$20))-SUM($P635:AH635)</f>
        <v>0</v>
      </c>
      <c r="AJ635" s="446">
        <f>IF(OR($B635="",MIN(AJ$38,$D$19)&lt;MAX($P$612*($B635+IF($R$17="Distrato",$I$38-1,0)),IF(AND($L$615=0,$P$612=0),"",$L$615-1),IF($R$17="Distrato",$E635,0))),0,YEARFRAC(MAX($P$612*($B635+IF($R$17="Distrato",$I$38-1,0)),IF(AND($L$615=0,$P$612=0),"",$L$615-1),IF($R$17="Distrato",$E635,0)),MIN(AJ$38,$D$19),$P$20))-SUM($P635:AI635)</f>
        <v>0</v>
      </c>
      <c r="AK635" s="446">
        <f>IF(OR($B635="",MIN(AK$38,$D$19)&lt;MAX($P$612*($B635+IF($R$17="Distrato",$I$38-1,0)),IF(AND($L$615=0,$P$612=0),"",$L$615-1),IF($R$17="Distrato",$E635,0))),0,YEARFRAC(MAX($P$612*($B635+IF($R$17="Distrato",$I$38-1,0)),IF(AND($L$615=0,$P$612=0),"",$L$615-1),IF($R$17="Distrato",$E635,0)),MIN(AK$38,$D$19),$P$20))-SUM($P635:AJ635)</f>
        <v>0</v>
      </c>
      <c r="AL635" s="446">
        <f>IF(OR($B635="",MIN(AL$38,$D$19)&lt;MAX($P$612*($B635+IF($R$17="Distrato",$I$38-1,0)),IF(AND($L$615=0,$P$612=0),"",$L$615-1),IF($R$17="Distrato",$E635,0))),0,YEARFRAC(MAX($P$612*($B635+IF($R$17="Distrato",$I$38-1,0)),IF(AND($L$615=0,$P$612=0),"",$L$615-1),IF($R$17="Distrato",$E635,0)),MIN(AL$38,$D$19),$P$20))-SUM($P635:AK635)</f>
        <v>0</v>
      </c>
      <c r="AM635" s="446">
        <f>IF(OR($B635="",MIN(AM$38,$D$19)&lt;MAX($P$612*($B635+IF($R$17="Distrato",$I$38-1,0)),IF(AND($L$615=0,$P$612=0),"",$L$615-1),IF($R$17="Distrato",$E635,0))),0,YEARFRAC(MAX($P$612*($B635+IF($R$17="Distrato",$I$38-1,0)),IF(AND($L$615=0,$P$612=0),"",$L$615-1),IF($R$17="Distrato",$E635,0)),MIN(AM$38,$D$19),$P$20))-SUM($P635:AL635)</f>
        <v>0</v>
      </c>
      <c r="AN635" s="446">
        <f>IF(OR($B635="",MIN(AN$38,$D$19)&lt;MAX($P$612*($B635+IF($R$17="Distrato",$I$38-1,0)),IF(AND($L$615=0,$P$612=0),"",$L$615-1),IF($R$17="Distrato",$E635,0))),0,YEARFRAC(MAX($P$612*($B635+IF($R$17="Distrato",$I$38-1,0)),IF(AND($L$615=0,$P$612=0),"",$L$615-1),IF($R$17="Distrato",$E635,0)),MIN(AN$38,$D$19),$P$20))-SUM($P635:AM635)</f>
        <v>0</v>
      </c>
      <c r="AO635" s="446">
        <f>IF(OR($B635="",MIN(AO$38,$D$19)&lt;MAX($P$612*($B635+IF($R$17="Distrato",$I$38-1,0)),IF(AND($L$615=0,$P$612=0),"",$L$615-1),IF($R$17="Distrato",$E635,0))),0,YEARFRAC(MAX($P$612*($B635+IF($R$17="Distrato",$I$38-1,0)),IF(AND($L$615=0,$P$612=0),"",$L$615-1),IF($R$17="Distrato",$E635,0)),MIN(AO$38,$D$19),$P$20))-SUM($P635:AN635)</f>
        <v>0</v>
      </c>
      <c r="AP635" s="446">
        <f>IF(OR($B635="",MIN(AP$38,$D$19)&lt;MAX($P$612*($B635+IF($R$17="Distrato",$I$38-1,0)),IF(AND($L$615=0,$P$612=0),"",$L$615-1),IF($R$17="Distrato",$E635,0))),0,YEARFRAC(MAX($P$612*($B635+IF($R$17="Distrato",$I$38-1,0)),IF(AND($L$615=0,$P$612=0),"",$L$615-1),IF($R$17="Distrato",$E635,0)),MIN(AP$38,$D$19),$P$20))-SUM($P635:AO635)</f>
        <v>0</v>
      </c>
      <c r="AQ635" s="446">
        <f>IF(OR($B635="",MIN(AQ$38,$D$19)&lt;MAX($P$612*($B635+IF($R$17="Distrato",$I$38-1,0)),IF(AND($L$615=0,$P$612=0),"",$L$615-1),IF($R$17="Distrato",$E635,0))),0,YEARFRAC(MAX($P$612*($B635+IF($R$17="Distrato",$I$38-1,0)),IF(AND($L$615=0,$P$612=0),"",$L$615-1),IF($R$17="Distrato",$E635,0)),MIN(AQ$38,$D$19),$P$20))-SUM($P635:AP635)</f>
        <v>0</v>
      </c>
      <c r="AR635" s="446">
        <f>IF(OR($B635="",MIN(AR$38,$D$19)&lt;MAX($P$612*($B635+IF($R$17="Distrato",$I$38-1,0)),IF(AND($L$615=0,$P$612=0),"",$L$615-1),IF($R$17="Distrato",$E635,0))),0,YEARFRAC(MAX($P$612*($B635+IF($R$17="Distrato",$I$38-1,0)),IF(AND($L$615=0,$P$612=0),"",$L$615-1),IF($R$17="Distrato",$E635,0)),MIN(AR$38,$D$19),$P$20))-SUM($P635:AQ635)</f>
        <v>0</v>
      </c>
      <c r="AS635" s="446">
        <f>IF(OR($B635="",MIN(AS$38,$D$19)&lt;MAX($P$612*($B635+IF($R$17="Distrato",$I$38-1,0)),IF(AND($L$615=0,$P$612=0),"",$L$615-1),IF($R$17="Distrato",$E635,0))),0,YEARFRAC(MAX($P$612*($B635+IF($R$17="Distrato",$I$38-1,0)),IF(AND($L$615=0,$P$612=0),"",$L$615-1),IF($R$17="Distrato",$E635,0)),MIN(AS$38,$D$19),$P$20))-SUM($P635:AR635)</f>
        <v>0</v>
      </c>
      <c r="AT635" s="446">
        <f>IF(OR($B635="",MIN(AT$38,$D$19)&lt;MAX($P$612*($B635+IF($R$17="Distrato",$I$38-1,0)),IF(AND($L$615=0,$P$612=0),"",$L$615-1),IF($R$17="Distrato",$E635,0))),0,YEARFRAC(MAX($P$612*($B635+IF($R$17="Distrato",$I$38-1,0)),IF(AND($L$615=0,$P$612=0),"",$L$615-1),IF($R$17="Distrato",$E635,0)),MIN(AT$38,$D$19),$P$20))-SUM($P635:AS635)</f>
        <v>0</v>
      </c>
      <c r="AU635" s="446">
        <f>IF(OR($B635="",MIN(AU$38,$D$19)&lt;MAX($P$612*($B635+IF($R$17="Distrato",$I$38-1,0)),IF(AND($L$615=0,$P$612=0),"",$L$615-1),IF($R$17="Distrato",$E635,0))),0,YEARFRAC(MAX($P$612*($B635+IF($R$17="Distrato",$I$38-1,0)),IF(AND($L$615=0,$P$612=0),"",$L$615-1),IF($R$17="Distrato",$E635,0)),MIN(AU$38,$D$19),$P$20))-SUM($P635:AT635)</f>
        <v>0</v>
      </c>
      <c r="AV635" s="446">
        <f>IF(OR($B635="",MIN(AV$38,$D$19)&lt;MAX($P$612*($B635+IF($R$17="Distrato",$I$38-1,0)),IF(AND($L$615=0,$P$612=0),"",$L$615-1),IF($R$17="Distrato",$E635,0))),0,YEARFRAC(MAX($P$612*($B635+IF($R$17="Distrato",$I$38-1,0)),IF(AND($L$615=0,$P$612=0),"",$L$615-1),IF($R$17="Distrato",$E635,0)),MIN(AV$38,$D$19),$P$20))-SUM($P635:AU635)</f>
        <v>0</v>
      </c>
      <c r="AW635" s="446">
        <f>IF(OR($B635="",MIN(AW$38,$D$19)&lt;MAX($P$612*($B635+IF($R$17="Distrato",$I$38-1,0)),IF(AND($L$615=0,$P$612=0),"",$L$615-1),IF($R$17="Distrato",$E635,0))),0,YEARFRAC(MAX($P$612*($B635+IF($R$17="Distrato",$I$38-1,0)),IF(AND($L$615=0,$P$612=0),"",$L$615-1),IF($R$17="Distrato",$E635,0)),MIN(AW$38,$D$19),$P$20))-SUM($P635:AV635)</f>
        <v>0</v>
      </c>
      <c r="AX635" s="446">
        <f>IF(OR($B635="",MIN(AX$38,$D$19)&lt;MAX($P$612*($B635+IF($R$17="Distrato",$I$38-1,0)),IF(AND($L$615=0,$P$612=0),"",$L$615-1),IF($R$17="Distrato",$E635,0))),0,YEARFRAC(MAX($P$612*($B635+IF($R$17="Distrato",$I$38-1,0)),IF(AND($L$615=0,$P$612=0),"",$L$615-1),IF($R$17="Distrato",$E635,0)),MIN(AX$38,$D$19),$P$20))-SUM($P635:AW635)</f>
        <v>0</v>
      </c>
      <c r="AY635" s="446">
        <f>IF(OR($B635="",MIN(AY$38,$D$19)&lt;MAX($P$612*($B635+IF($R$17="Distrato",$I$38-1,0)),IF(AND($L$615=0,$P$612=0),"",$L$615-1),IF($R$17="Distrato",$E635,0))),0,YEARFRAC(MAX($P$612*($B635+IF($R$17="Distrato",$I$38-1,0)),IF(AND($L$615=0,$P$612=0),"",$L$615-1),IF($R$17="Distrato",$E635,0)),MIN(AY$38,$D$19),$P$20))-SUM($P635:AX635)</f>
        <v>0</v>
      </c>
      <c r="AZ635" s="446">
        <f>IF(OR($B635="",MIN(AZ$38,$D$19)&lt;MAX($P$612*($B635+IF($R$17="Distrato",$I$38-1,0)),IF(AND($L$615=0,$P$612=0),"",$L$615-1),IF($R$17="Distrato",$E635,0))),0,YEARFRAC(MAX($P$612*($B635+IF($R$17="Distrato",$I$38-1,0)),IF(AND($L$615=0,$P$612=0),"",$L$615-1),IF($R$17="Distrato",$E635,0)),MIN(AZ$38,$D$19),$P$20))-SUM($P635:AY635)</f>
        <v>0</v>
      </c>
      <c r="BA635" s="446">
        <f>IF(OR($B635="",MIN(BA$38,$D$19)&lt;MAX($P$612*($B635+IF($R$17="Distrato",$I$38-1,0)),IF(AND($L$615=0,$P$612=0),"",$L$615-1),IF($R$17="Distrato",$E635,0))),0,YEARFRAC(MAX($P$612*($B635+IF($R$17="Distrato",$I$38-1,0)),IF(AND($L$615=0,$P$612=0),"",$L$615-1),IF($R$17="Distrato",$E635,0)),MIN(BA$38,$D$19),$P$20))-SUM($P635:AZ635)</f>
        <v>0</v>
      </c>
      <c r="BB635" s="447"/>
    </row>
    <row r="636" spans="1:54" s="446" customFormat="1" ht="11.25" hidden="1" x14ac:dyDescent="0.2">
      <c r="A636" s="177"/>
      <c r="B636" s="178"/>
      <c r="C636" s="29" t="str">
        <f>IF(B636="","",IF($L$613="SELIC - TRIBUTOS",VLOOKUP(DATE(YEAR($D$19),MONTH($D$19)-1,1),ÍNDICES!$A:$DE,HLOOKUP($BL$25,ÍNDICES!$B$3:$T$4,2)+11)-VLOOKUP(B636,ÍNDICES!$A:$DE,HLOOKUP($BL$25,ÍNDICES!$B$3:$T$4,2)+11)+1%,IF(C$616=$W$26,$J$613,IF(ISERROR(IF(B636&gt;$D$19,1,VLOOKUP(DATE(YEAR(B636),MONTH(B636)+IF($C$613=$S$23,1,0),1),ÍNDICES!$A:$DE,$Z$613+1))),"",IF(B636&gt;$D$19,1,VLOOKUP(DATE(YEAR(B636),MONTH(B636)+IF($C$613=$S$23,1,0),1),ÍNDICES!$A:$DE,$Z$613+1))))))</f>
        <v/>
      </c>
      <c r="D636" s="155"/>
      <c r="E636" s="179"/>
      <c r="F636" s="29"/>
      <c r="G636" s="180"/>
      <c r="H636" s="181"/>
      <c r="I636" s="182" t="str">
        <f t="shared" si="107"/>
        <v/>
      </c>
      <c r="J636" s="5" t="str">
        <f t="shared" si="108"/>
        <v/>
      </c>
      <c r="K636" s="5">
        <f t="shared" ca="1" si="109"/>
        <v>0</v>
      </c>
      <c r="L636" s="5">
        <f t="shared" ca="1" si="104"/>
        <v>0</v>
      </c>
      <c r="M636" s="64">
        <f t="shared" si="110"/>
        <v>0</v>
      </c>
      <c r="N636" s="61">
        <f t="shared" ca="1" si="105"/>
        <v>0</v>
      </c>
      <c r="O636" s="20">
        <f t="shared" ca="1" si="106"/>
        <v>0</v>
      </c>
      <c r="P636" s="446">
        <f t="shared" si="111"/>
        <v>0</v>
      </c>
      <c r="Q636" s="446">
        <f>IF(OR($B636="",MIN(Q$38,$D$19)&lt;MAX($P$612*($B636+IF($R$17="Distrato",$I$38-1,0)),IF(AND($L$615=0,$P$612=0),"",$L$615-1),IF($R$17="Distrato",$E636,0))),0,YEARFRAC(MAX($P$612*($B636+IF($R$17="Distrato",$I$38-1,0)),IF(AND($L$615=0,$P$612=0),"",$L$615-1),IF($R$17="Distrato",$E636,0)),MIN(Q$38,$D$19),$P$20))-SUM($P636:P636)</f>
        <v>0</v>
      </c>
      <c r="R636" s="446">
        <f>IF(OR($B636="",MIN(R$38,$D$19)&lt;MAX($P$612*($B636+IF($R$17="Distrato",$I$38-1,0)),IF(AND($L$615=0,$P$612=0),"",$L$615-1),IF($R$17="Distrato",$E636,0))),0,YEARFRAC(MAX($P$612*($B636+IF($R$17="Distrato",$I$38-1,0)),IF(AND($L$615=0,$P$612=0),"",$L$615-1),IF($R$17="Distrato",$E636,0)),MIN(R$38,$D$19),$P$20))-SUM($P636:Q636)</f>
        <v>0</v>
      </c>
      <c r="S636" s="446">
        <f>IF(OR($B636="",MIN(S$38,$D$19)&lt;MAX($P$612*($B636+IF($R$17="Distrato",$I$38-1,0)),IF(AND($L$615=0,$P$612=0),"",$L$615-1),IF($R$17="Distrato",$E636,0))),0,YEARFRAC(MAX($P$612*($B636+IF($R$17="Distrato",$I$38-1,0)),IF(AND($L$615=0,$P$612=0),"",$L$615-1),IF($R$17="Distrato",$E636,0)),MIN(S$38,$D$19),$P$20))-SUM($P636:R636)</f>
        <v>0</v>
      </c>
      <c r="T636" s="446">
        <f>IF(OR($B636="",MIN(T$38,$D$19)&lt;MAX($P$612*($B636+IF($R$17="Distrato",$I$38-1,0)),IF(AND($L$615=0,$P$612=0),"",$L$615-1),IF($R$17="Distrato",$E636,0))),0,YEARFRAC(MAX($P$612*($B636+IF($R$17="Distrato",$I$38-1,0)),IF(AND($L$615=0,$P$612=0),"",$L$615-1),IF($R$17="Distrato",$E636,0)),MIN(T$38,$D$19),$P$20))-SUM($P636:S636)</f>
        <v>0</v>
      </c>
      <c r="U636" s="446">
        <f>IF(OR($B636="",MIN(U$38,$D$19)&lt;MAX($P$612*($B636+IF($R$17="Distrato",$I$38-1,0)),IF(AND($L$615=0,$P$612=0),"",$L$615-1),IF($R$17="Distrato",$E636,0))),0,YEARFRAC(MAX($P$612*($B636+IF($R$17="Distrato",$I$38-1,0)),IF(AND($L$615=0,$P$612=0),"",$L$615-1),IF($R$17="Distrato",$E636,0)),MIN(U$38,$D$19),$P$20))-SUM($P636:T636)</f>
        <v>0</v>
      </c>
      <c r="V636" s="446">
        <f>IF(OR($B636="",MIN(V$38,$D$19)&lt;MAX($P$612*($B636+IF($R$17="Distrato",$I$38-1,0)),IF(AND($L$615=0,$P$612=0),"",$L$615-1),IF($R$17="Distrato",$E636,0))),0,YEARFRAC(MAX($P$612*($B636+IF($R$17="Distrato",$I$38-1,0)),IF(AND($L$615=0,$P$612=0),"",$L$615-1),IF($R$17="Distrato",$E636,0)),MIN(V$38,$D$19),$P$20))-SUM($P636:U636)</f>
        <v>0</v>
      </c>
      <c r="W636" s="446">
        <f>IF(OR($B636="",MIN(W$38,$D$19)&lt;MAX($P$612*($B636+IF($R$17="Distrato",$I$38-1,0)),IF(AND($L$615=0,$P$612=0),"",$L$615-1),IF($R$17="Distrato",$E636,0))),0,YEARFRAC(MAX($P$612*($B636+IF($R$17="Distrato",$I$38-1,0)),IF(AND($L$615=0,$P$612=0),"",$L$615-1),IF($R$17="Distrato",$E636,0)),MIN(W$38,$D$19),$P$20))-SUM($P636:V636)</f>
        <v>0</v>
      </c>
      <c r="X636" s="446">
        <f>IF(OR($B636="",MIN(X$38,$D$19)&lt;MAX($P$612*($B636+IF($R$17="Distrato",$I$38-1,0)),IF(AND($L$615=0,$P$612=0),"",$L$615-1),IF($R$17="Distrato",$E636,0))),0,YEARFRAC(MAX($P$612*($B636+IF($R$17="Distrato",$I$38-1,0)),IF(AND($L$615=0,$P$612=0),"",$L$615-1),IF($R$17="Distrato",$E636,0)),MIN(X$38,$D$19),$P$20))-SUM($P636:W636)</f>
        <v>0</v>
      </c>
      <c r="Y636" s="446">
        <f>IF(OR($B636="",MIN(Y$38,$D$19)&lt;MAX($P$612*($B636+IF($R$17="Distrato",$I$38-1,0)),IF(AND($L$615=0,$P$612=0),"",$L$615-1),IF($R$17="Distrato",$E636,0))),0,YEARFRAC(MAX($P$612*($B636+IF($R$17="Distrato",$I$38-1,0)),IF(AND($L$615=0,$P$612=0),"",$L$615-1),IF($R$17="Distrato",$E636,0)),MIN(Y$38,$D$19),$P$20))-SUM($P636:X636)</f>
        <v>0</v>
      </c>
      <c r="Z636" s="446">
        <f>IF(OR($B636="",MIN(Z$38,$D$19)&lt;MAX($P$612*($B636+IF($R$17="Distrato",$I$38-1,0)),IF(AND($L$615=0,$P$612=0),"",$L$615-1),IF($R$17="Distrato",$E636,0))),0,YEARFRAC(MAX($P$612*($B636+IF($R$17="Distrato",$I$38-1,0)),IF(AND($L$615=0,$P$612=0),"",$L$615-1),IF($R$17="Distrato",$E636,0)),MIN(Z$38,$D$19),$P$20))-SUM($P636:Y636)</f>
        <v>0</v>
      </c>
      <c r="AA636" s="446">
        <f>IF(OR($B636="",MIN(AA$38,$D$19)&lt;MAX($P$612*($B636+IF($R$17="Distrato",$I$38-1,0)),IF(AND($L$615=0,$P$612=0),"",$L$615-1),IF($R$17="Distrato",$E636,0))),0,YEARFRAC(MAX($P$612*($B636+IF($R$17="Distrato",$I$38-1,0)),IF(AND($L$615=0,$P$612=0),"",$L$615-1),IF($R$17="Distrato",$E636,0)),MIN(AA$38,$D$19),$P$20))-SUM($P636:Z636)</f>
        <v>0</v>
      </c>
      <c r="AB636" s="446">
        <f>IF(OR($B636="",MIN(AB$38,$D$19)&lt;MAX($P$612*($B636+IF($R$17="Distrato",$I$38-1,0)),IF(AND($L$615=0,$P$612=0),"",$L$615-1),IF($R$17="Distrato",$E636,0))),0,YEARFRAC(MAX($P$612*($B636+IF($R$17="Distrato",$I$38-1,0)),IF(AND($L$615=0,$P$612=0),"",$L$615-1),IF($R$17="Distrato",$E636,0)),MIN(AB$38,$D$19),$P$20))-SUM($P636:AA636)</f>
        <v>0</v>
      </c>
      <c r="AC636" s="446">
        <f>IF(OR($B636="",MIN(AC$38,$D$19)&lt;MAX($P$612*($B636+IF($R$17="Distrato",$I$38-1,0)),IF(AND($L$615=0,$P$612=0),"",$L$615-1),IF($R$17="Distrato",$E636,0))),0,YEARFRAC(MAX($P$612*($B636+IF($R$17="Distrato",$I$38-1,0)),IF(AND($L$615=0,$P$612=0),"",$L$615-1),IF($R$17="Distrato",$E636,0)),MIN(AC$38,$D$19),$P$20))-SUM($P636:AB636)</f>
        <v>0</v>
      </c>
      <c r="AD636" s="446">
        <f>IF(OR($B636="",MIN(AD$38,$D$19)&lt;MAX($P$612*($B636+IF($R$17="Distrato",$I$38-1,0)),IF(AND($L$615=0,$P$612=0),"",$L$615-1),IF($R$17="Distrato",$E636,0))),0,YEARFRAC(MAX($P$612*($B636+IF($R$17="Distrato",$I$38-1,0)),IF(AND($L$615=0,$P$612=0),"",$L$615-1),IF($R$17="Distrato",$E636,0)),MIN(AD$38,$D$19),$P$20))-SUM($P636:AC636)</f>
        <v>0</v>
      </c>
      <c r="AE636" s="446">
        <f>IF(OR($B636="",MIN(AE$38,$D$19)&lt;MAX($P$612*($B636+IF($R$17="Distrato",$I$38-1,0)),IF(AND($L$615=0,$P$612=0),"",$L$615-1),IF($R$17="Distrato",$E636,0))),0,YEARFRAC(MAX($P$612*($B636+IF($R$17="Distrato",$I$38-1,0)),IF(AND($L$615=0,$P$612=0),"",$L$615-1),IF($R$17="Distrato",$E636,0)),MIN(AE$38,$D$19),$P$20))-SUM($P636:AD636)</f>
        <v>0</v>
      </c>
      <c r="AF636" s="446">
        <f>IF(OR($B636="",MIN(AF$38,$D$19)&lt;MAX($P$612*($B636+IF($R$17="Distrato",$I$38-1,0)),IF(AND($L$615=0,$P$612=0),"",$L$615-1),IF($R$17="Distrato",$E636,0))),0,YEARFRAC(MAX($P$612*($B636+IF($R$17="Distrato",$I$38-1,0)),IF(AND($L$615=0,$P$612=0),"",$L$615-1),IF($R$17="Distrato",$E636,0)),MIN(AF$38,$D$19),$P$20))-SUM($P636:AE636)</f>
        <v>0</v>
      </c>
      <c r="AG636" s="446">
        <f>IF(OR($B636="",MIN(AG$38,$D$19)&lt;MAX($P$612*($B636+IF($R$17="Distrato",$I$38-1,0)),IF(AND($L$615=0,$P$612=0),"",$L$615-1),IF($R$17="Distrato",$E636,0))),0,YEARFRAC(MAX($P$612*($B636+IF($R$17="Distrato",$I$38-1,0)),IF(AND($L$615=0,$P$612=0),"",$L$615-1),IF($R$17="Distrato",$E636,0)),MIN(AG$38,$D$19),$P$20))-SUM($P636:AF636)</f>
        <v>0</v>
      </c>
      <c r="AH636" s="446">
        <f>IF(OR($B636="",MIN(AH$38,$D$19)&lt;MAX($P$612*($B636+IF($R$17="Distrato",$I$38-1,0)),IF(AND($L$615=0,$P$612=0),"",$L$615-1),IF($R$17="Distrato",$E636,0))),0,YEARFRAC(MAX($P$612*($B636+IF($R$17="Distrato",$I$38-1,0)),IF(AND($L$615=0,$P$612=0),"",$L$615-1),IF($R$17="Distrato",$E636,0)),MIN(AH$38,$D$19),$P$20))-SUM($P636:AG636)</f>
        <v>0</v>
      </c>
      <c r="AI636" s="446">
        <f>IF(OR($B636="",MIN(AI$38,$D$19)&lt;MAX($P$612*($B636+IF($R$17="Distrato",$I$38-1,0)),IF(AND($L$615=0,$P$612=0),"",$L$615-1),IF($R$17="Distrato",$E636,0))),0,YEARFRAC(MAX($P$612*($B636+IF($R$17="Distrato",$I$38-1,0)),IF(AND($L$615=0,$P$612=0),"",$L$615-1),IF($R$17="Distrato",$E636,0)),MIN(AI$38,$D$19),$P$20))-SUM($P636:AH636)</f>
        <v>0</v>
      </c>
      <c r="AJ636" s="446">
        <f>IF(OR($B636="",MIN(AJ$38,$D$19)&lt;MAX($P$612*($B636+IF($R$17="Distrato",$I$38-1,0)),IF(AND($L$615=0,$P$612=0),"",$L$615-1),IF($R$17="Distrato",$E636,0))),0,YEARFRAC(MAX($P$612*($B636+IF($R$17="Distrato",$I$38-1,0)),IF(AND($L$615=0,$P$612=0),"",$L$615-1),IF($R$17="Distrato",$E636,0)),MIN(AJ$38,$D$19),$P$20))-SUM($P636:AI636)</f>
        <v>0</v>
      </c>
      <c r="AK636" s="446">
        <f>IF(OR($B636="",MIN(AK$38,$D$19)&lt;MAX($P$612*($B636+IF($R$17="Distrato",$I$38-1,0)),IF(AND($L$615=0,$P$612=0),"",$L$615-1),IF($R$17="Distrato",$E636,0))),0,YEARFRAC(MAX($P$612*($B636+IF($R$17="Distrato",$I$38-1,0)),IF(AND($L$615=0,$P$612=0),"",$L$615-1),IF($R$17="Distrato",$E636,0)),MIN(AK$38,$D$19),$P$20))-SUM($P636:AJ636)</f>
        <v>0</v>
      </c>
      <c r="AL636" s="446">
        <f>IF(OR($B636="",MIN(AL$38,$D$19)&lt;MAX($P$612*($B636+IF($R$17="Distrato",$I$38-1,0)),IF(AND($L$615=0,$P$612=0),"",$L$615-1),IF($R$17="Distrato",$E636,0))),0,YEARFRAC(MAX($P$612*($B636+IF($R$17="Distrato",$I$38-1,0)),IF(AND($L$615=0,$P$612=0),"",$L$615-1),IF($R$17="Distrato",$E636,0)),MIN(AL$38,$D$19),$P$20))-SUM($P636:AK636)</f>
        <v>0</v>
      </c>
      <c r="AM636" s="446">
        <f>IF(OR($B636="",MIN(AM$38,$D$19)&lt;MAX($P$612*($B636+IF($R$17="Distrato",$I$38-1,0)),IF(AND($L$615=0,$P$612=0),"",$L$615-1),IF($R$17="Distrato",$E636,0))),0,YEARFRAC(MAX($P$612*($B636+IF($R$17="Distrato",$I$38-1,0)),IF(AND($L$615=0,$P$612=0),"",$L$615-1),IF($R$17="Distrato",$E636,0)),MIN(AM$38,$D$19),$P$20))-SUM($P636:AL636)</f>
        <v>0</v>
      </c>
      <c r="AN636" s="446">
        <f>IF(OR($B636="",MIN(AN$38,$D$19)&lt;MAX($P$612*($B636+IF($R$17="Distrato",$I$38-1,0)),IF(AND($L$615=0,$P$612=0),"",$L$615-1),IF($R$17="Distrato",$E636,0))),0,YEARFRAC(MAX($P$612*($B636+IF($R$17="Distrato",$I$38-1,0)),IF(AND($L$615=0,$P$612=0),"",$L$615-1),IF($R$17="Distrato",$E636,0)),MIN(AN$38,$D$19),$P$20))-SUM($P636:AM636)</f>
        <v>0</v>
      </c>
      <c r="AO636" s="446">
        <f>IF(OR($B636="",MIN(AO$38,$D$19)&lt;MAX($P$612*($B636+IF($R$17="Distrato",$I$38-1,0)),IF(AND($L$615=0,$P$612=0),"",$L$615-1),IF($R$17="Distrato",$E636,0))),0,YEARFRAC(MAX($P$612*($B636+IF($R$17="Distrato",$I$38-1,0)),IF(AND($L$615=0,$P$612=0),"",$L$615-1),IF($R$17="Distrato",$E636,0)),MIN(AO$38,$D$19),$P$20))-SUM($P636:AN636)</f>
        <v>0</v>
      </c>
      <c r="AP636" s="446">
        <f>IF(OR($B636="",MIN(AP$38,$D$19)&lt;MAX($P$612*($B636+IF($R$17="Distrato",$I$38-1,0)),IF(AND($L$615=0,$P$612=0),"",$L$615-1),IF($R$17="Distrato",$E636,0))),0,YEARFRAC(MAX($P$612*($B636+IF($R$17="Distrato",$I$38-1,0)),IF(AND($L$615=0,$P$612=0),"",$L$615-1),IF($R$17="Distrato",$E636,0)),MIN(AP$38,$D$19),$P$20))-SUM($P636:AO636)</f>
        <v>0</v>
      </c>
      <c r="AQ636" s="446">
        <f>IF(OR($B636="",MIN(AQ$38,$D$19)&lt;MAX($P$612*($B636+IF($R$17="Distrato",$I$38-1,0)),IF(AND($L$615=0,$P$612=0),"",$L$615-1),IF($R$17="Distrato",$E636,0))),0,YEARFRAC(MAX($P$612*($B636+IF($R$17="Distrato",$I$38-1,0)),IF(AND($L$615=0,$P$612=0),"",$L$615-1),IF($R$17="Distrato",$E636,0)),MIN(AQ$38,$D$19),$P$20))-SUM($P636:AP636)</f>
        <v>0</v>
      </c>
      <c r="AR636" s="446">
        <f>IF(OR($B636="",MIN(AR$38,$D$19)&lt;MAX($P$612*($B636+IF($R$17="Distrato",$I$38-1,0)),IF(AND($L$615=0,$P$612=0),"",$L$615-1),IF($R$17="Distrato",$E636,0))),0,YEARFRAC(MAX($P$612*($B636+IF($R$17="Distrato",$I$38-1,0)),IF(AND($L$615=0,$P$612=0),"",$L$615-1),IF($R$17="Distrato",$E636,0)),MIN(AR$38,$D$19),$P$20))-SUM($P636:AQ636)</f>
        <v>0</v>
      </c>
      <c r="AS636" s="446">
        <f>IF(OR($B636="",MIN(AS$38,$D$19)&lt;MAX($P$612*($B636+IF($R$17="Distrato",$I$38-1,0)),IF(AND($L$615=0,$P$612=0),"",$L$615-1),IF($R$17="Distrato",$E636,0))),0,YEARFRAC(MAX($P$612*($B636+IF($R$17="Distrato",$I$38-1,0)),IF(AND($L$615=0,$P$612=0),"",$L$615-1),IF($R$17="Distrato",$E636,0)),MIN(AS$38,$D$19),$P$20))-SUM($P636:AR636)</f>
        <v>0</v>
      </c>
      <c r="AT636" s="446">
        <f>IF(OR($B636="",MIN(AT$38,$D$19)&lt;MAX($P$612*($B636+IF($R$17="Distrato",$I$38-1,0)),IF(AND($L$615=0,$P$612=0),"",$L$615-1),IF($R$17="Distrato",$E636,0))),0,YEARFRAC(MAX($P$612*($B636+IF($R$17="Distrato",$I$38-1,0)),IF(AND($L$615=0,$P$612=0),"",$L$615-1),IF($R$17="Distrato",$E636,0)),MIN(AT$38,$D$19),$P$20))-SUM($P636:AS636)</f>
        <v>0</v>
      </c>
      <c r="AU636" s="446">
        <f>IF(OR($B636="",MIN(AU$38,$D$19)&lt;MAX($P$612*($B636+IF($R$17="Distrato",$I$38-1,0)),IF(AND($L$615=0,$P$612=0),"",$L$615-1),IF($R$17="Distrato",$E636,0))),0,YEARFRAC(MAX($P$612*($B636+IF($R$17="Distrato",$I$38-1,0)),IF(AND($L$615=0,$P$612=0),"",$L$615-1),IF($R$17="Distrato",$E636,0)),MIN(AU$38,$D$19),$P$20))-SUM($P636:AT636)</f>
        <v>0</v>
      </c>
      <c r="AV636" s="446">
        <f>IF(OR($B636="",MIN(AV$38,$D$19)&lt;MAX($P$612*($B636+IF($R$17="Distrato",$I$38-1,0)),IF(AND($L$615=0,$P$612=0),"",$L$615-1),IF($R$17="Distrato",$E636,0))),0,YEARFRAC(MAX($P$612*($B636+IF($R$17="Distrato",$I$38-1,0)),IF(AND($L$615=0,$P$612=0),"",$L$615-1),IF($R$17="Distrato",$E636,0)),MIN(AV$38,$D$19),$P$20))-SUM($P636:AU636)</f>
        <v>0</v>
      </c>
      <c r="AW636" s="446">
        <f>IF(OR($B636="",MIN(AW$38,$D$19)&lt;MAX($P$612*($B636+IF($R$17="Distrato",$I$38-1,0)),IF(AND($L$615=0,$P$612=0),"",$L$615-1),IF($R$17="Distrato",$E636,0))),0,YEARFRAC(MAX($P$612*($B636+IF($R$17="Distrato",$I$38-1,0)),IF(AND($L$615=0,$P$612=0),"",$L$615-1),IF($R$17="Distrato",$E636,0)),MIN(AW$38,$D$19),$P$20))-SUM($P636:AV636)</f>
        <v>0</v>
      </c>
      <c r="AX636" s="446">
        <f>IF(OR($B636="",MIN(AX$38,$D$19)&lt;MAX($P$612*($B636+IF($R$17="Distrato",$I$38-1,0)),IF(AND($L$615=0,$P$612=0),"",$L$615-1),IF($R$17="Distrato",$E636,0))),0,YEARFRAC(MAX($P$612*($B636+IF($R$17="Distrato",$I$38-1,0)),IF(AND($L$615=0,$P$612=0),"",$L$615-1),IF($R$17="Distrato",$E636,0)),MIN(AX$38,$D$19),$P$20))-SUM($P636:AW636)</f>
        <v>0</v>
      </c>
      <c r="AY636" s="446">
        <f>IF(OR($B636="",MIN(AY$38,$D$19)&lt;MAX($P$612*($B636+IF($R$17="Distrato",$I$38-1,0)),IF(AND($L$615=0,$P$612=0),"",$L$615-1),IF($R$17="Distrato",$E636,0))),0,YEARFRAC(MAX($P$612*($B636+IF($R$17="Distrato",$I$38-1,0)),IF(AND($L$615=0,$P$612=0),"",$L$615-1),IF($R$17="Distrato",$E636,0)),MIN(AY$38,$D$19),$P$20))-SUM($P636:AX636)</f>
        <v>0</v>
      </c>
      <c r="AZ636" s="446">
        <f>IF(OR($B636="",MIN(AZ$38,$D$19)&lt;MAX($P$612*($B636+IF($R$17="Distrato",$I$38-1,0)),IF(AND($L$615=0,$P$612=0),"",$L$615-1),IF($R$17="Distrato",$E636,0))),0,YEARFRAC(MAX($P$612*($B636+IF($R$17="Distrato",$I$38-1,0)),IF(AND($L$615=0,$P$612=0),"",$L$615-1),IF($R$17="Distrato",$E636,0)),MIN(AZ$38,$D$19),$P$20))-SUM($P636:AY636)</f>
        <v>0</v>
      </c>
      <c r="BA636" s="446">
        <f>IF(OR($B636="",MIN(BA$38,$D$19)&lt;MAX($P$612*($B636+IF($R$17="Distrato",$I$38-1,0)),IF(AND($L$615=0,$P$612=0),"",$L$615-1),IF($R$17="Distrato",$E636,0))),0,YEARFRAC(MAX($P$612*($B636+IF($R$17="Distrato",$I$38-1,0)),IF(AND($L$615=0,$P$612=0),"",$L$615-1),IF($R$17="Distrato",$E636,0)),MIN(BA$38,$D$19),$P$20))-SUM($P636:AZ636)</f>
        <v>0</v>
      </c>
      <c r="BB636" s="447"/>
    </row>
    <row r="637" spans="1:54" s="446" customFormat="1" ht="11.25" hidden="1" x14ac:dyDescent="0.2">
      <c r="A637" s="177"/>
      <c r="B637" s="178"/>
      <c r="C637" s="29" t="str">
        <f>IF(B637="","",IF($L$613="SELIC - TRIBUTOS",VLOOKUP(DATE(YEAR($D$19),MONTH($D$19)-1,1),ÍNDICES!$A:$DE,HLOOKUP($BL$25,ÍNDICES!$B$3:$T$4,2)+11)-VLOOKUP(B637,ÍNDICES!$A:$DE,HLOOKUP($BL$25,ÍNDICES!$B$3:$T$4,2)+11)+1%,IF(C$616=$W$26,$J$613,IF(ISERROR(IF(B637&gt;$D$19,1,VLOOKUP(DATE(YEAR(B637),MONTH(B637)+IF($C$613=$S$23,1,0),1),ÍNDICES!$A:$DE,$Z$613+1))),"",IF(B637&gt;$D$19,1,VLOOKUP(DATE(YEAR(B637),MONTH(B637)+IF($C$613=$S$23,1,0),1),ÍNDICES!$A:$DE,$Z$613+1))))))</f>
        <v/>
      </c>
      <c r="D637" s="155"/>
      <c r="E637" s="179"/>
      <c r="F637" s="29"/>
      <c r="G637" s="180"/>
      <c r="H637" s="181"/>
      <c r="I637" s="182" t="str">
        <f t="shared" si="107"/>
        <v/>
      </c>
      <c r="J637" s="5" t="str">
        <f t="shared" si="108"/>
        <v/>
      </c>
      <c r="K637" s="5">
        <f t="shared" ca="1" si="109"/>
        <v>0</v>
      </c>
      <c r="L637" s="5">
        <f t="shared" ca="1" si="104"/>
        <v>0</v>
      </c>
      <c r="M637" s="64">
        <f t="shared" si="110"/>
        <v>0</v>
      </c>
      <c r="N637" s="61">
        <f t="shared" ca="1" si="105"/>
        <v>0</v>
      </c>
      <c r="O637" s="20">
        <f t="shared" ca="1" si="106"/>
        <v>0</v>
      </c>
      <c r="P637" s="446">
        <f t="shared" si="111"/>
        <v>0</v>
      </c>
      <c r="Q637" s="446">
        <f>IF(OR($B637="",MIN(Q$38,$D$19)&lt;MAX($P$612*($B637+IF($R$17="Distrato",$I$38-1,0)),IF(AND($L$615=0,$P$612=0),"",$L$615-1),IF($R$17="Distrato",$E637,0))),0,YEARFRAC(MAX($P$612*($B637+IF($R$17="Distrato",$I$38-1,0)),IF(AND($L$615=0,$P$612=0),"",$L$615-1),IF($R$17="Distrato",$E637,0)),MIN(Q$38,$D$19),$P$20))-SUM($P637:P637)</f>
        <v>0</v>
      </c>
      <c r="R637" s="446">
        <f>IF(OR($B637="",MIN(R$38,$D$19)&lt;MAX($P$612*($B637+IF($R$17="Distrato",$I$38-1,0)),IF(AND($L$615=0,$P$612=0),"",$L$615-1),IF($R$17="Distrato",$E637,0))),0,YEARFRAC(MAX($P$612*($B637+IF($R$17="Distrato",$I$38-1,0)),IF(AND($L$615=0,$P$612=0),"",$L$615-1),IF($R$17="Distrato",$E637,0)),MIN(R$38,$D$19),$P$20))-SUM($P637:Q637)</f>
        <v>0</v>
      </c>
      <c r="S637" s="446">
        <f>IF(OR($B637="",MIN(S$38,$D$19)&lt;MAX($P$612*($B637+IF($R$17="Distrato",$I$38-1,0)),IF(AND($L$615=0,$P$612=0),"",$L$615-1),IF($R$17="Distrato",$E637,0))),0,YEARFRAC(MAX($P$612*($B637+IF($R$17="Distrato",$I$38-1,0)),IF(AND($L$615=0,$P$612=0),"",$L$615-1),IF($R$17="Distrato",$E637,0)),MIN(S$38,$D$19),$P$20))-SUM($P637:R637)</f>
        <v>0</v>
      </c>
      <c r="T637" s="446">
        <f>IF(OR($B637="",MIN(T$38,$D$19)&lt;MAX($P$612*($B637+IF($R$17="Distrato",$I$38-1,0)),IF(AND($L$615=0,$P$612=0),"",$L$615-1),IF($R$17="Distrato",$E637,0))),0,YEARFRAC(MAX($P$612*($B637+IF($R$17="Distrato",$I$38-1,0)),IF(AND($L$615=0,$P$612=0),"",$L$615-1),IF($R$17="Distrato",$E637,0)),MIN(T$38,$D$19),$P$20))-SUM($P637:S637)</f>
        <v>0</v>
      </c>
      <c r="U637" s="446">
        <f>IF(OR($B637="",MIN(U$38,$D$19)&lt;MAX($P$612*($B637+IF($R$17="Distrato",$I$38-1,0)),IF(AND($L$615=0,$P$612=0),"",$L$615-1),IF($R$17="Distrato",$E637,0))),0,YEARFRAC(MAX($P$612*($B637+IF($R$17="Distrato",$I$38-1,0)),IF(AND($L$615=0,$P$612=0),"",$L$615-1),IF($R$17="Distrato",$E637,0)),MIN(U$38,$D$19),$P$20))-SUM($P637:T637)</f>
        <v>0</v>
      </c>
      <c r="V637" s="446">
        <f>IF(OR($B637="",MIN(V$38,$D$19)&lt;MAX($P$612*($B637+IF($R$17="Distrato",$I$38-1,0)),IF(AND($L$615=0,$P$612=0),"",$L$615-1),IF($R$17="Distrato",$E637,0))),0,YEARFRAC(MAX($P$612*($B637+IF($R$17="Distrato",$I$38-1,0)),IF(AND($L$615=0,$P$612=0),"",$L$615-1),IF($R$17="Distrato",$E637,0)),MIN(V$38,$D$19),$P$20))-SUM($P637:U637)</f>
        <v>0</v>
      </c>
      <c r="W637" s="446">
        <f>IF(OR($B637="",MIN(W$38,$D$19)&lt;MAX($P$612*($B637+IF($R$17="Distrato",$I$38-1,0)),IF(AND($L$615=0,$P$612=0),"",$L$615-1),IF($R$17="Distrato",$E637,0))),0,YEARFRAC(MAX($P$612*($B637+IF($R$17="Distrato",$I$38-1,0)),IF(AND($L$615=0,$P$612=0),"",$L$615-1),IF($R$17="Distrato",$E637,0)),MIN(W$38,$D$19),$P$20))-SUM($P637:V637)</f>
        <v>0</v>
      </c>
      <c r="X637" s="446">
        <f>IF(OR($B637="",MIN(X$38,$D$19)&lt;MAX($P$612*($B637+IF($R$17="Distrato",$I$38-1,0)),IF(AND($L$615=0,$P$612=0),"",$L$615-1),IF($R$17="Distrato",$E637,0))),0,YEARFRAC(MAX($P$612*($B637+IF($R$17="Distrato",$I$38-1,0)),IF(AND($L$615=0,$P$612=0),"",$L$615-1),IF($R$17="Distrato",$E637,0)),MIN(X$38,$D$19),$P$20))-SUM($P637:W637)</f>
        <v>0</v>
      </c>
      <c r="Y637" s="446">
        <f>IF(OR($B637="",MIN(Y$38,$D$19)&lt;MAX($P$612*($B637+IF($R$17="Distrato",$I$38-1,0)),IF(AND($L$615=0,$P$612=0),"",$L$615-1),IF($R$17="Distrato",$E637,0))),0,YEARFRAC(MAX($P$612*($B637+IF($R$17="Distrato",$I$38-1,0)),IF(AND($L$615=0,$P$612=0),"",$L$615-1),IF($R$17="Distrato",$E637,0)),MIN(Y$38,$D$19),$P$20))-SUM($P637:X637)</f>
        <v>0</v>
      </c>
      <c r="Z637" s="446">
        <f>IF(OR($B637="",MIN(Z$38,$D$19)&lt;MAX($P$612*($B637+IF($R$17="Distrato",$I$38-1,0)),IF(AND($L$615=0,$P$612=0),"",$L$615-1),IF($R$17="Distrato",$E637,0))),0,YEARFRAC(MAX($P$612*($B637+IF($R$17="Distrato",$I$38-1,0)),IF(AND($L$615=0,$P$612=0),"",$L$615-1),IF($R$17="Distrato",$E637,0)),MIN(Z$38,$D$19),$P$20))-SUM($P637:Y637)</f>
        <v>0</v>
      </c>
      <c r="AA637" s="446">
        <f>IF(OR($B637="",MIN(AA$38,$D$19)&lt;MAX($P$612*($B637+IF($R$17="Distrato",$I$38-1,0)),IF(AND($L$615=0,$P$612=0),"",$L$615-1),IF($R$17="Distrato",$E637,0))),0,YEARFRAC(MAX($P$612*($B637+IF($R$17="Distrato",$I$38-1,0)),IF(AND($L$615=0,$P$612=0),"",$L$615-1),IF($R$17="Distrato",$E637,0)),MIN(AA$38,$D$19),$P$20))-SUM($P637:Z637)</f>
        <v>0</v>
      </c>
      <c r="AB637" s="446">
        <f>IF(OR($B637="",MIN(AB$38,$D$19)&lt;MAX($P$612*($B637+IF($R$17="Distrato",$I$38-1,0)),IF(AND($L$615=0,$P$612=0),"",$L$615-1),IF($R$17="Distrato",$E637,0))),0,YEARFRAC(MAX($P$612*($B637+IF($R$17="Distrato",$I$38-1,0)),IF(AND($L$615=0,$P$612=0),"",$L$615-1),IF($R$17="Distrato",$E637,0)),MIN(AB$38,$D$19),$P$20))-SUM($P637:AA637)</f>
        <v>0</v>
      </c>
      <c r="AC637" s="446">
        <f>IF(OR($B637="",MIN(AC$38,$D$19)&lt;MAX($P$612*($B637+IF($R$17="Distrato",$I$38-1,0)),IF(AND($L$615=0,$P$612=0),"",$L$615-1),IF($R$17="Distrato",$E637,0))),0,YEARFRAC(MAX($P$612*($B637+IF($R$17="Distrato",$I$38-1,0)),IF(AND($L$615=0,$P$612=0),"",$L$615-1),IF($R$17="Distrato",$E637,0)),MIN(AC$38,$D$19),$P$20))-SUM($P637:AB637)</f>
        <v>0</v>
      </c>
      <c r="AD637" s="446">
        <f>IF(OR($B637="",MIN(AD$38,$D$19)&lt;MAX($P$612*($B637+IF($R$17="Distrato",$I$38-1,0)),IF(AND($L$615=0,$P$612=0),"",$L$615-1),IF($R$17="Distrato",$E637,0))),0,YEARFRAC(MAX($P$612*($B637+IF($R$17="Distrato",$I$38-1,0)),IF(AND($L$615=0,$P$612=0),"",$L$615-1),IF($R$17="Distrato",$E637,0)),MIN(AD$38,$D$19),$P$20))-SUM($P637:AC637)</f>
        <v>0</v>
      </c>
      <c r="AE637" s="446">
        <f>IF(OR($B637="",MIN(AE$38,$D$19)&lt;MAX($P$612*($B637+IF($R$17="Distrato",$I$38-1,0)),IF(AND($L$615=0,$P$612=0),"",$L$615-1),IF($R$17="Distrato",$E637,0))),0,YEARFRAC(MAX($P$612*($B637+IF($R$17="Distrato",$I$38-1,0)),IF(AND($L$615=0,$P$612=0),"",$L$615-1),IF($R$17="Distrato",$E637,0)),MIN(AE$38,$D$19),$P$20))-SUM($P637:AD637)</f>
        <v>0</v>
      </c>
      <c r="AF637" s="446">
        <f>IF(OR($B637="",MIN(AF$38,$D$19)&lt;MAX($P$612*($B637+IF($R$17="Distrato",$I$38-1,0)),IF(AND($L$615=0,$P$612=0),"",$L$615-1),IF($R$17="Distrato",$E637,0))),0,YEARFRAC(MAX($P$612*($B637+IF($R$17="Distrato",$I$38-1,0)),IF(AND($L$615=0,$P$612=0),"",$L$615-1),IF($R$17="Distrato",$E637,0)),MIN(AF$38,$D$19),$P$20))-SUM($P637:AE637)</f>
        <v>0</v>
      </c>
      <c r="AG637" s="446">
        <f>IF(OR($B637="",MIN(AG$38,$D$19)&lt;MAX($P$612*($B637+IF($R$17="Distrato",$I$38-1,0)),IF(AND($L$615=0,$P$612=0),"",$L$615-1),IF($R$17="Distrato",$E637,0))),0,YEARFRAC(MAX($P$612*($B637+IF($R$17="Distrato",$I$38-1,0)),IF(AND($L$615=0,$P$612=0),"",$L$615-1),IF($R$17="Distrato",$E637,0)),MIN(AG$38,$D$19),$P$20))-SUM($P637:AF637)</f>
        <v>0</v>
      </c>
      <c r="AH637" s="446">
        <f>IF(OR($B637="",MIN(AH$38,$D$19)&lt;MAX($P$612*($B637+IF($R$17="Distrato",$I$38-1,0)),IF(AND($L$615=0,$P$612=0),"",$L$615-1),IF($R$17="Distrato",$E637,0))),0,YEARFRAC(MAX($P$612*($B637+IF($R$17="Distrato",$I$38-1,0)),IF(AND($L$615=0,$P$612=0),"",$L$615-1),IF($R$17="Distrato",$E637,0)),MIN(AH$38,$D$19),$P$20))-SUM($P637:AG637)</f>
        <v>0</v>
      </c>
      <c r="AI637" s="446">
        <f>IF(OR($B637="",MIN(AI$38,$D$19)&lt;MAX($P$612*($B637+IF($R$17="Distrato",$I$38-1,0)),IF(AND($L$615=0,$P$612=0),"",$L$615-1),IF($R$17="Distrato",$E637,0))),0,YEARFRAC(MAX($P$612*($B637+IF($R$17="Distrato",$I$38-1,0)),IF(AND($L$615=0,$P$612=0),"",$L$615-1),IF($R$17="Distrato",$E637,0)),MIN(AI$38,$D$19),$P$20))-SUM($P637:AH637)</f>
        <v>0</v>
      </c>
      <c r="AJ637" s="446">
        <f>IF(OR($B637="",MIN(AJ$38,$D$19)&lt;MAX($P$612*($B637+IF($R$17="Distrato",$I$38-1,0)),IF(AND($L$615=0,$P$612=0),"",$L$615-1),IF($R$17="Distrato",$E637,0))),0,YEARFRAC(MAX($P$612*($B637+IF($R$17="Distrato",$I$38-1,0)),IF(AND($L$615=0,$P$612=0),"",$L$615-1),IF($R$17="Distrato",$E637,0)),MIN(AJ$38,$D$19),$P$20))-SUM($P637:AI637)</f>
        <v>0</v>
      </c>
      <c r="AK637" s="446">
        <f>IF(OR($B637="",MIN(AK$38,$D$19)&lt;MAX($P$612*($B637+IF($R$17="Distrato",$I$38-1,0)),IF(AND($L$615=0,$P$612=0),"",$L$615-1),IF($R$17="Distrato",$E637,0))),0,YEARFRAC(MAX($P$612*($B637+IF($R$17="Distrato",$I$38-1,0)),IF(AND($L$615=0,$P$612=0),"",$L$615-1),IF($R$17="Distrato",$E637,0)),MIN(AK$38,$D$19),$P$20))-SUM($P637:AJ637)</f>
        <v>0</v>
      </c>
      <c r="AL637" s="446">
        <f>IF(OR($B637="",MIN(AL$38,$D$19)&lt;MAX($P$612*($B637+IF($R$17="Distrato",$I$38-1,0)),IF(AND($L$615=0,$P$612=0),"",$L$615-1),IF($R$17="Distrato",$E637,0))),0,YEARFRAC(MAX($P$612*($B637+IF($R$17="Distrato",$I$38-1,0)),IF(AND($L$615=0,$P$612=0),"",$L$615-1),IF($R$17="Distrato",$E637,0)),MIN(AL$38,$D$19),$P$20))-SUM($P637:AK637)</f>
        <v>0</v>
      </c>
      <c r="AM637" s="446">
        <f>IF(OR($B637="",MIN(AM$38,$D$19)&lt;MAX($P$612*($B637+IF($R$17="Distrato",$I$38-1,0)),IF(AND($L$615=0,$P$612=0),"",$L$615-1),IF($R$17="Distrato",$E637,0))),0,YEARFRAC(MAX($P$612*($B637+IF($R$17="Distrato",$I$38-1,0)),IF(AND($L$615=0,$P$612=0),"",$L$615-1),IF($R$17="Distrato",$E637,0)),MIN(AM$38,$D$19),$P$20))-SUM($P637:AL637)</f>
        <v>0</v>
      </c>
      <c r="AN637" s="446">
        <f>IF(OR($B637="",MIN(AN$38,$D$19)&lt;MAX($P$612*($B637+IF($R$17="Distrato",$I$38-1,0)),IF(AND($L$615=0,$P$612=0),"",$L$615-1),IF($R$17="Distrato",$E637,0))),0,YEARFRAC(MAX($P$612*($B637+IF($R$17="Distrato",$I$38-1,0)),IF(AND($L$615=0,$P$612=0),"",$L$615-1),IF($R$17="Distrato",$E637,0)),MIN(AN$38,$D$19),$P$20))-SUM($P637:AM637)</f>
        <v>0</v>
      </c>
      <c r="AO637" s="446">
        <f>IF(OR($B637="",MIN(AO$38,$D$19)&lt;MAX($P$612*($B637+IF($R$17="Distrato",$I$38-1,0)),IF(AND($L$615=0,$P$612=0),"",$L$615-1),IF($R$17="Distrato",$E637,0))),0,YEARFRAC(MAX($P$612*($B637+IF($R$17="Distrato",$I$38-1,0)),IF(AND($L$615=0,$P$612=0),"",$L$615-1),IF($R$17="Distrato",$E637,0)),MIN(AO$38,$D$19),$P$20))-SUM($P637:AN637)</f>
        <v>0</v>
      </c>
      <c r="AP637" s="446">
        <f>IF(OR($B637="",MIN(AP$38,$D$19)&lt;MAX($P$612*($B637+IF($R$17="Distrato",$I$38-1,0)),IF(AND($L$615=0,$P$612=0),"",$L$615-1),IF($R$17="Distrato",$E637,0))),0,YEARFRAC(MAX($P$612*($B637+IF($R$17="Distrato",$I$38-1,0)),IF(AND($L$615=0,$P$612=0),"",$L$615-1),IF($R$17="Distrato",$E637,0)),MIN(AP$38,$D$19),$P$20))-SUM($P637:AO637)</f>
        <v>0</v>
      </c>
      <c r="AQ637" s="446">
        <f>IF(OR($B637="",MIN(AQ$38,$D$19)&lt;MAX($P$612*($B637+IF($R$17="Distrato",$I$38-1,0)),IF(AND($L$615=0,$P$612=0),"",$L$615-1),IF($R$17="Distrato",$E637,0))),0,YEARFRAC(MAX($P$612*($B637+IF($R$17="Distrato",$I$38-1,0)),IF(AND($L$615=0,$P$612=0),"",$L$615-1),IF($R$17="Distrato",$E637,0)),MIN(AQ$38,$D$19),$P$20))-SUM($P637:AP637)</f>
        <v>0</v>
      </c>
      <c r="AR637" s="446">
        <f>IF(OR($B637="",MIN(AR$38,$D$19)&lt;MAX($P$612*($B637+IF($R$17="Distrato",$I$38-1,0)),IF(AND($L$615=0,$P$612=0),"",$L$615-1),IF($R$17="Distrato",$E637,0))),0,YEARFRAC(MAX($P$612*($B637+IF($R$17="Distrato",$I$38-1,0)),IF(AND($L$615=0,$P$612=0),"",$L$615-1),IF($R$17="Distrato",$E637,0)),MIN(AR$38,$D$19),$P$20))-SUM($P637:AQ637)</f>
        <v>0</v>
      </c>
      <c r="AS637" s="446">
        <f>IF(OR($B637="",MIN(AS$38,$D$19)&lt;MAX($P$612*($B637+IF($R$17="Distrato",$I$38-1,0)),IF(AND($L$615=0,$P$612=0),"",$L$615-1),IF($R$17="Distrato",$E637,0))),0,YEARFRAC(MAX($P$612*($B637+IF($R$17="Distrato",$I$38-1,0)),IF(AND($L$615=0,$P$612=0),"",$L$615-1),IF($R$17="Distrato",$E637,0)),MIN(AS$38,$D$19),$P$20))-SUM($P637:AR637)</f>
        <v>0</v>
      </c>
      <c r="AT637" s="446">
        <f>IF(OR($B637="",MIN(AT$38,$D$19)&lt;MAX($P$612*($B637+IF($R$17="Distrato",$I$38-1,0)),IF(AND($L$615=0,$P$612=0),"",$L$615-1),IF($R$17="Distrato",$E637,0))),0,YEARFRAC(MAX($P$612*($B637+IF($R$17="Distrato",$I$38-1,0)),IF(AND($L$615=0,$P$612=0),"",$L$615-1),IF($R$17="Distrato",$E637,0)),MIN(AT$38,$D$19),$P$20))-SUM($P637:AS637)</f>
        <v>0</v>
      </c>
      <c r="AU637" s="446">
        <f>IF(OR($B637="",MIN(AU$38,$D$19)&lt;MAX($P$612*($B637+IF($R$17="Distrato",$I$38-1,0)),IF(AND($L$615=0,$P$612=0),"",$L$615-1),IF($R$17="Distrato",$E637,0))),0,YEARFRAC(MAX($P$612*($B637+IF($R$17="Distrato",$I$38-1,0)),IF(AND($L$615=0,$P$612=0),"",$L$615-1),IF($R$17="Distrato",$E637,0)),MIN(AU$38,$D$19),$P$20))-SUM($P637:AT637)</f>
        <v>0</v>
      </c>
      <c r="AV637" s="446">
        <f>IF(OR($B637="",MIN(AV$38,$D$19)&lt;MAX($P$612*($B637+IF($R$17="Distrato",$I$38-1,0)),IF(AND($L$615=0,$P$612=0),"",$L$615-1),IF($R$17="Distrato",$E637,0))),0,YEARFRAC(MAX($P$612*($B637+IF($R$17="Distrato",$I$38-1,0)),IF(AND($L$615=0,$P$612=0),"",$L$615-1),IF($R$17="Distrato",$E637,0)),MIN(AV$38,$D$19),$P$20))-SUM($P637:AU637)</f>
        <v>0</v>
      </c>
      <c r="AW637" s="446">
        <f>IF(OR($B637="",MIN(AW$38,$D$19)&lt;MAX($P$612*($B637+IF($R$17="Distrato",$I$38-1,0)),IF(AND($L$615=0,$P$612=0),"",$L$615-1),IF($R$17="Distrato",$E637,0))),0,YEARFRAC(MAX($P$612*($B637+IF($R$17="Distrato",$I$38-1,0)),IF(AND($L$615=0,$P$612=0),"",$L$615-1),IF($R$17="Distrato",$E637,0)),MIN(AW$38,$D$19),$P$20))-SUM($P637:AV637)</f>
        <v>0</v>
      </c>
      <c r="AX637" s="446">
        <f>IF(OR($B637="",MIN(AX$38,$D$19)&lt;MAX($P$612*($B637+IF($R$17="Distrato",$I$38-1,0)),IF(AND($L$615=0,$P$612=0),"",$L$615-1),IF($R$17="Distrato",$E637,0))),0,YEARFRAC(MAX($P$612*($B637+IF($R$17="Distrato",$I$38-1,0)),IF(AND($L$615=0,$P$612=0),"",$L$615-1),IF($R$17="Distrato",$E637,0)),MIN(AX$38,$D$19),$P$20))-SUM($P637:AW637)</f>
        <v>0</v>
      </c>
      <c r="AY637" s="446">
        <f>IF(OR($B637="",MIN(AY$38,$D$19)&lt;MAX($P$612*($B637+IF($R$17="Distrato",$I$38-1,0)),IF(AND($L$615=0,$P$612=0),"",$L$615-1),IF($R$17="Distrato",$E637,0))),0,YEARFRAC(MAX($P$612*($B637+IF($R$17="Distrato",$I$38-1,0)),IF(AND($L$615=0,$P$612=0),"",$L$615-1),IF($R$17="Distrato",$E637,0)),MIN(AY$38,$D$19),$P$20))-SUM($P637:AX637)</f>
        <v>0</v>
      </c>
      <c r="AZ637" s="446">
        <f>IF(OR($B637="",MIN(AZ$38,$D$19)&lt;MAX($P$612*($B637+IF($R$17="Distrato",$I$38-1,0)),IF(AND($L$615=0,$P$612=0),"",$L$615-1),IF($R$17="Distrato",$E637,0))),0,YEARFRAC(MAX($P$612*($B637+IF($R$17="Distrato",$I$38-1,0)),IF(AND($L$615=0,$P$612=0),"",$L$615-1),IF($R$17="Distrato",$E637,0)),MIN(AZ$38,$D$19),$P$20))-SUM($P637:AY637)</f>
        <v>0</v>
      </c>
      <c r="BA637" s="446">
        <f>IF(OR($B637="",MIN(BA$38,$D$19)&lt;MAX($P$612*($B637+IF($R$17="Distrato",$I$38-1,0)),IF(AND($L$615=0,$P$612=0),"",$L$615-1),IF($R$17="Distrato",$E637,0))),0,YEARFRAC(MAX($P$612*($B637+IF($R$17="Distrato",$I$38-1,0)),IF(AND($L$615=0,$P$612=0),"",$L$615-1),IF($R$17="Distrato",$E637,0)),MIN(BA$38,$D$19),$P$20))-SUM($P637:AZ637)</f>
        <v>0</v>
      </c>
      <c r="BB637" s="447"/>
    </row>
    <row r="638" spans="1:54" s="446" customFormat="1" ht="11.25" hidden="1" x14ac:dyDescent="0.2">
      <c r="A638" s="177"/>
      <c r="B638" s="178"/>
      <c r="C638" s="29" t="str">
        <f>IF(B638="","",IF($L$613="SELIC - TRIBUTOS",VLOOKUP(DATE(YEAR($D$19),MONTH($D$19)-1,1),ÍNDICES!$A:$DE,HLOOKUP($BL$25,ÍNDICES!$B$3:$T$4,2)+11)-VLOOKUP(B638,ÍNDICES!$A:$DE,HLOOKUP($BL$25,ÍNDICES!$B$3:$T$4,2)+11)+1%,IF(C$616=$W$26,$J$613,IF(ISERROR(IF(B638&gt;$D$19,1,VLOOKUP(DATE(YEAR(B638),MONTH(B638)+IF($C$613=$S$23,1,0),1),ÍNDICES!$A:$DE,$Z$613+1))),"",IF(B638&gt;$D$19,1,VLOOKUP(DATE(YEAR(B638),MONTH(B638)+IF($C$613=$S$23,1,0),1),ÍNDICES!$A:$DE,$Z$613+1))))))</f>
        <v/>
      </c>
      <c r="D638" s="155"/>
      <c r="E638" s="179"/>
      <c r="F638" s="29"/>
      <c r="G638" s="180"/>
      <c r="H638" s="181"/>
      <c r="I638" s="182" t="str">
        <f t="shared" si="107"/>
        <v/>
      </c>
      <c r="J638" s="5" t="str">
        <f t="shared" si="108"/>
        <v/>
      </c>
      <c r="K638" s="5">
        <f t="shared" ca="1" si="109"/>
        <v>0</v>
      </c>
      <c r="L638" s="5">
        <f t="shared" ca="1" si="104"/>
        <v>0</v>
      </c>
      <c r="M638" s="64">
        <f t="shared" si="110"/>
        <v>0</v>
      </c>
      <c r="N638" s="61">
        <f t="shared" ca="1" si="105"/>
        <v>0</v>
      </c>
      <c r="O638" s="20">
        <f t="shared" ca="1" si="106"/>
        <v>0</v>
      </c>
      <c r="P638" s="446">
        <f t="shared" si="111"/>
        <v>0</v>
      </c>
      <c r="Q638" s="446">
        <f>IF(OR($B638="",MIN(Q$38,$D$19)&lt;MAX($P$612*($B638+IF($R$17="Distrato",$I$38-1,0)),IF(AND($L$615=0,$P$612=0),"",$L$615-1),IF($R$17="Distrato",$E638,0))),0,YEARFRAC(MAX($P$612*($B638+IF($R$17="Distrato",$I$38-1,0)),IF(AND($L$615=0,$P$612=0),"",$L$615-1),IF($R$17="Distrato",$E638,0)),MIN(Q$38,$D$19),$P$20))-SUM($P638:P638)</f>
        <v>0</v>
      </c>
      <c r="R638" s="446">
        <f>IF(OR($B638="",MIN(R$38,$D$19)&lt;MAX($P$612*($B638+IF($R$17="Distrato",$I$38-1,0)),IF(AND($L$615=0,$P$612=0),"",$L$615-1),IF($R$17="Distrato",$E638,0))),0,YEARFRAC(MAX($P$612*($B638+IF($R$17="Distrato",$I$38-1,0)),IF(AND($L$615=0,$P$612=0),"",$L$615-1),IF($R$17="Distrato",$E638,0)),MIN(R$38,$D$19),$P$20))-SUM($P638:Q638)</f>
        <v>0</v>
      </c>
      <c r="S638" s="446">
        <f>IF(OR($B638="",MIN(S$38,$D$19)&lt;MAX($P$612*($B638+IF($R$17="Distrato",$I$38-1,0)),IF(AND($L$615=0,$P$612=0),"",$L$615-1),IF($R$17="Distrato",$E638,0))),0,YEARFRAC(MAX($P$612*($B638+IF($R$17="Distrato",$I$38-1,0)),IF(AND($L$615=0,$P$612=0),"",$L$615-1),IF($R$17="Distrato",$E638,0)),MIN(S$38,$D$19),$P$20))-SUM($P638:R638)</f>
        <v>0</v>
      </c>
      <c r="T638" s="446">
        <f>IF(OR($B638="",MIN(T$38,$D$19)&lt;MAX($P$612*($B638+IF($R$17="Distrato",$I$38-1,0)),IF(AND($L$615=0,$P$612=0),"",$L$615-1),IF($R$17="Distrato",$E638,0))),0,YEARFRAC(MAX($P$612*($B638+IF($R$17="Distrato",$I$38-1,0)),IF(AND($L$615=0,$P$612=0),"",$L$615-1),IF($R$17="Distrato",$E638,0)),MIN(T$38,$D$19),$P$20))-SUM($P638:S638)</f>
        <v>0</v>
      </c>
      <c r="U638" s="446">
        <f>IF(OR($B638="",MIN(U$38,$D$19)&lt;MAX($P$612*($B638+IF($R$17="Distrato",$I$38-1,0)),IF(AND($L$615=0,$P$612=0),"",$L$615-1),IF($R$17="Distrato",$E638,0))),0,YEARFRAC(MAX($P$612*($B638+IF($R$17="Distrato",$I$38-1,0)),IF(AND($L$615=0,$P$612=0),"",$L$615-1),IF($R$17="Distrato",$E638,0)),MIN(U$38,$D$19),$P$20))-SUM($P638:T638)</f>
        <v>0</v>
      </c>
      <c r="V638" s="446">
        <f>IF(OR($B638="",MIN(V$38,$D$19)&lt;MAX($P$612*($B638+IF($R$17="Distrato",$I$38-1,0)),IF(AND($L$615=0,$P$612=0),"",$L$615-1),IF($R$17="Distrato",$E638,0))),0,YEARFRAC(MAX($P$612*($B638+IF($R$17="Distrato",$I$38-1,0)),IF(AND($L$615=0,$P$612=0),"",$L$615-1),IF($R$17="Distrato",$E638,0)),MIN(V$38,$D$19),$P$20))-SUM($P638:U638)</f>
        <v>0</v>
      </c>
      <c r="W638" s="446">
        <f>IF(OR($B638="",MIN(W$38,$D$19)&lt;MAX($P$612*($B638+IF($R$17="Distrato",$I$38-1,0)),IF(AND($L$615=0,$P$612=0),"",$L$615-1),IF($R$17="Distrato",$E638,0))),0,YEARFRAC(MAX($P$612*($B638+IF($R$17="Distrato",$I$38-1,0)),IF(AND($L$615=0,$P$612=0),"",$L$615-1),IF($R$17="Distrato",$E638,0)),MIN(W$38,$D$19),$P$20))-SUM($P638:V638)</f>
        <v>0</v>
      </c>
      <c r="X638" s="446">
        <f>IF(OR($B638="",MIN(X$38,$D$19)&lt;MAX($P$612*($B638+IF($R$17="Distrato",$I$38-1,0)),IF(AND($L$615=0,$P$612=0),"",$L$615-1),IF($R$17="Distrato",$E638,0))),0,YEARFRAC(MAX($P$612*($B638+IF($R$17="Distrato",$I$38-1,0)),IF(AND($L$615=0,$P$612=0),"",$L$615-1),IF($R$17="Distrato",$E638,0)),MIN(X$38,$D$19),$P$20))-SUM($P638:W638)</f>
        <v>0</v>
      </c>
      <c r="Y638" s="446">
        <f>IF(OR($B638="",MIN(Y$38,$D$19)&lt;MAX($P$612*($B638+IF($R$17="Distrato",$I$38-1,0)),IF(AND($L$615=0,$P$612=0),"",$L$615-1),IF($R$17="Distrato",$E638,0))),0,YEARFRAC(MAX($P$612*($B638+IF($R$17="Distrato",$I$38-1,0)),IF(AND($L$615=0,$P$612=0),"",$L$615-1),IF($R$17="Distrato",$E638,0)),MIN(Y$38,$D$19),$P$20))-SUM($P638:X638)</f>
        <v>0</v>
      </c>
      <c r="Z638" s="446">
        <f>IF(OR($B638="",MIN(Z$38,$D$19)&lt;MAX($P$612*($B638+IF($R$17="Distrato",$I$38-1,0)),IF(AND($L$615=0,$P$612=0),"",$L$615-1),IF($R$17="Distrato",$E638,0))),0,YEARFRAC(MAX($P$612*($B638+IF($R$17="Distrato",$I$38-1,0)),IF(AND($L$615=0,$P$612=0),"",$L$615-1),IF($R$17="Distrato",$E638,0)),MIN(Z$38,$D$19),$P$20))-SUM($P638:Y638)</f>
        <v>0</v>
      </c>
      <c r="AA638" s="446">
        <f>IF(OR($B638="",MIN(AA$38,$D$19)&lt;MAX($P$612*($B638+IF($R$17="Distrato",$I$38-1,0)),IF(AND($L$615=0,$P$612=0),"",$L$615-1),IF($R$17="Distrato",$E638,0))),0,YEARFRAC(MAX($P$612*($B638+IF($R$17="Distrato",$I$38-1,0)),IF(AND($L$615=0,$P$612=0),"",$L$615-1),IF($R$17="Distrato",$E638,0)),MIN(AA$38,$D$19),$P$20))-SUM($P638:Z638)</f>
        <v>0</v>
      </c>
      <c r="AB638" s="446">
        <f>IF(OR($B638="",MIN(AB$38,$D$19)&lt;MAX($P$612*($B638+IF($R$17="Distrato",$I$38-1,0)),IF(AND($L$615=0,$P$612=0),"",$L$615-1),IF($R$17="Distrato",$E638,0))),0,YEARFRAC(MAX($P$612*($B638+IF($R$17="Distrato",$I$38-1,0)),IF(AND($L$615=0,$P$612=0),"",$L$615-1),IF($R$17="Distrato",$E638,0)),MIN(AB$38,$D$19),$P$20))-SUM($P638:AA638)</f>
        <v>0</v>
      </c>
      <c r="AC638" s="446">
        <f>IF(OR($B638="",MIN(AC$38,$D$19)&lt;MAX($P$612*($B638+IF($R$17="Distrato",$I$38-1,0)),IF(AND($L$615=0,$P$612=0),"",$L$615-1),IF($R$17="Distrato",$E638,0))),0,YEARFRAC(MAX($P$612*($B638+IF($R$17="Distrato",$I$38-1,0)),IF(AND($L$615=0,$P$612=0),"",$L$615-1),IF($R$17="Distrato",$E638,0)),MIN(AC$38,$D$19),$P$20))-SUM($P638:AB638)</f>
        <v>0</v>
      </c>
      <c r="AD638" s="446">
        <f>IF(OR($B638="",MIN(AD$38,$D$19)&lt;MAX($P$612*($B638+IF($R$17="Distrato",$I$38-1,0)),IF(AND($L$615=0,$P$612=0),"",$L$615-1),IF($R$17="Distrato",$E638,0))),0,YEARFRAC(MAX($P$612*($B638+IF($R$17="Distrato",$I$38-1,0)),IF(AND($L$615=0,$P$612=0),"",$L$615-1),IF($R$17="Distrato",$E638,0)),MIN(AD$38,$D$19),$P$20))-SUM($P638:AC638)</f>
        <v>0</v>
      </c>
      <c r="AE638" s="446">
        <f>IF(OR($B638="",MIN(AE$38,$D$19)&lt;MAX($P$612*($B638+IF($R$17="Distrato",$I$38-1,0)),IF(AND($L$615=0,$P$612=0),"",$L$615-1),IF($R$17="Distrato",$E638,0))),0,YEARFRAC(MAX($P$612*($B638+IF($R$17="Distrato",$I$38-1,0)),IF(AND($L$615=0,$P$612=0),"",$L$615-1),IF($R$17="Distrato",$E638,0)),MIN(AE$38,$D$19),$P$20))-SUM($P638:AD638)</f>
        <v>0</v>
      </c>
      <c r="AF638" s="446">
        <f>IF(OR($B638="",MIN(AF$38,$D$19)&lt;MAX($P$612*($B638+IF($R$17="Distrato",$I$38-1,0)),IF(AND($L$615=0,$P$612=0),"",$L$615-1),IF($R$17="Distrato",$E638,0))),0,YEARFRAC(MAX($P$612*($B638+IF($R$17="Distrato",$I$38-1,0)),IF(AND($L$615=0,$P$612=0),"",$L$615-1),IF($R$17="Distrato",$E638,0)),MIN(AF$38,$D$19),$P$20))-SUM($P638:AE638)</f>
        <v>0</v>
      </c>
      <c r="AG638" s="446">
        <f>IF(OR($B638="",MIN(AG$38,$D$19)&lt;MAX($P$612*($B638+IF($R$17="Distrato",$I$38-1,0)),IF(AND($L$615=0,$P$612=0),"",$L$615-1),IF($R$17="Distrato",$E638,0))),0,YEARFRAC(MAX($P$612*($B638+IF($R$17="Distrato",$I$38-1,0)),IF(AND($L$615=0,$P$612=0),"",$L$615-1),IF($R$17="Distrato",$E638,0)),MIN(AG$38,$D$19),$P$20))-SUM($P638:AF638)</f>
        <v>0</v>
      </c>
      <c r="AH638" s="446">
        <f>IF(OR($B638="",MIN(AH$38,$D$19)&lt;MAX($P$612*($B638+IF($R$17="Distrato",$I$38-1,0)),IF(AND($L$615=0,$P$612=0),"",$L$615-1),IF($R$17="Distrato",$E638,0))),0,YEARFRAC(MAX($P$612*($B638+IF($R$17="Distrato",$I$38-1,0)),IF(AND($L$615=0,$P$612=0),"",$L$615-1),IF($R$17="Distrato",$E638,0)),MIN(AH$38,$D$19),$P$20))-SUM($P638:AG638)</f>
        <v>0</v>
      </c>
      <c r="AI638" s="446">
        <f>IF(OR($B638="",MIN(AI$38,$D$19)&lt;MAX($P$612*($B638+IF($R$17="Distrato",$I$38-1,0)),IF(AND($L$615=0,$P$612=0),"",$L$615-1),IF($R$17="Distrato",$E638,0))),0,YEARFRAC(MAX($P$612*($B638+IF($R$17="Distrato",$I$38-1,0)),IF(AND($L$615=0,$P$612=0),"",$L$615-1),IF($R$17="Distrato",$E638,0)),MIN(AI$38,$D$19),$P$20))-SUM($P638:AH638)</f>
        <v>0</v>
      </c>
      <c r="AJ638" s="446">
        <f>IF(OR($B638="",MIN(AJ$38,$D$19)&lt;MAX($P$612*($B638+IF($R$17="Distrato",$I$38-1,0)),IF(AND($L$615=0,$P$612=0),"",$L$615-1),IF($R$17="Distrato",$E638,0))),0,YEARFRAC(MAX($P$612*($B638+IF($R$17="Distrato",$I$38-1,0)),IF(AND($L$615=0,$P$612=0),"",$L$615-1),IF($R$17="Distrato",$E638,0)),MIN(AJ$38,$D$19),$P$20))-SUM($P638:AI638)</f>
        <v>0</v>
      </c>
      <c r="AK638" s="446">
        <f>IF(OR($B638="",MIN(AK$38,$D$19)&lt;MAX($P$612*($B638+IF($R$17="Distrato",$I$38-1,0)),IF(AND($L$615=0,$P$612=0),"",$L$615-1),IF($R$17="Distrato",$E638,0))),0,YEARFRAC(MAX($P$612*($B638+IF($R$17="Distrato",$I$38-1,0)),IF(AND($L$615=0,$P$612=0),"",$L$615-1),IF($R$17="Distrato",$E638,0)),MIN(AK$38,$D$19),$P$20))-SUM($P638:AJ638)</f>
        <v>0</v>
      </c>
      <c r="AL638" s="446">
        <f>IF(OR($B638="",MIN(AL$38,$D$19)&lt;MAX($P$612*($B638+IF($R$17="Distrato",$I$38-1,0)),IF(AND($L$615=0,$P$612=0),"",$L$615-1),IF($R$17="Distrato",$E638,0))),0,YEARFRAC(MAX($P$612*($B638+IF($R$17="Distrato",$I$38-1,0)),IF(AND($L$615=0,$P$612=0),"",$L$615-1),IF($R$17="Distrato",$E638,0)),MIN(AL$38,$D$19),$P$20))-SUM($P638:AK638)</f>
        <v>0</v>
      </c>
      <c r="AM638" s="446">
        <f>IF(OR($B638="",MIN(AM$38,$D$19)&lt;MAX($P$612*($B638+IF($R$17="Distrato",$I$38-1,0)),IF(AND($L$615=0,$P$612=0),"",$L$615-1),IF($R$17="Distrato",$E638,0))),0,YEARFRAC(MAX($P$612*($B638+IF($R$17="Distrato",$I$38-1,0)),IF(AND($L$615=0,$P$612=0),"",$L$615-1),IF($R$17="Distrato",$E638,0)),MIN(AM$38,$D$19),$P$20))-SUM($P638:AL638)</f>
        <v>0</v>
      </c>
      <c r="AN638" s="446">
        <f>IF(OR($B638="",MIN(AN$38,$D$19)&lt;MAX($P$612*($B638+IF($R$17="Distrato",$I$38-1,0)),IF(AND($L$615=0,$P$612=0),"",$L$615-1),IF($R$17="Distrato",$E638,0))),0,YEARFRAC(MAX($P$612*($B638+IF($R$17="Distrato",$I$38-1,0)),IF(AND($L$615=0,$P$612=0),"",$L$615-1),IF($R$17="Distrato",$E638,0)),MIN(AN$38,$D$19),$P$20))-SUM($P638:AM638)</f>
        <v>0</v>
      </c>
      <c r="AO638" s="446">
        <f>IF(OR($B638="",MIN(AO$38,$D$19)&lt;MAX($P$612*($B638+IF($R$17="Distrato",$I$38-1,0)),IF(AND($L$615=0,$P$612=0),"",$L$615-1),IF($R$17="Distrato",$E638,0))),0,YEARFRAC(MAX($P$612*($B638+IF($R$17="Distrato",$I$38-1,0)),IF(AND($L$615=0,$P$612=0),"",$L$615-1),IF($R$17="Distrato",$E638,0)),MIN(AO$38,$D$19),$P$20))-SUM($P638:AN638)</f>
        <v>0</v>
      </c>
      <c r="AP638" s="446">
        <f>IF(OR($B638="",MIN(AP$38,$D$19)&lt;MAX($P$612*($B638+IF($R$17="Distrato",$I$38-1,0)),IF(AND($L$615=0,$P$612=0),"",$L$615-1),IF($R$17="Distrato",$E638,0))),0,YEARFRAC(MAX($P$612*($B638+IF($R$17="Distrato",$I$38-1,0)),IF(AND($L$615=0,$P$612=0),"",$L$615-1),IF($R$17="Distrato",$E638,0)),MIN(AP$38,$D$19),$P$20))-SUM($P638:AO638)</f>
        <v>0</v>
      </c>
      <c r="AQ638" s="446">
        <f>IF(OR($B638="",MIN(AQ$38,$D$19)&lt;MAX($P$612*($B638+IF($R$17="Distrato",$I$38-1,0)),IF(AND($L$615=0,$P$612=0),"",$L$615-1),IF($R$17="Distrato",$E638,0))),0,YEARFRAC(MAX($P$612*($B638+IF($R$17="Distrato",$I$38-1,0)),IF(AND($L$615=0,$P$612=0),"",$L$615-1),IF($R$17="Distrato",$E638,0)),MIN(AQ$38,$D$19),$P$20))-SUM($P638:AP638)</f>
        <v>0</v>
      </c>
      <c r="AR638" s="446">
        <f>IF(OR($B638="",MIN(AR$38,$D$19)&lt;MAX($P$612*($B638+IF($R$17="Distrato",$I$38-1,0)),IF(AND($L$615=0,$P$612=0),"",$L$615-1),IF($R$17="Distrato",$E638,0))),0,YEARFRAC(MAX($P$612*($B638+IF($R$17="Distrato",$I$38-1,0)),IF(AND($L$615=0,$P$612=0),"",$L$615-1),IF($R$17="Distrato",$E638,0)),MIN(AR$38,$D$19),$P$20))-SUM($P638:AQ638)</f>
        <v>0</v>
      </c>
      <c r="AS638" s="446">
        <f>IF(OR($B638="",MIN(AS$38,$D$19)&lt;MAX($P$612*($B638+IF($R$17="Distrato",$I$38-1,0)),IF(AND($L$615=0,$P$612=0),"",$L$615-1),IF($R$17="Distrato",$E638,0))),0,YEARFRAC(MAX($P$612*($B638+IF($R$17="Distrato",$I$38-1,0)),IF(AND($L$615=0,$P$612=0),"",$L$615-1),IF($R$17="Distrato",$E638,0)),MIN(AS$38,$D$19),$P$20))-SUM($P638:AR638)</f>
        <v>0</v>
      </c>
      <c r="AT638" s="446">
        <f>IF(OR($B638="",MIN(AT$38,$D$19)&lt;MAX($P$612*($B638+IF($R$17="Distrato",$I$38-1,0)),IF(AND($L$615=0,$P$612=0),"",$L$615-1),IF($R$17="Distrato",$E638,0))),0,YEARFRAC(MAX($P$612*($B638+IF($R$17="Distrato",$I$38-1,0)),IF(AND($L$615=0,$P$612=0),"",$L$615-1),IF($R$17="Distrato",$E638,0)),MIN(AT$38,$D$19),$P$20))-SUM($P638:AS638)</f>
        <v>0</v>
      </c>
      <c r="AU638" s="446">
        <f>IF(OR($B638="",MIN(AU$38,$D$19)&lt;MAX($P$612*($B638+IF($R$17="Distrato",$I$38-1,0)),IF(AND($L$615=0,$P$612=0),"",$L$615-1),IF($R$17="Distrato",$E638,0))),0,YEARFRAC(MAX($P$612*($B638+IF($R$17="Distrato",$I$38-1,0)),IF(AND($L$615=0,$P$612=0),"",$L$615-1),IF($R$17="Distrato",$E638,0)),MIN(AU$38,$D$19),$P$20))-SUM($P638:AT638)</f>
        <v>0</v>
      </c>
      <c r="AV638" s="446">
        <f>IF(OR($B638="",MIN(AV$38,$D$19)&lt;MAX($P$612*($B638+IF($R$17="Distrato",$I$38-1,0)),IF(AND($L$615=0,$P$612=0),"",$L$615-1),IF($R$17="Distrato",$E638,0))),0,YEARFRAC(MAX($P$612*($B638+IF($R$17="Distrato",$I$38-1,0)),IF(AND($L$615=0,$P$612=0),"",$L$615-1),IF($R$17="Distrato",$E638,0)),MIN(AV$38,$D$19),$P$20))-SUM($P638:AU638)</f>
        <v>0</v>
      </c>
      <c r="AW638" s="446">
        <f>IF(OR($B638="",MIN(AW$38,$D$19)&lt;MAX($P$612*($B638+IF($R$17="Distrato",$I$38-1,0)),IF(AND($L$615=0,$P$612=0),"",$L$615-1),IF($R$17="Distrato",$E638,0))),0,YEARFRAC(MAX($P$612*($B638+IF($R$17="Distrato",$I$38-1,0)),IF(AND($L$615=0,$P$612=0),"",$L$615-1),IF($R$17="Distrato",$E638,0)),MIN(AW$38,$D$19),$P$20))-SUM($P638:AV638)</f>
        <v>0</v>
      </c>
      <c r="AX638" s="446">
        <f>IF(OR($B638="",MIN(AX$38,$D$19)&lt;MAX($P$612*($B638+IF($R$17="Distrato",$I$38-1,0)),IF(AND($L$615=0,$P$612=0),"",$L$615-1),IF($R$17="Distrato",$E638,0))),0,YEARFRAC(MAX($P$612*($B638+IF($R$17="Distrato",$I$38-1,0)),IF(AND($L$615=0,$P$612=0),"",$L$615-1),IF($R$17="Distrato",$E638,0)),MIN(AX$38,$D$19),$P$20))-SUM($P638:AW638)</f>
        <v>0</v>
      </c>
      <c r="AY638" s="446">
        <f>IF(OR($B638="",MIN(AY$38,$D$19)&lt;MAX($P$612*($B638+IF($R$17="Distrato",$I$38-1,0)),IF(AND($L$615=0,$P$612=0),"",$L$615-1),IF($R$17="Distrato",$E638,0))),0,YEARFRAC(MAX($P$612*($B638+IF($R$17="Distrato",$I$38-1,0)),IF(AND($L$615=0,$P$612=0),"",$L$615-1),IF($R$17="Distrato",$E638,0)),MIN(AY$38,$D$19),$P$20))-SUM($P638:AX638)</f>
        <v>0</v>
      </c>
      <c r="AZ638" s="446">
        <f>IF(OR($B638="",MIN(AZ$38,$D$19)&lt;MAX($P$612*($B638+IF($R$17="Distrato",$I$38-1,0)),IF(AND($L$615=0,$P$612=0),"",$L$615-1),IF($R$17="Distrato",$E638,0))),0,YEARFRAC(MAX($P$612*($B638+IF($R$17="Distrato",$I$38-1,0)),IF(AND($L$615=0,$P$612=0),"",$L$615-1),IF($R$17="Distrato",$E638,0)),MIN(AZ$38,$D$19),$P$20))-SUM($P638:AY638)</f>
        <v>0</v>
      </c>
      <c r="BA638" s="446">
        <f>IF(OR($B638="",MIN(BA$38,$D$19)&lt;MAX($P$612*($B638+IF($R$17="Distrato",$I$38-1,0)),IF(AND($L$615=0,$P$612=0),"",$L$615-1),IF($R$17="Distrato",$E638,0))),0,YEARFRAC(MAX($P$612*($B638+IF($R$17="Distrato",$I$38-1,0)),IF(AND($L$615=0,$P$612=0),"",$L$615-1),IF($R$17="Distrato",$E638,0)),MIN(BA$38,$D$19),$P$20))-SUM($P638:AZ638)</f>
        <v>0</v>
      </c>
      <c r="BB638" s="447"/>
    </row>
    <row r="639" spans="1:54" s="446" customFormat="1" ht="11.25" hidden="1" x14ac:dyDescent="0.2">
      <c r="A639" s="177"/>
      <c r="B639" s="178"/>
      <c r="C639" s="29" t="str">
        <f>IF(B639="","",IF($L$613="SELIC - TRIBUTOS",VLOOKUP(DATE(YEAR($D$19),MONTH($D$19)-1,1),ÍNDICES!$A:$DE,HLOOKUP($BL$25,ÍNDICES!$B$3:$T$4,2)+11)-VLOOKUP(B639,ÍNDICES!$A:$DE,HLOOKUP($BL$25,ÍNDICES!$B$3:$T$4,2)+11)+1%,IF(C$616=$W$26,$J$613,IF(ISERROR(IF(B639&gt;$D$19,1,VLOOKUP(DATE(YEAR(B639),MONTH(B639)+IF($C$613=$S$23,1,0),1),ÍNDICES!$A:$DE,$Z$613+1))),"",IF(B639&gt;$D$19,1,VLOOKUP(DATE(YEAR(B639),MONTH(B639)+IF($C$613=$S$23,1,0),1),ÍNDICES!$A:$DE,$Z$613+1))))))</f>
        <v/>
      </c>
      <c r="D639" s="155"/>
      <c r="E639" s="179"/>
      <c r="F639" s="29"/>
      <c r="G639" s="180"/>
      <c r="H639" s="181"/>
      <c r="I639" s="182" t="str">
        <f t="shared" si="107"/>
        <v/>
      </c>
      <c r="J639" s="5" t="str">
        <f t="shared" si="108"/>
        <v/>
      </c>
      <c r="K639" s="5">
        <f t="shared" ca="1" si="109"/>
        <v>0</v>
      </c>
      <c r="L639" s="5">
        <f t="shared" ca="1" si="104"/>
        <v>0</v>
      </c>
      <c r="M639" s="64">
        <f t="shared" si="110"/>
        <v>0</v>
      </c>
      <c r="N639" s="61">
        <f t="shared" ca="1" si="105"/>
        <v>0</v>
      </c>
      <c r="O639" s="20">
        <f t="shared" ca="1" si="106"/>
        <v>0</v>
      </c>
      <c r="P639" s="446">
        <f t="shared" si="111"/>
        <v>0</v>
      </c>
      <c r="Q639" s="446">
        <f>IF(OR($B639="",MIN(Q$38,$D$19)&lt;MAX($P$612*($B639+IF($R$17="Distrato",$I$38-1,0)),IF(AND($L$615=0,$P$612=0),"",$L$615-1),IF($R$17="Distrato",$E639,0))),0,YEARFRAC(MAX($P$612*($B639+IF($R$17="Distrato",$I$38-1,0)),IF(AND($L$615=0,$P$612=0),"",$L$615-1),IF($R$17="Distrato",$E639,0)),MIN(Q$38,$D$19),$P$20))-SUM($P639:P639)</f>
        <v>0</v>
      </c>
      <c r="R639" s="446">
        <f>IF(OR($B639="",MIN(R$38,$D$19)&lt;MAX($P$612*($B639+IF($R$17="Distrato",$I$38-1,0)),IF(AND($L$615=0,$P$612=0),"",$L$615-1),IF($R$17="Distrato",$E639,0))),0,YEARFRAC(MAX($P$612*($B639+IF($R$17="Distrato",$I$38-1,0)),IF(AND($L$615=0,$P$612=0),"",$L$615-1),IF($R$17="Distrato",$E639,0)),MIN(R$38,$D$19),$P$20))-SUM($P639:Q639)</f>
        <v>0</v>
      </c>
      <c r="S639" s="446">
        <f>IF(OR($B639="",MIN(S$38,$D$19)&lt;MAX($P$612*($B639+IF($R$17="Distrato",$I$38-1,0)),IF(AND($L$615=0,$P$612=0),"",$L$615-1),IF($R$17="Distrato",$E639,0))),0,YEARFRAC(MAX($P$612*($B639+IF($R$17="Distrato",$I$38-1,0)),IF(AND($L$615=0,$P$612=0),"",$L$615-1),IF($R$17="Distrato",$E639,0)),MIN(S$38,$D$19),$P$20))-SUM($P639:R639)</f>
        <v>0</v>
      </c>
      <c r="T639" s="446">
        <f>IF(OR($B639="",MIN(T$38,$D$19)&lt;MAX($P$612*($B639+IF($R$17="Distrato",$I$38-1,0)),IF(AND($L$615=0,$P$612=0),"",$L$615-1),IF($R$17="Distrato",$E639,0))),0,YEARFRAC(MAX($P$612*($B639+IF($R$17="Distrato",$I$38-1,0)),IF(AND($L$615=0,$P$612=0),"",$L$615-1),IF($R$17="Distrato",$E639,0)),MIN(T$38,$D$19),$P$20))-SUM($P639:S639)</f>
        <v>0</v>
      </c>
      <c r="U639" s="446">
        <f>IF(OR($B639="",MIN(U$38,$D$19)&lt;MAX($P$612*($B639+IF($R$17="Distrato",$I$38-1,0)),IF(AND($L$615=0,$P$612=0),"",$L$615-1),IF($R$17="Distrato",$E639,0))),0,YEARFRAC(MAX($P$612*($B639+IF($R$17="Distrato",$I$38-1,0)),IF(AND($L$615=0,$P$612=0),"",$L$615-1),IF($R$17="Distrato",$E639,0)),MIN(U$38,$D$19),$P$20))-SUM($P639:T639)</f>
        <v>0</v>
      </c>
      <c r="V639" s="446">
        <f>IF(OR($B639="",MIN(V$38,$D$19)&lt;MAX($P$612*($B639+IF($R$17="Distrato",$I$38-1,0)),IF(AND($L$615=0,$P$612=0),"",$L$615-1),IF($R$17="Distrato",$E639,0))),0,YEARFRAC(MAX($P$612*($B639+IF($R$17="Distrato",$I$38-1,0)),IF(AND($L$615=0,$P$612=0),"",$L$615-1),IF($R$17="Distrato",$E639,0)),MIN(V$38,$D$19),$P$20))-SUM($P639:U639)</f>
        <v>0</v>
      </c>
      <c r="W639" s="446">
        <f>IF(OR($B639="",MIN(W$38,$D$19)&lt;MAX($P$612*($B639+IF($R$17="Distrato",$I$38-1,0)),IF(AND($L$615=0,$P$612=0),"",$L$615-1),IF($R$17="Distrato",$E639,0))),0,YEARFRAC(MAX($P$612*($B639+IF($R$17="Distrato",$I$38-1,0)),IF(AND($L$615=0,$P$612=0),"",$L$615-1),IF($R$17="Distrato",$E639,0)),MIN(W$38,$D$19),$P$20))-SUM($P639:V639)</f>
        <v>0</v>
      </c>
      <c r="X639" s="446">
        <f>IF(OR($B639="",MIN(X$38,$D$19)&lt;MAX($P$612*($B639+IF($R$17="Distrato",$I$38-1,0)),IF(AND($L$615=0,$P$612=0),"",$L$615-1),IF($R$17="Distrato",$E639,0))),0,YEARFRAC(MAX($P$612*($B639+IF($R$17="Distrato",$I$38-1,0)),IF(AND($L$615=0,$P$612=0),"",$L$615-1),IF($R$17="Distrato",$E639,0)),MIN(X$38,$D$19),$P$20))-SUM($P639:W639)</f>
        <v>0</v>
      </c>
      <c r="Y639" s="446">
        <f>IF(OR($B639="",MIN(Y$38,$D$19)&lt;MAX($P$612*($B639+IF($R$17="Distrato",$I$38-1,0)),IF(AND($L$615=0,$P$612=0),"",$L$615-1),IF($R$17="Distrato",$E639,0))),0,YEARFRAC(MAX($P$612*($B639+IF($R$17="Distrato",$I$38-1,0)),IF(AND($L$615=0,$P$612=0),"",$L$615-1),IF($R$17="Distrato",$E639,0)),MIN(Y$38,$D$19),$P$20))-SUM($P639:X639)</f>
        <v>0</v>
      </c>
      <c r="Z639" s="446">
        <f>IF(OR($B639="",MIN(Z$38,$D$19)&lt;MAX($P$612*($B639+IF($R$17="Distrato",$I$38-1,0)),IF(AND($L$615=0,$P$612=0),"",$L$615-1),IF($R$17="Distrato",$E639,0))),0,YEARFRAC(MAX($P$612*($B639+IF($R$17="Distrato",$I$38-1,0)),IF(AND($L$615=0,$P$612=0),"",$L$615-1),IF($R$17="Distrato",$E639,0)),MIN(Z$38,$D$19),$P$20))-SUM($P639:Y639)</f>
        <v>0</v>
      </c>
      <c r="AA639" s="446">
        <f>IF(OR($B639="",MIN(AA$38,$D$19)&lt;MAX($P$612*($B639+IF($R$17="Distrato",$I$38-1,0)),IF(AND($L$615=0,$P$612=0),"",$L$615-1),IF($R$17="Distrato",$E639,0))),0,YEARFRAC(MAX($P$612*($B639+IF($R$17="Distrato",$I$38-1,0)),IF(AND($L$615=0,$P$612=0),"",$L$615-1),IF($R$17="Distrato",$E639,0)),MIN(AA$38,$D$19),$P$20))-SUM($P639:Z639)</f>
        <v>0</v>
      </c>
      <c r="AB639" s="446">
        <f>IF(OR($B639="",MIN(AB$38,$D$19)&lt;MAX($P$612*($B639+IF($R$17="Distrato",$I$38-1,0)),IF(AND($L$615=0,$P$612=0),"",$L$615-1),IF($R$17="Distrato",$E639,0))),0,YEARFRAC(MAX($P$612*($B639+IF($R$17="Distrato",$I$38-1,0)),IF(AND($L$615=0,$P$612=0),"",$L$615-1),IF($R$17="Distrato",$E639,0)),MIN(AB$38,$D$19),$P$20))-SUM($P639:AA639)</f>
        <v>0</v>
      </c>
      <c r="AC639" s="446">
        <f>IF(OR($B639="",MIN(AC$38,$D$19)&lt;MAX($P$612*($B639+IF($R$17="Distrato",$I$38-1,0)),IF(AND($L$615=0,$P$612=0),"",$L$615-1),IF($R$17="Distrato",$E639,0))),0,YEARFRAC(MAX($P$612*($B639+IF($R$17="Distrato",$I$38-1,0)),IF(AND($L$615=0,$P$612=0),"",$L$615-1),IF($R$17="Distrato",$E639,0)),MIN(AC$38,$D$19),$P$20))-SUM($P639:AB639)</f>
        <v>0</v>
      </c>
      <c r="AD639" s="446">
        <f>IF(OR($B639="",MIN(AD$38,$D$19)&lt;MAX($P$612*($B639+IF($R$17="Distrato",$I$38-1,0)),IF(AND($L$615=0,$P$612=0),"",$L$615-1),IF($R$17="Distrato",$E639,0))),0,YEARFRAC(MAX($P$612*($B639+IF($R$17="Distrato",$I$38-1,0)),IF(AND($L$615=0,$P$612=0),"",$L$615-1),IF($R$17="Distrato",$E639,0)),MIN(AD$38,$D$19),$P$20))-SUM($P639:AC639)</f>
        <v>0</v>
      </c>
      <c r="AE639" s="446">
        <f>IF(OR($B639="",MIN(AE$38,$D$19)&lt;MAX($P$612*($B639+IF($R$17="Distrato",$I$38-1,0)),IF(AND($L$615=0,$P$612=0),"",$L$615-1),IF($R$17="Distrato",$E639,0))),0,YEARFRAC(MAX($P$612*($B639+IF($R$17="Distrato",$I$38-1,0)),IF(AND($L$615=0,$P$612=0),"",$L$615-1),IF($R$17="Distrato",$E639,0)),MIN(AE$38,$D$19),$P$20))-SUM($P639:AD639)</f>
        <v>0</v>
      </c>
      <c r="AF639" s="446">
        <f>IF(OR($B639="",MIN(AF$38,$D$19)&lt;MAX($P$612*($B639+IF($R$17="Distrato",$I$38-1,0)),IF(AND($L$615=0,$P$612=0),"",$L$615-1),IF($R$17="Distrato",$E639,0))),0,YEARFRAC(MAX($P$612*($B639+IF($R$17="Distrato",$I$38-1,0)),IF(AND($L$615=0,$P$612=0),"",$L$615-1),IF($R$17="Distrato",$E639,0)),MIN(AF$38,$D$19),$P$20))-SUM($P639:AE639)</f>
        <v>0</v>
      </c>
      <c r="AG639" s="446">
        <f>IF(OR($B639="",MIN(AG$38,$D$19)&lt;MAX($P$612*($B639+IF($R$17="Distrato",$I$38-1,0)),IF(AND($L$615=0,$P$612=0),"",$L$615-1),IF($R$17="Distrato",$E639,0))),0,YEARFRAC(MAX($P$612*($B639+IF($R$17="Distrato",$I$38-1,0)),IF(AND($L$615=0,$P$612=0),"",$L$615-1),IF($R$17="Distrato",$E639,0)),MIN(AG$38,$D$19),$P$20))-SUM($P639:AF639)</f>
        <v>0</v>
      </c>
      <c r="AH639" s="446">
        <f>IF(OR($B639="",MIN(AH$38,$D$19)&lt;MAX($P$612*($B639+IF($R$17="Distrato",$I$38-1,0)),IF(AND($L$615=0,$P$612=0),"",$L$615-1),IF($R$17="Distrato",$E639,0))),0,YEARFRAC(MAX($P$612*($B639+IF($R$17="Distrato",$I$38-1,0)),IF(AND($L$615=0,$P$612=0),"",$L$615-1),IF($R$17="Distrato",$E639,0)),MIN(AH$38,$D$19),$P$20))-SUM($P639:AG639)</f>
        <v>0</v>
      </c>
      <c r="AI639" s="446">
        <f>IF(OR($B639="",MIN(AI$38,$D$19)&lt;MAX($P$612*($B639+IF($R$17="Distrato",$I$38-1,0)),IF(AND($L$615=0,$P$612=0),"",$L$615-1),IF($R$17="Distrato",$E639,0))),0,YEARFRAC(MAX($P$612*($B639+IF($R$17="Distrato",$I$38-1,0)),IF(AND($L$615=0,$P$612=0),"",$L$615-1),IF($R$17="Distrato",$E639,0)),MIN(AI$38,$D$19),$P$20))-SUM($P639:AH639)</f>
        <v>0</v>
      </c>
      <c r="AJ639" s="446">
        <f>IF(OR($B639="",MIN(AJ$38,$D$19)&lt;MAX($P$612*($B639+IF($R$17="Distrato",$I$38-1,0)),IF(AND($L$615=0,$P$612=0),"",$L$615-1),IF($R$17="Distrato",$E639,0))),0,YEARFRAC(MAX($P$612*($B639+IF($R$17="Distrato",$I$38-1,0)),IF(AND($L$615=0,$P$612=0),"",$L$615-1),IF($R$17="Distrato",$E639,0)),MIN(AJ$38,$D$19),$P$20))-SUM($P639:AI639)</f>
        <v>0</v>
      </c>
      <c r="AK639" s="446">
        <f>IF(OR($B639="",MIN(AK$38,$D$19)&lt;MAX($P$612*($B639+IF($R$17="Distrato",$I$38-1,0)),IF(AND($L$615=0,$P$612=0),"",$L$615-1),IF($R$17="Distrato",$E639,0))),0,YEARFRAC(MAX($P$612*($B639+IF($R$17="Distrato",$I$38-1,0)),IF(AND($L$615=0,$P$612=0),"",$L$615-1),IF($R$17="Distrato",$E639,0)),MIN(AK$38,$D$19),$P$20))-SUM($P639:AJ639)</f>
        <v>0</v>
      </c>
      <c r="AL639" s="446">
        <f>IF(OR($B639="",MIN(AL$38,$D$19)&lt;MAX($P$612*($B639+IF($R$17="Distrato",$I$38-1,0)),IF(AND($L$615=0,$P$612=0),"",$L$615-1),IF($R$17="Distrato",$E639,0))),0,YEARFRAC(MAX($P$612*($B639+IF($R$17="Distrato",$I$38-1,0)),IF(AND($L$615=0,$P$612=0),"",$L$615-1),IF($R$17="Distrato",$E639,0)),MIN(AL$38,$D$19),$P$20))-SUM($P639:AK639)</f>
        <v>0</v>
      </c>
      <c r="AM639" s="446">
        <f>IF(OR($B639="",MIN(AM$38,$D$19)&lt;MAX($P$612*($B639+IF($R$17="Distrato",$I$38-1,0)),IF(AND($L$615=0,$P$612=0),"",$L$615-1),IF($R$17="Distrato",$E639,0))),0,YEARFRAC(MAX($P$612*($B639+IF($R$17="Distrato",$I$38-1,0)),IF(AND($L$615=0,$P$612=0),"",$L$615-1),IF($R$17="Distrato",$E639,0)),MIN(AM$38,$D$19),$P$20))-SUM($P639:AL639)</f>
        <v>0</v>
      </c>
      <c r="AN639" s="446">
        <f>IF(OR($B639="",MIN(AN$38,$D$19)&lt;MAX($P$612*($B639+IF($R$17="Distrato",$I$38-1,0)),IF(AND($L$615=0,$P$612=0),"",$L$615-1),IF($R$17="Distrato",$E639,0))),0,YEARFRAC(MAX($P$612*($B639+IF($R$17="Distrato",$I$38-1,0)),IF(AND($L$615=0,$P$612=0),"",$L$615-1),IF($R$17="Distrato",$E639,0)),MIN(AN$38,$D$19),$P$20))-SUM($P639:AM639)</f>
        <v>0</v>
      </c>
      <c r="AO639" s="446">
        <f>IF(OR($B639="",MIN(AO$38,$D$19)&lt;MAX($P$612*($B639+IF($R$17="Distrato",$I$38-1,0)),IF(AND($L$615=0,$P$612=0),"",$L$615-1),IF($R$17="Distrato",$E639,0))),0,YEARFRAC(MAX($P$612*($B639+IF($R$17="Distrato",$I$38-1,0)),IF(AND($L$615=0,$P$612=0),"",$L$615-1),IF($R$17="Distrato",$E639,0)),MIN(AO$38,$D$19),$P$20))-SUM($P639:AN639)</f>
        <v>0</v>
      </c>
      <c r="AP639" s="446">
        <f>IF(OR($B639="",MIN(AP$38,$D$19)&lt;MAX($P$612*($B639+IF($R$17="Distrato",$I$38-1,0)),IF(AND($L$615=0,$P$612=0),"",$L$615-1),IF($R$17="Distrato",$E639,0))),0,YEARFRAC(MAX($P$612*($B639+IF($R$17="Distrato",$I$38-1,0)),IF(AND($L$615=0,$P$612=0),"",$L$615-1),IF($R$17="Distrato",$E639,0)),MIN(AP$38,$D$19),$P$20))-SUM($P639:AO639)</f>
        <v>0</v>
      </c>
      <c r="AQ639" s="446">
        <f>IF(OR($B639="",MIN(AQ$38,$D$19)&lt;MAX($P$612*($B639+IF($R$17="Distrato",$I$38-1,0)),IF(AND($L$615=0,$P$612=0),"",$L$615-1),IF($R$17="Distrato",$E639,0))),0,YEARFRAC(MAX($P$612*($B639+IF($R$17="Distrato",$I$38-1,0)),IF(AND($L$615=0,$P$612=0),"",$L$615-1),IF($R$17="Distrato",$E639,0)),MIN(AQ$38,$D$19),$P$20))-SUM($P639:AP639)</f>
        <v>0</v>
      </c>
      <c r="AR639" s="446">
        <f>IF(OR($B639="",MIN(AR$38,$D$19)&lt;MAX($P$612*($B639+IF($R$17="Distrato",$I$38-1,0)),IF(AND($L$615=0,$P$612=0),"",$L$615-1),IF($R$17="Distrato",$E639,0))),0,YEARFRAC(MAX($P$612*($B639+IF($R$17="Distrato",$I$38-1,0)),IF(AND($L$615=0,$P$612=0),"",$L$615-1),IF($R$17="Distrato",$E639,0)),MIN(AR$38,$D$19),$P$20))-SUM($P639:AQ639)</f>
        <v>0</v>
      </c>
      <c r="AS639" s="446">
        <f>IF(OR($B639="",MIN(AS$38,$D$19)&lt;MAX($P$612*($B639+IF($R$17="Distrato",$I$38-1,0)),IF(AND($L$615=0,$P$612=0),"",$L$615-1),IF($R$17="Distrato",$E639,0))),0,YEARFRAC(MAX($P$612*($B639+IF($R$17="Distrato",$I$38-1,0)),IF(AND($L$615=0,$P$612=0),"",$L$615-1),IF($R$17="Distrato",$E639,0)),MIN(AS$38,$D$19),$P$20))-SUM($P639:AR639)</f>
        <v>0</v>
      </c>
      <c r="AT639" s="446">
        <f>IF(OR($B639="",MIN(AT$38,$D$19)&lt;MAX($P$612*($B639+IF($R$17="Distrato",$I$38-1,0)),IF(AND($L$615=0,$P$612=0),"",$L$615-1),IF($R$17="Distrato",$E639,0))),0,YEARFRAC(MAX($P$612*($B639+IF($R$17="Distrato",$I$38-1,0)),IF(AND($L$615=0,$P$612=0),"",$L$615-1),IF($R$17="Distrato",$E639,0)),MIN(AT$38,$D$19),$P$20))-SUM($P639:AS639)</f>
        <v>0</v>
      </c>
      <c r="AU639" s="446">
        <f>IF(OR($B639="",MIN(AU$38,$D$19)&lt;MAX($P$612*($B639+IF($R$17="Distrato",$I$38-1,0)),IF(AND($L$615=0,$P$612=0),"",$L$615-1),IF($R$17="Distrato",$E639,0))),0,YEARFRAC(MAX($P$612*($B639+IF($R$17="Distrato",$I$38-1,0)),IF(AND($L$615=0,$P$612=0),"",$L$615-1),IF($R$17="Distrato",$E639,0)),MIN(AU$38,$D$19),$P$20))-SUM($P639:AT639)</f>
        <v>0</v>
      </c>
      <c r="AV639" s="446">
        <f>IF(OR($B639="",MIN(AV$38,$D$19)&lt;MAX($P$612*($B639+IF($R$17="Distrato",$I$38-1,0)),IF(AND($L$615=0,$P$612=0),"",$L$615-1),IF($R$17="Distrato",$E639,0))),0,YEARFRAC(MAX($P$612*($B639+IF($R$17="Distrato",$I$38-1,0)),IF(AND($L$615=0,$P$612=0),"",$L$615-1),IF($R$17="Distrato",$E639,0)),MIN(AV$38,$D$19),$P$20))-SUM($P639:AU639)</f>
        <v>0</v>
      </c>
      <c r="AW639" s="446">
        <f>IF(OR($B639="",MIN(AW$38,$D$19)&lt;MAX($P$612*($B639+IF($R$17="Distrato",$I$38-1,0)),IF(AND($L$615=0,$P$612=0),"",$L$615-1),IF($R$17="Distrato",$E639,0))),0,YEARFRAC(MAX($P$612*($B639+IF($R$17="Distrato",$I$38-1,0)),IF(AND($L$615=0,$P$612=0),"",$L$615-1),IF($R$17="Distrato",$E639,0)),MIN(AW$38,$D$19),$P$20))-SUM($P639:AV639)</f>
        <v>0</v>
      </c>
      <c r="AX639" s="446">
        <f>IF(OR($B639="",MIN(AX$38,$D$19)&lt;MAX($P$612*($B639+IF($R$17="Distrato",$I$38-1,0)),IF(AND($L$615=0,$P$612=0),"",$L$615-1),IF($R$17="Distrato",$E639,0))),0,YEARFRAC(MAX($P$612*($B639+IF($R$17="Distrato",$I$38-1,0)),IF(AND($L$615=0,$P$612=0),"",$L$615-1),IF($R$17="Distrato",$E639,0)),MIN(AX$38,$D$19),$P$20))-SUM($P639:AW639)</f>
        <v>0</v>
      </c>
      <c r="AY639" s="446">
        <f>IF(OR($B639="",MIN(AY$38,$D$19)&lt;MAX($P$612*($B639+IF($R$17="Distrato",$I$38-1,0)),IF(AND($L$615=0,$P$612=0),"",$L$615-1),IF($R$17="Distrato",$E639,0))),0,YEARFRAC(MAX($P$612*($B639+IF($R$17="Distrato",$I$38-1,0)),IF(AND($L$615=0,$P$612=0),"",$L$615-1),IF($R$17="Distrato",$E639,0)),MIN(AY$38,$D$19),$P$20))-SUM($P639:AX639)</f>
        <v>0</v>
      </c>
      <c r="AZ639" s="446">
        <f>IF(OR($B639="",MIN(AZ$38,$D$19)&lt;MAX($P$612*($B639+IF($R$17="Distrato",$I$38-1,0)),IF(AND($L$615=0,$P$612=0),"",$L$615-1),IF($R$17="Distrato",$E639,0))),0,YEARFRAC(MAX($P$612*($B639+IF($R$17="Distrato",$I$38-1,0)),IF(AND($L$615=0,$P$612=0),"",$L$615-1),IF($R$17="Distrato",$E639,0)),MIN(AZ$38,$D$19),$P$20))-SUM($P639:AY639)</f>
        <v>0</v>
      </c>
      <c r="BA639" s="446">
        <f>IF(OR($B639="",MIN(BA$38,$D$19)&lt;MAX($P$612*($B639+IF($R$17="Distrato",$I$38-1,0)),IF(AND($L$615=0,$P$612=0),"",$L$615-1),IF($R$17="Distrato",$E639,0))),0,YEARFRAC(MAX($P$612*($B639+IF($R$17="Distrato",$I$38-1,0)),IF(AND($L$615=0,$P$612=0),"",$L$615-1),IF($R$17="Distrato",$E639,0)),MIN(BA$38,$D$19),$P$20))-SUM($P639:AZ639)</f>
        <v>0</v>
      </c>
      <c r="BB639" s="447"/>
    </row>
    <row r="640" spans="1:54" s="446" customFormat="1" ht="11.25" hidden="1" x14ac:dyDescent="0.2">
      <c r="A640" s="177"/>
      <c r="B640" s="178"/>
      <c r="C640" s="29" t="str">
        <f>IF(B640="","",IF($L$613="SELIC - TRIBUTOS",VLOOKUP(DATE(YEAR($D$19),MONTH($D$19)-1,1),ÍNDICES!$A:$DE,HLOOKUP($BL$25,ÍNDICES!$B$3:$T$4,2)+11)-VLOOKUP(B640,ÍNDICES!$A:$DE,HLOOKUP($BL$25,ÍNDICES!$B$3:$T$4,2)+11)+1%,IF(C$616=$W$26,$J$613,IF(ISERROR(IF(B640&gt;$D$19,1,VLOOKUP(DATE(YEAR(B640),MONTH(B640)+IF($C$613=$S$23,1,0),1),ÍNDICES!$A:$DE,$Z$613+1))),"",IF(B640&gt;$D$19,1,VLOOKUP(DATE(YEAR(B640),MONTH(B640)+IF($C$613=$S$23,1,0),1),ÍNDICES!$A:$DE,$Z$613+1))))))</f>
        <v/>
      </c>
      <c r="D640" s="155"/>
      <c r="E640" s="179"/>
      <c r="F640" s="29"/>
      <c r="G640" s="180"/>
      <c r="H640" s="181"/>
      <c r="I640" s="182" t="str">
        <f t="shared" si="107"/>
        <v/>
      </c>
      <c r="J640" s="5" t="str">
        <f t="shared" si="108"/>
        <v/>
      </c>
      <c r="K640" s="5">
        <f t="shared" ca="1" si="109"/>
        <v>0</v>
      </c>
      <c r="L640" s="5">
        <f t="shared" ca="1" si="104"/>
        <v>0</v>
      </c>
      <c r="M640" s="64">
        <f t="shared" si="110"/>
        <v>0</v>
      </c>
      <c r="N640" s="61">
        <f t="shared" ca="1" si="105"/>
        <v>0</v>
      </c>
      <c r="O640" s="20">
        <f t="shared" ca="1" si="106"/>
        <v>0</v>
      </c>
      <c r="P640" s="446">
        <f t="shared" si="111"/>
        <v>0</v>
      </c>
      <c r="Q640" s="446">
        <f>IF(OR($B640="",MIN(Q$38,$D$19)&lt;MAX($P$612*($B640+IF($R$17="Distrato",$I$38-1,0)),IF(AND($L$615=0,$P$612=0),"",$L$615-1),IF($R$17="Distrato",$E640,0))),0,YEARFRAC(MAX($P$612*($B640+IF($R$17="Distrato",$I$38-1,0)),IF(AND($L$615=0,$P$612=0),"",$L$615-1),IF($R$17="Distrato",$E640,0)),MIN(Q$38,$D$19),$P$20))-SUM($P640:P640)</f>
        <v>0</v>
      </c>
      <c r="R640" s="446">
        <f>IF(OR($B640="",MIN(R$38,$D$19)&lt;MAX($P$612*($B640+IF($R$17="Distrato",$I$38-1,0)),IF(AND($L$615=0,$P$612=0),"",$L$615-1),IF($R$17="Distrato",$E640,0))),0,YEARFRAC(MAX($P$612*($B640+IF($R$17="Distrato",$I$38-1,0)),IF(AND($L$615=0,$P$612=0),"",$L$615-1),IF($R$17="Distrato",$E640,0)),MIN(R$38,$D$19),$P$20))-SUM($P640:Q640)</f>
        <v>0</v>
      </c>
      <c r="S640" s="446">
        <f>IF(OR($B640="",MIN(S$38,$D$19)&lt;MAX($P$612*($B640+IF($R$17="Distrato",$I$38-1,0)),IF(AND($L$615=0,$P$612=0),"",$L$615-1),IF($R$17="Distrato",$E640,0))),0,YEARFRAC(MAX($P$612*($B640+IF($R$17="Distrato",$I$38-1,0)),IF(AND($L$615=0,$P$612=0),"",$L$615-1),IF($R$17="Distrato",$E640,0)),MIN(S$38,$D$19),$P$20))-SUM($P640:R640)</f>
        <v>0</v>
      </c>
      <c r="T640" s="446">
        <f>IF(OR($B640="",MIN(T$38,$D$19)&lt;MAX($P$612*($B640+IF($R$17="Distrato",$I$38-1,0)),IF(AND($L$615=0,$P$612=0),"",$L$615-1),IF($R$17="Distrato",$E640,0))),0,YEARFRAC(MAX($P$612*($B640+IF($R$17="Distrato",$I$38-1,0)),IF(AND($L$615=0,$P$612=0),"",$L$615-1),IF($R$17="Distrato",$E640,0)),MIN(T$38,$D$19),$P$20))-SUM($P640:S640)</f>
        <v>0</v>
      </c>
      <c r="U640" s="446">
        <f>IF(OR($B640="",MIN(U$38,$D$19)&lt;MAX($P$612*($B640+IF($R$17="Distrato",$I$38-1,0)),IF(AND($L$615=0,$P$612=0),"",$L$615-1),IF($R$17="Distrato",$E640,0))),0,YEARFRAC(MAX($P$612*($B640+IF($R$17="Distrato",$I$38-1,0)),IF(AND($L$615=0,$P$612=0),"",$L$615-1),IF($R$17="Distrato",$E640,0)),MIN(U$38,$D$19),$P$20))-SUM($P640:T640)</f>
        <v>0</v>
      </c>
      <c r="V640" s="446">
        <f>IF(OR($B640="",MIN(V$38,$D$19)&lt;MAX($P$612*($B640+IF($R$17="Distrato",$I$38-1,0)),IF(AND($L$615=0,$P$612=0),"",$L$615-1),IF($R$17="Distrato",$E640,0))),0,YEARFRAC(MAX($P$612*($B640+IF($R$17="Distrato",$I$38-1,0)),IF(AND($L$615=0,$P$612=0),"",$L$615-1),IF($R$17="Distrato",$E640,0)),MIN(V$38,$D$19),$P$20))-SUM($P640:U640)</f>
        <v>0</v>
      </c>
      <c r="W640" s="446">
        <f>IF(OR($B640="",MIN(W$38,$D$19)&lt;MAX($P$612*($B640+IF($R$17="Distrato",$I$38-1,0)),IF(AND($L$615=0,$P$612=0),"",$L$615-1),IF($R$17="Distrato",$E640,0))),0,YEARFRAC(MAX($P$612*($B640+IF($R$17="Distrato",$I$38-1,0)),IF(AND($L$615=0,$P$612=0),"",$L$615-1),IF($R$17="Distrato",$E640,0)),MIN(W$38,$D$19),$P$20))-SUM($P640:V640)</f>
        <v>0</v>
      </c>
      <c r="X640" s="446">
        <f>IF(OR($B640="",MIN(X$38,$D$19)&lt;MAX($P$612*($B640+IF($R$17="Distrato",$I$38-1,0)),IF(AND($L$615=0,$P$612=0),"",$L$615-1),IF($R$17="Distrato",$E640,0))),0,YEARFRAC(MAX($P$612*($B640+IF($R$17="Distrato",$I$38-1,0)),IF(AND($L$615=0,$P$612=0),"",$L$615-1),IF($R$17="Distrato",$E640,0)),MIN(X$38,$D$19),$P$20))-SUM($P640:W640)</f>
        <v>0</v>
      </c>
      <c r="Y640" s="446">
        <f>IF(OR($B640="",MIN(Y$38,$D$19)&lt;MAX($P$612*($B640+IF($R$17="Distrato",$I$38-1,0)),IF(AND($L$615=0,$P$612=0),"",$L$615-1),IF($R$17="Distrato",$E640,0))),0,YEARFRAC(MAX($P$612*($B640+IF($R$17="Distrato",$I$38-1,0)),IF(AND($L$615=0,$P$612=0),"",$L$615-1),IF($R$17="Distrato",$E640,0)),MIN(Y$38,$D$19),$P$20))-SUM($P640:X640)</f>
        <v>0</v>
      </c>
      <c r="Z640" s="446">
        <f>IF(OR($B640="",MIN(Z$38,$D$19)&lt;MAX($P$612*($B640+IF($R$17="Distrato",$I$38-1,0)),IF(AND($L$615=0,$P$612=0),"",$L$615-1),IF($R$17="Distrato",$E640,0))),0,YEARFRAC(MAX($P$612*($B640+IF($R$17="Distrato",$I$38-1,0)),IF(AND($L$615=0,$P$612=0),"",$L$615-1),IF($R$17="Distrato",$E640,0)),MIN(Z$38,$D$19),$P$20))-SUM($P640:Y640)</f>
        <v>0</v>
      </c>
      <c r="AA640" s="446">
        <f>IF(OR($B640="",MIN(AA$38,$D$19)&lt;MAX($P$612*($B640+IF($R$17="Distrato",$I$38-1,0)),IF(AND($L$615=0,$P$612=0),"",$L$615-1),IF($R$17="Distrato",$E640,0))),0,YEARFRAC(MAX($P$612*($B640+IF($R$17="Distrato",$I$38-1,0)),IF(AND($L$615=0,$P$612=0),"",$L$615-1),IF($R$17="Distrato",$E640,0)),MIN(AA$38,$D$19),$P$20))-SUM($P640:Z640)</f>
        <v>0</v>
      </c>
      <c r="AB640" s="446">
        <f>IF(OR($B640="",MIN(AB$38,$D$19)&lt;MAX($P$612*($B640+IF($R$17="Distrato",$I$38-1,0)),IF(AND($L$615=0,$P$612=0),"",$L$615-1),IF($R$17="Distrato",$E640,0))),0,YEARFRAC(MAX($P$612*($B640+IF($R$17="Distrato",$I$38-1,0)),IF(AND($L$615=0,$P$612=0),"",$L$615-1),IF($R$17="Distrato",$E640,0)),MIN(AB$38,$D$19),$P$20))-SUM($P640:AA640)</f>
        <v>0</v>
      </c>
      <c r="AC640" s="446">
        <f>IF(OR($B640="",MIN(AC$38,$D$19)&lt;MAX($P$612*($B640+IF($R$17="Distrato",$I$38-1,0)),IF(AND($L$615=0,$P$612=0),"",$L$615-1),IF($R$17="Distrato",$E640,0))),0,YEARFRAC(MAX($P$612*($B640+IF($R$17="Distrato",$I$38-1,0)),IF(AND($L$615=0,$P$612=0),"",$L$615-1),IF($R$17="Distrato",$E640,0)),MIN(AC$38,$D$19),$P$20))-SUM($P640:AB640)</f>
        <v>0</v>
      </c>
      <c r="AD640" s="446">
        <f>IF(OR($B640="",MIN(AD$38,$D$19)&lt;MAX($P$612*($B640+IF($R$17="Distrato",$I$38-1,0)),IF(AND($L$615=0,$P$612=0),"",$L$615-1),IF($R$17="Distrato",$E640,0))),0,YEARFRAC(MAX($P$612*($B640+IF($R$17="Distrato",$I$38-1,0)),IF(AND($L$615=0,$P$612=0),"",$L$615-1),IF($R$17="Distrato",$E640,0)),MIN(AD$38,$D$19),$P$20))-SUM($P640:AC640)</f>
        <v>0</v>
      </c>
      <c r="AE640" s="446">
        <f>IF(OR($B640="",MIN(AE$38,$D$19)&lt;MAX($P$612*($B640+IF($R$17="Distrato",$I$38-1,0)),IF(AND($L$615=0,$P$612=0),"",$L$615-1),IF($R$17="Distrato",$E640,0))),0,YEARFRAC(MAX($P$612*($B640+IF($R$17="Distrato",$I$38-1,0)),IF(AND($L$615=0,$P$612=0),"",$L$615-1),IF($R$17="Distrato",$E640,0)),MIN(AE$38,$D$19),$P$20))-SUM($P640:AD640)</f>
        <v>0</v>
      </c>
      <c r="AF640" s="446">
        <f>IF(OR($B640="",MIN(AF$38,$D$19)&lt;MAX($P$612*($B640+IF($R$17="Distrato",$I$38-1,0)),IF(AND($L$615=0,$P$612=0),"",$L$615-1),IF($R$17="Distrato",$E640,0))),0,YEARFRAC(MAX($P$612*($B640+IF($R$17="Distrato",$I$38-1,0)),IF(AND($L$615=0,$P$612=0),"",$L$615-1),IF($R$17="Distrato",$E640,0)),MIN(AF$38,$D$19),$P$20))-SUM($P640:AE640)</f>
        <v>0</v>
      </c>
      <c r="AG640" s="446">
        <f>IF(OR($B640="",MIN(AG$38,$D$19)&lt;MAX($P$612*($B640+IF($R$17="Distrato",$I$38-1,0)),IF(AND($L$615=0,$P$612=0),"",$L$615-1),IF($R$17="Distrato",$E640,0))),0,YEARFRAC(MAX($P$612*($B640+IF($R$17="Distrato",$I$38-1,0)),IF(AND($L$615=0,$P$612=0),"",$L$615-1),IF($R$17="Distrato",$E640,0)),MIN(AG$38,$D$19),$P$20))-SUM($P640:AF640)</f>
        <v>0</v>
      </c>
      <c r="AH640" s="446">
        <f>IF(OR($B640="",MIN(AH$38,$D$19)&lt;MAX($P$612*($B640+IF($R$17="Distrato",$I$38-1,0)),IF(AND($L$615=0,$P$612=0),"",$L$615-1),IF($R$17="Distrato",$E640,0))),0,YEARFRAC(MAX($P$612*($B640+IF($R$17="Distrato",$I$38-1,0)),IF(AND($L$615=0,$P$612=0),"",$L$615-1),IF($R$17="Distrato",$E640,0)),MIN(AH$38,$D$19),$P$20))-SUM($P640:AG640)</f>
        <v>0</v>
      </c>
      <c r="AI640" s="446">
        <f>IF(OR($B640="",MIN(AI$38,$D$19)&lt;MAX($P$612*($B640+IF($R$17="Distrato",$I$38-1,0)),IF(AND($L$615=0,$P$612=0),"",$L$615-1),IF($R$17="Distrato",$E640,0))),0,YEARFRAC(MAX($P$612*($B640+IF($R$17="Distrato",$I$38-1,0)),IF(AND($L$615=0,$P$612=0),"",$L$615-1),IF($R$17="Distrato",$E640,0)),MIN(AI$38,$D$19),$P$20))-SUM($P640:AH640)</f>
        <v>0</v>
      </c>
      <c r="AJ640" s="446">
        <f>IF(OR($B640="",MIN(AJ$38,$D$19)&lt;MAX($P$612*($B640+IF($R$17="Distrato",$I$38-1,0)),IF(AND($L$615=0,$P$612=0),"",$L$615-1),IF($R$17="Distrato",$E640,0))),0,YEARFRAC(MAX($P$612*($B640+IF($R$17="Distrato",$I$38-1,0)),IF(AND($L$615=0,$P$612=0),"",$L$615-1),IF($R$17="Distrato",$E640,0)),MIN(AJ$38,$D$19),$P$20))-SUM($P640:AI640)</f>
        <v>0</v>
      </c>
      <c r="AK640" s="446">
        <f>IF(OR($B640="",MIN(AK$38,$D$19)&lt;MAX($P$612*($B640+IF($R$17="Distrato",$I$38-1,0)),IF(AND($L$615=0,$P$612=0),"",$L$615-1),IF($R$17="Distrato",$E640,0))),0,YEARFRAC(MAX($P$612*($B640+IF($R$17="Distrato",$I$38-1,0)),IF(AND($L$615=0,$P$612=0),"",$L$615-1),IF($R$17="Distrato",$E640,0)),MIN(AK$38,$D$19),$P$20))-SUM($P640:AJ640)</f>
        <v>0</v>
      </c>
      <c r="AL640" s="446">
        <f>IF(OR($B640="",MIN(AL$38,$D$19)&lt;MAX($P$612*($B640+IF($R$17="Distrato",$I$38-1,0)),IF(AND($L$615=0,$P$612=0),"",$L$615-1),IF($R$17="Distrato",$E640,0))),0,YEARFRAC(MAX($P$612*($B640+IF($R$17="Distrato",$I$38-1,0)),IF(AND($L$615=0,$P$612=0),"",$L$615-1),IF($R$17="Distrato",$E640,0)),MIN(AL$38,$D$19),$P$20))-SUM($P640:AK640)</f>
        <v>0</v>
      </c>
      <c r="AM640" s="446">
        <f>IF(OR($B640="",MIN(AM$38,$D$19)&lt;MAX($P$612*($B640+IF($R$17="Distrato",$I$38-1,0)),IF(AND($L$615=0,$P$612=0),"",$L$615-1),IF($R$17="Distrato",$E640,0))),0,YEARFRAC(MAX($P$612*($B640+IF($R$17="Distrato",$I$38-1,0)),IF(AND($L$615=0,$P$612=0),"",$L$615-1),IF($R$17="Distrato",$E640,0)),MIN(AM$38,$D$19),$P$20))-SUM($P640:AL640)</f>
        <v>0</v>
      </c>
      <c r="AN640" s="446">
        <f>IF(OR($B640="",MIN(AN$38,$D$19)&lt;MAX($P$612*($B640+IF($R$17="Distrato",$I$38-1,0)),IF(AND($L$615=0,$P$612=0),"",$L$615-1),IF($R$17="Distrato",$E640,0))),0,YEARFRAC(MAX($P$612*($B640+IF($R$17="Distrato",$I$38-1,0)),IF(AND($L$615=0,$P$612=0),"",$L$615-1),IF($R$17="Distrato",$E640,0)),MIN(AN$38,$D$19),$P$20))-SUM($P640:AM640)</f>
        <v>0</v>
      </c>
      <c r="AO640" s="446">
        <f>IF(OR($B640="",MIN(AO$38,$D$19)&lt;MAX($P$612*($B640+IF($R$17="Distrato",$I$38-1,0)),IF(AND($L$615=0,$P$612=0),"",$L$615-1),IF($R$17="Distrato",$E640,0))),0,YEARFRAC(MAX($P$612*($B640+IF($R$17="Distrato",$I$38-1,0)),IF(AND($L$615=0,$P$612=0),"",$L$615-1),IF($R$17="Distrato",$E640,0)),MIN(AO$38,$D$19),$P$20))-SUM($P640:AN640)</f>
        <v>0</v>
      </c>
      <c r="AP640" s="446">
        <f>IF(OR($B640="",MIN(AP$38,$D$19)&lt;MAX($P$612*($B640+IF($R$17="Distrato",$I$38-1,0)),IF(AND($L$615=0,$P$612=0),"",$L$615-1),IF($R$17="Distrato",$E640,0))),0,YEARFRAC(MAX($P$612*($B640+IF($R$17="Distrato",$I$38-1,0)),IF(AND($L$615=0,$P$612=0),"",$L$615-1),IF($R$17="Distrato",$E640,0)),MIN(AP$38,$D$19),$P$20))-SUM($P640:AO640)</f>
        <v>0</v>
      </c>
      <c r="AQ640" s="446">
        <f>IF(OR($B640="",MIN(AQ$38,$D$19)&lt;MAX($P$612*($B640+IF($R$17="Distrato",$I$38-1,0)),IF(AND($L$615=0,$P$612=0),"",$L$615-1),IF($R$17="Distrato",$E640,0))),0,YEARFRAC(MAX($P$612*($B640+IF($R$17="Distrato",$I$38-1,0)),IF(AND($L$615=0,$P$612=0),"",$L$615-1),IF($R$17="Distrato",$E640,0)),MIN(AQ$38,$D$19),$P$20))-SUM($P640:AP640)</f>
        <v>0</v>
      </c>
      <c r="AR640" s="446">
        <f>IF(OR($B640="",MIN(AR$38,$D$19)&lt;MAX($P$612*($B640+IF($R$17="Distrato",$I$38-1,0)),IF(AND($L$615=0,$P$612=0),"",$L$615-1),IF($R$17="Distrato",$E640,0))),0,YEARFRAC(MAX($P$612*($B640+IF($R$17="Distrato",$I$38-1,0)),IF(AND($L$615=0,$P$612=0),"",$L$615-1),IF($R$17="Distrato",$E640,0)),MIN(AR$38,$D$19),$P$20))-SUM($P640:AQ640)</f>
        <v>0</v>
      </c>
      <c r="AS640" s="446">
        <f>IF(OR($B640="",MIN(AS$38,$D$19)&lt;MAX($P$612*($B640+IF($R$17="Distrato",$I$38-1,0)),IF(AND($L$615=0,$P$612=0),"",$L$615-1),IF($R$17="Distrato",$E640,0))),0,YEARFRAC(MAX($P$612*($B640+IF($R$17="Distrato",$I$38-1,0)),IF(AND($L$615=0,$P$612=0),"",$L$615-1),IF($R$17="Distrato",$E640,0)),MIN(AS$38,$D$19),$P$20))-SUM($P640:AR640)</f>
        <v>0</v>
      </c>
      <c r="AT640" s="446">
        <f>IF(OR($B640="",MIN(AT$38,$D$19)&lt;MAX($P$612*($B640+IF($R$17="Distrato",$I$38-1,0)),IF(AND($L$615=0,$P$612=0),"",$L$615-1),IF($R$17="Distrato",$E640,0))),0,YEARFRAC(MAX($P$612*($B640+IF($R$17="Distrato",$I$38-1,0)),IF(AND($L$615=0,$P$612=0),"",$L$615-1),IF($R$17="Distrato",$E640,0)),MIN(AT$38,$D$19),$P$20))-SUM($P640:AS640)</f>
        <v>0</v>
      </c>
      <c r="AU640" s="446">
        <f>IF(OR($B640="",MIN(AU$38,$D$19)&lt;MAX($P$612*($B640+IF($R$17="Distrato",$I$38-1,0)),IF(AND($L$615=0,$P$612=0),"",$L$615-1),IF($R$17="Distrato",$E640,0))),0,YEARFRAC(MAX($P$612*($B640+IF($R$17="Distrato",$I$38-1,0)),IF(AND($L$615=0,$P$612=0),"",$L$615-1),IF($R$17="Distrato",$E640,0)),MIN(AU$38,$D$19),$P$20))-SUM($P640:AT640)</f>
        <v>0</v>
      </c>
      <c r="AV640" s="446">
        <f>IF(OR($B640="",MIN(AV$38,$D$19)&lt;MAX($P$612*($B640+IF($R$17="Distrato",$I$38-1,0)),IF(AND($L$615=0,$P$612=0),"",$L$615-1),IF($R$17="Distrato",$E640,0))),0,YEARFRAC(MAX($P$612*($B640+IF($R$17="Distrato",$I$38-1,0)),IF(AND($L$615=0,$P$612=0),"",$L$615-1),IF($R$17="Distrato",$E640,0)),MIN(AV$38,$D$19),$P$20))-SUM($P640:AU640)</f>
        <v>0</v>
      </c>
      <c r="AW640" s="446">
        <f>IF(OR($B640="",MIN(AW$38,$D$19)&lt;MAX($P$612*($B640+IF($R$17="Distrato",$I$38-1,0)),IF(AND($L$615=0,$P$612=0),"",$L$615-1),IF($R$17="Distrato",$E640,0))),0,YEARFRAC(MAX($P$612*($B640+IF($R$17="Distrato",$I$38-1,0)),IF(AND($L$615=0,$P$612=0),"",$L$615-1),IF($R$17="Distrato",$E640,0)),MIN(AW$38,$D$19),$P$20))-SUM($P640:AV640)</f>
        <v>0</v>
      </c>
      <c r="AX640" s="446">
        <f>IF(OR($B640="",MIN(AX$38,$D$19)&lt;MAX($P$612*($B640+IF($R$17="Distrato",$I$38-1,0)),IF(AND($L$615=0,$P$612=0),"",$L$615-1),IF($R$17="Distrato",$E640,0))),0,YEARFRAC(MAX($P$612*($B640+IF($R$17="Distrato",$I$38-1,0)),IF(AND($L$615=0,$P$612=0),"",$L$615-1),IF($R$17="Distrato",$E640,0)),MIN(AX$38,$D$19),$P$20))-SUM($P640:AW640)</f>
        <v>0</v>
      </c>
      <c r="AY640" s="446">
        <f>IF(OR($B640="",MIN(AY$38,$D$19)&lt;MAX($P$612*($B640+IF($R$17="Distrato",$I$38-1,0)),IF(AND($L$615=0,$P$612=0),"",$L$615-1),IF($R$17="Distrato",$E640,0))),0,YEARFRAC(MAX($P$612*($B640+IF($R$17="Distrato",$I$38-1,0)),IF(AND($L$615=0,$P$612=0),"",$L$615-1),IF($R$17="Distrato",$E640,0)),MIN(AY$38,$D$19),$P$20))-SUM($P640:AX640)</f>
        <v>0</v>
      </c>
      <c r="AZ640" s="446">
        <f>IF(OR($B640="",MIN(AZ$38,$D$19)&lt;MAX($P$612*($B640+IF($R$17="Distrato",$I$38-1,0)),IF(AND($L$615=0,$P$612=0),"",$L$615-1),IF($R$17="Distrato",$E640,0))),0,YEARFRAC(MAX($P$612*($B640+IF($R$17="Distrato",$I$38-1,0)),IF(AND($L$615=0,$P$612=0),"",$L$615-1),IF($R$17="Distrato",$E640,0)),MIN(AZ$38,$D$19),$P$20))-SUM($P640:AY640)</f>
        <v>0</v>
      </c>
      <c r="BA640" s="446">
        <f>IF(OR($B640="",MIN(BA$38,$D$19)&lt;MAX($P$612*($B640+IF($R$17="Distrato",$I$38-1,0)),IF(AND($L$615=0,$P$612=0),"",$L$615-1),IF($R$17="Distrato",$E640,0))),0,YEARFRAC(MAX($P$612*($B640+IF($R$17="Distrato",$I$38-1,0)),IF(AND($L$615=0,$P$612=0),"",$L$615-1),IF($R$17="Distrato",$E640,0)),MIN(BA$38,$D$19),$P$20))-SUM($P640:AZ640)</f>
        <v>0</v>
      </c>
      <c r="BB640" s="447"/>
    </row>
    <row r="641" spans="1:54" s="446" customFormat="1" ht="11.25" hidden="1" x14ac:dyDescent="0.2">
      <c r="A641" s="177"/>
      <c r="B641" s="178"/>
      <c r="C641" s="29" t="str">
        <f>IF(B641="","",IF($L$613="SELIC - TRIBUTOS",VLOOKUP(DATE(YEAR($D$19),MONTH($D$19)-1,1),ÍNDICES!$A:$DE,HLOOKUP($BL$25,ÍNDICES!$B$3:$T$4,2)+11)-VLOOKUP(B641,ÍNDICES!$A:$DE,HLOOKUP($BL$25,ÍNDICES!$B$3:$T$4,2)+11)+1%,IF(C$616=$W$26,$J$613,IF(ISERROR(IF(B641&gt;$D$19,1,VLOOKUP(DATE(YEAR(B641),MONTH(B641)+IF($C$613=$S$23,1,0),1),ÍNDICES!$A:$DE,$Z$613+1))),"",IF(B641&gt;$D$19,1,VLOOKUP(DATE(YEAR(B641),MONTH(B641)+IF($C$613=$S$23,1,0),1),ÍNDICES!$A:$DE,$Z$613+1))))))</f>
        <v/>
      </c>
      <c r="D641" s="155"/>
      <c r="E641" s="179"/>
      <c r="F641" s="29"/>
      <c r="G641" s="180"/>
      <c r="H641" s="181"/>
      <c r="I641" s="182" t="str">
        <f t="shared" si="107"/>
        <v/>
      </c>
      <c r="J641" s="5" t="str">
        <f t="shared" si="108"/>
        <v/>
      </c>
      <c r="K641" s="5">
        <f t="shared" ca="1" si="109"/>
        <v>0</v>
      </c>
      <c r="L641" s="5">
        <f t="shared" ca="1" si="104"/>
        <v>0</v>
      </c>
      <c r="M641" s="64">
        <f t="shared" si="110"/>
        <v>0</v>
      </c>
      <c r="N641" s="61">
        <f t="shared" ca="1" si="105"/>
        <v>0</v>
      </c>
      <c r="O641" s="20">
        <f t="shared" ca="1" si="106"/>
        <v>0</v>
      </c>
      <c r="P641" s="446">
        <f t="shared" si="111"/>
        <v>0</v>
      </c>
      <c r="Q641" s="446">
        <f>IF(OR($B641="",MIN(Q$38,$D$19)&lt;MAX($P$612*($B641+IF($R$17="Distrato",$I$38-1,0)),IF(AND($L$615=0,$P$612=0),"",$L$615-1),IF($R$17="Distrato",$E641,0))),0,YEARFRAC(MAX($P$612*($B641+IF($R$17="Distrato",$I$38-1,0)),IF(AND($L$615=0,$P$612=0),"",$L$615-1),IF($R$17="Distrato",$E641,0)),MIN(Q$38,$D$19),$P$20))-SUM($P641:P641)</f>
        <v>0</v>
      </c>
      <c r="R641" s="446">
        <f>IF(OR($B641="",MIN(R$38,$D$19)&lt;MAX($P$612*($B641+IF($R$17="Distrato",$I$38-1,0)),IF(AND($L$615=0,$P$612=0),"",$L$615-1),IF($R$17="Distrato",$E641,0))),0,YEARFRAC(MAX($P$612*($B641+IF($R$17="Distrato",$I$38-1,0)),IF(AND($L$615=0,$P$612=0),"",$L$615-1),IF($R$17="Distrato",$E641,0)),MIN(R$38,$D$19),$P$20))-SUM($P641:Q641)</f>
        <v>0</v>
      </c>
      <c r="S641" s="446">
        <f>IF(OR($B641="",MIN(S$38,$D$19)&lt;MAX($P$612*($B641+IF($R$17="Distrato",$I$38-1,0)),IF(AND($L$615=0,$P$612=0),"",$L$615-1),IF($R$17="Distrato",$E641,0))),0,YEARFRAC(MAX($P$612*($B641+IF($R$17="Distrato",$I$38-1,0)),IF(AND($L$615=0,$P$612=0),"",$L$615-1),IF($R$17="Distrato",$E641,0)),MIN(S$38,$D$19),$P$20))-SUM($P641:R641)</f>
        <v>0</v>
      </c>
      <c r="T641" s="446">
        <f>IF(OR($B641="",MIN(T$38,$D$19)&lt;MAX($P$612*($B641+IF($R$17="Distrato",$I$38-1,0)),IF(AND($L$615=0,$P$612=0),"",$L$615-1),IF($R$17="Distrato",$E641,0))),0,YEARFRAC(MAX($P$612*($B641+IF($R$17="Distrato",$I$38-1,0)),IF(AND($L$615=0,$P$612=0),"",$L$615-1),IF($R$17="Distrato",$E641,0)),MIN(T$38,$D$19),$P$20))-SUM($P641:S641)</f>
        <v>0</v>
      </c>
      <c r="U641" s="446">
        <f>IF(OR($B641="",MIN(U$38,$D$19)&lt;MAX($P$612*($B641+IF($R$17="Distrato",$I$38-1,0)),IF(AND($L$615=0,$P$612=0),"",$L$615-1),IF($R$17="Distrato",$E641,0))),0,YEARFRAC(MAX($P$612*($B641+IF($R$17="Distrato",$I$38-1,0)),IF(AND($L$615=0,$P$612=0),"",$L$615-1),IF($R$17="Distrato",$E641,0)),MIN(U$38,$D$19),$P$20))-SUM($P641:T641)</f>
        <v>0</v>
      </c>
      <c r="V641" s="446">
        <f>IF(OR($B641="",MIN(V$38,$D$19)&lt;MAX($P$612*($B641+IF($R$17="Distrato",$I$38-1,0)),IF(AND($L$615=0,$P$612=0),"",$L$615-1),IF($R$17="Distrato",$E641,0))),0,YEARFRAC(MAX($P$612*($B641+IF($R$17="Distrato",$I$38-1,0)),IF(AND($L$615=0,$P$612=0),"",$L$615-1),IF($R$17="Distrato",$E641,0)),MIN(V$38,$D$19),$P$20))-SUM($P641:U641)</f>
        <v>0</v>
      </c>
      <c r="W641" s="446">
        <f>IF(OR($B641="",MIN(W$38,$D$19)&lt;MAX($P$612*($B641+IF($R$17="Distrato",$I$38-1,0)),IF(AND($L$615=0,$P$612=0),"",$L$615-1),IF($R$17="Distrato",$E641,0))),0,YEARFRAC(MAX($P$612*($B641+IF($R$17="Distrato",$I$38-1,0)),IF(AND($L$615=0,$P$612=0),"",$L$615-1),IF($R$17="Distrato",$E641,0)),MIN(W$38,$D$19),$P$20))-SUM($P641:V641)</f>
        <v>0</v>
      </c>
      <c r="X641" s="446">
        <f>IF(OR($B641="",MIN(X$38,$D$19)&lt;MAX($P$612*($B641+IF($R$17="Distrato",$I$38-1,0)),IF(AND($L$615=0,$P$612=0),"",$L$615-1),IF($R$17="Distrato",$E641,0))),0,YEARFRAC(MAX($P$612*($B641+IF($R$17="Distrato",$I$38-1,0)),IF(AND($L$615=0,$P$612=0),"",$L$615-1),IF($R$17="Distrato",$E641,0)),MIN(X$38,$D$19),$P$20))-SUM($P641:W641)</f>
        <v>0</v>
      </c>
      <c r="Y641" s="446">
        <f>IF(OR($B641="",MIN(Y$38,$D$19)&lt;MAX($P$612*($B641+IF($R$17="Distrato",$I$38-1,0)),IF(AND($L$615=0,$P$612=0),"",$L$615-1),IF($R$17="Distrato",$E641,0))),0,YEARFRAC(MAX($P$612*($B641+IF($R$17="Distrato",$I$38-1,0)),IF(AND($L$615=0,$P$612=0),"",$L$615-1),IF($R$17="Distrato",$E641,0)),MIN(Y$38,$D$19),$P$20))-SUM($P641:X641)</f>
        <v>0</v>
      </c>
      <c r="Z641" s="446">
        <f>IF(OR($B641="",MIN(Z$38,$D$19)&lt;MAX($P$612*($B641+IF($R$17="Distrato",$I$38-1,0)),IF(AND($L$615=0,$P$612=0),"",$L$615-1),IF($R$17="Distrato",$E641,0))),0,YEARFRAC(MAX($P$612*($B641+IF($R$17="Distrato",$I$38-1,0)),IF(AND($L$615=0,$P$612=0),"",$L$615-1),IF($R$17="Distrato",$E641,0)),MIN(Z$38,$D$19),$P$20))-SUM($P641:Y641)</f>
        <v>0</v>
      </c>
      <c r="AA641" s="446">
        <f>IF(OR($B641="",MIN(AA$38,$D$19)&lt;MAX($P$612*($B641+IF($R$17="Distrato",$I$38-1,0)),IF(AND($L$615=0,$P$612=0),"",$L$615-1),IF($R$17="Distrato",$E641,0))),0,YEARFRAC(MAX($P$612*($B641+IF($R$17="Distrato",$I$38-1,0)),IF(AND($L$615=0,$P$612=0),"",$L$615-1),IF($R$17="Distrato",$E641,0)),MIN(AA$38,$D$19),$P$20))-SUM($P641:Z641)</f>
        <v>0</v>
      </c>
      <c r="AB641" s="446">
        <f>IF(OR($B641="",MIN(AB$38,$D$19)&lt;MAX($P$612*($B641+IF($R$17="Distrato",$I$38-1,0)),IF(AND($L$615=0,$P$612=0),"",$L$615-1),IF($R$17="Distrato",$E641,0))),0,YEARFRAC(MAX($P$612*($B641+IF($R$17="Distrato",$I$38-1,0)),IF(AND($L$615=0,$P$612=0),"",$L$615-1),IF($R$17="Distrato",$E641,0)),MIN(AB$38,$D$19),$P$20))-SUM($P641:AA641)</f>
        <v>0</v>
      </c>
      <c r="AC641" s="446">
        <f>IF(OR($B641="",MIN(AC$38,$D$19)&lt;MAX($P$612*($B641+IF($R$17="Distrato",$I$38-1,0)),IF(AND($L$615=0,$P$612=0),"",$L$615-1),IF($R$17="Distrato",$E641,0))),0,YEARFRAC(MAX($P$612*($B641+IF($R$17="Distrato",$I$38-1,0)),IF(AND($L$615=0,$P$612=0),"",$L$615-1),IF($R$17="Distrato",$E641,0)),MIN(AC$38,$D$19),$P$20))-SUM($P641:AB641)</f>
        <v>0</v>
      </c>
      <c r="AD641" s="446">
        <f>IF(OR($B641="",MIN(AD$38,$D$19)&lt;MAX($P$612*($B641+IF($R$17="Distrato",$I$38-1,0)),IF(AND($L$615=0,$P$612=0),"",$L$615-1),IF($R$17="Distrato",$E641,0))),0,YEARFRAC(MAX($P$612*($B641+IF($R$17="Distrato",$I$38-1,0)),IF(AND($L$615=0,$P$612=0),"",$L$615-1),IF($R$17="Distrato",$E641,0)),MIN(AD$38,$D$19),$P$20))-SUM($P641:AC641)</f>
        <v>0</v>
      </c>
      <c r="AE641" s="446">
        <f>IF(OR($B641="",MIN(AE$38,$D$19)&lt;MAX($P$612*($B641+IF($R$17="Distrato",$I$38-1,0)),IF(AND($L$615=0,$P$612=0),"",$L$615-1),IF($R$17="Distrato",$E641,0))),0,YEARFRAC(MAX($P$612*($B641+IF($R$17="Distrato",$I$38-1,0)),IF(AND($L$615=0,$P$612=0),"",$L$615-1),IF($R$17="Distrato",$E641,0)),MIN(AE$38,$D$19),$P$20))-SUM($P641:AD641)</f>
        <v>0</v>
      </c>
      <c r="AF641" s="446">
        <f>IF(OR($B641="",MIN(AF$38,$D$19)&lt;MAX($P$612*($B641+IF($R$17="Distrato",$I$38-1,0)),IF(AND($L$615=0,$P$612=0),"",$L$615-1),IF($R$17="Distrato",$E641,0))),0,YEARFRAC(MAX($P$612*($B641+IF($R$17="Distrato",$I$38-1,0)),IF(AND($L$615=0,$P$612=0),"",$L$615-1),IF($R$17="Distrato",$E641,0)),MIN(AF$38,$D$19),$P$20))-SUM($P641:AE641)</f>
        <v>0</v>
      </c>
      <c r="AG641" s="446">
        <f>IF(OR($B641="",MIN(AG$38,$D$19)&lt;MAX($P$612*($B641+IF($R$17="Distrato",$I$38-1,0)),IF(AND($L$615=0,$P$612=0),"",$L$615-1),IF($R$17="Distrato",$E641,0))),0,YEARFRAC(MAX($P$612*($B641+IF($R$17="Distrato",$I$38-1,0)),IF(AND($L$615=0,$P$612=0),"",$L$615-1),IF($R$17="Distrato",$E641,0)),MIN(AG$38,$D$19),$P$20))-SUM($P641:AF641)</f>
        <v>0</v>
      </c>
      <c r="AH641" s="446">
        <f>IF(OR($B641="",MIN(AH$38,$D$19)&lt;MAX($P$612*($B641+IF($R$17="Distrato",$I$38-1,0)),IF(AND($L$615=0,$P$612=0),"",$L$615-1),IF($R$17="Distrato",$E641,0))),0,YEARFRAC(MAX($P$612*($B641+IF($R$17="Distrato",$I$38-1,0)),IF(AND($L$615=0,$P$612=0),"",$L$615-1),IF($R$17="Distrato",$E641,0)),MIN(AH$38,$D$19),$P$20))-SUM($P641:AG641)</f>
        <v>0</v>
      </c>
      <c r="AI641" s="446">
        <f>IF(OR($B641="",MIN(AI$38,$D$19)&lt;MAX($P$612*($B641+IF($R$17="Distrato",$I$38-1,0)),IF(AND($L$615=0,$P$612=0),"",$L$615-1),IF($R$17="Distrato",$E641,0))),0,YEARFRAC(MAX($P$612*($B641+IF($R$17="Distrato",$I$38-1,0)),IF(AND($L$615=0,$P$612=0),"",$L$615-1),IF($R$17="Distrato",$E641,0)),MIN(AI$38,$D$19),$P$20))-SUM($P641:AH641)</f>
        <v>0</v>
      </c>
      <c r="AJ641" s="446">
        <f>IF(OR($B641="",MIN(AJ$38,$D$19)&lt;MAX($P$612*($B641+IF($R$17="Distrato",$I$38-1,0)),IF(AND($L$615=0,$P$612=0),"",$L$615-1),IF($R$17="Distrato",$E641,0))),0,YEARFRAC(MAX($P$612*($B641+IF($R$17="Distrato",$I$38-1,0)),IF(AND($L$615=0,$P$612=0),"",$L$615-1),IF($R$17="Distrato",$E641,0)),MIN(AJ$38,$D$19),$P$20))-SUM($P641:AI641)</f>
        <v>0</v>
      </c>
      <c r="AK641" s="446">
        <f>IF(OR($B641="",MIN(AK$38,$D$19)&lt;MAX($P$612*($B641+IF($R$17="Distrato",$I$38-1,0)),IF(AND($L$615=0,$P$612=0),"",$L$615-1),IF($R$17="Distrato",$E641,0))),0,YEARFRAC(MAX($P$612*($B641+IF($R$17="Distrato",$I$38-1,0)),IF(AND($L$615=0,$P$612=0),"",$L$615-1),IF($R$17="Distrato",$E641,0)),MIN(AK$38,$D$19),$P$20))-SUM($P641:AJ641)</f>
        <v>0</v>
      </c>
      <c r="AL641" s="446">
        <f>IF(OR($B641="",MIN(AL$38,$D$19)&lt;MAX($P$612*($B641+IF($R$17="Distrato",$I$38-1,0)),IF(AND($L$615=0,$P$612=0),"",$L$615-1),IF($R$17="Distrato",$E641,0))),0,YEARFRAC(MAX($P$612*($B641+IF($R$17="Distrato",$I$38-1,0)),IF(AND($L$615=0,$P$612=0),"",$L$615-1),IF($R$17="Distrato",$E641,0)),MIN(AL$38,$D$19),$P$20))-SUM($P641:AK641)</f>
        <v>0</v>
      </c>
      <c r="AM641" s="446">
        <f>IF(OR($B641="",MIN(AM$38,$D$19)&lt;MAX($P$612*($B641+IF($R$17="Distrato",$I$38-1,0)),IF(AND($L$615=0,$P$612=0),"",$L$615-1),IF($R$17="Distrato",$E641,0))),0,YEARFRAC(MAX($P$612*($B641+IF($R$17="Distrato",$I$38-1,0)),IF(AND($L$615=0,$P$612=0),"",$L$615-1),IF($R$17="Distrato",$E641,0)),MIN(AM$38,$D$19),$P$20))-SUM($P641:AL641)</f>
        <v>0</v>
      </c>
      <c r="AN641" s="446">
        <f>IF(OR($B641="",MIN(AN$38,$D$19)&lt;MAX($P$612*($B641+IF($R$17="Distrato",$I$38-1,0)),IF(AND($L$615=0,$P$612=0),"",$L$615-1),IF($R$17="Distrato",$E641,0))),0,YEARFRAC(MAX($P$612*($B641+IF($R$17="Distrato",$I$38-1,0)),IF(AND($L$615=0,$P$612=0),"",$L$615-1),IF($R$17="Distrato",$E641,0)),MIN(AN$38,$D$19),$P$20))-SUM($P641:AM641)</f>
        <v>0</v>
      </c>
      <c r="AO641" s="446">
        <f>IF(OR($B641="",MIN(AO$38,$D$19)&lt;MAX($P$612*($B641+IF($R$17="Distrato",$I$38-1,0)),IF(AND($L$615=0,$P$612=0),"",$L$615-1),IF($R$17="Distrato",$E641,0))),0,YEARFRAC(MAX($P$612*($B641+IF($R$17="Distrato",$I$38-1,0)),IF(AND($L$615=0,$P$612=0),"",$L$615-1),IF($R$17="Distrato",$E641,0)),MIN(AO$38,$D$19),$P$20))-SUM($P641:AN641)</f>
        <v>0</v>
      </c>
      <c r="AP641" s="446">
        <f>IF(OR($B641="",MIN(AP$38,$D$19)&lt;MAX($P$612*($B641+IF($R$17="Distrato",$I$38-1,0)),IF(AND($L$615=0,$P$612=0),"",$L$615-1),IF($R$17="Distrato",$E641,0))),0,YEARFRAC(MAX($P$612*($B641+IF($R$17="Distrato",$I$38-1,0)),IF(AND($L$615=0,$P$612=0),"",$L$615-1),IF($R$17="Distrato",$E641,0)),MIN(AP$38,$D$19),$P$20))-SUM($P641:AO641)</f>
        <v>0</v>
      </c>
      <c r="AQ641" s="446">
        <f>IF(OR($B641="",MIN(AQ$38,$D$19)&lt;MAX($P$612*($B641+IF($R$17="Distrato",$I$38-1,0)),IF(AND($L$615=0,$P$612=0),"",$L$615-1),IF($R$17="Distrato",$E641,0))),0,YEARFRAC(MAX($P$612*($B641+IF($R$17="Distrato",$I$38-1,0)),IF(AND($L$615=0,$P$612=0),"",$L$615-1),IF($R$17="Distrato",$E641,0)),MIN(AQ$38,$D$19),$P$20))-SUM($P641:AP641)</f>
        <v>0</v>
      </c>
      <c r="AR641" s="446">
        <f>IF(OR($B641="",MIN(AR$38,$D$19)&lt;MAX($P$612*($B641+IF($R$17="Distrato",$I$38-1,0)),IF(AND($L$615=0,$P$612=0),"",$L$615-1),IF($R$17="Distrato",$E641,0))),0,YEARFRAC(MAX($P$612*($B641+IF($R$17="Distrato",$I$38-1,0)),IF(AND($L$615=0,$P$612=0),"",$L$615-1),IF($R$17="Distrato",$E641,0)),MIN(AR$38,$D$19),$P$20))-SUM($P641:AQ641)</f>
        <v>0</v>
      </c>
      <c r="AS641" s="446">
        <f>IF(OR($B641="",MIN(AS$38,$D$19)&lt;MAX($P$612*($B641+IF($R$17="Distrato",$I$38-1,0)),IF(AND($L$615=0,$P$612=0),"",$L$615-1),IF($R$17="Distrato",$E641,0))),0,YEARFRAC(MAX($P$612*($B641+IF($R$17="Distrato",$I$38-1,0)),IF(AND($L$615=0,$P$612=0),"",$L$615-1),IF($R$17="Distrato",$E641,0)),MIN(AS$38,$D$19),$P$20))-SUM($P641:AR641)</f>
        <v>0</v>
      </c>
      <c r="AT641" s="446">
        <f>IF(OR($B641="",MIN(AT$38,$D$19)&lt;MAX($P$612*($B641+IF($R$17="Distrato",$I$38-1,0)),IF(AND($L$615=0,$P$612=0),"",$L$615-1),IF($R$17="Distrato",$E641,0))),0,YEARFRAC(MAX($P$612*($B641+IF($R$17="Distrato",$I$38-1,0)),IF(AND($L$615=0,$P$612=0),"",$L$615-1),IF($R$17="Distrato",$E641,0)),MIN(AT$38,$D$19),$P$20))-SUM($P641:AS641)</f>
        <v>0</v>
      </c>
      <c r="AU641" s="446">
        <f>IF(OR($B641="",MIN(AU$38,$D$19)&lt;MAX($P$612*($B641+IF($R$17="Distrato",$I$38-1,0)),IF(AND($L$615=0,$P$612=0),"",$L$615-1),IF($R$17="Distrato",$E641,0))),0,YEARFRAC(MAX($P$612*($B641+IF($R$17="Distrato",$I$38-1,0)),IF(AND($L$615=0,$P$612=0),"",$L$615-1),IF($R$17="Distrato",$E641,0)),MIN(AU$38,$D$19),$P$20))-SUM($P641:AT641)</f>
        <v>0</v>
      </c>
      <c r="AV641" s="446">
        <f>IF(OR($B641="",MIN(AV$38,$D$19)&lt;MAX($P$612*($B641+IF($R$17="Distrato",$I$38-1,0)),IF(AND($L$615=0,$P$612=0),"",$L$615-1),IF($R$17="Distrato",$E641,0))),0,YEARFRAC(MAX($P$612*($B641+IF($R$17="Distrato",$I$38-1,0)),IF(AND($L$615=0,$P$612=0),"",$L$615-1),IF($R$17="Distrato",$E641,0)),MIN(AV$38,$D$19),$P$20))-SUM($P641:AU641)</f>
        <v>0</v>
      </c>
      <c r="AW641" s="446">
        <f>IF(OR($B641="",MIN(AW$38,$D$19)&lt;MAX($P$612*($B641+IF($R$17="Distrato",$I$38-1,0)),IF(AND($L$615=0,$P$612=0),"",$L$615-1),IF($R$17="Distrato",$E641,0))),0,YEARFRAC(MAX($P$612*($B641+IF($R$17="Distrato",$I$38-1,0)),IF(AND($L$615=0,$P$612=0),"",$L$615-1),IF($R$17="Distrato",$E641,0)),MIN(AW$38,$D$19),$P$20))-SUM($P641:AV641)</f>
        <v>0</v>
      </c>
      <c r="AX641" s="446">
        <f>IF(OR($B641="",MIN(AX$38,$D$19)&lt;MAX($P$612*($B641+IF($R$17="Distrato",$I$38-1,0)),IF(AND($L$615=0,$P$612=0),"",$L$615-1),IF($R$17="Distrato",$E641,0))),0,YEARFRAC(MAX($P$612*($B641+IF($R$17="Distrato",$I$38-1,0)),IF(AND($L$615=0,$P$612=0),"",$L$615-1),IF($R$17="Distrato",$E641,0)),MIN(AX$38,$D$19),$P$20))-SUM($P641:AW641)</f>
        <v>0</v>
      </c>
      <c r="AY641" s="446">
        <f>IF(OR($B641="",MIN(AY$38,$D$19)&lt;MAX($P$612*($B641+IF($R$17="Distrato",$I$38-1,0)),IF(AND($L$615=0,$P$612=0),"",$L$615-1),IF($R$17="Distrato",$E641,0))),0,YEARFRAC(MAX($P$612*($B641+IF($R$17="Distrato",$I$38-1,0)),IF(AND($L$615=0,$P$612=0),"",$L$615-1),IF($R$17="Distrato",$E641,0)),MIN(AY$38,$D$19),$P$20))-SUM($P641:AX641)</f>
        <v>0</v>
      </c>
      <c r="AZ641" s="446">
        <f>IF(OR($B641="",MIN(AZ$38,$D$19)&lt;MAX($P$612*($B641+IF($R$17="Distrato",$I$38-1,0)),IF(AND($L$615=0,$P$612=0),"",$L$615-1),IF($R$17="Distrato",$E641,0))),0,YEARFRAC(MAX($P$612*($B641+IF($R$17="Distrato",$I$38-1,0)),IF(AND($L$615=0,$P$612=0),"",$L$615-1),IF($R$17="Distrato",$E641,0)),MIN(AZ$38,$D$19),$P$20))-SUM($P641:AY641)</f>
        <v>0</v>
      </c>
      <c r="BA641" s="446">
        <f>IF(OR($B641="",MIN(BA$38,$D$19)&lt;MAX($P$612*($B641+IF($R$17="Distrato",$I$38-1,0)),IF(AND($L$615=0,$P$612=0),"",$L$615-1),IF($R$17="Distrato",$E641,0))),0,YEARFRAC(MAX($P$612*($B641+IF($R$17="Distrato",$I$38-1,0)),IF(AND($L$615=0,$P$612=0),"",$L$615-1),IF($R$17="Distrato",$E641,0)),MIN(BA$38,$D$19),$P$20))-SUM($P641:AZ641)</f>
        <v>0</v>
      </c>
      <c r="BB641" s="447"/>
    </row>
    <row r="642" spans="1:54" s="446" customFormat="1" ht="11.25" hidden="1" x14ac:dyDescent="0.2">
      <c r="A642" s="177"/>
      <c r="B642" s="178"/>
      <c r="C642" s="29" t="str">
        <f>IF(B642="","",IF($L$613="SELIC - TRIBUTOS",VLOOKUP(DATE(YEAR($D$19),MONTH($D$19)-1,1),ÍNDICES!$A:$DE,HLOOKUP($BL$25,ÍNDICES!$B$3:$T$4,2)+11)-VLOOKUP(B642,ÍNDICES!$A:$DE,HLOOKUP($BL$25,ÍNDICES!$B$3:$T$4,2)+11)+1%,IF(C$616=$W$26,$J$613,IF(ISERROR(IF(B642&gt;$D$19,1,VLOOKUP(DATE(YEAR(B642),MONTH(B642)+IF($C$613=$S$23,1,0),1),ÍNDICES!$A:$DE,$Z$613+1))),"",IF(B642&gt;$D$19,1,VLOOKUP(DATE(YEAR(B642),MONTH(B642)+IF($C$613=$S$23,1,0),1),ÍNDICES!$A:$DE,$Z$613+1))))))</f>
        <v/>
      </c>
      <c r="D642" s="155"/>
      <c r="E642" s="179"/>
      <c r="F642" s="29"/>
      <c r="G642" s="180"/>
      <c r="H642" s="181"/>
      <c r="I642" s="182" t="str">
        <f t="shared" si="107"/>
        <v/>
      </c>
      <c r="J642" s="5" t="str">
        <f t="shared" si="108"/>
        <v/>
      </c>
      <c r="K642" s="5">
        <f t="shared" ca="1" si="109"/>
        <v>0</v>
      </c>
      <c r="L642" s="5">
        <f t="shared" ca="1" si="104"/>
        <v>0</v>
      </c>
      <c r="M642" s="64">
        <f t="shared" si="110"/>
        <v>0</v>
      </c>
      <c r="N642" s="61">
        <f t="shared" ca="1" si="105"/>
        <v>0</v>
      </c>
      <c r="O642" s="20">
        <f t="shared" ca="1" si="106"/>
        <v>0</v>
      </c>
      <c r="P642" s="446">
        <f t="shared" si="111"/>
        <v>0</v>
      </c>
      <c r="Q642" s="446">
        <f>IF(OR($B642="",MIN(Q$38,$D$19)&lt;MAX($P$612*($B642+IF($R$17="Distrato",$I$38-1,0)),IF(AND($L$615=0,$P$612=0),"",$L$615-1),IF($R$17="Distrato",$E642,0))),0,YEARFRAC(MAX($P$612*($B642+IF($R$17="Distrato",$I$38-1,0)),IF(AND($L$615=0,$P$612=0),"",$L$615-1),IF($R$17="Distrato",$E642,0)),MIN(Q$38,$D$19),$P$20))-SUM($P642:P642)</f>
        <v>0</v>
      </c>
      <c r="R642" s="446">
        <f>IF(OR($B642="",MIN(R$38,$D$19)&lt;MAX($P$612*($B642+IF($R$17="Distrato",$I$38-1,0)),IF(AND($L$615=0,$P$612=0),"",$L$615-1),IF($R$17="Distrato",$E642,0))),0,YEARFRAC(MAX($P$612*($B642+IF($R$17="Distrato",$I$38-1,0)),IF(AND($L$615=0,$P$612=0),"",$L$615-1),IF($R$17="Distrato",$E642,0)),MIN(R$38,$D$19),$P$20))-SUM($P642:Q642)</f>
        <v>0</v>
      </c>
      <c r="S642" s="446">
        <f>IF(OR($B642="",MIN(S$38,$D$19)&lt;MAX($P$612*($B642+IF($R$17="Distrato",$I$38-1,0)),IF(AND($L$615=0,$P$612=0),"",$L$615-1),IF($R$17="Distrato",$E642,0))),0,YEARFRAC(MAX($P$612*($B642+IF($R$17="Distrato",$I$38-1,0)),IF(AND($L$615=0,$P$612=0),"",$L$615-1),IF($R$17="Distrato",$E642,0)),MIN(S$38,$D$19),$P$20))-SUM($P642:R642)</f>
        <v>0</v>
      </c>
      <c r="T642" s="446">
        <f>IF(OR($B642="",MIN(T$38,$D$19)&lt;MAX($P$612*($B642+IF($R$17="Distrato",$I$38-1,0)),IF(AND($L$615=0,$P$612=0),"",$L$615-1),IF($R$17="Distrato",$E642,0))),0,YEARFRAC(MAX($P$612*($B642+IF($R$17="Distrato",$I$38-1,0)),IF(AND($L$615=0,$P$612=0),"",$L$615-1),IF($R$17="Distrato",$E642,0)),MIN(T$38,$D$19),$P$20))-SUM($P642:S642)</f>
        <v>0</v>
      </c>
      <c r="U642" s="446">
        <f>IF(OR($B642="",MIN(U$38,$D$19)&lt;MAX($P$612*($B642+IF($R$17="Distrato",$I$38-1,0)),IF(AND($L$615=0,$P$612=0),"",$L$615-1),IF($R$17="Distrato",$E642,0))),0,YEARFRAC(MAX($P$612*($B642+IF($R$17="Distrato",$I$38-1,0)),IF(AND($L$615=0,$P$612=0),"",$L$615-1),IF($R$17="Distrato",$E642,0)),MIN(U$38,$D$19),$P$20))-SUM($P642:T642)</f>
        <v>0</v>
      </c>
      <c r="V642" s="446">
        <f>IF(OR($B642="",MIN(V$38,$D$19)&lt;MAX($P$612*($B642+IF($R$17="Distrato",$I$38-1,0)),IF(AND($L$615=0,$P$612=0),"",$L$615-1),IF($R$17="Distrato",$E642,0))),0,YEARFRAC(MAX($P$612*($B642+IF($R$17="Distrato",$I$38-1,0)),IF(AND($L$615=0,$P$612=0),"",$L$615-1),IF($R$17="Distrato",$E642,0)),MIN(V$38,$D$19),$P$20))-SUM($P642:U642)</f>
        <v>0</v>
      </c>
      <c r="W642" s="446">
        <f>IF(OR($B642="",MIN(W$38,$D$19)&lt;MAX($P$612*($B642+IF($R$17="Distrato",$I$38-1,0)),IF(AND($L$615=0,$P$612=0),"",$L$615-1),IF($R$17="Distrato",$E642,0))),0,YEARFRAC(MAX($P$612*($B642+IF($R$17="Distrato",$I$38-1,0)),IF(AND($L$615=0,$P$612=0),"",$L$615-1),IF($R$17="Distrato",$E642,0)),MIN(W$38,$D$19),$P$20))-SUM($P642:V642)</f>
        <v>0</v>
      </c>
      <c r="X642" s="446">
        <f>IF(OR($B642="",MIN(X$38,$D$19)&lt;MAX($P$612*($B642+IF($R$17="Distrato",$I$38-1,0)),IF(AND($L$615=0,$P$612=0),"",$L$615-1),IF($R$17="Distrato",$E642,0))),0,YEARFRAC(MAX($P$612*($B642+IF($R$17="Distrato",$I$38-1,0)),IF(AND($L$615=0,$P$612=0),"",$L$615-1),IF($R$17="Distrato",$E642,0)),MIN(X$38,$D$19),$P$20))-SUM($P642:W642)</f>
        <v>0</v>
      </c>
      <c r="Y642" s="446">
        <f>IF(OR($B642="",MIN(Y$38,$D$19)&lt;MAX($P$612*($B642+IF($R$17="Distrato",$I$38-1,0)),IF(AND($L$615=0,$P$612=0),"",$L$615-1),IF($R$17="Distrato",$E642,0))),0,YEARFRAC(MAX($P$612*($B642+IF($R$17="Distrato",$I$38-1,0)),IF(AND($L$615=0,$P$612=0),"",$L$615-1),IF($R$17="Distrato",$E642,0)),MIN(Y$38,$D$19),$P$20))-SUM($P642:X642)</f>
        <v>0</v>
      </c>
      <c r="Z642" s="446">
        <f>IF(OR($B642="",MIN(Z$38,$D$19)&lt;MAX($P$612*($B642+IF($R$17="Distrato",$I$38-1,0)),IF(AND($L$615=0,$P$612=0),"",$L$615-1),IF($R$17="Distrato",$E642,0))),0,YEARFRAC(MAX($P$612*($B642+IF($R$17="Distrato",$I$38-1,0)),IF(AND($L$615=0,$P$612=0),"",$L$615-1),IF($R$17="Distrato",$E642,0)),MIN(Z$38,$D$19),$P$20))-SUM($P642:Y642)</f>
        <v>0</v>
      </c>
      <c r="AA642" s="446">
        <f>IF(OR($B642="",MIN(AA$38,$D$19)&lt;MAX($P$612*($B642+IF($R$17="Distrato",$I$38-1,0)),IF(AND($L$615=0,$P$612=0),"",$L$615-1),IF($R$17="Distrato",$E642,0))),0,YEARFRAC(MAX($P$612*($B642+IF($R$17="Distrato",$I$38-1,0)),IF(AND($L$615=0,$P$612=0),"",$L$615-1),IF($R$17="Distrato",$E642,0)),MIN(AA$38,$D$19),$P$20))-SUM($P642:Z642)</f>
        <v>0</v>
      </c>
      <c r="AB642" s="446">
        <f>IF(OR($B642="",MIN(AB$38,$D$19)&lt;MAX($P$612*($B642+IF($R$17="Distrato",$I$38-1,0)),IF(AND($L$615=0,$P$612=0),"",$L$615-1),IF($R$17="Distrato",$E642,0))),0,YEARFRAC(MAX($P$612*($B642+IF($R$17="Distrato",$I$38-1,0)),IF(AND($L$615=0,$P$612=0),"",$L$615-1),IF($R$17="Distrato",$E642,0)),MIN(AB$38,$D$19),$P$20))-SUM($P642:AA642)</f>
        <v>0</v>
      </c>
      <c r="AC642" s="446">
        <f>IF(OR($B642="",MIN(AC$38,$D$19)&lt;MAX($P$612*($B642+IF($R$17="Distrato",$I$38-1,0)),IF(AND($L$615=0,$P$612=0),"",$L$615-1),IF($R$17="Distrato",$E642,0))),0,YEARFRAC(MAX($P$612*($B642+IF($R$17="Distrato",$I$38-1,0)),IF(AND($L$615=0,$P$612=0),"",$L$615-1),IF($R$17="Distrato",$E642,0)),MIN(AC$38,$D$19),$P$20))-SUM($P642:AB642)</f>
        <v>0</v>
      </c>
      <c r="AD642" s="446">
        <f>IF(OR($B642="",MIN(AD$38,$D$19)&lt;MAX($P$612*($B642+IF($R$17="Distrato",$I$38-1,0)),IF(AND($L$615=0,$P$612=0),"",$L$615-1),IF($R$17="Distrato",$E642,0))),0,YEARFRAC(MAX($P$612*($B642+IF($R$17="Distrato",$I$38-1,0)),IF(AND($L$615=0,$P$612=0),"",$L$615-1),IF($R$17="Distrato",$E642,0)),MIN(AD$38,$D$19),$P$20))-SUM($P642:AC642)</f>
        <v>0</v>
      </c>
      <c r="AE642" s="446">
        <f>IF(OR($B642="",MIN(AE$38,$D$19)&lt;MAX($P$612*($B642+IF($R$17="Distrato",$I$38-1,0)),IF(AND($L$615=0,$P$612=0),"",$L$615-1),IF($R$17="Distrato",$E642,0))),0,YEARFRAC(MAX($P$612*($B642+IF($R$17="Distrato",$I$38-1,0)),IF(AND($L$615=0,$P$612=0),"",$L$615-1),IF($R$17="Distrato",$E642,0)),MIN(AE$38,$D$19),$P$20))-SUM($P642:AD642)</f>
        <v>0</v>
      </c>
      <c r="AF642" s="446">
        <f>IF(OR($B642="",MIN(AF$38,$D$19)&lt;MAX($P$612*($B642+IF($R$17="Distrato",$I$38-1,0)),IF(AND($L$615=0,$P$612=0),"",$L$615-1),IF($R$17="Distrato",$E642,0))),0,YEARFRAC(MAX($P$612*($B642+IF($R$17="Distrato",$I$38-1,0)),IF(AND($L$615=0,$P$612=0),"",$L$615-1),IF($R$17="Distrato",$E642,0)),MIN(AF$38,$D$19),$P$20))-SUM($P642:AE642)</f>
        <v>0</v>
      </c>
      <c r="AG642" s="446">
        <f>IF(OR($B642="",MIN(AG$38,$D$19)&lt;MAX($P$612*($B642+IF($R$17="Distrato",$I$38-1,0)),IF(AND($L$615=0,$P$612=0),"",$L$615-1),IF($R$17="Distrato",$E642,0))),0,YEARFRAC(MAX($P$612*($B642+IF($R$17="Distrato",$I$38-1,0)),IF(AND($L$615=0,$P$612=0),"",$L$615-1),IF($R$17="Distrato",$E642,0)),MIN(AG$38,$D$19),$P$20))-SUM($P642:AF642)</f>
        <v>0</v>
      </c>
      <c r="AH642" s="446">
        <f>IF(OR($B642="",MIN(AH$38,$D$19)&lt;MAX($P$612*($B642+IF($R$17="Distrato",$I$38-1,0)),IF(AND($L$615=0,$P$612=0),"",$L$615-1),IF($R$17="Distrato",$E642,0))),0,YEARFRAC(MAX($P$612*($B642+IF($R$17="Distrato",$I$38-1,0)),IF(AND($L$615=0,$P$612=0),"",$L$615-1),IF($R$17="Distrato",$E642,0)),MIN(AH$38,$D$19),$P$20))-SUM($P642:AG642)</f>
        <v>0</v>
      </c>
      <c r="AI642" s="446">
        <f>IF(OR($B642="",MIN(AI$38,$D$19)&lt;MAX($P$612*($B642+IF($R$17="Distrato",$I$38-1,0)),IF(AND($L$615=0,$P$612=0),"",$L$615-1),IF($R$17="Distrato",$E642,0))),0,YEARFRAC(MAX($P$612*($B642+IF($R$17="Distrato",$I$38-1,0)),IF(AND($L$615=0,$P$612=0),"",$L$615-1),IF($R$17="Distrato",$E642,0)),MIN(AI$38,$D$19),$P$20))-SUM($P642:AH642)</f>
        <v>0</v>
      </c>
      <c r="AJ642" s="446">
        <f>IF(OR($B642="",MIN(AJ$38,$D$19)&lt;MAX($P$612*($B642+IF($R$17="Distrato",$I$38-1,0)),IF(AND($L$615=0,$P$612=0),"",$L$615-1),IF($R$17="Distrato",$E642,0))),0,YEARFRAC(MAX($P$612*($B642+IF($R$17="Distrato",$I$38-1,0)),IF(AND($L$615=0,$P$612=0),"",$L$615-1),IF($R$17="Distrato",$E642,0)),MIN(AJ$38,$D$19),$P$20))-SUM($P642:AI642)</f>
        <v>0</v>
      </c>
      <c r="AK642" s="446">
        <f>IF(OR($B642="",MIN(AK$38,$D$19)&lt;MAX($P$612*($B642+IF($R$17="Distrato",$I$38-1,0)),IF(AND($L$615=0,$P$612=0),"",$L$615-1),IF($R$17="Distrato",$E642,0))),0,YEARFRAC(MAX($P$612*($B642+IF($R$17="Distrato",$I$38-1,0)),IF(AND($L$615=0,$P$612=0),"",$L$615-1),IF($R$17="Distrato",$E642,0)),MIN(AK$38,$D$19),$P$20))-SUM($P642:AJ642)</f>
        <v>0</v>
      </c>
      <c r="AL642" s="446">
        <f>IF(OR($B642="",MIN(AL$38,$D$19)&lt;MAX($P$612*($B642+IF($R$17="Distrato",$I$38-1,0)),IF(AND($L$615=0,$P$612=0),"",$L$615-1),IF($R$17="Distrato",$E642,0))),0,YEARFRAC(MAX($P$612*($B642+IF($R$17="Distrato",$I$38-1,0)),IF(AND($L$615=0,$P$612=0),"",$L$615-1),IF($R$17="Distrato",$E642,0)),MIN(AL$38,$D$19),$P$20))-SUM($P642:AK642)</f>
        <v>0</v>
      </c>
      <c r="AM642" s="446">
        <f>IF(OR($B642="",MIN(AM$38,$D$19)&lt;MAX($P$612*($B642+IF($R$17="Distrato",$I$38-1,0)),IF(AND($L$615=0,$P$612=0),"",$L$615-1),IF($R$17="Distrato",$E642,0))),0,YEARFRAC(MAX($P$612*($B642+IF($R$17="Distrato",$I$38-1,0)),IF(AND($L$615=0,$P$612=0),"",$L$615-1),IF($R$17="Distrato",$E642,0)),MIN(AM$38,$D$19),$P$20))-SUM($P642:AL642)</f>
        <v>0</v>
      </c>
      <c r="AN642" s="446">
        <f>IF(OR($B642="",MIN(AN$38,$D$19)&lt;MAX($P$612*($B642+IF($R$17="Distrato",$I$38-1,0)),IF(AND($L$615=0,$P$612=0),"",$L$615-1),IF($R$17="Distrato",$E642,0))),0,YEARFRAC(MAX($P$612*($B642+IF($R$17="Distrato",$I$38-1,0)),IF(AND($L$615=0,$P$612=0),"",$L$615-1),IF($R$17="Distrato",$E642,0)),MIN(AN$38,$D$19),$P$20))-SUM($P642:AM642)</f>
        <v>0</v>
      </c>
      <c r="AO642" s="446">
        <f>IF(OR($B642="",MIN(AO$38,$D$19)&lt;MAX($P$612*($B642+IF($R$17="Distrato",$I$38-1,0)),IF(AND($L$615=0,$P$612=0),"",$L$615-1),IF($R$17="Distrato",$E642,0))),0,YEARFRAC(MAX($P$612*($B642+IF($R$17="Distrato",$I$38-1,0)),IF(AND($L$615=0,$P$612=0),"",$L$615-1),IF($R$17="Distrato",$E642,0)),MIN(AO$38,$D$19),$P$20))-SUM($P642:AN642)</f>
        <v>0</v>
      </c>
      <c r="AP642" s="446">
        <f>IF(OR($B642="",MIN(AP$38,$D$19)&lt;MAX($P$612*($B642+IF($R$17="Distrato",$I$38-1,0)),IF(AND($L$615=0,$P$612=0),"",$L$615-1),IF($R$17="Distrato",$E642,0))),0,YEARFRAC(MAX($P$612*($B642+IF($R$17="Distrato",$I$38-1,0)),IF(AND($L$615=0,$P$612=0),"",$L$615-1),IF($R$17="Distrato",$E642,0)),MIN(AP$38,$D$19),$P$20))-SUM($P642:AO642)</f>
        <v>0</v>
      </c>
      <c r="AQ642" s="446">
        <f>IF(OR($B642="",MIN(AQ$38,$D$19)&lt;MAX($P$612*($B642+IF($R$17="Distrato",$I$38-1,0)),IF(AND($L$615=0,$P$612=0),"",$L$615-1),IF($R$17="Distrato",$E642,0))),0,YEARFRAC(MAX($P$612*($B642+IF($R$17="Distrato",$I$38-1,0)),IF(AND($L$615=0,$P$612=0),"",$L$615-1),IF($R$17="Distrato",$E642,0)),MIN(AQ$38,$D$19),$P$20))-SUM($P642:AP642)</f>
        <v>0</v>
      </c>
      <c r="AR642" s="446">
        <f>IF(OR($B642="",MIN(AR$38,$D$19)&lt;MAX($P$612*($B642+IF($R$17="Distrato",$I$38-1,0)),IF(AND($L$615=0,$P$612=0),"",$L$615-1),IF($R$17="Distrato",$E642,0))),0,YEARFRAC(MAX($P$612*($B642+IF($R$17="Distrato",$I$38-1,0)),IF(AND($L$615=0,$P$612=0),"",$L$615-1),IF($R$17="Distrato",$E642,0)),MIN(AR$38,$D$19),$P$20))-SUM($P642:AQ642)</f>
        <v>0</v>
      </c>
      <c r="AS642" s="446">
        <f>IF(OR($B642="",MIN(AS$38,$D$19)&lt;MAX($P$612*($B642+IF($R$17="Distrato",$I$38-1,0)),IF(AND($L$615=0,$P$612=0),"",$L$615-1),IF($R$17="Distrato",$E642,0))),0,YEARFRAC(MAX($P$612*($B642+IF($R$17="Distrato",$I$38-1,0)),IF(AND($L$615=0,$P$612=0),"",$L$615-1),IF($R$17="Distrato",$E642,0)),MIN(AS$38,$D$19),$P$20))-SUM($P642:AR642)</f>
        <v>0</v>
      </c>
      <c r="AT642" s="446">
        <f>IF(OR($B642="",MIN(AT$38,$D$19)&lt;MAX($P$612*($B642+IF($R$17="Distrato",$I$38-1,0)),IF(AND($L$615=0,$P$612=0),"",$L$615-1),IF($R$17="Distrato",$E642,0))),0,YEARFRAC(MAX($P$612*($B642+IF($R$17="Distrato",$I$38-1,0)),IF(AND($L$615=0,$P$612=0),"",$L$615-1),IF($R$17="Distrato",$E642,0)),MIN(AT$38,$D$19),$P$20))-SUM($P642:AS642)</f>
        <v>0</v>
      </c>
      <c r="AU642" s="446">
        <f>IF(OR($B642="",MIN(AU$38,$D$19)&lt;MAX($P$612*($B642+IF($R$17="Distrato",$I$38-1,0)),IF(AND($L$615=0,$P$612=0),"",$L$615-1),IF($R$17="Distrato",$E642,0))),0,YEARFRAC(MAX($P$612*($B642+IF($R$17="Distrato",$I$38-1,0)),IF(AND($L$615=0,$P$612=0),"",$L$615-1),IF($R$17="Distrato",$E642,0)),MIN(AU$38,$D$19),$P$20))-SUM($P642:AT642)</f>
        <v>0</v>
      </c>
      <c r="AV642" s="446">
        <f>IF(OR($B642="",MIN(AV$38,$D$19)&lt;MAX($P$612*($B642+IF($R$17="Distrato",$I$38-1,0)),IF(AND($L$615=0,$P$612=0),"",$L$615-1),IF($R$17="Distrato",$E642,0))),0,YEARFRAC(MAX($P$612*($B642+IF($R$17="Distrato",$I$38-1,0)),IF(AND($L$615=0,$P$612=0),"",$L$615-1),IF($R$17="Distrato",$E642,0)),MIN(AV$38,$D$19),$P$20))-SUM($P642:AU642)</f>
        <v>0</v>
      </c>
      <c r="AW642" s="446">
        <f>IF(OR($B642="",MIN(AW$38,$D$19)&lt;MAX($P$612*($B642+IF($R$17="Distrato",$I$38-1,0)),IF(AND($L$615=0,$P$612=0),"",$L$615-1),IF($R$17="Distrato",$E642,0))),0,YEARFRAC(MAX($P$612*($B642+IF($R$17="Distrato",$I$38-1,0)),IF(AND($L$615=0,$P$612=0),"",$L$615-1),IF($R$17="Distrato",$E642,0)),MIN(AW$38,$D$19),$P$20))-SUM($P642:AV642)</f>
        <v>0</v>
      </c>
      <c r="AX642" s="446">
        <f>IF(OR($B642="",MIN(AX$38,$D$19)&lt;MAX($P$612*($B642+IF($R$17="Distrato",$I$38-1,0)),IF(AND($L$615=0,$P$612=0),"",$L$615-1),IF($R$17="Distrato",$E642,0))),0,YEARFRAC(MAX($P$612*($B642+IF($R$17="Distrato",$I$38-1,0)),IF(AND($L$615=0,$P$612=0),"",$L$615-1),IF($R$17="Distrato",$E642,0)),MIN(AX$38,$D$19),$P$20))-SUM($P642:AW642)</f>
        <v>0</v>
      </c>
      <c r="AY642" s="446">
        <f>IF(OR($B642="",MIN(AY$38,$D$19)&lt;MAX($P$612*($B642+IF($R$17="Distrato",$I$38-1,0)),IF(AND($L$615=0,$P$612=0),"",$L$615-1),IF($R$17="Distrato",$E642,0))),0,YEARFRAC(MAX($P$612*($B642+IF($R$17="Distrato",$I$38-1,0)),IF(AND($L$615=0,$P$612=0),"",$L$615-1),IF($R$17="Distrato",$E642,0)),MIN(AY$38,$D$19),$P$20))-SUM($P642:AX642)</f>
        <v>0</v>
      </c>
      <c r="AZ642" s="446">
        <f>IF(OR($B642="",MIN(AZ$38,$D$19)&lt;MAX($P$612*($B642+IF($R$17="Distrato",$I$38-1,0)),IF(AND($L$615=0,$P$612=0),"",$L$615-1),IF($R$17="Distrato",$E642,0))),0,YEARFRAC(MAX($P$612*($B642+IF($R$17="Distrato",$I$38-1,0)),IF(AND($L$615=0,$P$612=0),"",$L$615-1),IF($R$17="Distrato",$E642,0)),MIN(AZ$38,$D$19),$P$20))-SUM($P642:AY642)</f>
        <v>0</v>
      </c>
      <c r="BA642" s="446">
        <f>IF(OR($B642="",MIN(BA$38,$D$19)&lt;MAX($P$612*($B642+IF($R$17="Distrato",$I$38-1,0)),IF(AND($L$615=0,$P$612=0),"",$L$615-1),IF($R$17="Distrato",$E642,0))),0,YEARFRAC(MAX($P$612*($B642+IF($R$17="Distrato",$I$38-1,0)),IF(AND($L$615=0,$P$612=0),"",$L$615-1),IF($R$17="Distrato",$E642,0)),MIN(BA$38,$D$19),$P$20))-SUM($P642:AZ642)</f>
        <v>0</v>
      </c>
      <c r="BB642" s="447"/>
    </row>
    <row r="643" spans="1:54" s="446" customFormat="1" ht="11.25" hidden="1" x14ac:dyDescent="0.2">
      <c r="A643" s="177"/>
      <c r="B643" s="178"/>
      <c r="C643" s="29" t="str">
        <f>IF(B643="","",IF($L$613="SELIC - TRIBUTOS",VLOOKUP(DATE(YEAR($D$19),MONTH($D$19)-1,1),ÍNDICES!$A:$DE,HLOOKUP($BL$25,ÍNDICES!$B$3:$T$4,2)+11)-VLOOKUP(B643,ÍNDICES!$A:$DE,HLOOKUP($BL$25,ÍNDICES!$B$3:$T$4,2)+11)+1%,IF(C$616=$W$26,$J$613,IF(ISERROR(IF(B643&gt;$D$19,1,VLOOKUP(DATE(YEAR(B643),MONTH(B643)+IF($C$613=$S$23,1,0),1),ÍNDICES!$A:$DE,$Z$613+1))),"",IF(B643&gt;$D$19,1,VLOOKUP(DATE(YEAR(B643),MONTH(B643)+IF($C$613=$S$23,1,0),1),ÍNDICES!$A:$DE,$Z$613+1))))))</f>
        <v/>
      </c>
      <c r="D643" s="155"/>
      <c r="E643" s="179"/>
      <c r="F643" s="29"/>
      <c r="G643" s="180"/>
      <c r="H643" s="181"/>
      <c r="I643" s="182" t="str">
        <f t="shared" si="107"/>
        <v/>
      </c>
      <c r="J643" s="5" t="str">
        <f t="shared" si="108"/>
        <v/>
      </c>
      <c r="K643" s="5">
        <f t="shared" ca="1" si="109"/>
        <v>0</v>
      </c>
      <c r="L643" s="5">
        <f t="shared" ca="1" si="104"/>
        <v>0</v>
      </c>
      <c r="M643" s="64">
        <f t="shared" si="110"/>
        <v>0</v>
      </c>
      <c r="N643" s="61">
        <f t="shared" ca="1" si="105"/>
        <v>0</v>
      </c>
      <c r="O643" s="20">
        <f t="shared" ca="1" si="106"/>
        <v>0</v>
      </c>
      <c r="P643" s="446">
        <f t="shared" si="111"/>
        <v>0</v>
      </c>
      <c r="Q643" s="446">
        <f>IF(OR($B643="",MIN(Q$38,$D$19)&lt;MAX($P$612*($B643+IF($R$17="Distrato",$I$38-1,0)),IF(AND($L$615=0,$P$612=0),"",$L$615-1),IF($R$17="Distrato",$E643,0))),0,YEARFRAC(MAX($P$612*($B643+IF($R$17="Distrato",$I$38-1,0)),IF(AND($L$615=0,$P$612=0),"",$L$615-1),IF($R$17="Distrato",$E643,0)),MIN(Q$38,$D$19),$P$20))-SUM($P643:P643)</f>
        <v>0</v>
      </c>
      <c r="R643" s="446">
        <f>IF(OR($B643="",MIN(R$38,$D$19)&lt;MAX($P$612*($B643+IF($R$17="Distrato",$I$38-1,0)),IF(AND($L$615=0,$P$612=0),"",$L$615-1),IF($R$17="Distrato",$E643,0))),0,YEARFRAC(MAX($P$612*($B643+IF($R$17="Distrato",$I$38-1,0)),IF(AND($L$615=0,$P$612=0),"",$L$615-1),IF($R$17="Distrato",$E643,0)),MIN(R$38,$D$19),$P$20))-SUM($P643:Q643)</f>
        <v>0</v>
      </c>
      <c r="S643" s="446">
        <f>IF(OR($B643="",MIN(S$38,$D$19)&lt;MAX($P$612*($B643+IF($R$17="Distrato",$I$38-1,0)),IF(AND($L$615=0,$P$612=0),"",$L$615-1),IF($R$17="Distrato",$E643,0))),0,YEARFRAC(MAX($P$612*($B643+IF($R$17="Distrato",$I$38-1,0)),IF(AND($L$615=0,$P$612=0),"",$L$615-1),IF($R$17="Distrato",$E643,0)),MIN(S$38,$D$19),$P$20))-SUM($P643:R643)</f>
        <v>0</v>
      </c>
      <c r="T643" s="446">
        <f>IF(OR($B643="",MIN(T$38,$D$19)&lt;MAX($P$612*($B643+IF($R$17="Distrato",$I$38-1,0)),IF(AND($L$615=0,$P$612=0),"",$L$615-1),IF($R$17="Distrato",$E643,0))),0,YEARFRAC(MAX($P$612*($B643+IF($R$17="Distrato",$I$38-1,0)),IF(AND($L$615=0,$P$612=0),"",$L$615-1),IF($R$17="Distrato",$E643,0)),MIN(T$38,$D$19),$P$20))-SUM($P643:S643)</f>
        <v>0</v>
      </c>
      <c r="U643" s="446">
        <f>IF(OR($B643="",MIN(U$38,$D$19)&lt;MAX($P$612*($B643+IF($R$17="Distrato",$I$38-1,0)),IF(AND($L$615=0,$P$612=0),"",$L$615-1),IF($R$17="Distrato",$E643,0))),0,YEARFRAC(MAX($P$612*($B643+IF($R$17="Distrato",$I$38-1,0)),IF(AND($L$615=0,$P$612=0),"",$L$615-1),IF($R$17="Distrato",$E643,0)),MIN(U$38,$D$19),$P$20))-SUM($P643:T643)</f>
        <v>0</v>
      </c>
      <c r="V643" s="446">
        <f>IF(OR($B643="",MIN(V$38,$D$19)&lt;MAX($P$612*($B643+IF($R$17="Distrato",$I$38-1,0)),IF(AND($L$615=0,$P$612=0),"",$L$615-1),IF($R$17="Distrato",$E643,0))),0,YEARFRAC(MAX($P$612*($B643+IF($R$17="Distrato",$I$38-1,0)),IF(AND($L$615=0,$P$612=0),"",$L$615-1),IF($R$17="Distrato",$E643,0)),MIN(V$38,$D$19),$P$20))-SUM($P643:U643)</f>
        <v>0</v>
      </c>
      <c r="W643" s="446">
        <f>IF(OR($B643="",MIN(W$38,$D$19)&lt;MAX($P$612*($B643+IF($R$17="Distrato",$I$38-1,0)),IF(AND($L$615=0,$P$612=0),"",$L$615-1),IF($R$17="Distrato",$E643,0))),0,YEARFRAC(MAX($P$612*($B643+IF($R$17="Distrato",$I$38-1,0)),IF(AND($L$615=0,$P$612=0),"",$L$615-1),IF($R$17="Distrato",$E643,0)),MIN(W$38,$D$19),$P$20))-SUM($P643:V643)</f>
        <v>0</v>
      </c>
      <c r="X643" s="446">
        <f>IF(OR($B643="",MIN(X$38,$D$19)&lt;MAX($P$612*($B643+IF($R$17="Distrato",$I$38-1,0)),IF(AND($L$615=0,$P$612=0),"",$L$615-1),IF($R$17="Distrato",$E643,0))),0,YEARFRAC(MAX($P$612*($B643+IF($R$17="Distrato",$I$38-1,0)),IF(AND($L$615=0,$P$612=0),"",$L$615-1),IF($R$17="Distrato",$E643,0)),MIN(X$38,$D$19),$P$20))-SUM($P643:W643)</f>
        <v>0</v>
      </c>
      <c r="Y643" s="446">
        <f>IF(OR($B643="",MIN(Y$38,$D$19)&lt;MAX($P$612*($B643+IF($R$17="Distrato",$I$38-1,0)),IF(AND($L$615=0,$P$612=0),"",$L$615-1),IF($R$17="Distrato",$E643,0))),0,YEARFRAC(MAX($P$612*($B643+IF($R$17="Distrato",$I$38-1,0)),IF(AND($L$615=0,$P$612=0),"",$L$615-1),IF($R$17="Distrato",$E643,0)),MIN(Y$38,$D$19),$P$20))-SUM($P643:X643)</f>
        <v>0</v>
      </c>
      <c r="Z643" s="446">
        <f>IF(OR($B643="",MIN(Z$38,$D$19)&lt;MAX($P$612*($B643+IF($R$17="Distrato",$I$38-1,0)),IF(AND($L$615=0,$P$612=0),"",$L$615-1),IF($R$17="Distrato",$E643,0))),0,YEARFRAC(MAX($P$612*($B643+IF($R$17="Distrato",$I$38-1,0)),IF(AND($L$615=0,$P$612=0),"",$L$615-1),IF($R$17="Distrato",$E643,0)),MIN(Z$38,$D$19),$P$20))-SUM($P643:Y643)</f>
        <v>0</v>
      </c>
      <c r="AA643" s="446">
        <f>IF(OR($B643="",MIN(AA$38,$D$19)&lt;MAX($P$612*($B643+IF($R$17="Distrato",$I$38-1,0)),IF(AND($L$615=0,$P$612=0),"",$L$615-1),IF($R$17="Distrato",$E643,0))),0,YEARFRAC(MAX($P$612*($B643+IF($R$17="Distrato",$I$38-1,0)),IF(AND($L$615=0,$P$612=0),"",$L$615-1),IF($R$17="Distrato",$E643,0)),MIN(AA$38,$D$19),$P$20))-SUM($P643:Z643)</f>
        <v>0</v>
      </c>
      <c r="AB643" s="446">
        <f>IF(OR($B643="",MIN(AB$38,$D$19)&lt;MAX($P$612*($B643+IF($R$17="Distrato",$I$38-1,0)),IF(AND($L$615=0,$P$612=0),"",$L$615-1),IF($R$17="Distrato",$E643,0))),0,YEARFRAC(MAX($P$612*($B643+IF($R$17="Distrato",$I$38-1,0)),IF(AND($L$615=0,$P$612=0),"",$L$615-1),IF($R$17="Distrato",$E643,0)),MIN(AB$38,$D$19),$P$20))-SUM($P643:AA643)</f>
        <v>0</v>
      </c>
      <c r="AC643" s="446">
        <f>IF(OR($B643="",MIN(AC$38,$D$19)&lt;MAX($P$612*($B643+IF($R$17="Distrato",$I$38-1,0)),IF(AND($L$615=0,$P$612=0),"",$L$615-1),IF($R$17="Distrato",$E643,0))),0,YEARFRAC(MAX($P$612*($B643+IF($R$17="Distrato",$I$38-1,0)),IF(AND($L$615=0,$P$612=0),"",$L$615-1),IF($R$17="Distrato",$E643,0)),MIN(AC$38,$D$19),$P$20))-SUM($P643:AB643)</f>
        <v>0</v>
      </c>
      <c r="AD643" s="446">
        <f>IF(OR($B643="",MIN(AD$38,$D$19)&lt;MAX($P$612*($B643+IF($R$17="Distrato",$I$38-1,0)),IF(AND($L$615=0,$P$612=0),"",$L$615-1),IF($R$17="Distrato",$E643,0))),0,YEARFRAC(MAX($P$612*($B643+IF($R$17="Distrato",$I$38-1,0)),IF(AND($L$615=0,$P$612=0),"",$L$615-1),IF($R$17="Distrato",$E643,0)),MIN(AD$38,$D$19),$P$20))-SUM($P643:AC643)</f>
        <v>0</v>
      </c>
      <c r="AE643" s="446">
        <f>IF(OR($B643="",MIN(AE$38,$D$19)&lt;MAX($P$612*($B643+IF($R$17="Distrato",$I$38-1,0)),IF(AND($L$615=0,$P$612=0),"",$L$615-1),IF($R$17="Distrato",$E643,0))),0,YEARFRAC(MAX($P$612*($B643+IF($R$17="Distrato",$I$38-1,0)),IF(AND($L$615=0,$P$612=0),"",$L$615-1),IF($R$17="Distrato",$E643,0)),MIN(AE$38,$D$19),$P$20))-SUM($P643:AD643)</f>
        <v>0</v>
      </c>
      <c r="AF643" s="446">
        <f>IF(OR($B643="",MIN(AF$38,$D$19)&lt;MAX($P$612*($B643+IF($R$17="Distrato",$I$38-1,0)),IF(AND($L$615=0,$P$612=0),"",$L$615-1),IF($R$17="Distrato",$E643,0))),0,YEARFRAC(MAX($P$612*($B643+IF($R$17="Distrato",$I$38-1,0)),IF(AND($L$615=0,$P$612=0),"",$L$615-1),IF($R$17="Distrato",$E643,0)),MIN(AF$38,$D$19),$P$20))-SUM($P643:AE643)</f>
        <v>0</v>
      </c>
      <c r="AG643" s="446">
        <f>IF(OR($B643="",MIN(AG$38,$D$19)&lt;MAX($P$612*($B643+IF($R$17="Distrato",$I$38-1,0)),IF(AND($L$615=0,$P$612=0),"",$L$615-1),IF($R$17="Distrato",$E643,0))),0,YEARFRAC(MAX($P$612*($B643+IF($R$17="Distrato",$I$38-1,0)),IF(AND($L$615=0,$P$612=0),"",$L$615-1),IF($R$17="Distrato",$E643,0)),MIN(AG$38,$D$19),$P$20))-SUM($P643:AF643)</f>
        <v>0</v>
      </c>
      <c r="AH643" s="446">
        <f>IF(OR($B643="",MIN(AH$38,$D$19)&lt;MAX($P$612*($B643+IF($R$17="Distrato",$I$38-1,0)),IF(AND($L$615=0,$P$612=0),"",$L$615-1),IF($R$17="Distrato",$E643,0))),0,YEARFRAC(MAX($P$612*($B643+IF($R$17="Distrato",$I$38-1,0)),IF(AND($L$615=0,$P$612=0),"",$L$615-1),IF($R$17="Distrato",$E643,0)),MIN(AH$38,$D$19),$P$20))-SUM($P643:AG643)</f>
        <v>0</v>
      </c>
      <c r="AI643" s="446">
        <f>IF(OR($B643="",MIN(AI$38,$D$19)&lt;MAX($P$612*($B643+IF($R$17="Distrato",$I$38-1,0)),IF(AND($L$615=0,$P$612=0),"",$L$615-1),IF($R$17="Distrato",$E643,0))),0,YEARFRAC(MAX($P$612*($B643+IF($R$17="Distrato",$I$38-1,0)),IF(AND($L$615=0,$P$612=0),"",$L$615-1),IF($R$17="Distrato",$E643,0)),MIN(AI$38,$D$19),$P$20))-SUM($P643:AH643)</f>
        <v>0</v>
      </c>
      <c r="AJ643" s="446">
        <f>IF(OR($B643="",MIN(AJ$38,$D$19)&lt;MAX($P$612*($B643+IF($R$17="Distrato",$I$38-1,0)),IF(AND($L$615=0,$P$612=0),"",$L$615-1),IF($R$17="Distrato",$E643,0))),0,YEARFRAC(MAX($P$612*($B643+IF($R$17="Distrato",$I$38-1,0)),IF(AND($L$615=0,$P$612=0),"",$L$615-1),IF($R$17="Distrato",$E643,0)),MIN(AJ$38,$D$19),$P$20))-SUM($P643:AI643)</f>
        <v>0</v>
      </c>
      <c r="AK643" s="446">
        <f>IF(OR($B643="",MIN(AK$38,$D$19)&lt;MAX($P$612*($B643+IF($R$17="Distrato",$I$38-1,0)),IF(AND($L$615=0,$P$612=0),"",$L$615-1),IF($R$17="Distrato",$E643,0))),0,YEARFRAC(MAX($P$612*($B643+IF($R$17="Distrato",$I$38-1,0)),IF(AND($L$615=0,$P$612=0),"",$L$615-1),IF($R$17="Distrato",$E643,0)),MIN(AK$38,$D$19),$P$20))-SUM($P643:AJ643)</f>
        <v>0</v>
      </c>
      <c r="AL643" s="446">
        <f>IF(OR($B643="",MIN(AL$38,$D$19)&lt;MAX($P$612*($B643+IF($R$17="Distrato",$I$38-1,0)),IF(AND($L$615=0,$P$612=0),"",$L$615-1),IF($R$17="Distrato",$E643,0))),0,YEARFRAC(MAX($P$612*($B643+IF($R$17="Distrato",$I$38-1,0)),IF(AND($L$615=0,$P$612=0),"",$L$615-1),IF($R$17="Distrato",$E643,0)),MIN(AL$38,$D$19),$P$20))-SUM($P643:AK643)</f>
        <v>0</v>
      </c>
      <c r="AM643" s="446">
        <f>IF(OR($B643="",MIN(AM$38,$D$19)&lt;MAX($P$612*($B643+IF($R$17="Distrato",$I$38-1,0)),IF(AND($L$615=0,$P$612=0),"",$L$615-1),IF($R$17="Distrato",$E643,0))),0,YEARFRAC(MAX($P$612*($B643+IF($R$17="Distrato",$I$38-1,0)),IF(AND($L$615=0,$P$612=0),"",$L$615-1),IF($R$17="Distrato",$E643,0)),MIN(AM$38,$D$19),$P$20))-SUM($P643:AL643)</f>
        <v>0</v>
      </c>
      <c r="AN643" s="446">
        <f>IF(OR($B643="",MIN(AN$38,$D$19)&lt;MAX($P$612*($B643+IF($R$17="Distrato",$I$38-1,0)),IF(AND($L$615=0,$P$612=0),"",$L$615-1),IF($R$17="Distrato",$E643,0))),0,YEARFRAC(MAX($P$612*($B643+IF($R$17="Distrato",$I$38-1,0)),IF(AND($L$615=0,$P$612=0),"",$L$615-1),IF($R$17="Distrato",$E643,0)),MIN(AN$38,$D$19),$P$20))-SUM($P643:AM643)</f>
        <v>0</v>
      </c>
      <c r="AO643" s="446">
        <f>IF(OR($B643="",MIN(AO$38,$D$19)&lt;MAX($P$612*($B643+IF($R$17="Distrato",$I$38-1,0)),IF(AND($L$615=0,$P$612=0),"",$L$615-1),IF($R$17="Distrato",$E643,0))),0,YEARFRAC(MAX($P$612*($B643+IF($R$17="Distrato",$I$38-1,0)),IF(AND($L$615=0,$P$612=0),"",$L$615-1),IF($R$17="Distrato",$E643,0)),MIN(AO$38,$D$19),$P$20))-SUM($P643:AN643)</f>
        <v>0</v>
      </c>
      <c r="AP643" s="446">
        <f>IF(OR($B643="",MIN(AP$38,$D$19)&lt;MAX($P$612*($B643+IF($R$17="Distrato",$I$38-1,0)),IF(AND($L$615=0,$P$612=0),"",$L$615-1),IF($R$17="Distrato",$E643,0))),0,YEARFRAC(MAX($P$612*($B643+IF($R$17="Distrato",$I$38-1,0)),IF(AND($L$615=0,$P$612=0),"",$L$615-1),IF($R$17="Distrato",$E643,0)),MIN(AP$38,$D$19),$P$20))-SUM($P643:AO643)</f>
        <v>0</v>
      </c>
      <c r="AQ643" s="446">
        <f>IF(OR($B643="",MIN(AQ$38,$D$19)&lt;MAX($P$612*($B643+IF($R$17="Distrato",$I$38-1,0)),IF(AND($L$615=0,$P$612=0),"",$L$615-1),IF($R$17="Distrato",$E643,0))),0,YEARFRAC(MAX($P$612*($B643+IF($R$17="Distrato",$I$38-1,0)),IF(AND($L$615=0,$P$612=0),"",$L$615-1),IF($R$17="Distrato",$E643,0)),MIN(AQ$38,$D$19),$P$20))-SUM($P643:AP643)</f>
        <v>0</v>
      </c>
      <c r="AR643" s="446">
        <f>IF(OR($B643="",MIN(AR$38,$D$19)&lt;MAX($P$612*($B643+IF($R$17="Distrato",$I$38-1,0)),IF(AND($L$615=0,$P$612=0),"",$L$615-1),IF($R$17="Distrato",$E643,0))),0,YEARFRAC(MAX($P$612*($B643+IF($R$17="Distrato",$I$38-1,0)),IF(AND($L$615=0,$P$612=0),"",$L$615-1),IF($R$17="Distrato",$E643,0)),MIN(AR$38,$D$19),$P$20))-SUM($P643:AQ643)</f>
        <v>0</v>
      </c>
      <c r="AS643" s="446">
        <f>IF(OR($B643="",MIN(AS$38,$D$19)&lt;MAX($P$612*($B643+IF($R$17="Distrato",$I$38-1,0)),IF(AND($L$615=0,$P$612=0),"",$L$615-1),IF($R$17="Distrato",$E643,0))),0,YEARFRAC(MAX($P$612*($B643+IF($R$17="Distrato",$I$38-1,0)),IF(AND($L$615=0,$P$612=0),"",$L$615-1),IF($R$17="Distrato",$E643,0)),MIN(AS$38,$D$19),$P$20))-SUM($P643:AR643)</f>
        <v>0</v>
      </c>
      <c r="AT643" s="446">
        <f>IF(OR($B643="",MIN(AT$38,$D$19)&lt;MAX($P$612*($B643+IF($R$17="Distrato",$I$38-1,0)),IF(AND($L$615=0,$P$612=0),"",$L$615-1),IF($R$17="Distrato",$E643,0))),0,YEARFRAC(MAX($P$612*($B643+IF($R$17="Distrato",$I$38-1,0)),IF(AND($L$615=0,$P$612=0),"",$L$615-1),IF($R$17="Distrato",$E643,0)),MIN(AT$38,$D$19),$P$20))-SUM($P643:AS643)</f>
        <v>0</v>
      </c>
      <c r="AU643" s="446">
        <f>IF(OR($B643="",MIN(AU$38,$D$19)&lt;MAX($P$612*($B643+IF($R$17="Distrato",$I$38-1,0)),IF(AND($L$615=0,$P$612=0),"",$L$615-1),IF($R$17="Distrato",$E643,0))),0,YEARFRAC(MAX($P$612*($B643+IF($R$17="Distrato",$I$38-1,0)),IF(AND($L$615=0,$P$612=0),"",$L$615-1),IF($R$17="Distrato",$E643,0)),MIN(AU$38,$D$19),$P$20))-SUM($P643:AT643)</f>
        <v>0</v>
      </c>
      <c r="AV643" s="446">
        <f>IF(OR($B643="",MIN(AV$38,$D$19)&lt;MAX($P$612*($B643+IF($R$17="Distrato",$I$38-1,0)),IF(AND($L$615=0,$P$612=0),"",$L$615-1),IF($R$17="Distrato",$E643,0))),0,YEARFRAC(MAX($P$612*($B643+IF($R$17="Distrato",$I$38-1,0)),IF(AND($L$615=0,$P$612=0),"",$L$615-1),IF($R$17="Distrato",$E643,0)),MIN(AV$38,$D$19),$P$20))-SUM($P643:AU643)</f>
        <v>0</v>
      </c>
      <c r="AW643" s="446">
        <f>IF(OR($B643="",MIN(AW$38,$D$19)&lt;MAX($P$612*($B643+IF($R$17="Distrato",$I$38-1,0)),IF(AND($L$615=0,$P$612=0),"",$L$615-1),IF($R$17="Distrato",$E643,0))),0,YEARFRAC(MAX($P$612*($B643+IF($R$17="Distrato",$I$38-1,0)),IF(AND($L$615=0,$P$612=0),"",$L$615-1),IF($R$17="Distrato",$E643,0)),MIN(AW$38,$D$19),$P$20))-SUM($P643:AV643)</f>
        <v>0</v>
      </c>
      <c r="AX643" s="446">
        <f>IF(OR($B643="",MIN(AX$38,$D$19)&lt;MAX($P$612*($B643+IF($R$17="Distrato",$I$38-1,0)),IF(AND($L$615=0,$P$612=0),"",$L$615-1),IF($R$17="Distrato",$E643,0))),0,YEARFRAC(MAX($P$612*($B643+IF($R$17="Distrato",$I$38-1,0)),IF(AND($L$615=0,$P$612=0),"",$L$615-1),IF($R$17="Distrato",$E643,0)),MIN(AX$38,$D$19),$P$20))-SUM($P643:AW643)</f>
        <v>0</v>
      </c>
      <c r="AY643" s="446">
        <f>IF(OR($B643="",MIN(AY$38,$D$19)&lt;MAX($P$612*($B643+IF($R$17="Distrato",$I$38-1,0)),IF(AND($L$615=0,$P$612=0),"",$L$615-1),IF($R$17="Distrato",$E643,0))),0,YEARFRAC(MAX($P$612*($B643+IF($R$17="Distrato",$I$38-1,0)),IF(AND($L$615=0,$P$612=0),"",$L$615-1),IF($R$17="Distrato",$E643,0)),MIN(AY$38,$D$19),$P$20))-SUM($P643:AX643)</f>
        <v>0</v>
      </c>
      <c r="AZ643" s="446">
        <f>IF(OR($B643="",MIN(AZ$38,$D$19)&lt;MAX($P$612*($B643+IF($R$17="Distrato",$I$38-1,0)),IF(AND($L$615=0,$P$612=0),"",$L$615-1),IF($R$17="Distrato",$E643,0))),0,YEARFRAC(MAX($P$612*($B643+IF($R$17="Distrato",$I$38-1,0)),IF(AND($L$615=0,$P$612=0),"",$L$615-1),IF($R$17="Distrato",$E643,0)),MIN(AZ$38,$D$19),$P$20))-SUM($P643:AY643)</f>
        <v>0</v>
      </c>
      <c r="BA643" s="446">
        <f>IF(OR($B643="",MIN(BA$38,$D$19)&lt;MAX($P$612*($B643+IF($R$17="Distrato",$I$38-1,0)),IF(AND($L$615=0,$P$612=0),"",$L$615-1),IF($R$17="Distrato",$E643,0))),0,YEARFRAC(MAX($P$612*($B643+IF($R$17="Distrato",$I$38-1,0)),IF(AND($L$615=0,$P$612=0),"",$L$615-1),IF($R$17="Distrato",$E643,0)),MIN(BA$38,$D$19),$P$20))-SUM($P643:AZ643)</f>
        <v>0</v>
      </c>
      <c r="BB643" s="447"/>
    </row>
    <row r="644" spans="1:54" s="446" customFormat="1" ht="11.25" hidden="1" x14ac:dyDescent="0.2">
      <c r="A644" s="177"/>
      <c r="B644" s="178"/>
      <c r="C644" s="29" t="str">
        <f>IF(B644="","",IF($L$613="SELIC - TRIBUTOS",VLOOKUP(DATE(YEAR($D$19),MONTH($D$19)-1,1),ÍNDICES!$A:$DE,HLOOKUP($BL$25,ÍNDICES!$B$3:$T$4,2)+11)-VLOOKUP(B644,ÍNDICES!$A:$DE,HLOOKUP($BL$25,ÍNDICES!$B$3:$T$4,2)+11)+1%,IF(C$616=$W$26,$J$613,IF(ISERROR(IF(B644&gt;$D$19,1,VLOOKUP(DATE(YEAR(B644),MONTH(B644)+IF($C$613=$S$23,1,0),1),ÍNDICES!$A:$DE,$Z$613+1))),"",IF(B644&gt;$D$19,1,VLOOKUP(DATE(YEAR(B644),MONTH(B644)+IF($C$613=$S$23,1,0),1),ÍNDICES!$A:$DE,$Z$613+1))))))</f>
        <v/>
      </c>
      <c r="D644" s="155"/>
      <c r="E644" s="179"/>
      <c r="F644" s="29"/>
      <c r="G644" s="180"/>
      <c r="H644" s="181"/>
      <c r="I644" s="182" t="str">
        <f t="shared" si="107"/>
        <v/>
      </c>
      <c r="J644" s="5" t="str">
        <f t="shared" si="108"/>
        <v/>
      </c>
      <c r="K644" s="5">
        <f t="shared" ca="1" si="109"/>
        <v>0</v>
      </c>
      <c r="L644" s="5">
        <f t="shared" ca="1" si="104"/>
        <v>0</v>
      </c>
      <c r="M644" s="64">
        <f t="shared" si="110"/>
        <v>0</v>
      </c>
      <c r="N644" s="61">
        <f t="shared" ca="1" si="105"/>
        <v>0</v>
      </c>
      <c r="O644" s="20">
        <f t="shared" ca="1" si="106"/>
        <v>0</v>
      </c>
      <c r="P644" s="446">
        <f t="shared" si="111"/>
        <v>0</v>
      </c>
      <c r="Q644" s="446">
        <f>IF(OR($B644="",MIN(Q$38,$D$19)&lt;MAX($P$612*($B644+IF($R$17="Distrato",$I$38-1,0)),IF(AND($L$615=0,$P$612=0),"",$L$615-1),IF($R$17="Distrato",$E644,0))),0,YEARFRAC(MAX($P$612*($B644+IF($R$17="Distrato",$I$38-1,0)),IF(AND($L$615=0,$P$612=0),"",$L$615-1),IF($R$17="Distrato",$E644,0)),MIN(Q$38,$D$19),$P$20))-SUM($P644:P644)</f>
        <v>0</v>
      </c>
      <c r="R644" s="446">
        <f>IF(OR($B644="",MIN(R$38,$D$19)&lt;MAX($P$612*($B644+IF($R$17="Distrato",$I$38-1,0)),IF(AND($L$615=0,$P$612=0),"",$L$615-1),IF($R$17="Distrato",$E644,0))),0,YEARFRAC(MAX($P$612*($B644+IF($R$17="Distrato",$I$38-1,0)),IF(AND($L$615=0,$P$612=0),"",$L$615-1),IF($R$17="Distrato",$E644,0)),MIN(R$38,$D$19),$P$20))-SUM($P644:Q644)</f>
        <v>0</v>
      </c>
      <c r="S644" s="446">
        <f>IF(OR($B644="",MIN(S$38,$D$19)&lt;MAX($P$612*($B644+IF($R$17="Distrato",$I$38-1,0)),IF(AND($L$615=0,$P$612=0),"",$L$615-1),IF($R$17="Distrato",$E644,0))),0,YEARFRAC(MAX($P$612*($B644+IF($R$17="Distrato",$I$38-1,0)),IF(AND($L$615=0,$P$612=0),"",$L$615-1),IF($R$17="Distrato",$E644,0)),MIN(S$38,$D$19),$P$20))-SUM($P644:R644)</f>
        <v>0</v>
      </c>
      <c r="T644" s="446">
        <f>IF(OR($B644="",MIN(T$38,$D$19)&lt;MAX($P$612*($B644+IF($R$17="Distrato",$I$38-1,0)),IF(AND($L$615=0,$P$612=0),"",$L$615-1),IF($R$17="Distrato",$E644,0))),0,YEARFRAC(MAX($P$612*($B644+IF($R$17="Distrato",$I$38-1,0)),IF(AND($L$615=0,$P$612=0),"",$L$615-1),IF($R$17="Distrato",$E644,0)),MIN(T$38,$D$19),$P$20))-SUM($P644:S644)</f>
        <v>0</v>
      </c>
      <c r="U644" s="446">
        <f>IF(OR($B644="",MIN(U$38,$D$19)&lt;MAX($P$612*($B644+IF($R$17="Distrato",$I$38-1,0)),IF(AND($L$615=0,$P$612=0),"",$L$615-1),IF($R$17="Distrato",$E644,0))),0,YEARFRAC(MAX($P$612*($B644+IF($R$17="Distrato",$I$38-1,0)),IF(AND($L$615=0,$P$612=0),"",$L$615-1),IF($R$17="Distrato",$E644,0)),MIN(U$38,$D$19),$P$20))-SUM($P644:T644)</f>
        <v>0</v>
      </c>
      <c r="V644" s="446">
        <f>IF(OR($B644="",MIN(V$38,$D$19)&lt;MAX($P$612*($B644+IF($R$17="Distrato",$I$38-1,0)),IF(AND($L$615=0,$P$612=0),"",$L$615-1),IF($R$17="Distrato",$E644,0))),0,YEARFRAC(MAX($P$612*($B644+IF($R$17="Distrato",$I$38-1,0)),IF(AND($L$615=0,$P$612=0),"",$L$615-1),IF($R$17="Distrato",$E644,0)),MIN(V$38,$D$19),$P$20))-SUM($P644:U644)</f>
        <v>0</v>
      </c>
      <c r="W644" s="446">
        <f>IF(OR($B644="",MIN(W$38,$D$19)&lt;MAX($P$612*($B644+IF($R$17="Distrato",$I$38-1,0)),IF(AND($L$615=0,$P$612=0),"",$L$615-1),IF($R$17="Distrato",$E644,0))),0,YEARFRAC(MAX($P$612*($B644+IF($R$17="Distrato",$I$38-1,0)),IF(AND($L$615=0,$P$612=0),"",$L$615-1),IF($R$17="Distrato",$E644,0)),MIN(W$38,$D$19),$P$20))-SUM($P644:V644)</f>
        <v>0</v>
      </c>
      <c r="X644" s="446">
        <f>IF(OR($B644="",MIN(X$38,$D$19)&lt;MAX($P$612*($B644+IF($R$17="Distrato",$I$38-1,0)),IF(AND($L$615=0,$P$612=0),"",$L$615-1),IF($R$17="Distrato",$E644,0))),0,YEARFRAC(MAX($P$612*($B644+IF($R$17="Distrato",$I$38-1,0)),IF(AND($L$615=0,$P$612=0),"",$L$615-1),IF($R$17="Distrato",$E644,0)),MIN(X$38,$D$19),$P$20))-SUM($P644:W644)</f>
        <v>0</v>
      </c>
      <c r="Y644" s="446">
        <f>IF(OR($B644="",MIN(Y$38,$D$19)&lt;MAX($P$612*($B644+IF($R$17="Distrato",$I$38-1,0)),IF(AND($L$615=0,$P$612=0),"",$L$615-1),IF($R$17="Distrato",$E644,0))),0,YEARFRAC(MAX($P$612*($B644+IF($R$17="Distrato",$I$38-1,0)),IF(AND($L$615=0,$P$612=0),"",$L$615-1),IF($R$17="Distrato",$E644,0)),MIN(Y$38,$D$19),$P$20))-SUM($P644:X644)</f>
        <v>0</v>
      </c>
      <c r="Z644" s="446">
        <f>IF(OR($B644="",MIN(Z$38,$D$19)&lt;MAX($P$612*($B644+IF($R$17="Distrato",$I$38-1,0)),IF(AND($L$615=0,$P$612=0),"",$L$615-1),IF($R$17="Distrato",$E644,0))),0,YEARFRAC(MAX($P$612*($B644+IF($R$17="Distrato",$I$38-1,0)),IF(AND($L$615=0,$P$612=0),"",$L$615-1),IF($R$17="Distrato",$E644,0)),MIN(Z$38,$D$19),$P$20))-SUM($P644:Y644)</f>
        <v>0</v>
      </c>
      <c r="AA644" s="446">
        <f>IF(OR($B644="",MIN(AA$38,$D$19)&lt;MAX($P$612*($B644+IF($R$17="Distrato",$I$38-1,0)),IF(AND($L$615=0,$P$612=0),"",$L$615-1),IF($R$17="Distrato",$E644,0))),0,YEARFRAC(MAX($P$612*($B644+IF($R$17="Distrato",$I$38-1,0)),IF(AND($L$615=0,$P$612=0),"",$L$615-1),IF($R$17="Distrato",$E644,0)),MIN(AA$38,$D$19),$P$20))-SUM($P644:Z644)</f>
        <v>0</v>
      </c>
      <c r="AB644" s="446">
        <f>IF(OR($B644="",MIN(AB$38,$D$19)&lt;MAX($P$612*($B644+IF($R$17="Distrato",$I$38-1,0)),IF(AND($L$615=0,$P$612=0),"",$L$615-1),IF($R$17="Distrato",$E644,0))),0,YEARFRAC(MAX($P$612*($B644+IF($R$17="Distrato",$I$38-1,0)),IF(AND($L$615=0,$P$612=0),"",$L$615-1),IF($R$17="Distrato",$E644,0)),MIN(AB$38,$D$19),$P$20))-SUM($P644:AA644)</f>
        <v>0</v>
      </c>
      <c r="AC644" s="446">
        <f>IF(OR($B644="",MIN(AC$38,$D$19)&lt;MAX($P$612*($B644+IF($R$17="Distrato",$I$38-1,0)),IF(AND($L$615=0,$P$612=0),"",$L$615-1),IF($R$17="Distrato",$E644,0))),0,YEARFRAC(MAX($P$612*($B644+IF($R$17="Distrato",$I$38-1,0)),IF(AND($L$615=0,$P$612=0),"",$L$615-1),IF($R$17="Distrato",$E644,0)),MIN(AC$38,$D$19),$P$20))-SUM($P644:AB644)</f>
        <v>0</v>
      </c>
      <c r="AD644" s="446">
        <f>IF(OR($B644="",MIN(AD$38,$D$19)&lt;MAX($P$612*($B644+IF($R$17="Distrato",$I$38-1,0)),IF(AND($L$615=0,$P$612=0),"",$L$615-1),IF($R$17="Distrato",$E644,0))),0,YEARFRAC(MAX($P$612*($B644+IF($R$17="Distrato",$I$38-1,0)),IF(AND($L$615=0,$P$612=0),"",$L$615-1),IF($R$17="Distrato",$E644,0)),MIN(AD$38,$D$19),$P$20))-SUM($P644:AC644)</f>
        <v>0</v>
      </c>
      <c r="AE644" s="446">
        <f>IF(OR($B644="",MIN(AE$38,$D$19)&lt;MAX($P$612*($B644+IF($R$17="Distrato",$I$38-1,0)),IF(AND($L$615=0,$P$612=0),"",$L$615-1),IF($R$17="Distrato",$E644,0))),0,YEARFRAC(MAX($P$612*($B644+IF($R$17="Distrato",$I$38-1,0)),IF(AND($L$615=0,$P$612=0),"",$L$615-1),IF($R$17="Distrato",$E644,0)),MIN(AE$38,$D$19),$P$20))-SUM($P644:AD644)</f>
        <v>0</v>
      </c>
      <c r="AF644" s="446">
        <f>IF(OR($B644="",MIN(AF$38,$D$19)&lt;MAX($P$612*($B644+IF($R$17="Distrato",$I$38-1,0)),IF(AND($L$615=0,$P$612=0),"",$L$615-1),IF($R$17="Distrato",$E644,0))),0,YEARFRAC(MAX($P$612*($B644+IF($R$17="Distrato",$I$38-1,0)),IF(AND($L$615=0,$P$612=0),"",$L$615-1),IF($R$17="Distrato",$E644,0)),MIN(AF$38,$D$19),$P$20))-SUM($P644:AE644)</f>
        <v>0</v>
      </c>
      <c r="AG644" s="446">
        <f>IF(OR($B644="",MIN(AG$38,$D$19)&lt;MAX($P$612*($B644+IF($R$17="Distrato",$I$38-1,0)),IF(AND($L$615=0,$P$612=0),"",$L$615-1),IF($R$17="Distrato",$E644,0))),0,YEARFRAC(MAX($P$612*($B644+IF($R$17="Distrato",$I$38-1,0)),IF(AND($L$615=0,$P$612=0),"",$L$615-1),IF($R$17="Distrato",$E644,0)),MIN(AG$38,$D$19),$P$20))-SUM($P644:AF644)</f>
        <v>0</v>
      </c>
      <c r="AH644" s="446">
        <f>IF(OR($B644="",MIN(AH$38,$D$19)&lt;MAX($P$612*($B644+IF($R$17="Distrato",$I$38-1,0)),IF(AND($L$615=0,$P$612=0),"",$L$615-1),IF($R$17="Distrato",$E644,0))),0,YEARFRAC(MAX($P$612*($B644+IF($R$17="Distrato",$I$38-1,0)),IF(AND($L$615=0,$P$612=0),"",$L$615-1),IF($R$17="Distrato",$E644,0)),MIN(AH$38,$D$19),$P$20))-SUM($P644:AG644)</f>
        <v>0</v>
      </c>
      <c r="AI644" s="446">
        <f>IF(OR($B644="",MIN(AI$38,$D$19)&lt;MAX($P$612*($B644+IF($R$17="Distrato",$I$38-1,0)),IF(AND($L$615=0,$P$612=0),"",$L$615-1),IF($R$17="Distrato",$E644,0))),0,YEARFRAC(MAX($P$612*($B644+IF($R$17="Distrato",$I$38-1,0)),IF(AND($L$615=0,$P$612=0),"",$L$615-1),IF($R$17="Distrato",$E644,0)),MIN(AI$38,$D$19),$P$20))-SUM($P644:AH644)</f>
        <v>0</v>
      </c>
      <c r="AJ644" s="446">
        <f>IF(OR($B644="",MIN(AJ$38,$D$19)&lt;MAX($P$612*($B644+IF($R$17="Distrato",$I$38-1,0)),IF(AND($L$615=0,$P$612=0),"",$L$615-1),IF($R$17="Distrato",$E644,0))),0,YEARFRAC(MAX($P$612*($B644+IF($R$17="Distrato",$I$38-1,0)),IF(AND($L$615=0,$P$612=0),"",$L$615-1),IF($R$17="Distrato",$E644,0)),MIN(AJ$38,$D$19),$P$20))-SUM($P644:AI644)</f>
        <v>0</v>
      </c>
      <c r="AK644" s="446">
        <f>IF(OR($B644="",MIN(AK$38,$D$19)&lt;MAX($P$612*($B644+IF($R$17="Distrato",$I$38-1,0)),IF(AND($L$615=0,$P$612=0),"",$L$615-1),IF($R$17="Distrato",$E644,0))),0,YEARFRAC(MAX($P$612*($B644+IF($R$17="Distrato",$I$38-1,0)),IF(AND($L$615=0,$P$612=0),"",$L$615-1),IF($R$17="Distrato",$E644,0)),MIN(AK$38,$D$19),$P$20))-SUM($P644:AJ644)</f>
        <v>0</v>
      </c>
      <c r="AL644" s="446">
        <f>IF(OR($B644="",MIN(AL$38,$D$19)&lt;MAX($P$612*($B644+IF($R$17="Distrato",$I$38-1,0)),IF(AND($L$615=0,$P$612=0),"",$L$615-1),IF($R$17="Distrato",$E644,0))),0,YEARFRAC(MAX($P$612*($B644+IF($R$17="Distrato",$I$38-1,0)),IF(AND($L$615=0,$P$612=0),"",$L$615-1),IF($R$17="Distrato",$E644,0)),MIN(AL$38,$D$19),$P$20))-SUM($P644:AK644)</f>
        <v>0</v>
      </c>
      <c r="AM644" s="446">
        <f>IF(OR($B644="",MIN(AM$38,$D$19)&lt;MAX($P$612*($B644+IF($R$17="Distrato",$I$38-1,0)),IF(AND($L$615=0,$P$612=0),"",$L$615-1),IF($R$17="Distrato",$E644,0))),0,YEARFRAC(MAX($P$612*($B644+IF($R$17="Distrato",$I$38-1,0)),IF(AND($L$615=0,$P$612=0),"",$L$615-1),IF($R$17="Distrato",$E644,0)),MIN(AM$38,$D$19),$P$20))-SUM($P644:AL644)</f>
        <v>0</v>
      </c>
      <c r="AN644" s="446">
        <f>IF(OR($B644="",MIN(AN$38,$D$19)&lt;MAX($P$612*($B644+IF($R$17="Distrato",$I$38-1,0)),IF(AND($L$615=0,$P$612=0),"",$L$615-1),IF($R$17="Distrato",$E644,0))),0,YEARFRAC(MAX($P$612*($B644+IF($R$17="Distrato",$I$38-1,0)),IF(AND($L$615=0,$P$612=0),"",$L$615-1),IF($R$17="Distrato",$E644,0)),MIN(AN$38,$D$19),$P$20))-SUM($P644:AM644)</f>
        <v>0</v>
      </c>
      <c r="AO644" s="446">
        <f>IF(OR($B644="",MIN(AO$38,$D$19)&lt;MAX($P$612*($B644+IF($R$17="Distrato",$I$38-1,0)),IF(AND($L$615=0,$P$612=0),"",$L$615-1),IF($R$17="Distrato",$E644,0))),0,YEARFRAC(MAX($P$612*($B644+IF($R$17="Distrato",$I$38-1,0)),IF(AND($L$615=0,$P$612=0),"",$L$615-1),IF($R$17="Distrato",$E644,0)),MIN(AO$38,$D$19),$P$20))-SUM($P644:AN644)</f>
        <v>0</v>
      </c>
      <c r="AP644" s="446">
        <f>IF(OR($B644="",MIN(AP$38,$D$19)&lt;MAX($P$612*($B644+IF($R$17="Distrato",$I$38-1,0)),IF(AND($L$615=0,$P$612=0),"",$L$615-1),IF($R$17="Distrato",$E644,0))),0,YEARFRAC(MAX($P$612*($B644+IF($R$17="Distrato",$I$38-1,0)),IF(AND($L$615=0,$P$612=0),"",$L$615-1),IF($R$17="Distrato",$E644,0)),MIN(AP$38,$D$19),$P$20))-SUM($P644:AO644)</f>
        <v>0</v>
      </c>
      <c r="AQ644" s="446">
        <f>IF(OR($B644="",MIN(AQ$38,$D$19)&lt;MAX($P$612*($B644+IF($R$17="Distrato",$I$38-1,0)),IF(AND($L$615=0,$P$612=0),"",$L$615-1),IF($R$17="Distrato",$E644,0))),0,YEARFRAC(MAX($P$612*($B644+IF($R$17="Distrato",$I$38-1,0)),IF(AND($L$615=0,$P$612=0),"",$L$615-1),IF($R$17="Distrato",$E644,0)),MIN(AQ$38,$D$19),$P$20))-SUM($P644:AP644)</f>
        <v>0</v>
      </c>
      <c r="AR644" s="446">
        <f>IF(OR($B644="",MIN(AR$38,$D$19)&lt;MAX($P$612*($B644+IF($R$17="Distrato",$I$38-1,0)),IF(AND($L$615=0,$P$612=0),"",$L$615-1),IF($R$17="Distrato",$E644,0))),0,YEARFRAC(MAX($P$612*($B644+IF($R$17="Distrato",$I$38-1,0)),IF(AND($L$615=0,$P$612=0),"",$L$615-1),IF($R$17="Distrato",$E644,0)),MIN(AR$38,$D$19),$P$20))-SUM($P644:AQ644)</f>
        <v>0</v>
      </c>
      <c r="AS644" s="446">
        <f>IF(OR($B644="",MIN(AS$38,$D$19)&lt;MAX($P$612*($B644+IF($R$17="Distrato",$I$38-1,0)),IF(AND($L$615=0,$P$612=0),"",$L$615-1),IF($R$17="Distrato",$E644,0))),0,YEARFRAC(MAX($P$612*($B644+IF($R$17="Distrato",$I$38-1,0)),IF(AND($L$615=0,$P$612=0),"",$L$615-1),IF($R$17="Distrato",$E644,0)),MIN(AS$38,$D$19),$P$20))-SUM($P644:AR644)</f>
        <v>0</v>
      </c>
      <c r="AT644" s="446">
        <f>IF(OR($B644="",MIN(AT$38,$D$19)&lt;MAX($P$612*($B644+IF($R$17="Distrato",$I$38-1,0)),IF(AND($L$615=0,$P$612=0),"",$L$615-1),IF($R$17="Distrato",$E644,0))),0,YEARFRAC(MAX($P$612*($B644+IF($R$17="Distrato",$I$38-1,0)),IF(AND($L$615=0,$P$612=0),"",$L$615-1),IF($R$17="Distrato",$E644,0)),MIN(AT$38,$D$19),$P$20))-SUM($P644:AS644)</f>
        <v>0</v>
      </c>
      <c r="AU644" s="446">
        <f>IF(OR($B644="",MIN(AU$38,$D$19)&lt;MAX($P$612*($B644+IF($R$17="Distrato",$I$38-1,0)),IF(AND($L$615=0,$P$612=0),"",$L$615-1),IF($R$17="Distrato",$E644,0))),0,YEARFRAC(MAX($P$612*($B644+IF($R$17="Distrato",$I$38-1,0)),IF(AND($L$615=0,$P$612=0),"",$L$615-1),IF($R$17="Distrato",$E644,0)),MIN(AU$38,$D$19),$P$20))-SUM($P644:AT644)</f>
        <v>0</v>
      </c>
      <c r="AV644" s="446">
        <f>IF(OR($B644="",MIN(AV$38,$D$19)&lt;MAX($P$612*($B644+IF($R$17="Distrato",$I$38-1,0)),IF(AND($L$615=0,$P$612=0),"",$L$615-1),IF($R$17="Distrato",$E644,0))),0,YEARFRAC(MAX($P$612*($B644+IF($R$17="Distrato",$I$38-1,0)),IF(AND($L$615=0,$P$612=0),"",$L$615-1),IF($R$17="Distrato",$E644,0)),MIN(AV$38,$D$19),$P$20))-SUM($P644:AU644)</f>
        <v>0</v>
      </c>
      <c r="AW644" s="446">
        <f>IF(OR($B644="",MIN(AW$38,$D$19)&lt;MAX($P$612*($B644+IF($R$17="Distrato",$I$38-1,0)),IF(AND($L$615=0,$P$612=0),"",$L$615-1),IF($R$17="Distrato",$E644,0))),0,YEARFRAC(MAX($P$612*($B644+IF($R$17="Distrato",$I$38-1,0)),IF(AND($L$615=0,$P$612=0),"",$L$615-1),IF($R$17="Distrato",$E644,0)),MIN(AW$38,$D$19),$P$20))-SUM($P644:AV644)</f>
        <v>0</v>
      </c>
      <c r="AX644" s="446">
        <f>IF(OR($B644="",MIN(AX$38,$D$19)&lt;MAX($P$612*($B644+IF($R$17="Distrato",$I$38-1,0)),IF(AND($L$615=0,$P$612=0),"",$L$615-1),IF($R$17="Distrato",$E644,0))),0,YEARFRAC(MAX($P$612*($B644+IF($R$17="Distrato",$I$38-1,0)),IF(AND($L$615=0,$P$612=0),"",$L$615-1),IF($R$17="Distrato",$E644,0)),MIN(AX$38,$D$19),$P$20))-SUM($P644:AW644)</f>
        <v>0</v>
      </c>
      <c r="AY644" s="446">
        <f>IF(OR($B644="",MIN(AY$38,$D$19)&lt;MAX($P$612*($B644+IF($R$17="Distrato",$I$38-1,0)),IF(AND($L$615=0,$P$612=0),"",$L$615-1),IF($R$17="Distrato",$E644,0))),0,YEARFRAC(MAX($P$612*($B644+IF($R$17="Distrato",$I$38-1,0)),IF(AND($L$615=0,$P$612=0),"",$L$615-1),IF($R$17="Distrato",$E644,0)),MIN(AY$38,$D$19),$P$20))-SUM($P644:AX644)</f>
        <v>0</v>
      </c>
      <c r="AZ644" s="446">
        <f>IF(OR($B644="",MIN(AZ$38,$D$19)&lt;MAX($P$612*($B644+IF($R$17="Distrato",$I$38-1,0)),IF(AND($L$615=0,$P$612=0),"",$L$615-1),IF($R$17="Distrato",$E644,0))),0,YEARFRAC(MAX($P$612*($B644+IF($R$17="Distrato",$I$38-1,0)),IF(AND($L$615=0,$P$612=0),"",$L$615-1),IF($R$17="Distrato",$E644,0)),MIN(AZ$38,$D$19),$P$20))-SUM($P644:AY644)</f>
        <v>0</v>
      </c>
      <c r="BA644" s="446">
        <f>IF(OR($B644="",MIN(BA$38,$D$19)&lt;MAX($P$612*($B644+IF($R$17="Distrato",$I$38-1,0)),IF(AND($L$615=0,$P$612=0),"",$L$615-1),IF($R$17="Distrato",$E644,0))),0,YEARFRAC(MAX($P$612*($B644+IF($R$17="Distrato",$I$38-1,0)),IF(AND($L$615=0,$P$612=0),"",$L$615-1),IF($R$17="Distrato",$E644,0)),MIN(BA$38,$D$19),$P$20))-SUM($P644:AZ644)</f>
        <v>0</v>
      </c>
      <c r="BB644" s="447"/>
    </row>
    <row r="645" spans="1:54" s="446" customFormat="1" ht="11.25" hidden="1" x14ac:dyDescent="0.2">
      <c r="A645" s="177"/>
      <c r="B645" s="178"/>
      <c r="C645" s="29" t="str">
        <f>IF(B645="","",IF($L$613="SELIC - TRIBUTOS",VLOOKUP(DATE(YEAR($D$19),MONTH($D$19)-1,1),ÍNDICES!$A:$DE,HLOOKUP($BL$25,ÍNDICES!$B$3:$T$4,2)+11)-VLOOKUP(B645,ÍNDICES!$A:$DE,HLOOKUP($BL$25,ÍNDICES!$B$3:$T$4,2)+11)+1%,IF(C$616=$W$26,$J$613,IF(ISERROR(IF(B645&gt;$D$19,1,VLOOKUP(DATE(YEAR(B645),MONTH(B645)+IF($C$613=$S$23,1,0),1),ÍNDICES!$A:$DE,$Z$613+1))),"",IF(B645&gt;$D$19,1,VLOOKUP(DATE(YEAR(B645),MONTH(B645)+IF($C$613=$S$23,1,0),1),ÍNDICES!$A:$DE,$Z$613+1))))))</f>
        <v/>
      </c>
      <c r="D645" s="155"/>
      <c r="E645" s="179"/>
      <c r="F645" s="29"/>
      <c r="G645" s="180"/>
      <c r="H645" s="181"/>
      <c r="I645" s="182" t="str">
        <f t="shared" si="107"/>
        <v/>
      </c>
      <c r="J645" s="5" t="str">
        <f t="shared" si="108"/>
        <v/>
      </c>
      <c r="K645" s="5">
        <f t="shared" ca="1" si="109"/>
        <v>0</v>
      </c>
      <c r="L645" s="5">
        <f t="shared" ca="1" si="104"/>
        <v>0</v>
      </c>
      <c r="M645" s="64">
        <f t="shared" si="110"/>
        <v>0</v>
      </c>
      <c r="N645" s="61">
        <f t="shared" ca="1" si="105"/>
        <v>0</v>
      </c>
      <c r="O645" s="20">
        <f t="shared" ca="1" si="106"/>
        <v>0</v>
      </c>
      <c r="P645" s="446">
        <f t="shared" si="111"/>
        <v>0</v>
      </c>
      <c r="Q645" s="446">
        <f>IF(OR($B645="",MIN(Q$38,$D$19)&lt;MAX($P$612*($B645+IF($R$17="Distrato",$I$38-1,0)),IF(AND($L$615=0,$P$612=0),"",$L$615-1),IF($R$17="Distrato",$E645,0))),0,YEARFRAC(MAX($P$612*($B645+IF($R$17="Distrato",$I$38-1,0)),IF(AND($L$615=0,$P$612=0),"",$L$615-1),IF($R$17="Distrato",$E645,0)),MIN(Q$38,$D$19),$P$20))-SUM($P645:P645)</f>
        <v>0</v>
      </c>
      <c r="R645" s="446">
        <f>IF(OR($B645="",MIN(R$38,$D$19)&lt;MAX($P$612*($B645+IF($R$17="Distrato",$I$38-1,0)),IF(AND($L$615=0,$P$612=0),"",$L$615-1),IF($R$17="Distrato",$E645,0))),0,YEARFRAC(MAX($P$612*($B645+IF($R$17="Distrato",$I$38-1,0)),IF(AND($L$615=0,$P$612=0),"",$L$615-1),IF($R$17="Distrato",$E645,0)),MIN(R$38,$D$19),$P$20))-SUM($P645:Q645)</f>
        <v>0</v>
      </c>
      <c r="S645" s="446">
        <f>IF(OR($B645="",MIN(S$38,$D$19)&lt;MAX($P$612*($B645+IF($R$17="Distrato",$I$38-1,0)),IF(AND($L$615=0,$P$612=0),"",$L$615-1),IF($R$17="Distrato",$E645,0))),0,YEARFRAC(MAX($P$612*($B645+IF($R$17="Distrato",$I$38-1,0)),IF(AND($L$615=0,$P$612=0),"",$L$615-1),IF($R$17="Distrato",$E645,0)),MIN(S$38,$D$19),$P$20))-SUM($P645:R645)</f>
        <v>0</v>
      </c>
      <c r="T645" s="446">
        <f>IF(OR($B645="",MIN(T$38,$D$19)&lt;MAX($P$612*($B645+IF($R$17="Distrato",$I$38-1,0)),IF(AND($L$615=0,$P$612=0),"",$L$615-1),IF($R$17="Distrato",$E645,0))),0,YEARFRAC(MAX($P$612*($B645+IF($R$17="Distrato",$I$38-1,0)),IF(AND($L$615=0,$P$612=0),"",$L$615-1),IF($R$17="Distrato",$E645,0)),MIN(T$38,$D$19),$P$20))-SUM($P645:S645)</f>
        <v>0</v>
      </c>
      <c r="U645" s="446">
        <f>IF(OR($B645="",MIN(U$38,$D$19)&lt;MAX($P$612*($B645+IF($R$17="Distrato",$I$38-1,0)),IF(AND($L$615=0,$P$612=0),"",$L$615-1),IF($R$17="Distrato",$E645,0))),0,YEARFRAC(MAX($P$612*($B645+IF($R$17="Distrato",$I$38-1,0)),IF(AND($L$615=0,$P$612=0),"",$L$615-1),IF($R$17="Distrato",$E645,0)),MIN(U$38,$D$19),$P$20))-SUM($P645:T645)</f>
        <v>0</v>
      </c>
      <c r="V645" s="446">
        <f>IF(OR($B645="",MIN(V$38,$D$19)&lt;MAX($P$612*($B645+IF($R$17="Distrato",$I$38-1,0)),IF(AND($L$615=0,$P$612=0),"",$L$615-1),IF($R$17="Distrato",$E645,0))),0,YEARFRAC(MAX($P$612*($B645+IF($R$17="Distrato",$I$38-1,0)),IF(AND($L$615=0,$P$612=0),"",$L$615-1),IF($R$17="Distrato",$E645,0)),MIN(V$38,$D$19),$P$20))-SUM($P645:U645)</f>
        <v>0</v>
      </c>
      <c r="W645" s="446">
        <f>IF(OR($B645="",MIN(W$38,$D$19)&lt;MAX($P$612*($B645+IF($R$17="Distrato",$I$38-1,0)),IF(AND($L$615=0,$P$612=0),"",$L$615-1),IF($R$17="Distrato",$E645,0))),0,YEARFRAC(MAX($P$612*($B645+IF($R$17="Distrato",$I$38-1,0)),IF(AND($L$615=0,$P$612=0),"",$L$615-1),IF($R$17="Distrato",$E645,0)),MIN(W$38,$D$19),$P$20))-SUM($P645:V645)</f>
        <v>0</v>
      </c>
      <c r="X645" s="446">
        <f>IF(OR($B645="",MIN(X$38,$D$19)&lt;MAX($P$612*($B645+IF($R$17="Distrato",$I$38-1,0)),IF(AND($L$615=0,$P$612=0),"",$L$615-1),IF($R$17="Distrato",$E645,0))),0,YEARFRAC(MAX($P$612*($B645+IF($R$17="Distrato",$I$38-1,0)),IF(AND($L$615=0,$P$612=0),"",$L$615-1),IF($R$17="Distrato",$E645,0)),MIN(X$38,$D$19),$P$20))-SUM($P645:W645)</f>
        <v>0</v>
      </c>
      <c r="Y645" s="446">
        <f>IF(OR($B645="",MIN(Y$38,$D$19)&lt;MAX($P$612*($B645+IF($R$17="Distrato",$I$38-1,0)),IF(AND($L$615=0,$P$612=0),"",$L$615-1),IF($R$17="Distrato",$E645,0))),0,YEARFRAC(MAX($P$612*($B645+IF($R$17="Distrato",$I$38-1,0)),IF(AND($L$615=0,$P$612=0),"",$L$615-1),IF($R$17="Distrato",$E645,0)),MIN(Y$38,$D$19),$P$20))-SUM($P645:X645)</f>
        <v>0</v>
      </c>
      <c r="Z645" s="446">
        <f>IF(OR($B645="",MIN(Z$38,$D$19)&lt;MAX($P$612*($B645+IF($R$17="Distrato",$I$38-1,0)),IF(AND($L$615=0,$P$612=0),"",$L$615-1),IF($R$17="Distrato",$E645,0))),0,YEARFRAC(MAX($P$612*($B645+IF($R$17="Distrato",$I$38-1,0)),IF(AND($L$615=0,$P$612=0),"",$L$615-1),IF($R$17="Distrato",$E645,0)),MIN(Z$38,$D$19),$P$20))-SUM($P645:Y645)</f>
        <v>0</v>
      </c>
      <c r="AA645" s="446">
        <f>IF(OR($B645="",MIN(AA$38,$D$19)&lt;MAX($P$612*($B645+IF($R$17="Distrato",$I$38-1,0)),IF(AND($L$615=0,$P$612=0),"",$L$615-1),IF($R$17="Distrato",$E645,0))),0,YEARFRAC(MAX($P$612*($B645+IF($R$17="Distrato",$I$38-1,0)),IF(AND($L$615=0,$P$612=0),"",$L$615-1),IF($R$17="Distrato",$E645,0)),MIN(AA$38,$D$19),$P$20))-SUM($P645:Z645)</f>
        <v>0</v>
      </c>
      <c r="AB645" s="446">
        <f>IF(OR($B645="",MIN(AB$38,$D$19)&lt;MAX($P$612*($B645+IF($R$17="Distrato",$I$38-1,0)),IF(AND($L$615=0,$P$612=0),"",$L$615-1),IF($R$17="Distrato",$E645,0))),0,YEARFRAC(MAX($P$612*($B645+IF($R$17="Distrato",$I$38-1,0)),IF(AND($L$615=0,$P$612=0),"",$L$615-1),IF($R$17="Distrato",$E645,0)),MIN(AB$38,$D$19),$P$20))-SUM($P645:AA645)</f>
        <v>0</v>
      </c>
      <c r="AC645" s="446">
        <f>IF(OR($B645="",MIN(AC$38,$D$19)&lt;MAX($P$612*($B645+IF($R$17="Distrato",$I$38-1,0)),IF(AND($L$615=0,$P$612=0),"",$L$615-1),IF($R$17="Distrato",$E645,0))),0,YEARFRAC(MAX($P$612*($B645+IF($R$17="Distrato",$I$38-1,0)),IF(AND($L$615=0,$P$612=0),"",$L$615-1),IF($R$17="Distrato",$E645,0)),MIN(AC$38,$D$19),$P$20))-SUM($P645:AB645)</f>
        <v>0</v>
      </c>
      <c r="AD645" s="446">
        <f>IF(OR($B645="",MIN(AD$38,$D$19)&lt;MAX($P$612*($B645+IF($R$17="Distrato",$I$38-1,0)),IF(AND($L$615=0,$P$612=0),"",$L$615-1),IF($R$17="Distrato",$E645,0))),0,YEARFRAC(MAX($P$612*($B645+IF($R$17="Distrato",$I$38-1,0)),IF(AND($L$615=0,$P$612=0),"",$L$615-1),IF($R$17="Distrato",$E645,0)),MIN(AD$38,$D$19),$P$20))-SUM($P645:AC645)</f>
        <v>0</v>
      </c>
      <c r="AE645" s="446">
        <f>IF(OR($B645="",MIN(AE$38,$D$19)&lt;MAX($P$612*($B645+IF($R$17="Distrato",$I$38-1,0)),IF(AND($L$615=0,$P$612=0),"",$L$615-1),IF($R$17="Distrato",$E645,0))),0,YEARFRAC(MAX($P$612*($B645+IF($R$17="Distrato",$I$38-1,0)),IF(AND($L$615=0,$P$612=0),"",$L$615-1),IF($R$17="Distrato",$E645,0)),MIN(AE$38,$D$19),$P$20))-SUM($P645:AD645)</f>
        <v>0</v>
      </c>
      <c r="AF645" s="446">
        <f>IF(OR($B645="",MIN(AF$38,$D$19)&lt;MAX($P$612*($B645+IF($R$17="Distrato",$I$38-1,0)),IF(AND($L$615=0,$P$612=0),"",$L$615-1),IF($R$17="Distrato",$E645,0))),0,YEARFRAC(MAX($P$612*($B645+IF($R$17="Distrato",$I$38-1,0)),IF(AND($L$615=0,$P$612=0),"",$L$615-1),IF($R$17="Distrato",$E645,0)),MIN(AF$38,$D$19),$P$20))-SUM($P645:AE645)</f>
        <v>0</v>
      </c>
      <c r="AG645" s="446">
        <f>IF(OR($B645="",MIN(AG$38,$D$19)&lt;MAX($P$612*($B645+IF($R$17="Distrato",$I$38-1,0)),IF(AND($L$615=0,$P$612=0),"",$L$615-1),IF($R$17="Distrato",$E645,0))),0,YEARFRAC(MAX($P$612*($B645+IF($R$17="Distrato",$I$38-1,0)),IF(AND($L$615=0,$P$612=0),"",$L$615-1),IF($R$17="Distrato",$E645,0)),MIN(AG$38,$D$19),$P$20))-SUM($P645:AF645)</f>
        <v>0</v>
      </c>
      <c r="AH645" s="446">
        <f>IF(OR($B645="",MIN(AH$38,$D$19)&lt;MAX($P$612*($B645+IF($R$17="Distrato",$I$38-1,0)),IF(AND($L$615=0,$P$612=0),"",$L$615-1),IF($R$17="Distrato",$E645,0))),0,YEARFRAC(MAX($P$612*($B645+IF($R$17="Distrato",$I$38-1,0)),IF(AND($L$615=0,$P$612=0),"",$L$615-1),IF($R$17="Distrato",$E645,0)),MIN(AH$38,$D$19),$P$20))-SUM($P645:AG645)</f>
        <v>0</v>
      </c>
      <c r="AI645" s="446">
        <f>IF(OR($B645="",MIN(AI$38,$D$19)&lt;MAX($P$612*($B645+IF($R$17="Distrato",$I$38-1,0)),IF(AND($L$615=0,$P$612=0),"",$L$615-1),IF($R$17="Distrato",$E645,0))),0,YEARFRAC(MAX($P$612*($B645+IF($R$17="Distrato",$I$38-1,0)),IF(AND($L$615=0,$P$612=0),"",$L$615-1),IF($R$17="Distrato",$E645,0)),MIN(AI$38,$D$19),$P$20))-SUM($P645:AH645)</f>
        <v>0</v>
      </c>
      <c r="AJ645" s="446">
        <f>IF(OR($B645="",MIN(AJ$38,$D$19)&lt;MAX($P$612*($B645+IF($R$17="Distrato",$I$38-1,0)),IF(AND($L$615=0,$P$612=0),"",$L$615-1),IF($R$17="Distrato",$E645,0))),0,YEARFRAC(MAX($P$612*($B645+IF($R$17="Distrato",$I$38-1,0)),IF(AND($L$615=0,$P$612=0),"",$L$615-1),IF($R$17="Distrato",$E645,0)),MIN(AJ$38,$D$19),$P$20))-SUM($P645:AI645)</f>
        <v>0</v>
      </c>
      <c r="AK645" s="446">
        <f>IF(OR($B645="",MIN(AK$38,$D$19)&lt;MAX($P$612*($B645+IF($R$17="Distrato",$I$38-1,0)),IF(AND($L$615=0,$P$612=0),"",$L$615-1),IF($R$17="Distrato",$E645,0))),0,YEARFRAC(MAX($P$612*($B645+IF($R$17="Distrato",$I$38-1,0)),IF(AND($L$615=0,$P$612=0),"",$L$615-1),IF($R$17="Distrato",$E645,0)),MIN(AK$38,$D$19),$P$20))-SUM($P645:AJ645)</f>
        <v>0</v>
      </c>
      <c r="AL645" s="446">
        <f>IF(OR($B645="",MIN(AL$38,$D$19)&lt;MAX($P$612*($B645+IF($R$17="Distrato",$I$38-1,0)),IF(AND($L$615=0,$P$612=0),"",$L$615-1),IF($R$17="Distrato",$E645,0))),0,YEARFRAC(MAX($P$612*($B645+IF($R$17="Distrato",$I$38-1,0)),IF(AND($L$615=0,$P$612=0),"",$L$615-1),IF($R$17="Distrato",$E645,0)),MIN(AL$38,$D$19),$P$20))-SUM($P645:AK645)</f>
        <v>0</v>
      </c>
      <c r="AM645" s="446">
        <f>IF(OR($B645="",MIN(AM$38,$D$19)&lt;MAX($P$612*($B645+IF($R$17="Distrato",$I$38-1,0)),IF(AND($L$615=0,$P$612=0),"",$L$615-1),IF($R$17="Distrato",$E645,0))),0,YEARFRAC(MAX($P$612*($B645+IF($R$17="Distrato",$I$38-1,0)),IF(AND($L$615=0,$P$612=0),"",$L$615-1),IF($R$17="Distrato",$E645,0)),MIN(AM$38,$D$19),$P$20))-SUM($P645:AL645)</f>
        <v>0</v>
      </c>
      <c r="AN645" s="446">
        <f>IF(OR($B645="",MIN(AN$38,$D$19)&lt;MAX($P$612*($B645+IF($R$17="Distrato",$I$38-1,0)),IF(AND($L$615=0,$P$612=0),"",$L$615-1),IF($R$17="Distrato",$E645,0))),0,YEARFRAC(MAX($P$612*($B645+IF($R$17="Distrato",$I$38-1,0)),IF(AND($L$615=0,$P$612=0),"",$L$615-1),IF($R$17="Distrato",$E645,0)),MIN(AN$38,$D$19),$P$20))-SUM($P645:AM645)</f>
        <v>0</v>
      </c>
      <c r="AO645" s="446">
        <f>IF(OR($B645="",MIN(AO$38,$D$19)&lt;MAX($P$612*($B645+IF($R$17="Distrato",$I$38-1,0)),IF(AND($L$615=0,$P$612=0),"",$L$615-1),IF($R$17="Distrato",$E645,0))),0,YEARFRAC(MAX($P$612*($B645+IF($R$17="Distrato",$I$38-1,0)),IF(AND($L$615=0,$P$612=0),"",$L$615-1),IF($R$17="Distrato",$E645,0)),MIN(AO$38,$D$19),$P$20))-SUM($P645:AN645)</f>
        <v>0</v>
      </c>
      <c r="AP645" s="446">
        <f>IF(OR($B645="",MIN(AP$38,$D$19)&lt;MAX($P$612*($B645+IF($R$17="Distrato",$I$38-1,0)),IF(AND($L$615=0,$P$612=0),"",$L$615-1),IF($R$17="Distrato",$E645,0))),0,YEARFRAC(MAX($P$612*($B645+IF($R$17="Distrato",$I$38-1,0)),IF(AND($L$615=0,$P$612=0),"",$L$615-1),IF($R$17="Distrato",$E645,0)),MIN(AP$38,$D$19),$P$20))-SUM($P645:AO645)</f>
        <v>0</v>
      </c>
      <c r="AQ645" s="446">
        <f>IF(OR($B645="",MIN(AQ$38,$D$19)&lt;MAX($P$612*($B645+IF($R$17="Distrato",$I$38-1,0)),IF(AND($L$615=0,$P$612=0),"",$L$615-1),IF($R$17="Distrato",$E645,0))),0,YEARFRAC(MAX($P$612*($B645+IF($R$17="Distrato",$I$38-1,0)),IF(AND($L$615=0,$P$612=0),"",$L$615-1),IF($R$17="Distrato",$E645,0)),MIN(AQ$38,$D$19),$P$20))-SUM($P645:AP645)</f>
        <v>0</v>
      </c>
      <c r="AR645" s="446">
        <f>IF(OR($B645="",MIN(AR$38,$D$19)&lt;MAX($P$612*($B645+IF($R$17="Distrato",$I$38-1,0)),IF(AND($L$615=0,$P$612=0),"",$L$615-1),IF($R$17="Distrato",$E645,0))),0,YEARFRAC(MAX($P$612*($B645+IF($R$17="Distrato",$I$38-1,0)),IF(AND($L$615=0,$P$612=0),"",$L$615-1),IF($R$17="Distrato",$E645,0)),MIN(AR$38,$D$19),$P$20))-SUM($P645:AQ645)</f>
        <v>0</v>
      </c>
      <c r="AS645" s="446">
        <f>IF(OR($B645="",MIN(AS$38,$D$19)&lt;MAX($P$612*($B645+IF($R$17="Distrato",$I$38-1,0)),IF(AND($L$615=0,$P$612=0),"",$L$615-1),IF($R$17="Distrato",$E645,0))),0,YEARFRAC(MAX($P$612*($B645+IF($R$17="Distrato",$I$38-1,0)),IF(AND($L$615=0,$P$612=0),"",$L$615-1),IF($R$17="Distrato",$E645,0)),MIN(AS$38,$D$19),$P$20))-SUM($P645:AR645)</f>
        <v>0</v>
      </c>
      <c r="AT645" s="446">
        <f>IF(OR($B645="",MIN(AT$38,$D$19)&lt;MAX($P$612*($B645+IF($R$17="Distrato",$I$38-1,0)),IF(AND($L$615=0,$P$612=0),"",$L$615-1),IF($R$17="Distrato",$E645,0))),0,YEARFRAC(MAX($P$612*($B645+IF($R$17="Distrato",$I$38-1,0)),IF(AND($L$615=0,$P$612=0),"",$L$615-1),IF($R$17="Distrato",$E645,0)),MIN(AT$38,$D$19),$P$20))-SUM($P645:AS645)</f>
        <v>0</v>
      </c>
      <c r="AU645" s="446">
        <f>IF(OR($B645="",MIN(AU$38,$D$19)&lt;MAX($P$612*($B645+IF($R$17="Distrato",$I$38-1,0)),IF(AND($L$615=0,$P$612=0),"",$L$615-1),IF($R$17="Distrato",$E645,0))),0,YEARFRAC(MAX($P$612*($B645+IF($R$17="Distrato",$I$38-1,0)),IF(AND($L$615=0,$P$612=0),"",$L$615-1),IF($R$17="Distrato",$E645,0)),MIN(AU$38,$D$19),$P$20))-SUM($P645:AT645)</f>
        <v>0</v>
      </c>
      <c r="AV645" s="446">
        <f>IF(OR($B645="",MIN(AV$38,$D$19)&lt;MAX($P$612*($B645+IF($R$17="Distrato",$I$38-1,0)),IF(AND($L$615=0,$P$612=0),"",$L$615-1),IF($R$17="Distrato",$E645,0))),0,YEARFRAC(MAX($P$612*($B645+IF($R$17="Distrato",$I$38-1,0)),IF(AND($L$615=0,$P$612=0),"",$L$615-1),IF($R$17="Distrato",$E645,0)),MIN(AV$38,$D$19),$P$20))-SUM($P645:AU645)</f>
        <v>0</v>
      </c>
      <c r="AW645" s="446">
        <f>IF(OR($B645="",MIN(AW$38,$D$19)&lt;MAX($P$612*($B645+IF($R$17="Distrato",$I$38-1,0)),IF(AND($L$615=0,$P$612=0),"",$L$615-1),IF($R$17="Distrato",$E645,0))),0,YEARFRAC(MAX($P$612*($B645+IF($R$17="Distrato",$I$38-1,0)),IF(AND($L$615=0,$P$612=0),"",$L$615-1),IF($R$17="Distrato",$E645,0)),MIN(AW$38,$D$19),$P$20))-SUM($P645:AV645)</f>
        <v>0</v>
      </c>
      <c r="AX645" s="446">
        <f>IF(OR($B645="",MIN(AX$38,$D$19)&lt;MAX($P$612*($B645+IF($R$17="Distrato",$I$38-1,0)),IF(AND($L$615=0,$P$612=0),"",$L$615-1),IF($R$17="Distrato",$E645,0))),0,YEARFRAC(MAX($P$612*($B645+IF($R$17="Distrato",$I$38-1,0)),IF(AND($L$615=0,$P$612=0),"",$L$615-1),IF($R$17="Distrato",$E645,0)),MIN(AX$38,$D$19),$P$20))-SUM($P645:AW645)</f>
        <v>0</v>
      </c>
      <c r="AY645" s="446">
        <f>IF(OR($B645="",MIN(AY$38,$D$19)&lt;MAX($P$612*($B645+IF($R$17="Distrato",$I$38-1,0)),IF(AND($L$615=0,$P$612=0),"",$L$615-1),IF($R$17="Distrato",$E645,0))),0,YEARFRAC(MAX($P$612*($B645+IF($R$17="Distrato",$I$38-1,0)),IF(AND($L$615=0,$P$612=0),"",$L$615-1),IF($R$17="Distrato",$E645,0)),MIN(AY$38,$D$19),$P$20))-SUM($P645:AX645)</f>
        <v>0</v>
      </c>
      <c r="AZ645" s="446">
        <f>IF(OR($B645="",MIN(AZ$38,$D$19)&lt;MAX($P$612*($B645+IF($R$17="Distrato",$I$38-1,0)),IF(AND($L$615=0,$P$612=0),"",$L$615-1),IF($R$17="Distrato",$E645,0))),0,YEARFRAC(MAX($P$612*($B645+IF($R$17="Distrato",$I$38-1,0)),IF(AND($L$615=0,$P$612=0),"",$L$615-1),IF($R$17="Distrato",$E645,0)),MIN(AZ$38,$D$19),$P$20))-SUM($P645:AY645)</f>
        <v>0</v>
      </c>
      <c r="BA645" s="446">
        <f>IF(OR($B645="",MIN(BA$38,$D$19)&lt;MAX($P$612*($B645+IF($R$17="Distrato",$I$38-1,0)),IF(AND($L$615=0,$P$612=0),"",$L$615-1),IF($R$17="Distrato",$E645,0))),0,YEARFRAC(MAX($P$612*($B645+IF($R$17="Distrato",$I$38-1,0)),IF(AND($L$615=0,$P$612=0),"",$L$615-1),IF($R$17="Distrato",$E645,0)),MIN(BA$38,$D$19),$P$20))-SUM($P645:AZ645)</f>
        <v>0</v>
      </c>
      <c r="BB645" s="447"/>
    </row>
    <row r="646" spans="1:54" s="446" customFormat="1" ht="11.25" hidden="1" x14ac:dyDescent="0.2">
      <c r="A646" s="177"/>
      <c r="B646" s="178"/>
      <c r="C646" s="29" t="str">
        <f>IF(B646="","",IF($L$613="SELIC - TRIBUTOS",VLOOKUP(DATE(YEAR($D$19),MONTH($D$19)-1,1),ÍNDICES!$A:$DE,HLOOKUP($BL$25,ÍNDICES!$B$3:$T$4,2)+11)-VLOOKUP(B646,ÍNDICES!$A:$DE,HLOOKUP($BL$25,ÍNDICES!$B$3:$T$4,2)+11)+1%,IF(C$616=$W$26,$J$613,IF(ISERROR(IF(B646&gt;$D$19,1,VLOOKUP(DATE(YEAR(B646),MONTH(B646)+IF($C$613=$S$23,1,0),1),ÍNDICES!$A:$DE,$Z$613+1))),"",IF(B646&gt;$D$19,1,VLOOKUP(DATE(YEAR(B646),MONTH(B646)+IF($C$613=$S$23,1,0),1),ÍNDICES!$A:$DE,$Z$613+1))))))</f>
        <v/>
      </c>
      <c r="D646" s="155"/>
      <c r="E646" s="179"/>
      <c r="F646" s="29"/>
      <c r="G646" s="180"/>
      <c r="H646" s="181"/>
      <c r="I646" s="182" t="str">
        <f t="shared" si="107"/>
        <v/>
      </c>
      <c r="J646" s="5" t="str">
        <f t="shared" si="108"/>
        <v/>
      </c>
      <c r="K646" s="5">
        <f t="shared" ca="1" si="109"/>
        <v>0</v>
      </c>
      <c r="L646" s="5">
        <f t="shared" ca="1" si="104"/>
        <v>0</v>
      </c>
      <c r="M646" s="64">
        <f t="shared" si="110"/>
        <v>0</v>
      </c>
      <c r="N646" s="61">
        <f t="shared" ca="1" si="105"/>
        <v>0</v>
      </c>
      <c r="O646" s="20">
        <f t="shared" ca="1" si="106"/>
        <v>0</v>
      </c>
      <c r="P646" s="446">
        <f t="shared" si="111"/>
        <v>0</v>
      </c>
      <c r="Q646" s="446">
        <f>IF(OR($B646="",MIN(Q$38,$D$19)&lt;MAX($P$612*($B646+IF($R$17="Distrato",$I$38-1,0)),IF(AND($L$615=0,$P$612=0),"",$L$615-1),IF($R$17="Distrato",$E646,0))),0,YEARFRAC(MAX($P$612*($B646+IF($R$17="Distrato",$I$38-1,0)),IF(AND($L$615=0,$P$612=0),"",$L$615-1),IF($R$17="Distrato",$E646,0)),MIN(Q$38,$D$19),$P$20))-SUM($P646:P646)</f>
        <v>0</v>
      </c>
      <c r="R646" s="446">
        <f>IF(OR($B646="",MIN(R$38,$D$19)&lt;MAX($P$612*($B646+IF($R$17="Distrato",$I$38-1,0)),IF(AND($L$615=0,$P$612=0),"",$L$615-1),IF($R$17="Distrato",$E646,0))),0,YEARFRAC(MAX($P$612*($B646+IF($R$17="Distrato",$I$38-1,0)),IF(AND($L$615=0,$P$612=0),"",$L$615-1),IF($R$17="Distrato",$E646,0)),MIN(R$38,$D$19),$P$20))-SUM($P646:Q646)</f>
        <v>0</v>
      </c>
      <c r="S646" s="446">
        <f>IF(OR($B646="",MIN(S$38,$D$19)&lt;MAX($P$612*($B646+IF($R$17="Distrato",$I$38-1,0)),IF(AND($L$615=0,$P$612=0),"",$L$615-1),IF($R$17="Distrato",$E646,0))),0,YEARFRAC(MAX($P$612*($B646+IF($R$17="Distrato",$I$38-1,0)),IF(AND($L$615=0,$P$612=0),"",$L$615-1),IF($R$17="Distrato",$E646,0)),MIN(S$38,$D$19),$P$20))-SUM($P646:R646)</f>
        <v>0</v>
      </c>
      <c r="T646" s="446">
        <f>IF(OR($B646="",MIN(T$38,$D$19)&lt;MAX($P$612*($B646+IF($R$17="Distrato",$I$38-1,0)),IF(AND($L$615=0,$P$612=0),"",$L$615-1),IF($R$17="Distrato",$E646,0))),0,YEARFRAC(MAX($P$612*($B646+IF($R$17="Distrato",$I$38-1,0)),IF(AND($L$615=0,$P$612=0),"",$L$615-1),IF($R$17="Distrato",$E646,0)),MIN(T$38,$D$19),$P$20))-SUM($P646:S646)</f>
        <v>0</v>
      </c>
      <c r="U646" s="446">
        <f>IF(OR($B646="",MIN(U$38,$D$19)&lt;MAX($P$612*($B646+IF($R$17="Distrato",$I$38-1,0)),IF(AND($L$615=0,$P$612=0),"",$L$615-1),IF($R$17="Distrato",$E646,0))),0,YEARFRAC(MAX($P$612*($B646+IF($R$17="Distrato",$I$38-1,0)),IF(AND($L$615=0,$P$612=0),"",$L$615-1),IF($R$17="Distrato",$E646,0)),MIN(U$38,$D$19),$P$20))-SUM($P646:T646)</f>
        <v>0</v>
      </c>
      <c r="V646" s="446">
        <f>IF(OR($B646="",MIN(V$38,$D$19)&lt;MAX($P$612*($B646+IF($R$17="Distrato",$I$38-1,0)),IF(AND($L$615=0,$P$612=0),"",$L$615-1),IF($R$17="Distrato",$E646,0))),0,YEARFRAC(MAX($P$612*($B646+IF($R$17="Distrato",$I$38-1,0)),IF(AND($L$615=0,$P$612=0),"",$L$615-1),IF($R$17="Distrato",$E646,0)),MIN(V$38,$D$19),$P$20))-SUM($P646:U646)</f>
        <v>0</v>
      </c>
      <c r="W646" s="446">
        <f>IF(OR($B646="",MIN(W$38,$D$19)&lt;MAX($P$612*($B646+IF($R$17="Distrato",$I$38-1,0)),IF(AND($L$615=0,$P$612=0),"",$L$615-1),IF($R$17="Distrato",$E646,0))),0,YEARFRAC(MAX($P$612*($B646+IF($R$17="Distrato",$I$38-1,0)),IF(AND($L$615=0,$P$612=0),"",$L$615-1),IF($R$17="Distrato",$E646,0)),MIN(W$38,$D$19),$P$20))-SUM($P646:V646)</f>
        <v>0</v>
      </c>
      <c r="X646" s="446">
        <f>IF(OR($B646="",MIN(X$38,$D$19)&lt;MAX($P$612*($B646+IF($R$17="Distrato",$I$38-1,0)),IF(AND($L$615=0,$P$612=0),"",$L$615-1),IF($R$17="Distrato",$E646,0))),0,YEARFRAC(MAX($P$612*($B646+IF($R$17="Distrato",$I$38-1,0)),IF(AND($L$615=0,$P$612=0),"",$L$615-1),IF($R$17="Distrato",$E646,0)),MIN(X$38,$D$19),$P$20))-SUM($P646:W646)</f>
        <v>0</v>
      </c>
      <c r="Y646" s="446">
        <f>IF(OR($B646="",MIN(Y$38,$D$19)&lt;MAX($P$612*($B646+IF($R$17="Distrato",$I$38-1,0)),IF(AND($L$615=0,$P$612=0),"",$L$615-1),IF($R$17="Distrato",$E646,0))),0,YEARFRAC(MAX($P$612*($B646+IF($R$17="Distrato",$I$38-1,0)),IF(AND($L$615=0,$P$612=0),"",$L$615-1),IF($R$17="Distrato",$E646,0)),MIN(Y$38,$D$19),$P$20))-SUM($P646:X646)</f>
        <v>0</v>
      </c>
      <c r="Z646" s="446">
        <f>IF(OR($B646="",MIN(Z$38,$D$19)&lt;MAX($P$612*($B646+IF($R$17="Distrato",$I$38-1,0)),IF(AND($L$615=0,$P$612=0),"",$L$615-1),IF($R$17="Distrato",$E646,0))),0,YEARFRAC(MAX($P$612*($B646+IF($R$17="Distrato",$I$38-1,0)),IF(AND($L$615=0,$P$612=0),"",$L$615-1),IF($R$17="Distrato",$E646,0)),MIN(Z$38,$D$19),$P$20))-SUM($P646:Y646)</f>
        <v>0</v>
      </c>
      <c r="AA646" s="446">
        <f>IF(OR($B646="",MIN(AA$38,$D$19)&lt;MAX($P$612*($B646+IF($R$17="Distrato",$I$38-1,0)),IF(AND($L$615=0,$P$612=0),"",$L$615-1),IF($R$17="Distrato",$E646,0))),0,YEARFRAC(MAX($P$612*($B646+IF($R$17="Distrato",$I$38-1,0)),IF(AND($L$615=0,$P$612=0),"",$L$615-1),IF($R$17="Distrato",$E646,0)),MIN(AA$38,$D$19),$P$20))-SUM($P646:Z646)</f>
        <v>0</v>
      </c>
      <c r="AB646" s="446">
        <f>IF(OR($B646="",MIN(AB$38,$D$19)&lt;MAX($P$612*($B646+IF($R$17="Distrato",$I$38-1,0)),IF(AND($L$615=0,$P$612=0),"",$L$615-1),IF($R$17="Distrato",$E646,0))),0,YEARFRAC(MAX($P$612*($B646+IF($R$17="Distrato",$I$38-1,0)),IF(AND($L$615=0,$P$612=0),"",$L$615-1),IF($R$17="Distrato",$E646,0)),MIN(AB$38,$D$19),$P$20))-SUM($P646:AA646)</f>
        <v>0</v>
      </c>
      <c r="AC646" s="446">
        <f>IF(OR($B646="",MIN(AC$38,$D$19)&lt;MAX($P$612*($B646+IF($R$17="Distrato",$I$38-1,0)),IF(AND($L$615=0,$P$612=0),"",$L$615-1),IF($R$17="Distrato",$E646,0))),0,YEARFRAC(MAX($P$612*($B646+IF($R$17="Distrato",$I$38-1,0)),IF(AND($L$615=0,$P$612=0),"",$L$615-1),IF($R$17="Distrato",$E646,0)),MIN(AC$38,$D$19),$P$20))-SUM($P646:AB646)</f>
        <v>0</v>
      </c>
      <c r="AD646" s="446">
        <f>IF(OR($B646="",MIN(AD$38,$D$19)&lt;MAX($P$612*($B646+IF($R$17="Distrato",$I$38-1,0)),IF(AND($L$615=0,$P$612=0),"",$L$615-1),IF($R$17="Distrato",$E646,0))),0,YEARFRAC(MAX($P$612*($B646+IF($R$17="Distrato",$I$38-1,0)),IF(AND($L$615=0,$P$612=0),"",$L$615-1),IF($R$17="Distrato",$E646,0)),MIN(AD$38,$D$19),$P$20))-SUM($P646:AC646)</f>
        <v>0</v>
      </c>
      <c r="AE646" s="446">
        <f>IF(OR($B646="",MIN(AE$38,$D$19)&lt;MAX($P$612*($B646+IF($R$17="Distrato",$I$38-1,0)),IF(AND($L$615=0,$P$612=0),"",$L$615-1),IF($R$17="Distrato",$E646,0))),0,YEARFRAC(MAX($P$612*($B646+IF($R$17="Distrato",$I$38-1,0)),IF(AND($L$615=0,$P$612=0),"",$L$615-1),IF($R$17="Distrato",$E646,0)),MIN(AE$38,$D$19),$P$20))-SUM($P646:AD646)</f>
        <v>0</v>
      </c>
      <c r="AF646" s="446">
        <f>IF(OR($B646="",MIN(AF$38,$D$19)&lt;MAX($P$612*($B646+IF($R$17="Distrato",$I$38-1,0)),IF(AND($L$615=0,$P$612=0),"",$L$615-1),IF($R$17="Distrato",$E646,0))),0,YEARFRAC(MAX($P$612*($B646+IF($R$17="Distrato",$I$38-1,0)),IF(AND($L$615=0,$P$612=0),"",$L$615-1),IF($R$17="Distrato",$E646,0)),MIN(AF$38,$D$19),$P$20))-SUM($P646:AE646)</f>
        <v>0</v>
      </c>
      <c r="AG646" s="446">
        <f>IF(OR($B646="",MIN(AG$38,$D$19)&lt;MAX($P$612*($B646+IF($R$17="Distrato",$I$38-1,0)),IF(AND($L$615=0,$P$612=0),"",$L$615-1),IF($R$17="Distrato",$E646,0))),0,YEARFRAC(MAX($P$612*($B646+IF($R$17="Distrato",$I$38-1,0)),IF(AND($L$615=0,$P$612=0),"",$L$615-1),IF($R$17="Distrato",$E646,0)),MIN(AG$38,$D$19),$P$20))-SUM($P646:AF646)</f>
        <v>0</v>
      </c>
      <c r="AH646" s="446">
        <f>IF(OR($B646="",MIN(AH$38,$D$19)&lt;MAX($P$612*($B646+IF($R$17="Distrato",$I$38-1,0)),IF(AND($L$615=0,$P$612=0),"",$L$615-1),IF($R$17="Distrato",$E646,0))),0,YEARFRAC(MAX($P$612*($B646+IF($R$17="Distrato",$I$38-1,0)),IF(AND($L$615=0,$P$612=0),"",$L$615-1),IF($R$17="Distrato",$E646,0)),MIN(AH$38,$D$19),$P$20))-SUM($P646:AG646)</f>
        <v>0</v>
      </c>
      <c r="AI646" s="446">
        <f>IF(OR($B646="",MIN(AI$38,$D$19)&lt;MAX($P$612*($B646+IF($R$17="Distrato",$I$38-1,0)),IF(AND($L$615=0,$P$612=0),"",$L$615-1),IF($R$17="Distrato",$E646,0))),0,YEARFRAC(MAX($P$612*($B646+IF($R$17="Distrato",$I$38-1,0)),IF(AND($L$615=0,$P$612=0),"",$L$615-1),IF($R$17="Distrato",$E646,0)),MIN(AI$38,$D$19),$P$20))-SUM($P646:AH646)</f>
        <v>0</v>
      </c>
      <c r="AJ646" s="446">
        <f>IF(OR($B646="",MIN(AJ$38,$D$19)&lt;MAX($P$612*($B646+IF($R$17="Distrato",$I$38-1,0)),IF(AND($L$615=0,$P$612=0),"",$L$615-1),IF($R$17="Distrato",$E646,0))),0,YEARFRAC(MAX($P$612*($B646+IF($R$17="Distrato",$I$38-1,0)),IF(AND($L$615=0,$P$612=0),"",$L$615-1),IF($R$17="Distrato",$E646,0)),MIN(AJ$38,$D$19),$P$20))-SUM($P646:AI646)</f>
        <v>0</v>
      </c>
      <c r="AK646" s="446">
        <f>IF(OR($B646="",MIN(AK$38,$D$19)&lt;MAX($P$612*($B646+IF($R$17="Distrato",$I$38-1,0)),IF(AND($L$615=0,$P$612=0),"",$L$615-1),IF($R$17="Distrato",$E646,0))),0,YEARFRAC(MAX($P$612*($B646+IF($R$17="Distrato",$I$38-1,0)),IF(AND($L$615=0,$P$612=0),"",$L$615-1),IF($R$17="Distrato",$E646,0)),MIN(AK$38,$D$19),$P$20))-SUM($P646:AJ646)</f>
        <v>0</v>
      </c>
      <c r="AL646" s="446">
        <f>IF(OR($B646="",MIN(AL$38,$D$19)&lt;MAX($P$612*($B646+IF($R$17="Distrato",$I$38-1,0)),IF(AND($L$615=0,$P$612=0),"",$L$615-1),IF($R$17="Distrato",$E646,0))),0,YEARFRAC(MAX($P$612*($B646+IF($R$17="Distrato",$I$38-1,0)),IF(AND($L$615=0,$P$612=0),"",$L$615-1),IF($R$17="Distrato",$E646,0)),MIN(AL$38,$D$19),$P$20))-SUM($P646:AK646)</f>
        <v>0</v>
      </c>
      <c r="AM646" s="446">
        <f>IF(OR($B646="",MIN(AM$38,$D$19)&lt;MAX($P$612*($B646+IF($R$17="Distrato",$I$38-1,0)),IF(AND($L$615=0,$P$612=0),"",$L$615-1),IF($R$17="Distrato",$E646,0))),0,YEARFRAC(MAX($P$612*($B646+IF($R$17="Distrato",$I$38-1,0)),IF(AND($L$615=0,$P$612=0),"",$L$615-1),IF($R$17="Distrato",$E646,0)),MIN(AM$38,$D$19),$P$20))-SUM($P646:AL646)</f>
        <v>0</v>
      </c>
      <c r="AN646" s="446">
        <f>IF(OR($B646="",MIN(AN$38,$D$19)&lt;MAX($P$612*($B646+IF($R$17="Distrato",$I$38-1,0)),IF(AND($L$615=0,$P$612=0),"",$L$615-1),IF($R$17="Distrato",$E646,0))),0,YEARFRAC(MAX($P$612*($B646+IF($R$17="Distrato",$I$38-1,0)),IF(AND($L$615=0,$P$612=0),"",$L$615-1),IF($R$17="Distrato",$E646,0)),MIN(AN$38,$D$19),$P$20))-SUM($P646:AM646)</f>
        <v>0</v>
      </c>
      <c r="AO646" s="446">
        <f>IF(OR($B646="",MIN(AO$38,$D$19)&lt;MAX($P$612*($B646+IF($R$17="Distrato",$I$38-1,0)),IF(AND($L$615=0,$P$612=0),"",$L$615-1),IF($R$17="Distrato",$E646,0))),0,YEARFRAC(MAX($P$612*($B646+IF($R$17="Distrato",$I$38-1,0)),IF(AND($L$615=0,$P$612=0),"",$L$615-1),IF($R$17="Distrato",$E646,0)),MIN(AO$38,$D$19),$P$20))-SUM($P646:AN646)</f>
        <v>0</v>
      </c>
      <c r="AP646" s="446">
        <f>IF(OR($B646="",MIN(AP$38,$D$19)&lt;MAX($P$612*($B646+IF($R$17="Distrato",$I$38-1,0)),IF(AND($L$615=0,$P$612=0),"",$L$615-1),IF($R$17="Distrato",$E646,0))),0,YEARFRAC(MAX($P$612*($B646+IF($R$17="Distrato",$I$38-1,0)),IF(AND($L$615=0,$P$612=0),"",$L$615-1),IF($R$17="Distrato",$E646,0)),MIN(AP$38,$D$19),$P$20))-SUM($P646:AO646)</f>
        <v>0</v>
      </c>
      <c r="AQ646" s="446">
        <f>IF(OR($B646="",MIN(AQ$38,$D$19)&lt;MAX($P$612*($B646+IF($R$17="Distrato",$I$38-1,0)),IF(AND($L$615=0,$P$612=0),"",$L$615-1),IF($R$17="Distrato",$E646,0))),0,YEARFRAC(MAX($P$612*($B646+IF($R$17="Distrato",$I$38-1,0)),IF(AND($L$615=0,$P$612=0),"",$L$615-1),IF($R$17="Distrato",$E646,0)),MIN(AQ$38,$D$19),$P$20))-SUM($P646:AP646)</f>
        <v>0</v>
      </c>
      <c r="AR646" s="446">
        <f>IF(OR($B646="",MIN(AR$38,$D$19)&lt;MAX($P$612*($B646+IF($R$17="Distrato",$I$38-1,0)),IF(AND($L$615=0,$P$612=0),"",$L$615-1),IF($R$17="Distrato",$E646,0))),0,YEARFRAC(MAX($P$612*($B646+IF($R$17="Distrato",$I$38-1,0)),IF(AND($L$615=0,$P$612=0),"",$L$615-1),IF($R$17="Distrato",$E646,0)),MIN(AR$38,$D$19),$P$20))-SUM($P646:AQ646)</f>
        <v>0</v>
      </c>
      <c r="AS646" s="446">
        <f>IF(OR($B646="",MIN(AS$38,$D$19)&lt;MAX($P$612*($B646+IF($R$17="Distrato",$I$38-1,0)),IF(AND($L$615=0,$P$612=0),"",$L$615-1),IF($R$17="Distrato",$E646,0))),0,YEARFRAC(MAX($P$612*($B646+IF($R$17="Distrato",$I$38-1,0)),IF(AND($L$615=0,$P$612=0),"",$L$615-1),IF($R$17="Distrato",$E646,0)),MIN(AS$38,$D$19),$P$20))-SUM($P646:AR646)</f>
        <v>0</v>
      </c>
      <c r="AT646" s="446">
        <f>IF(OR($B646="",MIN(AT$38,$D$19)&lt;MAX($P$612*($B646+IF($R$17="Distrato",$I$38-1,0)),IF(AND($L$615=0,$P$612=0),"",$L$615-1),IF($R$17="Distrato",$E646,0))),0,YEARFRAC(MAX($P$612*($B646+IF($R$17="Distrato",$I$38-1,0)),IF(AND($L$615=0,$P$612=0),"",$L$615-1),IF($R$17="Distrato",$E646,0)),MIN(AT$38,$D$19),$P$20))-SUM($P646:AS646)</f>
        <v>0</v>
      </c>
      <c r="AU646" s="446">
        <f>IF(OR($B646="",MIN(AU$38,$D$19)&lt;MAX($P$612*($B646+IF($R$17="Distrato",$I$38-1,0)),IF(AND($L$615=0,$P$612=0),"",$L$615-1),IF($R$17="Distrato",$E646,0))),0,YEARFRAC(MAX($P$612*($B646+IF($R$17="Distrato",$I$38-1,0)),IF(AND($L$615=0,$P$612=0),"",$L$615-1),IF($R$17="Distrato",$E646,0)),MIN(AU$38,$D$19),$P$20))-SUM($P646:AT646)</f>
        <v>0</v>
      </c>
      <c r="AV646" s="446">
        <f>IF(OR($B646="",MIN(AV$38,$D$19)&lt;MAX($P$612*($B646+IF($R$17="Distrato",$I$38-1,0)),IF(AND($L$615=0,$P$612=0),"",$L$615-1),IF($R$17="Distrato",$E646,0))),0,YEARFRAC(MAX($P$612*($B646+IF($R$17="Distrato",$I$38-1,0)),IF(AND($L$615=0,$P$612=0),"",$L$615-1),IF($R$17="Distrato",$E646,0)),MIN(AV$38,$D$19),$P$20))-SUM($P646:AU646)</f>
        <v>0</v>
      </c>
      <c r="AW646" s="446">
        <f>IF(OR($B646="",MIN(AW$38,$D$19)&lt;MAX($P$612*($B646+IF($R$17="Distrato",$I$38-1,0)),IF(AND($L$615=0,$P$612=0),"",$L$615-1),IF($R$17="Distrato",$E646,0))),0,YEARFRAC(MAX($P$612*($B646+IF($R$17="Distrato",$I$38-1,0)),IF(AND($L$615=0,$P$612=0),"",$L$615-1),IF($R$17="Distrato",$E646,0)),MIN(AW$38,$D$19),$P$20))-SUM($P646:AV646)</f>
        <v>0</v>
      </c>
      <c r="AX646" s="446">
        <f>IF(OR($B646="",MIN(AX$38,$D$19)&lt;MAX($P$612*($B646+IF($R$17="Distrato",$I$38-1,0)),IF(AND($L$615=0,$P$612=0),"",$L$615-1),IF($R$17="Distrato",$E646,0))),0,YEARFRAC(MAX($P$612*($B646+IF($R$17="Distrato",$I$38-1,0)),IF(AND($L$615=0,$P$612=0),"",$L$615-1),IF($R$17="Distrato",$E646,0)),MIN(AX$38,$D$19),$P$20))-SUM($P646:AW646)</f>
        <v>0</v>
      </c>
      <c r="AY646" s="446">
        <f>IF(OR($B646="",MIN(AY$38,$D$19)&lt;MAX($P$612*($B646+IF($R$17="Distrato",$I$38-1,0)),IF(AND($L$615=0,$P$612=0),"",$L$615-1),IF($R$17="Distrato",$E646,0))),0,YEARFRAC(MAX($P$612*($B646+IF($R$17="Distrato",$I$38-1,0)),IF(AND($L$615=0,$P$612=0),"",$L$615-1),IF($R$17="Distrato",$E646,0)),MIN(AY$38,$D$19),$P$20))-SUM($P646:AX646)</f>
        <v>0</v>
      </c>
      <c r="AZ646" s="446">
        <f>IF(OR($B646="",MIN(AZ$38,$D$19)&lt;MAX($P$612*($B646+IF($R$17="Distrato",$I$38-1,0)),IF(AND($L$615=0,$P$612=0),"",$L$615-1),IF($R$17="Distrato",$E646,0))),0,YEARFRAC(MAX($P$612*($B646+IF($R$17="Distrato",$I$38-1,0)),IF(AND($L$615=0,$P$612=0),"",$L$615-1),IF($R$17="Distrato",$E646,0)),MIN(AZ$38,$D$19),$P$20))-SUM($P646:AY646)</f>
        <v>0</v>
      </c>
      <c r="BA646" s="446">
        <f>IF(OR($B646="",MIN(BA$38,$D$19)&lt;MAX($P$612*($B646+IF($R$17="Distrato",$I$38-1,0)),IF(AND($L$615=0,$P$612=0),"",$L$615-1),IF($R$17="Distrato",$E646,0))),0,YEARFRAC(MAX($P$612*($B646+IF($R$17="Distrato",$I$38-1,0)),IF(AND($L$615=0,$P$612=0),"",$L$615-1),IF($R$17="Distrato",$E646,0)),MIN(BA$38,$D$19),$P$20))-SUM($P646:AZ646)</f>
        <v>0</v>
      </c>
      <c r="BB646" s="447"/>
    </row>
    <row r="647" spans="1:54" s="446" customFormat="1" ht="11.25" hidden="1" x14ac:dyDescent="0.2">
      <c r="A647" s="177"/>
      <c r="B647" s="178"/>
      <c r="C647" s="29" t="str">
        <f>IF(B647="","",IF($L$613="SELIC - TRIBUTOS",VLOOKUP(DATE(YEAR($D$19),MONTH($D$19)-1,1),ÍNDICES!$A:$DE,HLOOKUP($BL$25,ÍNDICES!$B$3:$T$4,2)+11)-VLOOKUP(B647,ÍNDICES!$A:$DE,HLOOKUP($BL$25,ÍNDICES!$B$3:$T$4,2)+11)+1%,IF(C$616=$W$26,$J$613,IF(ISERROR(IF(B647&gt;$D$19,1,VLOOKUP(DATE(YEAR(B647),MONTH(B647)+IF($C$613=$S$23,1,0),1),ÍNDICES!$A:$DE,$Z$613+1))),"",IF(B647&gt;$D$19,1,VLOOKUP(DATE(YEAR(B647),MONTH(B647)+IF($C$613=$S$23,1,0),1),ÍNDICES!$A:$DE,$Z$613+1))))))</f>
        <v/>
      </c>
      <c r="D647" s="155"/>
      <c r="E647" s="179"/>
      <c r="F647" s="29"/>
      <c r="G647" s="180"/>
      <c r="H647" s="181"/>
      <c r="I647" s="182" t="str">
        <f t="shared" si="107"/>
        <v/>
      </c>
      <c r="J647" s="5" t="str">
        <f t="shared" si="108"/>
        <v/>
      </c>
      <c r="K647" s="5">
        <f t="shared" ca="1" si="109"/>
        <v>0</v>
      </c>
      <c r="L647" s="5">
        <f t="shared" ca="1" si="104"/>
        <v>0</v>
      </c>
      <c r="M647" s="64">
        <f t="shared" si="110"/>
        <v>0</v>
      </c>
      <c r="N647" s="61">
        <f t="shared" ca="1" si="105"/>
        <v>0</v>
      </c>
      <c r="O647" s="20">
        <f t="shared" ca="1" si="106"/>
        <v>0</v>
      </c>
      <c r="P647" s="446">
        <f t="shared" si="111"/>
        <v>0</v>
      </c>
      <c r="Q647" s="446">
        <f>IF(OR($B647="",MIN(Q$38,$D$19)&lt;MAX($P$612*($B647+IF($R$17="Distrato",$I$38-1,0)),IF(AND($L$615=0,$P$612=0),"",$L$615-1),IF($R$17="Distrato",$E647,0))),0,YEARFRAC(MAX($P$612*($B647+IF($R$17="Distrato",$I$38-1,0)),IF(AND($L$615=0,$P$612=0),"",$L$615-1),IF($R$17="Distrato",$E647,0)),MIN(Q$38,$D$19),$P$20))-SUM($P647:P647)</f>
        <v>0</v>
      </c>
      <c r="R647" s="446">
        <f>IF(OR($B647="",MIN(R$38,$D$19)&lt;MAX($P$612*($B647+IF($R$17="Distrato",$I$38-1,0)),IF(AND($L$615=0,$P$612=0),"",$L$615-1),IF($R$17="Distrato",$E647,0))),0,YEARFRAC(MAX($P$612*($B647+IF($R$17="Distrato",$I$38-1,0)),IF(AND($L$615=0,$P$612=0),"",$L$615-1),IF($R$17="Distrato",$E647,0)),MIN(R$38,$D$19),$P$20))-SUM($P647:Q647)</f>
        <v>0</v>
      </c>
      <c r="S647" s="446">
        <f>IF(OR($B647="",MIN(S$38,$D$19)&lt;MAX($P$612*($B647+IF($R$17="Distrato",$I$38-1,0)),IF(AND($L$615=0,$P$612=0),"",$L$615-1),IF($R$17="Distrato",$E647,0))),0,YEARFRAC(MAX($P$612*($B647+IF($R$17="Distrato",$I$38-1,0)),IF(AND($L$615=0,$P$612=0),"",$L$615-1),IF($R$17="Distrato",$E647,0)),MIN(S$38,$D$19),$P$20))-SUM($P647:R647)</f>
        <v>0</v>
      </c>
      <c r="T647" s="446">
        <f>IF(OR($B647="",MIN(T$38,$D$19)&lt;MAX($P$612*($B647+IF($R$17="Distrato",$I$38-1,0)),IF(AND($L$615=0,$P$612=0),"",$L$615-1),IF($R$17="Distrato",$E647,0))),0,YEARFRAC(MAX($P$612*($B647+IF($R$17="Distrato",$I$38-1,0)),IF(AND($L$615=0,$P$612=0),"",$L$615-1),IF($R$17="Distrato",$E647,0)),MIN(T$38,$D$19),$P$20))-SUM($P647:S647)</f>
        <v>0</v>
      </c>
      <c r="U647" s="446">
        <f>IF(OR($B647="",MIN(U$38,$D$19)&lt;MAX($P$612*($B647+IF($R$17="Distrato",$I$38-1,0)),IF(AND($L$615=0,$P$612=0),"",$L$615-1),IF($R$17="Distrato",$E647,0))),0,YEARFRAC(MAX($P$612*($B647+IF($R$17="Distrato",$I$38-1,0)),IF(AND($L$615=0,$P$612=0),"",$L$615-1),IF($R$17="Distrato",$E647,0)),MIN(U$38,$D$19),$P$20))-SUM($P647:T647)</f>
        <v>0</v>
      </c>
      <c r="V647" s="446">
        <f>IF(OR($B647="",MIN(V$38,$D$19)&lt;MAX($P$612*($B647+IF($R$17="Distrato",$I$38-1,0)),IF(AND($L$615=0,$P$612=0),"",$L$615-1),IF($R$17="Distrato",$E647,0))),0,YEARFRAC(MAX($P$612*($B647+IF($R$17="Distrato",$I$38-1,0)),IF(AND($L$615=0,$P$612=0),"",$L$615-1),IF($R$17="Distrato",$E647,0)),MIN(V$38,$D$19),$P$20))-SUM($P647:U647)</f>
        <v>0</v>
      </c>
      <c r="W647" s="446">
        <f>IF(OR($B647="",MIN(W$38,$D$19)&lt;MAX($P$612*($B647+IF($R$17="Distrato",$I$38-1,0)),IF(AND($L$615=0,$P$612=0),"",$L$615-1),IF($R$17="Distrato",$E647,0))),0,YEARFRAC(MAX($P$612*($B647+IF($R$17="Distrato",$I$38-1,0)),IF(AND($L$615=0,$P$612=0),"",$L$615-1),IF($R$17="Distrato",$E647,0)),MIN(W$38,$D$19),$P$20))-SUM($P647:V647)</f>
        <v>0</v>
      </c>
      <c r="X647" s="446">
        <f>IF(OR($B647="",MIN(X$38,$D$19)&lt;MAX($P$612*($B647+IF($R$17="Distrato",$I$38-1,0)),IF(AND($L$615=0,$P$612=0),"",$L$615-1),IF($R$17="Distrato",$E647,0))),0,YEARFRAC(MAX($P$612*($B647+IF($R$17="Distrato",$I$38-1,0)),IF(AND($L$615=0,$P$612=0),"",$L$615-1),IF($R$17="Distrato",$E647,0)),MIN(X$38,$D$19),$P$20))-SUM($P647:W647)</f>
        <v>0</v>
      </c>
      <c r="Y647" s="446">
        <f>IF(OR($B647="",MIN(Y$38,$D$19)&lt;MAX($P$612*($B647+IF($R$17="Distrato",$I$38-1,0)),IF(AND($L$615=0,$P$612=0),"",$L$615-1),IF($R$17="Distrato",$E647,0))),0,YEARFRAC(MAX($P$612*($B647+IF($R$17="Distrato",$I$38-1,0)),IF(AND($L$615=0,$P$612=0),"",$L$615-1),IF($R$17="Distrato",$E647,0)),MIN(Y$38,$D$19),$P$20))-SUM($P647:X647)</f>
        <v>0</v>
      </c>
      <c r="Z647" s="446">
        <f>IF(OR($B647="",MIN(Z$38,$D$19)&lt;MAX($P$612*($B647+IF($R$17="Distrato",$I$38-1,0)),IF(AND($L$615=0,$P$612=0),"",$L$615-1),IF($R$17="Distrato",$E647,0))),0,YEARFRAC(MAX($P$612*($B647+IF($R$17="Distrato",$I$38-1,0)),IF(AND($L$615=0,$P$612=0),"",$L$615-1),IF($R$17="Distrato",$E647,0)),MIN(Z$38,$D$19),$P$20))-SUM($P647:Y647)</f>
        <v>0</v>
      </c>
      <c r="AA647" s="446">
        <f>IF(OR($B647="",MIN(AA$38,$D$19)&lt;MAX($P$612*($B647+IF($R$17="Distrato",$I$38-1,0)),IF(AND($L$615=0,$P$612=0),"",$L$615-1),IF($R$17="Distrato",$E647,0))),0,YEARFRAC(MAX($P$612*($B647+IF($R$17="Distrato",$I$38-1,0)),IF(AND($L$615=0,$P$612=0),"",$L$615-1),IF($R$17="Distrato",$E647,0)),MIN(AA$38,$D$19),$P$20))-SUM($P647:Z647)</f>
        <v>0</v>
      </c>
      <c r="AB647" s="446">
        <f>IF(OR($B647="",MIN(AB$38,$D$19)&lt;MAX($P$612*($B647+IF($R$17="Distrato",$I$38-1,0)),IF(AND($L$615=0,$P$612=0),"",$L$615-1),IF($R$17="Distrato",$E647,0))),0,YEARFRAC(MAX($P$612*($B647+IF($R$17="Distrato",$I$38-1,0)),IF(AND($L$615=0,$P$612=0),"",$L$615-1),IF($R$17="Distrato",$E647,0)),MIN(AB$38,$D$19),$P$20))-SUM($P647:AA647)</f>
        <v>0</v>
      </c>
      <c r="AC647" s="446">
        <f>IF(OR($B647="",MIN(AC$38,$D$19)&lt;MAX($P$612*($B647+IF($R$17="Distrato",$I$38-1,0)),IF(AND($L$615=0,$P$612=0),"",$L$615-1),IF($R$17="Distrato",$E647,0))),0,YEARFRAC(MAX($P$612*($B647+IF($R$17="Distrato",$I$38-1,0)),IF(AND($L$615=0,$P$612=0),"",$L$615-1),IF($R$17="Distrato",$E647,0)),MIN(AC$38,$D$19),$P$20))-SUM($P647:AB647)</f>
        <v>0</v>
      </c>
      <c r="AD647" s="446">
        <f>IF(OR($B647="",MIN(AD$38,$D$19)&lt;MAX($P$612*($B647+IF($R$17="Distrato",$I$38-1,0)),IF(AND($L$615=0,$P$612=0),"",$L$615-1),IF($R$17="Distrato",$E647,0))),0,YEARFRAC(MAX($P$612*($B647+IF($R$17="Distrato",$I$38-1,0)),IF(AND($L$615=0,$P$612=0),"",$L$615-1),IF($R$17="Distrato",$E647,0)),MIN(AD$38,$D$19),$P$20))-SUM($P647:AC647)</f>
        <v>0</v>
      </c>
      <c r="AE647" s="446">
        <f>IF(OR($B647="",MIN(AE$38,$D$19)&lt;MAX($P$612*($B647+IF($R$17="Distrato",$I$38-1,0)),IF(AND($L$615=0,$P$612=0),"",$L$615-1),IF($R$17="Distrato",$E647,0))),0,YEARFRAC(MAX($P$612*($B647+IF($R$17="Distrato",$I$38-1,0)),IF(AND($L$615=0,$P$612=0),"",$L$615-1),IF($R$17="Distrato",$E647,0)),MIN(AE$38,$D$19),$P$20))-SUM($P647:AD647)</f>
        <v>0</v>
      </c>
      <c r="AF647" s="446">
        <f>IF(OR($B647="",MIN(AF$38,$D$19)&lt;MAX($P$612*($B647+IF($R$17="Distrato",$I$38-1,0)),IF(AND($L$615=0,$P$612=0),"",$L$615-1),IF($R$17="Distrato",$E647,0))),0,YEARFRAC(MAX($P$612*($B647+IF($R$17="Distrato",$I$38-1,0)),IF(AND($L$615=0,$P$612=0),"",$L$615-1),IF($R$17="Distrato",$E647,0)),MIN(AF$38,$D$19),$P$20))-SUM($P647:AE647)</f>
        <v>0</v>
      </c>
      <c r="AG647" s="446">
        <f>IF(OR($B647="",MIN(AG$38,$D$19)&lt;MAX($P$612*($B647+IF($R$17="Distrato",$I$38-1,0)),IF(AND($L$615=0,$P$612=0),"",$L$615-1),IF($R$17="Distrato",$E647,0))),0,YEARFRAC(MAX($P$612*($B647+IF($R$17="Distrato",$I$38-1,0)),IF(AND($L$615=0,$P$612=0),"",$L$615-1),IF($R$17="Distrato",$E647,0)),MIN(AG$38,$D$19),$P$20))-SUM($P647:AF647)</f>
        <v>0</v>
      </c>
      <c r="AH647" s="446">
        <f>IF(OR($B647="",MIN(AH$38,$D$19)&lt;MAX($P$612*($B647+IF($R$17="Distrato",$I$38-1,0)),IF(AND($L$615=0,$P$612=0),"",$L$615-1),IF($R$17="Distrato",$E647,0))),0,YEARFRAC(MAX($P$612*($B647+IF($R$17="Distrato",$I$38-1,0)),IF(AND($L$615=0,$P$612=0),"",$L$615-1),IF($R$17="Distrato",$E647,0)),MIN(AH$38,$D$19),$P$20))-SUM($P647:AG647)</f>
        <v>0</v>
      </c>
      <c r="AI647" s="446">
        <f>IF(OR($B647="",MIN(AI$38,$D$19)&lt;MAX($P$612*($B647+IF($R$17="Distrato",$I$38-1,0)),IF(AND($L$615=0,$P$612=0),"",$L$615-1),IF($R$17="Distrato",$E647,0))),0,YEARFRAC(MAX($P$612*($B647+IF($R$17="Distrato",$I$38-1,0)),IF(AND($L$615=0,$P$612=0),"",$L$615-1),IF($R$17="Distrato",$E647,0)),MIN(AI$38,$D$19),$P$20))-SUM($P647:AH647)</f>
        <v>0</v>
      </c>
      <c r="AJ647" s="446">
        <f>IF(OR($B647="",MIN(AJ$38,$D$19)&lt;MAX($P$612*($B647+IF($R$17="Distrato",$I$38-1,0)),IF(AND($L$615=0,$P$612=0),"",$L$615-1),IF($R$17="Distrato",$E647,0))),0,YEARFRAC(MAX($P$612*($B647+IF($R$17="Distrato",$I$38-1,0)),IF(AND($L$615=0,$P$612=0),"",$L$615-1),IF($R$17="Distrato",$E647,0)),MIN(AJ$38,$D$19),$P$20))-SUM($P647:AI647)</f>
        <v>0</v>
      </c>
      <c r="AK647" s="446">
        <f>IF(OR($B647="",MIN(AK$38,$D$19)&lt;MAX($P$612*($B647+IF($R$17="Distrato",$I$38-1,0)),IF(AND($L$615=0,$P$612=0),"",$L$615-1),IF($R$17="Distrato",$E647,0))),0,YEARFRAC(MAX($P$612*($B647+IF($R$17="Distrato",$I$38-1,0)),IF(AND($L$615=0,$P$612=0),"",$L$615-1),IF($R$17="Distrato",$E647,0)),MIN(AK$38,$D$19),$P$20))-SUM($P647:AJ647)</f>
        <v>0</v>
      </c>
      <c r="AL647" s="446">
        <f>IF(OR($B647="",MIN(AL$38,$D$19)&lt;MAX($P$612*($B647+IF($R$17="Distrato",$I$38-1,0)),IF(AND($L$615=0,$P$612=0),"",$L$615-1),IF($R$17="Distrato",$E647,0))),0,YEARFRAC(MAX($P$612*($B647+IF($R$17="Distrato",$I$38-1,0)),IF(AND($L$615=0,$P$612=0),"",$L$615-1),IF($R$17="Distrato",$E647,0)),MIN(AL$38,$D$19),$P$20))-SUM($P647:AK647)</f>
        <v>0</v>
      </c>
      <c r="AM647" s="446">
        <f>IF(OR($B647="",MIN(AM$38,$D$19)&lt;MAX($P$612*($B647+IF($R$17="Distrato",$I$38-1,0)),IF(AND($L$615=0,$P$612=0),"",$L$615-1),IF($R$17="Distrato",$E647,0))),0,YEARFRAC(MAX($P$612*($B647+IF($R$17="Distrato",$I$38-1,0)),IF(AND($L$615=0,$P$612=0),"",$L$615-1),IF($R$17="Distrato",$E647,0)),MIN(AM$38,$D$19),$P$20))-SUM($P647:AL647)</f>
        <v>0</v>
      </c>
      <c r="AN647" s="446">
        <f>IF(OR($B647="",MIN(AN$38,$D$19)&lt;MAX($P$612*($B647+IF($R$17="Distrato",$I$38-1,0)),IF(AND($L$615=0,$P$612=0),"",$L$615-1),IF($R$17="Distrato",$E647,0))),0,YEARFRAC(MAX($P$612*($B647+IF($R$17="Distrato",$I$38-1,0)),IF(AND($L$615=0,$P$612=0),"",$L$615-1),IF($R$17="Distrato",$E647,0)),MIN(AN$38,$D$19),$P$20))-SUM($P647:AM647)</f>
        <v>0</v>
      </c>
      <c r="AO647" s="446">
        <f>IF(OR($B647="",MIN(AO$38,$D$19)&lt;MAX($P$612*($B647+IF($R$17="Distrato",$I$38-1,0)),IF(AND($L$615=0,$P$612=0),"",$L$615-1),IF($R$17="Distrato",$E647,0))),0,YEARFRAC(MAX($P$612*($B647+IF($R$17="Distrato",$I$38-1,0)),IF(AND($L$615=0,$P$612=0),"",$L$615-1),IF($R$17="Distrato",$E647,0)),MIN(AO$38,$D$19),$P$20))-SUM($P647:AN647)</f>
        <v>0</v>
      </c>
      <c r="AP647" s="446">
        <f>IF(OR($B647="",MIN(AP$38,$D$19)&lt;MAX($P$612*($B647+IF($R$17="Distrato",$I$38-1,0)),IF(AND($L$615=0,$P$612=0),"",$L$615-1),IF($R$17="Distrato",$E647,0))),0,YEARFRAC(MAX($P$612*($B647+IF($R$17="Distrato",$I$38-1,0)),IF(AND($L$615=0,$P$612=0),"",$L$615-1),IF($R$17="Distrato",$E647,0)),MIN(AP$38,$D$19),$P$20))-SUM($P647:AO647)</f>
        <v>0</v>
      </c>
      <c r="AQ647" s="446">
        <f>IF(OR($B647="",MIN(AQ$38,$D$19)&lt;MAX($P$612*($B647+IF($R$17="Distrato",$I$38-1,0)),IF(AND($L$615=0,$P$612=0),"",$L$615-1),IF($R$17="Distrato",$E647,0))),0,YEARFRAC(MAX($P$612*($B647+IF($R$17="Distrato",$I$38-1,0)),IF(AND($L$615=0,$P$612=0),"",$L$615-1),IF($R$17="Distrato",$E647,0)),MIN(AQ$38,$D$19),$P$20))-SUM($P647:AP647)</f>
        <v>0</v>
      </c>
      <c r="AR647" s="446">
        <f>IF(OR($B647="",MIN(AR$38,$D$19)&lt;MAX($P$612*($B647+IF($R$17="Distrato",$I$38-1,0)),IF(AND($L$615=0,$P$612=0),"",$L$615-1),IF($R$17="Distrato",$E647,0))),0,YEARFRAC(MAX($P$612*($B647+IF($R$17="Distrato",$I$38-1,0)),IF(AND($L$615=0,$P$612=0),"",$L$615-1),IF($R$17="Distrato",$E647,0)),MIN(AR$38,$D$19),$P$20))-SUM($P647:AQ647)</f>
        <v>0</v>
      </c>
      <c r="AS647" s="446">
        <f>IF(OR($B647="",MIN(AS$38,$D$19)&lt;MAX($P$612*($B647+IF($R$17="Distrato",$I$38-1,0)),IF(AND($L$615=0,$P$612=0),"",$L$615-1),IF($R$17="Distrato",$E647,0))),0,YEARFRAC(MAX($P$612*($B647+IF($R$17="Distrato",$I$38-1,0)),IF(AND($L$615=0,$P$612=0),"",$L$615-1),IF($R$17="Distrato",$E647,0)),MIN(AS$38,$D$19),$P$20))-SUM($P647:AR647)</f>
        <v>0</v>
      </c>
      <c r="AT647" s="446">
        <f>IF(OR($B647="",MIN(AT$38,$D$19)&lt;MAX($P$612*($B647+IF($R$17="Distrato",$I$38-1,0)),IF(AND($L$615=0,$P$612=0),"",$L$615-1),IF($R$17="Distrato",$E647,0))),0,YEARFRAC(MAX($P$612*($B647+IF($R$17="Distrato",$I$38-1,0)),IF(AND($L$615=0,$P$612=0),"",$L$615-1),IF($R$17="Distrato",$E647,0)),MIN(AT$38,$D$19),$P$20))-SUM($P647:AS647)</f>
        <v>0</v>
      </c>
      <c r="AU647" s="446">
        <f>IF(OR($B647="",MIN(AU$38,$D$19)&lt;MAX($P$612*($B647+IF($R$17="Distrato",$I$38-1,0)),IF(AND($L$615=0,$P$612=0),"",$L$615-1),IF($R$17="Distrato",$E647,0))),0,YEARFRAC(MAX($P$612*($B647+IF($R$17="Distrato",$I$38-1,0)),IF(AND($L$615=0,$P$612=0),"",$L$615-1),IF($R$17="Distrato",$E647,0)),MIN(AU$38,$D$19),$P$20))-SUM($P647:AT647)</f>
        <v>0</v>
      </c>
      <c r="AV647" s="446">
        <f>IF(OR($B647="",MIN(AV$38,$D$19)&lt;MAX($P$612*($B647+IF($R$17="Distrato",$I$38-1,0)),IF(AND($L$615=0,$P$612=0),"",$L$615-1),IF($R$17="Distrato",$E647,0))),0,YEARFRAC(MAX($P$612*($B647+IF($R$17="Distrato",$I$38-1,0)),IF(AND($L$615=0,$P$612=0),"",$L$615-1),IF($R$17="Distrato",$E647,0)),MIN(AV$38,$D$19),$P$20))-SUM($P647:AU647)</f>
        <v>0</v>
      </c>
      <c r="AW647" s="446">
        <f>IF(OR($B647="",MIN(AW$38,$D$19)&lt;MAX($P$612*($B647+IF($R$17="Distrato",$I$38-1,0)),IF(AND($L$615=0,$P$612=0),"",$L$615-1),IF($R$17="Distrato",$E647,0))),0,YEARFRAC(MAX($P$612*($B647+IF($R$17="Distrato",$I$38-1,0)),IF(AND($L$615=0,$P$612=0),"",$L$615-1),IF($R$17="Distrato",$E647,0)),MIN(AW$38,$D$19),$P$20))-SUM($P647:AV647)</f>
        <v>0</v>
      </c>
      <c r="AX647" s="446">
        <f>IF(OR($B647="",MIN(AX$38,$D$19)&lt;MAX($P$612*($B647+IF($R$17="Distrato",$I$38-1,0)),IF(AND($L$615=0,$P$612=0),"",$L$615-1),IF($R$17="Distrato",$E647,0))),0,YEARFRAC(MAX($P$612*($B647+IF($R$17="Distrato",$I$38-1,0)),IF(AND($L$615=0,$P$612=0),"",$L$615-1),IF($R$17="Distrato",$E647,0)),MIN(AX$38,$D$19),$P$20))-SUM($P647:AW647)</f>
        <v>0</v>
      </c>
      <c r="AY647" s="446">
        <f>IF(OR($B647="",MIN(AY$38,$D$19)&lt;MAX($P$612*($B647+IF($R$17="Distrato",$I$38-1,0)),IF(AND($L$615=0,$P$612=0),"",$L$615-1),IF($R$17="Distrato",$E647,0))),0,YEARFRAC(MAX($P$612*($B647+IF($R$17="Distrato",$I$38-1,0)),IF(AND($L$615=0,$P$612=0),"",$L$615-1),IF($R$17="Distrato",$E647,0)),MIN(AY$38,$D$19),$P$20))-SUM($P647:AX647)</f>
        <v>0</v>
      </c>
      <c r="AZ647" s="446">
        <f>IF(OR($B647="",MIN(AZ$38,$D$19)&lt;MAX($P$612*($B647+IF($R$17="Distrato",$I$38-1,0)),IF(AND($L$615=0,$P$612=0),"",$L$615-1),IF($R$17="Distrato",$E647,0))),0,YEARFRAC(MAX($P$612*($B647+IF($R$17="Distrato",$I$38-1,0)),IF(AND($L$615=0,$P$612=0),"",$L$615-1),IF($R$17="Distrato",$E647,0)),MIN(AZ$38,$D$19),$P$20))-SUM($P647:AY647)</f>
        <v>0</v>
      </c>
      <c r="BA647" s="446">
        <f>IF(OR($B647="",MIN(BA$38,$D$19)&lt;MAX($P$612*($B647+IF($R$17="Distrato",$I$38-1,0)),IF(AND($L$615=0,$P$612=0),"",$L$615-1),IF($R$17="Distrato",$E647,0))),0,YEARFRAC(MAX($P$612*($B647+IF($R$17="Distrato",$I$38-1,0)),IF(AND($L$615=0,$P$612=0),"",$L$615-1),IF($R$17="Distrato",$E647,0)),MIN(BA$38,$D$19),$P$20))-SUM($P647:AZ647)</f>
        <v>0</v>
      </c>
      <c r="BB647" s="447"/>
    </row>
    <row r="648" spans="1:54" s="446" customFormat="1" ht="11.25" hidden="1" x14ac:dyDescent="0.2">
      <c r="A648" s="177"/>
      <c r="B648" s="178"/>
      <c r="C648" s="29" t="str">
        <f>IF(B648="","",IF($L$613="SELIC - TRIBUTOS",VLOOKUP(DATE(YEAR($D$19),MONTH($D$19)-1,1),ÍNDICES!$A:$DE,HLOOKUP($BL$25,ÍNDICES!$B$3:$T$4,2)+11)-VLOOKUP(B648,ÍNDICES!$A:$DE,HLOOKUP($BL$25,ÍNDICES!$B$3:$T$4,2)+11)+1%,IF(C$616=$W$26,$J$613,IF(ISERROR(IF(B648&gt;$D$19,1,VLOOKUP(DATE(YEAR(B648),MONTH(B648)+IF($C$613=$S$23,1,0),1),ÍNDICES!$A:$DE,$Z$613+1))),"",IF(B648&gt;$D$19,1,VLOOKUP(DATE(YEAR(B648),MONTH(B648)+IF($C$613=$S$23,1,0),1),ÍNDICES!$A:$DE,$Z$613+1))))))</f>
        <v/>
      </c>
      <c r="D648" s="155"/>
      <c r="E648" s="179"/>
      <c r="F648" s="29"/>
      <c r="G648" s="180"/>
      <c r="H648" s="181"/>
      <c r="I648" s="182" t="str">
        <f t="shared" si="107"/>
        <v/>
      </c>
      <c r="J648" s="5" t="str">
        <f t="shared" si="108"/>
        <v/>
      </c>
      <c r="K648" s="5">
        <f t="shared" ca="1" si="109"/>
        <v>0</v>
      </c>
      <c r="L648" s="5">
        <f t="shared" ca="1" si="104"/>
        <v>0</v>
      </c>
      <c r="M648" s="64">
        <f t="shared" si="110"/>
        <v>0</v>
      </c>
      <c r="N648" s="61">
        <f t="shared" ca="1" si="105"/>
        <v>0</v>
      </c>
      <c r="O648" s="20">
        <f t="shared" ca="1" si="106"/>
        <v>0</v>
      </c>
      <c r="P648" s="446">
        <f t="shared" si="111"/>
        <v>0</v>
      </c>
      <c r="Q648" s="446">
        <f>IF(OR($B648="",MIN(Q$38,$D$19)&lt;MAX($P$612*($B648+IF($R$17="Distrato",$I$38-1,0)),IF(AND($L$615=0,$P$612=0),"",$L$615-1),IF($R$17="Distrato",$E648,0))),0,YEARFRAC(MAX($P$612*($B648+IF($R$17="Distrato",$I$38-1,0)),IF(AND($L$615=0,$P$612=0),"",$L$615-1),IF($R$17="Distrato",$E648,0)),MIN(Q$38,$D$19),$P$20))-SUM($P648:P648)</f>
        <v>0</v>
      </c>
      <c r="R648" s="446">
        <f>IF(OR($B648="",MIN(R$38,$D$19)&lt;MAX($P$612*($B648+IF($R$17="Distrato",$I$38-1,0)),IF(AND($L$615=0,$P$612=0),"",$L$615-1),IF($R$17="Distrato",$E648,0))),0,YEARFRAC(MAX($P$612*($B648+IF($R$17="Distrato",$I$38-1,0)),IF(AND($L$615=0,$P$612=0),"",$L$615-1),IF($R$17="Distrato",$E648,0)),MIN(R$38,$D$19),$P$20))-SUM($P648:Q648)</f>
        <v>0</v>
      </c>
      <c r="S648" s="446">
        <f>IF(OR($B648="",MIN(S$38,$D$19)&lt;MAX($P$612*($B648+IF($R$17="Distrato",$I$38-1,0)),IF(AND($L$615=0,$P$612=0),"",$L$615-1),IF($R$17="Distrato",$E648,0))),0,YEARFRAC(MAX($P$612*($B648+IF($R$17="Distrato",$I$38-1,0)),IF(AND($L$615=0,$P$612=0),"",$L$615-1),IF($R$17="Distrato",$E648,0)),MIN(S$38,$D$19),$P$20))-SUM($P648:R648)</f>
        <v>0</v>
      </c>
      <c r="T648" s="446">
        <f>IF(OR($B648="",MIN(T$38,$D$19)&lt;MAX($P$612*($B648+IF($R$17="Distrato",$I$38-1,0)),IF(AND($L$615=0,$P$612=0),"",$L$615-1),IF($R$17="Distrato",$E648,0))),0,YEARFRAC(MAX($P$612*($B648+IF($R$17="Distrato",$I$38-1,0)),IF(AND($L$615=0,$P$612=0),"",$L$615-1),IF($R$17="Distrato",$E648,0)),MIN(T$38,$D$19),$P$20))-SUM($P648:S648)</f>
        <v>0</v>
      </c>
      <c r="U648" s="446">
        <f>IF(OR($B648="",MIN(U$38,$D$19)&lt;MAX($P$612*($B648+IF($R$17="Distrato",$I$38-1,0)),IF(AND($L$615=0,$P$612=0),"",$L$615-1),IF($R$17="Distrato",$E648,0))),0,YEARFRAC(MAX($P$612*($B648+IF($R$17="Distrato",$I$38-1,0)),IF(AND($L$615=0,$P$612=0),"",$L$615-1),IF($R$17="Distrato",$E648,0)),MIN(U$38,$D$19),$P$20))-SUM($P648:T648)</f>
        <v>0</v>
      </c>
      <c r="V648" s="446">
        <f>IF(OR($B648="",MIN(V$38,$D$19)&lt;MAX($P$612*($B648+IF($R$17="Distrato",$I$38-1,0)),IF(AND($L$615=0,$P$612=0),"",$L$615-1),IF($R$17="Distrato",$E648,0))),0,YEARFRAC(MAX($P$612*($B648+IF($R$17="Distrato",$I$38-1,0)),IF(AND($L$615=0,$P$612=0),"",$L$615-1),IF($R$17="Distrato",$E648,0)),MIN(V$38,$D$19),$P$20))-SUM($P648:U648)</f>
        <v>0</v>
      </c>
      <c r="W648" s="446">
        <f>IF(OR($B648="",MIN(W$38,$D$19)&lt;MAX($P$612*($B648+IF($R$17="Distrato",$I$38-1,0)),IF(AND($L$615=0,$P$612=0),"",$L$615-1),IF($R$17="Distrato",$E648,0))),0,YEARFRAC(MAX($P$612*($B648+IF($R$17="Distrato",$I$38-1,0)),IF(AND($L$615=0,$P$612=0),"",$L$615-1),IF($R$17="Distrato",$E648,0)),MIN(W$38,$D$19),$P$20))-SUM($P648:V648)</f>
        <v>0</v>
      </c>
      <c r="X648" s="446">
        <f>IF(OR($B648="",MIN(X$38,$D$19)&lt;MAX($P$612*($B648+IF($R$17="Distrato",$I$38-1,0)),IF(AND($L$615=0,$P$612=0),"",$L$615-1),IF($R$17="Distrato",$E648,0))),0,YEARFRAC(MAX($P$612*($B648+IF($R$17="Distrato",$I$38-1,0)),IF(AND($L$615=0,$P$612=0),"",$L$615-1),IF($R$17="Distrato",$E648,0)),MIN(X$38,$D$19),$P$20))-SUM($P648:W648)</f>
        <v>0</v>
      </c>
      <c r="Y648" s="446">
        <f>IF(OR($B648="",MIN(Y$38,$D$19)&lt;MAX($P$612*($B648+IF($R$17="Distrato",$I$38-1,0)),IF(AND($L$615=0,$P$612=0),"",$L$615-1),IF($R$17="Distrato",$E648,0))),0,YEARFRAC(MAX($P$612*($B648+IF($R$17="Distrato",$I$38-1,0)),IF(AND($L$615=0,$P$612=0),"",$L$615-1),IF($R$17="Distrato",$E648,0)),MIN(Y$38,$D$19),$P$20))-SUM($P648:X648)</f>
        <v>0</v>
      </c>
      <c r="Z648" s="446">
        <f>IF(OR($B648="",MIN(Z$38,$D$19)&lt;MAX($P$612*($B648+IF($R$17="Distrato",$I$38-1,0)),IF(AND($L$615=0,$P$612=0),"",$L$615-1),IF($R$17="Distrato",$E648,0))),0,YEARFRAC(MAX($P$612*($B648+IF($R$17="Distrato",$I$38-1,0)),IF(AND($L$615=0,$P$612=0),"",$L$615-1),IF($R$17="Distrato",$E648,0)),MIN(Z$38,$D$19),$P$20))-SUM($P648:Y648)</f>
        <v>0</v>
      </c>
      <c r="AA648" s="446">
        <f>IF(OR($B648="",MIN(AA$38,$D$19)&lt;MAX($P$612*($B648+IF($R$17="Distrato",$I$38-1,0)),IF(AND($L$615=0,$P$612=0),"",$L$615-1),IF($R$17="Distrato",$E648,0))),0,YEARFRAC(MAX($P$612*($B648+IF($R$17="Distrato",$I$38-1,0)),IF(AND($L$615=0,$P$612=0),"",$L$615-1),IF($R$17="Distrato",$E648,0)),MIN(AA$38,$D$19),$P$20))-SUM($P648:Z648)</f>
        <v>0</v>
      </c>
      <c r="AB648" s="446">
        <f>IF(OR($B648="",MIN(AB$38,$D$19)&lt;MAX($P$612*($B648+IF($R$17="Distrato",$I$38-1,0)),IF(AND($L$615=0,$P$612=0),"",$L$615-1),IF($R$17="Distrato",$E648,0))),0,YEARFRAC(MAX($P$612*($B648+IF($R$17="Distrato",$I$38-1,0)),IF(AND($L$615=0,$P$612=0),"",$L$615-1),IF($R$17="Distrato",$E648,0)),MIN(AB$38,$D$19),$P$20))-SUM($P648:AA648)</f>
        <v>0</v>
      </c>
      <c r="AC648" s="446">
        <f>IF(OR($B648="",MIN(AC$38,$D$19)&lt;MAX($P$612*($B648+IF($R$17="Distrato",$I$38-1,0)),IF(AND($L$615=0,$P$612=0),"",$L$615-1),IF($R$17="Distrato",$E648,0))),0,YEARFRAC(MAX($P$612*($B648+IF($R$17="Distrato",$I$38-1,0)),IF(AND($L$615=0,$P$612=0),"",$L$615-1),IF($R$17="Distrato",$E648,0)),MIN(AC$38,$D$19),$P$20))-SUM($P648:AB648)</f>
        <v>0</v>
      </c>
      <c r="AD648" s="446">
        <f>IF(OR($B648="",MIN(AD$38,$D$19)&lt;MAX($P$612*($B648+IF($R$17="Distrato",$I$38-1,0)),IF(AND($L$615=0,$P$612=0),"",$L$615-1),IF($R$17="Distrato",$E648,0))),0,YEARFRAC(MAX($P$612*($B648+IF($R$17="Distrato",$I$38-1,0)),IF(AND($L$615=0,$P$612=0),"",$L$615-1),IF($R$17="Distrato",$E648,0)),MIN(AD$38,$D$19),$P$20))-SUM($P648:AC648)</f>
        <v>0</v>
      </c>
      <c r="AE648" s="446">
        <f>IF(OR($B648="",MIN(AE$38,$D$19)&lt;MAX($P$612*($B648+IF($R$17="Distrato",$I$38-1,0)),IF(AND($L$615=0,$P$612=0),"",$L$615-1),IF($R$17="Distrato",$E648,0))),0,YEARFRAC(MAX($P$612*($B648+IF($R$17="Distrato",$I$38-1,0)),IF(AND($L$615=0,$P$612=0),"",$L$615-1),IF($R$17="Distrato",$E648,0)),MIN(AE$38,$D$19),$P$20))-SUM($P648:AD648)</f>
        <v>0</v>
      </c>
      <c r="AF648" s="446">
        <f>IF(OR($B648="",MIN(AF$38,$D$19)&lt;MAX($P$612*($B648+IF($R$17="Distrato",$I$38-1,0)),IF(AND($L$615=0,$P$612=0),"",$L$615-1),IF($R$17="Distrato",$E648,0))),0,YEARFRAC(MAX($P$612*($B648+IF($R$17="Distrato",$I$38-1,0)),IF(AND($L$615=0,$P$612=0),"",$L$615-1),IF($R$17="Distrato",$E648,0)),MIN(AF$38,$D$19),$P$20))-SUM($P648:AE648)</f>
        <v>0</v>
      </c>
      <c r="AG648" s="446">
        <f>IF(OR($B648="",MIN(AG$38,$D$19)&lt;MAX($P$612*($B648+IF($R$17="Distrato",$I$38-1,0)),IF(AND($L$615=0,$P$612=0),"",$L$615-1),IF($R$17="Distrato",$E648,0))),0,YEARFRAC(MAX($P$612*($B648+IF($R$17="Distrato",$I$38-1,0)),IF(AND($L$615=0,$P$612=0),"",$L$615-1),IF($R$17="Distrato",$E648,0)),MIN(AG$38,$D$19),$P$20))-SUM($P648:AF648)</f>
        <v>0</v>
      </c>
      <c r="AH648" s="446">
        <f>IF(OR($B648="",MIN(AH$38,$D$19)&lt;MAX($P$612*($B648+IF($R$17="Distrato",$I$38-1,0)),IF(AND($L$615=0,$P$612=0),"",$L$615-1),IF($R$17="Distrato",$E648,0))),0,YEARFRAC(MAX($P$612*($B648+IF($R$17="Distrato",$I$38-1,0)),IF(AND($L$615=0,$P$612=0),"",$L$615-1),IF($R$17="Distrato",$E648,0)),MIN(AH$38,$D$19),$P$20))-SUM($P648:AG648)</f>
        <v>0</v>
      </c>
      <c r="AI648" s="446">
        <f>IF(OR($B648="",MIN(AI$38,$D$19)&lt;MAX($P$612*($B648+IF($R$17="Distrato",$I$38-1,0)),IF(AND($L$615=0,$P$612=0),"",$L$615-1),IF($R$17="Distrato",$E648,0))),0,YEARFRAC(MAX($P$612*($B648+IF($R$17="Distrato",$I$38-1,0)),IF(AND($L$615=0,$P$612=0),"",$L$615-1),IF($R$17="Distrato",$E648,0)),MIN(AI$38,$D$19),$P$20))-SUM($P648:AH648)</f>
        <v>0</v>
      </c>
      <c r="AJ648" s="446">
        <f>IF(OR($B648="",MIN(AJ$38,$D$19)&lt;MAX($P$612*($B648+IF($R$17="Distrato",$I$38-1,0)),IF(AND($L$615=0,$P$612=0),"",$L$615-1),IF($R$17="Distrato",$E648,0))),0,YEARFRAC(MAX($P$612*($B648+IF($R$17="Distrato",$I$38-1,0)),IF(AND($L$615=0,$P$612=0),"",$L$615-1),IF($R$17="Distrato",$E648,0)),MIN(AJ$38,$D$19),$P$20))-SUM($P648:AI648)</f>
        <v>0</v>
      </c>
      <c r="AK648" s="446">
        <f>IF(OR($B648="",MIN(AK$38,$D$19)&lt;MAX($P$612*($B648+IF($R$17="Distrato",$I$38-1,0)),IF(AND($L$615=0,$P$612=0),"",$L$615-1),IF($R$17="Distrato",$E648,0))),0,YEARFRAC(MAX($P$612*($B648+IF($R$17="Distrato",$I$38-1,0)),IF(AND($L$615=0,$P$612=0),"",$L$615-1),IF($R$17="Distrato",$E648,0)),MIN(AK$38,$D$19),$P$20))-SUM($P648:AJ648)</f>
        <v>0</v>
      </c>
      <c r="AL648" s="446">
        <f>IF(OR($B648="",MIN(AL$38,$D$19)&lt;MAX($P$612*($B648+IF($R$17="Distrato",$I$38-1,0)),IF(AND($L$615=0,$P$612=0),"",$L$615-1),IF($R$17="Distrato",$E648,0))),0,YEARFRAC(MAX($P$612*($B648+IF($R$17="Distrato",$I$38-1,0)),IF(AND($L$615=0,$P$612=0),"",$L$615-1),IF($R$17="Distrato",$E648,0)),MIN(AL$38,$D$19),$P$20))-SUM($P648:AK648)</f>
        <v>0</v>
      </c>
      <c r="AM648" s="446">
        <f>IF(OR($B648="",MIN(AM$38,$D$19)&lt;MAX($P$612*($B648+IF($R$17="Distrato",$I$38-1,0)),IF(AND($L$615=0,$P$612=0),"",$L$615-1),IF($R$17="Distrato",$E648,0))),0,YEARFRAC(MAX($P$612*($B648+IF($R$17="Distrato",$I$38-1,0)),IF(AND($L$615=0,$P$612=0),"",$L$615-1),IF($R$17="Distrato",$E648,0)),MIN(AM$38,$D$19),$P$20))-SUM($P648:AL648)</f>
        <v>0</v>
      </c>
      <c r="AN648" s="446">
        <f>IF(OR($B648="",MIN(AN$38,$D$19)&lt;MAX($P$612*($B648+IF($R$17="Distrato",$I$38-1,0)),IF(AND($L$615=0,$P$612=0),"",$L$615-1),IF($R$17="Distrato",$E648,0))),0,YEARFRAC(MAX($P$612*($B648+IF($R$17="Distrato",$I$38-1,0)),IF(AND($L$615=0,$P$612=0),"",$L$615-1),IF($R$17="Distrato",$E648,0)),MIN(AN$38,$D$19),$P$20))-SUM($P648:AM648)</f>
        <v>0</v>
      </c>
      <c r="AO648" s="446">
        <f>IF(OR($B648="",MIN(AO$38,$D$19)&lt;MAX($P$612*($B648+IF($R$17="Distrato",$I$38-1,0)),IF(AND($L$615=0,$P$612=0),"",$L$615-1),IF($R$17="Distrato",$E648,0))),0,YEARFRAC(MAX($P$612*($B648+IF($R$17="Distrato",$I$38-1,0)),IF(AND($L$615=0,$P$612=0),"",$L$615-1),IF($R$17="Distrato",$E648,0)),MIN(AO$38,$D$19),$P$20))-SUM($P648:AN648)</f>
        <v>0</v>
      </c>
      <c r="AP648" s="446">
        <f>IF(OR($B648="",MIN(AP$38,$D$19)&lt;MAX($P$612*($B648+IF($R$17="Distrato",$I$38-1,0)),IF(AND($L$615=0,$P$612=0),"",$L$615-1),IF($R$17="Distrato",$E648,0))),0,YEARFRAC(MAX($P$612*($B648+IF($R$17="Distrato",$I$38-1,0)),IF(AND($L$615=0,$P$612=0),"",$L$615-1),IF($R$17="Distrato",$E648,0)),MIN(AP$38,$D$19),$P$20))-SUM($P648:AO648)</f>
        <v>0</v>
      </c>
      <c r="AQ648" s="446">
        <f>IF(OR($B648="",MIN(AQ$38,$D$19)&lt;MAX($P$612*($B648+IF($R$17="Distrato",$I$38-1,0)),IF(AND($L$615=0,$P$612=0),"",$L$615-1),IF($R$17="Distrato",$E648,0))),0,YEARFRAC(MAX($P$612*($B648+IF($R$17="Distrato",$I$38-1,0)),IF(AND($L$615=0,$P$612=0),"",$L$615-1),IF($R$17="Distrato",$E648,0)),MIN(AQ$38,$D$19),$P$20))-SUM($P648:AP648)</f>
        <v>0</v>
      </c>
      <c r="AR648" s="446">
        <f>IF(OR($B648="",MIN(AR$38,$D$19)&lt;MAX($P$612*($B648+IF($R$17="Distrato",$I$38-1,0)),IF(AND($L$615=0,$P$612=0),"",$L$615-1),IF($R$17="Distrato",$E648,0))),0,YEARFRAC(MAX($P$612*($B648+IF($R$17="Distrato",$I$38-1,0)),IF(AND($L$615=0,$P$612=0),"",$L$615-1),IF($R$17="Distrato",$E648,0)),MIN(AR$38,$D$19),$P$20))-SUM($P648:AQ648)</f>
        <v>0</v>
      </c>
      <c r="AS648" s="446">
        <f>IF(OR($B648="",MIN(AS$38,$D$19)&lt;MAX($P$612*($B648+IF($R$17="Distrato",$I$38-1,0)),IF(AND($L$615=0,$P$612=0),"",$L$615-1),IF($R$17="Distrato",$E648,0))),0,YEARFRAC(MAX($P$612*($B648+IF($R$17="Distrato",$I$38-1,0)),IF(AND($L$615=0,$P$612=0),"",$L$615-1),IF($R$17="Distrato",$E648,0)),MIN(AS$38,$D$19),$P$20))-SUM($P648:AR648)</f>
        <v>0</v>
      </c>
      <c r="AT648" s="446">
        <f>IF(OR($B648="",MIN(AT$38,$D$19)&lt;MAX($P$612*($B648+IF($R$17="Distrato",$I$38-1,0)),IF(AND($L$615=0,$P$612=0),"",$L$615-1),IF($R$17="Distrato",$E648,0))),0,YEARFRAC(MAX($P$612*($B648+IF($R$17="Distrato",$I$38-1,0)),IF(AND($L$615=0,$P$612=0),"",$L$615-1),IF($R$17="Distrato",$E648,0)),MIN(AT$38,$D$19),$P$20))-SUM($P648:AS648)</f>
        <v>0</v>
      </c>
      <c r="AU648" s="446">
        <f>IF(OR($B648="",MIN(AU$38,$D$19)&lt;MAX($P$612*($B648+IF($R$17="Distrato",$I$38-1,0)),IF(AND($L$615=0,$P$612=0),"",$L$615-1),IF($R$17="Distrato",$E648,0))),0,YEARFRAC(MAX($P$612*($B648+IF($R$17="Distrato",$I$38-1,0)),IF(AND($L$615=0,$P$612=0),"",$L$615-1),IF($R$17="Distrato",$E648,0)),MIN(AU$38,$D$19),$P$20))-SUM($P648:AT648)</f>
        <v>0</v>
      </c>
      <c r="AV648" s="446">
        <f>IF(OR($B648="",MIN(AV$38,$D$19)&lt;MAX($P$612*($B648+IF($R$17="Distrato",$I$38-1,0)),IF(AND($L$615=0,$P$612=0),"",$L$615-1),IF($R$17="Distrato",$E648,0))),0,YEARFRAC(MAX($P$612*($B648+IF($R$17="Distrato",$I$38-1,0)),IF(AND($L$615=0,$P$612=0),"",$L$615-1),IF($R$17="Distrato",$E648,0)),MIN(AV$38,$D$19),$P$20))-SUM($P648:AU648)</f>
        <v>0</v>
      </c>
      <c r="AW648" s="446">
        <f>IF(OR($B648="",MIN(AW$38,$D$19)&lt;MAX($P$612*($B648+IF($R$17="Distrato",$I$38-1,0)),IF(AND($L$615=0,$P$612=0),"",$L$615-1),IF($R$17="Distrato",$E648,0))),0,YEARFRAC(MAX($P$612*($B648+IF($R$17="Distrato",$I$38-1,0)),IF(AND($L$615=0,$P$612=0),"",$L$615-1),IF($R$17="Distrato",$E648,0)),MIN(AW$38,$D$19),$P$20))-SUM($P648:AV648)</f>
        <v>0</v>
      </c>
      <c r="AX648" s="446">
        <f>IF(OR($B648="",MIN(AX$38,$D$19)&lt;MAX($P$612*($B648+IF($R$17="Distrato",$I$38-1,0)),IF(AND($L$615=0,$P$612=0),"",$L$615-1),IF($R$17="Distrato",$E648,0))),0,YEARFRAC(MAX($P$612*($B648+IF($R$17="Distrato",$I$38-1,0)),IF(AND($L$615=0,$P$612=0),"",$L$615-1),IF($R$17="Distrato",$E648,0)),MIN(AX$38,$D$19),$P$20))-SUM($P648:AW648)</f>
        <v>0</v>
      </c>
      <c r="AY648" s="446">
        <f>IF(OR($B648="",MIN(AY$38,$D$19)&lt;MAX($P$612*($B648+IF($R$17="Distrato",$I$38-1,0)),IF(AND($L$615=0,$P$612=0),"",$L$615-1),IF($R$17="Distrato",$E648,0))),0,YEARFRAC(MAX($P$612*($B648+IF($R$17="Distrato",$I$38-1,0)),IF(AND($L$615=0,$P$612=0),"",$L$615-1),IF($R$17="Distrato",$E648,0)),MIN(AY$38,$D$19),$P$20))-SUM($P648:AX648)</f>
        <v>0</v>
      </c>
      <c r="AZ648" s="446">
        <f>IF(OR($B648="",MIN(AZ$38,$D$19)&lt;MAX($P$612*($B648+IF($R$17="Distrato",$I$38-1,0)),IF(AND($L$615=0,$P$612=0),"",$L$615-1),IF($R$17="Distrato",$E648,0))),0,YEARFRAC(MAX($P$612*($B648+IF($R$17="Distrato",$I$38-1,0)),IF(AND($L$615=0,$P$612=0),"",$L$615-1),IF($R$17="Distrato",$E648,0)),MIN(AZ$38,$D$19),$P$20))-SUM($P648:AY648)</f>
        <v>0</v>
      </c>
      <c r="BA648" s="446">
        <f>IF(OR($B648="",MIN(BA$38,$D$19)&lt;MAX($P$612*($B648+IF($R$17="Distrato",$I$38-1,0)),IF(AND($L$615=0,$P$612=0),"",$L$615-1),IF($R$17="Distrato",$E648,0))),0,YEARFRAC(MAX($P$612*($B648+IF($R$17="Distrato",$I$38-1,0)),IF(AND($L$615=0,$P$612=0),"",$L$615-1),IF($R$17="Distrato",$E648,0)),MIN(BA$38,$D$19),$P$20))-SUM($P648:AZ648)</f>
        <v>0</v>
      </c>
      <c r="BB648" s="447"/>
    </row>
    <row r="649" spans="1:54" s="446" customFormat="1" ht="11.25" hidden="1" x14ac:dyDescent="0.2">
      <c r="A649" s="177"/>
      <c r="B649" s="178"/>
      <c r="C649" s="29" t="str">
        <f>IF(B649="","",IF($L$613="SELIC - TRIBUTOS",VLOOKUP(DATE(YEAR($D$19),MONTH($D$19)-1,1),ÍNDICES!$A:$DE,HLOOKUP($BL$25,ÍNDICES!$B$3:$T$4,2)+11)-VLOOKUP(B649,ÍNDICES!$A:$DE,HLOOKUP($BL$25,ÍNDICES!$B$3:$T$4,2)+11)+1%,IF(C$616=$W$26,$J$613,IF(ISERROR(IF(B649&gt;$D$19,1,VLOOKUP(DATE(YEAR(B649),MONTH(B649)+IF($C$613=$S$23,1,0),1),ÍNDICES!$A:$DE,$Z$613+1))),"",IF(B649&gt;$D$19,1,VLOOKUP(DATE(YEAR(B649),MONTH(B649)+IF($C$613=$S$23,1,0),1),ÍNDICES!$A:$DE,$Z$613+1))))))</f>
        <v/>
      </c>
      <c r="D649" s="155"/>
      <c r="E649" s="179"/>
      <c r="F649" s="29"/>
      <c r="G649" s="180"/>
      <c r="H649" s="181"/>
      <c r="I649" s="182" t="str">
        <f t="shared" si="107"/>
        <v/>
      </c>
      <c r="J649" s="5" t="str">
        <f t="shared" si="108"/>
        <v/>
      </c>
      <c r="K649" s="5">
        <f t="shared" ca="1" si="109"/>
        <v>0</v>
      </c>
      <c r="L649" s="5">
        <f t="shared" ca="1" si="104"/>
        <v>0</v>
      </c>
      <c r="M649" s="64">
        <f t="shared" si="110"/>
        <v>0</v>
      </c>
      <c r="N649" s="61">
        <f t="shared" ca="1" si="105"/>
        <v>0</v>
      </c>
      <c r="O649" s="20">
        <f t="shared" ca="1" si="106"/>
        <v>0</v>
      </c>
      <c r="P649" s="446">
        <f t="shared" si="111"/>
        <v>0</v>
      </c>
      <c r="Q649" s="446">
        <f>IF(OR($B649="",MIN(Q$38,$D$19)&lt;MAX($P$612*($B649+IF($R$17="Distrato",$I$38-1,0)),IF(AND($L$615=0,$P$612=0),"",$L$615-1),IF($R$17="Distrato",$E649,0))),0,YEARFRAC(MAX($P$612*($B649+IF($R$17="Distrato",$I$38-1,0)),IF(AND($L$615=0,$P$612=0),"",$L$615-1),IF($R$17="Distrato",$E649,0)),MIN(Q$38,$D$19),$P$20))-SUM($P649:P649)</f>
        <v>0</v>
      </c>
      <c r="R649" s="446">
        <f>IF(OR($B649="",MIN(R$38,$D$19)&lt;MAX($P$612*($B649+IF($R$17="Distrato",$I$38-1,0)),IF(AND($L$615=0,$P$612=0),"",$L$615-1),IF($R$17="Distrato",$E649,0))),0,YEARFRAC(MAX($P$612*($B649+IF($R$17="Distrato",$I$38-1,0)),IF(AND($L$615=0,$P$612=0),"",$L$615-1),IF($R$17="Distrato",$E649,0)),MIN(R$38,$D$19),$P$20))-SUM($P649:Q649)</f>
        <v>0</v>
      </c>
      <c r="S649" s="446">
        <f>IF(OR($B649="",MIN(S$38,$D$19)&lt;MAX($P$612*($B649+IF($R$17="Distrato",$I$38-1,0)),IF(AND($L$615=0,$P$612=0),"",$L$615-1),IF($R$17="Distrato",$E649,0))),0,YEARFRAC(MAX($P$612*($B649+IF($R$17="Distrato",$I$38-1,0)),IF(AND($L$615=0,$P$612=0),"",$L$615-1),IF($R$17="Distrato",$E649,0)),MIN(S$38,$D$19),$P$20))-SUM($P649:R649)</f>
        <v>0</v>
      </c>
      <c r="T649" s="446">
        <f>IF(OR($B649="",MIN(T$38,$D$19)&lt;MAX($P$612*($B649+IF($R$17="Distrato",$I$38-1,0)),IF(AND($L$615=0,$P$612=0),"",$L$615-1),IF($R$17="Distrato",$E649,0))),0,YEARFRAC(MAX($P$612*($B649+IF($R$17="Distrato",$I$38-1,0)),IF(AND($L$615=0,$P$612=0),"",$L$615-1),IF($R$17="Distrato",$E649,0)),MIN(T$38,$D$19),$P$20))-SUM($P649:S649)</f>
        <v>0</v>
      </c>
      <c r="U649" s="446">
        <f>IF(OR($B649="",MIN(U$38,$D$19)&lt;MAX($P$612*($B649+IF($R$17="Distrato",$I$38-1,0)),IF(AND($L$615=0,$P$612=0),"",$L$615-1),IF($R$17="Distrato",$E649,0))),0,YEARFRAC(MAX($P$612*($B649+IF($R$17="Distrato",$I$38-1,0)),IF(AND($L$615=0,$P$612=0),"",$L$615-1),IF($R$17="Distrato",$E649,0)),MIN(U$38,$D$19),$P$20))-SUM($P649:T649)</f>
        <v>0</v>
      </c>
      <c r="V649" s="446">
        <f>IF(OR($B649="",MIN(V$38,$D$19)&lt;MAX($P$612*($B649+IF($R$17="Distrato",$I$38-1,0)),IF(AND($L$615=0,$P$612=0),"",$L$615-1),IF($R$17="Distrato",$E649,0))),0,YEARFRAC(MAX($P$612*($B649+IF($R$17="Distrato",$I$38-1,0)),IF(AND($L$615=0,$P$612=0),"",$L$615-1),IF($R$17="Distrato",$E649,0)),MIN(V$38,$D$19),$P$20))-SUM($P649:U649)</f>
        <v>0</v>
      </c>
      <c r="W649" s="446">
        <f>IF(OR($B649="",MIN(W$38,$D$19)&lt;MAX($P$612*($B649+IF($R$17="Distrato",$I$38-1,0)),IF(AND($L$615=0,$P$612=0),"",$L$615-1),IF($R$17="Distrato",$E649,0))),0,YEARFRAC(MAX($P$612*($B649+IF($R$17="Distrato",$I$38-1,0)),IF(AND($L$615=0,$P$612=0),"",$L$615-1),IF($R$17="Distrato",$E649,0)),MIN(W$38,$D$19),$P$20))-SUM($P649:V649)</f>
        <v>0</v>
      </c>
      <c r="X649" s="446">
        <f>IF(OR($B649="",MIN(X$38,$D$19)&lt;MAX($P$612*($B649+IF($R$17="Distrato",$I$38-1,0)),IF(AND($L$615=0,$P$612=0),"",$L$615-1),IF($R$17="Distrato",$E649,0))),0,YEARFRAC(MAX($P$612*($B649+IF($R$17="Distrato",$I$38-1,0)),IF(AND($L$615=0,$P$612=0),"",$L$615-1),IF($R$17="Distrato",$E649,0)),MIN(X$38,$D$19),$P$20))-SUM($P649:W649)</f>
        <v>0</v>
      </c>
      <c r="Y649" s="446">
        <f>IF(OR($B649="",MIN(Y$38,$D$19)&lt;MAX($P$612*($B649+IF($R$17="Distrato",$I$38-1,0)),IF(AND($L$615=0,$P$612=0),"",$L$615-1),IF($R$17="Distrato",$E649,0))),0,YEARFRAC(MAX($P$612*($B649+IF($R$17="Distrato",$I$38-1,0)),IF(AND($L$615=0,$P$612=0),"",$L$615-1),IF($R$17="Distrato",$E649,0)),MIN(Y$38,$D$19),$P$20))-SUM($P649:X649)</f>
        <v>0</v>
      </c>
      <c r="Z649" s="446">
        <f>IF(OR($B649="",MIN(Z$38,$D$19)&lt;MAX($P$612*($B649+IF($R$17="Distrato",$I$38-1,0)),IF(AND($L$615=0,$P$612=0),"",$L$615-1),IF($R$17="Distrato",$E649,0))),0,YEARFRAC(MAX($P$612*($B649+IF($R$17="Distrato",$I$38-1,0)),IF(AND($L$615=0,$P$612=0),"",$L$615-1),IF($R$17="Distrato",$E649,0)),MIN(Z$38,$D$19),$P$20))-SUM($P649:Y649)</f>
        <v>0</v>
      </c>
      <c r="AA649" s="446">
        <f>IF(OR($B649="",MIN(AA$38,$D$19)&lt;MAX($P$612*($B649+IF($R$17="Distrato",$I$38-1,0)),IF(AND($L$615=0,$P$612=0),"",$L$615-1),IF($R$17="Distrato",$E649,0))),0,YEARFRAC(MAX($P$612*($B649+IF($R$17="Distrato",$I$38-1,0)),IF(AND($L$615=0,$P$612=0),"",$L$615-1),IF($R$17="Distrato",$E649,0)),MIN(AA$38,$D$19),$P$20))-SUM($P649:Z649)</f>
        <v>0</v>
      </c>
      <c r="AB649" s="446">
        <f>IF(OR($B649="",MIN(AB$38,$D$19)&lt;MAX($P$612*($B649+IF($R$17="Distrato",$I$38-1,0)),IF(AND($L$615=0,$P$612=0),"",$L$615-1),IF($R$17="Distrato",$E649,0))),0,YEARFRAC(MAX($P$612*($B649+IF($R$17="Distrato",$I$38-1,0)),IF(AND($L$615=0,$P$612=0),"",$L$615-1),IF($R$17="Distrato",$E649,0)),MIN(AB$38,$D$19),$P$20))-SUM($P649:AA649)</f>
        <v>0</v>
      </c>
      <c r="AC649" s="446">
        <f>IF(OR($B649="",MIN(AC$38,$D$19)&lt;MAX($P$612*($B649+IF($R$17="Distrato",$I$38-1,0)),IF(AND($L$615=0,$P$612=0),"",$L$615-1),IF($R$17="Distrato",$E649,0))),0,YEARFRAC(MAX($P$612*($B649+IF($R$17="Distrato",$I$38-1,0)),IF(AND($L$615=0,$P$612=0),"",$L$615-1),IF($R$17="Distrato",$E649,0)),MIN(AC$38,$D$19),$P$20))-SUM($P649:AB649)</f>
        <v>0</v>
      </c>
      <c r="AD649" s="446">
        <f>IF(OR($B649="",MIN(AD$38,$D$19)&lt;MAX($P$612*($B649+IF($R$17="Distrato",$I$38-1,0)),IF(AND($L$615=0,$P$612=0),"",$L$615-1),IF($R$17="Distrato",$E649,0))),0,YEARFRAC(MAX($P$612*($B649+IF($R$17="Distrato",$I$38-1,0)),IF(AND($L$615=0,$P$612=0),"",$L$615-1),IF($R$17="Distrato",$E649,0)),MIN(AD$38,$D$19),$P$20))-SUM($P649:AC649)</f>
        <v>0</v>
      </c>
      <c r="AE649" s="446">
        <f>IF(OR($B649="",MIN(AE$38,$D$19)&lt;MAX($P$612*($B649+IF($R$17="Distrato",$I$38-1,0)),IF(AND($L$615=0,$P$612=0),"",$L$615-1),IF($R$17="Distrato",$E649,0))),0,YEARFRAC(MAX($P$612*($B649+IF($R$17="Distrato",$I$38-1,0)),IF(AND($L$615=0,$P$612=0),"",$L$615-1),IF($R$17="Distrato",$E649,0)),MIN(AE$38,$D$19),$P$20))-SUM($P649:AD649)</f>
        <v>0</v>
      </c>
      <c r="AF649" s="446">
        <f>IF(OR($B649="",MIN(AF$38,$D$19)&lt;MAX($P$612*($B649+IF($R$17="Distrato",$I$38-1,0)),IF(AND($L$615=0,$P$612=0),"",$L$615-1),IF($R$17="Distrato",$E649,0))),0,YEARFRAC(MAX($P$612*($B649+IF($R$17="Distrato",$I$38-1,0)),IF(AND($L$615=0,$P$612=0),"",$L$615-1),IF($R$17="Distrato",$E649,0)),MIN(AF$38,$D$19),$P$20))-SUM($P649:AE649)</f>
        <v>0</v>
      </c>
      <c r="AG649" s="446">
        <f>IF(OR($B649="",MIN(AG$38,$D$19)&lt;MAX($P$612*($B649+IF($R$17="Distrato",$I$38-1,0)),IF(AND($L$615=0,$P$612=0),"",$L$615-1),IF($R$17="Distrato",$E649,0))),0,YEARFRAC(MAX($P$612*($B649+IF($R$17="Distrato",$I$38-1,0)),IF(AND($L$615=0,$P$612=0),"",$L$615-1),IF($R$17="Distrato",$E649,0)),MIN(AG$38,$D$19),$P$20))-SUM($P649:AF649)</f>
        <v>0</v>
      </c>
      <c r="AH649" s="446">
        <f>IF(OR($B649="",MIN(AH$38,$D$19)&lt;MAX($P$612*($B649+IF($R$17="Distrato",$I$38-1,0)),IF(AND($L$615=0,$P$612=0),"",$L$615-1),IF($R$17="Distrato",$E649,0))),0,YEARFRAC(MAX($P$612*($B649+IF($R$17="Distrato",$I$38-1,0)),IF(AND($L$615=0,$P$612=0),"",$L$615-1),IF($R$17="Distrato",$E649,0)),MIN(AH$38,$D$19),$P$20))-SUM($P649:AG649)</f>
        <v>0</v>
      </c>
      <c r="AI649" s="446">
        <f>IF(OR($B649="",MIN(AI$38,$D$19)&lt;MAX($P$612*($B649+IF($R$17="Distrato",$I$38-1,0)),IF(AND($L$615=0,$P$612=0),"",$L$615-1),IF($R$17="Distrato",$E649,0))),0,YEARFRAC(MAX($P$612*($B649+IF($R$17="Distrato",$I$38-1,0)),IF(AND($L$615=0,$P$612=0),"",$L$615-1),IF($R$17="Distrato",$E649,0)),MIN(AI$38,$D$19),$P$20))-SUM($P649:AH649)</f>
        <v>0</v>
      </c>
      <c r="AJ649" s="446">
        <f>IF(OR($B649="",MIN(AJ$38,$D$19)&lt;MAX($P$612*($B649+IF($R$17="Distrato",$I$38-1,0)),IF(AND($L$615=0,$P$612=0),"",$L$615-1),IF($R$17="Distrato",$E649,0))),0,YEARFRAC(MAX($P$612*($B649+IF($R$17="Distrato",$I$38-1,0)),IF(AND($L$615=0,$P$612=0),"",$L$615-1),IF($R$17="Distrato",$E649,0)),MIN(AJ$38,$D$19),$P$20))-SUM($P649:AI649)</f>
        <v>0</v>
      </c>
      <c r="AK649" s="446">
        <f>IF(OR($B649="",MIN(AK$38,$D$19)&lt;MAX($P$612*($B649+IF($R$17="Distrato",$I$38-1,0)),IF(AND($L$615=0,$P$612=0),"",$L$615-1),IF($R$17="Distrato",$E649,0))),0,YEARFRAC(MAX($P$612*($B649+IF($R$17="Distrato",$I$38-1,0)),IF(AND($L$615=0,$P$612=0),"",$L$615-1),IF($R$17="Distrato",$E649,0)),MIN(AK$38,$D$19),$P$20))-SUM($P649:AJ649)</f>
        <v>0</v>
      </c>
      <c r="AL649" s="446">
        <f>IF(OR($B649="",MIN(AL$38,$D$19)&lt;MAX($P$612*($B649+IF($R$17="Distrato",$I$38-1,0)),IF(AND($L$615=0,$P$612=0),"",$L$615-1),IF($R$17="Distrato",$E649,0))),0,YEARFRAC(MAX($P$612*($B649+IF($R$17="Distrato",$I$38-1,0)),IF(AND($L$615=0,$P$612=0),"",$L$615-1),IF($R$17="Distrato",$E649,0)),MIN(AL$38,$D$19),$P$20))-SUM($P649:AK649)</f>
        <v>0</v>
      </c>
      <c r="AM649" s="446">
        <f>IF(OR($B649="",MIN(AM$38,$D$19)&lt;MAX($P$612*($B649+IF($R$17="Distrato",$I$38-1,0)),IF(AND($L$615=0,$P$612=0),"",$L$615-1),IF($R$17="Distrato",$E649,0))),0,YEARFRAC(MAX($P$612*($B649+IF($R$17="Distrato",$I$38-1,0)),IF(AND($L$615=0,$P$612=0),"",$L$615-1),IF($R$17="Distrato",$E649,0)),MIN(AM$38,$D$19),$P$20))-SUM($P649:AL649)</f>
        <v>0</v>
      </c>
      <c r="AN649" s="446">
        <f>IF(OR($B649="",MIN(AN$38,$D$19)&lt;MAX($P$612*($B649+IF($R$17="Distrato",$I$38-1,0)),IF(AND($L$615=0,$P$612=0),"",$L$615-1),IF($R$17="Distrato",$E649,0))),0,YEARFRAC(MAX($P$612*($B649+IF($R$17="Distrato",$I$38-1,0)),IF(AND($L$615=0,$P$612=0),"",$L$615-1),IF($R$17="Distrato",$E649,0)),MIN(AN$38,$D$19),$P$20))-SUM($P649:AM649)</f>
        <v>0</v>
      </c>
      <c r="AO649" s="446">
        <f>IF(OR($B649="",MIN(AO$38,$D$19)&lt;MAX($P$612*($B649+IF($R$17="Distrato",$I$38-1,0)),IF(AND($L$615=0,$P$612=0),"",$L$615-1),IF($R$17="Distrato",$E649,0))),0,YEARFRAC(MAX($P$612*($B649+IF($R$17="Distrato",$I$38-1,0)),IF(AND($L$615=0,$P$612=0),"",$L$615-1),IF($R$17="Distrato",$E649,0)),MIN(AO$38,$D$19),$P$20))-SUM($P649:AN649)</f>
        <v>0</v>
      </c>
      <c r="AP649" s="446">
        <f>IF(OR($B649="",MIN(AP$38,$D$19)&lt;MAX($P$612*($B649+IF($R$17="Distrato",$I$38-1,0)),IF(AND($L$615=0,$P$612=0),"",$L$615-1),IF($R$17="Distrato",$E649,0))),0,YEARFRAC(MAX($P$612*($B649+IF($R$17="Distrato",$I$38-1,0)),IF(AND($L$615=0,$P$612=0),"",$L$615-1),IF($R$17="Distrato",$E649,0)),MIN(AP$38,$D$19),$P$20))-SUM($P649:AO649)</f>
        <v>0</v>
      </c>
      <c r="AQ649" s="446">
        <f>IF(OR($B649="",MIN(AQ$38,$D$19)&lt;MAX($P$612*($B649+IF($R$17="Distrato",$I$38-1,0)),IF(AND($L$615=0,$P$612=0),"",$L$615-1),IF($R$17="Distrato",$E649,0))),0,YEARFRAC(MAX($P$612*($B649+IF($R$17="Distrato",$I$38-1,0)),IF(AND($L$615=0,$P$612=0),"",$L$615-1),IF($R$17="Distrato",$E649,0)),MIN(AQ$38,$D$19),$P$20))-SUM($P649:AP649)</f>
        <v>0</v>
      </c>
      <c r="AR649" s="446">
        <f>IF(OR($B649="",MIN(AR$38,$D$19)&lt;MAX($P$612*($B649+IF($R$17="Distrato",$I$38-1,0)),IF(AND($L$615=0,$P$612=0),"",$L$615-1),IF($R$17="Distrato",$E649,0))),0,YEARFRAC(MAX($P$612*($B649+IF($R$17="Distrato",$I$38-1,0)),IF(AND($L$615=0,$P$612=0),"",$L$615-1),IF($R$17="Distrato",$E649,0)),MIN(AR$38,$D$19),$P$20))-SUM($P649:AQ649)</f>
        <v>0</v>
      </c>
      <c r="AS649" s="446">
        <f>IF(OR($B649="",MIN(AS$38,$D$19)&lt;MAX($P$612*($B649+IF($R$17="Distrato",$I$38-1,0)),IF(AND($L$615=0,$P$612=0),"",$L$615-1),IF($R$17="Distrato",$E649,0))),0,YEARFRAC(MAX($P$612*($B649+IF($R$17="Distrato",$I$38-1,0)),IF(AND($L$615=0,$P$612=0),"",$L$615-1),IF($R$17="Distrato",$E649,0)),MIN(AS$38,$D$19),$P$20))-SUM($P649:AR649)</f>
        <v>0</v>
      </c>
      <c r="AT649" s="446">
        <f>IF(OR($B649="",MIN(AT$38,$D$19)&lt;MAX($P$612*($B649+IF($R$17="Distrato",$I$38-1,0)),IF(AND($L$615=0,$P$612=0),"",$L$615-1),IF($R$17="Distrato",$E649,0))),0,YEARFRAC(MAX($P$612*($B649+IF($R$17="Distrato",$I$38-1,0)),IF(AND($L$615=0,$P$612=0),"",$L$615-1),IF($R$17="Distrato",$E649,0)),MIN(AT$38,$D$19),$P$20))-SUM($P649:AS649)</f>
        <v>0</v>
      </c>
      <c r="AU649" s="446">
        <f>IF(OR($B649="",MIN(AU$38,$D$19)&lt;MAX($P$612*($B649+IF($R$17="Distrato",$I$38-1,0)),IF(AND($L$615=0,$P$612=0),"",$L$615-1),IF($R$17="Distrato",$E649,0))),0,YEARFRAC(MAX($P$612*($B649+IF($R$17="Distrato",$I$38-1,0)),IF(AND($L$615=0,$P$612=0),"",$L$615-1),IF($R$17="Distrato",$E649,0)),MIN(AU$38,$D$19),$P$20))-SUM($P649:AT649)</f>
        <v>0</v>
      </c>
      <c r="AV649" s="446">
        <f>IF(OR($B649="",MIN(AV$38,$D$19)&lt;MAX($P$612*($B649+IF($R$17="Distrato",$I$38-1,0)),IF(AND($L$615=0,$P$612=0),"",$L$615-1),IF($R$17="Distrato",$E649,0))),0,YEARFRAC(MAX($P$612*($B649+IF($R$17="Distrato",$I$38-1,0)),IF(AND($L$615=0,$P$612=0),"",$L$615-1),IF($R$17="Distrato",$E649,0)),MIN(AV$38,$D$19),$P$20))-SUM($P649:AU649)</f>
        <v>0</v>
      </c>
      <c r="AW649" s="446">
        <f>IF(OR($B649="",MIN(AW$38,$D$19)&lt;MAX($P$612*($B649+IF($R$17="Distrato",$I$38-1,0)),IF(AND($L$615=0,$P$612=0),"",$L$615-1),IF($R$17="Distrato",$E649,0))),0,YEARFRAC(MAX($P$612*($B649+IF($R$17="Distrato",$I$38-1,0)),IF(AND($L$615=0,$P$612=0),"",$L$615-1),IF($R$17="Distrato",$E649,0)),MIN(AW$38,$D$19),$P$20))-SUM($P649:AV649)</f>
        <v>0</v>
      </c>
      <c r="AX649" s="446">
        <f>IF(OR($B649="",MIN(AX$38,$D$19)&lt;MAX($P$612*($B649+IF($R$17="Distrato",$I$38-1,0)),IF(AND($L$615=0,$P$612=0),"",$L$615-1),IF($R$17="Distrato",$E649,0))),0,YEARFRAC(MAX($P$612*($B649+IF($R$17="Distrato",$I$38-1,0)),IF(AND($L$615=0,$P$612=0),"",$L$615-1),IF($R$17="Distrato",$E649,0)),MIN(AX$38,$D$19),$P$20))-SUM($P649:AW649)</f>
        <v>0</v>
      </c>
      <c r="AY649" s="446">
        <f>IF(OR($B649="",MIN(AY$38,$D$19)&lt;MAX($P$612*($B649+IF($R$17="Distrato",$I$38-1,0)),IF(AND($L$615=0,$P$612=0),"",$L$615-1),IF($R$17="Distrato",$E649,0))),0,YEARFRAC(MAX($P$612*($B649+IF($R$17="Distrato",$I$38-1,0)),IF(AND($L$615=0,$P$612=0),"",$L$615-1),IF($R$17="Distrato",$E649,0)),MIN(AY$38,$D$19),$P$20))-SUM($P649:AX649)</f>
        <v>0</v>
      </c>
      <c r="AZ649" s="446">
        <f>IF(OR($B649="",MIN(AZ$38,$D$19)&lt;MAX($P$612*($B649+IF($R$17="Distrato",$I$38-1,0)),IF(AND($L$615=0,$P$612=0),"",$L$615-1),IF($R$17="Distrato",$E649,0))),0,YEARFRAC(MAX($P$612*($B649+IF($R$17="Distrato",$I$38-1,0)),IF(AND($L$615=0,$P$612=0),"",$L$615-1),IF($R$17="Distrato",$E649,0)),MIN(AZ$38,$D$19),$P$20))-SUM($P649:AY649)</f>
        <v>0</v>
      </c>
      <c r="BA649" s="446">
        <f>IF(OR($B649="",MIN(BA$38,$D$19)&lt;MAX($P$612*($B649+IF($R$17="Distrato",$I$38-1,0)),IF(AND($L$615=0,$P$612=0),"",$L$615-1),IF($R$17="Distrato",$E649,0))),0,YEARFRAC(MAX($P$612*($B649+IF($R$17="Distrato",$I$38-1,0)),IF(AND($L$615=0,$P$612=0),"",$L$615-1),IF($R$17="Distrato",$E649,0)),MIN(BA$38,$D$19),$P$20))-SUM($P649:AZ649)</f>
        <v>0</v>
      </c>
      <c r="BB649" s="447"/>
    </row>
    <row r="650" spans="1:54" s="446" customFormat="1" ht="11.25" hidden="1" x14ac:dyDescent="0.2">
      <c r="A650" s="177"/>
      <c r="B650" s="178"/>
      <c r="C650" s="29" t="str">
        <f>IF(B650="","",IF($L$613="SELIC - TRIBUTOS",VLOOKUP(DATE(YEAR($D$19),MONTH($D$19)-1,1),ÍNDICES!$A:$DE,HLOOKUP($BL$25,ÍNDICES!$B$3:$T$4,2)+11)-VLOOKUP(B650,ÍNDICES!$A:$DE,HLOOKUP($BL$25,ÍNDICES!$B$3:$T$4,2)+11)+1%,IF(C$616=$W$26,$J$613,IF(ISERROR(IF(B650&gt;$D$19,1,VLOOKUP(DATE(YEAR(B650),MONTH(B650)+IF($C$613=$S$23,1,0),1),ÍNDICES!$A:$DE,$Z$613+1))),"",IF(B650&gt;$D$19,1,VLOOKUP(DATE(YEAR(B650),MONTH(B650)+IF($C$613=$S$23,1,0),1),ÍNDICES!$A:$DE,$Z$613+1))))))</f>
        <v/>
      </c>
      <c r="D650" s="155"/>
      <c r="E650" s="179"/>
      <c r="F650" s="29"/>
      <c r="G650" s="180"/>
      <c r="H650" s="181"/>
      <c r="I650" s="182" t="str">
        <f t="shared" si="107"/>
        <v/>
      </c>
      <c r="J650" s="5" t="str">
        <f t="shared" si="108"/>
        <v/>
      </c>
      <c r="K650" s="5">
        <f t="shared" ca="1" si="109"/>
        <v>0</v>
      </c>
      <c r="L650" s="5">
        <f t="shared" ref="L650:L679" ca="1" si="112">IF(L$613="SELIC - TRIBUTOS",0,IFERROR(K650*SUMPRODUCT($P$37:$BA$37,$P650:$BA650),0))</f>
        <v>0</v>
      </c>
      <c r="M650" s="64">
        <f t="shared" si="110"/>
        <v>0</v>
      </c>
      <c r="N650" s="61">
        <f t="shared" ref="N650:N679" ca="1" si="113">IFERROR($N$616*(K650+IF(OR(L$613=$P$15,$N$615=$R$32),0,L650)),"")</f>
        <v>0</v>
      </c>
      <c r="O650" s="20">
        <f t="shared" ca="1" si="106"/>
        <v>0</v>
      </c>
      <c r="P650" s="446">
        <f t="shared" ref="P650:P679" si="114">IF(OR($B650="",MIN(P$38,$D$19)&lt;MAX($P$612*($B650+IF($R$17="Distrato",$I$38-1,0)),IF(AND($L$615=0,$P$612=0),"",$L$615-1),IF($R$17="Distrato",$E650,0))),0,YEARFRAC(MAX($P$612*($B650+IF($R$17="Distrato",$I$38-1,0)),IF(AND($L$615=0,$P$612=0),"",$L$615-1),IF($R$17="Distrato",$E650,0)),MIN(P$38,$D$19),$P$20))</f>
        <v>0</v>
      </c>
      <c r="Q650" s="446">
        <f>IF(OR($B650="",MIN(Q$38,$D$19)&lt;MAX($P$612*($B650+IF($R$17="Distrato",$I$38-1,0)),IF(AND($L$615=0,$P$612=0),"",$L$615-1),IF($R$17="Distrato",$E650,0))),0,YEARFRAC(MAX($P$612*($B650+IF($R$17="Distrato",$I$38-1,0)),IF(AND($L$615=0,$P$612=0),"",$L$615-1),IF($R$17="Distrato",$E650,0)),MIN(Q$38,$D$19),$P$20))-SUM($P650:P650)</f>
        <v>0</v>
      </c>
      <c r="R650" s="446">
        <f>IF(OR($B650="",MIN(R$38,$D$19)&lt;MAX($P$612*($B650+IF($R$17="Distrato",$I$38-1,0)),IF(AND($L$615=0,$P$612=0),"",$L$615-1),IF($R$17="Distrato",$E650,0))),0,YEARFRAC(MAX($P$612*($B650+IF($R$17="Distrato",$I$38-1,0)),IF(AND($L$615=0,$P$612=0),"",$L$615-1),IF($R$17="Distrato",$E650,0)),MIN(R$38,$D$19),$P$20))-SUM($P650:Q650)</f>
        <v>0</v>
      </c>
      <c r="S650" s="446">
        <f>IF(OR($B650="",MIN(S$38,$D$19)&lt;MAX($P$612*($B650+IF($R$17="Distrato",$I$38-1,0)),IF(AND($L$615=0,$P$612=0),"",$L$615-1),IF($R$17="Distrato",$E650,0))),0,YEARFRAC(MAX($P$612*($B650+IF($R$17="Distrato",$I$38-1,0)),IF(AND($L$615=0,$P$612=0),"",$L$615-1),IF($R$17="Distrato",$E650,0)),MIN(S$38,$D$19),$P$20))-SUM($P650:R650)</f>
        <v>0</v>
      </c>
      <c r="T650" s="446">
        <f>IF(OR($B650="",MIN(T$38,$D$19)&lt;MAX($P$612*($B650+IF($R$17="Distrato",$I$38-1,0)),IF(AND($L$615=0,$P$612=0),"",$L$615-1),IF($R$17="Distrato",$E650,0))),0,YEARFRAC(MAX($P$612*($B650+IF($R$17="Distrato",$I$38-1,0)),IF(AND($L$615=0,$P$612=0),"",$L$615-1),IF($R$17="Distrato",$E650,0)),MIN(T$38,$D$19),$P$20))-SUM($P650:S650)</f>
        <v>0</v>
      </c>
      <c r="U650" s="446">
        <f>IF(OR($B650="",MIN(U$38,$D$19)&lt;MAX($P$612*($B650+IF($R$17="Distrato",$I$38-1,0)),IF(AND($L$615=0,$P$612=0),"",$L$615-1),IF($R$17="Distrato",$E650,0))),0,YEARFRAC(MAX($P$612*($B650+IF($R$17="Distrato",$I$38-1,0)),IF(AND($L$615=0,$P$612=0),"",$L$615-1),IF($R$17="Distrato",$E650,0)),MIN(U$38,$D$19),$P$20))-SUM($P650:T650)</f>
        <v>0</v>
      </c>
      <c r="V650" s="446">
        <f>IF(OR($B650="",MIN(V$38,$D$19)&lt;MAX($P$612*($B650+IF($R$17="Distrato",$I$38-1,0)),IF(AND($L$615=0,$P$612=0),"",$L$615-1),IF($R$17="Distrato",$E650,0))),0,YEARFRAC(MAX($P$612*($B650+IF($R$17="Distrato",$I$38-1,0)),IF(AND($L$615=0,$P$612=0),"",$L$615-1),IF($R$17="Distrato",$E650,0)),MIN(V$38,$D$19),$P$20))-SUM($P650:U650)</f>
        <v>0</v>
      </c>
      <c r="W650" s="446">
        <f>IF(OR($B650="",MIN(W$38,$D$19)&lt;MAX($P$612*($B650+IF($R$17="Distrato",$I$38-1,0)),IF(AND($L$615=0,$P$612=0),"",$L$615-1),IF($R$17="Distrato",$E650,0))),0,YEARFRAC(MAX($P$612*($B650+IF($R$17="Distrato",$I$38-1,0)),IF(AND($L$615=0,$P$612=0),"",$L$615-1),IF($R$17="Distrato",$E650,0)),MIN(W$38,$D$19),$P$20))-SUM($P650:V650)</f>
        <v>0</v>
      </c>
      <c r="X650" s="446">
        <f>IF(OR($B650="",MIN(X$38,$D$19)&lt;MAX($P$612*($B650+IF($R$17="Distrato",$I$38-1,0)),IF(AND($L$615=0,$P$612=0),"",$L$615-1),IF($R$17="Distrato",$E650,0))),0,YEARFRAC(MAX($P$612*($B650+IF($R$17="Distrato",$I$38-1,0)),IF(AND($L$615=0,$P$612=0),"",$L$615-1),IF($R$17="Distrato",$E650,0)),MIN(X$38,$D$19),$P$20))-SUM($P650:W650)</f>
        <v>0</v>
      </c>
      <c r="Y650" s="446">
        <f>IF(OR($B650="",MIN(Y$38,$D$19)&lt;MAX($P$612*($B650+IF($R$17="Distrato",$I$38-1,0)),IF(AND($L$615=0,$P$612=0),"",$L$615-1),IF($R$17="Distrato",$E650,0))),0,YEARFRAC(MAX($P$612*($B650+IF($R$17="Distrato",$I$38-1,0)),IF(AND($L$615=0,$P$612=0),"",$L$615-1),IF($R$17="Distrato",$E650,0)),MIN(Y$38,$D$19),$P$20))-SUM($P650:X650)</f>
        <v>0</v>
      </c>
      <c r="Z650" s="446">
        <f>IF(OR($B650="",MIN(Z$38,$D$19)&lt;MAX($P$612*($B650+IF($R$17="Distrato",$I$38-1,0)),IF(AND($L$615=0,$P$612=0),"",$L$615-1),IF($R$17="Distrato",$E650,0))),0,YEARFRAC(MAX($P$612*($B650+IF($R$17="Distrato",$I$38-1,0)),IF(AND($L$615=0,$P$612=0),"",$L$615-1),IF($R$17="Distrato",$E650,0)),MIN(Z$38,$D$19),$P$20))-SUM($P650:Y650)</f>
        <v>0</v>
      </c>
      <c r="AA650" s="446">
        <f>IF(OR($B650="",MIN(AA$38,$D$19)&lt;MAX($P$612*($B650+IF($R$17="Distrato",$I$38-1,0)),IF(AND($L$615=0,$P$612=0),"",$L$615-1),IF($R$17="Distrato",$E650,0))),0,YEARFRAC(MAX($P$612*($B650+IF($R$17="Distrato",$I$38-1,0)),IF(AND($L$615=0,$P$612=0),"",$L$615-1),IF($R$17="Distrato",$E650,0)),MIN(AA$38,$D$19),$P$20))-SUM($P650:Z650)</f>
        <v>0</v>
      </c>
      <c r="AB650" s="446">
        <f>IF(OR($B650="",MIN(AB$38,$D$19)&lt;MAX($P$612*($B650+IF($R$17="Distrato",$I$38-1,0)),IF(AND($L$615=0,$P$612=0),"",$L$615-1),IF($R$17="Distrato",$E650,0))),0,YEARFRAC(MAX($P$612*($B650+IF($R$17="Distrato",$I$38-1,0)),IF(AND($L$615=0,$P$612=0),"",$L$615-1),IF($R$17="Distrato",$E650,0)),MIN(AB$38,$D$19),$P$20))-SUM($P650:AA650)</f>
        <v>0</v>
      </c>
      <c r="AC650" s="446">
        <f>IF(OR($B650="",MIN(AC$38,$D$19)&lt;MAX($P$612*($B650+IF($R$17="Distrato",$I$38-1,0)),IF(AND($L$615=0,$P$612=0),"",$L$615-1),IF($R$17="Distrato",$E650,0))),0,YEARFRAC(MAX($P$612*($B650+IF($R$17="Distrato",$I$38-1,0)),IF(AND($L$615=0,$P$612=0),"",$L$615-1),IF($R$17="Distrato",$E650,0)),MIN(AC$38,$D$19),$P$20))-SUM($P650:AB650)</f>
        <v>0</v>
      </c>
      <c r="AD650" s="446">
        <f>IF(OR($B650="",MIN(AD$38,$D$19)&lt;MAX($P$612*($B650+IF($R$17="Distrato",$I$38-1,0)),IF(AND($L$615=0,$P$612=0),"",$L$615-1),IF($R$17="Distrato",$E650,0))),0,YEARFRAC(MAX($P$612*($B650+IF($R$17="Distrato",$I$38-1,0)),IF(AND($L$615=0,$P$612=0),"",$L$615-1),IF($R$17="Distrato",$E650,0)),MIN(AD$38,$D$19),$P$20))-SUM($P650:AC650)</f>
        <v>0</v>
      </c>
      <c r="AE650" s="446">
        <f>IF(OR($B650="",MIN(AE$38,$D$19)&lt;MAX($P$612*($B650+IF($R$17="Distrato",$I$38-1,0)),IF(AND($L$615=0,$P$612=0),"",$L$615-1),IF($R$17="Distrato",$E650,0))),0,YEARFRAC(MAX($P$612*($B650+IF($R$17="Distrato",$I$38-1,0)),IF(AND($L$615=0,$P$612=0),"",$L$615-1),IF($R$17="Distrato",$E650,0)),MIN(AE$38,$D$19),$P$20))-SUM($P650:AD650)</f>
        <v>0</v>
      </c>
      <c r="AF650" s="446">
        <f>IF(OR($B650="",MIN(AF$38,$D$19)&lt;MAX($P$612*($B650+IF($R$17="Distrato",$I$38-1,0)),IF(AND($L$615=0,$P$612=0),"",$L$615-1),IF($R$17="Distrato",$E650,0))),0,YEARFRAC(MAX($P$612*($B650+IF($R$17="Distrato",$I$38-1,0)),IF(AND($L$615=0,$P$612=0),"",$L$615-1),IF($R$17="Distrato",$E650,0)),MIN(AF$38,$D$19),$P$20))-SUM($P650:AE650)</f>
        <v>0</v>
      </c>
      <c r="AG650" s="446">
        <f>IF(OR($B650="",MIN(AG$38,$D$19)&lt;MAX($P$612*($B650+IF($R$17="Distrato",$I$38-1,0)),IF(AND($L$615=0,$P$612=0),"",$L$615-1),IF($R$17="Distrato",$E650,0))),0,YEARFRAC(MAX($P$612*($B650+IF($R$17="Distrato",$I$38-1,0)),IF(AND($L$615=0,$P$612=0),"",$L$615-1),IF($R$17="Distrato",$E650,0)),MIN(AG$38,$D$19),$P$20))-SUM($P650:AF650)</f>
        <v>0</v>
      </c>
      <c r="AH650" s="446">
        <f>IF(OR($B650="",MIN(AH$38,$D$19)&lt;MAX($P$612*($B650+IF($R$17="Distrato",$I$38-1,0)),IF(AND($L$615=0,$P$612=0),"",$L$615-1),IF($R$17="Distrato",$E650,0))),0,YEARFRAC(MAX($P$612*($B650+IF($R$17="Distrato",$I$38-1,0)),IF(AND($L$615=0,$P$612=0),"",$L$615-1),IF($R$17="Distrato",$E650,0)),MIN(AH$38,$D$19),$P$20))-SUM($P650:AG650)</f>
        <v>0</v>
      </c>
      <c r="AI650" s="446">
        <f>IF(OR($B650="",MIN(AI$38,$D$19)&lt;MAX($P$612*($B650+IF($R$17="Distrato",$I$38-1,0)),IF(AND($L$615=0,$P$612=0),"",$L$615-1),IF($R$17="Distrato",$E650,0))),0,YEARFRAC(MAX($P$612*($B650+IF($R$17="Distrato",$I$38-1,0)),IF(AND($L$615=0,$P$612=0),"",$L$615-1),IF($R$17="Distrato",$E650,0)),MIN(AI$38,$D$19),$P$20))-SUM($P650:AH650)</f>
        <v>0</v>
      </c>
      <c r="AJ650" s="446">
        <f>IF(OR($B650="",MIN(AJ$38,$D$19)&lt;MAX($P$612*($B650+IF($R$17="Distrato",$I$38-1,0)),IF(AND($L$615=0,$P$612=0),"",$L$615-1),IF($R$17="Distrato",$E650,0))),0,YEARFRAC(MAX($P$612*($B650+IF($R$17="Distrato",$I$38-1,0)),IF(AND($L$615=0,$P$612=0),"",$L$615-1),IF($R$17="Distrato",$E650,0)),MIN(AJ$38,$D$19),$P$20))-SUM($P650:AI650)</f>
        <v>0</v>
      </c>
      <c r="AK650" s="446">
        <f>IF(OR($B650="",MIN(AK$38,$D$19)&lt;MAX($P$612*($B650+IF($R$17="Distrato",$I$38-1,0)),IF(AND($L$615=0,$P$612=0),"",$L$615-1),IF($R$17="Distrato",$E650,0))),0,YEARFRAC(MAX($P$612*($B650+IF($R$17="Distrato",$I$38-1,0)),IF(AND($L$615=0,$P$612=0),"",$L$615-1),IF($R$17="Distrato",$E650,0)),MIN(AK$38,$D$19),$P$20))-SUM($P650:AJ650)</f>
        <v>0</v>
      </c>
      <c r="AL650" s="446">
        <f>IF(OR($B650="",MIN(AL$38,$D$19)&lt;MAX($P$612*($B650+IF($R$17="Distrato",$I$38-1,0)),IF(AND($L$615=0,$P$612=0),"",$L$615-1),IF($R$17="Distrato",$E650,0))),0,YEARFRAC(MAX($P$612*($B650+IF($R$17="Distrato",$I$38-1,0)),IF(AND($L$615=0,$P$612=0),"",$L$615-1),IF($R$17="Distrato",$E650,0)),MIN(AL$38,$D$19),$P$20))-SUM($P650:AK650)</f>
        <v>0</v>
      </c>
      <c r="AM650" s="446">
        <f>IF(OR($B650="",MIN(AM$38,$D$19)&lt;MAX($P$612*($B650+IF($R$17="Distrato",$I$38-1,0)),IF(AND($L$615=0,$P$612=0),"",$L$615-1),IF($R$17="Distrato",$E650,0))),0,YEARFRAC(MAX($P$612*($B650+IF($R$17="Distrato",$I$38-1,0)),IF(AND($L$615=0,$P$612=0),"",$L$615-1),IF($R$17="Distrato",$E650,0)),MIN(AM$38,$D$19),$P$20))-SUM($P650:AL650)</f>
        <v>0</v>
      </c>
      <c r="AN650" s="446">
        <f>IF(OR($B650="",MIN(AN$38,$D$19)&lt;MAX($P$612*($B650+IF($R$17="Distrato",$I$38-1,0)),IF(AND($L$615=0,$P$612=0),"",$L$615-1),IF($R$17="Distrato",$E650,0))),0,YEARFRAC(MAX($P$612*($B650+IF($R$17="Distrato",$I$38-1,0)),IF(AND($L$615=0,$P$612=0),"",$L$615-1),IF($R$17="Distrato",$E650,0)),MIN(AN$38,$D$19),$P$20))-SUM($P650:AM650)</f>
        <v>0</v>
      </c>
      <c r="AO650" s="446">
        <f>IF(OR($B650="",MIN(AO$38,$D$19)&lt;MAX($P$612*($B650+IF($R$17="Distrato",$I$38-1,0)),IF(AND($L$615=0,$P$612=0),"",$L$615-1),IF($R$17="Distrato",$E650,0))),0,YEARFRAC(MAX($P$612*($B650+IF($R$17="Distrato",$I$38-1,0)),IF(AND($L$615=0,$P$612=0),"",$L$615-1),IF($R$17="Distrato",$E650,0)),MIN(AO$38,$D$19),$P$20))-SUM($P650:AN650)</f>
        <v>0</v>
      </c>
      <c r="AP650" s="446">
        <f>IF(OR($B650="",MIN(AP$38,$D$19)&lt;MAX($P$612*($B650+IF($R$17="Distrato",$I$38-1,0)),IF(AND($L$615=0,$P$612=0),"",$L$615-1),IF($R$17="Distrato",$E650,0))),0,YEARFRAC(MAX($P$612*($B650+IF($R$17="Distrato",$I$38-1,0)),IF(AND($L$615=0,$P$612=0),"",$L$615-1),IF($R$17="Distrato",$E650,0)),MIN(AP$38,$D$19),$P$20))-SUM($P650:AO650)</f>
        <v>0</v>
      </c>
      <c r="AQ650" s="446">
        <f>IF(OR($B650="",MIN(AQ$38,$D$19)&lt;MAX($P$612*($B650+IF($R$17="Distrato",$I$38-1,0)),IF(AND($L$615=0,$P$612=0),"",$L$615-1),IF($R$17="Distrato",$E650,0))),0,YEARFRAC(MAX($P$612*($B650+IF($R$17="Distrato",$I$38-1,0)),IF(AND($L$615=0,$P$612=0),"",$L$615-1),IF($R$17="Distrato",$E650,0)),MIN(AQ$38,$D$19),$P$20))-SUM($P650:AP650)</f>
        <v>0</v>
      </c>
      <c r="AR650" s="446">
        <f>IF(OR($B650="",MIN(AR$38,$D$19)&lt;MAX($P$612*($B650+IF($R$17="Distrato",$I$38-1,0)),IF(AND($L$615=0,$P$612=0),"",$L$615-1),IF($R$17="Distrato",$E650,0))),0,YEARFRAC(MAX($P$612*($B650+IF($R$17="Distrato",$I$38-1,0)),IF(AND($L$615=0,$P$612=0),"",$L$615-1),IF($R$17="Distrato",$E650,0)),MIN(AR$38,$D$19),$P$20))-SUM($P650:AQ650)</f>
        <v>0</v>
      </c>
      <c r="AS650" s="446">
        <f>IF(OR($B650="",MIN(AS$38,$D$19)&lt;MAX($P$612*($B650+IF($R$17="Distrato",$I$38-1,0)),IF(AND($L$615=0,$P$612=0),"",$L$615-1),IF($R$17="Distrato",$E650,0))),0,YEARFRAC(MAX($P$612*($B650+IF($R$17="Distrato",$I$38-1,0)),IF(AND($L$615=0,$P$612=0),"",$L$615-1),IF($R$17="Distrato",$E650,0)),MIN(AS$38,$D$19),$P$20))-SUM($P650:AR650)</f>
        <v>0</v>
      </c>
      <c r="AT650" s="446">
        <f>IF(OR($B650="",MIN(AT$38,$D$19)&lt;MAX($P$612*($B650+IF($R$17="Distrato",$I$38-1,0)),IF(AND($L$615=0,$P$612=0),"",$L$615-1),IF($R$17="Distrato",$E650,0))),0,YEARFRAC(MAX($P$612*($B650+IF($R$17="Distrato",$I$38-1,0)),IF(AND($L$615=0,$P$612=0),"",$L$615-1),IF($R$17="Distrato",$E650,0)),MIN(AT$38,$D$19),$P$20))-SUM($P650:AS650)</f>
        <v>0</v>
      </c>
      <c r="AU650" s="446">
        <f>IF(OR($B650="",MIN(AU$38,$D$19)&lt;MAX($P$612*($B650+IF($R$17="Distrato",$I$38-1,0)),IF(AND($L$615=0,$P$612=0),"",$L$615-1),IF($R$17="Distrato",$E650,0))),0,YEARFRAC(MAX($P$612*($B650+IF($R$17="Distrato",$I$38-1,0)),IF(AND($L$615=0,$P$612=0),"",$L$615-1),IF($R$17="Distrato",$E650,0)),MIN(AU$38,$D$19),$P$20))-SUM($P650:AT650)</f>
        <v>0</v>
      </c>
      <c r="AV650" s="446">
        <f>IF(OR($B650="",MIN(AV$38,$D$19)&lt;MAX($P$612*($B650+IF($R$17="Distrato",$I$38-1,0)),IF(AND($L$615=0,$P$612=0),"",$L$615-1),IF($R$17="Distrato",$E650,0))),0,YEARFRAC(MAX($P$612*($B650+IF($R$17="Distrato",$I$38-1,0)),IF(AND($L$615=0,$P$612=0),"",$L$615-1),IF($R$17="Distrato",$E650,0)),MIN(AV$38,$D$19),$P$20))-SUM($P650:AU650)</f>
        <v>0</v>
      </c>
      <c r="AW650" s="446">
        <f>IF(OR($B650="",MIN(AW$38,$D$19)&lt;MAX($P$612*($B650+IF($R$17="Distrato",$I$38-1,0)),IF(AND($L$615=0,$P$612=0),"",$L$615-1),IF($R$17="Distrato",$E650,0))),0,YEARFRAC(MAX($P$612*($B650+IF($R$17="Distrato",$I$38-1,0)),IF(AND($L$615=0,$P$612=0),"",$L$615-1),IF($R$17="Distrato",$E650,0)),MIN(AW$38,$D$19),$P$20))-SUM($P650:AV650)</f>
        <v>0</v>
      </c>
      <c r="AX650" s="446">
        <f>IF(OR($B650="",MIN(AX$38,$D$19)&lt;MAX($P$612*($B650+IF($R$17="Distrato",$I$38-1,0)),IF(AND($L$615=0,$P$612=0),"",$L$615-1),IF($R$17="Distrato",$E650,0))),0,YEARFRAC(MAX($P$612*($B650+IF($R$17="Distrato",$I$38-1,0)),IF(AND($L$615=0,$P$612=0),"",$L$615-1),IF($R$17="Distrato",$E650,0)),MIN(AX$38,$D$19),$P$20))-SUM($P650:AW650)</f>
        <v>0</v>
      </c>
      <c r="AY650" s="446">
        <f>IF(OR($B650="",MIN(AY$38,$D$19)&lt;MAX($P$612*($B650+IF($R$17="Distrato",$I$38-1,0)),IF(AND($L$615=0,$P$612=0),"",$L$615-1),IF($R$17="Distrato",$E650,0))),0,YEARFRAC(MAX($P$612*($B650+IF($R$17="Distrato",$I$38-1,0)),IF(AND($L$615=0,$P$612=0),"",$L$615-1),IF($R$17="Distrato",$E650,0)),MIN(AY$38,$D$19),$P$20))-SUM($P650:AX650)</f>
        <v>0</v>
      </c>
      <c r="AZ650" s="446">
        <f>IF(OR($B650="",MIN(AZ$38,$D$19)&lt;MAX($P$612*($B650+IF($R$17="Distrato",$I$38-1,0)),IF(AND($L$615=0,$P$612=0),"",$L$615-1),IF($R$17="Distrato",$E650,0))),0,YEARFRAC(MAX($P$612*($B650+IF($R$17="Distrato",$I$38-1,0)),IF(AND($L$615=0,$P$612=0),"",$L$615-1),IF($R$17="Distrato",$E650,0)),MIN(AZ$38,$D$19),$P$20))-SUM($P650:AY650)</f>
        <v>0</v>
      </c>
      <c r="BA650" s="446">
        <f>IF(OR($B650="",MIN(BA$38,$D$19)&lt;MAX($P$612*($B650+IF($R$17="Distrato",$I$38-1,0)),IF(AND($L$615=0,$P$612=0),"",$L$615-1),IF($R$17="Distrato",$E650,0))),0,YEARFRAC(MAX($P$612*($B650+IF($R$17="Distrato",$I$38-1,0)),IF(AND($L$615=0,$P$612=0),"",$L$615-1),IF($R$17="Distrato",$E650,0)),MIN(BA$38,$D$19),$P$20))-SUM($P650:AZ650)</f>
        <v>0</v>
      </c>
      <c r="BB650" s="447"/>
    </row>
    <row r="651" spans="1:54" s="446" customFormat="1" ht="11.25" hidden="1" x14ac:dyDescent="0.2">
      <c r="A651" s="177"/>
      <c r="B651" s="178"/>
      <c r="C651" s="29" t="str">
        <f>IF(B651="","",IF($L$613="SELIC - TRIBUTOS",VLOOKUP(DATE(YEAR($D$19),MONTH($D$19)-1,1),ÍNDICES!$A:$DE,HLOOKUP($BL$25,ÍNDICES!$B$3:$T$4,2)+11)-VLOOKUP(B651,ÍNDICES!$A:$DE,HLOOKUP($BL$25,ÍNDICES!$B$3:$T$4,2)+11)+1%,IF(C$616=$W$26,$J$613,IF(ISERROR(IF(B651&gt;$D$19,1,VLOOKUP(DATE(YEAR(B651),MONTH(B651)+IF($C$613=$S$23,1,0),1),ÍNDICES!$A:$DE,$Z$613+1))),"",IF(B651&gt;$D$19,1,VLOOKUP(DATE(YEAR(B651),MONTH(B651)+IF($C$613=$S$23,1,0),1),ÍNDICES!$A:$DE,$Z$613+1))))))</f>
        <v/>
      </c>
      <c r="D651" s="155"/>
      <c r="E651" s="179"/>
      <c r="F651" s="29"/>
      <c r="G651" s="180"/>
      <c r="H651" s="181"/>
      <c r="I651" s="182" t="str">
        <f t="shared" si="107"/>
        <v/>
      </c>
      <c r="J651" s="5" t="str">
        <f t="shared" si="108"/>
        <v/>
      </c>
      <c r="K651" s="5">
        <f t="shared" ca="1" si="109"/>
        <v>0</v>
      </c>
      <c r="L651" s="5">
        <f t="shared" ca="1" si="112"/>
        <v>0</v>
      </c>
      <c r="M651" s="64">
        <f t="shared" si="110"/>
        <v>0</v>
      </c>
      <c r="N651" s="61">
        <f t="shared" ca="1" si="113"/>
        <v>0</v>
      </c>
      <c r="O651" s="20">
        <f t="shared" ca="1" si="106"/>
        <v>0</v>
      </c>
      <c r="P651" s="446">
        <f t="shared" si="114"/>
        <v>0</v>
      </c>
      <c r="Q651" s="446">
        <f>IF(OR($B651="",MIN(Q$38,$D$19)&lt;MAX($P$612*($B651+IF($R$17="Distrato",$I$38-1,0)),IF(AND($L$615=0,$P$612=0),"",$L$615-1),IF($R$17="Distrato",$E651,0))),0,YEARFRAC(MAX($P$612*($B651+IF($R$17="Distrato",$I$38-1,0)),IF(AND($L$615=0,$P$612=0),"",$L$615-1),IF($R$17="Distrato",$E651,0)),MIN(Q$38,$D$19),$P$20))-SUM($P651:P651)</f>
        <v>0</v>
      </c>
      <c r="R651" s="446">
        <f>IF(OR($B651="",MIN(R$38,$D$19)&lt;MAX($P$612*($B651+IF($R$17="Distrato",$I$38-1,0)),IF(AND($L$615=0,$P$612=0),"",$L$615-1),IF($R$17="Distrato",$E651,0))),0,YEARFRAC(MAX($P$612*($B651+IF($R$17="Distrato",$I$38-1,0)),IF(AND($L$615=0,$P$612=0),"",$L$615-1),IF($R$17="Distrato",$E651,0)),MIN(R$38,$D$19),$P$20))-SUM($P651:Q651)</f>
        <v>0</v>
      </c>
      <c r="S651" s="446">
        <f>IF(OR($B651="",MIN(S$38,$D$19)&lt;MAX($P$612*($B651+IF($R$17="Distrato",$I$38-1,0)),IF(AND($L$615=0,$P$612=0),"",$L$615-1),IF($R$17="Distrato",$E651,0))),0,YEARFRAC(MAX($P$612*($B651+IF($R$17="Distrato",$I$38-1,0)),IF(AND($L$615=0,$P$612=0),"",$L$615-1),IF($R$17="Distrato",$E651,0)),MIN(S$38,$D$19),$P$20))-SUM($P651:R651)</f>
        <v>0</v>
      </c>
      <c r="T651" s="446">
        <f>IF(OR($B651="",MIN(T$38,$D$19)&lt;MAX($P$612*($B651+IF($R$17="Distrato",$I$38-1,0)),IF(AND($L$615=0,$P$612=0),"",$L$615-1),IF($R$17="Distrato",$E651,0))),0,YEARFRAC(MAX($P$612*($B651+IF($R$17="Distrato",$I$38-1,0)),IF(AND($L$615=0,$P$612=0),"",$L$615-1),IF($R$17="Distrato",$E651,0)),MIN(T$38,$D$19),$P$20))-SUM($P651:S651)</f>
        <v>0</v>
      </c>
      <c r="U651" s="446">
        <f>IF(OR($B651="",MIN(U$38,$D$19)&lt;MAX($P$612*($B651+IF($R$17="Distrato",$I$38-1,0)),IF(AND($L$615=0,$P$612=0),"",$L$615-1),IF($R$17="Distrato",$E651,0))),0,YEARFRAC(MAX($P$612*($B651+IF($R$17="Distrato",$I$38-1,0)),IF(AND($L$615=0,$P$612=0),"",$L$615-1),IF($R$17="Distrato",$E651,0)),MIN(U$38,$D$19),$P$20))-SUM($P651:T651)</f>
        <v>0</v>
      </c>
      <c r="V651" s="446">
        <f>IF(OR($B651="",MIN(V$38,$D$19)&lt;MAX($P$612*($B651+IF($R$17="Distrato",$I$38-1,0)),IF(AND($L$615=0,$P$612=0),"",$L$615-1),IF($R$17="Distrato",$E651,0))),0,YEARFRAC(MAX($P$612*($B651+IF($R$17="Distrato",$I$38-1,0)),IF(AND($L$615=0,$P$612=0),"",$L$615-1),IF($R$17="Distrato",$E651,0)),MIN(V$38,$D$19),$P$20))-SUM($P651:U651)</f>
        <v>0</v>
      </c>
      <c r="W651" s="446">
        <f>IF(OR($B651="",MIN(W$38,$D$19)&lt;MAX($P$612*($B651+IF($R$17="Distrato",$I$38-1,0)),IF(AND($L$615=0,$P$612=0),"",$L$615-1),IF($R$17="Distrato",$E651,0))),0,YEARFRAC(MAX($P$612*($B651+IF($R$17="Distrato",$I$38-1,0)),IF(AND($L$615=0,$P$612=0),"",$L$615-1),IF($R$17="Distrato",$E651,0)),MIN(W$38,$D$19),$P$20))-SUM($P651:V651)</f>
        <v>0</v>
      </c>
      <c r="X651" s="446">
        <f>IF(OR($B651="",MIN(X$38,$D$19)&lt;MAX($P$612*($B651+IF($R$17="Distrato",$I$38-1,0)),IF(AND($L$615=0,$P$612=0),"",$L$615-1),IF($R$17="Distrato",$E651,0))),0,YEARFRAC(MAX($P$612*($B651+IF($R$17="Distrato",$I$38-1,0)),IF(AND($L$615=0,$P$612=0),"",$L$615-1),IF($R$17="Distrato",$E651,0)),MIN(X$38,$D$19),$P$20))-SUM($P651:W651)</f>
        <v>0</v>
      </c>
      <c r="Y651" s="446">
        <f>IF(OR($B651="",MIN(Y$38,$D$19)&lt;MAX($P$612*($B651+IF($R$17="Distrato",$I$38-1,0)),IF(AND($L$615=0,$P$612=0),"",$L$615-1),IF($R$17="Distrato",$E651,0))),0,YEARFRAC(MAX($P$612*($B651+IF($R$17="Distrato",$I$38-1,0)),IF(AND($L$615=0,$P$612=0),"",$L$615-1),IF($R$17="Distrato",$E651,0)),MIN(Y$38,$D$19),$P$20))-SUM($P651:X651)</f>
        <v>0</v>
      </c>
      <c r="Z651" s="446">
        <f>IF(OR($B651="",MIN(Z$38,$D$19)&lt;MAX($P$612*($B651+IF($R$17="Distrato",$I$38-1,0)),IF(AND($L$615=0,$P$612=0),"",$L$615-1),IF($R$17="Distrato",$E651,0))),0,YEARFRAC(MAX($P$612*($B651+IF($R$17="Distrato",$I$38-1,0)),IF(AND($L$615=0,$P$612=0),"",$L$615-1),IF($R$17="Distrato",$E651,0)),MIN(Z$38,$D$19),$P$20))-SUM($P651:Y651)</f>
        <v>0</v>
      </c>
      <c r="AA651" s="446">
        <f>IF(OR($B651="",MIN(AA$38,$D$19)&lt;MAX($P$612*($B651+IF($R$17="Distrato",$I$38-1,0)),IF(AND($L$615=0,$P$612=0),"",$L$615-1),IF($R$17="Distrato",$E651,0))),0,YEARFRAC(MAX($P$612*($B651+IF($R$17="Distrato",$I$38-1,0)),IF(AND($L$615=0,$P$612=0),"",$L$615-1),IF($R$17="Distrato",$E651,0)),MIN(AA$38,$D$19),$P$20))-SUM($P651:Z651)</f>
        <v>0</v>
      </c>
      <c r="AB651" s="446">
        <f>IF(OR($B651="",MIN(AB$38,$D$19)&lt;MAX($P$612*($B651+IF($R$17="Distrato",$I$38-1,0)),IF(AND($L$615=0,$P$612=0),"",$L$615-1),IF($R$17="Distrato",$E651,0))),0,YEARFRAC(MAX($P$612*($B651+IF($R$17="Distrato",$I$38-1,0)),IF(AND($L$615=0,$P$612=0),"",$L$615-1),IF($R$17="Distrato",$E651,0)),MIN(AB$38,$D$19),$P$20))-SUM($P651:AA651)</f>
        <v>0</v>
      </c>
      <c r="AC651" s="446">
        <f>IF(OR($B651="",MIN(AC$38,$D$19)&lt;MAX($P$612*($B651+IF($R$17="Distrato",$I$38-1,0)),IF(AND($L$615=0,$P$612=0),"",$L$615-1),IF($R$17="Distrato",$E651,0))),0,YEARFRAC(MAX($P$612*($B651+IF($R$17="Distrato",$I$38-1,0)),IF(AND($L$615=0,$P$612=0),"",$L$615-1),IF($R$17="Distrato",$E651,0)),MIN(AC$38,$D$19),$P$20))-SUM($P651:AB651)</f>
        <v>0</v>
      </c>
      <c r="AD651" s="446">
        <f>IF(OR($B651="",MIN(AD$38,$D$19)&lt;MAX($P$612*($B651+IF($R$17="Distrato",$I$38-1,0)),IF(AND($L$615=0,$P$612=0),"",$L$615-1),IF($R$17="Distrato",$E651,0))),0,YEARFRAC(MAX($P$612*($B651+IF($R$17="Distrato",$I$38-1,0)),IF(AND($L$615=0,$P$612=0),"",$L$615-1),IF($R$17="Distrato",$E651,0)),MIN(AD$38,$D$19),$P$20))-SUM($P651:AC651)</f>
        <v>0</v>
      </c>
      <c r="AE651" s="446">
        <f>IF(OR($B651="",MIN(AE$38,$D$19)&lt;MAX($P$612*($B651+IF($R$17="Distrato",$I$38-1,0)),IF(AND($L$615=0,$P$612=0),"",$L$615-1),IF($R$17="Distrato",$E651,0))),0,YEARFRAC(MAX($P$612*($B651+IF($R$17="Distrato",$I$38-1,0)),IF(AND($L$615=0,$P$612=0),"",$L$615-1),IF($R$17="Distrato",$E651,0)),MIN(AE$38,$D$19),$P$20))-SUM($P651:AD651)</f>
        <v>0</v>
      </c>
      <c r="AF651" s="446">
        <f>IF(OR($B651="",MIN(AF$38,$D$19)&lt;MAX($P$612*($B651+IF($R$17="Distrato",$I$38-1,0)),IF(AND($L$615=0,$P$612=0),"",$L$615-1),IF($R$17="Distrato",$E651,0))),0,YEARFRAC(MAX($P$612*($B651+IF($R$17="Distrato",$I$38-1,0)),IF(AND($L$615=0,$P$612=0),"",$L$615-1),IF($R$17="Distrato",$E651,0)),MIN(AF$38,$D$19),$P$20))-SUM($P651:AE651)</f>
        <v>0</v>
      </c>
      <c r="AG651" s="446">
        <f>IF(OR($B651="",MIN(AG$38,$D$19)&lt;MAX($P$612*($B651+IF($R$17="Distrato",$I$38-1,0)),IF(AND($L$615=0,$P$612=0),"",$L$615-1),IF($R$17="Distrato",$E651,0))),0,YEARFRAC(MAX($P$612*($B651+IF($R$17="Distrato",$I$38-1,0)),IF(AND($L$615=0,$P$612=0),"",$L$615-1),IF($R$17="Distrato",$E651,0)),MIN(AG$38,$D$19),$P$20))-SUM($P651:AF651)</f>
        <v>0</v>
      </c>
      <c r="AH651" s="446">
        <f>IF(OR($B651="",MIN(AH$38,$D$19)&lt;MAX($P$612*($B651+IF($R$17="Distrato",$I$38-1,0)),IF(AND($L$615=0,$P$612=0),"",$L$615-1),IF($R$17="Distrato",$E651,0))),0,YEARFRAC(MAX($P$612*($B651+IF($R$17="Distrato",$I$38-1,0)),IF(AND($L$615=0,$P$612=0),"",$L$615-1),IF($R$17="Distrato",$E651,0)),MIN(AH$38,$D$19),$P$20))-SUM($P651:AG651)</f>
        <v>0</v>
      </c>
      <c r="AI651" s="446">
        <f>IF(OR($B651="",MIN(AI$38,$D$19)&lt;MAX($P$612*($B651+IF($R$17="Distrato",$I$38-1,0)),IF(AND($L$615=0,$P$612=0),"",$L$615-1),IF($R$17="Distrato",$E651,0))),0,YEARFRAC(MAX($P$612*($B651+IF($R$17="Distrato",$I$38-1,0)),IF(AND($L$615=0,$P$612=0),"",$L$615-1),IF($R$17="Distrato",$E651,0)),MIN(AI$38,$D$19),$P$20))-SUM($P651:AH651)</f>
        <v>0</v>
      </c>
      <c r="AJ651" s="446">
        <f>IF(OR($B651="",MIN(AJ$38,$D$19)&lt;MAX($P$612*($B651+IF($R$17="Distrato",$I$38-1,0)),IF(AND($L$615=0,$P$612=0),"",$L$615-1),IF($R$17="Distrato",$E651,0))),0,YEARFRAC(MAX($P$612*($B651+IF($R$17="Distrato",$I$38-1,0)),IF(AND($L$615=0,$P$612=0),"",$L$615-1),IF($R$17="Distrato",$E651,0)),MIN(AJ$38,$D$19),$P$20))-SUM($P651:AI651)</f>
        <v>0</v>
      </c>
      <c r="AK651" s="446">
        <f>IF(OR($B651="",MIN(AK$38,$D$19)&lt;MAX($P$612*($B651+IF($R$17="Distrato",$I$38-1,0)),IF(AND($L$615=0,$P$612=0),"",$L$615-1),IF($R$17="Distrato",$E651,0))),0,YEARFRAC(MAX($P$612*($B651+IF($R$17="Distrato",$I$38-1,0)),IF(AND($L$615=0,$P$612=0),"",$L$615-1),IF($R$17="Distrato",$E651,0)),MIN(AK$38,$D$19),$P$20))-SUM($P651:AJ651)</f>
        <v>0</v>
      </c>
      <c r="AL651" s="446">
        <f>IF(OR($B651="",MIN(AL$38,$D$19)&lt;MAX($P$612*($B651+IF($R$17="Distrato",$I$38-1,0)),IF(AND($L$615=0,$P$612=0),"",$L$615-1),IF($R$17="Distrato",$E651,0))),0,YEARFRAC(MAX($P$612*($B651+IF($R$17="Distrato",$I$38-1,0)),IF(AND($L$615=0,$P$612=0),"",$L$615-1),IF($R$17="Distrato",$E651,0)),MIN(AL$38,$D$19),$P$20))-SUM($P651:AK651)</f>
        <v>0</v>
      </c>
      <c r="AM651" s="446">
        <f>IF(OR($B651="",MIN(AM$38,$D$19)&lt;MAX($P$612*($B651+IF($R$17="Distrato",$I$38-1,0)),IF(AND($L$615=0,$P$612=0),"",$L$615-1),IF($R$17="Distrato",$E651,0))),0,YEARFRAC(MAX($P$612*($B651+IF($R$17="Distrato",$I$38-1,0)),IF(AND($L$615=0,$P$612=0),"",$L$615-1),IF($R$17="Distrato",$E651,0)),MIN(AM$38,$D$19),$P$20))-SUM($P651:AL651)</f>
        <v>0</v>
      </c>
      <c r="AN651" s="446">
        <f>IF(OR($B651="",MIN(AN$38,$D$19)&lt;MAX($P$612*($B651+IF($R$17="Distrato",$I$38-1,0)),IF(AND($L$615=0,$P$612=0),"",$L$615-1),IF($R$17="Distrato",$E651,0))),0,YEARFRAC(MAX($P$612*($B651+IF($R$17="Distrato",$I$38-1,0)),IF(AND($L$615=0,$P$612=0),"",$L$615-1),IF($R$17="Distrato",$E651,0)),MIN(AN$38,$D$19),$P$20))-SUM($P651:AM651)</f>
        <v>0</v>
      </c>
      <c r="AO651" s="446">
        <f>IF(OR($B651="",MIN(AO$38,$D$19)&lt;MAX($P$612*($B651+IF($R$17="Distrato",$I$38-1,0)),IF(AND($L$615=0,$P$612=0),"",$L$615-1),IF($R$17="Distrato",$E651,0))),0,YEARFRAC(MAX($P$612*($B651+IF($R$17="Distrato",$I$38-1,0)),IF(AND($L$615=0,$P$612=0),"",$L$615-1),IF($R$17="Distrato",$E651,0)),MIN(AO$38,$D$19),$P$20))-SUM($P651:AN651)</f>
        <v>0</v>
      </c>
      <c r="AP651" s="446">
        <f>IF(OR($B651="",MIN(AP$38,$D$19)&lt;MAX($P$612*($B651+IF($R$17="Distrato",$I$38-1,0)),IF(AND($L$615=0,$P$612=0),"",$L$615-1),IF($R$17="Distrato",$E651,0))),0,YEARFRAC(MAX($P$612*($B651+IF($R$17="Distrato",$I$38-1,0)),IF(AND($L$615=0,$P$612=0),"",$L$615-1),IF($R$17="Distrato",$E651,0)),MIN(AP$38,$D$19),$P$20))-SUM($P651:AO651)</f>
        <v>0</v>
      </c>
      <c r="AQ651" s="446">
        <f>IF(OR($B651="",MIN(AQ$38,$D$19)&lt;MAX($P$612*($B651+IF($R$17="Distrato",$I$38-1,0)),IF(AND($L$615=0,$P$612=0),"",$L$615-1),IF($R$17="Distrato",$E651,0))),0,YEARFRAC(MAX($P$612*($B651+IF($R$17="Distrato",$I$38-1,0)),IF(AND($L$615=0,$P$612=0),"",$L$615-1),IF($R$17="Distrato",$E651,0)),MIN(AQ$38,$D$19),$P$20))-SUM($P651:AP651)</f>
        <v>0</v>
      </c>
      <c r="AR651" s="446">
        <f>IF(OR($B651="",MIN(AR$38,$D$19)&lt;MAX($P$612*($B651+IF($R$17="Distrato",$I$38-1,0)),IF(AND($L$615=0,$P$612=0),"",$L$615-1),IF($R$17="Distrato",$E651,0))),0,YEARFRAC(MAX($P$612*($B651+IF($R$17="Distrato",$I$38-1,0)),IF(AND($L$615=0,$P$612=0),"",$L$615-1),IF($R$17="Distrato",$E651,0)),MIN(AR$38,$D$19),$P$20))-SUM($P651:AQ651)</f>
        <v>0</v>
      </c>
      <c r="AS651" s="446">
        <f>IF(OR($B651="",MIN(AS$38,$D$19)&lt;MAX($P$612*($B651+IF($R$17="Distrato",$I$38-1,0)),IF(AND($L$615=0,$P$612=0),"",$L$615-1),IF($R$17="Distrato",$E651,0))),0,YEARFRAC(MAX($P$612*($B651+IF($R$17="Distrato",$I$38-1,0)),IF(AND($L$615=0,$P$612=0),"",$L$615-1),IF($R$17="Distrato",$E651,0)),MIN(AS$38,$D$19),$P$20))-SUM($P651:AR651)</f>
        <v>0</v>
      </c>
      <c r="AT651" s="446">
        <f>IF(OR($B651="",MIN(AT$38,$D$19)&lt;MAX($P$612*($B651+IF($R$17="Distrato",$I$38-1,0)),IF(AND($L$615=0,$P$612=0),"",$L$615-1),IF($R$17="Distrato",$E651,0))),0,YEARFRAC(MAX($P$612*($B651+IF($R$17="Distrato",$I$38-1,0)),IF(AND($L$615=0,$P$612=0),"",$L$615-1),IF($R$17="Distrato",$E651,0)),MIN(AT$38,$D$19),$P$20))-SUM($P651:AS651)</f>
        <v>0</v>
      </c>
      <c r="AU651" s="446">
        <f>IF(OR($B651="",MIN(AU$38,$D$19)&lt;MAX($P$612*($B651+IF($R$17="Distrato",$I$38-1,0)),IF(AND($L$615=0,$P$612=0),"",$L$615-1),IF($R$17="Distrato",$E651,0))),0,YEARFRAC(MAX($P$612*($B651+IF($R$17="Distrato",$I$38-1,0)),IF(AND($L$615=0,$P$612=0),"",$L$615-1),IF($R$17="Distrato",$E651,0)),MIN(AU$38,$D$19),$P$20))-SUM($P651:AT651)</f>
        <v>0</v>
      </c>
      <c r="AV651" s="446">
        <f>IF(OR($B651="",MIN(AV$38,$D$19)&lt;MAX($P$612*($B651+IF($R$17="Distrato",$I$38-1,0)),IF(AND($L$615=0,$P$612=0),"",$L$615-1),IF($R$17="Distrato",$E651,0))),0,YEARFRAC(MAX($P$612*($B651+IF($R$17="Distrato",$I$38-1,0)),IF(AND($L$615=0,$P$612=0),"",$L$615-1),IF($R$17="Distrato",$E651,0)),MIN(AV$38,$D$19),$P$20))-SUM($P651:AU651)</f>
        <v>0</v>
      </c>
      <c r="AW651" s="446">
        <f>IF(OR($B651="",MIN(AW$38,$D$19)&lt;MAX($P$612*($B651+IF($R$17="Distrato",$I$38-1,0)),IF(AND($L$615=0,$P$612=0),"",$L$615-1),IF($R$17="Distrato",$E651,0))),0,YEARFRAC(MAX($P$612*($B651+IF($R$17="Distrato",$I$38-1,0)),IF(AND($L$615=0,$P$612=0),"",$L$615-1),IF($R$17="Distrato",$E651,0)),MIN(AW$38,$D$19),$P$20))-SUM($P651:AV651)</f>
        <v>0</v>
      </c>
      <c r="AX651" s="446">
        <f>IF(OR($B651="",MIN(AX$38,$D$19)&lt;MAX($P$612*($B651+IF($R$17="Distrato",$I$38-1,0)),IF(AND($L$615=0,$P$612=0),"",$L$615-1),IF($R$17="Distrato",$E651,0))),0,YEARFRAC(MAX($P$612*($B651+IF($R$17="Distrato",$I$38-1,0)),IF(AND($L$615=0,$P$612=0),"",$L$615-1),IF($R$17="Distrato",$E651,0)),MIN(AX$38,$D$19),$P$20))-SUM($P651:AW651)</f>
        <v>0</v>
      </c>
      <c r="AY651" s="446">
        <f>IF(OR($B651="",MIN(AY$38,$D$19)&lt;MAX($P$612*($B651+IF($R$17="Distrato",$I$38-1,0)),IF(AND($L$615=0,$P$612=0),"",$L$615-1),IF($R$17="Distrato",$E651,0))),0,YEARFRAC(MAX($P$612*($B651+IF($R$17="Distrato",$I$38-1,0)),IF(AND($L$615=0,$P$612=0),"",$L$615-1),IF($R$17="Distrato",$E651,0)),MIN(AY$38,$D$19),$P$20))-SUM($P651:AX651)</f>
        <v>0</v>
      </c>
      <c r="AZ651" s="446">
        <f>IF(OR($B651="",MIN(AZ$38,$D$19)&lt;MAX($P$612*($B651+IF($R$17="Distrato",$I$38-1,0)),IF(AND($L$615=0,$P$612=0),"",$L$615-1),IF($R$17="Distrato",$E651,0))),0,YEARFRAC(MAX($P$612*($B651+IF($R$17="Distrato",$I$38-1,0)),IF(AND($L$615=0,$P$612=0),"",$L$615-1),IF($R$17="Distrato",$E651,0)),MIN(AZ$38,$D$19),$P$20))-SUM($P651:AY651)</f>
        <v>0</v>
      </c>
      <c r="BA651" s="446">
        <f>IF(OR($B651="",MIN(BA$38,$D$19)&lt;MAX($P$612*($B651+IF($R$17="Distrato",$I$38-1,0)),IF(AND($L$615=0,$P$612=0),"",$L$615-1),IF($R$17="Distrato",$E651,0))),0,YEARFRAC(MAX($P$612*($B651+IF($R$17="Distrato",$I$38-1,0)),IF(AND($L$615=0,$P$612=0),"",$L$615-1),IF($R$17="Distrato",$E651,0)),MIN(BA$38,$D$19),$P$20))-SUM($P651:AZ651)</f>
        <v>0</v>
      </c>
      <c r="BB651" s="447"/>
    </row>
    <row r="652" spans="1:54" s="446" customFormat="1" ht="11.25" hidden="1" x14ac:dyDescent="0.2">
      <c r="A652" s="177"/>
      <c r="B652" s="178"/>
      <c r="C652" s="29" t="str">
        <f>IF(B652="","",IF($L$613="SELIC - TRIBUTOS",VLOOKUP(DATE(YEAR($D$19),MONTH($D$19)-1,1),ÍNDICES!$A:$DE,HLOOKUP($BL$25,ÍNDICES!$B$3:$T$4,2)+11)-VLOOKUP(B652,ÍNDICES!$A:$DE,HLOOKUP($BL$25,ÍNDICES!$B$3:$T$4,2)+11)+1%,IF(C$616=$W$26,$J$613,IF(ISERROR(IF(B652&gt;$D$19,1,VLOOKUP(DATE(YEAR(B652),MONTH(B652)+IF($C$613=$S$23,1,0),1),ÍNDICES!$A:$DE,$Z$613+1))),"",IF(B652&gt;$D$19,1,VLOOKUP(DATE(YEAR(B652),MONTH(B652)+IF($C$613=$S$23,1,0),1),ÍNDICES!$A:$DE,$Z$613+1))))))</f>
        <v/>
      </c>
      <c r="D652" s="155"/>
      <c r="E652" s="179"/>
      <c r="F652" s="29"/>
      <c r="G652" s="180"/>
      <c r="H652" s="181"/>
      <c r="I652" s="182" t="str">
        <f t="shared" si="107"/>
        <v/>
      </c>
      <c r="J652" s="5" t="str">
        <f t="shared" si="108"/>
        <v/>
      </c>
      <c r="K652" s="5">
        <f t="shared" ca="1" si="109"/>
        <v>0</v>
      </c>
      <c r="L652" s="5">
        <f t="shared" ca="1" si="112"/>
        <v>0</v>
      </c>
      <c r="M652" s="64">
        <f t="shared" si="110"/>
        <v>0</v>
      </c>
      <c r="N652" s="61">
        <f t="shared" ca="1" si="113"/>
        <v>0</v>
      </c>
      <c r="O652" s="20">
        <f t="shared" ca="1" si="106"/>
        <v>0</v>
      </c>
      <c r="P652" s="446">
        <f t="shared" si="114"/>
        <v>0</v>
      </c>
      <c r="Q652" s="446">
        <f>IF(OR($B652="",MIN(Q$38,$D$19)&lt;MAX($P$612*($B652+IF($R$17="Distrato",$I$38-1,0)),IF(AND($L$615=0,$P$612=0),"",$L$615-1),IF($R$17="Distrato",$E652,0))),0,YEARFRAC(MAX($P$612*($B652+IF($R$17="Distrato",$I$38-1,0)),IF(AND($L$615=0,$P$612=0),"",$L$615-1),IF($R$17="Distrato",$E652,0)),MIN(Q$38,$D$19),$P$20))-SUM($P652:P652)</f>
        <v>0</v>
      </c>
      <c r="R652" s="446">
        <f>IF(OR($B652="",MIN(R$38,$D$19)&lt;MAX($P$612*($B652+IF($R$17="Distrato",$I$38-1,0)),IF(AND($L$615=0,$P$612=0),"",$L$615-1),IF($R$17="Distrato",$E652,0))),0,YEARFRAC(MAX($P$612*($B652+IF($R$17="Distrato",$I$38-1,0)),IF(AND($L$615=0,$P$612=0),"",$L$615-1),IF($R$17="Distrato",$E652,0)),MIN(R$38,$D$19),$P$20))-SUM($P652:Q652)</f>
        <v>0</v>
      </c>
      <c r="S652" s="446">
        <f>IF(OR($B652="",MIN(S$38,$D$19)&lt;MAX($P$612*($B652+IF($R$17="Distrato",$I$38-1,0)),IF(AND($L$615=0,$P$612=0),"",$L$615-1),IF($R$17="Distrato",$E652,0))),0,YEARFRAC(MAX($P$612*($B652+IF($R$17="Distrato",$I$38-1,0)),IF(AND($L$615=0,$P$612=0),"",$L$615-1),IF($R$17="Distrato",$E652,0)),MIN(S$38,$D$19),$P$20))-SUM($P652:R652)</f>
        <v>0</v>
      </c>
      <c r="T652" s="446">
        <f>IF(OR($B652="",MIN(T$38,$D$19)&lt;MAX($P$612*($B652+IF($R$17="Distrato",$I$38-1,0)),IF(AND($L$615=0,$P$612=0),"",$L$615-1),IF($R$17="Distrato",$E652,0))),0,YEARFRAC(MAX($P$612*($B652+IF($R$17="Distrato",$I$38-1,0)),IF(AND($L$615=0,$P$612=0),"",$L$615-1),IF($R$17="Distrato",$E652,0)),MIN(T$38,$D$19),$P$20))-SUM($P652:S652)</f>
        <v>0</v>
      </c>
      <c r="U652" s="446">
        <f>IF(OR($B652="",MIN(U$38,$D$19)&lt;MAX($P$612*($B652+IF($R$17="Distrato",$I$38-1,0)),IF(AND($L$615=0,$P$612=0),"",$L$615-1),IF($R$17="Distrato",$E652,0))),0,YEARFRAC(MAX($P$612*($B652+IF($R$17="Distrato",$I$38-1,0)),IF(AND($L$615=0,$P$612=0),"",$L$615-1),IF($R$17="Distrato",$E652,0)),MIN(U$38,$D$19),$P$20))-SUM($P652:T652)</f>
        <v>0</v>
      </c>
      <c r="V652" s="446">
        <f>IF(OR($B652="",MIN(V$38,$D$19)&lt;MAX($P$612*($B652+IF($R$17="Distrato",$I$38-1,0)),IF(AND($L$615=0,$P$612=0),"",$L$615-1),IF($R$17="Distrato",$E652,0))),0,YEARFRAC(MAX($P$612*($B652+IF($R$17="Distrato",$I$38-1,0)),IF(AND($L$615=0,$P$612=0),"",$L$615-1),IF($R$17="Distrato",$E652,0)),MIN(V$38,$D$19),$P$20))-SUM($P652:U652)</f>
        <v>0</v>
      </c>
      <c r="W652" s="446">
        <f>IF(OR($B652="",MIN(W$38,$D$19)&lt;MAX($P$612*($B652+IF($R$17="Distrato",$I$38-1,0)),IF(AND($L$615=0,$P$612=0),"",$L$615-1),IF($R$17="Distrato",$E652,0))),0,YEARFRAC(MAX($P$612*($B652+IF($R$17="Distrato",$I$38-1,0)),IF(AND($L$615=0,$P$612=0),"",$L$615-1),IF($R$17="Distrato",$E652,0)),MIN(W$38,$D$19),$P$20))-SUM($P652:V652)</f>
        <v>0</v>
      </c>
      <c r="X652" s="446">
        <f>IF(OR($B652="",MIN(X$38,$D$19)&lt;MAX($P$612*($B652+IF($R$17="Distrato",$I$38-1,0)),IF(AND($L$615=0,$P$612=0),"",$L$615-1),IF($R$17="Distrato",$E652,0))),0,YEARFRAC(MAX($P$612*($B652+IF($R$17="Distrato",$I$38-1,0)),IF(AND($L$615=0,$P$612=0),"",$L$615-1),IF($R$17="Distrato",$E652,0)),MIN(X$38,$D$19),$P$20))-SUM($P652:W652)</f>
        <v>0</v>
      </c>
      <c r="Y652" s="446">
        <f>IF(OR($B652="",MIN(Y$38,$D$19)&lt;MAX($P$612*($B652+IF($R$17="Distrato",$I$38-1,0)),IF(AND($L$615=0,$P$612=0),"",$L$615-1),IF($R$17="Distrato",$E652,0))),0,YEARFRAC(MAX($P$612*($B652+IF($R$17="Distrato",$I$38-1,0)),IF(AND($L$615=0,$P$612=0),"",$L$615-1),IF($R$17="Distrato",$E652,0)),MIN(Y$38,$D$19),$P$20))-SUM($P652:X652)</f>
        <v>0</v>
      </c>
      <c r="Z652" s="446">
        <f>IF(OR($B652="",MIN(Z$38,$D$19)&lt;MAX($P$612*($B652+IF($R$17="Distrato",$I$38-1,0)),IF(AND($L$615=0,$P$612=0),"",$L$615-1),IF($R$17="Distrato",$E652,0))),0,YEARFRAC(MAX($P$612*($B652+IF($R$17="Distrato",$I$38-1,0)),IF(AND($L$615=0,$P$612=0),"",$L$615-1),IF($R$17="Distrato",$E652,0)),MIN(Z$38,$D$19),$P$20))-SUM($P652:Y652)</f>
        <v>0</v>
      </c>
      <c r="AA652" s="446">
        <f>IF(OR($B652="",MIN(AA$38,$D$19)&lt;MAX($P$612*($B652+IF($R$17="Distrato",$I$38-1,0)),IF(AND($L$615=0,$P$612=0),"",$L$615-1),IF($R$17="Distrato",$E652,0))),0,YEARFRAC(MAX($P$612*($B652+IF($R$17="Distrato",$I$38-1,0)),IF(AND($L$615=0,$P$612=0),"",$L$615-1),IF($R$17="Distrato",$E652,0)),MIN(AA$38,$D$19),$P$20))-SUM($P652:Z652)</f>
        <v>0</v>
      </c>
      <c r="AB652" s="446">
        <f>IF(OR($B652="",MIN(AB$38,$D$19)&lt;MAX($P$612*($B652+IF($R$17="Distrato",$I$38-1,0)),IF(AND($L$615=0,$P$612=0),"",$L$615-1),IF($R$17="Distrato",$E652,0))),0,YEARFRAC(MAX($P$612*($B652+IF($R$17="Distrato",$I$38-1,0)),IF(AND($L$615=0,$P$612=0),"",$L$615-1),IF($R$17="Distrato",$E652,0)),MIN(AB$38,$D$19),$P$20))-SUM($P652:AA652)</f>
        <v>0</v>
      </c>
      <c r="AC652" s="446">
        <f>IF(OR($B652="",MIN(AC$38,$D$19)&lt;MAX($P$612*($B652+IF($R$17="Distrato",$I$38-1,0)),IF(AND($L$615=0,$P$612=0),"",$L$615-1),IF($R$17="Distrato",$E652,0))),0,YEARFRAC(MAX($P$612*($B652+IF($R$17="Distrato",$I$38-1,0)),IF(AND($L$615=0,$P$612=0),"",$L$615-1),IF($R$17="Distrato",$E652,0)),MIN(AC$38,$D$19),$P$20))-SUM($P652:AB652)</f>
        <v>0</v>
      </c>
      <c r="AD652" s="446">
        <f>IF(OR($B652="",MIN(AD$38,$D$19)&lt;MAX($P$612*($B652+IF($R$17="Distrato",$I$38-1,0)),IF(AND($L$615=0,$P$612=0),"",$L$615-1),IF($R$17="Distrato",$E652,0))),0,YEARFRAC(MAX($P$612*($B652+IF($R$17="Distrato",$I$38-1,0)),IF(AND($L$615=0,$P$612=0),"",$L$615-1),IF($R$17="Distrato",$E652,0)),MIN(AD$38,$D$19),$P$20))-SUM($P652:AC652)</f>
        <v>0</v>
      </c>
      <c r="AE652" s="446">
        <f>IF(OR($B652="",MIN(AE$38,$D$19)&lt;MAX($P$612*($B652+IF($R$17="Distrato",$I$38-1,0)),IF(AND($L$615=0,$P$612=0),"",$L$615-1),IF($R$17="Distrato",$E652,0))),0,YEARFRAC(MAX($P$612*($B652+IF($R$17="Distrato",$I$38-1,0)),IF(AND($L$615=0,$P$612=0),"",$L$615-1),IF($R$17="Distrato",$E652,0)),MIN(AE$38,$D$19),$P$20))-SUM($P652:AD652)</f>
        <v>0</v>
      </c>
      <c r="AF652" s="446">
        <f>IF(OR($B652="",MIN(AF$38,$D$19)&lt;MAX($P$612*($B652+IF($R$17="Distrato",$I$38-1,0)),IF(AND($L$615=0,$P$612=0),"",$L$615-1),IF($R$17="Distrato",$E652,0))),0,YEARFRAC(MAX($P$612*($B652+IF($R$17="Distrato",$I$38-1,0)),IF(AND($L$615=0,$P$612=0),"",$L$615-1),IF($R$17="Distrato",$E652,0)),MIN(AF$38,$D$19),$P$20))-SUM($P652:AE652)</f>
        <v>0</v>
      </c>
      <c r="AG652" s="446">
        <f>IF(OR($B652="",MIN(AG$38,$D$19)&lt;MAX($P$612*($B652+IF($R$17="Distrato",$I$38-1,0)),IF(AND($L$615=0,$P$612=0),"",$L$615-1),IF($R$17="Distrato",$E652,0))),0,YEARFRAC(MAX($P$612*($B652+IF($R$17="Distrato",$I$38-1,0)),IF(AND($L$615=0,$P$612=0),"",$L$615-1),IF($R$17="Distrato",$E652,0)),MIN(AG$38,$D$19),$P$20))-SUM($P652:AF652)</f>
        <v>0</v>
      </c>
      <c r="AH652" s="446">
        <f>IF(OR($B652="",MIN(AH$38,$D$19)&lt;MAX($P$612*($B652+IF($R$17="Distrato",$I$38-1,0)),IF(AND($L$615=0,$P$612=0),"",$L$615-1),IF($R$17="Distrato",$E652,0))),0,YEARFRAC(MAX($P$612*($B652+IF($R$17="Distrato",$I$38-1,0)),IF(AND($L$615=0,$P$612=0),"",$L$615-1),IF($R$17="Distrato",$E652,0)),MIN(AH$38,$D$19),$P$20))-SUM($P652:AG652)</f>
        <v>0</v>
      </c>
      <c r="AI652" s="446">
        <f>IF(OR($B652="",MIN(AI$38,$D$19)&lt;MAX($P$612*($B652+IF($R$17="Distrato",$I$38-1,0)),IF(AND($L$615=0,$P$612=0),"",$L$615-1),IF($R$17="Distrato",$E652,0))),0,YEARFRAC(MAX($P$612*($B652+IF($R$17="Distrato",$I$38-1,0)),IF(AND($L$615=0,$P$612=0),"",$L$615-1),IF($R$17="Distrato",$E652,0)),MIN(AI$38,$D$19),$P$20))-SUM($P652:AH652)</f>
        <v>0</v>
      </c>
      <c r="AJ652" s="446">
        <f>IF(OR($B652="",MIN(AJ$38,$D$19)&lt;MAX($P$612*($B652+IF($R$17="Distrato",$I$38-1,0)),IF(AND($L$615=0,$P$612=0),"",$L$615-1),IF($R$17="Distrato",$E652,0))),0,YEARFRAC(MAX($P$612*($B652+IF($R$17="Distrato",$I$38-1,0)),IF(AND($L$615=0,$P$612=0),"",$L$615-1),IF($R$17="Distrato",$E652,0)),MIN(AJ$38,$D$19),$P$20))-SUM($P652:AI652)</f>
        <v>0</v>
      </c>
      <c r="AK652" s="446">
        <f>IF(OR($B652="",MIN(AK$38,$D$19)&lt;MAX($P$612*($B652+IF($R$17="Distrato",$I$38-1,0)),IF(AND($L$615=0,$P$612=0),"",$L$615-1),IF($R$17="Distrato",$E652,0))),0,YEARFRAC(MAX($P$612*($B652+IF($R$17="Distrato",$I$38-1,0)),IF(AND($L$615=0,$P$612=0),"",$L$615-1),IF($R$17="Distrato",$E652,0)),MIN(AK$38,$D$19),$P$20))-SUM($P652:AJ652)</f>
        <v>0</v>
      </c>
      <c r="AL652" s="446">
        <f>IF(OR($B652="",MIN(AL$38,$D$19)&lt;MAX($P$612*($B652+IF($R$17="Distrato",$I$38-1,0)),IF(AND($L$615=0,$P$612=0),"",$L$615-1),IF($R$17="Distrato",$E652,0))),0,YEARFRAC(MAX($P$612*($B652+IF($R$17="Distrato",$I$38-1,0)),IF(AND($L$615=0,$P$612=0),"",$L$615-1),IF($R$17="Distrato",$E652,0)),MIN(AL$38,$D$19),$P$20))-SUM($P652:AK652)</f>
        <v>0</v>
      </c>
      <c r="AM652" s="446">
        <f>IF(OR($B652="",MIN(AM$38,$D$19)&lt;MAX($P$612*($B652+IF($R$17="Distrato",$I$38-1,0)),IF(AND($L$615=0,$P$612=0),"",$L$615-1),IF($R$17="Distrato",$E652,0))),0,YEARFRAC(MAX($P$612*($B652+IF($R$17="Distrato",$I$38-1,0)),IF(AND($L$615=0,$P$612=0),"",$L$615-1),IF($R$17="Distrato",$E652,0)),MIN(AM$38,$D$19),$P$20))-SUM($P652:AL652)</f>
        <v>0</v>
      </c>
      <c r="AN652" s="446">
        <f>IF(OR($B652="",MIN(AN$38,$D$19)&lt;MAX($P$612*($B652+IF($R$17="Distrato",$I$38-1,0)),IF(AND($L$615=0,$P$612=0),"",$L$615-1),IF($R$17="Distrato",$E652,0))),0,YEARFRAC(MAX($P$612*($B652+IF($R$17="Distrato",$I$38-1,0)),IF(AND($L$615=0,$P$612=0),"",$L$615-1),IF($R$17="Distrato",$E652,0)),MIN(AN$38,$D$19),$P$20))-SUM($P652:AM652)</f>
        <v>0</v>
      </c>
      <c r="AO652" s="446">
        <f>IF(OR($B652="",MIN(AO$38,$D$19)&lt;MAX($P$612*($B652+IF($R$17="Distrato",$I$38-1,0)),IF(AND($L$615=0,$P$612=0),"",$L$615-1),IF($R$17="Distrato",$E652,0))),0,YEARFRAC(MAX($P$612*($B652+IF($R$17="Distrato",$I$38-1,0)),IF(AND($L$615=0,$P$612=0),"",$L$615-1),IF($R$17="Distrato",$E652,0)),MIN(AO$38,$D$19),$P$20))-SUM($P652:AN652)</f>
        <v>0</v>
      </c>
      <c r="AP652" s="446">
        <f>IF(OR($B652="",MIN(AP$38,$D$19)&lt;MAX($P$612*($B652+IF($R$17="Distrato",$I$38-1,0)),IF(AND($L$615=0,$P$612=0),"",$L$615-1),IF($R$17="Distrato",$E652,0))),0,YEARFRAC(MAX($P$612*($B652+IF($R$17="Distrato",$I$38-1,0)),IF(AND($L$615=0,$P$612=0),"",$L$615-1),IF($R$17="Distrato",$E652,0)),MIN(AP$38,$D$19),$P$20))-SUM($P652:AO652)</f>
        <v>0</v>
      </c>
      <c r="AQ652" s="446">
        <f>IF(OR($B652="",MIN(AQ$38,$D$19)&lt;MAX($P$612*($B652+IF($R$17="Distrato",$I$38-1,0)),IF(AND($L$615=0,$P$612=0),"",$L$615-1),IF($R$17="Distrato",$E652,0))),0,YEARFRAC(MAX($P$612*($B652+IF($R$17="Distrato",$I$38-1,0)),IF(AND($L$615=0,$P$612=0),"",$L$615-1),IF($R$17="Distrato",$E652,0)),MIN(AQ$38,$D$19),$P$20))-SUM($P652:AP652)</f>
        <v>0</v>
      </c>
      <c r="AR652" s="446">
        <f>IF(OR($B652="",MIN(AR$38,$D$19)&lt;MAX($P$612*($B652+IF($R$17="Distrato",$I$38-1,0)),IF(AND($L$615=0,$P$612=0),"",$L$615-1),IF($R$17="Distrato",$E652,0))),0,YEARFRAC(MAX($P$612*($B652+IF($R$17="Distrato",$I$38-1,0)),IF(AND($L$615=0,$P$612=0),"",$L$615-1),IF($R$17="Distrato",$E652,0)),MIN(AR$38,$D$19),$P$20))-SUM($P652:AQ652)</f>
        <v>0</v>
      </c>
      <c r="AS652" s="446">
        <f>IF(OR($B652="",MIN(AS$38,$D$19)&lt;MAX($P$612*($B652+IF($R$17="Distrato",$I$38-1,0)),IF(AND($L$615=0,$P$612=0),"",$L$615-1),IF($R$17="Distrato",$E652,0))),0,YEARFRAC(MAX($P$612*($B652+IF($R$17="Distrato",$I$38-1,0)),IF(AND($L$615=0,$P$612=0),"",$L$615-1),IF($R$17="Distrato",$E652,0)),MIN(AS$38,$D$19),$P$20))-SUM($P652:AR652)</f>
        <v>0</v>
      </c>
      <c r="AT652" s="446">
        <f>IF(OR($B652="",MIN(AT$38,$D$19)&lt;MAX($P$612*($B652+IF($R$17="Distrato",$I$38-1,0)),IF(AND($L$615=0,$P$612=0),"",$L$615-1),IF($R$17="Distrato",$E652,0))),0,YEARFRAC(MAX($P$612*($B652+IF($R$17="Distrato",$I$38-1,0)),IF(AND($L$615=0,$P$612=0),"",$L$615-1),IF($R$17="Distrato",$E652,0)),MIN(AT$38,$D$19),$P$20))-SUM($P652:AS652)</f>
        <v>0</v>
      </c>
      <c r="AU652" s="446">
        <f>IF(OR($B652="",MIN(AU$38,$D$19)&lt;MAX($P$612*($B652+IF($R$17="Distrato",$I$38-1,0)),IF(AND($L$615=0,$P$612=0),"",$L$615-1),IF($R$17="Distrato",$E652,0))),0,YEARFRAC(MAX($P$612*($B652+IF($R$17="Distrato",$I$38-1,0)),IF(AND($L$615=0,$P$612=0),"",$L$615-1),IF($R$17="Distrato",$E652,0)),MIN(AU$38,$D$19),$P$20))-SUM($P652:AT652)</f>
        <v>0</v>
      </c>
      <c r="AV652" s="446">
        <f>IF(OR($B652="",MIN(AV$38,$D$19)&lt;MAX($P$612*($B652+IF($R$17="Distrato",$I$38-1,0)),IF(AND($L$615=0,$P$612=0),"",$L$615-1),IF($R$17="Distrato",$E652,0))),0,YEARFRAC(MAX($P$612*($B652+IF($R$17="Distrato",$I$38-1,0)),IF(AND($L$615=0,$P$612=0),"",$L$615-1),IF($R$17="Distrato",$E652,0)),MIN(AV$38,$D$19),$P$20))-SUM($P652:AU652)</f>
        <v>0</v>
      </c>
      <c r="AW652" s="446">
        <f>IF(OR($B652="",MIN(AW$38,$D$19)&lt;MAX($P$612*($B652+IF($R$17="Distrato",$I$38-1,0)),IF(AND($L$615=0,$P$612=0),"",$L$615-1),IF($R$17="Distrato",$E652,0))),0,YEARFRAC(MAX($P$612*($B652+IF($R$17="Distrato",$I$38-1,0)),IF(AND($L$615=0,$P$612=0),"",$L$615-1),IF($R$17="Distrato",$E652,0)),MIN(AW$38,$D$19),$P$20))-SUM($P652:AV652)</f>
        <v>0</v>
      </c>
      <c r="AX652" s="446">
        <f>IF(OR($B652="",MIN(AX$38,$D$19)&lt;MAX($P$612*($B652+IF($R$17="Distrato",$I$38-1,0)),IF(AND($L$615=0,$P$612=0),"",$L$615-1),IF($R$17="Distrato",$E652,0))),0,YEARFRAC(MAX($P$612*($B652+IF($R$17="Distrato",$I$38-1,0)),IF(AND($L$615=0,$P$612=0),"",$L$615-1),IF($R$17="Distrato",$E652,0)),MIN(AX$38,$D$19),$P$20))-SUM($P652:AW652)</f>
        <v>0</v>
      </c>
      <c r="AY652" s="446">
        <f>IF(OR($B652="",MIN(AY$38,$D$19)&lt;MAX($P$612*($B652+IF($R$17="Distrato",$I$38-1,0)),IF(AND($L$615=0,$P$612=0),"",$L$615-1),IF($R$17="Distrato",$E652,0))),0,YEARFRAC(MAX($P$612*($B652+IF($R$17="Distrato",$I$38-1,0)),IF(AND($L$615=0,$P$612=0),"",$L$615-1),IF($R$17="Distrato",$E652,0)),MIN(AY$38,$D$19),$P$20))-SUM($P652:AX652)</f>
        <v>0</v>
      </c>
      <c r="AZ652" s="446">
        <f>IF(OR($B652="",MIN(AZ$38,$D$19)&lt;MAX($P$612*($B652+IF($R$17="Distrato",$I$38-1,0)),IF(AND($L$615=0,$P$612=0),"",$L$615-1),IF($R$17="Distrato",$E652,0))),0,YEARFRAC(MAX($P$612*($B652+IF($R$17="Distrato",$I$38-1,0)),IF(AND($L$615=0,$P$612=0),"",$L$615-1),IF($R$17="Distrato",$E652,0)),MIN(AZ$38,$D$19),$P$20))-SUM($P652:AY652)</f>
        <v>0</v>
      </c>
      <c r="BA652" s="446">
        <f>IF(OR($B652="",MIN(BA$38,$D$19)&lt;MAX($P$612*($B652+IF($R$17="Distrato",$I$38-1,0)),IF(AND($L$615=0,$P$612=0),"",$L$615-1),IF($R$17="Distrato",$E652,0))),0,YEARFRAC(MAX($P$612*($B652+IF($R$17="Distrato",$I$38-1,0)),IF(AND($L$615=0,$P$612=0),"",$L$615-1),IF($R$17="Distrato",$E652,0)),MIN(BA$38,$D$19),$P$20))-SUM($P652:AZ652)</f>
        <v>0</v>
      </c>
      <c r="BB652" s="447"/>
    </row>
    <row r="653" spans="1:54" s="446" customFormat="1" ht="11.25" hidden="1" x14ac:dyDescent="0.2">
      <c r="A653" s="177"/>
      <c r="B653" s="178"/>
      <c r="C653" s="29" t="str">
        <f>IF(B653="","",IF($L$613="SELIC - TRIBUTOS",VLOOKUP(DATE(YEAR($D$19),MONTH($D$19)-1,1),ÍNDICES!$A:$DE,HLOOKUP($BL$25,ÍNDICES!$B$3:$T$4,2)+11)-VLOOKUP(B653,ÍNDICES!$A:$DE,HLOOKUP($BL$25,ÍNDICES!$B$3:$T$4,2)+11)+1%,IF(C$616=$W$26,$J$613,IF(ISERROR(IF(B653&gt;$D$19,1,VLOOKUP(DATE(YEAR(B653),MONTH(B653)+IF($C$613=$S$23,1,0),1),ÍNDICES!$A:$DE,$Z$613+1))),"",IF(B653&gt;$D$19,1,VLOOKUP(DATE(YEAR(B653),MONTH(B653)+IF($C$613=$S$23,1,0),1),ÍNDICES!$A:$DE,$Z$613+1))))))</f>
        <v/>
      </c>
      <c r="D653" s="155"/>
      <c r="E653" s="179"/>
      <c r="F653" s="29"/>
      <c r="G653" s="180"/>
      <c r="H653" s="181"/>
      <c r="I653" s="182" t="str">
        <f t="shared" si="107"/>
        <v/>
      </c>
      <c r="J653" s="5" t="str">
        <f t="shared" si="108"/>
        <v/>
      </c>
      <c r="K653" s="5">
        <f t="shared" ca="1" si="109"/>
        <v>0</v>
      </c>
      <c r="L653" s="5">
        <f t="shared" ca="1" si="112"/>
        <v>0</v>
      </c>
      <c r="M653" s="64">
        <f t="shared" si="110"/>
        <v>0</v>
      </c>
      <c r="N653" s="61">
        <f t="shared" ca="1" si="113"/>
        <v>0</v>
      </c>
      <c r="O653" s="20">
        <f t="shared" ca="1" si="106"/>
        <v>0</v>
      </c>
      <c r="P653" s="446">
        <f t="shared" si="114"/>
        <v>0</v>
      </c>
      <c r="Q653" s="446">
        <f>IF(OR($B653="",MIN(Q$38,$D$19)&lt;MAX($P$612*($B653+IF($R$17="Distrato",$I$38-1,0)),IF(AND($L$615=0,$P$612=0),"",$L$615-1),IF($R$17="Distrato",$E653,0))),0,YEARFRAC(MAX($P$612*($B653+IF($R$17="Distrato",$I$38-1,0)),IF(AND($L$615=0,$P$612=0),"",$L$615-1),IF($R$17="Distrato",$E653,0)),MIN(Q$38,$D$19),$P$20))-SUM($P653:P653)</f>
        <v>0</v>
      </c>
      <c r="R653" s="446">
        <f>IF(OR($B653="",MIN(R$38,$D$19)&lt;MAX($P$612*($B653+IF($R$17="Distrato",$I$38-1,0)),IF(AND($L$615=0,$P$612=0),"",$L$615-1),IF($R$17="Distrato",$E653,0))),0,YEARFRAC(MAX($P$612*($B653+IF($R$17="Distrato",$I$38-1,0)),IF(AND($L$615=0,$P$612=0),"",$L$615-1),IF($R$17="Distrato",$E653,0)),MIN(R$38,$D$19),$P$20))-SUM($P653:Q653)</f>
        <v>0</v>
      </c>
      <c r="S653" s="446">
        <f>IF(OR($B653="",MIN(S$38,$D$19)&lt;MAX($P$612*($B653+IF($R$17="Distrato",$I$38-1,0)),IF(AND($L$615=0,$P$612=0),"",$L$615-1),IF($R$17="Distrato",$E653,0))),0,YEARFRAC(MAX($P$612*($B653+IF($R$17="Distrato",$I$38-1,0)),IF(AND($L$615=0,$P$612=0),"",$L$615-1),IF($R$17="Distrato",$E653,0)),MIN(S$38,$D$19),$P$20))-SUM($P653:R653)</f>
        <v>0</v>
      </c>
      <c r="T653" s="446">
        <f>IF(OR($B653="",MIN(T$38,$D$19)&lt;MAX($P$612*($B653+IF($R$17="Distrato",$I$38-1,0)),IF(AND($L$615=0,$P$612=0),"",$L$615-1),IF($R$17="Distrato",$E653,0))),0,YEARFRAC(MAX($P$612*($B653+IF($R$17="Distrato",$I$38-1,0)),IF(AND($L$615=0,$P$612=0),"",$L$615-1),IF($R$17="Distrato",$E653,0)),MIN(T$38,$D$19),$P$20))-SUM($P653:S653)</f>
        <v>0</v>
      </c>
      <c r="U653" s="446">
        <f>IF(OR($B653="",MIN(U$38,$D$19)&lt;MAX($P$612*($B653+IF($R$17="Distrato",$I$38-1,0)),IF(AND($L$615=0,$P$612=0),"",$L$615-1),IF($R$17="Distrato",$E653,0))),0,YEARFRAC(MAX($P$612*($B653+IF($R$17="Distrato",$I$38-1,0)),IF(AND($L$615=0,$P$612=0),"",$L$615-1),IF($R$17="Distrato",$E653,0)),MIN(U$38,$D$19),$P$20))-SUM($P653:T653)</f>
        <v>0</v>
      </c>
      <c r="V653" s="446">
        <f>IF(OR($B653="",MIN(V$38,$D$19)&lt;MAX($P$612*($B653+IF($R$17="Distrato",$I$38-1,0)),IF(AND($L$615=0,$P$612=0),"",$L$615-1),IF($R$17="Distrato",$E653,0))),0,YEARFRAC(MAX($P$612*($B653+IF($R$17="Distrato",$I$38-1,0)),IF(AND($L$615=0,$P$612=0),"",$L$615-1),IF($R$17="Distrato",$E653,0)),MIN(V$38,$D$19),$P$20))-SUM($P653:U653)</f>
        <v>0</v>
      </c>
      <c r="W653" s="446">
        <f>IF(OR($B653="",MIN(W$38,$D$19)&lt;MAX($P$612*($B653+IF($R$17="Distrato",$I$38-1,0)),IF(AND($L$615=0,$P$612=0),"",$L$615-1),IF($R$17="Distrato",$E653,0))),0,YEARFRAC(MAX($P$612*($B653+IF($R$17="Distrato",$I$38-1,0)),IF(AND($L$615=0,$P$612=0),"",$L$615-1),IF($R$17="Distrato",$E653,0)),MIN(W$38,$D$19),$P$20))-SUM($P653:V653)</f>
        <v>0</v>
      </c>
      <c r="X653" s="446">
        <f>IF(OR($B653="",MIN(X$38,$D$19)&lt;MAX($P$612*($B653+IF($R$17="Distrato",$I$38-1,0)),IF(AND($L$615=0,$P$612=0),"",$L$615-1),IF($R$17="Distrato",$E653,0))),0,YEARFRAC(MAX($P$612*($B653+IF($R$17="Distrato",$I$38-1,0)),IF(AND($L$615=0,$P$612=0),"",$L$615-1),IF($R$17="Distrato",$E653,0)),MIN(X$38,$D$19),$P$20))-SUM($P653:W653)</f>
        <v>0</v>
      </c>
      <c r="Y653" s="446">
        <f>IF(OR($B653="",MIN(Y$38,$D$19)&lt;MAX($P$612*($B653+IF($R$17="Distrato",$I$38-1,0)),IF(AND($L$615=0,$P$612=0),"",$L$615-1),IF($R$17="Distrato",$E653,0))),0,YEARFRAC(MAX($P$612*($B653+IF($R$17="Distrato",$I$38-1,0)),IF(AND($L$615=0,$P$612=0),"",$L$615-1),IF($R$17="Distrato",$E653,0)),MIN(Y$38,$D$19),$P$20))-SUM($P653:X653)</f>
        <v>0</v>
      </c>
      <c r="Z653" s="446">
        <f>IF(OR($B653="",MIN(Z$38,$D$19)&lt;MAX($P$612*($B653+IF($R$17="Distrato",$I$38-1,0)),IF(AND($L$615=0,$P$612=0),"",$L$615-1),IF($R$17="Distrato",$E653,0))),0,YEARFRAC(MAX($P$612*($B653+IF($R$17="Distrato",$I$38-1,0)),IF(AND($L$615=0,$P$612=0),"",$L$615-1),IF($R$17="Distrato",$E653,0)),MIN(Z$38,$D$19),$P$20))-SUM($P653:Y653)</f>
        <v>0</v>
      </c>
      <c r="AA653" s="446">
        <f>IF(OR($B653="",MIN(AA$38,$D$19)&lt;MAX($P$612*($B653+IF($R$17="Distrato",$I$38-1,0)),IF(AND($L$615=0,$P$612=0),"",$L$615-1),IF($R$17="Distrato",$E653,0))),0,YEARFRAC(MAX($P$612*($B653+IF($R$17="Distrato",$I$38-1,0)),IF(AND($L$615=0,$P$612=0),"",$L$615-1),IF($R$17="Distrato",$E653,0)),MIN(AA$38,$D$19),$P$20))-SUM($P653:Z653)</f>
        <v>0</v>
      </c>
      <c r="AB653" s="446">
        <f>IF(OR($B653="",MIN(AB$38,$D$19)&lt;MAX($P$612*($B653+IF($R$17="Distrato",$I$38-1,0)),IF(AND($L$615=0,$P$612=0),"",$L$615-1),IF($R$17="Distrato",$E653,0))),0,YEARFRAC(MAX($P$612*($B653+IF($R$17="Distrato",$I$38-1,0)),IF(AND($L$615=0,$P$612=0),"",$L$615-1),IF($R$17="Distrato",$E653,0)),MIN(AB$38,$D$19),$P$20))-SUM($P653:AA653)</f>
        <v>0</v>
      </c>
      <c r="AC653" s="446">
        <f>IF(OR($B653="",MIN(AC$38,$D$19)&lt;MAX($P$612*($B653+IF($R$17="Distrato",$I$38-1,0)),IF(AND($L$615=0,$P$612=0),"",$L$615-1),IF($R$17="Distrato",$E653,0))),0,YEARFRAC(MAX($P$612*($B653+IF($R$17="Distrato",$I$38-1,0)),IF(AND($L$615=0,$P$612=0),"",$L$615-1),IF($R$17="Distrato",$E653,0)),MIN(AC$38,$D$19),$P$20))-SUM($P653:AB653)</f>
        <v>0</v>
      </c>
      <c r="AD653" s="446">
        <f>IF(OR($B653="",MIN(AD$38,$D$19)&lt;MAX($P$612*($B653+IF($R$17="Distrato",$I$38-1,0)),IF(AND($L$615=0,$P$612=0),"",$L$615-1),IF($R$17="Distrato",$E653,0))),0,YEARFRAC(MAX($P$612*($B653+IF($R$17="Distrato",$I$38-1,0)),IF(AND($L$615=0,$P$612=0),"",$L$615-1),IF($R$17="Distrato",$E653,0)),MIN(AD$38,$D$19),$P$20))-SUM($P653:AC653)</f>
        <v>0</v>
      </c>
      <c r="AE653" s="446">
        <f>IF(OR($B653="",MIN(AE$38,$D$19)&lt;MAX($P$612*($B653+IF($R$17="Distrato",$I$38-1,0)),IF(AND($L$615=0,$P$612=0),"",$L$615-1),IF($R$17="Distrato",$E653,0))),0,YEARFRAC(MAX($P$612*($B653+IF($R$17="Distrato",$I$38-1,0)),IF(AND($L$615=0,$P$612=0),"",$L$615-1),IF($R$17="Distrato",$E653,0)),MIN(AE$38,$D$19),$P$20))-SUM($P653:AD653)</f>
        <v>0</v>
      </c>
      <c r="AF653" s="446">
        <f>IF(OR($B653="",MIN(AF$38,$D$19)&lt;MAX($P$612*($B653+IF($R$17="Distrato",$I$38-1,0)),IF(AND($L$615=0,$P$612=0),"",$L$615-1),IF($R$17="Distrato",$E653,0))),0,YEARFRAC(MAX($P$612*($B653+IF($R$17="Distrato",$I$38-1,0)),IF(AND($L$615=0,$P$612=0),"",$L$615-1),IF($R$17="Distrato",$E653,0)),MIN(AF$38,$D$19),$P$20))-SUM($P653:AE653)</f>
        <v>0</v>
      </c>
      <c r="AG653" s="446">
        <f>IF(OR($B653="",MIN(AG$38,$D$19)&lt;MAX($P$612*($B653+IF($R$17="Distrato",$I$38-1,0)),IF(AND($L$615=0,$P$612=0),"",$L$615-1),IF($R$17="Distrato",$E653,0))),0,YEARFRAC(MAX($P$612*($B653+IF($R$17="Distrato",$I$38-1,0)),IF(AND($L$615=0,$P$612=0),"",$L$615-1),IF($R$17="Distrato",$E653,0)),MIN(AG$38,$D$19),$P$20))-SUM($P653:AF653)</f>
        <v>0</v>
      </c>
      <c r="AH653" s="446">
        <f>IF(OR($B653="",MIN(AH$38,$D$19)&lt;MAX($P$612*($B653+IF($R$17="Distrato",$I$38-1,0)),IF(AND($L$615=0,$P$612=0),"",$L$615-1),IF($R$17="Distrato",$E653,0))),0,YEARFRAC(MAX($P$612*($B653+IF($R$17="Distrato",$I$38-1,0)),IF(AND($L$615=0,$P$612=0),"",$L$615-1),IF($R$17="Distrato",$E653,0)),MIN(AH$38,$D$19),$P$20))-SUM($P653:AG653)</f>
        <v>0</v>
      </c>
      <c r="AI653" s="446">
        <f>IF(OR($B653="",MIN(AI$38,$D$19)&lt;MAX($P$612*($B653+IF($R$17="Distrato",$I$38-1,0)),IF(AND($L$615=0,$P$612=0),"",$L$615-1),IF($R$17="Distrato",$E653,0))),0,YEARFRAC(MAX($P$612*($B653+IF($R$17="Distrato",$I$38-1,0)),IF(AND($L$615=0,$P$612=0),"",$L$615-1),IF($R$17="Distrato",$E653,0)),MIN(AI$38,$D$19),$P$20))-SUM($P653:AH653)</f>
        <v>0</v>
      </c>
      <c r="AJ653" s="446">
        <f>IF(OR($B653="",MIN(AJ$38,$D$19)&lt;MAX($P$612*($B653+IF($R$17="Distrato",$I$38-1,0)),IF(AND($L$615=0,$P$612=0),"",$L$615-1),IF($R$17="Distrato",$E653,0))),0,YEARFRAC(MAX($P$612*($B653+IF($R$17="Distrato",$I$38-1,0)),IF(AND($L$615=0,$P$612=0),"",$L$615-1),IF($R$17="Distrato",$E653,0)),MIN(AJ$38,$D$19),$P$20))-SUM($P653:AI653)</f>
        <v>0</v>
      </c>
      <c r="AK653" s="446">
        <f>IF(OR($B653="",MIN(AK$38,$D$19)&lt;MAX($P$612*($B653+IF($R$17="Distrato",$I$38-1,0)),IF(AND($L$615=0,$P$612=0),"",$L$615-1),IF($R$17="Distrato",$E653,0))),0,YEARFRAC(MAX($P$612*($B653+IF($R$17="Distrato",$I$38-1,0)),IF(AND($L$615=0,$P$612=0),"",$L$615-1),IF($R$17="Distrato",$E653,0)),MIN(AK$38,$D$19),$P$20))-SUM($P653:AJ653)</f>
        <v>0</v>
      </c>
      <c r="AL653" s="446">
        <f>IF(OR($B653="",MIN(AL$38,$D$19)&lt;MAX($P$612*($B653+IF($R$17="Distrato",$I$38-1,0)),IF(AND($L$615=0,$P$612=0),"",$L$615-1),IF($R$17="Distrato",$E653,0))),0,YEARFRAC(MAX($P$612*($B653+IF($R$17="Distrato",$I$38-1,0)),IF(AND($L$615=0,$P$612=0),"",$L$615-1),IF($R$17="Distrato",$E653,0)),MIN(AL$38,$D$19),$P$20))-SUM($P653:AK653)</f>
        <v>0</v>
      </c>
      <c r="AM653" s="446">
        <f>IF(OR($B653="",MIN(AM$38,$D$19)&lt;MAX($P$612*($B653+IF($R$17="Distrato",$I$38-1,0)),IF(AND($L$615=0,$P$612=0),"",$L$615-1),IF($R$17="Distrato",$E653,0))),0,YEARFRAC(MAX($P$612*($B653+IF($R$17="Distrato",$I$38-1,0)),IF(AND($L$615=0,$P$612=0),"",$L$615-1),IF($R$17="Distrato",$E653,0)),MIN(AM$38,$D$19),$P$20))-SUM($P653:AL653)</f>
        <v>0</v>
      </c>
      <c r="AN653" s="446">
        <f>IF(OR($B653="",MIN(AN$38,$D$19)&lt;MAX($P$612*($B653+IF($R$17="Distrato",$I$38-1,0)),IF(AND($L$615=0,$P$612=0),"",$L$615-1),IF($R$17="Distrato",$E653,0))),0,YEARFRAC(MAX($P$612*($B653+IF($R$17="Distrato",$I$38-1,0)),IF(AND($L$615=0,$P$612=0),"",$L$615-1),IF($R$17="Distrato",$E653,0)),MIN(AN$38,$D$19),$P$20))-SUM($P653:AM653)</f>
        <v>0</v>
      </c>
      <c r="AO653" s="446">
        <f>IF(OR($B653="",MIN(AO$38,$D$19)&lt;MAX($P$612*($B653+IF($R$17="Distrato",$I$38-1,0)),IF(AND($L$615=0,$P$612=0),"",$L$615-1),IF($R$17="Distrato",$E653,0))),0,YEARFRAC(MAX($P$612*($B653+IF($R$17="Distrato",$I$38-1,0)),IF(AND($L$615=0,$P$612=0),"",$L$615-1),IF($R$17="Distrato",$E653,0)),MIN(AO$38,$D$19),$P$20))-SUM($P653:AN653)</f>
        <v>0</v>
      </c>
      <c r="AP653" s="446">
        <f>IF(OR($B653="",MIN(AP$38,$D$19)&lt;MAX($P$612*($B653+IF($R$17="Distrato",$I$38-1,0)),IF(AND($L$615=0,$P$612=0),"",$L$615-1),IF($R$17="Distrato",$E653,0))),0,YEARFRAC(MAX($P$612*($B653+IF($R$17="Distrato",$I$38-1,0)),IF(AND($L$615=0,$P$612=0),"",$L$615-1),IF($R$17="Distrato",$E653,0)),MIN(AP$38,$D$19),$P$20))-SUM($P653:AO653)</f>
        <v>0</v>
      </c>
      <c r="AQ653" s="446">
        <f>IF(OR($B653="",MIN(AQ$38,$D$19)&lt;MAX($P$612*($B653+IF($R$17="Distrato",$I$38-1,0)),IF(AND($L$615=0,$P$612=0),"",$L$615-1),IF($R$17="Distrato",$E653,0))),0,YEARFRAC(MAX($P$612*($B653+IF($R$17="Distrato",$I$38-1,0)),IF(AND($L$615=0,$P$612=0),"",$L$615-1),IF($R$17="Distrato",$E653,0)),MIN(AQ$38,$D$19),$P$20))-SUM($P653:AP653)</f>
        <v>0</v>
      </c>
      <c r="AR653" s="446">
        <f>IF(OR($B653="",MIN(AR$38,$D$19)&lt;MAX($P$612*($B653+IF($R$17="Distrato",$I$38-1,0)),IF(AND($L$615=0,$P$612=0),"",$L$615-1),IF($R$17="Distrato",$E653,0))),0,YEARFRAC(MAX($P$612*($B653+IF($R$17="Distrato",$I$38-1,0)),IF(AND($L$615=0,$P$612=0),"",$L$615-1),IF($R$17="Distrato",$E653,0)),MIN(AR$38,$D$19),$P$20))-SUM($P653:AQ653)</f>
        <v>0</v>
      </c>
      <c r="AS653" s="446">
        <f>IF(OR($B653="",MIN(AS$38,$D$19)&lt;MAX($P$612*($B653+IF($R$17="Distrato",$I$38-1,0)),IF(AND($L$615=0,$P$612=0),"",$L$615-1),IF($R$17="Distrato",$E653,0))),0,YEARFRAC(MAX($P$612*($B653+IF($R$17="Distrato",$I$38-1,0)),IF(AND($L$615=0,$P$612=0),"",$L$615-1),IF($R$17="Distrato",$E653,0)),MIN(AS$38,$D$19),$P$20))-SUM($P653:AR653)</f>
        <v>0</v>
      </c>
      <c r="AT653" s="446">
        <f>IF(OR($B653="",MIN(AT$38,$D$19)&lt;MAX($P$612*($B653+IF($R$17="Distrato",$I$38-1,0)),IF(AND($L$615=0,$P$612=0),"",$L$615-1),IF($R$17="Distrato",$E653,0))),0,YEARFRAC(MAX($P$612*($B653+IF($R$17="Distrato",$I$38-1,0)),IF(AND($L$615=0,$P$612=0),"",$L$615-1),IF($R$17="Distrato",$E653,0)),MIN(AT$38,$D$19),$P$20))-SUM($P653:AS653)</f>
        <v>0</v>
      </c>
      <c r="AU653" s="446">
        <f>IF(OR($B653="",MIN(AU$38,$D$19)&lt;MAX($P$612*($B653+IF($R$17="Distrato",$I$38-1,0)),IF(AND($L$615=0,$P$612=0),"",$L$615-1),IF($R$17="Distrato",$E653,0))),0,YEARFRAC(MAX($P$612*($B653+IF($R$17="Distrato",$I$38-1,0)),IF(AND($L$615=0,$P$612=0),"",$L$615-1),IF($R$17="Distrato",$E653,0)),MIN(AU$38,$D$19),$P$20))-SUM($P653:AT653)</f>
        <v>0</v>
      </c>
      <c r="AV653" s="446">
        <f>IF(OR($B653="",MIN(AV$38,$D$19)&lt;MAX($P$612*($B653+IF($R$17="Distrato",$I$38-1,0)),IF(AND($L$615=0,$P$612=0),"",$L$615-1),IF($R$17="Distrato",$E653,0))),0,YEARFRAC(MAX($P$612*($B653+IF($R$17="Distrato",$I$38-1,0)),IF(AND($L$615=0,$P$612=0),"",$L$615-1),IF($R$17="Distrato",$E653,0)),MIN(AV$38,$D$19),$P$20))-SUM($P653:AU653)</f>
        <v>0</v>
      </c>
      <c r="AW653" s="446">
        <f>IF(OR($B653="",MIN(AW$38,$D$19)&lt;MAX($P$612*($B653+IF($R$17="Distrato",$I$38-1,0)),IF(AND($L$615=0,$P$612=0),"",$L$615-1),IF($R$17="Distrato",$E653,0))),0,YEARFRAC(MAX($P$612*($B653+IF($R$17="Distrato",$I$38-1,0)),IF(AND($L$615=0,$P$612=0),"",$L$615-1),IF($R$17="Distrato",$E653,0)),MIN(AW$38,$D$19),$P$20))-SUM($P653:AV653)</f>
        <v>0</v>
      </c>
      <c r="AX653" s="446">
        <f>IF(OR($B653="",MIN(AX$38,$D$19)&lt;MAX($P$612*($B653+IF($R$17="Distrato",$I$38-1,0)),IF(AND($L$615=0,$P$612=0),"",$L$615-1),IF($R$17="Distrato",$E653,0))),0,YEARFRAC(MAX($P$612*($B653+IF($R$17="Distrato",$I$38-1,0)),IF(AND($L$615=0,$P$612=0),"",$L$615-1),IF($R$17="Distrato",$E653,0)),MIN(AX$38,$D$19),$P$20))-SUM($P653:AW653)</f>
        <v>0</v>
      </c>
      <c r="AY653" s="446">
        <f>IF(OR($B653="",MIN(AY$38,$D$19)&lt;MAX($P$612*($B653+IF($R$17="Distrato",$I$38-1,0)),IF(AND($L$615=0,$P$612=0),"",$L$615-1),IF($R$17="Distrato",$E653,0))),0,YEARFRAC(MAX($P$612*($B653+IF($R$17="Distrato",$I$38-1,0)),IF(AND($L$615=0,$P$612=0),"",$L$615-1),IF($R$17="Distrato",$E653,0)),MIN(AY$38,$D$19),$P$20))-SUM($P653:AX653)</f>
        <v>0</v>
      </c>
      <c r="AZ653" s="446">
        <f>IF(OR($B653="",MIN(AZ$38,$D$19)&lt;MAX($P$612*($B653+IF($R$17="Distrato",$I$38-1,0)),IF(AND($L$615=0,$P$612=0),"",$L$615-1),IF($R$17="Distrato",$E653,0))),0,YEARFRAC(MAX($P$612*($B653+IF($R$17="Distrato",$I$38-1,0)),IF(AND($L$615=0,$P$612=0),"",$L$615-1),IF($R$17="Distrato",$E653,0)),MIN(AZ$38,$D$19),$P$20))-SUM($P653:AY653)</f>
        <v>0</v>
      </c>
      <c r="BA653" s="446">
        <f>IF(OR($B653="",MIN(BA$38,$D$19)&lt;MAX($P$612*($B653+IF($R$17="Distrato",$I$38-1,0)),IF(AND($L$615=0,$P$612=0),"",$L$615-1),IF($R$17="Distrato",$E653,0))),0,YEARFRAC(MAX($P$612*($B653+IF($R$17="Distrato",$I$38-1,0)),IF(AND($L$615=0,$P$612=0),"",$L$615-1),IF($R$17="Distrato",$E653,0)),MIN(BA$38,$D$19),$P$20))-SUM($P653:AZ653)</f>
        <v>0</v>
      </c>
      <c r="BB653" s="447"/>
    </row>
    <row r="654" spans="1:54" s="446" customFormat="1" ht="11.25" hidden="1" x14ac:dyDescent="0.2">
      <c r="A654" s="177"/>
      <c r="B654" s="178"/>
      <c r="C654" s="29" t="str">
        <f>IF(B654="","",IF($L$613="SELIC - TRIBUTOS",VLOOKUP(DATE(YEAR($D$19),MONTH($D$19)-1,1),ÍNDICES!$A:$DE,HLOOKUP($BL$25,ÍNDICES!$B$3:$T$4,2)+11)-VLOOKUP(B654,ÍNDICES!$A:$DE,HLOOKUP($BL$25,ÍNDICES!$B$3:$T$4,2)+11)+1%,IF(C$616=$W$26,$J$613,IF(ISERROR(IF(B654&gt;$D$19,1,VLOOKUP(DATE(YEAR(B654),MONTH(B654)+IF($C$613=$S$23,1,0),1),ÍNDICES!$A:$DE,$Z$613+1))),"",IF(B654&gt;$D$19,1,VLOOKUP(DATE(YEAR(B654),MONTH(B654)+IF($C$613=$S$23,1,0),1),ÍNDICES!$A:$DE,$Z$613+1))))))</f>
        <v/>
      </c>
      <c r="D654" s="155"/>
      <c r="E654" s="179"/>
      <c r="F654" s="29"/>
      <c r="G654" s="180"/>
      <c r="H654" s="181"/>
      <c r="I654" s="182" t="str">
        <f t="shared" si="107"/>
        <v/>
      </c>
      <c r="J654" s="5" t="str">
        <f t="shared" si="108"/>
        <v/>
      </c>
      <c r="K654" s="5">
        <f t="shared" ca="1" si="109"/>
        <v>0</v>
      </c>
      <c r="L654" s="5">
        <f t="shared" ca="1" si="112"/>
        <v>0</v>
      </c>
      <c r="M654" s="64">
        <f t="shared" si="110"/>
        <v>0</v>
      </c>
      <c r="N654" s="61">
        <f t="shared" ca="1" si="113"/>
        <v>0</v>
      </c>
      <c r="O654" s="20">
        <f t="shared" ca="1" si="106"/>
        <v>0</v>
      </c>
      <c r="P654" s="446">
        <f t="shared" si="114"/>
        <v>0</v>
      </c>
      <c r="Q654" s="446">
        <f>IF(OR($B654="",MIN(Q$38,$D$19)&lt;MAX($P$612*($B654+IF($R$17="Distrato",$I$38-1,0)),IF(AND($L$615=0,$P$612=0),"",$L$615-1),IF($R$17="Distrato",$E654,0))),0,YEARFRAC(MAX($P$612*($B654+IF($R$17="Distrato",$I$38-1,0)),IF(AND($L$615=0,$P$612=0),"",$L$615-1),IF($R$17="Distrato",$E654,0)),MIN(Q$38,$D$19),$P$20))-SUM($P654:P654)</f>
        <v>0</v>
      </c>
      <c r="R654" s="446">
        <f>IF(OR($B654="",MIN(R$38,$D$19)&lt;MAX($P$612*($B654+IF($R$17="Distrato",$I$38-1,0)),IF(AND($L$615=0,$P$612=0),"",$L$615-1),IF($R$17="Distrato",$E654,0))),0,YEARFRAC(MAX($P$612*($B654+IF($R$17="Distrato",$I$38-1,0)),IF(AND($L$615=0,$P$612=0),"",$L$615-1),IF($R$17="Distrato",$E654,0)),MIN(R$38,$D$19),$P$20))-SUM($P654:Q654)</f>
        <v>0</v>
      </c>
      <c r="S654" s="446">
        <f>IF(OR($B654="",MIN(S$38,$D$19)&lt;MAX($P$612*($B654+IF($R$17="Distrato",$I$38-1,0)),IF(AND($L$615=0,$P$612=0),"",$L$615-1),IF($R$17="Distrato",$E654,0))),0,YEARFRAC(MAX($P$612*($B654+IF($R$17="Distrato",$I$38-1,0)),IF(AND($L$615=0,$P$612=0),"",$L$615-1),IF($R$17="Distrato",$E654,0)),MIN(S$38,$D$19),$P$20))-SUM($P654:R654)</f>
        <v>0</v>
      </c>
      <c r="T654" s="446">
        <f>IF(OR($B654="",MIN(T$38,$D$19)&lt;MAX($P$612*($B654+IF($R$17="Distrato",$I$38-1,0)),IF(AND($L$615=0,$P$612=0),"",$L$615-1),IF($R$17="Distrato",$E654,0))),0,YEARFRAC(MAX($P$612*($B654+IF($R$17="Distrato",$I$38-1,0)),IF(AND($L$615=0,$P$612=0),"",$L$615-1),IF($R$17="Distrato",$E654,0)),MIN(T$38,$D$19),$P$20))-SUM($P654:S654)</f>
        <v>0</v>
      </c>
      <c r="U654" s="446">
        <f>IF(OR($B654="",MIN(U$38,$D$19)&lt;MAX($P$612*($B654+IF($R$17="Distrato",$I$38-1,0)),IF(AND($L$615=0,$P$612=0),"",$L$615-1),IF($R$17="Distrato",$E654,0))),0,YEARFRAC(MAX($P$612*($B654+IF($R$17="Distrato",$I$38-1,0)),IF(AND($L$615=0,$P$612=0),"",$L$615-1),IF($R$17="Distrato",$E654,0)),MIN(U$38,$D$19),$P$20))-SUM($P654:T654)</f>
        <v>0</v>
      </c>
      <c r="V654" s="446">
        <f>IF(OR($B654="",MIN(V$38,$D$19)&lt;MAX($P$612*($B654+IF($R$17="Distrato",$I$38-1,0)),IF(AND($L$615=0,$P$612=0),"",$L$615-1),IF($R$17="Distrato",$E654,0))),0,YEARFRAC(MAX($P$612*($B654+IF($R$17="Distrato",$I$38-1,0)),IF(AND($L$615=0,$P$612=0),"",$L$615-1),IF($R$17="Distrato",$E654,0)),MIN(V$38,$D$19),$P$20))-SUM($P654:U654)</f>
        <v>0</v>
      </c>
      <c r="W654" s="446">
        <f>IF(OR($B654="",MIN(W$38,$D$19)&lt;MAX($P$612*($B654+IF($R$17="Distrato",$I$38-1,0)),IF(AND($L$615=0,$P$612=0),"",$L$615-1),IF($R$17="Distrato",$E654,0))),0,YEARFRAC(MAX($P$612*($B654+IF($R$17="Distrato",$I$38-1,0)),IF(AND($L$615=0,$P$612=0),"",$L$615-1),IF($R$17="Distrato",$E654,0)),MIN(W$38,$D$19),$P$20))-SUM($P654:V654)</f>
        <v>0</v>
      </c>
      <c r="X654" s="446">
        <f>IF(OR($B654="",MIN(X$38,$D$19)&lt;MAX($P$612*($B654+IF($R$17="Distrato",$I$38-1,0)),IF(AND($L$615=0,$P$612=0),"",$L$615-1),IF($R$17="Distrato",$E654,0))),0,YEARFRAC(MAX($P$612*($B654+IF($R$17="Distrato",$I$38-1,0)),IF(AND($L$615=0,$P$612=0),"",$L$615-1),IF($R$17="Distrato",$E654,0)),MIN(X$38,$D$19),$P$20))-SUM($P654:W654)</f>
        <v>0</v>
      </c>
      <c r="Y654" s="446">
        <f>IF(OR($B654="",MIN(Y$38,$D$19)&lt;MAX($P$612*($B654+IF($R$17="Distrato",$I$38-1,0)),IF(AND($L$615=0,$P$612=0),"",$L$615-1),IF($R$17="Distrato",$E654,0))),0,YEARFRAC(MAX($P$612*($B654+IF($R$17="Distrato",$I$38-1,0)),IF(AND($L$615=0,$P$612=0),"",$L$615-1),IF($R$17="Distrato",$E654,0)),MIN(Y$38,$D$19),$P$20))-SUM($P654:X654)</f>
        <v>0</v>
      </c>
      <c r="Z654" s="446">
        <f>IF(OR($B654="",MIN(Z$38,$D$19)&lt;MAX($P$612*($B654+IF($R$17="Distrato",$I$38-1,0)),IF(AND($L$615=0,$P$612=0),"",$L$615-1),IF($R$17="Distrato",$E654,0))),0,YEARFRAC(MAX($P$612*($B654+IF($R$17="Distrato",$I$38-1,0)),IF(AND($L$615=0,$P$612=0),"",$L$615-1),IF($R$17="Distrato",$E654,0)),MIN(Z$38,$D$19),$P$20))-SUM($P654:Y654)</f>
        <v>0</v>
      </c>
      <c r="AA654" s="446">
        <f>IF(OR($B654="",MIN(AA$38,$D$19)&lt;MAX($P$612*($B654+IF($R$17="Distrato",$I$38-1,0)),IF(AND($L$615=0,$P$612=0),"",$L$615-1),IF($R$17="Distrato",$E654,0))),0,YEARFRAC(MAX($P$612*($B654+IF($R$17="Distrato",$I$38-1,0)),IF(AND($L$615=0,$P$612=0),"",$L$615-1),IF($R$17="Distrato",$E654,0)),MIN(AA$38,$D$19),$P$20))-SUM($P654:Z654)</f>
        <v>0</v>
      </c>
      <c r="AB654" s="446">
        <f>IF(OR($B654="",MIN(AB$38,$D$19)&lt;MAX($P$612*($B654+IF($R$17="Distrato",$I$38-1,0)),IF(AND($L$615=0,$P$612=0),"",$L$615-1),IF($R$17="Distrato",$E654,0))),0,YEARFRAC(MAX($P$612*($B654+IF($R$17="Distrato",$I$38-1,0)),IF(AND($L$615=0,$P$612=0),"",$L$615-1),IF($R$17="Distrato",$E654,0)),MIN(AB$38,$D$19),$P$20))-SUM($P654:AA654)</f>
        <v>0</v>
      </c>
      <c r="AC654" s="446">
        <f>IF(OR($B654="",MIN(AC$38,$D$19)&lt;MAX($P$612*($B654+IF($R$17="Distrato",$I$38-1,0)),IF(AND($L$615=0,$P$612=0),"",$L$615-1),IF($R$17="Distrato",$E654,0))),0,YEARFRAC(MAX($P$612*($B654+IF($R$17="Distrato",$I$38-1,0)),IF(AND($L$615=0,$P$612=0),"",$L$615-1),IF($R$17="Distrato",$E654,0)),MIN(AC$38,$D$19),$P$20))-SUM($P654:AB654)</f>
        <v>0</v>
      </c>
      <c r="AD654" s="446">
        <f>IF(OR($B654="",MIN(AD$38,$D$19)&lt;MAX($P$612*($B654+IF($R$17="Distrato",$I$38-1,0)),IF(AND($L$615=0,$P$612=0),"",$L$615-1),IF($R$17="Distrato",$E654,0))),0,YEARFRAC(MAX($P$612*($B654+IF($R$17="Distrato",$I$38-1,0)),IF(AND($L$615=0,$P$612=0),"",$L$615-1),IF($R$17="Distrato",$E654,0)),MIN(AD$38,$D$19),$P$20))-SUM($P654:AC654)</f>
        <v>0</v>
      </c>
      <c r="AE654" s="446">
        <f>IF(OR($B654="",MIN(AE$38,$D$19)&lt;MAX($P$612*($B654+IF($R$17="Distrato",$I$38-1,0)),IF(AND($L$615=0,$P$612=0),"",$L$615-1),IF($R$17="Distrato",$E654,0))),0,YEARFRAC(MAX($P$612*($B654+IF($R$17="Distrato",$I$38-1,0)),IF(AND($L$615=0,$P$612=0),"",$L$615-1),IF($R$17="Distrato",$E654,0)),MIN(AE$38,$D$19),$P$20))-SUM($P654:AD654)</f>
        <v>0</v>
      </c>
      <c r="AF654" s="446">
        <f>IF(OR($B654="",MIN(AF$38,$D$19)&lt;MAX($P$612*($B654+IF($R$17="Distrato",$I$38-1,0)),IF(AND($L$615=0,$P$612=0),"",$L$615-1),IF($R$17="Distrato",$E654,0))),0,YEARFRAC(MAX($P$612*($B654+IF($R$17="Distrato",$I$38-1,0)),IF(AND($L$615=0,$P$612=0),"",$L$615-1),IF($R$17="Distrato",$E654,0)),MIN(AF$38,$D$19),$P$20))-SUM($P654:AE654)</f>
        <v>0</v>
      </c>
      <c r="AG654" s="446">
        <f>IF(OR($B654="",MIN(AG$38,$D$19)&lt;MAX($P$612*($B654+IF($R$17="Distrato",$I$38-1,0)),IF(AND($L$615=0,$P$612=0),"",$L$615-1),IF($R$17="Distrato",$E654,0))),0,YEARFRAC(MAX($P$612*($B654+IF($R$17="Distrato",$I$38-1,0)),IF(AND($L$615=0,$P$612=0),"",$L$615-1),IF($R$17="Distrato",$E654,0)),MIN(AG$38,$D$19),$P$20))-SUM($P654:AF654)</f>
        <v>0</v>
      </c>
      <c r="AH654" s="446">
        <f>IF(OR($B654="",MIN(AH$38,$D$19)&lt;MAX($P$612*($B654+IF($R$17="Distrato",$I$38-1,0)),IF(AND($L$615=0,$P$612=0),"",$L$615-1),IF($R$17="Distrato",$E654,0))),0,YEARFRAC(MAX($P$612*($B654+IF($R$17="Distrato",$I$38-1,0)),IF(AND($L$615=0,$P$612=0),"",$L$615-1),IF($R$17="Distrato",$E654,0)),MIN(AH$38,$D$19),$P$20))-SUM($P654:AG654)</f>
        <v>0</v>
      </c>
      <c r="AI654" s="446">
        <f>IF(OR($B654="",MIN(AI$38,$D$19)&lt;MAX($P$612*($B654+IF($R$17="Distrato",$I$38-1,0)),IF(AND($L$615=0,$P$612=0),"",$L$615-1),IF($R$17="Distrato",$E654,0))),0,YEARFRAC(MAX($P$612*($B654+IF($R$17="Distrato",$I$38-1,0)),IF(AND($L$615=0,$P$612=0),"",$L$615-1),IF($R$17="Distrato",$E654,0)),MIN(AI$38,$D$19),$P$20))-SUM($P654:AH654)</f>
        <v>0</v>
      </c>
      <c r="AJ654" s="446">
        <f>IF(OR($B654="",MIN(AJ$38,$D$19)&lt;MAX($P$612*($B654+IF($R$17="Distrato",$I$38-1,0)),IF(AND($L$615=0,$P$612=0),"",$L$615-1),IF($R$17="Distrato",$E654,0))),0,YEARFRAC(MAX($P$612*($B654+IF($R$17="Distrato",$I$38-1,0)),IF(AND($L$615=0,$P$612=0),"",$L$615-1),IF($R$17="Distrato",$E654,0)),MIN(AJ$38,$D$19),$P$20))-SUM($P654:AI654)</f>
        <v>0</v>
      </c>
      <c r="AK654" s="446">
        <f>IF(OR($B654="",MIN(AK$38,$D$19)&lt;MAX($P$612*($B654+IF($R$17="Distrato",$I$38-1,0)),IF(AND($L$615=0,$P$612=0),"",$L$615-1),IF($R$17="Distrato",$E654,0))),0,YEARFRAC(MAX($P$612*($B654+IF($R$17="Distrato",$I$38-1,0)),IF(AND($L$615=0,$P$612=0),"",$L$615-1),IF($R$17="Distrato",$E654,0)),MIN(AK$38,$D$19),$P$20))-SUM($P654:AJ654)</f>
        <v>0</v>
      </c>
      <c r="AL654" s="446">
        <f>IF(OR($B654="",MIN(AL$38,$D$19)&lt;MAX($P$612*($B654+IF($R$17="Distrato",$I$38-1,0)),IF(AND($L$615=0,$P$612=0),"",$L$615-1),IF($R$17="Distrato",$E654,0))),0,YEARFRAC(MAX($P$612*($B654+IF($R$17="Distrato",$I$38-1,0)),IF(AND($L$615=0,$P$612=0),"",$L$615-1),IF($R$17="Distrato",$E654,0)),MIN(AL$38,$D$19),$P$20))-SUM($P654:AK654)</f>
        <v>0</v>
      </c>
      <c r="AM654" s="446">
        <f>IF(OR($B654="",MIN(AM$38,$D$19)&lt;MAX($P$612*($B654+IF($R$17="Distrato",$I$38-1,0)),IF(AND($L$615=0,$P$612=0),"",$L$615-1),IF($R$17="Distrato",$E654,0))),0,YEARFRAC(MAX($P$612*($B654+IF($R$17="Distrato",$I$38-1,0)),IF(AND($L$615=0,$P$612=0),"",$L$615-1),IF($R$17="Distrato",$E654,0)),MIN(AM$38,$D$19),$P$20))-SUM($P654:AL654)</f>
        <v>0</v>
      </c>
      <c r="AN654" s="446">
        <f>IF(OR($B654="",MIN(AN$38,$D$19)&lt;MAX($P$612*($B654+IF($R$17="Distrato",$I$38-1,0)),IF(AND($L$615=0,$P$612=0),"",$L$615-1),IF($R$17="Distrato",$E654,0))),0,YEARFRAC(MAX($P$612*($B654+IF($R$17="Distrato",$I$38-1,0)),IF(AND($L$615=0,$P$612=0),"",$L$615-1),IF($R$17="Distrato",$E654,0)),MIN(AN$38,$D$19),$P$20))-SUM($P654:AM654)</f>
        <v>0</v>
      </c>
      <c r="AO654" s="446">
        <f>IF(OR($B654="",MIN(AO$38,$D$19)&lt;MAX($P$612*($B654+IF($R$17="Distrato",$I$38-1,0)),IF(AND($L$615=0,$P$612=0),"",$L$615-1),IF($R$17="Distrato",$E654,0))),0,YEARFRAC(MAX($P$612*($B654+IF($R$17="Distrato",$I$38-1,0)),IF(AND($L$615=0,$P$612=0),"",$L$615-1),IF($R$17="Distrato",$E654,0)),MIN(AO$38,$D$19),$P$20))-SUM($P654:AN654)</f>
        <v>0</v>
      </c>
      <c r="AP654" s="446">
        <f>IF(OR($B654="",MIN(AP$38,$D$19)&lt;MAX($P$612*($B654+IF($R$17="Distrato",$I$38-1,0)),IF(AND($L$615=0,$P$612=0),"",$L$615-1),IF($R$17="Distrato",$E654,0))),0,YEARFRAC(MAX($P$612*($B654+IF($R$17="Distrato",$I$38-1,0)),IF(AND($L$615=0,$P$612=0),"",$L$615-1),IF($R$17="Distrato",$E654,0)),MIN(AP$38,$D$19),$P$20))-SUM($P654:AO654)</f>
        <v>0</v>
      </c>
      <c r="AQ654" s="446">
        <f>IF(OR($B654="",MIN(AQ$38,$D$19)&lt;MAX($P$612*($B654+IF($R$17="Distrato",$I$38-1,0)),IF(AND($L$615=0,$P$612=0),"",$L$615-1),IF($R$17="Distrato",$E654,0))),0,YEARFRAC(MAX($P$612*($B654+IF($R$17="Distrato",$I$38-1,0)),IF(AND($L$615=0,$P$612=0),"",$L$615-1),IF($R$17="Distrato",$E654,0)),MIN(AQ$38,$D$19),$P$20))-SUM($P654:AP654)</f>
        <v>0</v>
      </c>
      <c r="AR654" s="446">
        <f>IF(OR($B654="",MIN(AR$38,$D$19)&lt;MAX($P$612*($B654+IF($R$17="Distrato",$I$38-1,0)),IF(AND($L$615=0,$P$612=0),"",$L$615-1),IF($R$17="Distrato",$E654,0))),0,YEARFRAC(MAX($P$612*($B654+IF($R$17="Distrato",$I$38-1,0)),IF(AND($L$615=0,$P$612=0),"",$L$615-1),IF($R$17="Distrato",$E654,0)),MIN(AR$38,$D$19),$P$20))-SUM($P654:AQ654)</f>
        <v>0</v>
      </c>
      <c r="AS654" s="446">
        <f>IF(OR($B654="",MIN(AS$38,$D$19)&lt;MAX($P$612*($B654+IF($R$17="Distrato",$I$38-1,0)),IF(AND($L$615=0,$P$612=0),"",$L$615-1),IF($R$17="Distrato",$E654,0))),0,YEARFRAC(MAX($P$612*($B654+IF($R$17="Distrato",$I$38-1,0)),IF(AND($L$615=0,$P$612=0),"",$L$615-1),IF($R$17="Distrato",$E654,0)),MIN(AS$38,$D$19),$P$20))-SUM($P654:AR654)</f>
        <v>0</v>
      </c>
      <c r="AT654" s="446">
        <f>IF(OR($B654="",MIN(AT$38,$D$19)&lt;MAX($P$612*($B654+IF($R$17="Distrato",$I$38-1,0)),IF(AND($L$615=0,$P$612=0),"",$L$615-1),IF($R$17="Distrato",$E654,0))),0,YEARFRAC(MAX($P$612*($B654+IF($R$17="Distrato",$I$38-1,0)),IF(AND($L$615=0,$P$612=0),"",$L$615-1),IF($R$17="Distrato",$E654,0)),MIN(AT$38,$D$19),$P$20))-SUM($P654:AS654)</f>
        <v>0</v>
      </c>
      <c r="AU654" s="446">
        <f>IF(OR($B654="",MIN(AU$38,$D$19)&lt;MAX($P$612*($B654+IF($R$17="Distrato",$I$38-1,0)),IF(AND($L$615=0,$P$612=0),"",$L$615-1),IF($R$17="Distrato",$E654,0))),0,YEARFRAC(MAX($P$612*($B654+IF($R$17="Distrato",$I$38-1,0)),IF(AND($L$615=0,$P$612=0),"",$L$615-1),IF($R$17="Distrato",$E654,0)),MIN(AU$38,$D$19),$P$20))-SUM($P654:AT654)</f>
        <v>0</v>
      </c>
      <c r="AV654" s="446">
        <f>IF(OR($B654="",MIN(AV$38,$D$19)&lt;MAX($P$612*($B654+IF($R$17="Distrato",$I$38-1,0)),IF(AND($L$615=0,$P$612=0),"",$L$615-1),IF($R$17="Distrato",$E654,0))),0,YEARFRAC(MAX($P$612*($B654+IF($R$17="Distrato",$I$38-1,0)),IF(AND($L$615=0,$P$612=0),"",$L$615-1),IF($R$17="Distrato",$E654,0)),MIN(AV$38,$D$19),$P$20))-SUM($P654:AU654)</f>
        <v>0</v>
      </c>
      <c r="AW654" s="446">
        <f>IF(OR($B654="",MIN(AW$38,$D$19)&lt;MAX($P$612*($B654+IF($R$17="Distrato",$I$38-1,0)),IF(AND($L$615=0,$P$612=0),"",$L$615-1),IF($R$17="Distrato",$E654,0))),0,YEARFRAC(MAX($P$612*($B654+IF($R$17="Distrato",$I$38-1,0)),IF(AND($L$615=0,$P$612=0),"",$L$615-1),IF($R$17="Distrato",$E654,0)),MIN(AW$38,$D$19),$P$20))-SUM($P654:AV654)</f>
        <v>0</v>
      </c>
      <c r="AX654" s="446">
        <f>IF(OR($B654="",MIN(AX$38,$D$19)&lt;MAX($P$612*($B654+IF($R$17="Distrato",$I$38-1,0)),IF(AND($L$615=0,$P$612=0),"",$L$615-1),IF($R$17="Distrato",$E654,0))),0,YEARFRAC(MAX($P$612*($B654+IF($R$17="Distrato",$I$38-1,0)),IF(AND($L$615=0,$P$612=0),"",$L$615-1),IF($R$17="Distrato",$E654,0)),MIN(AX$38,$D$19),$P$20))-SUM($P654:AW654)</f>
        <v>0</v>
      </c>
      <c r="AY654" s="446">
        <f>IF(OR($B654="",MIN(AY$38,$D$19)&lt;MAX($P$612*($B654+IF($R$17="Distrato",$I$38-1,0)),IF(AND($L$615=0,$P$612=0),"",$L$615-1),IF($R$17="Distrato",$E654,0))),0,YEARFRAC(MAX($P$612*($B654+IF($R$17="Distrato",$I$38-1,0)),IF(AND($L$615=0,$P$612=0),"",$L$615-1),IF($R$17="Distrato",$E654,0)),MIN(AY$38,$D$19),$P$20))-SUM($P654:AX654)</f>
        <v>0</v>
      </c>
      <c r="AZ654" s="446">
        <f>IF(OR($B654="",MIN(AZ$38,$D$19)&lt;MAX($P$612*($B654+IF($R$17="Distrato",$I$38-1,0)),IF(AND($L$615=0,$P$612=0),"",$L$615-1),IF($R$17="Distrato",$E654,0))),0,YEARFRAC(MAX($P$612*($B654+IF($R$17="Distrato",$I$38-1,0)),IF(AND($L$615=0,$P$612=0),"",$L$615-1),IF($R$17="Distrato",$E654,0)),MIN(AZ$38,$D$19),$P$20))-SUM($P654:AY654)</f>
        <v>0</v>
      </c>
      <c r="BA654" s="446">
        <f>IF(OR($B654="",MIN(BA$38,$D$19)&lt;MAX($P$612*($B654+IF($R$17="Distrato",$I$38-1,0)),IF(AND($L$615=0,$P$612=0),"",$L$615-1),IF($R$17="Distrato",$E654,0))),0,YEARFRAC(MAX($P$612*($B654+IF($R$17="Distrato",$I$38-1,0)),IF(AND($L$615=0,$P$612=0),"",$L$615-1),IF($R$17="Distrato",$E654,0)),MIN(BA$38,$D$19),$P$20))-SUM($P654:AZ654)</f>
        <v>0</v>
      </c>
      <c r="BB654" s="447"/>
    </row>
    <row r="655" spans="1:54" s="446" customFormat="1" ht="11.25" hidden="1" x14ac:dyDescent="0.2">
      <c r="A655" s="177"/>
      <c r="B655" s="178"/>
      <c r="C655" s="29" t="str">
        <f>IF(B655="","",IF($L$613="SELIC - TRIBUTOS",VLOOKUP(DATE(YEAR($D$19),MONTH($D$19)-1,1),ÍNDICES!$A:$DE,HLOOKUP($BL$25,ÍNDICES!$B$3:$T$4,2)+11)-VLOOKUP(B655,ÍNDICES!$A:$DE,HLOOKUP($BL$25,ÍNDICES!$B$3:$T$4,2)+11)+1%,IF(C$616=$W$26,$J$613,IF(ISERROR(IF(B655&gt;$D$19,1,VLOOKUP(DATE(YEAR(B655),MONTH(B655)+IF($C$613=$S$23,1,0),1),ÍNDICES!$A:$DE,$Z$613+1))),"",IF(B655&gt;$D$19,1,VLOOKUP(DATE(YEAR(B655),MONTH(B655)+IF($C$613=$S$23,1,0),1),ÍNDICES!$A:$DE,$Z$613+1))))))</f>
        <v/>
      </c>
      <c r="D655" s="155"/>
      <c r="E655" s="179"/>
      <c r="F655" s="29"/>
      <c r="G655" s="180"/>
      <c r="H655" s="181"/>
      <c r="I655" s="182" t="str">
        <f t="shared" si="107"/>
        <v/>
      </c>
      <c r="J655" s="5" t="str">
        <f t="shared" si="108"/>
        <v/>
      </c>
      <c r="K655" s="5">
        <f t="shared" ca="1" si="109"/>
        <v>0</v>
      </c>
      <c r="L655" s="5">
        <f t="shared" ca="1" si="112"/>
        <v>0</v>
      </c>
      <c r="M655" s="64">
        <f t="shared" si="110"/>
        <v>0</v>
      </c>
      <c r="N655" s="61">
        <f t="shared" ca="1" si="113"/>
        <v>0</v>
      </c>
      <c r="O655" s="20">
        <f t="shared" ca="1" si="106"/>
        <v>0</v>
      </c>
      <c r="P655" s="446">
        <f t="shared" si="114"/>
        <v>0</v>
      </c>
      <c r="Q655" s="446">
        <f>IF(OR($B655="",MIN(Q$38,$D$19)&lt;MAX($P$612*($B655+IF($R$17="Distrato",$I$38-1,0)),IF(AND($L$615=0,$P$612=0),"",$L$615-1),IF($R$17="Distrato",$E655,0))),0,YEARFRAC(MAX($P$612*($B655+IF($R$17="Distrato",$I$38-1,0)),IF(AND($L$615=0,$P$612=0),"",$L$615-1),IF($R$17="Distrato",$E655,0)),MIN(Q$38,$D$19),$P$20))-SUM($P655:P655)</f>
        <v>0</v>
      </c>
      <c r="R655" s="446">
        <f>IF(OR($B655="",MIN(R$38,$D$19)&lt;MAX($P$612*($B655+IF($R$17="Distrato",$I$38-1,0)),IF(AND($L$615=0,$P$612=0),"",$L$615-1),IF($R$17="Distrato",$E655,0))),0,YEARFRAC(MAX($P$612*($B655+IF($R$17="Distrato",$I$38-1,0)),IF(AND($L$615=0,$P$612=0),"",$L$615-1),IF($R$17="Distrato",$E655,0)),MIN(R$38,$D$19),$P$20))-SUM($P655:Q655)</f>
        <v>0</v>
      </c>
      <c r="S655" s="446">
        <f>IF(OR($B655="",MIN(S$38,$D$19)&lt;MAX($P$612*($B655+IF($R$17="Distrato",$I$38-1,0)),IF(AND($L$615=0,$P$612=0),"",$L$615-1),IF($R$17="Distrato",$E655,0))),0,YEARFRAC(MAX($P$612*($B655+IF($R$17="Distrato",$I$38-1,0)),IF(AND($L$615=0,$P$612=0),"",$L$615-1),IF($R$17="Distrato",$E655,0)),MIN(S$38,$D$19),$P$20))-SUM($P655:R655)</f>
        <v>0</v>
      </c>
      <c r="T655" s="446">
        <f>IF(OR($B655="",MIN(T$38,$D$19)&lt;MAX($P$612*($B655+IF($R$17="Distrato",$I$38-1,0)),IF(AND($L$615=0,$P$612=0),"",$L$615-1),IF($R$17="Distrato",$E655,0))),0,YEARFRAC(MAX($P$612*($B655+IF($R$17="Distrato",$I$38-1,0)),IF(AND($L$615=0,$P$612=0),"",$L$615-1),IF($R$17="Distrato",$E655,0)),MIN(T$38,$D$19),$P$20))-SUM($P655:S655)</f>
        <v>0</v>
      </c>
      <c r="U655" s="446">
        <f>IF(OR($B655="",MIN(U$38,$D$19)&lt;MAX($P$612*($B655+IF($R$17="Distrato",$I$38-1,0)),IF(AND($L$615=0,$P$612=0),"",$L$615-1),IF($R$17="Distrato",$E655,0))),0,YEARFRAC(MAX($P$612*($B655+IF($R$17="Distrato",$I$38-1,0)),IF(AND($L$615=0,$P$612=0),"",$L$615-1),IF($R$17="Distrato",$E655,0)),MIN(U$38,$D$19),$P$20))-SUM($P655:T655)</f>
        <v>0</v>
      </c>
      <c r="V655" s="446">
        <f>IF(OR($B655="",MIN(V$38,$D$19)&lt;MAX($P$612*($B655+IF($R$17="Distrato",$I$38-1,0)),IF(AND($L$615=0,$P$612=0),"",$L$615-1),IF($R$17="Distrato",$E655,0))),0,YEARFRAC(MAX($P$612*($B655+IF($R$17="Distrato",$I$38-1,0)),IF(AND($L$615=0,$P$612=0),"",$L$615-1),IF($R$17="Distrato",$E655,0)),MIN(V$38,$D$19),$P$20))-SUM($P655:U655)</f>
        <v>0</v>
      </c>
      <c r="W655" s="446">
        <f>IF(OR($B655="",MIN(W$38,$D$19)&lt;MAX($P$612*($B655+IF($R$17="Distrato",$I$38-1,0)),IF(AND($L$615=0,$P$612=0),"",$L$615-1),IF($R$17="Distrato",$E655,0))),0,YEARFRAC(MAX($P$612*($B655+IF($R$17="Distrato",$I$38-1,0)),IF(AND($L$615=0,$P$612=0),"",$L$615-1),IF($R$17="Distrato",$E655,0)),MIN(W$38,$D$19),$P$20))-SUM($P655:V655)</f>
        <v>0</v>
      </c>
      <c r="X655" s="446">
        <f>IF(OR($B655="",MIN(X$38,$D$19)&lt;MAX($P$612*($B655+IF($R$17="Distrato",$I$38-1,0)),IF(AND($L$615=0,$P$612=0),"",$L$615-1),IF($R$17="Distrato",$E655,0))),0,YEARFRAC(MAX($P$612*($B655+IF($R$17="Distrato",$I$38-1,0)),IF(AND($L$615=0,$P$612=0),"",$L$615-1),IF($R$17="Distrato",$E655,0)),MIN(X$38,$D$19),$P$20))-SUM($P655:W655)</f>
        <v>0</v>
      </c>
      <c r="Y655" s="446">
        <f>IF(OR($B655="",MIN(Y$38,$D$19)&lt;MAX($P$612*($B655+IF($R$17="Distrato",$I$38-1,0)),IF(AND($L$615=0,$P$612=0),"",$L$615-1),IF($R$17="Distrato",$E655,0))),0,YEARFRAC(MAX($P$612*($B655+IF($R$17="Distrato",$I$38-1,0)),IF(AND($L$615=0,$P$612=0),"",$L$615-1),IF($R$17="Distrato",$E655,0)),MIN(Y$38,$D$19),$P$20))-SUM($P655:X655)</f>
        <v>0</v>
      </c>
      <c r="Z655" s="446">
        <f>IF(OR($B655="",MIN(Z$38,$D$19)&lt;MAX($P$612*($B655+IF($R$17="Distrato",$I$38-1,0)),IF(AND($L$615=0,$P$612=0),"",$L$615-1),IF($R$17="Distrato",$E655,0))),0,YEARFRAC(MAX($P$612*($B655+IF($R$17="Distrato",$I$38-1,0)),IF(AND($L$615=0,$P$612=0),"",$L$615-1),IF($R$17="Distrato",$E655,0)),MIN(Z$38,$D$19),$P$20))-SUM($P655:Y655)</f>
        <v>0</v>
      </c>
      <c r="AA655" s="446">
        <f>IF(OR($B655="",MIN(AA$38,$D$19)&lt;MAX($P$612*($B655+IF($R$17="Distrato",$I$38-1,0)),IF(AND($L$615=0,$P$612=0),"",$L$615-1),IF($R$17="Distrato",$E655,0))),0,YEARFRAC(MAX($P$612*($B655+IF($R$17="Distrato",$I$38-1,0)),IF(AND($L$615=0,$P$612=0),"",$L$615-1),IF($R$17="Distrato",$E655,0)),MIN(AA$38,$D$19),$P$20))-SUM($P655:Z655)</f>
        <v>0</v>
      </c>
      <c r="AB655" s="446">
        <f>IF(OR($B655="",MIN(AB$38,$D$19)&lt;MAX($P$612*($B655+IF($R$17="Distrato",$I$38-1,0)),IF(AND($L$615=0,$P$612=0),"",$L$615-1),IF($R$17="Distrato",$E655,0))),0,YEARFRAC(MAX($P$612*($B655+IF($R$17="Distrato",$I$38-1,0)),IF(AND($L$615=0,$P$612=0),"",$L$615-1),IF($R$17="Distrato",$E655,0)),MIN(AB$38,$D$19),$P$20))-SUM($P655:AA655)</f>
        <v>0</v>
      </c>
      <c r="AC655" s="446">
        <f>IF(OR($B655="",MIN(AC$38,$D$19)&lt;MAX($P$612*($B655+IF($R$17="Distrato",$I$38-1,0)),IF(AND($L$615=0,$P$612=0),"",$L$615-1),IF($R$17="Distrato",$E655,0))),0,YEARFRAC(MAX($P$612*($B655+IF($R$17="Distrato",$I$38-1,0)),IF(AND($L$615=0,$P$612=0),"",$L$615-1),IF($R$17="Distrato",$E655,0)),MIN(AC$38,$D$19),$P$20))-SUM($P655:AB655)</f>
        <v>0</v>
      </c>
      <c r="AD655" s="446">
        <f>IF(OR($B655="",MIN(AD$38,$D$19)&lt;MAX($P$612*($B655+IF($R$17="Distrato",$I$38-1,0)),IF(AND($L$615=0,$P$612=0),"",$L$615-1),IF($R$17="Distrato",$E655,0))),0,YEARFRAC(MAX($P$612*($B655+IF($R$17="Distrato",$I$38-1,0)),IF(AND($L$615=0,$P$612=0),"",$L$615-1),IF($R$17="Distrato",$E655,0)),MIN(AD$38,$D$19),$P$20))-SUM($P655:AC655)</f>
        <v>0</v>
      </c>
      <c r="AE655" s="446">
        <f>IF(OR($B655="",MIN(AE$38,$D$19)&lt;MAX($P$612*($B655+IF($R$17="Distrato",$I$38-1,0)),IF(AND($L$615=0,$P$612=0),"",$L$615-1),IF($R$17="Distrato",$E655,0))),0,YEARFRAC(MAX($P$612*($B655+IF($R$17="Distrato",$I$38-1,0)),IF(AND($L$615=0,$P$612=0),"",$L$615-1),IF($R$17="Distrato",$E655,0)),MIN(AE$38,$D$19),$P$20))-SUM($P655:AD655)</f>
        <v>0</v>
      </c>
      <c r="AF655" s="446">
        <f>IF(OR($B655="",MIN(AF$38,$D$19)&lt;MAX($P$612*($B655+IF($R$17="Distrato",$I$38-1,0)),IF(AND($L$615=0,$P$612=0),"",$L$615-1),IF($R$17="Distrato",$E655,0))),0,YEARFRAC(MAX($P$612*($B655+IF($R$17="Distrato",$I$38-1,0)),IF(AND($L$615=0,$P$612=0),"",$L$615-1),IF($R$17="Distrato",$E655,0)),MIN(AF$38,$D$19),$P$20))-SUM($P655:AE655)</f>
        <v>0</v>
      </c>
      <c r="AG655" s="446">
        <f>IF(OR($B655="",MIN(AG$38,$D$19)&lt;MAX($P$612*($B655+IF($R$17="Distrato",$I$38-1,0)),IF(AND($L$615=0,$P$612=0),"",$L$615-1),IF($R$17="Distrato",$E655,0))),0,YEARFRAC(MAX($P$612*($B655+IF($R$17="Distrato",$I$38-1,0)),IF(AND($L$615=0,$P$612=0),"",$L$615-1),IF($R$17="Distrato",$E655,0)),MIN(AG$38,$D$19),$P$20))-SUM($P655:AF655)</f>
        <v>0</v>
      </c>
      <c r="AH655" s="446">
        <f>IF(OR($B655="",MIN(AH$38,$D$19)&lt;MAX($P$612*($B655+IF($R$17="Distrato",$I$38-1,0)),IF(AND($L$615=0,$P$612=0),"",$L$615-1),IF($R$17="Distrato",$E655,0))),0,YEARFRAC(MAX($P$612*($B655+IF($R$17="Distrato",$I$38-1,0)),IF(AND($L$615=0,$P$612=0),"",$L$615-1),IF($R$17="Distrato",$E655,0)),MIN(AH$38,$D$19),$P$20))-SUM($P655:AG655)</f>
        <v>0</v>
      </c>
      <c r="AI655" s="446">
        <f>IF(OR($B655="",MIN(AI$38,$D$19)&lt;MAX($P$612*($B655+IF($R$17="Distrato",$I$38-1,0)),IF(AND($L$615=0,$P$612=0),"",$L$615-1),IF($R$17="Distrato",$E655,0))),0,YEARFRAC(MAX($P$612*($B655+IF($R$17="Distrato",$I$38-1,0)),IF(AND($L$615=0,$P$612=0),"",$L$615-1),IF($R$17="Distrato",$E655,0)),MIN(AI$38,$D$19),$P$20))-SUM($P655:AH655)</f>
        <v>0</v>
      </c>
      <c r="AJ655" s="446">
        <f>IF(OR($B655="",MIN(AJ$38,$D$19)&lt;MAX($P$612*($B655+IF($R$17="Distrato",$I$38-1,0)),IF(AND($L$615=0,$P$612=0),"",$L$615-1),IF($R$17="Distrato",$E655,0))),0,YEARFRAC(MAX($P$612*($B655+IF($R$17="Distrato",$I$38-1,0)),IF(AND($L$615=0,$P$612=0),"",$L$615-1),IF($R$17="Distrato",$E655,0)),MIN(AJ$38,$D$19),$P$20))-SUM($P655:AI655)</f>
        <v>0</v>
      </c>
      <c r="AK655" s="446">
        <f>IF(OR($B655="",MIN(AK$38,$D$19)&lt;MAX($P$612*($B655+IF($R$17="Distrato",$I$38-1,0)),IF(AND($L$615=0,$P$612=0),"",$L$615-1),IF($R$17="Distrato",$E655,0))),0,YEARFRAC(MAX($P$612*($B655+IF($R$17="Distrato",$I$38-1,0)),IF(AND($L$615=0,$P$612=0),"",$L$615-1),IF($R$17="Distrato",$E655,0)),MIN(AK$38,$D$19),$P$20))-SUM($P655:AJ655)</f>
        <v>0</v>
      </c>
      <c r="AL655" s="446">
        <f>IF(OR($B655="",MIN(AL$38,$D$19)&lt;MAX($P$612*($B655+IF($R$17="Distrato",$I$38-1,0)),IF(AND($L$615=0,$P$612=0),"",$L$615-1),IF($R$17="Distrato",$E655,0))),0,YEARFRAC(MAX($P$612*($B655+IF($R$17="Distrato",$I$38-1,0)),IF(AND($L$615=0,$P$612=0),"",$L$615-1),IF($R$17="Distrato",$E655,0)),MIN(AL$38,$D$19),$P$20))-SUM($P655:AK655)</f>
        <v>0</v>
      </c>
      <c r="AM655" s="446">
        <f>IF(OR($B655="",MIN(AM$38,$D$19)&lt;MAX($P$612*($B655+IF($R$17="Distrato",$I$38-1,0)),IF(AND($L$615=0,$P$612=0),"",$L$615-1),IF($R$17="Distrato",$E655,0))),0,YEARFRAC(MAX($P$612*($B655+IF($R$17="Distrato",$I$38-1,0)),IF(AND($L$615=0,$P$612=0),"",$L$615-1),IF($R$17="Distrato",$E655,0)),MIN(AM$38,$D$19),$P$20))-SUM($P655:AL655)</f>
        <v>0</v>
      </c>
      <c r="AN655" s="446">
        <f>IF(OR($B655="",MIN(AN$38,$D$19)&lt;MAX($P$612*($B655+IF($R$17="Distrato",$I$38-1,0)),IF(AND($L$615=0,$P$612=0),"",$L$615-1),IF($R$17="Distrato",$E655,0))),0,YEARFRAC(MAX($P$612*($B655+IF($R$17="Distrato",$I$38-1,0)),IF(AND($L$615=0,$P$612=0),"",$L$615-1),IF($R$17="Distrato",$E655,0)),MIN(AN$38,$D$19),$P$20))-SUM($P655:AM655)</f>
        <v>0</v>
      </c>
      <c r="AO655" s="446">
        <f>IF(OR($B655="",MIN(AO$38,$D$19)&lt;MAX($P$612*($B655+IF($R$17="Distrato",$I$38-1,0)),IF(AND($L$615=0,$P$612=0),"",$L$615-1),IF($R$17="Distrato",$E655,0))),0,YEARFRAC(MAX($P$612*($B655+IF($R$17="Distrato",$I$38-1,0)),IF(AND($L$615=0,$P$612=0),"",$L$615-1),IF($R$17="Distrato",$E655,0)),MIN(AO$38,$D$19),$P$20))-SUM($P655:AN655)</f>
        <v>0</v>
      </c>
      <c r="AP655" s="446">
        <f>IF(OR($B655="",MIN(AP$38,$D$19)&lt;MAX($P$612*($B655+IF($R$17="Distrato",$I$38-1,0)),IF(AND($L$615=0,$P$612=0),"",$L$615-1),IF($R$17="Distrato",$E655,0))),0,YEARFRAC(MAX($P$612*($B655+IF($R$17="Distrato",$I$38-1,0)),IF(AND($L$615=0,$P$612=0),"",$L$615-1),IF($R$17="Distrato",$E655,0)),MIN(AP$38,$D$19),$P$20))-SUM($P655:AO655)</f>
        <v>0</v>
      </c>
      <c r="AQ655" s="446">
        <f>IF(OR($B655="",MIN(AQ$38,$D$19)&lt;MAX($P$612*($B655+IF($R$17="Distrato",$I$38-1,0)),IF(AND($L$615=0,$P$612=0),"",$L$615-1),IF($R$17="Distrato",$E655,0))),0,YEARFRAC(MAX($P$612*($B655+IF($R$17="Distrato",$I$38-1,0)),IF(AND($L$615=0,$P$612=0),"",$L$615-1),IF($R$17="Distrato",$E655,0)),MIN(AQ$38,$D$19),$P$20))-SUM($P655:AP655)</f>
        <v>0</v>
      </c>
      <c r="AR655" s="446">
        <f>IF(OR($B655="",MIN(AR$38,$D$19)&lt;MAX($P$612*($B655+IF($R$17="Distrato",$I$38-1,0)),IF(AND($L$615=0,$P$612=0),"",$L$615-1),IF($R$17="Distrato",$E655,0))),0,YEARFRAC(MAX($P$612*($B655+IF($R$17="Distrato",$I$38-1,0)),IF(AND($L$615=0,$P$612=0),"",$L$615-1),IF($R$17="Distrato",$E655,0)),MIN(AR$38,$D$19),$P$20))-SUM($P655:AQ655)</f>
        <v>0</v>
      </c>
      <c r="AS655" s="446">
        <f>IF(OR($B655="",MIN(AS$38,$D$19)&lt;MAX($P$612*($B655+IF($R$17="Distrato",$I$38-1,0)),IF(AND($L$615=0,$P$612=0),"",$L$615-1),IF($R$17="Distrato",$E655,0))),0,YEARFRAC(MAX($P$612*($B655+IF($R$17="Distrato",$I$38-1,0)),IF(AND($L$615=0,$P$612=0),"",$L$615-1),IF($R$17="Distrato",$E655,0)),MIN(AS$38,$D$19),$P$20))-SUM($P655:AR655)</f>
        <v>0</v>
      </c>
      <c r="AT655" s="446">
        <f>IF(OR($B655="",MIN(AT$38,$D$19)&lt;MAX($P$612*($B655+IF($R$17="Distrato",$I$38-1,0)),IF(AND($L$615=0,$P$612=0),"",$L$615-1),IF($R$17="Distrato",$E655,0))),0,YEARFRAC(MAX($P$612*($B655+IF($R$17="Distrato",$I$38-1,0)),IF(AND($L$615=0,$P$612=0),"",$L$615-1),IF($R$17="Distrato",$E655,0)),MIN(AT$38,$D$19),$P$20))-SUM($P655:AS655)</f>
        <v>0</v>
      </c>
      <c r="AU655" s="446">
        <f>IF(OR($B655="",MIN(AU$38,$D$19)&lt;MAX($P$612*($B655+IF($R$17="Distrato",$I$38-1,0)),IF(AND($L$615=0,$P$612=0),"",$L$615-1),IF($R$17="Distrato",$E655,0))),0,YEARFRAC(MAX($P$612*($B655+IF($R$17="Distrato",$I$38-1,0)),IF(AND($L$615=0,$P$612=0),"",$L$615-1),IF($R$17="Distrato",$E655,0)),MIN(AU$38,$D$19),$P$20))-SUM($P655:AT655)</f>
        <v>0</v>
      </c>
      <c r="AV655" s="446">
        <f>IF(OR($B655="",MIN(AV$38,$D$19)&lt;MAX($P$612*($B655+IF($R$17="Distrato",$I$38-1,0)),IF(AND($L$615=0,$P$612=0),"",$L$615-1),IF($R$17="Distrato",$E655,0))),0,YEARFRAC(MAX($P$612*($B655+IF($R$17="Distrato",$I$38-1,0)),IF(AND($L$615=0,$P$612=0),"",$L$615-1),IF($R$17="Distrato",$E655,0)),MIN(AV$38,$D$19),$P$20))-SUM($P655:AU655)</f>
        <v>0</v>
      </c>
      <c r="AW655" s="446">
        <f>IF(OR($B655="",MIN(AW$38,$D$19)&lt;MAX($P$612*($B655+IF($R$17="Distrato",$I$38-1,0)),IF(AND($L$615=0,$P$612=0),"",$L$615-1),IF($R$17="Distrato",$E655,0))),0,YEARFRAC(MAX($P$612*($B655+IF($R$17="Distrato",$I$38-1,0)),IF(AND($L$615=0,$P$612=0),"",$L$615-1),IF($R$17="Distrato",$E655,0)),MIN(AW$38,$D$19),$P$20))-SUM($P655:AV655)</f>
        <v>0</v>
      </c>
      <c r="AX655" s="446">
        <f>IF(OR($B655="",MIN(AX$38,$D$19)&lt;MAX($P$612*($B655+IF($R$17="Distrato",$I$38-1,0)),IF(AND($L$615=0,$P$612=0),"",$L$615-1),IF($R$17="Distrato",$E655,0))),0,YEARFRAC(MAX($P$612*($B655+IF($R$17="Distrato",$I$38-1,0)),IF(AND($L$615=0,$P$612=0),"",$L$615-1),IF($R$17="Distrato",$E655,0)),MIN(AX$38,$D$19),$P$20))-SUM($P655:AW655)</f>
        <v>0</v>
      </c>
      <c r="AY655" s="446">
        <f>IF(OR($B655="",MIN(AY$38,$D$19)&lt;MAX($P$612*($B655+IF($R$17="Distrato",$I$38-1,0)),IF(AND($L$615=0,$P$612=0),"",$L$615-1),IF($R$17="Distrato",$E655,0))),0,YEARFRAC(MAX($P$612*($B655+IF($R$17="Distrato",$I$38-1,0)),IF(AND($L$615=0,$P$612=0),"",$L$615-1),IF($R$17="Distrato",$E655,0)),MIN(AY$38,$D$19),$P$20))-SUM($P655:AX655)</f>
        <v>0</v>
      </c>
      <c r="AZ655" s="446">
        <f>IF(OR($B655="",MIN(AZ$38,$D$19)&lt;MAX($P$612*($B655+IF($R$17="Distrato",$I$38-1,0)),IF(AND($L$615=0,$P$612=0),"",$L$615-1),IF($R$17="Distrato",$E655,0))),0,YEARFRAC(MAX($P$612*($B655+IF($R$17="Distrato",$I$38-1,0)),IF(AND($L$615=0,$P$612=0),"",$L$615-1),IF($R$17="Distrato",$E655,0)),MIN(AZ$38,$D$19),$P$20))-SUM($P655:AY655)</f>
        <v>0</v>
      </c>
      <c r="BA655" s="446">
        <f>IF(OR($B655="",MIN(BA$38,$D$19)&lt;MAX($P$612*($B655+IF($R$17="Distrato",$I$38-1,0)),IF(AND($L$615=0,$P$612=0),"",$L$615-1),IF($R$17="Distrato",$E655,0))),0,YEARFRAC(MAX($P$612*($B655+IF($R$17="Distrato",$I$38-1,0)),IF(AND($L$615=0,$P$612=0),"",$L$615-1),IF($R$17="Distrato",$E655,0)),MIN(BA$38,$D$19),$P$20))-SUM($P655:AZ655)</f>
        <v>0</v>
      </c>
      <c r="BB655" s="447"/>
    </row>
    <row r="656" spans="1:54" s="446" customFormat="1" ht="11.25" hidden="1" x14ac:dyDescent="0.2">
      <c r="A656" s="177"/>
      <c r="B656" s="178"/>
      <c r="C656" s="29" t="str">
        <f>IF(B656="","",IF($L$613="SELIC - TRIBUTOS",VLOOKUP(DATE(YEAR($D$19),MONTH($D$19)-1,1),ÍNDICES!$A:$DE,HLOOKUP($BL$25,ÍNDICES!$B$3:$T$4,2)+11)-VLOOKUP(B656,ÍNDICES!$A:$DE,HLOOKUP($BL$25,ÍNDICES!$B$3:$T$4,2)+11)+1%,IF(C$616=$W$26,$J$613,IF(ISERROR(IF(B656&gt;$D$19,1,VLOOKUP(DATE(YEAR(B656),MONTH(B656)+IF($C$613=$S$23,1,0),1),ÍNDICES!$A:$DE,$Z$613+1))),"",IF(B656&gt;$D$19,1,VLOOKUP(DATE(YEAR(B656),MONTH(B656)+IF($C$613=$S$23,1,0),1),ÍNDICES!$A:$DE,$Z$613+1))))))</f>
        <v/>
      </c>
      <c r="D656" s="155"/>
      <c r="E656" s="179"/>
      <c r="F656" s="29"/>
      <c r="G656" s="180"/>
      <c r="H656" s="181"/>
      <c r="I656" s="182" t="str">
        <f t="shared" si="107"/>
        <v/>
      </c>
      <c r="J656" s="5" t="str">
        <f t="shared" si="108"/>
        <v/>
      </c>
      <c r="K656" s="5">
        <f t="shared" ca="1" si="109"/>
        <v>0</v>
      </c>
      <c r="L656" s="5">
        <f t="shared" ca="1" si="112"/>
        <v>0</v>
      </c>
      <c r="M656" s="64">
        <f t="shared" si="110"/>
        <v>0</v>
      </c>
      <c r="N656" s="61">
        <f t="shared" ca="1" si="113"/>
        <v>0</v>
      </c>
      <c r="O656" s="20">
        <f t="shared" ca="1" si="106"/>
        <v>0</v>
      </c>
      <c r="P656" s="446">
        <f t="shared" si="114"/>
        <v>0</v>
      </c>
      <c r="Q656" s="446">
        <f>IF(OR($B656="",MIN(Q$38,$D$19)&lt;MAX($P$612*($B656+IF($R$17="Distrato",$I$38-1,0)),IF(AND($L$615=0,$P$612=0),"",$L$615-1),IF($R$17="Distrato",$E656,0))),0,YEARFRAC(MAX($P$612*($B656+IF($R$17="Distrato",$I$38-1,0)),IF(AND($L$615=0,$P$612=0),"",$L$615-1),IF($R$17="Distrato",$E656,0)),MIN(Q$38,$D$19),$P$20))-SUM($P656:P656)</f>
        <v>0</v>
      </c>
      <c r="R656" s="446">
        <f>IF(OR($B656="",MIN(R$38,$D$19)&lt;MAX($P$612*($B656+IF($R$17="Distrato",$I$38-1,0)),IF(AND($L$615=0,$P$612=0),"",$L$615-1),IF($R$17="Distrato",$E656,0))),0,YEARFRAC(MAX($P$612*($B656+IF($R$17="Distrato",$I$38-1,0)),IF(AND($L$615=0,$P$612=0),"",$L$615-1),IF($R$17="Distrato",$E656,0)),MIN(R$38,$D$19),$P$20))-SUM($P656:Q656)</f>
        <v>0</v>
      </c>
      <c r="S656" s="446">
        <f>IF(OR($B656="",MIN(S$38,$D$19)&lt;MAX($P$612*($B656+IF($R$17="Distrato",$I$38-1,0)),IF(AND($L$615=0,$P$612=0),"",$L$615-1),IF($R$17="Distrato",$E656,0))),0,YEARFRAC(MAX($P$612*($B656+IF($R$17="Distrato",$I$38-1,0)),IF(AND($L$615=0,$P$612=0),"",$L$615-1),IF($R$17="Distrato",$E656,0)),MIN(S$38,$D$19),$P$20))-SUM($P656:R656)</f>
        <v>0</v>
      </c>
      <c r="T656" s="446">
        <f>IF(OR($B656="",MIN(T$38,$D$19)&lt;MAX($P$612*($B656+IF($R$17="Distrato",$I$38-1,0)),IF(AND($L$615=0,$P$612=0),"",$L$615-1),IF($R$17="Distrato",$E656,0))),0,YEARFRAC(MAX($P$612*($B656+IF($R$17="Distrato",$I$38-1,0)),IF(AND($L$615=0,$P$612=0),"",$L$615-1),IF($R$17="Distrato",$E656,0)),MIN(T$38,$D$19),$P$20))-SUM($P656:S656)</f>
        <v>0</v>
      </c>
      <c r="U656" s="446">
        <f>IF(OR($B656="",MIN(U$38,$D$19)&lt;MAX($P$612*($B656+IF($R$17="Distrato",$I$38-1,0)),IF(AND($L$615=0,$P$612=0),"",$L$615-1),IF($R$17="Distrato",$E656,0))),0,YEARFRAC(MAX($P$612*($B656+IF($R$17="Distrato",$I$38-1,0)),IF(AND($L$615=0,$P$612=0),"",$L$615-1),IF($R$17="Distrato",$E656,0)),MIN(U$38,$D$19),$P$20))-SUM($P656:T656)</f>
        <v>0</v>
      </c>
      <c r="V656" s="446">
        <f>IF(OR($B656="",MIN(V$38,$D$19)&lt;MAX($P$612*($B656+IF($R$17="Distrato",$I$38-1,0)),IF(AND($L$615=0,$P$612=0),"",$L$615-1),IF($R$17="Distrato",$E656,0))),0,YEARFRAC(MAX($P$612*($B656+IF($R$17="Distrato",$I$38-1,0)),IF(AND($L$615=0,$P$612=0),"",$L$615-1),IF($R$17="Distrato",$E656,0)),MIN(V$38,$D$19),$P$20))-SUM($P656:U656)</f>
        <v>0</v>
      </c>
      <c r="W656" s="446">
        <f>IF(OR($B656="",MIN(W$38,$D$19)&lt;MAX($P$612*($B656+IF($R$17="Distrato",$I$38-1,0)),IF(AND($L$615=0,$P$612=0),"",$L$615-1),IF($R$17="Distrato",$E656,0))),0,YEARFRAC(MAX($P$612*($B656+IF($R$17="Distrato",$I$38-1,0)),IF(AND($L$615=0,$P$612=0),"",$L$615-1),IF($R$17="Distrato",$E656,0)),MIN(W$38,$D$19),$P$20))-SUM($P656:V656)</f>
        <v>0</v>
      </c>
      <c r="X656" s="446">
        <f>IF(OR($B656="",MIN(X$38,$D$19)&lt;MAX($P$612*($B656+IF($R$17="Distrato",$I$38-1,0)),IF(AND($L$615=0,$P$612=0),"",$L$615-1),IF($R$17="Distrato",$E656,0))),0,YEARFRAC(MAX($P$612*($B656+IF($R$17="Distrato",$I$38-1,0)),IF(AND($L$615=0,$P$612=0),"",$L$615-1),IF($R$17="Distrato",$E656,0)),MIN(X$38,$D$19),$P$20))-SUM($P656:W656)</f>
        <v>0</v>
      </c>
      <c r="Y656" s="446">
        <f>IF(OR($B656="",MIN(Y$38,$D$19)&lt;MAX($P$612*($B656+IF($R$17="Distrato",$I$38-1,0)),IF(AND($L$615=0,$P$612=0),"",$L$615-1),IF($R$17="Distrato",$E656,0))),0,YEARFRAC(MAX($P$612*($B656+IF($R$17="Distrato",$I$38-1,0)),IF(AND($L$615=0,$P$612=0),"",$L$615-1),IF($R$17="Distrato",$E656,0)),MIN(Y$38,$D$19),$P$20))-SUM($P656:X656)</f>
        <v>0</v>
      </c>
      <c r="Z656" s="446">
        <f>IF(OR($B656="",MIN(Z$38,$D$19)&lt;MAX($P$612*($B656+IF($R$17="Distrato",$I$38-1,0)),IF(AND($L$615=0,$P$612=0),"",$L$615-1),IF($R$17="Distrato",$E656,0))),0,YEARFRAC(MAX($P$612*($B656+IF($R$17="Distrato",$I$38-1,0)),IF(AND($L$615=0,$P$612=0),"",$L$615-1),IF($R$17="Distrato",$E656,0)),MIN(Z$38,$D$19),$P$20))-SUM($P656:Y656)</f>
        <v>0</v>
      </c>
      <c r="AA656" s="446">
        <f>IF(OR($B656="",MIN(AA$38,$D$19)&lt;MAX($P$612*($B656+IF($R$17="Distrato",$I$38-1,0)),IF(AND($L$615=0,$P$612=0),"",$L$615-1),IF($R$17="Distrato",$E656,0))),0,YEARFRAC(MAX($P$612*($B656+IF($R$17="Distrato",$I$38-1,0)),IF(AND($L$615=0,$P$612=0),"",$L$615-1),IF($R$17="Distrato",$E656,0)),MIN(AA$38,$D$19),$P$20))-SUM($P656:Z656)</f>
        <v>0</v>
      </c>
      <c r="AB656" s="446">
        <f>IF(OR($B656="",MIN(AB$38,$D$19)&lt;MAX($P$612*($B656+IF($R$17="Distrato",$I$38-1,0)),IF(AND($L$615=0,$P$612=0),"",$L$615-1),IF($R$17="Distrato",$E656,0))),0,YEARFRAC(MAX($P$612*($B656+IF($R$17="Distrato",$I$38-1,0)),IF(AND($L$615=0,$P$612=0),"",$L$615-1),IF($R$17="Distrato",$E656,0)),MIN(AB$38,$D$19),$P$20))-SUM($P656:AA656)</f>
        <v>0</v>
      </c>
      <c r="AC656" s="446">
        <f>IF(OR($B656="",MIN(AC$38,$D$19)&lt;MAX($P$612*($B656+IF($R$17="Distrato",$I$38-1,0)),IF(AND($L$615=0,$P$612=0),"",$L$615-1),IF($R$17="Distrato",$E656,0))),0,YEARFRAC(MAX($P$612*($B656+IF($R$17="Distrato",$I$38-1,0)),IF(AND($L$615=0,$P$612=0),"",$L$615-1),IF($R$17="Distrato",$E656,0)),MIN(AC$38,$D$19),$P$20))-SUM($P656:AB656)</f>
        <v>0</v>
      </c>
      <c r="AD656" s="446">
        <f>IF(OR($B656="",MIN(AD$38,$D$19)&lt;MAX($P$612*($B656+IF($R$17="Distrato",$I$38-1,0)),IF(AND($L$615=0,$P$612=0),"",$L$615-1),IF($R$17="Distrato",$E656,0))),0,YEARFRAC(MAX($P$612*($B656+IF($R$17="Distrato",$I$38-1,0)),IF(AND($L$615=0,$P$612=0),"",$L$615-1),IF($R$17="Distrato",$E656,0)),MIN(AD$38,$D$19),$P$20))-SUM($P656:AC656)</f>
        <v>0</v>
      </c>
      <c r="AE656" s="446">
        <f>IF(OR($B656="",MIN(AE$38,$D$19)&lt;MAX($P$612*($B656+IF($R$17="Distrato",$I$38-1,0)),IF(AND($L$615=0,$P$612=0),"",$L$615-1),IF($R$17="Distrato",$E656,0))),0,YEARFRAC(MAX($P$612*($B656+IF($R$17="Distrato",$I$38-1,0)),IF(AND($L$615=0,$P$612=0),"",$L$615-1),IF($R$17="Distrato",$E656,0)),MIN(AE$38,$D$19),$P$20))-SUM($P656:AD656)</f>
        <v>0</v>
      </c>
      <c r="AF656" s="446">
        <f>IF(OR($B656="",MIN(AF$38,$D$19)&lt;MAX($P$612*($B656+IF($R$17="Distrato",$I$38-1,0)),IF(AND($L$615=0,$P$612=0),"",$L$615-1),IF($R$17="Distrato",$E656,0))),0,YEARFRAC(MAX($P$612*($B656+IF($R$17="Distrato",$I$38-1,0)),IF(AND($L$615=0,$P$612=0),"",$L$615-1),IF($R$17="Distrato",$E656,0)),MIN(AF$38,$D$19),$P$20))-SUM($P656:AE656)</f>
        <v>0</v>
      </c>
      <c r="AG656" s="446">
        <f>IF(OR($B656="",MIN(AG$38,$D$19)&lt;MAX($P$612*($B656+IF($R$17="Distrato",$I$38-1,0)),IF(AND($L$615=0,$P$612=0),"",$L$615-1),IF($R$17="Distrato",$E656,0))),0,YEARFRAC(MAX($P$612*($B656+IF($R$17="Distrato",$I$38-1,0)),IF(AND($L$615=0,$P$612=0),"",$L$615-1),IF($R$17="Distrato",$E656,0)),MIN(AG$38,$D$19),$P$20))-SUM($P656:AF656)</f>
        <v>0</v>
      </c>
      <c r="AH656" s="446">
        <f>IF(OR($B656="",MIN(AH$38,$D$19)&lt;MAX($P$612*($B656+IF($R$17="Distrato",$I$38-1,0)),IF(AND($L$615=0,$P$612=0),"",$L$615-1),IF($R$17="Distrato",$E656,0))),0,YEARFRAC(MAX($P$612*($B656+IF($R$17="Distrato",$I$38-1,0)),IF(AND($L$615=0,$P$612=0),"",$L$615-1),IF($R$17="Distrato",$E656,0)),MIN(AH$38,$D$19),$P$20))-SUM($P656:AG656)</f>
        <v>0</v>
      </c>
      <c r="AI656" s="446">
        <f>IF(OR($B656="",MIN(AI$38,$D$19)&lt;MAX($P$612*($B656+IF($R$17="Distrato",$I$38-1,0)),IF(AND($L$615=0,$P$612=0),"",$L$615-1),IF($R$17="Distrato",$E656,0))),0,YEARFRAC(MAX($P$612*($B656+IF($R$17="Distrato",$I$38-1,0)),IF(AND($L$615=0,$P$612=0),"",$L$615-1),IF($R$17="Distrato",$E656,0)),MIN(AI$38,$D$19),$P$20))-SUM($P656:AH656)</f>
        <v>0</v>
      </c>
      <c r="AJ656" s="446">
        <f>IF(OR($B656="",MIN(AJ$38,$D$19)&lt;MAX($P$612*($B656+IF($R$17="Distrato",$I$38-1,0)),IF(AND($L$615=0,$P$612=0),"",$L$615-1),IF($R$17="Distrato",$E656,0))),0,YEARFRAC(MAX($P$612*($B656+IF($R$17="Distrato",$I$38-1,0)),IF(AND($L$615=0,$P$612=0),"",$L$615-1),IF($R$17="Distrato",$E656,0)),MIN(AJ$38,$D$19),$P$20))-SUM($P656:AI656)</f>
        <v>0</v>
      </c>
      <c r="AK656" s="446">
        <f>IF(OR($B656="",MIN(AK$38,$D$19)&lt;MAX($P$612*($B656+IF($R$17="Distrato",$I$38-1,0)),IF(AND($L$615=0,$P$612=0),"",$L$615-1),IF($R$17="Distrato",$E656,0))),0,YEARFRAC(MAX($P$612*($B656+IF($R$17="Distrato",$I$38-1,0)),IF(AND($L$615=0,$P$612=0),"",$L$615-1),IF($R$17="Distrato",$E656,0)),MIN(AK$38,$D$19),$P$20))-SUM($P656:AJ656)</f>
        <v>0</v>
      </c>
      <c r="AL656" s="446">
        <f>IF(OR($B656="",MIN(AL$38,$D$19)&lt;MAX($P$612*($B656+IF($R$17="Distrato",$I$38-1,0)),IF(AND($L$615=0,$P$612=0),"",$L$615-1),IF($R$17="Distrato",$E656,0))),0,YEARFRAC(MAX($P$612*($B656+IF($R$17="Distrato",$I$38-1,0)),IF(AND($L$615=0,$P$612=0),"",$L$615-1),IF($R$17="Distrato",$E656,0)),MIN(AL$38,$D$19),$P$20))-SUM($P656:AK656)</f>
        <v>0</v>
      </c>
      <c r="AM656" s="446">
        <f>IF(OR($B656="",MIN(AM$38,$D$19)&lt;MAX($P$612*($B656+IF($R$17="Distrato",$I$38-1,0)),IF(AND($L$615=0,$P$612=0),"",$L$615-1),IF($R$17="Distrato",$E656,0))),0,YEARFRAC(MAX($P$612*($B656+IF($R$17="Distrato",$I$38-1,0)),IF(AND($L$615=0,$P$612=0),"",$L$615-1),IF($R$17="Distrato",$E656,0)),MIN(AM$38,$D$19),$P$20))-SUM($P656:AL656)</f>
        <v>0</v>
      </c>
      <c r="AN656" s="446">
        <f>IF(OR($B656="",MIN(AN$38,$D$19)&lt;MAX($P$612*($B656+IF($R$17="Distrato",$I$38-1,0)),IF(AND($L$615=0,$P$612=0),"",$L$615-1),IF($R$17="Distrato",$E656,0))),0,YEARFRAC(MAX($P$612*($B656+IF($R$17="Distrato",$I$38-1,0)),IF(AND($L$615=0,$P$612=0),"",$L$615-1),IF($R$17="Distrato",$E656,0)),MIN(AN$38,$D$19),$P$20))-SUM($P656:AM656)</f>
        <v>0</v>
      </c>
      <c r="AO656" s="446">
        <f>IF(OR($B656="",MIN(AO$38,$D$19)&lt;MAX($P$612*($B656+IF($R$17="Distrato",$I$38-1,0)),IF(AND($L$615=0,$P$612=0),"",$L$615-1),IF($R$17="Distrato",$E656,0))),0,YEARFRAC(MAX($P$612*($B656+IF($R$17="Distrato",$I$38-1,0)),IF(AND($L$615=0,$P$612=0),"",$L$615-1),IF($R$17="Distrato",$E656,0)),MIN(AO$38,$D$19),$P$20))-SUM($P656:AN656)</f>
        <v>0</v>
      </c>
      <c r="AP656" s="446">
        <f>IF(OR($B656="",MIN(AP$38,$D$19)&lt;MAX($P$612*($B656+IF($R$17="Distrato",$I$38-1,0)),IF(AND($L$615=0,$P$612=0),"",$L$615-1),IF($R$17="Distrato",$E656,0))),0,YEARFRAC(MAX($P$612*($B656+IF($R$17="Distrato",$I$38-1,0)),IF(AND($L$615=0,$P$612=0),"",$L$615-1),IF($R$17="Distrato",$E656,0)),MIN(AP$38,$D$19),$P$20))-SUM($P656:AO656)</f>
        <v>0</v>
      </c>
      <c r="AQ656" s="446">
        <f>IF(OR($B656="",MIN(AQ$38,$D$19)&lt;MAX($P$612*($B656+IF($R$17="Distrato",$I$38-1,0)),IF(AND($L$615=0,$P$612=0),"",$L$615-1),IF($R$17="Distrato",$E656,0))),0,YEARFRAC(MAX($P$612*($B656+IF($R$17="Distrato",$I$38-1,0)),IF(AND($L$615=0,$P$612=0),"",$L$615-1),IF($R$17="Distrato",$E656,0)),MIN(AQ$38,$D$19),$P$20))-SUM($P656:AP656)</f>
        <v>0</v>
      </c>
      <c r="AR656" s="446">
        <f>IF(OR($B656="",MIN(AR$38,$D$19)&lt;MAX($P$612*($B656+IF($R$17="Distrato",$I$38-1,0)),IF(AND($L$615=0,$P$612=0),"",$L$615-1),IF($R$17="Distrato",$E656,0))),0,YEARFRAC(MAX($P$612*($B656+IF($R$17="Distrato",$I$38-1,0)),IF(AND($L$615=0,$P$612=0),"",$L$615-1),IF($R$17="Distrato",$E656,0)),MIN(AR$38,$D$19),$P$20))-SUM($P656:AQ656)</f>
        <v>0</v>
      </c>
      <c r="AS656" s="446">
        <f>IF(OR($B656="",MIN(AS$38,$D$19)&lt;MAX($P$612*($B656+IF($R$17="Distrato",$I$38-1,0)),IF(AND($L$615=0,$P$612=0),"",$L$615-1),IF($R$17="Distrato",$E656,0))),0,YEARFRAC(MAX($P$612*($B656+IF($R$17="Distrato",$I$38-1,0)),IF(AND($L$615=0,$P$612=0),"",$L$615-1),IF($R$17="Distrato",$E656,0)),MIN(AS$38,$D$19),$P$20))-SUM($P656:AR656)</f>
        <v>0</v>
      </c>
      <c r="AT656" s="446">
        <f>IF(OR($B656="",MIN(AT$38,$D$19)&lt;MAX($P$612*($B656+IF($R$17="Distrato",$I$38-1,0)),IF(AND($L$615=0,$P$612=0),"",$L$615-1),IF($R$17="Distrato",$E656,0))),0,YEARFRAC(MAX($P$612*($B656+IF($R$17="Distrato",$I$38-1,0)),IF(AND($L$615=0,$P$612=0),"",$L$615-1),IF($R$17="Distrato",$E656,0)),MIN(AT$38,$D$19),$P$20))-SUM($P656:AS656)</f>
        <v>0</v>
      </c>
      <c r="AU656" s="446">
        <f>IF(OR($B656="",MIN(AU$38,$D$19)&lt;MAX($P$612*($B656+IF($R$17="Distrato",$I$38-1,0)),IF(AND($L$615=0,$P$612=0),"",$L$615-1),IF($R$17="Distrato",$E656,0))),0,YEARFRAC(MAX($P$612*($B656+IF($R$17="Distrato",$I$38-1,0)),IF(AND($L$615=0,$P$612=0),"",$L$615-1),IF($R$17="Distrato",$E656,0)),MIN(AU$38,$D$19),$P$20))-SUM($P656:AT656)</f>
        <v>0</v>
      </c>
      <c r="AV656" s="446">
        <f>IF(OR($B656="",MIN(AV$38,$D$19)&lt;MAX($P$612*($B656+IF($R$17="Distrato",$I$38-1,0)),IF(AND($L$615=0,$P$612=0),"",$L$615-1),IF($R$17="Distrato",$E656,0))),0,YEARFRAC(MAX($P$612*($B656+IF($R$17="Distrato",$I$38-1,0)),IF(AND($L$615=0,$P$612=0),"",$L$615-1),IF($R$17="Distrato",$E656,0)),MIN(AV$38,$D$19),$P$20))-SUM($P656:AU656)</f>
        <v>0</v>
      </c>
      <c r="AW656" s="446">
        <f>IF(OR($B656="",MIN(AW$38,$D$19)&lt;MAX($P$612*($B656+IF($R$17="Distrato",$I$38-1,0)),IF(AND($L$615=0,$P$612=0),"",$L$615-1),IF($R$17="Distrato",$E656,0))),0,YEARFRAC(MAX($P$612*($B656+IF($R$17="Distrato",$I$38-1,0)),IF(AND($L$615=0,$P$612=0),"",$L$615-1),IF($R$17="Distrato",$E656,0)),MIN(AW$38,$D$19),$P$20))-SUM($P656:AV656)</f>
        <v>0</v>
      </c>
      <c r="AX656" s="446">
        <f>IF(OR($B656="",MIN(AX$38,$D$19)&lt;MAX($P$612*($B656+IF($R$17="Distrato",$I$38-1,0)),IF(AND($L$615=0,$P$612=0),"",$L$615-1),IF($R$17="Distrato",$E656,0))),0,YEARFRAC(MAX($P$612*($B656+IF($R$17="Distrato",$I$38-1,0)),IF(AND($L$615=0,$P$612=0),"",$L$615-1),IF($R$17="Distrato",$E656,0)),MIN(AX$38,$D$19),$P$20))-SUM($P656:AW656)</f>
        <v>0</v>
      </c>
      <c r="AY656" s="446">
        <f>IF(OR($B656="",MIN(AY$38,$D$19)&lt;MAX($P$612*($B656+IF($R$17="Distrato",$I$38-1,0)),IF(AND($L$615=0,$P$612=0),"",$L$615-1),IF($R$17="Distrato",$E656,0))),0,YEARFRAC(MAX($P$612*($B656+IF($R$17="Distrato",$I$38-1,0)),IF(AND($L$615=0,$P$612=0),"",$L$615-1),IF($R$17="Distrato",$E656,0)),MIN(AY$38,$D$19),$P$20))-SUM($P656:AX656)</f>
        <v>0</v>
      </c>
      <c r="AZ656" s="446">
        <f>IF(OR($B656="",MIN(AZ$38,$D$19)&lt;MAX($P$612*($B656+IF($R$17="Distrato",$I$38-1,0)),IF(AND($L$615=0,$P$612=0),"",$L$615-1),IF($R$17="Distrato",$E656,0))),0,YEARFRAC(MAX($P$612*($B656+IF($R$17="Distrato",$I$38-1,0)),IF(AND($L$615=0,$P$612=0),"",$L$615-1),IF($R$17="Distrato",$E656,0)),MIN(AZ$38,$D$19),$P$20))-SUM($P656:AY656)</f>
        <v>0</v>
      </c>
      <c r="BA656" s="446">
        <f>IF(OR($B656="",MIN(BA$38,$D$19)&lt;MAX($P$612*($B656+IF($R$17="Distrato",$I$38-1,0)),IF(AND($L$615=0,$P$612=0),"",$L$615-1),IF($R$17="Distrato",$E656,0))),0,YEARFRAC(MAX($P$612*($B656+IF($R$17="Distrato",$I$38-1,0)),IF(AND($L$615=0,$P$612=0),"",$L$615-1),IF($R$17="Distrato",$E656,0)),MIN(BA$38,$D$19),$P$20))-SUM($P656:AZ656)</f>
        <v>0</v>
      </c>
      <c r="BB656" s="447"/>
    </row>
    <row r="657" spans="1:54" s="446" customFormat="1" ht="12.95" hidden="1" customHeight="1" x14ac:dyDescent="0.2">
      <c r="A657" s="177"/>
      <c r="B657" s="178"/>
      <c r="C657" s="29" t="str">
        <f>IF(B657="","",IF($L$613="SELIC - TRIBUTOS",VLOOKUP(DATE(YEAR($D$19),MONTH($D$19)-1,1),ÍNDICES!$A:$DE,HLOOKUP($BL$25,ÍNDICES!$B$3:$T$4,2)+11)-VLOOKUP(B657,ÍNDICES!$A:$DE,HLOOKUP($BL$25,ÍNDICES!$B$3:$T$4,2)+11)+1%,IF(C$616=$W$26,$J$613,IF(ISERROR(IF(B657&gt;$D$19,1,VLOOKUP(DATE(YEAR(B657),MONTH(B657)+IF($C$613=$S$23,1,0),1),ÍNDICES!$A:$DE,$Z$613+1))),"",IF(B657&gt;$D$19,1,VLOOKUP(DATE(YEAR(B657),MONTH(B657)+IF($C$613=$S$23,1,0),1),ÍNDICES!$A:$DE,$Z$613+1))))))</f>
        <v/>
      </c>
      <c r="D657" s="155"/>
      <c r="E657" s="179"/>
      <c r="F657" s="29"/>
      <c r="G657" s="180"/>
      <c r="H657" s="181"/>
      <c r="I657" s="182" t="str">
        <f t="shared" si="107"/>
        <v/>
      </c>
      <c r="J657" s="5" t="str">
        <f t="shared" si="108"/>
        <v/>
      </c>
      <c r="K657" s="5">
        <f t="shared" ca="1" si="109"/>
        <v>0</v>
      </c>
      <c r="L657" s="5">
        <f t="shared" ca="1" si="112"/>
        <v>0</v>
      </c>
      <c r="M657" s="64">
        <f t="shared" si="110"/>
        <v>0</v>
      </c>
      <c r="N657" s="61">
        <f t="shared" ca="1" si="113"/>
        <v>0</v>
      </c>
      <c r="O657" s="20">
        <f t="shared" ca="1" si="106"/>
        <v>0</v>
      </c>
      <c r="P657" s="446">
        <f t="shared" si="114"/>
        <v>0</v>
      </c>
      <c r="Q657" s="446">
        <f>IF(OR($B657="",MIN(Q$38,$D$19)&lt;MAX($P$612*($B657+IF($R$17="Distrato",$I$38-1,0)),IF(AND($L$615=0,$P$612=0),"",$L$615-1),IF($R$17="Distrato",$E657,0))),0,YEARFRAC(MAX($P$612*($B657+IF($R$17="Distrato",$I$38-1,0)),IF(AND($L$615=0,$P$612=0),"",$L$615-1),IF($R$17="Distrato",$E657,0)),MIN(Q$38,$D$19),$P$20))-SUM($P657:P657)</f>
        <v>0</v>
      </c>
      <c r="R657" s="446">
        <f>IF(OR($B657="",MIN(R$38,$D$19)&lt;MAX($P$612*($B657+IF($R$17="Distrato",$I$38-1,0)),IF(AND($L$615=0,$P$612=0),"",$L$615-1),IF($R$17="Distrato",$E657,0))),0,YEARFRAC(MAX($P$612*($B657+IF($R$17="Distrato",$I$38-1,0)),IF(AND($L$615=0,$P$612=0),"",$L$615-1),IF($R$17="Distrato",$E657,0)),MIN(R$38,$D$19),$P$20))-SUM($P657:Q657)</f>
        <v>0</v>
      </c>
      <c r="S657" s="446">
        <f>IF(OR($B657="",MIN(S$38,$D$19)&lt;MAX($P$612*($B657+IF($R$17="Distrato",$I$38-1,0)),IF(AND($L$615=0,$P$612=0),"",$L$615-1),IF($R$17="Distrato",$E657,0))),0,YEARFRAC(MAX($P$612*($B657+IF($R$17="Distrato",$I$38-1,0)),IF(AND($L$615=0,$P$612=0),"",$L$615-1),IF($R$17="Distrato",$E657,0)),MIN(S$38,$D$19),$P$20))-SUM($P657:R657)</f>
        <v>0</v>
      </c>
      <c r="T657" s="446">
        <f>IF(OR($B657="",MIN(T$38,$D$19)&lt;MAX($P$612*($B657+IF($R$17="Distrato",$I$38-1,0)),IF(AND($L$615=0,$P$612=0),"",$L$615-1),IF($R$17="Distrato",$E657,0))),0,YEARFRAC(MAX($P$612*($B657+IF($R$17="Distrato",$I$38-1,0)),IF(AND($L$615=0,$P$612=0),"",$L$615-1),IF($R$17="Distrato",$E657,0)),MIN(T$38,$D$19),$P$20))-SUM($P657:S657)</f>
        <v>0</v>
      </c>
      <c r="U657" s="446">
        <f>IF(OR($B657="",MIN(U$38,$D$19)&lt;MAX($P$612*($B657+IF($R$17="Distrato",$I$38-1,0)),IF(AND($L$615=0,$P$612=0),"",$L$615-1),IF($R$17="Distrato",$E657,0))),0,YEARFRAC(MAX($P$612*($B657+IF($R$17="Distrato",$I$38-1,0)),IF(AND($L$615=0,$P$612=0),"",$L$615-1),IF($R$17="Distrato",$E657,0)),MIN(U$38,$D$19),$P$20))-SUM($P657:T657)</f>
        <v>0</v>
      </c>
      <c r="V657" s="446">
        <f>IF(OR($B657="",MIN(V$38,$D$19)&lt;MAX($P$612*($B657+IF($R$17="Distrato",$I$38-1,0)),IF(AND($L$615=0,$P$612=0),"",$L$615-1),IF($R$17="Distrato",$E657,0))),0,YEARFRAC(MAX($P$612*($B657+IF($R$17="Distrato",$I$38-1,0)),IF(AND($L$615=0,$P$612=0),"",$L$615-1),IF($R$17="Distrato",$E657,0)),MIN(V$38,$D$19),$P$20))-SUM($P657:U657)</f>
        <v>0</v>
      </c>
      <c r="W657" s="446">
        <f>IF(OR($B657="",MIN(W$38,$D$19)&lt;MAX($P$612*($B657+IF($R$17="Distrato",$I$38-1,0)),IF(AND($L$615=0,$P$612=0),"",$L$615-1),IF($R$17="Distrato",$E657,0))),0,YEARFRAC(MAX($P$612*($B657+IF($R$17="Distrato",$I$38-1,0)),IF(AND($L$615=0,$P$612=0),"",$L$615-1),IF($R$17="Distrato",$E657,0)),MIN(W$38,$D$19),$P$20))-SUM($P657:V657)</f>
        <v>0</v>
      </c>
      <c r="X657" s="446">
        <f>IF(OR($B657="",MIN(X$38,$D$19)&lt;MAX($P$612*($B657+IF($R$17="Distrato",$I$38-1,0)),IF(AND($L$615=0,$P$612=0),"",$L$615-1),IF($R$17="Distrato",$E657,0))),0,YEARFRAC(MAX($P$612*($B657+IF($R$17="Distrato",$I$38-1,0)),IF(AND($L$615=0,$P$612=0),"",$L$615-1),IF($R$17="Distrato",$E657,0)),MIN(X$38,$D$19),$P$20))-SUM($P657:W657)</f>
        <v>0</v>
      </c>
      <c r="Y657" s="446">
        <f>IF(OR($B657="",MIN(Y$38,$D$19)&lt;MAX($P$612*($B657+IF($R$17="Distrato",$I$38-1,0)),IF(AND($L$615=0,$P$612=0),"",$L$615-1),IF($R$17="Distrato",$E657,0))),0,YEARFRAC(MAX($P$612*($B657+IF($R$17="Distrato",$I$38-1,0)),IF(AND($L$615=0,$P$612=0),"",$L$615-1),IF($R$17="Distrato",$E657,0)),MIN(Y$38,$D$19),$P$20))-SUM($P657:X657)</f>
        <v>0</v>
      </c>
      <c r="Z657" s="446">
        <f>IF(OR($B657="",MIN(Z$38,$D$19)&lt;MAX($P$612*($B657+IF($R$17="Distrato",$I$38-1,0)),IF(AND($L$615=0,$P$612=0),"",$L$615-1),IF($R$17="Distrato",$E657,0))),0,YEARFRAC(MAX($P$612*($B657+IF($R$17="Distrato",$I$38-1,0)),IF(AND($L$615=0,$P$612=0),"",$L$615-1),IF($R$17="Distrato",$E657,0)),MIN(Z$38,$D$19),$P$20))-SUM($P657:Y657)</f>
        <v>0</v>
      </c>
      <c r="AA657" s="446">
        <f>IF(OR($B657="",MIN(AA$38,$D$19)&lt;MAX($P$612*($B657+IF($R$17="Distrato",$I$38-1,0)),IF(AND($L$615=0,$P$612=0),"",$L$615-1),IF($R$17="Distrato",$E657,0))),0,YEARFRAC(MAX($P$612*($B657+IF($R$17="Distrato",$I$38-1,0)),IF(AND($L$615=0,$P$612=0),"",$L$615-1),IF($R$17="Distrato",$E657,0)),MIN(AA$38,$D$19),$P$20))-SUM($P657:Z657)</f>
        <v>0</v>
      </c>
      <c r="AB657" s="446">
        <f>IF(OR($B657="",MIN(AB$38,$D$19)&lt;MAX($P$612*($B657+IF($R$17="Distrato",$I$38-1,0)),IF(AND($L$615=0,$P$612=0),"",$L$615-1),IF($R$17="Distrato",$E657,0))),0,YEARFRAC(MAX($P$612*($B657+IF($R$17="Distrato",$I$38-1,0)),IF(AND($L$615=0,$P$612=0),"",$L$615-1),IF($R$17="Distrato",$E657,0)),MIN(AB$38,$D$19),$P$20))-SUM($P657:AA657)</f>
        <v>0</v>
      </c>
      <c r="AC657" s="446">
        <f>IF(OR($B657="",MIN(AC$38,$D$19)&lt;MAX($P$612*($B657+IF($R$17="Distrato",$I$38-1,0)),IF(AND($L$615=0,$P$612=0),"",$L$615-1),IF($R$17="Distrato",$E657,0))),0,YEARFRAC(MAX($P$612*($B657+IF($R$17="Distrato",$I$38-1,0)),IF(AND($L$615=0,$P$612=0),"",$L$615-1),IF($R$17="Distrato",$E657,0)),MIN(AC$38,$D$19),$P$20))-SUM($P657:AB657)</f>
        <v>0</v>
      </c>
      <c r="AD657" s="446">
        <f>IF(OR($B657="",MIN(AD$38,$D$19)&lt;MAX($P$612*($B657+IF($R$17="Distrato",$I$38-1,0)),IF(AND($L$615=0,$P$612=0),"",$L$615-1),IF($R$17="Distrato",$E657,0))),0,YEARFRAC(MAX($P$612*($B657+IF($R$17="Distrato",$I$38-1,0)),IF(AND($L$615=0,$P$612=0),"",$L$615-1),IF($R$17="Distrato",$E657,0)),MIN(AD$38,$D$19),$P$20))-SUM($P657:AC657)</f>
        <v>0</v>
      </c>
      <c r="AE657" s="446">
        <f>IF(OR($B657="",MIN(AE$38,$D$19)&lt;MAX($P$612*($B657+IF($R$17="Distrato",$I$38-1,0)),IF(AND($L$615=0,$P$612=0),"",$L$615-1),IF($R$17="Distrato",$E657,0))),0,YEARFRAC(MAX($P$612*($B657+IF($R$17="Distrato",$I$38-1,0)),IF(AND($L$615=0,$P$612=0),"",$L$615-1),IF($R$17="Distrato",$E657,0)),MIN(AE$38,$D$19),$P$20))-SUM($P657:AD657)</f>
        <v>0</v>
      </c>
      <c r="AF657" s="446">
        <f>IF(OR($B657="",MIN(AF$38,$D$19)&lt;MAX($P$612*($B657+IF($R$17="Distrato",$I$38-1,0)),IF(AND($L$615=0,$P$612=0),"",$L$615-1),IF($R$17="Distrato",$E657,0))),0,YEARFRAC(MAX($P$612*($B657+IF($R$17="Distrato",$I$38-1,0)),IF(AND($L$615=0,$P$612=0),"",$L$615-1),IF($R$17="Distrato",$E657,0)),MIN(AF$38,$D$19),$P$20))-SUM($P657:AE657)</f>
        <v>0</v>
      </c>
      <c r="AG657" s="446">
        <f>IF(OR($B657="",MIN(AG$38,$D$19)&lt;MAX($P$612*($B657+IF($R$17="Distrato",$I$38-1,0)),IF(AND($L$615=0,$P$612=0),"",$L$615-1),IF($R$17="Distrato",$E657,0))),0,YEARFRAC(MAX($P$612*($B657+IF($R$17="Distrato",$I$38-1,0)),IF(AND($L$615=0,$P$612=0),"",$L$615-1),IF($R$17="Distrato",$E657,0)),MIN(AG$38,$D$19),$P$20))-SUM($P657:AF657)</f>
        <v>0</v>
      </c>
      <c r="AH657" s="446">
        <f>IF(OR($B657="",MIN(AH$38,$D$19)&lt;MAX($P$612*($B657+IF($R$17="Distrato",$I$38-1,0)),IF(AND($L$615=0,$P$612=0),"",$L$615-1),IF($R$17="Distrato",$E657,0))),0,YEARFRAC(MAX($P$612*($B657+IF($R$17="Distrato",$I$38-1,0)),IF(AND($L$615=0,$P$612=0),"",$L$615-1),IF($R$17="Distrato",$E657,0)),MIN(AH$38,$D$19),$P$20))-SUM($P657:AG657)</f>
        <v>0</v>
      </c>
      <c r="AI657" s="446">
        <f>IF(OR($B657="",MIN(AI$38,$D$19)&lt;MAX($P$612*($B657+IF($R$17="Distrato",$I$38-1,0)),IF(AND($L$615=0,$P$612=0),"",$L$615-1),IF($R$17="Distrato",$E657,0))),0,YEARFRAC(MAX($P$612*($B657+IF($R$17="Distrato",$I$38-1,0)),IF(AND($L$615=0,$P$612=0),"",$L$615-1),IF($R$17="Distrato",$E657,0)),MIN(AI$38,$D$19),$P$20))-SUM($P657:AH657)</f>
        <v>0</v>
      </c>
      <c r="AJ657" s="446">
        <f>IF(OR($B657="",MIN(AJ$38,$D$19)&lt;MAX($P$612*($B657+IF($R$17="Distrato",$I$38-1,0)),IF(AND($L$615=0,$P$612=0),"",$L$615-1),IF($R$17="Distrato",$E657,0))),0,YEARFRAC(MAX($P$612*($B657+IF($R$17="Distrato",$I$38-1,0)),IF(AND($L$615=0,$P$612=0),"",$L$615-1),IF($R$17="Distrato",$E657,0)),MIN(AJ$38,$D$19),$P$20))-SUM($P657:AI657)</f>
        <v>0</v>
      </c>
      <c r="AK657" s="446">
        <f>IF(OR($B657="",MIN(AK$38,$D$19)&lt;MAX($P$612*($B657+IF($R$17="Distrato",$I$38-1,0)),IF(AND($L$615=0,$P$612=0),"",$L$615-1),IF($R$17="Distrato",$E657,0))),0,YEARFRAC(MAX($P$612*($B657+IF($R$17="Distrato",$I$38-1,0)),IF(AND($L$615=0,$P$612=0),"",$L$615-1),IF($R$17="Distrato",$E657,0)),MIN(AK$38,$D$19),$P$20))-SUM($P657:AJ657)</f>
        <v>0</v>
      </c>
      <c r="AL657" s="446">
        <f>IF(OR($B657="",MIN(AL$38,$D$19)&lt;MAX($P$612*($B657+IF($R$17="Distrato",$I$38-1,0)),IF(AND($L$615=0,$P$612=0),"",$L$615-1),IF($R$17="Distrato",$E657,0))),0,YEARFRAC(MAX($P$612*($B657+IF($R$17="Distrato",$I$38-1,0)),IF(AND($L$615=0,$P$612=0),"",$L$615-1),IF($R$17="Distrato",$E657,0)),MIN(AL$38,$D$19),$P$20))-SUM($P657:AK657)</f>
        <v>0</v>
      </c>
      <c r="AM657" s="446">
        <f>IF(OR($B657="",MIN(AM$38,$D$19)&lt;MAX($P$612*($B657+IF($R$17="Distrato",$I$38-1,0)),IF(AND($L$615=0,$P$612=0),"",$L$615-1),IF($R$17="Distrato",$E657,0))),0,YEARFRAC(MAX($P$612*($B657+IF($R$17="Distrato",$I$38-1,0)),IF(AND($L$615=0,$P$612=0),"",$L$615-1),IF($R$17="Distrato",$E657,0)),MIN(AM$38,$D$19),$P$20))-SUM($P657:AL657)</f>
        <v>0</v>
      </c>
      <c r="AN657" s="446">
        <f>IF(OR($B657="",MIN(AN$38,$D$19)&lt;MAX($P$612*($B657+IF($R$17="Distrato",$I$38-1,0)),IF(AND($L$615=0,$P$612=0),"",$L$615-1),IF($R$17="Distrato",$E657,0))),0,YEARFRAC(MAX($P$612*($B657+IF($R$17="Distrato",$I$38-1,0)),IF(AND($L$615=0,$P$612=0),"",$L$615-1),IF($R$17="Distrato",$E657,0)),MIN(AN$38,$D$19),$P$20))-SUM($P657:AM657)</f>
        <v>0</v>
      </c>
      <c r="AO657" s="446">
        <f>IF(OR($B657="",MIN(AO$38,$D$19)&lt;MAX($P$612*($B657+IF($R$17="Distrato",$I$38-1,0)),IF(AND($L$615=0,$P$612=0),"",$L$615-1),IF($R$17="Distrato",$E657,0))),0,YEARFRAC(MAX($P$612*($B657+IF($R$17="Distrato",$I$38-1,0)),IF(AND($L$615=0,$P$612=0),"",$L$615-1),IF($R$17="Distrato",$E657,0)),MIN(AO$38,$D$19),$P$20))-SUM($P657:AN657)</f>
        <v>0</v>
      </c>
      <c r="AP657" s="446">
        <f>IF(OR($B657="",MIN(AP$38,$D$19)&lt;MAX($P$612*($B657+IF($R$17="Distrato",$I$38-1,0)),IF(AND($L$615=0,$P$612=0),"",$L$615-1),IF($R$17="Distrato",$E657,0))),0,YEARFRAC(MAX($P$612*($B657+IF($R$17="Distrato",$I$38-1,0)),IF(AND($L$615=0,$P$612=0),"",$L$615-1),IF($R$17="Distrato",$E657,0)),MIN(AP$38,$D$19),$P$20))-SUM($P657:AO657)</f>
        <v>0</v>
      </c>
      <c r="AQ657" s="446">
        <f>IF(OR($B657="",MIN(AQ$38,$D$19)&lt;MAX($P$612*($B657+IF($R$17="Distrato",$I$38-1,0)),IF(AND($L$615=0,$P$612=0),"",$L$615-1),IF($R$17="Distrato",$E657,0))),0,YEARFRAC(MAX($P$612*($B657+IF($R$17="Distrato",$I$38-1,0)),IF(AND($L$615=0,$P$612=0),"",$L$615-1),IF($R$17="Distrato",$E657,0)),MIN(AQ$38,$D$19),$P$20))-SUM($P657:AP657)</f>
        <v>0</v>
      </c>
      <c r="AR657" s="446">
        <f>IF(OR($B657="",MIN(AR$38,$D$19)&lt;MAX($P$612*($B657+IF($R$17="Distrato",$I$38-1,0)),IF(AND($L$615=0,$P$612=0),"",$L$615-1),IF($R$17="Distrato",$E657,0))),0,YEARFRAC(MAX($P$612*($B657+IF($R$17="Distrato",$I$38-1,0)),IF(AND($L$615=0,$P$612=0),"",$L$615-1),IF($R$17="Distrato",$E657,0)),MIN(AR$38,$D$19),$P$20))-SUM($P657:AQ657)</f>
        <v>0</v>
      </c>
      <c r="AS657" s="446">
        <f>IF(OR($B657="",MIN(AS$38,$D$19)&lt;MAX($P$612*($B657+IF($R$17="Distrato",$I$38-1,0)),IF(AND($L$615=0,$P$612=0),"",$L$615-1),IF($R$17="Distrato",$E657,0))),0,YEARFRAC(MAX($P$612*($B657+IF($R$17="Distrato",$I$38-1,0)),IF(AND($L$615=0,$P$612=0),"",$L$615-1),IF($R$17="Distrato",$E657,0)),MIN(AS$38,$D$19),$P$20))-SUM($P657:AR657)</f>
        <v>0</v>
      </c>
      <c r="AT657" s="446">
        <f>IF(OR($B657="",MIN(AT$38,$D$19)&lt;MAX($P$612*($B657+IF($R$17="Distrato",$I$38-1,0)),IF(AND($L$615=0,$P$612=0),"",$L$615-1),IF($R$17="Distrato",$E657,0))),0,YEARFRAC(MAX($P$612*($B657+IF($R$17="Distrato",$I$38-1,0)),IF(AND($L$615=0,$P$612=0),"",$L$615-1),IF($R$17="Distrato",$E657,0)),MIN(AT$38,$D$19),$P$20))-SUM($P657:AS657)</f>
        <v>0</v>
      </c>
      <c r="AU657" s="446">
        <f>IF(OR($B657="",MIN(AU$38,$D$19)&lt;MAX($P$612*($B657+IF($R$17="Distrato",$I$38-1,0)),IF(AND($L$615=0,$P$612=0),"",$L$615-1),IF($R$17="Distrato",$E657,0))),0,YEARFRAC(MAX($P$612*($B657+IF($R$17="Distrato",$I$38-1,0)),IF(AND($L$615=0,$P$612=0),"",$L$615-1),IF($R$17="Distrato",$E657,0)),MIN(AU$38,$D$19),$P$20))-SUM($P657:AT657)</f>
        <v>0</v>
      </c>
      <c r="AV657" s="446">
        <f>IF(OR($B657="",MIN(AV$38,$D$19)&lt;MAX($P$612*($B657+IF($R$17="Distrato",$I$38-1,0)),IF(AND($L$615=0,$P$612=0),"",$L$615-1),IF($R$17="Distrato",$E657,0))),0,YEARFRAC(MAX($P$612*($B657+IF($R$17="Distrato",$I$38-1,0)),IF(AND($L$615=0,$P$612=0),"",$L$615-1),IF($R$17="Distrato",$E657,0)),MIN(AV$38,$D$19),$P$20))-SUM($P657:AU657)</f>
        <v>0</v>
      </c>
      <c r="AW657" s="446">
        <f>IF(OR($B657="",MIN(AW$38,$D$19)&lt;MAX($P$612*($B657+IF($R$17="Distrato",$I$38-1,0)),IF(AND($L$615=0,$P$612=0),"",$L$615-1),IF($R$17="Distrato",$E657,0))),0,YEARFRAC(MAX($P$612*($B657+IF($R$17="Distrato",$I$38-1,0)),IF(AND($L$615=0,$P$612=0),"",$L$615-1),IF($R$17="Distrato",$E657,0)),MIN(AW$38,$D$19),$P$20))-SUM($P657:AV657)</f>
        <v>0</v>
      </c>
      <c r="AX657" s="446">
        <f>IF(OR($B657="",MIN(AX$38,$D$19)&lt;MAX($P$612*($B657+IF($R$17="Distrato",$I$38-1,0)),IF(AND($L$615=0,$P$612=0),"",$L$615-1),IF($R$17="Distrato",$E657,0))),0,YEARFRAC(MAX($P$612*($B657+IF($R$17="Distrato",$I$38-1,0)),IF(AND($L$615=0,$P$612=0),"",$L$615-1),IF($R$17="Distrato",$E657,0)),MIN(AX$38,$D$19),$P$20))-SUM($P657:AW657)</f>
        <v>0</v>
      </c>
      <c r="AY657" s="446">
        <f>IF(OR($B657="",MIN(AY$38,$D$19)&lt;MAX($P$612*($B657+IF($R$17="Distrato",$I$38-1,0)),IF(AND($L$615=0,$P$612=0),"",$L$615-1),IF($R$17="Distrato",$E657,0))),0,YEARFRAC(MAX($P$612*($B657+IF($R$17="Distrato",$I$38-1,0)),IF(AND($L$615=0,$P$612=0),"",$L$615-1),IF($R$17="Distrato",$E657,0)),MIN(AY$38,$D$19),$P$20))-SUM($P657:AX657)</f>
        <v>0</v>
      </c>
      <c r="AZ657" s="446">
        <f>IF(OR($B657="",MIN(AZ$38,$D$19)&lt;MAX($P$612*($B657+IF($R$17="Distrato",$I$38-1,0)),IF(AND($L$615=0,$P$612=0),"",$L$615-1),IF($R$17="Distrato",$E657,0))),0,YEARFRAC(MAX($P$612*($B657+IF($R$17="Distrato",$I$38-1,0)),IF(AND($L$615=0,$P$612=0),"",$L$615-1),IF($R$17="Distrato",$E657,0)),MIN(AZ$38,$D$19),$P$20))-SUM($P657:AY657)</f>
        <v>0</v>
      </c>
      <c r="BA657" s="446">
        <f>IF(OR($B657="",MIN(BA$38,$D$19)&lt;MAX($P$612*($B657+IF($R$17="Distrato",$I$38-1,0)),IF(AND($L$615=0,$P$612=0),"",$L$615-1),IF($R$17="Distrato",$E657,0))),0,YEARFRAC(MAX($P$612*($B657+IF($R$17="Distrato",$I$38-1,0)),IF(AND($L$615=0,$P$612=0),"",$L$615-1),IF($R$17="Distrato",$E657,0)),MIN(BA$38,$D$19),$P$20))-SUM($P657:AZ657)</f>
        <v>0</v>
      </c>
      <c r="BB657" s="447"/>
    </row>
    <row r="658" spans="1:54" s="446" customFormat="1" ht="11.25" hidden="1" x14ac:dyDescent="0.2">
      <c r="A658" s="177"/>
      <c r="B658" s="178"/>
      <c r="C658" s="29" t="str">
        <f>IF(B658="","",IF($L$613="SELIC - TRIBUTOS",VLOOKUP(DATE(YEAR($D$19),MONTH($D$19)-1,1),ÍNDICES!$A:$DE,HLOOKUP($BL$25,ÍNDICES!$B$3:$T$4,2)+11)-VLOOKUP(B658,ÍNDICES!$A:$DE,HLOOKUP($BL$25,ÍNDICES!$B$3:$T$4,2)+11)+1%,IF(C$616=$W$26,$J$613,IF(ISERROR(IF(B658&gt;$D$19,1,VLOOKUP(DATE(YEAR(B658),MONTH(B658)+IF($C$613=$S$23,1,0),1),ÍNDICES!$A:$DE,$Z$613+1))),"",IF(B658&gt;$D$19,1,VLOOKUP(DATE(YEAR(B658),MONTH(B658)+IF($C$613=$S$23,1,0),1),ÍNDICES!$A:$DE,$Z$613+1))))))</f>
        <v/>
      </c>
      <c r="D658" s="155"/>
      <c r="E658" s="179"/>
      <c r="F658" s="29"/>
      <c r="G658" s="180"/>
      <c r="H658" s="181"/>
      <c r="I658" s="182" t="str">
        <f t="shared" si="107"/>
        <v/>
      </c>
      <c r="J658" s="5" t="str">
        <f t="shared" si="108"/>
        <v/>
      </c>
      <c r="K658" s="5">
        <f t="shared" ca="1" si="109"/>
        <v>0</v>
      </c>
      <c r="L658" s="5">
        <f t="shared" ca="1" si="112"/>
        <v>0</v>
      </c>
      <c r="M658" s="64">
        <f t="shared" si="110"/>
        <v>0</v>
      </c>
      <c r="N658" s="61">
        <f t="shared" ca="1" si="113"/>
        <v>0</v>
      </c>
      <c r="O658" s="20">
        <f t="shared" ca="1" si="106"/>
        <v>0</v>
      </c>
      <c r="P658" s="446">
        <f t="shared" si="114"/>
        <v>0</v>
      </c>
      <c r="Q658" s="446">
        <f>IF(OR($B658="",MIN(Q$38,$D$19)&lt;MAX($P$612*($B658+IF($R$17="Distrato",$I$38-1,0)),IF(AND($L$615=0,$P$612=0),"",$L$615-1),IF($R$17="Distrato",$E658,0))),0,YEARFRAC(MAX($P$612*($B658+IF($R$17="Distrato",$I$38-1,0)),IF(AND($L$615=0,$P$612=0),"",$L$615-1),IF($R$17="Distrato",$E658,0)),MIN(Q$38,$D$19),$P$20))-SUM($P658:P658)</f>
        <v>0</v>
      </c>
      <c r="R658" s="446">
        <f>IF(OR($B658="",MIN(R$38,$D$19)&lt;MAX($P$612*($B658+IF($R$17="Distrato",$I$38-1,0)),IF(AND($L$615=0,$P$612=0),"",$L$615-1),IF($R$17="Distrato",$E658,0))),0,YEARFRAC(MAX($P$612*($B658+IF($R$17="Distrato",$I$38-1,0)),IF(AND($L$615=0,$P$612=0),"",$L$615-1),IF($R$17="Distrato",$E658,0)),MIN(R$38,$D$19),$P$20))-SUM($P658:Q658)</f>
        <v>0</v>
      </c>
      <c r="S658" s="446">
        <f>IF(OR($B658="",MIN(S$38,$D$19)&lt;MAX($P$612*($B658+IF($R$17="Distrato",$I$38-1,0)),IF(AND($L$615=0,$P$612=0),"",$L$615-1),IF($R$17="Distrato",$E658,0))),0,YEARFRAC(MAX($P$612*($B658+IF($R$17="Distrato",$I$38-1,0)),IF(AND($L$615=0,$P$612=0),"",$L$615-1),IF($R$17="Distrato",$E658,0)),MIN(S$38,$D$19),$P$20))-SUM($P658:R658)</f>
        <v>0</v>
      </c>
      <c r="T658" s="446">
        <f>IF(OR($B658="",MIN(T$38,$D$19)&lt;MAX($P$612*($B658+IF($R$17="Distrato",$I$38-1,0)),IF(AND($L$615=0,$P$612=0),"",$L$615-1),IF($R$17="Distrato",$E658,0))),0,YEARFRAC(MAX($P$612*($B658+IF($R$17="Distrato",$I$38-1,0)),IF(AND($L$615=0,$P$612=0),"",$L$615-1),IF($R$17="Distrato",$E658,0)),MIN(T$38,$D$19),$P$20))-SUM($P658:S658)</f>
        <v>0</v>
      </c>
      <c r="U658" s="446">
        <f>IF(OR($B658="",MIN(U$38,$D$19)&lt;MAX($P$612*($B658+IF($R$17="Distrato",$I$38-1,0)),IF(AND($L$615=0,$P$612=0),"",$L$615-1),IF($R$17="Distrato",$E658,0))),0,YEARFRAC(MAX($P$612*($B658+IF($R$17="Distrato",$I$38-1,0)),IF(AND($L$615=0,$P$612=0),"",$L$615-1),IF($R$17="Distrato",$E658,0)),MIN(U$38,$D$19),$P$20))-SUM($P658:T658)</f>
        <v>0</v>
      </c>
      <c r="V658" s="446">
        <f>IF(OR($B658="",MIN(V$38,$D$19)&lt;MAX($P$612*($B658+IF($R$17="Distrato",$I$38-1,0)),IF(AND($L$615=0,$P$612=0),"",$L$615-1),IF($R$17="Distrato",$E658,0))),0,YEARFRAC(MAX($P$612*($B658+IF($R$17="Distrato",$I$38-1,0)),IF(AND($L$615=0,$P$612=0),"",$L$615-1),IF($R$17="Distrato",$E658,0)),MIN(V$38,$D$19),$P$20))-SUM($P658:U658)</f>
        <v>0</v>
      </c>
      <c r="W658" s="446">
        <f>IF(OR($B658="",MIN(W$38,$D$19)&lt;MAX($P$612*($B658+IF($R$17="Distrato",$I$38-1,0)),IF(AND($L$615=0,$P$612=0),"",$L$615-1),IF($R$17="Distrato",$E658,0))),0,YEARFRAC(MAX($P$612*($B658+IF($R$17="Distrato",$I$38-1,0)),IF(AND($L$615=0,$P$612=0),"",$L$615-1),IF($R$17="Distrato",$E658,0)),MIN(W$38,$D$19),$P$20))-SUM($P658:V658)</f>
        <v>0</v>
      </c>
      <c r="X658" s="446">
        <f>IF(OR($B658="",MIN(X$38,$D$19)&lt;MAX($P$612*($B658+IF($R$17="Distrato",$I$38-1,0)),IF(AND($L$615=0,$P$612=0),"",$L$615-1),IF($R$17="Distrato",$E658,0))),0,YEARFRAC(MAX($P$612*($B658+IF($R$17="Distrato",$I$38-1,0)),IF(AND($L$615=0,$P$612=0),"",$L$615-1),IF($R$17="Distrato",$E658,0)),MIN(X$38,$D$19),$P$20))-SUM($P658:W658)</f>
        <v>0</v>
      </c>
      <c r="Y658" s="446">
        <f>IF(OR($B658="",MIN(Y$38,$D$19)&lt;MAX($P$612*($B658+IF($R$17="Distrato",$I$38-1,0)),IF(AND($L$615=0,$P$612=0),"",$L$615-1),IF($R$17="Distrato",$E658,0))),0,YEARFRAC(MAX($P$612*($B658+IF($R$17="Distrato",$I$38-1,0)),IF(AND($L$615=0,$P$612=0),"",$L$615-1),IF($R$17="Distrato",$E658,0)),MIN(Y$38,$D$19),$P$20))-SUM($P658:X658)</f>
        <v>0</v>
      </c>
      <c r="Z658" s="446">
        <f>IF(OR($B658="",MIN(Z$38,$D$19)&lt;MAX($P$612*($B658+IF($R$17="Distrato",$I$38-1,0)),IF(AND($L$615=0,$P$612=0),"",$L$615-1),IF($R$17="Distrato",$E658,0))),0,YEARFRAC(MAX($P$612*($B658+IF($R$17="Distrato",$I$38-1,0)),IF(AND($L$615=0,$P$612=0),"",$L$615-1),IF($R$17="Distrato",$E658,0)),MIN(Z$38,$D$19),$P$20))-SUM($P658:Y658)</f>
        <v>0</v>
      </c>
      <c r="AA658" s="446">
        <f>IF(OR($B658="",MIN(AA$38,$D$19)&lt;MAX($P$612*($B658+IF($R$17="Distrato",$I$38-1,0)),IF(AND($L$615=0,$P$612=0),"",$L$615-1),IF($R$17="Distrato",$E658,0))),0,YEARFRAC(MAX($P$612*($B658+IF($R$17="Distrato",$I$38-1,0)),IF(AND($L$615=0,$P$612=0),"",$L$615-1),IF($R$17="Distrato",$E658,0)),MIN(AA$38,$D$19),$P$20))-SUM($P658:Z658)</f>
        <v>0</v>
      </c>
      <c r="AB658" s="446">
        <f>IF(OR($B658="",MIN(AB$38,$D$19)&lt;MAX($P$612*($B658+IF($R$17="Distrato",$I$38-1,0)),IF(AND($L$615=0,$P$612=0),"",$L$615-1),IF($R$17="Distrato",$E658,0))),0,YEARFRAC(MAX($P$612*($B658+IF($R$17="Distrato",$I$38-1,0)),IF(AND($L$615=0,$P$612=0),"",$L$615-1),IF($R$17="Distrato",$E658,0)),MIN(AB$38,$D$19),$P$20))-SUM($P658:AA658)</f>
        <v>0</v>
      </c>
      <c r="AC658" s="446">
        <f>IF(OR($B658="",MIN(AC$38,$D$19)&lt;MAX($P$612*($B658+IF($R$17="Distrato",$I$38-1,0)),IF(AND($L$615=0,$P$612=0),"",$L$615-1),IF($R$17="Distrato",$E658,0))),0,YEARFRAC(MAX($P$612*($B658+IF($R$17="Distrato",$I$38-1,0)),IF(AND($L$615=0,$P$612=0),"",$L$615-1),IF($R$17="Distrato",$E658,0)),MIN(AC$38,$D$19),$P$20))-SUM($P658:AB658)</f>
        <v>0</v>
      </c>
      <c r="AD658" s="446">
        <f>IF(OR($B658="",MIN(AD$38,$D$19)&lt;MAX($P$612*($B658+IF($R$17="Distrato",$I$38-1,0)),IF(AND($L$615=0,$P$612=0),"",$L$615-1),IF($R$17="Distrato",$E658,0))),0,YEARFRAC(MAX($P$612*($B658+IF($R$17="Distrato",$I$38-1,0)),IF(AND($L$615=0,$P$612=0),"",$L$615-1),IF($R$17="Distrato",$E658,0)),MIN(AD$38,$D$19),$P$20))-SUM($P658:AC658)</f>
        <v>0</v>
      </c>
      <c r="AE658" s="446">
        <f>IF(OR($B658="",MIN(AE$38,$D$19)&lt;MAX($P$612*($B658+IF($R$17="Distrato",$I$38-1,0)),IF(AND($L$615=0,$P$612=0),"",$L$615-1),IF($R$17="Distrato",$E658,0))),0,YEARFRAC(MAX($P$612*($B658+IF($R$17="Distrato",$I$38-1,0)),IF(AND($L$615=0,$P$612=0),"",$L$615-1),IF($R$17="Distrato",$E658,0)),MIN(AE$38,$D$19),$P$20))-SUM($P658:AD658)</f>
        <v>0</v>
      </c>
      <c r="AF658" s="446">
        <f>IF(OR($B658="",MIN(AF$38,$D$19)&lt;MAX($P$612*($B658+IF($R$17="Distrato",$I$38-1,0)),IF(AND($L$615=0,$P$612=0),"",$L$615-1),IF($R$17="Distrato",$E658,0))),0,YEARFRAC(MAX($P$612*($B658+IF($R$17="Distrato",$I$38-1,0)),IF(AND($L$615=0,$P$612=0),"",$L$615-1),IF($R$17="Distrato",$E658,0)),MIN(AF$38,$D$19),$P$20))-SUM($P658:AE658)</f>
        <v>0</v>
      </c>
      <c r="AG658" s="446">
        <f>IF(OR($B658="",MIN(AG$38,$D$19)&lt;MAX($P$612*($B658+IF($R$17="Distrato",$I$38-1,0)),IF(AND($L$615=0,$P$612=0),"",$L$615-1),IF($R$17="Distrato",$E658,0))),0,YEARFRAC(MAX($P$612*($B658+IF($R$17="Distrato",$I$38-1,0)),IF(AND($L$615=0,$P$612=0),"",$L$615-1),IF($R$17="Distrato",$E658,0)),MIN(AG$38,$D$19),$P$20))-SUM($P658:AF658)</f>
        <v>0</v>
      </c>
      <c r="AH658" s="446">
        <f>IF(OR($B658="",MIN(AH$38,$D$19)&lt;MAX($P$612*($B658+IF($R$17="Distrato",$I$38-1,0)),IF(AND($L$615=0,$P$612=0),"",$L$615-1),IF($R$17="Distrato",$E658,0))),0,YEARFRAC(MAX($P$612*($B658+IF($R$17="Distrato",$I$38-1,0)),IF(AND($L$615=0,$P$612=0),"",$L$615-1),IF($R$17="Distrato",$E658,0)),MIN(AH$38,$D$19),$P$20))-SUM($P658:AG658)</f>
        <v>0</v>
      </c>
      <c r="AI658" s="446">
        <f>IF(OR($B658="",MIN(AI$38,$D$19)&lt;MAX($P$612*($B658+IF($R$17="Distrato",$I$38-1,0)),IF(AND($L$615=0,$P$612=0),"",$L$615-1),IF($R$17="Distrato",$E658,0))),0,YEARFRAC(MAX($P$612*($B658+IF($R$17="Distrato",$I$38-1,0)),IF(AND($L$615=0,$P$612=0),"",$L$615-1),IF($R$17="Distrato",$E658,0)),MIN(AI$38,$D$19),$P$20))-SUM($P658:AH658)</f>
        <v>0</v>
      </c>
      <c r="AJ658" s="446">
        <f>IF(OR($B658="",MIN(AJ$38,$D$19)&lt;MAX($P$612*($B658+IF($R$17="Distrato",$I$38-1,0)),IF(AND($L$615=0,$P$612=0),"",$L$615-1),IF($R$17="Distrato",$E658,0))),0,YEARFRAC(MAX($P$612*($B658+IF($R$17="Distrato",$I$38-1,0)),IF(AND($L$615=0,$P$612=0),"",$L$615-1),IF($R$17="Distrato",$E658,0)),MIN(AJ$38,$D$19),$P$20))-SUM($P658:AI658)</f>
        <v>0</v>
      </c>
      <c r="AK658" s="446">
        <f>IF(OR($B658="",MIN(AK$38,$D$19)&lt;MAX($P$612*($B658+IF($R$17="Distrato",$I$38-1,0)),IF(AND($L$615=0,$P$612=0),"",$L$615-1),IF($R$17="Distrato",$E658,0))),0,YEARFRAC(MAX($P$612*($B658+IF($R$17="Distrato",$I$38-1,0)),IF(AND($L$615=0,$P$612=0),"",$L$615-1),IF($R$17="Distrato",$E658,0)),MIN(AK$38,$D$19),$P$20))-SUM($P658:AJ658)</f>
        <v>0</v>
      </c>
      <c r="AL658" s="446">
        <f>IF(OR($B658="",MIN(AL$38,$D$19)&lt;MAX($P$612*($B658+IF($R$17="Distrato",$I$38-1,0)),IF(AND($L$615=0,$P$612=0),"",$L$615-1),IF($R$17="Distrato",$E658,0))),0,YEARFRAC(MAX($P$612*($B658+IF($R$17="Distrato",$I$38-1,0)),IF(AND($L$615=0,$P$612=0),"",$L$615-1),IF($R$17="Distrato",$E658,0)),MIN(AL$38,$D$19),$P$20))-SUM($P658:AK658)</f>
        <v>0</v>
      </c>
      <c r="AM658" s="446">
        <f>IF(OR($B658="",MIN(AM$38,$D$19)&lt;MAX($P$612*($B658+IF($R$17="Distrato",$I$38-1,0)),IF(AND($L$615=0,$P$612=0),"",$L$615-1),IF($R$17="Distrato",$E658,0))),0,YEARFRAC(MAX($P$612*($B658+IF($R$17="Distrato",$I$38-1,0)),IF(AND($L$615=0,$P$612=0),"",$L$615-1),IF($R$17="Distrato",$E658,0)),MIN(AM$38,$D$19),$P$20))-SUM($P658:AL658)</f>
        <v>0</v>
      </c>
      <c r="AN658" s="446">
        <f>IF(OR($B658="",MIN(AN$38,$D$19)&lt;MAX($P$612*($B658+IF($R$17="Distrato",$I$38-1,0)),IF(AND($L$615=0,$P$612=0),"",$L$615-1),IF($R$17="Distrato",$E658,0))),0,YEARFRAC(MAX($P$612*($B658+IF($R$17="Distrato",$I$38-1,0)),IF(AND($L$615=0,$P$612=0),"",$L$615-1),IF($R$17="Distrato",$E658,0)),MIN(AN$38,$D$19),$P$20))-SUM($P658:AM658)</f>
        <v>0</v>
      </c>
      <c r="AO658" s="446">
        <f>IF(OR($B658="",MIN(AO$38,$D$19)&lt;MAX($P$612*($B658+IF($R$17="Distrato",$I$38-1,0)),IF(AND($L$615=0,$P$612=0),"",$L$615-1),IF($R$17="Distrato",$E658,0))),0,YEARFRAC(MAX($P$612*($B658+IF($R$17="Distrato",$I$38-1,0)),IF(AND($L$615=0,$P$612=0),"",$L$615-1),IF($R$17="Distrato",$E658,0)),MIN(AO$38,$D$19),$P$20))-SUM($P658:AN658)</f>
        <v>0</v>
      </c>
      <c r="AP658" s="446">
        <f>IF(OR($B658="",MIN(AP$38,$D$19)&lt;MAX($P$612*($B658+IF($R$17="Distrato",$I$38-1,0)),IF(AND($L$615=0,$P$612=0),"",$L$615-1),IF($R$17="Distrato",$E658,0))),0,YEARFRAC(MAX($P$612*($B658+IF($R$17="Distrato",$I$38-1,0)),IF(AND($L$615=0,$P$612=0),"",$L$615-1),IF($R$17="Distrato",$E658,0)),MIN(AP$38,$D$19),$P$20))-SUM($P658:AO658)</f>
        <v>0</v>
      </c>
      <c r="AQ658" s="446">
        <f>IF(OR($B658="",MIN(AQ$38,$D$19)&lt;MAX($P$612*($B658+IF($R$17="Distrato",$I$38-1,0)),IF(AND($L$615=0,$P$612=0),"",$L$615-1),IF($R$17="Distrato",$E658,0))),0,YEARFRAC(MAX($P$612*($B658+IF($R$17="Distrato",$I$38-1,0)),IF(AND($L$615=0,$P$612=0),"",$L$615-1),IF($R$17="Distrato",$E658,0)),MIN(AQ$38,$D$19),$P$20))-SUM($P658:AP658)</f>
        <v>0</v>
      </c>
      <c r="AR658" s="446">
        <f>IF(OR($B658="",MIN(AR$38,$D$19)&lt;MAX($P$612*($B658+IF($R$17="Distrato",$I$38-1,0)),IF(AND($L$615=0,$P$612=0),"",$L$615-1),IF($R$17="Distrato",$E658,0))),0,YEARFRAC(MAX($P$612*($B658+IF($R$17="Distrato",$I$38-1,0)),IF(AND($L$615=0,$P$612=0),"",$L$615-1),IF($R$17="Distrato",$E658,0)),MIN(AR$38,$D$19),$P$20))-SUM($P658:AQ658)</f>
        <v>0</v>
      </c>
      <c r="AS658" s="446">
        <f>IF(OR($B658="",MIN(AS$38,$D$19)&lt;MAX($P$612*($B658+IF($R$17="Distrato",$I$38-1,0)),IF(AND($L$615=0,$P$612=0),"",$L$615-1),IF($R$17="Distrato",$E658,0))),0,YEARFRAC(MAX($P$612*($B658+IF($R$17="Distrato",$I$38-1,0)),IF(AND($L$615=0,$P$612=0),"",$L$615-1),IF($R$17="Distrato",$E658,0)),MIN(AS$38,$D$19),$P$20))-SUM($P658:AR658)</f>
        <v>0</v>
      </c>
      <c r="AT658" s="446">
        <f>IF(OR($B658="",MIN(AT$38,$D$19)&lt;MAX($P$612*($B658+IF($R$17="Distrato",$I$38-1,0)),IF(AND($L$615=0,$P$612=0),"",$L$615-1),IF($R$17="Distrato",$E658,0))),0,YEARFRAC(MAX($P$612*($B658+IF($R$17="Distrato",$I$38-1,0)),IF(AND($L$615=0,$P$612=0),"",$L$615-1),IF($R$17="Distrato",$E658,0)),MIN(AT$38,$D$19),$P$20))-SUM($P658:AS658)</f>
        <v>0</v>
      </c>
      <c r="AU658" s="446">
        <f>IF(OR($B658="",MIN(AU$38,$D$19)&lt;MAX($P$612*($B658+IF($R$17="Distrato",$I$38-1,0)),IF(AND($L$615=0,$P$612=0),"",$L$615-1),IF($R$17="Distrato",$E658,0))),0,YEARFRAC(MAX($P$612*($B658+IF($R$17="Distrato",$I$38-1,0)),IF(AND($L$615=0,$P$612=0),"",$L$615-1),IF($R$17="Distrato",$E658,0)),MIN(AU$38,$D$19),$P$20))-SUM($P658:AT658)</f>
        <v>0</v>
      </c>
      <c r="AV658" s="446">
        <f>IF(OR($B658="",MIN(AV$38,$D$19)&lt;MAX($P$612*($B658+IF($R$17="Distrato",$I$38-1,0)),IF(AND($L$615=0,$P$612=0),"",$L$615-1),IF($R$17="Distrato",$E658,0))),0,YEARFRAC(MAX($P$612*($B658+IF($R$17="Distrato",$I$38-1,0)),IF(AND($L$615=0,$P$612=0),"",$L$615-1),IF($R$17="Distrato",$E658,0)),MIN(AV$38,$D$19),$P$20))-SUM($P658:AU658)</f>
        <v>0</v>
      </c>
      <c r="AW658" s="446">
        <f>IF(OR($B658="",MIN(AW$38,$D$19)&lt;MAX($P$612*($B658+IF($R$17="Distrato",$I$38-1,0)),IF(AND($L$615=0,$P$612=0),"",$L$615-1),IF($R$17="Distrato",$E658,0))),0,YEARFRAC(MAX($P$612*($B658+IF($R$17="Distrato",$I$38-1,0)),IF(AND($L$615=0,$P$612=0),"",$L$615-1),IF($R$17="Distrato",$E658,0)),MIN(AW$38,$D$19),$P$20))-SUM($P658:AV658)</f>
        <v>0</v>
      </c>
      <c r="AX658" s="446">
        <f>IF(OR($B658="",MIN(AX$38,$D$19)&lt;MAX($P$612*($B658+IF($R$17="Distrato",$I$38-1,0)),IF(AND($L$615=0,$P$612=0),"",$L$615-1),IF($R$17="Distrato",$E658,0))),0,YEARFRAC(MAX($P$612*($B658+IF($R$17="Distrato",$I$38-1,0)),IF(AND($L$615=0,$P$612=0),"",$L$615-1),IF($R$17="Distrato",$E658,0)),MIN(AX$38,$D$19),$P$20))-SUM($P658:AW658)</f>
        <v>0</v>
      </c>
      <c r="AY658" s="446">
        <f>IF(OR($B658="",MIN(AY$38,$D$19)&lt;MAX($P$612*($B658+IF($R$17="Distrato",$I$38-1,0)),IF(AND($L$615=0,$P$612=0),"",$L$615-1),IF($R$17="Distrato",$E658,0))),0,YEARFRAC(MAX($P$612*($B658+IF($R$17="Distrato",$I$38-1,0)),IF(AND($L$615=0,$P$612=0),"",$L$615-1),IF($R$17="Distrato",$E658,0)),MIN(AY$38,$D$19),$P$20))-SUM($P658:AX658)</f>
        <v>0</v>
      </c>
      <c r="AZ658" s="446">
        <f>IF(OR($B658="",MIN(AZ$38,$D$19)&lt;MAX($P$612*($B658+IF($R$17="Distrato",$I$38-1,0)),IF(AND($L$615=0,$P$612=0),"",$L$615-1),IF($R$17="Distrato",$E658,0))),0,YEARFRAC(MAX($P$612*($B658+IF($R$17="Distrato",$I$38-1,0)),IF(AND($L$615=0,$P$612=0),"",$L$615-1),IF($R$17="Distrato",$E658,0)),MIN(AZ$38,$D$19),$P$20))-SUM($P658:AY658)</f>
        <v>0</v>
      </c>
      <c r="BA658" s="446">
        <f>IF(OR($B658="",MIN(BA$38,$D$19)&lt;MAX($P$612*($B658+IF($R$17="Distrato",$I$38-1,0)),IF(AND($L$615=0,$P$612=0),"",$L$615-1),IF($R$17="Distrato",$E658,0))),0,YEARFRAC(MAX($P$612*($B658+IF($R$17="Distrato",$I$38-1,0)),IF(AND($L$615=0,$P$612=0),"",$L$615-1),IF($R$17="Distrato",$E658,0)),MIN(BA$38,$D$19),$P$20))-SUM($P658:AZ658)</f>
        <v>0</v>
      </c>
      <c r="BB658" s="447"/>
    </row>
    <row r="659" spans="1:54" s="446" customFormat="1" ht="11.25" hidden="1" x14ac:dyDescent="0.2">
      <c r="A659" s="177"/>
      <c r="B659" s="178"/>
      <c r="C659" s="29" t="str">
        <f>IF(B659="","",IF($L$613="SELIC - TRIBUTOS",VLOOKUP(DATE(YEAR($D$19),MONTH($D$19)-1,1),ÍNDICES!$A:$DE,HLOOKUP($BL$25,ÍNDICES!$B$3:$T$4,2)+11)-VLOOKUP(B659,ÍNDICES!$A:$DE,HLOOKUP($BL$25,ÍNDICES!$B$3:$T$4,2)+11)+1%,IF(C$616=$W$26,$J$613,IF(ISERROR(IF(B659&gt;$D$19,1,VLOOKUP(DATE(YEAR(B659),MONTH(B659)+IF($C$613=$S$23,1,0),1),ÍNDICES!$A:$DE,$Z$613+1))),"",IF(B659&gt;$D$19,1,VLOOKUP(DATE(YEAR(B659),MONTH(B659)+IF($C$613=$S$23,1,0),1),ÍNDICES!$A:$DE,$Z$613+1))))))</f>
        <v/>
      </c>
      <c r="D659" s="155"/>
      <c r="E659" s="179"/>
      <c r="F659" s="29"/>
      <c r="G659" s="180"/>
      <c r="H659" s="181"/>
      <c r="I659" s="182" t="str">
        <f t="shared" si="107"/>
        <v/>
      </c>
      <c r="J659" s="5" t="str">
        <f t="shared" si="108"/>
        <v/>
      </c>
      <c r="K659" s="5">
        <f t="shared" ca="1" si="109"/>
        <v>0</v>
      </c>
      <c r="L659" s="5">
        <f t="shared" ca="1" si="112"/>
        <v>0</v>
      </c>
      <c r="M659" s="64">
        <f t="shared" si="110"/>
        <v>0</v>
      </c>
      <c r="N659" s="61">
        <f t="shared" ca="1" si="113"/>
        <v>0</v>
      </c>
      <c r="O659" s="20">
        <f t="shared" ca="1" si="106"/>
        <v>0</v>
      </c>
      <c r="P659" s="446">
        <f t="shared" si="114"/>
        <v>0</v>
      </c>
      <c r="Q659" s="446">
        <f>IF(OR($B659="",MIN(Q$38,$D$19)&lt;MAX($P$612*($B659+IF($R$17="Distrato",$I$38-1,0)),IF(AND($L$615=0,$P$612=0),"",$L$615-1),IF($R$17="Distrato",$E659,0))),0,YEARFRAC(MAX($P$612*($B659+IF($R$17="Distrato",$I$38-1,0)),IF(AND($L$615=0,$P$612=0),"",$L$615-1),IF($R$17="Distrato",$E659,0)),MIN(Q$38,$D$19),$P$20))-SUM($P659:P659)</f>
        <v>0</v>
      </c>
      <c r="R659" s="446">
        <f>IF(OR($B659="",MIN(R$38,$D$19)&lt;MAX($P$612*($B659+IF($R$17="Distrato",$I$38-1,0)),IF(AND($L$615=0,$P$612=0),"",$L$615-1),IF($R$17="Distrato",$E659,0))),0,YEARFRAC(MAX($P$612*($B659+IF($R$17="Distrato",$I$38-1,0)),IF(AND($L$615=0,$P$612=0),"",$L$615-1),IF($R$17="Distrato",$E659,0)),MIN(R$38,$D$19),$P$20))-SUM($P659:Q659)</f>
        <v>0</v>
      </c>
      <c r="S659" s="446">
        <f>IF(OR($B659="",MIN(S$38,$D$19)&lt;MAX($P$612*($B659+IF($R$17="Distrato",$I$38-1,0)),IF(AND($L$615=0,$P$612=0),"",$L$615-1),IF($R$17="Distrato",$E659,0))),0,YEARFRAC(MAX($P$612*($B659+IF($R$17="Distrato",$I$38-1,0)),IF(AND($L$615=0,$P$612=0),"",$L$615-1),IF($R$17="Distrato",$E659,0)),MIN(S$38,$D$19),$P$20))-SUM($P659:R659)</f>
        <v>0</v>
      </c>
      <c r="T659" s="446">
        <f>IF(OR($B659="",MIN(T$38,$D$19)&lt;MAX($P$612*($B659+IF($R$17="Distrato",$I$38-1,0)),IF(AND($L$615=0,$P$612=0),"",$L$615-1),IF($R$17="Distrato",$E659,0))),0,YEARFRAC(MAX($P$612*($B659+IF($R$17="Distrato",$I$38-1,0)),IF(AND($L$615=0,$P$612=0),"",$L$615-1),IF($R$17="Distrato",$E659,0)),MIN(T$38,$D$19),$P$20))-SUM($P659:S659)</f>
        <v>0</v>
      </c>
      <c r="U659" s="446">
        <f>IF(OR($B659="",MIN(U$38,$D$19)&lt;MAX($P$612*($B659+IF($R$17="Distrato",$I$38-1,0)),IF(AND($L$615=0,$P$612=0),"",$L$615-1),IF($R$17="Distrato",$E659,0))),0,YEARFRAC(MAX($P$612*($B659+IF($R$17="Distrato",$I$38-1,0)),IF(AND($L$615=0,$P$612=0),"",$L$615-1),IF($R$17="Distrato",$E659,0)),MIN(U$38,$D$19),$P$20))-SUM($P659:T659)</f>
        <v>0</v>
      </c>
      <c r="V659" s="446">
        <f>IF(OR($B659="",MIN(V$38,$D$19)&lt;MAX($P$612*($B659+IF($R$17="Distrato",$I$38-1,0)),IF(AND($L$615=0,$P$612=0),"",$L$615-1),IF($R$17="Distrato",$E659,0))),0,YEARFRAC(MAX($P$612*($B659+IF($R$17="Distrato",$I$38-1,0)),IF(AND($L$615=0,$P$612=0),"",$L$615-1),IF($R$17="Distrato",$E659,0)),MIN(V$38,$D$19),$P$20))-SUM($P659:U659)</f>
        <v>0</v>
      </c>
      <c r="W659" s="446">
        <f>IF(OR($B659="",MIN(W$38,$D$19)&lt;MAX($P$612*($B659+IF($R$17="Distrato",$I$38-1,0)),IF(AND($L$615=0,$P$612=0),"",$L$615-1),IF($R$17="Distrato",$E659,0))),0,YEARFRAC(MAX($P$612*($B659+IF($R$17="Distrato",$I$38-1,0)),IF(AND($L$615=0,$P$612=0),"",$L$615-1),IF($R$17="Distrato",$E659,0)),MIN(W$38,$D$19),$P$20))-SUM($P659:V659)</f>
        <v>0</v>
      </c>
      <c r="X659" s="446">
        <f>IF(OR($B659="",MIN(X$38,$D$19)&lt;MAX($P$612*($B659+IF($R$17="Distrato",$I$38-1,0)),IF(AND($L$615=0,$P$612=0),"",$L$615-1),IF($R$17="Distrato",$E659,0))),0,YEARFRAC(MAX($P$612*($B659+IF($R$17="Distrato",$I$38-1,0)),IF(AND($L$615=0,$P$612=0),"",$L$615-1),IF($R$17="Distrato",$E659,0)),MIN(X$38,$D$19),$P$20))-SUM($P659:W659)</f>
        <v>0</v>
      </c>
      <c r="Y659" s="446">
        <f>IF(OR($B659="",MIN(Y$38,$D$19)&lt;MAX($P$612*($B659+IF($R$17="Distrato",$I$38-1,0)),IF(AND($L$615=0,$P$612=0),"",$L$615-1),IF($R$17="Distrato",$E659,0))),0,YEARFRAC(MAX($P$612*($B659+IF($R$17="Distrato",$I$38-1,0)),IF(AND($L$615=0,$P$612=0),"",$L$615-1),IF($R$17="Distrato",$E659,0)),MIN(Y$38,$D$19),$P$20))-SUM($P659:X659)</f>
        <v>0</v>
      </c>
      <c r="Z659" s="446">
        <f>IF(OR($B659="",MIN(Z$38,$D$19)&lt;MAX($P$612*($B659+IF($R$17="Distrato",$I$38-1,0)),IF(AND($L$615=0,$P$612=0),"",$L$615-1),IF($R$17="Distrato",$E659,0))),0,YEARFRAC(MAX($P$612*($B659+IF($R$17="Distrato",$I$38-1,0)),IF(AND($L$615=0,$P$612=0),"",$L$615-1),IF($R$17="Distrato",$E659,0)),MIN(Z$38,$D$19),$P$20))-SUM($P659:Y659)</f>
        <v>0</v>
      </c>
      <c r="AA659" s="446">
        <f>IF(OR($B659="",MIN(AA$38,$D$19)&lt;MAX($P$612*($B659+IF($R$17="Distrato",$I$38-1,0)),IF(AND($L$615=0,$P$612=0),"",$L$615-1),IF($R$17="Distrato",$E659,0))),0,YEARFRAC(MAX($P$612*($B659+IF($R$17="Distrato",$I$38-1,0)),IF(AND($L$615=0,$P$612=0),"",$L$615-1),IF($R$17="Distrato",$E659,0)),MIN(AA$38,$D$19),$P$20))-SUM($P659:Z659)</f>
        <v>0</v>
      </c>
      <c r="AB659" s="446">
        <f>IF(OR($B659="",MIN(AB$38,$D$19)&lt;MAX($P$612*($B659+IF($R$17="Distrato",$I$38-1,0)),IF(AND($L$615=0,$P$612=0),"",$L$615-1),IF($R$17="Distrato",$E659,0))),0,YEARFRAC(MAX($P$612*($B659+IF($R$17="Distrato",$I$38-1,0)),IF(AND($L$615=0,$P$612=0),"",$L$615-1),IF($R$17="Distrato",$E659,0)),MIN(AB$38,$D$19),$P$20))-SUM($P659:AA659)</f>
        <v>0</v>
      </c>
      <c r="AC659" s="446">
        <f>IF(OR($B659="",MIN(AC$38,$D$19)&lt;MAX($P$612*($B659+IF($R$17="Distrato",$I$38-1,0)),IF(AND($L$615=0,$P$612=0),"",$L$615-1),IF($R$17="Distrato",$E659,0))),0,YEARFRAC(MAX($P$612*($B659+IF($R$17="Distrato",$I$38-1,0)),IF(AND($L$615=0,$P$612=0),"",$L$615-1),IF($R$17="Distrato",$E659,0)),MIN(AC$38,$D$19),$P$20))-SUM($P659:AB659)</f>
        <v>0</v>
      </c>
      <c r="AD659" s="446">
        <f>IF(OR($B659="",MIN(AD$38,$D$19)&lt;MAX($P$612*($B659+IF($R$17="Distrato",$I$38-1,0)),IF(AND($L$615=0,$P$612=0),"",$L$615-1),IF($R$17="Distrato",$E659,0))),0,YEARFRAC(MAX($P$612*($B659+IF($R$17="Distrato",$I$38-1,0)),IF(AND($L$615=0,$P$612=0),"",$L$615-1),IF($R$17="Distrato",$E659,0)),MIN(AD$38,$D$19),$P$20))-SUM($P659:AC659)</f>
        <v>0</v>
      </c>
      <c r="AE659" s="446">
        <f>IF(OR($B659="",MIN(AE$38,$D$19)&lt;MAX($P$612*($B659+IF($R$17="Distrato",$I$38-1,0)),IF(AND($L$615=0,$P$612=0),"",$L$615-1),IF($R$17="Distrato",$E659,0))),0,YEARFRAC(MAX($P$612*($B659+IF($R$17="Distrato",$I$38-1,0)),IF(AND($L$615=0,$P$612=0),"",$L$615-1),IF($R$17="Distrato",$E659,0)),MIN(AE$38,$D$19),$P$20))-SUM($P659:AD659)</f>
        <v>0</v>
      </c>
      <c r="AF659" s="446">
        <f>IF(OR($B659="",MIN(AF$38,$D$19)&lt;MAX($P$612*($B659+IF($R$17="Distrato",$I$38-1,0)),IF(AND($L$615=0,$P$612=0),"",$L$615-1),IF($R$17="Distrato",$E659,0))),0,YEARFRAC(MAX($P$612*($B659+IF($R$17="Distrato",$I$38-1,0)),IF(AND($L$615=0,$P$612=0),"",$L$615-1),IF($R$17="Distrato",$E659,0)),MIN(AF$38,$D$19),$P$20))-SUM($P659:AE659)</f>
        <v>0</v>
      </c>
      <c r="AG659" s="446">
        <f>IF(OR($B659="",MIN(AG$38,$D$19)&lt;MAX($P$612*($B659+IF($R$17="Distrato",$I$38-1,0)),IF(AND($L$615=0,$P$612=0),"",$L$615-1),IF($R$17="Distrato",$E659,0))),0,YEARFRAC(MAX($P$612*($B659+IF($R$17="Distrato",$I$38-1,0)),IF(AND($L$615=0,$P$612=0),"",$L$615-1),IF($R$17="Distrato",$E659,0)),MIN(AG$38,$D$19),$P$20))-SUM($P659:AF659)</f>
        <v>0</v>
      </c>
      <c r="AH659" s="446">
        <f>IF(OR($B659="",MIN(AH$38,$D$19)&lt;MAX($P$612*($B659+IF($R$17="Distrato",$I$38-1,0)),IF(AND($L$615=0,$P$612=0),"",$L$615-1),IF($R$17="Distrato",$E659,0))),0,YEARFRAC(MAX($P$612*($B659+IF($R$17="Distrato",$I$38-1,0)),IF(AND($L$615=0,$P$612=0),"",$L$615-1),IF($R$17="Distrato",$E659,0)),MIN(AH$38,$D$19),$P$20))-SUM($P659:AG659)</f>
        <v>0</v>
      </c>
      <c r="AI659" s="446">
        <f>IF(OR($B659="",MIN(AI$38,$D$19)&lt;MAX($P$612*($B659+IF($R$17="Distrato",$I$38-1,0)),IF(AND($L$615=0,$P$612=0),"",$L$615-1),IF($R$17="Distrato",$E659,0))),0,YEARFRAC(MAX($P$612*($B659+IF($R$17="Distrato",$I$38-1,0)),IF(AND($L$615=0,$P$612=0),"",$L$615-1),IF($R$17="Distrato",$E659,0)),MIN(AI$38,$D$19),$P$20))-SUM($P659:AH659)</f>
        <v>0</v>
      </c>
      <c r="AJ659" s="446">
        <f>IF(OR($B659="",MIN(AJ$38,$D$19)&lt;MAX($P$612*($B659+IF($R$17="Distrato",$I$38-1,0)),IF(AND($L$615=0,$P$612=0),"",$L$615-1),IF($R$17="Distrato",$E659,0))),0,YEARFRAC(MAX($P$612*($B659+IF($R$17="Distrato",$I$38-1,0)),IF(AND($L$615=0,$P$612=0),"",$L$615-1),IF($R$17="Distrato",$E659,0)),MIN(AJ$38,$D$19),$P$20))-SUM($P659:AI659)</f>
        <v>0</v>
      </c>
      <c r="AK659" s="446">
        <f>IF(OR($B659="",MIN(AK$38,$D$19)&lt;MAX($P$612*($B659+IF($R$17="Distrato",$I$38-1,0)),IF(AND($L$615=0,$P$612=0),"",$L$615-1),IF($R$17="Distrato",$E659,0))),0,YEARFRAC(MAX($P$612*($B659+IF($R$17="Distrato",$I$38-1,0)),IF(AND($L$615=0,$P$612=0),"",$L$615-1),IF($R$17="Distrato",$E659,0)),MIN(AK$38,$D$19),$P$20))-SUM($P659:AJ659)</f>
        <v>0</v>
      </c>
      <c r="AL659" s="446">
        <f>IF(OR($B659="",MIN(AL$38,$D$19)&lt;MAX($P$612*($B659+IF($R$17="Distrato",$I$38-1,0)),IF(AND($L$615=0,$P$612=0),"",$L$615-1),IF($R$17="Distrato",$E659,0))),0,YEARFRAC(MAX($P$612*($B659+IF($R$17="Distrato",$I$38-1,0)),IF(AND($L$615=0,$P$612=0),"",$L$615-1),IF($R$17="Distrato",$E659,0)),MIN(AL$38,$D$19),$P$20))-SUM($P659:AK659)</f>
        <v>0</v>
      </c>
      <c r="AM659" s="446">
        <f>IF(OR($B659="",MIN(AM$38,$D$19)&lt;MAX($P$612*($B659+IF($R$17="Distrato",$I$38-1,0)),IF(AND($L$615=0,$P$612=0),"",$L$615-1),IF($R$17="Distrato",$E659,0))),0,YEARFRAC(MAX($P$612*($B659+IF($R$17="Distrato",$I$38-1,0)),IF(AND($L$615=0,$P$612=0),"",$L$615-1),IF($R$17="Distrato",$E659,0)),MIN(AM$38,$D$19),$P$20))-SUM($P659:AL659)</f>
        <v>0</v>
      </c>
      <c r="AN659" s="446">
        <f>IF(OR($B659="",MIN(AN$38,$D$19)&lt;MAX($P$612*($B659+IF($R$17="Distrato",$I$38-1,0)),IF(AND($L$615=0,$P$612=0),"",$L$615-1),IF($R$17="Distrato",$E659,0))),0,YEARFRAC(MAX($P$612*($B659+IF($R$17="Distrato",$I$38-1,0)),IF(AND($L$615=0,$P$612=0),"",$L$615-1),IF($R$17="Distrato",$E659,0)),MIN(AN$38,$D$19),$P$20))-SUM($P659:AM659)</f>
        <v>0</v>
      </c>
      <c r="AO659" s="446">
        <f>IF(OR($B659="",MIN(AO$38,$D$19)&lt;MAX($P$612*($B659+IF($R$17="Distrato",$I$38-1,0)),IF(AND($L$615=0,$P$612=0),"",$L$615-1),IF($R$17="Distrato",$E659,0))),0,YEARFRAC(MAX($P$612*($B659+IF($R$17="Distrato",$I$38-1,0)),IF(AND($L$615=0,$P$612=0),"",$L$615-1),IF($R$17="Distrato",$E659,0)),MIN(AO$38,$D$19),$P$20))-SUM($P659:AN659)</f>
        <v>0</v>
      </c>
      <c r="AP659" s="446">
        <f>IF(OR($B659="",MIN(AP$38,$D$19)&lt;MAX($P$612*($B659+IF($R$17="Distrato",$I$38-1,0)),IF(AND($L$615=0,$P$612=0),"",$L$615-1),IF($R$17="Distrato",$E659,0))),0,YEARFRAC(MAX($P$612*($B659+IF($R$17="Distrato",$I$38-1,0)),IF(AND($L$615=0,$P$612=0),"",$L$615-1),IF($R$17="Distrato",$E659,0)),MIN(AP$38,$D$19),$P$20))-SUM($P659:AO659)</f>
        <v>0</v>
      </c>
      <c r="AQ659" s="446">
        <f>IF(OR($B659="",MIN(AQ$38,$D$19)&lt;MAX($P$612*($B659+IF($R$17="Distrato",$I$38-1,0)),IF(AND($L$615=0,$P$612=0),"",$L$615-1),IF($R$17="Distrato",$E659,0))),0,YEARFRAC(MAX($P$612*($B659+IF($R$17="Distrato",$I$38-1,0)),IF(AND($L$615=0,$P$612=0),"",$L$615-1),IF($R$17="Distrato",$E659,0)),MIN(AQ$38,$D$19),$P$20))-SUM($P659:AP659)</f>
        <v>0</v>
      </c>
      <c r="AR659" s="446">
        <f>IF(OR($B659="",MIN(AR$38,$D$19)&lt;MAX($P$612*($B659+IF($R$17="Distrato",$I$38-1,0)),IF(AND($L$615=0,$P$612=0),"",$L$615-1),IF($R$17="Distrato",$E659,0))),0,YEARFRAC(MAX($P$612*($B659+IF($R$17="Distrato",$I$38-1,0)),IF(AND($L$615=0,$P$612=0),"",$L$615-1),IF($R$17="Distrato",$E659,0)),MIN(AR$38,$D$19),$P$20))-SUM($P659:AQ659)</f>
        <v>0</v>
      </c>
      <c r="AS659" s="446">
        <f>IF(OR($B659="",MIN(AS$38,$D$19)&lt;MAX($P$612*($B659+IF($R$17="Distrato",$I$38-1,0)),IF(AND($L$615=0,$P$612=0),"",$L$615-1),IF($R$17="Distrato",$E659,0))),0,YEARFRAC(MAX($P$612*($B659+IF($R$17="Distrato",$I$38-1,0)),IF(AND($L$615=0,$P$612=0),"",$L$615-1),IF($R$17="Distrato",$E659,0)),MIN(AS$38,$D$19),$P$20))-SUM($P659:AR659)</f>
        <v>0</v>
      </c>
      <c r="AT659" s="446">
        <f>IF(OR($B659="",MIN(AT$38,$D$19)&lt;MAX($P$612*($B659+IF($R$17="Distrato",$I$38-1,0)),IF(AND($L$615=0,$P$612=0),"",$L$615-1),IF($R$17="Distrato",$E659,0))),0,YEARFRAC(MAX($P$612*($B659+IF($R$17="Distrato",$I$38-1,0)),IF(AND($L$615=0,$P$612=0),"",$L$615-1),IF($R$17="Distrato",$E659,0)),MIN(AT$38,$D$19),$P$20))-SUM($P659:AS659)</f>
        <v>0</v>
      </c>
      <c r="AU659" s="446">
        <f>IF(OR($B659="",MIN(AU$38,$D$19)&lt;MAX($P$612*($B659+IF($R$17="Distrato",$I$38-1,0)),IF(AND($L$615=0,$P$612=0),"",$L$615-1),IF($R$17="Distrato",$E659,0))),0,YEARFRAC(MAX($P$612*($B659+IF($R$17="Distrato",$I$38-1,0)),IF(AND($L$615=0,$P$612=0),"",$L$615-1),IF($R$17="Distrato",$E659,0)),MIN(AU$38,$D$19),$P$20))-SUM($P659:AT659)</f>
        <v>0</v>
      </c>
      <c r="AV659" s="446">
        <f>IF(OR($B659="",MIN(AV$38,$D$19)&lt;MAX($P$612*($B659+IF($R$17="Distrato",$I$38-1,0)),IF(AND($L$615=0,$P$612=0),"",$L$615-1),IF($R$17="Distrato",$E659,0))),0,YEARFRAC(MAX($P$612*($B659+IF($R$17="Distrato",$I$38-1,0)),IF(AND($L$615=0,$P$612=0),"",$L$615-1),IF($R$17="Distrato",$E659,0)),MIN(AV$38,$D$19),$P$20))-SUM($P659:AU659)</f>
        <v>0</v>
      </c>
      <c r="AW659" s="446">
        <f>IF(OR($B659="",MIN(AW$38,$D$19)&lt;MAX($P$612*($B659+IF($R$17="Distrato",$I$38-1,0)),IF(AND($L$615=0,$P$612=0),"",$L$615-1),IF($R$17="Distrato",$E659,0))),0,YEARFRAC(MAX($P$612*($B659+IF($R$17="Distrato",$I$38-1,0)),IF(AND($L$615=0,$P$612=0),"",$L$615-1),IF($R$17="Distrato",$E659,0)),MIN(AW$38,$D$19),$P$20))-SUM($P659:AV659)</f>
        <v>0</v>
      </c>
      <c r="AX659" s="446">
        <f>IF(OR($B659="",MIN(AX$38,$D$19)&lt;MAX($P$612*($B659+IF($R$17="Distrato",$I$38-1,0)),IF(AND($L$615=0,$P$612=0),"",$L$615-1),IF($R$17="Distrato",$E659,0))),0,YEARFRAC(MAX($P$612*($B659+IF($R$17="Distrato",$I$38-1,0)),IF(AND($L$615=0,$P$612=0),"",$L$615-1),IF($R$17="Distrato",$E659,0)),MIN(AX$38,$D$19),$P$20))-SUM($P659:AW659)</f>
        <v>0</v>
      </c>
      <c r="AY659" s="446">
        <f>IF(OR($B659="",MIN(AY$38,$D$19)&lt;MAX($P$612*($B659+IF($R$17="Distrato",$I$38-1,0)),IF(AND($L$615=0,$P$612=0),"",$L$615-1),IF($R$17="Distrato",$E659,0))),0,YEARFRAC(MAX($P$612*($B659+IF($R$17="Distrato",$I$38-1,0)),IF(AND($L$615=0,$P$612=0),"",$L$615-1),IF($R$17="Distrato",$E659,0)),MIN(AY$38,$D$19),$P$20))-SUM($P659:AX659)</f>
        <v>0</v>
      </c>
      <c r="AZ659" s="446">
        <f>IF(OR($B659="",MIN(AZ$38,$D$19)&lt;MAX($P$612*($B659+IF($R$17="Distrato",$I$38-1,0)),IF(AND($L$615=0,$P$612=0),"",$L$615-1),IF($R$17="Distrato",$E659,0))),0,YEARFRAC(MAX($P$612*($B659+IF($R$17="Distrato",$I$38-1,0)),IF(AND($L$615=0,$P$612=0),"",$L$615-1),IF($R$17="Distrato",$E659,0)),MIN(AZ$38,$D$19),$P$20))-SUM($P659:AY659)</f>
        <v>0</v>
      </c>
      <c r="BA659" s="446">
        <f>IF(OR($B659="",MIN(BA$38,$D$19)&lt;MAX($P$612*($B659+IF($R$17="Distrato",$I$38-1,0)),IF(AND($L$615=0,$P$612=0),"",$L$615-1),IF($R$17="Distrato",$E659,0))),0,YEARFRAC(MAX($P$612*($B659+IF($R$17="Distrato",$I$38-1,0)),IF(AND($L$615=0,$P$612=0),"",$L$615-1),IF($R$17="Distrato",$E659,0)),MIN(BA$38,$D$19),$P$20))-SUM($P659:AZ659)</f>
        <v>0</v>
      </c>
      <c r="BB659" s="447"/>
    </row>
    <row r="660" spans="1:54" s="446" customFormat="1" ht="11.25" hidden="1" x14ac:dyDescent="0.2">
      <c r="A660" s="177"/>
      <c r="B660" s="178"/>
      <c r="C660" s="29" t="str">
        <f>IF(B660="","",IF($L$613="SELIC - TRIBUTOS",VLOOKUP(DATE(YEAR($D$19),MONTH($D$19)-1,1),ÍNDICES!$A:$DE,HLOOKUP($BL$25,ÍNDICES!$B$3:$T$4,2)+11)-VLOOKUP(B660,ÍNDICES!$A:$DE,HLOOKUP($BL$25,ÍNDICES!$B$3:$T$4,2)+11)+1%,IF(C$616=$W$26,$J$613,IF(ISERROR(IF(B660&gt;$D$19,1,VLOOKUP(DATE(YEAR(B660),MONTH(B660)+IF($C$613=$S$23,1,0),1),ÍNDICES!$A:$DE,$Z$613+1))),"",IF(B660&gt;$D$19,1,VLOOKUP(DATE(YEAR(B660),MONTH(B660)+IF($C$613=$S$23,1,0),1),ÍNDICES!$A:$DE,$Z$613+1))))))</f>
        <v/>
      </c>
      <c r="D660" s="155"/>
      <c r="E660" s="179"/>
      <c r="F660" s="29"/>
      <c r="G660" s="180"/>
      <c r="H660" s="181"/>
      <c r="I660" s="182" t="str">
        <f t="shared" si="107"/>
        <v/>
      </c>
      <c r="J660" s="5" t="str">
        <f t="shared" si="108"/>
        <v/>
      </c>
      <c r="K660" s="5">
        <f t="shared" ca="1" si="109"/>
        <v>0</v>
      </c>
      <c r="L660" s="5">
        <f t="shared" ca="1" si="112"/>
        <v>0</v>
      </c>
      <c r="M660" s="64">
        <f t="shared" si="110"/>
        <v>0</v>
      </c>
      <c r="N660" s="61">
        <f t="shared" ca="1" si="113"/>
        <v>0</v>
      </c>
      <c r="O660" s="20">
        <f t="shared" ca="1" si="106"/>
        <v>0</v>
      </c>
      <c r="P660" s="446">
        <f t="shared" si="114"/>
        <v>0</v>
      </c>
      <c r="Q660" s="446">
        <f>IF(OR($B660="",MIN(Q$38,$D$19)&lt;MAX($P$612*($B660+IF($R$17="Distrato",$I$38-1,0)),IF(AND($L$615=0,$P$612=0),"",$L$615-1),IF($R$17="Distrato",$E660,0))),0,YEARFRAC(MAX($P$612*($B660+IF($R$17="Distrato",$I$38-1,0)),IF(AND($L$615=0,$P$612=0),"",$L$615-1),IF($R$17="Distrato",$E660,0)),MIN(Q$38,$D$19),$P$20))-SUM($P660:P660)</f>
        <v>0</v>
      </c>
      <c r="R660" s="446">
        <f>IF(OR($B660="",MIN(R$38,$D$19)&lt;MAX($P$612*($B660+IF($R$17="Distrato",$I$38-1,0)),IF(AND($L$615=0,$P$612=0),"",$L$615-1),IF($R$17="Distrato",$E660,0))),0,YEARFRAC(MAX($P$612*($B660+IF($R$17="Distrato",$I$38-1,0)),IF(AND($L$615=0,$P$612=0),"",$L$615-1),IF($R$17="Distrato",$E660,0)),MIN(R$38,$D$19),$P$20))-SUM($P660:Q660)</f>
        <v>0</v>
      </c>
      <c r="S660" s="446">
        <f>IF(OR($B660="",MIN(S$38,$D$19)&lt;MAX($P$612*($B660+IF($R$17="Distrato",$I$38-1,0)),IF(AND($L$615=0,$P$612=0),"",$L$615-1),IF($R$17="Distrato",$E660,0))),0,YEARFRAC(MAX($P$612*($B660+IF($R$17="Distrato",$I$38-1,0)),IF(AND($L$615=0,$P$612=0),"",$L$615-1),IF($R$17="Distrato",$E660,0)),MIN(S$38,$D$19),$P$20))-SUM($P660:R660)</f>
        <v>0</v>
      </c>
      <c r="T660" s="446">
        <f>IF(OR($B660="",MIN(T$38,$D$19)&lt;MAX($P$612*($B660+IF($R$17="Distrato",$I$38-1,0)),IF(AND($L$615=0,$P$612=0),"",$L$615-1),IF($R$17="Distrato",$E660,0))),0,YEARFRAC(MAX($P$612*($B660+IF($R$17="Distrato",$I$38-1,0)),IF(AND($L$615=0,$P$612=0),"",$L$615-1),IF($R$17="Distrato",$E660,0)),MIN(T$38,$D$19),$P$20))-SUM($P660:S660)</f>
        <v>0</v>
      </c>
      <c r="U660" s="446">
        <f>IF(OR($B660="",MIN(U$38,$D$19)&lt;MAX($P$612*($B660+IF($R$17="Distrato",$I$38-1,0)),IF(AND($L$615=0,$P$612=0),"",$L$615-1),IF($R$17="Distrato",$E660,0))),0,YEARFRAC(MAX($P$612*($B660+IF($R$17="Distrato",$I$38-1,0)),IF(AND($L$615=0,$P$612=0),"",$L$615-1),IF($R$17="Distrato",$E660,0)),MIN(U$38,$D$19),$P$20))-SUM($P660:T660)</f>
        <v>0</v>
      </c>
      <c r="V660" s="446">
        <f>IF(OR($B660="",MIN(V$38,$D$19)&lt;MAX($P$612*($B660+IF($R$17="Distrato",$I$38-1,0)),IF(AND($L$615=0,$P$612=0),"",$L$615-1),IF($R$17="Distrato",$E660,0))),0,YEARFRAC(MAX($P$612*($B660+IF($R$17="Distrato",$I$38-1,0)),IF(AND($L$615=0,$P$612=0),"",$L$615-1),IF($R$17="Distrato",$E660,0)),MIN(V$38,$D$19),$P$20))-SUM($P660:U660)</f>
        <v>0</v>
      </c>
      <c r="W660" s="446">
        <f>IF(OR($B660="",MIN(W$38,$D$19)&lt;MAX($P$612*($B660+IF($R$17="Distrato",$I$38-1,0)),IF(AND($L$615=0,$P$612=0),"",$L$615-1),IF($R$17="Distrato",$E660,0))),0,YEARFRAC(MAX($P$612*($B660+IF($R$17="Distrato",$I$38-1,0)),IF(AND($L$615=0,$P$612=0),"",$L$615-1),IF($R$17="Distrato",$E660,0)),MIN(W$38,$D$19),$P$20))-SUM($P660:V660)</f>
        <v>0</v>
      </c>
      <c r="X660" s="446">
        <f>IF(OR($B660="",MIN(X$38,$D$19)&lt;MAX($P$612*($B660+IF($R$17="Distrato",$I$38-1,0)),IF(AND($L$615=0,$P$612=0),"",$L$615-1),IF($R$17="Distrato",$E660,0))),0,YEARFRAC(MAX($P$612*($B660+IF($R$17="Distrato",$I$38-1,0)),IF(AND($L$615=0,$P$612=0),"",$L$615-1),IF($R$17="Distrato",$E660,0)),MIN(X$38,$D$19),$P$20))-SUM($P660:W660)</f>
        <v>0</v>
      </c>
      <c r="Y660" s="446">
        <f>IF(OR($B660="",MIN(Y$38,$D$19)&lt;MAX($P$612*($B660+IF($R$17="Distrato",$I$38-1,0)),IF(AND($L$615=0,$P$612=0),"",$L$615-1),IF($R$17="Distrato",$E660,0))),0,YEARFRAC(MAX($P$612*($B660+IF($R$17="Distrato",$I$38-1,0)),IF(AND($L$615=0,$P$612=0),"",$L$615-1),IF($R$17="Distrato",$E660,0)),MIN(Y$38,$D$19),$P$20))-SUM($P660:X660)</f>
        <v>0</v>
      </c>
      <c r="Z660" s="446">
        <f>IF(OR($B660="",MIN(Z$38,$D$19)&lt;MAX($P$612*($B660+IF($R$17="Distrato",$I$38-1,0)),IF(AND($L$615=0,$P$612=0),"",$L$615-1),IF($R$17="Distrato",$E660,0))),0,YEARFRAC(MAX($P$612*($B660+IF($R$17="Distrato",$I$38-1,0)),IF(AND($L$615=0,$P$612=0),"",$L$615-1),IF($R$17="Distrato",$E660,0)),MIN(Z$38,$D$19),$P$20))-SUM($P660:Y660)</f>
        <v>0</v>
      </c>
      <c r="AA660" s="446">
        <f>IF(OR($B660="",MIN(AA$38,$D$19)&lt;MAX($P$612*($B660+IF($R$17="Distrato",$I$38-1,0)),IF(AND($L$615=0,$P$612=0),"",$L$615-1),IF($R$17="Distrato",$E660,0))),0,YEARFRAC(MAX($P$612*($B660+IF($R$17="Distrato",$I$38-1,0)),IF(AND($L$615=0,$P$612=0),"",$L$615-1),IF($R$17="Distrato",$E660,0)),MIN(AA$38,$D$19),$P$20))-SUM($P660:Z660)</f>
        <v>0</v>
      </c>
      <c r="AB660" s="446">
        <f>IF(OR($B660="",MIN(AB$38,$D$19)&lt;MAX($P$612*($B660+IF($R$17="Distrato",$I$38-1,0)),IF(AND($L$615=0,$P$612=0),"",$L$615-1),IF($R$17="Distrato",$E660,0))),0,YEARFRAC(MAX($P$612*($B660+IF($R$17="Distrato",$I$38-1,0)),IF(AND($L$615=0,$P$612=0),"",$L$615-1),IF($R$17="Distrato",$E660,0)),MIN(AB$38,$D$19),$P$20))-SUM($P660:AA660)</f>
        <v>0</v>
      </c>
      <c r="AC660" s="446">
        <f>IF(OR($B660="",MIN(AC$38,$D$19)&lt;MAX($P$612*($B660+IF($R$17="Distrato",$I$38-1,0)),IF(AND($L$615=0,$P$612=0),"",$L$615-1),IF($R$17="Distrato",$E660,0))),0,YEARFRAC(MAX($P$612*($B660+IF($R$17="Distrato",$I$38-1,0)),IF(AND($L$615=0,$P$612=0),"",$L$615-1),IF($R$17="Distrato",$E660,0)),MIN(AC$38,$D$19),$P$20))-SUM($P660:AB660)</f>
        <v>0</v>
      </c>
      <c r="AD660" s="446">
        <f>IF(OR($B660="",MIN(AD$38,$D$19)&lt;MAX($P$612*($B660+IF($R$17="Distrato",$I$38-1,0)),IF(AND($L$615=0,$P$612=0),"",$L$615-1),IF($R$17="Distrato",$E660,0))),0,YEARFRAC(MAX($P$612*($B660+IF($R$17="Distrato",$I$38-1,0)),IF(AND($L$615=0,$P$612=0),"",$L$615-1),IF($R$17="Distrato",$E660,0)),MIN(AD$38,$D$19),$P$20))-SUM($P660:AC660)</f>
        <v>0</v>
      </c>
      <c r="AE660" s="446">
        <f>IF(OR($B660="",MIN(AE$38,$D$19)&lt;MAX($P$612*($B660+IF($R$17="Distrato",$I$38-1,0)),IF(AND($L$615=0,$P$612=0),"",$L$615-1),IF($R$17="Distrato",$E660,0))),0,YEARFRAC(MAX($P$612*($B660+IF($R$17="Distrato",$I$38-1,0)),IF(AND($L$615=0,$P$612=0),"",$L$615-1),IF($R$17="Distrato",$E660,0)),MIN(AE$38,$D$19),$P$20))-SUM($P660:AD660)</f>
        <v>0</v>
      </c>
      <c r="AF660" s="446">
        <f>IF(OR($B660="",MIN(AF$38,$D$19)&lt;MAX($P$612*($B660+IF($R$17="Distrato",$I$38-1,0)),IF(AND($L$615=0,$P$612=0),"",$L$615-1),IF($R$17="Distrato",$E660,0))),0,YEARFRAC(MAX($P$612*($B660+IF($R$17="Distrato",$I$38-1,0)),IF(AND($L$615=0,$P$612=0),"",$L$615-1),IF($R$17="Distrato",$E660,0)),MIN(AF$38,$D$19),$P$20))-SUM($P660:AE660)</f>
        <v>0</v>
      </c>
      <c r="AG660" s="446">
        <f>IF(OR($B660="",MIN(AG$38,$D$19)&lt;MAX($P$612*($B660+IF($R$17="Distrato",$I$38-1,0)),IF(AND($L$615=0,$P$612=0),"",$L$615-1),IF($R$17="Distrato",$E660,0))),0,YEARFRAC(MAX($P$612*($B660+IF($R$17="Distrato",$I$38-1,0)),IF(AND($L$615=0,$P$612=0),"",$L$615-1),IF($R$17="Distrato",$E660,0)),MIN(AG$38,$D$19),$P$20))-SUM($P660:AF660)</f>
        <v>0</v>
      </c>
      <c r="AH660" s="446">
        <f>IF(OR($B660="",MIN(AH$38,$D$19)&lt;MAX($P$612*($B660+IF($R$17="Distrato",$I$38-1,0)),IF(AND($L$615=0,$P$612=0),"",$L$615-1),IF($R$17="Distrato",$E660,0))),0,YEARFRAC(MAX($P$612*($B660+IF($R$17="Distrato",$I$38-1,0)),IF(AND($L$615=0,$P$612=0),"",$L$615-1),IF($R$17="Distrato",$E660,0)),MIN(AH$38,$D$19),$P$20))-SUM($P660:AG660)</f>
        <v>0</v>
      </c>
      <c r="AI660" s="446">
        <f>IF(OR($B660="",MIN(AI$38,$D$19)&lt;MAX($P$612*($B660+IF($R$17="Distrato",$I$38-1,0)),IF(AND($L$615=0,$P$612=0),"",$L$615-1),IF($R$17="Distrato",$E660,0))),0,YEARFRAC(MAX($P$612*($B660+IF($R$17="Distrato",$I$38-1,0)),IF(AND($L$615=0,$P$612=0),"",$L$615-1),IF($R$17="Distrato",$E660,0)),MIN(AI$38,$D$19),$P$20))-SUM($P660:AH660)</f>
        <v>0</v>
      </c>
      <c r="AJ660" s="446">
        <f>IF(OR($B660="",MIN(AJ$38,$D$19)&lt;MAX($P$612*($B660+IF($R$17="Distrato",$I$38-1,0)),IF(AND($L$615=0,$P$612=0),"",$L$615-1),IF($R$17="Distrato",$E660,0))),0,YEARFRAC(MAX($P$612*($B660+IF($R$17="Distrato",$I$38-1,0)),IF(AND($L$615=0,$P$612=0),"",$L$615-1),IF($R$17="Distrato",$E660,0)),MIN(AJ$38,$D$19),$P$20))-SUM($P660:AI660)</f>
        <v>0</v>
      </c>
      <c r="AK660" s="446">
        <f>IF(OR($B660="",MIN(AK$38,$D$19)&lt;MAX($P$612*($B660+IF($R$17="Distrato",$I$38-1,0)),IF(AND($L$615=0,$P$612=0),"",$L$615-1),IF($R$17="Distrato",$E660,0))),0,YEARFRAC(MAX($P$612*($B660+IF($R$17="Distrato",$I$38-1,0)),IF(AND($L$615=0,$P$612=0),"",$L$615-1),IF($R$17="Distrato",$E660,0)),MIN(AK$38,$D$19),$P$20))-SUM($P660:AJ660)</f>
        <v>0</v>
      </c>
      <c r="AL660" s="446">
        <f>IF(OR($B660="",MIN(AL$38,$D$19)&lt;MAX($P$612*($B660+IF($R$17="Distrato",$I$38-1,0)),IF(AND($L$615=0,$P$612=0),"",$L$615-1),IF($R$17="Distrato",$E660,0))),0,YEARFRAC(MAX($P$612*($B660+IF($R$17="Distrato",$I$38-1,0)),IF(AND($L$615=0,$P$612=0),"",$L$615-1),IF($R$17="Distrato",$E660,0)),MIN(AL$38,$D$19),$P$20))-SUM($P660:AK660)</f>
        <v>0</v>
      </c>
      <c r="AM660" s="446">
        <f>IF(OR($B660="",MIN(AM$38,$D$19)&lt;MAX($P$612*($B660+IF($R$17="Distrato",$I$38-1,0)),IF(AND($L$615=0,$P$612=0),"",$L$615-1),IF($R$17="Distrato",$E660,0))),0,YEARFRAC(MAX($P$612*($B660+IF($R$17="Distrato",$I$38-1,0)),IF(AND($L$615=0,$P$612=0),"",$L$615-1),IF($R$17="Distrato",$E660,0)),MIN(AM$38,$D$19),$P$20))-SUM($P660:AL660)</f>
        <v>0</v>
      </c>
      <c r="AN660" s="446">
        <f>IF(OR($B660="",MIN(AN$38,$D$19)&lt;MAX($P$612*($B660+IF($R$17="Distrato",$I$38-1,0)),IF(AND($L$615=0,$P$612=0),"",$L$615-1),IF($R$17="Distrato",$E660,0))),0,YEARFRAC(MAX($P$612*($B660+IF($R$17="Distrato",$I$38-1,0)),IF(AND($L$615=0,$P$612=0),"",$L$615-1),IF($R$17="Distrato",$E660,0)),MIN(AN$38,$D$19),$P$20))-SUM($P660:AM660)</f>
        <v>0</v>
      </c>
      <c r="AO660" s="446">
        <f>IF(OR($B660="",MIN(AO$38,$D$19)&lt;MAX($P$612*($B660+IF($R$17="Distrato",$I$38-1,0)),IF(AND($L$615=0,$P$612=0),"",$L$615-1),IF($R$17="Distrato",$E660,0))),0,YEARFRAC(MAX($P$612*($B660+IF($R$17="Distrato",$I$38-1,0)),IF(AND($L$615=0,$P$612=0),"",$L$615-1),IF($R$17="Distrato",$E660,0)),MIN(AO$38,$D$19),$P$20))-SUM($P660:AN660)</f>
        <v>0</v>
      </c>
      <c r="AP660" s="446">
        <f>IF(OR($B660="",MIN(AP$38,$D$19)&lt;MAX($P$612*($B660+IF($R$17="Distrato",$I$38-1,0)),IF(AND($L$615=0,$P$612=0),"",$L$615-1),IF($R$17="Distrato",$E660,0))),0,YEARFRAC(MAX($P$612*($B660+IF($R$17="Distrato",$I$38-1,0)),IF(AND($L$615=0,$P$612=0),"",$L$615-1),IF($R$17="Distrato",$E660,0)),MIN(AP$38,$D$19),$P$20))-SUM($P660:AO660)</f>
        <v>0</v>
      </c>
      <c r="AQ660" s="446">
        <f>IF(OR($B660="",MIN(AQ$38,$D$19)&lt;MAX($P$612*($B660+IF($R$17="Distrato",$I$38-1,0)),IF(AND($L$615=0,$P$612=0),"",$L$615-1),IF($R$17="Distrato",$E660,0))),0,YEARFRAC(MAX($P$612*($B660+IF($R$17="Distrato",$I$38-1,0)),IF(AND($L$615=0,$P$612=0),"",$L$615-1),IF($R$17="Distrato",$E660,0)),MIN(AQ$38,$D$19),$P$20))-SUM($P660:AP660)</f>
        <v>0</v>
      </c>
      <c r="AR660" s="446">
        <f>IF(OR($B660="",MIN(AR$38,$D$19)&lt;MAX($P$612*($B660+IF($R$17="Distrato",$I$38-1,0)),IF(AND($L$615=0,$P$612=0),"",$L$615-1),IF($R$17="Distrato",$E660,0))),0,YEARFRAC(MAX($P$612*($B660+IF($R$17="Distrato",$I$38-1,0)),IF(AND($L$615=0,$P$612=0),"",$L$615-1),IF($R$17="Distrato",$E660,0)),MIN(AR$38,$D$19),$P$20))-SUM($P660:AQ660)</f>
        <v>0</v>
      </c>
      <c r="AS660" s="446">
        <f>IF(OR($B660="",MIN(AS$38,$D$19)&lt;MAX($P$612*($B660+IF($R$17="Distrato",$I$38-1,0)),IF(AND($L$615=0,$P$612=0),"",$L$615-1),IF($R$17="Distrato",$E660,0))),0,YEARFRAC(MAX($P$612*($B660+IF($R$17="Distrato",$I$38-1,0)),IF(AND($L$615=0,$P$612=0),"",$L$615-1),IF($R$17="Distrato",$E660,0)),MIN(AS$38,$D$19),$P$20))-SUM($P660:AR660)</f>
        <v>0</v>
      </c>
      <c r="AT660" s="446">
        <f>IF(OR($B660="",MIN(AT$38,$D$19)&lt;MAX($P$612*($B660+IF($R$17="Distrato",$I$38-1,0)),IF(AND($L$615=0,$P$612=0),"",$L$615-1),IF($R$17="Distrato",$E660,0))),0,YEARFRAC(MAX($P$612*($B660+IF($R$17="Distrato",$I$38-1,0)),IF(AND($L$615=0,$P$612=0),"",$L$615-1),IF($R$17="Distrato",$E660,0)),MIN(AT$38,$D$19),$P$20))-SUM($P660:AS660)</f>
        <v>0</v>
      </c>
      <c r="AU660" s="446">
        <f>IF(OR($B660="",MIN(AU$38,$D$19)&lt;MAX($P$612*($B660+IF($R$17="Distrato",$I$38-1,0)),IF(AND($L$615=0,$P$612=0),"",$L$615-1),IF($R$17="Distrato",$E660,0))),0,YEARFRAC(MAX($P$612*($B660+IF($R$17="Distrato",$I$38-1,0)),IF(AND($L$615=0,$P$612=0),"",$L$615-1),IF($R$17="Distrato",$E660,0)),MIN(AU$38,$D$19),$P$20))-SUM($P660:AT660)</f>
        <v>0</v>
      </c>
      <c r="AV660" s="446">
        <f>IF(OR($B660="",MIN(AV$38,$D$19)&lt;MAX($P$612*($B660+IF($R$17="Distrato",$I$38-1,0)),IF(AND($L$615=0,$P$612=0),"",$L$615-1),IF($R$17="Distrato",$E660,0))),0,YEARFRAC(MAX($P$612*($B660+IF($R$17="Distrato",$I$38-1,0)),IF(AND($L$615=0,$P$612=0),"",$L$615-1),IF($R$17="Distrato",$E660,0)),MIN(AV$38,$D$19),$P$20))-SUM($P660:AU660)</f>
        <v>0</v>
      </c>
      <c r="AW660" s="446">
        <f>IF(OR($B660="",MIN(AW$38,$D$19)&lt;MAX($P$612*($B660+IF($R$17="Distrato",$I$38-1,0)),IF(AND($L$615=0,$P$612=0),"",$L$615-1),IF($R$17="Distrato",$E660,0))),0,YEARFRAC(MAX($P$612*($B660+IF($R$17="Distrato",$I$38-1,0)),IF(AND($L$615=0,$P$612=0),"",$L$615-1),IF($R$17="Distrato",$E660,0)),MIN(AW$38,$D$19),$P$20))-SUM($P660:AV660)</f>
        <v>0</v>
      </c>
      <c r="AX660" s="446">
        <f>IF(OR($B660="",MIN(AX$38,$D$19)&lt;MAX($P$612*($B660+IF($R$17="Distrato",$I$38-1,0)),IF(AND($L$615=0,$P$612=0),"",$L$615-1),IF($R$17="Distrato",$E660,0))),0,YEARFRAC(MAX($P$612*($B660+IF($R$17="Distrato",$I$38-1,0)),IF(AND($L$615=0,$P$612=0),"",$L$615-1),IF($R$17="Distrato",$E660,0)),MIN(AX$38,$D$19),$P$20))-SUM($P660:AW660)</f>
        <v>0</v>
      </c>
      <c r="AY660" s="446">
        <f>IF(OR($B660="",MIN(AY$38,$D$19)&lt;MAX($P$612*($B660+IF($R$17="Distrato",$I$38-1,0)),IF(AND($L$615=0,$P$612=0),"",$L$615-1),IF($R$17="Distrato",$E660,0))),0,YEARFRAC(MAX($P$612*($B660+IF($R$17="Distrato",$I$38-1,0)),IF(AND($L$615=0,$P$612=0),"",$L$615-1),IF($R$17="Distrato",$E660,0)),MIN(AY$38,$D$19),$P$20))-SUM($P660:AX660)</f>
        <v>0</v>
      </c>
      <c r="AZ660" s="446">
        <f>IF(OR($B660="",MIN(AZ$38,$D$19)&lt;MAX($P$612*($B660+IF($R$17="Distrato",$I$38-1,0)),IF(AND($L$615=0,$P$612=0),"",$L$615-1),IF($R$17="Distrato",$E660,0))),0,YEARFRAC(MAX($P$612*($B660+IF($R$17="Distrato",$I$38-1,0)),IF(AND($L$615=0,$P$612=0),"",$L$615-1),IF($R$17="Distrato",$E660,0)),MIN(AZ$38,$D$19),$P$20))-SUM($P660:AY660)</f>
        <v>0</v>
      </c>
      <c r="BA660" s="446">
        <f>IF(OR($B660="",MIN(BA$38,$D$19)&lt;MAX($P$612*($B660+IF($R$17="Distrato",$I$38-1,0)),IF(AND($L$615=0,$P$612=0),"",$L$615-1),IF($R$17="Distrato",$E660,0))),0,YEARFRAC(MAX($P$612*($B660+IF($R$17="Distrato",$I$38-1,0)),IF(AND($L$615=0,$P$612=0),"",$L$615-1),IF($R$17="Distrato",$E660,0)),MIN(BA$38,$D$19),$P$20))-SUM($P660:AZ660)</f>
        <v>0</v>
      </c>
      <c r="BB660" s="447"/>
    </row>
    <row r="661" spans="1:54" s="446" customFormat="1" ht="11.25" hidden="1" x14ac:dyDescent="0.2">
      <c r="A661" s="177"/>
      <c r="B661" s="178"/>
      <c r="C661" s="29" t="str">
        <f>IF(B661="","",IF($L$613="SELIC - TRIBUTOS",VLOOKUP(DATE(YEAR($D$19),MONTH($D$19)-1,1),ÍNDICES!$A:$DE,HLOOKUP($BL$25,ÍNDICES!$B$3:$T$4,2)+11)-VLOOKUP(B661,ÍNDICES!$A:$DE,HLOOKUP($BL$25,ÍNDICES!$B$3:$T$4,2)+11)+1%,IF(C$616=$W$26,$J$613,IF(ISERROR(IF(B661&gt;$D$19,1,VLOOKUP(DATE(YEAR(B661),MONTH(B661)+IF($C$613=$S$23,1,0),1),ÍNDICES!$A:$DE,$Z$613+1))),"",IF(B661&gt;$D$19,1,VLOOKUP(DATE(YEAR(B661),MONTH(B661)+IF($C$613=$S$23,1,0),1),ÍNDICES!$A:$DE,$Z$613+1))))))</f>
        <v/>
      </c>
      <c r="D661" s="155"/>
      <c r="E661" s="179"/>
      <c r="F661" s="29"/>
      <c r="G661" s="180"/>
      <c r="H661" s="181"/>
      <c r="I661" s="182" t="str">
        <f t="shared" si="107"/>
        <v/>
      </c>
      <c r="J661" s="5" t="str">
        <f t="shared" si="108"/>
        <v/>
      </c>
      <c r="K661" s="5">
        <f t="shared" ca="1" si="109"/>
        <v>0</v>
      </c>
      <c r="L661" s="5">
        <f t="shared" ca="1" si="112"/>
        <v>0</v>
      </c>
      <c r="M661" s="64">
        <f t="shared" si="110"/>
        <v>0</v>
      </c>
      <c r="N661" s="61">
        <f t="shared" ca="1" si="113"/>
        <v>0</v>
      </c>
      <c r="O661" s="20">
        <f t="shared" ca="1" si="106"/>
        <v>0</v>
      </c>
      <c r="P661" s="446">
        <f t="shared" si="114"/>
        <v>0</v>
      </c>
      <c r="Q661" s="446">
        <f>IF(OR($B661="",MIN(Q$38,$D$19)&lt;MAX($P$612*($B661+IF($R$17="Distrato",$I$38-1,0)),IF(AND($L$615=0,$P$612=0),"",$L$615-1),IF($R$17="Distrato",$E661,0))),0,YEARFRAC(MAX($P$612*($B661+IF($R$17="Distrato",$I$38-1,0)),IF(AND($L$615=0,$P$612=0),"",$L$615-1),IF($R$17="Distrato",$E661,0)),MIN(Q$38,$D$19),$P$20))-SUM($P661:P661)</f>
        <v>0</v>
      </c>
      <c r="R661" s="446">
        <f>IF(OR($B661="",MIN(R$38,$D$19)&lt;MAX($P$612*($B661+IF($R$17="Distrato",$I$38-1,0)),IF(AND($L$615=0,$P$612=0),"",$L$615-1),IF($R$17="Distrato",$E661,0))),0,YEARFRAC(MAX($P$612*($B661+IF($R$17="Distrato",$I$38-1,0)),IF(AND($L$615=0,$P$612=0),"",$L$615-1),IF($R$17="Distrato",$E661,0)),MIN(R$38,$D$19),$P$20))-SUM($P661:Q661)</f>
        <v>0</v>
      </c>
      <c r="S661" s="446">
        <f>IF(OR($B661="",MIN(S$38,$D$19)&lt;MAX($P$612*($B661+IF($R$17="Distrato",$I$38-1,0)),IF(AND($L$615=0,$P$612=0),"",$L$615-1),IF($R$17="Distrato",$E661,0))),0,YEARFRAC(MAX($P$612*($B661+IF($R$17="Distrato",$I$38-1,0)),IF(AND($L$615=0,$P$612=0),"",$L$615-1),IF($R$17="Distrato",$E661,0)),MIN(S$38,$D$19),$P$20))-SUM($P661:R661)</f>
        <v>0</v>
      </c>
      <c r="T661" s="446">
        <f>IF(OR($B661="",MIN(T$38,$D$19)&lt;MAX($P$612*($B661+IF($R$17="Distrato",$I$38-1,0)),IF(AND($L$615=0,$P$612=0),"",$L$615-1),IF($R$17="Distrato",$E661,0))),0,YEARFRAC(MAX($P$612*($B661+IF($R$17="Distrato",$I$38-1,0)),IF(AND($L$615=0,$P$612=0),"",$L$615-1),IF($R$17="Distrato",$E661,0)),MIN(T$38,$D$19),$P$20))-SUM($P661:S661)</f>
        <v>0</v>
      </c>
      <c r="U661" s="446">
        <f>IF(OR($B661="",MIN(U$38,$D$19)&lt;MAX($P$612*($B661+IF($R$17="Distrato",$I$38-1,0)),IF(AND($L$615=0,$P$612=0),"",$L$615-1),IF($R$17="Distrato",$E661,0))),0,YEARFRAC(MAX($P$612*($B661+IF($R$17="Distrato",$I$38-1,0)),IF(AND($L$615=0,$P$612=0),"",$L$615-1),IF($R$17="Distrato",$E661,0)),MIN(U$38,$D$19),$P$20))-SUM($P661:T661)</f>
        <v>0</v>
      </c>
      <c r="V661" s="446">
        <f>IF(OR($B661="",MIN(V$38,$D$19)&lt;MAX($P$612*($B661+IF($R$17="Distrato",$I$38-1,0)),IF(AND($L$615=0,$P$612=0),"",$L$615-1),IF($R$17="Distrato",$E661,0))),0,YEARFRAC(MAX($P$612*($B661+IF($R$17="Distrato",$I$38-1,0)),IF(AND($L$615=0,$P$612=0),"",$L$615-1),IF($R$17="Distrato",$E661,0)),MIN(V$38,$D$19),$P$20))-SUM($P661:U661)</f>
        <v>0</v>
      </c>
      <c r="W661" s="446">
        <f>IF(OR($B661="",MIN(W$38,$D$19)&lt;MAX($P$612*($B661+IF($R$17="Distrato",$I$38-1,0)),IF(AND($L$615=0,$P$612=0),"",$L$615-1),IF($R$17="Distrato",$E661,0))),0,YEARFRAC(MAX($P$612*($B661+IF($R$17="Distrato",$I$38-1,0)),IF(AND($L$615=0,$P$612=0),"",$L$615-1),IF($R$17="Distrato",$E661,0)),MIN(W$38,$D$19),$P$20))-SUM($P661:V661)</f>
        <v>0</v>
      </c>
      <c r="X661" s="446">
        <f>IF(OR($B661="",MIN(X$38,$D$19)&lt;MAX($P$612*($B661+IF($R$17="Distrato",$I$38-1,0)),IF(AND($L$615=0,$P$612=0),"",$L$615-1),IF($R$17="Distrato",$E661,0))),0,YEARFRAC(MAX($P$612*($B661+IF($R$17="Distrato",$I$38-1,0)),IF(AND($L$615=0,$P$612=0),"",$L$615-1),IF($R$17="Distrato",$E661,0)),MIN(X$38,$D$19),$P$20))-SUM($P661:W661)</f>
        <v>0</v>
      </c>
      <c r="Y661" s="446">
        <f>IF(OR($B661="",MIN(Y$38,$D$19)&lt;MAX($P$612*($B661+IF($R$17="Distrato",$I$38-1,0)),IF(AND($L$615=0,$P$612=0),"",$L$615-1),IF($R$17="Distrato",$E661,0))),0,YEARFRAC(MAX($P$612*($B661+IF($R$17="Distrato",$I$38-1,0)),IF(AND($L$615=0,$P$612=0),"",$L$615-1),IF($R$17="Distrato",$E661,0)),MIN(Y$38,$D$19),$P$20))-SUM($P661:X661)</f>
        <v>0</v>
      </c>
      <c r="Z661" s="446">
        <f>IF(OR($B661="",MIN(Z$38,$D$19)&lt;MAX($P$612*($B661+IF($R$17="Distrato",$I$38-1,0)),IF(AND($L$615=0,$P$612=0),"",$L$615-1),IF($R$17="Distrato",$E661,0))),0,YEARFRAC(MAX($P$612*($B661+IF($R$17="Distrato",$I$38-1,0)),IF(AND($L$615=0,$P$612=0),"",$L$615-1),IF($R$17="Distrato",$E661,0)),MIN(Z$38,$D$19),$P$20))-SUM($P661:Y661)</f>
        <v>0</v>
      </c>
      <c r="AA661" s="446">
        <f>IF(OR($B661="",MIN(AA$38,$D$19)&lt;MAX($P$612*($B661+IF($R$17="Distrato",$I$38-1,0)),IF(AND($L$615=0,$P$612=0),"",$L$615-1),IF($R$17="Distrato",$E661,0))),0,YEARFRAC(MAX($P$612*($B661+IF($R$17="Distrato",$I$38-1,0)),IF(AND($L$615=0,$P$612=0),"",$L$615-1),IF($R$17="Distrato",$E661,0)),MIN(AA$38,$D$19),$P$20))-SUM($P661:Z661)</f>
        <v>0</v>
      </c>
      <c r="AB661" s="446">
        <f>IF(OR($B661="",MIN(AB$38,$D$19)&lt;MAX($P$612*($B661+IF($R$17="Distrato",$I$38-1,0)),IF(AND($L$615=0,$P$612=0),"",$L$615-1),IF($R$17="Distrato",$E661,0))),0,YEARFRAC(MAX($P$612*($B661+IF($R$17="Distrato",$I$38-1,0)),IF(AND($L$615=0,$P$612=0),"",$L$615-1),IF($R$17="Distrato",$E661,0)),MIN(AB$38,$D$19),$P$20))-SUM($P661:AA661)</f>
        <v>0</v>
      </c>
      <c r="AC661" s="446">
        <f>IF(OR($B661="",MIN(AC$38,$D$19)&lt;MAX($P$612*($B661+IF($R$17="Distrato",$I$38-1,0)),IF(AND($L$615=0,$P$612=0),"",$L$615-1),IF($R$17="Distrato",$E661,0))),0,YEARFRAC(MAX($P$612*($B661+IF($R$17="Distrato",$I$38-1,0)),IF(AND($L$615=0,$P$612=0),"",$L$615-1),IF($R$17="Distrato",$E661,0)),MIN(AC$38,$D$19),$P$20))-SUM($P661:AB661)</f>
        <v>0</v>
      </c>
      <c r="AD661" s="446">
        <f>IF(OR($B661="",MIN(AD$38,$D$19)&lt;MAX($P$612*($B661+IF($R$17="Distrato",$I$38-1,0)),IF(AND($L$615=0,$P$612=0),"",$L$615-1),IF($R$17="Distrato",$E661,0))),0,YEARFRAC(MAX($P$612*($B661+IF($R$17="Distrato",$I$38-1,0)),IF(AND($L$615=0,$P$612=0),"",$L$615-1),IF($R$17="Distrato",$E661,0)),MIN(AD$38,$D$19),$P$20))-SUM($P661:AC661)</f>
        <v>0</v>
      </c>
      <c r="AE661" s="446">
        <f>IF(OR($B661="",MIN(AE$38,$D$19)&lt;MAX($P$612*($B661+IF($R$17="Distrato",$I$38-1,0)),IF(AND($L$615=0,$P$612=0),"",$L$615-1),IF($R$17="Distrato",$E661,0))),0,YEARFRAC(MAX($P$612*($B661+IF($R$17="Distrato",$I$38-1,0)),IF(AND($L$615=0,$P$612=0),"",$L$615-1),IF($R$17="Distrato",$E661,0)),MIN(AE$38,$D$19),$P$20))-SUM($P661:AD661)</f>
        <v>0</v>
      </c>
      <c r="AF661" s="446">
        <f>IF(OR($B661="",MIN(AF$38,$D$19)&lt;MAX($P$612*($B661+IF($R$17="Distrato",$I$38-1,0)),IF(AND($L$615=0,$P$612=0),"",$L$615-1),IF($R$17="Distrato",$E661,0))),0,YEARFRAC(MAX($P$612*($B661+IF($R$17="Distrato",$I$38-1,0)),IF(AND($L$615=0,$P$612=0),"",$L$615-1),IF($R$17="Distrato",$E661,0)),MIN(AF$38,$D$19),$P$20))-SUM($P661:AE661)</f>
        <v>0</v>
      </c>
      <c r="AG661" s="446">
        <f>IF(OR($B661="",MIN(AG$38,$D$19)&lt;MAX($P$612*($B661+IF($R$17="Distrato",$I$38-1,0)),IF(AND($L$615=0,$P$612=0),"",$L$615-1),IF($R$17="Distrato",$E661,0))),0,YEARFRAC(MAX($P$612*($B661+IF($R$17="Distrato",$I$38-1,0)),IF(AND($L$615=0,$P$612=0),"",$L$615-1),IF($R$17="Distrato",$E661,0)),MIN(AG$38,$D$19),$P$20))-SUM($P661:AF661)</f>
        <v>0</v>
      </c>
      <c r="AH661" s="446">
        <f>IF(OR($B661="",MIN(AH$38,$D$19)&lt;MAX($P$612*($B661+IF($R$17="Distrato",$I$38-1,0)),IF(AND($L$615=0,$P$612=0),"",$L$615-1),IF($R$17="Distrato",$E661,0))),0,YEARFRAC(MAX($P$612*($B661+IF($R$17="Distrato",$I$38-1,0)),IF(AND($L$615=0,$P$612=0),"",$L$615-1),IF($R$17="Distrato",$E661,0)),MIN(AH$38,$D$19),$P$20))-SUM($P661:AG661)</f>
        <v>0</v>
      </c>
      <c r="AI661" s="446">
        <f>IF(OR($B661="",MIN(AI$38,$D$19)&lt;MAX($P$612*($B661+IF($R$17="Distrato",$I$38-1,0)),IF(AND($L$615=0,$P$612=0),"",$L$615-1),IF($R$17="Distrato",$E661,0))),0,YEARFRAC(MAX($P$612*($B661+IF($R$17="Distrato",$I$38-1,0)),IF(AND($L$615=0,$P$612=0),"",$L$615-1),IF($R$17="Distrato",$E661,0)),MIN(AI$38,$D$19),$P$20))-SUM($P661:AH661)</f>
        <v>0</v>
      </c>
      <c r="AJ661" s="446">
        <f>IF(OR($B661="",MIN(AJ$38,$D$19)&lt;MAX($P$612*($B661+IF($R$17="Distrato",$I$38-1,0)),IF(AND($L$615=0,$P$612=0),"",$L$615-1),IF($R$17="Distrato",$E661,0))),0,YEARFRAC(MAX($P$612*($B661+IF($R$17="Distrato",$I$38-1,0)),IF(AND($L$615=0,$P$612=0),"",$L$615-1),IF($R$17="Distrato",$E661,0)),MIN(AJ$38,$D$19),$P$20))-SUM($P661:AI661)</f>
        <v>0</v>
      </c>
      <c r="AK661" s="446">
        <f>IF(OR($B661="",MIN(AK$38,$D$19)&lt;MAX($P$612*($B661+IF($R$17="Distrato",$I$38-1,0)),IF(AND($L$615=0,$P$612=0),"",$L$615-1),IF($R$17="Distrato",$E661,0))),0,YEARFRAC(MAX($P$612*($B661+IF($R$17="Distrato",$I$38-1,0)),IF(AND($L$615=0,$P$612=0),"",$L$615-1),IF($R$17="Distrato",$E661,0)),MIN(AK$38,$D$19),$P$20))-SUM($P661:AJ661)</f>
        <v>0</v>
      </c>
      <c r="AL661" s="446">
        <f>IF(OR($B661="",MIN(AL$38,$D$19)&lt;MAX($P$612*($B661+IF($R$17="Distrato",$I$38-1,0)),IF(AND($L$615=0,$P$612=0),"",$L$615-1),IF($R$17="Distrato",$E661,0))),0,YEARFRAC(MAX($P$612*($B661+IF($R$17="Distrato",$I$38-1,0)),IF(AND($L$615=0,$P$612=0),"",$L$615-1),IF($R$17="Distrato",$E661,0)),MIN(AL$38,$D$19),$P$20))-SUM($P661:AK661)</f>
        <v>0</v>
      </c>
      <c r="AM661" s="446">
        <f>IF(OR($B661="",MIN(AM$38,$D$19)&lt;MAX($P$612*($B661+IF($R$17="Distrato",$I$38-1,0)),IF(AND($L$615=0,$P$612=0),"",$L$615-1),IF($R$17="Distrato",$E661,0))),0,YEARFRAC(MAX($P$612*($B661+IF($R$17="Distrato",$I$38-1,0)),IF(AND($L$615=0,$P$612=0),"",$L$615-1),IF($R$17="Distrato",$E661,0)),MIN(AM$38,$D$19),$P$20))-SUM($P661:AL661)</f>
        <v>0</v>
      </c>
      <c r="AN661" s="446">
        <f>IF(OR($B661="",MIN(AN$38,$D$19)&lt;MAX($P$612*($B661+IF($R$17="Distrato",$I$38-1,0)),IF(AND($L$615=0,$P$612=0),"",$L$615-1),IF($R$17="Distrato",$E661,0))),0,YEARFRAC(MAX($P$612*($B661+IF($R$17="Distrato",$I$38-1,0)),IF(AND($L$615=0,$P$612=0),"",$L$615-1),IF($R$17="Distrato",$E661,0)),MIN(AN$38,$D$19),$P$20))-SUM($P661:AM661)</f>
        <v>0</v>
      </c>
      <c r="AO661" s="446">
        <f>IF(OR($B661="",MIN(AO$38,$D$19)&lt;MAX($P$612*($B661+IF($R$17="Distrato",$I$38-1,0)),IF(AND($L$615=0,$P$612=0),"",$L$615-1),IF($R$17="Distrato",$E661,0))),0,YEARFRAC(MAX($P$612*($B661+IF($R$17="Distrato",$I$38-1,0)),IF(AND($L$615=0,$P$612=0),"",$L$615-1),IF($R$17="Distrato",$E661,0)),MIN(AO$38,$D$19),$P$20))-SUM($P661:AN661)</f>
        <v>0</v>
      </c>
      <c r="AP661" s="446">
        <f>IF(OR($B661="",MIN(AP$38,$D$19)&lt;MAX($P$612*($B661+IF($R$17="Distrato",$I$38-1,0)),IF(AND($L$615=0,$P$612=0),"",$L$615-1),IF($R$17="Distrato",$E661,0))),0,YEARFRAC(MAX($P$612*($B661+IF($R$17="Distrato",$I$38-1,0)),IF(AND($L$615=0,$P$612=0),"",$L$615-1),IF($R$17="Distrato",$E661,0)),MIN(AP$38,$D$19),$P$20))-SUM($P661:AO661)</f>
        <v>0</v>
      </c>
      <c r="AQ661" s="446">
        <f>IF(OR($B661="",MIN(AQ$38,$D$19)&lt;MAX($P$612*($B661+IF($R$17="Distrato",$I$38-1,0)),IF(AND($L$615=0,$P$612=0),"",$L$615-1),IF($R$17="Distrato",$E661,0))),0,YEARFRAC(MAX($P$612*($B661+IF($R$17="Distrato",$I$38-1,0)),IF(AND($L$615=0,$P$612=0),"",$L$615-1),IF($R$17="Distrato",$E661,0)),MIN(AQ$38,$D$19),$P$20))-SUM($P661:AP661)</f>
        <v>0</v>
      </c>
      <c r="AR661" s="446">
        <f>IF(OR($B661="",MIN(AR$38,$D$19)&lt;MAX($P$612*($B661+IF($R$17="Distrato",$I$38-1,0)),IF(AND($L$615=0,$P$612=0),"",$L$615-1),IF($R$17="Distrato",$E661,0))),0,YEARFRAC(MAX($P$612*($B661+IF($R$17="Distrato",$I$38-1,0)),IF(AND($L$615=0,$P$612=0),"",$L$615-1),IF($R$17="Distrato",$E661,0)),MIN(AR$38,$D$19),$P$20))-SUM($P661:AQ661)</f>
        <v>0</v>
      </c>
      <c r="AS661" s="446">
        <f>IF(OR($B661="",MIN(AS$38,$D$19)&lt;MAX($P$612*($B661+IF($R$17="Distrato",$I$38-1,0)),IF(AND($L$615=0,$P$612=0),"",$L$615-1),IF($R$17="Distrato",$E661,0))),0,YEARFRAC(MAX($P$612*($B661+IF($R$17="Distrato",$I$38-1,0)),IF(AND($L$615=0,$P$612=0),"",$L$615-1),IF($R$17="Distrato",$E661,0)),MIN(AS$38,$D$19),$P$20))-SUM($P661:AR661)</f>
        <v>0</v>
      </c>
      <c r="AT661" s="446">
        <f>IF(OR($B661="",MIN(AT$38,$D$19)&lt;MAX($P$612*($B661+IF($R$17="Distrato",$I$38-1,0)),IF(AND($L$615=0,$P$612=0),"",$L$615-1),IF($R$17="Distrato",$E661,0))),0,YEARFRAC(MAX($P$612*($B661+IF($R$17="Distrato",$I$38-1,0)),IF(AND($L$615=0,$P$612=0),"",$L$615-1),IF($R$17="Distrato",$E661,0)),MIN(AT$38,$D$19),$P$20))-SUM($P661:AS661)</f>
        <v>0</v>
      </c>
      <c r="AU661" s="446">
        <f>IF(OR($B661="",MIN(AU$38,$D$19)&lt;MAX($P$612*($B661+IF($R$17="Distrato",$I$38-1,0)),IF(AND($L$615=0,$P$612=0),"",$L$615-1),IF($R$17="Distrato",$E661,0))),0,YEARFRAC(MAX($P$612*($B661+IF($R$17="Distrato",$I$38-1,0)),IF(AND($L$615=0,$P$612=0),"",$L$615-1),IF($R$17="Distrato",$E661,0)),MIN(AU$38,$D$19),$P$20))-SUM($P661:AT661)</f>
        <v>0</v>
      </c>
      <c r="AV661" s="446">
        <f>IF(OR($B661="",MIN(AV$38,$D$19)&lt;MAX($P$612*($B661+IF($R$17="Distrato",$I$38-1,0)),IF(AND($L$615=0,$P$612=0),"",$L$615-1),IF($R$17="Distrato",$E661,0))),0,YEARFRAC(MAX($P$612*($B661+IF($R$17="Distrato",$I$38-1,0)),IF(AND($L$615=0,$P$612=0),"",$L$615-1),IF($R$17="Distrato",$E661,0)),MIN(AV$38,$D$19),$P$20))-SUM($P661:AU661)</f>
        <v>0</v>
      </c>
      <c r="AW661" s="446">
        <f>IF(OR($B661="",MIN(AW$38,$D$19)&lt;MAX($P$612*($B661+IF($R$17="Distrato",$I$38-1,0)),IF(AND($L$615=0,$P$612=0),"",$L$615-1),IF($R$17="Distrato",$E661,0))),0,YEARFRAC(MAX($P$612*($B661+IF($R$17="Distrato",$I$38-1,0)),IF(AND($L$615=0,$P$612=0),"",$L$615-1),IF($R$17="Distrato",$E661,0)),MIN(AW$38,$D$19),$P$20))-SUM($P661:AV661)</f>
        <v>0</v>
      </c>
      <c r="AX661" s="446">
        <f>IF(OR($B661="",MIN(AX$38,$D$19)&lt;MAX($P$612*($B661+IF($R$17="Distrato",$I$38-1,0)),IF(AND($L$615=0,$P$612=0),"",$L$615-1),IF($R$17="Distrato",$E661,0))),0,YEARFRAC(MAX($P$612*($B661+IF($R$17="Distrato",$I$38-1,0)),IF(AND($L$615=0,$P$612=0),"",$L$615-1),IF($R$17="Distrato",$E661,0)),MIN(AX$38,$D$19),$P$20))-SUM($P661:AW661)</f>
        <v>0</v>
      </c>
      <c r="AY661" s="446">
        <f>IF(OR($B661="",MIN(AY$38,$D$19)&lt;MAX($P$612*($B661+IF($R$17="Distrato",$I$38-1,0)),IF(AND($L$615=0,$P$612=0),"",$L$615-1),IF($R$17="Distrato",$E661,0))),0,YEARFRAC(MAX($P$612*($B661+IF($R$17="Distrato",$I$38-1,0)),IF(AND($L$615=0,$P$612=0),"",$L$615-1),IF($R$17="Distrato",$E661,0)),MIN(AY$38,$D$19),$P$20))-SUM($P661:AX661)</f>
        <v>0</v>
      </c>
      <c r="AZ661" s="446">
        <f>IF(OR($B661="",MIN(AZ$38,$D$19)&lt;MAX($P$612*($B661+IF($R$17="Distrato",$I$38-1,0)),IF(AND($L$615=0,$P$612=0),"",$L$615-1),IF($R$17="Distrato",$E661,0))),0,YEARFRAC(MAX($P$612*($B661+IF($R$17="Distrato",$I$38-1,0)),IF(AND($L$615=0,$P$612=0),"",$L$615-1),IF($R$17="Distrato",$E661,0)),MIN(AZ$38,$D$19),$P$20))-SUM($P661:AY661)</f>
        <v>0</v>
      </c>
      <c r="BA661" s="446">
        <f>IF(OR($B661="",MIN(BA$38,$D$19)&lt;MAX($P$612*($B661+IF($R$17="Distrato",$I$38-1,0)),IF(AND($L$615=0,$P$612=0),"",$L$615-1),IF($R$17="Distrato",$E661,0))),0,YEARFRAC(MAX($P$612*($B661+IF($R$17="Distrato",$I$38-1,0)),IF(AND($L$615=0,$P$612=0),"",$L$615-1),IF($R$17="Distrato",$E661,0)),MIN(BA$38,$D$19),$P$20))-SUM($P661:AZ661)</f>
        <v>0</v>
      </c>
      <c r="BB661" s="447"/>
    </row>
    <row r="662" spans="1:54" s="446" customFormat="1" ht="11.25" hidden="1" x14ac:dyDescent="0.2">
      <c r="A662" s="177"/>
      <c r="B662" s="178"/>
      <c r="C662" s="29" t="str">
        <f>IF(B662="","",IF($L$613="SELIC - TRIBUTOS",VLOOKUP(DATE(YEAR($D$19),MONTH($D$19)-1,1),ÍNDICES!$A:$DE,HLOOKUP($BL$25,ÍNDICES!$B$3:$T$4,2)+11)-VLOOKUP(B662,ÍNDICES!$A:$DE,HLOOKUP($BL$25,ÍNDICES!$B$3:$T$4,2)+11)+1%,IF(C$616=$W$26,$J$613,IF(ISERROR(IF(B662&gt;$D$19,1,VLOOKUP(DATE(YEAR(B662),MONTH(B662)+IF($C$613=$S$23,1,0),1),ÍNDICES!$A:$DE,$Z$613+1))),"",IF(B662&gt;$D$19,1,VLOOKUP(DATE(YEAR(B662),MONTH(B662)+IF($C$613=$S$23,1,0),1),ÍNDICES!$A:$DE,$Z$613+1))))))</f>
        <v/>
      </c>
      <c r="D662" s="155"/>
      <c r="E662" s="179"/>
      <c r="F662" s="29"/>
      <c r="G662" s="180"/>
      <c r="H662" s="181"/>
      <c r="I662" s="182" t="str">
        <f t="shared" si="107"/>
        <v/>
      </c>
      <c r="J662" s="5" t="str">
        <f t="shared" si="108"/>
        <v/>
      </c>
      <c r="K662" s="5">
        <f t="shared" ca="1" si="109"/>
        <v>0</v>
      </c>
      <c r="L662" s="5">
        <f t="shared" ca="1" si="112"/>
        <v>0</v>
      </c>
      <c r="M662" s="64">
        <f t="shared" si="110"/>
        <v>0</v>
      </c>
      <c r="N662" s="61">
        <f t="shared" ca="1" si="113"/>
        <v>0</v>
      </c>
      <c r="O662" s="20">
        <f t="shared" ca="1" si="106"/>
        <v>0</v>
      </c>
      <c r="P662" s="446">
        <f t="shared" si="114"/>
        <v>0</v>
      </c>
      <c r="Q662" s="446">
        <f>IF(OR($B662="",MIN(Q$38,$D$19)&lt;MAX($P$612*($B662+IF($R$17="Distrato",$I$38-1,0)),IF(AND($L$615=0,$P$612=0),"",$L$615-1),IF($R$17="Distrato",$E662,0))),0,YEARFRAC(MAX($P$612*($B662+IF($R$17="Distrato",$I$38-1,0)),IF(AND($L$615=0,$P$612=0),"",$L$615-1),IF($R$17="Distrato",$E662,0)),MIN(Q$38,$D$19),$P$20))-SUM($P662:P662)</f>
        <v>0</v>
      </c>
      <c r="R662" s="446">
        <f>IF(OR($B662="",MIN(R$38,$D$19)&lt;MAX($P$612*($B662+IF($R$17="Distrato",$I$38-1,0)),IF(AND($L$615=0,$P$612=0),"",$L$615-1),IF($R$17="Distrato",$E662,0))),0,YEARFRAC(MAX($P$612*($B662+IF($R$17="Distrato",$I$38-1,0)),IF(AND($L$615=0,$P$612=0),"",$L$615-1),IF($R$17="Distrato",$E662,0)),MIN(R$38,$D$19),$P$20))-SUM($P662:Q662)</f>
        <v>0</v>
      </c>
      <c r="S662" s="446">
        <f>IF(OR($B662="",MIN(S$38,$D$19)&lt;MAX($P$612*($B662+IF($R$17="Distrato",$I$38-1,0)),IF(AND($L$615=0,$P$612=0),"",$L$615-1),IF($R$17="Distrato",$E662,0))),0,YEARFRAC(MAX($P$612*($B662+IF($R$17="Distrato",$I$38-1,0)),IF(AND($L$615=0,$P$612=0),"",$L$615-1),IF($R$17="Distrato",$E662,0)),MIN(S$38,$D$19),$P$20))-SUM($P662:R662)</f>
        <v>0</v>
      </c>
      <c r="T662" s="446">
        <f>IF(OR($B662="",MIN(T$38,$D$19)&lt;MAX($P$612*($B662+IF($R$17="Distrato",$I$38-1,0)),IF(AND($L$615=0,$P$612=0),"",$L$615-1),IF($R$17="Distrato",$E662,0))),0,YEARFRAC(MAX($P$612*($B662+IF($R$17="Distrato",$I$38-1,0)),IF(AND($L$615=0,$P$612=0),"",$L$615-1),IF($R$17="Distrato",$E662,0)),MIN(T$38,$D$19),$P$20))-SUM($P662:S662)</f>
        <v>0</v>
      </c>
      <c r="U662" s="446">
        <f>IF(OR($B662="",MIN(U$38,$D$19)&lt;MAX($P$612*($B662+IF($R$17="Distrato",$I$38-1,0)),IF(AND($L$615=0,$P$612=0),"",$L$615-1),IF($R$17="Distrato",$E662,0))),0,YEARFRAC(MAX($P$612*($B662+IF($R$17="Distrato",$I$38-1,0)),IF(AND($L$615=0,$P$612=0),"",$L$615-1),IF($R$17="Distrato",$E662,0)),MIN(U$38,$D$19),$P$20))-SUM($P662:T662)</f>
        <v>0</v>
      </c>
      <c r="V662" s="446">
        <f>IF(OR($B662="",MIN(V$38,$D$19)&lt;MAX($P$612*($B662+IF($R$17="Distrato",$I$38-1,0)),IF(AND($L$615=0,$P$612=0),"",$L$615-1),IF($R$17="Distrato",$E662,0))),0,YEARFRAC(MAX($P$612*($B662+IF($R$17="Distrato",$I$38-1,0)),IF(AND($L$615=0,$P$612=0),"",$L$615-1),IF($R$17="Distrato",$E662,0)),MIN(V$38,$D$19),$P$20))-SUM($P662:U662)</f>
        <v>0</v>
      </c>
      <c r="W662" s="446">
        <f>IF(OR($B662="",MIN(W$38,$D$19)&lt;MAX($P$612*($B662+IF($R$17="Distrato",$I$38-1,0)),IF(AND($L$615=0,$P$612=0),"",$L$615-1),IF($R$17="Distrato",$E662,0))),0,YEARFRAC(MAX($P$612*($B662+IF($R$17="Distrato",$I$38-1,0)),IF(AND($L$615=0,$P$612=0),"",$L$615-1),IF($R$17="Distrato",$E662,0)),MIN(W$38,$D$19),$P$20))-SUM($P662:V662)</f>
        <v>0</v>
      </c>
      <c r="X662" s="446">
        <f>IF(OR($B662="",MIN(X$38,$D$19)&lt;MAX($P$612*($B662+IF($R$17="Distrato",$I$38-1,0)),IF(AND($L$615=0,$P$612=0),"",$L$615-1),IF($R$17="Distrato",$E662,0))),0,YEARFRAC(MAX($P$612*($B662+IF($R$17="Distrato",$I$38-1,0)),IF(AND($L$615=0,$P$612=0),"",$L$615-1),IF($R$17="Distrato",$E662,0)),MIN(X$38,$D$19),$P$20))-SUM($P662:W662)</f>
        <v>0</v>
      </c>
      <c r="Y662" s="446">
        <f>IF(OR($B662="",MIN(Y$38,$D$19)&lt;MAX($P$612*($B662+IF($R$17="Distrato",$I$38-1,0)),IF(AND($L$615=0,$P$612=0),"",$L$615-1),IF($R$17="Distrato",$E662,0))),0,YEARFRAC(MAX($P$612*($B662+IF($R$17="Distrato",$I$38-1,0)),IF(AND($L$615=0,$P$612=0),"",$L$615-1),IF($R$17="Distrato",$E662,0)),MIN(Y$38,$D$19),$P$20))-SUM($P662:X662)</f>
        <v>0</v>
      </c>
      <c r="Z662" s="446">
        <f>IF(OR($B662="",MIN(Z$38,$D$19)&lt;MAX($P$612*($B662+IF($R$17="Distrato",$I$38-1,0)),IF(AND($L$615=0,$P$612=0),"",$L$615-1),IF($R$17="Distrato",$E662,0))),0,YEARFRAC(MAX($P$612*($B662+IF($R$17="Distrato",$I$38-1,0)),IF(AND($L$615=0,$P$612=0),"",$L$615-1),IF($R$17="Distrato",$E662,0)),MIN(Z$38,$D$19),$P$20))-SUM($P662:Y662)</f>
        <v>0</v>
      </c>
      <c r="AA662" s="446">
        <f>IF(OR($B662="",MIN(AA$38,$D$19)&lt;MAX($P$612*($B662+IF($R$17="Distrato",$I$38-1,0)),IF(AND($L$615=0,$P$612=0),"",$L$615-1),IF($R$17="Distrato",$E662,0))),0,YEARFRAC(MAX($P$612*($B662+IF($R$17="Distrato",$I$38-1,0)),IF(AND($L$615=0,$P$612=0),"",$L$615-1),IF($R$17="Distrato",$E662,0)),MIN(AA$38,$D$19),$P$20))-SUM($P662:Z662)</f>
        <v>0</v>
      </c>
      <c r="AB662" s="446">
        <f>IF(OR($B662="",MIN(AB$38,$D$19)&lt;MAX($P$612*($B662+IF($R$17="Distrato",$I$38-1,0)),IF(AND($L$615=0,$P$612=0),"",$L$615-1),IF($R$17="Distrato",$E662,0))),0,YEARFRAC(MAX($P$612*($B662+IF($R$17="Distrato",$I$38-1,0)),IF(AND($L$615=0,$P$612=0),"",$L$615-1),IF($R$17="Distrato",$E662,0)),MIN(AB$38,$D$19),$P$20))-SUM($P662:AA662)</f>
        <v>0</v>
      </c>
      <c r="AC662" s="446">
        <f>IF(OR($B662="",MIN(AC$38,$D$19)&lt;MAX($P$612*($B662+IF($R$17="Distrato",$I$38-1,0)),IF(AND($L$615=0,$P$612=0),"",$L$615-1),IF($R$17="Distrato",$E662,0))),0,YEARFRAC(MAX($P$612*($B662+IF($R$17="Distrato",$I$38-1,0)),IF(AND($L$615=0,$P$612=0),"",$L$615-1),IF($R$17="Distrato",$E662,0)),MIN(AC$38,$D$19),$P$20))-SUM($P662:AB662)</f>
        <v>0</v>
      </c>
      <c r="AD662" s="446">
        <f>IF(OR($B662="",MIN(AD$38,$D$19)&lt;MAX($P$612*($B662+IF($R$17="Distrato",$I$38-1,0)),IF(AND($L$615=0,$P$612=0),"",$L$615-1),IF($R$17="Distrato",$E662,0))),0,YEARFRAC(MAX($P$612*($B662+IF($R$17="Distrato",$I$38-1,0)),IF(AND($L$615=0,$P$612=0),"",$L$615-1),IF($R$17="Distrato",$E662,0)),MIN(AD$38,$D$19),$P$20))-SUM($P662:AC662)</f>
        <v>0</v>
      </c>
      <c r="AE662" s="446">
        <f>IF(OR($B662="",MIN(AE$38,$D$19)&lt;MAX($P$612*($B662+IF($R$17="Distrato",$I$38-1,0)),IF(AND($L$615=0,$P$612=0),"",$L$615-1),IF($R$17="Distrato",$E662,0))),0,YEARFRAC(MAX($P$612*($B662+IF($R$17="Distrato",$I$38-1,0)),IF(AND($L$615=0,$P$612=0),"",$L$615-1),IF($R$17="Distrato",$E662,0)),MIN(AE$38,$D$19),$P$20))-SUM($P662:AD662)</f>
        <v>0</v>
      </c>
      <c r="AF662" s="446">
        <f>IF(OR($B662="",MIN(AF$38,$D$19)&lt;MAX($P$612*($B662+IF($R$17="Distrato",$I$38-1,0)),IF(AND($L$615=0,$P$612=0),"",$L$615-1),IF($R$17="Distrato",$E662,0))),0,YEARFRAC(MAX($P$612*($B662+IF($R$17="Distrato",$I$38-1,0)),IF(AND($L$615=0,$P$612=0),"",$L$615-1),IF($R$17="Distrato",$E662,0)),MIN(AF$38,$D$19),$P$20))-SUM($P662:AE662)</f>
        <v>0</v>
      </c>
      <c r="AG662" s="446">
        <f>IF(OR($B662="",MIN(AG$38,$D$19)&lt;MAX($P$612*($B662+IF($R$17="Distrato",$I$38-1,0)),IF(AND($L$615=0,$P$612=0),"",$L$615-1),IF($R$17="Distrato",$E662,0))),0,YEARFRAC(MAX($P$612*($B662+IF($R$17="Distrato",$I$38-1,0)),IF(AND($L$615=0,$P$612=0),"",$L$615-1),IF($R$17="Distrato",$E662,0)),MIN(AG$38,$D$19),$P$20))-SUM($P662:AF662)</f>
        <v>0</v>
      </c>
      <c r="AH662" s="446">
        <f>IF(OR($B662="",MIN(AH$38,$D$19)&lt;MAX($P$612*($B662+IF($R$17="Distrato",$I$38-1,0)),IF(AND($L$615=0,$P$612=0),"",$L$615-1),IF($R$17="Distrato",$E662,0))),0,YEARFRAC(MAX($P$612*($B662+IF($R$17="Distrato",$I$38-1,0)),IF(AND($L$615=0,$P$612=0),"",$L$615-1),IF($R$17="Distrato",$E662,0)),MIN(AH$38,$D$19),$P$20))-SUM($P662:AG662)</f>
        <v>0</v>
      </c>
      <c r="AI662" s="446">
        <f>IF(OR($B662="",MIN(AI$38,$D$19)&lt;MAX($P$612*($B662+IF($R$17="Distrato",$I$38-1,0)),IF(AND($L$615=0,$P$612=0),"",$L$615-1),IF($R$17="Distrato",$E662,0))),0,YEARFRAC(MAX($P$612*($B662+IF($R$17="Distrato",$I$38-1,0)),IF(AND($L$615=0,$P$612=0),"",$L$615-1),IF($R$17="Distrato",$E662,0)),MIN(AI$38,$D$19),$P$20))-SUM($P662:AH662)</f>
        <v>0</v>
      </c>
      <c r="AJ662" s="446">
        <f>IF(OR($B662="",MIN(AJ$38,$D$19)&lt;MAX($P$612*($B662+IF($R$17="Distrato",$I$38-1,0)),IF(AND($L$615=0,$P$612=0),"",$L$615-1),IF($R$17="Distrato",$E662,0))),0,YEARFRAC(MAX($P$612*($B662+IF($R$17="Distrato",$I$38-1,0)),IF(AND($L$615=0,$P$612=0),"",$L$615-1),IF($R$17="Distrato",$E662,0)),MIN(AJ$38,$D$19),$P$20))-SUM($P662:AI662)</f>
        <v>0</v>
      </c>
      <c r="AK662" s="446">
        <f>IF(OR($B662="",MIN(AK$38,$D$19)&lt;MAX($P$612*($B662+IF($R$17="Distrato",$I$38-1,0)),IF(AND($L$615=0,$P$612=0),"",$L$615-1),IF($R$17="Distrato",$E662,0))),0,YEARFRAC(MAX($P$612*($B662+IF($R$17="Distrato",$I$38-1,0)),IF(AND($L$615=0,$P$612=0),"",$L$615-1),IF($R$17="Distrato",$E662,0)),MIN(AK$38,$D$19),$P$20))-SUM($P662:AJ662)</f>
        <v>0</v>
      </c>
      <c r="AL662" s="446">
        <f>IF(OR($B662="",MIN(AL$38,$D$19)&lt;MAX($P$612*($B662+IF($R$17="Distrato",$I$38-1,0)),IF(AND($L$615=0,$P$612=0),"",$L$615-1),IF($R$17="Distrato",$E662,0))),0,YEARFRAC(MAX($P$612*($B662+IF($R$17="Distrato",$I$38-1,0)),IF(AND($L$615=0,$P$612=0),"",$L$615-1),IF($R$17="Distrato",$E662,0)),MIN(AL$38,$D$19),$P$20))-SUM($P662:AK662)</f>
        <v>0</v>
      </c>
      <c r="AM662" s="446">
        <f>IF(OR($B662="",MIN(AM$38,$D$19)&lt;MAX($P$612*($B662+IF($R$17="Distrato",$I$38-1,0)),IF(AND($L$615=0,$P$612=0),"",$L$615-1),IF($R$17="Distrato",$E662,0))),0,YEARFRAC(MAX($P$612*($B662+IF($R$17="Distrato",$I$38-1,0)),IF(AND($L$615=0,$P$612=0),"",$L$615-1),IF($R$17="Distrato",$E662,0)),MIN(AM$38,$D$19),$P$20))-SUM($P662:AL662)</f>
        <v>0</v>
      </c>
      <c r="AN662" s="446">
        <f>IF(OR($B662="",MIN(AN$38,$D$19)&lt;MAX($P$612*($B662+IF($R$17="Distrato",$I$38-1,0)),IF(AND($L$615=0,$P$612=0),"",$L$615-1),IF($R$17="Distrato",$E662,0))),0,YEARFRAC(MAX($P$612*($B662+IF($R$17="Distrato",$I$38-1,0)),IF(AND($L$615=0,$P$612=0),"",$L$615-1),IF($R$17="Distrato",$E662,0)),MIN(AN$38,$D$19),$P$20))-SUM($P662:AM662)</f>
        <v>0</v>
      </c>
      <c r="AO662" s="446">
        <f>IF(OR($B662="",MIN(AO$38,$D$19)&lt;MAX($P$612*($B662+IF($R$17="Distrato",$I$38-1,0)),IF(AND($L$615=0,$P$612=0),"",$L$615-1),IF($R$17="Distrato",$E662,0))),0,YEARFRAC(MAX($P$612*($B662+IF($R$17="Distrato",$I$38-1,0)),IF(AND($L$615=0,$P$612=0),"",$L$615-1),IF($R$17="Distrato",$E662,0)),MIN(AO$38,$D$19),$P$20))-SUM($P662:AN662)</f>
        <v>0</v>
      </c>
      <c r="AP662" s="446">
        <f>IF(OR($B662="",MIN(AP$38,$D$19)&lt;MAX($P$612*($B662+IF($R$17="Distrato",$I$38-1,0)),IF(AND($L$615=0,$P$612=0),"",$L$615-1),IF($R$17="Distrato",$E662,0))),0,YEARFRAC(MAX($P$612*($B662+IF($R$17="Distrato",$I$38-1,0)),IF(AND($L$615=0,$P$612=0),"",$L$615-1),IF($R$17="Distrato",$E662,0)),MIN(AP$38,$D$19),$P$20))-SUM($P662:AO662)</f>
        <v>0</v>
      </c>
      <c r="AQ662" s="446">
        <f>IF(OR($B662="",MIN(AQ$38,$D$19)&lt;MAX($P$612*($B662+IF($R$17="Distrato",$I$38-1,0)),IF(AND($L$615=0,$P$612=0),"",$L$615-1),IF($R$17="Distrato",$E662,0))),0,YEARFRAC(MAX($P$612*($B662+IF($R$17="Distrato",$I$38-1,0)),IF(AND($L$615=0,$P$612=0),"",$L$615-1),IF($R$17="Distrato",$E662,0)),MIN(AQ$38,$D$19),$P$20))-SUM($P662:AP662)</f>
        <v>0</v>
      </c>
      <c r="AR662" s="446">
        <f>IF(OR($B662="",MIN(AR$38,$D$19)&lt;MAX($P$612*($B662+IF($R$17="Distrato",$I$38-1,0)),IF(AND($L$615=0,$P$612=0),"",$L$615-1),IF($R$17="Distrato",$E662,0))),0,YEARFRAC(MAX($P$612*($B662+IF($R$17="Distrato",$I$38-1,0)),IF(AND($L$615=0,$P$612=0),"",$L$615-1),IF($R$17="Distrato",$E662,0)),MIN(AR$38,$D$19),$P$20))-SUM($P662:AQ662)</f>
        <v>0</v>
      </c>
      <c r="AS662" s="446">
        <f>IF(OR($B662="",MIN(AS$38,$D$19)&lt;MAX($P$612*($B662+IF($R$17="Distrato",$I$38-1,0)),IF(AND($L$615=0,$P$612=0),"",$L$615-1),IF($R$17="Distrato",$E662,0))),0,YEARFRAC(MAX($P$612*($B662+IF($R$17="Distrato",$I$38-1,0)),IF(AND($L$615=0,$P$612=0),"",$L$615-1),IF($R$17="Distrato",$E662,0)),MIN(AS$38,$D$19),$P$20))-SUM($P662:AR662)</f>
        <v>0</v>
      </c>
      <c r="AT662" s="446">
        <f>IF(OR($B662="",MIN(AT$38,$D$19)&lt;MAX($P$612*($B662+IF($R$17="Distrato",$I$38-1,0)),IF(AND($L$615=0,$P$612=0),"",$L$615-1),IF($R$17="Distrato",$E662,0))),0,YEARFRAC(MAX($P$612*($B662+IF($R$17="Distrato",$I$38-1,0)),IF(AND($L$615=0,$P$612=0),"",$L$615-1),IF($R$17="Distrato",$E662,0)),MIN(AT$38,$D$19),$P$20))-SUM($P662:AS662)</f>
        <v>0</v>
      </c>
      <c r="AU662" s="446">
        <f>IF(OR($B662="",MIN(AU$38,$D$19)&lt;MAX($P$612*($B662+IF($R$17="Distrato",$I$38-1,0)),IF(AND($L$615=0,$P$612=0),"",$L$615-1),IF($R$17="Distrato",$E662,0))),0,YEARFRAC(MAX($P$612*($B662+IF($R$17="Distrato",$I$38-1,0)),IF(AND($L$615=0,$P$612=0),"",$L$615-1),IF($R$17="Distrato",$E662,0)),MIN(AU$38,$D$19),$P$20))-SUM($P662:AT662)</f>
        <v>0</v>
      </c>
      <c r="AV662" s="446">
        <f>IF(OR($B662="",MIN(AV$38,$D$19)&lt;MAX($P$612*($B662+IF($R$17="Distrato",$I$38-1,0)),IF(AND($L$615=0,$P$612=0),"",$L$615-1),IF($R$17="Distrato",$E662,0))),0,YEARFRAC(MAX($P$612*($B662+IF($R$17="Distrato",$I$38-1,0)),IF(AND($L$615=0,$P$612=0),"",$L$615-1),IF($R$17="Distrato",$E662,0)),MIN(AV$38,$D$19),$P$20))-SUM($P662:AU662)</f>
        <v>0</v>
      </c>
      <c r="AW662" s="446">
        <f>IF(OR($B662="",MIN(AW$38,$D$19)&lt;MAX($P$612*($B662+IF($R$17="Distrato",$I$38-1,0)),IF(AND($L$615=0,$P$612=0),"",$L$615-1),IF($R$17="Distrato",$E662,0))),0,YEARFRAC(MAX($P$612*($B662+IF($R$17="Distrato",$I$38-1,0)),IF(AND($L$615=0,$P$612=0),"",$L$615-1),IF($R$17="Distrato",$E662,0)),MIN(AW$38,$D$19),$P$20))-SUM($P662:AV662)</f>
        <v>0</v>
      </c>
      <c r="AX662" s="446">
        <f>IF(OR($B662="",MIN(AX$38,$D$19)&lt;MAX($P$612*($B662+IF($R$17="Distrato",$I$38-1,0)),IF(AND($L$615=0,$P$612=0),"",$L$615-1),IF($R$17="Distrato",$E662,0))),0,YEARFRAC(MAX($P$612*($B662+IF($R$17="Distrato",$I$38-1,0)),IF(AND($L$615=0,$P$612=0),"",$L$615-1),IF($R$17="Distrato",$E662,0)),MIN(AX$38,$D$19),$P$20))-SUM($P662:AW662)</f>
        <v>0</v>
      </c>
      <c r="AY662" s="446">
        <f>IF(OR($B662="",MIN(AY$38,$D$19)&lt;MAX($P$612*($B662+IF($R$17="Distrato",$I$38-1,0)),IF(AND($L$615=0,$P$612=0),"",$L$615-1),IF($R$17="Distrato",$E662,0))),0,YEARFRAC(MAX($P$612*($B662+IF($R$17="Distrato",$I$38-1,0)),IF(AND($L$615=0,$P$612=0),"",$L$615-1),IF($R$17="Distrato",$E662,0)),MIN(AY$38,$D$19),$P$20))-SUM($P662:AX662)</f>
        <v>0</v>
      </c>
      <c r="AZ662" s="446">
        <f>IF(OR($B662="",MIN(AZ$38,$D$19)&lt;MAX($P$612*($B662+IF($R$17="Distrato",$I$38-1,0)),IF(AND($L$615=0,$P$612=0),"",$L$615-1),IF($R$17="Distrato",$E662,0))),0,YEARFRAC(MAX($P$612*($B662+IF($R$17="Distrato",$I$38-1,0)),IF(AND($L$615=0,$P$612=0),"",$L$615-1),IF($R$17="Distrato",$E662,0)),MIN(AZ$38,$D$19),$P$20))-SUM($P662:AY662)</f>
        <v>0</v>
      </c>
      <c r="BA662" s="446">
        <f>IF(OR($B662="",MIN(BA$38,$D$19)&lt;MAX($P$612*($B662+IF($R$17="Distrato",$I$38-1,0)),IF(AND($L$615=0,$P$612=0),"",$L$615-1),IF($R$17="Distrato",$E662,0))),0,YEARFRAC(MAX($P$612*($B662+IF($R$17="Distrato",$I$38-1,0)),IF(AND($L$615=0,$P$612=0),"",$L$615-1),IF($R$17="Distrato",$E662,0)),MIN(BA$38,$D$19),$P$20))-SUM($P662:AZ662)</f>
        <v>0</v>
      </c>
      <c r="BB662" s="447"/>
    </row>
    <row r="663" spans="1:54" s="446" customFormat="1" ht="11.25" hidden="1" x14ac:dyDescent="0.2">
      <c r="A663" s="177"/>
      <c r="B663" s="178"/>
      <c r="C663" s="29" t="str">
        <f>IF(B663="","",IF($L$613="SELIC - TRIBUTOS",VLOOKUP(DATE(YEAR($D$19),MONTH($D$19)-1,1),ÍNDICES!$A:$DE,HLOOKUP($BL$25,ÍNDICES!$B$3:$T$4,2)+11)-VLOOKUP(B663,ÍNDICES!$A:$DE,HLOOKUP($BL$25,ÍNDICES!$B$3:$T$4,2)+11)+1%,IF(C$616=$W$26,$J$613,IF(ISERROR(IF(B663&gt;$D$19,1,VLOOKUP(DATE(YEAR(B663),MONTH(B663)+IF($C$613=$S$23,1,0),1),ÍNDICES!$A:$DE,$Z$613+1))),"",IF(B663&gt;$D$19,1,VLOOKUP(DATE(YEAR(B663),MONTH(B663)+IF($C$613=$S$23,1,0),1),ÍNDICES!$A:$DE,$Z$613+1))))))</f>
        <v/>
      </c>
      <c r="D663" s="155"/>
      <c r="E663" s="179"/>
      <c r="F663" s="29"/>
      <c r="G663" s="180"/>
      <c r="H663" s="181"/>
      <c r="I663" s="182" t="str">
        <f>IF(E663="",IF(D663="","",D663),IF(ISERROR(D663/(IF(E663&lt;B663,1,C663/F663))-G663),-G663,D663/(IF(E663&lt;B663,1,C663/F663))-G663))</f>
        <v/>
      </c>
      <c r="J663" s="5" t="str">
        <f t="shared" si="108"/>
        <v/>
      </c>
      <c r="K663" s="5">
        <f t="shared" ca="1" si="109"/>
        <v>0</v>
      </c>
      <c r="L663" s="5">
        <f t="shared" ca="1" si="112"/>
        <v>0</v>
      </c>
      <c r="M663" s="64">
        <f t="shared" si="110"/>
        <v>0</v>
      </c>
      <c r="N663" s="61">
        <f t="shared" ca="1" si="113"/>
        <v>0</v>
      </c>
      <c r="O663" s="20">
        <f t="shared" ca="1" si="106"/>
        <v>0</v>
      </c>
      <c r="P663" s="446">
        <f t="shared" si="114"/>
        <v>0</v>
      </c>
      <c r="Q663" s="446">
        <f>IF(OR($B663="",MIN(Q$38,$D$19)&lt;MAX($P$612*($B663+IF($R$17="Distrato",$I$38-1,0)),IF(AND($L$615=0,$P$612=0),"",$L$615-1),IF($R$17="Distrato",$E663,0))),0,YEARFRAC(MAX($P$612*($B663+IF($R$17="Distrato",$I$38-1,0)),IF(AND($L$615=0,$P$612=0),"",$L$615-1),IF($R$17="Distrato",$E663,0)),MIN(Q$38,$D$19),$P$20))-SUM($P663:P663)</f>
        <v>0</v>
      </c>
      <c r="R663" s="446">
        <f>IF(OR($B663="",MIN(R$38,$D$19)&lt;MAX($P$612*($B663+IF($R$17="Distrato",$I$38-1,0)),IF(AND($L$615=0,$P$612=0),"",$L$615-1),IF($R$17="Distrato",$E663,0))),0,YEARFRAC(MAX($P$612*($B663+IF($R$17="Distrato",$I$38-1,0)),IF(AND($L$615=0,$P$612=0),"",$L$615-1),IF($R$17="Distrato",$E663,0)),MIN(R$38,$D$19),$P$20))-SUM($P663:Q663)</f>
        <v>0</v>
      </c>
      <c r="S663" s="446">
        <f>IF(OR($B663="",MIN(S$38,$D$19)&lt;MAX($P$612*($B663+IF($R$17="Distrato",$I$38-1,0)),IF(AND($L$615=0,$P$612=0),"",$L$615-1),IF($R$17="Distrato",$E663,0))),0,YEARFRAC(MAX($P$612*($B663+IF($R$17="Distrato",$I$38-1,0)),IF(AND($L$615=0,$P$612=0),"",$L$615-1),IF($R$17="Distrato",$E663,0)),MIN(S$38,$D$19),$P$20))-SUM($P663:R663)</f>
        <v>0</v>
      </c>
      <c r="T663" s="446">
        <f>IF(OR($B663="",MIN(T$38,$D$19)&lt;MAX($P$612*($B663+IF($R$17="Distrato",$I$38-1,0)),IF(AND($L$615=0,$P$612=0),"",$L$615-1),IF($R$17="Distrato",$E663,0))),0,YEARFRAC(MAX($P$612*($B663+IF($R$17="Distrato",$I$38-1,0)),IF(AND($L$615=0,$P$612=0),"",$L$615-1),IF($R$17="Distrato",$E663,0)),MIN(T$38,$D$19),$P$20))-SUM($P663:S663)</f>
        <v>0</v>
      </c>
      <c r="U663" s="446">
        <f>IF(OR($B663="",MIN(U$38,$D$19)&lt;MAX($P$612*($B663+IF($R$17="Distrato",$I$38-1,0)),IF(AND($L$615=0,$P$612=0),"",$L$615-1),IF($R$17="Distrato",$E663,0))),0,YEARFRAC(MAX($P$612*($B663+IF($R$17="Distrato",$I$38-1,0)),IF(AND($L$615=0,$P$612=0),"",$L$615-1),IF($R$17="Distrato",$E663,0)),MIN(U$38,$D$19),$P$20))-SUM($P663:T663)</f>
        <v>0</v>
      </c>
      <c r="V663" s="446">
        <f>IF(OR($B663="",MIN(V$38,$D$19)&lt;MAX($P$612*($B663+IF($R$17="Distrato",$I$38-1,0)),IF(AND($L$615=0,$P$612=0),"",$L$615-1),IF($R$17="Distrato",$E663,0))),0,YEARFRAC(MAX($P$612*($B663+IF($R$17="Distrato",$I$38-1,0)),IF(AND($L$615=0,$P$612=0),"",$L$615-1),IF($R$17="Distrato",$E663,0)),MIN(V$38,$D$19),$P$20))-SUM($P663:U663)</f>
        <v>0</v>
      </c>
      <c r="W663" s="446">
        <f>IF(OR($B663="",MIN(W$38,$D$19)&lt;MAX($P$612*($B663+IF($R$17="Distrato",$I$38-1,0)),IF(AND($L$615=0,$P$612=0),"",$L$615-1),IF($R$17="Distrato",$E663,0))),0,YEARFRAC(MAX($P$612*($B663+IF($R$17="Distrato",$I$38-1,0)),IF(AND($L$615=0,$P$612=0),"",$L$615-1),IF($R$17="Distrato",$E663,0)),MIN(W$38,$D$19),$P$20))-SUM($P663:V663)</f>
        <v>0</v>
      </c>
      <c r="X663" s="446">
        <f>IF(OR($B663="",MIN(X$38,$D$19)&lt;MAX($P$612*($B663+IF($R$17="Distrato",$I$38-1,0)),IF(AND($L$615=0,$P$612=0),"",$L$615-1),IF($R$17="Distrato",$E663,0))),0,YEARFRAC(MAX($P$612*($B663+IF($R$17="Distrato",$I$38-1,0)),IF(AND($L$615=0,$P$612=0),"",$L$615-1),IF($R$17="Distrato",$E663,0)),MIN(X$38,$D$19),$P$20))-SUM($P663:W663)</f>
        <v>0</v>
      </c>
      <c r="Y663" s="446">
        <f>IF(OR($B663="",MIN(Y$38,$D$19)&lt;MAX($P$612*($B663+IF($R$17="Distrato",$I$38-1,0)),IF(AND($L$615=0,$P$612=0),"",$L$615-1),IF($R$17="Distrato",$E663,0))),0,YEARFRAC(MAX($P$612*($B663+IF($R$17="Distrato",$I$38-1,0)),IF(AND($L$615=0,$P$612=0),"",$L$615-1),IF($R$17="Distrato",$E663,0)),MIN(Y$38,$D$19),$P$20))-SUM($P663:X663)</f>
        <v>0</v>
      </c>
      <c r="Z663" s="446">
        <f>IF(OR($B663="",MIN(Z$38,$D$19)&lt;MAX($P$612*($B663+IF($R$17="Distrato",$I$38-1,0)),IF(AND($L$615=0,$P$612=0),"",$L$615-1),IF($R$17="Distrato",$E663,0))),0,YEARFRAC(MAX($P$612*($B663+IF($R$17="Distrato",$I$38-1,0)),IF(AND($L$615=0,$P$612=0),"",$L$615-1),IF($R$17="Distrato",$E663,0)),MIN(Z$38,$D$19),$P$20))-SUM($P663:Y663)</f>
        <v>0</v>
      </c>
      <c r="AA663" s="446">
        <f>IF(OR($B663="",MIN(AA$38,$D$19)&lt;MAX($P$612*($B663+IF($R$17="Distrato",$I$38-1,0)),IF(AND($L$615=0,$P$612=0),"",$L$615-1),IF($R$17="Distrato",$E663,0))),0,YEARFRAC(MAX($P$612*($B663+IF($R$17="Distrato",$I$38-1,0)),IF(AND($L$615=0,$P$612=0),"",$L$615-1),IF($R$17="Distrato",$E663,0)),MIN(AA$38,$D$19),$P$20))-SUM($P663:Z663)</f>
        <v>0</v>
      </c>
      <c r="AB663" s="446">
        <f>IF(OR($B663="",MIN(AB$38,$D$19)&lt;MAX($P$612*($B663+IF($R$17="Distrato",$I$38-1,0)),IF(AND($L$615=0,$P$612=0),"",$L$615-1),IF($R$17="Distrato",$E663,0))),0,YEARFRAC(MAX($P$612*($B663+IF($R$17="Distrato",$I$38-1,0)),IF(AND($L$615=0,$P$612=0),"",$L$615-1),IF($R$17="Distrato",$E663,0)),MIN(AB$38,$D$19),$P$20))-SUM($P663:AA663)</f>
        <v>0</v>
      </c>
      <c r="AC663" s="446">
        <f>IF(OR($B663="",MIN(AC$38,$D$19)&lt;MAX($P$612*($B663+IF($R$17="Distrato",$I$38-1,0)),IF(AND($L$615=0,$P$612=0),"",$L$615-1),IF($R$17="Distrato",$E663,0))),0,YEARFRAC(MAX($P$612*($B663+IF($R$17="Distrato",$I$38-1,0)),IF(AND($L$615=0,$P$612=0),"",$L$615-1),IF($R$17="Distrato",$E663,0)),MIN(AC$38,$D$19),$P$20))-SUM($P663:AB663)</f>
        <v>0</v>
      </c>
      <c r="AD663" s="446">
        <f>IF(OR($B663="",MIN(AD$38,$D$19)&lt;MAX($P$612*($B663+IF($R$17="Distrato",$I$38-1,0)),IF(AND($L$615=0,$P$612=0),"",$L$615-1),IF($R$17="Distrato",$E663,0))),0,YEARFRAC(MAX($P$612*($B663+IF($R$17="Distrato",$I$38-1,0)),IF(AND($L$615=0,$P$612=0),"",$L$615-1),IF($R$17="Distrato",$E663,0)),MIN(AD$38,$D$19),$P$20))-SUM($P663:AC663)</f>
        <v>0</v>
      </c>
      <c r="AE663" s="446">
        <f>IF(OR($B663="",MIN(AE$38,$D$19)&lt;MAX($P$612*($B663+IF($R$17="Distrato",$I$38-1,0)),IF(AND($L$615=0,$P$612=0),"",$L$615-1),IF($R$17="Distrato",$E663,0))),0,YEARFRAC(MAX($P$612*($B663+IF($R$17="Distrato",$I$38-1,0)),IF(AND($L$615=0,$P$612=0),"",$L$615-1),IF($R$17="Distrato",$E663,0)),MIN(AE$38,$D$19),$P$20))-SUM($P663:AD663)</f>
        <v>0</v>
      </c>
      <c r="AF663" s="446">
        <f>IF(OR($B663="",MIN(AF$38,$D$19)&lt;MAX($P$612*($B663+IF($R$17="Distrato",$I$38-1,0)),IF(AND($L$615=0,$P$612=0),"",$L$615-1),IF($R$17="Distrato",$E663,0))),0,YEARFRAC(MAX($P$612*($B663+IF($R$17="Distrato",$I$38-1,0)),IF(AND($L$615=0,$P$612=0),"",$L$615-1),IF($R$17="Distrato",$E663,0)),MIN(AF$38,$D$19),$P$20))-SUM($P663:AE663)</f>
        <v>0</v>
      </c>
      <c r="AG663" s="446">
        <f>IF(OR($B663="",MIN(AG$38,$D$19)&lt;MAX($P$612*($B663+IF($R$17="Distrato",$I$38-1,0)),IF(AND($L$615=0,$P$612=0),"",$L$615-1),IF($R$17="Distrato",$E663,0))),0,YEARFRAC(MAX($P$612*($B663+IF($R$17="Distrato",$I$38-1,0)),IF(AND($L$615=0,$P$612=0),"",$L$615-1),IF($R$17="Distrato",$E663,0)),MIN(AG$38,$D$19),$P$20))-SUM($P663:AF663)</f>
        <v>0</v>
      </c>
      <c r="AH663" s="446">
        <f>IF(OR($B663="",MIN(AH$38,$D$19)&lt;MAX($P$612*($B663+IF($R$17="Distrato",$I$38-1,0)),IF(AND($L$615=0,$P$612=0),"",$L$615-1),IF($R$17="Distrato",$E663,0))),0,YEARFRAC(MAX($P$612*($B663+IF($R$17="Distrato",$I$38-1,0)),IF(AND($L$615=0,$P$612=0),"",$L$615-1),IF($R$17="Distrato",$E663,0)),MIN(AH$38,$D$19),$P$20))-SUM($P663:AG663)</f>
        <v>0</v>
      </c>
      <c r="AI663" s="446">
        <f>IF(OR($B663="",MIN(AI$38,$D$19)&lt;MAX($P$612*($B663+IF($R$17="Distrato",$I$38-1,0)),IF(AND($L$615=0,$P$612=0),"",$L$615-1),IF($R$17="Distrato",$E663,0))),0,YEARFRAC(MAX($P$612*($B663+IF($R$17="Distrato",$I$38-1,0)),IF(AND($L$615=0,$P$612=0),"",$L$615-1),IF($R$17="Distrato",$E663,0)),MIN(AI$38,$D$19),$P$20))-SUM($P663:AH663)</f>
        <v>0</v>
      </c>
      <c r="AJ663" s="446">
        <f>IF(OR($B663="",MIN(AJ$38,$D$19)&lt;MAX($P$612*($B663+IF($R$17="Distrato",$I$38-1,0)),IF(AND($L$615=0,$P$612=0),"",$L$615-1),IF($R$17="Distrato",$E663,0))),0,YEARFRAC(MAX($P$612*($B663+IF($R$17="Distrato",$I$38-1,0)),IF(AND($L$615=0,$P$612=0),"",$L$615-1),IF($R$17="Distrato",$E663,0)),MIN(AJ$38,$D$19),$P$20))-SUM($P663:AI663)</f>
        <v>0</v>
      </c>
      <c r="AK663" s="446">
        <f>IF(OR($B663="",MIN(AK$38,$D$19)&lt;MAX($P$612*($B663+IF($R$17="Distrato",$I$38-1,0)),IF(AND($L$615=0,$P$612=0),"",$L$615-1),IF($R$17="Distrato",$E663,0))),0,YEARFRAC(MAX($P$612*($B663+IF($R$17="Distrato",$I$38-1,0)),IF(AND($L$615=0,$P$612=0),"",$L$615-1),IF($R$17="Distrato",$E663,0)),MIN(AK$38,$D$19),$P$20))-SUM($P663:AJ663)</f>
        <v>0</v>
      </c>
      <c r="AL663" s="446">
        <f>IF(OR($B663="",MIN(AL$38,$D$19)&lt;MAX($P$612*($B663+IF($R$17="Distrato",$I$38-1,0)),IF(AND($L$615=0,$P$612=0),"",$L$615-1),IF($R$17="Distrato",$E663,0))),0,YEARFRAC(MAX($P$612*($B663+IF($R$17="Distrato",$I$38-1,0)),IF(AND($L$615=0,$P$612=0),"",$L$615-1),IF($R$17="Distrato",$E663,0)),MIN(AL$38,$D$19),$P$20))-SUM($P663:AK663)</f>
        <v>0</v>
      </c>
      <c r="AM663" s="446">
        <f>IF(OR($B663="",MIN(AM$38,$D$19)&lt;MAX($P$612*($B663+IF($R$17="Distrato",$I$38-1,0)),IF(AND($L$615=0,$P$612=0),"",$L$615-1),IF($R$17="Distrato",$E663,0))),0,YEARFRAC(MAX($P$612*($B663+IF($R$17="Distrato",$I$38-1,0)),IF(AND($L$615=0,$P$612=0),"",$L$615-1),IF($R$17="Distrato",$E663,0)),MIN(AM$38,$D$19),$P$20))-SUM($P663:AL663)</f>
        <v>0</v>
      </c>
      <c r="AN663" s="446">
        <f>IF(OR($B663="",MIN(AN$38,$D$19)&lt;MAX($P$612*($B663+IF($R$17="Distrato",$I$38-1,0)),IF(AND($L$615=0,$P$612=0),"",$L$615-1),IF($R$17="Distrato",$E663,0))),0,YEARFRAC(MAX($P$612*($B663+IF($R$17="Distrato",$I$38-1,0)),IF(AND($L$615=0,$P$612=0),"",$L$615-1),IF($R$17="Distrato",$E663,0)),MIN(AN$38,$D$19),$P$20))-SUM($P663:AM663)</f>
        <v>0</v>
      </c>
      <c r="AO663" s="446">
        <f>IF(OR($B663="",MIN(AO$38,$D$19)&lt;MAX($P$612*($B663+IF($R$17="Distrato",$I$38-1,0)),IF(AND($L$615=0,$P$612=0),"",$L$615-1),IF($R$17="Distrato",$E663,0))),0,YEARFRAC(MAX($P$612*($B663+IF($R$17="Distrato",$I$38-1,0)),IF(AND($L$615=0,$P$612=0),"",$L$615-1),IF($R$17="Distrato",$E663,0)),MIN(AO$38,$D$19),$P$20))-SUM($P663:AN663)</f>
        <v>0</v>
      </c>
      <c r="AP663" s="446">
        <f>IF(OR($B663="",MIN(AP$38,$D$19)&lt;MAX($P$612*($B663+IF($R$17="Distrato",$I$38-1,0)),IF(AND($L$615=0,$P$612=0),"",$L$615-1),IF($R$17="Distrato",$E663,0))),0,YEARFRAC(MAX($P$612*($B663+IF($R$17="Distrato",$I$38-1,0)),IF(AND($L$615=0,$P$612=0),"",$L$615-1),IF($R$17="Distrato",$E663,0)),MIN(AP$38,$D$19),$P$20))-SUM($P663:AO663)</f>
        <v>0</v>
      </c>
      <c r="AQ663" s="446">
        <f>IF(OR($B663="",MIN(AQ$38,$D$19)&lt;MAX($P$612*($B663+IF($R$17="Distrato",$I$38-1,0)),IF(AND($L$615=0,$P$612=0),"",$L$615-1),IF($R$17="Distrato",$E663,0))),0,YEARFRAC(MAX($P$612*($B663+IF($R$17="Distrato",$I$38-1,0)),IF(AND($L$615=0,$P$612=0),"",$L$615-1),IF($R$17="Distrato",$E663,0)),MIN(AQ$38,$D$19),$P$20))-SUM($P663:AP663)</f>
        <v>0</v>
      </c>
      <c r="AR663" s="446">
        <f>IF(OR($B663="",MIN(AR$38,$D$19)&lt;MAX($P$612*($B663+IF($R$17="Distrato",$I$38-1,0)),IF(AND($L$615=0,$P$612=0),"",$L$615-1),IF($R$17="Distrato",$E663,0))),0,YEARFRAC(MAX($P$612*($B663+IF($R$17="Distrato",$I$38-1,0)),IF(AND($L$615=0,$P$612=0),"",$L$615-1),IF($R$17="Distrato",$E663,0)),MIN(AR$38,$D$19),$P$20))-SUM($P663:AQ663)</f>
        <v>0</v>
      </c>
      <c r="AS663" s="446">
        <f>IF(OR($B663="",MIN(AS$38,$D$19)&lt;MAX($P$612*($B663+IF($R$17="Distrato",$I$38-1,0)),IF(AND($L$615=0,$P$612=0),"",$L$615-1),IF($R$17="Distrato",$E663,0))),0,YEARFRAC(MAX($P$612*($B663+IF($R$17="Distrato",$I$38-1,0)),IF(AND($L$615=0,$P$612=0),"",$L$615-1),IF($R$17="Distrato",$E663,0)),MIN(AS$38,$D$19),$P$20))-SUM($P663:AR663)</f>
        <v>0</v>
      </c>
      <c r="AT663" s="446">
        <f>IF(OR($B663="",MIN(AT$38,$D$19)&lt;MAX($P$612*($B663+IF($R$17="Distrato",$I$38-1,0)),IF(AND($L$615=0,$P$612=0),"",$L$615-1),IF($R$17="Distrato",$E663,0))),0,YEARFRAC(MAX($P$612*($B663+IF($R$17="Distrato",$I$38-1,0)),IF(AND($L$615=0,$P$612=0),"",$L$615-1),IF($R$17="Distrato",$E663,0)),MIN(AT$38,$D$19),$P$20))-SUM($P663:AS663)</f>
        <v>0</v>
      </c>
      <c r="AU663" s="446">
        <f>IF(OR($B663="",MIN(AU$38,$D$19)&lt;MAX($P$612*($B663+IF($R$17="Distrato",$I$38-1,0)),IF(AND($L$615=0,$P$612=0),"",$L$615-1),IF($R$17="Distrato",$E663,0))),0,YEARFRAC(MAX($P$612*($B663+IF($R$17="Distrato",$I$38-1,0)),IF(AND($L$615=0,$P$612=0),"",$L$615-1),IF($R$17="Distrato",$E663,0)),MIN(AU$38,$D$19),$P$20))-SUM($P663:AT663)</f>
        <v>0</v>
      </c>
      <c r="AV663" s="446">
        <f>IF(OR($B663="",MIN(AV$38,$D$19)&lt;MAX($P$612*($B663+IF($R$17="Distrato",$I$38-1,0)),IF(AND($L$615=0,$P$612=0),"",$L$615-1),IF($R$17="Distrato",$E663,0))),0,YEARFRAC(MAX($P$612*($B663+IF($R$17="Distrato",$I$38-1,0)),IF(AND($L$615=0,$P$612=0),"",$L$615-1),IF($R$17="Distrato",$E663,0)),MIN(AV$38,$D$19),$P$20))-SUM($P663:AU663)</f>
        <v>0</v>
      </c>
      <c r="AW663" s="446">
        <f>IF(OR($B663="",MIN(AW$38,$D$19)&lt;MAX($P$612*($B663+IF($R$17="Distrato",$I$38-1,0)),IF(AND($L$615=0,$P$612=0),"",$L$615-1),IF($R$17="Distrato",$E663,0))),0,YEARFRAC(MAX($P$612*($B663+IF($R$17="Distrato",$I$38-1,0)),IF(AND($L$615=0,$P$612=0),"",$L$615-1),IF($R$17="Distrato",$E663,0)),MIN(AW$38,$D$19),$P$20))-SUM($P663:AV663)</f>
        <v>0</v>
      </c>
      <c r="AX663" s="446">
        <f>IF(OR($B663="",MIN(AX$38,$D$19)&lt;MAX($P$612*($B663+IF($R$17="Distrato",$I$38-1,0)),IF(AND($L$615=0,$P$612=0),"",$L$615-1),IF($R$17="Distrato",$E663,0))),0,YEARFRAC(MAX($P$612*($B663+IF($R$17="Distrato",$I$38-1,0)),IF(AND($L$615=0,$P$612=0),"",$L$615-1),IF($R$17="Distrato",$E663,0)),MIN(AX$38,$D$19),$P$20))-SUM($P663:AW663)</f>
        <v>0</v>
      </c>
      <c r="AY663" s="446">
        <f>IF(OR($B663="",MIN(AY$38,$D$19)&lt;MAX($P$612*($B663+IF($R$17="Distrato",$I$38-1,0)),IF(AND($L$615=0,$P$612=0),"",$L$615-1),IF($R$17="Distrato",$E663,0))),0,YEARFRAC(MAX($P$612*($B663+IF($R$17="Distrato",$I$38-1,0)),IF(AND($L$615=0,$P$612=0),"",$L$615-1),IF($R$17="Distrato",$E663,0)),MIN(AY$38,$D$19),$P$20))-SUM($P663:AX663)</f>
        <v>0</v>
      </c>
      <c r="AZ663" s="446">
        <f>IF(OR($B663="",MIN(AZ$38,$D$19)&lt;MAX($P$612*($B663+IF($R$17="Distrato",$I$38-1,0)),IF(AND($L$615=0,$P$612=0),"",$L$615-1),IF($R$17="Distrato",$E663,0))),0,YEARFRAC(MAX($P$612*($B663+IF($R$17="Distrato",$I$38-1,0)),IF(AND($L$615=0,$P$612=0),"",$L$615-1),IF($R$17="Distrato",$E663,0)),MIN(AZ$38,$D$19),$P$20))-SUM($P663:AY663)</f>
        <v>0</v>
      </c>
      <c r="BA663" s="446">
        <f>IF(OR($B663="",MIN(BA$38,$D$19)&lt;MAX($P$612*($B663+IF($R$17="Distrato",$I$38-1,0)),IF(AND($L$615=0,$P$612=0),"",$L$615-1),IF($R$17="Distrato",$E663,0))),0,YEARFRAC(MAX($P$612*($B663+IF($R$17="Distrato",$I$38-1,0)),IF(AND($L$615=0,$P$612=0),"",$L$615-1),IF($R$17="Distrato",$E663,0)),MIN(BA$38,$D$19),$P$20))-SUM($P663:AZ663)</f>
        <v>0</v>
      </c>
      <c r="BB663" s="447"/>
    </row>
    <row r="664" spans="1:54" s="446" customFormat="1" ht="11.25" hidden="1" x14ac:dyDescent="0.2">
      <c r="A664" s="177"/>
      <c r="B664" s="178"/>
      <c r="C664" s="29" t="str">
        <f>IF(B664="","",IF($L$613="SELIC - TRIBUTOS",VLOOKUP(DATE(YEAR($D$19),MONTH($D$19)-1,1),ÍNDICES!$A:$DE,HLOOKUP($BL$25,ÍNDICES!$B$3:$T$4,2)+11)-VLOOKUP(B664,ÍNDICES!$A:$DE,HLOOKUP($BL$25,ÍNDICES!$B$3:$T$4,2)+11)+1%,IF(C$616=$W$26,$J$613,IF(ISERROR(IF(B664&gt;$D$19,1,VLOOKUP(DATE(YEAR(B664),MONTH(B664)+IF($C$613=$S$23,1,0),1),ÍNDICES!$A:$DE,$Z$613+1))),"",IF(B664&gt;$D$19,1,VLOOKUP(DATE(YEAR(B664),MONTH(B664)+IF($C$613=$S$23,1,0),1),ÍNDICES!$A:$DE,$Z$613+1))))))</f>
        <v/>
      </c>
      <c r="D664" s="155"/>
      <c r="E664" s="179"/>
      <c r="F664" s="29"/>
      <c r="G664" s="180"/>
      <c r="H664" s="181"/>
      <c r="I664" s="182" t="str">
        <f>IF(E664="",IF(D664="","",D664),IF(ISERROR(D664/(IF(E664&lt;B664,1,C664/F664))-G664),-G664,D664/(IF(E664&lt;B664,1,C664/F664))-G664))</f>
        <v/>
      </c>
      <c r="J664" s="5" t="str">
        <f t="shared" si="108"/>
        <v/>
      </c>
      <c r="K664" s="5">
        <f t="shared" ca="1" si="109"/>
        <v>0</v>
      </c>
      <c r="L664" s="5">
        <f t="shared" ca="1" si="112"/>
        <v>0</v>
      </c>
      <c r="M664" s="64">
        <f t="shared" si="110"/>
        <v>0</v>
      </c>
      <c r="N664" s="61">
        <f t="shared" ca="1" si="113"/>
        <v>0</v>
      </c>
      <c r="O664" s="20">
        <f t="shared" ca="1" si="106"/>
        <v>0</v>
      </c>
      <c r="P664" s="446">
        <f t="shared" si="114"/>
        <v>0</v>
      </c>
      <c r="Q664" s="446">
        <f>IF(OR($B664="",MIN(Q$38,$D$19)&lt;MAX($P$612*($B664+IF($R$17="Distrato",$I$38-1,0)),IF(AND($L$615=0,$P$612=0),"",$L$615-1),IF($R$17="Distrato",$E664,0))),0,YEARFRAC(MAX($P$612*($B664+IF($R$17="Distrato",$I$38-1,0)),IF(AND($L$615=0,$P$612=0),"",$L$615-1),IF($R$17="Distrato",$E664,0)),MIN(Q$38,$D$19),$P$20))-SUM($P664:P664)</f>
        <v>0</v>
      </c>
      <c r="R664" s="446">
        <f>IF(OR($B664="",MIN(R$38,$D$19)&lt;MAX($P$612*($B664+IF($R$17="Distrato",$I$38-1,0)),IF(AND($L$615=0,$P$612=0),"",$L$615-1),IF($R$17="Distrato",$E664,0))),0,YEARFRAC(MAX($P$612*($B664+IF($R$17="Distrato",$I$38-1,0)),IF(AND($L$615=0,$P$612=0),"",$L$615-1),IF($R$17="Distrato",$E664,0)),MIN(R$38,$D$19),$P$20))-SUM($P664:Q664)</f>
        <v>0</v>
      </c>
      <c r="S664" s="446">
        <f>IF(OR($B664="",MIN(S$38,$D$19)&lt;MAX($P$612*($B664+IF($R$17="Distrato",$I$38-1,0)),IF(AND($L$615=0,$P$612=0),"",$L$615-1),IF($R$17="Distrato",$E664,0))),0,YEARFRAC(MAX($P$612*($B664+IF($R$17="Distrato",$I$38-1,0)),IF(AND($L$615=0,$P$612=0),"",$L$615-1),IF($R$17="Distrato",$E664,0)),MIN(S$38,$D$19),$P$20))-SUM($P664:R664)</f>
        <v>0</v>
      </c>
      <c r="T664" s="446">
        <f>IF(OR($B664="",MIN(T$38,$D$19)&lt;MAX($P$612*($B664+IF($R$17="Distrato",$I$38-1,0)),IF(AND($L$615=0,$P$612=0),"",$L$615-1),IF($R$17="Distrato",$E664,0))),0,YEARFRAC(MAX($P$612*($B664+IF($R$17="Distrato",$I$38-1,0)),IF(AND($L$615=0,$P$612=0),"",$L$615-1),IF($R$17="Distrato",$E664,0)),MIN(T$38,$D$19),$P$20))-SUM($P664:S664)</f>
        <v>0</v>
      </c>
      <c r="U664" s="446">
        <f>IF(OR($B664="",MIN(U$38,$D$19)&lt;MAX($P$612*($B664+IF($R$17="Distrato",$I$38-1,0)),IF(AND($L$615=0,$P$612=0),"",$L$615-1),IF($R$17="Distrato",$E664,0))),0,YEARFRAC(MAX($P$612*($B664+IF($R$17="Distrato",$I$38-1,0)),IF(AND($L$615=0,$P$612=0),"",$L$615-1),IF($R$17="Distrato",$E664,0)),MIN(U$38,$D$19),$P$20))-SUM($P664:T664)</f>
        <v>0</v>
      </c>
      <c r="V664" s="446">
        <f>IF(OR($B664="",MIN(V$38,$D$19)&lt;MAX($P$612*($B664+IF($R$17="Distrato",$I$38-1,0)),IF(AND($L$615=0,$P$612=0),"",$L$615-1),IF($R$17="Distrato",$E664,0))),0,YEARFRAC(MAX($P$612*($B664+IF($R$17="Distrato",$I$38-1,0)),IF(AND($L$615=0,$P$612=0),"",$L$615-1),IF($R$17="Distrato",$E664,0)),MIN(V$38,$D$19),$P$20))-SUM($P664:U664)</f>
        <v>0</v>
      </c>
      <c r="W664" s="446">
        <f>IF(OR($B664="",MIN(W$38,$D$19)&lt;MAX($P$612*($B664+IF($R$17="Distrato",$I$38-1,0)),IF(AND($L$615=0,$P$612=0),"",$L$615-1),IF($R$17="Distrato",$E664,0))),0,YEARFRAC(MAX($P$612*($B664+IF($R$17="Distrato",$I$38-1,0)),IF(AND($L$615=0,$P$612=0),"",$L$615-1),IF($R$17="Distrato",$E664,0)),MIN(W$38,$D$19),$P$20))-SUM($P664:V664)</f>
        <v>0</v>
      </c>
      <c r="X664" s="446">
        <f>IF(OR($B664="",MIN(X$38,$D$19)&lt;MAX($P$612*($B664+IF($R$17="Distrato",$I$38-1,0)),IF(AND($L$615=0,$P$612=0),"",$L$615-1),IF($R$17="Distrato",$E664,0))),0,YEARFRAC(MAX($P$612*($B664+IF($R$17="Distrato",$I$38-1,0)),IF(AND($L$615=0,$P$612=0),"",$L$615-1),IF($R$17="Distrato",$E664,0)),MIN(X$38,$D$19),$P$20))-SUM($P664:W664)</f>
        <v>0</v>
      </c>
      <c r="Y664" s="446">
        <f>IF(OR($B664="",MIN(Y$38,$D$19)&lt;MAX($P$612*($B664+IF($R$17="Distrato",$I$38-1,0)),IF(AND($L$615=0,$P$612=0),"",$L$615-1),IF($R$17="Distrato",$E664,0))),0,YEARFRAC(MAX($P$612*($B664+IF($R$17="Distrato",$I$38-1,0)),IF(AND($L$615=0,$P$612=0),"",$L$615-1),IF($R$17="Distrato",$E664,0)),MIN(Y$38,$D$19),$P$20))-SUM($P664:X664)</f>
        <v>0</v>
      </c>
      <c r="Z664" s="446">
        <f>IF(OR($B664="",MIN(Z$38,$D$19)&lt;MAX($P$612*($B664+IF($R$17="Distrato",$I$38-1,0)),IF(AND($L$615=0,$P$612=0),"",$L$615-1),IF($R$17="Distrato",$E664,0))),0,YEARFRAC(MAX($P$612*($B664+IF($R$17="Distrato",$I$38-1,0)),IF(AND($L$615=0,$P$612=0),"",$L$615-1),IF($R$17="Distrato",$E664,0)),MIN(Z$38,$D$19),$P$20))-SUM($P664:Y664)</f>
        <v>0</v>
      </c>
      <c r="AA664" s="446">
        <f>IF(OR($B664="",MIN(AA$38,$D$19)&lt;MAX($P$612*($B664+IF($R$17="Distrato",$I$38-1,0)),IF(AND($L$615=0,$P$612=0),"",$L$615-1),IF($R$17="Distrato",$E664,0))),0,YEARFRAC(MAX($P$612*($B664+IF($R$17="Distrato",$I$38-1,0)),IF(AND($L$615=0,$P$612=0),"",$L$615-1),IF($R$17="Distrato",$E664,0)),MIN(AA$38,$D$19),$P$20))-SUM($P664:Z664)</f>
        <v>0</v>
      </c>
      <c r="AB664" s="446">
        <f>IF(OR($B664="",MIN(AB$38,$D$19)&lt;MAX($P$612*($B664+IF($R$17="Distrato",$I$38-1,0)),IF(AND($L$615=0,$P$612=0),"",$L$615-1),IF($R$17="Distrato",$E664,0))),0,YEARFRAC(MAX($P$612*($B664+IF($R$17="Distrato",$I$38-1,0)),IF(AND($L$615=0,$P$612=0),"",$L$615-1),IF($R$17="Distrato",$E664,0)),MIN(AB$38,$D$19),$P$20))-SUM($P664:AA664)</f>
        <v>0</v>
      </c>
      <c r="AC664" s="446">
        <f>IF(OR($B664="",MIN(AC$38,$D$19)&lt;MAX($P$612*($B664+IF($R$17="Distrato",$I$38-1,0)),IF(AND($L$615=0,$P$612=0),"",$L$615-1),IF($R$17="Distrato",$E664,0))),0,YEARFRAC(MAX($P$612*($B664+IF($R$17="Distrato",$I$38-1,0)),IF(AND($L$615=0,$P$612=0),"",$L$615-1),IF($R$17="Distrato",$E664,0)),MIN(AC$38,$D$19),$P$20))-SUM($P664:AB664)</f>
        <v>0</v>
      </c>
      <c r="AD664" s="446">
        <f>IF(OR($B664="",MIN(AD$38,$D$19)&lt;MAX($P$612*($B664+IF($R$17="Distrato",$I$38-1,0)),IF(AND($L$615=0,$P$612=0),"",$L$615-1),IF($R$17="Distrato",$E664,0))),0,YEARFRAC(MAX($P$612*($B664+IF($R$17="Distrato",$I$38-1,0)),IF(AND($L$615=0,$P$612=0),"",$L$615-1),IF($R$17="Distrato",$E664,0)),MIN(AD$38,$D$19),$P$20))-SUM($P664:AC664)</f>
        <v>0</v>
      </c>
      <c r="AE664" s="446">
        <f>IF(OR($B664="",MIN(AE$38,$D$19)&lt;MAX($P$612*($B664+IF($R$17="Distrato",$I$38-1,0)),IF(AND($L$615=0,$P$612=0),"",$L$615-1),IF($R$17="Distrato",$E664,0))),0,YEARFRAC(MAX($P$612*($B664+IF($R$17="Distrato",$I$38-1,0)),IF(AND($L$615=0,$P$612=0),"",$L$615-1),IF($R$17="Distrato",$E664,0)),MIN(AE$38,$D$19),$P$20))-SUM($P664:AD664)</f>
        <v>0</v>
      </c>
      <c r="AF664" s="446">
        <f>IF(OR($B664="",MIN(AF$38,$D$19)&lt;MAX($P$612*($B664+IF($R$17="Distrato",$I$38-1,0)),IF(AND($L$615=0,$P$612=0),"",$L$615-1),IF($R$17="Distrato",$E664,0))),0,YEARFRAC(MAX($P$612*($B664+IF($R$17="Distrato",$I$38-1,0)),IF(AND($L$615=0,$P$612=0),"",$L$615-1),IF($R$17="Distrato",$E664,0)),MIN(AF$38,$D$19),$P$20))-SUM($P664:AE664)</f>
        <v>0</v>
      </c>
      <c r="AG664" s="446">
        <f>IF(OR($B664="",MIN(AG$38,$D$19)&lt;MAX($P$612*($B664+IF($R$17="Distrato",$I$38-1,0)),IF(AND($L$615=0,$P$612=0),"",$L$615-1),IF($R$17="Distrato",$E664,0))),0,YEARFRAC(MAX($P$612*($B664+IF($R$17="Distrato",$I$38-1,0)),IF(AND($L$615=0,$P$612=0),"",$L$615-1),IF($R$17="Distrato",$E664,0)),MIN(AG$38,$D$19),$P$20))-SUM($P664:AF664)</f>
        <v>0</v>
      </c>
      <c r="AH664" s="446">
        <f>IF(OR($B664="",MIN(AH$38,$D$19)&lt;MAX($P$612*($B664+IF($R$17="Distrato",$I$38-1,0)),IF(AND($L$615=0,$P$612=0),"",$L$615-1),IF($R$17="Distrato",$E664,0))),0,YEARFRAC(MAX($P$612*($B664+IF($R$17="Distrato",$I$38-1,0)),IF(AND($L$615=0,$P$612=0),"",$L$615-1),IF($R$17="Distrato",$E664,0)),MIN(AH$38,$D$19),$P$20))-SUM($P664:AG664)</f>
        <v>0</v>
      </c>
      <c r="AI664" s="446">
        <f>IF(OR($B664="",MIN(AI$38,$D$19)&lt;MAX($P$612*($B664+IF($R$17="Distrato",$I$38-1,0)),IF(AND($L$615=0,$P$612=0),"",$L$615-1),IF($R$17="Distrato",$E664,0))),0,YEARFRAC(MAX($P$612*($B664+IF($R$17="Distrato",$I$38-1,0)),IF(AND($L$615=0,$P$612=0),"",$L$615-1),IF($R$17="Distrato",$E664,0)),MIN(AI$38,$D$19),$P$20))-SUM($P664:AH664)</f>
        <v>0</v>
      </c>
      <c r="AJ664" s="446">
        <f>IF(OR($B664="",MIN(AJ$38,$D$19)&lt;MAX($P$612*($B664+IF($R$17="Distrato",$I$38-1,0)),IF(AND($L$615=0,$P$612=0),"",$L$615-1),IF($R$17="Distrato",$E664,0))),0,YEARFRAC(MAX($P$612*($B664+IF($R$17="Distrato",$I$38-1,0)),IF(AND($L$615=0,$P$612=0),"",$L$615-1),IF($R$17="Distrato",$E664,0)),MIN(AJ$38,$D$19),$P$20))-SUM($P664:AI664)</f>
        <v>0</v>
      </c>
      <c r="AK664" s="446">
        <f>IF(OR($B664="",MIN(AK$38,$D$19)&lt;MAX($P$612*($B664+IF($R$17="Distrato",$I$38-1,0)),IF(AND($L$615=0,$P$612=0),"",$L$615-1),IF($R$17="Distrato",$E664,0))),0,YEARFRAC(MAX($P$612*($B664+IF($R$17="Distrato",$I$38-1,0)),IF(AND($L$615=0,$P$612=0),"",$L$615-1),IF($R$17="Distrato",$E664,0)),MIN(AK$38,$D$19),$P$20))-SUM($P664:AJ664)</f>
        <v>0</v>
      </c>
      <c r="AL664" s="446">
        <f>IF(OR($B664="",MIN(AL$38,$D$19)&lt;MAX($P$612*($B664+IF($R$17="Distrato",$I$38-1,0)),IF(AND($L$615=0,$P$612=0),"",$L$615-1),IF($R$17="Distrato",$E664,0))),0,YEARFRAC(MAX($P$612*($B664+IF($R$17="Distrato",$I$38-1,0)),IF(AND($L$615=0,$P$612=0),"",$L$615-1),IF($R$17="Distrato",$E664,0)),MIN(AL$38,$D$19),$P$20))-SUM($P664:AK664)</f>
        <v>0</v>
      </c>
      <c r="AM664" s="446">
        <f>IF(OR($B664="",MIN(AM$38,$D$19)&lt;MAX($P$612*($B664+IF($R$17="Distrato",$I$38-1,0)),IF(AND($L$615=0,$P$612=0),"",$L$615-1),IF($R$17="Distrato",$E664,0))),0,YEARFRAC(MAX($P$612*($B664+IF($R$17="Distrato",$I$38-1,0)),IF(AND($L$615=0,$P$612=0),"",$L$615-1),IF($R$17="Distrato",$E664,0)),MIN(AM$38,$D$19),$P$20))-SUM($P664:AL664)</f>
        <v>0</v>
      </c>
      <c r="AN664" s="446">
        <f>IF(OR($B664="",MIN(AN$38,$D$19)&lt;MAX($P$612*($B664+IF($R$17="Distrato",$I$38-1,0)),IF(AND($L$615=0,$P$612=0),"",$L$615-1),IF($R$17="Distrato",$E664,0))),0,YEARFRAC(MAX($P$612*($B664+IF($R$17="Distrato",$I$38-1,0)),IF(AND($L$615=0,$P$612=0),"",$L$615-1),IF($R$17="Distrato",$E664,0)),MIN(AN$38,$D$19),$P$20))-SUM($P664:AM664)</f>
        <v>0</v>
      </c>
      <c r="AO664" s="446">
        <f>IF(OR($B664="",MIN(AO$38,$D$19)&lt;MAX($P$612*($B664+IF($R$17="Distrato",$I$38-1,0)),IF(AND($L$615=0,$P$612=0),"",$L$615-1),IF($R$17="Distrato",$E664,0))),0,YEARFRAC(MAX($P$612*($B664+IF($R$17="Distrato",$I$38-1,0)),IF(AND($L$615=0,$P$612=0),"",$L$615-1),IF($R$17="Distrato",$E664,0)),MIN(AO$38,$D$19),$P$20))-SUM($P664:AN664)</f>
        <v>0</v>
      </c>
      <c r="AP664" s="446">
        <f>IF(OR($B664="",MIN(AP$38,$D$19)&lt;MAX($P$612*($B664+IF($R$17="Distrato",$I$38-1,0)),IF(AND($L$615=0,$P$612=0),"",$L$615-1),IF($R$17="Distrato",$E664,0))),0,YEARFRAC(MAX($P$612*($B664+IF($R$17="Distrato",$I$38-1,0)),IF(AND($L$615=0,$P$612=0),"",$L$615-1),IF($R$17="Distrato",$E664,0)),MIN(AP$38,$D$19),$P$20))-SUM($P664:AO664)</f>
        <v>0</v>
      </c>
      <c r="AQ664" s="446">
        <f>IF(OR($B664="",MIN(AQ$38,$D$19)&lt;MAX($P$612*($B664+IF($R$17="Distrato",$I$38-1,0)),IF(AND($L$615=0,$P$612=0),"",$L$615-1),IF($R$17="Distrato",$E664,0))),0,YEARFRAC(MAX($P$612*($B664+IF($R$17="Distrato",$I$38-1,0)),IF(AND($L$615=0,$P$612=0),"",$L$615-1),IF($R$17="Distrato",$E664,0)),MIN(AQ$38,$D$19),$P$20))-SUM($P664:AP664)</f>
        <v>0</v>
      </c>
      <c r="AR664" s="446">
        <f>IF(OR($B664="",MIN(AR$38,$D$19)&lt;MAX($P$612*($B664+IF($R$17="Distrato",$I$38-1,0)),IF(AND($L$615=0,$P$612=0),"",$L$615-1),IF($R$17="Distrato",$E664,0))),0,YEARFRAC(MAX($P$612*($B664+IF($R$17="Distrato",$I$38-1,0)),IF(AND($L$615=0,$P$612=0),"",$L$615-1),IF($R$17="Distrato",$E664,0)),MIN(AR$38,$D$19),$P$20))-SUM($P664:AQ664)</f>
        <v>0</v>
      </c>
      <c r="AS664" s="446">
        <f>IF(OR($B664="",MIN(AS$38,$D$19)&lt;MAX($P$612*($B664+IF($R$17="Distrato",$I$38-1,0)),IF(AND($L$615=0,$P$612=0),"",$L$615-1),IF($R$17="Distrato",$E664,0))),0,YEARFRAC(MAX($P$612*($B664+IF($R$17="Distrato",$I$38-1,0)),IF(AND($L$615=0,$P$612=0),"",$L$615-1),IF($R$17="Distrato",$E664,0)),MIN(AS$38,$D$19),$P$20))-SUM($P664:AR664)</f>
        <v>0</v>
      </c>
      <c r="AT664" s="446">
        <f>IF(OR($B664="",MIN(AT$38,$D$19)&lt;MAX($P$612*($B664+IF($R$17="Distrato",$I$38-1,0)),IF(AND($L$615=0,$P$612=0),"",$L$615-1),IF($R$17="Distrato",$E664,0))),0,YEARFRAC(MAX($P$612*($B664+IF($R$17="Distrato",$I$38-1,0)),IF(AND($L$615=0,$P$612=0),"",$L$615-1),IF($R$17="Distrato",$E664,0)),MIN(AT$38,$D$19),$P$20))-SUM($P664:AS664)</f>
        <v>0</v>
      </c>
      <c r="AU664" s="446">
        <f>IF(OR($B664="",MIN(AU$38,$D$19)&lt;MAX($P$612*($B664+IF($R$17="Distrato",$I$38-1,0)),IF(AND($L$615=0,$P$612=0),"",$L$615-1),IF($R$17="Distrato",$E664,0))),0,YEARFRAC(MAX($P$612*($B664+IF($R$17="Distrato",$I$38-1,0)),IF(AND($L$615=0,$P$612=0),"",$L$615-1),IF($R$17="Distrato",$E664,0)),MIN(AU$38,$D$19),$P$20))-SUM($P664:AT664)</f>
        <v>0</v>
      </c>
      <c r="AV664" s="446">
        <f>IF(OR($B664="",MIN(AV$38,$D$19)&lt;MAX($P$612*($B664+IF($R$17="Distrato",$I$38-1,0)),IF(AND($L$615=0,$P$612=0),"",$L$615-1),IF($R$17="Distrato",$E664,0))),0,YEARFRAC(MAX($P$612*($B664+IF($R$17="Distrato",$I$38-1,0)),IF(AND($L$615=0,$P$612=0),"",$L$615-1),IF($R$17="Distrato",$E664,0)),MIN(AV$38,$D$19),$P$20))-SUM($P664:AU664)</f>
        <v>0</v>
      </c>
      <c r="AW664" s="446">
        <f>IF(OR($B664="",MIN(AW$38,$D$19)&lt;MAX($P$612*($B664+IF($R$17="Distrato",$I$38-1,0)),IF(AND($L$615=0,$P$612=0),"",$L$615-1),IF($R$17="Distrato",$E664,0))),0,YEARFRAC(MAX($P$612*($B664+IF($R$17="Distrato",$I$38-1,0)),IF(AND($L$615=0,$P$612=0),"",$L$615-1),IF($R$17="Distrato",$E664,0)),MIN(AW$38,$D$19),$P$20))-SUM($P664:AV664)</f>
        <v>0</v>
      </c>
      <c r="AX664" s="446">
        <f>IF(OR($B664="",MIN(AX$38,$D$19)&lt;MAX($P$612*($B664+IF($R$17="Distrato",$I$38-1,0)),IF(AND($L$615=0,$P$612=0),"",$L$615-1),IF($R$17="Distrato",$E664,0))),0,YEARFRAC(MAX($P$612*($B664+IF($R$17="Distrato",$I$38-1,0)),IF(AND($L$615=0,$P$612=0),"",$L$615-1),IF($R$17="Distrato",$E664,0)),MIN(AX$38,$D$19),$P$20))-SUM($P664:AW664)</f>
        <v>0</v>
      </c>
      <c r="AY664" s="446">
        <f>IF(OR($B664="",MIN(AY$38,$D$19)&lt;MAX($P$612*($B664+IF($R$17="Distrato",$I$38-1,0)),IF(AND($L$615=0,$P$612=0),"",$L$615-1),IF($R$17="Distrato",$E664,0))),0,YEARFRAC(MAX($P$612*($B664+IF($R$17="Distrato",$I$38-1,0)),IF(AND($L$615=0,$P$612=0),"",$L$615-1),IF($R$17="Distrato",$E664,0)),MIN(AY$38,$D$19),$P$20))-SUM($P664:AX664)</f>
        <v>0</v>
      </c>
      <c r="AZ664" s="446">
        <f>IF(OR($B664="",MIN(AZ$38,$D$19)&lt;MAX($P$612*($B664+IF($R$17="Distrato",$I$38-1,0)),IF(AND($L$615=0,$P$612=0),"",$L$615-1),IF($R$17="Distrato",$E664,0))),0,YEARFRAC(MAX($P$612*($B664+IF($R$17="Distrato",$I$38-1,0)),IF(AND($L$615=0,$P$612=0),"",$L$615-1),IF($R$17="Distrato",$E664,0)),MIN(AZ$38,$D$19),$P$20))-SUM($P664:AY664)</f>
        <v>0</v>
      </c>
      <c r="BA664" s="446">
        <f>IF(OR($B664="",MIN(BA$38,$D$19)&lt;MAX($P$612*($B664+IF($R$17="Distrato",$I$38-1,0)),IF(AND($L$615=0,$P$612=0),"",$L$615-1),IF($R$17="Distrato",$E664,0))),0,YEARFRAC(MAX($P$612*($B664+IF($R$17="Distrato",$I$38-1,0)),IF(AND($L$615=0,$P$612=0),"",$L$615-1),IF($R$17="Distrato",$E664,0)),MIN(BA$38,$D$19),$P$20))-SUM($P664:AZ664)</f>
        <v>0</v>
      </c>
      <c r="BB664" s="447"/>
    </row>
    <row r="665" spans="1:54" s="446" customFormat="1" ht="11.25" hidden="1" x14ac:dyDescent="0.2">
      <c r="A665" s="177"/>
      <c r="B665" s="178"/>
      <c r="C665" s="29" t="str">
        <f>IF(B665="","",IF($L$613="SELIC - TRIBUTOS",VLOOKUP(DATE(YEAR($D$19),MONTH($D$19)-1,1),ÍNDICES!$A:$DE,HLOOKUP($BL$25,ÍNDICES!$B$3:$T$4,2)+11)-VLOOKUP(B665,ÍNDICES!$A:$DE,HLOOKUP($BL$25,ÍNDICES!$B$3:$T$4,2)+11)+1%,IF(C$616=$W$26,$J$613,IF(ISERROR(IF(B665&gt;$D$19,1,VLOOKUP(DATE(YEAR(B665),MONTH(B665)+IF($C$613=$S$23,1,0),1),ÍNDICES!$A:$DE,$Z$613+1))),"",IF(B665&gt;$D$19,1,VLOOKUP(DATE(YEAR(B665),MONTH(B665)+IF($C$613=$S$23,1,0),1),ÍNDICES!$A:$DE,$Z$613+1))))))</f>
        <v/>
      </c>
      <c r="D665" s="155"/>
      <c r="E665" s="179"/>
      <c r="F665" s="29"/>
      <c r="G665" s="180"/>
      <c r="H665" s="181"/>
      <c r="I665" s="182" t="str">
        <f>IF(E665="",IF(D665="","",D665),IF(ISERROR(D665/(IF(E665&lt;B665,1,C665/F665))-G665),-G665,D665/(IF(E665&lt;B665,1,C665/F665))-G665))</f>
        <v/>
      </c>
      <c r="J665" s="5" t="str">
        <f t="shared" si="108"/>
        <v/>
      </c>
      <c r="K665" s="5">
        <f t="shared" ca="1" si="109"/>
        <v>0</v>
      </c>
      <c r="L665" s="5">
        <f t="shared" ca="1" si="112"/>
        <v>0</v>
      </c>
      <c r="M665" s="64">
        <f t="shared" si="110"/>
        <v>0</v>
      </c>
      <c r="N665" s="61">
        <f t="shared" ca="1" si="113"/>
        <v>0</v>
      </c>
      <c r="O665" s="20">
        <f t="shared" ca="1" si="106"/>
        <v>0</v>
      </c>
      <c r="P665" s="446">
        <f t="shared" si="114"/>
        <v>0</v>
      </c>
      <c r="Q665" s="446">
        <f>IF(OR($B665="",MIN(Q$38,$D$19)&lt;MAX($P$612*($B665+IF($R$17="Distrato",$I$38-1,0)),IF(AND($L$615=0,$P$612=0),"",$L$615-1),IF($R$17="Distrato",$E665,0))),0,YEARFRAC(MAX($P$612*($B665+IF($R$17="Distrato",$I$38-1,0)),IF(AND($L$615=0,$P$612=0),"",$L$615-1),IF($R$17="Distrato",$E665,0)),MIN(Q$38,$D$19),$P$20))-SUM($P665:P665)</f>
        <v>0</v>
      </c>
      <c r="R665" s="446">
        <f>IF(OR($B665="",MIN(R$38,$D$19)&lt;MAX($P$612*($B665+IF($R$17="Distrato",$I$38-1,0)),IF(AND($L$615=0,$P$612=0),"",$L$615-1),IF($R$17="Distrato",$E665,0))),0,YEARFRAC(MAX($P$612*($B665+IF($R$17="Distrato",$I$38-1,0)),IF(AND($L$615=0,$P$612=0),"",$L$615-1),IF($R$17="Distrato",$E665,0)),MIN(R$38,$D$19),$P$20))-SUM($P665:Q665)</f>
        <v>0</v>
      </c>
      <c r="S665" s="446">
        <f>IF(OR($B665="",MIN(S$38,$D$19)&lt;MAX($P$612*($B665+IF($R$17="Distrato",$I$38-1,0)),IF(AND($L$615=0,$P$612=0),"",$L$615-1),IF($R$17="Distrato",$E665,0))),0,YEARFRAC(MAX($P$612*($B665+IF($R$17="Distrato",$I$38-1,0)),IF(AND($L$615=0,$P$612=0),"",$L$615-1),IF($R$17="Distrato",$E665,0)),MIN(S$38,$D$19),$P$20))-SUM($P665:R665)</f>
        <v>0</v>
      </c>
      <c r="T665" s="446">
        <f>IF(OR($B665="",MIN(T$38,$D$19)&lt;MAX($P$612*($B665+IF($R$17="Distrato",$I$38-1,0)),IF(AND($L$615=0,$P$612=0),"",$L$615-1),IF($R$17="Distrato",$E665,0))),0,YEARFRAC(MAX($P$612*($B665+IF($R$17="Distrato",$I$38-1,0)),IF(AND($L$615=0,$P$612=0),"",$L$615-1),IF($R$17="Distrato",$E665,0)),MIN(T$38,$D$19),$P$20))-SUM($P665:S665)</f>
        <v>0</v>
      </c>
      <c r="U665" s="446">
        <f>IF(OR($B665="",MIN(U$38,$D$19)&lt;MAX($P$612*($B665+IF($R$17="Distrato",$I$38-1,0)),IF(AND($L$615=0,$P$612=0),"",$L$615-1),IF($R$17="Distrato",$E665,0))),0,YEARFRAC(MAX($P$612*($B665+IF($R$17="Distrato",$I$38-1,0)),IF(AND($L$615=0,$P$612=0),"",$L$615-1),IF($R$17="Distrato",$E665,0)),MIN(U$38,$D$19),$P$20))-SUM($P665:T665)</f>
        <v>0</v>
      </c>
      <c r="V665" s="446">
        <f>IF(OR($B665="",MIN(V$38,$D$19)&lt;MAX($P$612*($B665+IF($R$17="Distrato",$I$38-1,0)),IF(AND($L$615=0,$P$612=0),"",$L$615-1),IF($R$17="Distrato",$E665,0))),0,YEARFRAC(MAX($P$612*($B665+IF($R$17="Distrato",$I$38-1,0)),IF(AND($L$615=0,$P$612=0),"",$L$615-1),IF($R$17="Distrato",$E665,0)),MIN(V$38,$D$19),$P$20))-SUM($P665:U665)</f>
        <v>0</v>
      </c>
      <c r="W665" s="446">
        <f>IF(OR($B665="",MIN(W$38,$D$19)&lt;MAX($P$612*($B665+IF($R$17="Distrato",$I$38-1,0)),IF(AND($L$615=0,$P$612=0),"",$L$615-1),IF($R$17="Distrato",$E665,0))),0,YEARFRAC(MAX($P$612*($B665+IF($R$17="Distrato",$I$38-1,0)),IF(AND($L$615=0,$P$612=0),"",$L$615-1),IF($R$17="Distrato",$E665,0)),MIN(W$38,$D$19),$P$20))-SUM($P665:V665)</f>
        <v>0</v>
      </c>
      <c r="X665" s="446">
        <f>IF(OR($B665="",MIN(X$38,$D$19)&lt;MAX($P$612*($B665+IF($R$17="Distrato",$I$38-1,0)),IF(AND($L$615=0,$P$612=0),"",$L$615-1),IF($R$17="Distrato",$E665,0))),0,YEARFRAC(MAX($P$612*($B665+IF($R$17="Distrato",$I$38-1,0)),IF(AND($L$615=0,$P$612=0),"",$L$615-1),IF($R$17="Distrato",$E665,0)),MIN(X$38,$D$19),$P$20))-SUM($P665:W665)</f>
        <v>0</v>
      </c>
      <c r="Y665" s="446">
        <f>IF(OR($B665="",MIN(Y$38,$D$19)&lt;MAX($P$612*($B665+IF($R$17="Distrato",$I$38-1,0)),IF(AND($L$615=0,$P$612=0),"",$L$615-1),IF($R$17="Distrato",$E665,0))),0,YEARFRAC(MAX($P$612*($B665+IF($R$17="Distrato",$I$38-1,0)),IF(AND($L$615=0,$P$612=0),"",$L$615-1),IF($R$17="Distrato",$E665,0)),MIN(Y$38,$D$19),$P$20))-SUM($P665:X665)</f>
        <v>0</v>
      </c>
      <c r="Z665" s="446">
        <f>IF(OR($B665="",MIN(Z$38,$D$19)&lt;MAX($P$612*($B665+IF($R$17="Distrato",$I$38-1,0)),IF(AND($L$615=0,$P$612=0),"",$L$615-1),IF($R$17="Distrato",$E665,0))),0,YEARFRAC(MAX($P$612*($B665+IF($R$17="Distrato",$I$38-1,0)),IF(AND($L$615=0,$P$612=0),"",$L$615-1),IF($R$17="Distrato",$E665,0)),MIN(Z$38,$D$19),$P$20))-SUM($P665:Y665)</f>
        <v>0</v>
      </c>
      <c r="AA665" s="446">
        <f>IF(OR($B665="",MIN(AA$38,$D$19)&lt;MAX($P$612*($B665+IF($R$17="Distrato",$I$38-1,0)),IF(AND($L$615=0,$P$612=0),"",$L$615-1),IF($R$17="Distrato",$E665,0))),0,YEARFRAC(MAX($P$612*($B665+IF($R$17="Distrato",$I$38-1,0)),IF(AND($L$615=0,$P$612=0),"",$L$615-1),IF($R$17="Distrato",$E665,0)),MIN(AA$38,$D$19),$P$20))-SUM($P665:Z665)</f>
        <v>0</v>
      </c>
      <c r="AB665" s="446">
        <f>IF(OR($B665="",MIN(AB$38,$D$19)&lt;MAX($P$612*($B665+IF($R$17="Distrato",$I$38-1,0)),IF(AND($L$615=0,$P$612=0),"",$L$615-1),IF($R$17="Distrato",$E665,0))),0,YEARFRAC(MAX($P$612*($B665+IF($R$17="Distrato",$I$38-1,0)),IF(AND($L$615=0,$P$612=0),"",$L$615-1),IF($R$17="Distrato",$E665,0)),MIN(AB$38,$D$19),$P$20))-SUM($P665:AA665)</f>
        <v>0</v>
      </c>
      <c r="AC665" s="446">
        <f>IF(OR($B665="",MIN(AC$38,$D$19)&lt;MAX($P$612*($B665+IF($R$17="Distrato",$I$38-1,0)),IF(AND($L$615=0,$P$612=0),"",$L$615-1),IF($R$17="Distrato",$E665,0))),0,YEARFRAC(MAX($P$612*($B665+IF($R$17="Distrato",$I$38-1,0)),IF(AND($L$615=0,$P$612=0),"",$L$615-1),IF($R$17="Distrato",$E665,0)),MIN(AC$38,$D$19),$P$20))-SUM($P665:AB665)</f>
        <v>0</v>
      </c>
      <c r="AD665" s="446">
        <f>IF(OR($B665="",MIN(AD$38,$D$19)&lt;MAX($P$612*($B665+IF($R$17="Distrato",$I$38-1,0)),IF(AND($L$615=0,$P$612=0),"",$L$615-1),IF($R$17="Distrato",$E665,0))),0,YEARFRAC(MAX($P$612*($B665+IF($R$17="Distrato",$I$38-1,0)),IF(AND($L$615=0,$P$612=0),"",$L$615-1),IF($R$17="Distrato",$E665,0)),MIN(AD$38,$D$19),$P$20))-SUM($P665:AC665)</f>
        <v>0</v>
      </c>
      <c r="AE665" s="446">
        <f>IF(OR($B665="",MIN(AE$38,$D$19)&lt;MAX($P$612*($B665+IF($R$17="Distrato",$I$38-1,0)),IF(AND($L$615=0,$P$612=0),"",$L$615-1),IF($R$17="Distrato",$E665,0))),0,YEARFRAC(MAX($P$612*($B665+IF($R$17="Distrato",$I$38-1,0)),IF(AND($L$615=0,$P$612=0),"",$L$615-1),IF($R$17="Distrato",$E665,0)),MIN(AE$38,$D$19),$P$20))-SUM($P665:AD665)</f>
        <v>0</v>
      </c>
      <c r="AF665" s="446">
        <f>IF(OR($B665="",MIN(AF$38,$D$19)&lt;MAX($P$612*($B665+IF($R$17="Distrato",$I$38-1,0)),IF(AND($L$615=0,$P$612=0),"",$L$615-1),IF($R$17="Distrato",$E665,0))),0,YEARFRAC(MAX($P$612*($B665+IF($R$17="Distrato",$I$38-1,0)),IF(AND($L$615=0,$P$612=0),"",$L$615-1),IF($R$17="Distrato",$E665,0)),MIN(AF$38,$D$19),$P$20))-SUM($P665:AE665)</f>
        <v>0</v>
      </c>
      <c r="AG665" s="446">
        <f>IF(OR($B665="",MIN(AG$38,$D$19)&lt;MAX($P$612*($B665+IF($R$17="Distrato",$I$38-1,0)),IF(AND($L$615=0,$P$612=0),"",$L$615-1),IF($R$17="Distrato",$E665,0))),0,YEARFRAC(MAX($P$612*($B665+IF($R$17="Distrato",$I$38-1,0)),IF(AND($L$615=0,$P$612=0),"",$L$615-1),IF($R$17="Distrato",$E665,0)),MIN(AG$38,$D$19),$P$20))-SUM($P665:AF665)</f>
        <v>0</v>
      </c>
      <c r="AH665" s="446">
        <f>IF(OR($B665="",MIN(AH$38,$D$19)&lt;MAX($P$612*($B665+IF($R$17="Distrato",$I$38-1,0)),IF(AND($L$615=0,$P$612=0),"",$L$615-1),IF($R$17="Distrato",$E665,0))),0,YEARFRAC(MAX($P$612*($B665+IF($R$17="Distrato",$I$38-1,0)),IF(AND($L$615=0,$P$612=0),"",$L$615-1),IF($R$17="Distrato",$E665,0)),MIN(AH$38,$D$19),$P$20))-SUM($P665:AG665)</f>
        <v>0</v>
      </c>
      <c r="AI665" s="446">
        <f>IF(OR($B665="",MIN(AI$38,$D$19)&lt;MAX($P$612*($B665+IF($R$17="Distrato",$I$38-1,0)),IF(AND($L$615=0,$P$612=0),"",$L$615-1),IF($R$17="Distrato",$E665,0))),0,YEARFRAC(MAX($P$612*($B665+IF($R$17="Distrato",$I$38-1,0)),IF(AND($L$615=0,$P$612=0),"",$L$615-1),IF($R$17="Distrato",$E665,0)),MIN(AI$38,$D$19),$P$20))-SUM($P665:AH665)</f>
        <v>0</v>
      </c>
      <c r="AJ665" s="446">
        <f>IF(OR($B665="",MIN(AJ$38,$D$19)&lt;MAX($P$612*($B665+IF($R$17="Distrato",$I$38-1,0)),IF(AND($L$615=0,$P$612=0),"",$L$615-1),IF($R$17="Distrato",$E665,0))),0,YEARFRAC(MAX($P$612*($B665+IF($R$17="Distrato",$I$38-1,0)),IF(AND($L$615=0,$P$612=0),"",$L$615-1),IF($R$17="Distrato",$E665,0)),MIN(AJ$38,$D$19),$P$20))-SUM($P665:AI665)</f>
        <v>0</v>
      </c>
      <c r="AK665" s="446">
        <f>IF(OR($B665="",MIN(AK$38,$D$19)&lt;MAX($P$612*($B665+IF($R$17="Distrato",$I$38-1,0)),IF(AND($L$615=0,$P$612=0),"",$L$615-1),IF($R$17="Distrato",$E665,0))),0,YEARFRAC(MAX($P$612*($B665+IF($R$17="Distrato",$I$38-1,0)),IF(AND($L$615=0,$P$612=0),"",$L$615-1),IF($R$17="Distrato",$E665,0)),MIN(AK$38,$D$19),$P$20))-SUM($P665:AJ665)</f>
        <v>0</v>
      </c>
      <c r="AL665" s="446">
        <f>IF(OR($B665="",MIN(AL$38,$D$19)&lt;MAX($P$612*($B665+IF($R$17="Distrato",$I$38-1,0)),IF(AND($L$615=0,$P$612=0),"",$L$615-1),IF($R$17="Distrato",$E665,0))),0,YEARFRAC(MAX($P$612*($B665+IF($R$17="Distrato",$I$38-1,0)),IF(AND($L$615=0,$P$612=0),"",$L$615-1),IF($R$17="Distrato",$E665,0)),MIN(AL$38,$D$19),$P$20))-SUM($P665:AK665)</f>
        <v>0</v>
      </c>
      <c r="AM665" s="446">
        <f>IF(OR($B665="",MIN(AM$38,$D$19)&lt;MAX($P$612*($B665+IF($R$17="Distrato",$I$38-1,0)),IF(AND($L$615=0,$P$612=0),"",$L$615-1),IF($R$17="Distrato",$E665,0))),0,YEARFRAC(MAX($P$612*($B665+IF($R$17="Distrato",$I$38-1,0)),IF(AND($L$615=0,$P$612=0),"",$L$615-1),IF($R$17="Distrato",$E665,0)),MIN(AM$38,$D$19),$P$20))-SUM($P665:AL665)</f>
        <v>0</v>
      </c>
      <c r="AN665" s="446">
        <f>IF(OR($B665="",MIN(AN$38,$D$19)&lt;MAX($P$612*($B665+IF($R$17="Distrato",$I$38-1,0)),IF(AND($L$615=0,$P$612=0),"",$L$615-1),IF($R$17="Distrato",$E665,0))),0,YEARFRAC(MAX($P$612*($B665+IF($R$17="Distrato",$I$38-1,0)),IF(AND($L$615=0,$P$612=0),"",$L$615-1),IF($R$17="Distrato",$E665,0)),MIN(AN$38,$D$19),$P$20))-SUM($P665:AM665)</f>
        <v>0</v>
      </c>
      <c r="AO665" s="446">
        <f>IF(OR($B665="",MIN(AO$38,$D$19)&lt;MAX($P$612*($B665+IF($R$17="Distrato",$I$38-1,0)),IF(AND($L$615=0,$P$612=0),"",$L$615-1),IF($R$17="Distrato",$E665,0))),0,YEARFRAC(MAX($P$612*($B665+IF($R$17="Distrato",$I$38-1,0)),IF(AND($L$615=0,$P$612=0),"",$L$615-1),IF($R$17="Distrato",$E665,0)),MIN(AO$38,$D$19),$P$20))-SUM($P665:AN665)</f>
        <v>0</v>
      </c>
      <c r="AP665" s="446">
        <f>IF(OR($B665="",MIN(AP$38,$D$19)&lt;MAX($P$612*($B665+IF($R$17="Distrato",$I$38-1,0)),IF(AND($L$615=0,$P$612=0),"",$L$615-1),IF($R$17="Distrato",$E665,0))),0,YEARFRAC(MAX($P$612*($B665+IF($R$17="Distrato",$I$38-1,0)),IF(AND($L$615=0,$P$612=0),"",$L$615-1),IF($R$17="Distrato",$E665,0)),MIN(AP$38,$D$19),$P$20))-SUM($P665:AO665)</f>
        <v>0</v>
      </c>
      <c r="AQ665" s="446">
        <f>IF(OR($B665="",MIN(AQ$38,$D$19)&lt;MAX($P$612*($B665+IF($R$17="Distrato",$I$38-1,0)),IF(AND($L$615=0,$P$612=0),"",$L$615-1),IF($R$17="Distrato",$E665,0))),0,YEARFRAC(MAX($P$612*($B665+IF($R$17="Distrato",$I$38-1,0)),IF(AND($L$615=0,$P$612=0),"",$L$615-1),IF($R$17="Distrato",$E665,0)),MIN(AQ$38,$D$19),$P$20))-SUM($P665:AP665)</f>
        <v>0</v>
      </c>
      <c r="AR665" s="446">
        <f>IF(OR($B665="",MIN(AR$38,$D$19)&lt;MAX($P$612*($B665+IF($R$17="Distrato",$I$38-1,0)),IF(AND($L$615=0,$P$612=0),"",$L$615-1),IF($R$17="Distrato",$E665,0))),0,YEARFRAC(MAX($P$612*($B665+IF($R$17="Distrato",$I$38-1,0)),IF(AND($L$615=0,$P$612=0),"",$L$615-1),IF($R$17="Distrato",$E665,0)),MIN(AR$38,$D$19),$P$20))-SUM($P665:AQ665)</f>
        <v>0</v>
      </c>
      <c r="AS665" s="446">
        <f>IF(OR($B665="",MIN(AS$38,$D$19)&lt;MAX($P$612*($B665+IF($R$17="Distrato",$I$38-1,0)),IF(AND($L$615=0,$P$612=0),"",$L$615-1),IF($R$17="Distrato",$E665,0))),0,YEARFRAC(MAX($P$612*($B665+IF($R$17="Distrato",$I$38-1,0)),IF(AND($L$615=0,$P$612=0),"",$L$615-1),IF($R$17="Distrato",$E665,0)),MIN(AS$38,$D$19),$P$20))-SUM($P665:AR665)</f>
        <v>0</v>
      </c>
      <c r="AT665" s="446">
        <f>IF(OR($B665="",MIN(AT$38,$D$19)&lt;MAX($P$612*($B665+IF($R$17="Distrato",$I$38-1,0)),IF(AND($L$615=0,$P$612=0),"",$L$615-1),IF($R$17="Distrato",$E665,0))),0,YEARFRAC(MAX($P$612*($B665+IF($R$17="Distrato",$I$38-1,0)),IF(AND($L$615=0,$P$612=0),"",$L$615-1),IF($R$17="Distrato",$E665,0)),MIN(AT$38,$D$19),$P$20))-SUM($P665:AS665)</f>
        <v>0</v>
      </c>
      <c r="AU665" s="446">
        <f>IF(OR($B665="",MIN(AU$38,$D$19)&lt;MAX($P$612*($B665+IF($R$17="Distrato",$I$38-1,0)),IF(AND($L$615=0,$P$612=0),"",$L$615-1),IF($R$17="Distrato",$E665,0))),0,YEARFRAC(MAX($P$612*($B665+IF($R$17="Distrato",$I$38-1,0)),IF(AND($L$615=0,$P$612=0),"",$L$615-1),IF($R$17="Distrato",$E665,0)),MIN(AU$38,$D$19),$P$20))-SUM($P665:AT665)</f>
        <v>0</v>
      </c>
      <c r="AV665" s="446">
        <f>IF(OR($B665="",MIN(AV$38,$D$19)&lt;MAX($P$612*($B665+IF($R$17="Distrato",$I$38-1,0)),IF(AND($L$615=0,$P$612=0),"",$L$615-1),IF($R$17="Distrato",$E665,0))),0,YEARFRAC(MAX($P$612*($B665+IF($R$17="Distrato",$I$38-1,0)),IF(AND($L$615=0,$P$612=0),"",$L$615-1),IF($R$17="Distrato",$E665,0)),MIN(AV$38,$D$19),$P$20))-SUM($P665:AU665)</f>
        <v>0</v>
      </c>
      <c r="AW665" s="446">
        <f>IF(OR($B665="",MIN(AW$38,$D$19)&lt;MAX($P$612*($B665+IF($R$17="Distrato",$I$38-1,0)),IF(AND($L$615=0,$P$612=0),"",$L$615-1),IF($R$17="Distrato",$E665,0))),0,YEARFRAC(MAX($P$612*($B665+IF($R$17="Distrato",$I$38-1,0)),IF(AND($L$615=0,$P$612=0),"",$L$615-1),IF($R$17="Distrato",$E665,0)),MIN(AW$38,$D$19),$P$20))-SUM($P665:AV665)</f>
        <v>0</v>
      </c>
      <c r="AX665" s="446">
        <f>IF(OR($B665="",MIN(AX$38,$D$19)&lt;MAX($P$612*($B665+IF($R$17="Distrato",$I$38-1,0)),IF(AND($L$615=0,$P$612=0),"",$L$615-1),IF($R$17="Distrato",$E665,0))),0,YEARFRAC(MAX($P$612*($B665+IF($R$17="Distrato",$I$38-1,0)),IF(AND($L$615=0,$P$612=0),"",$L$615-1),IF($R$17="Distrato",$E665,0)),MIN(AX$38,$D$19),$P$20))-SUM($P665:AW665)</f>
        <v>0</v>
      </c>
      <c r="AY665" s="446">
        <f>IF(OR($B665="",MIN(AY$38,$D$19)&lt;MAX($P$612*($B665+IF($R$17="Distrato",$I$38-1,0)),IF(AND($L$615=0,$P$612=0),"",$L$615-1),IF($R$17="Distrato",$E665,0))),0,YEARFRAC(MAX($P$612*($B665+IF($R$17="Distrato",$I$38-1,0)),IF(AND($L$615=0,$P$612=0),"",$L$615-1),IF($R$17="Distrato",$E665,0)),MIN(AY$38,$D$19),$P$20))-SUM($P665:AX665)</f>
        <v>0</v>
      </c>
      <c r="AZ665" s="446">
        <f>IF(OR($B665="",MIN(AZ$38,$D$19)&lt;MAX($P$612*($B665+IF($R$17="Distrato",$I$38-1,0)),IF(AND($L$615=0,$P$612=0),"",$L$615-1),IF($R$17="Distrato",$E665,0))),0,YEARFRAC(MAX($P$612*($B665+IF($R$17="Distrato",$I$38-1,0)),IF(AND($L$615=0,$P$612=0),"",$L$615-1),IF($R$17="Distrato",$E665,0)),MIN(AZ$38,$D$19),$P$20))-SUM($P665:AY665)</f>
        <v>0</v>
      </c>
      <c r="BA665" s="446">
        <f>IF(OR($B665="",MIN(BA$38,$D$19)&lt;MAX($P$612*($B665+IF($R$17="Distrato",$I$38-1,0)),IF(AND($L$615=0,$P$612=0),"",$L$615-1),IF($R$17="Distrato",$E665,0))),0,YEARFRAC(MAX($P$612*($B665+IF($R$17="Distrato",$I$38-1,0)),IF(AND($L$615=0,$P$612=0),"",$L$615-1),IF($R$17="Distrato",$E665,0)),MIN(BA$38,$D$19),$P$20))-SUM($P665:AZ665)</f>
        <v>0</v>
      </c>
      <c r="BB665" s="447"/>
    </row>
    <row r="666" spans="1:54" s="446" customFormat="1" ht="11.25" hidden="1" x14ac:dyDescent="0.2">
      <c r="A666" s="177"/>
      <c r="B666" s="178"/>
      <c r="C666" s="29" t="str">
        <f>IF(B666="","",IF($L$613="SELIC - TRIBUTOS",VLOOKUP(DATE(YEAR($D$19),MONTH($D$19)-1,1),ÍNDICES!$A:$DE,HLOOKUP($BL$25,ÍNDICES!$B$3:$T$4,2)+11)-VLOOKUP(B666,ÍNDICES!$A:$DE,HLOOKUP($BL$25,ÍNDICES!$B$3:$T$4,2)+11)+1%,IF(C$616=$W$26,$J$613,IF(ISERROR(IF(B666&gt;$D$19,1,VLOOKUP(DATE(YEAR(B666),MONTH(B666)+IF($C$613=$S$23,1,0),1),ÍNDICES!$A:$DE,$Z$613+1))),"",IF(B666&gt;$D$19,1,VLOOKUP(DATE(YEAR(B666),MONTH(B666)+IF($C$613=$S$23,1,0),1),ÍNDICES!$A:$DE,$Z$613+1))))))</f>
        <v/>
      </c>
      <c r="D666" s="155"/>
      <c r="E666" s="179"/>
      <c r="F666" s="29"/>
      <c r="G666" s="180"/>
      <c r="H666" s="181"/>
      <c r="I666" s="182" t="str">
        <f>IF(E666="",IF(D666="","",D666),IF(ISERROR(D666/(IF(E666&lt;B666,1,C666/F666))-G666),-G666,D666/(IF(E666&lt;B666,1,C666/F666))-G666))</f>
        <v/>
      </c>
      <c r="J666" s="5" t="str">
        <f t="shared" si="108"/>
        <v/>
      </c>
      <c r="K666" s="5">
        <f t="shared" ca="1" si="109"/>
        <v>0</v>
      </c>
      <c r="L666" s="5">
        <f t="shared" ca="1" si="112"/>
        <v>0</v>
      </c>
      <c r="M666" s="64">
        <f t="shared" si="110"/>
        <v>0</v>
      </c>
      <c r="N666" s="61">
        <f t="shared" ca="1" si="113"/>
        <v>0</v>
      </c>
      <c r="O666" s="20">
        <f t="shared" ca="1" si="106"/>
        <v>0</v>
      </c>
      <c r="P666" s="446">
        <f t="shared" si="114"/>
        <v>0</v>
      </c>
      <c r="Q666" s="446">
        <f>IF(OR($B666="",MIN(Q$38,$D$19)&lt;MAX($P$612*($B666+IF($R$17="Distrato",$I$38-1,0)),IF(AND($L$615=0,$P$612=0),"",$L$615-1),IF($R$17="Distrato",$E666,0))),0,YEARFRAC(MAX($P$612*($B666+IF($R$17="Distrato",$I$38-1,0)),IF(AND($L$615=0,$P$612=0),"",$L$615-1),IF($R$17="Distrato",$E666,0)),MIN(Q$38,$D$19),$P$20))-SUM($P666:P666)</f>
        <v>0</v>
      </c>
      <c r="R666" s="446">
        <f>IF(OR($B666="",MIN(R$38,$D$19)&lt;MAX($P$612*($B666+IF($R$17="Distrato",$I$38-1,0)),IF(AND($L$615=0,$P$612=0),"",$L$615-1),IF($R$17="Distrato",$E666,0))),0,YEARFRAC(MAX($P$612*($B666+IF($R$17="Distrato",$I$38-1,0)),IF(AND($L$615=0,$P$612=0),"",$L$615-1),IF($R$17="Distrato",$E666,0)),MIN(R$38,$D$19),$P$20))-SUM($P666:Q666)</f>
        <v>0</v>
      </c>
      <c r="S666" s="446">
        <f>IF(OR($B666="",MIN(S$38,$D$19)&lt;MAX($P$612*($B666+IF($R$17="Distrato",$I$38-1,0)),IF(AND($L$615=0,$P$612=0),"",$L$615-1),IF($R$17="Distrato",$E666,0))),0,YEARFRAC(MAX($P$612*($B666+IF($R$17="Distrato",$I$38-1,0)),IF(AND($L$615=0,$P$612=0),"",$L$615-1),IF($R$17="Distrato",$E666,0)),MIN(S$38,$D$19),$P$20))-SUM($P666:R666)</f>
        <v>0</v>
      </c>
      <c r="T666" s="446">
        <f>IF(OR($B666="",MIN(T$38,$D$19)&lt;MAX($P$612*($B666+IF($R$17="Distrato",$I$38-1,0)),IF(AND($L$615=0,$P$612=0),"",$L$615-1),IF($R$17="Distrato",$E666,0))),0,YEARFRAC(MAX($P$612*($B666+IF($R$17="Distrato",$I$38-1,0)),IF(AND($L$615=0,$P$612=0),"",$L$615-1),IF($R$17="Distrato",$E666,0)),MIN(T$38,$D$19),$P$20))-SUM($P666:S666)</f>
        <v>0</v>
      </c>
      <c r="U666" s="446">
        <f>IF(OR($B666="",MIN(U$38,$D$19)&lt;MAX($P$612*($B666+IF($R$17="Distrato",$I$38-1,0)),IF(AND($L$615=0,$P$612=0),"",$L$615-1),IF($R$17="Distrato",$E666,0))),0,YEARFRAC(MAX($P$612*($B666+IF($R$17="Distrato",$I$38-1,0)),IF(AND($L$615=0,$P$612=0),"",$L$615-1),IF($R$17="Distrato",$E666,0)),MIN(U$38,$D$19),$P$20))-SUM($P666:T666)</f>
        <v>0</v>
      </c>
      <c r="V666" s="446">
        <f>IF(OR($B666="",MIN(V$38,$D$19)&lt;MAX($P$612*($B666+IF($R$17="Distrato",$I$38-1,0)),IF(AND($L$615=0,$P$612=0),"",$L$615-1),IF($R$17="Distrato",$E666,0))),0,YEARFRAC(MAX($P$612*($B666+IF($R$17="Distrato",$I$38-1,0)),IF(AND($L$615=0,$P$612=0),"",$L$615-1),IF($R$17="Distrato",$E666,0)),MIN(V$38,$D$19),$P$20))-SUM($P666:U666)</f>
        <v>0</v>
      </c>
      <c r="W666" s="446">
        <f>IF(OR($B666="",MIN(W$38,$D$19)&lt;MAX($P$612*($B666+IF($R$17="Distrato",$I$38-1,0)),IF(AND($L$615=0,$P$612=0),"",$L$615-1),IF($R$17="Distrato",$E666,0))),0,YEARFRAC(MAX($P$612*($B666+IF($R$17="Distrato",$I$38-1,0)),IF(AND($L$615=0,$P$612=0),"",$L$615-1),IF($R$17="Distrato",$E666,0)),MIN(W$38,$D$19),$P$20))-SUM($P666:V666)</f>
        <v>0</v>
      </c>
      <c r="X666" s="446">
        <f>IF(OR($B666="",MIN(X$38,$D$19)&lt;MAX($P$612*($B666+IF($R$17="Distrato",$I$38-1,0)),IF(AND($L$615=0,$P$612=0),"",$L$615-1),IF($R$17="Distrato",$E666,0))),0,YEARFRAC(MAX($P$612*($B666+IF($R$17="Distrato",$I$38-1,0)),IF(AND($L$615=0,$P$612=0),"",$L$615-1),IF($R$17="Distrato",$E666,0)),MIN(X$38,$D$19),$P$20))-SUM($P666:W666)</f>
        <v>0</v>
      </c>
      <c r="Y666" s="446">
        <f>IF(OR($B666="",MIN(Y$38,$D$19)&lt;MAX($P$612*($B666+IF($R$17="Distrato",$I$38-1,0)),IF(AND($L$615=0,$P$612=0),"",$L$615-1),IF($R$17="Distrato",$E666,0))),0,YEARFRAC(MAX($P$612*($B666+IF($R$17="Distrato",$I$38-1,0)),IF(AND($L$615=0,$P$612=0),"",$L$615-1),IF($R$17="Distrato",$E666,0)),MIN(Y$38,$D$19),$P$20))-SUM($P666:X666)</f>
        <v>0</v>
      </c>
      <c r="Z666" s="446">
        <f>IF(OR($B666="",MIN(Z$38,$D$19)&lt;MAX($P$612*($B666+IF($R$17="Distrato",$I$38-1,0)),IF(AND($L$615=0,$P$612=0),"",$L$615-1),IF($R$17="Distrato",$E666,0))),0,YEARFRAC(MAX($P$612*($B666+IF($R$17="Distrato",$I$38-1,0)),IF(AND($L$615=0,$P$612=0),"",$L$615-1),IF($R$17="Distrato",$E666,0)),MIN(Z$38,$D$19),$P$20))-SUM($P666:Y666)</f>
        <v>0</v>
      </c>
      <c r="AA666" s="446">
        <f>IF(OR($B666="",MIN(AA$38,$D$19)&lt;MAX($P$612*($B666+IF($R$17="Distrato",$I$38-1,0)),IF(AND($L$615=0,$P$612=0),"",$L$615-1),IF($R$17="Distrato",$E666,0))),0,YEARFRAC(MAX($P$612*($B666+IF($R$17="Distrato",$I$38-1,0)),IF(AND($L$615=0,$P$612=0),"",$L$615-1),IF($R$17="Distrato",$E666,0)),MIN(AA$38,$D$19),$P$20))-SUM($P666:Z666)</f>
        <v>0</v>
      </c>
      <c r="AB666" s="446">
        <f>IF(OR($B666="",MIN(AB$38,$D$19)&lt;MAX($P$612*($B666+IF($R$17="Distrato",$I$38-1,0)),IF(AND($L$615=0,$P$612=0),"",$L$615-1),IF($R$17="Distrato",$E666,0))),0,YEARFRAC(MAX($P$612*($B666+IF($R$17="Distrato",$I$38-1,0)),IF(AND($L$615=0,$P$612=0),"",$L$615-1),IF($R$17="Distrato",$E666,0)),MIN(AB$38,$D$19),$P$20))-SUM($P666:AA666)</f>
        <v>0</v>
      </c>
      <c r="AC666" s="446">
        <f>IF(OR($B666="",MIN(AC$38,$D$19)&lt;MAX($P$612*($B666+IF($R$17="Distrato",$I$38-1,0)),IF(AND($L$615=0,$P$612=0),"",$L$615-1),IF($R$17="Distrato",$E666,0))),0,YEARFRAC(MAX($P$612*($B666+IF($R$17="Distrato",$I$38-1,0)),IF(AND($L$615=0,$P$612=0),"",$L$615-1),IF($R$17="Distrato",$E666,0)),MIN(AC$38,$D$19),$P$20))-SUM($P666:AB666)</f>
        <v>0</v>
      </c>
      <c r="AD666" s="446">
        <f>IF(OR($B666="",MIN(AD$38,$D$19)&lt;MAX($P$612*($B666+IF($R$17="Distrato",$I$38-1,0)),IF(AND($L$615=0,$P$612=0),"",$L$615-1),IF($R$17="Distrato",$E666,0))),0,YEARFRAC(MAX($P$612*($B666+IF($R$17="Distrato",$I$38-1,0)),IF(AND($L$615=0,$P$612=0),"",$L$615-1),IF($R$17="Distrato",$E666,0)),MIN(AD$38,$D$19),$P$20))-SUM($P666:AC666)</f>
        <v>0</v>
      </c>
      <c r="AE666" s="446">
        <f>IF(OR($B666="",MIN(AE$38,$D$19)&lt;MAX($P$612*($B666+IF($R$17="Distrato",$I$38-1,0)),IF(AND($L$615=0,$P$612=0),"",$L$615-1),IF($R$17="Distrato",$E666,0))),0,YEARFRAC(MAX($P$612*($B666+IF($R$17="Distrato",$I$38-1,0)),IF(AND($L$615=0,$P$612=0),"",$L$615-1),IF($R$17="Distrato",$E666,0)),MIN(AE$38,$D$19),$P$20))-SUM($P666:AD666)</f>
        <v>0</v>
      </c>
      <c r="AF666" s="446">
        <f>IF(OR($B666="",MIN(AF$38,$D$19)&lt;MAX($P$612*($B666+IF($R$17="Distrato",$I$38-1,0)),IF(AND($L$615=0,$P$612=0),"",$L$615-1),IF($R$17="Distrato",$E666,0))),0,YEARFRAC(MAX($P$612*($B666+IF($R$17="Distrato",$I$38-1,0)),IF(AND($L$615=0,$P$612=0),"",$L$615-1),IF($R$17="Distrato",$E666,0)),MIN(AF$38,$D$19),$P$20))-SUM($P666:AE666)</f>
        <v>0</v>
      </c>
      <c r="AG666" s="446">
        <f>IF(OR($B666="",MIN(AG$38,$D$19)&lt;MAX($P$612*($B666+IF($R$17="Distrato",$I$38-1,0)),IF(AND($L$615=0,$P$612=0),"",$L$615-1),IF($R$17="Distrato",$E666,0))),0,YEARFRAC(MAX($P$612*($B666+IF($R$17="Distrato",$I$38-1,0)),IF(AND($L$615=0,$P$612=0),"",$L$615-1),IF($R$17="Distrato",$E666,0)),MIN(AG$38,$D$19),$P$20))-SUM($P666:AF666)</f>
        <v>0</v>
      </c>
      <c r="AH666" s="446">
        <f>IF(OR($B666="",MIN(AH$38,$D$19)&lt;MAX($P$612*($B666+IF($R$17="Distrato",$I$38-1,0)),IF(AND($L$615=0,$P$612=0),"",$L$615-1),IF($R$17="Distrato",$E666,0))),0,YEARFRAC(MAX($P$612*($B666+IF($R$17="Distrato",$I$38-1,0)),IF(AND($L$615=0,$P$612=0),"",$L$615-1),IF($R$17="Distrato",$E666,0)),MIN(AH$38,$D$19),$P$20))-SUM($P666:AG666)</f>
        <v>0</v>
      </c>
      <c r="AI666" s="446">
        <f>IF(OR($B666="",MIN(AI$38,$D$19)&lt;MAX($P$612*($B666+IF($R$17="Distrato",$I$38-1,0)),IF(AND($L$615=0,$P$612=0),"",$L$615-1),IF($R$17="Distrato",$E666,0))),0,YEARFRAC(MAX($P$612*($B666+IF($R$17="Distrato",$I$38-1,0)),IF(AND($L$615=0,$P$612=0),"",$L$615-1),IF($R$17="Distrato",$E666,0)),MIN(AI$38,$D$19),$P$20))-SUM($P666:AH666)</f>
        <v>0</v>
      </c>
      <c r="AJ666" s="446">
        <f>IF(OR($B666="",MIN(AJ$38,$D$19)&lt;MAX($P$612*($B666+IF($R$17="Distrato",$I$38-1,0)),IF(AND($L$615=0,$P$612=0),"",$L$615-1),IF($R$17="Distrato",$E666,0))),0,YEARFRAC(MAX($P$612*($B666+IF($R$17="Distrato",$I$38-1,0)),IF(AND($L$615=0,$P$612=0),"",$L$615-1),IF($R$17="Distrato",$E666,0)),MIN(AJ$38,$D$19),$P$20))-SUM($P666:AI666)</f>
        <v>0</v>
      </c>
      <c r="AK666" s="446">
        <f>IF(OR($B666="",MIN(AK$38,$D$19)&lt;MAX($P$612*($B666+IF($R$17="Distrato",$I$38-1,0)),IF(AND($L$615=0,$P$612=0),"",$L$615-1),IF($R$17="Distrato",$E666,0))),0,YEARFRAC(MAX($P$612*($B666+IF($R$17="Distrato",$I$38-1,0)),IF(AND($L$615=0,$P$612=0),"",$L$615-1),IF($R$17="Distrato",$E666,0)),MIN(AK$38,$D$19),$P$20))-SUM($P666:AJ666)</f>
        <v>0</v>
      </c>
      <c r="AL666" s="446">
        <f>IF(OR($B666="",MIN(AL$38,$D$19)&lt;MAX($P$612*($B666+IF($R$17="Distrato",$I$38-1,0)),IF(AND($L$615=0,$P$612=0),"",$L$615-1),IF($R$17="Distrato",$E666,0))),0,YEARFRAC(MAX($P$612*($B666+IF($R$17="Distrato",$I$38-1,0)),IF(AND($L$615=0,$P$612=0),"",$L$615-1),IF($R$17="Distrato",$E666,0)),MIN(AL$38,$D$19),$P$20))-SUM($P666:AK666)</f>
        <v>0</v>
      </c>
      <c r="AM666" s="446">
        <f>IF(OR($B666="",MIN(AM$38,$D$19)&lt;MAX($P$612*($B666+IF($R$17="Distrato",$I$38-1,0)),IF(AND($L$615=0,$P$612=0),"",$L$615-1),IF($R$17="Distrato",$E666,0))),0,YEARFRAC(MAX($P$612*($B666+IF($R$17="Distrato",$I$38-1,0)),IF(AND($L$615=0,$P$612=0),"",$L$615-1),IF($R$17="Distrato",$E666,0)),MIN(AM$38,$D$19),$P$20))-SUM($P666:AL666)</f>
        <v>0</v>
      </c>
      <c r="AN666" s="446">
        <f>IF(OR($B666="",MIN(AN$38,$D$19)&lt;MAX($P$612*($B666+IF($R$17="Distrato",$I$38-1,0)),IF(AND($L$615=0,$P$612=0),"",$L$615-1),IF($R$17="Distrato",$E666,0))),0,YEARFRAC(MAX($P$612*($B666+IF($R$17="Distrato",$I$38-1,0)),IF(AND($L$615=0,$P$612=0),"",$L$615-1),IF($R$17="Distrato",$E666,0)),MIN(AN$38,$D$19),$P$20))-SUM($P666:AM666)</f>
        <v>0</v>
      </c>
      <c r="AO666" s="446">
        <f>IF(OR($B666="",MIN(AO$38,$D$19)&lt;MAX($P$612*($B666+IF($R$17="Distrato",$I$38-1,0)),IF(AND($L$615=0,$P$612=0),"",$L$615-1),IF($R$17="Distrato",$E666,0))),0,YEARFRAC(MAX($P$612*($B666+IF($R$17="Distrato",$I$38-1,0)),IF(AND($L$615=0,$P$612=0),"",$L$615-1),IF($R$17="Distrato",$E666,0)),MIN(AO$38,$D$19),$P$20))-SUM($P666:AN666)</f>
        <v>0</v>
      </c>
      <c r="AP666" s="446">
        <f>IF(OR($B666="",MIN(AP$38,$D$19)&lt;MAX($P$612*($B666+IF($R$17="Distrato",$I$38-1,0)),IF(AND($L$615=0,$P$612=0),"",$L$615-1),IF($R$17="Distrato",$E666,0))),0,YEARFRAC(MAX($P$612*($B666+IF($R$17="Distrato",$I$38-1,0)),IF(AND($L$615=0,$P$612=0),"",$L$615-1),IF($R$17="Distrato",$E666,0)),MIN(AP$38,$D$19),$P$20))-SUM($P666:AO666)</f>
        <v>0</v>
      </c>
      <c r="AQ666" s="446">
        <f>IF(OR($B666="",MIN(AQ$38,$D$19)&lt;MAX($P$612*($B666+IF($R$17="Distrato",$I$38-1,0)),IF(AND($L$615=0,$P$612=0),"",$L$615-1),IF($R$17="Distrato",$E666,0))),0,YEARFRAC(MAX($P$612*($B666+IF($R$17="Distrato",$I$38-1,0)),IF(AND($L$615=0,$P$612=0),"",$L$615-1),IF($R$17="Distrato",$E666,0)),MIN(AQ$38,$D$19),$P$20))-SUM($P666:AP666)</f>
        <v>0</v>
      </c>
      <c r="AR666" s="446">
        <f>IF(OR($B666="",MIN(AR$38,$D$19)&lt;MAX($P$612*($B666+IF($R$17="Distrato",$I$38-1,0)),IF(AND($L$615=0,$P$612=0),"",$L$615-1),IF($R$17="Distrato",$E666,0))),0,YEARFRAC(MAX($P$612*($B666+IF($R$17="Distrato",$I$38-1,0)),IF(AND($L$615=0,$P$612=0),"",$L$615-1),IF($R$17="Distrato",$E666,0)),MIN(AR$38,$D$19),$P$20))-SUM($P666:AQ666)</f>
        <v>0</v>
      </c>
      <c r="AS666" s="446">
        <f>IF(OR($B666="",MIN(AS$38,$D$19)&lt;MAX($P$612*($B666+IF($R$17="Distrato",$I$38-1,0)),IF(AND($L$615=0,$P$612=0),"",$L$615-1),IF($R$17="Distrato",$E666,0))),0,YEARFRAC(MAX($P$612*($B666+IF($R$17="Distrato",$I$38-1,0)),IF(AND($L$615=0,$P$612=0),"",$L$615-1),IF($R$17="Distrato",$E666,0)),MIN(AS$38,$D$19),$P$20))-SUM($P666:AR666)</f>
        <v>0</v>
      </c>
      <c r="AT666" s="446">
        <f>IF(OR($B666="",MIN(AT$38,$D$19)&lt;MAX($P$612*($B666+IF($R$17="Distrato",$I$38-1,0)),IF(AND($L$615=0,$P$612=0),"",$L$615-1),IF($R$17="Distrato",$E666,0))),0,YEARFRAC(MAX($P$612*($B666+IF($R$17="Distrato",$I$38-1,0)),IF(AND($L$615=0,$P$612=0),"",$L$615-1),IF($R$17="Distrato",$E666,0)),MIN(AT$38,$D$19),$P$20))-SUM($P666:AS666)</f>
        <v>0</v>
      </c>
      <c r="AU666" s="446">
        <f>IF(OR($B666="",MIN(AU$38,$D$19)&lt;MAX($P$612*($B666+IF($R$17="Distrato",$I$38-1,0)),IF(AND($L$615=0,$P$612=0),"",$L$615-1),IF($R$17="Distrato",$E666,0))),0,YEARFRAC(MAX($P$612*($B666+IF($R$17="Distrato",$I$38-1,0)),IF(AND($L$615=0,$P$612=0),"",$L$615-1),IF($R$17="Distrato",$E666,0)),MIN(AU$38,$D$19),$P$20))-SUM($P666:AT666)</f>
        <v>0</v>
      </c>
      <c r="AV666" s="446">
        <f>IF(OR($B666="",MIN(AV$38,$D$19)&lt;MAX($P$612*($B666+IF($R$17="Distrato",$I$38-1,0)),IF(AND($L$615=0,$P$612=0),"",$L$615-1),IF($R$17="Distrato",$E666,0))),0,YEARFRAC(MAX($P$612*($B666+IF($R$17="Distrato",$I$38-1,0)),IF(AND($L$615=0,$P$612=0),"",$L$615-1),IF($R$17="Distrato",$E666,0)),MIN(AV$38,$D$19),$P$20))-SUM($P666:AU666)</f>
        <v>0</v>
      </c>
      <c r="AW666" s="446">
        <f>IF(OR($B666="",MIN(AW$38,$D$19)&lt;MAX($P$612*($B666+IF($R$17="Distrato",$I$38-1,0)),IF(AND($L$615=0,$P$612=0),"",$L$615-1),IF($R$17="Distrato",$E666,0))),0,YEARFRAC(MAX($P$612*($B666+IF($R$17="Distrato",$I$38-1,0)),IF(AND($L$615=0,$P$612=0),"",$L$615-1),IF($R$17="Distrato",$E666,0)),MIN(AW$38,$D$19),$P$20))-SUM($P666:AV666)</f>
        <v>0</v>
      </c>
      <c r="AX666" s="446">
        <f>IF(OR($B666="",MIN(AX$38,$D$19)&lt;MAX($P$612*($B666+IF($R$17="Distrato",$I$38-1,0)),IF(AND($L$615=0,$P$612=0),"",$L$615-1),IF($R$17="Distrato",$E666,0))),0,YEARFRAC(MAX($P$612*($B666+IF($R$17="Distrato",$I$38-1,0)),IF(AND($L$615=0,$P$612=0),"",$L$615-1),IF($R$17="Distrato",$E666,0)),MIN(AX$38,$D$19),$P$20))-SUM($P666:AW666)</f>
        <v>0</v>
      </c>
      <c r="AY666" s="446">
        <f>IF(OR($B666="",MIN(AY$38,$D$19)&lt;MAX($P$612*($B666+IF($R$17="Distrato",$I$38-1,0)),IF(AND($L$615=0,$P$612=0),"",$L$615-1),IF($R$17="Distrato",$E666,0))),0,YEARFRAC(MAX($P$612*($B666+IF($R$17="Distrato",$I$38-1,0)),IF(AND($L$615=0,$P$612=0),"",$L$615-1),IF($R$17="Distrato",$E666,0)),MIN(AY$38,$D$19),$P$20))-SUM($P666:AX666)</f>
        <v>0</v>
      </c>
      <c r="AZ666" s="446">
        <f>IF(OR($B666="",MIN(AZ$38,$D$19)&lt;MAX($P$612*($B666+IF($R$17="Distrato",$I$38-1,0)),IF(AND($L$615=0,$P$612=0),"",$L$615-1),IF($R$17="Distrato",$E666,0))),0,YEARFRAC(MAX($P$612*($B666+IF($R$17="Distrato",$I$38-1,0)),IF(AND($L$615=0,$P$612=0),"",$L$615-1),IF($R$17="Distrato",$E666,0)),MIN(AZ$38,$D$19),$P$20))-SUM($P666:AY666)</f>
        <v>0</v>
      </c>
      <c r="BA666" s="446">
        <f>IF(OR($B666="",MIN(BA$38,$D$19)&lt;MAX($P$612*($B666+IF($R$17="Distrato",$I$38-1,0)),IF(AND($L$615=0,$P$612=0),"",$L$615-1),IF($R$17="Distrato",$E666,0))),0,YEARFRAC(MAX($P$612*($B666+IF($R$17="Distrato",$I$38-1,0)),IF(AND($L$615=0,$P$612=0),"",$L$615-1),IF($R$17="Distrato",$E666,0)),MIN(BA$38,$D$19),$P$20))-SUM($P666:AZ666)</f>
        <v>0</v>
      </c>
      <c r="BB666" s="447"/>
    </row>
    <row r="667" spans="1:54" s="446" customFormat="1" ht="11.25" hidden="1" x14ac:dyDescent="0.2">
      <c r="A667" s="177"/>
      <c r="B667" s="178"/>
      <c r="C667" s="29" t="str">
        <f>IF(B667="","",IF($L$613="SELIC - TRIBUTOS",VLOOKUP(DATE(YEAR($D$19),MONTH($D$19)-1,1),ÍNDICES!$A:$DE,HLOOKUP($BL$25,ÍNDICES!$B$3:$T$4,2)+11)-VLOOKUP(B667,ÍNDICES!$A:$DE,HLOOKUP($BL$25,ÍNDICES!$B$3:$T$4,2)+11)+1%,IF(C$616=$W$26,$J$613,IF(ISERROR(IF(B667&gt;$D$19,1,VLOOKUP(DATE(YEAR(B667),MONTH(B667)+IF($C$613=$S$23,1,0),1),ÍNDICES!$A:$DE,$Z$613+1))),"",IF(B667&gt;$D$19,1,VLOOKUP(DATE(YEAR(B667),MONTH(B667)+IF($C$613=$S$23,1,0),1),ÍNDICES!$A:$DE,$Z$613+1))))))</f>
        <v/>
      </c>
      <c r="D667" s="155"/>
      <c r="E667" s="179"/>
      <c r="F667" s="29"/>
      <c r="G667" s="180"/>
      <c r="H667" s="181"/>
      <c r="I667" s="182" t="str">
        <f t="shared" si="107"/>
        <v/>
      </c>
      <c r="J667" s="5" t="str">
        <f t="shared" si="108"/>
        <v/>
      </c>
      <c r="K667" s="5">
        <f t="shared" ca="1" si="109"/>
        <v>0</v>
      </c>
      <c r="L667" s="5">
        <f t="shared" ca="1" si="112"/>
        <v>0</v>
      </c>
      <c r="M667" s="64">
        <f t="shared" si="110"/>
        <v>0</v>
      </c>
      <c r="N667" s="61">
        <f t="shared" ca="1" si="113"/>
        <v>0</v>
      </c>
      <c r="O667" s="20">
        <f t="shared" ca="1" si="106"/>
        <v>0</v>
      </c>
      <c r="P667" s="446">
        <f t="shared" si="114"/>
        <v>0</v>
      </c>
      <c r="Q667" s="446">
        <f>IF(OR($B667="",MIN(Q$38,$D$19)&lt;MAX($P$612*($B667+IF($R$17="Distrato",$I$38-1,0)),IF(AND($L$615=0,$P$612=0),"",$L$615-1),IF($R$17="Distrato",$E667,0))),0,YEARFRAC(MAX($P$612*($B667+IF($R$17="Distrato",$I$38-1,0)),IF(AND($L$615=0,$P$612=0),"",$L$615-1),IF($R$17="Distrato",$E667,0)),MIN(Q$38,$D$19),$P$20))-SUM($P667:P667)</f>
        <v>0</v>
      </c>
      <c r="R667" s="446">
        <f>IF(OR($B667="",MIN(R$38,$D$19)&lt;MAX($P$612*($B667+IF($R$17="Distrato",$I$38-1,0)),IF(AND($L$615=0,$P$612=0),"",$L$615-1),IF($R$17="Distrato",$E667,0))),0,YEARFRAC(MAX($P$612*($B667+IF($R$17="Distrato",$I$38-1,0)),IF(AND($L$615=0,$P$612=0),"",$L$615-1),IF($R$17="Distrato",$E667,0)),MIN(R$38,$D$19),$P$20))-SUM($P667:Q667)</f>
        <v>0</v>
      </c>
      <c r="S667" s="446">
        <f>IF(OR($B667="",MIN(S$38,$D$19)&lt;MAX($P$612*($B667+IF($R$17="Distrato",$I$38-1,0)),IF(AND($L$615=0,$P$612=0),"",$L$615-1),IF($R$17="Distrato",$E667,0))),0,YEARFRAC(MAX($P$612*($B667+IF($R$17="Distrato",$I$38-1,0)),IF(AND($L$615=0,$P$612=0),"",$L$615-1),IF($R$17="Distrato",$E667,0)),MIN(S$38,$D$19),$P$20))-SUM($P667:R667)</f>
        <v>0</v>
      </c>
      <c r="T667" s="446">
        <f>IF(OR($B667="",MIN(T$38,$D$19)&lt;MAX($P$612*($B667+IF($R$17="Distrato",$I$38-1,0)),IF(AND($L$615=0,$P$612=0),"",$L$615-1),IF($R$17="Distrato",$E667,0))),0,YEARFRAC(MAX($P$612*($B667+IF($R$17="Distrato",$I$38-1,0)),IF(AND($L$615=0,$P$612=0),"",$L$615-1),IF($R$17="Distrato",$E667,0)),MIN(T$38,$D$19),$P$20))-SUM($P667:S667)</f>
        <v>0</v>
      </c>
      <c r="U667" s="446">
        <f>IF(OR($B667="",MIN(U$38,$D$19)&lt;MAX($P$612*($B667+IF($R$17="Distrato",$I$38-1,0)),IF(AND($L$615=0,$P$612=0),"",$L$615-1),IF($R$17="Distrato",$E667,0))),0,YEARFRAC(MAX($P$612*($B667+IF($R$17="Distrato",$I$38-1,0)),IF(AND($L$615=0,$P$612=0),"",$L$615-1),IF($R$17="Distrato",$E667,0)),MIN(U$38,$D$19),$P$20))-SUM($P667:T667)</f>
        <v>0</v>
      </c>
      <c r="V667" s="446">
        <f>IF(OR($B667="",MIN(V$38,$D$19)&lt;MAX($P$612*($B667+IF($R$17="Distrato",$I$38-1,0)),IF(AND($L$615=0,$P$612=0),"",$L$615-1),IF($R$17="Distrato",$E667,0))),0,YEARFRAC(MAX($P$612*($B667+IF($R$17="Distrato",$I$38-1,0)),IF(AND($L$615=0,$P$612=0),"",$L$615-1),IF($R$17="Distrato",$E667,0)),MIN(V$38,$D$19),$P$20))-SUM($P667:U667)</f>
        <v>0</v>
      </c>
      <c r="W667" s="446">
        <f>IF(OR($B667="",MIN(W$38,$D$19)&lt;MAX($P$612*($B667+IF($R$17="Distrato",$I$38-1,0)),IF(AND($L$615=0,$P$612=0),"",$L$615-1),IF($R$17="Distrato",$E667,0))),0,YEARFRAC(MAX($P$612*($B667+IF($R$17="Distrato",$I$38-1,0)),IF(AND($L$615=0,$P$612=0),"",$L$615-1),IF($R$17="Distrato",$E667,0)),MIN(W$38,$D$19),$P$20))-SUM($P667:V667)</f>
        <v>0</v>
      </c>
      <c r="X667" s="446">
        <f>IF(OR($B667="",MIN(X$38,$D$19)&lt;MAX($P$612*($B667+IF($R$17="Distrato",$I$38-1,0)),IF(AND($L$615=0,$P$612=0),"",$L$615-1),IF($R$17="Distrato",$E667,0))),0,YEARFRAC(MAX($P$612*($B667+IF($R$17="Distrato",$I$38-1,0)),IF(AND($L$615=0,$P$612=0),"",$L$615-1),IF($R$17="Distrato",$E667,0)),MIN(X$38,$D$19),$P$20))-SUM($P667:W667)</f>
        <v>0</v>
      </c>
      <c r="Y667" s="446">
        <f>IF(OR($B667="",MIN(Y$38,$D$19)&lt;MAX($P$612*($B667+IF($R$17="Distrato",$I$38-1,0)),IF(AND($L$615=0,$P$612=0),"",$L$615-1),IF($R$17="Distrato",$E667,0))),0,YEARFRAC(MAX($P$612*($B667+IF($R$17="Distrato",$I$38-1,0)),IF(AND($L$615=0,$P$612=0),"",$L$615-1),IF($R$17="Distrato",$E667,0)),MIN(Y$38,$D$19),$P$20))-SUM($P667:X667)</f>
        <v>0</v>
      </c>
      <c r="Z667" s="446">
        <f>IF(OR($B667="",MIN(Z$38,$D$19)&lt;MAX($P$612*($B667+IF($R$17="Distrato",$I$38-1,0)),IF(AND($L$615=0,$P$612=0),"",$L$615-1),IF($R$17="Distrato",$E667,0))),0,YEARFRAC(MAX($P$612*($B667+IF($R$17="Distrato",$I$38-1,0)),IF(AND($L$615=0,$P$612=0),"",$L$615-1),IF($R$17="Distrato",$E667,0)),MIN(Z$38,$D$19),$P$20))-SUM($P667:Y667)</f>
        <v>0</v>
      </c>
      <c r="AA667" s="446">
        <f>IF(OR($B667="",MIN(AA$38,$D$19)&lt;MAX($P$612*($B667+IF($R$17="Distrato",$I$38-1,0)),IF(AND($L$615=0,$P$612=0),"",$L$615-1),IF($R$17="Distrato",$E667,0))),0,YEARFRAC(MAX($P$612*($B667+IF($R$17="Distrato",$I$38-1,0)),IF(AND($L$615=0,$P$612=0),"",$L$615-1),IF($R$17="Distrato",$E667,0)),MIN(AA$38,$D$19),$P$20))-SUM($P667:Z667)</f>
        <v>0</v>
      </c>
      <c r="AB667" s="446">
        <f>IF(OR($B667="",MIN(AB$38,$D$19)&lt;MAX($P$612*($B667+IF($R$17="Distrato",$I$38-1,0)),IF(AND($L$615=0,$P$612=0),"",$L$615-1),IF($R$17="Distrato",$E667,0))),0,YEARFRAC(MAX($P$612*($B667+IF($R$17="Distrato",$I$38-1,0)),IF(AND($L$615=0,$P$612=0),"",$L$615-1),IF($R$17="Distrato",$E667,0)),MIN(AB$38,$D$19),$P$20))-SUM($P667:AA667)</f>
        <v>0</v>
      </c>
      <c r="AC667" s="446">
        <f>IF(OR($B667="",MIN(AC$38,$D$19)&lt;MAX($P$612*($B667+IF($R$17="Distrato",$I$38-1,0)),IF(AND($L$615=0,$P$612=0),"",$L$615-1),IF($R$17="Distrato",$E667,0))),0,YEARFRAC(MAX($P$612*($B667+IF($R$17="Distrato",$I$38-1,0)),IF(AND($L$615=0,$P$612=0),"",$L$615-1),IF($R$17="Distrato",$E667,0)),MIN(AC$38,$D$19),$P$20))-SUM($P667:AB667)</f>
        <v>0</v>
      </c>
      <c r="AD667" s="446">
        <f>IF(OR($B667="",MIN(AD$38,$D$19)&lt;MAX($P$612*($B667+IF($R$17="Distrato",$I$38-1,0)),IF(AND($L$615=0,$P$612=0),"",$L$615-1),IF($R$17="Distrato",$E667,0))),0,YEARFRAC(MAX($P$612*($B667+IF($R$17="Distrato",$I$38-1,0)),IF(AND($L$615=0,$P$612=0),"",$L$615-1),IF($R$17="Distrato",$E667,0)),MIN(AD$38,$D$19),$P$20))-SUM($P667:AC667)</f>
        <v>0</v>
      </c>
      <c r="AE667" s="446">
        <f>IF(OR($B667="",MIN(AE$38,$D$19)&lt;MAX($P$612*($B667+IF($R$17="Distrato",$I$38-1,0)),IF(AND($L$615=0,$P$612=0),"",$L$615-1),IF($R$17="Distrato",$E667,0))),0,YEARFRAC(MAX($P$612*($B667+IF($R$17="Distrato",$I$38-1,0)),IF(AND($L$615=0,$P$612=0),"",$L$615-1),IF($R$17="Distrato",$E667,0)),MIN(AE$38,$D$19),$P$20))-SUM($P667:AD667)</f>
        <v>0</v>
      </c>
      <c r="AF667" s="446">
        <f>IF(OR($B667="",MIN(AF$38,$D$19)&lt;MAX($P$612*($B667+IF($R$17="Distrato",$I$38-1,0)),IF(AND($L$615=0,$P$612=0),"",$L$615-1),IF($R$17="Distrato",$E667,0))),0,YEARFRAC(MAX($P$612*($B667+IF($R$17="Distrato",$I$38-1,0)),IF(AND($L$615=0,$P$612=0),"",$L$615-1),IF($R$17="Distrato",$E667,0)),MIN(AF$38,$D$19),$P$20))-SUM($P667:AE667)</f>
        <v>0</v>
      </c>
      <c r="AG667" s="446">
        <f>IF(OR($B667="",MIN(AG$38,$D$19)&lt;MAX($P$612*($B667+IF($R$17="Distrato",$I$38-1,0)),IF(AND($L$615=0,$P$612=0),"",$L$615-1),IF($R$17="Distrato",$E667,0))),0,YEARFRAC(MAX($P$612*($B667+IF($R$17="Distrato",$I$38-1,0)),IF(AND($L$615=0,$P$612=0),"",$L$615-1),IF($R$17="Distrato",$E667,0)),MIN(AG$38,$D$19),$P$20))-SUM($P667:AF667)</f>
        <v>0</v>
      </c>
      <c r="AH667" s="446">
        <f>IF(OR($B667="",MIN(AH$38,$D$19)&lt;MAX($P$612*($B667+IF($R$17="Distrato",$I$38-1,0)),IF(AND($L$615=0,$P$612=0),"",$L$615-1),IF($R$17="Distrato",$E667,0))),0,YEARFRAC(MAX($P$612*($B667+IF($R$17="Distrato",$I$38-1,0)),IF(AND($L$615=0,$P$612=0),"",$L$615-1),IF($R$17="Distrato",$E667,0)),MIN(AH$38,$D$19),$P$20))-SUM($P667:AG667)</f>
        <v>0</v>
      </c>
      <c r="AI667" s="446">
        <f>IF(OR($B667="",MIN(AI$38,$D$19)&lt;MAX($P$612*($B667+IF($R$17="Distrato",$I$38-1,0)),IF(AND($L$615=0,$P$612=0),"",$L$615-1),IF($R$17="Distrato",$E667,0))),0,YEARFRAC(MAX($P$612*($B667+IF($R$17="Distrato",$I$38-1,0)),IF(AND($L$615=0,$P$612=0),"",$L$615-1),IF($R$17="Distrato",$E667,0)),MIN(AI$38,$D$19),$P$20))-SUM($P667:AH667)</f>
        <v>0</v>
      </c>
      <c r="AJ667" s="446">
        <f>IF(OR($B667="",MIN(AJ$38,$D$19)&lt;MAX($P$612*($B667+IF($R$17="Distrato",$I$38-1,0)),IF(AND($L$615=0,$P$612=0),"",$L$615-1),IF($R$17="Distrato",$E667,0))),0,YEARFRAC(MAX($P$612*($B667+IF($R$17="Distrato",$I$38-1,0)),IF(AND($L$615=0,$P$612=0),"",$L$615-1),IF($R$17="Distrato",$E667,0)),MIN(AJ$38,$D$19),$P$20))-SUM($P667:AI667)</f>
        <v>0</v>
      </c>
      <c r="AK667" s="446">
        <f>IF(OR($B667="",MIN(AK$38,$D$19)&lt;MAX($P$612*($B667+IF($R$17="Distrato",$I$38-1,0)),IF(AND($L$615=0,$P$612=0),"",$L$615-1),IF($R$17="Distrato",$E667,0))),0,YEARFRAC(MAX($P$612*($B667+IF($R$17="Distrato",$I$38-1,0)),IF(AND($L$615=0,$P$612=0),"",$L$615-1),IF($R$17="Distrato",$E667,0)),MIN(AK$38,$D$19),$P$20))-SUM($P667:AJ667)</f>
        <v>0</v>
      </c>
      <c r="AL667" s="446">
        <f>IF(OR($B667="",MIN(AL$38,$D$19)&lt;MAX($P$612*($B667+IF($R$17="Distrato",$I$38-1,0)),IF(AND($L$615=0,$P$612=0),"",$L$615-1),IF($R$17="Distrato",$E667,0))),0,YEARFRAC(MAX($P$612*($B667+IF($R$17="Distrato",$I$38-1,0)),IF(AND($L$615=0,$P$612=0),"",$L$615-1),IF($R$17="Distrato",$E667,0)),MIN(AL$38,$D$19),$P$20))-SUM($P667:AK667)</f>
        <v>0</v>
      </c>
      <c r="AM667" s="446">
        <f>IF(OR($B667="",MIN(AM$38,$D$19)&lt;MAX($P$612*($B667+IF($R$17="Distrato",$I$38-1,0)),IF(AND($L$615=0,$P$612=0),"",$L$615-1),IF($R$17="Distrato",$E667,0))),0,YEARFRAC(MAX($P$612*($B667+IF($R$17="Distrato",$I$38-1,0)),IF(AND($L$615=0,$P$612=0),"",$L$615-1),IF($R$17="Distrato",$E667,0)),MIN(AM$38,$D$19),$P$20))-SUM($P667:AL667)</f>
        <v>0</v>
      </c>
      <c r="AN667" s="446">
        <f>IF(OR($B667="",MIN(AN$38,$D$19)&lt;MAX($P$612*($B667+IF($R$17="Distrato",$I$38-1,0)),IF(AND($L$615=0,$P$612=0),"",$L$615-1),IF($R$17="Distrato",$E667,0))),0,YEARFRAC(MAX($P$612*($B667+IF($R$17="Distrato",$I$38-1,0)),IF(AND($L$615=0,$P$612=0),"",$L$615-1),IF($R$17="Distrato",$E667,0)),MIN(AN$38,$D$19),$P$20))-SUM($P667:AM667)</f>
        <v>0</v>
      </c>
      <c r="AO667" s="446">
        <f>IF(OR($B667="",MIN(AO$38,$D$19)&lt;MAX($P$612*($B667+IF($R$17="Distrato",$I$38-1,0)),IF(AND($L$615=0,$P$612=0),"",$L$615-1),IF($R$17="Distrato",$E667,0))),0,YEARFRAC(MAX($P$612*($B667+IF($R$17="Distrato",$I$38-1,0)),IF(AND($L$615=0,$P$612=0),"",$L$615-1),IF($R$17="Distrato",$E667,0)),MIN(AO$38,$D$19),$P$20))-SUM($P667:AN667)</f>
        <v>0</v>
      </c>
      <c r="AP667" s="446">
        <f>IF(OR($B667="",MIN(AP$38,$D$19)&lt;MAX($P$612*($B667+IF($R$17="Distrato",$I$38-1,0)),IF(AND($L$615=0,$P$612=0),"",$L$615-1),IF($R$17="Distrato",$E667,0))),0,YEARFRAC(MAX($P$612*($B667+IF($R$17="Distrato",$I$38-1,0)),IF(AND($L$615=0,$P$612=0),"",$L$615-1),IF($R$17="Distrato",$E667,0)),MIN(AP$38,$D$19),$P$20))-SUM($P667:AO667)</f>
        <v>0</v>
      </c>
      <c r="AQ667" s="446">
        <f>IF(OR($B667="",MIN(AQ$38,$D$19)&lt;MAX($P$612*($B667+IF($R$17="Distrato",$I$38-1,0)),IF(AND($L$615=0,$P$612=0),"",$L$615-1),IF($R$17="Distrato",$E667,0))),0,YEARFRAC(MAX($P$612*($B667+IF($R$17="Distrato",$I$38-1,0)),IF(AND($L$615=0,$P$612=0),"",$L$615-1),IF($R$17="Distrato",$E667,0)),MIN(AQ$38,$D$19),$P$20))-SUM($P667:AP667)</f>
        <v>0</v>
      </c>
      <c r="AR667" s="446">
        <f>IF(OR($B667="",MIN(AR$38,$D$19)&lt;MAX($P$612*($B667+IF($R$17="Distrato",$I$38-1,0)),IF(AND($L$615=0,$P$612=0),"",$L$615-1),IF($R$17="Distrato",$E667,0))),0,YEARFRAC(MAX($P$612*($B667+IF($R$17="Distrato",$I$38-1,0)),IF(AND($L$615=0,$P$612=0),"",$L$615-1),IF($R$17="Distrato",$E667,0)),MIN(AR$38,$D$19),$P$20))-SUM($P667:AQ667)</f>
        <v>0</v>
      </c>
      <c r="AS667" s="446">
        <f>IF(OR($B667="",MIN(AS$38,$D$19)&lt;MAX($P$612*($B667+IF($R$17="Distrato",$I$38-1,0)),IF(AND($L$615=0,$P$612=0),"",$L$615-1),IF($R$17="Distrato",$E667,0))),0,YEARFRAC(MAX($P$612*($B667+IF($R$17="Distrato",$I$38-1,0)),IF(AND($L$615=0,$P$612=0),"",$L$615-1),IF($R$17="Distrato",$E667,0)),MIN(AS$38,$D$19),$P$20))-SUM($P667:AR667)</f>
        <v>0</v>
      </c>
      <c r="AT667" s="446">
        <f>IF(OR($B667="",MIN(AT$38,$D$19)&lt;MAX($P$612*($B667+IF($R$17="Distrato",$I$38-1,0)),IF(AND($L$615=0,$P$612=0),"",$L$615-1),IF($R$17="Distrato",$E667,0))),0,YEARFRAC(MAX($P$612*($B667+IF($R$17="Distrato",$I$38-1,0)),IF(AND($L$615=0,$P$612=0),"",$L$615-1),IF($R$17="Distrato",$E667,0)),MIN(AT$38,$D$19),$P$20))-SUM($P667:AS667)</f>
        <v>0</v>
      </c>
      <c r="AU667" s="446">
        <f>IF(OR($B667="",MIN(AU$38,$D$19)&lt;MAX($P$612*($B667+IF($R$17="Distrato",$I$38-1,0)),IF(AND($L$615=0,$P$612=0),"",$L$615-1),IF($R$17="Distrato",$E667,0))),0,YEARFRAC(MAX($P$612*($B667+IF($R$17="Distrato",$I$38-1,0)),IF(AND($L$615=0,$P$612=0),"",$L$615-1),IF($R$17="Distrato",$E667,0)),MIN(AU$38,$D$19),$P$20))-SUM($P667:AT667)</f>
        <v>0</v>
      </c>
      <c r="AV667" s="446">
        <f>IF(OR($B667="",MIN(AV$38,$D$19)&lt;MAX($P$612*($B667+IF($R$17="Distrato",$I$38-1,0)),IF(AND($L$615=0,$P$612=0),"",$L$615-1),IF($R$17="Distrato",$E667,0))),0,YEARFRAC(MAX($P$612*($B667+IF($R$17="Distrato",$I$38-1,0)),IF(AND($L$615=0,$P$612=0),"",$L$615-1),IF($R$17="Distrato",$E667,0)),MIN(AV$38,$D$19),$P$20))-SUM($P667:AU667)</f>
        <v>0</v>
      </c>
      <c r="AW667" s="446">
        <f>IF(OR($B667="",MIN(AW$38,$D$19)&lt;MAX($P$612*($B667+IF($R$17="Distrato",$I$38-1,0)),IF(AND($L$615=0,$P$612=0),"",$L$615-1),IF($R$17="Distrato",$E667,0))),0,YEARFRAC(MAX($P$612*($B667+IF($R$17="Distrato",$I$38-1,0)),IF(AND($L$615=0,$P$612=0),"",$L$615-1),IF($R$17="Distrato",$E667,0)),MIN(AW$38,$D$19),$P$20))-SUM($P667:AV667)</f>
        <v>0</v>
      </c>
      <c r="AX667" s="446">
        <f>IF(OR($B667="",MIN(AX$38,$D$19)&lt;MAX($P$612*($B667+IF($R$17="Distrato",$I$38-1,0)),IF(AND($L$615=0,$P$612=0),"",$L$615-1),IF($R$17="Distrato",$E667,0))),0,YEARFRAC(MAX($P$612*($B667+IF($R$17="Distrato",$I$38-1,0)),IF(AND($L$615=0,$P$612=0),"",$L$615-1),IF($R$17="Distrato",$E667,0)),MIN(AX$38,$D$19),$P$20))-SUM($P667:AW667)</f>
        <v>0</v>
      </c>
      <c r="AY667" s="446">
        <f>IF(OR($B667="",MIN(AY$38,$D$19)&lt;MAX($P$612*($B667+IF($R$17="Distrato",$I$38-1,0)),IF(AND($L$615=0,$P$612=0),"",$L$615-1),IF($R$17="Distrato",$E667,0))),0,YEARFRAC(MAX($P$612*($B667+IF($R$17="Distrato",$I$38-1,0)),IF(AND($L$615=0,$P$612=0),"",$L$615-1),IF($R$17="Distrato",$E667,0)),MIN(AY$38,$D$19),$P$20))-SUM($P667:AX667)</f>
        <v>0</v>
      </c>
      <c r="AZ667" s="446">
        <f>IF(OR($B667="",MIN(AZ$38,$D$19)&lt;MAX($P$612*($B667+IF($R$17="Distrato",$I$38-1,0)),IF(AND($L$615=0,$P$612=0),"",$L$615-1),IF($R$17="Distrato",$E667,0))),0,YEARFRAC(MAX($P$612*($B667+IF($R$17="Distrato",$I$38-1,0)),IF(AND($L$615=0,$P$612=0),"",$L$615-1),IF($R$17="Distrato",$E667,0)),MIN(AZ$38,$D$19),$P$20))-SUM($P667:AY667)</f>
        <v>0</v>
      </c>
      <c r="BA667" s="446">
        <f>IF(OR($B667="",MIN(BA$38,$D$19)&lt;MAX($P$612*($B667+IF($R$17="Distrato",$I$38-1,0)),IF(AND($L$615=0,$P$612=0),"",$L$615-1),IF($R$17="Distrato",$E667,0))),0,YEARFRAC(MAX($P$612*($B667+IF($R$17="Distrato",$I$38-1,0)),IF(AND($L$615=0,$P$612=0),"",$L$615-1),IF($R$17="Distrato",$E667,0)),MIN(BA$38,$D$19),$P$20))-SUM($P667:AZ667)</f>
        <v>0</v>
      </c>
      <c r="BB667" s="447"/>
    </row>
    <row r="668" spans="1:54" s="446" customFormat="1" ht="11.25" hidden="1" x14ac:dyDescent="0.2">
      <c r="A668" s="177"/>
      <c r="B668" s="178"/>
      <c r="C668" s="29" t="str">
        <f>IF(B668="","",IF($L$613="SELIC - TRIBUTOS",VLOOKUP(DATE(YEAR($D$19),MONTH($D$19)-1,1),ÍNDICES!$A:$DE,HLOOKUP($BL$25,ÍNDICES!$B$3:$T$4,2)+11)-VLOOKUP(B668,ÍNDICES!$A:$DE,HLOOKUP($BL$25,ÍNDICES!$B$3:$T$4,2)+11)+1%,IF(C$616=$W$26,$J$613,IF(ISERROR(IF(B668&gt;$D$19,1,VLOOKUP(DATE(YEAR(B668),MONTH(B668)+IF($C$613=$S$23,1,0),1),ÍNDICES!$A:$DE,$Z$613+1))),"",IF(B668&gt;$D$19,1,VLOOKUP(DATE(YEAR(B668),MONTH(B668)+IF($C$613=$S$23,1,0),1),ÍNDICES!$A:$DE,$Z$613+1))))))</f>
        <v/>
      </c>
      <c r="D668" s="155"/>
      <c r="E668" s="179"/>
      <c r="F668" s="29"/>
      <c r="G668" s="180"/>
      <c r="H668" s="181"/>
      <c r="I668" s="182" t="str">
        <f t="shared" si="107"/>
        <v/>
      </c>
      <c r="J668" s="5" t="str">
        <f t="shared" si="108"/>
        <v/>
      </c>
      <c r="K668" s="5">
        <f t="shared" ca="1" si="109"/>
        <v>0</v>
      </c>
      <c r="L668" s="5">
        <f t="shared" ca="1" si="112"/>
        <v>0</v>
      </c>
      <c r="M668" s="64">
        <f t="shared" si="110"/>
        <v>0</v>
      </c>
      <c r="N668" s="61">
        <f t="shared" ca="1" si="113"/>
        <v>0</v>
      </c>
      <c r="O668" s="20">
        <f t="shared" ca="1" si="106"/>
        <v>0</v>
      </c>
      <c r="P668" s="446">
        <f t="shared" si="114"/>
        <v>0</v>
      </c>
      <c r="Q668" s="446">
        <f>IF(OR($B668="",MIN(Q$38,$D$19)&lt;MAX($P$612*($B668+IF($R$17="Distrato",$I$38-1,0)),IF(AND($L$615=0,$P$612=0),"",$L$615-1),IF($R$17="Distrato",$E668,0))),0,YEARFRAC(MAX($P$612*($B668+IF($R$17="Distrato",$I$38-1,0)),IF(AND($L$615=0,$P$612=0),"",$L$615-1),IF($R$17="Distrato",$E668,0)),MIN(Q$38,$D$19),$P$20))-SUM($P668:P668)</f>
        <v>0</v>
      </c>
      <c r="R668" s="446">
        <f>IF(OR($B668="",MIN(R$38,$D$19)&lt;MAX($P$612*($B668+IF($R$17="Distrato",$I$38-1,0)),IF(AND($L$615=0,$P$612=0),"",$L$615-1),IF($R$17="Distrato",$E668,0))),0,YEARFRAC(MAX($P$612*($B668+IF($R$17="Distrato",$I$38-1,0)),IF(AND($L$615=0,$P$612=0),"",$L$615-1),IF($R$17="Distrato",$E668,0)),MIN(R$38,$D$19),$P$20))-SUM($P668:Q668)</f>
        <v>0</v>
      </c>
      <c r="S668" s="446">
        <f>IF(OR($B668="",MIN(S$38,$D$19)&lt;MAX($P$612*($B668+IF($R$17="Distrato",$I$38-1,0)),IF(AND($L$615=0,$P$612=0),"",$L$615-1),IF($R$17="Distrato",$E668,0))),0,YEARFRAC(MAX($P$612*($B668+IF($R$17="Distrato",$I$38-1,0)),IF(AND($L$615=0,$P$612=0),"",$L$615-1),IF($R$17="Distrato",$E668,0)),MIN(S$38,$D$19),$P$20))-SUM($P668:R668)</f>
        <v>0</v>
      </c>
      <c r="T668" s="446">
        <f>IF(OR($B668="",MIN(T$38,$D$19)&lt;MAX($P$612*($B668+IF($R$17="Distrato",$I$38-1,0)),IF(AND($L$615=0,$P$612=0),"",$L$615-1),IF($R$17="Distrato",$E668,0))),0,YEARFRAC(MAX($P$612*($B668+IF($R$17="Distrato",$I$38-1,0)),IF(AND($L$615=0,$P$612=0),"",$L$615-1),IF($R$17="Distrato",$E668,0)),MIN(T$38,$D$19),$P$20))-SUM($P668:S668)</f>
        <v>0</v>
      </c>
      <c r="U668" s="446">
        <f>IF(OR($B668="",MIN(U$38,$D$19)&lt;MAX($P$612*($B668+IF($R$17="Distrato",$I$38-1,0)),IF(AND($L$615=0,$P$612=0),"",$L$615-1),IF($R$17="Distrato",$E668,0))),0,YEARFRAC(MAX($P$612*($B668+IF($R$17="Distrato",$I$38-1,0)),IF(AND($L$615=0,$P$612=0),"",$L$615-1),IF($R$17="Distrato",$E668,0)),MIN(U$38,$D$19),$P$20))-SUM($P668:T668)</f>
        <v>0</v>
      </c>
      <c r="V668" s="446">
        <f>IF(OR($B668="",MIN(V$38,$D$19)&lt;MAX($P$612*($B668+IF($R$17="Distrato",$I$38-1,0)),IF(AND($L$615=0,$P$612=0),"",$L$615-1),IF($R$17="Distrato",$E668,0))),0,YEARFRAC(MAX($P$612*($B668+IF($R$17="Distrato",$I$38-1,0)),IF(AND($L$615=0,$P$612=0),"",$L$615-1),IF($R$17="Distrato",$E668,0)),MIN(V$38,$D$19),$P$20))-SUM($P668:U668)</f>
        <v>0</v>
      </c>
      <c r="W668" s="446">
        <f>IF(OR($B668="",MIN(W$38,$D$19)&lt;MAX($P$612*($B668+IF($R$17="Distrato",$I$38-1,0)),IF(AND($L$615=0,$P$612=0),"",$L$615-1),IF($R$17="Distrato",$E668,0))),0,YEARFRAC(MAX($P$612*($B668+IF($R$17="Distrato",$I$38-1,0)),IF(AND($L$615=0,$P$612=0),"",$L$615-1),IF($R$17="Distrato",$E668,0)),MIN(W$38,$D$19),$P$20))-SUM($P668:V668)</f>
        <v>0</v>
      </c>
      <c r="X668" s="446">
        <f>IF(OR($B668="",MIN(X$38,$D$19)&lt;MAX($P$612*($B668+IF($R$17="Distrato",$I$38-1,0)),IF(AND($L$615=0,$P$612=0),"",$L$615-1),IF($R$17="Distrato",$E668,0))),0,YEARFRAC(MAX($P$612*($B668+IF($R$17="Distrato",$I$38-1,0)),IF(AND($L$615=0,$P$612=0),"",$L$615-1),IF($R$17="Distrato",$E668,0)),MIN(X$38,$D$19),$P$20))-SUM($P668:W668)</f>
        <v>0</v>
      </c>
      <c r="Y668" s="446">
        <f>IF(OR($B668="",MIN(Y$38,$D$19)&lt;MAX($P$612*($B668+IF($R$17="Distrato",$I$38-1,0)),IF(AND($L$615=0,$P$612=0),"",$L$615-1),IF($R$17="Distrato",$E668,0))),0,YEARFRAC(MAX($P$612*($B668+IF($R$17="Distrato",$I$38-1,0)),IF(AND($L$615=0,$P$612=0),"",$L$615-1),IF($R$17="Distrato",$E668,0)),MIN(Y$38,$D$19),$P$20))-SUM($P668:X668)</f>
        <v>0</v>
      </c>
      <c r="Z668" s="446">
        <f>IF(OR($B668="",MIN(Z$38,$D$19)&lt;MAX($P$612*($B668+IF($R$17="Distrato",$I$38-1,0)),IF(AND($L$615=0,$P$612=0),"",$L$615-1),IF($R$17="Distrato",$E668,0))),0,YEARFRAC(MAX($P$612*($B668+IF($R$17="Distrato",$I$38-1,0)),IF(AND($L$615=0,$P$612=0),"",$L$615-1),IF($R$17="Distrato",$E668,0)),MIN(Z$38,$D$19),$P$20))-SUM($P668:Y668)</f>
        <v>0</v>
      </c>
      <c r="AA668" s="446">
        <f>IF(OR($B668="",MIN(AA$38,$D$19)&lt;MAX($P$612*($B668+IF($R$17="Distrato",$I$38-1,0)),IF(AND($L$615=0,$P$612=0),"",$L$615-1),IF($R$17="Distrato",$E668,0))),0,YEARFRAC(MAX($P$612*($B668+IF($R$17="Distrato",$I$38-1,0)),IF(AND($L$615=0,$P$612=0),"",$L$615-1),IF($R$17="Distrato",$E668,0)),MIN(AA$38,$D$19),$P$20))-SUM($P668:Z668)</f>
        <v>0</v>
      </c>
      <c r="AB668" s="446">
        <f>IF(OR($B668="",MIN(AB$38,$D$19)&lt;MAX($P$612*($B668+IF($R$17="Distrato",$I$38-1,0)),IF(AND($L$615=0,$P$612=0),"",$L$615-1),IF($R$17="Distrato",$E668,0))),0,YEARFRAC(MAX($P$612*($B668+IF($R$17="Distrato",$I$38-1,0)),IF(AND($L$615=0,$P$612=0),"",$L$615-1),IF($R$17="Distrato",$E668,0)),MIN(AB$38,$D$19),$P$20))-SUM($P668:AA668)</f>
        <v>0</v>
      </c>
      <c r="AC668" s="446">
        <f>IF(OR($B668="",MIN(AC$38,$D$19)&lt;MAX($P$612*($B668+IF($R$17="Distrato",$I$38-1,0)),IF(AND($L$615=0,$P$612=0),"",$L$615-1),IF($R$17="Distrato",$E668,0))),0,YEARFRAC(MAX($P$612*($B668+IF($R$17="Distrato",$I$38-1,0)),IF(AND($L$615=0,$P$612=0),"",$L$615-1),IF($R$17="Distrato",$E668,0)),MIN(AC$38,$D$19),$P$20))-SUM($P668:AB668)</f>
        <v>0</v>
      </c>
      <c r="AD668" s="446">
        <f>IF(OR($B668="",MIN(AD$38,$D$19)&lt;MAX($P$612*($B668+IF($R$17="Distrato",$I$38-1,0)),IF(AND($L$615=0,$P$612=0),"",$L$615-1),IF($R$17="Distrato",$E668,0))),0,YEARFRAC(MAX($P$612*($B668+IF($R$17="Distrato",$I$38-1,0)),IF(AND($L$615=0,$P$612=0),"",$L$615-1),IF($R$17="Distrato",$E668,0)),MIN(AD$38,$D$19),$P$20))-SUM($P668:AC668)</f>
        <v>0</v>
      </c>
      <c r="AE668" s="446">
        <f>IF(OR($B668="",MIN(AE$38,$D$19)&lt;MAX($P$612*($B668+IF($R$17="Distrato",$I$38-1,0)),IF(AND($L$615=0,$P$612=0),"",$L$615-1),IF($R$17="Distrato",$E668,0))),0,YEARFRAC(MAX($P$612*($B668+IF($R$17="Distrato",$I$38-1,0)),IF(AND($L$615=0,$P$612=0),"",$L$615-1),IF($R$17="Distrato",$E668,0)),MIN(AE$38,$D$19),$P$20))-SUM($P668:AD668)</f>
        <v>0</v>
      </c>
      <c r="AF668" s="446">
        <f>IF(OR($B668="",MIN(AF$38,$D$19)&lt;MAX($P$612*($B668+IF($R$17="Distrato",$I$38-1,0)),IF(AND($L$615=0,$P$612=0),"",$L$615-1),IF($R$17="Distrato",$E668,0))),0,YEARFRAC(MAX($P$612*($B668+IF($R$17="Distrato",$I$38-1,0)),IF(AND($L$615=0,$P$612=0),"",$L$615-1),IF($R$17="Distrato",$E668,0)),MIN(AF$38,$D$19),$P$20))-SUM($P668:AE668)</f>
        <v>0</v>
      </c>
      <c r="AG668" s="446">
        <f>IF(OR($B668="",MIN(AG$38,$D$19)&lt;MAX($P$612*($B668+IF($R$17="Distrato",$I$38-1,0)),IF(AND($L$615=0,$P$612=0),"",$L$615-1),IF($R$17="Distrato",$E668,0))),0,YEARFRAC(MAX($P$612*($B668+IF($R$17="Distrato",$I$38-1,0)),IF(AND($L$615=0,$P$612=0),"",$L$615-1),IF($R$17="Distrato",$E668,0)),MIN(AG$38,$D$19),$P$20))-SUM($P668:AF668)</f>
        <v>0</v>
      </c>
      <c r="AH668" s="446">
        <f>IF(OR($B668="",MIN(AH$38,$D$19)&lt;MAX($P$612*($B668+IF($R$17="Distrato",$I$38-1,0)),IF(AND($L$615=0,$P$612=0),"",$L$615-1),IF($R$17="Distrato",$E668,0))),0,YEARFRAC(MAX($P$612*($B668+IF($R$17="Distrato",$I$38-1,0)),IF(AND($L$615=0,$P$612=0),"",$L$615-1),IF($R$17="Distrato",$E668,0)),MIN(AH$38,$D$19),$P$20))-SUM($P668:AG668)</f>
        <v>0</v>
      </c>
      <c r="AI668" s="446">
        <f>IF(OR($B668="",MIN(AI$38,$D$19)&lt;MAX($P$612*($B668+IF($R$17="Distrato",$I$38-1,0)),IF(AND($L$615=0,$P$612=0),"",$L$615-1),IF($R$17="Distrato",$E668,0))),0,YEARFRAC(MAX($P$612*($B668+IF($R$17="Distrato",$I$38-1,0)),IF(AND($L$615=0,$P$612=0),"",$L$615-1),IF($R$17="Distrato",$E668,0)),MIN(AI$38,$D$19),$P$20))-SUM($P668:AH668)</f>
        <v>0</v>
      </c>
      <c r="AJ668" s="446">
        <f>IF(OR($B668="",MIN(AJ$38,$D$19)&lt;MAX($P$612*($B668+IF($R$17="Distrato",$I$38-1,0)),IF(AND($L$615=0,$P$612=0),"",$L$615-1),IF($R$17="Distrato",$E668,0))),0,YEARFRAC(MAX($P$612*($B668+IF($R$17="Distrato",$I$38-1,0)),IF(AND($L$615=0,$P$612=0),"",$L$615-1),IF($R$17="Distrato",$E668,0)),MIN(AJ$38,$D$19),$P$20))-SUM($P668:AI668)</f>
        <v>0</v>
      </c>
      <c r="AK668" s="446">
        <f>IF(OR($B668="",MIN(AK$38,$D$19)&lt;MAX($P$612*($B668+IF($R$17="Distrato",$I$38-1,0)),IF(AND($L$615=0,$P$612=0),"",$L$615-1),IF($R$17="Distrato",$E668,0))),0,YEARFRAC(MAX($P$612*($B668+IF($R$17="Distrato",$I$38-1,0)),IF(AND($L$615=0,$P$612=0),"",$L$615-1),IF($R$17="Distrato",$E668,0)),MIN(AK$38,$D$19),$P$20))-SUM($P668:AJ668)</f>
        <v>0</v>
      </c>
      <c r="AL668" s="446">
        <f>IF(OR($B668="",MIN(AL$38,$D$19)&lt;MAX($P$612*($B668+IF($R$17="Distrato",$I$38-1,0)),IF(AND($L$615=0,$P$612=0),"",$L$615-1),IF($R$17="Distrato",$E668,0))),0,YEARFRAC(MAX($P$612*($B668+IF($R$17="Distrato",$I$38-1,0)),IF(AND($L$615=0,$P$612=0),"",$L$615-1),IF($R$17="Distrato",$E668,0)),MIN(AL$38,$D$19),$P$20))-SUM($P668:AK668)</f>
        <v>0</v>
      </c>
      <c r="AM668" s="446">
        <f>IF(OR($B668="",MIN(AM$38,$D$19)&lt;MAX($P$612*($B668+IF($R$17="Distrato",$I$38-1,0)),IF(AND($L$615=0,$P$612=0),"",$L$615-1),IF($R$17="Distrato",$E668,0))),0,YEARFRAC(MAX($P$612*($B668+IF($R$17="Distrato",$I$38-1,0)),IF(AND($L$615=0,$P$612=0),"",$L$615-1),IF($R$17="Distrato",$E668,0)),MIN(AM$38,$D$19),$P$20))-SUM($P668:AL668)</f>
        <v>0</v>
      </c>
      <c r="AN668" s="446">
        <f>IF(OR($B668="",MIN(AN$38,$D$19)&lt;MAX($P$612*($B668+IF($R$17="Distrato",$I$38-1,0)),IF(AND($L$615=0,$P$612=0),"",$L$615-1),IF($R$17="Distrato",$E668,0))),0,YEARFRAC(MAX($P$612*($B668+IF($R$17="Distrato",$I$38-1,0)),IF(AND($L$615=0,$P$612=0),"",$L$615-1),IF($R$17="Distrato",$E668,0)),MIN(AN$38,$D$19),$P$20))-SUM($P668:AM668)</f>
        <v>0</v>
      </c>
      <c r="AO668" s="446">
        <f>IF(OR($B668="",MIN(AO$38,$D$19)&lt;MAX($P$612*($B668+IF($R$17="Distrato",$I$38-1,0)),IF(AND($L$615=0,$P$612=0),"",$L$615-1),IF($R$17="Distrato",$E668,0))),0,YEARFRAC(MAX($P$612*($B668+IF($R$17="Distrato",$I$38-1,0)),IF(AND($L$615=0,$P$612=0),"",$L$615-1),IF($R$17="Distrato",$E668,0)),MIN(AO$38,$D$19),$P$20))-SUM($P668:AN668)</f>
        <v>0</v>
      </c>
      <c r="AP668" s="446">
        <f>IF(OR($B668="",MIN(AP$38,$D$19)&lt;MAX($P$612*($B668+IF($R$17="Distrato",$I$38-1,0)),IF(AND($L$615=0,$P$612=0),"",$L$615-1),IF($R$17="Distrato",$E668,0))),0,YEARFRAC(MAX($P$612*($B668+IF($R$17="Distrato",$I$38-1,0)),IF(AND($L$615=0,$P$612=0),"",$L$615-1),IF($R$17="Distrato",$E668,0)),MIN(AP$38,$D$19),$P$20))-SUM($P668:AO668)</f>
        <v>0</v>
      </c>
      <c r="AQ668" s="446">
        <f>IF(OR($B668="",MIN(AQ$38,$D$19)&lt;MAX($P$612*($B668+IF($R$17="Distrato",$I$38-1,0)),IF(AND($L$615=0,$P$612=0),"",$L$615-1),IF($R$17="Distrato",$E668,0))),0,YEARFRAC(MAX($P$612*($B668+IF($R$17="Distrato",$I$38-1,0)),IF(AND($L$615=0,$P$612=0),"",$L$615-1),IF($R$17="Distrato",$E668,0)),MIN(AQ$38,$D$19),$P$20))-SUM($P668:AP668)</f>
        <v>0</v>
      </c>
      <c r="AR668" s="446">
        <f>IF(OR($B668="",MIN(AR$38,$D$19)&lt;MAX($P$612*($B668+IF($R$17="Distrato",$I$38-1,0)),IF(AND($L$615=0,$P$612=0),"",$L$615-1),IF($R$17="Distrato",$E668,0))),0,YEARFRAC(MAX($P$612*($B668+IF($R$17="Distrato",$I$38-1,0)),IF(AND($L$615=0,$P$612=0),"",$L$615-1),IF($R$17="Distrato",$E668,0)),MIN(AR$38,$D$19),$P$20))-SUM($P668:AQ668)</f>
        <v>0</v>
      </c>
      <c r="AS668" s="446">
        <f>IF(OR($B668="",MIN(AS$38,$D$19)&lt;MAX($P$612*($B668+IF($R$17="Distrato",$I$38-1,0)),IF(AND($L$615=0,$P$612=0),"",$L$615-1),IF($R$17="Distrato",$E668,0))),0,YEARFRAC(MAX($P$612*($B668+IF($R$17="Distrato",$I$38-1,0)),IF(AND($L$615=0,$P$612=0),"",$L$615-1),IF($R$17="Distrato",$E668,0)),MIN(AS$38,$D$19),$P$20))-SUM($P668:AR668)</f>
        <v>0</v>
      </c>
      <c r="AT668" s="446">
        <f>IF(OR($B668="",MIN(AT$38,$D$19)&lt;MAX($P$612*($B668+IF($R$17="Distrato",$I$38-1,0)),IF(AND($L$615=0,$P$612=0),"",$L$615-1),IF($R$17="Distrato",$E668,0))),0,YEARFRAC(MAX($P$612*($B668+IF($R$17="Distrato",$I$38-1,0)),IF(AND($L$615=0,$P$612=0),"",$L$615-1),IF($R$17="Distrato",$E668,0)),MIN(AT$38,$D$19),$P$20))-SUM($P668:AS668)</f>
        <v>0</v>
      </c>
      <c r="AU668" s="446">
        <f>IF(OR($B668="",MIN(AU$38,$D$19)&lt;MAX($P$612*($B668+IF($R$17="Distrato",$I$38-1,0)),IF(AND($L$615=0,$P$612=0),"",$L$615-1),IF($R$17="Distrato",$E668,0))),0,YEARFRAC(MAX($P$612*($B668+IF($R$17="Distrato",$I$38-1,0)),IF(AND($L$615=0,$P$612=0),"",$L$615-1),IF($R$17="Distrato",$E668,0)),MIN(AU$38,$D$19),$P$20))-SUM($P668:AT668)</f>
        <v>0</v>
      </c>
      <c r="AV668" s="446">
        <f>IF(OR($B668="",MIN(AV$38,$D$19)&lt;MAX($P$612*($B668+IF($R$17="Distrato",$I$38-1,0)),IF(AND($L$615=0,$P$612=0),"",$L$615-1),IF($R$17="Distrato",$E668,0))),0,YEARFRAC(MAX($P$612*($B668+IF($R$17="Distrato",$I$38-1,0)),IF(AND($L$615=0,$P$612=0),"",$L$615-1),IF($R$17="Distrato",$E668,0)),MIN(AV$38,$D$19),$P$20))-SUM($P668:AU668)</f>
        <v>0</v>
      </c>
      <c r="AW668" s="446">
        <f>IF(OR($B668="",MIN(AW$38,$D$19)&lt;MAX($P$612*($B668+IF($R$17="Distrato",$I$38-1,0)),IF(AND($L$615=0,$P$612=0),"",$L$615-1),IF($R$17="Distrato",$E668,0))),0,YEARFRAC(MAX($P$612*($B668+IF($R$17="Distrato",$I$38-1,0)),IF(AND($L$615=0,$P$612=0),"",$L$615-1),IF($R$17="Distrato",$E668,0)),MIN(AW$38,$D$19),$P$20))-SUM($P668:AV668)</f>
        <v>0</v>
      </c>
      <c r="AX668" s="446">
        <f>IF(OR($B668="",MIN(AX$38,$D$19)&lt;MAX($P$612*($B668+IF($R$17="Distrato",$I$38-1,0)),IF(AND($L$615=0,$P$612=0),"",$L$615-1),IF($R$17="Distrato",$E668,0))),0,YEARFRAC(MAX($P$612*($B668+IF($R$17="Distrato",$I$38-1,0)),IF(AND($L$615=0,$P$612=0),"",$L$615-1),IF($R$17="Distrato",$E668,0)),MIN(AX$38,$D$19),$P$20))-SUM($P668:AW668)</f>
        <v>0</v>
      </c>
      <c r="AY668" s="446">
        <f>IF(OR($B668="",MIN(AY$38,$D$19)&lt;MAX($P$612*($B668+IF($R$17="Distrato",$I$38-1,0)),IF(AND($L$615=0,$P$612=0),"",$L$615-1),IF($R$17="Distrato",$E668,0))),0,YEARFRAC(MAX($P$612*($B668+IF($R$17="Distrato",$I$38-1,0)),IF(AND($L$615=0,$P$612=0),"",$L$615-1),IF($R$17="Distrato",$E668,0)),MIN(AY$38,$D$19),$P$20))-SUM($P668:AX668)</f>
        <v>0</v>
      </c>
      <c r="AZ668" s="446">
        <f>IF(OR($B668="",MIN(AZ$38,$D$19)&lt;MAX($P$612*($B668+IF($R$17="Distrato",$I$38-1,0)),IF(AND($L$615=0,$P$612=0),"",$L$615-1),IF($R$17="Distrato",$E668,0))),0,YEARFRAC(MAX($P$612*($B668+IF($R$17="Distrato",$I$38-1,0)),IF(AND($L$615=0,$P$612=0),"",$L$615-1),IF($R$17="Distrato",$E668,0)),MIN(AZ$38,$D$19),$P$20))-SUM($P668:AY668)</f>
        <v>0</v>
      </c>
      <c r="BA668" s="446">
        <f>IF(OR($B668="",MIN(BA$38,$D$19)&lt;MAX($P$612*($B668+IF($R$17="Distrato",$I$38-1,0)),IF(AND($L$615=0,$P$612=0),"",$L$615-1),IF($R$17="Distrato",$E668,0))),0,YEARFRAC(MAX($P$612*($B668+IF($R$17="Distrato",$I$38-1,0)),IF(AND($L$615=0,$P$612=0),"",$L$615-1),IF($R$17="Distrato",$E668,0)),MIN(BA$38,$D$19),$P$20))-SUM($P668:AZ668)</f>
        <v>0</v>
      </c>
      <c r="BB668" s="447"/>
    </row>
    <row r="669" spans="1:54" s="446" customFormat="1" ht="11.25" hidden="1" x14ac:dyDescent="0.2">
      <c r="A669" s="177"/>
      <c r="B669" s="178"/>
      <c r="C669" s="29" t="str">
        <f>IF(B669="","",IF($L$613="SELIC - TRIBUTOS",VLOOKUP(DATE(YEAR($D$19),MONTH($D$19)-1,1),ÍNDICES!$A:$DE,HLOOKUP($BL$25,ÍNDICES!$B$3:$T$4,2)+11)-VLOOKUP(B669,ÍNDICES!$A:$DE,HLOOKUP($BL$25,ÍNDICES!$B$3:$T$4,2)+11)+1%,IF(C$616=$W$26,$J$613,IF(ISERROR(IF(B669&gt;$D$19,1,VLOOKUP(DATE(YEAR(B669),MONTH(B669)+IF($C$613=$S$23,1,0),1),ÍNDICES!$A:$DE,$Z$613+1))),"",IF(B669&gt;$D$19,1,VLOOKUP(DATE(YEAR(B669),MONTH(B669)+IF($C$613=$S$23,1,0),1),ÍNDICES!$A:$DE,$Z$613+1))))))</f>
        <v/>
      </c>
      <c r="D669" s="155"/>
      <c r="E669" s="179"/>
      <c r="F669" s="29"/>
      <c r="G669" s="180"/>
      <c r="H669" s="181"/>
      <c r="I669" s="182" t="str">
        <f t="shared" si="107"/>
        <v/>
      </c>
      <c r="J669" s="5" t="str">
        <f t="shared" si="108"/>
        <v/>
      </c>
      <c r="K669" s="5">
        <f t="shared" ca="1" si="109"/>
        <v>0</v>
      </c>
      <c r="L669" s="5">
        <f t="shared" ca="1" si="112"/>
        <v>0</v>
      </c>
      <c r="M669" s="64">
        <f t="shared" si="110"/>
        <v>0</v>
      </c>
      <c r="N669" s="61">
        <f t="shared" ca="1" si="113"/>
        <v>0</v>
      </c>
      <c r="O669" s="20">
        <f t="shared" ca="1" si="106"/>
        <v>0</v>
      </c>
      <c r="P669" s="446">
        <f t="shared" si="114"/>
        <v>0</v>
      </c>
      <c r="Q669" s="446">
        <f>IF(OR($B669="",MIN(Q$38,$D$19)&lt;MAX($P$612*($B669+IF($R$17="Distrato",$I$38-1,0)),IF(AND($L$615=0,$P$612=0),"",$L$615-1),IF($R$17="Distrato",$E669,0))),0,YEARFRAC(MAX($P$612*($B669+IF($R$17="Distrato",$I$38-1,0)),IF(AND($L$615=0,$P$612=0),"",$L$615-1),IF($R$17="Distrato",$E669,0)),MIN(Q$38,$D$19),$P$20))-SUM($P669:P669)</f>
        <v>0</v>
      </c>
      <c r="R669" s="446">
        <f>IF(OR($B669="",MIN(R$38,$D$19)&lt;MAX($P$612*($B669+IF($R$17="Distrato",$I$38-1,0)),IF(AND($L$615=0,$P$612=0),"",$L$615-1),IF($R$17="Distrato",$E669,0))),0,YEARFRAC(MAX($P$612*($B669+IF($R$17="Distrato",$I$38-1,0)),IF(AND($L$615=0,$P$612=0),"",$L$615-1),IF($R$17="Distrato",$E669,0)),MIN(R$38,$D$19),$P$20))-SUM($P669:Q669)</f>
        <v>0</v>
      </c>
      <c r="S669" s="446">
        <f>IF(OR($B669="",MIN(S$38,$D$19)&lt;MAX($P$612*($B669+IF($R$17="Distrato",$I$38-1,0)),IF(AND($L$615=0,$P$612=0),"",$L$615-1),IF($R$17="Distrato",$E669,0))),0,YEARFRAC(MAX($P$612*($B669+IF($R$17="Distrato",$I$38-1,0)),IF(AND($L$615=0,$P$612=0),"",$L$615-1),IF($R$17="Distrato",$E669,0)),MIN(S$38,$D$19),$P$20))-SUM($P669:R669)</f>
        <v>0</v>
      </c>
      <c r="T669" s="446">
        <f>IF(OR($B669="",MIN(T$38,$D$19)&lt;MAX($P$612*($B669+IF($R$17="Distrato",$I$38-1,0)),IF(AND($L$615=0,$P$612=0),"",$L$615-1),IF($R$17="Distrato",$E669,0))),0,YEARFRAC(MAX($P$612*($B669+IF($R$17="Distrato",$I$38-1,0)),IF(AND($L$615=0,$P$612=0),"",$L$615-1),IF($R$17="Distrato",$E669,0)),MIN(T$38,$D$19),$P$20))-SUM($P669:S669)</f>
        <v>0</v>
      </c>
      <c r="U669" s="446">
        <f>IF(OR($B669="",MIN(U$38,$D$19)&lt;MAX($P$612*($B669+IF($R$17="Distrato",$I$38-1,0)),IF(AND($L$615=0,$P$612=0),"",$L$615-1),IF($R$17="Distrato",$E669,0))),0,YEARFRAC(MAX($P$612*($B669+IF($R$17="Distrato",$I$38-1,0)),IF(AND($L$615=0,$P$612=0),"",$L$615-1),IF($R$17="Distrato",$E669,0)),MIN(U$38,$D$19),$P$20))-SUM($P669:T669)</f>
        <v>0</v>
      </c>
      <c r="V669" s="446">
        <f>IF(OR($B669="",MIN(V$38,$D$19)&lt;MAX($P$612*($B669+IF($R$17="Distrato",$I$38-1,0)),IF(AND($L$615=0,$P$612=0),"",$L$615-1),IF($R$17="Distrato",$E669,0))),0,YEARFRAC(MAX($P$612*($B669+IF($R$17="Distrato",$I$38-1,0)),IF(AND($L$615=0,$P$612=0),"",$L$615-1),IF($R$17="Distrato",$E669,0)),MIN(V$38,$D$19),$P$20))-SUM($P669:U669)</f>
        <v>0</v>
      </c>
      <c r="W669" s="446">
        <f>IF(OR($B669="",MIN(W$38,$D$19)&lt;MAX($P$612*($B669+IF($R$17="Distrato",$I$38-1,0)),IF(AND($L$615=0,$P$612=0),"",$L$615-1),IF($R$17="Distrato",$E669,0))),0,YEARFRAC(MAX($P$612*($B669+IF($R$17="Distrato",$I$38-1,0)),IF(AND($L$615=0,$P$612=0),"",$L$615-1),IF($R$17="Distrato",$E669,0)),MIN(W$38,$D$19),$P$20))-SUM($P669:V669)</f>
        <v>0</v>
      </c>
      <c r="X669" s="446">
        <f>IF(OR($B669="",MIN(X$38,$D$19)&lt;MAX($P$612*($B669+IF($R$17="Distrato",$I$38-1,0)),IF(AND($L$615=0,$P$612=0),"",$L$615-1),IF($R$17="Distrato",$E669,0))),0,YEARFRAC(MAX($P$612*($B669+IF($R$17="Distrato",$I$38-1,0)),IF(AND($L$615=0,$P$612=0),"",$L$615-1),IF($R$17="Distrato",$E669,0)),MIN(X$38,$D$19),$P$20))-SUM($P669:W669)</f>
        <v>0</v>
      </c>
      <c r="Y669" s="446">
        <f>IF(OR($B669="",MIN(Y$38,$D$19)&lt;MAX($P$612*($B669+IF($R$17="Distrato",$I$38-1,0)),IF(AND($L$615=0,$P$612=0),"",$L$615-1),IF($R$17="Distrato",$E669,0))),0,YEARFRAC(MAX($P$612*($B669+IF($R$17="Distrato",$I$38-1,0)),IF(AND($L$615=0,$P$612=0),"",$L$615-1),IF($R$17="Distrato",$E669,0)),MIN(Y$38,$D$19),$P$20))-SUM($P669:X669)</f>
        <v>0</v>
      </c>
      <c r="Z669" s="446">
        <f>IF(OR($B669="",MIN(Z$38,$D$19)&lt;MAX($P$612*($B669+IF($R$17="Distrato",$I$38-1,0)),IF(AND($L$615=0,$P$612=0),"",$L$615-1),IF($R$17="Distrato",$E669,0))),0,YEARFRAC(MAX($P$612*($B669+IF($R$17="Distrato",$I$38-1,0)),IF(AND($L$615=0,$P$612=0),"",$L$615-1),IF($R$17="Distrato",$E669,0)),MIN(Z$38,$D$19),$P$20))-SUM($P669:Y669)</f>
        <v>0</v>
      </c>
      <c r="AA669" s="446">
        <f>IF(OR($B669="",MIN(AA$38,$D$19)&lt;MAX($P$612*($B669+IF($R$17="Distrato",$I$38-1,0)),IF(AND($L$615=0,$P$612=0),"",$L$615-1),IF($R$17="Distrato",$E669,0))),0,YEARFRAC(MAX($P$612*($B669+IF($R$17="Distrato",$I$38-1,0)),IF(AND($L$615=0,$P$612=0),"",$L$615-1),IF($R$17="Distrato",$E669,0)),MIN(AA$38,$D$19),$P$20))-SUM($P669:Z669)</f>
        <v>0</v>
      </c>
      <c r="AB669" s="446">
        <f>IF(OR($B669="",MIN(AB$38,$D$19)&lt;MAX($P$612*($B669+IF($R$17="Distrato",$I$38-1,0)),IF(AND($L$615=0,$P$612=0),"",$L$615-1),IF($R$17="Distrato",$E669,0))),0,YEARFRAC(MAX($P$612*($B669+IF($R$17="Distrato",$I$38-1,0)),IF(AND($L$615=0,$P$612=0),"",$L$615-1),IF($R$17="Distrato",$E669,0)),MIN(AB$38,$D$19),$P$20))-SUM($P669:AA669)</f>
        <v>0</v>
      </c>
      <c r="AC669" s="446">
        <f>IF(OR($B669="",MIN(AC$38,$D$19)&lt;MAX($P$612*($B669+IF($R$17="Distrato",$I$38-1,0)),IF(AND($L$615=0,$P$612=0),"",$L$615-1),IF($R$17="Distrato",$E669,0))),0,YEARFRAC(MAX($P$612*($B669+IF($R$17="Distrato",$I$38-1,0)),IF(AND($L$615=0,$P$612=0),"",$L$615-1),IF($R$17="Distrato",$E669,0)),MIN(AC$38,$D$19),$P$20))-SUM($P669:AB669)</f>
        <v>0</v>
      </c>
      <c r="AD669" s="446">
        <f>IF(OR($B669="",MIN(AD$38,$D$19)&lt;MAX($P$612*($B669+IF($R$17="Distrato",$I$38-1,0)),IF(AND($L$615=0,$P$612=0),"",$L$615-1),IF($R$17="Distrato",$E669,0))),0,YEARFRAC(MAX($P$612*($B669+IF($R$17="Distrato",$I$38-1,0)),IF(AND($L$615=0,$P$612=0),"",$L$615-1),IF($R$17="Distrato",$E669,0)),MIN(AD$38,$D$19),$P$20))-SUM($P669:AC669)</f>
        <v>0</v>
      </c>
      <c r="AE669" s="446">
        <f>IF(OR($B669="",MIN(AE$38,$D$19)&lt;MAX($P$612*($B669+IF($R$17="Distrato",$I$38-1,0)),IF(AND($L$615=0,$P$612=0),"",$L$615-1),IF($R$17="Distrato",$E669,0))),0,YEARFRAC(MAX($P$612*($B669+IF($R$17="Distrato",$I$38-1,0)),IF(AND($L$615=0,$P$612=0),"",$L$615-1),IF($R$17="Distrato",$E669,0)),MIN(AE$38,$D$19),$P$20))-SUM($P669:AD669)</f>
        <v>0</v>
      </c>
      <c r="AF669" s="446">
        <f>IF(OR($B669="",MIN(AF$38,$D$19)&lt;MAX($P$612*($B669+IF($R$17="Distrato",$I$38-1,0)),IF(AND($L$615=0,$P$612=0),"",$L$615-1),IF($R$17="Distrato",$E669,0))),0,YEARFRAC(MAX($P$612*($B669+IF($R$17="Distrato",$I$38-1,0)),IF(AND($L$615=0,$P$612=0),"",$L$615-1),IF($R$17="Distrato",$E669,0)),MIN(AF$38,$D$19),$P$20))-SUM($P669:AE669)</f>
        <v>0</v>
      </c>
      <c r="AG669" s="446">
        <f>IF(OR($B669="",MIN(AG$38,$D$19)&lt;MAX($P$612*($B669+IF($R$17="Distrato",$I$38-1,0)),IF(AND($L$615=0,$P$612=0),"",$L$615-1),IF($R$17="Distrato",$E669,0))),0,YEARFRAC(MAX($P$612*($B669+IF($R$17="Distrato",$I$38-1,0)),IF(AND($L$615=0,$P$612=0),"",$L$615-1),IF($R$17="Distrato",$E669,0)),MIN(AG$38,$D$19),$P$20))-SUM($P669:AF669)</f>
        <v>0</v>
      </c>
      <c r="AH669" s="446">
        <f>IF(OR($B669="",MIN(AH$38,$D$19)&lt;MAX($P$612*($B669+IF($R$17="Distrato",$I$38-1,0)),IF(AND($L$615=0,$P$612=0),"",$L$615-1),IF($R$17="Distrato",$E669,0))),0,YEARFRAC(MAX($P$612*($B669+IF($R$17="Distrato",$I$38-1,0)),IF(AND($L$615=0,$P$612=0),"",$L$615-1),IF($R$17="Distrato",$E669,0)),MIN(AH$38,$D$19),$P$20))-SUM($P669:AG669)</f>
        <v>0</v>
      </c>
      <c r="AI669" s="446">
        <f>IF(OR($B669="",MIN(AI$38,$D$19)&lt;MAX($P$612*($B669+IF($R$17="Distrato",$I$38-1,0)),IF(AND($L$615=0,$P$612=0),"",$L$615-1),IF($R$17="Distrato",$E669,0))),0,YEARFRAC(MAX($P$612*($B669+IF($R$17="Distrato",$I$38-1,0)),IF(AND($L$615=0,$P$612=0),"",$L$615-1),IF($R$17="Distrato",$E669,0)),MIN(AI$38,$D$19),$P$20))-SUM($P669:AH669)</f>
        <v>0</v>
      </c>
      <c r="AJ669" s="446">
        <f>IF(OR($B669="",MIN(AJ$38,$D$19)&lt;MAX($P$612*($B669+IF($R$17="Distrato",$I$38-1,0)),IF(AND($L$615=0,$P$612=0),"",$L$615-1),IF($R$17="Distrato",$E669,0))),0,YEARFRAC(MAX($P$612*($B669+IF($R$17="Distrato",$I$38-1,0)),IF(AND($L$615=0,$P$612=0),"",$L$615-1),IF($R$17="Distrato",$E669,0)),MIN(AJ$38,$D$19),$P$20))-SUM($P669:AI669)</f>
        <v>0</v>
      </c>
      <c r="AK669" s="446">
        <f>IF(OR($B669="",MIN(AK$38,$D$19)&lt;MAX($P$612*($B669+IF($R$17="Distrato",$I$38-1,0)),IF(AND($L$615=0,$P$612=0),"",$L$615-1),IF($R$17="Distrato",$E669,0))),0,YEARFRAC(MAX($P$612*($B669+IF($R$17="Distrato",$I$38-1,0)),IF(AND($L$615=0,$P$612=0),"",$L$615-1),IF($R$17="Distrato",$E669,0)),MIN(AK$38,$D$19),$P$20))-SUM($P669:AJ669)</f>
        <v>0</v>
      </c>
      <c r="AL669" s="446">
        <f>IF(OR($B669="",MIN(AL$38,$D$19)&lt;MAX($P$612*($B669+IF($R$17="Distrato",$I$38-1,0)),IF(AND($L$615=0,$P$612=0),"",$L$615-1),IF($R$17="Distrato",$E669,0))),0,YEARFRAC(MAX($P$612*($B669+IF($R$17="Distrato",$I$38-1,0)),IF(AND($L$615=0,$P$612=0),"",$L$615-1),IF($R$17="Distrato",$E669,0)),MIN(AL$38,$D$19),$P$20))-SUM($P669:AK669)</f>
        <v>0</v>
      </c>
      <c r="AM669" s="446">
        <f>IF(OR($B669="",MIN(AM$38,$D$19)&lt;MAX($P$612*($B669+IF($R$17="Distrato",$I$38-1,0)),IF(AND($L$615=0,$P$612=0),"",$L$615-1),IF($R$17="Distrato",$E669,0))),0,YEARFRAC(MAX($P$612*($B669+IF($R$17="Distrato",$I$38-1,0)),IF(AND($L$615=0,$P$612=0),"",$L$615-1),IF($R$17="Distrato",$E669,0)),MIN(AM$38,$D$19),$P$20))-SUM($P669:AL669)</f>
        <v>0</v>
      </c>
      <c r="AN669" s="446">
        <f>IF(OR($B669="",MIN(AN$38,$D$19)&lt;MAX($P$612*($B669+IF($R$17="Distrato",$I$38-1,0)),IF(AND($L$615=0,$P$612=0),"",$L$615-1),IF($R$17="Distrato",$E669,0))),0,YEARFRAC(MAX($P$612*($B669+IF($R$17="Distrato",$I$38-1,0)),IF(AND($L$615=0,$P$612=0),"",$L$615-1),IF($R$17="Distrato",$E669,0)),MIN(AN$38,$D$19),$P$20))-SUM($P669:AM669)</f>
        <v>0</v>
      </c>
      <c r="AO669" s="446">
        <f>IF(OR($B669="",MIN(AO$38,$D$19)&lt;MAX($P$612*($B669+IF($R$17="Distrato",$I$38-1,0)),IF(AND($L$615=0,$P$612=0),"",$L$615-1),IF($R$17="Distrato",$E669,0))),0,YEARFRAC(MAX($P$612*($B669+IF($R$17="Distrato",$I$38-1,0)),IF(AND($L$615=0,$P$612=0),"",$L$615-1),IF($R$17="Distrato",$E669,0)),MIN(AO$38,$D$19),$P$20))-SUM($P669:AN669)</f>
        <v>0</v>
      </c>
      <c r="AP669" s="446">
        <f>IF(OR($B669="",MIN(AP$38,$D$19)&lt;MAX($P$612*($B669+IF($R$17="Distrato",$I$38-1,0)),IF(AND($L$615=0,$P$612=0),"",$L$615-1),IF($R$17="Distrato",$E669,0))),0,YEARFRAC(MAX($P$612*($B669+IF($R$17="Distrato",$I$38-1,0)),IF(AND($L$615=0,$P$612=0),"",$L$615-1),IF($R$17="Distrato",$E669,0)),MIN(AP$38,$D$19),$P$20))-SUM($P669:AO669)</f>
        <v>0</v>
      </c>
      <c r="AQ669" s="446">
        <f>IF(OR($B669="",MIN(AQ$38,$D$19)&lt;MAX($P$612*($B669+IF($R$17="Distrato",$I$38-1,0)),IF(AND($L$615=0,$P$612=0),"",$L$615-1),IF($R$17="Distrato",$E669,0))),0,YEARFRAC(MAX($P$612*($B669+IF($R$17="Distrato",$I$38-1,0)),IF(AND($L$615=0,$P$612=0),"",$L$615-1),IF($R$17="Distrato",$E669,0)),MIN(AQ$38,$D$19),$P$20))-SUM($P669:AP669)</f>
        <v>0</v>
      </c>
      <c r="AR669" s="446">
        <f>IF(OR($B669="",MIN(AR$38,$D$19)&lt;MAX($P$612*($B669+IF($R$17="Distrato",$I$38-1,0)),IF(AND($L$615=0,$P$612=0),"",$L$615-1),IF($R$17="Distrato",$E669,0))),0,YEARFRAC(MAX($P$612*($B669+IF($R$17="Distrato",$I$38-1,0)),IF(AND($L$615=0,$P$612=0),"",$L$615-1),IF($R$17="Distrato",$E669,0)),MIN(AR$38,$D$19),$P$20))-SUM($P669:AQ669)</f>
        <v>0</v>
      </c>
      <c r="AS669" s="446">
        <f>IF(OR($B669="",MIN(AS$38,$D$19)&lt;MAX($P$612*($B669+IF($R$17="Distrato",$I$38-1,0)),IF(AND($L$615=0,$P$612=0),"",$L$615-1),IF($R$17="Distrato",$E669,0))),0,YEARFRAC(MAX($P$612*($B669+IF($R$17="Distrato",$I$38-1,0)),IF(AND($L$615=0,$P$612=0),"",$L$615-1),IF($R$17="Distrato",$E669,0)),MIN(AS$38,$D$19),$P$20))-SUM($P669:AR669)</f>
        <v>0</v>
      </c>
      <c r="AT669" s="446">
        <f>IF(OR($B669="",MIN(AT$38,$D$19)&lt;MAX($P$612*($B669+IF($R$17="Distrato",$I$38-1,0)),IF(AND($L$615=0,$P$612=0),"",$L$615-1),IF($R$17="Distrato",$E669,0))),0,YEARFRAC(MAX($P$612*($B669+IF($R$17="Distrato",$I$38-1,0)),IF(AND($L$615=0,$P$612=0),"",$L$615-1),IF($R$17="Distrato",$E669,0)),MIN(AT$38,$D$19),$P$20))-SUM($P669:AS669)</f>
        <v>0</v>
      </c>
      <c r="AU669" s="446">
        <f>IF(OR($B669="",MIN(AU$38,$D$19)&lt;MAX($P$612*($B669+IF($R$17="Distrato",$I$38-1,0)),IF(AND($L$615=0,$P$612=0),"",$L$615-1),IF($R$17="Distrato",$E669,0))),0,YEARFRAC(MAX($P$612*($B669+IF($R$17="Distrato",$I$38-1,0)),IF(AND($L$615=0,$P$612=0),"",$L$615-1),IF($R$17="Distrato",$E669,0)),MIN(AU$38,$D$19),$P$20))-SUM($P669:AT669)</f>
        <v>0</v>
      </c>
      <c r="AV669" s="446">
        <f>IF(OR($B669="",MIN(AV$38,$D$19)&lt;MAX($P$612*($B669+IF($R$17="Distrato",$I$38-1,0)),IF(AND($L$615=0,$P$612=0),"",$L$615-1),IF($R$17="Distrato",$E669,0))),0,YEARFRAC(MAX($P$612*($B669+IF($R$17="Distrato",$I$38-1,0)),IF(AND($L$615=0,$P$612=0),"",$L$615-1),IF($R$17="Distrato",$E669,0)),MIN(AV$38,$D$19),$P$20))-SUM($P669:AU669)</f>
        <v>0</v>
      </c>
      <c r="AW669" s="446">
        <f>IF(OR($B669="",MIN(AW$38,$D$19)&lt;MAX($P$612*($B669+IF($R$17="Distrato",$I$38-1,0)),IF(AND($L$615=0,$P$612=0),"",$L$615-1),IF($R$17="Distrato",$E669,0))),0,YEARFRAC(MAX($P$612*($B669+IF($R$17="Distrato",$I$38-1,0)),IF(AND($L$615=0,$P$612=0),"",$L$615-1),IF($R$17="Distrato",$E669,0)),MIN(AW$38,$D$19),$P$20))-SUM($P669:AV669)</f>
        <v>0</v>
      </c>
      <c r="AX669" s="446">
        <f>IF(OR($B669="",MIN(AX$38,$D$19)&lt;MAX($P$612*($B669+IF($R$17="Distrato",$I$38-1,0)),IF(AND($L$615=0,$P$612=0),"",$L$615-1),IF($R$17="Distrato",$E669,0))),0,YEARFRAC(MAX($P$612*($B669+IF($R$17="Distrato",$I$38-1,0)),IF(AND($L$615=0,$P$612=0),"",$L$615-1),IF($R$17="Distrato",$E669,0)),MIN(AX$38,$D$19),$P$20))-SUM($P669:AW669)</f>
        <v>0</v>
      </c>
      <c r="AY669" s="446">
        <f>IF(OR($B669="",MIN(AY$38,$D$19)&lt;MAX($P$612*($B669+IF($R$17="Distrato",$I$38-1,0)),IF(AND($L$615=0,$P$612=0),"",$L$615-1),IF($R$17="Distrato",$E669,0))),0,YEARFRAC(MAX($P$612*($B669+IF($R$17="Distrato",$I$38-1,0)),IF(AND($L$615=0,$P$612=0),"",$L$615-1),IF($R$17="Distrato",$E669,0)),MIN(AY$38,$D$19),$P$20))-SUM($P669:AX669)</f>
        <v>0</v>
      </c>
      <c r="AZ669" s="446">
        <f>IF(OR($B669="",MIN(AZ$38,$D$19)&lt;MAX($P$612*($B669+IF($R$17="Distrato",$I$38-1,0)),IF(AND($L$615=0,$P$612=0),"",$L$615-1),IF($R$17="Distrato",$E669,0))),0,YEARFRAC(MAX($P$612*($B669+IF($R$17="Distrato",$I$38-1,0)),IF(AND($L$615=0,$P$612=0),"",$L$615-1),IF($R$17="Distrato",$E669,0)),MIN(AZ$38,$D$19),$P$20))-SUM($P669:AY669)</f>
        <v>0</v>
      </c>
      <c r="BA669" s="446">
        <f>IF(OR($B669="",MIN(BA$38,$D$19)&lt;MAX($P$612*($B669+IF($R$17="Distrato",$I$38-1,0)),IF(AND($L$615=0,$P$612=0),"",$L$615-1),IF($R$17="Distrato",$E669,0))),0,YEARFRAC(MAX($P$612*($B669+IF($R$17="Distrato",$I$38-1,0)),IF(AND($L$615=0,$P$612=0),"",$L$615-1),IF($R$17="Distrato",$E669,0)),MIN(BA$38,$D$19),$P$20))-SUM($P669:AZ669)</f>
        <v>0</v>
      </c>
      <c r="BB669" s="447"/>
    </row>
    <row r="670" spans="1:54" s="446" customFormat="1" ht="11.25" hidden="1" x14ac:dyDescent="0.2">
      <c r="A670" s="177"/>
      <c r="B670" s="178"/>
      <c r="C670" s="29" t="str">
        <f>IF(B670="","",IF($L$613="SELIC - TRIBUTOS",VLOOKUP(DATE(YEAR($D$19),MONTH($D$19)-1,1),ÍNDICES!$A:$DE,HLOOKUP($BL$25,ÍNDICES!$B$3:$T$4,2)+11)-VLOOKUP(B670,ÍNDICES!$A:$DE,HLOOKUP($BL$25,ÍNDICES!$B$3:$T$4,2)+11)+1%,IF(C$616=$W$26,$J$613,IF(ISERROR(IF(B670&gt;$D$19,1,VLOOKUP(DATE(YEAR(B670),MONTH(B670)+IF($C$613=$S$23,1,0),1),ÍNDICES!$A:$DE,$Z$613+1))),"",IF(B670&gt;$D$19,1,VLOOKUP(DATE(YEAR(B670),MONTH(B670)+IF($C$613=$S$23,1,0),1),ÍNDICES!$A:$DE,$Z$613+1))))))</f>
        <v/>
      </c>
      <c r="D670" s="155"/>
      <c r="E670" s="179"/>
      <c r="F670" s="29"/>
      <c r="G670" s="180"/>
      <c r="H670" s="181"/>
      <c r="I670" s="182" t="str">
        <f t="shared" si="107"/>
        <v/>
      </c>
      <c r="J670" s="5" t="str">
        <f t="shared" si="108"/>
        <v/>
      </c>
      <c r="K670" s="5">
        <f t="shared" ca="1" si="109"/>
        <v>0</v>
      </c>
      <c r="L670" s="5">
        <f t="shared" ca="1" si="112"/>
        <v>0</v>
      </c>
      <c r="M670" s="64">
        <f t="shared" si="110"/>
        <v>0</v>
      </c>
      <c r="N670" s="61">
        <f t="shared" ca="1" si="113"/>
        <v>0</v>
      </c>
      <c r="O670" s="20">
        <f t="shared" ca="1" si="106"/>
        <v>0</v>
      </c>
      <c r="P670" s="446">
        <f t="shared" si="114"/>
        <v>0</v>
      </c>
      <c r="Q670" s="446">
        <f>IF(OR($B670="",MIN(Q$38,$D$19)&lt;MAX($P$612*($B670+IF($R$17="Distrato",$I$38-1,0)),IF(AND($L$615=0,$P$612=0),"",$L$615-1),IF($R$17="Distrato",$E670,0))),0,YEARFRAC(MAX($P$612*($B670+IF($R$17="Distrato",$I$38-1,0)),IF(AND($L$615=0,$P$612=0),"",$L$615-1),IF($R$17="Distrato",$E670,0)),MIN(Q$38,$D$19),$P$20))-SUM($P670:P670)</f>
        <v>0</v>
      </c>
      <c r="R670" s="446">
        <f>IF(OR($B670="",MIN(R$38,$D$19)&lt;MAX($P$612*($B670+IF($R$17="Distrato",$I$38-1,0)),IF(AND($L$615=0,$P$612=0),"",$L$615-1),IF($R$17="Distrato",$E670,0))),0,YEARFRAC(MAX($P$612*($B670+IF($R$17="Distrato",$I$38-1,0)),IF(AND($L$615=0,$P$612=0),"",$L$615-1),IF($R$17="Distrato",$E670,0)),MIN(R$38,$D$19),$P$20))-SUM($P670:Q670)</f>
        <v>0</v>
      </c>
      <c r="S670" s="446">
        <f>IF(OR($B670="",MIN(S$38,$D$19)&lt;MAX($P$612*($B670+IF($R$17="Distrato",$I$38-1,0)),IF(AND($L$615=0,$P$612=0),"",$L$615-1),IF($R$17="Distrato",$E670,0))),0,YEARFRAC(MAX($P$612*($B670+IF($R$17="Distrato",$I$38-1,0)),IF(AND($L$615=0,$P$612=0),"",$L$615-1),IF($R$17="Distrato",$E670,0)),MIN(S$38,$D$19),$P$20))-SUM($P670:R670)</f>
        <v>0</v>
      </c>
      <c r="T670" s="446">
        <f>IF(OR($B670="",MIN(T$38,$D$19)&lt;MAX($P$612*($B670+IF($R$17="Distrato",$I$38-1,0)),IF(AND($L$615=0,$P$612=0),"",$L$615-1),IF($R$17="Distrato",$E670,0))),0,YEARFRAC(MAX($P$612*($B670+IF($R$17="Distrato",$I$38-1,0)),IF(AND($L$615=0,$P$612=0),"",$L$615-1),IF($R$17="Distrato",$E670,0)),MIN(T$38,$D$19),$P$20))-SUM($P670:S670)</f>
        <v>0</v>
      </c>
      <c r="U670" s="446">
        <f>IF(OR($B670="",MIN(U$38,$D$19)&lt;MAX($P$612*($B670+IF($R$17="Distrato",$I$38-1,0)),IF(AND($L$615=0,$P$612=0),"",$L$615-1),IF($R$17="Distrato",$E670,0))),0,YEARFRAC(MAX($P$612*($B670+IF($R$17="Distrato",$I$38-1,0)),IF(AND($L$615=0,$P$612=0),"",$L$615-1),IF($R$17="Distrato",$E670,0)),MIN(U$38,$D$19),$P$20))-SUM($P670:T670)</f>
        <v>0</v>
      </c>
      <c r="V670" s="446">
        <f>IF(OR($B670="",MIN(V$38,$D$19)&lt;MAX($P$612*($B670+IF($R$17="Distrato",$I$38-1,0)),IF(AND($L$615=0,$P$612=0),"",$L$615-1),IF($R$17="Distrato",$E670,0))),0,YEARFRAC(MAX($P$612*($B670+IF($R$17="Distrato",$I$38-1,0)),IF(AND($L$615=0,$P$612=0),"",$L$615-1),IF($R$17="Distrato",$E670,0)),MIN(V$38,$D$19),$P$20))-SUM($P670:U670)</f>
        <v>0</v>
      </c>
      <c r="W670" s="446">
        <f>IF(OR($B670="",MIN(W$38,$D$19)&lt;MAX($P$612*($B670+IF($R$17="Distrato",$I$38-1,0)),IF(AND($L$615=0,$P$612=0),"",$L$615-1),IF($R$17="Distrato",$E670,0))),0,YEARFRAC(MAX($P$612*($B670+IF($R$17="Distrato",$I$38-1,0)),IF(AND($L$615=0,$P$612=0),"",$L$615-1),IF($R$17="Distrato",$E670,0)),MIN(W$38,$D$19),$P$20))-SUM($P670:V670)</f>
        <v>0</v>
      </c>
      <c r="X670" s="446">
        <f>IF(OR($B670="",MIN(X$38,$D$19)&lt;MAX($P$612*($B670+IF($R$17="Distrato",$I$38-1,0)),IF(AND($L$615=0,$P$612=0),"",$L$615-1),IF($R$17="Distrato",$E670,0))),0,YEARFRAC(MAX($P$612*($B670+IF($R$17="Distrato",$I$38-1,0)),IF(AND($L$615=0,$P$612=0),"",$L$615-1),IF($R$17="Distrato",$E670,0)),MIN(X$38,$D$19),$P$20))-SUM($P670:W670)</f>
        <v>0</v>
      </c>
      <c r="Y670" s="446">
        <f>IF(OR($B670="",MIN(Y$38,$D$19)&lt;MAX($P$612*($B670+IF($R$17="Distrato",$I$38-1,0)),IF(AND($L$615=0,$P$612=0),"",$L$615-1),IF($R$17="Distrato",$E670,0))),0,YEARFRAC(MAX($P$612*($B670+IF($R$17="Distrato",$I$38-1,0)),IF(AND($L$615=0,$P$612=0),"",$L$615-1),IF($R$17="Distrato",$E670,0)),MIN(Y$38,$D$19),$P$20))-SUM($P670:X670)</f>
        <v>0</v>
      </c>
      <c r="Z670" s="446">
        <f>IF(OR($B670="",MIN(Z$38,$D$19)&lt;MAX($P$612*($B670+IF($R$17="Distrato",$I$38-1,0)),IF(AND($L$615=0,$P$612=0),"",$L$615-1),IF($R$17="Distrato",$E670,0))),0,YEARFRAC(MAX($P$612*($B670+IF($R$17="Distrato",$I$38-1,0)),IF(AND($L$615=0,$P$612=0),"",$L$615-1),IF($R$17="Distrato",$E670,0)),MIN(Z$38,$D$19),$P$20))-SUM($P670:Y670)</f>
        <v>0</v>
      </c>
      <c r="AA670" s="446">
        <f>IF(OR($B670="",MIN(AA$38,$D$19)&lt;MAX($P$612*($B670+IF($R$17="Distrato",$I$38-1,0)),IF(AND($L$615=0,$P$612=0),"",$L$615-1),IF($R$17="Distrato",$E670,0))),0,YEARFRAC(MAX($P$612*($B670+IF($R$17="Distrato",$I$38-1,0)),IF(AND($L$615=0,$P$612=0),"",$L$615-1),IF($R$17="Distrato",$E670,0)),MIN(AA$38,$D$19),$P$20))-SUM($P670:Z670)</f>
        <v>0</v>
      </c>
      <c r="AB670" s="446">
        <f>IF(OR($B670="",MIN(AB$38,$D$19)&lt;MAX($P$612*($B670+IF($R$17="Distrato",$I$38-1,0)),IF(AND($L$615=0,$P$612=0),"",$L$615-1),IF($R$17="Distrato",$E670,0))),0,YEARFRAC(MAX($P$612*($B670+IF($R$17="Distrato",$I$38-1,0)),IF(AND($L$615=0,$P$612=0),"",$L$615-1),IF($R$17="Distrato",$E670,0)),MIN(AB$38,$D$19),$P$20))-SUM($P670:AA670)</f>
        <v>0</v>
      </c>
      <c r="AC670" s="446">
        <f>IF(OR($B670="",MIN(AC$38,$D$19)&lt;MAX($P$612*($B670+IF($R$17="Distrato",$I$38-1,0)),IF(AND($L$615=0,$P$612=0),"",$L$615-1),IF($R$17="Distrato",$E670,0))),0,YEARFRAC(MAX($P$612*($B670+IF($R$17="Distrato",$I$38-1,0)),IF(AND($L$615=0,$P$612=0),"",$L$615-1),IF($R$17="Distrato",$E670,0)),MIN(AC$38,$D$19),$P$20))-SUM($P670:AB670)</f>
        <v>0</v>
      </c>
      <c r="AD670" s="446">
        <f>IF(OR($B670="",MIN(AD$38,$D$19)&lt;MAX($P$612*($B670+IF($R$17="Distrato",$I$38-1,0)),IF(AND($L$615=0,$P$612=0),"",$L$615-1),IF($R$17="Distrato",$E670,0))),0,YEARFRAC(MAX($P$612*($B670+IF($R$17="Distrato",$I$38-1,0)),IF(AND($L$615=0,$P$612=0),"",$L$615-1),IF($R$17="Distrato",$E670,0)),MIN(AD$38,$D$19),$P$20))-SUM($P670:AC670)</f>
        <v>0</v>
      </c>
      <c r="AE670" s="446">
        <f>IF(OR($B670="",MIN(AE$38,$D$19)&lt;MAX($P$612*($B670+IF($R$17="Distrato",$I$38-1,0)),IF(AND($L$615=0,$P$612=0),"",$L$615-1),IF($R$17="Distrato",$E670,0))),0,YEARFRAC(MAX($P$612*($B670+IF($R$17="Distrato",$I$38-1,0)),IF(AND($L$615=0,$P$612=0),"",$L$615-1),IF($R$17="Distrato",$E670,0)),MIN(AE$38,$D$19),$P$20))-SUM($P670:AD670)</f>
        <v>0</v>
      </c>
      <c r="AF670" s="446">
        <f>IF(OR($B670="",MIN(AF$38,$D$19)&lt;MAX($P$612*($B670+IF($R$17="Distrato",$I$38-1,0)),IF(AND($L$615=0,$P$612=0),"",$L$615-1),IF($R$17="Distrato",$E670,0))),0,YEARFRAC(MAX($P$612*($B670+IF($R$17="Distrato",$I$38-1,0)),IF(AND($L$615=0,$P$612=0),"",$L$615-1),IF($R$17="Distrato",$E670,0)),MIN(AF$38,$D$19),$P$20))-SUM($P670:AE670)</f>
        <v>0</v>
      </c>
      <c r="AG670" s="446">
        <f>IF(OR($B670="",MIN(AG$38,$D$19)&lt;MAX($P$612*($B670+IF($R$17="Distrato",$I$38-1,0)),IF(AND($L$615=0,$P$612=0),"",$L$615-1),IF($R$17="Distrato",$E670,0))),0,YEARFRAC(MAX($P$612*($B670+IF($R$17="Distrato",$I$38-1,0)),IF(AND($L$615=0,$P$612=0),"",$L$615-1),IF($R$17="Distrato",$E670,0)),MIN(AG$38,$D$19),$P$20))-SUM($P670:AF670)</f>
        <v>0</v>
      </c>
      <c r="AH670" s="446">
        <f>IF(OR($B670="",MIN(AH$38,$D$19)&lt;MAX($P$612*($B670+IF($R$17="Distrato",$I$38-1,0)),IF(AND($L$615=0,$P$612=0),"",$L$615-1),IF($R$17="Distrato",$E670,0))),0,YEARFRAC(MAX($P$612*($B670+IF($R$17="Distrato",$I$38-1,0)),IF(AND($L$615=0,$P$612=0),"",$L$615-1),IF($R$17="Distrato",$E670,0)),MIN(AH$38,$D$19),$P$20))-SUM($P670:AG670)</f>
        <v>0</v>
      </c>
      <c r="AI670" s="446">
        <f>IF(OR($B670="",MIN(AI$38,$D$19)&lt;MAX($P$612*($B670+IF($R$17="Distrato",$I$38-1,0)),IF(AND($L$615=0,$P$612=0),"",$L$615-1),IF($R$17="Distrato",$E670,0))),0,YEARFRAC(MAX($P$612*($B670+IF($R$17="Distrato",$I$38-1,0)),IF(AND($L$615=0,$P$612=0),"",$L$615-1),IF($R$17="Distrato",$E670,0)),MIN(AI$38,$D$19),$P$20))-SUM($P670:AH670)</f>
        <v>0</v>
      </c>
      <c r="AJ670" s="446">
        <f>IF(OR($B670="",MIN(AJ$38,$D$19)&lt;MAX($P$612*($B670+IF($R$17="Distrato",$I$38-1,0)),IF(AND($L$615=0,$P$612=0),"",$L$615-1),IF($R$17="Distrato",$E670,0))),0,YEARFRAC(MAX($P$612*($B670+IF($R$17="Distrato",$I$38-1,0)),IF(AND($L$615=0,$P$612=0),"",$L$615-1),IF($R$17="Distrato",$E670,0)),MIN(AJ$38,$D$19),$P$20))-SUM($P670:AI670)</f>
        <v>0</v>
      </c>
      <c r="AK670" s="446">
        <f>IF(OR($B670="",MIN(AK$38,$D$19)&lt;MAX($P$612*($B670+IF($R$17="Distrato",$I$38-1,0)),IF(AND($L$615=0,$P$612=0),"",$L$615-1),IF($R$17="Distrato",$E670,0))),0,YEARFRAC(MAX($P$612*($B670+IF($R$17="Distrato",$I$38-1,0)),IF(AND($L$615=0,$P$612=0),"",$L$615-1),IF($R$17="Distrato",$E670,0)),MIN(AK$38,$D$19),$P$20))-SUM($P670:AJ670)</f>
        <v>0</v>
      </c>
      <c r="AL670" s="446">
        <f>IF(OR($B670="",MIN(AL$38,$D$19)&lt;MAX($P$612*($B670+IF($R$17="Distrato",$I$38-1,0)),IF(AND($L$615=0,$P$612=0),"",$L$615-1),IF($R$17="Distrato",$E670,0))),0,YEARFRAC(MAX($P$612*($B670+IF($R$17="Distrato",$I$38-1,0)),IF(AND($L$615=0,$P$612=0),"",$L$615-1),IF($R$17="Distrato",$E670,0)),MIN(AL$38,$D$19),$P$20))-SUM($P670:AK670)</f>
        <v>0</v>
      </c>
      <c r="AM670" s="446">
        <f>IF(OR($B670="",MIN(AM$38,$D$19)&lt;MAX($P$612*($B670+IF($R$17="Distrato",$I$38-1,0)),IF(AND($L$615=0,$P$612=0),"",$L$615-1),IF($R$17="Distrato",$E670,0))),0,YEARFRAC(MAX($P$612*($B670+IF($R$17="Distrato",$I$38-1,0)),IF(AND($L$615=0,$P$612=0),"",$L$615-1),IF($R$17="Distrato",$E670,0)),MIN(AM$38,$D$19),$P$20))-SUM($P670:AL670)</f>
        <v>0</v>
      </c>
      <c r="AN670" s="446">
        <f>IF(OR($B670="",MIN(AN$38,$D$19)&lt;MAX($P$612*($B670+IF($R$17="Distrato",$I$38-1,0)),IF(AND($L$615=0,$P$612=0),"",$L$615-1),IF($R$17="Distrato",$E670,0))),0,YEARFRAC(MAX($P$612*($B670+IF($R$17="Distrato",$I$38-1,0)),IF(AND($L$615=0,$P$612=0),"",$L$615-1),IF($R$17="Distrato",$E670,0)),MIN(AN$38,$D$19),$P$20))-SUM($P670:AM670)</f>
        <v>0</v>
      </c>
      <c r="AO670" s="446">
        <f>IF(OR($B670="",MIN(AO$38,$D$19)&lt;MAX($P$612*($B670+IF($R$17="Distrato",$I$38-1,0)),IF(AND($L$615=0,$P$612=0),"",$L$615-1),IF($R$17="Distrato",$E670,0))),0,YEARFRAC(MAX($P$612*($B670+IF($R$17="Distrato",$I$38-1,0)),IF(AND($L$615=0,$P$612=0),"",$L$615-1),IF($R$17="Distrato",$E670,0)),MIN(AO$38,$D$19),$P$20))-SUM($P670:AN670)</f>
        <v>0</v>
      </c>
      <c r="AP670" s="446">
        <f>IF(OR($B670="",MIN(AP$38,$D$19)&lt;MAX($P$612*($B670+IF($R$17="Distrato",$I$38-1,0)),IF(AND($L$615=0,$P$612=0),"",$L$615-1),IF($R$17="Distrato",$E670,0))),0,YEARFRAC(MAX($P$612*($B670+IF($R$17="Distrato",$I$38-1,0)),IF(AND($L$615=0,$P$612=0),"",$L$615-1),IF($R$17="Distrato",$E670,0)),MIN(AP$38,$D$19),$P$20))-SUM($P670:AO670)</f>
        <v>0</v>
      </c>
      <c r="AQ670" s="446">
        <f>IF(OR($B670="",MIN(AQ$38,$D$19)&lt;MAX($P$612*($B670+IF($R$17="Distrato",$I$38-1,0)),IF(AND($L$615=0,$P$612=0),"",$L$615-1),IF($R$17="Distrato",$E670,0))),0,YEARFRAC(MAX($P$612*($B670+IF($R$17="Distrato",$I$38-1,0)),IF(AND($L$615=0,$P$612=0),"",$L$615-1),IF($R$17="Distrato",$E670,0)),MIN(AQ$38,$D$19),$P$20))-SUM($P670:AP670)</f>
        <v>0</v>
      </c>
      <c r="AR670" s="446">
        <f>IF(OR($B670="",MIN(AR$38,$D$19)&lt;MAX($P$612*($B670+IF($R$17="Distrato",$I$38-1,0)),IF(AND($L$615=0,$P$612=0),"",$L$615-1),IF($R$17="Distrato",$E670,0))),0,YEARFRAC(MAX($P$612*($B670+IF($R$17="Distrato",$I$38-1,0)),IF(AND($L$615=0,$P$612=0),"",$L$615-1),IF($R$17="Distrato",$E670,0)),MIN(AR$38,$D$19),$P$20))-SUM($P670:AQ670)</f>
        <v>0</v>
      </c>
      <c r="AS670" s="446">
        <f>IF(OR($B670="",MIN(AS$38,$D$19)&lt;MAX($P$612*($B670+IF($R$17="Distrato",$I$38-1,0)),IF(AND($L$615=0,$P$612=0),"",$L$615-1),IF($R$17="Distrato",$E670,0))),0,YEARFRAC(MAX($P$612*($B670+IF($R$17="Distrato",$I$38-1,0)),IF(AND($L$615=0,$P$612=0),"",$L$615-1),IF($R$17="Distrato",$E670,0)),MIN(AS$38,$D$19),$P$20))-SUM($P670:AR670)</f>
        <v>0</v>
      </c>
      <c r="AT670" s="446">
        <f>IF(OR($B670="",MIN(AT$38,$D$19)&lt;MAX($P$612*($B670+IF($R$17="Distrato",$I$38-1,0)),IF(AND($L$615=0,$P$612=0),"",$L$615-1),IF($R$17="Distrato",$E670,0))),0,YEARFRAC(MAX($P$612*($B670+IF($R$17="Distrato",$I$38-1,0)),IF(AND($L$615=0,$P$612=0),"",$L$615-1),IF($R$17="Distrato",$E670,0)),MIN(AT$38,$D$19),$P$20))-SUM($P670:AS670)</f>
        <v>0</v>
      </c>
      <c r="AU670" s="446">
        <f>IF(OR($B670="",MIN(AU$38,$D$19)&lt;MAX($P$612*($B670+IF($R$17="Distrato",$I$38-1,0)),IF(AND($L$615=0,$P$612=0),"",$L$615-1),IF($R$17="Distrato",$E670,0))),0,YEARFRAC(MAX($P$612*($B670+IF($R$17="Distrato",$I$38-1,0)),IF(AND($L$615=0,$P$612=0),"",$L$615-1),IF($R$17="Distrato",$E670,0)),MIN(AU$38,$D$19),$P$20))-SUM($P670:AT670)</f>
        <v>0</v>
      </c>
      <c r="AV670" s="446">
        <f>IF(OR($B670="",MIN(AV$38,$D$19)&lt;MAX($P$612*($B670+IF($R$17="Distrato",$I$38-1,0)),IF(AND($L$615=0,$P$612=0),"",$L$615-1),IF($R$17="Distrato",$E670,0))),0,YEARFRAC(MAX($P$612*($B670+IF($R$17="Distrato",$I$38-1,0)),IF(AND($L$615=0,$P$612=0),"",$L$615-1),IF($R$17="Distrato",$E670,0)),MIN(AV$38,$D$19),$P$20))-SUM($P670:AU670)</f>
        <v>0</v>
      </c>
      <c r="AW670" s="446">
        <f>IF(OR($B670="",MIN(AW$38,$D$19)&lt;MAX($P$612*($B670+IF($R$17="Distrato",$I$38-1,0)),IF(AND($L$615=0,$P$612=0),"",$L$615-1),IF($R$17="Distrato",$E670,0))),0,YEARFRAC(MAX($P$612*($B670+IF($R$17="Distrato",$I$38-1,0)),IF(AND($L$615=0,$P$612=0),"",$L$615-1),IF($R$17="Distrato",$E670,0)),MIN(AW$38,$D$19),$P$20))-SUM($P670:AV670)</f>
        <v>0</v>
      </c>
      <c r="AX670" s="446">
        <f>IF(OR($B670="",MIN(AX$38,$D$19)&lt;MAX($P$612*($B670+IF($R$17="Distrato",$I$38-1,0)),IF(AND($L$615=0,$P$612=0),"",$L$615-1),IF($R$17="Distrato",$E670,0))),0,YEARFRAC(MAX($P$612*($B670+IF($R$17="Distrato",$I$38-1,0)),IF(AND($L$615=0,$P$612=0),"",$L$615-1),IF($R$17="Distrato",$E670,0)),MIN(AX$38,$D$19),$P$20))-SUM($P670:AW670)</f>
        <v>0</v>
      </c>
      <c r="AY670" s="446">
        <f>IF(OR($B670="",MIN(AY$38,$D$19)&lt;MAX($P$612*($B670+IF($R$17="Distrato",$I$38-1,0)),IF(AND($L$615=0,$P$612=0),"",$L$615-1),IF($R$17="Distrato",$E670,0))),0,YEARFRAC(MAX($P$612*($B670+IF($R$17="Distrato",$I$38-1,0)),IF(AND($L$615=0,$P$612=0),"",$L$615-1),IF($R$17="Distrato",$E670,0)),MIN(AY$38,$D$19),$P$20))-SUM($P670:AX670)</f>
        <v>0</v>
      </c>
      <c r="AZ670" s="446">
        <f>IF(OR($B670="",MIN(AZ$38,$D$19)&lt;MAX($P$612*($B670+IF($R$17="Distrato",$I$38-1,0)),IF(AND($L$615=0,$P$612=0),"",$L$615-1),IF($R$17="Distrato",$E670,0))),0,YEARFRAC(MAX($P$612*($B670+IF($R$17="Distrato",$I$38-1,0)),IF(AND($L$615=0,$P$612=0),"",$L$615-1),IF($R$17="Distrato",$E670,0)),MIN(AZ$38,$D$19),$P$20))-SUM($P670:AY670)</f>
        <v>0</v>
      </c>
      <c r="BA670" s="446">
        <f>IF(OR($B670="",MIN(BA$38,$D$19)&lt;MAX($P$612*($B670+IF($R$17="Distrato",$I$38-1,0)),IF(AND($L$615=0,$P$612=0),"",$L$615-1),IF($R$17="Distrato",$E670,0))),0,YEARFRAC(MAX($P$612*($B670+IF($R$17="Distrato",$I$38-1,0)),IF(AND($L$615=0,$P$612=0),"",$L$615-1),IF($R$17="Distrato",$E670,0)),MIN(BA$38,$D$19),$P$20))-SUM($P670:AZ670)</f>
        <v>0</v>
      </c>
      <c r="BB670" s="447"/>
    </row>
    <row r="671" spans="1:54" s="446" customFormat="1" ht="11.25" hidden="1" x14ac:dyDescent="0.2">
      <c r="A671" s="177"/>
      <c r="B671" s="178"/>
      <c r="C671" s="29" t="str">
        <f>IF(B671="","",IF($L$613="SELIC - TRIBUTOS",VLOOKUP(DATE(YEAR($D$19),MONTH($D$19)-1,1),ÍNDICES!$A:$DE,HLOOKUP($BL$25,ÍNDICES!$B$3:$T$4,2)+11)-VLOOKUP(B671,ÍNDICES!$A:$DE,HLOOKUP($BL$25,ÍNDICES!$B$3:$T$4,2)+11)+1%,IF(C$616=$W$26,$J$613,IF(ISERROR(IF(B671&gt;$D$19,1,VLOOKUP(DATE(YEAR(B671),MONTH(B671)+IF($C$613=$S$23,1,0),1),ÍNDICES!$A:$DE,$Z$613+1))),"",IF(B671&gt;$D$19,1,VLOOKUP(DATE(YEAR(B671),MONTH(B671)+IF($C$613=$S$23,1,0),1),ÍNDICES!$A:$DE,$Z$613+1))))))</f>
        <v/>
      </c>
      <c r="D671" s="155"/>
      <c r="E671" s="179"/>
      <c r="F671" s="29"/>
      <c r="G671" s="180"/>
      <c r="H671" s="181"/>
      <c r="I671" s="182" t="str">
        <f>IF(E671="",IF(D671="","",D671),IF(ISERROR(D671/(IF(E671&lt;B671,1,C671/F671))-G671),-G671,D671/(IF(E671&lt;B671,1,C671/F671))-G671))</f>
        <v/>
      </c>
      <c r="J671" s="5" t="str">
        <f t="shared" si="108"/>
        <v/>
      </c>
      <c r="K671" s="5">
        <f t="shared" ca="1" si="109"/>
        <v>0</v>
      </c>
      <c r="L671" s="5">
        <f t="shared" ca="1" si="112"/>
        <v>0</v>
      </c>
      <c r="M671" s="64">
        <f t="shared" si="110"/>
        <v>0</v>
      </c>
      <c r="N671" s="61">
        <f t="shared" ca="1" si="113"/>
        <v>0</v>
      </c>
      <c r="O671" s="20">
        <f t="shared" ca="1" si="106"/>
        <v>0</v>
      </c>
      <c r="P671" s="446">
        <f t="shared" si="114"/>
        <v>0</v>
      </c>
      <c r="Q671" s="446">
        <f>IF(OR($B671="",MIN(Q$38,$D$19)&lt;MAX($P$612*($B671+IF($R$17="Distrato",$I$38-1,0)),IF(AND($L$615=0,$P$612=0),"",$L$615-1),IF($R$17="Distrato",$E671,0))),0,YEARFRAC(MAX($P$612*($B671+IF($R$17="Distrato",$I$38-1,0)),IF(AND($L$615=0,$P$612=0),"",$L$615-1),IF($R$17="Distrato",$E671,0)),MIN(Q$38,$D$19),$P$20))-SUM($P671:P671)</f>
        <v>0</v>
      </c>
      <c r="R671" s="446">
        <f>IF(OR($B671="",MIN(R$38,$D$19)&lt;MAX($P$612*($B671+IF($R$17="Distrato",$I$38-1,0)),IF(AND($L$615=0,$P$612=0),"",$L$615-1),IF($R$17="Distrato",$E671,0))),0,YEARFRAC(MAX($P$612*($B671+IF($R$17="Distrato",$I$38-1,0)),IF(AND($L$615=0,$P$612=0),"",$L$615-1),IF($R$17="Distrato",$E671,0)),MIN(R$38,$D$19),$P$20))-SUM($P671:Q671)</f>
        <v>0</v>
      </c>
      <c r="S671" s="446">
        <f>IF(OR($B671="",MIN(S$38,$D$19)&lt;MAX($P$612*($B671+IF($R$17="Distrato",$I$38-1,0)),IF(AND($L$615=0,$P$612=0),"",$L$615-1),IF($R$17="Distrato",$E671,0))),0,YEARFRAC(MAX($P$612*($B671+IF($R$17="Distrato",$I$38-1,0)),IF(AND($L$615=0,$P$612=0),"",$L$615-1),IF($R$17="Distrato",$E671,0)),MIN(S$38,$D$19),$P$20))-SUM($P671:R671)</f>
        <v>0</v>
      </c>
      <c r="T671" s="446">
        <f>IF(OR($B671="",MIN(T$38,$D$19)&lt;MAX($P$612*($B671+IF($R$17="Distrato",$I$38-1,0)),IF(AND($L$615=0,$P$612=0),"",$L$615-1),IF($R$17="Distrato",$E671,0))),0,YEARFRAC(MAX($P$612*($B671+IF($R$17="Distrato",$I$38-1,0)),IF(AND($L$615=0,$P$612=0),"",$L$615-1),IF($R$17="Distrato",$E671,0)),MIN(T$38,$D$19),$P$20))-SUM($P671:S671)</f>
        <v>0</v>
      </c>
      <c r="U671" s="446">
        <f>IF(OR($B671="",MIN(U$38,$D$19)&lt;MAX($P$612*($B671+IF($R$17="Distrato",$I$38-1,0)),IF(AND($L$615=0,$P$612=0),"",$L$615-1),IF($R$17="Distrato",$E671,0))),0,YEARFRAC(MAX($P$612*($B671+IF($R$17="Distrato",$I$38-1,0)),IF(AND($L$615=0,$P$612=0),"",$L$615-1),IF($R$17="Distrato",$E671,0)),MIN(U$38,$D$19),$P$20))-SUM($P671:T671)</f>
        <v>0</v>
      </c>
      <c r="V671" s="446">
        <f>IF(OR($B671="",MIN(V$38,$D$19)&lt;MAX($P$612*($B671+IF($R$17="Distrato",$I$38-1,0)),IF(AND($L$615=0,$P$612=0),"",$L$615-1),IF($R$17="Distrato",$E671,0))),0,YEARFRAC(MAX($P$612*($B671+IF($R$17="Distrato",$I$38-1,0)),IF(AND($L$615=0,$P$612=0),"",$L$615-1),IF($R$17="Distrato",$E671,0)),MIN(V$38,$D$19),$P$20))-SUM($P671:U671)</f>
        <v>0</v>
      </c>
      <c r="W671" s="446">
        <f>IF(OR($B671="",MIN(W$38,$D$19)&lt;MAX($P$612*($B671+IF($R$17="Distrato",$I$38-1,0)),IF(AND($L$615=0,$P$612=0),"",$L$615-1),IF($R$17="Distrato",$E671,0))),0,YEARFRAC(MAX($P$612*($B671+IF($R$17="Distrato",$I$38-1,0)),IF(AND($L$615=0,$P$612=0),"",$L$615-1),IF($R$17="Distrato",$E671,0)),MIN(W$38,$D$19),$P$20))-SUM($P671:V671)</f>
        <v>0</v>
      </c>
      <c r="X671" s="446">
        <f>IF(OR($B671="",MIN(X$38,$D$19)&lt;MAX($P$612*($B671+IF($R$17="Distrato",$I$38-1,0)),IF(AND($L$615=0,$P$612=0),"",$L$615-1),IF($R$17="Distrato",$E671,0))),0,YEARFRAC(MAX($P$612*($B671+IF($R$17="Distrato",$I$38-1,0)),IF(AND($L$615=0,$P$612=0),"",$L$615-1),IF($R$17="Distrato",$E671,0)),MIN(X$38,$D$19),$P$20))-SUM($P671:W671)</f>
        <v>0</v>
      </c>
      <c r="Y671" s="446">
        <f>IF(OR($B671="",MIN(Y$38,$D$19)&lt;MAX($P$612*($B671+IF($R$17="Distrato",$I$38-1,0)),IF(AND($L$615=0,$P$612=0),"",$L$615-1),IF($R$17="Distrato",$E671,0))),0,YEARFRAC(MAX($P$612*($B671+IF($R$17="Distrato",$I$38-1,0)),IF(AND($L$615=0,$P$612=0),"",$L$615-1),IF($R$17="Distrato",$E671,0)),MIN(Y$38,$D$19),$P$20))-SUM($P671:X671)</f>
        <v>0</v>
      </c>
      <c r="Z671" s="446">
        <f>IF(OR($B671="",MIN(Z$38,$D$19)&lt;MAX($P$612*($B671+IF($R$17="Distrato",$I$38-1,0)),IF(AND($L$615=0,$P$612=0),"",$L$615-1),IF($R$17="Distrato",$E671,0))),0,YEARFRAC(MAX($P$612*($B671+IF($R$17="Distrato",$I$38-1,0)),IF(AND($L$615=0,$P$612=0),"",$L$615-1),IF($R$17="Distrato",$E671,0)),MIN(Z$38,$D$19),$P$20))-SUM($P671:Y671)</f>
        <v>0</v>
      </c>
      <c r="AA671" s="446">
        <f>IF(OR($B671="",MIN(AA$38,$D$19)&lt;MAX($P$612*($B671+IF($R$17="Distrato",$I$38-1,0)),IF(AND($L$615=0,$P$612=0),"",$L$615-1),IF($R$17="Distrato",$E671,0))),0,YEARFRAC(MAX($P$612*($B671+IF($R$17="Distrato",$I$38-1,0)),IF(AND($L$615=0,$P$612=0),"",$L$615-1),IF($R$17="Distrato",$E671,0)),MIN(AA$38,$D$19),$P$20))-SUM($P671:Z671)</f>
        <v>0</v>
      </c>
      <c r="AB671" s="446">
        <f>IF(OR($B671="",MIN(AB$38,$D$19)&lt;MAX($P$612*($B671+IF($R$17="Distrato",$I$38-1,0)),IF(AND($L$615=0,$P$612=0),"",$L$615-1),IF($R$17="Distrato",$E671,0))),0,YEARFRAC(MAX($P$612*($B671+IF($R$17="Distrato",$I$38-1,0)),IF(AND($L$615=0,$P$612=0),"",$L$615-1),IF($R$17="Distrato",$E671,0)),MIN(AB$38,$D$19),$P$20))-SUM($P671:AA671)</f>
        <v>0</v>
      </c>
      <c r="AC671" s="446">
        <f>IF(OR($B671="",MIN(AC$38,$D$19)&lt;MAX($P$612*($B671+IF($R$17="Distrato",$I$38-1,0)),IF(AND($L$615=0,$P$612=0),"",$L$615-1),IF($R$17="Distrato",$E671,0))),0,YEARFRAC(MAX($P$612*($B671+IF($R$17="Distrato",$I$38-1,0)),IF(AND($L$615=0,$P$612=0),"",$L$615-1),IF($R$17="Distrato",$E671,0)),MIN(AC$38,$D$19),$P$20))-SUM($P671:AB671)</f>
        <v>0</v>
      </c>
      <c r="AD671" s="446">
        <f>IF(OR($B671="",MIN(AD$38,$D$19)&lt;MAX($P$612*($B671+IF($R$17="Distrato",$I$38-1,0)),IF(AND($L$615=0,$P$612=0),"",$L$615-1),IF($R$17="Distrato",$E671,0))),0,YEARFRAC(MAX($P$612*($B671+IF($R$17="Distrato",$I$38-1,0)),IF(AND($L$615=0,$P$612=0),"",$L$615-1),IF($R$17="Distrato",$E671,0)),MIN(AD$38,$D$19),$P$20))-SUM($P671:AC671)</f>
        <v>0</v>
      </c>
      <c r="AE671" s="446">
        <f>IF(OR($B671="",MIN(AE$38,$D$19)&lt;MAX($P$612*($B671+IF($R$17="Distrato",$I$38-1,0)),IF(AND($L$615=0,$P$612=0),"",$L$615-1),IF($R$17="Distrato",$E671,0))),0,YEARFRAC(MAX($P$612*($B671+IF($R$17="Distrato",$I$38-1,0)),IF(AND($L$615=0,$P$612=0),"",$L$615-1),IF($R$17="Distrato",$E671,0)),MIN(AE$38,$D$19),$P$20))-SUM($P671:AD671)</f>
        <v>0</v>
      </c>
      <c r="AF671" s="446">
        <f>IF(OR($B671="",MIN(AF$38,$D$19)&lt;MAX($P$612*($B671+IF($R$17="Distrato",$I$38-1,0)),IF(AND($L$615=0,$P$612=0),"",$L$615-1),IF($R$17="Distrato",$E671,0))),0,YEARFRAC(MAX($P$612*($B671+IF($R$17="Distrato",$I$38-1,0)),IF(AND($L$615=0,$P$612=0),"",$L$615-1),IF($R$17="Distrato",$E671,0)),MIN(AF$38,$D$19),$P$20))-SUM($P671:AE671)</f>
        <v>0</v>
      </c>
      <c r="AG671" s="446">
        <f>IF(OR($B671="",MIN(AG$38,$D$19)&lt;MAX($P$612*($B671+IF($R$17="Distrato",$I$38-1,0)),IF(AND($L$615=0,$P$612=0),"",$L$615-1),IF($R$17="Distrato",$E671,0))),0,YEARFRAC(MAX($P$612*($B671+IF($R$17="Distrato",$I$38-1,0)),IF(AND($L$615=0,$P$612=0),"",$L$615-1),IF($R$17="Distrato",$E671,0)),MIN(AG$38,$D$19),$P$20))-SUM($P671:AF671)</f>
        <v>0</v>
      </c>
      <c r="AH671" s="446">
        <f>IF(OR($B671="",MIN(AH$38,$D$19)&lt;MAX($P$612*($B671+IF($R$17="Distrato",$I$38-1,0)),IF(AND($L$615=0,$P$612=0),"",$L$615-1),IF($R$17="Distrato",$E671,0))),0,YEARFRAC(MAX($P$612*($B671+IF($R$17="Distrato",$I$38-1,0)),IF(AND($L$615=0,$P$612=0),"",$L$615-1),IF($R$17="Distrato",$E671,0)),MIN(AH$38,$D$19),$P$20))-SUM($P671:AG671)</f>
        <v>0</v>
      </c>
      <c r="AI671" s="446">
        <f>IF(OR($B671="",MIN(AI$38,$D$19)&lt;MAX($P$612*($B671+IF($R$17="Distrato",$I$38-1,0)),IF(AND($L$615=0,$P$612=0),"",$L$615-1),IF($R$17="Distrato",$E671,0))),0,YEARFRAC(MAX($P$612*($B671+IF($R$17="Distrato",$I$38-1,0)),IF(AND($L$615=0,$P$612=0),"",$L$615-1),IF($R$17="Distrato",$E671,0)),MIN(AI$38,$D$19),$P$20))-SUM($P671:AH671)</f>
        <v>0</v>
      </c>
      <c r="AJ671" s="446">
        <f>IF(OR($B671="",MIN(AJ$38,$D$19)&lt;MAX($P$612*($B671+IF($R$17="Distrato",$I$38-1,0)),IF(AND($L$615=0,$P$612=0),"",$L$615-1),IF($R$17="Distrato",$E671,0))),0,YEARFRAC(MAX($P$612*($B671+IF($R$17="Distrato",$I$38-1,0)),IF(AND($L$615=0,$P$612=0),"",$L$615-1),IF($R$17="Distrato",$E671,0)),MIN(AJ$38,$D$19),$P$20))-SUM($P671:AI671)</f>
        <v>0</v>
      </c>
      <c r="AK671" s="446">
        <f>IF(OR($B671="",MIN(AK$38,$D$19)&lt;MAX($P$612*($B671+IF($R$17="Distrato",$I$38-1,0)),IF(AND($L$615=0,$P$612=0),"",$L$615-1),IF($R$17="Distrato",$E671,0))),0,YEARFRAC(MAX($P$612*($B671+IF($R$17="Distrato",$I$38-1,0)),IF(AND($L$615=0,$P$612=0),"",$L$615-1),IF($R$17="Distrato",$E671,0)),MIN(AK$38,$D$19),$P$20))-SUM($P671:AJ671)</f>
        <v>0</v>
      </c>
      <c r="AL671" s="446">
        <f>IF(OR($B671="",MIN(AL$38,$D$19)&lt;MAX($P$612*($B671+IF($R$17="Distrato",$I$38-1,0)),IF(AND($L$615=0,$P$612=0),"",$L$615-1),IF($R$17="Distrato",$E671,0))),0,YEARFRAC(MAX($P$612*($B671+IF($R$17="Distrato",$I$38-1,0)),IF(AND($L$615=0,$P$612=0),"",$L$615-1),IF($R$17="Distrato",$E671,0)),MIN(AL$38,$D$19),$P$20))-SUM($P671:AK671)</f>
        <v>0</v>
      </c>
      <c r="AM671" s="446">
        <f>IF(OR($B671="",MIN(AM$38,$D$19)&lt;MAX($P$612*($B671+IF($R$17="Distrato",$I$38-1,0)),IF(AND($L$615=0,$P$612=0),"",$L$615-1),IF($R$17="Distrato",$E671,0))),0,YEARFRAC(MAX($P$612*($B671+IF($R$17="Distrato",$I$38-1,0)),IF(AND($L$615=0,$P$612=0),"",$L$615-1),IF($R$17="Distrato",$E671,0)),MIN(AM$38,$D$19),$P$20))-SUM($P671:AL671)</f>
        <v>0</v>
      </c>
      <c r="AN671" s="446">
        <f>IF(OR($B671="",MIN(AN$38,$D$19)&lt;MAX($P$612*($B671+IF($R$17="Distrato",$I$38-1,0)),IF(AND($L$615=0,$P$612=0),"",$L$615-1),IF($R$17="Distrato",$E671,0))),0,YEARFRAC(MAX($P$612*($B671+IF($R$17="Distrato",$I$38-1,0)),IF(AND($L$615=0,$P$612=0),"",$L$615-1),IF($R$17="Distrato",$E671,0)),MIN(AN$38,$D$19),$P$20))-SUM($P671:AM671)</f>
        <v>0</v>
      </c>
      <c r="AO671" s="446">
        <f>IF(OR($B671="",MIN(AO$38,$D$19)&lt;MAX($P$612*($B671+IF($R$17="Distrato",$I$38-1,0)),IF(AND($L$615=0,$P$612=0),"",$L$615-1),IF($R$17="Distrato",$E671,0))),0,YEARFRAC(MAX($P$612*($B671+IF($R$17="Distrato",$I$38-1,0)),IF(AND($L$615=0,$P$612=0),"",$L$615-1),IF($R$17="Distrato",$E671,0)),MIN(AO$38,$D$19),$P$20))-SUM($P671:AN671)</f>
        <v>0</v>
      </c>
      <c r="AP671" s="446">
        <f>IF(OR($B671="",MIN(AP$38,$D$19)&lt;MAX($P$612*($B671+IF($R$17="Distrato",$I$38-1,0)),IF(AND($L$615=0,$P$612=0),"",$L$615-1),IF($R$17="Distrato",$E671,0))),0,YEARFRAC(MAX($P$612*($B671+IF($R$17="Distrato",$I$38-1,0)),IF(AND($L$615=0,$P$612=0),"",$L$615-1),IF($R$17="Distrato",$E671,0)),MIN(AP$38,$D$19),$P$20))-SUM($P671:AO671)</f>
        <v>0</v>
      </c>
      <c r="AQ671" s="446">
        <f>IF(OR($B671="",MIN(AQ$38,$D$19)&lt;MAX($P$612*($B671+IF($R$17="Distrato",$I$38-1,0)),IF(AND($L$615=0,$P$612=0),"",$L$615-1),IF($R$17="Distrato",$E671,0))),0,YEARFRAC(MAX($P$612*($B671+IF($R$17="Distrato",$I$38-1,0)),IF(AND($L$615=0,$P$612=0),"",$L$615-1),IF($R$17="Distrato",$E671,0)),MIN(AQ$38,$D$19),$P$20))-SUM($P671:AP671)</f>
        <v>0</v>
      </c>
      <c r="AR671" s="446">
        <f>IF(OR($B671="",MIN(AR$38,$D$19)&lt;MAX($P$612*($B671+IF($R$17="Distrato",$I$38-1,0)),IF(AND($L$615=0,$P$612=0),"",$L$615-1),IF($R$17="Distrato",$E671,0))),0,YEARFRAC(MAX($P$612*($B671+IF($R$17="Distrato",$I$38-1,0)),IF(AND($L$615=0,$P$612=0),"",$L$615-1),IF($R$17="Distrato",$E671,0)),MIN(AR$38,$D$19),$P$20))-SUM($P671:AQ671)</f>
        <v>0</v>
      </c>
      <c r="AS671" s="446">
        <f>IF(OR($B671="",MIN(AS$38,$D$19)&lt;MAX($P$612*($B671+IF($R$17="Distrato",$I$38-1,0)),IF(AND($L$615=0,$P$612=0),"",$L$615-1),IF($R$17="Distrato",$E671,0))),0,YEARFRAC(MAX($P$612*($B671+IF($R$17="Distrato",$I$38-1,0)),IF(AND($L$615=0,$P$612=0),"",$L$615-1),IF($R$17="Distrato",$E671,0)),MIN(AS$38,$D$19),$P$20))-SUM($P671:AR671)</f>
        <v>0</v>
      </c>
      <c r="AT671" s="446">
        <f>IF(OR($B671="",MIN(AT$38,$D$19)&lt;MAX($P$612*($B671+IF($R$17="Distrato",$I$38-1,0)),IF(AND($L$615=0,$P$612=0),"",$L$615-1),IF($R$17="Distrato",$E671,0))),0,YEARFRAC(MAX($P$612*($B671+IF($R$17="Distrato",$I$38-1,0)),IF(AND($L$615=0,$P$612=0),"",$L$615-1),IF($R$17="Distrato",$E671,0)),MIN(AT$38,$D$19),$P$20))-SUM($P671:AS671)</f>
        <v>0</v>
      </c>
      <c r="AU671" s="446">
        <f>IF(OR($B671="",MIN(AU$38,$D$19)&lt;MAX($P$612*($B671+IF($R$17="Distrato",$I$38-1,0)),IF(AND($L$615=0,$P$612=0),"",$L$615-1),IF($R$17="Distrato",$E671,0))),0,YEARFRAC(MAX($P$612*($B671+IF($R$17="Distrato",$I$38-1,0)),IF(AND($L$615=0,$P$612=0),"",$L$615-1),IF($R$17="Distrato",$E671,0)),MIN(AU$38,$D$19),$P$20))-SUM($P671:AT671)</f>
        <v>0</v>
      </c>
      <c r="AV671" s="446">
        <f>IF(OR($B671="",MIN(AV$38,$D$19)&lt;MAX($P$612*($B671+IF($R$17="Distrato",$I$38-1,0)),IF(AND($L$615=0,$P$612=0),"",$L$615-1),IF($R$17="Distrato",$E671,0))),0,YEARFRAC(MAX($P$612*($B671+IF($R$17="Distrato",$I$38-1,0)),IF(AND($L$615=0,$P$612=0),"",$L$615-1),IF($R$17="Distrato",$E671,0)),MIN(AV$38,$D$19),$P$20))-SUM($P671:AU671)</f>
        <v>0</v>
      </c>
      <c r="AW671" s="446">
        <f>IF(OR($B671="",MIN(AW$38,$D$19)&lt;MAX($P$612*($B671+IF($R$17="Distrato",$I$38-1,0)),IF(AND($L$615=0,$P$612=0),"",$L$615-1),IF($R$17="Distrato",$E671,0))),0,YEARFRAC(MAX($P$612*($B671+IF($R$17="Distrato",$I$38-1,0)),IF(AND($L$615=0,$P$612=0),"",$L$615-1),IF($R$17="Distrato",$E671,0)),MIN(AW$38,$D$19),$P$20))-SUM($P671:AV671)</f>
        <v>0</v>
      </c>
      <c r="AX671" s="446">
        <f>IF(OR($B671="",MIN(AX$38,$D$19)&lt;MAX($P$612*($B671+IF($R$17="Distrato",$I$38-1,0)),IF(AND($L$615=0,$P$612=0),"",$L$615-1),IF($R$17="Distrato",$E671,0))),0,YEARFRAC(MAX($P$612*($B671+IF($R$17="Distrato",$I$38-1,0)),IF(AND($L$615=0,$P$612=0),"",$L$615-1),IF($R$17="Distrato",$E671,0)),MIN(AX$38,$D$19),$P$20))-SUM($P671:AW671)</f>
        <v>0</v>
      </c>
      <c r="AY671" s="446">
        <f>IF(OR($B671="",MIN(AY$38,$D$19)&lt;MAX($P$612*($B671+IF($R$17="Distrato",$I$38-1,0)),IF(AND($L$615=0,$P$612=0),"",$L$615-1),IF($R$17="Distrato",$E671,0))),0,YEARFRAC(MAX($P$612*($B671+IF($R$17="Distrato",$I$38-1,0)),IF(AND($L$615=0,$P$612=0),"",$L$615-1),IF($R$17="Distrato",$E671,0)),MIN(AY$38,$D$19),$P$20))-SUM($P671:AX671)</f>
        <v>0</v>
      </c>
      <c r="AZ671" s="446">
        <f>IF(OR($B671="",MIN(AZ$38,$D$19)&lt;MAX($P$612*($B671+IF($R$17="Distrato",$I$38-1,0)),IF(AND($L$615=0,$P$612=0),"",$L$615-1),IF($R$17="Distrato",$E671,0))),0,YEARFRAC(MAX($P$612*($B671+IF($R$17="Distrato",$I$38-1,0)),IF(AND($L$615=0,$P$612=0),"",$L$615-1),IF($R$17="Distrato",$E671,0)),MIN(AZ$38,$D$19),$P$20))-SUM($P671:AY671)</f>
        <v>0</v>
      </c>
      <c r="BA671" s="446">
        <f>IF(OR($B671="",MIN(BA$38,$D$19)&lt;MAX($P$612*($B671+IF($R$17="Distrato",$I$38-1,0)),IF(AND($L$615=0,$P$612=0),"",$L$615-1),IF($R$17="Distrato",$E671,0))),0,YEARFRAC(MAX($P$612*($B671+IF($R$17="Distrato",$I$38-1,0)),IF(AND($L$615=0,$P$612=0),"",$L$615-1),IF($R$17="Distrato",$E671,0)),MIN(BA$38,$D$19),$P$20))-SUM($P671:AZ671)</f>
        <v>0</v>
      </c>
      <c r="BB671" s="447"/>
    </row>
    <row r="672" spans="1:54" s="446" customFormat="1" ht="11.25" hidden="1" x14ac:dyDescent="0.2">
      <c r="A672" s="177"/>
      <c r="B672" s="178"/>
      <c r="C672" s="29" t="str">
        <f>IF(B672="","",IF($L$613="SELIC - TRIBUTOS",VLOOKUP(DATE(YEAR($D$19),MONTH($D$19)-1,1),ÍNDICES!$A:$DE,HLOOKUP($BL$25,ÍNDICES!$B$3:$T$4,2)+11)-VLOOKUP(B672,ÍNDICES!$A:$DE,HLOOKUP($BL$25,ÍNDICES!$B$3:$T$4,2)+11)+1%,IF(C$616=$W$26,$J$613,IF(ISERROR(IF(B672&gt;$D$19,1,VLOOKUP(DATE(YEAR(B672),MONTH(B672)+IF($C$613=$S$23,1,0),1),ÍNDICES!$A:$DE,$Z$613+1))),"",IF(B672&gt;$D$19,1,VLOOKUP(DATE(YEAR(B672),MONTH(B672)+IF($C$613=$S$23,1,0),1),ÍNDICES!$A:$DE,$Z$613+1))))))</f>
        <v/>
      </c>
      <c r="D672" s="155"/>
      <c r="E672" s="179"/>
      <c r="F672" s="29"/>
      <c r="G672" s="180"/>
      <c r="H672" s="181"/>
      <c r="I672" s="182" t="str">
        <f>IF(E672="",IF(D672="","",D672),IF(ISERROR(D672/(IF(E672&lt;B672,1,C672/F672))-G672),-G672,D672/(IF(E672&lt;B672,1,C672/F672))-G672))</f>
        <v/>
      </c>
      <c r="J672" s="5" t="str">
        <f t="shared" si="108"/>
        <v/>
      </c>
      <c r="K672" s="5">
        <f t="shared" ca="1" si="109"/>
        <v>0</v>
      </c>
      <c r="L672" s="5">
        <f t="shared" ca="1" si="112"/>
        <v>0</v>
      </c>
      <c r="M672" s="64">
        <f t="shared" si="110"/>
        <v>0</v>
      </c>
      <c r="N672" s="61">
        <f t="shared" ca="1" si="113"/>
        <v>0</v>
      </c>
      <c r="O672" s="20">
        <f t="shared" ca="1" si="106"/>
        <v>0</v>
      </c>
      <c r="P672" s="446">
        <f t="shared" si="114"/>
        <v>0</v>
      </c>
      <c r="Q672" s="446">
        <f>IF(OR($B672="",MIN(Q$38,$D$19)&lt;MAX($P$612*($B672+IF($R$17="Distrato",$I$38-1,0)),IF(AND($L$615=0,$P$612=0),"",$L$615-1),IF($R$17="Distrato",$E672,0))),0,YEARFRAC(MAX($P$612*($B672+IF($R$17="Distrato",$I$38-1,0)),IF(AND($L$615=0,$P$612=0),"",$L$615-1),IF($R$17="Distrato",$E672,0)),MIN(Q$38,$D$19),$P$20))-SUM($P672:P672)</f>
        <v>0</v>
      </c>
      <c r="R672" s="446">
        <f>IF(OR($B672="",MIN(R$38,$D$19)&lt;MAX($P$612*($B672+IF($R$17="Distrato",$I$38-1,0)),IF(AND($L$615=0,$P$612=0),"",$L$615-1),IF($R$17="Distrato",$E672,0))),0,YEARFRAC(MAX($P$612*($B672+IF($R$17="Distrato",$I$38-1,0)),IF(AND($L$615=0,$P$612=0),"",$L$615-1),IF($R$17="Distrato",$E672,0)),MIN(R$38,$D$19),$P$20))-SUM($P672:Q672)</f>
        <v>0</v>
      </c>
      <c r="S672" s="446">
        <f>IF(OR($B672="",MIN(S$38,$D$19)&lt;MAX($P$612*($B672+IF($R$17="Distrato",$I$38-1,0)),IF(AND($L$615=0,$P$612=0),"",$L$615-1),IF($R$17="Distrato",$E672,0))),0,YEARFRAC(MAX($P$612*($B672+IF($R$17="Distrato",$I$38-1,0)),IF(AND($L$615=0,$P$612=0),"",$L$615-1),IF($R$17="Distrato",$E672,0)),MIN(S$38,$D$19),$P$20))-SUM($P672:R672)</f>
        <v>0</v>
      </c>
      <c r="T672" s="446">
        <f>IF(OR($B672="",MIN(T$38,$D$19)&lt;MAX($P$612*($B672+IF($R$17="Distrato",$I$38-1,0)),IF(AND($L$615=0,$P$612=0),"",$L$615-1),IF($R$17="Distrato",$E672,0))),0,YEARFRAC(MAX($P$612*($B672+IF($R$17="Distrato",$I$38-1,0)),IF(AND($L$615=0,$P$612=0),"",$L$615-1),IF($R$17="Distrato",$E672,0)),MIN(T$38,$D$19),$P$20))-SUM($P672:S672)</f>
        <v>0</v>
      </c>
      <c r="U672" s="446">
        <f>IF(OR($B672="",MIN(U$38,$D$19)&lt;MAX($P$612*($B672+IF($R$17="Distrato",$I$38-1,0)),IF(AND($L$615=0,$P$612=0),"",$L$615-1),IF($R$17="Distrato",$E672,0))),0,YEARFRAC(MAX($P$612*($B672+IF($R$17="Distrato",$I$38-1,0)),IF(AND($L$615=0,$P$612=0),"",$L$615-1),IF($R$17="Distrato",$E672,0)),MIN(U$38,$D$19),$P$20))-SUM($P672:T672)</f>
        <v>0</v>
      </c>
      <c r="V672" s="446">
        <f>IF(OR($B672="",MIN(V$38,$D$19)&lt;MAX($P$612*($B672+IF($R$17="Distrato",$I$38-1,0)),IF(AND($L$615=0,$P$612=0),"",$L$615-1),IF($R$17="Distrato",$E672,0))),0,YEARFRAC(MAX($P$612*($B672+IF($R$17="Distrato",$I$38-1,0)),IF(AND($L$615=0,$P$612=0),"",$L$615-1),IF($R$17="Distrato",$E672,0)),MIN(V$38,$D$19),$P$20))-SUM($P672:U672)</f>
        <v>0</v>
      </c>
      <c r="W672" s="446">
        <f>IF(OR($B672="",MIN(W$38,$D$19)&lt;MAX($P$612*($B672+IF($R$17="Distrato",$I$38-1,0)),IF(AND($L$615=0,$P$612=0),"",$L$615-1),IF($R$17="Distrato",$E672,0))),0,YEARFRAC(MAX($P$612*($B672+IF($R$17="Distrato",$I$38-1,0)),IF(AND($L$615=0,$P$612=0),"",$L$615-1),IF($R$17="Distrato",$E672,0)),MIN(W$38,$D$19),$P$20))-SUM($P672:V672)</f>
        <v>0</v>
      </c>
      <c r="X672" s="446">
        <f>IF(OR($B672="",MIN(X$38,$D$19)&lt;MAX($P$612*($B672+IF($R$17="Distrato",$I$38-1,0)),IF(AND($L$615=0,$P$612=0),"",$L$615-1),IF($R$17="Distrato",$E672,0))),0,YEARFRAC(MAX($P$612*($B672+IF($R$17="Distrato",$I$38-1,0)),IF(AND($L$615=0,$P$612=0),"",$L$615-1),IF($R$17="Distrato",$E672,0)),MIN(X$38,$D$19),$P$20))-SUM($P672:W672)</f>
        <v>0</v>
      </c>
      <c r="Y672" s="446">
        <f>IF(OR($B672="",MIN(Y$38,$D$19)&lt;MAX($P$612*($B672+IF($R$17="Distrato",$I$38-1,0)),IF(AND($L$615=0,$P$612=0),"",$L$615-1),IF($R$17="Distrato",$E672,0))),0,YEARFRAC(MAX($P$612*($B672+IF($R$17="Distrato",$I$38-1,0)),IF(AND($L$615=0,$P$612=0),"",$L$615-1),IF($R$17="Distrato",$E672,0)),MIN(Y$38,$D$19),$P$20))-SUM($P672:X672)</f>
        <v>0</v>
      </c>
      <c r="Z672" s="446">
        <f>IF(OR($B672="",MIN(Z$38,$D$19)&lt;MAX($P$612*($B672+IF($R$17="Distrato",$I$38-1,0)),IF(AND($L$615=0,$P$612=0),"",$L$615-1),IF($R$17="Distrato",$E672,0))),0,YEARFRAC(MAX($P$612*($B672+IF($R$17="Distrato",$I$38-1,0)),IF(AND($L$615=0,$P$612=0),"",$L$615-1),IF($R$17="Distrato",$E672,0)),MIN(Z$38,$D$19),$P$20))-SUM($P672:Y672)</f>
        <v>0</v>
      </c>
      <c r="AA672" s="446">
        <f>IF(OR($B672="",MIN(AA$38,$D$19)&lt;MAX($P$612*($B672+IF($R$17="Distrato",$I$38-1,0)),IF(AND($L$615=0,$P$612=0),"",$L$615-1),IF($R$17="Distrato",$E672,0))),0,YEARFRAC(MAX($P$612*($B672+IF($R$17="Distrato",$I$38-1,0)),IF(AND($L$615=0,$P$612=0),"",$L$615-1),IF($R$17="Distrato",$E672,0)),MIN(AA$38,$D$19),$P$20))-SUM($P672:Z672)</f>
        <v>0</v>
      </c>
      <c r="AB672" s="446">
        <f>IF(OR($B672="",MIN(AB$38,$D$19)&lt;MAX($P$612*($B672+IF($R$17="Distrato",$I$38-1,0)),IF(AND($L$615=0,$P$612=0),"",$L$615-1),IF($R$17="Distrato",$E672,0))),0,YEARFRAC(MAX($P$612*($B672+IF($R$17="Distrato",$I$38-1,0)),IF(AND($L$615=0,$P$612=0),"",$L$615-1),IF($R$17="Distrato",$E672,0)),MIN(AB$38,$D$19),$P$20))-SUM($P672:AA672)</f>
        <v>0</v>
      </c>
      <c r="AC672" s="446">
        <f>IF(OR($B672="",MIN(AC$38,$D$19)&lt;MAX($P$612*($B672+IF($R$17="Distrato",$I$38-1,0)),IF(AND($L$615=0,$P$612=0),"",$L$615-1),IF($R$17="Distrato",$E672,0))),0,YEARFRAC(MAX($P$612*($B672+IF($R$17="Distrato",$I$38-1,0)),IF(AND($L$615=0,$P$612=0),"",$L$615-1),IF($R$17="Distrato",$E672,0)),MIN(AC$38,$D$19),$P$20))-SUM($P672:AB672)</f>
        <v>0</v>
      </c>
      <c r="AD672" s="446">
        <f>IF(OR($B672="",MIN(AD$38,$D$19)&lt;MAX($P$612*($B672+IF($R$17="Distrato",$I$38-1,0)),IF(AND($L$615=0,$P$612=0),"",$L$615-1),IF($R$17="Distrato",$E672,0))),0,YEARFRAC(MAX($P$612*($B672+IF($R$17="Distrato",$I$38-1,0)),IF(AND($L$615=0,$P$612=0),"",$L$615-1),IF($R$17="Distrato",$E672,0)),MIN(AD$38,$D$19),$P$20))-SUM($P672:AC672)</f>
        <v>0</v>
      </c>
      <c r="AE672" s="446">
        <f>IF(OR($B672="",MIN(AE$38,$D$19)&lt;MAX($P$612*($B672+IF($R$17="Distrato",$I$38-1,0)),IF(AND($L$615=0,$P$612=0),"",$L$615-1),IF($R$17="Distrato",$E672,0))),0,YEARFRAC(MAX($P$612*($B672+IF($R$17="Distrato",$I$38-1,0)),IF(AND($L$615=0,$P$612=0),"",$L$615-1),IF($R$17="Distrato",$E672,0)),MIN(AE$38,$D$19),$P$20))-SUM($P672:AD672)</f>
        <v>0</v>
      </c>
      <c r="AF672" s="446">
        <f>IF(OR($B672="",MIN(AF$38,$D$19)&lt;MAX($P$612*($B672+IF($R$17="Distrato",$I$38-1,0)),IF(AND($L$615=0,$P$612=0),"",$L$615-1),IF($R$17="Distrato",$E672,0))),0,YEARFRAC(MAX($P$612*($B672+IF($R$17="Distrato",$I$38-1,0)),IF(AND($L$615=0,$P$612=0),"",$L$615-1),IF($R$17="Distrato",$E672,0)),MIN(AF$38,$D$19),$P$20))-SUM($P672:AE672)</f>
        <v>0</v>
      </c>
      <c r="AG672" s="446">
        <f>IF(OR($B672="",MIN(AG$38,$D$19)&lt;MAX($P$612*($B672+IF($R$17="Distrato",$I$38-1,0)),IF(AND($L$615=0,$P$612=0),"",$L$615-1),IF($R$17="Distrato",$E672,0))),0,YEARFRAC(MAX($P$612*($B672+IF($R$17="Distrato",$I$38-1,0)),IF(AND($L$615=0,$P$612=0),"",$L$615-1),IF($R$17="Distrato",$E672,0)),MIN(AG$38,$D$19),$P$20))-SUM($P672:AF672)</f>
        <v>0</v>
      </c>
      <c r="AH672" s="446">
        <f>IF(OR($B672="",MIN(AH$38,$D$19)&lt;MAX($P$612*($B672+IF($R$17="Distrato",$I$38-1,0)),IF(AND($L$615=0,$P$612=0),"",$L$615-1),IF($R$17="Distrato",$E672,0))),0,YEARFRAC(MAX($P$612*($B672+IF($R$17="Distrato",$I$38-1,0)),IF(AND($L$615=0,$P$612=0),"",$L$615-1),IF($R$17="Distrato",$E672,0)),MIN(AH$38,$D$19),$P$20))-SUM($P672:AG672)</f>
        <v>0</v>
      </c>
      <c r="AI672" s="446">
        <f>IF(OR($B672="",MIN(AI$38,$D$19)&lt;MAX($P$612*($B672+IF($R$17="Distrato",$I$38-1,0)),IF(AND($L$615=0,$P$612=0),"",$L$615-1),IF($R$17="Distrato",$E672,0))),0,YEARFRAC(MAX($P$612*($B672+IF($R$17="Distrato",$I$38-1,0)),IF(AND($L$615=0,$P$612=0),"",$L$615-1),IF($R$17="Distrato",$E672,0)),MIN(AI$38,$D$19),$P$20))-SUM($P672:AH672)</f>
        <v>0</v>
      </c>
      <c r="AJ672" s="446">
        <f>IF(OR($B672="",MIN(AJ$38,$D$19)&lt;MAX($P$612*($B672+IF($R$17="Distrato",$I$38-1,0)),IF(AND($L$615=0,$P$612=0),"",$L$615-1),IF($R$17="Distrato",$E672,0))),0,YEARFRAC(MAX($P$612*($B672+IF($R$17="Distrato",$I$38-1,0)),IF(AND($L$615=0,$P$612=0),"",$L$615-1),IF($R$17="Distrato",$E672,0)),MIN(AJ$38,$D$19),$P$20))-SUM($P672:AI672)</f>
        <v>0</v>
      </c>
      <c r="AK672" s="446">
        <f>IF(OR($B672="",MIN(AK$38,$D$19)&lt;MAX($P$612*($B672+IF($R$17="Distrato",$I$38-1,0)),IF(AND($L$615=0,$P$612=0),"",$L$615-1),IF($R$17="Distrato",$E672,0))),0,YEARFRAC(MAX($P$612*($B672+IF($R$17="Distrato",$I$38-1,0)),IF(AND($L$615=0,$P$612=0),"",$L$615-1),IF($R$17="Distrato",$E672,0)),MIN(AK$38,$D$19),$P$20))-SUM($P672:AJ672)</f>
        <v>0</v>
      </c>
      <c r="AL672" s="446">
        <f>IF(OR($B672="",MIN(AL$38,$D$19)&lt;MAX($P$612*($B672+IF($R$17="Distrato",$I$38-1,0)),IF(AND($L$615=0,$P$612=0),"",$L$615-1),IF($R$17="Distrato",$E672,0))),0,YEARFRAC(MAX($P$612*($B672+IF($R$17="Distrato",$I$38-1,0)),IF(AND($L$615=0,$P$612=0),"",$L$615-1),IF($R$17="Distrato",$E672,0)),MIN(AL$38,$D$19),$P$20))-SUM($P672:AK672)</f>
        <v>0</v>
      </c>
      <c r="AM672" s="446">
        <f>IF(OR($B672="",MIN(AM$38,$D$19)&lt;MAX($P$612*($B672+IF($R$17="Distrato",$I$38-1,0)),IF(AND($L$615=0,$P$612=0),"",$L$615-1),IF($R$17="Distrato",$E672,0))),0,YEARFRAC(MAX($P$612*($B672+IF($R$17="Distrato",$I$38-1,0)),IF(AND($L$615=0,$P$612=0),"",$L$615-1),IF($R$17="Distrato",$E672,0)),MIN(AM$38,$D$19),$P$20))-SUM($P672:AL672)</f>
        <v>0</v>
      </c>
      <c r="AN672" s="446">
        <f>IF(OR($B672="",MIN(AN$38,$D$19)&lt;MAX($P$612*($B672+IF($R$17="Distrato",$I$38-1,0)),IF(AND($L$615=0,$P$612=0),"",$L$615-1),IF($R$17="Distrato",$E672,0))),0,YEARFRAC(MAX($P$612*($B672+IF($R$17="Distrato",$I$38-1,0)),IF(AND($L$615=0,$P$612=0),"",$L$615-1),IF($R$17="Distrato",$E672,0)),MIN(AN$38,$D$19),$P$20))-SUM($P672:AM672)</f>
        <v>0</v>
      </c>
      <c r="AO672" s="446">
        <f>IF(OR($B672="",MIN(AO$38,$D$19)&lt;MAX($P$612*($B672+IF($R$17="Distrato",$I$38-1,0)),IF(AND($L$615=0,$P$612=0),"",$L$615-1),IF($R$17="Distrato",$E672,0))),0,YEARFRAC(MAX($P$612*($B672+IF($R$17="Distrato",$I$38-1,0)),IF(AND($L$615=0,$P$612=0),"",$L$615-1),IF($R$17="Distrato",$E672,0)),MIN(AO$38,$D$19),$P$20))-SUM($P672:AN672)</f>
        <v>0</v>
      </c>
      <c r="AP672" s="446">
        <f>IF(OR($B672="",MIN(AP$38,$D$19)&lt;MAX($P$612*($B672+IF($R$17="Distrato",$I$38-1,0)),IF(AND($L$615=0,$P$612=0),"",$L$615-1),IF($R$17="Distrato",$E672,0))),0,YEARFRAC(MAX($P$612*($B672+IF($R$17="Distrato",$I$38-1,0)),IF(AND($L$615=0,$P$612=0),"",$L$615-1),IF($R$17="Distrato",$E672,0)),MIN(AP$38,$D$19),$P$20))-SUM($P672:AO672)</f>
        <v>0</v>
      </c>
      <c r="AQ672" s="446">
        <f>IF(OR($B672="",MIN(AQ$38,$D$19)&lt;MAX($P$612*($B672+IF($R$17="Distrato",$I$38-1,0)),IF(AND($L$615=0,$P$612=0),"",$L$615-1),IF($R$17="Distrato",$E672,0))),0,YEARFRAC(MAX($P$612*($B672+IF($R$17="Distrato",$I$38-1,0)),IF(AND($L$615=0,$P$612=0),"",$L$615-1),IF($R$17="Distrato",$E672,0)),MIN(AQ$38,$D$19),$P$20))-SUM($P672:AP672)</f>
        <v>0</v>
      </c>
      <c r="AR672" s="446">
        <f>IF(OR($B672="",MIN(AR$38,$D$19)&lt;MAX($P$612*($B672+IF($R$17="Distrato",$I$38-1,0)),IF(AND($L$615=0,$P$612=0),"",$L$615-1),IF($R$17="Distrato",$E672,0))),0,YEARFRAC(MAX($P$612*($B672+IF($R$17="Distrato",$I$38-1,0)),IF(AND($L$615=0,$P$612=0),"",$L$615-1),IF($R$17="Distrato",$E672,0)),MIN(AR$38,$D$19),$P$20))-SUM($P672:AQ672)</f>
        <v>0</v>
      </c>
      <c r="AS672" s="446">
        <f>IF(OR($B672="",MIN(AS$38,$D$19)&lt;MAX($P$612*($B672+IF($R$17="Distrato",$I$38-1,0)),IF(AND($L$615=0,$P$612=0),"",$L$615-1),IF($R$17="Distrato",$E672,0))),0,YEARFRAC(MAX($P$612*($B672+IF($R$17="Distrato",$I$38-1,0)),IF(AND($L$615=0,$P$612=0),"",$L$615-1),IF($R$17="Distrato",$E672,0)),MIN(AS$38,$D$19),$P$20))-SUM($P672:AR672)</f>
        <v>0</v>
      </c>
      <c r="AT672" s="446">
        <f>IF(OR($B672="",MIN(AT$38,$D$19)&lt;MAX($P$612*($B672+IF($R$17="Distrato",$I$38-1,0)),IF(AND($L$615=0,$P$612=0),"",$L$615-1),IF($R$17="Distrato",$E672,0))),0,YEARFRAC(MAX($P$612*($B672+IF($R$17="Distrato",$I$38-1,0)),IF(AND($L$615=0,$P$612=0),"",$L$615-1),IF($R$17="Distrato",$E672,0)),MIN(AT$38,$D$19),$P$20))-SUM($P672:AS672)</f>
        <v>0</v>
      </c>
      <c r="AU672" s="446">
        <f>IF(OR($B672="",MIN(AU$38,$D$19)&lt;MAX($P$612*($B672+IF($R$17="Distrato",$I$38-1,0)),IF(AND($L$615=0,$P$612=0),"",$L$615-1),IF($R$17="Distrato",$E672,0))),0,YEARFRAC(MAX($P$612*($B672+IF($R$17="Distrato",$I$38-1,0)),IF(AND($L$615=0,$P$612=0),"",$L$615-1),IF($R$17="Distrato",$E672,0)),MIN(AU$38,$D$19),$P$20))-SUM($P672:AT672)</f>
        <v>0</v>
      </c>
      <c r="AV672" s="446">
        <f>IF(OR($B672="",MIN(AV$38,$D$19)&lt;MAX($P$612*($B672+IF($R$17="Distrato",$I$38-1,0)),IF(AND($L$615=0,$P$612=0),"",$L$615-1),IF($R$17="Distrato",$E672,0))),0,YEARFRAC(MAX($P$612*($B672+IF($R$17="Distrato",$I$38-1,0)),IF(AND($L$615=0,$P$612=0),"",$L$615-1),IF($R$17="Distrato",$E672,0)),MIN(AV$38,$D$19),$P$20))-SUM($P672:AU672)</f>
        <v>0</v>
      </c>
      <c r="AW672" s="446">
        <f>IF(OR($B672="",MIN(AW$38,$D$19)&lt;MAX($P$612*($B672+IF($R$17="Distrato",$I$38-1,0)),IF(AND($L$615=0,$P$612=0),"",$L$615-1),IF($R$17="Distrato",$E672,0))),0,YEARFRAC(MAX($P$612*($B672+IF($R$17="Distrato",$I$38-1,0)),IF(AND($L$615=0,$P$612=0),"",$L$615-1),IF($R$17="Distrato",$E672,0)),MIN(AW$38,$D$19),$P$20))-SUM($P672:AV672)</f>
        <v>0</v>
      </c>
      <c r="AX672" s="446">
        <f>IF(OR($B672="",MIN(AX$38,$D$19)&lt;MAX($P$612*($B672+IF($R$17="Distrato",$I$38-1,0)),IF(AND($L$615=0,$P$612=0),"",$L$615-1),IF($R$17="Distrato",$E672,0))),0,YEARFRAC(MAX($P$612*($B672+IF($R$17="Distrato",$I$38-1,0)),IF(AND($L$615=0,$P$612=0),"",$L$615-1),IF($R$17="Distrato",$E672,0)),MIN(AX$38,$D$19),$P$20))-SUM($P672:AW672)</f>
        <v>0</v>
      </c>
      <c r="AY672" s="446">
        <f>IF(OR($B672="",MIN(AY$38,$D$19)&lt;MAX($P$612*($B672+IF($R$17="Distrato",$I$38-1,0)),IF(AND($L$615=0,$P$612=0),"",$L$615-1),IF($R$17="Distrato",$E672,0))),0,YEARFRAC(MAX($P$612*($B672+IF($R$17="Distrato",$I$38-1,0)),IF(AND($L$615=0,$P$612=0),"",$L$615-1),IF($R$17="Distrato",$E672,0)),MIN(AY$38,$D$19),$P$20))-SUM($P672:AX672)</f>
        <v>0</v>
      </c>
      <c r="AZ672" s="446">
        <f>IF(OR($B672="",MIN(AZ$38,$D$19)&lt;MAX($P$612*($B672+IF($R$17="Distrato",$I$38-1,0)),IF(AND($L$615=0,$P$612=0),"",$L$615-1),IF($R$17="Distrato",$E672,0))),0,YEARFRAC(MAX($P$612*($B672+IF($R$17="Distrato",$I$38-1,0)),IF(AND($L$615=0,$P$612=0),"",$L$615-1),IF($R$17="Distrato",$E672,0)),MIN(AZ$38,$D$19),$P$20))-SUM($P672:AY672)</f>
        <v>0</v>
      </c>
      <c r="BA672" s="446">
        <f>IF(OR($B672="",MIN(BA$38,$D$19)&lt;MAX($P$612*($B672+IF($R$17="Distrato",$I$38-1,0)),IF(AND($L$615=0,$P$612=0),"",$L$615-1),IF($R$17="Distrato",$E672,0))),0,YEARFRAC(MAX($P$612*($B672+IF($R$17="Distrato",$I$38-1,0)),IF(AND($L$615=0,$P$612=0),"",$L$615-1),IF($R$17="Distrato",$E672,0)),MIN(BA$38,$D$19),$P$20))-SUM($P672:AZ672)</f>
        <v>0</v>
      </c>
      <c r="BB672" s="447"/>
    </row>
    <row r="673" spans="1:54" s="446" customFormat="1" ht="11.25" hidden="1" x14ac:dyDescent="0.2">
      <c r="A673" s="177"/>
      <c r="B673" s="178"/>
      <c r="C673" s="29" t="str">
        <f>IF(B673="","",IF($L$613="SELIC - TRIBUTOS",VLOOKUP(DATE(YEAR($D$19),MONTH($D$19)-1,1),ÍNDICES!$A:$DE,HLOOKUP($BL$25,ÍNDICES!$B$3:$T$4,2)+11)-VLOOKUP(B673,ÍNDICES!$A:$DE,HLOOKUP($BL$25,ÍNDICES!$B$3:$T$4,2)+11)+1%,IF(C$616=$W$26,$J$613,IF(ISERROR(IF(B673&gt;$D$19,1,VLOOKUP(DATE(YEAR(B673),MONTH(B673)+IF($C$613=$S$23,1,0),1),ÍNDICES!$A:$DE,$Z$613+1))),"",IF(B673&gt;$D$19,1,VLOOKUP(DATE(YEAR(B673),MONTH(B673)+IF($C$613=$S$23,1,0),1),ÍNDICES!$A:$DE,$Z$613+1))))))</f>
        <v/>
      </c>
      <c r="D673" s="155"/>
      <c r="E673" s="179"/>
      <c r="F673" s="29"/>
      <c r="G673" s="180"/>
      <c r="H673" s="181"/>
      <c r="I673" s="182" t="str">
        <f>IF(E673="",IF(D673="","",D673),IF(ISERROR(D673/(IF(E673&lt;B673,1,C673/F673))-G673),-G673,D673/(IF(E673&lt;B673,1,C673/F673))-G673))</f>
        <v/>
      </c>
      <c r="J673" s="5" t="str">
        <f t="shared" si="108"/>
        <v/>
      </c>
      <c r="K673" s="5">
        <f t="shared" ca="1" si="109"/>
        <v>0</v>
      </c>
      <c r="L673" s="5">
        <f t="shared" ca="1" si="112"/>
        <v>0</v>
      </c>
      <c r="M673" s="64">
        <f t="shared" si="110"/>
        <v>0</v>
      </c>
      <c r="N673" s="61">
        <f t="shared" ca="1" si="113"/>
        <v>0</v>
      </c>
      <c r="O673" s="20">
        <f t="shared" ca="1" si="106"/>
        <v>0</v>
      </c>
      <c r="P673" s="446">
        <f t="shared" si="114"/>
        <v>0</v>
      </c>
      <c r="Q673" s="446">
        <f>IF(OR($B673="",MIN(Q$38,$D$19)&lt;MAX($P$612*($B673+IF($R$17="Distrato",$I$38-1,0)),IF(AND($L$615=0,$P$612=0),"",$L$615-1),IF($R$17="Distrato",$E673,0))),0,YEARFRAC(MAX($P$612*($B673+IF($R$17="Distrato",$I$38-1,0)),IF(AND($L$615=0,$P$612=0),"",$L$615-1),IF($R$17="Distrato",$E673,0)),MIN(Q$38,$D$19),$P$20))-SUM($P673:P673)</f>
        <v>0</v>
      </c>
      <c r="R673" s="446">
        <f>IF(OR($B673="",MIN(R$38,$D$19)&lt;MAX($P$612*($B673+IF($R$17="Distrato",$I$38-1,0)),IF(AND($L$615=0,$P$612=0),"",$L$615-1),IF($R$17="Distrato",$E673,0))),0,YEARFRAC(MAX($P$612*($B673+IF($R$17="Distrato",$I$38-1,0)),IF(AND($L$615=0,$P$612=0),"",$L$615-1),IF($R$17="Distrato",$E673,0)),MIN(R$38,$D$19),$P$20))-SUM($P673:Q673)</f>
        <v>0</v>
      </c>
      <c r="S673" s="446">
        <f>IF(OR($B673="",MIN(S$38,$D$19)&lt;MAX($P$612*($B673+IF($R$17="Distrato",$I$38-1,0)),IF(AND($L$615=0,$P$612=0),"",$L$615-1),IF($R$17="Distrato",$E673,0))),0,YEARFRAC(MAX($P$612*($B673+IF($R$17="Distrato",$I$38-1,0)),IF(AND($L$615=0,$P$612=0),"",$L$615-1),IF($R$17="Distrato",$E673,0)),MIN(S$38,$D$19),$P$20))-SUM($P673:R673)</f>
        <v>0</v>
      </c>
      <c r="T673" s="446">
        <f>IF(OR($B673="",MIN(T$38,$D$19)&lt;MAX($P$612*($B673+IF($R$17="Distrato",$I$38-1,0)),IF(AND($L$615=0,$P$612=0),"",$L$615-1),IF($R$17="Distrato",$E673,0))),0,YEARFRAC(MAX($P$612*($B673+IF($R$17="Distrato",$I$38-1,0)),IF(AND($L$615=0,$P$612=0),"",$L$615-1),IF($R$17="Distrato",$E673,0)),MIN(T$38,$D$19),$P$20))-SUM($P673:S673)</f>
        <v>0</v>
      </c>
      <c r="U673" s="446">
        <f>IF(OR($B673="",MIN(U$38,$D$19)&lt;MAX($P$612*($B673+IF($R$17="Distrato",$I$38-1,0)),IF(AND($L$615=0,$P$612=0),"",$L$615-1),IF($R$17="Distrato",$E673,0))),0,YEARFRAC(MAX($P$612*($B673+IF($R$17="Distrato",$I$38-1,0)),IF(AND($L$615=0,$P$612=0),"",$L$615-1),IF($R$17="Distrato",$E673,0)),MIN(U$38,$D$19),$P$20))-SUM($P673:T673)</f>
        <v>0</v>
      </c>
      <c r="V673" s="446">
        <f>IF(OR($B673="",MIN(V$38,$D$19)&lt;MAX($P$612*($B673+IF($R$17="Distrato",$I$38-1,0)),IF(AND($L$615=0,$P$612=0),"",$L$615-1),IF($R$17="Distrato",$E673,0))),0,YEARFRAC(MAX($P$612*($B673+IF($R$17="Distrato",$I$38-1,0)),IF(AND($L$615=0,$P$612=0),"",$L$615-1),IF($R$17="Distrato",$E673,0)),MIN(V$38,$D$19),$P$20))-SUM($P673:U673)</f>
        <v>0</v>
      </c>
      <c r="W673" s="446">
        <f>IF(OR($B673="",MIN(W$38,$D$19)&lt;MAX($P$612*($B673+IF($R$17="Distrato",$I$38-1,0)),IF(AND($L$615=0,$P$612=0),"",$L$615-1),IF($R$17="Distrato",$E673,0))),0,YEARFRAC(MAX($P$612*($B673+IF($R$17="Distrato",$I$38-1,0)),IF(AND($L$615=0,$P$612=0),"",$L$615-1),IF($R$17="Distrato",$E673,0)),MIN(W$38,$D$19),$P$20))-SUM($P673:V673)</f>
        <v>0</v>
      </c>
      <c r="X673" s="446">
        <f>IF(OR($B673="",MIN(X$38,$D$19)&lt;MAX($P$612*($B673+IF($R$17="Distrato",$I$38-1,0)),IF(AND($L$615=0,$P$612=0),"",$L$615-1),IF($R$17="Distrato",$E673,0))),0,YEARFRAC(MAX($P$612*($B673+IF($R$17="Distrato",$I$38-1,0)),IF(AND($L$615=0,$P$612=0),"",$L$615-1),IF($R$17="Distrato",$E673,0)),MIN(X$38,$D$19),$P$20))-SUM($P673:W673)</f>
        <v>0</v>
      </c>
      <c r="Y673" s="446">
        <f>IF(OR($B673="",MIN(Y$38,$D$19)&lt;MAX($P$612*($B673+IF($R$17="Distrato",$I$38-1,0)),IF(AND($L$615=0,$P$612=0),"",$L$615-1),IF($R$17="Distrato",$E673,0))),0,YEARFRAC(MAX($P$612*($B673+IF($R$17="Distrato",$I$38-1,0)),IF(AND($L$615=0,$P$612=0),"",$L$615-1),IF($R$17="Distrato",$E673,0)),MIN(Y$38,$D$19),$P$20))-SUM($P673:X673)</f>
        <v>0</v>
      </c>
      <c r="Z673" s="446">
        <f>IF(OR($B673="",MIN(Z$38,$D$19)&lt;MAX($P$612*($B673+IF($R$17="Distrato",$I$38-1,0)),IF(AND($L$615=0,$P$612=0),"",$L$615-1),IF($R$17="Distrato",$E673,0))),0,YEARFRAC(MAX($P$612*($B673+IF($R$17="Distrato",$I$38-1,0)),IF(AND($L$615=0,$P$612=0),"",$L$615-1),IF($R$17="Distrato",$E673,0)),MIN(Z$38,$D$19),$P$20))-SUM($P673:Y673)</f>
        <v>0</v>
      </c>
      <c r="AA673" s="446">
        <f>IF(OR($B673="",MIN(AA$38,$D$19)&lt;MAX($P$612*($B673+IF($R$17="Distrato",$I$38-1,0)),IF(AND($L$615=0,$P$612=0),"",$L$615-1),IF($R$17="Distrato",$E673,0))),0,YEARFRAC(MAX($P$612*($B673+IF($R$17="Distrato",$I$38-1,0)),IF(AND($L$615=0,$P$612=0),"",$L$615-1),IF($R$17="Distrato",$E673,0)),MIN(AA$38,$D$19),$P$20))-SUM($P673:Z673)</f>
        <v>0</v>
      </c>
      <c r="AB673" s="446">
        <f>IF(OR($B673="",MIN(AB$38,$D$19)&lt;MAX($P$612*($B673+IF($R$17="Distrato",$I$38-1,0)),IF(AND($L$615=0,$P$612=0),"",$L$615-1),IF($R$17="Distrato",$E673,0))),0,YEARFRAC(MAX($P$612*($B673+IF($R$17="Distrato",$I$38-1,0)),IF(AND($L$615=0,$P$612=0),"",$L$615-1),IF($R$17="Distrato",$E673,0)),MIN(AB$38,$D$19),$P$20))-SUM($P673:AA673)</f>
        <v>0</v>
      </c>
      <c r="AC673" s="446">
        <f>IF(OR($B673="",MIN(AC$38,$D$19)&lt;MAX($P$612*($B673+IF($R$17="Distrato",$I$38-1,0)),IF(AND($L$615=0,$P$612=0),"",$L$615-1),IF($R$17="Distrato",$E673,0))),0,YEARFRAC(MAX($P$612*($B673+IF($R$17="Distrato",$I$38-1,0)),IF(AND($L$615=0,$P$612=0),"",$L$615-1),IF($R$17="Distrato",$E673,0)),MIN(AC$38,$D$19),$P$20))-SUM($P673:AB673)</f>
        <v>0</v>
      </c>
      <c r="AD673" s="446">
        <f>IF(OR($B673="",MIN(AD$38,$D$19)&lt;MAX($P$612*($B673+IF($R$17="Distrato",$I$38-1,0)),IF(AND($L$615=0,$P$612=0),"",$L$615-1),IF($R$17="Distrato",$E673,0))),0,YEARFRAC(MAX($P$612*($B673+IF($R$17="Distrato",$I$38-1,0)),IF(AND($L$615=0,$P$612=0),"",$L$615-1),IF($R$17="Distrato",$E673,0)),MIN(AD$38,$D$19),$P$20))-SUM($P673:AC673)</f>
        <v>0</v>
      </c>
      <c r="AE673" s="446">
        <f>IF(OR($B673="",MIN(AE$38,$D$19)&lt;MAX($P$612*($B673+IF($R$17="Distrato",$I$38-1,0)),IF(AND($L$615=0,$P$612=0),"",$L$615-1),IF($R$17="Distrato",$E673,0))),0,YEARFRAC(MAX($P$612*($B673+IF($R$17="Distrato",$I$38-1,0)),IF(AND($L$615=0,$P$612=0),"",$L$615-1),IF($R$17="Distrato",$E673,0)),MIN(AE$38,$D$19),$P$20))-SUM($P673:AD673)</f>
        <v>0</v>
      </c>
      <c r="AF673" s="446">
        <f>IF(OR($B673="",MIN(AF$38,$D$19)&lt;MAX($P$612*($B673+IF($R$17="Distrato",$I$38-1,0)),IF(AND($L$615=0,$P$612=0),"",$L$615-1),IF($R$17="Distrato",$E673,0))),0,YEARFRAC(MAX($P$612*($B673+IF($R$17="Distrato",$I$38-1,0)),IF(AND($L$615=0,$P$612=0),"",$L$615-1),IF($R$17="Distrato",$E673,0)),MIN(AF$38,$D$19),$P$20))-SUM($P673:AE673)</f>
        <v>0</v>
      </c>
      <c r="AG673" s="446">
        <f>IF(OR($B673="",MIN(AG$38,$D$19)&lt;MAX($P$612*($B673+IF($R$17="Distrato",$I$38-1,0)),IF(AND($L$615=0,$P$612=0),"",$L$615-1),IF($R$17="Distrato",$E673,0))),0,YEARFRAC(MAX($P$612*($B673+IF($R$17="Distrato",$I$38-1,0)),IF(AND($L$615=0,$P$612=0),"",$L$615-1),IF($R$17="Distrato",$E673,0)),MIN(AG$38,$D$19),$P$20))-SUM($P673:AF673)</f>
        <v>0</v>
      </c>
      <c r="AH673" s="446">
        <f>IF(OR($B673="",MIN(AH$38,$D$19)&lt;MAX($P$612*($B673+IF($R$17="Distrato",$I$38-1,0)),IF(AND($L$615=0,$P$612=0),"",$L$615-1),IF($R$17="Distrato",$E673,0))),0,YEARFRAC(MAX($P$612*($B673+IF($R$17="Distrato",$I$38-1,0)),IF(AND($L$615=0,$P$612=0),"",$L$615-1),IF($R$17="Distrato",$E673,0)),MIN(AH$38,$D$19),$P$20))-SUM($P673:AG673)</f>
        <v>0</v>
      </c>
      <c r="AI673" s="446">
        <f>IF(OR($B673="",MIN(AI$38,$D$19)&lt;MAX($P$612*($B673+IF($R$17="Distrato",$I$38-1,0)),IF(AND($L$615=0,$P$612=0),"",$L$615-1),IF($R$17="Distrato",$E673,0))),0,YEARFRAC(MAX($P$612*($B673+IF($R$17="Distrato",$I$38-1,0)),IF(AND($L$615=0,$P$612=0),"",$L$615-1),IF($R$17="Distrato",$E673,0)),MIN(AI$38,$D$19),$P$20))-SUM($P673:AH673)</f>
        <v>0</v>
      </c>
      <c r="AJ673" s="446">
        <f>IF(OR($B673="",MIN(AJ$38,$D$19)&lt;MAX($P$612*($B673+IF($R$17="Distrato",$I$38-1,0)),IF(AND($L$615=0,$P$612=0),"",$L$615-1),IF($R$17="Distrato",$E673,0))),0,YEARFRAC(MAX($P$612*($B673+IF($R$17="Distrato",$I$38-1,0)),IF(AND($L$615=0,$P$612=0),"",$L$615-1),IF($R$17="Distrato",$E673,0)),MIN(AJ$38,$D$19),$P$20))-SUM($P673:AI673)</f>
        <v>0</v>
      </c>
      <c r="AK673" s="446">
        <f>IF(OR($B673="",MIN(AK$38,$D$19)&lt;MAX($P$612*($B673+IF($R$17="Distrato",$I$38-1,0)),IF(AND($L$615=0,$P$612=0),"",$L$615-1),IF($R$17="Distrato",$E673,0))),0,YEARFRAC(MAX($P$612*($B673+IF($R$17="Distrato",$I$38-1,0)),IF(AND($L$615=0,$P$612=0),"",$L$615-1),IF($R$17="Distrato",$E673,0)),MIN(AK$38,$D$19),$P$20))-SUM($P673:AJ673)</f>
        <v>0</v>
      </c>
      <c r="AL673" s="446">
        <f>IF(OR($B673="",MIN(AL$38,$D$19)&lt;MAX($P$612*($B673+IF($R$17="Distrato",$I$38-1,0)),IF(AND($L$615=0,$P$612=0),"",$L$615-1),IF($R$17="Distrato",$E673,0))),0,YEARFRAC(MAX($P$612*($B673+IF($R$17="Distrato",$I$38-1,0)),IF(AND($L$615=0,$P$612=0),"",$L$615-1),IF($R$17="Distrato",$E673,0)),MIN(AL$38,$D$19),$P$20))-SUM($P673:AK673)</f>
        <v>0</v>
      </c>
      <c r="AM673" s="446">
        <f>IF(OR($B673="",MIN(AM$38,$D$19)&lt;MAX($P$612*($B673+IF($R$17="Distrato",$I$38-1,0)),IF(AND($L$615=0,$P$612=0),"",$L$615-1),IF($R$17="Distrato",$E673,0))),0,YEARFRAC(MAX($P$612*($B673+IF($R$17="Distrato",$I$38-1,0)),IF(AND($L$615=0,$P$612=0),"",$L$615-1),IF($R$17="Distrato",$E673,0)),MIN(AM$38,$D$19),$P$20))-SUM($P673:AL673)</f>
        <v>0</v>
      </c>
      <c r="AN673" s="446">
        <f>IF(OR($B673="",MIN(AN$38,$D$19)&lt;MAX($P$612*($B673+IF($R$17="Distrato",$I$38-1,0)),IF(AND($L$615=0,$P$612=0),"",$L$615-1),IF($R$17="Distrato",$E673,0))),0,YEARFRAC(MAX($P$612*($B673+IF($R$17="Distrato",$I$38-1,0)),IF(AND($L$615=0,$P$612=0),"",$L$615-1),IF($R$17="Distrato",$E673,0)),MIN(AN$38,$D$19),$P$20))-SUM($P673:AM673)</f>
        <v>0</v>
      </c>
      <c r="AO673" s="446">
        <f>IF(OR($B673="",MIN(AO$38,$D$19)&lt;MAX($P$612*($B673+IF($R$17="Distrato",$I$38-1,0)),IF(AND($L$615=0,$P$612=0),"",$L$615-1),IF($R$17="Distrato",$E673,0))),0,YEARFRAC(MAX($P$612*($B673+IF($R$17="Distrato",$I$38-1,0)),IF(AND($L$615=0,$P$612=0),"",$L$615-1),IF($R$17="Distrato",$E673,0)),MIN(AO$38,$D$19),$P$20))-SUM($P673:AN673)</f>
        <v>0</v>
      </c>
      <c r="AP673" s="446">
        <f>IF(OR($B673="",MIN(AP$38,$D$19)&lt;MAX($P$612*($B673+IF($R$17="Distrato",$I$38-1,0)),IF(AND($L$615=0,$P$612=0),"",$L$615-1),IF($R$17="Distrato",$E673,0))),0,YEARFRAC(MAX($P$612*($B673+IF($R$17="Distrato",$I$38-1,0)),IF(AND($L$615=0,$P$612=0),"",$L$615-1),IF($R$17="Distrato",$E673,0)),MIN(AP$38,$D$19),$P$20))-SUM($P673:AO673)</f>
        <v>0</v>
      </c>
      <c r="AQ673" s="446">
        <f>IF(OR($B673="",MIN(AQ$38,$D$19)&lt;MAX($P$612*($B673+IF($R$17="Distrato",$I$38-1,0)),IF(AND($L$615=0,$P$612=0),"",$L$615-1),IF($R$17="Distrato",$E673,0))),0,YEARFRAC(MAX($P$612*($B673+IF($R$17="Distrato",$I$38-1,0)),IF(AND($L$615=0,$P$612=0),"",$L$615-1),IF($R$17="Distrato",$E673,0)),MIN(AQ$38,$D$19),$P$20))-SUM($P673:AP673)</f>
        <v>0</v>
      </c>
      <c r="AR673" s="446">
        <f>IF(OR($B673="",MIN(AR$38,$D$19)&lt;MAX($P$612*($B673+IF($R$17="Distrato",$I$38-1,0)),IF(AND($L$615=0,$P$612=0),"",$L$615-1),IF($R$17="Distrato",$E673,0))),0,YEARFRAC(MAX($P$612*($B673+IF($R$17="Distrato",$I$38-1,0)),IF(AND($L$615=0,$P$612=0),"",$L$615-1),IF($R$17="Distrato",$E673,0)),MIN(AR$38,$D$19),$P$20))-SUM($P673:AQ673)</f>
        <v>0</v>
      </c>
      <c r="AS673" s="446">
        <f>IF(OR($B673="",MIN(AS$38,$D$19)&lt;MAX($P$612*($B673+IF($R$17="Distrato",$I$38-1,0)),IF(AND($L$615=0,$P$612=0),"",$L$615-1),IF($R$17="Distrato",$E673,0))),0,YEARFRAC(MAX($P$612*($B673+IF($R$17="Distrato",$I$38-1,0)),IF(AND($L$615=0,$P$612=0),"",$L$615-1),IF($R$17="Distrato",$E673,0)),MIN(AS$38,$D$19),$P$20))-SUM($P673:AR673)</f>
        <v>0</v>
      </c>
      <c r="AT673" s="446">
        <f>IF(OR($B673="",MIN(AT$38,$D$19)&lt;MAX($P$612*($B673+IF($R$17="Distrato",$I$38-1,0)),IF(AND($L$615=0,$P$612=0),"",$L$615-1),IF($R$17="Distrato",$E673,0))),0,YEARFRAC(MAX($P$612*($B673+IF($R$17="Distrato",$I$38-1,0)),IF(AND($L$615=0,$P$612=0),"",$L$615-1),IF($R$17="Distrato",$E673,0)),MIN(AT$38,$D$19),$P$20))-SUM($P673:AS673)</f>
        <v>0</v>
      </c>
      <c r="AU673" s="446">
        <f>IF(OR($B673="",MIN(AU$38,$D$19)&lt;MAX($P$612*($B673+IF($R$17="Distrato",$I$38-1,0)),IF(AND($L$615=0,$P$612=0),"",$L$615-1),IF($R$17="Distrato",$E673,0))),0,YEARFRAC(MAX($P$612*($B673+IF($R$17="Distrato",$I$38-1,0)),IF(AND($L$615=0,$P$612=0),"",$L$615-1),IF($R$17="Distrato",$E673,0)),MIN(AU$38,$D$19),$P$20))-SUM($P673:AT673)</f>
        <v>0</v>
      </c>
      <c r="AV673" s="446">
        <f>IF(OR($B673="",MIN(AV$38,$D$19)&lt;MAX($P$612*($B673+IF($R$17="Distrato",$I$38-1,0)),IF(AND($L$615=0,$P$612=0),"",$L$615-1),IF($R$17="Distrato",$E673,0))),0,YEARFRAC(MAX($P$612*($B673+IF($R$17="Distrato",$I$38-1,0)),IF(AND($L$615=0,$P$612=0),"",$L$615-1),IF($R$17="Distrato",$E673,0)),MIN(AV$38,$D$19),$P$20))-SUM($P673:AU673)</f>
        <v>0</v>
      </c>
      <c r="AW673" s="446">
        <f>IF(OR($B673="",MIN(AW$38,$D$19)&lt;MAX($P$612*($B673+IF($R$17="Distrato",$I$38-1,0)),IF(AND($L$615=0,$P$612=0),"",$L$615-1),IF($R$17="Distrato",$E673,0))),0,YEARFRAC(MAX($P$612*($B673+IF($R$17="Distrato",$I$38-1,0)),IF(AND($L$615=0,$P$612=0),"",$L$615-1),IF($R$17="Distrato",$E673,0)),MIN(AW$38,$D$19),$P$20))-SUM($P673:AV673)</f>
        <v>0</v>
      </c>
      <c r="AX673" s="446">
        <f>IF(OR($B673="",MIN(AX$38,$D$19)&lt;MAX($P$612*($B673+IF($R$17="Distrato",$I$38-1,0)),IF(AND($L$615=0,$P$612=0),"",$L$615-1),IF($R$17="Distrato",$E673,0))),0,YEARFRAC(MAX($P$612*($B673+IF($R$17="Distrato",$I$38-1,0)),IF(AND($L$615=0,$P$612=0),"",$L$615-1),IF($R$17="Distrato",$E673,0)),MIN(AX$38,$D$19),$P$20))-SUM($P673:AW673)</f>
        <v>0</v>
      </c>
      <c r="AY673" s="446">
        <f>IF(OR($B673="",MIN(AY$38,$D$19)&lt;MAX($P$612*($B673+IF($R$17="Distrato",$I$38-1,0)),IF(AND($L$615=0,$P$612=0),"",$L$615-1),IF($R$17="Distrato",$E673,0))),0,YEARFRAC(MAX($P$612*($B673+IF($R$17="Distrato",$I$38-1,0)),IF(AND($L$615=0,$P$612=0),"",$L$615-1),IF($R$17="Distrato",$E673,0)),MIN(AY$38,$D$19),$P$20))-SUM($P673:AX673)</f>
        <v>0</v>
      </c>
      <c r="AZ673" s="446">
        <f>IF(OR($B673="",MIN(AZ$38,$D$19)&lt;MAX($P$612*($B673+IF($R$17="Distrato",$I$38-1,0)),IF(AND($L$615=0,$P$612=0),"",$L$615-1),IF($R$17="Distrato",$E673,0))),0,YEARFRAC(MAX($P$612*($B673+IF($R$17="Distrato",$I$38-1,0)),IF(AND($L$615=0,$P$612=0),"",$L$615-1),IF($R$17="Distrato",$E673,0)),MIN(AZ$38,$D$19),$P$20))-SUM($P673:AY673)</f>
        <v>0</v>
      </c>
      <c r="BA673" s="446">
        <f>IF(OR($B673="",MIN(BA$38,$D$19)&lt;MAX($P$612*($B673+IF($R$17="Distrato",$I$38-1,0)),IF(AND($L$615=0,$P$612=0),"",$L$615-1),IF($R$17="Distrato",$E673,0))),0,YEARFRAC(MAX($P$612*($B673+IF($R$17="Distrato",$I$38-1,0)),IF(AND($L$615=0,$P$612=0),"",$L$615-1),IF($R$17="Distrato",$E673,0)),MIN(BA$38,$D$19),$P$20))-SUM($P673:AZ673)</f>
        <v>0</v>
      </c>
      <c r="BB673" s="447"/>
    </row>
    <row r="674" spans="1:54" s="446" customFormat="1" ht="11.25" hidden="1" x14ac:dyDescent="0.2">
      <c r="A674" s="177"/>
      <c r="B674" s="178"/>
      <c r="C674" s="29" t="str">
        <f>IF(B674="","",IF($L$613="SELIC - TRIBUTOS",VLOOKUP(DATE(YEAR($D$19),MONTH($D$19)-1,1),ÍNDICES!$A:$DE,HLOOKUP($BL$25,ÍNDICES!$B$3:$T$4,2)+11)-VLOOKUP(B674,ÍNDICES!$A:$DE,HLOOKUP($BL$25,ÍNDICES!$B$3:$T$4,2)+11)+1%,IF(C$616=$W$26,$J$613,IF(ISERROR(IF(B674&gt;$D$19,1,VLOOKUP(DATE(YEAR(B674),MONTH(B674)+IF($C$613=$S$23,1,0),1),ÍNDICES!$A:$DE,$Z$613+1))),"",IF(B674&gt;$D$19,1,VLOOKUP(DATE(YEAR(B674),MONTH(B674)+IF($C$613=$S$23,1,0),1),ÍNDICES!$A:$DE,$Z$613+1))))))</f>
        <v/>
      </c>
      <c r="D674" s="155"/>
      <c r="E674" s="179"/>
      <c r="F674" s="29"/>
      <c r="G674" s="180"/>
      <c r="H674" s="181"/>
      <c r="I674" s="182" t="str">
        <f>IF(E674="",IF(D674="","",D674),IF(ISERROR(D674/(IF(E674&lt;B674,1,C674/F674))-G674),-G674,D674/(IF(E674&lt;B674,1,C674/F674))-G674))</f>
        <v/>
      </c>
      <c r="J674" s="5" t="str">
        <f t="shared" si="108"/>
        <v/>
      </c>
      <c r="K674" s="5">
        <f t="shared" ca="1" si="109"/>
        <v>0</v>
      </c>
      <c r="L674" s="5">
        <f t="shared" ca="1" si="112"/>
        <v>0</v>
      </c>
      <c r="M674" s="64">
        <f t="shared" si="110"/>
        <v>0</v>
      </c>
      <c r="N674" s="61">
        <f t="shared" ca="1" si="113"/>
        <v>0</v>
      </c>
      <c r="O674" s="20">
        <f t="shared" ca="1" si="106"/>
        <v>0</v>
      </c>
      <c r="P674" s="446">
        <f t="shared" si="114"/>
        <v>0</v>
      </c>
      <c r="Q674" s="446">
        <f>IF(OR($B674="",MIN(Q$38,$D$19)&lt;MAX($P$612*($B674+IF($R$17="Distrato",$I$38-1,0)),IF(AND($L$615=0,$P$612=0),"",$L$615-1),IF($R$17="Distrato",$E674,0))),0,YEARFRAC(MAX($P$612*($B674+IF($R$17="Distrato",$I$38-1,0)),IF(AND($L$615=0,$P$612=0),"",$L$615-1),IF($R$17="Distrato",$E674,0)),MIN(Q$38,$D$19),$P$20))-SUM($P674:P674)</f>
        <v>0</v>
      </c>
      <c r="R674" s="446">
        <f>IF(OR($B674="",MIN(R$38,$D$19)&lt;MAX($P$612*($B674+IF($R$17="Distrato",$I$38-1,0)),IF(AND($L$615=0,$P$612=0),"",$L$615-1),IF($R$17="Distrato",$E674,0))),0,YEARFRAC(MAX($P$612*($B674+IF($R$17="Distrato",$I$38-1,0)),IF(AND($L$615=0,$P$612=0),"",$L$615-1),IF($R$17="Distrato",$E674,0)),MIN(R$38,$D$19),$P$20))-SUM($P674:Q674)</f>
        <v>0</v>
      </c>
      <c r="S674" s="446">
        <f>IF(OR($B674="",MIN(S$38,$D$19)&lt;MAX($P$612*($B674+IF($R$17="Distrato",$I$38-1,0)),IF(AND($L$615=0,$P$612=0),"",$L$615-1),IF($R$17="Distrato",$E674,0))),0,YEARFRAC(MAX($P$612*($B674+IF($R$17="Distrato",$I$38-1,0)),IF(AND($L$615=0,$P$612=0),"",$L$615-1),IF($R$17="Distrato",$E674,0)),MIN(S$38,$D$19),$P$20))-SUM($P674:R674)</f>
        <v>0</v>
      </c>
      <c r="T674" s="446">
        <f>IF(OR($B674="",MIN(T$38,$D$19)&lt;MAX($P$612*($B674+IF($R$17="Distrato",$I$38-1,0)),IF(AND($L$615=0,$P$612=0),"",$L$615-1),IF($R$17="Distrato",$E674,0))),0,YEARFRAC(MAX($P$612*($B674+IF($R$17="Distrato",$I$38-1,0)),IF(AND($L$615=0,$P$612=0),"",$L$615-1),IF($R$17="Distrato",$E674,0)),MIN(T$38,$D$19),$P$20))-SUM($P674:S674)</f>
        <v>0</v>
      </c>
      <c r="U674" s="446">
        <f>IF(OR($B674="",MIN(U$38,$D$19)&lt;MAX($P$612*($B674+IF($R$17="Distrato",$I$38-1,0)),IF(AND($L$615=0,$P$612=0),"",$L$615-1),IF($R$17="Distrato",$E674,0))),0,YEARFRAC(MAX($P$612*($B674+IF($R$17="Distrato",$I$38-1,0)),IF(AND($L$615=0,$P$612=0),"",$L$615-1),IF($R$17="Distrato",$E674,0)),MIN(U$38,$D$19),$P$20))-SUM($P674:T674)</f>
        <v>0</v>
      </c>
      <c r="V674" s="446">
        <f>IF(OR($B674="",MIN(V$38,$D$19)&lt;MAX($P$612*($B674+IF($R$17="Distrato",$I$38-1,0)),IF(AND($L$615=0,$P$612=0),"",$L$615-1),IF($R$17="Distrato",$E674,0))),0,YEARFRAC(MAX($P$612*($B674+IF($R$17="Distrato",$I$38-1,0)),IF(AND($L$615=0,$P$612=0),"",$L$615-1),IF($R$17="Distrato",$E674,0)),MIN(V$38,$D$19),$P$20))-SUM($P674:U674)</f>
        <v>0</v>
      </c>
      <c r="W674" s="446">
        <f>IF(OR($B674="",MIN(W$38,$D$19)&lt;MAX($P$612*($B674+IF($R$17="Distrato",$I$38-1,0)),IF(AND($L$615=0,$P$612=0),"",$L$615-1),IF($R$17="Distrato",$E674,0))),0,YEARFRAC(MAX($P$612*($B674+IF($R$17="Distrato",$I$38-1,0)),IF(AND($L$615=0,$P$612=0),"",$L$615-1),IF($R$17="Distrato",$E674,0)),MIN(W$38,$D$19),$P$20))-SUM($P674:V674)</f>
        <v>0</v>
      </c>
      <c r="X674" s="446">
        <f>IF(OR($B674="",MIN(X$38,$D$19)&lt;MAX($P$612*($B674+IF($R$17="Distrato",$I$38-1,0)),IF(AND($L$615=0,$P$612=0),"",$L$615-1),IF($R$17="Distrato",$E674,0))),0,YEARFRAC(MAX($P$612*($B674+IF($R$17="Distrato",$I$38-1,0)),IF(AND($L$615=0,$P$612=0),"",$L$615-1),IF($R$17="Distrato",$E674,0)),MIN(X$38,$D$19),$P$20))-SUM($P674:W674)</f>
        <v>0</v>
      </c>
      <c r="Y674" s="446">
        <f>IF(OR($B674="",MIN(Y$38,$D$19)&lt;MAX($P$612*($B674+IF($R$17="Distrato",$I$38-1,0)),IF(AND($L$615=0,$P$612=0),"",$L$615-1),IF($R$17="Distrato",$E674,0))),0,YEARFRAC(MAX($P$612*($B674+IF($R$17="Distrato",$I$38-1,0)),IF(AND($L$615=0,$P$612=0),"",$L$615-1),IF($R$17="Distrato",$E674,0)),MIN(Y$38,$D$19),$P$20))-SUM($P674:X674)</f>
        <v>0</v>
      </c>
      <c r="Z674" s="446">
        <f>IF(OR($B674="",MIN(Z$38,$D$19)&lt;MAX($P$612*($B674+IF($R$17="Distrato",$I$38-1,0)),IF(AND($L$615=0,$P$612=0),"",$L$615-1),IF($R$17="Distrato",$E674,0))),0,YEARFRAC(MAX($P$612*($B674+IF($R$17="Distrato",$I$38-1,0)),IF(AND($L$615=0,$P$612=0),"",$L$615-1),IF($R$17="Distrato",$E674,0)),MIN(Z$38,$D$19),$P$20))-SUM($P674:Y674)</f>
        <v>0</v>
      </c>
      <c r="AA674" s="446">
        <f>IF(OR($B674="",MIN(AA$38,$D$19)&lt;MAX($P$612*($B674+IF($R$17="Distrato",$I$38-1,0)),IF(AND($L$615=0,$P$612=0),"",$L$615-1),IF($R$17="Distrato",$E674,0))),0,YEARFRAC(MAX($P$612*($B674+IF($R$17="Distrato",$I$38-1,0)),IF(AND($L$615=0,$P$612=0),"",$L$615-1),IF($R$17="Distrato",$E674,0)),MIN(AA$38,$D$19),$P$20))-SUM($P674:Z674)</f>
        <v>0</v>
      </c>
      <c r="AB674" s="446">
        <f>IF(OR($B674="",MIN(AB$38,$D$19)&lt;MAX($P$612*($B674+IF($R$17="Distrato",$I$38-1,0)),IF(AND($L$615=0,$P$612=0),"",$L$615-1),IF($R$17="Distrato",$E674,0))),0,YEARFRAC(MAX($P$612*($B674+IF($R$17="Distrato",$I$38-1,0)),IF(AND($L$615=0,$P$612=0),"",$L$615-1),IF($R$17="Distrato",$E674,0)),MIN(AB$38,$D$19),$P$20))-SUM($P674:AA674)</f>
        <v>0</v>
      </c>
      <c r="AC674" s="446">
        <f>IF(OR($B674="",MIN(AC$38,$D$19)&lt;MAX($P$612*($B674+IF($R$17="Distrato",$I$38-1,0)),IF(AND($L$615=0,$P$612=0),"",$L$615-1),IF($R$17="Distrato",$E674,0))),0,YEARFRAC(MAX($P$612*($B674+IF($R$17="Distrato",$I$38-1,0)),IF(AND($L$615=0,$P$612=0),"",$L$615-1),IF($R$17="Distrato",$E674,0)),MIN(AC$38,$D$19),$P$20))-SUM($P674:AB674)</f>
        <v>0</v>
      </c>
      <c r="AD674" s="446">
        <f>IF(OR($B674="",MIN(AD$38,$D$19)&lt;MAX($P$612*($B674+IF($R$17="Distrato",$I$38-1,0)),IF(AND($L$615=0,$P$612=0),"",$L$615-1),IF($R$17="Distrato",$E674,0))),0,YEARFRAC(MAX($P$612*($B674+IF($R$17="Distrato",$I$38-1,0)),IF(AND($L$615=0,$P$612=0),"",$L$615-1),IF($R$17="Distrato",$E674,0)),MIN(AD$38,$D$19),$P$20))-SUM($P674:AC674)</f>
        <v>0</v>
      </c>
      <c r="AE674" s="446">
        <f>IF(OR($B674="",MIN(AE$38,$D$19)&lt;MAX($P$612*($B674+IF($R$17="Distrato",$I$38-1,0)),IF(AND($L$615=0,$P$612=0),"",$L$615-1),IF($R$17="Distrato",$E674,0))),0,YEARFRAC(MAX($P$612*($B674+IF($R$17="Distrato",$I$38-1,0)),IF(AND($L$615=0,$P$612=0),"",$L$615-1),IF($R$17="Distrato",$E674,0)),MIN(AE$38,$D$19),$P$20))-SUM($P674:AD674)</f>
        <v>0</v>
      </c>
      <c r="AF674" s="446">
        <f>IF(OR($B674="",MIN(AF$38,$D$19)&lt;MAX($P$612*($B674+IF($R$17="Distrato",$I$38-1,0)),IF(AND($L$615=0,$P$612=0),"",$L$615-1),IF($R$17="Distrato",$E674,0))),0,YEARFRAC(MAX($P$612*($B674+IF($R$17="Distrato",$I$38-1,0)),IF(AND($L$615=0,$P$612=0),"",$L$615-1),IF($R$17="Distrato",$E674,0)),MIN(AF$38,$D$19),$P$20))-SUM($P674:AE674)</f>
        <v>0</v>
      </c>
      <c r="AG674" s="446">
        <f>IF(OR($B674="",MIN(AG$38,$D$19)&lt;MAX($P$612*($B674+IF($R$17="Distrato",$I$38-1,0)),IF(AND($L$615=0,$P$612=0),"",$L$615-1),IF($R$17="Distrato",$E674,0))),0,YEARFRAC(MAX($P$612*($B674+IF($R$17="Distrato",$I$38-1,0)),IF(AND($L$615=0,$P$612=0),"",$L$615-1),IF($R$17="Distrato",$E674,0)),MIN(AG$38,$D$19),$P$20))-SUM($P674:AF674)</f>
        <v>0</v>
      </c>
      <c r="AH674" s="446">
        <f>IF(OR($B674="",MIN(AH$38,$D$19)&lt;MAX($P$612*($B674+IF($R$17="Distrato",$I$38-1,0)),IF(AND($L$615=0,$P$612=0),"",$L$615-1),IF($R$17="Distrato",$E674,0))),0,YEARFRAC(MAX($P$612*($B674+IF($R$17="Distrato",$I$38-1,0)),IF(AND($L$615=0,$P$612=0),"",$L$615-1),IF($R$17="Distrato",$E674,0)),MIN(AH$38,$D$19),$P$20))-SUM($P674:AG674)</f>
        <v>0</v>
      </c>
      <c r="AI674" s="446">
        <f>IF(OR($B674="",MIN(AI$38,$D$19)&lt;MAX($P$612*($B674+IF($R$17="Distrato",$I$38-1,0)),IF(AND($L$615=0,$P$612=0),"",$L$615-1),IF($R$17="Distrato",$E674,0))),0,YEARFRAC(MAX($P$612*($B674+IF($R$17="Distrato",$I$38-1,0)),IF(AND($L$615=0,$P$612=0),"",$L$615-1),IF($R$17="Distrato",$E674,0)),MIN(AI$38,$D$19),$P$20))-SUM($P674:AH674)</f>
        <v>0</v>
      </c>
      <c r="AJ674" s="446">
        <f>IF(OR($B674="",MIN(AJ$38,$D$19)&lt;MAX($P$612*($B674+IF($R$17="Distrato",$I$38-1,0)),IF(AND($L$615=0,$P$612=0),"",$L$615-1),IF($R$17="Distrato",$E674,0))),0,YEARFRAC(MAX($P$612*($B674+IF($R$17="Distrato",$I$38-1,0)),IF(AND($L$615=0,$P$612=0),"",$L$615-1),IF($R$17="Distrato",$E674,0)),MIN(AJ$38,$D$19),$P$20))-SUM($P674:AI674)</f>
        <v>0</v>
      </c>
      <c r="AK674" s="446">
        <f>IF(OR($B674="",MIN(AK$38,$D$19)&lt;MAX($P$612*($B674+IF($R$17="Distrato",$I$38-1,0)),IF(AND($L$615=0,$P$612=0),"",$L$615-1),IF($R$17="Distrato",$E674,0))),0,YEARFRAC(MAX($P$612*($B674+IF($R$17="Distrato",$I$38-1,0)),IF(AND($L$615=0,$P$612=0),"",$L$615-1),IF($R$17="Distrato",$E674,0)),MIN(AK$38,$D$19),$P$20))-SUM($P674:AJ674)</f>
        <v>0</v>
      </c>
      <c r="AL674" s="446">
        <f>IF(OR($B674="",MIN(AL$38,$D$19)&lt;MAX($P$612*($B674+IF($R$17="Distrato",$I$38-1,0)),IF(AND($L$615=0,$P$612=0),"",$L$615-1),IF($R$17="Distrato",$E674,0))),0,YEARFRAC(MAX($P$612*($B674+IF($R$17="Distrato",$I$38-1,0)),IF(AND($L$615=0,$P$612=0),"",$L$615-1),IF($R$17="Distrato",$E674,0)),MIN(AL$38,$D$19),$P$20))-SUM($P674:AK674)</f>
        <v>0</v>
      </c>
      <c r="AM674" s="446">
        <f>IF(OR($B674="",MIN(AM$38,$D$19)&lt;MAX($P$612*($B674+IF($R$17="Distrato",$I$38-1,0)),IF(AND($L$615=0,$P$612=0),"",$L$615-1),IF($R$17="Distrato",$E674,0))),0,YEARFRAC(MAX($P$612*($B674+IF($R$17="Distrato",$I$38-1,0)),IF(AND($L$615=0,$P$612=0),"",$L$615-1),IF($R$17="Distrato",$E674,0)),MIN(AM$38,$D$19),$P$20))-SUM($P674:AL674)</f>
        <v>0</v>
      </c>
      <c r="AN674" s="446">
        <f>IF(OR($B674="",MIN(AN$38,$D$19)&lt;MAX($P$612*($B674+IF($R$17="Distrato",$I$38-1,0)),IF(AND($L$615=0,$P$612=0),"",$L$615-1),IF($R$17="Distrato",$E674,0))),0,YEARFRAC(MAX($P$612*($B674+IF($R$17="Distrato",$I$38-1,0)),IF(AND($L$615=0,$P$612=0),"",$L$615-1),IF($R$17="Distrato",$E674,0)),MIN(AN$38,$D$19),$P$20))-SUM($P674:AM674)</f>
        <v>0</v>
      </c>
      <c r="AO674" s="446">
        <f>IF(OR($B674="",MIN(AO$38,$D$19)&lt;MAX($P$612*($B674+IF($R$17="Distrato",$I$38-1,0)),IF(AND($L$615=0,$P$612=0),"",$L$615-1),IF($R$17="Distrato",$E674,0))),0,YEARFRAC(MAX($P$612*($B674+IF($R$17="Distrato",$I$38-1,0)),IF(AND($L$615=0,$P$612=0),"",$L$615-1),IF($R$17="Distrato",$E674,0)),MIN(AO$38,$D$19),$P$20))-SUM($P674:AN674)</f>
        <v>0</v>
      </c>
      <c r="AP674" s="446">
        <f>IF(OR($B674="",MIN(AP$38,$D$19)&lt;MAX($P$612*($B674+IF($R$17="Distrato",$I$38-1,0)),IF(AND($L$615=0,$P$612=0),"",$L$615-1),IF($R$17="Distrato",$E674,0))),0,YEARFRAC(MAX($P$612*($B674+IF($R$17="Distrato",$I$38-1,0)),IF(AND($L$615=0,$P$612=0),"",$L$615-1),IF($R$17="Distrato",$E674,0)),MIN(AP$38,$D$19),$P$20))-SUM($P674:AO674)</f>
        <v>0</v>
      </c>
      <c r="AQ674" s="446">
        <f>IF(OR($B674="",MIN(AQ$38,$D$19)&lt;MAX($P$612*($B674+IF($R$17="Distrato",$I$38-1,0)),IF(AND($L$615=0,$P$612=0),"",$L$615-1),IF($R$17="Distrato",$E674,0))),0,YEARFRAC(MAX($P$612*($B674+IF($R$17="Distrato",$I$38-1,0)),IF(AND($L$615=0,$P$612=0),"",$L$615-1),IF($R$17="Distrato",$E674,0)),MIN(AQ$38,$D$19),$P$20))-SUM($P674:AP674)</f>
        <v>0</v>
      </c>
      <c r="AR674" s="446">
        <f>IF(OR($B674="",MIN(AR$38,$D$19)&lt;MAX($P$612*($B674+IF($R$17="Distrato",$I$38-1,0)),IF(AND($L$615=0,$P$612=0),"",$L$615-1),IF($R$17="Distrato",$E674,0))),0,YEARFRAC(MAX($P$612*($B674+IF($R$17="Distrato",$I$38-1,0)),IF(AND($L$615=0,$P$612=0),"",$L$615-1),IF($R$17="Distrato",$E674,0)),MIN(AR$38,$D$19),$P$20))-SUM($P674:AQ674)</f>
        <v>0</v>
      </c>
      <c r="AS674" s="446">
        <f>IF(OR($B674="",MIN(AS$38,$D$19)&lt;MAX($P$612*($B674+IF($R$17="Distrato",$I$38-1,0)),IF(AND($L$615=0,$P$612=0),"",$L$615-1),IF($R$17="Distrato",$E674,0))),0,YEARFRAC(MAX($P$612*($B674+IF($R$17="Distrato",$I$38-1,0)),IF(AND($L$615=0,$P$612=0),"",$L$615-1),IF($R$17="Distrato",$E674,0)),MIN(AS$38,$D$19),$P$20))-SUM($P674:AR674)</f>
        <v>0</v>
      </c>
      <c r="AT674" s="446">
        <f>IF(OR($B674="",MIN(AT$38,$D$19)&lt;MAX($P$612*($B674+IF($R$17="Distrato",$I$38-1,0)),IF(AND($L$615=0,$P$612=0),"",$L$615-1),IF($R$17="Distrato",$E674,0))),0,YEARFRAC(MAX($P$612*($B674+IF($R$17="Distrato",$I$38-1,0)),IF(AND($L$615=0,$P$612=0),"",$L$615-1),IF($R$17="Distrato",$E674,0)),MIN(AT$38,$D$19),$P$20))-SUM($P674:AS674)</f>
        <v>0</v>
      </c>
      <c r="AU674" s="446">
        <f>IF(OR($B674="",MIN(AU$38,$D$19)&lt;MAX($P$612*($B674+IF($R$17="Distrato",$I$38-1,0)),IF(AND($L$615=0,$P$612=0),"",$L$615-1),IF($R$17="Distrato",$E674,0))),0,YEARFRAC(MAX($P$612*($B674+IF($R$17="Distrato",$I$38-1,0)),IF(AND($L$615=0,$P$612=0),"",$L$615-1),IF($R$17="Distrato",$E674,0)),MIN(AU$38,$D$19),$P$20))-SUM($P674:AT674)</f>
        <v>0</v>
      </c>
      <c r="AV674" s="446">
        <f>IF(OR($B674="",MIN(AV$38,$D$19)&lt;MAX($P$612*($B674+IF($R$17="Distrato",$I$38-1,0)),IF(AND($L$615=0,$P$612=0),"",$L$615-1),IF($R$17="Distrato",$E674,0))),0,YEARFRAC(MAX($P$612*($B674+IF($R$17="Distrato",$I$38-1,0)),IF(AND($L$615=0,$P$612=0),"",$L$615-1),IF($R$17="Distrato",$E674,0)),MIN(AV$38,$D$19),$P$20))-SUM($P674:AU674)</f>
        <v>0</v>
      </c>
      <c r="AW674" s="446">
        <f>IF(OR($B674="",MIN(AW$38,$D$19)&lt;MAX($P$612*($B674+IF($R$17="Distrato",$I$38-1,0)),IF(AND($L$615=0,$P$612=0),"",$L$615-1),IF($R$17="Distrato",$E674,0))),0,YEARFRAC(MAX($P$612*($B674+IF($R$17="Distrato",$I$38-1,0)),IF(AND($L$615=0,$P$612=0),"",$L$615-1),IF($R$17="Distrato",$E674,0)),MIN(AW$38,$D$19),$P$20))-SUM($P674:AV674)</f>
        <v>0</v>
      </c>
      <c r="AX674" s="446">
        <f>IF(OR($B674="",MIN(AX$38,$D$19)&lt;MAX($P$612*($B674+IF($R$17="Distrato",$I$38-1,0)),IF(AND($L$615=0,$P$612=0),"",$L$615-1),IF($R$17="Distrato",$E674,0))),0,YEARFRAC(MAX($P$612*($B674+IF($R$17="Distrato",$I$38-1,0)),IF(AND($L$615=0,$P$612=0),"",$L$615-1),IF($R$17="Distrato",$E674,0)),MIN(AX$38,$D$19),$P$20))-SUM($P674:AW674)</f>
        <v>0</v>
      </c>
      <c r="AY674" s="446">
        <f>IF(OR($B674="",MIN(AY$38,$D$19)&lt;MAX($P$612*($B674+IF($R$17="Distrato",$I$38-1,0)),IF(AND($L$615=0,$P$612=0),"",$L$615-1),IF($R$17="Distrato",$E674,0))),0,YEARFRAC(MAX($P$612*($B674+IF($R$17="Distrato",$I$38-1,0)),IF(AND($L$615=0,$P$612=0),"",$L$615-1),IF($R$17="Distrato",$E674,0)),MIN(AY$38,$D$19),$P$20))-SUM($P674:AX674)</f>
        <v>0</v>
      </c>
      <c r="AZ674" s="446">
        <f>IF(OR($B674="",MIN(AZ$38,$D$19)&lt;MAX($P$612*($B674+IF($R$17="Distrato",$I$38-1,0)),IF(AND($L$615=0,$P$612=0),"",$L$615-1),IF($R$17="Distrato",$E674,0))),0,YEARFRAC(MAX($P$612*($B674+IF($R$17="Distrato",$I$38-1,0)),IF(AND($L$615=0,$P$612=0),"",$L$615-1),IF($R$17="Distrato",$E674,0)),MIN(AZ$38,$D$19),$P$20))-SUM($P674:AY674)</f>
        <v>0</v>
      </c>
      <c r="BA674" s="446">
        <f>IF(OR($B674="",MIN(BA$38,$D$19)&lt;MAX($P$612*($B674+IF($R$17="Distrato",$I$38-1,0)),IF(AND($L$615=0,$P$612=0),"",$L$615-1),IF($R$17="Distrato",$E674,0))),0,YEARFRAC(MAX($P$612*($B674+IF($R$17="Distrato",$I$38-1,0)),IF(AND($L$615=0,$P$612=0),"",$L$615-1),IF($R$17="Distrato",$E674,0)),MIN(BA$38,$D$19),$P$20))-SUM($P674:AZ674)</f>
        <v>0</v>
      </c>
      <c r="BB674" s="447"/>
    </row>
    <row r="675" spans="1:54" s="446" customFormat="1" ht="11.25" hidden="1" x14ac:dyDescent="0.2">
      <c r="A675" s="177"/>
      <c r="B675" s="178"/>
      <c r="C675" s="29" t="str">
        <f>IF(B675="","",IF($L$613="SELIC - TRIBUTOS",VLOOKUP(DATE(YEAR($D$19),MONTH($D$19)-1,1),ÍNDICES!$A:$DE,HLOOKUP($BL$25,ÍNDICES!$B$3:$T$4,2)+11)-VLOOKUP(B675,ÍNDICES!$A:$DE,HLOOKUP($BL$25,ÍNDICES!$B$3:$T$4,2)+11)+1%,IF(C$616=$W$26,$J$613,IF(ISERROR(IF(B675&gt;$D$19,1,VLOOKUP(DATE(YEAR(B675),MONTH(B675)+IF($C$613=$S$23,1,0),1),ÍNDICES!$A:$DE,$Z$613+1))),"",IF(B675&gt;$D$19,1,VLOOKUP(DATE(YEAR(B675),MONTH(B675)+IF($C$613=$S$23,1,0),1),ÍNDICES!$A:$DE,$Z$613+1))))))</f>
        <v/>
      </c>
      <c r="D675" s="155"/>
      <c r="E675" s="179"/>
      <c r="F675" s="29"/>
      <c r="G675" s="180"/>
      <c r="H675" s="181"/>
      <c r="I675" s="182" t="str">
        <f t="shared" si="107"/>
        <v/>
      </c>
      <c r="J675" s="5" t="str">
        <f t="shared" si="108"/>
        <v/>
      </c>
      <c r="K675" s="5">
        <f t="shared" ca="1" si="109"/>
        <v>0</v>
      </c>
      <c r="L675" s="5">
        <f t="shared" ca="1" si="112"/>
        <v>0</v>
      </c>
      <c r="M675" s="64">
        <f t="shared" si="110"/>
        <v>0</v>
      </c>
      <c r="N675" s="61">
        <f t="shared" ca="1" si="113"/>
        <v>0</v>
      </c>
      <c r="O675" s="20">
        <f t="shared" ca="1" si="106"/>
        <v>0</v>
      </c>
      <c r="P675" s="446">
        <f t="shared" si="114"/>
        <v>0</v>
      </c>
      <c r="Q675" s="446">
        <f>IF(OR($B675="",MIN(Q$38,$D$19)&lt;MAX($P$612*($B675+IF($R$17="Distrato",$I$38-1,0)),IF(AND($L$615=0,$P$612=0),"",$L$615-1),IF($R$17="Distrato",$E675,0))),0,YEARFRAC(MAX($P$612*($B675+IF($R$17="Distrato",$I$38-1,0)),IF(AND($L$615=0,$P$612=0),"",$L$615-1),IF($R$17="Distrato",$E675,0)),MIN(Q$38,$D$19),$P$20))-SUM($P675:P675)</f>
        <v>0</v>
      </c>
      <c r="R675" s="446">
        <f>IF(OR($B675="",MIN(R$38,$D$19)&lt;MAX($P$612*($B675+IF($R$17="Distrato",$I$38-1,0)),IF(AND($L$615=0,$P$612=0),"",$L$615-1),IF($R$17="Distrato",$E675,0))),0,YEARFRAC(MAX($P$612*($B675+IF($R$17="Distrato",$I$38-1,0)),IF(AND($L$615=0,$P$612=0),"",$L$615-1),IF($R$17="Distrato",$E675,0)),MIN(R$38,$D$19),$P$20))-SUM($P675:Q675)</f>
        <v>0</v>
      </c>
      <c r="S675" s="446">
        <f>IF(OR($B675="",MIN(S$38,$D$19)&lt;MAX($P$612*($B675+IF($R$17="Distrato",$I$38-1,0)),IF(AND($L$615=0,$P$612=0),"",$L$615-1),IF($R$17="Distrato",$E675,0))),0,YEARFRAC(MAX($P$612*($B675+IF($R$17="Distrato",$I$38-1,0)),IF(AND($L$615=0,$P$612=0),"",$L$615-1),IF($R$17="Distrato",$E675,0)),MIN(S$38,$D$19),$P$20))-SUM($P675:R675)</f>
        <v>0</v>
      </c>
      <c r="T675" s="446">
        <f>IF(OR($B675="",MIN(T$38,$D$19)&lt;MAX($P$612*($B675+IF($R$17="Distrato",$I$38-1,0)),IF(AND($L$615=0,$P$612=0),"",$L$615-1),IF($R$17="Distrato",$E675,0))),0,YEARFRAC(MAX($P$612*($B675+IF($R$17="Distrato",$I$38-1,0)),IF(AND($L$615=0,$P$612=0),"",$L$615-1),IF($R$17="Distrato",$E675,0)),MIN(T$38,$D$19),$P$20))-SUM($P675:S675)</f>
        <v>0</v>
      </c>
      <c r="U675" s="446">
        <f>IF(OR($B675="",MIN(U$38,$D$19)&lt;MAX($P$612*($B675+IF($R$17="Distrato",$I$38-1,0)),IF(AND($L$615=0,$P$612=0),"",$L$615-1),IF($R$17="Distrato",$E675,0))),0,YEARFRAC(MAX($P$612*($B675+IF($R$17="Distrato",$I$38-1,0)),IF(AND($L$615=0,$P$612=0),"",$L$615-1),IF($R$17="Distrato",$E675,0)),MIN(U$38,$D$19),$P$20))-SUM($P675:T675)</f>
        <v>0</v>
      </c>
      <c r="V675" s="446">
        <f>IF(OR($B675="",MIN(V$38,$D$19)&lt;MAX($P$612*($B675+IF($R$17="Distrato",$I$38-1,0)),IF(AND($L$615=0,$P$612=0),"",$L$615-1),IF($R$17="Distrato",$E675,0))),0,YEARFRAC(MAX($P$612*($B675+IF($R$17="Distrato",$I$38-1,0)),IF(AND($L$615=0,$P$612=0),"",$L$615-1),IF($R$17="Distrato",$E675,0)),MIN(V$38,$D$19),$P$20))-SUM($P675:U675)</f>
        <v>0</v>
      </c>
      <c r="W675" s="446">
        <f>IF(OR($B675="",MIN(W$38,$D$19)&lt;MAX($P$612*($B675+IF($R$17="Distrato",$I$38-1,0)),IF(AND($L$615=0,$P$612=0),"",$L$615-1),IF($R$17="Distrato",$E675,0))),0,YEARFRAC(MAX($P$612*($B675+IF($R$17="Distrato",$I$38-1,0)),IF(AND($L$615=0,$P$612=0),"",$L$615-1),IF($R$17="Distrato",$E675,0)),MIN(W$38,$D$19),$P$20))-SUM($P675:V675)</f>
        <v>0</v>
      </c>
      <c r="X675" s="446">
        <f>IF(OR($B675="",MIN(X$38,$D$19)&lt;MAX($P$612*($B675+IF($R$17="Distrato",$I$38-1,0)),IF(AND($L$615=0,$P$612=0),"",$L$615-1),IF($R$17="Distrato",$E675,0))),0,YEARFRAC(MAX($P$612*($B675+IF($R$17="Distrato",$I$38-1,0)),IF(AND($L$615=0,$P$612=0),"",$L$615-1),IF($R$17="Distrato",$E675,0)),MIN(X$38,$D$19),$P$20))-SUM($P675:W675)</f>
        <v>0</v>
      </c>
      <c r="Y675" s="446">
        <f>IF(OR($B675="",MIN(Y$38,$D$19)&lt;MAX($P$612*($B675+IF($R$17="Distrato",$I$38-1,0)),IF(AND($L$615=0,$P$612=0),"",$L$615-1),IF($R$17="Distrato",$E675,0))),0,YEARFRAC(MAX($P$612*($B675+IF($R$17="Distrato",$I$38-1,0)),IF(AND($L$615=0,$P$612=0),"",$L$615-1),IF($R$17="Distrato",$E675,0)),MIN(Y$38,$D$19),$P$20))-SUM($P675:X675)</f>
        <v>0</v>
      </c>
      <c r="Z675" s="446">
        <f>IF(OR($B675="",MIN(Z$38,$D$19)&lt;MAX($P$612*($B675+IF($R$17="Distrato",$I$38-1,0)),IF(AND($L$615=0,$P$612=0),"",$L$615-1),IF($R$17="Distrato",$E675,0))),0,YEARFRAC(MAX($P$612*($B675+IF($R$17="Distrato",$I$38-1,0)),IF(AND($L$615=0,$P$612=0),"",$L$615-1),IF($R$17="Distrato",$E675,0)),MIN(Z$38,$D$19),$P$20))-SUM($P675:Y675)</f>
        <v>0</v>
      </c>
      <c r="AA675" s="446">
        <f>IF(OR($B675="",MIN(AA$38,$D$19)&lt;MAX($P$612*($B675+IF($R$17="Distrato",$I$38-1,0)),IF(AND($L$615=0,$P$612=0),"",$L$615-1),IF($R$17="Distrato",$E675,0))),0,YEARFRAC(MAX($P$612*($B675+IF($R$17="Distrato",$I$38-1,0)),IF(AND($L$615=0,$P$612=0),"",$L$615-1),IF($R$17="Distrato",$E675,0)),MIN(AA$38,$D$19),$P$20))-SUM($P675:Z675)</f>
        <v>0</v>
      </c>
      <c r="AB675" s="446">
        <f>IF(OR($B675="",MIN(AB$38,$D$19)&lt;MAX($P$612*($B675+IF($R$17="Distrato",$I$38-1,0)),IF(AND($L$615=0,$P$612=0),"",$L$615-1),IF($R$17="Distrato",$E675,0))),0,YEARFRAC(MAX($P$612*($B675+IF($R$17="Distrato",$I$38-1,0)),IF(AND($L$615=0,$P$612=0),"",$L$615-1),IF($R$17="Distrato",$E675,0)),MIN(AB$38,$D$19),$P$20))-SUM($P675:AA675)</f>
        <v>0</v>
      </c>
      <c r="AC675" s="446">
        <f>IF(OR($B675="",MIN(AC$38,$D$19)&lt;MAX($P$612*($B675+IF($R$17="Distrato",$I$38-1,0)),IF(AND($L$615=0,$P$612=0),"",$L$615-1),IF($R$17="Distrato",$E675,0))),0,YEARFRAC(MAX($P$612*($B675+IF($R$17="Distrato",$I$38-1,0)),IF(AND($L$615=0,$P$612=0),"",$L$615-1),IF($R$17="Distrato",$E675,0)),MIN(AC$38,$D$19),$P$20))-SUM($P675:AB675)</f>
        <v>0</v>
      </c>
      <c r="AD675" s="446">
        <f>IF(OR($B675="",MIN(AD$38,$D$19)&lt;MAX($P$612*($B675+IF($R$17="Distrato",$I$38-1,0)),IF(AND($L$615=0,$P$612=0),"",$L$615-1),IF($R$17="Distrato",$E675,0))),0,YEARFRAC(MAX($P$612*($B675+IF($R$17="Distrato",$I$38-1,0)),IF(AND($L$615=0,$P$612=0),"",$L$615-1),IF($R$17="Distrato",$E675,0)),MIN(AD$38,$D$19),$P$20))-SUM($P675:AC675)</f>
        <v>0</v>
      </c>
      <c r="AE675" s="446">
        <f>IF(OR($B675="",MIN(AE$38,$D$19)&lt;MAX($P$612*($B675+IF($R$17="Distrato",$I$38-1,0)),IF(AND($L$615=0,$P$612=0),"",$L$615-1),IF($R$17="Distrato",$E675,0))),0,YEARFRAC(MAX($P$612*($B675+IF($R$17="Distrato",$I$38-1,0)),IF(AND($L$615=0,$P$612=0),"",$L$615-1),IF($R$17="Distrato",$E675,0)),MIN(AE$38,$D$19),$P$20))-SUM($P675:AD675)</f>
        <v>0</v>
      </c>
      <c r="AF675" s="446">
        <f>IF(OR($B675="",MIN(AF$38,$D$19)&lt;MAX($P$612*($B675+IF($R$17="Distrato",$I$38-1,0)),IF(AND($L$615=0,$P$612=0),"",$L$615-1),IF($R$17="Distrato",$E675,0))),0,YEARFRAC(MAX($P$612*($B675+IF($R$17="Distrato",$I$38-1,0)),IF(AND($L$615=0,$P$612=0),"",$L$615-1),IF($R$17="Distrato",$E675,0)),MIN(AF$38,$D$19),$P$20))-SUM($P675:AE675)</f>
        <v>0</v>
      </c>
      <c r="AG675" s="446">
        <f>IF(OR($B675="",MIN(AG$38,$D$19)&lt;MAX($P$612*($B675+IF($R$17="Distrato",$I$38-1,0)),IF(AND($L$615=0,$P$612=0),"",$L$615-1),IF($R$17="Distrato",$E675,0))),0,YEARFRAC(MAX($P$612*($B675+IF($R$17="Distrato",$I$38-1,0)),IF(AND($L$615=0,$P$612=0),"",$L$615-1),IF($R$17="Distrato",$E675,0)),MIN(AG$38,$D$19),$P$20))-SUM($P675:AF675)</f>
        <v>0</v>
      </c>
      <c r="AH675" s="446">
        <f>IF(OR($B675="",MIN(AH$38,$D$19)&lt;MAX($P$612*($B675+IF($R$17="Distrato",$I$38-1,0)),IF(AND($L$615=0,$P$612=0),"",$L$615-1),IF($R$17="Distrato",$E675,0))),0,YEARFRAC(MAX($P$612*($B675+IF($R$17="Distrato",$I$38-1,0)),IF(AND($L$615=0,$P$612=0),"",$L$615-1),IF($R$17="Distrato",$E675,0)),MIN(AH$38,$D$19),$P$20))-SUM($P675:AG675)</f>
        <v>0</v>
      </c>
      <c r="AI675" s="446">
        <f>IF(OR($B675="",MIN(AI$38,$D$19)&lt;MAX($P$612*($B675+IF($R$17="Distrato",$I$38-1,0)),IF(AND($L$615=0,$P$612=0),"",$L$615-1),IF($R$17="Distrato",$E675,0))),0,YEARFRAC(MAX($P$612*($B675+IF($R$17="Distrato",$I$38-1,0)),IF(AND($L$615=0,$P$612=0),"",$L$615-1),IF($R$17="Distrato",$E675,0)),MIN(AI$38,$D$19),$P$20))-SUM($P675:AH675)</f>
        <v>0</v>
      </c>
      <c r="AJ675" s="446">
        <f>IF(OR($B675="",MIN(AJ$38,$D$19)&lt;MAX($P$612*($B675+IF($R$17="Distrato",$I$38-1,0)),IF(AND($L$615=0,$P$612=0),"",$L$615-1),IF($R$17="Distrato",$E675,0))),0,YEARFRAC(MAX($P$612*($B675+IF($R$17="Distrato",$I$38-1,0)),IF(AND($L$615=0,$P$612=0),"",$L$615-1),IF($R$17="Distrato",$E675,0)),MIN(AJ$38,$D$19),$P$20))-SUM($P675:AI675)</f>
        <v>0</v>
      </c>
      <c r="AK675" s="446">
        <f>IF(OR($B675="",MIN(AK$38,$D$19)&lt;MAX($P$612*($B675+IF($R$17="Distrato",$I$38-1,0)),IF(AND($L$615=0,$P$612=0),"",$L$615-1),IF($R$17="Distrato",$E675,0))),0,YEARFRAC(MAX($P$612*($B675+IF($R$17="Distrato",$I$38-1,0)),IF(AND($L$615=0,$P$612=0),"",$L$615-1),IF($R$17="Distrato",$E675,0)),MIN(AK$38,$D$19),$P$20))-SUM($P675:AJ675)</f>
        <v>0</v>
      </c>
      <c r="AL675" s="446">
        <f>IF(OR($B675="",MIN(AL$38,$D$19)&lt;MAX($P$612*($B675+IF($R$17="Distrato",$I$38-1,0)),IF(AND($L$615=0,$P$612=0),"",$L$615-1),IF($R$17="Distrato",$E675,0))),0,YEARFRAC(MAX($P$612*($B675+IF($R$17="Distrato",$I$38-1,0)),IF(AND($L$615=0,$P$612=0),"",$L$615-1),IF($R$17="Distrato",$E675,0)),MIN(AL$38,$D$19),$P$20))-SUM($P675:AK675)</f>
        <v>0</v>
      </c>
      <c r="AM675" s="446">
        <f>IF(OR($B675="",MIN(AM$38,$D$19)&lt;MAX($P$612*($B675+IF($R$17="Distrato",$I$38-1,0)),IF(AND($L$615=0,$P$612=0),"",$L$615-1),IF($R$17="Distrato",$E675,0))),0,YEARFRAC(MAX($P$612*($B675+IF($R$17="Distrato",$I$38-1,0)),IF(AND($L$615=0,$P$612=0),"",$L$615-1),IF($R$17="Distrato",$E675,0)),MIN(AM$38,$D$19),$P$20))-SUM($P675:AL675)</f>
        <v>0</v>
      </c>
      <c r="AN675" s="446">
        <f>IF(OR($B675="",MIN(AN$38,$D$19)&lt;MAX($P$612*($B675+IF($R$17="Distrato",$I$38-1,0)),IF(AND($L$615=0,$P$612=0),"",$L$615-1),IF($R$17="Distrato",$E675,0))),0,YEARFRAC(MAX($P$612*($B675+IF($R$17="Distrato",$I$38-1,0)),IF(AND($L$615=0,$P$612=0),"",$L$615-1),IF($R$17="Distrato",$E675,0)),MIN(AN$38,$D$19),$P$20))-SUM($P675:AM675)</f>
        <v>0</v>
      </c>
      <c r="AO675" s="446">
        <f>IF(OR($B675="",MIN(AO$38,$D$19)&lt;MAX($P$612*($B675+IF($R$17="Distrato",$I$38-1,0)),IF(AND($L$615=0,$P$612=0),"",$L$615-1),IF($R$17="Distrato",$E675,0))),0,YEARFRAC(MAX($P$612*($B675+IF($R$17="Distrato",$I$38-1,0)),IF(AND($L$615=0,$P$612=0),"",$L$615-1),IF($R$17="Distrato",$E675,0)),MIN(AO$38,$D$19),$P$20))-SUM($P675:AN675)</f>
        <v>0</v>
      </c>
      <c r="AP675" s="446">
        <f>IF(OR($B675="",MIN(AP$38,$D$19)&lt;MAX($P$612*($B675+IF($R$17="Distrato",$I$38-1,0)),IF(AND($L$615=0,$P$612=0),"",$L$615-1),IF($R$17="Distrato",$E675,0))),0,YEARFRAC(MAX($P$612*($B675+IF($R$17="Distrato",$I$38-1,0)),IF(AND($L$615=0,$P$612=0),"",$L$615-1),IF($R$17="Distrato",$E675,0)),MIN(AP$38,$D$19),$P$20))-SUM($P675:AO675)</f>
        <v>0</v>
      </c>
      <c r="AQ675" s="446">
        <f>IF(OR($B675="",MIN(AQ$38,$D$19)&lt;MAX($P$612*($B675+IF($R$17="Distrato",$I$38-1,0)),IF(AND($L$615=0,$P$612=0),"",$L$615-1),IF($R$17="Distrato",$E675,0))),0,YEARFRAC(MAX($P$612*($B675+IF($R$17="Distrato",$I$38-1,0)),IF(AND($L$615=0,$P$612=0),"",$L$615-1),IF($R$17="Distrato",$E675,0)),MIN(AQ$38,$D$19),$P$20))-SUM($P675:AP675)</f>
        <v>0</v>
      </c>
      <c r="AR675" s="446">
        <f>IF(OR($B675="",MIN(AR$38,$D$19)&lt;MAX($P$612*($B675+IF($R$17="Distrato",$I$38-1,0)),IF(AND($L$615=0,$P$612=0),"",$L$615-1),IF($R$17="Distrato",$E675,0))),0,YEARFRAC(MAX($P$612*($B675+IF($R$17="Distrato",$I$38-1,0)),IF(AND($L$615=0,$P$612=0),"",$L$615-1),IF($R$17="Distrato",$E675,0)),MIN(AR$38,$D$19),$P$20))-SUM($P675:AQ675)</f>
        <v>0</v>
      </c>
      <c r="AS675" s="446">
        <f>IF(OR($B675="",MIN(AS$38,$D$19)&lt;MAX($P$612*($B675+IF($R$17="Distrato",$I$38-1,0)),IF(AND($L$615=0,$P$612=0),"",$L$615-1),IF($R$17="Distrato",$E675,0))),0,YEARFRAC(MAX($P$612*($B675+IF($R$17="Distrato",$I$38-1,0)),IF(AND($L$615=0,$P$612=0),"",$L$615-1),IF($R$17="Distrato",$E675,0)),MIN(AS$38,$D$19),$P$20))-SUM($P675:AR675)</f>
        <v>0</v>
      </c>
      <c r="AT675" s="446">
        <f>IF(OR($B675="",MIN(AT$38,$D$19)&lt;MAX($P$612*($B675+IF($R$17="Distrato",$I$38-1,0)),IF(AND($L$615=0,$P$612=0),"",$L$615-1),IF($R$17="Distrato",$E675,0))),0,YEARFRAC(MAX($P$612*($B675+IF($R$17="Distrato",$I$38-1,0)),IF(AND($L$615=0,$P$612=0),"",$L$615-1),IF($R$17="Distrato",$E675,0)),MIN(AT$38,$D$19),$P$20))-SUM($P675:AS675)</f>
        <v>0</v>
      </c>
      <c r="AU675" s="446">
        <f>IF(OR($B675="",MIN(AU$38,$D$19)&lt;MAX($P$612*($B675+IF($R$17="Distrato",$I$38-1,0)),IF(AND($L$615=0,$P$612=0),"",$L$615-1),IF($R$17="Distrato",$E675,0))),0,YEARFRAC(MAX($P$612*($B675+IF($R$17="Distrato",$I$38-1,0)),IF(AND($L$615=0,$P$612=0),"",$L$615-1),IF($R$17="Distrato",$E675,0)),MIN(AU$38,$D$19),$P$20))-SUM($P675:AT675)</f>
        <v>0</v>
      </c>
      <c r="AV675" s="446">
        <f>IF(OR($B675="",MIN(AV$38,$D$19)&lt;MAX($P$612*($B675+IF($R$17="Distrato",$I$38-1,0)),IF(AND($L$615=0,$P$612=0),"",$L$615-1),IF($R$17="Distrato",$E675,0))),0,YEARFRAC(MAX($P$612*($B675+IF($R$17="Distrato",$I$38-1,0)),IF(AND($L$615=0,$P$612=0),"",$L$615-1),IF($R$17="Distrato",$E675,0)),MIN(AV$38,$D$19),$P$20))-SUM($P675:AU675)</f>
        <v>0</v>
      </c>
      <c r="AW675" s="446">
        <f>IF(OR($B675="",MIN(AW$38,$D$19)&lt;MAX($P$612*($B675+IF($R$17="Distrato",$I$38-1,0)),IF(AND($L$615=0,$P$612=0),"",$L$615-1),IF($R$17="Distrato",$E675,0))),0,YEARFRAC(MAX($P$612*($B675+IF($R$17="Distrato",$I$38-1,0)),IF(AND($L$615=0,$P$612=0),"",$L$615-1),IF($R$17="Distrato",$E675,0)),MIN(AW$38,$D$19),$P$20))-SUM($P675:AV675)</f>
        <v>0</v>
      </c>
      <c r="AX675" s="446">
        <f>IF(OR($B675="",MIN(AX$38,$D$19)&lt;MAX($P$612*($B675+IF($R$17="Distrato",$I$38-1,0)),IF(AND($L$615=0,$P$612=0),"",$L$615-1),IF($R$17="Distrato",$E675,0))),0,YEARFRAC(MAX($P$612*($B675+IF($R$17="Distrato",$I$38-1,0)),IF(AND($L$615=0,$P$612=0),"",$L$615-1),IF($R$17="Distrato",$E675,0)),MIN(AX$38,$D$19),$P$20))-SUM($P675:AW675)</f>
        <v>0</v>
      </c>
      <c r="AY675" s="446">
        <f>IF(OR($B675="",MIN(AY$38,$D$19)&lt;MAX($P$612*($B675+IF($R$17="Distrato",$I$38-1,0)),IF(AND($L$615=0,$P$612=0),"",$L$615-1),IF($R$17="Distrato",$E675,0))),0,YEARFRAC(MAX($P$612*($B675+IF($R$17="Distrato",$I$38-1,0)),IF(AND($L$615=0,$P$612=0),"",$L$615-1),IF($R$17="Distrato",$E675,0)),MIN(AY$38,$D$19),$P$20))-SUM($P675:AX675)</f>
        <v>0</v>
      </c>
      <c r="AZ675" s="446">
        <f>IF(OR($B675="",MIN(AZ$38,$D$19)&lt;MAX($P$612*($B675+IF($R$17="Distrato",$I$38-1,0)),IF(AND($L$615=0,$P$612=0),"",$L$615-1),IF($R$17="Distrato",$E675,0))),0,YEARFRAC(MAX($P$612*($B675+IF($R$17="Distrato",$I$38-1,0)),IF(AND($L$615=0,$P$612=0),"",$L$615-1),IF($R$17="Distrato",$E675,0)),MIN(AZ$38,$D$19),$P$20))-SUM($P675:AY675)</f>
        <v>0</v>
      </c>
      <c r="BA675" s="446">
        <f>IF(OR($B675="",MIN(BA$38,$D$19)&lt;MAX($P$612*($B675+IF($R$17="Distrato",$I$38-1,0)),IF(AND($L$615=0,$P$612=0),"",$L$615-1),IF($R$17="Distrato",$E675,0))),0,YEARFRAC(MAX($P$612*($B675+IF($R$17="Distrato",$I$38-1,0)),IF(AND($L$615=0,$P$612=0),"",$L$615-1),IF($R$17="Distrato",$E675,0)),MIN(BA$38,$D$19),$P$20))-SUM($P675:AZ675)</f>
        <v>0</v>
      </c>
      <c r="BB675" s="447"/>
    </row>
    <row r="676" spans="1:54" s="446" customFormat="1" ht="11.25" hidden="1" x14ac:dyDescent="0.2">
      <c r="A676" s="177"/>
      <c r="B676" s="178"/>
      <c r="C676" s="29" t="str">
        <f>IF(B676="","",IF($L$613="SELIC - TRIBUTOS",VLOOKUP(DATE(YEAR($D$19),MONTH($D$19)-1,1),ÍNDICES!$A:$DE,HLOOKUP($BL$25,ÍNDICES!$B$3:$T$4,2)+11)-VLOOKUP(B676,ÍNDICES!$A:$DE,HLOOKUP($BL$25,ÍNDICES!$B$3:$T$4,2)+11)+1%,IF(C$616=$W$26,$J$613,IF(ISERROR(IF(B676&gt;$D$19,1,VLOOKUP(DATE(YEAR(B676),MONTH(B676)+IF($C$613=$S$23,1,0),1),ÍNDICES!$A:$DE,$Z$613+1))),"",IF(B676&gt;$D$19,1,VLOOKUP(DATE(YEAR(B676),MONTH(B676)+IF($C$613=$S$23,1,0),1),ÍNDICES!$A:$DE,$Z$613+1))))))</f>
        <v/>
      </c>
      <c r="D676" s="155"/>
      <c r="E676" s="179"/>
      <c r="F676" s="29"/>
      <c r="G676" s="180"/>
      <c r="H676" s="181"/>
      <c r="I676" s="182" t="str">
        <f t="shared" si="107"/>
        <v/>
      </c>
      <c r="J676" s="5" t="str">
        <f t="shared" si="108"/>
        <v/>
      </c>
      <c r="K676" s="5">
        <f t="shared" ca="1" si="109"/>
        <v>0</v>
      </c>
      <c r="L676" s="5">
        <f t="shared" ca="1" si="112"/>
        <v>0</v>
      </c>
      <c r="M676" s="64">
        <f t="shared" si="110"/>
        <v>0</v>
      </c>
      <c r="N676" s="61">
        <f t="shared" ca="1" si="113"/>
        <v>0</v>
      </c>
      <c r="O676" s="20">
        <f t="shared" ca="1" si="106"/>
        <v>0</v>
      </c>
      <c r="P676" s="446">
        <f t="shared" si="114"/>
        <v>0</v>
      </c>
      <c r="Q676" s="446">
        <f>IF(OR($B676="",MIN(Q$38,$D$19)&lt;MAX($P$612*($B676+IF($R$17="Distrato",$I$38-1,0)),IF(AND($L$615=0,$P$612=0),"",$L$615-1),IF($R$17="Distrato",$E676,0))),0,YEARFRAC(MAX($P$612*($B676+IF($R$17="Distrato",$I$38-1,0)),IF(AND($L$615=0,$P$612=0),"",$L$615-1),IF($R$17="Distrato",$E676,0)),MIN(Q$38,$D$19),$P$20))-SUM($P676:P676)</f>
        <v>0</v>
      </c>
      <c r="R676" s="446">
        <f>IF(OR($B676="",MIN(R$38,$D$19)&lt;MAX($P$612*($B676+IF($R$17="Distrato",$I$38-1,0)),IF(AND($L$615=0,$P$612=0),"",$L$615-1),IF($R$17="Distrato",$E676,0))),0,YEARFRAC(MAX($P$612*($B676+IF($R$17="Distrato",$I$38-1,0)),IF(AND($L$615=0,$P$612=0),"",$L$615-1),IF($R$17="Distrato",$E676,0)),MIN(R$38,$D$19),$P$20))-SUM($P676:Q676)</f>
        <v>0</v>
      </c>
      <c r="S676" s="446">
        <f>IF(OR($B676="",MIN(S$38,$D$19)&lt;MAX($P$612*($B676+IF($R$17="Distrato",$I$38-1,0)),IF(AND($L$615=0,$P$612=0),"",$L$615-1),IF($R$17="Distrato",$E676,0))),0,YEARFRAC(MAX($P$612*($B676+IF($R$17="Distrato",$I$38-1,0)),IF(AND($L$615=0,$P$612=0),"",$L$615-1),IF($R$17="Distrato",$E676,0)),MIN(S$38,$D$19),$P$20))-SUM($P676:R676)</f>
        <v>0</v>
      </c>
      <c r="T676" s="446">
        <f>IF(OR($B676="",MIN(T$38,$D$19)&lt;MAX($P$612*($B676+IF($R$17="Distrato",$I$38-1,0)),IF(AND($L$615=0,$P$612=0),"",$L$615-1),IF($R$17="Distrato",$E676,0))),0,YEARFRAC(MAX($P$612*($B676+IF($R$17="Distrato",$I$38-1,0)),IF(AND($L$615=0,$P$612=0),"",$L$615-1),IF($R$17="Distrato",$E676,0)),MIN(T$38,$D$19),$P$20))-SUM($P676:S676)</f>
        <v>0</v>
      </c>
      <c r="U676" s="446">
        <f>IF(OR($B676="",MIN(U$38,$D$19)&lt;MAX($P$612*($B676+IF($R$17="Distrato",$I$38-1,0)),IF(AND($L$615=0,$P$612=0),"",$L$615-1),IF($R$17="Distrato",$E676,0))),0,YEARFRAC(MAX($P$612*($B676+IF($R$17="Distrato",$I$38-1,0)),IF(AND($L$615=0,$P$612=0),"",$L$615-1),IF($R$17="Distrato",$E676,0)),MIN(U$38,$D$19),$P$20))-SUM($P676:T676)</f>
        <v>0</v>
      </c>
      <c r="V676" s="446">
        <f>IF(OR($B676="",MIN(V$38,$D$19)&lt;MAX($P$612*($B676+IF($R$17="Distrato",$I$38-1,0)),IF(AND($L$615=0,$P$612=0),"",$L$615-1),IF($R$17="Distrato",$E676,0))),0,YEARFRAC(MAX($P$612*($B676+IF($R$17="Distrato",$I$38-1,0)),IF(AND($L$615=0,$P$612=0),"",$L$615-1),IF($R$17="Distrato",$E676,0)),MIN(V$38,$D$19),$P$20))-SUM($P676:U676)</f>
        <v>0</v>
      </c>
      <c r="W676" s="446">
        <f>IF(OR($B676="",MIN(W$38,$D$19)&lt;MAX($P$612*($B676+IF($R$17="Distrato",$I$38-1,0)),IF(AND($L$615=0,$P$612=0),"",$L$615-1),IF($R$17="Distrato",$E676,0))),0,YEARFRAC(MAX($P$612*($B676+IF($R$17="Distrato",$I$38-1,0)),IF(AND($L$615=0,$P$612=0),"",$L$615-1),IF($R$17="Distrato",$E676,0)),MIN(W$38,$D$19),$P$20))-SUM($P676:V676)</f>
        <v>0</v>
      </c>
      <c r="X676" s="446">
        <f>IF(OR($B676="",MIN(X$38,$D$19)&lt;MAX($P$612*($B676+IF($R$17="Distrato",$I$38-1,0)),IF(AND($L$615=0,$P$612=0),"",$L$615-1),IF($R$17="Distrato",$E676,0))),0,YEARFRAC(MAX($P$612*($B676+IF($R$17="Distrato",$I$38-1,0)),IF(AND($L$615=0,$P$612=0),"",$L$615-1),IF($R$17="Distrato",$E676,0)),MIN(X$38,$D$19),$P$20))-SUM($P676:W676)</f>
        <v>0</v>
      </c>
      <c r="Y676" s="446">
        <f>IF(OR($B676="",MIN(Y$38,$D$19)&lt;MAX($P$612*($B676+IF($R$17="Distrato",$I$38-1,0)),IF(AND($L$615=0,$P$612=0),"",$L$615-1),IF($R$17="Distrato",$E676,0))),0,YEARFRAC(MAX($P$612*($B676+IF($R$17="Distrato",$I$38-1,0)),IF(AND($L$615=0,$P$612=0),"",$L$615-1),IF($R$17="Distrato",$E676,0)),MIN(Y$38,$D$19),$P$20))-SUM($P676:X676)</f>
        <v>0</v>
      </c>
      <c r="Z676" s="446">
        <f>IF(OR($B676="",MIN(Z$38,$D$19)&lt;MAX($P$612*($B676+IF($R$17="Distrato",$I$38-1,0)),IF(AND($L$615=0,$P$612=0),"",$L$615-1),IF($R$17="Distrato",$E676,0))),0,YEARFRAC(MAX($P$612*($B676+IF($R$17="Distrato",$I$38-1,0)),IF(AND($L$615=0,$P$612=0),"",$L$615-1),IF($R$17="Distrato",$E676,0)),MIN(Z$38,$D$19),$P$20))-SUM($P676:Y676)</f>
        <v>0</v>
      </c>
      <c r="AA676" s="446">
        <f>IF(OR($B676="",MIN(AA$38,$D$19)&lt;MAX($P$612*($B676+IF($R$17="Distrato",$I$38-1,0)),IF(AND($L$615=0,$P$612=0),"",$L$615-1),IF($R$17="Distrato",$E676,0))),0,YEARFRAC(MAX($P$612*($B676+IF($R$17="Distrato",$I$38-1,0)),IF(AND($L$615=0,$P$612=0),"",$L$615-1),IF($R$17="Distrato",$E676,0)),MIN(AA$38,$D$19),$P$20))-SUM($P676:Z676)</f>
        <v>0</v>
      </c>
      <c r="AB676" s="446">
        <f>IF(OR($B676="",MIN(AB$38,$D$19)&lt;MAX($P$612*($B676+IF($R$17="Distrato",$I$38-1,0)),IF(AND($L$615=0,$P$612=0),"",$L$615-1),IF($R$17="Distrato",$E676,0))),0,YEARFRAC(MAX($P$612*($B676+IF($R$17="Distrato",$I$38-1,0)),IF(AND($L$615=0,$P$612=0),"",$L$615-1),IF($R$17="Distrato",$E676,0)),MIN(AB$38,$D$19),$P$20))-SUM($P676:AA676)</f>
        <v>0</v>
      </c>
      <c r="AC676" s="446">
        <f>IF(OR($B676="",MIN(AC$38,$D$19)&lt;MAX($P$612*($B676+IF($R$17="Distrato",$I$38-1,0)),IF(AND($L$615=0,$P$612=0),"",$L$615-1),IF($R$17="Distrato",$E676,0))),0,YEARFRAC(MAX($P$612*($B676+IF($R$17="Distrato",$I$38-1,0)),IF(AND($L$615=0,$P$612=0),"",$L$615-1),IF($R$17="Distrato",$E676,0)),MIN(AC$38,$D$19),$P$20))-SUM($P676:AB676)</f>
        <v>0</v>
      </c>
      <c r="AD676" s="446">
        <f>IF(OR($B676="",MIN(AD$38,$D$19)&lt;MAX($P$612*($B676+IF($R$17="Distrato",$I$38-1,0)),IF(AND($L$615=0,$P$612=0),"",$L$615-1),IF($R$17="Distrato",$E676,0))),0,YEARFRAC(MAX($P$612*($B676+IF($R$17="Distrato",$I$38-1,0)),IF(AND($L$615=0,$P$612=0),"",$L$615-1),IF($R$17="Distrato",$E676,0)),MIN(AD$38,$D$19),$P$20))-SUM($P676:AC676)</f>
        <v>0</v>
      </c>
      <c r="AE676" s="446">
        <f>IF(OR($B676="",MIN(AE$38,$D$19)&lt;MAX($P$612*($B676+IF($R$17="Distrato",$I$38-1,0)),IF(AND($L$615=0,$P$612=0),"",$L$615-1),IF($R$17="Distrato",$E676,0))),0,YEARFRAC(MAX($P$612*($B676+IF($R$17="Distrato",$I$38-1,0)),IF(AND($L$615=0,$P$612=0),"",$L$615-1),IF($R$17="Distrato",$E676,0)),MIN(AE$38,$D$19),$P$20))-SUM($P676:AD676)</f>
        <v>0</v>
      </c>
      <c r="AF676" s="446">
        <f>IF(OR($B676="",MIN(AF$38,$D$19)&lt;MAX($P$612*($B676+IF($R$17="Distrato",$I$38-1,0)),IF(AND($L$615=0,$P$612=0),"",$L$615-1),IF($R$17="Distrato",$E676,0))),0,YEARFRAC(MAX($P$612*($B676+IF($R$17="Distrato",$I$38-1,0)),IF(AND($L$615=0,$P$612=0),"",$L$615-1),IF($R$17="Distrato",$E676,0)),MIN(AF$38,$D$19),$P$20))-SUM($P676:AE676)</f>
        <v>0</v>
      </c>
      <c r="AG676" s="446">
        <f>IF(OR($B676="",MIN(AG$38,$D$19)&lt;MAX($P$612*($B676+IF($R$17="Distrato",$I$38-1,0)),IF(AND($L$615=0,$P$612=0),"",$L$615-1),IF($R$17="Distrato",$E676,0))),0,YEARFRAC(MAX($P$612*($B676+IF($R$17="Distrato",$I$38-1,0)),IF(AND($L$615=0,$P$612=0),"",$L$615-1),IF($R$17="Distrato",$E676,0)),MIN(AG$38,$D$19),$P$20))-SUM($P676:AF676)</f>
        <v>0</v>
      </c>
      <c r="AH676" s="446">
        <f>IF(OR($B676="",MIN(AH$38,$D$19)&lt;MAX($P$612*($B676+IF($R$17="Distrato",$I$38-1,0)),IF(AND($L$615=0,$P$612=0),"",$L$615-1),IF($R$17="Distrato",$E676,0))),0,YEARFRAC(MAX($P$612*($B676+IF($R$17="Distrato",$I$38-1,0)),IF(AND($L$615=0,$P$612=0),"",$L$615-1),IF($R$17="Distrato",$E676,0)),MIN(AH$38,$D$19),$P$20))-SUM($P676:AG676)</f>
        <v>0</v>
      </c>
      <c r="AI676" s="446">
        <f>IF(OR($B676="",MIN(AI$38,$D$19)&lt;MAX($P$612*($B676+IF($R$17="Distrato",$I$38-1,0)),IF(AND($L$615=0,$P$612=0),"",$L$615-1),IF($R$17="Distrato",$E676,0))),0,YEARFRAC(MAX($P$612*($B676+IF($R$17="Distrato",$I$38-1,0)),IF(AND($L$615=0,$P$612=0),"",$L$615-1),IF($R$17="Distrato",$E676,0)),MIN(AI$38,$D$19),$P$20))-SUM($P676:AH676)</f>
        <v>0</v>
      </c>
      <c r="AJ676" s="446">
        <f>IF(OR($B676="",MIN(AJ$38,$D$19)&lt;MAX($P$612*($B676+IF($R$17="Distrato",$I$38-1,0)),IF(AND($L$615=0,$P$612=0),"",$L$615-1),IF($R$17="Distrato",$E676,0))),0,YEARFRAC(MAX($P$612*($B676+IF($R$17="Distrato",$I$38-1,0)),IF(AND($L$615=0,$P$612=0),"",$L$615-1),IF($R$17="Distrato",$E676,0)),MIN(AJ$38,$D$19),$P$20))-SUM($P676:AI676)</f>
        <v>0</v>
      </c>
      <c r="AK676" s="446">
        <f>IF(OR($B676="",MIN(AK$38,$D$19)&lt;MAX($P$612*($B676+IF($R$17="Distrato",$I$38-1,0)),IF(AND($L$615=0,$P$612=0),"",$L$615-1),IF($R$17="Distrato",$E676,0))),0,YEARFRAC(MAX($P$612*($B676+IF($R$17="Distrato",$I$38-1,0)),IF(AND($L$615=0,$P$612=0),"",$L$615-1),IF($R$17="Distrato",$E676,0)),MIN(AK$38,$D$19),$P$20))-SUM($P676:AJ676)</f>
        <v>0</v>
      </c>
      <c r="AL676" s="446">
        <f>IF(OR($B676="",MIN(AL$38,$D$19)&lt;MAX($P$612*($B676+IF($R$17="Distrato",$I$38-1,0)),IF(AND($L$615=0,$P$612=0),"",$L$615-1),IF($R$17="Distrato",$E676,0))),0,YEARFRAC(MAX($P$612*($B676+IF($R$17="Distrato",$I$38-1,0)),IF(AND($L$615=0,$P$612=0),"",$L$615-1),IF($R$17="Distrato",$E676,0)),MIN(AL$38,$D$19),$P$20))-SUM($P676:AK676)</f>
        <v>0</v>
      </c>
      <c r="AM676" s="446">
        <f>IF(OR($B676="",MIN(AM$38,$D$19)&lt;MAX($P$612*($B676+IF($R$17="Distrato",$I$38-1,0)),IF(AND($L$615=0,$P$612=0),"",$L$615-1),IF($R$17="Distrato",$E676,0))),0,YEARFRAC(MAX($P$612*($B676+IF($R$17="Distrato",$I$38-1,0)),IF(AND($L$615=0,$P$612=0),"",$L$615-1),IF($R$17="Distrato",$E676,0)),MIN(AM$38,$D$19),$P$20))-SUM($P676:AL676)</f>
        <v>0</v>
      </c>
      <c r="AN676" s="446">
        <f>IF(OR($B676="",MIN(AN$38,$D$19)&lt;MAX($P$612*($B676+IF($R$17="Distrato",$I$38-1,0)),IF(AND($L$615=0,$P$612=0),"",$L$615-1),IF($R$17="Distrato",$E676,0))),0,YEARFRAC(MAX($P$612*($B676+IF($R$17="Distrato",$I$38-1,0)),IF(AND($L$615=0,$P$612=0),"",$L$615-1),IF($R$17="Distrato",$E676,0)),MIN(AN$38,$D$19),$P$20))-SUM($P676:AM676)</f>
        <v>0</v>
      </c>
      <c r="AO676" s="446">
        <f>IF(OR($B676="",MIN(AO$38,$D$19)&lt;MAX($P$612*($B676+IF($R$17="Distrato",$I$38-1,0)),IF(AND($L$615=0,$P$612=0),"",$L$615-1),IF($R$17="Distrato",$E676,0))),0,YEARFRAC(MAX($P$612*($B676+IF($R$17="Distrato",$I$38-1,0)),IF(AND($L$615=0,$P$612=0),"",$L$615-1),IF($R$17="Distrato",$E676,0)),MIN(AO$38,$D$19),$P$20))-SUM($P676:AN676)</f>
        <v>0</v>
      </c>
      <c r="AP676" s="446">
        <f>IF(OR($B676="",MIN(AP$38,$D$19)&lt;MAX($P$612*($B676+IF($R$17="Distrato",$I$38-1,0)),IF(AND($L$615=0,$P$612=0),"",$L$615-1),IF($R$17="Distrato",$E676,0))),0,YEARFRAC(MAX($P$612*($B676+IF($R$17="Distrato",$I$38-1,0)),IF(AND($L$615=0,$P$612=0),"",$L$615-1),IF($R$17="Distrato",$E676,0)),MIN(AP$38,$D$19),$P$20))-SUM($P676:AO676)</f>
        <v>0</v>
      </c>
      <c r="AQ676" s="446">
        <f>IF(OR($B676="",MIN(AQ$38,$D$19)&lt;MAX($P$612*($B676+IF($R$17="Distrato",$I$38-1,0)),IF(AND($L$615=0,$P$612=0),"",$L$615-1),IF($R$17="Distrato",$E676,0))),0,YEARFRAC(MAX($P$612*($B676+IF($R$17="Distrato",$I$38-1,0)),IF(AND($L$615=0,$P$612=0),"",$L$615-1),IF($R$17="Distrato",$E676,0)),MIN(AQ$38,$D$19),$P$20))-SUM($P676:AP676)</f>
        <v>0</v>
      </c>
      <c r="AR676" s="446">
        <f>IF(OR($B676="",MIN(AR$38,$D$19)&lt;MAX($P$612*($B676+IF($R$17="Distrato",$I$38-1,0)),IF(AND($L$615=0,$P$612=0),"",$L$615-1),IF($R$17="Distrato",$E676,0))),0,YEARFRAC(MAX($P$612*($B676+IF($R$17="Distrato",$I$38-1,0)),IF(AND($L$615=0,$P$612=0),"",$L$615-1),IF($R$17="Distrato",$E676,0)),MIN(AR$38,$D$19),$P$20))-SUM($P676:AQ676)</f>
        <v>0</v>
      </c>
      <c r="AS676" s="446">
        <f>IF(OR($B676="",MIN(AS$38,$D$19)&lt;MAX($P$612*($B676+IF($R$17="Distrato",$I$38-1,0)),IF(AND($L$615=0,$P$612=0),"",$L$615-1),IF($R$17="Distrato",$E676,0))),0,YEARFRAC(MAX($P$612*($B676+IF($R$17="Distrato",$I$38-1,0)),IF(AND($L$615=0,$P$612=0),"",$L$615-1),IF($R$17="Distrato",$E676,0)),MIN(AS$38,$D$19),$P$20))-SUM($P676:AR676)</f>
        <v>0</v>
      </c>
      <c r="AT676" s="446">
        <f>IF(OR($B676="",MIN(AT$38,$D$19)&lt;MAX($P$612*($B676+IF($R$17="Distrato",$I$38-1,0)),IF(AND($L$615=0,$P$612=0),"",$L$615-1),IF($R$17="Distrato",$E676,0))),0,YEARFRAC(MAX($P$612*($B676+IF($R$17="Distrato",$I$38-1,0)),IF(AND($L$615=0,$P$612=0),"",$L$615-1),IF($R$17="Distrato",$E676,0)),MIN(AT$38,$D$19),$P$20))-SUM($P676:AS676)</f>
        <v>0</v>
      </c>
      <c r="AU676" s="446">
        <f>IF(OR($B676="",MIN(AU$38,$D$19)&lt;MAX($P$612*($B676+IF($R$17="Distrato",$I$38-1,0)),IF(AND($L$615=0,$P$612=0),"",$L$615-1),IF($R$17="Distrato",$E676,0))),0,YEARFRAC(MAX($P$612*($B676+IF($R$17="Distrato",$I$38-1,0)),IF(AND($L$615=0,$P$612=0),"",$L$615-1),IF($R$17="Distrato",$E676,0)),MIN(AU$38,$D$19),$P$20))-SUM($P676:AT676)</f>
        <v>0</v>
      </c>
      <c r="AV676" s="446">
        <f>IF(OR($B676="",MIN(AV$38,$D$19)&lt;MAX($P$612*($B676+IF($R$17="Distrato",$I$38-1,0)),IF(AND($L$615=0,$P$612=0),"",$L$615-1),IF($R$17="Distrato",$E676,0))),0,YEARFRAC(MAX($P$612*($B676+IF($R$17="Distrato",$I$38-1,0)),IF(AND($L$615=0,$P$612=0),"",$L$615-1),IF($R$17="Distrato",$E676,0)),MIN(AV$38,$D$19),$P$20))-SUM($P676:AU676)</f>
        <v>0</v>
      </c>
      <c r="AW676" s="446">
        <f>IF(OR($B676="",MIN(AW$38,$D$19)&lt;MAX($P$612*($B676+IF($R$17="Distrato",$I$38-1,0)),IF(AND($L$615=0,$P$612=0),"",$L$615-1),IF($R$17="Distrato",$E676,0))),0,YEARFRAC(MAX($P$612*($B676+IF($R$17="Distrato",$I$38-1,0)),IF(AND($L$615=0,$P$612=0),"",$L$615-1),IF($R$17="Distrato",$E676,0)),MIN(AW$38,$D$19),$P$20))-SUM($P676:AV676)</f>
        <v>0</v>
      </c>
      <c r="AX676" s="446">
        <f>IF(OR($B676="",MIN(AX$38,$D$19)&lt;MAX($P$612*($B676+IF($R$17="Distrato",$I$38-1,0)),IF(AND($L$615=0,$P$612=0),"",$L$615-1),IF($R$17="Distrato",$E676,0))),0,YEARFRAC(MAX($P$612*($B676+IF($R$17="Distrato",$I$38-1,0)),IF(AND($L$615=0,$P$612=0),"",$L$615-1),IF($R$17="Distrato",$E676,0)),MIN(AX$38,$D$19),$P$20))-SUM($P676:AW676)</f>
        <v>0</v>
      </c>
      <c r="AY676" s="446">
        <f>IF(OR($B676="",MIN(AY$38,$D$19)&lt;MAX($P$612*($B676+IF($R$17="Distrato",$I$38-1,0)),IF(AND($L$615=0,$P$612=0),"",$L$615-1),IF($R$17="Distrato",$E676,0))),0,YEARFRAC(MAX($P$612*($B676+IF($R$17="Distrato",$I$38-1,0)),IF(AND($L$615=0,$P$612=0),"",$L$615-1),IF($R$17="Distrato",$E676,0)),MIN(AY$38,$D$19),$P$20))-SUM($P676:AX676)</f>
        <v>0</v>
      </c>
      <c r="AZ676" s="446">
        <f>IF(OR($B676="",MIN(AZ$38,$D$19)&lt;MAX($P$612*($B676+IF($R$17="Distrato",$I$38-1,0)),IF(AND($L$615=0,$P$612=0),"",$L$615-1),IF($R$17="Distrato",$E676,0))),0,YEARFRAC(MAX($P$612*($B676+IF($R$17="Distrato",$I$38-1,0)),IF(AND($L$615=0,$P$612=0),"",$L$615-1),IF($R$17="Distrato",$E676,0)),MIN(AZ$38,$D$19),$P$20))-SUM($P676:AY676)</f>
        <v>0</v>
      </c>
      <c r="BA676" s="446">
        <f>IF(OR($B676="",MIN(BA$38,$D$19)&lt;MAX($P$612*($B676+IF($R$17="Distrato",$I$38-1,0)),IF(AND($L$615=0,$P$612=0),"",$L$615-1),IF($R$17="Distrato",$E676,0))),0,YEARFRAC(MAX($P$612*($B676+IF($R$17="Distrato",$I$38-1,0)),IF(AND($L$615=0,$P$612=0),"",$L$615-1),IF($R$17="Distrato",$E676,0)),MIN(BA$38,$D$19),$P$20))-SUM($P676:AZ676)</f>
        <v>0</v>
      </c>
      <c r="BB676" s="447"/>
    </row>
    <row r="677" spans="1:54" s="446" customFormat="1" ht="11.25" hidden="1" x14ac:dyDescent="0.2">
      <c r="A677" s="177"/>
      <c r="B677" s="178"/>
      <c r="C677" s="29" t="str">
        <f>IF(B677="","",IF($L$613="SELIC - TRIBUTOS",VLOOKUP(DATE(YEAR($D$19),MONTH($D$19)-1,1),ÍNDICES!$A:$DE,HLOOKUP($BL$25,ÍNDICES!$B$3:$T$4,2)+11)-VLOOKUP(B677,ÍNDICES!$A:$DE,HLOOKUP($BL$25,ÍNDICES!$B$3:$T$4,2)+11)+1%,IF(C$616=$W$26,$J$613,IF(ISERROR(IF(B677&gt;$D$19,1,VLOOKUP(DATE(YEAR(B677),MONTH(B677)+IF($C$613=$S$23,1,0),1),ÍNDICES!$A:$DE,$Z$613+1))),"",IF(B677&gt;$D$19,1,VLOOKUP(DATE(YEAR(B677),MONTH(B677)+IF($C$613=$S$23,1,0),1),ÍNDICES!$A:$DE,$Z$613+1))))))</f>
        <v/>
      </c>
      <c r="D677" s="155"/>
      <c r="E677" s="179"/>
      <c r="F677" s="29"/>
      <c r="G677" s="180"/>
      <c r="H677" s="181"/>
      <c r="I677" s="182" t="str">
        <f t="shared" si="107"/>
        <v/>
      </c>
      <c r="J677" s="5" t="str">
        <f t="shared" si="108"/>
        <v/>
      </c>
      <c r="K677" s="5">
        <f t="shared" ca="1" si="109"/>
        <v>0</v>
      </c>
      <c r="L677" s="5">
        <f t="shared" ca="1" si="112"/>
        <v>0</v>
      </c>
      <c r="M677" s="64">
        <f t="shared" si="110"/>
        <v>0</v>
      </c>
      <c r="N677" s="61">
        <f t="shared" ca="1" si="113"/>
        <v>0</v>
      </c>
      <c r="O677" s="20">
        <f t="shared" ca="1" si="106"/>
        <v>0</v>
      </c>
      <c r="P677" s="446">
        <f t="shared" si="114"/>
        <v>0</v>
      </c>
      <c r="Q677" s="446">
        <f>IF(OR($B677="",MIN(Q$38,$D$19)&lt;MAX($P$612*($B677+IF($R$17="Distrato",$I$38-1,0)),IF(AND($L$615=0,$P$612=0),"",$L$615-1),IF($R$17="Distrato",$E677,0))),0,YEARFRAC(MAX($P$612*($B677+IF($R$17="Distrato",$I$38-1,0)),IF(AND($L$615=0,$P$612=0),"",$L$615-1),IF($R$17="Distrato",$E677,0)),MIN(Q$38,$D$19),$P$20))-SUM($P677:P677)</f>
        <v>0</v>
      </c>
      <c r="R677" s="446">
        <f>IF(OR($B677="",MIN(R$38,$D$19)&lt;MAX($P$612*($B677+IF($R$17="Distrato",$I$38-1,0)),IF(AND($L$615=0,$P$612=0),"",$L$615-1),IF($R$17="Distrato",$E677,0))),0,YEARFRAC(MAX($P$612*($B677+IF($R$17="Distrato",$I$38-1,0)),IF(AND($L$615=0,$P$612=0),"",$L$615-1),IF($R$17="Distrato",$E677,0)),MIN(R$38,$D$19),$P$20))-SUM($P677:Q677)</f>
        <v>0</v>
      </c>
      <c r="S677" s="446">
        <f>IF(OR($B677="",MIN(S$38,$D$19)&lt;MAX($P$612*($B677+IF($R$17="Distrato",$I$38-1,0)),IF(AND($L$615=0,$P$612=0),"",$L$615-1),IF($R$17="Distrato",$E677,0))),0,YEARFRAC(MAX($P$612*($B677+IF($R$17="Distrato",$I$38-1,0)),IF(AND($L$615=0,$P$612=0),"",$L$615-1),IF($R$17="Distrato",$E677,0)),MIN(S$38,$D$19),$P$20))-SUM($P677:R677)</f>
        <v>0</v>
      </c>
      <c r="T677" s="446">
        <f>IF(OR($B677="",MIN(T$38,$D$19)&lt;MAX($P$612*($B677+IF($R$17="Distrato",$I$38-1,0)),IF(AND($L$615=0,$P$612=0),"",$L$615-1),IF($R$17="Distrato",$E677,0))),0,YEARFRAC(MAX($P$612*($B677+IF($R$17="Distrato",$I$38-1,0)),IF(AND($L$615=0,$P$612=0),"",$L$615-1),IF($R$17="Distrato",$E677,0)),MIN(T$38,$D$19),$P$20))-SUM($P677:S677)</f>
        <v>0</v>
      </c>
      <c r="U677" s="446">
        <f>IF(OR($B677="",MIN(U$38,$D$19)&lt;MAX($P$612*($B677+IF($R$17="Distrato",$I$38-1,0)),IF(AND($L$615=0,$P$612=0),"",$L$615-1),IF($R$17="Distrato",$E677,0))),0,YEARFRAC(MAX($P$612*($B677+IF($R$17="Distrato",$I$38-1,0)),IF(AND($L$615=0,$P$612=0),"",$L$615-1),IF($R$17="Distrato",$E677,0)),MIN(U$38,$D$19),$P$20))-SUM($P677:T677)</f>
        <v>0</v>
      </c>
      <c r="V677" s="446">
        <f>IF(OR($B677="",MIN(V$38,$D$19)&lt;MAX($P$612*($B677+IF($R$17="Distrato",$I$38-1,0)),IF(AND($L$615=0,$P$612=0),"",$L$615-1),IF($R$17="Distrato",$E677,0))),0,YEARFRAC(MAX($P$612*($B677+IF($R$17="Distrato",$I$38-1,0)),IF(AND($L$615=0,$P$612=0),"",$L$615-1),IF($R$17="Distrato",$E677,0)),MIN(V$38,$D$19),$P$20))-SUM($P677:U677)</f>
        <v>0</v>
      </c>
      <c r="W677" s="446">
        <f>IF(OR($B677="",MIN(W$38,$D$19)&lt;MAX($P$612*($B677+IF($R$17="Distrato",$I$38-1,0)),IF(AND($L$615=0,$P$612=0),"",$L$615-1),IF($R$17="Distrato",$E677,0))),0,YEARFRAC(MAX($P$612*($B677+IF($R$17="Distrato",$I$38-1,0)),IF(AND($L$615=0,$P$612=0),"",$L$615-1),IF($R$17="Distrato",$E677,0)),MIN(W$38,$D$19),$P$20))-SUM($P677:V677)</f>
        <v>0</v>
      </c>
      <c r="X677" s="446">
        <f>IF(OR($B677="",MIN(X$38,$D$19)&lt;MAX($P$612*($B677+IF($R$17="Distrato",$I$38-1,0)),IF(AND($L$615=0,$P$612=0),"",$L$615-1),IF($R$17="Distrato",$E677,0))),0,YEARFRAC(MAX($P$612*($B677+IF($R$17="Distrato",$I$38-1,0)),IF(AND($L$615=0,$P$612=0),"",$L$615-1),IF($R$17="Distrato",$E677,0)),MIN(X$38,$D$19),$P$20))-SUM($P677:W677)</f>
        <v>0</v>
      </c>
      <c r="Y677" s="446">
        <f>IF(OR($B677="",MIN(Y$38,$D$19)&lt;MAX($P$612*($B677+IF($R$17="Distrato",$I$38-1,0)),IF(AND($L$615=0,$P$612=0),"",$L$615-1),IF($R$17="Distrato",$E677,0))),0,YEARFRAC(MAX($P$612*($B677+IF($R$17="Distrato",$I$38-1,0)),IF(AND($L$615=0,$P$612=0),"",$L$615-1),IF($R$17="Distrato",$E677,0)),MIN(Y$38,$D$19),$P$20))-SUM($P677:X677)</f>
        <v>0</v>
      </c>
      <c r="Z677" s="446">
        <f>IF(OR($B677="",MIN(Z$38,$D$19)&lt;MAX($P$612*($B677+IF($R$17="Distrato",$I$38-1,0)),IF(AND($L$615=0,$P$612=0),"",$L$615-1),IF($R$17="Distrato",$E677,0))),0,YEARFRAC(MAX($P$612*($B677+IF($R$17="Distrato",$I$38-1,0)),IF(AND($L$615=0,$P$612=0),"",$L$615-1),IF($R$17="Distrato",$E677,0)),MIN(Z$38,$D$19),$P$20))-SUM($P677:Y677)</f>
        <v>0</v>
      </c>
      <c r="AA677" s="446">
        <f>IF(OR($B677="",MIN(AA$38,$D$19)&lt;MAX($P$612*($B677+IF($R$17="Distrato",$I$38-1,0)),IF(AND($L$615=0,$P$612=0),"",$L$615-1),IF($R$17="Distrato",$E677,0))),0,YEARFRAC(MAX($P$612*($B677+IF($R$17="Distrato",$I$38-1,0)),IF(AND($L$615=0,$P$612=0),"",$L$615-1),IF($R$17="Distrato",$E677,0)),MIN(AA$38,$D$19),$P$20))-SUM($P677:Z677)</f>
        <v>0</v>
      </c>
      <c r="AB677" s="446">
        <f>IF(OR($B677="",MIN(AB$38,$D$19)&lt;MAX($P$612*($B677+IF($R$17="Distrato",$I$38-1,0)),IF(AND($L$615=0,$P$612=0),"",$L$615-1),IF($R$17="Distrato",$E677,0))),0,YEARFRAC(MAX($P$612*($B677+IF($R$17="Distrato",$I$38-1,0)),IF(AND($L$615=0,$P$612=0),"",$L$615-1),IF($R$17="Distrato",$E677,0)),MIN(AB$38,$D$19),$P$20))-SUM($P677:AA677)</f>
        <v>0</v>
      </c>
      <c r="AC677" s="446">
        <f>IF(OR($B677="",MIN(AC$38,$D$19)&lt;MAX($P$612*($B677+IF($R$17="Distrato",$I$38-1,0)),IF(AND($L$615=0,$P$612=0),"",$L$615-1),IF($R$17="Distrato",$E677,0))),0,YEARFRAC(MAX($P$612*($B677+IF($R$17="Distrato",$I$38-1,0)),IF(AND($L$615=0,$P$612=0),"",$L$615-1),IF($R$17="Distrato",$E677,0)),MIN(AC$38,$D$19),$P$20))-SUM($P677:AB677)</f>
        <v>0</v>
      </c>
      <c r="AD677" s="446">
        <f>IF(OR($B677="",MIN(AD$38,$D$19)&lt;MAX($P$612*($B677+IF($R$17="Distrato",$I$38-1,0)),IF(AND($L$615=0,$P$612=0),"",$L$615-1),IF($R$17="Distrato",$E677,0))),0,YEARFRAC(MAX($P$612*($B677+IF($R$17="Distrato",$I$38-1,0)),IF(AND($L$615=0,$P$612=0),"",$L$615-1),IF($R$17="Distrato",$E677,0)),MIN(AD$38,$D$19),$P$20))-SUM($P677:AC677)</f>
        <v>0</v>
      </c>
      <c r="AE677" s="446">
        <f>IF(OR($B677="",MIN(AE$38,$D$19)&lt;MAX($P$612*($B677+IF($R$17="Distrato",$I$38-1,0)),IF(AND($L$615=0,$P$612=0),"",$L$615-1),IF($R$17="Distrato",$E677,0))),0,YEARFRAC(MAX($P$612*($B677+IF($R$17="Distrato",$I$38-1,0)),IF(AND($L$615=0,$P$612=0),"",$L$615-1),IF($R$17="Distrato",$E677,0)),MIN(AE$38,$D$19),$P$20))-SUM($P677:AD677)</f>
        <v>0</v>
      </c>
      <c r="AF677" s="446">
        <f>IF(OR($B677="",MIN(AF$38,$D$19)&lt;MAX($P$612*($B677+IF($R$17="Distrato",$I$38-1,0)),IF(AND($L$615=0,$P$612=0),"",$L$615-1),IF($R$17="Distrato",$E677,0))),0,YEARFRAC(MAX($P$612*($B677+IF($R$17="Distrato",$I$38-1,0)),IF(AND($L$615=0,$P$612=0),"",$L$615-1),IF($R$17="Distrato",$E677,0)),MIN(AF$38,$D$19),$P$20))-SUM($P677:AE677)</f>
        <v>0</v>
      </c>
      <c r="AG677" s="446">
        <f>IF(OR($B677="",MIN(AG$38,$D$19)&lt;MAX($P$612*($B677+IF($R$17="Distrato",$I$38-1,0)),IF(AND($L$615=0,$P$612=0),"",$L$615-1),IF($R$17="Distrato",$E677,0))),0,YEARFRAC(MAX($P$612*($B677+IF($R$17="Distrato",$I$38-1,0)),IF(AND($L$615=0,$P$612=0),"",$L$615-1),IF($R$17="Distrato",$E677,0)),MIN(AG$38,$D$19),$P$20))-SUM($P677:AF677)</f>
        <v>0</v>
      </c>
      <c r="AH677" s="446">
        <f>IF(OR($B677="",MIN(AH$38,$D$19)&lt;MAX($P$612*($B677+IF($R$17="Distrato",$I$38-1,0)),IF(AND($L$615=0,$P$612=0),"",$L$615-1),IF($R$17="Distrato",$E677,0))),0,YEARFRAC(MAX($P$612*($B677+IF($R$17="Distrato",$I$38-1,0)),IF(AND($L$615=0,$P$612=0),"",$L$615-1),IF($R$17="Distrato",$E677,0)),MIN(AH$38,$D$19),$P$20))-SUM($P677:AG677)</f>
        <v>0</v>
      </c>
      <c r="AI677" s="446">
        <f>IF(OR($B677="",MIN(AI$38,$D$19)&lt;MAX($P$612*($B677+IF($R$17="Distrato",$I$38-1,0)),IF(AND($L$615=0,$P$612=0),"",$L$615-1),IF($R$17="Distrato",$E677,0))),0,YEARFRAC(MAX($P$612*($B677+IF($R$17="Distrato",$I$38-1,0)),IF(AND($L$615=0,$P$612=0),"",$L$615-1),IF($R$17="Distrato",$E677,0)),MIN(AI$38,$D$19),$P$20))-SUM($P677:AH677)</f>
        <v>0</v>
      </c>
      <c r="AJ677" s="446">
        <f>IF(OR($B677="",MIN(AJ$38,$D$19)&lt;MAX($P$612*($B677+IF($R$17="Distrato",$I$38-1,0)),IF(AND($L$615=0,$P$612=0),"",$L$615-1),IF($R$17="Distrato",$E677,0))),0,YEARFRAC(MAX($P$612*($B677+IF($R$17="Distrato",$I$38-1,0)),IF(AND($L$615=0,$P$612=0),"",$L$615-1),IF($R$17="Distrato",$E677,0)),MIN(AJ$38,$D$19),$P$20))-SUM($P677:AI677)</f>
        <v>0</v>
      </c>
      <c r="AK677" s="446">
        <f>IF(OR($B677="",MIN(AK$38,$D$19)&lt;MAX($P$612*($B677+IF($R$17="Distrato",$I$38-1,0)),IF(AND($L$615=0,$P$612=0),"",$L$615-1),IF($R$17="Distrato",$E677,0))),0,YEARFRAC(MAX($P$612*($B677+IF($R$17="Distrato",$I$38-1,0)),IF(AND($L$615=0,$P$612=0),"",$L$615-1),IF($R$17="Distrato",$E677,0)),MIN(AK$38,$D$19),$P$20))-SUM($P677:AJ677)</f>
        <v>0</v>
      </c>
      <c r="AL677" s="446">
        <f>IF(OR($B677="",MIN(AL$38,$D$19)&lt;MAX($P$612*($B677+IF($R$17="Distrato",$I$38-1,0)),IF(AND($L$615=0,$P$612=0),"",$L$615-1),IF($R$17="Distrato",$E677,0))),0,YEARFRAC(MAX($P$612*($B677+IF($R$17="Distrato",$I$38-1,0)),IF(AND($L$615=0,$P$612=0),"",$L$615-1),IF($R$17="Distrato",$E677,0)),MIN(AL$38,$D$19),$P$20))-SUM($P677:AK677)</f>
        <v>0</v>
      </c>
      <c r="AM677" s="446">
        <f>IF(OR($B677="",MIN(AM$38,$D$19)&lt;MAX($P$612*($B677+IF($R$17="Distrato",$I$38-1,0)),IF(AND($L$615=0,$P$612=0),"",$L$615-1),IF($R$17="Distrato",$E677,0))),0,YEARFRAC(MAX($P$612*($B677+IF($R$17="Distrato",$I$38-1,0)),IF(AND($L$615=0,$P$612=0),"",$L$615-1),IF($R$17="Distrato",$E677,0)),MIN(AM$38,$D$19),$P$20))-SUM($P677:AL677)</f>
        <v>0</v>
      </c>
      <c r="AN677" s="446">
        <f>IF(OR($B677="",MIN(AN$38,$D$19)&lt;MAX($P$612*($B677+IF($R$17="Distrato",$I$38-1,0)),IF(AND($L$615=0,$P$612=0),"",$L$615-1),IF($R$17="Distrato",$E677,0))),0,YEARFRAC(MAX($P$612*($B677+IF($R$17="Distrato",$I$38-1,0)),IF(AND($L$615=0,$P$612=0),"",$L$615-1),IF($R$17="Distrato",$E677,0)),MIN(AN$38,$D$19),$P$20))-SUM($P677:AM677)</f>
        <v>0</v>
      </c>
      <c r="AO677" s="446">
        <f>IF(OR($B677="",MIN(AO$38,$D$19)&lt;MAX($P$612*($B677+IF($R$17="Distrato",$I$38-1,0)),IF(AND($L$615=0,$P$612=0),"",$L$615-1),IF($R$17="Distrato",$E677,0))),0,YEARFRAC(MAX($P$612*($B677+IF($R$17="Distrato",$I$38-1,0)),IF(AND($L$615=0,$P$612=0),"",$L$615-1),IF($R$17="Distrato",$E677,0)),MIN(AO$38,$D$19),$P$20))-SUM($P677:AN677)</f>
        <v>0</v>
      </c>
      <c r="AP677" s="446">
        <f>IF(OR($B677="",MIN(AP$38,$D$19)&lt;MAX($P$612*($B677+IF($R$17="Distrato",$I$38-1,0)),IF(AND($L$615=0,$P$612=0),"",$L$615-1),IF($R$17="Distrato",$E677,0))),0,YEARFRAC(MAX($P$612*($B677+IF($R$17="Distrato",$I$38-1,0)),IF(AND($L$615=0,$P$612=0),"",$L$615-1),IF($R$17="Distrato",$E677,0)),MIN(AP$38,$D$19),$P$20))-SUM($P677:AO677)</f>
        <v>0</v>
      </c>
      <c r="AQ677" s="446">
        <f>IF(OR($B677="",MIN(AQ$38,$D$19)&lt;MAX($P$612*($B677+IF($R$17="Distrato",$I$38-1,0)),IF(AND($L$615=0,$P$612=0),"",$L$615-1),IF($R$17="Distrato",$E677,0))),0,YEARFRAC(MAX($P$612*($B677+IF($R$17="Distrato",$I$38-1,0)),IF(AND($L$615=0,$P$612=0),"",$L$615-1),IF($R$17="Distrato",$E677,0)),MIN(AQ$38,$D$19),$P$20))-SUM($P677:AP677)</f>
        <v>0</v>
      </c>
      <c r="AR677" s="446">
        <f>IF(OR($B677="",MIN(AR$38,$D$19)&lt;MAX($P$612*($B677+IF($R$17="Distrato",$I$38-1,0)),IF(AND($L$615=0,$P$612=0),"",$L$615-1),IF($R$17="Distrato",$E677,0))),0,YEARFRAC(MAX($P$612*($B677+IF($R$17="Distrato",$I$38-1,0)),IF(AND($L$615=0,$P$612=0),"",$L$615-1),IF($R$17="Distrato",$E677,0)),MIN(AR$38,$D$19),$P$20))-SUM($P677:AQ677)</f>
        <v>0</v>
      </c>
      <c r="AS677" s="446">
        <f>IF(OR($B677="",MIN(AS$38,$D$19)&lt;MAX($P$612*($B677+IF($R$17="Distrato",$I$38-1,0)),IF(AND($L$615=0,$P$612=0),"",$L$615-1),IF($R$17="Distrato",$E677,0))),0,YEARFRAC(MAX($P$612*($B677+IF($R$17="Distrato",$I$38-1,0)),IF(AND($L$615=0,$P$612=0),"",$L$615-1),IF($R$17="Distrato",$E677,0)),MIN(AS$38,$D$19),$P$20))-SUM($P677:AR677)</f>
        <v>0</v>
      </c>
      <c r="AT677" s="446">
        <f>IF(OR($B677="",MIN(AT$38,$D$19)&lt;MAX($P$612*($B677+IF($R$17="Distrato",$I$38-1,0)),IF(AND($L$615=0,$P$612=0),"",$L$615-1),IF($R$17="Distrato",$E677,0))),0,YEARFRAC(MAX($P$612*($B677+IF($R$17="Distrato",$I$38-1,0)),IF(AND($L$615=0,$P$612=0),"",$L$615-1),IF($R$17="Distrato",$E677,0)),MIN(AT$38,$D$19),$P$20))-SUM($P677:AS677)</f>
        <v>0</v>
      </c>
      <c r="AU677" s="446">
        <f>IF(OR($B677="",MIN(AU$38,$D$19)&lt;MAX($P$612*($B677+IF($R$17="Distrato",$I$38-1,0)),IF(AND($L$615=0,$P$612=0),"",$L$615-1),IF($R$17="Distrato",$E677,0))),0,YEARFRAC(MAX($P$612*($B677+IF($R$17="Distrato",$I$38-1,0)),IF(AND($L$615=0,$P$612=0),"",$L$615-1),IF($R$17="Distrato",$E677,0)),MIN(AU$38,$D$19),$P$20))-SUM($P677:AT677)</f>
        <v>0</v>
      </c>
      <c r="AV677" s="446">
        <f>IF(OR($B677="",MIN(AV$38,$D$19)&lt;MAX($P$612*($B677+IF($R$17="Distrato",$I$38-1,0)),IF(AND($L$615=0,$P$612=0),"",$L$615-1),IF($R$17="Distrato",$E677,0))),0,YEARFRAC(MAX($P$612*($B677+IF($R$17="Distrato",$I$38-1,0)),IF(AND($L$615=0,$P$612=0),"",$L$615-1),IF($R$17="Distrato",$E677,0)),MIN(AV$38,$D$19),$P$20))-SUM($P677:AU677)</f>
        <v>0</v>
      </c>
      <c r="AW677" s="446">
        <f>IF(OR($B677="",MIN(AW$38,$D$19)&lt;MAX($P$612*($B677+IF($R$17="Distrato",$I$38-1,0)),IF(AND($L$615=0,$P$612=0),"",$L$615-1),IF($R$17="Distrato",$E677,0))),0,YEARFRAC(MAX($P$612*($B677+IF($R$17="Distrato",$I$38-1,0)),IF(AND($L$615=0,$P$612=0),"",$L$615-1),IF($R$17="Distrato",$E677,0)),MIN(AW$38,$D$19),$P$20))-SUM($P677:AV677)</f>
        <v>0</v>
      </c>
      <c r="AX677" s="446">
        <f>IF(OR($B677="",MIN(AX$38,$D$19)&lt;MAX($P$612*($B677+IF($R$17="Distrato",$I$38-1,0)),IF(AND($L$615=0,$P$612=0),"",$L$615-1),IF($R$17="Distrato",$E677,0))),0,YEARFRAC(MAX($P$612*($B677+IF($R$17="Distrato",$I$38-1,0)),IF(AND($L$615=0,$P$612=0),"",$L$615-1),IF($R$17="Distrato",$E677,0)),MIN(AX$38,$D$19),$P$20))-SUM($P677:AW677)</f>
        <v>0</v>
      </c>
      <c r="AY677" s="446">
        <f>IF(OR($B677="",MIN(AY$38,$D$19)&lt;MAX($P$612*($B677+IF($R$17="Distrato",$I$38-1,0)),IF(AND($L$615=0,$P$612=0),"",$L$615-1),IF($R$17="Distrato",$E677,0))),0,YEARFRAC(MAX($P$612*($B677+IF($R$17="Distrato",$I$38-1,0)),IF(AND($L$615=0,$P$612=0),"",$L$615-1),IF($R$17="Distrato",$E677,0)),MIN(AY$38,$D$19),$P$20))-SUM($P677:AX677)</f>
        <v>0</v>
      </c>
      <c r="AZ677" s="446">
        <f>IF(OR($B677="",MIN(AZ$38,$D$19)&lt;MAX($P$612*($B677+IF($R$17="Distrato",$I$38-1,0)),IF(AND($L$615=0,$P$612=0),"",$L$615-1),IF($R$17="Distrato",$E677,0))),0,YEARFRAC(MAX($P$612*($B677+IF($R$17="Distrato",$I$38-1,0)),IF(AND($L$615=0,$P$612=0),"",$L$615-1),IF($R$17="Distrato",$E677,0)),MIN(AZ$38,$D$19),$P$20))-SUM($P677:AY677)</f>
        <v>0</v>
      </c>
      <c r="BA677" s="446">
        <f>IF(OR($B677="",MIN(BA$38,$D$19)&lt;MAX($P$612*($B677+IF($R$17="Distrato",$I$38-1,0)),IF(AND($L$615=0,$P$612=0),"",$L$615-1),IF($R$17="Distrato",$E677,0))),0,YEARFRAC(MAX($P$612*($B677+IF($R$17="Distrato",$I$38-1,0)),IF(AND($L$615=0,$P$612=0),"",$L$615-1),IF($R$17="Distrato",$E677,0)),MIN(BA$38,$D$19),$P$20))-SUM($P677:AZ677)</f>
        <v>0</v>
      </c>
      <c r="BB677" s="447"/>
    </row>
    <row r="678" spans="1:54" s="446" customFormat="1" ht="11.25" hidden="1" x14ac:dyDescent="0.2">
      <c r="A678" s="177"/>
      <c r="B678" s="178"/>
      <c r="C678" s="29" t="str">
        <f>IF(B678="","",IF($L$613="SELIC - TRIBUTOS",VLOOKUP(DATE(YEAR($D$19),MONTH($D$19)-1,1),ÍNDICES!$A:$DE,HLOOKUP($BL$25,ÍNDICES!$B$3:$T$4,2)+11)-VLOOKUP(B678,ÍNDICES!$A:$DE,HLOOKUP($BL$25,ÍNDICES!$B$3:$T$4,2)+11)+1%,IF(C$616=$W$26,$J$613,IF(ISERROR(IF(B678&gt;$D$19,1,VLOOKUP(DATE(YEAR(B678),MONTH(B678)+IF($C$613=$S$23,1,0),1),ÍNDICES!$A:$DE,$Z$613+1))),"",IF(B678&gt;$D$19,1,VLOOKUP(DATE(YEAR(B678),MONTH(B678)+IF($C$613=$S$23,1,0),1),ÍNDICES!$A:$DE,$Z$613+1))))))</f>
        <v/>
      </c>
      <c r="D678" s="155"/>
      <c r="E678" s="179"/>
      <c r="F678" s="29"/>
      <c r="G678" s="180"/>
      <c r="H678" s="181"/>
      <c r="I678" s="182" t="str">
        <f t="shared" si="107"/>
        <v/>
      </c>
      <c r="J678" s="5" t="str">
        <f t="shared" si="108"/>
        <v/>
      </c>
      <c r="K678" s="5">
        <f t="shared" ca="1" si="109"/>
        <v>0</v>
      </c>
      <c r="L678" s="5">
        <f t="shared" ca="1" si="112"/>
        <v>0</v>
      </c>
      <c r="M678" s="64">
        <f t="shared" si="110"/>
        <v>0</v>
      </c>
      <c r="N678" s="61">
        <f t="shared" ca="1" si="113"/>
        <v>0</v>
      </c>
      <c r="O678" s="20">
        <f t="shared" ca="1" si="106"/>
        <v>0</v>
      </c>
      <c r="P678" s="446">
        <f t="shared" si="114"/>
        <v>0</v>
      </c>
      <c r="Q678" s="446">
        <f>IF(OR($B678="",MIN(Q$38,$D$19)&lt;MAX($P$612*($B678+IF($R$17="Distrato",$I$38-1,0)),IF(AND($L$615=0,$P$612=0),"",$L$615-1),IF($R$17="Distrato",$E678,0))),0,YEARFRAC(MAX($P$612*($B678+IF($R$17="Distrato",$I$38-1,0)),IF(AND($L$615=0,$P$612=0),"",$L$615-1),IF($R$17="Distrato",$E678,0)),MIN(Q$38,$D$19),$P$20))-SUM($P678:P678)</f>
        <v>0</v>
      </c>
      <c r="R678" s="446">
        <f>IF(OR($B678="",MIN(R$38,$D$19)&lt;MAX($P$612*($B678+IF($R$17="Distrato",$I$38-1,0)),IF(AND($L$615=0,$P$612=0),"",$L$615-1),IF($R$17="Distrato",$E678,0))),0,YEARFRAC(MAX($P$612*($B678+IF($R$17="Distrato",$I$38-1,0)),IF(AND($L$615=0,$P$612=0),"",$L$615-1),IF($R$17="Distrato",$E678,0)),MIN(R$38,$D$19),$P$20))-SUM($P678:Q678)</f>
        <v>0</v>
      </c>
      <c r="S678" s="446">
        <f>IF(OR($B678="",MIN(S$38,$D$19)&lt;MAX($P$612*($B678+IF($R$17="Distrato",$I$38-1,0)),IF(AND($L$615=0,$P$612=0),"",$L$615-1),IF($R$17="Distrato",$E678,0))),0,YEARFRAC(MAX($P$612*($B678+IF($R$17="Distrato",$I$38-1,0)),IF(AND($L$615=0,$P$612=0),"",$L$615-1),IF($R$17="Distrato",$E678,0)),MIN(S$38,$D$19),$P$20))-SUM($P678:R678)</f>
        <v>0</v>
      </c>
      <c r="T678" s="446">
        <f>IF(OR($B678="",MIN(T$38,$D$19)&lt;MAX($P$612*($B678+IF($R$17="Distrato",$I$38-1,0)),IF(AND($L$615=0,$P$612=0),"",$L$615-1),IF($R$17="Distrato",$E678,0))),0,YEARFRAC(MAX($P$612*($B678+IF($R$17="Distrato",$I$38-1,0)),IF(AND($L$615=0,$P$612=0),"",$L$615-1),IF($R$17="Distrato",$E678,0)),MIN(T$38,$D$19),$P$20))-SUM($P678:S678)</f>
        <v>0</v>
      </c>
      <c r="U678" s="446">
        <f>IF(OR($B678="",MIN(U$38,$D$19)&lt;MAX($P$612*($B678+IF($R$17="Distrato",$I$38-1,0)),IF(AND($L$615=0,$P$612=0),"",$L$615-1),IF($R$17="Distrato",$E678,0))),0,YEARFRAC(MAX($P$612*($B678+IF($R$17="Distrato",$I$38-1,0)),IF(AND($L$615=0,$P$612=0),"",$L$615-1),IF($R$17="Distrato",$E678,0)),MIN(U$38,$D$19),$P$20))-SUM($P678:T678)</f>
        <v>0</v>
      </c>
      <c r="V678" s="446">
        <f>IF(OR($B678="",MIN(V$38,$D$19)&lt;MAX($P$612*($B678+IF($R$17="Distrato",$I$38-1,0)),IF(AND($L$615=0,$P$612=0),"",$L$615-1),IF($R$17="Distrato",$E678,0))),0,YEARFRAC(MAX($P$612*($B678+IF($R$17="Distrato",$I$38-1,0)),IF(AND($L$615=0,$P$612=0),"",$L$615-1),IF($R$17="Distrato",$E678,0)),MIN(V$38,$D$19),$P$20))-SUM($P678:U678)</f>
        <v>0</v>
      </c>
      <c r="W678" s="446">
        <f>IF(OR($B678="",MIN(W$38,$D$19)&lt;MAX($P$612*($B678+IF($R$17="Distrato",$I$38-1,0)),IF(AND($L$615=0,$P$612=0),"",$L$615-1),IF($R$17="Distrato",$E678,0))),0,YEARFRAC(MAX($P$612*($B678+IF($R$17="Distrato",$I$38-1,0)),IF(AND($L$615=0,$P$612=0),"",$L$615-1),IF($R$17="Distrato",$E678,0)),MIN(W$38,$D$19),$P$20))-SUM($P678:V678)</f>
        <v>0</v>
      </c>
      <c r="X678" s="446">
        <f>IF(OR($B678="",MIN(X$38,$D$19)&lt;MAX($P$612*($B678+IF($R$17="Distrato",$I$38-1,0)),IF(AND($L$615=0,$P$612=0),"",$L$615-1),IF($R$17="Distrato",$E678,0))),0,YEARFRAC(MAX($P$612*($B678+IF($R$17="Distrato",$I$38-1,0)),IF(AND($L$615=0,$P$612=0),"",$L$615-1),IF($R$17="Distrato",$E678,0)),MIN(X$38,$D$19),$P$20))-SUM($P678:W678)</f>
        <v>0</v>
      </c>
      <c r="Y678" s="446">
        <f>IF(OR($B678="",MIN(Y$38,$D$19)&lt;MAX($P$612*($B678+IF($R$17="Distrato",$I$38-1,0)),IF(AND($L$615=0,$P$612=0),"",$L$615-1),IF($R$17="Distrato",$E678,0))),0,YEARFRAC(MAX($P$612*($B678+IF($R$17="Distrato",$I$38-1,0)),IF(AND($L$615=0,$P$612=0),"",$L$615-1),IF($R$17="Distrato",$E678,0)),MIN(Y$38,$D$19),$P$20))-SUM($P678:X678)</f>
        <v>0</v>
      </c>
      <c r="Z678" s="446">
        <f>IF(OR($B678="",MIN(Z$38,$D$19)&lt;MAX($P$612*($B678+IF($R$17="Distrato",$I$38-1,0)),IF(AND($L$615=0,$P$612=0),"",$L$615-1),IF($R$17="Distrato",$E678,0))),0,YEARFRAC(MAX($P$612*($B678+IF($R$17="Distrato",$I$38-1,0)),IF(AND($L$615=0,$P$612=0),"",$L$615-1),IF($R$17="Distrato",$E678,0)),MIN(Z$38,$D$19),$P$20))-SUM($P678:Y678)</f>
        <v>0</v>
      </c>
      <c r="AA678" s="446">
        <f>IF(OR($B678="",MIN(AA$38,$D$19)&lt;MAX($P$612*($B678+IF($R$17="Distrato",$I$38-1,0)),IF(AND($L$615=0,$P$612=0),"",$L$615-1),IF($R$17="Distrato",$E678,0))),0,YEARFRAC(MAX($P$612*($B678+IF($R$17="Distrato",$I$38-1,0)),IF(AND($L$615=0,$P$612=0),"",$L$615-1),IF($R$17="Distrato",$E678,0)),MIN(AA$38,$D$19),$P$20))-SUM($P678:Z678)</f>
        <v>0</v>
      </c>
      <c r="AB678" s="446">
        <f>IF(OR($B678="",MIN(AB$38,$D$19)&lt;MAX($P$612*($B678+IF($R$17="Distrato",$I$38-1,0)),IF(AND($L$615=0,$P$612=0),"",$L$615-1),IF($R$17="Distrato",$E678,0))),0,YEARFRAC(MAX($P$612*($B678+IF($R$17="Distrato",$I$38-1,0)),IF(AND($L$615=0,$P$612=0),"",$L$615-1),IF($R$17="Distrato",$E678,0)),MIN(AB$38,$D$19),$P$20))-SUM($P678:AA678)</f>
        <v>0</v>
      </c>
      <c r="AC678" s="446">
        <f>IF(OR($B678="",MIN(AC$38,$D$19)&lt;MAX($P$612*($B678+IF($R$17="Distrato",$I$38-1,0)),IF(AND($L$615=0,$P$612=0),"",$L$615-1),IF($R$17="Distrato",$E678,0))),0,YEARFRAC(MAX($P$612*($B678+IF($R$17="Distrato",$I$38-1,0)),IF(AND($L$615=0,$P$612=0),"",$L$615-1),IF($R$17="Distrato",$E678,0)),MIN(AC$38,$D$19),$P$20))-SUM($P678:AB678)</f>
        <v>0</v>
      </c>
      <c r="AD678" s="446">
        <f>IF(OR($B678="",MIN(AD$38,$D$19)&lt;MAX($P$612*($B678+IF($R$17="Distrato",$I$38-1,0)),IF(AND($L$615=0,$P$612=0),"",$L$615-1),IF($R$17="Distrato",$E678,0))),0,YEARFRAC(MAX($P$612*($B678+IF($R$17="Distrato",$I$38-1,0)),IF(AND($L$615=0,$P$612=0),"",$L$615-1),IF($R$17="Distrato",$E678,0)),MIN(AD$38,$D$19),$P$20))-SUM($P678:AC678)</f>
        <v>0</v>
      </c>
      <c r="AE678" s="446">
        <f>IF(OR($B678="",MIN(AE$38,$D$19)&lt;MAX($P$612*($B678+IF($R$17="Distrato",$I$38-1,0)),IF(AND($L$615=0,$P$612=0),"",$L$615-1),IF($R$17="Distrato",$E678,0))),0,YEARFRAC(MAX($P$612*($B678+IF($R$17="Distrato",$I$38-1,0)),IF(AND($L$615=0,$P$612=0),"",$L$615-1),IF($R$17="Distrato",$E678,0)),MIN(AE$38,$D$19),$P$20))-SUM($P678:AD678)</f>
        <v>0</v>
      </c>
      <c r="AF678" s="446">
        <f>IF(OR($B678="",MIN(AF$38,$D$19)&lt;MAX($P$612*($B678+IF($R$17="Distrato",$I$38-1,0)),IF(AND($L$615=0,$P$612=0),"",$L$615-1),IF($R$17="Distrato",$E678,0))),0,YEARFRAC(MAX($P$612*($B678+IF($R$17="Distrato",$I$38-1,0)),IF(AND($L$615=0,$P$612=0),"",$L$615-1),IF($R$17="Distrato",$E678,0)),MIN(AF$38,$D$19),$P$20))-SUM($P678:AE678)</f>
        <v>0</v>
      </c>
      <c r="AG678" s="446">
        <f>IF(OR($B678="",MIN(AG$38,$D$19)&lt;MAX($P$612*($B678+IF($R$17="Distrato",$I$38-1,0)),IF(AND($L$615=0,$P$612=0),"",$L$615-1),IF($R$17="Distrato",$E678,0))),0,YEARFRAC(MAX($P$612*($B678+IF($R$17="Distrato",$I$38-1,0)),IF(AND($L$615=0,$P$612=0),"",$L$615-1),IF($R$17="Distrato",$E678,0)),MIN(AG$38,$D$19),$P$20))-SUM($P678:AF678)</f>
        <v>0</v>
      </c>
      <c r="AH678" s="446">
        <f>IF(OR($B678="",MIN(AH$38,$D$19)&lt;MAX($P$612*($B678+IF($R$17="Distrato",$I$38-1,0)),IF(AND($L$615=0,$P$612=0),"",$L$615-1),IF($R$17="Distrato",$E678,0))),0,YEARFRAC(MAX($P$612*($B678+IF($R$17="Distrato",$I$38-1,0)),IF(AND($L$615=0,$P$612=0),"",$L$615-1),IF($R$17="Distrato",$E678,0)),MIN(AH$38,$D$19),$P$20))-SUM($P678:AG678)</f>
        <v>0</v>
      </c>
      <c r="AI678" s="446">
        <f>IF(OR($B678="",MIN(AI$38,$D$19)&lt;MAX($P$612*($B678+IF($R$17="Distrato",$I$38-1,0)),IF(AND($L$615=0,$P$612=0),"",$L$615-1),IF($R$17="Distrato",$E678,0))),0,YEARFRAC(MAX($P$612*($B678+IF($R$17="Distrato",$I$38-1,0)),IF(AND($L$615=0,$P$612=0),"",$L$615-1),IF($R$17="Distrato",$E678,0)),MIN(AI$38,$D$19),$P$20))-SUM($P678:AH678)</f>
        <v>0</v>
      </c>
      <c r="AJ678" s="446">
        <f>IF(OR($B678="",MIN(AJ$38,$D$19)&lt;MAX($P$612*($B678+IF($R$17="Distrato",$I$38-1,0)),IF(AND($L$615=0,$P$612=0),"",$L$615-1),IF($R$17="Distrato",$E678,0))),0,YEARFRAC(MAX($P$612*($B678+IF($R$17="Distrato",$I$38-1,0)),IF(AND($L$615=0,$P$612=0),"",$L$615-1),IF($R$17="Distrato",$E678,0)),MIN(AJ$38,$D$19),$P$20))-SUM($P678:AI678)</f>
        <v>0</v>
      </c>
      <c r="AK678" s="446">
        <f>IF(OR($B678="",MIN(AK$38,$D$19)&lt;MAX($P$612*($B678+IF($R$17="Distrato",$I$38-1,0)),IF(AND($L$615=0,$P$612=0),"",$L$615-1),IF($R$17="Distrato",$E678,0))),0,YEARFRAC(MAX($P$612*($B678+IF($R$17="Distrato",$I$38-1,0)),IF(AND($L$615=0,$P$612=0),"",$L$615-1),IF($R$17="Distrato",$E678,0)),MIN(AK$38,$D$19),$P$20))-SUM($P678:AJ678)</f>
        <v>0</v>
      </c>
      <c r="AL678" s="446">
        <f>IF(OR($B678="",MIN(AL$38,$D$19)&lt;MAX($P$612*($B678+IF($R$17="Distrato",$I$38-1,0)),IF(AND($L$615=0,$P$612=0),"",$L$615-1),IF($R$17="Distrato",$E678,0))),0,YEARFRAC(MAX($P$612*($B678+IF($R$17="Distrato",$I$38-1,0)),IF(AND($L$615=0,$P$612=0),"",$L$615-1),IF($R$17="Distrato",$E678,0)),MIN(AL$38,$D$19),$P$20))-SUM($P678:AK678)</f>
        <v>0</v>
      </c>
      <c r="AM678" s="446">
        <f>IF(OR($B678="",MIN(AM$38,$D$19)&lt;MAX($P$612*($B678+IF($R$17="Distrato",$I$38-1,0)),IF(AND($L$615=0,$P$612=0),"",$L$615-1),IF($R$17="Distrato",$E678,0))),0,YEARFRAC(MAX($P$612*($B678+IF($R$17="Distrato",$I$38-1,0)),IF(AND($L$615=0,$P$612=0),"",$L$615-1),IF($R$17="Distrato",$E678,0)),MIN(AM$38,$D$19),$P$20))-SUM($P678:AL678)</f>
        <v>0</v>
      </c>
      <c r="AN678" s="446">
        <f>IF(OR($B678="",MIN(AN$38,$D$19)&lt;MAX($P$612*($B678+IF($R$17="Distrato",$I$38-1,0)),IF(AND($L$615=0,$P$612=0),"",$L$615-1),IF($R$17="Distrato",$E678,0))),0,YEARFRAC(MAX($P$612*($B678+IF($R$17="Distrato",$I$38-1,0)),IF(AND($L$615=0,$P$612=0),"",$L$615-1),IF($R$17="Distrato",$E678,0)),MIN(AN$38,$D$19),$P$20))-SUM($P678:AM678)</f>
        <v>0</v>
      </c>
      <c r="AO678" s="446">
        <f>IF(OR($B678="",MIN(AO$38,$D$19)&lt;MAX($P$612*($B678+IF($R$17="Distrato",$I$38-1,0)),IF(AND($L$615=0,$P$612=0),"",$L$615-1),IF($R$17="Distrato",$E678,0))),0,YEARFRAC(MAX($P$612*($B678+IF($R$17="Distrato",$I$38-1,0)),IF(AND($L$615=0,$P$612=0),"",$L$615-1),IF($R$17="Distrato",$E678,0)),MIN(AO$38,$D$19),$P$20))-SUM($P678:AN678)</f>
        <v>0</v>
      </c>
      <c r="AP678" s="446">
        <f>IF(OR($B678="",MIN(AP$38,$D$19)&lt;MAX($P$612*($B678+IF($R$17="Distrato",$I$38-1,0)),IF(AND($L$615=0,$P$612=0),"",$L$615-1),IF($R$17="Distrato",$E678,0))),0,YEARFRAC(MAX($P$612*($B678+IF($R$17="Distrato",$I$38-1,0)),IF(AND($L$615=0,$P$612=0),"",$L$615-1),IF($R$17="Distrato",$E678,0)),MIN(AP$38,$D$19),$P$20))-SUM($P678:AO678)</f>
        <v>0</v>
      </c>
      <c r="AQ678" s="446">
        <f>IF(OR($B678="",MIN(AQ$38,$D$19)&lt;MAX($P$612*($B678+IF($R$17="Distrato",$I$38-1,0)),IF(AND($L$615=0,$P$612=0),"",$L$615-1),IF($R$17="Distrato",$E678,0))),0,YEARFRAC(MAX($P$612*($B678+IF($R$17="Distrato",$I$38-1,0)),IF(AND($L$615=0,$P$612=0),"",$L$615-1),IF($R$17="Distrato",$E678,0)),MIN(AQ$38,$D$19),$P$20))-SUM($P678:AP678)</f>
        <v>0</v>
      </c>
      <c r="AR678" s="446">
        <f>IF(OR($B678="",MIN(AR$38,$D$19)&lt;MAX($P$612*($B678+IF($R$17="Distrato",$I$38-1,0)),IF(AND($L$615=0,$P$612=0),"",$L$615-1),IF($R$17="Distrato",$E678,0))),0,YEARFRAC(MAX($P$612*($B678+IF($R$17="Distrato",$I$38-1,0)),IF(AND($L$615=0,$P$612=0),"",$L$615-1),IF($R$17="Distrato",$E678,0)),MIN(AR$38,$D$19),$P$20))-SUM($P678:AQ678)</f>
        <v>0</v>
      </c>
      <c r="AS678" s="446">
        <f>IF(OR($B678="",MIN(AS$38,$D$19)&lt;MAX($P$612*($B678+IF($R$17="Distrato",$I$38-1,0)),IF(AND($L$615=0,$P$612=0),"",$L$615-1),IF($R$17="Distrato",$E678,0))),0,YEARFRAC(MAX($P$612*($B678+IF($R$17="Distrato",$I$38-1,0)),IF(AND($L$615=0,$P$612=0),"",$L$615-1),IF($R$17="Distrato",$E678,0)),MIN(AS$38,$D$19),$P$20))-SUM($P678:AR678)</f>
        <v>0</v>
      </c>
      <c r="AT678" s="446">
        <f>IF(OR($B678="",MIN(AT$38,$D$19)&lt;MAX($P$612*($B678+IF($R$17="Distrato",$I$38-1,0)),IF(AND($L$615=0,$P$612=0),"",$L$615-1),IF($R$17="Distrato",$E678,0))),0,YEARFRAC(MAX($P$612*($B678+IF($R$17="Distrato",$I$38-1,0)),IF(AND($L$615=0,$P$612=0),"",$L$615-1),IF($R$17="Distrato",$E678,0)),MIN(AT$38,$D$19),$P$20))-SUM($P678:AS678)</f>
        <v>0</v>
      </c>
      <c r="AU678" s="446">
        <f>IF(OR($B678="",MIN(AU$38,$D$19)&lt;MAX($P$612*($B678+IF($R$17="Distrato",$I$38-1,0)),IF(AND($L$615=0,$P$612=0),"",$L$615-1),IF($R$17="Distrato",$E678,0))),0,YEARFRAC(MAX($P$612*($B678+IF($R$17="Distrato",$I$38-1,0)),IF(AND($L$615=0,$P$612=0),"",$L$615-1),IF($R$17="Distrato",$E678,0)),MIN(AU$38,$D$19),$P$20))-SUM($P678:AT678)</f>
        <v>0</v>
      </c>
      <c r="AV678" s="446">
        <f>IF(OR($B678="",MIN(AV$38,$D$19)&lt;MAX($P$612*($B678+IF($R$17="Distrato",$I$38-1,0)),IF(AND($L$615=0,$P$612=0),"",$L$615-1),IF($R$17="Distrato",$E678,0))),0,YEARFRAC(MAX($P$612*($B678+IF($R$17="Distrato",$I$38-1,0)),IF(AND($L$615=0,$P$612=0),"",$L$615-1),IF($R$17="Distrato",$E678,0)),MIN(AV$38,$D$19),$P$20))-SUM($P678:AU678)</f>
        <v>0</v>
      </c>
      <c r="AW678" s="446">
        <f>IF(OR($B678="",MIN(AW$38,$D$19)&lt;MAX($P$612*($B678+IF($R$17="Distrato",$I$38-1,0)),IF(AND($L$615=0,$P$612=0),"",$L$615-1),IF($R$17="Distrato",$E678,0))),0,YEARFRAC(MAX($P$612*($B678+IF($R$17="Distrato",$I$38-1,0)),IF(AND($L$615=0,$P$612=0),"",$L$615-1),IF($R$17="Distrato",$E678,0)),MIN(AW$38,$D$19),$P$20))-SUM($P678:AV678)</f>
        <v>0</v>
      </c>
      <c r="AX678" s="446">
        <f>IF(OR($B678="",MIN(AX$38,$D$19)&lt;MAX($P$612*($B678+IF($R$17="Distrato",$I$38-1,0)),IF(AND($L$615=0,$P$612=0),"",$L$615-1),IF($R$17="Distrato",$E678,0))),0,YEARFRAC(MAX($P$612*($B678+IF($R$17="Distrato",$I$38-1,0)),IF(AND($L$615=0,$P$612=0),"",$L$615-1),IF($R$17="Distrato",$E678,0)),MIN(AX$38,$D$19),$P$20))-SUM($P678:AW678)</f>
        <v>0</v>
      </c>
      <c r="AY678" s="446">
        <f>IF(OR($B678="",MIN(AY$38,$D$19)&lt;MAX($P$612*($B678+IF($R$17="Distrato",$I$38-1,0)),IF(AND($L$615=0,$P$612=0),"",$L$615-1),IF($R$17="Distrato",$E678,0))),0,YEARFRAC(MAX($P$612*($B678+IF($R$17="Distrato",$I$38-1,0)),IF(AND($L$615=0,$P$612=0),"",$L$615-1),IF($R$17="Distrato",$E678,0)),MIN(AY$38,$D$19),$P$20))-SUM($P678:AX678)</f>
        <v>0</v>
      </c>
      <c r="AZ678" s="446">
        <f>IF(OR($B678="",MIN(AZ$38,$D$19)&lt;MAX($P$612*($B678+IF($R$17="Distrato",$I$38-1,0)),IF(AND($L$615=0,$P$612=0),"",$L$615-1),IF($R$17="Distrato",$E678,0))),0,YEARFRAC(MAX($P$612*($B678+IF($R$17="Distrato",$I$38-1,0)),IF(AND($L$615=0,$P$612=0),"",$L$615-1),IF($R$17="Distrato",$E678,0)),MIN(AZ$38,$D$19),$P$20))-SUM($P678:AY678)</f>
        <v>0</v>
      </c>
      <c r="BA678" s="446">
        <f>IF(OR($B678="",MIN(BA$38,$D$19)&lt;MAX($P$612*($B678+IF($R$17="Distrato",$I$38-1,0)),IF(AND($L$615=0,$P$612=0),"",$L$615-1),IF($R$17="Distrato",$E678,0))),0,YEARFRAC(MAX($P$612*($B678+IF($R$17="Distrato",$I$38-1,0)),IF(AND($L$615=0,$P$612=0),"",$L$615-1),IF($R$17="Distrato",$E678,0)),MIN(BA$38,$D$19),$P$20))-SUM($P678:AZ678)</f>
        <v>0</v>
      </c>
      <c r="BB678" s="447"/>
    </row>
    <row r="679" spans="1:54" s="446" customFormat="1" ht="11.25" hidden="1" x14ac:dyDescent="0.2">
      <c r="A679" s="177"/>
      <c r="B679" s="178"/>
      <c r="C679" s="29" t="str">
        <f>IF(B679="","",IF($L$613="SELIC - TRIBUTOS",VLOOKUP(DATE(YEAR($D$19),MONTH($D$19)-1,1),ÍNDICES!$A:$DE,HLOOKUP($BL$25,ÍNDICES!$B$3:$T$4,2)+11)-VLOOKUP(B679,ÍNDICES!$A:$DE,HLOOKUP($BL$25,ÍNDICES!$B$3:$T$4,2)+11)+1%,IF(C$616=$W$26,$J$613,IF(ISERROR(IF(B679&gt;$D$19,1,VLOOKUP(DATE(YEAR(B679),MONTH(B679)+IF($C$613=$S$23,1,0),1),ÍNDICES!$A:$DE,$Z$613+1))),"",IF(B679&gt;$D$19,1,VLOOKUP(DATE(YEAR(B679),MONTH(B679)+IF($C$613=$S$23,1,0),1),ÍNDICES!$A:$DE,$Z$613+1))))))</f>
        <v/>
      </c>
      <c r="D679" s="155"/>
      <c r="E679" s="179"/>
      <c r="F679" s="29"/>
      <c r="G679" s="180"/>
      <c r="H679" s="181"/>
      <c r="I679" s="182" t="str">
        <f t="shared" si="107"/>
        <v/>
      </c>
      <c r="J679" s="5" t="str">
        <f t="shared" si="108"/>
        <v/>
      </c>
      <c r="K679" s="5">
        <f t="shared" ca="1" si="109"/>
        <v>0</v>
      </c>
      <c r="L679" s="5">
        <f t="shared" ca="1" si="112"/>
        <v>0</v>
      </c>
      <c r="M679" s="64">
        <f t="shared" si="110"/>
        <v>0</v>
      </c>
      <c r="N679" s="61">
        <f t="shared" ca="1" si="113"/>
        <v>0</v>
      </c>
      <c r="O679" s="20">
        <f t="shared" ca="1" si="106"/>
        <v>0</v>
      </c>
      <c r="P679" s="446">
        <f t="shared" si="114"/>
        <v>0</v>
      </c>
      <c r="Q679" s="446">
        <f>IF(OR($B679="",MIN(Q$38,$D$19)&lt;MAX($P$612*($B679+IF($R$17="Distrato",$I$38-1,0)),IF(AND($L$615=0,$P$612=0),"",$L$615-1),IF($R$17="Distrato",$E679,0))),0,YEARFRAC(MAX($P$612*($B679+IF($R$17="Distrato",$I$38-1,0)),IF(AND($L$615=0,$P$612=0),"",$L$615-1),IF($R$17="Distrato",$E679,0)),MIN(Q$38,$D$19),$P$20))-SUM($P679:P679)</f>
        <v>0</v>
      </c>
      <c r="R679" s="446">
        <f>IF(OR($B679="",MIN(R$38,$D$19)&lt;MAX($P$612*($B679+IF($R$17="Distrato",$I$38-1,0)),IF(AND($L$615=0,$P$612=0),"",$L$615-1),IF($R$17="Distrato",$E679,0))),0,YEARFRAC(MAX($P$612*($B679+IF($R$17="Distrato",$I$38-1,0)),IF(AND($L$615=0,$P$612=0),"",$L$615-1),IF($R$17="Distrato",$E679,0)),MIN(R$38,$D$19),$P$20))-SUM($P679:Q679)</f>
        <v>0</v>
      </c>
      <c r="S679" s="446">
        <f>IF(OR($B679="",MIN(S$38,$D$19)&lt;MAX($P$612*($B679+IF($R$17="Distrato",$I$38-1,0)),IF(AND($L$615=0,$P$612=0),"",$L$615-1),IF($R$17="Distrato",$E679,0))),0,YEARFRAC(MAX($P$612*($B679+IF($R$17="Distrato",$I$38-1,0)),IF(AND($L$615=0,$P$612=0),"",$L$615-1),IF($R$17="Distrato",$E679,0)),MIN(S$38,$D$19),$P$20))-SUM($P679:R679)</f>
        <v>0</v>
      </c>
      <c r="T679" s="446">
        <f>IF(OR($B679="",MIN(T$38,$D$19)&lt;MAX($P$612*($B679+IF($R$17="Distrato",$I$38-1,0)),IF(AND($L$615=0,$P$612=0),"",$L$615-1),IF($R$17="Distrato",$E679,0))),0,YEARFRAC(MAX($P$612*($B679+IF($R$17="Distrato",$I$38-1,0)),IF(AND($L$615=0,$P$612=0),"",$L$615-1),IF($R$17="Distrato",$E679,0)),MIN(T$38,$D$19),$P$20))-SUM($P679:S679)</f>
        <v>0</v>
      </c>
      <c r="U679" s="446">
        <f>IF(OR($B679="",MIN(U$38,$D$19)&lt;MAX($P$612*($B679+IF($R$17="Distrato",$I$38-1,0)),IF(AND($L$615=0,$P$612=0),"",$L$615-1),IF($R$17="Distrato",$E679,0))),0,YEARFRAC(MAX($P$612*($B679+IF($R$17="Distrato",$I$38-1,0)),IF(AND($L$615=0,$P$612=0),"",$L$615-1),IF($R$17="Distrato",$E679,0)),MIN(U$38,$D$19),$P$20))-SUM($P679:T679)</f>
        <v>0</v>
      </c>
      <c r="V679" s="446">
        <f>IF(OR($B679="",MIN(V$38,$D$19)&lt;MAX($P$612*($B679+IF($R$17="Distrato",$I$38-1,0)),IF(AND($L$615=0,$P$612=0),"",$L$615-1),IF($R$17="Distrato",$E679,0))),0,YEARFRAC(MAX($P$612*($B679+IF($R$17="Distrato",$I$38-1,0)),IF(AND($L$615=0,$P$612=0),"",$L$615-1),IF($R$17="Distrato",$E679,0)),MIN(V$38,$D$19),$P$20))-SUM($P679:U679)</f>
        <v>0</v>
      </c>
      <c r="W679" s="446">
        <f>IF(OR($B679="",MIN(W$38,$D$19)&lt;MAX($P$612*($B679+IF($R$17="Distrato",$I$38-1,0)),IF(AND($L$615=0,$P$612=0),"",$L$615-1),IF($R$17="Distrato",$E679,0))),0,YEARFRAC(MAX($P$612*($B679+IF($R$17="Distrato",$I$38-1,0)),IF(AND($L$615=0,$P$612=0),"",$L$615-1),IF($R$17="Distrato",$E679,0)),MIN(W$38,$D$19),$P$20))-SUM($P679:V679)</f>
        <v>0</v>
      </c>
      <c r="X679" s="446">
        <f>IF(OR($B679="",MIN(X$38,$D$19)&lt;MAX($P$612*($B679+IF($R$17="Distrato",$I$38-1,0)),IF(AND($L$615=0,$P$612=0),"",$L$615-1),IF($R$17="Distrato",$E679,0))),0,YEARFRAC(MAX($P$612*($B679+IF($R$17="Distrato",$I$38-1,0)),IF(AND($L$615=0,$P$612=0),"",$L$615-1),IF($R$17="Distrato",$E679,0)),MIN(X$38,$D$19),$P$20))-SUM($P679:W679)</f>
        <v>0</v>
      </c>
      <c r="Y679" s="446">
        <f>IF(OR($B679="",MIN(Y$38,$D$19)&lt;MAX($P$612*($B679+IF($R$17="Distrato",$I$38-1,0)),IF(AND($L$615=0,$P$612=0),"",$L$615-1),IF($R$17="Distrato",$E679,0))),0,YEARFRAC(MAX($P$612*($B679+IF($R$17="Distrato",$I$38-1,0)),IF(AND($L$615=0,$P$612=0),"",$L$615-1),IF($R$17="Distrato",$E679,0)),MIN(Y$38,$D$19),$P$20))-SUM($P679:X679)</f>
        <v>0</v>
      </c>
      <c r="Z679" s="446">
        <f>IF(OR($B679="",MIN(Z$38,$D$19)&lt;MAX($P$612*($B679+IF($R$17="Distrato",$I$38-1,0)),IF(AND($L$615=0,$P$612=0),"",$L$615-1),IF($R$17="Distrato",$E679,0))),0,YEARFRAC(MAX($P$612*($B679+IF($R$17="Distrato",$I$38-1,0)),IF(AND($L$615=0,$P$612=0),"",$L$615-1),IF($R$17="Distrato",$E679,0)),MIN(Z$38,$D$19),$P$20))-SUM($P679:Y679)</f>
        <v>0</v>
      </c>
      <c r="AA679" s="446">
        <f>IF(OR($B679="",MIN(AA$38,$D$19)&lt;MAX($P$612*($B679+IF($R$17="Distrato",$I$38-1,0)),IF(AND($L$615=0,$P$612=0),"",$L$615-1),IF($R$17="Distrato",$E679,0))),0,YEARFRAC(MAX($P$612*($B679+IF($R$17="Distrato",$I$38-1,0)),IF(AND($L$615=0,$P$612=0),"",$L$615-1),IF($R$17="Distrato",$E679,0)),MIN(AA$38,$D$19),$P$20))-SUM($P679:Z679)</f>
        <v>0</v>
      </c>
      <c r="AB679" s="446">
        <f>IF(OR($B679="",MIN(AB$38,$D$19)&lt;MAX($P$612*($B679+IF($R$17="Distrato",$I$38-1,0)),IF(AND($L$615=0,$P$612=0),"",$L$615-1),IF($R$17="Distrato",$E679,0))),0,YEARFRAC(MAX($P$612*($B679+IF($R$17="Distrato",$I$38-1,0)),IF(AND($L$615=0,$P$612=0),"",$L$615-1),IF($R$17="Distrato",$E679,0)),MIN(AB$38,$D$19),$P$20))-SUM($P679:AA679)</f>
        <v>0</v>
      </c>
      <c r="AC679" s="446">
        <f>IF(OR($B679="",MIN(AC$38,$D$19)&lt;MAX($P$612*($B679+IF($R$17="Distrato",$I$38-1,0)),IF(AND($L$615=0,$P$612=0),"",$L$615-1),IF($R$17="Distrato",$E679,0))),0,YEARFRAC(MAX($P$612*($B679+IF($R$17="Distrato",$I$38-1,0)),IF(AND($L$615=0,$P$612=0),"",$L$615-1),IF($R$17="Distrato",$E679,0)),MIN(AC$38,$D$19),$P$20))-SUM($P679:AB679)</f>
        <v>0</v>
      </c>
      <c r="AD679" s="446">
        <f>IF(OR($B679="",MIN(AD$38,$D$19)&lt;MAX($P$612*($B679+IF($R$17="Distrato",$I$38-1,0)),IF(AND($L$615=0,$P$612=0),"",$L$615-1),IF($R$17="Distrato",$E679,0))),0,YEARFRAC(MAX($P$612*($B679+IF($R$17="Distrato",$I$38-1,0)),IF(AND($L$615=0,$P$612=0),"",$L$615-1),IF($R$17="Distrato",$E679,0)),MIN(AD$38,$D$19),$P$20))-SUM($P679:AC679)</f>
        <v>0</v>
      </c>
      <c r="AE679" s="446">
        <f>IF(OR($B679="",MIN(AE$38,$D$19)&lt;MAX($P$612*($B679+IF($R$17="Distrato",$I$38-1,0)),IF(AND($L$615=0,$P$612=0),"",$L$615-1),IF($R$17="Distrato",$E679,0))),0,YEARFRAC(MAX($P$612*($B679+IF($R$17="Distrato",$I$38-1,0)),IF(AND($L$615=0,$P$612=0),"",$L$615-1),IF($R$17="Distrato",$E679,0)),MIN(AE$38,$D$19),$P$20))-SUM($P679:AD679)</f>
        <v>0</v>
      </c>
      <c r="AF679" s="446">
        <f>IF(OR($B679="",MIN(AF$38,$D$19)&lt;MAX($P$612*($B679+IF($R$17="Distrato",$I$38-1,0)),IF(AND($L$615=0,$P$612=0),"",$L$615-1),IF($R$17="Distrato",$E679,0))),0,YEARFRAC(MAX($P$612*($B679+IF($R$17="Distrato",$I$38-1,0)),IF(AND($L$615=0,$P$612=0),"",$L$615-1),IF($R$17="Distrato",$E679,0)),MIN(AF$38,$D$19),$P$20))-SUM($P679:AE679)</f>
        <v>0</v>
      </c>
      <c r="AG679" s="446">
        <f>IF(OR($B679="",MIN(AG$38,$D$19)&lt;MAX($P$612*($B679+IF($R$17="Distrato",$I$38-1,0)),IF(AND($L$615=0,$P$612=0),"",$L$615-1),IF($R$17="Distrato",$E679,0))),0,YEARFRAC(MAX($P$612*($B679+IF($R$17="Distrato",$I$38-1,0)),IF(AND($L$615=0,$P$612=0),"",$L$615-1),IF($R$17="Distrato",$E679,0)),MIN(AG$38,$D$19),$P$20))-SUM($P679:AF679)</f>
        <v>0</v>
      </c>
      <c r="AH679" s="446">
        <f>IF(OR($B679="",MIN(AH$38,$D$19)&lt;MAX($P$612*($B679+IF($R$17="Distrato",$I$38-1,0)),IF(AND($L$615=0,$P$612=0),"",$L$615-1),IF($R$17="Distrato",$E679,0))),0,YEARFRAC(MAX($P$612*($B679+IF($R$17="Distrato",$I$38-1,0)),IF(AND($L$615=0,$P$612=0),"",$L$615-1),IF($R$17="Distrato",$E679,0)),MIN(AH$38,$D$19),$P$20))-SUM($P679:AG679)</f>
        <v>0</v>
      </c>
      <c r="AI679" s="446">
        <f>IF(OR($B679="",MIN(AI$38,$D$19)&lt;MAX($P$612*($B679+IF($R$17="Distrato",$I$38-1,0)),IF(AND($L$615=0,$P$612=0),"",$L$615-1),IF($R$17="Distrato",$E679,0))),0,YEARFRAC(MAX($P$612*($B679+IF($R$17="Distrato",$I$38-1,0)),IF(AND($L$615=0,$P$612=0),"",$L$615-1),IF($R$17="Distrato",$E679,0)),MIN(AI$38,$D$19),$P$20))-SUM($P679:AH679)</f>
        <v>0</v>
      </c>
      <c r="AJ679" s="446">
        <f>IF(OR($B679="",MIN(AJ$38,$D$19)&lt;MAX($P$612*($B679+IF($R$17="Distrato",$I$38-1,0)),IF(AND($L$615=0,$P$612=0),"",$L$615-1),IF($R$17="Distrato",$E679,0))),0,YEARFRAC(MAX($P$612*($B679+IF($R$17="Distrato",$I$38-1,0)),IF(AND($L$615=0,$P$612=0),"",$L$615-1),IF($R$17="Distrato",$E679,0)),MIN(AJ$38,$D$19),$P$20))-SUM($P679:AI679)</f>
        <v>0</v>
      </c>
      <c r="AK679" s="446">
        <f>IF(OR($B679="",MIN(AK$38,$D$19)&lt;MAX($P$612*($B679+IF($R$17="Distrato",$I$38-1,0)),IF(AND($L$615=0,$P$612=0),"",$L$615-1),IF($R$17="Distrato",$E679,0))),0,YEARFRAC(MAX($P$612*($B679+IF($R$17="Distrato",$I$38-1,0)),IF(AND($L$615=0,$P$612=0),"",$L$615-1),IF($R$17="Distrato",$E679,0)),MIN(AK$38,$D$19),$P$20))-SUM($P679:AJ679)</f>
        <v>0</v>
      </c>
      <c r="AL679" s="446">
        <f>IF(OR($B679="",MIN(AL$38,$D$19)&lt;MAX($P$612*($B679+IF($R$17="Distrato",$I$38-1,0)),IF(AND($L$615=0,$P$612=0),"",$L$615-1),IF($R$17="Distrato",$E679,0))),0,YEARFRAC(MAX($P$612*($B679+IF($R$17="Distrato",$I$38-1,0)),IF(AND($L$615=0,$P$612=0),"",$L$615-1),IF($R$17="Distrato",$E679,0)),MIN(AL$38,$D$19),$P$20))-SUM($P679:AK679)</f>
        <v>0</v>
      </c>
      <c r="AM679" s="446">
        <f>IF(OR($B679="",MIN(AM$38,$D$19)&lt;MAX($P$612*($B679+IF($R$17="Distrato",$I$38-1,0)),IF(AND($L$615=0,$P$612=0),"",$L$615-1),IF($R$17="Distrato",$E679,0))),0,YEARFRAC(MAX($P$612*($B679+IF($R$17="Distrato",$I$38-1,0)),IF(AND($L$615=0,$P$612=0),"",$L$615-1),IF($R$17="Distrato",$E679,0)),MIN(AM$38,$D$19),$P$20))-SUM($P679:AL679)</f>
        <v>0</v>
      </c>
      <c r="AN679" s="446">
        <f>IF(OR($B679="",MIN(AN$38,$D$19)&lt;MAX($P$612*($B679+IF($R$17="Distrato",$I$38-1,0)),IF(AND($L$615=0,$P$612=0),"",$L$615-1),IF($R$17="Distrato",$E679,0))),0,YEARFRAC(MAX($P$612*($B679+IF($R$17="Distrato",$I$38-1,0)),IF(AND($L$615=0,$P$612=0),"",$L$615-1),IF($R$17="Distrato",$E679,0)),MIN(AN$38,$D$19),$P$20))-SUM($P679:AM679)</f>
        <v>0</v>
      </c>
      <c r="AO679" s="446">
        <f>IF(OR($B679="",MIN(AO$38,$D$19)&lt;MAX($P$612*($B679+IF($R$17="Distrato",$I$38-1,0)),IF(AND($L$615=0,$P$612=0),"",$L$615-1),IF($R$17="Distrato",$E679,0))),0,YEARFRAC(MAX($P$612*($B679+IF($R$17="Distrato",$I$38-1,0)),IF(AND($L$615=0,$P$612=0),"",$L$615-1),IF($R$17="Distrato",$E679,0)),MIN(AO$38,$D$19),$P$20))-SUM($P679:AN679)</f>
        <v>0</v>
      </c>
      <c r="AP679" s="446">
        <f>IF(OR($B679="",MIN(AP$38,$D$19)&lt;MAX($P$612*($B679+IF($R$17="Distrato",$I$38-1,0)),IF(AND($L$615=0,$P$612=0),"",$L$615-1),IF($R$17="Distrato",$E679,0))),0,YEARFRAC(MAX($P$612*($B679+IF($R$17="Distrato",$I$38-1,0)),IF(AND($L$615=0,$P$612=0),"",$L$615-1),IF($R$17="Distrato",$E679,0)),MIN(AP$38,$D$19),$P$20))-SUM($P679:AO679)</f>
        <v>0</v>
      </c>
      <c r="AQ679" s="446">
        <f>IF(OR($B679="",MIN(AQ$38,$D$19)&lt;MAX($P$612*($B679+IF($R$17="Distrato",$I$38-1,0)),IF(AND($L$615=0,$P$612=0),"",$L$615-1),IF($R$17="Distrato",$E679,0))),0,YEARFRAC(MAX($P$612*($B679+IF($R$17="Distrato",$I$38-1,0)),IF(AND($L$615=0,$P$612=0),"",$L$615-1),IF($R$17="Distrato",$E679,0)),MIN(AQ$38,$D$19),$P$20))-SUM($P679:AP679)</f>
        <v>0</v>
      </c>
      <c r="AR679" s="446">
        <f>IF(OR($B679="",MIN(AR$38,$D$19)&lt;MAX($P$612*($B679+IF($R$17="Distrato",$I$38-1,0)),IF(AND($L$615=0,$P$612=0),"",$L$615-1),IF($R$17="Distrato",$E679,0))),0,YEARFRAC(MAX($P$612*($B679+IF($R$17="Distrato",$I$38-1,0)),IF(AND($L$615=0,$P$612=0),"",$L$615-1),IF($R$17="Distrato",$E679,0)),MIN(AR$38,$D$19),$P$20))-SUM($P679:AQ679)</f>
        <v>0</v>
      </c>
      <c r="AS679" s="446">
        <f>IF(OR($B679="",MIN(AS$38,$D$19)&lt;MAX($P$612*($B679+IF($R$17="Distrato",$I$38-1,0)),IF(AND($L$615=0,$P$612=0),"",$L$615-1),IF($R$17="Distrato",$E679,0))),0,YEARFRAC(MAX($P$612*($B679+IF($R$17="Distrato",$I$38-1,0)),IF(AND($L$615=0,$P$612=0),"",$L$615-1),IF($R$17="Distrato",$E679,0)),MIN(AS$38,$D$19),$P$20))-SUM($P679:AR679)</f>
        <v>0</v>
      </c>
      <c r="AT679" s="446">
        <f>IF(OR($B679="",MIN(AT$38,$D$19)&lt;MAX($P$612*($B679+IF($R$17="Distrato",$I$38-1,0)),IF(AND($L$615=0,$P$612=0),"",$L$615-1),IF($R$17="Distrato",$E679,0))),0,YEARFRAC(MAX($P$612*($B679+IF($R$17="Distrato",$I$38-1,0)),IF(AND($L$615=0,$P$612=0),"",$L$615-1),IF($R$17="Distrato",$E679,0)),MIN(AT$38,$D$19),$P$20))-SUM($P679:AS679)</f>
        <v>0</v>
      </c>
      <c r="AU679" s="446">
        <f>IF(OR($B679="",MIN(AU$38,$D$19)&lt;MAX($P$612*($B679+IF($R$17="Distrato",$I$38-1,0)),IF(AND($L$615=0,$P$612=0),"",$L$615-1),IF($R$17="Distrato",$E679,0))),0,YEARFRAC(MAX($P$612*($B679+IF($R$17="Distrato",$I$38-1,0)),IF(AND($L$615=0,$P$612=0),"",$L$615-1),IF($R$17="Distrato",$E679,0)),MIN(AU$38,$D$19),$P$20))-SUM($P679:AT679)</f>
        <v>0</v>
      </c>
      <c r="AV679" s="446">
        <f>IF(OR($B679="",MIN(AV$38,$D$19)&lt;MAX($P$612*($B679+IF($R$17="Distrato",$I$38-1,0)),IF(AND($L$615=0,$P$612=0),"",$L$615-1),IF($R$17="Distrato",$E679,0))),0,YEARFRAC(MAX($P$612*($B679+IF($R$17="Distrato",$I$38-1,0)),IF(AND($L$615=0,$P$612=0),"",$L$615-1),IF($R$17="Distrato",$E679,0)),MIN(AV$38,$D$19),$P$20))-SUM($P679:AU679)</f>
        <v>0</v>
      </c>
      <c r="AW679" s="446">
        <f>IF(OR($B679="",MIN(AW$38,$D$19)&lt;MAX($P$612*($B679+IF($R$17="Distrato",$I$38-1,0)),IF(AND($L$615=0,$P$612=0),"",$L$615-1),IF($R$17="Distrato",$E679,0))),0,YEARFRAC(MAX($P$612*($B679+IF($R$17="Distrato",$I$38-1,0)),IF(AND($L$615=0,$P$612=0),"",$L$615-1),IF($R$17="Distrato",$E679,0)),MIN(AW$38,$D$19),$P$20))-SUM($P679:AV679)</f>
        <v>0</v>
      </c>
      <c r="AX679" s="446">
        <f>IF(OR($B679="",MIN(AX$38,$D$19)&lt;MAX($P$612*($B679+IF($R$17="Distrato",$I$38-1,0)),IF(AND($L$615=0,$P$612=0),"",$L$615-1),IF($R$17="Distrato",$E679,0))),0,YEARFRAC(MAX($P$612*($B679+IF($R$17="Distrato",$I$38-1,0)),IF(AND($L$615=0,$P$612=0),"",$L$615-1),IF($R$17="Distrato",$E679,0)),MIN(AX$38,$D$19),$P$20))-SUM($P679:AW679)</f>
        <v>0</v>
      </c>
      <c r="AY679" s="446">
        <f>IF(OR($B679="",MIN(AY$38,$D$19)&lt;MAX($P$612*($B679+IF($R$17="Distrato",$I$38-1,0)),IF(AND($L$615=0,$P$612=0),"",$L$615-1),IF($R$17="Distrato",$E679,0))),0,YEARFRAC(MAX($P$612*($B679+IF($R$17="Distrato",$I$38-1,0)),IF(AND($L$615=0,$P$612=0),"",$L$615-1),IF($R$17="Distrato",$E679,0)),MIN(AY$38,$D$19),$P$20))-SUM($P679:AX679)</f>
        <v>0</v>
      </c>
      <c r="AZ679" s="446">
        <f>IF(OR($B679="",MIN(AZ$38,$D$19)&lt;MAX($P$612*($B679+IF($R$17="Distrato",$I$38-1,0)),IF(AND($L$615=0,$P$612=0),"",$L$615-1),IF($R$17="Distrato",$E679,0))),0,YEARFRAC(MAX($P$612*($B679+IF($R$17="Distrato",$I$38-1,0)),IF(AND($L$615=0,$P$612=0),"",$L$615-1),IF($R$17="Distrato",$E679,0)),MIN(AZ$38,$D$19),$P$20))-SUM($P679:AY679)</f>
        <v>0</v>
      </c>
      <c r="BA679" s="446">
        <f>IF(OR($B679="",MIN(BA$38,$D$19)&lt;MAX($P$612*($B679+IF($R$17="Distrato",$I$38-1,0)),IF(AND($L$615=0,$P$612=0),"",$L$615-1),IF($R$17="Distrato",$E679,0))),0,YEARFRAC(MAX($P$612*($B679+IF($R$17="Distrato",$I$38-1,0)),IF(AND($L$615=0,$P$612=0),"",$L$615-1),IF($R$17="Distrato",$E679,0)),MIN(BA$38,$D$19),$P$20))-SUM($P679:AZ679)</f>
        <v>0</v>
      </c>
      <c r="BB679" s="447"/>
    </row>
    <row r="680" spans="1:54" s="446" customFormat="1" ht="12.95" customHeight="1" x14ac:dyDescent="0.2">
      <c r="A680" s="427" t="str">
        <f>IF(A612="","",A612)</f>
        <v/>
      </c>
      <c r="B680" s="157"/>
      <c r="C680" s="183" t="s">
        <v>101</v>
      </c>
      <c r="D680" s="158">
        <f>SUM(D618:D679)</f>
        <v>0</v>
      </c>
      <c r="E680" s="159"/>
      <c r="F680" s="158"/>
      <c r="G680" s="158"/>
      <c r="H680" s="160"/>
      <c r="I680" s="158">
        <f>SUM(I618:I679)</f>
        <v>0</v>
      </c>
      <c r="J680" s="158">
        <f>SUM(J618:J679)</f>
        <v>0</v>
      </c>
      <c r="K680" s="161">
        <f ca="1">SUM(K618:K679)</f>
        <v>0</v>
      </c>
      <c r="L680" s="161">
        <f ca="1">SUM(L618:L679)</f>
        <v>0</v>
      </c>
      <c r="M680" s="63"/>
      <c r="N680" s="161">
        <f ca="1">SUM(N618:N679)</f>
        <v>0</v>
      </c>
      <c r="O680" s="162">
        <f ca="1">SUM(O618:O679)</f>
        <v>0</v>
      </c>
      <c r="BB680" s="447"/>
    </row>
    <row r="681" spans="1:54" s="446" customFormat="1" ht="6" hidden="1" customHeight="1" x14ac:dyDescent="0.2">
      <c r="A681" s="87"/>
      <c r="B681" s="184"/>
      <c r="C681" s="185"/>
      <c r="D681" s="68"/>
      <c r="E681" s="68"/>
      <c r="F681" s="68"/>
      <c r="G681" s="68"/>
      <c r="H681" s="186"/>
      <c r="I681" s="68"/>
      <c r="J681" s="15"/>
      <c r="K681" s="15"/>
      <c r="L681" s="15"/>
      <c r="M681" s="71"/>
      <c r="N681" s="187"/>
      <c r="O681" s="187"/>
      <c r="P681" s="483"/>
      <c r="Q681" s="483"/>
      <c r="R681" s="483"/>
      <c r="S681" s="483"/>
      <c r="T681" s="483"/>
      <c r="U681" s="483"/>
      <c r="V681" s="483"/>
      <c r="W681" s="468"/>
      <c r="X681" s="468"/>
      <c r="Y681" s="468"/>
      <c r="Z681" s="529"/>
      <c r="AA681" s="529"/>
      <c r="BB681" s="447"/>
    </row>
    <row r="682" spans="1:54" s="446" customFormat="1" ht="12.95" hidden="1" customHeight="1" x14ac:dyDescent="0.2">
      <c r="A682" s="608"/>
      <c r="B682" s="609"/>
      <c r="C682" s="609"/>
      <c r="D682" s="609"/>
      <c r="E682" s="609"/>
      <c r="F682" s="609"/>
      <c r="G682" s="609"/>
      <c r="H682" s="609"/>
      <c r="I682" s="609"/>
      <c r="J682" s="609"/>
      <c r="K682" s="609"/>
      <c r="L682" s="609"/>
      <c r="M682" s="609"/>
      <c r="N682" s="609"/>
      <c r="O682" s="609"/>
      <c r="Z682" s="457" t="s">
        <v>23</v>
      </c>
      <c r="BB682" s="447"/>
    </row>
    <row r="683" spans="1:54" s="446" customFormat="1" ht="12.95" hidden="1" customHeight="1" x14ac:dyDescent="0.2">
      <c r="A683" s="124"/>
      <c r="B683" s="128" t="s">
        <v>67</v>
      </c>
      <c r="C683" s="528" t="str">
        <f>C613</f>
        <v>próprio mês</v>
      </c>
      <c r="D683" s="188"/>
      <c r="E683" s="188"/>
      <c r="F683" s="188"/>
      <c r="G683" s="188"/>
      <c r="H683" s="189"/>
      <c r="I683" s="188" t="str">
        <f>IF($L683="SELIC - TRIBUTOS","","Índice Final:")</f>
        <v>Índice Final:</v>
      </c>
      <c r="J683" s="190">
        <f ca="1">IF($L683="SELIC - TRIBUTOS","",VLOOKUP(DATE(YEAR($D$19),MONTH($D$19)+IF($C683="mês seguinte",1,0),1),ÍNDICES!$A:$DE,$Z683+1))</f>
        <v>92.252543000000003</v>
      </c>
      <c r="K683" s="188" t="s">
        <v>69</v>
      </c>
      <c r="L683" s="571" t="str">
        <f>IF($B$23=$W$22,L613,$U$15)</f>
        <v>TABELA PRÁTICA - INPC</v>
      </c>
      <c r="M683" s="571"/>
      <c r="N683" s="571"/>
      <c r="O683" s="571"/>
      <c r="Z683" s="452">
        <f ca="1">SUMIF(ÍNDICES!$A$3:$W$4,L683,ÍNDICES!$A$4:$W$4)+10</f>
        <v>13</v>
      </c>
      <c r="BB683" s="447"/>
    </row>
    <row r="684" spans="1:54" s="452" customFormat="1" ht="12.95" hidden="1" customHeight="1" x14ac:dyDescent="0.15">
      <c r="A684" s="62" t="s">
        <v>70</v>
      </c>
      <c r="B684" s="3" t="s">
        <v>92</v>
      </c>
      <c r="C684" s="62" t="str">
        <f>IF($L$683="SELIC - TRIBUTOS","VARIAÇÃO","ÍNDICE")</f>
        <v>ÍNDICE</v>
      </c>
      <c r="D684" s="62" t="s">
        <v>72</v>
      </c>
      <c r="E684" s="62"/>
      <c r="F684" s="62"/>
      <c r="G684" s="62"/>
      <c r="H684" s="171"/>
      <c r="I684" s="62" t="s">
        <v>102</v>
      </c>
      <c r="J684" s="62" t="s">
        <v>93</v>
      </c>
      <c r="K684" s="14" t="s">
        <v>103</v>
      </c>
      <c r="L684" s="62" t="s">
        <v>95</v>
      </c>
      <c r="M684" s="63" t="s">
        <v>75</v>
      </c>
      <c r="N684" s="62"/>
      <c r="O684" s="14" t="s">
        <v>79</v>
      </c>
      <c r="BB684" s="453"/>
    </row>
    <row r="685" spans="1:54" s="452" customFormat="1" ht="12.95" hidden="1" customHeight="1" x14ac:dyDescent="0.2">
      <c r="A685" s="5" t="s">
        <v>80</v>
      </c>
      <c r="B685" s="6" t="s">
        <v>96</v>
      </c>
      <c r="C685" s="5" t="str">
        <f>IF($L$683="SELIC - TRIBUTOS","SELIC (até data cálc.)","VENCIMENTO")</f>
        <v>VENCIMENTO</v>
      </c>
      <c r="D685" s="62" t="s">
        <v>97</v>
      </c>
      <c r="E685" s="62"/>
      <c r="F685" s="62"/>
      <c r="G685" s="62"/>
      <c r="H685" s="171"/>
      <c r="I685" s="62" t="s">
        <v>104</v>
      </c>
      <c r="J685" s="62" t="s">
        <v>98</v>
      </c>
      <c r="K685" s="5" t="s">
        <v>87</v>
      </c>
      <c r="L685" s="59">
        <f>$L$37</f>
        <v>39814</v>
      </c>
      <c r="M685" s="7" t="s">
        <v>100</v>
      </c>
      <c r="N685" s="5"/>
      <c r="O685" s="5" t="s">
        <v>87</v>
      </c>
      <c r="P685" s="479"/>
      <c r="Q685" s="479"/>
      <c r="R685" s="479"/>
      <c r="S685" s="479"/>
      <c r="T685" s="479"/>
      <c r="U685" s="479"/>
      <c r="V685" s="479"/>
      <c r="W685" s="479"/>
      <c r="X685" s="479"/>
      <c r="Y685" s="479"/>
      <c r="Z685" s="479"/>
      <c r="AA685" s="479"/>
      <c r="AB685" s="479"/>
      <c r="AC685" s="479"/>
      <c r="AD685" s="479"/>
      <c r="AE685" s="479"/>
      <c r="AF685" s="479"/>
      <c r="AG685" s="479"/>
      <c r="AH685" s="479"/>
      <c r="AI685" s="479"/>
      <c r="AJ685" s="479"/>
      <c r="AK685" s="479"/>
      <c r="AL685" s="479"/>
      <c r="AM685" s="479"/>
      <c r="AN685" s="479"/>
      <c r="AO685" s="479"/>
      <c r="BB685" s="453"/>
    </row>
    <row r="686" spans="1:54" s="446" customFormat="1" ht="12.95" hidden="1" customHeight="1" x14ac:dyDescent="0.2">
      <c r="A686" s="172"/>
      <c r="B686" s="173"/>
      <c r="C686" s="151"/>
      <c r="D686" s="5"/>
      <c r="E686" s="62"/>
      <c r="F686" s="62"/>
      <c r="G686" s="62"/>
      <c r="H686" s="171"/>
      <c r="I686" s="62"/>
      <c r="J686" s="5"/>
      <c r="K686" s="30">
        <v>1</v>
      </c>
      <c r="L686" s="27"/>
      <c r="M686" s="7"/>
      <c r="N686" s="7"/>
      <c r="O686" s="144">
        <v>1</v>
      </c>
      <c r="P686" s="480"/>
      <c r="Q686" s="480"/>
      <c r="R686" s="480"/>
      <c r="S686" s="480"/>
      <c r="T686" s="480"/>
      <c r="U686" s="480"/>
      <c r="V686" s="480"/>
      <c r="W686" s="480"/>
      <c r="X686" s="480"/>
      <c r="Y686" s="480"/>
      <c r="Z686" s="480"/>
      <c r="AA686" s="480"/>
      <c r="AB686" s="480"/>
      <c r="AC686" s="480"/>
      <c r="AD686" s="480"/>
      <c r="AE686" s="480"/>
      <c r="AF686" s="480"/>
      <c r="AG686" s="480"/>
      <c r="AH686" s="480"/>
      <c r="AI686" s="480"/>
      <c r="AJ686" s="480"/>
      <c r="AK686" s="480"/>
      <c r="AL686" s="480"/>
      <c r="AM686" s="480"/>
      <c r="AN686" s="480"/>
      <c r="AO686" s="480"/>
      <c r="BB686" s="447"/>
    </row>
    <row r="687" spans="1:54" s="446" customFormat="1" ht="6" hidden="1" customHeight="1" x14ac:dyDescent="0.2">
      <c r="A687" s="172"/>
      <c r="B687" s="173"/>
      <c r="C687" s="151"/>
      <c r="D687" s="5"/>
      <c r="E687" s="5"/>
      <c r="F687" s="5"/>
      <c r="G687" s="5"/>
      <c r="H687" s="191"/>
      <c r="I687" s="5"/>
      <c r="J687" s="5"/>
      <c r="K687" s="5"/>
      <c r="L687" s="151"/>
      <c r="M687" s="7"/>
      <c r="N687" s="7"/>
      <c r="O687" s="5"/>
      <c r="P687" s="445"/>
      <c r="Q687" s="445"/>
      <c r="R687" s="445"/>
      <c r="S687" s="445"/>
      <c r="T687" s="445"/>
      <c r="U687" s="445"/>
      <c r="V687" s="445"/>
      <c r="W687" s="445"/>
      <c r="X687" s="445"/>
      <c r="Y687" s="445"/>
      <c r="Z687" s="445"/>
      <c r="AA687" s="445"/>
      <c r="AB687" s="445"/>
      <c r="AC687" s="445"/>
      <c r="AD687" s="445"/>
      <c r="AE687" s="445"/>
      <c r="AF687" s="445"/>
      <c r="AG687" s="445"/>
      <c r="AH687" s="445"/>
      <c r="AI687" s="445"/>
      <c r="AJ687" s="445"/>
      <c r="BB687" s="447"/>
    </row>
    <row r="688" spans="1:54" s="446" customFormat="1" ht="12.95" hidden="1" customHeight="1" x14ac:dyDescent="0.2">
      <c r="A688" s="177"/>
      <c r="B688" s="178"/>
      <c r="C688" s="29" t="str">
        <f>IF(B688="","",IF($L683="SELIC - TRIBUTOS",VLOOKUP(DATE(YEAR($D$19),MONTH($D$19)-1,1),ÍNDICES!$A:$DE,HLOOKUP($BL$25,ÍNDICES!$B$3:$T$4,2)+11)-VLOOKUP(B688,ÍNDICES!$A:$DE,HLOOKUP($BL$25,ÍNDICES!$B$3:$T$4,2)+11)+1%,IF(C686=$W$26,$J$35,IF(ISERROR(IF(B688&gt;$D$19,1,VLOOKUP(DATE(YEAR(B688),MONTH(B688)+IF($C683=$S$23,1,0),1),ÍNDICES!$A:$DE,$Z683+1))),"",IF(B688&gt;$D$19,1,VLOOKUP(DATE(YEAR(B688),MONTH(B688)+IF($C683=$S$23,1,0),1),ÍNDICES!$A:$DE,$Z683+1))))))</f>
        <v/>
      </c>
      <c r="D688" s="155"/>
      <c r="E688" s="5"/>
      <c r="F688" s="5"/>
      <c r="G688" s="5"/>
      <c r="H688" s="191"/>
      <c r="I688" s="182">
        <f>IF(ISERROR(D688-G688),"",D688-G688)</f>
        <v>0</v>
      </c>
      <c r="J688" s="5">
        <f ca="1">IF(ISERROR(IF(I688="","",I688*IF(B688&gt;$D$19,1,$J$683)/C688)),0,IF(I688="","",I688*IF(B688&gt;$D$19,1,$J$683)/C688))</f>
        <v>0</v>
      </c>
      <c r="K688" s="5">
        <f ca="1">IF(J688="","",J688*K$686)</f>
        <v>0</v>
      </c>
      <c r="L688" s="5">
        <f ca="1">IF(L$683="SELIC - TRIBUTOS",0,IFERROR(K688*SUMPRODUCT($P$37:$BA$37,$P688:$BA688),0))</f>
        <v>0</v>
      </c>
      <c r="M688" s="64">
        <f>IFERROR(SUM(P688:BA688),0)</f>
        <v>0</v>
      </c>
      <c r="N688" s="183"/>
      <c r="O688" s="5">
        <f ca="1">IF(ISERROR((K688+L688)*O$686),"",(K688+L688)*O$686)</f>
        <v>0</v>
      </c>
      <c r="P688" s="446">
        <f>IF(OR($B688="",MIN(P$38,$D$19)&lt;MAX($P$682*($B688+IF($R$17="Distrato",$I$38-1,0)),IF(AND($L$685=0,$P$682=0),"",$L$685-1),IF($R$17="Distrato",$E688,0))),0,YEARFRAC(MAX($P$682*($B688+IF($R$17="Distrato",$I$38-1,0)),IF(AND($L$685=0,$P$682=0),"",$L$685-1),IF($R$17="Distrato",$E688,0)),MIN(P$38,$D$19),$P$20))</f>
        <v>0</v>
      </c>
      <c r="Q688" s="446">
        <f>IF(OR($B688="",MIN(Q$38,$D$19)&lt;MAX($P$682*($B688+IF($R$17="Distrato",$I$38-1,0)),IF(AND($L$685=0,$P$682=0),"",$L$685-1),IF($R$17="Distrato",$E688,0))),0,YEARFRAC(MAX($P$682*($B688+IF($R$17="Distrato",$I$38-1,0)),IF(AND($L$685=0,$P$682=0),"",$L$685-1),IF($R$17="Distrato",$E688,0)),MIN(Q$38,$D$19),$P$20))-SUM($P688:P688)</f>
        <v>0</v>
      </c>
      <c r="R688" s="446">
        <f>IF(OR($B688="",MIN(R$38,$D$19)&lt;MAX($P$682*($B688+IF($R$17="Distrato",$I$38-1,0)),IF(AND($L$685=0,$P$682=0),"",$L$685-1),IF($R$17="Distrato",$E688,0))),0,YEARFRAC(MAX($P$682*($B688+IF($R$17="Distrato",$I$38-1,0)),IF(AND($L$685=0,$P$682=0),"",$L$685-1),IF($R$17="Distrato",$E688,0)),MIN(R$38,$D$19),$P$20))-SUM($P688:Q688)</f>
        <v>0</v>
      </c>
      <c r="S688" s="446">
        <f>IF(OR($B688="",MIN(S$38,$D$19)&lt;MAX($P$682*($B688+IF($R$17="Distrato",$I$38-1,0)),IF(AND($L$685=0,$P$682=0),"",$L$685-1),IF($R$17="Distrato",$E688,0))),0,YEARFRAC(MAX($P$682*($B688+IF($R$17="Distrato",$I$38-1,0)),IF(AND($L$685=0,$P$682=0),"",$L$685-1),IF($R$17="Distrato",$E688,0)),MIN(S$38,$D$19),$P$20))-SUM($P688:R688)</f>
        <v>0</v>
      </c>
      <c r="T688" s="446">
        <f>IF(OR($B688="",MIN(T$38,$D$19)&lt;MAX($P$682*($B688+IF($R$17="Distrato",$I$38-1,0)),IF(AND($L$685=0,$P$682=0),"",$L$685-1),IF($R$17="Distrato",$E688,0))),0,YEARFRAC(MAX($P$682*($B688+IF($R$17="Distrato",$I$38-1,0)),IF(AND($L$685=0,$P$682=0),"",$L$685-1),IF($R$17="Distrato",$E688,0)),MIN(T$38,$D$19),$P$20))-SUM($P688:S688)</f>
        <v>0</v>
      </c>
      <c r="U688" s="446">
        <f>IF(OR($B688="",MIN(U$38,$D$19)&lt;MAX($P$682*($B688+IF($R$17="Distrato",$I$38-1,0)),IF(AND($L$685=0,$P$682=0),"",$L$685-1),IF($R$17="Distrato",$E688,0))),0,YEARFRAC(MAX($P$682*($B688+IF($R$17="Distrato",$I$38-1,0)),IF(AND($L$685=0,$P$682=0),"",$L$685-1),IF($R$17="Distrato",$E688,0)),MIN(U$38,$D$19),$P$20))-SUM($P688:T688)</f>
        <v>0</v>
      </c>
      <c r="V688" s="446">
        <f>IF(OR($B688="",MIN(V$38,$D$19)&lt;MAX($P$682*($B688+IF($R$17="Distrato",$I$38-1,0)),IF(AND($L$685=0,$P$682=0),"",$L$685-1),IF($R$17="Distrato",$E688,0))),0,YEARFRAC(MAX($P$682*($B688+IF($R$17="Distrato",$I$38-1,0)),IF(AND($L$685=0,$P$682=0),"",$L$685-1),IF($R$17="Distrato",$E688,0)),MIN(V$38,$D$19),$P$20))-SUM($P688:U688)</f>
        <v>0</v>
      </c>
      <c r="W688" s="446">
        <f>IF(OR($B688="",MIN(W$38,$D$19)&lt;MAX($P$682*($B688+IF($R$17="Distrato",$I$38-1,0)),IF(AND($L$685=0,$P$682=0),"",$L$685-1),IF($R$17="Distrato",$E688,0))),0,YEARFRAC(MAX($P$682*($B688+IF($R$17="Distrato",$I$38-1,0)),IF(AND($L$685=0,$P$682=0),"",$L$685-1),IF($R$17="Distrato",$E688,0)),MIN(W$38,$D$19),$P$20))-SUM($P688:V688)</f>
        <v>0</v>
      </c>
      <c r="X688" s="446">
        <f>IF(OR($B688="",MIN(X$38,$D$19)&lt;MAX($P$682*($B688+IF($R$17="Distrato",$I$38-1,0)),IF(AND($L$685=0,$P$682=0),"",$L$685-1),IF($R$17="Distrato",$E688,0))),0,YEARFRAC(MAX($P$682*($B688+IF($R$17="Distrato",$I$38-1,0)),IF(AND($L$685=0,$P$682=0),"",$L$685-1),IF($R$17="Distrato",$E688,0)),MIN(X$38,$D$19),$P$20))-SUM($P688:W688)</f>
        <v>0</v>
      </c>
      <c r="Y688" s="446">
        <f>IF(OR($B688="",MIN(Y$38,$D$19)&lt;MAX($P$682*($B688+IF($R$17="Distrato",$I$38-1,0)),IF(AND($L$685=0,$P$682=0),"",$L$685-1),IF($R$17="Distrato",$E688,0))),0,YEARFRAC(MAX($P$682*($B688+IF($R$17="Distrato",$I$38-1,0)),IF(AND($L$685=0,$P$682=0),"",$L$685-1),IF($R$17="Distrato",$E688,0)),MIN(Y$38,$D$19),$P$20))-SUM($P688:X688)</f>
        <v>0</v>
      </c>
      <c r="Z688" s="446">
        <f>IF(OR($B688="",MIN(Z$38,$D$19)&lt;MAX($P$682*($B688+IF($R$17="Distrato",$I$38-1,0)),IF(AND($L$685=0,$P$682=0),"",$L$685-1),IF($R$17="Distrato",$E688,0))),0,YEARFRAC(MAX($P$682*($B688+IF($R$17="Distrato",$I$38-1,0)),IF(AND($L$685=0,$P$682=0),"",$L$685-1),IF($R$17="Distrato",$E688,0)),MIN(Z$38,$D$19),$P$20))-SUM($P688:Y688)</f>
        <v>0</v>
      </c>
      <c r="AA688" s="446">
        <f>IF(OR($B688="",MIN(AA$38,$D$19)&lt;MAX($P$682*($B688+IF($R$17="Distrato",$I$38-1,0)),IF(AND($L$685=0,$P$682=0),"",$L$685-1),IF($R$17="Distrato",$E688,0))),0,YEARFRAC(MAX($P$682*($B688+IF($R$17="Distrato",$I$38-1,0)),IF(AND($L$685=0,$P$682=0),"",$L$685-1),IF($R$17="Distrato",$E688,0)),MIN(AA$38,$D$19),$P$20))-SUM($P688:Z688)</f>
        <v>0</v>
      </c>
      <c r="AB688" s="446">
        <f>IF(OR($B688="",MIN(AB$38,$D$19)&lt;MAX($P$682*($B688+IF($R$17="Distrato",$I$38-1,0)),IF(AND($L$685=0,$P$682=0),"",$L$685-1),IF($R$17="Distrato",$E688,0))),0,YEARFRAC(MAX($P$682*($B688+IF($R$17="Distrato",$I$38-1,0)),IF(AND($L$685=0,$P$682=0),"",$L$685-1),IF($R$17="Distrato",$E688,0)),MIN(AB$38,$D$19),$P$20))-SUM($P688:AA688)</f>
        <v>0</v>
      </c>
      <c r="AC688" s="446">
        <f>IF(OR($B688="",MIN(AC$38,$D$19)&lt;MAX($P$682*($B688+IF($R$17="Distrato",$I$38-1,0)),IF(AND($L$685=0,$P$682=0),"",$L$685-1),IF($R$17="Distrato",$E688,0))),0,YEARFRAC(MAX($P$682*($B688+IF($R$17="Distrato",$I$38-1,0)),IF(AND($L$685=0,$P$682=0),"",$L$685-1),IF($R$17="Distrato",$E688,0)),MIN(AC$38,$D$19),$P$20))-SUM($P688:AB688)</f>
        <v>0</v>
      </c>
      <c r="AD688" s="446">
        <f>IF(OR($B688="",MIN(AD$38,$D$19)&lt;MAX($P$682*($B688+IF($R$17="Distrato",$I$38-1,0)),IF(AND($L$685=0,$P$682=0),"",$L$685-1),IF($R$17="Distrato",$E688,0))),0,YEARFRAC(MAX($P$682*($B688+IF($R$17="Distrato",$I$38-1,0)),IF(AND($L$685=0,$P$682=0),"",$L$685-1),IF($R$17="Distrato",$E688,0)),MIN(AD$38,$D$19),$P$20))-SUM($P688:AC688)</f>
        <v>0</v>
      </c>
      <c r="AE688" s="446">
        <f>IF(OR($B688="",MIN(AE$38,$D$19)&lt;MAX($P$682*($B688+IF($R$17="Distrato",$I$38-1,0)),IF(AND($L$685=0,$P$682=0),"",$L$685-1),IF($R$17="Distrato",$E688,0))),0,YEARFRAC(MAX($P$682*($B688+IF($R$17="Distrato",$I$38-1,0)),IF(AND($L$685=0,$P$682=0),"",$L$685-1),IF($R$17="Distrato",$E688,0)),MIN(AE$38,$D$19),$P$20))-SUM($P688:AD688)</f>
        <v>0</v>
      </c>
      <c r="AF688" s="446">
        <f>IF(OR($B688="",MIN(AF$38,$D$19)&lt;MAX($P$682*($B688+IF($R$17="Distrato",$I$38-1,0)),IF(AND($L$685=0,$P$682=0),"",$L$685-1),IF($R$17="Distrato",$E688,0))),0,YEARFRAC(MAX($P$682*($B688+IF($R$17="Distrato",$I$38-1,0)),IF(AND($L$685=0,$P$682=0),"",$L$685-1),IF($R$17="Distrato",$E688,0)),MIN(AF$38,$D$19),$P$20))-SUM($P688:AE688)</f>
        <v>0</v>
      </c>
      <c r="AG688" s="446">
        <f>IF(OR($B688="",MIN(AG$38,$D$19)&lt;MAX($P$682*($B688+IF($R$17="Distrato",$I$38-1,0)),IF(AND($L$685=0,$P$682=0),"",$L$685-1),IF($R$17="Distrato",$E688,0))),0,YEARFRAC(MAX($P$682*($B688+IF($R$17="Distrato",$I$38-1,0)),IF(AND($L$685=0,$P$682=0),"",$L$685-1),IF($R$17="Distrato",$E688,0)),MIN(AG$38,$D$19),$P$20))-SUM($P688:AF688)</f>
        <v>0</v>
      </c>
      <c r="AH688" s="446">
        <f>IF(OR($B688="",MIN(AH$38,$D$19)&lt;MAX($P$682*($B688+IF($R$17="Distrato",$I$38-1,0)),IF(AND($L$685=0,$P$682=0),"",$L$685-1),IF($R$17="Distrato",$E688,0))),0,YEARFRAC(MAX($P$682*($B688+IF($R$17="Distrato",$I$38-1,0)),IF(AND($L$685=0,$P$682=0),"",$L$685-1),IF($R$17="Distrato",$E688,0)),MIN(AH$38,$D$19),$P$20))-SUM($P688:AG688)</f>
        <v>0</v>
      </c>
      <c r="AI688" s="446">
        <f>IF(OR($B688="",MIN(AI$38,$D$19)&lt;MAX($P$682*($B688+IF($R$17="Distrato",$I$38-1,0)),IF(AND($L$685=0,$P$682=0),"",$L$685-1),IF($R$17="Distrato",$E688,0))),0,YEARFRAC(MAX($P$682*($B688+IF($R$17="Distrato",$I$38-1,0)),IF(AND($L$685=0,$P$682=0),"",$L$685-1),IF($R$17="Distrato",$E688,0)),MIN(AI$38,$D$19),$P$20))-SUM($P688:AH688)</f>
        <v>0</v>
      </c>
      <c r="AJ688" s="446">
        <f>IF(OR($B688="",MIN(AJ$38,$D$19)&lt;MAX($P$682*($B688+IF($R$17="Distrato",$I$38-1,0)),IF(AND($L$685=0,$P$682=0),"",$L$685-1),IF($R$17="Distrato",$E688,0))),0,YEARFRAC(MAX($P$682*($B688+IF($R$17="Distrato",$I$38-1,0)),IF(AND($L$685=0,$P$682=0),"",$L$685-1),IF($R$17="Distrato",$E688,0)),MIN(AJ$38,$D$19),$P$20))-SUM($P688:AI688)</f>
        <v>0</v>
      </c>
      <c r="AK688" s="446">
        <f>IF(OR($B688="",MIN(AK$38,$D$19)&lt;MAX($P$682*($B688+IF($R$17="Distrato",$I$38-1,0)),IF(AND($L$685=0,$P$682=0),"",$L$685-1),IF($R$17="Distrato",$E688,0))),0,YEARFRAC(MAX($P$682*($B688+IF($R$17="Distrato",$I$38-1,0)),IF(AND($L$685=0,$P$682=0),"",$L$685-1),IF($R$17="Distrato",$E688,0)),MIN(AK$38,$D$19),$P$20))-SUM($P688:AJ688)</f>
        <v>0</v>
      </c>
      <c r="AL688" s="446">
        <f>IF(OR($B688="",MIN(AL$38,$D$19)&lt;MAX($P$682*($B688+IF($R$17="Distrato",$I$38-1,0)),IF(AND($L$685=0,$P$682=0),"",$L$685-1),IF($R$17="Distrato",$E688,0))),0,YEARFRAC(MAX($P$682*($B688+IF($R$17="Distrato",$I$38-1,0)),IF(AND($L$685=0,$P$682=0),"",$L$685-1),IF($R$17="Distrato",$E688,0)),MIN(AL$38,$D$19),$P$20))-SUM($P688:AK688)</f>
        <v>0</v>
      </c>
      <c r="AM688" s="446">
        <f>IF(OR($B688="",MIN(AM$38,$D$19)&lt;MAX($P$682*($B688+IF($R$17="Distrato",$I$38-1,0)),IF(AND($L$685=0,$P$682=0),"",$L$685-1),IF($R$17="Distrato",$E688,0))),0,YEARFRAC(MAX($P$682*($B688+IF($R$17="Distrato",$I$38-1,0)),IF(AND($L$685=0,$P$682=0),"",$L$685-1),IF($R$17="Distrato",$E688,0)),MIN(AM$38,$D$19),$P$20))-SUM($P688:AL688)</f>
        <v>0</v>
      </c>
      <c r="AN688" s="446">
        <f>IF(OR($B688="",MIN(AN$38,$D$19)&lt;MAX($P$682*($B688+IF($R$17="Distrato",$I$38-1,0)),IF(AND($L$685=0,$P$682=0),"",$L$685-1),IF($R$17="Distrato",$E688,0))),0,YEARFRAC(MAX($P$682*($B688+IF($R$17="Distrato",$I$38-1,0)),IF(AND($L$685=0,$P$682=0),"",$L$685-1),IF($R$17="Distrato",$E688,0)),MIN(AN$38,$D$19),$P$20))-SUM($P688:AM688)</f>
        <v>0</v>
      </c>
      <c r="AO688" s="446">
        <f>IF(OR($B688="",MIN(AO$38,$D$19)&lt;MAX($P$682*($B688+IF($R$17="Distrato",$I$38-1,0)),IF(AND($L$685=0,$P$682=0),"",$L$685-1),IF($R$17="Distrato",$E688,0))),0,YEARFRAC(MAX($P$682*($B688+IF($R$17="Distrato",$I$38-1,0)),IF(AND($L$685=0,$P$682=0),"",$L$685-1),IF($R$17="Distrato",$E688,0)),MIN(AO$38,$D$19),$P$20))-SUM($P688:AN688)</f>
        <v>0</v>
      </c>
      <c r="AP688" s="446">
        <f>IF(OR($B688="",MIN(AP$38,$D$19)&lt;MAX($P$682*($B688+IF($R$17="Distrato",$I$38-1,0)),IF(AND($L$685=0,$P$682=0),"",$L$685-1),IF($R$17="Distrato",$E688,0))),0,YEARFRAC(MAX($P$682*($B688+IF($R$17="Distrato",$I$38-1,0)),IF(AND($L$685=0,$P$682=0),"",$L$685-1),IF($R$17="Distrato",$E688,0)),MIN(AP$38,$D$19),$P$20))-SUM($P688:AO688)</f>
        <v>0</v>
      </c>
      <c r="AQ688" s="446">
        <f>IF(OR($B688="",MIN(AQ$38,$D$19)&lt;MAX($P$682*($B688+IF($R$17="Distrato",$I$38-1,0)),IF(AND($L$685=0,$P$682=0),"",$L$685-1),IF($R$17="Distrato",$E688,0))),0,YEARFRAC(MAX($P$682*($B688+IF($R$17="Distrato",$I$38-1,0)),IF(AND($L$685=0,$P$682=0),"",$L$685-1),IF($R$17="Distrato",$E688,0)),MIN(AQ$38,$D$19),$P$20))-SUM($P688:AP688)</f>
        <v>0</v>
      </c>
      <c r="AR688" s="446">
        <f>IF(OR($B688="",MIN(AR$38,$D$19)&lt;MAX($P$682*($B688+IF($R$17="Distrato",$I$38-1,0)),IF(AND($L$685=0,$P$682=0),"",$L$685-1),IF($R$17="Distrato",$E688,0))),0,YEARFRAC(MAX($P$682*($B688+IF($R$17="Distrato",$I$38-1,0)),IF(AND($L$685=0,$P$682=0),"",$L$685-1),IF($R$17="Distrato",$E688,0)),MIN(AR$38,$D$19),$P$20))-SUM($P688:AQ688)</f>
        <v>0</v>
      </c>
      <c r="AS688" s="446">
        <f>IF(OR($B688="",MIN(AS$38,$D$19)&lt;MAX($P$682*($B688+IF($R$17="Distrato",$I$38-1,0)),IF(AND($L$685=0,$P$682=0),"",$L$685-1),IF($R$17="Distrato",$E688,0))),0,YEARFRAC(MAX($P$682*($B688+IF($R$17="Distrato",$I$38-1,0)),IF(AND($L$685=0,$P$682=0),"",$L$685-1),IF($R$17="Distrato",$E688,0)),MIN(AS$38,$D$19),$P$20))-SUM($P688:AR688)</f>
        <v>0</v>
      </c>
      <c r="AT688" s="446">
        <f>IF(OR($B688="",MIN(AT$38,$D$19)&lt;MAX($P$682*($B688+IF($R$17="Distrato",$I$38-1,0)),IF(AND($L$685=0,$P$682=0),"",$L$685-1),IF($R$17="Distrato",$E688,0))),0,YEARFRAC(MAX($P$682*($B688+IF($R$17="Distrato",$I$38-1,0)),IF(AND($L$685=0,$P$682=0),"",$L$685-1),IF($R$17="Distrato",$E688,0)),MIN(AT$38,$D$19),$P$20))-SUM($P688:AS688)</f>
        <v>0</v>
      </c>
      <c r="AU688" s="446">
        <f>IF(OR($B688="",MIN(AU$38,$D$19)&lt;MAX($P$682*($B688+IF($R$17="Distrato",$I$38-1,0)),IF(AND($L$685=0,$P$682=0),"",$L$685-1),IF($R$17="Distrato",$E688,0))),0,YEARFRAC(MAX($P$682*($B688+IF($R$17="Distrato",$I$38-1,0)),IF(AND($L$685=0,$P$682=0),"",$L$685-1),IF($R$17="Distrato",$E688,0)),MIN(AU$38,$D$19),$P$20))-SUM($P688:AT688)</f>
        <v>0</v>
      </c>
      <c r="AV688" s="446">
        <f>IF(OR($B688="",MIN(AV$38,$D$19)&lt;MAX($P$682*($B688+IF($R$17="Distrato",$I$38-1,0)),IF(AND($L$685=0,$P$682=0),"",$L$685-1),IF($R$17="Distrato",$E688,0))),0,YEARFRAC(MAX($P$682*($B688+IF($R$17="Distrato",$I$38-1,0)),IF(AND($L$685=0,$P$682=0),"",$L$685-1),IF($R$17="Distrato",$E688,0)),MIN(AV$38,$D$19),$P$20))-SUM($P688:AU688)</f>
        <v>0</v>
      </c>
      <c r="AW688" s="446">
        <f>IF(OR($B688="",MIN(AW$38,$D$19)&lt;MAX($P$682*($B688+IF($R$17="Distrato",$I$38-1,0)),IF(AND($L$685=0,$P$682=0),"",$L$685-1),IF($R$17="Distrato",$E688,0))),0,YEARFRAC(MAX($P$682*($B688+IF($R$17="Distrato",$I$38-1,0)),IF(AND($L$685=0,$P$682=0),"",$L$685-1),IF($R$17="Distrato",$E688,0)),MIN(AW$38,$D$19),$P$20))-SUM($P688:AV688)</f>
        <v>0</v>
      </c>
      <c r="AX688" s="446">
        <f>IF(OR($B688="",MIN(AX$38,$D$19)&lt;MAX($P$682*($B688+IF($R$17="Distrato",$I$38-1,0)),IF(AND($L$685=0,$P$682=0),"",$L$685-1),IF($R$17="Distrato",$E688,0))),0,YEARFRAC(MAX($P$682*($B688+IF($R$17="Distrato",$I$38-1,0)),IF(AND($L$685=0,$P$682=0),"",$L$685-1),IF($R$17="Distrato",$E688,0)),MIN(AX$38,$D$19),$P$20))-SUM($P688:AW688)</f>
        <v>0</v>
      </c>
      <c r="AY688" s="446">
        <f>IF(OR($B688="",MIN(AY$38,$D$19)&lt;MAX($P$682*($B688+IF($R$17="Distrato",$I$38-1,0)),IF(AND($L$685=0,$P$682=0),"",$L$685-1),IF($R$17="Distrato",$E688,0))),0,YEARFRAC(MAX($P$682*($B688+IF($R$17="Distrato",$I$38-1,0)),IF(AND($L$685=0,$P$682=0),"",$L$685-1),IF($R$17="Distrato",$E688,0)),MIN(AY$38,$D$19),$P$20))-SUM($P688:AX688)</f>
        <v>0</v>
      </c>
      <c r="AZ688" s="446">
        <f>IF(OR($B688="",MIN(AZ$38,$D$19)&lt;MAX($P$682*($B688+IF($R$17="Distrato",$I$38-1,0)),IF(AND($L$685=0,$P$682=0),"",$L$685-1),IF($R$17="Distrato",$E688,0))),0,YEARFRAC(MAX($P$682*($B688+IF($R$17="Distrato",$I$38-1,0)),IF(AND($L$685=0,$P$682=0),"",$L$685-1),IF($R$17="Distrato",$E688,0)),MIN(AZ$38,$D$19),$P$20))-SUM($P688:AY688)</f>
        <v>0</v>
      </c>
      <c r="BA688" s="446">
        <f>IF(OR($B688="",MIN(BA$38,$D$19)&lt;MAX($P$682*($B688+IF($R$17="Distrato",$I$38-1,0)),IF(AND($L$685=0,$P$682=0),"",$L$685-1),IF($R$17="Distrato",$E688,0))),0,YEARFRAC(MAX($P$682*($B688+IF($R$17="Distrato",$I$38-1,0)),IF(AND($L$685=0,$P$682=0),"",$L$685-1),IF($R$17="Distrato",$E688,0)),MIN(BA$38,$D$19),$P$20))-SUM($P688:AZ688)</f>
        <v>0</v>
      </c>
      <c r="BB688" s="447"/>
    </row>
    <row r="689" spans="1:54" s="446" customFormat="1" ht="12.95" hidden="1" customHeight="1" x14ac:dyDescent="0.2">
      <c r="A689" s="4" t="str">
        <f>IF(A682="","",A682)</f>
        <v/>
      </c>
      <c r="B689" s="157"/>
      <c r="C689" s="183" t="s">
        <v>101</v>
      </c>
      <c r="D689" s="158">
        <f>SUM(D688:D688)</f>
        <v>0</v>
      </c>
      <c r="E689" s="158"/>
      <c r="F689" s="158"/>
      <c r="G689" s="158"/>
      <c r="H689" s="160"/>
      <c r="I689" s="158">
        <f>SUM(I688:I688)</f>
        <v>0</v>
      </c>
      <c r="J689" s="158">
        <f ca="1">SUM(J688:J688)</f>
        <v>0</v>
      </c>
      <c r="K689" s="161">
        <f ca="1">SUM(K688:K688)</f>
        <v>0</v>
      </c>
      <c r="L689" s="161">
        <f ca="1">SUM(L688:L688)</f>
        <v>0</v>
      </c>
      <c r="M689" s="192"/>
      <c r="N689" s="62"/>
      <c r="O689" s="161">
        <f ca="1">SUM(O688:O688)</f>
        <v>0</v>
      </c>
      <c r="BB689" s="447"/>
    </row>
    <row r="690" spans="1:54" s="446" customFormat="1" ht="6" hidden="1" customHeight="1" x14ac:dyDescent="0.2">
      <c r="A690" s="193"/>
      <c r="B690" s="193"/>
      <c r="C690" s="183"/>
      <c r="D690" s="194"/>
      <c r="E690" s="194"/>
      <c r="F690" s="194"/>
      <c r="G690" s="194"/>
      <c r="H690" s="195"/>
      <c r="I690" s="194"/>
      <c r="J690" s="161"/>
      <c r="K690" s="161"/>
      <c r="L690" s="183"/>
      <c r="M690" s="64"/>
      <c r="N690" s="161"/>
      <c r="O690" s="161"/>
      <c r="BB690" s="447"/>
    </row>
    <row r="691" spans="1:54" s="446" customFormat="1" ht="12.95" hidden="1" customHeight="1" x14ac:dyDescent="0.2">
      <c r="A691" s="193"/>
      <c r="B691" s="193"/>
      <c r="C691" s="183"/>
      <c r="D691" s="194"/>
      <c r="E691" s="194"/>
      <c r="F691" s="194"/>
      <c r="G691" s="194"/>
      <c r="H691" s="195"/>
      <c r="I691" s="194"/>
      <c r="J691" s="62"/>
      <c r="K691" s="14" t="s">
        <v>44</v>
      </c>
      <c r="L691" s="63" t="s">
        <v>46</v>
      </c>
      <c r="M691" s="62"/>
      <c r="N691" s="14" t="s">
        <v>45</v>
      </c>
      <c r="O691" s="62" t="s">
        <v>105</v>
      </c>
      <c r="P691" s="529"/>
      <c r="Q691" s="529"/>
      <c r="R691" s="529"/>
      <c r="S691" s="529"/>
      <c r="T691" s="529"/>
      <c r="U691" s="529"/>
      <c r="V691" s="529"/>
      <c r="BB691" s="447"/>
    </row>
    <row r="692" spans="1:54" s="446" customFormat="1" ht="12.95" hidden="1" customHeight="1" x14ac:dyDescent="0.2">
      <c r="A692" s="193"/>
      <c r="B692" s="193"/>
      <c r="C692" s="183"/>
      <c r="D692" s="194"/>
      <c r="E692" s="194"/>
      <c r="F692" s="194"/>
      <c r="G692" s="194"/>
      <c r="H692" s="195"/>
      <c r="I692" s="194"/>
      <c r="J692" s="62" t="s">
        <v>52</v>
      </c>
      <c r="K692" s="161">
        <f ca="1">K610+K680+K689</f>
        <v>0</v>
      </c>
      <c r="L692" s="161">
        <f ca="1">J610+L610+L680+L689</f>
        <v>0</v>
      </c>
      <c r="M692" s="196"/>
      <c r="N692" s="161">
        <f ca="1">N610+N680</f>
        <v>0</v>
      </c>
      <c r="O692" s="161">
        <f ca="1">O610+O680+O689</f>
        <v>0</v>
      </c>
      <c r="BB692" s="447"/>
    </row>
    <row r="693" spans="1:54" s="484" customFormat="1" ht="15" customHeight="1" x14ac:dyDescent="0.2">
      <c r="A693" s="197"/>
      <c r="B693" s="198"/>
      <c r="C693" s="198"/>
      <c r="D693" s="199"/>
      <c r="E693" s="200"/>
      <c r="F693" s="201"/>
      <c r="G693" s="202"/>
      <c r="H693" s="116"/>
      <c r="I693" s="201"/>
      <c r="J693" s="77"/>
      <c r="K693" s="203"/>
      <c r="L693" s="203"/>
      <c r="M693" s="203"/>
      <c r="N693" s="203"/>
      <c r="O693" s="203"/>
      <c r="BB693" s="485"/>
    </row>
    <row r="694" spans="1:54" s="486" customFormat="1" ht="12.95" customHeight="1" x14ac:dyDescent="0.2">
      <c r="A694" s="610" t="s">
        <v>106</v>
      </c>
      <c r="B694" s="610"/>
      <c r="C694" s="610"/>
      <c r="D694" s="610"/>
      <c r="E694" s="610"/>
      <c r="F694" s="610"/>
      <c r="G694" s="610"/>
      <c r="H694" s="610"/>
      <c r="I694" s="611"/>
      <c r="J694" s="611"/>
      <c r="K694" s="610"/>
      <c r="L694" s="610"/>
      <c r="M694" s="610"/>
      <c r="N694" s="610"/>
      <c r="O694" s="610"/>
      <c r="Q694" s="486" t="s">
        <v>107</v>
      </c>
      <c r="T694" s="486" t="s">
        <v>108</v>
      </c>
      <c r="Z694" s="487" t="s">
        <v>23</v>
      </c>
      <c r="BB694" s="488"/>
    </row>
    <row r="695" spans="1:54" s="486" customFormat="1" ht="12.95" customHeight="1" x14ac:dyDescent="0.2">
      <c r="A695" s="612" t="s">
        <v>107</v>
      </c>
      <c r="B695" s="613"/>
      <c r="C695" s="613"/>
      <c r="D695" s="613"/>
      <c r="E695" s="204"/>
      <c r="F695" s="204"/>
      <c r="G695" s="204"/>
      <c r="H695" s="205"/>
      <c r="I695" s="206" t="str">
        <f>IF(AND(A695=Q697,OR(B696=T696,B696=T695)),"Índice Inicial","")</f>
        <v/>
      </c>
      <c r="J695" s="206" t="str">
        <f>IF(A695=Q694,"","Índice Final")</f>
        <v/>
      </c>
      <c r="K695" s="207"/>
      <c r="L695" s="208"/>
      <c r="M695" s="208"/>
      <c r="N695" s="208"/>
      <c r="O695" s="208"/>
      <c r="Q695" s="486" t="s">
        <v>109</v>
      </c>
      <c r="T695" s="486" t="s">
        <v>110</v>
      </c>
      <c r="Z695" s="487"/>
      <c r="BB695" s="488"/>
    </row>
    <row r="696" spans="1:54" s="489" customFormat="1" ht="12.95" customHeight="1" x14ac:dyDescent="0.2">
      <c r="A696" s="209" t="s">
        <v>111</v>
      </c>
      <c r="B696" s="614" t="s">
        <v>110</v>
      </c>
      <c r="C696" s="615"/>
      <c r="D696" s="210"/>
      <c r="E696" s="211"/>
      <c r="F696" s="212" t="s">
        <v>67</v>
      </c>
      <c r="G696" s="213" t="str">
        <f>C683</f>
        <v>próprio mês</v>
      </c>
      <c r="H696" s="205"/>
      <c r="I696" s="214" t="str">
        <f>IF(AND(A695=Q697,OR(B696=T696,B696=T695)),VLOOKUP(IF(B701="",$D$19,DATE(YEAR(B701),MONTH(B701)+IF($C$35=$S$23,1,0),1)),ÍNDICES!$A:$DE,Z$696+1),"")</f>
        <v/>
      </c>
      <c r="J696" s="214">
        <f ca="1">VLOOKUP(DATE(YEAR($D$19),MONTH($D$19)-IF($L696=$P$15,1,0)+IF($G696=$S$23,1,0),1),ÍNDICES!$A:$DE,$Z696+1)+IF($L696=$P$15,1%,0)</f>
        <v>92.252543000000003</v>
      </c>
      <c r="K696" s="215" t="s">
        <v>69</v>
      </c>
      <c r="L696" s="598" t="str">
        <f>IF($B$23=$W$22,L683,$U$15)</f>
        <v>TABELA PRÁTICA - INPC</v>
      </c>
      <c r="M696" s="599"/>
      <c r="N696" s="599"/>
      <c r="O696" s="600"/>
      <c r="Q696" s="486" t="s">
        <v>112</v>
      </c>
      <c r="R696" s="446"/>
      <c r="S696" s="446"/>
      <c r="T696" s="486" t="s">
        <v>113</v>
      </c>
      <c r="U696" s="446"/>
      <c r="V696" s="446"/>
      <c r="Z696" s="490">
        <f ca="1">SUMIF(ÍNDICES!$A$3:$W$4,L696,ÍNDICES!$A$4:$W$4)+10</f>
        <v>13</v>
      </c>
      <c r="BB696" s="491"/>
    </row>
    <row r="697" spans="1:54" s="486" customFormat="1" ht="12.95" customHeight="1" x14ac:dyDescent="0.2">
      <c r="A697" s="217" t="str">
        <f>IF(AND(A695=Q697,B696=T694),"","Fl.")</f>
        <v>Fl.</v>
      </c>
      <c r="B697" s="3" t="str">
        <f>IF(AND(A695=Q697,B696=T694),"","Data")</f>
        <v>Data</v>
      </c>
      <c r="C697" s="62" t="s">
        <v>114</v>
      </c>
      <c r="D697" s="62" t="str">
        <f>IF(AND(A695=Q697,B696=T694),"","Valor Original")</f>
        <v>Valor Original</v>
      </c>
      <c r="E697" s="204"/>
      <c r="F697" s="204"/>
      <c r="G697" s="204"/>
      <c r="H697" s="189"/>
      <c r="I697" s="4" t="str">
        <f>IF(A695=Q697,"FAIXA","ÍNDICE")</f>
        <v>ÍNDICE</v>
      </c>
      <c r="J697" s="16" t="str">
        <f>IF(A695=Q697,"Base de Incidência","Valor Corrigido")</f>
        <v>Valor Corrigido</v>
      </c>
      <c r="K697" s="14" t="s">
        <v>115</v>
      </c>
      <c r="L697" s="14" t="s">
        <v>116</v>
      </c>
      <c r="M697" s="66" t="s">
        <v>75</v>
      </c>
      <c r="N697" s="16" t="s">
        <v>95</v>
      </c>
      <c r="O697" s="14" t="s">
        <v>117</v>
      </c>
      <c r="Q697" s="486" t="s">
        <v>118</v>
      </c>
      <c r="R697" s="492"/>
      <c r="S697" s="492"/>
      <c r="T697" s="492"/>
      <c r="U697" s="492"/>
      <c r="V697" s="492"/>
      <c r="W697" s="492"/>
      <c r="X697" s="492"/>
      <c r="Y697" s="492"/>
      <c r="Z697" s="492"/>
      <c r="AA697" s="492"/>
      <c r="AB697" s="492"/>
      <c r="AC697" s="492"/>
      <c r="AD697" s="492"/>
      <c r="AE697" s="492"/>
      <c r="AF697" s="492"/>
      <c r="AG697" s="492"/>
      <c r="AH697" s="492"/>
      <c r="AI697" s="492"/>
      <c r="AJ697" s="492"/>
      <c r="AK697" s="492"/>
      <c r="AL697" s="492"/>
      <c r="AM697" s="492"/>
      <c r="AN697" s="492"/>
      <c r="AO697" s="492"/>
      <c r="AP697" s="492"/>
      <c r="BB697" s="488"/>
    </row>
    <row r="698" spans="1:54" s="486" customFormat="1" ht="12.95" customHeight="1" x14ac:dyDescent="0.2">
      <c r="A698" s="218" t="str">
        <f>IF(AND(A695=Q697,B696=T694),"",":::::")</f>
        <v>:::::</v>
      </c>
      <c r="B698" s="6" t="str">
        <f>IF($A695=$Q695,"do ajuizamento",IF($A695=$Q696,"da decisão",""))</f>
        <v/>
      </c>
      <c r="C698" s="5" t="s">
        <v>119</v>
      </c>
      <c r="D698" s="5" t="str">
        <f>IF($A695=$Q694,"::::::::",IF($A695=$Q695,"da causa",IF($A695=$Q696,"fixado","")))</f>
        <v>::::::::</v>
      </c>
      <c r="E698" s="204"/>
      <c r="F698" s="204"/>
      <c r="G698" s="204"/>
      <c r="H698" s="189"/>
      <c r="I698" s="7" t="str">
        <f>IF(A695=Q697,"::::::::","inicial")</f>
        <v>inicial</v>
      </c>
      <c r="J698" s="5" t="str">
        <f>IF($A695=$Q695,"da causa",IF($A695=$Q696,"fixado","::::::::"))</f>
        <v>::::::::</v>
      </c>
      <c r="K698" s="31" t="s">
        <v>120</v>
      </c>
      <c r="L698" s="174" t="s">
        <v>121</v>
      </c>
      <c r="M698" s="7" t="s">
        <v>100</v>
      </c>
      <c r="N698" s="59">
        <v>40179</v>
      </c>
      <c r="O698" s="5" t="s">
        <v>87</v>
      </c>
      <c r="P698" s="493"/>
      <c r="Q698" s="493"/>
      <c r="R698" s="493"/>
      <c r="S698" s="493"/>
      <c r="T698" s="493"/>
      <c r="U698" s="493"/>
      <c r="V698" s="493"/>
      <c r="W698" s="494"/>
      <c r="X698" s="494"/>
      <c r="Y698" s="494"/>
      <c r="Z698" s="494"/>
      <c r="AA698" s="494"/>
      <c r="AB698" s="494"/>
      <c r="AC698" s="494"/>
      <c r="AD698" s="494"/>
      <c r="AE698" s="494"/>
      <c r="AF698" s="494"/>
      <c r="AG698" s="494"/>
      <c r="AH698" s="494"/>
      <c r="AI698" s="494"/>
      <c r="AJ698" s="494"/>
      <c r="AK698" s="494"/>
      <c r="AL698" s="494"/>
      <c r="AM698" s="494"/>
      <c r="AN698" s="494"/>
      <c r="AO698" s="494"/>
      <c r="AP698" s="492"/>
      <c r="BB698" s="488"/>
    </row>
    <row r="699" spans="1:54" s="486" customFormat="1" ht="12.95" customHeight="1" x14ac:dyDescent="0.2">
      <c r="A699" s="219"/>
      <c r="B699" s="6"/>
      <c r="C699" s="220"/>
      <c r="D699" s="7"/>
      <c r="E699" s="204"/>
      <c r="F699" s="204"/>
      <c r="G699" s="204"/>
      <c r="H699" s="189"/>
      <c r="I699" s="7"/>
      <c r="J699" s="12"/>
      <c r="K699" s="358">
        <f>IF(LEFT(A695,6)="ARBITR",100%,0)</f>
        <v>0</v>
      </c>
      <c r="L699" s="28" t="s">
        <v>120</v>
      </c>
      <c r="M699" s="72"/>
      <c r="N699" s="28"/>
      <c r="O699" s="57"/>
      <c r="P699" s="495" t="s">
        <v>122</v>
      </c>
      <c r="Q699" s="496"/>
      <c r="R699" s="496"/>
      <c r="S699" s="496"/>
      <c r="T699" s="496"/>
      <c r="U699" s="496"/>
      <c r="V699" s="496"/>
      <c r="W699" s="497"/>
      <c r="X699" s="497"/>
      <c r="Y699" s="497"/>
      <c r="Z699" s="497"/>
      <c r="AA699" s="497"/>
      <c r="AB699" s="497"/>
      <c r="AC699" s="497"/>
      <c r="AD699" s="497"/>
      <c r="AE699" s="497"/>
      <c r="AF699" s="497"/>
      <c r="AG699" s="497"/>
      <c r="AH699" s="497"/>
      <c r="AI699" s="497"/>
      <c r="AJ699" s="497"/>
      <c r="AK699" s="497"/>
      <c r="AL699" s="497"/>
      <c r="AM699" s="497"/>
      <c r="AN699" s="497"/>
      <c r="AO699" s="497"/>
      <c r="AP699" s="489"/>
      <c r="BB699" s="488"/>
    </row>
    <row r="700" spans="1:54" s="486" customFormat="1" ht="6" customHeight="1" x14ac:dyDescent="0.25">
      <c r="A700" s="219"/>
      <c r="B700" s="172"/>
      <c r="C700" s="220"/>
      <c r="D700" s="5"/>
      <c r="E700" s="204"/>
      <c r="F700" s="204"/>
      <c r="G700" s="204"/>
      <c r="H700" s="189"/>
      <c r="I700" s="7"/>
      <c r="J700" s="221"/>
      <c r="K700" s="222"/>
      <c r="L700" s="7"/>
      <c r="M700" s="70"/>
      <c r="N700" s="223"/>
      <c r="O700" s="224"/>
      <c r="P700" s="445"/>
      <c r="Q700" s="445"/>
      <c r="R700" s="445"/>
      <c r="S700" s="445"/>
      <c r="T700" s="445"/>
      <c r="U700" s="445"/>
      <c r="V700" s="445"/>
      <c r="W700" s="445"/>
      <c r="X700" s="445"/>
      <c r="Y700" s="445"/>
      <c r="Z700" s="445"/>
      <c r="AA700" s="445"/>
      <c r="AB700" s="445"/>
      <c r="AC700" s="445"/>
      <c r="AD700" s="445"/>
      <c r="AE700" s="445"/>
      <c r="AF700" s="445"/>
      <c r="AG700" s="445"/>
      <c r="AH700" s="445"/>
      <c r="AI700" s="445"/>
      <c r="AJ700" s="445"/>
      <c r="AK700" s="489"/>
      <c r="AL700" s="489"/>
      <c r="AM700" s="489"/>
      <c r="AN700" s="489"/>
      <c r="AO700" s="489"/>
      <c r="AP700" s="489"/>
      <c r="BB700" s="488"/>
    </row>
    <row r="701" spans="1:54" s="486" customFormat="1" ht="11.25" customHeight="1" x14ac:dyDescent="0.2">
      <c r="A701" s="225"/>
      <c r="B701" s="178"/>
      <c r="C701" s="183" t="str">
        <f>IF(ISERROR(VLOOKUP($B701,ÍNDICES!$A:$DE,21)),"",VLOOKUP($B701,ÍNDICES!$A:$DE,21))</f>
        <v/>
      </c>
      <c r="D701" s="155"/>
      <c r="E701" s="151"/>
      <c r="F701" s="151"/>
      <c r="G701" s="151"/>
      <c r="H701" s="189"/>
      <c r="I701" s="29" t="str">
        <f ca="1">IF(A$695=Q$697,"até 200 SMs:",IF(ISERROR(IF(B701&gt;$D$19,1,VLOOKUP(DATE(YEAR(B701),MONTH(B701)+IF($C$35=$S$23,1,0),1),ÍNDICES!$A:$DE,$Z$696+1))),"",IF(B701&gt;$D$19,1,VLOOKUP(DATE(YEAR(B701),MONTH(B701)+IF($G$696=$S$23,1,0),1),ÍNDICES!$A:$DE,$Z$696+1))))</f>
        <v/>
      </c>
      <c r="J701" s="5" t="str">
        <f>IF(A$695=Q$697,MIN(200*VLOOKUP($D$19,ÍNDICES!A:W,23),IF($B$696=$T$694,$O$692,$D$701/$I$696*$J$696)),IF(ISERROR(IF(D701="","",D701*IF(B701&gt;$D$19,1,$J$696)/I701)),0,IF(D701="","",D701*IF(B701&gt;$D$19,1,$J$696)/I701)))</f>
        <v/>
      </c>
      <c r="K701" s="5">
        <f ca="1">IF($A$695=$Q$694,O$692*K$699,IF(J701="","",J701*K$699))</f>
        <v>0</v>
      </c>
      <c r="L701" s="30">
        <v>0.1</v>
      </c>
      <c r="M701" s="64">
        <f ca="1">IF(K701="","",IFERROR(SUM(P701:BA701),""))</f>
        <v>0</v>
      </c>
      <c r="N701" s="425">
        <f ca="1">IFERROR(K701*SUMPRODUCT($P$37:$BA$37,$P701:$BA701),"")</f>
        <v>0</v>
      </c>
      <c r="O701" s="5">
        <f ca="1">IF(A$695=Q$697,IF(J701="","",IF(J701&gt;0,J701*L701,0)),SUM(K701,N701))</f>
        <v>0</v>
      </c>
      <c r="P701" s="498">
        <f>IF(OR($B701="",MIN(P$38,$D$19)&lt;MAX($P$694*($B701+IF($R$17="Distrato",$I$38-1,0)),IF(AND($N$698=0,$P$694=0),"",$N$698-1),IF($R$17="Distrato",$E701,0))),0,YEARFRAC(MAX($P$694*($B701+IF($R$17="Distrato",$I$38-1,0)),IF(AND($N$698=0,$P$694=0),"",$N$698-1),IF($R$17="Distrato",$E701,0)),MIN(P$38,$D$19),$P$20))</f>
        <v>0</v>
      </c>
      <c r="Q701" s="498">
        <f>IF(OR($B701="",MIN(Q$38,$D$19)&lt;MAX($P$694*($B701+IF($R$17="Distrato",$I$38-1,0)),IF(AND($N$698=0,$P$694=0),"",$N$698-1),IF($R$17="Distrato",$E701,0))),0,YEARFRAC(MAX($P$694*($B701+IF($R$17="Distrato",$I$38-1,0)),IF(AND($N$698=0,$P$694=0),"",$N$698-1),IF($R$17="Distrato",$E701,0)),MIN(Q$38,$D$19),$P$20))-SUM($P701:P701)</f>
        <v>0</v>
      </c>
      <c r="R701" s="498">
        <f>IF(OR($B701="",MIN(R$38,$D$19)&lt;MAX($P$694*($B701+IF($R$17="Distrato",$I$38-1,0)),IF(AND($N$698=0,$P$694=0),"",$N$698-1),IF($R$17="Distrato",$E701,0))),0,YEARFRAC(MAX($P$694*($B701+IF($R$17="Distrato",$I$38-1,0)),IF(AND($N$698=0,$P$694=0),"",$N$698-1),IF($R$17="Distrato",$E701,0)),MIN(R$38,$D$19),$P$20))-SUM($P701:Q701)</f>
        <v>0</v>
      </c>
      <c r="S701" s="498">
        <f>IF(OR($B701="",MIN(S$38,$D$19)&lt;MAX($P$694*($B701+IF($R$17="Distrato",$I$38-1,0)),IF(AND($N$698=0,$P$694=0),"",$N$698-1),IF($R$17="Distrato",$E701,0))),0,YEARFRAC(MAX($P$694*($B701+IF($R$17="Distrato",$I$38-1,0)),IF(AND($N$698=0,$P$694=0),"",$N$698-1),IF($R$17="Distrato",$E701,0)),MIN(S$38,$D$19),$P$20))-SUM($P701:R701)</f>
        <v>0</v>
      </c>
      <c r="T701" s="498">
        <f>IF(OR($B701="",MIN(T$38,$D$19)&lt;MAX($P$694*($B701+IF($R$17="Distrato",$I$38-1,0)),IF(AND($N$698=0,$P$694=0),"",$N$698-1),IF($R$17="Distrato",$E701,0))),0,YEARFRAC(MAX($P$694*($B701+IF($R$17="Distrato",$I$38-1,0)),IF(AND($N$698=0,$P$694=0),"",$N$698-1),IF($R$17="Distrato",$E701,0)),MIN(T$38,$D$19),$P$20))-SUM($P701:S701)</f>
        <v>0</v>
      </c>
      <c r="U701" s="498">
        <f>IF(OR($B701="",MIN(U$38,$D$19)&lt;MAX($P$694*($B701+IF($R$17="Distrato",$I$38-1,0)),IF(AND($N$698=0,$P$694=0),"",$N$698-1),IF($R$17="Distrato",$E701,0))),0,YEARFRAC(MAX($P$694*($B701+IF($R$17="Distrato",$I$38-1,0)),IF(AND($N$698=0,$P$694=0),"",$N$698-1),IF($R$17="Distrato",$E701,0)),MIN(U$38,$D$19),$P$20))-SUM($P701:T701)</f>
        <v>0</v>
      </c>
      <c r="V701" s="498">
        <f>IF(OR($B701="",MIN(V$38,$D$19)&lt;MAX($P$694*($B701+IF($R$17="Distrato",$I$38-1,0)),IF(AND($N$698=0,$P$694=0),"",$N$698-1),IF($R$17="Distrato",$E701,0))),0,YEARFRAC(MAX($P$694*($B701+IF($R$17="Distrato",$I$38-1,0)),IF(AND($N$698=0,$P$694=0),"",$N$698-1),IF($R$17="Distrato",$E701,0)),MIN(V$38,$D$19),$P$20))-SUM($P701:U701)</f>
        <v>0</v>
      </c>
      <c r="W701" s="498">
        <f>IF(OR($B701="",MIN(W$38,$D$19)&lt;MAX($P$694*($B701+IF($R$17="Distrato",$I$38-1,0)),IF(AND($N$698=0,$P$694=0),"",$N$698-1),IF($R$17="Distrato",$E701,0))),0,YEARFRAC(MAX($P$694*($B701+IF($R$17="Distrato",$I$38-1,0)),IF(AND($N$698=0,$P$694=0),"",$N$698-1),IF($R$17="Distrato",$E701,0)),MIN(W$38,$D$19),$P$20))-SUM($P701:V701)</f>
        <v>0</v>
      </c>
      <c r="X701" s="498">
        <f>IF(OR($B701="",MIN(X$38,$D$19)&lt;MAX($P$694*($B701+IF($R$17="Distrato",$I$38-1,0)),IF(AND($N$698=0,$P$694=0),"",$N$698-1),IF($R$17="Distrato",$E701,0))),0,YEARFRAC(MAX($P$694*($B701+IF($R$17="Distrato",$I$38-1,0)),IF(AND($N$698=0,$P$694=0),"",$N$698-1),IF($R$17="Distrato",$E701,0)),MIN(X$38,$D$19),$P$20))-SUM($P701:W701)</f>
        <v>0</v>
      </c>
      <c r="Y701" s="498">
        <f>IF(OR($B701="",MIN(Y$38,$D$19)&lt;MAX($P$694*($B701+IF($R$17="Distrato",$I$38-1,0)),IF(AND($N$698=0,$P$694=0),"",$N$698-1),IF($R$17="Distrato",$E701,0))),0,YEARFRAC(MAX($P$694*($B701+IF($R$17="Distrato",$I$38-1,0)),IF(AND($N$698=0,$P$694=0),"",$N$698-1),IF($R$17="Distrato",$E701,0)),MIN(Y$38,$D$19),$P$20))-SUM($P701:X701)</f>
        <v>0</v>
      </c>
      <c r="Z701" s="498">
        <f>IF(OR($B701="",MIN(Z$38,$D$19)&lt;MAX($P$694*($B701+IF($R$17="Distrato",$I$38-1,0)),IF(AND($N$698=0,$P$694=0),"",$N$698-1),IF($R$17="Distrato",$E701,0))),0,YEARFRAC(MAX($P$694*($B701+IF($R$17="Distrato",$I$38-1,0)),IF(AND($N$698=0,$P$694=0),"",$N$698-1),IF($R$17="Distrato",$E701,0)),MIN(Z$38,$D$19),$P$20))-SUM($P701:Y701)</f>
        <v>0</v>
      </c>
      <c r="AA701" s="498">
        <f>IF(OR($B701="",MIN(AA$38,$D$19)&lt;MAX($P$694*($B701+IF($R$17="Distrato",$I$38-1,0)),IF(AND($N$698=0,$P$694=0),"",$N$698-1),IF($R$17="Distrato",$E701,0))),0,YEARFRAC(MAX($P$694*($B701+IF($R$17="Distrato",$I$38-1,0)),IF(AND($N$698=0,$P$694=0),"",$N$698-1),IF($R$17="Distrato",$E701,0)),MIN(AA$38,$D$19),$P$20))-SUM($P701:Z701)</f>
        <v>0</v>
      </c>
      <c r="AB701" s="498">
        <f>IF(OR($B701="",MIN(AB$38,$D$19)&lt;MAX($P$694*($B701+IF($R$17="Distrato",$I$38-1,0)),IF(AND($N$698=0,$P$694=0),"",$N$698-1),IF($R$17="Distrato",$E701,0))),0,YEARFRAC(MAX($P$694*($B701+IF($R$17="Distrato",$I$38-1,0)),IF(AND($N$698=0,$P$694=0),"",$N$698-1),IF($R$17="Distrato",$E701,0)),MIN(AB$38,$D$19),$P$20))-SUM($P701:AA701)</f>
        <v>0</v>
      </c>
      <c r="AC701" s="498">
        <f>IF(OR($B701="",MIN(AC$38,$D$19)&lt;MAX($P$694*($B701+IF($R$17="Distrato",$I$38-1,0)),IF(AND($N$698=0,$P$694=0),"",$N$698-1),IF($R$17="Distrato",$E701,0))),0,YEARFRAC(MAX($P$694*($B701+IF($R$17="Distrato",$I$38-1,0)),IF(AND($N$698=0,$P$694=0),"",$N$698-1),IF($R$17="Distrato",$E701,0)),MIN(AC$38,$D$19),$P$20))-SUM($P701:AB701)</f>
        <v>0</v>
      </c>
      <c r="AD701" s="498">
        <f>IF(OR($B701="",MIN(AD$38,$D$19)&lt;MAX($P$694*($B701+IF($R$17="Distrato",$I$38-1,0)),IF(AND($N$698=0,$P$694=0),"",$N$698-1),IF($R$17="Distrato",$E701,0))),0,YEARFRAC(MAX($P$694*($B701+IF($R$17="Distrato",$I$38-1,0)),IF(AND($N$698=0,$P$694=0),"",$N$698-1),IF($R$17="Distrato",$E701,0)),MIN(AD$38,$D$19),$P$20))-SUM($P701:AC701)</f>
        <v>0</v>
      </c>
      <c r="AE701" s="498">
        <f>IF(OR($B701="",MIN(AE$38,$D$19)&lt;MAX($P$694*($B701+IF($R$17="Distrato",$I$38-1,0)),IF(AND($N$698=0,$P$694=0),"",$N$698-1),IF($R$17="Distrato",$E701,0))),0,YEARFRAC(MAX($P$694*($B701+IF($R$17="Distrato",$I$38-1,0)),IF(AND($N$698=0,$P$694=0),"",$N$698-1),IF($R$17="Distrato",$E701,0)),MIN(AE$38,$D$19),$P$20))-SUM($P701:AD701)</f>
        <v>0</v>
      </c>
      <c r="AF701" s="498">
        <f>IF(OR($B701="",MIN(AF$38,$D$19)&lt;MAX($P$694*($B701+IF($R$17="Distrato",$I$38-1,0)),IF(AND($N$698=0,$P$694=0),"",$N$698-1),IF($R$17="Distrato",$E701,0))),0,YEARFRAC(MAX($P$694*($B701+IF($R$17="Distrato",$I$38-1,0)),IF(AND($N$698=0,$P$694=0),"",$N$698-1),IF($R$17="Distrato",$E701,0)),MIN(AF$38,$D$19),$P$20))-SUM($P701:AE701)</f>
        <v>0</v>
      </c>
      <c r="AG701" s="498">
        <f>IF(OR($B701="",MIN(AG$38,$D$19)&lt;MAX($P$694*($B701+IF($R$17="Distrato",$I$38-1,0)),IF(AND($N$698=0,$P$694=0),"",$N$698-1),IF($R$17="Distrato",$E701,0))),0,YEARFRAC(MAX($P$694*($B701+IF($R$17="Distrato",$I$38-1,0)),IF(AND($N$698=0,$P$694=0),"",$N$698-1),IF($R$17="Distrato",$E701,0)),MIN(AG$38,$D$19),$P$20))-SUM($P701:AF701)</f>
        <v>0</v>
      </c>
      <c r="AH701" s="498">
        <f>IF(OR($B701="",MIN(AH$38,$D$19)&lt;MAX($P$694*($B701+IF($R$17="Distrato",$I$38-1,0)),IF(AND($N$698=0,$P$694=0),"",$N$698-1),IF($R$17="Distrato",$E701,0))),0,YEARFRAC(MAX($P$694*($B701+IF($R$17="Distrato",$I$38-1,0)),IF(AND($N$698=0,$P$694=0),"",$N$698-1),IF($R$17="Distrato",$E701,0)),MIN(AH$38,$D$19),$P$20))-SUM($P701:AG701)</f>
        <v>0</v>
      </c>
      <c r="AI701" s="498">
        <f>IF(OR($B701="",MIN(AI$38,$D$19)&lt;MAX($P$694*($B701+IF($R$17="Distrato",$I$38-1,0)),IF(AND($N$698=0,$P$694=0),"",$N$698-1),IF($R$17="Distrato",$E701,0))),0,YEARFRAC(MAX($P$694*($B701+IF($R$17="Distrato",$I$38-1,0)),IF(AND($N$698=0,$P$694=0),"",$N$698-1),IF($R$17="Distrato",$E701,0)),MIN(AI$38,$D$19),$P$20))-SUM($P701:AH701)</f>
        <v>0</v>
      </c>
      <c r="AJ701" s="498">
        <f>IF(OR($B701="",MIN(AJ$38,$D$19)&lt;MAX($P$694*($B701+IF($R$17="Distrato",$I$38-1,0)),IF(AND($N$698=0,$P$694=0),"",$N$698-1),IF($R$17="Distrato",$E701,0))),0,YEARFRAC(MAX($P$694*($B701+IF($R$17="Distrato",$I$38-1,0)),IF(AND($N$698=0,$P$694=0),"",$N$698-1),IF($R$17="Distrato",$E701,0)),MIN(AJ$38,$D$19),$P$20))-SUM($P701:AI701)</f>
        <v>0</v>
      </c>
      <c r="AK701" s="498">
        <f>IF(OR($B701="",MIN(AK$38,$D$19)&lt;MAX($P$694*($B701+IF($R$17="Distrato",$I$38-1,0)),IF(AND($N$698=0,$P$694=0),"",$N$698-1),IF($R$17="Distrato",$E701,0))),0,YEARFRAC(MAX($P$694*($B701+IF($R$17="Distrato",$I$38-1,0)),IF(AND($N$698=0,$P$694=0),"",$N$698-1),IF($R$17="Distrato",$E701,0)),MIN(AK$38,$D$19),$P$20))-SUM($P701:AJ701)</f>
        <v>0</v>
      </c>
      <c r="AL701" s="498">
        <f>IF(OR($B701="",MIN(AL$38,$D$19)&lt;MAX($P$694*($B701+IF($R$17="Distrato",$I$38-1,0)),IF(AND($N$698=0,$P$694=0),"",$N$698-1),IF($R$17="Distrato",$E701,0))),0,YEARFRAC(MAX($P$694*($B701+IF($R$17="Distrato",$I$38-1,0)),IF(AND($N$698=0,$P$694=0),"",$N$698-1),IF($R$17="Distrato",$E701,0)),MIN(AL$38,$D$19),$P$20))-SUM($P701:AK701)</f>
        <v>0</v>
      </c>
      <c r="AM701" s="498">
        <f>IF(OR($B701="",MIN(AM$38,$D$19)&lt;MAX($P$694*($B701+IF($R$17="Distrato",$I$38-1,0)),IF(AND($N$698=0,$P$694=0),"",$N$698-1),IF($R$17="Distrato",$E701,0))),0,YEARFRAC(MAX($P$694*($B701+IF($R$17="Distrato",$I$38-1,0)),IF(AND($N$698=0,$P$694=0),"",$N$698-1),IF($R$17="Distrato",$E701,0)),MIN(AM$38,$D$19),$P$20))-SUM($P701:AL701)</f>
        <v>0</v>
      </c>
      <c r="AN701" s="498">
        <f>IF(OR($B701="",MIN(AN$38,$D$19)&lt;MAX($P$694*($B701+IF($R$17="Distrato",$I$38-1,0)),IF(AND($N$698=0,$P$694=0),"",$N$698-1),IF($R$17="Distrato",$E701,0))),0,YEARFRAC(MAX($P$694*($B701+IF($R$17="Distrato",$I$38-1,0)),IF(AND($N$698=0,$P$694=0),"",$N$698-1),IF($R$17="Distrato",$E701,0)),MIN(AN$38,$D$19),$P$20))-SUM($P701:AM701)</f>
        <v>0</v>
      </c>
      <c r="AO701" s="498">
        <f>IF(OR($B701="",MIN(AO$38,$D$19)&lt;MAX($P$694*($B701+IF($R$17="Distrato",$I$38-1,0)),IF(AND($N$698=0,$P$694=0),"",$N$698-1),IF($R$17="Distrato",$E701,0))),0,YEARFRAC(MAX($P$694*($B701+IF($R$17="Distrato",$I$38-1,0)),IF(AND($N$698=0,$P$694=0),"",$N$698-1),IF($R$17="Distrato",$E701,0)),MIN(AO$38,$D$19),$P$20))-SUM($P701:AN701)</f>
        <v>0</v>
      </c>
      <c r="AP701" s="498">
        <f>IF(OR($B701="",MIN(AP$38,$D$19)&lt;MAX($P$694*($B701+IF($R$17="Distrato",$I$38-1,0)),IF(AND($N$698=0,$P$694=0),"",$N$698-1),IF($R$17="Distrato",$E701,0))),0,YEARFRAC(MAX($P$694*($B701+IF($R$17="Distrato",$I$38-1,0)),IF(AND($N$698=0,$P$694=0),"",$N$698-1),IF($R$17="Distrato",$E701,0)),MIN(AP$38,$D$19),$P$20))-SUM($P701:AO701)</f>
        <v>0</v>
      </c>
      <c r="AQ701" s="498">
        <f>IF(OR($B701="",MIN(AQ$38,$D$19)&lt;MAX($P$694*($B701+IF($R$17="Distrato",$I$38-1,0)),IF(AND($N$698=0,$P$694=0),"",$N$698-1),IF($R$17="Distrato",$E701,0))),0,YEARFRAC(MAX($P$694*($B701+IF($R$17="Distrato",$I$38-1,0)),IF(AND($N$698=0,$P$694=0),"",$N$698-1),IF($R$17="Distrato",$E701,0)),MIN(AQ$38,$D$19),$P$20))-SUM($P701:AP701)</f>
        <v>0</v>
      </c>
      <c r="AR701" s="498">
        <f>IF(OR($B701="",MIN(AR$38,$D$19)&lt;MAX($P$694*($B701+IF($R$17="Distrato",$I$38-1,0)),IF(AND($N$698=0,$P$694=0),"",$N$698-1),IF($R$17="Distrato",$E701,0))),0,YEARFRAC(MAX($P$694*($B701+IF($R$17="Distrato",$I$38-1,0)),IF(AND($N$698=0,$P$694=0),"",$N$698-1),IF($R$17="Distrato",$E701,0)),MIN(AR$38,$D$19),$P$20))-SUM($P701:AQ701)</f>
        <v>0</v>
      </c>
      <c r="AS701" s="498">
        <f>IF(OR($B701="",MIN(AS$38,$D$19)&lt;MAX($P$694*($B701+IF($R$17="Distrato",$I$38-1,0)),IF(AND($N$698=0,$P$694=0),"",$N$698-1),IF($R$17="Distrato",$E701,0))),0,YEARFRAC(MAX($P$694*($B701+IF($R$17="Distrato",$I$38-1,0)),IF(AND($N$698=0,$P$694=0),"",$N$698-1),IF($R$17="Distrato",$E701,0)),MIN(AS$38,$D$19),$P$20))-SUM($P701:AR701)</f>
        <v>0</v>
      </c>
      <c r="AT701" s="498">
        <f>IF(OR($B701="",MIN(AT$38,$D$19)&lt;MAX($P$694*($B701+IF($R$17="Distrato",$I$38-1,0)),IF(AND($N$698=0,$P$694=0),"",$N$698-1),IF($R$17="Distrato",$E701,0))),0,YEARFRAC(MAX($P$694*($B701+IF($R$17="Distrato",$I$38-1,0)),IF(AND($N$698=0,$P$694=0),"",$N$698-1),IF($R$17="Distrato",$E701,0)),MIN(AT$38,$D$19),$P$20))-SUM($P701:AS701)</f>
        <v>0</v>
      </c>
      <c r="AU701" s="498">
        <f>IF(OR($B701="",MIN(AU$38,$D$19)&lt;MAX($P$694*($B701+IF($R$17="Distrato",$I$38-1,0)),IF(AND($N$698=0,$P$694=0),"",$N$698-1),IF($R$17="Distrato",$E701,0))),0,YEARFRAC(MAX($P$694*($B701+IF($R$17="Distrato",$I$38-1,0)),IF(AND($N$698=0,$P$694=0),"",$N$698-1),IF($R$17="Distrato",$E701,0)),MIN(AU$38,$D$19),$P$20))-SUM($P701:AT701)</f>
        <v>0</v>
      </c>
      <c r="AV701" s="498">
        <f>IF(OR($B701="",MIN(AV$38,$D$19)&lt;MAX($P$694*($B701+IF($R$17="Distrato",$I$38-1,0)),IF(AND($N$698=0,$P$694=0),"",$N$698-1),IF($R$17="Distrato",$E701,0))),0,YEARFRAC(MAX($P$694*($B701+IF($R$17="Distrato",$I$38-1,0)),IF(AND($N$698=0,$P$694=0),"",$N$698-1),IF($R$17="Distrato",$E701,0)),MIN(AV$38,$D$19),$P$20))-SUM($P701:AU701)</f>
        <v>0</v>
      </c>
      <c r="AW701" s="498">
        <f>IF(OR($B701="",MIN(AW$38,$D$19)&lt;MAX($P$694*($B701+IF($R$17="Distrato",$I$38-1,0)),IF(AND($N$698=0,$P$694=0),"",$N$698-1),IF($R$17="Distrato",$E701,0))),0,YEARFRAC(MAX($P$694*($B701+IF($R$17="Distrato",$I$38-1,0)),IF(AND($N$698=0,$P$694=0),"",$N$698-1),IF($R$17="Distrato",$E701,0)),MIN(AW$38,$D$19),$P$20))-SUM($P701:AV701)</f>
        <v>0</v>
      </c>
      <c r="AX701" s="498">
        <f>IF(OR($B701="",MIN(AX$38,$D$19)&lt;MAX($P$694*($B701+IF($R$17="Distrato",$I$38-1,0)),IF(AND($N$698=0,$P$694=0),"",$N$698-1),IF($R$17="Distrato",$E701,0))),0,YEARFRAC(MAX($P$694*($B701+IF($R$17="Distrato",$I$38-1,0)),IF(AND($N$698=0,$P$694=0),"",$N$698-1),IF($R$17="Distrato",$E701,0)),MIN(AX$38,$D$19),$P$20))-SUM($P701:AW701)</f>
        <v>0</v>
      </c>
      <c r="AY701" s="498">
        <f>IF(OR($B701="",MIN(AY$38,$D$19)&lt;MAX($P$694*($B701+IF($R$17="Distrato",$I$38-1,0)),IF(AND($N$698=0,$P$694=0),"",$N$698-1),IF($R$17="Distrato",$E701,0))),0,YEARFRAC(MAX($P$694*($B701+IF($R$17="Distrato",$I$38-1,0)),IF(AND($N$698=0,$P$694=0),"",$N$698-1),IF($R$17="Distrato",$E701,0)),MIN(AY$38,$D$19),$P$20))-SUM($P701:AX701)</f>
        <v>0</v>
      </c>
      <c r="AZ701" s="498">
        <f>IF(OR($B701="",MIN(AZ$38,$D$19)&lt;MAX($P$694*($B701+IF($R$17="Distrato",$I$38-1,0)),IF(AND($N$698=0,$P$694=0),"",$N$698-1),IF($R$17="Distrato",$E701,0))),0,YEARFRAC(MAX($P$694*($B701+IF($R$17="Distrato",$I$38-1,0)),IF(AND($N$698=0,$P$694=0),"",$N$698-1),IF($R$17="Distrato",$E701,0)),MIN(AZ$38,$D$19),$P$20))-SUM($P701:AY701)</f>
        <v>0</v>
      </c>
      <c r="BA701" s="498">
        <f>IF(OR($B701="",MIN(BA$38,$D$19)&lt;MAX($P$694*($B701+IF($R$17="Distrato",$I$38-1,0)),IF(AND($N$698=0,$P$694=0),"",$N$698-1),IF($R$17="Distrato",$E701,0))),0,YEARFRAC(MAX($P$694*($B701+IF($R$17="Distrato",$I$38-1,0)),IF(AND($N$698=0,$P$694=0),"",$N$698-1),IF($R$17="Distrato",$E701,0)),MIN(BA$38,$D$19),$P$20))-SUM($P701:AZ701)</f>
        <v>0</v>
      </c>
      <c r="BB701" s="488"/>
    </row>
    <row r="702" spans="1:54" s="486" customFormat="1" ht="11.25" customHeight="1" x14ac:dyDescent="0.2">
      <c r="A702" s="225"/>
      <c r="B702" s="178"/>
      <c r="C702" s="183" t="str">
        <f>IF(ISERROR(VLOOKUP($B702,ÍNDICES!$A:$DE,21)),"",VLOOKUP($B702,ÍNDICES!$A:$DE,21))</f>
        <v/>
      </c>
      <c r="D702" s="155"/>
      <c r="E702" s="151"/>
      <c r="F702" s="151"/>
      <c r="G702" s="151"/>
      <c r="H702" s="189"/>
      <c r="I702" s="29" t="str">
        <f ca="1">IF(A$695=Q$697,"200 até 2.000 SMs:",IF(ISERROR(IF(B702&gt;$D$19,1,VLOOKUP(DATE(YEAR(B702),MONTH(B702)+IF($C$35=$S$23,1,0),1),ÍNDICES!$A:$DE,$Z$696+1))),"",IF(B702&gt;$D$19,1,VLOOKUP(DATE(YEAR(B702),MONTH(B702)+IF($G$696=$S$23,1,0),1),ÍNDICES!$A:$DE,$Z$696+1))))</f>
        <v/>
      </c>
      <c r="J702" s="5" t="str">
        <f>IF(A$695=Q$697,MIN(1800*VLOOKUP($D$19,ÍNDICES!A:W,23),IF($B$696=$T$694,$O$692,$D$701/$I$696*$J$696)-SUM(J$701:J701)),IF(ISERROR(IF(D702="","",D702*IF(B702&gt;$D$19,1,$J$696)/I702)),0,IF(D702="","",D702*IF(B702&gt;$D$19,1,$J$696)/I702)))</f>
        <v/>
      </c>
      <c r="K702" s="5">
        <f>IF($A$695=$Q$694,0,IF(J702="","",J702*K$699))</f>
        <v>0</v>
      </c>
      <c r="L702" s="30">
        <v>0.08</v>
      </c>
      <c r="M702" s="64">
        <f>IF(K702="","",IFERROR(SUM(P702:BA702),""))</f>
        <v>0</v>
      </c>
      <c r="N702" s="425">
        <f ca="1">IFERROR(K702*SUMPRODUCT($P$37:$BA$37,$P702:$BA702),"")</f>
        <v>0</v>
      </c>
      <c r="O702" s="5" t="str">
        <f>IF(A$695=Q$697,IF(J702="","",IF(J702&gt;0,J702*L702,0)),IF(B702="","",SUM(K702,N702)))</f>
        <v/>
      </c>
      <c r="P702" s="498">
        <f>IF(OR($B702="",MIN(P$38,$D$19)&lt;MAX($P$694*($B702+IF($R$17="Distrato",$I$38-1,0)),IF(AND($N$698=0,$P$694=0),"",$N$698-1),IF($R$17="Distrato",$E702,0))),0,YEARFRAC(MAX($P$694*($B702+IF($R$17="Distrato",$I$38-1,0)),IF(AND($N$698=0,$P$694=0),"",$N$698-1),IF($R$17="Distrato",$E702,0)),MIN(P$38,$D$19),$P$20))</f>
        <v>0</v>
      </c>
      <c r="Q702" s="498">
        <f>IF(OR($B702="",MIN(Q$38,$D$19)&lt;MAX($P$694*($B702+IF($R$17="Distrato",$I$38-1,0)),IF(AND($N$698=0,$P$694=0),"",$N$698-1),IF($R$17="Distrato",$E702,0))),0,YEARFRAC(MAX($P$694*($B702+IF($R$17="Distrato",$I$38-1,0)),IF(AND($N$698=0,$P$694=0),"",$N$698-1),IF($R$17="Distrato",$E702,0)),MIN(Q$38,$D$19),$P$20))-SUM($P702:P702)</f>
        <v>0</v>
      </c>
      <c r="R702" s="498">
        <f>IF(OR($B702="",MIN(R$38,$D$19)&lt;MAX($P$694*($B702+IF($R$17="Distrato",$I$38-1,0)),IF(AND($N$698=0,$P$694=0),"",$N$698-1),IF($R$17="Distrato",$E702,0))),0,YEARFRAC(MAX($P$694*($B702+IF($R$17="Distrato",$I$38-1,0)),IF(AND($N$698=0,$P$694=0),"",$N$698-1),IF($R$17="Distrato",$E702,0)),MIN(R$38,$D$19),$P$20))-SUM($P702:Q702)</f>
        <v>0</v>
      </c>
      <c r="S702" s="498">
        <f>IF(OR($B702="",MIN(S$38,$D$19)&lt;MAX($P$694*($B702+IF($R$17="Distrato",$I$38-1,0)),IF(AND($N$698=0,$P$694=0),"",$N$698-1),IF($R$17="Distrato",$E702,0))),0,YEARFRAC(MAX($P$694*($B702+IF($R$17="Distrato",$I$38-1,0)),IF(AND($N$698=0,$P$694=0),"",$N$698-1),IF($R$17="Distrato",$E702,0)),MIN(S$38,$D$19),$P$20))-SUM($P702:R702)</f>
        <v>0</v>
      </c>
      <c r="T702" s="498">
        <f>IF(OR($B702="",MIN(T$38,$D$19)&lt;MAX($P$694*($B702+IF($R$17="Distrato",$I$38-1,0)),IF(AND($N$698=0,$P$694=0),"",$N$698-1),IF($R$17="Distrato",$E702,0))),0,YEARFRAC(MAX($P$694*($B702+IF($R$17="Distrato",$I$38-1,0)),IF(AND($N$698=0,$P$694=0),"",$N$698-1),IF($R$17="Distrato",$E702,0)),MIN(T$38,$D$19),$P$20))-SUM($P702:S702)</f>
        <v>0</v>
      </c>
      <c r="U702" s="498">
        <f>IF(OR($B702="",MIN(U$38,$D$19)&lt;MAX($P$694*($B702+IF($R$17="Distrato",$I$38-1,0)),IF(AND($N$698=0,$P$694=0),"",$N$698-1),IF($R$17="Distrato",$E702,0))),0,YEARFRAC(MAX($P$694*($B702+IF($R$17="Distrato",$I$38-1,0)),IF(AND($N$698=0,$P$694=0),"",$N$698-1),IF($R$17="Distrato",$E702,0)),MIN(U$38,$D$19),$P$20))-SUM($P702:T702)</f>
        <v>0</v>
      </c>
      <c r="V702" s="498">
        <f>IF(OR($B702="",MIN(V$38,$D$19)&lt;MAX($P$694*($B702+IF($R$17="Distrato",$I$38-1,0)),IF(AND($N$698=0,$P$694=0),"",$N$698-1),IF($R$17="Distrato",$E702,0))),0,YEARFRAC(MAX($P$694*($B702+IF($R$17="Distrato",$I$38-1,0)),IF(AND($N$698=0,$P$694=0),"",$N$698-1),IF($R$17="Distrato",$E702,0)),MIN(V$38,$D$19),$P$20))-SUM($P702:U702)</f>
        <v>0</v>
      </c>
      <c r="W702" s="498">
        <f>IF(OR($B702="",MIN(W$38,$D$19)&lt;MAX($P$694*($B702+IF($R$17="Distrato",$I$38-1,0)),IF(AND($N$698=0,$P$694=0),"",$N$698-1),IF($R$17="Distrato",$E702,0))),0,YEARFRAC(MAX($P$694*($B702+IF($R$17="Distrato",$I$38-1,0)),IF(AND($N$698=0,$P$694=0),"",$N$698-1),IF($R$17="Distrato",$E702,0)),MIN(W$38,$D$19),$P$20))-SUM($P702:V702)</f>
        <v>0</v>
      </c>
      <c r="X702" s="498">
        <f>IF(OR($B702="",MIN(X$38,$D$19)&lt;MAX($P$694*($B702+IF($R$17="Distrato",$I$38-1,0)),IF(AND($N$698=0,$P$694=0),"",$N$698-1),IF($R$17="Distrato",$E702,0))),0,YEARFRAC(MAX($P$694*($B702+IF($R$17="Distrato",$I$38-1,0)),IF(AND($N$698=0,$P$694=0),"",$N$698-1),IF($R$17="Distrato",$E702,0)),MIN(X$38,$D$19),$P$20))-SUM($P702:W702)</f>
        <v>0</v>
      </c>
      <c r="Y702" s="498">
        <f>IF(OR($B702="",MIN(Y$38,$D$19)&lt;MAX($P$694*($B702+IF($R$17="Distrato",$I$38-1,0)),IF(AND($N$698=0,$P$694=0),"",$N$698-1),IF($R$17="Distrato",$E702,0))),0,YEARFRAC(MAX($P$694*($B702+IF($R$17="Distrato",$I$38-1,0)),IF(AND($N$698=0,$P$694=0),"",$N$698-1),IF($R$17="Distrato",$E702,0)),MIN(Y$38,$D$19),$P$20))-SUM($P702:X702)</f>
        <v>0</v>
      </c>
      <c r="Z702" s="498">
        <f>IF(OR($B702="",MIN(Z$38,$D$19)&lt;MAX($P$694*($B702+IF($R$17="Distrato",$I$38-1,0)),IF(AND($N$698=0,$P$694=0),"",$N$698-1),IF($R$17="Distrato",$E702,0))),0,YEARFRAC(MAX($P$694*($B702+IF($R$17="Distrato",$I$38-1,0)),IF(AND($N$698=0,$P$694=0),"",$N$698-1),IF($R$17="Distrato",$E702,0)),MIN(Z$38,$D$19),$P$20))-SUM($P702:Y702)</f>
        <v>0</v>
      </c>
      <c r="AA702" s="498">
        <f>IF(OR($B702="",MIN(AA$38,$D$19)&lt;MAX($P$694*($B702+IF($R$17="Distrato",$I$38-1,0)),IF(AND($N$698=0,$P$694=0),"",$N$698-1),IF($R$17="Distrato",$E702,0))),0,YEARFRAC(MAX($P$694*($B702+IF($R$17="Distrato",$I$38-1,0)),IF(AND($N$698=0,$P$694=0),"",$N$698-1),IF($R$17="Distrato",$E702,0)),MIN(AA$38,$D$19),$P$20))-SUM($P702:Z702)</f>
        <v>0</v>
      </c>
      <c r="AB702" s="498">
        <f>IF(OR($B702="",MIN(AB$38,$D$19)&lt;MAX($P$694*($B702+IF($R$17="Distrato",$I$38-1,0)),IF(AND($N$698=0,$P$694=0),"",$N$698-1),IF($R$17="Distrato",$E702,0))),0,YEARFRAC(MAX($P$694*($B702+IF($R$17="Distrato",$I$38-1,0)),IF(AND($N$698=0,$P$694=0),"",$N$698-1),IF($R$17="Distrato",$E702,0)),MIN(AB$38,$D$19),$P$20))-SUM($P702:AA702)</f>
        <v>0</v>
      </c>
      <c r="AC702" s="498">
        <f>IF(OR($B702="",MIN(AC$38,$D$19)&lt;MAX($P$694*($B702+IF($R$17="Distrato",$I$38-1,0)),IF(AND($N$698=0,$P$694=0),"",$N$698-1),IF($R$17="Distrato",$E702,0))),0,YEARFRAC(MAX($P$694*($B702+IF($R$17="Distrato",$I$38-1,0)),IF(AND($N$698=0,$P$694=0),"",$N$698-1),IF($R$17="Distrato",$E702,0)),MIN(AC$38,$D$19),$P$20))-SUM($P702:AB702)</f>
        <v>0</v>
      </c>
      <c r="AD702" s="498">
        <f>IF(OR($B702="",MIN(AD$38,$D$19)&lt;MAX($P$694*($B702+IF($R$17="Distrato",$I$38-1,0)),IF(AND($N$698=0,$P$694=0),"",$N$698-1),IF($R$17="Distrato",$E702,0))),0,YEARFRAC(MAX($P$694*($B702+IF($R$17="Distrato",$I$38-1,0)),IF(AND($N$698=0,$P$694=0),"",$N$698-1),IF($R$17="Distrato",$E702,0)),MIN(AD$38,$D$19),$P$20))-SUM($P702:AC702)</f>
        <v>0</v>
      </c>
      <c r="AE702" s="498">
        <f>IF(OR($B702="",MIN(AE$38,$D$19)&lt;MAX($P$694*($B702+IF($R$17="Distrato",$I$38-1,0)),IF(AND($N$698=0,$P$694=0),"",$N$698-1),IF($R$17="Distrato",$E702,0))),0,YEARFRAC(MAX($P$694*($B702+IF($R$17="Distrato",$I$38-1,0)),IF(AND($N$698=0,$P$694=0),"",$N$698-1),IF($R$17="Distrato",$E702,0)),MIN(AE$38,$D$19),$P$20))-SUM($P702:AD702)</f>
        <v>0</v>
      </c>
      <c r="AF702" s="498">
        <f>IF(OR($B702="",MIN(AF$38,$D$19)&lt;MAX($P$694*($B702+IF($R$17="Distrato",$I$38-1,0)),IF(AND($N$698=0,$P$694=0),"",$N$698-1),IF($R$17="Distrato",$E702,0))),0,YEARFRAC(MAX($P$694*($B702+IF($R$17="Distrato",$I$38-1,0)),IF(AND($N$698=0,$P$694=0),"",$N$698-1),IF($R$17="Distrato",$E702,0)),MIN(AF$38,$D$19),$P$20))-SUM($P702:AE702)</f>
        <v>0</v>
      </c>
      <c r="AG702" s="498">
        <f>IF(OR($B702="",MIN(AG$38,$D$19)&lt;MAX($P$694*($B702+IF($R$17="Distrato",$I$38-1,0)),IF(AND($N$698=0,$P$694=0),"",$N$698-1),IF($R$17="Distrato",$E702,0))),0,YEARFRAC(MAX($P$694*($B702+IF($R$17="Distrato",$I$38-1,0)),IF(AND($N$698=0,$P$694=0),"",$N$698-1),IF($R$17="Distrato",$E702,0)),MIN(AG$38,$D$19),$P$20))-SUM($P702:AF702)</f>
        <v>0</v>
      </c>
      <c r="AH702" s="498">
        <f>IF(OR($B702="",MIN(AH$38,$D$19)&lt;MAX($P$694*($B702+IF($R$17="Distrato",$I$38-1,0)),IF(AND($N$698=0,$P$694=0),"",$N$698-1),IF($R$17="Distrato",$E702,0))),0,YEARFRAC(MAX($P$694*($B702+IF($R$17="Distrato",$I$38-1,0)),IF(AND($N$698=0,$P$694=0),"",$N$698-1),IF($R$17="Distrato",$E702,0)),MIN(AH$38,$D$19),$P$20))-SUM($P702:AG702)</f>
        <v>0</v>
      </c>
      <c r="AI702" s="498">
        <f>IF(OR($B702="",MIN(AI$38,$D$19)&lt;MAX($P$694*($B702+IF($R$17="Distrato",$I$38-1,0)),IF(AND($N$698=0,$P$694=0),"",$N$698-1),IF($R$17="Distrato",$E702,0))),0,YEARFRAC(MAX($P$694*($B702+IF($R$17="Distrato",$I$38-1,0)),IF(AND($N$698=0,$P$694=0),"",$N$698-1),IF($R$17="Distrato",$E702,0)),MIN(AI$38,$D$19),$P$20))-SUM($P702:AH702)</f>
        <v>0</v>
      </c>
      <c r="AJ702" s="498">
        <f>IF(OR($B702="",MIN(AJ$38,$D$19)&lt;MAX($P$694*($B702+IF($R$17="Distrato",$I$38-1,0)),IF(AND($N$698=0,$P$694=0),"",$N$698-1),IF($R$17="Distrato",$E702,0))),0,YEARFRAC(MAX($P$694*($B702+IF($R$17="Distrato",$I$38-1,0)),IF(AND($N$698=0,$P$694=0),"",$N$698-1),IF($R$17="Distrato",$E702,0)),MIN(AJ$38,$D$19),$P$20))-SUM($P702:AI702)</f>
        <v>0</v>
      </c>
      <c r="AK702" s="498">
        <f>IF(OR($B702="",MIN(AK$38,$D$19)&lt;MAX($P$694*($B702+IF($R$17="Distrato",$I$38-1,0)),IF(AND($N$698=0,$P$694=0),"",$N$698-1),IF($R$17="Distrato",$E702,0))),0,YEARFRAC(MAX($P$694*($B702+IF($R$17="Distrato",$I$38-1,0)),IF(AND($N$698=0,$P$694=0),"",$N$698-1),IF($R$17="Distrato",$E702,0)),MIN(AK$38,$D$19),$P$20))-SUM($P702:AJ702)</f>
        <v>0</v>
      </c>
      <c r="AL702" s="498">
        <f>IF(OR($B702="",MIN(AL$38,$D$19)&lt;MAX($P$694*($B702+IF($R$17="Distrato",$I$38-1,0)),IF(AND($N$698=0,$P$694=0),"",$N$698-1),IF($R$17="Distrato",$E702,0))),0,YEARFRAC(MAX($P$694*($B702+IF($R$17="Distrato",$I$38-1,0)),IF(AND($N$698=0,$P$694=0),"",$N$698-1),IF($R$17="Distrato",$E702,0)),MIN(AL$38,$D$19),$P$20))-SUM($P702:AK702)</f>
        <v>0</v>
      </c>
      <c r="AM702" s="498">
        <f>IF(OR($B702="",MIN(AM$38,$D$19)&lt;MAX($P$694*($B702+IF($R$17="Distrato",$I$38-1,0)),IF(AND($N$698=0,$P$694=0),"",$N$698-1),IF($R$17="Distrato",$E702,0))),0,YEARFRAC(MAX($P$694*($B702+IF($R$17="Distrato",$I$38-1,0)),IF(AND($N$698=0,$P$694=0),"",$N$698-1),IF($R$17="Distrato",$E702,0)),MIN(AM$38,$D$19),$P$20))-SUM($P702:AL702)</f>
        <v>0</v>
      </c>
      <c r="AN702" s="498">
        <f>IF(OR($B702="",MIN(AN$38,$D$19)&lt;MAX($P$694*($B702+IF($R$17="Distrato",$I$38-1,0)),IF(AND($N$698=0,$P$694=0),"",$N$698-1),IF($R$17="Distrato",$E702,0))),0,YEARFRAC(MAX($P$694*($B702+IF($R$17="Distrato",$I$38-1,0)),IF(AND($N$698=0,$P$694=0),"",$N$698-1),IF($R$17="Distrato",$E702,0)),MIN(AN$38,$D$19),$P$20))-SUM($P702:AM702)</f>
        <v>0</v>
      </c>
      <c r="AO702" s="498">
        <f>IF(OR($B702="",MIN(AO$38,$D$19)&lt;MAX($P$694*($B702+IF($R$17="Distrato",$I$38-1,0)),IF(AND($N$698=0,$P$694=0),"",$N$698-1),IF($R$17="Distrato",$E702,0))),0,YEARFRAC(MAX($P$694*($B702+IF($R$17="Distrato",$I$38-1,0)),IF(AND($N$698=0,$P$694=0),"",$N$698-1),IF($R$17="Distrato",$E702,0)),MIN(AO$38,$D$19),$P$20))-SUM($P702:AN702)</f>
        <v>0</v>
      </c>
      <c r="AP702" s="498">
        <f>IF(OR($B702="",MIN(AP$38,$D$19)&lt;MAX($P$694*($B702+IF($R$17="Distrato",$I$38-1,0)),IF(AND($N$698=0,$P$694=0),"",$N$698-1),IF($R$17="Distrato",$E702,0))),0,YEARFRAC(MAX($P$694*($B702+IF($R$17="Distrato",$I$38-1,0)),IF(AND($N$698=0,$P$694=0),"",$N$698-1),IF($R$17="Distrato",$E702,0)),MIN(AP$38,$D$19),$P$20))-SUM($P702:AO702)</f>
        <v>0</v>
      </c>
      <c r="AQ702" s="498">
        <f>IF(OR($B702="",MIN(AQ$38,$D$19)&lt;MAX($P$694*($B702+IF($R$17="Distrato",$I$38-1,0)),IF(AND($N$698=0,$P$694=0),"",$N$698-1),IF($R$17="Distrato",$E702,0))),0,YEARFRAC(MAX($P$694*($B702+IF($R$17="Distrato",$I$38-1,0)),IF(AND($N$698=0,$P$694=0),"",$N$698-1),IF($R$17="Distrato",$E702,0)),MIN(AQ$38,$D$19),$P$20))-SUM($P702:AP702)</f>
        <v>0</v>
      </c>
      <c r="AR702" s="498">
        <f>IF(OR($B702="",MIN(AR$38,$D$19)&lt;MAX($P$694*($B702+IF($R$17="Distrato",$I$38-1,0)),IF(AND($N$698=0,$P$694=0),"",$N$698-1),IF($R$17="Distrato",$E702,0))),0,YEARFRAC(MAX($P$694*($B702+IF($R$17="Distrato",$I$38-1,0)),IF(AND($N$698=0,$P$694=0),"",$N$698-1),IF($R$17="Distrato",$E702,0)),MIN(AR$38,$D$19),$P$20))-SUM($P702:AQ702)</f>
        <v>0</v>
      </c>
      <c r="AS702" s="498">
        <f>IF(OR($B702="",MIN(AS$38,$D$19)&lt;MAX($P$694*($B702+IF($R$17="Distrato",$I$38-1,0)),IF(AND($N$698=0,$P$694=0),"",$N$698-1),IF($R$17="Distrato",$E702,0))),0,YEARFRAC(MAX($P$694*($B702+IF($R$17="Distrato",$I$38-1,0)),IF(AND($N$698=0,$P$694=0),"",$N$698-1),IF($R$17="Distrato",$E702,0)),MIN(AS$38,$D$19),$P$20))-SUM($P702:AR702)</f>
        <v>0</v>
      </c>
      <c r="AT702" s="498">
        <f>IF(OR($B702="",MIN(AT$38,$D$19)&lt;MAX($P$694*($B702+IF($R$17="Distrato",$I$38-1,0)),IF(AND($N$698=0,$P$694=0),"",$N$698-1),IF($R$17="Distrato",$E702,0))),0,YEARFRAC(MAX($P$694*($B702+IF($R$17="Distrato",$I$38-1,0)),IF(AND($N$698=0,$P$694=0),"",$N$698-1),IF($R$17="Distrato",$E702,0)),MIN(AT$38,$D$19),$P$20))-SUM($P702:AS702)</f>
        <v>0</v>
      </c>
      <c r="AU702" s="498">
        <f>IF(OR($B702="",MIN(AU$38,$D$19)&lt;MAX($P$694*($B702+IF($R$17="Distrato",$I$38-1,0)),IF(AND($N$698=0,$P$694=0),"",$N$698-1),IF($R$17="Distrato",$E702,0))),0,YEARFRAC(MAX($P$694*($B702+IF($R$17="Distrato",$I$38-1,0)),IF(AND($N$698=0,$P$694=0),"",$N$698-1),IF($R$17="Distrato",$E702,0)),MIN(AU$38,$D$19),$P$20))-SUM($P702:AT702)</f>
        <v>0</v>
      </c>
      <c r="AV702" s="498">
        <f>IF(OR($B702="",MIN(AV$38,$D$19)&lt;MAX($P$694*($B702+IF($R$17="Distrato",$I$38-1,0)),IF(AND($N$698=0,$P$694=0),"",$N$698-1),IF($R$17="Distrato",$E702,0))),0,YEARFRAC(MAX($P$694*($B702+IF($R$17="Distrato",$I$38-1,0)),IF(AND($N$698=0,$P$694=0),"",$N$698-1),IF($R$17="Distrato",$E702,0)),MIN(AV$38,$D$19),$P$20))-SUM($P702:AU702)</f>
        <v>0</v>
      </c>
      <c r="AW702" s="498">
        <f>IF(OR($B702="",MIN(AW$38,$D$19)&lt;MAX($P$694*($B702+IF($R$17="Distrato",$I$38-1,0)),IF(AND($N$698=0,$P$694=0),"",$N$698-1),IF($R$17="Distrato",$E702,0))),0,YEARFRAC(MAX($P$694*($B702+IF($R$17="Distrato",$I$38-1,0)),IF(AND($N$698=0,$P$694=0),"",$N$698-1),IF($R$17="Distrato",$E702,0)),MIN(AW$38,$D$19),$P$20))-SUM($P702:AV702)</f>
        <v>0</v>
      </c>
      <c r="AX702" s="498">
        <f>IF(OR($B702="",MIN(AX$38,$D$19)&lt;MAX($P$694*($B702+IF($R$17="Distrato",$I$38-1,0)),IF(AND($N$698=0,$P$694=0),"",$N$698-1),IF($R$17="Distrato",$E702,0))),0,YEARFRAC(MAX($P$694*($B702+IF($R$17="Distrato",$I$38-1,0)),IF(AND($N$698=0,$P$694=0),"",$N$698-1),IF($R$17="Distrato",$E702,0)),MIN(AX$38,$D$19),$P$20))-SUM($P702:AW702)</f>
        <v>0</v>
      </c>
      <c r="AY702" s="498">
        <f>IF(OR($B702="",MIN(AY$38,$D$19)&lt;MAX($P$694*($B702+IF($R$17="Distrato",$I$38-1,0)),IF(AND($N$698=0,$P$694=0),"",$N$698-1),IF($R$17="Distrato",$E702,0))),0,YEARFRAC(MAX($P$694*($B702+IF($R$17="Distrato",$I$38-1,0)),IF(AND($N$698=0,$P$694=0),"",$N$698-1),IF($R$17="Distrato",$E702,0)),MIN(AY$38,$D$19),$P$20))-SUM($P702:AX702)</f>
        <v>0</v>
      </c>
      <c r="AZ702" s="498">
        <f>IF(OR($B702="",MIN(AZ$38,$D$19)&lt;MAX($P$694*($B702+IF($R$17="Distrato",$I$38-1,0)),IF(AND($N$698=0,$P$694=0),"",$N$698-1),IF($R$17="Distrato",$E702,0))),0,YEARFRAC(MAX($P$694*($B702+IF($R$17="Distrato",$I$38-1,0)),IF(AND($N$698=0,$P$694=0),"",$N$698-1),IF($R$17="Distrato",$E702,0)),MIN(AZ$38,$D$19),$P$20))-SUM($P702:AY702)</f>
        <v>0</v>
      </c>
      <c r="BA702" s="498">
        <f>IF(OR($B702="",MIN(BA$38,$D$19)&lt;MAX($P$694*($B702+IF($R$17="Distrato",$I$38-1,0)),IF(AND($N$698=0,$P$694=0),"",$N$698-1),IF($R$17="Distrato",$E702,0))),0,YEARFRAC(MAX($P$694*($B702+IF($R$17="Distrato",$I$38-1,0)),IF(AND($N$698=0,$P$694=0),"",$N$698-1),IF($R$17="Distrato",$E702,0)),MIN(BA$38,$D$19),$P$20))-SUM($P702:AZ702)</f>
        <v>0</v>
      </c>
      <c r="BB702" s="488"/>
    </row>
    <row r="703" spans="1:54" s="486" customFormat="1" ht="11.25" customHeight="1" x14ac:dyDescent="0.2">
      <c r="A703" s="225"/>
      <c r="B703" s="178"/>
      <c r="C703" s="183" t="str">
        <f>IF(ISERROR(VLOOKUP($B703,ÍNDICES!$A:$DE,21)),"",VLOOKUP($B703,ÍNDICES!$A:$DE,21))</f>
        <v/>
      </c>
      <c r="D703" s="155"/>
      <c r="E703" s="151"/>
      <c r="F703" s="151"/>
      <c r="G703" s="151"/>
      <c r="H703" s="189"/>
      <c r="I703" s="29" t="str">
        <f ca="1">IF(A$695=Q$697,"2.000 até 20.000 SMs:",IF(ISERROR(IF(B703&gt;$D$19,1,VLOOKUP(DATE(YEAR(B703),MONTH(B703)+IF($C$35=$S$23,1,0),1),ÍNDICES!$A:$DE,$Z$696+1))),"",IF(B703&gt;$D$19,1,VLOOKUP(DATE(YEAR(B703),MONTH(B703)+IF($G$696=$S$23,1,0),1),ÍNDICES!$A:$DE,$Z$696+1))))</f>
        <v/>
      </c>
      <c r="J703" s="5" t="str">
        <f>IF(A$695=Q$697,MIN(18000*VLOOKUP($D$19,ÍNDICES!A:W,23),IF($B$696=$T$694,$O$692,$D$701/$I$696*$J$696)-SUM(J$701:J702)),IF(ISERROR(IF(D703="","",D703*IF(B703&gt;$D$19,1,$J$696)/I703)),0,IF(D703="","",D703*IF(B703&gt;$D$19,1,$J$696)/I703)))</f>
        <v/>
      </c>
      <c r="K703" s="5">
        <f>IF($A$695=$Q$694,0,IF(J703="","",J703*K$699))</f>
        <v>0</v>
      </c>
      <c r="L703" s="30">
        <v>0.05</v>
      </c>
      <c r="M703" s="64">
        <f>IF(K703="","",IFERROR(SUM(P703:BA703),""))</f>
        <v>0</v>
      </c>
      <c r="N703" s="425">
        <f ca="1">IFERROR(K703*SUMPRODUCT($P$37:$BA$37,$P703:$BA703),"")</f>
        <v>0</v>
      </c>
      <c r="O703" s="5" t="str">
        <f>IF(A$695=Q$697,IF(J703="","",IF(J703&gt;0,J703*L703,0)),IF(B703="","",SUM(K703,N703)))</f>
        <v/>
      </c>
      <c r="P703" s="498">
        <f>IF(OR($B703="",MIN(P$38,$D$19)&lt;MAX($P$694*($B703+IF($R$17="Distrato",$I$38-1,0)),IF(AND($N$698=0,$P$694=0),"",$N$698-1),IF($R$17="Distrato",$E703,0))),0,YEARFRAC(MAX($P$694*($B703+IF($R$17="Distrato",$I$38-1,0)),IF(AND($N$698=0,$P$694=0),"",$N$698-1),IF($R$17="Distrato",$E703,0)),MIN(P$38,$D$19),$P$20))</f>
        <v>0</v>
      </c>
      <c r="Q703" s="498">
        <f>IF(OR($B703="",MIN(Q$38,$D$19)&lt;MAX($P$694*($B703+IF($R$17="Distrato",$I$38-1,0)),IF(AND($N$698=0,$P$694=0),"",$N$698-1),IF($R$17="Distrato",$E703,0))),0,YEARFRAC(MAX($P$694*($B703+IF($R$17="Distrato",$I$38-1,0)),IF(AND($N$698=0,$P$694=0),"",$N$698-1),IF($R$17="Distrato",$E703,0)),MIN(Q$38,$D$19),$P$20))-SUM($P703:P703)</f>
        <v>0</v>
      </c>
      <c r="R703" s="498">
        <f>IF(OR($B703="",MIN(R$38,$D$19)&lt;MAX($P$694*($B703+IF($R$17="Distrato",$I$38-1,0)),IF(AND($N$698=0,$P$694=0),"",$N$698-1),IF($R$17="Distrato",$E703,0))),0,YEARFRAC(MAX($P$694*($B703+IF($R$17="Distrato",$I$38-1,0)),IF(AND($N$698=0,$P$694=0),"",$N$698-1),IF($R$17="Distrato",$E703,0)),MIN(R$38,$D$19),$P$20))-SUM($P703:Q703)</f>
        <v>0</v>
      </c>
      <c r="S703" s="498">
        <f>IF(OR($B703="",MIN(S$38,$D$19)&lt;MAX($P$694*($B703+IF($R$17="Distrato",$I$38-1,0)),IF(AND($N$698=0,$P$694=0),"",$N$698-1),IF($R$17="Distrato",$E703,0))),0,YEARFRAC(MAX($P$694*($B703+IF($R$17="Distrato",$I$38-1,0)),IF(AND($N$698=0,$P$694=0),"",$N$698-1),IF($R$17="Distrato",$E703,0)),MIN(S$38,$D$19),$P$20))-SUM($P703:R703)</f>
        <v>0</v>
      </c>
      <c r="T703" s="498">
        <f>IF(OR($B703="",MIN(T$38,$D$19)&lt;MAX($P$694*($B703+IF($R$17="Distrato",$I$38-1,0)),IF(AND($N$698=0,$P$694=0),"",$N$698-1),IF($R$17="Distrato",$E703,0))),0,YEARFRAC(MAX($P$694*($B703+IF($R$17="Distrato",$I$38-1,0)),IF(AND($N$698=0,$P$694=0),"",$N$698-1),IF($R$17="Distrato",$E703,0)),MIN(T$38,$D$19),$P$20))-SUM($P703:S703)</f>
        <v>0</v>
      </c>
      <c r="U703" s="498">
        <f>IF(OR($B703="",MIN(U$38,$D$19)&lt;MAX($P$694*($B703+IF($R$17="Distrato",$I$38-1,0)),IF(AND($N$698=0,$P$694=0),"",$N$698-1),IF($R$17="Distrato",$E703,0))),0,YEARFRAC(MAX($P$694*($B703+IF($R$17="Distrato",$I$38-1,0)),IF(AND($N$698=0,$P$694=0),"",$N$698-1),IF($R$17="Distrato",$E703,0)),MIN(U$38,$D$19),$P$20))-SUM($P703:T703)</f>
        <v>0</v>
      </c>
      <c r="V703" s="498">
        <f>IF(OR($B703="",MIN(V$38,$D$19)&lt;MAX($P$694*($B703+IF($R$17="Distrato",$I$38-1,0)),IF(AND($N$698=0,$P$694=0),"",$N$698-1),IF($R$17="Distrato",$E703,0))),0,YEARFRAC(MAX($P$694*($B703+IF($R$17="Distrato",$I$38-1,0)),IF(AND($N$698=0,$P$694=0),"",$N$698-1),IF($R$17="Distrato",$E703,0)),MIN(V$38,$D$19),$P$20))-SUM($P703:U703)</f>
        <v>0</v>
      </c>
      <c r="W703" s="498">
        <f>IF(OR($B703="",MIN(W$38,$D$19)&lt;MAX($P$694*($B703+IF($R$17="Distrato",$I$38-1,0)),IF(AND($N$698=0,$P$694=0),"",$N$698-1),IF($R$17="Distrato",$E703,0))),0,YEARFRAC(MAX($P$694*($B703+IF($R$17="Distrato",$I$38-1,0)),IF(AND($N$698=0,$P$694=0),"",$N$698-1),IF($R$17="Distrato",$E703,0)),MIN(W$38,$D$19),$P$20))-SUM($P703:V703)</f>
        <v>0</v>
      </c>
      <c r="X703" s="498">
        <f>IF(OR($B703="",MIN(X$38,$D$19)&lt;MAX($P$694*($B703+IF($R$17="Distrato",$I$38-1,0)),IF(AND($N$698=0,$P$694=0),"",$N$698-1),IF($R$17="Distrato",$E703,0))),0,YEARFRAC(MAX($P$694*($B703+IF($R$17="Distrato",$I$38-1,0)),IF(AND($N$698=0,$P$694=0),"",$N$698-1),IF($R$17="Distrato",$E703,0)),MIN(X$38,$D$19),$P$20))-SUM($P703:W703)</f>
        <v>0</v>
      </c>
      <c r="Y703" s="498">
        <f>IF(OR($B703="",MIN(Y$38,$D$19)&lt;MAX($P$694*($B703+IF($R$17="Distrato",$I$38-1,0)),IF(AND($N$698=0,$P$694=0),"",$N$698-1),IF($R$17="Distrato",$E703,0))),0,YEARFRAC(MAX($P$694*($B703+IF($R$17="Distrato",$I$38-1,0)),IF(AND($N$698=0,$P$694=0),"",$N$698-1),IF($R$17="Distrato",$E703,0)),MIN(Y$38,$D$19),$P$20))-SUM($P703:X703)</f>
        <v>0</v>
      </c>
      <c r="Z703" s="498">
        <f>IF(OR($B703="",MIN(Z$38,$D$19)&lt;MAX($P$694*($B703+IF($R$17="Distrato",$I$38-1,0)),IF(AND($N$698=0,$P$694=0),"",$N$698-1),IF($R$17="Distrato",$E703,0))),0,YEARFRAC(MAX($P$694*($B703+IF($R$17="Distrato",$I$38-1,0)),IF(AND($N$698=0,$P$694=0),"",$N$698-1),IF($R$17="Distrato",$E703,0)),MIN(Z$38,$D$19),$P$20))-SUM($P703:Y703)</f>
        <v>0</v>
      </c>
      <c r="AA703" s="498">
        <f>IF(OR($B703="",MIN(AA$38,$D$19)&lt;MAX($P$694*($B703+IF($R$17="Distrato",$I$38-1,0)),IF(AND($N$698=0,$P$694=0),"",$N$698-1),IF($R$17="Distrato",$E703,0))),0,YEARFRAC(MAX($P$694*($B703+IF($R$17="Distrato",$I$38-1,0)),IF(AND($N$698=0,$P$694=0),"",$N$698-1),IF($R$17="Distrato",$E703,0)),MIN(AA$38,$D$19),$P$20))-SUM($P703:Z703)</f>
        <v>0</v>
      </c>
      <c r="AB703" s="498">
        <f>IF(OR($B703="",MIN(AB$38,$D$19)&lt;MAX($P$694*($B703+IF($R$17="Distrato",$I$38-1,0)),IF(AND($N$698=0,$P$694=0),"",$N$698-1),IF($R$17="Distrato",$E703,0))),0,YEARFRAC(MAX($P$694*($B703+IF($R$17="Distrato",$I$38-1,0)),IF(AND($N$698=0,$P$694=0),"",$N$698-1),IF($R$17="Distrato",$E703,0)),MIN(AB$38,$D$19),$P$20))-SUM($P703:AA703)</f>
        <v>0</v>
      </c>
      <c r="AC703" s="498">
        <f>IF(OR($B703="",MIN(AC$38,$D$19)&lt;MAX($P$694*($B703+IF($R$17="Distrato",$I$38-1,0)),IF(AND($N$698=0,$P$694=0),"",$N$698-1),IF($R$17="Distrato",$E703,0))),0,YEARFRAC(MAX($P$694*($B703+IF($R$17="Distrato",$I$38-1,0)),IF(AND($N$698=0,$P$694=0),"",$N$698-1),IF($R$17="Distrato",$E703,0)),MIN(AC$38,$D$19),$P$20))-SUM($P703:AB703)</f>
        <v>0</v>
      </c>
      <c r="AD703" s="498">
        <f>IF(OR($B703="",MIN(AD$38,$D$19)&lt;MAX($P$694*($B703+IF($R$17="Distrato",$I$38-1,0)),IF(AND($N$698=0,$P$694=0),"",$N$698-1),IF($R$17="Distrato",$E703,0))),0,YEARFRAC(MAX($P$694*($B703+IF($R$17="Distrato",$I$38-1,0)),IF(AND($N$698=0,$P$694=0),"",$N$698-1),IF($R$17="Distrato",$E703,0)),MIN(AD$38,$D$19),$P$20))-SUM($P703:AC703)</f>
        <v>0</v>
      </c>
      <c r="AE703" s="498">
        <f>IF(OR($B703="",MIN(AE$38,$D$19)&lt;MAX($P$694*($B703+IF($R$17="Distrato",$I$38-1,0)),IF(AND($N$698=0,$P$694=0),"",$N$698-1),IF($R$17="Distrato",$E703,0))),0,YEARFRAC(MAX($P$694*($B703+IF($R$17="Distrato",$I$38-1,0)),IF(AND($N$698=0,$P$694=0),"",$N$698-1),IF($R$17="Distrato",$E703,0)),MIN(AE$38,$D$19),$P$20))-SUM($P703:AD703)</f>
        <v>0</v>
      </c>
      <c r="AF703" s="498">
        <f>IF(OR($B703="",MIN(AF$38,$D$19)&lt;MAX($P$694*($B703+IF($R$17="Distrato",$I$38-1,0)),IF(AND($N$698=0,$P$694=0),"",$N$698-1),IF($R$17="Distrato",$E703,0))),0,YEARFRAC(MAX($P$694*($B703+IF($R$17="Distrato",$I$38-1,0)),IF(AND($N$698=0,$P$694=0),"",$N$698-1),IF($R$17="Distrato",$E703,0)),MIN(AF$38,$D$19),$P$20))-SUM($P703:AE703)</f>
        <v>0</v>
      </c>
      <c r="AG703" s="498">
        <f>IF(OR($B703="",MIN(AG$38,$D$19)&lt;MAX($P$694*($B703+IF($R$17="Distrato",$I$38-1,0)),IF(AND($N$698=0,$P$694=0),"",$N$698-1),IF($R$17="Distrato",$E703,0))),0,YEARFRAC(MAX($P$694*($B703+IF($R$17="Distrato",$I$38-1,0)),IF(AND($N$698=0,$P$694=0),"",$N$698-1),IF($R$17="Distrato",$E703,0)),MIN(AG$38,$D$19),$P$20))-SUM($P703:AF703)</f>
        <v>0</v>
      </c>
      <c r="AH703" s="498">
        <f>IF(OR($B703="",MIN(AH$38,$D$19)&lt;MAX($P$694*($B703+IF($R$17="Distrato",$I$38-1,0)),IF(AND($N$698=0,$P$694=0),"",$N$698-1),IF($R$17="Distrato",$E703,0))),0,YEARFRAC(MAX($P$694*($B703+IF($R$17="Distrato",$I$38-1,0)),IF(AND($N$698=0,$P$694=0),"",$N$698-1),IF($R$17="Distrato",$E703,0)),MIN(AH$38,$D$19),$P$20))-SUM($P703:AG703)</f>
        <v>0</v>
      </c>
      <c r="AI703" s="498">
        <f>IF(OR($B703="",MIN(AI$38,$D$19)&lt;MAX($P$694*($B703+IF($R$17="Distrato",$I$38-1,0)),IF(AND($N$698=0,$P$694=0),"",$N$698-1),IF($R$17="Distrato",$E703,0))),0,YEARFRAC(MAX($P$694*($B703+IF($R$17="Distrato",$I$38-1,0)),IF(AND($N$698=0,$P$694=0),"",$N$698-1),IF($R$17="Distrato",$E703,0)),MIN(AI$38,$D$19),$P$20))-SUM($P703:AH703)</f>
        <v>0</v>
      </c>
      <c r="AJ703" s="498">
        <f>IF(OR($B703="",MIN(AJ$38,$D$19)&lt;MAX($P$694*($B703+IF($R$17="Distrato",$I$38-1,0)),IF(AND($N$698=0,$P$694=0),"",$N$698-1),IF($R$17="Distrato",$E703,0))),0,YEARFRAC(MAX($P$694*($B703+IF($R$17="Distrato",$I$38-1,0)),IF(AND($N$698=0,$P$694=0),"",$N$698-1),IF($R$17="Distrato",$E703,0)),MIN(AJ$38,$D$19),$P$20))-SUM($P703:AI703)</f>
        <v>0</v>
      </c>
      <c r="AK703" s="498">
        <f>IF(OR($B703="",MIN(AK$38,$D$19)&lt;MAX($P$694*($B703+IF($R$17="Distrato",$I$38-1,0)),IF(AND($N$698=0,$P$694=0),"",$N$698-1),IF($R$17="Distrato",$E703,0))),0,YEARFRAC(MAX($P$694*($B703+IF($R$17="Distrato",$I$38-1,0)),IF(AND($N$698=0,$P$694=0),"",$N$698-1),IF($R$17="Distrato",$E703,0)),MIN(AK$38,$D$19),$P$20))-SUM($P703:AJ703)</f>
        <v>0</v>
      </c>
      <c r="AL703" s="498">
        <f>IF(OR($B703="",MIN(AL$38,$D$19)&lt;MAX($P$694*($B703+IF($R$17="Distrato",$I$38-1,0)),IF(AND($N$698=0,$P$694=0),"",$N$698-1),IF($R$17="Distrato",$E703,0))),0,YEARFRAC(MAX($P$694*($B703+IF($R$17="Distrato",$I$38-1,0)),IF(AND($N$698=0,$P$694=0),"",$N$698-1),IF($R$17="Distrato",$E703,0)),MIN(AL$38,$D$19),$P$20))-SUM($P703:AK703)</f>
        <v>0</v>
      </c>
      <c r="AM703" s="498">
        <f>IF(OR($B703="",MIN(AM$38,$D$19)&lt;MAX($P$694*($B703+IF($R$17="Distrato",$I$38-1,0)),IF(AND($N$698=0,$P$694=0),"",$N$698-1),IF($R$17="Distrato",$E703,0))),0,YEARFRAC(MAX($P$694*($B703+IF($R$17="Distrato",$I$38-1,0)),IF(AND($N$698=0,$P$694=0),"",$N$698-1),IF($R$17="Distrato",$E703,0)),MIN(AM$38,$D$19),$P$20))-SUM($P703:AL703)</f>
        <v>0</v>
      </c>
      <c r="AN703" s="498">
        <f>IF(OR($B703="",MIN(AN$38,$D$19)&lt;MAX($P$694*($B703+IF($R$17="Distrato",$I$38-1,0)),IF(AND($N$698=0,$P$694=0),"",$N$698-1),IF($R$17="Distrato",$E703,0))),0,YEARFRAC(MAX($P$694*($B703+IF($R$17="Distrato",$I$38-1,0)),IF(AND($N$698=0,$P$694=0),"",$N$698-1),IF($R$17="Distrato",$E703,0)),MIN(AN$38,$D$19),$P$20))-SUM($P703:AM703)</f>
        <v>0</v>
      </c>
      <c r="AO703" s="498">
        <f>IF(OR($B703="",MIN(AO$38,$D$19)&lt;MAX($P$694*($B703+IF($R$17="Distrato",$I$38-1,0)),IF(AND($N$698=0,$P$694=0),"",$N$698-1),IF($R$17="Distrato",$E703,0))),0,YEARFRAC(MAX($P$694*($B703+IF($R$17="Distrato",$I$38-1,0)),IF(AND($N$698=0,$P$694=0),"",$N$698-1),IF($R$17="Distrato",$E703,0)),MIN(AO$38,$D$19),$P$20))-SUM($P703:AN703)</f>
        <v>0</v>
      </c>
      <c r="AP703" s="498">
        <f>IF(OR($B703="",MIN(AP$38,$D$19)&lt;MAX($P$694*($B703+IF($R$17="Distrato",$I$38-1,0)),IF(AND($N$698=0,$P$694=0),"",$N$698-1),IF($R$17="Distrato",$E703,0))),0,YEARFRAC(MAX($P$694*($B703+IF($R$17="Distrato",$I$38-1,0)),IF(AND($N$698=0,$P$694=0),"",$N$698-1),IF($R$17="Distrato",$E703,0)),MIN(AP$38,$D$19),$P$20))-SUM($P703:AO703)</f>
        <v>0</v>
      </c>
      <c r="AQ703" s="498">
        <f>IF(OR($B703="",MIN(AQ$38,$D$19)&lt;MAX($P$694*($B703+IF($R$17="Distrato",$I$38-1,0)),IF(AND($N$698=0,$P$694=0),"",$N$698-1),IF($R$17="Distrato",$E703,0))),0,YEARFRAC(MAX($P$694*($B703+IF($R$17="Distrato",$I$38-1,0)),IF(AND($N$698=0,$P$694=0),"",$N$698-1),IF($R$17="Distrato",$E703,0)),MIN(AQ$38,$D$19),$P$20))-SUM($P703:AP703)</f>
        <v>0</v>
      </c>
      <c r="AR703" s="498">
        <f>IF(OR($B703="",MIN(AR$38,$D$19)&lt;MAX($P$694*($B703+IF($R$17="Distrato",$I$38-1,0)),IF(AND($N$698=0,$P$694=0),"",$N$698-1),IF($R$17="Distrato",$E703,0))),0,YEARFRAC(MAX($P$694*($B703+IF($R$17="Distrato",$I$38-1,0)),IF(AND($N$698=0,$P$694=0),"",$N$698-1),IF($R$17="Distrato",$E703,0)),MIN(AR$38,$D$19),$P$20))-SUM($P703:AQ703)</f>
        <v>0</v>
      </c>
      <c r="AS703" s="498">
        <f>IF(OR($B703="",MIN(AS$38,$D$19)&lt;MAX($P$694*($B703+IF($R$17="Distrato",$I$38-1,0)),IF(AND($N$698=0,$P$694=0),"",$N$698-1),IF($R$17="Distrato",$E703,0))),0,YEARFRAC(MAX($P$694*($B703+IF($R$17="Distrato",$I$38-1,0)),IF(AND($N$698=0,$P$694=0),"",$N$698-1),IF($R$17="Distrato",$E703,0)),MIN(AS$38,$D$19),$P$20))-SUM($P703:AR703)</f>
        <v>0</v>
      </c>
      <c r="AT703" s="498">
        <f>IF(OR($B703="",MIN(AT$38,$D$19)&lt;MAX($P$694*($B703+IF($R$17="Distrato",$I$38-1,0)),IF(AND($N$698=0,$P$694=0),"",$N$698-1),IF($R$17="Distrato",$E703,0))),0,YEARFRAC(MAX($P$694*($B703+IF($R$17="Distrato",$I$38-1,0)),IF(AND($N$698=0,$P$694=0),"",$N$698-1),IF($R$17="Distrato",$E703,0)),MIN(AT$38,$D$19),$P$20))-SUM($P703:AS703)</f>
        <v>0</v>
      </c>
      <c r="AU703" s="498">
        <f>IF(OR($B703="",MIN(AU$38,$D$19)&lt;MAX($P$694*($B703+IF($R$17="Distrato",$I$38-1,0)),IF(AND($N$698=0,$P$694=0),"",$N$698-1),IF($R$17="Distrato",$E703,0))),0,YEARFRAC(MAX($P$694*($B703+IF($R$17="Distrato",$I$38-1,0)),IF(AND($N$698=0,$P$694=0),"",$N$698-1),IF($R$17="Distrato",$E703,0)),MIN(AU$38,$D$19),$P$20))-SUM($P703:AT703)</f>
        <v>0</v>
      </c>
      <c r="AV703" s="498">
        <f>IF(OR($B703="",MIN(AV$38,$D$19)&lt;MAX($P$694*($B703+IF($R$17="Distrato",$I$38-1,0)),IF(AND($N$698=0,$P$694=0),"",$N$698-1),IF($R$17="Distrato",$E703,0))),0,YEARFRAC(MAX($P$694*($B703+IF($R$17="Distrato",$I$38-1,0)),IF(AND($N$698=0,$P$694=0),"",$N$698-1),IF($R$17="Distrato",$E703,0)),MIN(AV$38,$D$19),$P$20))-SUM($P703:AU703)</f>
        <v>0</v>
      </c>
      <c r="AW703" s="498">
        <f>IF(OR($B703="",MIN(AW$38,$D$19)&lt;MAX($P$694*($B703+IF($R$17="Distrato",$I$38-1,0)),IF(AND($N$698=0,$P$694=0),"",$N$698-1),IF($R$17="Distrato",$E703,0))),0,YEARFRAC(MAX($P$694*($B703+IF($R$17="Distrato",$I$38-1,0)),IF(AND($N$698=0,$P$694=0),"",$N$698-1),IF($R$17="Distrato",$E703,0)),MIN(AW$38,$D$19),$P$20))-SUM($P703:AV703)</f>
        <v>0</v>
      </c>
      <c r="AX703" s="498">
        <f>IF(OR($B703="",MIN(AX$38,$D$19)&lt;MAX($P$694*($B703+IF($R$17="Distrato",$I$38-1,0)),IF(AND($N$698=0,$P$694=0),"",$N$698-1),IF($R$17="Distrato",$E703,0))),0,YEARFRAC(MAX($P$694*($B703+IF($R$17="Distrato",$I$38-1,0)),IF(AND($N$698=0,$P$694=0),"",$N$698-1),IF($R$17="Distrato",$E703,0)),MIN(AX$38,$D$19),$P$20))-SUM($P703:AW703)</f>
        <v>0</v>
      </c>
      <c r="AY703" s="498">
        <f>IF(OR($B703="",MIN(AY$38,$D$19)&lt;MAX($P$694*($B703+IF($R$17="Distrato",$I$38-1,0)),IF(AND($N$698=0,$P$694=0),"",$N$698-1),IF($R$17="Distrato",$E703,0))),0,YEARFRAC(MAX($P$694*($B703+IF($R$17="Distrato",$I$38-1,0)),IF(AND($N$698=0,$P$694=0),"",$N$698-1),IF($R$17="Distrato",$E703,0)),MIN(AY$38,$D$19),$P$20))-SUM($P703:AX703)</f>
        <v>0</v>
      </c>
      <c r="AZ703" s="498">
        <f>IF(OR($B703="",MIN(AZ$38,$D$19)&lt;MAX($P$694*($B703+IF($R$17="Distrato",$I$38-1,0)),IF(AND($N$698=0,$P$694=0),"",$N$698-1),IF($R$17="Distrato",$E703,0))),0,YEARFRAC(MAX($P$694*($B703+IF($R$17="Distrato",$I$38-1,0)),IF(AND($N$698=0,$P$694=0),"",$N$698-1),IF($R$17="Distrato",$E703,0)),MIN(AZ$38,$D$19),$P$20))-SUM($P703:AY703)</f>
        <v>0</v>
      </c>
      <c r="BA703" s="498">
        <f>IF(OR($B703="",MIN(BA$38,$D$19)&lt;MAX($P$694*($B703+IF($R$17="Distrato",$I$38-1,0)),IF(AND($N$698=0,$P$694=0),"",$N$698-1),IF($R$17="Distrato",$E703,0))),0,YEARFRAC(MAX($P$694*($B703+IF($R$17="Distrato",$I$38-1,0)),IF(AND($N$698=0,$P$694=0),"",$N$698-1),IF($R$17="Distrato",$E703,0)),MIN(BA$38,$D$19),$P$20))-SUM($P703:AZ703)</f>
        <v>0</v>
      </c>
      <c r="BB703" s="488"/>
    </row>
    <row r="704" spans="1:54" s="486" customFormat="1" ht="11.25" customHeight="1" x14ac:dyDescent="0.2">
      <c r="A704" s="225"/>
      <c r="B704" s="178"/>
      <c r="C704" s="183" t="str">
        <f>IF(ISERROR(VLOOKUP($B704,ÍNDICES!$A:$DE,21)),"",VLOOKUP($B704,ÍNDICES!$A:$DE,21))</f>
        <v/>
      </c>
      <c r="D704" s="155"/>
      <c r="E704" s="151"/>
      <c r="F704" s="151"/>
      <c r="G704" s="151"/>
      <c r="H704" s="189"/>
      <c r="I704" s="29" t="str">
        <f ca="1">IF(A$695=Q$697,"20.000 até 100.000 SMs:",IF(ISERROR(IF(B704&gt;$D$19,1,VLOOKUP(DATE(YEAR(B704),MONTH(B704)+IF($C$35=$S$23,1,0),1),ÍNDICES!$A:$DE,$Z$696+1))),"",IF(B704&gt;$D$19,1,VLOOKUP(DATE(YEAR(B704),MONTH(B704)+IF($G$696=$S$23,1,0),1),ÍNDICES!$A:$DE,$Z$696+1))))</f>
        <v/>
      </c>
      <c r="J704" s="5" t="str">
        <f>IF(A$695=Q$697,MIN(80000*VLOOKUP($D$19,ÍNDICES!A:W,23),IF($B$696=$T$694,$O$692,$D$701/$I$696*$J$696)-SUM(J$701:J703)),IF(ISERROR(IF(D704="","",D704*IF(B704&gt;$D$19,1,$J$696)/I704)),0,IF(D704="","",D704*IF(B704&gt;$D$19,1,$J$696)/I704)))</f>
        <v/>
      </c>
      <c r="K704" s="5">
        <f>IF($A$695=$Q$694,0,IF(J704="","",J704*K$699))</f>
        <v>0</v>
      </c>
      <c r="L704" s="30">
        <v>0.03</v>
      </c>
      <c r="M704" s="64">
        <f>IF(K704="","",IFERROR(SUM(P704:BA704),""))</f>
        <v>0</v>
      </c>
      <c r="N704" s="425">
        <f ca="1">IFERROR(K704*SUMPRODUCT($P$37:$BA$37,$P704:$BA704),"")</f>
        <v>0</v>
      </c>
      <c r="O704" s="5" t="str">
        <f>IF(A$695=Q$697,IF(J704="","",IF(J704&gt;0,J704*L704,0)),IF(B704="","",SUM(K704,N704)))</f>
        <v/>
      </c>
      <c r="P704" s="498">
        <f>IF(OR($B704="",MIN(P$38,$D$19)&lt;MAX($P$694*($B704+IF($R$17="Distrato",$I$38-1,0)),IF(AND($N$698=0,$P$694=0),"",$N$698-1),IF($R$17="Distrato",$E704,0))),0,YEARFRAC(MAX($P$694*($B704+IF($R$17="Distrato",$I$38-1,0)),IF(AND($N$698=0,$P$694=0),"",$N$698-1),IF($R$17="Distrato",$E704,0)),MIN(P$38,$D$19),$P$20))</f>
        <v>0</v>
      </c>
      <c r="Q704" s="498">
        <f>IF(OR($B704="",MIN(Q$38,$D$19)&lt;MAX($P$694*($B704+IF($R$17="Distrato",$I$38-1,0)),IF(AND($N$698=0,$P$694=0),"",$N$698-1),IF($R$17="Distrato",$E704,0))),0,YEARFRAC(MAX($P$694*($B704+IF($R$17="Distrato",$I$38-1,0)),IF(AND($N$698=0,$P$694=0),"",$N$698-1),IF($R$17="Distrato",$E704,0)),MIN(Q$38,$D$19),$P$20))-SUM($P704:P704)</f>
        <v>0</v>
      </c>
      <c r="R704" s="498">
        <f>IF(OR($B704="",MIN(R$38,$D$19)&lt;MAX($P$694*($B704+IF($R$17="Distrato",$I$38-1,0)),IF(AND($N$698=0,$P$694=0),"",$N$698-1),IF($R$17="Distrato",$E704,0))),0,YEARFRAC(MAX($P$694*($B704+IF($R$17="Distrato",$I$38-1,0)),IF(AND($N$698=0,$P$694=0),"",$N$698-1),IF($R$17="Distrato",$E704,0)),MIN(R$38,$D$19),$P$20))-SUM($P704:Q704)</f>
        <v>0</v>
      </c>
      <c r="S704" s="498">
        <f>IF(OR($B704="",MIN(S$38,$D$19)&lt;MAX($P$694*($B704+IF($R$17="Distrato",$I$38-1,0)),IF(AND($N$698=0,$P$694=0),"",$N$698-1),IF($R$17="Distrato",$E704,0))),0,YEARFRAC(MAX($P$694*($B704+IF($R$17="Distrato",$I$38-1,0)),IF(AND($N$698=0,$P$694=0),"",$N$698-1),IF($R$17="Distrato",$E704,0)),MIN(S$38,$D$19),$P$20))-SUM($P704:R704)</f>
        <v>0</v>
      </c>
      <c r="T704" s="498">
        <f>IF(OR($B704="",MIN(T$38,$D$19)&lt;MAX($P$694*($B704+IF($R$17="Distrato",$I$38-1,0)),IF(AND($N$698=0,$P$694=0),"",$N$698-1),IF($R$17="Distrato",$E704,0))),0,YEARFRAC(MAX($P$694*($B704+IF($R$17="Distrato",$I$38-1,0)),IF(AND($N$698=0,$P$694=0),"",$N$698-1),IF($R$17="Distrato",$E704,0)),MIN(T$38,$D$19),$P$20))-SUM($P704:S704)</f>
        <v>0</v>
      </c>
      <c r="U704" s="498">
        <f>IF(OR($B704="",MIN(U$38,$D$19)&lt;MAX($P$694*($B704+IF($R$17="Distrato",$I$38-1,0)),IF(AND($N$698=0,$P$694=0),"",$N$698-1),IF($R$17="Distrato",$E704,0))),0,YEARFRAC(MAX($P$694*($B704+IF($R$17="Distrato",$I$38-1,0)),IF(AND($N$698=0,$P$694=0),"",$N$698-1),IF($R$17="Distrato",$E704,0)),MIN(U$38,$D$19),$P$20))-SUM($P704:T704)</f>
        <v>0</v>
      </c>
      <c r="V704" s="498">
        <f>IF(OR($B704="",MIN(V$38,$D$19)&lt;MAX($P$694*($B704+IF($R$17="Distrato",$I$38-1,0)),IF(AND($N$698=0,$P$694=0),"",$N$698-1),IF($R$17="Distrato",$E704,0))),0,YEARFRAC(MAX($P$694*($B704+IF($R$17="Distrato",$I$38-1,0)),IF(AND($N$698=0,$P$694=0),"",$N$698-1),IF($R$17="Distrato",$E704,0)),MIN(V$38,$D$19),$P$20))-SUM($P704:U704)</f>
        <v>0</v>
      </c>
      <c r="W704" s="498">
        <f>IF(OR($B704="",MIN(W$38,$D$19)&lt;MAX($P$694*($B704+IF($R$17="Distrato",$I$38-1,0)),IF(AND($N$698=0,$P$694=0),"",$N$698-1),IF($R$17="Distrato",$E704,0))),0,YEARFRAC(MAX($P$694*($B704+IF($R$17="Distrato",$I$38-1,0)),IF(AND($N$698=0,$P$694=0),"",$N$698-1),IF($R$17="Distrato",$E704,0)),MIN(W$38,$D$19),$P$20))-SUM($P704:V704)</f>
        <v>0</v>
      </c>
      <c r="X704" s="498">
        <f>IF(OR($B704="",MIN(X$38,$D$19)&lt;MAX($P$694*($B704+IF($R$17="Distrato",$I$38-1,0)),IF(AND($N$698=0,$P$694=0),"",$N$698-1),IF($R$17="Distrato",$E704,0))),0,YEARFRAC(MAX($P$694*($B704+IF($R$17="Distrato",$I$38-1,0)),IF(AND($N$698=0,$P$694=0),"",$N$698-1),IF($R$17="Distrato",$E704,0)),MIN(X$38,$D$19),$P$20))-SUM($P704:W704)</f>
        <v>0</v>
      </c>
      <c r="Y704" s="498">
        <f>IF(OR($B704="",MIN(Y$38,$D$19)&lt;MAX($P$694*($B704+IF($R$17="Distrato",$I$38-1,0)),IF(AND($N$698=0,$P$694=0),"",$N$698-1),IF($R$17="Distrato",$E704,0))),0,YEARFRAC(MAX($P$694*($B704+IF($R$17="Distrato",$I$38-1,0)),IF(AND($N$698=0,$P$694=0),"",$N$698-1),IF($R$17="Distrato",$E704,0)),MIN(Y$38,$D$19),$P$20))-SUM($P704:X704)</f>
        <v>0</v>
      </c>
      <c r="Z704" s="498">
        <f>IF(OR($B704="",MIN(Z$38,$D$19)&lt;MAX($P$694*($B704+IF($R$17="Distrato",$I$38-1,0)),IF(AND($N$698=0,$P$694=0),"",$N$698-1),IF($R$17="Distrato",$E704,0))),0,YEARFRAC(MAX($P$694*($B704+IF($R$17="Distrato",$I$38-1,0)),IF(AND($N$698=0,$P$694=0),"",$N$698-1),IF($R$17="Distrato",$E704,0)),MIN(Z$38,$D$19),$P$20))-SUM($P704:Y704)</f>
        <v>0</v>
      </c>
      <c r="AA704" s="498">
        <f>IF(OR($B704="",MIN(AA$38,$D$19)&lt;MAX($P$694*($B704+IF($R$17="Distrato",$I$38-1,0)),IF(AND($N$698=0,$P$694=0),"",$N$698-1),IF($R$17="Distrato",$E704,0))),0,YEARFRAC(MAX($P$694*($B704+IF($R$17="Distrato",$I$38-1,0)),IF(AND($N$698=0,$P$694=0),"",$N$698-1),IF($R$17="Distrato",$E704,0)),MIN(AA$38,$D$19),$P$20))-SUM($P704:Z704)</f>
        <v>0</v>
      </c>
      <c r="AB704" s="498">
        <f>IF(OR($B704="",MIN(AB$38,$D$19)&lt;MAX($P$694*($B704+IF($R$17="Distrato",$I$38-1,0)),IF(AND($N$698=0,$P$694=0),"",$N$698-1),IF($R$17="Distrato",$E704,0))),0,YEARFRAC(MAX($P$694*($B704+IF($R$17="Distrato",$I$38-1,0)),IF(AND($N$698=0,$P$694=0),"",$N$698-1),IF($R$17="Distrato",$E704,0)),MIN(AB$38,$D$19),$P$20))-SUM($P704:AA704)</f>
        <v>0</v>
      </c>
      <c r="AC704" s="498">
        <f>IF(OR($B704="",MIN(AC$38,$D$19)&lt;MAX($P$694*($B704+IF($R$17="Distrato",$I$38-1,0)),IF(AND($N$698=0,$P$694=0),"",$N$698-1),IF($R$17="Distrato",$E704,0))),0,YEARFRAC(MAX($P$694*($B704+IF($R$17="Distrato",$I$38-1,0)),IF(AND($N$698=0,$P$694=0),"",$N$698-1),IF($R$17="Distrato",$E704,0)),MIN(AC$38,$D$19),$P$20))-SUM($P704:AB704)</f>
        <v>0</v>
      </c>
      <c r="AD704" s="498">
        <f>IF(OR($B704="",MIN(AD$38,$D$19)&lt;MAX($P$694*($B704+IF($R$17="Distrato",$I$38-1,0)),IF(AND($N$698=0,$P$694=0),"",$N$698-1),IF($R$17="Distrato",$E704,0))),0,YEARFRAC(MAX($P$694*($B704+IF($R$17="Distrato",$I$38-1,0)),IF(AND($N$698=0,$P$694=0),"",$N$698-1),IF($R$17="Distrato",$E704,0)),MIN(AD$38,$D$19),$P$20))-SUM($P704:AC704)</f>
        <v>0</v>
      </c>
      <c r="AE704" s="498">
        <f>IF(OR($B704="",MIN(AE$38,$D$19)&lt;MAX($P$694*($B704+IF($R$17="Distrato",$I$38-1,0)),IF(AND($N$698=0,$P$694=0),"",$N$698-1),IF($R$17="Distrato",$E704,0))),0,YEARFRAC(MAX($P$694*($B704+IF($R$17="Distrato",$I$38-1,0)),IF(AND($N$698=0,$P$694=0),"",$N$698-1),IF($R$17="Distrato",$E704,0)),MIN(AE$38,$D$19),$P$20))-SUM($P704:AD704)</f>
        <v>0</v>
      </c>
      <c r="AF704" s="498">
        <f>IF(OR($B704="",MIN(AF$38,$D$19)&lt;MAX($P$694*($B704+IF($R$17="Distrato",$I$38-1,0)),IF(AND($N$698=0,$P$694=0),"",$N$698-1),IF($R$17="Distrato",$E704,0))),0,YEARFRAC(MAX($P$694*($B704+IF($R$17="Distrato",$I$38-1,0)),IF(AND($N$698=0,$P$694=0),"",$N$698-1),IF($R$17="Distrato",$E704,0)),MIN(AF$38,$D$19),$P$20))-SUM($P704:AE704)</f>
        <v>0</v>
      </c>
      <c r="AG704" s="498">
        <f>IF(OR($B704="",MIN(AG$38,$D$19)&lt;MAX($P$694*($B704+IF($R$17="Distrato",$I$38-1,0)),IF(AND($N$698=0,$P$694=0),"",$N$698-1),IF($R$17="Distrato",$E704,0))),0,YEARFRAC(MAX($P$694*($B704+IF($R$17="Distrato",$I$38-1,0)),IF(AND($N$698=0,$P$694=0),"",$N$698-1),IF($R$17="Distrato",$E704,0)),MIN(AG$38,$D$19),$P$20))-SUM($P704:AF704)</f>
        <v>0</v>
      </c>
      <c r="AH704" s="498">
        <f>IF(OR($B704="",MIN(AH$38,$D$19)&lt;MAX($P$694*($B704+IF($R$17="Distrato",$I$38-1,0)),IF(AND($N$698=0,$P$694=0),"",$N$698-1),IF($R$17="Distrato",$E704,0))),0,YEARFRAC(MAX($P$694*($B704+IF($R$17="Distrato",$I$38-1,0)),IF(AND($N$698=0,$P$694=0),"",$N$698-1),IF($R$17="Distrato",$E704,0)),MIN(AH$38,$D$19),$P$20))-SUM($P704:AG704)</f>
        <v>0</v>
      </c>
      <c r="AI704" s="498">
        <f>IF(OR($B704="",MIN(AI$38,$D$19)&lt;MAX($P$694*($B704+IF($R$17="Distrato",$I$38-1,0)),IF(AND($N$698=0,$P$694=0),"",$N$698-1),IF($R$17="Distrato",$E704,0))),0,YEARFRAC(MAX($P$694*($B704+IF($R$17="Distrato",$I$38-1,0)),IF(AND($N$698=0,$P$694=0),"",$N$698-1),IF($R$17="Distrato",$E704,0)),MIN(AI$38,$D$19),$P$20))-SUM($P704:AH704)</f>
        <v>0</v>
      </c>
      <c r="AJ704" s="498">
        <f>IF(OR($B704="",MIN(AJ$38,$D$19)&lt;MAX($P$694*($B704+IF($R$17="Distrato",$I$38-1,0)),IF(AND($N$698=0,$P$694=0),"",$N$698-1),IF($R$17="Distrato",$E704,0))),0,YEARFRAC(MAX($P$694*($B704+IF($R$17="Distrato",$I$38-1,0)),IF(AND($N$698=0,$P$694=0),"",$N$698-1),IF($R$17="Distrato",$E704,0)),MIN(AJ$38,$D$19),$P$20))-SUM($P704:AI704)</f>
        <v>0</v>
      </c>
      <c r="AK704" s="498">
        <f>IF(OR($B704="",MIN(AK$38,$D$19)&lt;MAX($P$694*($B704+IF($R$17="Distrato",$I$38-1,0)),IF(AND($N$698=0,$P$694=0),"",$N$698-1),IF($R$17="Distrato",$E704,0))),0,YEARFRAC(MAX($P$694*($B704+IF($R$17="Distrato",$I$38-1,0)),IF(AND($N$698=0,$P$694=0),"",$N$698-1),IF($R$17="Distrato",$E704,0)),MIN(AK$38,$D$19),$P$20))-SUM($P704:AJ704)</f>
        <v>0</v>
      </c>
      <c r="AL704" s="498">
        <f>IF(OR($B704="",MIN(AL$38,$D$19)&lt;MAX($P$694*($B704+IF($R$17="Distrato",$I$38-1,0)),IF(AND($N$698=0,$P$694=0),"",$N$698-1),IF($R$17="Distrato",$E704,0))),0,YEARFRAC(MAX($P$694*($B704+IF($R$17="Distrato",$I$38-1,0)),IF(AND($N$698=0,$P$694=0),"",$N$698-1),IF($R$17="Distrato",$E704,0)),MIN(AL$38,$D$19),$P$20))-SUM($P704:AK704)</f>
        <v>0</v>
      </c>
      <c r="AM704" s="498">
        <f>IF(OR($B704="",MIN(AM$38,$D$19)&lt;MAX($P$694*($B704+IF($R$17="Distrato",$I$38-1,0)),IF(AND($N$698=0,$P$694=0),"",$N$698-1),IF($R$17="Distrato",$E704,0))),0,YEARFRAC(MAX($P$694*($B704+IF($R$17="Distrato",$I$38-1,0)),IF(AND($N$698=0,$P$694=0),"",$N$698-1),IF($R$17="Distrato",$E704,0)),MIN(AM$38,$D$19),$P$20))-SUM($P704:AL704)</f>
        <v>0</v>
      </c>
      <c r="AN704" s="498">
        <f>IF(OR($B704="",MIN(AN$38,$D$19)&lt;MAX($P$694*($B704+IF($R$17="Distrato",$I$38-1,0)),IF(AND($N$698=0,$P$694=0),"",$N$698-1),IF($R$17="Distrato",$E704,0))),0,YEARFRAC(MAX($P$694*($B704+IF($R$17="Distrato",$I$38-1,0)),IF(AND($N$698=0,$P$694=0),"",$N$698-1),IF($R$17="Distrato",$E704,0)),MIN(AN$38,$D$19),$P$20))-SUM($P704:AM704)</f>
        <v>0</v>
      </c>
      <c r="AO704" s="498">
        <f>IF(OR($B704="",MIN(AO$38,$D$19)&lt;MAX($P$694*($B704+IF($R$17="Distrato",$I$38-1,0)),IF(AND($N$698=0,$P$694=0),"",$N$698-1),IF($R$17="Distrato",$E704,0))),0,YEARFRAC(MAX($P$694*($B704+IF($R$17="Distrato",$I$38-1,0)),IF(AND($N$698=0,$P$694=0),"",$N$698-1),IF($R$17="Distrato",$E704,0)),MIN(AO$38,$D$19),$P$20))-SUM($P704:AN704)</f>
        <v>0</v>
      </c>
      <c r="AP704" s="498">
        <f>IF(OR($B704="",MIN(AP$38,$D$19)&lt;MAX($P$694*($B704+IF($R$17="Distrato",$I$38-1,0)),IF(AND($N$698=0,$P$694=0),"",$N$698-1),IF($R$17="Distrato",$E704,0))),0,YEARFRAC(MAX($P$694*($B704+IF($R$17="Distrato",$I$38-1,0)),IF(AND($N$698=0,$P$694=0),"",$N$698-1),IF($R$17="Distrato",$E704,0)),MIN(AP$38,$D$19),$P$20))-SUM($P704:AO704)</f>
        <v>0</v>
      </c>
      <c r="AQ704" s="498">
        <f>IF(OR($B704="",MIN(AQ$38,$D$19)&lt;MAX($P$694*($B704+IF($R$17="Distrato",$I$38-1,0)),IF(AND($N$698=0,$P$694=0),"",$N$698-1),IF($R$17="Distrato",$E704,0))),0,YEARFRAC(MAX($P$694*($B704+IF($R$17="Distrato",$I$38-1,0)),IF(AND($N$698=0,$P$694=0),"",$N$698-1),IF($R$17="Distrato",$E704,0)),MIN(AQ$38,$D$19),$P$20))-SUM($P704:AP704)</f>
        <v>0</v>
      </c>
      <c r="AR704" s="498">
        <f>IF(OR($B704="",MIN(AR$38,$D$19)&lt;MAX($P$694*($B704+IF($R$17="Distrato",$I$38-1,0)),IF(AND($N$698=0,$P$694=0),"",$N$698-1),IF($R$17="Distrato",$E704,0))),0,YEARFRAC(MAX($P$694*($B704+IF($R$17="Distrato",$I$38-1,0)),IF(AND($N$698=0,$P$694=0),"",$N$698-1),IF($R$17="Distrato",$E704,0)),MIN(AR$38,$D$19),$P$20))-SUM($P704:AQ704)</f>
        <v>0</v>
      </c>
      <c r="AS704" s="498">
        <f>IF(OR($B704="",MIN(AS$38,$D$19)&lt;MAX($P$694*($B704+IF($R$17="Distrato",$I$38-1,0)),IF(AND($N$698=0,$P$694=0),"",$N$698-1),IF($R$17="Distrato",$E704,0))),0,YEARFRAC(MAX($P$694*($B704+IF($R$17="Distrato",$I$38-1,0)),IF(AND($N$698=0,$P$694=0),"",$N$698-1),IF($R$17="Distrato",$E704,0)),MIN(AS$38,$D$19),$P$20))-SUM($P704:AR704)</f>
        <v>0</v>
      </c>
      <c r="AT704" s="498">
        <f>IF(OR($B704="",MIN(AT$38,$D$19)&lt;MAX($P$694*($B704+IF($R$17="Distrato",$I$38-1,0)),IF(AND($N$698=0,$P$694=0),"",$N$698-1),IF($R$17="Distrato",$E704,0))),0,YEARFRAC(MAX($P$694*($B704+IF($R$17="Distrato",$I$38-1,0)),IF(AND($N$698=0,$P$694=0),"",$N$698-1),IF($R$17="Distrato",$E704,0)),MIN(AT$38,$D$19),$P$20))-SUM($P704:AS704)</f>
        <v>0</v>
      </c>
      <c r="AU704" s="498">
        <f>IF(OR($B704="",MIN(AU$38,$D$19)&lt;MAX($P$694*($B704+IF($R$17="Distrato",$I$38-1,0)),IF(AND($N$698=0,$P$694=0),"",$N$698-1),IF($R$17="Distrato",$E704,0))),0,YEARFRAC(MAX($P$694*($B704+IF($R$17="Distrato",$I$38-1,0)),IF(AND($N$698=0,$P$694=0),"",$N$698-1),IF($R$17="Distrato",$E704,0)),MIN(AU$38,$D$19),$P$20))-SUM($P704:AT704)</f>
        <v>0</v>
      </c>
      <c r="AV704" s="498">
        <f>IF(OR($B704="",MIN(AV$38,$D$19)&lt;MAX($P$694*($B704+IF($R$17="Distrato",$I$38-1,0)),IF(AND($N$698=0,$P$694=0),"",$N$698-1),IF($R$17="Distrato",$E704,0))),0,YEARFRAC(MAX($P$694*($B704+IF($R$17="Distrato",$I$38-1,0)),IF(AND($N$698=0,$P$694=0),"",$N$698-1),IF($R$17="Distrato",$E704,0)),MIN(AV$38,$D$19),$P$20))-SUM($P704:AU704)</f>
        <v>0</v>
      </c>
      <c r="AW704" s="498">
        <f>IF(OR($B704="",MIN(AW$38,$D$19)&lt;MAX($P$694*($B704+IF($R$17="Distrato",$I$38-1,0)),IF(AND($N$698=0,$P$694=0),"",$N$698-1),IF($R$17="Distrato",$E704,0))),0,YEARFRAC(MAX($P$694*($B704+IF($R$17="Distrato",$I$38-1,0)),IF(AND($N$698=0,$P$694=0),"",$N$698-1),IF($R$17="Distrato",$E704,0)),MIN(AW$38,$D$19),$P$20))-SUM($P704:AV704)</f>
        <v>0</v>
      </c>
      <c r="AX704" s="498">
        <f>IF(OR($B704="",MIN(AX$38,$D$19)&lt;MAX($P$694*($B704+IF($R$17="Distrato",$I$38-1,0)),IF(AND($N$698=0,$P$694=0),"",$N$698-1),IF($R$17="Distrato",$E704,0))),0,YEARFRAC(MAX($P$694*($B704+IF($R$17="Distrato",$I$38-1,0)),IF(AND($N$698=0,$P$694=0),"",$N$698-1),IF($R$17="Distrato",$E704,0)),MIN(AX$38,$D$19),$P$20))-SUM($P704:AW704)</f>
        <v>0</v>
      </c>
      <c r="AY704" s="498">
        <f>IF(OR($B704="",MIN(AY$38,$D$19)&lt;MAX($P$694*($B704+IF($R$17="Distrato",$I$38-1,0)),IF(AND($N$698=0,$P$694=0),"",$N$698-1),IF($R$17="Distrato",$E704,0))),0,YEARFRAC(MAX($P$694*($B704+IF($R$17="Distrato",$I$38-1,0)),IF(AND($N$698=0,$P$694=0),"",$N$698-1),IF($R$17="Distrato",$E704,0)),MIN(AY$38,$D$19),$P$20))-SUM($P704:AX704)</f>
        <v>0</v>
      </c>
      <c r="AZ704" s="498">
        <f>IF(OR($B704="",MIN(AZ$38,$D$19)&lt;MAX($P$694*($B704+IF($R$17="Distrato",$I$38-1,0)),IF(AND($N$698=0,$P$694=0),"",$N$698-1),IF($R$17="Distrato",$E704,0))),0,YEARFRAC(MAX($P$694*($B704+IF($R$17="Distrato",$I$38-1,0)),IF(AND($N$698=0,$P$694=0),"",$N$698-1),IF($R$17="Distrato",$E704,0)),MIN(AZ$38,$D$19),$P$20))-SUM($P704:AY704)</f>
        <v>0</v>
      </c>
      <c r="BA704" s="498">
        <f>IF(OR($B704="",MIN(BA$38,$D$19)&lt;MAX($P$694*($B704+IF($R$17="Distrato",$I$38-1,0)),IF(AND($N$698=0,$P$694=0),"",$N$698-1),IF($R$17="Distrato",$E704,0))),0,YEARFRAC(MAX($P$694*($B704+IF($R$17="Distrato",$I$38-1,0)),IF(AND($N$698=0,$P$694=0),"",$N$698-1),IF($R$17="Distrato",$E704,0)),MIN(BA$38,$D$19),$P$20))-SUM($P704:AZ704)</f>
        <v>0</v>
      </c>
      <c r="BB704" s="488"/>
    </row>
    <row r="705" spans="1:54" s="486" customFormat="1" ht="11.25" customHeight="1" x14ac:dyDescent="0.2">
      <c r="A705" s="225"/>
      <c r="B705" s="178"/>
      <c r="C705" s="183" t="str">
        <f>IF(ISERROR(VLOOKUP($B705,ÍNDICES!$A:$DE,21)),"",VLOOKUP($B705,ÍNDICES!$A:$DE,21))</f>
        <v/>
      </c>
      <c r="D705" s="155"/>
      <c r="E705" s="151"/>
      <c r="F705" s="151"/>
      <c r="G705" s="151"/>
      <c r="H705" s="189"/>
      <c r="I705" s="29" t="str">
        <f ca="1">IF(A$695=Q$697,"mais de 100.000 SMs:",IF(ISERROR(IF(B705&gt;$D$19,1,VLOOKUP(DATE(YEAR(B705),MONTH(B705)+IF($C$35=$S$23,1,0),1),ÍNDICES!$A:$DE,$Z$696+1))),"",IF(B705&gt;$D$19,1,VLOOKUP(DATE(YEAR(B705),MONTH(B705)+IF($G$696=$S$23,1,0),1),ÍNDICES!$A:$DE,$Z$696+1))))</f>
        <v/>
      </c>
      <c r="J705" s="5" t="str">
        <f>IF(A$695=Q$697,MAX(0,IF($B$696=$T$694,IF($B$696=$T$694,$O$692,$D$701/$I$696*$J$696),$D$701/$I$696*$J$696)-100000*VLOOKUP($D$19,ÍNDICES!A:W,23)),IF(ISERROR(IF(D705="","",D705*IF(B705&gt;$D$19,1,$J$696)/I705)),0,IF(D705="","",D705*IF(B705&gt;$D$19,1,$J$696)/I705)))</f>
        <v/>
      </c>
      <c r="K705" s="5">
        <f>IF($A$695=$Q$694,0,IF(J705="","",J705*K$699))</f>
        <v>0</v>
      </c>
      <c r="L705" s="30">
        <v>0.01</v>
      </c>
      <c r="M705" s="64">
        <f>IF(K705="","",IFERROR(SUM(P705:BA705),""))</f>
        <v>0</v>
      </c>
      <c r="N705" s="425">
        <f ca="1">IFERROR(K705*SUMPRODUCT($P$37:$BA$37,$P705:$BA705),"")</f>
        <v>0</v>
      </c>
      <c r="O705" s="5" t="str">
        <f>IF(A$695=Q$697,IF(J705="","",IF(J705&gt;0,J705*L705,0)),IF(B705="","",SUM(K705,N705)))</f>
        <v/>
      </c>
      <c r="P705" s="498">
        <f>IF(OR($B705="",MIN(P$38,$D$19)&lt;MAX($P$694*($B705+IF($R$17="Distrato",$I$38-1,0)),IF(AND($N$698=0,$P$694=0),"",$N$698-1),IF($R$17="Distrato",$E705,0))),0,YEARFRAC(MAX($P$694*($B705+IF($R$17="Distrato",$I$38-1,0)),IF(AND($N$698=0,$P$694=0),"",$N$698-1),IF($R$17="Distrato",$E705,0)),MIN(P$38,$D$19),$P$20))</f>
        <v>0</v>
      </c>
      <c r="Q705" s="498">
        <f>IF(OR($B705="",MIN(Q$38,$D$19)&lt;MAX($P$694*($B705+IF($R$17="Distrato",$I$38-1,0)),IF(AND($N$698=0,$P$694=0),"",$N$698-1),IF($R$17="Distrato",$E705,0))),0,YEARFRAC(MAX($P$694*($B705+IF($R$17="Distrato",$I$38-1,0)),IF(AND($N$698=0,$P$694=0),"",$N$698-1),IF($R$17="Distrato",$E705,0)),MIN(Q$38,$D$19),$P$20))-SUM($P705:P705)</f>
        <v>0</v>
      </c>
      <c r="R705" s="498">
        <f>IF(OR($B705="",MIN(R$38,$D$19)&lt;MAX($P$694*($B705+IF($R$17="Distrato",$I$38-1,0)),IF(AND($N$698=0,$P$694=0),"",$N$698-1),IF($R$17="Distrato",$E705,0))),0,YEARFRAC(MAX($P$694*($B705+IF($R$17="Distrato",$I$38-1,0)),IF(AND($N$698=0,$P$694=0),"",$N$698-1),IF($R$17="Distrato",$E705,0)),MIN(R$38,$D$19),$P$20))-SUM($P705:Q705)</f>
        <v>0</v>
      </c>
      <c r="S705" s="498">
        <f>IF(OR($B705="",MIN(S$38,$D$19)&lt;MAX($P$694*($B705+IF($R$17="Distrato",$I$38-1,0)),IF(AND($N$698=0,$P$694=0),"",$N$698-1),IF($R$17="Distrato",$E705,0))),0,YEARFRAC(MAX($P$694*($B705+IF($R$17="Distrato",$I$38-1,0)),IF(AND($N$698=0,$P$694=0),"",$N$698-1),IF($R$17="Distrato",$E705,0)),MIN(S$38,$D$19),$P$20))-SUM($P705:R705)</f>
        <v>0</v>
      </c>
      <c r="T705" s="498">
        <f>IF(OR($B705="",MIN(T$38,$D$19)&lt;MAX($P$694*($B705+IF($R$17="Distrato",$I$38-1,0)),IF(AND($N$698=0,$P$694=0),"",$N$698-1),IF($R$17="Distrato",$E705,0))),0,YEARFRAC(MAX($P$694*($B705+IF($R$17="Distrato",$I$38-1,0)),IF(AND($N$698=0,$P$694=0),"",$N$698-1),IF($R$17="Distrato",$E705,0)),MIN(T$38,$D$19),$P$20))-SUM($P705:S705)</f>
        <v>0</v>
      </c>
      <c r="U705" s="498">
        <f>IF(OR($B705="",MIN(U$38,$D$19)&lt;MAX($P$694*($B705+IF($R$17="Distrato",$I$38-1,0)),IF(AND($N$698=0,$P$694=0),"",$N$698-1),IF($R$17="Distrato",$E705,0))),0,YEARFRAC(MAX($P$694*($B705+IF($R$17="Distrato",$I$38-1,0)),IF(AND($N$698=0,$P$694=0),"",$N$698-1),IF($R$17="Distrato",$E705,0)),MIN(U$38,$D$19),$P$20))-SUM($P705:T705)</f>
        <v>0</v>
      </c>
      <c r="V705" s="498">
        <f>IF(OR($B705="",MIN(V$38,$D$19)&lt;MAX($P$694*($B705+IF($R$17="Distrato",$I$38-1,0)),IF(AND($N$698=0,$P$694=0),"",$N$698-1),IF($R$17="Distrato",$E705,0))),0,YEARFRAC(MAX($P$694*($B705+IF($R$17="Distrato",$I$38-1,0)),IF(AND($N$698=0,$P$694=0),"",$N$698-1),IF($R$17="Distrato",$E705,0)),MIN(V$38,$D$19),$P$20))-SUM($P705:U705)</f>
        <v>0</v>
      </c>
      <c r="W705" s="498">
        <f>IF(OR($B705="",MIN(W$38,$D$19)&lt;MAX($P$694*($B705+IF($R$17="Distrato",$I$38-1,0)),IF(AND($N$698=0,$P$694=0),"",$N$698-1),IF($R$17="Distrato",$E705,0))),0,YEARFRAC(MAX($P$694*($B705+IF($R$17="Distrato",$I$38-1,0)),IF(AND($N$698=0,$P$694=0),"",$N$698-1),IF($R$17="Distrato",$E705,0)),MIN(W$38,$D$19),$P$20))-SUM($P705:V705)</f>
        <v>0</v>
      </c>
      <c r="X705" s="498">
        <f>IF(OR($B705="",MIN(X$38,$D$19)&lt;MAX($P$694*($B705+IF($R$17="Distrato",$I$38-1,0)),IF(AND($N$698=0,$P$694=0),"",$N$698-1),IF($R$17="Distrato",$E705,0))),0,YEARFRAC(MAX($P$694*($B705+IF($R$17="Distrato",$I$38-1,0)),IF(AND($N$698=0,$P$694=0),"",$N$698-1),IF($R$17="Distrato",$E705,0)),MIN(X$38,$D$19),$P$20))-SUM($P705:W705)</f>
        <v>0</v>
      </c>
      <c r="Y705" s="498">
        <f>IF(OR($B705="",MIN(Y$38,$D$19)&lt;MAX($P$694*($B705+IF($R$17="Distrato",$I$38-1,0)),IF(AND($N$698=0,$P$694=0),"",$N$698-1),IF($R$17="Distrato",$E705,0))),0,YEARFRAC(MAX($P$694*($B705+IF($R$17="Distrato",$I$38-1,0)),IF(AND($N$698=0,$P$694=0),"",$N$698-1),IF($R$17="Distrato",$E705,0)),MIN(Y$38,$D$19),$P$20))-SUM($P705:X705)</f>
        <v>0</v>
      </c>
      <c r="Z705" s="498">
        <f>IF(OR($B705="",MIN(Z$38,$D$19)&lt;MAX($P$694*($B705+IF($R$17="Distrato",$I$38-1,0)),IF(AND($N$698=0,$P$694=0),"",$N$698-1),IF($R$17="Distrato",$E705,0))),0,YEARFRAC(MAX($P$694*($B705+IF($R$17="Distrato",$I$38-1,0)),IF(AND($N$698=0,$P$694=0),"",$N$698-1),IF($R$17="Distrato",$E705,0)),MIN(Z$38,$D$19),$P$20))-SUM($P705:Y705)</f>
        <v>0</v>
      </c>
      <c r="AA705" s="498">
        <f>IF(OR($B705="",MIN(AA$38,$D$19)&lt;MAX($P$694*($B705+IF($R$17="Distrato",$I$38-1,0)),IF(AND($N$698=0,$P$694=0),"",$N$698-1),IF($R$17="Distrato",$E705,0))),0,YEARFRAC(MAX($P$694*($B705+IF($R$17="Distrato",$I$38-1,0)),IF(AND($N$698=0,$P$694=0),"",$N$698-1),IF($R$17="Distrato",$E705,0)),MIN(AA$38,$D$19),$P$20))-SUM($P705:Z705)</f>
        <v>0</v>
      </c>
      <c r="AB705" s="498">
        <f>IF(OR($B705="",MIN(AB$38,$D$19)&lt;MAX($P$694*($B705+IF($R$17="Distrato",$I$38-1,0)),IF(AND($N$698=0,$P$694=0),"",$N$698-1),IF($R$17="Distrato",$E705,0))),0,YEARFRAC(MAX($P$694*($B705+IF($R$17="Distrato",$I$38-1,0)),IF(AND($N$698=0,$P$694=0),"",$N$698-1),IF($R$17="Distrato",$E705,0)),MIN(AB$38,$D$19),$P$20))-SUM($P705:AA705)</f>
        <v>0</v>
      </c>
      <c r="AC705" s="498">
        <f>IF(OR($B705="",MIN(AC$38,$D$19)&lt;MAX($P$694*($B705+IF($R$17="Distrato",$I$38-1,0)),IF(AND($N$698=0,$P$694=0),"",$N$698-1),IF($R$17="Distrato",$E705,0))),0,YEARFRAC(MAX($P$694*($B705+IF($R$17="Distrato",$I$38-1,0)),IF(AND($N$698=0,$P$694=0),"",$N$698-1),IF($R$17="Distrato",$E705,0)),MIN(AC$38,$D$19),$P$20))-SUM($P705:AB705)</f>
        <v>0</v>
      </c>
      <c r="AD705" s="498">
        <f>IF(OR($B705="",MIN(AD$38,$D$19)&lt;MAX($P$694*($B705+IF($R$17="Distrato",$I$38-1,0)),IF(AND($N$698=0,$P$694=0),"",$N$698-1),IF($R$17="Distrato",$E705,0))),0,YEARFRAC(MAX($P$694*($B705+IF($R$17="Distrato",$I$38-1,0)),IF(AND($N$698=0,$P$694=0),"",$N$698-1),IF($R$17="Distrato",$E705,0)),MIN(AD$38,$D$19),$P$20))-SUM($P705:AC705)</f>
        <v>0</v>
      </c>
      <c r="AE705" s="498">
        <f>IF(OR($B705="",MIN(AE$38,$D$19)&lt;MAX($P$694*($B705+IF($R$17="Distrato",$I$38-1,0)),IF(AND($N$698=0,$P$694=0),"",$N$698-1),IF($R$17="Distrato",$E705,0))),0,YEARFRAC(MAX($P$694*($B705+IF($R$17="Distrato",$I$38-1,0)),IF(AND($N$698=0,$P$694=0),"",$N$698-1),IF($R$17="Distrato",$E705,0)),MIN(AE$38,$D$19),$P$20))-SUM($P705:AD705)</f>
        <v>0</v>
      </c>
      <c r="AF705" s="498">
        <f>IF(OR($B705="",MIN(AF$38,$D$19)&lt;MAX($P$694*($B705+IF($R$17="Distrato",$I$38-1,0)),IF(AND($N$698=0,$P$694=0),"",$N$698-1),IF($R$17="Distrato",$E705,0))),0,YEARFRAC(MAX($P$694*($B705+IF($R$17="Distrato",$I$38-1,0)),IF(AND($N$698=0,$P$694=0),"",$N$698-1),IF($R$17="Distrato",$E705,0)),MIN(AF$38,$D$19),$P$20))-SUM($P705:AE705)</f>
        <v>0</v>
      </c>
      <c r="AG705" s="498">
        <f>IF(OR($B705="",MIN(AG$38,$D$19)&lt;MAX($P$694*($B705+IF($R$17="Distrato",$I$38-1,0)),IF(AND($N$698=0,$P$694=0),"",$N$698-1),IF($R$17="Distrato",$E705,0))),0,YEARFRAC(MAX($P$694*($B705+IF($R$17="Distrato",$I$38-1,0)),IF(AND($N$698=0,$P$694=0),"",$N$698-1),IF($R$17="Distrato",$E705,0)),MIN(AG$38,$D$19),$P$20))-SUM($P705:AF705)</f>
        <v>0</v>
      </c>
      <c r="AH705" s="498">
        <f>IF(OR($B705="",MIN(AH$38,$D$19)&lt;MAX($P$694*($B705+IF($R$17="Distrato",$I$38-1,0)),IF(AND($N$698=0,$P$694=0),"",$N$698-1),IF($R$17="Distrato",$E705,0))),0,YEARFRAC(MAX($P$694*($B705+IF($R$17="Distrato",$I$38-1,0)),IF(AND($N$698=0,$P$694=0),"",$N$698-1),IF($R$17="Distrato",$E705,0)),MIN(AH$38,$D$19),$P$20))-SUM($P705:AG705)</f>
        <v>0</v>
      </c>
      <c r="AI705" s="498">
        <f>IF(OR($B705="",MIN(AI$38,$D$19)&lt;MAX($P$694*($B705+IF($R$17="Distrato",$I$38-1,0)),IF(AND($N$698=0,$P$694=0),"",$N$698-1),IF($R$17="Distrato",$E705,0))),0,YEARFRAC(MAX($P$694*($B705+IF($R$17="Distrato",$I$38-1,0)),IF(AND($N$698=0,$P$694=0),"",$N$698-1),IF($R$17="Distrato",$E705,0)),MIN(AI$38,$D$19),$P$20))-SUM($P705:AH705)</f>
        <v>0</v>
      </c>
      <c r="AJ705" s="498">
        <f>IF(OR($B705="",MIN(AJ$38,$D$19)&lt;MAX($P$694*($B705+IF($R$17="Distrato",$I$38-1,0)),IF(AND($N$698=0,$P$694=0),"",$N$698-1),IF($R$17="Distrato",$E705,0))),0,YEARFRAC(MAX($P$694*($B705+IF($R$17="Distrato",$I$38-1,0)),IF(AND($N$698=0,$P$694=0),"",$N$698-1),IF($R$17="Distrato",$E705,0)),MIN(AJ$38,$D$19),$P$20))-SUM($P705:AI705)</f>
        <v>0</v>
      </c>
      <c r="AK705" s="498">
        <f>IF(OR($B705="",MIN(AK$38,$D$19)&lt;MAX($P$694*($B705+IF($R$17="Distrato",$I$38-1,0)),IF(AND($N$698=0,$P$694=0),"",$N$698-1),IF($R$17="Distrato",$E705,0))),0,YEARFRAC(MAX($P$694*($B705+IF($R$17="Distrato",$I$38-1,0)),IF(AND($N$698=0,$P$694=0),"",$N$698-1),IF($R$17="Distrato",$E705,0)),MIN(AK$38,$D$19),$P$20))-SUM($P705:AJ705)</f>
        <v>0</v>
      </c>
      <c r="AL705" s="498">
        <f>IF(OR($B705="",MIN(AL$38,$D$19)&lt;MAX($P$694*($B705+IF($R$17="Distrato",$I$38-1,0)),IF(AND($N$698=0,$P$694=0),"",$N$698-1),IF($R$17="Distrato",$E705,0))),0,YEARFRAC(MAX($P$694*($B705+IF($R$17="Distrato",$I$38-1,0)),IF(AND($N$698=0,$P$694=0),"",$N$698-1),IF($R$17="Distrato",$E705,0)),MIN(AL$38,$D$19),$P$20))-SUM($P705:AK705)</f>
        <v>0</v>
      </c>
      <c r="AM705" s="498">
        <f>IF(OR($B705="",MIN(AM$38,$D$19)&lt;MAX($P$694*($B705+IF($R$17="Distrato",$I$38-1,0)),IF(AND($N$698=0,$P$694=0),"",$N$698-1),IF($R$17="Distrato",$E705,0))),0,YEARFRAC(MAX($P$694*($B705+IF($R$17="Distrato",$I$38-1,0)),IF(AND($N$698=0,$P$694=0),"",$N$698-1),IF($R$17="Distrato",$E705,0)),MIN(AM$38,$D$19),$P$20))-SUM($P705:AL705)</f>
        <v>0</v>
      </c>
      <c r="AN705" s="498">
        <f>IF(OR($B705="",MIN(AN$38,$D$19)&lt;MAX($P$694*($B705+IF($R$17="Distrato",$I$38-1,0)),IF(AND($N$698=0,$P$694=0),"",$N$698-1),IF($R$17="Distrato",$E705,0))),0,YEARFRAC(MAX($P$694*($B705+IF($R$17="Distrato",$I$38-1,0)),IF(AND($N$698=0,$P$694=0),"",$N$698-1),IF($R$17="Distrato",$E705,0)),MIN(AN$38,$D$19),$P$20))-SUM($P705:AM705)</f>
        <v>0</v>
      </c>
      <c r="AO705" s="498">
        <f>IF(OR($B705="",MIN(AO$38,$D$19)&lt;MAX($P$694*($B705+IF($R$17="Distrato",$I$38-1,0)),IF(AND($N$698=0,$P$694=0),"",$N$698-1),IF($R$17="Distrato",$E705,0))),0,YEARFRAC(MAX($P$694*($B705+IF($R$17="Distrato",$I$38-1,0)),IF(AND($N$698=0,$P$694=0),"",$N$698-1),IF($R$17="Distrato",$E705,0)),MIN(AO$38,$D$19),$P$20))-SUM($P705:AN705)</f>
        <v>0</v>
      </c>
      <c r="AP705" s="498">
        <f>IF(OR($B705="",MIN(AP$38,$D$19)&lt;MAX($P$694*($B705+IF($R$17="Distrato",$I$38-1,0)),IF(AND($N$698=0,$P$694=0),"",$N$698-1),IF($R$17="Distrato",$E705,0))),0,YEARFRAC(MAX($P$694*($B705+IF($R$17="Distrato",$I$38-1,0)),IF(AND($N$698=0,$P$694=0),"",$N$698-1),IF($R$17="Distrato",$E705,0)),MIN(AP$38,$D$19),$P$20))-SUM($P705:AO705)</f>
        <v>0</v>
      </c>
      <c r="AQ705" s="498">
        <f>IF(OR($B705="",MIN(AQ$38,$D$19)&lt;MAX($P$694*($B705+IF($R$17="Distrato",$I$38-1,0)),IF(AND($N$698=0,$P$694=0),"",$N$698-1),IF($R$17="Distrato",$E705,0))),0,YEARFRAC(MAX($P$694*($B705+IF($R$17="Distrato",$I$38-1,0)),IF(AND($N$698=0,$P$694=0),"",$N$698-1),IF($R$17="Distrato",$E705,0)),MIN(AQ$38,$D$19),$P$20))-SUM($P705:AP705)</f>
        <v>0</v>
      </c>
      <c r="AR705" s="498">
        <f>IF(OR($B705="",MIN(AR$38,$D$19)&lt;MAX($P$694*($B705+IF($R$17="Distrato",$I$38-1,0)),IF(AND($N$698=0,$P$694=0),"",$N$698-1),IF($R$17="Distrato",$E705,0))),0,YEARFRAC(MAX($P$694*($B705+IF($R$17="Distrato",$I$38-1,0)),IF(AND($N$698=0,$P$694=0),"",$N$698-1),IF($R$17="Distrato",$E705,0)),MIN(AR$38,$D$19),$P$20))-SUM($P705:AQ705)</f>
        <v>0</v>
      </c>
      <c r="AS705" s="498">
        <f>IF(OR($B705="",MIN(AS$38,$D$19)&lt;MAX($P$694*($B705+IF($R$17="Distrato",$I$38-1,0)),IF(AND($N$698=0,$P$694=0),"",$N$698-1),IF($R$17="Distrato",$E705,0))),0,YEARFRAC(MAX($P$694*($B705+IF($R$17="Distrato",$I$38-1,0)),IF(AND($N$698=0,$P$694=0),"",$N$698-1),IF($R$17="Distrato",$E705,0)),MIN(AS$38,$D$19),$P$20))-SUM($P705:AR705)</f>
        <v>0</v>
      </c>
      <c r="AT705" s="498">
        <f>IF(OR($B705="",MIN(AT$38,$D$19)&lt;MAX($P$694*($B705+IF($R$17="Distrato",$I$38-1,0)),IF(AND($N$698=0,$P$694=0),"",$N$698-1),IF($R$17="Distrato",$E705,0))),0,YEARFRAC(MAX($P$694*($B705+IF($R$17="Distrato",$I$38-1,0)),IF(AND($N$698=0,$P$694=0),"",$N$698-1),IF($R$17="Distrato",$E705,0)),MIN(AT$38,$D$19),$P$20))-SUM($P705:AS705)</f>
        <v>0</v>
      </c>
      <c r="AU705" s="498">
        <f>IF(OR($B705="",MIN(AU$38,$D$19)&lt;MAX($P$694*($B705+IF($R$17="Distrato",$I$38-1,0)),IF(AND($N$698=0,$P$694=0),"",$N$698-1),IF($R$17="Distrato",$E705,0))),0,YEARFRAC(MAX($P$694*($B705+IF($R$17="Distrato",$I$38-1,0)),IF(AND($N$698=0,$P$694=0),"",$N$698-1),IF($R$17="Distrato",$E705,0)),MIN(AU$38,$D$19),$P$20))-SUM($P705:AT705)</f>
        <v>0</v>
      </c>
      <c r="AV705" s="498">
        <f>IF(OR($B705="",MIN(AV$38,$D$19)&lt;MAX($P$694*($B705+IF($R$17="Distrato",$I$38-1,0)),IF(AND($N$698=0,$P$694=0),"",$N$698-1),IF($R$17="Distrato",$E705,0))),0,YEARFRAC(MAX($P$694*($B705+IF($R$17="Distrato",$I$38-1,0)),IF(AND($N$698=0,$P$694=0),"",$N$698-1),IF($R$17="Distrato",$E705,0)),MIN(AV$38,$D$19),$P$20))-SUM($P705:AU705)</f>
        <v>0</v>
      </c>
      <c r="AW705" s="498">
        <f>IF(OR($B705="",MIN(AW$38,$D$19)&lt;MAX($P$694*($B705+IF($R$17="Distrato",$I$38-1,0)),IF(AND($N$698=0,$P$694=0),"",$N$698-1),IF($R$17="Distrato",$E705,0))),0,YEARFRAC(MAX($P$694*($B705+IF($R$17="Distrato",$I$38-1,0)),IF(AND($N$698=0,$P$694=0),"",$N$698-1),IF($R$17="Distrato",$E705,0)),MIN(AW$38,$D$19),$P$20))-SUM($P705:AV705)</f>
        <v>0</v>
      </c>
      <c r="AX705" s="498">
        <f>IF(OR($B705="",MIN(AX$38,$D$19)&lt;MAX($P$694*($B705+IF($R$17="Distrato",$I$38-1,0)),IF(AND($N$698=0,$P$694=0),"",$N$698-1),IF($R$17="Distrato",$E705,0))),0,YEARFRAC(MAX($P$694*($B705+IF($R$17="Distrato",$I$38-1,0)),IF(AND($N$698=0,$P$694=0),"",$N$698-1),IF($R$17="Distrato",$E705,0)),MIN(AX$38,$D$19),$P$20))-SUM($P705:AW705)</f>
        <v>0</v>
      </c>
      <c r="AY705" s="498">
        <f>IF(OR($B705="",MIN(AY$38,$D$19)&lt;MAX($P$694*($B705+IF($R$17="Distrato",$I$38-1,0)),IF(AND($N$698=0,$P$694=0),"",$N$698-1),IF($R$17="Distrato",$E705,0))),0,YEARFRAC(MAX($P$694*($B705+IF($R$17="Distrato",$I$38-1,0)),IF(AND($N$698=0,$P$694=0),"",$N$698-1),IF($R$17="Distrato",$E705,0)),MIN(AY$38,$D$19),$P$20))-SUM($P705:AX705)</f>
        <v>0</v>
      </c>
      <c r="AZ705" s="498">
        <f>IF(OR($B705="",MIN(AZ$38,$D$19)&lt;MAX($P$694*($B705+IF($R$17="Distrato",$I$38-1,0)),IF(AND($N$698=0,$P$694=0),"",$N$698-1),IF($R$17="Distrato",$E705,0))),0,YEARFRAC(MAX($P$694*($B705+IF($R$17="Distrato",$I$38-1,0)),IF(AND($N$698=0,$P$694=0),"",$N$698-1),IF($R$17="Distrato",$E705,0)),MIN(AZ$38,$D$19),$P$20))-SUM($P705:AY705)</f>
        <v>0</v>
      </c>
      <c r="BA705" s="498">
        <f>IF(OR($B705="",MIN(BA$38,$D$19)&lt;MAX($P$694*($B705+IF($R$17="Distrato",$I$38-1,0)),IF(AND($N$698=0,$P$694=0),"",$N$698-1),IF($R$17="Distrato",$E705,0))),0,YEARFRAC(MAX($P$694*($B705+IF($R$17="Distrato",$I$38-1,0)),IF(AND($N$698=0,$P$694=0),"",$N$698-1),IF($R$17="Distrato",$E705,0)),MIN(BA$38,$D$19),$P$20))-SUM($P705:AZ705)</f>
        <v>0</v>
      </c>
      <c r="BB705" s="488"/>
    </row>
    <row r="706" spans="1:54" s="486" customFormat="1" ht="11.25" customHeight="1" x14ac:dyDescent="0.2">
      <c r="A706" s="426" t="s">
        <v>123</v>
      </c>
      <c r="B706" s="525"/>
      <c r="C706" s="183" t="s">
        <v>101</v>
      </c>
      <c r="D706" s="161"/>
      <c r="E706" s="151"/>
      <c r="F706" s="151"/>
      <c r="G706" s="151"/>
      <c r="H706" s="189"/>
      <c r="I706" s="29"/>
      <c r="J706" s="424">
        <f>SUM(J701:J705)</f>
        <v>0</v>
      </c>
      <c r="K706" s="424">
        <f ca="1">SUM(K701:K705)</f>
        <v>0</v>
      </c>
      <c r="L706" s="183"/>
      <c r="M706" s="64"/>
      <c r="N706" s="424">
        <f ca="1">SUM(N701:N705)</f>
        <v>0</v>
      </c>
      <c r="O706" s="16">
        <f ca="1">SUM(O701:O705)</f>
        <v>0</v>
      </c>
      <c r="P706" s="499"/>
      <c r="Q706" s="499"/>
      <c r="R706" s="499"/>
      <c r="S706" s="499"/>
      <c r="T706" s="499"/>
      <c r="U706" s="499"/>
      <c r="V706" s="499"/>
      <c r="BB706" s="488"/>
    </row>
    <row r="707" spans="1:54" s="446" customFormat="1" ht="15" customHeight="1" x14ac:dyDescent="0.2">
      <c r="A707" s="87"/>
      <c r="B707" s="88"/>
      <c r="C707" s="88"/>
      <c r="D707" s="226"/>
      <c r="E707" s="226"/>
      <c r="F707" s="226"/>
      <c r="G707" s="226"/>
      <c r="H707" s="227"/>
      <c r="I707" s="226"/>
      <c r="J707" s="202"/>
      <c r="K707" s="202"/>
      <c r="L707" s="228"/>
      <c r="M707" s="228"/>
      <c r="N707" s="87"/>
      <c r="O707" s="87"/>
      <c r="BB707" s="447"/>
    </row>
    <row r="708" spans="1:54" s="446" customFormat="1" ht="12.95" customHeight="1" x14ac:dyDescent="0.2">
      <c r="A708" s="622" t="s">
        <v>124</v>
      </c>
      <c r="B708" s="623"/>
      <c r="C708" s="623"/>
      <c r="D708" s="623"/>
      <c r="E708" s="623"/>
      <c r="F708" s="623"/>
      <c r="G708" s="623"/>
      <c r="H708" s="623"/>
      <c r="I708" s="623"/>
      <c r="J708" s="623"/>
      <c r="K708" s="124"/>
      <c r="L708" s="165"/>
      <c r="M708" s="76"/>
      <c r="N708" s="166" t="s">
        <v>65</v>
      </c>
      <c r="O708" s="127" t="s">
        <v>25</v>
      </c>
      <c r="P708" s="446">
        <f>IF(OR(O708=$Y$22,G1276&gt;0),1,0)</f>
        <v>0</v>
      </c>
      <c r="Z708" s="457" t="s">
        <v>23</v>
      </c>
      <c r="BB708" s="447"/>
    </row>
    <row r="709" spans="1:54" s="446" customFormat="1" ht="12.95" customHeight="1" x14ac:dyDescent="0.2">
      <c r="A709" s="124"/>
      <c r="B709" s="128" t="s">
        <v>67</v>
      </c>
      <c r="C709" s="528" t="str">
        <f>C683</f>
        <v>próprio mês</v>
      </c>
      <c r="D709" s="188"/>
      <c r="E709" s="111"/>
      <c r="F709" s="111"/>
      <c r="G709" s="111"/>
      <c r="H709" s="116"/>
      <c r="I709" s="124" t="s">
        <v>125</v>
      </c>
      <c r="J709" s="131">
        <f ca="1">VLOOKUP(DATE(YEAR($D$19),MONTH($D$19)-IF($L709=$P$15,1,0)+IF($C709=$S$23,1,0),1),ÍNDICES!$A:$DE,$Z709+1)+IF($L709=$P$15,1%,0)</f>
        <v>92.252543000000003</v>
      </c>
      <c r="K709" s="229" t="s">
        <v>69</v>
      </c>
      <c r="L709" s="594" t="str">
        <f>IF($B$23=$W$22,L683,$U$15)</f>
        <v>TABELA PRÁTICA - INPC</v>
      </c>
      <c r="M709" s="595"/>
      <c r="N709" s="595"/>
      <c r="O709" s="596"/>
      <c r="Z709" s="452">
        <f ca="1">SUMIF(ÍNDICES!$A$3:$W$4,L709,ÍNDICES!$A$4:$W$4)+10</f>
        <v>13</v>
      </c>
      <c r="BB709" s="447"/>
    </row>
    <row r="710" spans="1:54" s="446" customFormat="1" ht="12.95" customHeight="1" x14ac:dyDescent="0.2">
      <c r="A710" s="62" t="s">
        <v>70</v>
      </c>
      <c r="B710" s="3" t="s">
        <v>92</v>
      </c>
      <c r="C710" s="4" t="s">
        <v>126</v>
      </c>
      <c r="D710" s="62" t="str">
        <f>IF(AND(N710&gt;0,N711&gt;0),"V. Diário","Valor")&amp;" Original"</f>
        <v>Valor Original</v>
      </c>
      <c r="E710" s="19"/>
      <c r="F710" s="19"/>
      <c r="G710" s="19"/>
      <c r="H710" s="117"/>
      <c r="I710" s="62" t="s">
        <v>102</v>
      </c>
      <c r="J710" s="524" t="s">
        <v>127</v>
      </c>
      <c r="K710" s="62" t="s">
        <v>128</v>
      </c>
      <c r="L710" s="62" t="s">
        <v>95</v>
      </c>
      <c r="M710" s="63" t="s">
        <v>75</v>
      </c>
      <c r="N710" s="230"/>
      <c r="O710" s="172" t="s">
        <v>79</v>
      </c>
      <c r="BB710" s="447"/>
    </row>
    <row r="711" spans="1:54" s="446" customFormat="1" ht="12.95" customHeight="1" x14ac:dyDescent="0.2">
      <c r="A711" s="5" t="s">
        <v>80</v>
      </c>
      <c r="B711" s="6" t="s">
        <v>96</v>
      </c>
      <c r="C711" s="7" t="s">
        <v>129</v>
      </c>
      <c r="D711" s="62" t="s">
        <v>97</v>
      </c>
      <c r="E711" s="19"/>
      <c r="F711" s="19"/>
      <c r="G711" s="19"/>
      <c r="H711" s="117"/>
      <c r="I711" s="62" t="s">
        <v>130</v>
      </c>
      <c r="J711" s="20" t="s">
        <v>131</v>
      </c>
      <c r="K711" s="5" t="s">
        <v>131</v>
      </c>
      <c r="L711" s="231"/>
      <c r="M711" s="7" t="s">
        <v>100</v>
      </c>
      <c r="N711" s="232"/>
      <c r="O711" s="172" t="s">
        <v>87</v>
      </c>
      <c r="BB711" s="447"/>
    </row>
    <row r="712" spans="1:54" s="446" customFormat="1" ht="12.95" customHeight="1" x14ac:dyDescent="0.2">
      <c r="A712" s="172"/>
      <c r="B712" s="172"/>
      <c r="C712" s="7"/>
      <c r="D712" s="5"/>
      <c r="E712" s="19"/>
      <c r="F712" s="19"/>
      <c r="G712" s="19"/>
      <c r="H712" s="117"/>
      <c r="I712" s="174"/>
      <c r="J712" s="9"/>
      <c r="K712" s="30">
        <v>1</v>
      </c>
      <c r="L712" s="7"/>
      <c r="M712" s="7"/>
      <c r="N712" s="233">
        <f>IF(OR(N710="",N711=""),1,N711-N710+1)</f>
        <v>1</v>
      </c>
      <c r="O712" s="234">
        <v>1</v>
      </c>
      <c r="BB712" s="447"/>
    </row>
    <row r="713" spans="1:54" s="446" customFormat="1" ht="6" customHeight="1" x14ac:dyDescent="0.2">
      <c r="A713" s="172"/>
      <c r="B713" s="172"/>
      <c r="C713" s="7"/>
      <c r="D713" s="5"/>
      <c r="E713" s="88"/>
      <c r="F713" s="88"/>
      <c r="G713" s="88"/>
      <c r="H713" s="118"/>
      <c r="I713" s="20"/>
      <c r="J713" s="20"/>
      <c r="K713" s="5"/>
      <c r="L713" s="7"/>
      <c r="M713" s="7"/>
      <c r="N713" s="151"/>
      <c r="O713" s="151"/>
      <c r="BB713" s="447"/>
    </row>
    <row r="714" spans="1:54" s="446" customFormat="1" ht="11.25" customHeight="1" x14ac:dyDescent="0.2">
      <c r="A714" s="235"/>
      <c r="B714" s="236"/>
      <c r="C714" s="29" t="str">
        <f>IF(B714="","",IF($L$709=$BL$25,VLOOKUP(DATE(YEAR($D$19),MONTH($D$19)-1,1),ÍNDICES!$A:$DE,HLOOKUP($BL$25,ÍNDICES!$B$3:$T$4,2)+11)-VLOOKUP(B714,ÍNDICES!$A:$DE,HLOOKUP($BL$25,ÍNDICES!$B$3:$T$4,2)+11)+1%,IF(C$712=$W$26,$J$35,IF(ISERROR(IF(B714&gt;$D$19,1,VLOOKUP(DATE(YEAR(B714),MONTH(B714)+IF($C$709=$S$23,1,0),1),ÍNDICES!$A:$DE,$Z$709+1))),"",IF(B714&gt;$D$19,1,VLOOKUP(DATE(YEAR(B714),MONTH(B714)+IF($C$709=$S$23,1,0),1),ÍNDICES!$A:$DE,$Z$709+1))))))</f>
        <v/>
      </c>
      <c r="D714" s="155"/>
      <c r="E714" s="88"/>
      <c r="F714" s="88"/>
      <c r="G714" s="88"/>
      <c r="H714" s="118"/>
      <c r="I714" s="182">
        <f t="shared" ref="I714:I777" si="115">IF(ISERROR(D714-G714),"",D714-G714)</f>
        <v>0</v>
      </c>
      <c r="J714" s="20">
        <f t="shared" ref="J714:J777" ca="1" si="116">IF(ISERROR(IF(I714="","",I714*IF(B714&gt;$D$19,1,$J$709)/C714)),0,IF(I714="","",I714*IF(B714&gt;$D$19,1,$J$709)/C714))</f>
        <v>0</v>
      </c>
      <c r="K714" s="5">
        <f t="shared" ref="K714:K777" ca="1" si="117">IF(ISERROR(J714*K$712),0,J714*K$712)</f>
        <v>0</v>
      </c>
      <c r="L714" s="61">
        <f t="shared" ref="L714:L777" ca="1" si="118">IF(L$709="SELIC - TRIBUTOS",0,IFERROR(K714*SUMPRODUCT($P$37:$BA$37,$P714:$BA714),0))</f>
        <v>0</v>
      </c>
      <c r="M714" s="64">
        <f t="shared" ref="M714:M777" si="119">IFERROR(SUM(P714:BA714),0)</f>
        <v>0</v>
      </c>
      <c r="N714" s="151"/>
      <c r="O714" s="5">
        <f t="shared" ref="O714:O777" ca="1" si="120">IF(ISERROR((K714+L714)*N$712),"",(K714+L714)*N$712)</f>
        <v>0</v>
      </c>
      <c r="P714" s="446" t="e">
        <f t="shared" ref="P714:P777" si="121">IF(OR($B714="",MIN(P$38,$D$19)&lt;MAX($P$708*($B714+IF($R$17="Distrato",$I$38-1,0)),IF(AND($L$711=0,$P$708=0),"",$L$711-1),IF($R$17="Distrato",$E714,0))),0,YEARFRAC(MAX($P$708*($B714+IF($R$17="Distrato",$I$38-1,0)),IF(AND($L$711=0,$P$708=0),"",$L$711-1),IF($R$17="Distrato",$E714,0)),MIN(P$38,$D$19),$P$20))</f>
        <v>#VALUE!</v>
      </c>
      <c r="Q714" s="446" t="e">
        <f>IF(OR($B714="",MIN(Q$38,$D$19)&lt;MAX($P$708*($B714+IF($R$17="Distrato",$I$38-1,0)),IF(AND($L$711=0,$P$708=0),"",$L$711-1),IF($R$17="Distrato",$E714,0))),0,YEARFRAC(MAX($P$708*($B714+IF($R$17="Distrato",$I$38-1,0)),IF(AND($L$711=0,$P$708=0),"",$L$711-1),IF($R$17="Distrato",$E714,0)),MIN(Q$38,$D$19),$P$20))-SUM($P714:P714)</f>
        <v>#VALUE!</v>
      </c>
      <c r="R714" s="446" t="e">
        <f>IF(OR($B714="",MIN(R$38,$D$19)&lt;MAX($P$708*($B714+IF($R$17="Distrato",$I$38-1,0)),IF(AND($L$711=0,$P$708=0),"",$L$711-1),IF($R$17="Distrato",$E714,0))),0,YEARFRAC(MAX($P$708*($B714+IF($R$17="Distrato",$I$38-1,0)),IF(AND($L$711=0,$P$708=0),"",$L$711-1),IF($R$17="Distrato",$E714,0)),MIN(R$38,$D$19),$P$20))-SUM($P714:Q714)</f>
        <v>#VALUE!</v>
      </c>
      <c r="S714" s="446" t="e">
        <f>IF(OR($B714="",MIN(S$38,$D$19)&lt;MAX($P$708*($B714+IF($R$17="Distrato",$I$38-1,0)),IF(AND($L$711=0,$P$708=0),"",$L$711-1),IF($R$17="Distrato",$E714,0))),0,YEARFRAC(MAX($P$708*($B714+IF($R$17="Distrato",$I$38-1,0)),IF(AND($L$711=0,$P$708=0),"",$L$711-1),IF($R$17="Distrato",$E714,0)),MIN(S$38,$D$19),$P$20))-SUM($P714:R714)</f>
        <v>#VALUE!</v>
      </c>
      <c r="T714" s="446" t="e">
        <f>IF(OR($B714="",MIN(T$38,$D$19)&lt;MAX($P$708*($B714+IF($R$17="Distrato",$I$38-1,0)),IF(AND($L$711=0,$P$708=0),"",$L$711-1),IF($R$17="Distrato",$E714,0))),0,YEARFRAC(MAX($P$708*($B714+IF($R$17="Distrato",$I$38-1,0)),IF(AND($L$711=0,$P$708=0),"",$L$711-1),IF($R$17="Distrato",$E714,0)),MIN(T$38,$D$19),$P$20))-SUM($P714:S714)</f>
        <v>#VALUE!</v>
      </c>
      <c r="U714" s="446" t="e">
        <f>IF(OR($B714="",MIN(U$38,$D$19)&lt;MAX($P$708*($B714+IF($R$17="Distrato",$I$38-1,0)),IF(AND($L$711=0,$P$708=0),"",$L$711-1),IF($R$17="Distrato",$E714,0))),0,YEARFRAC(MAX($P$708*($B714+IF($R$17="Distrato",$I$38-1,0)),IF(AND($L$711=0,$P$708=0),"",$L$711-1),IF($R$17="Distrato",$E714,0)),MIN(U$38,$D$19),$P$20))-SUM($P714:T714)</f>
        <v>#VALUE!</v>
      </c>
      <c r="V714" s="446" t="e">
        <f>IF(OR($B714="",MIN(V$38,$D$19)&lt;MAX($P$708*($B714+IF($R$17="Distrato",$I$38-1,0)),IF(AND($L$711=0,$P$708=0),"",$L$711-1),IF($R$17="Distrato",$E714,0))),0,YEARFRAC(MAX($P$708*($B714+IF($R$17="Distrato",$I$38-1,0)),IF(AND($L$711=0,$P$708=0),"",$L$711-1),IF($R$17="Distrato",$E714,0)),MIN(V$38,$D$19),$P$20))-SUM($P714:U714)</f>
        <v>#VALUE!</v>
      </c>
      <c r="W714" s="446" t="e">
        <f>IF(OR($B714="",MIN(W$38,$D$19)&lt;MAX($P$708*($B714+IF($R$17="Distrato",$I$38-1,0)),IF(AND($L$711=0,$P$708=0),"",$L$711-1),IF($R$17="Distrato",$E714,0))),0,YEARFRAC(MAX($P$708*($B714+IF($R$17="Distrato",$I$38-1,0)),IF(AND($L$711=0,$P$708=0),"",$L$711-1),IF($R$17="Distrato",$E714,0)),MIN(W$38,$D$19),$P$20))-SUM($P714:V714)</f>
        <v>#VALUE!</v>
      </c>
      <c r="X714" s="446" t="e">
        <f>IF(OR($B714="",MIN(X$38,$D$19)&lt;MAX($P$708*($B714+IF($R$17="Distrato",$I$38-1,0)),IF(AND($L$711=0,$P$708=0),"",$L$711-1),IF($R$17="Distrato",$E714,0))),0,YEARFRAC(MAX($P$708*($B714+IF($R$17="Distrato",$I$38-1,0)),IF(AND($L$711=0,$P$708=0),"",$L$711-1),IF($R$17="Distrato",$E714,0)),MIN(X$38,$D$19),$P$20))-SUM($P714:W714)</f>
        <v>#VALUE!</v>
      </c>
      <c r="Y714" s="446" t="e">
        <f>IF(OR($B714="",MIN(Y$38,$D$19)&lt;MAX($P$708*($B714+IF($R$17="Distrato",$I$38-1,0)),IF(AND($L$711=0,$P$708=0),"",$L$711-1),IF($R$17="Distrato",$E714,0))),0,YEARFRAC(MAX($P$708*($B714+IF($R$17="Distrato",$I$38-1,0)),IF(AND($L$711=0,$P$708=0),"",$L$711-1),IF($R$17="Distrato",$E714,0)),MIN(Y$38,$D$19),$P$20))-SUM($P714:X714)</f>
        <v>#VALUE!</v>
      </c>
      <c r="Z714" s="446" t="e">
        <f>IF(OR($B714="",MIN(Z$38,$D$19)&lt;MAX($P$708*($B714+IF($R$17="Distrato",$I$38-1,0)),IF(AND($L$711=0,$P$708=0),"",$L$711-1),IF($R$17="Distrato",$E714,0))),0,YEARFRAC(MAX($P$708*($B714+IF($R$17="Distrato",$I$38-1,0)),IF(AND($L$711=0,$P$708=0),"",$L$711-1),IF($R$17="Distrato",$E714,0)),MIN(Z$38,$D$19),$P$20))-SUM($P714:Y714)</f>
        <v>#VALUE!</v>
      </c>
      <c r="AA714" s="446" t="e">
        <f>IF(OR($B714="",MIN(AA$38,$D$19)&lt;MAX($P$708*($B714+IF($R$17="Distrato",$I$38-1,0)),IF(AND($L$711=0,$P$708=0),"",$L$711-1),IF($R$17="Distrato",$E714,0))),0,YEARFRAC(MAX($P$708*($B714+IF($R$17="Distrato",$I$38-1,0)),IF(AND($L$711=0,$P$708=0),"",$L$711-1),IF($R$17="Distrato",$E714,0)),MIN(AA$38,$D$19),$P$20))-SUM($P714:Z714)</f>
        <v>#VALUE!</v>
      </c>
      <c r="AB714" s="446" t="e">
        <f>IF(OR($B714="",MIN(AB$38,$D$19)&lt;MAX($P$708*($B714+IF($R$17="Distrato",$I$38-1,0)),IF(AND($L$711=0,$P$708=0),"",$L$711-1),IF($R$17="Distrato",$E714,0))),0,YEARFRAC(MAX($P$708*($B714+IF($R$17="Distrato",$I$38-1,0)),IF(AND($L$711=0,$P$708=0),"",$L$711-1),IF($R$17="Distrato",$E714,0)),MIN(AB$38,$D$19),$P$20))-SUM($P714:AA714)</f>
        <v>#VALUE!</v>
      </c>
      <c r="AC714" s="446" t="e">
        <f>IF(OR($B714="",MIN(AC$38,$D$19)&lt;MAX($P$708*($B714+IF($R$17="Distrato",$I$38-1,0)),IF(AND($L$711=0,$P$708=0),"",$L$711-1),IF($R$17="Distrato",$E714,0))),0,YEARFRAC(MAX($P$708*($B714+IF($R$17="Distrato",$I$38-1,0)),IF(AND($L$711=0,$P$708=0),"",$L$711-1),IF($R$17="Distrato",$E714,0)),MIN(AC$38,$D$19),$P$20))-SUM($P714:AB714)</f>
        <v>#VALUE!</v>
      </c>
      <c r="AD714" s="446" t="e">
        <f>IF(OR($B714="",MIN(AD$38,$D$19)&lt;MAX($P$708*($B714+IF($R$17="Distrato",$I$38-1,0)),IF(AND($L$711=0,$P$708=0),"",$L$711-1),IF($R$17="Distrato",$E714,0))),0,YEARFRAC(MAX($P$708*($B714+IF($R$17="Distrato",$I$38-1,0)),IF(AND($L$711=0,$P$708=0),"",$L$711-1),IF($R$17="Distrato",$E714,0)),MIN(AD$38,$D$19),$P$20))-SUM($P714:AC714)</f>
        <v>#VALUE!</v>
      </c>
      <c r="AE714" s="446" t="e">
        <f>IF(OR($B714="",MIN(AE$38,$D$19)&lt;MAX($P$708*($B714+IF($R$17="Distrato",$I$38-1,0)),IF(AND($L$711=0,$P$708=0),"",$L$711-1),IF($R$17="Distrato",$E714,0))),0,YEARFRAC(MAX($P$708*($B714+IF($R$17="Distrato",$I$38-1,0)),IF(AND($L$711=0,$P$708=0),"",$L$711-1),IF($R$17="Distrato",$E714,0)),MIN(AE$38,$D$19),$P$20))-SUM($P714:AD714)</f>
        <v>#VALUE!</v>
      </c>
      <c r="AF714" s="446" t="e">
        <f>IF(OR($B714="",MIN(AF$38,$D$19)&lt;MAX($P$708*($B714+IF($R$17="Distrato",$I$38-1,0)),IF(AND($L$711=0,$P$708=0),"",$L$711-1),IF($R$17="Distrato",$E714,0))),0,YEARFRAC(MAX($P$708*($B714+IF($R$17="Distrato",$I$38-1,0)),IF(AND($L$711=0,$P$708=0),"",$L$711-1),IF($R$17="Distrato",$E714,0)),MIN(AF$38,$D$19),$P$20))-SUM($P714:AE714)</f>
        <v>#VALUE!</v>
      </c>
      <c r="AG714" s="446" t="e">
        <f>IF(OR($B714="",MIN(AG$38,$D$19)&lt;MAX($P$708*($B714+IF($R$17="Distrato",$I$38-1,0)),IF(AND($L$711=0,$P$708=0),"",$L$711-1),IF($R$17="Distrato",$E714,0))),0,YEARFRAC(MAX($P$708*($B714+IF($R$17="Distrato",$I$38-1,0)),IF(AND($L$711=0,$P$708=0),"",$L$711-1),IF($R$17="Distrato",$E714,0)),MIN(AG$38,$D$19),$P$20))-SUM($P714:AF714)</f>
        <v>#VALUE!</v>
      </c>
      <c r="AH714" s="446" t="e">
        <f>IF(OR($B714="",MIN(AH$38,$D$19)&lt;MAX($P$708*($B714+IF($R$17="Distrato",$I$38-1,0)),IF(AND($L$711=0,$P$708=0),"",$L$711-1),IF($R$17="Distrato",$E714,0))),0,YEARFRAC(MAX($P$708*($B714+IF($R$17="Distrato",$I$38-1,0)),IF(AND($L$711=0,$P$708=0),"",$L$711-1),IF($R$17="Distrato",$E714,0)),MIN(AH$38,$D$19),$P$20))-SUM($P714:AG714)</f>
        <v>#VALUE!</v>
      </c>
      <c r="AI714" s="446" t="e">
        <f>IF(OR($B714="",MIN(AI$38,$D$19)&lt;MAX($P$708*($B714+IF($R$17="Distrato",$I$38-1,0)),IF(AND($L$711=0,$P$708=0),"",$L$711-1),IF($R$17="Distrato",$E714,0))),0,YEARFRAC(MAX($P$708*($B714+IF($R$17="Distrato",$I$38-1,0)),IF(AND($L$711=0,$P$708=0),"",$L$711-1),IF($R$17="Distrato",$E714,0)),MIN(AI$38,$D$19),$P$20))-SUM($P714:AH714)</f>
        <v>#VALUE!</v>
      </c>
      <c r="AJ714" s="446" t="e">
        <f>IF(OR($B714="",MIN(AJ$38,$D$19)&lt;MAX($P$708*($B714+IF($R$17="Distrato",$I$38-1,0)),IF(AND($L$711=0,$P$708=0),"",$L$711-1),IF($R$17="Distrato",$E714,0))),0,YEARFRAC(MAX($P$708*($B714+IF($R$17="Distrato",$I$38-1,0)),IF(AND($L$711=0,$P$708=0),"",$L$711-1),IF($R$17="Distrato",$E714,0)),MIN(AJ$38,$D$19),$P$20))-SUM($P714:AI714)</f>
        <v>#VALUE!</v>
      </c>
      <c r="AK714" s="446" t="e">
        <f>IF(OR($B714="",MIN(AK$38,$D$19)&lt;MAX($P$708*($B714+IF($R$17="Distrato",$I$38-1,0)),IF(AND($L$711=0,$P$708=0),"",$L$711-1),IF($R$17="Distrato",$E714,0))),0,YEARFRAC(MAX($P$708*($B714+IF($R$17="Distrato",$I$38-1,0)),IF(AND($L$711=0,$P$708=0),"",$L$711-1),IF($R$17="Distrato",$E714,0)),MIN(AK$38,$D$19),$P$20))-SUM($P714:AJ714)</f>
        <v>#VALUE!</v>
      </c>
      <c r="AL714" s="446" t="e">
        <f>IF(OR($B714="",MIN(AL$38,$D$19)&lt;MAX($P$708*($B714+IF($R$17="Distrato",$I$38-1,0)),IF(AND($L$711=0,$P$708=0),"",$L$711-1),IF($R$17="Distrato",$E714,0))),0,YEARFRAC(MAX($P$708*($B714+IF($R$17="Distrato",$I$38-1,0)),IF(AND($L$711=0,$P$708=0),"",$L$711-1),IF($R$17="Distrato",$E714,0)),MIN(AL$38,$D$19),$P$20))-SUM($P714:AK714)</f>
        <v>#VALUE!</v>
      </c>
      <c r="AM714" s="446" t="e">
        <f>IF(OR($B714="",MIN(AM$38,$D$19)&lt;MAX($P$708*($B714+IF($R$17="Distrato",$I$38-1,0)),IF(AND($L$711=0,$P$708=0),"",$L$711-1),IF($R$17="Distrato",$E714,0))),0,YEARFRAC(MAX($P$708*($B714+IF($R$17="Distrato",$I$38-1,0)),IF(AND($L$711=0,$P$708=0),"",$L$711-1),IF($R$17="Distrato",$E714,0)),MIN(AM$38,$D$19),$P$20))-SUM($P714:AL714)</f>
        <v>#VALUE!</v>
      </c>
      <c r="AN714" s="446" t="e">
        <f>IF(OR($B714="",MIN(AN$38,$D$19)&lt;MAX($P$708*($B714+IF($R$17="Distrato",$I$38-1,0)),IF(AND($L$711=0,$P$708=0),"",$L$711-1),IF($R$17="Distrato",$E714,0))),0,YEARFRAC(MAX($P$708*($B714+IF($R$17="Distrato",$I$38-1,0)),IF(AND($L$711=0,$P$708=0),"",$L$711-1),IF($R$17="Distrato",$E714,0)),MIN(AN$38,$D$19),$P$20))-SUM($P714:AM714)</f>
        <v>#VALUE!</v>
      </c>
      <c r="AO714" s="446" t="e">
        <f>IF(OR($B714="",MIN(AO$38,$D$19)&lt;MAX($P$708*($B714+IF($R$17="Distrato",$I$38-1,0)),IF(AND($L$711=0,$P$708=0),"",$L$711-1),IF($R$17="Distrato",$E714,0))),0,YEARFRAC(MAX($P$708*($B714+IF($R$17="Distrato",$I$38-1,0)),IF(AND($L$711=0,$P$708=0),"",$L$711-1),IF($R$17="Distrato",$E714,0)),MIN(AO$38,$D$19),$P$20))-SUM($P714:AN714)</f>
        <v>#VALUE!</v>
      </c>
      <c r="AP714" s="446" t="e">
        <f>IF(OR($B714="",MIN(AP$38,$D$19)&lt;MAX($P$708*($B714+IF($R$17="Distrato",$I$38-1,0)),IF(AND($L$711=0,$P$708=0),"",$L$711-1),IF($R$17="Distrato",$E714,0))),0,YEARFRAC(MAX($P$708*($B714+IF($R$17="Distrato",$I$38-1,0)),IF(AND($L$711=0,$P$708=0),"",$L$711-1),IF($R$17="Distrato",$E714,0)),MIN(AP$38,$D$19),$P$20))-SUM($P714:AO714)</f>
        <v>#VALUE!</v>
      </c>
      <c r="AQ714" s="446" t="e">
        <f>IF(OR($B714="",MIN(AQ$38,$D$19)&lt;MAX($P$708*($B714+IF($R$17="Distrato",$I$38-1,0)),IF(AND($L$711=0,$P$708=0),"",$L$711-1),IF($R$17="Distrato",$E714,0))),0,YEARFRAC(MAX($P$708*($B714+IF($R$17="Distrato",$I$38-1,0)),IF(AND($L$711=0,$P$708=0),"",$L$711-1),IF($R$17="Distrato",$E714,0)),MIN(AQ$38,$D$19),$P$20))-SUM($P714:AP714)</f>
        <v>#VALUE!</v>
      </c>
      <c r="AR714" s="446" t="e">
        <f>IF(OR($B714="",MIN(AR$38,$D$19)&lt;MAX($P$708*($B714+IF($R$17="Distrato",$I$38-1,0)),IF(AND($L$711=0,$P$708=0),"",$L$711-1),IF($R$17="Distrato",$E714,0))),0,YEARFRAC(MAX($P$708*($B714+IF($R$17="Distrato",$I$38-1,0)),IF(AND($L$711=0,$P$708=0),"",$L$711-1),IF($R$17="Distrato",$E714,0)),MIN(AR$38,$D$19),$P$20))-SUM($P714:AQ714)</f>
        <v>#VALUE!</v>
      </c>
      <c r="AS714" s="446" t="e">
        <f>IF(OR($B714="",MIN(AS$38,$D$19)&lt;MAX($P$708*($B714+IF($R$17="Distrato",$I$38-1,0)),IF(AND($L$711=0,$P$708=0),"",$L$711-1),IF($R$17="Distrato",$E714,0))),0,YEARFRAC(MAX($P$708*($B714+IF($R$17="Distrato",$I$38-1,0)),IF(AND($L$711=0,$P$708=0),"",$L$711-1),IF($R$17="Distrato",$E714,0)),MIN(AS$38,$D$19),$P$20))-SUM($P714:AR714)</f>
        <v>#VALUE!</v>
      </c>
      <c r="AT714" s="446" t="e">
        <f>IF(OR($B714="",MIN(AT$38,$D$19)&lt;MAX($P$708*($B714+IF($R$17="Distrato",$I$38-1,0)),IF(AND($L$711=0,$P$708=0),"",$L$711-1),IF($R$17="Distrato",$E714,0))),0,YEARFRAC(MAX($P$708*($B714+IF($R$17="Distrato",$I$38-1,0)),IF(AND($L$711=0,$P$708=0),"",$L$711-1),IF($R$17="Distrato",$E714,0)),MIN(AT$38,$D$19),$P$20))-SUM($P714:AS714)</f>
        <v>#VALUE!</v>
      </c>
      <c r="AU714" s="446" t="e">
        <f>IF(OR($B714="",MIN(AU$38,$D$19)&lt;MAX($P$708*($B714+IF($R$17="Distrato",$I$38-1,0)),IF(AND($L$711=0,$P$708=0),"",$L$711-1),IF($R$17="Distrato",$E714,0))),0,YEARFRAC(MAX($P$708*($B714+IF($R$17="Distrato",$I$38-1,0)),IF(AND($L$711=0,$P$708=0),"",$L$711-1),IF($R$17="Distrato",$E714,0)),MIN(AU$38,$D$19),$P$20))-SUM($P714:AT714)</f>
        <v>#VALUE!</v>
      </c>
      <c r="AV714" s="446" t="e">
        <f>IF(OR($B714="",MIN(AV$38,$D$19)&lt;MAX($P$708*($B714+IF($R$17="Distrato",$I$38-1,0)),IF(AND($L$711=0,$P$708=0),"",$L$711-1),IF($R$17="Distrato",$E714,0))),0,YEARFRAC(MAX($P$708*($B714+IF($R$17="Distrato",$I$38-1,0)),IF(AND($L$711=0,$P$708=0),"",$L$711-1),IF($R$17="Distrato",$E714,0)),MIN(AV$38,$D$19),$P$20))-SUM($P714:AU714)</f>
        <v>#VALUE!</v>
      </c>
      <c r="AW714" s="446" t="e">
        <f>IF(OR($B714="",MIN(AW$38,$D$19)&lt;MAX($P$708*($B714+IF($R$17="Distrato",$I$38-1,0)),IF(AND($L$711=0,$P$708=0),"",$L$711-1),IF($R$17="Distrato",$E714,0))),0,YEARFRAC(MAX($P$708*($B714+IF($R$17="Distrato",$I$38-1,0)),IF(AND($L$711=0,$P$708=0),"",$L$711-1),IF($R$17="Distrato",$E714,0)),MIN(AW$38,$D$19),$P$20))-SUM($P714:AV714)</f>
        <v>#VALUE!</v>
      </c>
      <c r="AX714" s="446" t="e">
        <f>IF(OR($B714="",MIN(AX$38,$D$19)&lt;MAX($P$708*($B714+IF($R$17="Distrato",$I$38-1,0)),IF(AND($L$711=0,$P$708=0),"",$L$711-1),IF($R$17="Distrato",$E714,0))),0,YEARFRAC(MAX($P$708*($B714+IF($R$17="Distrato",$I$38-1,0)),IF(AND($L$711=0,$P$708=0),"",$L$711-1),IF($R$17="Distrato",$E714,0)),MIN(AX$38,$D$19),$P$20))-SUM($P714:AW714)</f>
        <v>#VALUE!</v>
      </c>
      <c r="AY714" s="446" t="e">
        <f>IF(OR($B714="",MIN(AY$38,$D$19)&lt;MAX($P$708*($B714+IF($R$17="Distrato",$I$38-1,0)),IF(AND($L$711=0,$P$708=0),"",$L$711-1),IF($R$17="Distrato",$E714,0))),0,YEARFRAC(MAX($P$708*($B714+IF($R$17="Distrato",$I$38-1,0)),IF(AND($L$711=0,$P$708=0),"",$L$711-1),IF($R$17="Distrato",$E714,0)),MIN(AY$38,$D$19),$P$20))-SUM($P714:AX714)</f>
        <v>#VALUE!</v>
      </c>
      <c r="AZ714" s="446" t="e">
        <f>IF(OR($B714="",MIN(AZ$38,$D$19)&lt;MAX($P$708*($B714+IF($R$17="Distrato",$I$38-1,0)),IF(AND($L$711=0,$P$708=0),"",$L$711-1),IF($R$17="Distrato",$E714,0))),0,YEARFRAC(MAX($P$708*($B714+IF($R$17="Distrato",$I$38-1,0)),IF(AND($L$711=0,$P$708=0),"",$L$711-1),IF($R$17="Distrato",$E714,0)),MIN(AZ$38,$D$19),$P$20))-SUM($P714:AY714)</f>
        <v>#VALUE!</v>
      </c>
      <c r="BA714" s="446" t="e">
        <f>IF(OR($B714="",MIN(BA$38,$D$19)&lt;MAX($P$708*($B714+IF($R$17="Distrato",$I$38-1,0)),IF(AND($L$711=0,$P$708=0),"",$L$711-1),IF($R$17="Distrato",$E714,0))),0,YEARFRAC(MAX($P$708*($B714+IF($R$17="Distrato",$I$38-1,0)),IF(AND($L$711=0,$P$708=0),"",$L$711-1),IF($R$17="Distrato",$E714,0)),MIN(BA$38,$D$19),$P$20))-SUM($P714:AZ714)</f>
        <v>#VALUE!</v>
      </c>
      <c r="BB714" s="447"/>
    </row>
    <row r="715" spans="1:54" s="446" customFormat="1" ht="11.25" hidden="1" customHeight="1" x14ac:dyDescent="0.2">
      <c r="A715" s="235"/>
      <c r="B715" s="236"/>
      <c r="C715" s="29" t="str">
        <f>IF(B715="","",IF($L$709=$BL$25,VLOOKUP(DATE(YEAR($D$19),MONTH($D$19)-1,1),ÍNDICES!$A:$DE,HLOOKUP($BL$25,ÍNDICES!$B$3:$T$4,2)+11)-VLOOKUP(B715,ÍNDICES!$A:$DE,HLOOKUP($BL$25,ÍNDICES!$B$3:$T$4,2)+11)+1%,IF(C$712=$W$26,$J$35,IF(ISERROR(IF(B715&gt;$D$19,1,VLOOKUP(DATE(YEAR(B715),MONTH(B715)+IF($C$709=$S$23,1,0),1),ÍNDICES!$A:$DE,$Z$709+1))),"",IF(B715&gt;$D$19,1,VLOOKUP(DATE(YEAR(B715),MONTH(B715)+IF($C$709=$S$23,1,0),1),ÍNDICES!$A:$DE,$Z$709+1))))))</f>
        <v/>
      </c>
      <c r="D715" s="155"/>
      <c r="E715" s="88"/>
      <c r="F715" s="88"/>
      <c r="G715" s="88"/>
      <c r="H715" s="118"/>
      <c r="I715" s="182">
        <f t="shared" si="115"/>
        <v>0</v>
      </c>
      <c r="J715" s="20">
        <f t="shared" ca="1" si="116"/>
        <v>0</v>
      </c>
      <c r="K715" s="5">
        <f t="shared" ca="1" si="117"/>
        <v>0</v>
      </c>
      <c r="L715" s="61">
        <f t="shared" ca="1" si="118"/>
        <v>0</v>
      </c>
      <c r="M715" s="64">
        <f t="shared" si="119"/>
        <v>0</v>
      </c>
      <c r="N715" s="151"/>
      <c r="O715" s="5">
        <f t="shared" ca="1" si="120"/>
        <v>0</v>
      </c>
      <c r="P715" s="446" t="e">
        <f t="shared" si="121"/>
        <v>#VALUE!</v>
      </c>
      <c r="Q715" s="446" t="e">
        <f>IF(OR($B715="",MIN(Q$38,$D$19)&lt;MAX($P$708*($B715+IF($R$17="Distrato",$I$38-1,0)),IF(AND($L$711=0,$P$708=0),"",$L$711-1),IF($R$17="Distrato",$E715,0))),0,YEARFRAC(MAX($P$708*($B715+IF($R$17="Distrato",$I$38-1,0)),IF(AND($L$711=0,$P$708=0),"",$L$711-1),IF($R$17="Distrato",$E715,0)),MIN(Q$38,$D$19),$P$20))-SUM($P715:P715)</f>
        <v>#VALUE!</v>
      </c>
      <c r="R715" s="446" t="e">
        <f>IF(OR($B715="",MIN(R$38,$D$19)&lt;MAX($P$708*($B715+IF($R$17="Distrato",$I$38-1,0)),IF(AND($L$711=0,$P$708=0),"",$L$711-1),IF($R$17="Distrato",$E715,0))),0,YEARFRAC(MAX($P$708*($B715+IF($R$17="Distrato",$I$38-1,0)),IF(AND($L$711=0,$P$708=0),"",$L$711-1),IF($R$17="Distrato",$E715,0)),MIN(R$38,$D$19),$P$20))-SUM($P715:Q715)</f>
        <v>#VALUE!</v>
      </c>
      <c r="S715" s="446" t="e">
        <f>IF(OR($B715="",MIN(S$38,$D$19)&lt;MAX($P$708*($B715+IF($R$17="Distrato",$I$38-1,0)),IF(AND($L$711=0,$P$708=0),"",$L$711-1),IF($R$17="Distrato",$E715,0))),0,YEARFRAC(MAX($P$708*($B715+IF($R$17="Distrato",$I$38-1,0)),IF(AND($L$711=0,$P$708=0),"",$L$711-1),IF($R$17="Distrato",$E715,0)),MIN(S$38,$D$19),$P$20))-SUM($P715:R715)</f>
        <v>#VALUE!</v>
      </c>
      <c r="T715" s="446" t="e">
        <f>IF(OR($B715="",MIN(T$38,$D$19)&lt;MAX($P$708*($B715+IF($R$17="Distrato",$I$38-1,0)),IF(AND($L$711=0,$P$708=0),"",$L$711-1),IF($R$17="Distrato",$E715,0))),0,YEARFRAC(MAX($P$708*($B715+IF($R$17="Distrato",$I$38-1,0)),IF(AND($L$711=0,$P$708=0),"",$L$711-1),IF($R$17="Distrato",$E715,0)),MIN(T$38,$D$19),$P$20))-SUM($P715:S715)</f>
        <v>#VALUE!</v>
      </c>
      <c r="U715" s="446" t="e">
        <f>IF(OR($B715="",MIN(U$38,$D$19)&lt;MAX($P$708*($B715+IF($R$17="Distrato",$I$38-1,0)),IF(AND($L$711=0,$P$708=0),"",$L$711-1),IF($R$17="Distrato",$E715,0))),0,YEARFRAC(MAX($P$708*($B715+IF($R$17="Distrato",$I$38-1,0)),IF(AND($L$711=0,$P$708=0),"",$L$711-1),IF($R$17="Distrato",$E715,0)),MIN(U$38,$D$19),$P$20))-SUM($P715:T715)</f>
        <v>#VALUE!</v>
      </c>
      <c r="V715" s="446" t="e">
        <f>IF(OR($B715="",MIN(V$38,$D$19)&lt;MAX($P$708*($B715+IF($R$17="Distrato",$I$38-1,0)),IF(AND($L$711=0,$P$708=0),"",$L$711-1),IF($R$17="Distrato",$E715,0))),0,YEARFRAC(MAX($P$708*($B715+IF($R$17="Distrato",$I$38-1,0)),IF(AND($L$711=0,$P$708=0),"",$L$711-1),IF($R$17="Distrato",$E715,0)),MIN(V$38,$D$19),$P$20))-SUM($P715:U715)</f>
        <v>#VALUE!</v>
      </c>
      <c r="W715" s="446" t="e">
        <f>IF(OR($B715="",MIN(W$38,$D$19)&lt;MAX($P$708*($B715+IF($R$17="Distrato",$I$38-1,0)),IF(AND($L$711=0,$P$708=0),"",$L$711-1),IF($R$17="Distrato",$E715,0))),0,YEARFRAC(MAX($P$708*($B715+IF($R$17="Distrato",$I$38-1,0)),IF(AND($L$711=0,$P$708=0),"",$L$711-1),IF($R$17="Distrato",$E715,0)),MIN(W$38,$D$19),$P$20))-SUM($P715:V715)</f>
        <v>#VALUE!</v>
      </c>
      <c r="X715" s="446" t="e">
        <f>IF(OR($B715="",MIN(X$38,$D$19)&lt;MAX($P$708*($B715+IF($R$17="Distrato",$I$38-1,0)),IF(AND($L$711=0,$P$708=0),"",$L$711-1),IF($R$17="Distrato",$E715,0))),0,YEARFRAC(MAX($P$708*($B715+IF($R$17="Distrato",$I$38-1,0)),IF(AND($L$711=0,$P$708=0),"",$L$711-1),IF($R$17="Distrato",$E715,0)),MIN(X$38,$D$19),$P$20))-SUM($P715:W715)</f>
        <v>#VALUE!</v>
      </c>
      <c r="Y715" s="446" t="e">
        <f>IF(OR($B715="",MIN(Y$38,$D$19)&lt;MAX($P$708*($B715+IF($R$17="Distrato",$I$38-1,0)),IF(AND($L$711=0,$P$708=0),"",$L$711-1),IF($R$17="Distrato",$E715,0))),0,YEARFRAC(MAX($P$708*($B715+IF($R$17="Distrato",$I$38-1,0)),IF(AND($L$711=0,$P$708=0),"",$L$711-1),IF($R$17="Distrato",$E715,0)),MIN(Y$38,$D$19),$P$20))-SUM($P715:X715)</f>
        <v>#VALUE!</v>
      </c>
      <c r="Z715" s="446" t="e">
        <f>IF(OR($B715="",MIN(Z$38,$D$19)&lt;MAX($P$708*($B715+IF($R$17="Distrato",$I$38-1,0)),IF(AND($L$711=0,$P$708=0),"",$L$711-1),IF($R$17="Distrato",$E715,0))),0,YEARFRAC(MAX($P$708*($B715+IF($R$17="Distrato",$I$38-1,0)),IF(AND($L$711=0,$P$708=0),"",$L$711-1),IF($R$17="Distrato",$E715,0)),MIN(Z$38,$D$19),$P$20))-SUM($P715:Y715)</f>
        <v>#VALUE!</v>
      </c>
      <c r="AA715" s="446" t="e">
        <f>IF(OR($B715="",MIN(AA$38,$D$19)&lt;MAX($P$708*($B715+IF($R$17="Distrato",$I$38-1,0)),IF(AND($L$711=0,$P$708=0),"",$L$711-1),IF($R$17="Distrato",$E715,0))),0,YEARFRAC(MAX($P$708*($B715+IF($R$17="Distrato",$I$38-1,0)),IF(AND($L$711=0,$P$708=0),"",$L$711-1),IF($R$17="Distrato",$E715,0)),MIN(AA$38,$D$19),$P$20))-SUM($P715:Z715)</f>
        <v>#VALUE!</v>
      </c>
      <c r="AB715" s="446" t="e">
        <f>IF(OR($B715="",MIN(AB$38,$D$19)&lt;MAX($P$708*($B715+IF($R$17="Distrato",$I$38-1,0)),IF(AND($L$711=0,$P$708=0),"",$L$711-1),IF($R$17="Distrato",$E715,0))),0,YEARFRAC(MAX($P$708*($B715+IF($R$17="Distrato",$I$38-1,0)),IF(AND($L$711=0,$P$708=0),"",$L$711-1),IF($R$17="Distrato",$E715,0)),MIN(AB$38,$D$19),$P$20))-SUM($P715:AA715)</f>
        <v>#VALUE!</v>
      </c>
      <c r="AC715" s="446" t="e">
        <f>IF(OR($B715="",MIN(AC$38,$D$19)&lt;MAX($P$708*($B715+IF($R$17="Distrato",$I$38-1,0)),IF(AND($L$711=0,$P$708=0),"",$L$711-1),IF($R$17="Distrato",$E715,0))),0,YEARFRAC(MAX($P$708*($B715+IF($R$17="Distrato",$I$38-1,0)),IF(AND($L$711=0,$P$708=0),"",$L$711-1),IF($R$17="Distrato",$E715,0)),MIN(AC$38,$D$19),$P$20))-SUM($P715:AB715)</f>
        <v>#VALUE!</v>
      </c>
      <c r="AD715" s="446" t="e">
        <f>IF(OR($B715="",MIN(AD$38,$D$19)&lt;MAX($P$708*($B715+IF($R$17="Distrato",$I$38-1,0)),IF(AND($L$711=0,$P$708=0),"",$L$711-1),IF($R$17="Distrato",$E715,0))),0,YEARFRAC(MAX($P$708*($B715+IF($R$17="Distrato",$I$38-1,0)),IF(AND($L$711=0,$P$708=0),"",$L$711-1),IF($R$17="Distrato",$E715,0)),MIN(AD$38,$D$19),$P$20))-SUM($P715:AC715)</f>
        <v>#VALUE!</v>
      </c>
      <c r="AE715" s="446" t="e">
        <f>IF(OR($B715="",MIN(AE$38,$D$19)&lt;MAX($P$708*($B715+IF($R$17="Distrato",$I$38-1,0)),IF(AND($L$711=0,$P$708=0),"",$L$711-1),IF($R$17="Distrato",$E715,0))),0,YEARFRAC(MAX($P$708*($B715+IF($R$17="Distrato",$I$38-1,0)),IF(AND($L$711=0,$P$708=0),"",$L$711-1),IF($R$17="Distrato",$E715,0)),MIN(AE$38,$D$19),$P$20))-SUM($P715:AD715)</f>
        <v>#VALUE!</v>
      </c>
      <c r="AF715" s="446" t="e">
        <f>IF(OR($B715="",MIN(AF$38,$D$19)&lt;MAX($P$708*($B715+IF($R$17="Distrato",$I$38-1,0)),IF(AND($L$711=0,$P$708=0),"",$L$711-1),IF($R$17="Distrato",$E715,0))),0,YEARFRAC(MAX($P$708*($B715+IF($R$17="Distrato",$I$38-1,0)),IF(AND($L$711=0,$P$708=0),"",$L$711-1),IF($R$17="Distrato",$E715,0)),MIN(AF$38,$D$19),$P$20))-SUM($P715:AE715)</f>
        <v>#VALUE!</v>
      </c>
      <c r="AG715" s="446" t="e">
        <f>IF(OR($B715="",MIN(AG$38,$D$19)&lt;MAX($P$708*($B715+IF($R$17="Distrato",$I$38-1,0)),IF(AND($L$711=0,$P$708=0),"",$L$711-1),IF($R$17="Distrato",$E715,0))),0,YEARFRAC(MAX($P$708*($B715+IF($R$17="Distrato",$I$38-1,0)),IF(AND($L$711=0,$P$708=0),"",$L$711-1),IF($R$17="Distrato",$E715,0)),MIN(AG$38,$D$19),$P$20))-SUM($P715:AF715)</f>
        <v>#VALUE!</v>
      </c>
      <c r="AH715" s="446" t="e">
        <f>IF(OR($B715="",MIN(AH$38,$D$19)&lt;MAX($P$708*($B715+IF($R$17="Distrato",$I$38-1,0)),IF(AND($L$711=0,$P$708=0),"",$L$711-1),IF($R$17="Distrato",$E715,0))),0,YEARFRAC(MAX($P$708*($B715+IF($R$17="Distrato",$I$38-1,0)),IF(AND($L$711=0,$P$708=0),"",$L$711-1),IF($R$17="Distrato",$E715,0)),MIN(AH$38,$D$19),$P$20))-SUM($P715:AG715)</f>
        <v>#VALUE!</v>
      </c>
      <c r="AI715" s="446" t="e">
        <f>IF(OR($B715="",MIN(AI$38,$D$19)&lt;MAX($P$708*($B715+IF($R$17="Distrato",$I$38-1,0)),IF(AND($L$711=0,$P$708=0),"",$L$711-1),IF($R$17="Distrato",$E715,0))),0,YEARFRAC(MAX($P$708*($B715+IF($R$17="Distrato",$I$38-1,0)),IF(AND($L$711=0,$P$708=0),"",$L$711-1),IF($R$17="Distrato",$E715,0)),MIN(AI$38,$D$19),$P$20))-SUM($P715:AH715)</f>
        <v>#VALUE!</v>
      </c>
      <c r="AJ715" s="446" t="e">
        <f>IF(OR($B715="",MIN(AJ$38,$D$19)&lt;MAX($P$708*($B715+IF($R$17="Distrato",$I$38-1,0)),IF(AND($L$711=0,$P$708=0),"",$L$711-1),IF($R$17="Distrato",$E715,0))),0,YEARFRAC(MAX($P$708*($B715+IF($R$17="Distrato",$I$38-1,0)),IF(AND($L$711=0,$P$708=0),"",$L$711-1),IF($R$17="Distrato",$E715,0)),MIN(AJ$38,$D$19),$P$20))-SUM($P715:AI715)</f>
        <v>#VALUE!</v>
      </c>
      <c r="AK715" s="446" t="e">
        <f>IF(OR($B715="",MIN(AK$38,$D$19)&lt;MAX($P$708*($B715+IF($R$17="Distrato",$I$38-1,0)),IF(AND($L$711=0,$P$708=0),"",$L$711-1),IF($R$17="Distrato",$E715,0))),0,YEARFRAC(MAX($P$708*($B715+IF($R$17="Distrato",$I$38-1,0)),IF(AND($L$711=0,$P$708=0),"",$L$711-1),IF($R$17="Distrato",$E715,0)),MIN(AK$38,$D$19),$P$20))-SUM($P715:AJ715)</f>
        <v>#VALUE!</v>
      </c>
      <c r="AL715" s="446" t="e">
        <f>IF(OR($B715="",MIN(AL$38,$D$19)&lt;MAX($P$708*($B715+IF($R$17="Distrato",$I$38-1,0)),IF(AND($L$711=0,$P$708=0),"",$L$711-1),IF($R$17="Distrato",$E715,0))),0,YEARFRAC(MAX($P$708*($B715+IF($R$17="Distrato",$I$38-1,0)),IF(AND($L$711=0,$P$708=0),"",$L$711-1),IF($R$17="Distrato",$E715,0)),MIN(AL$38,$D$19),$P$20))-SUM($P715:AK715)</f>
        <v>#VALUE!</v>
      </c>
      <c r="AM715" s="446" t="e">
        <f>IF(OR($B715="",MIN(AM$38,$D$19)&lt;MAX($P$708*($B715+IF($R$17="Distrato",$I$38-1,0)),IF(AND($L$711=0,$P$708=0),"",$L$711-1),IF($R$17="Distrato",$E715,0))),0,YEARFRAC(MAX($P$708*($B715+IF($R$17="Distrato",$I$38-1,0)),IF(AND($L$711=0,$P$708=0),"",$L$711-1),IF($R$17="Distrato",$E715,0)),MIN(AM$38,$D$19),$P$20))-SUM($P715:AL715)</f>
        <v>#VALUE!</v>
      </c>
      <c r="AN715" s="446" t="e">
        <f>IF(OR($B715="",MIN(AN$38,$D$19)&lt;MAX($P$708*($B715+IF($R$17="Distrato",$I$38-1,0)),IF(AND($L$711=0,$P$708=0),"",$L$711-1),IF($R$17="Distrato",$E715,0))),0,YEARFRAC(MAX($P$708*($B715+IF($R$17="Distrato",$I$38-1,0)),IF(AND($L$711=0,$P$708=0),"",$L$711-1),IF($R$17="Distrato",$E715,0)),MIN(AN$38,$D$19),$P$20))-SUM($P715:AM715)</f>
        <v>#VALUE!</v>
      </c>
      <c r="AO715" s="446" t="e">
        <f>IF(OR($B715="",MIN(AO$38,$D$19)&lt;MAX($P$708*($B715+IF($R$17="Distrato",$I$38-1,0)),IF(AND($L$711=0,$P$708=0),"",$L$711-1),IF($R$17="Distrato",$E715,0))),0,YEARFRAC(MAX($P$708*($B715+IF($R$17="Distrato",$I$38-1,0)),IF(AND($L$711=0,$P$708=0),"",$L$711-1),IF($R$17="Distrato",$E715,0)),MIN(AO$38,$D$19),$P$20))-SUM($P715:AN715)</f>
        <v>#VALUE!</v>
      </c>
      <c r="AP715" s="446" t="e">
        <f>IF(OR($B715="",MIN(AP$38,$D$19)&lt;MAX($P$708*($B715+IF($R$17="Distrato",$I$38-1,0)),IF(AND($L$711=0,$P$708=0),"",$L$711-1),IF($R$17="Distrato",$E715,0))),0,YEARFRAC(MAX($P$708*($B715+IF($R$17="Distrato",$I$38-1,0)),IF(AND($L$711=0,$P$708=0),"",$L$711-1),IF($R$17="Distrato",$E715,0)),MIN(AP$38,$D$19),$P$20))-SUM($P715:AO715)</f>
        <v>#VALUE!</v>
      </c>
      <c r="AQ715" s="446" t="e">
        <f>IF(OR($B715="",MIN(AQ$38,$D$19)&lt;MAX($P$708*($B715+IF($R$17="Distrato",$I$38-1,0)),IF(AND($L$711=0,$P$708=0),"",$L$711-1),IF($R$17="Distrato",$E715,0))),0,YEARFRAC(MAX($P$708*($B715+IF($R$17="Distrato",$I$38-1,0)),IF(AND($L$711=0,$P$708=0),"",$L$711-1),IF($R$17="Distrato",$E715,0)),MIN(AQ$38,$D$19),$P$20))-SUM($P715:AP715)</f>
        <v>#VALUE!</v>
      </c>
      <c r="AR715" s="446" t="e">
        <f>IF(OR($B715="",MIN(AR$38,$D$19)&lt;MAX($P$708*($B715+IF($R$17="Distrato",$I$38-1,0)),IF(AND($L$711=0,$P$708=0),"",$L$711-1),IF($R$17="Distrato",$E715,0))),0,YEARFRAC(MAX($P$708*($B715+IF($R$17="Distrato",$I$38-1,0)),IF(AND($L$711=0,$P$708=0),"",$L$711-1),IF($R$17="Distrato",$E715,0)),MIN(AR$38,$D$19),$P$20))-SUM($P715:AQ715)</f>
        <v>#VALUE!</v>
      </c>
      <c r="AS715" s="446" t="e">
        <f>IF(OR($B715="",MIN(AS$38,$D$19)&lt;MAX($P$708*($B715+IF($R$17="Distrato",$I$38-1,0)),IF(AND($L$711=0,$P$708=0),"",$L$711-1),IF($R$17="Distrato",$E715,0))),0,YEARFRAC(MAX($P$708*($B715+IF($R$17="Distrato",$I$38-1,0)),IF(AND($L$711=0,$P$708=0),"",$L$711-1),IF($R$17="Distrato",$E715,0)),MIN(AS$38,$D$19),$P$20))-SUM($P715:AR715)</f>
        <v>#VALUE!</v>
      </c>
      <c r="AT715" s="446" t="e">
        <f>IF(OR($B715="",MIN(AT$38,$D$19)&lt;MAX($P$708*($B715+IF($R$17="Distrato",$I$38-1,0)),IF(AND($L$711=0,$P$708=0),"",$L$711-1),IF($R$17="Distrato",$E715,0))),0,YEARFRAC(MAX($P$708*($B715+IF($R$17="Distrato",$I$38-1,0)),IF(AND($L$711=0,$P$708=0),"",$L$711-1),IF($R$17="Distrato",$E715,0)),MIN(AT$38,$D$19),$P$20))-SUM($P715:AS715)</f>
        <v>#VALUE!</v>
      </c>
      <c r="AU715" s="446" t="e">
        <f>IF(OR($B715="",MIN(AU$38,$D$19)&lt;MAX($P$708*($B715+IF($R$17="Distrato",$I$38-1,0)),IF(AND($L$711=0,$P$708=0),"",$L$711-1),IF($R$17="Distrato",$E715,0))),0,YEARFRAC(MAX($P$708*($B715+IF($R$17="Distrato",$I$38-1,0)),IF(AND($L$711=0,$P$708=0),"",$L$711-1),IF($R$17="Distrato",$E715,0)),MIN(AU$38,$D$19),$P$20))-SUM($P715:AT715)</f>
        <v>#VALUE!</v>
      </c>
      <c r="AV715" s="446" t="e">
        <f>IF(OR($B715="",MIN(AV$38,$D$19)&lt;MAX($P$708*($B715+IF($R$17="Distrato",$I$38-1,0)),IF(AND($L$711=0,$P$708=0),"",$L$711-1),IF($R$17="Distrato",$E715,0))),0,YEARFRAC(MAX($P$708*($B715+IF($R$17="Distrato",$I$38-1,0)),IF(AND($L$711=0,$P$708=0),"",$L$711-1),IF($R$17="Distrato",$E715,0)),MIN(AV$38,$D$19),$P$20))-SUM($P715:AU715)</f>
        <v>#VALUE!</v>
      </c>
      <c r="AW715" s="446" t="e">
        <f>IF(OR($B715="",MIN(AW$38,$D$19)&lt;MAX($P$708*($B715+IF($R$17="Distrato",$I$38-1,0)),IF(AND($L$711=0,$P$708=0),"",$L$711-1),IF($R$17="Distrato",$E715,0))),0,YEARFRAC(MAX($P$708*($B715+IF($R$17="Distrato",$I$38-1,0)),IF(AND($L$711=0,$P$708=0),"",$L$711-1),IF($R$17="Distrato",$E715,0)),MIN(AW$38,$D$19),$P$20))-SUM($P715:AV715)</f>
        <v>#VALUE!</v>
      </c>
      <c r="AX715" s="446" t="e">
        <f>IF(OR($B715="",MIN(AX$38,$D$19)&lt;MAX($P$708*($B715+IF($R$17="Distrato",$I$38-1,0)),IF(AND($L$711=0,$P$708=0),"",$L$711-1),IF($R$17="Distrato",$E715,0))),0,YEARFRAC(MAX($P$708*($B715+IF($R$17="Distrato",$I$38-1,0)),IF(AND($L$711=0,$P$708=0),"",$L$711-1),IF($R$17="Distrato",$E715,0)),MIN(AX$38,$D$19),$P$20))-SUM($P715:AW715)</f>
        <v>#VALUE!</v>
      </c>
      <c r="AY715" s="446" t="e">
        <f>IF(OR($B715="",MIN(AY$38,$D$19)&lt;MAX($P$708*($B715+IF($R$17="Distrato",$I$38-1,0)),IF(AND($L$711=0,$P$708=0),"",$L$711-1),IF($R$17="Distrato",$E715,0))),0,YEARFRAC(MAX($P$708*($B715+IF($R$17="Distrato",$I$38-1,0)),IF(AND($L$711=0,$P$708=0),"",$L$711-1),IF($R$17="Distrato",$E715,0)),MIN(AY$38,$D$19),$P$20))-SUM($P715:AX715)</f>
        <v>#VALUE!</v>
      </c>
      <c r="AZ715" s="446" t="e">
        <f>IF(OR($B715="",MIN(AZ$38,$D$19)&lt;MAX($P$708*($B715+IF($R$17="Distrato",$I$38-1,0)),IF(AND($L$711=0,$P$708=0),"",$L$711-1),IF($R$17="Distrato",$E715,0))),0,YEARFRAC(MAX($P$708*($B715+IF($R$17="Distrato",$I$38-1,0)),IF(AND($L$711=0,$P$708=0),"",$L$711-1),IF($R$17="Distrato",$E715,0)),MIN(AZ$38,$D$19),$P$20))-SUM($P715:AY715)</f>
        <v>#VALUE!</v>
      </c>
      <c r="BA715" s="446" t="e">
        <f>IF(OR($B715="",MIN(BA$38,$D$19)&lt;MAX($P$708*($B715+IF($R$17="Distrato",$I$38-1,0)),IF(AND($L$711=0,$P$708=0),"",$L$711-1),IF($R$17="Distrato",$E715,0))),0,YEARFRAC(MAX($P$708*($B715+IF($R$17="Distrato",$I$38-1,0)),IF(AND($L$711=0,$P$708=0),"",$L$711-1),IF($R$17="Distrato",$E715,0)),MIN(BA$38,$D$19),$P$20))-SUM($P715:AZ715)</f>
        <v>#VALUE!</v>
      </c>
      <c r="BB715" s="447"/>
    </row>
    <row r="716" spans="1:54" s="446" customFormat="1" ht="11.25" hidden="1" customHeight="1" x14ac:dyDescent="0.2">
      <c r="A716" s="235"/>
      <c r="B716" s="236"/>
      <c r="C716" s="29" t="str">
        <f>IF(B716="","",IF($L$709=$BL$25,VLOOKUP(DATE(YEAR($D$19),MONTH($D$19)-1,1),ÍNDICES!$A:$DE,HLOOKUP($BL$25,ÍNDICES!$B$3:$T$4,2)+11)-VLOOKUP(B716,ÍNDICES!$A:$DE,HLOOKUP($BL$25,ÍNDICES!$B$3:$T$4,2)+11)+1%,IF(C$712=$W$26,$J$35,IF(ISERROR(IF(B716&gt;$D$19,1,VLOOKUP(DATE(YEAR(B716),MONTH(B716)+IF($C$709=$S$23,1,0),1),ÍNDICES!$A:$DE,$Z$709+1))),"",IF(B716&gt;$D$19,1,VLOOKUP(DATE(YEAR(B716),MONTH(B716)+IF($C$709=$S$23,1,0),1),ÍNDICES!$A:$DE,$Z$709+1))))))</f>
        <v/>
      </c>
      <c r="D716" s="155"/>
      <c r="E716" s="88"/>
      <c r="F716" s="88"/>
      <c r="G716" s="88"/>
      <c r="H716" s="118"/>
      <c r="I716" s="182">
        <f t="shared" si="115"/>
        <v>0</v>
      </c>
      <c r="J716" s="20">
        <f t="shared" ca="1" si="116"/>
        <v>0</v>
      </c>
      <c r="K716" s="5">
        <f t="shared" ca="1" si="117"/>
        <v>0</v>
      </c>
      <c r="L716" s="61">
        <f t="shared" ca="1" si="118"/>
        <v>0</v>
      </c>
      <c r="M716" s="64">
        <f t="shared" si="119"/>
        <v>0</v>
      </c>
      <c r="N716" s="151"/>
      <c r="O716" s="5">
        <f t="shared" ca="1" si="120"/>
        <v>0</v>
      </c>
      <c r="P716" s="446" t="e">
        <f t="shared" si="121"/>
        <v>#VALUE!</v>
      </c>
      <c r="Q716" s="446" t="e">
        <f>IF(OR($B716="",MIN(Q$38,$D$19)&lt;MAX($P$708*($B716+IF($R$17="Distrato",$I$38-1,0)),IF(AND($L$711=0,$P$708=0),"",$L$711-1),IF($R$17="Distrato",$E716,0))),0,YEARFRAC(MAX($P$708*($B716+IF($R$17="Distrato",$I$38-1,0)),IF(AND($L$711=0,$P$708=0),"",$L$711-1),IF($R$17="Distrato",$E716,0)),MIN(Q$38,$D$19),$P$20))-SUM($P716:P716)</f>
        <v>#VALUE!</v>
      </c>
      <c r="R716" s="446" t="e">
        <f>IF(OR($B716="",MIN(R$38,$D$19)&lt;MAX($P$708*($B716+IF($R$17="Distrato",$I$38-1,0)),IF(AND($L$711=0,$P$708=0),"",$L$711-1),IF($R$17="Distrato",$E716,0))),0,YEARFRAC(MAX($P$708*($B716+IF($R$17="Distrato",$I$38-1,0)),IF(AND($L$711=0,$P$708=0),"",$L$711-1),IF($R$17="Distrato",$E716,0)),MIN(R$38,$D$19),$P$20))-SUM($P716:Q716)</f>
        <v>#VALUE!</v>
      </c>
      <c r="S716" s="446" t="e">
        <f>IF(OR($B716="",MIN(S$38,$D$19)&lt;MAX($P$708*($B716+IF($R$17="Distrato",$I$38-1,0)),IF(AND($L$711=0,$P$708=0),"",$L$711-1),IF($R$17="Distrato",$E716,0))),0,YEARFRAC(MAX($P$708*($B716+IF($R$17="Distrato",$I$38-1,0)),IF(AND($L$711=0,$P$708=0),"",$L$711-1),IF($R$17="Distrato",$E716,0)),MIN(S$38,$D$19),$P$20))-SUM($P716:R716)</f>
        <v>#VALUE!</v>
      </c>
      <c r="T716" s="446" t="e">
        <f>IF(OR($B716="",MIN(T$38,$D$19)&lt;MAX($P$708*($B716+IF($R$17="Distrato",$I$38-1,0)),IF(AND($L$711=0,$P$708=0),"",$L$711-1),IF($R$17="Distrato",$E716,0))),0,YEARFRAC(MAX($P$708*($B716+IF($R$17="Distrato",$I$38-1,0)),IF(AND($L$711=0,$P$708=0),"",$L$711-1),IF($R$17="Distrato",$E716,0)),MIN(T$38,$D$19),$P$20))-SUM($P716:S716)</f>
        <v>#VALUE!</v>
      </c>
      <c r="U716" s="446" t="e">
        <f>IF(OR($B716="",MIN(U$38,$D$19)&lt;MAX($P$708*($B716+IF($R$17="Distrato",$I$38-1,0)),IF(AND($L$711=0,$P$708=0),"",$L$711-1),IF($R$17="Distrato",$E716,0))),0,YEARFRAC(MAX($P$708*($B716+IF($R$17="Distrato",$I$38-1,0)),IF(AND($L$711=0,$P$708=0),"",$L$711-1),IF($R$17="Distrato",$E716,0)),MIN(U$38,$D$19),$P$20))-SUM($P716:T716)</f>
        <v>#VALUE!</v>
      </c>
      <c r="V716" s="446" t="e">
        <f>IF(OR($B716="",MIN(V$38,$D$19)&lt;MAX($P$708*($B716+IF($R$17="Distrato",$I$38-1,0)),IF(AND($L$711=0,$P$708=0),"",$L$711-1),IF($R$17="Distrato",$E716,0))),0,YEARFRAC(MAX($P$708*($B716+IF($R$17="Distrato",$I$38-1,0)),IF(AND($L$711=0,$P$708=0),"",$L$711-1),IF($R$17="Distrato",$E716,0)),MIN(V$38,$D$19),$P$20))-SUM($P716:U716)</f>
        <v>#VALUE!</v>
      </c>
      <c r="W716" s="446" t="e">
        <f>IF(OR($B716="",MIN(W$38,$D$19)&lt;MAX($P$708*($B716+IF($R$17="Distrato",$I$38-1,0)),IF(AND($L$711=0,$P$708=0),"",$L$711-1),IF($R$17="Distrato",$E716,0))),0,YEARFRAC(MAX($P$708*($B716+IF($R$17="Distrato",$I$38-1,0)),IF(AND($L$711=0,$P$708=0),"",$L$711-1),IF($R$17="Distrato",$E716,0)),MIN(W$38,$D$19),$P$20))-SUM($P716:V716)</f>
        <v>#VALUE!</v>
      </c>
      <c r="X716" s="446" t="e">
        <f>IF(OR($B716="",MIN(X$38,$D$19)&lt;MAX($P$708*($B716+IF($R$17="Distrato",$I$38-1,0)),IF(AND($L$711=0,$P$708=0),"",$L$711-1),IF($R$17="Distrato",$E716,0))),0,YEARFRAC(MAX($P$708*($B716+IF($R$17="Distrato",$I$38-1,0)),IF(AND($L$711=0,$P$708=0),"",$L$711-1),IF($R$17="Distrato",$E716,0)),MIN(X$38,$D$19),$P$20))-SUM($P716:W716)</f>
        <v>#VALUE!</v>
      </c>
      <c r="Y716" s="446" t="e">
        <f>IF(OR($B716="",MIN(Y$38,$D$19)&lt;MAX($P$708*($B716+IF($R$17="Distrato",$I$38-1,0)),IF(AND($L$711=0,$P$708=0),"",$L$711-1),IF($R$17="Distrato",$E716,0))),0,YEARFRAC(MAX($P$708*($B716+IF($R$17="Distrato",$I$38-1,0)),IF(AND($L$711=0,$P$708=0),"",$L$711-1),IF($R$17="Distrato",$E716,0)),MIN(Y$38,$D$19),$P$20))-SUM($P716:X716)</f>
        <v>#VALUE!</v>
      </c>
      <c r="Z716" s="446" t="e">
        <f>IF(OR($B716="",MIN(Z$38,$D$19)&lt;MAX($P$708*($B716+IF($R$17="Distrato",$I$38-1,0)),IF(AND($L$711=0,$P$708=0),"",$L$711-1),IF($R$17="Distrato",$E716,0))),0,YEARFRAC(MAX($P$708*($B716+IF($R$17="Distrato",$I$38-1,0)),IF(AND($L$711=0,$P$708=0),"",$L$711-1),IF($R$17="Distrato",$E716,0)),MIN(Z$38,$D$19),$P$20))-SUM($P716:Y716)</f>
        <v>#VALUE!</v>
      </c>
      <c r="AA716" s="446" t="e">
        <f>IF(OR($B716="",MIN(AA$38,$D$19)&lt;MAX($P$708*($B716+IF($R$17="Distrato",$I$38-1,0)),IF(AND($L$711=0,$P$708=0),"",$L$711-1),IF($R$17="Distrato",$E716,0))),0,YEARFRAC(MAX($P$708*($B716+IF($R$17="Distrato",$I$38-1,0)),IF(AND($L$711=0,$P$708=0),"",$L$711-1),IF($R$17="Distrato",$E716,0)),MIN(AA$38,$D$19),$P$20))-SUM($P716:Z716)</f>
        <v>#VALUE!</v>
      </c>
      <c r="AB716" s="446" t="e">
        <f>IF(OR($B716="",MIN(AB$38,$D$19)&lt;MAX($P$708*($B716+IF($R$17="Distrato",$I$38-1,0)),IF(AND($L$711=0,$P$708=0),"",$L$711-1),IF($R$17="Distrato",$E716,0))),0,YEARFRAC(MAX($P$708*($B716+IF($R$17="Distrato",$I$38-1,0)),IF(AND($L$711=0,$P$708=0),"",$L$711-1),IF($R$17="Distrato",$E716,0)),MIN(AB$38,$D$19),$P$20))-SUM($P716:AA716)</f>
        <v>#VALUE!</v>
      </c>
      <c r="AC716" s="446" t="e">
        <f>IF(OR($B716="",MIN(AC$38,$D$19)&lt;MAX($P$708*($B716+IF($R$17="Distrato",$I$38-1,0)),IF(AND($L$711=0,$P$708=0),"",$L$711-1),IF($R$17="Distrato",$E716,0))),0,YEARFRAC(MAX($P$708*($B716+IF($R$17="Distrato",$I$38-1,0)),IF(AND($L$711=0,$P$708=0),"",$L$711-1),IF($R$17="Distrato",$E716,0)),MIN(AC$38,$D$19),$P$20))-SUM($P716:AB716)</f>
        <v>#VALUE!</v>
      </c>
      <c r="AD716" s="446" t="e">
        <f>IF(OR($B716="",MIN(AD$38,$D$19)&lt;MAX($P$708*($B716+IF($R$17="Distrato",$I$38-1,0)),IF(AND($L$711=0,$P$708=0),"",$L$711-1),IF($R$17="Distrato",$E716,0))),0,YEARFRAC(MAX($P$708*($B716+IF($R$17="Distrato",$I$38-1,0)),IF(AND($L$711=0,$P$708=0),"",$L$711-1),IF($R$17="Distrato",$E716,0)),MIN(AD$38,$D$19),$P$20))-SUM($P716:AC716)</f>
        <v>#VALUE!</v>
      </c>
      <c r="AE716" s="446" t="e">
        <f>IF(OR($B716="",MIN(AE$38,$D$19)&lt;MAX($P$708*($B716+IF($R$17="Distrato",$I$38-1,0)),IF(AND($L$711=0,$P$708=0),"",$L$711-1),IF($R$17="Distrato",$E716,0))),0,YEARFRAC(MAX($P$708*($B716+IF($R$17="Distrato",$I$38-1,0)),IF(AND($L$711=0,$P$708=0),"",$L$711-1),IF($R$17="Distrato",$E716,0)),MIN(AE$38,$D$19),$P$20))-SUM($P716:AD716)</f>
        <v>#VALUE!</v>
      </c>
      <c r="AF716" s="446" t="e">
        <f>IF(OR($B716="",MIN(AF$38,$D$19)&lt;MAX($P$708*($B716+IF($R$17="Distrato",$I$38-1,0)),IF(AND($L$711=0,$P$708=0),"",$L$711-1),IF($R$17="Distrato",$E716,0))),0,YEARFRAC(MAX($P$708*($B716+IF($R$17="Distrato",$I$38-1,0)),IF(AND($L$711=0,$P$708=0),"",$L$711-1),IF($R$17="Distrato",$E716,0)),MIN(AF$38,$D$19),$P$20))-SUM($P716:AE716)</f>
        <v>#VALUE!</v>
      </c>
      <c r="AG716" s="446" t="e">
        <f>IF(OR($B716="",MIN(AG$38,$D$19)&lt;MAX($P$708*($B716+IF($R$17="Distrato",$I$38-1,0)),IF(AND($L$711=0,$P$708=0),"",$L$711-1),IF($R$17="Distrato",$E716,0))),0,YEARFRAC(MAX($P$708*($B716+IF($R$17="Distrato",$I$38-1,0)),IF(AND($L$711=0,$P$708=0),"",$L$711-1),IF($R$17="Distrato",$E716,0)),MIN(AG$38,$D$19),$P$20))-SUM($P716:AF716)</f>
        <v>#VALUE!</v>
      </c>
      <c r="AH716" s="446" t="e">
        <f>IF(OR($B716="",MIN(AH$38,$D$19)&lt;MAX($P$708*($B716+IF($R$17="Distrato",$I$38-1,0)),IF(AND($L$711=0,$P$708=0),"",$L$711-1),IF($R$17="Distrato",$E716,0))),0,YEARFRAC(MAX($P$708*($B716+IF($R$17="Distrato",$I$38-1,0)),IF(AND($L$711=0,$P$708=0),"",$L$711-1),IF($R$17="Distrato",$E716,0)),MIN(AH$38,$D$19),$P$20))-SUM($P716:AG716)</f>
        <v>#VALUE!</v>
      </c>
      <c r="AI716" s="446" t="e">
        <f>IF(OR($B716="",MIN(AI$38,$D$19)&lt;MAX($P$708*($B716+IF($R$17="Distrato",$I$38-1,0)),IF(AND($L$711=0,$P$708=0),"",$L$711-1),IF($R$17="Distrato",$E716,0))),0,YEARFRAC(MAX($P$708*($B716+IF($R$17="Distrato",$I$38-1,0)),IF(AND($L$711=0,$P$708=0),"",$L$711-1),IF($R$17="Distrato",$E716,0)),MIN(AI$38,$D$19),$P$20))-SUM($P716:AH716)</f>
        <v>#VALUE!</v>
      </c>
      <c r="AJ716" s="446" t="e">
        <f>IF(OR($B716="",MIN(AJ$38,$D$19)&lt;MAX($P$708*($B716+IF($R$17="Distrato",$I$38-1,0)),IF(AND($L$711=0,$P$708=0),"",$L$711-1),IF($R$17="Distrato",$E716,0))),0,YEARFRAC(MAX($P$708*($B716+IF($R$17="Distrato",$I$38-1,0)),IF(AND($L$711=0,$P$708=0),"",$L$711-1),IF($R$17="Distrato",$E716,0)),MIN(AJ$38,$D$19),$P$20))-SUM($P716:AI716)</f>
        <v>#VALUE!</v>
      </c>
      <c r="AK716" s="446" t="e">
        <f>IF(OR($B716="",MIN(AK$38,$D$19)&lt;MAX($P$708*($B716+IF($R$17="Distrato",$I$38-1,0)),IF(AND($L$711=0,$P$708=0),"",$L$711-1),IF($R$17="Distrato",$E716,0))),0,YEARFRAC(MAX($P$708*($B716+IF($R$17="Distrato",$I$38-1,0)),IF(AND($L$711=0,$P$708=0),"",$L$711-1),IF($R$17="Distrato",$E716,0)),MIN(AK$38,$D$19),$P$20))-SUM($P716:AJ716)</f>
        <v>#VALUE!</v>
      </c>
      <c r="AL716" s="446" t="e">
        <f>IF(OR($B716="",MIN(AL$38,$D$19)&lt;MAX($P$708*($B716+IF($R$17="Distrato",$I$38-1,0)),IF(AND($L$711=0,$P$708=0),"",$L$711-1),IF($R$17="Distrato",$E716,0))),0,YEARFRAC(MAX($P$708*($B716+IF($R$17="Distrato",$I$38-1,0)),IF(AND($L$711=0,$P$708=0),"",$L$711-1),IF($R$17="Distrato",$E716,0)),MIN(AL$38,$D$19),$P$20))-SUM($P716:AK716)</f>
        <v>#VALUE!</v>
      </c>
      <c r="AM716" s="446" t="e">
        <f>IF(OR($B716="",MIN(AM$38,$D$19)&lt;MAX($P$708*($B716+IF($R$17="Distrato",$I$38-1,0)),IF(AND($L$711=0,$P$708=0),"",$L$711-1),IF($R$17="Distrato",$E716,0))),0,YEARFRAC(MAX($P$708*($B716+IF($R$17="Distrato",$I$38-1,0)),IF(AND($L$711=0,$P$708=0),"",$L$711-1),IF($R$17="Distrato",$E716,0)),MIN(AM$38,$D$19),$P$20))-SUM($P716:AL716)</f>
        <v>#VALUE!</v>
      </c>
      <c r="AN716" s="446" t="e">
        <f>IF(OR($B716="",MIN(AN$38,$D$19)&lt;MAX($P$708*($B716+IF($R$17="Distrato",$I$38-1,0)),IF(AND($L$711=0,$P$708=0),"",$L$711-1),IF($R$17="Distrato",$E716,0))),0,YEARFRAC(MAX($P$708*($B716+IF($R$17="Distrato",$I$38-1,0)),IF(AND($L$711=0,$P$708=0),"",$L$711-1),IF($R$17="Distrato",$E716,0)),MIN(AN$38,$D$19),$P$20))-SUM($P716:AM716)</f>
        <v>#VALUE!</v>
      </c>
      <c r="AO716" s="446" t="e">
        <f>IF(OR($B716="",MIN(AO$38,$D$19)&lt;MAX($P$708*($B716+IF($R$17="Distrato",$I$38-1,0)),IF(AND($L$711=0,$P$708=0),"",$L$711-1),IF($R$17="Distrato",$E716,0))),0,YEARFRAC(MAX($P$708*($B716+IF($R$17="Distrato",$I$38-1,0)),IF(AND($L$711=0,$P$708=0),"",$L$711-1),IF($R$17="Distrato",$E716,0)),MIN(AO$38,$D$19),$P$20))-SUM($P716:AN716)</f>
        <v>#VALUE!</v>
      </c>
      <c r="AP716" s="446" t="e">
        <f>IF(OR($B716="",MIN(AP$38,$D$19)&lt;MAX($P$708*($B716+IF($R$17="Distrato",$I$38-1,0)),IF(AND($L$711=0,$P$708=0),"",$L$711-1),IF($R$17="Distrato",$E716,0))),0,YEARFRAC(MAX($P$708*($B716+IF($R$17="Distrato",$I$38-1,0)),IF(AND($L$711=0,$P$708=0),"",$L$711-1),IF($R$17="Distrato",$E716,0)),MIN(AP$38,$D$19),$P$20))-SUM($P716:AO716)</f>
        <v>#VALUE!</v>
      </c>
      <c r="AQ716" s="446" t="e">
        <f>IF(OR($B716="",MIN(AQ$38,$D$19)&lt;MAX($P$708*($B716+IF($R$17="Distrato",$I$38-1,0)),IF(AND($L$711=0,$P$708=0),"",$L$711-1),IF($R$17="Distrato",$E716,0))),0,YEARFRAC(MAX($P$708*($B716+IF($R$17="Distrato",$I$38-1,0)),IF(AND($L$711=0,$P$708=0),"",$L$711-1),IF($R$17="Distrato",$E716,0)),MIN(AQ$38,$D$19),$P$20))-SUM($P716:AP716)</f>
        <v>#VALUE!</v>
      </c>
      <c r="AR716" s="446" t="e">
        <f>IF(OR($B716="",MIN(AR$38,$D$19)&lt;MAX($P$708*($B716+IF($R$17="Distrato",$I$38-1,0)),IF(AND($L$711=0,$P$708=0),"",$L$711-1),IF($R$17="Distrato",$E716,0))),0,YEARFRAC(MAX($P$708*($B716+IF($R$17="Distrato",$I$38-1,0)),IF(AND($L$711=0,$P$708=0),"",$L$711-1),IF($R$17="Distrato",$E716,0)),MIN(AR$38,$D$19),$P$20))-SUM($P716:AQ716)</f>
        <v>#VALUE!</v>
      </c>
      <c r="AS716" s="446" t="e">
        <f>IF(OR($B716="",MIN(AS$38,$D$19)&lt;MAX($P$708*($B716+IF($R$17="Distrato",$I$38-1,0)),IF(AND($L$711=0,$P$708=0),"",$L$711-1),IF($R$17="Distrato",$E716,0))),0,YEARFRAC(MAX($P$708*($B716+IF($R$17="Distrato",$I$38-1,0)),IF(AND($L$711=0,$P$708=0),"",$L$711-1),IF($R$17="Distrato",$E716,0)),MIN(AS$38,$D$19),$P$20))-SUM($P716:AR716)</f>
        <v>#VALUE!</v>
      </c>
      <c r="AT716" s="446" t="e">
        <f>IF(OR($B716="",MIN(AT$38,$D$19)&lt;MAX($P$708*($B716+IF($R$17="Distrato",$I$38-1,0)),IF(AND($L$711=0,$P$708=0),"",$L$711-1),IF($R$17="Distrato",$E716,0))),0,YEARFRAC(MAX($P$708*($B716+IF($R$17="Distrato",$I$38-1,0)),IF(AND($L$711=0,$P$708=0),"",$L$711-1),IF($R$17="Distrato",$E716,0)),MIN(AT$38,$D$19),$P$20))-SUM($P716:AS716)</f>
        <v>#VALUE!</v>
      </c>
      <c r="AU716" s="446" t="e">
        <f>IF(OR($B716="",MIN(AU$38,$D$19)&lt;MAX($P$708*($B716+IF($R$17="Distrato",$I$38-1,0)),IF(AND($L$711=0,$P$708=0),"",$L$711-1),IF($R$17="Distrato",$E716,0))),0,YEARFRAC(MAX($P$708*($B716+IF($R$17="Distrato",$I$38-1,0)),IF(AND($L$711=0,$P$708=0),"",$L$711-1),IF($R$17="Distrato",$E716,0)),MIN(AU$38,$D$19),$P$20))-SUM($P716:AT716)</f>
        <v>#VALUE!</v>
      </c>
      <c r="AV716" s="446" t="e">
        <f>IF(OR($B716="",MIN(AV$38,$D$19)&lt;MAX($P$708*($B716+IF($R$17="Distrato",$I$38-1,0)),IF(AND($L$711=0,$P$708=0),"",$L$711-1),IF($R$17="Distrato",$E716,0))),0,YEARFRAC(MAX($P$708*($B716+IF($R$17="Distrato",$I$38-1,0)),IF(AND($L$711=0,$P$708=0),"",$L$711-1),IF($R$17="Distrato",$E716,0)),MIN(AV$38,$D$19),$P$20))-SUM($P716:AU716)</f>
        <v>#VALUE!</v>
      </c>
      <c r="AW716" s="446" t="e">
        <f>IF(OR($B716="",MIN(AW$38,$D$19)&lt;MAX($P$708*($B716+IF($R$17="Distrato",$I$38-1,0)),IF(AND($L$711=0,$P$708=0),"",$L$711-1),IF($R$17="Distrato",$E716,0))),0,YEARFRAC(MAX($P$708*($B716+IF($R$17="Distrato",$I$38-1,0)),IF(AND($L$711=0,$P$708=0),"",$L$711-1),IF($R$17="Distrato",$E716,0)),MIN(AW$38,$D$19),$P$20))-SUM($P716:AV716)</f>
        <v>#VALUE!</v>
      </c>
      <c r="AX716" s="446" t="e">
        <f>IF(OR($B716="",MIN(AX$38,$D$19)&lt;MAX($P$708*($B716+IF($R$17="Distrato",$I$38-1,0)),IF(AND($L$711=0,$P$708=0),"",$L$711-1),IF($R$17="Distrato",$E716,0))),0,YEARFRAC(MAX($P$708*($B716+IF($R$17="Distrato",$I$38-1,0)),IF(AND($L$711=0,$P$708=0),"",$L$711-1),IF($R$17="Distrato",$E716,0)),MIN(AX$38,$D$19),$P$20))-SUM($P716:AW716)</f>
        <v>#VALUE!</v>
      </c>
      <c r="AY716" s="446" t="e">
        <f>IF(OR($B716="",MIN(AY$38,$D$19)&lt;MAX($P$708*($B716+IF($R$17="Distrato",$I$38-1,0)),IF(AND($L$711=0,$P$708=0),"",$L$711-1),IF($R$17="Distrato",$E716,0))),0,YEARFRAC(MAX($P$708*($B716+IF($R$17="Distrato",$I$38-1,0)),IF(AND($L$711=0,$P$708=0),"",$L$711-1),IF($R$17="Distrato",$E716,0)),MIN(AY$38,$D$19),$P$20))-SUM($P716:AX716)</f>
        <v>#VALUE!</v>
      </c>
      <c r="AZ716" s="446" t="e">
        <f>IF(OR($B716="",MIN(AZ$38,$D$19)&lt;MAX($P$708*($B716+IF($R$17="Distrato",$I$38-1,0)),IF(AND($L$711=0,$P$708=0),"",$L$711-1),IF($R$17="Distrato",$E716,0))),0,YEARFRAC(MAX($P$708*($B716+IF($R$17="Distrato",$I$38-1,0)),IF(AND($L$711=0,$P$708=0),"",$L$711-1),IF($R$17="Distrato",$E716,0)),MIN(AZ$38,$D$19),$P$20))-SUM($P716:AY716)</f>
        <v>#VALUE!</v>
      </c>
      <c r="BA716" s="446" t="e">
        <f>IF(OR($B716="",MIN(BA$38,$D$19)&lt;MAX($P$708*($B716+IF($R$17="Distrato",$I$38-1,0)),IF(AND($L$711=0,$P$708=0),"",$L$711-1),IF($R$17="Distrato",$E716,0))),0,YEARFRAC(MAX($P$708*($B716+IF($R$17="Distrato",$I$38-1,0)),IF(AND($L$711=0,$P$708=0),"",$L$711-1),IF($R$17="Distrato",$E716,0)),MIN(BA$38,$D$19),$P$20))-SUM($P716:AZ716)</f>
        <v>#VALUE!</v>
      </c>
      <c r="BB716" s="447"/>
    </row>
    <row r="717" spans="1:54" s="446" customFormat="1" ht="11.25" hidden="1" customHeight="1" x14ac:dyDescent="0.2">
      <c r="A717" s="235"/>
      <c r="B717" s="236"/>
      <c r="C717" s="29" t="str">
        <f>IF(B717="","",IF($L$709=$BL$25,VLOOKUP(DATE(YEAR($D$19),MONTH($D$19)-1,1),ÍNDICES!$A:$DE,HLOOKUP($BL$25,ÍNDICES!$B$3:$T$4,2)+11)-VLOOKUP(B717,ÍNDICES!$A:$DE,HLOOKUP($BL$25,ÍNDICES!$B$3:$T$4,2)+11)+1%,IF(C$712=$W$26,$J$35,IF(ISERROR(IF(B717&gt;$D$19,1,VLOOKUP(DATE(YEAR(B717),MONTH(B717)+IF($C$709=$S$23,1,0),1),ÍNDICES!$A:$DE,$Z$709+1))),"",IF(B717&gt;$D$19,1,VLOOKUP(DATE(YEAR(B717),MONTH(B717)+IF($C$709=$S$23,1,0),1),ÍNDICES!$A:$DE,$Z$709+1))))))</f>
        <v/>
      </c>
      <c r="D717" s="155"/>
      <c r="E717" s="88"/>
      <c r="F717" s="88"/>
      <c r="G717" s="88"/>
      <c r="H717" s="118"/>
      <c r="I717" s="182">
        <f t="shared" si="115"/>
        <v>0</v>
      </c>
      <c r="J717" s="20">
        <f t="shared" ca="1" si="116"/>
        <v>0</v>
      </c>
      <c r="K717" s="5">
        <f t="shared" ca="1" si="117"/>
        <v>0</v>
      </c>
      <c r="L717" s="61">
        <f t="shared" ca="1" si="118"/>
        <v>0</v>
      </c>
      <c r="M717" s="64">
        <f t="shared" si="119"/>
        <v>0</v>
      </c>
      <c r="N717" s="151"/>
      <c r="O717" s="5">
        <f t="shared" ca="1" si="120"/>
        <v>0</v>
      </c>
      <c r="P717" s="446" t="e">
        <f t="shared" si="121"/>
        <v>#VALUE!</v>
      </c>
      <c r="Q717" s="446" t="e">
        <f>IF(OR($B717="",MIN(Q$38,$D$19)&lt;MAX($P$708*($B717+IF($R$17="Distrato",$I$38-1,0)),IF(AND($L$711=0,$P$708=0),"",$L$711-1),IF($R$17="Distrato",$E717,0))),0,YEARFRAC(MAX($P$708*($B717+IF($R$17="Distrato",$I$38-1,0)),IF(AND($L$711=0,$P$708=0),"",$L$711-1),IF($R$17="Distrato",$E717,0)),MIN(Q$38,$D$19),$P$20))-SUM($P717:P717)</f>
        <v>#VALUE!</v>
      </c>
      <c r="R717" s="446" t="e">
        <f>IF(OR($B717="",MIN(R$38,$D$19)&lt;MAX($P$708*($B717+IF($R$17="Distrato",$I$38-1,0)),IF(AND($L$711=0,$P$708=0),"",$L$711-1),IF($R$17="Distrato",$E717,0))),0,YEARFRAC(MAX($P$708*($B717+IF($R$17="Distrato",$I$38-1,0)),IF(AND($L$711=0,$P$708=0),"",$L$711-1),IF($R$17="Distrato",$E717,0)),MIN(R$38,$D$19),$P$20))-SUM($P717:Q717)</f>
        <v>#VALUE!</v>
      </c>
      <c r="S717" s="446" t="e">
        <f>IF(OR($B717="",MIN(S$38,$D$19)&lt;MAX($P$708*($B717+IF($R$17="Distrato",$I$38-1,0)),IF(AND($L$711=0,$P$708=0),"",$L$711-1),IF($R$17="Distrato",$E717,0))),0,YEARFRAC(MAX($P$708*($B717+IF($R$17="Distrato",$I$38-1,0)),IF(AND($L$711=0,$P$708=0),"",$L$711-1),IF($R$17="Distrato",$E717,0)),MIN(S$38,$D$19),$P$20))-SUM($P717:R717)</f>
        <v>#VALUE!</v>
      </c>
      <c r="T717" s="446" t="e">
        <f>IF(OR($B717="",MIN(T$38,$D$19)&lt;MAX($P$708*($B717+IF($R$17="Distrato",$I$38-1,0)),IF(AND($L$711=0,$P$708=0),"",$L$711-1),IF($R$17="Distrato",$E717,0))),0,YEARFRAC(MAX($P$708*($B717+IF($R$17="Distrato",$I$38-1,0)),IF(AND($L$711=0,$P$708=0),"",$L$711-1),IF($R$17="Distrato",$E717,0)),MIN(T$38,$D$19),$P$20))-SUM($P717:S717)</f>
        <v>#VALUE!</v>
      </c>
      <c r="U717" s="446" t="e">
        <f>IF(OR($B717="",MIN(U$38,$D$19)&lt;MAX($P$708*($B717+IF($R$17="Distrato",$I$38-1,0)),IF(AND($L$711=0,$P$708=0),"",$L$711-1),IF($R$17="Distrato",$E717,0))),0,YEARFRAC(MAX($P$708*($B717+IF($R$17="Distrato",$I$38-1,0)),IF(AND($L$711=0,$P$708=0),"",$L$711-1),IF($R$17="Distrato",$E717,0)),MIN(U$38,$D$19),$P$20))-SUM($P717:T717)</f>
        <v>#VALUE!</v>
      </c>
      <c r="V717" s="446" t="e">
        <f>IF(OR($B717="",MIN(V$38,$D$19)&lt;MAX($P$708*($B717+IF($R$17="Distrato",$I$38-1,0)),IF(AND($L$711=0,$P$708=0),"",$L$711-1),IF($R$17="Distrato",$E717,0))),0,YEARFRAC(MAX($P$708*($B717+IF($R$17="Distrato",$I$38-1,0)),IF(AND($L$711=0,$P$708=0),"",$L$711-1),IF($R$17="Distrato",$E717,0)),MIN(V$38,$D$19),$P$20))-SUM($P717:U717)</f>
        <v>#VALUE!</v>
      </c>
      <c r="W717" s="446" t="e">
        <f>IF(OR($B717="",MIN(W$38,$D$19)&lt;MAX($P$708*($B717+IF($R$17="Distrato",$I$38-1,0)),IF(AND($L$711=0,$P$708=0),"",$L$711-1),IF($R$17="Distrato",$E717,0))),0,YEARFRAC(MAX($P$708*($B717+IF($R$17="Distrato",$I$38-1,0)),IF(AND($L$711=0,$P$708=0),"",$L$711-1),IF($R$17="Distrato",$E717,0)),MIN(W$38,$D$19),$P$20))-SUM($P717:V717)</f>
        <v>#VALUE!</v>
      </c>
      <c r="X717" s="446" t="e">
        <f>IF(OR($B717="",MIN(X$38,$D$19)&lt;MAX($P$708*($B717+IF($R$17="Distrato",$I$38-1,0)),IF(AND($L$711=0,$P$708=0),"",$L$711-1),IF($R$17="Distrato",$E717,0))),0,YEARFRAC(MAX($P$708*($B717+IF($R$17="Distrato",$I$38-1,0)),IF(AND($L$711=0,$P$708=0),"",$L$711-1),IF($R$17="Distrato",$E717,0)),MIN(X$38,$D$19),$P$20))-SUM($P717:W717)</f>
        <v>#VALUE!</v>
      </c>
      <c r="Y717" s="446" t="e">
        <f>IF(OR($B717="",MIN(Y$38,$D$19)&lt;MAX($P$708*($B717+IF($R$17="Distrato",$I$38-1,0)),IF(AND($L$711=0,$P$708=0),"",$L$711-1),IF($R$17="Distrato",$E717,0))),0,YEARFRAC(MAX($P$708*($B717+IF($R$17="Distrato",$I$38-1,0)),IF(AND($L$711=0,$P$708=0),"",$L$711-1),IF($R$17="Distrato",$E717,0)),MIN(Y$38,$D$19),$P$20))-SUM($P717:X717)</f>
        <v>#VALUE!</v>
      </c>
      <c r="Z717" s="446" t="e">
        <f>IF(OR($B717="",MIN(Z$38,$D$19)&lt;MAX($P$708*($B717+IF($R$17="Distrato",$I$38-1,0)),IF(AND($L$711=0,$P$708=0),"",$L$711-1),IF($R$17="Distrato",$E717,0))),0,YEARFRAC(MAX($P$708*($B717+IF($R$17="Distrato",$I$38-1,0)),IF(AND($L$711=0,$P$708=0),"",$L$711-1),IF($R$17="Distrato",$E717,0)),MIN(Z$38,$D$19),$P$20))-SUM($P717:Y717)</f>
        <v>#VALUE!</v>
      </c>
      <c r="AA717" s="446" t="e">
        <f>IF(OR($B717="",MIN(AA$38,$D$19)&lt;MAX($P$708*($B717+IF($R$17="Distrato",$I$38-1,0)),IF(AND($L$711=0,$P$708=0),"",$L$711-1),IF($R$17="Distrato",$E717,0))),0,YEARFRAC(MAX($P$708*($B717+IF($R$17="Distrato",$I$38-1,0)),IF(AND($L$711=0,$P$708=0),"",$L$711-1),IF($R$17="Distrato",$E717,0)),MIN(AA$38,$D$19),$P$20))-SUM($P717:Z717)</f>
        <v>#VALUE!</v>
      </c>
      <c r="AB717" s="446" t="e">
        <f>IF(OR($B717="",MIN(AB$38,$D$19)&lt;MAX($P$708*($B717+IF($R$17="Distrato",$I$38-1,0)),IF(AND($L$711=0,$P$708=0),"",$L$711-1),IF($R$17="Distrato",$E717,0))),0,YEARFRAC(MAX($P$708*($B717+IF($R$17="Distrato",$I$38-1,0)),IF(AND($L$711=0,$P$708=0),"",$L$711-1),IF($R$17="Distrato",$E717,0)),MIN(AB$38,$D$19),$P$20))-SUM($P717:AA717)</f>
        <v>#VALUE!</v>
      </c>
      <c r="AC717" s="446" t="e">
        <f>IF(OR($B717="",MIN(AC$38,$D$19)&lt;MAX($P$708*($B717+IF($R$17="Distrato",$I$38-1,0)),IF(AND($L$711=0,$P$708=0),"",$L$711-1),IF($R$17="Distrato",$E717,0))),0,YEARFRAC(MAX($P$708*($B717+IF($R$17="Distrato",$I$38-1,0)),IF(AND($L$711=0,$P$708=0),"",$L$711-1),IF($R$17="Distrato",$E717,0)),MIN(AC$38,$D$19),$P$20))-SUM($P717:AB717)</f>
        <v>#VALUE!</v>
      </c>
      <c r="AD717" s="446" t="e">
        <f>IF(OR($B717="",MIN(AD$38,$D$19)&lt;MAX($P$708*($B717+IF($R$17="Distrato",$I$38-1,0)),IF(AND($L$711=0,$P$708=0),"",$L$711-1),IF($R$17="Distrato",$E717,0))),0,YEARFRAC(MAX($P$708*($B717+IF($R$17="Distrato",$I$38-1,0)),IF(AND($L$711=0,$P$708=0),"",$L$711-1),IF($R$17="Distrato",$E717,0)),MIN(AD$38,$D$19),$P$20))-SUM($P717:AC717)</f>
        <v>#VALUE!</v>
      </c>
      <c r="AE717" s="446" t="e">
        <f>IF(OR($B717="",MIN(AE$38,$D$19)&lt;MAX($P$708*($B717+IF($R$17="Distrato",$I$38-1,0)),IF(AND($L$711=0,$P$708=0),"",$L$711-1),IF($R$17="Distrato",$E717,0))),0,YEARFRAC(MAX($P$708*($B717+IF($R$17="Distrato",$I$38-1,0)),IF(AND($L$711=0,$P$708=0),"",$L$711-1),IF($R$17="Distrato",$E717,0)),MIN(AE$38,$D$19),$P$20))-SUM($P717:AD717)</f>
        <v>#VALUE!</v>
      </c>
      <c r="AF717" s="446" t="e">
        <f>IF(OR($B717="",MIN(AF$38,$D$19)&lt;MAX($P$708*($B717+IF($R$17="Distrato",$I$38-1,0)),IF(AND($L$711=0,$P$708=0),"",$L$711-1),IF($R$17="Distrato",$E717,0))),0,YEARFRAC(MAX($P$708*($B717+IF($R$17="Distrato",$I$38-1,0)),IF(AND($L$711=0,$P$708=0),"",$L$711-1),IF($R$17="Distrato",$E717,0)),MIN(AF$38,$D$19),$P$20))-SUM($P717:AE717)</f>
        <v>#VALUE!</v>
      </c>
      <c r="AG717" s="446" t="e">
        <f>IF(OR($B717="",MIN(AG$38,$D$19)&lt;MAX($P$708*($B717+IF($R$17="Distrato",$I$38-1,0)),IF(AND($L$711=0,$P$708=0),"",$L$711-1),IF($R$17="Distrato",$E717,0))),0,YEARFRAC(MAX($P$708*($B717+IF($R$17="Distrato",$I$38-1,0)),IF(AND($L$711=0,$P$708=0),"",$L$711-1),IF($R$17="Distrato",$E717,0)),MIN(AG$38,$D$19),$P$20))-SUM($P717:AF717)</f>
        <v>#VALUE!</v>
      </c>
      <c r="AH717" s="446" t="e">
        <f>IF(OR($B717="",MIN(AH$38,$D$19)&lt;MAX($P$708*($B717+IF($R$17="Distrato",$I$38-1,0)),IF(AND($L$711=0,$P$708=0),"",$L$711-1),IF($R$17="Distrato",$E717,0))),0,YEARFRAC(MAX($P$708*($B717+IF($R$17="Distrato",$I$38-1,0)),IF(AND($L$711=0,$P$708=0),"",$L$711-1),IF($R$17="Distrato",$E717,0)),MIN(AH$38,$D$19),$P$20))-SUM($P717:AG717)</f>
        <v>#VALUE!</v>
      </c>
      <c r="AI717" s="446" t="e">
        <f>IF(OR($B717="",MIN(AI$38,$D$19)&lt;MAX($P$708*($B717+IF($R$17="Distrato",$I$38-1,0)),IF(AND($L$711=0,$P$708=0),"",$L$711-1),IF($R$17="Distrato",$E717,0))),0,YEARFRAC(MAX($P$708*($B717+IF($R$17="Distrato",$I$38-1,0)),IF(AND($L$711=0,$P$708=0),"",$L$711-1),IF($R$17="Distrato",$E717,0)),MIN(AI$38,$D$19),$P$20))-SUM($P717:AH717)</f>
        <v>#VALUE!</v>
      </c>
      <c r="AJ717" s="446" t="e">
        <f>IF(OR($B717="",MIN(AJ$38,$D$19)&lt;MAX($P$708*($B717+IF($R$17="Distrato",$I$38-1,0)),IF(AND($L$711=0,$P$708=0),"",$L$711-1),IF($R$17="Distrato",$E717,0))),0,YEARFRAC(MAX($P$708*($B717+IF($R$17="Distrato",$I$38-1,0)),IF(AND($L$711=0,$P$708=0),"",$L$711-1),IF($R$17="Distrato",$E717,0)),MIN(AJ$38,$D$19),$P$20))-SUM($P717:AI717)</f>
        <v>#VALUE!</v>
      </c>
      <c r="AK717" s="446" t="e">
        <f>IF(OR($B717="",MIN(AK$38,$D$19)&lt;MAX($P$708*($B717+IF($R$17="Distrato",$I$38-1,0)),IF(AND($L$711=0,$P$708=0),"",$L$711-1),IF($R$17="Distrato",$E717,0))),0,YEARFRAC(MAX($P$708*($B717+IF($R$17="Distrato",$I$38-1,0)),IF(AND($L$711=0,$P$708=0),"",$L$711-1),IF($R$17="Distrato",$E717,0)),MIN(AK$38,$D$19),$P$20))-SUM($P717:AJ717)</f>
        <v>#VALUE!</v>
      </c>
      <c r="AL717" s="446" t="e">
        <f>IF(OR($B717="",MIN(AL$38,$D$19)&lt;MAX($P$708*($B717+IF($R$17="Distrato",$I$38-1,0)),IF(AND($L$711=0,$P$708=0),"",$L$711-1),IF($R$17="Distrato",$E717,0))),0,YEARFRAC(MAX($P$708*($B717+IF($R$17="Distrato",$I$38-1,0)),IF(AND($L$711=0,$P$708=0),"",$L$711-1),IF($R$17="Distrato",$E717,0)),MIN(AL$38,$D$19),$P$20))-SUM($P717:AK717)</f>
        <v>#VALUE!</v>
      </c>
      <c r="AM717" s="446" t="e">
        <f>IF(OR($B717="",MIN(AM$38,$D$19)&lt;MAX($P$708*($B717+IF($R$17="Distrato",$I$38-1,0)),IF(AND($L$711=0,$P$708=0),"",$L$711-1),IF($R$17="Distrato",$E717,0))),0,YEARFRAC(MAX($P$708*($B717+IF($R$17="Distrato",$I$38-1,0)),IF(AND($L$711=0,$P$708=0),"",$L$711-1),IF($R$17="Distrato",$E717,0)),MIN(AM$38,$D$19),$P$20))-SUM($P717:AL717)</f>
        <v>#VALUE!</v>
      </c>
      <c r="AN717" s="446" t="e">
        <f>IF(OR($B717="",MIN(AN$38,$D$19)&lt;MAX($P$708*($B717+IF($R$17="Distrato",$I$38-1,0)),IF(AND($L$711=0,$P$708=0),"",$L$711-1),IF($R$17="Distrato",$E717,0))),0,YEARFRAC(MAX($P$708*($B717+IF($R$17="Distrato",$I$38-1,0)),IF(AND($L$711=0,$P$708=0),"",$L$711-1),IF($R$17="Distrato",$E717,0)),MIN(AN$38,$D$19),$P$20))-SUM($P717:AM717)</f>
        <v>#VALUE!</v>
      </c>
      <c r="AO717" s="446" t="e">
        <f>IF(OR($B717="",MIN(AO$38,$D$19)&lt;MAX($P$708*($B717+IF($R$17="Distrato",$I$38-1,0)),IF(AND($L$711=0,$P$708=0),"",$L$711-1),IF($R$17="Distrato",$E717,0))),0,YEARFRAC(MAX($P$708*($B717+IF($R$17="Distrato",$I$38-1,0)),IF(AND($L$711=0,$P$708=0),"",$L$711-1),IF($R$17="Distrato",$E717,0)),MIN(AO$38,$D$19),$P$20))-SUM($P717:AN717)</f>
        <v>#VALUE!</v>
      </c>
      <c r="AP717" s="446" t="e">
        <f>IF(OR($B717="",MIN(AP$38,$D$19)&lt;MAX($P$708*($B717+IF($R$17="Distrato",$I$38-1,0)),IF(AND($L$711=0,$P$708=0),"",$L$711-1),IF($R$17="Distrato",$E717,0))),0,YEARFRAC(MAX($P$708*($B717+IF($R$17="Distrato",$I$38-1,0)),IF(AND($L$711=0,$P$708=0),"",$L$711-1),IF($R$17="Distrato",$E717,0)),MIN(AP$38,$D$19),$P$20))-SUM($P717:AO717)</f>
        <v>#VALUE!</v>
      </c>
      <c r="AQ717" s="446" t="e">
        <f>IF(OR($B717="",MIN(AQ$38,$D$19)&lt;MAX($P$708*($B717+IF($R$17="Distrato",$I$38-1,0)),IF(AND($L$711=0,$P$708=0),"",$L$711-1),IF($R$17="Distrato",$E717,0))),0,YEARFRAC(MAX($P$708*($B717+IF($R$17="Distrato",$I$38-1,0)),IF(AND($L$711=0,$P$708=0),"",$L$711-1),IF($R$17="Distrato",$E717,0)),MIN(AQ$38,$D$19),$P$20))-SUM($P717:AP717)</f>
        <v>#VALUE!</v>
      </c>
      <c r="AR717" s="446" t="e">
        <f>IF(OR($B717="",MIN(AR$38,$D$19)&lt;MAX($P$708*($B717+IF($R$17="Distrato",$I$38-1,0)),IF(AND($L$711=0,$P$708=0),"",$L$711-1),IF($R$17="Distrato",$E717,0))),0,YEARFRAC(MAX($P$708*($B717+IF($R$17="Distrato",$I$38-1,0)),IF(AND($L$711=0,$P$708=0),"",$L$711-1),IF($R$17="Distrato",$E717,0)),MIN(AR$38,$D$19),$P$20))-SUM($P717:AQ717)</f>
        <v>#VALUE!</v>
      </c>
      <c r="AS717" s="446" t="e">
        <f>IF(OR($B717="",MIN(AS$38,$D$19)&lt;MAX($P$708*($B717+IF($R$17="Distrato",$I$38-1,0)),IF(AND($L$711=0,$P$708=0),"",$L$711-1),IF($R$17="Distrato",$E717,0))),0,YEARFRAC(MAX($P$708*($B717+IF($R$17="Distrato",$I$38-1,0)),IF(AND($L$711=0,$P$708=0),"",$L$711-1),IF($R$17="Distrato",$E717,0)),MIN(AS$38,$D$19),$P$20))-SUM($P717:AR717)</f>
        <v>#VALUE!</v>
      </c>
      <c r="AT717" s="446" t="e">
        <f>IF(OR($B717="",MIN(AT$38,$D$19)&lt;MAX($P$708*($B717+IF($R$17="Distrato",$I$38-1,0)),IF(AND($L$711=0,$P$708=0),"",$L$711-1),IF($R$17="Distrato",$E717,0))),0,YEARFRAC(MAX($P$708*($B717+IF($R$17="Distrato",$I$38-1,0)),IF(AND($L$711=0,$P$708=0),"",$L$711-1),IF($R$17="Distrato",$E717,0)),MIN(AT$38,$D$19),$P$20))-SUM($P717:AS717)</f>
        <v>#VALUE!</v>
      </c>
      <c r="AU717" s="446" t="e">
        <f>IF(OR($B717="",MIN(AU$38,$D$19)&lt;MAX($P$708*($B717+IF($R$17="Distrato",$I$38-1,0)),IF(AND($L$711=0,$P$708=0),"",$L$711-1),IF($R$17="Distrato",$E717,0))),0,YEARFRAC(MAX($P$708*($B717+IF($R$17="Distrato",$I$38-1,0)),IF(AND($L$711=0,$P$708=0),"",$L$711-1),IF($R$17="Distrato",$E717,0)),MIN(AU$38,$D$19),$P$20))-SUM($P717:AT717)</f>
        <v>#VALUE!</v>
      </c>
      <c r="AV717" s="446" t="e">
        <f>IF(OR($B717="",MIN(AV$38,$D$19)&lt;MAX($P$708*($B717+IF($R$17="Distrato",$I$38-1,0)),IF(AND($L$711=0,$P$708=0),"",$L$711-1),IF($R$17="Distrato",$E717,0))),0,YEARFRAC(MAX($P$708*($B717+IF($R$17="Distrato",$I$38-1,0)),IF(AND($L$711=0,$P$708=0),"",$L$711-1),IF($R$17="Distrato",$E717,0)),MIN(AV$38,$D$19),$P$20))-SUM($P717:AU717)</f>
        <v>#VALUE!</v>
      </c>
      <c r="AW717" s="446" t="e">
        <f>IF(OR($B717="",MIN(AW$38,$D$19)&lt;MAX($P$708*($B717+IF($R$17="Distrato",$I$38-1,0)),IF(AND($L$711=0,$P$708=0),"",$L$711-1),IF($R$17="Distrato",$E717,0))),0,YEARFRAC(MAX($P$708*($B717+IF($R$17="Distrato",$I$38-1,0)),IF(AND($L$711=0,$P$708=0),"",$L$711-1),IF($R$17="Distrato",$E717,0)),MIN(AW$38,$D$19),$P$20))-SUM($P717:AV717)</f>
        <v>#VALUE!</v>
      </c>
      <c r="AX717" s="446" t="e">
        <f>IF(OR($B717="",MIN(AX$38,$D$19)&lt;MAX($P$708*($B717+IF($R$17="Distrato",$I$38-1,0)),IF(AND($L$711=0,$P$708=0),"",$L$711-1),IF($R$17="Distrato",$E717,0))),0,YEARFRAC(MAX($P$708*($B717+IF($R$17="Distrato",$I$38-1,0)),IF(AND($L$711=0,$P$708=0),"",$L$711-1),IF($R$17="Distrato",$E717,0)),MIN(AX$38,$D$19),$P$20))-SUM($P717:AW717)</f>
        <v>#VALUE!</v>
      </c>
      <c r="AY717" s="446" t="e">
        <f>IF(OR($B717="",MIN(AY$38,$D$19)&lt;MAX($P$708*($B717+IF($R$17="Distrato",$I$38-1,0)),IF(AND($L$711=0,$P$708=0),"",$L$711-1),IF($R$17="Distrato",$E717,0))),0,YEARFRAC(MAX($P$708*($B717+IF($R$17="Distrato",$I$38-1,0)),IF(AND($L$711=0,$P$708=0),"",$L$711-1),IF($R$17="Distrato",$E717,0)),MIN(AY$38,$D$19),$P$20))-SUM($P717:AX717)</f>
        <v>#VALUE!</v>
      </c>
      <c r="AZ717" s="446" t="e">
        <f>IF(OR($B717="",MIN(AZ$38,$D$19)&lt;MAX($P$708*($B717+IF($R$17="Distrato",$I$38-1,0)),IF(AND($L$711=0,$P$708=0),"",$L$711-1),IF($R$17="Distrato",$E717,0))),0,YEARFRAC(MAX($P$708*($B717+IF($R$17="Distrato",$I$38-1,0)),IF(AND($L$711=0,$P$708=0),"",$L$711-1),IF($R$17="Distrato",$E717,0)),MIN(AZ$38,$D$19),$P$20))-SUM($P717:AY717)</f>
        <v>#VALUE!</v>
      </c>
      <c r="BA717" s="446" t="e">
        <f>IF(OR($B717="",MIN(BA$38,$D$19)&lt;MAX($P$708*($B717+IF($R$17="Distrato",$I$38-1,0)),IF(AND($L$711=0,$P$708=0),"",$L$711-1),IF($R$17="Distrato",$E717,0))),0,YEARFRAC(MAX($P$708*($B717+IF($R$17="Distrato",$I$38-1,0)),IF(AND($L$711=0,$P$708=0),"",$L$711-1),IF($R$17="Distrato",$E717,0)),MIN(BA$38,$D$19),$P$20))-SUM($P717:AZ717)</f>
        <v>#VALUE!</v>
      </c>
      <c r="BB717" s="447"/>
    </row>
    <row r="718" spans="1:54" s="446" customFormat="1" ht="11.25" hidden="1" customHeight="1" x14ac:dyDescent="0.2">
      <c r="A718" s="235"/>
      <c r="B718" s="236"/>
      <c r="C718" s="29" t="str">
        <f>IF(B718="","",IF($L$709=$BL$25,VLOOKUP(DATE(YEAR($D$19),MONTH($D$19)-1,1),ÍNDICES!$A:$DE,HLOOKUP($BL$25,ÍNDICES!$B$3:$T$4,2)+11)-VLOOKUP(B718,ÍNDICES!$A:$DE,HLOOKUP($BL$25,ÍNDICES!$B$3:$T$4,2)+11)+1%,IF(C$712=$W$26,$J$35,IF(ISERROR(IF(B718&gt;$D$19,1,VLOOKUP(DATE(YEAR(B718),MONTH(B718)+IF($C$709=$S$23,1,0),1),ÍNDICES!$A:$DE,$Z$709+1))),"",IF(B718&gt;$D$19,1,VLOOKUP(DATE(YEAR(B718),MONTH(B718)+IF($C$709=$S$23,1,0),1),ÍNDICES!$A:$DE,$Z$709+1))))))</f>
        <v/>
      </c>
      <c r="D718" s="155"/>
      <c r="E718" s="88"/>
      <c r="F718" s="88"/>
      <c r="G718" s="88"/>
      <c r="H718" s="118"/>
      <c r="I718" s="182">
        <f t="shared" si="115"/>
        <v>0</v>
      </c>
      <c r="J718" s="20">
        <f t="shared" ca="1" si="116"/>
        <v>0</v>
      </c>
      <c r="K718" s="5">
        <f t="shared" ca="1" si="117"/>
        <v>0</v>
      </c>
      <c r="L718" s="61">
        <f t="shared" ca="1" si="118"/>
        <v>0</v>
      </c>
      <c r="M718" s="64">
        <f t="shared" si="119"/>
        <v>0</v>
      </c>
      <c r="N718" s="151"/>
      <c r="O718" s="5">
        <f t="shared" ca="1" si="120"/>
        <v>0</v>
      </c>
      <c r="P718" s="446" t="e">
        <f t="shared" si="121"/>
        <v>#VALUE!</v>
      </c>
      <c r="Q718" s="446" t="e">
        <f>IF(OR($B718="",MIN(Q$38,$D$19)&lt;MAX($P$708*($B718+IF($R$17="Distrato",$I$38-1,0)),IF(AND($L$711=0,$P$708=0),"",$L$711-1),IF($R$17="Distrato",$E718,0))),0,YEARFRAC(MAX($P$708*($B718+IF($R$17="Distrato",$I$38-1,0)),IF(AND($L$711=0,$P$708=0),"",$L$711-1),IF($R$17="Distrato",$E718,0)),MIN(Q$38,$D$19),$P$20))-SUM($P718:P718)</f>
        <v>#VALUE!</v>
      </c>
      <c r="R718" s="446" t="e">
        <f>IF(OR($B718="",MIN(R$38,$D$19)&lt;MAX($P$708*($B718+IF($R$17="Distrato",$I$38-1,0)),IF(AND($L$711=0,$P$708=0),"",$L$711-1),IF($R$17="Distrato",$E718,0))),0,YEARFRAC(MAX($P$708*($B718+IF($R$17="Distrato",$I$38-1,0)),IF(AND($L$711=0,$P$708=0),"",$L$711-1),IF($R$17="Distrato",$E718,0)),MIN(R$38,$D$19),$P$20))-SUM($P718:Q718)</f>
        <v>#VALUE!</v>
      </c>
      <c r="S718" s="446" t="e">
        <f>IF(OR($B718="",MIN(S$38,$D$19)&lt;MAX($P$708*($B718+IF($R$17="Distrato",$I$38-1,0)),IF(AND($L$711=0,$P$708=0),"",$L$711-1),IF($R$17="Distrato",$E718,0))),0,YEARFRAC(MAX($P$708*($B718+IF($R$17="Distrato",$I$38-1,0)),IF(AND($L$711=0,$P$708=0),"",$L$711-1),IF($R$17="Distrato",$E718,0)),MIN(S$38,$D$19),$P$20))-SUM($P718:R718)</f>
        <v>#VALUE!</v>
      </c>
      <c r="T718" s="446" t="e">
        <f>IF(OR($B718="",MIN(T$38,$D$19)&lt;MAX($P$708*($B718+IF($R$17="Distrato",$I$38-1,0)),IF(AND($L$711=0,$P$708=0),"",$L$711-1),IF($R$17="Distrato",$E718,0))),0,YEARFRAC(MAX($P$708*($B718+IF($R$17="Distrato",$I$38-1,0)),IF(AND($L$711=0,$P$708=0),"",$L$711-1),IF($R$17="Distrato",$E718,0)),MIN(T$38,$D$19),$P$20))-SUM($P718:S718)</f>
        <v>#VALUE!</v>
      </c>
      <c r="U718" s="446" t="e">
        <f>IF(OR($B718="",MIN(U$38,$D$19)&lt;MAX($P$708*($B718+IF($R$17="Distrato",$I$38-1,0)),IF(AND($L$711=0,$P$708=0),"",$L$711-1),IF($R$17="Distrato",$E718,0))),0,YEARFRAC(MAX($P$708*($B718+IF($R$17="Distrato",$I$38-1,0)),IF(AND($L$711=0,$P$708=0),"",$L$711-1),IF($R$17="Distrato",$E718,0)),MIN(U$38,$D$19),$P$20))-SUM($P718:T718)</f>
        <v>#VALUE!</v>
      </c>
      <c r="V718" s="446" t="e">
        <f>IF(OR($B718="",MIN(V$38,$D$19)&lt;MAX($P$708*($B718+IF($R$17="Distrato",$I$38-1,0)),IF(AND($L$711=0,$P$708=0),"",$L$711-1),IF($R$17="Distrato",$E718,0))),0,YEARFRAC(MAX($P$708*($B718+IF($R$17="Distrato",$I$38-1,0)),IF(AND($L$711=0,$P$708=0),"",$L$711-1),IF($R$17="Distrato",$E718,0)),MIN(V$38,$D$19),$P$20))-SUM($P718:U718)</f>
        <v>#VALUE!</v>
      </c>
      <c r="W718" s="446" t="e">
        <f>IF(OR($B718="",MIN(W$38,$D$19)&lt;MAX($P$708*($B718+IF($R$17="Distrato",$I$38-1,0)),IF(AND($L$711=0,$P$708=0),"",$L$711-1),IF($R$17="Distrato",$E718,0))),0,YEARFRAC(MAX($P$708*($B718+IF($R$17="Distrato",$I$38-1,0)),IF(AND($L$711=0,$P$708=0),"",$L$711-1),IF($R$17="Distrato",$E718,0)),MIN(W$38,$D$19),$P$20))-SUM($P718:V718)</f>
        <v>#VALUE!</v>
      </c>
      <c r="X718" s="446" t="e">
        <f>IF(OR($B718="",MIN(X$38,$D$19)&lt;MAX($P$708*($B718+IF($R$17="Distrato",$I$38-1,0)),IF(AND($L$711=0,$P$708=0),"",$L$711-1),IF($R$17="Distrato",$E718,0))),0,YEARFRAC(MAX($P$708*($B718+IF($R$17="Distrato",$I$38-1,0)),IF(AND($L$711=0,$P$708=0),"",$L$711-1),IF($R$17="Distrato",$E718,0)),MIN(X$38,$D$19),$P$20))-SUM($P718:W718)</f>
        <v>#VALUE!</v>
      </c>
      <c r="Y718" s="446" t="e">
        <f>IF(OR($B718="",MIN(Y$38,$D$19)&lt;MAX($P$708*($B718+IF($R$17="Distrato",$I$38-1,0)),IF(AND($L$711=0,$P$708=0),"",$L$711-1),IF($R$17="Distrato",$E718,0))),0,YEARFRAC(MAX($P$708*($B718+IF($R$17="Distrato",$I$38-1,0)),IF(AND($L$711=0,$P$708=0),"",$L$711-1),IF($R$17="Distrato",$E718,0)),MIN(Y$38,$D$19),$P$20))-SUM($P718:X718)</f>
        <v>#VALUE!</v>
      </c>
      <c r="Z718" s="446" t="e">
        <f>IF(OR($B718="",MIN(Z$38,$D$19)&lt;MAX($P$708*($B718+IF($R$17="Distrato",$I$38-1,0)),IF(AND($L$711=0,$P$708=0),"",$L$711-1),IF($R$17="Distrato",$E718,0))),0,YEARFRAC(MAX($P$708*($B718+IF($R$17="Distrato",$I$38-1,0)),IF(AND($L$711=0,$P$708=0),"",$L$711-1),IF($R$17="Distrato",$E718,0)),MIN(Z$38,$D$19),$P$20))-SUM($P718:Y718)</f>
        <v>#VALUE!</v>
      </c>
      <c r="AA718" s="446" t="e">
        <f>IF(OR($B718="",MIN(AA$38,$D$19)&lt;MAX($P$708*($B718+IF($R$17="Distrato",$I$38-1,0)),IF(AND($L$711=0,$P$708=0),"",$L$711-1),IF($R$17="Distrato",$E718,0))),0,YEARFRAC(MAX($P$708*($B718+IF($R$17="Distrato",$I$38-1,0)),IF(AND($L$711=0,$P$708=0),"",$L$711-1),IF($R$17="Distrato",$E718,0)),MIN(AA$38,$D$19),$P$20))-SUM($P718:Z718)</f>
        <v>#VALUE!</v>
      </c>
      <c r="AB718" s="446" t="e">
        <f>IF(OR($B718="",MIN(AB$38,$D$19)&lt;MAX($P$708*($B718+IF($R$17="Distrato",$I$38-1,0)),IF(AND($L$711=0,$P$708=0),"",$L$711-1),IF($R$17="Distrato",$E718,0))),0,YEARFRAC(MAX($P$708*($B718+IF($R$17="Distrato",$I$38-1,0)),IF(AND($L$711=0,$P$708=0),"",$L$711-1),IF($R$17="Distrato",$E718,0)),MIN(AB$38,$D$19),$P$20))-SUM($P718:AA718)</f>
        <v>#VALUE!</v>
      </c>
      <c r="AC718" s="446" t="e">
        <f>IF(OR($B718="",MIN(AC$38,$D$19)&lt;MAX($P$708*($B718+IF($R$17="Distrato",$I$38-1,0)),IF(AND($L$711=0,$P$708=0),"",$L$711-1),IF($R$17="Distrato",$E718,0))),0,YEARFRAC(MAX($P$708*($B718+IF($R$17="Distrato",$I$38-1,0)),IF(AND($L$711=0,$P$708=0),"",$L$711-1),IF($R$17="Distrato",$E718,0)),MIN(AC$38,$D$19),$P$20))-SUM($P718:AB718)</f>
        <v>#VALUE!</v>
      </c>
      <c r="AD718" s="446" t="e">
        <f>IF(OR($B718="",MIN(AD$38,$D$19)&lt;MAX($P$708*($B718+IF($R$17="Distrato",$I$38-1,0)),IF(AND($L$711=0,$P$708=0),"",$L$711-1),IF($R$17="Distrato",$E718,0))),0,YEARFRAC(MAX($P$708*($B718+IF($R$17="Distrato",$I$38-1,0)),IF(AND($L$711=0,$P$708=0),"",$L$711-1),IF($R$17="Distrato",$E718,0)),MIN(AD$38,$D$19),$P$20))-SUM($P718:AC718)</f>
        <v>#VALUE!</v>
      </c>
      <c r="AE718" s="446" t="e">
        <f>IF(OR($B718="",MIN(AE$38,$D$19)&lt;MAX($P$708*($B718+IF($R$17="Distrato",$I$38-1,0)),IF(AND($L$711=0,$P$708=0),"",$L$711-1),IF($R$17="Distrato",$E718,0))),0,YEARFRAC(MAX($P$708*($B718+IF($R$17="Distrato",$I$38-1,0)),IF(AND($L$711=0,$P$708=0),"",$L$711-1),IF($R$17="Distrato",$E718,0)),MIN(AE$38,$D$19),$P$20))-SUM($P718:AD718)</f>
        <v>#VALUE!</v>
      </c>
      <c r="AF718" s="446" t="e">
        <f>IF(OR($B718="",MIN(AF$38,$D$19)&lt;MAX($P$708*($B718+IF($R$17="Distrato",$I$38-1,0)),IF(AND($L$711=0,$P$708=0),"",$L$711-1),IF($R$17="Distrato",$E718,0))),0,YEARFRAC(MAX($P$708*($B718+IF($R$17="Distrato",$I$38-1,0)),IF(AND($L$711=0,$P$708=0),"",$L$711-1),IF($R$17="Distrato",$E718,0)),MIN(AF$38,$D$19),$P$20))-SUM($P718:AE718)</f>
        <v>#VALUE!</v>
      </c>
      <c r="AG718" s="446" t="e">
        <f>IF(OR($B718="",MIN(AG$38,$D$19)&lt;MAX($P$708*($B718+IF($R$17="Distrato",$I$38-1,0)),IF(AND($L$711=0,$P$708=0),"",$L$711-1),IF($R$17="Distrato",$E718,0))),0,YEARFRAC(MAX($P$708*($B718+IF($R$17="Distrato",$I$38-1,0)),IF(AND($L$711=0,$P$708=0),"",$L$711-1),IF($R$17="Distrato",$E718,0)),MIN(AG$38,$D$19),$P$20))-SUM($P718:AF718)</f>
        <v>#VALUE!</v>
      </c>
      <c r="AH718" s="446" t="e">
        <f>IF(OR($B718="",MIN(AH$38,$D$19)&lt;MAX($P$708*($B718+IF($R$17="Distrato",$I$38-1,0)),IF(AND($L$711=0,$P$708=0),"",$L$711-1),IF($R$17="Distrato",$E718,0))),0,YEARFRAC(MAX($P$708*($B718+IF($R$17="Distrato",$I$38-1,0)),IF(AND($L$711=0,$P$708=0),"",$L$711-1),IF($R$17="Distrato",$E718,0)),MIN(AH$38,$D$19),$P$20))-SUM($P718:AG718)</f>
        <v>#VALUE!</v>
      </c>
      <c r="AI718" s="446" t="e">
        <f>IF(OR($B718="",MIN(AI$38,$D$19)&lt;MAX($P$708*($B718+IF($R$17="Distrato",$I$38-1,0)),IF(AND($L$711=0,$P$708=0),"",$L$711-1),IF($R$17="Distrato",$E718,0))),0,YEARFRAC(MAX($P$708*($B718+IF($R$17="Distrato",$I$38-1,0)),IF(AND($L$711=0,$P$708=0),"",$L$711-1),IF($R$17="Distrato",$E718,0)),MIN(AI$38,$D$19),$P$20))-SUM($P718:AH718)</f>
        <v>#VALUE!</v>
      </c>
      <c r="AJ718" s="446" t="e">
        <f>IF(OR($B718="",MIN(AJ$38,$D$19)&lt;MAX($P$708*($B718+IF($R$17="Distrato",$I$38-1,0)),IF(AND($L$711=0,$P$708=0),"",$L$711-1),IF($R$17="Distrato",$E718,0))),0,YEARFRAC(MAX($P$708*($B718+IF($R$17="Distrato",$I$38-1,0)),IF(AND($L$711=0,$P$708=0),"",$L$711-1),IF($R$17="Distrato",$E718,0)),MIN(AJ$38,$D$19),$P$20))-SUM($P718:AI718)</f>
        <v>#VALUE!</v>
      </c>
      <c r="AK718" s="446" t="e">
        <f>IF(OR($B718="",MIN(AK$38,$D$19)&lt;MAX($P$708*($B718+IF($R$17="Distrato",$I$38-1,0)),IF(AND($L$711=0,$P$708=0),"",$L$711-1),IF($R$17="Distrato",$E718,0))),0,YEARFRAC(MAX($P$708*($B718+IF($R$17="Distrato",$I$38-1,0)),IF(AND($L$711=0,$P$708=0),"",$L$711-1),IF($R$17="Distrato",$E718,0)),MIN(AK$38,$D$19),$P$20))-SUM($P718:AJ718)</f>
        <v>#VALUE!</v>
      </c>
      <c r="AL718" s="446" t="e">
        <f>IF(OR($B718="",MIN(AL$38,$D$19)&lt;MAX($P$708*($B718+IF($R$17="Distrato",$I$38-1,0)),IF(AND($L$711=0,$P$708=0),"",$L$711-1),IF($R$17="Distrato",$E718,0))),0,YEARFRAC(MAX($P$708*($B718+IF($R$17="Distrato",$I$38-1,0)),IF(AND($L$711=0,$P$708=0),"",$L$711-1),IF($R$17="Distrato",$E718,0)),MIN(AL$38,$D$19),$P$20))-SUM($P718:AK718)</f>
        <v>#VALUE!</v>
      </c>
      <c r="AM718" s="446" t="e">
        <f>IF(OR($B718="",MIN(AM$38,$D$19)&lt;MAX($P$708*($B718+IF($R$17="Distrato",$I$38-1,0)),IF(AND($L$711=0,$P$708=0),"",$L$711-1),IF($R$17="Distrato",$E718,0))),0,YEARFRAC(MAX($P$708*($B718+IF($R$17="Distrato",$I$38-1,0)),IF(AND($L$711=0,$P$708=0),"",$L$711-1),IF($R$17="Distrato",$E718,0)),MIN(AM$38,$D$19),$P$20))-SUM($P718:AL718)</f>
        <v>#VALUE!</v>
      </c>
      <c r="AN718" s="446" t="e">
        <f>IF(OR($B718="",MIN(AN$38,$D$19)&lt;MAX($P$708*($B718+IF($R$17="Distrato",$I$38-1,0)),IF(AND($L$711=0,$P$708=0),"",$L$711-1),IF($R$17="Distrato",$E718,0))),0,YEARFRAC(MAX($P$708*($B718+IF($R$17="Distrato",$I$38-1,0)),IF(AND($L$711=0,$P$708=0),"",$L$711-1),IF($R$17="Distrato",$E718,0)),MIN(AN$38,$D$19),$P$20))-SUM($P718:AM718)</f>
        <v>#VALUE!</v>
      </c>
      <c r="AO718" s="446" t="e">
        <f>IF(OR($B718="",MIN(AO$38,$D$19)&lt;MAX($P$708*($B718+IF($R$17="Distrato",$I$38-1,0)),IF(AND($L$711=0,$P$708=0),"",$L$711-1),IF($R$17="Distrato",$E718,0))),0,YEARFRAC(MAX($P$708*($B718+IF($R$17="Distrato",$I$38-1,0)),IF(AND($L$711=0,$P$708=0),"",$L$711-1),IF($R$17="Distrato",$E718,0)),MIN(AO$38,$D$19),$P$20))-SUM($P718:AN718)</f>
        <v>#VALUE!</v>
      </c>
      <c r="AP718" s="446" t="e">
        <f>IF(OR($B718="",MIN(AP$38,$D$19)&lt;MAX($P$708*($B718+IF($R$17="Distrato",$I$38-1,0)),IF(AND($L$711=0,$P$708=0),"",$L$711-1),IF($R$17="Distrato",$E718,0))),0,YEARFRAC(MAX($P$708*($B718+IF($R$17="Distrato",$I$38-1,0)),IF(AND($L$711=0,$P$708=0),"",$L$711-1),IF($R$17="Distrato",$E718,0)),MIN(AP$38,$D$19),$P$20))-SUM($P718:AO718)</f>
        <v>#VALUE!</v>
      </c>
      <c r="AQ718" s="446" t="e">
        <f>IF(OR($B718="",MIN(AQ$38,$D$19)&lt;MAX($P$708*($B718+IF($R$17="Distrato",$I$38-1,0)),IF(AND($L$711=0,$P$708=0),"",$L$711-1),IF($R$17="Distrato",$E718,0))),0,YEARFRAC(MAX($P$708*($B718+IF($R$17="Distrato",$I$38-1,0)),IF(AND($L$711=0,$P$708=0),"",$L$711-1),IF($R$17="Distrato",$E718,0)),MIN(AQ$38,$D$19),$P$20))-SUM($P718:AP718)</f>
        <v>#VALUE!</v>
      </c>
      <c r="AR718" s="446" t="e">
        <f>IF(OR($B718="",MIN(AR$38,$D$19)&lt;MAX($P$708*($B718+IF($R$17="Distrato",$I$38-1,0)),IF(AND($L$711=0,$P$708=0),"",$L$711-1),IF($R$17="Distrato",$E718,0))),0,YEARFRAC(MAX($P$708*($B718+IF($R$17="Distrato",$I$38-1,0)),IF(AND($L$711=0,$P$708=0),"",$L$711-1),IF($R$17="Distrato",$E718,0)),MIN(AR$38,$D$19),$P$20))-SUM($P718:AQ718)</f>
        <v>#VALUE!</v>
      </c>
      <c r="AS718" s="446" t="e">
        <f>IF(OR($B718="",MIN(AS$38,$D$19)&lt;MAX($P$708*($B718+IF($R$17="Distrato",$I$38-1,0)),IF(AND($L$711=0,$P$708=0),"",$L$711-1),IF($R$17="Distrato",$E718,0))),0,YEARFRAC(MAX($P$708*($B718+IF($R$17="Distrato",$I$38-1,0)),IF(AND($L$711=0,$P$708=0),"",$L$711-1),IF($R$17="Distrato",$E718,0)),MIN(AS$38,$D$19),$P$20))-SUM($P718:AR718)</f>
        <v>#VALUE!</v>
      </c>
      <c r="AT718" s="446" t="e">
        <f>IF(OR($B718="",MIN(AT$38,$D$19)&lt;MAX($P$708*($B718+IF($R$17="Distrato",$I$38-1,0)),IF(AND($L$711=0,$P$708=0),"",$L$711-1),IF($R$17="Distrato",$E718,0))),0,YEARFRAC(MAX($P$708*($B718+IF($R$17="Distrato",$I$38-1,0)),IF(AND($L$711=0,$P$708=0),"",$L$711-1),IF($R$17="Distrato",$E718,0)),MIN(AT$38,$D$19),$P$20))-SUM($P718:AS718)</f>
        <v>#VALUE!</v>
      </c>
      <c r="AU718" s="446" t="e">
        <f>IF(OR($B718="",MIN(AU$38,$D$19)&lt;MAX($P$708*($B718+IF($R$17="Distrato",$I$38-1,0)),IF(AND($L$711=0,$P$708=0),"",$L$711-1),IF($R$17="Distrato",$E718,0))),0,YEARFRAC(MAX($P$708*($B718+IF($R$17="Distrato",$I$38-1,0)),IF(AND($L$711=0,$P$708=0),"",$L$711-1),IF($R$17="Distrato",$E718,0)),MIN(AU$38,$D$19),$P$20))-SUM($P718:AT718)</f>
        <v>#VALUE!</v>
      </c>
      <c r="AV718" s="446" t="e">
        <f>IF(OR($B718="",MIN(AV$38,$D$19)&lt;MAX($P$708*($B718+IF($R$17="Distrato",$I$38-1,0)),IF(AND($L$711=0,$P$708=0),"",$L$711-1),IF($R$17="Distrato",$E718,0))),0,YEARFRAC(MAX($P$708*($B718+IF($R$17="Distrato",$I$38-1,0)),IF(AND($L$711=0,$P$708=0),"",$L$711-1),IF($R$17="Distrato",$E718,0)),MIN(AV$38,$D$19),$P$20))-SUM($P718:AU718)</f>
        <v>#VALUE!</v>
      </c>
      <c r="AW718" s="446" t="e">
        <f>IF(OR($B718="",MIN(AW$38,$D$19)&lt;MAX($P$708*($B718+IF($R$17="Distrato",$I$38-1,0)),IF(AND($L$711=0,$P$708=0),"",$L$711-1),IF($R$17="Distrato",$E718,0))),0,YEARFRAC(MAX($P$708*($B718+IF($R$17="Distrato",$I$38-1,0)),IF(AND($L$711=0,$P$708=0),"",$L$711-1),IF($R$17="Distrato",$E718,0)),MIN(AW$38,$D$19),$P$20))-SUM($P718:AV718)</f>
        <v>#VALUE!</v>
      </c>
      <c r="AX718" s="446" t="e">
        <f>IF(OR($B718="",MIN(AX$38,$D$19)&lt;MAX($P$708*($B718+IF($R$17="Distrato",$I$38-1,0)),IF(AND($L$711=0,$P$708=0),"",$L$711-1),IF($R$17="Distrato",$E718,0))),0,YEARFRAC(MAX($P$708*($B718+IF($R$17="Distrato",$I$38-1,0)),IF(AND($L$711=0,$P$708=0),"",$L$711-1),IF($R$17="Distrato",$E718,0)),MIN(AX$38,$D$19),$P$20))-SUM($P718:AW718)</f>
        <v>#VALUE!</v>
      </c>
      <c r="AY718" s="446" t="e">
        <f>IF(OR($B718="",MIN(AY$38,$D$19)&lt;MAX($P$708*($B718+IF($R$17="Distrato",$I$38-1,0)),IF(AND($L$711=0,$P$708=0),"",$L$711-1),IF($R$17="Distrato",$E718,0))),0,YEARFRAC(MAX($P$708*($B718+IF($R$17="Distrato",$I$38-1,0)),IF(AND($L$711=0,$P$708=0),"",$L$711-1),IF($R$17="Distrato",$E718,0)),MIN(AY$38,$D$19),$P$20))-SUM($P718:AX718)</f>
        <v>#VALUE!</v>
      </c>
      <c r="AZ718" s="446" t="e">
        <f>IF(OR($B718="",MIN(AZ$38,$D$19)&lt;MAX($P$708*($B718+IF($R$17="Distrato",$I$38-1,0)),IF(AND($L$711=0,$P$708=0),"",$L$711-1),IF($R$17="Distrato",$E718,0))),0,YEARFRAC(MAX($P$708*($B718+IF($R$17="Distrato",$I$38-1,0)),IF(AND($L$711=0,$P$708=0),"",$L$711-1),IF($R$17="Distrato",$E718,0)),MIN(AZ$38,$D$19),$P$20))-SUM($P718:AY718)</f>
        <v>#VALUE!</v>
      </c>
      <c r="BA718" s="446" t="e">
        <f>IF(OR($B718="",MIN(BA$38,$D$19)&lt;MAX($P$708*($B718+IF($R$17="Distrato",$I$38-1,0)),IF(AND($L$711=0,$P$708=0),"",$L$711-1),IF($R$17="Distrato",$E718,0))),0,YEARFRAC(MAX($P$708*($B718+IF($R$17="Distrato",$I$38-1,0)),IF(AND($L$711=0,$P$708=0),"",$L$711-1),IF($R$17="Distrato",$E718,0)),MIN(BA$38,$D$19),$P$20))-SUM($P718:AZ718)</f>
        <v>#VALUE!</v>
      </c>
      <c r="BB718" s="447"/>
    </row>
    <row r="719" spans="1:54" s="446" customFormat="1" ht="11.25" hidden="1" customHeight="1" x14ac:dyDescent="0.2">
      <c r="A719" s="235"/>
      <c r="B719" s="236"/>
      <c r="C719" s="29" t="str">
        <f>IF(B719="","",IF($L$709=$BL$25,VLOOKUP(DATE(YEAR($D$19),MONTH($D$19)-1,1),ÍNDICES!$A:$DE,HLOOKUP($BL$25,ÍNDICES!$B$3:$T$4,2)+11)-VLOOKUP(B719,ÍNDICES!$A:$DE,HLOOKUP($BL$25,ÍNDICES!$B$3:$T$4,2)+11)+1%,IF(C$712=$W$26,$J$35,IF(ISERROR(IF(B719&gt;$D$19,1,VLOOKUP(DATE(YEAR(B719),MONTH(B719)+IF($C$709=$S$23,1,0),1),ÍNDICES!$A:$DE,$Z$709+1))),"",IF(B719&gt;$D$19,1,VLOOKUP(DATE(YEAR(B719),MONTH(B719)+IF($C$709=$S$23,1,0),1),ÍNDICES!$A:$DE,$Z$709+1))))))</f>
        <v/>
      </c>
      <c r="D719" s="155"/>
      <c r="E719" s="88"/>
      <c r="F719" s="88"/>
      <c r="G719" s="88"/>
      <c r="H719" s="118"/>
      <c r="I719" s="182">
        <f t="shared" si="115"/>
        <v>0</v>
      </c>
      <c r="J719" s="20">
        <f t="shared" ca="1" si="116"/>
        <v>0</v>
      </c>
      <c r="K719" s="5">
        <f t="shared" ca="1" si="117"/>
        <v>0</v>
      </c>
      <c r="L719" s="61">
        <f t="shared" ca="1" si="118"/>
        <v>0</v>
      </c>
      <c r="M719" s="64">
        <f t="shared" si="119"/>
        <v>0</v>
      </c>
      <c r="N719" s="151"/>
      <c r="O719" s="5">
        <f t="shared" ca="1" si="120"/>
        <v>0</v>
      </c>
      <c r="P719" s="446" t="e">
        <f t="shared" si="121"/>
        <v>#VALUE!</v>
      </c>
      <c r="Q719" s="446" t="e">
        <f>IF(OR($B719="",MIN(Q$38,$D$19)&lt;MAX($P$708*($B719+IF($R$17="Distrato",$I$38-1,0)),IF(AND($L$711=0,$P$708=0),"",$L$711-1),IF($R$17="Distrato",$E719,0))),0,YEARFRAC(MAX($P$708*($B719+IF($R$17="Distrato",$I$38-1,0)),IF(AND($L$711=0,$P$708=0),"",$L$711-1),IF($R$17="Distrato",$E719,0)),MIN(Q$38,$D$19),$P$20))-SUM($P719:P719)</f>
        <v>#VALUE!</v>
      </c>
      <c r="R719" s="446" t="e">
        <f>IF(OR($B719="",MIN(R$38,$D$19)&lt;MAX($P$708*($B719+IF($R$17="Distrato",$I$38-1,0)),IF(AND($L$711=0,$P$708=0),"",$L$711-1),IF($R$17="Distrato",$E719,0))),0,YEARFRAC(MAX($P$708*($B719+IF($R$17="Distrato",$I$38-1,0)),IF(AND($L$711=0,$P$708=0),"",$L$711-1),IF($R$17="Distrato",$E719,0)),MIN(R$38,$D$19),$P$20))-SUM($P719:Q719)</f>
        <v>#VALUE!</v>
      </c>
      <c r="S719" s="446" t="e">
        <f>IF(OR($B719="",MIN(S$38,$D$19)&lt;MAX($P$708*($B719+IF($R$17="Distrato",$I$38-1,0)),IF(AND($L$711=0,$P$708=0),"",$L$711-1),IF($R$17="Distrato",$E719,0))),0,YEARFRAC(MAX($P$708*($B719+IF($R$17="Distrato",$I$38-1,0)),IF(AND($L$711=0,$P$708=0),"",$L$711-1),IF($R$17="Distrato",$E719,0)),MIN(S$38,$D$19),$P$20))-SUM($P719:R719)</f>
        <v>#VALUE!</v>
      </c>
      <c r="T719" s="446" t="e">
        <f>IF(OR($B719="",MIN(T$38,$D$19)&lt;MAX($P$708*($B719+IF($R$17="Distrato",$I$38-1,0)),IF(AND($L$711=0,$P$708=0),"",$L$711-1),IF($R$17="Distrato",$E719,0))),0,YEARFRAC(MAX($P$708*($B719+IF($R$17="Distrato",$I$38-1,0)),IF(AND($L$711=0,$P$708=0),"",$L$711-1),IF($R$17="Distrato",$E719,0)),MIN(T$38,$D$19),$P$20))-SUM($P719:S719)</f>
        <v>#VALUE!</v>
      </c>
      <c r="U719" s="446" t="e">
        <f>IF(OR($B719="",MIN(U$38,$D$19)&lt;MAX($P$708*($B719+IF($R$17="Distrato",$I$38-1,0)),IF(AND($L$711=0,$P$708=0),"",$L$711-1),IF($R$17="Distrato",$E719,0))),0,YEARFRAC(MAX($P$708*($B719+IF($R$17="Distrato",$I$38-1,0)),IF(AND($L$711=0,$P$708=0),"",$L$711-1),IF($R$17="Distrato",$E719,0)),MIN(U$38,$D$19),$P$20))-SUM($P719:T719)</f>
        <v>#VALUE!</v>
      </c>
      <c r="V719" s="446" t="e">
        <f>IF(OR($B719="",MIN(V$38,$D$19)&lt;MAX($P$708*($B719+IF($R$17="Distrato",$I$38-1,0)),IF(AND($L$711=0,$P$708=0),"",$L$711-1),IF($R$17="Distrato",$E719,0))),0,YEARFRAC(MAX($P$708*($B719+IF($R$17="Distrato",$I$38-1,0)),IF(AND($L$711=0,$P$708=0),"",$L$711-1),IF($R$17="Distrato",$E719,0)),MIN(V$38,$D$19),$P$20))-SUM($P719:U719)</f>
        <v>#VALUE!</v>
      </c>
      <c r="W719" s="446" t="e">
        <f>IF(OR($B719="",MIN(W$38,$D$19)&lt;MAX($P$708*($B719+IF($R$17="Distrato",$I$38-1,0)),IF(AND($L$711=0,$P$708=0),"",$L$711-1),IF($R$17="Distrato",$E719,0))),0,YEARFRAC(MAX($P$708*($B719+IF($R$17="Distrato",$I$38-1,0)),IF(AND($L$711=0,$P$708=0),"",$L$711-1),IF($R$17="Distrato",$E719,0)),MIN(W$38,$D$19),$P$20))-SUM($P719:V719)</f>
        <v>#VALUE!</v>
      </c>
      <c r="X719" s="446" t="e">
        <f>IF(OR($B719="",MIN(X$38,$D$19)&lt;MAX($P$708*($B719+IF($R$17="Distrato",$I$38-1,0)),IF(AND($L$711=0,$P$708=0),"",$L$711-1),IF($R$17="Distrato",$E719,0))),0,YEARFRAC(MAX($P$708*($B719+IF($R$17="Distrato",$I$38-1,0)),IF(AND($L$711=0,$P$708=0),"",$L$711-1),IF($R$17="Distrato",$E719,0)),MIN(X$38,$D$19),$P$20))-SUM($P719:W719)</f>
        <v>#VALUE!</v>
      </c>
      <c r="Y719" s="446" t="e">
        <f>IF(OR($B719="",MIN(Y$38,$D$19)&lt;MAX($P$708*($B719+IF($R$17="Distrato",$I$38-1,0)),IF(AND($L$711=0,$P$708=0),"",$L$711-1),IF($R$17="Distrato",$E719,0))),0,YEARFRAC(MAX($P$708*($B719+IF($R$17="Distrato",$I$38-1,0)),IF(AND($L$711=0,$P$708=0),"",$L$711-1),IF($R$17="Distrato",$E719,0)),MIN(Y$38,$D$19),$P$20))-SUM($P719:X719)</f>
        <v>#VALUE!</v>
      </c>
      <c r="Z719" s="446" t="e">
        <f>IF(OR($B719="",MIN(Z$38,$D$19)&lt;MAX($P$708*($B719+IF($R$17="Distrato",$I$38-1,0)),IF(AND($L$711=0,$P$708=0),"",$L$711-1),IF($R$17="Distrato",$E719,0))),0,YEARFRAC(MAX($P$708*($B719+IF($R$17="Distrato",$I$38-1,0)),IF(AND($L$711=0,$P$708=0),"",$L$711-1),IF($R$17="Distrato",$E719,0)),MIN(Z$38,$D$19),$P$20))-SUM($P719:Y719)</f>
        <v>#VALUE!</v>
      </c>
      <c r="AA719" s="446" t="e">
        <f>IF(OR($B719="",MIN(AA$38,$D$19)&lt;MAX($P$708*($B719+IF($R$17="Distrato",$I$38-1,0)),IF(AND($L$711=0,$P$708=0),"",$L$711-1),IF($R$17="Distrato",$E719,0))),0,YEARFRAC(MAX($P$708*($B719+IF($R$17="Distrato",$I$38-1,0)),IF(AND($L$711=0,$P$708=0),"",$L$711-1),IF($R$17="Distrato",$E719,0)),MIN(AA$38,$D$19),$P$20))-SUM($P719:Z719)</f>
        <v>#VALUE!</v>
      </c>
      <c r="AB719" s="446" t="e">
        <f>IF(OR($B719="",MIN(AB$38,$D$19)&lt;MAX($P$708*($B719+IF($R$17="Distrato",$I$38-1,0)),IF(AND($L$711=0,$P$708=0),"",$L$711-1),IF($R$17="Distrato",$E719,0))),0,YEARFRAC(MAX($P$708*($B719+IF($R$17="Distrato",$I$38-1,0)),IF(AND($L$711=0,$P$708=0),"",$L$711-1),IF($R$17="Distrato",$E719,0)),MIN(AB$38,$D$19),$P$20))-SUM($P719:AA719)</f>
        <v>#VALUE!</v>
      </c>
      <c r="AC719" s="446" t="e">
        <f>IF(OR($B719="",MIN(AC$38,$D$19)&lt;MAX($P$708*($B719+IF($R$17="Distrato",$I$38-1,0)),IF(AND($L$711=0,$P$708=0),"",$L$711-1),IF($R$17="Distrato",$E719,0))),0,YEARFRAC(MAX($P$708*($B719+IF($R$17="Distrato",$I$38-1,0)),IF(AND($L$711=0,$P$708=0),"",$L$711-1),IF($R$17="Distrato",$E719,0)),MIN(AC$38,$D$19),$P$20))-SUM($P719:AB719)</f>
        <v>#VALUE!</v>
      </c>
      <c r="AD719" s="446" t="e">
        <f>IF(OR($B719="",MIN(AD$38,$D$19)&lt;MAX($P$708*($B719+IF($R$17="Distrato",$I$38-1,0)),IF(AND($L$711=0,$P$708=0),"",$L$711-1),IF($R$17="Distrato",$E719,0))),0,YEARFRAC(MAX($P$708*($B719+IF($R$17="Distrato",$I$38-1,0)),IF(AND($L$711=0,$P$708=0),"",$L$711-1),IF($R$17="Distrato",$E719,0)),MIN(AD$38,$D$19),$P$20))-SUM($P719:AC719)</f>
        <v>#VALUE!</v>
      </c>
      <c r="AE719" s="446" t="e">
        <f>IF(OR($B719="",MIN(AE$38,$D$19)&lt;MAX($P$708*($B719+IF($R$17="Distrato",$I$38-1,0)),IF(AND($L$711=0,$P$708=0),"",$L$711-1),IF($R$17="Distrato",$E719,0))),0,YEARFRAC(MAX($P$708*($B719+IF($R$17="Distrato",$I$38-1,0)),IF(AND($L$711=0,$P$708=0),"",$L$711-1),IF($R$17="Distrato",$E719,0)),MIN(AE$38,$D$19),$P$20))-SUM($P719:AD719)</f>
        <v>#VALUE!</v>
      </c>
      <c r="AF719" s="446" t="e">
        <f>IF(OR($B719="",MIN(AF$38,$D$19)&lt;MAX($P$708*($B719+IF($R$17="Distrato",$I$38-1,0)),IF(AND($L$711=0,$P$708=0),"",$L$711-1),IF($R$17="Distrato",$E719,0))),0,YEARFRAC(MAX($P$708*($B719+IF($R$17="Distrato",$I$38-1,0)),IF(AND($L$711=0,$P$708=0),"",$L$711-1),IF($R$17="Distrato",$E719,0)),MIN(AF$38,$D$19),$P$20))-SUM($P719:AE719)</f>
        <v>#VALUE!</v>
      </c>
      <c r="AG719" s="446" t="e">
        <f>IF(OR($B719="",MIN(AG$38,$D$19)&lt;MAX($P$708*($B719+IF($R$17="Distrato",$I$38-1,0)),IF(AND($L$711=0,$P$708=0),"",$L$711-1),IF($R$17="Distrato",$E719,0))),0,YEARFRAC(MAX($P$708*($B719+IF($R$17="Distrato",$I$38-1,0)),IF(AND($L$711=0,$P$708=0),"",$L$711-1),IF($R$17="Distrato",$E719,0)),MIN(AG$38,$D$19),$P$20))-SUM($P719:AF719)</f>
        <v>#VALUE!</v>
      </c>
      <c r="AH719" s="446" t="e">
        <f>IF(OR($B719="",MIN(AH$38,$D$19)&lt;MAX($P$708*($B719+IF($R$17="Distrato",$I$38-1,0)),IF(AND($L$711=0,$P$708=0),"",$L$711-1),IF($R$17="Distrato",$E719,0))),0,YEARFRAC(MAX($P$708*($B719+IF($R$17="Distrato",$I$38-1,0)),IF(AND($L$711=0,$P$708=0),"",$L$711-1),IF($R$17="Distrato",$E719,0)),MIN(AH$38,$D$19),$P$20))-SUM($P719:AG719)</f>
        <v>#VALUE!</v>
      </c>
      <c r="AI719" s="446" t="e">
        <f>IF(OR($B719="",MIN(AI$38,$D$19)&lt;MAX($P$708*($B719+IF($R$17="Distrato",$I$38-1,0)),IF(AND($L$711=0,$P$708=0),"",$L$711-1),IF($R$17="Distrato",$E719,0))),0,YEARFRAC(MAX($P$708*($B719+IF($R$17="Distrato",$I$38-1,0)),IF(AND($L$711=0,$P$708=0),"",$L$711-1),IF($R$17="Distrato",$E719,0)),MIN(AI$38,$D$19),$P$20))-SUM($P719:AH719)</f>
        <v>#VALUE!</v>
      </c>
      <c r="AJ719" s="446" t="e">
        <f>IF(OR($B719="",MIN(AJ$38,$D$19)&lt;MAX($P$708*($B719+IF($R$17="Distrato",$I$38-1,0)),IF(AND($L$711=0,$P$708=0),"",$L$711-1),IF($R$17="Distrato",$E719,0))),0,YEARFRAC(MAX($P$708*($B719+IF($R$17="Distrato",$I$38-1,0)),IF(AND($L$711=0,$P$708=0),"",$L$711-1),IF($R$17="Distrato",$E719,0)),MIN(AJ$38,$D$19),$P$20))-SUM($P719:AI719)</f>
        <v>#VALUE!</v>
      </c>
      <c r="AK719" s="446" t="e">
        <f>IF(OR($B719="",MIN(AK$38,$D$19)&lt;MAX($P$708*($B719+IF($R$17="Distrato",$I$38-1,0)),IF(AND($L$711=0,$P$708=0),"",$L$711-1),IF($R$17="Distrato",$E719,0))),0,YEARFRAC(MAX($P$708*($B719+IF($R$17="Distrato",$I$38-1,0)),IF(AND($L$711=0,$P$708=0),"",$L$711-1),IF($R$17="Distrato",$E719,0)),MIN(AK$38,$D$19),$P$20))-SUM($P719:AJ719)</f>
        <v>#VALUE!</v>
      </c>
      <c r="AL719" s="446" t="e">
        <f>IF(OR($B719="",MIN(AL$38,$D$19)&lt;MAX($P$708*($B719+IF($R$17="Distrato",$I$38-1,0)),IF(AND($L$711=0,$P$708=0),"",$L$711-1),IF($R$17="Distrato",$E719,0))),0,YEARFRAC(MAX($P$708*($B719+IF($R$17="Distrato",$I$38-1,0)),IF(AND($L$711=0,$P$708=0),"",$L$711-1),IF($R$17="Distrato",$E719,0)),MIN(AL$38,$D$19),$P$20))-SUM($P719:AK719)</f>
        <v>#VALUE!</v>
      </c>
      <c r="AM719" s="446" t="e">
        <f>IF(OR($B719="",MIN(AM$38,$D$19)&lt;MAX($P$708*($B719+IF($R$17="Distrato",$I$38-1,0)),IF(AND($L$711=0,$P$708=0),"",$L$711-1),IF($R$17="Distrato",$E719,0))),0,YEARFRAC(MAX($P$708*($B719+IF($R$17="Distrato",$I$38-1,0)),IF(AND($L$711=0,$P$708=0),"",$L$711-1),IF($R$17="Distrato",$E719,0)),MIN(AM$38,$D$19),$P$20))-SUM($P719:AL719)</f>
        <v>#VALUE!</v>
      </c>
      <c r="AN719" s="446" t="e">
        <f>IF(OR($B719="",MIN(AN$38,$D$19)&lt;MAX($P$708*($B719+IF($R$17="Distrato",$I$38-1,0)),IF(AND($L$711=0,$P$708=0),"",$L$711-1),IF($R$17="Distrato",$E719,0))),0,YEARFRAC(MAX($P$708*($B719+IF($R$17="Distrato",$I$38-1,0)),IF(AND($L$711=0,$P$708=0),"",$L$711-1),IF($R$17="Distrato",$E719,0)),MIN(AN$38,$D$19),$P$20))-SUM($P719:AM719)</f>
        <v>#VALUE!</v>
      </c>
      <c r="AO719" s="446" t="e">
        <f>IF(OR($B719="",MIN(AO$38,$D$19)&lt;MAX($P$708*($B719+IF($R$17="Distrato",$I$38-1,0)),IF(AND($L$711=0,$P$708=0),"",$L$711-1),IF($R$17="Distrato",$E719,0))),0,YEARFRAC(MAX($P$708*($B719+IF($R$17="Distrato",$I$38-1,0)),IF(AND($L$711=0,$P$708=0),"",$L$711-1),IF($R$17="Distrato",$E719,0)),MIN(AO$38,$D$19),$P$20))-SUM($P719:AN719)</f>
        <v>#VALUE!</v>
      </c>
      <c r="AP719" s="446" t="e">
        <f>IF(OR($B719="",MIN(AP$38,$D$19)&lt;MAX($P$708*($B719+IF($R$17="Distrato",$I$38-1,0)),IF(AND($L$711=0,$P$708=0),"",$L$711-1),IF($R$17="Distrato",$E719,0))),0,YEARFRAC(MAX($P$708*($B719+IF($R$17="Distrato",$I$38-1,0)),IF(AND($L$711=0,$P$708=0),"",$L$711-1),IF($R$17="Distrato",$E719,0)),MIN(AP$38,$D$19),$P$20))-SUM($P719:AO719)</f>
        <v>#VALUE!</v>
      </c>
      <c r="AQ719" s="446" t="e">
        <f>IF(OR($B719="",MIN(AQ$38,$D$19)&lt;MAX($P$708*($B719+IF($R$17="Distrato",$I$38-1,0)),IF(AND($L$711=0,$P$708=0),"",$L$711-1),IF($R$17="Distrato",$E719,0))),0,YEARFRAC(MAX($P$708*($B719+IF($R$17="Distrato",$I$38-1,0)),IF(AND($L$711=0,$P$708=0),"",$L$711-1),IF($R$17="Distrato",$E719,0)),MIN(AQ$38,$D$19),$P$20))-SUM($P719:AP719)</f>
        <v>#VALUE!</v>
      </c>
      <c r="AR719" s="446" t="e">
        <f>IF(OR($B719="",MIN(AR$38,$D$19)&lt;MAX($P$708*($B719+IF($R$17="Distrato",$I$38-1,0)),IF(AND($L$711=0,$P$708=0),"",$L$711-1),IF($R$17="Distrato",$E719,0))),0,YEARFRAC(MAX($P$708*($B719+IF($R$17="Distrato",$I$38-1,0)),IF(AND($L$711=0,$P$708=0),"",$L$711-1),IF($R$17="Distrato",$E719,0)),MIN(AR$38,$D$19),$P$20))-SUM($P719:AQ719)</f>
        <v>#VALUE!</v>
      </c>
      <c r="AS719" s="446" t="e">
        <f>IF(OR($B719="",MIN(AS$38,$D$19)&lt;MAX($P$708*($B719+IF($R$17="Distrato",$I$38-1,0)),IF(AND($L$711=0,$P$708=0),"",$L$711-1),IF($R$17="Distrato",$E719,0))),0,YEARFRAC(MAX($P$708*($B719+IF($R$17="Distrato",$I$38-1,0)),IF(AND($L$711=0,$P$708=0),"",$L$711-1),IF($R$17="Distrato",$E719,0)),MIN(AS$38,$D$19),$P$20))-SUM($P719:AR719)</f>
        <v>#VALUE!</v>
      </c>
      <c r="AT719" s="446" t="e">
        <f>IF(OR($B719="",MIN(AT$38,$D$19)&lt;MAX($P$708*($B719+IF($R$17="Distrato",$I$38-1,0)),IF(AND($L$711=0,$P$708=0),"",$L$711-1),IF($R$17="Distrato",$E719,0))),0,YEARFRAC(MAX($P$708*($B719+IF($R$17="Distrato",$I$38-1,0)),IF(AND($L$711=0,$P$708=0),"",$L$711-1),IF($R$17="Distrato",$E719,0)),MIN(AT$38,$D$19),$P$20))-SUM($P719:AS719)</f>
        <v>#VALUE!</v>
      </c>
      <c r="AU719" s="446" t="e">
        <f>IF(OR($B719="",MIN(AU$38,$D$19)&lt;MAX($P$708*($B719+IF($R$17="Distrato",$I$38-1,0)),IF(AND($L$711=0,$P$708=0),"",$L$711-1),IF($R$17="Distrato",$E719,0))),0,YEARFRAC(MAX($P$708*($B719+IF($R$17="Distrato",$I$38-1,0)),IF(AND($L$711=0,$P$708=0),"",$L$711-1),IF($R$17="Distrato",$E719,0)),MIN(AU$38,$D$19),$P$20))-SUM($P719:AT719)</f>
        <v>#VALUE!</v>
      </c>
      <c r="AV719" s="446" t="e">
        <f>IF(OR($B719="",MIN(AV$38,$D$19)&lt;MAX($P$708*($B719+IF($R$17="Distrato",$I$38-1,0)),IF(AND($L$711=0,$P$708=0),"",$L$711-1),IF($R$17="Distrato",$E719,0))),0,YEARFRAC(MAX($P$708*($B719+IF($R$17="Distrato",$I$38-1,0)),IF(AND($L$711=0,$P$708=0),"",$L$711-1),IF($R$17="Distrato",$E719,0)),MIN(AV$38,$D$19),$P$20))-SUM($P719:AU719)</f>
        <v>#VALUE!</v>
      </c>
      <c r="AW719" s="446" t="e">
        <f>IF(OR($B719="",MIN(AW$38,$D$19)&lt;MAX($P$708*($B719+IF($R$17="Distrato",$I$38-1,0)),IF(AND($L$711=0,$P$708=0),"",$L$711-1),IF($R$17="Distrato",$E719,0))),0,YEARFRAC(MAX($P$708*($B719+IF($R$17="Distrato",$I$38-1,0)),IF(AND($L$711=0,$P$708=0),"",$L$711-1),IF($R$17="Distrato",$E719,0)),MIN(AW$38,$D$19),$P$20))-SUM($P719:AV719)</f>
        <v>#VALUE!</v>
      </c>
      <c r="AX719" s="446" t="e">
        <f>IF(OR($B719="",MIN(AX$38,$D$19)&lt;MAX($P$708*($B719+IF($R$17="Distrato",$I$38-1,0)),IF(AND($L$711=0,$P$708=0),"",$L$711-1),IF($R$17="Distrato",$E719,0))),0,YEARFRAC(MAX($P$708*($B719+IF($R$17="Distrato",$I$38-1,0)),IF(AND($L$711=0,$P$708=0),"",$L$711-1),IF($R$17="Distrato",$E719,0)),MIN(AX$38,$D$19),$P$20))-SUM($P719:AW719)</f>
        <v>#VALUE!</v>
      </c>
      <c r="AY719" s="446" t="e">
        <f>IF(OR($B719="",MIN(AY$38,$D$19)&lt;MAX($P$708*($B719+IF($R$17="Distrato",$I$38-1,0)),IF(AND($L$711=0,$P$708=0),"",$L$711-1),IF($R$17="Distrato",$E719,0))),0,YEARFRAC(MAX($P$708*($B719+IF($R$17="Distrato",$I$38-1,0)),IF(AND($L$711=0,$P$708=0),"",$L$711-1),IF($R$17="Distrato",$E719,0)),MIN(AY$38,$D$19),$P$20))-SUM($P719:AX719)</f>
        <v>#VALUE!</v>
      </c>
      <c r="AZ719" s="446" t="e">
        <f>IF(OR($B719="",MIN(AZ$38,$D$19)&lt;MAX($P$708*($B719+IF($R$17="Distrato",$I$38-1,0)),IF(AND($L$711=0,$P$708=0),"",$L$711-1),IF($R$17="Distrato",$E719,0))),0,YEARFRAC(MAX($P$708*($B719+IF($R$17="Distrato",$I$38-1,0)),IF(AND($L$711=0,$P$708=0),"",$L$711-1),IF($R$17="Distrato",$E719,0)),MIN(AZ$38,$D$19),$P$20))-SUM($P719:AY719)</f>
        <v>#VALUE!</v>
      </c>
      <c r="BA719" s="446" t="e">
        <f>IF(OR($B719="",MIN(BA$38,$D$19)&lt;MAX($P$708*($B719+IF($R$17="Distrato",$I$38-1,0)),IF(AND($L$711=0,$P$708=0),"",$L$711-1),IF($R$17="Distrato",$E719,0))),0,YEARFRAC(MAX($P$708*($B719+IF($R$17="Distrato",$I$38-1,0)),IF(AND($L$711=0,$P$708=0),"",$L$711-1),IF($R$17="Distrato",$E719,0)),MIN(BA$38,$D$19),$P$20))-SUM($P719:AZ719)</f>
        <v>#VALUE!</v>
      </c>
      <c r="BB719" s="447"/>
    </row>
    <row r="720" spans="1:54" s="446" customFormat="1" ht="11.25" hidden="1" customHeight="1" x14ac:dyDescent="0.2">
      <c r="A720" s="235"/>
      <c r="B720" s="236"/>
      <c r="C720" s="29" t="str">
        <f>IF(B720="","",IF($L$709=$BL$25,VLOOKUP(DATE(YEAR($D$19),MONTH($D$19)-1,1),ÍNDICES!$A:$DE,HLOOKUP($BL$25,ÍNDICES!$B$3:$T$4,2)+11)-VLOOKUP(B720,ÍNDICES!$A:$DE,HLOOKUP($BL$25,ÍNDICES!$B$3:$T$4,2)+11)+1%,IF(C$712=$W$26,$J$35,IF(ISERROR(IF(B720&gt;$D$19,1,VLOOKUP(DATE(YEAR(B720),MONTH(B720)+IF($C$709=$S$23,1,0),1),ÍNDICES!$A:$DE,$Z$709+1))),"",IF(B720&gt;$D$19,1,VLOOKUP(DATE(YEAR(B720),MONTH(B720)+IF($C$709=$S$23,1,0),1),ÍNDICES!$A:$DE,$Z$709+1))))))</f>
        <v/>
      </c>
      <c r="D720" s="155"/>
      <c r="E720" s="88"/>
      <c r="F720" s="88"/>
      <c r="G720" s="88"/>
      <c r="H720" s="118"/>
      <c r="I720" s="182">
        <f t="shared" si="115"/>
        <v>0</v>
      </c>
      <c r="J720" s="20">
        <f t="shared" ca="1" si="116"/>
        <v>0</v>
      </c>
      <c r="K720" s="5">
        <f t="shared" ca="1" si="117"/>
        <v>0</v>
      </c>
      <c r="L720" s="61">
        <f t="shared" ca="1" si="118"/>
        <v>0</v>
      </c>
      <c r="M720" s="64">
        <f t="shared" si="119"/>
        <v>0</v>
      </c>
      <c r="N720" s="151"/>
      <c r="O720" s="5">
        <f t="shared" ca="1" si="120"/>
        <v>0</v>
      </c>
      <c r="P720" s="446" t="e">
        <f t="shared" si="121"/>
        <v>#VALUE!</v>
      </c>
      <c r="Q720" s="446" t="e">
        <f>IF(OR($B720="",MIN(Q$38,$D$19)&lt;MAX($P$708*($B720+IF($R$17="Distrato",$I$38-1,0)),IF(AND($L$711=0,$P$708=0),"",$L$711-1),IF($R$17="Distrato",$E720,0))),0,YEARFRAC(MAX($P$708*($B720+IF($R$17="Distrato",$I$38-1,0)),IF(AND($L$711=0,$P$708=0),"",$L$711-1),IF($R$17="Distrato",$E720,0)),MIN(Q$38,$D$19),$P$20))-SUM($P720:P720)</f>
        <v>#VALUE!</v>
      </c>
      <c r="R720" s="446" t="e">
        <f>IF(OR($B720="",MIN(R$38,$D$19)&lt;MAX($P$708*($B720+IF($R$17="Distrato",$I$38-1,0)),IF(AND($L$711=0,$P$708=0),"",$L$711-1),IF($R$17="Distrato",$E720,0))),0,YEARFRAC(MAX($P$708*($B720+IF($R$17="Distrato",$I$38-1,0)),IF(AND($L$711=0,$P$708=0),"",$L$711-1),IF($R$17="Distrato",$E720,0)),MIN(R$38,$D$19),$P$20))-SUM($P720:Q720)</f>
        <v>#VALUE!</v>
      </c>
      <c r="S720" s="446" t="e">
        <f>IF(OR($B720="",MIN(S$38,$D$19)&lt;MAX($P$708*($B720+IF($R$17="Distrato",$I$38-1,0)),IF(AND($L$711=0,$P$708=0),"",$L$711-1),IF($R$17="Distrato",$E720,0))),0,YEARFRAC(MAX($P$708*($B720+IF($R$17="Distrato",$I$38-1,0)),IF(AND($L$711=0,$P$708=0),"",$L$711-1),IF($R$17="Distrato",$E720,0)),MIN(S$38,$D$19),$P$20))-SUM($P720:R720)</f>
        <v>#VALUE!</v>
      </c>
      <c r="T720" s="446" t="e">
        <f>IF(OR($B720="",MIN(T$38,$D$19)&lt;MAX($P$708*($B720+IF($R$17="Distrato",$I$38-1,0)),IF(AND($L$711=0,$P$708=0),"",$L$711-1),IF($R$17="Distrato",$E720,0))),0,YEARFRAC(MAX($P$708*($B720+IF($R$17="Distrato",$I$38-1,0)),IF(AND($L$711=0,$P$708=0),"",$L$711-1),IF($R$17="Distrato",$E720,0)),MIN(T$38,$D$19),$P$20))-SUM($P720:S720)</f>
        <v>#VALUE!</v>
      </c>
      <c r="U720" s="446" t="e">
        <f>IF(OR($B720="",MIN(U$38,$D$19)&lt;MAX($P$708*($B720+IF($R$17="Distrato",$I$38-1,0)),IF(AND($L$711=0,$P$708=0),"",$L$711-1),IF($R$17="Distrato",$E720,0))),0,YEARFRAC(MAX($P$708*($B720+IF($R$17="Distrato",$I$38-1,0)),IF(AND($L$711=0,$P$708=0),"",$L$711-1),IF($R$17="Distrato",$E720,0)),MIN(U$38,$D$19),$P$20))-SUM($P720:T720)</f>
        <v>#VALUE!</v>
      </c>
      <c r="V720" s="446" t="e">
        <f>IF(OR($B720="",MIN(V$38,$D$19)&lt;MAX($P$708*($B720+IF($R$17="Distrato",$I$38-1,0)),IF(AND($L$711=0,$P$708=0),"",$L$711-1),IF($R$17="Distrato",$E720,0))),0,YEARFRAC(MAX($P$708*($B720+IF($R$17="Distrato",$I$38-1,0)),IF(AND($L$711=0,$P$708=0),"",$L$711-1),IF($R$17="Distrato",$E720,0)),MIN(V$38,$D$19),$P$20))-SUM($P720:U720)</f>
        <v>#VALUE!</v>
      </c>
      <c r="W720" s="446" t="e">
        <f>IF(OR($B720="",MIN(W$38,$D$19)&lt;MAX($P$708*($B720+IF($R$17="Distrato",$I$38-1,0)),IF(AND($L$711=0,$P$708=0),"",$L$711-1),IF($R$17="Distrato",$E720,0))),0,YEARFRAC(MAX($P$708*($B720+IF($R$17="Distrato",$I$38-1,0)),IF(AND($L$711=0,$P$708=0),"",$L$711-1),IF($R$17="Distrato",$E720,0)),MIN(W$38,$D$19),$P$20))-SUM($P720:V720)</f>
        <v>#VALUE!</v>
      </c>
      <c r="X720" s="446" t="e">
        <f>IF(OR($B720="",MIN(X$38,$D$19)&lt;MAX($P$708*($B720+IF($R$17="Distrato",$I$38-1,0)),IF(AND($L$711=0,$P$708=0),"",$L$711-1),IF($R$17="Distrato",$E720,0))),0,YEARFRAC(MAX($P$708*($B720+IF($R$17="Distrato",$I$38-1,0)),IF(AND($L$711=0,$P$708=0),"",$L$711-1),IF($R$17="Distrato",$E720,0)),MIN(X$38,$D$19),$P$20))-SUM($P720:W720)</f>
        <v>#VALUE!</v>
      </c>
      <c r="Y720" s="446" t="e">
        <f>IF(OR($B720="",MIN(Y$38,$D$19)&lt;MAX($P$708*($B720+IF($R$17="Distrato",$I$38-1,0)),IF(AND($L$711=0,$P$708=0),"",$L$711-1),IF($R$17="Distrato",$E720,0))),0,YEARFRAC(MAX($P$708*($B720+IF($R$17="Distrato",$I$38-1,0)),IF(AND($L$711=0,$P$708=0),"",$L$711-1),IF($R$17="Distrato",$E720,0)),MIN(Y$38,$D$19),$P$20))-SUM($P720:X720)</f>
        <v>#VALUE!</v>
      </c>
      <c r="Z720" s="446" t="e">
        <f>IF(OR($B720="",MIN(Z$38,$D$19)&lt;MAX($P$708*($B720+IF($R$17="Distrato",$I$38-1,0)),IF(AND($L$711=0,$P$708=0),"",$L$711-1),IF($R$17="Distrato",$E720,0))),0,YEARFRAC(MAX($P$708*($B720+IF($R$17="Distrato",$I$38-1,0)),IF(AND($L$711=0,$P$708=0),"",$L$711-1),IF($R$17="Distrato",$E720,0)),MIN(Z$38,$D$19),$P$20))-SUM($P720:Y720)</f>
        <v>#VALUE!</v>
      </c>
      <c r="AA720" s="446" t="e">
        <f>IF(OR($B720="",MIN(AA$38,$D$19)&lt;MAX($P$708*($B720+IF($R$17="Distrato",$I$38-1,0)),IF(AND($L$711=0,$P$708=0),"",$L$711-1),IF($R$17="Distrato",$E720,0))),0,YEARFRAC(MAX($P$708*($B720+IF($R$17="Distrato",$I$38-1,0)),IF(AND($L$711=0,$P$708=0),"",$L$711-1),IF($R$17="Distrato",$E720,0)),MIN(AA$38,$D$19),$P$20))-SUM($P720:Z720)</f>
        <v>#VALUE!</v>
      </c>
      <c r="AB720" s="446" t="e">
        <f>IF(OR($B720="",MIN(AB$38,$D$19)&lt;MAX($P$708*($B720+IF($R$17="Distrato",$I$38-1,0)),IF(AND($L$711=0,$P$708=0),"",$L$711-1),IF($R$17="Distrato",$E720,0))),0,YEARFRAC(MAX($P$708*($B720+IF($R$17="Distrato",$I$38-1,0)),IF(AND($L$711=0,$P$708=0),"",$L$711-1),IF($R$17="Distrato",$E720,0)),MIN(AB$38,$D$19),$P$20))-SUM($P720:AA720)</f>
        <v>#VALUE!</v>
      </c>
      <c r="AC720" s="446" t="e">
        <f>IF(OR($B720="",MIN(AC$38,$D$19)&lt;MAX($P$708*($B720+IF($R$17="Distrato",$I$38-1,0)),IF(AND($L$711=0,$P$708=0),"",$L$711-1),IF($R$17="Distrato",$E720,0))),0,YEARFRAC(MAX($P$708*($B720+IF($R$17="Distrato",$I$38-1,0)),IF(AND($L$711=0,$P$708=0),"",$L$711-1),IF($R$17="Distrato",$E720,0)),MIN(AC$38,$D$19),$P$20))-SUM($P720:AB720)</f>
        <v>#VALUE!</v>
      </c>
      <c r="AD720" s="446" t="e">
        <f>IF(OR($B720="",MIN(AD$38,$D$19)&lt;MAX($P$708*($B720+IF($R$17="Distrato",$I$38-1,0)),IF(AND($L$711=0,$P$708=0),"",$L$711-1),IF($R$17="Distrato",$E720,0))),0,YEARFRAC(MAX($P$708*($B720+IF($R$17="Distrato",$I$38-1,0)),IF(AND($L$711=0,$P$708=0),"",$L$711-1),IF($R$17="Distrato",$E720,0)),MIN(AD$38,$D$19),$P$20))-SUM($P720:AC720)</f>
        <v>#VALUE!</v>
      </c>
      <c r="AE720" s="446" t="e">
        <f>IF(OR($B720="",MIN(AE$38,$D$19)&lt;MAX($P$708*($B720+IF($R$17="Distrato",$I$38-1,0)),IF(AND($L$711=0,$P$708=0),"",$L$711-1),IF($R$17="Distrato",$E720,0))),0,YEARFRAC(MAX($P$708*($B720+IF($R$17="Distrato",$I$38-1,0)),IF(AND($L$711=0,$P$708=0),"",$L$711-1),IF($R$17="Distrato",$E720,0)),MIN(AE$38,$D$19),$P$20))-SUM($P720:AD720)</f>
        <v>#VALUE!</v>
      </c>
      <c r="AF720" s="446" t="e">
        <f>IF(OR($B720="",MIN(AF$38,$D$19)&lt;MAX($P$708*($B720+IF($R$17="Distrato",$I$38-1,0)),IF(AND($L$711=0,$P$708=0),"",$L$711-1),IF($R$17="Distrato",$E720,0))),0,YEARFRAC(MAX($P$708*($B720+IF($R$17="Distrato",$I$38-1,0)),IF(AND($L$711=0,$P$708=0),"",$L$711-1),IF($R$17="Distrato",$E720,0)),MIN(AF$38,$D$19),$P$20))-SUM($P720:AE720)</f>
        <v>#VALUE!</v>
      </c>
      <c r="AG720" s="446" t="e">
        <f>IF(OR($B720="",MIN(AG$38,$D$19)&lt;MAX($P$708*($B720+IF($R$17="Distrato",$I$38-1,0)),IF(AND($L$711=0,$P$708=0),"",$L$711-1),IF($R$17="Distrato",$E720,0))),0,YEARFRAC(MAX($P$708*($B720+IF($R$17="Distrato",$I$38-1,0)),IF(AND($L$711=0,$P$708=0),"",$L$711-1),IF($R$17="Distrato",$E720,0)),MIN(AG$38,$D$19),$P$20))-SUM($P720:AF720)</f>
        <v>#VALUE!</v>
      </c>
      <c r="AH720" s="446" t="e">
        <f>IF(OR($B720="",MIN(AH$38,$D$19)&lt;MAX($P$708*($B720+IF($R$17="Distrato",$I$38-1,0)),IF(AND($L$711=0,$P$708=0),"",$L$711-1),IF($R$17="Distrato",$E720,0))),0,YEARFRAC(MAX($P$708*($B720+IF($R$17="Distrato",$I$38-1,0)),IF(AND($L$711=0,$P$708=0),"",$L$711-1),IF($R$17="Distrato",$E720,0)),MIN(AH$38,$D$19),$P$20))-SUM($P720:AG720)</f>
        <v>#VALUE!</v>
      </c>
      <c r="AI720" s="446" t="e">
        <f>IF(OR($B720="",MIN(AI$38,$D$19)&lt;MAX($P$708*($B720+IF($R$17="Distrato",$I$38-1,0)),IF(AND($L$711=0,$P$708=0),"",$L$711-1),IF($R$17="Distrato",$E720,0))),0,YEARFRAC(MAX($P$708*($B720+IF($R$17="Distrato",$I$38-1,0)),IF(AND($L$711=0,$P$708=0),"",$L$711-1),IF($R$17="Distrato",$E720,0)),MIN(AI$38,$D$19),$P$20))-SUM($P720:AH720)</f>
        <v>#VALUE!</v>
      </c>
      <c r="AJ720" s="446" t="e">
        <f>IF(OR($B720="",MIN(AJ$38,$D$19)&lt;MAX($P$708*($B720+IF($R$17="Distrato",$I$38-1,0)),IF(AND($L$711=0,$P$708=0),"",$L$711-1),IF($R$17="Distrato",$E720,0))),0,YEARFRAC(MAX($P$708*($B720+IF($R$17="Distrato",$I$38-1,0)),IF(AND($L$711=0,$P$708=0),"",$L$711-1),IF($R$17="Distrato",$E720,0)),MIN(AJ$38,$D$19),$P$20))-SUM($P720:AI720)</f>
        <v>#VALUE!</v>
      </c>
      <c r="AK720" s="446" t="e">
        <f>IF(OR($B720="",MIN(AK$38,$D$19)&lt;MAX($P$708*($B720+IF($R$17="Distrato",$I$38-1,0)),IF(AND($L$711=0,$P$708=0),"",$L$711-1),IF($R$17="Distrato",$E720,0))),0,YEARFRAC(MAX($P$708*($B720+IF($R$17="Distrato",$I$38-1,0)),IF(AND($L$711=0,$P$708=0),"",$L$711-1),IF($R$17="Distrato",$E720,0)),MIN(AK$38,$D$19),$P$20))-SUM($P720:AJ720)</f>
        <v>#VALUE!</v>
      </c>
      <c r="AL720" s="446" t="e">
        <f>IF(OR($B720="",MIN(AL$38,$D$19)&lt;MAX($P$708*($B720+IF($R$17="Distrato",$I$38-1,0)),IF(AND($L$711=0,$P$708=0),"",$L$711-1),IF($R$17="Distrato",$E720,0))),0,YEARFRAC(MAX($P$708*($B720+IF($R$17="Distrato",$I$38-1,0)),IF(AND($L$711=0,$P$708=0),"",$L$711-1),IF($R$17="Distrato",$E720,0)),MIN(AL$38,$D$19),$P$20))-SUM($P720:AK720)</f>
        <v>#VALUE!</v>
      </c>
      <c r="AM720" s="446" t="e">
        <f>IF(OR($B720="",MIN(AM$38,$D$19)&lt;MAX($P$708*($B720+IF($R$17="Distrato",$I$38-1,0)),IF(AND($L$711=0,$P$708=0),"",$L$711-1),IF($R$17="Distrato",$E720,0))),0,YEARFRAC(MAX($P$708*($B720+IF($R$17="Distrato",$I$38-1,0)),IF(AND($L$711=0,$P$708=0),"",$L$711-1),IF($R$17="Distrato",$E720,0)),MIN(AM$38,$D$19),$P$20))-SUM($P720:AL720)</f>
        <v>#VALUE!</v>
      </c>
      <c r="AN720" s="446" t="e">
        <f>IF(OR($B720="",MIN(AN$38,$D$19)&lt;MAX($P$708*($B720+IF($R$17="Distrato",$I$38-1,0)),IF(AND($L$711=0,$P$708=0),"",$L$711-1),IF($R$17="Distrato",$E720,0))),0,YEARFRAC(MAX($P$708*($B720+IF($R$17="Distrato",$I$38-1,0)),IF(AND($L$711=0,$P$708=0),"",$L$711-1),IF($R$17="Distrato",$E720,0)),MIN(AN$38,$D$19),$P$20))-SUM($P720:AM720)</f>
        <v>#VALUE!</v>
      </c>
      <c r="AO720" s="446" t="e">
        <f>IF(OR($B720="",MIN(AO$38,$D$19)&lt;MAX($P$708*($B720+IF($R$17="Distrato",$I$38-1,0)),IF(AND($L$711=0,$P$708=0),"",$L$711-1),IF($R$17="Distrato",$E720,0))),0,YEARFRAC(MAX($P$708*($B720+IF($R$17="Distrato",$I$38-1,0)),IF(AND($L$711=0,$P$708=0),"",$L$711-1),IF($R$17="Distrato",$E720,0)),MIN(AO$38,$D$19),$P$20))-SUM($P720:AN720)</f>
        <v>#VALUE!</v>
      </c>
      <c r="AP720" s="446" t="e">
        <f>IF(OR($B720="",MIN(AP$38,$D$19)&lt;MAX($P$708*($B720+IF($R$17="Distrato",$I$38-1,0)),IF(AND($L$711=0,$P$708=0),"",$L$711-1),IF($R$17="Distrato",$E720,0))),0,YEARFRAC(MAX($P$708*($B720+IF($R$17="Distrato",$I$38-1,0)),IF(AND($L$711=0,$P$708=0),"",$L$711-1),IF($R$17="Distrato",$E720,0)),MIN(AP$38,$D$19),$P$20))-SUM($P720:AO720)</f>
        <v>#VALUE!</v>
      </c>
      <c r="AQ720" s="446" t="e">
        <f>IF(OR($B720="",MIN(AQ$38,$D$19)&lt;MAX($P$708*($B720+IF($R$17="Distrato",$I$38-1,0)),IF(AND($L$711=0,$P$708=0),"",$L$711-1),IF($R$17="Distrato",$E720,0))),0,YEARFRAC(MAX($P$708*($B720+IF($R$17="Distrato",$I$38-1,0)),IF(AND($L$711=0,$P$708=0),"",$L$711-1),IF($R$17="Distrato",$E720,0)),MIN(AQ$38,$D$19),$P$20))-SUM($P720:AP720)</f>
        <v>#VALUE!</v>
      </c>
      <c r="AR720" s="446" t="e">
        <f>IF(OR($B720="",MIN(AR$38,$D$19)&lt;MAX($P$708*($B720+IF($R$17="Distrato",$I$38-1,0)),IF(AND($L$711=0,$P$708=0),"",$L$711-1),IF($R$17="Distrato",$E720,0))),0,YEARFRAC(MAX($P$708*($B720+IF($R$17="Distrato",$I$38-1,0)),IF(AND($L$711=0,$P$708=0),"",$L$711-1),IF($R$17="Distrato",$E720,0)),MIN(AR$38,$D$19),$P$20))-SUM($P720:AQ720)</f>
        <v>#VALUE!</v>
      </c>
      <c r="AS720" s="446" t="e">
        <f>IF(OR($B720="",MIN(AS$38,$D$19)&lt;MAX($P$708*($B720+IF($R$17="Distrato",$I$38-1,0)),IF(AND($L$711=0,$P$708=0),"",$L$711-1),IF($R$17="Distrato",$E720,0))),0,YEARFRAC(MAX($P$708*($B720+IF($R$17="Distrato",$I$38-1,0)),IF(AND($L$711=0,$P$708=0),"",$L$711-1),IF($R$17="Distrato",$E720,0)),MIN(AS$38,$D$19),$P$20))-SUM($P720:AR720)</f>
        <v>#VALUE!</v>
      </c>
      <c r="AT720" s="446" t="e">
        <f>IF(OR($B720="",MIN(AT$38,$D$19)&lt;MAX($P$708*($B720+IF($R$17="Distrato",$I$38-1,0)),IF(AND($L$711=0,$P$708=0),"",$L$711-1),IF($R$17="Distrato",$E720,0))),0,YEARFRAC(MAX($P$708*($B720+IF($R$17="Distrato",$I$38-1,0)),IF(AND($L$711=0,$P$708=0),"",$L$711-1),IF($R$17="Distrato",$E720,0)),MIN(AT$38,$D$19),$P$20))-SUM($P720:AS720)</f>
        <v>#VALUE!</v>
      </c>
      <c r="AU720" s="446" t="e">
        <f>IF(OR($B720="",MIN(AU$38,$D$19)&lt;MAX($P$708*($B720+IF($R$17="Distrato",$I$38-1,0)),IF(AND($L$711=0,$P$708=0),"",$L$711-1),IF($R$17="Distrato",$E720,0))),0,YEARFRAC(MAX($P$708*($B720+IF($R$17="Distrato",$I$38-1,0)),IF(AND($L$711=0,$P$708=0),"",$L$711-1),IF($R$17="Distrato",$E720,0)),MIN(AU$38,$D$19),$P$20))-SUM($P720:AT720)</f>
        <v>#VALUE!</v>
      </c>
      <c r="AV720" s="446" t="e">
        <f>IF(OR($B720="",MIN(AV$38,$D$19)&lt;MAX($P$708*($B720+IF($R$17="Distrato",$I$38-1,0)),IF(AND($L$711=0,$P$708=0),"",$L$711-1),IF($R$17="Distrato",$E720,0))),0,YEARFRAC(MAX($P$708*($B720+IF($R$17="Distrato",$I$38-1,0)),IF(AND($L$711=0,$P$708=0),"",$L$711-1),IF($R$17="Distrato",$E720,0)),MIN(AV$38,$D$19),$P$20))-SUM($P720:AU720)</f>
        <v>#VALUE!</v>
      </c>
      <c r="AW720" s="446" t="e">
        <f>IF(OR($B720="",MIN(AW$38,$D$19)&lt;MAX($P$708*($B720+IF($R$17="Distrato",$I$38-1,0)),IF(AND($L$711=0,$P$708=0),"",$L$711-1),IF($R$17="Distrato",$E720,0))),0,YEARFRAC(MAX($P$708*($B720+IF($R$17="Distrato",$I$38-1,0)),IF(AND($L$711=0,$P$708=0),"",$L$711-1),IF($R$17="Distrato",$E720,0)),MIN(AW$38,$D$19),$P$20))-SUM($P720:AV720)</f>
        <v>#VALUE!</v>
      </c>
      <c r="AX720" s="446" t="e">
        <f>IF(OR($B720="",MIN(AX$38,$D$19)&lt;MAX($P$708*($B720+IF($R$17="Distrato",$I$38-1,0)),IF(AND($L$711=0,$P$708=0),"",$L$711-1),IF($R$17="Distrato",$E720,0))),0,YEARFRAC(MAX($P$708*($B720+IF($R$17="Distrato",$I$38-1,0)),IF(AND($L$711=0,$P$708=0),"",$L$711-1),IF($R$17="Distrato",$E720,0)),MIN(AX$38,$D$19),$P$20))-SUM($P720:AW720)</f>
        <v>#VALUE!</v>
      </c>
      <c r="AY720" s="446" t="e">
        <f>IF(OR($B720="",MIN(AY$38,$D$19)&lt;MAX($P$708*($B720+IF($R$17="Distrato",$I$38-1,0)),IF(AND($L$711=0,$P$708=0),"",$L$711-1),IF($R$17="Distrato",$E720,0))),0,YEARFRAC(MAX($P$708*($B720+IF($R$17="Distrato",$I$38-1,0)),IF(AND($L$711=0,$P$708=0),"",$L$711-1),IF($R$17="Distrato",$E720,0)),MIN(AY$38,$D$19),$P$20))-SUM($P720:AX720)</f>
        <v>#VALUE!</v>
      </c>
      <c r="AZ720" s="446" t="e">
        <f>IF(OR($B720="",MIN(AZ$38,$D$19)&lt;MAX($P$708*($B720+IF($R$17="Distrato",$I$38-1,0)),IF(AND($L$711=0,$P$708=0),"",$L$711-1),IF($R$17="Distrato",$E720,0))),0,YEARFRAC(MAX($P$708*($B720+IF($R$17="Distrato",$I$38-1,0)),IF(AND($L$711=0,$P$708=0),"",$L$711-1),IF($R$17="Distrato",$E720,0)),MIN(AZ$38,$D$19),$P$20))-SUM($P720:AY720)</f>
        <v>#VALUE!</v>
      </c>
      <c r="BA720" s="446" t="e">
        <f>IF(OR($B720="",MIN(BA$38,$D$19)&lt;MAX($P$708*($B720+IF($R$17="Distrato",$I$38-1,0)),IF(AND($L$711=0,$P$708=0),"",$L$711-1),IF($R$17="Distrato",$E720,0))),0,YEARFRAC(MAX($P$708*($B720+IF($R$17="Distrato",$I$38-1,0)),IF(AND($L$711=0,$P$708=0),"",$L$711-1),IF($R$17="Distrato",$E720,0)),MIN(BA$38,$D$19),$P$20))-SUM($P720:AZ720)</f>
        <v>#VALUE!</v>
      </c>
      <c r="BB720" s="447"/>
    </row>
    <row r="721" spans="1:54" s="446" customFormat="1" ht="11.25" hidden="1" customHeight="1" x14ac:dyDescent="0.2">
      <c r="A721" s="235"/>
      <c r="B721" s="236"/>
      <c r="C721" s="29" t="str">
        <f>IF(B721="","",IF($L$709=$BL$25,VLOOKUP(DATE(YEAR($D$19),MONTH($D$19)-1,1),ÍNDICES!$A:$DE,HLOOKUP($BL$25,ÍNDICES!$B$3:$T$4,2)+11)-VLOOKUP(B721,ÍNDICES!$A:$DE,HLOOKUP($BL$25,ÍNDICES!$B$3:$T$4,2)+11)+1%,IF(C$712=$W$26,$J$35,IF(ISERROR(IF(B721&gt;$D$19,1,VLOOKUP(DATE(YEAR(B721),MONTH(B721)+IF($C$709=$S$23,1,0),1),ÍNDICES!$A:$DE,$Z$709+1))),"",IF(B721&gt;$D$19,1,VLOOKUP(DATE(YEAR(B721),MONTH(B721)+IF($C$709=$S$23,1,0),1),ÍNDICES!$A:$DE,$Z$709+1))))))</f>
        <v/>
      </c>
      <c r="D721" s="155"/>
      <c r="E721" s="88"/>
      <c r="F721" s="88"/>
      <c r="G721" s="88"/>
      <c r="H721" s="118"/>
      <c r="I721" s="182">
        <f t="shared" si="115"/>
        <v>0</v>
      </c>
      <c r="J721" s="20">
        <f t="shared" ca="1" si="116"/>
        <v>0</v>
      </c>
      <c r="K721" s="5">
        <f t="shared" ca="1" si="117"/>
        <v>0</v>
      </c>
      <c r="L721" s="61">
        <f t="shared" ca="1" si="118"/>
        <v>0</v>
      </c>
      <c r="M721" s="64">
        <f t="shared" si="119"/>
        <v>0</v>
      </c>
      <c r="N721" s="151"/>
      <c r="O721" s="5">
        <f t="shared" ca="1" si="120"/>
        <v>0</v>
      </c>
      <c r="P721" s="446" t="e">
        <f t="shared" si="121"/>
        <v>#VALUE!</v>
      </c>
      <c r="Q721" s="446" t="e">
        <f>IF(OR($B721="",MIN(Q$38,$D$19)&lt;MAX($P$708*($B721+IF($R$17="Distrato",$I$38-1,0)),IF(AND($L$711=0,$P$708=0),"",$L$711-1),IF($R$17="Distrato",$E721,0))),0,YEARFRAC(MAX($P$708*($B721+IF($R$17="Distrato",$I$38-1,0)),IF(AND($L$711=0,$P$708=0),"",$L$711-1),IF($R$17="Distrato",$E721,0)),MIN(Q$38,$D$19),$P$20))-SUM($P721:P721)</f>
        <v>#VALUE!</v>
      </c>
      <c r="R721" s="446" t="e">
        <f>IF(OR($B721="",MIN(R$38,$D$19)&lt;MAX($P$708*($B721+IF($R$17="Distrato",$I$38-1,0)),IF(AND($L$711=0,$P$708=0),"",$L$711-1),IF($R$17="Distrato",$E721,0))),0,YEARFRAC(MAX($P$708*($B721+IF($R$17="Distrato",$I$38-1,0)),IF(AND($L$711=0,$P$708=0),"",$L$711-1),IF($R$17="Distrato",$E721,0)),MIN(R$38,$D$19),$P$20))-SUM($P721:Q721)</f>
        <v>#VALUE!</v>
      </c>
      <c r="S721" s="446" t="e">
        <f>IF(OR($B721="",MIN(S$38,$D$19)&lt;MAX($P$708*($B721+IF($R$17="Distrato",$I$38-1,0)),IF(AND($L$711=0,$P$708=0),"",$L$711-1),IF($R$17="Distrato",$E721,0))),0,YEARFRAC(MAX($P$708*($B721+IF($R$17="Distrato",$I$38-1,0)),IF(AND($L$711=0,$P$708=0),"",$L$711-1),IF($R$17="Distrato",$E721,0)),MIN(S$38,$D$19),$P$20))-SUM($P721:R721)</f>
        <v>#VALUE!</v>
      </c>
      <c r="T721" s="446" t="e">
        <f>IF(OR($B721="",MIN(T$38,$D$19)&lt;MAX($P$708*($B721+IF($R$17="Distrato",$I$38-1,0)),IF(AND($L$711=0,$P$708=0),"",$L$711-1),IF($R$17="Distrato",$E721,0))),0,YEARFRAC(MAX($P$708*($B721+IF($R$17="Distrato",$I$38-1,0)),IF(AND($L$711=0,$P$708=0),"",$L$711-1),IF($R$17="Distrato",$E721,0)),MIN(T$38,$D$19),$P$20))-SUM($P721:S721)</f>
        <v>#VALUE!</v>
      </c>
      <c r="U721" s="446" t="e">
        <f>IF(OR($B721="",MIN(U$38,$D$19)&lt;MAX($P$708*($B721+IF($R$17="Distrato",$I$38-1,0)),IF(AND($L$711=0,$P$708=0),"",$L$711-1),IF($R$17="Distrato",$E721,0))),0,YEARFRAC(MAX($P$708*($B721+IF($R$17="Distrato",$I$38-1,0)),IF(AND($L$711=0,$P$708=0),"",$L$711-1),IF($R$17="Distrato",$E721,0)),MIN(U$38,$D$19),$P$20))-SUM($P721:T721)</f>
        <v>#VALUE!</v>
      </c>
      <c r="V721" s="446" t="e">
        <f>IF(OR($B721="",MIN(V$38,$D$19)&lt;MAX($P$708*($B721+IF($R$17="Distrato",$I$38-1,0)),IF(AND($L$711=0,$P$708=0),"",$L$711-1),IF($R$17="Distrato",$E721,0))),0,YEARFRAC(MAX($P$708*($B721+IF($R$17="Distrato",$I$38-1,0)),IF(AND($L$711=0,$P$708=0),"",$L$711-1),IF($R$17="Distrato",$E721,0)),MIN(V$38,$D$19),$P$20))-SUM($P721:U721)</f>
        <v>#VALUE!</v>
      </c>
      <c r="W721" s="446" t="e">
        <f>IF(OR($B721="",MIN(W$38,$D$19)&lt;MAX($P$708*($B721+IF($R$17="Distrato",$I$38-1,0)),IF(AND($L$711=0,$P$708=0),"",$L$711-1),IF($R$17="Distrato",$E721,0))),0,YEARFRAC(MAX($P$708*($B721+IF($R$17="Distrato",$I$38-1,0)),IF(AND($L$711=0,$P$708=0),"",$L$711-1),IF($R$17="Distrato",$E721,0)),MIN(W$38,$D$19),$P$20))-SUM($P721:V721)</f>
        <v>#VALUE!</v>
      </c>
      <c r="X721" s="446" t="e">
        <f>IF(OR($B721="",MIN(X$38,$D$19)&lt;MAX($P$708*($B721+IF($R$17="Distrato",$I$38-1,0)),IF(AND($L$711=0,$P$708=0),"",$L$711-1),IF($R$17="Distrato",$E721,0))),0,YEARFRAC(MAX($P$708*($B721+IF($R$17="Distrato",$I$38-1,0)),IF(AND($L$711=0,$P$708=0),"",$L$711-1),IF($R$17="Distrato",$E721,0)),MIN(X$38,$D$19),$P$20))-SUM($P721:W721)</f>
        <v>#VALUE!</v>
      </c>
      <c r="Y721" s="446" t="e">
        <f>IF(OR($B721="",MIN(Y$38,$D$19)&lt;MAX($P$708*($B721+IF($R$17="Distrato",$I$38-1,0)),IF(AND($L$711=0,$P$708=0),"",$L$711-1),IF($R$17="Distrato",$E721,0))),0,YEARFRAC(MAX($P$708*($B721+IF($R$17="Distrato",$I$38-1,0)),IF(AND($L$711=0,$P$708=0),"",$L$711-1),IF($R$17="Distrato",$E721,0)),MIN(Y$38,$D$19),$P$20))-SUM($P721:X721)</f>
        <v>#VALUE!</v>
      </c>
      <c r="Z721" s="446" t="e">
        <f>IF(OR($B721="",MIN(Z$38,$D$19)&lt;MAX($P$708*($B721+IF($R$17="Distrato",$I$38-1,0)),IF(AND($L$711=0,$P$708=0),"",$L$711-1),IF($R$17="Distrato",$E721,0))),0,YEARFRAC(MAX($P$708*($B721+IF($R$17="Distrato",$I$38-1,0)),IF(AND($L$711=0,$P$708=0),"",$L$711-1),IF($R$17="Distrato",$E721,0)),MIN(Z$38,$D$19),$P$20))-SUM($P721:Y721)</f>
        <v>#VALUE!</v>
      </c>
      <c r="AA721" s="446" t="e">
        <f>IF(OR($B721="",MIN(AA$38,$D$19)&lt;MAX($P$708*($B721+IF($R$17="Distrato",$I$38-1,0)),IF(AND($L$711=0,$P$708=0),"",$L$711-1),IF($R$17="Distrato",$E721,0))),0,YEARFRAC(MAX($P$708*($B721+IF($R$17="Distrato",$I$38-1,0)),IF(AND($L$711=0,$P$708=0),"",$L$711-1),IF($R$17="Distrato",$E721,0)),MIN(AA$38,$D$19),$P$20))-SUM($P721:Z721)</f>
        <v>#VALUE!</v>
      </c>
      <c r="AB721" s="446" t="e">
        <f>IF(OR($B721="",MIN(AB$38,$D$19)&lt;MAX($P$708*($B721+IF($R$17="Distrato",$I$38-1,0)),IF(AND($L$711=0,$P$708=0),"",$L$711-1),IF($R$17="Distrato",$E721,0))),0,YEARFRAC(MAX($P$708*($B721+IF($R$17="Distrato",$I$38-1,0)),IF(AND($L$711=0,$P$708=0),"",$L$711-1),IF($R$17="Distrato",$E721,0)),MIN(AB$38,$D$19),$P$20))-SUM($P721:AA721)</f>
        <v>#VALUE!</v>
      </c>
      <c r="AC721" s="446" t="e">
        <f>IF(OR($B721="",MIN(AC$38,$D$19)&lt;MAX($P$708*($B721+IF($R$17="Distrato",$I$38-1,0)),IF(AND($L$711=0,$P$708=0),"",$L$711-1),IF($R$17="Distrato",$E721,0))),0,YEARFRAC(MAX($P$708*($B721+IF($R$17="Distrato",$I$38-1,0)),IF(AND($L$711=0,$P$708=0),"",$L$711-1),IF($R$17="Distrato",$E721,0)),MIN(AC$38,$D$19),$P$20))-SUM($P721:AB721)</f>
        <v>#VALUE!</v>
      </c>
      <c r="AD721" s="446" t="e">
        <f>IF(OR($B721="",MIN(AD$38,$D$19)&lt;MAX($P$708*($B721+IF($R$17="Distrato",$I$38-1,0)),IF(AND($L$711=0,$P$708=0),"",$L$711-1),IF($R$17="Distrato",$E721,0))),0,YEARFRAC(MAX($P$708*($B721+IF($R$17="Distrato",$I$38-1,0)),IF(AND($L$711=0,$P$708=0),"",$L$711-1),IF($R$17="Distrato",$E721,0)),MIN(AD$38,$D$19),$P$20))-SUM($P721:AC721)</f>
        <v>#VALUE!</v>
      </c>
      <c r="AE721" s="446" t="e">
        <f>IF(OR($B721="",MIN(AE$38,$D$19)&lt;MAX($P$708*($B721+IF($R$17="Distrato",$I$38-1,0)),IF(AND($L$711=0,$P$708=0),"",$L$711-1),IF($R$17="Distrato",$E721,0))),0,YEARFRAC(MAX($P$708*($B721+IF($R$17="Distrato",$I$38-1,0)),IF(AND($L$711=0,$P$708=0),"",$L$711-1),IF($R$17="Distrato",$E721,0)),MIN(AE$38,$D$19),$P$20))-SUM($P721:AD721)</f>
        <v>#VALUE!</v>
      </c>
      <c r="AF721" s="446" t="e">
        <f>IF(OR($B721="",MIN(AF$38,$D$19)&lt;MAX($P$708*($B721+IF($R$17="Distrato",$I$38-1,0)),IF(AND($L$711=0,$P$708=0),"",$L$711-1),IF($R$17="Distrato",$E721,0))),0,YEARFRAC(MAX($P$708*($B721+IF($R$17="Distrato",$I$38-1,0)),IF(AND($L$711=0,$P$708=0),"",$L$711-1),IF($R$17="Distrato",$E721,0)),MIN(AF$38,$D$19),$P$20))-SUM($P721:AE721)</f>
        <v>#VALUE!</v>
      </c>
      <c r="AG721" s="446" t="e">
        <f>IF(OR($B721="",MIN(AG$38,$D$19)&lt;MAX($P$708*($B721+IF($R$17="Distrato",$I$38-1,0)),IF(AND($L$711=0,$P$708=0),"",$L$711-1),IF($R$17="Distrato",$E721,0))),0,YEARFRAC(MAX($P$708*($B721+IF($R$17="Distrato",$I$38-1,0)),IF(AND($L$711=0,$P$708=0),"",$L$711-1),IF($R$17="Distrato",$E721,0)),MIN(AG$38,$D$19),$P$20))-SUM($P721:AF721)</f>
        <v>#VALUE!</v>
      </c>
      <c r="AH721" s="446" t="e">
        <f>IF(OR($B721="",MIN(AH$38,$D$19)&lt;MAX($P$708*($B721+IF($R$17="Distrato",$I$38-1,0)),IF(AND($L$711=0,$P$708=0),"",$L$711-1),IF($R$17="Distrato",$E721,0))),0,YEARFRAC(MAX($P$708*($B721+IF($R$17="Distrato",$I$38-1,0)),IF(AND($L$711=0,$P$708=0),"",$L$711-1),IF($R$17="Distrato",$E721,0)),MIN(AH$38,$D$19),$P$20))-SUM($P721:AG721)</f>
        <v>#VALUE!</v>
      </c>
      <c r="AI721" s="446" t="e">
        <f>IF(OR($B721="",MIN(AI$38,$D$19)&lt;MAX($P$708*($B721+IF($R$17="Distrato",$I$38-1,0)),IF(AND($L$711=0,$P$708=0),"",$L$711-1),IF($R$17="Distrato",$E721,0))),0,YEARFRAC(MAX($P$708*($B721+IF($R$17="Distrato",$I$38-1,0)),IF(AND($L$711=0,$P$708=0),"",$L$711-1),IF($R$17="Distrato",$E721,0)),MIN(AI$38,$D$19),$P$20))-SUM($P721:AH721)</f>
        <v>#VALUE!</v>
      </c>
      <c r="AJ721" s="446" t="e">
        <f>IF(OR($B721="",MIN(AJ$38,$D$19)&lt;MAX($P$708*($B721+IF($R$17="Distrato",$I$38-1,0)),IF(AND($L$711=0,$P$708=0),"",$L$711-1),IF($R$17="Distrato",$E721,0))),0,YEARFRAC(MAX($P$708*($B721+IF($R$17="Distrato",$I$38-1,0)),IF(AND($L$711=0,$P$708=0),"",$L$711-1),IF($R$17="Distrato",$E721,0)),MIN(AJ$38,$D$19),$P$20))-SUM($P721:AI721)</f>
        <v>#VALUE!</v>
      </c>
      <c r="AK721" s="446" t="e">
        <f>IF(OR($B721="",MIN(AK$38,$D$19)&lt;MAX($P$708*($B721+IF($R$17="Distrato",$I$38-1,0)),IF(AND($L$711=0,$P$708=0),"",$L$711-1),IF($R$17="Distrato",$E721,0))),0,YEARFRAC(MAX($P$708*($B721+IF($R$17="Distrato",$I$38-1,0)),IF(AND($L$711=0,$P$708=0),"",$L$711-1),IF($R$17="Distrato",$E721,0)),MIN(AK$38,$D$19),$P$20))-SUM($P721:AJ721)</f>
        <v>#VALUE!</v>
      </c>
      <c r="AL721" s="446" t="e">
        <f>IF(OR($B721="",MIN(AL$38,$D$19)&lt;MAX($P$708*($B721+IF($R$17="Distrato",$I$38-1,0)),IF(AND($L$711=0,$P$708=0),"",$L$711-1),IF($R$17="Distrato",$E721,0))),0,YEARFRAC(MAX($P$708*($B721+IF($R$17="Distrato",$I$38-1,0)),IF(AND($L$711=0,$P$708=0),"",$L$711-1),IF($R$17="Distrato",$E721,0)),MIN(AL$38,$D$19),$P$20))-SUM($P721:AK721)</f>
        <v>#VALUE!</v>
      </c>
      <c r="AM721" s="446" t="e">
        <f>IF(OR($B721="",MIN(AM$38,$D$19)&lt;MAX($P$708*($B721+IF($R$17="Distrato",$I$38-1,0)),IF(AND($L$711=0,$P$708=0),"",$L$711-1),IF($R$17="Distrato",$E721,0))),0,YEARFRAC(MAX($P$708*($B721+IF($R$17="Distrato",$I$38-1,0)),IF(AND($L$711=0,$P$708=0),"",$L$711-1),IF($R$17="Distrato",$E721,0)),MIN(AM$38,$D$19),$P$20))-SUM($P721:AL721)</f>
        <v>#VALUE!</v>
      </c>
      <c r="AN721" s="446" t="e">
        <f>IF(OR($B721="",MIN(AN$38,$D$19)&lt;MAX($P$708*($B721+IF($R$17="Distrato",$I$38-1,0)),IF(AND($L$711=0,$P$708=0),"",$L$711-1),IF($R$17="Distrato",$E721,0))),0,YEARFRAC(MAX($P$708*($B721+IF($R$17="Distrato",$I$38-1,0)),IF(AND($L$711=0,$P$708=0),"",$L$711-1),IF($R$17="Distrato",$E721,0)),MIN(AN$38,$D$19),$P$20))-SUM($P721:AM721)</f>
        <v>#VALUE!</v>
      </c>
      <c r="AO721" s="446" t="e">
        <f>IF(OR($B721="",MIN(AO$38,$D$19)&lt;MAX($P$708*($B721+IF($R$17="Distrato",$I$38-1,0)),IF(AND($L$711=0,$P$708=0),"",$L$711-1),IF($R$17="Distrato",$E721,0))),0,YEARFRAC(MAX($P$708*($B721+IF($R$17="Distrato",$I$38-1,0)),IF(AND($L$711=0,$P$708=0),"",$L$711-1),IF($R$17="Distrato",$E721,0)),MIN(AO$38,$D$19),$P$20))-SUM($P721:AN721)</f>
        <v>#VALUE!</v>
      </c>
      <c r="AP721" s="446" t="e">
        <f>IF(OR($B721="",MIN(AP$38,$D$19)&lt;MAX($P$708*($B721+IF($R$17="Distrato",$I$38-1,0)),IF(AND($L$711=0,$P$708=0),"",$L$711-1),IF($R$17="Distrato",$E721,0))),0,YEARFRAC(MAX($P$708*($B721+IF($R$17="Distrato",$I$38-1,0)),IF(AND($L$711=0,$P$708=0),"",$L$711-1),IF($R$17="Distrato",$E721,0)),MIN(AP$38,$D$19),$P$20))-SUM($P721:AO721)</f>
        <v>#VALUE!</v>
      </c>
      <c r="AQ721" s="446" t="e">
        <f>IF(OR($B721="",MIN(AQ$38,$D$19)&lt;MAX($P$708*($B721+IF($R$17="Distrato",$I$38-1,0)),IF(AND($L$711=0,$P$708=0),"",$L$711-1),IF($R$17="Distrato",$E721,0))),0,YEARFRAC(MAX($P$708*($B721+IF($R$17="Distrato",$I$38-1,0)),IF(AND($L$711=0,$P$708=0),"",$L$711-1),IF($R$17="Distrato",$E721,0)),MIN(AQ$38,$D$19),$P$20))-SUM($P721:AP721)</f>
        <v>#VALUE!</v>
      </c>
      <c r="AR721" s="446" t="e">
        <f>IF(OR($B721="",MIN(AR$38,$D$19)&lt;MAX($P$708*($B721+IF($R$17="Distrato",$I$38-1,0)),IF(AND($L$711=0,$P$708=0),"",$L$711-1),IF($R$17="Distrato",$E721,0))),0,YEARFRAC(MAX($P$708*($B721+IF($R$17="Distrato",$I$38-1,0)),IF(AND($L$711=0,$P$708=0),"",$L$711-1),IF($R$17="Distrato",$E721,0)),MIN(AR$38,$D$19),$P$20))-SUM($P721:AQ721)</f>
        <v>#VALUE!</v>
      </c>
      <c r="AS721" s="446" t="e">
        <f>IF(OR($B721="",MIN(AS$38,$D$19)&lt;MAX($P$708*($B721+IF($R$17="Distrato",$I$38-1,0)),IF(AND($L$711=0,$P$708=0),"",$L$711-1),IF($R$17="Distrato",$E721,0))),0,YEARFRAC(MAX($P$708*($B721+IF($R$17="Distrato",$I$38-1,0)),IF(AND($L$711=0,$P$708=0),"",$L$711-1),IF($R$17="Distrato",$E721,0)),MIN(AS$38,$D$19),$P$20))-SUM($P721:AR721)</f>
        <v>#VALUE!</v>
      </c>
      <c r="AT721" s="446" t="e">
        <f>IF(OR($B721="",MIN(AT$38,$D$19)&lt;MAX($P$708*($B721+IF($R$17="Distrato",$I$38-1,0)),IF(AND($L$711=0,$P$708=0),"",$L$711-1),IF($R$17="Distrato",$E721,0))),0,YEARFRAC(MAX($P$708*($B721+IF($R$17="Distrato",$I$38-1,0)),IF(AND($L$711=0,$P$708=0),"",$L$711-1),IF($R$17="Distrato",$E721,0)),MIN(AT$38,$D$19),$P$20))-SUM($P721:AS721)</f>
        <v>#VALUE!</v>
      </c>
      <c r="AU721" s="446" t="e">
        <f>IF(OR($B721="",MIN(AU$38,$D$19)&lt;MAX($P$708*($B721+IF($R$17="Distrato",$I$38-1,0)),IF(AND($L$711=0,$P$708=0),"",$L$711-1),IF($R$17="Distrato",$E721,0))),0,YEARFRAC(MAX($P$708*($B721+IF($R$17="Distrato",$I$38-1,0)),IF(AND($L$711=0,$P$708=0),"",$L$711-1),IF($R$17="Distrato",$E721,0)),MIN(AU$38,$D$19),$P$20))-SUM($P721:AT721)</f>
        <v>#VALUE!</v>
      </c>
      <c r="AV721" s="446" t="e">
        <f>IF(OR($B721="",MIN(AV$38,$D$19)&lt;MAX($P$708*($B721+IF($R$17="Distrato",$I$38-1,0)),IF(AND($L$711=0,$P$708=0),"",$L$711-1),IF($R$17="Distrato",$E721,0))),0,YEARFRAC(MAX($P$708*($B721+IF($R$17="Distrato",$I$38-1,0)),IF(AND($L$711=0,$P$708=0),"",$L$711-1),IF($R$17="Distrato",$E721,0)),MIN(AV$38,$D$19),$P$20))-SUM($P721:AU721)</f>
        <v>#VALUE!</v>
      </c>
      <c r="AW721" s="446" t="e">
        <f>IF(OR($B721="",MIN(AW$38,$D$19)&lt;MAX($P$708*($B721+IF($R$17="Distrato",$I$38-1,0)),IF(AND($L$711=0,$P$708=0),"",$L$711-1),IF($R$17="Distrato",$E721,0))),0,YEARFRAC(MAX($P$708*($B721+IF($R$17="Distrato",$I$38-1,0)),IF(AND($L$711=0,$P$708=0),"",$L$711-1),IF($R$17="Distrato",$E721,0)),MIN(AW$38,$D$19),$P$20))-SUM($P721:AV721)</f>
        <v>#VALUE!</v>
      </c>
      <c r="AX721" s="446" t="e">
        <f>IF(OR($B721="",MIN(AX$38,$D$19)&lt;MAX($P$708*($B721+IF($R$17="Distrato",$I$38-1,0)),IF(AND($L$711=0,$P$708=0),"",$L$711-1),IF($R$17="Distrato",$E721,0))),0,YEARFRAC(MAX($P$708*($B721+IF($R$17="Distrato",$I$38-1,0)),IF(AND($L$711=0,$P$708=0),"",$L$711-1),IF($R$17="Distrato",$E721,0)),MIN(AX$38,$D$19),$P$20))-SUM($P721:AW721)</f>
        <v>#VALUE!</v>
      </c>
      <c r="AY721" s="446" t="e">
        <f>IF(OR($B721="",MIN(AY$38,$D$19)&lt;MAX($P$708*($B721+IF($R$17="Distrato",$I$38-1,0)),IF(AND($L$711=0,$P$708=0),"",$L$711-1),IF($R$17="Distrato",$E721,0))),0,YEARFRAC(MAX($P$708*($B721+IF($R$17="Distrato",$I$38-1,0)),IF(AND($L$711=0,$P$708=0),"",$L$711-1),IF($R$17="Distrato",$E721,0)),MIN(AY$38,$D$19),$P$20))-SUM($P721:AX721)</f>
        <v>#VALUE!</v>
      </c>
      <c r="AZ721" s="446" t="e">
        <f>IF(OR($B721="",MIN(AZ$38,$D$19)&lt;MAX($P$708*($B721+IF($R$17="Distrato",$I$38-1,0)),IF(AND($L$711=0,$P$708=0),"",$L$711-1),IF($R$17="Distrato",$E721,0))),0,YEARFRAC(MAX($P$708*($B721+IF($R$17="Distrato",$I$38-1,0)),IF(AND($L$711=0,$P$708=0),"",$L$711-1),IF($R$17="Distrato",$E721,0)),MIN(AZ$38,$D$19),$P$20))-SUM($P721:AY721)</f>
        <v>#VALUE!</v>
      </c>
      <c r="BA721" s="446" t="e">
        <f>IF(OR($B721="",MIN(BA$38,$D$19)&lt;MAX($P$708*($B721+IF($R$17="Distrato",$I$38-1,0)),IF(AND($L$711=0,$P$708=0),"",$L$711-1),IF($R$17="Distrato",$E721,0))),0,YEARFRAC(MAX($P$708*($B721+IF($R$17="Distrato",$I$38-1,0)),IF(AND($L$711=0,$P$708=0),"",$L$711-1),IF($R$17="Distrato",$E721,0)),MIN(BA$38,$D$19),$P$20))-SUM($P721:AZ721)</f>
        <v>#VALUE!</v>
      </c>
      <c r="BB721" s="447"/>
    </row>
    <row r="722" spans="1:54" s="446" customFormat="1" ht="11.25" hidden="1" customHeight="1" x14ac:dyDescent="0.2">
      <c r="A722" s="235"/>
      <c r="B722" s="236"/>
      <c r="C722" s="29" t="str">
        <f>IF(B722="","",IF($L$709=$BL$25,VLOOKUP(DATE(YEAR($D$19),MONTH($D$19)-1,1),ÍNDICES!$A:$DE,HLOOKUP($BL$25,ÍNDICES!$B$3:$T$4,2)+11)-VLOOKUP(B722,ÍNDICES!$A:$DE,HLOOKUP($BL$25,ÍNDICES!$B$3:$T$4,2)+11)+1%,IF(C$712=$W$26,$J$35,IF(ISERROR(IF(B722&gt;$D$19,1,VLOOKUP(DATE(YEAR(B722),MONTH(B722)+IF($C$709=$S$23,1,0),1),ÍNDICES!$A:$DE,$Z$709+1))),"",IF(B722&gt;$D$19,1,VLOOKUP(DATE(YEAR(B722),MONTH(B722)+IF($C$709=$S$23,1,0),1),ÍNDICES!$A:$DE,$Z$709+1))))))</f>
        <v/>
      </c>
      <c r="D722" s="155"/>
      <c r="E722" s="88"/>
      <c r="F722" s="88"/>
      <c r="G722" s="88"/>
      <c r="H722" s="118"/>
      <c r="I722" s="182">
        <f t="shared" si="115"/>
        <v>0</v>
      </c>
      <c r="J722" s="20">
        <f t="shared" ca="1" si="116"/>
        <v>0</v>
      </c>
      <c r="K722" s="5">
        <f t="shared" ca="1" si="117"/>
        <v>0</v>
      </c>
      <c r="L722" s="61">
        <f t="shared" ca="1" si="118"/>
        <v>0</v>
      </c>
      <c r="M722" s="64">
        <f t="shared" si="119"/>
        <v>0</v>
      </c>
      <c r="N722" s="151"/>
      <c r="O722" s="5">
        <f t="shared" ca="1" si="120"/>
        <v>0</v>
      </c>
      <c r="P722" s="446" t="e">
        <f t="shared" si="121"/>
        <v>#VALUE!</v>
      </c>
      <c r="Q722" s="446" t="e">
        <f>IF(OR($B722="",MIN(Q$38,$D$19)&lt;MAX($P$708*($B722+IF($R$17="Distrato",$I$38-1,0)),IF(AND($L$711=0,$P$708=0),"",$L$711-1),IF($R$17="Distrato",$E722,0))),0,YEARFRAC(MAX($P$708*($B722+IF($R$17="Distrato",$I$38-1,0)),IF(AND($L$711=0,$P$708=0),"",$L$711-1),IF($R$17="Distrato",$E722,0)),MIN(Q$38,$D$19),$P$20))-SUM($P722:P722)</f>
        <v>#VALUE!</v>
      </c>
      <c r="R722" s="446" t="e">
        <f>IF(OR($B722="",MIN(R$38,$D$19)&lt;MAX($P$708*($B722+IF($R$17="Distrato",$I$38-1,0)),IF(AND($L$711=0,$P$708=0),"",$L$711-1),IF($R$17="Distrato",$E722,0))),0,YEARFRAC(MAX($P$708*($B722+IF($R$17="Distrato",$I$38-1,0)),IF(AND($L$711=0,$P$708=0),"",$L$711-1),IF($R$17="Distrato",$E722,0)),MIN(R$38,$D$19),$P$20))-SUM($P722:Q722)</f>
        <v>#VALUE!</v>
      </c>
      <c r="S722" s="446" t="e">
        <f>IF(OR($B722="",MIN(S$38,$D$19)&lt;MAX($P$708*($B722+IF($R$17="Distrato",$I$38-1,0)),IF(AND($L$711=0,$P$708=0),"",$L$711-1),IF($R$17="Distrato",$E722,0))),0,YEARFRAC(MAX($P$708*($B722+IF($R$17="Distrato",$I$38-1,0)),IF(AND($L$711=0,$P$708=0),"",$L$711-1),IF($R$17="Distrato",$E722,0)),MIN(S$38,$D$19),$P$20))-SUM($P722:R722)</f>
        <v>#VALUE!</v>
      </c>
      <c r="T722" s="446" t="e">
        <f>IF(OR($B722="",MIN(T$38,$D$19)&lt;MAX($P$708*($B722+IF($R$17="Distrato",$I$38-1,0)),IF(AND($L$711=0,$P$708=0),"",$L$711-1),IF($R$17="Distrato",$E722,0))),0,YEARFRAC(MAX($P$708*($B722+IF($R$17="Distrato",$I$38-1,0)),IF(AND($L$711=0,$P$708=0),"",$L$711-1),IF($R$17="Distrato",$E722,0)),MIN(T$38,$D$19),$P$20))-SUM($P722:S722)</f>
        <v>#VALUE!</v>
      </c>
      <c r="U722" s="446" t="e">
        <f>IF(OR($B722="",MIN(U$38,$D$19)&lt;MAX($P$708*($B722+IF($R$17="Distrato",$I$38-1,0)),IF(AND($L$711=0,$P$708=0),"",$L$711-1),IF($R$17="Distrato",$E722,0))),0,YEARFRAC(MAX($P$708*($B722+IF($R$17="Distrato",$I$38-1,0)),IF(AND($L$711=0,$P$708=0),"",$L$711-1),IF($R$17="Distrato",$E722,0)),MIN(U$38,$D$19),$P$20))-SUM($P722:T722)</f>
        <v>#VALUE!</v>
      </c>
      <c r="V722" s="446" t="e">
        <f>IF(OR($B722="",MIN(V$38,$D$19)&lt;MAX($P$708*($B722+IF($R$17="Distrato",$I$38-1,0)),IF(AND($L$711=0,$P$708=0),"",$L$711-1),IF($R$17="Distrato",$E722,0))),0,YEARFRAC(MAX($P$708*($B722+IF($R$17="Distrato",$I$38-1,0)),IF(AND($L$711=0,$P$708=0),"",$L$711-1),IF($R$17="Distrato",$E722,0)),MIN(V$38,$D$19),$P$20))-SUM($P722:U722)</f>
        <v>#VALUE!</v>
      </c>
      <c r="W722" s="446" t="e">
        <f>IF(OR($B722="",MIN(W$38,$D$19)&lt;MAX($P$708*($B722+IF($R$17="Distrato",$I$38-1,0)),IF(AND($L$711=0,$P$708=0),"",$L$711-1),IF($R$17="Distrato",$E722,0))),0,YEARFRAC(MAX($P$708*($B722+IF($R$17="Distrato",$I$38-1,0)),IF(AND($L$711=0,$P$708=0),"",$L$711-1),IF($R$17="Distrato",$E722,0)),MIN(W$38,$D$19),$P$20))-SUM($P722:V722)</f>
        <v>#VALUE!</v>
      </c>
      <c r="X722" s="446" t="e">
        <f>IF(OR($B722="",MIN(X$38,$D$19)&lt;MAX($P$708*($B722+IF($R$17="Distrato",$I$38-1,0)),IF(AND($L$711=0,$P$708=0),"",$L$711-1),IF($R$17="Distrato",$E722,0))),0,YEARFRAC(MAX($P$708*($B722+IF($R$17="Distrato",$I$38-1,0)),IF(AND($L$711=0,$P$708=0),"",$L$711-1),IF($R$17="Distrato",$E722,0)),MIN(X$38,$D$19),$P$20))-SUM($P722:W722)</f>
        <v>#VALUE!</v>
      </c>
      <c r="Y722" s="446" t="e">
        <f>IF(OR($B722="",MIN(Y$38,$D$19)&lt;MAX($P$708*($B722+IF($R$17="Distrato",$I$38-1,0)),IF(AND($L$711=0,$P$708=0),"",$L$711-1),IF($R$17="Distrato",$E722,0))),0,YEARFRAC(MAX($P$708*($B722+IF($R$17="Distrato",$I$38-1,0)),IF(AND($L$711=0,$P$708=0),"",$L$711-1),IF($R$17="Distrato",$E722,0)),MIN(Y$38,$D$19),$P$20))-SUM($P722:X722)</f>
        <v>#VALUE!</v>
      </c>
      <c r="Z722" s="446" t="e">
        <f>IF(OR($B722="",MIN(Z$38,$D$19)&lt;MAX($P$708*($B722+IF($R$17="Distrato",$I$38-1,0)),IF(AND($L$711=0,$P$708=0),"",$L$711-1),IF($R$17="Distrato",$E722,0))),0,YEARFRAC(MAX($P$708*($B722+IF($R$17="Distrato",$I$38-1,0)),IF(AND($L$711=0,$P$708=0),"",$L$711-1),IF($R$17="Distrato",$E722,0)),MIN(Z$38,$D$19),$P$20))-SUM($P722:Y722)</f>
        <v>#VALUE!</v>
      </c>
      <c r="AA722" s="446" t="e">
        <f>IF(OR($B722="",MIN(AA$38,$D$19)&lt;MAX($P$708*($B722+IF($R$17="Distrato",$I$38-1,0)),IF(AND($L$711=0,$P$708=0),"",$L$711-1),IF($R$17="Distrato",$E722,0))),0,YEARFRAC(MAX($P$708*($B722+IF($R$17="Distrato",$I$38-1,0)),IF(AND($L$711=0,$P$708=0),"",$L$711-1),IF($R$17="Distrato",$E722,0)),MIN(AA$38,$D$19),$P$20))-SUM($P722:Z722)</f>
        <v>#VALUE!</v>
      </c>
      <c r="AB722" s="446" t="e">
        <f>IF(OR($B722="",MIN(AB$38,$D$19)&lt;MAX($P$708*($B722+IF($R$17="Distrato",$I$38-1,0)),IF(AND($L$711=0,$P$708=0),"",$L$711-1),IF($R$17="Distrato",$E722,0))),0,YEARFRAC(MAX($P$708*($B722+IF($R$17="Distrato",$I$38-1,0)),IF(AND($L$711=0,$P$708=0),"",$L$711-1),IF($R$17="Distrato",$E722,0)),MIN(AB$38,$D$19),$P$20))-SUM($P722:AA722)</f>
        <v>#VALUE!</v>
      </c>
      <c r="AC722" s="446" t="e">
        <f>IF(OR($B722="",MIN(AC$38,$D$19)&lt;MAX($P$708*($B722+IF($R$17="Distrato",$I$38-1,0)),IF(AND($L$711=0,$P$708=0),"",$L$711-1),IF($R$17="Distrato",$E722,0))),0,YEARFRAC(MAX($P$708*($B722+IF($R$17="Distrato",$I$38-1,0)),IF(AND($L$711=0,$P$708=0),"",$L$711-1),IF($R$17="Distrato",$E722,0)),MIN(AC$38,$D$19),$P$20))-SUM($P722:AB722)</f>
        <v>#VALUE!</v>
      </c>
      <c r="AD722" s="446" t="e">
        <f>IF(OR($B722="",MIN(AD$38,$D$19)&lt;MAX($P$708*($B722+IF($R$17="Distrato",$I$38-1,0)),IF(AND($L$711=0,$P$708=0),"",$L$711-1),IF($R$17="Distrato",$E722,0))),0,YEARFRAC(MAX($P$708*($B722+IF($R$17="Distrato",$I$38-1,0)),IF(AND($L$711=0,$P$708=0),"",$L$711-1),IF($R$17="Distrato",$E722,0)),MIN(AD$38,$D$19),$P$20))-SUM($P722:AC722)</f>
        <v>#VALUE!</v>
      </c>
      <c r="AE722" s="446" t="e">
        <f>IF(OR($B722="",MIN(AE$38,$D$19)&lt;MAX($P$708*($B722+IF($R$17="Distrato",$I$38-1,0)),IF(AND($L$711=0,$P$708=0),"",$L$711-1),IF($R$17="Distrato",$E722,0))),0,YEARFRAC(MAX($P$708*($B722+IF($R$17="Distrato",$I$38-1,0)),IF(AND($L$711=0,$P$708=0),"",$L$711-1),IF($R$17="Distrato",$E722,0)),MIN(AE$38,$D$19),$P$20))-SUM($P722:AD722)</f>
        <v>#VALUE!</v>
      </c>
      <c r="AF722" s="446" t="e">
        <f>IF(OR($B722="",MIN(AF$38,$D$19)&lt;MAX($P$708*($B722+IF($R$17="Distrato",$I$38-1,0)),IF(AND($L$711=0,$P$708=0),"",$L$711-1),IF($R$17="Distrato",$E722,0))),0,YEARFRAC(MAX($P$708*($B722+IF($R$17="Distrato",$I$38-1,0)),IF(AND($L$711=0,$P$708=0),"",$L$711-1),IF($R$17="Distrato",$E722,0)),MIN(AF$38,$D$19),$P$20))-SUM($P722:AE722)</f>
        <v>#VALUE!</v>
      </c>
      <c r="AG722" s="446" t="e">
        <f>IF(OR($B722="",MIN(AG$38,$D$19)&lt;MAX($P$708*($B722+IF($R$17="Distrato",$I$38-1,0)),IF(AND($L$711=0,$P$708=0),"",$L$711-1),IF($R$17="Distrato",$E722,0))),0,YEARFRAC(MAX($P$708*($B722+IF($R$17="Distrato",$I$38-1,0)),IF(AND($L$711=0,$P$708=0),"",$L$711-1),IF($R$17="Distrato",$E722,0)),MIN(AG$38,$D$19),$P$20))-SUM($P722:AF722)</f>
        <v>#VALUE!</v>
      </c>
      <c r="AH722" s="446" t="e">
        <f>IF(OR($B722="",MIN(AH$38,$D$19)&lt;MAX($P$708*($B722+IF($R$17="Distrato",$I$38-1,0)),IF(AND($L$711=0,$P$708=0),"",$L$711-1),IF($R$17="Distrato",$E722,0))),0,YEARFRAC(MAX($P$708*($B722+IF($R$17="Distrato",$I$38-1,0)),IF(AND($L$711=0,$P$708=0),"",$L$711-1),IF($R$17="Distrato",$E722,0)),MIN(AH$38,$D$19),$P$20))-SUM($P722:AG722)</f>
        <v>#VALUE!</v>
      </c>
      <c r="AI722" s="446" t="e">
        <f>IF(OR($B722="",MIN(AI$38,$D$19)&lt;MAX($P$708*($B722+IF($R$17="Distrato",$I$38-1,0)),IF(AND($L$711=0,$P$708=0),"",$L$711-1),IF($R$17="Distrato",$E722,0))),0,YEARFRAC(MAX($P$708*($B722+IF($R$17="Distrato",$I$38-1,0)),IF(AND($L$711=0,$P$708=0),"",$L$711-1),IF($R$17="Distrato",$E722,0)),MIN(AI$38,$D$19),$P$20))-SUM($P722:AH722)</f>
        <v>#VALUE!</v>
      </c>
      <c r="AJ722" s="446" t="e">
        <f>IF(OR($B722="",MIN(AJ$38,$D$19)&lt;MAX($P$708*($B722+IF($R$17="Distrato",$I$38-1,0)),IF(AND($L$711=0,$P$708=0),"",$L$711-1),IF($R$17="Distrato",$E722,0))),0,YEARFRAC(MAX($P$708*($B722+IF($R$17="Distrato",$I$38-1,0)),IF(AND($L$711=0,$P$708=0),"",$L$711-1),IF($R$17="Distrato",$E722,0)),MIN(AJ$38,$D$19),$P$20))-SUM($P722:AI722)</f>
        <v>#VALUE!</v>
      </c>
      <c r="AK722" s="446" t="e">
        <f>IF(OR($B722="",MIN(AK$38,$D$19)&lt;MAX($P$708*($B722+IF($R$17="Distrato",$I$38-1,0)),IF(AND($L$711=0,$P$708=0),"",$L$711-1),IF($R$17="Distrato",$E722,0))),0,YEARFRAC(MAX($P$708*($B722+IF($R$17="Distrato",$I$38-1,0)),IF(AND($L$711=0,$P$708=0),"",$L$711-1),IF($R$17="Distrato",$E722,0)),MIN(AK$38,$D$19),$P$20))-SUM($P722:AJ722)</f>
        <v>#VALUE!</v>
      </c>
      <c r="AL722" s="446" t="e">
        <f>IF(OR($B722="",MIN(AL$38,$D$19)&lt;MAX($P$708*($B722+IF($R$17="Distrato",$I$38-1,0)),IF(AND($L$711=0,$P$708=0),"",$L$711-1),IF($R$17="Distrato",$E722,0))),0,YEARFRAC(MAX($P$708*($B722+IF($R$17="Distrato",$I$38-1,0)),IF(AND($L$711=0,$P$708=0),"",$L$711-1),IF($R$17="Distrato",$E722,0)),MIN(AL$38,$D$19),$P$20))-SUM($P722:AK722)</f>
        <v>#VALUE!</v>
      </c>
      <c r="AM722" s="446" t="e">
        <f>IF(OR($B722="",MIN(AM$38,$D$19)&lt;MAX($P$708*($B722+IF($R$17="Distrato",$I$38-1,0)),IF(AND($L$711=0,$P$708=0),"",$L$711-1),IF($R$17="Distrato",$E722,0))),0,YEARFRAC(MAX($P$708*($B722+IF($R$17="Distrato",$I$38-1,0)),IF(AND($L$711=0,$P$708=0),"",$L$711-1),IF($R$17="Distrato",$E722,0)),MIN(AM$38,$D$19),$P$20))-SUM($P722:AL722)</f>
        <v>#VALUE!</v>
      </c>
      <c r="AN722" s="446" t="e">
        <f>IF(OR($B722="",MIN(AN$38,$D$19)&lt;MAX($P$708*($B722+IF($R$17="Distrato",$I$38-1,0)),IF(AND($L$711=0,$P$708=0),"",$L$711-1),IF($R$17="Distrato",$E722,0))),0,YEARFRAC(MAX($P$708*($B722+IF($R$17="Distrato",$I$38-1,0)),IF(AND($L$711=0,$P$708=0),"",$L$711-1),IF($R$17="Distrato",$E722,0)),MIN(AN$38,$D$19),$P$20))-SUM($P722:AM722)</f>
        <v>#VALUE!</v>
      </c>
      <c r="AO722" s="446" t="e">
        <f>IF(OR($B722="",MIN(AO$38,$D$19)&lt;MAX($P$708*($B722+IF($R$17="Distrato",$I$38-1,0)),IF(AND($L$711=0,$P$708=0),"",$L$711-1),IF($R$17="Distrato",$E722,0))),0,YEARFRAC(MAX($P$708*($B722+IF($R$17="Distrato",$I$38-1,0)),IF(AND($L$711=0,$P$708=0),"",$L$711-1),IF($R$17="Distrato",$E722,0)),MIN(AO$38,$D$19),$P$20))-SUM($P722:AN722)</f>
        <v>#VALUE!</v>
      </c>
      <c r="AP722" s="446" t="e">
        <f>IF(OR($B722="",MIN(AP$38,$D$19)&lt;MAX($P$708*($B722+IF($R$17="Distrato",$I$38-1,0)),IF(AND($L$711=0,$P$708=0),"",$L$711-1),IF($R$17="Distrato",$E722,0))),0,YEARFRAC(MAX($P$708*($B722+IF($R$17="Distrato",$I$38-1,0)),IF(AND($L$711=0,$P$708=0),"",$L$711-1),IF($R$17="Distrato",$E722,0)),MIN(AP$38,$D$19),$P$20))-SUM($P722:AO722)</f>
        <v>#VALUE!</v>
      </c>
      <c r="AQ722" s="446" t="e">
        <f>IF(OR($B722="",MIN(AQ$38,$D$19)&lt;MAX($P$708*($B722+IF($R$17="Distrato",$I$38-1,0)),IF(AND($L$711=0,$P$708=0),"",$L$711-1),IF($R$17="Distrato",$E722,0))),0,YEARFRAC(MAX($P$708*($B722+IF($R$17="Distrato",$I$38-1,0)),IF(AND($L$711=0,$P$708=0),"",$L$711-1),IF($R$17="Distrato",$E722,0)),MIN(AQ$38,$D$19),$P$20))-SUM($P722:AP722)</f>
        <v>#VALUE!</v>
      </c>
      <c r="AR722" s="446" t="e">
        <f>IF(OR($B722="",MIN(AR$38,$D$19)&lt;MAX($P$708*($B722+IF($R$17="Distrato",$I$38-1,0)),IF(AND($L$711=0,$P$708=0),"",$L$711-1),IF($R$17="Distrato",$E722,0))),0,YEARFRAC(MAX($P$708*($B722+IF($R$17="Distrato",$I$38-1,0)),IF(AND($L$711=0,$P$708=0),"",$L$711-1),IF($R$17="Distrato",$E722,0)),MIN(AR$38,$D$19),$P$20))-SUM($P722:AQ722)</f>
        <v>#VALUE!</v>
      </c>
      <c r="AS722" s="446" t="e">
        <f>IF(OR($B722="",MIN(AS$38,$D$19)&lt;MAX($P$708*($B722+IF($R$17="Distrato",$I$38-1,0)),IF(AND($L$711=0,$P$708=0),"",$L$711-1),IF($R$17="Distrato",$E722,0))),0,YEARFRAC(MAX($P$708*($B722+IF($R$17="Distrato",$I$38-1,0)),IF(AND($L$711=0,$P$708=0),"",$L$711-1),IF($R$17="Distrato",$E722,0)),MIN(AS$38,$D$19),$P$20))-SUM($P722:AR722)</f>
        <v>#VALUE!</v>
      </c>
      <c r="AT722" s="446" t="e">
        <f>IF(OR($B722="",MIN(AT$38,$D$19)&lt;MAX($P$708*($B722+IF($R$17="Distrato",$I$38-1,0)),IF(AND($L$711=0,$P$708=0),"",$L$711-1),IF($R$17="Distrato",$E722,0))),0,YEARFRAC(MAX($P$708*($B722+IF($R$17="Distrato",$I$38-1,0)),IF(AND($L$711=0,$P$708=0),"",$L$711-1),IF($R$17="Distrato",$E722,0)),MIN(AT$38,$D$19),$P$20))-SUM($P722:AS722)</f>
        <v>#VALUE!</v>
      </c>
      <c r="AU722" s="446" t="e">
        <f>IF(OR($B722="",MIN(AU$38,$D$19)&lt;MAX($P$708*($B722+IF($R$17="Distrato",$I$38-1,0)),IF(AND($L$711=0,$P$708=0),"",$L$711-1),IF($R$17="Distrato",$E722,0))),0,YEARFRAC(MAX($P$708*($B722+IF($R$17="Distrato",$I$38-1,0)),IF(AND($L$711=0,$P$708=0),"",$L$711-1),IF($R$17="Distrato",$E722,0)),MIN(AU$38,$D$19),$P$20))-SUM($P722:AT722)</f>
        <v>#VALUE!</v>
      </c>
      <c r="AV722" s="446" t="e">
        <f>IF(OR($B722="",MIN(AV$38,$D$19)&lt;MAX($P$708*($B722+IF($R$17="Distrato",$I$38-1,0)),IF(AND($L$711=0,$P$708=0),"",$L$711-1),IF($R$17="Distrato",$E722,0))),0,YEARFRAC(MAX($P$708*($B722+IF($R$17="Distrato",$I$38-1,0)),IF(AND($L$711=0,$P$708=0),"",$L$711-1),IF($R$17="Distrato",$E722,0)),MIN(AV$38,$D$19),$P$20))-SUM($P722:AU722)</f>
        <v>#VALUE!</v>
      </c>
      <c r="AW722" s="446" t="e">
        <f>IF(OR($B722="",MIN(AW$38,$D$19)&lt;MAX($P$708*($B722+IF($R$17="Distrato",$I$38-1,0)),IF(AND($L$711=0,$P$708=0),"",$L$711-1),IF($R$17="Distrato",$E722,0))),0,YEARFRAC(MAX($P$708*($B722+IF($R$17="Distrato",$I$38-1,0)),IF(AND($L$711=0,$P$708=0),"",$L$711-1),IF($R$17="Distrato",$E722,0)),MIN(AW$38,$D$19),$P$20))-SUM($P722:AV722)</f>
        <v>#VALUE!</v>
      </c>
      <c r="AX722" s="446" t="e">
        <f>IF(OR($B722="",MIN(AX$38,$D$19)&lt;MAX($P$708*($B722+IF($R$17="Distrato",$I$38-1,0)),IF(AND($L$711=0,$P$708=0),"",$L$711-1),IF($R$17="Distrato",$E722,0))),0,YEARFRAC(MAX($P$708*($B722+IF($R$17="Distrato",$I$38-1,0)),IF(AND($L$711=0,$P$708=0),"",$L$711-1),IF($R$17="Distrato",$E722,0)),MIN(AX$38,$D$19),$P$20))-SUM($P722:AW722)</f>
        <v>#VALUE!</v>
      </c>
      <c r="AY722" s="446" t="e">
        <f>IF(OR($B722="",MIN(AY$38,$D$19)&lt;MAX($P$708*($B722+IF($R$17="Distrato",$I$38-1,0)),IF(AND($L$711=0,$P$708=0),"",$L$711-1),IF($R$17="Distrato",$E722,0))),0,YEARFRAC(MAX($P$708*($B722+IF($R$17="Distrato",$I$38-1,0)),IF(AND($L$711=0,$P$708=0),"",$L$711-1),IF($R$17="Distrato",$E722,0)),MIN(AY$38,$D$19),$P$20))-SUM($P722:AX722)</f>
        <v>#VALUE!</v>
      </c>
      <c r="AZ722" s="446" t="e">
        <f>IF(OR($B722="",MIN(AZ$38,$D$19)&lt;MAX($P$708*($B722+IF($R$17="Distrato",$I$38-1,0)),IF(AND($L$711=0,$P$708=0),"",$L$711-1),IF($R$17="Distrato",$E722,0))),0,YEARFRAC(MAX($P$708*($B722+IF($R$17="Distrato",$I$38-1,0)),IF(AND($L$711=0,$P$708=0),"",$L$711-1),IF($R$17="Distrato",$E722,0)),MIN(AZ$38,$D$19),$P$20))-SUM($P722:AY722)</f>
        <v>#VALUE!</v>
      </c>
      <c r="BA722" s="446" t="e">
        <f>IF(OR($B722="",MIN(BA$38,$D$19)&lt;MAX($P$708*($B722+IF($R$17="Distrato",$I$38-1,0)),IF(AND($L$711=0,$P$708=0),"",$L$711-1),IF($R$17="Distrato",$E722,0))),0,YEARFRAC(MAX($P$708*($B722+IF($R$17="Distrato",$I$38-1,0)),IF(AND($L$711=0,$P$708=0),"",$L$711-1),IF($R$17="Distrato",$E722,0)),MIN(BA$38,$D$19),$P$20))-SUM($P722:AZ722)</f>
        <v>#VALUE!</v>
      </c>
      <c r="BB722" s="447"/>
    </row>
    <row r="723" spans="1:54" s="446" customFormat="1" ht="11.25" hidden="1" customHeight="1" x14ac:dyDescent="0.2">
      <c r="A723" s="235"/>
      <c r="B723" s="236"/>
      <c r="C723" s="29" t="str">
        <f>IF(B723="","",IF($L$709=$BL$25,VLOOKUP(DATE(YEAR($D$19),MONTH($D$19)-1,1),ÍNDICES!$A:$DE,HLOOKUP($BL$25,ÍNDICES!$B$3:$T$4,2)+11)-VLOOKUP(B723,ÍNDICES!$A:$DE,HLOOKUP($BL$25,ÍNDICES!$B$3:$T$4,2)+11)+1%,IF(C$712=$W$26,$J$35,IF(ISERROR(IF(B723&gt;$D$19,1,VLOOKUP(DATE(YEAR(B723),MONTH(B723)+IF($C$709=$S$23,1,0),1),ÍNDICES!$A:$DE,$Z$709+1))),"",IF(B723&gt;$D$19,1,VLOOKUP(DATE(YEAR(B723),MONTH(B723)+IF($C$709=$S$23,1,0),1),ÍNDICES!$A:$DE,$Z$709+1))))))</f>
        <v/>
      </c>
      <c r="D723" s="155"/>
      <c r="E723" s="88"/>
      <c r="F723" s="88"/>
      <c r="G723" s="88"/>
      <c r="H723" s="118"/>
      <c r="I723" s="182">
        <f t="shared" si="115"/>
        <v>0</v>
      </c>
      <c r="J723" s="20">
        <f t="shared" ca="1" si="116"/>
        <v>0</v>
      </c>
      <c r="K723" s="5">
        <f t="shared" ca="1" si="117"/>
        <v>0</v>
      </c>
      <c r="L723" s="61">
        <f t="shared" ca="1" si="118"/>
        <v>0</v>
      </c>
      <c r="M723" s="64">
        <f t="shared" si="119"/>
        <v>0</v>
      </c>
      <c r="N723" s="151"/>
      <c r="O723" s="5">
        <f t="shared" ca="1" si="120"/>
        <v>0</v>
      </c>
      <c r="P723" s="446" t="e">
        <f t="shared" si="121"/>
        <v>#VALUE!</v>
      </c>
      <c r="Q723" s="446" t="e">
        <f>IF(OR($B723="",MIN(Q$38,$D$19)&lt;MAX($P$708*($B723+IF($R$17="Distrato",$I$38-1,0)),IF(AND($L$711=0,$P$708=0),"",$L$711-1),IF($R$17="Distrato",$E723,0))),0,YEARFRAC(MAX($P$708*($B723+IF($R$17="Distrato",$I$38-1,0)),IF(AND($L$711=0,$P$708=0),"",$L$711-1),IF($R$17="Distrato",$E723,0)),MIN(Q$38,$D$19),$P$20))-SUM($P723:P723)</f>
        <v>#VALUE!</v>
      </c>
      <c r="R723" s="446" t="e">
        <f>IF(OR($B723="",MIN(R$38,$D$19)&lt;MAX($P$708*($B723+IF($R$17="Distrato",$I$38-1,0)),IF(AND($L$711=0,$P$708=0),"",$L$711-1),IF($R$17="Distrato",$E723,0))),0,YEARFRAC(MAX($P$708*($B723+IF($R$17="Distrato",$I$38-1,0)),IF(AND($L$711=0,$P$708=0),"",$L$711-1),IF($R$17="Distrato",$E723,0)),MIN(R$38,$D$19),$P$20))-SUM($P723:Q723)</f>
        <v>#VALUE!</v>
      </c>
      <c r="S723" s="446" t="e">
        <f>IF(OR($B723="",MIN(S$38,$D$19)&lt;MAX($P$708*($B723+IF($R$17="Distrato",$I$38-1,0)),IF(AND($L$711=0,$P$708=0),"",$L$711-1),IF($R$17="Distrato",$E723,0))),0,YEARFRAC(MAX($P$708*($B723+IF($R$17="Distrato",$I$38-1,0)),IF(AND($L$711=0,$P$708=0),"",$L$711-1),IF($R$17="Distrato",$E723,0)),MIN(S$38,$D$19),$P$20))-SUM($P723:R723)</f>
        <v>#VALUE!</v>
      </c>
      <c r="T723" s="446" t="e">
        <f>IF(OR($B723="",MIN(T$38,$D$19)&lt;MAX($P$708*($B723+IF($R$17="Distrato",$I$38-1,0)),IF(AND($L$711=0,$P$708=0),"",$L$711-1),IF($R$17="Distrato",$E723,0))),0,YEARFRAC(MAX($P$708*($B723+IF($R$17="Distrato",$I$38-1,0)),IF(AND($L$711=0,$P$708=0),"",$L$711-1),IF($R$17="Distrato",$E723,0)),MIN(T$38,$D$19),$P$20))-SUM($P723:S723)</f>
        <v>#VALUE!</v>
      </c>
      <c r="U723" s="446" t="e">
        <f>IF(OR($B723="",MIN(U$38,$D$19)&lt;MAX($P$708*($B723+IF($R$17="Distrato",$I$38-1,0)),IF(AND($L$711=0,$P$708=0),"",$L$711-1),IF($R$17="Distrato",$E723,0))),0,YEARFRAC(MAX($P$708*($B723+IF($R$17="Distrato",$I$38-1,0)),IF(AND($L$711=0,$P$708=0),"",$L$711-1),IF($R$17="Distrato",$E723,0)),MIN(U$38,$D$19),$P$20))-SUM($P723:T723)</f>
        <v>#VALUE!</v>
      </c>
      <c r="V723" s="446" t="e">
        <f>IF(OR($B723="",MIN(V$38,$D$19)&lt;MAX($P$708*($B723+IF($R$17="Distrato",$I$38-1,0)),IF(AND($L$711=0,$P$708=0),"",$L$711-1),IF($R$17="Distrato",$E723,0))),0,YEARFRAC(MAX($P$708*($B723+IF($R$17="Distrato",$I$38-1,0)),IF(AND($L$711=0,$P$708=0),"",$L$711-1),IF($R$17="Distrato",$E723,0)),MIN(V$38,$D$19),$P$20))-SUM($P723:U723)</f>
        <v>#VALUE!</v>
      </c>
      <c r="W723" s="446" t="e">
        <f>IF(OR($B723="",MIN(W$38,$D$19)&lt;MAX($P$708*($B723+IF($R$17="Distrato",$I$38-1,0)),IF(AND($L$711=0,$P$708=0),"",$L$711-1),IF($R$17="Distrato",$E723,0))),0,YEARFRAC(MAX($P$708*($B723+IF($R$17="Distrato",$I$38-1,0)),IF(AND($L$711=0,$P$708=0),"",$L$711-1),IF($R$17="Distrato",$E723,0)),MIN(W$38,$D$19),$P$20))-SUM($P723:V723)</f>
        <v>#VALUE!</v>
      </c>
      <c r="X723" s="446" t="e">
        <f>IF(OR($B723="",MIN(X$38,$D$19)&lt;MAX($P$708*($B723+IF($R$17="Distrato",$I$38-1,0)),IF(AND($L$711=0,$P$708=0),"",$L$711-1),IF($R$17="Distrato",$E723,0))),0,YEARFRAC(MAX($P$708*($B723+IF($R$17="Distrato",$I$38-1,0)),IF(AND($L$711=0,$P$708=0),"",$L$711-1),IF($R$17="Distrato",$E723,0)),MIN(X$38,$D$19),$P$20))-SUM($P723:W723)</f>
        <v>#VALUE!</v>
      </c>
      <c r="Y723" s="446" t="e">
        <f>IF(OR($B723="",MIN(Y$38,$D$19)&lt;MAX($P$708*($B723+IF($R$17="Distrato",$I$38-1,0)),IF(AND($L$711=0,$P$708=0),"",$L$711-1),IF($R$17="Distrato",$E723,0))),0,YEARFRAC(MAX($P$708*($B723+IF($R$17="Distrato",$I$38-1,0)),IF(AND($L$711=0,$P$708=0),"",$L$711-1),IF($R$17="Distrato",$E723,0)),MIN(Y$38,$D$19),$P$20))-SUM($P723:X723)</f>
        <v>#VALUE!</v>
      </c>
      <c r="Z723" s="446" t="e">
        <f>IF(OR($B723="",MIN(Z$38,$D$19)&lt;MAX($P$708*($B723+IF($R$17="Distrato",$I$38-1,0)),IF(AND($L$711=0,$P$708=0),"",$L$711-1),IF($R$17="Distrato",$E723,0))),0,YEARFRAC(MAX($P$708*($B723+IF($R$17="Distrato",$I$38-1,0)),IF(AND($L$711=0,$P$708=0),"",$L$711-1),IF($R$17="Distrato",$E723,0)),MIN(Z$38,$D$19),$P$20))-SUM($P723:Y723)</f>
        <v>#VALUE!</v>
      </c>
      <c r="AA723" s="446" t="e">
        <f>IF(OR($B723="",MIN(AA$38,$D$19)&lt;MAX($P$708*($B723+IF($R$17="Distrato",$I$38-1,0)),IF(AND($L$711=0,$P$708=0),"",$L$711-1),IF($R$17="Distrato",$E723,0))),0,YEARFRAC(MAX($P$708*($B723+IF($R$17="Distrato",$I$38-1,0)),IF(AND($L$711=0,$P$708=0),"",$L$711-1),IF($R$17="Distrato",$E723,0)),MIN(AA$38,$D$19),$P$20))-SUM($P723:Z723)</f>
        <v>#VALUE!</v>
      </c>
      <c r="AB723" s="446" t="e">
        <f>IF(OR($B723="",MIN(AB$38,$D$19)&lt;MAX($P$708*($B723+IF($R$17="Distrato",$I$38-1,0)),IF(AND($L$711=0,$P$708=0),"",$L$711-1),IF($R$17="Distrato",$E723,0))),0,YEARFRAC(MAX($P$708*($B723+IF($R$17="Distrato",$I$38-1,0)),IF(AND($L$711=0,$P$708=0),"",$L$711-1),IF($R$17="Distrato",$E723,0)),MIN(AB$38,$D$19),$P$20))-SUM($P723:AA723)</f>
        <v>#VALUE!</v>
      </c>
      <c r="AC723" s="446" t="e">
        <f>IF(OR($B723="",MIN(AC$38,$D$19)&lt;MAX($P$708*($B723+IF($R$17="Distrato",$I$38-1,0)),IF(AND($L$711=0,$P$708=0),"",$L$711-1),IF($R$17="Distrato",$E723,0))),0,YEARFRAC(MAX($P$708*($B723+IF($R$17="Distrato",$I$38-1,0)),IF(AND($L$711=0,$P$708=0),"",$L$711-1),IF($R$17="Distrato",$E723,0)),MIN(AC$38,$D$19),$P$20))-SUM($P723:AB723)</f>
        <v>#VALUE!</v>
      </c>
      <c r="AD723" s="446" t="e">
        <f>IF(OR($B723="",MIN(AD$38,$D$19)&lt;MAX($P$708*($B723+IF($R$17="Distrato",$I$38-1,0)),IF(AND($L$711=0,$P$708=0),"",$L$711-1),IF($R$17="Distrato",$E723,0))),0,YEARFRAC(MAX($P$708*($B723+IF($R$17="Distrato",$I$38-1,0)),IF(AND($L$711=0,$P$708=0),"",$L$711-1),IF($R$17="Distrato",$E723,0)),MIN(AD$38,$D$19),$P$20))-SUM($P723:AC723)</f>
        <v>#VALUE!</v>
      </c>
      <c r="AE723" s="446" t="e">
        <f>IF(OR($B723="",MIN(AE$38,$D$19)&lt;MAX($P$708*($B723+IF($R$17="Distrato",$I$38-1,0)),IF(AND($L$711=0,$P$708=0),"",$L$711-1),IF($R$17="Distrato",$E723,0))),0,YEARFRAC(MAX($P$708*($B723+IF($R$17="Distrato",$I$38-1,0)),IF(AND($L$711=0,$P$708=0),"",$L$711-1),IF($R$17="Distrato",$E723,0)),MIN(AE$38,$D$19),$P$20))-SUM($P723:AD723)</f>
        <v>#VALUE!</v>
      </c>
      <c r="AF723" s="446" t="e">
        <f>IF(OR($B723="",MIN(AF$38,$D$19)&lt;MAX($P$708*($B723+IF($R$17="Distrato",$I$38-1,0)),IF(AND($L$711=0,$P$708=0),"",$L$711-1),IF($R$17="Distrato",$E723,0))),0,YEARFRAC(MAX($P$708*($B723+IF($R$17="Distrato",$I$38-1,0)),IF(AND($L$711=0,$P$708=0),"",$L$711-1),IF($R$17="Distrato",$E723,0)),MIN(AF$38,$D$19),$P$20))-SUM($P723:AE723)</f>
        <v>#VALUE!</v>
      </c>
      <c r="AG723" s="446" t="e">
        <f>IF(OR($B723="",MIN(AG$38,$D$19)&lt;MAX($P$708*($B723+IF($R$17="Distrato",$I$38-1,0)),IF(AND($L$711=0,$P$708=0),"",$L$711-1),IF($R$17="Distrato",$E723,0))),0,YEARFRAC(MAX($P$708*($B723+IF($R$17="Distrato",$I$38-1,0)),IF(AND($L$711=0,$P$708=0),"",$L$711-1),IF($R$17="Distrato",$E723,0)),MIN(AG$38,$D$19),$P$20))-SUM($P723:AF723)</f>
        <v>#VALUE!</v>
      </c>
      <c r="AH723" s="446" t="e">
        <f>IF(OR($B723="",MIN(AH$38,$D$19)&lt;MAX($P$708*($B723+IF($R$17="Distrato",$I$38-1,0)),IF(AND($L$711=0,$P$708=0),"",$L$711-1),IF($R$17="Distrato",$E723,0))),0,YEARFRAC(MAX($P$708*($B723+IF($R$17="Distrato",$I$38-1,0)),IF(AND($L$711=0,$P$708=0),"",$L$711-1),IF($R$17="Distrato",$E723,0)),MIN(AH$38,$D$19),$P$20))-SUM($P723:AG723)</f>
        <v>#VALUE!</v>
      </c>
      <c r="AI723" s="446" t="e">
        <f>IF(OR($B723="",MIN(AI$38,$D$19)&lt;MAX($P$708*($B723+IF($R$17="Distrato",$I$38-1,0)),IF(AND($L$711=0,$P$708=0),"",$L$711-1),IF($R$17="Distrato",$E723,0))),0,YEARFRAC(MAX($P$708*($B723+IF($R$17="Distrato",$I$38-1,0)),IF(AND($L$711=0,$P$708=0),"",$L$711-1),IF($R$17="Distrato",$E723,0)),MIN(AI$38,$D$19),$P$20))-SUM($P723:AH723)</f>
        <v>#VALUE!</v>
      </c>
      <c r="AJ723" s="446" t="e">
        <f>IF(OR($B723="",MIN(AJ$38,$D$19)&lt;MAX($P$708*($B723+IF($R$17="Distrato",$I$38-1,0)),IF(AND($L$711=0,$P$708=0),"",$L$711-1),IF($R$17="Distrato",$E723,0))),0,YEARFRAC(MAX($P$708*($B723+IF($R$17="Distrato",$I$38-1,0)),IF(AND($L$711=0,$P$708=0),"",$L$711-1),IF($R$17="Distrato",$E723,0)),MIN(AJ$38,$D$19),$P$20))-SUM($P723:AI723)</f>
        <v>#VALUE!</v>
      </c>
      <c r="AK723" s="446" t="e">
        <f>IF(OR($B723="",MIN(AK$38,$D$19)&lt;MAX($P$708*($B723+IF($R$17="Distrato",$I$38-1,0)),IF(AND($L$711=0,$P$708=0),"",$L$711-1),IF($R$17="Distrato",$E723,0))),0,YEARFRAC(MAX($P$708*($B723+IF($R$17="Distrato",$I$38-1,0)),IF(AND($L$711=0,$P$708=0),"",$L$711-1),IF($R$17="Distrato",$E723,0)),MIN(AK$38,$D$19),$P$20))-SUM($P723:AJ723)</f>
        <v>#VALUE!</v>
      </c>
      <c r="AL723" s="446" t="e">
        <f>IF(OR($B723="",MIN(AL$38,$D$19)&lt;MAX($P$708*($B723+IF($R$17="Distrato",$I$38-1,0)),IF(AND($L$711=0,$P$708=0),"",$L$711-1),IF($R$17="Distrato",$E723,0))),0,YEARFRAC(MAX($P$708*($B723+IF($R$17="Distrato",$I$38-1,0)),IF(AND($L$711=0,$P$708=0),"",$L$711-1),IF($R$17="Distrato",$E723,0)),MIN(AL$38,$D$19),$P$20))-SUM($P723:AK723)</f>
        <v>#VALUE!</v>
      </c>
      <c r="AM723" s="446" t="e">
        <f>IF(OR($B723="",MIN(AM$38,$D$19)&lt;MAX($P$708*($B723+IF($R$17="Distrato",$I$38-1,0)),IF(AND($L$711=0,$P$708=0),"",$L$711-1),IF($R$17="Distrato",$E723,0))),0,YEARFRAC(MAX($P$708*($B723+IF($R$17="Distrato",$I$38-1,0)),IF(AND($L$711=0,$P$708=0),"",$L$711-1),IF($R$17="Distrato",$E723,0)),MIN(AM$38,$D$19),$P$20))-SUM($P723:AL723)</f>
        <v>#VALUE!</v>
      </c>
      <c r="AN723" s="446" t="e">
        <f>IF(OR($B723="",MIN(AN$38,$D$19)&lt;MAX($P$708*($B723+IF($R$17="Distrato",$I$38-1,0)),IF(AND($L$711=0,$P$708=0),"",$L$711-1),IF($R$17="Distrato",$E723,0))),0,YEARFRAC(MAX($P$708*($B723+IF($R$17="Distrato",$I$38-1,0)),IF(AND($L$711=0,$P$708=0),"",$L$711-1),IF($R$17="Distrato",$E723,0)),MIN(AN$38,$D$19),$P$20))-SUM($P723:AM723)</f>
        <v>#VALUE!</v>
      </c>
      <c r="AO723" s="446" t="e">
        <f>IF(OR($B723="",MIN(AO$38,$D$19)&lt;MAX($P$708*($B723+IF($R$17="Distrato",$I$38-1,0)),IF(AND($L$711=0,$P$708=0),"",$L$711-1),IF($R$17="Distrato",$E723,0))),0,YEARFRAC(MAX($P$708*($B723+IF($R$17="Distrato",$I$38-1,0)),IF(AND($L$711=0,$P$708=0),"",$L$711-1),IF($R$17="Distrato",$E723,0)),MIN(AO$38,$D$19),$P$20))-SUM($P723:AN723)</f>
        <v>#VALUE!</v>
      </c>
      <c r="AP723" s="446" t="e">
        <f>IF(OR($B723="",MIN(AP$38,$D$19)&lt;MAX($P$708*($B723+IF($R$17="Distrato",$I$38-1,0)),IF(AND($L$711=0,$P$708=0),"",$L$711-1),IF($R$17="Distrato",$E723,0))),0,YEARFRAC(MAX($P$708*($B723+IF($R$17="Distrato",$I$38-1,0)),IF(AND($L$711=0,$P$708=0),"",$L$711-1),IF($R$17="Distrato",$E723,0)),MIN(AP$38,$D$19),$P$20))-SUM($P723:AO723)</f>
        <v>#VALUE!</v>
      </c>
      <c r="AQ723" s="446" t="e">
        <f>IF(OR($B723="",MIN(AQ$38,$D$19)&lt;MAX($P$708*($B723+IF($R$17="Distrato",$I$38-1,0)),IF(AND($L$711=0,$P$708=0),"",$L$711-1),IF($R$17="Distrato",$E723,0))),0,YEARFRAC(MAX($P$708*($B723+IF($R$17="Distrato",$I$38-1,0)),IF(AND($L$711=0,$P$708=0),"",$L$711-1),IF($R$17="Distrato",$E723,0)),MIN(AQ$38,$D$19),$P$20))-SUM($P723:AP723)</f>
        <v>#VALUE!</v>
      </c>
      <c r="AR723" s="446" t="e">
        <f>IF(OR($B723="",MIN(AR$38,$D$19)&lt;MAX($P$708*($B723+IF($R$17="Distrato",$I$38-1,0)),IF(AND($L$711=0,$P$708=0),"",$L$711-1),IF($R$17="Distrato",$E723,0))),0,YEARFRAC(MAX($P$708*($B723+IF($R$17="Distrato",$I$38-1,0)),IF(AND($L$711=0,$P$708=0),"",$L$711-1),IF($R$17="Distrato",$E723,0)),MIN(AR$38,$D$19),$P$20))-SUM($P723:AQ723)</f>
        <v>#VALUE!</v>
      </c>
      <c r="AS723" s="446" t="e">
        <f>IF(OR($B723="",MIN(AS$38,$D$19)&lt;MAX($P$708*($B723+IF($R$17="Distrato",$I$38-1,0)),IF(AND($L$711=0,$P$708=0),"",$L$711-1),IF($R$17="Distrato",$E723,0))),0,YEARFRAC(MAX($P$708*($B723+IF($R$17="Distrato",$I$38-1,0)),IF(AND($L$711=0,$P$708=0),"",$L$711-1),IF($R$17="Distrato",$E723,0)),MIN(AS$38,$D$19),$P$20))-SUM($P723:AR723)</f>
        <v>#VALUE!</v>
      </c>
      <c r="AT723" s="446" t="e">
        <f>IF(OR($B723="",MIN(AT$38,$D$19)&lt;MAX($P$708*($B723+IF($R$17="Distrato",$I$38-1,0)),IF(AND($L$711=0,$P$708=0),"",$L$711-1),IF($R$17="Distrato",$E723,0))),0,YEARFRAC(MAX($P$708*($B723+IF($R$17="Distrato",$I$38-1,0)),IF(AND($L$711=0,$P$708=0),"",$L$711-1),IF($R$17="Distrato",$E723,0)),MIN(AT$38,$D$19),$P$20))-SUM($P723:AS723)</f>
        <v>#VALUE!</v>
      </c>
      <c r="AU723" s="446" t="e">
        <f>IF(OR($B723="",MIN(AU$38,$D$19)&lt;MAX($P$708*($B723+IF($R$17="Distrato",$I$38-1,0)),IF(AND($L$711=0,$P$708=0),"",$L$711-1),IF($R$17="Distrato",$E723,0))),0,YEARFRAC(MAX($P$708*($B723+IF($R$17="Distrato",$I$38-1,0)),IF(AND($L$711=0,$P$708=0),"",$L$711-1),IF($R$17="Distrato",$E723,0)),MIN(AU$38,$D$19),$P$20))-SUM($P723:AT723)</f>
        <v>#VALUE!</v>
      </c>
      <c r="AV723" s="446" t="e">
        <f>IF(OR($B723="",MIN(AV$38,$D$19)&lt;MAX($P$708*($B723+IF($R$17="Distrato",$I$38-1,0)),IF(AND($L$711=0,$P$708=0),"",$L$711-1),IF($R$17="Distrato",$E723,0))),0,YEARFRAC(MAX($P$708*($B723+IF($R$17="Distrato",$I$38-1,0)),IF(AND($L$711=0,$P$708=0),"",$L$711-1),IF($R$17="Distrato",$E723,0)),MIN(AV$38,$D$19),$P$20))-SUM($P723:AU723)</f>
        <v>#VALUE!</v>
      </c>
      <c r="AW723" s="446" t="e">
        <f>IF(OR($B723="",MIN(AW$38,$D$19)&lt;MAX($P$708*($B723+IF($R$17="Distrato",$I$38-1,0)),IF(AND($L$711=0,$P$708=0),"",$L$711-1),IF($R$17="Distrato",$E723,0))),0,YEARFRAC(MAX($P$708*($B723+IF($R$17="Distrato",$I$38-1,0)),IF(AND($L$711=0,$P$708=0),"",$L$711-1),IF($R$17="Distrato",$E723,0)),MIN(AW$38,$D$19),$P$20))-SUM($P723:AV723)</f>
        <v>#VALUE!</v>
      </c>
      <c r="AX723" s="446" t="e">
        <f>IF(OR($B723="",MIN(AX$38,$D$19)&lt;MAX($P$708*($B723+IF($R$17="Distrato",$I$38-1,0)),IF(AND($L$711=0,$P$708=0),"",$L$711-1),IF($R$17="Distrato",$E723,0))),0,YEARFRAC(MAX($P$708*($B723+IF($R$17="Distrato",$I$38-1,0)),IF(AND($L$711=0,$P$708=0),"",$L$711-1),IF($R$17="Distrato",$E723,0)),MIN(AX$38,$D$19),$P$20))-SUM($P723:AW723)</f>
        <v>#VALUE!</v>
      </c>
      <c r="AY723" s="446" t="e">
        <f>IF(OR($B723="",MIN(AY$38,$D$19)&lt;MAX($P$708*($B723+IF($R$17="Distrato",$I$38-1,0)),IF(AND($L$711=0,$P$708=0),"",$L$711-1),IF($R$17="Distrato",$E723,0))),0,YEARFRAC(MAX($P$708*($B723+IF($R$17="Distrato",$I$38-1,0)),IF(AND($L$711=0,$P$708=0),"",$L$711-1),IF($R$17="Distrato",$E723,0)),MIN(AY$38,$D$19),$P$20))-SUM($P723:AX723)</f>
        <v>#VALUE!</v>
      </c>
      <c r="AZ723" s="446" t="e">
        <f>IF(OR($B723="",MIN(AZ$38,$D$19)&lt;MAX($P$708*($B723+IF($R$17="Distrato",$I$38-1,0)),IF(AND($L$711=0,$P$708=0),"",$L$711-1),IF($R$17="Distrato",$E723,0))),0,YEARFRAC(MAX($P$708*($B723+IF($R$17="Distrato",$I$38-1,0)),IF(AND($L$711=0,$P$708=0),"",$L$711-1),IF($R$17="Distrato",$E723,0)),MIN(AZ$38,$D$19),$P$20))-SUM($P723:AY723)</f>
        <v>#VALUE!</v>
      </c>
      <c r="BA723" s="446" t="e">
        <f>IF(OR($B723="",MIN(BA$38,$D$19)&lt;MAX($P$708*($B723+IF($R$17="Distrato",$I$38-1,0)),IF(AND($L$711=0,$P$708=0),"",$L$711-1),IF($R$17="Distrato",$E723,0))),0,YEARFRAC(MAX($P$708*($B723+IF($R$17="Distrato",$I$38-1,0)),IF(AND($L$711=0,$P$708=0),"",$L$711-1),IF($R$17="Distrato",$E723,0)),MIN(BA$38,$D$19),$P$20))-SUM($P723:AZ723)</f>
        <v>#VALUE!</v>
      </c>
      <c r="BB723" s="447"/>
    </row>
    <row r="724" spans="1:54" s="446" customFormat="1" ht="11.25" hidden="1" customHeight="1" x14ac:dyDescent="0.2">
      <c r="A724" s="235"/>
      <c r="B724" s="236"/>
      <c r="C724" s="29" t="str">
        <f>IF(B724="","",IF($L$709=$BL$25,VLOOKUP(DATE(YEAR($D$19),MONTH($D$19)-1,1),ÍNDICES!$A:$DE,HLOOKUP($BL$25,ÍNDICES!$B$3:$T$4,2)+11)-VLOOKUP(B724,ÍNDICES!$A:$DE,HLOOKUP($BL$25,ÍNDICES!$B$3:$T$4,2)+11)+1%,IF(C$712=$W$26,$J$35,IF(ISERROR(IF(B724&gt;$D$19,1,VLOOKUP(DATE(YEAR(B724),MONTH(B724)+IF($C$709=$S$23,1,0),1),ÍNDICES!$A:$DE,$Z$709+1))),"",IF(B724&gt;$D$19,1,VLOOKUP(DATE(YEAR(B724),MONTH(B724)+IF($C$709=$S$23,1,0),1),ÍNDICES!$A:$DE,$Z$709+1))))))</f>
        <v/>
      </c>
      <c r="D724" s="155"/>
      <c r="E724" s="88"/>
      <c r="F724" s="88"/>
      <c r="G724" s="88"/>
      <c r="H724" s="118"/>
      <c r="I724" s="182">
        <f t="shared" si="115"/>
        <v>0</v>
      </c>
      <c r="J724" s="20">
        <f t="shared" ca="1" si="116"/>
        <v>0</v>
      </c>
      <c r="K724" s="5">
        <f t="shared" ca="1" si="117"/>
        <v>0</v>
      </c>
      <c r="L724" s="61">
        <f t="shared" ca="1" si="118"/>
        <v>0</v>
      </c>
      <c r="M724" s="64">
        <f t="shared" si="119"/>
        <v>0</v>
      </c>
      <c r="N724" s="151"/>
      <c r="O724" s="5">
        <f t="shared" ca="1" si="120"/>
        <v>0</v>
      </c>
      <c r="P724" s="446" t="e">
        <f t="shared" si="121"/>
        <v>#VALUE!</v>
      </c>
      <c r="Q724" s="446" t="e">
        <f>IF(OR($B724="",MIN(Q$38,$D$19)&lt;MAX($P$708*($B724+IF($R$17="Distrato",$I$38-1,0)),IF(AND($L$711=0,$P$708=0),"",$L$711-1),IF($R$17="Distrato",$E724,0))),0,YEARFRAC(MAX($P$708*($B724+IF($R$17="Distrato",$I$38-1,0)),IF(AND($L$711=0,$P$708=0),"",$L$711-1),IF($R$17="Distrato",$E724,0)),MIN(Q$38,$D$19),$P$20))-SUM($P724:P724)</f>
        <v>#VALUE!</v>
      </c>
      <c r="R724" s="446" t="e">
        <f>IF(OR($B724="",MIN(R$38,$D$19)&lt;MAX($P$708*($B724+IF($R$17="Distrato",$I$38-1,0)),IF(AND($L$711=0,$P$708=0),"",$L$711-1),IF($R$17="Distrato",$E724,0))),0,YEARFRAC(MAX($P$708*($B724+IF($R$17="Distrato",$I$38-1,0)),IF(AND($L$711=0,$P$708=0),"",$L$711-1),IF($R$17="Distrato",$E724,0)),MIN(R$38,$D$19),$P$20))-SUM($P724:Q724)</f>
        <v>#VALUE!</v>
      </c>
      <c r="S724" s="446" t="e">
        <f>IF(OR($B724="",MIN(S$38,$D$19)&lt;MAX($P$708*($B724+IF($R$17="Distrato",$I$38-1,0)),IF(AND($L$711=0,$P$708=0),"",$L$711-1),IF($R$17="Distrato",$E724,0))),0,YEARFRAC(MAX($P$708*($B724+IF($R$17="Distrato",$I$38-1,0)),IF(AND($L$711=0,$P$708=0),"",$L$711-1),IF($R$17="Distrato",$E724,0)),MIN(S$38,$D$19),$P$20))-SUM($P724:R724)</f>
        <v>#VALUE!</v>
      </c>
      <c r="T724" s="446" t="e">
        <f>IF(OR($B724="",MIN(T$38,$D$19)&lt;MAX($P$708*($B724+IF($R$17="Distrato",$I$38-1,0)),IF(AND($L$711=0,$P$708=0),"",$L$711-1),IF($R$17="Distrato",$E724,0))),0,YEARFRAC(MAX($P$708*($B724+IF($R$17="Distrato",$I$38-1,0)),IF(AND($L$711=0,$P$708=0),"",$L$711-1),IF($R$17="Distrato",$E724,0)),MIN(T$38,$D$19),$P$20))-SUM($P724:S724)</f>
        <v>#VALUE!</v>
      </c>
      <c r="U724" s="446" t="e">
        <f>IF(OR($B724="",MIN(U$38,$D$19)&lt;MAX($P$708*($B724+IF($R$17="Distrato",$I$38-1,0)),IF(AND($L$711=0,$P$708=0),"",$L$711-1),IF($R$17="Distrato",$E724,0))),0,YEARFRAC(MAX($P$708*($B724+IF($R$17="Distrato",$I$38-1,0)),IF(AND($L$711=0,$P$708=0),"",$L$711-1),IF($R$17="Distrato",$E724,0)),MIN(U$38,$D$19),$P$20))-SUM($P724:T724)</f>
        <v>#VALUE!</v>
      </c>
      <c r="V724" s="446" t="e">
        <f>IF(OR($B724="",MIN(V$38,$D$19)&lt;MAX($P$708*($B724+IF($R$17="Distrato",$I$38-1,0)),IF(AND($L$711=0,$P$708=0),"",$L$711-1),IF($R$17="Distrato",$E724,0))),0,YEARFRAC(MAX($P$708*($B724+IF($R$17="Distrato",$I$38-1,0)),IF(AND($L$711=0,$P$708=0),"",$L$711-1),IF($R$17="Distrato",$E724,0)),MIN(V$38,$D$19),$P$20))-SUM($P724:U724)</f>
        <v>#VALUE!</v>
      </c>
      <c r="W724" s="446" t="e">
        <f>IF(OR($B724="",MIN(W$38,$D$19)&lt;MAX($P$708*($B724+IF($R$17="Distrato",$I$38-1,0)),IF(AND($L$711=0,$P$708=0),"",$L$711-1),IF($R$17="Distrato",$E724,0))),0,YEARFRAC(MAX($P$708*($B724+IF($R$17="Distrato",$I$38-1,0)),IF(AND($L$711=0,$P$708=0),"",$L$711-1),IF($R$17="Distrato",$E724,0)),MIN(W$38,$D$19),$P$20))-SUM($P724:V724)</f>
        <v>#VALUE!</v>
      </c>
      <c r="X724" s="446" t="e">
        <f>IF(OR($B724="",MIN(X$38,$D$19)&lt;MAX($P$708*($B724+IF($R$17="Distrato",$I$38-1,0)),IF(AND($L$711=0,$P$708=0),"",$L$711-1),IF($R$17="Distrato",$E724,0))),0,YEARFRAC(MAX($P$708*($B724+IF($R$17="Distrato",$I$38-1,0)),IF(AND($L$711=0,$P$708=0),"",$L$711-1),IF($R$17="Distrato",$E724,0)),MIN(X$38,$D$19),$P$20))-SUM($P724:W724)</f>
        <v>#VALUE!</v>
      </c>
      <c r="Y724" s="446" t="e">
        <f>IF(OR($B724="",MIN(Y$38,$D$19)&lt;MAX($P$708*($B724+IF($R$17="Distrato",$I$38-1,0)),IF(AND($L$711=0,$P$708=0),"",$L$711-1),IF($R$17="Distrato",$E724,0))),0,YEARFRAC(MAX($P$708*($B724+IF($R$17="Distrato",$I$38-1,0)),IF(AND($L$711=0,$P$708=0),"",$L$711-1),IF($R$17="Distrato",$E724,0)),MIN(Y$38,$D$19),$P$20))-SUM($P724:X724)</f>
        <v>#VALUE!</v>
      </c>
      <c r="Z724" s="446" t="e">
        <f>IF(OR($B724="",MIN(Z$38,$D$19)&lt;MAX($P$708*($B724+IF($R$17="Distrato",$I$38-1,0)),IF(AND($L$711=0,$P$708=0),"",$L$711-1),IF($R$17="Distrato",$E724,0))),0,YEARFRAC(MAX($P$708*($B724+IF($R$17="Distrato",$I$38-1,0)),IF(AND($L$711=0,$P$708=0),"",$L$711-1),IF($R$17="Distrato",$E724,0)),MIN(Z$38,$D$19),$P$20))-SUM($P724:Y724)</f>
        <v>#VALUE!</v>
      </c>
      <c r="AA724" s="446" t="e">
        <f>IF(OR($B724="",MIN(AA$38,$D$19)&lt;MAX($P$708*($B724+IF($R$17="Distrato",$I$38-1,0)),IF(AND($L$711=0,$P$708=0),"",$L$711-1),IF($R$17="Distrato",$E724,0))),0,YEARFRAC(MAX($P$708*($B724+IF($R$17="Distrato",$I$38-1,0)),IF(AND($L$711=0,$P$708=0),"",$L$711-1),IF($R$17="Distrato",$E724,0)),MIN(AA$38,$D$19),$P$20))-SUM($P724:Z724)</f>
        <v>#VALUE!</v>
      </c>
      <c r="AB724" s="446" t="e">
        <f>IF(OR($B724="",MIN(AB$38,$D$19)&lt;MAX($P$708*($B724+IF($R$17="Distrato",$I$38-1,0)),IF(AND($L$711=0,$P$708=0),"",$L$711-1),IF($R$17="Distrato",$E724,0))),0,YEARFRAC(MAX($P$708*($B724+IF($R$17="Distrato",$I$38-1,0)),IF(AND($L$711=0,$P$708=0),"",$L$711-1),IF($R$17="Distrato",$E724,0)),MIN(AB$38,$D$19),$P$20))-SUM($P724:AA724)</f>
        <v>#VALUE!</v>
      </c>
      <c r="AC724" s="446" t="e">
        <f>IF(OR($B724="",MIN(AC$38,$D$19)&lt;MAX($P$708*($B724+IF($R$17="Distrato",$I$38-1,0)),IF(AND($L$711=0,$P$708=0),"",$L$711-1),IF($R$17="Distrato",$E724,0))),0,YEARFRAC(MAX($P$708*($B724+IF($R$17="Distrato",$I$38-1,0)),IF(AND($L$711=0,$P$708=0),"",$L$711-1),IF($R$17="Distrato",$E724,0)),MIN(AC$38,$D$19),$P$20))-SUM($P724:AB724)</f>
        <v>#VALUE!</v>
      </c>
      <c r="AD724" s="446" t="e">
        <f>IF(OR($B724="",MIN(AD$38,$D$19)&lt;MAX($P$708*($B724+IF($R$17="Distrato",$I$38-1,0)),IF(AND($L$711=0,$P$708=0),"",$L$711-1),IF($R$17="Distrato",$E724,0))),0,YEARFRAC(MAX($P$708*($B724+IF($R$17="Distrato",$I$38-1,0)),IF(AND($L$711=0,$P$708=0),"",$L$711-1),IF($R$17="Distrato",$E724,0)),MIN(AD$38,$D$19),$P$20))-SUM($P724:AC724)</f>
        <v>#VALUE!</v>
      </c>
      <c r="AE724" s="446" t="e">
        <f>IF(OR($B724="",MIN(AE$38,$D$19)&lt;MAX($P$708*($B724+IF($R$17="Distrato",$I$38-1,0)),IF(AND($L$711=0,$P$708=0),"",$L$711-1),IF($R$17="Distrato",$E724,0))),0,YEARFRAC(MAX($P$708*($B724+IF($R$17="Distrato",$I$38-1,0)),IF(AND($L$711=0,$P$708=0),"",$L$711-1),IF($R$17="Distrato",$E724,0)),MIN(AE$38,$D$19),$P$20))-SUM($P724:AD724)</f>
        <v>#VALUE!</v>
      </c>
      <c r="AF724" s="446" t="e">
        <f>IF(OR($B724="",MIN(AF$38,$D$19)&lt;MAX($P$708*($B724+IF($R$17="Distrato",$I$38-1,0)),IF(AND($L$711=0,$P$708=0),"",$L$711-1),IF($R$17="Distrato",$E724,0))),0,YEARFRAC(MAX($P$708*($B724+IF($R$17="Distrato",$I$38-1,0)),IF(AND($L$711=0,$P$708=0),"",$L$711-1),IF($R$17="Distrato",$E724,0)),MIN(AF$38,$D$19),$P$20))-SUM($P724:AE724)</f>
        <v>#VALUE!</v>
      </c>
      <c r="AG724" s="446" t="e">
        <f>IF(OR($B724="",MIN(AG$38,$D$19)&lt;MAX($P$708*($B724+IF($R$17="Distrato",$I$38-1,0)),IF(AND($L$711=0,$P$708=0),"",$L$711-1),IF($R$17="Distrato",$E724,0))),0,YEARFRAC(MAX($P$708*($B724+IF($R$17="Distrato",$I$38-1,0)),IF(AND($L$711=0,$P$708=0),"",$L$711-1),IF($R$17="Distrato",$E724,0)),MIN(AG$38,$D$19),$P$20))-SUM($P724:AF724)</f>
        <v>#VALUE!</v>
      </c>
      <c r="AH724" s="446" t="e">
        <f>IF(OR($B724="",MIN(AH$38,$D$19)&lt;MAX($P$708*($B724+IF($R$17="Distrato",$I$38-1,0)),IF(AND($L$711=0,$P$708=0),"",$L$711-1),IF($R$17="Distrato",$E724,0))),0,YEARFRAC(MAX($P$708*($B724+IF($R$17="Distrato",$I$38-1,0)),IF(AND($L$711=0,$P$708=0),"",$L$711-1),IF($R$17="Distrato",$E724,0)),MIN(AH$38,$D$19),$P$20))-SUM($P724:AG724)</f>
        <v>#VALUE!</v>
      </c>
      <c r="AI724" s="446" t="e">
        <f>IF(OR($B724="",MIN(AI$38,$D$19)&lt;MAX($P$708*($B724+IF($R$17="Distrato",$I$38-1,0)),IF(AND($L$711=0,$P$708=0),"",$L$711-1),IF($R$17="Distrato",$E724,0))),0,YEARFRAC(MAX($P$708*($B724+IF($R$17="Distrato",$I$38-1,0)),IF(AND($L$711=0,$P$708=0),"",$L$711-1),IF($R$17="Distrato",$E724,0)),MIN(AI$38,$D$19),$P$20))-SUM($P724:AH724)</f>
        <v>#VALUE!</v>
      </c>
      <c r="AJ724" s="446" t="e">
        <f>IF(OR($B724="",MIN(AJ$38,$D$19)&lt;MAX($P$708*($B724+IF($R$17="Distrato",$I$38-1,0)),IF(AND($L$711=0,$P$708=0),"",$L$711-1),IF($R$17="Distrato",$E724,0))),0,YEARFRAC(MAX($P$708*($B724+IF($R$17="Distrato",$I$38-1,0)),IF(AND($L$711=0,$P$708=0),"",$L$711-1),IF($R$17="Distrato",$E724,0)),MIN(AJ$38,$D$19),$P$20))-SUM($P724:AI724)</f>
        <v>#VALUE!</v>
      </c>
      <c r="AK724" s="446" t="e">
        <f>IF(OR($B724="",MIN(AK$38,$D$19)&lt;MAX($P$708*($B724+IF($R$17="Distrato",$I$38-1,0)),IF(AND($L$711=0,$P$708=0),"",$L$711-1),IF($R$17="Distrato",$E724,0))),0,YEARFRAC(MAX($P$708*($B724+IF($R$17="Distrato",$I$38-1,0)),IF(AND($L$711=0,$P$708=0),"",$L$711-1),IF($R$17="Distrato",$E724,0)),MIN(AK$38,$D$19),$P$20))-SUM($P724:AJ724)</f>
        <v>#VALUE!</v>
      </c>
      <c r="AL724" s="446" t="e">
        <f>IF(OR($B724="",MIN(AL$38,$D$19)&lt;MAX($P$708*($B724+IF($R$17="Distrato",$I$38-1,0)),IF(AND($L$711=0,$P$708=0),"",$L$711-1),IF($R$17="Distrato",$E724,0))),0,YEARFRAC(MAX($P$708*($B724+IF($R$17="Distrato",$I$38-1,0)),IF(AND($L$711=0,$P$708=0),"",$L$711-1),IF($R$17="Distrato",$E724,0)),MIN(AL$38,$D$19),$P$20))-SUM($P724:AK724)</f>
        <v>#VALUE!</v>
      </c>
      <c r="AM724" s="446" t="e">
        <f>IF(OR($B724="",MIN(AM$38,$D$19)&lt;MAX($P$708*($B724+IF($R$17="Distrato",$I$38-1,0)),IF(AND($L$711=0,$P$708=0),"",$L$711-1),IF($R$17="Distrato",$E724,0))),0,YEARFRAC(MAX($P$708*($B724+IF($R$17="Distrato",$I$38-1,0)),IF(AND($L$711=0,$P$708=0),"",$L$711-1),IF($R$17="Distrato",$E724,0)),MIN(AM$38,$D$19),$P$20))-SUM($P724:AL724)</f>
        <v>#VALUE!</v>
      </c>
      <c r="AN724" s="446" t="e">
        <f>IF(OR($B724="",MIN(AN$38,$D$19)&lt;MAX($P$708*($B724+IF($R$17="Distrato",$I$38-1,0)),IF(AND($L$711=0,$P$708=0),"",$L$711-1),IF($R$17="Distrato",$E724,0))),0,YEARFRAC(MAX($P$708*($B724+IF($R$17="Distrato",$I$38-1,0)),IF(AND($L$711=0,$P$708=0),"",$L$711-1),IF($R$17="Distrato",$E724,0)),MIN(AN$38,$D$19),$P$20))-SUM($P724:AM724)</f>
        <v>#VALUE!</v>
      </c>
      <c r="AO724" s="446" t="e">
        <f>IF(OR($B724="",MIN(AO$38,$D$19)&lt;MAX($P$708*($B724+IF($R$17="Distrato",$I$38-1,0)),IF(AND($L$711=0,$P$708=0),"",$L$711-1),IF($R$17="Distrato",$E724,0))),0,YEARFRAC(MAX($P$708*($B724+IF($R$17="Distrato",$I$38-1,0)),IF(AND($L$711=0,$P$708=0),"",$L$711-1),IF($R$17="Distrato",$E724,0)),MIN(AO$38,$D$19),$P$20))-SUM($P724:AN724)</f>
        <v>#VALUE!</v>
      </c>
      <c r="AP724" s="446" t="e">
        <f>IF(OR($B724="",MIN(AP$38,$D$19)&lt;MAX($P$708*($B724+IF($R$17="Distrato",$I$38-1,0)),IF(AND($L$711=0,$P$708=0),"",$L$711-1),IF($R$17="Distrato",$E724,0))),0,YEARFRAC(MAX($P$708*($B724+IF($R$17="Distrato",$I$38-1,0)),IF(AND($L$711=0,$P$708=0),"",$L$711-1),IF($R$17="Distrato",$E724,0)),MIN(AP$38,$D$19),$P$20))-SUM($P724:AO724)</f>
        <v>#VALUE!</v>
      </c>
      <c r="AQ724" s="446" t="e">
        <f>IF(OR($B724="",MIN(AQ$38,$D$19)&lt;MAX($P$708*($B724+IF($R$17="Distrato",$I$38-1,0)),IF(AND($L$711=0,$P$708=0),"",$L$711-1),IF($R$17="Distrato",$E724,0))),0,YEARFRAC(MAX($P$708*($B724+IF($R$17="Distrato",$I$38-1,0)),IF(AND($L$711=0,$P$708=0),"",$L$711-1),IF($R$17="Distrato",$E724,0)),MIN(AQ$38,$D$19),$P$20))-SUM($P724:AP724)</f>
        <v>#VALUE!</v>
      </c>
      <c r="AR724" s="446" t="e">
        <f>IF(OR($B724="",MIN(AR$38,$D$19)&lt;MAX($P$708*($B724+IF($R$17="Distrato",$I$38-1,0)),IF(AND($L$711=0,$P$708=0),"",$L$711-1),IF($R$17="Distrato",$E724,0))),0,YEARFRAC(MAX($P$708*($B724+IF($R$17="Distrato",$I$38-1,0)),IF(AND($L$711=0,$P$708=0),"",$L$711-1),IF($R$17="Distrato",$E724,0)),MIN(AR$38,$D$19),$P$20))-SUM($P724:AQ724)</f>
        <v>#VALUE!</v>
      </c>
      <c r="AS724" s="446" t="e">
        <f>IF(OR($B724="",MIN(AS$38,$D$19)&lt;MAX($P$708*($B724+IF($R$17="Distrato",$I$38-1,0)),IF(AND($L$711=0,$P$708=0),"",$L$711-1),IF($R$17="Distrato",$E724,0))),0,YEARFRAC(MAX($P$708*($B724+IF($R$17="Distrato",$I$38-1,0)),IF(AND($L$711=0,$P$708=0),"",$L$711-1),IF($R$17="Distrato",$E724,0)),MIN(AS$38,$D$19),$P$20))-SUM($P724:AR724)</f>
        <v>#VALUE!</v>
      </c>
      <c r="AT724" s="446" t="e">
        <f>IF(OR($B724="",MIN(AT$38,$D$19)&lt;MAX($P$708*($B724+IF($R$17="Distrato",$I$38-1,0)),IF(AND($L$711=0,$P$708=0),"",$L$711-1),IF($R$17="Distrato",$E724,0))),0,YEARFRAC(MAX($P$708*($B724+IF($R$17="Distrato",$I$38-1,0)),IF(AND($L$711=0,$P$708=0),"",$L$711-1),IF($R$17="Distrato",$E724,0)),MIN(AT$38,$D$19),$P$20))-SUM($P724:AS724)</f>
        <v>#VALUE!</v>
      </c>
      <c r="AU724" s="446" t="e">
        <f>IF(OR($B724="",MIN(AU$38,$D$19)&lt;MAX($P$708*($B724+IF($R$17="Distrato",$I$38-1,0)),IF(AND($L$711=0,$P$708=0),"",$L$711-1),IF($R$17="Distrato",$E724,0))),0,YEARFRAC(MAX($P$708*($B724+IF($R$17="Distrato",$I$38-1,0)),IF(AND($L$711=0,$P$708=0),"",$L$711-1),IF($R$17="Distrato",$E724,0)),MIN(AU$38,$D$19),$P$20))-SUM($P724:AT724)</f>
        <v>#VALUE!</v>
      </c>
      <c r="AV724" s="446" t="e">
        <f>IF(OR($B724="",MIN(AV$38,$D$19)&lt;MAX($P$708*($B724+IF($R$17="Distrato",$I$38-1,0)),IF(AND($L$711=0,$P$708=0),"",$L$711-1),IF($R$17="Distrato",$E724,0))),0,YEARFRAC(MAX($P$708*($B724+IF($R$17="Distrato",$I$38-1,0)),IF(AND($L$711=0,$P$708=0),"",$L$711-1),IF($R$17="Distrato",$E724,0)),MIN(AV$38,$D$19),$P$20))-SUM($P724:AU724)</f>
        <v>#VALUE!</v>
      </c>
      <c r="AW724" s="446" t="e">
        <f>IF(OR($B724="",MIN(AW$38,$D$19)&lt;MAX($P$708*($B724+IF($R$17="Distrato",$I$38-1,0)),IF(AND($L$711=0,$P$708=0),"",$L$711-1),IF($R$17="Distrato",$E724,0))),0,YEARFRAC(MAX($P$708*($B724+IF($R$17="Distrato",$I$38-1,0)),IF(AND($L$711=0,$P$708=0),"",$L$711-1),IF($R$17="Distrato",$E724,0)),MIN(AW$38,$D$19),$P$20))-SUM($P724:AV724)</f>
        <v>#VALUE!</v>
      </c>
      <c r="AX724" s="446" t="e">
        <f>IF(OR($B724="",MIN(AX$38,$D$19)&lt;MAX($P$708*($B724+IF($R$17="Distrato",$I$38-1,0)),IF(AND($L$711=0,$P$708=0),"",$L$711-1),IF($R$17="Distrato",$E724,0))),0,YEARFRAC(MAX($P$708*($B724+IF($R$17="Distrato",$I$38-1,0)),IF(AND($L$711=0,$P$708=0),"",$L$711-1),IF($R$17="Distrato",$E724,0)),MIN(AX$38,$D$19),$P$20))-SUM($P724:AW724)</f>
        <v>#VALUE!</v>
      </c>
      <c r="AY724" s="446" t="e">
        <f>IF(OR($B724="",MIN(AY$38,$D$19)&lt;MAX($P$708*($B724+IF($R$17="Distrato",$I$38-1,0)),IF(AND($L$711=0,$P$708=0),"",$L$711-1),IF($R$17="Distrato",$E724,0))),0,YEARFRAC(MAX($P$708*($B724+IF($R$17="Distrato",$I$38-1,0)),IF(AND($L$711=0,$P$708=0),"",$L$711-1),IF($R$17="Distrato",$E724,0)),MIN(AY$38,$D$19),$P$20))-SUM($P724:AX724)</f>
        <v>#VALUE!</v>
      </c>
      <c r="AZ724" s="446" t="e">
        <f>IF(OR($B724="",MIN(AZ$38,$D$19)&lt;MAX($P$708*($B724+IF($R$17="Distrato",$I$38-1,0)),IF(AND($L$711=0,$P$708=0),"",$L$711-1),IF($R$17="Distrato",$E724,0))),0,YEARFRAC(MAX($P$708*($B724+IF($R$17="Distrato",$I$38-1,0)),IF(AND($L$711=0,$P$708=0),"",$L$711-1),IF($R$17="Distrato",$E724,0)),MIN(AZ$38,$D$19),$P$20))-SUM($P724:AY724)</f>
        <v>#VALUE!</v>
      </c>
      <c r="BA724" s="446" t="e">
        <f>IF(OR($B724="",MIN(BA$38,$D$19)&lt;MAX($P$708*($B724+IF($R$17="Distrato",$I$38-1,0)),IF(AND($L$711=0,$P$708=0),"",$L$711-1),IF($R$17="Distrato",$E724,0))),0,YEARFRAC(MAX($P$708*($B724+IF($R$17="Distrato",$I$38-1,0)),IF(AND($L$711=0,$P$708=0),"",$L$711-1),IF($R$17="Distrato",$E724,0)),MIN(BA$38,$D$19),$P$20))-SUM($P724:AZ724)</f>
        <v>#VALUE!</v>
      </c>
      <c r="BB724" s="447"/>
    </row>
    <row r="725" spans="1:54" s="446" customFormat="1" ht="11.25" hidden="1" customHeight="1" x14ac:dyDescent="0.2">
      <c r="A725" s="235"/>
      <c r="B725" s="236"/>
      <c r="C725" s="29" t="str">
        <f>IF(B725="","",IF($L$709=$BL$25,VLOOKUP(DATE(YEAR($D$19),MONTH($D$19)-1,1),ÍNDICES!$A:$DE,HLOOKUP($BL$25,ÍNDICES!$B$3:$T$4,2)+11)-VLOOKUP(B725,ÍNDICES!$A:$DE,HLOOKUP($BL$25,ÍNDICES!$B$3:$T$4,2)+11)+1%,IF(C$712=$W$26,$J$35,IF(ISERROR(IF(B725&gt;$D$19,1,VLOOKUP(DATE(YEAR(B725),MONTH(B725)+IF($C$709=$S$23,1,0),1),ÍNDICES!$A:$DE,$Z$709+1))),"",IF(B725&gt;$D$19,1,VLOOKUP(DATE(YEAR(B725),MONTH(B725)+IF($C$709=$S$23,1,0),1),ÍNDICES!$A:$DE,$Z$709+1))))))</f>
        <v/>
      </c>
      <c r="D725" s="155"/>
      <c r="E725" s="88"/>
      <c r="F725" s="88"/>
      <c r="G725" s="88"/>
      <c r="H725" s="118"/>
      <c r="I725" s="182">
        <f t="shared" si="115"/>
        <v>0</v>
      </c>
      <c r="J725" s="20">
        <f t="shared" ca="1" si="116"/>
        <v>0</v>
      </c>
      <c r="K725" s="5">
        <f t="shared" ca="1" si="117"/>
        <v>0</v>
      </c>
      <c r="L725" s="61">
        <f t="shared" ca="1" si="118"/>
        <v>0</v>
      </c>
      <c r="M725" s="64">
        <f t="shared" si="119"/>
        <v>0</v>
      </c>
      <c r="N725" s="151"/>
      <c r="O725" s="5">
        <f t="shared" ca="1" si="120"/>
        <v>0</v>
      </c>
      <c r="P725" s="446" t="e">
        <f t="shared" si="121"/>
        <v>#VALUE!</v>
      </c>
      <c r="Q725" s="446" t="e">
        <f>IF(OR($B725="",MIN(Q$38,$D$19)&lt;MAX($P$708*($B725+IF($R$17="Distrato",$I$38-1,0)),IF(AND($L$711=0,$P$708=0),"",$L$711-1),IF($R$17="Distrato",$E725,0))),0,YEARFRAC(MAX($P$708*($B725+IF($R$17="Distrato",$I$38-1,0)),IF(AND($L$711=0,$P$708=0),"",$L$711-1),IF($R$17="Distrato",$E725,0)),MIN(Q$38,$D$19),$P$20))-SUM($P725:P725)</f>
        <v>#VALUE!</v>
      </c>
      <c r="R725" s="446" t="e">
        <f>IF(OR($B725="",MIN(R$38,$D$19)&lt;MAX($P$708*($B725+IF($R$17="Distrato",$I$38-1,0)),IF(AND($L$711=0,$P$708=0),"",$L$711-1),IF($R$17="Distrato",$E725,0))),0,YEARFRAC(MAX($P$708*($B725+IF($R$17="Distrato",$I$38-1,0)),IF(AND($L$711=0,$P$708=0),"",$L$711-1),IF($R$17="Distrato",$E725,0)),MIN(R$38,$D$19),$P$20))-SUM($P725:Q725)</f>
        <v>#VALUE!</v>
      </c>
      <c r="S725" s="446" t="e">
        <f>IF(OR($B725="",MIN(S$38,$D$19)&lt;MAX($P$708*($B725+IF($R$17="Distrato",$I$38-1,0)),IF(AND($L$711=0,$P$708=0),"",$L$711-1),IF($R$17="Distrato",$E725,0))),0,YEARFRAC(MAX($P$708*($B725+IF($R$17="Distrato",$I$38-1,0)),IF(AND($L$711=0,$P$708=0),"",$L$711-1),IF($R$17="Distrato",$E725,0)),MIN(S$38,$D$19),$P$20))-SUM($P725:R725)</f>
        <v>#VALUE!</v>
      </c>
      <c r="T725" s="446" t="e">
        <f>IF(OR($B725="",MIN(T$38,$D$19)&lt;MAX($P$708*($B725+IF($R$17="Distrato",$I$38-1,0)),IF(AND($L$711=0,$P$708=0),"",$L$711-1),IF($R$17="Distrato",$E725,0))),0,YEARFRAC(MAX($P$708*($B725+IF($R$17="Distrato",$I$38-1,0)),IF(AND($L$711=0,$P$708=0),"",$L$711-1),IF($R$17="Distrato",$E725,0)),MIN(T$38,$D$19),$P$20))-SUM($P725:S725)</f>
        <v>#VALUE!</v>
      </c>
      <c r="U725" s="446" t="e">
        <f>IF(OR($B725="",MIN(U$38,$D$19)&lt;MAX($P$708*($B725+IF($R$17="Distrato",$I$38-1,0)),IF(AND($L$711=0,$P$708=0),"",$L$711-1),IF($R$17="Distrato",$E725,0))),0,YEARFRAC(MAX($P$708*($B725+IF($R$17="Distrato",$I$38-1,0)),IF(AND($L$711=0,$P$708=0),"",$L$711-1),IF($R$17="Distrato",$E725,0)),MIN(U$38,$D$19),$P$20))-SUM($P725:T725)</f>
        <v>#VALUE!</v>
      </c>
      <c r="V725" s="446" t="e">
        <f>IF(OR($B725="",MIN(V$38,$D$19)&lt;MAX($P$708*($B725+IF($R$17="Distrato",$I$38-1,0)),IF(AND($L$711=0,$P$708=0),"",$L$711-1),IF($R$17="Distrato",$E725,0))),0,YEARFRAC(MAX($P$708*($B725+IF($R$17="Distrato",$I$38-1,0)),IF(AND($L$711=0,$P$708=0),"",$L$711-1),IF($R$17="Distrato",$E725,0)),MIN(V$38,$D$19),$P$20))-SUM($P725:U725)</f>
        <v>#VALUE!</v>
      </c>
      <c r="W725" s="446" t="e">
        <f>IF(OR($B725="",MIN(W$38,$D$19)&lt;MAX($P$708*($B725+IF($R$17="Distrato",$I$38-1,0)),IF(AND($L$711=0,$P$708=0),"",$L$711-1),IF($R$17="Distrato",$E725,0))),0,YEARFRAC(MAX($P$708*($B725+IF($R$17="Distrato",$I$38-1,0)),IF(AND($L$711=0,$P$708=0),"",$L$711-1),IF($R$17="Distrato",$E725,0)),MIN(W$38,$D$19),$P$20))-SUM($P725:V725)</f>
        <v>#VALUE!</v>
      </c>
      <c r="X725" s="446" t="e">
        <f>IF(OR($B725="",MIN(X$38,$D$19)&lt;MAX($P$708*($B725+IF($R$17="Distrato",$I$38-1,0)),IF(AND($L$711=0,$P$708=0),"",$L$711-1),IF($R$17="Distrato",$E725,0))),0,YEARFRAC(MAX($P$708*($B725+IF($R$17="Distrato",$I$38-1,0)),IF(AND($L$711=0,$P$708=0),"",$L$711-1),IF($R$17="Distrato",$E725,0)),MIN(X$38,$D$19),$P$20))-SUM($P725:W725)</f>
        <v>#VALUE!</v>
      </c>
      <c r="Y725" s="446" t="e">
        <f>IF(OR($B725="",MIN(Y$38,$D$19)&lt;MAX($P$708*($B725+IF($R$17="Distrato",$I$38-1,0)),IF(AND($L$711=0,$P$708=0),"",$L$711-1),IF($R$17="Distrato",$E725,0))),0,YEARFRAC(MAX($P$708*($B725+IF($R$17="Distrato",$I$38-1,0)),IF(AND($L$711=0,$P$708=0),"",$L$711-1),IF($R$17="Distrato",$E725,0)),MIN(Y$38,$D$19),$P$20))-SUM($P725:X725)</f>
        <v>#VALUE!</v>
      </c>
      <c r="Z725" s="446" t="e">
        <f>IF(OR($B725="",MIN(Z$38,$D$19)&lt;MAX($P$708*($B725+IF($R$17="Distrato",$I$38-1,0)),IF(AND($L$711=0,$P$708=0),"",$L$711-1),IF($R$17="Distrato",$E725,0))),0,YEARFRAC(MAX($P$708*($B725+IF($R$17="Distrato",$I$38-1,0)),IF(AND($L$711=0,$P$708=0),"",$L$711-1),IF($R$17="Distrato",$E725,0)),MIN(Z$38,$D$19),$P$20))-SUM($P725:Y725)</f>
        <v>#VALUE!</v>
      </c>
      <c r="AA725" s="446" t="e">
        <f>IF(OR($B725="",MIN(AA$38,$D$19)&lt;MAX($P$708*($B725+IF($R$17="Distrato",$I$38-1,0)),IF(AND($L$711=0,$P$708=0),"",$L$711-1),IF($R$17="Distrato",$E725,0))),0,YEARFRAC(MAX($P$708*($B725+IF($R$17="Distrato",$I$38-1,0)),IF(AND($L$711=0,$P$708=0),"",$L$711-1),IF($R$17="Distrato",$E725,0)),MIN(AA$38,$D$19),$P$20))-SUM($P725:Z725)</f>
        <v>#VALUE!</v>
      </c>
      <c r="AB725" s="446" t="e">
        <f>IF(OR($B725="",MIN(AB$38,$D$19)&lt;MAX($P$708*($B725+IF($R$17="Distrato",$I$38-1,0)),IF(AND($L$711=0,$P$708=0),"",$L$711-1),IF($R$17="Distrato",$E725,0))),0,YEARFRAC(MAX($P$708*($B725+IF($R$17="Distrato",$I$38-1,0)),IF(AND($L$711=0,$P$708=0),"",$L$711-1),IF($R$17="Distrato",$E725,0)),MIN(AB$38,$D$19),$P$20))-SUM($P725:AA725)</f>
        <v>#VALUE!</v>
      </c>
      <c r="AC725" s="446" t="e">
        <f>IF(OR($B725="",MIN(AC$38,$D$19)&lt;MAX($P$708*($B725+IF($R$17="Distrato",$I$38-1,0)),IF(AND($L$711=0,$P$708=0),"",$L$711-1),IF($R$17="Distrato",$E725,0))),0,YEARFRAC(MAX($P$708*($B725+IF($R$17="Distrato",$I$38-1,0)),IF(AND($L$711=0,$P$708=0),"",$L$711-1),IF($R$17="Distrato",$E725,0)),MIN(AC$38,$D$19),$P$20))-SUM($P725:AB725)</f>
        <v>#VALUE!</v>
      </c>
      <c r="AD725" s="446" t="e">
        <f>IF(OR($B725="",MIN(AD$38,$D$19)&lt;MAX($P$708*($B725+IF($R$17="Distrato",$I$38-1,0)),IF(AND($L$711=0,$P$708=0),"",$L$711-1),IF($R$17="Distrato",$E725,0))),0,YEARFRAC(MAX($P$708*($B725+IF($R$17="Distrato",$I$38-1,0)),IF(AND($L$711=0,$P$708=0),"",$L$711-1),IF($R$17="Distrato",$E725,0)),MIN(AD$38,$D$19),$P$20))-SUM($P725:AC725)</f>
        <v>#VALUE!</v>
      </c>
      <c r="AE725" s="446" t="e">
        <f>IF(OR($B725="",MIN(AE$38,$D$19)&lt;MAX($P$708*($B725+IF($R$17="Distrato",$I$38-1,0)),IF(AND($L$711=0,$P$708=0),"",$L$711-1),IF($R$17="Distrato",$E725,0))),0,YEARFRAC(MAX($P$708*($B725+IF($R$17="Distrato",$I$38-1,0)),IF(AND($L$711=0,$P$708=0),"",$L$711-1),IF($R$17="Distrato",$E725,0)),MIN(AE$38,$D$19),$P$20))-SUM($P725:AD725)</f>
        <v>#VALUE!</v>
      </c>
      <c r="AF725" s="446" t="e">
        <f>IF(OR($B725="",MIN(AF$38,$D$19)&lt;MAX($P$708*($B725+IF($R$17="Distrato",$I$38-1,0)),IF(AND($L$711=0,$P$708=0),"",$L$711-1),IF($R$17="Distrato",$E725,0))),0,YEARFRAC(MAX($P$708*($B725+IF($R$17="Distrato",$I$38-1,0)),IF(AND($L$711=0,$P$708=0),"",$L$711-1),IF($R$17="Distrato",$E725,0)),MIN(AF$38,$D$19),$P$20))-SUM($P725:AE725)</f>
        <v>#VALUE!</v>
      </c>
      <c r="AG725" s="446" t="e">
        <f>IF(OR($B725="",MIN(AG$38,$D$19)&lt;MAX($P$708*($B725+IF($R$17="Distrato",$I$38-1,0)),IF(AND($L$711=0,$P$708=0),"",$L$711-1),IF($R$17="Distrato",$E725,0))),0,YEARFRAC(MAX($P$708*($B725+IF($R$17="Distrato",$I$38-1,0)),IF(AND($L$711=0,$P$708=0),"",$L$711-1),IF($R$17="Distrato",$E725,0)),MIN(AG$38,$D$19),$P$20))-SUM($P725:AF725)</f>
        <v>#VALUE!</v>
      </c>
      <c r="AH725" s="446" t="e">
        <f>IF(OR($B725="",MIN(AH$38,$D$19)&lt;MAX($P$708*($B725+IF($R$17="Distrato",$I$38-1,0)),IF(AND($L$711=0,$P$708=0),"",$L$711-1),IF($R$17="Distrato",$E725,0))),0,YEARFRAC(MAX($P$708*($B725+IF($R$17="Distrato",$I$38-1,0)),IF(AND($L$711=0,$P$708=0),"",$L$711-1),IF($R$17="Distrato",$E725,0)),MIN(AH$38,$D$19),$P$20))-SUM($P725:AG725)</f>
        <v>#VALUE!</v>
      </c>
      <c r="AI725" s="446" t="e">
        <f>IF(OR($B725="",MIN(AI$38,$D$19)&lt;MAX($P$708*($B725+IF($R$17="Distrato",$I$38-1,0)),IF(AND($L$711=0,$P$708=0),"",$L$711-1),IF($R$17="Distrato",$E725,0))),0,YEARFRAC(MAX($P$708*($B725+IF($R$17="Distrato",$I$38-1,0)),IF(AND($L$711=0,$P$708=0),"",$L$711-1),IF($R$17="Distrato",$E725,0)),MIN(AI$38,$D$19),$P$20))-SUM($P725:AH725)</f>
        <v>#VALUE!</v>
      </c>
      <c r="AJ725" s="446" t="e">
        <f>IF(OR($B725="",MIN(AJ$38,$D$19)&lt;MAX($P$708*($B725+IF($R$17="Distrato",$I$38-1,0)),IF(AND($L$711=0,$P$708=0),"",$L$711-1),IF($R$17="Distrato",$E725,0))),0,YEARFRAC(MAX($P$708*($B725+IF($R$17="Distrato",$I$38-1,0)),IF(AND($L$711=0,$P$708=0),"",$L$711-1),IF($R$17="Distrato",$E725,0)),MIN(AJ$38,$D$19),$P$20))-SUM($P725:AI725)</f>
        <v>#VALUE!</v>
      </c>
      <c r="AK725" s="446" t="e">
        <f>IF(OR($B725="",MIN(AK$38,$D$19)&lt;MAX($P$708*($B725+IF($R$17="Distrato",$I$38-1,0)),IF(AND($L$711=0,$P$708=0),"",$L$711-1),IF($R$17="Distrato",$E725,0))),0,YEARFRAC(MAX($P$708*($B725+IF($R$17="Distrato",$I$38-1,0)),IF(AND($L$711=0,$P$708=0),"",$L$711-1),IF($R$17="Distrato",$E725,0)),MIN(AK$38,$D$19),$P$20))-SUM($P725:AJ725)</f>
        <v>#VALUE!</v>
      </c>
      <c r="AL725" s="446" t="e">
        <f>IF(OR($B725="",MIN(AL$38,$D$19)&lt;MAX($P$708*($B725+IF($R$17="Distrato",$I$38-1,0)),IF(AND($L$711=0,$P$708=0),"",$L$711-1),IF($R$17="Distrato",$E725,0))),0,YEARFRAC(MAX($P$708*($B725+IF($R$17="Distrato",$I$38-1,0)),IF(AND($L$711=0,$P$708=0),"",$L$711-1),IF($R$17="Distrato",$E725,0)),MIN(AL$38,$D$19),$P$20))-SUM($P725:AK725)</f>
        <v>#VALUE!</v>
      </c>
      <c r="AM725" s="446" t="e">
        <f>IF(OR($B725="",MIN(AM$38,$D$19)&lt;MAX($P$708*($B725+IF($R$17="Distrato",$I$38-1,0)),IF(AND($L$711=0,$P$708=0),"",$L$711-1),IF($R$17="Distrato",$E725,0))),0,YEARFRAC(MAX($P$708*($B725+IF($R$17="Distrato",$I$38-1,0)),IF(AND($L$711=0,$P$708=0),"",$L$711-1),IF($R$17="Distrato",$E725,0)),MIN(AM$38,$D$19),$P$20))-SUM($P725:AL725)</f>
        <v>#VALUE!</v>
      </c>
      <c r="AN725" s="446" t="e">
        <f>IF(OR($B725="",MIN(AN$38,$D$19)&lt;MAX($P$708*($B725+IF($R$17="Distrato",$I$38-1,0)),IF(AND($L$711=0,$P$708=0),"",$L$711-1),IF($R$17="Distrato",$E725,0))),0,YEARFRAC(MAX($P$708*($B725+IF($R$17="Distrato",$I$38-1,0)),IF(AND($L$711=0,$P$708=0),"",$L$711-1),IF($R$17="Distrato",$E725,0)),MIN(AN$38,$D$19),$P$20))-SUM($P725:AM725)</f>
        <v>#VALUE!</v>
      </c>
      <c r="AO725" s="446" t="e">
        <f>IF(OR($B725="",MIN(AO$38,$D$19)&lt;MAX($P$708*($B725+IF($R$17="Distrato",$I$38-1,0)),IF(AND($L$711=0,$P$708=0),"",$L$711-1),IF($R$17="Distrato",$E725,0))),0,YEARFRAC(MAX($P$708*($B725+IF($R$17="Distrato",$I$38-1,0)),IF(AND($L$711=0,$P$708=0),"",$L$711-1),IF($R$17="Distrato",$E725,0)),MIN(AO$38,$D$19),$P$20))-SUM($P725:AN725)</f>
        <v>#VALUE!</v>
      </c>
      <c r="AP725" s="446" t="e">
        <f>IF(OR($B725="",MIN(AP$38,$D$19)&lt;MAX($P$708*($B725+IF($R$17="Distrato",$I$38-1,0)),IF(AND($L$711=0,$P$708=0),"",$L$711-1),IF($R$17="Distrato",$E725,0))),0,YEARFRAC(MAX($P$708*($B725+IF($R$17="Distrato",$I$38-1,0)),IF(AND($L$711=0,$P$708=0),"",$L$711-1),IF($R$17="Distrato",$E725,0)),MIN(AP$38,$D$19),$P$20))-SUM($P725:AO725)</f>
        <v>#VALUE!</v>
      </c>
      <c r="AQ725" s="446" t="e">
        <f>IF(OR($B725="",MIN(AQ$38,$D$19)&lt;MAX($P$708*($B725+IF($R$17="Distrato",$I$38-1,0)),IF(AND($L$711=0,$P$708=0),"",$L$711-1),IF($R$17="Distrato",$E725,0))),0,YEARFRAC(MAX($P$708*($B725+IF($R$17="Distrato",$I$38-1,0)),IF(AND($L$711=0,$P$708=0),"",$L$711-1),IF($R$17="Distrato",$E725,0)),MIN(AQ$38,$D$19),$P$20))-SUM($P725:AP725)</f>
        <v>#VALUE!</v>
      </c>
      <c r="AR725" s="446" t="e">
        <f>IF(OR($B725="",MIN(AR$38,$D$19)&lt;MAX($P$708*($B725+IF($R$17="Distrato",$I$38-1,0)),IF(AND($L$711=0,$P$708=0),"",$L$711-1),IF($R$17="Distrato",$E725,0))),0,YEARFRAC(MAX($P$708*($B725+IF($R$17="Distrato",$I$38-1,0)),IF(AND($L$711=0,$P$708=0),"",$L$711-1),IF($R$17="Distrato",$E725,0)),MIN(AR$38,$D$19),$P$20))-SUM($P725:AQ725)</f>
        <v>#VALUE!</v>
      </c>
      <c r="AS725" s="446" t="e">
        <f>IF(OR($B725="",MIN(AS$38,$D$19)&lt;MAX($P$708*($B725+IF($R$17="Distrato",$I$38-1,0)),IF(AND($L$711=0,$P$708=0),"",$L$711-1),IF($R$17="Distrato",$E725,0))),0,YEARFRAC(MAX($P$708*($B725+IF($R$17="Distrato",$I$38-1,0)),IF(AND($L$711=0,$P$708=0),"",$L$711-1),IF($R$17="Distrato",$E725,0)),MIN(AS$38,$D$19),$P$20))-SUM($P725:AR725)</f>
        <v>#VALUE!</v>
      </c>
      <c r="AT725" s="446" t="e">
        <f>IF(OR($B725="",MIN(AT$38,$D$19)&lt;MAX($P$708*($B725+IF($R$17="Distrato",$I$38-1,0)),IF(AND($L$711=0,$P$708=0),"",$L$711-1),IF($R$17="Distrato",$E725,0))),0,YEARFRAC(MAX($P$708*($B725+IF($R$17="Distrato",$I$38-1,0)),IF(AND($L$711=0,$P$708=0),"",$L$711-1),IF($R$17="Distrato",$E725,0)),MIN(AT$38,$D$19),$P$20))-SUM($P725:AS725)</f>
        <v>#VALUE!</v>
      </c>
      <c r="AU725" s="446" t="e">
        <f>IF(OR($B725="",MIN(AU$38,$D$19)&lt;MAX($P$708*($B725+IF($R$17="Distrato",$I$38-1,0)),IF(AND($L$711=0,$P$708=0),"",$L$711-1),IF($R$17="Distrato",$E725,0))),0,YEARFRAC(MAX($P$708*($B725+IF($R$17="Distrato",$I$38-1,0)),IF(AND($L$711=0,$P$708=0),"",$L$711-1),IF($R$17="Distrato",$E725,0)),MIN(AU$38,$D$19),$P$20))-SUM($P725:AT725)</f>
        <v>#VALUE!</v>
      </c>
      <c r="AV725" s="446" t="e">
        <f>IF(OR($B725="",MIN(AV$38,$D$19)&lt;MAX($P$708*($B725+IF($R$17="Distrato",$I$38-1,0)),IF(AND($L$711=0,$P$708=0),"",$L$711-1),IF($R$17="Distrato",$E725,0))),0,YEARFRAC(MAX($P$708*($B725+IF($R$17="Distrato",$I$38-1,0)),IF(AND($L$711=0,$P$708=0),"",$L$711-1),IF($R$17="Distrato",$E725,0)),MIN(AV$38,$D$19),$P$20))-SUM($P725:AU725)</f>
        <v>#VALUE!</v>
      </c>
      <c r="AW725" s="446" t="e">
        <f>IF(OR($B725="",MIN(AW$38,$D$19)&lt;MAX($P$708*($B725+IF($R$17="Distrato",$I$38-1,0)),IF(AND($L$711=0,$P$708=0),"",$L$711-1),IF($R$17="Distrato",$E725,0))),0,YEARFRAC(MAX($P$708*($B725+IF($R$17="Distrato",$I$38-1,0)),IF(AND($L$711=0,$P$708=0),"",$L$711-1),IF($R$17="Distrato",$E725,0)),MIN(AW$38,$D$19),$P$20))-SUM($P725:AV725)</f>
        <v>#VALUE!</v>
      </c>
      <c r="AX725" s="446" t="e">
        <f>IF(OR($B725="",MIN(AX$38,$D$19)&lt;MAX($P$708*($B725+IF($R$17="Distrato",$I$38-1,0)),IF(AND($L$711=0,$P$708=0),"",$L$711-1),IF($R$17="Distrato",$E725,0))),0,YEARFRAC(MAX($P$708*($B725+IF($R$17="Distrato",$I$38-1,0)),IF(AND($L$711=0,$P$708=0),"",$L$711-1),IF($R$17="Distrato",$E725,0)),MIN(AX$38,$D$19),$P$20))-SUM($P725:AW725)</f>
        <v>#VALUE!</v>
      </c>
      <c r="AY725" s="446" t="e">
        <f>IF(OR($B725="",MIN(AY$38,$D$19)&lt;MAX($P$708*($B725+IF($R$17="Distrato",$I$38-1,0)),IF(AND($L$711=0,$P$708=0),"",$L$711-1),IF($R$17="Distrato",$E725,0))),0,YEARFRAC(MAX($P$708*($B725+IF($R$17="Distrato",$I$38-1,0)),IF(AND($L$711=0,$P$708=0),"",$L$711-1),IF($R$17="Distrato",$E725,0)),MIN(AY$38,$D$19),$P$20))-SUM($P725:AX725)</f>
        <v>#VALUE!</v>
      </c>
      <c r="AZ725" s="446" t="e">
        <f>IF(OR($B725="",MIN(AZ$38,$D$19)&lt;MAX($P$708*($B725+IF($R$17="Distrato",$I$38-1,0)),IF(AND($L$711=0,$P$708=0),"",$L$711-1),IF($R$17="Distrato",$E725,0))),0,YEARFRAC(MAX($P$708*($B725+IF($R$17="Distrato",$I$38-1,0)),IF(AND($L$711=0,$P$708=0),"",$L$711-1),IF($R$17="Distrato",$E725,0)),MIN(AZ$38,$D$19),$P$20))-SUM($P725:AY725)</f>
        <v>#VALUE!</v>
      </c>
      <c r="BA725" s="446" t="e">
        <f>IF(OR($B725="",MIN(BA$38,$D$19)&lt;MAX($P$708*($B725+IF($R$17="Distrato",$I$38-1,0)),IF(AND($L$711=0,$P$708=0),"",$L$711-1),IF($R$17="Distrato",$E725,0))),0,YEARFRAC(MAX($P$708*($B725+IF($R$17="Distrato",$I$38-1,0)),IF(AND($L$711=0,$P$708=0),"",$L$711-1),IF($R$17="Distrato",$E725,0)),MIN(BA$38,$D$19),$P$20))-SUM($P725:AZ725)</f>
        <v>#VALUE!</v>
      </c>
      <c r="BB725" s="447"/>
    </row>
    <row r="726" spans="1:54" s="446" customFormat="1" ht="11.25" hidden="1" customHeight="1" x14ac:dyDescent="0.2">
      <c r="A726" s="235"/>
      <c r="B726" s="236"/>
      <c r="C726" s="29" t="str">
        <f>IF(B726="","",IF($L$709=$BL$25,VLOOKUP(DATE(YEAR($D$19),MONTH($D$19)-1,1),ÍNDICES!$A:$DE,HLOOKUP($BL$25,ÍNDICES!$B$3:$T$4,2)+11)-VLOOKUP(B726,ÍNDICES!$A:$DE,HLOOKUP($BL$25,ÍNDICES!$B$3:$T$4,2)+11)+1%,IF(C$712=$W$26,$J$35,IF(ISERROR(IF(B726&gt;$D$19,1,VLOOKUP(DATE(YEAR(B726),MONTH(B726)+IF($C$709=$S$23,1,0),1),ÍNDICES!$A:$DE,$Z$709+1))),"",IF(B726&gt;$D$19,1,VLOOKUP(DATE(YEAR(B726),MONTH(B726)+IF($C$709=$S$23,1,0),1),ÍNDICES!$A:$DE,$Z$709+1))))))</f>
        <v/>
      </c>
      <c r="D726" s="155"/>
      <c r="E726" s="88"/>
      <c r="F726" s="88"/>
      <c r="G726" s="88"/>
      <c r="H726" s="118"/>
      <c r="I726" s="182">
        <f t="shared" si="115"/>
        <v>0</v>
      </c>
      <c r="J726" s="20">
        <f t="shared" ca="1" si="116"/>
        <v>0</v>
      </c>
      <c r="K726" s="5">
        <f t="shared" ca="1" si="117"/>
        <v>0</v>
      </c>
      <c r="L726" s="61">
        <f t="shared" ca="1" si="118"/>
        <v>0</v>
      </c>
      <c r="M726" s="64">
        <f t="shared" si="119"/>
        <v>0</v>
      </c>
      <c r="N726" s="151"/>
      <c r="O726" s="5">
        <f t="shared" ca="1" si="120"/>
        <v>0</v>
      </c>
      <c r="P726" s="446" t="e">
        <f t="shared" si="121"/>
        <v>#VALUE!</v>
      </c>
      <c r="Q726" s="446" t="e">
        <f>IF(OR($B726="",MIN(Q$38,$D$19)&lt;MAX($P$708*($B726+IF($R$17="Distrato",$I$38-1,0)),IF(AND($L$711=0,$P$708=0),"",$L$711-1),IF($R$17="Distrato",$E726,0))),0,YEARFRAC(MAX($P$708*($B726+IF($R$17="Distrato",$I$38-1,0)),IF(AND($L$711=0,$P$708=0),"",$L$711-1),IF($R$17="Distrato",$E726,0)),MIN(Q$38,$D$19),$P$20))-SUM($P726:P726)</f>
        <v>#VALUE!</v>
      </c>
      <c r="R726" s="446" t="e">
        <f>IF(OR($B726="",MIN(R$38,$D$19)&lt;MAX($P$708*($B726+IF($R$17="Distrato",$I$38-1,0)),IF(AND($L$711=0,$P$708=0),"",$L$711-1),IF($R$17="Distrato",$E726,0))),0,YEARFRAC(MAX($P$708*($B726+IF($R$17="Distrato",$I$38-1,0)),IF(AND($L$711=0,$P$708=0),"",$L$711-1),IF($R$17="Distrato",$E726,0)),MIN(R$38,$D$19),$P$20))-SUM($P726:Q726)</f>
        <v>#VALUE!</v>
      </c>
      <c r="S726" s="446" t="e">
        <f>IF(OR($B726="",MIN(S$38,$D$19)&lt;MAX($P$708*($B726+IF($R$17="Distrato",$I$38-1,0)),IF(AND($L$711=0,$P$708=0),"",$L$711-1),IF($R$17="Distrato",$E726,0))),0,YEARFRAC(MAX($P$708*($B726+IF($R$17="Distrato",$I$38-1,0)),IF(AND($L$711=0,$P$708=0),"",$L$711-1),IF($R$17="Distrato",$E726,0)),MIN(S$38,$D$19),$P$20))-SUM($P726:R726)</f>
        <v>#VALUE!</v>
      </c>
      <c r="T726" s="446" t="e">
        <f>IF(OR($B726="",MIN(T$38,$D$19)&lt;MAX($P$708*($B726+IF($R$17="Distrato",$I$38-1,0)),IF(AND($L$711=0,$P$708=0),"",$L$711-1),IF($R$17="Distrato",$E726,0))),0,YEARFRAC(MAX($P$708*($B726+IF($R$17="Distrato",$I$38-1,0)),IF(AND($L$711=0,$P$708=0),"",$L$711-1),IF($R$17="Distrato",$E726,0)),MIN(T$38,$D$19),$P$20))-SUM($P726:S726)</f>
        <v>#VALUE!</v>
      </c>
      <c r="U726" s="446" t="e">
        <f>IF(OR($B726="",MIN(U$38,$D$19)&lt;MAX($P$708*($B726+IF($R$17="Distrato",$I$38-1,0)),IF(AND($L$711=0,$P$708=0),"",$L$711-1),IF($R$17="Distrato",$E726,0))),0,YEARFRAC(MAX($P$708*($B726+IF($R$17="Distrato",$I$38-1,0)),IF(AND($L$711=0,$P$708=0),"",$L$711-1),IF($R$17="Distrato",$E726,0)),MIN(U$38,$D$19),$P$20))-SUM($P726:T726)</f>
        <v>#VALUE!</v>
      </c>
      <c r="V726" s="446" t="e">
        <f>IF(OR($B726="",MIN(V$38,$D$19)&lt;MAX($P$708*($B726+IF($R$17="Distrato",$I$38-1,0)),IF(AND($L$711=0,$P$708=0),"",$L$711-1),IF($R$17="Distrato",$E726,0))),0,YEARFRAC(MAX($P$708*($B726+IF($R$17="Distrato",$I$38-1,0)),IF(AND($L$711=0,$P$708=0),"",$L$711-1),IF($R$17="Distrato",$E726,0)),MIN(V$38,$D$19),$P$20))-SUM($P726:U726)</f>
        <v>#VALUE!</v>
      </c>
      <c r="W726" s="446" t="e">
        <f>IF(OR($B726="",MIN(W$38,$D$19)&lt;MAX($P$708*($B726+IF($R$17="Distrato",$I$38-1,0)),IF(AND($L$711=0,$P$708=0),"",$L$711-1),IF($R$17="Distrato",$E726,0))),0,YEARFRAC(MAX($P$708*($B726+IF($R$17="Distrato",$I$38-1,0)),IF(AND($L$711=0,$P$708=0),"",$L$711-1),IF($R$17="Distrato",$E726,0)),MIN(W$38,$D$19),$P$20))-SUM($P726:V726)</f>
        <v>#VALUE!</v>
      </c>
      <c r="X726" s="446" t="e">
        <f>IF(OR($B726="",MIN(X$38,$D$19)&lt;MAX($P$708*($B726+IF($R$17="Distrato",$I$38-1,0)),IF(AND($L$711=0,$P$708=0),"",$L$711-1),IF($R$17="Distrato",$E726,0))),0,YEARFRAC(MAX($P$708*($B726+IF($R$17="Distrato",$I$38-1,0)),IF(AND($L$711=0,$P$708=0),"",$L$711-1),IF($R$17="Distrato",$E726,0)),MIN(X$38,$D$19),$P$20))-SUM($P726:W726)</f>
        <v>#VALUE!</v>
      </c>
      <c r="Y726" s="446" t="e">
        <f>IF(OR($B726="",MIN(Y$38,$D$19)&lt;MAX($P$708*($B726+IF($R$17="Distrato",$I$38-1,0)),IF(AND($L$711=0,$P$708=0),"",$L$711-1),IF($R$17="Distrato",$E726,0))),0,YEARFRAC(MAX($P$708*($B726+IF($R$17="Distrato",$I$38-1,0)),IF(AND($L$711=0,$P$708=0),"",$L$711-1),IF($R$17="Distrato",$E726,0)),MIN(Y$38,$D$19),$P$20))-SUM($P726:X726)</f>
        <v>#VALUE!</v>
      </c>
      <c r="Z726" s="446" t="e">
        <f>IF(OR($B726="",MIN(Z$38,$D$19)&lt;MAX($P$708*($B726+IF($R$17="Distrato",$I$38-1,0)),IF(AND($L$711=0,$P$708=0),"",$L$711-1),IF($R$17="Distrato",$E726,0))),0,YEARFRAC(MAX($P$708*($B726+IF($R$17="Distrato",$I$38-1,0)),IF(AND($L$711=0,$P$708=0),"",$L$711-1),IF($R$17="Distrato",$E726,0)),MIN(Z$38,$D$19),$P$20))-SUM($P726:Y726)</f>
        <v>#VALUE!</v>
      </c>
      <c r="AA726" s="446" t="e">
        <f>IF(OR($B726="",MIN(AA$38,$D$19)&lt;MAX($P$708*($B726+IF($R$17="Distrato",$I$38-1,0)),IF(AND($L$711=0,$P$708=0),"",$L$711-1),IF($R$17="Distrato",$E726,0))),0,YEARFRAC(MAX($P$708*($B726+IF($R$17="Distrato",$I$38-1,0)),IF(AND($L$711=0,$P$708=0),"",$L$711-1),IF($R$17="Distrato",$E726,0)),MIN(AA$38,$D$19),$P$20))-SUM($P726:Z726)</f>
        <v>#VALUE!</v>
      </c>
      <c r="AB726" s="446" t="e">
        <f>IF(OR($B726="",MIN(AB$38,$D$19)&lt;MAX($P$708*($B726+IF($R$17="Distrato",$I$38-1,0)),IF(AND($L$711=0,$P$708=0),"",$L$711-1),IF($R$17="Distrato",$E726,0))),0,YEARFRAC(MAX($P$708*($B726+IF($R$17="Distrato",$I$38-1,0)),IF(AND($L$711=0,$P$708=0),"",$L$711-1),IF($R$17="Distrato",$E726,0)),MIN(AB$38,$D$19),$P$20))-SUM($P726:AA726)</f>
        <v>#VALUE!</v>
      </c>
      <c r="AC726" s="446" t="e">
        <f>IF(OR($B726="",MIN(AC$38,$D$19)&lt;MAX($P$708*($B726+IF($R$17="Distrato",$I$38-1,0)),IF(AND($L$711=0,$P$708=0),"",$L$711-1),IF($R$17="Distrato",$E726,0))),0,YEARFRAC(MAX($P$708*($B726+IF($R$17="Distrato",$I$38-1,0)),IF(AND($L$711=0,$P$708=0),"",$L$711-1),IF($R$17="Distrato",$E726,0)),MIN(AC$38,$D$19),$P$20))-SUM($P726:AB726)</f>
        <v>#VALUE!</v>
      </c>
      <c r="AD726" s="446" t="e">
        <f>IF(OR($B726="",MIN(AD$38,$D$19)&lt;MAX($P$708*($B726+IF($R$17="Distrato",$I$38-1,0)),IF(AND($L$711=0,$P$708=0),"",$L$711-1),IF($R$17="Distrato",$E726,0))),0,YEARFRAC(MAX($P$708*($B726+IF($R$17="Distrato",$I$38-1,0)),IF(AND($L$711=0,$P$708=0),"",$L$711-1),IF($R$17="Distrato",$E726,0)),MIN(AD$38,$D$19),$P$20))-SUM($P726:AC726)</f>
        <v>#VALUE!</v>
      </c>
      <c r="AE726" s="446" t="e">
        <f>IF(OR($B726="",MIN(AE$38,$D$19)&lt;MAX($P$708*($B726+IF($R$17="Distrato",$I$38-1,0)),IF(AND($L$711=0,$P$708=0),"",$L$711-1),IF($R$17="Distrato",$E726,0))),0,YEARFRAC(MAX($P$708*($B726+IF($R$17="Distrato",$I$38-1,0)),IF(AND($L$711=0,$P$708=0),"",$L$711-1),IF($R$17="Distrato",$E726,0)),MIN(AE$38,$D$19),$P$20))-SUM($P726:AD726)</f>
        <v>#VALUE!</v>
      </c>
      <c r="AF726" s="446" t="e">
        <f>IF(OR($B726="",MIN(AF$38,$D$19)&lt;MAX($P$708*($B726+IF($R$17="Distrato",$I$38-1,0)),IF(AND($L$711=0,$P$708=0),"",$L$711-1),IF($R$17="Distrato",$E726,0))),0,YEARFRAC(MAX($P$708*($B726+IF($R$17="Distrato",$I$38-1,0)),IF(AND($L$711=0,$P$708=0),"",$L$711-1),IF($R$17="Distrato",$E726,0)),MIN(AF$38,$D$19),$P$20))-SUM($P726:AE726)</f>
        <v>#VALUE!</v>
      </c>
      <c r="AG726" s="446" t="e">
        <f>IF(OR($B726="",MIN(AG$38,$D$19)&lt;MAX($P$708*($B726+IF($R$17="Distrato",$I$38-1,0)),IF(AND($L$711=0,$P$708=0),"",$L$711-1),IF($R$17="Distrato",$E726,0))),0,YEARFRAC(MAX($P$708*($B726+IF($R$17="Distrato",$I$38-1,0)),IF(AND($L$711=0,$P$708=0),"",$L$711-1),IF($R$17="Distrato",$E726,0)),MIN(AG$38,$D$19),$P$20))-SUM($P726:AF726)</f>
        <v>#VALUE!</v>
      </c>
      <c r="AH726" s="446" t="e">
        <f>IF(OR($B726="",MIN(AH$38,$D$19)&lt;MAX($P$708*($B726+IF($R$17="Distrato",$I$38-1,0)),IF(AND($L$711=0,$P$708=0),"",$L$711-1),IF($R$17="Distrato",$E726,0))),0,YEARFRAC(MAX($P$708*($B726+IF($R$17="Distrato",$I$38-1,0)),IF(AND($L$711=0,$P$708=0),"",$L$711-1),IF($R$17="Distrato",$E726,0)),MIN(AH$38,$D$19),$P$20))-SUM($P726:AG726)</f>
        <v>#VALUE!</v>
      </c>
      <c r="AI726" s="446" t="e">
        <f>IF(OR($B726="",MIN(AI$38,$D$19)&lt;MAX($P$708*($B726+IF($R$17="Distrato",$I$38-1,0)),IF(AND($L$711=0,$P$708=0),"",$L$711-1),IF($R$17="Distrato",$E726,0))),0,YEARFRAC(MAX($P$708*($B726+IF($R$17="Distrato",$I$38-1,0)),IF(AND($L$711=0,$P$708=0),"",$L$711-1),IF($R$17="Distrato",$E726,0)),MIN(AI$38,$D$19),$P$20))-SUM($P726:AH726)</f>
        <v>#VALUE!</v>
      </c>
      <c r="AJ726" s="446" t="e">
        <f>IF(OR($B726="",MIN(AJ$38,$D$19)&lt;MAX($P$708*($B726+IF($R$17="Distrato",$I$38-1,0)),IF(AND($L$711=0,$P$708=0),"",$L$711-1),IF($R$17="Distrato",$E726,0))),0,YEARFRAC(MAX($P$708*($B726+IF($R$17="Distrato",$I$38-1,0)),IF(AND($L$711=0,$P$708=0),"",$L$711-1),IF($R$17="Distrato",$E726,0)),MIN(AJ$38,$D$19),$P$20))-SUM($P726:AI726)</f>
        <v>#VALUE!</v>
      </c>
      <c r="AK726" s="446" t="e">
        <f>IF(OR($B726="",MIN(AK$38,$D$19)&lt;MAX($P$708*($B726+IF($R$17="Distrato",$I$38-1,0)),IF(AND($L$711=0,$P$708=0),"",$L$711-1),IF($R$17="Distrato",$E726,0))),0,YEARFRAC(MAX($P$708*($B726+IF($R$17="Distrato",$I$38-1,0)),IF(AND($L$711=0,$P$708=0),"",$L$711-1),IF($R$17="Distrato",$E726,0)),MIN(AK$38,$D$19),$P$20))-SUM($P726:AJ726)</f>
        <v>#VALUE!</v>
      </c>
      <c r="AL726" s="446" t="e">
        <f>IF(OR($B726="",MIN(AL$38,$D$19)&lt;MAX($P$708*($B726+IF($R$17="Distrato",$I$38-1,0)),IF(AND($L$711=0,$P$708=0),"",$L$711-1),IF($R$17="Distrato",$E726,0))),0,YEARFRAC(MAX($P$708*($B726+IF($R$17="Distrato",$I$38-1,0)),IF(AND($L$711=0,$P$708=0),"",$L$711-1),IF($R$17="Distrato",$E726,0)),MIN(AL$38,$D$19),$P$20))-SUM($P726:AK726)</f>
        <v>#VALUE!</v>
      </c>
      <c r="AM726" s="446" t="e">
        <f>IF(OR($B726="",MIN(AM$38,$D$19)&lt;MAX($P$708*($B726+IF($R$17="Distrato",$I$38-1,0)),IF(AND($L$711=0,$P$708=0),"",$L$711-1),IF($R$17="Distrato",$E726,0))),0,YEARFRAC(MAX($P$708*($B726+IF($R$17="Distrato",$I$38-1,0)),IF(AND($L$711=0,$P$708=0),"",$L$711-1),IF($R$17="Distrato",$E726,0)),MIN(AM$38,$D$19),$P$20))-SUM($P726:AL726)</f>
        <v>#VALUE!</v>
      </c>
      <c r="AN726" s="446" t="e">
        <f>IF(OR($B726="",MIN(AN$38,$D$19)&lt;MAX($P$708*($B726+IF($R$17="Distrato",$I$38-1,0)),IF(AND($L$711=0,$P$708=0),"",$L$711-1),IF($R$17="Distrato",$E726,0))),0,YEARFRAC(MAX($P$708*($B726+IF($R$17="Distrato",$I$38-1,0)),IF(AND($L$711=0,$P$708=0),"",$L$711-1),IF($R$17="Distrato",$E726,0)),MIN(AN$38,$D$19),$P$20))-SUM($P726:AM726)</f>
        <v>#VALUE!</v>
      </c>
      <c r="AO726" s="446" t="e">
        <f>IF(OR($B726="",MIN(AO$38,$D$19)&lt;MAX($P$708*($B726+IF($R$17="Distrato",$I$38-1,0)),IF(AND($L$711=0,$P$708=0),"",$L$711-1),IF($R$17="Distrato",$E726,0))),0,YEARFRAC(MAX($P$708*($B726+IF($R$17="Distrato",$I$38-1,0)),IF(AND($L$711=0,$P$708=0),"",$L$711-1),IF($R$17="Distrato",$E726,0)),MIN(AO$38,$D$19),$P$20))-SUM($P726:AN726)</f>
        <v>#VALUE!</v>
      </c>
      <c r="AP726" s="446" t="e">
        <f>IF(OR($B726="",MIN(AP$38,$D$19)&lt;MAX($P$708*($B726+IF($R$17="Distrato",$I$38-1,0)),IF(AND($L$711=0,$P$708=0),"",$L$711-1),IF($R$17="Distrato",$E726,0))),0,YEARFRAC(MAX($P$708*($B726+IF($R$17="Distrato",$I$38-1,0)),IF(AND($L$711=0,$P$708=0),"",$L$711-1),IF($R$17="Distrato",$E726,0)),MIN(AP$38,$D$19),$P$20))-SUM($P726:AO726)</f>
        <v>#VALUE!</v>
      </c>
      <c r="AQ726" s="446" t="e">
        <f>IF(OR($B726="",MIN(AQ$38,$D$19)&lt;MAX($P$708*($B726+IF($R$17="Distrato",$I$38-1,0)),IF(AND($L$711=0,$P$708=0),"",$L$711-1),IF($R$17="Distrato",$E726,0))),0,YEARFRAC(MAX($P$708*($B726+IF($R$17="Distrato",$I$38-1,0)),IF(AND($L$711=0,$P$708=0),"",$L$711-1),IF($R$17="Distrato",$E726,0)),MIN(AQ$38,$D$19),$P$20))-SUM($P726:AP726)</f>
        <v>#VALUE!</v>
      </c>
      <c r="AR726" s="446" t="e">
        <f>IF(OR($B726="",MIN(AR$38,$D$19)&lt;MAX($P$708*($B726+IF($R$17="Distrato",$I$38-1,0)),IF(AND($L$711=0,$P$708=0),"",$L$711-1),IF($R$17="Distrato",$E726,0))),0,YEARFRAC(MAX($P$708*($B726+IF($R$17="Distrato",$I$38-1,0)),IF(AND($L$711=0,$P$708=0),"",$L$711-1),IF($R$17="Distrato",$E726,0)),MIN(AR$38,$D$19),$P$20))-SUM($P726:AQ726)</f>
        <v>#VALUE!</v>
      </c>
      <c r="AS726" s="446" t="e">
        <f>IF(OR($B726="",MIN(AS$38,$D$19)&lt;MAX($P$708*($B726+IF($R$17="Distrato",$I$38-1,0)),IF(AND($L$711=0,$P$708=0),"",$L$711-1),IF($R$17="Distrato",$E726,0))),0,YEARFRAC(MAX($P$708*($B726+IF($R$17="Distrato",$I$38-1,0)),IF(AND($L$711=0,$P$708=0),"",$L$711-1),IF($R$17="Distrato",$E726,0)),MIN(AS$38,$D$19),$P$20))-SUM($P726:AR726)</f>
        <v>#VALUE!</v>
      </c>
      <c r="AT726" s="446" t="e">
        <f>IF(OR($B726="",MIN(AT$38,$D$19)&lt;MAX($P$708*($B726+IF($R$17="Distrato",$I$38-1,0)),IF(AND($L$711=0,$P$708=0),"",$L$711-1),IF($R$17="Distrato",$E726,0))),0,YEARFRAC(MAX($P$708*($B726+IF($R$17="Distrato",$I$38-1,0)),IF(AND($L$711=0,$P$708=0),"",$L$711-1),IF($R$17="Distrato",$E726,0)),MIN(AT$38,$D$19),$P$20))-SUM($P726:AS726)</f>
        <v>#VALUE!</v>
      </c>
      <c r="AU726" s="446" t="e">
        <f>IF(OR($B726="",MIN(AU$38,$D$19)&lt;MAX($P$708*($B726+IF($R$17="Distrato",$I$38-1,0)),IF(AND($L$711=0,$P$708=0),"",$L$711-1),IF($R$17="Distrato",$E726,0))),0,YEARFRAC(MAX($P$708*($B726+IF($R$17="Distrato",$I$38-1,0)),IF(AND($L$711=0,$P$708=0),"",$L$711-1),IF($R$17="Distrato",$E726,0)),MIN(AU$38,$D$19),$P$20))-SUM($P726:AT726)</f>
        <v>#VALUE!</v>
      </c>
      <c r="AV726" s="446" t="e">
        <f>IF(OR($B726="",MIN(AV$38,$D$19)&lt;MAX($P$708*($B726+IF($R$17="Distrato",$I$38-1,0)),IF(AND($L$711=0,$P$708=0),"",$L$711-1),IF($R$17="Distrato",$E726,0))),0,YEARFRAC(MAX($P$708*($B726+IF($R$17="Distrato",$I$38-1,0)),IF(AND($L$711=0,$P$708=0),"",$L$711-1),IF($R$17="Distrato",$E726,0)),MIN(AV$38,$D$19),$P$20))-SUM($P726:AU726)</f>
        <v>#VALUE!</v>
      </c>
      <c r="AW726" s="446" t="e">
        <f>IF(OR($B726="",MIN(AW$38,$D$19)&lt;MAX($P$708*($B726+IF($R$17="Distrato",$I$38-1,0)),IF(AND($L$711=0,$P$708=0),"",$L$711-1),IF($R$17="Distrato",$E726,0))),0,YEARFRAC(MAX($P$708*($B726+IF($R$17="Distrato",$I$38-1,0)),IF(AND($L$711=0,$P$708=0),"",$L$711-1),IF($R$17="Distrato",$E726,0)),MIN(AW$38,$D$19),$P$20))-SUM($P726:AV726)</f>
        <v>#VALUE!</v>
      </c>
      <c r="AX726" s="446" t="e">
        <f>IF(OR($B726="",MIN(AX$38,$D$19)&lt;MAX($P$708*($B726+IF($R$17="Distrato",$I$38-1,0)),IF(AND($L$711=0,$P$708=0),"",$L$711-1),IF($R$17="Distrato",$E726,0))),0,YEARFRAC(MAX($P$708*($B726+IF($R$17="Distrato",$I$38-1,0)),IF(AND($L$711=0,$P$708=0),"",$L$711-1),IF($R$17="Distrato",$E726,0)),MIN(AX$38,$D$19),$P$20))-SUM($P726:AW726)</f>
        <v>#VALUE!</v>
      </c>
      <c r="AY726" s="446" t="e">
        <f>IF(OR($B726="",MIN(AY$38,$D$19)&lt;MAX($P$708*($B726+IF($R$17="Distrato",$I$38-1,0)),IF(AND($L$711=0,$P$708=0),"",$L$711-1),IF($R$17="Distrato",$E726,0))),0,YEARFRAC(MAX($P$708*($B726+IF($R$17="Distrato",$I$38-1,0)),IF(AND($L$711=0,$P$708=0),"",$L$711-1),IF($R$17="Distrato",$E726,0)),MIN(AY$38,$D$19),$P$20))-SUM($P726:AX726)</f>
        <v>#VALUE!</v>
      </c>
      <c r="AZ726" s="446" t="e">
        <f>IF(OR($B726="",MIN(AZ$38,$D$19)&lt;MAX($P$708*($B726+IF($R$17="Distrato",$I$38-1,0)),IF(AND($L$711=0,$P$708=0),"",$L$711-1),IF($R$17="Distrato",$E726,0))),0,YEARFRAC(MAX($P$708*($B726+IF($R$17="Distrato",$I$38-1,0)),IF(AND($L$711=0,$P$708=0),"",$L$711-1),IF($R$17="Distrato",$E726,0)),MIN(AZ$38,$D$19),$P$20))-SUM($P726:AY726)</f>
        <v>#VALUE!</v>
      </c>
      <c r="BA726" s="446" t="e">
        <f>IF(OR($B726="",MIN(BA$38,$D$19)&lt;MAX($P$708*($B726+IF($R$17="Distrato",$I$38-1,0)),IF(AND($L$711=0,$P$708=0),"",$L$711-1),IF($R$17="Distrato",$E726,0))),0,YEARFRAC(MAX($P$708*($B726+IF($R$17="Distrato",$I$38-1,0)),IF(AND($L$711=0,$P$708=0),"",$L$711-1),IF($R$17="Distrato",$E726,0)),MIN(BA$38,$D$19),$P$20))-SUM($P726:AZ726)</f>
        <v>#VALUE!</v>
      </c>
      <c r="BB726" s="447"/>
    </row>
    <row r="727" spans="1:54" s="446" customFormat="1" ht="11.25" hidden="1" customHeight="1" x14ac:dyDescent="0.2">
      <c r="A727" s="235"/>
      <c r="B727" s="236"/>
      <c r="C727" s="29" t="str">
        <f>IF(B727="","",IF($L$709=$BL$25,VLOOKUP(DATE(YEAR($D$19),MONTH($D$19)-1,1),ÍNDICES!$A:$DE,HLOOKUP($BL$25,ÍNDICES!$B$3:$T$4,2)+11)-VLOOKUP(B727,ÍNDICES!$A:$DE,HLOOKUP($BL$25,ÍNDICES!$B$3:$T$4,2)+11)+1%,IF(C$712=$W$26,$J$35,IF(ISERROR(IF(B727&gt;$D$19,1,VLOOKUP(DATE(YEAR(B727),MONTH(B727)+IF($C$709=$S$23,1,0),1),ÍNDICES!$A:$DE,$Z$709+1))),"",IF(B727&gt;$D$19,1,VLOOKUP(DATE(YEAR(B727),MONTH(B727)+IF($C$709=$S$23,1,0),1),ÍNDICES!$A:$DE,$Z$709+1))))))</f>
        <v/>
      </c>
      <c r="D727" s="155"/>
      <c r="E727" s="88"/>
      <c r="F727" s="88"/>
      <c r="G727" s="88"/>
      <c r="H727" s="118"/>
      <c r="I727" s="182">
        <f t="shared" si="115"/>
        <v>0</v>
      </c>
      <c r="J727" s="20">
        <f t="shared" ca="1" si="116"/>
        <v>0</v>
      </c>
      <c r="K727" s="5">
        <f t="shared" ca="1" si="117"/>
        <v>0</v>
      </c>
      <c r="L727" s="61">
        <f t="shared" ca="1" si="118"/>
        <v>0</v>
      </c>
      <c r="M727" s="64">
        <f t="shared" si="119"/>
        <v>0</v>
      </c>
      <c r="N727" s="151"/>
      <c r="O727" s="5">
        <f t="shared" ca="1" si="120"/>
        <v>0</v>
      </c>
      <c r="P727" s="446" t="e">
        <f t="shared" si="121"/>
        <v>#VALUE!</v>
      </c>
      <c r="Q727" s="446" t="e">
        <f>IF(OR($B727="",MIN(Q$38,$D$19)&lt;MAX($P$708*($B727+IF($R$17="Distrato",$I$38-1,0)),IF(AND($L$711=0,$P$708=0),"",$L$711-1),IF($R$17="Distrato",$E727,0))),0,YEARFRAC(MAX($P$708*($B727+IF($R$17="Distrato",$I$38-1,0)),IF(AND($L$711=0,$P$708=0),"",$L$711-1),IF($R$17="Distrato",$E727,0)),MIN(Q$38,$D$19),$P$20))-SUM($P727:P727)</f>
        <v>#VALUE!</v>
      </c>
      <c r="R727" s="446" t="e">
        <f>IF(OR($B727="",MIN(R$38,$D$19)&lt;MAX($P$708*($B727+IF($R$17="Distrato",$I$38-1,0)),IF(AND($L$711=0,$P$708=0),"",$L$711-1),IF($R$17="Distrato",$E727,0))),0,YEARFRAC(MAX($P$708*($B727+IF($R$17="Distrato",$I$38-1,0)),IF(AND($L$711=0,$P$708=0),"",$L$711-1),IF($R$17="Distrato",$E727,0)),MIN(R$38,$D$19),$P$20))-SUM($P727:Q727)</f>
        <v>#VALUE!</v>
      </c>
      <c r="S727" s="446" t="e">
        <f>IF(OR($B727="",MIN(S$38,$D$19)&lt;MAX($P$708*($B727+IF($R$17="Distrato",$I$38-1,0)),IF(AND($L$711=0,$P$708=0),"",$L$711-1),IF($R$17="Distrato",$E727,0))),0,YEARFRAC(MAX($P$708*($B727+IF($R$17="Distrato",$I$38-1,0)),IF(AND($L$711=0,$P$708=0),"",$L$711-1),IF($R$17="Distrato",$E727,0)),MIN(S$38,$D$19),$P$20))-SUM($P727:R727)</f>
        <v>#VALUE!</v>
      </c>
      <c r="T727" s="446" t="e">
        <f>IF(OR($B727="",MIN(T$38,$D$19)&lt;MAX($P$708*($B727+IF($R$17="Distrato",$I$38-1,0)),IF(AND($L$711=0,$P$708=0),"",$L$711-1),IF($R$17="Distrato",$E727,0))),0,YEARFRAC(MAX($P$708*($B727+IF($R$17="Distrato",$I$38-1,0)),IF(AND($L$711=0,$P$708=0),"",$L$711-1),IF($R$17="Distrato",$E727,0)),MIN(T$38,$D$19),$P$20))-SUM($P727:S727)</f>
        <v>#VALUE!</v>
      </c>
      <c r="U727" s="446" t="e">
        <f>IF(OR($B727="",MIN(U$38,$D$19)&lt;MAX($P$708*($B727+IF($R$17="Distrato",$I$38-1,0)),IF(AND($L$711=0,$P$708=0),"",$L$711-1),IF($R$17="Distrato",$E727,0))),0,YEARFRAC(MAX($P$708*($B727+IF($R$17="Distrato",$I$38-1,0)),IF(AND($L$711=0,$P$708=0),"",$L$711-1),IF($R$17="Distrato",$E727,0)),MIN(U$38,$D$19),$P$20))-SUM($P727:T727)</f>
        <v>#VALUE!</v>
      </c>
      <c r="V727" s="446" t="e">
        <f>IF(OR($B727="",MIN(V$38,$D$19)&lt;MAX($P$708*($B727+IF($R$17="Distrato",$I$38-1,0)),IF(AND($L$711=0,$P$708=0),"",$L$711-1),IF($R$17="Distrato",$E727,0))),0,YEARFRAC(MAX($P$708*($B727+IF($R$17="Distrato",$I$38-1,0)),IF(AND($L$711=0,$P$708=0),"",$L$711-1),IF($R$17="Distrato",$E727,0)),MIN(V$38,$D$19),$P$20))-SUM($P727:U727)</f>
        <v>#VALUE!</v>
      </c>
      <c r="W727" s="446" t="e">
        <f>IF(OR($B727="",MIN(W$38,$D$19)&lt;MAX($P$708*($B727+IF($R$17="Distrato",$I$38-1,0)),IF(AND($L$711=0,$P$708=0),"",$L$711-1),IF($R$17="Distrato",$E727,0))),0,YEARFRAC(MAX($P$708*($B727+IF($R$17="Distrato",$I$38-1,0)),IF(AND($L$711=0,$P$708=0),"",$L$711-1),IF($R$17="Distrato",$E727,0)),MIN(W$38,$D$19),$P$20))-SUM($P727:V727)</f>
        <v>#VALUE!</v>
      </c>
      <c r="X727" s="446" t="e">
        <f>IF(OR($B727="",MIN(X$38,$D$19)&lt;MAX($P$708*($B727+IF($R$17="Distrato",$I$38-1,0)),IF(AND($L$711=0,$P$708=0),"",$L$711-1),IF($R$17="Distrato",$E727,0))),0,YEARFRAC(MAX($P$708*($B727+IF($R$17="Distrato",$I$38-1,0)),IF(AND($L$711=0,$P$708=0),"",$L$711-1),IF($R$17="Distrato",$E727,0)),MIN(X$38,$D$19),$P$20))-SUM($P727:W727)</f>
        <v>#VALUE!</v>
      </c>
      <c r="Y727" s="446" t="e">
        <f>IF(OR($B727="",MIN(Y$38,$D$19)&lt;MAX($P$708*($B727+IF($R$17="Distrato",$I$38-1,0)),IF(AND($L$711=0,$P$708=0),"",$L$711-1),IF($R$17="Distrato",$E727,0))),0,YEARFRAC(MAX($P$708*($B727+IF($R$17="Distrato",$I$38-1,0)),IF(AND($L$711=0,$P$708=0),"",$L$711-1),IF($R$17="Distrato",$E727,0)),MIN(Y$38,$D$19),$P$20))-SUM($P727:X727)</f>
        <v>#VALUE!</v>
      </c>
      <c r="Z727" s="446" t="e">
        <f>IF(OR($B727="",MIN(Z$38,$D$19)&lt;MAX($P$708*($B727+IF($R$17="Distrato",$I$38-1,0)),IF(AND($L$711=0,$P$708=0),"",$L$711-1),IF($R$17="Distrato",$E727,0))),0,YEARFRAC(MAX($P$708*($B727+IF($R$17="Distrato",$I$38-1,0)),IF(AND($L$711=0,$P$708=0),"",$L$711-1),IF($R$17="Distrato",$E727,0)),MIN(Z$38,$D$19),$P$20))-SUM($P727:Y727)</f>
        <v>#VALUE!</v>
      </c>
      <c r="AA727" s="446" t="e">
        <f>IF(OR($B727="",MIN(AA$38,$D$19)&lt;MAX($P$708*($B727+IF($R$17="Distrato",$I$38-1,0)),IF(AND($L$711=0,$P$708=0),"",$L$711-1),IF($R$17="Distrato",$E727,0))),0,YEARFRAC(MAX($P$708*($B727+IF($R$17="Distrato",$I$38-1,0)),IF(AND($L$711=0,$P$708=0),"",$L$711-1),IF($R$17="Distrato",$E727,0)),MIN(AA$38,$D$19),$P$20))-SUM($P727:Z727)</f>
        <v>#VALUE!</v>
      </c>
      <c r="AB727" s="446" t="e">
        <f>IF(OR($B727="",MIN(AB$38,$D$19)&lt;MAX($P$708*($B727+IF($R$17="Distrato",$I$38-1,0)),IF(AND($L$711=0,$P$708=0),"",$L$711-1),IF($R$17="Distrato",$E727,0))),0,YEARFRAC(MAX($P$708*($B727+IF($R$17="Distrato",$I$38-1,0)),IF(AND($L$711=0,$P$708=0),"",$L$711-1),IF($R$17="Distrato",$E727,0)),MIN(AB$38,$D$19),$P$20))-SUM($P727:AA727)</f>
        <v>#VALUE!</v>
      </c>
      <c r="AC727" s="446" t="e">
        <f>IF(OR($B727="",MIN(AC$38,$D$19)&lt;MAX($P$708*($B727+IF($R$17="Distrato",$I$38-1,0)),IF(AND($L$711=0,$P$708=0),"",$L$711-1),IF($R$17="Distrato",$E727,0))),0,YEARFRAC(MAX($P$708*($B727+IF($R$17="Distrato",$I$38-1,0)),IF(AND($L$711=0,$P$708=0),"",$L$711-1),IF($R$17="Distrato",$E727,0)),MIN(AC$38,$D$19),$P$20))-SUM($P727:AB727)</f>
        <v>#VALUE!</v>
      </c>
      <c r="AD727" s="446" t="e">
        <f>IF(OR($B727="",MIN(AD$38,$D$19)&lt;MAX($P$708*($B727+IF($R$17="Distrato",$I$38-1,0)),IF(AND($L$711=0,$P$708=0),"",$L$711-1),IF($R$17="Distrato",$E727,0))),0,YEARFRAC(MAX($P$708*($B727+IF($R$17="Distrato",$I$38-1,0)),IF(AND($L$711=0,$P$708=0),"",$L$711-1),IF($R$17="Distrato",$E727,0)),MIN(AD$38,$D$19),$P$20))-SUM($P727:AC727)</f>
        <v>#VALUE!</v>
      </c>
      <c r="AE727" s="446" t="e">
        <f>IF(OR($B727="",MIN(AE$38,$D$19)&lt;MAX($P$708*($B727+IF($R$17="Distrato",$I$38-1,0)),IF(AND($L$711=0,$P$708=0),"",$L$711-1),IF($R$17="Distrato",$E727,0))),0,YEARFRAC(MAX($P$708*($B727+IF($R$17="Distrato",$I$38-1,0)),IF(AND($L$711=0,$P$708=0),"",$L$711-1),IF($R$17="Distrato",$E727,0)),MIN(AE$38,$D$19),$P$20))-SUM($P727:AD727)</f>
        <v>#VALUE!</v>
      </c>
      <c r="AF727" s="446" t="e">
        <f>IF(OR($B727="",MIN(AF$38,$D$19)&lt;MAX($P$708*($B727+IF($R$17="Distrato",$I$38-1,0)),IF(AND($L$711=0,$P$708=0),"",$L$711-1),IF($R$17="Distrato",$E727,0))),0,YEARFRAC(MAX($P$708*($B727+IF($R$17="Distrato",$I$38-1,0)),IF(AND($L$711=0,$P$708=0),"",$L$711-1),IF($R$17="Distrato",$E727,0)),MIN(AF$38,$D$19),$P$20))-SUM($P727:AE727)</f>
        <v>#VALUE!</v>
      </c>
      <c r="AG727" s="446" t="e">
        <f>IF(OR($B727="",MIN(AG$38,$D$19)&lt;MAX($P$708*($B727+IF($R$17="Distrato",$I$38-1,0)),IF(AND($L$711=0,$P$708=0),"",$L$711-1),IF($R$17="Distrato",$E727,0))),0,YEARFRAC(MAX($P$708*($B727+IF($R$17="Distrato",$I$38-1,0)),IF(AND($L$711=0,$P$708=0),"",$L$711-1),IF($R$17="Distrato",$E727,0)),MIN(AG$38,$D$19),$P$20))-SUM($P727:AF727)</f>
        <v>#VALUE!</v>
      </c>
      <c r="AH727" s="446" t="e">
        <f>IF(OR($B727="",MIN(AH$38,$D$19)&lt;MAX($P$708*($B727+IF($R$17="Distrato",$I$38-1,0)),IF(AND($L$711=0,$P$708=0),"",$L$711-1),IF($R$17="Distrato",$E727,0))),0,YEARFRAC(MAX($P$708*($B727+IF($R$17="Distrato",$I$38-1,0)),IF(AND($L$711=0,$P$708=0),"",$L$711-1),IF($R$17="Distrato",$E727,0)),MIN(AH$38,$D$19),$P$20))-SUM($P727:AG727)</f>
        <v>#VALUE!</v>
      </c>
      <c r="AI727" s="446" t="e">
        <f>IF(OR($B727="",MIN(AI$38,$D$19)&lt;MAX($P$708*($B727+IF($R$17="Distrato",$I$38-1,0)),IF(AND($L$711=0,$P$708=0),"",$L$711-1),IF($R$17="Distrato",$E727,0))),0,YEARFRAC(MAX($P$708*($B727+IF($R$17="Distrato",$I$38-1,0)),IF(AND($L$711=0,$P$708=0),"",$L$711-1),IF($R$17="Distrato",$E727,0)),MIN(AI$38,$D$19),$P$20))-SUM($P727:AH727)</f>
        <v>#VALUE!</v>
      </c>
      <c r="AJ727" s="446" t="e">
        <f>IF(OR($B727="",MIN(AJ$38,$D$19)&lt;MAX($P$708*($B727+IF($R$17="Distrato",$I$38-1,0)),IF(AND($L$711=0,$P$708=0),"",$L$711-1),IF($R$17="Distrato",$E727,0))),0,YEARFRAC(MAX($P$708*($B727+IF($R$17="Distrato",$I$38-1,0)),IF(AND($L$711=0,$P$708=0),"",$L$711-1),IF($R$17="Distrato",$E727,0)),MIN(AJ$38,$D$19),$P$20))-SUM($P727:AI727)</f>
        <v>#VALUE!</v>
      </c>
      <c r="AK727" s="446" t="e">
        <f>IF(OR($B727="",MIN(AK$38,$D$19)&lt;MAX($P$708*($B727+IF($R$17="Distrato",$I$38-1,0)),IF(AND($L$711=0,$P$708=0),"",$L$711-1),IF($R$17="Distrato",$E727,0))),0,YEARFRAC(MAX($P$708*($B727+IF($R$17="Distrato",$I$38-1,0)),IF(AND($L$711=0,$P$708=0),"",$L$711-1),IF($R$17="Distrato",$E727,0)),MIN(AK$38,$D$19),$P$20))-SUM($P727:AJ727)</f>
        <v>#VALUE!</v>
      </c>
      <c r="AL727" s="446" t="e">
        <f>IF(OR($B727="",MIN(AL$38,$D$19)&lt;MAX($P$708*($B727+IF($R$17="Distrato",$I$38-1,0)),IF(AND($L$711=0,$P$708=0),"",$L$711-1),IF($R$17="Distrato",$E727,0))),0,YEARFRAC(MAX($P$708*($B727+IF($R$17="Distrato",$I$38-1,0)),IF(AND($L$711=0,$P$708=0),"",$L$711-1),IF($R$17="Distrato",$E727,0)),MIN(AL$38,$D$19),$P$20))-SUM($P727:AK727)</f>
        <v>#VALUE!</v>
      </c>
      <c r="AM727" s="446" t="e">
        <f>IF(OR($B727="",MIN(AM$38,$D$19)&lt;MAX($P$708*($B727+IF($R$17="Distrato",$I$38-1,0)),IF(AND($L$711=0,$P$708=0),"",$L$711-1),IF($R$17="Distrato",$E727,0))),0,YEARFRAC(MAX($P$708*($B727+IF($R$17="Distrato",$I$38-1,0)),IF(AND($L$711=0,$P$708=0),"",$L$711-1),IF($R$17="Distrato",$E727,0)),MIN(AM$38,$D$19),$P$20))-SUM($P727:AL727)</f>
        <v>#VALUE!</v>
      </c>
      <c r="AN727" s="446" t="e">
        <f>IF(OR($B727="",MIN(AN$38,$D$19)&lt;MAX($P$708*($B727+IF($R$17="Distrato",$I$38-1,0)),IF(AND($L$711=0,$P$708=0),"",$L$711-1),IF($R$17="Distrato",$E727,0))),0,YEARFRAC(MAX($P$708*($B727+IF($R$17="Distrato",$I$38-1,0)),IF(AND($L$711=0,$P$708=0),"",$L$711-1),IF($R$17="Distrato",$E727,0)),MIN(AN$38,$D$19),$P$20))-SUM($P727:AM727)</f>
        <v>#VALUE!</v>
      </c>
      <c r="AO727" s="446" t="e">
        <f>IF(OR($B727="",MIN(AO$38,$D$19)&lt;MAX($P$708*($B727+IF($R$17="Distrato",$I$38-1,0)),IF(AND($L$711=0,$P$708=0),"",$L$711-1),IF($R$17="Distrato",$E727,0))),0,YEARFRAC(MAX($P$708*($B727+IF($R$17="Distrato",$I$38-1,0)),IF(AND($L$711=0,$P$708=0),"",$L$711-1),IF($R$17="Distrato",$E727,0)),MIN(AO$38,$D$19),$P$20))-SUM($P727:AN727)</f>
        <v>#VALUE!</v>
      </c>
      <c r="AP727" s="446" t="e">
        <f>IF(OR($B727="",MIN(AP$38,$D$19)&lt;MAX($P$708*($B727+IF($R$17="Distrato",$I$38-1,0)),IF(AND($L$711=0,$P$708=0),"",$L$711-1),IF($R$17="Distrato",$E727,0))),0,YEARFRAC(MAX($P$708*($B727+IF($R$17="Distrato",$I$38-1,0)),IF(AND($L$711=0,$P$708=0),"",$L$711-1),IF($R$17="Distrato",$E727,0)),MIN(AP$38,$D$19),$P$20))-SUM($P727:AO727)</f>
        <v>#VALUE!</v>
      </c>
      <c r="AQ727" s="446" t="e">
        <f>IF(OR($B727="",MIN(AQ$38,$D$19)&lt;MAX($P$708*($B727+IF($R$17="Distrato",$I$38-1,0)),IF(AND($L$711=0,$P$708=0),"",$L$711-1),IF($R$17="Distrato",$E727,0))),0,YEARFRAC(MAX($P$708*($B727+IF($R$17="Distrato",$I$38-1,0)),IF(AND($L$711=0,$P$708=0),"",$L$711-1),IF($R$17="Distrato",$E727,0)),MIN(AQ$38,$D$19),$P$20))-SUM($P727:AP727)</f>
        <v>#VALUE!</v>
      </c>
      <c r="AR727" s="446" t="e">
        <f>IF(OR($B727="",MIN(AR$38,$D$19)&lt;MAX($P$708*($B727+IF($R$17="Distrato",$I$38-1,0)),IF(AND($L$711=0,$P$708=0),"",$L$711-1),IF($R$17="Distrato",$E727,0))),0,YEARFRAC(MAX($P$708*($B727+IF($R$17="Distrato",$I$38-1,0)),IF(AND($L$711=0,$P$708=0),"",$L$711-1),IF($R$17="Distrato",$E727,0)),MIN(AR$38,$D$19),$P$20))-SUM($P727:AQ727)</f>
        <v>#VALUE!</v>
      </c>
      <c r="AS727" s="446" t="e">
        <f>IF(OR($B727="",MIN(AS$38,$D$19)&lt;MAX($P$708*($B727+IF($R$17="Distrato",$I$38-1,0)),IF(AND($L$711=0,$P$708=0),"",$L$711-1),IF($R$17="Distrato",$E727,0))),0,YEARFRAC(MAX($P$708*($B727+IF($R$17="Distrato",$I$38-1,0)),IF(AND($L$711=0,$P$708=0),"",$L$711-1),IF($R$17="Distrato",$E727,0)),MIN(AS$38,$D$19),$P$20))-SUM($P727:AR727)</f>
        <v>#VALUE!</v>
      </c>
      <c r="AT727" s="446" t="e">
        <f>IF(OR($B727="",MIN(AT$38,$D$19)&lt;MAX($P$708*($B727+IF($R$17="Distrato",$I$38-1,0)),IF(AND($L$711=0,$P$708=0),"",$L$711-1),IF($R$17="Distrato",$E727,0))),0,YEARFRAC(MAX($P$708*($B727+IF($R$17="Distrato",$I$38-1,0)),IF(AND($L$711=0,$P$708=0),"",$L$711-1),IF($R$17="Distrato",$E727,0)),MIN(AT$38,$D$19),$P$20))-SUM($P727:AS727)</f>
        <v>#VALUE!</v>
      </c>
      <c r="AU727" s="446" t="e">
        <f>IF(OR($B727="",MIN(AU$38,$D$19)&lt;MAX($P$708*($B727+IF($R$17="Distrato",$I$38-1,0)),IF(AND($L$711=0,$P$708=0),"",$L$711-1),IF($R$17="Distrato",$E727,0))),0,YEARFRAC(MAX($P$708*($B727+IF($R$17="Distrato",$I$38-1,0)),IF(AND($L$711=0,$P$708=0),"",$L$711-1),IF($R$17="Distrato",$E727,0)),MIN(AU$38,$D$19),$P$20))-SUM($P727:AT727)</f>
        <v>#VALUE!</v>
      </c>
      <c r="AV727" s="446" t="e">
        <f>IF(OR($B727="",MIN(AV$38,$D$19)&lt;MAX($P$708*($B727+IF($R$17="Distrato",$I$38-1,0)),IF(AND($L$711=0,$P$708=0),"",$L$711-1),IF($R$17="Distrato",$E727,0))),0,YEARFRAC(MAX($P$708*($B727+IF($R$17="Distrato",$I$38-1,0)),IF(AND($L$711=0,$P$708=0),"",$L$711-1),IF($R$17="Distrato",$E727,0)),MIN(AV$38,$D$19),$P$20))-SUM($P727:AU727)</f>
        <v>#VALUE!</v>
      </c>
      <c r="AW727" s="446" t="e">
        <f>IF(OR($B727="",MIN(AW$38,$D$19)&lt;MAX($P$708*($B727+IF($R$17="Distrato",$I$38-1,0)),IF(AND($L$711=0,$P$708=0),"",$L$711-1),IF($R$17="Distrato",$E727,0))),0,YEARFRAC(MAX($P$708*($B727+IF($R$17="Distrato",$I$38-1,0)),IF(AND($L$711=0,$P$708=0),"",$L$711-1),IF($R$17="Distrato",$E727,0)),MIN(AW$38,$D$19),$P$20))-SUM($P727:AV727)</f>
        <v>#VALUE!</v>
      </c>
      <c r="AX727" s="446" t="e">
        <f>IF(OR($B727="",MIN(AX$38,$D$19)&lt;MAX($P$708*($B727+IF($R$17="Distrato",$I$38-1,0)),IF(AND($L$711=0,$P$708=0),"",$L$711-1),IF($R$17="Distrato",$E727,0))),0,YEARFRAC(MAX($P$708*($B727+IF($R$17="Distrato",$I$38-1,0)),IF(AND($L$711=0,$P$708=0),"",$L$711-1),IF($R$17="Distrato",$E727,0)),MIN(AX$38,$D$19),$P$20))-SUM($P727:AW727)</f>
        <v>#VALUE!</v>
      </c>
      <c r="AY727" s="446" t="e">
        <f>IF(OR($B727="",MIN(AY$38,$D$19)&lt;MAX($P$708*($B727+IF($R$17="Distrato",$I$38-1,0)),IF(AND($L$711=0,$P$708=0),"",$L$711-1),IF($R$17="Distrato",$E727,0))),0,YEARFRAC(MAX($P$708*($B727+IF($R$17="Distrato",$I$38-1,0)),IF(AND($L$711=0,$P$708=0),"",$L$711-1),IF($R$17="Distrato",$E727,0)),MIN(AY$38,$D$19),$P$20))-SUM($P727:AX727)</f>
        <v>#VALUE!</v>
      </c>
      <c r="AZ727" s="446" t="e">
        <f>IF(OR($B727="",MIN(AZ$38,$D$19)&lt;MAX($P$708*($B727+IF($R$17="Distrato",$I$38-1,0)),IF(AND($L$711=0,$P$708=0),"",$L$711-1),IF($R$17="Distrato",$E727,0))),0,YEARFRAC(MAX($P$708*($B727+IF($R$17="Distrato",$I$38-1,0)),IF(AND($L$711=0,$P$708=0),"",$L$711-1),IF($R$17="Distrato",$E727,0)),MIN(AZ$38,$D$19),$P$20))-SUM($P727:AY727)</f>
        <v>#VALUE!</v>
      </c>
      <c r="BA727" s="446" t="e">
        <f>IF(OR($B727="",MIN(BA$38,$D$19)&lt;MAX($P$708*($B727+IF($R$17="Distrato",$I$38-1,0)),IF(AND($L$711=0,$P$708=0),"",$L$711-1),IF($R$17="Distrato",$E727,0))),0,YEARFRAC(MAX($P$708*($B727+IF($R$17="Distrato",$I$38-1,0)),IF(AND($L$711=0,$P$708=0),"",$L$711-1),IF($R$17="Distrato",$E727,0)),MIN(BA$38,$D$19),$P$20))-SUM($P727:AZ727)</f>
        <v>#VALUE!</v>
      </c>
      <c r="BB727" s="447"/>
    </row>
    <row r="728" spans="1:54" s="446" customFormat="1" ht="11.25" hidden="1" customHeight="1" x14ac:dyDescent="0.2">
      <c r="A728" s="235"/>
      <c r="B728" s="236"/>
      <c r="C728" s="29" t="str">
        <f>IF(B728="","",IF($L$709=$BL$25,VLOOKUP(DATE(YEAR($D$19),MONTH($D$19)-1,1),ÍNDICES!$A:$DE,HLOOKUP($BL$25,ÍNDICES!$B$3:$T$4,2)+11)-VLOOKUP(B728,ÍNDICES!$A:$DE,HLOOKUP($BL$25,ÍNDICES!$B$3:$T$4,2)+11)+1%,IF(C$712=$W$26,$J$35,IF(ISERROR(IF(B728&gt;$D$19,1,VLOOKUP(DATE(YEAR(B728),MONTH(B728)+IF($C$709=$S$23,1,0),1),ÍNDICES!$A:$DE,$Z$709+1))),"",IF(B728&gt;$D$19,1,VLOOKUP(DATE(YEAR(B728),MONTH(B728)+IF($C$709=$S$23,1,0),1),ÍNDICES!$A:$DE,$Z$709+1))))))</f>
        <v/>
      </c>
      <c r="D728" s="155"/>
      <c r="E728" s="88"/>
      <c r="F728" s="88"/>
      <c r="G728" s="88"/>
      <c r="H728" s="118"/>
      <c r="I728" s="182">
        <f t="shared" si="115"/>
        <v>0</v>
      </c>
      <c r="J728" s="20">
        <f t="shared" ca="1" si="116"/>
        <v>0</v>
      </c>
      <c r="K728" s="5">
        <f t="shared" ca="1" si="117"/>
        <v>0</v>
      </c>
      <c r="L728" s="61">
        <f t="shared" ca="1" si="118"/>
        <v>0</v>
      </c>
      <c r="M728" s="64">
        <f t="shared" si="119"/>
        <v>0</v>
      </c>
      <c r="N728" s="151"/>
      <c r="O728" s="5">
        <f t="shared" ca="1" si="120"/>
        <v>0</v>
      </c>
      <c r="P728" s="446" t="e">
        <f t="shared" si="121"/>
        <v>#VALUE!</v>
      </c>
      <c r="Q728" s="446" t="e">
        <f>IF(OR($B728="",MIN(Q$38,$D$19)&lt;MAX($P$708*($B728+IF($R$17="Distrato",$I$38-1,0)),IF(AND($L$711=0,$P$708=0),"",$L$711-1),IF($R$17="Distrato",$E728,0))),0,YEARFRAC(MAX($P$708*($B728+IF($R$17="Distrato",$I$38-1,0)),IF(AND($L$711=0,$P$708=0),"",$L$711-1),IF($R$17="Distrato",$E728,0)),MIN(Q$38,$D$19),$P$20))-SUM($P728:P728)</f>
        <v>#VALUE!</v>
      </c>
      <c r="R728" s="446" t="e">
        <f>IF(OR($B728="",MIN(R$38,$D$19)&lt;MAX($P$708*($B728+IF($R$17="Distrato",$I$38-1,0)),IF(AND($L$711=0,$P$708=0),"",$L$711-1),IF($R$17="Distrato",$E728,0))),0,YEARFRAC(MAX($P$708*($B728+IF($R$17="Distrato",$I$38-1,0)),IF(AND($L$711=0,$P$708=0),"",$L$711-1),IF($R$17="Distrato",$E728,0)),MIN(R$38,$D$19),$P$20))-SUM($P728:Q728)</f>
        <v>#VALUE!</v>
      </c>
      <c r="S728" s="446" t="e">
        <f>IF(OR($B728="",MIN(S$38,$D$19)&lt;MAX($P$708*($B728+IF($R$17="Distrato",$I$38-1,0)),IF(AND($L$711=0,$P$708=0),"",$L$711-1),IF($R$17="Distrato",$E728,0))),0,YEARFRAC(MAX($P$708*($B728+IF($R$17="Distrato",$I$38-1,0)),IF(AND($L$711=0,$P$708=0),"",$L$711-1),IF($R$17="Distrato",$E728,0)),MIN(S$38,$D$19),$P$20))-SUM($P728:R728)</f>
        <v>#VALUE!</v>
      </c>
      <c r="T728" s="446" t="e">
        <f>IF(OR($B728="",MIN(T$38,$D$19)&lt;MAX($P$708*($B728+IF($R$17="Distrato",$I$38-1,0)),IF(AND($L$711=0,$P$708=0),"",$L$711-1),IF($R$17="Distrato",$E728,0))),0,YEARFRAC(MAX($P$708*($B728+IF($R$17="Distrato",$I$38-1,0)),IF(AND($L$711=0,$P$708=0),"",$L$711-1),IF($R$17="Distrato",$E728,0)),MIN(T$38,$D$19),$P$20))-SUM($P728:S728)</f>
        <v>#VALUE!</v>
      </c>
      <c r="U728" s="446" t="e">
        <f>IF(OR($B728="",MIN(U$38,$D$19)&lt;MAX($P$708*($B728+IF($R$17="Distrato",$I$38-1,0)),IF(AND($L$711=0,$P$708=0),"",$L$711-1),IF($R$17="Distrato",$E728,0))),0,YEARFRAC(MAX($P$708*($B728+IF($R$17="Distrato",$I$38-1,0)),IF(AND($L$711=0,$P$708=0),"",$L$711-1),IF($R$17="Distrato",$E728,0)),MIN(U$38,$D$19),$P$20))-SUM($P728:T728)</f>
        <v>#VALUE!</v>
      </c>
      <c r="V728" s="446" t="e">
        <f>IF(OR($B728="",MIN(V$38,$D$19)&lt;MAX($P$708*($B728+IF($R$17="Distrato",$I$38-1,0)),IF(AND($L$711=0,$P$708=0),"",$L$711-1),IF($R$17="Distrato",$E728,0))),0,YEARFRAC(MAX($P$708*($B728+IF($R$17="Distrato",$I$38-1,0)),IF(AND($L$711=0,$P$708=0),"",$L$711-1),IF($R$17="Distrato",$E728,0)),MIN(V$38,$D$19),$P$20))-SUM($P728:U728)</f>
        <v>#VALUE!</v>
      </c>
      <c r="W728" s="446" t="e">
        <f>IF(OR($B728="",MIN(W$38,$D$19)&lt;MAX($P$708*($B728+IF($R$17="Distrato",$I$38-1,0)),IF(AND($L$711=0,$P$708=0),"",$L$711-1),IF($R$17="Distrato",$E728,0))),0,YEARFRAC(MAX($P$708*($B728+IF($R$17="Distrato",$I$38-1,0)),IF(AND($L$711=0,$P$708=0),"",$L$711-1),IF($R$17="Distrato",$E728,0)),MIN(W$38,$D$19),$P$20))-SUM($P728:V728)</f>
        <v>#VALUE!</v>
      </c>
      <c r="X728" s="446" t="e">
        <f>IF(OR($B728="",MIN(X$38,$D$19)&lt;MAX($P$708*($B728+IF($R$17="Distrato",$I$38-1,0)),IF(AND($L$711=0,$P$708=0),"",$L$711-1),IF($R$17="Distrato",$E728,0))),0,YEARFRAC(MAX($P$708*($B728+IF($R$17="Distrato",$I$38-1,0)),IF(AND($L$711=0,$P$708=0),"",$L$711-1),IF($R$17="Distrato",$E728,0)),MIN(X$38,$D$19),$P$20))-SUM($P728:W728)</f>
        <v>#VALUE!</v>
      </c>
      <c r="Y728" s="446" t="e">
        <f>IF(OR($B728="",MIN(Y$38,$D$19)&lt;MAX($P$708*($B728+IF($R$17="Distrato",$I$38-1,0)),IF(AND($L$711=0,$P$708=0),"",$L$711-1),IF($R$17="Distrato",$E728,0))),0,YEARFRAC(MAX($P$708*($B728+IF($R$17="Distrato",$I$38-1,0)),IF(AND($L$711=0,$P$708=0),"",$L$711-1),IF($R$17="Distrato",$E728,0)),MIN(Y$38,$D$19),$P$20))-SUM($P728:X728)</f>
        <v>#VALUE!</v>
      </c>
      <c r="Z728" s="446" t="e">
        <f>IF(OR($B728="",MIN(Z$38,$D$19)&lt;MAX($P$708*($B728+IF($R$17="Distrato",$I$38-1,0)),IF(AND($L$711=0,$P$708=0),"",$L$711-1),IF($R$17="Distrato",$E728,0))),0,YEARFRAC(MAX($P$708*($B728+IF($R$17="Distrato",$I$38-1,0)),IF(AND($L$711=0,$P$708=0),"",$L$711-1),IF($R$17="Distrato",$E728,0)),MIN(Z$38,$D$19),$P$20))-SUM($P728:Y728)</f>
        <v>#VALUE!</v>
      </c>
      <c r="AA728" s="446" t="e">
        <f>IF(OR($B728="",MIN(AA$38,$D$19)&lt;MAX($P$708*($B728+IF($R$17="Distrato",$I$38-1,0)),IF(AND($L$711=0,$P$708=0),"",$L$711-1),IF($R$17="Distrato",$E728,0))),0,YEARFRAC(MAX($P$708*($B728+IF($R$17="Distrato",$I$38-1,0)),IF(AND($L$711=0,$P$708=0),"",$L$711-1),IF($R$17="Distrato",$E728,0)),MIN(AA$38,$D$19),$P$20))-SUM($P728:Z728)</f>
        <v>#VALUE!</v>
      </c>
      <c r="AB728" s="446" t="e">
        <f>IF(OR($B728="",MIN(AB$38,$D$19)&lt;MAX($P$708*($B728+IF($R$17="Distrato",$I$38-1,0)),IF(AND($L$711=0,$P$708=0),"",$L$711-1),IF($R$17="Distrato",$E728,0))),0,YEARFRAC(MAX($P$708*($B728+IF($R$17="Distrato",$I$38-1,0)),IF(AND($L$711=0,$P$708=0),"",$L$711-1),IF($R$17="Distrato",$E728,0)),MIN(AB$38,$D$19),$P$20))-SUM($P728:AA728)</f>
        <v>#VALUE!</v>
      </c>
      <c r="AC728" s="446" t="e">
        <f>IF(OR($B728="",MIN(AC$38,$D$19)&lt;MAX($P$708*($B728+IF($R$17="Distrato",$I$38-1,0)),IF(AND($L$711=0,$P$708=0),"",$L$711-1),IF($R$17="Distrato",$E728,0))),0,YEARFRAC(MAX($P$708*($B728+IF($R$17="Distrato",$I$38-1,0)),IF(AND($L$711=0,$P$708=0),"",$L$711-1),IF($R$17="Distrato",$E728,0)),MIN(AC$38,$D$19),$P$20))-SUM($P728:AB728)</f>
        <v>#VALUE!</v>
      </c>
      <c r="AD728" s="446" t="e">
        <f>IF(OR($B728="",MIN(AD$38,$D$19)&lt;MAX($P$708*($B728+IF($R$17="Distrato",$I$38-1,0)),IF(AND($L$711=0,$P$708=0),"",$L$711-1),IF($R$17="Distrato",$E728,0))),0,YEARFRAC(MAX($P$708*($B728+IF($R$17="Distrato",$I$38-1,0)),IF(AND($L$711=0,$P$708=0),"",$L$711-1),IF($R$17="Distrato",$E728,0)),MIN(AD$38,$D$19),$P$20))-SUM($P728:AC728)</f>
        <v>#VALUE!</v>
      </c>
      <c r="AE728" s="446" t="e">
        <f>IF(OR($B728="",MIN(AE$38,$D$19)&lt;MAX($P$708*($B728+IF($R$17="Distrato",$I$38-1,0)),IF(AND($L$711=0,$P$708=0),"",$L$711-1),IF($R$17="Distrato",$E728,0))),0,YEARFRAC(MAX($P$708*($B728+IF($R$17="Distrato",$I$38-1,0)),IF(AND($L$711=0,$P$708=0),"",$L$711-1),IF($R$17="Distrato",$E728,0)),MIN(AE$38,$D$19),$P$20))-SUM($P728:AD728)</f>
        <v>#VALUE!</v>
      </c>
      <c r="AF728" s="446" t="e">
        <f>IF(OR($B728="",MIN(AF$38,$D$19)&lt;MAX($P$708*($B728+IF($R$17="Distrato",$I$38-1,0)),IF(AND($L$711=0,$P$708=0),"",$L$711-1),IF($R$17="Distrato",$E728,0))),0,YEARFRAC(MAX($P$708*($B728+IF($R$17="Distrato",$I$38-1,0)),IF(AND($L$711=0,$P$708=0),"",$L$711-1),IF($R$17="Distrato",$E728,0)),MIN(AF$38,$D$19),$P$20))-SUM($P728:AE728)</f>
        <v>#VALUE!</v>
      </c>
      <c r="AG728" s="446" t="e">
        <f>IF(OR($B728="",MIN(AG$38,$D$19)&lt;MAX($P$708*($B728+IF($R$17="Distrato",$I$38-1,0)),IF(AND($L$711=0,$P$708=0),"",$L$711-1),IF($R$17="Distrato",$E728,0))),0,YEARFRAC(MAX($P$708*($B728+IF($R$17="Distrato",$I$38-1,0)),IF(AND($L$711=0,$P$708=0),"",$L$711-1),IF($R$17="Distrato",$E728,0)),MIN(AG$38,$D$19),$P$20))-SUM($P728:AF728)</f>
        <v>#VALUE!</v>
      </c>
      <c r="AH728" s="446" t="e">
        <f>IF(OR($B728="",MIN(AH$38,$D$19)&lt;MAX($P$708*($B728+IF($R$17="Distrato",$I$38-1,0)),IF(AND($L$711=0,$P$708=0),"",$L$711-1),IF($R$17="Distrato",$E728,0))),0,YEARFRAC(MAX($P$708*($B728+IF($R$17="Distrato",$I$38-1,0)),IF(AND($L$711=0,$P$708=0),"",$L$711-1),IF($R$17="Distrato",$E728,0)),MIN(AH$38,$D$19),$P$20))-SUM($P728:AG728)</f>
        <v>#VALUE!</v>
      </c>
      <c r="AI728" s="446" t="e">
        <f>IF(OR($B728="",MIN(AI$38,$D$19)&lt;MAX($P$708*($B728+IF($R$17="Distrato",$I$38-1,0)),IF(AND($L$711=0,$P$708=0),"",$L$711-1),IF($R$17="Distrato",$E728,0))),0,YEARFRAC(MAX($P$708*($B728+IF($R$17="Distrato",$I$38-1,0)),IF(AND($L$711=0,$P$708=0),"",$L$711-1),IF($R$17="Distrato",$E728,0)),MIN(AI$38,$D$19),$P$20))-SUM($P728:AH728)</f>
        <v>#VALUE!</v>
      </c>
      <c r="AJ728" s="446" t="e">
        <f>IF(OR($B728="",MIN(AJ$38,$D$19)&lt;MAX($P$708*($B728+IF($R$17="Distrato",$I$38-1,0)),IF(AND($L$711=0,$P$708=0),"",$L$711-1),IF($R$17="Distrato",$E728,0))),0,YEARFRAC(MAX($P$708*($B728+IF($R$17="Distrato",$I$38-1,0)),IF(AND($L$711=0,$P$708=0),"",$L$711-1),IF($R$17="Distrato",$E728,0)),MIN(AJ$38,$D$19),$P$20))-SUM($P728:AI728)</f>
        <v>#VALUE!</v>
      </c>
      <c r="AK728" s="446" t="e">
        <f>IF(OR($B728="",MIN(AK$38,$D$19)&lt;MAX($P$708*($B728+IF($R$17="Distrato",$I$38-1,0)),IF(AND($L$711=0,$P$708=0),"",$L$711-1),IF($R$17="Distrato",$E728,0))),0,YEARFRAC(MAX($P$708*($B728+IF($R$17="Distrato",$I$38-1,0)),IF(AND($L$711=0,$P$708=0),"",$L$711-1),IF($R$17="Distrato",$E728,0)),MIN(AK$38,$D$19),$P$20))-SUM($P728:AJ728)</f>
        <v>#VALUE!</v>
      </c>
      <c r="AL728" s="446" t="e">
        <f>IF(OR($B728="",MIN(AL$38,$D$19)&lt;MAX($P$708*($B728+IF($R$17="Distrato",$I$38-1,0)),IF(AND($L$711=0,$P$708=0),"",$L$711-1),IF($R$17="Distrato",$E728,0))),0,YEARFRAC(MAX($P$708*($B728+IF($R$17="Distrato",$I$38-1,0)),IF(AND($L$711=0,$P$708=0),"",$L$711-1),IF($R$17="Distrato",$E728,0)),MIN(AL$38,$D$19),$P$20))-SUM($P728:AK728)</f>
        <v>#VALUE!</v>
      </c>
      <c r="AM728" s="446" t="e">
        <f>IF(OR($B728="",MIN(AM$38,$D$19)&lt;MAX($P$708*($B728+IF($R$17="Distrato",$I$38-1,0)),IF(AND($L$711=0,$P$708=0),"",$L$711-1),IF($R$17="Distrato",$E728,0))),0,YEARFRAC(MAX($P$708*($B728+IF($R$17="Distrato",$I$38-1,0)),IF(AND($L$711=0,$P$708=0),"",$L$711-1),IF($R$17="Distrato",$E728,0)),MIN(AM$38,$D$19),$P$20))-SUM($P728:AL728)</f>
        <v>#VALUE!</v>
      </c>
      <c r="AN728" s="446" t="e">
        <f>IF(OR($B728="",MIN(AN$38,$D$19)&lt;MAX($P$708*($B728+IF($R$17="Distrato",$I$38-1,0)),IF(AND($L$711=0,$P$708=0),"",$L$711-1),IF($R$17="Distrato",$E728,0))),0,YEARFRAC(MAX($P$708*($B728+IF($R$17="Distrato",$I$38-1,0)),IF(AND($L$711=0,$P$708=0),"",$L$711-1),IF($R$17="Distrato",$E728,0)),MIN(AN$38,$D$19),$P$20))-SUM($P728:AM728)</f>
        <v>#VALUE!</v>
      </c>
      <c r="AO728" s="446" t="e">
        <f>IF(OR($B728="",MIN(AO$38,$D$19)&lt;MAX($P$708*($B728+IF($R$17="Distrato",$I$38-1,0)),IF(AND($L$711=0,$P$708=0),"",$L$711-1),IF($R$17="Distrato",$E728,0))),0,YEARFRAC(MAX($P$708*($B728+IF($R$17="Distrato",$I$38-1,0)),IF(AND($L$711=0,$P$708=0),"",$L$711-1),IF($R$17="Distrato",$E728,0)),MIN(AO$38,$D$19),$P$20))-SUM($P728:AN728)</f>
        <v>#VALUE!</v>
      </c>
      <c r="AP728" s="446" t="e">
        <f>IF(OR($B728="",MIN(AP$38,$D$19)&lt;MAX($P$708*($B728+IF($R$17="Distrato",$I$38-1,0)),IF(AND($L$711=0,$P$708=0),"",$L$711-1),IF($R$17="Distrato",$E728,0))),0,YEARFRAC(MAX($P$708*($B728+IF($R$17="Distrato",$I$38-1,0)),IF(AND($L$711=0,$P$708=0),"",$L$711-1),IF($R$17="Distrato",$E728,0)),MIN(AP$38,$D$19),$P$20))-SUM($P728:AO728)</f>
        <v>#VALUE!</v>
      </c>
      <c r="AQ728" s="446" t="e">
        <f>IF(OR($B728="",MIN(AQ$38,$D$19)&lt;MAX($P$708*($B728+IF($R$17="Distrato",$I$38-1,0)),IF(AND($L$711=0,$P$708=0),"",$L$711-1),IF($R$17="Distrato",$E728,0))),0,YEARFRAC(MAX($P$708*($B728+IF($R$17="Distrato",$I$38-1,0)),IF(AND($L$711=0,$P$708=0),"",$L$711-1),IF($R$17="Distrato",$E728,0)),MIN(AQ$38,$D$19),$P$20))-SUM($P728:AP728)</f>
        <v>#VALUE!</v>
      </c>
      <c r="AR728" s="446" t="e">
        <f>IF(OR($B728="",MIN(AR$38,$D$19)&lt;MAX($P$708*($B728+IF($R$17="Distrato",$I$38-1,0)),IF(AND($L$711=0,$P$708=0),"",$L$711-1),IF($R$17="Distrato",$E728,0))),0,YEARFRAC(MAX($P$708*($B728+IF($R$17="Distrato",$I$38-1,0)),IF(AND($L$711=0,$P$708=0),"",$L$711-1),IF($R$17="Distrato",$E728,0)),MIN(AR$38,$D$19),$P$20))-SUM($P728:AQ728)</f>
        <v>#VALUE!</v>
      </c>
      <c r="AS728" s="446" t="e">
        <f>IF(OR($B728="",MIN(AS$38,$D$19)&lt;MAX($P$708*($B728+IF($R$17="Distrato",$I$38-1,0)),IF(AND($L$711=0,$P$708=0),"",$L$711-1),IF($R$17="Distrato",$E728,0))),0,YEARFRAC(MAX($P$708*($B728+IF($R$17="Distrato",$I$38-1,0)),IF(AND($L$711=0,$P$708=0),"",$L$711-1),IF($R$17="Distrato",$E728,0)),MIN(AS$38,$D$19),$P$20))-SUM($P728:AR728)</f>
        <v>#VALUE!</v>
      </c>
      <c r="AT728" s="446" t="e">
        <f>IF(OR($B728="",MIN(AT$38,$D$19)&lt;MAX($P$708*($B728+IF($R$17="Distrato",$I$38-1,0)),IF(AND($L$711=0,$P$708=0),"",$L$711-1),IF($R$17="Distrato",$E728,0))),0,YEARFRAC(MAX($P$708*($B728+IF($R$17="Distrato",$I$38-1,0)),IF(AND($L$711=0,$P$708=0),"",$L$711-1),IF($R$17="Distrato",$E728,0)),MIN(AT$38,$D$19),$P$20))-SUM($P728:AS728)</f>
        <v>#VALUE!</v>
      </c>
      <c r="AU728" s="446" t="e">
        <f>IF(OR($B728="",MIN(AU$38,$D$19)&lt;MAX($P$708*($B728+IF($R$17="Distrato",$I$38-1,0)),IF(AND($L$711=0,$P$708=0),"",$L$711-1),IF($R$17="Distrato",$E728,0))),0,YEARFRAC(MAX($P$708*($B728+IF($R$17="Distrato",$I$38-1,0)),IF(AND($L$711=0,$P$708=0),"",$L$711-1),IF($R$17="Distrato",$E728,0)),MIN(AU$38,$D$19),$P$20))-SUM($P728:AT728)</f>
        <v>#VALUE!</v>
      </c>
      <c r="AV728" s="446" t="e">
        <f>IF(OR($B728="",MIN(AV$38,$D$19)&lt;MAX($P$708*($B728+IF($R$17="Distrato",$I$38-1,0)),IF(AND($L$711=0,$P$708=0),"",$L$711-1),IF($R$17="Distrato",$E728,0))),0,YEARFRAC(MAX($P$708*($B728+IF($R$17="Distrato",$I$38-1,0)),IF(AND($L$711=0,$P$708=0),"",$L$711-1),IF($R$17="Distrato",$E728,0)),MIN(AV$38,$D$19),$P$20))-SUM($P728:AU728)</f>
        <v>#VALUE!</v>
      </c>
      <c r="AW728" s="446" t="e">
        <f>IF(OR($B728="",MIN(AW$38,$D$19)&lt;MAX($P$708*($B728+IF($R$17="Distrato",$I$38-1,0)),IF(AND($L$711=0,$P$708=0),"",$L$711-1),IF($R$17="Distrato",$E728,0))),0,YEARFRAC(MAX($P$708*($B728+IF($R$17="Distrato",$I$38-1,0)),IF(AND($L$711=0,$P$708=0),"",$L$711-1),IF($R$17="Distrato",$E728,0)),MIN(AW$38,$D$19),$P$20))-SUM($P728:AV728)</f>
        <v>#VALUE!</v>
      </c>
      <c r="AX728" s="446" t="e">
        <f>IF(OR($B728="",MIN(AX$38,$D$19)&lt;MAX($P$708*($B728+IF($R$17="Distrato",$I$38-1,0)),IF(AND($L$711=0,$P$708=0),"",$L$711-1),IF($R$17="Distrato",$E728,0))),0,YEARFRAC(MAX($P$708*($B728+IF($R$17="Distrato",$I$38-1,0)),IF(AND($L$711=0,$P$708=0),"",$L$711-1),IF($R$17="Distrato",$E728,0)),MIN(AX$38,$D$19),$P$20))-SUM($P728:AW728)</f>
        <v>#VALUE!</v>
      </c>
      <c r="AY728" s="446" t="e">
        <f>IF(OR($B728="",MIN(AY$38,$D$19)&lt;MAX($P$708*($B728+IF($R$17="Distrato",$I$38-1,0)),IF(AND($L$711=0,$P$708=0),"",$L$711-1),IF($R$17="Distrato",$E728,0))),0,YEARFRAC(MAX($P$708*($B728+IF($R$17="Distrato",$I$38-1,0)),IF(AND($L$711=0,$P$708=0),"",$L$711-1),IF($R$17="Distrato",$E728,0)),MIN(AY$38,$D$19),$P$20))-SUM($P728:AX728)</f>
        <v>#VALUE!</v>
      </c>
      <c r="AZ728" s="446" t="e">
        <f>IF(OR($B728="",MIN(AZ$38,$D$19)&lt;MAX($P$708*($B728+IF($R$17="Distrato",$I$38-1,0)),IF(AND($L$711=0,$P$708=0),"",$L$711-1),IF($R$17="Distrato",$E728,0))),0,YEARFRAC(MAX($P$708*($B728+IF($R$17="Distrato",$I$38-1,0)),IF(AND($L$711=0,$P$708=0),"",$L$711-1),IF($R$17="Distrato",$E728,0)),MIN(AZ$38,$D$19),$P$20))-SUM($P728:AY728)</f>
        <v>#VALUE!</v>
      </c>
      <c r="BA728" s="446" t="e">
        <f>IF(OR($B728="",MIN(BA$38,$D$19)&lt;MAX($P$708*($B728+IF($R$17="Distrato",$I$38-1,0)),IF(AND($L$711=0,$P$708=0),"",$L$711-1),IF($R$17="Distrato",$E728,0))),0,YEARFRAC(MAX($P$708*($B728+IF($R$17="Distrato",$I$38-1,0)),IF(AND($L$711=0,$P$708=0),"",$L$711-1),IF($R$17="Distrato",$E728,0)),MIN(BA$38,$D$19),$P$20))-SUM($P728:AZ728)</f>
        <v>#VALUE!</v>
      </c>
      <c r="BB728" s="447"/>
    </row>
    <row r="729" spans="1:54" s="446" customFormat="1" ht="11.25" hidden="1" customHeight="1" x14ac:dyDescent="0.2">
      <c r="A729" s="235"/>
      <c r="B729" s="236"/>
      <c r="C729" s="29" t="str">
        <f>IF(B729="","",IF($L$709=$BL$25,VLOOKUP(DATE(YEAR($D$19),MONTH($D$19)-1,1),ÍNDICES!$A:$DE,HLOOKUP($BL$25,ÍNDICES!$B$3:$T$4,2)+11)-VLOOKUP(B729,ÍNDICES!$A:$DE,HLOOKUP($BL$25,ÍNDICES!$B$3:$T$4,2)+11)+1%,IF(C$712=$W$26,$J$35,IF(ISERROR(IF(B729&gt;$D$19,1,VLOOKUP(DATE(YEAR(B729),MONTH(B729)+IF($C$709=$S$23,1,0),1),ÍNDICES!$A:$DE,$Z$709+1))),"",IF(B729&gt;$D$19,1,VLOOKUP(DATE(YEAR(B729),MONTH(B729)+IF($C$709=$S$23,1,0),1),ÍNDICES!$A:$DE,$Z$709+1))))))</f>
        <v/>
      </c>
      <c r="D729" s="155"/>
      <c r="E729" s="88"/>
      <c r="F729" s="88"/>
      <c r="G729" s="88"/>
      <c r="H729" s="118"/>
      <c r="I729" s="182">
        <f t="shared" si="115"/>
        <v>0</v>
      </c>
      <c r="J729" s="20">
        <f t="shared" ca="1" si="116"/>
        <v>0</v>
      </c>
      <c r="K729" s="5">
        <f t="shared" ca="1" si="117"/>
        <v>0</v>
      </c>
      <c r="L729" s="61">
        <f t="shared" ca="1" si="118"/>
        <v>0</v>
      </c>
      <c r="M729" s="64">
        <f t="shared" si="119"/>
        <v>0</v>
      </c>
      <c r="N729" s="151"/>
      <c r="O729" s="5">
        <f t="shared" ca="1" si="120"/>
        <v>0</v>
      </c>
      <c r="P729" s="446" t="e">
        <f t="shared" si="121"/>
        <v>#VALUE!</v>
      </c>
      <c r="Q729" s="446" t="e">
        <f>IF(OR($B729="",MIN(Q$38,$D$19)&lt;MAX($P$708*($B729+IF($R$17="Distrato",$I$38-1,0)),IF(AND($L$711=0,$P$708=0),"",$L$711-1),IF($R$17="Distrato",$E729,0))),0,YEARFRAC(MAX($P$708*($B729+IF($R$17="Distrato",$I$38-1,0)),IF(AND($L$711=0,$P$708=0),"",$L$711-1),IF($R$17="Distrato",$E729,0)),MIN(Q$38,$D$19),$P$20))-SUM($P729:P729)</f>
        <v>#VALUE!</v>
      </c>
      <c r="R729" s="446" t="e">
        <f>IF(OR($B729="",MIN(R$38,$D$19)&lt;MAX($P$708*($B729+IF($R$17="Distrato",$I$38-1,0)),IF(AND($L$711=0,$P$708=0),"",$L$711-1),IF($R$17="Distrato",$E729,0))),0,YEARFRAC(MAX($P$708*($B729+IF($R$17="Distrato",$I$38-1,0)),IF(AND($L$711=0,$P$708=0),"",$L$711-1),IF($R$17="Distrato",$E729,0)),MIN(R$38,$D$19),$P$20))-SUM($P729:Q729)</f>
        <v>#VALUE!</v>
      </c>
      <c r="S729" s="446" t="e">
        <f>IF(OR($B729="",MIN(S$38,$D$19)&lt;MAX($P$708*($B729+IF($R$17="Distrato",$I$38-1,0)),IF(AND($L$711=0,$P$708=0),"",$L$711-1),IF($R$17="Distrato",$E729,0))),0,YEARFRAC(MAX($P$708*($B729+IF($R$17="Distrato",$I$38-1,0)),IF(AND($L$711=0,$P$708=0),"",$L$711-1),IF($R$17="Distrato",$E729,0)),MIN(S$38,$D$19),$P$20))-SUM($P729:R729)</f>
        <v>#VALUE!</v>
      </c>
      <c r="T729" s="446" t="e">
        <f>IF(OR($B729="",MIN(T$38,$D$19)&lt;MAX($P$708*($B729+IF($R$17="Distrato",$I$38-1,0)),IF(AND($L$711=0,$P$708=0),"",$L$711-1),IF($R$17="Distrato",$E729,0))),0,YEARFRAC(MAX($P$708*($B729+IF($R$17="Distrato",$I$38-1,0)),IF(AND($L$711=0,$P$708=0),"",$L$711-1),IF($R$17="Distrato",$E729,0)),MIN(T$38,$D$19),$P$20))-SUM($P729:S729)</f>
        <v>#VALUE!</v>
      </c>
      <c r="U729" s="446" t="e">
        <f>IF(OR($B729="",MIN(U$38,$D$19)&lt;MAX($P$708*($B729+IF($R$17="Distrato",$I$38-1,0)),IF(AND($L$711=0,$P$708=0),"",$L$711-1),IF($R$17="Distrato",$E729,0))),0,YEARFRAC(MAX($P$708*($B729+IF($R$17="Distrato",$I$38-1,0)),IF(AND($L$711=0,$P$708=0),"",$L$711-1),IF($R$17="Distrato",$E729,0)),MIN(U$38,$D$19),$P$20))-SUM($P729:T729)</f>
        <v>#VALUE!</v>
      </c>
      <c r="V729" s="446" t="e">
        <f>IF(OR($B729="",MIN(V$38,$D$19)&lt;MAX($P$708*($B729+IF($R$17="Distrato",$I$38-1,0)),IF(AND($L$711=0,$P$708=0),"",$L$711-1),IF($R$17="Distrato",$E729,0))),0,YEARFRAC(MAX($P$708*($B729+IF($R$17="Distrato",$I$38-1,0)),IF(AND($L$711=0,$P$708=0),"",$L$711-1),IF($R$17="Distrato",$E729,0)),MIN(V$38,$D$19),$P$20))-SUM($P729:U729)</f>
        <v>#VALUE!</v>
      </c>
      <c r="W729" s="446" t="e">
        <f>IF(OR($B729="",MIN(W$38,$D$19)&lt;MAX($P$708*($B729+IF($R$17="Distrato",$I$38-1,0)),IF(AND($L$711=0,$P$708=0),"",$L$711-1),IF($R$17="Distrato",$E729,0))),0,YEARFRAC(MAX($P$708*($B729+IF($R$17="Distrato",$I$38-1,0)),IF(AND($L$711=0,$P$708=0),"",$L$711-1),IF($R$17="Distrato",$E729,0)),MIN(W$38,$D$19),$P$20))-SUM($P729:V729)</f>
        <v>#VALUE!</v>
      </c>
      <c r="X729" s="446" t="e">
        <f>IF(OR($B729="",MIN(X$38,$D$19)&lt;MAX($P$708*($B729+IF($R$17="Distrato",$I$38-1,0)),IF(AND($L$711=0,$P$708=0),"",$L$711-1),IF($R$17="Distrato",$E729,0))),0,YEARFRAC(MAX($P$708*($B729+IF($R$17="Distrato",$I$38-1,0)),IF(AND($L$711=0,$P$708=0),"",$L$711-1),IF($R$17="Distrato",$E729,0)),MIN(X$38,$D$19),$P$20))-SUM($P729:W729)</f>
        <v>#VALUE!</v>
      </c>
      <c r="Y729" s="446" t="e">
        <f>IF(OR($B729="",MIN(Y$38,$D$19)&lt;MAX($P$708*($B729+IF($R$17="Distrato",$I$38-1,0)),IF(AND($L$711=0,$P$708=0),"",$L$711-1),IF($R$17="Distrato",$E729,0))),0,YEARFRAC(MAX($P$708*($B729+IF($R$17="Distrato",$I$38-1,0)),IF(AND($L$711=0,$P$708=0),"",$L$711-1),IF($R$17="Distrato",$E729,0)),MIN(Y$38,$D$19),$P$20))-SUM($P729:X729)</f>
        <v>#VALUE!</v>
      </c>
      <c r="Z729" s="446" t="e">
        <f>IF(OR($B729="",MIN(Z$38,$D$19)&lt;MAX($P$708*($B729+IF($R$17="Distrato",$I$38-1,0)),IF(AND($L$711=0,$P$708=0),"",$L$711-1),IF($R$17="Distrato",$E729,0))),0,YEARFRAC(MAX($P$708*($B729+IF($R$17="Distrato",$I$38-1,0)),IF(AND($L$711=0,$P$708=0),"",$L$711-1),IF($R$17="Distrato",$E729,0)),MIN(Z$38,$D$19),$P$20))-SUM($P729:Y729)</f>
        <v>#VALUE!</v>
      </c>
      <c r="AA729" s="446" t="e">
        <f>IF(OR($B729="",MIN(AA$38,$D$19)&lt;MAX($P$708*($B729+IF($R$17="Distrato",$I$38-1,0)),IF(AND($L$711=0,$P$708=0),"",$L$711-1),IF($R$17="Distrato",$E729,0))),0,YEARFRAC(MAX($P$708*($B729+IF($R$17="Distrato",$I$38-1,0)),IF(AND($L$711=0,$P$708=0),"",$L$711-1),IF($R$17="Distrato",$E729,0)),MIN(AA$38,$D$19),$P$20))-SUM($P729:Z729)</f>
        <v>#VALUE!</v>
      </c>
      <c r="AB729" s="446" t="e">
        <f>IF(OR($B729="",MIN(AB$38,$D$19)&lt;MAX($P$708*($B729+IF($R$17="Distrato",$I$38-1,0)),IF(AND($L$711=0,$P$708=0),"",$L$711-1),IF($R$17="Distrato",$E729,0))),0,YEARFRAC(MAX($P$708*($B729+IF($R$17="Distrato",$I$38-1,0)),IF(AND($L$711=0,$P$708=0),"",$L$711-1),IF($R$17="Distrato",$E729,0)),MIN(AB$38,$D$19),$P$20))-SUM($P729:AA729)</f>
        <v>#VALUE!</v>
      </c>
      <c r="AC729" s="446" t="e">
        <f>IF(OR($B729="",MIN(AC$38,$D$19)&lt;MAX($P$708*($B729+IF($R$17="Distrato",$I$38-1,0)),IF(AND($L$711=0,$P$708=0),"",$L$711-1),IF($R$17="Distrato",$E729,0))),0,YEARFRAC(MAX($P$708*($B729+IF($R$17="Distrato",$I$38-1,0)),IF(AND($L$711=0,$P$708=0),"",$L$711-1),IF($R$17="Distrato",$E729,0)),MIN(AC$38,$D$19),$P$20))-SUM($P729:AB729)</f>
        <v>#VALUE!</v>
      </c>
      <c r="AD729" s="446" t="e">
        <f>IF(OR($B729="",MIN(AD$38,$D$19)&lt;MAX($P$708*($B729+IF($R$17="Distrato",$I$38-1,0)),IF(AND($L$711=0,$P$708=0),"",$L$711-1),IF($R$17="Distrato",$E729,0))),0,YEARFRAC(MAX($P$708*($B729+IF($R$17="Distrato",$I$38-1,0)),IF(AND($L$711=0,$P$708=0),"",$L$711-1),IF($R$17="Distrato",$E729,0)),MIN(AD$38,$D$19),$P$20))-SUM($P729:AC729)</f>
        <v>#VALUE!</v>
      </c>
      <c r="AE729" s="446" t="e">
        <f>IF(OR($B729="",MIN(AE$38,$D$19)&lt;MAX($P$708*($B729+IF($R$17="Distrato",$I$38-1,0)),IF(AND($L$711=0,$P$708=0),"",$L$711-1),IF($R$17="Distrato",$E729,0))),0,YEARFRAC(MAX($P$708*($B729+IF($R$17="Distrato",$I$38-1,0)),IF(AND($L$711=0,$P$708=0),"",$L$711-1),IF($R$17="Distrato",$E729,0)),MIN(AE$38,$D$19),$P$20))-SUM($P729:AD729)</f>
        <v>#VALUE!</v>
      </c>
      <c r="AF729" s="446" t="e">
        <f>IF(OR($B729="",MIN(AF$38,$D$19)&lt;MAX($P$708*($B729+IF($R$17="Distrato",$I$38-1,0)),IF(AND($L$711=0,$P$708=0),"",$L$711-1),IF($R$17="Distrato",$E729,0))),0,YEARFRAC(MAX($P$708*($B729+IF($R$17="Distrato",$I$38-1,0)),IF(AND($L$711=0,$P$708=0),"",$L$711-1),IF($R$17="Distrato",$E729,0)),MIN(AF$38,$D$19),$P$20))-SUM($P729:AE729)</f>
        <v>#VALUE!</v>
      </c>
      <c r="AG729" s="446" t="e">
        <f>IF(OR($B729="",MIN(AG$38,$D$19)&lt;MAX($P$708*($B729+IF($R$17="Distrato",$I$38-1,0)),IF(AND($L$711=0,$P$708=0),"",$L$711-1),IF($R$17="Distrato",$E729,0))),0,YEARFRAC(MAX($P$708*($B729+IF($R$17="Distrato",$I$38-1,0)),IF(AND($L$711=0,$P$708=0),"",$L$711-1),IF($R$17="Distrato",$E729,0)),MIN(AG$38,$D$19),$P$20))-SUM($P729:AF729)</f>
        <v>#VALUE!</v>
      </c>
      <c r="AH729" s="446" t="e">
        <f>IF(OR($B729="",MIN(AH$38,$D$19)&lt;MAX($P$708*($B729+IF($R$17="Distrato",$I$38-1,0)),IF(AND($L$711=0,$P$708=0),"",$L$711-1),IF($R$17="Distrato",$E729,0))),0,YEARFRAC(MAX($P$708*($B729+IF($R$17="Distrato",$I$38-1,0)),IF(AND($L$711=0,$P$708=0),"",$L$711-1),IF($R$17="Distrato",$E729,0)),MIN(AH$38,$D$19),$P$20))-SUM($P729:AG729)</f>
        <v>#VALUE!</v>
      </c>
      <c r="AI729" s="446" t="e">
        <f>IF(OR($B729="",MIN(AI$38,$D$19)&lt;MAX($P$708*($B729+IF($R$17="Distrato",$I$38-1,0)),IF(AND($L$711=0,$P$708=0),"",$L$711-1),IF($R$17="Distrato",$E729,0))),0,YEARFRAC(MAX($P$708*($B729+IF($R$17="Distrato",$I$38-1,0)),IF(AND($L$711=0,$P$708=0),"",$L$711-1),IF($R$17="Distrato",$E729,0)),MIN(AI$38,$D$19),$P$20))-SUM($P729:AH729)</f>
        <v>#VALUE!</v>
      </c>
      <c r="AJ729" s="446" t="e">
        <f>IF(OR($B729="",MIN(AJ$38,$D$19)&lt;MAX($P$708*($B729+IF($R$17="Distrato",$I$38-1,0)),IF(AND($L$711=0,$P$708=0),"",$L$711-1),IF($R$17="Distrato",$E729,0))),0,YEARFRAC(MAX($P$708*($B729+IF($R$17="Distrato",$I$38-1,0)),IF(AND($L$711=0,$P$708=0),"",$L$711-1),IF($R$17="Distrato",$E729,0)),MIN(AJ$38,$D$19),$P$20))-SUM($P729:AI729)</f>
        <v>#VALUE!</v>
      </c>
      <c r="AK729" s="446" t="e">
        <f>IF(OR($B729="",MIN(AK$38,$D$19)&lt;MAX($P$708*($B729+IF($R$17="Distrato",$I$38-1,0)),IF(AND($L$711=0,$P$708=0),"",$L$711-1),IF($R$17="Distrato",$E729,0))),0,YEARFRAC(MAX($P$708*($B729+IF($R$17="Distrato",$I$38-1,0)),IF(AND($L$711=0,$P$708=0),"",$L$711-1),IF($R$17="Distrato",$E729,0)),MIN(AK$38,$D$19),$P$20))-SUM($P729:AJ729)</f>
        <v>#VALUE!</v>
      </c>
      <c r="AL729" s="446" t="e">
        <f>IF(OR($B729="",MIN(AL$38,$D$19)&lt;MAX($P$708*($B729+IF($R$17="Distrato",$I$38-1,0)),IF(AND($L$711=0,$P$708=0),"",$L$711-1),IF($R$17="Distrato",$E729,0))),0,YEARFRAC(MAX($P$708*($B729+IF($R$17="Distrato",$I$38-1,0)),IF(AND($L$711=0,$P$708=0),"",$L$711-1),IF($R$17="Distrato",$E729,0)),MIN(AL$38,$D$19),$P$20))-SUM($P729:AK729)</f>
        <v>#VALUE!</v>
      </c>
      <c r="AM729" s="446" t="e">
        <f>IF(OR($B729="",MIN(AM$38,$D$19)&lt;MAX($P$708*($B729+IF($R$17="Distrato",$I$38-1,0)),IF(AND($L$711=0,$P$708=0),"",$L$711-1),IF($R$17="Distrato",$E729,0))),0,YEARFRAC(MAX($P$708*($B729+IF($R$17="Distrato",$I$38-1,0)),IF(AND($L$711=0,$P$708=0),"",$L$711-1),IF($R$17="Distrato",$E729,0)),MIN(AM$38,$D$19),$P$20))-SUM($P729:AL729)</f>
        <v>#VALUE!</v>
      </c>
      <c r="AN729" s="446" t="e">
        <f>IF(OR($B729="",MIN(AN$38,$D$19)&lt;MAX($P$708*($B729+IF($R$17="Distrato",$I$38-1,0)),IF(AND($L$711=0,$P$708=0),"",$L$711-1),IF($R$17="Distrato",$E729,0))),0,YEARFRAC(MAX($P$708*($B729+IF($R$17="Distrato",$I$38-1,0)),IF(AND($L$711=0,$P$708=0),"",$L$711-1),IF($R$17="Distrato",$E729,0)),MIN(AN$38,$D$19),$P$20))-SUM($P729:AM729)</f>
        <v>#VALUE!</v>
      </c>
      <c r="AO729" s="446" t="e">
        <f>IF(OR($B729="",MIN(AO$38,$D$19)&lt;MAX($P$708*($B729+IF($R$17="Distrato",$I$38-1,0)),IF(AND($L$711=0,$P$708=0),"",$L$711-1),IF($R$17="Distrato",$E729,0))),0,YEARFRAC(MAX($P$708*($B729+IF($R$17="Distrato",$I$38-1,0)),IF(AND($L$711=0,$P$708=0),"",$L$711-1),IF($R$17="Distrato",$E729,0)),MIN(AO$38,$D$19),$P$20))-SUM($P729:AN729)</f>
        <v>#VALUE!</v>
      </c>
      <c r="AP729" s="446" t="e">
        <f>IF(OR($B729="",MIN(AP$38,$D$19)&lt;MAX($P$708*($B729+IF($R$17="Distrato",$I$38-1,0)),IF(AND($L$711=0,$P$708=0),"",$L$711-1),IF($R$17="Distrato",$E729,0))),0,YEARFRAC(MAX($P$708*($B729+IF($R$17="Distrato",$I$38-1,0)),IF(AND($L$711=0,$P$708=0),"",$L$711-1),IF($R$17="Distrato",$E729,0)),MIN(AP$38,$D$19),$P$20))-SUM($P729:AO729)</f>
        <v>#VALUE!</v>
      </c>
      <c r="AQ729" s="446" t="e">
        <f>IF(OR($B729="",MIN(AQ$38,$D$19)&lt;MAX($P$708*($B729+IF($R$17="Distrato",$I$38-1,0)),IF(AND($L$711=0,$P$708=0),"",$L$711-1),IF($R$17="Distrato",$E729,0))),0,YEARFRAC(MAX($P$708*($B729+IF($R$17="Distrato",$I$38-1,0)),IF(AND($L$711=0,$P$708=0),"",$L$711-1),IF($R$17="Distrato",$E729,0)),MIN(AQ$38,$D$19),$P$20))-SUM($P729:AP729)</f>
        <v>#VALUE!</v>
      </c>
      <c r="AR729" s="446" t="e">
        <f>IF(OR($B729="",MIN(AR$38,$D$19)&lt;MAX($P$708*($B729+IF($R$17="Distrato",$I$38-1,0)),IF(AND($L$711=0,$P$708=0),"",$L$711-1),IF($R$17="Distrato",$E729,0))),0,YEARFRAC(MAX($P$708*($B729+IF($R$17="Distrato",$I$38-1,0)),IF(AND($L$711=0,$P$708=0),"",$L$711-1),IF($R$17="Distrato",$E729,0)),MIN(AR$38,$D$19),$P$20))-SUM($P729:AQ729)</f>
        <v>#VALUE!</v>
      </c>
      <c r="AS729" s="446" t="e">
        <f>IF(OR($B729="",MIN(AS$38,$D$19)&lt;MAX($P$708*($B729+IF($R$17="Distrato",$I$38-1,0)),IF(AND($L$711=0,$P$708=0),"",$L$711-1),IF($R$17="Distrato",$E729,0))),0,YEARFRAC(MAX($P$708*($B729+IF($R$17="Distrato",$I$38-1,0)),IF(AND($L$711=0,$P$708=0),"",$L$711-1),IF($R$17="Distrato",$E729,0)),MIN(AS$38,$D$19),$P$20))-SUM($P729:AR729)</f>
        <v>#VALUE!</v>
      </c>
      <c r="AT729" s="446" t="e">
        <f>IF(OR($B729="",MIN(AT$38,$D$19)&lt;MAX($P$708*($B729+IF($R$17="Distrato",$I$38-1,0)),IF(AND($L$711=0,$P$708=0),"",$L$711-1),IF($R$17="Distrato",$E729,0))),0,YEARFRAC(MAX($P$708*($B729+IF($R$17="Distrato",$I$38-1,0)),IF(AND($L$711=0,$P$708=0),"",$L$711-1),IF($R$17="Distrato",$E729,0)),MIN(AT$38,$D$19),$P$20))-SUM($P729:AS729)</f>
        <v>#VALUE!</v>
      </c>
      <c r="AU729" s="446" t="e">
        <f>IF(OR($B729="",MIN(AU$38,$D$19)&lt;MAX($P$708*($B729+IF($R$17="Distrato",$I$38-1,0)),IF(AND($L$711=0,$P$708=0),"",$L$711-1),IF($R$17="Distrato",$E729,0))),0,YEARFRAC(MAX($P$708*($B729+IF($R$17="Distrato",$I$38-1,0)),IF(AND($L$711=0,$P$708=0),"",$L$711-1),IF($R$17="Distrato",$E729,0)),MIN(AU$38,$D$19),$P$20))-SUM($P729:AT729)</f>
        <v>#VALUE!</v>
      </c>
      <c r="AV729" s="446" t="e">
        <f>IF(OR($B729="",MIN(AV$38,$D$19)&lt;MAX($P$708*($B729+IF($R$17="Distrato",$I$38-1,0)),IF(AND($L$711=0,$P$708=0),"",$L$711-1),IF($R$17="Distrato",$E729,0))),0,YEARFRAC(MAX($P$708*($B729+IF($R$17="Distrato",$I$38-1,0)),IF(AND($L$711=0,$P$708=0),"",$L$711-1),IF($R$17="Distrato",$E729,0)),MIN(AV$38,$D$19),$P$20))-SUM($P729:AU729)</f>
        <v>#VALUE!</v>
      </c>
      <c r="AW729" s="446" t="e">
        <f>IF(OR($B729="",MIN(AW$38,$D$19)&lt;MAX($P$708*($B729+IF($R$17="Distrato",$I$38-1,0)),IF(AND($L$711=0,$P$708=0),"",$L$711-1),IF($R$17="Distrato",$E729,0))),0,YEARFRAC(MAX($P$708*($B729+IF($R$17="Distrato",$I$38-1,0)),IF(AND($L$711=0,$P$708=0),"",$L$711-1),IF($R$17="Distrato",$E729,0)),MIN(AW$38,$D$19),$P$20))-SUM($P729:AV729)</f>
        <v>#VALUE!</v>
      </c>
      <c r="AX729" s="446" t="e">
        <f>IF(OR($B729="",MIN(AX$38,$D$19)&lt;MAX($P$708*($B729+IF($R$17="Distrato",$I$38-1,0)),IF(AND($L$711=0,$P$708=0),"",$L$711-1),IF($R$17="Distrato",$E729,0))),0,YEARFRAC(MAX($P$708*($B729+IF($R$17="Distrato",$I$38-1,0)),IF(AND($L$711=0,$P$708=0),"",$L$711-1),IF($R$17="Distrato",$E729,0)),MIN(AX$38,$D$19),$P$20))-SUM($P729:AW729)</f>
        <v>#VALUE!</v>
      </c>
      <c r="AY729" s="446" t="e">
        <f>IF(OR($B729="",MIN(AY$38,$D$19)&lt;MAX($P$708*($B729+IF($R$17="Distrato",$I$38-1,0)),IF(AND($L$711=0,$P$708=0),"",$L$711-1),IF($R$17="Distrato",$E729,0))),0,YEARFRAC(MAX($P$708*($B729+IF($R$17="Distrato",$I$38-1,0)),IF(AND($L$711=0,$P$708=0),"",$L$711-1),IF($R$17="Distrato",$E729,0)),MIN(AY$38,$D$19),$P$20))-SUM($P729:AX729)</f>
        <v>#VALUE!</v>
      </c>
      <c r="AZ729" s="446" t="e">
        <f>IF(OR($B729="",MIN(AZ$38,$D$19)&lt;MAX($P$708*($B729+IF($R$17="Distrato",$I$38-1,0)),IF(AND($L$711=0,$P$708=0),"",$L$711-1),IF($R$17="Distrato",$E729,0))),0,YEARFRAC(MAX($P$708*($B729+IF($R$17="Distrato",$I$38-1,0)),IF(AND($L$711=0,$P$708=0),"",$L$711-1),IF($R$17="Distrato",$E729,0)),MIN(AZ$38,$D$19),$P$20))-SUM($P729:AY729)</f>
        <v>#VALUE!</v>
      </c>
      <c r="BA729" s="446" t="e">
        <f>IF(OR($B729="",MIN(BA$38,$D$19)&lt;MAX($P$708*($B729+IF($R$17="Distrato",$I$38-1,0)),IF(AND($L$711=0,$P$708=0),"",$L$711-1),IF($R$17="Distrato",$E729,0))),0,YEARFRAC(MAX($P$708*($B729+IF($R$17="Distrato",$I$38-1,0)),IF(AND($L$711=0,$P$708=0),"",$L$711-1),IF($R$17="Distrato",$E729,0)),MIN(BA$38,$D$19),$P$20))-SUM($P729:AZ729)</f>
        <v>#VALUE!</v>
      </c>
      <c r="BB729" s="447"/>
    </row>
    <row r="730" spans="1:54" s="446" customFormat="1" ht="11.25" hidden="1" customHeight="1" x14ac:dyDescent="0.2">
      <c r="A730" s="235"/>
      <c r="B730" s="236"/>
      <c r="C730" s="29" t="str">
        <f>IF(B730="","",IF($L$709=$BL$25,VLOOKUP(DATE(YEAR($D$19),MONTH($D$19)-1,1),ÍNDICES!$A:$DE,HLOOKUP($BL$25,ÍNDICES!$B$3:$T$4,2)+11)-VLOOKUP(B730,ÍNDICES!$A:$DE,HLOOKUP($BL$25,ÍNDICES!$B$3:$T$4,2)+11)+1%,IF(C$712=$W$26,$J$35,IF(ISERROR(IF(B730&gt;$D$19,1,VLOOKUP(DATE(YEAR(B730),MONTH(B730)+IF($C$709=$S$23,1,0),1),ÍNDICES!$A:$DE,$Z$709+1))),"",IF(B730&gt;$D$19,1,VLOOKUP(DATE(YEAR(B730),MONTH(B730)+IF($C$709=$S$23,1,0),1),ÍNDICES!$A:$DE,$Z$709+1))))))</f>
        <v/>
      </c>
      <c r="D730" s="155"/>
      <c r="E730" s="88"/>
      <c r="F730" s="88"/>
      <c r="G730" s="88"/>
      <c r="H730" s="118"/>
      <c r="I730" s="182">
        <f t="shared" si="115"/>
        <v>0</v>
      </c>
      <c r="J730" s="20">
        <f t="shared" ca="1" si="116"/>
        <v>0</v>
      </c>
      <c r="K730" s="5">
        <f t="shared" ca="1" si="117"/>
        <v>0</v>
      </c>
      <c r="L730" s="61">
        <f t="shared" ca="1" si="118"/>
        <v>0</v>
      </c>
      <c r="M730" s="64">
        <f t="shared" si="119"/>
        <v>0</v>
      </c>
      <c r="N730" s="151"/>
      <c r="O730" s="5">
        <f t="shared" ca="1" si="120"/>
        <v>0</v>
      </c>
      <c r="P730" s="446" t="e">
        <f t="shared" si="121"/>
        <v>#VALUE!</v>
      </c>
      <c r="Q730" s="446" t="e">
        <f>IF(OR($B730="",MIN(Q$38,$D$19)&lt;MAX($P$708*($B730+IF($R$17="Distrato",$I$38-1,0)),IF(AND($L$711=0,$P$708=0),"",$L$711-1),IF($R$17="Distrato",$E730,0))),0,YEARFRAC(MAX($P$708*($B730+IF($R$17="Distrato",$I$38-1,0)),IF(AND($L$711=0,$P$708=0),"",$L$711-1),IF($R$17="Distrato",$E730,0)),MIN(Q$38,$D$19),$P$20))-SUM($P730:P730)</f>
        <v>#VALUE!</v>
      </c>
      <c r="R730" s="446" t="e">
        <f>IF(OR($B730="",MIN(R$38,$D$19)&lt;MAX($P$708*($B730+IF($R$17="Distrato",$I$38-1,0)),IF(AND($L$711=0,$P$708=0),"",$L$711-1),IF($R$17="Distrato",$E730,0))),0,YEARFRAC(MAX($P$708*($B730+IF($R$17="Distrato",$I$38-1,0)),IF(AND($L$711=0,$P$708=0),"",$L$711-1),IF($R$17="Distrato",$E730,0)),MIN(R$38,$D$19),$P$20))-SUM($P730:Q730)</f>
        <v>#VALUE!</v>
      </c>
      <c r="S730" s="446" t="e">
        <f>IF(OR($B730="",MIN(S$38,$D$19)&lt;MAX($P$708*($B730+IF($R$17="Distrato",$I$38-1,0)),IF(AND($L$711=0,$P$708=0),"",$L$711-1),IF($R$17="Distrato",$E730,0))),0,YEARFRAC(MAX($P$708*($B730+IF($R$17="Distrato",$I$38-1,0)),IF(AND($L$711=0,$P$708=0),"",$L$711-1),IF($R$17="Distrato",$E730,0)),MIN(S$38,$D$19),$P$20))-SUM($P730:R730)</f>
        <v>#VALUE!</v>
      </c>
      <c r="T730" s="446" t="e">
        <f>IF(OR($B730="",MIN(T$38,$D$19)&lt;MAX($P$708*($B730+IF($R$17="Distrato",$I$38-1,0)),IF(AND($L$711=0,$P$708=0),"",$L$711-1),IF($R$17="Distrato",$E730,0))),0,YEARFRAC(MAX($P$708*($B730+IF($R$17="Distrato",$I$38-1,0)),IF(AND($L$711=0,$P$708=0),"",$L$711-1),IF($R$17="Distrato",$E730,0)),MIN(T$38,$D$19),$P$20))-SUM($P730:S730)</f>
        <v>#VALUE!</v>
      </c>
      <c r="U730" s="446" t="e">
        <f>IF(OR($B730="",MIN(U$38,$D$19)&lt;MAX($P$708*($B730+IF($R$17="Distrato",$I$38-1,0)),IF(AND($L$711=0,$P$708=0),"",$L$711-1),IF($R$17="Distrato",$E730,0))),0,YEARFRAC(MAX($P$708*($B730+IF($R$17="Distrato",$I$38-1,0)),IF(AND($L$711=0,$P$708=0),"",$L$711-1),IF($R$17="Distrato",$E730,0)),MIN(U$38,$D$19),$P$20))-SUM($P730:T730)</f>
        <v>#VALUE!</v>
      </c>
      <c r="V730" s="446" t="e">
        <f>IF(OR($B730="",MIN(V$38,$D$19)&lt;MAX($P$708*($B730+IF($R$17="Distrato",$I$38-1,0)),IF(AND($L$711=0,$P$708=0),"",$L$711-1),IF($R$17="Distrato",$E730,0))),0,YEARFRAC(MAX($P$708*($B730+IF($R$17="Distrato",$I$38-1,0)),IF(AND($L$711=0,$P$708=0),"",$L$711-1),IF($R$17="Distrato",$E730,0)),MIN(V$38,$D$19),$P$20))-SUM($P730:U730)</f>
        <v>#VALUE!</v>
      </c>
      <c r="W730" s="446" t="e">
        <f>IF(OR($B730="",MIN(W$38,$D$19)&lt;MAX($P$708*($B730+IF($R$17="Distrato",$I$38-1,0)),IF(AND($L$711=0,$P$708=0),"",$L$711-1),IF($R$17="Distrato",$E730,0))),0,YEARFRAC(MAX($P$708*($B730+IF($R$17="Distrato",$I$38-1,0)),IF(AND($L$711=0,$P$708=0),"",$L$711-1),IF($R$17="Distrato",$E730,0)),MIN(W$38,$D$19),$P$20))-SUM($P730:V730)</f>
        <v>#VALUE!</v>
      </c>
      <c r="X730" s="446" t="e">
        <f>IF(OR($B730="",MIN(X$38,$D$19)&lt;MAX($P$708*($B730+IF($R$17="Distrato",$I$38-1,0)),IF(AND($L$711=0,$P$708=0),"",$L$711-1),IF($R$17="Distrato",$E730,0))),0,YEARFRAC(MAX($P$708*($B730+IF($R$17="Distrato",$I$38-1,0)),IF(AND($L$711=0,$P$708=0),"",$L$711-1),IF($R$17="Distrato",$E730,0)),MIN(X$38,$D$19),$P$20))-SUM($P730:W730)</f>
        <v>#VALUE!</v>
      </c>
      <c r="Y730" s="446" t="e">
        <f>IF(OR($B730="",MIN(Y$38,$D$19)&lt;MAX($P$708*($B730+IF($R$17="Distrato",$I$38-1,0)),IF(AND($L$711=0,$P$708=0),"",$L$711-1),IF($R$17="Distrato",$E730,0))),0,YEARFRAC(MAX($P$708*($B730+IF($R$17="Distrato",$I$38-1,0)),IF(AND($L$711=0,$P$708=0),"",$L$711-1),IF($R$17="Distrato",$E730,0)),MIN(Y$38,$D$19),$P$20))-SUM($P730:X730)</f>
        <v>#VALUE!</v>
      </c>
      <c r="Z730" s="446" t="e">
        <f>IF(OR($B730="",MIN(Z$38,$D$19)&lt;MAX($P$708*($B730+IF($R$17="Distrato",$I$38-1,0)),IF(AND($L$711=0,$P$708=0),"",$L$711-1),IF($R$17="Distrato",$E730,0))),0,YEARFRAC(MAX($P$708*($B730+IF($R$17="Distrato",$I$38-1,0)),IF(AND($L$711=0,$P$708=0),"",$L$711-1),IF($R$17="Distrato",$E730,0)),MIN(Z$38,$D$19),$P$20))-SUM($P730:Y730)</f>
        <v>#VALUE!</v>
      </c>
      <c r="AA730" s="446" t="e">
        <f>IF(OR($B730="",MIN(AA$38,$D$19)&lt;MAX($P$708*($B730+IF($R$17="Distrato",$I$38-1,0)),IF(AND($L$711=0,$P$708=0),"",$L$711-1),IF($R$17="Distrato",$E730,0))),0,YEARFRAC(MAX($P$708*($B730+IF($R$17="Distrato",$I$38-1,0)),IF(AND($L$711=0,$P$708=0),"",$L$711-1),IF($R$17="Distrato",$E730,0)),MIN(AA$38,$D$19),$P$20))-SUM($P730:Z730)</f>
        <v>#VALUE!</v>
      </c>
      <c r="AB730" s="446" t="e">
        <f>IF(OR($B730="",MIN(AB$38,$D$19)&lt;MAX($P$708*($B730+IF($R$17="Distrato",$I$38-1,0)),IF(AND($L$711=0,$P$708=0),"",$L$711-1),IF($R$17="Distrato",$E730,0))),0,YEARFRAC(MAX($P$708*($B730+IF($R$17="Distrato",$I$38-1,0)),IF(AND($L$711=0,$P$708=0),"",$L$711-1),IF($R$17="Distrato",$E730,0)),MIN(AB$38,$D$19),$P$20))-SUM($P730:AA730)</f>
        <v>#VALUE!</v>
      </c>
      <c r="AC730" s="446" t="e">
        <f>IF(OR($B730="",MIN(AC$38,$D$19)&lt;MAX($P$708*($B730+IF($R$17="Distrato",$I$38-1,0)),IF(AND($L$711=0,$P$708=0),"",$L$711-1),IF($R$17="Distrato",$E730,0))),0,YEARFRAC(MAX($P$708*($B730+IF($R$17="Distrato",$I$38-1,0)),IF(AND($L$711=0,$P$708=0),"",$L$711-1),IF($R$17="Distrato",$E730,0)),MIN(AC$38,$D$19),$P$20))-SUM($P730:AB730)</f>
        <v>#VALUE!</v>
      </c>
      <c r="AD730" s="446" t="e">
        <f>IF(OR($B730="",MIN(AD$38,$D$19)&lt;MAX($P$708*($B730+IF($R$17="Distrato",$I$38-1,0)),IF(AND($L$711=0,$P$708=0),"",$L$711-1),IF($R$17="Distrato",$E730,0))),0,YEARFRAC(MAX($P$708*($B730+IF($R$17="Distrato",$I$38-1,0)),IF(AND($L$711=0,$P$708=0),"",$L$711-1),IF($R$17="Distrato",$E730,0)),MIN(AD$38,$D$19),$P$20))-SUM($P730:AC730)</f>
        <v>#VALUE!</v>
      </c>
      <c r="AE730" s="446" t="e">
        <f>IF(OR($B730="",MIN(AE$38,$D$19)&lt;MAX($P$708*($B730+IF($R$17="Distrato",$I$38-1,0)),IF(AND($L$711=0,$P$708=0),"",$L$711-1),IF($R$17="Distrato",$E730,0))),0,YEARFRAC(MAX($P$708*($B730+IF($R$17="Distrato",$I$38-1,0)),IF(AND($L$711=0,$P$708=0),"",$L$711-1),IF($R$17="Distrato",$E730,0)),MIN(AE$38,$D$19),$P$20))-SUM($P730:AD730)</f>
        <v>#VALUE!</v>
      </c>
      <c r="AF730" s="446" t="e">
        <f>IF(OR($B730="",MIN(AF$38,$D$19)&lt;MAX($P$708*($B730+IF($R$17="Distrato",$I$38-1,0)),IF(AND($L$711=0,$P$708=0),"",$L$711-1),IF($R$17="Distrato",$E730,0))),0,YEARFRAC(MAX($P$708*($B730+IF($R$17="Distrato",$I$38-1,0)),IF(AND($L$711=0,$P$708=0),"",$L$711-1),IF($R$17="Distrato",$E730,0)),MIN(AF$38,$D$19),$P$20))-SUM($P730:AE730)</f>
        <v>#VALUE!</v>
      </c>
      <c r="AG730" s="446" t="e">
        <f>IF(OR($B730="",MIN(AG$38,$D$19)&lt;MAX($P$708*($B730+IF($R$17="Distrato",$I$38-1,0)),IF(AND($L$711=0,$P$708=0),"",$L$711-1),IF($R$17="Distrato",$E730,0))),0,YEARFRAC(MAX($P$708*($B730+IF($R$17="Distrato",$I$38-1,0)),IF(AND($L$711=0,$P$708=0),"",$L$711-1),IF($R$17="Distrato",$E730,0)),MIN(AG$38,$D$19),$P$20))-SUM($P730:AF730)</f>
        <v>#VALUE!</v>
      </c>
      <c r="AH730" s="446" t="e">
        <f>IF(OR($B730="",MIN(AH$38,$D$19)&lt;MAX($P$708*($B730+IF($R$17="Distrato",$I$38-1,0)),IF(AND($L$711=0,$P$708=0),"",$L$711-1),IF($R$17="Distrato",$E730,0))),0,YEARFRAC(MAX($P$708*($B730+IF($R$17="Distrato",$I$38-1,0)),IF(AND($L$711=0,$P$708=0),"",$L$711-1),IF($R$17="Distrato",$E730,0)),MIN(AH$38,$D$19),$P$20))-SUM($P730:AG730)</f>
        <v>#VALUE!</v>
      </c>
      <c r="AI730" s="446" t="e">
        <f>IF(OR($B730="",MIN(AI$38,$D$19)&lt;MAX($P$708*($B730+IF($R$17="Distrato",$I$38-1,0)),IF(AND($L$711=0,$P$708=0),"",$L$711-1),IF($R$17="Distrato",$E730,0))),0,YEARFRAC(MAX($P$708*($B730+IF($R$17="Distrato",$I$38-1,0)),IF(AND($L$711=0,$P$708=0),"",$L$711-1),IF($R$17="Distrato",$E730,0)),MIN(AI$38,$D$19),$P$20))-SUM($P730:AH730)</f>
        <v>#VALUE!</v>
      </c>
      <c r="AJ730" s="446" t="e">
        <f>IF(OR($B730="",MIN(AJ$38,$D$19)&lt;MAX($P$708*($B730+IF($R$17="Distrato",$I$38-1,0)),IF(AND($L$711=0,$P$708=0),"",$L$711-1),IF($R$17="Distrato",$E730,0))),0,YEARFRAC(MAX($P$708*($B730+IF($R$17="Distrato",$I$38-1,0)),IF(AND($L$711=0,$P$708=0),"",$L$711-1),IF($R$17="Distrato",$E730,0)),MIN(AJ$38,$D$19),$P$20))-SUM($P730:AI730)</f>
        <v>#VALUE!</v>
      </c>
      <c r="AK730" s="446" t="e">
        <f>IF(OR($B730="",MIN(AK$38,$D$19)&lt;MAX($P$708*($B730+IF($R$17="Distrato",$I$38-1,0)),IF(AND($L$711=0,$P$708=0),"",$L$711-1),IF($R$17="Distrato",$E730,0))),0,YEARFRAC(MAX($P$708*($B730+IF($R$17="Distrato",$I$38-1,0)),IF(AND($L$711=0,$P$708=0),"",$L$711-1),IF($R$17="Distrato",$E730,0)),MIN(AK$38,$D$19),$P$20))-SUM($P730:AJ730)</f>
        <v>#VALUE!</v>
      </c>
      <c r="AL730" s="446" t="e">
        <f>IF(OR($B730="",MIN(AL$38,$D$19)&lt;MAX($P$708*($B730+IF($R$17="Distrato",$I$38-1,0)),IF(AND($L$711=0,$P$708=0),"",$L$711-1),IF($R$17="Distrato",$E730,0))),0,YEARFRAC(MAX($P$708*($B730+IF($R$17="Distrato",$I$38-1,0)),IF(AND($L$711=0,$P$708=0),"",$L$711-1),IF($R$17="Distrato",$E730,0)),MIN(AL$38,$D$19),$P$20))-SUM($P730:AK730)</f>
        <v>#VALUE!</v>
      </c>
      <c r="AM730" s="446" t="e">
        <f>IF(OR($B730="",MIN(AM$38,$D$19)&lt;MAX($P$708*($B730+IF($R$17="Distrato",$I$38-1,0)),IF(AND($L$711=0,$P$708=0),"",$L$711-1),IF($R$17="Distrato",$E730,0))),0,YEARFRAC(MAX($P$708*($B730+IF($R$17="Distrato",$I$38-1,0)),IF(AND($L$711=0,$P$708=0),"",$L$711-1),IF($R$17="Distrato",$E730,0)),MIN(AM$38,$D$19),$P$20))-SUM($P730:AL730)</f>
        <v>#VALUE!</v>
      </c>
      <c r="AN730" s="446" t="e">
        <f>IF(OR($B730="",MIN(AN$38,$D$19)&lt;MAX($P$708*($B730+IF($R$17="Distrato",$I$38-1,0)),IF(AND($L$711=0,$P$708=0),"",$L$711-1),IF($R$17="Distrato",$E730,0))),0,YEARFRAC(MAX($P$708*($B730+IF($R$17="Distrato",$I$38-1,0)),IF(AND($L$711=0,$P$708=0),"",$L$711-1),IF($R$17="Distrato",$E730,0)),MIN(AN$38,$D$19),$P$20))-SUM($P730:AM730)</f>
        <v>#VALUE!</v>
      </c>
      <c r="AO730" s="446" t="e">
        <f>IF(OR($B730="",MIN(AO$38,$D$19)&lt;MAX($P$708*($B730+IF($R$17="Distrato",$I$38-1,0)),IF(AND($L$711=0,$P$708=0),"",$L$711-1),IF($R$17="Distrato",$E730,0))),0,YEARFRAC(MAX($P$708*($B730+IF($R$17="Distrato",$I$38-1,0)),IF(AND($L$711=0,$P$708=0),"",$L$711-1),IF($R$17="Distrato",$E730,0)),MIN(AO$38,$D$19),$P$20))-SUM($P730:AN730)</f>
        <v>#VALUE!</v>
      </c>
      <c r="AP730" s="446" t="e">
        <f>IF(OR($B730="",MIN(AP$38,$D$19)&lt;MAX($P$708*($B730+IF($R$17="Distrato",$I$38-1,0)),IF(AND($L$711=0,$P$708=0),"",$L$711-1),IF($R$17="Distrato",$E730,0))),0,YEARFRAC(MAX($P$708*($B730+IF($R$17="Distrato",$I$38-1,0)),IF(AND($L$711=0,$P$708=0),"",$L$711-1),IF($R$17="Distrato",$E730,0)),MIN(AP$38,$D$19),$P$20))-SUM($P730:AO730)</f>
        <v>#VALUE!</v>
      </c>
      <c r="AQ730" s="446" t="e">
        <f>IF(OR($B730="",MIN(AQ$38,$D$19)&lt;MAX($P$708*($B730+IF($R$17="Distrato",$I$38-1,0)),IF(AND($L$711=0,$P$708=0),"",$L$711-1),IF($R$17="Distrato",$E730,0))),0,YEARFRAC(MAX($P$708*($B730+IF($R$17="Distrato",$I$38-1,0)),IF(AND($L$711=0,$P$708=0),"",$L$711-1),IF($R$17="Distrato",$E730,0)),MIN(AQ$38,$D$19),$P$20))-SUM($P730:AP730)</f>
        <v>#VALUE!</v>
      </c>
      <c r="AR730" s="446" t="e">
        <f>IF(OR($B730="",MIN(AR$38,$D$19)&lt;MAX($P$708*($B730+IF($R$17="Distrato",$I$38-1,0)),IF(AND($L$711=0,$P$708=0),"",$L$711-1),IF($R$17="Distrato",$E730,0))),0,YEARFRAC(MAX($P$708*($B730+IF($R$17="Distrato",$I$38-1,0)),IF(AND($L$711=0,$P$708=0),"",$L$711-1),IF($R$17="Distrato",$E730,0)),MIN(AR$38,$D$19),$P$20))-SUM($P730:AQ730)</f>
        <v>#VALUE!</v>
      </c>
      <c r="AS730" s="446" t="e">
        <f>IF(OR($B730="",MIN(AS$38,$D$19)&lt;MAX($P$708*($B730+IF($R$17="Distrato",$I$38-1,0)),IF(AND($L$711=0,$P$708=0),"",$L$711-1),IF($R$17="Distrato",$E730,0))),0,YEARFRAC(MAX($P$708*($B730+IF($R$17="Distrato",$I$38-1,0)),IF(AND($L$711=0,$P$708=0),"",$L$711-1),IF($R$17="Distrato",$E730,0)),MIN(AS$38,$D$19),$P$20))-SUM($P730:AR730)</f>
        <v>#VALUE!</v>
      </c>
      <c r="AT730" s="446" t="e">
        <f>IF(OR($B730="",MIN(AT$38,$D$19)&lt;MAX($P$708*($B730+IF($R$17="Distrato",$I$38-1,0)),IF(AND($L$711=0,$P$708=0),"",$L$711-1),IF($R$17="Distrato",$E730,0))),0,YEARFRAC(MAX($P$708*($B730+IF($R$17="Distrato",$I$38-1,0)),IF(AND($L$711=0,$P$708=0),"",$L$711-1),IF($R$17="Distrato",$E730,0)),MIN(AT$38,$D$19),$P$20))-SUM($P730:AS730)</f>
        <v>#VALUE!</v>
      </c>
      <c r="AU730" s="446" t="e">
        <f>IF(OR($B730="",MIN(AU$38,$D$19)&lt;MAX($P$708*($B730+IF($R$17="Distrato",$I$38-1,0)),IF(AND($L$711=0,$P$708=0),"",$L$711-1),IF($R$17="Distrato",$E730,0))),0,YEARFRAC(MAX($P$708*($B730+IF($R$17="Distrato",$I$38-1,0)),IF(AND($L$711=0,$P$708=0),"",$L$711-1),IF($R$17="Distrato",$E730,0)),MIN(AU$38,$D$19),$P$20))-SUM($P730:AT730)</f>
        <v>#VALUE!</v>
      </c>
      <c r="AV730" s="446" t="e">
        <f>IF(OR($B730="",MIN(AV$38,$D$19)&lt;MAX($P$708*($B730+IF($R$17="Distrato",$I$38-1,0)),IF(AND($L$711=0,$P$708=0),"",$L$711-1),IF($R$17="Distrato",$E730,0))),0,YEARFRAC(MAX($P$708*($B730+IF($R$17="Distrato",$I$38-1,0)),IF(AND($L$711=0,$P$708=0),"",$L$711-1),IF($R$17="Distrato",$E730,0)),MIN(AV$38,$D$19),$P$20))-SUM($P730:AU730)</f>
        <v>#VALUE!</v>
      </c>
      <c r="AW730" s="446" t="e">
        <f>IF(OR($B730="",MIN(AW$38,$D$19)&lt;MAX($P$708*($B730+IF($R$17="Distrato",$I$38-1,0)),IF(AND($L$711=0,$P$708=0),"",$L$711-1),IF($R$17="Distrato",$E730,0))),0,YEARFRAC(MAX($P$708*($B730+IF($R$17="Distrato",$I$38-1,0)),IF(AND($L$711=0,$P$708=0),"",$L$711-1),IF($R$17="Distrato",$E730,0)),MIN(AW$38,$D$19),$P$20))-SUM($P730:AV730)</f>
        <v>#VALUE!</v>
      </c>
      <c r="AX730" s="446" t="e">
        <f>IF(OR($B730="",MIN(AX$38,$D$19)&lt;MAX($P$708*($B730+IF($R$17="Distrato",$I$38-1,0)),IF(AND($L$711=0,$P$708=0),"",$L$711-1),IF($R$17="Distrato",$E730,0))),0,YEARFRAC(MAX($P$708*($B730+IF($R$17="Distrato",$I$38-1,0)),IF(AND($L$711=0,$P$708=0),"",$L$711-1),IF($R$17="Distrato",$E730,0)),MIN(AX$38,$D$19),$P$20))-SUM($P730:AW730)</f>
        <v>#VALUE!</v>
      </c>
      <c r="AY730" s="446" t="e">
        <f>IF(OR($B730="",MIN(AY$38,$D$19)&lt;MAX($P$708*($B730+IF($R$17="Distrato",$I$38-1,0)),IF(AND($L$711=0,$P$708=0),"",$L$711-1),IF($R$17="Distrato",$E730,0))),0,YEARFRAC(MAX($P$708*($B730+IF($R$17="Distrato",$I$38-1,0)),IF(AND($L$711=0,$P$708=0),"",$L$711-1),IF($R$17="Distrato",$E730,0)),MIN(AY$38,$D$19),$P$20))-SUM($P730:AX730)</f>
        <v>#VALUE!</v>
      </c>
      <c r="AZ730" s="446" t="e">
        <f>IF(OR($B730="",MIN(AZ$38,$D$19)&lt;MAX($P$708*($B730+IF($R$17="Distrato",$I$38-1,0)),IF(AND($L$711=0,$P$708=0),"",$L$711-1),IF($R$17="Distrato",$E730,0))),0,YEARFRAC(MAX($P$708*($B730+IF($R$17="Distrato",$I$38-1,0)),IF(AND($L$711=0,$P$708=0),"",$L$711-1),IF($R$17="Distrato",$E730,0)),MIN(AZ$38,$D$19),$P$20))-SUM($P730:AY730)</f>
        <v>#VALUE!</v>
      </c>
      <c r="BA730" s="446" t="e">
        <f>IF(OR($B730="",MIN(BA$38,$D$19)&lt;MAX($P$708*($B730+IF($R$17="Distrato",$I$38-1,0)),IF(AND($L$711=0,$P$708=0),"",$L$711-1),IF($R$17="Distrato",$E730,0))),0,YEARFRAC(MAX($P$708*($B730+IF($R$17="Distrato",$I$38-1,0)),IF(AND($L$711=0,$P$708=0),"",$L$711-1),IF($R$17="Distrato",$E730,0)),MIN(BA$38,$D$19),$P$20))-SUM($P730:AZ730)</f>
        <v>#VALUE!</v>
      </c>
      <c r="BB730" s="447"/>
    </row>
    <row r="731" spans="1:54" s="446" customFormat="1" ht="11.25" hidden="1" customHeight="1" x14ac:dyDescent="0.2">
      <c r="A731" s="235"/>
      <c r="B731" s="236"/>
      <c r="C731" s="29" t="str">
        <f>IF(B731="","",IF($L$709=$BL$25,VLOOKUP(DATE(YEAR($D$19),MONTH($D$19)-1,1),ÍNDICES!$A:$DE,HLOOKUP($BL$25,ÍNDICES!$B$3:$T$4,2)+11)-VLOOKUP(B731,ÍNDICES!$A:$DE,HLOOKUP($BL$25,ÍNDICES!$B$3:$T$4,2)+11)+1%,IF(C$712=$W$26,$J$35,IF(ISERROR(IF(B731&gt;$D$19,1,VLOOKUP(DATE(YEAR(B731),MONTH(B731)+IF($C$709=$S$23,1,0),1),ÍNDICES!$A:$DE,$Z$709+1))),"",IF(B731&gt;$D$19,1,VLOOKUP(DATE(YEAR(B731),MONTH(B731)+IF($C$709=$S$23,1,0),1),ÍNDICES!$A:$DE,$Z$709+1))))))</f>
        <v/>
      </c>
      <c r="D731" s="155"/>
      <c r="E731" s="88"/>
      <c r="F731" s="88"/>
      <c r="G731" s="88"/>
      <c r="H731" s="118"/>
      <c r="I731" s="182">
        <f t="shared" si="115"/>
        <v>0</v>
      </c>
      <c r="J731" s="20">
        <f t="shared" ca="1" si="116"/>
        <v>0</v>
      </c>
      <c r="K731" s="5">
        <f t="shared" ca="1" si="117"/>
        <v>0</v>
      </c>
      <c r="L731" s="61">
        <f t="shared" ca="1" si="118"/>
        <v>0</v>
      </c>
      <c r="M731" s="64">
        <f t="shared" si="119"/>
        <v>0</v>
      </c>
      <c r="N731" s="151"/>
      <c r="O731" s="5">
        <f t="shared" ca="1" si="120"/>
        <v>0</v>
      </c>
      <c r="P731" s="446" t="e">
        <f t="shared" si="121"/>
        <v>#VALUE!</v>
      </c>
      <c r="Q731" s="446" t="e">
        <f>IF(OR($B731="",MIN(Q$38,$D$19)&lt;MAX($P$708*($B731+IF($R$17="Distrato",$I$38-1,0)),IF(AND($L$711=0,$P$708=0),"",$L$711-1),IF($R$17="Distrato",$E731,0))),0,YEARFRAC(MAX($P$708*($B731+IF($R$17="Distrato",$I$38-1,0)),IF(AND($L$711=0,$P$708=0),"",$L$711-1),IF($R$17="Distrato",$E731,0)),MIN(Q$38,$D$19),$P$20))-SUM($P731:P731)</f>
        <v>#VALUE!</v>
      </c>
      <c r="R731" s="446" t="e">
        <f>IF(OR($B731="",MIN(R$38,$D$19)&lt;MAX($P$708*($B731+IF($R$17="Distrato",$I$38-1,0)),IF(AND($L$711=0,$P$708=0),"",$L$711-1),IF($R$17="Distrato",$E731,0))),0,YEARFRAC(MAX($P$708*($B731+IF($R$17="Distrato",$I$38-1,0)),IF(AND($L$711=0,$P$708=0),"",$L$711-1),IF($R$17="Distrato",$E731,0)),MIN(R$38,$D$19),$P$20))-SUM($P731:Q731)</f>
        <v>#VALUE!</v>
      </c>
      <c r="S731" s="446" t="e">
        <f>IF(OR($B731="",MIN(S$38,$D$19)&lt;MAX($P$708*($B731+IF($R$17="Distrato",$I$38-1,0)),IF(AND($L$711=0,$P$708=0),"",$L$711-1),IF($R$17="Distrato",$E731,0))),0,YEARFRAC(MAX($P$708*($B731+IF($R$17="Distrato",$I$38-1,0)),IF(AND($L$711=0,$P$708=0),"",$L$711-1),IF($R$17="Distrato",$E731,0)),MIN(S$38,$D$19),$P$20))-SUM($P731:R731)</f>
        <v>#VALUE!</v>
      </c>
      <c r="T731" s="446" t="e">
        <f>IF(OR($B731="",MIN(T$38,$D$19)&lt;MAX($P$708*($B731+IF($R$17="Distrato",$I$38-1,0)),IF(AND($L$711=0,$P$708=0),"",$L$711-1),IF($R$17="Distrato",$E731,0))),0,YEARFRAC(MAX($P$708*($B731+IF($R$17="Distrato",$I$38-1,0)),IF(AND($L$711=0,$P$708=0),"",$L$711-1),IF($R$17="Distrato",$E731,0)),MIN(T$38,$D$19),$P$20))-SUM($P731:S731)</f>
        <v>#VALUE!</v>
      </c>
      <c r="U731" s="446" t="e">
        <f>IF(OR($B731="",MIN(U$38,$D$19)&lt;MAX($P$708*($B731+IF($R$17="Distrato",$I$38-1,0)),IF(AND($L$711=0,$P$708=0),"",$L$711-1),IF($R$17="Distrato",$E731,0))),0,YEARFRAC(MAX($P$708*($B731+IF($R$17="Distrato",$I$38-1,0)),IF(AND($L$711=0,$P$708=0),"",$L$711-1),IF($R$17="Distrato",$E731,0)),MIN(U$38,$D$19),$P$20))-SUM($P731:T731)</f>
        <v>#VALUE!</v>
      </c>
      <c r="V731" s="446" t="e">
        <f>IF(OR($B731="",MIN(V$38,$D$19)&lt;MAX($P$708*($B731+IF($R$17="Distrato",$I$38-1,0)),IF(AND($L$711=0,$P$708=0),"",$L$711-1),IF($R$17="Distrato",$E731,0))),0,YEARFRAC(MAX($P$708*($B731+IF($R$17="Distrato",$I$38-1,0)),IF(AND($L$711=0,$P$708=0),"",$L$711-1),IF($R$17="Distrato",$E731,0)),MIN(V$38,$D$19),$P$20))-SUM($P731:U731)</f>
        <v>#VALUE!</v>
      </c>
      <c r="W731" s="446" t="e">
        <f>IF(OR($B731="",MIN(W$38,$D$19)&lt;MAX($P$708*($B731+IF($R$17="Distrato",$I$38-1,0)),IF(AND($L$711=0,$P$708=0),"",$L$711-1),IF($R$17="Distrato",$E731,0))),0,YEARFRAC(MAX($P$708*($B731+IF($R$17="Distrato",$I$38-1,0)),IF(AND($L$711=0,$P$708=0),"",$L$711-1),IF($R$17="Distrato",$E731,0)),MIN(W$38,$D$19),$P$20))-SUM($P731:V731)</f>
        <v>#VALUE!</v>
      </c>
      <c r="X731" s="446" t="e">
        <f>IF(OR($B731="",MIN(X$38,$D$19)&lt;MAX($P$708*($B731+IF($R$17="Distrato",$I$38-1,0)),IF(AND($L$711=0,$P$708=0),"",$L$711-1),IF($R$17="Distrato",$E731,0))),0,YEARFRAC(MAX($P$708*($B731+IF($R$17="Distrato",$I$38-1,0)),IF(AND($L$711=0,$P$708=0),"",$L$711-1),IF($R$17="Distrato",$E731,0)),MIN(X$38,$D$19),$P$20))-SUM($P731:W731)</f>
        <v>#VALUE!</v>
      </c>
      <c r="Y731" s="446" t="e">
        <f>IF(OR($B731="",MIN(Y$38,$D$19)&lt;MAX($P$708*($B731+IF($R$17="Distrato",$I$38-1,0)),IF(AND($L$711=0,$P$708=0),"",$L$711-1),IF($R$17="Distrato",$E731,0))),0,YEARFRAC(MAX($P$708*($B731+IF($R$17="Distrato",$I$38-1,0)),IF(AND($L$711=0,$P$708=0),"",$L$711-1),IF($R$17="Distrato",$E731,0)),MIN(Y$38,$D$19),$P$20))-SUM($P731:X731)</f>
        <v>#VALUE!</v>
      </c>
      <c r="Z731" s="446" t="e">
        <f>IF(OR($B731="",MIN(Z$38,$D$19)&lt;MAX($P$708*($B731+IF($R$17="Distrato",$I$38-1,0)),IF(AND($L$711=0,$P$708=0),"",$L$711-1),IF($R$17="Distrato",$E731,0))),0,YEARFRAC(MAX($P$708*($B731+IF($R$17="Distrato",$I$38-1,0)),IF(AND($L$711=0,$P$708=0),"",$L$711-1),IF($R$17="Distrato",$E731,0)),MIN(Z$38,$D$19),$P$20))-SUM($P731:Y731)</f>
        <v>#VALUE!</v>
      </c>
      <c r="AA731" s="446" t="e">
        <f>IF(OR($B731="",MIN(AA$38,$D$19)&lt;MAX($P$708*($B731+IF($R$17="Distrato",$I$38-1,0)),IF(AND($L$711=0,$P$708=0),"",$L$711-1),IF($R$17="Distrato",$E731,0))),0,YEARFRAC(MAX($P$708*($B731+IF($R$17="Distrato",$I$38-1,0)),IF(AND($L$711=0,$P$708=0),"",$L$711-1),IF($R$17="Distrato",$E731,0)),MIN(AA$38,$D$19),$P$20))-SUM($P731:Z731)</f>
        <v>#VALUE!</v>
      </c>
      <c r="AB731" s="446" t="e">
        <f>IF(OR($B731="",MIN(AB$38,$D$19)&lt;MAX($P$708*($B731+IF($R$17="Distrato",$I$38-1,0)),IF(AND($L$711=0,$P$708=0),"",$L$711-1),IF($R$17="Distrato",$E731,0))),0,YEARFRAC(MAX($P$708*($B731+IF($R$17="Distrato",$I$38-1,0)),IF(AND($L$711=0,$P$708=0),"",$L$711-1),IF($R$17="Distrato",$E731,0)),MIN(AB$38,$D$19),$P$20))-SUM($P731:AA731)</f>
        <v>#VALUE!</v>
      </c>
      <c r="AC731" s="446" t="e">
        <f>IF(OR($B731="",MIN(AC$38,$D$19)&lt;MAX($P$708*($B731+IF($R$17="Distrato",$I$38-1,0)),IF(AND($L$711=0,$P$708=0),"",$L$711-1),IF($R$17="Distrato",$E731,0))),0,YEARFRAC(MAX($P$708*($B731+IF($R$17="Distrato",$I$38-1,0)),IF(AND($L$711=0,$P$708=0),"",$L$711-1),IF($R$17="Distrato",$E731,0)),MIN(AC$38,$D$19),$P$20))-SUM($P731:AB731)</f>
        <v>#VALUE!</v>
      </c>
      <c r="AD731" s="446" t="e">
        <f>IF(OR($B731="",MIN(AD$38,$D$19)&lt;MAX($P$708*($B731+IF($R$17="Distrato",$I$38-1,0)),IF(AND($L$711=0,$P$708=0),"",$L$711-1),IF($R$17="Distrato",$E731,0))),0,YEARFRAC(MAX($P$708*($B731+IF($R$17="Distrato",$I$38-1,0)),IF(AND($L$711=0,$P$708=0),"",$L$711-1),IF($R$17="Distrato",$E731,0)),MIN(AD$38,$D$19),$P$20))-SUM($P731:AC731)</f>
        <v>#VALUE!</v>
      </c>
      <c r="AE731" s="446" t="e">
        <f>IF(OR($B731="",MIN(AE$38,$D$19)&lt;MAX($P$708*($B731+IF($R$17="Distrato",$I$38-1,0)),IF(AND($L$711=0,$P$708=0),"",$L$711-1),IF($R$17="Distrato",$E731,0))),0,YEARFRAC(MAX($P$708*($B731+IF($R$17="Distrato",$I$38-1,0)),IF(AND($L$711=0,$P$708=0),"",$L$711-1),IF($R$17="Distrato",$E731,0)),MIN(AE$38,$D$19),$P$20))-SUM($P731:AD731)</f>
        <v>#VALUE!</v>
      </c>
      <c r="AF731" s="446" t="e">
        <f>IF(OR($B731="",MIN(AF$38,$D$19)&lt;MAX($P$708*($B731+IF($R$17="Distrato",$I$38-1,0)),IF(AND($L$711=0,$P$708=0),"",$L$711-1),IF($R$17="Distrato",$E731,0))),0,YEARFRAC(MAX($P$708*($B731+IF($R$17="Distrato",$I$38-1,0)),IF(AND($L$711=0,$P$708=0),"",$L$711-1),IF($R$17="Distrato",$E731,0)),MIN(AF$38,$D$19),$P$20))-SUM($P731:AE731)</f>
        <v>#VALUE!</v>
      </c>
      <c r="AG731" s="446" t="e">
        <f>IF(OR($B731="",MIN(AG$38,$D$19)&lt;MAX($P$708*($B731+IF($R$17="Distrato",$I$38-1,0)),IF(AND($L$711=0,$P$708=0),"",$L$711-1),IF($R$17="Distrato",$E731,0))),0,YEARFRAC(MAX($P$708*($B731+IF($R$17="Distrato",$I$38-1,0)),IF(AND($L$711=0,$P$708=0),"",$L$711-1),IF($R$17="Distrato",$E731,0)),MIN(AG$38,$D$19),$P$20))-SUM($P731:AF731)</f>
        <v>#VALUE!</v>
      </c>
      <c r="AH731" s="446" t="e">
        <f>IF(OR($B731="",MIN(AH$38,$D$19)&lt;MAX($P$708*($B731+IF($R$17="Distrato",$I$38-1,0)),IF(AND($L$711=0,$P$708=0),"",$L$711-1),IF($R$17="Distrato",$E731,0))),0,YEARFRAC(MAX($P$708*($B731+IF($R$17="Distrato",$I$38-1,0)),IF(AND($L$711=0,$P$708=0),"",$L$711-1),IF($R$17="Distrato",$E731,0)),MIN(AH$38,$D$19),$P$20))-SUM($P731:AG731)</f>
        <v>#VALUE!</v>
      </c>
      <c r="AI731" s="446" t="e">
        <f>IF(OR($B731="",MIN(AI$38,$D$19)&lt;MAX($P$708*($B731+IF($R$17="Distrato",$I$38-1,0)),IF(AND($L$711=0,$P$708=0),"",$L$711-1),IF($R$17="Distrato",$E731,0))),0,YEARFRAC(MAX($P$708*($B731+IF($R$17="Distrato",$I$38-1,0)),IF(AND($L$711=0,$P$708=0),"",$L$711-1),IF($R$17="Distrato",$E731,0)),MIN(AI$38,$D$19),$P$20))-SUM($P731:AH731)</f>
        <v>#VALUE!</v>
      </c>
      <c r="AJ731" s="446" t="e">
        <f>IF(OR($B731="",MIN(AJ$38,$D$19)&lt;MAX($P$708*($B731+IF($R$17="Distrato",$I$38-1,0)),IF(AND($L$711=0,$P$708=0),"",$L$711-1),IF($R$17="Distrato",$E731,0))),0,YEARFRAC(MAX($P$708*($B731+IF($R$17="Distrato",$I$38-1,0)),IF(AND($L$711=0,$P$708=0),"",$L$711-1),IF($R$17="Distrato",$E731,0)),MIN(AJ$38,$D$19),$P$20))-SUM($P731:AI731)</f>
        <v>#VALUE!</v>
      </c>
      <c r="AK731" s="446" t="e">
        <f>IF(OR($B731="",MIN(AK$38,$D$19)&lt;MAX($P$708*($B731+IF($R$17="Distrato",$I$38-1,0)),IF(AND($L$711=0,$P$708=0),"",$L$711-1),IF($R$17="Distrato",$E731,0))),0,YEARFRAC(MAX($P$708*($B731+IF($R$17="Distrato",$I$38-1,0)),IF(AND($L$711=0,$P$708=0),"",$L$711-1),IF($R$17="Distrato",$E731,0)),MIN(AK$38,$D$19),$P$20))-SUM($P731:AJ731)</f>
        <v>#VALUE!</v>
      </c>
      <c r="AL731" s="446" t="e">
        <f>IF(OR($B731="",MIN(AL$38,$D$19)&lt;MAX($P$708*($B731+IF($R$17="Distrato",$I$38-1,0)),IF(AND($L$711=0,$P$708=0),"",$L$711-1),IF($R$17="Distrato",$E731,0))),0,YEARFRAC(MAX($P$708*($B731+IF($R$17="Distrato",$I$38-1,0)),IF(AND($L$711=0,$P$708=0),"",$L$711-1),IF($R$17="Distrato",$E731,0)),MIN(AL$38,$D$19),$P$20))-SUM($P731:AK731)</f>
        <v>#VALUE!</v>
      </c>
      <c r="AM731" s="446" t="e">
        <f>IF(OR($B731="",MIN(AM$38,$D$19)&lt;MAX($P$708*($B731+IF($R$17="Distrato",$I$38-1,0)),IF(AND($L$711=0,$P$708=0),"",$L$711-1),IF($R$17="Distrato",$E731,0))),0,YEARFRAC(MAX($P$708*($B731+IF($R$17="Distrato",$I$38-1,0)),IF(AND($L$711=0,$P$708=0),"",$L$711-1),IF($R$17="Distrato",$E731,0)),MIN(AM$38,$D$19),$P$20))-SUM($P731:AL731)</f>
        <v>#VALUE!</v>
      </c>
      <c r="AN731" s="446" t="e">
        <f>IF(OR($B731="",MIN(AN$38,$D$19)&lt;MAX($P$708*($B731+IF($R$17="Distrato",$I$38-1,0)),IF(AND($L$711=0,$P$708=0),"",$L$711-1),IF($R$17="Distrato",$E731,0))),0,YEARFRAC(MAX($P$708*($B731+IF($R$17="Distrato",$I$38-1,0)),IF(AND($L$711=0,$P$708=0),"",$L$711-1),IF($R$17="Distrato",$E731,0)),MIN(AN$38,$D$19),$P$20))-SUM($P731:AM731)</f>
        <v>#VALUE!</v>
      </c>
      <c r="AO731" s="446" t="e">
        <f>IF(OR($B731="",MIN(AO$38,$D$19)&lt;MAX($P$708*($B731+IF($R$17="Distrato",$I$38-1,0)),IF(AND($L$711=0,$P$708=0),"",$L$711-1),IF($R$17="Distrato",$E731,0))),0,YEARFRAC(MAX($P$708*($B731+IF($R$17="Distrato",$I$38-1,0)),IF(AND($L$711=0,$P$708=0),"",$L$711-1),IF($R$17="Distrato",$E731,0)),MIN(AO$38,$D$19),$P$20))-SUM($P731:AN731)</f>
        <v>#VALUE!</v>
      </c>
      <c r="AP731" s="446" t="e">
        <f>IF(OR($B731="",MIN(AP$38,$D$19)&lt;MAX($P$708*($B731+IF($R$17="Distrato",$I$38-1,0)),IF(AND($L$711=0,$P$708=0),"",$L$711-1),IF($R$17="Distrato",$E731,0))),0,YEARFRAC(MAX($P$708*($B731+IF($R$17="Distrato",$I$38-1,0)),IF(AND($L$711=0,$P$708=0),"",$L$711-1),IF($R$17="Distrato",$E731,0)),MIN(AP$38,$D$19),$P$20))-SUM($P731:AO731)</f>
        <v>#VALUE!</v>
      </c>
      <c r="AQ731" s="446" t="e">
        <f>IF(OR($B731="",MIN(AQ$38,$D$19)&lt;MAX($P$708*($B731+IF($R$17="Distrato",$I$38-1,0)),IF(AND($L$711=0,$P$708=0),"",$L$711-1),IF($R$17="Distrato",$E731,0))),0,YEARFRAC(MAX($P$708*($B731+IF($R$17="Distrato",$I$38-1,0)),IF(AND($L$711=0,$P$708=0),"",$L$711-1),IF($R$17="Distrato",$E731,0)),MIN(AQ$38,$D$19),$P$20))-SUM($P731:AP731)</f>
        <v>#VALUE!</v>
      </c>
      <c r="AR731" s="446" t="e">
        <f>IF(OR($B731="",MIN(AR$38,$D$19)&lt;MAX($P$708*($B731+IF($R$17="Distrato",$I$38-1,0)),IF(AND($L$711=0,$P$708=0),"",$L$711-1),IF($R$17="Distrato",$E731,0))),0,YEARFRAC(MAX($P$708*($B731+IF($R$17="Distrato",$I$38-1,0)),IF(AND($L$711=0,$P$708=0),"",$L$711-1),IF($R$17="Distrato",$E731,0)),MIN(AR$38,$D$19),$P$20))-SUM($P731:AQ731)</f>
        <v>#VALUE!</v>
      </c>
      <c r="AS731" s="446" t="e">
        <f>IF(OR($B731="",MIN(AS$38,$D$19)&lt;MAX($P$708*($B731+IF($R$17="Distrato",$I$38-1,0)),IF(AND($L$711=0,$P$708=0),"",$L$711-1),IF($R$17="Distrato",$E731,0))),0,YEARFRAC(MAX($P$708*($B731+IF($R$17="Distrato",$I$38-1,0)),IF(AND($L$711=0,$P$708=0),"",$L$711-1),IF($R$17="Distrato",$E731,0)),MIN(AS$38,$D$19),$P$20))-SUM($P731:AR731)</f>
        <v>#VALUE!</v>
      </c>
      <c r="AT731" s="446" t="e">
        <f>IF(OR($B731="",MIN(AT$38,$D$19)&lt;MAX($P$708*($B731+IF($R$17="Distrato",$I$38-1,0)),IF(AND($L$711=0,$P$708=0),"",$L$711-1),IF($R$17="Distrato",$E731,0))),0,YEARFRAC(MAX($P$708*($B731+IF($R$17="Distrato",$I$38-1,0)),IF(AND($L$711=0,$P$708=0),"",$L$711-1),IF($R$17="Distrato",$E731,0)),MIN(AT$38,$D$19),$P$20))-SUM($P731:AS731)</f>
        <v>#VALUE!</v>
      </c>
      <c r="AU731" s="446" t="e">
        <f>IF(OR($B731="",MIN(AU$38,$D$19)&lt;MAX($P$708*($B731+IF($R$17="Distrato",$I$38-1,0)),IF(AND($L$711=0,$P$708=0),"",$L$711-1),IF($R$17="Distrato",$E731,0))),0,YEARFRAC(MAX($P$708*($B731+IF($R$17="Distrato",$I$38-1,0)),IF(AND($L$711=0,$P$708=0),"",$L$711-1),IF($R$17="Distrato",$E731,0)),MIN(AU$38,$D$19),$P$20))-SUM($P731:AT731)</f>
        <v>#VALUE!</v>
      </c>
      <c r="AV731" s="446" t="e">
        <f>IF(OR($B731="",MIN(AV$38,$D$19)&lt;MAX($P$708*($B731+IF($R$17="Distrato",$I$38-1,0)),IF(AND($L$711=0,$P$708=0),"",$L$711-1),IF($R$17="Distrato",$E731,0))),0,YEARFRAC(MAX($P$708*($B731+IF($R$17="Distrato",$I$38-1,0)),IF(AND($L$711=0,$P$708=0),"",$L$711-1),IF($R$17="Distrato",$E731,0)),MIN(AV$38,$D$19),$P$20))-SUM($P731:AU731)</f>
        <v>#VALUE!</v>
      </c>
      <c r="AW731" s="446" t="e">
        <f>IF(OR($B731="",MIN(AW$38,$D$19)&lt;MAX($P$708*($B731+IF($R$17="Distrato",$I$38-1,0)),IF(AND($L$711=0,$P$708=0),"",$L$711-1),IF($R$17="Distrato",$E731,0))),0,YEARFRAC(MAX($P$708*($B731+IF($R$17="Distrato",$I$38-1,0)),IF(AND($L$711=0,$P$708=0),"",$L$711-1),IF($R$17="Distrato",$E731,0)),MIN(AW$38,$D$19),$P$20))-SUM($P731:AV731)</f>
        <v>#VALUE!</v>
      </c>
      <c r="AX731" s="446" t="e">
        <f>IF(OR($B731="",MIN(AX$38,$D$19)&lt;MAX($P$708*($B731+IF($R$17="Distrato",$I$38-1,0)),IF(AND($L$711=0,$P$708=0),"",$L$711-1),IF($R$17="Distrato",$E731,0))),0,YEARFRAC(MAX($P$708*($B731+IF($R$17="Distrato",$I$38-1,0)),IF(AND($L$711=0,$P$708=0),"",$L$711-1),IF($R$17="Distrato",$E731,0)),MIN(AX$38,$D$19),$P$20))-SUM($P731:AW731)</f>
        <v>#VALUE!</v>
      </c>
      <c r="AY731" s="446" t="e">
        <f>IF(OR($B731="",MIN(AY$38,$D$19)&lt;MAX($P$708*($B731+IF($R$17="Distrato",$I$38-1,0)),IF(AND($L$711=0,$P$708=0),"",$L$711-1),IF($R$17="Distrato",$E731,0))),0,YEARFRAC(MAX($P$708*($B731+IF($R$17="Distrato",$I$38-1,0)),IF(AND($L$711=0,$P$708=0),"",$L$711-1),IF($R$17="Distrato",$E731,0)),MIN(AY$38,$D$19),$P$20))-SUM($P731:AX731)</f>
        <v>#VALUE!</v>
      </c>
      <c r="AZ731" s="446" t="e">
        <f>IF(OR($B731="",MIN(AZ$38,$D$19)&lt;MAX($P$708*($B731+IF($R$17="Distrato",$I$38-1,0)),IF(AND($L$711=0,$P$708=0),"",$L$711-1),IF($R$17="Distrato",$E731,0))),0,YEARFRAC(MAX($P$708*($B731+IF($R$17="Distrato",$I$38-1,0)),IF(AND($L$711=0,$P$708=0),"",$L$711-1),IF($R$17="Distrato",$E731,0)),MIN(AZ$38,$D$19),$P$20))-SUM($P731:AY731)</f>
        <v>#VALUE!</v>
      </c>
      <c r="BA731" s="446" t="e">
        <f>IF(OR($B731="",MIN(BA$38,$D$19)&lt;MAX($P$708*($B731+IF($R$17="Distrato",$I$38-1,0)),IF(AND($L$711=0,$P$708=0),"",$L$711-1),IF($R$17="Distrato",$E731,0))),0,YEARFRAC(MAX($P$708*($B731+IF($R$17="Distrato",$I$38-1,0)),IF(AND($L$711=0,$P$708=0),"",$L$711-1),IF($R$17="Distrato",$E731,0)),MIN(BA$38,$D$19),$P$20))-SUM($P731:AZ731)</f>
        <v>#VALUE!</v>
      </c>
      <c r="BB731" s="447"/>
    </row>
    <row r="732" spans="1:54" s="446" customFormat="1" ht="11.25" hidden="1" customHeight="1" x14ac:dyDescent="0.2">
      <c r="A732" s="235"/>
      <c r="B732" s="236"/>
      <c r="C732" s="29" t="str">
        <f>IF(B732="","",IF($L$709=$BL$25,VLOOKUP(DATE(YEAR($D$19),MONTH($D$19)-1,1),ÍNDICES!$A:$DE,HLOOKUP($BL$25,ÍNDICES!$B$3:$T$4,2)+11)-VLOOKUP(B732,ÍNDICES!$A:$DE,HLOOKUP($BL$25,ÍNDICES!$B$3:$T$4,2)+11)+1%,IF(C$712=$W$26,$J$35,IF(ISERROR(IF(B732&gt;$D$19,1,VLOOKUP(DATE(YEAR(B732),MONTH(B732)+IF($C$709=$S$23,1,0),1),ÍNDICES!$A:$DE,$Z$709+1))),"",IF(B732&gt;$D$19,1,VLOOKUP(DATE(YEAR(B732),MONTH(B732)+IF($C$709=$S$23,1,0),1),ÍNDICES!$A:$DE,$Z$709+1))))))</f>
        <v/>
      </c>
      <c r="D732" s="155"/>
      <c r="E732" s="88"/>
      <c r="F732" s="88"/>
      <c r="G732" s="88"/>
      <c r="H732" s="118"/>
      <c r="I732" s="182">
        <f t="shared" si="115"/>
        <v>0</v>
      </c>
      <c r="J732" s="20">
        <f t="shared" ca="1" si="116"/>
        <v>0</v>
      </c>
      <c r="K732" s="5">
        <f t="shared" ca="1" si="117"/>
        <v>0</v>
      </c>
      <c r="L732" s="61">
        <f t="shared" ca="1" si="118"/>
        <v>0</v>
      </c>
      <c r="M732" s="64">
        <f t="shared" si="119"/>
        <v>0</v>
      </c>
      <c r="N732" s="151"/>
      <c r="O732" s="5">
        <f t="shared" ca="1" si="120"/>
        <v>0</v>
      </c>
      <c r="P732" s="446" t="e">
        <f t="shared" si="121"/>
        <v>#VALUE!</v>
      </c>
      <c r="Q732" s="446" t="e">
        <f>IF(OR($B732="",MIN(Q$38,$D$19)&lt;MAX($P$708*($B732+IF($R$17="Distrato",$I$38-1,0)),IF(AND($L$711=0,$P$708=0),"",$L$711-1),IF($R$17="Distrato",$E732,0))),0,YEARFRAC(MAX($P$708*($B732+IF($R$17="Distrato",$I$38-1,0)),IF(AND($L$711=0,$P$708=0),"",$L$711-1),IF($R$17="Distrato",$E732,0)),MIN(Q$38,$D$19),$P$20))-SUM($P732:P732)</f>
        <v>#VALUE!</v>
      </c>
      <c r="R732" s="446" t="e">
        <f>IF(OR($B732="",MIN(R$38,$D$19)&lt;MAX($P$708*($B732+IF($R$17="Distrato",$I$38-1,0)),IF(AND($L$711=0,$P$708=0),"",$L$711-1),IF($R$17="Distrato",$E732,0))),0,YEARFRAC(MAX($P$708*($B732+IF($R$17="Distrato",$I$38-1,0)),IF(AND($L$711=0,$P$708=0),"",$L$711-1),IF($R$17="Distrato",$E732,0)),MIN(R$38,$D$19),$P$20))-SUM($P732:Q732)</f>
        <v>#VALUE!</v>
      </c>
      <c r="S732" s="446" t="e">
        <f>IF(OR($B732="",MIN(S$38,$D$19)&lt;MAX($P$708*($B732+IF($R$17="Distrato",$I$38-1,0)),IF(AND($L$711=0,$P$708=0),"",$L$711-1),IF($R$17="Distrato",$E732,0))),0,YEARFRAC(MAX($P$708*($B732+IF($R$17="Distrato",$I$38-1,0)),IF(AND($L$711=0,$P$708=0),"",$L$711-1),IF($R$17="Distrato",$E732,0)),MIN(S$38,$D$19),$P$20))-SUM($P732:R732)</f>
        <v>#VALUE!</v>
      </c>
      <c r="T732" s="446" t="e">
        <f>IF(OR($B732="",MIN(T$38,$D$19)&lt;MAX($P$708*($B732+IF($R$17="Distrato",$I$38-1,0)),IF(AND($L$711=0,$P$708=0),"",$L$711-1),IF($R$17="Distrato",$E732,0))),0,YEARFRAC(MAX($P$708*($B732+IF($R$17="Distrato",$I$38-1,0)),IF(AND($L$711=0,$P$708=0),"",$L$711-1),IF($R$17="Distrato",$E732,0)),MIN(T$38,$D$19),$P$20))-SUM($P732:S732)</f>
        <v>#VALUE!</v>
      </c>
      <c r="U732" s="446" t="e">
        <f>IF(OR($B732="",MIN(U$38,$D$19)&lt;MAX($P$708*($B732+IF($R$17="Distrato",$I$38-1,0)),IF(AND($L$711=0,$P$708=0),"",$L$711-1),IF($R$17="Distrato",$E732,0))),0,YEARFRAC(MAX($P$708*($B732+IF($R$17="Distrato",$I$38-1,0)),IF(AND($L$711=0,$P$708=0),"",$L$711-1),IF($R$17="Distrato",$E732,0)),MIN(U$38,$D$19),$P$20))-SUM($P732:T732)</f>
        <v>#VALUE!</v>
      </c>
      <c r="V732" s="446" t="e">
        <f>IF(OR($B732="",MIN(V$38,$D$19)&lt;MAX($P$708*($B732+IF($R$17="Distrato",$I$38-1,0)),IF(AND($L$711=0,$P$708=0),"",$L$711-1),IF($R$17="Distrato",$E732,0))),0,YEARFRAC(MAX($P$708*($B732+IF($R$17="Distrato",$I$38-1,0)),IF(AND($L$711=0,$P$708=0),"",$L$711-1),IF($R$17="Distrato",$E732,0)),MIN(V$38,$D$19),$P$20))-SUM($P732:U732)</f>
        <v>#VALUE!</v>
      </c>
      <c r="W732" s="446" t="e">
        <f>IF(OR($B732="",MIN(W$38,$D$19)&lt;MAX($P$708*($B732+IF($R$17="Distrato",$I$38-1,0)),IF(AND($L$711=0,$P$708=0),"",$L$711-1),IF($R$17="Distrato",$E732,0))),0,YEARFRAC(MAX($P$708*($B732+IF($R$17="Distrato",$I$38-1,0)),IF(AND($L$711=0,$P$708=0),"",$L$711-1),IF($R$17="Distrato",$E732,0)),MIN(W$38,$D$19),$P$20))-SUM($P732:V732)</f>
        <v>#VALUE!</v>
      </c>
      <c r="X732" s="446" t="e">
        <f>IF(OR($B732="",MIN(X$38,$D$19)&lt;MAX($P$708*($B732+IF($R$17="Distrato",$I$38-1,0)),IF(AND($L$711=0,$P$708=0),"",$L$711-1),IF($R$17="Distrato",$E732,0))),0,YEARFRAC(MAX($P$708*($B732+IF($R$17="Distrato",$I$38-1,0)),IF(AND($L$711=0,$P$708=0),"",$L$711-1),IF($R$17="Distrato",$E732,0)),MIN(X$38,$D$19),$P$20))-SUM($P732:W732)</f>
        <v>#VALUE!</v>
      </c>
      <c r="Y732" s="446" t="e">
        <f>IF(OR($B732="",MIN(Y$38,$D$19)&lt;MAX($P$708*($B732+IF($R$17="Distrato",$I$38-1,0)),IF(AND($L$711=0,$P$708=0),"",$L$711-1),IF($R$17="Distrato",$E732,0))),0,YEARFRAC(MAX($P$708*($B732+IF($R$17="Distrato",$I$38-1,0)),IF(AND($L$711=0,$P$708=0),"",$L$711-1),IF($R$17="Distrato",$E732,0)),MIN(Y$38,$D$19),$P$20))-SUM($P732:X732)</f>
        <v>#VALUE!</v>
      </c>
      <c r="Z732" s="446" t="e">
        <f>IF(OR($B732="",MIN(Z$38,$D$19)&lt;MAX($P$708*($B732+IF($R$17="Distrato",$I$38-1,0)),IF(AND($L$711=0,$P$708=0),"",$L$711-1),IF($R$17="Distrato",$E732,0))),0,YEARFRAC(MAX($P$708*($B732+IF($R$17="Distrato",$I$38-1,0)),IF(AND($L$711=0,$P$708=0),"",$L$711-1),IF($R$17="Distrato",$E732,0)),MIN(Z$38,$D$19),$P$20))-SUM($P732:Y732)</f>
        <v>#VALUE!</v>
      </c>
      <c r="AA732" s="446" t="e">
        <f>IF(OR($B732="",MIN(AA$38,$D$19)&lt;MAX($P$708*($B732+IF($R$17="Distrato",$I$38-1,0)),IF(AND($L$711=0,$P$708=0),"",$L$711-1),IF($R$17="Distrato",$E732,0))),0,YEARFRAC(MAX($P$708*($B732+IF($R$17="Distrato",$I$38-1,0)),IF(AND($L$711=0,$P$708=0),"",$L$711-1),IF($R$17="Distrato",$E732,0)),MIN(AA$38,$D$19),$P$20))-SUM($P732:Z732)</f>
        <v>#VALUE!</v>
      </c>
      <c r="AB732" s="446" t="e">
        <f>IF(OR($B732="",MIN(AB$38,$D$19)&lt;MAX($P$708*($B732+IF($R$17="Distrato",$I$38-1,0)),IF(AND($L$711=0,$P$708=0),"",$L$711-1),IF($R$17="Distrato",$E732,0))),0,YEARFRAC(MAX($P$708*($B732+IF($R$17="Distrato",$I$38-1,0)),IF(AND($L$711=0,$P$708=0),"",$L$711-1),IF($R$17="Distrato",$E732,0)),MIN(AB$38,$D$19),$P$20))-SUM($P732:AA732)</f>
        <v>#VALUE!</v>
      </c>
      <c r="AC732" s="446" t="e">
        <f>IF(OR($B732="",MIN(AC$38,$D$19)&lt;MAX($P$708*($B732+IF($R$17="Distrato",$I$38-1,0)),IF(AND($L$711=0,$P$708=0),"",$L$711-1),IF($R$17="Distrato",$E732,0))),0,YEARFRAC(MAX($P$708*($B732+IF($R$17="Distrato",$I$38-1,0)),IF(AND($L$711=0,$P$708=0),"",$L$711-1),IF($R$17="Distrato",$E732,0)),MIN(AC$38,$D$19),$P$20))-SUM($P732:AB732)</f>
        <v>#VALUE!</v>
      </c>
      <c r="AD732" s="446" t="e">
        <f>IF(OR($B732="",MIN(AD$38,$D$19)&lt;MAX($P$708*($B732+IF($R$17="Distrato",$I$38-1,0)),IF(AND($L$711=0,$P$708=0),"",$L$711-1),IF($R$17="Distrato",$E732,0))),0,YEARFRAC(MAX($P$708*($B732+IF($R$17="Distrato",$I$38-1,0)),IF(AND($L$711=0,$P$708=0),"",$L$711-1),IF($R$17="Distrato",$E732,0)),MIN(AD$38,$D$19),$P$20))-SUM($P732:AC732)</f>
        <v>#VALUE!</v>
      </c>
      <c r="AE732" s="446" t="e">
        <f>IF(OR($B732="",MIN(AE$38,$D$19)&lt;MAX($P$708*($B732+IF($R$17="Distrato",$I$38-1,0)),IF(AND($L$711=0,$P$708=0),"",$L$711-1),IF($R$17="Distrato",$E732,0))),0,YEARFRAC(MAX($P$708*($B732+IF($R$17="Distrato",$I$38-1,0)),IF(AND($L$711=0,$P$708=0),"",$L$711-1),IF($R$17="Distrato",$E732,0)),MIN(AE$38,$D$19),$P$20))-SUM($P732:AD732)</f>
        <v>#VALUE!</v>
      </c>
      <c r="AF732" s="446" t="e">
        <f>IF(OR($B732="",MIN(AF$38,$D$19)&lt;MAX($P$708*($B732+IF($R$17="Distrato",$I$38-1,0)),IF(AND($L$711=0,$P$708=0),"",$L$711-1),IF($R$17="Distrato",$E732,0))),0,YEARFRAC(MAX($P$708*($B732+IF($R$17="Distrato",$I$38-1,0)),IF(AND($L$711=0,$P$708=0),"",$L$711-1),IF($R$17="Distrato",$E732,0)),MIN(AF$38,$D$19),$P$20))-SUM($P732:AE732)</f>
        <v>#VALUE!</v>
      </c>
      <c r="AG732" s="446" t="e">
        <f>IF(OR($B732="",MIN(AG$38,$D$19)&lt;MAX($P$708*($B732+IF($R$17="Distrato",$I$38-1,0)),IF(AND($L$711=0,$P$708=0),"",$L$711-1),IF($R$17="Distrato",$E732,0))),0,YEARFRAC(MAX($P$708*($B732+IF($R$17="Distrato",$I$38-1,0)),IF(AND($L$711=0,$P$708=0),"",$L$711-1),IF($R$17="Distrato",$E732,0)),MIN(AG$38,$D$19),$P$20))-SUM($P732:AF732)</f>
        <v>#VALUE!</v>
      </c>
      <c r="AH732" s="446" t="e">
        <f>IF(OR($B732="",MIN(AH$38,$D$19)&lt;MAX($P$708*($B732+IF($R$17="Distrato",$I$38-1,0)),IF(AND($L$711=0,$P$708=0),"",$L$711-1),IF($R$17="Distrato",$E732,0))),0,YEARFRAC(MAX($P$708*($B732+IF($R$17="Distrato",$I$38-1,0)),IF(AND($L$711=0,$P$708=0),"",$L$711-1),IF($R$17="Distrato",$E732,0)),MIN(AH$38,$D$19),$P$20))-SUM($P732:AG732)</f>
        <v>#VALUE!</v>
      </c>
      <c r="AI732" s="446" t="e">
        <f>IF(OR($B732="",MIN(AI$38,$D$19)&lt;MAX($P$708*($B732+IF($R$17="Distrato",$I$38-1,0)),IF(AND($L$711=0,$P$708=0),"",$L$711-1),IF($R$17="Distrato",$E732,0))),0,YEARFRAC(MAX($P$708*($B732+IF($R$17="Distrato",$I$38-1,0)),IF(AND($L$711=0,$P$708=0),"",$L$711-1),IF($R$17="Distrato",$E732,0)),MIN(AI$38,$D$19),$P$20))-SUM($P732:AH732)</f>
        <v>#VALUE!</v>
      </c>
      <c r="AJ732" s="446" t="e">
        <f>IF(OR($B732="",MIN(AJ$38,$D$19)&lt;MAX($P$708*($B732+IF($R$17="Distrato",$I$38-1,0)),IF(AND($L$711=0,$P$708=0),"",$L$711-1),IF($R$17="Distrato",$E732,0))),0,YEARFRAC(MAX($P$708*($B732+IF($R$17="Distrato",$I$38-1,0)),IF(AND($L$711=0,$P$708=0),"",$L$711-1),IF($R$17="Distrato",$E732,0)),MIN(AJ$38,$D$19),$P$20))-SUM($P732:AI732)</f>
        <v>#VALUE!</v>
      </c>
      <c r="AK732" s="446" t="e">
        <f>IF(OR($B732="",MIN(AK$38,$D$19)&lt;MAX($P$708*($B732+IF($R$17="Distrato",$I$38-1,0)),IF(AND($L$711=0,$P$708=0),"",$L$711-1),IF($R$17="Distrato",$E732,0))),0,YEARFRAC(MAX($P$708*($B732+IF($R$17="Distrato",$I$38-1,0)),IF(AND($L$711=0,$P$708=0),"",$L$711-1),IF($R$17="Distrato",$E732,0)),MIN(AK$38,$D$19),$P$20))-SUM($P732:AJ732)</f>
        <v>#VALUE!</v>
      </c>
      <c r="AL732" s="446" t="e">
        <f>IF(OR($B732="",MIN(AL$38,$D$19)&lt;MAX($P$708*($B732+IF($R$17="Distrato",$I$38-1,0)),IF(AND($L$711=0,$P$708=0),"",$L$711-1),IF($R$17="Distrato",$E732,0))),0,YEARFRAC(MAX($P$708*($B732+IF($R$17="Distrato",$I$38-1,0)),IF(AND($L$711=0,$P$708=0),"",$L$711-1),IF($R$17="Distrato",$E732,0)),MIN(AL$38,$D$19),$P$20))-SUM($P732:AK732)</f>
        <v>#VALUE!</v>
      </c>
      <c r="AM732" s="446" t="e">
        <f>IF(OR($B732="",MIN(AM$38,$D$19)&lt;MAX($P$708*($B732+IF($R$17="Distrato",$I$38-1,0)),IF(AND($L$711=0,$P$708=0),"",$L$711-1),IF($R$17="Distrato",$E732,0))),0,YEARFRAC(MAX($P$708*($B732+IF($R$17="Distrato",$I$38-1,0)),IF(AND($L$711=0,$P$708=0),"",$L$711-1),IF($R$17="Distrato",$E732,0)),MIN(AM$38,$D$19),$P$20))-SUM($P732:AL732)</f>
        <v>#VALUE!</v>
      </c>
      <c r="AN732" s="446" t="e">
        <f>IF(OR($B732="",MIN(AN$38,$D$19)&lt;MAX($P$708*($B732+IF($R$17="Distrato",$I$38-1,0)),IF(AND($L$711=0,$P$708=0),"",$L$711-1),IF($R$17="Distrato",$E732,0))),0,YEARFRAC(MAX($P$708*($B732+IF($R$17="Distrato",$I$38-1,0)),IF(AND($L$711=0,$P$708=0),"",$L$711-1),IF($R$17="Distrato",$E732,0)),MIN(AN$38,$D$19),$P$20))-SUM($P732:AM732)</f>
        <v>#VALUE!</v>
      </c>
      <c r="AO732" s="446" t="e">
        <f>IF(OR($B732="",MIN(AO$38,$D$19)&lt;MAX($P$708*($B732+IF($R$17="Distrato",$I$38-1,0)),IF(AND($L$711=0,$P$708=0),"",$L$711-1),IF($R$17="Distrato",$E732,0))),0,YEARFRAC(MAX($P$708*($B732+IF($R$17="Distrato",$I$38-1,0)),IF(AND($L$711=0,$P$708=0),"",$L$711-1),IF($R$17="Distrato",$E732,0)),MIN(AO$38,$D$19),$P$20))-SUM($P732:AN732)</f>
        <v>#VALUE!</v>
      </c>
      <c r="AP732" s="446" t="e">
        <f>IF(OR($B732="",MIN(AP$38,$D$19)&lt;MAX($P$708*($B732+IF($R$17="Distrato",$I$38-1,0)),IF(AND($L$711=0,$P$708=0),"",$L$711-1),IF($R$17="Distrato",$E732,0))),0,YEARFRAC(MAX($P$708*($B732+IF($R$17="Distrato",$I$38-1,0)),IF(AND($L$711=0,$P$708=0),"",$L$711-1),IF($R$17="Distrato",$E732,0)),MIN(AP$38,$D$19),$P$20))-SUM($P732:AO732)</f>
        <v>#VALUE!</v>
      </c>
      <c r="AQ732" s="446" t="e">
        <f>IF(OR($B732="",MIN(AQ$38,$D$19)&lt;MAX($P$708*($B732+IF($R$17="Distrato",$I$38-1,0)),IF(AND($L$711=0,$P$708=0),"",$L$711-1),IF($R$17="Distrato",$E732,0))),0,YEARFRAC(MAX($P$708*($B732+IF($R$17="Distrato",$I$38-1,0)),IF(AND($L$711=0,$P$708=0),"",$L$711-1),IF($R$17="Distrato",$E732,0)),MIN(AQ$38,$D$19),$P$20))-SUM($P732:AP732)</f>
        <v>#VALUE!</v>
      </c>
      <c r="AR732" s="446" t="e">
        <f>IF(OR($B732="",MIN(AR$38,$D$19)&lt;MAX($P$708*($B732+IF($R$17="Distrato",$I$38-1,0)),IF(AND($L$711=0,$P$708=0),"",$L$711-1),IF($R$17="Distrato",$E732,0))),0,YEARFRAC(MAX($P$708*($B732+IF($R$17="Distrato",$I$38-1,0)),IF(AND($L$711=0,$P$708=0),"",$L$711-1),IF($R$17="Distrato",$E732,0)),MIN(AR$38,$D$19),$P$20))-SUM($P732:AQ732)</f>
        <v>#VALUE!</v>
      </c>
      <c r="AS732" s="446" t="e">
        <f>IF(OR($B732="",MIN(AS$38,$D$19)&lt;MAX($P$708*($B732+IF($R$17="Distrato",$I$38-1,0)),IF(AND($L$711=0,$P$708=0),"",$L$711-1),IF($R$17="Distrato",$E732,0))),0,YEARFRAC(MAX($P$708*($B732+IF($R$17="Distrato",$I$38-1,0)),IF(AND($L$711=0,$P$708=0),"",$L$711-1),IF($R$17="Distrato",$E732,0)),MIN(AS$38,$D$19),$P$20))-SUM($P732:AR732)</f>
        <v>#VALUE!</v>
      </c>
      <c r="AT732" s="446" t="e">
        <f>IF(OR($B732="",MIN(AT$38,$D$19)&lt;MAX($P$708*($B732+IF($R$17="Distrato",$I$38-1,0)),IF(AND($L$711=0,$P$708=0),"",$L$711-1),IF($R$17="Distrato",$E732,0))),0,YEARFRAC(MAX($P$708*($B732+IF($R$17="Distrato",$I$38-1,0)),IF(AND($L$711=0,$P$708=0),"",$L$711-1),IF($R$17="Distrato",$E732,0)),MIN(AT$38,$D$19),$P$20))-SUM($P732:AS732)</f>
        <v>#VALUE!</v>
      </c>
      <c r="AU732" s="446" t="e">
        <f>IF(OR($B732="",MIN(AU$38,$D$19)&lt;MAX($P$708*($B732+IF($R$17="Distrato",$I$38-1,0)),IF(AND($L$711=0,$P$708=0),"",$L$711-1),IF($R$17="Distrato",$E732,0))),0,YEARFRAC(MAX($P$708*($B732+IF($R$17="Distrato",$I$38-1,0)),IF(AND($L$711=0,$P$708=0),"",$L$711-1),IF($R$17="Distrato",$E732,0)),MIN(AU$38,$D$19),$P$20))-SUM($P732:AT732)</f>
        <v>#VALUE!</v>
      </c>
      <c r="AV732" s="446" t="e">
        <f>IF(OR($B732="",MIN(AV$38,$D$19)&lt;MAX($P$708*($B732+IF($R$17="Distrato",$I$38-1,0)),IF(AND($L$711=0,$P$708=0),"",$L$711-1),IF($R$17="Distrato",$E732,0))),0,YEARFRAC(MAX($P$708*($B732+IF($R$17="Distrato",$I$38-1,0)),IF(AND($L$711=0,$P$708=0),"",$L$711-1),IF($R$17="Distrato",$E732,0)),MIN(AV$38,$D$19),$P$20))-SUM($P732:AU732)</f>
        <v>#VALUE!</v>
      </c>
      <c r="AW732" s="446" t="e">
        <f>IF(OR($B732="",MIN(AW$38,$D$19)&lt;MAX($P$708*($B732+IF($R$17="Distrato",$I$38-1,0)),IF(AND($L$711=0,$P$708=0),"",$L$711-1),IF($R$17="Distrato",$E732,0))),0,YEARFRAC(MAX($P$708*($B732+IF($R$17="Distrato",$I$38-1,0)),IF(AND($L$711=0,$P$708=0),"",$L$711-1),IF($R$17="Distrato",$E732,0)),MIN(AW$38,$D$19),$P$20))-SUM($P732:AV732)</f>
        <v>#VALUE!</v>
      </c>
      <c r="AX732" s="446" t="e">
        <f>IF(OR($B732="",MIN(AX$38,$D$19)&lt;MAX($P$708*($B732+IF($R$17="Distrato",$I$38-1,0)),IF(AND($L$711=0,$P$708=0),"",$L$711-1),IF($R$17="Distrato",$E732,0))),0,YEARFRAC(MAX($P$708*($B732+IF($R$17="Distrato",$I$38-1,0)),IF(AND($L$711=0,$P$708=0),"",$L$711-1),IF($R$17="Distrato",$E732,0)),MIN(AX$38,$D$19),$P$20))-SUM($P732:AW732)</f>
        <v>#VALUE!</v>
      </c>
      <c r="AY732" s="446" t="e">
        <f>IF(OR($B732="",MIN(AY$38,$D$19)&lt;MAX($P$708*($B732+IF($R$17="Distrato",$I$38-1,0)),IF(AND($L$711=0,$P$708=0),"",$L$711-1),IF($R$17="Distrato",$E732,0))),0,YEARFRAC(MAX($P$708*($B732+IF($R$17="Distrato",$I$38-1,0)),IF(AND($L$711=0,$P$708=0),"",$L$711-1),IF($R$17="Distrato",$E732,0)),MIN(AY$38,$D$19),$P$20))-SUM($P732:AX732)</f>
        <v>#VALUE!</v>
      </c>
      <c r="AZ732" s="446" t="e">
        <f>IF(OR($B732="",MIN(AZ$38,$D$19)&lt;MAX($P$708*($B732+IF($R$17="Distrato",$I$38-1,0)),IF(AND($L$711=0,$P$708=0),"",$L$711-1),IF($R$17="Distrato",$E732,0))),0,YEARFRAC(MAX($P$708*($B732+IF($R$17="Distrato",$I$38-1,0)),IF(AND($L$711=0,$P$708=0),"",$L$711-1),IF($R$17="Distrato",$E732,0)),MIN(AZ$38,$D$19),$P$20))-SUM($P732:AY732)</f>
        <v>#VALUE!</v>
      </c>
      <c r="BA732" s="446" t="e">
        <f>IF(OR($B732="",MIN(BA$38,$D$19)&lt;MAX($P$708*($B732+IF($R$17="Distrato",$I$38-1,0)),IF(AND($L$711=0,$P$708=0),"",$L$711-1),IF($R$17="Distrato",$E732,0))),0,YEARFRAC(MAX($P$708*($B732+IF($R$17="Distrato",$I$38-1,0)),IF(AND($L$711=0,$P$708=0),"",$L$711-1),IF($R$17="Distrato",$E732,0)),MIN(BA$38,$D$19),$P$20))-SUM($P732:AZ732)</f>
        <v>#VALUE!</v>
      </c>
      <c r="BB732" s="447"/>
    </row>
    <row r="733" spans="1:54" s="446" customFormat="1" ht="11.25" hidden="1" customHeight="1" x14ac:dyDescent="0.2">
      <c r="A733" s="235"/>
      <c r="B733" s="236"/>
      <c r="C733" s="29" t="str">
        <f>IF(B733="","",IF($L$709=$BL$25,VLOOKUP(DATE(YEAR($D$19),MONTH($D$19)-1,1),ÍNDICES!$A:$DE,HLOOKUP($BL$25,ÍNDICES!$B$3:$T$4,2)+11)-VLOOKUP(B733,ÍNDICES!$A:$DE,HLOOKUP($BL$25,ÍNDICES!$B$3:$T$4,2)+11)+1%,IF(C$712=$W$26,$J$35,IF(ISERROR(IF(B733&gt;$D$19,1,VLOOKUP(DATE(YEAR(B733),MONTH(B733)+IF($C$709=$S$23,1,0),1),ÍNDICES!$A:$DE,$Z$709+1))),"",IF(B733&gt;$D$19,1,VLOOKUP(DATE(YEAR(B733),MONTH(B733)+IF($C$709=$S$23,1,0),1),ÍNDICES!$A:$DE,$Z$709+1))))))</f>
        <v/>
      </c>
      <c r="D733" s="155"/>
      <c r="E733" s="88"/>
      <c r="F733" s="88"/>
      <c r="G733" s="88"/>
      <c r="H733" s="118"/>
      <c r="I733" s="182">
        <f t="shared" si="115"/>
        <v>0</v>
      </c>
      <c r="J733" s="20">
        <f t="shared" ca="1" si="116"/>
        <v>0</v>
      </c>
      <c r="K733" s="5">
        <f t="shared" ca="1" si="117"/>
        <v>0</v>
      </c>
      <c r="L733" s="61">
        <f t="shared" ca="1" si="118"/>
        <v>0</v>
      </c>
      <c r="M733" s="64">
        <f t="shared" si="119"/>
        <v>0</v>
      </c>
      <c r="N733" s="151"/>
      <c r="O733" s="5">
        <f t="shared" ca="1" si="120"/>
        <v>0</v>
      </c>
      <c r="P733" s="446" t="e">
        <f t="shared" si="121"/>
        <v>#VALUE!</v>
      </c>
      <c r="Q733" s="446" t="e">
        <f>IF(OR($B733="",MIN(Q$38,$D$19)&lt;MAX($P$708*($B733+IF($R$17="Distrato",$I$38-1,0)),IF(AND($L$711=0,$P$708=0),"",$L$711-1),IF($R$17="Distrato",$E733,0))),0,YEARFRAC(MAX($P$708*($B733+IF($R$17="Distrato",$I$38-1,0)),IF(AND($L$711=0,$P$708=0),"",$L$711-1),IF($R$17="Distrato",$E733,0)),MIN(Q$38,$D$19),$P$20))-SUM($P733:P733)</f>
        <v>#VALUE!</v>
      </c>
      <c r="R733" s="446" t="e">
        <f>IF(OR($B733="",MIN(R$38,$D$19)&lt;MAX($P$708*($B733+IF($R$17="Distrato",$I$38-1,0)),IF(AND($L$711=0,$P$708=0),"",$L$711-1),IF($R$17="Distrato",$E733,0))),0,YEARFRAC(MAX($P$708*($B733+IF($R$17="Distrato",$I$38-1,0)),IF(AND($L$711=0,$P$708=0),"",$L$711-1),IF($R$17="Distrato",$E733,0)),MIN(R$38,$D$19),$P$20))-SUM($P733:Q733)</f>
        <v>#VALUE!</v>
      </c>
      <c r="S733" s="446" t="e">
        <f>IF(OR($B733="",MIN(S$38,$D$19)&lt;MAX($P$708*($B733+IF($R$17="Distrato",$I$38-1,0)),IF(AND($L$711=0,$P$708=0),"",$L$711-1),IF($R$17="Distrato",$E733,0))),0,YEARFRAC(MAX($P$708*($B733+IF($R$17="Distrato",$I$38-1,0)),IF(AND($L$711=0,$P$708=0),"",$L$711-1),IF($R$17="Distrato",$E733,0)),MIN(S$38,$D$19),$P$20))-SUM($P733:R733)</f>
        <v>#VALUE!</v>
      </c>
      <c r="T733" s="446" t="e">
        <f>IF(OR($B733="",MIN(T$38,$D$19)&lt;MAX($P$708*($B733+IF($R$17="Distrato",$I$38-1,0)),IF(AND($L$711=0,$P$708=0),"",$L$711-1),IF($R$17="Distrato",$E733,0))),0,YEARFRAC(MAX($P$708*($B733+IF($R$17="Distrato",$I$38-1,0)),IF(AND($L$711=0,$P$708=0),"",$L$711-1),IF($R$17="Distrato",$E733,0)),MIN(T$38,$D$19),$P$20))-SUM($P733:S733)</f>
        <v>#VALUE!</v>
      </c>
      <c r="U733" s="446" t="e">
        <f>IF(OR($B733="",MIN(U$38,$D$19)&lt;MAX($P$708*($B733+IF($R$17="Distrato",$I$38-1,0)),IF(AND($L$711=0,$P$708=0),"",$L$711-1),IF($R$17="Distrato",$E733,0))),0,YEARFRAC(MAX($P$708*($B733+IF($R$17="Distrato",$I$38-1,0)),IF(AND($L$711=0,$P$708=0),"",$L$711-1),IF($R$17="Distrato",$E733,0)),MIN(U$38,$D$19),$P$20))-SUM($P733:T733)</f>
        <v>#VALUE!</v>
      </c>
      <c r="V733" s="446" t="e">
        <f>IF(OR($B733="",MIN(V$38,$D$19)&lt;MAX($P$708*($B733+IF($R$17="Distrato",$I$38-1,0)),IF(AND($L$711=0,$P$708=0),"",$L$711-1),IF($R$17="Distrato",$E733,0))),0,YEARFRAC(MAX($P$708*($B733+IF($R$17="Distrato",$I$38-1,0)),IF(AND($L$711=0,$P$708=0),"",$L$711-1),IF($R$17="Distrato",$E733,0)),MIN(V$38,$D$19),$P$20))-SUM($P733:U733)</f>
        <v>#VALUE!</v>
      </c>
      <c r="W733" s="446" t="e">
        <f>IF(OR($B733="",MIN(W$38,$D$19)&lt;MAX($P$708*($B733+IF($R$17="Distrato",$I$38-1,0)),IF(AND($L$711=0,$P$708=0),"",$L$711-1),IF($R$17="Distrato",$E733,0))),0,YEARFRAC(MAX($P$708*($B733+IF($R$17="Distrato",$I$38-1,0)),IF(AND($L$711=0,$P$708=0),"",$L$711-1),IF($R$17="Distrato",$E733,0)),MIN(W$38,$D$19),$P$20))-SUM($P733:V733)</f>
        <v>#VALUE!</v>
      </c>
      <c r="X733" s="446" t="e">
        <f>IF(OR($B733="",MIN(X$38,$D$19)&lt;MAX($P$708*($B733+IF($R$17="Distrato",$I$38-1,0)),IF(AND($L$711=0,$P$708=0),"",$L$711-1),IF($R$17="Distrato",$E733,0))),0,YEARFRAC(MAX($P$708*($B733+IF($R$17="Distrato",$I$38-1,0)),IF(AND($L$711=0,$P$708=0),"",$L$711-1),IF($R$17="Distrato",$E733,0)),MIN(X$38,$D$19),$P$20))-SUM($P733:W733)</f>
        <v>#VALUE!</v>
      </c>
      <c r="Y733" s="446" t="e">
        <f>IF(OR($B733="",MIN(Y$38,$D$19)&lt;MAX($P$708*($B733+IF($R$17="Distrato",$I$38-1,0)),IF(AND($L$711=0,$P$708=0),"",$L$711-1),IF($R$17="Distrato",$E733,0))),0,YEARFRAC(MAX($P$708*($B733+IF($R$17="Distrato",$I$38-1,0)),IF(AND($L$711=0,$P$708=0),"",$L$711-1),IF($R$17="Distrato",$E733,0)),MIN(Y$38,$D$19),$P$20))-SUM($P733:X733)</f>
        <v>#VALUE!</v>
      </c>
      <c r="Z733" s="446" t="e">
        <f>IF(OR($B733="",MIN(Z$38,$D$19)&lt;MAX($P$708*($B733+IF($R$17="Distrato",$I$38-1,0)),IF(AND($L$711=0,$P$708=0),"",$L$711-1),IF($R$17="Distrato",$E733,0))),0,YEARFRAC(MAX($P$708*($B733+IF($R$17="Distrato",$I$38-1,0)),IF(AND($L$711=0,$P$708=0),"",$L$711-1),IF($R$17="Distrato",$E733,0)),MIN(Z$38,$D$19),$P$20))-SUM($P733:Y733)</f>
        <v>#VALUE!</v>
      </c>
      <c r="AA733" s="446" t="e">
        <f>IF(OR($B733="",MIN(AA$38,$D$19)&lt;MAX($P$708*($B733+IF($R$17="Distrato",$I$38-1,0)),IF(AND($L$711=0,$P$708=0),"",$L$711-1),IF($R$17="Distrato",$E733,0))),0,YEARFRAC(MAX($P$708*($B733+IF($R$17="Distrato",$I$38-1,0)),IF(AND($L$711=0,$P$708=0),"",$L$711-1),IF($R$17="Distrato",$E733,0)),MIN(AA$38,$D$19),$P$20))-SUM($P733:Z733)</f>
        <v>#VALUE!</v>
      </c>
      <c r="AB733" s="446" t="e">
        <f>IF(OR($B733="",MIN(AB$38,$D$19)&lt;MAX($P$708*($B733+IF($R$17="Distrato",$I$38-1,0)),IF(AND($L$711=0,$P$708=0),"",$L$711-1),IF($R$17="Distrato",$E733,0))),0,YEARFRAC(MAX($P$708*($B733+IF($R$17="Distrato",$I$38-1,0)),IF(AND($L$711=0,$P$708=0),"",$L$711-1),IF($R$17="Distrato",$E733,0)),MIN(AB$38,$D$19),$P$20))-SUM($P733:AA733)</f>
        <v>#VALUE!</v>
      </c>
      <c r="AC733" s="446" t="e">
        <f>IF(OR($B733="",MIN(AC$38,$D$19)&lt;MAX($P$708*($B733+IF($R$17="Distrato",$I$38-1,0)),IF(AND($L$711=0,$P$708=0),"",$L$711-1),IF($R$17="Distrato",$E733,0))),0,YEARFRAC(MAX($P$708*($B733+IF($R$17="Distrato",$I$38-1,0)),IF(AND($L$711=0,$P$708=0),"",$L$711-1),IF($R$17="Distrato",$E733,0)),MIN(AC$38,$D$19),$P$20))-SUM($P733:AB733)</f>
        <v>#VALUE!</v>
      </c>
      <c r="AD733" s="446" t="e">
        <f>IF(OR($B733="",MIN(AD$38,$D$19)&lt;MAX($P$708*($B733+IF($R$17="Distrato",$I$38-1,0)),IF(AND($L$711=0,$P$708=0),"",$L$711-1),IF($R$17="Distrato",$E733,0))),0,YEARFRAC(MAX($P$708*($B733+IF($R$17="Distrato",$I$38-1,0)),IF(AND($L$711=0,$P$708=0),"",$L$711-1),IF($R$17="Distrato",$E733,0)),MIN(AD$38,$D$19),$P$20))-SUM($P733:AC733)</f>
        <v>#VALUE!</v>
      </c>
      <c r="AE733" s="446" t="e">
        <f>IF(OR($B733="",MIN(AE$38,$D$19)&lt;MAX($P$708*($B733+IF($R$17="Distrato",$I$38-1,0)),IF(AND($L$711=0,$P$708=0),"",$L$711-1),IF($R$17="Distrato",$E733,0))),0,YEARFRAC(MAX($P$708*($B733+IF($R$17="Distrato",$I$38-1,0)),IF(AND($L$711=0,$P$708=0),"",$L$711-1),IF($R$17="Distrato",$E733,0)),MIN(AE$38,$D$19),$P$20))-SUM($P733:AD733)</f>
        <v>#VALUE!</v>
      </c>
      <c r="AF733" s="446" t="e">
        <f>IF(OR($B733="",MIN(AF$38,$D$19)&lt;MAX($P$708*($B733+IF($R$17="Distrato",$I$38-1,0)),IF(AND($L$711=0,$P$708=0),"",$L$711-1),IF($R$17="Distrato",$E733,0))),0,YEARFRAC(MAX($P$708*($B733+IF($R$17="Distrato",$I$38-1,0)),IF(AND($L$711=0,$P$708=0),"",$L$711-1),IF($R$17="Distrato",$E733,0)),MIN(AF$38,$D$19),$P$20))-SUM($P733:AE733)</f>
        <v>#VALUE!</v>
      </c>
      <c r="AG733" s="446" t="e">
        <f>IF(OR($B733="",MIN(AG$38,$D$19)&lt;MAX($P$708*($B733+IF($R$17="Distrato",$I$38-1,0)),IF(AND($L$711=0,$P$708=0),"",$L$711-1),IF($R$17="Distrato",$E733,0))),0,YEARFRAC(MAX($P$708*($B733+IF($R$17="Distrato",$I$38-1,0)),IF(AND($L$711=0,$P$708=0),"",$L$711-1),IF($R$17="Distrato",$E733,0)),MIN(AG$38,$D$19),$P$20))-SUM($P733:AF733)</f>
        <v>#VALUE!</v>
      </c>
      <c r="AH733" s="446" t="e">
        <f>IF(OR($B733="",MIN(AH$38,$D$19)&lt;MAX($P$708*($B733+IF($R$17="Distrato",$I$38-1,0)),IF(AND($L$711=0,$P$708=0),"",$L$711-1),IF($R$17="Distrato",$E733,0))),0,YEARFRAC(MAX($P$708*($B733+IF($R$17="Distrato",$I$38-1,0)),IF(AND($L$711=0,$P$708=0),"",$L$711-1),IF($R$17="Distrato",$E733,0)),MIN(AH$38,$D$19),$P$20))-SUM($P733:AG733)</f>
        <v>#VALUE!</v>
      </c>
      <c r="AI733" s="446" t="e">
        <f>IF(OR($B733="",MIN(AI$38,$D$19)&lt;MAX($P$708*($B733+IF($R$17="Distrato",$I$38-1,0)),IF(AND($L$711=0,$P$708=0),"",$L$711-1),IF($R$17="Distrato",$E733,0))),0,YEARFRAC(MAX($P$708*($B733+IF($R$17="Distrato",$I$38-1,0)),IF(AND($L$711=0,$P$708=0),"",$L$711-1),IF($R$17="Distrato",$E733,0)),MIN(AI$38,$D$19),$P$20))-SUM($P733:AH733)</f>
        <v>#VALUE!</v>
      </c>
      <c r="AJ733" s="446" t="e">
        <f>IF(OR($B733="",MIN(AJ$38,$D$19)&lt;MAX($P$708*($B733+IF($R$17="Distrato",$I$38-1,0)),IF(AND($L$711=0,$P$708=0),"",$L$711-1),IF($R$17="Distrato",$E733,0))),0,YEARFRAC(MAX($P$708*($B733+IF($R$17="Distrato",$I$38-1,0)),IF(AND($L$711=0,$P$708=0),"",$L$711-1),IF($R$17="Distrato",$E733,0)),MIN(AJ$38,$D$19),$P$20))-SUM($P733:AI733)</f>
        <v>#VALUE!</v>
      </c>
      <c r="AK733" s="446" t="e">
        <f>IF(OR($B733="",MIN(AK$38,$D$19)&lt;MAX($P$708*($B733+IF($R$17="Distrato",$I$38-1,0)),IF(AND($L$711=0,$P$708=0),"",$L$711-1),IF($R$17="Distrato",$E733,0))),0,YEARFRAC(MAX($P$708*($B733+IF($R$17="Distrato",$I$38-1,0)),IF(AND($L$711=0,$P$708=0),"",$L$711-1),IF($R$17="Distrato",$E733,0)),MIN(AK$38,$D$19),$P$20))-SUM($P733:AJ733)</f>
        <v>#VALUE!</v>
      </c>
      <c r="AL733" s="446" t="e">
        <f>IF(OR($B733="",MIN(AL$38,$D$19)&lt;MAX($P$708*($B733+IF($R$17="Distrato",$I$38-1,0)),IF(AND($L$711=0,$P$708=0),"",$L$711-1),IF($R$17="Distrato",$E733,0))),0,YEARFRAC(MAX($P$708*($B733+IF($R$17="Distrato",$I$38-1,0)),IF(AND($L$711=0,$P$708=0),"",$L$711-1),IF($R$17="Distrato",$E733,0)),MIN(AL$38,$D$19),$P$20))-SUM($P733:AK733)</f>
        <v>#VALUE!</v>
      </c>
      <c r="AM733" s="446" t="e">
        <f>IF(OR($B733="",MIN(AM$38,$D$19)&lt;MAX($P$708*($B733+IF($R$17="Distrato",$I$38-1,0)),IF(AND($L$711=0,$P$708=0),"",$L$711-1),IF($R$17="Distrato",$E733,0))),0,YEARFRAC(MAX($P$708*($B733+IF($R$17="Distrato",$I$38-1,0)),IF(AND($L$711=0,$P$708=0),"",$L$711-1),IF($R$17="Distrato",$E733,0)),MIN(AM$38,$D$19),$P$20))-SUM($P733:AL733)</f>
        <v>#VALUE!</v>
      </c>
      <c r="AN733" s="446" t="e">
        <f>IF(OR($B733="",MIN(AN$38,$D$19)&lt;MAX($P$708*($B733+IF($R$17="Distrato",$I$38-1,0)),IF(AND($L$711=0,$P$708=0),"",$L$711-1),IF($R$17="Distrato",$E733,0))),0,YEARFRAC(MAX($P$708*($B733+IF($R$17="Distrato",$I$38-1,0)),IF(AND($L$711=0,$P$708=0),"",$L$711-1),IF($R$17="Distrato",$E733,0)),MIN(AN$38,$D$19),$P$20))-SUM($P733:AM733)</f>
        <v>#VALUE!</v>
      </c>
      <c r="AO733" s="446" t="e">
        <f>IF(OR($B733="",MIN(AO$38,$D$19)&lt;MAX($P$708*($B733+IF($R$17="Distrato",$I$38-1,0)),IF(AND($L$711=0,$P$708=0),"",$L$711-1),IF($R$17="Distrato",$E733,0))),0,YEARFRAC(MAX($P$708*($B733+IF($R$17="Distrato",$I$38-1,0)),IF(AND($L$711=0,$P$708=0),"",$L$711-1),IF($R$17="Distrato",$E733,0)),MIN(AO$38,$D$19),$P$20))-SUM($P733:AN733)</f>
        <v>#VALUE!</v>
      </c>
      <c r="AP733" s="446" t="e">
        <f>IF(OR($B733="",MIN(AP$38,$D$19)&lt;MAX($P$708*($B733+IF($R$17="Distrato",$I$38-1,0)),IF(AND($L$711=0,$P$708=0),"",$L$711-1),IF($R$17="Distrato",$E733,0))),0,YEARFRAC(MAX($P$708*($B733+IF($R$17="Distrato",$I$38-1,0)),IF(AND($L$711=0,$P$708=0),"",$L$711-1),IF($R$17="Distrato",$E733,0)),MIN(AP$38,$D$19),$P$20))-SUM($P733:AO733)</f>
        <v>#VALUE!</v>
      </c>
      <c r="AQ733" s="446" t="e">
        <f>IF(OR($B733="",MIN(AQ$38,$D$19)&lt;MAX($P$708*($B733+IF($R$17="Distrato",$I$38-1,0)),IF(AND($L$711=0,$P$708=0),"",$L$711-1),IF($R$17="Distrato",$E733,0))),0,YEARFRAC(MAX($P$708*($B733+IF($R$17="Distrato",$I$38-1,0)),IF(AND($L$711=0,$P$708=0),"",$L$711-1),IF($R$17="Distrato",$E733,0)),MIN(AQ$38,$D$19),$P$20))-SUM($P733:AP733)</f>
        <v>#VALUE!</v>
      </c>
      <c r="AR733" s="446" t="e">
        <f>IF(OR($B733="",MIN(AR$38,$D$19)&lt;MAX($P$708*($B733+IF($R$17="Distrato",$I$38-1,0)),IF(AND($L$711=0,$P$708=0),"",$L$711-1),IF($R$17="Distrato",$E733,0))),0,YEARFRAC(MAX($P$708*($B733+IF($R$17="Distrato",$I$38-1,0)),IF(AND($L$711=0,$P$708=0),"",$L$711-1),IF($R$17="Distrato",$E733,0)),MIN(AR$38,$D$19),$P$20))-SUM($P733:AQ733)</f>
        <v>#VALUE!</v>
      </c>
      <c r="AS733" s="446" t="e">
        <f>IF(OR($B733="",MIN(AS$38,$D$19)&lt;MAX($P$708*($B733+IF($R$17="Distrato",$I$38-1,0)),IF(AND($L$711=0,$P$708=0),"",$L$711-1),IF($R$17="Distrato",$E733,0))),0,YEARFRAC(MAX($P$708*($B733+IF($R$17="Distrato",$I$38-1,0)),IF(AND($L$711=0,$P$708=0),"",$L$711-1),IF($R$17="Distrato",$E733,0)),MIN(AS$38,$D$19),$P$20))-SUM($P733:AR733)</f>
        <v>#VALUE!</v>
      </c>
      <c r="AT733" s="446" t="e">
        <f>IF(OR($B733="",MIN(AT$38,$D$19)&lt;MAX($P$708*($B733+IF($R$17="Distrato",$I$38-1,0)),IF(AND($L$711=0,$P$708=0),"",$L$711-1),IF($R$17="Distrato",$E733,0))),0,YEARFRAC(MAX($P$708*($B733+IF($R$17="Distrato",$I$38-1,0)),IF(AND($L$711=0,$P$708=0),"",$L$711-1),IF($R$17="Distrato",$E733,0)),MIN(AT$38,$D$19),$P$20))-SUM($P733:AS733)</f>
        <v>#VALUE!</v>
      </c>
      <c r="AU733" s="446" t="e">
        <f>IF(OR($B733="",MIN(AU$38,$D$19)&lt;MAX($P$708*($B733+IF($R$17="Distrato",$I$38-1,0)),IF(AND($L$711=0,$P$708=0),"",$L$711-1),IF($R$17="Distrato",$E733,0))),0,YEARFRAC(MAX($P$708*($B733+IF($R$17="Distrato",$I$38-1,0)),IF(AND($L$711=0,$P$708=0),"",$L$711-1),IF($R$17="Distrato",$E733,0)),MIN(AU$38,$D$19),$P$20))-SUM($P733:AT733)</f>
        <v>#VALUE!</v>
      </c>
      <c r="AV733" s="446" t="e">
        <f>IF(OR($B733="",MIN(AV$38,$D$19)&lt;MAX($P$708*($B733+IF($R$17="Distrato",$I$38-1,0)),IF(AND($L$711=0,$P$708=0),"",$L$711-1),IF($R$17="Distrato",$E733,0))),0,YEARFRAC(MAX($P$708*($B733+IF($R$17="Distrato",$I$38-1,0)),IF(AND($L$711=0,$P$708=0),"",$L$711-1),IF($R$17="Distrato",$E733,0)),MIN(AV$38,$D$19),$P$20))-SUM($P733:AU733)</f>
        <v>#VALUE!</v>
      </c>
      <c r="AW733" s="446" t="e">
        <f>IF(OR($B733="",MIN(AW$38,$D$19)&lt;MAX($P$708*($B733+IF($R$17="Distrato",$I$38-1,0)),IF(AND($L$711=0,$P$708=0),"",$L$711-1),IF($R$17="Distrato",$E733,0))),0,YEARFRAC(MAX($P$708*($B733+IF($R$17="Distrato",$I$38-1,0)),IF(AND($L$711=0,$P$708=0),"",$L$711-1),IF($R$17="Distrato",$E733,0)),MIN(AW$38,$D$19),$P$20))-SUM($P733:AV733)</f>
        <v>#VALUE!</v>
      </c>
      <c r="AX733" s="446" t="e">
        <f>IF(OR($B733="",MIN(AX$38,$D$19)&lt;MAX($P$708*($B733+IF($R$17="Distrato",$I$38-1,0)),IF(AND($L$711=0,$P$708=0),"",$L$711-1),IF($R$17="Distrato",$E733,0))),0,YEARFRAC(MAX($P$708*($B733+IF($R$17="Distrato",$I$38-1,0)),IF(AND($L$711=0,$P$708=0),"",$L$711-1),IF($R$17="Distrato",$E733,0)),MIN(AX$38,$D$19),$P$20))-SUM($P733:AW733)</f>
        <v>#VALUE!</v>
      </c>
      <c r="AY733" s="446" t="e">
        <f>IF(OR($B733="",MIN(AY$38,$D$19)&lt;MAX($P$708*($B733+IF($R$17="Distrato",$I$38-1,0)),IF(AND($L$711=0,$P$708=0),"",$L$711-1),IF($R$17="Distrato",$E733,0))),0,YEARFRAC(MAX($P$708*($B733+IF($R$17="Distrato",$I$38-1,0)),IF(AND($L$711=0,$P$708=0),"",$L$711-1),IF($R$17="Distrato",$E733,0)),MIN(AY$38,$D$19),$P$20))-SUM($P733:AX733)</f>
        <v>#VALUE!</v>
      </c>
      <c r="AZ733" s="446" t="e">
        <f>IF(OR($B733="",MIN(AZ$38,$D$19)&lt;MAX($P$708*($B733+IF($R$17="Distrato",$I$38-1,0)),IF(AND($L$711=0,$P$708=0),"",$L$711-1),IF($R$17="Distrato",$E733,0))),0,YEARFRAC(MAX($P$708*($B733+IF($R$17="Distrato",$I$38-1,0)),IF(AND($L$711=0,$P$708=0),"",$L$711-1),IF($R$17="Distrato",$E733,0)),MIN(AZ$38,$D$19),$P$20))-SUM($P733:AY733)</f>
        <v>#VALUE!</v>
      </c>
      <c r="BA733" s="446" t="e">
        <f>IF(OR($B733="",MIN(BA$38,$D$19)&lt;MAX($P$708*($B733+IF($R$17="Distrato",$I$38-1,0)),IF(AND($L$711=0,$P$708=0),"",$L$711-1),IF($R$17="Distrato",$E733,0))),0,YEARFRAC(MAX($P$708*($B733+IF($R$17="Distrato",$I$38-1,0)),IF(AND($L$711=0,$P$708=0),"",$L$711-1),IF($R$17="Distrato",$E733,0)),MIN(BA$38,$D$19),$P$20))-SUM($P733:AZ733)</f>
        <v>#VALUE!</v>
      </c>
      <c r="BB733" s="447"/>
    </row>
    <row r="734" spans="1:54" s="446" customFormat="1" ht="11.25" hidden="1" customHeight="1" x14ac:dyDescent="0.2">
      <c r="A734" s="235"/>
      <c r="B734" s="236"/>
      <c r="C734" s="29" t="str">
        <f>IF(B734="","",IF($L$709=$BL$25,VLOOKUP(DATE(YEAR($D$19),MONTH($D$19)-1,1),ÍNDICES!$A:$DE,HLOOKUP($BL$25,ÍNDICES!$B$3:$T$4,2)+11)-VLOOKUP(B734,ÍNDICES!$A:$DE,HLOOKUP($BL$25,ÍNDICES!$B$3:$T$4,2)+11)+1%,IF(C$712=$W$26,$J$35,IF(ISERROR(IF(B734&gt;$D$19,1,VLOOKUP(DATE(YEAR(B734),MONTH(B734)+IF($C$709=$S$23,1,0),1),ÍNDICES!$A:$DE,$Z$709+1))),"",IF(B734&gt;$D$19,1,VLOOKUP(DATE(YEAR(B734),MONTH(B734)+IF($C$709=$S$23,1,0),1),ÍNDICES!$A:$DE,$Z$709+1))))))</f>
        <v/>
      </c>
      <c r="D734" s="155"/>
      <c r="E734" s="88"/>
      <c r="F734" s="88"/>
      <c r="G734" s="88"/>
      <c r="H734" s="118"/>
      <c r="I734" s="182">
        <f t="shared" si="115"/>
        <v>0</v>
      </c>
      <c r="J734" s="20">
        <f t="shared" ca="1" si="116"/>
        <v>0</v>
      </c>
      <c r="K734" s="5">
        <f t="shared" ca="1" si="117"/>
        <v>0</v>
      </c>
      <c r="L734" s="61">
        <f t="shared" ca="1" si="118"/>
        <v>0</v>
      </c>
      <c r="M734" s="64">
        <f t="shared" si="119"/>
        <v>0</v>
      </c>
      <c r="N734" s="151"/>
      <c r="O734" s="5">
        <f t="shared" ca="1" si="120"/>
        <v>0</v>
      </c>
      <c r="P734" s="446" t="e">
        <f t="shared" si="121"/>
        <v>#VALUE!</v>
      </c>
      <c r="Q734" s="446" t="e">
        <f>IF(OR($B734="",MIN(Q$38,$D$19)&lt;MAX($P$708*($B734+IF($R$17="Distrato",$I$38-1,0)),IF(AND($L$711=0,$P$708=0),"",$L$711-1),IF($R$17="Distrato",$E734,0))),0,YEARFRAC(MAX($P$708*($B734+IF($R$17="Distrato",$I$38-1,0)),IF(AND($L$711=0,$P$708=0),"",$L$711-1),IF($R$17="Distrato",$E734,0)),MIN(Q$38,$D$19),$P$20))-SUM($P734:P734)</f>
        <v>#VALUE!</v>
      </c>
      <c r="R734" s="446" t="e">
        <f>IF(OR($B734="",MIN(R$38,$D$19)&lt;MAX($P$708*($B734+IF($R$17="Distrato",$I$38-1,0)),IF(AND($L$711=0,$P$708=0),"",$L$711-1),IF($R$17="Distrato",$E734,0))),0,YEARFRAC(MAX($P$708*($B734+IF($R$17="Distrato",$I$38-1,0)),IF(AND($L$711=0,$P$708=0),"",$L$711-1),IF($R$17="Distrato",$E734,0)),MIN(R$38,$D$19),$P$20))-SUM($P734:Q734)</f>
        <v>#VALUE!</v>
      </c>
      <c r="S734" s="446" t="e">
        <f>IF(OR($B734="",MIN(S$38,$D$19)&lt;MAX($P$708*($B734+IF($R$17="Distrato",$I$38-1,0)),IF(AND($L$711=0,$P$708=0),"",$L$711-1),IF($R$17="Distrato",$E734,0))),0,YEARFRAC(MAX($P$708*($B734+IF($R$17="Distrato",$I$38-1,0)),IF(AND($L$711=0,$P$708=0),"",$L$711-1),IF($R$17="Distrato",$E734,0)),MIN(S$38,$D$19),$P$20))-SUM($P734:R734)</f>
        <v>#VALUE!</v>
      </c>
      <c r="T734" s="446" t="e">
        <f>IF(OR($B734="",MIN(T$38,$D$19)&lt;MAX($P$708*($B734+IF($R$17="Distrato",$I$38-1,0)),IF(AND($L$711=0,$P$708=0),"",$L$711-1),IF($R$17="Distrato",$E734,0))),0,YEARFRAC(MAX($P$708*($B734+IF($R$17="Distrato",$I$38-1,0)),IF(AND($L$711=0,$P$708=0),"",$L$711-1),IF($R$17="Distrato",$E734,0)),MIN(T$38,$D$19),$P$20))-SUM($P734:S734)</f>
        <v>#VALUE!</v>
      </c>
      <c r="U734" s="446" t="e">
        <f>IF(OR($B734="",MIN(U$38,$D$19)&lt;MAX($P$708*($B734+IF($R$17="Distrato",$I$38-1,0)),IF(AND($L$711=0,$P$708=0),"",$L$711-1),IF($R$17="Distrato",$E734,0))),0,YEARFRAC(MAX($P$708*($B734+IF($R$17="Distrato",$I$38-1,0)),IF(AND($L$711=0,$P$708=0),"",$L$711-1),IF($R$17="Distrato",$E734,0)),MIN(U$38,$D$19),$P$20))-SUM($P734:T734)</f>
        <v>#VALUE!</v>
      </c>
      <c r="V734" s="446" t="e">
        <f>IF(OR($B734="",MIN(V$38,$D$19)&lt;MAX($P$708*($B734+IF($R$17="Distrato",$I$38-1,0)),IF(AND($L$711=0,$P$708=0),"",$L$711-1),IF($R$17="Distrato",$E734,0))),0,YEARFRAC(MAX($P$708*($B734+IF($R$17="Distrato",$I$38-1,0)),IF(AND($L$711=0,$P$708=0),"",$L$711-1),IF($R$17="Distrato",$E734,0)),MIN(V$38,$D$19),$P$20))-SUM($P734:U734)</f>
        <v>#VALUE!</v>
      </c>
      <c r="W734" s="446" t="e">
        <f>IF(OR($B734="",MIN(W$38,$D$19)&lt;MAX($P$708*($B734+IF($R$17="Distrato",$I$38-1,0)),IF(AND($L$711=0,$P$708=0),"",$L$711-1),IF($R$17="Distrato",$E734,0))),0,YEARFRAC(MAX($P$708*($B734+IF($R$17="Distrato",$I$38-1,0)),IF(AND($L$711=0,$P$708=0),"",$L$711-1),IF($R$17="Distrato",$E734,0)),MIN(W$38,$D$19),$P$20))-SUM($P734:V734)</f>
        <v>#VALUE!</v>
      </c>
      <c r="X734" s="446" t="e">
        <f>IF(OR($B734="",MIN(X$38,$D$19)&lt;MAX($P$708*($B734+IF($R$17="Distrato",$I$38-1,0)),IF(AND($L$711=0,$P$708=0),"",$L$711-1),IF($R$17="Distrato",$E734,0))),0,YEARFRAC(MAX($P$708*($B734+IF($R$17="Distrato",$I$38-1,0)),IF(AND($L$711=0,$P$708=0),"",$L$711-1),IF($R$17="Distrato",$E734,0)),MIN(X$38,$D$19),$P$20))-SUM($P734:W734)</f>
        <v>#VALUE!</v>
      </c>
      <c r="Y734" s="446" t="e">
        <f>IF(OR($B734="",MIN(Y$38,$D$19)&lt;MAX($P$708*($B734+IF($R$17="Distrato",$I$38-1,0)),IF(AND($L$711=0,$P$708=0),"",$L$711-1),IF($R$17="Distrato",$E734,0))),0,YEARFRAC(MAX($P$708*($B734+IF($R$17="Distrato",$I$38-1,0)),IF(AND($L$711=0,$P$708=0),"",$L$711-1),IF($R$17="Distrato",$E734,0)),MIN(Y$38,$D$19),$P$20))-SUM($P734:X734)</f>
        <v>#VALUE!</v>
      </c>
      <c r="Z734" s="446" t="e">
        <f>IF(OR($B734="",MIN(Z$38,$D$19)&lt;MAX($P$708*($B734+IF($R$17="Distrato",$I$38-1,0)),IF(AND($L$711=0,$P$708=0),"",$L$711-1),IF($R$17="Distrato",$E734,0))),0,YEARFRAC(MAX($P$708*($B734+IF($R$17="Distrato",$I$38-1,0)),IF(AND($L$711=0,$P$708=0),"",$L$711-1),IF($R$17="Distrato",$E734,0)),MIN(Z$38,$D$19),$P$20))-SUM($P734:Y734)</f>
        <v>#VALUE!</v>
      </c>
      <c r="AA734" s="446" t="e">
        <f>IF(OR($B734="",MIN(AA$38,$D$19)&lt;MAX($P$708*($B734+IF($R$17="Distrato",$I$38-1,0)),IF(AND($L$711=0,$P$708=0),"",$L$711-1),IF($R$17="Distrato",$E734,0))),0,YEARFRAC(MAX($P$708*($B734+IF($R$17="Distrato",$I$38-1,0)),IF(AND($L$711=0,$P$708=0),"",$L$711-1),IF($R$17="Distrato",$E734,0)),MIN(AA$38,$D$19),$P$20))-SUM($P734:Z734)</f>
        <v>#VALUE!</v>
      </c>
      <c r="AB734" s="446" t="e">
        <f>IF(OR($B734="",MIN(AB$38,$D$19)&lt;MAX($P$708*($B734+IF($R$17="Distrato",$I$38-1,0)),IF(AND($L$711=0,$P$708=0),"",$L$711-1),IF($R$17="Distrato",$E734,0))),0,YEARFRAC(MAX($P$708*($B734+IF($R$17="Distrato",$I$38-1,0)),IF(AND($L$711=0,$P$708=0),"",$L$711-1),IF($R$17="Distrato",$E734,0)),MIN(AB$38,$D$19),$P$20))-SUM($P734:AA734)</f>
        <v>#VALUE!</v>
      </c>
      <c r="AC734" s="446" t="e">
        <f>IF(OR($B734="",MIN(AC$38,$D$19)&lt;MAX($P$708*($B734+IF($R$17="Distrato",$I$38-1,0)),IF(AND($L$711=0,$P$708=0),"",$L$711-1),IF($R$17="Distrato",$E734,0))),0,YEARFRAC(MAX($P$708*($B734+IF($R$17="Distrato",$I$38-1,0)),IF(AND($L$711=0,$P$708=0),"",$L$711-1),IF($R$17="Distrato",$E734,0)),MIN(AC$38,$D$19),$P$20))-SUM($P734:AB734)</f>
        <v>#VALUE!</v>
      </c>
      <c r="AD734" s="446" t="e">
        <f>IF(OR($B734="",MIN(AD$38,$D$19)&lt;MAX($P$708*($B734+IF($R$17="Distrato",$I$38-1,0)),IF(AND($L$711=0,$P$708=0),"",$L$711-1),IF($R$17="Distrato",$E734,0))),0,YEARFRAC(MAX($P$708*($B734+IF($R$17="Distrato",$I$38-1,0)),IF(AND($L$711=0,$P$708=0),"",$L$711-1),IF($R$17="Distrato",$E734,0)),MIN(AD$38,$D$19),$P$20))-SUM($P734:AC734)</f>
        <v>#VALUE!</v>
      </c>
      <c r="AE734" s="446" t="e">
        <f>IF(OR($B734="",MIN(AE$38,$D$19)&lt;MAX($P$708*($B734+IF($R$17="Distrato",$I$38-1,0)),IF(AND($L$711=0,$P$708=0),"",$L$711-1),IF($R$17="Distrato",$E734,0))),0,YEARFRAC(MAX($P$708*($B734+IF($R$17="Distrato",$I$38-1,0)),IF(AND($L$711=0,$P$708=0),"",$L$711-1),IF($R$17="Distrato",$E734,0)),MIN(AE$38,$D$19),$P$20))-SUM($P734:AD734)</f>
        <v>#VALUE!</v>
      </c>
      <c r="AF734" s="446" t="e">
        <f>IF(OR($B734="",MIN(AF$38,$D$19)&lt;MAX($P$708*($B734+IF($R$17="Distrato",$I$38-1,0)),IF(AND($L$711=0,$P$708=0),"",$L$711-1),IF($R$17="Distrato",$E734,0))),0,YEARFRAC(MAX($P$708*($B734+IF($R$17="Distrato",$I$38-1,0)),IF(AND($L$711=0,$P$708=0),"",$L$711-1),IF($R$17="Distrato",$E734,0)),MIN(AF$38,$D$19),$P$20))-SUM($P734:AE734)</f>
        <v>#VALUE!</v>
      </c>
      <c r="AG734" s="446" t="e">
        <f>IF(OR($B734="",MIN(AG$38,$D$19)&lt;MAX($P$708*($B734+IF($R$17="Distrato",$I$38-1,0)),IF(AND($L$711=0,$P$708=0),"",$L$711-1),IF($R$17="Distrato",$E734,0))),0,YEARFRAC(MAX($P$708*($B734+IF($R$17="Distrato",$I$38-1,0)),IF(AND($L$711=0,$P$708=0),"",$L$711-1),IF($R$17="Distrato",$E734,0)),MIN(AG$38,$D$19),$P$20))-SUM($P734:AF734)</f>
        <v>#VALUE!</v>
      </c>
      <c r="AH734" s="446" t="e">
        <f>IF(OR($B734="",MIN(AH$38,$D$19)&lt;MAX($P$708*($B734+IF($R$17="Distrato",$I$38-1,0)),IF(AND($L$711=0,$P$708=0),"",$L$711-1),IF($R$17="Distrato",$E734,0))),0,YEARFRAC(MAX($P$708*($B734+IF($R$17="Distrato",$I$38-1,0)),IF(AND($L$711=0,$P$708=0),"",$L$711-1),IF($R$17="Distrato",$E734,0)),MIN(AH$38,$D$19),$P$20))-SUM($P734:AG734)</f>
        <v>#VALUE!</v>
      </c>
      <c r="AI734" s="446" t="e">
        <f>IF(OR($B734="",MIN(AI$38,$D$19)&lt;MAX($P$708*($B734+IF($R$17="Distrato",$I$38-1,0)),IF(AND($L$711=0,$P$708=0),"",$L$711-1),IF($R$17="Distrato",$E734,0))),0,YEARFRAC(MAX($P$708*($B734+IF($R$17="Distrato",$I$38-1,0)),IF(AND($L$711=0,$P$708=0),"",$L$711-1),IF($R$17="Distrato",$E734,0)),MIN(AI$38,$D$19),$P$20))-SUM($P734:AH734)</f>
        <v>#VALUE!</v>
      </c>
      <c r="AJ734" s="446" t="e">
        <f>IF(OR($B734="",MIN(AJ$38,$D$19)&lt;MAX($P$708*($B734+IF($R$17="Distrato",$I$38-1,0)),IF(AND($L$711=0,$P$708=0),"",$L$711-1),IF($R$17="Distrato",$E734,0))),0,YEARFRAC(MAX($P$708*($B734+IF($R$17="Distrato",$I$38-1,0)),IF(AND($L$711=0,$P$708=0),"",$L$711-1),IF($R$17="Distrato",$E734,0)),MIN(AJ$38,$D$19),$P$20))-SUM($P734:AI734)</f>
        <v>#VALUE!</v>
      </c>
      <c r="AK734" s="446" t="e">
        <f>IF(OR($B734="",MIN(AK$38,$D$19)&lt;MAX($P$708*($B734+IF($R$17="Distrato",$I$38-1,0)),IF(AND($L$711=0,$P$708=0),"",$L$711-1),IF($R$17="Distrato",$E734,0))),0,YEARFRAC(MAX($P$708*($B734+IF($R$17="Distrato",$I$38-1,0)),IF(AND($L$711=0,$P$708=0),"",$L$711-1),IF($R$17="Distrato",$E734,0)),MIN(AK$38,$D$19),$P$20))-SUM($P734:AJ734)</f>
        <v>#VALUE!</v>
      </c>
      <c r="AL734" s="446" t="e">
        <f>IF(OR($B734="",MIN(AL$38,$D$19)&lt;MAX($P$708*($B734+IF($R$17="Distrato",$I$38-1,0)),IF(AND($L$711=0,$P$708=0),"",$L$711-1),IF($R$17="Distrato",$E734,0))),0,YEARFRAC(MAX($P$708*($B734+IF($R$17="Distrato",$I$38-1,0)),IF(AND($L$711=0,$P$708=0),"",$L$711-1),IF($R$17="Distrato",$E734,0)),MIN(AL$38,$D$19),$P$20))-SUM($P734:AK734)</f>
        <v>#VALUE!</v>
      </c>
      <c r="AM734" s="446" t="e">
        <f>IF(OR($B734="",MIN(AM$38,$D$19)&lt;MAX($P$708*($B734+IF($R$17="Distrato",$I$38-1,0)),IF(AND($L$711=0,$P$708=0),"",$L$711-1),IF($R$17="Distrato",$E734,0))),0,YEARFRAC(MAX($P$708*($B734+IF($R$17="Distrato",$I$38-1,0)),IF(AND($L$711=0,$P$708=0),"",$L$711-1),IF($R$17="Distrato",$E734,0)),MIN(AM$38,$D$19),$P$20))-SUM($P734:AL734)</f>
        <v>#VALUE!</v>
      </c>
      <c r="AN734" s="446" t="e">
        <f>IF(OR($B734="",MIN(AN$38,$D$19)&lt;MAX($P$708*($B734+IF($R$17="Distrato",$I$38-1,0)),IF(AND($L$711=0,$P$708=0),"",$L$711-1),IF($R$17="Distrato",$E734,0))),0,YEARFRAC(MAX($P$708*($B734+IF($R$17="Distrato",$I$38-1,0)),IF(AND($L$711=0,$P$708=0),"",$L$711-1),IF($R$17="Distrato",$E734,0)),MIN(AN$38,$D$19),$P$20))-SUM($P734:AM734)</f>
        <v>#VALUE!</v>
      </c>
      <c r="AO734" s="446" t="e">
        <f>IF(OR($B734="",MIN(AO$38,$D$19)&lt;MAX($P$708*($B734+IF($R$17="Distrato",$I$38-1,0)),IF(AND($L$711=0,$P$708=0),"",$L$711-1),IF($R$17="Distrato",$E734,0))),0,YEARFRAC(MAX($P$708*($B734+IF($R$17="Distrato",$I$38-1,0)),IF(AND($L$711=0,$P$708=0),"",$L$711-1),IF($R$17="Distrato",$E734,0)),MIN(AO$38,$D$19),$P$20))-SUM($P734:AN734)</f>
        <v>#VALUE!</v>
      </c>
      <c r="AP734" s="446" t="e">
        <f>IF(OR($B734="",MIN(AP$38,$D$19)&lt;MAX($P$708*($B734+IF($R$17="Distrato",$I$38-1,0)),IF(AND($L$711=0,$P$708=0),"",$L$711-1),IF($R$17="Distrato",$E734,0))),0,YEARFRAC(MAX($P$708*($B734+IF($R$17="Distrato",$I$38-1,0)),IF(AND($L$711=0,$P$708=0),"",$L$711-1),IF($R$17="Distrato",$E734,0)),MIN(AP$38,$D$19),$P$20))-SUM($P734:AO734)</f>
        <v>#VALUE!</v>
      </c>
      <c r="AQ734" s="446" t="e">
        <f>IF(OR($B734="",MIN(AQ$38,$D$19)&lt;MAX($P$708*($B734+IF($R$17="Distrato",$I$38-1,0)),IF(AND($L$711=0,$P$708=0),"",$L$711-1),IF($R$17="Distrato",$E734,0))),0,YEARFRAC(MAX($P$708*($B734+IF($R$17="Distrato",$I$38-1,0)),IF(AND($L$711=0,$P$708=0),"",$L$711-1),IF($R$17="Distrato",$E734,0)),MIN(AQ$38,$D$19),$P$20))-SUM($P734:AP734)</f>
        <v>#VALUE!</v>
      </c>
      <c r="AR734" s="446" t="e">
        <f>IF(OR($B734="",MIN(AR$38,$D$19)&lt;MAX($P$708*($B734+IF($R$17="Distrato",$I$38-1,0)),IF(AND($L$711=0,$P$708=0),"",$L$711-1),IF($R$17="Distrato",$E734,0))),0,YEARFRAC(MAX($P$708*($B734+IF($R$17="Distrato",$I$38-1,0)),IF(AND($L$711=0,$P$708=0),"",$L$711-1),IF($R$17="Distrato",$E734,0)),MIN(AR$38,$D$19),$P$20))-SUM($P734:AQ734)</f>
        <v>#VALUE!</v>
      </c>
      <c r="AS734" s="446" t="e">
        <f>IF(OR($B734="",MIN(AS$38,$D$19)&lt;MAX($P$708*($B734+IF($R$17="Distrato",$I$38-1,0)),IF(AND($L$711=0,$P$708=0),"",$L$711-1),IF($R$17="Distrato",$E734,0))),0,YEARFRAC(MAX($P$708*($B734+IF($R$17="Distrato",$I$38-1,0)),IF(AND($L$711=0,$P$708=0),"",$L$711-1),IF($R$17="Distrato",$E734,0)),MIN(AS$38,$D$19),$P$20))-SUM($P734:AR734)</f>
        <v>#VALUE!</v>
      </c>
      <c r="AT734" s="446" t="e">
        <f>IF(OR($B734="",MIN(AT$38,$D$19)&lt;MAX($P$708*($B734+IF($R$17="Distrato",$I$38-1,0)),IF(AND($L$711=0,$P$708=0),"",$L$711-1),IF($R$17="Distrato",$E734,0))),0,YEARFRAC(MAX($P$708*($B734+IF($R$17="Distrato",$I$38-1,0)),IF(AND($L$711=0,$P$708=0),"",$L$711-1),IF($R$17="Distrato",$E734,0)),MIN(AT$38,$D$19),$P$20))-SUM($P734:AS734)</f>
        <v>#VALUE!</v>
      </c>
      <c r="AU734" s="446" t="e">
        <f>IF(OR($B734="",MIN(AU$38,$D$19)&lt;MAX($P$708*($B734+IF($R$17="Distrato",$I$38-1,0)),IF(AND($L$711=0,$P$708=0),"",$L$711-1),IF($R$17="Distrato",$E734,0))),0,YEARFRAC(MAX($P$708*($B734+IF($R$17="Distrato",$I$38-1,0)),IF(AND($L$711=0,$P$708=0),"",$L$711-1),IF($R$17="Distrato",$E734,0)),MIN(AU$38,$D$19),$P$20))-SUM($P734:AT734)</f>
        <v>#VALUE!</v>
      </c>
      <c r="AV734" s="446" t="e">
        <f>IF(OR($B734="",MIN(AV$38,$D$19)&lt;MAX($P$708*($B734+IF($R$17="Distrato",$I$38-1,0)),IF(AND($L$711=0,$P$708=0),"",$L$711-1),IF($R$17="Distrato",$E734,0))),0,YEARFRAC(MAX($P$708*($B734+IF($R$17="Distrato",$I$38-1,0)),IF(AND($L$711=0,$P$708=0),"",$L$711-1),IF($R$17="Distrato",$E734,0)),MIN(AV$38,$D$19),$P$20))-SUM($P734:AU734)</f>
        <v>#VALUE!</v>
      </c>
      <c r="AW734" s="446" t="e">
        <f>IF(OR($B734="",MIN(AW$38,$D$19)&lt;MAX($P$708*($B734+IF($R$17="Distrato",$I$38-1,0)),IF(AND($L$711=0,$P$708=0),"",$L$711-1),IF($R$17="Distrato",$E734,0))),0,YEARFRAC(MAX($P$708*($B734+IF($R$17="Distrato",$I$38-1,0)),IF(AND($L$711=0,$P$708=0),"",$L$711-1),IF($R$17="Distrato",$E734,0)),MIN(AW$38,$D$19),$P$20))-SUM($P734:AV734)</f>
        <v>#VALUE!</v>
      </c>
      <c r="AX734" s="446" t="e">
        <f>IF(OR($B734="",MIN(AX$38,$D$19)&lt;MAX($P$708*($B734+IF($R$17="Distrato",$I$38-1,0)),IF(AND($L$711=0,$P$708=0),"",$L$711-1),IF($R$17="Distrato",$E734,0))),0,YEARFRAC(MAX($P$708*($B734+IF($R$17="Distrato",$I$38-1,0)),IF(AND($L$711=0,$P$708=0),"",$L$711-1),IF($R$17="Distrato",$E734,0)),MIN(AX$38,$D$19),$P$20))-SUM($P734:AW734)</f>
        <v>#VALUE!</v>
      </c>
      <c r="AY734" s="446" t="e">
        <f>IF(OR($B734="",MIN(AY$38,$D$19)&lt;MAX($P$708*($B734+IF($R$17="Distrato",$I$38-1,0)),IF(AND($L$711=0,$P$708=0),"",$L$711-1),IF($R$17="Distrato",$E734,0))),0,YEARFRAC(MAX($P$708*($B734+IF($R$17="Distrato",$I$38-1,0)),IF(AND($L$711=0,$P$708=0),"",$L$711-1),IF($R$17="Distrato",$E734,0)),MIN(AY$38,$D$19),$P$20))-SUM($P734:AX734)</f>
        <v>#VALUE!</v>
      </c>
      <c r="AZ734" s="446" t="e">
        <f>IF(OR($B734="",MIN(AZ$38,$D$19)&lt;MAX($P$708*($B734+IF($R$17="Distrato",$I$38-1,0)),IF(AND($L$711=0,$P$708=0),"",$L$711-1),IF($R$17="Distrato",$E734,0))),0,YEARFRAC(MAX($P$708*($B734+IF($R$17="Distrato",$I$38-1,0)),IF(AND($L$711=0,$P$708=0),"",$L$711-1),IF($R$17="Distrato",$E734,0)),MIN(AZ$38,$D$19),$P$20))-SUM($P734:AY734)</f>
        <v>#VALUE!</v>
      </c>
      <c r="BA734" s="446" t="e">
        <f>IF(OR($B734="",MIN(BA$38,$D$19)&lt;MAX($P$708*($B734+IF($R$17="Distrato",$I$38-1,0)),IF(AND($L$711=0,$P$708=0),"",$L$711-1),IF($R$17="Distrato",$E734,0))),0,YEARFRAC(MAX($P$708*($B734+IF($R$17="Distrato",$I$38-1,0)),IF(AND($L$711=0,$P$708=0),"",$L$711-1),IF($R$17="Distrato",$E734,0)),MIN(BA$38,$D$19),$P$20))-SUM($P734:AZ734)</f>
        <v>#VALUE!</v>
      </c>
      <c r="BB734" s="447"/>
    </row>
    <row r="735" spans="1:54" s="446" customFormat="1" ht="11.25" hidden="1" customHeight="1" x14ac:dyDescent="0.2">
      <c r="A735" s="235"/>
      <c r="B735" s="236"/>
      <c r="C735" s="29" t="str">
        <f>IF(B735="","",IF($L$709=$BL$25,VLOOKUP(DATE(YEAR($D$19),MONTH($D$19)-1,1),ÍNDICES!$A:$DE,HLOOKUP($BL$25,ÍNDICES!$B$3:$T$4,2)+11)-VLOOKUP(B735,ÍNDICES!$A:$DE,HLOOKUP($BL$25,ÍNDICES!$B$3:$T$4,2)+11)+1%,IF(C$712=$W$26,$J$35,IF(ISERROR(IF(B735&gt;$D$19,1,VLOOKUP(DATE(YEAR(B735),MONTH(B735)+IF($C$709=$S$23,1,0),1),ÍNDICES!$A:$DE,$Z$709+1))),"",IF(B735&gt;$D$19,1,VLOOKUP(DATE(YEAR(B735),MONTH(B735)+IF($C$709=$S$23,1,0),1),ÍNDICES!$A:$DE,$Z$709+1))))))</f>
        <v/>
      </c>
      <c r="D735" s="155"/>
      <c r="E735" s="88"/>
      <c r="F735" s="88"/>
      <c r="G735" s="88"/>
      <c r="H735" s="118"/>
      <c r="I735" s="182">
        <f t="shared" si="115"/>
        <v>0</v>
      </c>
      <c r="J735" s="20">
        <f t="shared" ca="1" si="116"/>
        <v>0</v>
      </c>
      <c r="K735" s="5">
        <f t="shared" ca="1" si="117"/>
        <v>0</v>
      </c>
      <c r="L735" s="61">
        <f t="shared" ca="1" si="118"/>
        <v>0</v>
      </c>
      <c r="M735" s="64">
        <f t="shared" si="119"/>
        <v>0</v>
      </c>
      <c r="N735" s="151"/>
      <c r="O735" s="5">
        <f t="shared" ca="1" si="120"/>
        <v>0</v>
      </c>
      <c r="P735" s="446" t="e">
        <f t="shared" si="121"/>
        <v>#VALUE!</v>
      </c>
      <c r="Q735" s="446" t="e">
        <f>IF(OR($B735="",MIN(Q$38,$D$19)&lt;MAX($P$708*($B735+IF($R$17="Distrato",$I$38-1,0)),IF(AND($L$711=0,$P$708=0),"",$L$711-1),IF($R$17="Distrato",$E735,0))),0,YEARFRAC(MAX($P$708*($B735+IF($R$17="Distrato",$I$38-1,0)),IF(AND($L$711=0,$P$708=0),"",$L$711-1),IF($R$17="Distrato",$E735,0)),MIN(Q$38,$D$19),$P$20))-SUM($P735:P735)</f>
        <v>#VALUE!</v>
      </c>
      <c r="R735" s="446" t="e">
        <f>IF(OR($B735="",MIN(R$38,$D$19)&lt;MAX($P$708*($B735+IF($R$17="Distrato",$I$38-1,0)),IF(AND($L$711=0,$P$708=0),"",$L$711-1),IF($R$17="Distrato",$E735,0))),0,YEARFRAC(MAX($P$708*($B735+IF($R$17="Distrato",$I$38-1,0)),IF(AND($L$711=0,$P$708=0),"",$L$711-1),IF($R$17="Distrato",$E735,0)),MIN(R$38,$D$19),$P$20))-SUM($P735:Q735)</f>
        <v>#VALUE!</v>
      </c>
      <c r="S735" s="446" t="e">
        <f>IF(OR($B735="",MIN(S$38,$D$19)&lt;MAX($P$708*($B735+IF($R$17="Distrato",$I$38-1,0)),IF(AND($L$711=0,$P$708=0),"",$L$711-1),IF($R$17="Distrato",$E735,0))),0,YEARFRAC(MAX($P$708*($B735+IF($R$17="Distrato",$I$38-1,0)),IF(AND($L$711=0,$P$708=0),"",$L$711-1),IF($R$17="Distrato",$E735,0)),MIN(S$38,$D$19),$P$20))-SUM($P735:R735)</f>
        <v>#VALUE!</v>
      </c>
      <c r="T735" s="446" t="e">
        <f>IF(OR($B735="",MIN(T$38,$D$19)&lt;MAX($P$708*($B735+IF($R$17="Distrato",$I$38-1,0)),IF(AND($L$711=0,$P$708=0),"",$L$711-1),IF($R$17="Distrato",$E735,0))),0,YEARFRAC(MAX($P$708*($B735+IF($R$17="Distrato",$I$38-1,0)),IF(AND($L$711=0,$P$708=0),"",$L$711-1),IF($R$17="Distrato",$E735,0)),MIN(T$38,$D$19),$P$20))-SUM($P735:S735)</f>
        <v>#VALUE!</v>
      </c>
      <c r="U735" s="446" t="e">
        <f>IF(OR($B735="",MIN(U$38,$D$19)&lt;MAX($P$708*($B735+IF($R$17="Distrato",$I$38-1,0)),IF(AND($L$711=0,$P$708=0),"",$L$711-1),IF($R$17="Distrato",$E735,0))),0,YEARFRAC(MAX($P$708*($B735+IF($R$17="Distrato",$I$38-1,0)),IF(AND($L$711=0,$P$708=0),"",$L$711-1),IF($R$17="Distrato",$E735,0)),MIN(U$38,$D$19),$P$20))-SUM($P735:T735)</f>
        <v>#VALUE!</v>
      </c>
      <c r="V735" s="446" t="e">
        <f>IF(OR($B735="",MIN(V$38,$D$19)&lt;MAX($P$708*($B735+IF($R$17="Distrato",$I$38-1,0)),IF(AND($L$711=0,$P$708=0),"",$L$711-1),IF($R$17="Distrato",$E735,0))),0,YEARFRAC(MAX($P$708*($B735+IF($R$17="Distrato",$I$38-1,0)),IF(AND($L$711=0,$P$708=0),"",$L$711-1),IF($R$17="Distrato",$E735,0)),MIN(V$38,$D$19),$P$20))-SUM($P735:U735)</f>
        <v>#VALUE!</v>
      </c>
      <c r="W735" s="446" t="e">
        <f>IF(OR($B735="",MIN(W$38,$D$19)&lt;MAX($P$708*($B735+IF($R$17="Distrato",$I$38-1,0)),IF(AND($L$711=0,$P$708=0),"",$L$711-1),IF($R$17="Distrato",$E735,0))),0,YEARFRAC(MAX($P$708*($B735+IF($R$17="Distrato",$I$38-1,0)),IF(AND($L$711=0,$P$708=0),"",$L$711-1),IF($R$17="Distrato",$E735,0)),MIN(W$38,$D$19),$P$20))-SUM($P735:V735)</f>
        <v>#VALUE!</v>
      </c>
      <c r="X735" s="446" t="e">
        <f>IF(OR($B735="",MIN(X$38,$D$19)&lt;MAX($P$708*($B735+IF($R$17="Distrato",$I$38-1,0)),IF(AND($L$711=0,$P$708=0),"",$L$711-1),IF($R$17="Distrato",$E735,0))),0,YEARFRAC(MAX($P$708*($B735+IF($R$17="Distrato",$I$38-1,0)),IF(AND($L$711=0,$P$708=0),"",$L$711-1),IF($R$17="Distrato",$E735,0)),MIN(X$38,$D$19),$P$20))-SUM($P735:W735)</f>
        <v>#VALUE!</v>
      </c>
      <c r="Y735" s="446" t="e">
        <f>IF(OR($B735="",MIN(Y$38,$D$19)&lt;MAX($P$708*($B735+IF($R$17="Distrato",$I$38-1,0)),IF(AND($L$711=0,$P$708=0),"",$L$711-1),IF($R$17="Distrato",$E735,0))),0,YEARFRAC(MAX($P$708*($B735+IF($R$17="Distrato",$I$38-1,0)),IF(AND($L$711=0,$P$708=0),"",$L$711-1),IF($R$17="Distrato",$E735,0)),MIN(Y$38,$D$19),$P$20))-SUM($P735:X735)</f>
        <v>#VALUE!</v>
      </c>
      <c r="Z735" s="446" t="e">
        <f>IF(OR($B735="",MIN(Z$38,$D$19)&lt;MAX($P$708*($B735+IF($R$17="Distrato",$I$38-1,0)),IF(AND($L$711=0,$P$708=0),"",$L$711-1),IF($R$17="Distrato",$E735,0))),0,YEARFRAC(MAX($P$708*($B735+IF($R$17="Distrato",$I$38-1,0)),IF(AND($L$711=0,$P$708=0),"",$L$711-1),IF($R$17="Distrato",$E735,0)),MIN(Z$38,$D$19),$P$20))-SUM($P735:Y735)</f>
        <v>#VALUE!</v>
      </c>
      <c r="AA735" s="446" t="e">
        <f>IF(OR($B735="",MIN(AA$38,$D$19)&lt;MAX($P$708*($B735+IF($R$17="Distrato",$I$38-1,0)),IF(AND($L$711=0,$P$708=0),"",$L$711-1),IF($R$17="Distrato",$E735,0))),0,YEARFRAC(MAX($P$708*($B735+IF($R$17="Distrato",$I$38-1,0)),IF(AND($L$711=0,$P$708=0),"",$L$711-1),IF($R$17="Distrato",$E735,0)),MIN(AA$38,$D$19),$P$20))-SUM($P735:Z735)</f>
        <v>#VALUE!</v>
      </c>
      <c r="AB735" s="446" t="e">
        <f>IF(OR($B735="",MIN(AB$38,$D$19)&lt;MAX($P$708*($B735+IF($R$17="Distrato",$I$38-1,0)),IF(AND($L$711=0,$P$708=0),"",$L$711-1),IF($R$17="Distrato",$E735,0))),0,YEARFRAC(MAX($P$708*($B735+IF($R$17="Distrato",$I$38-1,0)),IF(AND($L$711=0,$P$708=0),"",$L$711-1),IF($R$17="Distrato",$E735,0)),MIN(AB$38,$D$19),$P$20))-SUM($P735:AA735)</f>
        <v>#VALUE!</v>
      </c>
      <c r="AC735" s="446" t="e">
        <f>IF(OR($B735="",MIN(AC$38,$D$19)&lt;MAX($P$708*($B735+IF($R$17="Distrato",$I$38-1,0)),IF(AND($L$711=0,$P$708=0),"",$L$711-1),IF($R$17="Distrato",$E735,0))),0,YEARFRAC(MAX($P$708*($B735+IF($R$17="Distrato",$I$38-1,0)),IF(AND($L$711=0,$P$708=0),"",$L$711-1),IF($R$17="Distrato",$E735,0)),MIN(AC$38,$D$19),$P$20))-SUM($P735:AB735)</f>
        <v>#VALUE!</v>
      </c>
      <c r="AD735" s="446" t="e">
        <f>IF(OR($B735="",MIN(AD$38,$D$19)&lt;MAX($P$708*($B735+IF($R$17="Distrato",$I$38-1,0)),IF(AND($L$711=0,$P$708=0),"",$L$711-1),IF($R$17="Distrato",$E735,0))),0,YEARFRAC(MAX($P$708*($B735+IF($R$17="Distrato",$I$38-1,0)),IF(AND($L$711=0,$P$708=0),"",$L$711-1),IF($R$17="Distrato",$E735,0)),MIN(AD$38,$D$19),$P$20))-SUM($P735:AC735)</f>
        <v>#VALUE!</v>
      </c>
      <c r="AE735" s="446" t="e">
        <f>IF(OR($B735="",MIN(AE$38,$D$19)&lt;MAX($P$708*($B735+IF($R$17="Distrato",$I$38-1,0)),IF(AND($L$711=0,$P$708=0),"",$L$711-1),IF($R$17="Distrato",$E735,0))),0,YEARFRAC(MAX($P$708*($B735+IF($R$17="Distrato",$I$38-1,0)),IF(AND($L$711=0,$P$708=0),"",$L$711-1),IF($R$17="Distrato",$E735,0)),MIN(AE$38,$D$19),$P$20))-SUM($P735:AD735)</f>
        <v>#VALUE!</v>
      </c>
      <c r="AF735" s="446" t="e">
        <f>IF(OR($B735="",MIN(AF$38,$D$19)&lt;MAX($P$708*($B735+IF($R$17="Distrato",$I$38-1,0)),IF(AND($L$711=0,$P$708=0),"",$L$711-1),IF($R$17="Distrato",$E735,0))),0,YEARFRAC(MAX($P$708*($B735+IF($R$17="Distrato",$I$38-1,0)),IF(AND($L$711=0,$P$708=0),"",$L$711-1),IF($R$17="Distrato",$E735,0)),MIN(AF$38,$D$19),$P$20))-SUM($P735:AE735)</f>
        <v>#VALUE!</v>
      </c>
      <c r="AG735" s="446" t="e">
        <f>IF(OR($B735="",MIN(AG$38,$D$19)&lt;MAX($P$708*($B735+IF($R$17="Distrato",$I$38-1,0)),IF(AND($L$711=0,$P$708=0),"",$L$711-1),IF($R$17="Distrato",$E735,0))),0,YEARFRAC(MAX($P$708*($B735+IF($R$17="Distrato",$I$38-1,0)),IF(AND($L$711=0,$P$708=0),"",$L$711-1),IF($R$17="Distrato",$E735,0)),MIN(AG$38,$D$19),$P$20))-SUM($P735:AF735)</f>
        <v>#VALUE!</v>
      </c>
      <c r="AH735" s="446" t="e">
        <f>IF(OR($B735="",MIN(AH$38,$D$19)&lt;MAX($P$708*($B735+IF($R$17="Distrato",$I$38-1,0)),IF(AND($L$711=0,$P$708=0),"",$L$711-1),IF($R$17="Distrato",$E735,0))),0,YEARFRAC(MAX($P$708*($B735+IF($R$17="Distrato",$I$38-1,0)),IF(AND($L$711=0,$P$708=0),"",$L$711-1),IF($R$17="Distrato",$E735,0)),MIN(AH$38,$D$19),$P$20))-SUM($P735:AG735)</f>
        <v>#VALUE!</v>
      </c>
      <c r="AI735" s="446" t="e">
        <f>IF(OR($B735="",MIN(AI$38,$D$19)&lt;MAX($P$708*($B735+IF($R$17="Distrato",$I$38-1,0)),IF(AND($L$711=0,$P$708=0),"",$L$711-1),IF($R$17="Distrato",$E735,0))),0,YEARFRAC(MAX($P$708*($B735+IF($R$17="Distrato",$I$38-1,0)),IF(AND($L$711=0,$P$708=0),"",$L$711-1),IF($R$17="Distrato",$E735,0)),MIN(AI$38,$D$19),$P$20))-SUM($P735:AH735)</f>
        <v>#VALUE!</v>
      </c>
      <c r="AJ735" s="446" t="e">
        <f>IF(OR($B735="",MIN(AJ$38,$D$19)&lt;MAX($P$708*($B735+IF($R$17="Distrato",$I$38-1,0)),IF(AND($L$711=0,$P$708=0),"",$L$711-1),IF($R$17="Distrato",$E735,0))),0,YEARFRAC(MAX($P$708*($B735+IF($R$17="Distrato",$I$38-1,0)),IF(AND($L$711=0,$P$708=0),"",$L$711-1),IF($R$17="Distrato",$E735,0)),MIN(AJ$38,$D$19),$P$20))-SUM($P735:AI735)</f>
        <v>#VALUE!</v>
      </c>
      <c r="AK735" s="446" t="e">
        <f>IF(OR($B735="",MIN(AK$38,$D$19)&lt;MAX($P$708*($B735+IF($R$17="Distrato",$I$38-1,0)),IF(AND($L$711=0,$P$708=0),"",$L$711-1),IF($R$17="Distrato",$E735,0))),0,YEARFRAC(MAX($P$708*($B735+IF($R$17="Distrato",$I$38-1,0)),IF(AND($L$711=0,$P$708=0),"",$L$711-1),IF($R$17="Distrato",$E735,0)),MIN(AK$38,$D$19),$P$20))-SUM($P735:AJ735)</f>
        <v>#VALUE!</v>
      </c>
      <c r="AL735" s="446" t="e">
        <f>IF(OR($B735="",MIN(AL$38,$D$19)&lt;MAX($P$708*($B735+IF($R$17="Distrato",$I$38-1,0)),IF(AND($L$711=0,$P$708=0),"",$L$711-1),IF($R$17="Distrato",$E735,0))),0,YEARFRAC(MAX($P$708*($B735+IF($R$17="Distrato",$I$38-1,0)),IF(AND($L$711=0,$P$708=0),"",$L$711-1),IF($R$17="Distrato",$E735,0)),MIN(AL$38,$D$19),$P$20))-SUM($P735:AK735)</f>
        <v>#VALUE!</v>
      </c>
      <c r="AM735" s="446" t="e">
        <f>IF(OR($B735="",MIN(AM$38,$D$19)&lt;MAX($P$708*($B735+IF($R$17="Distrato",$I$38-1,0)),IF(AND($L$711=0,$P$708=0),"",$L$711-1),IF($R$17="Distrato",$E735,0))),0,YEARFRAC(MAX($P$708*($B735+IF($R$17="Distrato",$I$38-1,0)),IF(AND($L$711=0,$P$708=0),"",$L$711-1),IF($R$17="Distrato",$E735,0)),MIN(AM$38,$D$19),$P$20))-SUM($P735:AL735)</f>
        <v>#VALUE!</v>
      </c>
      <c r="AN735" s="446" t="e">
        <f>IF(OR($B735="",MIN(AN$38,$D$19)&lt;MAX($P$708*($B735+IF($R$17="Distrato",$I$38-1,0)),IF(AND($L$711=0,$P$708=0),"",$L$711-1),IF($R$17="Distrato",$E735,0))),0,YEARFRAC(MAX($P$708*($B735+IF($R$17="Distrato",$I$38-1,0)),IF(AND($L$711=0,$P$708=0),"",$L$711-1),IF($R$17="Distrato",$E735,0)),MIN(AN$38,$D$19),$P$20))-SUM($P735:AM735)</f>
        <v>#VALUE!</v>
      </c>
      <c r="AO735" s="446" t="e">
        <f>IF(OR($B735="",MIN(AO$38,$D$19)&lt;MAX($P$708*($B735+IF($R$17="Distrato",$I$38-1,0)),IF(AND($L$711=0,$P$708=0),"",$L$711-1),IF($R$17="Distrato",$E735,0))),0,YEARFRAC(MAX($P$708*($B735+IF($R$17="Distrato",$I$38-1,0)),IF(AND($L$711=0,$P$708=0),"",$L$711-1),IF($R$17="Distrato",$E735,0)),MIN(AO$38,$D$19),$P$20))-SUM($P735:AN735)</f>
        <v>#VALUE!</v>
      </c>
      <c r="AP735" s="446" t="e">
        <f>IF(OR($B735="",MIN(AP$38,$D$19)&lt;MAX($P$708*($B735+IF($R$17="Distrato",$I$38-1,0)),IF(AND($L$711=0,$P$708=0),"",$L$711-1),IF($R$17="Distrato",$E735,0))),0,YEARFRAC(MAX($P$708*($B735+IF($R$17="Distrato",$I$38-1,0)),IF(AND($L$711=0,$P$708=0),"",$L$711-1),IF($R$17="Distrato",$E735,0)),MIN(AP$38,$D$19),$P$20))-SUM($P735:AO735)</f>
        <v>#VALUE!</v>
      </c>
      <c r="AQ735" s="446" t="e">
        <f>IF(OR($B735="",MIN(AQ$38,$D$19)&lt;MAX($P$708*($B735+IF($R$17="Distrato",$I$38-1,0)),IF(AND($L$711=0,$P$708=0),"",$L$711-1),IF($R$17="Distrato",$E735,0))),0,YEARFRAC(MAX($P$708*($B735+IF($R$17="Distrato",$I$38-1,0)),IF(AND($L$711=0,$P$708=0),"",$L$711-1),IF($R$17="Distrato",$E735,0)),MIN(AQ$38,$D$19),$P$20))-SUM($P735:AP735)</f>
        <v>#VALUE!</v>
      </c>
      <c r="AR735" s="446" t="e">
        <f>IF(OR($B735="",MIN(AR$38,$D$19)&lt;MAX($P$708*($B735+IF($R$17="Distrato",$I$38-1,0)),IF(AND($L$711=0,$P$708=0),"",$L$711-1),IF($R$17="Distrato",$E735,0))),0,YEARFRAC(MAX($P$708*($B735+IF($R$17="Distrato",$I$38-1,0)),IF(AND($L$711=0,$P$708=0),"",$L$711-1),IF($R$17="Distrato",$E735,0)),MIN(AR$38,$D$19),$P$20))-SUM($P735:AQ735)</f>
        <v>#VALUE!</v>
      </c>
      <c r="AS735" s="446" t="e">
        <f>IF(OR($B735="",MIN(AS$38,$D$19)&lt;MAX($P$708*($B735+IF($R$17="Distrato",$I$38-1,0)),IF(AND($L$711=0,$P$708=0),"",$L$711-1),IF($R$17="Distrato",$E735,0))),0,YEARFRAC(MAX($P$708*($B735+IF($R$17="Distrato",$I$38-1,0)),IF(AND($L$711=0,$P$708=0),"",$L$711-1),IF($R$17="Distrato",$E735,0)),MIN(AS$38,$D$19),$P$20))-SUM($P735:AR735)</f>
        <v>#VALUE!</v>
      </c>
      <c r="AT735" s="446" t="e">
        <f>IF(OR($B735="",MIN(AT$38,$D$19)&lt;MAX($P$708*($B735+IF($R$17="Distrato",$I$38-1,0)),IF(AND($L$711=0,$P$708=0),"",$L$711-1),IF($R$17="Distrato",$E735,0))),0,YEARFRAC(MAX($P$708*($B735+IF($R$17="Distrato",$I$38-1,0)),IF(AND($L$711=0,$P$708=0),"",$L$711-1),IF($R$17="Distrato",$E735,0)),MIN(AT$38,$D$19),$P$20))-SUM($P735:AS735)</f>
        <v>#VALUE!</v>
      </c>
      <c r="AU735" s="446" t="e">
        <f>IF(OR($B735="",MIN(AU$38,$D$19)&lt;MAX($P$708*($B735+IF($R$17="Distrato",$I$38-1,0)),IF(AND($L$711=0,$P$708=0),"",$L$711-1),IF($R$17="Distrato",$E735,0))),0,YEARFRAC(MAX($P$708*($B735+IF($R$17="Distrato",$I$38-1,0)),IF(AND($L$711=0,$P$708=0),"",$L$711-1),IF($R$17="Distrato",$E735,0)),MIN(AU$38,$D$19),$P$20))-SUM($P735:AT735)</f>
        <v>#VALUE!</v>
      </c>
      <c r="AV735" s="446" t="e">
        <f>IF(OR($B735="",MIN(AV$38,$D$19)&lt;MAX($P$708*($B735+IF($R$17="Distrato",$I$38-1,0)),IF(AND($L$711=0,$P$708=0),"",$L$711-1),IF($R$17="Distrato",$E735,0))),0,YEARFRAC(MAX($P$708*($B735+IF($R$17="Distrato",$I$38-1,0)),IF(AND($L$711=0,$P$708=0),"",$L$711-1),IF($R$17="Distrato",$E735,0)),MIN(AV$38,$D$19),$P$20))-SUM($P735:AU735)</f>
        <v>#VALUE!</v>
      </c>
      <c r="AW735" s="446" t="e">
        <f>IF(OR($B735="",MIN(AW$38,$D$19)&lt;MAX($P$708*($B735+IF($R$17="Distrato",$I$38-1,0)),IF(AND($L$711=0,$P$708=0),"",$L$711-1),IF($R$17="Distrato",$E735,0))),0,YEARFRAC(MAX($P$708*($B735+IF($R$17="Distrato",$I$38-1,0)),IF(AND($L$711=0,$P$708=0),"",$L$711-1),IF($R$17="Distrato",$E735,0)),MIN(AW$38,$D$19),$P$20))-SUM($P735:AV735)</f>
        <v>#VALUE!</v>
      </c>
      <c r="AX735" s="446" t="e">
        <f>IF(OR($B735="",MIN(AX$38,$D$19)&lt;MAX($P$708*($B735+IF($R$17="Distrato",$I$38-1,0)),IF(AND($L$711=0,$P$708=0),"",$L$711-1),IF($R$17="Distrato",$E735,0))),0,YEARFRAC(MAX($P$708*($B735+IF($R$17="Distrato",$I$38-1,0)),IF(AND($L$711=0,$P$708=0),"",$L$711-1),IF($R$17="Distrato",$E735,0)),MIN(AX$38,$D$19),$P$20))-SUM($P735:AW735)</f>
        <v>#VALUE!</v>
      </c>
      <c r="AY735" s="446" t="e">
        <f>IF(OR($B735="",MIN(AY$38,$D$19)&lt;MAX($P$708*($B735+IF($R$17="Distrato",$I$38-1,0)),IF(AND($L$711=0,$P$708=0),"",$L$711-1),IF($R$17="Distrato",$E735,0))),0,YEARFRAC(MAX($P$708*($B735+IF($R$17="Distrato",$I$38-1,0)),IF(AND($L$711=0,$P$708=0),"",$L$711-1),IF($R$17="Distrato",$E735,0)),MIN(AY$38,$D$19),$P$20))-SUM($P735:AX735)</f>
        <v>#VALUE!</v>
      </c>
      <c r="AZ735" s="446" t="e">
        <f>IF(OR($B735="",MIN(AZ$38,$D$19)&lt;MAX($P$708*($B735+IF($R$17="Distrato",$I$38-1,0)),IF(AND($L$711=0,$P$708=0),"",$L$711-1),IF($R$17="Distrato",$E735,0))),0,YEARFRAC(MAX($P$708*($B735+IF($R$17="Distrato",$I$38-1,0)),IF(AND($L$711=0,$P$708=0),"",$L$711-1),IF($R$17="Distrato",$E735,0)),MIN(AZ$38,$D$19),$P$20))-SUM($P735:AY735)</f>
        <v>#VALUE!</v>
      </c>
      <c r="BA735" s="446" t="e">
        <f>IF(OR($B735="",MIN(BA$38,$D$19)&lt;MAX($P$708*($B735+IF($R$17="Distrato",$I$38-1,0)),IF(AND($L$711=0,$P$708=0),"",$L$711-1),IF($R$17="Distrato",$E735,0))),0,YEARFRAC(MAX($P$708*($B735+IF($R$17="Distrato",$I$38-1,0)),IF(AND($L$711=0,$P$708=0),"",$L$711-1),IF($R$17="Distrato",$E735,0)),MIN(BA$38,$D$19),$P$20))-SUM($P735:AZ735)</f>
        <v>#VALUE!</v>
      </c>
      <c r="BB735" s="447"/>
    </row>
    <row r="736" spans="1:54" s="446" customFormat="1" ht="11.25" hidden="1" customHeight="1" x14ac:dyDescent="0.2">
      <c r="A736" s="235"/>
      <c r="B736" s="236"/>
      <c r="C736" s="29" t="str">
        <f>IF(B736="","",IF($L$709=$BL$25,VLOOKUP(DATE(YEAR($D$19),MONTH($D$19)-1,1),ÍNDICES!$A:$DE,HLOOKUP($BL$25,ÍNDICES!$B$3:$T$4,2)+11)-VLOOKUP(B736,ÍNDICES!$A:$DE,HLOOKUP($BL$25,ÍNDICES!$B$3:$T$4,2)+11)+1%,IF(C$712=$W$26,$J$35,IF(ISERROR(IF(B736&gt;$D$19,1,VLOOKUP(DATE(YEAR(B736),MONTH(B736)+IF($C$709=$S$23,1,0),1),ÍNDICES!$A:$DE,$Z$709+1))),"",IF(B736&gt;$D$19,1,VLOOKUP(DATE(YEAR(B736),MONTH(B736)+IF($C$709=$S$23,1,0),1),ÍNDICES!$A:$DE,$Z$709+1))))))</f>
        <v/>
      </c>
      <c r="D736" s="155"/>
      <c r="E736" s="88"/>
      <c r="F736" s="88"/>
      <c r="G736" s="88"/>
      <c r="H736" s="118"/>
      <c r="I736" s="182">
        <f t="shared" si="115"/>
        <v>0</v>
      </c>
      <c r="J736" s="20">
        <f t="shared" ca="1" si="116"/>
        <v>0</v>
      </c>
      <c r="K736" s="5">
        <f t="shared" ca="1" si="117"/>
        <v>0</v>
      </c>
      <c r="L736" s="61">
        <f t="shared" ca="1" si="118"/>
        <v>0</v>
      </c>
      <c r="M736" s="64">
        <f t="shared" si="119"/>
        <v>0</v>
      </c>
      <c r="N736" s="151"/>
      <c r="O736" s="5">
        <f t="shared" ca="1" si="120"/>
        <v>0</v>
      </c>
      <c r="P736" s="446" t="e">
        <f t="shared" si="121"/>
        <v>#VALUE!</v>
      </c>
      <c r="Q736" s="446" t="e">
        <f>IF(OR($B736="",MIN(Q$38,$D$19)&lt;MAX($P$708*($B736+IF($R$17="Distrato",$I$38-1,0)),IF(AND($L$711=0,$P$708=0),"",$L$711-1),IF($R$17="Distrato",$E736,0))),0,YEARFRAC(MAX($P$708*($B736+IF($R$17="Distrato",$I$38-1,0)),IF(AND($L$711=0,$P$708=0),"",$L$711-1),IF($R$17="Distrato",$E736,0)),MIN(Q$38,$D$19),$P$20))-SUM($P736:P736)</f>
        <v>#VALUE!</v>
      </c>
      <c r="R736" s="446" t="e">
        <f>IF(OR($B736="",MIN(R$38,$D$19)&lt;MAX($P$708*($B736+IF($R$17="Distrato",$I$38-1,0)),IF(AND($L$711=0,$P$708=0),"",$L$711-1),IF($R$17="Distrato",$E736,0))),0,YEARFRAC(MAX($P$708*($B736+IF($R$17="Distrato",$I$38-1,0)),IF(AND($L$711=0,$P$708=0),"",$L$711-1),IF($R$17="Distrato",$E736,0)),MIN(R$38,$D$19),$P$20))-SUM($P736:Q736)</f>
        <v>#VALUE!</v>
      </c>
      <c r="S736" s="446" t="e">
        <f>IF(OR($B736="",MIN(S$38,$D$19)&lt;MAX($P$708*($B736+IF($R$17="Distrato",$I$38-1,0)),IF(AND($L$711=0,$P$708=0),"",$L$711-1),IF($R$17="Distrato",$E736,0))),0,YEARFRAC(MAX($P$708*($B736+IF($R$17="Distrato",$I$38-1,0)),IF(AND($L$711=0,$P$708=0),"",$L$711-1),IF($R$17="Distrato",$E736,0)),MIN(S$38,$D$19),$P$20))-SUM($P736:R736)</f>
        <v>#VALUE!</v>
      </c>
      <c r="T736" s="446" t="e">
        <f>IF(OR($B736="",MIN(T$38,$D$19)&lt;MAX($P$708*($B736+IF($R$17="Distrato",$I$38-1,0)),IF(AND($L$711=0,$P$708=0),"",$L$711-1),IF($R$17="Distrato",$E736,0))),0,YEARFRAC(MAX($P$708*($B736+IF($R$17="Distrato",$I$38-1,0)),IF(AND($L$711=0,$P$708=0),"",$L$711-1),IF($R$17="Distrato",$E736,0)),MIN(T$38,$D$19),$P$20))-SUM($P736:S736)</f>
        <v>#VALUE!</v>
      </c>
      <c r="U736" s="446" t="e">
        <f>IF(OR($B736="",MIN(U$38,$D$19)&lt;MAX($P$708*($B736+IF($R$17="Distrato",$I$38-1,0)),IF(AND($L$711=0,$P$708=0),"",$L$711-1),IF($R$17="Distrato",$E736,0))),0,YEARFRAC(MAX($P$708*($B736+IF($R$17="Distrato",$I$38-1,0)),IF(AND($L$711=0,$P$708=0),"",$L$711-1),IF($R$17="Distrato",$E736,0)),MIN(U$38,$D$19),$P$20))-SUM($P736:T736)</f>
        <v>#VALUE!</v>
      </c>
      <c r="V736" s="446" t="e">
        <f>IF(OR($B736="",MIN(V$38,$D$19)&lt;MAX($P$708*($B736+IF($R$17="Distrato",$I$38-1,0)),IF(AND($L$711=0,$P$708=0),"",$L$711-1),IF($R$17="Distrato",$E736,0))),0,YEARFRAC(MAX($P$708*($B736+IF($R$17="Distrato",$I$38-1,0)),IF(AND($L$711=0,$P$708=0),"",$L$711-1),IF($R$17="Distrato",$E736,0)),MIN(V$38,$D$19),$P$20))-SUM($P736:U736)</f>
        <v>#VALUE!</v>
      </c>
      <c r="W736" s="446" t="e">
        <f>IF(OR($B736="",MIN(W$38,$D$19)&lt;MAX($P$708*($B736+IF($R$17="Distrato",$I$38-1,0)),IF(AND($L$711=0,$P$708=0),"",$L$711-1),IF($R$17="Distrato",$E736,0))),0,YEARFRAC(MAX($P$708*($B736+IF($R$17="Distrato",$I$38-1,0)),IF(AND($L$711=0,$P$708=0),"",$L$711-1),IF($R$17="Distrato",$E736,0)),MIN(W$38,$D$19),$P$20))-SUM($P736:V736)</f>
        <v>#VALUE!</v>
      </c>
      <c r="X736" s="446" t="e">
        <f>IF(OR($B736="",MIN(X$38,$D$19)&lt;MAX($P$708*($B736+IF($R$17="Distrato",$I$38-1,0)),IF(AND($L$711=0,$P$708=0),"",$L$711-1),IF($R$17="Distrato",$E736,0))),0,YEARFRAC(MAX($P$708*($B736+IF($R$17="Distrato",$I$38-1,0)),IF(AND($L$711=0,$P$708=0),"",$L$711-1),IF($R$17="Distrato",$E736,0)),MIN(X$38,$D$19),$P$20))-SUM($P736:W736)</f>
        <v>#VALUE!</v>
      </c>
      <c r="Y736" s="446" t="e">
        <f>IF(OR($B736="",MIN(Y$38,$D$19)&lt;MAX($P$708*($B736+IF($R$17="Distrato",$I$38-1,0)),IF(AND($L$711=0,$P$708=0),"",$L$711-1),IF($R$17="Distrato",$E736,0))),0,YEARFRAC(MAX($P$708*($B736+IF($R$17="Distrato",$I$38-1,0)),IF(AND($L$711=0,$P$708=0),"",$L$711-1),IF($R$17="Distrato",$E736,0)),MIN(Y$38,$D$19),$P$20))-SUM($P736:X736)</f>
        <v>#VALUE!</v>
      </c>
      <c r="Z736" s="446" t="e">
        <f>IF(OR($B736="",MIN(Z$38,$D$19)&lt;MAX($P$708*($B736+IF($R$17="Distrato",$I$38-1,0)),IF(AND($L$711=0,$P$708=0),"",$L$711-1),IF($R$17="Distrato",$E736,0))),0,YEARFRAC(MAX($P$708*($B736+IF($R$17="Distrato",$I$38-1,0)),IF(AND($L$711=0,$P$708=0),"",$L$711-1),IF($R$17="Distrato",$E736,0)),MIN(Z$38,$D$19),$P$20))-SUM($P736:Y736)</f>
        <v>#VALUE!</v>
      </c>
      <c r="AA736" s="446" t="e">
        <f>IF(OR($B736="",MIN(AA$38,$D$19)&lt;MAX($P$708*($B736+IF($R$17="Distrato",$I$38-1,0)),IF(AND($L$711=0,$P$708=0),"",$L$711-1),IF($R$17="Distrato",$E736,0))),0,YEARFRAC(MAX($P$708*($B736+IF($R$17="Distrato",$I$38-1,0)),IF(AND($L$711=0,$P$708=0),"",$L$711-1),IF($R$17="Distrato",$E736,0)),MIN(AA$38,$D$19),$P$20))-SUM($P736:Z736)</f>
        <v>#VALUE!</v>
      </c>
      <c r="AB736" s="446" t="e">
        <f>IF(OR($B736="",MIN(AB$38,$D$19)&lt;MAX($P$708*($B736+IF($R$17="Distrato",$I$38-1,0)),IF(AND($L$711=0,$P$708=0),"",$L$711-1),IF($R$17="Distrato",$E736,0))),0,YEARFRAC(MAX($P$708*($B736+IF($R$17="Distrato",$I$38-1,0)),IF(AND($L$711=0,$P$708=0),"",$L$711-1),IF($R$17="Distrato",$E736,0)),MIN(AB$38,$D$19),$P$20))-SUM($P736:AA736)</f>
        <v>#VALUE!</v>
      </c>
      <c r="AC736" s="446" t="e">
        <f>IF(OR($B736="",MIN(AC$38,$D$19)&lt;MAX($P$708*($B736+IF($R$17="Distrato",$I$38-1,0)),IF(AND($L$711=0,$P$708=0),"",$L$711-1),IF($R$17="Distrato",$E736,0))),0,YEARFRAC(MAX($P$708*($B736+IF($R$17="Distrato",$I$38-1,0)),IF(AND($L$711=0,$P$708=0),"",$L$711-1),IF($R$17="Distrato",$E736,0)),MIN(AC$38,$D$19),$P$20))-SUM($P736:AB736)</f>
        <v>#VALUE!</v>
      </c>
      <c r="AD736" s="446" t="e">
        <f>IF(OR($B736="",MIN(AD$38,$D$19)&lt;MAX($P$708*($B736+IF($R$17="Distrato",$I$38-1,0)),IF(AND($L$711=0,$P$708=0),"",$L$711-1),IF($R$17="Distrato",$E736,0))),0,YEARFRAC(MAX($P$708*($B736+IF($R$17="Distrato",$I$38-1,0)),IF(AND($L$711=0,$P$708=0),"",$L$711-1),IF($R$17="Distrato",$E736,0)),MIN(AD$38,$D$19),$P$20))-SUM($P736:AC736)</f>
        <v>#VALUE!</v>
      </c>
      <c r="AE736" s="446" t="e">
        <f>IF(OR($B736="",MIN(AE$38,$D$19)&lt;MAX($P$708*($B736+IF($R$17="Distrato",$I$38-1,0)),IF(AND($L$711=0,$P$708=0),"",$L$711-1),IF($R$17="Distrato",$E736,0))),0,YEARFRAC(MAX($P$708*($B736+IF($R$17="Distrato",$I$38-1,0)),IF(AND($L$711=0,$P$708=0),"",$L$711-1),IF($R$17="Distrato",$E736,0)),MIN(AE$38,$D$19),$P$20))-SUM($P736:AD736)</f>
        <v>#VALUE!</v>
      </c>
      <c r="AF736" s="446" t="e">
        <f>IF(OR($B736="",MIN(AF$38,$D$19)&lt;MAX($P$708*($B736+IF($R$17="Distrato",$I$38-1,0)),IF(AND($L$711=0,$P$708=0),"",$L$711-1),IF($R$17="Distrato",$E736,0))),0,YEARFRAC(MAX($P$708*($B736+IF($R$17="Distrato",$I$38-1,0)),IF(AND($L$711=0,$P$708=0),"",$L$711-1),IF($R$17="Distrato",$E736,0)),MIN(AF$38,$D$19),$P$20))-SUM($P736:AE736)</f>
        <v>#VALUE!</v>
      </c>
      <c r="AG736" s="446" t="e">
        <f>IF(OR($B736="",MIN(AG$38,$D$19)&lt;MAX($P$708*($B736+IF($R$17="Distrato",$I$38-1,0)),IF(AND($L$711=0,$P$708=0),"",$L$711-1),IF($R$17="Distrato",$E736,0))),0,YEARFRAC(MAX($P$708*($B736+IF($R$17="Distrato",$I$38-1,0)),IF(AND($L$711=0,$P$708=0),"",$L$711-1),IF($R$17="Distrato",$E736,0)),MIN(AG$38,$D$19),$P$20))-SUM($P736:AF736)</f>
        <v>#VALUE!</v>
      </c>
      <c r="AH736" s="446" t="e">
        <f>IF(OR($B736="",MIN(AH$38,$D$19)&lt;MAX($P$708*($B736+IF($R$17="Distrato",$I$38-1,0)),IF(AND($L$711=0,$P$708=0),"",$L$711-1),IF($R$17="Distrato",$E736,0))),0,YEARFRAC(MAX($P$708*($B736+IF($R$17="Distrato",$I$38-1,0)),IF(AND($L$711=0,$P$708=0),"",$L$711-1),IF($R$17="Distrato",$E736,0)),MIN(AH$38,$D$19),$P$20))-SUM($P736:AG736)</f>
        <v>#VALUE!</v>
      </c>
      <c r="AI736" s="446" t="e">
        <f>IF(OR($B736="",MIN(AI$38,$D$19)&lt;MAX($P$708*($B736+IF($R$17="Distrato",$I$38-1,0)),IF(AND($L$711=0,$P$708=0),"",$L$711-1),IF($R$17="Distrato",$E736,0))),0,YEARFRAC(MAX($P$708*($B736+IF($R$17="Distrato",$I$38-1,0)),IF(AND($L$711=0,$P$708=0),"",$L$711-1),IF($R$17="Distrato",$E736,0)),MIN(AI$38,$D$19),$P$20))-SUM($P736:AH736)</f>
        <v>#VALUE!</v>
      </c>
      <c r="AJ736" s="446" t="e">
        <f>IF(OR($B736="",MIN(AJ$38,$D$19)&lt;MAX($P$708*($B736+IF($R$17="Distrato",$I$38-1,0)),IF(AND($L$711=0,$P$708=0),"",$L$711-1),IF($R$17="Distrato",$E736,0))),0,YEARFRAC(MAX($P$708*($B736+IF($R$17="Distrato",$I$38-1,0)),IF(AND($L$711=0,$P$708=0),"",$L$711-1),IF($R$17="Distrato",$E736,0)),MIN(AJ$38,$D$19),$P$20))-SUM($P736:AI736)</f>
        <v>#VALUE!</v>
      </c>
      <c r="AK736" s="446" t="e">
        <f>IF(OR($B736="",MIN(AK$38,$D$19)&lt;MAX($P$708*($B736+IF($R$17="Distrato",$I$38-1,0)),IF(AND($L$711=0,$P$708=0),"",$L$711-1),IF($R$17="Distrato",$E736,0))),0,YEARFRAC(MAX($P$708*($B736+IF($R$17="Distrato",$I$38-1,0)),IF(AND($L$711=0,$P$708=0),"",$L$711-1),IF($R$17="Distrato",$E736,0)),MIN(AK$38,$D$19),$P$20))-SUM($P736:AJ736)</f>
        <v>#VALUE!</v>
      </c>
      <c r="AL736" s="446" t="e">
        <f>IF(OR($B736="",MIN(AL$38,$D$19)&lt;MAX($P$708*($B736+IF($R$17="Distrato",$I$38-1,0)),IF(AND($L$711=0,$P$708=0),"",$L$711-1),IF($R$17="Distrato",$E736,0))),0,YEARFRAC(MAX($P$708*($B736+IF($R$17="Distrato",$I$38-1,0)),IF(AND($L$711=0,$P$708=0),"",$L$711-1),IF($R$17="Distrato",$E736,0)),MIN(AL$38,$D$19),$P$20))-SUM($P736:AK736)</f>
        <v>#VALUE!</v>
      </c>
      <c r="AM736" s="446" t="e">
        <f>IF(OR($B736="",MIN(AM$38,$D$19)&lt;MAX($P$708*($B736+IF($R$17="Distrato",$I$38-1,0)),IF(AND($L$711=0,$P$708=0),"",$L$711-1),IF($R$17="Distrato",$E736,0))),0,YEARFRAC(MAX($P$708*($B736+IF($R$17="Distrato",$I$38-1,0)),IF(AND($L$711=0,$P$708=0),"",$L$711-1),IF($R$17="Distrato",$E736,0)),MIN(AM$38,$D$19),$P$20))-SUM($P736:AL736)</f>
        <v>#VALUE!</v>
      </c>
      <c r="AN736" s="446" t="e">
        <f>IF(OR($B736="",MIN(AN$38,$D$19)&lt;MAX($P$708*($B736+IF($R$17="Distrato",$I$38-1,0)),IF(AND($L$711=0,$P$708=0),"",$L$711-1),IF($R$17="Distrato",$E736,0))),0,YEARFRAC(MAX($P$708*($B736+IF($R$17="Distrato",$I$38-1,0)),IF(AND($L$711=0,$P$708=0),"",$L$711-1),IF($R$17="Distrato",$E736,0)),MIN(AN$38,$D$19),$P$20))-SUM($P736:AM736)</f>
        <v>#VALUE!</v>
      </c>
      <c r="AO736" s="446" t="e">
        <f>IF(OR($B736="",MIN(AO$38,$D$19)&lt;MAX($P$708*($B736+IF($R$17="Distrato",$I$38-1,0)),IF(AND($L$711=0,$P$708=0),"",$L$711-1),IF($R$17="Distrato",$E736,0))),0,YEARFRAC(MAX($P$708*($B736+IF($R$17="Distrato",$I$38-1,0)),IF(AND($L$711=0,$P$708=0),"",$L$711-1),IF($R$17="Distrato",$E736,0)),MIN(AO$38,$D$19),$P$20))-SUM($P736:AN736)</f>
        <v>#VALUE!</v>
      </c>
      <c r="AP736" s="446" t="e">
        <f>IF(OR($B736="",MIN(AP$38,$D$19)&lt;MAX($P$708*($B736+IF($R$17="Distrato",$I$38-1,0)),IF(AND($L$711=0,$P$708=0),"",$L$711-1),IF($R$17="Distrato",$E736,0))),0,YEARFRAC(MAX($P$708*($B736+IF($R$17="Distrato",$I$38-1,0)),IF(AND($L$711=0,$P$708=0),"",$L$711-1),IF($R$17="Distrato",$E736,0)),MIN(AP$38,$D$19),$P$20))-SUM($P736:AO736)</f>
        <v>#VALUE!</v>
      </c>
      <c r="AQ736" s="446" t="e">
        <f>IF(OR($B736="",MIN(AQ$38,$D$19)&lt;MAX($P$708*($B736+IF($R$17="Distrato",$I$38-1,0)),IF(AND($L$711=0,$P$708=0),"",$L$711-1),IF($R$17="Distrato",$E736,0))),0,YEARFRAC(MAX($P$708*($B736+IF($R$17="Distrato",$I$38-1,0)),IF(AND($L$711=0,$P$708=0),"",$L$711-1),IF($R$17="Distrato",$E736,0)),MIN(AQ$38,$D$19),$P$20))-SUM($P736:AP736)</f>
        <v>#VALUE!</v>
      </c>
      <c r="AR736" s="446" t="e">
        <f>IF(OR($B736="",MIN(AR$38,$D$19)&lt;MAX($P$708*($B736+IF($R$17="Distrato",$I$38-1,0)),IF(AND($L$711=0,$P$708=0),"",$L$711-1),IF($R$17="Distrato",$E736,0))),0,YEARFRAC(MAX($P$708*($B736+IF($R$17="Distrato",$I$38-1,0)),IF(AND($L$711=0,$P$708=0),"",$L$711-1),IF($R$17="Distrato",$E736,0)),MIN(AR$38,$D$19),$P$20))-SUM($P736:AQ736)</f>
        <v>#VALUE!</v>
      </c>
      <c r="AS736" s="446" t="e">
        <f>IF(OR($B736="",MIN(AS$38,$D$19)&lt;MAX($P$708*($B736+IF($R$17="Distrato",$I$38-1,0)),IF(AND($L$711=0,$P$708=0),"",$L$711-1),IF($R$17="Distrato",$E736,0))),0,YEARFRAC(MAX($P$708*($B736+IF($R$17="Distrato",$I$38-1,0)),IF(AND($L$711=0,$P$708=0),"",$L$711-1),IF($R$17="Distrato",$E736,0)),MIN(AS$38,$D$19),$P$20))-SUM($P736:AR736)</f>
        <v>#VALUE!</v>
      </c>
      <c r="AT736" s="446" t="e">
        <f>IF(OR($B736="",MIN(AT$38,$D$19)&lt;MAX($P$708*($B736+IF($R$17="Distrato",$I$38-1,0)),IF(AND($L$711=0,$P$708=0),"",$L$711-1),IF($R$17="Distrato",$E736,0))),0,YEARFRAC(MAX($P$708*($B736+IF($R$17="Distrato",$I$38-1,0)),IF(AND($L$711=0,$P$708=0),"",$L$711-1),IF($R$17="Distrato",$E736,0)),MIN(AT$38,$D$19),$P$20))-SUM($P736:AS736)</f>
        <v>#VALUE!</v>
      </c>
      <c r="AU736" s="446" t="e">
        <f>IF(OR($B736="",MIN(AU$38,$D$19)&lt;MAX($P$708*($B736+IF($R$17="Distrato",$I$38-1,0)),IF(AND($L$711=0,$P$708=0),"",$L$711-1),IF($R$17="Distrato",$E736,0))),0,YEARFRAC(MAX($P$708*($B736+IF($R$17="Distrato",$I$38-1,0)),IF(AND($L$711=0,$P$708=0),"",$L$711-1),IF($R$17="Distrato",$E736,0)),MIN(AU$38,$D$19),$P$20))-SUM($P736:AT736)</f>
        <v>#VALUE!</v>
      </c>
      <c r="AV736" s="446" t="e">
        <f>IF(OR($B736="",MIN(AV$38,$D$19)&lt;MAX($P$708*($B736+IF($R$17="Distrato",$I$38-1,0)),IF(AND($L$711=0,$P$708=0),"",$L$711-1),IF($R$17="Distrato",$E736,0))),0,YEARFRAC(MAX($P$708*($B736+IF($R$17="Distrato",$I$38-1,0)),IF(AND($L$711=0,$P$708=0),"",$L$711-1),IF($R$17="Distrato",$E736,0)),MIN(AV$38,$D$19),$P$20))-SUM($P736:AU736)</f>
        <v>#VALUE!</v>
      </c>
      <c r="AW736" s="446" t="e">
        <f>IF(OR($B736="",MIN(AW$38,$D$19)&lt;MAX($P$708*($B736+IF($R$17="Distrato",$I$38-1,0)),IF(AND($L$711=0,$P$708=0),"",$L$711-1),IF($R$17="Distrato",$E736,0))),0,YEARFRAC(MAX($P$708*($B736+IF($R$17="Distrato",$I$38-1,0)),IF(AND($L$711=0,$P$708=0),"",$L$711-1),IF($R$17="Distrato",$E736,0)),MIN(AW$38,$D$19),$P$20))-SUM($P736:AV736)</f>
        <v>#VALUE!</v>
      </c>
      <c r="AX736" s="446" t="e">
        <f>IF(OR($B736="",MIN(AX$38,$D$19)&lt;MAX($P$708*($B736+IF($R$17="Distrato",$I$38-1,0)),IF(AND($L$711=0,$P$708=0),"",$L$711-1),IF($R$17="Distrato",$E736,0))),0,YEARFRAC(MAX($P$708*($B736+IF($R$17="Distrato",$I$38-1,0)),IF(AND($L$711=0,$P$708=0),"",$L$711-1),IF($R$17="Distrato",$E736,0)),MIN(AX$38,$D$19),$P$20))-SUM($P736:AW736)</f>
        <v>#VALUE!</v>
      </c>
      <c r="AY736" s="446" t="e">
        <f>IF(OR($B736="",MIN(AY$38,$D$19)&lt;MAX($P$708*($B736+IF($R$17="Distrato",$I$38-1,0)),IF(AND($L$711=0,$P$708=0),"",$L$711-1),IF($R$17="Distrato",$E736,0))),0,YEARFRAC(MAX($P$708*($B736+IF($R$17="Distrato",$I$38-1,0)),IF(AND($L$711=0,$P$708=0),"",$L$711-1),IF($R$17="Distrato",$E736,0)),MIN(AY$38,$D$19),$P$20))-SUM($P736:AX736)</f>
        <v>#VALUE!</v>
      </c>
      <c r="AZ736" s="446" t="e">
        <f>IF(OR($B736="",MIN(AZ$38,$D$19)&lt;MAX($P$708*($B736+IF($R$17="Distrato",$I$38-1,0)),IF(AND($L$711=0,$P$708=0),"",$L$711-1),IF($R$17="Distrato",$E736,0))),0,YEARFRAC(MAX($P$708*($B736+IF($R$17="Distrato",$I$38-1,0)),IF(AND($L$711=0,$P$708=0),"",$L$711-1),IF($R$17="Distrato",$E736,0)),MIN(AZ$38,$D$19),$P$20))-SUM($P736:AY736)</f>
        <v>#VALUE!</v>
      </c>
      <c r="BA736" s="446" t="e">
        <f>IF(OR($B736="",MIN(BA$38,$D$19)&lt;MAX($P$708*($B736+IF($R$17="Distrato",$I$38-1,0)),IF(AND($L$711=0,$P$708=0),"",$L$711-1),IF($R$17="Distrato",$E736,0))),0,YEARFRAC(MAX($P$708*($B736+IF($R$17="Distrato",$I$38-1,0)),IF(AND($L$711=0,$P$708=0),"",$L$711-1),IF($R$17="Distrato",$E736,0)),MIN(BA$38,$D$19),$P$20))-SUM($P736:AZ736)</f>
        <v>#VALUE!</v>
      </c>
      <c r="BB736" s="447"/>
    </row>
    <row r="737" spans="1:54" s="446" customFormat="1" ht="11.25" hidden="1" customHeight="1" x14ac:dyDescent="0.2">
      <c r="A737" s="235"/>
      <c r="B737" s="236"/>
      <c r="C737" s="29" t="str">
        <f>IF(B737="","",IF($L$709=$BL$25,VLOOKUP(DATE(YEAR($D$19),MONTH($D$19)-1,1),ÍNDICES!$A:$DE,HLOOKUP($BL$25,ÍNDICES!$B$3:$T$4,2)+11)-VLOOKUP(B737,ÍNDICES!$A:$DE,HLOOKUP($BL$25,ÍNDICES!$B$3:$T$4,2)+11)+1%,IF(C$712=$W$26,$J$35,IF(ISERROR(IF(B737&gt;$D$19,1,VLOOKUP(DATE(YEAR(B737),MONTH(B737)+IF($C$709=$S$23,1,0),1),ÍNDICES!$A:$DE,$Z$709+1))),"",IF(B737&gt;$D$19,1,VLOOKUP(DATE(YEAR(B737),MONTH(B737)+IF($C$709=$S$23,1,0),1),ÍNDICES!$A:$DE,$Z$709+1))))))</f>
        <v/>
      </c>
      <c r="D737" s="155"/>
      <c r="E737" s="88"/>
      <c r="F737" s="88"/>
      <c r="G737" s="88"/>
      <c r="H737" s="118"/>
      <c r="I737" s="182">
        <f t="shared" si="115"/>
        <v>0</v>
      </c>
      <c r="J737" s="20">
        <f t="shared" ca="1" si="116"/>
        <v>0</v>
      </c>
      <c r="K737" s="5">
        <f t="shared" ca="1" si="117"/>
        <v>0</v>
      </c>
      <c r="L737" s="61">
        <f t="shared" ca="1" si="118"/>
        <v>0</v>
      </c>
      <c r="M737" s="64">
        <f t="shared" si="119"/>
        <v>0</v>
      </c>
      <c r="N737" s="151"/>
      <c r="O737" s="5">
        <f t="shared" ca="1" si="120"/>
        <v>0</v>
      </c>
      <c r="P737" s="446" t="e">
        <f t="shared" si="121"/>
        <v>#VALUE!</v>
      </c>
      <c r="Q737" s="446" t="e">
        <f>IF(OR($B737="",MIN(Q$38,$D$19)&lt;MAX($P$708*($B737+IF($R$17="Distrato",$I$38-1,0)),IF(AND($L$711=0,$P$708=0),"",$L$711-1),IF($R$17="Distrato",$E737,0))),0,YEARFRAC(MAX($P$708*($B737+IF($R$17="Distrato",$I$38-1,0)),IF(AND($L$711=0,$P$708=0),"",$L$711-1),IF($R$17="Distrato",$E737,0)),MIN(Q$38,$D$19),$P$20))-SUM($P737:P737)</f>
        <v>#VALUE!</v>
      </c>
      <c r="R737" s="446" t="e">
        <f>IF(OR($B737="",MIN(R$38,$D$19)&lt;MAX($P$708*($B737+IF($R$17="Distrato",$I$38-1,0)),IF(AND($L$711=0,$P$708=0),"",$L$711-1),IF($R$17="Distrato",$E737,0))),0,YEARFRAC(MAX($P$708*($B737+IF($R$17="Distrato",$I$38-1,0)),IF(AND($L$711=0,$P$708=0),"",$L$711-1),IF($R$17="Distrato",$E737,0)),MIN(R$38,$D$19),$P$20))-SUM($P737:Q737)</f>
        <v>#VALUE!</v>
      </c>
      <c r="S737" s="446" t="e">
        <f>IF(OR($B737="",MIN(S$38,$D$19)&lt;MAX($P$708*($B737+IF($R$17="Distrato",$I$38-1,0)),IF(AND($L$711=0,$P$708=0),"",$L$711-1),IF($R$17="Distrato",$E737,0))),0,YEARFRAC(MAX($P$708*($B737+IF($R$17="Distrato",$I$38-1,0)),IF(AND($L$711=0,$P$708=0),"",$L$711-1),IF($R$17="Distrato",$E737,0)),MIN(S$38,$D$19),$P$20))-SUM($P737:R737)</f>
        <v>#VALUE!</v>
      </c>
      <c r="T737" s="446" t="e">
        <f>IF(OR($B737="",MIN(T$38,$D$19)&lt;MAX($P$708*($B737+IF($R$17="Distrato",$I$38-1,0)),IF(AND($L$711=0,$P$708=0),"",$L$711-1),IF($R$17="Distrato",$E737,0))),0,YEARFRAC(MAX($P$708*($B737+IF($R$17="Distrato",$I$38-1,0)),IF(AND($L$711=0,$P$708=0),"",$L$711-1),IF($R$17="Distrato",$E737,0)),MIN(T$38,$D$19),$P$20))-SUM($P737:S737)</f>
        <v>#VALUE!</v>
      </c>
      <c r="U737" s="446" t="e">
        <f>IF(OR($B737="",MIN(U$38,$D$19)&lt;MAX($P$708*($B737+IF($R$17="Distrato",$I$38-1,0)),IF(AND($L$711=0,$P$708=0),"",$L$711-1),IF($R$17="Distrato",$E737,0))),0,YEARFRAC(MAX($P$708*($B737+IF($R$17="Distrato",$I$38-1,0)),IF(AND($L$711=0,$P$708=0),"",$L$711-1),IF($R$17="Distrato",$E737,0)),MIN(U$38,$D$19),$P$20))-SUM($P737:T737)</f>
        <v>#VALUE!</v>
      </c>
      <c r="V737" s="446" t="e">
        <f>IF(OR($B737="",MIN(V$38,$D$19)&lt;MAX($P$708*($B737+IF($R$17="Distrato",$I$38-1,0)),IF(AND($L$711=0,$P$708=0),"",$L$711-1),IF($R$17="Distrato",$E737,0))),0,YEARFRAC(MAX($P$708*($B737+IF($R$17="Distrato",$I$38-1,0)),IF(AND($L$711=0,$P$708=0),"",$L$711-1),IF($R$17="Distrato",$E737,0)),MIN(V$38,$D$19),$P$20))-SUM($P737:U737)</f>
        <v>#VALUE!</v>
      </c>
      <c r="W737" s="446" t="e">
        <f>IF(OR($B737="",MIN(W$38,$D$19)&lt;MAX($P$708*($B737+IF($R$17="Distrato",$I$38-1,0)),IF(AND($L$711=0,$P$708=0),"",$L$711-1),IF($R$17="Distrato",$E737,0))),0,YEARFRAC(MAX($P$708*($B737+IF($R$17="Distrato",$I$38-1,0)),IF(AND($L$711=0,$P$708=0),"",$L$711-1),IF($R$17="Distrato",$E737,0)),MIN(W$38,$D$19),$P$20))-SUM($P737:V737)</f>
        <v>#VALUE!</v>
      </c>
      <c r="X737" s="446" t="e">
        <f>IF(OR($B737="",MIN(X$38,$D$19)&lt;MAX($P$708*($B737+IF($R$17="Distrato",$I$38-1,0)),IF(AND($L$711=0,$P$708=0),"",$L$711-1),IF($R$17="Distrato",$E737,0))),0,YEARFRAC(MAX($P$708*($B737+IF($R$17="Distrato",$I$38-1,0)),IF(AND($L$711=0,$P$708=0),"",$L$711-1),IF($R$17="Distrato",$E737,0)),MIN(X$38,$D$19),$P$20))-SUM($P737:W737)</f>
        <v>#VALUE!</v>
      </c>
      <c r="Y737" s="446" t="e">
        <f>IF(OR($B737="",MIN(Y$38,$D$19)&lt;MAX($P$708*($B737+IF($R$17="Distrato",$I$38-1,0)),IF(AND($L$711=0,$P$708=0),"",$L$711-1),IF($R$17="Distrato",$E737,0))),0,YEARFRAC(MAX($P$708*($B737+IF($R$17="Distrato",$I$38-1,0)),IF(AND($L$711=0,$P$708=0),"",$L$711-1),IF($R$17="Distrato",$E737,0)),MIN(Y$38,$D$19),$P$20))-SUM($P737:X737)</f>
        <v>#VALUE!</v>
      </c>
      <c r="Z737" s="446" t="e">
        <f>IF(OR($B737="",MIN(Z$38,$D$19)&lt;MAX($P$708*($B737+IF($R$17="Distrato",$I$38-1,0)),IF(AND($L$711=0,$P$708=0),"",$L$711-1),IF($R$17="Distrato",$E737,0))),0,YEARFRAC(MAX($P$708*($B737+IF($R$17="Distrato",$I$38-1,0)),IF(AND($L$711=0,$P$708=0),"",$L$711-1),IF($R$17="Distrato",$E737,0)),MIN(Z$38,$D$19),$P$20))-SUM($P737:Y737)</f>
        <v>#VALUE!</v>
      </c>
      <c r="AA737" s="446" t="e">
        <f>IF(OR($B737="",MIN(AA$38,$D$19)&lt;MAX($P$708*($B737+IF($R$17="Distrato",$I$38-1,0)),IF(AND($L$711=0,$P$708=0),"",$L$711-1),IF($R$17="Distrato",$E737,0))),0,YEARFRAC(MAX($P$708*($B737+IF($R$17="Distrato",$I$38-1,0)),IF(AND($L$711=0,$P$708=0),"",$L$711-1),IF($R$17="Distrato",$E737,0)),MIN(AA$38,$D$19),$P$20))-SUM($P737:Z737)</f>
        <v>#VALUE!</v>
      </c>
      <c r="AB737" s="446" t="e">
        <f>IF(OR($B737="",MIN(AB$38,$D$19)&lt;MAX($P$708*($B737+IF($R$17="Distrato",$I$38-1,0)),IF(AND($L$711=0,$P$708=0),"",$L$711-1),IF($R$17="Distrato",$E737,0))),0,YEARFRAC(MAX($P$708*($B737+IF($R$17="Distrato",$I$38-1,0)),IF(AND($L$711=0,$P$708=0),"",$L$711-1),IF($R$17="Distrato",$E737,0)),MIN(AB$38,$D$19),$P$20))-SUM($P737:AA737)</f>
        <v>#VALUE!</v>
      </c>
      <c r="AC737" s="446" t="e">
        <f>IF(OR($B737="",MIN(AC$38,$D$19)&lt;MAX($P$708*($B737+IF($R$17="Distrato",$I$38-1,0)),IF(AND($L$711=0,$P$708=0),"",$L$711-1),IF($R$17="Distrato",$E737,0))),0,YEARFRAC(MAX($P$708*($B737+IF($R$17="Distrato",$I$38-1,0)),IF(AND($L$711=0,$P$708=0),"",$L$711-1),IF($R$17="Distrato",$E737,0)),MIN(AC$38,$D$19),$P$20))-SUM($P737:AB737)</f>
        <v>#VALUE!</v>
      </c>
      <c r="AD737" s="446" t="e">
        <f>IF(OR($B737="",MIN(AD$38,$D$19)&lt;MAX($P$708*($B737+IF($R$17="Distrato",$I$38-1,0)),IF(AND($L$711=0,$P$708=0),"",$L$711-1),IF($R$17="Distrato",$E737,0))),0,YEARFRAC(MAX($P$708*($B737+IF($R$17="Distrato",$I$38-1,0)),IF(AND($L$711=0,$P$708=0),"",$L$711-1),IF($R$17="Distrato",$E737,0)),MIN(AD$38,$D$19),$P$20))-SUM($P737:AC737)</f>
        <v>#VALUE!</v>
      </c>
      <c r="AE737" s="446" t="e">
        <f>IF(OR($B737="",MIN(AE$38,$D$19)&lt;MAX($P$708*($B737+IF($R$17="Distrato",$I$38-1,0)),IF(AND($L$711=0,$P$708=0),"",$L$711-1),IF($R$17="Distrato",$E737,0))),0,YEARFRAC(MAX($P$708*($B737+IF($R$17="Distrato",$I$38-1,0)),IF(AND($L$711=0,$P$708=0),"",$L$711-1),IF($R$17="Distrato",$E737,0)),MIN(AE$38,$D$19),$P$20))-SUM($P737:AD737)</f>
        <v>#VALUE!</v>
      </c>
      <c r="AF737" s="446" t="e">
        <f>IF(OR($B737="",MIN(AF$38,$D$19)&lt;MAX($P$708*($B737+IF($R$17="Distrato",$I$38-1,0)),IF(AND($L$711=0,$P$708=0),"",$L$711-1),IF($R$17="Distrato",$E737,0))),0,YEARFRAC(MAX($P$708*($B737+IF($R$17="Distrato",$I$38-1,0)),IF(AND($L$711=0,$P$708=0),"",$L$711-1),IF($R$17="Distrato",$E737,0)),MIN(AF$38,$D$19),$P$20))-SUM($P737:AE737)</f>
        <v>#VALUE!</v>
      </c>
      <c r="AG737" s="446" t="e">
        <f>IF(OR($B737="",MIN(AG$38,$D$19)&lt;MAX($P$708*($B737+IF($R$17="Distrato",$I$38-1,0)),IF(AND($L$711=0,$P$708=0),"",$L$711-1),IF($R$17="Distrato",$E737,0))),0,YEARFRAC(MAX($P$708*($B737+IF($R$17="Distrato",$I$38-1,0)),IF(AND($L$711=0,$P$708=0),"",$L$711-1),IF($R$17="Distrato",$E737,0)),MIN(AG$38,$D$19),$P$20))-SUM($P737:AF737)</f>
        <v>#VALUE!</v>
      </c>
      <c r="AH737" s="446" t="e">
        <f>IF(OR($B737="",MIN(AH$38,$D$19)&lt;MAX($P$708*($B737+IF($R$17="Distrato",$I$38-1,0)),IF(AND($L$711=0,$P$708=0),"",$L$711-1),IF($R$17="Distrato",$E737,0))),0,YEARFRAC(MAX($P$708*($B737+IF($R$17="Distrato",$I$38-1,0)),IF(AND($L$711=0,$P$708=0),"",$L$711-1),IF($R$17="Distrato",$E737,0)),MIN(AH$38,$D$19),$P$20))-SUM($P737:AG737)</f>
        <v>#VALUE!</v>
      </c>
      <c r="AI737" s="446" t="e">
        <f>IF(OR($B737="",MIN(AI$38,$D$19)&lt;MAX($P$708*($B737+IF($R$17="Distrato",$I$38-1,0)),IF(AND($L$711=0,$P$708=0),"",$L$711-1),IF($R$17="Distrato",$E737,0))),0,YEARFRAC(MAX($P$708*($B737+IF($R$17="Distrato",$I$38-1,0)),IF(AND($L$711=0,$P$708=0),"",$L$711-1),IF($R$17="Distrato",$E737,0)),MIN(AI$38,$D$19),$P$20))-SUM($P737:AH737)</f>
        <v>#VALUE!</v>
      </c>
      <c r="AJ737" s="446" t="e">
        <f>IF(OR($B737="",MIN(AJ$38,$D$19)&lt;MAX($P$708*($B737+IF($R$17="Distrato",$I$38-1,0)),IF(AND($L$711=0,$P$708=0),"",$L$711-1),IF($R$17="Distrato",$E737,0))),0,YEARFRAC(MAX($P$708*($B737+IF($R$17="Distrato",$I$38-1,0)),IF(AND($L$711=0,$P$708=0),"",$L$711-1),IF($R$17="Distrato",$E737,0)),MIN(AJ$38,$D$19),$P$20))-SUM($P737:AI737)</f>
        <v>#VALUE!</v>
      </c>
      <c r="AK737" s="446" t="e">
        <f>IF(OR($B737="",MIN(AK$38,$D$19)&lt;MAX($P$708*($B737+IF($R$17="Distrato",$I$38-1,0)),IF(AND($L$711=0,$P$708=0),"",$L$711-1),IF($R$17="Distrato",$E737,0))),0,YEARFRAC(MAX($P$708*($B737+IF($R$17="Distrato",$I$38-1,0)),IF(AND($L$711=0,$P$708=0),"",$L$711-1),IF($R$17="Distrato",$E737,0)),MIN(AK$38,$D$19),$P$20))-SUM($P737:AJ737)</f>
        <v>#VALUE!</v>
      </c>
      <c r="AL737" s="446" t="e">
        <f>IF(OR($B737="",MIN(AL$38,$D$19)&lt;MAX($P$708*($B737+IF($R$17="Distrato",$I$38-1,0)),IF(AND($L$711=0,$P$708=0),"",$L$711-1),IF($R$17="Distrato",$E737,0))),0,YEARFRAC(MAX($P$708*($B737+IF($R$17="Distrato",$I$38-1,0)),IF(AND($L$711=0,$P$708=0),"",$L$711-1),IF($R$17="Distrato",$E737,0)),MIN(AL$38,$D$19),$P$20))-SUM($P737:AK737)</f>
        <v>#VALUE!</v>
      </c>
      <c r="AM737" s="446" t="e">
        <f>IF(OR($B737="",MIN(AM$38,$D$19)&lt;MAX($P$708*($B737+IF($R$17="Distrato",$I$38-1,0)),IF(AND($L$711=0,$P$708=0),"",$L$711-1),IF($R$17="Distrato",$E737,0))),0,YEARFRAC(MAX($P$708*($B737+IF($R$17="Distrato",$I$38-1,0)),IF(AND($L$711=0,$P$708=0),"",$L$711-1),IF($R$17="Distrato",$E737,0)),MIN(AM$38,$D$19),$P$20))-SUM($P737:AL737)</f>
        <v>#VALUE!</v>
      </c>
      <c r="AN737" s="446" t="e">
        <f>IF(OR($B737="",MIN(AN$38,$D$19)&lt;MAX($P$708*($B737+IF($R$17="Distrato",$I$38-1,0)),IF(AND($L$711=0,$P$708=0),"",$L$711-1),IF($R$17="Distrato",$E737,0))),0,YEARFRAC(MAX($P$708*($B737+IF($R$17="Distrato",$I$38-1,0)),IF(AND($L$711=0,$P$708=0),"",$L$711-1),IF($R$17="Distrato",$E737,0)),MIN(AN$38,$D$19),$P$20))-SUM($P737:AM737)</f>
        <v>#VALUE!</v>
      </c>
      <c r="AO737" s="446" t="e">
        <f>IF(OR($B737="",MIN(AO$38,$D$19)&lt;MAX($P$708*($B737+IF($R$17="Distrato",$I$38-1,0)),IF(AND($L$711=0,$P$708=0),"",$L$711-1),IF($R$17="Distrato",$E737,0))),0,YEARFRAC(MAX($P$708*($B737+IF($R$17="Distrato",$I$38-1,0)),IF(AND($L$711=0,$P$708=0),"",$L$711-1),IF($R$17="Distrato",$E737,0)),MIN(AO$38,$D$19),$P$20))-SUM($P737:AN737)</f>
        <v>#VALUE!</v>
      </c>
      <c r="AP737" s="446" t="e">
        <f>IF(OR($B737="",MIN(AP$38,$D$19)&lt;MAX($P$708*($B737+IF($R$17="Distrato",$I$38-1,0)),IF(AND($L$711=0,$P$708=0),"",$L$711-1),IF($R$17="Distrato",$E737,0))),0,YEARFRAC(MAX($P$708*($B737+IF($R$17="Distrato",$I$38-1,0)),IF(AND($L$711=0,$P$708=0),"",$L$711-1),IF($R$17="Distrato",$E737,0)),MIN(AP$38,$D$19),$P$20))-SUM($P737:AO737)</f>
        <v>#VALUE!</v>
      </c>
      <c r="AQ737" s="446" t="e">
        <f>IF(OR($B737="",MIN(AQ$38,$D$19)&lt;MAX($P$708*($B737+IF($R$17="Distrato",$I$38-1,0)),IF(AND($L$711=0,$P$708=0),"",$L$711-1),IF($R$17="Distrato",$E737,0))),0,YEARFRAC(MAX($P$708*($B737+IF($R$17="Distrato",$I$38-1,0)),IF(AND($L$711=0,$P$708=0),"",$L$711-1),IF($R$17="Distrato",$E737,0)),MIN(AQ$38,$D$19),$P$20))-SUM($P737:AP737)</f>
        <v>#VALUE!</v>
      </c>
      <c r="AR737" s="446" t="e">
        <f>IF(OR($B737="",MIN(AR$38,$D$19)&lt;MAX($P$708*($B737+IF($R$17="Distrato",$I$38-1,0)),IF(AND($L$711=0,$P$708=0),"",$L$711-1),IF($R$17="Distrato",$E737,0))),0,YEARFRAC(MAX($P$708*($B737+IF($R$17="Distrato",$I$38-1,0)),IF(AND($L$711=0,$P$708=0),"",$L$711-1),IF($R$17="Distrato",$E737,0)),MIN(AR$38,$D$19),$P$20))-SUM($P737:AQ737)</f>
        <v>#VALUE!</v>
      </c>
      <c r="AS737" s="446" t="e">
        <f>IF(OR($B737="",MIN(AS$38,$D$19)&lt;MAX($P$708*($B737+IF($R$17="Distrato",$I$38-1,0)),IF(AND($L$711=0,$P$708=0),"",$L$711-1),IF($R$17="Distrato",$E737,0))),0,YEARFRAC(MAX($P$708*($B737+IF($R$17="Distrato",$I$38-1,0)),IF(AND($L$711=0,$P$708=0),"",$L$711-1),IF($R$17="Distrato",$E737,0)),MIN(AS$38,$D$19),$P$20))-SUM($P737:AR737)</f>
        <v>#VALUE!</v>
      </c>
      <c r="AT737" s="446" t="e">
        <f>IF(OR($B737="",MIN(AT$38,$D$19)&lt;MAX($P$708*($B737+IF($R$17="Distrato",$I$38-1,0)),IF(AND($L$711=0,$P$708=0),"",$L$711-1),IF($R$17="Distrato",$E737,0))),0,YEARFRAC(MAX($P$708*($B737+IF($R$17="Distrato",$I$38-1,0)),IF(AND($L$711=0,$P$708=0),"",$L$711-1),IF($R$17="Distrato",$E737,0)),MIN(AT$38,$D$19),$P$20))-SUM($P737:AS737)</f>
        <v>#VALUE!</v>
      </c>
      <c r="AU737" s="446" t="e">
        <f>IF(OR($B737="",MIN(AU$38,$D$19)&lt;MAX($P$708*($B737+IF($R$17="Distrato",$I$38-1,0)),IF(AND($L$711=0,$P$708=0),"",$L$711-1),IF($R$17="Distrato",$E737,0))),0,YEARFRAC(MAX($P$708*($B737+IF($R$17="Distrato",$I$38-1,0)),IF(AND($L$711=0,$P$708=0),"",$L$711-1),IF($R$17="Distrato",$E737,0)),MIN(AU$38,$D$19),$P$20))-SUM($P737:AT737)</f>
        <v>#VALUE!</v>
      </c>
      <c r="AV737" s="446" t="e">
        <f>IF(OR($B737="",MIN(AV$38,$D$19)&lt;MAX($P$708*($B737+IF($R$17="Distrato",$I$38-1,0)),IF(AND($L$711=0,$P$708=0),"",$L$711-1),IF($R$17="Distrato",$E737,0))),0,YEARFRAC(MAX($P$708*($B737+IF($R$17="Distrato",$I$38-1,0)),IF(AND($L$711=0,$P$708=0),"",$L$711-1),IF($R$17="Distrato",$E737,0)),MIN(AV$38,$D$19),$P$20))-SUM($P737:AU737)</f>
        <v>#VALUE!</v>
      </c>
      <c r="AW737" s="446" t="e">
        <f>IF(OR($B737="",MIN(AW$38,$D$19)&lt;MAX($P$708*($B737+IF($R$17="Distrato",$I$38-1,0)),IF(AND($L$711=0,$P$708=0),"",$L$711-1),IF($R$17="Distrato",$E737,0))),0,YEARFRAC(MAX($P$708*($B737+IF($R$17="Distrato",$I$38-1,0)),IF(AND($L$711=0,$P$708=0),"",$L$711-1),IF($R$17="Distrato",$E737,0)),MIN(AW$38,$D$19),$P$20))-SUM($P737:AV737)</f>
        <v>#VALUE!</v>
      </c>
      <c r="AX737" s="446" t="e">
        <f>IF(OR($B737="",MIN(AX$38,$D$19)&lt;MAX($P$708*($B737+IF($R$17="Distrato",$I$38-1,0)),IF(AND($L$711=0,$P$708=0),"",$L$711-1),IF($R$17="Distrato",$E737,0))),0,YEARFRAC(MAX($P$708*($B737+IF($R$17="Distrato",$I$38-1,0)),IF(AND($L$711=0,$P$708=0),"",$L$711-1),IF($R$17="Distrato",$E737,0)),MIN(AX$38,$D$19),$P$20))-SUM($P737:AW737)</f>
        <v>#VALUE!</v>
      </c>
      <c r="AY737" s="446" t="e">
        <f>IF(OR($B737="",MIN(AY$38,$D$19)&lt;MAX($P$708*($B737+IF($R$17="Distrato",$I$38-1,0)),IF(AND($L$711=0,$P$708=0),"",$L$711-1),IF($R$17="Distrato",$E737,0))),0,YEARFRAC(MAX($P$708*($B737+IF($R$17="Distrato",$I$38-1,0)),IF(AND($L$711=0,$P$708=0),"",$L$711-1),IF($R$17="Distrato",$E737,0)),MIN(AY$38,$D$19),$P$20))-SUM($P737:AX737)</f>
        <v>#VALUE!</v>
      </c>
      <c r="AZ737" s="446" t="e">
        <f>IF(OR($B737="",MIN(AZ$38,$D$19)&lt;MAX($P$708*($B737+IF($R$17="Distrato",$I$38-1,0)),IF(AND($L$711=0,$P$708=0),"",$L$711-1),IF($R$17="Distrato",$E737,0))),0,YEARFRAC(MAX($P$708*($B737+IF($R$17="Distrato",$I$38-1,0)),IF(AND($L$711=0,$P$708=0),"",$L$711-1),IF($R$17="Distrato",$E737,0)),MIN(AZ$38,$D$19),$P$20))-SUM($P737:AY737)</f>
        <v>#VALUE!</v>
      </c>
      <c r="BA737" s="446" t="e">
        <f>IF(OR($B737="",MIN(BA$38,$D$19)&lt;MAX($P$708*($B737+IF($R$17="Distrato",$I$38-1,0)),IF(AND($L$711=0,$P$708=0),"",$L$711-1),IF($R$17="Distrato",$E737,0))),0,YEARFRAC(MAX($P$708*($B737+IF($R$17="Distrato",$I$38-1,0)),IF(AND($L$711=0,$P$708=0),"",$L$711-1),IF($R$17="Distrato",$E737,0)),MIN(BA$38,$D$19),$P$20))-SUM($P737:AZ737)</f>
        <v>#VALUE!</v>
      </c>
      <c r="BB737" s="447"/>
    </row>
    <row r="738" spans="1:54" s="446" customFormat="1" ht="11.25" hidden="1" customHeight="1" x14ac:dyDescent="0.2">
      <c r="A738" s="235"/>
      <c r="B738" s="236"/>
      <c r="C738" s="29" t="str">
        <f>IF(B738="","",IF($L$709=$BL$25,VLOOKUP(DATE(YEAR($D$19),MONTH($D$19)-1,1),ÍNDICES!$A:$DE,HLOOKUP($BL$25,ÍNDICES!$B$3:$T$4,2)+11)-VLOOKUP(B738,ÍNDICES!$A:$DE,HLOOKUP($BL$25,ÍNDICES!$B$3:$T$4,2)+11)+1%,IF(C$712=$W$26,$J$35,IF(ISERROR(IF(B738&gt;$D$19,1,VLOOKUP(DATE(YEAR(B738),MONTH(B738)+IF($C$709=$S$23,1,0),1),ÍNDICES!$A:$DE,$Z$709+1))),"",IF(B738&gt;$D$19,1,VLOOKUP(DATE(YEAR(B738),MONTH(B738)+IF($C$709=$S$23,1,0),1),ÍNDICES!$A:$DE,$Z$709+1))))))</f>
        <v/>
      </c>
      <c r="D738" s="155"/>
      <c r="E738" s="88"/>
      <c r="F738" s="88"/>
      <c r="G738" s="88"/>
      <c r="H738" s="118"/>
      <c r="I738" s="182">
        <f t="shared" si="115"/>
        <v>0</v>
      </c>
      <c r="J738" s="20">
        <f t="shared" ca="1" si="116"/>
        <v>0</v>
      </c>
      <c r="K738" s="5">
        <f t="shared" ca="1" si="117"/>
        <v>0</v>
      </c>
      <c r="L738" s="61">
        <f t="shared" ca="1" si="118"/>
        <v>0</v>
      </c>
      <c r="M738" s="64">
        <f t="shared" si="119"/>
        <v>0</v>
      </c>
      <c r="N738" s="151"/>
      <c r="O738" s="5">
        <f t="shared" ca="1" si="120"/>
        <v>0</v>
      </c>
      <c r="P738" s="446" t="e">
        <f t="shared" si="121"/>
        <v>#VALUE!</v>
      </c>
      <c r="Q738" s="446" t="e">
        <f>IF(OR($B738="",MIN(Q$38,$D$19)&lt;MAX($P$708*($B738+IF($R$17="Distrato",$I$38-1,0)),IF(AND($L$711=0,$P$708=0),"",$L$711-1),IF($R$17="Distrato",$E738,0))),0,YEARFRAC(MAX($P$708*($B738+IF($R$17="Distrato",$I$38-1,0)),IF(AND($L$711=0,$P$708=0),"",$L$711-1),IF($R$17="Distrato",$E738,0)),MIN(Q$38,$D$19),$P$20))-SUM($P738:P738)</f>
        <v>#VALUE!</v>
      </c>
      <c r="R738" s="446" t="e">
        <f>IF(OR($B738="",MIN(R$38,$D$19)&lt;MAX($P$708*($B738+IF($R$17="Distrato",$I$38-1,0)),IF(AND($L$711=0,$P$708=0),"",$L$711-1),IF($R$17="Distrato",$E738,0))),0,YEARFRAC(MAX($P$708*($B738+IF($R$17="Distrato",$I$38-1,0)),IF(AND($L$711=0,$P$708=0),"",$L$711-1),IF($R$17="Distrato",$E738,0)),MIN(R$38,$D$19),$P$20))-SUM($P738:Q738)</f>
        <v>#VALUE!</v>
      </c>
      <c r="S738" s="446" t="e">
        <f>IF(OR($B738="",MIN(S$38,$D$19)&lt;MAX($P$708*($B738+IF($R$17="Distrato",$I$38-1,0)),IF(AND($L$711=0,$P$708=0),"",$L$711-1),IF($R$17="Distrato",$E738,0))),0,YEARFRAC(MAX($P$708*($B738+IF($R$17="Distrato",$I$38-1,0)),IF(AND($L$711=0,$P$708=0),"",$L$711-1),IF($R$17="Distrato",$E738,0)),MIN(S$38,$D$19),$P$20))-SUM($P738:R738)</f>
        <v>#VALUE!</v>
      </c>
      <c r="T738" s="446" t="e">
        <f>IF(OR($B738="",MIN(T$38,$D$19)&lt;MAX($P$708*($B738+IF($R$17="Distrato",$I$38-1,0)),IF(AND($L$711=0,$P$708=0),"",$L$711-1),IF($R$17="Distrato",$E738,0))),0,YEARFRAC(MAX($P$708*($B738+IF($R$17="Distrato",$I$38-1,0)),IF(AND($L$711=0,$P$708=0),"",$L$711-1),IF($R$17="Distrato",$E738,0)),MIN(T$38,$D$19),$P$20))-SUM($P738:S738)</f>
        <v>#VALUE!</v>
      </c>
      <c r="U738" s="446" t="e">
        <f>IF(OR($B738="",MIN(U$38,$D$19)&lt;MAX($P$708*($B738+IF($R$17="Distrato",$I$38-1,0)),IF(AND($L$711=0,$P$708=0),"",$L$711-1),IF($R$17="Distrato",$E738,0))),0,YEARFRAC(MAX($P$708*($B738+IF($R$17="Distrato",$I$38-1,0)),IF(AND($L$711=0,$P$708=0),"",$L$711-1),IF($R$17="Distrato",$E738,0)),MIN(U$38,$D$19),$P$20))-SUM($P738:T738)</f>
        <v>#VALUE!</v>
      </c>
      <c r="V738" s="446" t="e">
        <f>IF(OR($B738="",MIN(V$38,$D$19)&lt;MAX($P$708*($B738+IF($R$17="Distrato",$I$38-1,0)),IF(AND($L$711=0,$P$708=0),"",$L$711-1),IF($R$17="Distrato",$E738,0))),0,YEARFRAC(MAX($P$708*($B738+IF($R$17="Distrato",$I$38-1,0)),IF(AND($L$711=0,$P$708=0),"",$L$711-1),IF($R$17="Distrato",$E738,0)),MIN(V$38,$D$19),$P$20))-SUM($P738:U738)</f>
        <v>#VALUE!</v>
      </c>
      <c r="W738" s="446" t="e">
        <f>IF(OR($B738="",MIN(W$38,$D$19)&lt;MAX($P$708*($B738+IF($R$17="Distrato",$I$38-1,0)),IF(AND($L$711=0,$P$708=0),"",$L$711-1),IF($R$17="Distrato",$E738,0))),0,YEARFRAC(MAX($P$708*($B738+IF($R$17="Distrato",$I$38-1,0)),IF(AND($L$711=0,$P$708=0),"",$L$711-1),IF($R$17="Distrato",$E738,0)),MIN(W$38,$D$19),$P$20))-SUM($P738:V738)</f>
        <v>#VALUE!</v>
      </c>
      <c r="X738" s="446" t="e">
        <f>IF(OR($B738="",MIN(X$38,$D$19)&lt;MAX($P$708*($B738+IF($R$17="Distrato",$I$38-1,0)),IF(AND($L$711=0,$P$708=0),"",$L$711-1),IF($R$17="Distrato",$E738,0))),0,YEARFRAC(MAX($P$708*($B738+IF($R$17="Distrato",$I$38-1,0)),IF(AND($L$711=0,$P$708=0),"",$L$711-1),IF($R$17="Distrato",$E738,0)),MIN(X$38,$D$19),$P$20))-SUM($P738:W738)</f>
        <v>#VALUE!</v>
      </c>
      <c r="Y738" s="446" t="e">
        <f>IF(OR($B738="",MIN(Y$38,$D$19)&lt;MAX($P$708*($B738+IF($R$17="Distrato",$I$38-1,0)),IF(AND($L$711=0,$P$708=0),"",$L$711-1),IF($R$17="Distrato",$E738,0))),0,YEARFRAC(MAX($P$708*($B738+IF($R$17="Distrato",$I$38-1,0)),IF(AND($L$711=0,$P$708=0),"",$L$711-1),IF($R$17="Distrato",$E738,0)),MIN(Y$38,$D$19),$P$20))-SUM($P738:X738)</f>
        <v>#VALUE!</v>
      </c>
      <c r="Z738" s="446" t="e">
        <f>IF(OR($B738="",MIN(Z$38,$D$19)&lt;MAX($P$708*($B738+IF($R$17="Distrato",$I$38-1,0)),IF(AND($L$711=0,$P$708=0),"",$L$711-1),IF($R$17="Distrato",$E738,0))),0,YEARFRAC(MAX($P$708*($B738+IF($R$17="Distrato",$I$38-1,0)),IF(AND($L$711=0,$P$708=0),"",$L$711-1),IF($R$17="Distrato",$E738,0)),MIN(Z$38,$D$19),$P$20))-SUM($P738:Y738)</f>
        <v>#VALUE!</v>
      </c>
      <c r="AA738" s="446" t="e">
        <f>IF(OR($B738="",MIN(AA$38,$D$19)&lt;MAX($P$708*($B738+IF($R$17="Distrato",$I$38-1,0)),IF(AND($L$711=0,$P$708=0),"",$L$711-1),IF($R$17="Distrato",$E738,0))),0,YEARFRAC(MAX($P$708*($B738+IF($R$17="Distrato",$I$38-1,0)),IF(AND($L$711=0,$P$708=0),"",$L$711-1),IF($R$17="Distrato",$E738,0)),MIN(AA$38,$D$19),$P$20))-SUM($P738:Z738)</f>
        <v>#VALUE!</v>
      </c>
      <c r="AB738" s="446" t="e">
        <f>IF(OR($B738="",MIN(AB$38,$D$19)&lt;MAX($P$708*($B738+IF($R$17="Distrato",$I$38-1,0)),IF(AND($L$711=0,$P$708=0),"",$L$711-1),IF($R$17="Distrato",$E738,0))),0,YEARFRAC(MAX($P$708*($B738+IF($R$17="Distrato",$I$38-1,0)),IF(AND($L$711=0,$P$708=0),"",$L$711-1),IF($R$17="Distrato",$E738,0)),MIN(AB$38,$D$19),$P$20))-SUM($P738:AA738)</f>
        <v>#VALUE!</v>
      </c>
      <c r="AC738" s="446" t="e">
        <f>IF(OR($B738="",MIN(AC$38,$D$19)&lt;MAX($P$708*($B738+IF($R$17="Distrato",$I$38-1,0)),IF(AND($L$711=0,$P$708=0),"",$L$711-1),IF($R$17="Distrato",$E738,0))),0,YEARFRAC(MAX($P$708*($B738+IF($R$17="Distrato",$I$38-1,0)),IF(AND($L$711=0,$P$708=0),"",$L$711-1),IF($R$17="Distrato",$E738,0)),MIN(AC$38,$D$19),$P$20))-SUM($P738:AB738)</f>
        <v>#VALUE!</v>
      </c>
      <c r="AD738" s="446" t="e">
        <f>IF(OR($B738="",MIN(AD$38,$D$19)&lt;MAX($P$708*($B738+IF($R$17="Distrato",$I$38-1,0)),IF(AND($L$711=0,$P$708=0),"",$L$711-1),IF($R$17="Distrato",$E738,0))),0,YEARFRAC(MAX($P$708*($B738+IF($R$17="Distrato",$I$38-1,0)),IF(AND($L$711=0,$P$708=0),"",$L$711-1),IF($R$17="Distrato",$E738,0)),MIN(AD$38,$D$19),$P$20))-SUM($P738:AC738)</f>
        <v>#VALUE!</v>
      </c>
      <c r="AE738" s="446" t="e">
        <f>IF(OR($B738="",MIN(AE$38,$D$19)&lt;MAX($P$708*($B738+IF($R$17="Distrato",$I$38-1,0)),IF(AND($L$711=0,$P$708=0),"",$L$711-1),IF($R$17="Distrato",$E738,0))),0,YEARFRAC(MAX($P$708*($B738+IF($R$17="Distrato",$I$38-1,0)),IF(AND($L$711=0,$P$708=0),"",$L$711-1),IF($R$17="Distrato",$E738,0)),MIN(AE$38,$D$19),$P$20))-SUM($P738:AD738)</f>
        <v>#VALUE!</v>
      </c>
      <c r="AF738" s="446" t="e">
        <f>IF(OR($B738="",MIN(AF$38,$D$19)&lt;MAX($P$708*($B738+IF($R$17="Distrato",$I$38-1,0)),IF(AND($L$711=0,$P$708=0),"",$L$711-1),IF($R$17="Distrato",$E738,0))),0,YEARFRAC(MAX($P$708*($B738+IF($R$17="Distrato",$I$38-1,0)),IF(AND($L$711=0,$P$708=0),"",$L$711-1),IF($R$17="Distrato",$E738,0)),MIN(AF$38,$D$19),$P$20))-SUM($P738:AE738)</f>
        <v>#VALUE!</v>
      </c>
      <c r="AG738" s="446" t="e">
        <f>IF(OR($B738="",MIN(AG$38,$D$19)&lt;MAX($P$708*($B738+IF($R$17="Distrato",$I$38-1,0)),IF(AND($L$711=0,$P$708=0),"",$L$711-1),IF($R$17="Distrato",$E738,0))),0,YEARFRAC(MAX($P$708*($B738+IF($R$17="Distrato",$I$38-1,0)),IF(AND($L$711=0,$P$708=0),"",$L$711-1),IF($R$17="Distrato",$E738,0)),MIN(AG$38,$D$19),$P$20))-SUM($P738:AF738)</f>
        <v>#VALUE!</v>
      </c>
      <c r="AH738" s="446" t="e">
        <f>IF(OR($B738="",MIN(AH$38,$D$19)&lt;MAX($P$708*($B738+IF($R$17="Distrato",$I$38-1,0)),IF(AND($L$711=0,$P$708=0),"",$L$711-1),IF($R$17="Distrato",$E738,0))),0,YEARFRAC(MAX($P$708*($B738+IF($R$17="Distrato",$I$38-1,0)),IF(AND($L$711=0,$P$708=0),"",$L$711-1),IF($R$17="Distrato",$E738,0)),MIN(AH$38,$D$19),$P$20))-SUM($P738:AG738)</f>
        <v>#VALUE!</v>
      </c>
      <c r="AI738" s="446" t="e">
        <f>IF(OR($B738="",MIN(AI$38,$D$19)&lt;MAX($P$708*($B738+IF($R$17="Distrato",$I$38-1,0)),IF(AND($L$711=0,$P$708=0),"",$L$711-1),IF($R$17="Distrato",$E738,0))),0,YEARFRAC(MAX($P$708*($B738+IF($R$17="Distrato",$I$38-1,0)),IF(AND($L$711=0,$P$708=0),"",$L$711-1),IF($R$17="Distrato",$E738,0)),MIN(AI$38,$D$19),$P$20))-SUM($P738:AH738)</f>
        <v>#VALUE!</v>
      </c>
      <c r="AJ738" s="446" t="e">
        <f>IF(OR($B738="",MIN(AJ$38,$D$19)&lt;MAX($P$708*($B738+IF($R$17="Distrato",$I$38-1,0)),IF(AND($L$711=0,$P$708=0),"",$L$711-1),IF($R$17="Distrato",$E738,0))),0,YEARFRAC(MAX($P$708*($B738+IF($R$17="Distrato",$I$38-1,0)),IF(AND($L$711=0,$P$708=0),"",$L$711-1),IF($R$17="Distrato",$E738,0)),MIN(AJ$38,$D$19),$P$20))-SUM($P738:AI738)</f>
        <v>#VALUE!</v>
      </c>
      <c r="AK738" s="446" t="e">
        <f>IF(OR($B738="",MIN(AK$38,$D$19)&lt;MAX($P$708*($B738+IF($R$17="Distrato",$I$38-1,0)),IF(AND($L$711=0,$P$708=0),"",$L$711-1),IF($R$17="Distrato",$E738,0))),0,YEARFRAC(MAX($P$708*($B738+IF($R$17="Distrato",$I$38-1,0)),IF(AND($L$711=0,$P$708=0),"",$L$711-1),IF($R$17="Distrato",$E738,0)),MIN(AK$38,$D$19),$P$20))-SUM($P738:AJ738)</f>
        <v>#VALUE!</v>
      </c>
      <c r="AL738" s="446" t="e">
        <f>IF(OR($B738="",MIN(AL$38,$D$19)&lt;MAX($P$708*($B738+IF($R$17="Distrato",$I$38-1,0)),IF(AND($L$711=0,$P$708=0),"",$L$711-1),IF($R$17="Distrato",$E738,0))),0,YEARFRAC(MAX($P$708*($B738+IF($R$17="Distrato",$I$38-1,0)),IF(AND($L$711=0,$P$708=0),"",$L$711-1),IF($R$17="Distrato",$E738,0)),MIN(AL$38,$D$19),$P$20))-SUM($P738:AK738)</f>
        <v>#VALUE!</v>
      </c>
      <c r="AM738" s="446" t="e">
        <f>IF(OR($B738="",MIN(AM$38,$D$19)&lt;MAX($P$708*($B738+IF($R$17="Distrato",$I$38-1,0)),IF(AND($L$711=0,$P$708=0),"",$L$711-1),IF($R$17="Distrato",$E738,0))),0,YEARFRAC(MAX($P$708*($B738+IF($R$17="Distrato",$I$38-1,0)),IF(AND($L$711=0,$P$708=0),"",$L$711-1),IF($R$17="Distrato",$E738,0)),MIN(AM$38,$D$19),$P$20))-SUM($P738:AL738)</f>
        <v>#VALUE!</v>
      </c>
      <c r="AN738" s="446" t="e">
        <f>IF(OR($B738="",MIN(AN$38,$D$19)&lt;MAX($P$708*($B738+IF($R$17="Distrato",$I$38-1,0)),IF(AND($L$711=0,$P$708=0),"",$L$711-1),IF($R$17="Distrato",$E738,0))),0,YEARFRAC(MAX($P$708*($B738+IF($R$17="Distrato",$I$38-1,0)),IF(AND($L$711=0,$P$708=0),"",$L$711-1),IF($R$17="Distrato",$E738,0)),MIN(AN$38,$D$19),$P$20))-SUM($P738:AM738)</f>
        <v>#VALUE!</v>
      </c>
      <c r="AO738" s="446" t="e">
        <f>IF(OR($B738="",MIN(AO$38,$D$19)&lt;MAX($P$708*($B738+IF($R$17="Distrato",$I$38-1,0)),IF(AND($L$711=0,$P$708=0),"",$L$711-1),IF($R$17="Distrato",$E738,0))),0,YEARFRAC(MAX($P$708*($B738+IF($R$17="Distrato",$I$38-1,0)),IF(AND($L$711=0,$P$708=0),"",$L$711-1),IF($R$17="Distrato",$E738,0)),MIN(AO$38,$D$19),$P$20))-SUM($P738:AN738)</f>
        <v>#VALUE!</v>
      </c>
      <c r="AP738" s="446" t="e">
        <f>IF(OR($B738="",MIN(AP$38,$D$19)&lt;MAX($P$708*($B738+IF($R$17="Distrato",$I$38-1,0)),IF(AND($L$711=0,$P$708=0),"",$L$711-1),IF($R$17="Distrato",$E738,0))),0,YEARFRAC(MAX($P$708*($B738+IF($R$17="Distrato",$I$38-1,0)),IF(AND($L$711=0,$P$708=0),"",$L$711-1),IF($R$17="Distrato",$E738,0)),MIN(AP$38,$D$19),$P$20))-SUM($P738:AO738)</f>
        <v>#VALUE!</v>
      </c>
      <c r="AQ738" s="446" t="e">
        <f>IF(OR($B738="",MIN(AQ$38,$D$19)&lt;MAX($P$708*($B738+IF($R$17="Distrato",$I$38-1,0)),IF(AND($L$711=0,$P$708=0),"",$L$711-1),IF($R$17="Distrato",$E738,0))),0,YEARFRAC(MAX($P$708*($B738+IF($R$17="Distrato",$I$38-1,0)),IF(AND($L$711=0,$P$708=0),"",$L$711-1),IF($R$17="Distrato",$E738,0)),MIN(AQ$38,$D$19),$P$20))-SUM($P738:AP738)</f>
        <v>#VALUE!</v>
      </c>
      <c r="AR738" s="446" t="e">
        <f>IF(OR($B738="",MIN(AR$38,$D$19)&lt;MAX($P$708*($B738+IF($R$17="Distrato",$I$38-1,0)),IF(AND($L$711=0,$P$708=0),"",$L$711-1),IF($R$17="Distrato",$E738,0))),0,YEARFRAC(MAX($P$708*($B738+IF($R$17="Distrato",$I$38-1,0)),IF(AND($L$711=0,$P$708=0),"",$L$711-1),IF($R$17="Distrato",$E738,0)),MIN(AR$38,$D$19),$P$20))-SUM($P738:AQ738)</f>
        <v>#VALUE!</v>
      </c>
      <c r="AS738" s="446" t="e">
        <f>IF(OR($B738="",MIN(AS$38,$D$19)&lt;MAX($P$708*($B738+IF($R$17="Distrato",$I$38-1,0)),IF(AND($L$711=0,$P$708=0),"",$L$711-1),IF($R$17="Distrato",$E738,0))),0,YEARFRAC(MAX($P$708*($B738+IF($R$17="Distrato",$I$38-1,0)),IF(AND($L$711=0,$P$708=0),"",$L$711-1),IF($R$17="Distrato",$E738,0)),MIN(AS$38,$D$19),$P$20))-SUM($P738:AR738)</f>
        <v>#VALUE!</v>
      </c>
      <c r="AT738" s="446" t="e">
        <f>IF(OR($B738="",MIN(AT$38,$D$19)&lt;MAX($P$708*($B738+IF($R$17="Distrato",$I$38-1,0)),IF(AND($L$711=0,$P$708=0),"",$L$711-1),IF($R$17="Distrato",$E738,0))),0,YEARFRAC(MAX($P$708*($B738+IF($R$17="Distrato",$I$38-1,0)),IF(AND($L$711=0,$P$708=0),"",$L$711-1),IF($R$17="Distrato",$E738,0)),MIN(AT$38,$D$19),$P$20))-SUM($P738:AS738)</f>
        <v>#VALUE!</v>
      </c>
      <c r="AU738" s="446" t="e">
        <f>IF(OR($B738="",MIN(AU$38,$D$19)&lt;MAX($P$708*($B738+IF($R$17="Distrato",$I$38-1,0)),IF(AND($L$711=0,$P$708=0),"",$L$711-1),IF($R$17="Distrato",$E738,0))),0,YEARFRAC(MAX($P$708*($B738+IF($R$17="Distrato",$I$38-1,0)),IF(AND($L$711=0,$P$708=0),"",$L$711-1),IF($R$17="Distrato",$E738,0)),MIN(AU$38,$D$19),$P$20))-SUM($P738:AT738)</f>
        <v>#VALUE!</v>
      </c>
      <c r="AV738" s="446" t="e">
        <f>IF(OR($B738="",MIN(AV$38,$D$19)&lt;MAX($P$708*($B738+IF($R$17="Distrato",$I$38-1,0)),IF(AND($L$711=0,$P$708=0),"",$L$711-1),IF($R$17="Distrato",$E738,0))),0,YEARFRAC(MAX($P$708*($B738+IF($R$17="Distrato",$I$38-1,0)),IF(AND($L$711=0,$P$708=0),"",$L$711-1),IF($R$17="Distrato",$E738,0)),MIN(AV$38,$D$19),$P$20))-SUM($P738:AU738)</f>
        <v>#VALUE!</v>
      </c>
      <c r="AW738" s="446" t="e">
        <f>IF(OR($B738="",MIN(AW$38,$D$19)&lt;MAX($P$708*($B738+IF($R$17="Distrato",$I$38-1,0)),IF(AND($L$711=0,$P$708=0),"",$L$711-1),IF($R$17="Distrato",$E738,0))),0,YEARFRAC(MAX($P$708*($B738+IF($R$17="Distrato",$I$38-1,0)),IF(AND($L$711=0,$P$708=0),"",$L$711-1),IF($R$17="Distrato",$E738,0)),MIN(AW$38,$D$19),$P$20))-SUM($P738:AV738)</f>
        <v>#VALUE!</v>
      </c>
      <c r="AX738" s="446" t="e">
        <f>IF(OR($B738="",MIN(AX$38,$D$19)&lt;MAX($P$708*($B738+IF($R$17="Distrato",$I$38-1,0)),IF(AND($L$711=0,$P$708=0),"",$L$711-1),IF($R$17="Distrato",$E738,0))),0,YEARFRAC(MAX($P$708*($B738+IF($R$17="Distrato",$I$38-1,0)),IF(AND($L$711=0,$P$708=0),"",$L$711-1),IF($R$17="Distrato",$E738,0)),MIN(AX$38,$D$19),$P$20))-SUM($P738:AW738)</f>
        <v>#VALUE!</v>
      </c>
      <c r="AY738" s="446" t="e">
        <f>IF(OR($B738="",MIN(AY$38,$D$19)&lt;MAX($P$708*($B738+IF($R$17="Distrato",$I$38-1,0)),IF(AND($L$711=0,$P$708=0),"",$L$711-1),IF($R$17="Distrato",$E738,0))),0,YEARFRAC(MAX($P$708*($B738+IF($R$17="Distrato",$I$38-1,0)),IF(AND($L$711=0,$P$708=0),"",$L$711-1),IF($R$17="Distrato",$E738,0)),MIN(AY$38,$D$19),$P$20))-SUM($P738:AX738)</f>
        <v>#VALUE!</v>
      </c>
      <c r="AZ738" s="446" t="e">
        <f>IF(OR($B738="",MIN(AZ$38,$D$19)&lt;MAX($P$708*($B738+IF($R$17="Distrato",$I$38-1,0)),IF(AND($L$711=0,$P$708=0),"",$L$711-1),IF($R$17="Distrato",$E738,0))),0,YEARFRAC(MAX($P$708*($B738+IF($R$17="Distrato",$I$38-1,0)),IF(AND($L$711=0,$P$708=0),"",$L$711-1),IF($R$17="Distrato",$E738,0)),MIN(AZ$38,$D$19),$P$20))-SUM($P738:AY738)</f>
        <v>#VALUE!</v>
      </c>
      <c r="BA738" s="446" t="e">
        <f>IF(OR($B738="",MIN(BA$38,$D$19)&lt;MAX($P$708*($B738+IF($R$17="Distrato",$I$38-1,0)),IF(AND($L$711=0,$P$708=0),"",$L$711-1),IF($R$17="Distrato",$E738,0))),0,YEARFRAC(MAX($P$708*($B738+IF($R$17="Distrato",$I$38-1,0)),IF(AND($L$711=0,$P$708=0),"",$L$711-1),IF($R$17="Distrato",$E738,0)),MIN(BA$38,$D$19),$P$20))-SUM($P738:AZ738)</f>
        <v>#VALUE!</v>
      </c>
      <c r="BB738" s="447"/>
    </row>
    <row r="739" spans="1:54" s="446" customFormat="1" ht="11.25" hidden="1" customHeight="1" x14ac:dyDescent="0.2">
      <c r="A739" s="235"/>
      <c r="B739" s="236"/>
      <c r="C739" s="29" t="str">
        <f>IF(B739="","",IF($L$709=$BL$25,VLOOKUP(DATE(YEAR($D$19),MONTH($D$19)-1,1),ÍNDICES!$A:$DE,HLOOKUP($BL$25,ÍNDICES!$B$3:$T$4,2)+11)-VLOOKUP(B739,ÍNDICES!$A:$DE,HLOOKUP($BL$25,ÍNDICES!$B$3:$T$4,2)+11)+1%,IF(C$712=$W$26,$J$35,IF(ISERROR(IF(B739&gt;$D$19,1,VLOOKUP(DATE(YEAR(B739),MONTH(B739)+IF($C$709=$S$23,1,0),1),ÍNDICES!$A:$DE,$Z$709+1))),"",IF(B739&gt;$D$19,1,VLOOKUP(DATE(YEAR(B739),MONTH(B739)+IF($C$709=$S$23,1,0),1),ÍNDICES!$A:$DE,$Z$709+1))))))</f>
        <v/>
      </c>
      <c r="D739" s="155"/>
      <c r="E739" s="88"/>
      <c r="F739" s="88"/>
      <c r="G739" s="88"/>
      <c r="H739" s="118"/>
      <c r="I739" s="182">
        <f t="shared" si="115"/>
        <v>0</v>
      </c>
      <c r="J739" s="20">
        <f t="shared" ca="1" si="116"/>
        <v>0</v>
      </c>
      <c r="K739" s="5">
        <f t="shared" ca="1" si="117"/>
        <v>0</v>
      </c>
      <c r="L739" s="61">
        <f t="shared" ca="1" si="118"/>
        <v>0</v>
      </c>
      <c r="M739" s="64">
        <f t="shared" si="119"/>
        <v>0</v>
      </c>
      <c r="N739" s="151"/>
      <c r="O739" s="5">
        <f t="shared" ca="1" si="120"/>
        <v>0</v>
      </c>
      <c r="P739" s="446" t="e">
        <f t="shared" si="121"/>
        <v>#VALUE!</v>
      </c>
      <c r="Q739" s="446" t="e">
        <f>IF(OR($B739="",MIN(Q$38,$D$19)&lt;MAX($P$708*($B739+IF($R$17="Distrato",$I$38-1,0)),IF(AND($L$711=0,$P$708=0),"",$L$711-1),IF($R$17="Distrato",$E739,0))),0,YEARFRAC(MAX($P$708*($B739+IF($R$17="Distrato",$I$38-1,0)),IF(AND($L$711=0,$P$708=0),"",$L$711-1),IF($R$17="Distrato",$E739,0)),MIN(Q$38,$D$19),$P$20))-SUM($P739:P739)</f>
        <v>#VALUE!</v>
      </c>
      <c r="R739" s="446" t="e">
        <f>IF(OR($B739="",MIN(R$38,$D$19)&lt;MAX($P$708*($B739+IF($R$17="Distrato",$I$38-1,0)),IF(AND($L$711=0,$P$708=0),"",$L$711-1),IF($R$17="Distrato",$E739,0))),0,YEARFRAC(MAX($P$708*($B739+IF($R$17="Distrato",$I$38-1,0)),IF(AND($L$711=0,$P$708=0),"",$L$711-1),IF($R$17="Distrato",$E739,0)),MIN(R$38,$D$19),$P$20))-SUM($P739:Q739)</f>
        <v>#VALUE!</v>
      </c>
      <c r="S739" s="446" t="e">
        <f>IF(OR($B739="",MIN(S$38,$D$19)&lt;MAX($P$708*($B739+IF($R$17="Distrato",$I$38-1,0)),IF(AND($L$711=0,$P$708=0),"",$L$711-1),IF($R$17="Distrato",$E739,0))),0,YEARFRAC(MAX($P$708*($B739+IF($R$17="Distrato",$I$38-1,0)),IF(AND($L$711=0,$P$708=0),"",$L$711-1),IF($R$17="Distrato",$E739,0)),MIN(S$38,$D$19),$P$20))-SUM($P739:R739)</f>
        <v>#VALUE!</v>
      </c>
      <c r="T739" s="446" t="e">
        <f>IF(OR($B739="",MIN(T$38,$D$19)&lt;MAX($P$708*($B739+IF($R$17="Distrato",$I$38-1,0)),IF(AND($L$711=0,$P$708=0),"",$L$711-1),IF($R$17="Distrato",$E739,0))),0,YEARFRAC(MAX($P$708*($B739+IF($R$17="Distrato",$I$38-1,0)),IF(AND($L$711=0,$P$708=0),"",$L$711-1),IF($R$17="Distrato",$E739,0)),MIN(T$38,$D$19),$P$20))-SUM($P739:S739)</f>
        <v>#VALUE!</v>
      </c>
      <c r="U739" s="446" t="e">
        <f>IF(OR($B739="",MIN(U$38,$D$19)&lt;MAX($P$708*($B739+IF($R$17="Distrato",$I$38-1,0)),IF(AND($L$711=0,$P$708=0),"",$L$711-1),IF($R$17="Distrato",$E739,0))),0,YEARFRAC(MAX($P$708*($B739+IF($R$17="Distrato",$I$38-1,0)),IF(AND($L$711=0,$P$708=0),"",$L$711-1),IF($R$17="Distrato",$E739,0)),MIN(U$38,$D$19),$P$20))-SUM($P739:T739)</f>
        <v>#VALUE!</v>
      </c>
      <c r="V739" s="446" t="e">
        <f>IF(OR($B739="",MIN(V$38,$D$19)&lt;MAX($P$708*($B739+IF($R$17="Distrato",$I$38-1,0)),IF(AND($L$711=0,$P$708=0),"",$L$711-1),IF($R$17="Distrato",$E739,0))),0,YEARFRAC(MAX($P$708*($B739+IF($R$17="Distrato",$I$38-1,0)),IF(AND($L$711=0,$P$708=0),"",$L$711-1),IF($R$17="Distrato",$E739,0)),MIN(V$38,$D$19),$P$20))-SUM($P739:U739)</f>
        <v>#VALUE!</v>
      </c>
      <c r="W739" s="446" t="e">
        <f>IF(OR($B739="",MIN(W$38,$D$19)&lt;MAX($P$708*($B739+IF($R$17="Distrato",$I$38-1,0)),IF(AND($L$711=0,$P$708=0),"",$L$711-1),IF($R$17="Distrato",$E739,0))),0,YEARFRAC(MAX($P$708*($B739+IF($R$17="Distrato",$I$38-1,0)),IF(AND($L$711=0,$P$708=0),"",$L$711-1),IF($R$17="Distrato",$E739,0)),MIN(W$38,$D$19),$P$20))-SUM($P739:V739)</f>
        <v>#VALUE!</v>
      </c>
      <c r="X739" s="446" t="e">
        <f>IF(OR($B739="",MIN(X$38,$D$19)&lt;MAX($P$708*($B739+IF($R$17="Distrato",$I$38-1,0)),IF(AND($L$711=0,$P$708=0),"",$L$711-1),IF($R$17="Distrato",$E739,0))),0,YEARFRAC(MAX($P$708*($B739+IF($R$17="Distrato",$I$38-1,0)),IF(AND($L$711=0,$P$708=0),"",$L$711-1),IF($R$17="Distrato",$E739,0)),MIN(X$38,$D$19),$P$20))-SUM($P739:W739)</f>
        <v>#VALUE!</v>
      </c>
      <c r="Y739" s="446" t="e">
        <f>IF(OR($B739="",MIN(Y$38,$D$19)&lt;MAX($P$708*($B739+IF($R$17="Distrato",$I$38-1,0)),IF(AND($L$711=0,$P$708=0),"",$L$711-1),IF($R$17="Distrato",$E739,0))),0,YEARFRAC(MAX($P$708*($B739+IF($R$17="Distrato",$I$38-1,0)),IF(AND($L$711=0,$P$708=0),"",$L$711-1),IF($R$17="Distrato",$E739,0)),MIN(Y$38,$D$19),$P$20))-SUM($P739:X739)</f>
        <v>#VALUE!</v>
      </c>
      <c r="Z739" s="446" t="e">
        <f>IF(OR($B739="",MIN(Z$38,$D$19)&lt;MAX($P$708*($B739+IF($R$17="Distrato",$I$38-1,0)),IF(AND($L$711=0,$P$708=0),"",$L$711-1),IF($R$17="Distrato",$E739,0))),0,YEARFRAC(MAX($P$708*($B739+IF($R$17="Distrato",$I$38-1,0)),IF(AND($L$711=0,$P$708=0),"",$L$711-1),IF($R$17="Distrato",$E739,0)),MIN(Z$38,$D$19),$P$20))-SUM($P739:Y739)</f>
        <v>#VALUE!</v>
      </c>
      <c r="AA739" s="446" t="e">
        <f>IF(OR($B739="",MIN(AA$38,$D$19)&lt;MAX($P$708*($B739+IF($R$17="Distrato",$I$38-1,0)),IF(AND($L$711=0,$P$708=0),"",$L$711-1),IF($R$17="Distrato",$E739,0))),0,YEARFRAC(MAX($P$708*($B739+IF($R$17="Distrato",$I$38-1,0)),IF(AND($L$711=0,$P$708=0),"",$L$711-1),IF($R$17="Distrato",$E739,0)),MIN(AA$38,$D$19),$P$20))-SUM($P739:Z739)</f>
        <v>#VALUE!</v>
      </c>
      <c r="AB739" s="446" t="e">
        <f>IF(OR($B739="",MIN(AB$38,$D$19)&lt;MAX($P$708*($B739+IF($R$17="Distrato",$I$38-1,0)),IF(AND($L$711=0,$P$708=0),"",$L$711-1),IF($R$17="Distrato",$E739,0))),0,YEARFRAC(MAX($P$708*($B739+IF($R$17="Distrato",$I$38-1,0)),IF(AND($L$711=0,$P$708=0),"",$L$711-1),IF($R$17="Distrato",$E739,0)),MIN(AB$38,$D$19),$P$20))-SUM($P739:AA739)</f>
        <v>#VALUE!</v>
      </c>
      <c r="AC739" s="446" t="e">
        <f>IF(OR($B739="",MIN(AC$38,$D$19)&lt;MAX($P$708*($B739+IF($R$17="Distrato",$I$38-1,0)),IF(AND($L$711=0,$P$708=0),"",$L$711-1),IF($R$17="Distrato",$E739,0))),0,YEARFRAC(MAX($P$708*($B739+IF($R$17="Distrato",$I$38-1,0)),IF(AND($L$711=0,$P$708=0),"",$L$711-1),IF($R$17="Distrato",$E739,0)),MIN(AC$38,$D$19),$P$20))-SUM($P739:AB739)</f>
        <v>#VALUE!</v>
      </c>
      <c r="AD739" s="446" t="e">
        <f>IF(OR($B739="",MIN(AD$38,$D$19)&lt;MAX($P$708*($B739+IF($R$17="Distrato",$I$38-1,0)),IF(AND($L$711=0,$P$708=0),"",$L$711-1),IF($R$17="Distrato",$E739,0))),0,YEARFRAC(MAX($P$708*($B739+IF($R$17="Distrato",$I$38-1,0)),IF(AND($L$711=0,$P$708=0),"",$L$711-1),IF($R$17="Distrato",$E739,0)),MIN(AD$38,$D$19),$P$20))-SUM($P739:AC739)</f>
        <v>#VALUE!</v>
      </c>
      <c r="AE739" s="446" t="e">
        <f>IF(OR($B739="",MIN(AE$38,$D$19)&lt;MAX($P$708*($B739+IF($R$17="Distrato",$I$38-1,0)),IF(AND($L$711=0,$P$708=0),"",$L$711-1),IF($R$17="Distrato",$E739,0))),0,YEARFRAC(MAX($P$708*($B739+IF($R$17="Distrato",$I$38-1,0)),IF(AND($L$711=0,$P$708=0),"",$L$711-1),IF($R$17="Distrato",$E739,0)),MIN(AE$38,$D$19),$P$20))-SUM($P739:AD739)</f>
        <v>#VALUE!</v>
      </c>
      <c r="AF739" s="446" t="e">
        <f>IF(OR($B739="",MIN(AF$38,$D$19)&lt;MAX($P$708*($B739+IF($R$17="Distrato",$I$38-1,0)),IF(AND($L$711=0,$P$708=0),"",$L$711-1),IF($R$17="Distrato",$E739,0))),0,YEARFRAC(MAX($P$708*($B739+IF($R$17="Distrato",$I$38-1,0)),IF(AND($L$711=0,$P$708=0),"",$L$711-1),IF($R$17="Distrato",$E739,0)),MIN(AF$38,$D$19),$P$20))-SUM($P739:AE739)</f>
        <v>#VALUE!</v>
      </c>
      <c r="AG739" s="446" t="e">
        <f>IF(OR($B739="",MIN(AG$38,$D$19)&lt;MAX($P$708*($B739+IF($R$17="Distrato",$I$38-1,0)),IF(AND($L$711=0,$P$708=0),"",$L$711-1),IF($R$17="Distrato",$E739,0))),0,YEARFRAC(MAX($P$708*($B739+IF($R$17="Distrato",$I$38-1,0)),IF(AND($L$711=0,$P$708=0),"",$L$711-1),IF($R$17="Distrato",$E739,0)),MIN(AG$38,$D$19),$P$20))-SUM($P739:AF739)</f>
        <v>#VALUE!</v>
      </c>
      <c r="AH739" s="446" t="e">
        <f>IF(OR($B739="",MIN(AH$38,$D$19)&lt;MAX($P$708*($B739+IF($R$17="Distrato",$I$38-1,0)),IF(AND($L$711=0,$P$708=0),"",$L$711-1),IF($R$17="Distrato",$E739,0))),0,YEARFRAC(MAX($P$708*($B739+IF($R$17="Distrato",$I$38-1,0)),IF(AND($L$711=0,$P$708=0),"",$L$711-1),IF($R$17="Distrato",$E739,0)),MIN(AH$38,$D$19),$P$20))-SUM($P739:AG739)</f>
        <v>#VALUE!</v>
      </c>
      <c r="AI739" s="446" t="e">
        <f>IF(OR($B739="",MIN(AI$38,$D$19)&lt;MAX($P$708*($B739+IF($R$17="Distrato",$I$38-1,0)),IF(AND($L$711=0,$P$708=0),"",$L$711-1),IF($R$17="Distrato",$E739,0))),0,YEARFRAC(MAX($P$708*($B739+IF($R$17="Distrato",$I$38-1,0)),IF(AND($L$711=0,$P$708=0),"",$L$711-1),IF($R$17="Distrato",$E739,0)),MIN(AI$38,$D$19),$P$20))-SUM($P739:AH739)</f>
        <v>#VALUE!</v>
      </c>
      <c r="AJ739" s="446" t="e">
        <f>IF(OR($B739="",MIN(AJ$38,$D$19)&lt;MAX($P$708*($B739+IF($R$17="Distrato",$I$38-1,0)),IF(AND($L$711=0,$P$708=0),"",$L$711-1),IF($R$17="Distrato",$E739,0))),0,YEARFRAC(MAX($P$708*($B739+IF($R$17="Distrato",$I$38-1,0)),IF(AND($L$711=0,$P$708=0),"",$L$711-1),IF($R$17="Distrato",$E739,0)),MIN(AJ$38,$D$19),$P$20))-SUM($P739:AI739)</f>
        <v>#VALUE!</v>
      </c>
      <c r="AK739" s="446" t="e">
        <f>IF(OR($B739="",MIN(AK$38,$D$19)&lt;MAX($P$708*($B739+IF($R$17="Distrato",$I$38-1,0)),IF(AND($L$711=0,$P$708=0),"",$L$711-1),IF($R$17="Distrato",$E739,0))),0,YEARFRAC(MAX($P$708*($B739+IF($R$17="Distrato",$I$38-1,0)),IF(AND($L$711=0,$P$708=0),"",$L$711-1),IF($R$17="Distrato",$E739,0)),MIN(AK$38,$D$19),$P$20))-SUM($P739:AJ739)</f>
        <v>#VALUE!</v>
      </c>
      <c r="AL739" s="446" t="e">
        <f>IF(OR($B739="",MIN(AL$38,$D$19)&lt;MAX($P$708*($B739+IF($R$17="Distrato",$I$38-1,0)),IF(AND($L$711=0,$P$708=0),"",$L$711-1),IF($R$17="Distrato",$E739,0))),0,YEARFRAC(MAX($P$708*($B739+IF($R$17="Distrato",$I$38-1,0)),IF(AND($L$711=0,$P$708=0),"",$L$711-1),IF($R$17="Distrato",$E739,0)),MIN(AL$38,$D$19),$P$20))-SUM($P739:AK739)</f>
        <v>#VALUE!</v>
      </c>
      <c r="AM739" s="446" t="e">
        <f>IF(OR($B739="",MIN(AM$38,$D$19)&lt;MAX($P$708*($B739+IF($R$17="Distrato",$I$38-1,0)),IF(AND($L$711=0,$P$708=0),"",$L$711-1),IF($R$17="Distrato",$E739,0))),0,YEARFRAC(MAX($P$708*($B739+IF($R$17="Distrato",$I$38-1,0)),IF(AND($L$711=0,$P$708=0),"",$L$711-1),IF($R$17="Distrato",$E739,0)),MIN(AM$38,$D$19),$P$20))-SUM($P739:AL739)</f>
        <v>#VALUE!</v>
      </c>
      <c r="AN739" s="446" t="e">
        <f>IF(OR($B739="",MIN(AN$38,$D$19)&lt;MAX($P$708*($B739+IF($R$17="Distrato",$I$38-1,0)),IF(AND($L$711=0,$P$708=0),"",$L$711-1),IF($R$17="Distrato",$E739,0))),0,YEARFRAC(MAX($P$708*($B739+IF($R$17="Distrato",$I$38-1,0)),IF(AND($L$711=0,$P$708=0),"",$L$711-1),IF($R$17="Distrato",$E739,0)),MIN(AN$38,$D$19),$P$20))-SUM($P739:AM739)</f>
        <v>#VALUE!</v>
      </c>
      <c r="AO739" s="446" t="e">
        <f>IF(OR($B739="",MIN(AO$38,$D$19)&lt;MAX($P$708*($B739+IF($R$17="Distrato",$I$38-1,0)),IF(AND($L$711=0,$P$708=0),"",$L$711-1),IF($R$17="Distrato",$E739,0))),0,YEARFRAC(MAX($P$708*($B739+IF($R$17="Distrato",$I$38-1,0)),IF(AND($L$711=0,$P$708=0),"",$L$711-1),IF($R$17="Distrato",$E739,0)),MIN(AO$38,$D$19),$P$20))-SUM($P739:AN739)</f>
        <v>#VALUE!</v>
      </c>
      <c r="AP739" s="446" t="e">
        <f>IF(OR($B739="",MIN(AP$38,$D$19)&lt;MAX($P$708*($B739+IF($R$17="Distrato",$I$38-1,0)),IF(AND($L$711=0,$P$708=0),"",$L$711-1),IF($R$17="Distrato",$E739,0))),0,YEARFRAC(MAX($P$708*($B739+IF($R$17="Distrato",$I$38-1,0)),IF(AND($L$711=0,$P$708=0),"",$L$711-1),IF($R$17="Distrato",$E739,0)),MIN(AP$38,$D$19),$P$20))-SUM($P739:AO739)</f>
        <v>#VALUE!</v>
      </c>
      <c r="AQ739" s="446" t="e">
        <f>IF(OR($B739="",MIN(AQ$38,$D$19)&lt;MAX($P$708*($B739+IF($R$17="Distrato",$I$38-1,0)),IF(AND($L$711=0,$P$708=0),"",$L$711-1),IF($R$17="Distrato",$E739,0))),0,YEARFRAC(MAX($P$708*($B739+IF($R$17="Distrato",$I$38-1,0)),IF(AND($L$711=0,$P$708=0),"",$L$711-1),IF($R$17="Distrato",$E739,0)),MIN(AQ$38,$D$19),$P$20))-SUM($P739:AP739)</f>
        <v>#VALUE!</v>
      </c>
      <c r="AR739" s="446" t="e">
        <f>IF(OR($B739="",MIN(AR$38,$D$19)&lt;MAX($P$708*($B739+IF($R$17="Distrato",$I$38-1,0)),IF(AND($L$711=0,$P$708=0),"",$L$711-1),IF($R$17="Distrato",$E739,0))),0,YEARFRAC(MAX($P$708*($B739+IF($R$17="Distrato",$I$38-1,0)),IF(AND($L$711=0,$P$708=0),"",$L$711-1),IF($R$17="Distrato",$E739,0)),MIN(AR$38,$D$19),$P$20))-SUM($P739:AQ739)</f>
        <v>#VALUE!</v>
      </c>
      <c r="AS739" s="446" t="e">
        <f>IF(OR($B739="",MIN(AS$38,$D$19)&lt;MAX($P$708*($B739+IF($R$17="Distrato",$I$38-1,0)),IF(AND($L$711=0,$P$708=0),"",$L$711-1),IF($R$17="Distrato",$E739,0))),0,YEARFRAC(MAX($P$708*($B739+IF($R$17="Distrato",$I$38-1,0)),IF(AND($L$711=0,$P$708=0),"",$L$711-1),IF($R$17="Distrato",$E739,0)),MIN(AS$38,$D$19),$P$20))-SUM($P739:AR739)</f>
        <v>#VALUE!</v>
      </c>
      <c r="AT739" s="446" t="e">
        <f>IF(OR($B739="",MIN(AT$38,$D$19)&lt;MAX($P$708*($B739+IF($R$17="Distrato",$I$38-1,0)),IF(AND($L$711=0,$P$708=0),"",$L$711-1),IF($R$17="Distrato",$E739,0))),0,YEARFRAC(MAX($P$708*($B739+IF($R$17="Distrato",$I$38-1,0)),IF(AND($L$711=0,$P$708=0),"",$L$711-1),IF($R$17="Distrato",$E739,0)),MIN(AT$38,$D$19),$P$20))-SUM($P739:AS739)</f>
        <v>#VALUE!</v>
      </c>
      <c r="AU739" s="446" t="e">
        <f>IF(OR($B739="",MIN(AU$38,$D$19)&lt;MAX($P$708*($B739+IF($R$17="Distrato",$I$38-1,0)),IF(AND($L$711=0,$P$708=0),"",$L$711-1),IF($R$17="Distrato",$E739,0))),0,YEARFRAC(MAX($P$708*($B739+IF($R$17="Distrato",$I$38-1,0)),IF(AND($L$711=0,$P$708=0),"",$L$711-1),IF($R$17="Distrato",$E739,0)),MIN(AU$38,$D$19),$P$20))-SUM($P739:AT739)</f>
        <v>#VALUE!</v>
      </c>
      <c r="AV739" s="446" t="e">
        <f>IF(OR($B739="",MIN(AV$38,$D$19)&lt;MAX($P$708*($B739+IF($R$17="Distrato",$I$38-1,0)),IF(AND($L$711=0,$P$708=0),"",$L$711-1),IF($R$17="Distrato",$E739,0))),0,YEARFRAC(MAX($P$708*($B739+IF($R$17="Distrato",$I$38-1,0)),IF(AND($L$711=0,$P$708=0),"",$L$711-1),IF($R$17="Distrato",$E739,0)),MIN(AV$38,$D$19),$P$20))-SUM($P739:AU739)</f>
        <v>#VALUE!</v>
      </c>
      <c r="AW739" s="446" t="e">
        <f>IF(OR($B739="",MIN(AW$38,$D$19)&lt;MAX($P$708*($B739+IF($R$17="Distrato",$I$38-1,0)),IF(AND($L$711=0,$P$708=0),"",$L$711-1),IF($R$17="Distrato",$E739,0))),0,YEARFRAC(MAX($P$708*($B739+IF($R$17="Distrato",$I$38-1,0)),IF(AND($L$711=0,$P$708=0),"",$L$711-1),IF($R$17="Distrato",$E739,0)),MIN(AW$38,$D$19),$P$20))-SUM($P739:AV739)</f>
        <v>#VALUE!</v>
      </c>
      <c r="AX739" s="446" t="e">
        <f>IF(OR($B739="",MIN(AX$38,$D$19)&lt;MAX($P$708*($B739+IF($R$17="Distrato",$I$38-1,0)),IF(AND($L$711=0,$P$708=0),"",$L$711-1),IF($R$17="Distrato",$E739,0))),0,YEARFRAC(MAX($P$708*($B739+IF($R$17="Distrato",$I$38-1,0)),IF(AND($L$711=0,$P$708=0),"",$L$711-1),IF($R$17="Distrato",$E739,0)),MIN(AX$38,$D$19),$P$20))-SUM($P739:AW739)</f>
        <v>#VALUE!</v>
      </c>
      <c r="AY739" s="446" t="e">
        <f>IF(OR($B739="",MIN(AY$38,$D$19)&lt;MAX($P$708*($B739+IF($R$17="Distrato",$I$38-1,0)),IF(AND($L$711=0,$P$708=0),"",$L$711-1),IF($R$17="Distrato",$E739,0))),0,YEARFRAC(MAX($P$708*($B739+IF($R$17="Distrato",$I$38-1,0)),IF(AND($L$711=0,$P$708=0),"",$L$711-1),IF($R$17="Distrato",$E739,0)),MIN(AY$38,$D$19),$P$20))-SUM($P739:AX739)</f>
        <v>#VALUE!</v>
      </c>
      <c r="AZ739" s="446" t="e">
        <f>IF(OR($B739="",MIN(AZ$38,$D$19)&lt;MAX($P$708*($B739+IF($R$17="Distrato",$I$38-1,0)),IF(AND($L$711=0,$P$708=0),"",$L$711-1),IF($R$17="Distrato",$E739,0))),0,YEARFRAC(MAX($P$708*($B739+IF($R$17="Distrato",$I$38-1,0)),IF(AND($L$711=0,$P$708=0),"",$L$711-1),IF($R$17="Distrato",$E739,0)),MIN(AZ$38,$D$19),$P$20))-SUM($P739:AY739)</f>
        <v>#VALUE!</v>
      </c>
      <c r="BA739" s="446" t="e">
        <f>IF(OR($B739="",MIN(BA$38,$D$19)&lt;MAX($P$708*($B739+IF($R$17="Distrato",$I$38-1,0)),IF(AND($L$711=0,$P$708=0),"",$L$711-1),IF($R$17="Distrato",$E739,0))),0,YEARFRAC(MAX($P$708*($B739+IF($R$17="Distrato",$I$38-1,0)),IF(AND($L$711=0,$P$708=0),"",$L$711-1),IF($R$17="Distrato",$E739,0)),MIN(BA$38,$D$19),$P$20))-SUM($P739:AZ739)</f>
        <v>#VALUE!</v>
      </c>
      <c r="BB739" s="447"/>
    </row>
    <row r="740" spans="1:54" s="446" customFormat="1" ht="11.25" hidden="1" customHeight="1" x14ac:dyDescent="0.2">
      <c r="A740" s="235"/>
      <c r="B740" s="236"/>
      <c r="C740" s="29" t="str">
        <f>IF(B740="","",IF($L$709=$BL$25,VLOOKUP(DATE(YEAR($D$19),MONTH($D$19)-1,1),ÍNDICES!$A:$DE,HLOOKUP($BL$25,ÍNDICES!$B$3:$T$4,2)+11)-VLOOKUP(B740,ÍNDICES!$A:$DE,HLOOKUP($BL$25,ÍNDICES!$B$3:$T$4,2)+11)+1%,IF(C$712=$W$26,$J$35,IF(ISERROR(IF(B740&gt;$D$19,1,VLOOKUP(DATE(YEAR(B740),MONTH(B740)+IF($C$709=$S$23,1,0),1),ÍNDICES!$A:$DE,$Z$709+1))),"",IF(B740&gt;$D$19,1,VLOOKUP(DATE(YEAR(B740),MONTH(B740)+IF($C$709=$S$23,1,0),1),ÍNDICES!$A:$DE,$Z$709+1))))))</f>
        <v/>
      </c>
      <c r="D740" s="155"/>
      <c r="E740" s="88"/>
      <c r="F740" s="88"/>
      <c r="G740" s="88"/>
      <c r="H740" s="118"/>
      <c r="I740" s="182">
        <f t="shared" si="115"/>
        <v>0</v>
      </c>
      <c r="J740" s="20">
        <f t="shared" ca="1" si="116"/>
        <v>0</v>
      </c>
      <c r="K740" s="5">
        <f t="shared" ca="1" si="117"/>
        <v>0</v>
      </c>
      <c r="L740" s="61">
        <f t="shared" ca="1" si="118"/>
        <v>0</v>
      </c>
      <c r="M740" s="64">
        <f t="shared" si="119"/>
        <v>0</v>
      </c>
      <c r="N740" s="151"/>
      <c r="O740" s="5">
        <f t="shared" ca="1" si="120"/>
        <v>0</v>
      </c>
      <c r="P740" s="446" t="e">
        <f t="shared" si="121"/>
        <v>#VALUE!</v>
      </c>
      <c r="Q740" s="446" t="e">
        <f>IF(OR($B740="",MIN(Q$38,$D$19)&lt;MAX($P$708*($B740+IF($R$17="Distrato",$I$38-1,0)),IF(AND($L$711=0,$P$708=0),"",$L$711-1),IF($R$17="Distrato",$E740,0))),0,YEARFRAC(MAX($P$708*($B740+IF($R$17="Distrato",$I$38-1,0)),IF(AND($L$711=0,$P$708=0),"",$L$711-1),IF($R$17="Distrato",$E740,0)),MIN(Q$38,$D$19),$P$20))-SUM($P740:P740)</f>
        <v>#VALUE!</v>
      </c>
      <c r="R740" s="446" t="e">
        <f>IF(OR($B740="",MIN(R$38,$D$19)&lt;MAX($P$708*($B740+IF($R$17="Distrato",$I$38-1,0)),IF(AND($L$711=0,$P$708=0),"",$L$711-1),IF($R$17="Distrato",$E740,0))),0,YEARFRAC(MAX($P$708*($B740+IF($R$17="Distrato",$I$38-1,0)),IF(AND($L$711=0,$P$708=0),"",$L$711-1),IF($R$17="Distrato",$E740,0)),MIN(R$38,$D$19),$P$20))-SUM($P740:Q740)</f>
        <v>#VALUE!</v>
      </c>
      <c r="S740" s="446" t="e">
        <f>IF(OR($B740="",MIN(S$38,$D$19)&lt;MAX($P$708*($B740+IF($R$17="Distrato",$I$38-1,0)),IF(AND($L$711=0,$P$708=0),"",$L$711-1),IF($R$17="Distrato",$E740,0))),0,YEARFRAC(MAX($P$708*($B740+IF($R$17="Distrato",$I$38-1,0)),IF(AND($L$711=0,$P$708=0),"",$L$711-1),IF($R$17="Distrato",$E740,0)),MIN(S$38,$D$19),$P$20))-SUM($P740:R740)</f>
        <v>#VALUE!</v>
      </c>
      <c r="T740" s="446" t="e">
        <f>IF(OR($B740="",MIN(T$38,$D$19)&lt;MAX($P$708*($B740+IF($R$17="Distrato",$I$38-1,0)),IF(AND($L$711=0,$P$708=0),"",$L$711-1),IF($R$17="Distrato",$E740,0))),0,YEARFRAC(MAX($P$708*($B740+IF($R$17="Distrato",$I$38-1,0)),IF(AND($L$711=0,$P$708=0),"",$L$711-1),IF($R$17="Distrato",$E740,0)),MIN(T$38,$D$19),$P$20))-SUM($P740:S740)</f>
        <v>#VALUE!</v>
      </c>
      <c r="U740" s="446" t="e">
        <f>IF(OR($B740="",MIN(U$38,$D$19)&lt;MAX($P$708*($B740+IF($R$17="Distrato",$I$38-1,0)),IF(AND($L$711=0,$P$708=0),"",$L$711-1),IF($R$17="Distrato",$E740,0))),0,YEARFRAC(MAX($P$708*($B740+IF($R$17="Distrato",$I$38-1,0)),IF(AND($L$711=0,$P$708=0),"",$L$711-1),IF($R$17="Distrato",$E740,0)),MIN(U$38,$D$19),$P$20))-SUM($P740:T740)</f>
        <v>#VALUE!</v>
      </c>
      <c r="V740" s="446" t="e">
        <f>IF(OR($B740="",MIN(V$38,$D$19)&lt;MAX($P$708*($B740+IF($R$17="Distrato",$I$38-1,0)),IF(AND($L$711=0,$P$708=0),"",$L$711-1),IF($R$17="Distrato",$E740,0))),0,YEARFRAC(MAX($P$708*($B740+IF($R$17="Distrato",$I$38-1,0)),IF(AND($L$711=0,$P$708=0),"",$L$711-1),IF($R$17="Distrato",$E740,0)),MIN(V$38,$D$19),$P$20))-SUM($P740:U740)</f>
        <v>#VALUE!</v>
      </c>
      <c r="W740" s="446" t="e">
        <f>IF(OR($B740="",MIN(W$38,$D$19)&lt;MAX($P$708*($B740+IF($R$17="Distrato",$I$38-1,0)),IF(AND($L$711=0,$P$708=0),"",$L$711-1),IF($R$17="Distrato",$E740,0))),0,YEARFRAC(MAX($P$708*($B740+IF($R$17="Distrato",$I$38-1,0)),IF(AND($L$711=0,$P$708=0),"",$L$711-1),IF($R$17="Distrato",$E740,0)),MIN(W$38,$D$19),$P$20))-SUM($P740:V740)</f>
        <v>#VALUE!</v>
      </c>
      <c r="X740" s="446" t="e">
        <f>IF(OR($B740="",MIN(X$38,$D$19)&lt;MAX($P$708*($B740+IF($R$17="Distrato",$I$38-1,0)),IF(AND($L$711=0,$P$708=0),"",$L$711-1),IF($R$17="Distrato",$E740,0))),0,YEARFRAC(MAX($P$708*($B740+IF($R$17="Distrato",$I$38-1,0)),IF(AND($L$711=0,$P$708=0),"",$L$711-1),IF($R$17="Distrato",$E740,0)),MIN(X$38,$D$19),$P$20))-SUM($P740:W740)</f>
        <v>#VALUE!</v>
      </c>
      <c r="Y740" s="446" t="e">
        <f>IF(OR($B740="",MIN(Y$38,$D$19)&lt;MAX($P$708*($B740+IF($R$17="Distrato",$I$38-1,0)),IF(AND($L$711=0,$P$708=0),"",$L$711-1),IF($R$17="Distrato",$E740,0))),0,YEARFRAC(MAX($P$708*($B740+IF($R$17="Distrato",$I$38-1,0)),IF(AND($L$711=0,$P$708=0),"",$L$711-1),IF($R$17="Distrato",$E740,0)),MIN(Y$38,$D$19),$P$20))-SUM($P740:X740)</f>
        <v>#VALUE!</v>
      </c>
      <c r="Z740" s="446" t="e">
        <f>IF(OR($B740="",MIN(Z$38,$D$19)&lt;MAX($P$708*($B740+IF($R$17="Distrato",$I$38-1,0)),IF(AND($L$711=0,$P$708=0),"",$L$711-1),IF($R$17="Distrato",$E740,0))),0,YEARFRAC(MAX($P$708*($B740+IF($R$17="Distrato",$I$38-1,0)),IF(AND($L$711=0,$P$708=0),"",$L$711-1),IF($R$17="Distrato",$E740,0)),MIN(Z$38,$D$19),$P$20))-SUM($P740:Y740)</f>
        <v>#VALUE!</v>
      </c>
      <c r="AA740" s="446" t="e">
        <f>IF(OR($B740="",MIN(AA$38,$D$19)&lt;MAX($P$708*($B740+IF($R$17="Distrato",$I$38-1,0)),IF(AND($L$711=0,$P$708=0),"",$L$711-1),IF($R$17="Distrato",$E740,0))),0,YEARFRAC(MAX($P$708*($B740+IF($R$17="Distrato",$I$38-1,0)),IF(AND($L$711=0,$P$708=0),"",$L$711-1),IF($R$17="Distrato",$E740,0)),MIN(AA$38,$D$19),$P$20))-SUM($P740:Z740)</f>
        <v>#VALUE!</v>
      </c>
      <c r="AB740" s="446" t="e">
        <f>IF(OR($B740="",MIN(AB$38,$D$19)&lt;MAX($P$708*($B740+IF($R$17="Distrato",$I$38-1,0)),IF(AND($L$711=0,$P$708=0),"",$L$711-1),IF($R$17="Distrato",$E740,0))),0,YEARFRAC(MAX($P$708*($B740+IF($R$17="Distrato",$I$38-1,0)),IF(AND($L$711=0,$P$708=0),"",$L$711-1),IF($R$17="Distrato",$E740,0)),MIN(AB$38,$D$19),$P$20))-SUM($P740:AA740)</f>
        <v>#VALUE!</v>
      </c>
      <c r="AC740" s="446" t="e">
        <f>IF(OR($B740="",MIN(AC$38,$D$19)&lt;MAX($P$708*($B740+IF($R$17="Distrato",$I$38-1,0)),IF(AND($L$711=0,$P$708=0),"",$L$711-1),IF($R$17="Distrato",$E740,0))),0,YEARFRAC(MAX($P$708*($B740+IF($R$17="Distrato",$I$38-1,0)),IF(AND($L$711=0,$P$708=0),"",$L$711-1),IF($R$17="Distrato",$E740,0)),MIN(AC$38,$D$19),$P$20))-SUM($P740:AB740)</f>
        <v>#VALUE!</v>
      </c>
      <c r="AD740" s="446" t="e">
        <f>IF(OR($B740="",MIN(AD$38,$D$19)&lt;MAX($P$708*($B740+IF($R$17="Distrato",$I$38-1,0)),IF(AND($L$711=0,$P$708=0),"",$L$711-1),IF($R$17="Distrato",$E740,0))),0,YEARFRAC(MAX($P$708*($B740+IF($R$17="Distrato",$I$38-1,0)),IF(AND($L$711=0,$P$708=0),"",$L$711-1),IF($R$17="Distrato",$E740,0)),MIN(AD$38,$D$19),$P$20))-SUM($P740:AC740)</f>
        <v>#VALUE!</v>
      </c>
      <c r="AE740" s="446" t="e">
        <f>IF(OR($B740="",MIN(AE$38,$D$19)&lt;MAX($P$708*($B740+IF($R$17="Distrato",$I$38-1,0)),IF(AND($L$711=0,$P$708=0),"",$L$711-1),IF($R$17="Distrato",$E740,0))),0,YEARFRAC(MAX($P$708*($B740+IF($R$17="Distrato",$I$38-1,0)),IF(AND($L$711=0,$P$708=0),"",$L$711-1),IF($R$17="Distrato",$E740,0)),MIN(AE$38,$D$19),$P$20))-SUM($P740:AD740)</f>
        <v>#VALUE!</v>
      </c>
      <c r="AF740" s="446" t="e">
        <f>IF(OR($B740="",MIN(AF$38,$D$19)&lt;MAX($P$708*($B740+IF($R$17="Distrato",$I$38-1,0)),IF(AND($L$711=0,$P$708=0),"",$L$711-1),IF($R$17="Distrato",$E740,0))),0,YEARFRAC(MAX($P$708*($B740+IF($R$17="Distrato",$I$38-1,0)),IF(AND($L$711=0,$P$708=0),"",$L$711-1),IF($R$17="Distrato",$E740,0)),MIN(AF$38,$D$19),$P$20))-SUM($P740:AE740)</f>
        <v>#VALUE!</v>
      </c>
      <c r="AG740" s="446" t="e">
        <f>IF(OR($B740="",MIN(AG$38,$D$19)&lt;MAX($P$708*($B740+IF($R$17="Distrato",$I$38-1,0)),IF(AND($L$711=0,$P$708=0),"",$L$711-1),IF($R$17="Distrato",$E740,0))),0,YEARFRAC(MAX($P$708*($B740+IF($R$17="Distrato",$I$38-1,0)),IF(AND($L$711=0,$P$708=0),"",$L$711-1),IF($R$17="Distrato",$E740,0)),MIN(AG$38,$D$19),$P$20))-SUM($P740:AF740)</f>
        <v>#VALUE!</v>
      </c>
      <c r="AH740" s="446" t="e">
        <f>IF(OR($B740="",MIN(AH$38,$D$19)&lt;MAX($P$708*($B740+IF($R$17="Distrato",$I$38-1,0)),IF(AND($L$711=0,$P$708=0),"",$L$711-1),IF($R$17="Distrato",$E740,0))),0,YEARFRAC(MAX($P$708*($B740+IF($R$17="Distrato",$I$38-1,0)),IF(AND($L$711=0,$P$708=0),"",$L$711-1),IF($R$17="Distrato",$E740,0)),MIN(AH$38,$D$19),$P$20))-SUM($P740:AG740)</f>
        <v>#VALUE!</v>
      </c>
      <c r="AI740" s="446" t="e">
        <f>IF(OR($B740="",MIN(AI$38,$D$19)&lt;MAX($P$708*($B740+IF($R$17="Distrato",$I$38-1,0)),IF(AND($L$711=0,$P$708=0),"",$L$711-1),IF($R$17="Distrato",$E740,0))),0,YEARFRAC(MAX($P$708*($B740+IF($R$17="Distrato",$I$38-1,0)),IF(AND($L$711=0,$P$708=0),"",$L$711-1),IF($R$17="Distrato",$E740,0)),MIN(AI$38,$D$19),$P$20))-SUM($P740:AH740)</f>
        <v>#VALUE!</v>
      </c>
      <c r="AJ740" s="446" t="e">
        <f>IF(OR($B740="",MIN(AJ$38,$D$19)&lt;MAX($P$708*($B740+IF($R$17="Distrato",$I$38-1,0)),IF(AND($L$711=0,$P$708=0),"",$L$711-1),IF($R$17="Distrato",$E740,0))),0,YEARFRAC(MAX($P$708*($B740+IF($R$17="Distrato",$I$38-1,0)),IF(AND($L$711=0,$P$708=0),"",$L$711-1),IF($R$17="Distrato",$E740,0)),MIN(AJ$38,$D$19),$P$20))-SUM($P740:AI740)</f>
        <v>#VALUE!</v>
      </c>
      <c r="AK740" s="446" t="e">
        <f>IF(OR($B740="",MIN(AK$38,$D$19)&lt;MAX($P$708*($B740+IF($R$17="Distrato",$I$38-1,0)),IF(AND($L$711=0,$P$708=0),"",$L$711-1),IF($R$17="Distrato",$E740,0))),0,YEARFRAC(MAX($P$708*($B740+IF($R$17="Distrato",$I$38-1,0)),IF(AND($L$711=0,$P$708=0),"",$L$711-1),IF($R$17="Distrato",$E740,0)),MIN(AK$38,$D$19),$P$20))-SUM($P740:AJ740)</f>
        <v>#VALUE!</v>
      </c>
      <c r="AL740" s="446" t="e">
        <f>IF(OR($B740="",MIN(AL$38,$D$19)&lt;MAX($P$708*($B740+IF($R$17="Distrato",$I$38-1,0)),IF(AND($L$711=0,$P$708=0),"",$L$711-1),IF($R$17="Distrato",$E740,0))),0,YEARFRAC(MAX($P$708*($B740+IF($R$17="Distrato",$I$38-1,0)),IF(AND($L$711=0,$P$708=0),"",$L$711-1),IF($R$17="Distrato",$E740,0)),MIN(AL$38,$D$19),$P$20))-SUM($P740:AK740)</f>
        <v>#VALUE!</v>
      </c>
      <c r="AM740" s="446" t="e">
        <f>IF(OR($B740="",MIN(AM$38,$D$19)&lt;MAX($P$708*($B740+IF($R$17="Distrato",$I$38-1,0)),IF(AND($L$711=0,$P$708=0),"",$L$711-1),IF($R$17="Distrato",$E740,0))),0,YEARFRAC(MAX($P$708*($B740+IF($R$17="Distrato",$I$38-1,0)),IF(AND($L$711=0,$P$708=0),"",$L$711-1),IF($R$17="Distrato",$E740,0)),MIN(AM$38,$D$19),$P$20))-SUM($P740:AL740)</f>
        <v>#VALUE!</v>
      </c>
      <c r="AN740" s="446" t="e">
        <f>IF(OR($B740="",MIN(AN$38,$D$19)&lt;MAX($P$708*($B740+IF($R$17="Distrato",$I$38-1,0)),IF(AND($L$711=0,$P$708=0),"",$L$711-1),IF($R$17="Distrato",$E740,0))),0,YEARFRAC(MAX($P$708*($B740+IF($R$17="Distrato",$I$38-1,0)),IF(AND($L$711=0,$P$708=0),"",$L$711-1),IF($R$17="Distrato",$E740,0)),MIN(AN$38,$D$19),$P$20))-SUM($P740:AM740)</f>
        <v>#VALUE!</v>
      </c>
      <c r="AO740" s="446" t="e">
        <f>IF(OR($B740="",MIN(AO$38,$D$19)&lt;MAX($P$708*($B740+IF($R$17="Distrato",$I$38-1,0)),IF(AND($L$711=0,$P$708=0),"",$L$711-1),IF($R$17="Distrato",$E740,0))),0,YEARFRAC(MAX($P$708*($B740+IF($R$17="Distrato",$I$38-1,0)),IF(AND($L$711=0,$P$708=0),"",$L$711-1),IF($R$17="Distrato",$E740,0)),MIN(AO$38,$D$19),$P$20))-SUM($P740:AN740)</f>
        <v>#VALUE!</v>
      </c>
      <c r="AP740" s="446" t="e">
        <f>IF(OR($B740="",MIN(AP$38,$D$19)&lt;MAX($P$708*($B740+IF($R$17="Distrato",$I$38-1,0)),IF(AND($L$711=0,$P$708=0),"",$L$711-1),IF($R$17="Distrato",$E740,0))),0,YEARFRAC(MAX($P$708*($B740+IF($R$17="Distrato",$I$38-1,0)),IF(AND($L$711=0,$P$708=0),"",$L$711-1),IF($R$17="Distrato",$E740,0)),MIN(AP$38,$D$19),$P$20))-SUM($P740:AO740)</f>
        <v>#VALUE!</v>
      </c>
      <c r="AQ740" s="446" t="e">
        <f>IF(OR($B740="",MIN(AQ$38,$D$19)&lt;MAX($P$708*($B740+IF($R$17="Distrato",$I$38-1,0)),IF(AND($L$711=0,$P$708=0),"",$L$711-1),IF($R$17="Distrato",$E740,0))),0,YEARFRAC(MAX($P$708*($B740+IF($R$17="Distrato",$I$38-1,0)),IF(AND($L$711=0,$P$708=0),"",$L$711-1),IF($R$17="Distrato",$E740,0)),MIN(AQ$38,$D$19),$P$20))-SUM($P740:AP740)</f>
        <v>#VALUE!</v>
      </c>
      <c r="AR740" s="446" t="e">
        <f>IF(OR($B740="",MIN(AR$38,$D$19)&lt;MAX($P$708*($B740+IF($R$17="Distrato",$I$38-1,0)),IF(AND($L$711=0,$P$708=0),"",$L$711-1),IF($R$17="Distrato",$E740,0))),0,YEARFRAC(MAX($P$708*($B740+IF($R$17="Distrato",$I$38-1,0)),IF(AND($L$711=0,$P$708=0),"",$L$711-1),IF($R$17="Distrato",$E740,0)),MIN(AR$38,$D$19),$P$20))-SUM($P740:AQ740)</f>
        <v>#VALUE!</v>
      </c>
      <c r="AS740" s="446" t="e">
        <f>IF(OR($B740="",MIN(AS$38,$D$19)&lt;MAX($P$708*($B740+IF($R$17="Distrato",$I$38-1,0)),IF(AND($L$711=0,$P$708=0),"",$L$711-1),IF($R$17="Distrato",$E740,0))),0,YEARFRAC(MAX($P$708*($B740+IF($R$17="Distrato",$I$38-1,0)),IF(AND($L$711=0,$P$708=0),"",$L$711-1),IF($R$17="Distrato",$E740,0)),MIN(AS$38,$D$19),$P$20))-SUM($P740:AR740)</f>
        <v>#VALUE!</v>
      </c>
      <c r="AT740" s="446" t="e">
        <f>IF(OR($B740="",MIN(AT$38,$D$19)&lt;MAX($P$708*($B740+IF($R$17="Distrato",$I$38-1,0)),IF(AND($L$711=0,$P$708=0),"",$L$711-1),IF($R$17="Distrato",$E740,0))),0,YEARFRAC(MAX($P$708*($B740+IF($R$17="Distrato",$I$38-1,0)),IF(AND($L$711=0,$P$708=0),"",$L$711-1),IF($R$17="Distrato",$E740,0)),MIN(AT$38,$D$19),$P$20))-SUM($P740:AS740)</f>
        <v>#VALUE!</v>
      </c>
      <c r="AU740" s="446" t="e">
        <f>IF(OR($B740="",MIN(AU$38,$D$19)&lt;MAX($P$708*($B740+IF($R$17="Distrato",$I$38-1,0)),IF(AND($L$711=0,$P$708=0),"",$L$711-1),IF($R$17="Distrato",$E740,0))),0,YEARFRAC(MAX($P$708*($B740+IF($R$17="Distrato",$I$38-1,0)),IF(AND($L$711=0,$P$708=0),"",$L$711-1),IF($R$17="Distrato",$E740,0)),MIN(AU$38,$D$19),$P$20))-SUM($P740:AT740)</f>
        <v>#VALUE!</v>
      </c>
      <c r="AV740" s="446" t="e">
        <f>IF(OR($B740="",MIN(AV$38,$D$19)&lt;MAX($P$708*($B740+IF($R$17="Distrato",$I$38-1,0)),IF(AND($L$711=0,$P$708=0),"",$L$711-1),IF($R$17="Distrato",$E740,0))),0,YEARFRAC(MAX($P$708*($B740+IF($R$17="Distrato",$I$38-1,0)),IF(AND($L$711=0,$P$708=0),"",$L$711-1),IF($R$17="Distrato",$E740,0)),MIN(AV$38,$D$19),$P$20))-SUM($P740:AU740)</f>
        <v>#VALUE!</v>
      </c>
      <c r="AW740" s="446" t="e">
        <f>IF(OR($B740="",MIN(AW$38,$D$19)&lt;MAX($P$708*($B740+IF($R$17="Distrato",$I$38-1,0)),IF(AND($L$711=0,$P$708=0),"",$L$711-1),IF($R$17="Distrato",$E740,0))),0,YEARFRAC(MAX($P$708*($B740+IF($R$17="Distrato",$I$38-1,0)),IF(AND($L$711=0,$P$708=0),"",$L$711-1),IF($R$17="Distrato",$E740,0)),MIN(AW$38,$D$19),$P$20))-SUM($P740:AV740)</f>
        <v>#VALUE!</v>
      </c>
      <c r="AX740" s="446" t="e">
        <f>IF(OR($B740="",MIN(AX$38,$D$19)&lt;MAX($P$708*($B740+IF($R$17="Distrato",$I$38-1,0)),IF(AND($L$711=0,$P$708=0),"",$L$711-1),IF($R$17="Distrato",$E740,0))),0,YEARFRAC(MAX($P$708*($B740+IF($R$17="Distrato",$I$38-1,0)),IF(AND($L$711=0,$P$708=0),"",$L$711-1),IF($R$17="Distrato",$E740,0)),MIN(AX$38,$D$19),$P$20))-SUM($P740:AW740)</f>
        <v>#VALUE!</v>
      </c>
      <c r="AY740" s="446" t="e">
        <f>IF(OR($B740="",MIN(AY$38,$D$19)&lt;MAX($P$708*($B740+IF($R$17="Distrato",$I$38-1,0)),IF(AND($L$711=0,$P$708=0),"",$L$711-1),IF($R$17="Distrato",$E740,0))),0,YEARFRAC(MAX($P$708*($B740+IF($R$17="Distrato",$I$38-1,0)),IF(AND($L$711=0,$P$708=0),"",$L$711-1),IF($R$17="Distrato",$E740,0)),MIN(AY$38,$D$19),$P$20))-SUM($P740:AX740)</f>
        <v>#VALUE!</v>
      </c>
      <c r="AZ740" s="446" t="e">
        <f>IF(OR($B740="",MIN(AZ$38,$D$19)&lt;MAX($P$708*($B740+IF($R$17="Distrato",$I$38-1,0)),IF(AND($L$711=0,$P$708=0),"",$L$711-1),IF($R$17="Distrato",$E740,0))),0,YEARFRAC(MAX($P$708*($B740+IF($R$17="Distrato",$I$38-1,0)),IF(AND($L$711=0,$P$708=0),"",$L$711-1),IF($R$17="Distrato",$E740,0)),MIN(AZ$38,$D$19),$P$20))-SUM($P740:AY740)</f>
        <v>#VALUE!</v>
      </c>
      <c r="BA740" s="446" t="e">
        <f>IF(OR($B740="",MIN(BA$38,$D$19)&lt;MAX($P$708*($B740+IF($R$17="Distrato",$I$38-1,0)),IF(AND($L$711=0,$P$708=0),"",$L$711-1),IF($R$17="Distrato",$E740,0))),0,YEARFRAC(MAX($P$708*($B740+IF($R$17="Distrato",$I$38-1,0)),IF(AND($L$711=0,$P$708=0),"",$L$711-1),IF($R$17="Distrato",$E740,0)),MIN(BA$38,$D$19),$P$20))-SUM($P740:AZ740)</f>
        <v>#VALUE!</v>
      </c>
      <c r="BB740" s="447"/>
    </row>
    <row r="741" spans="1:54" s="446" customFormat="1" ht="11.25" hidden="1" customHeight="1" x14ac:dyDescent="0.2">
      <c r="A741" s="235"/>
      <c r="B741" s="236"/>
      <c r="C741" s="29" t="str">
        <f>IF(B741="","",IF($L$709=$BL$25,VLOOKUP(DATE(YEAR($D$19),MONTH($D$19)-1,1),ÍNDICES!$A:$DE,HLOOKUP($BL$25,ÍNDICES!$B$3:$T$4,2)+11)-VLOOKUP(B741,ÍNDICES!$A:$DE,HLOOKUP($BL$25,ÍNDICES!$B$3:$T$4,2)+11)+1%,IF(C$712=$W$26,$J$35,IF(ISERROR(IF(B741&gt;$D$19,1,VLOOKUP(DATE(YEAR(B741),MONTH(B741)+IF($C$709=$S$23,1,0),1),ÍNDICES!$A:$DE,$Z$709+1))),"",IF(B741&gt;$D$19,1,VLOOKUP(DATE(YEAR(B741),MONTH(B741)+IF($C$709=$S$23,1,0),1),ÍNDICES!$A:$DE,$Z$709+1))))))</f>
        <v/>
      </c>
      <c r="D741" s="155"/>
      <c r="E741" s="88"/>
      <c r="F741" s="88"/>
      <c r="G741" s="88"/>
      <c r="H741" s="118"/>
      <c r="I741" s="182">
        <f t="shared" si="115"/>
        <v>0</v>
      </c>
      <c r="J741" s="20">
        <f t="shared" ca="1" si="116"/>
        <v>0</v>
      </c>
      <c r="K741" s="5">
        <f t="shared" ca="1" si="117"/>
        <v>0</v>
      </c>
      <c r="L741" s="61">
        <f t="shared" ca="1" si="118"/>
        <v>0</v>
      </c>
      <c r="M741" s="64">
        <f t="shared" si="119"/>
        <v>0</v>
      </c>
      <c r="N741" s="151"/>
      <c r="O741" s="5">
        <f t="shared" ca="1" si="120"/>
        <v>0</v>
      </c>
      <c r="P741" s="446" t="e">
        <f t="shared" si="121"/>
        <v>#VALUE!</v>
      </c>
      <c r="Q741" s="446" t="e">
        <f>IF(OR($B741="",MIN(Q$38,$D$19)&lt;MAX($P$708*($B741+IF($R$17="Distrato",$I$38-1,0)),IF(AND($L$711=0,$P$708=0),"",$L$711-1),IF($R$17="Distrato",$E741,0))),0,YEARFRAC(MAX($P$708*($B741+IF($R$17="Distrato",$I$38-1,0)),IF(AND($L$711=0,$P$708=0),"",$L$711-1),IF($R$17="Distrato",$E741,0)),MIN(Q$38,$D$19),$P$20))-SUM($P741:P741)</f>
        <v>#VALUE!</v>
      </c>
      <c r="R741" s="446" t="e">
        <f>IF(OR($B741="",MIN(R$38,$D$19)&lt;MAX($P$708*($B741+IF($R$17="Distrato",$I$38-1,0)),IF(AND($L$711=0,$P$708=0),"",$L$711-1),IF($R$17="Distrato",$E741,0))),0,YEARFRAC(MAX($P$708*($B741+IF($R$17="Distrato",$I$38-1,0)),IF(AND($L$711=0,$P$708=0),"",$L$711-1),IF($R$17="Distrato",$E741,0)),MIN(R$38,$D$19),$P$20))-SUM($P741:Q741)</f>
        <v>#VALUE!</v>
      </c>
      <c r="S741" s="446" t="e">
        <f>IF(OR($B741="",MIN(S$38,$D$19)&lt;MAX($P$708*($B741+IF($R$17="Distrato",$I$38-1,0)),IF(AND($L$711=0,$P$708=0),"",$L$711-1),IF($R$17="Distrato",$E741,0))),0,YEARFRAC(MAX($P$708*($B741+IF($R$17="Distrato",$I$38-1,0)),IF(AND($L$711=0,$P$708=0),"",$L$711-1),IF($R$17="Distrato",$E741,0)),MIN(S$38,$D$19),$P$20))-SUM($P741:R741)</f>
        <v>#VALUE!</v>
      </c>
      <c r="T741" s="446" t="e">
        <f>IF(OR($B741="",MIN(T$38,$D$19)&lt;MAX($P$708*($B741+IF($R$17="Distrato",$I$38-1,0)),IF(AND($L$711=0,$P$708=0),"",$L$711-1),IF($R$17="Distrato",$E741,0))),0,YEARFRAC(MAX($P$708*($B741+IF($R$17="Distrato",$I$38-1,0)),IF(AND($L$711=0,$P$708=0),"",$L$711-1),IF($R$17="Distrato",$E741,0)),MIN(T$38,$D$19),$P$20))-SUM($P741:S741)</f>
        <v>#VALUE!</v>
      </c>
      <c r="U741" s="446" t="e">
        <f>IF(OR($B741="",MIN(U$38,$D$19)&lt;MAX($P$708*($B741+IF($R$17="Distrato",$I$38-1,0)),IF(AND($L$711=0,$P$708=0),"",$L$711-1),IF($R$17="Distrato",$E741,0))),0,YEARFRAC(MAX($P$708*($B741+IF($R$17="Distrato",$I$38-1,0)),IF(AND($L$711=0,$P$708=0),"",$L$711-1),IF($R$17="Distrato",$E741,0)),MIN(U$38,$D$19),$P$20))-SUM($P741:T741)</f>
        <v>#VALUE!</v>
      </c>
      <c r="V741" s="446" t="e">
        <f>IF(OR($B741="",MIN(V$38,$D$19)&lt;MAX($P$708*($B741+IF($R$17="Distrato",$I$38-1,0)),IF(AND($L$711=0,$P$708=0),"",$L$711-1),IF($R$17="Distrato",$E741,0))),0,YEARFRAC(MAX($P$708*($B741+IF($R$17="Distrato",$I$38-1,0)),IF(AND($L$711=0,$P$708=0),"",$L$711-1),IF($R$17="Distrato",$E741,0)),MIN(V$38,$D$19),$P$20))-SUM($P741:U741)</f>
        <v>#VALUE!</v>
      </c>
      <c r="W741" s="446" t="e">
        <f>IF(OR($B741="",MIN(W$38,$D$19)&lt;MAX($P$708*($B741+IF($R$17="Distrato",$I$38-1,0)),IF(AND($L$711=0,$P$708=0),"",$L$711-1),IF($R$17="Distrato",$E741,0))),0,YEARFRAC(MAX($P$708*($B741+IF($R$17="Distrato",$I$38-1,0)),IF(AND($L$711=0,$P$708=0),"",$L$711-1),IF($R$17="Distrato",$E741,0)),MIN(W$38,$D$19),$P$20))-SUM($P741:V741)</f>
        <v>#VALUE!</v>
      </c>
      <c r="X741" s="446" t="e">
        <f>IF(OR($B741="",MIN(X$38,$D$19)&lt;MAX($P$708*($B741+IF($R$17="Distrato",$I$38-1,0)),IF(AND($L$711=0,$P$708=0),"",$L$711-1),IF($R$17="Distrato",$E741,0))),0,YEARFRAC(MAX($P$708*($B741+IF($R$17="Distrato",$I$38-1,0)),IF(AND($L$711=0,$P$708=0),"",$L$711-1),IF($R$17="Distrato",$E741,0)),MIN(X$38,$D$19),$P$20))-SUM($P741:W741)</f>
        <v>#VALUE!</v>
      </c>
      <c r="Y741" s="446" t="e">
        <f>IF(OR($B741="",MIN(Y$38,$D$19)&lt;MAX($P$708*($B741+IF($R$17="Distrato",$I$38-1,0)),IF(AND($L$711=0,$P$708=0),"",$L$711-1),IF($R$17="Distrato",$E741,0))),0,YEARFRAC(MAX($P$708*($B741+IF($R$17="Distrato",$I$38-1,0)),IF(AND($L$711=0,$P$708=0),"",$L$711-1),IF($R$17="Distrato",$E741,0)),MIN(Y$38,$D$19),$P$20))-SUM($P741:X741)</f>
        <v>#VALUE!</v>
      </c>
      <c r="Z741" s="446" t="e">
        <f>IF(OR($B741="",MIN(Z$38,$D$19)&lt;MAX($P$708*($B741+IF($R$17="Distrato",$I$38-1,0)),IF(AND($L$711=0,$P$708=0),"",$L$711-1),IF($R$17="Distrato",$E741,0))),0,YEARFRAC(MAX($P$708*($B741+IF($R$17="Distrato",$I$38-1,0)),IF(AND($L$711=0,$P$708=0),"",$L$711-1),IF($R$17="Distrato",$E741,0)),MIN(Z$38,$D$19),$P$20))-SUM($P741:Y741)</f>
        <v>#VALUE!</v>
      </c>
      <c r="AA741" s="446" t="e">
        <f>IF(OR($B741="",MIN(AA$38,$D$19)&lt;MAX($P$708*($B741+IF($R$17="Distrato",$I$38-1,0)),IF(AND($L$711=0,$P$708=0),"",$L$711-1),IF($R$17="Distrato",$E741,0))),0,YEARFRAC(MAX($P$708*($B741+IF($R$17="Distrato",$I$38-1,0)),IF(AND($L$711=0,$P$708=0),"",$L$711-1),IF($R$17="Distrato",$E741,0)),MIN(AA$38,$D$19),$P$20))-SUM($P741:Z741)</f>
        <v>#VALUE!</v>
      </c>
      <c r="AB741" s="446" t="e">
        <f>IF(OR($B741="",MIN(AB$38,$D$19)&lt;MAX($P$708*($B741+IF($R$17="Distrato",$I$38-1,0)),IF(AND($L$711=0,$P$708=0),"",$L$711-1),IF($R$17="Distrato",$E741,0))),0,YEARFRAC(MAX($P$708*($B741+IF($R$17="Distrato",$I$38-1,0)),IF(AND($L$711=0,$P$708=0),"",$L$711-1),IF($R$17="Distrato",$E741,0)),MIN(AB$38,$D$19),$P$20))-SUM($P741:AA741)</f>
        <v>#VALUE!</v>
      </c>
      <c r="AC741" s="446" t="e">
        <f>IF(OR($B741="",MIN(AC$38,$D$19)&lt;MAX($P$708*($B741+IF($R$17="Distrato",$I$38-1,0)),IF(AND($L$711=0,$P$708=0),"",$L$711-1),IF($R$17="Distrato",$E741,0))),0,YEARFRAC(MAX($P$708*($B741+IF($R$17="Distrato",$I$38-1,0)),IF(AND($L$711=0,$P$708=0),"",$L$711-1),IF($R$17="Distrato",$E741,0)),MIN(AC$38,$D$19),$P$20))-SUM($P741:AB741)</f>
        <v>#VALUE!</v>
      </c>
      <c r="AD741" s="446" t="e">
        <f>IF(OR($B741="",MIN(AD$38,$D$19)&lt;MAX($P$708*($B741+IF($R$17="Distrato",$I$38-1,0)),IF(AND($L$711=0,$P$708=0),"",$L$711-1),IF($R$17="Distrato",$E741,0))),0,YEARFRAC(MAX($P$708*($B741+IF($R$17="Distrato",$I$38-1,0)),IF(AND($L$711=0,$P$708=0),"",$L$711-1),IF($R$17="Distrato",$E741,0)),MIN(AD$38,$D$19),$P$20))-SUM($P741:AC741)</f>
        <v>#VALUE!</v>
      </c>
      <c r="AE741" s="446" t="e">
        <f>IF(OR($B741="",MIN(AE$38,$D$19)&lt;MAX($P$708*($B741+IF($R$17="Distrato",$I$38-1,0)),IF(AND($L$711=0,$P$708=0),"",$L$711-1),IF($R$17="Distrato",$E741,0))),0,YEARFRAC(MAX($P$708*($B741+IF($R$17="Distrato",$I$38-1,0)),IF(AND($L$711=0,$P$708=0),"",$L$711-1),IF($R$17="Distrato",$E741,0)),MIN(AE$38,$D$19),$P$20))-SUM($P741:AD741)</f>
        <v>#VALUE!</v>
      </c>
      <c r="AF741" s="446" t="e">
        <f>IF(OR($B741="",MIN(AF$38,$D$19)&lt;MAX($P$708*($B741+IF($R$17="Distrato",$I$38-1,0)),IF(AND($L$711=0,$P$708=0),"",$L$711-1),IF($R$17="Distrato",$E741,0))),0,YEARFRAC(MAX($P$708*($B741+IF($R$17="Distrato",$I$38-1,0)),IF(AND($L$711=0,$P$708=0),"",$L$711-1),IF($R$17="Distrato",$E741,0)),MIN(AF$38,$D$19),$P$20))-SUM($P741:AE741)</f>
        <v>#VALUE!</v>
      </c>
      <c r="AG741" s="446" t="e">
        <f>IF(OR($B741="",MIN(AG$38,$D$19)&lt;MAX($P$708*($B741+IF($R$17="Distrato",$I$38-1,0)),IF(AND($L$711=0,$P$708=0),"",$L$711-1),IF($R$17="Distrato",$E741,0))),0,YEARFRAC(MAX($P$708*($B741+IF($R$17="Distrato",$I$38-1,0)),IF(AND($L$711=0,$P$708=0),"",$L$711-1),IF($R$17="Distrato",$E741,0)),MIN(AG$38,$D$19),$P$20))-SUM($P741:AF741)</f>
        <v>#VALUE!</v>
      </c>
      <c r="AH741" s="446" t="e">
        <f>IF(OR($B741="",MIN(AH$38,$D$19)&lt;MAX($P$708*($B741+IF($R$17="Distrato",$I$38-1,0)),IF(AND($L$711=0,$P$708=0),"",$L$711-1),IF($R$17="Distrato",$E741,0))),0,YEARFRAC(MAX($P$708*($B741+IF($R$17="Distrato",$I$38-1,0)),IF(AND($L$711=0,$P$708=0),"",$L$711-1),IF($R$17="Distrato",$E741,0)),MIN(AH$38,$D$19),$P$20))-SUM($P741:AG741)</f>
        <v>#VALUE!</v>
      </c>
      <c r="AI741" s="446" t="e">
        <f>IF(OR($B741="",MIN(AI$38,$D$19)&lt;MAX($P$708*($B741+IF($R$17="Distrato",$I$38-1,0)),IF(AND($L$711=0,$P$708=0),"",$L$711-1),IF($R$17="Distrato",$E741,0))),0,YEARFRAC(MAX($P$708*($B741+IF($R$17="Distrato",$I$38-1,0)),IF(AND($L$711=0,$P$708=0),"",$L$711-1),IF($R$17="Distrato",$E741,0)),MIN(AI$38,$D$19),$P$20))-SUM($P741:AH741)</f>
        <v>#VALUE!</v>
      </c>
      <c r="AJ741" s="446" t="e">
        <f>IF(OR($B741="",MIN(AJ$38,$D$19)&lt;MAX($P$708*($B741+IF($R$17="Distrato",$I$38-1,0)),IF(AND($L$711=0,$P$708=0),"",$L$711-1),IF($R$17="Distrato",$E741,0))),0,YEARFRAC(MAX($P$708*($B741+IF($R$17="Distrato",$I$38-1,0)),IF(AND($L$711=0,$P$708=0),"",$L$711-1),IF($R$17="Distrato",$E741,0)),MIN(AJ$38,$D$19),$P$20))-SUM($P741:AI741)</f>
        <v>#VALUE!</v>
      </c>
      <c r="AK741" s="446" t="e">
        <f>IF(OR($B741="",MIN(AK$38,$D$19)&lt;MAX($P$708*($B741+IF($R$17="Distrato",$I$38-1,0)),IF(AND($L$711=0,$P$708=0),"",$L$711-1),IF($R$17="Distrato",$E741,0))),0,YEARFRAC(MAX($P$708*($B741+IF($R$17="Distrato",$I$38-1,0)),IF(AND($L$711=0,$P$708=0),"",$L$711-1),IF($R$17="Distrato",$E741,0)),MIN(AK$38,$D$19),$P$20))-SUM($P741:AJ741)</f>
        <v>#VALUE!</v>
      </c>
      <c r="AL741" s="446" t="e">
        <f>IF(OR($B741="",MIN(AL$38,$D$19)&lt;MAX($P$708*($B741+IF($R$17="Distrato",$I$38-1,0)),IF(AND($L$711=0,$P$708=0),"",$L$711-1),IF($R$17="Distrato",$E741,0))),0,YEARFRAC(MAX($P$708*($B741+IF($R$17="Distrato",$I$38-1,0)),IF(AND($L$711=0,$P$708=0),"",$L$711-1),IF($R$17="Distrato",$E741,0)),MIN(AL$38,$D$19),$P$20))-SUM($P741:AK741)</f>
        <v>#VALUE!</v>
      </c>
      <c r="AM741" s="446" t="e">
        <f>IF(OR($B741="",MIN(AM$38,$D$19)&lt;MAX($P$708*($B741+IF($R$17="Distrato",$I$38-1,0)),IF(AND($L$711=0,$P$708=0),"",$L$711-1),IF($R$17="Distrato",$E741,0))),0,YEARFRAC(MAX($P$708*($B741+IF($R$17="Distrato",$I$38-1,0)),IF(AND($L$711=0,$P$708=0),"",$L$711-1),IF($R$17="Distrato",$E741,0)),MIN(AM$38,$D$19),$P$20))-SUM($P741:AL741)</f>
        <v>#VALUE!</v>
      </c>
      <c r="AN741" s="446" t="e">
        <f>IF(OR($B741="",MIN(AN$38,$D$19)&lt;MAX($P$708*($B741+IF($R$17="Distrato",$I$38-1,0)),IF(AND($L$711=0,$P$708=0),"",$L$711-1),IF($R$17="Distrato",$E741,0))),0,YEARFRAC(MAX($P$708*($B741+IF($R$17="Distrato",$I$38-1,0)),IF(AND($L$711=0,$P$708=0),"",$L$711-1),IF($R$17="Distrato",$E741,0)),MIN(AN$38,$D$19),$P$20))-SUM($P741:AM741)</f>
        <v>#VALUE!</v>
      </c>
      <c r="AO741" s="446" t="e">
        <f>IF(OR($B741="",MIN(AO$38,$D$19)&lt;MAX($P$708*($B741+IF($R$17="Distrato",$I$38-1,0)),IF(AND($L$711=0,$P$708=0),"",$L$711-1),IF($R$17="Distrato",$E741,0))),0,YEARFRAC(MAX($P$708*($B741+IF($R$17="Distrato",$I$38-1,0)),IF(AND($L$711=0,$P$708=0),"",$L$711-1),IF($R$17="Distrato",$E741,0)),MIN(AO$38,$D$19),$P$20))-SUM($P741:AN741)</f>
        <v>#VALUE!</v>
      </c>
      <c r="AP741" s="446" t="e">
        <f>IF(OR($B741="",MIN(AP$38,$D$19)&lt;MAX($P$708*($B741+IF($R$17="Distrato",$I$38-1,0)),IF(AND($L$711=0,$P$708=0),"",$L$711-1),IF($R$17="Distrato",$E741,0))),0,YEARFRAC(MAX($P$708*($B741+IF($R$17="Distrato",$I$38-1,0)),IF(AND($L$711=0,$P$708=0),"",$L$711-1),IF($R$17="Distrato",$E741,0)),MIN(AP$38,$D$19),$P$20))-SUM($P741:AO741)</f>
        <v>#VALUE!</v>
      </c>
      <c r="AQ741" s="446" t="e">
        <f>IF(OR($B741="",MIN(AQ$38,$D$19)&lt;MAX($P$708*($B741+IF($R$17="Distrato",$I$38-1,0)),IF(AND($L$711=0,$P$708=0),"",$L$711-1),IF($R$17="Distrato",$E741,0))),0,YEARFRAC(MAX($P$708*($B741+IF($R$17="Distrato",$I$38-1,0)),IF(AND($L$711=0,$P$708=0),"",$L$711-1),IF($R$17="Distrato",$E741,0)),MIN(AQ$38,$D$19),$P$20))-SUM($P741:AP741)</f>
        <v>#VALUE!</v>
      </c>
      <c r="AR741" s="446" t="e">
        <f>IF(OR($B741="",MIN(AR$38,$D$19)&lt;MAX($P$708*($B741+IF($R$17="Distrato",$I$38-1,0)),IF(AND($L$711=0,$P$708=0),"",$L$711-1),IF($R$17="Distrato",$E741,0))),0,YEARFRAC(MAX($P$708*($B741+IF($R$17="Distrato",$I$38-1,0)),IF(AND($L$711=0,$P$708=0),"",$L$711-1),IF($R$17="Distrato",$E741,0)),MIN(AR$38,$D$19),$P$20))-SUM($P741:AQ741)</f>
        <v>#VALUE!</v>
      </c>
      <c r="AS741" s="446" t="e">
        <f>IF(OR($B741="",MIN(AS$38,$D$19)&lt;MAX($P$708*($B741+IF($R$17="Distrato",$I$38-1,0)),IF(AND($L$711=0,$P$708=0),"",$L$711-1),IF($R$17="Distrato",$E741,0))),0,YEARFRAC(MAX($P$708*($B741+IF($R$17="Distrato",$I$38-1,0)),IF(AND($L$711=0,$P$708=0),"",$L$711-1),IF($R$17="Distrato",$E741,0)),MIN(AS$38,$D$19),$P$20))-SUM($P741:AR741)</f>
        <v>#VALUE!</v>
      </c>
      <c r="AT741" s="446" t="e">
        <f>IF(OR($B741="",MIN(AT$38,$D$19)&lt;MAX($P$708*($B741+IF($R$17="Distrato",$I$38-1,0)),IF(AND($L$711=0,$P$708=0),"",$L$711-1),IF($R$17="Distrato",$E741,0))),0,YEARFRAC(MAX($P$708*($B741+IF($R$17="Distrato",$I$38-1,0)),IF(AND($L$711=0,$P$708=0),"",$L$711-1),IF($R$17="Distrato",$E741,0)),MIN(AT$38,$D$19),$P$20))-SUM($P741:AS741)</f>
        <v>#VALUE!</v>
      </c>
      <c r="AU741" s="446" t="e">
        <f>IF(OR($B741="",MIN(AU$38,$D$19)&lt;MAX($P$708*($B741+IF($R$17="Distrato",$I$38-1,0)),IF(AND($L$711=0,$P$708=0),"",$L$711-1),IF($R$17="Distrato",$E741,0))),0,YEARFRAC(MAX($P$708*($B741+IF($R$17="Distrato",$I$38-1,0)),IF(AND($L$711=0,$P$708=0),"",$L$711-1),IF($R$17="Distrato",$E741,0)),MIN(AU$38,$D$19),$P$20))-SUM($P741:AT741)</f>
        <v>#VALUE!</v>
      </c>
      <c r="AV741" s="446" t="e">
        <f>IF(OR($B741="",MIN(AV$38,$D$19)&lt;MAX($P$708*($B741+IF($R$17="Distrato",$I$38-1,0)),IF(AND($L$711=0,$P$708=0),"",$L$711-1),IF($R$17="Distrato",$E741,0))),0,YEARFRAC(MAX($P$708*($B741+IF($R$17="Distrato",$I$38-1,0)),IF(AND($L$711=0,$P$708=0),"",$L$711-1),IF($R$17="Distrato",$E741,0)),MIN(AV$38,$D$19),$P$20))-SUM($P741:AU741)</f>
        <v>#VALUE!</v>
      </c>
      <c r="AW741" s="446" t="e">
        <f>IF(OR($B741="",MIN(AW$38,$D$19)&lt;MAX($P$708*($B741+IF($R$17="Distrato",$I$38-1,0)),IF(AND($L$711=0,$P$708=0),"",$L$711-1),IF($R$17="Distrato",$E741,0))),0,YEARFRAC(MAX($P$708*($B741+IF($R$17="Distrato",$I$38-1,0)),IF(AND($L$711=0,$P$708=0),"",$L$711-1),IF($R$17="Distrato",$E741,0)),MIN(AW$38,$D$19),$P$20))-SUM($P741:AV741)</f>
        <v>#VALUE!</v>
      </c>
      <c r="AX741" s="446" t="e">
        <f>IF(OR($B741="",MIN(AX$38,$D$19)&lt;MAX($P$708*($B741+IF($R$17="Distrato",$I$38-1,0)),IF(AND($L$711=0,$P$708=0),"",$L$711-1),IF($R$17="Distrato",$E741,0))),0,YEARFRAC(MAX($P$708*($B741+IF($R$17="Distrato",$I$38-1,0)),IF(AND($L$711=0,$P$708=0),"",$L$711-1),IF($R$17="Distrato",$E741,0)),MIN(AX$38,$D$19),$P$20))-SUM($P741:AW741)</f>
        <v>#VALUE!</v>
      </c>
      <c r="AY741" s="446" t="e">
        <f>IF(OR($B741="",MIN(AY$38,$D$19)&lt;MAX($P$708*($B741+IF($R$17="Distrato",$I$38-1,0)),IF(AND($L$711=0,$P$708=0),"",$L$711-1),IF($R$17="Distrato",$E741,0))),0,YEARFRAC(MAX($P$708*($B741+IF($R$17="Distrato",$I$38-1,0)),IF(AND($L$711=0,$P$708=0),"",$L$711-1),IF($R$17="Distrato",$E741,0)),MIN(AY$38,$D$19),$P$20))-SUM($P741:AX741)</f>
        <v>#VALUE!</v>
      </c>
      <c r="AZ741" s="446" t="e">
        <f>IF(OR($B741="",MIN(AZ$38,$D$19)&lt;MAX($P$708*($B741+IF($R$17="Distrato",$I$38-1,0)),IF(AND($L$711=0,$P$708=0),"",$L$711-1),IF($R$17="Distrato",$E741,0))),0,YEARFRAC(MAX($P$708*($B741+IF($R$17="Distrato",$I$38-1,0)),IF(AND($L$711=0,$P$708=0),"",$L$711-1),IF($R$17="Distrato",$E741,0)),MIN(AZ$38,$D$19),$P$20))-SUM($P741:AY741)</f>
        <v>#VALUE!</v>
      </c>
      <c r="BA741" s="446" t="e">
        <f>IF(OR($B741="",MIN(BA$38,$D$19)&lt;MAX($P$708*($B741+IF($R$17="Distrato",$I$38-1,0)),IF(AND($L$711=0,$P$708=0),"",$L$711-1),IF($R$17="Distrato",$E741,0))),0,YEARFRAC(MAX($P$708*($B741+IF($R$17="Distrato",$I$38-1,0)),IF(AND($L$711=0,$P$708=0),"",$L$711-1),IF($R$17="Distrato",$E741,0)),MIN(BA$38,$D$19),$P$20))-SUM($P741:AZ741)</f>
        <v>#VALUE!</v>
      </c>
      <c r="BB741" s="447"/>
    </row>
    <row r="742" spans="1:54" s="446" customFormat="1" ht="11.25" hidden="1" customHeight="1" x14ac:dyDescent="0.2">
      <c r="A742" s="235"/>
      <c r="B742" s="236"/>
      <c r="C742" s="29" t="str">
        <f>IF(B742="","",IF($L$709=$BL$25,VLOOKUP(DATE(YEAR($D$19),MONTH($D$19)-1,1),ÍNDICES!$A:$DE,HLOOKUP($BL$25,ÍNDICES!$B$3:$T$4,2)+11)-VLOOKUP(B742,ÍNDICES!$A:$DE,HLOOKUP($BL$25,ÍNDICES!$B$3:$T$4,2)+11)+1%,IF(C$712=$W$26,$J$35,IF(ISERROR(IF(B742&gt;$D$19,1,VLOOKUP(DATE(YEAR(B742),MONTH(B742)+IF($C$709=$S$23,1,0),1),ÍNDICES!$A:$DE,$Z$709+1))),"",IF(B742&gt;$D$19,1,VLOOKUP(DATE(YEAR(B742),MONTH(B742)+IF($C$709=$S$23,1,0),1),ÍNDICES!$A:$DE,$Z$709+1))))))</f>
        <v/>
      </c>
      <c r="D742" s="155"/>
      <c r="E742" s="88"/>
      <c r="F742" s="88"/>
      <c r="G742" s="88"/>
      <c r="H742" s="118"/>
      <c r="I742" s="182">
        <f t="shared" si="115"/>
        <v>0</v>
      </c>
      <c r="J742" s="20">
        <f t="shared" ca="1" si="116"/>
        <v>0</v>
      </c>
      <c r="K742" s="5">
        <f t="shared" ca="1" si="117"/>
        <v>0</v>
      </c>
      <c r="L742" s="61">
        <f t="shared" ca="1" si="118"/>
        <v>0</v>
      </c>
      <c r="M742" s="64">
        <f t="shared" si="119"/>
        <v>0</v>
      </c>
      <c r="N742" s="151"/>
      <c r="O742" s="5">
        <f t="shared" ca="1" si="120"/>
        <v>0</v>
      </c>
      <c r="P742" s="446" t="e">
        <f t="shared" si="121"/>
        <v>#VALUE!</v>
      </c>
      <c r="Q742" s="446" t="e">
        <f>IF(OR($B742="",MIN(Q$38,$D$19)&lt;MAX($P$708*($B742+IF($R$17="Distrato",$I$38-1,0)),IF(AND($L$711=0,$P$708=0),"",$L$711-1),IF($R$17="Distrato",$E742,0))),0,YEARFRAC(MAX($P$708*($B742+IF($R$17="Distrato",$I$38-1,0)),IF(AND($L$711=0,$P$708=0),"",$L$711-1),IF($R$17="Distrato",$E742,0)),MIN(Q$38,$D$19),$P$20))-SUM($P742:P742)</f>
        <v>#VALUE!</v>
      </c>
      <c r="R742" s="446" t="e">
        <f>IF(OR($B742="",MIN(R$38,$D$19)&lt;MAX($P$708*($B742+IF($R$17="Distrato",$I$38-1,0)),IF(AND($L$711=0,$P$708=0),"",$L$711-1),IF($R$17="Distrato",$E742,0))),0,YEARFRAC(MAX($P$708*($B742+IF($R$17="Distrato",$I$38-1,0)),IF(AND($L$711=0,$P$708=0),"",$L$711-1),IF($R$17="Distrato",$E742,0)),MIN(R$38,$D$19),$P$20))-SUM($P742:Q742)</f>
        <v>#VALUE!</v>
      </c>
      <c r="S742" s="446" t="e">
        <f>IF(OR($B742="",MIN(S$38,$D$19)&lt;MAX($P$708*($B742+IF($R$17="Distrato",$I$38-1,0)),IF(AND($L$711=0,$P$708=0),"",$L$711-1),IF($R$17="Distrato",$E742,0))),0,YEARFRAC(MAX($P$708*($B742+IF($R$17="Distrato",$I$38-1,0)),IF(AND($L$711=0,$P$708=0),"",$L$711-1),IF($R$17="Distrato",$E742,0)),MIN(S$38,$D$19),$P$20))-SUM($P742:R742)</f>
        <v>#VALUE!</v>
      </c>
      <c r="T742" s="446" t="e">
        <f>IF(OR($B742="",MIN(T$38,$D$19)&lt;MAX($P$708*($B742+IF($R$17="Distrato",$I$38-1,0)),IF(AND($L$711=0,$P$708=0),"",$L$711-1),IF($R$17="Distrato",$E742,0))),0,YEARFRAC(MAX($P$708*($B742+IF($R$17="Distrato",$I$38-1,0)),IF(AND($L$711=0,$P$708=0),"",$L$711-1),IF($R$17="Distrato",$E742,0)),MIN(T$38,$D$19),$P$20))-SUM($P742:S742)</f>
        <v>#VALUE!</v>
      </c>
      <c r="U742" s="446" t="e">
        <f>IF(OR($B742="",MIN(U$38,$D$19)&lt;MAX($P$708*($B742+IF($R$17="Distrato",$I$38-1,0)),IF(AND($L$711=0,$P$708=0),"",$L$711-1),IF($R$17="Distrato",$E742,0))),0,YEARFRAC(MAX($P$708*($B742+IF($R$17="Distrato",$I$38-1,0)),IF(AND($L$711=0,$P$708=0),"",$L$711-1),IF($R$17="Distrato",$E742,0)),MIN(U$38,$D$19),$P$20))-SUM($P742:T742)</f>
        <v>#VALUE!</v>
      </c>
      <c r="V742" s="446" t="e">
        <f>IF(OR($B742="",MIN(V$38,$D$19)&lt;MAX($P$708*($B742+IF($R$17="Distrato",$I$38-1,0)),IF(AND($L$711=0,$P$708=0),"",$L$711-1),IF($R$17="Distrato",$E742,0))),0,YEARFRAC(MAX($P$708*($B742+IF($R$17="Distrato",$I$38-1,0)),IF(AND($L$711=0,$P$708=0),"",$L$711-1),IF($R$17="Distrato",$E742,0)),MIN(V$38,$D$19),$P$20))-SUM($P742:U742)</f>
        <v>#VALUE!</v>
      </c>
      <c r="W742" s="446" t="e">
        <f>IF(OR($B742="",MIN(W$38,$D$19)&lt;MAX($P$708*($B742+IF($R$17="Distrato",$I$38-1,0)),IF(AND($L$711=0,$P$708=0),"",$L$711-1),IF($R$17="Distrato",$E742,0))),0,YEARFRAC(MAX($P$708*($B742+IF($R$17="Distrato",$I$38-1,0)),IF(AND($L$711=0,$P$708=0),"",$L$711-1),IF($R$17="Distrato",$E742,0)),MIN(W$38,$D$19),$P$20))-SUM($P742:V742)</f>
        <v>#VALUE!</v>
      </c>
      <c r="X742" s="446" t="e">
        <f>IF(OR($B742="",MIN(X$38,$D$19)&lt;MAX($P$708*($B742+IF($R$17="Distrato",$I$38-1,0)),IF(AND($L$711=0,$P$708=0),"",$L$711-1),IF($R$17="Distrato",$E742,0))),0,YEARFRAC(MAX($P$708*($B742+IF($R$17="Distrato",$I$38-1,0)),IF(AND($L$711=0,$P$708=0),"",$L$711-1),IF($R$17="Distrato",$E742,0)),MIN(X$38,$D$19),$P$20))-SUM($P742:W742)</f>
        <v>#VALUE!</v>
      </c>
      <c r="Y742" s="446" t="e">
        <f>IF(OR($B742="",MIN(Y$38,$D$19)&lt;MAX($P$708*($B742+IF($R$17="Distrato",$I$38-1,0)),IF(AND($L$711=0,$P$708=0),"",$L$711-1),IF($R$17="Distrato",$E742,0))),0,YEARFRAC(MAX($P$708*($B742+IF($R$17="Distrato",$I$38-1,0)),IF(AND($L$711=0,$P$708=0),"",$L$711-1),IF($R$17="Distrato",$E742,0)),MIN(Y$38,$D$19),$P$20))-SUM($P742:X742)</f>
        <v>#VALUE!</v>
      </c>
      <c r="Z742" s="446" t="e">
        <f>IF(OR($B742="",MIN(Z$38,$D$19)&lt;MAX($P$708*($B742+IF($R$17="Distrato",$I$38-1,0)),IF(AND($L$711=0,$P$708=0),"",$L$711-1),IF($R$17="Distrato",$E742,0))),0,YEARFRAC(MAX($P$708*($B742+IF($R$17="Distrato",$I$38-1,0)),IF(AND($L$711=0,$P$708=0),"",$L$711-1),IF($R$17="Distrato",$E742,0)),MIN(Z$38,$D$19),$P$20))-SUM($P742:Y742)</f>
        <v>#VALUE!</v>
      </c>
      <c r="AA742" s="446" t="e">
        <f>IF(OR($B742="",MIN(AA$38,$D$19)&lt;MAX($P$708*($B742+IF($R$17="Distrato",$I$38-1,0)),IF(AND($L$711=0,$P$708=0),"",$L$711-1),IF($R$17="Distrato",$E742,0))),0,YEARFRAC(MAX($P$708*($B742+IF($R$17="Distrato",$I$38-1,0)),IF(AND($L$711=0,$P$708=0),"",$L$711-1),IF($R$17="Distrato",$E742,0)),MIN(AA$38,$D$19),$P$20))-SUM($P742:Z742)</f>
        <v>#VALUE!</v>
      </c>
      <c r="AB742" s="446" t="e">
        <f>IF(OR($B742="",MIN(AB$38,$D$19)&lt;MAX($P$708*($B742+IF($R$17="Distrato",$I$38-1,0)),IF(AND($L$711=0,$P$708=0),"",$L$711-1),IF($R$17="Distrato",$E742,0))),0,YEARFRAC(MAX($P$708*($B742+IF($R$17="Distrato",$I$38-1,0)),IF(AND($L$711=0,$P$708=0),"",$L$711-1),IF($R$17="Distrato",$E742,0)),MIN(AB$38,$D$19),$P$20))-SUM($P742:AA742)</f>
        <v>#VALUE!</v>
      </c>
      <c r="AC742" s="446" t="e">
        <f>IF(OR($B742="",MIN(AC$38,$D$19)&lt;MAX($P$708*($B742+IF($R$17="Distrato",$I$38-1,0)),IF(AND($L$711=0,$P$708=0),"",$L$711-1),IF($R$17="Distrato",$E742,0))),0,YEARFRAC(MAX($P$708*($B742+IF($R$17="Distrato",$I$38-1,0)),IF(AND($L$711=0,$P$708=0),"",$L$711-1),IF($R$17="Distrato",$E742,0)),MIN(AC$38,$D$19),$P$20))-SUM($P742:AB742)</f>
        <v>#VALUE!</v>
      </c>
      <c r="AD742" s="446" t="e">
        <f>IF(OR($B742="",MIN(AD$38,$D$19)&lt;MAX($P$708*($B742+IF($R$17="Distrato",$I$38-1,0)),IF(AND($L$711=0,$P$708=0),"",$L$711-1),IF($R$17="Distrato",$E742,0))),0,YEARFRAC(MAX($P$708*($B742+IF($R$17="Distrato",$I$38-1,0)),IF(AND($L$711=0,$P$708=0),"",$L$711-1),IF($R$17="Distrato",$E742,0)),MIN(AD$38,$D$19),$P$20))-SUM($P742:AC742)</f>
        <v>#VALUE!</v>
      </c>
      <c r="AE742" s="446" t="e">
        <f>IF(OR($B742="",MIN(AE$38,$D$19)&lt;MAX($P$708*($B742+IF($R$17="Distrato",$I$38-1,0)),IF(AND($L$711=0,$P$708=0),"",$L$711-1),IF($R$17="Distrato",$E742,0))),0,YEARFRAC(MAX($P$708*($B742+IF($R$17="Distrato",$I$38-1,0)),IF(AND($L$711=0,$P$708=0),"",$L$711-1),IF($R$17="Distrato",$E742,0)),MIN(AE$38,$D$19),$P$20))-SUM($P742:AD742)</f>
        <v>#VALUE!</v>
      </c>
      <c r="AF742" s="446" t="e">
        <f>IF(OR($B742="",MIN(AF$38,$D$19)&lt;MAX($P$708*($B742+IF($R$17="Distrato",$I$38-1,0)),IF(AND($L$711=0,$P$708=0),"",$L$711-1),IF($R$17="Distrato",$E742,0))),0,YEARFRAC(MAX($P$708*($B742+IF($R$17="Distrato",$I$38-1,0)),IF(AND($L$711=0,$P$708=0),"",$L$711-1),IF($R$17="Distrato",$E742,0)),MIN(AF$38,$D$19),$P$20))-SUM($P742:AE742)</f>
        <v>#VALUE!</v>
      </c>
      <c r="AG742" s="446" t="e">
        <f>IF(OR($B742="",MIN(AG$38,$D$19)&lt;MAX($P$708*($B742+IF($R$17="Distrato",$I$38-1,0)),IF(AND($L$711=0,$P$708=0),"",$L$711-1),IF($R$17="Distrato",$E742,0))),0,YEARFRAC(MAX($P$708*($B742+IF($R$17="Distrato",$I$38-1,0)),IF(AND($L$711=0,$P$708=0),"",$L$711-1),IF($R$17="Distrato",$E742,0)),MIN(AG$38,$D$19),$P$20))-SUM($P742:AF742)</f>
        <v>#VALUE!</v>
      </c>
      <c r="AH742" s="446" t="e">
        <f>IF(OR($B742="",MIN(AH$38,$D$19)&lt;MAX($P$708*($B742+IF($R$17="Distrato",$I$38-1,0)),IF(AND($L$711=0,$P$708=0),"",$L$711-1),IF($R$17="Distrato",$E742,0))),0,YEARFRAC(MAX($P$708*($B742+IF($R$17="Distrato",$I$38-1,0)),IF(AND($L$711=0,$P$708=0),"",$L$711-1),IF($R$17="Distrato",$E742,0)),MIN(AH$38,$D$19),$P$20))-SUM($P742:AG742)</f>
        <v>#VALUE!</v>
      </c>
      <c r="AI742" s="446" t="e">
        <f>IF(OR($B742="",MIN(AI$38,$D$19)&lt;MAX($P$708*($B742+IF($R$17="Distrato",$I$38-1,0)),IF(AND($L$711=0,$P$708=0),"",$L$711-1),IF($R$17="Distrato",$E742,0))),0,YEARFRAC(MAX($P$708*($B742+IF($R$17="Distrato",$I$38-1,0)),IF(AND($L$711=0,$P$708=0),"",$L$711-1),IF($R$17="Distrato",$E742,0)),MIN(AI$38,$D$19),$P$20))-SUM($P742:AH742)</f>
        <v>#VALUE!</v>
      </c>
      <c r="AJ742" s="446" t="e">
        <f>IF(OR($B742="",MIN(AJ$38,$D$19)&lt;MAX($P$708*($B742+IF($R$17="Distrato",$I$38-1,0)),IF(AND($L$711=0,$P$708=0),"",$L$711-1),IF($R$17="Distrato",$E742,0))),0,YEARFRAC(MAX($P$708*($B742+IF($R$17="Distrato",$I$38-1,0)),IF(AND($L$711=0,$P$708=0),"",$L$711-1),IF($R$17="Distrato",$E742,0)),MIN(AJ$38,$D$19),$P$20))-SUM($P742:AI742)</f>
        <v>#VALUE!</v>
      </c>
      <c r="AK742" s="446" t="e">
        <f>IF(OR($B742="",MIN(AK$38,$D$19)&lt;MAX($P$708*($B742+IF($R$17="Distrato",$I$38-1,0)),IF(AND($L$711=0,$P$708=0),"",$L$711-1),IF($R$17="Distrato",$E742,0))),0,YEARFRAC(MAX($P$708*($B742+IF($R$17="Distrato",$I$38-1,0)),IF(AND($L$711=0,$P$708=0),"",$L$711-1),IF($R$17="Distrato",$E742,0)),MIN(AK$38,$D$19),$P$20))-SUM($P742:AJ742)</f>
        <v>#VALUE!</v>
      </c>
      <c r="AL742" s="446" t="e">
        <f>IF(OR($B742="",MIN(AL$38,$D$19)&lt;MAX($P$708*($B742+IF($R$17="Distrato",$I$38-1,0)),IF(AND($L$711=0,$P$708=0),"",$L$711-1),IF($R$17="Distrato",$E742,0))),0,YEARFRAC(MAX($P$708*($B742+IF($R$17="Distrato",$I$38-1,0)),IF(AND($L$711=0,$P$708=0),"",$L$711-1),IF($R$17="Distrato",$E742,0)),MIN(AL$38,$D$19),$P$20))-SUM($P742:AK742)</f>
        <v>#VALUE!</v>
      </c>
      <c r="AM742" s="446" t="e">
        <f>IF(OR($B742="",MIN(AM$38,$D$19)&lt;MAX($P$708*($B742+IF($R$17="Distrato",$I$38-1,0)),IF(AND($L$711=0,$P$708=0),"",$L$711-1),IF($R$17="Distrato",$E742,0))),0,YEARFRAC(MAX($P$708*($B742+IF($R$17="Distrato",$I$38-1,0)),IF(AND($L$711=0,$P$708=0),"",$L$711-1),IF($R$17="Distrato",$E742,0)),MIN(AM$38,$D$19),$P$20))-SUM($P742:AL742)</f>
        <v>#VALUE!</v>
      </c>
      <c r="AN742" s="446" t="e">
        <f>IF(OR($B742="",MIN(AN$38,$D$19)&lt;MAX($P$708*($B742+IF($R$17="Distrato",$I$38-1,0)),IF(AND($L$711=0,$P$708=0),"",$L$711-1),IF($R$17="Distrato",$E742,0))),0,YEARFRAC(MAX($P$708*($B742+IF($R$17="Distrato",$I$38-1,0)),IF(AND($L$711=0,$P$708=0),"",$L$711-1),IF($R$17="Distrato",$E742,0)),MIN(AN$38,$D$19),$P$20))-SUM($P742:AM742)</f>
        <v>#VALUE!</v>
      </c>
      <c r="AO742" s="446" t="e">
        <f>IF(OR($B742="",MIN(AO$38,$D$19)&lt;MAX($P$708*($B742+IF($R$17="Distrato",$I$38-1,0)),IF(AND($L$711=0,$P$708=0),"",$L$711-1),IF($R$17="Distrato",$E742,0))),0,YEARFRAC(MAX($P$708*($B742+IF($R$17="Distrato",$I$38-1,0)),IF(AND($L$711=0,$P$708=0),"",$L$711-1),IF($R$17="Distrato",$E742,0)),MIN(AO$38,$D$19),$P$20))-SUM($P742:AN742)</f>
        <v>#VALUE!</v>
      </c>
      <c r="AP742" s="446" t="e">
        <f>IF(OR($B742="",MIN(AP$38,$D$19)&lt;MAX($P$708*($B742+IF($R$17="Distrato",$I$38-1,0)),IF(AND($L$711=0,$P$708=0),"",$L$711-1),IF($R$17="Distrato",$E742,0))),0,YEARFRAC(MAX($P$708*($B742+IF($R$17="Distrato",$I$38-1,0)),IF(AND($L$711=0,$P$708=0),"",$L$711-1),IF($R$17="Distrato",$E742,0)),MIN(AP$38,$D$19),$P$20))-SUM($P742:AO742)</f>
        <v>#VALUE!</v>
      </c>
      <c r="AQ742" s="446" t="e">
        <f>IF(OR($B742="",MIN(AQ$38,$D$19)&lt;MAX($P$708*($B742+IF($R$17="Distrato",$I$38-1,0)),IF(AND($L$711=0,$P$708=0),"",$L$711-1),IF($R$17="Distrato",$E742,0))),0,YEARFRAC(MAX($P$708*($B742+IF($R$17="Distrato",$I$38-1,0)),IF(AND($L$711=0,$P$708=0),"",$L$711-1),IF($R$17="Distrato",$E742,0)),MIN(AQ$38,$D$19),$P$20))-SUM($P742:AP742)</f>
        <v>#VALUE!</v>
      </c>
      <c r="AR742" s="446" t="e">
        <f>IF(OR($B742="",MIN(AR$38,$D$19)&lt;MAX($P$708*($B742+IF($R$17="Distrato",$I$38-1,0)),IF(AND($L$711=0,$P$708=0),"",$L$711-1),IF($R$17="Distrato",$E742,0))),0,YEARFRAC(MAX($P$708*($B742+IF($R$17="Distrato",$I$38-1,0)),IF(AND($L$711=0,$P$708=0),"",$L$711-1),IF($R$17="Distrato",$E742,0)),MIN(AR$38,$D$19),$P$20))-SUM($P742:AQ742)</f>
        <v>#VALUE!</v>
      </c>
      <c r="AS742" s="446" t="e">
        <f>IF(OR($B742="",MIN(AS$38,$D$19)&lt;MAX($P$708*($B742+IF($R$17="Distrato",$I$38-1,0)),IF(AND($L$711=0,$P$708=0),"",$L$711-1),IF($R$17="Distrato",$E742,0))),0,YEARFRAC(MAX($P$708*($B742+IF($R$17="Distrato",$I$38-1,0)),IF(AND($L$711=0,$P$708=0),"",$L$711-1),IF($R$17="Distrato",$E742,0)),MIN(AS$38,$D$19),$P$20))-SUM($P742:AR742)</f>
        <v>#VALUE!</v>
      </c>
      <c r="AT742" s="446" t="e">
        <f>IF(OR($B742="",MIN(AT$38,$D$19)&lt;MAX($P$708*($B742+IF($R$17="Distrato",$I$38-1,0)),IF(AND($L$711=0,$P$708=0),"",$L$711-1),IF($R$17="Distrato",$E742,0))),0,YEARFRAC(MAX($P$708*($B742+IF($R$17="Distrato",$I$38-1,0)),IF(AND($L$711=0,$P$708=0),"",$L$711-1),IF($R$17="Distrato",$E742,0)),MIN(AT$38,$D$19),$P$20))-SUM($P742:AS742)</f>
        <v>#VALUE!</v>
      </c>
      <c r="AU742" s="446" t="e">
        <f>IF(OR($B742="",MIN(AU$38,$D$19)&lt;MAX($P$708*($B742+IF($R$17="Distrato",$I$38-1,0)),IF(AND($L$711=0,$P$708=0),"",$L$711-1),IF($R$17="Distrato",$E742,0))),0,YEARFRAC(MAX($P$708*($B742+IF($R$17="Distrato",$I$38-1,0)),IF(AND($L$711=0,$P$708=0),"",$L$711-1),IF($R$17="Distrato",$E742,0)),MIN(AU$38,$D$19),$P$20))-SUM($P742:AT742)</f>
        <v>#VALUE!</v>
      </c>
      <c r="AV742" s="446" t="e">
        <f>IF(OR($B742="",MIN(AV$38,$D$19)&lt;MAX($P$708*($B742+IF($R$17="Distrato",$I$38-1,0)),IF(AND($L$711=0,$P$708=0),"",$L$711-1),IF($R$17="Distrato",$E742,0))),0,YEARFRAC(MAX($P$708*($B742+IF($R$17="Distrato",$I$38-1,0)),IF(AND($L$711=0,$P$708=0),"",$L$711-1),IF($R$17="Distrato",$E742,0)),MIN(AV$38,$D$19),$P$20))-SUM($P742:AU742)</f>
        <v>#VALUE!</v>
      </c>
      <c r="AW742" s="446" t="e">
        <f>IF(OR($B742="",MIN(AW$38,$D$19)&lt;MAX($P$708*($B742+IF($R$17="Distrato",$I$38-1,0)),IF(AND($L$711=0,$P$708=0),"",$L$711-1),IF($R$17="Distrato",$E742,0))),0,YEARFRAC(MAX($P$708*($B742+IF($R$17="Distrato",$I$38-1,0)),IF(AND($L$711=0,$P$708=0),"",$L$711-1),IF($R$17="Distrato",$E742,0)),MIN(AW$38,$D$19),$P$20))-SUM($P742:AV742)</f>
        <v>#VALUE!</v>
      </c>
      <c r="AX742" s="446" t="e">
        <f>IF(OR($B742="",MIN(AX$38,$D$19)&lt;MAX($P$708*($B742+IF($R$17="Distrato",$I$38-1,0)),IF(AND($L$711=0,$P$708=0),"",$L$711-1),IF($R$17="Distrato",$E742,0))),0,YEARFRAC(MAX($P$708*($B742+IF($R$17="Distrato",$I$38-1,0)),IF(AND($L$711=0,$P$708=0),"",$L$711-1),IF($R$17="Distrato",$E742,0)),MIN(AX$38,$D$19),$P$20))-SUM($P742:AW742)</f>
        <v>#VALUE!</v>
      </c>
      <c r="AY742" s="446" t="e">
        <f>IF(OR($B742="",MIN(AY$38,$D$19)&lt;MAX($P$708*($B742+IF($R$17="Distrato",$I$38-1,0)),IF(AND($L$711=0,$P$708=0),"",$L$711-1),IF($R$17="Distrato",$E742,0))),0,YEARFRAC(MAX($P$708*($B742+IF($R$17="Distrato",$I$38-1,0)),IF(AND($L$711=0,$P$708=0),"",$L$711-1),IF($R$17="Distrato",$E742,0)),MIN(AY$38,$D$19),$P$20))-SUM($P742:AX742)</f>
        <v>#VALUE!</v>
      </c>
      <c r="AZ742" s="446" t="e">
        <f>IF(OR($B742="",MIN(AZ$38,$D$19)&lt;MAX($P$708*($B742+IF($R$17="Distrato",$I$38-1,0)),IF(AND($L$711=0,$P$708=0),"",$L$711-1),IF($R$17="Distrato",$E742,0))),0,YEARFRAC(MAX($P$708*($B742+IF($R$17="Distrato",$I$38-1,0)),IF(AND($L$711=0,$P$708=0),"",$L$711-1),IF($R$17="Distrato",$E742,0)),MIN(AZ$38,$D$19),$P$20))-SUM($P742:AY742)</f>
        <v>#VALUE!</v>
      </c>
      <c r="BA742" s="446" t="e">
        <f>IF(OR($B742="",MIN(BA$38,$D$19)&lt;MAX($P$708*($B742+IF($R$17="Distrato",$I$38-1,0)),IF(AND($L$711=0,$P$708=0),"",$L$711-1),IF($R$17="Distrato",$E742,0))),0,YEARFRAC(MAX($P$708*($B742+IF($R$17="Distrato",$I$38-1,0)),IF(AND($L$711=0,$P$708=0),"",$L$711-1),IF($R$17="Distrato",$E742,0)),MIN(BA$38,$D$19),$P$20))-SUM($P742:AZ742)</f>
        <v>#VALUE!</v>
      </c>
      <c r="BB742" s="447"/>
    </row>
    <row r="743" spans="1:54" s="446" customFormat="1" ht="11.25" hidden="1" customHeight="1" x14ac:dyDescent="0.2">
      <c r="A743" s="235"/>
      <c r="B743" s="236"/>
      <c r="C743" s="29" t="str">
        <f>IF(B743="","",IF($L$709=$BL$25,VLOOKUP(DATE(YEAR($D$19),MONTH($D$19)-1,1),ÍNDICES!$A:$DE,HLOOKUP($BL$25,ÍNDICES!$B$3:$T$4,2)+11)-VLOOKUP(B743,ÍNDICES!$A:$DE,HLOOKUP($BL$25,ÍNDICES!$B$3:$T$4,2)+11)+1%,IF(C$712=$W$26,$J$35,IF(ISERROR(IF(B743&gt;$D$19,1,VLOOKUP(DATE(YEAR(B743),MONTH(B743)+IF($C$709=$S$23,1,0),1),ÍNDICES!$A:$DE,$Z$709+1))),"",IF(B743&gt;$D$19,1,VLOOKUP(DATE(YEAR(B743),MONTH(B743)+IF($C$709=$S$23,1,0),1),ÍNDICES!$A:$DE,$Z$709+1))))))</f>
        <v/>
      </c>
      <c r="D743" s="155"/>
      <c r="E743" s="88"/>
      <c r="F743" s="88"/>
      <c r="G743" s="88"/>
      <c r="H743" s="118"/>
      <c r="I743" s="182">
        <f t="shared" si="115"/>
        <v>0</v>
      </c>
      <c r="J743" s="20">
        <f t="shared" ca="1" si="116"/>
        <v>0</v>
      </c>
      <c r="K743" s="5">
        <f t="shared" ca="1" si="117"/>
        <v>0</v>
      </c>
      <c r="L743" s="61">
        <f t="shared" ca="1" si="118"/>
        <v>0</v>
      </c>
      <c r="M743" s="64">
        <f t="shared" si="119"/>
        <v>0</v>
      </c>
      <c r="N743" s="151"/>
      <c r="O743" s="5">
        <f t="shared" ca="1" si="120"/>
        <v>0</v>
      </c>
      <c r="P743" s="446" t="e">
        <f t="shared" si="121"/>
        <v>#VALUE!</v>
      </c>
      <c r="Q743" s="446" t="e">
        <f>IF(OR($B743="",MIN(Q$38,$D$19)&lt;MAX($P$708*($B743+IF($R$17="Distrato",$I$38-1,0)),IF(AND($L$711=0,$P$708=0),"",$L$711-1),IF($R$17="Distrato",$E743,0))),0,YEARFRAC(MAX($P$708*($B743+IF($R$17="Distrato",$I$38-1,0)),IF(AND($L$711=0,$P$708=0),"",$L$711-1),IF($R$17="Distrato",$E743,0)),MIN(Q$38,$D$19),$P$20))-SUM($P743:P743)</f>
        <v>#VALUE!</v>
      </c>
      <c r="R743" s="446" t="e">
        <f>IF(OR($B743="",MIN(R$38,$D$19)&lt;MAX($P$708*($B743+IF($R$17="Distrato",$I$38-1,0)),IF(AND($L$711=0,$P$708=0),"",$L$711-1),IF($R$17="Distrato",$E743,0))),0,YEARFRAC(MAX($P$708*($B743+IF($R$17="Distrato",$I$38-1,0)),IF(AND($L$711=0,$P$708=0),"",$L$711-1),IF($R$17="Distrato",$E743,0)),MIN(R$38,$D$19),$P$20))-SUM($P743:Q743)</f>
        <v>#VALUE!</v>
      </c>
      <c r="S743" s="446" t="e">
        <f>IF(OR($B743="",MIN(S$38,$D$19)&lt;MAX($P$708*($B743+IF($R$17="Distrato",$I$38-1,0)),IF(AND($L$711=0,$P$708=0),"",$L$711-1),IF($R$17="Distrato",$E743,0))),0,YEARFRAC(MAX($P$708*($B743+IF($R$17="Distrato",$I$38-1,0)),IF(AND($L$711=0,$P$708=0),"",$L$711-1),IF($R$17="Distrato",$E743,0)),MIN(S$38,$D$19),$P$20))-SUM($P743:R743)</f>
        <v>#VALUE!</v>
      </c>
      <c r="T743" s="446" t="e">
        <f>IF(OR($B743="",MIN(T$38,$D$19)&lt;MAX($P$708*($B743+IF($R$17="Distrato",$I$38-1,0)),IF(AND($L$711=0,$P$708=0),"",$L$711-1),IF($R$17="Distrato",$E743,0))),0,YEARFRAC(MAX($P$708*($B743+IF($R$17="Distrato",$I$38-1,0)),IF(AND($L$711=0,$P$708=0),"",$L$711-1),IF($R$17="Distrato",$E743,0)),MIN(T$38,$D$19),$P$20))-SUM($P743:S743)</f>
        <v>#VALUE!</v>
      </c>
      <c r="U743" s="446" t="e">
        <f>IF(OR($B743="",MIN(U$38,$D$19)&lt;MAX($P$708*($B743+IF($R$17="Distrato",$I$38-1,0)),IF(AND($L$711=0,$P$708=0),"",$L$711-1),IF($R$17="Distrato",$E743,0))),0,YEARFRAC(MAX($P$708*($B743+IF($R$17="Distrato",$I$38-1,0)),IF(AND($L$711=0,$P$708=0),"",$L$711-1),IF($R$17="Distrato",$E743,0)),MIN(U$38,$D$19),$P$20))-SUM($P743:T743)</f>
        <v>#VALUE!</v>
      </c>
      <c r="V743" s="446" t="e">
        <f>IF(OR($B743="",MIN(V$38,$D$19)&lt;MAX($P$708*($B743+IF($R$17="Distrato",$I$38-1,0)),IF(AND($L$711=0,$P$708=0),"",$L$711-1),IF($R$17="Distrato",$E743,0))),0,YEARFRAC(MAX($P$708*($B743+IF($R$17="Distrato",$I$38-1,0)),IF(AND($L$711=0,$P$708=0),"",$L$711-1),IF($R$17="Distrato",$E743,0)),MIN(V$38,$D$19),$P$20))-SUM($P743:U743)</f>
        <v>#VALUE!</v>
      </c>
      <c r="W743" s="446" t="e">
        <f>IF(OR($B743="",MIN(W$38,$D$19)&lt;MAX($P$708*($B743+IF($R$17="Distrato",$I$38-1,0)),IF(AND($L$711=0,$P$708=0),"",$L$711-1),IF($R$17="Distrato",$E743,0))),0,YEARFRAC(MAX($P$708*($B743+IF($R$17="Distrato",$I$38-1,0)),IF(AND($L$711=0,$P$708=0),"",$L$711-1),IF($R$17="Distrato",$E743,0)),MIN(W$38,$D$19),$P$20))-SUM($P743:V743)</f>
        <v>#VALUE!</v>
      </c>
      <c r="X743" s="446" t="e">
        <f>IF(OR($B743="",MIN(X$38,$D$19)&lt;MAX($P$708*($B743+IF($R$17="Distrato",$I$38-1,0)),IF(AND($L$711=0,$P$708=0),"",$L$711-1),IF($R$17="Distrato",$E743,0))),0,YEARFRAC(MAX($P$708*($B743+IF($R$17="Distrato",$I$38-1,0)),IF(AND($L$711=0,$P$708=0),"",$L$711-1),IF($R$17="Distrato",$E743,0)),MIN(X$38,$D$19),$P$20))-SUM($P743:W743)</f>
        <v>#VALUE!</v>
      </c>
      <c r="Y743" s="446" t="e">
        <f>IF(OR($B743="",MIN(Y$38,$D$19)&lt;MAX($P$708*($B743+IF($R$17="Distrato",$I$38-1,0)),IF(AND($L$711=0,$P$708=0),"",$L$711-1),IF($R$17="Distrato",$E743,0))),0,YEARFRAC(MAX($P$708*($B743+IF($R$17="Distrato",$I$38-1,0)),IF(AND($L$711=0,$P$708=0),"",$L$711-1),IF($R$17="Distrato",$E743,0)),MIN(Y$38,$D$19),$P$20))-SUM($P743:X743)</f>
        <v>#VALUE!</v>
      </c>
      <c r="Z743" s="446" t="e">
        <f>IF(OR($B743="",MIN(Z$38,$D$19)&lt;MAX($P$708*($B743+IF($R$17="Distrato",$I$38-1,0)),IF(AND($L$711=0,$P$708=0),"",$L$711-1),IF($R$17="Distrato",$E743,0))),0,YEARFRAC(MAX($P$708*($B743+IF($R$17="Distrato",$I$38-1,0)),IF(AND($L$711=0,$P$708=0),"",$L$711-1),IF($R$17="Distrato",$E743,0)),MIN(Z$38,$D$19),$P$20))-SUM($P743:Y743)</f>
        <v>#VALUE!</v>
      </c>
      <c r="AA743" s="446" t="e">
        <f>IF(OR($B743="",MIN(AA$38,$D$19)&lt;MAX($P$708*($B743+IF($R$17="Distrato",$I$38-1,0)),IF(AND($L$711=0,$P$708=0),"",$L$711-1),IF($R$17="Distrato",$E743,0))),0,YEARFRAC(MAX($P$708*($B743+IF($R$17="Distrato",$I$38-1,0)),IF(AND($L$711=0,$P$708=0),"",$L$711-1),IF($R$17="Distrato",$E743,0)),MIN(AA$38,$D$19),$P$20))-SUM($P743:Z743)</f>
        <v>#VALUE!</v>
      </c>
      <c r="AB743" s="446" t="e">
        <f>IF(OR($B743="",MIN(AB$38,$D$19)&lt;MAX($P$708*($B743+IF($R$17="Distrato",$I$38-1,0)),IF(AND($L$711=0,$P$708=0),"",$L$711-1),IF($R$17="Distrato",$E743,0))),0,YEARFRAC(MAX($P$708*($B743+IF($R$17="Distrato",$I$38-1,0)),IF(AND($L$711=0,$P$708=0),"",$L$711-1),IF($R$17="Distrato",$E743,0)),MIN(AB$38,$D$19),$P$20))-SUM($P743:AA743)</f>
        <v>#VALUE!</v>
      </c>
      <c r="AC743" s="446" t="e">
        <f>IF(OR($B743="",MIN(AC$38,$D$19)&lt;MAX($P$708*($B743+IF($R$17="Distrato",$I$38-1,0)),IF(AND($L$711=0,$P$708=0),"",$L$711-1),IF($R$17="Distrato",$E743,0))),0,YEARFRAC(MAX($P$708*($B743+IF($R$17="Distrato",$I$38-1,0)),IF(AND($L$711=0,$P$708=0),"",$L$711-1),IF($R$17="Distrato",$E743,0)),MIN(AC$38,$D$19),$P$20))-SUM($P743:AB743)</f>
        <v>#VALUE!</v>
      </c>
      <c r="AD743" s="446" t="e">
        <f>IF(OR($B743="",MIN(AD$38,$D$19)&lt;MAX($P$708*($B743+IF($R$17="Distrato",$I$38-1,0)),IF(AND($L$711=0,$P$708=0),"",$L$711-1),IF($R$17="Distrato",$E743,0))),0,YEARFRAC(MAX($P$708*($B743+IF($R$17="Distrato",$I$38-1,0)),IF(AND($L$711=0,$P$708=0),"",$L$711-1),IF($R$17="Distrato",$E743,0)),MIN(AD$38,$D$19),$P$20))-SUM($P743:AC743)</f>
        <v>#VALUE!</v>
      </c>
      <c r="AE743" s="446" t="e">
        <f>IF(OR($B743="",MIN(AE$38,$D$19)&lt;MAX($P$708*($B743+IF($R$17="Distrato",$I$38-1,0)),IF(AND($L$711=0,$P$708=0),"",$L$711-1),IF($R$17="Distrato",$E743,0))),0,YEARFRAC(MAX($P$708*($B743+IF($R$17="Distrato",$I$38-1,0)),IF(AND($L$711=0,$P$708=0),"",$L$711-1),IF($R$17="Distrato",$E743,0)),MIN(AE$38,$D$19),$P$20))-SUM($P743:AD743)</f>
        <v>#VALUE!</v>
      </c>
      <c r="AF743" s="446" t="e">
        <f>IF(OR($B743="",MIN(AF$38,$D$19)&lt;MAX($P$708*($B743+IF($R$17="Distrato",$I$38-1,0)),IF(AND($L$711=0,$P$708=0),"",$L$711-1),IF($R$17="Distrato",$E743,0))),0,YEARFRAC(MAX($P$708*($B743+IF($R$17="Distrato",$I$38-1,0)),IF(AND($L$711=0,$P$708=0),"",$L$711-1),IF($R$17="Distrato",$E743,0)),MIN(AF$38,$D$19),$P$20))-SUM($P743:AE743)</f>
        <v>#VALUE!</v>
      </c>
      <c r="AG743" s="446" t="e">
        <f>IF(OR($B743="",MIN(AG$38,$D$19)&lt;MAX($P$708*($B743+IF($R$17="Distrato",$I$38-1,0)),IF(AND($L$711=0,$P$708=0),"",$L$711-1),IF($R$17="Distrato",$E743,0))),0,YEARFRAC(MAX($P$708*($B743+IF($R$17="Distrato",$I$38-1,0)),IF(AND($L$711=0,$P$708=0),"",$L$711-1),IF($R$17="Distrato",$E743,0)),MIN(AG$38,$D$19),$P$20))-SUM($P743:AF743)</f>
        <v>#VALUE!</v>
      </c>
      <c r="AH743" s="446" t="e">
        <f>IF(OR($B743="",MIN(AH$38,$D$19)&lt;MAX($P$708*($B743+IF($R$17="Distrato",$I$38-1,0)),IF(AND($L$711=0,$P$708=0),"",$L$711-1),IF($R$17="Distrato",$E743,0))),0,YEARFRAC(MAX($P$708*($B743+IF($R$17="Distrato",$I$38-1,0)),IF(AND($L$711=0,$P$708=0),"",$L$711-1),IF($R$17="Distrato",$E743,0)),MIN(AH$38,$D$19),$P$20))-SUM($P743:AG743)</f>
        <v>#VALUE!</v>
      </c>
      <c r="AI743" s="446" t="e">
        <f>IF(OR($B743="",MIN(AI$38,$D$19)&lt;MAX($P$708*($B743+IF($R$17="Distrato",$I$38-1,0)),IF(AND($L$711=0,$P$708=0),"",$L$711-1),IF($R$17="Distrato",$E743,0))),0,YEARFRAC(MAX($P$708*($B743+IF($R$17="Distrato",$I$38-1,0)),IF(AND($L$711=0,$P$708=0),"",$L$711-1),IF($R$17="Distrato",$E743,0)),MIN(AI$38,$D$19),$P$20))-SUM($P743:AH743)</f>
        <v>#VALUE!</v>
      </c>
      <c r="AJ743" s="446" t="e">
        <f>IF(OR($B743="",MIN(AJ$38,$D$19)&lt;MAX($P$708*($B743+IF($R$17="Distrato",$I$38-1,0)),IF(AND($L$711=0,$P$708=0),"",$L$711-1),IF($R$17="Distrato",$E743,0))),0,YEARFRAC(MAX($P$708*($B743+IF($R$17="Distrato",$I$38-1,0)),IF(AND($L$711=0,$P$708=0),"",$L$711-1),IF($R$17="Distrato",$E743,0)),MIN(AJ$38,$D$19),$P$20))-SUM($P743:AI743)</f>
        <v>#VALUE!</v>
      </c>
      <c r="AK743" s="446" t="e">
        <f>IF(OR($B743="",MIN(AK$38,$D$19)&lt;MAX($P$708*($B743+IF($R$17="Distrato",$I$38-1,0)),IF(AND($L$711=0,$P$708=0),"",$L$711-1),IF($R$17="Distrato",$E743,0))),0,YEARFRAC(MAX($P$708*($B743+IF($R$17="Distrato",$I$38-1,0)),IF(AND($L$711=0,$P$708=0),"",$L$711-1),IF($R$17="Distrato",$E743,0)),MIN(AK$38,$D$19),$P$20))-SUM($P743:AJ743)</f>
        <v>#VALUE!</v>
      </c>
      <c r="AL743" s="446" t="e">
        <f>IF(OR($B743="",MIN(AL$38,$D$19)&lt;MAX($P$708*($B743+IF($R$17="Distrato",$I$38-1,0)),IF(AND($L$711=0,$P$708=0),"",$L$711-1),IF($R$17="Distrato",$E743,0))),0,YEARFRAC(MAX($P$708*($B743+IF($R$17="Distrato",$I$38-1,0)),IF(AND($L$711=0,$P$708=0),"",$L$711-1),IF($R$17="Distrato",$E743,0)),MIN(AL$38,$D$19),$P$20))-SUM($P743:AK743)</f>
        <v>#VALUE!</v>
      </c>
      <c r="AM743" s="446" t="e">
        <f>IF(OR($B743="",MIN(AM$38,$D$19)&lt;MAX($P$708*($B743+IF($R$17="Distrato",$I$38-1,0)),IF(AND($L$711=0,$P$708=0),"",$L$711-1),IF($R$17="Distrato",$E743,0))),0,YEARFRAC(MAX($P$708*($B743+IF($R$17="Distrato",$I$38-1,0)),IF(AND($L$711=0,$P$708=0),"",$L$711-1),IF($R$17="Distrato",$E743,0)),MIN(AM$38,$D$19),$P$20))-SUM($P743:AL743)</f>
        <v>#VALUE!</v>
      </c>
      <c r="AN743" s="446" t="e">
        <f>IF(OR($B743="",MIN(AN$38,$D$19)&lt;MAX($P$708*($B743+IF($R$17="Distrato",$I$38-1,0)),IF(AND($L$711=0,$P$708=0),"",$L$711-1),IF($R$17="Distrato",$E743,0))),0,YEARFRAC(MAX($P$708*($B743+IF($R$17="Distrato",$I$38-1,0)),IF(AND($L$711=0,$P$708=0),"",$L$711-1),IF($R$17="Distrato",$E743,0)),MIN(AN$38,$D$19),$P$20))-SUM($P743:AM743)</f>
        <v>#VALUE!</v>
      </c>
      <c r="AO743" s="446" t="e">
        <f>IF(OR($B743="",MIN(AO$38,$D$19)&lt;MAX($P$708*($B743+IF($R$17="Distrato",$I$38-1,0)),IF(AND($L$711=0,$P$708=0),"",$L$711-1),IF($R$17="Distrato",$E743,0))),0,YEARFRAC(MAX($P$708*($B743+IF($R$17="Distrato",$I$38-1,0)),IF(AND($L$711=0,$P$708=0),"",$L$711-1),IF($R$17="Distrato",$E743,0)),MIN(AO$38,$D$19),$P$20))-SUM($P743:AN743)</f>
        <v>#VALUE!</v>
      </c>
      <c r="AP743" s="446" t="e">
        <f>IF(OR($B743="",MIN(AP$38,$D$19)&lt;MAX($P$708*($B743+IF($R$17="Distrato",$I$38-1,0)),IF(AND($L$711=0,$P$708=0),"",$L$711-1),IF($R$17="Distrato",$E743,0))),0,YEARFRAC(MAX($P$708*($B743+IF($R$17="Distrato",$I$38-1,0)),IF(AND($L$711=0,$P$708=0),"",$L$711-1),IF($R$17="Distrato",$E743,0)),MIN(AP$38,$D$19),$P$20))-SUM($P743:AO743)</f>
        <v>#VALUE!</v>
      </c>
      <c r="AQ743" s="446" t="e">
        <f>IF(OR($B743="",MIN(AQ$38,$D$19)&lt;MAX($P$708*($B743+IF($R$17="Distrato",$I$38-1,0)),IF(AND($L$711=0,$P$708=0),"",$L$711-1),IF($R$17="Distrato",$E743,0))),0,YEARFRAC(MAX($P$708*($B743+IF($R$17="Distrato",$I$38-1,0)),IF(AND($L$711=0,$P$708=0),"",$L$711-1),IF($R$17="Distrato",$E743,0)),MIN(AQ$38,$D$19),$P$20))-SUM($P743:AP743)</f>
        <v>#VALUE!</v>
      </c>
      <c r="AR743" s="446" t="e">
        <f>IF(OR($B743="",MIN(AR$38,$D$19)&lt;MAX($P$708*($B743+IF($R$17="Distrato",$I$38-1,0)),IF(AND($L$711=0,$P$708=0),"",$L$711-1),IF($R$17="Distrato",$E743,0))),0,YEARFRAC(MAX($P$708*($B743+IF($R$17="Distrato",$I$38-1,0)),IF(AND($L$711=0,$P$708=0),"",$L$711-1),IF($R$17="Distrato",$E743,0)),MIN(AR$38,$D$19),$P$20))-SUM($P743:AQ743)</f>
        <v>#VALUE!</v>
      </c>
      <c r="AS743" s="446" t="e">
        <f>IF(OR($B743="",MIN(AS$38,$D$19)&lt;MAX($P$708*($B743+IF($R$17="Distrato",$I$38-1,0)),IF(AND($L$711=0,$P$708=0),"",$L$711-1),IF($R$17="Distrato",$E743,0))),0,YEARFRAC(MAX($P$708*($B743+IF($R$17="Distrato",$I$38-1,0)),IF(AND($L$711=0,$P$708=0),"",$L$711-1),IF($R$17="Distrato",$E743,0)),MIN(AS$38,$D$19),$P$20))-SUM($P743:AR743)</f>
        <v>#VALUE!</v>
      </c>
      <c r="AT743" s="446" t="e">
        <f>IF(OR($B743="",MIN(AT$38,$D$19)&lt;MAX($P$708*($B743+IF($R$17="Distrato",$I$38-1,0)),IF(AND($L$711=0,$P$708=0),"",$L$711-1),IF($R$17="Distrato",$E743,0))),0,YEARFRAC(MAX($P$708*($B743+IF($R$17="Distrato",$I$38-1,0)),IF(AND($L$711=0,$P$708=0),"",$L$711-1),IF($R$17="Distrato",$E743,0)),MIN(AT$38,$D$19),$P$20))-SUM($P743:AS743)</f>
        <v>#VALUE!</v>
      </c>
      <c r="AU743" s="446" t="e">
        <f>IF(OR($B743="",MIN(AU$38,$D$19)&lt;MAX($P$708*($B743+IF($R$17="Distrato",$I$38-1,0)),IF(AND($L$711=0,$P$708=0),"",$L$711-1),IF($R$17="Distrato",$E743,0))),0,YEARFRAC(MAX($P$708*($B743+IF($R$17="Distrato",$I$38-1,0)),IF(AND($L$711=0,$P$708=0),"",$L$711-1),IF($R$17="Distrato",$E743,0)),MIN(AU$38,$D$19),$P$20))-SUM($P743:AT743)</f>
        <v>#VALUE!</v>
      </c>
      <c r="AV743" s="446" t="e">
        <f>IF(OR($B743="",MIN(AV$38,$D$19)&lt;MAX($P$708*($B743+IF($R$17="Distrato",$I$38-1,0)),IF(AND($L$711=0,$P$708=0),"",$L$711-1),IF($R$17="Distrato",$E743,0))),0,YEARFRAC(MAX($P$708*($B743+IF($R$17="Distrato",$I$38-1,0)),IF(AND($L$711=0,$P$708=0),"",$L$711-1),IF($R$17="Distrato",$E743,0)),MIN(AV$38,$D$19),$P$20))-SUM($P743:AU743)</f>
        <v>#VALUE!</v>
      </c>
      <c r="AW743" s="446" t="e">
        <f>IF(OR($B743="",MIN(AW$38,$D$19)&lt;MAX($P$708*($B743+IF($R$17="Distrato",$I$38-1,0)),IF(AND($L$711=0,$P$708=0),"",$L$711-1),IF($R$17="Distrato",$E743,0))),0,YEARFRAC(MAX($P$708*($B743+IF($R$17="Distrato",$I$38-1,0)),IF(AND($L$711=0,$P$708=0),"",$L$711-1),IF($R$17="Distrato",$E743,0)),MIN(AW$38,$D$19),$P$20))-SUM($P743:AV743)</f>
        <v>#VALUE!</v>
      </c>
      <c r="AX743" s="446" t="e">
        <f>IF(OR($B743="",MIN(AX$38,$D$19)&lt;MAX($P$708*($B743+IF($R$17="Distrato",$I$38-1,0)),IF(AND($L$711=0,$P$708=0),"",$L$711-1),IF($R$17="Distrato",$E743,0))),0,YEARFRAC(MAX($P$708*($B743+IF($R$17="Distrato",$I$38-1,0)),IF(AND($L$711=0,$P$708=0),"",$L$711-1),IF($R$17="Distrato",$E743,0)),MIN(AX$38,$D$19),$P$20))-SUM($P743:AW743)</f>
        <v>#VALUE!</v>
      </c>
      <c r="AY743" s="446" t="e">
        <f>IF(OR($B743="",MIN(AY$38,$D$19)&lt;MAX($P$708*($B743+IF($R$17="Distrato",$I$38-1,0)),IF(AND($L$711=0,$P$708=0),"",$L$711-1),IF($R$17="Distrato",$E743,0))),0,YEARFRAC(MAX($P$708*($B743+IF($R$17="Distrato",$I$38-1,0)),IF(AND($L$711=0,$P$708=0),"",$L$711-1),IF($R$17="Distrato",$E743,0)),MIN(AY$38,$D$19),$P$20))-SUM($P743:AX743)</f>
        <v>#VALUE!</v>
      </c>
      <c r="AZ743" s="446" t="e">
        <f>IF(OR($B743="",MIN(AZ$38,$D$19)&lt;MAX($P$708*($B743+IF($R$17="Distrato",$I$38-1,0)),IF(AND($L$711=0,$P$708=0),"",$L$711-1),IF($R$17="Distrato",$E743,0))),0,YEARFRAC(MAX($P$708*($B743+IF($R$17="Distrato",$I$38-1,0)),IF(AND($L$711=0,$P$708=0),"",$L$711-1),IF($R$17="Distrato",$E743,0)),MIN(AZ$38,$D$19),$P$20))-SUM($P743:AY743)</f>
        <v>#VALUE!</v>
      </c>
      <c r="BA743" s="446" t="e">
        <f>IF(OR($B743="",MIN(BA$38,$D$19)&lt;MAX($P$708*($B743+IF($R$17="Distrato",$I$38-1,0)),IF(AND($L$711=0,$P$708=0),"",$L$711-1),IF($R$17="Distrato",$E743,0))),0,YEARFRAC(MAX($P$708*($B743+IF($R$17="Distrato",$I$38-1,0)),IF(AND($L$711=0,$P$708=0),"",$L$711-1),IF($R$17="Distrato",$E743,0)),MIN(BA$38,$D$19),$P$20))-SUM($P743:AZ743)</f>
        <v>#VALUE!</v>
      </c>
      <c r="BB743" s="447"/>
    </row>
    <row r="744" spans="1:54" s="446" customFormat="1" ht="11.25" hidden="1" customHeight="1" x14ac:dyDescent="0.2">
      <c r="A744" s="235"/>
      <c r="B744" s="236"/>
      <c r="C744" s="29" t="str">
        <f>IF(B744="","",IF($L$709=$BL$25,VLOOKUP(DATE(YEAR($D$19),MONTH($D$19)-1,1),ÍNDICES!$A:$DE,HLOOKUP($BL$25,ÍNDICES!$B$3:$T$4,2)+11)-VLOOKUP(B744,ÍNDICES!$A:$DE,HLOOKUP($BL$25,ÍNDICES!$B$3:$T$4,2)+11)+1%,IF(C$712=$W$26,$J$35,IF(ISERROR(IF(B744&gt;$D$19,1,VLOOKUP(DATE(YEAR(B744),MONTH(B744)+IF($C$709=$S$23,1,0),1),ÍNDICES!$A:$DE,$Z$709+1))),"",IF(B744&gt;$D$19,1,VLOOKUP(DATE(YEAR(B744),MONTH(B744)+IF($C$709=$S$23,1,0),1),ÍNDICES!$A:$DE,$Z$709+1))))))</f>
        <v/>
      </c>
      <c r="D744" s="155"/>
      <c r="E744" s="88"/>
      <c r="F744" s="88"/>
      <c r="G744" s="88"/>
      <c r="H744" s="118"/>
      <c r="I744" s="182">
        <f t="shared" si="115"/>
        <v>0</v>
      </c>
      <c r="J744" s="20">
        <f t="shared" ca="1" si="116"/>
        <v>0</v>
      </c>
      <c r="K744" s="5">
        <f t="shared" ca="1" si="117"/>
        <v>0</v>
      </c>
      <c r="L744" s="61">
        <f t="shared" ca="1" si="118"/>
        <v>0</v>
      </c>
      <c r="M744" s="64">
        <f t="shared" si="119"/>
        <v>0</v>
      </c>
      <c r="N744" s="151"/>
      <c r="O744" s="5">
        <f t="shared" ca="1" si="120"/>
        <v>0</v>
      </c>
      <c r="P744" s="446" t="e">
        <f t="shared" si="121"/>
        <v>#VALUE!</v>
      </c>
      <c r="Q744" s="446" t="e">
        <f>IF(OR($B744="",MIN(Q$38,$D$19)&lt;MAX($P$708*($B744+IF($R$17="Distrato",$I$38-1,0)),IF(AND($L$711=0,$P$708=0),"",$L$711-1),IF($R$17="Distrato",$E744,0))),0,YEARFRAC(MAX($P$708*($B744+IF($R$17="Distrato",$I$38-1,0)),IF(AND($L$711=0,$P$708=0),"",$L$711-1),IF($R$17="Distrato",$E744,0)),MIN(Q$38,$D$19),$P$20))-SUM($P744:P744)</f>
        <v>#VALUE!</v>
      </c>
      <c r="R744" s="446" t="e">
        <f>IF(OR($B744="",MIN(R$38,$D$19)&lt;MAX($P$708*($B744+IF($R$17="Distrato",$I$38-1,0)),IF(AND($L$711=0,$P$708=0),"",$L$711-1),IF($R$17="Distrato",$E744,0))),0,YEARFRAC(MAX($P$708*($B744+IF($R$17="Distrato",$I$38-1,0)),IF(AND($L$711=0,$P$708=0),"",$L$711-1),IF($R$17="Distrato",$E744,0)),MIN(R$38,$D$19),$P$20))-SUM($P744:Q744)</f>
        <v>#VALUE!</v>
      </c>
      <c r="S744" s="446" t="e">
        <f>IF(OR($B744="",MIN(S$38,$D$19)&lt;MAX($P$708*($B744+IF($R$17="Distrato",$I$38-1,0)),IF(AND($L$711=0,$P$708=0),"",$L$711-1),IF($R$17="Distrato",$E744,0))),0,YEARFRAC(MAX($P$708*($B744+IF($R$17="Distrato",$I$38-1,0)),IF(AND($L$711=0,$P$708=0),"",$L$711-1),IF($R$17="Distrato",$E744,0)),MIN(S$38,$D$19),$P$20))-SUM($P744:R744)</f>
        <v>#VALUE!</v>
      </c>
      <c r="T744" s="446" t="e">
        <f>IF(OR($B744="",MIN(T$38,$D$19)&lt;MAX($P$708*($B744+IF($R$17="Distrato",$I$38-1,0)),IF(AND($L$711=0,$P$708=0),"",$L$711-1),IF($R$17="Distrato",$E744,0))),0,YEARFRAC(MAX($P$708*($B744+IF($R$17="Distrato",$I$38-1,0)),IF(AND($L$711=0,$P$708=0),"",$L$711-1),IF($R$17="Distrato",$E744,0)),MIN(T$38,$D$19),$P$20))-SUM($P744:S744)</f>
        <v>#VALUE!</v>
      </c>
      <c r="U744" s="446" t="e">
        <f>IF(OR($B744="",MIN(U$38,$D$19)&lt;MAX($P$708*($B744+IF($R$17="Distrato",$I$38-1,0)),IF(AND($L$711=0,$P$708=0),"",$L$711-1),IF($R$17="Distrato",$E744,0))),0,YEARFRAC(MAX($P$708*($B744+IF($R$17="Distrato",$I$38-1,0)),IF(AND($L$711=0,$P$708=0),"",$L$711-1),IF($R$17="Distrato",$E744,0)),MIN(U$38,$D$19),$P$20))-SUM($P744:T744)</f>
        <v>#VALUE!</v>
      </c>
      <c r="V744" s="446" t="e">
        <f>IF(OR($B744="",MIN(V$38,$D$19)&lt;MAX($P$708*($B744+IF($R$17="Distrato",$I$38-1,0)),IF(AND($L$711=0,$P$708=0),"",$L$711-1),IF($R$17="Distrato",$E744,0))),0,YEARFRAC(MAX($P$708*($B744+IF($R$17="Distrato",$I$38-1,0)),IF(AND($L$711=0,$P$708=0),"",$L$711-1),IF($R$17="Distrato",$E744,0)),MIN(V$38,$D$19),$P$20))-SUM($P744:U744)</f>
        <v>#VALUE!</v>
      </c>
      <c r="W744" s="446" t="e">
        <f>IF(OR($B744="",MIN(W$38,$D$19)&lt;MAX($P$708*($B744+IF($R$17="Distrato",$I$38-1,0)),IF(AND($L$711=0,$P$708=0),"",$L$711-1),IF($R$17="Distrato",$E744,0))),0,YEARFRAC(MAX($P$708*($B744+IF($R$17="Distrato",$I$38-1,0)),IF(AND($L$711=0,$P$708=0),"",$L$711-1),IF($R$17="Distrato",$E744,0)),MIN(W$38,$D$19),$P$20))-SUM($P744:V744)</f>
        <v>#VALUE!</v>
      </c>
      <c r="X744" s="446" t="e">
        <f>IF(OR($B744="",MIN(X$38,$D$19)&lt;MAX($P$708*($B744+IF($R$17="Distrato",$I$38-1,0)),IF(AND($L$711=0,$P$708=0),"",$L$711-1),IF($R$17="Distrato",$E744,0))),0,YEARFRAC(MAX($P$708*($B744+IF($R$17="Distrato",$I$38-1,0)),IF(AND($L$711=0,$P$708=0),"",$L$711-1),IF($R$17="Distrato",$E744,0)),MIN(X$38,$D$19),$P$20))-SUM($P744:W744)</f>
        <v>#VALUE!</v>
      </c>
      <c r="Y744" s="446" t="e">
        <f>IF(OR($B744="",MIN(Y$38,$D$19)&lt;MAX($P$708*($B744+IF($R$17="Distrato",$I$38-1,0)),IF(AND($L$711=0,$P$708=0),"",$L$711-1),IF($R$17="Distrato",$E744,0))),0,YEARFRAC(MAX($P$708*($B744+IF($R$17="Distrato",$I$38-1,0)),IF(AND($L$711=0,$P$708=0),"",$L$711-1),IF($R$17="Distrato",$E744,0)),MIN(Y$38,$D$19),$P$20))-SUM($P744:X744)</f>
        <v>#VALUE!</v>
      </c>
      <c r="Z744" s="446" t="e">
        <f>IF(OR($B744="",MIN(Z$38,$D$19)&lt;MAX($P$708*($B744+IF($R$17="Distrato",$I$38-1,0)),IF(AND($L$711=0,$P$708=0),"",$L$711-1),IF($R$17="Distrato",$E744,0))),0,YEARFRAC(MAX($P$708*($B744+IF($R$17="Distrato",$I$38-1,0)),IF(AND($L$711=0,$P$708=0),"",$L$711-1),IF($R$17="Distrato",$E744,0)),MIN(Z$38,$D$19),$P$20))-SUM($P744:Y744)</f>
        <v>#VALUE!</v>
      </c>
      <c r="AA744" s="446" t="e">
        <f>IF(OR($B744="",MIN(AA$38,$D$19)&lt;MAX($P$708*($B744+IF($R$17="Distrato",$I$38-1,0)),IF(AND($L$711=0,$P$708=0),"",$L$711-1),IF($R$17="Distrato",$E744,0))),0,YEARFRAC(MAX($P$708*($B744+IF($R$17="Distrato",$I$38-1,0)),IF(AND($L$711=0,$P$708=0),"",$L$711-1),IF($R$17="Distrato",$E744,0)),MIN(AA$38,$D$19),$P$20))-SUM($P744:Z744)</f>
        <v>#VALUE!</v>
      </c>
      <c r="AB744" s="446" t="e">
        <f>IF(OR($B744="",MIN(AB$38,$D$19)&lt;MAX($P$708*($B744+IF($R$17="Distrato",$I$38-1,0)),IF(AND($L$711=0,$P$708=0),"",$L$711-1),IF($R$17="Distrato",$E744,0))),0,YEARFRAC(MAX($P$708*($B744+IF($R$17="Distrato",$I$38-1,0)),IF(AND($L$711=0,$P$708=0),"",$L$711-1),IF($R$17="Distrato",$E744,0)),MIN(AB$38,$D$19),$P$20))-SUM($P744:AA744)</f>
        <v>#VALUE!</v>
      </c>
      <c r="AC744" s="446" t="e">
        <f>IF(OR($B744="",MIN(AC$38,$D$19)&lt;MAX($P$708*($B744+IF($R$17="Distrato",$I$38-1,0)),IF(AND($L$711=0,$P$708=0),"",$L$711-1),IF($R$17="Distrato",$E744,0))),0,YEARFRAC(MAX($P$708*($B744+IF($R$17="Distrato",$I$38-1,0)),IF(AND($L$711=0,$P$708=0),"",$L$711-1),IF($R$17="Distrato",$E744,0)),MIN(AC$38,$D$19),$P$20))-SUM($P744:AB744)</f>
        <v>#VALUE!</v>
      </c>
      <c r="AD744" s="446" t="e">
        <f>IF(OR($B744="",MIN(AD$38,$D$19)&lt;MAX($P$708*($B744+IF($R$17="Distrato",$I$38-1,0)),IF(AND($L$711=0,$P$708=0),"",$L$711-1),IF($R$17="Distrato",$E744,0))),0,YEARFRAC(MAX($P$708*($B744+IF($R$17="Distrato",$I$38-1,0)),IF(AND($L$711=0,$P$708=0),"",$L$711-1),IF($R$17="Distrato",$E744,0)),MIN(AD$38,$D$19),$P$20))-SUM($P744:AC744)</f>
        <v>#VALUE!</v>
      </c>
      <c r="AE744" s="446" t="e">
        <f>IF(OR($B744="",MIN(AE$38,$D$19)&lt;MAX($P$708*($B744+IF($R$17="Distrato",$I$38-1,0)),IF(AND($L$711=0,$P$708=0),"",$L$711-1),IF($R$17="Distrato",$E744,0))),0,YEARFRAC(MAX($P$708*($B744+IF($R$17="Distrato",$I$38-1,0)),IF(AND($L$711=0,$P$708=0),"",$L$711-1),IF($R$17="Distrato",$E744,0)),MIN(AE$38,$D$19),$P$20))-SUM($P744:AD744)</f>
        <v>#VALUE!</v>
      </c>
      <c r="AF744" s="446" t="e">
        <f>IF(OR($B744="",MIN(AF$38,$D$19)&lt;MAX($P$708*($B744+IF($R$17="Distrato",$I$38-1,0)),IF(AND($L$711=0,$P$708=0),"",$L$711-1),IF($R$17="Distrato",$E744,0))),0,YEARFRAC(MAX($P$708*($B744+IF($R$17="Distrato",$I$38-1,0)),IF(AND($L$711=0,$P$708=0),"",$L$711-1),IF($R$17="Distrato",$E744,0)),MIN(AF$38,$D$19),$P$20))-SUM($P744:AE744)</f>
        <v>#VALUE!</v>
      </c>
      <c r="AG744" s="446" t="e">
        <f>IF(OR($B744="",MIN(AG$38,$D$19)&lt;MAX($P$708*($B744+IF($R$17="Distrato",$I$38-1,0)),IF(AND($L$711=0,$P$708=0),"",$L$711-1),IF($R$17="Distrato",$E744,0))),0,YEARFRAC(MAX($P$708*($B744+IF($R$17="Distrato",$I$38-1,0)),IF(AND($L$711=0,$P$708=0),"",$L$711-1),IF($R$17="Distrato",$E744,0)),MIN(AG$38,$D$19),$P$20))-SUM($P744:AF744)</f>
        <v>#VALUE!</v>
      </c>
      <c r="AH744" s="446" t="e">
        <f>IF(OR($B744="",MIN(AH$38,$D$19)&lt;MAX($P$708*($B744+IF($R$17="Distrato",$I$38-1,0)),IF(AND($L$711=0,$P$708=0),"",$L$711-1),IF($R$17="Distrato",$E744,0))),0,YEARFRAC(MAX($P$708*($B744+IF($R$17="Distrato",$I$38-1,0)),IF(AND($L$711=0,$P$708=0),"",$L$711-1),IF($R$17="Distrato",$E744,0)),MIN(AH$38,$D$19),$P$20))-SUM($P744:AG744)</f>
        <v>#VALUE!</v>
      </c>
      <c r="AI744" s="446" t="e">
        <f>IF(OR($B744="",MIN(AI$38,$D$19)&lt;MAX($P$708*($B744+IF($R$17="Distrato",$I$38-1,0)),IF(AND($L$711=0,$P$708=0),"",$L$711-1),IF($R$17="Distrato",$E744,0))),0,YEARFRAC(MAX($P$708*($B744+IF($R$17="Distrato",$I$38-1,0)),IF(AND($L$711=0,$P$708=0),"",$L$711-1),IF($R$17="Distrato",$E744,0)),MIN(AI$38,$D$19),$P$20))-SUM($P744:AH744)</f>
        <v>#VALUE!</v>
      </c>
      <c r="AJ744" s="446" t="e">
        <f>IF(OR($B744="",MIN(AJ$38,$D$19)&lt;MAX($P$708*($B744+IF($R$17="Distrato",$I$38-1,0)),IF(AND($L$711=0,$P$708=0),"",$L$711-1),IF($R$17="Distrato",$E744,0))),0,YEARFRAC(MAX($P$708*($B744+IF($R$17="Distrato",$I$38-1,0)),IF(AND($L$711=0,$P$708=0),"",$L$711-1),IF($R$17="Distrato",$E744,0)),MIN(AJ$38,$D$19),$P$20))-SUM($P744:AI744)</f>
        <v>#VALUE!</v>
      </c>
      <c r="AK744" s="446" t="e">
        <f>IF(OR($B744="",MIN(AK$38,$D$19)&lt;MAX($P$708*($B744+IF($R$17="Distrato",$I$38-1,0)),IF(AND($L$711=0,$P$708=0),"",$L$711-1),IF($R$17="Distrato",$E744,0))),0,YEARFRAC(MAX($P$708*($B744+IF($R$17="Distrato",$I$38-1,0)),IF(AND($L$711=0,$P$708=0),"",$L$711-1),IF($R$17="Distrato",$E744,0)),MIN(AK$38,$D$19),$P$20))-SUM($P744:AJ744)</f>
        <v>#VALUE!</v>
      </c>
      <c r="AL744" s="446" t="e">
        <f>IF(OR($B744="",MIN(AL$38,$D$19)&lt;MAX($P$708*($B744+IF($R$17="Distrato",$I$38-1,0)),IF(AND($L$711=0,$P$708=0),"",$L$711-1),IF($R$17="Distrato",$E744,0))),0,YEARFRAC(MAX($P$708*($B744+IF($R$17="Distrato",$I$38-1,0)),IF(AND($L$711=0,$P$708=0),"",$L$711-1),IF($R$17="Distrato",$E744,0)),MIN(AL$38,$D$19),$P$20))-SUM($P744:AK744)</f>
        <v>#VALUE!</v>
      </c>
      <c r="AM744" s="446" t="e">
        <f>IF(OR($B744="",MIN(AM$38,$D$19)&lt;MAX($P$708*($B744+IF($R$17="Distrato",$I$38-1,0)),IF(AND($L$711=0,$P$708=0),"",$L$711-1),IF($R$17="Distrato",$E744,0))),0,YEARFRAC(MAX($P$708*($B744+IF($R$17="Distrato",$I$38-1,0)),IF(AND($L$711=0,$P$708=0),"",$L$711-1),IF($R$17="Distrato",$E744,0)),MIN(AM$38,$D$19),$P$20))-SUM($P744:AL744)</f>
        <v>#VALUE!</v>
      </c>
      <c r="AN744" s="446" t="e">
        <f>IF(OR($B744="",MIN(AN$38,$D$19)&lt;MAX($P$708*($B744+IF($R$17="Distrato",$I$38-1,0)),IF(AND($L$711=0,$P$708=0),"",$L$711-1),IF($R$17="Distrato",$E744,0))),0,YEARFRAC(MAX($P$708*($B744+IF($R$17="Distrato",$I$38-1,0)),IF(AND($L$711=0,$P$708=0),"",$L$711-1),IF($R$17="Distrato",$E744,0)),MIN(AN$38,$D$19),$P$20))-SUM($P744:AM744)</f>
        <v>#VALUE!</v>
      </c>
      <c r="AO744" s="446" t="e">
        <f>IF(OR($B744="",MIN(AO$38,$D$19)&lt;MAX($P$708*($B744+IF($R$17="Distrato",$I$38-1,0)),IF(AND($L$711=0,$P$708=0),"",$L$711-1),IF($R$17="Distrato",$E744,0))),0,YEARFRAC(MAX($P$708*($B744+IF($R$17="Distrato",$I$38-1,0)),IF(AND($L$711=0,$P$708=0),"",$L$711-1),IF($R$17="Distrato",$E744,0)),MIN(AO$38,$D$19),$P$20))-SUM($P744:AN744)</f>
        <v>#VALUE!</v>
      </c>
      <c r="AP744" s="446" t="e">
        <f>IF(OR($B744="",MIN(AP$38,$D$19)&lt;MAX($P$708*($B744+IF($R$17="Distrato",$I$38-1,0)),IF(AND($L$711=0,$P$708=0),"",$L$711-1),IF($R$17="Distrato",$E744,0))),0,YEARFRAC(MAX($P$708*($B744+IF($R$17="Distrato",$I$38-1,0)),IF(AND($L$711=0,$P$708=0),"",$L$711-1),IF($R$17="Distrato",$E744,0)),MIN(AP$38,$D$19),$P$20))-SUM($P744:AO744)</f>
        <v>#VALUE!</v>
      </c>
      <c r="AQ744" s="446" t="e">
        <f>IF(OR($B744="",MIN(AQ$38,$D$19)&lt;MAX($P$708*($B744+IF($R$17="Distrato",$I$38-1,0)),IF(AND($L$711=0,$P$708=0),"",$L$711-1),IF($R$17="Distrato",$E744,0))),0,YEARFRAC(MAX($P$708*($B744+IF($R$17="Distrato",$I$38-1,0)),IF(AND($L$711=0,$P$708=0),"",$L$711-1),IF($R$17="Distrato",$E744,0)),MIN(AQ$38,$D$19),$P$20))-SUM($P744:AP744)</f>
        <v>#VALUE!</v>
      </c>
      <c r="AR744" s="446" t="e">
        <f>IF(OR($B744="",MIN(AR$38,$D$19)&lt;MAX($P$708*($B744+IF($R$17="Distrato",$I$38-1,0)),IF(AND($L$711=0,$P$708=0),"",$L$711-1),IF($R$17="Distrato",$E744,0))),0,YEARFRAC(MAX($P$708*($B744+IF($R$17="Distrato",$I$38-1,0)),IF(AND($L$711=0,$P$708=0),"",$L$711-1),IF($R$17="Distrato",$E744,0)),MIN(AR$38,$D$19),$P$20))-SUM($P744:AQ744)</f>
        <v>#VALUE!</v>
      </c>
      <c r="AS744" s="446" t="e">
        <f>IF(OR($B744="",MIN(AS$38,$D$19)&lt;MAX($P$708*($B744+IF($R$17="Distrato",$I$38-1,0)),IF(AND($L$711=0,$P$708=0),"",$L$711-1),IF($R$17="Distrato",$E744,0))),0,YEARFRAC(MAX($P$708*($B744+IF($R$17="Distrato",$I$38-1,0)),IF(AND($L$711=0,$P$708=0),"",$L$711-1),IF($R$17="Distrato",$E744,0)),MIN(AS$38,$D$19),$P$20))-SUM($P744:AR744)</f>
        <v>#VALUE!</v>
      </c>
      <c r="AT744" s="446" t="e">
        <f>IF(OR($B744="",MIN(AT$38,$D$19)&lt;MAX($P$708*($B744+IF($R$17="Distrato",$I$38-1,0)),IF(AND($L$711=0,$P$708=0),"",$L$711-1),IF($R$17="Distrato",$E744,0))),0,YEARFRAC(MAX($P$708*($B744+IF($R$17="Distrato",$I$38-1,0)),IF(AND($L$711=0,$P$708=0),"",$L$711-1),IF($R$17="Distrato",$E744,0)),MIN(AT$38,$D$19),$P$20))-SUM($P744:AS744)</f>
        <v>#VALUE!</v>
      </c>
      <c r="AU744" s="446" t="e">
        <f>IF(OR($B744="",MIN(AU$38,$D$19)&lt;MAX($P$708*($B744+IF($R$17="Distrato",$I$38-1,0)),IF(AND($L$711=0,$P$708=0),"",$L$711-1),IF($R$17="Distrato",$E744,0))),0,YEARFRAC(MAX($P$708*($B744+IF($R$17="Distrato",$I$38-1,0)),IF(AND($L$711=0,$P$708=0),"",$L$711-1),IF($R$17="Distrato",$E744,0)),MIN(AU$38,$D$19),$P$20))-SUM($P744:AT744)</f>
        <v>#VALUE!</v>
      </c>
      <c r="AV744" s="446" t="e">
        <f>IF(OR($B744="",MIN(AV$38,$D$19)&lt;MAX($P$708*($B744+IF($R$17="Distrato",$I$38-1,0)),IF(AND($L$711=0,$P$708=0),"",$L$711-1),IF($R$17="Distrato",$E744,0))),0,YEARFRAC(MAX($P$708*($B744+IF($R$17="Distrato",$I$38-1,0)),IF(AND($L$711=0,$P$708=0),"",$L$711-1),IF($R$17="Distrato",$E744,0)),MIN(AV$38,$D$19),$P$20))-SUM($P744:AU744)</f>
        <v>#VALUE!</v>
      </c>
      <c r="AW744" s="446" t="e">
        <f>IF(OR($B744="",MIN(AW$38,$D$19)&lt;MAX($P$708*($B744+IF($R$17="Distrato",$I$38-1,0)),IF(AND($L$711=0,$P$708=0),"",$L$711-1),IF($R$17="Distrato",$E744,0))),0,YEARFRAC(MAX($P$708*($B744+IF($R$17="Distrato",$I$38-1,0)),IF(AND($L$711=0,$P$708=0),"",$L$711-1),IF($R$17="Distrato",$E744,0)),MIN(AW$38,$D$19),$P$20))-SUM($P744:AV744)</f>
        <v>#VALUE!</v>
      </c>
      <c r="AX744" s="446" t="e">
        <f>IF(OR($B744="",MIN(AX$38,$D$19)&lt;MAX($P$708*($B744+IF($R$17="Distrato",$I$38-1,0)),IF(AND($L$711=0,$P$708=0),"",$L$711-1),IF($R$17="Distrato",$E744,0))),0,YEARFRAC(MAX($P$708*($B744+IF($R$17="Distrato",$I$38-1,0)),IF(AND($L$711=0,$P$708=0),"",$L$711-1),IF($R$17="Distrato",$E744,0)),MIN(AX$38,$D$19),$P$20))-SUM($P744:AW744)</f>
        <v>#VALUE!</v>
      </c>
      <c r="AY744" s="446" t="e">
        <f>IF(OR($B744="",MIN(AY$38,$D$19)&lt;MAX($P$708*($B744+IF($R$17="Distrato",$I$38-1,0)),IF(AND($L$711=0,$P$708=0),"",$L$711-1),IF($R$17="Distrato",$E744,0))),0,YEARFRAC(MAX($P$708*($B744+IF($R$17="Distrato",$I$38-1,0)),IF(AND($L$711=0,$P$708=0),"",$L$711-1),IF($R$17="Distrato",$E744,0)),MIN(AY$38,$D$19),$P$20))-SUM($P744:AX744)</f>
        <v>#VALUE!</v>
      </c>
      <c r="AZ744" s="446" t="e">
        <f>IF(OR($B744="",MIN(AZ$38,$D$19)&lt;MAX($P$708*($B744+IF($R$17="Distrato",$I$38-1,0)),IF(AND($L$711=0,$P$708=0),"",$L$711-1),IF($R$17="Distrato",$E744,0))),0,YEARFRAC(MAX($P$708*($B744+IF($R$17="Distrato",$I$38-1,0)),IF(AND($L$711=0,$P$708=0),"",$L$711-1),IF($R$17="Distrato",$E744,0)),MIN(AZ$38,$D$19),$P$20))-SUM($P744:AY744)</f>
        <v>#VALUE!</v>
      </c>
      <c r="BA744" s="446" t="e">
        <f>IF(OR($B744="",MIN(BA$38,$D$19)&lt;MAX($P$708*($B744+IF($R$17="Distrato",$I$38-1,0)),IF(AND($L$711=0,$P$708=0),"",$L$711-1),IF($R$17="Distrato",$E744,0))),0,YEARFRAC(MAX($P$708*($B744+IF($R$17="Distrato",$I$38-1,0)),IF(AND($L$711=0,$P$708=0),"",$L$711-1),IF($R$17="Distrato",$E744,0)),MIN(BA$38,$D$19),$P$20))-SUM($P744:AZ744)</f>
        <v>#VALUE!</v>
      </c>
      <c r="BB744" s="447"/>
    </row>
    <row r="745" spans="1:54" s="446" customFormat="1" ht="11.25" hidden="1" customHeight="1" x14ac:dyDescent="0.2">
      <c r="A745" s="235"/>
      <c r="B745" s="236"/>
      <c r="C745" s="29" t="str">
        <f>IF(B745="","",IF($L$709=$BL$25,VLOOKUP(DATE(YEAR($D$19),MONTH($D$19)-1,1),ÍNDICES!$A:$DE,HLOOKUP($BL$25,ÍNDICES!$B$3:$T$4,2)+11)-VLOOKUP(B745,ÍNDICES!$A:$DE,HLOOKUP($BL$25,ÍNDICES!$B$3:$T$4,2)+11)+1%,IF(C$712=$W$26,$J$35,IF(ISERROR(IF(B745&gt;$D$19,1,VLOOKUP(DATE(YEAR(B745),MONTH(B745)+IF($C$709=$S$23,1,0),1),ÍNDICES!$A:$DE,$Z$709+1))),"",IF(B745&gt;$D$19,1,VLOOKUP(DATE(YEAR(B745),MONTH(B745)+IF($C$709=$S$23,1,0),1),ÍNDICES!$A:$DE,$Z$709+1))))))</f>
        <v/>
      </c>
      <c r="D745" s="155"/>
      <c r="E745" s="88"/>
      <c r="F745" s="88"/>
      <c r="G745" s="88"/>
      <c r="H745" s="118"/>
      <c r="I745" s="182">
        <f t="shared" si="115"/>
        <v>0</v>
      </c>
      <c r="J745" s="20">
        <f t="shared" ca="1" si="116"/>
        <v>0</v>
      </c>
      <c r="K745" s="5">
        <f t="shared" ca="1" si="117"/>
        <v>0</v>
      </c>
      <c r="L745" s="61">
        <f t="shared" ca="1" si="118"/>
        <v>0</v>
      </c>
      <c r="M745" s="64">
        <f t="shared" si="119"/>
        <v>0</v>
      </c>
      <c r="N745" s="151"/>
      <c r="O745" s="5">
        <f t="shared" ca="1" si="120"/>
        <v>0</v>
      </c>
      <c r="P745" s="446" t="e">
        <f t="shared" si="121"/>
        <v>#VALUE!</v>
      </c>
      <c r="Q745" s="446" t="e">
        <f>IF(OR($B745="",MIN(Q$38,$D$19)&lt;MAX($P$708*($B745+IF($R$17="Distrato",$I$38-1,0)),IF(AND($L$711=0,$P$708=0),"",$L$711-1),IF($R$17="Distrato",$E745,0))),0,YEARFRAC(MAX($P$708*($B745+IF($R$17="Distrato",$I$38-1,0)),IF(AND($L$711=0,$P$708=0),"",$L$711-1),IF($R$17="Distrato",$E745,0)),MIN(Q$38,$D$19),$P$20))-SUM($P745:P745)</f>
        <v>#VALUE!</v>
      </c>
      <c r="R745" s="446" t="e">
        <f>IF(OR($B745="",MIN(R$38,$D$19)&lt;MAX($P$708*($B745+IF($R$17="Distrato",$I$38-1,0)),IF(AND($L$711=0,$P$708=0),"",$L$711-1),IF($R$17="Distrato",$E745,0))),0,YEARFRAC(MAX($P$708*($B745+IF($R$17="Distrato",$I$38-1,0)),IF(AND($L$711=0,$P$708=0),"",$L$711-1),IF($R$17="Distrato",$E745,0)),MIN(R$38,$D$19),$P$20))-SUM($P745:Q745)</f>
        <v>#VALUE!</v>
      </c>
      <c r="S745" s="446" t="e">
        <f>IF(OR($B745="",MIN(S$38,$D$19)&lt;MAX($P$708*($B745+IF($R$17="Distrato",$I$38-1,0)),IF(AND($L$711=0,$P$708=0),"",$L$711-1),IF($R$17="Distrato",$E745,0))),0,YEARFRAC(MAX($P$708*($B745+IF($R$17="Distrato",$I$38-1,0)),IF(AND($L$711=0,$P$708=0),"",$L$711-1),IF($R$17="Distrato",$E745,0)),MIN(S$38,$D$19),$P$20))-SUM($P745:R745)</f>
        <v>#VALUE!</v>
      </c>
      <c r="T745" s="446" t="e">
        <f>IF(OR($B745="",MIN(T$38,$D$19)&lt;MAX($P$708*($B745+IF($R$17="Distrato",$I$38-1,0)),IF(AND($L$711=0,$P$708=0),"",$L$711-1),IF($R$17="Distrato",$E745,0))),0,YEARFRAC(MAX($P$708*($B745+IF($R$17="Distrato",$I$38-1,0)),IF(AND($L$711=0,$P$708=0),"",$L$711-1),IF($R$17="Distrato",$E745,0)),MIN(T$38,$D$19),$P$20))-SUM($P745:S745)</f>
        <v>#VALUE!</v>
      </c>
      <c r="U745" s="446" t="e">
        <f>IF(OR($B745="",MIN(U$38,$D$19)&lt;MAX($P$708*($B745+IF($R$17="Distrato",$I$38-1,0)),IF(AND($L$711=0,$P$708=0),"",$L$711-1),IF($R$17="Distrato",$E745,0))),0,YEARFRAC(MAX($P$708*($B745+IF($R$17="Distrato",$I$38-1,0)),IF(AND($L$711=0,$P$708=0),"",$L$711-1),IF($R$17="Distrato",$E745,0)),MIN(U$38,$D$19),$P$20))-SUM($P745:T745)</f>
        <v>#VALUE!</v>
      </c>
      <c r="V745" s="446" t="e">
        <f>IF(OR($B745="",MIN(V$38,$D$19)&lt;MAX($P$708*($B745+IF($R$17="Distrato",$I$38-1,0)),IF(AND($L$711=0,$P$708=0),"",$L$711-1),IF($R$17="Distrato",$E745,0))),0,YEARFRAC(MAX($P$708*($B745+IF($R$17="Distrato",$I$38-1,0)),IF(AND($L$711=0,$P$708=0),"",$L$711-1),IF($R$17="Distrato",$E745,0)),MIN(V$38,$D$19),$P$20))-SUM($P745:U745)</f>
        <v>#VALUE!</v>
      </c>
      <c r="W745" s="446" t="e">
        <f>IF(OR($B745="",MIN(W$38,$D$19)&lt;MAX($P$708*($B745+IF($R$17="Distrato",$I$38-1,0)),IF(AND($L$711=0,$P$708=0),"",$L$711-1),IF($R$17="Distrato",$E745,0))),0,YEARFRAC(MAX($P$708*($B745+IF($R$17="Distrato",$I$38-1,0)),IF(AND($L$711=0,$P$708=0),"",$L$711-1),IF($R$17="Distrato",$E745,0)),MIN(W$38,$D$19),$P$20))-SUM($P745:V745)</f>
        <v>#VALUE!</v>
      </c>
      <c r="X745" s="446" t="e">
        <f>IF(OR($B745="",MIN(X$38,$D$19)&lt;MAX($P$708*($B745+IF($R$17="Distrato",$I$38-1,0)),IF(AND($L$711=0,$P$708=0),"",$L$711-1),IF($R$17="Distrato",$E745,0))),0,YEARFRAC(MAX($P$708*($B745+IF($R$17="Distrato",$I$38-1,0)),IF(AND($L$711=0,$P$708=0),"",$L$711-1),IF($R$17="Distrato",$E745,0)),MIN(X$38,$D$19),$P$20))-SUM($P745:W745)</f>
        <v>#VALUE!</v>
      </c>
      <c r="Y745" s="446" t="e">
        <f>IF(OR($B745="",MIN(Y$38,$D$19)&lt;MAX($P$708*($B745+IF($R$17="Distrato",$I$38-1,0)),IF(AND($L$711=0,$P$708=0),"",$L$711-1),IF($R$17="Distrato",$E745,0))),0,YEARFRAC(MAX($P$708*($B745+IF($R$17="Distrato",$I$38-1,0)),IF(AND($L$711=0,$P$708=0),"",$L$711-1),IF($R$17="Distrato",$E745,0)),MIN(Y$38,$D$19),$P$20))-SUM($P745:X745)</f>
        <v>#VALUE!</v>
      </c>
      <c r="Z745" s="446" t="e">
        <f>IF(OR($B745="",MIN(Z$38,$D$19)&lt;MAX($P$708*($B745+IF($R$17="Distrato",$I$38-1,0)),IF(AND($L$711=0,$P$708=0),"",$L$711-1),IF($R$17="Distrato",$E745,0))),0,YEARFRAC(MAX($P$708*($B745+IF($R$17="Distrato",$I$38-1,0)),IF(AND($L$711=0,$P$708=0),"",$L$711-1),IF($R$17="Distrato",$E745,0)),MIN(Z$38,$D$19),$P$20))-SUM($P745:Y745)</f>
        <v>#VALUE!</v>
      </c>
      <c r="AA745" s="446" t="e">
        <f>IF(OR($B745="",MIN(AA$38,$D$19)&lt;MAX($P$708*($B745+IF($R$17="Distrato",$I$38-1,0)),IF(AND($L$711=0,$P$708=0),"",$L$711-1),IF($R$17="Distrato",$E745,0))),0,YEARFRAC(MAX($P$708*($B745+IF($R$17="Distrato",$I$38-1,0)),IF(AND($L$711=0,$P$708=0),"",$L$711-1),IF($R$17="Distrato",$E745,0)),MIN(AA$38,$D$19),$P$20))-SUM($P745:Z745)</f>
        <v>#VALUE!</v>
      </c>
      <c r="AB745" s="446" t="e">
        <f>IF(OR($B745="",MIN(AB$38,$D$19)&lt;MAX($P$708*($B745+IF($R$17="Distrato",$I$38-1,0)),IF(AND($L$711=0,$P$708=0),"",$L$711-1),IF($R$17="Distrato",$E745,0))),0,YEARFRAC(MAX($P$708*($B745+IF($R$17="Distrato",$I$38-1,0)),IF(AND($L$711=0,$P$708=0),"",$L$711-1),IF($R$17="Distrato",$E745,0)),MIN(AB$38,$D$19),$P$20))-SUM($P745:AA745)</f>
        <v>#VALUE!</v>
      </c>
      <c r="AC745" s="446" t="e">
        <f>IF(OR($B745="",MIN(AC$38,$D$19)&lt;MAX($P$708*($B745+IF($R$17="Distrato",$I$38-1,0)),IF(AND($L$711=0,$P$708=0),"",$L$711-1),IF($R$17="Distrato",$E745,0))),0,YEARFRAC(MAX($P$708*($B745+IF($R$17="Distrato",$I$38-1,0)),IF(AND($L$711=0,$P$708=0),"",$L$711-1),IF($R$17="Distrato",$E745,0)),MIN(AC$38,$D$19),$P$20))-SUM($P745:AB745)</f>
        <v>#VALUE!</v>
      </c>
      <c r="AD745" s="446" t="e">
        <f>IF(OR($B745="",MIN(AD$38,$D$19)&lt;MAX($P$708*($B745+IF($R$17="Distrato",$I$38-1,0)),IF(AND($L$711=0,$P$708=0),"",$L$711-1),IF($R$17="Distrato",$E745,0))),0,YEARFRAC(MAX($P$708*($B745+IF($R$17="Distrato",$I$38-1,0)),IF(AND($L$711=0,$P$708=0),"",$L$711-1),IF($R$17="Distrato",$E745,0)),MIN(AD$38,$D$19),$P$20))-SUM($P745:AC745)</f>
        <v>#VALUE!</v>
      </c>
      <c r="AE745" s="446" t="e">
        <f>IF(OR($B745="",MIN(AE$38,$D$19)&lt;MAX($P$708*($B745+IF($R$17="Distrato",$I$38-1,0)),IF(AND($L$711=0,$P$708=0),"",$L$711-1),IF($R$17="Distrato",$E745,0))),0,YEARFRAC(MAX($P$708*($B745+IF($R$17="Distrato",$I$38-1,0)),IF(AND($L$711=0,$P$708=0),"",$L$711-1),IF($R$17="Distrato",$E745,0)),MIN(AE$38,$D$19),$P$20))-SUM($P745:AD745)</f>
        <v>#VALUE!</v>
      </c>
      <c r="AF745" s="446" t="e">
        <f>IF(OR($B745="",MIN(AF$38,$D$19)&lt;MAX($P$708*($B745+IF($R$17="Distrato",$I$38-1,0)),IF(AND($L$711=0,$P$708=0),"",$L$711-1),IF($R$17="Distrato",$E745,0))),0,YEARFRAC(MAX($P$708*($B745+IF($R$17="Distrato",$I$38-1,0)),IF(AND($L$711=0,$P$708=0),"",$L$711-1),IF($R$17="Distrato",$E745,0)),MIN(AF$38,$D$19),$P$20))-SUM($P745:AE745)</f>
        <v>#VALUE!</v>
      </c>
      <c r="AG745" s="446" t="e">
        <f>IF(OR($B745="",MIN(AG$38,$D$19)&lt;MAX($P$708*($B745+IF($R$17="Distrato",$I$38-1,0)),IF(AND($L$711=0,$P$708=0),"",$L$711-1),IF($R$17="Distrato",$E745,0))),0,YEARFRAC(MAX($P$708*($B745+IF($R$17="Distrato",$I$38-1,0)),IF(AND($L$711=0,$P$708=0),"",$L$711-1),IF($R$17="Distrato",$E745,0)),MIN(AG$38,$D$19),$P$20))-SUM($P745:AF745)</f>
        <v>#VALUE!</v>
      </c>
      <c r="AH745" s="446" t="e">
        <f>IF(OR($B745="",MIN(AH$38,$D$19)&lt;MAX($P$708*($B745+IF($R$17="Distrato",$I$38-1,0)),IF(AND($L$711=0,$P$708=0),"",$L$711-1),IF($R$17="Distrato",$E745,0))),0,YEARFRAC(MAX($P$708*($B745+IF($R$17="Distrato",$I$38-1,0)),IF(AND($L$711=0,$P$708=0),"",$L$711-1),IF($R$17="Distrato",$E745,0)),MIN(AH$38,$D$19),$P$20))-SUM($P745:AG745)</f>
        <v>#VALUE!</v>
      </c>
      <c r="AI745" s="446" t="e">
        <f>IF(OR($B745="",MIN(AI$38,$D$19)&lt;MAX($P$708*($B745+IF($R$17="Distrato",$I$38-1,0)),IF(AND($L$711=0,$P$708=0),"",$L$711-1),IF($R$17="Distrato",$E745,0))),0,YEARFRAC(MAX($P$708*($B745+IF($R$17="Distrato",$I$38-1,0)),IF(AND($L$711=0,$P$708=0),"",$L$711-1),IF($R$17="Distrato",$E745,0)),MIN(AI$38,$D$19),$P$20))-SUM($P745:AH745)</f>
        <v>#VALUE!</v>
      </c>
      <c r="AJ745" s="446" t="e">
        <f>IF(OR($B745="",MIN(AJ$38,$D$19)&lt;MAX($P$708*($B745+IF($R$17="Distrato",$I$38-1,0)),IF(AND($L$711=0,$P$708=0),"",$L$711-1),IF($R$17="Distrato",$E745,0))),0,YEARFRAC(MAX($P$708*($B745+IF($R$17="Distrato",$I$38-1,0)),IF(AND($L$711=0,$P$708=0),"",$L$711-1),IF($R$17="Distrato",$E745,0)),MIN(AJ$38,$D$19),$P$20))-SUM($P745:AI745)</f>
        <v>#VALUE!</v>
      </c>
      <c r="AK745" s="446" t="e">
        <f>IF(OR($B745="",MIN(AK$38,$D$19)&lt;MAX($P$708*($B745+IF($R$17="Distrato",$I$38-1,0)),IF(AND($L$711=0,$P$708=0),"",$L$711-1),IF($R$17="Distrato",$E745,0))),0,YEARFRAC(MAX($P$708*($B745+IF($R$17="Distrato",$I$38-1,0)),IF(AND($L$711=0,$P$708=0),"",$L$711-1),IF($R$17="Distrato",$E745,0)),MIN(AK$38,$D$19),$P$20))-SUM($P745:AJ745)</f>
        <v>#VALUE!</v>
      </c>
      <c r="AL745" s="446" t="e">
        <f>IF(OR($B745="",MIN(AL$38,$D$19)&lt;MAX($P$708*($B745+IF($R$17="Distrato",$I$38-1,0)),IF(AND($L$711=0,$P$708=0),"",$L$711-1),IF($R$17="Distrato",$E745,0))),0,YEARFRAC(MAX($P$708*($B745+IF($R$17="Distrato",$I$38-1,0)),IF(AND($L$711=0,$P$708=0),"",$L$711-1),IF($R$17="Distrato",$E745,0)),MIN(AL$38,$D$19),$P$20))-SUM($P745:AK745)</f>
        <v>#VALUE!</v>
      </c>
      <c r="AM745" s="446" t="e">
        <f>IF(OR($B745="",MIN(AM$38,$D$19)&lt;MAX($P$708*($B745+IF($R$17="Distrato",$I$38-1,0)),IF(AND($L$711=0,$P$708=0),"",$L$711-1),IF($R$17="Distrato",$E745,0))),0,YEARFRAC(MAX($P$708*($B745+IF($R$17="Distrato",$I$38-1,0)),IF(AND($L$711=0,$P$708=0),"",$L$711-1),IF($R$17="Distrato",$E745,0)),MIN(AM$38,$D$19),$P$20))-SUM($P745:AL745)</f>
        <v>#VALUE!</v>
      </c>
      <c r="AN745" s="446" t="e">
        <f>IF(OR($B745="",MIN(AN$38,$D$19)&lt;MAX($P$708*($B745+IF($R$17="Distrato",$I$38-1,0)),IF(AND($L$711=0,$P$708=0),"",$L$711-1),IF($R$17="Distrato",$E745,0))),0,YEARFRAC(MAX($P$708*($B745+IF($R$17="Distrato",$I$38-1,0)),IF(AND($L$711=0,$P$708=0),"",$L$711-1),IF($R$17="Distrato",$E745,0)),MIN(AN$38,$D$19),$P$20))-SUM($P745:AM745)</f>
        <v>#VALUE!</v>
      </c>
      <c r="AO745" s="446" t="e">
        <f>IF(OR($B745="",MIN(AO$38,$D$19)&lt;MAX($P$708*($B745+IF($R$17="Distrato",$I$38-1,0)),IF(AND($L$711=0,$P$708=0),"",$L$711-1),IF($R$17="Distrato",$E745,0))),0,YEARFRAC(MAX($P$708*($B745+IF($R$17="Distrato",$I$38-1,0)),IF(AND($L$711=0,$P$708=0),"",$L$711-1),IF($R$17="Distrato",$E745,0)),MIN(AO$38,$D$19),$P$20))-SUM($P745:AN745)</f>
        <v>#VALUE!</v>
      </c>
      <c r="AP745" s="446" t="e">
        <f>IF(OR($B745="",MIN(AP$38,$D$19)&lt;MAX($P$708*($B745+IF($R$17="Distrato",$I$38-1,0)),IF(AND($L$711=0,$P$708=0),"",$L$711-1),IF($R$17="Distrato",$E745,0))),0,YEARFRAC(MAX($P$708*($B745+IF($R$17="Distrato",$I$38-1,0)),IF(AND($L$711=0,$P$708=0),"",$L$711-1),IF($R$17="Distrato",$E745,0)),MIN(AP$38,$D$19),$P$20))-SUM($P745:AO745)</f>
        <v>#VALUE!</v>
      </c>
      <c r="AQ745" s="446" t="e">
        <f>IF(OR($B745="",MIN(AQ$38,$D$19)&lt;MAX($P$708*($B745+IF($R$17="Distrato",$I$38-1,0)),IF(AND($L$711=0,$P$708=0),"",$L$711-1),IF($R$17="Distrato",$E745,0))),0,YEARFRAC(MAX($P$708*($B745+IF($R$17="Distrato",$I$38-1,0)),IF(AND($L$711=0,$P$708=0),"",$L$711-1),IF($R$17="Distrato",$E745,0)),MIN(AQ$38,$D$19),$P$20))-SUM($P745:AP745)</f>
        <v>#VALUE!</v>
      </c>
      <c r="AR745" s="446" t="e">
        <f>IF(OR($B745="",MIN(AR$38,$D$19)&lt;MAX($P$708*($B745+IF($R$17="Distrato",$I$38-1,0)),IF(AND($L$711=0,$P$708=0),"",$L$711-1),IF($R$17="Distrato",$E745,0))),0,YEARFRAC(MAX($P$708*($B745+IF($R$17="Distrato",$I$38-1,0)),IF(AND($L$711=0,$P$708=0),"",$L$711-1),IF($R$17="Distrato",$E745,0)),MIN(AR$38,$D$19),$P$20))-SUM($P745:AQ745)</f>
        <v>#VALUE!</v>
      </c>
      <c r="AS745" s="446" t="e">
        <f>IF(OR($B745="",MIN(AS$38,$D$19)&lt;MAX($P$708*($B745+IF($R$17="Distrato",$I$38-1,0)),IF(AND($L$711=0,$P$708=0),"",$L$711-1),IF($R$17="Distrato",$E745,0))),0,YEARFRAC(MAX($P$708*($B745+IF($R$17="Distrato",$I$38-1,0)),IF(AND($L$711=0,$P$708=0),"",$L$711-1),IF($R$17="Distrato",$E745,0)),MIN(AS$38,$D$19),$P$20))-SUM($P745:AR745)</f>
        <v>#VALUE!</v>
      </c>
      <c r="AT745" s="446" t="e">
        <f>IF(OR($B745="",MIN(AT$38,$D$19)&lt;MAX($P$708*($B745+IF($R$17="Distrato",$I$38-1,0)),IF(AND($L$711=0,$P$708=0),"",$L$711-1),IF($R$17="Distrato",$E745,0))),0,YEARFRAC(MAX($P$708*($B745+IF($R$17="Distrato",$I$38-1,0)),IF(AND($L$711=0,$P$708=0),"",$L$711-1),IF($R$17="Distrato",$E745,0)),MIN(AT$38,$D$19),$P$20))-SUM($P745:AS745)</f>
        <v>#VALUE!</v>
      </c>
      <c r="AU745" s="446" t="e">
        <f>IF(OR($B745="",MIN(AU$38,$D$19)&lt;MAX($P$708*($B745+IF($R$17="Distrato",$I$38-1,0)),IF(AND($L$711=0,$P$708=0),"",$L$711-1),IF($R$17="Distrato",$E745,0))),0,YEARFRAC(MAX($P$708*($B745+IF($R$17="Distrato",$I$38-1,0)),IF(AND($L$711=0,$P$708=0),"",$L$711-1),IF($R$17="Distrato",$E745,0)),MIN(AU$38,$D$19),$P$20))-SUM($P745:AT745)</f>
        <v>#VALUE!</v>
      </c>
      <c r="AV745" s="446" t="e">
        <f>IF(OR($B745="",MIN(AV$38,$D$19)&lt;MAX($P$708*($B745+IF($R$17="Distrato",$I$38-1,0)),IF(AND($L$711=0,$P$708=0),"",$L$711-1),IF($R$17="Distrato",$E745,0))),0,YEARFRAC(MAX($P$708*($B745+IF($R$17="Distrato",$I$38-1,0)),IF(AND($L$711=0,$P$708=0),"",$L$711-1),IF($R$17="Distrato",$E745,0)),MIN(AV$38,$D$19),$P$20))-SUM($P745:AU745)</f>
        <v>#VALUE!</v>
      </c>
      <c r="AW745" s="446" t="e">
        <f>IF(OR($B745="",MIN(AW$38,$D$19)&lt;MAX($P$708*($B745+IF($R$17="Distrato",$I$38-1,0)),IF(AND($L$711=0,$P$708=0),"",$L$711-1),IF($R$17="Distrato",$E745,0))),0,YEARFRAC(MAX($P$708*($B745+IF($R$17="Distrato",$I$38-1,0)),IF(AND($L$711=0,$P$708=0),"",$L$711-1),IF($R$17="Distrato",$E745,0)),MIN(AW$38,$D$19),$P$20))-SUM($P745:AV745)</f>
        <v>#VALUE!</v>
      </c>
      <c r="AX745" s="446" t="e">
        <f>IF(OR($B745="",MIN(AX$38,$D$19)&lt;MAX($P$708*($B745+IF($R$17="Distrato",$I$38-1,0)),IF(AND($L$711=0,$P$708=0),"",$L$711-1),IF($R$17="Distrato",$E745,0))),0,YEARFRAC(MAX($P$708*($B745+IF($R$17="Distrato",$I$38-1,0)),IF(AND($L$711=0,$P$708=0),"",$L$711-1),IF($R$17="Distrato",$E745,0)),MIN(AX$38,$D$19),$P$20))-SUM($P745:AW745)</f>
        <v>#VALUE!</v>
      </c>
      <c r="AY745" s="446" t="e">
        <f>IF(OR($B745="",MIN(AY$38,$D$19)&lt;MAX($P$708*($B745+IF($R$17="Distrato",$I$38-1,0)),IF(AND($L$711=0,$P$708=0),"",$L$711-1),IF($R$17="Distrato",$E745,0))),0,YEARFRAC(MAX($P$708*($B745+IF($R$17="Distrato",$I$38-1,0)),IF(AND($L$711=0,$P$708=0),"",$L$711-1),IF($R$17="Distrato",$E745,0)),MIN(AY$38,$D$19),$P$20))-SUM($P745:AX745)</f>
        <v>#VALUE!</v>
      </c>
      <c r="AZ745" s="446" t="e">
        <f>IF(OR($B745="",MIN(AZ$38,$D$19)&lt;MAX($P$708*($B745+IF($R$17="Distrato",$I$38-1,0)),IF(AND($L$711=0,$P$708=0),"",$L$711-1),IF($R$17="Distrato",$E745,0))),0,YEARFRAC(MAX($P$708*($B745+IF($R$17="Distrato",$I$38-1,0)),IF(AND($L$711=0,$P$708=0),"",$L$711-1),IF($R$17="Distrato",$E745,0)),MIN(AZ$38,$D$19),$P$20))-SUM($P745:AY745)</f>
        <v>#VALUE!</v>
      </c>
      <c r="BA745" s="446" t="e">
        <f>IF(OR($B745="",MIN(BA$38,$D$19)&lt;MAX($P$708*($B745+IF($R$17="Distrato",$I$38-1,0)),IF(AND($L$711=0,$P$708=0),"",$L$711-1),IF($R$17="Distrato",$E745,0))),0,YEARFRAC(MAX($P$708*($B745+IF($R$17="Distrato",$I$38-1,0)),IF(AND($L$711=0,$P$708=0),"",$L$711-1),IF($R$17="Distrato",$E745,0)),MIN(BA$38,$D$19),$P$20))-SUM($P745:AZ745)</f>
        <v>#VALUE!</v>
      </c>
      <c r="BB745" s="447"/>
    </row>
    <row r="746" spans="1:54" s="446" customFormat="1" ht="11.25" hidden="1" customHeight="1" x14ac:dyDescent="0.2">
      <c r="A746" s="235"/>
      <c r="B746" s="236"/>
      <c r="C746" s="29" t="str">
        <f>IF(B746="","",IF($L$709=$BL$25,VLOOKUP(DATE(YEAR($D$19),MONTH($D$19)-1,1),ÍNDICES!$A:$DE,HLOOKUP($BL$25,ÍNDICES!$B$3:$T$4,2)+11)-VLOOKUP(B746,ÍNDICES!$A:$DE,HLOOKUP($BL$25,ÍNDICES!$B$3:$T$4,2)+11)+1%,IF(C$712=$W$26,$J$35,IF(ISERROR(IF(B746&gt;$D$19,1,VLOOKUP(DATE(YEAR(B746),MONTH(B746)+IF($C$709=$S$23,1,0),1),ÍNDICES!$A:$DE,$Z$709+1))),"",IF(B746&gt;$D$19,1,VLOOKUP(DATE(YEAR(B746),MONTH(B746)+IF($C$709=$S$23,1,0),1),ÍNDICES!$A:$DE,$Z$709+1))))))</f>
        <v/>
      </c>
      <c r="D746" s="155"/>
      <c r="E746" s="88"/>
      <c r="F746" s="88"/>
      <c r="G746" s="88"/>
      <c r="H746" s="118"/>
      <c r="I746" s="182">
        <f t="shared" si="115"/>
        <v>0</v>
      </c>
      <c r="J746" s="20">
        <f t="shared" ca="1" si="116"/>
        <v>0</v>
      </c>
      <c r="K746" s="5">
        <f t="shared" ca="1" si="117"/>
        <v>0</v>
      </c>
      <c r="L746" s="61">
        <f t="shared" ca="1" si="118"/>
        <v>0</v>
      </c>
      <c r="M746" s="64">
        <f t="shared" si="119"/>
        <v>0</v>
      </c>
      <c r="N746" s="151"/>
      <c r="O746" s="5">
        <f t="shared" ca="1" si="120"/>
        <v>0</v>
      </c>
      <c r="P746" s="446" t="e">
        <f t="shared" si="121"/>
        <v>#VALUE!</v>
      </c>
      <c r="Q746" s="446" t="e">
        <f>IF(OR($B746="",MIN(Q$38,$D$19)&lt;MAX($P$708*($B746+IF($R$17="Distrato",$I$38-1,0)),IF(AND($L$711=0,$P$708=0),"",$L$711-1),IF($R$17="Distrato",$E746,0))),0,YEARFRAC(MAX($P$708*($B746+IF($R$17="Distrato",$I$38-1,0)),IF(AND($L$711=0,$P$708=0),"",$L$711-1),IF($R$17="Distrato",$E746,0)),MIN(Q$38,$D$19),$P$20))-SUM($P746:P746)</f>
        <v>#VALUE!</v>
      </c>
      <c r="R746" s="446" t="e">
        <f>IF(OR($B746="",MIN(R$38,$D$19)&lt;MAX($P$708*($B746+IF($R$17="Distrato",$I$38-1,0)),IF(AND($L$711=0,$P$708=0),"",$L$711-1),IF($R$17="Distrato",$E746,0))),0,YEARFRAC(MAX($P$708*($B746+IF($R$17="Distrato",$I$38-1,0)),IF(AND($L$711=0,$P$708=0),"",$L$711-1),IF($R$17="Distrato",$E746,0)),MIN(R$38,$D$19),$P$20))-SUM($P746:Q746)</f>
        <v>#VALUE!</v>
      </c>
      <c r="S746" s="446" t="e">
        <f>IF(OR($B746="",MIN(S$38,$D$19)&lt;MAX($P$708*($B746+IF($R$17="Distrato",$I$38-1,0)),IF(AND($L$711=0,$P$708=0),"",$L$711-1),IF($R$17="Distrato",$E746,0))),0,YEARFRAC(MAX($P$708*($B746+IF($R$17="Distrato",$I$38-1,0)),IF(AND($L$711=0,$P$708=0),"",$L$711-1),IF($R$17="Distrato",$E746,0)),MIN(S$38,$D$19),$P$20))-SUM($P746:R746)</f>
        <v>#VALUE!</v>
      </c>
      <c r="T746" s="446" t="e">
        <f>IF(OR($B746="",MIN(T$38,$D$19)&lt;MAX($P$708*($B746+IF($R$17="Distrato",$I$38-1,0)),IF(AND($L$711=0,$P$708=0),"",$L$711-1),IF($R$17="Distrato",$E746,0))),0,YEARFRAC(MAX($P$708*($B746+IF($R$17="Distrato",$I$38-1,0)),IF(AND($L$711=0,$P$708=0),"",$L$711-1),IF($R$17="Distrato",$E746,0)),MIN(T$38,$D$19),$P$20))-SUM($P746:S746)</f>
        <v>#VALUE!</v>
      </c>
      <c r="U746" s="446" t="e">
        <f>IF(OR($B746="",MIN(U$38,$D$19)&lt;MAX($P$708*($B746+IF($R$17="Distrato",$I$38-1,0)),IF(AND($L$711=0,$P$708=0),"",$L$711-1),IF($R$17="Distrato",$E746,0))),0,YEARFRAC(MAX($P$708*($B746+IF($R$17="Distrato",$I$38-1,0)),IF(AND($L$711=0,$P$708=0),"",$L$711-1),IF($R$17="Distrato",$E746,0)),MIN(U$38,$D$19),$P$20))-SUM($P746:T746)</f>
        <v>#VALUE!</v>
      </c>
      <c r="V746" s="446" t="e">
        <f>IF(OR($B746="",MIN(V$38,$D$19)&lt;MAX($P$708*($B746+IF($R$17="Distrato",$I$38-1,0)),IF(AND($L$711=0,$P$708=0),"",$L$711-1),IF($R$17="Distrato",$E746,0))),0,YEARFRAC(MAX($P$708*($B746+IF($R$17="Distrato",$I$38-1,0)),IF(AND($L$711=0,$P$708=0),"",$L$711-1),IF($R$17="Distrato",$E746,0)),MIN(V$38,$D$19),$P$20))-SUM($P746:U746)</f>
        <v>#VALUE!</v>
      </c>
      <c r="W746" s="446" t="e">
        <f>IF(OR($B746="",MIN(W$38,$D$19)&lt;MAX($P$708*($B746+IF($R$17="Distrato",$I$38-1,0)),IF(AND($L$711=0,$P$708=0),"",$L$711-1),IF($R$17="Distrato",$E746,0))),0,YEARFRAC(MAX($P$708*($B746+IF($R$17="Distrato",$I$38-1,0)),IF(AND($L$711=0,$P$708=0),"",$L$711-1),IF($R$17="Distrato",$E746,0)),MIN(W$38,$D$19),$P$20))-SUM($P746:V746)</f>
        <v>#VALUE!</v>
      </c>
      <c r="X746" s="446" t="e">
        <f>IF(OR($B746="",MIN(X$38,$D$19)&lt;MAX($P$708*($B746+IF($R$17="Distrato",$I$38-1,0)),IF(AND($L$711=0,$P$708=0),"",$L$711-1),IF($R$17="Distrato",$E746,0))),0,YEARFRAC(MAX($P$708*($B746+IF($R$17="Distrato",$I$38-1,0)),IF(AND($L$711=0,$P$708=0),"",$L$711-1),IF($R$17="Distrato",$E746,0)),MIN(X$38,$D$19),$P$20))-SUM($P746:W746)</f>
        <v>#VALUE!</v>
      </c>
      <c r="Y746" s="446" t="e">
        <f>IF(OR($B746="",MIN(Y$38,$D$19)&lt;MAX($P$708*($B746+IF($R$17="Distrato",$I$38-1,0)),IF(AND($L$711=0,$P$708=0),"",$L$711-1),IF($R$17="Distrato",$E746,0))),0,YEARFRAC(MAX($P$708*($B746+IF($R$17="Distrato",$I$38-1,0)),IF(AND($L$711=0,$P$708=0),"",$L$711-1),IF($R$17="Distrato",$E746,0)),MIN(Y$38,$D$19),$P$20))-SUM($P746:X746)</f>
        <v>#VALUE!</v>
      </c>
      <c r="Z746" s="446" t="e">
        <f>IF(OR($B746="",MIN(Z$38,$D$19)&lt;MAX($P$708*($B746+IF($R$17="Distrato",$I$38-1,0)),IF(AND($L$711=0,$P$708=0),"",$L$711-1),IF($R$17="Distrato",$E746,0))),0,YEARFRAC(MAX($P$708*($B746+IF($R$17="Distrato",$I$38-1,0)),IF(AND($L$711=0,$P$708=0),"",$L$711-1),IF($R$17="Distrato",$E746,0)),MIN(Z$38,$D$19),$P$20))-SUM($P746:Y746)</f>
        <v>#VALUE!</v>
      </c>
      <c r="AA746" s="446" t="e">
        <f>IF(OR($B746="",MIN(AA$38,$D$19)&lt;MAX($P$708*($B746+IF($R$17="Distrato",$I$38-1,0)),IF(AND($L$711=0,$P$708=0),"",$L$711-1),IF($R$17="Distrato",$E746,0))),0,YEARFRAC(MAX($P$708*($B746+IF($R$17="Distrato",$I$38-1,0)),IF(AND($L$711=0,$P$708=0),"",$L$711-1),IF($R$17="Distrato",$E746,0)),MIN(AA$38,$D$19),$P$20))-SUM($P746:Z746)</f>
        <v>#VALUE!</v>
      </c>
      <c r="AB746" s="446" t="e">
        <f>IF(OR($B746="",MIN(AB$38,$D$19)&lt;MAX($P$708*($B746+IF($R$17="Distrato",$I$38-1,0)),IF(AND($L$711=0,$P$708=0),"",$L$711-1),IF($R$17="Distrato",$E746,0))),0,YEARFRAC(MAX($P$708*($B746+IF($R$17="Distrato",$I$38-1,0)),IF(AND($L$711=0,$P$708=0),"",$L$711-1),IF($R$17="Distrato",$E746,0)),MIN(AB$38,$D$19),$P$20))-SUM($P746:AA746)</f>
        <v>#VALUE!</v>
      </c>
      <c r="AC746" s="446" t="e">
        <f>IF(OR($B746="",MIN(AC$38,$D$19)&lt;MAX($P$708*($B746+IF($R$17="Distrato",$I$38-1,0)),IF(AND($L$711=0,$P$708=0),"",$L$711-1),IF($R$17="Distrato",$E746,0))),0,YEARFRAC(MAX($P$708*($B746+IF($R$17="Distrato",$I$38-1,0)),IF(AND($L$711=0,$P$708=0),"",$L$711-1),IF($R$17="Distrato",$E746,0)),MIN(AC$38,$D$19),$P$20))-SUM($P746:AB746)</f>
        <v>#VALUE!</v>
      </c>
      <c r="AD746" s="446" t="e">
        <f>IF(OR($B746="",MIN(AD$38,$D$19)&lt;MAX($P$708*($B746+IF($R$17="Distrato",$I$38-1,0)),IF(AND($L$711=0,$P$708=0),"",$L$711-1),IF($R$17="Distrato",$E746,0))),0,YEARFRAC(MAX($P$708*($B746+IF($R$17="Distrato",$I$38-1,0)),IF(AND($L$711=0,$P$708=0),"",$L$711-1),IF($R$17="Distrato",$E746,0)),MIN(AD$38,$D$19),$P$20))-SUM($P746:AC746)</f>
        <v>#VALUE!</v>
      </c>
      <c r="AE746" s="446" t="e">
        <f>IF(OR($B746="",MIN(AE$38,$D$19)&lt;MAX($P$708*($B746+IF($R$17="Distrato",$I$38-1,0)),IF(AND($L$711=0,$P$708=0),"",$L$711-1),IF($R$17="Distrato",$E746,0))),0,YEARFRAC(MAX($P$708*($B746+IF($R$17="Distrato",$I$38-1,0)),IF(AND($L$711=0,$P$708=0),"",$L$711-1),IF($R$17="Distrato",$E746,0)),MIN(AE$38,$D$19),$P$20))-SUM($P746:AD746)</f>
        <v>#VALUE!</v>
      </c>
      <c r="AF746" s="446" t="e">
        <f>IF(OR($B746="",MIN(AF$38,$D$19)&lt;MAX($P$708*($B746+IF($R$17="Distrato",$I$38-1,0)),IF(AND($L$711=0,$P$708=0),"",$L$711-1),IF($R$17="Distrato",$E746,0))),0,YEARFRAC(MAX($P$708*($B746+IF($R$17="Distrato",$I$38-1,0)),IF(AND($L$711=0,$P$708=0),"",$L$711-1),IF($R$17="Distrato",$E746,0)),MIN(AF$38,$D$19),$P$20))-SUM($P746:AE746)</f>
        <v>#VALUE!</v>
      </c>
      <c r="AG746" s="446" t="e">
        <f>IF(OR($B746="",MIN(AG$38,$D$19)&lt;MAX($P$708*($B746+IF($R$17="Distrato",$I$38-1,0)),IF(AND($L$711=0,$P$708=0),"",$L$711-1),IF($R$17="Distrato",$E746,0))),0,YEARFRAC(MAX($P$708*($B746+IF($R$17="Distrato",$I$38-1,0)),IF(AND($L$711=0,$P$708=0),"",$L$711-1),IF($R$17="Distrato",$E746,0)),MIN(AG$38,$D$19),$P$20))-SUM($P746:AF746)</f>
        <v>#VALUE!</v>
      </c>
      <c r="AH746" s="446" t="e">
        <f>IF(OR($B746="",MIN(AH$38,$D$19)&lt;MAX($P$708*($B746+IF($R$17="Distrato",$I$38-1,0)),IF(AND($L$711=0,$P$708=0),"",$L$711-1),IF($R$17="Distrato",$E746,0))),0,YEARFRAC(MAX($P$708*($B746+IF($R$17="Distrato",$I$38-1,0)),IF(AND($L$711=0,$P$708=0),"",$L$711-1),IF($R$17="Distrato",$E746,0)),MIN(AH$38,$D$19),$P$20))-SUM($P746:AG746)</f>
        <v>#VALUE!</v>
      </c>
      <c r="AI746" s="446" t="e">
        <f>IF(OR($B746="",MIN(AI$38,$D$19)&lt;MAX($P$708*($B746+IF($R$17="Distrato",$I$38-1,0)),IF(AND($L$711=0,$P$708=0),"",$L$711-1),IF($R$17="Distrato",$E746,0))),0,YEARFRAC(MAX($P$708*($B746+IF($R$17="Distrato",$I$38-1,0)),IF(AND($L$711=0,$P$708=0),"",$L$711-1),IF($R$17="Distrato",$E746,0)),MIN(AI$38,$D$19),$P$20))-SUM($P746:AH746)</f>
        <v>#VALUE!</v>
      </c>
      <c r="AJ746" s="446" t="e">
        <f>IF(OR($B746="",MIN(AJ$38,$D$19)&lt;MAX($P$708*($B746+IF($R$17="Distrato",$I$38-1,0)),IF(AND($L$711=0,$P$708=0),"",$L$711-1),IF($R$17="Distrato",$E746,0))),0,YEARFRAC(MAX($P$708*($B746+IF($R$17="Distrato",$I$38-1,0)),IF(AND($L$711=0,$P$708=0),"",$L$711-1),IF($R$17="Distrato",$E746,0)),MIN(AJ$38,$D$19),$P$20))-SUM($P746:AI746)</f>
        <v>#VALUE!</v>
      </c>
      <c r="AK746" s="446" t="e">
        <f>IF(OR($B746="",MIN(AK$38,$D$19)&lt;MAX($P$708*($B746+IF($R$17="Distrato",$I$38-1,0)),IF(AND($L$711=0,$P$708=0),"",$L$711-1),IF($R$17="Distrato",$E746,0))),0,YEARFRAC(MAX($P$708*($B746+IF($R$17="Distrato",$I$38-1,0)),IF(AND($L$711=0,$P$708=0),"",$L$711-1),IF($R$17="Distrato",$E746,0)),MIN(AK$38,$D$19),$P$20))-SUM($P746:AJ746)</f>
        <v>#VALUE!</v>
      </c>
      <c r="AL746" s="446" t="e">
        <f>IF(OR($B746="",MIN(AL$38,$D$19)&lt;MAX($P$708*($B746+IF($R$17="Distrato",$I$38-1,0)),IF(AND($L$711=0,$P$708=0),"",$L$711-1),IF($R$17="Distrato",$E746,0))),0,YEARFRAC(MAX($P$708*($B746+IF($R$17="Distrato",$I$38-1,0)),IF(AND($L$711=0,$P$708=0),"",$L$711-1),IF($R$17="Distrato",$E746,0)),MIN(AL$38,$D$19),$P$20))-SUM($P746:AK746)</f>
        <v>#VALUE!</v>
      </c>
      <c r="AM746" s="446" t="e">
        <f>IF(OR($B746="",MIN(AM$38,$D$19)&lt;MAX($P$708*($B746+IF($R$17="Distrato",$I$38-1,0)),IF(AND($L$711=0,$P$708=0),"",$L$711-1),IF($R$17="Distrato",$E746,0))),0,YEARFRAC(MAX($P$708*($B746+IF($R$17="Distrato",$I$38-1,0)),IF(AND($L$711=0,$P$708=0),"",$L$711-1),IF($R$17="Distrato",$E746,0)),MIN(AM$38,$D$19),$P$20))-SUM($P746:AL746)</f>
        <v>#VALUE!</v>
      </c>
      <c r="AN746" s="446" t="e">
        <f>IF(OR($B746="",MIN(AN$38,$D$19)&lt;MAX($P$708*($B746+IF($R$17="Distrato",$I$38-1,0)),IF(AND($L$711=0,$P$708=0),"",$L$711-1),IF($R$17="Distrato",$E746,0))),0,YEARFRAC(MAX($P$708*($B746+IF($R$17="Distrato",$I$38-1,0)),IF(AND($L$711=0,$P$708=0),"",$L$711-1),IF($R$17="Distrato",$E746,0)),MIN(AN$38,$D$19),$P$20))-SUM($P746:AM746)</f>
        <v>#VALUE!</v>
      </c>
      <c r="AO746" s="446" t="e">
        <f>IF(OR($B746="",MIN(AO$38,$D$19)&lt;MAX($P$708*($B746+IF($R$17="Distrato",$I$38-1,0)),IF(AND($L$711=0,$P$708=0),"",$L$711-1),IF($R$17="Distrato",$E746,0))),0,YEARFRAC(MAX($P$708*($B746+IF($R$17="Distrato",$I$38-1,0)),IF(AND($L$711=0,$P$708=0),"",$L$711-1),IF($R$17="Distrato",$E746,0)),MIN(AO$38,$D$19),$P$20))-SUM($P746:AN746)</f>
        <v>#VALUE!</v>
      </c>
      <c r="AP746" s="446" t="e">
        <f>IF(OR($B746="",MIN(AP$38,$D$19)&lt;MAX($P$708*($B746+IF($R$17="Distrato",$I$38-1,0)),IF(AND($L$711=0,$P$708=0),"",$L$711-1),IF($R$17="Distrato",$E746,0))),0,YEARFRAC(MAX($P$708*($B746+IF($R$17="Distrato",$I$38-1,0)),IF(AND($L$711=0,$P$708=0),"",$L$711-1),IF($R$17="Distrato",$E746,0)),MIN(AP$38,$D$19),$P$20))-SUM($P746:AO746)</f>
        <v>#VALUE!</v>
      </c>
      <c r="AQ746" s="446" t="e">
        <f>IF(OR($B746="",MIN(AQ$38,$D$19)&lt;MAX($P$708*($B746+IF($R$17="Distrato",$I$38-1,0)),IF(AND($L$711=0,$P$708=0),"",$L$711-1),IF($R$17="Distrato",$E746,0))),0,YEARFRAC(MAX($P$708*($B746+IF($R$17="Distrato",$I$38-1,0)),IF(AND($L$711=0,$P$708=0),"",$L$711-1),IF($R$17="Distrato",$E746,0)),MIN(AQ$38,$D$19),$P$20))-SUM($P746:AP746)</f>
        <v>#VALUE!</v>
      </c>
      <c r="AR746" s="446" t="e">
        <f>IF(OR($B746="",MIN(AR$38,$D$19)&lt;MAX($P$708*($B746+IF($R$17="Distrato",$I$38-1,0)),IF(AND($L$711=0,$P$708=0),"",$L$711-1),IF($R$17="Distrato",$E746,0))),0,YEARFRAC(MAX($P$708*($B746+IF($R$17="Distrato",$I$38-1,0)),IF(AND($L$711=0,$P$708=0),"",$L$711-1),IF($R$17="Distrato",$E746,0)),MIN(AR$38,$D$19),$P$20))-SUM($P746:AQ746)</f>
        <v>#VALUE!</v>
      </c>
      <c r="AS746" s="446" t="e">
        <f>IF(OR($B746="",MIN(AS$38,$D$19)&lt;MAX($P$708*($B746+IF($R$17="Distrato",$I$38-1,0)),IF(AND($L$711=0,$P$708=0),"",$L$711-1),IF($R$17="Distrato",$E746,0))),0,YEARFRAC(MAX($P$708*($B746+IF($R$17="Distrato",$I$38-1,0)),IF(AND($L$711=0,$P$708=0),"",$L$711-1),IF($R$17="Distrato",$E746,0)),MIN(AS$38,$D$19),$P$20))-SUM($P746:AR746)</f>
        <v>#VALUE!</v>
      </c>
      <c r="AT746" s="446" t="e">
        <f>IF(OR($B746="",MIN(AT$38,$D$19)&lt;MAX($P$708*($B746+IF($R$17="Distrato",$I$38-1,0)),IF(AND($L$711=0,$P$708=0),"",$L$711-1),IF($R$17="Distrato",$E746,0))),0,YEARFRAC(MAX($P$708*($B746+IF($R$17="Distrato",$I$38-1,0)),IF(AND($L$711=0,$P$708=0),"",$L$711-1),IF($R$17="Distrato",$E746,0)),MIN(AT$38,$D$19),$P$20))-SUM($P746:AS746)</f>
        <v>#VALUE!</v>
      </c>
      <c r="AU746" s="446" t="e">
        <f>IF(OR($B746="",MIN(AU$38,$D$19)&lt;MAX($P$708*($B746+IF($R$17="Distrato",$I$38-1,0)),IF(AND($L$711=0,$P$708=0),"",$L$711-1),IF($R$17="Distrato",$E746,0))),0,YEARFRAC(MAX($P$708*($B746+IF($R$17="Distrato",$I$38-1,0)),IF(AND($L$711=0,$P$708=0),"",$L$711-1),IF($R$17="Distrato",$E746,0)),MIN(AU$38,$D$19),$P$20))-SUM($P746:AT746)</f>
        <v>#VALUE!</v>
      </c>
      <c r="AV746" s="446" t="e">
        <f>IF(OR($B746="",MIN(AV$38,$D$19)&lt;MAX($P$708*($B746+IF($R$17="Distrato",$I$38-1,0)),IF(AND($L$711=0,$P$708=0),"",$L$711-1),IF($R$17="Distrato",$E746,0))),0,YEARFRAC(MAX($P$708*($B746+IF($R$17="Distrato",$I$38-1,0)),IF(AND($L$711=0,$P$708=0),"",$L$711-1),IF($R$17="Distrato",$E746,0)),MIN(AV$38,$D$19),$P$20))-SUM($P746:AU746)</f>
        <v>#VALUE!</v>
      </c>
      <c r="AW746" s="446" t="e">
        <f>IF(OR($B746="",MIN(AW$38,$D$19)&lt;MAX($P$708*($B746+IF($R$17="Distrato",$I$38-1,0)),IF(AND($L$711=0,$P$708=0),"",$L$711-1),IF($R$17="Distrato",$E746,0))),0,YEARFRAC(MAX($P$708*($B746+IF($R$17="Distrato",$I$38-1,0)),IF(AND($L$711=0,$P$708=0),"",$L$711-1),IF($R$17="Distrato",$E746,0)),MIN(AW$38,$D$19),$P$20))-SUM($P746:AV746)</f>
        <v>#VALUE!</v>
      </c>
      <c r="AX746" s="446" t="e">
        <f>IF(OR($B746="",MIN(AX$38,$D$19)&lt;MAX($P$708*($B746+IF($R$17="Distrato",$I$38-1,0)),IF(AND($L$711=0,$P$708=0),"",$L$711-1),IF($R$17="Distrato",$E746,0))),0,YEARFRAC(MAX($P$708*($B746+IF($R$17="Distrato",$I$38-1,0)),IF(AND($L$711=0,$P$708=0),"",$L$711-1),IF($R$17="Distrato",$E746,0)),MIN(AX$38,$D$19),$P$20))-SUM($P746:AW746)</f>
        <v>#VALUE!</v>
      </c>
      <c r="AY746" s="446" t="e">
        <f>IF(OR($B746="",MIN(AY$38,$D$19)&lt;MAX($P$708*($B746+IF($R$17="Distrato",$I$38-1,0)),IF(AND($L$711=0,$P$708=0),"",$L$711-1),IF($R$17="Distrato",$E746,0))),0,YEARFRAC(MAX($P$708*($B746+IF($R$17="Distrato",$I$38-1,0)),IF(AND($L$711=0,$P$708=0),"",$L$711-1),IF($R$17="Distrato",$E746,0)),MIN(AY$38,$D$19),$P$20))-SUM($P746:AX746)</f>
        <v>#VALUE!</v>
      </c>
      <c r="AZ746" s="446" t="e">
        <f>IF(OR($B746="",MIN(AZ$38,$D$19)&lt;MAX($P$708*($B746+IF($R$17="Distrato",$I$38-1,0)),IF(AND($L$711=0,$P$708=0),"",$L$711-1),IF($R$17="Distrato",$E746,0))),0,YEARFRAC(MAX($P$708*($B746+IF($R$17="Distrato",$I$38-1,0)),IF(AND($L$711=0,$P$708=0),"",$L$711-1),IF($R$17="Distrato",$E746,0)),MIN(AZ$38,$D$19),$P$20))-SUM($P746:AY746)</f>
        <v>#VALUE!</v>
      </c>
      <c r="BA746" s="446" t="e">
        <f>IF(OR($B746="",MIN(BA$38,$D$19)&lt;MAX($P$708*($B746+IF($R$17="Distrato",$I$38-1,0)),IF(AND($L$711=0,$P$708=0),"",$L$711-1),IF($R$17="Distrato",$E746,0))),0,YEARFRAC(MAX($P$708*($B746+IF($R$17="Distrato",$I$38-1,0)),IF(AND($L$711=0,$P$708=0),"",$L$711-1),IF($R$17="Distrato",$E746,0)),MIN(BA$38,$D$19),$P$20))-SUM($P746:AZ746)</f>
        <v>#VALUE!</v>
      </c>
      <c r="BB746" s="447"/>
    </row>
    <row r="747" spans="1:54" s="446" customFormat="1" ht="11.25" hidden="1" customHeight="1" x14ac:dyDescent="0.2">
      <c r="A747" s="235"/>
      <c r="B747" s="236"/>
      <c r="C747" s="29" t="str">
        <f>IF(B747="","",IF($L$709=$BL$25,VLOOKUP(DATE(YEAR($D$19),MONTH($D$19)-1,1),ÍNDICES!$A:$DE,HLOOKUP($BL$25,ÍNDICES!$B$3:$T$4,2)+11)-VLOOKUP(B747,ÍNDICES!$A:$DE,HLOOKUP($BL$25,ÍNDICES!$B$3:$T$4,2)+11)+1%,IF(C$712=$W$26,$J$35,IF(ISERROR(IF(B747&gt;$D$19,1,VLOOKUP(DATE(YEAR(B747),MONTH(B747)+IF($C$709=$S$23,1,0),1),ÍNDICES!$A:$DE,$Z$709+1))),"",IF(B747&gt;$D$19,1,VLOOKUP(DATE(YEAR(B747),MONTH(B747)+IF($C$709=$S$23,1,0),1),ÍNDICES!$A:$DE,$Z$709+1))))))</f>
        <v/>
      </c>
      <c r="D747" s="155"/>
      <c r="E747" s="88"/>
      <c r="F747" s="88"/>
      <c r="G747" s="88"/>
      <c r="H747" s="118"/>
      <c r="I747" s="182">
        <f t="shared" si="115"/>
        <v>0</v>
      </c>
      <c r="J747" s="20">
        <f t="shared" ca="1" si="116"/>
        <v>0</v>
      </c>
      <c r="K747" s="5">
        <f t="shared" ca="1" si="117"/>
        <v>0</v>
      </c>
      <c r="L747" s="61">
        <f t="shared" ca="1" si="118"/>
        <v>0</v>
      </c>
      <c r="M747" s="64">
        <f t="shared" si="119"/>
        <v>0</v>
      </c>
      <c r="N747" s="151"/>
      <c r="O747" s="5">
        <f t="shared" ca="1" si="120"/>
        <v>0</v>
      </c>
      <c r="P747" s="446" t="e">
        <f t="shared" si="121"/>
        <v>#VALUE!</v>
      </c>
      <c r="Q747" s="446" t="e">
        <f>IF(OR($B747="",MIN(Q$38,$D$19)&lt;MAX($P$708*($B747+IF($R$17="Distrato",$I$38-1,0)),IF(AND($L$711=0,$P$708=0),"",$L$711-1),IF($R$17="Distrato",$E747,0))),0,YEARFRAC(MAX($P$708*($B747+IF($R$17="Distrato",$I$38-1,0)),IF(AND($L$711=0,$P$708=0),"",$L$711-1),IF($R$17="Distrato",$E747,0)),MIN(Q$38,$D$19),$P$20))-SUM($P747:P747)</f>
        <v>#VALUE!</v>
      </c>
      <c r="R747" s="446" t="e">
        <f>IF(OR($B747="",MIN(R$38,$D$19)&lt;MAX($P$708*($B747+IF($R$17="Distrato",$I$38-1,0)),IF(AND($L$711=0,$P$708=0),"",$L$711-1),IF($R$17="Distrato",$E747,0))),0,YEARFRAC(MAX($P$708*($B747+IF($R$17="Distrato",$I$38-1,0)),IF(AND($L$711=0,$P$708=0),"",$L$711-1),IF($R$17="Distrato",$E747,0)),MIN(R$38,$D$19),$P$20))-SUM($P747:Q747)</f>
        <v>#VALUE!</v>
      </c>
      <c r="S747" s="446" t="e">
        <f>IF(OR($B747="",MIN(S$38,$D$19)&lt;MAX($P$708*($B747+IF($R$17="Distrato",$I$38-1,0)),IF(AND($L$711=0,$P$708=0),"",$L$711-1),IF($R$17="Distrato",$E747,0))),0,YEARFRAC(MAX($P$708*($B747+IF($R$17="Distrato",$I$38-1,0)),IF(AND($L$711=0,$P$708=0),"",$L$711-1),IF($R$17="Distrato",$E747,0)),MIN(S$38,$D$19),$P$20))-SUM($P747:R747)</f>
        <v>#VALUE!</v>
      </c>
      <c r="T747" s="446" t="e">
        <f>IF(OR($B747="",MIN(T$38,$D$19)&lt;MAX($P$708*($B747+IF($R$17="Distrato",$I$38-1,0)),IF(AND($L$711=0,$P$708=0),"",$L$711-1),IF($R$17="Distrato",$E747,0))),0,YEARFRAC(MAX($P$708*($B747+IF($R$17="Distrato",$I$38-1,0)),IF(AND($L$711=0,$P$708=0),"",$L$711-1),IF($R$17="Distrato",$E747,0)),MIN(T$38,$D$19),$P$20))-SUM($P747:S747)</f>
        <v>#VALUE!</v>
      </c>
      <c r="U747" s="446" t="e">
        <f>IF(OR($B747="",MIN(U$38,$D$19)&lt;MAX($P$708*($B747+IF($R$17="Distrato",$I$38-1,0)),IF(AND($L$711=0,$P$708=0),"",$L$711-1),IF($R$17="Distrato",$E747,0))),0,YEARFRAC(MAX($P$708*($B747+IF($R$17="Distrato",$I$38-1,0)),IF(AND($L$711=0,$P$708=0),"",$L$711-1),IF($R$17="Distrato",$E747,0)),MIN(U$38,$D$19),$P$20))-SUM($P747:T747)</f>
        <v>#VALUE!</v>
      </c>
      <c r="V747" s="446" t="e">
        <f>IF(OR($B747="",MIN(V$38,$D$19)&lt;MAX($P$708*($B747+IF($R$17="Distrato",$I$38-1,0)),IF(AND($L$711=0,$P$708=0),"",$L$711-1),IF($R$17="Distrato",$E747,0))),0,YEARFRAC(MAX($P$708*($B747+IF($R$17="Distrato",$I$38-1,0)),IF(AND($L$711=0,$P$708=0),"",$L$711-1),IF($R$17="Distrato",$E747,0)),MIN(V$38,$D$19),$P$20))-SUM($P747:U747)</f>
        <v>#VALUE!</v>
      </c>
      <c r="W747" s="446" t="e">
        <f>IF(OR($B747="",MIN(W$38,$D$19)&lt;MAX($P$708*($B747+IF($R$17="Distrato",$I$38-1,0)),IF(AND($L$711=0,$P$708=0),"",$L$711-1),IF($R$17="Distrato",$E747,0))),0,YEARFRAC(MAX($P$708*($B747+IF($R$17="Distrato",$I$38-1,0)),IF(AND($L$711=0,$P$708=0),"",$L$711-1),IF($R$17="Distrato",$E747,0)),MIN(W$38,$D$19),$P$20))-SUM($P747:V747)</f>
        <v>#VALUE!</v>
      </c>
      <c r="X747" s="446" t="e">
        <f>IF(OR($B747="",MIN(X$38,$D$19)&lt;MAX($P$708*($B747+IF($R$17="Distrato",$I$38-1,0)),IF(AND($L$711=0,$P$708=0),"",$L$711-1),IF($R$17="Distrato",$E747,0))),0,YEARFRAC(MAX($P$708*($B747+IF($R$17="Distrato",$I$38-1,0)),IF(AND($L$711=0,$P$708=0),"",$L$711-1),IF($R$17="Distrato",$E747,0)),MIN(X$38,$D$19),$P$20))-SUM($P747:W747)</f>
        <v>#VALUE!</v>
      </c>
      <c r="Y747" s="446" t="e">
        <f>IF(OR($B747="",MIN(Y$38,$D$19)&lt;MAX($P$708*($B747+IF($R$17="Distrato",$I$38-1,0)),IF(AND($L$711=0,$P$708=0),"",$L$711-1),IF($R$17="Distrato",$E747,0))),0,YEARFRAC(MAX($P$708*($B747+IF($R$17="Distrato",$I$38-1,0)),IF(AND($L$711=0,$P$708=0),"",$L$711-1),IF($R$17="Distrato",$E747,0)),MIN(Y$38,$D$19),$P$20))-SUM($P747:X747)</f>
        <v>#VALUE!</v>
      </c>
      <c r="Z747" s="446" t="e">
        <f>IF(OR($B747="",MIN(Z$38,$D$19)&lt;MAX($P$708*($B747+IF($R$17="Distrato",$I$38-1,0)),IF(AND($L$711=0,$P$708=0),"",$L$711-1),IF($R$17="Distrato",$E747,0))),0,YEARFRAC(MAX($P$708*($B747+IF($R$17="Distrato",$I$38-1,0)),IF(AND($L$711=0,$P$708=0),"",$L$711-1),IF($R$17="Distrato",$E747,0)),MIN(Z$38,$D$19),$P$20))-SUM($P747:Y747)</f>
        <v>#VALUE!</v>
      </c>
      <c r="AA747" s="446" t="e">
        <f>IF(OR($B747="",MIN(AA$38,$D$19)&lt;MAX($P$708*($B747+IF($R$17="Distrato",$I$38-1,0)),IF(AND($L$711=0,$P$708=0),"",$L$711-1),IF($R$17="Distrato",$E747,0))),0,YEARFRAC(MAX($P$708*($B747+IF($R$17="Distrato",$I$38-1,0)),IF(AND($L$711=0,$P$708=0),"",$L$711-1),IF($R$17="Distrato",$E747,0)),MIN(AA$38,$D$19),$P$20))-SUM($P747:Z747)</f>
        <v>#VALUE!</v>
      </c>
      <c r="AB747" s="446" t="e">
        <f>IF(OR($B747="",MIN(AB$38,$D$19)&lt;MAX($P$708*($B747+IF($R$17="Distrato",$I$38-1,0)),IF(AND($L$711=0,$P$708=0),"",$L$711-1),IF($R$17="Distrato",$E747,0))),0,YEARFRAC(MAX($P$708*($B747+IF($R$17="Distrato",$I$38-1,0)),IF(AND($L$711=0,$P$708=0),"",$L$711-1),IF($R$17="Distrato",$E747,0)),MIN(AB$38,$D$19),$P$20))-SUM($P747:AA747)</f>
        <v>#VALUE!</v>
      </c>
      <c r="AC747" s="446" t="e">
        <f>IF(OR($B747="",MIN(AC$38,$D$19)&lt;MAX($P$708*($B747+IF($R$17="Distrato",$I$38-1,0)),IF(AND($L$711=0,$P$708=0),"",$L$711-1),IF($R$17="Distrato",$E747,0))),0,YEARFRAC(MAX($P$708*($B747+IF($R$17="Distrato",$I$38-1,0)),IF(AND($L$711=0,$P$708=0),"",$L$711-1),IF($R$17="Distrato",$E747,0)),MIN(AC$38,$D$19),$P$20))-SUM($P747:AB747)</f>
        <v>#VALUE!</v>
      </c>
      <c r="AD747" s="446" t="e">
        <f>IF(OR($B747="",MIN(AD$38,$D$19)&lt;MAX($P$708*($B747+IF($R$17="Distrato",$I$38-1,0)),IF(AND($L$711=0,$P$708=0),"",$L$711-1),IF($R$17="Distrato",$E747,0))),0,YEARFRAC(MAX($P$708*($B747+IF($R$17="Distrato",$I$38-1,0)),IF(AND($L$711=0,$P$708=0),"",$L$711-1),IF($R$17="Distrato",$E747,0)),MIN(AD$38,$D$19),$P$20))-SUM($P747:AC747)</f>
        <v>#VALUE!</v>
      </c>
      <c r="AE747" s="446" t="e">
        <f>IF(OR($B747="",MIN(AE$38,$D$19)&lt;MAX($P$708*($B747+IF($R$17="Distrato",$I$38-1,0)),IF(AND($L$711=0,$P$708=0),"",$L$711-1),IF($R$17="Distrato",$E747,0))),0,YEARFRAC(MAX($P$708*($B747+IF($R$17="Distrato",$I$38-1,0)),IF(AND($L$711=0,$P$708=0),"",$L$711-1),IF($R$17="Distrato",$E747,0)),MIN(AE$38,$D$19),$P$20))-SUM($P747:AD747)</f>
        <v>#VALUE!</v>
      </c>
      <c r="AF747" s="446" t="e">
        <f>IF(OR($B747="",MIN(AF$38,$D$19)&lt;MAX($P$708*($B747+IF($R$17="Distrato",$I$38-1,0)),IF(AND($L$711=0,$P$708=0),"",$L$711-1),IF($R$17="Distrato",$E747,0))),0,YEARFRAC(MAX($P$708*($B747+IF($R$17="Distrato",$I$38-1,0)),IF(AND($L$711=0,$P$708=0),"",$L$711-1),IF($R$17="Distrato",$E747,0)),MIN(AF$38,$D$19),$P$20))-SUM($P747:AE747)</f>
        <v>#VALUE!</v>
      </c>
      <c r="AG747" s="446" t="e">
        <f>IF(OR($B747="",MIN(AG$38,$D$19)&lt;MAX($P$708*($B747+IF($R$17="Distrato",$I$38-1,0)),IF(AND($L$711=0,$P$708=0),"",$L$711-1),IF($R$17="Distrato",$E747,0))),0,YEARFRAC(MAX($P$708*($B747+IF($R$17="Distrato",$I$38-1,0)),IF(AND($L$711=0,$P$708=0),"",$L$711-1),IF($R$17="Distrato",$E747,0)),MIN(AG$38,$D$19),$P$20))-SUM($P747:AF747)</f>
        <v>#VALUE!</v>
      </c>
      <c r="AH747" s="446" t="e">
        <f>IF(OR($B747="",MIN(AH$38,$D$19)&lt;MAX($P$708*($B747+IF($R$17="Distrato",$I$38-1,0)),IF(AND($L$711=0,$P$708=0),"",$L$711-1),IF($R$17="Distrato",$E747,0))),0,YEARFRAC(MAX($P$708*($B747+IF($R$17="Distrato",$I$38-1,0)),IF(AND($L$711=0,$P$708=0),"",$L$711-1),IF($R$17="Distrato",$E747,0)),MIN(AH$38,$D$19),$P$20))-SUM($P747:AG747)</f>
        <v>#VALUE!</v>
      </c>
      <c r="AI747" s="446" t="e">
        <f>IF(OR($B747="",MIN(AI$38,$D$19)&lt;MAX($P$708*($B747+IF($R$17="Distrato",$I$38-1,0)),IF(AND($L$711=0,$P$708=0),"",$L$711-1),IF($R$17="Distrato",$E747,0))),0,YEARFRAC(MAX($P$708*($B747+IF($R$17="Distrato",$I$38-1,0)),IF(AND($L$711=0,$P$708=0),"",$L$711-1),IF($R$17="Distrato",$E747,0)),MIN(AI$38,$D$19),$P$20))-SUM($P747:AH747)</f>
        <v>#VALUE!</v>
      </c>
      <c r="AJ747" s="446" t="e">
        <f>IF(OR($B747="",MIN(AJ$38,$D$19)&lt;MAX($P$708*($B747+IF($R$17="Distrato",$I$38-1,0)),IF(AND($L$711=0,$P$708=0),"",$L$711-1),IF($R$17="Distrato",$E747,0))),0,YEARFRAC(MAX($P$708*($B747+IF($R$17="Distrato",$I$38-1,0)),IF(AND($L$711=0,$P$708=0),"",$L$711-1),IF($R$17="Distrato",$E747,0)),MIN(AJ$38,$D$19),$P$20))-SUM($P747:AI747)</f>
        <v>#VALUE!</v>
      </c>
      <c r="AK747" s="446" t="e">
        <f>IF(OR($B747="",MIN(AK$38,$D$19)&lt;MAX($P$708*($B747+IF($R$17="Distrato",$I$38-1,0)),IF(AND($L$711=0,$P$708=0),"",$L$711-1),IF($R$17="Distrato",$E747,0))),0,YEARFRAC(MAX($P$708*($B747+IF($R$17="Distrato",$I$38-1,0)),IF(AND($L$711=0,$P$708=0),"",$L$711-1),IF($R$17="Distrato",$E747,0)),MIN(AK$38,$D$19),$P$20))-SUM($P747:AJ747)</f>
        <v>#VALUE!</v>
      </c>
      <c r="AL747" s="446" t="e">
        <f>IF(OR($B747="",MIN(AL$38,$D$19)&lt;MAX($P$708*($B747+IF($R$17="Distrato",$I$38-1,0)),IF(AND($L$711=0,$P$708=0),"",$L$711-1),IF($R$17="Distrato",$E747,0))),0,YEARFRAC(MAX($P$708*($B747+IF($R$17="Distrato",$I$38-1,0)),IF(AND($L$711=0,$P$708=0),"",$L$711-1),IF($R$17="Distrato",$E747,0)),MIN(AL$38,$D$19),$P$20))-SUM($P747:AK747)</f>
        <v>#VALUE!</v>
      </c>
      <c r="AM747" s="446" t="e">
        <f>IF(OR($B747="",MIN(AM$38,$D$19)&lt;MAX($P$708*($B747+IF($R$17="Distrato",$I$38-1,0)),IF(AND($L$711=0,$P$708=0),"",$L$711-1),IF($R$17="Distrato",$E747,0))),0,YEARFRAC(MAX($P$708*($B747+IF($R$17="Distrato",$I$38-1,0)),IF(AND($L$711=0,$P$708=0),"",$L$711-1),IF($R$17="Distrato",$E747,0)),MIN(AM$38,$D$19),$P$20))-SUM($P747:AL747)</f>
        <v>#VALUE!</v>
      </c>
      <c r="AN747" s="446" t="e">
        <f>IF(OR($B747="",MIN(AN$38,$D$19)&lt;MAX($P$708*($B747+IF($R$17="Distrato",$I$38-1,0)),IF(AND($L$711=0,$P$708=0),"",$L$711-1),IF($R$17="Distrato",$E747,0))),0,YEARFRAC(MAX($P$708*($B747+IF($R$17="Distrato",$I$38-1,0)),IF(AND($L$711=0,$P$708=0),"",$L$711-1),IF($R$17="Distrato",$E747,0)),MIN(AN$38,$D$19),$P$20))-SUM($P747:AM747)</f>
        <v>#VALUE!</v>
      </c>
      <c r="AO747" s="446" t="e">
        <f>IF(OR($B747="",MIN(AO$38,$D$19)&lt;MAX($P$708*($B747+IF($R$17="Distrato",$I$38-1,0)),IF(AND($L$711=0,$P$708=0),"",$L$711-1),IF($R$17="Distrato",$E747,0))),0,YEARFRAC(MAX($P$708*($B747+IF($R$17="Distrato",$I$38-1,0)),IF(AND($L$711=0,$P$708=0),"",$L$711-1),IF($R$17="Distrato",$E747,0)),MIN(AO$38,$D$19),$P$20))-SUM($P747:AN747)</f>
        <v>#VALUE!</v>
      </c>
      <c r="AP747" s="446" t="e">
        <f>IF(OR($B747="",MIN(AP$38,$D$19)&lt;MAX($P$708*($B747+IF($R$17="Distrato",$I$38-1,0)),IF(AND($L$711=0,$P$708=0),"",$L$711-1),IF($R$17="Distrato",$E747,0))),0,YEARFRAC(MAX($P$708*($B747+IF($R$17="Distrato",$I$38-1,0)),IF(AND($L$711=0,$P$708=0),"",$L$711-1),IF($R$17="Distrato",$E747,0)),MIN(AP$38,$D$19),$P$20))-SUM($P747:AO747)</f>
        <v>#VALUE!</v>
      </c>
      <c r="AQ747" s="446" t="e">
        <f>IF(OR($B747="",MIN(AQ$38,$D$19)&lt;MAX($P$708*($B747+IF($R$17="Distrato",$I$38-1,0)),IF(AND($L$711=0,$P$708=0),"",$L$711-1),IF($R$17="Distrato",$E747,0))),0,YEARFRAC(MAX($P$708*($B747+IF($R$17="Distrato",$I$38-1,0)),IF(AND($L$711=0,$P$708=0),"",$L$711-1),IF($R$17="Distrato",$E747,0)),MIN(AQ$38,$D$19),$P$20))-SUM($P747:AP747)</f>
        <v>#VALUE!</v>
      </c>
      <c r="AR747" s="446" t="e">
        <f>IF(OR($B747="",MIN(AR$38,$D$19)&lt;MAX($P$708*($B747+IF($R$17="Distrato",$I$38-1,0)),IF(AND($L$711=0,$P$708=0),"",$L$711-1),IF($R$17="Distrato",$E747,0))),0,YEARFRAC(MAX($P$708*($B747+IF($R$17="Distrato",$I$38-1,0)),IF(AND($L$711=0,$P$708=0),"",$L$711-1),IF($R$17="Distrato",$E747,0)),MIN(AR$38,$D$19),$P$20))-SUM($P747:AQ747)</f>
        <v>#VALUE!</v>
      </c>
      <c r="AS747" s="446" t="e">
        <f>IF(OR($B747="",MIN(AS$38,$D$19)&lt;MAX($P$708*($B747+IF($R$17="Distrato",$I$38-1,0)),IF(AND($L$711=0,$P$708=0),"",$L$711-1),IF($R$17="Distrato",$E747,0))),0,YEARFRAC(MAX($P$708*($B747+IF($R$17="Distrato",$I$38-1,0)),IF(AND($L$711=0,$P$708=0),"",$L$711-1),IF($R$17="Distrato",$E747,0)),MIN(AS$38,$D$19),$P$20))-SUM($P747:AR747)</f>
        <v>#VALUE!</v>
      </c>
      <c r="AT747" s="446" t="e">
        <f>IF(OR($B747="",MIN(AT$38,$D$19)&lt;MAX($P$708*($B747+IF($R$17="Distrato",$I$38-1,0)),IF(AND($L$711=0,$P$708=0),"",$L$711-1),IF($R$17="Distrato",$E747,0))),0,YEARFRAC(MAX($P$708*($B747+IF($R$17="Distrato",$I$38-1,0)),IF(AND($L$711=0,$P$708=0),"",$L$711-1),IF($R$17="Distrato",$E747,0)),MIN(AT$38,$D$19),$P$20))-SUM($P747:AS747)</f>
        <v>#VALUE!</v>
      </c>
      <c r="AU747" s="446" t="e">
        <f>IF(OR($B747="",MIN(AU$38,$D$19)&lt;MAX($P$708*($B747+IF($R$17="Distrato",$I$38-1,0)),IF(AND($L$711=0,$P$708=0),"",$L$711-1),IF($R$17="Distrato",$E747,0))),0,YEARFRAC(MAX($P$708*($B747+IF($R$17="Distrato",$I$38-1,0)),IF(AND($L$711=0,$P$708=0),"",$L$711-1),IF($R$17="Distrato",$E747,0)),MIN(AU$38,$D$19),$P$20))-SUM($P747:AT747)</f>
        <v>#VALUE!</v>
      </c>
      <c r="AV747" s="446" t="e">
        <f>IF(OR($B747="",MIN(AV$38,$D$19)&lt;MAX($P$708*($B747+IF($R$17="Distrato",$I$38-1,0)),IF(AND($L$711=0,$P$708=0),"",$L$711-1),IF($R$17="Distrato",$E747,0))),0,YEARFRAC(MAX($P$708*($B747+IF($R$17="Distrato",$I$38-1,0)),IF(AND($L$711=0,$P$708=0),"",$L$711-1),IF($R$17="Distrato",$E747,0)),MIN(AV$38,$D$19),$P$20))-SUM($P747:AU747)</f>
        <v>#VALUE!</v>
      </c>
      <c r="AW747" s="446" t="e">
        <f>IF(OR($B747="",MIN(AW$38,$D$19)&lt;MAX($P$708*($B747+IF($R$17="Distrato",$I$38-1,0)),IF(AND($L$711=0,$P$708=0),"",$L$711-1),IF($R$17="Distrato",$E747,0))),0,YEARFRAC(MAX($P$708*($B747+IF($R$17="Distrato",$I$38-1,0)),IF(AND($L$711=0,$P$708=0),"",$L$711-1),IF($R$17="Distrato",$E747,0)),MIN(AW$38,$D$19),$P$20))-SUM($P747:AV747)</f>
        <v>#VALUE!</v>
      </c>
      <c r="AX747" s="446" t="e">
        <f>IF(OR($B747="",MIN(AX$38,$D$19)&lt;MAX($P$708*($B747+IF($R$17="Distrato",$I$38-1,0)),IF(AND($L$711=0,$P$708=0),"",$L$711-1),IF($R$17="Distrato",$E747,0))),0,YEARFRAC(MAX($P$708*($B747+IF($R$17="Distrato",$I$38-1,0)),IF(AND($L$711=0,$P$708=0),"",$L$711-1),IF($R$17="Distrato",$E747,0)),MIN(AX$38,$D$19),$P$20))-SUM($P747:AW747)</f>
        <v>#VALUE!</v>
      </c>
      <c r="AY747" s="446" t="e">
        <f>IF(OR($B747="",MIN(AY$38,$D$19)&lt;MAX($P$708*($B747+IF($R$17="Distrato",$I$38-1,0)),IF(AND($L$711=0,$P$708=0),"",$L$711-1),IF($R$17="Distrato",$E747,0))),0,YEARFRAC(MAX($P$708*($B747+IF($R$17="Distrato",$I$38-1,0)),IF(AND($L$711=0,$P$708=0),"",$L$711-1),IF($R$17="Distrato",$E747,0)),MIN(AY$38,$D$19),$P$20))-SUM($P747:AX747)</f>
        <v>#VALUE!</v>
      </c>
      <c r="AZ747" s="446" t="e">
        <f>IF(OR($B747="",MIN(AZ$38,$D$19)&lt;MAX($P$708*($B747+IF($R$17="Distrato",$I$38-1,0)),IF(AND($L$711=0,$P$708=0),"",$L$711-1),IF($R$17="Distrato",$E747,0))),0,YEARFRAC(MAX($P$708*($B747+IF($R$17="Distrato",$I$38-1,0)),IF(AND($L$711=0,$P$708=0),"",$L$711-1),IF($R$17="Distrato",$E747,0)),MIN(AZ$38,$D$19),$P$20))-SUM($P747:AY747)</f>
        <v>#VALUE!</v>
      </c>
      <c r="BA747" s="446" t="e">
        <f>IF(OR($B747="",MIN(BA$38,$D$19)&lt;MAX($P$708*($B747+IF($R$17="Distrato",$I$38-1,0)),IF(AND($L$711=0,$P$708=0),"",$L$711-1),IF($R$17="Distrato",$E747,0))),0,YEARFRAC(MAX($P$708*($B747+IF($R$17="Distrato",$I$38-1,0)),IF(AND($L$711=0,$P$708=0),"",$L$711-1),IF($R$17="Distrato",$E747,0)),MIN(BA$38,$D$19),$P$20))-SUM($P747:AZ747)</f>
        <v>#VALUE!</v>
      </c>
      <c r="BB747" s="447"/>
    </row>
    <row r="748" spans="1:54" s="446" customFormat="1" ht="11.25" hidden="1" customHeight="1" x14ac:dyDescent="0.2">
      <c r="A748" s="235"/>
      <c r="B748" s="236"/>
      <c r="C748" s="29" t="str">
        <f>IF(B748="","",IF($L$709=$BL$25,VLOOKUP(DATE(YEAR($D$19),MONTH($D$19)-1,1),ÍNDICES!$A:$DE,HLOOKUP($BL$25,ÍNDICES!$B$3:$T$4,2)+11)-VLOOKUP(B748,ÍNDICES!$A:$DE,HLOOKUP($BL$25,ÍNDICES!$B$3:$T$4,2)+11)+1%,IF(C$712=$W$26,$J$35,IF(ISERROR(IF(B748&gt;$D$19,1,VLOOKUP(DATE(YEAR(B748),MONTH(B748)+IF($C$709=$S$23,1,0),1),ÍNDICES!$A:$DE,$Z$709+1))),"",IF(B748&gt;$D$19,1,VLOOKUP(DATE(YEAR(B748),MONTH(B748)+IF($C$709=$S$23,1,0),1),ÍNDICES!$A:$DE,$Z$709+1))))))</f>
        <v/>
      </c>
      <c r="D748" s="155"/>
      <c r="E748" s="88"/>
      <c r="F748" s="88"/>
      <c r="G748" s="88"/>
      <c r="H748" s="118"/>
      <c r="I748" s="182">
        <f t="shared" si="115"/>
        <v>0</v>
      </c>
      <c r="J748" s="20">
        <f t="shared" ca="1" si="116"/>
        <v>0</v>
      </c>
      <c r="K748" s="5">
        <f t="shared" ca="1" si="117"/>
        <v>0</v>
      </c>
      <c r="L748" s="61">
        <f t="shared" ca="1" si="118"/>
        <v>0</v>
      </c>
      <c r="M748" s="64">
        <f t="shared" si="119"/>
        <v>0</v>
      </c>
      <c r="N748" s="151"/>
      <c r="O748" s="5">
        <f t="shared" ca="1" si="120"/>
        <v>0</v>
      </c>
      <c r="P748" s="446" t="e">
        <f t="shared" si="121"/>
        <v>#VALUE!</v>
      </c>
      <c r="Q748" s="446" t="e">
        <f>IF(OR($B748="",MIN(Q$38,$D$19)&lt;MAX($P$708*($B748+IF($R$17="Distrato",$I$38-1,0)),IF(AND($L$711=0,$P$708=0),"",$L$711-1),IF($R$17="Distrato",$E748,0))),0,YEARFRAC(MAX($P$708*($B748+IF($R$17="Distrato",$I$38-1,0)),IF(AND($L$711=0,$P$708=0),"",$L$711-1),IF($R$17="Distrato",$E748,0)),MIN(Q$38,$D$19),$P$20))-SUM($P748:P748)</f>
        <v>#VALUE!</v>
      </c>
      <c r="R748" s="446" t="e">
        <f>IF(OR($B748="",MIN(R$38,$D$19)&lt;MAX($P$708*($B748+IF($R$17="Distrato",$I$38-1,0)),IF(AND($L$711=0,$P$708=0),"",$L$711-1),IF($R$17="Distrato",$E748,0))),0,YEARFRAC(MAX($P$708*($B748+IF($R$17="Distrato",$I$38-1,0)),IF(AND($L$711=0,$P$708=0),"",$L$711-1),IF($R$17="Distrato",$E748,0)),MIN(R$38,$D$19),$P$20))-SUM($P748:Q748)</f>
        <v>#VALUE!</v>
      </c>
      <c r="S748" s="446" t="e">
        <f>IF(OR($B748="",MIN(S$38,$D$19)&lt;MAX($P$708*($B748+IF($R$17="Distrato",$I$38-1,0)),IF(AND($L$711=0,$P$708=0),"",$L$711-1),IF($R$17="Distrato",$E748,0))),0,YEARFRAC(MAX($P$708*($B748+IF($R$17="Distrato",$I$38-1,0)),IF(AND($L$711=0,$P$708=0),"",$L$711-1),IF($R$17="Distrato",$E748,0)),MIN(S$38,$D$19),$P$20))-SUM($P748:R748)</f>
        <v>#VALUE!</v>
      </c>
      <c r="T748" s="446" t="e">
        <f>IF(OR($B748="",MIN(T$38,$D$19)&lt;MAX($P$708*($B748+IF($R$17="Distrato",$I$38-1,0)),IF(AND($L$711=0,$P$708=0),"",$L$711-1),IF($R$17="Distrato",$E748,0))),0,YEARFRAC(MAX($P$708*($B748+IF($R$17="Distrato",$I$38-1,0)),IF(AND($L$711=0,$P$708=0),"",$L$711-1),IF($R$17="Distrato",$E748,0)),MIN(T$38,$D$19),$P$20))-SUM($P748:S748)</f>
        <v>#VALUE!</v>
      </c>
      <c r="U748" s="446" t="e">
        <f>IF(OR($B748="",MIN(U$38,$D$19)&lt;MAX($P$708*($B748+IF($R$17="Distrato",$I$38-1,0)),IF(AND($L$711=0,$P$708=0),"",$L$711-1),IF($R$17="Distrato",$E748,0))),0,YEARFRAC(MAX($P$708*($B748+IF($R$17="Distrato",$I$38-1,0)),IF(AND($L$711=0,$P$708=0),"",$L$711-1),IF($R$17="Distrato",$E748,0)),MIN(U$38,$D$19),$P$20))-SUM($P748:T748)</f>
        <v>#VALUE!</v>
      </c>
      <c r="V748" s="446" t="e">
        <f>IF(OR($B748="",MIN(V$38,$D$19)&lt;MAX($P$708*($B748+IF($R$17="Distrato",$I$38-1,0)),IF(AND($L$711=0,$P$708=0),"",$L$711-1),IF($R$17="Distrato",$E748,0))),0,YEARFRAC(MAX($P$708*($B748+IF($R$17="Distrato",$I$38-1,0)),IF(AND($L$711=0,$P$708=0),"",$L$711-1),IF($R$17="Distrato",$E748,0)),MIN(V$38,$D$19),$P$20))-SUM($P748:U748)</f>
        <v>#VALUE!</v>
      </c>
      <c r="W748" s="446" t="e">
        <f>IF(OR($B748="",MIN(W$38,$D$19)&lt;MAX($P$708*($B748+IF($R$17="Distrato",$I$38-1,0)),IF(AND($L$711=0,$P$708=0),"",$L$711-1),IF($R$17="Distrato",$E748,0))),0,YEARFRAC(MAX($P$708*($B748+IF($R$17="Distrato",$I$38-1,0)),IF(AND($L$711=0,$P$708=0),"",$L$711-1),IF($R$17="Distrato",$E748,0)),MIN(W$38,$D$19),$P$20))-SUM($P748:V748)</f>
        <v>#VALUE!</v>
      </c>
      <c r="X748" s="446" t="e">
        <f>IF(OR($B748="",MIN(X$38,$D$19)&lt;MAX($P$708*($B748+IF($R$17="Distrato",$I$38-1,0)),IF(AND($L$711=0,$P$708=0),"",$L$711-1),IF($R$17="Distrato",$E748,0))),0,YEARFRAC(MAX($P$708*($B748+IF($R$17="Distrato",$I$38-1,0)),IF(AND($L$711=0,$P$708=0),"",$L$711-1),IF($R$17="Distrato",$E748,0)),MIN(X$38,$D$19),$P$20))-SUM($P748:W748)</f>
        <v>#VALUE!</v>
      </c>
      <c r="Y748" s="446" t="e">
        <f>IF(OR($B748="",MIN(Y$38,$D$19)&lt;MAX($P$708*($B748+IF($R$17="Distrato",$I$38-1,0)),IF(AND($L$711=0,$P$708=0),"",$L$711-1),IF($R$17="Distrato",$E748,0))),0,YEARFRAC(MAX($P$708*($B748+IF($R$17="Distrato",$I$38-1,0)),IF(AND($L$711=0,$P$708=0),"",$L$711-1),IF($R$17="Distrato",$E748,0)),MIN(Y$38,$D$19),$P$20))-SUM($P748:X748)</f>
        <v>#VALUE!</v>
      </c>
      <c r="Z748" s="446" t="e">
        <f>IF(OR($B748="",MIN(Z$38,$D$19)&lt;MAX($P$708*($B748+IF($R$17="Distrato",$I$38-1,0)),IF(AND($L$711=0,$P$708=0),"",$L$711-1),IF($R$17="Distrato",$E748,0))),0,YEARFRAC(MAX($P$708*($B748+IF($R$17="Distrato",$I$38-1,0)),IF(AND($L$711=0,$P$708=0),"",$L$711-1),IF($R$17="Distrato",$E748,0)),MIN(Z$38,$D$19),$P$20))-SUM($P748:Y748)</f>
        <v>#VALUE!</v>
      </c>
      <c r="AA748" s="446" t="e">
        <f>IF(OR($B748="",MIN(AA$38,$D$19)&lt;MAX($P$708*($B748+IF($R$17="Distrato",$I$38-1,0)),IF(AND($L$711=0,$P$708=0),"",$L$711-1),IF($R$17="Distrato",$E748,0))),0,YEARFRAC(MAX($P$708*($B748+IF($R$17="Distrato",$I$38-1,0)),IF(AND($L$711=0,$P$708=0),"",$L$711-1),IF($R$17="Distrato",$E748,0)),MIN(AA$38,$D$19),$P$20))-SUM($P748:Z748)</f>
        <v>#VALUE!</v>
      </c>
      <c r="AB748" s="446" t="e">
        <f>IF(OR($B748="",MIN(AB$38,$D$19)&lt;MAX($P$708*($B748+IF($R$17="Distrato",$I$38-1,0)),IF(AND($L$711=0,$P$708=0),"",$L$711-1),IF($R$17="Distrato",$E748,0))),0,YEARFRAC(MAX($P$708*($B748+IF($R$17="Distrato",$I$38-1,0)),IF(AND($L$711=0,$P$708=0),"",$L$711-1),IF($R$17="Distrato",$E748,0)),MIN(AB$38,$D$19),$P$20))-SUM($P748:AA748)</f>
        <v>#VALUE!</v>
      </c>
      <c r="AC748" s="446" t="e">
        <f>IF(OR($B748="",MIN(AC$38,$D$19)&lt;MAX($P$708*($B748+IF($R$17="Distrato",$I$38-1,0)),IF(AND($L$711=0,$P$708=0),"",$L$711-1),IF($R$17="Distrato",$E748,0))),0,YEARFRAC(MAX($P$708*($B748+IF($R$17="Distrato",$I$38-1,0)),IF(AND($L$711=0,$P$708=0),"",$L$711-1),IF($R$17="Distrato",$E748,0)),MIN(AC$38,$D$19),$P$20))-SUM($P748:AB748)</f>
        <v>#VALUE!</v>
      </c>
      <c r="AD748" s="446" t="e">
        <f>IF(OR($B748="",MIN(AD$38,$D$19)&lt;MAX($P$708*($B748+IF($R$17="Distrato",$I$38-1,0)),IF(AND($L$711=0,$P$708=0),"",$L$711-1),IF($R$17="Distrato",$E748,0))),0,YEARFRAC(MAX($P$708*($B748+IF($R$17="Distrato",$I$38-1,0)),IF(AND($L$711=0,$P$708=0),"",$L$711-1),IF($R$17="Distrato",$E748,0)),MIN(AD$38,$D$19),$P$20))-SUM($P748:AC748)</f>
        <v>#VALUE!</v>
      </c>
      <c r="AE748" s="446" t="e">
        <f>IF(OR($B748="",MIN(AE$38,$D$19)&lt;MAX($P$708*($B748+IF($R$17="Distrato",$I$38-1,0)),IF(AND($L$711=0,$P$708=0),"",$L$711-1),IF($R$17="Distrato",$E748,0))),0,YEARFRAC(MAX($P$708*($B748+IF($R$17="Distrato",$I$38-1,0)),IF(AND($L$711=0,$P$708=0),"",$L$711-1),IF($R$17="Distrato",$E748,0)),MIN(AE$38,$D$19),$P$20))-SUM($P748:AD748)</f>
        <v>#VALUE!</v>
      </c>
      <c r="AF748" s="446" t="e">
        <f>IF(OR($B748="",MIN(AF$38,$D$19)&lt;MAX($P$708*($B748+IF($R$17="Distrato",$I$38-1,0)),IF(AND($L$711=0,$P$708=0),"",$L$711-1),IF($R$17="Distrato",$E748,0))),0,YEARFRAC(MAX($P$708*($B748+IF($R$17="Distrato",$I$38-1,0)),IF(AND($L$711=0,$P$708=0),"",$L$711-1),IF($R$17="Distrato",$E748,0)),MIN(AF$38,$D$19),$P$20))-SUM($P748:AE748)</f>
        <v>#VALUE!</v>
      </c>
      <c r="AG748" s="446" t="e">
        <f>IF(OR($B748="",MIN(AG$38,$D$19)&lt;MAX($P$708*($B748+IF($R$17="Distrato",$I$38-1,0)),IF(AND($L$711=0,$P$708=0),"",$L$711-1),IF($R$17="Distrato",$E748,0))),0,YEARFRAC(MAX($P$708*($B748+IF($R$17="Distrato",$I$38-1,0)),IF(AND($L$711=0,$P$708=0),"",$L$711-1),IF($R$17="Distrato",$E748,0)),MIN(AG$38,$D$19),$P$20))-SUM($P748:AF748)</f>
        <v>#VALUE!</v>
      </c>
      <c r="AH748" s="446" t="e">
        <f>IF(OR($B748="",MIN(AH$38,$D$19)&lt;MAX($P$708*($B748+IF($R$17="Distrato",$I$38-1,0)),IF(AND($L$711=0,$P$708=0),"",$L$711-1),IF($R$17="Distrato",$E748,0))),0,YEARFRAC(MAX($P$708*($B748+IF($R$17="Distrato",$I$38-1,0)),IF(AND($L$711=0,$P$708=0),"",$L$711-1),IF($R$17="Distrato",$E748,0)),MIN(AH$38,$D$19),$P$20))-SUM($P748:AG748)</f>
        <v>#VALUE!</v>
      </c>
      <c r="AI748" s="446" t="e">
        <f>IF(OR($B748="",MIN(AI$38,$D$19)&lt;MAX($P$708*($B748+IF($R$17="Distrato",$I$38-1,0)),IF(AND($L$711=0,$P$708=0),"",$L$711-1),IF($R$17="Distrato",$E748,0))),0,YEARFRAC(MAX($P$708*($B748+IF($R$17="Distrato",$I$38-1,0)),IF(AND($L$711=0,$P$708=0),"",$L$711-1),IF($R$17="Distrato",$E748,0)),MIN(AI$38,$D$19),$P$20))-SUM($P748:AH748)</f>
        <v>#VALUE!</v>
      </c>
      <c r="AJ748" s="446" t="e">
        <f>IF(OR($B748="",MIN(AJ$38,$D$19)&lt;MAX($P$708*($B748+IF($R$17="Distrato",$I$38-1,0)),IF(AND($L$711=0,$P$708=0),"",$L$711-1),IF($R$17="Distrato",$E748,0))),0,YEARFRAC(MAX($P$708*($B748+IF($R$17="Distrato",$I$38-1,0)),IF(AND($L$711=0,$P$708=0),"",$L$711-1),IF($R$17="Distrato",$E748,0)),MIN(AJ$38,$D$19),$P$20))-SUM($P748:AI748)</f>
        <v>#VALUE!</v>
      </c>
      <c r="AK748" s="446" t="e">
        <f>IF(OR($B748="",MIN(AK$38,$D$19)&lt;MAX($P$708*($B748+IF($R$17="Distrato",$I$38-1,0)),IF(AND($L$711=0,$P$708=0),"",$L$711-1),IF($R$17="Distrato",$E748,0))),0,YEARFRAC(MAX($P$708*($B748+IF($R$17="Distrato",$I$38-1,0)),IF(AND($L$711=0,$P$708=0),"",$L$711-1),IF($R$17="Distrato",$E748,0)),MIN(AK$38,$D$19),$P$20))-SUM($P748:AJ748)</f>
        <v>#VALUE!</v>
      </c>
      <c r="AL748" s="446" t="e">
        <f>IF(OR($B748="",MIN(AL$38,$D$19)&lt;MAX($P$708*($B748+IF($R$17="Distrato",$I$38-1,0)),IF(AND($L$711=0,$P$708=0),"",$L$711-1),IF($R$17="Distrato",$E748,0))),0,YEARFRAC(MAX($P$708*($B748+IF($R$17="Distrato",$I$38-1,0)),IF(AND($L$711=0,$P$708=0),"",$L$711-1),IF($R$17="Distrato",$E748,0)),MIN(AL$38,$D$19),$P$20))-SUM($P748:AK748)</f>
        <v>#VALUE!</v>
      </c>
      <c r="AM748" s="446" t="e">
        <f>IF(OR($B748="",MIN(AM$38,$D$19)&lt;MAX($P$708*($B748+IF($R$17="Distrato",$I$38-1,0)),IF(AND($L$711=0,$P$708=0),"",$L$711-1),IF($R$17="Distrato",$E748,0))),0,YEARFRAC(MAX($P$708*($B748+IF($R$17="Distrato",$I$38-1,0)),IF(AND($L$711=0,$P$708=0),"",$L$711-1),IF($R$17="Distrato",$E748,0)),MIN(AM$38,$D$19),$P$20))-SUM($P748:AL748)</f>
        <v>#VALUE!</v>
      </c>
      <c r="AN748" s="446" t="e">
        <f>IF(OR($B748="",MIN(AN$38,$D$19)&lt;MAX($P$708*($B748+IF($R$17="Distrato",$I$38-1,0)),IF(AND($L$711=0,$P$708=0),"",$L$711-1),IF($R$17="Distrato",$E748,0))),0,YEARFRAC(MAX($P$708*($B748+IF($R$17="Distrato",$I$38-1,0)),IF(AND($L$711=0,$P$708=0),"",$L$711-1),IF($R$17="Distrato",$E748,0)),MIN(AN$38,$D$19),$P$20))-SUM($P748:AM748)</f>
        <v>#VALUE!</v>
      </c>
      <c r="AO748" s="446" t="e">
        <f>IF(OR($B748="",MIN(AO$38,$D$19)&lt;MAX($P$708*($B748+IF($R$17="Distrato",$I$38-1,0)),IF(AND($L$711=0,$P$708=0),"",$L$711-1),IF($R$17="Distrato",$E748,0))),0,YEARFRAC(MAX($P$708*($B748+IF($R$17="Distrato",$I$38-1,0)),IF(AND($L$711=0,$P$708=0),"",$L$711-1),IF($R$17="Distrato",$E748,0)),MIN(AO$38,$D$19),$P$20))-SUM($P748:AN748)</f>
        <v>#VALUE!</v>
      </c>
      <c r="AP748" s="446" t="e">
        <f>IF(OR($B748="",MIN(AP$38,$D$19)&lt;MAX($P$708*($B748+IF($R$17="Distrato",$I$38-1,0)),IF(AND($L$711=0,$P$708=0),"",$L$711-1),IF($R$17="Distrato",$E748,0))),0,YEARFRAC(MAX($P$708*($B748+IF($R$17="Distrato",$I$38-1,0)),IF(AND($L$711=0,$P$708=0),"",$L$711-1),IF($R$17="Distrato",$E748,0)),MIN(AP$38,$D$19),$P$20))-SUM($P748:AO748)</f>
        <v>#VALUE!</v>
      </c>
      <c r="AQ748" s="446" t="e">
        <f>IF(OR($B748="",MIN(AQ$38,$D$19)&lt;MAX($P$708*($B748+IF($R$17="Distrato",$I$38-1,0)),IF(AND($L$711=0,$P$708=0),"",$L$711-1),IF($R$17="Distrato",$E748,0))),0,YEARFRAC(MAX($P$708*($B748+IF($R$17="Distrato",$I$38-1,0)),IF(AND($L$711=0,$P$708=0),"",$L$711-1),IF($R$17="Distrato",$E748,0)),MIN(AQ$38,$D$19),$P$20))-SUM($P748:AP748)</f>
        <v>#VALUE!</v>
      </c>
      <c r="AR748" s="446" t="e">
        <f>IF(OR($B748="",MIN(AR$38,$D$19)&lt;MAX($P$708*($B748+IF($R$17="Distrato",$I$38-1,0)),IF(AND($L$711=0,$P$708=0),"",$L$711-1),IF($R$17="Distrato",$E748,0))),0,YEARFRAC(MAX($P$708*($B748+IF($R$17="Distrato",$I$38-1,0)),IF(AND($L$711=0,$P$708=0),"",$L$711-1),IF($R$17="Distrato",$E748,0)),MIN(AR$38,$D$19),$P$20))-SUM($P748:AQ748)</f>
        <v>#VALUE!</v>
      </c>
      <c r="AS748" s="446" t="e">
        <f>IF(OR($B748="",MIN(AS$38,$D$19)&lt;MAX($P$708*($B748+IF($R$17="Distrato",$I$38-1,0)),IF(AND($L$711=0,$P$708=0),"",$L$711-1),IF($R$17="Distrato",$E748,0))),0,YEARFRAC(MAX($P$708*($B748+IF($R$17="Distrato",$I$38-1,0)),IF(AND($L$711=0,$P$708=0),"",$L$711-1),IF($R$17="Distrato",$E748,0)),MIN(AS$38,$D$19),$P$20))-SUM($P748:AR748)</f>
        <v>#VALUE!</v>
      </c>
      <c r="AT748" s="446" t="e">
        <f>IF(OR($B748="",MIN(AT$38,$D$19)&lt;MAX($P$708*($B748+IF($R$17="Distrato",$I$38-1,0)),IF(AND($L$711=0,$P$708=0),"",$L$711-1),IF($R$17="Distrato",$E748,0))),0,YEARFRAC(MAX($P$708*($B748+IF($R$17="Distrato",$I$38-1,0)),IF(AND($L$711=0,$P$708=0),"",$L$711-1),IF($R$17="Distrato",$E748,0)),MIN(AT$38,$D$19),$P$20))-SUM($P748:AS748)</f>
        <v>#VALUE!</v>
      </c>
      <c r="AU748" s="446" t="e">
        <f>IF(OR($B748="",MIN(AU$38,$D$19)&lt;MAX($P$708*($B748+IF($R$17="Distrato",$I$38-1,0)),IF(AND($L$711=0,$P$708=0),"",$L$711-1),IF($R$17="Distrato",$E748,0))),0,YEARFRAC(MAX($P$708*($B748+IF($R$17="Distrato",$I$38-1,0)),IF(AND($L$711=0,$P$708=0),"",$L$711-1),IF($R$17="Distrato",$E748,0)),MIN(AU$38,$D$19),$P$20))-SUM($P748:AT748)</f>
        <v>#VALUE!</v>
      </c>
      <c r="AV748" s="446" t="e">
        <f>IF(OR($B748="",MIN(AV$38,$D$19)&lt;MAX($P$708*($B748+IF($R$17="Distrato",$I$38-1,0)),IF(AND($L$711=0,$P$708=0),"",$L$711-1),IF($R$17="Distrato",$E748,0))),0,YEARFRAC(MAX($P$708*($B748+IF($R$17="Distrato",$I$38-1,0)),IF(AND($L$711=0,$P$708=0),"",$L$711-1),IF($R$17="Distrato",$E748,0)),MIN(AV$38,$D$19),$P$20))-SUM($P748:AU748)</f>
        <v>#VALUE!</v>
      </c>
      <c r="AW748" s="446" t="e">
        <f>IF(OR($B748="",MIN(AW$38,$D$19)&lt;MAX($P$708*($B748+IF($R$17="Distrato",$I$38-1,0)),IF(AND($L$711=0,$P$708=0),"",$L$711-1),IF($R$17="Distrato",$E748,0))),0,YEARFRAC(MAX($P$708*($B748+IF($R$17="Distrato",$I$38-1,0)),IF(AND($L$711=0,$P$708=0),"",$L$711-1),IF($R$17="Distrato",$E748,0)),MIN(AW$38,$D$19),$P$20))-SUM($P748:AV748)</f>
        <v>#VALUE!</v>
      </c>
      <c r="AX748" s="446" t="e">
        <f>IF(OR($B748="",MIN(AX$38,$D$19)&lt;MAX($P$708*($B748+IF($R$17="Distrato",$I$38-1,0)),IF(AND($L$711=0,$P$708=0),"",$L$711-1),IF($R$17="Distrato",$E748,0))),0,YEARFRAC(MAX($P$708*($B748+IF($R$17="Distrato",$I$38-1,0)),IF(AND($L$711=0,$P$708=0),"",$L$711-1),IF($R$17="Distrato",$E748,0)),MIN(AX$38,$D$19),$P$20))-SUM($P748:AW748)</f>
        <v>#VALUE!</v>
      </c>
      <c r="AY748" s="446" t="e">
        <f>IF(OR($B748="",MIN(AY$38,$D$19)&lt;MAX($P$708*($B748+IF($R$17="Distrato",$I$38-1,0)),IF(AND($L$711=0,$P$708=0),"",$L$711-1),IF($R$17="Distrato",$E748,0))),0,YEARFRAC(MAX($P$708*($B748+IF($R$17="Distrato",$I$38-1,0)),IF(AND($L$711=0,$P$708=0),"",$L$711-1),IF($R$17="Distrato",$E748,0)),MIN(AY$38,$D$19),$P$20))-SUM($P748:AX748)</f>
        <v>#VALUE!</v>
      </c>
      <c r="AZ748" s="446" t="e">
        <f>IF(OR($B748="",MIN(AZ$38,$D$19)&lt;MAX($P$708*($B748+IF($R$17="Distrato",$I$38-1,0)),IF(AND($L$711=0,$P$708=0),"",$L$711-1),IF($R$17="Distrato",$E748,0))),0,YEARFRAC(MAX($P$708*($B748+IF($R$17="Distrato",$I$38-1,0)),IF(AND($L$711=0,$P$708=0),"",$L$711-1),IF($R$17="Distrato",$E748,0)),MIN(AZ$38,$D$19),$P$20))-SUM($P748:AY748)</f>
        <v>#VALUE!</v>
      </c>
      <c r="BA748" s="446" t="e">
        <f>IF(OR($B748="",MIN(BA$38,$D$19)&lt;MAX($P$708*($B748+IF($R$17="Distrato",$I$38-1,0)),IF(AND($L$711=0,$P$708=0),"",$L$711-1),IF($R$17="Distrato",$E748,0))),0,YEARFRAC(MAX($P$708*($B748+IF($R$17="Distrato",$I$38-1,0)),IF(AND($L$711=0,$P$708=0),"",$L$711-1),IF($R$17="Distrato",$E748,0)),MIN(BA$38,$D$19),$P$20))-SUM($P748:AZ748)</f>
        <v>#VALUE!</v>
      </c>
      <c r="BB748" s="447"/>
    </row>
    <row r="749" spans="1:54" s="446" customFormat="1" ht="11.25" hidden="1" customHeight="1" x14ac:dyDescent="0.2">
      <c r="A749" s="235"/>
      <c r="B749" s="236"/>
      <c r="C749" s="29" t="str">
        <f>IF(B749="","",IF($L$709=$BL$25,VLOOKUP(DATE(YEAR($D$19),MONTH($D$19)-1,1),ÍNDICES!$A:$DE,HLOOKUP($BL$25,ÍNDICES!$B$3:$T$4,2)+11)-VLOOKUP(B749,ÍNDICES!$A:$DE,HLOOKUP($BL$25,ÍNDICES!$B$3:$T$4,2)+11)+1%,IF(C$712=$W$26,$J$35,IF(ISERROR(IF(B749&gt;$D$19,1,VLOOKUP(DATE(YEAR(B749),MONTH(B749)+IF($C$709=$S$23,1,0),1),ÍNDICES!$A:$DE,$Z$709+1))),"",IF(B749&gt;$D$19,1,VLOOKUP(DATE(YEAR(B749),MONTH(B749)+IF($C$709=$S$23,1,0),1),ÍNDICES!$A:$DE,$Z$709+1))))))</f>
        <v/>
      </c>
      <c r="D749" s="155"/>
      <c r="E749" s="88"/>
      <c r="F749" s="88"/>
      <c r="G749" s="88"/>
      <c r="H749" s="118"/>
      <c r="I749" s="182">
        <f t="shared" si="115"/>
        <v>0</v>
      </c>
      <c r="J749" s="20">
        <f t="shared" ca="1" si="116"/>
        <v>0</v>
      </c>
      <c r="K749" s="5">
        <f t="shared" ca="1" si="117"/>
        <v>0</v>
      </c>
      <c r="L749" s="61">
        <f t="shared" ca="1" si="118"/>
        <v>0</v>
      </c>
      <c r="M749" s="64">
        <f t="shared" si="119"/>
        <v>0</v>
      </c>
      <c r="N749" s="151"/>
      <c r="O749" s="5">
        <f t="shared" ca="1" si="120"/>
        <v>0</v>
      </c>
      <c r="P749" s="446" t="e">
        <f t="shared" si="121"/>
        <v>#VALUE!</v>
      </c>
      <c r="Q749" s="446" t="e">
        <f>IF(OR($B749="",MIN(Q$38,$D$19)&lt;MAX($P$708*($B749+IF($R$17="Distrato",$I$38-1,0)),IF(AND($L$711=0,$P$708=0),"",$L$711-1),IF($R$17="Distrato",$E749,0))),0,YEARFRAC(MAX($P$708*($B749+IF($R$17="Distrato",$I$38-1,0)),IF(AND($L$711=0,$P$708=0),"",$L$711-1),IF($R$17="Distrato",$E749,0)),MIN(Q$38,$D$19),$P$20))-SUM($P749:P749)</f>
        <v>#VALUE!</v>
      </c>
      <c r="R749" s="446" t="e">
        <f>IF(OR($B749="",MIN(R$38,$D$19)&lt;MAX($P$708*($B749+IF($R$17="Distrato",$I$38-1,0)),IF(AND($L$711=0,$P$708=0),"",$L$711-1),IF($R$17="Distrato",$E749,0))),0,YEARFRAC(MAX($P$708*($B749+IF($R$17="Distrato",$I$38-1,0)),IF(AND($L$711=0,$P$708=0),"",$L$711-1),IF($R$17="Distrato",$E749,0)),MIN(R$38,$D$19),$P$20))-SUM($P749:Q749)</f>
        <v>#VALUE!</v>
      </c>
      <c r="S749" s="446" t="e">
        <f>IF(OR($B749="",MIN(S$38,$D$19)&lt;MAX($P$708*($B749+IF($R$17="Distrato",$I$38-1,0)),IF(AND($L$711=0,$P$708=0),"",$L$711-1),IF($R$17="Distrato",$E749,0))),0,YEARFRAC(MAX($P$708*($B749+IF($R$17="Distrato",$I$38-1,0)),IF(AND($L$711=0,$P$708=0),"",$L$711-1),IF($R$17="Distrato",$E749,0)),MIN(S$38,$D$19),$P$20))-SUM($P749:R749)</f>
        <v>#VALUE!</v>
      </c>
      <c r="T749" s="446" t="e">
        <f>IF(OR($B749="",MIN(T$38,$D$19)&lt;MAX($P$708*($B749+IF($R$17="Distrato",$I$38-1,0)),IF(AND($L$711=0,$P$708=0),"",$L$711-1),IF($R$17="Distrato",$E749,0))),0,YEARFRAC(MAX($P$708*($B749+IF($R$17="Distrato",$I$38-1,0)),IF(AND($L$711=0,$P$708=0),"",$L$711-1),IF($R$17="Distrato",$E749,0)),MIN(T$38,$D$19),$P$20))-SUM($P749:S749)</f>
        <v>#VALUE!</v>
      </c>
      <c r="U749" s="446" t="e">
        <f>IF(OR($B749="",MIN(U$38,$D$19)&lt;MAX($P$708*($B749+IF($R$17="Distrato",$I$38-1,0)),IF(AND($L$711=0,$P$708=0),"",$L$711-1),IF($R$17="Distrato",$E749,0))),0,YEARFRAC(MAX($P$708*($B749+IF($R$17="Distrato",$I$38-1,0)),IF(AND($L$711=0,$P$708=0),"",$L$711-1),IF($R$17="Distrato",$E749,0)),MIN(U$38,$D$19),$P$20))-SUM($P749:T749)</f>
        <v>#VALUE!</v>
      </c>
      <c r="V749" s="446" t="e">
        <f>IF(OR($B749="",MIN(V$38,$D$19)&lt;MAX($P$708*($B749+IF($R$17="Distrato",$I$38-1,0)),IF(AND($L$711=0,$P$708=0),"",$L$711-1),IF($R$17="Distrato",$E749,0))),0,YEARFRAC(MAX($P$708*($B749+IF($R$17="Distrato",$I$38-1,0)),IF(AND($L$711=0,$P$708=0),"",$L$711-1),IF($R$17="Distrato",$E749,0)),MIN(V$38,$D$19),$P$20))-SUM($P749:U749)</f>
        <v>#VALUE!</v>
      </c>
      <c r="W749" s="446" t="e">
        <f>IF(OR($B749="",MIN(W$38,$D$19)&lt;MAX($P$708*($B749+IF($R$17="Distrato",$I$38-1,0)),IF(AND($L$711=0,$P$708=0),"",$L$711-1),IF($R$17="Distrato",$E749,0))),0,YEARFRAC(MAX($P$708*($B749+IF($R$17="Distrato",$I$38-1,0)),IF(AND($L$711=0,$P$708=0),"",$L$711-1),IF($R$17="Distrato",$E749,0)),MIN(W$38,$D$19),$P$20))-SUM($P749:V749)</f>
        <v>#VALUE!</v>
      </c>
      <c r="X749" s="446" t="e">
        <f>IF(OR($B749="",MIN(X$38,$D$19)&lt;MAX($P$708*($B749+IF($R$17="Distrato",$I$38-1,0)),IF(AND($L$711=0,$P$708=0),"",$L$711-1),IF($R$17="Distrato",$E749,0))),0,YEARFRAC(MAX($P$708*($B749+IF($R$17="Distrato",$I$38-1,0)),IF(AND($L$711=0,$P$708=0),"",$L$711-1),IF($R$17="Distrato",$E749,0)),MIN(X$38,$D$19),$P$20))-SUM($P749:W749)</f>
        <v>#VALUE!</v>
      </c>
      <c r="Y749" s="446" t="e">
        <f>IF(OR($B749="",MIN(Y$38,$D$19)&lt;MAX($P$708*($B749+IF($R$17="Distrato",$I$38-1,0)),IF(AND($L$711=0,$P$708=0),"",$L$711-1),IF($R$17="Distrato",$E749,0))),0,YEARFRAC(MAX($P$708*($B749+IF($R$17="Distrato",$I$38-1,0)),IF(AND($L$711=0,$P$708=0),"",$L$711-1),IF($R$17="Distrato",$E749,0)),MIN(Y$38,$D$19),$P$20))-SUM($P749:X749)</f>
        <v>#VALUE!</v>
      </c>
      <c r="Z749" s="446" t="e">
        <f>IF(OR($B749="",MIN(Z$38,$D$19)&lt;MAX($P$708*($B749+IF($R$17="Distrato",$I$38-1,0)),IF(AND($L$711=0,$P$708=0),"",$L$711-1),IF($R$17="Distrato",$E749,0))),0,YEARFRAC(MAX($P$708*($B749+IF($R$17="Distrato",$I$38-1,0)),IF(AND($L$711=0,$P$708=0),"",$L$711-1),IF($R$17="Distrato",$E749,0)),MIN(Z$38,$D$19),$P$20))-SUM($P749:Y749)</f>
        <v>#VALUE!</v>
      </c>
      <c r="AA749" s="446" t="e">
        <f>IF(OR($B749="",MIN(AA$38,$D$19)&lt;MAX($P$708*($B749+IF($R$17="Distrato",$I$38-1,0)),IF(AND($L$711=0,$P$708=0),"",$L$711-1),IF($R$17="Distrato",$E749,0))),0,YEARFRAC(MAX($P$708*($B749+IF($R$17="Distrato",$I$38-1,0)),IF(AND($L$711=0,$P$708=0),"",$L$711-1),IF($R$17="Distrato",$E749,0)),MIN(AA$38,$D$19),$P$20))-SUM($P749:Z749)</f>
        <v>#VALUE!</v>
      </c>
      <c r="AB749" s="446" t="e">
        <f>IF(OR($B749="",MIN(AB$38,$D$19)&lt;MAX($P$708*($B749+IF($R$17="Distrato",$I$38-1,0)),IF(AND($L$711=0,$P$708=0),"",$L$711-1),IF($R$17="Distrato",$E749,0))),0,YEARFRAC(MAX($P$708*($B749+IF($R$17="Distrato",$I$38-1,0)),IF(AND($L$711=0,$P$708=0),"",$L$711-1),IF($R$17="Distrato",$E749,0)),MIN(AB$38,$D$19),$P$20))-SUM($P749:AA749)</f>
        <v>#VALUE!</v>
      </c>
      <c r="AC749" s="446" t="e">
        <f>IF(OR($B749="",MIN(AC$38,$D$19)&lt;MAX($P$708*($B749+IF($R$17="Distrato",$I$38-1,0)),IF(AND($L$711=0,$P$708=0),"",$L$711-1),IF($R$17="Distrato",$E749,0))),0,YEARFRAC(MAX($P$708*($B749+IF($R$17="Distrato",$I$38-1,0)),IF(AND($L$711=0,$P$708=0),"",$L$711-1),IF($R$17="Distrato",$E749,0)),MIN(AC$38,$D$19),$P$20))-SUM($P749:AB749)</f>
        <v>#VALUE!</v>
      </c>
      <c r="AD749" s="446" t="e">
        <f>IF(OR($B749="",MIN(AD$38,$D$19)&lt;MAX($P$708*($B749+IF($R$17="Distrato",$I$38-1,0)),IF(AND($L$711=0,$P$708=0),"",$L$711-1),IF($R$17="Distrato",$E749,0))),0,YEARFRAC(MAX($P$708*($B749+IF($R$17="Distrato",$I$38-1,0)),IF(AND($L$711=0,$P$708=0),"",$L$711-1),IF($R$17="Distrato",$E749,0)),MIN(AD$38,$D$19),$P$20))-SUM($P749:AC749)</f>
        <v>#VALUE!</v>
      </c>
      <c r="AE749" s="446" t="e">
        <f>IF(OR($B749="",MIN(AE$38,$D$19)&lt;MAX($P$708*($B749+IF($R$17="Distrato",$I$38-1,0)),IF(AND($L$711=0,$P$708=0),"",$L$711-1),IF($R$17="Distrato",$E749,0))),0,YEARFRAC(MAX($P$708*($B749+IF($R$17="Distrato",$I$38-1,0)),IF(AND($L$711=0,$P$708=0),"",$L$711-1),IF($R$17="Distrato",$E749,0)),MIN(AE$38,$D$19),$P$20))-SUM($P749:AD749)</f>
        <v>#VALUE!</v>
      </c>
      <c r="AF749" s="446" t="e">
        <f>IF(OR($B749="",MIN(AF$38,$D$19)&lt;MAX($P$708*($B749+IF($R$17="Distrato",$I$38-1,0)),IF(AND($L$711=0,$P$708=0),"",$L$711-1),IF($R$17="Distrato",$E749,0))),0,YEARFRAC(MAX($P$708*($B749+IF($R$17="Distrato",$I$38-1,0)),IF(AND($L$711=0,$P$708=0),"",$L$711-1),IF($R$17="Distrato",$E749,0)),MIN(AF$38,$D$19),$P$20))-SUM($P749:AE749)</f>
        <v>#VALUE!</v>
      </c>
      <c r="AG749" s="446" t="e">
        <f>IF(OR($B749="",MIN(AG$38,$D$19)&lt;MAX($P$708*($B749+IF($R$17="Distrato",$I$38-1,0)),IF(AND($L$711=0,$P$708=0),"",$L$711-1),IF($R$17="Distrato",$E749,0))),0,YEARFRAC(MAX($P$708*($B749+IF($R$17="Distrato",$I$38-1,0)),IF(AND($L$711=0,$P$708=0),"",$L$711-1),IF($R$17="Distrato",$E749,0)),MIN(AG$38,$D$19),$P$20))-SUM($P749:AF749)</f>
        <v>#VALUE!</v>
      </c>
      <c r="AH749" s="446" t="e">
        <f>IF(OR($B749="",MIN(AH$38,$D$19)&lt;MAX($P$708*($B749+IF($R$17="Distrato",$I$38-1,0)),IF(AND($L$711=0,$P$708=0),"",$L$711-1),IF($R$17="Distrato",$E749,0))),0,YEARFRAC(MAX($P$708*($B749+IF($R$17="Distrato",$I$38-1,0)),IF(AND($L$711=0,$P$708=0),"",$L$711-1),IF($R$17="Distrato",$E749,0)),MIN(AH$38,$D$19),$P$20))-SUM($P749:AG749)</f>
        <v>#VALUE!</v>
      </c>
      <c r="AI749" s="446" t="e">
        <f>IF(OR($B749="",MIN(AI$38,$D$19)&lt;MAX($P$708*($B749+IF($R$17="Distrato",$I$38-1,0)),IF(AND($L$711=0,$P$708=0),"",$L$711-1),IF($R$17="Distrato",$E749,0))),0,YEARFRAC(MAX($P$708*($B749+IF($R$17="Distrato",$I$38-1,0)),IF(AND($L$711=0,$P$708=0),"",$L$711-1),IF($R$17="Distrato",$E749,0)),MIN(AI$38,$D$19),$P$20))-SUM($P749:AH749)</f>
        <v>#VALUE!</v>
      </c>
      <c r="AJ749" s="446" t="e">
        <f>IF(OR($B749="",MIN(AJ$38,$D$19)&lt;MAX($P$708*($B749+IF($R$17="Distrato",$I$38-1,0)),IF(AND($L$711=0,$P$708=0),"",$L$711-1),IF($R$17="Distrato",$E749,0))),0,YEARFRAC(MAX($P$708*($B749+IF($R$17="Distrato",$I$38-1,0)),IF(AND($L$711=0,$P$708=0),"",$L$711-1),IF($R$17="Distrato",$E749,0)),MIN(AJ$38,$D$19),$P$20))-SUM($P749:AI749)</f>
        <v>#VALUE!</v>
      </c>
      <c r="AK749" s="446" t="e">
        <f>IF(OR($B749="",MIN(AK$38,$D$19)&lt;MAX($P$708*($B749+IF($R$17="Distrato",$I$38-1,0)),IF(AND($L$711=0,$P$708=0),"",$L$711-1),IF($R$17="Distrato",$E749,0))),0,YEARFRAC(MAX($P$708*($B749+IF($R$17="Distrato",$I$38-1,0)),IF(AND($L$711=0,$P$708=0),"",$L$711-1),IF($R$17="Distrato",$E749,0)),MIN(AK$38,$D$19),$P$20))-SUM($P749:AJ749)</f>
        <v>#VALUE!</v>
      </c>
      <c r="AL749" s="446" t="e">
        <f>IF(OR($B749="",MIN(AL$38,$D$19)&lt;MAX($P$708*($B749+IF($R$17="Distrato",$I$38-1,0)),IF(AND($L$711=0,$P$708=0),"",$L$711-1),IF($R$17="Distrato",$E749,0))),0,YEARFRAC(MAX($P$708*($B749+IF($R$17="Distrato",$I$38-1,0)),IF(AND($L$711=0,$P$708=0),"",$L$711-1),IF($R$17="Distrato",$E749,0)),MIN(AL$38,$D$19),$P$20))-SUM($P749:AK749)</f>
        <v>#VALUE!</v>
      </c>
      <c r="AM749" s="446" t="e">
        <f>IF(OR($B749="",MIN(AM$38,$D$19)&lt;MAX($P$708*($B749+IF($R$17="Distrato",$I$38-1,0)),IF(AND($L$711=0,$P$708=0),"",$L$711-1),IF($R$17="Distrato",$E749,0))),0,YEARFRAC(MAX($P$708*($B749+IF($R$17="Distrato",$I$38-1,0)),IF(AND($L$711=0,$P$708=0),"",$L$711-1),IF($R$17="Distrato",$E749,0)),MIN(AM$38,$D$19),$P$20))-SUM($P749:AL749)</f>
        <v>#VALUE!</v>
      </c>
      <c r="AN749" s="446" t="e">
        <f>IF(OR($B749="",MIN(AN$38,$D$19)&lt;MAX($P$708*($B749+IF($R$17="Distrato",$I$38-1,0)),IF(AND($L$711=0,$P$708=0),"",$L$711-1),IF($R$17="Distrato",$E749,0))),0,YEARFRAC(MAX($P$708*($B749+IF($R$17="Distrato",$I$38-1,0)),IF(AND($L$711=0,$P$708=0),"",$L$711-1),IF($R$17="Distrato",$E749,0)),MIN(AN$38,$D$19),$P$20))-SUM($P749:AM749)</f>
        <v>#VALUE!</v>
      </c>
      <c r="AO749" s="446" t="e">
        <f>IF(OR($B749="",MIN(AO$38,$D$19)&lt;MAX($P$708*($B749+IF($R$17="Distrato",$I$38-1,0)),IF(AND($L$711=0,$P$708=0),"",$L$711-1),IF($R$17="Distrato",$E749,0))),0,YEARFRAC(MAX($P$708*($B749+IF($R$17="Distrato",$I$38-1,0)),IF(AND($L$711=0,$P$708=0),"",$L$711-1),IF($R$17="Distrato",$E749,0)),MIN(AO$38,$D$19),$P$20))-SUM($P749:AN749)</f>
        <v>#VALUE!</v>
      </c>
      <c r="AP749" s="446" t="e">
        <f>IF(OR($B749="",MIN(AP$38,$D$19)&lt;MAX($P$708*($B749+IF($R$17="Distrato",$I$38-1,0)),IF(AND($L$711=0,$P$708=0),"",$L$711-1),IF($R$17="Distrato",$E749,0))),0,YEARFRAC(MAX($P$708*($B749+IF($R$17="Distrato",$I$38-1,0)),IF(AND($L$711=0,$P$708=0),"",$L$711-1),IF($R$17="Distrato",$E749,0)),MIN(AP$38,$D$19),$P$20))-SUM($P749:AO749)</f>
        <v>#VALUE!</v>
      </c>
      <c r="AQ749" s="446" t="e">
        <f>IF(OR($B749="",MIN(AQ$38,$D$19)&lt;MAX($P$708*($B749+IF($R$17="Distrato",$I$38-1,0)),IF(AND($L$711=0,$P$708=0),"",$L$711-1),IF($R$17="Distrato",$E749,0))),0,YEARFRAC(MAX($P$708*($B749+IF($R$17="Distrato",$I$38-1,0)),IF(AND($L$711=0,$P$708=0),"",$L$711-1),IF($R$17="Distrato",$E749,0)),MIN(AQ$38,$D$19),$P$20))-SUM($P749:AP749)</f>
        <v>#VALUE!</v>
      </c>
      <c r="AR749" s="446" t="e">
        <f>IF(OR($B749="",MIN(AR$38,$D$19)&lt;MAX($P$708*($B749+IF($R$17="Distrato",$I$38-1,0)),IF(AND($L$711=0,$P$708=0),"",$L$711-1),IF($R$17="Distrato",$E749,0))),0,YEARFRAC(MAX($P$708*($B749+IF($R$17="Distrato",$I$38-1,0)),IF(AND($L$711=0,$P$708=0),"",$L$711-1),IF($R$17="Distrato",$E749,0)),MIN(AR$38,$D$19),$P$20))-SUM($P749:AQ749)</f>
        <v>#VALUE!</v>
      </c>
      <c r="AS749" s="446" t="e">
        <f>IF(OR($B749="",MIN(AS$38,$D$19)&lt;MAX($P$708*($B749+IF($R$17="Distrato",$I$38-1,0)),IF(AND($L$711=0,$P$708=0),"",$L$711-1),IF($R$17="Distrato",$E749,0))),0,YEARFRAC(MAX($P$708*($B749+IF($R$17="Distrato",$I$38-1,0)),IF(AND($L$711=0,$P$708=0),"",$L$711-1),IF($R$17="Distrato",$E749,0)),MIN(AS$38,$D$19),$P$20))-SUM($P749:AR749)</f>
        <v>#VALUE!</v>
      </c>
      <c r="AT749" s="446" t="e">
        <f>IF(OR($B749="",MIN(AT$38,$D$19)&lt;MAX($P$708*($B749+IF($R$17="Distrato",$I$38-1,0)),IF(AND($L$711=0,$P$708=0),"",$L$711-1),IF($R$17="Distrato",$E749,0))),0,YEARFRAC(MAX($P$708*($B749+IF($R$17="Distrato",$I$38-1,0)),IF(AND($L$711=0,$P$708=0),"",$L$711-1),IF($R$17="Distrato",$E749,0)),MIN(AT$38,$D$19),$P$20))-SUM($P749:AS749)</f>
        <v>#VALUE!</v>
      </c>
      <c r="AU749" s="446" t="e">
        <f>IF(OR($B749="",MIN(AU$38,$D$19)&lt;MAX($P$708*($B749+IF($R$17="Distrato",$I$38-1,0)),IF(AND($L$711=0,$P$708=0),"",$L$711-1),IF($R$17="Distrato",$E749,0))),0,YEARFRAC(MAX($P$708*($B749+IF($R$17="Distrato",$I$38-1,0)),IF(AND($L$711=0,$P$708=0),"",$L$711-1),IF($R$17="Distrato",$E749,0)),MIN(AU$38,$D$19),$P$20))-SUM($P749:AT749)</f>
        <v>#VALUE!</v>
      </c>
      <c r="AV749" s="446" t="e">
        <f>IF(OR($B749="",MIN(AV$38,$D$19)&lt;MAX($P$708*($B749+IF($R$17="Distrato",$I$38-1,0)),IF(AND($L$711=0,$P$708=0),"",$L$711-1),IF($R$17="Distrato",$E749,0))),0,YEARFRAC(MAX($P$708*($B749+IF($R$17="Distrato",$I$38-1,0)),IF(AND($L$711=0,$P$708=0),"",$L$711-1),IF($R$17="Distrato",$E749,0)),MIN(AV$38,$D$19),$P$20))-SUM($P749:AU749)</f>
        <v>#VALUE!</v>
      </c>
      <c r="AW749" s="446" t="e">
        <f>IF(OR($B749="",MIN(AW$38,$D$19)&lt;MAX($P$708*($B749+IF($R$17="Distrato",$I$38-1,0)),IF(AND($L$711=0,$P$708=0),"",$L$711-1),IF($R$17="Distrato",$E749,0))),0,YEARFRAC(MAX($P$708*($B749+IF($R$17="Distrato",$I$38-1,0)),IF(AND($L$711=0,$P$708=0),"",$L$711-1),IF($R$17="Distrato",$E749,0)),MIN(AW$38,$D$19),$P$20))-SUM($P749:AV749)</f>
        <v>#VALUE!</v>
      </c>
      <c r="AX749" s="446" t="e">
        <f>IF(OR($B749="",MIN(AX$38,$D$19)&lt;MAX($P$708*($B749+IF($R$17="Distrato",$I$38-1,0)),IF(AND($L$711=0,$P$708=0),"",$L$711-1),IF($R$17="Distrato",$E749,0))),0,YEARFRAC(MAX($P$708*($B749+IF($R$17="Distrato",$I$38-1,0)),IF(AND($L$711=0,$P$708=0),"",$L$711-1),IF($R$17="Distrato",$E749,0)),MIN(AX$38,$D$19),$P$20))-SUM($P749:AW749)</f>
        <v>#VALUE!</v>
      </c>
      <c r="AY749" s="446" t="e">
        <f>IF(OR($B749="",MIN(AY$38,$D$19)&lt;MAX($P$708*($B749+IF($R$17="Distrato",$I$38-1,0)),IF(AND($L$711=0,$P$708=0),"",$L$711-1),IF($R$17="Distrato",$E749,0))),0,YEARFRAC(MAX($P$708*($B749+IF($R$17="Distrato",$I$38-1,0)),IF(AND($L$711=0,$P$708=0),"",$L$711-1),IF($R$17="Distrato",$E749,0)),MIN(AY$38,$D$19),$P$20))-SUM($P749:AX749)</f>
        <v>#VALUE!</v>
      </c>
      <c r="AZ749" s="446" t="e">
        <f>IF(OR($B749="",MIN(AZ$38,$D$19)&lt;MAX($P$708*($B749+IF($R$17="Distrato",$I$38-1,0)),IF(AND($L$711=0,$P$708=0),"",$L$711-1),IF($R$17="Distrato",$E749,0))),0,YEARFRAC(MAX($P$708*($B749+IF($R$17="Distrato",$I$38-1,0)),IF(AND($L$711=0,$P$708=0),"",$L$711-1),IF($R$17="Distrato",$E749,0)),MIN(AZ$38,$D$19),$P$20))-SUM($P749:AY749)</f>
        <v>#VALUE!</v>
      </c>
      <c r="BA749" s="446" t="e">
        <f>IF(OR($B749="",MIN(BA$38,$D$19)&lt;MAX($P$708*($B749+IF($R$17="Distrato",$I$38-1,0)),IF(AND($L$711=0,$P$708=0),"",$L$711-1),IF($R$17="Distrato",$E749,0))),0,YEARFRAC(MAX($P$708*($B749+IF($R$17="Distrato",$I$38-1,0)),IF(AND($L$711=0,$P$708=0),"",$L$711-1),IF($R$17="Distrato",$E749,0)),MIN(BA$38,$D$19),$P$20))-SUM($P749:AZ749)</f>
        <v>#VALUE!</v>
      </c>
      <c r="BB749" s="447"/>
    </row>
    <row r="750" spans="1:54" s="446" customFormat="1" ht="11.25" hidden="1" customHeight="1" x14ac:dyDescent="0.2">
      <c r="A750" s="235"/>
      <c r="B750" s="236"/>
      <c r="C750" s="29" t="str">
        <f>IF(B750="","",IF($L$709=$BL$25,VLOOKUP(DATE(YEAR($D$19),MONTH($D$19)-1,1),ÍNDICES!$A:$DE,HLOOKUP($BL$25,ÍNDICES!$B$3:$T$4,2)+11)-VLOOKUP(B750,ÍNDICES!$A:$DE,HLOOKUP($BL$25,ÍNDICES!$B$3:$T$4,2)+11)+1%,IF(C$712=$W$26,$J$35,IF(ISERROR(IF(B750&gt;$D$19,1,VLOOKUP(DATE(YEAR(B750),MONTH(B750)+IF($C$709=$S$23,1,0),1),ÍNDICES!$A:$DE,$Z$709+1))),"",IF(B750&gt;$D$19,1,VLOOKUP(DATE(YEAR(B750),MONTH(B750)+IF($C$709=$S$23,1,0),1),ÍNDICES!$A:$DE,$Z$709+1))))))</f>
        <v/>
      </c>
      <c r="D750" s="155"/>
      <c r="E750" s="88"/>
      <c r="F750" s="88"/>
      <c r="G750" s="88"/>
      <c r="H750" s="118"/>
      <c r="I750" s="182">
        <f t="shared" si="115"/>
        <v>0</v>
      </c>
      <c r="J750" s="20">
        <f t="shared" ca="1" si="116"/>
        <v>0</v>
      </c>
      <c r="K750" s="5">
        <f t="shared" ca="1" si="117"/>
        <v>0</v>
      </c>
      <c r="L750" s="61">
        <f t="shared" ca="1" si="118"/>
        <v>0</v>
      </c>
      <c r="M750" s="64">
        <f t="shared" si="119"/>
        <v>0</v>
      </c>
      <c r="N750" s="151"/>
      <c r="O750" s="5">
        <f t="shared" ca="1" si="120"/>
        <v>0</v>
      </c>
      <c r="P750" s="446" t="e">
        <f t="shared" si="121"/>
        <v>#VALUE!</v>
      </c>
      <c r="Q750" s="446" t="e">
        <f>IF(OR($B750="",MIN(Q$38,$D$19)&lt;MAX($P$708*($B750+IF($R$17="Distrato",$I$38-1,0)),IF(AND($L$711=0,$P$708=0),"",$L$711-1),IF($R$17="Distrato",$E750,0))),0,YEARFRAC(MAX($P$708*($B750+IF($R$17="Distrato",$I$38-1,0)),IF(AND($L$711=0,$P$708=0),"",$L$711-1),IF($R$17="Distrato",$E750,0)),MIN(Q$38,$D$19),$P$20))-SUM($P750:P750)</f>
        <v>#VALUE!</v>
      </c>
      <c r="R750" s="446" t="e">
        <f>IF(OR($B750="",MIN(R$38,$D$19)&lt;MAX($P$708*($B750+IF($R$17="Distrato",$I$38-1,0)),IF(AND($L$711=0,$P$708=0),"",$L$711-1),IF($R$17="Distrato",$E750,0))),0,YEARFRAC(MAX($P$708*($B750+IF($R$17="Distrato",$I$38-1,0)),IF(AND($L$711=0,$P$708=0),"",$L$711-1),IF($R$17="Distrato",$E750,0)),MIN(R$38,$D$19),$P$20))-SUM($P750:Q750)</f>
        <v>#VALUE!</v>
      </c>
      <c r="S750" s="446" t="e">
        <f>IF(OR($B750="",MIN(S$38,$D$19)&lt;MAX($P$708*($B750+IF($R$17="Distrato",$I$38-1,0)),IF(AND($L$711=0,$P$708=0),"",$L$711-1),IF($R$17="Distrato",$E750,0))),0,YEARFRAC(MAX($P$708*($B750+IF($R$17="Distrato",$I$38-1,0)),IF(AND($L$711=0,$P$708=0),"",$L$711-1),IF($R$17="Distrato",$E750,0)),MIN(S$38,$D$19),$P$20))-SUM($P750:R750)</f>
        <v>#VALUE!</v>
      </c>
      <c r="T750" s="446" t="e">
        <f>IF(OR($B750="",MIN(T$38,$D$19)&lt;MAX($P$708*($B750+IF($R$17="Distrato",$I$38-1,0)),IF(AND($L$711=0,$P$708=0),"",$L$711-1),IF($R$17="Distrato",$E750,0))),0,YEARFRAC(MAX($P$708*($B750+IF($R$17="Distrato",$I$38-1,0)),IF(AND($L$711=0,$P$708=0),"",$L$711-1),IF($R$17="Distrato",$E750,0)),MIN(T$38,$D$19),$P$20))-SUM($P750:S750)</f>
        <v>#VALUE!</v>
      </c>
      <c r="U750" s="446" t="e">
        <f>IF(OR($B750="",MIN(U$38,$D$19)&lt;MAX($P$708*($B750+IF($R$17="Distrato",$I$38-1,0)),IF(AND($L$711=0,$P$708=0),"",$L$711-1),IF($R$17="Distrato",$E750,0))),0,YEARFRAC(MAX($P$708*($B750+IF($R$17="Distrato",$I$38-1,0)),IF(AND($L$711=0,$P$708=0),"",$L$711-1),IF($R$17="Distrato",$E750,0)),MIN(U$38,$D$19),$P$20))-SUM($P750:T750)</f>
        <v>#VALUE!</v>
      </c>
      <c r="V750" s="446" t="e">
        <f>IF(OR($B750="",MIN(V$38,$D$19)&lt;MAX($P$708*($B750+IF($R$17="Distrato",$I$38-1,0)),IF(AND($L$711=0,$P$708=0),"",$L$711-1),IF($R$17="Distrato",$E750,0))),0,YEARFRAC(MAX($P$708*($B750+IF($R$17="Distrato",$I$38-1,0)),IF(AND($L$711=0,$P$708=0),"",$L$711-1),IF($R$17="Distrato",$E750,0)),MIN(V$38,$D$19),$P$20))-SUM($P750:U750)</f>
        <v>#VALUE!</v>
      </c>
      <c r="W750" s="446" t="e">
        <f>IF(OR($B750="",MIN(W$38,$D$19)&lt;MAX($P$708*($B750+IF($R$17="Distrato",$I$38-1,0)),IF(AND($L$711=0,$P$708=0),"",$L$711-1),IF($R$17="Distrato",$E750,0))),0,YEARFRAC(MAX($P$708*($B750+IF($R$17="Distrato",$I$38-1,0)),IF(AND($L$711=0,$P$708=0),"",$L$711-1),IF($R$17="Distrato",$E750,0)),MIN(W$38,$D$19),$P$20))-SUM($P750:V750)</f>
        <v>#VALUE!</v>
      </c>
      <c r="X750" s="446" t="e">
        <f>IF(OR($B750="",MIN(X$38,$D$19)&lt;MAX($P$708*($B750+IF($R$17="Distrato",$I$38-1,0)),IF(AND($L$711=0,$P$708=0),"",$L$711-1),IF($R$17="Distrato",$E750,0))),0,YEARFRAC(MAX($P$708*($B750+IF($R$17="Distrato",$I$38-1,0)),IF(AND($L$711=0,$P$708=0),"",$L$711-1),IF($R$17="Distrato",$E750,0)),MIN(X$38,$D$19),$P$20))-SUM($P750:W750)</f>
        <v>#VALUE!</v>
      </c>
      <c r="Y750" s="446" t="e">
        <f>IF(OR($B750="",MIN(Y$38,$D$19)&lt;MAX($P$708*($B750+IF($R$17="Distrato",$I$38-1,0)),IF(AND($L$711=0,$P$708=0),"",$L$711-1),IF($R$17="Distrato",$E750,0))),0,YEARFRAC(MAX($P$708*($B750+IF($R$17="Distrato",$I$38-1,0)),IF(AND($L$711=0,$P$708=0),"",$L$711-1),IF($R$17="Distrato",$E750,0)),MIN(Y$38,$D$19),$P$20))-SUM($P750:X750)</f>
        <v>#VALUE!</v>
      </c>
      <c r="Z750" s="446" t="e">
        <f>IF(OR($B750="",MIN(Z$38,$D$19)&lt;MAX($P$708*($B750+IF($R$17="Distrato",$I$38-1,0)),IF(AND($L$711=0,$P$708=0),"",$L$711-1),IF($R$17="Distrato",$E750,0))),0,YEARFRAC(MAX($P$708*($B750+IF($R$17="Distrato",$I$38-1,0)),IF(AND($L$711=0,$P$708=0),"",$L$711-1),IF($R$17="Distrato",$E750,0)),MIN(Z$38,$D$19),$P$20))-SUM($P750:Y750)</f>
        <v>#VALUE!</v>
      </c>
      <c r="AA750" s="446" t="e">
        <f>IF(OR($B750="",MIN(AA$38,$D$19)&lt;MAX($P$708*($B750+IF($R$17="Distrato",$I$38-1,0)),IF(AND($L$711=0,$P$708=0),"",$L$711-1),IF($R$17="Distrato",$E750,0))),0,YEARFRAC(MAX($P$708*($B750+IF($R$17="Distrato",$I$38-1,0)),IF(AND($L$711=0,$P$708=0),"",$L$711-1),IF($R$17="Distrato",$E750,0)),MIN(AA$38,$D$19),$P$20))-SUM($P750:Z750)</f>
        <v>#VALUE!</v>
      </c>
      <c r="AB750" s="446" t="e">
        <f>IF(OR($B750="",MIN(AB$38,$D$19)&lt;MAX($P$708*($B750+IF($R$17="Distrato",$I$38-1,0)),IF(AND($L$711=0,$P$708=0),"",$L$711-1),IF($R$17="Distrato",$E750,0))),0,YEARFRAC(MAX($P$708*($B750+IF($R$17="Distrato",$I$38-1,0)),IF(AND($L$711=0,$P$708=0),"",$L$711-1),IF($R$17="Distrato",$E750,0)),MIN(AB$38,$D$19),$P$20))-SUM($P750:AA750)</f>
        <v>#VALUE!</v>
      </c>
      <c r="AC750" s="446" t="e">
        <f>IF(OR($B750="",MIN(AC$38,$D$19)&lt;MAX($P$708*($B750+IF($R$17="Distrato",$I$38-1,0)),IF(AND($L$711=0,$P$708=0),"",$L$711-1),IF($R$17="Distrato",$E750,0))),0,YEARFRAC(MAX($P$708*($B750+IF($R$17="Distrato",$I$38-1,0)),IF(AND($L$711=0,$P$708=0),"",$L$711-1),IF($R$17="Distrato",$E750,0)),MIN(AC$38,$D$19),$P$20))-SUM($P750:AB750)</f>
        <v>#VALUE!</v>
      </c>
      <c r="AD750" s="446" t="e">
        <f>IF(OR($B750="",MIN(AD$38,$D$19)&lt;MAX($P$708*($B750+IF($R$17="Distrato",$I$38-1,0)),IF(AND($L$711=0,$P$708=0),"",$L$711-1),IF($R$17="Distrato",$E750,0))),0,YEARFRAC(MAX($P$708*($B750+IF($R$17="Distrato",$I$38-1,0)),IF(AND($L$711=0,$P$708=0),"",$L$711-1),IF($R$17="Distrato",$E750,0)),MIN(AD$38,$D$19),$P$20))-SUM($P750:AC750)</f>
        <v>#VALUE!</v>
      </c>
      <c r="AE750" s="446" t="e">
        <f>IF(OR($B750="",MIN(AE$38,$D$19)&lt;MAX($P$708*($B750+IF($R$17="Distrato",$I$38-1,0)),IF(AND($L$711=0,$P$708=0),"",$L$711-1),IF($R$17="Distrato",$E750,0))),0,YEARFRAC(MAX($P$708*($B750+IF($R$17="Distrato",$I$38-1,0)),IF(AND($L$711=0,$P$708=0),"",$L$711-1),IF($R$17="Distrato",$E750,0)),MIN(AE$38,$D$19),$P$20))-SUM($P750:AD750)</f>
        <v>#VALUE!</v>
      </c>
      <c r="AF750" s="446" t="e">
        <f>IF(OR($B750="",MIN(AF$38,$D$19)&lt;MAX($P$708*($B750+IF($R$17="Distrato",$I$38-1,0)),IF(AND($L$711=0,$P$708=0),"",$L$711-1),IF($R$17="Distrato",$E750,0))),0,YEARFRAC(MAX($P$708*($B750+IF($R$17="Distrato",$I$38-1,0)),IF(AND($L$711=0,$P$708=0),"",$L$711-1),IF($R$17="Distrato",$E750,0)),MIN(AF$38,$D$19),$P$20))-SUM($P750:AE750)</f>
        <v>#VALUE!</v>
      </c>
      <c r="AG750" s="446" t="e">
        <f>IF(OR($B750="",MIN(AG$38,$D$19)&lt;MAX($P$708*($B750+IF($R$17="Distrato",$I$38-1,0)),IF(AND($L$711=0,$P$708=0),"",$L$711-1),IF($R$17="Distrato",$E750,0))),0,YEARFRAC(MAX($P$708*($B750+IF($R$17="Distrato",$I$38-1,0)),IF(AND($L$711=0,$P$708=0),"",$L$711-1),IF($R$17="Distrato",$E750,0)),MIN(AG$38,$D$19),$P$20))-SUM($P750:AF750)</f>
        <v>#VALUE!</v>
      </c>
      <c r="AH750" s="446" t="e">
        <f>IF(OR($B750="",MIN(AH$38,$D$19)&lt;MAX($P$708*($B750+IF($R$17="Distrato",$I$38-1,0)),IF(AND($L$711=0,$P$708=0),"",$L$711-1),IF($R$17="Distrato",$E750,0))),0,YEARFRAC(MAX($P$708*($B750+IF($R$17="Distrato",$I$38-1,0)),IF(AND($L$711=0,$P$708=0),"",$L$711-1),IF($R$17="Distrato",$E750,0)),MIN(AH$38,$D$19),$P$20))-SUM($P750:AG750)</f>
        <v>#VALUE!</v>
      </c>
      <c r="AI750" s="446" t="e">
        <f>IF(OR($B750="",MIN(AI$38,$D$19)&lt;MAX($P$708*($B750+IF($R$17="Distrato",$I$38-1,0)),IF(AND($L$711=0,$P$708=0),"",$L$711-1),IF($R$17="Distrato",$E750,0))),0,YEARFRAC(MAX($P$708*($B750+IF($R$17="Distrato",$I$38-1,0)),IF(AND($L$711=0,$P$708=0),"",$L$711-1),IF($R$17="Distrato",$E750,0)),MIN(AI$38,$D$19),$P$20))-SUM($P750:AH750)</f>
        <v>#VALUE!</v>
      </c>
      <c r="AJ750" s="446" t="e">
        <f>IF(OR($B750="",MIN(AJ$38,$D$19)&lt;MAX($P$708*($B750+IF($R$17="Distrato",$I$38-1,0)),IF(AND($L$711=0,$P$708=0),"",$L$711-1),IF($R$17="Distrato",$E750,0))),0,YEARFRAC(MAX($P$708*($B750+IF($R$17="Distrato",$I$38-1,0)),IF(AND($L$711=0,$P$708=0),"",$L$711-1),IF($R$17="Distrato",$E750,0)),MIN(AJ$38,$D$19),$P$20))-SUM($P750:AI750)</f>
        <v>#VALUE!</v>
      </c>
      <c r="AK750" s="446" t="e">
        <f>IF(OR($B750="",MIN(AK$38,$D$19)&lt;MAX($P$708*($B750+IF($R$17="Distrato",$I$38-1,0)),IF(AND($L$711=0,$P$708=0),"",$L$711-1),IF($R$17="Distrato",$E750,0))),0,YEARFRAC(MAX($P$708*($B750+IF($R$17="Distrato",$I$38-1,0)),IF(AND($L$711=0,$P$708=0),"",$L$711-1),IF($R$17="Distrato",$E750,0)),MIN(AK$38,$D$19),$P$20))-SUM($P750:AJ750)</f>
        <v>#VALUE!</v>
      </c>
      <c r="AL750" s="446" t="e">
        <f>IF(OR($B750="",MIN(AL$38,$D$19)&lt;MAX($P$708*($B750+IF($R$17="Distrato",$I$38-1,0)),IF(AND($L$711=0,$P$708=0),"",$L$711-1),IF($R$17="Distrato",$E750,0))),0,YEARFRAC(MAX($P$708*($B750+IF($R$17="Distrato",$I$38-1,0)),IF(AND($L$711=0,$P$708=0),"",$L$711-1),IF($R$17="Distrato",$E750,0)),MIN(AL$38,$D$19),$P$20))-SUM($P750:AK750)</f>
        <v>#VALUE!</v>
      </c>
      <c r="AM750" s="446" t="e">
        <f>IF(OR($B750="",MIN(AM$38,$D$19)&lt;MAX($P$708*($B750+IF($R$17="Distrato",$I$38-1,0)),IF(AND($L$711=0,$P$708=0),"",$L$711-1),IF($R$17="Distrato",$E750,0))),0,YEARFRAC(MAX($P$708*($B750+IF($R$17="Distrato",$I$38-1,0)),IF(AND($L$711=0,$P$708=0),"",$L$711-1),IF($R$17="Distrato",$E750,0)),MIN(AM$38,$D$19),$P$20))-SUM($P750:AL750)</f>
        <v>#VALUE!</v>
      </c>
      <c r="AN750" s="446" t="e">
        <f>IF(OR($B750="",MIN(AN$38,$D$19)&lt;MAX($P$708*($B750+IF($R$17="Distrato",$I$38-1,0)),IF(AND($L$711=0,$P$708=0),"",$L$711-1),IF($R$17="Distrato",$E750,0))),0,YEARFRAC(MAX($P$708*($B750+IF($R$17="Distrato",$I$38-1,0)),IF(AND($L$711=0,$P$708=0),"",$L$711-1),IF($R$17="Distrato",$E750,0)),MIN(AN$38,$D$19),$P$20))-SUM($P750:AM750)</f>
        <v>#VALUE!</v>
      </c>
      <c r="AO750" s="446" t="e">
        <f>IF(OR($B750="",MIN(AO$38,$D$19)&lt;MAX($P$708*($B750+IF($R$17="Distrato",$I$38-1,0)),IF(AND($L$711=0,$P$708=0),"",$L$711-1),IF($R$17="Distrato",$E750,0))),0,YEARFRAC(MAX($P$708*($B750+IF($R$17="Distrato",$I$38-1,0)),IF(AND($L$711=0,$P$708=0),"",$L$711-1),IF($R$17="Distrato",$E750,0)),MIN(AO$38,$D$19),$P$20))-SUM($P750:AN750)</f>
        <v>#VALUE!</v>
      </c>
      <c r="AP750" s="446" t="e">
        <f>IF(OR($B750="",MIN(AP$38,$D$19)&lt;MAX($P$708*($B750+IF($R$17="Distrato",$I$38-1,0)),IF(AND($L$711=0,$P$708=0),"",$L$711-1),IF($R$17="Distrato",$E750,0))),0,YEARFRAC(MAX($P$708*($B750+IF($R$17="Distrato",$I$38-1,0)),IF(AND($L$711=0,$P$708=0),"",$L$711-1),IF($R$17="Distrato",$E750,0)),MIN(AP$38,$D$19),$P$20))-SUM($P750:AO750)</f>
        <v>#VALUE!</v>
      </c>
      <c r="AQ750" s="446" t="e">
        <f>IF(OR($B750="",MIN(AQ$38,$D$19)&lt;MAX($P$708*($B750+IF($R$17="Distrato",$I$38-1,0)),IF(AND($L$711=0,$P$708=0),"",$L$711-1),IF($R$17="Distrato",$E750,0))),0,YEARFRAC(MAX($P$708*($B750+IF($R$17="Distrato",$I$38-1,0)),IF(AND($L$711=0,$P$708=0),"",$L$711-1),IF($R$17="Distrato",$E750,0)),MIN(AQ$38,$D$19),$P$20))-SUM($P750:AP750)</f>
        <v>#VALUE!</v>
      </c>
      <c r="AR750" s="446" t="e">
        <f>IF(OR($B750="",MIN(AR$38,$D$19)&lt;MAX($P$708*($B750+IF($R$17="Distrato",$I$38-1,0)),IF(AND($L$711=0,$P$708=0),"",$L$711-1),IF($R$17="Distrato",$E750,0))),0,YEARFRAC(MAX($P$708*($B750+IF($R$17="Distrato",$I$38-1,0)),IF(AND($L$711=0,$P$708=0),"",$L$711-1),IF($R$17="Distrato",$E750,0)),MIN(AR$38,$D$19),$P$20))-SUM($P750:AQ750)</f>
        <v>#VALUE!</v>
      </c>
      <c r="AS750" s="446" t="e">
        <f>IF(OR($B750="",MIN(AS$38,$D$19)&lt;MAX($P$708*($B750+IF($R$17="Distrato",$I$38-1,0)),IF(AND($L$711=0,$P$708=0),"",$L$711-1),IF($R$17="Distrato",$E750,0))),0,YEARFRAC(MAX($P$708*($B750+IF($R$17="Distrato",$I$38-1,0)),IF(AND($L$711=0,$P$708=0),"",$L$711-1),IF($R$17="Distrato",$E750,0)),MIN(AS$38,$D$19),$P$20))-SUM($P750:AR750)</f>
        <v>#VALUE!</v>
      </c>
      <c r="AT750" s="446" t="e">
        <f>IF(OR($B750="",MIN(AT$38,$D$19)&lt;MAX($P$708*($B750+IF($R$17="Distrato",$I$38-1,0)),IF(AND($L$711=0,$P$708=0),"",$L$711-1),IF($R$17="Distrato",$E750,0))),0,YEARFRAC(MAX($P$708*($B750+IF($R$17="Distrato",$I$38-1,0)),IF(AND($L$711=0,$P$708=0),"",$L$711-1),IF($R$17="Distrato",$E750,0)),MIN(AT$38,$D$19),$P$20))-SUM($P750:AS750)</f>
        <v>#VALUE!</v>
      </c>
      <c r="AU750" s="446" t="e">
        <f>IF(OR($B750="",MIN(AU$38,$D$19)&lt;MAX($P$708*($B750+IF($R$17="Distrato",$I$38-1,0)),IF(AND($L$711=0,$P$708=0),"",$L$711-1),IF($R$17="Distrato",$E750,0))),0,YEARFRAC(MAX($P$708*($B750+IF($R$17="Distrato",$I$38-1,0)),IF(AND($L$711=0,$P$708=0),"",$L$711-1),IF($R$17="Distrato",$E750,0)),MIN(AU$38,$D$19),$P$20))-SUM($P750:AT750)</f>
        <v>#VALUE!</v>
      </c>
      <c r="AV750" s="446" t="e">
        <f>IF(OR($B750="",MIN(AV$38,$D$19)&lt;MAX($P$708*($B750+IF($R$17="Distrato",$I$38-1,0)),IF(AND($L$711=0,$P$708=0),"",$L$711-1),IF($R$17="Distrato",$E750,0))),0,YEARFRAC(MAX($P$708*($B750+IF($R$17="Distrato",$I$38-1,0)),IF(AND($L$711=0,$P$708=0),"",$L$711-1),IF($R$17="Distrato",$E750,0)),MIN(AV$38,$D$19),$P$20))-SUM($P750:AU750)</f>
        <v>#VALUE!</v>
      </c>
      <c r="AW750" s="446" t="e">
        <f>IF(OR($B750="",MIN(AW$38,$D$19)&lt;MAX($P$708*($B750+IF($R$17="Distrato",$I$38-1,0)),IF(AND($L$711=0,$P$708=0),"",$L$711-1),IF($R$17="Distrato",$E750,0))),0,YEARFRAC(MAX($P$708*($B750+IF($R$17="Distrato",$I$38-1,0)),IF(AND($L$711=0,$P$708=0),"",$L$711-1),IF($R$17="Distrato",$E750,0)),MIN(AW$38,$D$19),$P$20))-SUM($P750:AV750)</f>
        <v>#VALUE!</v>
      </c>
      <c r="AX750" s="446" t="e">
        <f>IF(OR($B750="",MIN(AX$38,$D$19)&lt;MAX($P$708*($B750+IF($R$17="Distrato",$I$38-1,0)),IF(AND($L$711=0,$P$708=0),"",$L$711-1),IF($R$17="Distrato",$E750,0))),0,YEARFRAC(MAX($P$708*($B750+IF($R$17="Distrato",$I$38-1,0)),IF(AND($L$711=0,$P$708=0),"",$L$711-1),IF($R$17="Distrato",$E750,0)),MIN(AX$38,$D$19),$P$20))-SUM($P750:AW750)</f>
        <v>#VALUE!</v>
      </c>
      <c r="AY750" s="446" t="e">
        <f>IF(OR($B750="",MIN(AY$38,$D$19)&lt;MAX($P$708*($B750+IF($R$17="Distrato",$I$38-1,0)),IF(AND($L$711=0,$P$708=0),"",$L$711-1),IF($R$17="Distrato",$E750,0))),0,YEARFRAC(MAX($P$708*($B750+IF($R$17="Distrato",$I$38-1,0)),IF(AND($L$711=0,$P$708=0),"",$L$711-1),IF($R$17="Distrato",$E750,0)),MIN(AY$38,$D$19),$P$20))-SUM($P750:AX750)</f>
        <v>#VALUE!</v>
      </c>
      <c r="AZ750" s="446" t="e">
        <f>IF(OR($B750="",MIN(AZ$38,$D$19)&lt;MAX($P$708*($B750+IF($R$17="Distrato",$I$38-1,0)),IF(AND($L$711=0,$P$708=0),"",$L$711-1),IF($R$17="Distrato",$E750,0))),0,YEARFRAC(MAX($P$708*($B750+IF($R$17="Distrato",$I$38-1,0)),IF(AND($L$711=0,$P$708=0),"",$L$711-1),IF($R$17="Distrato",$E750,0)),MIN(AZ$38,$D$19),$P$20))-SUM($P750:AY750)</f>
        <v>#VALUE!</v>
      </c>
      <c r="BA750" s="446" t="e">
        <f>IF(OR($B750="",MIN(BA$38,$D$19)&lt;MAX($P$708*($B750+IF($R$17="Distrato",$I$38-1,0)),IF(AND($L$711=0,$P$708=0),"",$L$711-1),IF($R$17="Distrato",$E750,0))),0,YEARFRAC(MAX($P$708*($B750+IF($R$17="Distrato",$I$38-1,0)),IF(AND($L$711=0,$P$708=0),"",$L$711-1),IF($R$17="Distrato",$E750,0)),MIN(BA$38,$D$19),$P$20))-SUM($P750:AZ750)</f>
        <v>#VALUE!</v>
      </c>
      <c r="BB750" s="447"/>
    </row>
    <row r="751" spans="1:54" s="446" customFormat="1" ht="11.25" hidden="1" customHeight="1" x14ac:dyDescent="0.2">
      <c r="A751" s="235"/>
      <c r="B751" s="236"/>
      <c r="C751" s="29" t="str">
        <f>IF(B751="","",IF($L$709=$BL$25,VLOOKUP(DATE(YEAR($D$19),MONTH($D$19)-1,1),ÍNDICES!$A:$DE,HLOOKUP($BL$25,ÍNDICES!$B$3:$T$4,2)+11)-VLOOKUP(B751,ÍNDICES!$A:$DE,HLOOKUP($BL$25,ÍNDICES!$B$3:$T$4,2)+11)+1%,IF(C$712=$W$26,$J$35,IF(ISERROR(IF(B751&gt;$D$19,1,VLOOKUP(DATE(YEAR(B751),MONTH(B751)+IF($C$709=$S$23,1,0),1),ÍNDICES!$A:$DE,$Z$709+1))),"",IF(B751&gt;$D$19,1,VLOOKUP(DATE(YEAR(B751),MONTH(B751)+IF($C$709=$S$23,1,0),1),ÍNDICES!$A:$DE,$Z$709+1))))))</f>
        <v/>
      </c>
      <c r="D751" s="155"/>
      <c r="E751" s="88"/>
      <c r="F751" s="88"/>
      <c r="G751" s="88"/>
      <c r="H751" s="118"/>
      <c r="I751" s="182">
        <f t="shared" si="115"/>
        <v>0</v>
      </c>
      <c r="J751" s="20">
        <f t="shared" ca="1" si="116"/>
        <v>0</v>
      </c>
      <c r="K751" s="5">
        <f t="shared" ca="1" si="117"/>
        <v>0</v>
      </c>
      <c r="L751" s="61">
        <f t="shared" ca="1" si="118"/>
        <v>0</v>
      </c>
      <c r="M751" s="64">
        <f t="shared" si="119"/>
        <v>0</v>
      </c>
      <c r="N751" s="151"/>
      <c r="O751" s="5">
        <f t="shared" ca="1" si="120"/>
        <v>0</v>
      </c>
      <c r="P751" s="446" t="e">
        <f t="shared" si="121"/>
        <v>#VALUE!</v>
      </c>
      <c r="Q751" s="446" t="e">
        <f>IF(OR($B751="",MIN(Q$38,$D$19)&lt;MAX($P$708*($B751+IF($R$17="Distrato",$I$38-1,0)),IF(AND($L$711=0,$P$708=0),"",$L$711-1),IF($R$17="Distrato",$E751,0))),0,YEARFRAC(MAX($P$708*($B751+IF($R$17="Distrato",$I$38-1,0)),IF(AND($L$711=0,$P$708=0),"",$L$711-1),IF($R$17="Distrato",$E751,0)),MIN(Q$38,$D$19),$P$20))-SUM($P751:P751)</f>
        <v>#VALUE!</v>
      </c>
      <c r="R751" s="446" t="e">
        <f>IF(OR($B751="",MIN(R$38,$D$19)&lt;MAX($P$708*($B751+IF($R$17="Distrato",$I$38-1,0)),IF(AND($L$711=0,$P$708=0),"",$L$711-1),IF($R$17="Distrato",$E751,0))),0,YEARFRAC(MAX($P$708*($B751+IF($R$17="Distrato",$I$38-1,0)),IF(AND($L$711=0,$P$708=0),"",$L$711-1),IF($R$17="Distrato",$E751,0)),MIN(R$38,$D$19),$P$20))-SUM($P751:Q751)</f>
        <v>#VALUE!</v>
      </c>
      <c r="S751" s="446" t="e">
        <f>IF(OR($B751="",MIN(S$38,$D$19)&lt;MAX($P$708*($B751+IF($R$17="Distrato",$I$38-1,0)),IF(AND($L$711=0,$P$708=0),"",$L$711-1),IF($R$17="Distrato",$E751,0))),0,YEARFRAC(MAX($P$708*($B751+IF($R$17="Distrato",$I$38-1,0)),IF(AND($L$711=0,$P$708=0),"",$L$711-1),IF($R$17="Distrato",$E751,0)),MIN(S$38,$D$19),$P$20))-SUM($P751:R751)</f>
        <v>#VALUE!</v>
      </c>
      <c r="T751" s="446" t="e">
        <f>IF(OR($B751="",MIN(T$38,$D$19)&lt;MAX($P$708*($B751+IF($R$17="Distrato",$I$38-1,0)),IF(AND($L$711=0,$P$708=0),"",$L$711-1),IF($R$17="Distrato",$E751,0))),0,YEARFRAC(MAX($P$708*($B751+IF($R$17="Distrato",$I$38-1,0)),IF(AND($L$711=0,$P$708=0),"",$L$711-1),IF($R$17="Distrato",$E751,0)),MIN(T$38,$D$19),$P$20))-SUM($P751:S751)</f>
        <v>#VALUE!</v>
      </c>
      <c r="U751" s="446" t="e">
        <f>IF(OR($B751="",MIN(U$38,$D$19)&lt;MAX($P$708*($B751+IF($R$17="Distrato",$I$38-1,0)),IF(AND($L$711=0,$P$708=0),"",$L$711-1),IF($R$17="Distrato",$E751,0))),0,YEARFRAC(MAX($P$708*($B751+IF($R$17="Distrato",$I$38-1,0)),IF(AND($L$711=0,$P$708=0),"",$L$711-1),IF($R$17="Distrato",$E751,0)),MIN(U$38,$D$19),$P$20))-SUM($P751:T751)</f>
        <v>#VALUE!</v>
      </c>
      <c r="V751" s="446" t="e">
        <f>IF(OR($B751="",MIN(V$38,$D$19)&lt;MAX($P$708*($B751+IF($R$17="Distrato",$I$38-1,0)),IF(AND($L$711=0,$P$708=0),"",$L$711-1),IF($R$17="Distrato",$E751,0))),0,YEARFRAC(MAX($P$708*($B751+IF($R$17="Distrato",$I$38-1,0)),IF(AND($L$711=0,$P$708=0),"",$L$711-1),IF($R$17="Distrato",$E751,0)),MIN(V$38,$D$19),$P$20))-SUM($P751:U751)</f>
        <v>#VALUE!</v>
      </c>
      <c r="W751" s="446" t="e">
        <f>IF(OR($B751="",MIN(W$38,$D$19)&lt;MAX($P$708*($B751+IF($R$17="Distrato",$I$38-1,0)),IF(AND($L$711=0,$P$708=0),"",$L$711-1),IF($R$17="Distrato",$E751,0))),0,YEARFRAC(MAX($P$708*($B751+IF($R$17="Distrato",$I$38-1,0)),IF(AND($L$711=0,$P$708=0),"",$L$711-1),IF($R$17="Distrato",$E751,0)),MIN(W$38,$D$19),$P$20))-SUM($P751:V751)</f>
        <v>#VALUE!</v>
      </c>
      <c r="X751" s="446" t="e">
        <f>IF(OR($B751="",MIN(X$38,$D$19)&lt;MAX($P$708*($B751+IF($R$17="Distrato",$I$38-1,0)),IF(AND($L$711=0,$P$708=0),"",$L$711-1),IF($R$17="Distrato",$E751,0))),0,YEARFRAC(MAX($P$708*($B751+IF($R$17="Distrato",$I$38-1,0)),IF(AND($L$711=0,$P$708=0),"",$L$711-1),IF($R$17="Distrato",$E751,0)),MIN(X$38,$D$19),$P$20))-SUM($P751:W751)</f>
        <v>#VALUE!</v>
      </c>
      <c r="Y751" s="446" t="e">
        <f>IF(OR($B751="",MIN(Y$38,$D$19)&lt;MAX($P$708*($B751+IF($R$17="Distrato",$I$38-1,0)),IF(AND($L$711=0,$P$708=0),"",$L$711-1),IF($R$17="Distrato",$E751,0))),0,YEARFRAC(MAX($P$708*($B751+IF($R$17="Distrato",$I$38-1,0)),IF(AND($L$711=0,$P$708=0),"",$L$711-1),IF($R$17="Distrato",$E751,0)),MIN(Y$38,$D$19),$P$20))-SUM($P751:X751)</f>
        <v>#VALUE!</v>
      </c>
      <c r="Z751" s="446" t="e">
        <f>IF(OR($B751="",MIN(Z$38,$D$19)&lt;MAX($P$708*($B751+IF($R$17="Distrato",$I$38-1,0)),IF(AND($L$711=0,$P$708=0),"",$L$711-1),IF($R$17="Distrato",$E751,0))),0,YEARFRAC(MAX($P$708*($B751+IF($R$17="Distrato",$I$38-1,0)),IF(AND($L$711=0,$P$708=0),"",$L$711-1),IF($R$17="Distrato",$E751,0)),MIN(Z$38,$D$19),$P$20))-SUM($P751:Y751)</f>
        <v>#VALUE!</v>
      </c>
      <c r="AA751" s="446" t="e">
        <f>IF(OR($B751="",MIN(AA$38,$D$19)&lt;MAX($P$708*($B751+IF($R$17="Distrato",$I$38-1,0)),IF(AND($L$711=0,$P$708=0),"",$L$711-1),IF($R$17="Distrato",$E751,0))),0,YEARFRAC(MAX($P$708*($B751+IF($R$17="Distrato",$I$38-1,0)),IF(AND($L$711=0,$P$708=0),"",$L$711-1),IF($R$17="Distrato",$E751,0)),MIN(AA$38,$D$19),$P$20))-SUM($P751:Z751)</f>
        <v>#VALUE!</v>
      </c>
      <c r="AB751" s="446" t="e">
        <f>IF(OR($B751="",MIN(AB$38,$D$19)&lt;MAX($P$708*($B751+IF($R$17="Distrato",$I$38-1,0)),IF(AND($L$711=0,$P$708=0),"",$L$711-1),IF($R$17="Distrato",$E751,0))),0,YEARFRAC(MAX($P$708*($B751+IF($R$17="Distrato",$I$38-1,0)),IF(AND($L$711=0,$P$708=0),"",$L$711-1),IF($R$17="Distrato",$E751,0)),MIN(AB$38,$D$19),$P$20))-SUM($P751:AA751)</f>
        <v>#VALUE!</v>
      </c>
      <c r="AC751" s="446" t="e">
        <f>IF(OR($B751="",MIN(AC$38,$D$19)&lt;MAX($P$708*($B751+IF($R$17="Distrato",$I$38-1,0)),IF(AND($L$711=0,$P$708=0),"",$L$711-1),IF($R$17="Distrato",$E751,0))),0,YEARFRAC(MAX($P$708*($B751+IF($R$17="Distrato",$I$38-1,0)),IF(AND($L$711=0,$P$708=0),"",$L$711-1),IF($R$17="Distrato",$E751,0)),MIN(AC$38,$D$19),$P$20))-SUM($P751:AB751)</f>
        <v>#VALUE!</v>
      </c>
      <c r="AD751" s="446" t="e">
        <f>IF(OR($B751="",MIN(AD$38,$D$19)&lt;MAX($P$708*($B751+IF($R$17="Distrato",$I$38-1,0)),IF(AND($L$711=0,$P$708=0),"",$L$711-1),IF($R$17="Distrato",$E751,0))),0,YEARFRAC(MAX($P$708*($B751+IF($R$17="Distrato",$I$38-1,0)),IF(AND($L$711=0,$P$708=0),"",$L$711-1),IF($R$17="Distrato",$E751,0)),MIN(AD$38,$D$19),$P$20))-SUM($P751:AC751)</f>
        <v>#VALUE!</v>
      </c>
      <c r="AE751" s="446" t="e">
        <f>IF(OR($B751="",MIN(AE$38,$D$19)&lt;MAX($P$708*($B751+IF($R$17="Distrato",$I$38-1,0)),IF(AND($L$711=0,$P$708=0),"",$L$711-1),IF($R$17="Distrato",$E751,0))),0,YEARFRAC(MAX($P$708*($B751+IF($R$17="Distrato",$I$38-1,0)),IF(AND($L$711=0,$P$708=0),"",$L$711-1),IF($R$17="Distrato",$E751,0)),MIN(AE$38,$D$19),$P$20))-SUM($P751:AD751)</f>
        <v>#VALUE!</v>
      </c>
      <c r="AF751" s="446" t="e">
        <f>IF(OR($B751="",MIN(AF$38,$D$19)&lt;MAX($P$708*($B751+IF($R$17="Distrato",$I$38-1,0)),IF(AND($L$711=0,$P$708=0),"",$L$711-1),IF($R$17="Distrato",$E751,0))),0,YEARFRAC(MAX($P$708*($B751+IF($R$17="Distrato",$I$38-1,0)),IF(AND($L$711=0,$P$708=0),"",$L$711-1),IF($R$17="Distrato",$E751,0)),MIN(AF$38,$D$19),$P$20))-SUM($P751:AE751)</f>
        <v>#VALUE!</v>
      </c>
      <c r="AG751" s="446" t="e">
        <f>IF(OR($B751="",MIN(AG$38,$D$19)&lt;MAX($P$708*($B751+IF($R$17="Distrato",$I$38-1,0)),IF(AND($L$711=0,$P$708=0),"",$L$711-1),IF($R$17="Distrato",$E751,0))),0,YEARFRAC(MAX($P$708*($B751+IF($R$17="Distrato",$I$38-1,0)),IF(AND($L$711=0,$P$708=0),"",$L$711-1),IF($R$17="Distrato",$E751,0)),MIN(AG$38,$D$19),$P$20))-SUM($P751:AF751)</f>
        <v>#VALUE!</v>
      </c>
      <c r="AH751" s="446" t="e">
        <f>IF(OR($B751="",MIN(AH$38,$D$19)&lt;MAX($P$708*($B751+IF($R$17="Distrato",$I$38-1,0)),IF(AND($L$711=0,$P$708=0),"",$L$711-1),IF($R$17="Distrato",$E751,0))),0,YEARFRAC(MAX($P$708*($B751+IF($R$17="Distrato",$I$38-1,0)),IF(AND($L$711=0,$P$708=0),"",$L$711-1),IF($R$17="Distrato",$E751,0)),MIN(AH$38,$D$19),$P$20))-SUM($P751:AG751)</f>
        <v>#VALUE!</v>
      </c>
      <c r="AI751" s="446" t="e">
        <f>IF(OR($B751="",MIN(AI$38,$D$19)&lt;MAX($P$708*($B751+IF($R$17="Distrato",$I$38-1,0)),IF(AND($L$711=0,$P$708=0),"",$L$711-1),IF($R$17="Distrato",$E751,0))),0,YEARFRAC(MAX($P$708*($B751+IF($R$17="Distrato",$I$38-1,0)),IF(AND($L$711=0,$P$708=0),"",$L$711-1),IF($R$17="Distrato",$E751,0)),MIN(AI$38,$D$19),$P$20))-SUM($P751:AH751)</f>
        <v>#VALUE!</v>
      </c>
      <c r="AJ751" s="446" t="e">
        <f>IF(OR($B751="",MIN(AJ$38,$D$19)&lt;MAX($P$708*($B751+IF($R$17="Distrato",$I$38-1,0)),IF(AND($L$711=0,$P$708=0),"",$L$711-1),IF($R$17="Distrato",$E751,0))),0,YEARFRAC(MAX($P$708*($B751+IF($R$17="Distrato",$I$38-1,0)),IF(AND($L$711=0,$P$708=0),"",$L$711-1),IF($R$17="Distrato",$E751,0)),MIN(AJ$38,$D$19),$P$20))-SUM($P751:AI751)</f>
        <v>#VALUE!</v>
      </c>
      <c r="AK751" s="446" t="e">
        <f>IF(OR($B751="",MIN(AK$38,$D$19)&lt;MAX($P$708*($B751+IF($R$17="Distrato",$I$38-1,0)),IF(AND($L$711=0,$P$708=0),"",$L$711-1),IF($R$17="Distrato",$E751,0))),0,YEARFRAC(MAX($P$708*($B751+IF($R$17="Distrato",$I$38-1,0)),IF(AND($L$711=0,$P$708=0),"",$L$711-1),IF($R$17="Distrato",$E751,0)),MIN(AK$38,$D$19),$P$20))-SUM($P751:AJ751)</f>
        <v>#VALUE!</v>
      </c>
      <c r="AL751" s="446" t="e">
        <f>IF(OR($B751="",MIN(AL$38,$D$19)&lt;MAX($P$708*($B751+IF($R$17="Distrato",$I$38-1,0)),IF(AND($L$711=0,$P$708=0),"",$L$711-1),IF($R$17="Distrato",$E751,0))),0,YEARFRAC(MAX($P$708*($B751+IF($R$17="Distrato",$I$38-1,0)),IF(AND($L$711=0,$P$708=0),"",$L$711-1),IF($R$17="Distrato",$E751,0)),MIN(AL$38,$D$19),$P$20))-SUM($P751:AK751)</f>
        <v>#VALUE!</v>
      </c>
      <c r="AM751" s="446" t="e">
        <f>IF(OR($B751="",MIN(AM$38,$D$19)&lt;MAX($P$708*($B751+IF($R$17="Distrato",$I$38-1,0)),IF(AND($L$711=0,$P$708=0),"",$L$711-1),IF($R$17="Distrato",$E751,0))),0,YEARFRAC(MAX($P$708*($B751+IF($R$17="Distrato",$I$38-1,0)),IF(AND($L$711=0,$P$708=0),"",$L$711-1),IF($R$17="Distrato",$E751,0)),MIN(AM$38,$D$19),$P$20))-SUM($P751:AL751)</f>
        <v>#VALUE!</v>
      </c>
      <c r="AN751" s="446" t="e">
        <f>IF(OR($B751="",MIN(AN$38,$D$19)&lt;MAX($P$708*($B751+IF($R$17="Distrato",$I$38-1,0)),IF(AND($L$711=0,$P$708=0),"",$L$711-1),IF($R$17="Distrato",$E751,0))),0,YEARFRAC(MAX($P$708*($B751+IF($R$17="Distrato",$I$38-1,0)),IF(AND($L$711=0,$P$708=0),"",$L$711-1),IF($R$17="Distrato",$E751,0)),MIN(AN$38,$D$19),$P$20))-SUM($P751:AM751)</f>
        <v>#VALUE!</v>
      </c>
      <c r="AO751" s="446" t="e">
        <f>IF(OR($B751="",MIN(AO$38,$D$19)&lt;MAX($P$708*($B751+IF($R$17="Distrato",$I$38-1,0)),IF(AND($L$711=0,$P$708=0),"",$L$711-1),IF($R$17="Distrato",$E751,0))),0,YEARFRAC(MAX($P$708*($B751+IF($R$17="Distrato",$I$38-1,0)),IF(AND($L$711=0,$P$708=0),"",$L$711-1),IF($R$17="Distrato",$E751,0)),MIN(AO$38,$D$19),$P$20))-SUM($P751:AN751)</f>
        <v>#VALUE!</v>
      </c>
      <c r="AP751" s="446" t="e">
        <f>IF(OR($B751="",MIN(AP$38,$D$19)&lt;MAX($P$708*($B751+IF($R$17="Distrato",$I$38-1,0)),IF(AND($L$711=0,$P$708=0),"",$L$711-1),IF($R$17="Distrato",$E751,0))),0,YEARFRAC(MAX($P$708*($B751+IF($R$17="Distrato",$I$38-1,0)),IF(AND($L$711=0,$P$708=0),"",$L$711-1),IF($R$17="Distrato",$E751,0)),MIN(AP$38,$D$19),$P$20))-SUM($P751:AO751)</f>
        <v>#VALUE!</v>
      </c>
      <c r="AQ751" s="446" t="e">
        <f>IF(OR($B751="",MIN(AQ$38,$D$19)&lt;MAX($P$708*($B751+IF($R$17="Distrato",$I$38-1,0)),IF(AND($L$711=0,$P$708=0),"",$L$711-1),IF($R$17="Distrato",$E751,0))),0,YEARFRAC(MAX($P$708*($B751+IF($R$17="Distrato",$I$38-1,0)),IF(AND($L$711=0,$P$708=0),"",$L$711-1),IF($R$17="Distrato",$E751,0)),MIN(AQ$38,$D$19),$P$20))-SUM($P751:AP751)</f>
        <v>#VALUE!</v>
      </c>
      <c r="AR751" s="446" t="e">
        <f>IF(OR($B751="",MIN(AR$38,$D$19)&lt;MAX($P$708*($B751+IF($R$17="Distrato",$I$38-1,0)),IF(AND($L$711=0,$P$708=0),"",$L$711-1),IF($R$17="Distrato",$E751,0))),0,YEARFRAC(MAX($P$708*($B751+IF($R$17="Distrato",$I$38-1,0)),IF(AND($L$711=0,$P$708=0),"",$L$711-1),IF($R$17="Distrato",$E751,0)),MIN(AR$38,$D$19),$P$20))-SUM($P751:AQ751)</f>
        <v>#VALUE!</v>
      </c>
      <c r="AS751" s="446" t="e">
        <f>IF(OR($B751="",MIN(AS$38,$D$19)&lt;MAX($P$708*($B751+IF($R$17="Distrato",$I$38-1,0)),IF(AND($L$711=0,$P$708=0),"",$L$711-1),IF($R$17="Distrato",$E751,0))),0,YEARFRAC(MAX($P$708*($B751+IF($R$17="Distrato",$I$38-1,0)),IF(AND($L$711=0,$P$708=0),"",$L$711-1),IF($R$17="Distrato",$E751,0)),MIN(AS$38,$D$19),$P$20))-SUM($P751:AR751)</f>
        <v>#VALUE!</v>
      </c>
      <c r="AT751" s="446" t="e">
        <f>IF(OR($B751="",MIN(AT$38,$D$19)&lt;MAX($P$708*($B751+IF($R$17="Distrato",$I$38-1,0)),IF(AND($L$711=0,$P$708=0),"",$L$711-1),IF($R$17="Distrato",$E751,0))),0,YEARFRAC(MAX($P$708*($B751+IF($R$17="Distrato",$I$38-1,0)),IF(AND($L$711=0,$P$708=0),"",$L$711-1),IF($R$17="Distrato",$E751,0)),MIN(AT$38,$D$19),$P$20))-SUM($P751:AS751)</f>
        <v>#VALUE!</v>
      </c>
      <c r="AU751" s="446" t="e">
        <f>IF(OR($B751="",MIN(AU$38,$D$19)&lt;MAX($P$708*($B751+IF($R$17="Distrato",$I$38-1,0)),IF(AND($L$711=0,$P$708=0),"",$L$711-1),IF($R$17="Distrato",$E751,0))),0,YEARFRAC(MAX($P$708*($B751+IF($R$17="Distrato",$I$38-1,0)),IF(AND($L$711=0,$P$708=0),"",$L$711-1),IF($R$17="Distrato",$E751,0)),MIN(AU$38,$D$19),$P$20))-SUM($P751:AT751)</f>
        <v>#VALUE!</v>
      </c>
      <c r="AV751" s="446" t="e">
        <f>IF(OR($B751="",MIN(AV$38,$D$19)&lt;MAX($P$708*($B751+IF($R$17="Distrato",$I$38-1,0)),IF(AND($L$711=0,$P$708=0),"",$L$711-1),IF($R$17="Distrato",$E751,0))),0,YEARFRAC(MAX($P$708*($B751+IF($R$17="Distrato",$I$38-1,0)),IF(AND($L$711=0,$P$708=0),"",$L$711-1),IF($R$17="Distrato",$E751,0)),MIN(AV$38,$D$19),$P$20))-SUM($P751:AU751)</f>
        <v>#VALUE!</v>
      </c>
      <c r="AW751" s="446" t="e">
        <f>IF(OR($B751="",MIN(AW$38,$D$19)&lt;MAX($P$708*($B751+IF($R$17="Distrato",$I$38-1,0)),IF(AND($L$711=0,$P$708=0),"",$L$711-1),IF($R$17="Distrato",$E751,0))),0,YEARFRAC(MAX($P$708*($B751+IF($R$17="Distrato",$I$38-1,0)),IF(AND($L$711=0,$P$708=0),"",$L$711-1),IF($R$17="Distrato",$E751,0)),MIN(AW$38,$D$19),$P$20))-SUM($P751:AV751)</f>
        <v>#VALUE!</v>
      </c>
      <c r="AX751" s="446" t="e">
        <f>IF(OR($B751="",MIN(AX$38,$D$19)&lt;MAX($P$708*($B751+IF($R$17="Distrato",$I$38-1,0)),IF(AND($L$711=0,$P$708=0),"",$L$711-1),IF($R$17="Distrato",$E751,0))),0,YEARFRAC(MAX($P$708*($B751+IF($R$17="Distrato",$I$38-1,0)),IF(AND($L$711=0,$P$708=0),"",$L$711-1),IF($R$17="Distrato",$E751,0)),MIN(AX$38,$D$19),$P$20))-SUM($P751:AW751)</f>
        <v>#VALUE!</v>
      </c>
      <c r="AY751" s="446" t="e">
        <f>IF(OR($B751="",MIN(AY$38,$D$19)&lt;MAX($P$708*($B751+IF($R$17="Distrato",$I$38-1,0)),IF(AND($L$711=0,$P$708=0),"",$L$711-1),IF($R$17="Distrato",$E751,0))),0,YEARFRAC(MAX($P$708*($B751+IF($R$17="Distrato",$I$38-1,0)),IF(AND($L$711=0,$P$708=0),"",$L$711-1),IF($R$17="Distrato",$E751,0)),MIN(AY$38,$D$19),$P$20))-SUM($P751:AX751)</f>
        <v>#VALUE!</v>
      </c>
      <c r="AZ751" s="446" t="e">
        <f>IF(OR($B751="",MIN(AZ$38,$D$19)&lt;MAX($P$708*($B751+IF($R$17="Distrato",$I$38-1,0)),IF(AND($L$711=0,$P$708=0),"",$L$711-1),IF($R$17="Distrato",$E751,0))),0,YEARFRAC(MAX($P$708*($B751+IF($R$17="Distrato",$I$38-1,0)),IF(AND($L$711=0,$P$708=0),"",$L$711-1),IF($R$17="Distrato",$E751,0)),MIN(AZ$38,$D$19),$P$20))-SUM($P751:AY751)</f>
        <v>#VALUE!</v>
      </c>
      <c r="BA751" s="446" t="e">
        <f>IF(OR($B751="",MIN(BA$38,$D$19)&lt;MAX($P$708*($B751+IF($R$17="Distrato",$I$38-1,0)),IF(AND($L$711=0,$P$708=0),"",$L$711-1),IF($R$17="Distrato",$E751,0))),0,YEARFRAC(MAX($P$708*($B751+IF($R$17="Distrato",$I$38-1,0)),IF(AND($L$711=0,$P$708=0),"",$L$711-1),IF($R$17="Distrato",$E751,0)),MIN(BA$38,$D$19),$P$20))-SUM($P751:AZ751)</f>
        <v>#VALUE!</v>
      </c>
      <c r="BB751" s="447"/>
    </row>
    <row r="752" spans="1:54" s="446" customFormat="1" ht="11.25" hidden="1" customHeight="1" x14ac:dyDescent="0.2">
      <c r="A752" s="235"/>
      <c r="B752" s="236"/>
      <c r="C752" s="29" t="str">
        <f>IF(B752="","",IF($L$709=$BL$25,VLOOKUP(DATE(YEAR($D$19),MONTH($D$19)-1,1),ÍNDICES!$A:$DE,HLOOKUP($BL$25,ÍNDICES!$B$3:$T$4,2)+11)-VLOOKUP(B752,ÍNDICES!$A:$DE,HLOOKUP($BL$25,ÍNDICES!$B$3:$T$4,2)+11)+1%,IF(C$712=$W$26,$J$35,IF(ISERROR(IF(B752&gt;$D$19,1,VLOOKUP(DATE(YEAR(B752),MONTH(B752)+IF($C$709=$S$23,1,0),1),ÍNDICES!$A:$DE,$Z$709+1))),"",IF(B752&gt;$D$19,1,VLOOKUP(DATE(YEAR(B752),MONTH(B752)+IF($C$709=$S$23,1,0),1),ÍNDICES!$A:$DE,$Z$709+1))))))</f>
        <v/>
      </c>
      <c r="D752" s="155"/>
      <c r="E752" s="88"/>
      <c r="F752" s="88"/>
      <c r="G752" s="88"/>
      <c r="H752" s="118"/>
      <c r="I752" s="182">
        <f t="shared" si="115"/>
        <v>0</v>
      </c>
      <c r="J752" s="20">
        <f t="shared" ca="1" si="116"/>
        <v>0</v>
      </c>
      <c r="K752" s="5">
        <f t="shared" ca="1" si="117"/>
        <v>0</v>
      </c>
      <c r="L752" s="61">
        <f t="shared" ca="1" si="118"/>
        <v>0</v>
      </c>
      <c r="M752" s="64">
        <f t="shared" si="119"/>
        <v>0</v>
      </c>
      <c r="N752" s="151"/>
      <c r="O752" s="5">
        <f t="shared" ca="1" si="120"/>
        <v>0</v>
      </c>
      <c r="P752" s="446" t="e">
        <f t="shared" si="121"/>
        <v>#VALUE!</v>
      </c>
      <c r="Q752" s="446" t="e">
        <f>IF(OR($B752="",MIN(Q$38,$D$19)&lt;MAX($P$708*($B752+IF($R$17="Distrato",$I$38-1,0)),IF(AND($L$711=0,$P$708=0),"",$L$711-1),IF($R$17="Distrato",$E752,0))),0,YEARFRAC(MAX($P$708*($B752+IF($R$17="Distrato",$I$38-1,0)),IF(AND($L$711=0,$P$708=0),"",$L$711-1),IF($R$17="Distrato",$E752,0)),MIN(Q$38,$D$19),$P$20))-SUM($P752:P752)</f>
        <v>#VALUE!</v>
      </c>
      <c r="R752" s="446" t="e">
        <f>IF(OR($B752="",MIN(R$38,$D$19)&lt;MAX($P$708*($B752+IF($R$17="Distrato",$I$38-1,0)),IF(AND($L$711=0,$P$708=0),"",$L$711-1),IF($R$17="Distrato",$E752,0))),0,YEARFRAC(MAX($P$708*($B752+IF($R$17="Distrato",$I$38-1,0)),IF(AND($L$711=0,$P$708=0),"",$L$711-1),IF($R$17="Distrato",$E752,0)),MIN(R$38,$D$19),$P$20))-SUM($P752:Q752)</f>
        <v>#VALUE!</v>
      </c>
      <c r="S752" s="446" t="e">
        <f>IF(OR($B752="",MIN(S$38,$D$19)&lt;MAX($P$708*($B752+IF($R$17="Distrato",$I$38-1,0)),IF(AND($L$711=0,$P$708=0),"",$L$711-1),IF($R$17="Distrato",$E752,0))),0,YEARFRAC(MAX($P$708*($B752+IF($R$17="Distrato",$I$38-1,0)),IF(AND($L$711=0,$P$708=0),"",$L$711-1),IF($R$17="Distrato",$E752,0)),MIN(S$38,$D$19),$P$20))-SUM($P752:R752)</f>
        <v>#VALUE!</v>
      </c>
      <c r="T752" s="446" t="e">
        <f>IF(OR($B752="",MIN(T$38,$D$19)&lt;MAX($P$708*($B752+IF($R$17="Distrato",$I$38-1,0)),IF(AND($L$711=0,$P$708=0),"",$L$711-1),IF($R$17="Distrato",$E752,0))),0,YEARFRAC(MAX($P$708*($B752+IF($R$17="Distrato",$I$38-1,0)),IF(AND($L$711=0,$P$708=0),"",$L$711-1),IF($R$17="Distrato",$E752,0)),MIN(T$38,$D$19),$P$20))-SUM($P752:S752)</f>
        <v>#VALUE!</v>
      </c>
      <c r="U752" s="446" t="e">
        <f>IF(OR($B752="",MIN(U$38,$D$19)&lt;MAX($P$708*($B752+IF($R$17="Distrato",$I$38-1,0)),IF(AND($L$711=0,$P$708=0),"",$L$711-1),IF($R$17="Distrato",$E752,0))),0,YEARFRAC(MAX($P$708*($B752+IF($R$17="Distrato",$I$38-1,0)),IF(AND($L$711=0,$P$708=0),"",$L$711-1),IF($R$17="Distrato",$E752,0)),MIN(U$38,$D$19),$P$20))-SUM($P752:T752)</f>
        <v>#VALUE!</v>
      </c>
      <c r="V752" s="446" t="e">
        <f>IF(OR($B752="",MIN(V$38,$D$19)&lt;MAX($P$708*($B752+IF($R$17="Distrato",$I$38-1,0)),IF(AND($L$711=0,$P$708=0),"",$L$711-1),IF($R$17="Distrato",$E752,0))),0,YEARFRAC(MAX($P$708*($B752+IF($R$17="Distrato",$I$38-1,0)),IF(AND($L$711=0,$P$708=0),"",$L$711-1),IF($R$17="Distrato",$E752,0)),MIN(V$38,$D$19),$P$20))-SUM($P752:U752)</f>
        <v>#VALUE!</v>
      </c>
      <c r="W752" s="446" t="e">
        <f>IF(OR($B752="",MIN(W$38,$D$19)&lt;MAX($P$708*($B752+IF($R$17="Distrato",$I$38-1,0)),IF(AND($L$711=0,$P$708=0),"",$L$711-1),IF($R$17="Distrato",$E752,0))),0,YEARFRAC(MAX($P$708*($B752+IF($R$17="Distrato",$I$38-1,0)),IF(AND($L$711=0,$P$708=0),"",$L$711-1),IF($R$17="Distrato",$E752,0)),MIN(W$38,$D$19),$P$20))-SUM($P752:V752)</f>
        <v>#VALUE!</v>
      </c>
      <c r="X752" s="446" t="e">
        <f>IF(OR($B752="",MIN(X$38,$D$19)&lt;MAX($P$708*($B752+IF($R$17="Distrato",$I$38-1,0)),IF(AND($L$711=0,$P$708=0),"",$L$711-1),IF($R$17="Distrato",$E752,0))),0,YEARFRAC(MAX($P$708*($B752+IF($R$17="Distrato",$I$38-1,0)),IF(AND($L$711=0,$P$708=0),"",$L$711-1),IF($R$17="Distrato",$E752,0)),MIN(X$38,$D$19),$P$20))-SUM($P752:W752)</f>
        <v>#VALUE!</v>
      </c>
      <c r="Y752" s="446" t="e">
        <f>IF(OR($B752="",MIN(Y$38,$D$19)&lt;MAX($P$708*($B752+IF($R$17="Distrato",$I$38-1,0)),IF(AND($L$711=0,$P$708=0),"",$L$711-1),IF($R$17="Distrato",$E752,0))),0,YEARFRAC(MAX($P$708*($B752+IF($R$17="Distrato",$I$38-1,0)),IF(AND($L$711=0,$P$708=0),"",$L$711-1),IF($R$17="Distrato",$E752,0)),MIN(Y$38,$D$19),$P$20))-SUM($P752:X752)</f>
        <v>#VALUE!</v>
      </c>
      <c r="Z752" s="446" t="e">
        <f>IF(OR($B752="",MIN(Z$38,$D$19)&lt;MAX($P$708*($B752+IF($R$17="Distrato",$I$38-1,0)),IF(AND($L$711=0,$P$708=0),"",$L$711-1),IF($R$17="Distrato",$E752,0))),0,YEARFRAC(MAX($P$708*($B752+IF($R$17="Distrato",$I$38-1,0)),IF(AND($L$711=0,$P$708=0),"",$L$711-1),IF($R$17="Distrato",$E752,0)),MIN(Z$38,$D$19),$P$20))-SUM($P752:Y752)</f>
        <v>#VALUE!</v>
      </c>
      <c r="AA752" s="446" t="e">
        <f>IF(OR($B752="",MIN(AA$38,$D$19)&lt;MAX($P$708*($B752+IF($R$17="Distrato",$I$38-1,0)),IF(AND($L$711=0,$P$708=0),"",$L$711-1),IF($R$17="Distrato",$E752,0))),0,YEARFRAC(MAX($P$708*($B752+IF($R$17="Distrato",$I$38-1,0)),IF(AND($L$711=0,$P$708=0),"",$L$711-1),IF($R$17="Distrato",$E752,0)),MIN(AA$38,$D$19),$P$20))-SUM($P752:Z752)</f>
        <v>#VALUE!</v>
      </c>
      <c r="AB752" s="446" t="e">
        <f>IF(OR($B752="",MIN(AB$38,$D$19)&lt;MAX($P$708*($B752+IF($R$17="Distrato",$I$38-1,0)),IF(AND($L$711=0,$P$708=0),"",$L$711-1),IF($R$17="Distrato",$E752,0))),0,YEARFRAC(MAX($P$708*($B752+IF($R$17="Distrato",$I$38-1,0)),IF(AND($L$711=0,$P$708=0),"",$L$711-1),IF($R$17="Distrato",$E752,0)),MIN(AB$38,$D$19),$P$20))-SUM($P752:AA752)</f>
        <v>#VALUE!</v>
      </c>
      <c r="AC752" s="446" t="e">
        <f>IF(OR($B752="",MIN(AC$38,$D$19)&lt;MAX($P$708*($B752+IF($R$17="Distrato",$I$38-1,0)),IF(AND($L$711=0,$P$708=0),"",$L$711-1),IF($R$17="Distrato",$E752,0))),0,YEARFRAC(MAX($P$708*($B752+IF($R$17="Distrato",$I$38-1,0)),IF(AND($L$711=0,$P$708=0),"",$L$711-1),IF($R$17="Distrato",$E752,0)),MIN(AC$38,$D$19),$P$20))-SUM($P752:AB752)</f>
        <v>#VALUE!</v>
      </c>
      <c r="AD752" s="446" t="e">
        <f>IF(OR($B752="",MIN(AD$38,$D$19)&lt;MAX($P$708*($B752+IF($R$17="Distrato",$I$38-1,0)),IF(AND($L$711=0,$P$708=0),"",$L$711-1),IF($R$17="Distrato",$E752,0))),0,YEARFRAC(MAX($P$708*($B752+IF($R$17="Distrato",$I$38-1,0)),IF(AND($L$711=0,$P$708=0),"",$L$711-1),IF($R$17="Distrato",$E752,0)),MIN(AD$38,$D$19),$P$20))-SUM($P752:AC752)</f>
        <v>#VALUE!</v>
      </c>
      <c r="AE752" s="446" t="e">
        <f>IF(OR($B752="",MIN(AE$38,$D$19)&lt;MAX($P$708*($B752+IF($R$17="Distrato",$I$38-1,0)),IF(AND($L$711=0,$P$708=0),"",$L$711-1),IF($R$17="Distrato",$E752,0))),0,YEARFRAC(MAX($P$708*($B752+IF($R$17="Distrato",$I$38-1,0)),IF(AND($L$711=0,$P$708=0),"",$L$711-1),IF($R$17="Distrato",$E752,0)),MIN(AE$38,$D$19),$P$20))-SUM($P752:AD752)</f>
        <v>#VALUE!</v>
      </c>
      <c r="AF752" s="446" t="e">
        <f>IF(OR($B752="",MIN(AF$38,$D$19)&lt;MAX($P$708*($B752+IF($R$17="Distrato",$I$38-1,0)),IF(AND($L$711=0,$P$708=0),"",$L$711-1),IF($R$17="Distrato",$E752,0))),0,YEARFRAC(MAX($P$708*($B752+IF($R$17="Distrato",$I$38-1,0)),IF(AND($L$711=0,$P$708=0),"",$L$711-1),IF($R$17="Distrato",$E752,0)),MIN(AF$38,$D$19),$P$20))-SUM($P752:AE752)</f>
        <v>#VALUE!</v>
      </c>
      <c r="AG752" s="446" t="e">
        <f>IF(OR($B752="",MIN(AG$38,$D$19)&lt;MAX($P$708*($B752+IF($R$17="Distrato",$I$38-1,0)),IF(AND($L$711=0,$P$708=0),"",$L$711-1),IF($R$17="Distrato",$E752,0))),0,YEARFRAC(MAX($P$708*($B752+IF($R$17="Distrato",$I$38-1,0)),IF(AND($L$711=0,$P$708=0),"",$L$711-1),IF($R$17="Distrato",$E752,0)),MIN(AG$38,$D$19),$P$20))-SUM($P752:AF752)</f>
        <v>#VALUE!</v>
      </c>
      <c r="AH752" s="446" t="e">
        <f>IF(OR($B752="",MIN(AH$38,$D$19)&lt;MAX($P$708*($B752+IF($R$17="Distrato",$I$38-1,0)),IF(AND($L$711=0,$P$708=0),"",$L$711-1),IF($R$17="Distrato",$E752,0))),0,YEARFRAC(MAX($P$708*($B752+IF($R$17="Distrato",$I$38-1,0)),IF(AND($L$711=0,$P$708=0),"",$L$711-1),IF($R$17="Distrato",$E752,0)),MIN(AH$38,$D$19),$P$20))-SUM($P752:AG752)</f>
        <v>#VALUE!</v>
      </c>
      <c r="AI752" s="446" t="e">
        <f>IF(OR($B752="",MIN(AI$38,$D$19)&lt;MAX($P$708*($B752+IF($R$17="Distrato",$I$38-1,0)),IF(AND($L$711=0,$P$708=0),"",$L$711-1),IF($R$17="Distrato",$E752,0))),0,YEARFRAC(MAX($P$708*($B752+IF($R$17="Distrato",$I$38-1,0)),IF(AND($L$711=0,$P$708=0),"",$L$711-1),IF($R$17="Distrato",$E752,0)),MIN(AI$38,$D$19),$P$20))-SUM($P752:AH752)</f>
        <v>#VALUE!</v>
      </c>
      <c r="AJ752" s="446" t="e">
        <f>IF(OR($B752="",MIN(AJ$38,$D$19)&lt;MAX($P$708*($B752+IF($R$17="Distrato",$I$38-1,0)),IF(AND($L$711=0,$P$708=0),"",$L$711-1),IF($R$17="Distrato",$E752,0))),0,YEARFRAC(MAX($P$708*($B752+IF($R$17="Distrato",$I$38-1,0)),IF(AND($L$711=0,$P$708=0),"",$L$711-1),IF($R$17="Distrato",$E752,0)),MIN(AJ$38,$D$19),$P$20))-SUM($P752:AI752)</f>
        <v>#VALUE!</v>
      </c>
      <c r="AK752" s="446" t="e">
        <f>IF(OR($B752="",MIN(AK$38,$D$19)&lt;MAX($P$708*($B752+IF($R$17="Distrato",$I$38-1,0)),IF(AND($L$711=0,$P$708=0),"",$L$711-1),IF($R$17="Distrato",$E752,0))),0,YEARFRAC(MAX($P$708*($B752+IF($R$17="Distrato",$I$38-1,0)),IF(AND($L$711=0,$P$708=0),"",$L$711-1),IF($R$17="Distrato",$E752,0)),MIN(AK$38,$D$19),$P$20))-SUM($P752:AJ752)</f>
        <v>#VALUE!</v>
      </c>
      <c r="AL752" s="446" t="e">
        <f>IF(OR($B752="",MIN(AL$38,$D$19)&lt;MAX($P$708*($B752+IF($R$17="Distrato",$I$38-1,0)),IF(AND($L$711=0,$P$708=0),"",$L$711-1),IF($R$17="Distrato",$E752,0))),0,YEARFRAC(MAX($P$708*($B752+IF($R$17="Distrato",$I$38-1,0)),IF(AND($L$711=0,$P$708=0),"",$L$711-1),IF($R$17="Distrato",$E752,0)),MIN(AL$38,$D$19),$P$20))-SUM($P752:AK752)</f>
        <v>#VALUE!</v>
      </c>
      <c r="AM752" s="446" t="e">
        <f>IF(OR($B752="",MIN(AM$38,$D$19)&lt;MAX($P$708*($B752+IF($R$17="Distrato",$I$38-1,0)),IF(AND($L$711=0,$P$708=0),"",$L$711-1),IF($R$17="Distrato",$E752,0))),0,YEARFRAC(MAX($P$708*($B752+IF($R$17="Distrato",$I$38-1,0)),IF(AND($L$711=0,$P$708=0),"",$L$711-1),IF($R$17="Distrato",$E752,0)),MIN(AM$38,$D$19),$P$20))-SUM($P752:AL752)</f>
        <v>#VALUE!</v>
      </c>
      <c r="AN752" s="446" t="e">
        <f>IF(OR($B752="",MIN(AN$38,$D$19)&lt;MAX($P$708*($B752+IF($R$17="Distrato",$I$38-1,0)),IF(AND($L$711=0,$P$708=0),"",$L$711-1),IF($R$17="Distrato",$E752,0))),0,YEARFRAC(MAX($P$708*($B752+IF($R$17="Distrato",$I$38-1,0)),IF(AND($L$711=0,$P$708=0),"",$L$711-1),IF($R$17="Distrato",$E752,0)),MIN(AN$38,$D$19),$P$20))-SUM($P752:AM752)</f>
        <v>#VALUE!</v>
      </c>
      <c r="AO752" s="446" t="e">
        <f>IF(OR($B752="",MIN(AO$38,$D$19)&lt;MAX($P$708*($B752+IF($R$17="Distrato",$I$38-1,0)),IF(AND($L$711=0,$P$708=0),"",$L$711-1),IF($R$17="Distrato",$E752,0))),0,YEARFRAC(MAX($P$708*($B752+IF($R$17="Distrato",$I$38-1,0)),IF(AND($L$711=0,$P$708=0),"",$L$711-1),IF($R$17="Distrato",$E752,0)),MIN(AO$38,$D$19),$P$20))-SUM($P752:AN752)</f>
        <v>#VALUE!</v>
      </c>
      <c r="AP752" s="446" t="e">
        <f>IF(OR($B752="",MIN(AP$38,$D$19)&lt;MAX($P$708*($B752+IF($R$17="Distrato",$I$38-1,0)),IF(AND($L$711=0,$P$708=0),"",$L$711-1),IF($R$17="Distrato",$E752,0))),0,YEARFRAC(MAX($P$708*($B752+IF($R$17="Distrato",$I$38-1,0)),IF(AND($L$711=0,$P$708=0),"",$L$711-1),IF($R$17="Distrato",$E752,0)),MIN(AP$38,$D$19),$P$20))-SUM($P752:AO752)</f>
        <v>#VALUE!</v>
      </c>
      <c r="AQ752" s="446" t="e">
        <f>IF(OR($B752="",MIN(AQ$38,$D$19)&lt;MAX($P$708*($B752+IF($R$17="Distrato",$I$38-1,0)),IF(AND($L$711=0,$P$708=0),"",$L$711-1),IF($R$17="Distrato",$E752,0))),0,YEARFRAC(MAX($P$708*($B752+IF($R$17="Distrato",$I$38-1,0)),IF(AND($L$711=0,$P$708=0),"",$L$711-1),IF($R$17="Distrato",$E752,0)),MIN(AQ$38,$D$19),$P$20))-SUM($P752:AP752)</f>
        <v>#VALUE!</v>
      </c>
      <c r="AR752" s="446" t="e">
        <f>IF(OR($B752="",MIN(AR$38,$D$19)&lt;MAX($P$708*($B752+IF($R$17="Distrato",$I$38-1,0)),IF(AND($L$711=0,$P$708=0),"",$L$711-1),IF($R$17="Distrato",$E752,0))),0,YEARFRAC(MAX($P$708*($B752+IF($R$17="Distrato",$I$38-1,0)),IF(AND($L$711=0,$P$708=0),"",$L$711-1),IF($R$17="Distrato",$E752,0)),MIN(AR$38,$D$19),$P$20))-SUM($P752:AQ752)</f>
        <v>#VALUE!</v>
      </c>
      <c r="AS752" s="446" t="e">
        <f>IF(OR($B752="",MIN(AS$38,$D$19)&lt;MAX($P$708*($B752+IF($R$17="Distrato",$I$38-1,0)),IF(AND($L$711=0,$P$708=0),"",$L$711-1),IF($R$17="Distrato",$E752,0))),0,YEARFRAC(MAX($P$708*($B752+IF($R$17="Distrato",$I$38-1,0)),IF(AND($L$711=0,$P$708=0),"",$L$711-1),IF($R$17="Distrato",$E752,0)),MIN(AS$38,$D$19),$P$20))-SUM($P752:AR752)</f>
        <v>#VALUE!</v>
      </c>
      <c r="AT752" s="446" t="e">
        <f>IF(OR($B752="",MIN(AT$38,$D$19)&lt;MAX($P$708*($B752+IF($R$17="Distrato",$I$38-1,0)),IF(AND($L$711=0,$P$708=0),"",$L$711-1),IF($R$17="Distrato",$E752,0))),0,YEARFRAC(MAX($P$708*($B752+IF($R$17="Distrato",$I$38-1,0)),IF(AND($L$711=0,$P$708=0),"",$L$711-1),IF($R$17="Distrato",$E752,0)),MIN(AT$38,$D$19),$P$20))-SUM($P752:AS752)</f>
        <v>#VALUE!</v>
      </c>
      <c r="AU752" s="446" t="e">
        <f>IF(OR($B752="",MIN(AU$38,$D$19)&lt;MAX($P$708*($B752+IF($R$17="Distrato",$I$38-1,0)),IF(AND($L$711=0,$P$708=0),"",$L$711-1),IF($R$17="Distrato",$E752,0))),0,YEARFRAC(MAX($P$708*($B752+IF($R$17="Distrato",$I$38-1,0)),IF(AND($L$711=0,$P$708=0),"",$L$711-1),IF($R$17="Distrato",$E752,0)),MIN(AU$38,$D$19),$P$20))-SUM($P752:AT752)</f>
        <v>#VALUE!</v>
      </c>
      <c r="AV752" s="446" t="e">
        <f>IF(OR($B752="",MIN(AV$38,$D$19)&lt;MAX($P$708*($B752+IF($R$17="Distrato",$I$38-1,0)),IF(AND($L$711=0,$P$708=0),"",$L$711-1),IF($R$17="Distrato",$E752,0))),0,YEARFRAC(MAX($P$708*($B752+IF($R$17="Distrato",$I$38-1,0)),IF(AND($L$711=0,$P$708=0),"",$L$711-1),IF($R$17="Distrato",$E752,0)),MIN(AV$38,$D$19),$P$20))-SUM($P752:AU752)</f>
        <v>#VALUE!</v>
      </c>
      <c r="AW752" s="446" t="e">
        <f>IF(OR($B752="",MIN(AW$38,$D$19)&lt;MAX($P$708*($B752+IF($R$17="Distrato",$I$38-1,0)),IF(AND($L$711=0,$P$708=0),"",$L$711-1),IF($R$17="Distrato",$E752,0))),0,YEARFRAC(MAX($P$708*($B752+IF($R$17="Distrato",$I$38-1,0)),IF(AND($L$711=0,$P$708=0),"",$L$711-1),IF($R$17="Distrato",$E752,0)),MIN(AW$38,$D$19),$P$20))-SUM($P752:AV752)</f>
        <v>#VALUE!</v>
      </c>
      <c r="AX752" s="446" t="e">
        <f>IF(OR($B752="",MIN(AX$38,$D$19)&lt;MAX($P$708*($B752+IF($R$17="Distrato",$I$38-1,0)),IF(AND($L$711=0,$P$708=0),"",$L$711-1),IF($R$17="Distrato",$E752,0))),0,YEARFRAC(MAX($P$708*($B752+IF($R$17="Distrato",$I$38-1,0)),IF(AND($L$711=0,$P$708=0),"",$L$711-1),IF($R$17="Distrato",$E752,0)),MIN(AX$38,$D$19),$P$20))-SUM($P752:AW752)</f>
        <v>#VALUE!</v>
      </c>
      <c r="AY752" s="446" t="e">
        <f>IF(OR($B752="",MIN(AY$38,$D$19)&lt;MAX($P$708*($B752+IF($R$17="Distrato",$I$38-1,0)),IF(AND($L$711=0,$P$708=0),"",$L$711-1),IF($R$17="Distrato",$E752,0))),0,YEARFRAC(MAX($P$708*($B752+IF($R$17="Distrato",$I$38-1,0)),IF(AND($L$711=0,$P$708=0),"",$L$711-1),IF($R$17="Distrato",$E752,0)),MIN(AY$38,$D$19),$P$20))-SUM($P752:AX752)</f>
        <v>#VALUE!</v>
      </c>
      <c r="AZ752" s="446" t="e">
        <f>IF(OR($B752="",MIN(AZ$38,$D$19)&lt;MAX($P$708*($B752+IF($R$17="Distrato",$I$38-1,0)),IF(AND($L$711=0,$P$708=0),"",$L$711-1),IF($R$17="Distrato",$E752,0))),0,YEARFRAC(MAX($P$708*($B752+IF($R$17="Distrato",$I$38-1,0)),IF(AND($L$711=0,$P$708=0),"",$L$711-1),IF($R$17="Distrato",$E752,0)),MIN(AZ$38,$D$19),$P$20))-SUM($P752:AY752)</f>
        <v>#VALUE!</v>
      </c>
      <c r="BA752" s="446" t="e">
        <f>IF(OR($B752="",MIN(BA$38,$D$19)&lt;MAX($P$708*($B752+IF($R$17="Distrato",$I$38-1,0)),IF(AND($L$711=0,$P$708=0),"",$L$711-1),IF($R$17="Distrato",$E752,0))),0,YEARFRAC(MAX($P$708*($B752+IF($R$17="Distrato",$I$38-1,0)),IF(AND($L$711=0,$P$708=0),"",$L$711-1),IF($R$17="Distrato",$E752,0)),MIN(BA$38,$D$19),$P$20))-SUM($P752:AZ752)</f>
        <v>#VALUE!</v>
      </c>
      <c r="BB752" s="447"/>
    </row>
    <row r="753" spans="1:54" s="446" customFormat="1" ht="11.25" hidden="1" customHeight="1" x14ac:dyDescent="0.2">
      <c r="A753" s="235"/>
      <c r="B753" s="236"/>
      <c r="C753" s="29" t="str">
        <f>IF(B753="","",IF($L$709=$BL$25,VLOOKUP(DATE(YEAR($D$19),MONTH($D$19)-1,1),ÍNDICES!$A:$DE,HLOOKUP($BL$25,ÍNDICES!$B$3:$T$4,2)+11)-VLOOKUP(B753,ÍNDICES!$A:$DE,HLOOKUP($BL$25,ÍNDICES!$B$3:$T$4,2)+11)+1%,IF(C$712=$W$26,$J$35,IF(ISERROR(IF(B753&gt;$D$19,1,VLOOKUP(DATE(YEAR(B753),MONTH(B753)+IF($C$709=$S$23,1,0),1),ÍNDICES!$A:$DE,$Z$709+1))),"",IF(B753&gt;$D$19,1,VLOOKUP(DATE(YEAR(B753),MONTH(B753)+IF($C$709=$S$23,1,0),1),ÍNDICES!$A:$DE,$Z$709+1))))))</f>
        <v/>
      </c>
      <c r="D753" s="155"/>
      <c r="E753" s="88"/>
      <c r="F753" s="88"/>
      <c r="G753" s="88"/>
      <c r="H753" s="118"/>
      <c r="I753" s="182">
        <f t="shared" si="115"/>
        <v>0</v>
      </c>
      <c r="J753" s="20">
        <f t="shared" ca="1" si="116"/>
        <v>0</v>
      </c>
      <c r="K753" s="5">
        <f t="shared" ca="1" si="117"/>
        <v>0</v>
      </c>
      <c r="L753" s="61">
        <f t="shared" ca="1" si="118"/>
        <v>0</v>
      </c>
      <c r="M753" s="64">
        <f t="shared" si="119"/>
        <v>0</v>
      </c>
      <c r="N753" s="151"/>
      <c r="O753" s="5">
        <f t="shared" ca="1" si="120"/>
        <v>0</v>
      </c>
      <c r="P753" s="446" t="e">
        <f t="shared" si="121"/>
        <v>#VALUE!</v>
      </c>
      <c r="Q753" s="446" t="e">
        <f>IF(OR($B753="",MIN(Q$38,$D$19)&lt;MAX($P$708*($B753+IF($R$17="Distrato",$I$38-1,0)),IF(AND($L$711=0,$P$708=0),"",$L$711-1),IF($R$17="Distrato",$E753,0))),0,YEARFRAC(MAX($P$708*($B753+IF($R$17="Distrato",$I$38-1,0)),IF(AND($L$711=0,$P$708=0),"",$L$711-1),IF($R$17="Distrato",$E753,0)),MIN(Q$38,$D$19),$P$20))-SUM($P753:P753)</f>
        <v>#VALUE!</v>
      </c>
      <c r="R753" s="446" t="e">
        <f>IF(OR($B753="",MIN(R$38,$D$19)&lt;MAX($P$708*($B753+IF($R$17="Distrato",$I$38-1,0)),IF(AND($L$711=0,$P$708=0),"",$L$711-1),IF($R$17="Distrato",$E753,0))),0,YEARFRAC(MAX($P$708*($B753+IF($R$17="Distrato",$I$38-1,0)),IF(AND($L$711=0,$P$708=0),"",$L$711-1),IF($R$17="Distrato",$E753,0)),MIN(R$38,$D$19),$P$20))-SUM($P753:Q753)</f>
        <v>#VALUE!</v>
      </c>
      <c r="S753" s="446" t="e">
        <f>IF(OR($B753="",MIN(S$38,$D$19)&lt;MAX($P$708*($B753+IF($R$17="Distrato",$I$38-1,0)),IF(AND($L$711=0,$P$708=0),"",$L$711-1),IF($R$17="Distrato",$E753,0))),0,YEARFRAC(MAX($P$708*($B753+IF($R$17="Distrato",$I$38-1,0)),IF(AND($L$711=0,$P$708=0),"",$L$711-1),IF($R$17="Distrato",$E753,0)),MIN(S$38,$D$19),$P$20))-SUM($P753:R753)</f>
        <v>#VALUE!</v>
      </c>
      <c r="T753" s="446" t="e">
        <f>IF(OR($B753="",MIN(T$38,$D$19)&lt;MAX($P$708*($B753+IF($R$17="Distrato",$I$38-1,0)),IF(AND($L$711=0,$P$708=0),"",$L$711-1),IF($R$17="Distrato",$E753,0))),0,YEARFRAC(MAX($P$708*($B753+IF($R$17="Distrato",$I$38-1,0)),IF(AND($L$711=0,$P$708=0),"",$L$711-1),IF($R$17="Distrato",$E753,0)),MIN(T$38,$D$19),$P$20))-SUM($P753:S753)</f>
        <v>#VALUE!</v>
      </c>
      <c r="U753" s="446" t="e">
        <f>IF(OR($B753="",MIN(U$38,$D$19)&lt;MAX($P$708*($B753+IF($R$17="Distrato",$I$38-1,0)),IF(AND($L$711=0,$P$708=0),"",$L$711-1),IF($R$17="Distrato",$E753,0))),0,YEARFRAC(MAX($P$708*($B753+IF($R$17="Distrato",$I$38-1,0)),IF(AND($L$711=0,$P$708=0),"",$L$711-1),IF($R$17="Distrato",$E753,0)),MIN(U$38,$D$19),$P$20))-SUM($P753:T753)</f>
        <v>#VALUE!</v>
      </c>
      <c r="V753" s="446" t="e">
        <f>IF(OR($B753="",MIN(V$38,$D$19)&lt;MAX($P$708*($B753+IF($R$17="Distrato",$I$38-1,0)),IF(AND($L$711=0,$P$708=0),"",$L$711-1),IF($R$17="Distrato",$E753,0))),0,YEARFRAC(MAX($P$708*($B753+IF($R$17="Distrato",$I$38-1,0)),IF(AND($L$711=0,$P$708=0),"",$L$711-1),IF($R$17="Distrato",$E753,0)),MIN(V$38,$D$19),$P$20))-SUM($P753:U753)</f>
        <v>#VALUE!</v>
      </c>
      <c r="W753" s="446" t="e">
        <f>IF(OR($B753="",MIN(W$38,$D$19)&lt;MAX($P$708*($B753+IF($R$17="Distrato",$I$38-1,0)),IF(AND($L$711=0,$P$708=0),"",$L$711-1),IF($R$17="Distrato",$E753,0))),0,YEARFRAC(MAX($P$708*($B753+IF($R$17="Distrato",$I$38-1,0)),IF(AND($L$711=0,$P$708=0),"",$L$711-1),IF($R$17="Distrato",$E753,0)),MIN(W$38,$D$19),$P$20))-SUM($P753:V753)</f>
        <v>#VALUE!</v>
      </c>
      <c r="X753" s="446" t="e">
        <f>IF(OR($B753="",MIN(X$38,$D$19)&lt;MAX($P$708*($B753+IF($R$17="Distrato",$I$38-1,0)),IF(AND($L$711=0,$P$708=0),"",$L$711-1),IF($R$17="Distrato",$E753,0))),0,YEARFRAC(MAX($P$708*($B753+IF($R$17="Distrato",$I$38-1,0)),IF(AND($L$711=0,$P$708=0),"",$L$711-1),IF($R$17="Distrato",$E753,0)),MIN(X$38,$D$19),$P$20))-SUM($P753:W753)</f>
        <v>#VALUE!</v>
      </c>
      <c r="Y753" s="446" t="e">
        <f>IF(OR($B753="",MIN(Y$38,$D$19)&lt;MAX($P$708*($B753+IF($R$17="Distrato",$I$38-1,0)),IF(AND($L$711=0,$P$708=0),"",$L$711-1),IF($R$17="Distrato",$E753,0))),0,YEARFRAC(MAX($P$708*($B753+IF($R$17="Distrato",$I$38-1,0)),IF(AND($L$711=0,$P$708=0),"",$L$711-1),IF($R$17="Distrato",$E753,0)),MIN(Y$38,$D$19),$P$20))-SUM($P753:X753)</f>
        <v>#VALUE!</v>
      </c>
      <c r="Z753" s="446" t="e">
        <f>IF(OR($B753="",MIN(Z$38,$D$19)&lt;MAX($P$708*($B753+IF($R$17="Distrato",$I$38-1,0)),IF(AND($L$711=0,$P$708=0),"",$L$711-1),IF($R$17="Distrato",$E753,0))),0,YEARFRAC(MAX($P$708*($B753+IF($R$17="Distrato",$I$38-1,0)),IF(AND($L$711=0,$P$708=0),"",$L$711-1),IF($R$17="Distrato",$E753,0)),MIN(Z$38,$D$19),$P$20))-SUM($P753:Y753)</f>
        <v>#VALUE!</v>
      </c>
      <c r="AA753" s="446" t="e">
        <f>IF(OR($B753="",MIN(AA$38,$D$19)&lt;MAX($P$708*($B753+IF($R$17="Distrato",$I$38-1,0)),IF(AND($L$711=0,$P$708=0),"",$L$711-1),IF($R$17="Distrato",$E753,0))),0,YEARFRAC(MAX($P$708*($B753+IF($R$17="Distrato",$I$38-1,0)),IF(AND($L$711=0,$P$708=0),"",$L$711-1),IF($R$17="Distrato",$E753,0)),MIN(AA$38,$D$19),$P$20))-SUM($P753:Z753)</f>
        <v>#VALUE!</v>
      </c>
      <c r="AB753" s="446" t="e">
        <f>IF(OR($B753="",MIN(AB$38,$D$19)&lt;MAX($P$708*($B753+IF($R$17="Distrato",$I$38-1,0)),IF(AND($L$711=0,$P$708=0),"",$L$711-1),IF($R$17="Distrato",$E753,0))),0,YEARFRAC(MAX($P$708*($B753+IF($R$17="Distrato",$I$38-1,0)),IF(AND($L$711=0,$P$708=0),"",$L$711-1),IF($R$17="Distrato",$E753,0)),MIN(AB$38,$D$19),$P$20))-SUM($P753:AA753)</f>
        <v>#VALUE!</v>
      </c>
      <c r="AC753" s="446" t="e">
        <f>IF(OR($B753="",MIN(AC$38,$D$19)&lt;MAX($P$708*($B753+IF($R$17="Distrato",$I$38-1,0)),IF(AND($L$711=0,$P$708=0),"",$L$711-1),IF($R$17="Distrato",$E753,0))),0,YEARFRAC(MAX($P$708*($B753+IF($R$17="Distrato",$I$38-1,0)),IF(AND($L$711=0,$P$708=0),"",$L$711-1),IF($R$17="Distrato",$E753,0)),MIN(AC$38,$D$19),$P$20))-SUM($P753:AB753)</f>
        <v>#VALUE!</v>
      </c>
      <c r="AD753" s="446" t="e">
        <f>IF(OR($B753="",MIN(AD$38,$D$19)&lt;MAX($P$708*($B753+IF($R$17="Distrato",$I$38-1,0)),IF(AND($L$711=0,$P$708=0),"",$L$711-1),IF($R$17="Distrato",$E753,0))),0,YEARFRAC(MAX($P$708*($B753+IF($R$17="Distrato",$I$38-1,0)),IF(AND($L$711=0,$P$708=0),"",$L$711-1),IF($R$17="Distrato",$E753,0)),MIN(AD$38,$D$19),$P$20))-SUM($P753:AC753)</f>
        <v>#VALUE!</v>
      </c>
      <c r="AE753" s="446" t="e">
        <f>IF(OR($B753="",MIN(AE$38,$D$19)&lt;MAX($P$708*($B753+IF($R$17="Distrato",$I$38-1,0)),IF(AND($L$711=0,$P$708=0),"",$L$711-1),IF($R$17="Distrato",$E753,0))),0,YEARFRAC(MAX($P$708*($B753+IF($R$17="Distrato",$I$38-1,0)),IF(AND($L$711=0,$P$708=0),"",$L$711-1),IF($R$17="Distrato",$E753,0)),MIN(AE$38,$D$19),$P$20))-SUM($P753:AD753)</f>
        <v>#VALUE!</v>
      </c>
      <c r="AF753" s="446" t="e">
        <f>IF(OR($B753="",MIN(AF$38,$D$19)&lt;MAX($P$708*($B753+IF($R$17="Distrato",$I$38-1,0)),IF(AND($L$711=0,$P$708=0),"",$L$711-1),IF($R$17="Distrato",$E753,0))),0,YEARFRAC(MAX($P$708*($B753+IF($R$17="Distrato",$I$38-1,0)),IF(AND($L$711=0,$P$708=0),"",$L$711-1),IF($R$17="Distrato",$E753,0)),MIN(AF$38,$D$19),$P$20))-SUM($P753:AE753)</f>
        <v>#VALUE!</v>
      </c>
      <c r="AG753" s="446" t="e">
        <f>IF(OR($B753="",MIN(AG$38,$D$19)&lt;MAX($P$708*($B753+IF($R$17="Distrato",$I$38-1,0)),IF(AND($L$711=0,$P$708=0),"",$L$711-1),IF($R$17="Distrato",$E753,0))),0,YEARFRAC(MAX($P$708*($B753+IF($R$17="Distrato",$I$38-1,0)),IF(AND($L$711=0,$P$708=0),"",$L$711-1),IF($R$17="Distrato",$E753,0)),MIN(AG$38,$D$19),$P$20))-SUM($P753:AF753)</f>
        <v>#VALUE!</v>
      </c>
      <c r="AH753" s="446" t="e">
        <f>IF(OR($B753="",MIN(AH$38,$D$19)&lt;MAX($P$708*($B753+IF($R$17="Distrato",$I$38-1,0)),IF(AND($L$711=0,$P$708=0),"",$L$711-1),IF($R$17="Distrato",$E753,0))),0,YEARFRAC(MAX($P$708*($B753+IF($R$17="Distrato",$I$38-1,0)),IF(AND($L$711=0,$P$708=0),"",$L$711-1),IF($R$17="Distrato",$E753,0)),MIN(AH$38,$D$19),$P$20))-SUM($P753:AG753)</f>
        <v>#VALUE!</v>
      </c>
      <c r="AI753" s="446" t="e">
        <f>IF(OR($B753="",MIN(AI$38,$D$19)&lt;MAX($P$708*($B753+IF($R$17="Distrato",$I$38-1,0)),IF(AND($L$711=0,$P$708=0),"",$L$711-1),IF($R$17="Distrato",$E753,0))),0,YEARFRAC(MAX($P$708*($B753+IF($R$17="Distrato",$I$38-1,0)),IF(AND($L$711=0,$P$708=0),"",$L$711-1),IF($R$17="Distrato",$E753,0)),MIN(AI$38,$D$19),$P$20))-SUM($P753:AH753)</f>
        <v>#VALUE!</v>
      </c>
      <c r="AJ753" s="446" t="e">
        <f>IF(OR($B753="",MIN(AJ$38,$D$19)&lt;MAX($P$708*($B753+IF($R$17="Distrato",$I$38-1,0)),IF(AND($L$711=0,$P$708=0),"",$L$711-1),IF($R$17="Distrato",$E753,0))),0,YEARFRAC(MAX($P$708*($B753+IF($R$17="Distrato",$I$38-1,0)),IF(AND($L$711=0,$P$708=0),"",$L$711-1),IF($R$17="Distrato",$E753,0)),MIN(AJ$38,$D$19),$P$20))-SUM($P753:AI753)</f>
        <v>#VALUE!</v>
      </c>
      <c r="AK753" s="446" t="e">
        <f>IF(OR($B753="",MIN(AK$38,$D$19)&lt;MAX($P$708*($B753+IF($R$17="Distrato",$I$38-1,0)),IF(AND($L$711=0,$P$708=0),"",$L$711-1),IF($R$17="Distrato",$E753,0))),0,YEARFRAC(MAX($P$708*($B753+IF($R$17="Distrato",$I$38-1,0)),IF(AND($L$711=0,$P$708=0),"",$L$711-1),IF($R$17="Distrato",$E753,0)),MIN(AK$38,$D$19),$P$20))-SUM($P753:AJ753)</f>
        <v>#VALUE!</v>
      </c>
      <c r="AL753" s="446" t="e">
        <f>IF(OR($B753="",MIN(AL$38,$D$19)&lt;MAX($P$708*($B753+IF($R$17="Distrato",$I$38-1,0)),IF(AND($L$711=0,$P$708=0),"",$L$711-1),IF($R$17="Distrato",$E753,0))),0,YEARFRAC(MAX($P$708*($B753+IF($R$17="Distrato",$I$38-1,0)),IF(AND($L$711=0,$P$708=0),"",$L$711-1),IF($R$17="Distrato",$E753,0)),MIN(AL$38,$D$19),$P$20))-SUM($P753:AK753)</f>
        <v>#VALUE!</v>
      </c>
      <c r="AM753" s="446" t="e">
        <f>IF(OR($B753="",MIN(AM$38,$D$19)&lt;MAX($P$708*($B753+IF($R$17="Distrato",$I$38-1,0)),IF(AND($L$711=0,$P$708=0),"",$L$711-1),IF($R$17="Distrato",$E753,0))),0,YEARFRAC(MAX($P$708*($B753+IF($R$17="Distrato",$I$38-1,0)),IF(AND($L$711=0,$P$708=0),"",$L$711-1),IF($R$17="Distrato",$E753,0)),MIN(AM$38,$D$19),$P$20))-SUM($P753:AL753)</f>
        <v>#VALUE!</v>
      </c>
      <c r="AN753" s="446" t="e">
        <f>IF(OR($B753="",MIN(AN$38,$D$19)&lt;MAX($P$708*($B753+IF($R$17="Distrato",$I$38-1,0)),IF(AND($L$711=0,$P$708=0),"",$L$711-1),IF($R$17="Distrato",$E753,0))),0,YEARFRAC(MAX($P$708*($B753+IF($R$17="Distrato",$I$38-1,0)),IF(AND($L$711=0,$P$708=0),"",$L$711-1),IF($R$17="Distrato",$E753,0)),MIN(AN$38,$D$19),$P$20))-SUM($P753:AM753)</f>
        <v>#VALUE!</v>
      </c>
      <c r="AO753" s="446" t="e">
        <f>IF(OR($B753="",MIN(AO$38,$D$19)&lt;MAX($P$708*($B753+IF($R$17="Distrato",$I$38-1,0)),IF(AND($L$711=0,$P$708=0),"",$L$711-1),IF($R$17="Distrato",$E753,0))),0,YEARFRAC(MAX($P$708*($B753+IF($R$17="Distrato",$I$38-1,0)),IF(AND($L$711=0,$P$708=0),"",$L$711-1),IF($R$17="Distrato",$E753,0)),MIN(AO$38,$D$19),$P$20))-SUM($P753:AN753)</f>
        <v>#VALUE!</v>
      </c>
      <c r="AP753" s="446" t="e">
        <f>IF(OR($B753="",MIN(AP$38,$D$19)&lt;MAX($P$708*($B753+IF($R$17="Distrato",$I$38-1,0)),IF(AND($L$711=0,$P$708=0),"",$L$711-1),IF($R$17="Distrato",$E753,0))),0,YEARFRAC(MAX($P$708*($B753+IF($R$17="Distrato",$I$38-1,0)),IF(AND($L$711=0,$P$708=0),"",$L$711-1),IF($R$17="Distrato",$E753,0)),MIN(AP$38,$D$19),$P$20))-SUM($P753:AO753)</f>
        <v>#VALUE!</v>
      </c>
      <c r="AQ753" s="446" t="e">
        <f>IF(OR($B753="",MIN(AQ$38,$D$19)&lt;MAX($P$708*($B753+IF($R$17="Distrato",$I$38-1,0)),IF(AND($L$711=0,$P$708=0),"",$L$711-1),IF($R$17="Distrato",$E753,0))),0,YEARFRAC(MAX($P$708*($B753+IF($R$17="Distrato",$I$38-1,0)),IF(AND($L$711=0,$P$708=0),"",$L$711-1),IF($R$17="Distrato",$E753,0)),MIN(AQ$38,$D$19),$P$20))-SUM($P753:AP753)</f>
        <v>#VALUE!</v>
      </c>
      <c r="AR753" s="446" t="e">
        <f>IF(OR($B753="",MIN(AR$38,$D$19)&lt;MAX($P$708*($B753+IF($R$17="Distrato",$I$38-1,0)),IF(AND($L$711=0,$P$708=0),"",$L$711-1),IF($R$17="Distrato",$E753,0))),0,YEARFRAC(MAX($P$708*($B753+IF($R$17="Distrato",$I$38-1,0)),IF(AND($L$711=0,$P$708=0),"",$L$711-1),IF($R$17="Distrato",$E753,0)),MIN(AR$38,$D$19),$P$20))-SUM($P753:AQ753)</f>
        <v>#VALUE!</v>
      </c>
      <c r="AS753" s="446" t="e">
        <f>IF(OR($B753="",MIN(AS$38,$D$19)&lt;MAX($P$708*($B753+IF($R$17="Distrato",$I$38-1,0)),IF(AND($L$711=0,$P$708=0),"",$L$711-1),IF($R$17="Distrato",$E753,0))),0,YEARFRAC(MAX($P$708*($B753+IF($R$17="Distrato",$I$38-1,0)),IF(AND($L$711=0,$P$708=0),"",$L$711-1),IF($R$17="Distrato",$E753,0)),MIN(AS$38,$D$19),$P$20))-SUM($P753:AR753)</f>
        <v>#VALUE!</v>
      </c>
      <c r="AT753" s="446" t="e">
        <f>IF(OR($B753="",MIN(AT$38,$D$19)&lt;MAX($P$708*($B753+IF($R$17="Distrato",$I$38-1,0)),IF(AND($L$711=0,$P$708=0),"",$L$711-1),IF($R$17="Distrato",$E753,0))),0,YEARFRAC(MAX($P$708*($B753+IF($R$17="Distrato",$I$38-1,0)),IF(AND($L$711=0,$P$708=0),"",$L$711-1),IF($R$17="Distrato",$E753,0)),MIN(AT$38,$D$19),$P$20))-SUM($P753:AS753)</f>
        <v>#VALUE!</v>
      </c>
      <c r="AU753" s="446" t="e">
        <f>IF(OR($B753="",MIN(AU$38,$D$19)&lt;MAX($P$708*($B753+IF($R$17="Distrato",$I$38-1,0)),IF(AND($L$711=0,$P$708=0),"",$L$711-1),IF($R$17="Distrato",$E753,0))),0,YEARFRAC(MAX($P$708*($B753+IF($R$17="Distrato",$I$38-1,0)),IF(AND($L$711=0,$P$708=0),"",$L$711-1),IF($R$17="Distrato",$E753,0)),MIN(AU$38,$D$19),$P$20))-SUM($P753:AT753)</f>
        <v>#VALUE!</v>
      </c>
      <c r="AV753" s="446" t="e">
        <f>IF(OR($B753="",MIN(AV$38,$D$19)&lt;MAX($P$708*($B753+IF($R$17="Distrato",$I$38-1,0)),IF(AND($L$711=0,$P$708=0),"",$L$711-1),IF($R$17="Distrato",$E753,0))),0,YEARFRAC(MAX($P$708*($B753+IF($R$17="Distrato",$I$38-1,0)),IF(AND($L$711=0,$P$708=0),"",$L$711-1),IF($R$17="Distrato",$E753,0)),MIN(AV$38,$D$19),$P$20))-SUM($P753:AU753)</f>
        <v>#VALUE!</v>
      </c>
      <c r="AW753" s="446" t="e">
        <f>IF(OR($B753="",MIN(AW$38,$D$19)&lt;MAX($P$708*($B753+IF($R$17="Distrato",$I$38-1,0)),IF(AND($L$711=0,$P$708=0),"",$L$711-1),IF($R$17="Distrato",$E753,0))),0,YEARFRAC(MAX($P$708*($B753+IF($R$17="Distrato",$I$38-1,0)),IF(AND($L$711=0,$P$708=0),"",$L$711-1),IF($R$17="Distrato",$E753,0)),MIN(AW$38,$D$19),$P$20))-SUM($P753:AV753)</f>
        <v>#VALUE!</v>
      </c>
      <c r="AX753" s="446" t="e">
        <f>IF(OR($B753="",MIN(AX$38,$D$19)&lt;MAX($P$708*($B753+IF($R$17="Distrato",$I$38-1,0)),IF(AND($L$711=0,$P$708=0),"",$L$711-1),IF($R$17="Distrato",$E753,0))),0,YEARFRAC(MAX($P$708*($B753+IF($R$17="Distrato",$I$38-1,0)),IF(AND($L$711=0,$P$708=0),"",$L$711-1),IF($R$17="Distrato",$E753,0)),MIN(AX$38,$D$19),$P$20))-SUM($P753:AW753)</f>
        <v>#VALUE!</v>
      </c>
      <c r="AY753" s="446" t="e">
        <f>IF(OR($B753="",MIN(AY$38,$D$19)&lt;MAX($P$708*($B753+IF($R$17="Distrato",$I$38-1,0)),IF(AND($L$711=0,$P$708=0),"",$L$711-1),IF($R$17="Distrato",$E753,0))),0,YEARFRAC(MAX($P$708*($B753+IF($R$17="Distrato",$I$38-1,0)),IF(AND($L$711=0,$P$708=0),"",$L$711-1),IF($R$17="Distrato",$E753,0)),MIN(AY$38,$D$19),$P$20))-SUM($P753:AX753)</f>
        <v>#VALUE!</v>
      </c>
      <c r="AZ753" s="446" t="e">
        <f>IF(OR($B753="",MIN(AZ$38,$D$19)&lt;MAX($P$708*($B753+IF($R$17="Distrato",$I$38-1,0)),IF(AND($L$711=0,$P$708=0),"",$L$711-1),IF($R$17="Distrato",$E753,0))),0,YEARFRAC(MAX($P$708*($B753+IF($R$17="Distrato",$I$38-1,0)),IF(AND($L$711=0,$P$708=0),"",$L$711-1),IF($R$17="Distrato",$E753,0)),MIN(AZ$38,$D$19),$P$20))-SUM($P753:AY753)</f>
        <v>#VALUE!</v>
      </c>
      <c r="BA753" s="446" t="e">
        <f>IF(OR($B753="",MIN(BA$38,$D$19)&lt;MAX($P$708*($B753+IF($R$17="Distrato",$I$38-1,0)),IF(AND($L$711=0,$P$708=0),"",$L$711-1),IF($R$17="Distrato",$E753,0))),0,YEARFRAC(MAX($P$708*($B753+IF($R$17="Distrato",$I$38-1,0)),IF(AND($L$711=0,$P$708=0),"",$L$711-1),IF($R$17="Distrato",$E753,0)),MIN(BA$38,$D$19),$P$20))-SUM($P753:AZ753)</f>
        <v>#VALUE!</v>
      </c>
      <c r="BB753" s="447"/>
    </row>
    <row r="754" spans="1:54" s="446" customFormat="1" ht="11.25" hidden="1" customHeight="1" x14ac:dyDescent="0.2">
      <c r="A754" s="235"/>
      <c r="B754" s="236"/>
      <c r="C754" s="29" t="str">
        <f>IF(B754="","",IF($L$709=$BL$25,VLOOKUP(DATE(YEAR($D$19),MONTH($D$19)-1,1),ÍNDICES!$A:$DE,HLOOKUP($BL$25,ÍNDICES!$B$3:$T$4,2)+11)-VLOOKUP(B754,ÍNDICES!$A:$DE,HLOOKUP($BL$25,ÍNDICES!$B$3:$T$4,2)+11)+1%,IF(C$712=$W$26,$J$35,IF(ISERROR(IF(B754&gt;$D$19,1,VLOOKUP(DATE(YEAR(B754),MONTH(B754)+IF($C$709=$S$23,1,0),1),ÍNDICES!$A:$DE,$Z$709+1))),"",IF(B754&gt;$D$19,1,VLOOKUP(DATE(YEAR(B754),MONTH(B754)+IF($C$709=$S$23,1,0),1),ÍNDICES!$A:$DE,$Z$709+1))))))</f>
        <v/>
      </c>
      <c r="D754" s="155"/>
      <c r="E754" s="88"/>
      <c r="F754" s="88"/>
      <c r="G754" s="88"/>
      <c r="H754" s="118"/>
      <c r="I754" s="182">
        <f t="shared" si="115"/>
        <v>0</v>
      </c>
      <c r="J754" s="20">
        <f t="shared" ca="1" si="116"/>
        <v>0</v>
      </c>
      <c r="K754" s="5">
        <f t="shared" ca="1" si="117"/>
        <v>0</v>
      </c>
      <c r="L754" s="61">
        <f t="shared" ca="1" si="118"/>
        <v>0</v>
      </c>
      <c r="M754" s="64">
        <f t="shared" si="119"/>
        <v>0</v>
      </c>
      <c r="N754" s="151"/>
      <c r="O754" s="5">
        <f t="shared" ca="1" si="120"/>
        <v>0</v>
      </c>
      <c r="P754" s="446" t="e">
        <f t="shared" si="121"/>
        <v>#VALUE!</v>
      </c>
      <c r="Q754" s="446" t="e">
        <f>IF(OR($B754="",MIN(Q$38,$D$19)&lt;MAX($P$708*($B754+IF($R$17="Distrato",$I$38-1,0)),IF(AND($L$711=0,$P$708=0),"",$L$711-1),IF($R$17="Distrato",$E754,0))),0,YEARFRAC(MAX($P$708*($B754+IF($R$17="Distrato",$I$38-1,0)),IF(AND($L$711=0,$P$708=0),"",$L$711-1),IF($R$17="Distrato",$E754,0)),MIN(Q$38,$D$19),$P$20))-SUM($P754:P754)</f>
        <v>#VALUE!</v>
      </c>
      <c r="R754" s="446" t="e">
        <f>IF(OR($B754="",MIN(R$38,$D$19)&lt;MAX($P$708*($B754+IF($R$17="Distrato",$I$38-1,0)),IF(AND($L$711=0,$P$708=0),"",$L$711-1),IF($R$17="Distrato",$E754,0))),0,YEARFRAC(MAX($P$708*($B754+IF($R$17="Distrato",$I$38-1,0)),IF(AND($L$711=0,$P$708=0),"",$L$711-1),IF($R$17="Distrato",$E754,0)),MIN(R$38,$D$19),$P$20))-SUM($P754:Q754)</f>
        <v>#VALUE!</v>
      </c>
      <c r="S754" s="446" t="e">
        <f>IF(OR($B754="",MIN(S$38,$D$19)&lt;MAX($P$708*($B754+IF($R$17="Distrato",$I$38-1,0)),IF(AND($L$711=0,$P$708=0),"",$L$711-1),IF($R$17="Distrato",$E754,0))),0,YEARFRAC(MAX($P$708*($B754+IF($R$17="Distrato",$I$38-1,0)),IF(AND($L$711=0,$P$708=0),"",$L$711-1),IF($R$17="Distrato",$E754,0)),MIN(S$38,$D$19),$P$20))-SUM($P754:R754)</f>
        <v>#VALUE!</v>
      </c>
      <c r="T754" s="446" t="e">
        <f>IF(OR($B754="",MIN(T$38,$D$19)&lt;MAX($P$708*($B754+IF($R$17="Distrato",$I$38-1,0)),IF(AND($L$711=0,$P$708=0),"",$L$711-1),IF($R$17="Distrato",$E754,0))),0,YEARFRAC(MAX($P$708*($B754+IF($R$17="Distrato",$I$38-1,0)),IF(AND($L$711=0,$P$708=0),"",$L$711-1),IF($R$17="Distrato",$E754,0)),MIN(T$38,$D$19),$P$20))-SUM($P754:S754)</f>
        <v>#VALUE!</v>
      </c>
      <c r="U754" s="446" t="e">
        <f>IF(OR($B754="",MIN(U$38,$D$19)&lt;MAX($P$708*($B754+IF($R$17="Distrato",$I$38-1,0)),IF(AND($L$711=0,$P$708=0),"",$L$711-1),IF($R$17="Distrato",$E754,0))),0,YEARFRAC(MAX($P$708*($B754+IF($R$17="Distrato",$I$38-1,0)),IF(AND($L$711=0,$P$708=0),"",$L$711-1),IF($R$17="Distrato",$E754,0)),MIN(U$38,$D$19),$P$20))-SUM($P754:T754)</f>
        <v>#VALUE!</v>
      </c>
      <c r="V754" s="446" t="e">
        <f>IF(OR($B754="",MIN(V$38,$D$19)&lt;MAX($P$708*($B754+IF($R$17="Distrato",$I$38-1,0)),IF(AND($L$711=0,$P$708=0),"",$L$711-1),IF($R$17="Distrato",$E754,0))),0,YEARFRAC(MAX($P$708*($B754+IF($R$17="Distrato",$I$38-1,0)),IF(AND($L$711=0,$P$708=0),"",$L$711-1),IF($R$17="Distrato",$E754,0)),MIN(V$38,$D$19),$P$20))-SUM($P754:U754)</f>
        <v>#VALUE!</v>
      </c>
      <c r="W754" s="446" t="e">
        <f>IF(OR($B754="",MIN(W$38,$D$19)&lt;MAX($P$708*($B754+IF($R$17="Distrato",$I$38-1,0)),IF(AND($L$711=0,$P$708=0),"",$L$711-1),IF($R$17="Distrato",$E754,0))),0,YEARFRAC(MAX($P$708*($B754+IF($R$17="Distrato",$I$38-1,0)),IF(AND($L$711=0,$P$708=0),"",$L$711-1),IF($R$17="Distrato",$E754,0)),MIN(W$38,$D$19),$P$20))-SUM($P754:V754)</f>
        <v>#VALUE!</v>
      </c>
      <c r="X754" s="446" t="e">
        <f>IF(OR($B754="",MIN(X$38,$D$19)&lt;MAX($P$708*($B754+IF($R$17="Distrato",$I$38-1,0)),IF(AND($L$711=0,$P$708=0),"",$L$711-1),IF($R$17="Distrato",$E754,0))),0,YEARFRAC(MAX($P$708*($B754+IF($R$17="Distrato",$I$38-1,0)),IF(AND($L$711=0,$P$708=0),"",$L$711-1),IF($R$17="Distrato",$E754,0)),MIN(X$38,$D$19),$P$20))-SUM($P754:W754)</f>
        <v>#VALUE!</v>
      </c>
      <c r="Y754" s="446" t="e">
        <f>IF(OR($B754="",MIN(Y$38,$D$19)&lt;MAX($P$708*($B754+IF($R$17="Distrato",$I$38-1,0)),IF(AND($L$711=0,$P$708=0),"",$L$711-1),IF($R$17="Distrato",$E754,0))),0,YEARFRAC(MAX($P$708*($B754+IF($R$17="Distrato",$I$38-1,0)),IF(AND($L$711=0,$P$708=0),"",$L$711-1),IF($R$17="Distrato",$E754,0)),MIN(Y$38,$D$19),$P$20))-SUM($P754:X754)</f>
        <v>#VALUE!</v>
      </c>
      <c r="Z754" s="446" t="e">
        <f>IF(OR($B754="",MIN(Z$38,$D$19)&lt;MAX($P$708*($B754+IF($R$17="Distrato",$I$38-1,0)),IF(AND($L$711=0,$P$708=0),"",$L$711-1),IF($R$17="Distrato",$E754,0))),0,YEARFRAC(MAX($P$708*($B754+IF($R$17="Distrato",$I$38-1,0)),IF(AND($L$711=0,$P$708=0),"",$L$711-1),IF($R$17="Distrato",$E754,0)),MIN(Z$38,$D$19),$P$20))-SUM($P754:Y754)</f>
        <v>#VALUE!</v>
      </c>
      <c r="AA754" s="446" t="e">
        <f>IF(OR($B754="",MIN(AA$38,$D$19)&lt;MAX($P$708*($B754+IF($R$17="Distrato",$I$38-1,0)),IF(AND($L$711=0,$P$708=0),"",$L$711-1),IF($R$17="Distrato",$E754,0))),0,YEARFRAC(MAX($P$708*($B754+IF($R$17="Distrato",$I$38-1,0)),IF(AND($L$711=0,$P$708=0),"",$L$711-1),IF($R$17="Distrato",$E754,0)),MIN(AA$38,$D$19),$P$20))-SUM($P754:Z754)</f>
        <v>#VALUE!</v>
      </c>
      <c r="AB754" s="446" t="e">
        <f>IF(OR($B754="",MIN(AB$38,$D$19)&lt;MAX($P$708*($B754+IF($R$17="Distrato",$I$38-1,0)),IF(AND($L$711=0,$P$708=0),"",$L$711-1),IF($R$17="Distrato",$E754,0))),0,YEARFRAC(MAX($P$708*($B754+IF($R$17="Distrato",$I$38-1,0)),IF(AND($L$711=0,$P$708=0),"",$L$711-1),IF($R$17="Distrato",$E754,0)),MIN(AB$38,$D$19),$P$20))-SUM($P754:AA754)</f>
        <v>#VALUE!</v>
      </c>
      <c r="AC754" s="446" t="e">
        <f>IF(OR($B754="",MIN(AC$38,$D$19)&lt;MAX($P$708*($B754+IF($R$17="Distrato",$I$38-1,0)),IF(AND($L$711=0,$P$708=0),"",$L$711-1),IF($R$17="Distrato",$E754,0))),0,YEARFRAC(MAX($P$708*($B754+IF($R$17="Distrato",$I$38-1,0)),IF(AND($L$711=0,$P$708=0),"",$L$711-1),IF($R$17="Distrato",$E754,0)),MIN(AC$38,$D$19),$P$20))-SUM($P754:AB754)</f>
        <v>#VALUE!</v>
      </c>
      <c r="AD754" s="446" t="e">
        <f>IF(OR($B754="",MIN(AD$38,$D$19)&lt;MAX($P$708*($B754+IF($R$17="Distrato",$I$38-1,0)),IF(AND($L$711=0,$P$708=0),"",$L$711-1),IF($R$17="Distrato",$E754,0))),0,YEARFRAC(MAX($P$708*($B754+IF($R$17="Distrato",$I$38-1,0)),IF(AND($L$711=0,$P$708=0),"",$L$711-1),IF($R$17="Distrato",$E754,0)),MIN(AD$38,$D$19),$P$20))-SUM($P754:AC754)</f>
        <v>#VALUE!</v>
      </c>
      <c r="AE754" s="446" t="e">
        <f>IF(OR($B754="",MIN(AE$38,$D$19)&lt;MAX($P$708*($B754+IF($R$17="Distrato",$I$38-1,0)),IF(AND($L$711=0,$P$708=0),"",$L$711-1),IF($R$17="Distrato",$E754,0))),0,YEARFRAC(MAX($P$708*($B754+IF($R$17="Distrato",$I$38-1,0)),IF(AND($L$711=0,$P$708=0),"",$L$711-1),IF($R$17="Distrato",$E754,0)),MIN(AE$38,$D$19),$P$20))-SUM($P754:AD754)</f>
        <v>#VALUE!</v>
      </c>
      <c r="AF754" s="446" t="e">
        <f>IF(OR($B754="",MIN(AF$38,$D$19)&lt;MAX($P$708*($B754+IF($R$17="Distrato",$I$38-1,0)),IF(AND($L$711=0,$P$708=0),"",$L$711-1),IF($R$17="Distrato",$E754,0))),0,YEARFRAC(MAX($P$708*($B754+IF($R$17="Distrato",$I$38-1,0)),IF(AND($L$711=0,$P$708=0),"",$L$711-1),IF($R$17="Distrato",$E754,0)),MIN(AF$38,$D$19),$P$20))-SUM($P754:AE754)</f>
        <v>#VALUE!</v>
      </c>
      <c r="AG754" s="446" t="e">
        <f>IF(OR($B754="",MIN(AG$38,$D$19)&lt;MAX($P$708*($B754+IF($R$17="Distrato",$I$38-1,0)),IF(AND($L$711=0,$P$708=0),"",$L$711-1),IF($R$17="Distrato",$E754,0))),0,YEARFRAC(MAX($P$708*($B754+IF($R$17="Distrato",$I$38-1,0)),IF(AND($L$711=0,$P$708=0),"",$L$711-1),IF($R$17="Distrato",$E754,0)),MIN(AG$38,$D$19),$P$20))-SUM($P754:AF754)</f>
        <v>#VALUE!</v>
      </c>
      <c r="AH754" s="446" t="e">
        <f>IF(OR($B754="",MIN(AH$38,$D$19)&lt;MAX($P$708*($B754+IF($R$17="Distrato",$I$38-1,0)),IF(AND($L$711=0,$P$708=0),"",$L$711-1),IF($R$17="Distrato",$E754,0))),0,YEARFRAC(MAX($P$708*($B754+IF($R$17="Distrato",$I$38-1,0)),IF(AND($L$711=0,$P$708=0),"",$L$711-1),IF($R$17="Distrato",$E754,0)),MIN(AH$38,$D$19),$P$20))-SUM($P754:AG754)</f>
        <v>#VALUE!</v>
      </c>
      <c r="AI754" s="446" t="e">
        <f>IF(OR($B754="",MIN(AI$38,$D$19)&lt;MAX($P$708*($B754+IF($R$17="Distrato",$I$38-1,0)),IF(AND($L$711=0,$P$708=0),"",$L$711-1),IF($R$17="Distrato",$E754,0))),0,YEARFRAC(MAX($P$708*($B754+IF($R$17="Distrato",$I$38-1,0)),IF(AND($L$711=0,$P$708=0),"",$L$711-1),IF($R$17="Distrato",$E754,0)),MIN(AI$38,$D$19),$P$20))-SUM($P754:AH754)</f>
        <v>#VALUE!</v>
      </c>
      <c r="AJ754" s="446" t="e">
        <f>IF(OR($B754="",MIN(AJ$38,$D$19)&lt;MAX($P$708*($B754+IF($R$17="Distrato",$I$38-1,0)),IF(AND($L$711=0,$P$708=0),"",$L$711-1),IF($R$17="Distrato",$E754,0))),0,YEARFRAC(MAX($P$708*($B754+IF($R$17="Distrato",$I$38-1,0)),IF(AND($L$711=0,$P$708=0),"",$L$711-1),IF($R$17="Distrato",$E754,0)),MIN(AJ$38,$D$19),$P$20))-SUM($P754:AI754)</f>
        <v>#VALUE!</v>
      </c>
      <c r="AK754" s="446" t="e">
        <f>IF(OR($B754="",MIN(AK$38,$D$19)&lt;MAX($P$708*($B754+IF($R$17="Distrato",$I$38-1,0)),IF(AND($L$711=0,$P$708=0),"",$L$711-1),IF($R$17="Distrato",$E754,0))),0,YEARFRAC(MAX($P$708*($B754+IF($R$17="Distrato",$I$38-1,0)),IF(AND($L$711=0,$P$708=0),"",$L$711-1),IF($R$17="Distrato",$E754,0)),MIN(AK$38,$D$19),$P$20))-SUM($P754:AJ754)</f>
        <v>#VALUE!</v>
      </c>
      <c r="AL754" s="446" t="e">
        <f>IF(OR($B754="",MIN(AL$38,$D$19)&lt;MAX($P$708*($B754+IF($R$17="Distrato",$I$38-1,0)),IF(AND($L$711=0,$P$708=0),"",$L$711-1),IF($R$17="Distrato",$E754,0))),0,YEARFRAC(MAX($P$708*($B754+IF($R$17="Distrato",$I$38-1,0)),IF(AND($L$711=0,$P$708=0),"",$L$711-1),IF($R$17="Distrato",$E754,0)),MIN(AL$38,$D$19),$P$20))-SUM($P754:AK754)</f>
        <v>#VALUE!</v>
      </c>
      <c r="AM754" s="446" t="e">
        <f>IF(OR($B754="",MIN(AM$38,$D$19)&lt;MAX($P$708*($B754+IF($R$17="Distrato",$I$38-1,0)),IF(AND($L$711=0,$P$708=0),"",$L$711-1),IF($R$17="Distrato",$E754,0))),0,YEARFRAC(MAX($P$708*($B754+IF($R$17="Distrato",$I$38-1,0)),IF(AND($L$711=0,$P$708=0),"",$L$711-1),IF($R$17="Distrato",$E754,0)),MIN(AM$38,$D$19),$P$20))-SUM($P754:AL754)</f>
        <v>#VALUE!</v>
      </c>
      <c r="AN754" s="446" t="e">
        <f>IF(OR($B754="",MIN(AN$38,$D$19)&lt;MAX($P$708*($B754+IF($R$17="Distrato",$I$38-1,0)),IF(AND($L$711=0,$P$708=0),"",$L$711-1),IF($R$17="Distrato",$E754,0))),0,YEARFRAC(MAX($P$708*($B754+IF($R$17="Distrato",$I$38-1,0)),IF(AND($L$711=0,$P$708=0),"",$L$711-1),IF($R$17="Distrato",$E754,0)),MIN(AN$38,$D$19),$P$20))-SUM($P754:AM754)</f>
        <v>#VALUE!</v>
      </c>
      <c r="AO754" s="446" t="e">
        <f>IF(OR($B754="",MIN(AO$38,$D$19)&lt;MAX($P$708*($B754+IF($R$17="Distrato",$I$38-1,0)),IF(AND($L$711=0,$P$708=0),"",$L$711-1),IF($R$17="Distrato",$E754,0))),0,YEARFRAC(MAX($P$708*($B754+IF($R$17="Distrato",$I$38-1,0)),IF(AND($L$711=0,$P$708=0),"",$L$711-1),IF($R$17="Distrato",$E754,0)),MIN(AO$38,$D$19),$P$20))-SUM($P754:AN754)</f>
        <v>#VALUE!</v>
      </c>
      <c r="AP754" s="446" t="e">
        <f>IF(OR($B754="",MIN(AP$38,$D$19)&lt;MAX($P$708*($B754+IF($R$17="Distrato",$I$38-1,0)),IF(AND($L$711=0,$P$708=0),"",$L$711-1),IF($R$17="Distrato",$E754,0))),0,YEARFRAC(MAX($P$708*($B754+IF($R$17="Distrato",$I$38-1,0)),IF(AND($L$711=0,$P$708=0),"",$L$711-1),IF($R$17="Distrato",$E754,0)),MIN(AP$38,$D$19),$P$20))-SUM($P754:AO754)</f>
        <v>#VALUE!</v>
      </c>
      <c r="AQ754" s="446" t="e">
        <f>IF(OR($B754="",MIN(AQ$38,$D$19)&lt;MAX($P$708*($B754+IF($R$17="Distrato",$I$38-1,0)),IF(AND($L$711=0,$P$708=0),"",$L$711-1),IF($R$17="Distrato",$E754,0))),0,YEARFRAC(MAX($P$708*($B754+IF($R$17="Distrato",$I$38-1,0)),IF(AND($L$711=0,$P$708=0),"",$L$711-1),IF($R$17="Distrato",$E754,0)),MIN(AQ$38,$D$19),$P$20))-SUM($P754:AP754)</f>
        <v>#VALUE!</v>
      </c>
      <c r="AR754" s="446" t="e">
        <f>IF(OR($B754="",MIN(AR$38,$D$19)&lt;MAX($P$708*($B754+IF($R$17="Distrato",$I$38-1,0)),IF(AND($L$711=0,$P$708=0),"",$L$711-1),IF($R$17="Distrato",$E754,0))),0,YEARFRAC(MAX($P$708*($B754+IF($R$17="Distrato",$I$38-1,0)),IF(AND($L$711=0,$P$708=0),"",$L$711-1),IF($R$17="Distrato",$E754,0)),MIN(AR$38,$D$19),$P$20))-SUM($P754:AQ754)</f>
        <v>#VALUE!</v>
      </c>
      <c r="AS754" s="446" t="e">
        <f>IF(OR($B754="",MIN(AS$38,$D$19)&lt;MAX($P$708*($B754+IF($R$17="Distrato",$I$38-1,0)),IF(AND($L$711=0,$P$708=0),"",$L$711-1),IF($R$17="Distrato",$E754,0))),0,YEARFRAC(MAX($P$708*($B754+IF($R$17="Distrato",$I$38-1,0)),IF(AND($L$711=0,$P$708=0),"",$L$711-1),IF($R$17="Distrato",$E754,0)),MIN(AS$38,$D$19),$P$20))-SUM($P754:AR754)</f>
        <v>#VALUE!</v>
      </c>
      <c r="AT754" s="446" t="e">
        <f>IF(OR($B754="",MIN(AT$38,$D$19)&lt;MAX($P$708*($B754+IF($R$17="Distrato",$I$38-1,0)),IF(AND($L$711=0,$P$708=0),"",$L$711-1),IF($R$17="Distrato",$E754,0))),0,YEARFRAC(MAX($P$708*($B754+IF($R$17="Distrato",$I$38-1,0)),IF(AND($L$711=0,$P$708=0),"",$L$711-1),IF($R$17="Distrato",$E754,0)),MIN(AT$38,$D$19),$P$20))-SUM($P754:AS754)</f>
        <v>#VALUE!</v>
      </c>
      <c r="AU754" s="446" t="e">
        <f>IF(OR($B754="",MIN(AU$38,$D$19)&lt;MAX($P$708*($B754+IF($R$17="Distrato",$I$38-1,0)),IF(AND($L$711=0,$P$708=0),"",$L$711-1),IF($R$17="Distrato",$E754,0))),0,YEARFRAC(MAX($P$708*($B754+IF($R$17="Distrato",$I$38-1,0)),IF(AND($L$711=0,$P$708=0),"",$L$711-1),IF($R$17="Distrato",$E754,0)),MIN(AU$38,$D$19),$P$20))-SUM($P754:AT754)</f>
        <v>#VALUE!</v>
      </c>
      <c r="AV754" s="446" t="e">
        <f>IF(OR($B754="",MIN(AV$38,$D$19)&lt;MAX($P$708*($B754+IF($R$17="Distrato",$I$38-1,0)),IF(AND($L$711=0,$P$708=0),"",$L$711-1),IF($R$17="Distrato",$E754,0))),0,YEARFRAC(MAX($P$708*($B754+IF($R$17="Distrato",$I$38-1,0)),IF(AND($L$711=0,$P$708=0),"",$L$711-1),IF($R$17="Distrato",$E754,0)),MIN(AV$38,$D$19),$P$20))-SUM($P754:AU754)</f>
        <v>#VALUE!</v>
      </c>
      <c r="AW754" s="446" t="e">
        <f>IF(OR($B754="",MIN(AW$38,$D$19)&lt;MAX($P$708*($B754+IF($R$17="Distrato",$I$38-1,0)),IF(AND($L$711=0,$P$708=0),"",$L$711-1),IF($R$17="Distrato",$E754,0))),0,YEARFRAC(MAX($P$708*($B754+IF($R$17="Distrato",$I$38-1,0)),IF(AND($L$711=0,$P$708=0),"",$L$711-1),IF($R$17="Distrato",$E754,0)),MIN(AW$38,$D$19),$P$20))-SUM($P754:AV754)</f>
        <v>#VALUE!</v>
      </c>
      <c r="AX754" s="446" t="e">
        <f>IF(OR($B754="",MIN(AX$38,$D$19)&lt;MAX($P$708*($B754+IF($R$17="Distrato",$I$38-1,0)),IF(AND($L$711=0,$P$708=0),"",$L$711-1),IF($R$17="Distrato",$E754,0))),0,YEARFRAC(MAX($P$708*($B754+IF($R$17="Distrato",$I$38-1,0)),IF(AND($L$711=0,$P$708=0),"",$L$711-1),IF($R$17="Distrato",$E754,0)),MIN(AX$38,$D$19),$P$20))-SUM($P754:AW754)</f>
        <v>#VALUE!</v>
      </c>
      <c r="AY754" s="446" t="e">
        <f>IF(OR($B754="",MIN(AY$38,$D$19)&lt;MAX($P$708*($B754+IF($R$17="Distrato",$I$38-1,0)),IF(AND($L$711=0,$P$708=0),"",$L$711-1),IF($R$17="Distrato",$E754,0))),0,YEARFRAC(MAX($P$708*($B754+IF($R$17="Distrato",$I$38-1,0)),IF(AND($L$711=0,$P$708=0),"",$L$711-1),IF($R$17="Distrato",$E754,0)),MIN(AY$38,$D$19),$P$20))-SUM($P754:AX754)</f>
        <v>#VALUE!</v>
      </c>
      <c r="AZ754" s="446" t="e">
        <f>IF(OR($B754="",MIN(AZ$38,$D$19)&lt;MAX($P$708*($B754+IF($R$17="Distrato",$I$38-1,0)),IF(AND($L$711=0,$P$708=0),"",$L$711-1),IF($R$17="Distrato",$E754,0))),0,YEARFRAC(MAX($P$708*($B754+IF($R$17="Distrato",$I$38-1,0)),IF(AND($L$711=0,$P$708=0),"",$L$711-1),IF($R$17="Distrato",$E754,0)),MIN(AZ$38,$D$19),$P$20))-SUM($P754:AY754)</f>
        <v>#VALUE!</v>
      </c>
      <c r="BA754" s="446" t="e">
        <f>IF(OR($B754="",MIN(BA$38,$D$19)&lt;MAX($P$708*($B754+IF($R$17="Distrato",$I$38-1,0)),IF(AND($L$711=0,$P$708=0),"",$L$711-1),IF($R$17="Distrato",$E754,0))),0,YEARFRAC(MAX($P$708*($B754+IF($R$17="Distrato",$I$38-1,0)),IF(AND($L$711=0,$P$708=0),"",$L$711-1),IF($R$17="Distrato",$E754,0)),MIN(BA$38,$D$19),$P$20))-SUM($P754:AZ754)</f>
        <v>#VALUE!</v>
      </c>
      <c r="BB754" s="447"/>
    </row>
    <row r="755" spans="1:54" s="446" customFormat="1" ht="11.25" hidden="1" customHeight="1" x14ac:dyDescent="0.2">
      <c r="A755" s="235"/>
      <c r="B755" s="236"/>
      <c r="C755" s="29" t="str">
        <f>IF(B755="","",IF($L$709=$BL$25,VLOOKUP(DATE(YEAR($D$19),MONTH($D$19)-1,1),ÍNDICES!$A:$DE,HLOOKUP($BL$25,ÍNDICES!$B$3:$T$4,2)+11)-VLOOKUP(B755,ÍNDICES!$A:$DE,HLOOKUP($BL$25,ÍNDICES!$B$3:$T$4,2)+11)+1%,IF(C$712=$W$26,$J$35,IF(ISERROR(IF(B755&gt;$D$19,1,VLOOKUP(DATE(YEAR(B755),MONTH(B755)+IF($C$709=$S$23,1,0),1),ÍNDICES!$A:$DE,$Z$709+1))),"",IF(B755&gt;$D$19,1,VLOOKUP(DATE(YEAR(B755),MONTH(B755)+IF($C$709=$S$23,1,0),1),ÍNDICES!$A:$DE,$Z$709+1))))))</f>
        <v/>
      </c>
      <c r="D755" s="155"/>
      <c r="E755" s="88"/>
      <c r="F755" s="88"/>
      <c r="G755" s="88"/>
      <c r="H755" s="118"/>
      <c r="I755" s="182">
        <f t="shared" si="115"/>
        <v>0</v>
      </c>
      <c r="J755" s="20">
        <f t="shared" ca="1" si="116"/>
        <v>0</v>
      </c>
      <c r="K755" s="5">
        <f t="shared" ca="1" si="117"/>
        <v>0</v>
      </c>
      <c r="L755" s="61">
        <f t="shared" ca="1" si="118"/>
        <v>0</v>
      </c>
      <c r="M755" s="64">
        <f t="shared" si="119"/>
        <v>0</v>
      </c>
      <c r="N755" s="151"/>
      <c r="O755" s="5">
        <f t="shared" ca="1" si="120"/>
        <v>0</v>
      </c>
      <c r="P755" s="446" t="e">
        <f t="shared" si="121"/>
        <v>#VALUE!</v>
      </c>
      <c r="Q755" s="446" t="e">
        <f>IF(OR($B755="",MIN(Q$38,$D$19)&lt;MAX($P$708*($B755+IF($R$17="Distrato",$I$38-1,0)),IF(AND($L$711=0,$P$708=0),"",$L$711-1),IF($R$17="Distrato",$E755,0))),0,YEARFRAC(MAX($P$708*($B755+IF($R$17="Distrato",$I$38-1,0)),IF(AND($L$711=0,$P$708=0),"",$L$711-1),IF($R$17="Distrato",$E755,0)),MIN(Q$38,$D$19),$P$20))-SUM($P755:P755)</f>
        <v>#VALUE!</v>
      </c>
      <c r="R755" s="446" t="e">
        <f>IF(OR($B755="",MIN(R$38,$D$19)&lt;MAX($P$708*($B755+IF($R$17="Distrato",$I$38-1,0)),IF(AND($L$711=0,$P$708=0),"",$L$711-1),IF($R$17="Distrato",$E755,0))),0,YEARFRAC(MAX($P$708*($B755+IF($R$17="Distrato",$I$38-1,0)),IF(AND($L$711=0,$P$708=0),"",$L$711-1),IF($R$17="Distrato",$E755,0)),MIN(R$38,$D$19),$P$20))-SUM($P755:Q755)</f>
        <v>#VALUE!</v>
      </c>
      <c r="S755" s="446" t="e">
        <f>IF(OR($B755="",MIN(S$38,$D$19)&lt;MAX($P$708*($B755+IF($R$17="Distrato",$I$38-1,0)),IF(AND($L$711=0,$P$708=0),"",$L$711-1),IF($R$17="Distrato",$E755,0))),0,YEARFRAC(MAX($P$708*($B755+IF($R$17="Distrato",$I$38-1,0)),IF(AND($L$711=0,$P$708=0),"",$L$711-1),IF($R$17="Distrato",$E755,0)),MIN(S$38,$D$19),$P$20))-SUM($P755:R755)</f>
        <v>#VALUE!</v>
      </c>
      <c r="T755" s="446" t="e">
        <f>IF(OR($B755="",MIN(T$38,$D$19)&lt;MAX($P$708*($B755+IF($R$17="Distrato",$I$38-1,0)),IF(AND($L$711=0,$P$708=0),"",$L$711-1),IF($R$17="Distrato",$E755,0))),0,YEARFRAC(MAX($P$708*($B755+IF($R$17="Distrato",$I$38-1,0)),IF(AND($L$711=0,$P$708=0),"",$L$711-1),IF($R$17="Distrato",$E755,0)),MIN(T$38,$D$19),$P$20))-SUM($P755:S755)</f>
        <v>#VALUE!</v>
      </c>
      <c r="U755" s="446" t="e">
        <f>IF(OR($B755="",MIN(U$38,$D$19)&lt;MAX($P$708*($B755+IF($R$17="Distrato",$I$38-1,0)),IF(AND($L$711=0,$P$708=0),"",$L$711-1),IF($R$17="Distrato",$E755,0))),0,YEARFRAC(MAX($P$708*($B755+IF($R$17="Distrato",$I$38-1,0)),IF(AND($L$711=0,$P$708=0),"",$L$711-1),IF($R$17="Distrato",$E755,0)),MIN(U$38,$D$19),$P$20))-SUM($P755:T755)</f>
        <v>#VALUE!</v>
      </c>
      <c r="V755" s="446" t="e">
        <f>IF(OR($B755="",MIN(V$38,$D$19)&lt;MAX($P$708*($B755+IF($R$17="Distrato",$I$38-1,0)),IF(AND($L$711=0,$P$708=0),"",$L$711-1),IF($R$17="Distrato",$E755,0))),0,YEARFRAC(MAX($P$708*($B755+IF($R$17="Distrato",$I$38-1,0)),IF(AND($L$711=0,$P$708=0),"",$L$711-1),IF($R$17="Distrato",$E755,0)),MIN(V$38,$D$19),$P$20))-SUM($P755:U755)</f>
        <v>#VALUE!</v>
      </c>
      <c r="W755" s="446" t="e">
        <f>IF(OR($B755="",MIN(W$38,$D$19)&lt;MAX($P$708*($B755+IF($R$17="Distrato",$I$38-1,0)),IF(AND($L$711=0,$P$708=0),"",$L$711-1),IF($R$17="Distrato",$E755,0))),0,YEARFRAC(MAX($P$708*($B755+IF($R$17="Distrato",$I$38-1,0)),IF(AND($L$711=0,$P$708=0),"",$L$711-1),IF($R$17="Distrato",$E755,0)),MIN(W$38,$D$19),$P$20))-SUM($P755:V755)</f>
        <v>#VALUE!</v>
      </c>
      <c r="X755" s="446" t="e">
        <f>IF(OR($B755="",MIN(X$38,$D$19)&lt;MAX($P$708*($B755+IF($R$17="Distrato",$I$38-1,0)),IF(AND($L$711=0,$P$708=0),"",$L$711-1),IF($R$17="Distrato",$E755,0))),0,YEARFRAC(MAX($P$708*($B755+IF($R$17="Distrato",$I$38-1,0)),IF(AND($L$711=0,$P$708=0),"",$L$711-1),IF($R$17="Distrato",$E755,0)),MIN(X$38,$D$19),$P$20))-SUM($P755:W755)</f>
        <v>#VALUE!</v>
      </c>
      <c r="Y755" s="446" t="e">
        <f>IF(OR($B755="",MIN(Y$38,$D$19)&lt;MAX($P$708*($B755+IF($R$17="Distrato",$I$38-1,0)),IF(AND($L$711=0,$P$708=0),"",$L$711-1),IF($R$17="Distrato",$E755,0))),0,YEARFRAC(MAX($P$708*($B755+IF($R$17="Distrato",$I$38-1,0)),IF(AND($L$711=0,$P$708=0),"",$L$711-1),IF($R$17="Distrato",$E755,0)),MIN(Y$38,$D$19),$P$20))-SUM($P755:X755)</f>
        <v>#VALUE!</v>
      </c>
      <c r="Z755" s="446" t="e">
        <f>IF(OR($B755="",MIN(Z$38,$D$19)&lt;MAX($P$708*($B755+IF($R$17="Distrato",$I$38-1,0)),IF(AND($L$711=0,$P$708=0),"",$L$711-1),IF($R$17="Distrato",$E755,0))),0,YEARFRAC(MAX($P$708*($B755+IF($R$17="Distrato",$I$38-1,0)),IF(AND($L$711=0,$P$708=0),"",$L$711-1),IF($R$17="Distrato",$E755,0)),MIN(Z$38,$D$19),$P$20))-SUM($P755:Y755)</f>
        <v>#VALUE!</v>
      </c>
      <c r="AA755" s="446" t="e">
        <f>IF(OR($B755="",MIN(AA$38,$D$19)&lt;MAX($P$708*($B755+IF($R$17="Distrato",$I$38-1,0)),IF(AND($L$711=0,$P$708=0),"",$L$711-1),IF($R$17="Distrato",$E755,0))),0,YEARFRAC(MAX($P$708*($B755+IF($R$17="Distrato",$I$38-1,0)),IF(AND($L$711=0,$P$708=0),"",$L$711-1),IF($R$17="Distrato",$E755,0)),MIN(AA$38,$D$19),$P$20))-SUM($P755:Z755)</f>
        <v>#VALUE!</v>
      </c>
      <c r="AB755" s="446" t="e">
        <f>IF(OR($B755="",MIN(AB$38,$D$19)&lt;MAX($P$708*($B755+IF($R$17="Distrato",$I$38-1,0)),IF(AND($L$711=0,$P$708=0),"",$L$711-1),IF($R$17="Distrato",$E755,0))),0,YEARFRAC(MAX($P$708*($B755+IF($R$17="Distrato",$I$38-1,0)),IF(AND($L$711=0,$P$708=0),"",$L$711-1),IF($R$17="Distrato",$E755,0)),MIN(AB$38,$D$19),$P$20))-SUM($P755:AA755)</f>
        <v>#VALUE!</v>
      </c>
      <c r="AC755" s="446" t="e">
        <f>IF(OR($B755="",MIN(AC$38,$D$19)&lt;MAX($P$708*($B755+IF($R$17="Distrato",$I$38-1,0)),IF(AND($L$711=0,$P$708=0),"",$L$711-1),IF($R$17="Distrato",$E755,0))),0,YEARFRAC(MAX($P$708*($B755+IF($R$17="Distrato",$I$38-1,0)),IF(AND($L$711=0,$P$708=0),"",$L$711-1),IF($R$17="Distrato",$E755,0)),MIN(AC$38,$D$19),$P$20))-SUM($P755:AB755)</f>
        <v>#VALUE!</v>
      </c>
      <c r="AD755" s="446" t="e">
        <f>IF(OR($B755="",MIN(AD$38,$D$19)&lt;MAX($P$708*($B755+IF($R$17="Distrato",$I$38-1,0)),IF(AND($L$711=0,$P$708=0),"",$L$711-1),IF($R$17="Distrato",$E755,0))),0,YEARFRAC(MAX($P$708*($B755+IF($R$17="Distrato",$I$38-1,0)),IF(AND($L$711=0,$P$708=0),"",$L$711-1),IF($R$17="Distrato",$E755,0)),MIN(AD$38,$D$19),$P$20))-SUM($P755:AC755)</f>
        <v>#VALUE!</v>
      </c>
      <c r="AE755" s="446" t="e">
        <f>IF(OR($B755="",MIN(AE$38,$D$19)&lt;MAX($P$708*($B755+IF($R$17="Distrato",$I$38-1,0)),IF(AND($L$711=0,$P$708=0),"",$L$711-1),IF($R$17="Distrato",$E755,0))),0,YEARFRAC(MAX($P$708*($B755+IF($R$17="Distrato",$I$38-1,0)),IF(AND($L$711=0,$P$708=0),"",$L$711-1),IF($R$17="Distrato",$E755,0)),MIN(AE$38,$D$19),$P$20))-SUM($P755:AD755)</f>
        <v>#VALUE!</v>
      </c>
      <c r="AF755" s="446" t="e">
        <f>IF(OR($B755="",MIN(AF$38,$D$19)&lt;MAX($P$708*($B755+IF($R$17="Distrato",$I$38-1,0)),IF(AND($L$711=0,$P$708=0),"",$L$711-1),IF($R$17="Distrato",$E755,0))),0,YEARFRAC(MAX($P$708*($B755+IF($R$17="Distrato",$I$38-1,0)),IF(AND($L$711=0,$P$708=0),"",$L$711-1),IF($R$17="Distrato",$E755,0)),MIN(AF$38,$D$19),$P$20))-SUM($P755:AE755)</f>
        <v>#VALUE!</v>
      </c>
      <c r="AG755" s="446" t="e">
        <f>IF(OR($B755="",MIN(AG$38,$D$19)&lt;MAX($P$708*($B755+IF($R$17="Distrato",$I$38-1,0)),IF(AND($L$711=0,$P$708=0),"",$L$711-1),IF($R$17="Distrato",$E755,0))),0,YEARFRAC(MAX($P$708*($B755+IF($R$17="Distrato",$I$38-1,0)),IF(AND($L$711=0,$P$708=0),"",$L$711-1),IF($R$17="Distrato",$E755,0)),MIN(AG$38,$D$19),$P$20))-SUM($P755:AF755)</f>
        <v>#VALUE!</v>
      </c>
      <c r="AH755" s="446" t="e">
        <f>IF(OR($B755="",MIN(AH$38,$D$19)&lt;MAX($P$708*($B755+IF($R$17="Distrato",$I$38-1,0)),IF(AND($L$711=0,$P$708=0),"",$L$711-1),IF($R$17="Distrato",$E755,0))),0,YEARFRAC(MAX($P$708*($B755+IF($R$17="Distrato",$I$38-1,0)),IF(AND($L$711=0,$P$708=0),"",$L$711-1),IF($R$17="Distrato",$E755,0)),MIN(AH$38,$D$19),$P$20))-SUM($P755:AG755)</f>
        <v>#VALUE!</v>
      </c>
      <c r="AI755" s="446" t="e">
        <f>IF(OR($B755="",MIN(AI$38,$D$19)&lt;MAX($P$708*($B755+IF($R$17="Distrato",$I$38-1,0)),IF(AND($L$711=0,$P$708=0),"",$L$711-1),IF($R$17="Distrato",$E755,0))),0,YEARFRAC(MAX($P$708*($B755+IF($R$17="Distrato",$I$38-1,0)),IF(AND($L$711=0,$P$708=0),"",$L$711-1),IF($R$17="Distrato",$E755,0)),MIN(AI$38,$D$19),$P$20))-SUM($P755:AH755)</f>
        <v>#VALUE!</v>
      </c>
      <c r="AJ755" s="446" t="e">
        <f>IF(OR($B755="",MIN(AJ$38,$D$19)&lt;MAX($P$708*($B755+IF($R$17="Distrato",$I$38-1,0)),IF(AND($L$711=0,$P$708=0),"",$L$711-1),IF($R$17="Distrato",$E755,0))),0,YEARFRAC(MAX($P$708*($B755+IF($R$17="Distrato",$I$38-1,0)),IF(AND($L$711=0,$P$708=0),"",$L$711-1),IF($R$17="Distrato",$E755,0)),MIN(AJ$38,$D$19),$P$20))-SUM($P755:AI755)</f>
        <v>#VALUE!</v>
      </c>
      <c r="AK755" s="446" t="e">
        <f>IF(OR($B755="",MIN(AK$38,$D$19)&lt;MAX($P$708*($B755+IF($R$17="Distrato",$I$38-1,0)),IF(AND($L$711=0,$P$708=0),"",$L$711-1),IF($R$17="Distrato",$E755,0))),0,YEARFRAC(MAX($P$708*($B755+IF($R$17="Distrato",$I$38-1,0)),IF(AND($L$711=0,$P$708=0),"",$L$711-1),IF($R$17="Distrato",$E755,0)),MIN(AK$38,$D$19),$P$20))-SUM($P755:AJ755)</f>
        <v>#VALUE!</v>
      </c>
      <c r="AL755" s="446" t="e">
        <f>IF(OR($B755="",MIN(AL$38,$D$19)&lt;MAX($P$708*($B755+IF($R$17="Distrato",$I$38-1,0)),IF(AND($L$711=0,$P$708=0),"",$L$711-1),IF($R$17="Distrato",$E755,0))),0,YEARFRAC(MAX($P$708*($B755+IF($R$17="Distrato",$I$38-1,0)),IF(AND($L$711=0,$P$708=0),"",$L$711-1),IF($R$17="Distrato",$E755,0)),MIN(AL$38,$D$19),$P$20))-SUM($P755:AK755)</f>
        <v>#VALUE!</v>
      </c>
      <c r="AM755" s="446" t="e">
        <f>IF(OR($B755="",MIN(AM$38,$D$19)&lt;MAX($P$708*($B755+IF($R$17="Distrato",$I$38-1,0)),IF(AND($L$711=0,$P$708=0),"",$L$711-1),IF($R$17="Distrato",$E755,0))),0,YEARFRAC(MAX($P$708*($B755+IF($R$17="Distrato",$I$38-1,0)),IF(AND($L$711=0,$P$708=0),"",$L$711-1),IF($R$17="Distrato",$E755,0)),MIN(AM$38,$D$19),$P$20))-SUM($P755:AL755)</f>
        <v>#VALUE!</v>
      </c>
      <c r="AN755" s="446" t="e">
        <f>IF(OR($B755="",MIN(AN$38,$D$19)&lt;MAX($P$708*($B755+IF($R$17="Distrato",$I$38-1,0)),IF(AND($L$711=0,$P$708=0),"",$L$711-1),IF($R$17="Distrato",$E755,0))),0,YEARFRAC(MAX($P$708*($B755+IF($R$17="Distrato",$I$38-1,0)),IF(AND($L$711=0,$P$708=0),"",$L$711-1),IF($R$17="Distrato",$E755,0)),MIN(AN$38,$D$19),$P$20))-SUM($P755:AM755)</f>
        <v>#VALUE!</v>
      </c>
      <c r="AO755" s="446" t="e">
        <f>IF(OR($B755="",MIN(AO$38,$D$19)&lt;MAX($P$708*($B755+IF($R$17="Distrato",$I$38-1,0)),IF(AND($L$711=0,$P$708=0),"",$L$711-1),IF($R$17="Distrato",$E755,0))),0,YEARFRAC(MAX($P$708*($B755+IF($R$17="Distrato",$I$38-1,0)),IF(AND($L$711=0,$P$708=0),"",$L$711-1),IF($R$17="Distrato",$E755,0)),MIN(AO$38,$D$19),$P$20))-SUM($P755:AN755)</f>
        <v>#VALUE!</v>
      </c>
      <c r="AP755" s="446" t="e">
        <f>IF(OR($B755="",MIN(AP$38,$D$19)&lt;MAX($P$708*($B755+IF($R$17="Distrato",$I$38-1,0)),IF(AND($L$711=0,$P$708=0),"",$L$711-1),IF($R$17="Distrato",$E755,0))),0,YEARFRAC(MAX($P$708*($B755+IF($R$17="Distrato",$I$38-1,0)),IF(AND($L$711=0,$P$708=0),"",$L$711-1),IF($R$17="Distrato",$E755,0)),MIN(AP$38,$D$19),$P$20))-SUM($P755:AO755)</f>
        <v>#VALUE!</v>
      </c>
      <c r="AQ755" s="446" t="e">
        <f>IF(OR($B755="",MIN(AQ$38,$D$19)&lt;MAX($P$708*($B755+IF($R$17="Distrato",$I$38-1,0)),IF(AND($L$711=0,$P$708=0),"",$L$711-1),IF($R$17="Distrato",$E755,0))),0,YEARFRAC(MAX($P$708*($B755+IF($R$17="Distrato",$I$38-1,0)),IF(AND($L$711=0,$P$708=0),"",$L$711-1),IF($R$17="Distrato",$E755,0)),MIN(AQ$38,$D$19),$P$20))-SUM($P755:AP755)</f>
        <v>#VALUE!</v>
      </c>
      <c r="AR755" s="446" t="e">
        <f>IF(OR($B755="",MIN(AR$38,$D$19)&lt;MAX($P$708*($B755+IF($R$17="Distrato",$I$38-1,0)),IF(AND($L$711=0,$P$708=0),"",$L$711-1),IF($R$17="Distrato",$E755,0))),0,YEARFRAC(MAX($P$708*($B755+IF($R$17="Distrato",$I$38-1,0)),IF(AND($L$711=0,$P$708=0),"",$L$711-1),IF($R$17="Distrato",$E755,0)),MIN(AR$38,$D$19),$P$20))-SUM($P755:AQ755)</f>
        <v>#VALUE!</v>
      </c>
      <c r="AS755" s="446" t="e">
        <f>IF(OR($B755="",MIN(AS$38,$D$19)&lt;MAX($P$708*($B755+IF($R$17="Distrato",$I$38-1,0)),IF(AND($L$711=0,$P$708=0),"",$L$711-1),IF($R$17="Distrato",$E755,0))),0,YEARFRAC(MAX($P$708*($B755+IF($R$17="Distrato",$I$38-1,0)),IF(AND($L$711=0,$P$708=0),"",$L$711-1),IF($R$17="Distrato",$E755,0)),MIN(AS$38,$D$19),$P$20))-SUM($P755:AR755)</f>
        <v>#VALUE!</v>
      </c>
      <c r="AT755" s="446" t="e">
        <f>IF(OR($B755="",MIN(AT$38,$D$19)&lt;MAX($P$708*($B755+IF($R$17="Distrato",$I$38-1,0)),IF(AND($L$711=0,$P$708=0),"",$L$711-1),IF($R$17="Distrato",$E755,0))),0,YEARFRAC(MAX($P$708*($B755+IF($R$17="Distrato",$I$38-1,0)),IF(AND($L$711=0,$P$708=0),"",$L$711-1),IF($R$17="Distrato",$E755,0)),MIN(AT$38,$D$19),$P$20))-SUM($P755:AS755)</f>
        <v>#VALUE!</v>
      </c>
      <c r="AU755" s="446" t="e">
        <f>IF(OR($B755="",MIN(AU$38,$D$19)&lt;MAX($P$708*($B755+IF($R$17="Distrato",$I$38-1,0)),IF(AND($L$711=0,$P$708=0),"",$L$711-1),IF($R$17="Distrato",$E755,0))),0,YEARFRAC(MAX($P$708*($B755+IF($R$17="Distrato",$I$38-1,0)),IF(AND($L$711=0,$P$708=0),"",$L$711-1),IF($R$17="Distrato",$E755,0)),MIN(AU$38,$D$19),$P$20))-SUM($P755:AT755)</f>
        <v>#VALUE!</v>
      </c>
      <c r="AV755" s="446" t="e">
        <f>IF(OR($B755="",MIN(AV$38,$D$19)&lt;MAX($P$708*($B755+IF($R$17="Distrato",$I$38-1,0)),IF(AND($L$711=0,$P$708=0),"",$L$711-1),IF($R$17="Distrato",$E755,0))),0,YEARFRAC(MAX($P$708*($B755+IF($R$17="Distrato",$I$38-1,0)),IF(AND($L$711=0,$P$708=0),"",$L$711-1),IF($R$17="Distrato",$E755,0)),MIN(AV$38,$D$19),$P$20))-SUM($P755:AU755)</f>
        <v>#VALUE!</v>
      </c>
      <c r="AW755" s="446" t="e">
        <f>IF(OR($B755="",MIN(AW$38,$D$19)&lt;MAX($P$708*($B755+IF($R$17="Distrato",$I$38-1,0)),IF(AND($L$711=0,$P$708=0),"",$L$711-1),IF($R$17="Distrato",$E755,0))),0,YEARFRAC(MAX($P$708*($B755+IF($R$17="Distrato",$I$38-1,0)),IF(AND($L$711=0,$P$708=0),"",$L$711-1),IF($R$17="Distrato",$E755,0)),MIN(AW$38,$D$19),$P$20))-SUM($P755:AV755)</f>
        <v>#VALUE!</v>
      </c>
      <c r="AX755" s="446" t="e">
        <f>IF(OR($B755="",MIN(AX$38,$D$19)&lt;MAX($P$708*($B755+IF($R$17="Distrato",$I$38-1,0)),IF(AND($L$711=0,$P$708=0),"",$L$711-1),IF($R$17="Distrato",$E755,0))),0,YEARFRAC(MAX($P$708*($B755+IF($R$17="Distrato",$I$38-1,0)),IF(AND($L$711=0,$P$708=0),"",$L$711-1),IF($R$17="Distrato",$E755,0)),MIN(AX$38,$D$19),$P$20))-SUM($P755:AW755)</f>
        <v>#VALUE!</v>
      </c>
      <c r="AY755" s="446" t="e">
        <f>IF(OR($B755="",MIN(AY$38,$D$19)&lt;MAX($P$708*($B755+IF($R$17="Distrato",$I$38-1,0)),IF(AND($L$711=0,$P$708=0),"",$L$711-1),IF($R$17="Distrato",$E755,0))),0,YEARFRAC(MAX($P$708*($B755+IF($R$17="Distrato",$I$38-1,0)),IF(AND($L$711=0,$P$708=0),"",$L$711-1),IF($R$17="Distrato",$E755,0)),MIN(AY$38,$D$19),$P$20))-SUM($P755:AX755)</f>
        <v>#VALUE!</v>
      </c>
      <c r="AZ755" s="446" t="e">
        <f>IF(OR($B755="",MIN(AZ$38,$D$19)&lt;MAX($P$708*($B755+IF($R$17="Distrato",$I$38-1,0)),IF(AND($L$711=0,$P$708=0),"",$L$711-1),IF($R$17="Distrato",$E755,0))),0,YEARFRAC(MAX($P$708*($B755+IF($R$17="Distrato",$I$38-1,0)),IF(AND($L$711=0,$P$708=0),"",$L$711-1),IF($R$17="Distrato",$E755,0)),MIN(AZ$38,$D$19),$P$20))-SUM($P755:AY755)</f>
        <v>#VALUE!</v>
      </c>
      <c r="BA755" s="446" t="e">
        <f>IF(OR($B755="",MIN(BA$38,$D$19)&lt;MAX($P$708*($B755+IF($R$17="Distrato",$I$38-1,0)),IF(AND($L$711=0,$P$708=0),"",$L$711-1),IF($R$17="Distrato",$E755,0))),0,YEARFRAC(MAX($P$708*($B755+IF($R$17="Distrato",$I$38-1,0)),IF(AND($L$711=0,$P$708=0),"",$L$711-1),IF($R$17="Distrato",$E755,0)),MIN(BA$38,$D$19),$P$20))-SUM($P755:AZ755)</f>
        <v>#VALUE!</v>
      </c>
      <c r="BB755" s="447"/>
    </row>
    <row r="756" spans="1:54" s="446" customFormat="1" ht="11.25" hidden="1" customHeight="1" x14ac:dyDescent="0.2">
      <c r="A756" s="235"/>
      <c r="B756" s="236"/>
      <c r="C756" s="29" t="str">
        <f>IF(B756="","",IF($L$709=$BL$25,VLOOKUP(DATE(YEAR($D$19),MONTH($D$19)-1,1),ÍNDICES!$A:$DE,HLOOKUP($BL$25,ÍNDICES!$B$3:$T$4,2)+11)-VLOOKUP(B756,ÍNDICES!$A:$DE,HLOOKUP($BL$25,ÍNDICES!$B$3:$T$4,2)+11)+1%,IF(C$712=$W$26,$J$35,IF(ISERROR(IF(B756&gt;$D$19,1,VLOOKUP(DATE(YEAR(B756),MONTH(B756)+IF($C$709=$S$23,1,0),1),ÍNDICES!$A:$DE,$Z$709+1))),"",IF(B756&gt;$D$19,1,VLOOKUP(DATE(YEAR(B756),MONTH(B756)+IF($C$709=$S$23,1,0),1),ÍNDICES!$A:$DE,$Z$709+1))))))</f>
        <v/>
      </c>
      <c r="D756" s="155"/>
      <c r="E756" s="88"/>
      <c r="F756" s="88"/>
      <c r="G756" s="88"/>
      <c r="H756" s="118"/>
      <c r="I756" s="182">
        <f t="shared" si="115"/>
        <v>0</v>
      </c>
      <c r="J756" s="20">
        <f t="shared" ca="1" si="116"/>
        <v>0</v>
      </c>
      <c r="K756" s="5">
        <f t="shared" ca="1" si="117"/>
        <v>0</v>
      </c>
      <c r="L756" s="61">
        <f t="shared" ca="1" si="118"/>
        <v>0</v>
      </c>
      <c r="M756" s="64">
        <f t="shared" si="119"/>
        <v>0</v>
      </c>
      <c r="N756" s="151"/>
      <c r="O756" s="5">
        <f t="shared" ca="1" si="120"/>
        <v>0</v>
      </c>
      <c r="P756" s="446" t="e">
        <f t="shared" si="121"/>
        <v>#VALUE!</v>
      </c>
      <c r="Q756" s="446" t="e">
        <f>IF(OR($B756="",MIN(Q$38,$D$19)&lt;MAX($P$708*($B756+IF($R$17="Distrato",$I$38-1,0)),IF(AND($L$711=0,$P$708=0),"",$L$711-1),IF($R$17="Distrato",$E756,0))),0,YEARFRAC(MAX($P$708*($B756+IF($R$17="Distrato",$I$38-1,0)),IF(AND($L$711=0,$P$708=0),"",$L$711-1),IF($R$17="Distrato",$E756,0)),MIN(Q$38,$D$19),$P$20))-SUM($P756:P756)</f>
        <v>#VALUE!</v>
      </c>
      <c r="R756" s="446" t="e">
        <f>IF(OR($B756="",MIN(R$38,$D$19)&lt;MAX($P$708*($B756+IF($R$17="Distrato",$I$38-1,0)),IF(AND($L$711=0,$P$708=0),"",$L$711-1),IF($R$17="Distrato",$E756,0))),0,YEARFRAC(MAX($P$708*($B756+IF($R$17="Distrato",$I$38-1,0)),IF(AND($L$711=0,$P$708=0),"",$L$711-1),IF($R$17="Distrato",$E756,0)),MIN(R$38,$D$19),$P$20))-SUM($P756:Q756)</f>
        <v>#VALUE!</v>
      </c>
      <c r="S756" s="446" t="e">
        <f>IF(OR($B756="",MIN(S$38,$D$19)&lt;MAX($P$708*($B756+IF($R$17="Distrato",$I$38-1,0)),IF(AND($L$711=0,$P$708=0),"",$L$711-1),IF($R$17="Distrato",$E756,0))),0,YEARFRAC(MAX($P$708*($B756+IF($R$17="Distrato",$I$38-1,0)),IF(AND($L$711=0,$P$708=0),"",$L$711-1),IF($R$17="Distrato",$E756,0)),MIN(S$38,$D$19),$P$20))-SUM($P756:R756)</f>
        <v>#VALUE!</v>
      </c>
      <c r="T756" s="446" t="e">
        <f>IF(OR($B756="",MIN(T$38,$D$19)&lt;MAX($P$708*($B756+IF($R$17="Distrato",$I$38-1,0)),IF(AND($L$711=0,$P$708=0),"",$L$711-1),IF($R$17="Distrato",$E756,0))),0,YEARFRAC(MAX($P$708*($B756+IF($R$17="Distrato",$I$38-1,0)),IF(AND($L$711=0,$P$708=0),"",$L$711-1),IF($R$17="Distrato",$E756,0)),MIN(T$38,$D$19),$P$20))-SUM($P756:S756)</f>
        <v>#VALUE!</v>
      </c>
      <c r="U756" s="446" t="e">
        <f>IF(OR($B756="",MIN(U$38,$D$19)&lt;MAX($P$708*($B756+IF($R$17="Distrato",$I$38-1,0)),IF(AND($L$711=0,$P$708=0),"",$L$711-1),IF($R$17="Distrato",$E756,0))),0,YEARFRAC(MAX($P$708*($B756+IF($R$17="Distrato",$I$38-1,0)),IF(AND($L$711=0,$P$708=0),"",$L$711-1),IF($R$17="Distrato",$E756,0)),MIN(U$38,$D$19),$P$20))-SUM($P756:T756)</f>
        <v>#VALUE!</v>
      </c>
      <c r="V756" s="446" t="e">
        <f>IF(OR($B756="",MIN(V$38,$D$19)&lt;MAX($P$708*($B756+IF($R$17="Distrato",$I$38-1,0)),IF(AND($L$711=0,$P$708=0),"",$L$711-1),IF($R$17="Distrato",$E756,0))),0,YEARFRAC(MAX($P$708*($B756+IF($R$17="Distrato",$I$38-1,0)),IF(AND($L$711=0,$P$708=0),"",$L$711-1),IF($R$17="Distrato",$E756,0)),MIN(V$38,$D$19),$P$20))-SUM($P756:U756)</f>
        <v>#VALUE!</v>
      </c>
      <c r="W756" s="446" t="e">
        <f>IF(OR($B756="",MIN(W$38,$D$19)&lt;MAX($P$708*($B756+IF($R$17="Distrato",$I$38-1,0)),IF(AND($L$711=0,$P$708=0),"",$L$711-1),IF($R$17="Distrato",$E756,0))),0,YEARFRAC(MAX($P$708*($B756+IF($R$17="Distrato",$I$38-1,0)),IF(AND($L$711=0,$P$708=0),"",$L$711-1),IF($R$17="Distrato",$E756,0)),MIN(W$38,$D$19),$P$20))-SUM($P756:V756)</f>
        <v>#VALUE!</v>
      </c>
      <c r="X756" s="446" t="e">
        <f>IF(OR($B756="",MIN(X$38,$D$19)&lt;MAX($P$708*($B756+IF($R$17="Distrato",$I$38-1,0)),IF(AND($L$711=0,$P$708=0),"",$L$711-1),IF($R$17="Distrato",$E756,0))),0,YEARFRAC(MAX($P$708*($B756+IF($R$17="Distrato",$I$38-1,0)),IF(AND($L$711=0,$P$708=0),"",$L$711-1),IF($R$17="Distrato",$E756,0)),MIN(X$38,$D$19),$P$20))-SUM($P756:W756)</f>
        <v>#VALUE!</v>
      </c>
      <c r="Y756" s="446" t="e">
        <f>IF(OR($B756="",MIN(Y$38,$D$19)&lt;MAX($P$708*($B756+IF($R$17="Distrato",$I$38-1,0)),IF(AND($L$711=0,$P$708=0),"",$L$711-1),IF($R$17="Distrato",$E756,0))),0,YEARFRAC(MAX($P$708*($B756+IF($R$17="Distrato",$I$38-1,0)),IF(AND($L$711=0,$P$708=0),"",$L$711-1),IF($R$17="Distrato",$E756,0)),MIN(Y$38,$D$19),$P$20))-SUM($P756:X756)</f>
        <v>#VALUE!</v>
      </c>
      <c r="Z756" s="446" t="e">
        <f>IF(OR($B756="",MIN(Z$38,$D$19)&lt;MAX($P$708*($B756+IF($R$17="Distrato",$I$38-1,0)),IF(AND($L$711=0,$P$708=0),"",$L$711-1),IF($R$17="Distrato",$E756,0))),0,YEARFRAC(MAX($P$708*($B756+IF($R$17="Distrato",$I$38-1,0)),IF(AND($L$711=0,$P$708=0),"",$L$711-1),IF($R$17="Distrato",$E756,0)),MIN(Z$38,$D$19),$P$20))-SUM($P756:Y756)</f>
        <v>#VALUE!</v>
      </c>
      <c r="AA756" s="446" t="e">
        <f>IF(OR($B756="",MIN(AA$38,$D$19)&lt;MAX($P$708*($B756+IF($R$17="Distrato",$I$38-1,0)),IF(AND($L$711=0,$P$708=0),"",$L$711-1),IF($R$17="Distrato",$E756,0))),0,YEARFRAC(MAX($P$708*($B756+IF($R$17="Distrato",$I$38-1,0)),IF(AND($L$711=0,$P$708=0),"",$L$711-1),IF($R$17="Distrato",$E756,0)),MIN(AA$38,$D$19),$P$20))-SUM($P756:Z756)</f>
        <v>#VALUE!</v>
      </c>
      <c r="AB756" s="446" t="e">
        <f>IF(OR($B756="",MIN(AB$38,$D$19)&lt;MAX($P$708*($B756+IF($R$17="Distrato",$I$38-1,0)),IF(AND($L$711=0,$P$708=0),"",$L$711-1),IF($R$17="Distrato",$E756,0))),0,YEARFRAC(MAX($P$708*($B756+IF($R$17="Distrato",$I$38-1,0)),IF(AND($L$711=0,$P$708=0),"",$L$711-1),IF($R$17="Distrato",$E756,0)),MIN(AB$38,$D$19),$P$20))-SUM($P756:AA756)</f>
        <v>#VALUE!</v>
      </c>
      <c r="AC756" s="446" t="e">
        <f>IF(OR($B756="",MIN(AC$38,$D$19)&lt;MAX($P$708*($B756+IF($R$17="Distrato",$I$38-1,0)),IF(AND($L$711=0,$P$708=0),"",$L$711-1),IF($R$17="Distrato",$E756,0))),0,YEARFRAC(MAX($P$708*($B756+IF($R$17="Distrato",$I$38-1,0)),IF(AND($L$711=0,$P$708=0),"",$L$711-1),IF($R$17="Distrato",$E756,0)),MIN(AC$38,$D$19),$P$20))-SUM($P756:AB756)</f>
        <v>#VALUE!</v>
      </c>
      <c r="AD756" s="446" t="e">
        <f>IF(OR($B756="",MIN(AD$38,$D$19)&lt;MAX($P$708*($B756+IF($R$17="Distrato",$I$38-1,0)),IF(AND($L$711=0,$P$708=0),"",$L$711-1),IF($R$17="Distrato",$E756,0))),0,YEARFRAC(MAX($P$708*($B756+IF($R$17="Distrato",$I$38-1,0)),IF(AND($L$711=0,$P$708=0),"",$L$711-1),IF($R$17="Distrato",$E756,0)),MIN(AD$38,$D$19),$P$20))-SUM($P756:AC756)</f>
        <v>#VALUE!</v>
      </c>
      <c r="AE756" s="446" t="e">
        <f>IF(OR($B756="",MIN(AE$38,$D$19)&lt;MAX($P$708*($B756+IF($R$17="Distrato",$I$38-1,0)),IF(AND($L$711=0,$P$708=0),"",$L$711-1),IF($R$17="Distrato",$E756,0))),0,YEARFRAC(MAX($P$708*($B756+IF($R$17="Distrato",$I$38-1,0)),IF(AND($L$711=0,$P$708=0),"",$L$711-1),IF($R$17="Distrato",$E756,0)),MIN(AE$38,$D$19),$P$20))-SUM($P756:AD756)</f>
        <v>#VALUE!</v>
      </c>
      <c r="AF756" s="446" t="e">
        <f>IF(OR($B756="",MIN(AF$38,$D$19)&lt;MAX($P$708*($B756+IF($R$17="Distrato",$I$38-1,0)),IF(AND($L$711=0,$P$708=0),"",$L$711-1),IF($R$17="Distrato",$E756,0))),0,YEARFRAC(MAX($P$708*($B756+IF($R$17="Distrato",$I$38-1,0)),IF(AND($L$711=0,$P$708=0),"",$L$711-1),IF($R$17="Distrato",$E756,0)),MIN(AF$38,$D$19),$P$20))-SUM($P756:AE756)</f>
        <v>#VALUE!</v>
      </c>
      <c r="AG756" s="446" t="e">
        <f>IF(OR($B756="",MIN(AG$38,$D$19)&lt;MAX($P$708*($B756+IF($R$17="Distrato",$I$38-1,0)),IF(AND($L$711=0,$P$708=0),"",$L$711-1),IF($R$17="Distrato",$E756,0))),0,YEARFRAC(MAX($P$708*($B756+IF($R$17="Distrato",$I$38-1,0)),IF(AND($L$711=0,$P$708=0),"",$L$711-1),IF($R$17="Distrato",$E756,0)),MIN(AG$38,$D$19),$P$20))-SUM($P756:AF756)</f>
        <v>#VALUE!</v>
      </c>
      <c r="AH756" s="446" t="e">
        <f>IF(OR($B756="",MIN(AH$38,$D$19)&lt;MAX($P$708*($B756+IF($R$17="Distrato",$I$38-1,0)),IF(AND($L$711=0,$P$708=0),"",$L$711-1),IF($R$17="Distrato",$E756,0))),0,YEARFRAC(MAX($P$708*($B756+IF($R$17="Distrato",$I$38-1,0)),IF(AND($L$711=0,$P$708=0),"",$L$711-1),IF($R$17="Distrato",$E756,0)),MIN(AH$38,$D$19),$P$20))-SUM($P756:AG756)</f>
        <v>#VALUE!</v>
      </c>
      <c r="AI756" s="446" t="e">
        <f>IF(OR($B756="",MIN(AI$38,$D$19)&lt;MAX($P$708*($B756+IF($R$17="Distrato",$I$38-1,0)),IF(AND($L$711=0,$P$708=0),"",$L$711-1),IF($R$17="Distrato",$E756,0))),0,YEARFRAC(MAX($P$708*($B756+IF($R$17="Distrato",$I$38-1,0)),IF(AND($L$711=0,$P$708=0),"",$L$711-1),IF($R$17="Distrato",$E756,0)),MIN(AI$38,$D$19),$P$20))-SUM($P756:AH756)</f>
        <v>#VALUE!</v>
      </c>
      <c r="AJ756" s="446" t="e">
        <f>IF(OR($B756="",MIN(AJ$38,$D$19)&lt;MAX($P$708*($B756+IF($R$17="Distrato",$I$38-1,0)),IF(AND($L$711=0,$P$708=0),"",$L$711-1),IF($R$17="Distrato",$E756,0))),0,YEARFRAC(MAX($P$708*($B756+IF($R$17="Distrato",$I$38-1,0)),IF(AND($L$711=0,$P$708=0),"",$L$711-1),IF($R$17="Distrato",$E756,0)),MIN(AJ$38,$D$19),$P$20))-SUM($P756:AI756)</f>
        <v>#VALUE!</v>
      </c>
      <c r="AK756" s="446" t="e">
        <f>IF(OR($B756="",MIN(AK$38,$D$19)&lt;MAX($P$708*($B756+IF($R$17="Distrato",$I$38-1,0)),IF(AND($L$711=0,$P$708=0),"",$L$711-1),IF($R$17="Distrato",$E756,0))),0,YEARFRAC(MAX($P$708*($B756+IF($R$17="Distrato",$I$38-1,0)),IF(AND($L$711=0,$P$708=0),"",$L$711-1),IF($R$17="Distrato",$E756,0)),MIN(AK$38,$D$19),$P$20))-SUM($P756:AJ756)</f>
        <v>#VALUE!</v>
      </c>
      <c r="AL756" s="446" t="e">
        <f>IF(OR($B756="",MIN(AL$38,$D$19)&lt;MAX($P$708*($B756+IF($R$17="Distrato",$I$38-1,0)),IF(AND($L$711=0,$P$708=0),"",$L$711-1),IF($R$17="Distrato",$E756,0))),0,YEARFRAC(MAX($P$708*($B756+IF($R$17="Distrato",$I$38-1,0)),IF(AND($L$711=0,$P$708=0),"",$L$711-1),IF($R$17="Distrato",$E756,0)),MIN(AL$38,$D$19),$P$20))-SUM($P756:AK756)</f>
        <v>#VALUE!</v>
      </c>
      <c r="AM756" s="446" t="e">
        <f>IF(OR($B756="",MIN(AM$38,$D$19)&lt;MAX($P$708*($B756+IF($R$17="Distrato",$I$38-1,0)),IF(AND($L$711=0,$P$708=0),"",$L$711-1),IF($R$17="Distrato",$E756,0))),0,YEARFRAC(MAX($P$708*($B756+IF($R$17="Distrato",$I$38-1,0)),IF(AND($L$711=0,$P$708=0),"",$L$711-1),IF($R$17="Distrato",$E756,0)),MIN(AM$38,$D$19),$P$20))-SUM($P756:AL756)</f>
        <v>#VALUE!</v>
      </c>
      <c r="AN756" s="446" t="e">
        <f>IF(OR($B756="",MIN(AN$38,$D$19)&lt;MAX($P$708*($B756+IF($R$17="Distrato",$I$38-1,0)),IF(AND($L$711=0,$P$708=0),"",$L$711-1),IF($R$17="Distrato",$E756,0))),0,YEARFRAC(MAX($P$708*($B756+IF($R$17="Distrato",$I$38-1,0)),IF(AND($L$711=0,$P$708=0),"",$L$711-1),IF($R$17="Distrato",$E756,0)),MIN(AN$38,$D$19),$P$20))-SUM($P756:AM756)</f>
        <v>#VALUE!</v>
      </c>
      <c r="AO756" s="446" t="e">
        <f>IF(OR($B756="",MIN(AO$38,$D$19)&lt;MAX($P$708*($B756+IF($R$17="Distrato",$I$38-1,0)),IF(AND($L$711=0,$P$708=0),"",$L$711-1),IF($R$17="Distrato",$E756,0))),0,YEARFRAC(MAX($P$708*($B756+IF($R$17="Distrato",$I$38-1,0)),IF(AND($L$711=0,$P$708=0),"",$L$711-1),IF($R$17="Distrato",$E756,0)),MIN(AO$38,$D$19),$P$20))-SUM($P756:AN756)</f>
        <v>#VALUE!</v>
      </c>
      <c r="AP756" s="446" t="e">
        <f>IF(OR($B756="",MIN(AP$38,$D$19)&lt;MAX($P$708*($B756+IF($R$17="Distrato",$I$38-1,0)),IF(AND($L$711=0,$P$708=0),"",$L$711-1),IF($R$17="Distrato",$E756,0))),0,YEARFRAC(MAX($P$708*($B756+IF($R$17="Distrato",$I$38-1,0)),IF(AND($L$711=0,$P$708=0),"",$L$711-1),IF($R$17="Distrato",$E756,0)),MIN(AP$38,$D$19),$P$20))-SUM($P756:AO756)</f>
        <v>#VALUE!</v>
      </c>
      <c r="AQ756" s="446" t="e">
        <f>IF(OR($B756="",MIN(AQ$38,$D$19)&lt;MAX($P$708*($B756+IF($R$17="Distrato",$I$38-1,0)),IF(AND($L$711=0,$P$708=0),"",$L$711-1),IF($R$17="Distrato",$E756,0))),0,YEARFRAC(MAX($P$708*($B756+IF($R$17="Distrato",$I$38-1,0)),IF(AND($L$711=0,$P$708=0),"",$L$711-1),IF($R$17="Distrato",$E756,0)),MIN(AQ$38,$D$19),$P$20))-SUM($P756:AP756)</f>
        <v>#VALUE!</v>
      </c>
      <c r="AR756" s="446" t="e">
        <f>IF(OR($B756="",MIN(AR$38,$D$19)&lt;MAX($P$708*($B756+IF($R$17="Distrato",$I$38-1,0)),IF(AND($L$711=0,$P$708=0),"",$L$711-1),IF($R$17="Distrato",$E756,0))),0,YEARFRAC(MAX($P$708*($B756+IF($R$17="Distrato",$I$38-1,0)),IF(AND($L$711=0,$P$708=0),"",$L$711-1),IF($R$17="Distrato",$E756,0)),MIN(AR$38,$D$19),$P$20))-SUM($P756:AQ756)</f>
        <v>#VALUE!</v>
      </c>
      <c r="AS756" s="446" t="e">
        <f>IF(OR($B756="",MIN(AS$38,$D$19)&lt;MAX($P$708*($B756+IF($R$17="Distrato",$I$38-1,0)),IF(AND($L$711=0,$P$708=0),"",$L$711-1),IF($R$17="Distrato",$E756,0))),0,YEARFRAC(MAX($P$708*($B756+IF($R$17="Distrato",$I$38-1,0)),IF(AND($L$711=0,$P$708=0),"",$L$711-1),IF($R$17="Distrato",$E756,0)),MIN(AS$38,$D$19),$P$20))-SUM($P756:AR756)</f>
        <v>#VALUE!</v>
      </c>
      <c r="AT756" s="446" t="e">
        <f>IF(OR($B756="",MIN(AT$38,$D$19)&lt;MAX($P$708*($B756+IF($R$17="Distrato",$I$38-1,0)),IF(AND($L$711=0,$P$708=0),"",$L$711-1),IF($R$17="Distrato",$E756,0))),0,YEARFRAC(MAX($P$708*($B756+IF($R$17="Distrato",$I$38-1,0)),IF(AND($L$711=0,$P$708=0),"",$L$711-1),IF($R$17="Distrato",$E756,0)),MIN(AT$38,$D$19),$P$20))-SUM($P756:AS756)</f>
        <v>#VALUE!</v>
      </c>
      <c r="AU756" s="446" t="e">
        <f>IF(OR($B756="",MIN(AU$38,$D$19)&lt;MAX($P$708*($B756+IF($R$17="Distrato",$I$38-1,0)),IF(AND($L$711=0,$P$708=0),"",$L$711-1),IF($R$17="Distrato",$E756,0))),0,YEARFRAC(MAX($P$708*($B756+IF($R$17="Distrato",$I$38-1,0)),IF(AND($L$711=0,$P$708=0),"",$L$711-1),IF($R$17="Distrato",$E756,0)),MIN(AU$38,$D$19),$P$20))-SUM($P756:AT756)</f>
        <v>#VALUE!</v>
      </c>
      <c r="AV756" s="446" t="e">
        <f>IF(OR($B756="",MIN(AV$38,$D$19)&lt;MAX($P$708*($B756+IF($R$17="Distrato",$I$38-1,0)),IF(AND($L$711=0,$P$708=0),"",$L$711-1),IF($R$17="Distrato",$E756,0))),0,YEARFRAC(MAX($P$708*($B756+IF($R$17="Distrato",$I$38-1,0)),IF(AND($L$711=0,$P$708=0),"",$L$711-1),IF($R$17="Distrato",$E756,0)),MIN(AV$38,$D$19),$P$20))-SUM($P756:AU756)</f>
        <v>#VALUE!</v>
      </c>
      <c r="AW756" s="446" t="e">
        <f>IF(OR($B756="",MIN(AW$38,$D$19)&lt;MAX($P$708*($B756+IF($R$17="Distrato",$I$38-1,0)),IF(AND($L$711=0,$P$708=0),"",$L$711-1),IF($R$17="Distrato",$E756,0))),0,YEARFRAC(MAX($P$708*($B756+IF($R$17="Distrato",$I$38-1,0)),IF(AND($L$711=0,$P$708=0),"",$L$711-1),IF($R$17="Distrato",$E756,0)),MIN(AW$38,$D$19),$P$20))-SUM($P756:AV756)</f>
        <v>#VALUE!</v>
      </c>
      <c r="AX756" s="446" t="e">
        <f>IF(OR($B756="",MIN(AX$38,$D$19)&lt;MAX($P$708*($B756+IF($R$17="Distrato",$I$38-1,0)),IF(AND($L$711=0,$P$708=0),"",$L$711-1),IF($R$17="Distrato",$E756,0))),0,YEARFRAC(MAX($P$708*($B756+IF($R$17="Distrato",$I$38-1,0)),IF(AND($L$711=0,$P$708=0),"",$L$711-1),IF($R$17="Distrato",$E756,0)),MIN(AX$38,$D$19),$P$20))-SUM($P756:AW756)</f>
        <v>#VALUE!</v>
      </c>
      <c r="AY756" s="446" t="e">
        <f>IF(OR($B756="",MIN(AY$38,$D$19)&lt;MAX($P$708*($B756+IF($R$17="Distrato",$I$38-1,0)),IF(AND($L$711=0,$P$708=0),"",$L$711-1),IF($R$17="Distrato",$E756,0))),0,YEARFRAC(MAX($P$708*($B756+IF($R$17="Distrato",$I$38-1,0)),IF(AND($L$711=0,$P$708=0),"",$L$711-1),IF($R$17="Distrato",$E756,0)),MIN(AY$38,$D$19),$P$20))-SUM($P756:AX756)</f>
        <v>#VALUE!</v>
      </c>
      <c r="AZ756" s="446" t="e">
        <f>IF(OR($B756="",MIN(AZ$38,$D$19)&lt;MAX($P$708*($B756+IF($R$17="Distrato",$I$38-1,0)),IF(AND($L$711=0,$P$708=0),"",$L$711-1),IF($R$17="Distrato",$E756,0))),0,YEARFRAC(MAX($P$708*($B756+IF($R$17="Distrato",$I$38-1,0)),IF(AND($L$711=0,$P$708=0),"",$L$711-1),IF($R$17="Distrato",$E756,0)),MIN(AZ$38,$D$19),$P$20))-SUM($P756:AY756)</f>
        <v>#VALUE!</v>
      </c>
      <c r="BA756" s="446" t="e">
        <f>IF(OR($B756="",MIN(BA$38,$D$19)&lt;MAX($P$708*($B756+IF($R$17="Distrato",$I$38-1,0)),IF(AND($L$711=0,$P$708=0),"",$L$711-1),IF($R$17="Distrato",$E756,0))),0,YEARFRAC(MAX($P$708*($B756+IF($R$17="Distrato",$I$38-1,0)),IF(AND($L$711=0,$P$708=0),"",$L$711-1),IF($R$17="Distrato",$E756,0)),MIN(BA$38,$D$19),$P$20))-SUM($P756:AZ756)</f>
        <v>#VALUE!</v>
      </c>
      <c r="BB756" s="447"/>
    </row>
    <row r="757" spans="1:54" s="446" customFormat="1" ht="11.25" hidden="1" customHeight="1" x14ac:dyDescent="0.2">
      <c r="A757" s="235"/>
      <c r="B757" s="236"/>
      <c r="C757" s="29" t="str">
        <f>IF(B757="","",IF($L$709=$BL$25,VLOOKUP(DATE(YEAR($D$19),MONTH($D$19)-1,1),ÍNDICES!$A:$DE,HLOOKUP($BL$25,ÍNDICES!$B$3:$T$4,2)+11)-VLOOKUP(B757,ÍNDICES!$A:$DE,HLOOKUP($BL$25,ÍNDICES!$B$3:$T$4,2)+11)+1%,IF(C$712=$W$26,$J$35,IF(ISERROR(IF(B757&gt;$D$19,1,VLOOKUP(DATE(YEAR(B757),MONTH(B757)+IF($C$709=$S$23,1,0),1),ÍNDICES!$A:$DE,$Z$709+1))),"",IF(B757&gt;$D$19,1,VLOOKUP(DATE(YEAR(B757),MONTH(B757)+IF($C$709=$S$23,1,0),1),ÍNDICES!$A:$DE,$Z$709+1))))))</f>
        <v/>
      </c>
      <c r="D757" s="155"/>
      <c r="E757" s="88"/>
      <c r="F757" s="88"/>
      <c r="G757" s="88"/>
      <c r="H757" s="118"/>
      <c r="I757" s="182">
        <f t="shared" si="115"/>
        <v>0</v>
      </c>
      <c r="J757" s="20">
        <f t="shared" ca="1" si="116"/>
        <v>0</v>
      </c>
      <c r="K757" s="5">
        <f t="shared" ca="1" si="117"/>
        <v>0</v>
      </c>
      <c r="L757" s="61">
        <f t="shared" ca="1" si="118"/>
        <v>0</v>
      </c>
      <c r="M757" s="64">
        <f t="shared" si="119"/>
        <v>0</v>
      </c>
      <c r="N757" s="151"/>
      <c r="O757" s="5">
        <f t="shared" ca="1" si="120"/>
        <v>0</v>
      </c>
      <c r="P757" s="446" t="e">
        <f t="shared" si="121"/>
        <v>#VALUE!</v>
      </c>
      <c r="Q757" s="446" t="e">
        <f>IF(OR($B757="",MIN(Q$38,$D$19)&lt;MAX($P$708*($B757+IF($R$17="Distrato",$I$38-1,0)),IF(AND($L$711=0,$P$708=0),"",$L$711-1),IF($R$17="Distrato",$E757,0))),0,YEARFRAC(MAX($P$708*($B757+IF($R$17="Distrato",$I$38-1,0)),IF(AND($L$711=0,$P$708=0),"",$L$711-1),IF($R$17="Distrato",$E757,0)),MIN(Q$38,$D$19),$P$20))-SUM($P757:P757)</f>
        <v>#VALUE!</v>
      </c>
      <c r="R757" s="446" t="e">
        <f>IF(OR($B757="",MIN(R$38,$D$19)&lt;MAX($P$708*($B757+IF($R$17="Distrato",$I$38-1,0)),IF(AND($L$711=0,$P$708=0),"",$L$711-1),IF($R$17="Distrato",$E757,0))),0,YEARFRAC(MAX($P$708*($B757+IF($R$17="Distrato",$I$38-1,0)),IF(AND($L$711=0,$P$708=0),"",$L$711-1),IF($R$17="Distrato",$E757,0)),MIN(R$38,$D$19),$P$20))-SUM($P757:Q757)</f>
        <v>#VALUE!</v>
      </c>
      <c r="S757" s="446" t="e">
        <f>IF(OR($B757="",MIN(S$38,$D$19)&lt;MAX($P$708*($B757+IF($R$17="Distrato",$I$38-1,0)),IF(AND($L$711=0,$P$708=0),"",$L$711-1),IF($R$17="Distrato",$E757,0))),0,YEARFRAC(MAX($P$708*($B757+IF($R$17="Distrato",$I$38-1,0)),IF(AND($L$711=0,$P$708=0),"",$L$711-1),IF($R$17="Distrato",$E757,0)),MIN(S$38,$D$19),$P$20))-SUM($P757:R757)</f>
        <v>#VALUE!</v>
      </c>
      <c r="T757" s="446" t="e">
        <f>IF(OR($B757="",MIN(T$38,$D$19)&lt;MAX($P$708*($B757+IF($R$17="Distrato",$I$38-1,0)),IF(AND($L$711=0,$P$708=0),"",$L$711-1),IF($R$17="Distrato",$E757,0))),0,YEARFRAC(MAX($P$708*($B757+IF($R$17="Distrato",$I$38-1,0)),IF(AND($L$711=0,$P$708=0),"",$L$711-1),IF($R$17="Distrato",$E757,0)),MIN(T$38,$D$19),$P$20))-SUM($P757:S757)</f>
        <v>#VALUE!</v>
      </c>
      <c r="U757" s="446" t="e">
        <f>IF(OR($B757="",MIN(U$38,$D$19)&lt;MAX($P$708*($B757+IF($R$17="Distrato",$I$38-1,0)),IF(AND($L$711=0,$P$708=0),"",$L$711-1),IF($R$17="Distrato",$E757,0))),0,YEARFRAC(MAX($P$708*($B757+IF($R$17="Distrato",$I$38-1,0)),IF(AND($L$711=0,$P$708=0),"",$L$711-1),IF($R$17="Distrato",$E757,0)),MIN(U$38,$D$19),$P$20))-SUM($P757:T757)</f>
        <v>#VALUE!</v>
      </c>
      <c r="V757" s="446" t="e">
        <f>IF(OR($B757="",MIN(V$38,$D$19)&lt;MAX($P$708*($B757+IF($R$17="Distrato",$I$38-1,0)),IF(AND($L$711=0,$P$708=0),"",$L$711-1),IF($R$17="Distrato",$E757,0))),0,YEARFRAC(MAX($P$708*($B757+IF($R$17="Distrato",$I$38-1,0)),IF(AND($L$711=0,$P$708=0),"",$L$711-1),IF($R$17="Distrato",$E757,0)),MIN(V$38,$D$19),$P$20))-SUM($P757:U757)</f>
        <v>#VALUE!</v>
      </c>
      <c r="W757" s="446" t="e">
        <f>IF(OR($B757="",MIN(W$38,$D$19)&lt;MAX($P$708*($B757+IF($R$17="Distrato",$I$38-1,0)),IF(AND($L$711=0,$P$708=0),"",$L$711-1),IF($R$17="Distrato",$E757,0))),0,YEARFRAC(MAX($P$708*($B757+IF($R$17="Distrato",$I$38-1,0)),IF(AND($L$711=0,$P$708=0),"",$L$711-1),IF($R$17="Distrato",$E757,0)),MIN(W$38,$D$19),$P$20))-SUM($P757:V757)</f>
        <v>#VALUE!</v>
      </c>
      <c r="X757" s="446" t="e">
        <f>IF(OR($B757="",MIN(X$38,$D$19)&lt;MAX($P$708*($B757+IF($R$17="Distrato",$I$38-1,0)),IF(AND($L$711=0,$P$708=0),"",$L$711-1),IF($R$17="Distrato",$E757,0))),0,YEARFRAC(MAX($P$708*($B757+IF($R$17="Distrato",$I$38-1,0)),IF(AND($L$711=0,$P$708=0),"",$L$711-1),IF($R$17="Distrato",$E757,0)),MIN(X$38,$D$19),$P$20))-SUM($P757:W757)</f>
        <v>#VALUE!</v>
      </c>
      <c r="Y757" s="446" t="e">
        <f>IF(OR($B757="",MIN(Y$38,$D$19)&lt;MAX($P$708*($B757+IF($R$17="Distrato",$I$38-1,0)),IF(AND($L$711=0,$P$708=0),"",$L$711-1),IF($R$17="Distrato",$E757,0))),0,YEARFRAC(MAX($P$708*($B757+IF($R$17="Distrato",$I$38-1,0)),IF(AND($L$711=0,$P$708=0),"",$L$711-1),IF($R$17="Distrato",$E757,0)),MIN(Y$38,$D$19),$P$20))-SUM($P757:X757)</f>
        <v>#VALUE!</v>
      </c>
      <c r="Z757" s="446" t="e">
        <f>IF(OR($B757="",MIN(Z$38,$D$19)&lt;MAX($P$708*($B757+IF($R$17="Distrato",$I$38-1,0)),IF(AND($L$711=0,$P$708=0),"",$L$711-1),IF($R$17="Distrato",$E757,0))),0,YEARFRAC(MAX($P$708*($B757+IF($R$17="Distrato",$I$38-1,0)),IF(AND($L$711=0,$P$708=0),"",$L$711-1),IF($R$17="Distrato",$E757,0)),MIN(Z$38,$D$19),$P$20))-SUM($P757:Y757)</f>
        <v>#VALUE!</v>
      </c>
      <c r="AA757" s="446" t="e">
        <f>IF(OR($B757="",MIN(AA$38,$D$19)&lt;MAX($P$708*($B757+IF($R$17="Distrato",$I$38-1,0)),IF(AND($L$711=0,$P$708=0),"",$L$711-1),IF($R$17="Distrato",$E757,0))),0,YEARFRAC(MAX($P$708*($B757+IF($R$17="Distrato",$I$38-1,0)),IF(AND($L$711=0,$P$708=0),"",$L$711-1),IF($R$17="Distrato",$E757,0)),MIN(AA$38,$D$19),$P$20))-SUM($P757:Z757)</f>
        <v>#VALUE!</v>
      </c>
      <c r="AB757" s="446" t="e">
        <f>IF(OR($B757="",MIN(AB$38,$D$19)&lt;MAX($P$708*($B757+IF($R$17="Distrato",$I$38-1,0)),IF(AND($L$711=0,$P$708=0),"",$L$711-1),IF($R$17="Distrato",$E757,0))),0,YEARFRAC(MAX($P$708*($B757+IF($R$17="Distrato",$I$38-1,0)),IF(AND($L$711=0,$P$708=0),"",$L$711-1),IF($R$17="Distrato",$E757,0)),MIN(AB$38,$D$19),$P$20))-SUM($P757:AA757)</f>
        <v>#VALUE!</v>
      </c>
      <c r="AC757" s="446" t="e">
        <f>IF(OR($B757="",MIN(AC$38,$D$19)&lt;MAX($P$708*($B757+IF($R$17="Distrato",$I$38-1,0)),IF(AND($L$711=0,$P$708=0),"",$L$711-1),IF($R$17="Distrato",$E757,0))),0,YEARFRAC(MAX($P$708*($B757+IF($R$17="Distrato",$I$38-1,0)),IF(AND($L$711=0,$P$708=0),"",$L$711-1),IF($R$17="Distrato",$E757,0)),MIN(AC$38,$D$19),$P$20))-SUM($P757:AB757)</f>
        <v>#VALUE!</v>
      </c>
      <c r="AD757" s="446" t="e">
        <f>IF(OR($B757="",MIN(AD$38,$D$19)&lt;MAX($P$708*($B757+IF($R$17="Distrato",$I$38-1,0)),IF(AND($L$711=0,$P$708=0),"",$L$711-1),IF($R$17="Distrato",$E757,0))),0,YEARFRAC(MAX($P$708*($B757+IF($R$17="Distrato",$I$38-1,0)),IF(AND($L$711=0,$P$708=0),"",$L$711-1),IF($R$17="Distrato",$E757,0)),MIN(AD$38,$D$19),$P$20))-SUM($P757:AC757)</f>
        <v>#VALUE!</v>
      </c>
      <c r="AE757" s="446" t="e">
        <f>IF(OR($B757="",MIN(AE$38,$D$19)&lt;MAX($P$708*($B757+IF($R$17="Distrato",$I$38-1,0)),IF(AND($L$711=0,$P$708=0),"",$L$711-1),IF($R$17="Distrato",$E757,0))),0,YEARFRAC(MAX($P$708*($B757+IF($R$17="Distrato",$I$38-1,0)),IF(AND($L$711=0,$P$708=0),"",$L$711-1),IF($R$17="Distrato",$E757,0)),MIN(AE$38,$D$19),$P$20))-SUM($P757:AD757)</f>
        <v>#VALUE!</v>
      </c>
      <c r="AF757" s="446" t="e">
        <f>IF(OR($B757="",MIN(AF$38,$D$19)&lt;MAX($P$708*($B757+IF($R$17="Distrato",$I$38-1,0)),IF(AND($L$711=0,$P$708=0),"",$L$711-1),IF($R$17="Distrato",$E757,0))),0,YEARFRAC(MAX($P$708*($B757+IF($R$17="Distrato",$I$38-1,0)),IF(AND($L$711=0,$P$708=0),"",$L$711-1),IF($R$17="Distrato",$E757,0)),MIN(AF$38,$D$19),$P$20))-SUM($P757:AE757)</f>
        <v>#VALUE!</v>
      </c>
      <c r="AG757" s="446" t="e">
        <f>IF(OR($B757="",MIN(AG$38,$D$19)&lt;MAX($P$708*($B757+IF($R$17="Distrato",$I$38-1,0)),IF(AND($L$711=0,$P$708=0),"",$L$711-1),IF($R$17="Distrato",$E757,0))),0,YEARFRAC(MAX($P$708*($B757+IF($R$17="Distrato",$I$38-1,0)),IF(AND($L$711=0,$P$708=0),"",$L$711-1),IF($R$17="Distrato",$E757,0)),MIN(AG$38,$D$19),$P$20))-SUM($P757:AF757)</f>
        <v>#VALUE!</v>
      </c>
      <c r="AH757" s="446" t="e">
        <f>IF(OR($B757="",MIN(AH$38,$D$19)&lt;MAX($P$708*($B757+IF($R$17="Distrato",$I$38-1,0)),IF(AND($L$711=0,$P$708=0),"",$L$711-1),IF($R$17="Distrato",$E757,0))),0,YEARFRAC(MAX($P$708*($B757+IF($R$17="Distrato",$I$38-1,0)),IF(AND($L$711=0,$P$708=0),"",$L$711-1),IF($R$17="Distrato",$E757,0)),MIN(AH$38,$D$19),$P$20))-SUM($P757:AG757)</f>
        <v>#VALUE!</v>
      </c>
      <c r="AI757" s="446" t="e">
        <f>IF(OR($B757="",MIN(AI$38,$D$19)&lt;MAX($P$708*($B757+IF($R$17="Distrato",$I$38-1,0)),IF(AND($L$711=0,$P$708=0),"",$L$711-1),IF($R$17="Distrato",$E757,0))),0,YEARFRAC(MAX($P$708*($B757+IF($R$17="Distrato",$I$38-1,0)),IF(AND($L$711=0,$P$708=0),"",$L$711-1),IF($R$17="Distrato",$E757,0)),MIN(AI$38,$D$19),$P$20))-SUM($P757:AH757)</f>
        <v>#VALUE!</v>
      </c>
      <c r="AJ757" s="446" t="e">
        <f>IF(OR($B757="",MIN(AJ$38,$D$19)&lt;MAX($P$708*($B757+IF($R$17="Distrato",$I$38-1,0)),IF(AND($L$711=0,$P$708=0),"",$L$711-1),IF($R$17="Distrato",$E757,0))),0,YEARFRAC(MAX($P$708*($B757+IF($R$17="Distrato",$I$38-1,0)),IF(AND($L$711=0,$P$708=0),"",$L$711-1),IF($R$17="Distrato",$E757,0)),MIN(AJ$38,$D$19),$P$20))-SUM($P757:AI757)</f>
        <v>#VALUE!</v>
      </c>
      <c r="AK757" s="446" t="e">
        <f>IF(OR($B757="",MIN(AK$38,$D$19)&lt;MAX($P$708*($B757+IF($R$17="Distrato",$I$38-1,0)),IF(AND($L$711=0,$P$708=0),"",$L$711-1),IF($R$17="Distrato",$E757,0))),0,YEARFRAC(MAX($P$708*($B757+IF($R$17="Distrato",$I$38-1,0)),IF(AND($L$711=0,$P$708=0),"",$L$711-1),IF($R$17="Distrato",$E757,0)),MIN(AK$38,$D$19),$P$20))-SUM($P757:AJ757)</f>
        <v>#VALUE!</v>
      </c>
      <c r="AL757" s="446" t="e">
        <f>IF(OR($B757="",MIN(AL$38,$D$19)&lt;MAX($P$708*($B757+IF($R$17="Distrato",$I$38-1,0)),IF(AND($L$711=0,$P$708=0),"",$L$711-1),IF($R$17="Distrato",$E757,0))),0,YEARFRAC(MAX($P$708*($B757+IF($R$17="Distrato",$I$38-1,0)),IF(AND($L$711=0,$P$708=0),"",$L$711-1),IF($R$17="Distrato",$E757,0)),MIN(AL$38,$D$19),$P$20))-SUM($P757:AK757)</f>
        <v>#VALUE!</v>
      </c>
      <c r="AM757" s="446" t="e">
        <f>IF(OR($B757="",MIN(AM$38,$D$19)&lt;MAX($P$708*($B757+IF($R$17="Distrato",$I$38-1,0)),IF(AND($L$711=0,$P$708=0),"",$L$711-1),IF($R$17="Distrato",$E757,0))),0,YEARFRAC(MAX($P$708*($B757+IF($R$17="Distrato",$I$38-1,0)),IF(AND($L$711=0,$P$708=0),"",$L$711-1),IF($R$17="Distrato",$E757,0)),MIN(AM$38,$D$19),$P$20))-SUM($P757:AL757)</f>
        <v>#VALUE!</v>
      </c>
      <c r="AN757" s="446" t="e">
        <f>IF(OR($B757="",MIN(AN$38,$D$19)&lt;MAX($P$708*($B757+IF($R$17="Distrato",$I$38-1,0)),IF(AND($L$711=0,$P$708=0),"",$L$711-1),IF($R$17="Distrato",$E757,0))),0,YEARFRAC(MAX($P$708*($B757+IF($R$17="Distrato",$I$38-1,0)),IF(AND($L$711=0,$P$708=0),"",$L$711-1),IF($R$17="Distrato",$E757,0)),MIN(AN$38,$D$19),$P$20))-SUM($P757:AM757)</f>
        <v>#VALUE!</v>
      </c>
      <c r="AO757" s="446" t="e">
        <f>IF(OR($B757="",MIN(AO$38,$D$19)&lt;MAX($P$708*($B757+IF($R$17="Distrato",$I$38-1,0)),IF(AND($L$711=0,$P$708=0),"",$L$711-1),IF($R$17="Distrato",$E757,0))),0,YEARFRAC(MAX($P$708*($B757+IF($R$17="Distrato",$I$38-1,0)),IF(AND($L$711=0,$P$708=0),"",$L$711-1),IF($R$17="Distrato",$E757,0)),MIN(AO$38,$D$19),$P$20))-SUM($P757:AN757)</f>
        <v>#VALUE!</v>
      </c>
      <c r="AP757" s="446" t="e">
        <f>IF(OR($B757="",MIN(AP$38,$D$19)&lt;MAX($P$708*($B757+IF($R$17="Distrato",$I$38-1,0)),IF(AND($L$711=0,$P$708=0),"",$L$711-1),IF($R$17="Distrato",$E757,0))),0,YEARFRAC(MAX($P$708*($B757+IF($R$17="Distrato",$I$38-1,0)),IF(AND($L$711=0,$P$708=0),"",$L$711-1),IF($R$17="Distrato",$E757,0)),MIN(AP$38,$D$19),$P$20))-SUM($P757:AO757)</f>
        <v>#VALUE!</v>
      </c>
      <c r="AQ757" s="446" t="e">
        <f>IF(OR($B757="",MIN(AQ$38,$D$19)&lt;MAX($P$708*($B757+IF($R$17="Distrato",$I$38-1,0)),IF(AND($L$711=0,$P$708=0),"",$L$711-1),IF($R$17="Distrato",$E757,0))),0,YEARFRAC(MAX($P$708*($B757+IF($R$17="Distrato",$I$38-1,0)),IF(AND($L$711=0,$P$708=0),"",$L$711-1),IF($R$17="Distrato",$E757,0)),MIN(AQ$38,$D$19),$P$20))-SUM($P757:AP757)</f>
        <v>#VALUE!</v>
      </c>
      <c r="AR757" s="446" t="e">
        <f>IF(OR($B757="",MIN(AR$38,$D$19)&lt;MAX($P$708*($B757+IF($R$17="Distrato",$I$38-1,0)),IF(AND($L$711=0,$P$708=0),"",$L$711-1),IF($R$17="Distrato",$E757,0))),0,YEARFRAC(MAX($P$708*($B757+IF($R$17="Distrato",$I$38-1,0)),IF(AND($L$711=0,$P$708=0),"",$L$711-1),IF($R$17="Distrato",$E757,0)),MIN(AR$38,$D$19),$P$20))-SUM($P757:AQ757)</f>
        <v>#VALUE!</v>
      </c>
      <c r="AS757" s="446" t="e">
        <f>IF(OR($B757="",MIN(AS$38,$D$19)&lt;MAX($P$708*($B757+IF($R$17="Distrato",$I$38-1,0)),IF(AND($L$711=0,$P$708=0),"",$L$711-1),IF($R$17="Distrato",$E757,0))),0,YEARFRAC(MAX($P$708*($B757+IF($R$17="Distrato",$I$38-1,0)),IF(AND($L$711=0,$P$708=0),"",$L$711-1),IF($R$17="Distrato",$E757,0)),MIN(AS$38,$D$19),$P$20))-SUM($P757:AR757)</f>
        <v>#VALUE!</v>
      </c>
      <c r="AT757" s="446" t="e">
        <f>IF(OR($B757="",MIN(AT$38,$D$19)&lt;MAX($P$708*($B757+IF($R$17="Distrato",$I$38-1,0)),IF(AND($L$711=0,$P$708=0),"",$L$711-1),IF($R$17="Distrato",$E757,0))),0,YEARFRAC(MAX($P$708*($B757+IF($R$17="Distrato",$I$38-1,0)),IF(AND($L$711=0,$P$708=0),"",$L$711-1),IF($R$17="Distrato",$E757,0)),MIN(AT$38,$D$19),$P$20))-SUM($P757:AS757)</f>
        <v>#VALUE!</v>
      </c>
      <c r="AU757" s="446" t="e">
        <f>IF(OR($B757="",MIN(AU$38,$D$19)&lt;MAX($P$708*($B757+IF($R$17="Distrato",$I$38-1,0)),IF(AND($L$711=0,$P$708=0),"",$L$711-1),IF($R$17="Distrato",$E757,0))),0,YEARFRAC(MAX($P$708*($B757+IF($R$17="Distrato",$I$38-1,0)),IF(AND($L$711=0,$P$708=0),"",$L$711-1),IF($R$17="Distrato",$E757,0)),MIN(AU$38,$D$19),$P$20))-SUM($P757:AT757)</f>
        <v>#VALUE!</v>
      </c>
      <c r="AV757" s="446" t="e">
        <f>IF(OR($B757="",MIN(AV$38,$D$19)&lt;MAX($P$708*($B757+IF($R$17="Distrato",$I$38-1,0)),IF(AND($L$711=0,$P$708=0),"",$L$711-1),IF($R$17="Distrato",$E757,0))),0,YEARFRAC(MAX($P$708*($B757+IF($R$17="Distrato",$I$38-1,0)),IF(AND($L$711=0,$P$708=0),"",$L$711-1),IF($R$17="Distrato",$E757,0)),MIN(AV$38,$D$19),$P$20))-SUM($P757:AU757)</f>
        <v>#VALUE!</v>
      </c>
      <c r="AW757" s="446" t="e">
        <f>IF(OR($B757="",MIN(AW$38,$D$19)&lt;MAX($P$708*($B757+IF($R$17="Distrato",$I$38-1,0)),IF(AND($L$711=0,$P$708=0),"",$L$711-1),IF($R$17="Distrato",$E757,0))),0,YEARFRAC(MAX($P$708*($B757+IF($R$17="Distrato",$I$38-1,0)),IF(AND($L$711=0,$P$708=0),"",$L$711-1),IF($R$17="Distrato",$E757,0)),MIN(AW$38,$D$19),$P$20))-SUM($P757:AV757)</f>
        <v>#VALUE!</v>
      </c>
      <c r="AX757" s="446" t="e">
        <f>IF(OR($B757="",MIN(AX$38,$D$19)&lt;MAX($P$708*($B757+IF($R$17="Distrato",$I$38-1,0)),IF(AND($L$711=0,$P$708=0),"",$L$711-1),IF($R$17="Distrato",$E757,0))),0,YEARFRAC(MAX($P$708*($B757+IF($R$17="Distrato",$I$38-1,0)),IF(AND($L$711=0,$P$708=0),"",$L$711-1),IF($R$17="Distrato",$E757,0)),MIN(AX$38,$D$19),$P$20))-SUM($P757:AW757)</f>
        <v>#VALUE!</v>
      </c>
      <c r="AY757" s="446" t="e">
        <f>IF(OR($B757="",MIN(AY$38,$D$19)&lt;MAX($P$708*($B757+IF($R$17="Distrato",$I$38-1,0)),IF(AND($L$711=0,$P$708=0),"",$L$711-1),IF($R$17="Distrato",$E757,0))),0,YEARFRAC(MAX($P$708*($B757+IF($R$17="Distrato",$I$38-1,0)),IF(AND($L$711=0,$P$708=0),"",$L$711-1),IF($R$17="Distrato",$E757,0)),MIN(AY$38,$D$19),$P$20))-SUM($P757:AX757)</f>
        <v>#VALUE!</v>
      </c>
      <c r="AZ757" s="446" t="e">
        <f>IF(OR($B757="",MIN(AZ$38,$D$19)&lt;MAX($P$708*($B757+IF($R$17="Distrato",$I$38-1,0)),IF(AND($L$711=0,$P$708=0),"",$L$711-1),IF($R$17="Distrato",$E757,0))),0,YEARFRAC(MAX($P$708*($B757+IF($R$17="Distrato",$I$38-1,0)),IF(AND($L$711=0,$P$708=0),"",$L$711-1),IF($R$17="Distrato",$E757,0)),MIN(AZ$38,$D$19),$P$20))-SUM($P757:AY757)</f>
        <v>#VALUE!</v>
      </c>
      <c r="BA757" s="446" t="e">
        <f>IF(OR($B757="",MIN(BA$38,$D$19)&lt;MAX($P$708*($B757+IF($R$17="Distrato",$I$38-1,0)),IF(AND($L$711=0,$P$708=0),"",$L$711-1),IF($R$17="Distrato",$E757,0))),0,YEARFRAC(MAX($P$708*($B757+IF($R$17="Distrato",$I$38-1,0)),IF(AND($L$711=0,$P$708=0),"",$L$711-1),IF($R$17="Distrato",$E757,0)),MIN(BA$38,$D$19),$P$20))-SUM($P757:AZ757)</f>
        <v>#VALUE!</v>
      </c>
      <c r="BB757" s="447"/>
    </row>
    <row r="758" spans="1:54" s="446" customFormat="1" ht="11.25" hidden="1" customHeight="1" x14ac:dyDescent="0.2">
      <c r="A758" s="235"/>
      <c r="B758" s="236"/>
      <c r="C758" s="29" t="str">
        <f>IF(B758="","",IF($L$709=$BL$25,VLOOKUP(DATE(YEAR($D$19),MONTH($D$19)-1,1),ÍNDICES!$A:$DE,HLOOKUP($BL$25,ÍNDICES!$B$3:$T$4,2)+11)-VLOOKUP(B758,ÍNDICES!$A:$DE,HLOOKUP($BL$25,ÍNDICES!$B$3:$T$4,2)+11)+1%,IF(C$712=$W$26,$J$35,IF(ISERROR(IF(B758&gt;$D$19,1,VLOOKUP(DATE(YEAR(B758),MONTH(B758)+IF($C$709=$S$23,1,0),1),ÍNDICES!$A:$DE,$Z$709+1))),"",IF(B758&gt;$D$19,1,VLOOKUP(DATE(YEAR(B758),MONTH(B758)+IF($C$709=$S$23,1,0),1),ÍNDICES!$A:$DE,$Z$709+1))))))</f>
        <v/>
      </c>
      <c r="D758" s="155"/>
      <c r="E758" s="88"/>
      <c r="F758" s="88"/>
      <c r="G758" s="88"/>
      <c r="H758" s="118"/>
      <c r="I758" s="182">
        <f t="shared" si="115"/>
        <v>0</v>
      </c>
      <c r="J758" s="20">
        <f t="shared" ca="1" si="116"/>
        <v>0</v>
      </c>
      <c r="K758" s="5">
        <f t="shared" ca="1" si="117"/>
        <v>0</v>
      </c>
      <c r="L758" s="61">
        <f t="shared" ca="1" si="118"/>
        <v>0</v>
      </c>
      <c r="M758" s="64">
        <f t="shared" si="119"/>
        <v>0</v>
      </c>
      <c r="N758" s="151"/>
      <c r="O758" s="5">
        <f t="shared" ca="1" si="120"/>
        <v>0</v>
      </c>
      <c r="P758" s="446" t="e">
        <f t="shared" si="121"/>
        <v>#VALUE!</v>
      </c>
      <c r="Q758" s="446" t="e">
        <f>IF(OR($B758="",MIN(Q$38,$D$19)&lt;MAX($P$708*($B758+IF($R$17="Distrato",$I$38-1,0)),IF(AND($L$711=0,$P$708=0),"",$L$711-1),IF($R$17="Distrato",$E758,0))),0,YEARFRAC(MAX($P$708*($B758+IF($R$17="Distrato",$I$38-1,0)),IF(AND($L$711=0,$P$708=0),"",$L$711-1),IF($R$17="Distrato",$E758,0)),MIN(Q$38,$D$19),$P$20))-SUM($P758:P758)</f>
        <v>#VALUE!</v>
      </c>
      <c r="R758" s="446" t="e">
        <f>IF(OR($B758="",MIN(R$38,$D$19)&lt;MAX($P$708*($B758+IF($R$17="Distrato",$I$38-1,0)),IF(AND($L$711=0,$P$708=0),"",$L$711-1),IF($R$17="Distrato",$E758,0))),0,YEARFRAC(MAX($P$708*($B758+IF($R$17="Distrato",$I$38-1,0)),IF(AND($L$711=0,$P$708=0),"",$L$711-1),IF($R$17="Distrato",$E758,0)),MIN(R$38,$D$19),$P$20))-SUM($P758:Q758)</f>
        <v>#VALUE!</v>
      </c>
      <c r="S758" s="446" t="e">
        <f>IF(OR($B758="",MIN(S$38,$D$19)&lt;MAX($P$708*($B758+IF($R$17="Distrato",$I$38-1,0)),IF(AND($L$711=0,$P$708=0),"",$L$711-1),IF($R$17="Distrato",$E758,0))),0,YEARFRAC(MAX($P$708*($B758+IF($R$17="Distrato",$I$38-1,0)),IF(AND($L$711=0,$P$708=0),"",$L$711-1),IF($R$17="Distrato",$E758,0)),MIN(S$38,$D$19),$P$20))-SUM($P758:R758)</f>
        <v>#VALUE!</v>
      </c>
      <c r="T758" s="446" t="e">
        <f>IF(OR($B758="",MIN(T$38,$D$19)&lt;MAX($P$708*($B758+IF($R$17="Distrato",$I$38-1,0)),IF(AND($L$711=0,$P$708=0),"",$L$711-1),IF($R$17="Distrato",$E758,0))),0,YEARFRAC(MAX($P$708*($B758+IF($R$17="Distrato",$I$38-1,0)),IF(AND($L$711=0,$P$708=0),"",$L$711-1),IF($R$17="Distrato",$E758,0)),MIN(T$38,$D$19),$P$20))-SUM($P758:S758)</f>
        <v>#VALUE!</v>
      </c>
      <c r="U758" s="446" t="e">
        <f>IF(OR($B758="",MIN(U$38,$D$19)&lt;MAX($P$708*($B758+IF($R$17="Distrato",$I$38-1,0)),IF(AND($L$711=0,$P$708=0),"",$L$711-1),IF($R$17="Distrato",$E758,0))),0,YEARFRAC(MAX($P$708*($B758+IF($R$17="Distrato",$I$38-1,0)),IF(AND($L$711=0,$P$708=0),"",$L$711-1),IF($R$17="Distrato",$E758,0)),MIN(U$38,$D$19),$P$20))-SUM($P758:T758)</f>
        <v>#VALUE!</v>
      </c>
      <c r="V758" s="446" t="e">
        <f>IF(OR($B758="",MIN(V$38,$D$19)&lt;MAX($P$708*($B758+IF($R$17="Distrato",$I$38-1,0)),IF(AND($L$711=0,$P$708=0),"",$L$711-1),IF($R$17="Distrato",$E758,0))),0,YEARFRAC(MAX($P$708*($B758+IF($R$17="Distrato",$I$38-1,0)),IF(AND($L$711=0,$P$708=0),"",$L$711-1),IF($R$17="Distrato",$E758,0)),MIN(V$38,$D$19),$P$20))-SUM($P758:U758)</f>
        <v>#VALUE!</v>
      </c>
      <c r="W758" s="446" t="e">
        <f>IF(OR($B758="",MIN(W$38,$D$19)&lt;MAX($P$708*($B758+IF($R$17="Distrato",$I$38-1,0)),IF(AND($L$711=0,$P$708=0),"",$L$711-1),IF($R$17="Distrato",$E758,0))),0,YEARFRAC(MAX($P$708*($B758+IF($R$17="Distrato",$I$38-1,0)),IF(AND($L$711=0,$P$708=0),"",$L$711-1),IF($R$17="Distrato",$E758,0)),MIN(W$38,$D$19),$P$20))-SUM($P758:V758)</f>
        <v>#VALUE!</v>
      </c>
      <c r="X758" s="446" t="e">
        <f>IF(OR($B758="",MIN(X$38,$D$19)&lt;MAX($P$708*($B758+IF($R$17="Distrato",$I$38-1,0)),IF(AND($L$711=0,$P$708=0),"",$L$711-1),IF($R$17="Distrato",$E758,0))),0,YEARFRAC(MAX($P$708*($B758+IF($R$17="Distrato",$I$38-1,0)),IF(AND($L$711=0,$P$708=0),"",$L$711-1),IF($R$17="Distrato",$E758,0)),MIN(X$38,$D$19),$P$20))-SUM($P758:W758)</f>
        <v>#VALUE!</v>
      </c>
      <c r="Y758" s="446" t="e">
        <f>IF(OR($B758="",MIN(Y$38,$D$19)&lt;MAX($P$708*($B758+IF($R$17="Distrato",$I$38-1,0)),IF(AND($L$711=0,$P$708=0),"",$L$711-1),IF($R$17="Distrato",$E758,0))),0,YEARFRAC(MAX($P$708*($B758+IF($R$17="Distrato",$I$38-1,0)),IF(AND($L$711=0,$P$708=0),"",$L$711-1),IF($R$17="Distrato",$E758,0)),MIN(Y$38,$D$19),$P$20))-SUM($P758:X758)</f>
        <v>#VALUE!</v>
      </c>
      <c r="Z758" s="446" t="e">
        <f>IF(OR($B758="",MIN(Z$38,$D$19)&lt;MAX($P$708*($B758+IF($R$17="Distrato",$I$38-1,0)),IF(AND($L$711=0,$P$708=0),"",$L$711-1),IF($R$17="Distrato",$E758,0))),0,YEARFRAC(MAX($P$708*($B758+IF($R$17="Distrato",$I$38-1,0)),IF(AND($L$711=0,$P$708=0),"",$L$711-1),IF($R$17="Distrato",$E758,0)),MIN(Z$38,$D$19),$P$20))-SUM($P758:Y758)</f>
        <v>#VALUE!</v>
      </c>
      <c r="AA758" s="446" t="e">
        <f>IF(OR($B758="",MIN(AA$38,$D$19)&lt;MAX($P$708*($B758+IF($R$17="Distrato",$I$38-1,0)),IF(AND($L$711=0,$P$708=0),"",$L$711-1),IF($R$17="Distrato",$E758,0))),0,YEARFRAC(MAX($P$708*($B758+IF($R$17="Distrato",$I$38-1,0)),IF(AND($L$711=0,$P$708=0),"",$L$711-1),IF($R$17="Distrato",$E758,0)),MIN(AA$38,$D$19),$P$20))-SUM($P758:Z758)</f>
        <v>#VALUE!</v>
      </c>
      <c r="AB758" s="446" t="e">
        <f>IF(OR($B758="",MIN(AB$38,$D$19)&lt;MAX($P$708*($B758+IF($R$17="Distrato",$I$38-1,0)),IF(AND($L$711=0,$P$708=0),"",$L$711-1),IF($R$17="Distrato",$E758,0))),0,YEARFRAC(MAX($P$708*($B758+IF($R$17="Distrato",$I$38-1,0)),IF(AND($L$711=0,$P$708=0),"",$L$711-1),IF($R$17="Distrato",$E758,0)),MIN(AB$38,$D$19),$P$20))-SUM($P758:AA758)</f>
        <v>#VALUE!</v>
      </c>
      <c r="AC758" s="446" t="e">
        <f>IF(OR($B758="",MIN(AC$38,$D$19)&lt;MAX($P$708*($B758+IF($R$17="Distrato",$I$38-1,0)),IF(AND($L$711=0,$P$708=0),"",$L$711-1),IF($R$17="Distrato",$E758,0))),0,YEARFRAC(MAX($P$708*($B758+IF($R$17="Distrato",$I$38-1,0)),IF(AND($L$711=0,$P$708=0),"",$L$711-1),IF($R$17="Distrato",$E758,0)),MIN(AC$38,$D$19),$P$20))-SUM($P758:AB758)</f>
        <v>#VALUE!</v>
      </c>
      <c r="AD758" s="446" t="e">
        <f>IF(OR($B758="",MIN(AD$38,$D$19)&lt;MAX($P$708*($B758+IF($R$17="Distrato",$I$38-1,0)),IF(AND($L$711=0,$P$708=0),"",$L$711-1),IF($R$17="Distrato",$E758,0))),0,YEARFRAC(MAX($P$708*($B758+IF($R$17="Distrato",$I$38-1,0)),IF(AND($L$711=0,$P$708=0),"",$L$711-1),IF($R$17="Distrato",$E758,0)),MIN(AD$38,$D$19),$P$20))-SUM($P758:AC758)</f>
        <v>#VALUE!</v>
      </c>
      <c r="AE758" s="446" t="e">
        <f>IF(OR($B758="",MIN(AE$38,$D$19)&lt;MAX($P$708*($B758+IF($R$17="Distrato",$I$38-1,0)),IF(AND($L$711=0,$P$708=0),"",$L$711-1),IF($R$17="Distrato",$E758,0))),0,YEARFRAC(MAX($P$708*($B758+IF($R$17="Distrato",$I$38-1,0)),IF(AND($L$711=0,$P$708=0),"",$L$711-1),IF($R$17="Distrato",$E758,0)),MIN(AE$38,$D$19),$P$20))-SUM($P758:AD758)</f>
        <v>#VALUE!</v>
      </c>
      <c r="AF758" s="446" t="e">
        <f>IF(OR($B758="",MIN(AF$38,$D$19)&lt;MAX($P$708*($B758+IF($R$17="Distrato",$I$38-1,0)),IF(AND($L$711=0,$P$708=0),"",$L$711-1),IF($R$17="Distrato",$E758,0))),0,YEARFRAC(MAX($P$708*($B758+IF($R$17="Distrato",$I$38-1,0)),IF(AND($L$711=0,$P$708=0),"",$L$711-1),IF($R$17="Distrato",$E758,0)),MIN(AF$38,$D$19),$P$20))-SUM($P758:AE758)</f>
        <v>#VALUE!</v>
      </c>
      <c r="AG758" s="446" t="e">
        <f>IF(OR($B758="",MIN(AG$38,$D$19)&lt;MAX($P$708*($B758+IF($R$17="Distrato",$I$38-1,0)),IF(AND($L$711=0,$P$708=0),"",$L$711-1),IF($R$17="Distrato",$E758,0))),0,YEARFRAC(MAX($P$708*($B758+IF($R$17="Distrato",$I$38-1,0)),IF(AND($L$711=0,$P$708=0),"",$L$711-1),IF($R$17="Distrato",$E758,0)),MIN(AG$38,$D$19),$P$20))-SUM($P758:AF758)</f>
        <v>#VALUE!</v>
      </c>
      <c r="AH758" s="446" t="e">
        <f>IF(OR($B758="",MIN(AH$38,$D$19)&lt;MAX($P$708*($B758+IF($R$17="Distrato",$I$38-1,0)),IF(AND($L$711=0,$P$708=0),"",$L$711-1),IF($R$17="Distrato",$E758,0))),0,YEARFRAC(MAX($P$708*($B758+IF($R$17="Distrato",$I$38-1,0)),IF(AND($L$711=0,$P$708=0),"",$L$711-1),IF($R$17="Distrato",$E758,0)),MIN(AH$38,$D$19),$P$20))-SUM($P758:AG758)</f>
        <v>#VALUE!</v>
      </c>
      <c r="AI758" s="446" t="e">
        <f>IF(OR($B758="",MIN(AI$38,$D$19)&lt;MAX($P$708*($B758+IF($R$17="Distrato",$I$38-1,0)),IF(AND($L$711=0,$P$708=0),"",$L$711-1),IF($R$17="Distrato",$E758,0))),0,YEARFRAC(MAX($P$708*($B758+IF($R$17="Distrato",$I$38-1,0)),IF(AND($L$711=0,$P$708=0),"",$L$711-1),IF($R$17="Distrato",$E758,0)),MIN(AI$38,$D$19),$P$20))-SUM($P758:AH758)</f>
        <v>#VALUE!</v>
      </c>
      <c r="AJ758" s="446" t="e">
        <f>IF(OR($B758="",MIN(AJ$38,$D$19)&lt;MAX($P$708*($B758+IF($R$17="Distrato",$I$38-1,0)),IF(AND($L$711=0,$P$708=0),"",$L$711-1),IF($R$17="Distrato",$E758,0))),0,YEARFRAC(MAX($P$708*($B758+IF($R$17="Distrato",$I$38-1,0)),IF(AND($L$711=0,$P$708=0),"",$L$711-1),IF($R$17="Distrato",$E758,0)),MIN(AJ$38,$D$19),$P$20))-SUM($P758:AI758)</f>
        <v>#VALUE!</v>
      </c>
      <c r="AK758" s="446" t="e">
        <f>IF(OR($B758="",MIN(AK$38,$D$19)&lt;MAX($P$708*($B758+IF($R$17="Distrato",$I$38-1,0)),IF(AND($L$711=0,$P$708=0),"",$L$711-1),IF($R$17="Distrato",$E758,0))),0,YEARFRAC(MAX($P$708*($B758+IF($R$17="Distrato",$I$38-1,0)),IF(AND($L$711=0,$P$708=0),"",$L$711-1),IF($R$17="Distrato",$E758,0)),MIN(AK$38,$D$19),$P$20))-SUM($P758:AJ758)</f>
        <v>#VALUE!</v>
      </c>
      <c r="AL758" s="446" t="e">
        <f>IF(OR($B758="",MIN(AL$38,$D$19)&lt;MAX($P$708*($B758+IF($R$17="Distrato",$I$38-1,0)),IF(AND($L$711=0,$P$708=0),"",$L$711-1),IF($R$17="Distrato",$E758,0))),0,YEARFRAC(MAX($P$708*($B758+IF($R$17="Distrato",$I$38-1,0)),IF(AND($L$711=0,$P$708=0),"",$L$711-1),IF($R$17="Distrato",$E758,0)),MIN(AL$38,$D$19),$P$20))-SUM($P758:AK758)</f>
        <v>#VALUE!</v>
      </c>
      <c r="AM758" s="446" t="e">
        <f>IF(OR($B758="",MIN(AM$38,$D$19)&lt;MAX($P$708*($B758+IF($R$17="Distrato",$I$38-1,0)),IF(AND($L$711=0,$P$708=0),"",$L$711-1),IF($R$17="Distrato",$E758,0))),0,YEARFRAC(MAX($P$708*($B758+IF($R$17="Distrato",$I$38-1,0)),IF(AND($L$711=0,$P$708=0),"",$L$711-1),IF($R$17="Distrato",$E758,0)),MIN(AM$38,$D$19),$P$20))-SUM($P758:AL758)</f>
        <v>#VALUE!</v>
      </c>
      <c r="AN758" s="446" t="e">
        <f>IF(OR($B758="",MIN(AN$38,$D$19)&lt;MAX($P$708*($B758+IF($R$17="Distrato",$I$38-1,0)),IF(AND($L$711=0,$P$708=0),"",$L$711-1),IF($R$17="Distrato",$E758,0))),0,YEARFRAC(MAX($P$708*($B758+IF($R$17="Distrato",$I$38-1,0)),IF(AND($L$711=0,$P$708=0),"",$L$711-1),IF($R$17="Distrato",$E758,0)),MIN(AN$38,$D$19),$P$20))-SUM($P758:AM758)</f>
        <v>#VALUE!</v>
      </c>
      <c r="AO758" s="446" t="e">
        <f>IF(OR($B758="",MIN(AO$38,$D$19)&lt;MAX($P$708*($B758+IF($R$17="Distrato",$I$38-1,0)),IF(AND($L$711=0,$P$708=0),"",$L$711-1),IF($R$17="Distrato",$E758,0))),0,YEARFRAC(MAX($P$708*($B758+IF($R$17="Distrato",$I$38-1,0)),IF(AND($L$711=0,$P$708=0),"",$L$711-1),IF($R$17="Distrato",$E758,0)),MIN(AO$38,$D$19),$P$20))-SUM($P758:AN758)</f>
        <v>#VALUE!</v>
      </c>
      <c r="AP758" s="446" t="e">
        <f>IF(OR($B758="",MIN(AP$38,$D$19)&lt;MAX($P$708*($B758+IF($R$17="Distrato",$I$38-1,0)),IF(AND($L$711=0,$P$708=0),"",$L$711-1),IF($R$17="Distrato",$E758,0))),0,YEARFRAC(MAX($P$708*($B758+IF($R$17="Distrato",$I$38-1,0)),IF(AND($L$711=0,$P$708=0),"",$L$711-1),IF($R$17="Distrato",$E758,0)),MIN(AP$38,$D$19),$P$20))-SUM($P758:AO758)</f>
        <v>#VALUE!</v>
      </c>
      <c r="AQ758" s="446" t="e">
        <f>IF(OR($B758="",MIN(AQ$38,$D$19)&lt;MAX($P$708*($B758+IF($R$17="Distrato",$I$38-1,0)),IF(AND($L$711=0,$P$708=0),"",$L$711-1),IF($R$17="Distrato",$E758,0))),0,YEARFRAC(MAX($P$708*($B758+IF($R$17="Distrato",$I$38-1,0)),IF(AND($L$711=0,$P$708=0),"",$L$711-1),IF($R$17="Distrato",$E758,0)),MIN(AQ$38,$D$19),$P$20))-SUM($P758:AP758)</f>
        <v>#VALUE!</v>
      </c>
      <c r="AR758" s="446" t="e">
        <f>IF(OR($B758="",MIN(AR$38,$D$19)&lt;MAX($P$708*($B758+IF($R$17="Distrato",$I$38-1,0)),IF(AND($L$711=0,$P$708=0),"",$L$711-1),IF($R$17="Distrato",$E758,0))),0,YEARFRAC(MAX($P$708*($B758+IF($R$17="Distrato",$I$38-1,0)),IF(AND($L$711=0,$P$708=0),"",$L$711-1),IF($R$17="Distrato",$E758,0)),MIN(AR$38,$D$19),$P$20))-SUM($P758:AQ758)</f>
        <v>#VALUE!</v>
      </c>
      <c r="AS758" s="446" t="e">
        <f>IF(OR($B758="",MIN(AS$38,$D$19)&lt;MAX($P$708*($B758+IF($R$17="Distrato",$I$38-1,0)),IF(AND($L$711=0,$P$708=0),"",$L$711-1),IF($R$17="Distrato",$E758,0))),0,YEARFRAC(MAX($P$708*($B758+IF($R$17="Distrato",$I$38-1,0)),IF(AND($L$711=0,$P$708=0),"",$L$711-1),IF($R$17="Distrato",$E758,0)),MIN(AS$38,$D$19),$P$20))-SUM($P758:AR758)</f>
        <v>#VALUE!</v>
      </c>
      <c r="AT758" s="446" t="e">
        <f>IF(OR($B758="",MIN(AT$38,$D$19)&lt;MAX($P$708*($B758+IF($R$17="Distrato",$I$38-1,0)),IF(AND($L$711=0,$P$708=0),"",$L$711-1),IF($R$17="Distrato",$E758,0))),0,YEARFRAC(MAX($P$708*($B758+IF($R$17="Distrato",$I$38-1,0)),IF(AND($L$711=0,$P$708=0),"",$L$711-1),IF($R$17="Distrato",$E758,0)),MIN(AT$38,$D$19),$P$20))-SUM($P758:AS758)</f>
        <v>#VALUE!</v>
      </c>
      <c r="AU758" s="446" t="e">
        <f>IF(OR($B758="",MIN(AU$38,$D$19)&lt;MAX($P$708*($B758+IF($R$17="Distrato",$I$38-1,0)),IF(AND($L$711=0,$P$708=0),"",$L$711-1),IF($R$17="Distrato",$E758,0))),0,YEARFRAC(MAX($P$708*($B758+IF($R$17="Distrato",$I$38-1,0)),IF(AND($L$711=0,$P$708=0),"",$L$711-1),IF($R$17="Distrato",$E758,0)),MIN(AU$38,$D$19),$P$20))-SUM($P758:AT758)</f>
        <v>#VALUE!</v>
      </c>
      <c r="AV758" s="446" t="e">
        <f>IF(OR($B758="",MIN(AV$38,$D$19)&lt;MAX($P$708*($B758+IF($R$17="Distrato",$I$38-1,0)),IF(AND($L$711=0,$P$708=0),"",$L$711-1),IF($R$17="Distrato",$E758,0))),0,YEARFRAC(MAX($P$708*($B758+IF($R$17="Distrato",$I$38-1,0)),IF(AND($L$711=0,$P$708=0),"",$L$711-1),IF($R$17="Distrato",$E758,0)),MIN(AV$38,$D$19),$P$20))-SUM($P758:AU758)</f>
        <v>#VALUE!</v>
      </c>
      <c r="AW758" s="446" t="e">
        <f>IF(OR($B758="",MIN(AW$38,$D$19)&lt;MAX($P$708*($B758+IF($R$17="Distrato",$I$38-1,0)),IF(AND($L$711=0,$P$708=0),"",$L$711-1),IF($R$17="Distrato",$E758,0))),0,YEARFRAC(MAX($P$708*($B758+IF($R$17="Distrato",$I$38-1,0)),IF(AND($L$711=0,$P$708=0),"",$L$711-1),IF($R$17="Distrato",$E758,0)),MIN(AW$38,$D$19),$P$20))-SUM($P758:AV758)</f>
        <v>#VALUE!</v>
      </c>
      <c r="AX758" s="446" t="e">
        <f>IF(OR($B758="",MIN(AX$38,$D$19)&lt;MAX($P$708*($B758+IF($R$17="Distrato",$I$38-1,0)),IF(AND($L$711=0,$P$708=0),"",$L$711-1),IF($R$17="Distrato",$E758,0))),0,YEARFRAC(MAX($P$708*($B758+IF($R$17="Distrato",$I$38-1,0)),IF(AND($L$711=0,$P$708=0),"",$L$711-1),IF($R$17="Distrato",$E758,0)),MIN(AX$38,$D$19),$P$20))-SUM($P758:AW758)</f>
        <v>#VALUE!</v>
      </c>
      <c r="AY758" s="446" t="e">
        <f>IF(OR($B758="",MIN(AY$38,$D$19)&lt;MAX($P$708*($B758+IF($R$17="Distrato",$I$38-1,0)),IF(AND($L$711=0,$P$708=0),"",$L$711-1),IF($R$17="Distrato",$E758,0))),0,YEARFRAC(MAX($P$708*($B758+IF($R$17="Distrato",$I$38-1,0)),IF(AND($L$711=0,$P$708=0),"",$L$711-1),IF($R$17="Distrato",$E758,0)),MIN(AY$38,$D$19),$P$20))-SUM($P758:AX758)</f>
        <v>#VALUE!</v>
      </c>
      <c r="AZ758" s="446" t="e">
        <f>IF(OR($B758="",MIN(AZ$38,$D$19)&lt;MAX($P$708*($B758+IF($R$17="Distrato",$I$38-1,0)),IF(AND($L$711=0,$P$708=0),"",$L$711-1),IF($R$17="Distrato",$E758,0))),0,YEARFRAC(MAX($P$708*($B758+IF($R$17="Distrato",$I$38-1,0)),IF(AND($L$711=0,$P$708=0),"",$L$711-1),IF($R$17="Distrato",$E758,0)),MIN(AZ$38,$D$19),$P$20))-SUM($P758:AY758)</f>
        <v>#VALUE!</v>
      </c>
      <c r="BA758" s="446" t="e">
        <f>IF(OR($B758="",MIN(BA$38,$D$19)&lt;MAX($P$708*($B758+IF($R$17="Distrato",$I$38-1,0)),IF(AND($L$711=0,$P$708=0),"",$L$711-1),IF($R$17="Distrato",$E758,0))),0,YEARFRAC(MAX($P$708*($B758+IF($R$17="Distrato",$I$38-1,0)),IF(AND($L$711=0,$P$708=0),"",$L$711-1),IF($R$17="Distrato",$E758,0)),MIN(BA$38,$D$19),$P$20))-SUM($P758:AZ758)</f>
        <v>#VALUE!</v>
      </c>
      <c r="BB758" s="447"/>
    </row>
    <row r="759" spans="1:54" s="446" customFormat="1" ht="11.25" hidden="1" customHeight="1" x14ac:dyDescent="0.2">
      <c r="A759" s="235"/>
      <c r="B759" s="236"/>
      <c r="C759" s="29" t="str">
        <f>IF(B759="","",IF($L$709=$BL$25,VLOOKUP(DATE(YEAR($D$19),MONTH($D$19)-1,1),ÍNDICES!$A:$DE,HLOOKUP($BL$25,ÍNDICES!$B$3:$T$4,2)+11)-VLOOKUP(B759,ÍNDICES!$A:$DE,HLOOKUP($BL$25,ÍNDICES!$B$3:$T$4,2)+11)+1%,IF(C$712=$W$26,$J$35,IF(ISERROR(IF(B759&gt;$D$19,1,VLOOKUP(DATE(YEAR(B759),MONTH(B759)+IF($C$709=$S$23,1,0),1),ÍNDICES!$A:$DE,$Z$709+1))),"",IF(B759&gt;$D$19,1,VLOOKUP(DATE(YEAR(B759),MONTH(B759)+IF($C$709=$S$23,1,0),1),ÍNDICES!$A:$DE,$Z$709+1))))))</f>
        <v/>
      </c>
      <c r="D759" s="155"/>
      <c r="E759" s="88"/>
      <c r="F759" s="88"/>
      <c r="G759" s="88"/>
      <c r="H759" s="118"/>
      <c r="I759" s="182">
        <f t="shared" si="115"/>
        <v>0</v>
      </c>
      <c r="J759" s="20">
        <f t="shared" ca="1" si="116"/>
        <v>0</v>
      </c>
      <c r="K759" s="5">
        <f t="shared" ca="1" si="117"/>
        <v>0</v>
      </c>
      <c r="L759" s="61">
        <f t="shared" ca="1" si="118"/>
        <v>0</v>
      </c>
      <c r="M759" s="64">
        <f t="shared" si="119"/>
        <v>0</v>
      </c>
      <c r="N759" s="151"/>
      <c r="O759" s="5">
        <f t="shared" ca="1" si="120"/>
        <v>0</v>
      </c>
      <c r="P759" s="446" t="e">
        <f t="shared" si="121"/>
        <v>#VALUE!</v>
      </c>
      <c r="Q759" s="446" t="e">
        <f>IF(OR($B759="",MIN(Q$38,$D$19)&lt;MAX($P$708*($B759+IF($R$17="Distrato",$I$38-1,0)),IF(AND($L$711=0,$P$708=0),"",$L$711-1),IF($R$17="Distrato",$E759,0))),0,YEARFRAC(MAX($P$708*($B759+IF($R$17="Distrato",$I$38-1,0)),IF(AND($L$711=0,$P$708=0),"",$L$711-1),IF($R$17="Distrato",$E759,0)),MIN(Q$38,$D$19),$P$20))-SUM($P759:P759)</f>
        <v>#VALUE!</v>
      </c>
      <c r="R759" s="446" t="e">
        <f>IF(OR($B759="",MIN(R$38,$D$19)&lt;MAX($P$708*($B759+IF($R$17="Distrato",$I$38-1,0)),IF(AND($L$711=0,$P$708=0),"",$L$711-1),IF($R$17="Distrato",$E759,0))),0,YEARFRAC(MAX($P$708*($B759+IF($R$17="Distrato",$I$38-1,0)),IF(AND($L$711=0,$P$708=0),"",$L$711-1),IF($R$17="Distrato",$E759,0)),MIN(R$38,$D$19),$P$20))-SUM($P759:Q759)</f>
        <v>#VALUE!</v>
      </c>
      <c r="S759" s="446" t="e">
        <f>IF(OR($B759="",MIN(S$38,$D$19)&lt;MAX($P$708*($B759+IF($R$17="Distrato",$I$38-1,0)),IF(AND($L$711=0,$P$708=0),"",$L$711-1),IF($R$17="Distrato",$E759,0))),0,YEARFRAC(MAX($P$708*($B759+IF($R$17="Distrato",$I$38-1,0)),IF(AND($L$711=0,$P$708=0),"",$L$711-1),IF($R$17="Distrato",$E759,0)),MIN(S$38,$D$19),$P$20))-SUM($P759:R759)</f>
        <v>#VALUE!</v>
      </c>
      <c r="T759" s="446" t="e">
        <f>IF(OR($B759="",MIN(T$38,$D$19)&lt;MAX($P$708*($B759+IF($R$17="Distrato",$I$38-1,0)),IF(AND($L$711=0,$P$708=0),"",$L$711-1),IF($R$17="Distrato",$E759,0))),0,YEARFRAC(MAX($P$708*($B759+IF($R$17="Distrato",$I$38-1,0)),IF(AND($L$711=0,$P$708=0),"",$L$711-1),IF($R$17="Distrato",$E759,0)),MIN(T$38,$D$19),$P$20))-SUM($P759:S759)</f>
        <v>#VALUE!</v>
      </c>
      <c r="U759" s="446" t="e">
        <f>IF(OR($B759="",MIN(U$38,$D$19)&lt;MAX($P$708*($B759+IF($R$17="Distrato",$I$38-1,0)),IF(AND($L$711=0,$P$708=0),"",$L$711-1),IF($R$17="Distrato",$E759,0))),0,YEARFRAC(MAX($P$708*($B759+IF($R$17="Distrato",$I$38-1,0)),IF(AND($L$711=0,$P$708=0),"",$L$711-1),IF($R$17="Distrato",$E759,0)),MIN(U$38,$D$19),$P$20))-SUM($P759:T759)</f>
        <v>#VALUE!</v>
      </c>
      <c r="V759" s="446" t="e">
        <f>IF(OR($B759="",MIN(V$38,$D$19)&lt;MAX($P$708*($B759+IF($R$17="Distrato",$I$38-1,0)),IF(AND($L$711=0,$P$708=0),"",$L$711-1),IF($R$17="Distrato",$E759,0))),0,YEARFRAC(MAX($P$708*($B759+IF($R$17="Distrato",$I$38-1,0)),IF(AND($L$711=0,$P$708=0),"",$L$711-1),IF($R$17="Distrato",$E759,0)),MIN(V$38,$D$19),$P$20))-SUM($P759:U759)</f>
        <v>#VALUE!</v>
      </c>
      <c r="W759" s="446" t="e">
        <f>IF(OR($B759="",MIN(W$38,$D$19)&lt;MAX($P$708*($B759+IF($R$17="Distrato",$I$38-1,0)),IF(AND($L$711=0,$P$708=0),"",$L$711-1),IF($R$17="Distrato",$E759,0))),0,YEARFRAC(MAX($P$708*($B759+IF($R$17="Distrato",$I$38-1,0)),IF(AND($L$711=0,$P$708=0),"",$L$711-1),IF($R$17="Distrato",$E759,0)),MIN(W$38,$D$19),$P$20))-SUM($P759:V759)</f>
        <v>#VALUE!</v>
      </c>
      <c r="X759" s="446" t="e">
        <f>IF(OR($B759="",MIN(X$38,$D$19)&lt;MAX($P$708*($B759+IF($R$17="Distrato",$I$38-1,0)),IF(AND($L$711=0,$P$708=0),"",$L$711-1),IF($R$17="Distrato",$E759,0))),0,YEARFRAC(MAX($P$708*($B759+IF($R$17="Distrato",$I$38-1,0)),IF(AND($L$711=0,$P$708=0),"",$L$711-1),IF($R$17="Distrato",$E759,0)),MIN(X$38,$D$19),$P$20))-SUM($P759:W759)</f>
        <v>#VALUE!</v>
      </c>
      <c r="Y759" s="446" t="e">
        <f>IF(OR($B759="",MIN(Y$38,$D$19)&lt;MAX($P$708*($B759+IF($R$17="Distrato",$I$38-1,0)),IF(AND($L$711=0,$P$708=0),"",$L$711-1),IF($R$17="Distrato",$E759,0))),0,YEARFRAC(MAX($P$708*($B759+IF($R$17="Distrato",$I$38-1,0)),IF(AND($L$711=0,$P$708=0),"",$L$711-1),IF($R$17="Distrato",$E759,0)),MIN(Y$38,$D$19),$P$20))-SUM($P759:X759)</f>
        <v>#VALUE!</v>
      </c>
      <c r="Z759" s="446" t="e">
        <f>IF(OR($B759="",MIN(Z$38,$D$19)&lt;MAX($P$708*($B759+IF($R$17="Distrato",$I$38-1,0)),IF(AND($L$711=0,$P$708=0),"",$L$711-1),IF($R$17="Distrato",$E759,0))),0,YEARFRAC(MAX($P$708*($B759+IF($R$17="Distrato",$I$38-1,0)),IF(AND($L$711=0,$P$708=0),"",$L$711-1),IF($R$17="Distrato",$E759,0)),MIN(Z$38,$D$19),$P$20))-SUM($P759:Y759)</f>
        <v>#VALUE!</v>
      </c>
      <c r="AA759" s="446" t="e">
        <f>IF(OR($B759="",MIN(AA$38,$D$19)&lt;MAX($P$708*($B759+IF($R$17="Distrato",$I$38-1,0)),IF(AND($L$711=0,$P$708=0),"",$L$711-1),IF($R$17="Distrato",$E759,0))),0,YEARFRAC(MAX($P$708*($B759+IF($R$17="Distrato",$I$38-1,0)),IF(AND($L$711=0,$P$708=0),"",$L$711-1),IF($R$17="Distrato",$E759,0)),MIN(AA$38,$D$19),$P$20))-SUM($P759:Z759)</f>
        <v>#VALUE!</v>
      </c>
      <c r="AB759" s="446" t="e">
        <f>IF(OR($B759="",MIN(AB$38,$D$19)&lt;MAX($P$708*($B759+IF($R$17="Distrato",$I$38-1,0)),IF(AND($L$711=0,$P$708=0),"",$L$711-1),IF($R$17="Distrato",$E759,0))),0,YEARFRAC(MAX($P$708*($B759+IF($R$17="Distrato",$I$38-1,0)),IF(AND($L$711=0,$P$708=0),"",$L$711-1),IF($R$17="Distrato",$E759,0)),MIN(AB$38,$D$19),$P$20))-SUM($P759:AA759)</f>
        <v>#VALUE!</v>
      </c>
      <c r="AC759" s="446" t="e">
        <f>IF(OR($B759="",MIN(AC$38,$D$19)&lt;MAX($P$708*($B759+IF($R$17="Distrato",$I$38-1,0)),IF(AND($L$711=0,$P$708=0),"",$L$711-1),IF($R$17="Distrato",$E759,0))),0,YEARFRAC(MAX($P$708*($B759+IF($R$17="Distrato",$I$38-1,0)),IF(AND($L$711=0,$P$708=0),"",$L$711-1),IF($R$17="Distrato",$E759,0)),MIN(AC$38,$D$19),$P$20))-SUM($P759:AB759)</f>
        <v>#VALUE!</v>
      </c>
      <c r="AD759" s="446" t="e">
        <f>IF(OR($B759="",MIN(AD$38,$D$19)&lt;MAX($P$708*($B759+IF($R$17="Distrato",$I$38-1,0)),IF(AND($L$711=0,$P$708=0),"",$L$711-1),IF($R$17="Distrato",$E759,0))),0,YEARFRAC(MAX($P$708*($B759+IF($R$17="Distrato",$I$38-1,0)),IF(AND($L$711=0,$P$708=0),"",$L$711-1),IF($R$17="Distrato",$E759,0)),MIN(AD$38,$D$19),$P$20))-SUM($P759:AC759)</f>
        <v>#VALUE!</v>
      </c>
      <c r="AE759" s="446" t="e">
        <f>IF(OR($B759="",MIN(AE$38,$D$19)&lt;MAX($P$708*($B759+IF($R$17="Distrato",$I$38-1,0)),IF(AND($L$711=0,$P$708=0),"",$L$711-1),IF($R$17="Distrato",$E759,0))),0,YEARFRAC(MAX($P$708*($B759+IF($R$17="Distrato",$I$38-1,0)),IF(AND($L$711=0,$P$708=0),"",$L$711-1),IF($R$17="Distrato",$E759,0)),MIN(AE$38,$D$19),$P$20))-SUM($P759:AD759)</f>
        <v>#VALUE!</v>
      </c>
      <c r="AF759" s="446" t="e">
        <f>IF(OR($B759="",MIN(AF$38,$D$19)&lt;MAX($P$708*($B759+IF($R$17="Distrato",$I$38-1,0)),IF(AND($L$711=0,$P$708=0),"",$L$711-1),IF($R$17="Distrato",$E759,0))),0,YEARFRAC(MAX($P$708*($B759+IF($R$17="Distrato",$I$38-1,0)),IF(AND($L$711=0,$P$708=0),"",$L$711-1),IF($R$17="Distrato",$E759,0)),MIN(AF$38,$D$19),$P$20))-SUM($P759:AE759)</f>
        <v>#VALUE!</v>
      </c>
      <c r="AG759" s="446" t="e">
        <f>IF(OR($B759="",MIN(AG$38,$D$19)&lt;MAX($P$708*($B759+IF($R$17="Distrato",$I$38-1,0)),IF(AND($L$711=0,$P$708=0),"",$L$711-1),IF($R$17="Distrato",$E759,0))),0,YEARFRAC(MAX($P$708*($B759+IF($R$17="Distrato",$I$38-1,0)),IF(AND($L$711=0,$P$708=0),"",$L$711-1),IF($R$17="Distrato",$E759,0)),MIN(AG$38,$D$19),$P$20))-SUM($P759:AF759)</f>
        <v>#VALUE!</v>
      </c>
      <c r="AH759" s="446" t="e">
        <f>IF(OR($B759="",MIN(AH$38,$D$19)&lt;MAX($P$708*($B759+IF($R$17="Distrato",$I$38-1,0)),IF(AND($L$711=0,$P$708=0),"",$L$711-1),IF($R$17="Distrato",$E759,0))),0,YEARFRAC(MAX($P$708*($B759+IF($R$17="Distrato",$I$38-1,0)),IF(AND($L$711=0,$P$708=0),"",$L$711-1),IF($R$17="Distrato",$E759,0)),MIN(AH$38,$D$19),$P$20))-SUM($P759:AG759)</f>
        <v>#VALUE!</v>
      </c>
      <c r="AI759" s="446" t="e">
        <f>IF(OR($B759="",MIN(AI$38,$D$19)&lt;MAX($P$708*($B759+IF($R$17="Distrato",$I$38-1,0)),IF(AND($L$711=0,$P$708=0),"",$L$711-1),IF($R$17="Distrato",$E759,0))),0,YEARFRAC(MAX($P$708*($B759+IF($R$17="Distrato",$I$38-1,0)),IF(AND($L$711=0,$P$708=0),"",$L$711-1),IF($R$17="Distrato",$E759,0)),MIN(AI$38,$D$19),$P$20))-SUM($P759:AH759)</f>
        <v>#VALUE!</v>
      </c>
      <c r="AJ759" s="446" t="e">
        <f>IF(OR($B759="",MIN(AJ$38,$D$19)&lt;MAX($P$708*($B759+IF($R$17="Distrato",$I$38-1,0)),IF(AND($L$711=0,$P$708=0),"",$L$711-1),IF($R$17="Distrato",$E759,0))),0,YEARFRAC(MAX($P$708*($B759+IF($R$17="Distrato",$I$38-1,0)),IF(AND($L$711=0,$P$708=0),"",$L$711-1),IF($R$17="Distrato",$E759,0)),MIN(AJ$38,$D$19),$P$20))-SUM($P759:AI759)</f>
        <v>#VALUE!</v>
      </c>
      <c r="AK759" s="446" t="e">
        <f>IF(OR($B759="",MIN(AK$38,$D$19)&lt;MAX($P$708*($B759+IF($R$17="Distrato",$I$38-1,0)),IF(AND($L$711=0,$P$708=0),"",$L$711-1),IF($R$17="Distrato",$E759,0))),0,YEARFRAC(MAX($P$708*($B759+IF($R$17="Distrato",$I$38-1,0)),IF(AND($L$711=0,$P$708=0),"",$L$711-1),IF($R$17="Distrato",$E759,0)),MIN(AK$38,$D$19),$P$20))-SUM($P759:AJ759)</f>
        <v>#VALUE!</v>
      </c>
      <c r="AL759" s="446" t="e">
        <f>IF(OR($B759="",MIN(AL$38,$D$19)&lt;MAX($P$708*($B759+IF($R$17="Distrato",$I$38-1,0)),IF(AND($L$711=0,$P$708=0),"",$L$711-1),IF($R$17="Distrato",$E759,0))),0,YEARFRAC(MAX($P$708*($B759+IF($R$17="Distrato",$I$38-1,0)),IF(AND($L$711=0,$P$708=0),"",$L$711-1),IF($R$17="Distrato",$E759,0)),MIN(AL$38,$D$19),$P$20))-SUM($P759:AK759)</f>
        <v>#VALUE!</v>
      </c>
      <c r="AM759" s="446" t="e">
        <f>IF(OR($B759="",MIN(AM$38,$D$19)&lt;MAX($P$708*($B759+IF($R$17="Distrato",$I$38-1,0)),IF(AND($L$711=0,$P$708=0),"",$L$711-1),IF($R$17="Distrato",$E759,0))),0,YEARFRAC(MAX($P$708*($B759+IF($R$17="Distrato",$I$38-1,0)),IF(AND($L$711=0,$P$708=0),"",$L$711-1),IF($R$17="Distrato",$E759,0)),MIN(AM$38,$D$19),$P$20))-SUM($P759:AL759)</f>
        <v>#VALUE!</v>
      </c>
      <c r="AN759" s="446" t="e">
        <f>IF(OR($B759="",MIN(AN$38,$D$19)&lt;MAX($P$708*($B759+IF($R$17="Distrato",$I$38-1,0)),IF(AND($L$711=0,$P$708=0),"",$L$711-1),IF($R$17="Distrato",$E759,0))),0,YEARFRAC(MAX($P$708*($B759+IF($R$17="Distrato",$I$38-1,0)),IF(AND($L$711=0,$P$708=0),"",$L$711-1),IF($R$17="Distrato",$E759,0)),MIN(AN$38,$D$19),$P$20))-SUM($P759:AM759)</f>
        <v>#VALUE!</v>
      </c>
      <c r="AO759" s="446" t="e">
        <f>IF(OR($B759="",MIN(AO$38,$D$19)&lt;MAX($P$708*($B759+IF($R$17="Distrato",$I$38-1,0)),IF(AND($L$711=0,$P$708=0),"",$L$711-1),IF($R$17="Distrato",$E759,0))),0,YEARFRAC(MAX($P$708*($B759+IF($R$17="Distrato",$I$38-1,0)),IF(AND($L$711=0,$P$708=0),"",$L$711-1),IF($R$17="Distrato",$E759,0)),MIN(AO$38,$D$19),$P$20))-SUM($P759:AN759)</f>
        <v>#VALUE!</v>
      </c>
      <c r="AP759" s="446" t="e">
        <f>IF(OR($B759="",MIN(AP$38,$D$19)&lt;MAX($P$708*($B759+IF($R$17="Distrato",$I$38-1,0)),IF(AND($L$711=0,$P$708=0),"",$L$711-1),IF($R$17="Distrato",$E759,0))),0,YEARFRAC(MAX($P$708*($B759+IF($R$17="Distrato",$I$38-1,0)),IF(AND($L$711=0,$P$708=0),"",$L$711-1),IF($R$17="Distrato",$E759,0)),MIN(AP$38,$D$19),$P$20))-SUM($P759:AO759)</f>
        <v>#VALUE!</v>
      </c>
      <c r="AQ759" s="446" t="e">
        <f>IF(OR($B759="",MIN(AQ$38,$D$19)&lt;MAX($P$708*($B759+IF($R$17="Distrato",$I$38-1,0)),IF(AND($L$711=0,$P$708=0),"",$L$711-1),IF($R$17="Distrato",$E759,0))),0,YEARFRAC(MAX($P$708*($B759+IF($R$17="Distrato",$I$38-1,0)),IF(AND($L$711=0,$P$708=0),"",$L$711-1),IF($R$17="Distrato",$E759,0)),MIN(AQ$38,$D$19),$P$20))-SUM($P759:AP759)</f>
        <v>#VALUE!</v>
      </c>
      <c r="AR759" s="446" t="e">
        <f>IF(OR($B759="",MIN(AR$38,$D$19)&lt;MAX($P$708*($B759+IF($R$17="Distrato",$I$38-1,0)),IF(AND($L$711=0,$P$708=0),"",$L$711-1),IF($R$17="Distrato",$E759,0))),0,YEARFRAC(MAX($P$708*($B759+IF($R$17="Distrato",$I$38-1,0)),IF(AND($L$711=0,$P$708=0),"",$L$711-1),IF($R$17="Distrato",$E759,0)),MIN(AR$38,$D$19),$P$20))-SUM($P759:AQ759)</f>
        <v>#VALUE!</v>
      </c>
      <c r="AS759" s="446" t="e">
        <f>IF(OR($B759="",MIN(AS$38,$D$19)&lt;MAX($P$708*($B759+IF($R$17="Distrato",$I$38-1,0)),IF(AND($L$711=0,$P$708=0),"",$L$711-1),IF($R$17="Distrato",$E759,0))),0,YEARFRAC(MAX($P$708*($B759+IF($R$17="Distrato",$I$38-1,0)),IF(AND($L$711=0,$P$708=0),"",$L$711-1),IF($R$17="Distrato",$E759,0)),MIN(AS$38,$D$19),$P$20))-SUM($P759:AR759)</f>
        <v>#VALUE!</v>
      </c>
      <c r="AT759" s="446" t="e">
        <f>IF(OR($B759="",MIN(AT$38,$D$19)&lt;MAX($P$708*($B759+IF($R$17="Distrato",$I$38-1,0)),IF(AND($L$711=0,$P$708=0),"",$L$711-1),IF($R$17="Distrato",$E759,0))),0,YEARFRAC(MAX($P$708*($B759+IF($R$17="Distrato",$I$38-1,0)),IF(AND($L$711=0,$P$708=0),"",$L$711-1),IF($R$17="Distrato",$E759,0)),MIN(AT$38,$D$19),$P$20))-SUM($P759:AS759)</f>
        <v>#VALUE!</v>
      </c>
      <c r="AU759" s="446" t="e">
        <f>IF(OR($B759="",MIN(AU$38,$D$19)&lt;MAX($P$708*($B759+IF($R$17="Distrato",$I$38-1,0)),IF(AND($L$711=0,$P$708=0),"",$L$711-1),IF($R$17="Distrato",$E759,0))),0,YEARFRAC(MAX($P$708*($B759+IF($R$17="Distrato",$I$38-1,0)),IF(AND($L$711=0,$P$708=0),"",$L$711-1),IF($R$17="Distrato",$E759,0)),MIN(AU$38,$D$19),$P$20))-SUM($P759:AT759)</f>
        <v>#VALUE!</v>
      </c>
      <c r="AV759" s="446" t="e">
        <f>IF(OR($B759="",MIN(AV$38,$D$19)&lt;MAX($P$708*($B759+IF($R$17="Distrato",$I$38-1,0)),IF(AND($L$711=0,$P$708=0),"",$L$711-1),IF($R$17="Distrato",$E759,0))),0,YEARFRAC(MAX($P$708*($B759+IF($R$17="Distrato",$I$38-1,0)),IF(AND($L$711=0,$P$708=0),"",$L$711-1),IF($R$17="Distrato",$E759,0)),MIN(AV$38,$D$19),$P$20))-SUM($P759:AU759)</f>
        <v>#VALUE!</v>
      </c>
      <c r="AW759" s="446" t="e">
        <f>IF(OR($B759="",MIN(AW$38,$D$19)&lt;MAX($P$708*($B759+IF($R$17="Distrato",$I$38-1,0)),IF(AND($L$711=0,$P$708=0),"",$L$711-1),IF($R$17="Distrato",$E759,0))),0,YEARFRAC(MAX($P$708*($B759+IF($R$17="Distrato",$I$38-1,0)),IF(AND($L$711=0,$P$708=0),"",$L$711-1),IF($R$17="Distrato",$E759,0)),MIN(AW$38,$D$19),$P$20))-SUM($P759:AV759)</f>
        <v>#VALUE!</v>
      </c>
      <c r="AX759" s="446" t="e">
        <f>IF(OR($B759="",MIN(AX$38,$D$19)&lt;MAX($P$708*($B759+IF($R$17="Distrato",$I$38-1,0)),IF(AND($L$711=0,$P$708=0),"",$L$711-1),IF($R$17="Distrato",$E759,0))),0,YEARFRAC(MAX($P$708*($B759+IF($R$17="Distrato",$I$38-1,0)),IF(AND($L$711=0,$P$708=0),"",$L$711-1),IF($R$17="Distrato",$E759,0)),MIN(AX$38,$D$19),$P$20))-SUM($P759:AW759)</f>
        <v>#VALUE!</v>
      </c>
      <c r="AY759" s="446" t="e">
        <f>IF(OR($B759="",MIN(AY$38,$D$19)&lt;MAX($P$708*($B759+IF($R$17="Distrato",$I$38-1,0)),IF(AND($L$711=0,$P$708=0),"",$L$711-1),IF($R$17="Distrato",$E759,0))),0,YEARFRAC(MAX($P$708*($B759+IF($R$17="Distrato",$I$38-1,0)),IF(AND($L$711=0,$P$708=0),"",$L$711-1),IF($R$17="Distrato",$E759,0)),MIN(AY$38,$D$19),$P$20))-SUM($P759:AX759)</f>
        <v>#VALUE!</v>
      </c>
      <c r="AZ759" s="446" t="e">
        <f>IF(OR($B759="",MIN(AZ$38,$D$19)&lt;MAX($P$708*($B759+IF($R$17="Distrato",$I$38-1,0)),IF(AND($L$711=0,$P$708=0),"",$L$711-1),IF($R$17="Distrato",$E759,0))),0,YEARFRAC(MAX($P$708*($B759+IF($R$17="Distrato",$I$38-1,0)),IF(AND($L$711=0,$P$708=0),"",$L$711-1),IF($R$17="Distrato",$E759,0)),MIN(AZ$38,$D$19),$P$20))-SUM($P759:AY759)</f>
        <v>#VALUE!</v>
      </c>
      <c r="BA759" s="446" t="e">
        <f>IF(OR($B759="",MIN(BA$38,$D$19)&lt;MAX($P$708*($B759+IF($R$17="Distrato",$I$38-1,0)),IF(AND($L$711=0,$P$708=0),"",$L$711-1),IF($R$17="Distrato",$E759,0))),0,YEARFRAC(MAX($P$708*($B759+IF($R$17="Distrato",$I$38-1,0)),IF(AND($L$711=0,$P$708=0),"",$L$711-1),IF($R$17="Distrato",$E759,0)),MIN(BA$38,$D$19),$P$20))-SUM($P759:AZ759)</f>
        <v>#VALUE!</v>
      </c>
      <c r="BB759" s="447"/>
    </row>
    <row r="760" spans="1:54" s="446" customFormat="1" ht="11.25" hidden="1" customHeight="1" x14ac:dyDescent="0.2">
      <c r="A760" s="235"/>
      <c r="B760" s="236"/>
      <c r="C760" s="29" t="str">
        <f>IF(B760="","",IF($L$709=$BL$25,VLOOKUP(DATE(YEAR($D$19),MONTH($D$19)-1,1),ÍNDICES!$A:$DE,HLOOKUP($BL$25,ÍNDICES!$B$3:$T$4,2)+11)-VLOOKUP(B760,ÍNDICES!$A:$DE,HLOOKUP($BL$25,ÍNDICES!$B$3:$T$4,2)+11)+1%,IF(C$712=$W$26,$J$35,IF(ISERROR(IF(B760&gt;$D$19,1,VLOOKUP(DATE(YEAR(B760),MONTH(B760)+IF($C$709=$S$23,1,0),1),ÍNDICES!$A:$DE,$Z$709+1))),"",IF(B760&gt;$D$19,1,VLOOKUP(DATE(YEAR(B760),MONTH(B760)+IF($C$709=$S$23,1,0),1),ÍNDICES!$A:$DE,$Z$709+1))))))</f>
        <v/>
      </c>
      <c r="D760" s="155"/>
      <c r="E760" s="88"/>
      <c r="F760" s="88"/>
      <c r="G760" s="88"/>
      <c r="H760" s="118"/>
      <c r="I760" s="182">
        <f t="shared" si="115"/>
        <v>0</v>
      </c>
      <c r="J760" s="20">
        <f t="shared" ca="1" si="116"/>
        <v>0</v>
      </c>
      <c r="K760" s="5">
        <f t="shared" ca="1" si="117"/>
        <v>0</v>
      </c>
      <c r="L760" s="61">
        <f t="shared" ca="1" si="118"/>
        <v>0</v>
      </c>
      <c r="M760" s="64">
        <f t="shared" si="119"/>
        <v>0</v>
      </c>
      <c r="N760" s="151"/>
      <c r="O760" s="5">
        <f t="shared" ca="1" si="120"/>
        <v>0</v>
      </c>
      <c r="P760" s="446" t="e">
        <f t="shared" si="121"/>
        <v>#VALUE!</v>
      </c>
      <c r="Q760" s="446" t="e">
        <f>IF(OR($B760="",MIN(Q$38,$D$19)&lt;MAX($P$708*($B760+IF($R$17="Distrato",$I$38-1,0)),IF(AND($L$711=0,$P$708=0),"",$L$711-1),IF($R$17="Distrato",$E760,0))),0,YEARFRAC(MAX($P$708*($B760+IF($R$17="Distrato",$I$38-1,0)),IF(AND($L$711=0,$P$708=0),"",$L$711-1),IF($R$17="Distrato",$E760,0)),MIN(Q$38,$D$19),$P$20))-SUM($P760:P760)</f>
        <v>#VALUE!</v>
      </c>
      <c r="R760" s="446" t="e">
        <f>IF(OR($B760="",MIN(R$38,$D$19)&lt;MAX($P$708*($B760+IF($R$17="Distrato",$I$38-1,0)),IF(AND($L$711=0,$P$708=0),"",$L$711-1),IF($R$17="Distrato",$E760,0))),0,YEARFRAC(MAX($P$708*($B760+IF($R$17="Distrato",$I$38-1,0)),IF(AND($L$711=0,$P$708=0),"",$L$711-1),IF($R$17="Distrato",$E760,0)),MIN(R$38,$D$19),$P$20))-SUM($P760:Q760)</f>
        <v>#VALUE!</v>
      </c>
      <c r="S760" s="446" t="e">
        <f>IF(OR($B760="",MIN(S$38,$D$19)&lt;MAX($P$708*($B760+IF($R$17="Distrato",$I$38-1,0)),IF(AND($L$711=0,$P$708=0),"",$L$711-1),IF($R$17="Distrato",$E760,0))),0,YEARFRAC(MAX($P$708*($B760+IF($R$17="Distrato",$I$38-1,0)),IF(AND($L$711=0,$P$708=0),"",$L$711-1),IF($R$17="Distrato",$E760,0)),MIN(S$38,$D$19),$P$20))-SUM($P760:R760)</f>
        <v>#VALUE!</v>
      </c>
      <c r="T760" s="446" t="e">
        <f>IF(OR($B760="",MIN(T$38,$D$19)&lt;MAX($P$708*($B760+IF($R$17="Distrato",$I$38-1,0)),IF(AND($L$711=0,$P$708=0),"",$L$711-1),IF($R$17="Distrato",$E760,0))),0,YEARFRAC(MAX($P$708*($B760+IF($R$17="Distrato",$I$38-1,0)),IF(AND($L$711=0,$P$708=0),"",$L$711-1),IF($R$17="Distrato",$E760,0)),MIN(T$38,$D$19),$P$20))-SUM($P760:S760)</f>
        <v>#VALUE!</v>
      </c>
      <c r="U760" s="446" t="e">
        <f>IF(OR($B760="",MIN(U$38,$D$19)&lt;MAX($P$708*($B760+IF($R$17="Distrato",$I$38-1,0)),IF(AND($L$711=0,$P$708=0),"",$L$711-1),IF($R$17="Distrato",$E760,0))),0,YEARFRAC(MAX($P$708*($B760+IF($R$17="Distrato",$I$38-1,0)),IF(AND($L$711=0,$P$708=0),"",$L$711-1),IF($R$17="Distrato",$E760,0)),MIN(U$38,$D$19),$P$20))-SUM($P760:T760)</f>
        <v>#VALUE!</v>
      </c>
      <c r="V760" s="446" t="e">
        <f>IF(OR($B760="",MIN(V$38,$D$19)&lt;MAX($P$708*($B760+IF($R$17="Distrato",$I$38-1,0)),IF(AND($L$711=0,$P$708=0),"",$L$711-1),IF($R$17="Distrato",$E760,0))),0,YEARFRAC(MAX($P$708*($B760+IF($R$17="Distrato",$I$38-1,0)),IF(AND($L$711=0,$P$708=0),"",$L$711-1),IF($R$17="Distrato",$E760,0)),MIN(V$38,$D$19),$P$20))-SUM($P760:U760)</f>
        <v>#VALUE!</v>
      </c>
      <c r="W760" s="446" t="e">
        <f>IF(OR($B760="",MIN(W$38,$D$19)&lt;MAX($P$708*($B760+IF($R$17="Distrato",$I$38-1,0)),IF(AND($L$711=0,$P$708=0),"",$L$711-1),IF($R$17="Distrato",$E760,0))),0,YEARFRAC(MAX($P$708*($B760+IF($R$17="Distrato",$I$38-1,0)),IF(AND($L$711=0,$P$708=0),"",$L$711-1),IF($R$17="Distrato",$E760,0)),MIN(W$38,$D$19),$P$20))-SUM($P760:V760)</f>
        <v>#VALUE!</v>
      </c>
      <c r="X760" s="446" t="e">
        <f>IF(OR($B760="",MIN(X$38,$D$19)&lt;MAX($P$708*($B760+IF($R$17="Distrato",$I$38-1,0)),IF(AND($L$711=0,$P$708=0),"",$L$711-1),IF($R$17="Distrato",$E760,0))),0,YEARFRAC(MAX($P$708*($B760+IF($R$17="Distrato",$I$38-1,0)),IF(AND($L$711=0,$P$708=0),"",$L$711-1),IF($R$17="Distrato",$E760,0)),MIN(X$38,$D$19),$P$20))-SUM($P760:W760)</f>
        <v>#VALUE!</v>
      </c>
      <c r="Y760" s="446" t="e">
        <f>IF(OR($B760="",MIN(Y$38,$D$19)&lt;MAX($P$708*($B760+IF($R$17="Distrato",$I$38-1,0)),IF(AND($L$711=0,$P$708=0),"",$L$711-1),IF($R$17="Distrato",$E760,0))),0,YEARFRAC(MAX($P$708*($B760+IF($R$17="Distrato",$I$38-1,0)),IF(AND($L$711=0,$P$708=0),"",$L$711-1),IF($R$17="Distrato",$E760,0)),MIN(Y$38,$D$19),$P$20))-SUM($P760:X760)</f>
        <v>#VALUE!</v>
      </c>
      <c r="Z760" s="446" t="e">
        <f>IF(OR($B760="",MIN(Z$38,$D$19)&lt;MAX($P$708*($B760+IF($R$17="Distrato",$I$38-1,0)),IF(AND($L$711=0,$P$708=0),"",$L$711-1),IF($R$17="Distrato",$E760,0))),0,YEARFRAC(MAX($P$708*($B760+IF($R$17="Distrato",$I$38-1,0)),IF(AND($L$711=0,$P$708=0),"",$L$711-1),IF($R$17="Distrato",$E760,0)),MIN(Z$38,$D$19),$P$20))-SUM($P760:Y760)</f>
        <v>#VALUE!</v>
      </c>
      <c r="AA760" s="446" t="e">
        <f>IF(OR($B760="",MIN(AA$38,$D$19)&lt;MAX($P$708*($B760+IF($R$17="Distrato",$I$38-1,0)),IF(AND($L$711=0,$P$708=0),"",$L$711-1),IF($R$17="Distrato",$E760,0))),0,YEARFRAC(MAX($P$708*($B760+IF($R$17="Distrato",$I$38-1,0)),IF(AND($L$711=0,$P$708=0),"",$L$711-1),IF($R$17="Distrato",$E760,0)),MIN(AA$38,$D$19),$P$20))-SUM($P760:Z760)</f>
        <v>#VALUE!</v>
      </c>
      <c r="AB760" s="446" t="e">
        <f>IF(OR($B760="",MIN(AB$38,$D$19)&lt;MAX($P$708*($B760+IF($R$17="Distrato",$I$38-1,0)),IF(AND($L$711=0,$P$708=0),"",$L$711-1),IF($R$17="Distrato",$E760,0))),0,YEARFRAC(MAX($P$708*($B760+IF($R$17="Distrato",$I$38-1,0)),IF(AND($L$711=0,$P$708=0),"",$L$711-1),IF($R$17="Distrato",$E760,0)),MIN(AB$38,$D$19),$P$20))-SUM($P760:AA760)</f>
        <v>#VALUE!</v>
      </c>
      <c r="AC760" s="446" t="e">
        <f>IF(OR($B760="",MIN(AC$38,$D$19)&lt;MAX($P$708*($B760+IF($R$17="Distrato",$I$38-1,0)),IF(AND($L$711=0,$P$708=0),"",$L$711-1),IF($R$17="Distrato",$E760,0))),0,YEARFRAC(MAX($P$708*($B760+IF($R$17="Distrato",$I$38-1,0)),IF(AND($L$711=0,$P$708=0),"",$L$711-1),IF($R$17="Distrato",$E760,0)),MIN(AC$38,$D$19),$P$20))-SUM($P760:AB760)</f>
        <v>#VALUE!</v>
      </c>
      <c r="AD760" s="446" t="e">
        <f>IF(OR($B760="",MIN(AD$38,$D$19)&lt;MAX($P$708*($B760+IF($R$17="Distrato",$I$38-1,0)),IF(AND($L$711=0,$P$708=0),"",$L$711-1),IF($R$17="Distrato",$E760,0))),0,YEARFRAC(MAX($P$708*($B760+IF($R$17="Distrato",$I$38-1,0)),IF(AND($L$711=0,$P$708=0),"",$L$711-1),IF($R$17="Distrato",$E760,0)),MIN(AD$38,$D$19),$P$20))-SUM($P760:AC760)</f>
        <v>#VALUE!</v>
      </c>
      <c r="AE760" s="446" t="e">
        <f>IF(OR($B760="",MIN(AE$38,$D$19)&lt;MAX($P$708*($B760+IF($R$17="Distrato",$I$38-1,0)),IF(AND($L$711=0,$P$708=0),"",$L$711-1),IF($R$17="Distrato",$E760,0))),0,YEARFRAC(MAX($P$708*($B760+IF($R$17="Distrato",$I$38-1,0)),IF(AND($L$711=0,$P$708=0),"",$L$711-1),IF($R$17="Distrato",$E760,0)),MIN(AE$38,$D$19),$P$20))-SUM($P760:AD760)</f>
        <v>#VALUE!</v>
      </c>
      <c r="AF760" s="446" t="e">
        <f>IF(OR($B760="",MIN(AF$38,$D$19)&lt;MAX($P$708*($B760+IF($R$17="Distrato",$I$38-1,0)),IF(AND($L$711=0,$P$708=0),"",$L$711-1),IF($R$17="Distrato",$E760,0))),0,YEARFRAC(MAX($P$708*($B760+IF($R$17="Distrato",$I$38-1,0)),IF(AND($L$711=0,$P$708=0),"",$L$711-1),IF($R$17="Distrato",$E760,0)),MIN(AF$38,$D$19),$P$20))-SUM($P760:AE760)</f>
        <v>#VALUE!</v>
      </c>
      <c r="AG760" s="446" t="e">
        <f>IF(OR($B760="",MIN(AG$38,$D$19)&lt;MAX($P$708*($B760+IF($R$17="Distrato",$I$38-1,0)),IF(AND($L$711=0,$P$708=0),"",$L$711-1),IF($R$17="Distrato",$E760,0))),0,YEARFRAC(MAX($P$708*($B760+IF($R$17="Distrato",$I$38-1,0)),IF(AND($L$711=0,$P$708=0),"",$L$711-1),IF($R$17="Distrato",$E760,0)),MIN(AG$38,$D$19),$P$20))-SUM($P760:AF760)</f>
        <v>#VALUE!</v>
      </c>
      <c r="AH760" s="446" t="e">
        <f>IF(OR($B760="",MIN(AH$38,$D$19)&lt;MAX($P$708*($B760+IF($R$17="Distrato",$I$38-1,0)),IF(AND($L$711=0,$P$708=0),"",$L$711-1),IF($R$17="Distrato",$E760,0))),0,YEARFRAC(MAX($P$708*($B760+IF($R$17="Distrato",$I$38-1,0)),IF(AND($L$711=0,$P$708=0),"",$L$711-1),IF($R$17="Distrato",$E760,0)),MIN(AH$38,$D$19),$P$20))-SUM($P760:AG760)</f>
        <v>#VALUE!</v>
      </c>
      <c r="AI760" s="446" t="e">
        <f>IF(OR($B760="",MIN(AI$38,$D$19)&lt;MAX($P$708*($B760+IF($R$17="Distrato",$I$38-1,0)),IF(AND($L$711=0,$P$708=0),"",$L$711-1),IF($R$17="Distrato",$E760,0))),0,YEARFRAC(MAX($P$708*($B760+IF($R$17="Distrato",$I$38-1,0)),IF(AND($L$711=0,$P$708=0),"",$L$711-1),IF($R$17="Distrato",$E760,0)),MIN(AI$38,$D$19),$P$20))-SUM($P760:AH760)</f>
        <v>#VALUE!</v>
      </c>
      <c r="AJ760" s="446" t="e">
        <f>IF(OR($B760="",MIN(AJ$38,$D$19)&lt;MAX($P$708*($B760+IF($R$17="Distrato",$I$38-1,0)),IF(AND($L$711=0,$P$708=0),"",$L$711-1),IF($R$17="Distrato",$E760,0))),0,YEARFRAC(MAX($P$708*($B760+IF($R$17="Distrato",$I$38-1,0)),IF(AND($L$711=0,$P$708=0),"",$L$711-1),IF($R$17="Distrato",$E760,0)),MIN(AJ$38,$D$19),$P$20))-SUM($P760:AI760)</f>
        <v>#VALUE!</v>
      </c>
      <c r="AK760" s="446" t="e">
        <f>IF(OR($B760="",MIN(AK$38,$D$19)&lt;MAX($P$708*($B760+IF($R$17="Distrato",$I$38-1,0)),IF(AND($L$711=0,$P$708=0),"",$L$711-1),IF($R$17="Distrato",$E760,0))),0,YEARFRAC(MAX($P$708*($B760+IF($R$17="Distrato",$I$38-1,0)),IF(AND($L$711=0,$P$708=0),"",$L$711-1),IF($R$17="Distrato",$E760,0)),MIN(AK$38,$D$19),$P$20))-SUM($P760:AJ760)</f>
        <v>#VALUE!</v>
      </c>
      <c r="AL760" s="446" t="e">
        <f>IF(OR($B760="",MIN(AL$38,$D$19)&lt;MAX($P$708*($B760+IF($R$17="Distrato",$I$38-1,0)),IF(AND($L$711=0,$P$708=0),"",$L$711-1),IF($R$17="Distrato",$E760,0))),0,YEARFRAC(MAX($P$708*($B760+IF($R$17="Distrato",$I$38-1,0)),IF(AND($L$711=0,$P$708=0),"",$L$711-1),IF($R$17="Distrato",$E760,0)),MIN(AL$38,$D$19),$P$20))-SUM($P760:AK760)</f>
        <v>#VALUE!</v>
      </c>
      <c r="AM760" s="446" t="e">
        <f>IF(OR($B760="",MIN(AM$38,$D$19)&lt;MAX($P$708*($B760+IF($R$17="Distrato",$I$38-1,0)),IF(AND($L$711=0,$P$708=0),"",$L$711-1),IF($R$17="Distrato",$E760,0))),0,YEARFRAC(MAX($P$708*($B760+IF($R$17="Distrato",$I$38-1,0)),IF(AND($L$711=0,$P$708=0),"",$L$711-1),IF($R$17="Distrato",$E760,0)),MIN(AM$38,$D$19),$P$20))-SUM($P760:AL760)</f>
        <v>#VALUE!</v>
      </c>
      <c r="AN760" s="446" t="e">
        <f>IF(OR($B760="",MIN(AN$38,$D$19)&lt;MAX($P$708*($B760+IF($R$17="Distrato",$I$38-1,0)),IF(AND($L$711=0,$P$708=0),"",$L$711-1),IF($R$17="Distrato",$E760,0))),0,YEARFRAC(MAX($P$708*($B760+IF($R$17="Distrato",$I$38-1,0)),IF(AND($L$711=0,$P$708=0),"",$L$711-1),IF($R$17="Distrato",$E760,0)),MIN(AN$38,$D$19),$P$20))-SUM($P760:AM760)</f>
        <v>#VALUE!</v>
      </c>
      <c r="AO760" s="446" t="e">
        <f>IF(OR($B760="",MIN(AO$38,$D$19)&lt;MAX($P$708*($B760+IF($R$17="Distrato",$I$38-1,0)),IF(AND($L$711=0,$P$708=0),"",$L$711-1),IF($R$17="Distrato",$E760,0))),0,YEARFRAC(MAX($P$708*($B760+IF($R$17="Distrato",$I$38-1,0)),IF(AND($L$711=0,$P$708=0),"",$L$711-1),IF($R$17="Distrato",$E760,0)),MIN(AO$38,$D$19),$P$20))-SUM($P760:AN760)</f>
        <v>#VALUE!</v>
      </c>
      <c r="AP760" s="446" t="e">
        <f>IF(OR($B760="",MIN(AP$38,$D$19)&lt;MAX($P$708*($B760+IF($R$17="Distrato",$I$38-1,0)),IF(AND($L$711=0,$P$708=0),"",$L$711-1),IF($R$17="Distrato",$E760,0))),0,YEARFRAC(MAX($P$708*($B760+IF($R$17="Distrato",$I$38-1,0)),IF(AND($L$711=0,$P$708=0),"",$L$711-1),IF($R$17="Distrato",$E760,0)),MIN(AP$38,$D$19),$P$20))-SUM($P760:AO760)</f>
        <v>#VALUE!</v>
      </c>
      <c r="AQ760" s="446" t="e">
        <f>IF(OR($B760="",MIN(AQ$38,$D$19)&lt;MAX($P$708*($B760+IF($R$17="Distrato",$I$38-1,0)),IF(AND($L$711=0,$P$708=0),"",$L$711-1),IF($R$17="Distrato",$E760,0))),0,YEARFRAC(MAX($P$708*($B760+IF($R$17="Distrato",$I$38-1,0)),IF(AND($L$711=0,$P$708=0),"",$L$711-1),IF($R$17="Distrato",$E760,0)),MIN(AQ$38,$D$19),$P$20))-SUM($P760:AP760)</f>
        <v>#VALUE!</v>
      </c>
      <c r="AR760" s="446" t="e">
        <f>IF(OR($B760="",MIN(AR$38,$D$19)&lt;MAX($P$708*($B760+IF($R$17="Distrato",$I$38-1,0)),IF(AND($L$711=0,$P$708=0),"",$L$711-1),IF($R$17="Distrato",$E760,0))),0,YEARFRAC(MAX($P$708*($B760+IF($R$17="Distrato",$I$38-1,0)),IF(AND($L$711=0,$P$708=0),"",$L$711-1),IF($R$17="Distrato",$E760,0)),MIN(AR$38,$D$19),$P$20))-SUM($P760:AQ760)</f>
        <v>#VALUE!</v>
      </c>
      <c r="AS760" s="446" t="e">
        <f>IF(OR($B760="",MIN(AS$38,$D$19)&lt;MAX($P$708*($B760+IF($R$17="Distrato",$I$38-1,0)),IF(AND($L$711=0,$P$708=0),"",$L$711-1),IF($R$17="Distrato",$E760,0))),0,YEARFRAC(MAX($P$708*($B760+IF($R$17="Distrato",$I$38-1,0)),IF(AND($L$711=0,$P$708=0),"",$L$711-1),IF($R$17="Distrato",$E760,0)),MIN(AS$38,$D$19),$P$20))-SUM($P760:AR760)</f>
        <v>#VALUE!</v>
      </c>
      <c r="AT760" s="446" t="e">
        <f>IF(OR($B760="",MIN(AT$38,$D$19)&lt;MAX($P$708*($B760+IF($R$17="Distrato",$I$38-1,0)),IF(AND($L$711=0,$P$708=0),"",$L$711-1),IF($R$17="Distrato",$E760,0))),0,YEARFRAC(MAX($P$708*($B760+IF($R$17="Distrato",$I$38-1,0)),IF(AND($L$711=0,$P$708=0),"",$L$711-1),IF($R$17="Distrato",$E760,0)),MIN(AT$38,$D$19),$P$20))-SUM($P760:AS760)</f>
        <v>#VALUE!</v>
      </c>
      <c r="AU760" s="446" t="e">
        <f>IF(OR($B760="",MIN(AU$38,$D$19)&lt;MAX($P$708*($B760+IF($R$17="Distrato",$I$38-1,0)),IF(AND($L$711=0,$P$708=0),"",$L$711-1),IF($R$17="Distrato",$E760,0))),0,YEARFRAC(MAX($P$708*($B760+IF($R$17="Distrato",$I$38-1,0)),IF(AND($L$711=0,$P$708=0),"",$L$711-1),IF($R$17="Distrato",$E760,0)),MIN(AU$38,$D$19),$P$20))-SUM($P760:AT760)</f>
        <v>#VALUE!</v>
      </c>
      <c r="AV760" s="446" t="e">
        <f>IF(OR($B760="",MIN(AV$38,$D$19)&lt;MAX($P$708*($B760+IF($R$17="Distrato",$I$38-1,0)),IF(AND($L$711=0,$P$708=0),"",$L$711-1),IF($R$17="Distrato",$E760,0))),0,YEARFRAC(MAX($P$708*($B760+IF($R$17="Distrato",$I$38-1,0)),IF(AND($L$711=0,$P$708=0),"",$L$711-1),IF($R$17="Distrato",$E760,0)),MIN(AV$38,$D$19),$P$20))-SUM($P760:AU760)</f>
        <v>#VALUE!</v>
      </c>
      <c r="AW760" s="446" t="e">
        <f>IF(OR($B760="",MIN(AW$38,$D$19)&lt;MAX($P$708*($B760+IF($R$17="Distrato",$I$38-1,0)),IF(AND($L$711=0,$P$708=0),"",$L$711-1),IF($R$17="Distrato",$E760,0))),0,YEARFRAC(MAX($P$708*($B760+IF($R$17="Distrato",$I$38-1,0)),IF(AND($L$711=0,$P$708=0),"",$L$711-1),IF($R$17="Distrato",$E760,0)),MIN(AW$38,$D$19),$P$20))-SUM($P760:AV760)</f>
        <v>#VALUE!</v>
      </c>
      <c r="AX760" s="446" t="e">
        <f>IF(OR($B760="",MIN(AX$38,$D$19)&lt;MAX($P$708*($B760+IF($R$17="Distrato",$I$38-1,0)),IF(AND($L$711=0,$P$708=0),"",$L$711-1),IF($R$17="Distrato",$E760,0))),0,YEARFRAC(MAX($P$708*($B760+IF($R$17="Distrato",$I$38-1,0)),IF(AND($L$711=0,$P$708=0),"",$L$711-1),IF($R$17="Distrato",$E760,0)),MIN(AX$38,$D$19),$P$20))-SUM($P760:AW760)</f>
        <v>#VALUE!</v>
      </c>
      <c r="AY760" s="446" t="e">
        <f>IF(OR($B760="",MIN(AY$38,$D$19)&lt;MAX($P$708*($B760+IF($R$17="Distrato",$I$38-1,0)),IF(AND($L$711=0,$P$708=0),"",$L$711-1),IF($R$17="Distrato",$E760,0))),0,YEARFRAC(MAX($P$708*($B760+IF($R$17="Distrato",$I$38-1,0)),IF(AND($L$711=0,$P$708=0),"",$L$711-1),IF($R$17="Distrato",$E760,0)),MIN(AY$38,$D$19),$P$20))-SUM($P760:AX760)</f>
        <v>#VALUE!</v>
      </c>
      <c r="AZ760" s="446" t="e">
        <f>IF(OR($B760="",MIN(AZ$38,$D$19)&lt;MAX($P$708*($B760+IF($R$17="Distrato",$I$38-1,0)),IF(AND($L$711=0,$P$708=0),"",$L$711-1),IF($R$17="Distrato",$E760,0))),0,YEARFRAC(MAX($P$708*($B760+IF($R$17="Distrato",$I$38-1,0)),IF(AND($L$711=0,$P$708=0),"",$L$711-1),IF($R$17="Distrato",$E760,0)),MIN(AZ$38,$D$19),$P$20))-SUM($P760:AY760)</f>
        <v>#VALUE!</v>
      </c>
      <c r="BA760" s="446" t="e">
        <f>IF(OR($B760="",MIN(BA$38,$D$19)&lt;MAX($P$708*($B760+IF($R$17="Distrato",$I$38-1,0)),IF(AND($L$711=0,$P$708=0),"",$L$711-1),IF($R$17="Distrato",$E760,0))),0,YEARFRAC(MAX($P$708*($B760+IF($R$17="Distrato",$I$38-1,0)),IF(AND($L$711=0,$P$708=0),"",$L$711-1),IF($R$17="Distrato",$E760,0)),MIN(BA$38,$D$19),$P$20))-SUM($P760:AZ760)</f>
        <v>#VALUE!</v>
      </c>
      <c r="BB760" s="447"/>
    </row>
    <row r="761" spans="1:54" s="446" customFormat="1" ht="11.25" hidden="1" customHeight="1" x14ac:dyDescent="0.2">
      <c r="A761" s="235"/>
      <c r="B761" s="236"/>
      <c r="C761" s="29" t="str">
        <f>IF(B761="","",IF($L$709=$BL$25,VLOOKUP(DATE(YEAR($D$19),MONTH($D$19)-1,1),ÍNDICES!$A:$DE,HLOOKUP($BL$25,ÍNDICES!$B$3:$T$4,2)+11)-VLOOKUP(B761,ÍNDICES!$A:$DE,HLOOKUP($BL$25,ÍNDICES!$B$3:$T$4,2)+11)+1%,IF(C$712=$W$26,$J$35,IF(ISERROR(IF(B761&gt;$D$19,1,VLOOKUP(DATE(YEAR(B761),MONTH(B761)+IF($C$709=$S$23,1,0),1),ÍNDICES!$A:$DE,$Z$709+1))),"",IF(B761&gt;$D$19,1,VLOOKUP(DATE(YEAR(B761),MONTH(B761)+IF($C$709=$S$23,1,0),1),ÍNDICES!$A:$DE,$Z$709+1))))))</f>
        <v/>
      </c>
      <c r="D761" s="155"/>
      <c r="E761" s="88"/>
      <c r="F761" s="88"/>
      <c r="G761" s="88"/>
      <c r="H761" s="118"/>
      <c r="I761" s="182">
        <f t="shared" si="115"/>
        <v>0</v>
      </c>
      <c r="J761" s="20">
        <f t="shared" ca="1" si="116"/>
        <v>0</v>
      </c>
      <c r="K761" s="5">
        <f t="shared" ca="1" si="117"/>
        <v>0</v>
      </c>
      <c r="L761" s="61">
        <f t="shared" ca="1" si="118"/>
        <v>0</v>
      </c>
      <c r="M761" s="64">
        <f t="shared" si="119"/>
        <v>0</v>
      </c>
      <c r="N761" s="151"/>
      <c r="O761" s="5">
        <f t="shared" ca="1" si="120"/>
        <v>0</v>
      </c>
      <c r="P761" s="446" t="e">
        <f t="shared" si="121"/>
        <v>#VALUE!</v>
      </c>
      <c r="Q761" s="446" t="e">
        <f>IF(OR($B761="",MIN(Q$38,$D$19)&lt;MAX($P$708*($B761+IF($R$17="Distrato",$I$38-1,0)),IF(AND($L$711=0,$P$708=0),"",$L$711-1),IF($R$17="Distrato",$E761,0))),0,YEARFRAC(MAX($P$708*($B761+IF($R$17="Distrato",$I$38-1,0)),IF(AND($L$711=0,$P$708=0),"",$L$711-1),IF($R$17="Distrato",$E761,0)),MIN(Q$38,$D$19),$P$20))-SUM($P761:P761)</f>
        <v>#VALUE!</v>
      </c>
      <c r="R761" s="446" t="e">
        <f>IF(OR($B761="",MIN(R$38,$D$19)&lt;MAX($P$708*($B761+IF($R$17="Distrato",$I$38-1,0)),IF(AND($L$711=0,$P$708=0),"",$L$711-1),IF($R$17="Distrato",$E761,0))),0,YEARFRAC(MAX($P$708*($B761+IF($R$17="Distrato",$I$38-1,0)),IF(AND($L$711=0,$P$708=0),"",$L$711-1),IF($R$17="Distrato",$E761,0)),MIN(R$38,$D$19),$P$20))-SUM($P761:Q761)</f>
        <v>#VALUE!</v>
      </c>
      <c r="S761" s="446" t="e">
        <f>IF(OR($B761="",MIN(S$38,$D$19)&lt;MAX($P$708*($B761+IF($R$17="Distrato",$I$38-1,0)),IF(AND($L$711=0,$P$708=0),"",$L$711-1),IF($R$17="Distrato",$E761,0))),0,YEARFRAC(MAX($P$708*($B761+IF($R$17="Distrato",$I$38-1,0)),IF(AND($L$711=0,$P$708=0),"",$L$711-1),IF($R$17="Distrato",$E761,0)),MIN(S$38,$D$19),$P$20))-SUM($P761:R761)</f>
        <v>#VALUE!</v>
      </c>
      <c r="T761" s="446" t="e">
        <f>IF(OR($B761="",MIN(T$38,$D$19)&lt;MAX($P$708*($B761+IF($R$17="Distrato",$I$38-1,0)),IF(AND($L$711=0,$P$708=0),"",$L$711-1),IF($R$17="Distrato",$E761,0))),0,YEARFRAC(MAX($P$708*($B761+IF($R$17="Distrato",$I$38-1,0)),IF(AND($L$711=0,$P$708=0),"",$L$711-1),IF($R$17="Distrato",$E761,0)),MIN(T$38,$D$19),$P$20))-SUM($P761:S761)</f>
        <v>#VALUE!</v>
      </c>
      <c r="U761" s="446" t="e">
        <f>IF(OR($B761="",MIN(U$38,$D$19)&lt;MAX($P$708*($B761+IF($R$17="Distrato",$I$38-1,0)),IF(AND($L$711=0,$P$708=0),"",$L$711-1),IF($R$17="Distrato",$E761,0))),0,YEARFRAC(MAX($P$708*($B761+IF($R$17="Distrato",$I$38-1,0)),IF(AND($L$711=0,$P$708=0),"",$L$711-1),IF($R$17="Distrato",$E761,0)),MIN(U$38,$D$19),$P$20))-SUM($P761:T761)</f>
        <v>#VALUE!</v>
      </c>
      <c r="V761" s="446" t="e">
        <f>IF(OR($B761="",MIN(V$38,$D$19)&lt;MAX($P$708*($B761+IF($R$17="Distrato",$I$38-1,0)),IF(AND($L$711=0,$P$708=0),"",$L$711-1),IF($R$17="Distrato",$E761,0))),0,YEARFRAC(MAX($P$708*($B761+IF($R$17="Distrato",$I$38-1,0)),IF(AND($L$711=0,$P$708=0),"",$L$711-1),IF($R$17="Distrato",$E761,0)),MIN(V$38,$D$19),$P$20))-SUM($P761:U761)</f>
        <v>#VALUE!</v>
      </c>
      <c r="W761" s="446" t="e">
        <f>IF(OR($B761="",MIN(W$38,$D$19)&lt;MAX($P$708*($B761+IF($R$17="Distrato",$I$38-1,0)),IF(AND($L$711=0,$P$708=0),"",$L$711-1),IF($R$17="Distrato",$E761,0))),0,YEARFRAC(MAX($P$708*($B761+IF($R$17="Distrato",$I$38-1,0)),IF(AND($L$711=0,$P$708=0),"",$L$711-1),IF($R$17="Distrato",$E761,0)),MIN(W$38,$D$19),$P$20))-SUM($P761:V761)</f>
        <v>#VALUE!</v>
      </c>
      <c r="X761" s="446" t="e">
        <f>IF(OR($B761="",MIN(X$38,$D$19)&lt;MAX($P$708*($B761+IF($R$17="Distrato",$I$38-1,0)),IF(AND($L$711=0,$P$708=0),"",$L$711-1),IF($R$17="Distrato",$E761,0))),0,YEARFRAC(MAX($P$708*($B761+IF($R$17="Distrato",$I$38-1,0)),IF(AND($L$711=0,$P$708=0),"",$L$711-1),IF($R$17="Distrato",$E761,0)),MIN(X$38,$D$19),$P$20))-SUM($P761:W761)</f>
        <v>#VALUE!</v>
      </c>
      <c r="Y761" s="446" t="e">
        <f>IF(OR($B761="",MIN(Y$38,$D$19)&lt;MAX($P$708*($B761+IF($R$17="Distrato",$I$38-1,0)),IF(AND($L$711=0,$P$708=0),"",$L$711-1),IF($R$17="Distrato",$E761,0))),0,YEARFRAC(MAX($P$708*($B761+IF($R$17="Distrato",$I$38-1,0)),IF(AND($L$711=0,$P$708=0),"",$L$711-1),IF($R$17="Distrato",$E761,0)),MIN(Y$38,$D$19),$P$20))-SUM($P761:X761)</f>
        <v>#VALUE!</v>
      </c>
      <c r="Z761" s="446" t="e">
        <f>IF(OR($B761="",MIN(Z$38,$D$19)&lt;MAX($P$708*($B761+IF($R$17="Distrato",$I$38-1,0)),IF(AND($L$711=0,$P$708=0),"",$L$711-1),IF($R$17="Distrato",$E761,0))),0,YEARFRAC(MAX($P$708*($B761+IF($R$17="Distrato",$I$38-1,0)),IF(AND($L$711=0,$P$708=0),"",$L$711-1),IF($R$17="Distrato",$E761,0)),MIN(Z$38,$D$19),$P$20))-SUM($P761:Y761)</f>
        <v>#VALUE!</v>
      </c>
      <c r="AA761" s="446" t="e">
        <f>IF(OR($B761="",MIN(AA$38,$D$19)&lt;MAX($P$708*($B761+IF($R$17="Distrato",$I$38-1,0)),IF(AND($L$711=0,$P$708=0),"",$L$711-1),IF($R$17="Distrato",$E761,0))),0,YEARFRAC(MAX($P$708*($B761+IF($R$17="Distrato",$I$38-1,0)),IF(AND($L$711=0,$P$708=0),"",$L$711-1),IF($R$17="Distrato",$E761,0)),MIN(AA$38,$D$19),$P$20))-SUM($P761:Z761)</f>
        <v>#VALUE!</v>
      </c>
      <c r="AB761" s="446" t="e">
        <f>IF(OR($B761="",MIN(AB$38,$D$19)&lt;MAX($P$708*($B761+IF($R$17="Distrato",$I$38-1,0)),IF(AND($L$711=0,$P$708=0),"",$L$711-1),IF($R$17="Distrato",$E761,0))),0,YEARFRAC(MAX($P$708*($B761+IF($R$17="Distrato",$I$38-1,0)),IF(AND($L$711=0,$P$708=0),"",$L$711-1),IF($R$17="Distrato",$E761,0)),MIN(AB$38,$D$19),$P$20))-SUM($P761:AA761)</f>
        <v>#VALUE!</v>
      </c>
      <c r="AC761" s="446" t="e">
        <f>IF(OR($B761="",MIN(AC$38,$D$19)&lt;MAX($P$708*($B761+IF($R$17="Distrato",$I$38-1,0)),IF(AND($L$711=0,$P$708=0),"",$L$711-1),IF($R$17="Distrato",$E761,0))),0,YEARFRAC(MAX($P$708*($B761+IF($R$17="Distrato",$I$38-1,0)),IF(AND($L$711=0,$P$708=0),"",$L$711-1),IF($R$17="Distrato",$E761,0)),MIN(AC$38,$D$19),$P$20))-SUM($P761:AB761)</f>
        <v>#VALUE!</v>
      </c>
      <c r="AD761" s="446" t="e">
        <f>IF(OR($B761="",MIN(AD$38,$D$19)&lt;MAX($P$708*($B761+IF($R$17="Distrato",$I$38-1,0)),IF(AND($L$711=0,$P$708=0),"",$L$711-1),IF($R$17="Distrato",$E761,0))),0,YEARFRAC(MAX($P$708*($B761+IF($R$17="Distrato",$I$38-1,0)),IF(AND($L$711=0,$P$708=0),"",$L$711-1),IF($R$17="Distrato",$E761,0)),MIN(AD$38,$D$19),$P$20))-SUM($P761:AC761)</f>
        <v>#VALUE!</v>
      </c>
      <c r="AE761" s="446" t="e">
        <f>IF(OR($B761="",MIN(AE$38,$D$19)&lt;MAX($P$708*($B761+IF($R$17="Distrato",$I$38-1,0)),IF(AND($L$711=0,$P$708=0),"",$L$711-1),IF($R$17="Distrato",$E761,0))),0,YEARFRAC(MAX($P$708*($B761+IF($R$17="Distrato",$I$38-1,0)),IF(AND($L$711=0,$P$708=0),"",$L$711-1),IF($R$17="Distrato",$E761,0)),MIN(AE$38,$D$19),$P$20))-SUM($P761:AD761)</f>
        <v>#VALUE!</v>
      </c>
      <c r="AF761" s="446" t="e">
        <f>IF(OR($B761="",MIN(AF$38,$D$19)&lt;MAX($P$708*($B761+IF($R$17="Distrato",$I$38-1,0)),IF(AND($L$711=0,$P$708=0),"",$L$711-1),IF($R$17="Distrato",$E761,0))),0,YEARFRAC(MAX($P$708*($B761+IF($R$17="Distrato",$I$38-1,0)),IF(AND($L$711=0,$P$708=0),"",$L$711-1),IF($R$17="Distrato",$E761,0)),MIN(AF$38,$D$19),$P$20))-SUM($P761:AE761)</f>
        <v>#VALUE!</v>
      </c>
      <c r="AG761" s="446" t="e">
        <f>IF(OR($B761="",MIN(AG$38,$D$19)&lt;MAX($P$708*($B761+IF($R$17="Distrato",$I$38-1,0)),IF(AND($L$711=0,$P$708=0),"",$L$711-1),IF($R$17="Distrato",$E761,0))),0,YEARFRAC(MAX($P$708*($B761+IF($R$17="Distrato",$I$38-1,0)),IF(AND($L$711=0,$P$708=0),"",$L$711-1),IF($R$17="Distrato",$E761,0)),MIN(AG$38,$D$19),$P$20))-SUM($P761:AF761)</f>
        <v>#VALUE!</v>
      </c>
      <c r="AH761" s="446" t="e">
        <f>IF(OR($B761="",MIN(AH$38,$D$19)&lt;MAX($P$708*($B761+IF($R$17="Distrato",$I$38-1,0)),IF(AND($L$711=0,$P$708=0),"",$L$711-1),IF($R$17="Distrato",$E761,0))),0,YEARFRAC(MAX($P$708*($B761+IF($R$17="Distrato",$I$38-1,0)),IF(AND($L$711=0,$P$708=0),"",$L$711-1),IF($R$17="Distrato",$E761,0)),MIN(AH$38,$D$19),$P$20))-SUM($P761:AG761)</f>
        <v>#VALUE!</v>
      </c>
      <c r="AI761" s="446" t="e">
        <f>IF(OR($B761="",MIN(AI$38,$D$19)&lt;MAX($P$708*($B761+IF($R$17="Distrato",$I$38-1,0)),IF(AND($L$711=0,$P$708=0),"",$L$711-1),IF($R$17="Distrato",$E761,0))),0,YEARFRAC(MAX($P$708*($B761+IF($R$17="Distrato",$I$38-1,0)),IF(AND($L$711=0,$P$708=0),"",$L$711-1),IF($R$17="Distrato",$E761,0)),MIN(AI$38,$D$19),$P$20))-SUM($P761:AH761)</f>
        <v>#VALUE!</v>
      </c>
      <c r="AJ761" s="446" t="e">
        <f>IF(OR($B761="",MIN(AJ$38,$D$19)&lt;MAX($P$708*($B761+IF($R$17="Distrato",$I$38-1,0)),IF(AND($L$711=0,$P$708=0),"",$L$711-1),IF($R$17="Distrato",$E761,0))),0,YEARFRAC(MAX($P$708*($B761+IF($R$17="Distrato",$I$38-1,0)),IF(AND($L$711=0,$P$708=0),"",$L$711-1),IF($R$17="Distrato",$E761,0)),MIN(AJ$38,$D$19),$P$20))-SUM($P761:AI761)</f>
        <v>#VALUE!</v>
      </c>
      <c r="AK761" s="446" t="e">
        <f>IF(OR($B761="",MIN(AK$38,$D$19)&lt;MAX($P$708*($B761+IF($R$17="Distrato",$I$38-1,0)),IF(AND($L$711=0,$P$708=0),"",$L$711-1),IF($R$17="Distrato",$E761,0))),0,YEARFRAC(MAX($P$708*($B761+IF($R$17="Distrato",$I$38-1,0)),IF(AND($L$711=0,$P$708=0),"",$L$711-1),IF($R$17="Distrato",$E761,0)),MIN(AK$38,$D$19),$P$20))-SUM($P761:AJ761)</f>
        <v>#VALUE!</v>
      </c>
      <c r="AL761" s="446" t="e">
        <f>IF(OR($B761="",MIN(AL$38,$D$19)&lt;MAX($P$708*($B761+IF($R$17="Distrato",$I$38-1,0)),IF(AND($L$711=0,$P$708=0),"",$L$711-1),IF($R$17="Distrato",$E761,0))),0,YEARFRAC(MAX($P$708*($B761+IF($R$17="Distrato",$I$38-1,0)),IF(AND($L$711=0,$P$708=0),"",$L$711-1),IF($R$17="Distrato",$E761,0)),MIN(AL$38,$D$19),$P$20))-SUM($P761:AK761)</f>
        <v>#VALUE!</v>
      </c>
      <c r="AM761" s="446" t="e">
        <f>IF(OR($B761="",MIN(AM$38,$D$19)&lt;MAX($P$708*($B761+IF($R$17="Distrato",$I$38-1,0)),IF(AND($L$711=0,$P$708=0),"",$L$711-1),IF($R$17="Distrato",$E761,0))),0,YEARFRAC(MAX($P$708*($B761+IF($R$17="Distrato",$I$38-1,0)),IF(AND($L$711=0,$P$708=0),"",$L$711-1),IF($R$17="Distrato",$E761,0)),MIN(AM$38,$D$19),$P$20))-SUM($P761:AL761)</f>
        <v>#VALUE!</v>
      </c>
      <c r="AN761" s="446" t="e">
        <f>IF(OR($B761="",MIN(AN$38,$D$19)&lt;MAX($P$708*($B761+IF($R$17="Distrato",$I$38-1,0)),IF(AND($L$711=0,$P$708=0),"",$L$711-1),IF($R$17="Distrato",$E761,0))),0,YEARFRAC(MAX($P$708*($B761+IF($R$17="Distrato",$I$38-1,0)),IF(AND($L$711=0,$P$708=0),"",$L$711-1),IF($R$17="Distrato",$E761,0)),MIN(AN$38,$D$19),$P$20))-SUM($P761:AM761)</f>
        <v>#VALUE!</v>
      </c>
      <c r="AO761" s="446" t="e">
        <f>IF(OR($B761="",MIN(AO$38,$D$19)&lt;MAX($P$708*($B761+IF($R$17="Distrato",$I$38-1,0)),IF(AND($L$711=0,$P$708=0),"",$L$711-1),IF($R$17="Distrato",$E761,0))),0,YEARFRAC(MAX($P$708*($B761+IF($R$17="Distrato",$I$38-1,0)),IF(AND($L$711=0,$P$708=0),"",$L$711-1),IF($R$17="Distrato",$E761,0)),MIN(AO$38,$D$19),$P$20))-SUM($P761:AN761)</f>
        <v>#VALUE!</v>
      </c>
      <c r="AP761" s="446" t="e">
        <f>IF(OR($B761="",MIN(AP$38,$D$19)&lt;MAX($P$708*($B761+IF($R$17="Distrato",$I$38-1,0)),IF(AND($L$711=0,$P$708=0),"",$L$711-1),IF($R$17="Distrato",$E761,0))),0,YEARFRAC(MAX($P$708*($B761+IF($R$17="Distrato",$I$38-1,0)),IF(AND($L$711=0,$P$708=0),"",$L$711-1),IF($R$17="Distrato",$E761,0)),MIN(AP$38,$D$19),$P$20))-SUM($P761:AO761)</f>
        <v>#VALUE!</v>
      </c>
      <c r="AQ761" s="446" t="e">
        <f>IF(OR($B761="",MIN(AQ$38,$D$19)&lt;MAX($P$708*($B761+IF($R$17="Distrato",$I$38-1,0)),IF(AND($L$711=0,$P$708=0),"",$L$711-1),IF($R$17="Distrato",$E761,0))),0,YEARFRAC(MAX($P$708*($B761+IF($R$17="Distrato",$I$38-1,0)),IF(AND($L$711=0,$P$708=0),"",$L$711-1),IF($R$17="Distrato",$E761,0)),MIN(AQ$38,$D$19),$P$20))-SUM($P761:AP761)</f>
        <v>#VALUE!</v>
      </c>
      <c r="AR761" s="446" t="e">
        <f>IF(OR($B761="",MIN(AR$38,$D$19)&lt;MAX($P$708*($B761+IF($R$17="Distrato",$I$38-1,0)),IF(AND($L$711=0,$P$708=0),"",$L$711-1),IF($R$17="Distrato",$E761,0))),0,YEARFRAC(MAX($P$708*($B761+IF($R$17="Distrato",$I$38-1,0)),IF(AND($L$711=0,$P$708=0),"",$L$711-1),IF($R$17="Distrato",$E761,0)),MIN(AR$38,$D$19),$P$20))-SUM($P761:AQ761)</f>
        <v>#VALUE!</v>
      </c>
      <c r="AS761" s="446" t="e">
        <f>IF(OR($B761="",MIN(AS$38,$D$19)&lt;MAX($P$708*($B761+IF($R$17="Distrato",$I$38-1,0)),IF(AND($L$711=0,$P$708=0),"",$L$711-1),IF($R$17="Distrato",$E761,0))),0,YEARFRAC(MAX($P$708*($B761+IF($R$17="Distrato",$I$38-1,0)),IF(AND($L$711=0,$P$708=0),"",$L$711-1),IF($R$17="Distrato",$E761,0)),MIN(AS$38,$D$19),$P$20))-SUM($P761:AR761)</f>
        <v>#VALUE!</v>
      </c>
      <c r="AT761" s="446" t="e">
        <f>IF(OR($B761="",MIN(AT$38,$D$19)&lt;MAX($P$708*($B761+IF($R$17="Distrato",$I$38-1,0)),IF(AND($L$711=0,$P$708=0),"",$L$711-1),IF($R$17="Distrato",$E761,0))),0,YEARFRAC(MAX($P$708*($B761+IF($R$17="Distrato",$I$38-1,0)),IF(AND($L$711=0,$P$708=0),"",$L$711-1),IF($R$17="Distrato",$E761,0)),MIN(AT$38,$D$19),$P$20))-SUM($P761:AS761)</f>
        <v>#VALUE!</v>
      </c>
      <c r="AU761" s="446" t="e">
        <f>IF(OR($B761="",MIN(AU$38,$D$19)&lt;MAX($P$708*($B761+IF($R$17="Distrato",$I$38-1,0)),IF(AND($L$711=0,$P$708=0),"",$L$711-1),IF($R$17="Distrato",$E761,0))),0,YEARFRAC(MAX($P$708*($B761+IF($R$17="Distrato",$I$38-1,0)),IF(AND($L$711=0,$P$708=0),"",$L$711-1),IF($R$17="Distrato",$E761,0)),MIN(AU$38,$D$19),$P$20))-SUM($P761:AT761)</f>
        <v>#VALUE!</v>
      </c>
      <c r="AV761" s="446" t="e">
        <f>IF(OR($B761="",MIN(AV$38,$D$19)&lt;MAX($P$708*($B761+IF($R$17="Distrato",$I$38-1,0)),IF(AND($L$711=0,$P$708=0),"",$L$711-1),IF($R$17="Distrato",$E761,0))),0,YEARFRAC(MAX($P$708*($B761+IF($R$17="Distrato",$I$38-1,0)),IF(AND($L$711=0,$P$708=0),"",$L$711-1),IF($R$17="Distrato",$E761,0)),MIN(AV$38,$D$19),$P$20))-SUM($P761:AU761)</f>
        <v>#VALUE!</v>
      </c>
      <c r="AW761" s="446" t="e">
        <f>IF(OR($B761="",MIN(AW$38,$D$19)&lt;MAX($P$708*($B761+IF($R$17="Distrato",$I$38-1,0)),IF(AND($L$711=0,$P$708=0),"",$L$711-1),IF($R$17="Distrato",$E761,0))),0,YEARFRAC(MAX($P$708*($B761+IF($R$17="Distrato",$I$38-1,0)),IF(AND($L$711=0,$P$708=0),"",$L$711-1),IF($R$17="Distrato",$E761,0)),MIN(AW$38,$D$19),$P$20))-SUM($P761:AV761)</f>
        <v>#VALUE!</v>
      </c>
      <c r="AX761" s="446" t="e">
        <f>IF(OR($B761="",MIN(AX$38,$D$19)&lt;MAX($P$708*($B761+IF($R$17="Distrato",$I$38-1,0)),IF(AND($L$711=0,$P$708=0),"",$L$711-1),IF($R$17="Distrato",$E761,0))),0,YEARFRAC(MAX($P$708*($B761+IF($R$17="Distrato",$I$38-1,0)),IF(AND($L$711=0,$P$708=0),"",$L$711-1),IF($R$17="Distrato",$E761,0)),MIN(AX$38,$D$19),$P$20))-SUM($P761:AW761)</f>
        <v>#VALUE!</v>
      </c>
      <c r="AY761" s="446" t="e">
        <f>IF(OR($B761="",MIN(AY$38,$D$19)&lt;MAX($P$708*($B761+IF($R$17="Distrato",$I$38-1,0)),IF(AND($L$711=0,$P$708=0),"",$L$711-1),IF($R$17="Distrato",$E761,0))),0,YEARFRAC(MAX($P$708*($B761+IF($R$17="Distrato",$I$38-1,0)),IF(AND($L$711=0,$P$708=0),"",$L$711-1),IF($R$17="Distrato",$E761,0)),MIN(AY$38,$D$19),$P$20))-SUM($P761:AX761)</f>
        <v>#VALUE!</v>
      </c>
      <c r="AZ761" s="446" t="e">
        <f>IF(OR($B761="",MIN(AZ$38,$D$19)&lt;MAX($P$708*($B761+IF($R$17="Distrato",$I$38-1,0)),IF(AND($L$711=0,$P$708=0),"",$L$711-1),IF($R$17="Distrato",$E761,0))),0,YEARFRAC(MAX($P$708*($B761+IF($R$17="Distrato",$I$38-1,0)),IF(AND($L$711=0,$P$708=0),"",$L$711-1),IF($R$17="Distrato",$E761,0)),MIN(AZ$38,$D$19),$P$20))-SUM($P761:AY761)</f>
        <v>#VALUE!</v>
      </c>
      <c r="BA761" s="446" t="e">
        <f>IF(OR($B761="",MIN(BA$38,$D$19)&lt;MAX($P$708*($B761+IF($R$17="Distrato",$I$38-1,0)),IF(AND($L$711=0,$P$708=0),"",$L$711-1),IF($R$17="Distrato",$E761,0))),0,YEARFRAC(MAX($P$708*($B761+IF($R$17="Distrato",$I$38-1,0)),IF(AND($L$711=0,$P$708=0),"",$L$711-1),IF($R$17="Distrato",$E761,0)),MIN(BA$38,$D$19),$P$20))-SUM($P761:AZ761)</f>
        <v>#VALUE!</v>
      </c>
      <c r="BB761" s="447"/>
    </row>
    <row r="762" spans="1:54" s="446" customFormat="1" ht="11.25" hidden="1" customHeight="1" x14ac:dyDescent="0.2">
      <c r="A762" s="235"/>
      <c r="B762" s="236"/>
      <c r="C762" s="29" t="str">
        <f>IF(B762="","",IF($L$709=$BL$25,VLOOKUP(DATE(YEAR($D$19),MONTH($D$19)-1,1),ÍNDICES!$A:$DE,HLOOKUP($BL$25,ÍNDICES!$B$3:$T$4,2)+11)-VLOOKUP(B762,ÍNDICES!$A:$DE,HLOOKUP($BL$25,ÍNDICES!$B$3:$T$4,2)+11)+1%,IF(C$712=$W$26,$J$35,IF(ISERROR(IF(B762&gt;$D$19,1,VLOOKUP(DATE(YEAR(B762),MONTH(B762)+IF($C$709=$S$23,1,0),1),ÍNDICES!$A:$DE,$Z$709+1))),"",IF(B762&gt;$D$19,1,VLOOKUP(DATE(YEAR(B762),MONTH(B762)+IF($C$709=$S$23,1,0),1),ÍNDICES!$A:$DE,$Z$709+1))))))</f>
        <v/>
      </c>
      <c r="D762" s="155"/>
      <c r="E762" s="88"/>
      <c r="F762" s="88"/>
      <c r="G762" s="88"/>
      <c r="H762" s="118"/>
      <c r="I762" s="182">
        <f t="shared" si="115"/>
        <v>0</v>
      </c>
      <c r="J762" s="20">
        <f t="shared" ca="1" si="116"/>
        <v>0</v>
      </c>
      <c r="K762" s="5">
        <f t="shared" ca="1" si="117"/>
        <v>0</v>
      </c>
      <c r="L762" s="61">
        <f t="shared" ca="1" si="118"/>
        <v>0</v>
      </c>
      <c r="M762" s="64">
        <f t="shared" si="119"/>
        <v>0</v>
      </c>
      <c r="N762" s="151"/>
      <c r="O762" s="5">
        <f t="shared" ca="1" si="120"/>
        <v>0</v>
      </c>
      <c r="P762" s="446" t="e">
        <f t="shared" si="121"/>
        <v>#VALUE!</v>
      </c>
      <c r="Q762" s="446" t="e">
        <f>IF(OR($B762="",MIN(Q$38,$D$19)&lt;MAX($P$708*($B762+IF($R$17="Distrato",$I$38-1,0)),IF(AND($L$711=0,$P$708=0),"",$L$711-1),IF($R$17="Distrato",$E762,0))),0,YEARFRAC(MAX($P$708*($B762+IF($R$17="Distrato",$I$38-1,0)),IF(AND($L$711=0,$P$708=0),"",$L$711-1),IF($R$17="Distrato",$E762,0)),MIN(Q$38,$D$19),$P$20))-SUM($P762:P762)</f>
        <v>#VALUE!</v>
      </c>
      <c r="R762" s="446" t="e">
        <f>IF(OR($B762="",MIN(R$38,$D$19)&lt;MAX($P$708*($B762+IF($R$17="Distrato",$I$38-1,0)),IF(AND($L$711=0,$P$708=0),"",$L$711-1),IF($R$17="Distrato",$E762,0))),0,YEARFRAC(MAX($P$708*($B762+IF($R$17="Distrato",$I$38-1,0)),IF(AND($L$711=0,$P$708=0),"",$L$711-1),IF($R$17="Distrato",$E762,0)),MIN(R$38,$D$19),$P$20))-SUM($P762:Q762)</f>
        <v>#VALUE!</v>
      </c>
      <c r="S762" s="446" t="e">
        <f>IF(OR($B762="",MIN(S$38,$D$19)&lt;MAX($P$708*($B762+IF($R$17="Distrato",$I$38-1,0)),IF(AND($L$711=0,$P$708=0),"",$L$711-1),IF($R$17="Distrato",$E762,0))),0,YEARFRAC(MAX($P$708*($B762+IF($R$17="Distrato",$I$38-1,0)),IF(AND($L$711=0,$P$708=0),"",$L$711-1),IF($R$17="Distrato",$E762,0)),MIN(S$38,$D$19),$P$20))-SUM($P762:R762)</f>
        <v>#VALUE!</v>
      </c>
      <c r="T762" s="446" t="e">
        <f>IF(OR($B762="",MIN(T$38,$D$19)&lt;MAX($P$708*($B762+IF($R$17="Distrato",$I$38-1,0)),IF(AND($L$711=0,$P$708=0),"",$L$711-1),IF($R$17="Distrato",$E762,0))),0,YEARFRAC(MAX($P$708*($B762+IF($R$17="Distrato",$I$38-1,0)),IF(AND($L$711=0,$P$708=0),"",$L$711-1),IF($R$17="Distrato",$E762,0)),MIN(T$38,$D$19),$P$20))-SUM($P762:S762)</f>
        <v>#VALUE!</v>
      </c>
      <c r="U762" s="446" t="e">
        <f>IF(OR($B762="",MIN(U$38,$D$19)&lt;MAX($P$708*($B762+IF($R$17="Distrato",$I$38-1,0)),IF(AND($L$711=0,$P$708=0),"",$L$711-1),IF($R$17="Distrato",$E762,0))),0,YEARFRAC(MAX($P$708*($B762+IF($R$17="Distrato",$I$38-1,0)),IF(AND($L$711=0,$P$708=0),"",$L$711-1),IF($R$17="Distrato",$E762,0)),MIN(U$38,$D$19),$P$20))-SUM($P762:T762)</f>
        <v>#VALUE!</v>
      </c>
      <c r="V762" s="446" t="e">
        <f>IF(OR($B762="",MIN(V$38,$D$19)&lt;MAX($P$708*($B762+IF($R$17="Distrato",$I$38-1,0)),IF(AND($L$711=0,$P$708=0),"",$L$711-1),IF($R$17="Distrato",$E762,0))),0,YEARFRAC(MAX($P$708*($B762+IF($R$17="Distrato",$I$38-1,0)),IF(AND($L$711=0,$P$708=0),"",$L$711-1),IF($R$17="Distrato",$E762,0)),MIN(V$38,$D$19),$P$20))-SUM($P762:U762)</f>
        <v>#VALUE!</v>
      </c>
      <c r="W762" s="446" t="e">
        <f>IF(OR($B762="",MIN(W$38,$D$19)&lt;MAX($P$708*($B762+IF($R$17="Distrato",$I$38-1,0)),IF(AND($L$711=0,$P$708=0),"",$L$711-1),IF($R$17="Distrato",$E762,0))),0,YEARFRAC(MAX($P$708*($B762+IF($R$17="Distrato",$I$38-1,0)),IF(AND($L$711=0,$P$708=0),"",$L$711-1),IF($R$17="Distrato",$E762,0)),MIN(W$38,$D$19),$P$20))-SUM($P762:V762)</f>
        <v>#VALUE!</v>
      </c>
      <c r="X762" s="446" t="e">
        <f>IF(OR($B762="",MIN(X$38,$D$19)&lt;MAX($P$708*($B762+IF($R$17="Distrato",$I$38-1,0)),IF(AND($L$711=0,$P$708=0),"",$L$711-1),IF($R$17="Distrato",$E762,0))),0,YEARFRAC(MAX($P$708*($B762+IF($R$17="Distrato",$I$38-1,0)),IF(AND($L$711=0,$P$708=0),"",$L$711-1),IF($R$17="Distrato",$E762,0)),MIN(X$38,$D$19),$P$20))-SUM($P762:W762)</f>
        <v>#VALUE!</v>
      </c>
      <c r="Y762" s="446" t="e">
        <f>IF(OR($B762="",MIN(Y$38,$D$19)&lt;MAX($P$708*($B762+IF($R$17="Distrato",$I$38-1,0)),IF(AND($L$711=0,$P$708=0),"",$L$711-1),IF($R$17="Distrato",$E762,0))),0,YEARFRAC(MAX($P$708*($B762+IF($R$17="Distrato",$I$38-1,0)),IF(AND($L$711=0,$P$708=0),"",$L$711-1),IF($R$17="Distrato",$E762,0)),MIN(Y$38,$D$19),$P$20))-SUM($P762:X762)</f>
        <v>#VALUE!</v>
      </c>
      <c r="Z762" s="446" t="e">
        <f>IF(OR($B762="",MIN(Z$38,$D$19)&lt;MAX($P$708*($B762+IF($R$17="Distrato",$I$38-1,0)),IF(AND($L$711=0,$P$708=0),"",$L$711-1),IF($R$17="Distrato",$E762,0))),0,YEARFRAC(MAX($P$708*($B762+IF($R$17="Distrato",$I$38-1,0)),IF(AND($L$711=0,$P$708=0),"",$L$711-1),IF($R$17="Distrato",$E762,0)),MIN(Z$38,$D$19),$P$20))-SUM($P762:Y762)</f>
        <v>#VALUE!</v>
      </c>
      <c r="AA762" s="446" t="e">
        <f>IF(OR($B762="",MIN(AA$38,$D$19)&lt;MAX($P$708*($B762+IF($R$17="Distrato",$I$38-1,0)),IF(AND($L$711=0,$P$708=0),"",$L$711-1),IF($R$17="Distrato",$E762,0))),0,YEARFRAC(MAX($P$708*($B762+IF($R$17="Distrato",$I$38-1,0)),IF(AND($L$711=0,$P$708=0),"",$L$711-1),IF($R$17="Distrato",$E762,0)),MIN(AA$38,$D$19),$P$20))-SUM($P762:Z762)</f>
        <v>#VALUE!</v>
      </c>
      <c r="AB762" s="446" t="e">
        <f>IF(OR($B762="",MIN(AB$38,$D$19)&lt;MAX($P$708*($B762+IF($R$17="Distrato",$I$38-1,0)),IF(AND($L$711=0,$P$708=0),"",$L$711-1),IF($R$17="Distrato",$E762,0))),0,YEARFRAC(MAX($P$708*($B762+IF($R$17="Distrato",$I$38-1,0)),IF(AND($L$711=0,$P$708=0),"",$L$711-1),IF($R$17="Distrato",$E762,0)),MIN(AB$38,$D$19),$P$20))-SUM($P762:AA762)</f>
        <v>#VALUE!</v>
      </c>
      <c r="AC762" s="446" t="e">
        <f>IF(OR($B762="",MIN(AC$38,$D$19)&lt;MAX($P$708*($B762+IF($R$17="Distrato",$I$38-1,0)),IF(AND($L$711=0,$P$708=0),"",$L$711-1),IF($R$17="Distrato",$E762,0))),0,YEARFRAC(MAX($P$708*($B762+IF($R$17="Distrato",$I$38-1,0)),IF(AND($L$711=0,$P$708=0),"",$L$711-1),IF($R$17="Distrato",$E762,0)),MIN(AC$38,$D$19),$P$20))-SUM($P762:AB762)</f>
        <v>#VALUE!</v>
      </c>
      <c r="AD762" s="446" t="e">
        <f>IF(OR($B762="",MIN(AD$38,$D$19)&lt;MAX($P$708*($B762+IF($R$17="Distrato",$I$38-1,0)),IF(AND($L$711=0,$P$708=0),"",$L$711-1),IF($R$17="Distrato",$E762,0))),0,YEARFRAC(MAX($P$708*($B762+IF($R$17="Distrato",$I$38-1,0)),IF(AND($L$711=0,$P$708=0),"",$L$711-1),IF($R$17="Distrato",$E762,0)),MIN(AD$38,$D$19),$P$20))-SUM($P762:AC762)</f>
        <v>#VALUE!</v>
      </c>
      <c r="AE762" s="446" t="e">
        <f>IF(OR($B762="",MIN(AE$38,$D$19)&lt;MAX($P$708*($B762+IF($R$17="Distrato",$I$38-1,0)),IF(AND($L$711=0,$P$708=0),"",$L$711-1),IF($R$17="Distrato",$E762,0))),0,YEARFRAC(MAX($P$708*($B762+IF($R$17="Distrato",$I$38-1,0)),IF(AND($L$711=0,$P$708=0),"",$L$711-1),IF($R$17="Distrato",$E762,0)),MIN(AE$38,$D$19),$P$20))-SUM($P762:AD762)</f>
        <v>#VALUE!</v>
      </c>
      <c r="AF762" s="446" t="e">
        <f>IF(OR($B762="",MIN(AF$38,$D$19)&lt;MAX($P$708*($B762+IF($R$17="Distrato",$I$38-1,0)),IF(AND($L$711=0,$P$708=0),"",$L$711-1),IF($R$17="Distrato",$E762,0))),0,YEARFRAC(MAX($P$708*($B762+IF($R$17="Distrato",$I$38-1,0)),IF(AND($L$711=0,$P$708=0),"",$L$711-1),IF($R$17="Distrato",$E762,0)),MIN(AF$38,$D$19),$P$20))-SUM($P762:AE762)</f>
        <v>#VALUE!</v>
      </c>
      <c r="AG762" s="446" t="e">
        <f>IF(OR($B762="",MIN(AG$38,$D$19)&lt;MAX($P$708*($B762+IF($R$17="Distrato",$I$38-1,0)),IF(AND($L$711=0,$P$708=0),"",$L$711-1),IF($R$17="Distrato",$E762,0))),0,YEARFRAC(MAX($P$708*($B762+IF($R$17="Distrato",$I$38-1,0)),IF(AND($L$711=0,$P$708=0),"",$L$711-1),IF($R$17="Distrato",$E762,0)),MIN(AG$38,$D$19),$P$20))-SUM($P762:AF762)</f>
        <v>#VALUE!</v>
      </c>
      <c r="AH762" s="446" t="e">
        <f>IF(OR($B762="",MIN(AH$38,$D$19)&lt;MAX($P$708*($B762+IF($R$17="Distrato",$I$38-1,0)),IF(AND($L$711=0,$P$708=0),"",$L$711-1),IF($R$17="Distrato",$E762,0))),0,YEARFRAC(MAX($P$708*($B762+IF($R$17="Distrato",$I$38-1,0)),IF(AND($L$711=0,$P$708=0),"",$L$711-1),IF($R$17="Distrato",$E762,0)),MIN(AH$38,$D$19),$P$20))-SUM($P762:AG762)</f>
        <v>#VALUE!</v>
      </c>
      <c r="AI762" s="446" t="e">
        <f>IF(OR($B762="",MIN(AI$38,$D$19)&lt;MAX($P$708*($B762+IF($R$17="Distrato",$I$38-1,0)),IF(AND($L$711=0,$P$708=0),"",$L$711-1),IF($R$17="Distrato",$E762,0))),0,YEARFRAC(MAX($P$708*($B762+IF($R$17="Distrato",$I$38-1,0)),IF(AND($L$711=0,$P$708=0),"",$L$711-1),IF($R$17="Distrato",$E762,0)),MIN(AI$38,$D$19),$P$20))-SUM($P762:AH762)</f>
        <v>#VALUE!</v>
      </c>
      <c r="AJ762" s="446" t="e">
        <f>IF(OR($B762="",MIN(AJ$38,$D$19)&lt;MAX($P$708*($B762+IF($R$17="Distrato",$I$38-1,0)),IF(AND($L$711=0,$P$708=0),"",$L$711-1),IF($R$17="Distrato",$E762,0))),0,YEARFRAC(MAX($P$708*($B762+IF($R$17="Distrato",$I$38-1,0)),IF(AND($L$711=0,$P$708=0),"",$L$711-1),IF($R$17="Distrato",$E762,0)),MIN(AJ$38,$D$19),$P$20))-SUM($P762:AI762)</f>
        <v>#VALUE!</v>
      </c>
      <c r="AK762" s="446" t="e">
        <f>IF(OR($B762="",MIN(AK$38,$D$19)&lt;MAX($P$708*($B762+IF($R$17="Distrato",$I$38-1,0)),IF(AND($L$711=0,$P$708=0),"",$L$711-1),IF($R$17="Distrato",$E762,0))),0,YEARFRAC(MAX($P$708*($B762+IF($R$17="Distrato",$I$38-1,0)),IF(AND($L$711=0,$P$708=0),"",$L$711-1),IF($R$17="Distrato",$E762,0)),MIN(AK$38,$D$19),$P$20))-SUM($P762:AJ762)</f>
        <v>#VALUE!</v>
      </c>
      <c r="AL762" s="446" t="e">
        <f>IF(OR($B762="",MIN(AL$38,$D$19)&lt;MAX($P$708*($B762+IF($R$17="Distrato",$I$38-1,0)),IF(AND($L$711=0,$P$708=0),"",$L$711-1),IF($R$17="Distrato",$E762,0))),0,YEARFRAC(MAX($P$708*($B762+IF($R$17="Distrato",$I$38-1,0)),IF(AND($L$711=0,$P$708=0),"",$L$711-1),IF($R$17="Distrato",$E762,0)),MIN(AL$38,$D$19),$P$20))-SUM($P762:AK762)</f>
        <v>#VALUE!</v>
      </c>
      <c r="AM762" s="446" t="e">
        <f>IF(OR($B762="",MIN(AM$38,$D$19)&lt;MAX($P$708*($B762+IF($R$17="Distrato",$I$38-1,0)),IF(AND($L$711=0,$P$708=0),"",$L$711-1),IF($R$17="Distrato",$E762,0))),0,YEARFRAC(MAX($P$708*($B762+IF($R$17="Distrato",$I$38-1,0)),IF(AND($L$711=0,$P$708=0),"",$L$711-1),IF($R$17="Distrato",$E762,0)),MIN(AM$38,$D$19),$P$20))-SUM($P762:AL762)</f>
        <v>#VALUE!</v>
      </c>
      <c r="AN762" s="446" t="e">
        <f>IF(OR($B762="",MIN(AN$38,$D$19)&lt;MAX($P$708*($B762+IF($R$17="Distrato",$I$38-1,0)),IF(AND($L$711=0,$P$708=0),"",$L$711-1),IF($R$17="Distrato",$E762,0))),0,YEARFRAC(MAX($P$708*($B762+IF($R$17="Distrato",$I$38-1,0)),IF(AND($L$711=0,$P$708=0),"",$L$711-1),IF($R$17="Distrato",$E762,0)),MIN(AN$38,$D$19),$P$20))-SUM($P762:AM762)</f>
        <v>#VALUE!</v>
      </c>
      <c r="AO762" s="446" t="e">
        <f>IF(OR($B762="",MIN(AO$38,$D$19)&lt;MAX($P$708*($B762+IF($R$17="Distrato",$I$38-1,0)),IF(AND($L$711=0,$P$708=0),"",$L$711-1),IF($R$17="Distrato",$E762,0))),0,YEARFRAC(MAX($P$708*($B762+IF($R$17="Distrato",$I$38-1,0)),IF(AND($L$711=0,$P$708=0),"",$L$711-1),IF($R$17="Distrato",$E762,0)),MIN(AO$38,$D$19),$P$20))-SUM($P762:AN762)</f>
        <v>#VALUE!</v>
      </c>
      <c r="AP762" s="446" t="e">
        <f>IF(OR($B762="",MIN(AP$38,$D$19)&lt;MAX($P$708*($B762+IF($R$17="Distrato",$I$38-1,0)),IF(AND($L$711=0,$P$708=0),"",$L$711-1),IF($R$17="Distrato",$E762,0))),0,YEARFRAC(MAX($P$708*($B762+IF($R$17="Distrato",$I$38-1,0)),IF(AND($L$711=0,$P$708=0),"",$L$711-1),IF($R$17="Distrato",$E762,0)),MIN(AP$38,$D$19),$P$20))-SUM($P762:AO762)</f>
        <v>#VALUE!</v>
      </c>
      <c r="AQ762" s="446" t="e">
        <f>IF(OR($B762="",MIN(AQ$38,$D$19)&lt;MAX($P$708*($B762+IF($R$17="Distrato",$I$38-1,0)),IF(AND($L$711=0,$P$708=0),"",$L$711-1),IF($R$17="Distrato",$E762,0))),0,YEARFRAC(MAX($P$708*($B762+IF($R$17="Distrato",$I$38-1,0)),IF(AND($L$711=0,$P$708=0),"",$L$711-1),IF($R$17="Distrato",$E762,0)),MIN(AQ$38,$D$19),$P$20))-SUM($P762:AP762)</f>
        <v>#VALUE!</v>
      </c>
      <c r="AR762" s="446" t="e">
        <f>IF(OR($B762="",MIN(AR$38,$D$19)&lt;MAX($P$708*($B762+IF($R$17="Distrato",$I$38-1,0)),IF(AND($L$711=0,$P$708=0),"",$L$711-1),IF($R$17="Distrato",$E762,0))),0,YEARFRAC(MAX($P$708*($B762+IF($R$17="Distrato",$I$38-1,0)),IF(AND($L$711=0,$P$708=0),"",$L$711-1),IF($R$17="Distrato",$E762,0)),MIN(AR$38,$D$19),$P$20))-SUM($P762:AQ762)</f>
        <v>#VALUE!</v>
      </c>
      <c r="AS762" s="446" t="e">
        <f>IF(OR($B762="",MIN(AS$38,$D$19)&lt;MAX($P$708*($B762+IF($R$17="Distrato",$I$38-1,0)),IF(AND($L$711=0,$P$708=0),"",$L$711-1),IF($R$17="Distrato",$E762,0))),0,YEARFRAC(MAX($P$708*($B762+IF($R$17="Distrato",$I$38-1,0)),IF(AND($L$711=0,$P$708=0),"",$L$711-1),IF($R$17="Distrato",$E762,0)),MIN(AS$38,$D$19),$P$20))-SUM($P762:AR762)</f>
        <v>#VALUE!</v>
      </c>
      <c r="AT762" s="446" t="e">
        <f>IF(OR($B762="",MIN(AT$38,$D$19)&lt;MAX($P$708*($B762+IF($R$17="Distrato",$I$38-1,0)),IF(AND($L$711=0,$P$708=0),"",$L$711-1),IF($R$17="Distrato",$E762,0))),0,YEARFRAC(MAX($P$708*($B762+IF($R$17="Distrato",$I$38-1,0)),IF(AND($L$711=0,$P$708=0),"",$L$711-1),IF($R$17="Distrato",$E762,0)),MIN(AT$38,$D$19),$P$20))-SUM($P762:AS762)</f>
        <v>#VALUE!</v>
      </c>
      <c r="AU762" s="446" t="e">
        <f>IF(OR($B762="",MIN(AU$38,$D$19)&lt;MAX($P$708*($B762+IF($R$17="Distrato",$I$38-1,0)),IF(AND($L$711=0,$P$708=0),"",$L$711-1),IF($R$17="Distrato",$E762,0))),0,YEARFRAC(MAX($P$708*($B762+IF($R$17="Distrato",$I$38-1,0)),IF(AND($L$711=0,$P$708=0),"",$L$711-1),IF($R$17="Distrato",$E762,0)),MIN(AU$38,$D$19),$P$20))-SUM($P762:AT762)</f>
        <v>#VALUE!</v>
      </c>
      <c r="AV762" s="446" t="e">
        <f>IF(OR($B762="",MIN(AV$38,$D$19)&lt;MAX($P$708*($B762+IF($R$17="Distrato",$I$38-1,0)),IF(AND($L$711=0,$P$708=0),"",$L$711-1),IF($R$17="Distrato",$E762,0))),0,YEARFRAC(MAX($P$708*($B762+IF($R$17="Distrato",$I$38-1,0)),IF(AND($L$711=0,$P$708=0),"",$L$711-1),IF($R$17="Distrato",$E762,0)),MIN(AV$38,$D$19),$P$20))-SUM($P762:AU762)</f>
        <v>#VALUE!</v>
      </c>
      <c r="AW762" s="446" t="e">
        <f>IF(OR($B762="",MIN(AW$38,$D$19)&lt;MAX($P$708*($B762+IF($R$17="Distrato",$I$38-1,0)),IF(AND($L$711=0,$P$708=0),"",$L$711-1),IF($R$17="Distrato",$E762,0))),0,YEARFRAC(MAX($P$708*($B762+IF($R$17="Distrato",$I$38-1,0)),IF(AND($L$711=0,$P$708=0),"",$L$711-1),IF($R$17="Distrato",$E762,0)),MIN(AW$38,$D$19),$P$20))-SUM($P762:AV762)</f>
        <v>#VALUE!</v>
      </c>
      <c r="AX762" s="446" t="e">
        <f>IF(OR($B762="",MIN(AX$38,$D$19)&lt;MAX($P$708*($B762+IF($R$17="Distrato",$I$38-1,0)),IF(AND($L$711=0,$P$708=0),"",$L$711-1),IF($R$17="Distrato",$E762,0))),0,YEARFRAC(MAX($P$708*($B762+IF($R$17="Distrato",$I$38-1,0)),IF(AND($L$711=0,$P$708=0),"",$L$711-1),IF($R$17="Distrato",$E762,0)),MIN(AX$38,$D$19),$P$20))-SUM($P762:AW762)</f>
        <v>#VALUE!</v>
      </c>
      <c r="AY762" s="446" t="e">
        <f>IF(OR($B762="",MIN(AY$38,$D$19)&lt;MAX($P$708*($B762+IF($R$17="Distrato",$I$38-1,0)),IF(AND($L$711=0,$P$708=0),"",$L$711-1),IF($R$17="Distrato",$E762,0))),0,YEARFRAC(MAX($P$708*($B762+IF($R$17="Distrato",$I$38-1,0)),IF(AND($L$711=0,$P$708=0),"",$L$711-1),IF($R$17="Distrato",$E762,0)),MIN(AY$38,$D$19),$P$20))-SUM($P762:AX762)</f>
        <v>#VALUE!</v>
      </c>
      <c r="AZ762" s="446" t="e">
        <f>IF(OR($B762="",MIN(AZ$38,$D$19)&lt;MAX($P$708*($B762+IF($R$17="Distrato",$I$38-1,0)),IF(AND($L$711=0,$P$708=0),"",$L$711-1),IF($R$17="Distrato",$E762,0))),0,YEARFRAC(MAX($P$708*($B762+IF($R$17="Distrato",$I$38-1,0)),IF(AND($L$711=0,$P$708=0),"",$L$711-1),IF($R$17="Distrato",$E762,0)),MIN(AZ$38,$D$19),$P$20))-SUM($P762:AY762)</f>
        <v>#VALUE!</v>
      </c>
      <c r="BA762" s="446" t="e">
        <f>IF(OR($B762="",MIN(BA$38,$D$19)&lt;MAX($P$708*($B762+IF($R$17="Distrato",$I$38-1,0)),IF(AND($L$711=0,$P$708=0),"",$L$711-1),IF($R$17="Distrato",$E762,0))),0,YEARFRAC(MAX($P$708*($B762+IF($R$17="Distrato",$I$38-1,0)),IF(AND($L$711=0,$P$708=0),"",$L$711-1),IF($R$17="Distrato",$E762,0)),MIN(BA$38,$D$19),$P$20))-SUM($P762:AZ762)</f>
        <v>#VALUE!</v>
      </c>
      <c r="BB762" s="447"/>
    </row>
    <row r="763" spans="1:54" s="446" customFormat="1" ht="11.25" hidden="1" customHeight="1" x14ac:dyDescent="0.2">
      <c r="A763" s="235"/>
      <c r="B763" s="236"/>
      <c r="C763" s="29" t="str">
        <f>IF(B763="","",IF($L$709=$BL$25,VLOOKUP(DATE(YEAR($D$19),MONTH($D$19)-1,1),ÍNDICES!$A:$DE,HLOOKUP($BL$25,ÍNDICES!$B$3:$T$4,2)+11)-VLOOKUP(B763,ÍNDICES!$A:$DE,HLOOKUP($BL$25,ÍNDICES!$B$3:$T$4,2)+11)+1%,IF(C$712=$W$26,$J$35,IF(ISERROR(IF(B763&gt;$D$19,1,VLOOKUP(DATE(YEAR(B763),MONTH(B763)+IF($C$709=$S$23,1,0),1),ÍNDICES!$A:$DE,$Z$709+1))),"",IF(B763&gt;$D$19,1,VLOOKUP(DATE(YEAR(B763),MONTH(B763)+IF($C$709=$S$23,1,0),1),ÍNDICES!$A:$DE,$Z$709+1))))))</f>
        <v/>
      </c>
      <c r="D763" s="155"/>
      <c r="E763" s="88"/>
      <c r="F763" s="88"/>
      <c r="G763" s="88"/>
      <c r="H763" s="118"/>
      <c r="I763" s="182">
        <f t="shared" si="115"/>
        <v>0</v>
      </c>
      <c r="J763" s="20">
        <f t="shared" ca="1" si="116"/>
        <v>0</v>
      </c>
      <c r="K763" s="5">
        <f t="shared" ca="1" si="117"/>
        <v>0</v>
      </c>
      <c r="L763" s="61">
        <f t="shared" ca="1" si="118"/>
        <v>0</v>
      </c>
      <c r="M763" s="64">
        <f t="shared" si="119"/>
        <v>0</v>
      </c>
      <c r="N763" s="151"/>
      <c r="O763" s="5">
        <f t="shared" ca="1" si="120"/>
        <v>0</v>
      </c>
      <c r="P763" s="446" t="e">
        <f t="shared" si="121"/>
        <v>#VALUE!</v>
      </c>
      <c r="Q763" s="446" t="e">
        <f>IF(OR($B763="",MIN(Q$38,$D$19)&lt;MAX($P$708*($B763+IF($R$17="Distrato",$I$38-1,0)),IF(AND($L$711=0,$P$708=0),"",$L$711-1),IF($R$17="Distrato",$E763,0))),0,YEARFRAC(MAX($P$708*($B763+IF($R$17="Distrato",$I$38-1,0)),IF(AND($L$711=0,$P$708=0),"",$L$711-1),IF($R$17="Distrato",$E763,0)),MIN(Q$38,$D$19),$P$20))-SUM($P763:P763)</f>
        <v>#VALUE!</v>
      </c>
      <c r="R763" s="446" t="e">
        <f>IF(OR($B763="",MIN(R$38,$D$19)&lt;MAX($P$708*($B763+IF($R$17="Distrato",$I$38-1,0)),IF(AND($L$711=0,$P$708=0),"",$L$711-1),IF($R$17="Distrato",$E763,0))),0,YEARFRAC(MAX($P$708*($B763+IF($R$17="Distrato",$I$38-1,0)),IF(AND($L$711=0,$P$708=0),"",$L$711-1),IF($R$17="Distrato",$E763,0)),MIN(R$38,$D$19),$P$20))-SUM($P763:Q763)</f>
        <v>#VALUE!</v>
      </c>
      <c r="S763" s="446" t="e">
        <f>IF(OR($B763="",MIN(S$38,$D$19)&lt;MAX($P$708*($B763+IF($R$17="Distrato",$I$38-1,0)),IF(AND($L$711=0,$P$708=0),"",$L$711-1),IF($R$17="Distrato",$E763,0))),0,YEARFRAC(MAX($P$708*($B763+IF($R$17="Distrato",$I$38-1,0)),IF(AND($L$711=0,$P$708=0),"",$L$711-1),IF($R$17="Distrato",$E763,0)),MIN(S$38,$D$19),$P$20))-SUM($P763:R763)</f>
        <v>#VALUE!</v>
      </c>
      <c r="T763" s="446" t="e">
        <f>IF(OR($B763="",MIN(T$38,$D$19)&lt;MAX($P$708*($B763+IF($R$17="Distrato",$I$38-1,0)),IF(AND($L$711=0,$P$708=0),"",$L$711-1),IF($R$17="Distrato",$E763,0))),0,YEARFRAC(MAX($P$708*($B763+IF($R$17="Distrato",$I$38-1,0)),IF(AND($L$711=0,$P$708=0),"",$L$711-1),IF($R$17="Distrato",$E763,0)),MIN(T$38,$D$19),$P$20))-SUM($P763:S763)</f>
        <v>#VALUE!</v>
      </c>
      <c r="U763" s="446" t="e">
        <f>IF(OR($B763="",MIN(U$38,$D$19)&lt;MAX($P$708*($B763+IF($R$17="Distrato",$I$38-1,0)),IF(AND($L$711=0,$P$708=0),"",$L$711-1),IF($R$17="Distrato",$E763,0))),0,YEARFRAC(MAX($P$708*($B763+IF($R$17="Distrato",$I$38-1,0)),IF(AND($L$711=0,$P$708=0),"",$L$711-1),IF($R$17="Distrato",$E763,0)),MIN(U$38,$D$19),$P$20))-SUM($P763:T763)</f>
        <v>#VALUE!</v>
      </c>
      <c r="V763" s="446" t="e">
        <f>IF(OR($B763="",MIN(V$38,$D$19)&lt;MAX($P$708*($B763+IF($R$17="Distrato",$I$38-1,0)),IF(AND($L$711=0,$P$708=0),"",$L$711-1),IF($R$17="Distrato",$E763,0))),0,YEARFRAC(MAX($P$708*($B763+IF($R$17="Distrato",$I$38-1,0)),IF(AND($L$711=0,$P$708=0),"",$L$711-1),IF($R$17="Distrato",$E763,0)),MIN(V$38,$D$19),$P$20))-SUM($P763:U763)</f>
        <v>#VALUE!</v>
      </c>
      <c r="W763" s="446" t="e">
        <f>IF(OR($B763="",MIN(W$38,$D$19)&lt;MAX($P$708*($B763+IF($R$17="Distrato",$I$38-1,0)),IF(AND($L$711=0,$P$708=0),"",$L$711-1),IF($R$17="Distrato",$E763,0))),0,YEARFRAC(MAX($P$708*($B763+IF($R$17="Distrato",$I$38-1,0)),IF(AND($L$711=0,$P$708=0),"",$L$711-1),IF($R$17="Distrato",$E763,0)),MIN(W$38,$D$19),$P$20))-SUM($P763:V763)</f>
        <v>#VALUE!</v>
      </c>
      <c r="X763" s="446" t="e">
        <f>IF(OR($B763="",MIN(X$38,$D$19)&lt;MAX($P$708*($B763+IF($R$17="Distrato",$I$38-1,0)),IF(AND($L$711=0,$P$708=0),"",$L$711-1),IF($R$17="Distrato",$E763,0))),0,YEARFRAC(MAX($P$708*($B763+IF($R$17="Distrato",$I$38-1,0)),IF(AND($L$711=0,$P$708=0),"",$L$711-1),IF($R$17="Distrato",$E763,0)),MIN(X$38,$D$19),$P$20))-SUM($P763:W763)</f>
        <v>#VALUE!</v>
      </c>
      <c r="Y763" s="446" t="e">
        <f>IF(OR($B763="",MIN(Y$38,$D$19)&lt;MAX($P$708*($B763+IF($R$17="Distrato",$I$38-1,0)),IF(AND($L$711=0,$P$708=0),"",$L$711-1),IF($R$17="Distrato",$E763,0))),0,YEARFRAC(MAX($P$708*($B763+IF($R$17="Distrato",$I$38-1,0)),IF(AND($L$711=0,$P$708=0),"",$L$711-1),IF($R$17="Distrato",$E763,0)),MIN(Y$38,$D$19),$P$20))-SUM($P763:X763)</f>
        <v>#VALUE!</v>
      </c>
      <c r="Z763" s="446" t="e">
        <f>IF(OR($B763="",MIN(Z$38,$D$19)&lt;MAX($P$708*($B763+IF($R$17="Distrato",$I$38-1,0)),IF(AND($L$711=0,$P$708=0),"",$L$711-1),IF($R$17="Distrato",$E763,0))),0,YEARFRAC(MAX($P$708*($B763+IF($R$17="Distrato",$I$38-1,0)),IF(AND($L$711=0,$P$708=0),"",$L$711-1),IF($R$17="Distrato",$E763,0)),MIN(Z$38,$D$19),$P$20))-SUM($P763:Y763)</f>
        <v>#VALUE!</v>
      </c>
      <c r="AA763" s="446" t="e">
        <f>IF(OR($B763="",MIN(AA$38,$D$19)&lt;MAX($P$708*($B763+IF($R$17="Distrato",$I$38-1,0)),IF(AND($L$711=0,$P$708=0),"",$L$711-1),IF($R$17="Distrato",$E763,0))),0,YEARFRAC(MAX($P$708*($B763+IF($R$17="Distrato",$I$38-1,0)),IF(AND($L$711=0,$P$708=0),"",$L$711-1),IF($R$17="Distrato",$E763,0)),MIN(AA$38,$D$19),$P$20))-SUM($P763:Z763)</f>
        <v>#VALUE!</v>
      </c>
      <c r="AB763" s="446" t="e">
        <f>IF(OR($B763="",MIN(AB$38,$D$19)&lt;MAX($P$708*($B763+IF($R$17="Distrato",$I$38-1,0)),IF(AND($L$711=0,$P$708=0),"",$L$711-1),IF($R$17="Distrato",$E763,0))),0,YEARFRAC(MAX($P$708*($B763+IF($R$17="Distrato",$I$38-1,0)),IF(AND($L$711=0,$P$708=0),"",$L$711-1),IF($R$17="Distrato",$E763,0)),MIN(AB$38,$D$19),$P$20))-SUM($P763:AA763)</f>
        <v>#VALUE!</v>
      </c>
      <c r="AC763" s="446" t="e">
        <f>IF(OR($B763="",MIN(AC$38,$D$19)&lt;MAX($P$708*($B763+IF($R$17="Distrato",$I$38-1,0)),IF(AND($L$711=0,$P$708=0),"",$L$711-1),IF($R$17="Distrato",$E763,0))),0,YEARFRAC(MAX($P$708*($B763+IF($R$17="Distrato",$I$38-1,0)),IF(AND($L$711=0,$P$708=0),"",$L$711-1),IF($R$17="Distrato",$E763,0)),MIN(AC$38,$D$19),$P$20))-SUM($P763:AB763)</f>
        <v>#VALUE!</v>
      </c>
      <c r="AD763" s="446" t="e">
        <f>IF(OR($B763="",MIN(AD$38,$D$19)&lt;MAX($P$708*($B763+IF($R$17="Distrato",$I$38-1,0)),IF(AND($L$711=0,$P$708=0),"",$L$711-1),IF($R$17="Distrato",$E763,0))),0,YEARFRAC(MAX($P$708*($B763+IF($R$17="Distrato",$I$38-1,0)),IF(AND($L$711=0,$P$708=0),"",$L$711-1),IF($R$17="Distrato",$E763,0)),MIN(AD$38,$D$19),$P$20))-SUM($P763:AC763)</f>
        <v>#VALUE!</v>
      </c>
      <c r="AE763" s="446" t="e">
        <f>IF(OR($B763="",MIN(AE$38,$D$19)&lt;MAX($P$708*($B763+IF($R$17="Distrato",$I$38-1,0)),IF(AND($L$711=0,$P$708=0),"",$L$711-1),IF($R$17="Distrato",$E763,0))),0,YEARFRAC(MAX($P$708*($B763+IF($R$17="Distrato",$I$38-1,0)),IF(AND($L$711=0,$P$708=0),"",$L$711-1),IF($R$17="Distrato",$E763,0)),MIN(AE$38,$D$19),$P$20))-SUM($P763:AD763)</f>
        <v>#VALUE!</v>
      </c>
      <c r="AF763" s="446" t="e">
        <f>IF(OR($B763="",MIN(AF$38,$D$19)&lt;MAX($P$708*($B763+IF($R$17="Distrato",$I$38-1,0)),IF(AND($L$711=0,$P$708=0),"",$L$711-1),IF($R$17="Distrato",$E763,0))),0,YEARFRAC(MAX($P$708*($B763+IF($R$17="Distrato",$I$38-1,0)),IF(AND($L$711=0,$P$708=0),"",$L$711-1),IF($R$17="Distrato",$E763,0)),MIN(AF$38,$D$19),$P$20))-SUM($P763:AE763)</f>
        <v>#VALUE!</v>
      </c>
      <c r="AG763" s="446" t="e">
        <f>IF(OR($B763="",MIN(AG$38,$D$19)&lt;MAX($P$708*($B763+IF($R$17="Distrato",$I$38-1,0)),IF(AND($L$711=0,$P$708=0),"",$L$711-1),IF($R$17="Distrato",$E763,0))),0,YEARFRAC(MAX($P$708*($B763+IF($R$17="Distrato",$I$38-1,0)),IF(AND($L$711=0,$P$708=0),"",$L$711-1),IF($R$17="Distrato",$E763,0)),MIN(AG$38,$D$19),$P$20))-SUM($P763:AF763)</f>
        <v>#VALUE!</v>
      </c>
      <c r="AH763" s="446" t="e">
        <f>IF(OR($B763="",MIN(AH$38,$D$19)&lt;MAX($P$708*($B763+IF($R$17="Distrato",$I$38-1,0)),IF(AND($L$711=0,$P$708=0),"",$L$711-1),IF($R$17="Distrato",$E763,0))),0,YEARFRAC(MAX($P$708*($B763+IF($R$17="Distrato",$I$38-1,0)),IF(AND($L$711=0,$P$708=0),"",$L$711-1),IF($R$17="Distrato",$E763,0)),MIN(AH$38,$D$19),$P$20))-SUM($P763:AG763)</f>
        <v>#VALUE!</v>
      </c>
      <c r="AI763" s="446" t="e">
        <f>IF(OR($B763="",MIN(AI$38,$D$19)&lt;MAX($P$708*($B763+IF($R$17="Distrato",$I$38-1,0)),IF(AND($L$711=0,$P$708=0),"",$L$711-1),IF($R$17="Distrato",$E763,0))),0,YEARFRAC(MAX($P$708*($B763+IF($R$17="Distrato",$I$38-1,0)),IF(AND($L$711=0,$P$708=0),"",$L$711-1),IF($R$17="Distrato",$E763,0)),MIN(AI$38,$D$19),$P$20))-SUM($P763:AH763)</f>
        <v>#VALUE!</v>
      </c>
      <c r="AJ763" s="446" t="e">
        <f>IF(OR($B763="",MIN(AJ$38,$D$19)&lt;MAX($P$708*($B763+IF($R$17="Distrato",$I$38-1,0)),IF(AND($L$711=0,$P$708=0),"",$L$711-1),IF($R$17="Distrato",$E763,0))),0,YEARFRAC(MAX($P$708*($B763+IF($R$17="Distrato",$I$38-1,0)),IF(AND($L$711=0,$P$708=0),"",$L$711-1),IF($R$17="Distrato",$E763,0)),MIN(AJ$38,$D$19),$P$20))-SUM($P763:AI763)</f>
        <v>#VALUE!</v>
      </c>
      <c r="AK763" s="446" t="e">
        <f>IF(OR($B763="",MIN(AK$38,$D$19)&lt;MAX($P$708*($B763+IF($R$17="Distrato",$I$38-1,0)),IF(AND($L$711=0,$P$708=0),"",$L$711-1),IF($R$17="Distrato",$E763,0))),0,YEARFRAC(MAX($P$708*($B763+IF($R$17="Distrato",$I$38-1,0)),IF(AND($L$711=0,$P$708=0),"",$L$711-1),IF($R$17="Distrato",$E763,0)),MIN(AK$38,$D$19),$P$20))-SUM($P763:AJ763)</f>
        <v>#VALUE!</v>
      </c>
      <c r="AL763" s="446" t="e">
        <f>IF(OR($B763="",MIN(AL$38,$D$19)&lt;MAX($P$708*($B763+IF($R$17="Distrato",$I$38-1,0)),IF(AND($L$711=0,$P$708=0),"",$L$711-1),IF($R$17="Distrato",$E763,0))),0,YEARFRAC(MAX($P$708*($B763+IF($R$17="Distrato",$I$38-1,0)),IF(AND($L$711=0,$P$708=0),"",$L$711-1),IF($R$17="Distrato",$E763,0)),MIN(AL$38,$D$19),$P$20))-SUM($P763:AK763)</f>
        <v>#VALUE!</v>
      </c>
      <c r="AM763" s="446" t="e">
        <f>IF(OR($B763="",MIN(AM$38,$D$19)&lt;MAX($P$708*($B763+IF($R$17="Distrato",$I$38-1,0)),IF(AND($L$711=0,$P$708=0),"",$L$711-1),IF($R$17="Distrato",$E763,0))),0,YEARFRAC(MAX($P$708*($B763+IF($R$17="Distrato",$I$38-1,0)),IF(AND($L$711=0,$P$708=0),"",$L$711-1),IF($R$17="Distrato",$E763,0)),MIN(AM$38,$D$19),$P$20))-SUM($P763:AL763)</f>
        <v>#VALUE!</v>
      </c>
      <c r="AN763" s="446" t="e">
        <f>IF(OR($B763="",MIN(AN$38,$D$19)&lt;MAX($P$708*($B763+IF($R$17="Distrato",$I$38-1,0)),IF(AND($L$711=0,$P$708=0),"",$L$711-1),IF($R$17="Distrato",$E763,0))),0,YEARFRAC(MAX($P$708*($B763+IF($R$17="Distrato",$I$38-1,0)),IF(AND($L$711=0,$P$708=0),"",$L$711-1),IF($R$17="Distrato",$E763,0)),MIN(AN$38,$D$19),$P$20))-SUM($P763:AM763)</f>
        <v>#VALUE!</v>
      </c>
      <c r="AO763" s="446" t="e">
        <f>IF(OR($B763="",MIN(AO$38,$D$19)&lt;MAX($P$708*($B763+IF($R$17="Distrato",$I$38-1,0)),IF(AND($L$711=0,$P$708=0),"",$L$711-1),IF($R$17="Distrato",$E763,0))),0,YEARFRAC(MAX($P$708*($B763+IF($R$17="Distrato",$I$38-1,0)),IF(AND($L$711=0,$P$708=0),"",$L$711-1),IF($R$17="Distrato",$E763,0)),MIN(AO$38,$D$19),$P$20))-SUM($P763:AN763)</f>
        <v>#VALUE!</v>
      </c>
      <c r="AP763" s="446" t="e">
        <f>IF(OR($B763="",MIN(AP$38,$D$19)&lt;MAX($P$708*($B763+IF($R$17="Distrato",$I$38-1,0)),IF(AND($L$711=0,$P$708=0),"",$L$711-1),IF($R$17="Distrato",$E763,0))),0,YEARFRAC(MAX($P$708*($B763+IF($R$17="Distrato",$I$38-1,0)),IF(AND($L$711=0,$P$708=0),"",$L$711-1),IF($R$17="Distrato",$E763,0)),MIN(AP$38,$D$19),$P$20))-SUM($P763:AO763)</f>
        <v>#VALUE!</v>
      </c>
      <c r="AQ763" s="446" t="e">
        <f>IF(OR($B763="",MIN(AQ$38,$D$19)&lt;MAX($P$708*($B763+IF($R$17="Distrato",$I$38-1,0)),IF(AND($L$711=0,$P$708=0),"",$L$711-1),IF($R$17="Distrato",$E763,0))),0,YEARFRAC(MAX($P$708*($B763+IF($R$17="Distrato",$I$38-1,0)),IF(AND($L$711=0,$P$708=0),"",$L$711-1),IF($R$17="Distrato",$E763,0)),MIN(AQ$38,$D$19),$P$20))-SUM($P763:AP763)</f>
        <v>#VALUE!</v>
      </c>
      <c r="AR763" s="446" t="e">
        <f>IF(OR($B763="",MIN(AR$38,$D$19)&lt;MAX($P$708*($B763+IF($R$17="Distrato",$I$38-1,0)),IF(AND($L$711=0,$P$708=0),"",$L$711-1),IF($R$17="Distrato",$E763,0))),0,YEARFRAC(MAX($P$708*($B763+IF($R$17="Distrato",$I$38-1,0)),IF(AND($L$711=0,$P$708=0),"",$L$711-1),IF($R$17="Distrato",$E763,0)),MIN(AR$38,$D$19),$P$20))-SUM($P763:AQ763)</f>
        <v>#VALUE!</v>
      </c>
      <c r="AS763" s="446" t="e">
        <f>IF(OR($B763="",MIN(AS$38,$D$19)&lt;MAX($P$708*($B763+IF($R$17="Distrato",$I$38-1,0)),IF(AND($L$711=0,$P$708=0),"",$L$711-1),IF($R$17="Distrato",$E763,0))),0,YEARFRAC(MAX($P$708*($B763+IF($R$17="Distrato",$I$38-1,0)),IF(AND($L$711=0,$P$708=0),"",$L$711-1),IF($R$17="Distrato",$E763,0)),MIN(AS$38,$D$19),$P$20))-SUM($P763:AR763)</f>
        <v>#VALUE!</v>
      </c>
      <c r="AT763" s="446" t="e">
        <f>IF(OR($B763="",MIN(AT$38,$D$19)&lt;MAX($P$708*($B763+IF($R$17="Distrato",$I$38-1,0)),IF(AND($L$711=0,$P$708=0),"",$L$711-1),IF($R$17="Distrato",$E763,0))),0,YEARFRAC(MAX($P$708*($B763+IF($R$17="Distrato",$I$38-1,0)),IF(AND($L$711=0,$P$708=0),"",$L$711-1),IF($R$17="Distrato",$E763,0)),MIN(AT$38,$D$19),$P$20))-SUM($P763:AS763)</f>
        <v>#VALUE!</v>
      </c>
      <c r="AU763" s="446" t="e">
        <f>IF(OR($B763="",MIN(AU$38,$D$19)&lt;MAX($P$708*($B763+IF($R$17="Distrato",$I$38-1,0)),IF(AND($L$711=0,$P$708=0),"",$L$711-1),IF($R$17="Distrato",$E763,0))),0,YEARFRAC(MAX($P$708*($B763+IF($R$17="Distrato",$I$38-1,0)),IF(AND($L$711=0,$P$708=0),"",$L$711-1),IF($R$17="Distrato",$E763,0)),MIN(AU$38,$D$19),$P$20))-SUM($P763:AT763)</f>
        <v>#VALUE!</v>
      </c>
      <c r="AV763" s="446" t="e">
        <f>IF(OR($B763="",MIN(AV$38,$D$19)&lt;MAX($P$708*($B763+IF($R$17="Distrato",$I$38-1,0)),IF(AND($L$711=0,$P$708=0),"",$L$711-1),IF($R$17="Distrato",$E763,0))),0,YEARFRAC(MAX($P$708*($B763+IF($R$17="Distrato",$I$38-1,0)),IF(AND($L$711=0,$P$708=0),"",$L$711-1),IF($R$17="Distrato",$E763,0)),MIN(AV$38,$D$19),$P$20))-SUM($P763:AU763)</f>
        <v>#VALUE!</v>
      </c>
      <c r="AW763" s="446" t="e">
        <f>IF(OR($B763="",MIN(AW$38,$D$19)&lt;MAX($P$708*($B763+IF($R$17="Distrato",$I$38-1,0)),IF(AND($L$711=0,$P$708=0),"",$L$711-1),IF($R$17="Distrato",$E763,0))),0,YEARFRAC(MAX($P$708*($B763+IF($R$17="Distrato",$I$38-1,0)),IF(AND($L$711=0,$P$708=0),"",$L$711-1),IF($R$17="Distrato",$E763,0)),MIN(AW$38,$D$19),$P$20))-SUM($P763:AV763)</f>
        <v>#VALUE!</v>
      </c>
      <c r="AX763" s="446" t="e">
        <f>IF(OR($B763="",MIN(AX$38,$D$19)&lt;MAX($P$708*($B763+IF($R$17="Distrato",$I$38-1,0)),IF(AND($L$711=0,$P$708=0),"",$L$711-1),IF($R$17="Distrato",$E763,0))),0,YEARFRAC(MAX($P$708*($B763+IF($R$17="Distrato",$I$38-1,0)),IF(AND($L$711=0,$P$708=0),"",$L$711-1),IF($R$17="Distrato",$E763,0)),MIN(AX$38,$D$19),$P$20))-SUM($P763:AW763)</f>
        <v>#VALUE!</v>
      </c>
      <c r="AY763" s="446" t="e">
        <f>IF(OR($B763="",MIN(AY$38,$D$19)&lt;MAX($P$708*($B763+IF($R$17="Distrato",$I$38-1,0)),IF(AND($L$711=0,$P$708=0),"",$L$711-1),IF($R$17="Distrato",$E763,0))),0,YEARFRAC(MAX($P$708*($B763+IF($R$17="Distrato",$I$38-1,0)),IF(AND($L$711=0,$P$708=0),"",$L$711-1),IF($R$17="Distrato",$E763,0)),MIN(AY$38,$D$19),$P$20))-SUM($P763:AX763)</f>
        <v>#VALUE!</v>
      </c>
      <c r="AZ763" s="446" t="e">
        <f>IF(OR($B763="",MIN(AZ$38,$D$19)&lt;MAX($P$708*($B763+IF($R$17="Distrato",$I$38-1,0)),IF(AND($L$711=0,$P$708=0),"",$L$711-1),IF($R$17="Distrato",$E763,0))),0,YEARFRAC(MAX($P$708*($B763+IF($R$17="Distrato",$I$38-1,0)),IF(AND($L$711=0,$P$708=0),"",$L$711-1),IF($R$17="Distrato",$E763,0)),MIN(AZ$38,$D$19),$P$20))-SUM($P763:AY763)</f>
        <v>#VALUE!</v>
      </c>
      <c r="BA763" s="446" t="e">
        <f>IF(OR($B763="",MIN(BA$38,$D$19)&lt;MAX($P$708*($B763+IF($R$17="Distrato",$I$38-1,0)),IF(AND($L$711=0,$P$708=0),"",$L$711-1),IF($R$17="Distrato",$E763,0))),0,YEARFRAC(MAX($P$708*($B763+IF($R$17="Distrato",$I$38-1,0)),IF(AND($L$711=0,$P$708=0),"",$L$711-1),IF($R$17="Distrato",$E763,0)),MIN(BA$38,$D$19),$P$20))-SUM($P763:AZ763)</f>
        <v>#VALUE!</v>
      </c>
      <c r="BB763" s="447"/>
    </row>
    <row r="764" spans="1:54" s="446" customFormat="1" ht="11.25" hidden="1" customHeight="1" x14ac:dyDescent="0.2">
      <c r="A764" s="235"/>
      <c r="B764" s="236"/>
      <c r="C764" s="29" t="str">
        <f>IF(B764="","",IF($L$709=$BL$25,VLOOKUP(DATE(YEAR($D$19),MONTH($D$19)-1,1),ÍNDICES!$A:$DE,HLOOKUP($BL$25,ÍNDICES!$B$3:$T$4,2)+11)-VLOOKUP(B764,ÍNDICES!$A:$DE,HLOOKUP($BL$25,ÍNDICES!$B$3:$T$4,2)+11)+1%,IF(C$712=$W$26,$J$35,IF(ISERROR(IF(B764&gt;$D$19,1,VLOOKUP(DATE(YEAR(B764),MONTH(B764)+IF($C$709=$S$23,1,0),1),ÍNDICES!$A:$DE,$Z$709+1))),"",IF(B764&gt;$D$19,1,VLOOKUP(DATE(YEAR(B764),MONTH(B764)+IF($C$709=$S$23,1,0),1),ÍNDICES!$A:$DE,$Z$709+1))))))</f>
        <v/>
      </c>
      <c r="D764" s="155"/>
      <c r="E764" s="88"/>
      <c r="F764" s="88"/>
      <c r="G764" s="88"/>
      <c r="H764" s="118"/>
      <c r="I764" s="182">
        <f t="shared" si="115"/>
        <v>0</v>
      </c>
      <c r="J764" s="20">
        <f t="shared" ca="1" si="116"/>
        <v>0</v>
      </c>
      <c r="K764" s="5">
        <f t="shared" ca="1" si="117"/>
        <v>0</v>
      </c>
      <c r="L764" s="61">
        <f t="shared" ca="1" si="118"/>
        <v>0</v>
      </c>
      <c r="M764" s="64">
        <f t="shared" si="119"/>
        <v>0</v>
      </c>
      <c r="N764" s="151"/>
      <c r="O764" s="5">
        <f t="shared" ca="1" si="120"/>
        <v>0</v>
      </c>
      <c r="P764" s="446" t="e">
        <f t="shared" si="121"/>
        <v>#VALUE!</v>
      </c>
      <c r="Q764" s="446" t="e">
        <f>IF(OR($B764="",MIN(Q$38,$D$19)&lt;MAX($P$708*($B764+IF($R$17="Distrato",$I$38-1,0)),IF(AND($L$711=0,$P$708=0),"",$L$711-1),IF($R$17="Distrato",$E764,0))),0,YEARFRAC(MAX($P$708*($B764+IF($R$17="Distrato",$I$38-1,0)),IF(AND($L$711=0,$P$708=0),"",$L$711-1),IF($R$17="Distrato",$E764,0)),MIN(Q$38,$D$19),$P$20))-SUM($P764:P764)</f>
        <v>#VALUE!</v>
      </c>
      <c r="R764" s="446" t="e">
        <f>IF(OR($B764="",MIN(R$38,$D$19)&lt;MAX($P$708*($B764+IF($R$17="Distrato",$I$38-1,0)),IF(AND($L$711=0,$P$708=0),"",$L$711-1),IF($R$17="Distrato",$E764,0))),0,YEARFRAC(MAX($P$708*($B764+IF($R$17="Distrato",$I$38-1,0)),IF(AND($L$711=0,$P$708=0),"",$L$711-1),IF($R$17="Distrato",$E764,0)),MIN(R$38,$D$19),$P$20))-SUM($P764:Q764)</f>
        <v>#VALUE!</v>
      </c>
      <c r="S764" s="446" t="e">
        <f>IF(OR($B764="",MIN(S$38,$D$19)&lt;MAX($P$708*($B764+IF($R$17="Distrato",$I$38-1,0)),IF(AND($L$711=0,$P$708=0),"",$L$711-1),IF($R$17="Distrato",$E764,0))),0,YEARFRAC(MAX($P$708*($B764+IF($R$17="Distrato",$I$38-1,0)),IF(AND($L$711=0,$P$708=0),"",$L$711-1),IF($R$17="Distrato",$E764,0)),MIN(S$38,$D$19),$P$20))-SUM($P764:R764)</f>
        <v>#VALUE!</v>
      </c>
      <c r="T764" s="446" t="e">
        <f>IF(OR($B764="",MIN(T$38,$D$19)&lt;MAX($P$708*($B764+IF($R$17="Distrato",$I$38-1,0)),IF(AND($L$711=0,$P$708=0),"",$L$711-1),IF($R$17="Distrato",$E764,0))),0,YEARFRAC(MAX($P$708*($B764+IF($R$17="Distrato",$I$38-1,0)),IF(AND($L$711=0,$P$708=0),"",$L$711-1),IF($R$17="Distrato",$E764,0)),MIN(T$38,$D$19),$P$20))-SUM($P764:S764)</f>
        <v>#VALUE!</v>
      </c>
      <c r="U764" s="446" t="e">
        <f>IF(OR($B764="",MIN(U$38,$D$19)&lt;MAX($P$708*($B764+IF($R$17="Distrato",$I$38-1,0)),IF(AND($L$711=0,$P$708=0),"",$L$711-1),IF($R$17="Distrato",$E764,0))),0,YEARFRAC(MAX($P$708*($B764+IF($R$17="Distrato",$I$38-1,0)),IF(AND($L$711=0,$P$708=0),"",$L$711-1),IF($R$17="Distrato",$E764,0)),MIN(U$38,$D$19),$P$20))-SUM($P764:T764)</f>
        <v>#VALUE!</v>
      </c>
      <c r="V764" s="446" t="e">
        <f>IF(OR($B764="",MIN(V$38,$D$19)&lt;MAX($P$708*($B764+IF($R$17="Distrato",$I$38-1,0)),IF(AND($L$711=0,$P$708=0),"",$L$711-1),IF($R$17="Distrato",$E764,0))),0,YEARFRAC(MAX($P$708*($B764+IF($R$17="Distrato",$I$38-1,0)),IF(AND($L$711=0,$P$708=0),"",$L$711-1),IF($R$17="Distrato",$E764,0)),MIN(V$38,$D$19),$P$20))-SUM($P764:U764)</f>
        <v>#VALUE!</v>
      </c>
      <c r="W764" s="446" t="e">
        <f>IF(OR($B764="",MIN(W$38,$D$19)&lt;MAX($P$708*($B764+IF($R$17="Distrato",$I$38-1,0)),IF(AND($L$711=0,$P$708=0),"",$L$711-1),IF($R$17="Distrato",$E764,0))),0,YEARFRAC(MAX($P$708*($B764+IF($R$17="Distrato",$I$38-1,0)),IF(AND($L$711=0,$P$708=0),"",$L$711-1),IF($R$17="Distrato",$E764,0)),MIN(W$38,$D$19),$P$20))-SUM($P764:V764)</f>
        <v>#VALUE!</v>
      </c>
      <c r="X764" s="446" t="e">
        <f>IF(OR($B764="",MIN(X$38,$D$19)&lt;MAX($P$708*($B764+IF($R$17="Distrato",$I$38-1,0)),IF(AND($L$711=0,$P$708=0),"",$L$711-1),IF($R$17="Distrato",$E764,0))),0,YEARFRAC(MAX($P$708*($B764+IF($R$17="Distrato",$I$38-1,0)),IF(AND($L$711=0,$P$708=0),"",$L$711-1),IF($R$17="Distrato",$E764,0)),MIN(X$38,$D$19),$P$20))-SUM($P764:W764)</f>
        <v>#VALUE!</v>
      </c>
      <c r="Y764" s="446" t="e">
        <f>IF(OR($B764="",MIN(Y$38,$D$19)&lt;MAX($P$708*($B764+IF($R$17="Distrato",$I$38-1,0)),IF(AND($L$711=0,$P$708=0),"",$L$711-1),IF($R$17="Distrato",$E764,0))),0,YEARFRAC(MAX($P$708*($B764+IF($R$17="Distrato",$I$38-1,0)),IF(AND($L$711=0,$P$708=0),"",$L$711-1),IF($R$17="Distrato",$E764,0)),MIN(Y$38,$D$19),$P$20))-SUM($P764:X764)</f>
        <v>#VALUE!</v>
      </c>
      <c r="Z764" s="446" t="e">
        <f>IF(OR($B764="",MIN(Z$38,$D$19)&lt;MAX($P$708*($B764+IF($R$17="Distrato",$I$38-1,0)),IF(AND($L$711=0,$P$708=0),"",$L$711-1),IF($R$17="Distrato",$E764,0))),0,YEARFRAC(MAX($P$708*($B764+IF($R$17="Distrato",$I$38-1,0)),IF(AND($L$711=0,$P$708=0),"",$L$711-1),IF($R$17="Distrato",$E764,0)),MIN(Z$38,$D$19),$P$20))-SUM($P764:Y764)</f>
        <v>#VALUE!</v>
      </c>
      <c r="AA764" s="446" t="e">
        <f>IF(OR($B764="",MIN(AA$38,$D$19)&lt;MAX($P$708*($B764+IF($R$17="Distrato",$I$38-1,0)),IF(AND($L$711=0,$P$708=0),"",$L$711-1),IF($R$17="Distrato",$E764,0))),0,YEARFRAC(MAX($P$708*($B764+IF($R$17="Distrato",$I$38-1,0)),IF(AND($L$711=0,$P$708=0),"",$L$711-1),IF($R$17="Distrato",$E764,0)),MIN(AA$38,$D$19),$P$20))-SUM($P764:Z764)</f>
        <v>#VALUE!</v>
      </c>
      <c r="AB764" s="446" t="e">
        <f>IF(OR($B764="",MIN(AB$38,$D$19)&lt;MAX($P$708*($B764+IF($R$17="Distrato",$I$38-1,0)),IF(AND($L$711=0,$P$708=0),"",$L$711-1),IF($R$17="Distrato",$E764,0))),0,YEARFRAC(MAX($P$708*($B764+IF($R$17="Distrato",$I$38-1,0)),IF(AND($L$711=0,$P$708=0),"",$L$711-1),IF($R$17="Distrato",$E764,0)),MIN(AB$38,$D$19),$P$20))-SUM($P764:AA764)</f>
        <v>#VALUE!</v>
      </c>
      <c r="AC764" s="446" t="e">
        <f>IF(OR($B764="",MIN(AC$38,$D$19)&lt;MAX($P$708*($B764+IF($R$17="Distrato",$I$38-1,0)),IF(AND($L$711=0,$P$708=0),"",$L$711-1),IF($R$17="Distrato",$E764,0))),0,YEARFRAC(MAX($P$708*($B764+IF($R$17="Distrato",$I$38-1,0)),IF(AND($L$711=0,$P$708=0),"",$L$711-1),IF($R$17="Distrato",$E764,0)),MIN(AC$38,$D$19),$P$20))-SUM($P764:AB764)</f>
        <v>#VALUE!</v>
      </c>
      <c r="AD764" s="446" t="e">
        <f>IF(OR($B764="",MIN(AD$38,$D$19)&lt;MAX($P$708*($B764+IF($R$17="Distrato",$I$38-1,0)),IF(AND($L$711=0,$P$708=0),"",$L$711-1),IF($R$17="Distrato",$E764,0))),0,YEARFRAC(MAX($P$708*($B764+IF($R$17="Distrato",$I$38-1,0)),IF(AND($L$711=0,$P$708=0),"",$L$711-1),IF($R$17="Distrato",$E764,0)),MIN(AD$38,$D$19),$P$20))-SUM($P764:AC764)</f>
        <v>#VALUE!</v>
      </c>
      <c r="AE764" s="446" t="e">
        <f>IF(OR($B764="",MIN(AE$38,$D$19)&lt;MAX($P$708*($B764+IF($R$17="Distrato",$I$38-1,0)),IF(AND($L$711=0,$P$708=0),"",$L$711-1),IF($R$17="Distrato",$E764,0))),0,YEARFRAC(MAX($P$708*($B764+IF($R$17="Distrato",$I$38-1,0)),IF(AND($L$711=0,$P$708=0),"",$L$711-1),IF($R$17="Distrato",$E764,0)),MIN(AE$38,$D$19),$P$20))-SUM($P764:AD764)</f>
        <v>#VALUE!</v>
      </c>
      <c r="AF764" s="446" t="e">
        <f>IF(OR($B764="",MIN(AF$38,$D$19)&lt;MAX($P$708*($B764+IF($R$17="Distrato",$I$38-1,0)),IF(AND($L$711=0,$P$708=0),"",$L$711-1),IF($R$17="Distrato",$E764,0))),0,YEARFRAC(MAX($P$708*($B764+IF($R$17="Distrato",$I$38-1,0)),IF(AND($L$711=0,$P$708=0),"",$L$711-1),IF($R$17="Distrato",$E764,0)),MIN(AF$38,$D$19),$P$20))-SUM($P764:AE764)</f>
        <v>#VALUE!</v>
      </c>
      <c r="AG764" s="446" t="e">
        <f>IF(OR($B764="",MIN(AG$38,$D$19)&lt;MAX($P$708*($B764+IF($R$17="Distrato",$I$38-1,0)),IF(AND($L$711=0,$P$708=0),"",$L$711-1),IF($R$17="Distrato",$E764,0))),0,YEARFRAC(MAX($P$708*($B764+IF($R$17="Distrato",$I$38-1,0)),IF(AND($L$711=0,$P$708=0),"",$L$711-1),IF($R$17="Distrato",$E764,0)),MIN(AG$38,$D$19),$P$20))-SUM($P764:AF764)</f>
        <v>#VALUE!</v>
      </c>
      <c r="AH764" s="446" t="e">
        <f>IF(OR($B764="",MIN(AH$38,$D$19)&lt;MAX($P$708*($B764+IF($R$17="Distrato",$I$38-1,0)),IF(AND($L$711=0,$P$708=0),"",$L$711-1),IF($R$17="Distrato",$E764,0))),0,YEARFRAC(MAX($P$708*($B764+IF($R$17="Distrato",$I$38-1,0)),IF(AND($L$711=0,$P$708=0),"",$L$711-1),IF($R$17="Distrato",$E764,0)),MIN(AH$38,$D$19),$P$20))-SUM($P764:AG764)</f>
        <v>#VALUE!</v>
      </c>
      <c r="AI764" s="446" t="e">
        <f>IF(OR($B764="",MIN(AI$38,$D$19)&lt;MAX($P$708*($B764+IF($R$17="Distrato",$I$38-1,0)),IF(AND($L$711=0,$P$708=0),"",$L$711-1),IF($R$17="Distrato",$E764,0))),0,YEARFRAC(MAX($P$708*($B764+IF($R$17="Distrato",$I$38-1,0)),IF(AND($L$711=0,$P$708=0),"",$L$711-1),IF($R$17="Distrato",$E764,0)),MIN(AI$38,$D$19),$P$20))-SUM($P764:AH764)</f>
        <v>#VALUE!</v>
      </c>
      <c r="AJ764" s="446" t="e">
        <f>IF(OR($B764="",MIN(AJ$38,$D$19)&lt;MAX($P$708*($B764+IF($R$17="Distrato",$I$38-1,0)),IF(AND($L$711=0,$P$708=0),"",$L$711-1),IF($R$17="Distrato",$E764,0))),0,YEARFRAC(MAX($P$708*($B764+IF($R$17="Distrato",$I$38-1,0)),IF(AND($L$711=0,$P$708=0),"",$L$711-1),IF($R$17="Distrato",$E764,0)),MIN(AJ$38,$D$19),$P$20))-SUM($P764:AI764)</f>
        <v>#VALUE!</v>
      </c>
      <c r="AK764" s="446" t="e">
        <f>IF(OR($B764="",MIN(AK$38,$D$19)&lt;MAX($P$708*($B764+IF($R$17="Distrato",$I$38-1,0)),IF(AND($L$711=0,$P$708=0),"",$L$711-1),IF($R$17="Distrato",$E764,0))),0,YEARFRAC(MAX($P$708*($B764+IF($R$17="Distrato",$I$38-1,0)),IF(AND($L$711=0,$P$708=0),"",$L$711-1),IF($R$17="Distrato",$E764,0)),MIN(AK$38,$D$19),$P$20))-SUM($P764:AJ764)</f>
        <v>#VALUE!</v>
      </c>
      <c r="AL764" s="446" t="e">
        <f>IF(OR($B764="",MIN(AL$38,$D$19)&lt;MAX($P$708*($B764+IF($R$17="Distrato",$I$38-1,0)),IF(AND($L$711=0,$P$708=0),"",$L$711-1),IF($R$17="Distrato",$E764,0))),0,YEARFRAC(MAX($P$708*($B764+IF($R$17="Distrato",$I$38-1,0)),IF(AND($L$711=0,$P$708=0),"",$L$711-1),IF($R$17="Distrato",$E764,0)),MIN(AL$38,$D$19),$P$20))-SUM($P764:AK764)</f>
        <v>#VALUE!</v>
      </c>
      <c r="AM764" s="446" t="e">
        <f>IF(OR($B764="",MIN(AM$38,$D$19)&lt;MAX($P$708*($B764+IF($R$17="Distrato",$I$38-1,0)),IF(AND($L$711=0,$P$708=0),"",$L$711-1),IF($R$17="Distrato",$E764,0))),0,YEARFRAC(MAX($P$708*($B764+IF($R$17="Distrato",$I$38-1,0)),IF(AND($L$711=0,$P$708=0),"",$L$711-1),IF($R$17="Distrato",$E764,0)),MIN(AM$38,$D$19),$P$20))-SUM($P764:AL764)</f>
        <v>#VALUE!</v>
      </c>
      <c r="AN764" s="446" t="e">
        <f>IF(OR($B764="",MIN(AN$38,$D$19)&lt;MAX($P$708*($B764+IF($R$17="Distrato",$I$38-1,0)),IF(AND($L$711=0,$P$708=0),"",$L$711-1),IF($R$17="Distrato",$E764,0))),0,YEARFRAC(MAX($P$708*($B764+IF($R$17="Distrato",$I$38-1,0)),IF(AND($L$711=0,$P$708=0),"",$L$711-1),IF($R$17="Distrato",$E764,0)),MIN(AN$38,$D$19),$P$20))-SUM($P764:AM764)</f>
        <v>#VALUE!</v>
      </c>
      <c r="AO764" s="446" t="e">
        <f>IF(OR($B764="",MIN(AO$38,$D$19)&lt;MAX($P$708*($B764+IF($R$17="Distrato",$I$38-1,0)),IF(AND($L$711=0,$P$708=0),"",$L$711-1),IF($R$17="Distrato",$E764,0))),0,YEARFRAC(MAX($P$708*($B764+IF($R$17="Distrato",$I$38-1,0)),IF(AND($L$711=0,$P$708=0),"",$L$711-1),IF($R$17="Distrato",$E764,0)),MIN(AO$38,$D$19),$P$20))-SUM($P764:AN764)</f>
        <v>#VALUE!</v>
      </c>
      <c r="AP764" s="446" t="e">
        <f>IF(OR($B764="",MIN(AP$38,$D$19)&lt;MAX($P$708*($B764+IF($R$17="Distrato",$I$38-1,0)),IF(AND($L$711=0,$P$708=0),"",$L$711-1),IF($R$17="Distrato",$E764,0))),0,YEARFRAC(MAX($P$708*($B764+IF($R$17="Distrato",$I$38-1,0)),IF(AND($L$711=0,$P$708=0),"",$L$711-1),IF($R$17="Distrato",$E764,0)),MIN(AP$38,$D$19),$P$20))-SUM($P764:AO764)</f>
        <v>#VALUE!</v>
      </c>
      <c r="AQ764" s="446" t="e">
        <f>IF(OR($B764="",MIN(AQ$38,$D$19)&lt;MAX($P$708*($B764+IF($R$17="Distrato",$I$38-1,0)),IF(AND($L$711=0,$P$708=0),"",$L$711-1),IF($R$17="Distrato",$E764,0))),0,YEARFRAC(MAX($P$708*($B764+IF($R$17="Distrato",$I$38-1,0)),IF(AND($L$711=0,$P$708=0),"",$L$711-1),IF($R$17="Distrato",$E764,0)),MIN(AQ$38,$D$19),$P$20))-SUM($P764:AP764)</f>
        <v>#VALUE!</v>
      </c>
      <c r="AR764" s="446" t="e">
        <f>IF(OR($B764="",MIN(AR$38,$D$19)&lt;MAX($P$708*($B764+IF($R$17="Distrato",$I$38-1,0)),IF(AND($L$711=0,$P$708=0),"",$L$711-1),IF($R$17="Distrato",$E764,0))),0,YEARFRAC(MAX($P$708*($B764+IF($R$17="Distrato",$I$38-1,0)),IF(AND($L$711=0,$P$708=0),"",$L$711-1),IF($R$17="Distrato",$E764,0)),MIN(AR$38,$D$19),$P$20))-SUM($P764:AQ764)</f>
        <v>#VALUE!</v>
      </c>
      <c r="AS764" s="446" t="e">
        <f>IF(OR($B764="",MIN(AS$38,$D$19)&lt;MAX($P$708*($B764+IF($R$17="Distrato",$I$38-1,0)),IF(AND($L$711=0,$P$708=0),"",$L$711-1),IF($R$17="Distrato",$E764,0))),0,YEARFRAC(MAX($P$708*($B764+IF($R$17="Distrato",$I$38-1,0)),IF(AND($L$711=0,$P$708=0),"",$L$711-1),IF($R$17="Distrato",$E764,0)),MIN(AS$38,$D$19),$P$20))-SUM($P764:AR764)</f>
        <v>#VALUE!</v>
      </c>
      <c r="AT764" s="446" t="e">
        <f>IF(OR($B764="",MIN(AT$38,$D$19)&lt;MAX($P$708*($B764+IF($R$17="Distrato",$I$38-1,0)),IF(AND($L$711=0,$P$708=0),"",$L$711-1),IF($R$17="Distrato",$E764,0))),0,YEARFRAC(MAX($P$708*($B764+IF($R$17="Distrato",$I$38-1,0)),IF(AND($L$711=0,$P$708=0),"",$L$711-1),IF($R$17="Distrato",$E764,0)),MIN(AT$38,$D$19),$P$20))-SUM($P764:AS764)</f>
        <v>#VALUE!</v>
      </c>
      <c r="AU764" s="446" t="e">
        <f>IF(OR($B764="",MIN(AU$38,$D$19)&lt;MAX($P$708*($B764+IF($R$17="Distrato",$I$38-1,0)),IF(AND($L$711=0,$P$708=0),"",$L$711-1),IF($R$17="Distrato",$E764,0))),0,YEARFRAC(MAX($P$708*($B764+IF($R$17="Distrato",$I$38-1,0)),IF(AND($L$711=0,$P$708=0),"",$L$711-1),IF($R$17="Distrato",$E764,0)),MIN(AU$38,$D$19),$P$20))-SUM($P764:AT764)</f>
        <v>#VALUE!</v>
      </c>
      <c r="AV764" s="446" t="e">
        <f>IF(OR($B764="",MIN(AV$38,$D$19)&lt;MAX($P$708*($B764+IF($R$17="Distrato",$I$38-1,0)),IF(AND($L$711=0,$P$708=0),"",$L$711-1),IF($R$17="Distrato",$E764,0))),0,YEARFRAC(MAX($P$708*($B764+IF($R$17="Distrato",$I$38-1,0)),IF(AND($L$711=0,$P$708=0),"",$L$711-1),IF($R$17="Distrato",$E764,0)),MIN(AV$38,$D$19),$P$20))-SUM($P764:AU764)</f>
        <v>#VALUE!</v>
      </c>
      <c r="AW764" s="446" t="e">
        <f>IF(OR($B764="",MIN(AW$38,$D$19)&lt;MAX($P$708*($B764+IF($R$17="Distrato",$I$38-1,0)),IF(AND($L$711=0,$P$708=0),"",$L$711-1),IF($R$17="Distrato",$E764,0))),0,YEARFRAC(MAX($P$708*($B764+IF($R$17="Distrato",$I$38-1,0)),IF(AND($L$711=0,$P$708=0),"",$L$711-1),IF($R$17="Distrato",$E764,0)),MIN(AW$38,$D$19),$P$20))-SUM($P764:AV764)</f>
        <v>#VALUE!</v>
      </c>
      <c r="AX764" s="446" t="e">
        <f>IF(OR($B764="",MIN(AX$38,$D$19)&lt;MAX($P$708*($B764+IF($R$17="Distrato",$I$38-1,0)),IF(AND($L$711=0,$P$708=0),"",$L$711-1),IF($R$17="Distrato",$E764,0))),0,YEARFRAC(MAX($P$708*($B764+IF($R$17="Distrato",$I$38-1,0)),IF(AND($L$711=0,$P$708=0),"",$L$711-1),IF($R$17="Distrato",$E764,0)),MIN(AX$38,$D$19),$P$20))-SUM($P764:AW764)</f>
        <v>#VALUE!</v>
      </c>
      <c r="AY764" s="446" t="e">
        <f>IF(OR($B764="",MIN(AY$38,$D$19)&lt;MAX($P$708*($B764+IF($R$17="Distrato",$I$38-1,0)),IF(AND($L$711=0,$P$708=0),"",$L$711-1),IF($R$17="Distrato",$E764,0))),0,YEARFRAC(MAX($P$708*($B764+IF($R$17="Distrato",$I$38-1,0)),IF(AND($L$711=0,$P$708=0),"",$L$711-1),IF($R$17="Distrato",$E764,0)),MIN(AY$38,$D$19),$P$20))-SUM($P764:AX764)</f>
        <v>#VALUE!</v>
      </c>
      <c r="AZ764" s="446" t="e">
        <f>IF(OR($B764="",MIN(AZ$38,$D$19)&lt;MAX($P$708*($B764+IF($R$17="Distrato",$I$38-1,0)),IF(AND($L$711=0,$P$708=0),"",$L$711-1),IF($R$17="Distrato",$E764,0))),0,YEARFRAC(MAX($P$708*($B764+IF($R$17="Distrato",$I$38-1,0)),IF(AND($L$711=0,$P$708=0),"",$L$711-1),IF($R$17="Distrato",$E764,0)),MIN(AZ$38,$D$19),$P$20))-SUM($P764:AY764)</f>
        <v>#VALUE!</v>
      </c>
      <c r="BA764" s="446" t="e">
        <f>IF(OR($B764="",MIN(BA$38,$D$19)&lt;MAX($P$708*($B764+IF($R$17="Distrato",$I$38-1,0)),IF(AND($L$711=0,$P$708=0),"",$L$711-1),IF($R$17="Distrato",$E764,0))),0,YEARFRAC(MAX($P$708*($B764+IF($R$17="Distrato",$I$38-1,0)),IF(AND($L$711=0,$P$708=0),"",$L$711-1),IF($R$17="Distrato",$E764,0)),MIN(BA$38,$D$19),$P$20))-SUM($P764:AZ764)</f>
        <v>#VALUE!</v>
      </c>
      <c r="BB764" s="447"/>
    </row>
    <row r="765" spans="1:54" s="446" customFormat="1" ht="11.25" hidden="1" customHeight="1" x14ac:dyDescent="0.2">
      <c r="A765" s="235"/>
      <c r="B765" s="236"/>
      <c r="C765" s="29" t="str">
        <f>IF(B765="","",IF($L$709=$BL$25,VLOOKUP(DATE(YEAR($D$19),MONTH($D$19)-1,1),ÍNDICES!$A:$DE,HLOOKUP($BL$25,ÍNDICES!$B$3:$T$4,2)+11)-VLOOKUP(B765,ÍNDICES!$A:$DE,HLOOKUP($BL$25,ÍNDICES!$B$3:$T$4,2)+11)+1%,IF(C$712=$W$26,$J$35,IF(ISERROR(IF(B765&gt;$D$19,1,VLOOKUP(DATE(YEAR(B765),MONTH(B765)+IF($C$709=$S$23,1,0),1),ÍNDICES!$A:$DE,$Z$709+1))),"",IF(B765&gt;$D$19,1,VLOOKUP(DATE(YEAR(B765),MONTH(B765)+IF($C$709=$S$23,1,0),1),ÍNDICES!$A:$DE,$Z$709+1))))))</f>
        <v/>
      </c>
      <c r="D765" s="155"/>
      <c r="E765" s="88"/>
      <c r="F765" s="88"/>
      <c r="G765" s="88"/>
      <c r="H765" s="118"/>
      <c r="I765" s="182">
        <f t="shared" si="115"/>
        <v>0</v>
      </c>
      <c r="J765" s="20">
        <f t="shared" ca="1" si="116"/>
        <v>0</v>
      </c>
      <c r="K765" s="5">
        <f t="shared" ca="1" si="117"/>
        <v>0</v>
      </c>
      <c r="L765" s="61">
        <f t="shared" ca="1" si="118"/>
        <v>0</v>
      </c>
      <c r="M765" s="64">
        <f t="shared" si="119"/>
        <v>0</v>
      </c>
      <c r="N765" s="151"/>
      <c r="O765" s="5">
        <f t="shared" ca="1" si="120"/>
        <v>0</v>
      </c>
      <c r="P765" s="446" t="e">
        <f t="shared" si="121"/>
        <v>#VALUE!</v>
      </c>
      <c r="Q765" s="446" t="e">
        <f>IF(OR($B765="",MIN(Q$38,$D$19)&lt;MAX($P$708*($B765+IF($R$17="Distrato",$I$38-1,0)),IF(AND($L$711=0,$P$708=0),"",$L$711-1),IF($R$17="Distrato",$E765,0))),0,YEARFRAC(MAX($P$708*($B765+IF($R$17="Distrato",$I$38-1,0)),IF(AND($L$711=0,$P$708=0),"",$L$711-1),IF($R$17="Distrato",$E765,0)),MIN(Q$38,$D$19),$P$20))-SUM($P765:P765)</f>
        <v>#VALUE!</v>
      </c>
      <c r="R765" s="446" t="e">
        <f>IF(OR($B765="",MIN(R$38,$D$19)&lt;MAX($P$708*($B765+IF($R$17="Distrato",$I$38-1,0)),IF(AND($L$711=0,$P$708=0),"",$L$711-1),IF($R$17="Distrato",$E765,0))),0,YEARFRAC(MAX($P$708*($B765+IF($R$17="Distrato",$I$38-1,0)),IF(AND($L$711=0,$P$708=0),"",$L$711-1),IF($R$17="Distrato",$E765,0)),MIN(R$38,$D$19),$P$20))-SUM($P765:Q765)</f>
        <v>#VALUE!</v>
      </c>
      <c r="S765" s="446" t="e">
        <f>IF(OR($B765="",MIN(S$38,$D$19)&lt;MAX($P$708*($B765+IF($R$17="Distrato",$I$38-1,0)),IF(AND($L$711=0,$P$708=0),"",$L$711-1),IF($R$17="Distrato",$E765,0))),0,YEARFRAC(MAX($P$708*($B765+IF($R$17="Distrato",$I$38-1,0)),IF(AND($L$711=0,$P$708=0),"",$L$711-1),IF($R$17="Distrato",$E765,0)),MIN(S$38,$D$19),$P$20))-SUM($P765:R765)</f>
        <v>#VALUE!</v>
      </c>
      <c r="T765" s="446" t="e">
        <f>IF(OR($B765="",MIN(T$38,$D$19)&lt;MAX($P$708*($B765+IF($R$17="Distrato",$I$38-1,0)),IF(AND($L$711=0,$P$708=0),"",$L$711-1),IF($R$17="Distrato",$E765,0))),0,YEARFRAC(MAX($P$708*($B765+IF($R$17="Distrato",$I$38-1,0)),IF(AND($L$711=0,$P$708=0),"",$L$711-1),IF($R$17="Distrato",$E765,0)),MIN(T$38,$D$19),$P$20))-SUM($P765:S765)</f>
        <v>#VALUE!</v>
      </c>
      <c r="U765" s="446" t="e">
        <f>IF(OR($B765="",MIN(U$38,$D$19)&lt;MAX($P$708*($B765+IF($R$17="Distrato",$I$38-1,0)),IF(AND($L$711=0,$P$708=0),"",$L$711-1),IF($R$17="Distrato",$E765,0))),0,YEARFRAC(MAX($P$708*($B765+IF($R$17="Distrato",$I$38-1,0)),IF(AND($L$711=0,$P$708=0),"",$L$711-1),IF($R$17="Distrato",$E765,0)),MIN(U$38,$D$19),$P$20))-SUM($P765:T765)</f>
        <v>#VALUE!</v>
      </c>
      <c r="V765" s="446" t="e">
        <f>IF(OR($B765="",MIN(V$38,$D$19)&lt;MAX($P$708*($B765+IF($R$17="Distrato",$I$38-1,0)),IF(AND($L$711=0,$P$708=0),"",$L$711-1),IF($R$17="Distrato",$E765,0))),0,YEARFRAC(MAX($P$708*($B765+IF($R$17="Distrato",$I$38-1,0)),IF(AND($L$711=0,$P$708=0),"",$L$711-1),IF($R$17="Distrato",$E765,0)),MIN(V$38,$D$19),$P$20))-SUM($P765:U765)</f>
        <v>#VALUE!</v>
      </c>
      <c r="W765" s="446" t="e">
        <f>IF(OR($B765="",MIN(W$38,$D$19)&lt;MAX($P$708*($B765+IF($R$17="Distrato",$I$38-1,0)),IF(AND($L$711=0,$P$708=0),"",$L$711-1),IF($R$17="Distrato",$E765,0))),0,YEARFRAC(MAX($P$708*($B765+IF($R$17="Distrato",$I$38-1,0)),IF(AND($L$711=0,$P$708=0),"",$L$711-1),IF($R$17="Distrato",$E765,0)),MIN(W$38,$D$19),$P$20))-SUM($P765:V765)</f>
        <v>#VALUE!</v>
      </c>
      <c r="X765" s="446" t="e">
        <f>IF(OR($B765="",MIN(X$38,$D$19)&lt;MAX($P$708*($B765+IF($R$17="Distrato",$I$38-1,0)),IF(AND($L$711=0,$P$708=0),"",$L$711-1),IF($R$17="Distrato",$E765,0))),0,YEARFRAC(MAX($P$708*($B765+IF($R$17="Distrato",$I$38-1,0)),IF(AND($L$711=0,$P$708=0),"",$L$711-1),IF($R$17="Distrato",$E765,0)),MIN(X$38,$D$19),$P$20))-SUM($P765:W765)</f>
        <v>#VALUE!</v>
      </c>
      <c r="Y765" s="446" t="e">
        <f>IF(OR($B765="",MIN(Y$38,$D$19)&lt;MAX($P$708*($B765+IF($R$17="Distrato",$I$38-1,0)),IF(AND($L$711=0,$P$708=0),"",$L$711-1),IF($R$17="Distrato",$E765,0))),0,YEARFRAC(MAX($P$708*($B765+IF($R$17="Distrato",$I$38-1,0)),IF(AND($L$711=0,$P$708=0),"",$L$711-1),IF($R$17="Distrato",$E765,0)),MIN(Y$38,$D$19),$P$20))-SUM($P765:X765)</f>
        <v>#VALUE!</v>
      </c>
      <c r="Z765" s="446" t="e">
        <f>IF(OR($B765="",MIN(Z$38,$D$19)&lt;MAX($P$708*($B765+IF($R$17="Distrato",$I$38-1,0)),IF(AND($L$711=0,$P$708=0),"",$L$711-1),IF($R$17="Distrato",$E765,0))),0,YEARFRAC(MAX($P$708*($B765+IF($R$17="Distrato",$I$38-1,0)),IF(AND($L$711=0,$P$708=0),"",$L$711-1),IF($R$17="Distrato",$E765,0)),MIN(Z$38,$D$19),$P$20))-SUM($P765:Y765)</f>
        <v>#VALUE!</v>
      </c>
      <c r="AA765" s="446" t="e">
        <f>IF(OR($B765="",MIN(AA$38,$D$19)&lt;MAX($P$708*($B765+IF($R$17="Distrato",$I$38-1,0)),IF(AND($L$711=0,$P$708=0),"",$L$711-1),IF($R$17="Distrato",$E765,0))),0,YEARFRAC(MAX($P$708*($B765+IF($R$17="Distrato",$I$38-1,0)),IF(AND($L$711=0,$P$708=0),"",$L$711-1),IF($R$17="Distrato",$E765,0)),MIN(AA$38,$D$19),$P$20))-SUM($P765:Z765)</f>
        <v>#VALUE!</v>
      </c>
      <c r="AB765" s="446" t="e">
        <f>IF(OR($B765="",MIN(AB$38,$D$19)&lt;MAX($P$708*($B765+IF($R$17="Distrato",$I$38-1,0)),IF(AND($L$711=0,$P$708=0),"",$L$711-1),IF($R$17="Distrato",$E765,0))),0,YEARFRAC(MAX($P$708*($B765+IF($R$17="Distrato",$I$38-1,0)),IF(AND($L$711=0,$P$708=0),"",$L$711-1),IF($R$17="Distrato",$E765,0)),MIN(AB$38,$D$19),$P$20))-SUM($P765:AA765)</f>
        <v>#VALUE!</v>
      </c>
      <c r="AC765" s="446" t="e">
        <f>IF(OR($B765="",MIN(AC$38,$D$19)&lt;MAX($P$708*($B765+IF($R$17="Distrato",$I$38-1,0)),IF(AND($L$711=0,$P$708=0),"",$L$711-1),IF($R$17="Distrato",$E765,0))),0,YEARFRAC(MAX($P$708*($B765+IF($R$17="Distrato",$I$38-1,0)),IF(AND($L$711=0,$P$708=0),"",$L$711-1),IF($R$17="Distrato",$E765,0)),MIN(AC$38,$D$19),$P$20))-SUM($P765:AB765)</f>
        <v>#VALUE!</v>
      </c>
      <c r="AD765" s="446" t="e">
        <f>IF(OR($B765="",MIN(AD$38,$D$19)&lt;MAX($P$708*($B765+IF($R$17="Distrato",$I$38-1,0)),IF(AND($L$711=0,$P$708=0),"",$L$711-1),IF($R$17="Distrato",$E765,0))),0,YEARFRAC(MAX($P$708*($B765+IF($R$17="Distrato",$I$38-1,0)),IF(AND($L$711=0,$P$708=0),"",$L$711-1),IF($R$17="Distrato",$E765,0)),MIN(AD$38,$D$19),$P$20))-SUM($P765:AC765)</f>
        <v>#VALUE!</v>
      </c>
      <c r="AE765" s="446" t="e">
        <f>IF(OR($B765="",MIN(AE$38,$D$19)&lt;MAX($P$708*($B765+IF($R$17="Distrato",$I$38-1,0)),IF(AND($L$711=0,$P$708=0),"",$L$711-1),IF($R$17="Distrato",$E765,0))),0,YEARFRAC(MAX($P$708*($B765+IF($R$17="Distrato",$I$38-1,0)),IF(AND($L$711=0,$P$708=0),"",$L$711-1),IF($R$17="Distrato",$E765,0)),MIN(AE$38,$D$19),$P$20))-SUM($P765:AD765)</f>
        <v>#VALUE!</v>
      </c>
      <c r="AF765" s="446" t="e">
        <f>IF(OR($B765="",MIN(AF$38,$D$19)&lt;MAX($P$708*($B765+IF($R$17="Distrato",$I$38-1,0)),IF(AND($L$711=0,$P$708=0),"",$L$711-1),IF($R$17="Distrato",$E765,0))),0,YEARFRAC(MAX($P$708*($B765+IF($R$17="Distrato",$I$38-1,0)),IF(AND($L$711=0,$P$708=0),"",$L$711-1),IF($R$17="Distrato",$E765,0)),MIN(AF$38,$D$19),$P$20))-SUM($P765:AE765)</f>
        <v>#VALUE!</v>
      </c>
      <c r="AG765" s="446" t="e">
        <f>IF(OR($B765="",MIN(AG$38,$D$19)&lt;MAX($P$708*($B765+IF($R$17="Distrato",$I$38-1,0)),IF(AND($L$711=0,$P$708=0),"",$L$711-1),IF($R$17="Distrato",$E765,0))),0,YEARFRAC(MAX($P$708*($B765+IF($R$17="Distrato",$I$38-1,0)),IF(AND($L$711=0,$P$708=0),"",$L$711-1),IF($R$17="Distrato",$E765,0)),MIN(AG$38,$D$19),$P$20))-SUM($P765:AF765)</f>
        <v>#VALUE!</v>
      </c>
      <c r="AH765" s="446" t="e">
        <f>IF(OR($B765="",MIN(AH$38,$D$19)&lt;MAX($P$708*($B765+IF($R$17="Distrato",$I$38-1,0)),IF(AND($L$711=0,$P$708=0),"",$L$711-1),IF($R$17="Distrato",$E765,0))),0,YEARFRAC(MAX($P$708*($B765+IF($R$17="Distrato",$I$38-1,0)),IF(AND($L$711=0,$P$708=0),"",$L$711-1),IF($R$17="Distrato",$E765,0)),MIN(AH$38,$D$19),$P$20))-SUM($P765:AG765)</f>
        <v>#VALUE!</v>
      </c>
      <c r="AI765" s="446" t="e">
        <f>IF(OR($B765="",MIN(AI$38,$D$19)&lt;MAX($P$708*($B765+IF($R$17="Distrato",$I$38-1,0)),IF(AND($L$711=0,$P$708=0),"",$L$711-1),IF($R$17="Distrato",$E765,0))),0,YEARFRAC(MAX($P$708*($B765+IF($R$17="Distrato",$I$38-1,0)),IF(AND($L$711=0,$P$708=0),"",$L$711-1),IF($R$17="Distrato",$E765,0)),MIN(AI$38,$D$19),$P$20))-SUM($P765:AH765)</f>
        <v>#VALUE!</v>
      </c>
      <c r="AJ765" s="446" t="e">
        <f>IF(OR($B765="",MIN(AJ$38,$D$19)&lt;MAX($P$708*($B765+IF($R$17="Distrato",$I$38-1,0)),IF(AND($L$711=0,$P$708=0),"",$L$711-1),IF($R$17="Distrato",$E765,0))),0,YEARFRAC(MAX($P$708*($B765+IF($R$17="Distrato",$I$38-1,0)),IF(AND($L$711=0,$P$708=0),"",$L$711-1),IF($R$17="Distrato",$E765,0)),MIN(AJ$38,$D$19),$P$20))-SUM($P765:AI765)</f>
        <v>#VALUE!</v>
      </c>
      <c r="AK765" s="446" t="e">
        <f>IF(OR($B765="",MIN(AK$38,$D$19)&lt;MAX($P$708*($B765+IF($R$17="Distrato",$I$38-1,0)),IF(AND($L$711=0,$P$708=0),"",$L$711-1),IF($R$17="Distrato",$E765,0))),0,YEARFRAC(MAX($P$708*($B765+IF($R$17="Distrato",$I$38-1,0)),IF(AND($L$711=0,$P$708=0),"",$L$711-1),IF($R$17="Distrato",$E765,0)),MIN(AK$38,$D$19),$P$20))-SUM($P765:AJ765)</f>
        <v>#VALUE!</v>
      </c>
      <c r="AL765" s="446" t="e">
        <f>IF(OR($B765="",MIN(AL$38,$D$19)&lt;MAX($P$708*($B765+IF($R$17="Distrato",$I$38-1,0)),IF(AND($L$711=0,$P$708=0),"",$L$711-1),IF($R$17="Distrato",$E765,0))),0,YEARFRAC(MAX($P$708*($B765+IF($R$17="Distrato",$I$38-1,0)),IF(AND($L$711=0,$P$708=0),"",$L$711-1),IF($R$17="Distrato",$E765,0)),MIN(AL$38,$D$19),$P$20))-SUM($P765:AK765)</f>
        <v>#VALUE!</v>
      </c>
      <c r="AM765" s="446" t="e">
        <f>IF(OR($B765="",MIN(AM$38,$D$19)&lt;MAX($P$708*($B765+IF($R$17="Distrato",$I$38-1,0)),IF(AND($L$711=0,$P$708=0),"",$L$711-1),IF($R$17="Distrato",$E765,0))),0,YEARFRAC(MAX($P$708*($B765+IF($R$17="Distrato",$I$38-1,0)),IF(AND($L$711=0,$P$708=0),"",$L$711-1),IF($R$17="Distrato",$E765,0)),MIN(AM$38,$D$19),$P$20))-SUM($P765:AL765)</f>
        <v>#VALUE!</v>
      </c>
      <c r="AN765" s="446" t="e">
        <f>IF(OR($B765="",MIN(AN$38,$D$19)&lt;MAX($P$708*($B765+IF($R$17="Distrato",$I$38-1,0)),IF(AND($L$711=0,$P$708=0),"",$L$711-1),IF($R$17="Distrato",$E765,0))),0,YEARFRAC(MAX($P$708*($B765+IF($R$17="Distrato",$I$38-1,0)),IF(AND($L$711=0,$P$708=0),"",$L$711-1),IF($R$17="Distrato",$E765,0)),MIN(AN$38,$D$19),$P$20))-SUM($P765:AM765)</f>
        <v>#VALUE!</v>
      </c>
      <c r="AO765" s="446" t="e">
        <f>IF(OR($B765="",MIN(AO$38,$D$19)&lt;MAX($P$708*($B765+IF($R$17="Distrato",$I$38-1,0)),IF(AND($L$711=0,$P$708=0),"",$L$711-1),IF($R$17="Distrato",$E765,0))),0,YEARFRAC(MAX($P$708*($B765+IF($R$17="Distrato",$I$38-1,0)),IF(AND($L$711=0,$P$708=0),"",$L$711-1),IF($R$17="Distrato",$E765,0)),MIN(AO$38,$D$19),$P$20))-SUM($P765:AN765)</f>
        <v>#VALUE!</v>
      </c>
      <c r="AP765" s="446" t="e">
        <f>IF(OR($B765="",MIN(AP$38,$D$19)&lt;MAX($P$708*($B765+IF($R$17="Distrato",$I$38-1,0)),IF(AND($L$711=0,$P$708=0),"",$L$711-1),IF($R$17="Distrato",$E765,0))),0,YEARFRAC(MAX($P$708*($B765+IF($R$17="Distrato",$I$38-1,0)),IF(AND($L$711=0,$P$708=0),"",$L$711-1),IF($R$17="Distrato",$E765,0)),MIN(AP$38,$D$19),$P$20))-SUM($P765:AO765)</f>
        <v>#VALUE!</v>
      </c>
      <c r="AQ765" s="446" t="e">
        <f>IF(OR($B765="",MIN(AQ$38,$D$19)&lt;MAX($P$708*($B765+IF($R$17="Distrato",$I$38-1,0)),IF(AND($L$711=0,$P$708=0),"",$L$711-1),IF($R$17="Distrato",$E765,0))),0,YEARFRAC(MAX($P$708*($B765+IF($R$17="Distrato",$I$38-1,0)),IF(AND($L$711=0,$P$708=0),"",$L$711-1),IF($R$17="Distrato",$E765,0)),MIN(AQ$38,$D$19),$P$20))-SUM($P765:AP765)</f>
        <v>#VALUE!</v>
      </c>
      <c r="AR765" s="446" t="e">
        <f>IF(OR($B765="",MIN(AR$38,$D$19)&lt;MAX($P$708*($B765+IF($R$17="Distrato",$I$38-1,0)),IF(AND($L$711=0,$P$708=0),"",$L$711-1),IF($R$17="Distrato",$E765,0))),0,YEARFRAC(MAX($P$708*($B765+IF($R$17="Distrato",$I$38-1,0)),IF(AND($L$711=0,$P$708=0),"",$L$711-1),IF($R$17="Distrato",$E765,0)),MIN(AR$38,$D$19),$P$20))-SUM($P765:AQ765)</f>
        <v>#VALUE!</v>
      </c>
      <c r="AS765" s="446" t="e">
        <f>IF(OR($B765="",MIN(AS$38,$D$19)&lt;MAX($P$708*($B765+IF($R$17="Distrato",$I$38-1,0)),IF(AND($L$711=0,$P$708=0),"",$L$711-1),IF($R$17="Distrato",$E765,0))),0,YEARFRAC(MAX($P$708*($B765+IF($R$17="Distrato",$I$38-1,0)),IF(AND($L$711=0,$P$708=0),"",$L$711-1),IF($R$17="Distrato",$E765,0)),MIN(AS$38,$D$19),$P$20))-SUM($P765:AR765)</f>
        <v>#VALUE!</v>
      </c>
      <c r="AT765" s="446" t="e">
        <f>IF(OR($B765="",MIN(AT$38,$D$19)&lt;MAX($P$708*($B765+IF($R$17="Distrato",$I$38-1,0)),IF(AND($L$711=0,$P$708=0),"",$L$711-1),IF($R$17="Distrato",$E765,0))),0,YEARFRAC(MAX($P$708*($B765+IF($R$17="Distrato",$I$38-1,0)),IF(AND($L$711=0,$P$708=0),"",$L$711-1),IF($R$17="Distrato",$E765,0)),MIN(AT$38,$D$19),$P$20))-SUM($P765:AS765)</f>
        <v>#VALUE!</v>
      </c>
      <c r="AU765" s="446" t="e">
        <f>IF(OR($B765="",MIN(AU$38,$D$19)&lt;MAX($P$708*($B765+IF($R$17="Distrato",$I$38-1,0)),IF(AND($L$711=0,$P$708=0),"",$L$711-1),IF($R$17="Distrato",$E765,0))),0,YEARFRAC(MAX($P$708*($B765+IF($R$17="Distrato",$I$38-1,0)),IF(AND($L$711=0,$P$708=0),"",$L$711-1),IF($R$17="Distrato",$E765,0)),MIN(AU$38,$D$19),$P$20))-SUM($P765:AT765)</f>
        <v>#VALUE!</v>
      </c>
      <c r="AV765" s="446" t="e">
        <f>IF(OR($B765="",MIN(AV$38,$D$19)&lt;MAX($P$708*($B765+IF($R$17="Distrato",$I$38-1,0)),IF(AND($L$711=0,$P$708=0),"",$L$711-1),IF($R$17="Distrato",$E765,0))),0,YEARFRAC(MAX($P$708*($B765+IF($R$17="Distrato",$I$38-1,0)),IF(AND($L$711=0,$P$708=0),"",$L$711-1),IF($R$17="Distrato",$E765,0)),MIN(AV$38,$D$19),$P$20))-SUM($P765:AU765)</f>
        <v>#VALUE!</v>
      </c>
      <c r="AW765" s="446" t="e">
        <f>IF(OR($B765="",MIN(AW$38,$D$19)&lt;MAX($P$708*($B765+IF($R$17="Distrato",$I$38-1,0)),IF(AND($L$711=0,$P$708=0),"",$L$711-1),IF($R$17="Distrato",$E765,0))),0,YEARFRAC(MAX($P$708*($B765+IF($R$17="Distrato",$I$38-1,0)),IF(AND($L$711=0,$P$708=0),"",$L$711-1),IF($R$17="Distrato",$E765,0)),MIN(AW$38,$D$19),$P$20))-SUM($P765:AV765)</f>
        <v>#VALUE!</v>
      </c>
      <c r="AX765" s="446" t="e">
        <f>IF(OR($B765="",MIN(AX$38,$D$19)&lt;MAX($P$708*($B765+IF($R$17="Distrato",$I$38-1,0)),IF(AND($L$711=0,$P$708=0),"",$L$711-1),IF($R$17="Distrato",$E765,0))),0,YEARFRAC(MAX($P$708*($B765+IF($R$17="Distrato",$I$38-1,0)),IF(AND($L$711=0,$P$708=0),"",$L$711-1),IF($R$17="Distrato",$E765,0)),MIN(AX$38,$D$19),$P$20))-SUM($P765:AW765)</f>
        <v>#VALUE!</v>
      </c>
      <c r="AY765" s="446" t="e">
        <f>IF(OR($B765="",MIN(AY$38,$D$19)&lt;MAX($P$708*($B765+IF($R$17="Distrato",$I$38-1,0)),IF(AND($L$711=0,$P$708=0),"",$L$711-1),IF($R$17="Distrato",$E765,0))),0,YEARFRAC(MAX($P$708*($B765+IF($R$17="Distrato",$I$38-1,0)),IF(AND($L$711=0,$P$708=0),"",$L$711-1),IF($R$17="Distrato",$E765,0)),MIN(AY$38,$D$19),$P$20))-SUM($P765:AX765)</f>
        <v>#VALUE!</v>
      </c>
      <c r="AZ765" s="446" t="e">
        <f>IF(OR($B765="",MIN(AZ$38,$D$19)&lt;MAX($P$708*($B765+IF($R$17="Distrato",$I$38-1,0)),IF(AND($L$711=0,$P$708=0),"",$L$711-1),IF($R$17="Distrato",$E765,0))),0,YEARFRAC(MAX($P$708*($B765+IF($R$17="Distrato",$I$38-1,0)),IF(AND($L$711=0,$P$708=0),"",$L$711-1),IF($R$17="Distrato",$E765,0)),MIN(AZ$38,$D$19),$P$20))-SUM($P765:AY765)</f>
        <v>#VALUE!</v>
      </c>
      <c r="BA765" s="446" t="e">
        <f>IF(OR($B765="",MIN(BA$38,$D$19)&lt;MAX($P$708*($B765+IF($R$17="Distrato",$I$38-1,0)),IF(AND($L$711=0,$P$708=0),"",$L$711-1),IF($R$17="Distrato",$E765,0))),0,YEARFRAC(MAX($P$708*($B765+IF($R$17="Distrato",$I$38-1,0)),IF(AND($L$711=0,$P$708=0),"",$L$711-1),IF($R$17="Distrato",$E765,0)),MIN(BA$38,$D$19),$P$20))-SUM($P765:AZ765)</f>
        <v>#VALUE!</v>
      </c>
      <c r="BB765" s="447"/>
    </row>
    <row r="766" spans="1:54" s="446" customFormat="1" ht="11.25" hidden="1" customHeight="1" x14ac:dyDescent="0.2">
      <c r="A766" s="235"/>
      <c r="B766" s="236"/>
      <c r="C766" s="29" t="str">
        <f>IF(B766="","",IF($L$709=$BL$25,VLOOKUP(DATE(YEAR($D$19),MONTH($D$19)-1,1),ÍNDICES!$A:$DE,HLOOKUP($BL$25,ÍNDICES!$B$3:$T$4,2)+11)-VLOOKUP(B766,ÍNDICES!$A:$DE,HLOOKUP($BL$25,ÍNDICES!$B$3:$T$4,2)+11)+1%,IF(C$712=$W$26,$J$35,IF(ISERROR(IF(B766&gt;$D$19,1,VLOOKUP(DATE(YEAR(B766),MONTH(B766)+IF($C$709=$S$23,1,0),1),ÍNDICES!$A:$DE,$Z$709+1))),"",IF(B766&gt;$D$19,1,VLOOKUP(DATE(YEAR(B766),MONTH(B766)+IF($C$709=$S$23,1,0),1),ÍNDICES!$A:$DE,$Z$709+1))))))</f>
        <v/>
      </c>
      <c r="D766" s="155"/>
      <c r="E766" s="88"/>
      <c r="F766" s="88"/>
      <c r="G766" s="88"/>
      <c r="H766" s="118"/>
      <c r="I766" s="182">
        <f t="shared" si="115"/>
        <v>0</v>
      </c>
      <c r="J766" s="20">
        <f t="shared" ca="1" si="116"/>
        <v>0</v>
      </c>
      <c r="K766" s="5">
        <f t="shared" ca="1" si="117"/>
        <v>0</v>
      </c>
      <c r="L766" s="61">
        <f t="shared" ca="1" si="118"/>
        <v>0</v>
      </c>
      <c r="M766" s="64">
        <f t="shared" si="119"/>
        <v>0</v>
      </c>
      <c r="N766" s="151"/>
      <c r="O766" s="5">
        <f t="shared" ca="1" si="120"/>
        <v>0</v>
      </c>
      <c r="P766" s="446" t="e">
        <f t="shared" si="121"/>
        <v>#VALUE!</v>
      </c>
      <c r="Q766" s="446" t="e">
        <f>IF(OR($B766="",MIN(Q$38,$D$19)&lt;MAX($P$708*($B766+IF($R$17="Distrato",$I$38-1,0)),IF(AND($L$711=0,$P$708=0),"",$L$711-1),IF($R$17="Distrato",$E766,0))),0,YEARFRAC(MAX($P$708*($B766+IF($R$17="Distrato",$I$38-1,0)),IF(AND($L$711=0,$P$708=0),"",$L$711-1),IF($R$17="Distrato",$E766,0)),MIN(Q$38,$D$19),$P$20))-SUM($P766:P766)</f>
        <v>#VALUE!</v>
      </c>
      <c r="R766" s="446" t="e">
        <f>IF(OR($B766="",MIN(R$38,$D$19)&lt;MAX($P$708*($B766+IF($R$17="Distrato",$I$38-1,0)),IF(AND($L$711=0,$P$708=0),"",$L$711-1),IF($R$17="Distrato",$E766,0))),0,YEARFRAC(MAX($P$708*($B766+IF($R$17="Distrato",$I$38-1,0)),IF(AND($L$711=0,$P$708=0),"",$L$711-1),IF($R$17="Distrato",$E766,0)),MIN(R$38,$D$19),$P$20))-SUM($P766:Q766)</f>
        <v>#VALUE!</v>
      </c>
      <c r="S766" s="446" t="e">
        <f>IF(OR($B766="",MIN(S$38,$D$19)&lt;MAX($P$708*($B766+IF($R$17="Distrato",$I$38-1,0)),IF(AND($L$711=0,$P$708=0),"",$L$711-1),IF($R$17="Distrato",$E766,0))),0,YEARFRAC(MAX($P$708*($B766+IF($R$17="Distrato",$I$38-1,0)),IF(AND($L$711=0,$P$708=0),"",$L$711-1),IF($R$17="Distrato",$E766,0)),MIN(S$38,$D$19),$P$20))-SUM($P766:R766)</f>
        <v>#VALUE!</v>
      </c>
      <c r="T766" s="446" t="e">
        <f>IF(OR($B766="",MIN(T$38,$D$19)&lt;MAX($P$708*($B766+IF($R$17="Distrato",$I$38-1,0)),IF(AND($L$711=0,$P$708=0),"",$L$711-1),IF($R$17="Distrato",$E766,0))),0,YEARFRAC(MAX($P$708*($B766+IF($R$17="Distrato",$I$38-1,0)),IF(AND($L$711=0,$P$708=0),"",$L$711-1),IF($R$17="Distrato",$E766,0)),MIN(T$38,$D$19),$P$20))-SUM($P766:S766)</f>
        <v>#VALUE!</v>
      </c>
      <c r="U766" s="446" t="e">
        <f>IF(OR($B766="",MIN(U$38,$D$19)&lt;MAX($P$708*($B766+IF($R$17="Distrato",$I$38-1,0)),IF(AND($L$711=0,$P$708=0),"",$L$711-1),IF($R$17="Distrato",$E766,0))),0,YEARFRAC(MAX($P$708*($B766+IF($R$17="Distrato",$I$38-1,0)),IF(AND($L$711=0,$P$708=0),"",$L$711-1),IF($R$17="Distrato",$E766,0)),MIN(U$38,$D$19),$P$20))-SUM($P766:T766)</f>
        <v>#VALUE!</v>
      </c>
      <c r="V766" s="446" t="e">
        <f>IF(OR($B766="",MIN(V$38,$D$19)&lt;MAX($P$708*($B766+IF($R$17="Distrato",$I$38-1,0)),IF(AND($L$711=0,$P$708=0),"",$L$711-1),IF($R$17="Distrato",$E766,0))),0,YEARFRAC(MAX($P$708*($B766+IF($R$17="Distrato",$I$38-1,0)),IF(AND($L$711=0,$P$708=0),"",$L$711-1),IF($R$17="Distrato",$E766,0)),MIN(V$38,$D$19),$P$20))-SUM($P766:U766)</f>
        <v>#VALUE!</v>
      </c>
      <c r="W766" s="446" t="e">
        <f>IF(OR($B766="",MIN(W$38,$D$19)&lt;MAX($P$708*($B766+IF($R$17="Distrato",$I$38-1,0)),IF(AND($L$711=0,$P$708=0),"",$L$711-1),IF($R$17="Distrato",$E766,0))),0,YEARFRAC(MAX($P$708*($B766+IF($R$17="Distrato",$I$38-1,0)),IF(AND($L$711=0,$P$708=0),"",$L$711-1),IF($R$17="Distrato",$E766,0)),MIN(W$38,$D$19),$P$20))-SUM($P766:V766)</f>
        <v>#VALUE!</v>
      </c>
      <c r="X766" s="446" t="e">
        <f>IF(OR($B766="",MIN(X$38,$D$19)&lt;MAX($P$708*($B766+IF($R$17="Distrato",$I$38-1,0)),IF(AND($L$711=0,$P$708=0),"",$L$711-1),IF($R$17="Distrato",$E766,0))),0,YEARFRAC(MAX($P$708*($B766+IF($R$17="Distrato",$I$38-1,0)),IF(AND($L$711=0,$P$708=0),"",$L$711-1),IF($R$17="Distrato",$E766,0)),MIN(X$38,$D$19),$P$20))-SUM($P766:W766)</f>
        <v>#VALUE!</v>
      </c>
      <c r="Y766" s="446" t="e">
        <f>IF(OR($B766="",MIN(Y$38,$D$19)&lt;MAX($P$708*($B766+IF($R$17="Distrato",$I$38-1,0)),IF(AND($L$711=0,$P$708=0),"",$L$711-1),IF($R$17="Distrato",$E766,0))),0,YEARFRAC(MAX($P$708*($B766+IF($R$17="Distrato",$I$38-1,0)),IF(AND($L$711=0,$P$708=0),"",$L$711-1),IF($R$17="Distrato",$E766,0)),MIN(Y$38,$D$19),$P$20))-SUM($P766:X766)</f>
        <v>#VALUE!</v>
      </c>
      <c r="Z766" s="446" t="e">
        <f>IF(OR($B766="",MIN(Z$38,$D$19)&lt;MAX($P$708*($B766+IF($R$17="Distrato",$I$38-1,0)),IF(AND($L$711=0,$P$708=0),"",$L$711-1),IF($R$17="Distrato",$E766,0))),0,YEARFRAC(MAX($P$708*($B766+IF($R$17="Distrato",$I$38-1,0)),IF(AND($L$711=0,$P$708=0),"",$L$711-1),IF($R$17="Distrato",$E766,0)),MIN(Z$38,$D$19),$P$20))-SUM($P766:Y766)</f>
        <v>#VALUE!</v>
      </c>
      <c r="AA766" s="446" t="e">
        <f>IF(OR($B766="",MIN(AA$38,$D$19)&lt;MAX($P$708*($B766+IF($R$17="Distrato",$I$38-1,0)),IF(AND($L$711=0,$P$708=0),"",$L$711-1),IF($R$17="Distrato",$E766,0))),0,YEARFRAC(MAX($P$708*($B766+IF($R$17="Distrato",$I$38-1,0)),IF(AND($L$711=0,$P$708=0),"",$L$711-1),IF($R$17="Distrato",$E766,0)),MIN(AA$38,$D$19),$P$20))-SUM($P766:Z766)</f>
        <v>#VALUE!</v>
      </c>
      <c r="AB766" s="446" t="e">
        <f>IF(OR($B766="",MIN(AB$38,$D$19)&lt;MAX($P$708*($B766+IF($R$17="Distrato",$I$38-1,0)),IF(AND($L$711=0,$P$708=0),"",$L$711-1),IF($R$17="Distrato",$E766,0))),0,YEARFRAC(MAX($P$708*($B766+IF($R$17="Distrato",$I$38-1,0)),IF(AND($L$711=0,$P$708=0),"",$L$711-1),IF($R$17="Distrato",$E766,0)),MIN(AB$38,$D$19),$P$20))-SUM($P766:AA766)</f>
        <v>#VALUE!</v>
      </c>
      <c r="AC766" s="446" t="e">
        <f>IF(OR($B766="",MIN(AC$38,$D$19)&lt;MAX($P$708*($B766+IF($R$17="Distrato",$I$38-1,0)),IF(AND($L$711=0,$P$708=0),"",$L$711-1),IF($R$17="Distrato",$E766,0))),0,YEARFRAC(MAX($P$708*($B766+IF($R$17="Distrato",$I$38-1,0)),IF(AND($L$711=0,$P$708=0),"",$L$711-1),IF($R$17="Distrato",$E766,0)),MIN(AC$38,$D$19),$P$20))-SUM($P766:AB766)</f>
        <v>#VALUE!</v>
      </c>
      <c r="AD766" s="446" t="e">
        <f>IF(OR($B766="",MIN(AD$38,$D$19)&lt;MAX($P$708*($B766+IF($R$17="Distrato",$I$38-1,0)),IF(AND($L$711=0,$P$708=0),"",$L$711-1),IF($R$17="Distrato",$E766,0))),0,YEARFRAC(MAX($P$708*($B766+IF($R$17="Distrato",$I$38-1,0)),IF(AND($L$711=0,$P$708=0),"",$L$711-1),IF($R$17="Distrato",$E766,0)),MIN(AD$38,$D$19),$P$20))-SUM($P766:AC766)</f>
        <v>#VALUE!</v>
      </c>
      <c r="AE766" s="446" t="e">
        <f>IF(OR($B766="",MIN(AE$38,$D$19)&lt;MAX($P$708*($B766+IF($R$17="Distrato",$I$38-1,0)),IF(AND($L$711=0,$P$708=0),"",$L$711-1),IF($R$17="Distrato",$E766,0))),0,YEARFRAC(MAX($P$708*($B766+IF($R$17="Distrato",$I$38-1,0)),IF(AND($L$711=0,$P$708=0),"",$L$711-1),IF($R$17="Distrato",$E766,0)),MIN(AE$38,$D$19),$P$20))-SUM($P766:AD766)</f>
        <v>#VALUE!</v>
      </c>
      <c r="AF766" s="446" t="e">
        <f>IF(OR($B766="",MIN(AF$38,$D$19)&lt;MAX($P$708*($B766+IF($R$17="Distrato",$I$38-1,0)),IF(AND($L$711=0,$P$708=0),"",$L$711-1),IF($R$17="Distrato",$E766,0))),0,YEARFRAC(MAX($P$708*($B766+IF($R$17="Distrato",$I$38-1,0)),IF(AND($L$711=0,$P$708=0),"",$L$711-1),IF($R$17="Distrato",$E766,0)),MIN(AF$38,$D$19),$P$20))-SUM($P766:AE766)</f>
        <v>#VALUE!</v>
      </c>
      <c r="AG766" s="446" t="e">
        <f>IF(OR($B766="",MIN(AG$38,$D$19)&lt;MAX($P$708*($B766+IF($R$17="Distrato",$I$38-1,0)),IF(AND($L$711=0,$P$708=0),"",$L$711-1),IF($R$17="Distrato",$E766,0))),0,YEARFRAC(MAX($P$708*($B766+IF($R$17="Distrato",$I$38-1,0)),IF(AND($L$711=0,$P$708=0),"",$L$711-1),IF($R$17="Distrato",$E766,0)),MIN(AG$38,$D$19),$P$20))-SUM($P766:AF766)</f>
        <v>#VALUE!</v>
      </c>
      <c r="AH766" s="446" t="e">
        <f>IF(OR($B766="",MIN(AH$38,$D$19)&lt;MAX($P$708*($B766+IF($R$17="Distrato",$I$38-1,0)),IF(AND($L$711=0,$P$708=0),"",$L$711-1),IF($R$17="Distrato",$E766,0))),0,YEARFRAC(MAX($P$708*($B766+IF($R$17="Distrato",$I$38-1,0)),IF(AND($L$711=0,$P$708=0),"",$L$711-1),IF($R$17="Distrato",$E766,0)),MIN(AH$38,$D$19),$P$20))-SUM($P766:AG766)</f>
        <v>#VALUE!</v>
      </c>
      <c r="AI766" s="446" t="e">
        <f>IF(OR($B766="",MIN(AI$38,$D$19)&lt;MAX($P$708*($B766+IF($R$17="Distrato",$I$38-1,0)),IF(AND($L$711=0,$P$708=0),"",$L$711-1),IF($R$17="Distrato",$E766,0))),0,YEARFRAC(MAX($P$708*($B766+IF($R$17="Distrato",$I$38-1,0)),IF(AND($L$711=0,$P$708=0),"",$L$711-1),IF($R$17="Distrato",$E766,0)),MIN(AI$38,$D$19),$P$20))-SUM($P766:AH766)</f>
        <v>#VALUE!</v>
      </c>
      <c r="AJ766" s="446" t="e">
        <f>IF(OR($B766="",MIN(AJ$38,$D$19)&lt;MAX($P$708*($B766+IF($R$17="Distrato",$I$38-1,0)),IF(AND($L$711=0,$P$708=0),"",$L$711-1),IF($R$17="Distrato",$E766,0))),0,YEARFRAC(MAX($P$708*($B766+IF($R$17="Distrato",$I$38-1,0)),IF(AND($L$711=0,$P$708=0),"",$L$711-1),IF($R$17="Distrato",$E766,0)),MIN(AJ$38,$D$19),$P$20))-SUM($P766:AI766)</f>
        <v>#VALUE!</v>
      </c>
      <c r="AK766" s="446" t="e">
        <f>IF(OR($B766="",MIN(AK$38,$D$19)&lt;MAX($P$708*($B766+IF($R$17="Distrato",$I$38-1,0)),IF(AND($L$711=0,$P$708=0),"",$L$711-1),IF($R$17="Distrato",$E766,0))),0,YEARFRAC(MAX($P$708*($B766+IF($R$17="Distrato",$I$38-1,0)),IF(AND($L$711=0,$P$708=0),"",$L$711-1),IF($R$17="Distrato",$E766,0)),MIN(AK$38,$D$19),$P$20))-SUM($P766:AJ766)</f>
        <v>#VALUE!</v>
      </c>
      <c r="AL766" s="446" t="e">
        <f>IF(OR($B766="",MIN(AL$38,$D$19)&lt;MAX($P$708*($B766+IF($R$17="Distrato",$I$38-1,0)),IF(AND($L$711=0,$P$708=0),"",$L$711-1),IF($R$17="Distrato",$E766,0))),0,YEARFRAC(MAX($P$708*($B766+IF($R$17="Distrato",$I$38-1,0)),IF(AND($L$711=0,$P$708=0),"",$L$711-1),IF($R$17="Distrato",$E766,0)),MIN(AL$38,$D$19),$P$20))-SUM($P766:AK766)</f>
        <v>#VALUE!</v>
      </c>
      <c r="AM766" s="446" t="e">
        <f>IF(OR($B766="",MIN(AM$38,$D$19)&lt;MAX($P$708*($B766+IF($R$17="Distrato",$I$38-1,0)),IF(AND($L$711=0,$P$708=0),"",$L$711-1),IF($R$17="Distrato",$E766,0))),0,YEARFRAC(MAX($P$708*($B766+IF($R$17="Distrato",$I$38-1,0)),IF(AND($L$711=0,$P$708=0),"",$L$711-1),IF($R$17="Distrato",$E766,0)),MIN(AM$38,$D$19),$P$20))-SUM($P766:AL766)</f>
        <v>#VALUE!</v>
      </c>
      <c r="AN766" s="446" t="e">
        <f>IF(OR($B766="",MIN(AN$38,$D$19)&lt;MAX($P$708*($B766+IF($R$17="Distrato",$I$38-1,0)),IF(AND($L$711=0,$P$708=0),"",$L$711-1),IF($R$17="Distrato",$E766,0))),0,YEARFRAC(MAX($P$708*($B766+IF($R$17="Distrato",$I$38-1,0)),IF(AND($L$711=0,$P$708=0),"",$L$711-1),IF($R$17="Distrato",$E766,0)),MIN(AN$38,$D$19),$P$20))-SUM($P766:AM766)</f>
        <v>#VALUE!</v>
      </c>
      <c r="AO766" s="446" t="e">
        <f>IF(OR($B766="",MIN(AO$38,$D$19)&lt;MAX($P$708*($B766+IF($R$17="Distrato",$I$38-1,0)),IF(AND($L$711=0,$P$708=0),"",$L$711-1),IF($R$17="Distrato",$E766,0))),0,YEARFRAC(MAX($P$708*($B766+IF($R$17="Distrato",$I$38-1,0)),IF(AND($L$711=0,$P$708=0),"",$L$711-1),IF($R$17="Distrato",$E766,0)),MIN(AO$38,$D$19),$P$20))-SUM($P766:AN766)</f>
        <v>#VALUE!</v>
      </c>
      <c r="AP766" s="446" t="e">
        <f>IF(OR($B766="",MIN(AP$38,$D$19)&lt;MAX($P$708*($B766+IF($R$17="Distrato",$I$38-1,0)),IF(AND($L$711=0,$P$708=0),"",$L$711-1),IF($R$17="Distrato",$E766,0))),0,YEARFRAC(MAX($P$708*($B766+IF($R$17="Distrato",$I$38-1,0)),IF(AND($L$711=0,$P$708=0),"",$L$711-1),IF($R$17="Distrato",$E766,0)),MIN(AP$38,$D$19),$P$20))-SUM($P766:AO766)</f>
        <v>#VALUE!</v>
      </c>
      <c r="AQ766" s="446" t="e">
        <f>IF(OR($B766="",MIN(AQ$38,$D$19)&lt;MAX($P$708*($B766+IF($R$17="Distrato",$I$38-1,0)),IF(AND($L$711=0,$P$708=0),"",$L$711-1),IF($R$17="Distrato",$E766,0))),0,YEARFRAC(MAX($P$708*($B766+IF($R$17="Distrato",$I$38-1,0)),IF(AND($L$711=0,$P$708=0),"",$L$711-1),IF($R$17="Distrato",$E766,0)),MIN(AQ$38,$D$19),$P$20))-SUM($P766:AP766)</f>
        <v>#VALUE!</v>
      </c>
      <c r="AR766" s="446" t="e">
        <f>IF(OR($B766="",MIN(AR$38,$D$19)&lt;MAX($P$708*($B766+IF($R$17="Distrato",$I$38-1,0)),IF(AND($L$711=0,$P$708=0),"",$L$711-1),IF($R$17="Distrato",$E766,0))),0,YEARFRAC(MAX($P$708*($B766+IF($R$17="Distrato",$I$38-1,0)),IF(AND($L$711=0,$P$708=0),"",$L$711-1),IF($R$17="Distrato",$E766,0)),MIN(AR$38,$D$19),$P$20))-SUM($P766:AQ766)</f>
        <v>#VALUE!</v>
      </c>
      <c r="AS766" s="446" t="e">
        <f>IF(OR($B766="",MIN(AS$38,$D$19)&lt;MAX($P$708*($B766+IF($R$17="Distrato",$I$38-1,0)),IF(AND($L$711=0,$P$708=0),"",$L$711-1),IF($R$17="Distrato",$E766,0))),0,YEARFRAC(MAX($P$708*($B766+IF($R$17="Distrato",$I$38-1,0)),IF(AND($L$711=0,$P$708=0),"",$L$711-1),IF($R$17="Distrato",$E766,0)),MIN(AS$38,$D$19),$P$20))-SUM($P766:AR766)</f>
        <v>#VALUE!</v>
      </c>
      <c r="AT766" s="446" t="e">
        <f>IF(OR($B766="",MIN(AT$38,$D$19)&lt;MAX($P$708*($B766+IF($R$17="Distrato",$I$38-1,0)),IF(AND($L$711=0,$P$708=0),"",$L$711-1),IF($R$17="Distrato",$E766,0))),0,YEARFRAC(MAX($P$708*($B766+IF($R$17="Distrato",$I$38-1,0)),IF(AND($L$711=0,$P$708=0),"",$L$711-1),IF($R$17="Distrato",$E766,0)),MIN(AT$38,$D$19),$P$20))-SUM($P766:AS766)</f>
        <v>#VALUE!</v>
      </c>
      <c r="AU766" s="446" t="e">
        <f>IF(OR($B766="",MIN(AU$38,$D$19)&lt;MAX($P$708*($B766+IF($R$17="Distrato",$I$38-1,0)),IF(AND($L$711=0,$P$708=0),"",$L$711-1),IF($R$17="Distrato",$E766,0))),0,YEARFRAC(MAX($P$708*($B766+IF($R$17="Distrato",$I$38-1,0)),IF(AND($L$711=0,$P$708=0),"",$L$711-1),IF($R$17="Distrato",$E766,0)),MIN(AU$38,$D$19),$P$20))-SUM($P766:AT766)</f>
        <v>#VALUE!</v>
      </c>
      <c r="AV766" s="446" t="e">
        <f>IF(OR($B766="",MIN(AV$38,$D$19)&lt;MAX($P$708*($B766+IF($R$17="Distrato",$I$38-1,0)),IF(AND($L$711=0,$P$708=0),"",$L$711-1),IF($R$17="Distrato",$E766,0))),0,YEARFRAC(MAX($P$708*($B766+IF($R$17="Distrato",$I$38-1,0)),IF(AND($L$711=0,$P$708=0),"",$L$711-1),IF($R$17="Distrato",$E766,0)),MIN(AV$38,$D$19),$P$20))-SUM($P766:AU766)</f>
        <v>#VALUE!</v>
      </c>
      <c r="AW766" s="446" t="e">
        <f>IF(OR($B766="",MIN(AW$38,$D$19)&lt;MAX($P$708*($B766+IF($R$17="Distrato",$I$38-1,0)),IF(AND($L$711=0,$P$708=0),"",$L$711-1),IF($R$17="Distrato",$E766,0))),0,YEARFRAC(MAX($P$708*($B766+IF($R$17="Distrato",$I$38-1,0)),IF(AND($L$711=0,$P$708=0),"",$L$711-1),IF($R$17="Distrato",$E766,0)),MIN(AW$38,$D$19),$P$20))-SUM($P766:AV766)</f>
        <v>#VALUE!</v>
      </c>
      <c r="AX766" s="446" t="e">
        <f>IF(OR($B766="",MIN(AX$38,$D$19)&lt;MAX($P$708*($B766+IF($R$17="Distrato",$I$38-1,0)),IF(AND($L$711=0,$P$708=0),"",$L$711-1),IF($R$17="Distrato",$E766,0))),0,YEARFRAC(MAX($P$708*($B766+IF($R$17="Distrato",$I$38-1,0)),IF(AND($L$711=0,$P$708=0),"",$L$711-1),IF($R$17="Distrato",$E766,0)),MIN(AX$38,$D$19),$P$20))-SUM($P766:AW766)</f>
        <v>#VALUE!</v>
      </c>
      <c r="AY766" s="446" t="e">
        <f>IF(OR($B766="",MIN(AY$38,$D$19)&lt;MAX($P$708*($B766+IF($R$17="Distrato",$I$38-1,0)),IF(AND($L$711=0,$P$708=0),"",$L$711-1),IF($R$17="Distrato",$E766,0))),0,YEARFRAC(MAX($P$708*($B766+IF($R$17="Distrato",$I$38-1,0)),IF(AND($L$711=0,$P$708=0),"",$L$711-1),IF($R$17="Distrato",$E766,0)),MIN(AY$38,$D$19),$P$20))-SUM($P766:AX766)</f>
        <v>#VALUE!</v>
      </c>
      <c r="AZ766" s="446" t="e">
        <f>IF(OR($B766="",MIN(AZ$38,$D$19)&lt;MAX($P$708*($B766+IF($R$17="Distrato",$I$38-1,0)),IF(AND($L$711=0,$P$708=0),"",$L$711-1),IF($R$17="Distrato",$E766,0))),0,YEARFRAC(MAX($P$708*($B766+IF($R$17="Distrato",$I$38-1,0)),IF(AND($L$711=0,$P$708=0),"",$L$711-1),IF($R$17="Distrato",$E766,0)),MIN(AZ$38,$D$19),$P$20))-SUM($P766:AY766)</f>
        <v>#VALUE!</v>
      </c>
      <c r="BA766" s="446" t="e">
        <f>IF(OR($B766="",MIN(BA$38,$D$19)&lt;MAX($P$708*($B766+IF($R$17="Distrato",$I$38-1,0)),IF(AND($L$711=0,$P$708=0),"",$L$711-1),IF($R$17="Distrato",$E766,0))),0,YEARFRAC(MAX($P$708*($B766+IF($R$17="Distrato",$I$38-1,0)),IF(AND($L$711=0,$P$708=0),"",$L$711-1),IF($R$17="Distrato",$E766,0)),MIN(BA$38,$D$19),$P$20))-SUM($P766:AZ766)</f>
        <v>#VALUE!</v>
      </c>
      <c r="BB766" s="447"/>
    </row>
    <row r="767" spans="1:54" s="446" customFormat="1" ht="11.25" hidden="1" customHeight="1" x14ac:dyDescent="0.2">
      <c r="A767" s="235"/>
      <c r="B767" s="236"/>
      <c r="C767" s="29" t="str">
        <f>IF(B767="","",IF($L$709=$BL$25,VLOOKUP(DATE(YEAR($D$19),MONTH($D$19)-1,1),ÍNDICES!$A:$DE,HLOOKUP($BL$25,ÍNDICES!$B$3:$T$4,2)+11)-VLOOKUP(B767,ÍNDICES!$A:$DE,HLOOKUP($BL$25,ÍNDICES!$B$3:$T$4,2)+11)+1%,IF(C$712=$W$26,$J$35,IF(ISERROR(IF(B767&gt;$D$19,1,VLOOKUP(DATE(YEAR(B767),MONTH(B767)+IF($C$709=$S$23,1,0),1),ÍNDICES!$A:$DE,$Z$709+1))),"",IF(B767&gt;$D$19,1,VLOOKUP(DATE(YEAR(B767),MONTH(B767)+IF($C$709=$S$23,1,0),1),ÍNDICES!$A:$DE,$Z$709+1))))))</f>
        <v/>
      </c>
      <c r="D767" s="155"/>
      <c r="E767" s="88"/>
      <c r="F767" s="88"/>
      <c r="G767" s="88"/>
      <c r="H767" s="118"/>
      <c r="I767" s="182">
        <f t="shared" si="115"/>
        <v>0</v>
      </c>
      <c r="J767" s="20">
        <f t="shared" ca="1" si="116"/>
        <v>0</v>
      </c>
      <c r="K767" s="5">
        <f t="shared" ca="1" si="117"/>
        <v>0</v>
      </c>
      <c r="L767" s="61">
        <f t="shared" ca="1" si="118"/>
        <v>0</v>
      </c>
      <c r="M767" s="64">
        <f t="shared" si="119"/>
        <v>0</v>
      </c>
      <c r="N767" s="151"/>
      <c r="O767" s="5">
        <f t="shared" ca="1" si="120"/>
        <v>0</v>
      </c>
      <c r="P767" s="446" t="e">
        <f t="shared" si="121"/>
        <v>#VALUE!</v>
      </c>
      <c r="Q767" s="446" t="e">
        <f>IF(OR($B767="",MIN(Q$38,$D$19)&lt;MAX($P$708*($B767+IF($R$17="Distrato",$I$38-1,0)),IF(AND($L$711=0,$P$708=0),"",$L$711-1),IF($R$17="Distrato",$E767,0))),0,YEARFRAC(MAX($P$708*($B767+IF($R$17="Distrato",$I$38-1,0)),IF(AND($L$711=0,$P$708=0),"",$L$711-1),IF($R$17="Distrato",$E767,0)),MIN(Q$38,$D$19),$P$20))-SUM($P767:P767)</f>
        <v>#VALUE!</v>
      </c>
      <c r="R767" s="446" t="e">
        <f>IF(OR($B767="",MIN(R$38,$D$19)&lt;MAX($P$708*($B767+IF($R$17="Distrato",$I$38-1,0)),IF(AND($L$711=0,$P$708=0),"",$L$711-1),IF($R$17="Distrato",$E767,0))),0,YEARFRAC(MAX($P$708*($B767+IF($R$17="Distrato",$I$38-1,0)),IF(AND($L$711=0,$P$708=0),"",$L$711-1),IF($R$17="Distrato",$E767,0)),MIN(R$38,$D$19),$P$20))-SUM($P767:Q767)</f>
        <v>#VALUE!</v>
      </c>
      <c r="S767" s="446" t="e">
        <f>IF(OR($B767="",MIN(S$38,$D$19)&lt;MAX($P$708*($B767+IF($R$17="Distrato",$I$38-1,0)),IF(AND($L$711=0,$P$708=0),"",$L$711-1),IF($R$17="Distrato",$E767,0))),0,YEARFRAC(MAX($P$708*($B767+IF($R$17="Distrato",$I$38-1,0)),IF(AND($L$711=0,$P$708=0),"",$L$711-1),IF($R$17="Distrato",$E767,0)),MIN(S$38,$D$19),$P$20))-SUM($P767:R767)</f>
        <v>#VALUE!</v>
      </c>
      <c r="T767" s="446" t="e">
        <f>IF(OR($B767="",MIN(T$38,$D$19)&lt;MAX($P$708*($B767+IF($R$17="Distrato",$I$38-1,0)),IF(AND($L$711=0,$P$708=0),"",$L$711-1),IF($R$17="Distrato",$E767,0))),0,YEARFRAC(MAX($P$708*($B767+IF($R$17="Distrato",$I$38-1,0)),IF(AND($L$711=0,$P$708=0),"",$L$711-1),IF($R$17="Distrato",$E767,0)),MIN(T$38,$D$19),$P$20))-SUM($P767:S767)</f>
        <v>#VALUE!</v>
      </c>
      <c r="U767" s="446" t="e">
        <f>IF(OR($B767="",MIN(U$38,$D$19)&lt;MAX($P$708*($B767+IF($R$17="Distrato",$I$38-1,0)),IF(AND($L$711=0,$P$708=0),"",$L$711-1),IF($R$17="Distrato",$E767,0))),0,YEARFRAC(MAX($P$708*($B767+IF($R$17="Distrato",$I$38-1,0)),IF(AND($L$711=0,$P$708=0),"",$L$711-1),IF($R$17="Distrato",$E767,0)),MIN(U$38,$D$19),$P$20))-SUM($P767:T767)</f>
        <v>#VALUE!</v>
      </c>
      <c r="V767" s="446" t="e">
        <f>IF(OR($B767="",MIN(V$38,$D$19)&lt;MAX($P$708*($B767+IF($R$17="Distrato",$I$38-1,0)),IF(AND($L$711=0,$P$708=0),"",$L$711-1),IF($R$17="Distrato",$E767,0))),0,YEARFRAC(MAX($P$708*($B767+IF($R$17="Distrato",$I$38-1,0)),IF(AND($L$711=0,$P$708=0),"",$L$711-1),IF($R$17="Distrato",$E767,0)),MIN(V$38,$D$19),$P$20))-SUM($P767:U767)</f>
        <v>#VALUE!</v>
      </c>
      <c r="W767" s="446" t="e">
        <f>IF(OR($B767="",MIN(W$38,$D$19)&lt;MAX($P$708*($B767+IF($R$17="Distrato",$I$38-1,0)),IF(AND($L$711=0,$P$708=0),"",$L$711-1),IF($R$17="Distrato",$E767,0))),0,YEARFRAC(MAX($P$708*($B767+IF($R$17="Distrato",$I$38-1,0)),IF(AND($L$711=0,$P$708=0),"",$L$711-1),IF($R$17="Distrato",$E767,0)),MIN(W$38,$D$19),$P$20))-SUM($P767:V767)</f>
        <v>#VALUE!</v>
      </c>
      <c r="X767" s="446" t="e">
        <f>IF(OR($B767="",MIN(X$38,$D$19)&lt;MAX($P$708*($B767+IF($R$17="Distrato",$I$38-1,0)),IF(AND($L$711=0,$P$708=0),"",$L$711-1),IF($R$17="Distrato",$E767,0))),0,YEARFRAC(MAX($P$708*($B767+IF($R$17="Distrato",$I$38-1,0)),IF(AND($L$711=0,$P$708=0),"",$L$711-1),IF($R$17="Distrato",$E767,0)),MIN(X$38,$D$19),$P$20))-SUM($P767:W767)</f>
        <v>#VALUE!</v>
      </c>
      <c r="Y767" s="446" t="e">
        <f>IF(OR($B767="",MIN(Y$38,$D$19)&lt;MAX($P$708*($B767+IF($R$17="Distrato",$I$38-1,0)),IF(AND($L$711=0,$P$708=0),"",$L$711-1),IF($R$17="Distrato",$E767,0))),0,YEARFRAC(MAX($P$708*($B767+IF($R$17="Distrato",$I$38-1,0)),IF(AND($L$711=0,$P$708=0),"",$L$711-1),IF($R$17="Distrato",$E767,0)),MIN(Y$38,$D$19),$P$20))-SUM($P767:X767)</f>
        <v>#VALUE!</v>
      </c>
      <c r="Z767" s="446" t="e">
        <f>IF(OR($B767="",MIN(Z$38,$D$19)&lt;MAX($P$708*($B767+IF($R$17="Distrato",$I$38-1,0)),IF(AND($L$711=0,$P$708=0),"",$L$711-1),IF($R$17="Distrato",$E767,0))),0,YEARFRAC(MAX($P$708*($B767+IF($R$17="Distrato",$I$38-1,0)),IF(AND($L$711=0,$P$708=0),"",$L$711-1),IF($R$17="Distrato",$E767,0)),MIN(Z$38,$D$19),$P$20))-SUM($P767:Y767)</f>
        <v>#VALUE!</v>
      </c>
      <c r="AA767" s="446" t="e">
        <f>IF(OR($B767="",MIN(AA$38,$D$19)&lt;MAX($P$708*($B767+IF($R$17="Distrato",$I$38-1,0)),IF(AND($L$711=0,$P$708=0),"",$L$711-1),IF($R$17="Distrato",$E767,0))),0,YEARFRAC(MAX($P$708*($B767+IF($R$17="Distrato",$I$38-1,0)),IF(AND($L$711=0,$P$708=0),"",$L$711-1),IF($R$17="Distrato",$E767,0)),MIN(AA$38,$D$19),$P$20))-SUM($P767:Z767)</f>
        <v>#VALUE!</v>
      </c>
      <c r="AB767" s="446" t="e">
        <f>IF(OR($B767="",MIN(AB$38,$D$19)&lt;MAX($P$708*($B767+IF($R$17="Distrato",$I$38-1,0)),IF(AND($L$711=0,$P$708=0),"",$L$711-1),IF($R$17="Distrato",$E767,0))),0,YEARFRAC(MAX($P$708*($B767+IF($R$17="Distrato",$I$38-1,0)),IF(AND($L$711=0,$P$708=0),"",$L$711-1),IF($R$17="Distrato",$E767,0)),MIN(AB$38,$D$19),$P$20))-SUM($P767:AA767)</f>
        <v>#VALUE!</v>
      </c>
      <c r="AC767" s="446" t="e">
        <f>IF(OR($B767="",MIN(AC$38,$D$19)&lt;MAX($P$708*($B767+IF($R$17="Distrato",$I$38-1,0)),IF(AND($L$711=0,$P$708=0),"",$L$711-1),IF($R$17="Distrato",$E767,0))),0,YEARFRAC(MAX($P$708*($B767+IF($R$17="Distrato",$I$38-1,0)),IF(AND($L$711=0,$P$708=0),"",$L$711-1),IF($R$17="Distrato",$E767,0)),MIN(AC$38,$D$19),$P$20))-SUM($P767:AB767)</f>
        <v>#VALUE!</v>
      </c>
      <c r="AD767" s="446" t="e">
        <f>IF(OR($B767="",MIN(AD$38,$D$19)&lt;MAX($P$708*($B767+IF($R$17="Distrato",$I$38-1,0)),IF(AND($L$711=0,$P$708=0),"",$L$711-1),IF($R$17="Distrato",$E767,0))),0,YEARFRAC(MAX($P$708*($B767+IF($R$17="Distrato",$I$38-1,0)),IF(AND($L$711=0,$P$708=0),"",$L$711-1),IF($R$17="Distrato",$E767,0)),MIN(AD$38,$D$19),$P$20))-SUM($P767:AC767)</f>
        <v>#VALUE!</v>
      </c>
      <c r="AE767" s="446" t="e">
        <f>IF(OR($B767="",MIN(AE$38,$D$19)&lt;MAX($P$708*($B767+IF($R$17="Distrato",$I$38-1,0)),IF(AND($L$711=0,$P$708=0),"",$L$711-1),IF($R$17="Distrato",$E767,0))),0,YEARFRAC(MAX($P$708*($B767+IF($R$17="Distrato",$I$38-1,0)),IF(AND($L$711=0,$P$708=0),"",$L$711-1),IF($R$17="Distrato",$E767,0)),MIN(AE$38,$D$19),$P$20))-SUM($P767:AD767)</f>
        <v>#VALUE!</v>
      </c>
      <c r="AF767" s="446" t="e">
        <f>IF(OR($B767="",MIN(AF$38,$D$19)&lt;MAX($P$708*($B767+IF($R$17="Distrato",$I$38-1,0)),IF(AND($L$711=0,$P$708=0),"",$L$711-1),IF($R$17="Distrato",$E767,0))),0,YEARFRAC(MAX($P$708*($B767+IF($R$17="Distrato",$I$38-1,0)),IF(AND($L$711=0,$P$708=0),"",$L$711-1),IF($R$17="Distrato",$E767,0)),MIN(AF$38,$D$19),$P$20))-SUM($P767:AE767)</f>
        <v>#VALUE!</v>
      </c>
      <c r="AG767" s="446" t="e">
        <f>IF(OR($B767="",MIN(AG$38,$D$19)&lt;MAX($P$708*($B767+IF($R$17="Distrato",$I$38-1,0)),IF(AND($L$711=0,$P$708=0),"",$L$711-1),IF($R$17="Distrato",$E767,0))),0,YEARFRAC(MAX($P$708*($B767+IF($R$17="Distrato",$I$38-1,0)),IF(AND($L$711=0,$P$708=0),"",$L$711-1),IF($R$17="Distrato",$E767,0)),MIN(AG$38,$D$19),$P$20))-SUM($P767:AF767)</f>
        <v>#VALUE!</v>
      </c>
      <c r="AH767" s="446" t="e">
        <f>IF(OR($B767="",MIN(AH$38,$D$19)&lt;MAX($P$708*($B767+IF($R$17="Distrato",$I$38-1,0)),IF(AND($L$711=0,$P$708=0),"",$L$711-1),IF($R$17="Distrato",$E767,0))),0,YEARFRAC(MAX($P$708*($B767+IF($R$17="Distrato",$I$38-1,0)),IF(AND($L$711=0,$P$708=0),"",$L$711-1),IF($R$17="Distrato",$E767,0)),MIN(AH$38,$D$19),$P$20))-SUM($P767:AG767)</f>
        <v>#VALUE!</v>
      </c>
      <c r="AI767" s="446" t="e">
        <f>IF(OR($B767="",MIN(AI$38,$D$19)&lt;MAX($P$708*($B767+IF($R$17="Distrato",$I$38-1,0)),IF(AND($L$711=0,$P$708=0),"",$L$711-1),IF($R$17="Distrato",$E767,0))),0,YEARFRAC(MAX($P$708*($B767+IF($R$17="Distrato",$I$38-1,0)),IF(AND($L$711=0,$P$708=0),"",$L$711-1),IF($R$17="Distrato",$E767,0)),MIN(AI$38,$D$19),$P$20))-SUM($P767:AH767)</f>
        <v>#VALUE!</v>
      </c>
      <c r="AJ767" s="446" t="e">
        <f>IF(OR($B767="",MIN(AJ$38,$D$19)&lt;MAX($P$708*($B767+IF($R$17="Distrato",$I$38-1,0)),IF(AND($L$711=0,$P$708=0),"",$L$711-1),IF($R$17="Distrato",$E767,0))),0,YEARFRAC(MAX($P$708*($B767+IF($R$17="Distrato",$I$38-1,0)),IF(AND($L$711=0,$P$708=0),"",$L$711-1),IF($R$17="Distrato",$E767,0)),MIN(AJ$38,$D$19),$P$20))-SUM($P767:AI767)</f>
        <v>#VALUE!</v>
      </c>
      <c r="AK767" s="446" t="e">
        <f>IF(OR($B767="",MIN(AK$38,$D$19)&lt;MAX($P$708*($B767+IF($R$17="Distrato",$I$38-1,0)),IF(AND($L$711=0,$P$708=0),"",$L$711-1),IF($R$17="Distrato",$E767,0))),0,YEARFRAC(MAX($P$708*($B767+IF($R$17="Distrato",$I$38-1,0)),IF(AND($L$711=0,$P$708=0),"",$L$711-1),IF($R$17="Distrato",$E767,0)),MIN(AK$38,$D$19),$P$20))-SUM($P767:AJ767)</f>
        <v>#VALUE!</v>
      </c>
      <c r="AL767" s="446" t="e">
        <f>IF(OR($B767="",MIN(AL$38,$D$19)&lt;MAX($P$708*($B767+IF($R$17="Distrato",$I$38-1,0)),IF(AND($L$711=0,$P$708=0),"",$L$711-1),IF($R$17="Distrato",$E767,0))),0,YEARFRAC(MAX($P$708*($B767+IF($R$17="Distrato",$I$38-1,0)),IF(AND($L$711=0,$P$708=0),"",$L$711-1),IF($R$17="Distrato",$E767,0)),MIN(AL$38,$D$19),$P$20))-SUM($P767:AK767)</f>
        <v>#VALUE!</v>
      </c>
      <c r="AM767" s="446" t="e">
        <f>IF(OR($B767="",MIN(AM$38,$D$19)&lt;MAX($P$708*($B767+IF($R$17="Distrato",$I$38-1,0)),IF(AND($L$711=0,$P$708=0),"",$L$711-1),IF($R$17="Distrato",$E767,0))),0,YEARFRAC(MAX($P$708*($B767+IF($R$17="Distrato",$I$38-1,0)),IF(AND($L$711=0,$P$708=0),"",$L$711-1),IF($R$17="Distrato",$E767,0)),MIN(AM$38,$D$19),$P$20))-SUM($P767:AL767)</f>
        <v>#VALUE!</v>
      </c>
      <c r="AN767" s="446" t="e">
        <f>IF(OR($B767="",MIN(AN$38,$D$19)&lt;MAX($P$708*($B767+IF($R$17="Distrato",$I$38-1,0)),IF(AND($L$711=0,$P$708=0),"",$L$711-1),IF($R$17="Distrato",$E767,0))),0,YEARFRAC(MAX($P$708*($B767+IF($R$17="Distrato",$I$38-1,0)),IF(AND($L$711=0,$P$708=0),"",$L$711-1),IF($R$17="Distrato",$E767,0)),MIN(AN$38,$D$19),$P$20))-SUM($P767:AM767)</f>
        <v>#VALUE!</v>
      </c>
      <c r="AO767" s="446" t="e">
        <f>IF(OR($B767="",MIN(AO$38,$D$19)&lt;MAX($P$708*($B767+IF($R$17="Distrato",$I$38-1,0)),IF(AND($L$711=0,$P$708=0),"",$L$711-1),IF($R$17="Distrato",$E767,0))),0,YEARFRAC(MAX($P$708*($B767+IF($R$17="Distrato",$I$38-1,0)),IF(AND($L$711=0,$P$708=0),"",$L$711-1),IF($R$17="Distrato",$E767,0)),MIN(AO$38,$D$19),$P$20))-SUM($P767:AN767)</f>
        <v>#VALUE!</v>
      </c>
      <c r="AP767" s="446" t="e">
        <f>IF(OR($B767="",MIN(AP$38,$D$19)&lt;MAX($P$708*($B767+IF($R$17="Distrato",$I$38-1,0)),IF(AND($L$711=0,$P$708=0),"",$L$711-1),IF($R$17="Distrato",$E767,0))),0,YEARFRAC(MAX($P$708*($B767+IF($R$17="Distrato",$I$38-1,0)),IF(AND($L$711=0,$P$708=0),"",$L$711-1),IF($R$17="Distrato",$E767,0)),MIN(AP$38,$D$19),$P$20))-SUM($P767:AO767)</f>
        <v>#VALUE!</v>
      </c>
      <c r="AQ767" s="446" t="e">
        <f>IF(OR($B767="",MIN(AQ$38,$D$19)&lt;MAX($P$708*($B767+IF($R$17="Distrato",$I$38-1,0)),IF(AND($L$711=0,$P$708=0),"",$L$711-1),IF($R$17="Distrato",$E767,0))),0,YEARFRAC(MAX($P$708*($B767+IF($R$17="Distrato",$I$38-1,0)),IF(AND($L$711=0,$P$708=0),"",$L$711-1),IF($R$17="Distrato",$E767,0)),MIN(AQ$38,$D$19),$P$20))-SUM($P767:AP767)</f>
        <v>#VALUE!</v>
      </c>
      <c r="AR767" s="446" t="e">
        <f>IF(OR($B767="",MIN(AR$38,$D$19)&lt;MAX($P$708*($B767+IF($R$17="Distrato",$I$38-1,0)),IF(AND($L$711=0,$P$708=0),"",$L$711-1),IF($R$17="Distrato",$E767,0))),0,YEARFRAC(MAX($P$708*($B767+IF($R$17="Distrato",$I$38-1,0)),IF(AND($L$711=0,$P$708=0),"",$L$711-1),IF($R$17="Distrato",$E767,0)),MIN(AR$38,$D$19),$P$20))-SUM($P767:AQ767)</f>
        <v>#VALUE!</v>
      </c>
      <c r="AS767" s="446" t="e">
        <f>IF(OR($B767="",MIN(AS$38,$D$19)&lt;MAX($P$708*($B767+IF($R$17="Distrato",$I$38-1,0)),IF(AND($L$711=0,$P$708=0),"",$L$711-1),IF($R$17="Distrato",$E767,0))),0,YEARFRAC(MAX($P$708*($B767+IF($R$17="Distrato",$I$38-1,0)),IF(AND($L$711=0,$P$708=0),"",$L$711-1),IF($R$17="Distrato",$E767,0)),MIN(AS$38,$D$19),$P$20))-SUM($P767:AR767)</f>
        <v>#VALUE!</v>
      </c>
      <c r="AT767" s="446" t="e">
        <f>IF(OR($B767="",MIN(AT$38,$D$19)&lt;MAX($P$708*($B767+IF($R$17="Distrato",$I$38-1,0)),IF(AND($L$711=0,$P$708=0),"",$L$711-1),IF($R$17="Distrato",$E767,0))),0,YEARFRAC(MAX($P$708*($B767+IF($R$17="Distrato",$I$38-1,0)),IF(AND($L$711=0,$P$708=0),"",$L$711-1),IF($R$17="Distrato",$E767,0)),MIN(AT$38,$D$19),$P$20))-SUM($P767:AS767)</f>
        <v>#VALUE!</v>
      </c>
      <c r="AU767" s="446" t="e">
        <f>IF(OR($B767="",MIN(AU$38,$D$19)&lt;MAX($P$708*($B767+IF($R$17="Distrato",$I$38-1,0)),IF(AND($L$711=0,$P$708=0),"",$L$711-1),IF($R$17="Distrato",$E767,0))),0,YEARFRAC(MAX($P$708*($B767+IF($R$17="Distrato",$I$38-1,0)),IF(AND($L$711=0,$P$708=0),"",$L$711-1),IF($R$17="Distrato",$E767,0)),MIN(AU$38,$D$19),$P$20))-SUM($P767:AT767)</f>
        <v>#VALUE!</v>
      </c>
      <c r="AV767" s="446" t="e">
        <f>IF(OR($B767="",MIN(AV$38,$D$19)&lt;MAX($P$708*($B767+IF($R$17="Distrato",$I$38-1,0)),IF(AND($L$711=0,$P$708=0),"",$L$711-1),IF($R$17="Distrato",$E767,0))),0,YEARFRAC(MAX($P$708*($B767+IF($R$17="Distrato",$I$38-1,0)),IF(AND($L$711=0,$P$708=0),"",$L$711-1),IF($R$17="Distrato",$E767,0)),MIN(AV$38,$D$19),$P$20))-SUM($P767:AU767)</f>
        <v>#VALUE!</v>
      </c>
      <c r="AW767" s="446" t="e">
        <f>IF(OR($B767="",MIN(AW$38,$D$19)&lt;MAX($P$708*($B767+IF($R$17="Distrato",$I$38-1,0)),IF(AND($L$711=0,$P$708=0),"",$L$711-1),IF($R$17="Distrato",$E767,0))),0,YEARFRAC(MAX($P$708*($B767+IF($R$17="Distrato",$I$38-1,0)),IF(AND($L$711=0,$P$708=0),"",$L$711-1),IF($R$17="Distrato",$E767,0)),MIN(AW$38,$D$19),$P$20))-SUM($P767:AV767)</f>
        <v>#VALUE!</v>
      </c>
      <c r="AX767" s="446" t="e">
        <f>IF(OR($B767="",MIN(AX$38,$D$19)&lt;MAX($P$708*($B767+IF($R$17="Distrato",$I$38-1,0)),IF(AND($L$711=0,$P$708=0),"",$L$711-1),IF($R$17="Distrato",$E767,0))),0,YEARFRAC(MAX($P$708*($B767+IF($R$17="Distrato",$I$38-1,0)),IF(AND($L$711=0,$P$708=0),"",$L$711-1),IF($R$17="Distrato",$E767,0)),MIN(AX$38,$D$19),$P$20))-SUM($P767:AW767)</f>
        <v>#VALUE!</v>
      </c>
      <c r="AY767" s="446" t="e">
        <f>IF(OR($B767="",MIN(AY$38,$D$19)&lt;MAX($P$708*($B767+IF($R$17="Distrato",$I$38-1,0)),IF(AND($L$711=0,$P$708=0),"",$L$711-1),IF($R$17="Distrato",$E767,0))),0,YEARFRAC(MAX($P$708*($B767+IF($R$17="Distrato",$I$38-1,0)),IF(AND($L$711=0,$P$708=0),"",$L$711-1),IF($R$17="Distrato",$E767,0)),MIN(AY$38,$D$19),$P$20))-SUM($P767:AX767)</f>
        <v>#VALUE!</v>
      </c>
      <c r="AZ767" s="446" t="e">
        <f>IF(OR($B767="",MIN(AZ$38,$D$19)&lt;MAX($P$708*($B767+IF($R$17="Distrato",$I$38-1,0)),IF(AND($L$711=0,$P$708=0),"",$L$711-1),IF($R$17="Distrato",$E767,0))),0,YEARFRAC(MAX($P$708*($B767+IF($R$17="Distrato",$I$38-1,0)),IF(AND($L$711=0,$P$708=0),"",$L$711-1),IF($R$17="Distrato",$E767,0)),MIN(AZ$38,$D$19),$P$20))-SUM($P767:AY767)</f>
        <v>#VALUE!</v>
      </c>
      <c r="BA767" s="446" t="e">
        <f>IF(OR($B767="",MIN(BA$38,$D$19)&lt;MAX($P$708*($B767+IF($R$17="Distrato",$I$38-1,0)),IF(AND($L$711=0,$P$708=0),"",$L$711-1),IF($R$17="Distrato",$E767,0))),0,YEARFRAC(MAX($P$708*($B767+IF($R$17="Distrato",$I$38-1,0)),IF(AND($L$711=0,$P$708=0),"",$L$711-1),IF($R$17="Distrato",$E767,0)),MIN(BA$38,$D$19),$P$20))-SUM($P767:AZ767)</f>
        <v>#VALUE!</v>
      </c>
      <c r="BB767" s="447"/>
    </row>
    <row r="768" spans="1:54" s="446" customFormat="1" ht="11.25" hidden="1" customHeight="1" x14ac:dyDescent="0.2">
      <c r="A768" s="235"/>
      <c r="B768" s="236"/>
      <c r="C768" s="29" t="str">
        <f>IF(B768="","",IF($L$709=$BL$25,VLOOKUP(DATE(YEAR($D$19),MONTH($D$19)-1,1),ÍNDICES!$A:$DE,HLOOKUP($BL$25,ÍNDICES!$B$3:$T$4,2)+11)-VLOOKUP(B768,ÍNDICES!$A:$DE,HLOOKUP($BL$25,ÍNDICES!$B$3:$T$4,2)+11)+1%,IF(C$712=$W$26,$J$35,IF(ISERROR(IF(B768&gt;$D$19,1,VLOOKUP(DATE(YEAR(B768),MONTH(B768)+IF($C$709=$S$23,1,0),1),ÍNDICES!$A:$DE,$Z$709+1))),"",IF(B768&gt;$D$19,1,VLOOKUP(DATE(YEAR(B768),MONTH(B768)+IF($C$709=$S$23,1,0),1),ÍNDICES!$A:$DE,$Z$709+1))))))</f>
        <v/>
      </c>
      <c r="D768" s="155"/>
      <c r="E768" s="88"/>
      <c r="F768" s="88"/>
      <c r="G768" s="88"/>
      <c r="H768" s="118"/>
      <c r="I768" s="182">
        <f t="shared" si="115"/>
        <v>0</v>
      </c>
      <c r="J768" s="20">
        <f t="shared" ca="1" si="116"/>
        <v>0</v>
      </c>
      <c r="K768" s="5">
        <f t="shared" ca="1" si="117"/>
        <v>0</v>
      </c>
      <c r="L768" s="61">
        <f t="shared" ca="1" si="118"/>
        <v>0</v>
      </c>
      <c r="M768" s="64">
        <f t="shared" si="119"/>
        <v>0</v>
      </c>
      <c r="N768" s="151"/>
      <c r="O768" s="5">
        <f t="shared" ca="1" si="120"/>
        <v>0</v>
      </c>
      <c r="P768" s="446" t="e">
        <f t="shared" si="121"/>
        <v>#VALUE!</v>
      </c>
      <c r="Q768" s="446" t="e">
        <f>IF(OR($B768="",MIN(Q$38,$D$19)&lt;MAX($P$708*($B768+IF($R$17="Distrato",$I$38-1,0)),IF(AND($L$711=0,$P$708=0),"",$L$711-1),IF($R$17="Distrato",$E768,0))),0,YEARFRAC(MAX($P$708*($B768+IF($R$17="Distrato",$I$38-1,0)),IF(AND($L$711=0,$P$708=0),"",$L$711-1),IF($R$17="Distrato",$E768,0)),MIN(Q$38,$D$19),$P$20))-SUM($P768:P768)</f>
        <v>#VALUE!</v>
      </c>
      <c r="R768" s="446" t="e">
        <f>IF(OR($B768="",MIN(R$38,$D$19)&lt;MAX($P$708*($B768+IF($R$17="Distrato",$I$38-1,0)),IF(AND($L$711=0,$P$708=0),"",$L$711-1),IF($R$17="Distrato",$E768,0))),0,YEARFRAC(MAX($P$708*($B768+IF($R$17="Distrato",$I$38-1,0)),IF(AND($L$711=0,$P$708=0),"",$L$711-1),IF($R$17="Distrato",$E768,0)),MIN(R$38,$D$19),$P$20))-SUM($P768:Q768)</f>
        <v>#VALUE!</v>
      </c>
      <c r="S768" s="446" t="e">
        <f>IF(OR($B768="",MIN(S$38,$D$19)&lt;MAX($P$708*($B768+IF($R$17="Distrato",$I$38-1,0)),IF(AND($L$711=0,$P$708=0),"",$L$711-1),IF($R$17="Distrato",$E768,0))),0,YEARFRAC(MAX($P$708*($B768+IF($R$17="Distrato",$I$38-1,0)),IF(AND($L$711=0,$P$708=0),"",$L$711-1),IF($R$17="Distrato",$E768,0)),MIN(S$38,$D$19),$P$20))-SUM($P768:R768)</f>
        <v>#VALUE!</v>
      </c>
      <c r="T768" s="446" t="e">
        <f>IF(OR($B768="",MIN(T$38,$D$19)&lt;MAX($P$708*($B768+IF($R$17="Distrato",$I$38-1,0)),IF(AND($L$711=0,$P$708=0),"",$L$711-1),IF($R$17="Distrato",$E768,0))),0,YEARFRAC(MAX($P$708*($B768+IF($R$17="Distrato",$I$38-1,0)),IF(AND($L$711=0,$P$708=0),"",$L$711-1),IF($R$17="Distrato",$E768,0)),MIN(T$38,$D$19),$P$20))-SUM($P768:S768)</f>
        <v>#VALUE!</v>
      </c>
      <c r="U768" s="446" t="e">
        <f>IF(OR($B768="",MIN(U$38,$D$19)&lt;MAX($P$708*($B768+IF($R$17="Distrato",$I$38-1,0)),IF(AND($L$711=0,$P$708=0),"",$L$711-1),IF($R$17="Distrato",$E768,0))),0,YEARFRAC(MAX($P$708*($B768+IF($R$17="Distrato",$I$38-1,0)),IF(AND($L$711=0,$P$708=0),"",$L$711-1),IF($R$17="Distrato",$E768,0)),MIN(U$38,$D$19),$P$20))-SUM($P768:T768)</f>
        <v>#VALUE!</v>
      </c>
      <c r="V768" s="446" t="e">
        <f>IF(OR($B768="",MIN(V$38,$D$19)&lt;MAX($P$708*($B768+IF($R$17="Distrato",$I$38-1,0)),IF(AND($L$711=0,$P$708=0),"",$L$711-1),IF($R$17="Distrato",$E768,0))),0,YEARFRAC(MAX($P$708*($B768+IF($R$17="Distrato",$I$38-1,0)),IF(AND($L$711=0,$P$708=0),"",$L$711-1),IF($R$17="Distrato",$E768,0)),MIN(V$38,$D$19),$P$20))-SUM($P768:U768)</f>
        <v>#VALUE!</v>
      </c>
      <c r="W768" s="446" t="e">
        <f>IF(OR($B768="",MIN(W$38,$D$19)&lt;MAX($P$708*($B768+IF($R$17="Distrato",$I$38-1,0)),IF(AND($L$711=0,$P$708=0),"",$L$711-1),IF($R$17="Distrato",$E768,0))),0,YEARFRAC(MAX($P$708*($B768+IF($R$17="Distrato",$I$38-1,0)),IF(AND($L$711=0,$P$708=0),"",$L$711-1),IF($R$17="Distrato",$E768,0)),MIN(W$38,$D$19),$P$20))-SUM($P768:V768)</f>
        <v>#VALUE!</v>
      </c>
      <c r="X768" s="446" t="e">
        <f>IF(OR($B768="",MIN(X$38,$D$19)&lt;MAX($P$708*($B768+IF($R$17="Distrato",$I$38-1,0)),IF(AND($L$711=0,$P$708=0),"",$L$711-1),IF($R$17="Distrato",$E768,0))),0,YEARFRAC(MAX($P$708*($B768+IF($R$17="Distrato",$I$38-1,0)),IF(AND($L$711=0,$P$708=0),"",$L$711-1),IF($R$17="Distrato",$E768,0)),MIN(X$38,$D$19),$P$20))-SUM($P768:W768)</f>
        <v>#VALUE!</v>
      </c>
      <c r="Y768" s="446" t="e">
        <f>IF(OR($B768="",MIN(Y$38,$D$19)&lt;MAX($P$708*($B768+IF($R$17="Distrato",$I$38-1,0)),IF(AND($L$711=0,$P$708=0),"",$L$711-1),IF($R$17="Distrato",$E768,0))),0,YEARFRAC(MAX($P$708*($B768+IF($R$17="Distrato",$I$38-1,0)),IF(AND($L$711=0,$P$708=0),"",$L$711-1),IF($R$17="Distrato",$E768,0)),MIN(Y$38,$D$19),$P$20))-SUM($P768:X768)</f>
        <v>#VALUE!</v>
      </c>
      <c r="Z768" s="446" t="e">
        <f>IF(OR($B768="",MIN(Z$38,$D$19)&lt;MAX($P$708*($B768+IF($R$17="Distrato",$I$38-1,0)),IF(AND($L$711=0,$P$708=0),"",$L$711-1),IF($R$17="Distrato",$E768,0))),0,YEARFRAC(MAX($P$708*($B768+IF($R$17="Distrato",$I$38-1,0)),IF(AND($L$711=0,$P$708=0),"",$L$711-1),IF($R$17="Distrato",$E768,0)),MIN(Z$38,$D$19),$P$20))-SUM($P768:Y768)</f>
        <v>#VALUE!</v>
      </c>
      <c r="AA768" s="446" t="e">
        <f>IF(OR($B768="",MIN(AA$38,$D$19)&lt;MAX($P$708*($B768+IF($R$17="Distrato",$I$38-1,0)),IF(AND($L$711=0,$P$708=0),"",$L$711-1),IF($R$17="Distrato",$E768,0))),0,YEARFRAC(MAX($P$708*($B768+IF($R$17="Distrato",$I$38-1,0)),IF(AND($L$711=0,$P$708=0),"",$L$711-1),IF($R$17="Distrato",$E768,0)),MIN(AA$38,$D$19),$P$20))-SUM($P768:Z768)</f>
        <v>#VALUE!</v>
      </c>
      <c r="AB768" s="446" t="e">
        <f>IF(OR($B768="",MIN(AB$38,$D$19)&lt;MAX($P$708*($B768+IF($R$17="Distrato",$I$38-1,0)),IF(AND($L$711=0,$P$708=0),"",$L$711-1),IF($R$17="Distrato",$E768,0))),0,YEARFRAC(MAX($P$708*($B768+IF($R$17="Distrato",$I$38-1,0)),IF(AND($L$711=0,$P$708=0),"",$L$711-1),IF($R$17="Distrato",$E768,0)),MIN(AB$38,$D$19),$P$20))-SUM($P768:AA768)</f>
        <v>#VALUE!</v>
      </c>
      <c r="AC768" s="446" t="e">
        <f>IF(OR($B768="",MIN(AC$38,$D$19)&lt;MAX($P$708*($B768+IF($R$17="Distrato",$I$38-1,0)),IF(AND($L$711=0,$P$708=0),"",$L$711-1),IF($R$17="Distrato",$E768,0))),0,YEARFRAC(MAX($P$708*($B768+IF($R$17="Distrato",$I$38-1,0)),IF(AND($L$711=0,$P$708=0),"",$L$711-1),IF($R$17="Distrato",$E768,0)),MIN(AC$38,$D$19),$P$20))-SUM($P768:AB768)</f>
        <v>#VALUE!</v>
      </c>
      <c r="AD768" s="446" t="e">
        <f>IF(OR($B768="",MIN(AD$38,$D$19)&lt;MAX($P$708*($B768+IF($R$17="Distrato",$I$38-1,0)),IF(AND($L$711=0,$P$708=0),"",$L$711-1),IF($R$17="Distrato",$E768,0))),0,YEARFRAC(MAX($P$708*($B768+IF($R$17="Distrato",$I$38-1,0)),IF(AND($L$711=0,$P$708=0),"",$L$711-1),IF($R$17="Distrato",$E768,0)),MIN(AD$38,$D$19),$P$20))-SUM($P768:AC768)</f>
        <v>#VALUE!</v>
      </c>
      <c r="AE768" s="446" t="e">
        <f>IF(OR($B768="",MIN(AE$38,$D$19)&lt;MAX($P$708*($B768+IF($R$17="Distrato",$I$38-1,0)),IF(AND($L$711=0,$P$708=0),"",$L$711-1),IF($R$17="Distrato",$E768,0))),0,YEARFRAC(MAX($P$708*($B768+IF($R$17="Distrato",$I$38-1,0)),IF(AND($L$711=0,$P$708=0),"",$L$711-1),IF($R$17="Distrato",$E768,0)),MIN(AE$38,$D$19),$P$20))-SUM($P768:AD768)</f>
        <v>#VALUE!</v>
      </c>
      <c r="AF768" s="446" t="e">
        <f>IF(OR($B768="",MIN(AF$38,$D$19)&lt;MAX($P$708*($B768+IF($R$17="Distrato",$I$38-1,0)),IF(AND($L$711=0,$P$708=0),"",$L$711-1),IF($R$17="Distrato",$E768,0))),0,YEARFRAC(MAX($P$708*($B768+IF($R$17="Distrato",$I$38-1,0)),IF(AND($L$711=0,$P$708=0),"",$L$711-1),IF($R$17="Distrato",$E768,0)),MIN(AF$38,$D$19),$P$20))-SUM($P768:AE768)</f>
        <v>#VALUE!</v>
      </c>
      <c r="AG768" s="446" t="e">
        <f>IF(OR($B768="",MIN(AG$38,$D$19)&lt;MAX($P$708*($B768+IF($R$17="Distrato",$I$38-1,0)),IF(AND($L$711=0,$P$708=0),"",$L$711-1),IF($R$17="Distrato",$E768,0))),0,YEARFRAC(MAX($P$708*($B768+IF($R$17="Distrato",$I$38-1,0)),IF(AND($L$711=0,$P$708=0),"",$L$711-1),IF($R$17="Distrato",$E768,0)),MIN(AG$38,$D$19),$P$20))-SUM($P768:AF768)</f>
        <v>#VALUE!</v>
      </c>
      <c r="AH768" s="446" t="e">
        <f>IF(OR($B768="",MIN(AH$38,$D$19)&lt;MAX($P$708*($B768+IF($R$17="Distrato",$I$38-1,0)),IF(AND($L$711=0,$P$708=0),"",$L$711-1),IF($R$17="Distrato",$E768,0))),0,YEARFRAC(MAX($P$708*($B768+IF($R$17="Distrato",$I$38-1,0)),IF(AND($L$711=0,$P$708=0),"",$L$711-1),IF($R$17="Distrato",$E768,0)),MIN(AH$38,$D$19),$P$20))-SUM($P768:AG768)</f>
        <v>#VALUE!</v>
      </c>
      <c r="AI768" s="446" t="e">
        <f>IF(OR($B768="",MIN(AI$38,$D$19)&lt;MAX($P$708*($B768+IF($R$17="Distrato",$I$38-1,0)),IF(AND($L$711=0,$P$708=0),"",$L$711-1),IF($R$17="Distrato",$E768,0))),0,YEARFRAC(MAX($P$708*($B768+IF($R$17="Distrato",$I$38-1,0)),IF(AND($L$711=0,$P$708=0),"",$L$711-1),IF($R$17="Distrato",$E768,0)),MIN(AI$38,$D$19),$P$20))-SUM($P768:AH768)</f>
        <v>#VALUE!</v>
      </c>
      <c r="AJ768" s="446" t="e">
        <f>IF(OR($B768="",MIN(AJ$38,$D$19)&lt;MAX($P$708*($B768+IF($R$17="Distrato",$I$38-1,0)),IF(AND($L$711=0,$P$708=0),"",$L$711-1),IF($R$17="Distrato",$E768,0))),0,YEARFRAC(MAX($P$708*($B768+IF($R$17="Distrato",$I$38-1,0)),IF(AND($L$711=0,$P$708=0),"",$L$711-1),IF($R$17="Distrato",$E768,0)),MIN(AJ$38,$D$19),$P$20))-SUM($P768:AI768)</f>
        <v>#VALUE!</v>
      </c>
      <c r="AK768" s="446" t="e">
        <f>IF(OR($B768="",MIN(AK$38,$D$19)&lt;MAX($P$708*($B768+IF($R$17="Distrato",$I$38-1,0)),IF(AND($L$711=0,$P$708=0),"",$L$711-1),IF($R$17="Distrato",$E768,0))),0,YEARFRAC(MAX($P$708*($B768+IF($R$17="Distrato",$I$38-1,0)),IF(AND($L$711=0,$P$708=0),"",$L$711-1),IF($R$17="Distrato",$E768,0)),MIN(AK$38,$D$19),$P$20))-SUM($P768:AJ768)</f>
        <v>#VALUE!</v>
      </c>
      <c r="AL768" s="446" t="e">
        <f>IF(OR($B768="",MIN(AL$38,$D$19)&lt;MAX($P$708*($B768+IF($R$17="Distrato",$I$38-1,0)),IF(AND($L$711=0,$P$708=0),"",$L$711-1),IF($R$17="Distrato",$E768,0))),0,YEARFRAC(MAX($P$708*($B768+IF($R$17="Distrato",$I$38-1,0)),IF(AND($L$711=0,$P$708=0),"",$L$711-1),IF($R$17="Distrato",$E768,0)),MIN(AL$38,$D$19),$P$20))-SUM($P768:AK768)</f>
        <v>#VALUE!</v>
      </c>
      <c r="AM768" s="446" t="e">
        <f>IF(OR($B768="",MIN(AM$38,$D$19)&lt;MAX($P$708*($B768+IF($R$17="Distrato",$I$38-1,0)),IF(AND($L$711=0,$P$708=0),"",$L$711-1),IF($R$17="Distrato",$E768,0))),0,YEARFRAC(MAX($P$708*($B768+IF($R$17="Distrato",$I$38-1,0)),IF(AND($L$711=0,$P$708=0),"",$L$711-1),IF($R$17="Distrato",$E768,0)),MIN(AM$38,$D$19),$P$20))-SUM($P768:AL768)</f>
        <v>#VALUE!</v>
      </c>
      <c r="AN768" s="446" t="e">
        <f>IF(OR($B768="",MIN(AN$38,$D$19)&lt;MAX($P$708*($B768+IF($R$17="Distrato",$I$38-1,0)),IF(AND($L$711=0,$P$708=0),"",$L$711-1),IF($R$17="Distrato",$E768,0))),0,YEARFRAC(MAX($P$708*($B768+IF($R$17="Distrato",$I$38-1,0)),IF(AND($L$711=0,$P$708=0),"",$L$711-1),IF($R$17="Distrato",$E768,0)),MIN(AN$38,$D$19),$P$20))-SUM($P768:AM768)</f>
        <v>#VALUE!</v>
      </c>
      <c r="AO768" s="446" t="e">
        <f>IF(OR($B768="",MIN(AO$38,$D$19)&lt;MAX($P$708*($B768+IF($R$17="Distrato",$I$38-1,0)),IF(AND($L$711=0,$P$708=0),"",$L$711-1),IF($R$17="Distrato",$E768,0))),0,YEARFRAC(MAX($P$708*($B768+IF($R$17="Distrato",$I$38-1,0)),IF(AND($L$711=0,$P$708=0),"",$L$711-1),IF($R$17="Distrato",$E768,0)),MIN(AO$38,$D$19),$P$20))-SUM($P768:AN768)</f>
        <v>#VALUE!</v>
      </c>
      <c r="AP768" s="446" t="e">
        <f>IF(OR($B768="",MIN(AP$38,$D$19)&lt;MAX($P$708*($B768+IF($R$17="Distrato",$I$38-1,0)),IF(AND($L$711=0,$P$708=0),"",$L$711-1),IF($R$17="Distrato",$E768,0))),0,YEARFRAC(MAX($P$708*($B768+IF($R$17="Distrato",$I$38-1,0)),IF(AND($L$711=0,$P$708=0),"",$L$711-1),IF($R$17="Distrato",$E768,0)),MIN(AP$38,$D$19),$P$20))-SUM($P768:AO768)</f>
        <v>#VALUE!</v>
      </c>
      <c r="AQ768" s="446" t="e">
        <f>IF(OR($B768="",MIN(AQ$38,$D$19)&lt;MAX($P$708*($B768+IF($R$17="Distrato",$I$38-1,0)),IF(AND($L$711=0,$P$708=0),"",$L$711-1),IF($R$17="Distrato",$E768,0))),0,YEARFRAC(MAX($P$708*($B768+IF($R$17="Distrato",$I$38-1,0)),IF(AND($L$711=0,$P$708=0),"",$L$711-1),IF($R$17="Distrato",$E768,0)),MIN(AQ$38,$D$19),$P$20))-SUM($P768:AP768)</f>
        <v>#VALUE!</v>
      </c>
      <c r="AR768" s="446" t="e">
        <f>IF(OR($B768="",MIN(AR$38,$D$19)&lt;MAX($P$708*($B768+IF($R$17="Distrato",$I$38-1,0)),IF(AND($L$711=0,$P$708=0),"",$L$711-1),IF($R$17="Distrato",$E768,0))),0,YEARFRAC(MAX($P$708*($B768+IF($R$17="Distrato",$I$38-1,0)),IF(AND($L$711=0,$P$708=0),"",$L$711-1),IF($R$17="Distrato",$E768,0)),MIN(AR$38,$D$19),$P$20))-SUM($P768:AQ768)</f>
        <v>#VALUE!</v>
      </c>
      <c r="AS768" s="446" t="e">
        <f>IF(OR($B768="",MIN(AS$38,$D$19)&lt;MAX($P$708*($B768+IF($R$17="Distrato",$I$38-1,0)),IF(AND($L$711=0,$P$708=0),"",$L$711-1),IF($R$17="Distrato",$E768,0))),0,YEARFRAC(MAX($P$708*($B768+IF($R$17="Distrato",$I$38-1,0)),IF(AND($L$711=0,$P$708=0),"",$L$711-1),IF($R$17="Distrato",$E768,0)),MIN(AS$38,$D$19),$P$20))-SUM($P768:AR768)</f>
        <v>#VALUE!</v>
      </c>
      <c r="AT768" s="446" t="e">
        <f>IF(OR($B768="",MIN(AT$38,$D$19)&lt;MAX($P$708*($B768+IF($R$17="Distrato",$I$38-1,0)),IF(AND($L$711=0,$P$708=0),"",$L$711-1),IF($R$17="Distrato",$E768,0))),0,YEARFRAC(MAX($P$708*($B768+IF($R$17="Distrato",$I$38-1,0)),IF(AND($L$711=0,$P$708=0),"",$L$711-1),IF($R$17="Distrato",$E768,0)),MIN(AT$38,$D$19),$P$20))-SUM($P768:AS768)</f>
        <v>#VALUE!</v>
      </c>
      <c r="AU768" s="446" t="e">
        <f>IF(OR($B768="",MIN(AU$38,$D$19)&lt;MAX($P$708*($B768+IF($R$17="Distrato",$I$38-1,0)),IF(AND($L$711=0,$P$708=0),"",$L$711-1),IF($R$17="Distrato",$E768,0))),0,YEARFRAC(MAX($P$708*($B768+IF($R$17="Distrato",$I$38-1,0)),IF(AND($L$711=0,$P$708=0),"",$L$711-1),IF($R$17="Distrato",$E768,0)),MIN(AU$38,$D$19),$P$20))-SUM($P768:AT768)</f>
        <v>#VALUE!</v>
      </c>
      <c r="AV768" s="446" t="e">
        <f>IF(OR($B768="",MIN(AV$38,$D$19)&lt;MAX($P$708*($B768+IF($R$17="Distrato",$I$38-1,0)),IF(AND($L$711=0,$P$708=0),"",$L$711-1),IF($R$17="Distrato",$E768,0))),0,YEARFRAC(MAX($P$708*($B768+IF($R$17="Distrato",$I$38-1,0)),IF(AND($L$711=0,$P$708=0),"",$L$711-1),IF($R$17="Distrato",$E768,0)),MIN(AV$38,$D$19),$P$20))-SUM($P768:AU768)</f>
        <v>#VALUE!</v>
      </c>
      <c r="AW768" s="446" t="e">
        <f>IF(OR($B768="",MIN(AW$38,$D$19)&lt;MAX($P$708*($B768+IF($R$17="Distrato",$I$38-1,0)),IF(AND($L$711=0,$P$708=0),"",$L$711-1),IF($R$17="Distrato",$E768,0))),0,YEARFRAC(MAX($P$708*($B768+IF($R$17="Distrato",$I$38-1,0)),IF(AND($L$711=0,$P$708=0),"",$L$711-1),IF($R$17="Distrato",$E768,0)),MIN(AW$38,$D$19),$P$20))-SUM($P768:AV768)</f>
        <v>#VALUE!</v>
      </c>
      <c r="AX768" s="446" t="e">
        <f>IF(OR($B768="",MIN(AX$38,$D$19)&lt;MAX($P$708*($B768+IF($R$17="Distrato",$I$38-1,0)),IF(AND($L$711=0,$P$708=0),"",$L$711-1),IF($R$17="Distrato",$E768,0))),0,YEARFRAC(MAX($P$708*($B768+IF($R$17="Distrato",$I$38-1,0)),IF(AND($L$711=0,$P$708=0),"",$L$711-1),IF($R$17="Distrato",$E768,0)),MIN(AX$38,$D$19),$P$20))-SUM($P768:AW768)</f>
        <v>#VALUE!</v>
      </c>
      <c r="AY768" s="446" t="e">
        <f>IF(OR($B768="",MIN(AY$38,$D$19)&lt;MAX($P$708*($B768+IF($R$17="Distrato",$I$38-1,0)),IF(AND($L$711=0,$P$708=0),"",$L$711-1),IF($R$17="Distrato",$E768,0))),0,YEARFRAC(MAX($P$708*($B768+IF($R$17="Distrato",$I$38-1,0)),IF(AND($L$711=0,$P$708=0),"",$L$711-1),IF($R$17="Distrato",$E768,0)),MIN(AY$38,$D$19),$P$20))-SUM($P768:AX768)</f>
        <v>#VALUE!</v>
      </c>
      <c r="AZ768" s="446" t="e">
        <f>IF(OR($B768="",MIN(AZ$38,$D$19)&lt;MAX($P$708*($B768+IF($R$17="Distrato",$I$38-1,0)),IF(AND($L$711=0,$P$708=0),"",$L$711-1),IF($R$17="Distrato",$E768,0))),0,YEARFRAC(MAX($P$708*($B768+IF($R$17="Distrato",$I$38-1,0)),IF(AND($L$711=0,$P$708=0),"",$L$711-1),IF($R$17="Distrato",$E768,0)),MIN(AZ$38,$D$19),$P$20))-SUM($P768:AY768)</f>
        <v>#VALUE!</v>
      </c>
      <c r="BA768" s="446" t="e">
        <f>IF(OR($B768="",MIN(BA$38,$D$19)&lt;MAX($P$708*($B768+IF($R$17="Distrato",$I$38-1,0)),IF(AND($L$711=0,$P$708=0),"",$L$711-1),IF($R$17="Distrato",$E768,0))),0,YEARFRAC(MAX($P$708*($B768+IF($R$17="Distrato",$I$38-1,0)),IF(AND($L$711=0,$P$708=0),"",$L$711-1),IF($R$17="Distrato",$E768,0)),MIN(BA$38,$D$19),$P$20))-SUM($P768:AZ768)</f>
        <v>#VALUE!</v>
      </c>
      <c r="BB768" s="447"/>
    </row>
    <row r="769" spans="1:54" s="446" customFormat="1" ht="11.25" hidden="1" customHeight="1" x14ac:dyDescent="0.2">
      <c r="A769" s="235"/>
      <c r="B769" s="236"/>
      <c r="C769" s="29" t="str">
        <f>IF(B769="","",IF($L$709=$BL$25,VLOOKUP(DATE(YEAR($D$19),MONTH($D$19)-1,1),ÍNDICES!$A:$DE,HLOOKUP($BL$25,ÍNDICES!$B$3:$T$4,2)+11)-VLOOKUP(B769,ÍNDICES!$A:$DE,HLOOKUP($BL$25,ÍNDICES!$B$3:$T$4,2)+11)+1%,IF(C$712=$W$26,$J$35,IF(ISERROR(IF(B769&gt;$D$19,1,VLOOKUP(DATE(YEAR(B769),MONTH(B769)+IF($C$709=$S$23,1,0),1),ÍNDICES!$A:$DE,$Z$709+1))),"",IF(B769&gt;$D$19,1,VLOOKUP(DATE(YEAR(B769),MONTH(B769)+IF($C$709=$S$23,1,0),1),ÍNDICES!$A:$DE,$Z$709+1))))))</f>
        <v/>
      </c>
      <c r="D769" s="155"/>
      <c r="E769" s="88"/>
      <c r="F769" s="88"/>
      <c r="G769" s="88"/>
      <c r="H769" s="118"/>
      <c r="I769" s="182">
        <f t="shared" si="115"/>
        <v>0</v>
      </c>
      <c r="J769" s="20">
        <f t="shared" ca="1" si="116"/>
        <v>0</v>
      </c>
      <c r="K769" s="5">
        <f t="shared" ca="1" si="117"/>
        <v>0</v>
      </c>
      <c r="L769" s="61">
        <f t="shared" ca="1" si="118"/>
        <v>0</v>
      </c>
      <c r="M769" s="64">
        <f t="shared" si="119"/>
        <v>0</v>
      </c>
      <c r="N769" s="151"/>
      <c r="O769" s="5">
        <f t="shared" ca="1" si="120"/>
        <v>0</v>
      </c>
      <c r="P769" s="446" t="e">
        <f t="shared" si="121"/>
        <v>#VALUE!</v>
      </c>
      <c r="Q769" s="446" t="e">
        <f>IF(OR($B769="",MIN(Q$38,$D$19)&lt;MAX($P$708*($B769+IF($R$17="Distrato",$I$38-1,0)),IF(AND($L$711=0,$P$708=0),"",$L$711-1),IF($R$17="Distrato",$E769,0))),0,YEARFRAC(MAX($P$708*($B769+IF($R$17="Distrato",$I$38-1,0)),IF(AND($L$711=0,$P$708=0),"",$L$711-1),IF($R$17="Distrato",$E769,0)),MIN(Q$38,$D$19),$P$20))-SUM($P769:P769)</f>
        <v>#VALUE!</v>
      </c>
      <c r="R769" s="446" t="e">
        <f>IF(OR($B769="",MIN(R$38,$D$19)&lt;MAX($P$708*($B769+IF($R$17="Distrato",$I$38-1,0)),IF(AND($L$711=0,$P$708=0),"",$L$711-1),IF($R$17="Distrato",$E769,0))),0,YEARFRAC(MAX($P$708*($B769+IF($R$17="Distrato",$I$38-1,0)),IF(AND($L$711=0,$P$708=0),"",$L$711-1),IF($R$17="Distrato",$E769,0)),MIN(R$38,$D$19),$P$20))-SUM($P769:Q769)</f>
        <v>#VALUE!</v>
      </c>
      <c r="S769" s="446" t="e">
        <f>IF(OR($B769="",MIN(S$38,$D$19)&lt;MAX($P$708*($B769+IF($R$17="Distrato",$I$38-1,0)),IF(AND($L$711=0,$P$708=0),"",$L$711-1),IF($R$17="Distrato",$E769,0))),0,YEARFRAC(MAX($P$708*($B769+IF($R$17="Distrato",$I$38-1,0)),IF(AND($L$711=0,$P$708=0),"",$L$711-1),IF($R$17="Distrato",$E769,0)),MIN(S$38,$D$19),$P$20))-SUM($P769:R769)</f>
        <v>#VALUE!</v>
      </c>
      <c r="T769" s="446" t="e">
        <f>IF(OR($B769="",MIN(T$38,$D$19)&lt;MAX($P$708*($B769+IF($R$17="Distrato",$I$38-1,0)),IF(AND($L$711=0,$P$708=0),"",$L$711-1),IF($R$17="Distrato",$E769,0))),0,YEARFRAC(MAX($P$708*($B769+IF($R$17="Distrato",$I$38-1,0)),IF(AND($L$711=0,$P$708=0),"",$L$711-1),IF($R$17="Distrato",$E769,0)),MIN(T$38,$D$19),$P$20))-SUM($P769:S769)</f>
        <v>#VALUE!</v>
      </c>
      <c r="U769" s="446" t="e">
        <f>IF(OR($B769="",MIN(U$38,$D$19)&lt;MAX($P$708*($B769+IF($R$17="Distrato",$I$38-1,0)),IF(AND($L$711=0,$P$708=0),"",$L$711-1),IF($R$17="Distrato",$E769,0))),0,YEARFRAC(MAX($P$708*($B769+IF($R$17="Distrato",$I$38-1,0)),IF(AND($L$711=0,$P$708=0),"",$L$711-1),IF($R$17="Distrato",$E769,0)),MIN(U$38,$D$19),$P$20))-SUM($P769:T769)</f>
        <v>#VALUE!</v>
      </c>
      <c r="V769" s="446" t="e">
        <f>IF(OR($B769="",MIN(V$38,$D$19)&lt;MAX($P$708*($B769+IF($R$17="Distrato",$I$38-1,0)),IF(AND($L$711=0,$P$708=0),"",$L$711-1),IF($R$17="Distrato",$E769,0))),0,YEARFRAC(MAX($P$708*($B769+IF($R$17="Distrato",$I$38-1,0)),IF(AND($L$711=0,$P$708=0),"",$L$711-1),IF($R$17="Distrato",$E769,0)),MIN(V$38,$D$19),$P$20))-SUM($P769:U769)</f>
        <v>#VALUE!</v>
      </c>
      <c r="W769" s="446" t="e">
        <f>IF(OR($B769="",MIN(W$38,$D$19)&lt;MAX($P$708*($B769+IF($R$17="Distrato",$I$38-1,0)),IF(AND($L$711=0,$P$708=0),"",$L$711-1),IF($R$17="Distrato",$E769,0))),0,YEARFRAC(MAX($P$708*($B769+IF($R$17="Distrato",$I$38-1,0)),IF(AND($L$711=0,$P$708=0),"",$L$711-1),IF($R$17="Distrato",$E769,0)),MIN(W$38,$D$19),$P$20))-SUM($P769:V769)</f>
        <v>#VALUE!</v>
      </c>
      <c r="X769" s="446" t="e">
        <f>IF(OR($B769="",MIN(X$38,$D$19)&lt;MAX($P$708*($B769+IF($R$17="Distrato",$I$38-1,0)),IF(AND($L$711=0,$P$708=0),"",$L$711-1),IF($R$17="Distrato",$E769,0))),0,YEARFRAC(MAX($P$708*($B769+IF($R$17="Distrato",$I$38-1,0)),IF(AND($L$711=0,$P$708=0),"",$L$711-1),IF($R$17="Distrato",$E769,0)),MIN(X$38,$D$19),$P$20))-SUM($P769:W769)</f>
        <v>#VALUE!</v>
      </c>
      <c r="Y769" s="446" t="e">
        <f>IF(OR($B769="",MIN(Y$38,$D$19)&lt;MAX($P$708*($B769+IF($R$17="Distrato",$I$38-1,0)),IF(AND($L$711=0,$P$708=0),"",$L$711-1),IF($R$17="Distrato",$E769,0))),0,YEARFRAC(MAX($P$708*($B769+IF($R$17="Distrato",$I$38-1,0)),IF(AND($L$711=0,$P$708=0),"",$L$711-1),IF($R$17="Distrato",$E769,0)),MIN(Y$38,$D$19),$P$20))-SUM($P769:X769)</f>
        <v>#VALUE!</v>
      </c>
      <c r="Z769" s="446" t="e">
        <f>IF(OR($B769="",MIN(Z$38,$D$19)&lt;MAX($P$708*($B769+IF($R$17="Distrato",$I$38-1,0)),IF(AND($L$711=0,$P$708=0),"",$L$711-1),IF($R$17="Distrato",$E769,0))),0,YEARFRAC(MAX($P$708*($B769+IF($R$17="Distrato",$I$38-1,0)),IF(AND($L$711=0,$P$708=0),"",$L$711-1),IF($R$17="Distrato",$E769,0)),MIN(Z$38,$D$19),$P$20))-SUM($P769:Y769)</f>
        <v>#VALUE!</v>
      </c>
      <c r="AA769" s="446" t="e">
        <f>IF(OR($B769="",MIN(AA$38,$D$19)&lt;MAX($P$708*($B769+IF($R$17="Distrato",$I$38-1,0)),IF(AND($L$711=0,$P$708=0),"",$L$711-1),IF($R$17="Distrato",$E769,0))),0,YEARFRAC(MAX($P$708*($B769+IF($R$17="Distrato",$I$38-1,0)),IF(AND($L$711=0,$P$708=0),"",$L$711-1),IF($R$17="Distrato",$E769,0)),MIN(AA$38,$D$19),$P$20))-SUM($P769:Z769)</f>
        <v>#VALUE!</v>
      </c>
      <c r="AB769" s="446" t="e">
        <f>IF(OR($B769="",MIN(AB$38,$D$19)&lt;MAX($P$708*($B769+IF($R$17="Distrato",$I$38-1,0)),IF(AND($L$711=0,$P$708=0),"",$L$711-1),IF($R$17="Distrato",$E769,0))),0,YEARFRAC(MAX($P$708*($B769+IF($R$17="Distrato",$I$38-1,0)),IF(AND($L$711=0,$P$708=0),"",$L$711-1),IF($R$17="Distrato",$E769,0)),MIN(AB$38,$D$19),$P$20))-SUM($P769:AA769)</f>
        <v>#VALUE!</v>
      </c>
      <c r="AC769" s="446" t="e">
        <f>IF(OR($B769="",MIN(AC$38,$D$19)&lt;MAX($P$708*($B769+IF($R$17="Distrato",$I$38-1,0)),IF(AND($L$711=0,$P$708=0),"",$L$711-1),IF($R$17="Distrato",$E769,0))),0,YEARFRAC(MAX($P$708*($B769+IF($R$17="Distrato",$I$38-1,0)),IF(AND($L$711=0,$P$708=0),"",$L$711-1),IF($R$17="Distrato",$E769,0)),MIN(AC$38,$D$19),$P$20))-SUM($P769:AB769)</f>
        <v>#VALUE!</v>
      </c>
      <c r="AD769" s="446" t="e">
        <f>IF(OR($B769="",MIN(AD$38,$D$19)&lt;MAX($P$708*($B769+IF($R$17="Distrato",$I$38-1,0)),IF(AND($L$711=0,$P$708=0),"",$L$711-1),IF($R$17="Distrato",$E769,0))),0,YEARFRAC(MAX($P$708*($B769+IF($R$17="Distrato",$I$38-1,0)),IF(AND($L$711=0,$P$708=0),"",$L$711-1),IF($R$17="Distrato",$E769,0)),MIN(AD$38,$D$19),$P$20))-SUM($P769:AC769)</f>
        <v>#VALUE!</v>
      </c>
      <c r="AE769" s="446" t="e">
        <f>IF(OR($B769="",MIN(AE$38,$D$19)&lt;MAX($P$708*($B769+IF($R$17="Distrato",$I$38-1,0)),IF(AND($L$711=0,$P$708=0),"",$L$711-1),IF($R$17="Distrato",$E769,0))),0,YEARFRAC(MAX($P$708*($B769+IF($R$17="Distrato",$I$38-1,0)),IF(AND($L$711=0,$P$708=0),"",$L$711-1),IF($R$17="Distrato",$E769,0)),MIN(AE$38,$D$19),$P$20))-SUM($P769:AD769)</f>
        <v>#VALUE!</v>
      </c>
      <c r="AF769" s="446" t="e">
        <f>IF(OR($B769="",MIN(AF$38,$D$19)&lt;MAX($P$708*($B769+IF($R$17="Distrato",$I$38-1,0)),IF(AND($L$711=0,$P$708=0),"",$L$711-1),IF($R$17="Distrato",$E769,0))),0,YEARFRAC(MAX($P$708*($B769+IF($R$17="Distrato",$I$38-1,0)),IF(AND($L$711=0,$P$708=0),"",$L$711-1),IF($R$17="Distrato",$E769,0)),MIN(AF$38,$D$19),$P$20))-SUM($P769:AE769)</f>
        <v>#VALUE!</v>
      </c>
      <c r="AG769" s="446" t="e">
        <f>IF(OR($B769="",MIN(AG$38,$D$19)&lt;MAX($P$708*($B769+IF($R$17="Distrato",$I$38-1,0)),IF(AND($L$711=0,$P$708=0),"",$L$711-1),IF($R$17="Distrato",$E769,0))),0,YEARFRAC(MAX($P$708*($B769+IF($R$17="Distrato",$I$38-1,0)),IF(AND($L$711=0,$P$708=0),"",$L$711-1),IF($R$17="Distrato",$E769,0)),MIN(AG$38,$D$19),$P$20))-SUM($P769:AF769)</f>
        <v>#VALUE!</v>
      </c>
      <c r="AH769" s="446" t="e">
        <f>IF(OR($B769="",MIN(AH$38,$D$19)&lt;MAX($P$708*($B769+IF($R$17="Distrato",$I$38-1,0)),IF(AND($L$711=0,$P$708=0),"",$L$711-1),IF($R$17="Distrato",$E769,0))),0,YEARFRAC(MAX($P$708*($B769+IF($R$17="Distrato",$I$38-1,0)),IF(AND($L$711=0,$P$708=0),"",$L$711-1),IF($R$17="Distrato",$E769,0)),MIN(AH$38,$D$19),$P$20))-SUM($P769:AG769)</f>
        <v>#VALUE!</v>
      </c>
      <c r="AI769" s="446" t="e">
        <f>IF(OR($B769="",MIN(AI$38,$D$19)&lt;MAX($P$708*($B769+IF($R$17="Distrato",$I$38-1,0)),IF(AND($L$711=0,$P$708=0),"",$L$711-1),IF($R$17="Distrato",$E769,0))),0,YEARFRAC(MAX($P$708*($B769+IF($R$17="Distrato",$I$38-1,0)),IF(AND($L$711=0,$P$708=0),"",$L$711-1),IF($R$17="Distrato",$E769,0)),MIN(AI$38,$D$19),$P$20))-SUM($P769:AH769)</f>
        <v>#VALUE!</v>
      </c>
      <c r="AJ769" s="446" t="e">
        <f>IF(OR($B769="",MIN(AJ$38,$D$19)&lt;MAX($P$708*($B769+IF($R$17="Distrato",$I$38-1,0)),IF(AND($L$711=0,$P$708=0),"",$L$711-1),IF($R$17="Distrato",$E769,0))),0,YEARFRAC(MAX($P$708*($B769+IF($R$17="Distrato",$I$38-1,0)),IF(AND($L$711=0,$P$708=0),"",$L$711-1),IF($R$17="Distrato",$E769,0)),MIN(AJ$38,$D$19),$P$20))-SUM($P769:AI769)</f>
        <v>#VALUE!</v>
      </c>
      <c r="AK769" s="446" t="e">
        <f>IF(OR($B769="",MIN(AK$38,$D$19)&lt;MAX($P$708*($B769+IF($R$17="Distrato",$I$38-1,0)),IF(AND($L$711=0,$P$708=0),"",$L$711-1),IF($R$17="Distrato",$E769,0))),0,YEARFRAC(MAX($P$708*($B769+IF($R$17="Distrato",$I$38-1,0)),IF(AND($L$711=0,$P$708=0),"",$L$711-1),IF($R$17="Distrato",$E769,0)),MIN(AK$38,$D$19),$P$20))-SUM($P769:AJ769)</f>
        <v>#VALUE!</v>
      </c>
      <c r="AL769" s="446" t="e">
        <f>IF(OR($B769="",MIN(AL$38,$D$19)&lt;MAX($P$708*($B769+IF($R$17="Distrato",$I$38-1,0)),IF(AND($L$711=0,$P$708=0),"",$L$711-1),IF($R$17="Distrato",$E769,0))),0,YEARFRAC(MAX($P$708*($B769+IF($R$17="Distrato",$I$38-1,0)),IF(AND($L$711=0,$P$708=0),"",$L$711-1),IF($R$17="Distrato",$E769,0)),MIN(AL$38,$D$19),$P$20))-SUM($P769:AK769)</f>
        <v>#VALUE!</v>
      </c>
      <c r="AM769" s="446" t="e">
        <f>IF(OR($B769="",MIN(AM$38,$D$19)&lt;MAX($P$708*($B769+IF($R$17="Distrato",$I$38-1,0)),IF(AND($L$711=0,$P$708=0),"",$L$711-1),IF($R$17="Distrato",$E769,0))),0,YEARFRAC(MAX($P$708*($B769+IF($R$17="Distrato",$I$38-1,0)),IF(AND($L$711=0,$P$708=0),"",$L$711-1),IF($R$17="Distrato",$E769,0)),MIN(AM$38,$D$19),$P$20))-SUM($P769:AL769)</f>
        <v>#VALUE!</v>
      </c>
      <c r="AN769" s="446" t="e">
        <f>IF(OR($B769="",MIN(AN$38,$D$19)&lt;MAX($P$708*($B769+IF($R$17="Distrato",$I$38-1,0)),IF(AND($L$711=0,$P$708=0),"",$L$711-1),IF($R$17="Distrato",$E769,0))),0,YEARFRAC(MAX($P$708*($B769+IF($R$17="Distrato",$I$38-1,0)),IF(AND($L$711=0,$P$708=0),"",$L$711-1),IF($R$17="Distrato",$E769,0)),MIN(AN$38,$D$19),$P$20))-SUM($P769:AM769)</f>
        <v>#VALUE!</v>
      </c>
      <c r="AO769" s="446" t="e">
        <f>IF(OR($B769="",MIN(AO$38,$D$19)&lt;MAX($P$708*($B769+IF($R$17="Distrato",$I$38-1,0)),IF(AND($L$711=0,$P$708=0),"",$L$711-1),IF($R$17="Distrato",$E769,0))),0,YEARFRAC(MAX($P$708*($B769+IF($R$17="Distrato",$I$38-1,0)),IF(AND($L$711=0,$P$708=0),"",$L$711-1),IF($R$17="Distrato",$E769,0)),MIN(AO$38,$D$19),$P$20))-SUM($P769:AN769)</f>
        <v>#VALUE!</v>
      </c>
      <c r="AP769" s="446" t="e">
        <f>IF(OR($B769="",MIN(AP$38,$D$19)&lt;MAX($P$708*($B769+IF($R$17="Distrato",$I$38-1,0)),IF(AND($L$711=0,$P$708=0),"",$L$711-1),IF($R$17="Distrato",$E769,0))),0,YEARFRAC(MAX($P$708*($B769+IF($R$17="Distrato",$I$38-1,0)),IF(AND($L$711=0,$P$708=0),"",$L$711-1),IF($R$17="Distrato",$E769,0)),MIN(AP$38,$D$19),$P$20))-SUM($P769:AO769)</f>
        <v>#VALUE!</v>
      </c>
      <c r="AQ769" s="446" t="e">
        <f>IF(OR($B769="",MIN(AQ$38,$D$19)&lt;MAX($P$708*($B769+IF($R$17="Distrato",$I$38-1,0)),IF(AND($L$711=0,$P$708=0),"",$L$711-1),IF($R$17="Distrato",$E769,0))),0,YEARFRAC(MAX($P$708*($B769+IF($R$17="Distrato",$I$38-1,0)),IF(AND($L$711=0,$P$708=0),"",$L$711-1),IF($R$17="Distrato",$E769,0)),MIN(AQ$38,$D$19),$P$20))-SUM($P769:AP769)</f>
        <v>#VALUE!</v>
      </c>
      <c r="AR769" s="446" t="e">
        <f>IF(OR($B769="",MIN(AR$38,$D$19)&lt;MAX($P$708*($B769+IF($R$17="Distrato",$I$38-1,0)),IF(AND($L$711=0,$P$708=0),"",$L$711-1),IF($R$17="Distrato",$E769,0))),0,YEARFRAC(MAX($P$708*($B769+IF($R$17="Distrato",$I$38-1,0)),IF(AND($L$711=0,$P$708=0),"",$L$711-1),IF($R$17="Distrato",$E769,0)),MIN(AR$38,$D$19),$P$20))-SUM($P769:AQ769)</f>
        <v>#VALUE!</v>
      </c>
      <c r="AS769" s="446" t="e">
        <f>IF(OR($B769="",MIN(AS$38,$D$19)&lt;MAX($P$708*($B769+IF($R$17="Distrato",$I$38-1,0)),IF(AND($L$711=0,$P$708=0),"",$L$711-1),IF($R$17="Distrato",$E769,0))),0,YEARFRAC(MAX($P$708*($B769+IF($R$17="Distrato",$I$38-1,0)),IF(AND($L$711=0,$P$708=0),"",$L$711-1),IF($R$17="Distrato",$E769,0)),MIN(AS$38,$D$19),$P$20))-SUM($P769:AR769)</f>
        <v>#VALUE!</v>
      </c>
      <c r="AT769" s="446" t="e">
        <f>IF(OR($B769="",MIN(AT$38,$D$19)&lt;MAX($P$708*($B769+IF($R$17="Distrato",$I$38-1,0)),IF(AND($L$711=0,$P$708=0),"",$L$711-1),IF($R$17="Distrato",$E769,0))),0,YEARFRAC(MAX($P$708*($B769+IF($R$17="Distrato",$I$38-1,0)),IF(AND($L$711=0,$P$708=0),"",$L$711-1),IF($R$17="Distrato",$E769,0)),MIN(AT$38,$D$19),$P$20))-SUM($P769:AS769)</f>
        <v>#VALUE!</v>
      </c>
      <c r="AU769" s="446" t="e">
        <f>IF(OR($B769="",MIN(AU$38,$D$19)&lt;MAX($P$708*($B769+IF($R$17="Distrato",$I$38-1,0)),IF(AND($L$711=0,$P$708=0),"",$L$711-1),IF($R$17="Distrato",$E769,0))),0,YEARFRAC(MAX($P$708*($B769+IF($R$17="Distrato",$I$38-1,0)),IF(AND($L$711=0,$P$708=0),"",$L$711-1),IF($R$17="Distrato",$E769,0)),MIN(AU$38,$D$19),$P$20))-SUM($P769:AT769)</f>
        <v>#VALUE!</v>
      </c>
      <c r="AV769" s="446" t="e">
        <f>IF(OR($B769="",MIN(AV$38,$D$19)&lt;MAX($P$708*($B769+IF($R$17="Distrato",$I$38-1,0)),IF(AND($L$711=0,$P$708=0),"",$L$711-1),IF($R$17="Distrato",$E769,0))),0,YEARFRAC(MAX($P$708*($B769+IF($R$17="Distrato",$I$38-1,0)),IF(AND($L$711=0,$P$708=0),"",$L$711-1),IF($R$17="Distrato",$E769,0)),MIN(AV$38,$D$19),$P$20))-SUM($P769:AU769)</f>
        <v>#VALUE!</v>
      </c>
      <c r="AW769" s="446" t="e">
        <f>IF(OR($B769="",MIN(AW$38,$D$19)&lt;MAX($P$708*($B769+IF($R$17="Distrato",$I$38-1,0)),IF(AND($L$711=0,$P$708=0),"",$L$711-1),IF($R$17="Distrato",$E769,0))),0,YEARFRAC(MAX($P$708*($B769+IF($R$17="Distrato",$I$38-1,0)),IF(AND($L$711=0,$P$708=0),"",$L$711-1),IF($R$17="Distrato",$E769,0)),MIN(AW$38,$D$19),$P$20))-SUM($P769:AV769)</f>
        <v>#VALUE!</v>
      </c>
      <c r="AX769" s="446" t="e">
        <f>IF(OR($B769="",MIN(AX$38,$D$19)&lt;MAX($P$708*($B769+IF($R$17="Distrato",$I$38-1,0)),IF(AND($L$711=0,$P$708=0),"",$L$711-1),IF($R$17="Distrato",$E769,0))),0,YEARFRAC(MAX($P$708*($B769+IF($R$17="Distrato",$I$38-1,0)),IF(AND($L$711=0,$P$708=0),"",$L$711-1),IF($R$17="Distrato",$E769,0)),MIN(AX$38,$D$19),$P$20))-SUM($P769:AW769)</f>
        <v>#VALUE!</v>
      </c>
      <c r="AY769" s="446" t="e">
        <f>IF(OR($B769="",MIN(AY$38,$D$19)&lt;MAX($P$708*($B769+IF($R$17="Distrato",$I$38-1,0)),IF(AND($L$711=0,$P$708=0),"",$L$711-1),IF($R$17="Distrato",$E769,0))),0,YEARFRAC(MAX($P$708*($B769+IF($R$17="Distrato",$I$38-1,0)),IF(AND($L$711=0,$P$708=0),"",$L$711-1),IF($R$17="Distrato",$E769,0)),MIN(AY$38,$D$19),$P$20))-SUM($P769:AX769)</f>
        <v>#VALUE!</v>
      </c>
      <c r="AZ769" s="446" t="e">
        <f>IF(OR($B769="",MIN(AZ$38,$D$19)&lt;MAX($P$708*($B769+IF($R$17="Distrato",$I$38-1,0)),IF(AND($L$711=0,$P$708=0),"",$L$711-1),IF($R$17="Distrato",$E769,0))),0,YEARFRAC(MAX($P$708*($B769+IF($R$17="Distrato",$I$38-1,0)),IF(AND($L$711=0,$P$708=0),"",$L$711-1),IF($R$17="Distrato",$E769,0)),MIN(AZ$38,$D$19),$P$20))-SUM($P769:AY769)</f>
        <v>#VALUE!</v>
      </c>
      <c r="BA769" s="446" t="e">
        <f>IF(OR($B769="",MIN(BA$38,$D$19)&lt;MAX($P$708*($B769+IF($R$17="Distrato",$I$38-1,0)),IF(AND($L$711=0,$P$708=0),"",$L$711-1),IF($R$17="Distrato",$E769,0))),0,YEARFRAC(MAX($P$708*($B769+IF($R$17="Distrato",$I$38-1,0)),IF(AND($L$711=0,$P$708=0),"",$L$711-1),IF($R$17="Distrato",$E769,0)),MIN(BA$38,$D$19),$P$20))-SUM($P769:AZ769)</f>
        <v>#VALUE!</v>
      </c>
      <c r="BB769" s="447"/>
    </row>
    <row r="770" spans="1:54" s="446" customFormat="1" ht="11.25" hidden="1" customHeight="1" x14ac:dyDescent="0.2">
      <c r="A770" s="235"/>
      <c r="B770" s="236"/>
      <c r="C770" s="29" t="str">
        <f>IF(B770="","",IF($L$709=$BL$25,VLOOKUP(DATE(YEAR($D$19),MONTH($D$19)-1,1),ÍNDICES!$A:$DE,HLOOKUP($BL$25,ÍNDICES!$B$3:$T$4,2)+11)-VLOOKUP(B770,ÍNDICES!$A:$DE,HLOOKUP($BL$25,ÍNDICES!$B$3:$T$4,2)+11)+1%,IF(C$712=$W$26,$J$35,IF(ISERROR(IF(B770&gt;$D$19,1,VLOOKUP(DATE(YEAR(B770),MONTH(B770)+IF($C$709=$S$23,1,0),1),ÍNDICES!$A:$DE,$Z$709+1))),"",IF(B770&gt;$D$19,1,VLOOKUP(DATE(YEAR(B770),MONTH(B770)+IF($C$709=$S$23,1,0),1),ÍNDICES!$A:$DE,$Z$709+1))))))</f>
        <v/>
      </c>
      <c r="D770" s="155"/>
      <c r="E770" s="88"/>
      <c r="F770" s="88"/>
      <c r="G770" s="88"/>
      <c r="H770" s="118"/>
      <c r="I770" s="182">
        <f t="shared" si="115"/>
        <v>0</v>
      </c>
      <c r="J770" s="20">
        <f t="shared" ca="1" si="116"/>
        <v>0</v>
      </c>
      <c r="K770" s="5">
        <f t="shared" ca="1" si="117"/>
        <v>0</v>
      </c>
      <c r="L770" s="61">
        <f t="shared" ca="1" si="118"/>
        <v>0</v>
      </c>
      <c r="M770" s="64">
        <f t="shared" si="119"/>
        <v>0</v>
      </c>
      <c r="N770" s="151"/>
      <c r="O770" s="5">
        <f t="shared" ca="1" si="120"/>
        <v>0</v>
      </c>
      <c r="P770" s="446" t="e">
        <f t="shared" si="121"/>
        <v>#VALUE!</v>
      </c>
      <c r="Q770" s="446" t="e">
        <f>IF(OR($B770="",MIN(Q$38,$D$19)&lt;MAX($P$708*($B770+IF($R$17="Distrato",$I$38-1,0)),IF(AND($L$711=0,$P$708=0),"",$L$711-1),IF($R$17="Distrato",$E770,0))),0,YEARFRAC(MAX($P$708*($B770+IF($R$17="Distrato",$I$38-1,0)),IF(AND($L$711=0,$P$708=0),"",$L$711-1),IF($R$17="Distrato",$E770,0)),MIN(Q$38,$D$19),$P$20))-SUM($P770:P770)</f>
        <v>#VALUE!</v>
      </c>
      <c r="R770" s="446" t="e">
        <f>IF(OR($B770="",MIN(R$38,$D$19)&lt;MAX($P$708*($B770+IF($R$17="Distrato",$I$38-1,0)),IF(AND($L$711=0,$P$708=0),"",$L$711-1),IF($R$17="Distrato",$E770,0))),0,YEARFRAC(MAX($P$708*($B770+IF($R$17="Distrato",$I$38-1,0)),IF(AND($L$711=0,$P$708=0),"",$L$711-1),IF($R$17="Distrato",$E770,0)),MIN(R$38,$D$19),$P$20))-SUM($P770:Q770)</f>
        <v>#VALUE!</v>
      </c>
      <c r="S770" s="446" t="e">
        <f>IF(OR($B770="",MIN(S$38,$D$19)&lt;MAX($P$708*($B770+IF($R$17="Distrato",$I$38-1,0)),IF(AND($L$711=0,$P$708=0),"",$L$711-1),IF($R$17="Distrato",$E770,0))),0,YEARFRAC(MAX($P$708*($B770+IF($R$17="Distrato",$I$38-1,0)),IF(AND($L$711=0,$P$708=0),"",$L$711-1),IF($R$17="Distrato",$E770,0)),MIN(S$38,$D$19),$P$20))-SUM($P770:R770)</f>
        <v>#VALUE!</v>
      </c>
      <c r="T770" s="446" t="e">
        <f>IF(OR($B770="",MIN(T$38,$D$19)&lt;MAX($P$708*($B770+IF($R$17="Distrato",$I$38-1,0)),IF(AND($L$711=0,$P$708=0),"",$L$711-1),IF($R$17="Distrato",$E770,0))),0,YEARFRAC(MAX($P$708*($B770+IF($R$17="Distrato",$I$38-1,0)),IF(AND($L$711=0,$P$708=0),"",$L$711-1),IF($R$17="Distrato",$E770,0)),MIN(T$38,$D$19),$P$20))-SUM($P770:S770)</f>
        <v>#VALUE!</v>
      </c>
      <c r="U770" s="446" t="e">
        <f>IF(OR($B770="",MIN(U$38,$D$19)&lt;MAX($P$708*($B770+IF($R$17="Distrato",$I$38-1,0)),IF(AND($L$711=0,$P$708=0),"",$L$711-1),IF($R$17="Distrato",$E770,0))),0,YEARFRAC(MAX($P$708*($B770+IF($R$17="Distrato",$I$38-1,0)),IF(AND($L$711=0,$P$708=0),"",$L$711-1),IF($R$17="Distrato",$E770,0)),MIN(U$38,$D$19),$P$20))-SUM($P770:T770)</f>
        <v>#VALUE!</v>
      </c>
      <c r="V770" s="446" t="e">
        <f>IF(OR($B770="",MIN(V$38,$D$19)&lt;MAX($P$708*($B770+IF($R$17="Distrato",$I$38-1,0)),IF(AND($L$711=0,$P$708=0),"",$L$711-1),IF($R$17="Distrato",$E770,0))),0,YEARFRAC(MAX($P$708*($B770+IF($R$17="Distrato",$I$38-1,0)),IF(AND($L$711=0,$P$708=0),"",$L$711-1),IF($R$17="Distrato",$E770,0)),MIN(V$38,$D$19),$P$20))-SUM($P770:U770)</f>
        <v>#VALUE!</v>
      </c>
      <c r="W770" s="446" t="e">
        <f>IF(OR($B770="",MIN(W$38,$D$19)&lt;MAX($P$708*($B770+IF($R$17="Distrato",$I$38-1,0)),IF(AND($L$711=0,$P$708=0),"",$L$711-1),IF($R$17="Distrato",$E770,0))),0,YEARFRAC(MAX($P$708*($B770+IF($R$17="Distrato",$I$38-1,0)),IF(AND($L$711=0,$P$708=0),"",$L$711-1),IF($R$17="Distrato",$E770,0)),MIN(W$38,$D$19),$P$20))-SUM($P770:V770)</f>
        <v>#VALUE!</v>
      </c>
      <c r="X770" s="446" t="e">
        <f>IF(OR($B770="",MIN(X$38,$D$19)&lt;MAX($P$708*($B770+IF($R$17="Distrato",$I$38-1,0)),IF(AND($L$711=0,$P$708=0),"",$L$711-1),IF($R$17="Distrato",$E770,0))),0,YEARFRAC(MAX($P$708*($B770+IF($R$17="Distrato",$I$38-1,0)),IF(AND($L$711=0,$P$708=0),"",$L$711-1),IF($R$17="Distrato",$E770,0)),MIN(X$38,$D$19),$P$20))-SUM($P770:W770)</f>
        <v>#VALUE!</v>
      </c>
      <c r="Y770" s="446" t="e">
        <f>IF(OR($B770="",MIN(Y$38,$D$19)&lt;MAX($P$708*($B770+IF($R$17="Distrato",$I$38-1,0)),IF(AND($L$711=0,$P$708=0),"",$L$711-1),IF($R$17="Distrato",$E770,0))),0,YEARFRAC(MAX($P$708*($B770+IF($R$17="Distrato",$I$38-1,0)),IF(AND($L$711=0,$P$708=0),"",$L$711-1),IF($R$17="Distrato",$E770,0)),MIN(Y$38,$D$19),$P$20))-SUM($P770:X770)</f>
        <v>#VALUE!</v>
      </c>
      <c r="Z770" s="446" t="e">
        <f>IF(OR($B770="",MIN(Z$38,$D$19)&lt;MAX($P$708*($B770+IF($R$17="Distrato",$I$38-1,0)),IF(AND($L$711=0,$P$708=0),"",$L$711-1),IF($R$17="Distrato",$E770,0))),0,YEARFRAC(MAX($P$708*($B770+IF($R$17="Distrato",$I$38-1,0)),IF(AND($L$711=0,$P$708=0),"",$L$711-1),IF($R$17="Distrato",$E770,0)),MIN(Z$38,$D$19),$P$20))-SUM($P770:Y770)</f>
        <v>#VALUE!</v>
      </c>
      <c r="AA770" s="446" t="e">
        <f>IF(OR($B770="",MIN(AA$38,$D$19)&lt;MAX($P$708*($B770+IF($R$17="Distrato",$I$38-1,0)),IF(AND($L$711=0,$P$708=0),"",$L$711-1),IF($R$17="Distrato",$E770,0))),0,YEARFRAC(MAX($P$708*($B770+IF($R$17="Distrato",$I$38-1,0)),IF(AND($L$711=0,$P$708=0),"",$L$711-1),IF($R$17="Distrato",$E770,0)),MIN(AA$38,$D$19),$P$20))-SUM($P770:Z770)</f>
        <v>#VALUE!</v>
      </c>
      <c r="AB770" s="446" t="e">
        <f>IF(OR($B770="",MIN(AB$38,$D$19)&lt;MAX($P$708*($B770+IF($R$17="Distrato",$I$38-1,0)),IF(AND($L$711=0,$P$708=0),"",$L$711-1),IF($R$17="Distrato",$E770,0))),0,YEARFRAC(MAX($P$708*($B770+IF($R$17="Distrato",$I$38-1,0)),IF(AND($L$711=0,$P$708=0),"",$L$711-1),IF($R$17="Distrato",$E770,0)),MIN(AB$38,$D$19),$P$20))-SUM($P770:AA770)</f>
        <v>#VALUE!</v>
      </c>
      <c r="AC770" s="446" t="e">
        <f>IF(OR($B770="",MIN(AC$38,$D$19)&lt;MAX($P$708*($B770+IF($R$17="Distrato",$I$38-1,0)),IF(AND($L$711=0,$P$708=0),"",$L$711-1),IF($R$17="Distrato",$E770,0))),0,YEARFRAC(MAX($P$708*($B770+IF($R$17="Distrato",$I$38-1,0)),IF(AND($L$711=0,$P$708=0),"",$L$711-1),IF($R$17="Distrato",$E770,0)),MIN(AC$38,$D$19),$P$20))-SUM($P770:AB770)</f>
        <v>#VALUE!</v>
      </c>
      <c r="AD770" s="446" t="e">
        <f>IF(OR($B770="",MIN(AD$38,$D$19)&lt;MAX($P$708*($B770+IF($R$17="Distrato",$I$38-1,0)),IF(AND($L$711=0,$P$708=0),"",$L$711-1),IF($R$17="Distrato",$E770,0))),0,YEARFRAC(MAX($P$708*($B770+IF($R$17="Distrato",$I$38-1,0)),IF(AND($L$711=0,$P$708=0),"",$L$711-1),IF($R$17="Distrato",$E770,0)),MIN(AD$38,$D$19),$P$20))-SUM($P770:AC770)</f>
        <v>#VALUE!</v>
      </c>
      <c r="AE770" s="446" t="e">
        <f>IF(OR($B770="",MIN(AE$38,$D$19)&lt;MAX($P$708*($B770+IF($R$17="Distrato",$I$38-1,0)),IF(AND($L$711=0,$P$708=0),"",$L$711-1),IF($R$17="Distrato",$E770,0))),0,YEARFRAC(MAX($P$708*($B770+IF($R$17="Distrato",$I$38-1,0)),IF(AND($L$711=0,$P$708=0),"",$L$711-1),IF($R$17="Distrato",$E770,0)),MIN(AE$38,$D$19),$P$20))-SUM($P770:AD770)</f>
        <v>#VALUE!</v>
      </c>
      <c r="AF770" s="446" t="e">
        <f>IF(OR($B770="",MIN(AF$38,$D$19)&lt;MAX($P$708*($B770+IF($R$17="Distrato",$I$38-1,0)),IF(AND($L$711=0,$P$708=0),"",$L$711-1),IF($R$17="Distrato",$E770,0))),0,YEARFRAC(MAX($P$708*($B770+IF($R$17="Distrato",$I$38-1,0)),IF(AND($L$711=0,$P$708=0),"",$L$711-1),IF($R$17="Distrato",$E770,0)),MIN(AF$38,$D$19),$P$20))-SUM($P770:AE770)</f>
        <v>#VALUE!</v>
      </c>
      <c r="AG770" s="446" t="e">
        <f>IF(OR($B770="",MIN(AG$38,$D$19)&lt;MAX($P$708*($B770+IF($R$17="Distrato",$I$38-1,0)),IF(AND($L$711=0,$P$708=0),"",$L$711-1),IF($R$17="Distrato",$E770,0))),0,YEARFRAC(MAX($P$708*($B770+IF($R$17="Distrato",$I$38-1,0)),IF(AND($L$711=0,$P$708=0),"",$L$711-1),IF($R$17="Distrato",$E770,0)),MIN(AG$38,$D$19),$P$20))-SUM($P770:AF770)</f>
        <v>#VALUE!</v>
      </c>
      <c r="AH770" s="446" t="e">
        <f>IF(OR($B770="",MIN(AH$38,$D$19)&lt;MAX($P$708*($B770+IF($R$17="Distrato",$I$38-1,0)),IF(AND($L$711=0,$P$708=0),"",$L$711-1),IF($R$17="Distrato",$E770,0))),0,YEARFRAC(MAX($P$708*($B770+IF($R$17="Distrato",$I$38-1,0)),IF(AND($L$711=0,$P$708=0),"",$L$711-1),IF($R$17="Distrato",$E770,0)),MIN(AH$38,$D$19),$P$20))-SUM($P770:AG770)</f>
        <v>#VALUE!</v>
      </c>
      <c r="AI770" s="446" t="e">
        <f>IF(OR($B770="",MIN(AI$38,$D$19)&lt;MAX($P$708*($B770+IF($R$17="Distrato",$I$38-1,0)),IF(AND($L$711=0,$P$708=0),"",$L$711-1),IF($R$17="Distrato",$E770,0))),0,YEARFRAC(MAX($P$708*($B770+IF($R$17="Distrato",$I$38-1,0)),IF(AND($L$711=0,$P$708=0),"",$L$711-1),IF($R$17="Distrato",$E770,0)),MIN(AI$38,$D$19),$P$20))-SUM($P770:AH770)</f>
        <v>#VALUE!</v>
      </c>
      <c r="AJ770" s="446" t="e">
        <f>IF(OR($B770="",MIN(AJ$38,$D$19)&lt;MAX($P$708*($B770+IF($R$17="Distrato",$I$38-1,0)),IF(AND($L$711=0,$P$708=0),"",$L$711-1),IF($R$17="Distrato",$E770,0))),0,YEARFRAC(MAX($P$708*($B770+IF($R$17="Distrato",$I$38-1,0)),IF(AND($L$711=0,$P$708=0),"",$L$711-1),IF($R$17="Distrato",$E770,0)),MIN(AJ$38,$D$19),$P$20))-SUM($P770:AI770)</f>
        <v>#VALUE!</v>
      </c>
      <c r="AK770" s="446" t="e">
        <f>IF(OR($B770="",MIN(AK$38,$D$19)&lt;MAX($P$708*($B770+IF($R$17="Distrato",$I$38-1,0)),IF(AND($L$711=0,$P$708=0),"",$L$711-1),IF($R$17="Distrato",$E770,0))),0,YEARFRAC(MAX($P$708*($B770+IF($R$17="Distrato",$I$38-1,0)),IF(AND($L$711=0,$P$708=0),"",$L$711-1),IF($R$17="Distrato",$E770,0)),MIN(AK$38,$D$19),$P$20))-SUM($P770:AJ770)</f>
        <v>#VALUE!</v>
      </c>
      <c r="AL770" s="446" t="e">
        <f>IF(OR($B770="",MIN(AL$38,$D$19)&lt;MAX($P$708*($B770+IF($R$17="Distrato",$I$38-1,0)),IF(AND($L$711=0,$P$708=0),"",$L$711-1),IF($R$17="Distrato",$E770,0))),0,YEARFRAC(MAX($P$708*($B770+IF($R$17="Distrato",$I$38-1,0)),IF(AND($L$711=0,$P$708=0),"",$L$711-1),IF($R$17="Distrato",$E770,0)),MIN(AL$38,$D$19),$P$20))-SUM($P770:AK770)</f>
        <v>#VALUE!</v>
      </c>
      <c r="AM770" s="446" t="e">
        <f>IF(OR($B770="",MIN(AM$38,$D$19)&lt;MAX($P$708*($B770+IF($R$17="Distrato",$I$38-1,0)),IF(AND($L$711=0,$P$708=0),"",$L$711-1),IF($R$17="Distrato",$E770,0))),0,YEARFRAC(MAX($P$708*($B770+IF($R$17="Distrato",$I$38-1,0)),IF(AND($L$711=0,$P$708=0),"",$L$711-1),IF($R$17="Distrato",$E770,0)),MIN(AM$38,$D$19),$P$20))-SUM($P770:AL770)</f>
        <v>#VALUE!</v>
      </c>
      <c r="AN770" s="446" t="e">
        <f>IF(OR($B770="",MIN(AN$38,$D$19)&lt;MAX($P$708*($B770+IF($R$17="Distrato",$I$38-1,0)),IF(AND($L$711=0,$P$708=0),"",$L$711-1),IF($R$17="Distrato",$E770,0))),0,YEARFRAC(MAX($P$708*($B770+IF($R$17="Distrato",$I$38-1,0)),IF(AND($L$711=0,$P$708=0),"",$L$711-1),IF($R$17="Distrato",$E770,0)),MIN(AN$38,$D$19),$P$20))-SUM($P770:AM770)</f>
        <v>#VALUE!</v>
      </c>
      <c r="AO770" s="446" t="e">
        <f>IF(OR($B770="",MIN(AO$38,$D$19)&lt;MAX($P$708*($B770+IF($R$17="Distrato",$I$38-1,0)),IF(AND($L$711=0,$P$708=0),"",$L$711-1),IF($R$17="Distrato",$E770,0))),0,YEARFRAC(MAX($P$708*($B770+IF($R$17="Distrato",$I$38-1,0)),IF(AND($L$711=0,$P$708=0),"",$L$711-1),IF($R$17="Distrato",$E770,0)),MIN(AO$38,$D$19),$P$20))-SUM($P770:AN770)</f>
        <v>#VALUE!</v>
      </c>
      <c r="AP770" s="446" t="e">
        <f>IF(OR($B770="",MIN(AP$38,$D$19)&lt;MAX($P$708*($B770+IF($R$17="Distrato",$I$38-1,0)),IF(AND($L$711=0,$P$708=0),"",$L$711-1),IF($R$17="Distrato",$E770,0))),0,YEARFRAC(MAX($P$708*($B770+IF($R$17="Distrato",$I$38-1,0)),IF(AND($L$711=0,$P$708=0),"",$L$711-1),IF($R$17="Distrato",$E770,0)),MIN(AP$38,$D$19),$P$20))-SUM($P770:AO770)</f>
        <v>#VALUE!</v>
      </c>
      <c r="AQ770" s="446" t="e">
        <f>IF(OR($B770="",MIN(AQ$38,$D$19)&lt;MAX($P$708*($B770+IF($R$17="Distrato",$I$38-1,0)),IF(AND($L$711=0,$P$708=0),"",$L$711-1),IF($R$17="Distrato",$E770,0))),0,YEARFRAC(MAX($P$708*($B770+IF($R$17="Distrato",$I$38-1,0)),IF(AND($L$711=0,$P$708=0),"",$L$711-1),IF($R$17="Distrato",$E770,0)),MIN(AQ$38,$D$19),$P$20))-SUM($P770:AP770)</f>
        <v>#VALUE!</v>
      </c>
      <c r="AR770" s="446" t="e">
        <f>IF(OR($B770="",MIN(AR$38,$D$19)&lt;MAX($P$708*($B770+IF($R$17="Distrato",$I$38-1,0)),IF(AND($L$711=0,$P$708=0),"",$L$711-1),IF($R$17="Distrato",$E770,0))),0,YEARFRAC(MAX($P$708*($B770+IF($R$17="Distrato",$I$38-1,0)),IF(AND($L$711=0,$P$708=0),"",$L$711-1),IF($R$17="Distrato",$E770,0)),MIN(AR$38,$D$19),$P$20))-SUM($P770:AQ770)</f>
        <v>#VALUE!</v>
      </c>
      <c r="AS770" s="446" t="e">
        <f>IF(OR($B770="",MIN(AS$38,$D$19)&lt;MAX($P$708*($B770+IF($R$17="Distrato",$I$38-1,0)),IF(AND($L$711=0,$P$708=0),"",$L$711-1),IF($R$17="Distrato",$E770,0))),0,YEARFRAC(MAX($P$708*($B770+IF($R$17="Distrato",$I$38-1,0)),IF(AND($L$711=0,$P$708=0),"",$L$711-1),IF($R$17="Distrato",$E770,0)),MIN(AS$38,$D$19),$P$20))-SUM($P770:AR770)</f>
        <v>#VALUE!</v>
      </c>
      <c r="AT770" s="446" t="e">
        <f>IF(OR($B770="",MIN(AT$38,$D$19)&lt;MAX($P$708*($B770+IF($R$17="Distrato",$I$38-1,0)),IF(AND($L$711=0,$P$708=0),"",$L$711-1),IF($R$17="Distrato",$E770,0))),0,YEARFRAC(MAX($P$708*($B770+IF($R$17="Distrato",$I$38-1,0)),IF(AND($L$711=0,$P$708=0),"",$L$711-1),IF($R$17="Distrato",$E770,0)),MIN(AT$38,$D$19),$P$20))-SUM($P770:AS770)</f>
        <v>#VALUE!</v>
      </c>
      <c r="AU770" s="446" t="e">
        <f>IF(OR($B770="",MIN(AU$38,$D$19)&lt;MAX($P$708*($B770+IF($R$17="Distrato",$I$38-1,0)),IF(AND($L$711=0,$P$708=0),"",$L$711-1),IF($R$17="Distrato",$E770,0))),0,YEARFRAC(MAX($P$708*($B770+IF($R$17="Distrato",$I$38-1,0)),IF(AND($L$711=0,$P$708=0),"",$L$711-1),IF($R$17="Distrato",$E770,0)),MIN(AU$38,$D$19),$P$20))-SUM($P770:AT770)</f>
        <v>#VALUE!</v>
      </c>
      <c r="AV770" s="446" t="e">
        <f>IF(OR($B770="",MIN(AV$38,$D$19)&lt;MAX($P$708*($B770+IF($R$17="Distrato",$I$38-1,0)),IF(AND($L$711=0,$P$708=0),"",$L$711-1),IF($R$17="Distrato",$E770,0))),0,YEARFRAC(MAX($P$708*($B770+IF($R$17="Distrato",$I$38-1,0)),IF(AND($L$711=0,$P$708=0),"",$L$711-1),IF($R$17="Distrato",$E770,0)),MIN(AV$38,$D$19),$P$20))-SUM($P770:AU770)</f>
        <v>#VALUE!</v>
      </c>
      <c r="AW770" s="446" t="e">
        <f>IF(OR($B770="",MIN(AW$38,$D$19)&lt;MAX($P$708*($B770+IF($R$17="Distrato",$I$38-1,0)),IF(AND($L$711=0,$P$708=0),"",$L$711-1),IF($R$17="Distrato",$E770,0))),0,YEARFRAC(MAX($P$708*($B770+IF($R$17="Distrato",$I$38-1,0)),IF(AND($L$711=0,$P$708=0),"",$L$711-1),IF($R$17="Distrato",$E770,0)),MIN(AW$38,$D$19),$P$20))-SUM($P770:AV770)</f>
        <v>#VALUE!</v>
      </c>
      <c r="AX770" s="446" t="e">
        <f>IF(OR($B770="",MIN(AX$38,$D$19)&lt;MAX($P$708*($B770+IF($R$17="Distrato",$I$38-1,0)),IF(AND($L$711=0,$P$708=0),"",$L$711-1),IF($R$17="Distrato",$E770,0))),0,YEARFRAC(MAX($P$708*($B770+IF($R$17="Distrato",$I$38-1,0)),IF(AND($L$711=0,$P$708=0),"",$L$711-1),IF($R$17="Distrato",$E770,0)),MIN(AX$38,$D$19),$P$20))-SUM($P770:AW770)</f>
        <v>#VALUE!</v>
      </c>
      <c r="AY770" s="446" t="e">
        <f>IF(OR($B770="",MIN(AY$38,$D$19)&lt;MAX($P$708*($B770+IF($R$17="Distrato",$I$38-1,0)),IF(AND($L$711=0,$P$708=0),"",$L$711-1),IF($R$17="Distrato",$E770,0))),0,YEARFRAC(MAX($P$708*($B770+IF($R$17="Distrato",$I$38-1,0)),IF(AND($L$711=0,$P$708=0),"",$L$711-1),IF($R$17="Distrato",$E770,0)),MIN(AY$38,$D$19),$P$20))-SUM($P770:AX770)</f>
        <v>#VALUE!</v>
      </c>
      <c r="AZ770" s="446" t="e">
        <f>IF(OR($B770="",MIN(AZ$38,$D$19)&lt;MAX($P$708*($B770+IF($R$17="Distrato",$I$38-1,0)),IF(AND($L$711=0,$P$708=0),"",$L$711-1),IF($R$17="Distrato",$E770,0))),0,YEARFRAC(MAX($P$708*($B770+IF($R$17="Distrato",$I$38-1,0)),IF(AND($L$711=0,$P$708=0),"",$L$711-1),IF($R$17="Distrato",$E770,0)),MIN(AZ$38,$D$19),$P$20))-SUM($P770:AY770)</f>
        <v>#VALUE!</v>
      </c>
      <c r="BA770" s="446" t="e">
        <f>IF(OR($B770="",MIN(BA$38,$D$19)&lt;MAX($P$708*($B770+IF($R$17="Distrato",$I$38-1,0)),IF(AND($L$711=0,$P$708=0),"",$L$711-1),IF($R$17="Distrato",$E770,0))),0,YEARFRAC(MAX($P$708*($B770+IF($R$17="Distrato",$I$38-1,0)),IF(AND($L$711=0,$P$708=0),"",$L$711-1),IF($R$17="Distrato",$E770,0)),MIN(BA$38,$D$19),$P$20))-SUM($P770:AZ770)</f>
        <v>#VALUE!</v>
      </c>
      <c r="BB770" s="447"/>
    </row>
    <row r="771" spans="1:54" s="446" customFormat="1" ht="11.25" hidden="1" customHeight="1" x14ac:dyDescent="0.2">
      <c r="A771" s="235"/>
      <c r="B771" s="236"/>
      <c r="C771" s="29" t="str">
        <f>IF(B771="","",IF($L$709=$BL$25,VLOOKUP(DATE(YEAR($D$19),MONTH($D$19)-1,1),ÍNDICES!$A:$DE,HLOOKUP($BL$25,ÍNDICES!$B$3:$T$4,2)+11)-VLOOKUP(B771,ÍNDICES!$A:$DE,HLOOKUP($BL$25,ÍNDICES!$B$3:$T$4,2)+11)+1%,IF(C$712=$W$26,$J$35,IF(ISERROR(IF(B771&gt;$D$19,1,VLOOKUP(DATE(YEAR(B771),MONTH(B771)+IF($C$709=$S$23,1,0),1),ÍNDICES!$A:$DE,$Z$709+1))),"",IF(B771&gt;$D$19,1,VLOOKUP(DATE(YEAR(B771),MONTH(B771)+IF($C$709=$S$23,1,0),1),ÍNDICES!$A:$DE,$Z$709+1))))))</f>
        <v/>
      </c>
      <c r="D771" s="155"/>
      <c r="E771" s="88"/>
      <c r="F771" s="88"/>
      <c r="G771" s="88"/>
      <c r="H771" s="118"/>
      <c r="I771" s="182">
        <f t="shared" si="115"/>
        <v>0</v>
      </c>
      <c r="J771" s="20">
        <f t="shared" ca="1" si="116"/>
        <v>0</v>
      </c>
      <c r="K771" s="5">
        <f t="shared" ca="1" si="117"/>
        <v>0</v>
      </c>
      <c r="L771" s="61">
        <f t="shared" ca="1" si="118"/>
        <v>0</v>
      </c>
      <c r="M771" s="64">
        <f t="shared" si="119"/>
        <v>0</v>
      </c>
      <c r="N771" s="151"/>
      <c r="O771" s="5">
        <f t="shared" ca="1" si="120"/>
        <v>0</v>
      </c>
      <c r="P771" s="446" t="e">
        <f t="shared" si="121"/>
        <v>#VALUE!</v>
      </c>
      <c r="Q771" s="446" t="e">
        <f>IF(OR($B771="",MIN(Q$38,$D$19)&lt;MAX($P$708*($B771+IF($R$17="Distrato",$I$38-1,0)),IF(AND($L$711=0,$P$708=0),"",$L$711-1),IF($R$17="Distrato",$E771,0))),0,YEARFRAC(MAX($P$708*($B771+IF($R$17="Distrato",$I$38-1,0)),IF(AND($L$711=0,$P$708=0),"",$L$711-1),IF($R$17="Distrato",$E771,0)),MIN(Q$38,$D$19),$P$20))-SUM($P771:P771)</f>
        <v>#VALUE!</v>
      </c>
      <c r="R771" s="446" t="e">
        <f>IF(OR($B771="",MIN(R$38,$D$19)&lt;MAX($P$708*($B771+IF($R$17="Distrato",$I$38-1,0)),IF(AND($L$711=0,$P$708=0),"",$L$711-1),IF($R$17="Distrato",$E771,0))),0,YEARFRAC(MAX($P$708*($B771+IF($R$17="Distrato",$I$38-1,0)),IF(AND($L$711=0,$P$708=0),"",$L$711-1),IF($R$17="Distrato",$E771,0)),MIN(R$38,$D$19),$P$20))-SUM($P771:Q771)</f>
        <v>#VALUE!</v>
      </c>
      <c r="S771" s="446" t="e">
        <f>IF(OR($B771="",MIN(S$38,$D$19)&lt;MAX($P$708*($B771+IF($R$17="Distrato",$I$38-1,0)),IF(AND($L$711=0,$P$708=0),"",$L$711-1),IF($R$17="Distrato",$E771,0))),0,YEARFRAC(MAX($P$708*($B771+IF($R$17="Distrato",$I$38-1,0)),IF(AND($L$711=0,$P$708=0),"",$L$711-1),IF($R$17="Distrato",$E771,0)),MIN(S$38,$D$19),$P$20))-SUM($P771:R771)</f>
        <v>#VALUE!</v>
      </c>
      <c r="T771" s="446" t="e">
        <f>IF(OR($B771="",MIN(T$38,$D$19)&lt;MAX($P$708*($B771+IF($R$17="Distrato",$I$38-1,0)),IF(AND($L$711=0,$P$708=0),"",$L$711-1),IF($R$17="Distrato",$E771,0))),0,YEARFRAC(MAX($P$708*($B771+IF($R$17="Distrato",$I$38-1,0)),IF(AND($L$711=0,$P$708=0),"",$L$711-1),IF($R$17="Distrato",$E771,0)),MIN(T$38,$D$19),$P$20))-SUM($P771:S771)</f>
        <v>#VALUE!</v>
      </c>
      <c r="U771" s="446" t="e">
        <f>IF(OR($B771="",MIN(U$38,$D$19)&lt;MAX($P$708*($B771+IF($R$17="Distrato",$I$38-1,0)),IF(AND($L$711=0,$P$708=0),"",$L$711-1),IF($R$17="Distrato",$E771,0))),0,YEARFRAC(MAX($P$708*($B771+IF($R$17="Distrato",$I$38-1,0)),IF(AND($L$711=0,$P$708=0),"",$L$711-1),IF($R$17="Distrato",$E771,0)),MIN(U$38,$D$19),$P$20))-SUM($P771:T771)</f>
        <v>#VALUE!</v>
      </c>
      <c r="V771" s="446" t="e">
        <f>IF(OR($B771="",MIN(V$38,$D$19)&lt;MAX($P$708*($B771+IF($R$17="Distrato",$I$38-1,0)),IF(AND($L$711=0,$P$708=0),"",$L$711-1),IF($R$17="Distrato",$E771,0))),0,YEARFRAC(MAX($P$708*($B771+IF($R$17="Distrato",$I$38-1,0)),IF(AND($L$711=0,$P$708=0),"",$L$711-1),IF($R$17="Distrato",$E771,0)),MIN(V$38,$D$19),$P$20))-SUM($P771:U771)</f>
        <v>#VALUE!</v>
      </c>
      <c r="W771" s="446" t="e">
        <f>IF(OR($B771="",MIN(W$38,$D$19)&lt;MAX($P$708*($B771+IF($R$17="Distrato",$I$38-1,0)),IF(AND($L$711=0,$P$708=0),"",$L$711-1),IF($R$17="Distrato",$E771,0))),0,YEARFRAC(MAX($P$708*($B771+IF($R$17="Distrato",$I$38-1,0)),IF(AND($L$711=0,$P$708=0),"",$L$711-1),IF($R$17="Distrato",$E771,0)),MIN(W$38,$D$19),$P$20))-SUM($P771:V771)</f>
        <v>#VALUE!</v>
      </c>
      <c r="X771" s="446" t="e">
        <f>IF(OR($B771="",MIN(X$38,$D$19)&lt;MAX($P$708*($B771+IF($R$17="Distrato",$I$38-1,0)),IF(AND($L$711=0,$P$708=0),"",$L$711-1),IF($R$17="Distrato",$E771,0))),0,YEARFRAC(MAX($P$708*($B771+IF($R$17="Distrato",$I$38-1,0)),IF(AND($L$711=0,$P$708=0),"",$L$711-1),IF($R$17="Distrato",$E771,0)),MIN(X$38,$D$19),$P$20))-SUM($P771:W771)</f>
        <v>#VALUE!</v>
      </c>
      <c r="Y771" s="446" t="e">
        <f>IF(OR($B771="",MIN(Y$38,$D$19)&lt;MAX($P$708*($B771+IF($R$17="Distrato",$I$38-1,0)),IF(AND($L$711=0,$P$708=0),"",$L$711-1),IF($R$17="Distrato",$E771,0))),0,YEARFRAC(MAX($P$708*($B771+IF($R$17="Distrato",$I$38-1,0)),IF(AND($L$711=0,$P$708=0),"",$L$711-1),IF($R$17="Distrato",$E771,0)),MIN(Y$38,$D$19),$P$20))-SUM($P771:X771)</f>
        <v>#VALUE!</v>
      </c>
      <c r="Z771" s="446" t="e">
        <f>IF(OR($B771="",MIN(Z$38,$D$19)&lt;MAX($P$708*($B771+IF($R$17="Distrato",$I$38-1,0)),IF(AND($L$711=0,$P$708=0),"",$L$711-1),IF($R$17="Distrato",$E771,0))),0,YEARFRAC(MAX($P$708*($B771+IF($R$17="Distrato",$I$38-1,0)),IF(AND($L$711=0,$P$708=0),"",$L$711-1),IF($R$17="Distrato",$E771,0)),MIN(Z$38,$D$19),$P$20))-SUM($P771:Y771)</f>
        <v>#VALUE!</v>
      </c>
      <c r="AA771" s="446" t="e">
        <f>IF(OR($B771="",MIN(AA$38,$D$19)&lt;MAX($P$708*($B771+IF($R$17="Distrato",$I$38-1,0)),IF(AND($L$711=0,$P$708=0),"",$L$711-1),IF($R$17="Distrato",$E771,0))),0,YEARFRAC(MAX($P$708*($B771+IF($R$17="Distrato",$I$38-1,0)),IF(AND($L$711=0,$P$708=0),"",$L$711-1),IF($R$17="Distrato",$E771,0)),MIN(AA$38,$D$19),$P$20))-SUM($P771:Z771)</f>
        <v>#VALUE!</v>
      </c>
      <c r="AB771" s="446" t="e">
        <f>IF(OR($B771="",MIN(AB$38,$D$19)&lt;MAX($P$708*($B771+IF($R$17="Distrato",$I$38-1,0)),IF(AND($L$711=0,$P$708=0),"",$L$711-1),IF($R$17="Distrato",$E771,0))),0,YEARFRAC(MAX($P$708*($B771+IF($R$17="Distrato",$I$38-1,0)),IF(AND($L$711=0,$P$708=0),"",$L$711-1),IF($R$17="Distrato",$E771,0)),MIN(AB$38,$D$19),$P$20))-SUM($P771:AA771)</f>
        <v>#VALUE!</v>
      </c>
      <c r="AC771" s="446" t="e">
        <f>IF(OR($B771="",MIN(AC$38,$D$19)&lt;MAX($P$708*($B771+IF($R$17="Distrato",$I$38-1,0)),IF(AND($L$711=0,$P$708=0),"",$L$711-1),IF($R$17="Distrato",$E771,0))),0,YEARFRAC(MAX($P$708*($B771+IF($R$17="Distrato",$I$38-1,0)),IF(AND($L$711=0,$P$708=0),"",$L$711-1),IF($R$17="Distrato",$E771,0)),MIN(AC$38,$D$19),$P$20))-SUM($P771:AB771)</f>
        <v>#VALUE!</v>
      </c>
      <c r="AD771" s="446" t="e">
        <f>IF(OR($B771="",MIN(AD$38,$D$19)&lt;MAX($P$708*($B771+IF($R$17="Distrato",$I$38-1,0)),IF(AND($L$711=0,$P$708=0),"",$L$711-1),IF($R$17="Distrato",$E771,0))),0,YEARFRAC(MAX($P$708*($B771+IF($R$17="Distrato",$I$38-1,0)),IF(AND($L$711=0,$P$708=0),"",$L$711-1),IF($R$17="Distrato",$E771,0)),MIN(AD$38,$D$19),$P$20))-SUM($P771:AC771)</f>
        <v>#VALUE!</v>
      </c>
      <c r="AE771" s="446" t="e">
        <f>IF(OR($B771="",MIN(AE$38,$D$19)&lt;MAX($P$708*($B771+IF($R$17="Distrato",$I$38-1,0)),IF(AND($L$711=0,$P$708=0),"",$L$711-1),IF($R$17="Distrato",$E771,0))),0,YEARFRAC(MAX($P$708*($B771+IF($R$17="Distrato",$I$38-1,0)),IF(AND($L$711=0,$P$708=0),"",$L$711-1),IF($R$17="Distrato",$E771,0)),MIN(AE$38,$D$19),$P$20))-SUM($P771:AD771)</f>
        <v>#VALUE!</v>
      </c>
      <c r="AF771" s="446" t="e">
        <f>IF(OR($B771="",MIN(AF$38,$D$19)&lt;MAX($P$708*($B771+IF($R$17="Distrato",$I$38-1,0)),IF(AND($L$711=0,$P$708=0),"",$L$711-1),IF($R$17="Distrato",$E771,0))),0,YEARFRAC(MAX($P$708*($B771+IF($R$17="Distrato",$I$38-1,0)),IF(AND($L$711=0,$P$708=0),"",$L$711-1),IF($R$17="Distrato",$E771,0)),MIN(AF$38,$D$19),$P$20))-SUM($P771:AE771)</f>
        <v>#VALUE!</v>
      </c>
      <c r="AG771" s="446" t="e">
        <f>IF(OR($B771="",MIN(AG$38,$D$19)&lt;MAX($P$708*($B771+IF($R$17="Distrato",$I$38-1,0)),IF(AND($L$711=0,$P$708=0),"",$L$711-1),IF($R$17="Distrato",$E771,0))),0,YEARFRAC(MAX($P$708*($B771+IF($R$17="Distrato",$I$38-1,0)),IF(AND($L$711=0,$P$708=0),"",$L$711-1),IF($R$17="Distrato",$E771,0)),MIN(AG$38,$D$19),$P$20))-SUM($P771:AF771)</f>
        <v>#VALUE!</v>
      </c>
      <c r="AH771" s="446" t="e">
        <f>IF(OR($B771="",MIN(AH$38,$D$19)&lt;MAX($P$708*($B771+IF($R$17="Distrato",$I$38-1,0)),IF(AND($L$711=0,$P$708=0),"",$L$711-1),IF($R$17="Distrato",$E771,0))),0,YEARFRAC(MAX($P$708*($B771+IF($R$17="Distrato",$I$38-1,0)),IF(AND($L$711=0,$P$708=0),"",$L$711-1),IF($R$17="Distrato",$E771,0)),MIN(AH$38,$D$19),$P$20))-SUM($P771:AG771)</f>
        <v>#VALUE!</v>
      </c>
      <c r="AI771" s="446" t="e">
        <f>IF(OR($B771="",MIN(AI$38,$D$19)&lt;MAX($P$708*($B771+IF($R$17="Distrato",$I$38-1,0)),IF(AND($L$711=0,$P$708=0),"",$L$711-1),IF($R$17="Distrato",$E771,0))),0,YEARFRAC(MAX($P$708*($B771+IF($R$17="Distrato",$I$38-1,0)),IF(AND($L$711=0,$P$708=0),"",$L$711-1),IF($R$17="Distrato",$E771,0)),MIN(AI$38,$D$19),$P$20))-SUM($P771:AH771)</f>
        <v>#VALUE!</v>
      </c>
      <c r="AJ771" s="446" t="e">
        <f>IF(OR($B771="",MIN(AJ$38,$D$19)&lt;MAX($P$708*($B771+IF($R$17="Distrato",$I$38-1,0)),IF(AND($L$711=0,$P$708=0),"",$L$711-1),IF($R$17="Distrato",$E771,0))),0,YEARFRAC(MAX($P$708*($B771+IF($R$17="Distrato",$I$38-1,0)),IF(AND($L$711=0,$P$708=0),"",$L$711-1),IF($R$17="Distrato",$E771,0)),MIN(AJ$38,$D$19),$P$20))-SUM($P771:AI771)</f>
        <v>#VALUE!</v>
      </c>
      <c r="AK771" s="446" t="e">
        <f>IF(OR($B771="",MIN(AK$38,$D$19)&lt;MAX($P$708*($B771+IF($R$17="Distrato",$I$38-1,0)),IF(AND($L$711=0,$P$708=0),"",$L$711-1),IF($R$17="Distrato",$E771,0))),0,YEARFRAC(MAX($P$708*($B771+IF($R$17="Distrato",$I$38-1,0)),IF(AND($L$711=0,$P$708=0),"",$L$711-1),IF($R$17="Distrato",$E771,0)),MIN(AK$38,$D$19),$P$20))-SUM($P771:AJ771)</f>
        <v>#VALUE!</v>
      </c>
      <c r="AL771" s="446" t="e">
        <f>IF(OR($B771="",MIN(AL$38,$D$19)&lt;MAX($P$708*($B771+IF($R$17="Distrato",$I$38-1,0)),IF(AND($L$711=0,$P$708=0),"",$L$711-1),IF($R$17="Distrato",$E771,0))),0,YEARFRAC(MAX($P$708*($B771+IF($R$17="Distrato",$I$38-1,0)),IF(AND($L$711=0,$P$708=0),"",$L$711-1),IF($R$17="Distrato",$E771,0)),MIN(AL$38,$D$19),$P$20))-SUM($P771:AK771)</f>
        <v>#VALUE!</v>
      </c>
      <c r="AM771" s="446" t="e">
        <f>IF(OR($B771="",MIN(AM$38,$D$19)&lt;MAX($P$708*($B771+IF($R$17="Distrato",$I$38-1,0)),IF(AND($L$711=0,$P$708=0),"",$L$711-1),IF($R$17="Distrato",$E771,0))),0,YEARFRAC(MAX($P$708*($B771+IF($R$17="Distrato",$I$38-1,0)),IF(AND($L$711=0,$P$708=0),"",$L$711-1),IF($R$17="Distrato",$E771,0)),MIN(AM$38,$D$19),$P$20))-SUM($P771:AL771)</f>
        <v>#VALUE!</v>
      </c>
      <c r="AN771" s="446" t="e">
        <f>IF(OR($B771="",MIN(AN$38,$D$19)&lt;MAX($P$708*($B771+IF($R$17="Distrato",$I$38-1,0)),IF(AND($L$711=0,$P$708=0),"",$L$711-1),IF($R$17="Distrato",$E771,0))),0,YEARFRAC(MAX($P$708*($B771+IF($R$17="Distrato",$I$38-1,0)),IF(AND($L$711=0,$P$708=0),"",$L$711-1),IF($R$17="Distrato",$E771,0)),MIN(AN$38,$D$19),$P$20))-SUM($P771:AM771)</f>
        <v>#VALUE!</v>
      </c>
      <c r="AO771" s="446" t="e">
        <f>IF(OR($B771="",MIN(AO$38,$D$19)&lt;MAX($P$708*($B771+IF($R$17="Distrato",$I$38-1,0)),IF(AND($L$711=0,$P$708=0),"",$L$711-1),IF($R$17="Distrato",$E771,0))),0,YEARFRAC(MAX($P$708*($B771+IF($R$17="Distrato",$I$38-1,0)),IF(AND($L$711=0,$P$708=0),"",$L$711-1),IF($R$17="Distrato",$E771,0)),MIN(AO$38,$D$19),$P$20))-SUM($P771:AN771)</f>
        <v>#VALUE!</v>
      </c>
      <c r="AP771" s="446" t="e">
        <f>IF(OR($B771="",MIN(AP$38,$D$19)&lt;MAX($P$708*($B771+IF($R$17="Distrato",$I$38-1,0)),IF(AND($L$711=0,$P$708=0),"",$L$711-1),IF($R$17="Distrato",$E771,0))),0,YEARFRAC(MAX($P$708*($B771+IF($R$17="Distrato",$I$38-1,0)),IF(AND($L$711=0,$P$708=0),"",$L$711-1),IF($R$17="Distrato",$E771,0)),MIN(AP$38,$D$19),$P$20))-SUM($P771:AO771)</f>
        <v>#VALUE!</v>
      </c>
      <c r="AQ771" s="446" t="e">
        <f>IF(OR($B771="",MIN(AQ$38,$D$19)&lt;MAX($P$708*($B771+IF($R$17="Distrato",$I$38-1,0)),IF(AND($L$711=0,$P$708=0),"",$L$711-1),IF($R$17="Distrato",$E771,0))),0,YEARFRAC(MAX($P$708*($B771+IF($R$17="Distrato",$I$38-1,0)),IF(AND($L$711=0,$P$708=0),"",$L$711-1),IF($R$17="Distrato",$E771,0)),MIN(AQ$38,$D$19),$P$20))-SUM($P771:AP771)</f>
        <v>#VALUE!</v>
      </c>
      <c r="AR771" s="446" t="e">
        <f>IF(OR($B771="",MIN(AR$38,$D$19)&lt;MAX($P$708*($B771+IF($R$17="Distrato",$I$38-1,0)),IF(AND($L$711=0,$P$708=0),"",$L$711-1),IF($R$17="Distrato",$E771,0))),0,YEARFRAC(MAX($P$708*($B771+IF($R$17="Distrato",$I$38-1,0)),IF(AND($L$711=0,$P$708=0),"",$L$711-1),IF($R$17="Distrato",$E771,0)),MIN(AR$38,$D$19),$P$20))-SUM($P771:AQ771)</f>
        <v>#VALUE!</v>
      </c>
      <c r="AS771" s="446" t="e">
        <f>IF(OR($B771="",MIN(AS$38,$D$19)&lt;MAX($P$708*($B771+IF($R$17="Distrato",$I$38-1,0)),IF(AND($L$711=0,$P$708=0),"",$L$711-1),IF($R$17="Distrato",$E771,0))),0,YEARFRAC(MAX($P$708*($B771+IF($R$17="Distrato",$I$38-1,0)),IF(AND($L$711=0,$P$708=0),"",$L$711-1),IF($R$17="Distrato",$E771,0)),MIN(AS$38,$D$19),$P$20))-SUM($P771:AR771)</f>
        <v>#VALUE!</v>
      </c>
      <c r="AT771" s="446" t="e">
        <f>IF(OR($B771="",MIN(AT$38,$D$19)&lt;MAX($P$708*($B771+IF($R$17="Distrato",$I$38-1,0)),IF(AND($L$711=0,$P$708=0),"",$L$711-1),IF($R$17="Distrato",$E771,0))),0,YEARFRAC(MAX($P$708*($B771+IF($R$17="Distrato",$I$38-1,0)),IF(AND($L$711=0,$P$708=0),"",$L$711-1),IF($R$17="Distrato",$E771,0)),MIN(AT$38,$D$19),$P$20))-SUM($P771:AS771)</f>
        <v>#VALUE!</v>
      </c>
      <c r="AU771" s="446" t="e">
        <f>IF(OR($B771="",MIN(AU$38,$D$19)&lt;MAX($P$708*($B771+IF($R$17="Distrato",$I$38-1,0)),IF(AND($L$711=0,$P$708=0),"",$L$711-1),IF($R$17="Distrato",$E771,0))),0,YEARFRAC(MAX($P$708*($B771+IF($R$17="Distrato",$I$38-1,0)),IF(AND($L$711=0,$P$708=0),"",$L$711-1),IF($R$17="Distrato",$E771,0)),MIN(AU$38,$D$19),$P$20))-SUM($P771:AT771)</f>
        <v>#VALUE!</v>
      </c>
      <c r="AV771" s="446" t="e">
        <f>IF(OR($B771="",MIN(AV$38,$D$19)&lt;MAX($P$708*($B771+IF($R$17="Distrato",$I$38-1,0)),IF(AND($L$711=0,$P$708=0),"",$L$711-1),IF($R$17="Distrato",$E771,0))),0,YEARFRAC(MAX($P$708*($B771+IF($R$17="Distrato",$I$38-1,0)),IF(AND($L$711=0,$P$708=0),"",$L$711-1),IF($R$17="Distrato",$E771,0)),MIN(AV$38,$D$19),$P$20))-SUM($P771:AU771)</f>
        <v>#VALUE!</v>
      </c>
      <c r="AW771" s="446" t="e">
        <f>IF(OR($B771="",MIN(AW$38,$D$19)&lt;MAX($P$708*($B771+IF($R$17="Distrato",$I$38-1,0)),IF(AND($L$711=0,$P$708=0),"",$L$711-1),IF($R$17="Distrato",$E771,0))),0,YEARFRAC(MAX($P$708*($B771+IF($R$17="Distrato",$I$38-1,0)),IF(AND($L$711=0,$P$708=0),"",$L$711-1),IF($R$17="Distrato",$E771,0)),MIN(AW$38,$D$19),$P$20))-SUM($P771:AV771)</f>
        <v>#VALUE!</v>
      </c>
      <c r="AX771" s="446" t="e">
        <f>IF(OR($B771="",MIN(AX$38,$D$19)&lt;MAX($P$708*($B771+IF($R$17="Distrato",$I$38-1,0)),IF(AND($L$711=0,$P$708=0),"",$L$711-1),IF($R$17="Distrato",$E771,0))),0,YEARFRAC(MAX($P$708*($B771+IF($R$17="Distrato",$I$38-1,0)),IF(AND($L$711=0,$P$708=0),"",$L$711-1),IF($R$17="Distrato",$E771,0)),MIN(AX$38,$D$19),$P$20))-SUM($P771:AW771)</f>
        <v>#VALUE!</v>
      </c>
      <c r="AY771" s="446" t="e">
        <f>IF(OR($B771="",MIN(AY$38,$D$19)&lt;MAX($P$708*($B771+IF($R$17="Distrato",$I$38-1,0)),IF(AND($L$711=0,$P$708=0),"",$L$711-1),IF($R$17="Distrato",$E771,0))),0,YEARFRAC(MAX($P$708*($B771+IF($R$17="Distrato",$I$38-1,0)),IF(AND($L$711=0,$P$708=0),"",$L$711-1),IF($R$17="Distrato",$E771,0)),MIN(AY$38,$D$19),$P$20))-SUM($P771:AX771)</f>
        <v>#VALUE!</v>
      </c>
      <c r="AZ771" s="446" t="e">
        <f>IF(OR($B771="",MIN(AZ$38,$D$19)&lt;MAX($P$708*($B771+IF($R$17="Distrato",$I$38-1,0)),IF(AND($L$711=0,$P$708=0),"",$L$711-1),IF($R$17="Distrato",$E771,0))),0,YEARFRAC(MAX($P$708*($B771+IF($R$17="Distrato",$I$38-1,0)),IF(AND($L$711=0,$P$708=0),"",$L$711-1),IF($R$17="Distrato",$E771,0)),MIN(AZ$38,$D$19),$P$20))-SUM($P771:AY771)</f>
        <v>#VALUE!</v>
      </c>
      <c r="BA771" s="446" t="e">
        <f>IF(OR($B771="",MIN(BA$38,$D$19)&lt;MAX($P$708*($B771+IF($R$17="Distrato",$I$38-1,0)),IF(AND($L$711=0,$P$708=0),"",$L$711-1),IF($R$17="Distrato",$E771,0))),0,YEARFRAC(MAX($P$708*($B771+IF($R$17="Distrato",$I$38-1,0)),IF(AND($L$711=0,$P$708=0),"",$L$711-1),IF($R$17="Distrato",$E771,0)),MIN(BA$38,$D$19),$P$20))-SUM($P771:AZ771)</f>
        <v>#VALUE!</v>
      </c>
      <c r="BB771" s="447"/>
    </row>
    <row r="772" spans="1:54" s="446" customFormat="1" ht="11.25" hidden="1" customHeight="1" x14ac:dyDescent="0.2">
      <c r="A772" s="235"/>
      <c r="B772" s="236"/>
      <c r="C772" s="29" t="str">
        <f>IF(B772="","",IF($L$709=$BL$25,VLOOKUP(DATE(YEAR($D$19),MONTH($D$19)-1,1),ÍNDICES!$A:$DE,HLOOKUP($BL$25,ÍNDICES!$B$3:$T$4,2)+11)-VLOOKUP(B772,ÍNDICES!$A:$DE,HLOOKUP($BL$25,ÍNDICES!$B$3:$T$4,2)+11)+1%,IF(C$712=$W$26,$J$35,IF(ISERROR(IF(B772&gt;$D$19,1,VLOOKUP(DATE(YEAR(B772),MONTH(B772)+IF($C$709=$S$23,1,0),1),ÍNDICES!$A:$DE,$Z$709+1))),"",IF(B772&gt;$D$19,1,VLOOKUP(DATE(YEAR(B772),MONTH(B772)+IF($C$709=$S$23,1,0),1),ÍNDICES!$A:$DE,$Z$709+1))))))</f>
        <v/>
      </c>
      <c r="D772" s="155"/>
      <c r="E772" s="88"/>
      <c r="F772" s="88"/>
      <c r="G772" s="88"/>
      <c r="H772" s="118"/>
      <c r="I772" s="182">
        <f t="shared" si="115"/>
        <v>0</v>
      </c>
      <c r="J772" s="20">
        <f t="shared" ca="1" si="116"/>
        <v>0</v>
      </c>
      <c r="K772" s="5">
        <f t="shared" ca="1" si="117"/>
        <v>0</v>
      </c>
      <c r="L772" s="61">
        <f t="shared" ca="1" si="118"/>
        <v>0</v>
      </c>
      <c r="M772" s="64">
        <f t="shared" si="119"/>
        <v>0</v>
      </c>
      <c r="N772" s="151"/>
      <c r="O772" s="5">
        <f t="shared" ca="1" si="120"/>
        <v>0</v>
      </c>
      <c r="P772" s="446" t="e">
        <f t="shared" si="121"/>
        <v>#VALUE!</v>
      </c>
      <c r="Q772" s="446" t="e">
        <f>IF(OR($B772="",MIN(Q$38,$D$19)&lt;MAX($P$708*($B772+IF($R$17="Distrato",$I$38-1,0)),IF(AND($L$711=0,$P$708=0),"",$L$711-1),IF($R$17="Distrato",$E772,0))),0,YEARFRAC(MAX($P$708*($B772+IF($R$17="Distrato",$I$38-1,0)),IF(AND($L$711=0,$P$708=0),"",$L$711-1),IF($R$17="Distrato",$E772,0)),MIN(Q$38,$D$19),$P$20))-SUM($P772:P772)</f>
        <v>#VALUE!</v>
      </c>
      <c r="R772" s="446" t="e">
        <f>IF(OR($B772="",MIN(R$38,$D$19)&lt;MAX($P$708*($B772+IF($R$17="Distrato",$I$38-1,0)),IF(AND($L$711=0,$P$708=0),"",$L$711-1),IF($R$17="Distrato",$E772,0))),0,YEARFRAC(MAX($P$708*($B772+IF($R$17="Distrato",$I$38-1,0)),IF(AND($L$711=0,$P$708=0),"",$L$711-1),IF($R$17="Distrato",$E772,0)),MIN(R$38,$D$19),$P$20))-SUM($P772:Q772)</f>
        <v>#VALUE!</v>
      </c>
      <c r="S772" s="446" t="e">
        <f>IF(OR($B772="",MIN(S$38,$D$19)&lt;MAX($P$708*($B772+IF($R$17="Distrato",$I$38-1,0)),IF(AND($L$711=0,$P$708=0),"",$L$711-1),IF($R$17="Distrato",$E772,0))),0,YEARFRAC(MAX($P$708*($B772+IF($R$17="Distrato",$I$38-1,0)),IF(AND($L$711=0,$P$708=0),"",$L$711-1),IF($R$17="Distrato",$E772,0)),MIN(S$38,$D$19),$P$20))-SUM($P772:R772)</f>
        <v>#VALUE!</v>
      </c>
      <c r="T772" s="446" t="e">
        <f>IF(OR($B772="",MIN(T$38,$D$19)&lt;MAX($P$708*($B772+IF($R$17="Distrato",$I$38-1,0)),IF(AND($L$711=0,$P$708=0),"",$L$711-1),IF($R$17="Distrato",$E772,0))),0,YEARFRAC(MAX($P$708*($B772+IF($R$17="Distrato",$I$38-1,0)),IF(AND($L$711=0,$P$708=0),"",$L$711-1),IF($R$17="Distrato",$E772,0)),MIN(T$38,$D$19),$P$20))-SUM($P772:S772)</f>
        <v>#VALUE!</v>
      </c>
      <c r="U772" s="446" t="e">
        <f>IF(OR($B772="",MIN(U$38,$D$19)&lt;MAX($P$708*($B772+IF($R$17="Distrato",$I$38-1,0)),IF(AND($L$711=0,$P$708=0),"",$L$711-1),IF($R$17="Distrato",$E772,0))),0,YEARFRAC(MAX($P$708*($B772+IF($R$17="Distrato",$I$38-1,0)),IF(AND($L$711=0,$P$708=0),"",$L$711-1),IF($R$17="Distrato",$E772,0)),MIN(U$38,$D$19),$P$20))-SUM($P772:T772)</f>
        <v>#VALUE!</v>
      </c>
      <c r="V772" s="446" t="e">
        <f>IF(OR($B772="",MIN(V$38,$D$19)&lt;MAX($P$708*($B772+IF($R$17="Distrato",$I$38-1,0)),IF(AND($L$711=0,$P$708=0),"",$L$711-1),IF($R$17="Distrato",$E772,0))),0,YEARFRAC(MAX($P$708*($B772+IF($R$17="Distrato",$I$38-1,0)),IF(AND($L$711=0,$P$708=0),"",$L$711-1),IF($R$17="Distrato",$E772,0)),MIN(V$38,$D$19),$P$20))-SUM($P772:U772)</f>
        <v>#VALUE!</v>
      </c>
      <c r="W772" s="446" t="e">
        <f>IF(OR($B772="",MIN(W$38,$D$19)&lt;MAX($P$708*($B772+IF($R$17="Distrato",$I$38-1,0)),IF(AND($L$711=0,$P$708=0),"",$L$711-1),IF($R$17="Distrato",$E772,0))),0,YEARFRAC(MAX($P$708*($B772+IF($R$17="Distrato",$I$38-1,0)),IF(AND($L$711=0,$P$708=0),"",$L$711-1),IF($R$17="Distrato",$E772,0)),MIN(W$38,$D$19),$P$20))-SUM($P772:V772)</f>
        <v>#VALUE!</v>
      </c>
      <c r="X772" s="446" t="e">
        <f>IF(OR($B772="",MIN(X$38,$D$19)&lt;MAX($P$708*($B772+IF($R$17="Distrato",$I$38-1,0)),IF(AND($L$711=0,$P$708=0),"",$L$711-1),IF($R$17="Distrato",$E772,0))),0,YEARFRAC(MAX($P$708*($B772+IF($R$17="Distrato",$I$38-1,0)),IF(AND($L$711=0,$P$708=0),"",$L$711-1),IF($R$17="Distrato",$E772,0)),MIN(X$38,$D$19),$P$20))-SUM($P772:W772)</f>
        <v>#VALUE!</v>
      </c>
      <c r="Y772" s="446" t="e">
        <f>IF(OR($B772="",MIN(Y$38,$D$19)&lt;MAX($P$708*($B772+IF($R$17="Distrato",$I$38-1,0)),IF(AND($L$711=0,$P$708=0),"",$L$711-1),IF($R$17="Distrato",$E772,0))),0,YEARFRAC(MAX($P$708*($B772+IF($R$17="Distrato",$I$38-1,0)),IF(AND($L$711=0,$P$708=0),"",$L$711-1),IF($R$17="Distrato",$E772,0)),MIN(Y$38,$D$19),$P$20))-SUM($P772:X772)</f>
        <v>#VALUE!</v>
      </c>
      <c r="Z772" s="446" t="e">
        <f>IF(OR($B772="",MIN(Z$38,$D$19)&lt;MAX($P$708*($B772+IF($R$17="Distrato",$I$38-1,0)),IF(AND($L$711=0,$P$708=0),"",$L$711-1),IF($R$17="Distrato",$E772,0))),0,YEARFRAC(MAX($P$708*($B772+IF($R$17="Distrato",$I$38-1,0)),IF(AND($L$711=0,$P$708=0),"",$L$711-1),IF($R$17="Distrato",$E772,0)),MIN(Z$38,$D$19),$P$20))-SUM($P772:Y772)</f>
        <v>#VALUE!</v>
      </c>
      <c r="AA772" s="446" t="e">
        <f>IF(OR($B772="",MIN(AA$38,$D$19)&lt;MAX($P$708*($B772+IF($R$17="Distrato",$I$38-1,0)),IF(AND($L$711=0,$P$708=0),"",$L$711-1),IF($R$17="Distrato",$E772,0))),0,YEARFRAC(MAX($P$708*($B772+IF($R$17="Distrato",$I$38-1,0)),IF(AND($L$711=0,$P$708=0),"",$L$711-1),IF($R$17="Distrato",$E772,0)),MIN(AA$38,$D$19),$P$20))-SUM($P772:Z772)</f>
        <v>#VALUE!</v>
      </c>
      <c r="AB772" s="446" t="e">
        <f>IF(OR($B772="",MIN(AB$38,$D$19)&lt;MAX($P$708*($B772+IF($R$17="Distrato",$I$38-1,0)),IF(AND($L$711=0,$P$708=0),"",$L$711-1),IF($R$17="Distrato",$E772,0))),0,YEARFRAC(MAX($P$708*($B772+IF($R$17="Distrato",$I$38-1,0)),IF(AND($L$711=0,$P$708=0),"",$L$711-1),IF($R$17="Distrato",$E772,0)),MIN(AB$38,$D$19),$P$20))-SUM($P772:AA772)</f>
        <v>#VALUE!</v>
      </c>
      <c r="AC772" s="446" t="e">
        <f>IF(OR($B772="",MIN(AC$38,$D$19)&lt;MAX($P$708*($B772+IF($R$17="Distrato",$I$38-1,0)),IF(AND($L$711=0,$P$708=0),"",$L$711-1),IF($R$17="Distrato",$E772,0))),0,YEARFRAC(MAX($P$708*($B772+IF($R$17="Distrato",$I$38-1,0)),IF(AND($L$711=0,$P$708=0),"",$L$711-1),IF($R$17="Distrato",$E772,0)),MIN(AC$38,$D$19),$P$20))-SUM($P772:AB772)</f>
        <v>#VALUE!</v>
      </c>
      <c r="AD772" s="446" t="e">
        <f>IF(OR($B772="",MIN(AD$38,$D$19)&lt;MAX($P$708*($B772+IF($R$17="Distrato",$I$38-1,0)),IF(AND($L$711=0,$P$708=0),"",$L$711-1),IF($R$17="Distrato",$E772,0))),0,YEARFRAC(MAX($P$708*($B772+IF($R$17="Distrato",$I$38-1,0)),IF(AND($L$711=0,$P$708=0),"",$L$711-1),IF($R$17="Distrato",$E772,0)),MIN(AD$38,$D$19),$P$20))-SUM($P772:AC772)</f>
        <v>#VALUE!</v>
      </c>
      <c r="AE772" s="446" t="e">
        <f>IF(OR($B772="",MIN(AE$38,$D$19)&lt;MAX($P$708*($B772+IF($R$17="Distrato",$I$38-1,0)),IF(AND($L$711=0,$P$708=0),"",$L$711-1),IF($R$17="Distrato",$E772,0))),0,YEARFRAC(MAX($P$708*($B772+IF($R$17="Distrato",$I$38-1,0)),IF(AND($L$711=0,$P$708=0),"",$L$711-1),IF($R$17="Distrato",$E772,0)),MIN(AE$38,$D$19),$P$20))-SUM($P772:AD772)</f>
        <v>#VALUE!</v>
      </c>
      <c r="AF772" s="446" t="e">
        <f>IF(OR($B772="",MIN(AF$38,$D$19)&lt;MAX($P$708*($B772+IF($R$17="Distrato",$I$38-1,0)),IF(AND($L$711=0,$P$708=0),"",$L$711-1),IF($R$17="Distrato",$E772,0))),0,YEARFRAC(MAX($P$708*($B772+IF($R$17="Distrato",$I$38-1,0)),IF(AND($L$711=0,$P$708=0),"",$L$711-1),IF($R$17="Distrato",$E772,0)),MIN(AF$38,$D$19),$P$20))-SUM($P772:AE772)</f>
        <v>#VALUE!</v>
      </c>
      <c r="AG772" s="446" t="e">
        <f>IF(OR($B772="",MIN(AG$38,$D$19)&lt;MAX($P$708*($B772+IF($R$17="Distrato",$I$38-1,0)),IF(AND($L$711=0,$P$708=0),"",$L$711-1),IF($R$17="Distrato",$E772,0))),0,YEARFRAC(MAX($P$708*($B772+IF($R$17="Distrato",$I$38-1,0)),IF(AND($L$711=0,$P$708=0),"",$L$711-1),IF($R$17="Distrato",$E772,0)),MIN(AG$38,$D$19),$P$20))-SUM($P772:AF772)</f>
        <v>#VALUE!</v>
      </c>
      <c r="AH772" s="446" t="e">
        <f>IF(OR($B772="",MIN(AH$38,$D$19)&lt;MAX($P$708*($B772+IF($R$17="Distrato",$I$38-1,0)),IF(AND($L$711=0,$P$708=0),"",$L$711-1),IF($R$17="Distrato",$E772,0))),0,YEARFRAC(MAX($P$708*($B772+IF($R$17="Distrato",$I$38-1,0)),IF(AND($L$711=0,$P$708=0),"",$L$711-1),IF($R$17="Distrato",$E772,0)),MIN(AH$38,$D$19),$P$20))-SUM($P772:AG772)</f>
        <v>#VALUE!</v>
      </c>
      <c r="AI772" s="446" t="e">
        <f>IF(OR($B772="",MIN(AI$38,$D$19)&lt;MAX($P$708*($B772+IF($R$17="Distrato",$I$38-1,0)),IF(AND($L$711=0,$P$708=0),"",$L$711-1),IF($R$17="Distrato",$E772,0))),0,YEARFRAC(MAX($P$708*($B772+IF($R$17="Distrato",$I$38-1,0)),IF(AND($L$711=0,$P$708=0),"",$L$711-1),IF($R$17="Distrato",$E772,0)),MIN(AI$38,$D$19),$P$20))-SUM($P772:AH772)</f>
        <v>#VALUE!</v>
      </c>
      <c r="AJ772" s="446" t="e">
        <f>IF(OR($B772="",MIN(AJ$38,$D$19)&lt;MAX($P$708*($B772+IF($R$17="Distrato",$I$38-1,0)),IF(AND($L$711=0,$P$708=0),"",$L$711-1),IF($R$17="Distrato",$E772,0))),0,YEARFRAC(MAX($P$708*($B772+IF($R$17="Distrato",$I$38-1,0)),IF(AND($L$711=0,$P$708=0),"",$L$711-1),IF($R$17="Distrato",$E772,0)),MIN(AJ$38,$D$19),$P$20))-SUM($P772:AI772)</f>
        <v>#VALUE!</v>
      </c>
      <c r="AK772" s="446" t="e">
        <f>IF(OR($B772="",MIN(AK$38,$D$19)&lt;MAX($P$708*($B772+IF($R$17="Distrato",$I$38-1,0)),IF(AND($L$711=0,$P$708=0),"",$L$711-1),IF($R$17="Distrato",$E772,0))),0,YEARFRAC(MAX($P$708*($B772+IF($R$17="Distrato",$I$38-1,0)),IF(AND($L$711=0,$P$708=0),"",$L$711-1),IF($R$17="Distrato",$E772,0)),MIN(AK$38,$D$19),$P$20))-SUM($P772:AJ772)</f>
        <v>#VALUE!</v>
      </c>
      <c r="AL772" s="446" t="e">
        <f>IF(OR($B772="",MIN(AL$38,$D$19)&lt;MAX($P$708*($B772+IF($R$17="Distrato",$I$38-1,0)),IF(AND($L$711=0,$P$708=0),"",$L$711-1),IF($R$17="Distrato",$E772,0))),0,YEARFRAC(MAX($P$708*($B772+IF($R$17="Distrato",$I$38-1,0)),IF(AND($L$711=0,$P$708=0),"",$L$711-1),IF($R$17="Distrato",$E772,0)),MIN(AL$38,$D$19),$P$20))-SUM($P772:AK772)</f>
        <v>#VALUE!</v>
      </c>
      <c r="AM772" s="446" t="e">
        <f>IF(OR($B772="",MIN(AM$38,$D$19)&lt;MAX($P$708*($B772+IF($R$17="Distrato",$I$38-1,0)),IF(AND($L$711=0,$P$708=0),"",$L$711-1),IF($R$17="Distrato",$E772,0))),0,YEARFRAC(MAX($P$708*($B772+IF($R$17="Distrato",$I$38-1,0)),IF(AND($L$711=0,$P$708=0),"",$L$711-1),IF($R$17="Distrato",$E772,0)),MIN(AM$38,$D$19),$P$20))-SUM($P772:AL772)</f>
        <v>#VALUE!</v>
      </c>
      <c r="AN772" s="446" t="e">
        <f>IF(OR($B772="",MIN(AN$38,$D$19)&lt;MAX($P$708*($B772+IF($R$17="Distrato",$I$38-1,0)),IF(AND($L$711=0,$P$708=0),"",$L$711-1),IF($R$17="Distrato",$E772,0))),0,YEARFRAC(MAX($P$708*($B772+IF($R$17="Distrato",$I$38-1,0)),IF(AND($L$711=0,$P$708=0),"",$L$711-1),IF($R$17="Distrato",$E772,0)),MIN(AN$38,$D$19),$P$20))-SUM($P772:AM772)</f>
        <v>#VALUE!</v>
      </c>
      <c r="AO772" s="446" t="e">
        <f>IF(OR($B772="",MIN(AO$38,$D$19)&lt;MAX($P$708*($B772+IF($R$17="Distrato",$I$38-1,0)),IF(AND($L$711=0,$P$708=0),"",$L$711-1),IF($R$17="Distrato",$E772,0))),0,YEARFRAC(MAX($P$708*($B772+IF($R$17="Distrato",$I$38-1,0)),IF(AND($L$711=0,$P$708=0),"",$L$711-1),IF($R$17="Distrato",$E772,0)),MIN(AO$38,$D$19),$P$20))-SUM($P772:AN772)</f>
        <v>#VALUE!</v>
      </c>
      <c r="AP772" s="446" t="e">
        <f>IF(OR($B772="",MIN(AP$38,$D$19)&lt;MAX($P$708*($B772+IF($R$17="Distrato",$I$38-1,0)),IF(AND($L$711=0,$P$708=0),"",$L$711-1),IF($R$17="Distrato",$E772,0))),0,YEARFRAC(MAX($P$708*($B772+IF($R$17="Distrato",$I$38-1,0)),IF(AND($L$711=0,$P$708=0),"",$L$711-1),IF($R$17="Distrato",$E772,0)),MIN(AP$38,$D$19),$P$20))-SUM($P772:AO772)</f>
        <v>#VALUE!</v>
      </c>
      <c r="AQ772" s="446" t="e">
        <f>IF(OR($B772="",MIN(AQ$38,$D$19)&lt;MAX($P$708*($B772+IF($R$17="Distrato",$I$38-1,0)),IF(AND($L$711=0,$P$708=0),"",$L$711-1),IF($R$17="Distrato",$E772,0))),0,YEARFRAC(MAX($P$708*($B772+IF($R$17="Distrato",$I$38-1,0)),IF(AND($L$711=0,$P$708=0),"",$L$711-1),IF($R$17="Distrato",$E772,0)),MIN(AQ$38,$D$19),$P$20))-SUM($P772:AP772)</f>
        <v>#VALUE!</v>
      </c>
      <c r="AR772" s="446" t="e">
        <f>IF(OR($B772="",MIN(AR$38,$D$19)&lt;MAX($P$708*($B772+IF($R$17="Distrato",$I$38-1,0)),IF(AND($L$711=0,$P$708=0),"",$L$711-1),IF($R$17="Distrato",$E772,0))),0,YEARFRAC(MAX($P$708*($B772+IF($R$17="Distrato",$I$38-1,0)),IF(AND($L$711=0,$P$708=0),"",$L$711-1),IF($R$17="Distrato",$E772,0)),MIN(AR$38,$D$19),$P$20))-SUM($P772:AQ772)</f>
        <v>#VALUE!</v>
      </c>
      <c r="AS772" s="446" t="e">
        <f>IF(OR($B772="",MIN(AS$38,$D$19)&lt;MAX($P$708*($B772+IF($R$17="Distrato",$I$38-1,0)),IF(AND($L$711=0,$P$708=0),"",$L$711-1),IF($R$17="Distrato",$E772,0))),0,YEARFRAC(MAX($P$708*($B772+IF($R$17="Distrato",$I$38-1,0)),IF(AND($L$711=0,$P$708=0),"",$L$711-1),IF($R$17="Distrato",$E772,0)),MIN(AS$38,$D$19),$P$20))-SUM($P772:AR772)</f>
        <v>#VALUE!</v>
      </c>
      <c r="AT772" s="446" t="e">
        <f>IF(OR($B772="",MIN(AT$38,$D$19)&lt;MAX($P$708*($B772+IF($R$17="Distrato",$I$38-1,0)),IF(AND($L$711=0,$P$708=0),"",$L$711-1),IF($R$17="Distrato",$E772,0))),0,YEARFRAC(MAX($P$708*($B772+IF($R$17="Distrato",$I$38-1,0)),IF(AND($L$711=0,$P$708=0),"",$L$711-1),IF($R$17="Distrato",$E772,0)),MIN(AT$38,$D$19),$P$20))-SUM($P772:AS772)</f>
        <v>#VALUE!</v>
      </c>
      <c r="AU772" s="446" t="e">
        <f>IF(OR($B772="",MIN(AU$38,$D$19)&lt;MAX($P$708*($B772+IF($R$17="Distrato",$I$38-1,0)),IF(AND($L$711=0,$P$708=0),"",$L$711-1),IF($R$17="Distrato",$E772,0))),0,YEARFRAC(MAX($P$708*($B772+IF($R$17="Distrato",$I$38-1,0)),IF(AND($L$711=0,$P$708=0),"",$L$711-1),IF($R$17="Distrato",$E772,0)),MIN(AU$38,$D$19),$P$20))-SUM($P772:AT772)</f>
        <v>#VALUE!</v>
      </c>
      <c r="AV772" s="446" t="e">
        <f>IF(OR($B772="",MIN(AV$38,$D$19)&lt;MAX($P$708*($B772+IF($R$17="Distrato",$I$38-1,0)),IF(AND($L$711=0,$P$708=0),"",$L$711-1),IF($R$17="Distrato",$E772,0))),0,YEARFRAC(MAX($P$708*($B772+IF($R$17="Distrato",$I$38-1,0)),IF(AND($L$711=0,$P$708=0),"",$L$711-1),IF($R$17="Distrato",$E772,0)),MIN(AV$38,$D$19),$P$20))-SUM($P772:AU772)</f>
        <v>#VALUE!</v>
      </c>
      <c r="AW772" s="446" t="e">
        <f>IF(OR($B772="",MIN(AW$38,$D$19)&lt;MAX($P$708*($B772+IF($R$17="Distrato",$I$38-1,0)),IF(AND($L$711=0,$P$708=0),"",$L$711-1),IF($R$17="Distrato",$E772,0))),0,YEARFRAC(MAX($P$708*($B772+IF($R$17="Distrato",$I$38-1,0)),IF(AND($L$711=0,$P$708=0),"",$L$711-1),IF($R$17="Distrato",$E772,0)),MIN(AW$38,$D$19),$P$20))-SUM($P772:AV772)</f>
        <v>#VALUE!</v>
      </c>
      <c r="AX772" s="446" t="e">
        <f>IF(OR($B772="",MIN(AX$38,$D$19)&lt;MAX($P$708*($B772+IF($R$17="Distrato",$I$38-1,0)),IF(AND($L$711=0,$P$708=0),"",$L$711-1),IF($R$17="Distrato",$E772,0))),0,YEARFRAC(MAX($P$708*($B772+IF($R$17="Distrato",$I$38-1,0)),IF(AND($L$711=0,$P$708=0),"",$L$711-1),IF($R$17="Distrato",$E772,0)),MIN(AX$38,$D$19),$P$20))-SUM($P772:AW772)</f>
        <v>#VALUE!</v>
      </c>
      <c r="AY772" s="446" t="e">
        <f>IF(OR($B772="",MIN(AY$38,$D$19)&lt;MAX($P$708*($B772+IF($R$17="Distrato",$I$38-1,0)),IF(AND($L$711=0,$P$708=0),"",$L$711-1),IF($R$17="Distrato",$E772,0))),0,YEARFRAC(MAX($P$708*($B772+IF($R$17="Distrato",$I$38-1,0)),IF(AND($L$711=0,$P$708=0),"",$L$711-1),IF($R$17="Distrato",$E772,0)),MIN(AY$38,$D$19),$P$20))-SUM($P772:AX772)</f>
        <v>#VALUE!</v>
      </c>
      <c r="AZ772" s="446" t="e">
        <f>IF(OR($B772="",MIN(AZ$38,$D$19)&lt;MAX($P$708*($B772+IF($R$17="Distrato",$I$38-1,0)),IF(AND($L$711=0,$P$708=0),"",$L$711-1),IF($R$17="Distrato",$E772,0))),0,YEARFRAC(MAX($P$708*($B772+IF($R$17="Distrato",$I$38-1,0)),IF(AND($L$711=0,$P$708=0),"",$L$711-1),IF($R$17="Distrato",$E772,0)),MIN(AZ$38,$D$19),$P$20))-SUM($P772:AY772)</f>
        <v>#VALUE!</v>
      </c>
      <c r="BA772" s="446" t="e">
        <f>IF(OR($B772="",MIN(BA$38,$D$19)&lt;MAX($P$708*($B772+IF($R$17="Distrato",$I$38-1,0)),IF(AND($L$711=0,$P$708=0),"",$L$711-1),IF($R$17="Distrato",$E772,0))),0,YEARFRAC(MAX($P$708*($B772+IF($R$17="Distrato",$I$38-1,0)),IF(AND($L$711=0,$P$708=0),"",$L$711-1),IF($R$17="Distrato",$E772,0)),MIN(BA$38,$D$19),$P$20))-SUM($P772:AZ772)</f>
        <v>#VALUE!</v>
      </c>
      <c r="BB772" s="447"/>
    </row>
    <row r="773" spans="1:54" s="446" customFormat="1" ht="11.25" hidden="1" customHeight="1" x14ac:dyDescent="0.2">
      <c r="A773" s="235"/>
      <c r="B773" s="236"/>
      <c r="C773" s="29" t="str">
        <f>IF(B773="","",IF($L$709=$BL$25,VLOOKUP(DATE(YEAR($D$19),MONTH($D$19)-1,1),ÍNDICES!$A:$DE,HLOOKUP($BL$25,ÍNDICES!$B$3:$T$4,2)+11)-VLOOKUP(B773,ÍNDICES!$A:$DE,HLOOKUP($BL$25,ÍNDICES!$B$3:$T$4,2)+11)+1%,IF(C$712=$W$26,$J$35,IF(ISERROR(IF(B773&gt;$D$19,1,VLOOKUP(DATE(YEAR(B773),MONTH(B773)+IF($C$709=$S$23,1,0),1),ÍNDICES!$A:$DE,$Z$709+1))),"",IF(B773&gt;$D$19,1,VLOOKUP(DATE(YEAR(B773),MONTH(B773)+IF($C$709=$S$23,1,0),1),ÍNDICES!$A:$DE,$Z$709+1))))))</f>
        <v/>
      </c>
      <c r="D773" s="155"/>
      <c r="E773" s="88"/>
      <c r="F773" s="88"/>
      <c r="G773" s="88"/>
      <c r="H773" s="118"/>
      <c r="I773" s="182">
        <f t="shared" si="115"/>
        <v>0</v>
      </c>
      <c r="J773" s="20">
        <f t="shared" ca="1" si="116"/>
        <v>0</v>
      </c>
      <c r="K773" s="5">
        <f t="shared" ca="1" si="117"/>
        <v>0</v>
      </c>
      <c r="L773" s="61">
        <f t="shared" ca="1" si="118"/>
        <v>0</v>
      </c>
      <c r="M773" s="64">
        <f t="shared" si="119"/>
        <v>0</v>
      </c>
      <c r="N773" s="151"/>
      <c r="O773" s="5">
        <f t="shared" ca="1" si="120"/>
        <v>0</v>
      </c>
      <c r="P773" s="446" t="e">
        <f t="shared" si="121"/>
        <v>#VALUE!</v>
      </c>
      <c r="Q773" s="446" t="e">
        <f>IF(OR($B773="",MIN(Q$38,$D$19)&lt;MAX($P$708*($B773+IF($R$17="Distrato",$I$38-1,0)),IF(AND($L$711=0,$P$708=0),"",$L$711-1),IF($R$17="Distrato",$E773,0))),0,YEARFRAC(MAX($P$708*($B773+IF($R$17="Distrato",$I$38-1,0)),IF(AND($L$711=0,$P$708=0),"",$L$711-1),IF($R$17="Distrato",$E773,0)),MIN(Q$38,$D$19),$P$20))-SUM($P773:P773)</f>
        <v>#VALUE!</v>
      </c>
      <c r="R773" s="446" t="e">
        <f>IF(OR($B773="",MIN(R$38,$D$19)&lt;MAX($P$708*($B773+IF($R$17="Distrato",$I$38-1,0)),IF(AND($L$711=0,$P$708=0),"",$L$711-1),IF($R$17="Distrato",$E773,0))),0,YEARFRAC(MAX($P$708*($B773+IF($R$17="Distrato",$I$38-1,0)),IF(AND($L$711=0,$P$708=0),"",$L$711-1),IF($R$17="Distrato",$E773,0)),MIN(R$38,$D$19),$P$20))-SUM($P773:Q773)</f>
        <v>#VALUE!</v>
      </c>
      <c r="S773" s="446" t="e">
        <f>IF(OR($B773="",MIN(S$38,$D$19)&lt;MAX($P$708*($B773+IF($R$17="Distrato",$I$38-1,0)),IF(AND($L$711=0,$P$708=0),"",$L$711-1),IF($R$17="Distrato",$E773,0))),0,YEARFRAC(MAX($P$708*($B773+IF($R$17="Distrato",$I$38-1,0)),IF(AND($L$711=0,$P$708=0),"",$L$711-1),IF($R$17="Distrato",$E773,0)),MIN(S$38,$D$19),$P$20))-SUM($P773:R773)</f>
        <v>#VALUE!</v>
      </c>
      <c r="T773" s="446" t="e">
        <f>IF(OR($B773="",MIN(T$38,$D$19)&lt;MAX($P$708*($B773+IF($R$17="Distrato",$I$38-1,0)),IF(AND($L$711=0,$P$708=0),"",$L$711-1),IF($R$17="Distrato",$E773,0))),0,YEARFRAC(MAX($P$708*($B773+IF($R$17="Distrato",$I$38-1,0)),IF(AND($L$711=0,$P$708=0),"",$L$711-1),IF($R$17="Distrato",$E773,0)),MIN(T$38,$D$19),$P$20))-SUM($P773:S773)</f>
        <v>#VALUE!</v>
      </c>
      <c r="U773" s="446" t="e">
        <f>IF(OR($B773="",MIN(U$38,$D$19)&lt;MAX($P$708*($B773+IF($R$17="Distrato",$I$38-1,0)),IF(AND($L$711=0,$P$708=0),"",$L$711-1),IF($R$17="Distrato",$E773,0))),0,YEARFRAC(MAX($P$708*($B773+IF($R$17="Distrato",$I$38-1,0)),IF(AND($L$711=0,$P$708=0),"",$L$711-1),IF($R$17="Distrato",$E773,0)),MIN(U$38,$D$19),$P$20))-SUM($P773:T773)</f>
        <v>#VALUE!</v>
      </c>
      <c r="V773" s="446" t="e">
        <f>IF(OR($B773="",MIN(V$38,$D$19)&lt;MAX($P$708*($B773+IF($R$17="Distrato",$I$38-1,0)),IF(AND($L$711=0,$P$708=0),"",$L$711-1),IF($R$17="Distrato",$E773,0))),0,YEARFRAC(MAX($P$708*($B773+IF($R$17="Distrato",$I$38-1,0)),IF(AND($L$711=0,$P$708=0),"",$L$711-1),IF($R$17="Distrato",$E773,0)),MIN(V$38,$D$19),$P$20))-SUM($P773:U773)</f>
        <v>#VALUE!</v>
      </c>
      <c r="W773" s="446" t="e">
        <f>IF(OR($B773="",MIN(W$38,$D$19)&lt;MAX($P$708*($B773+IF($R$17="Distrato",$I$38-1,0)),IF(AND($L$711=0,$P$708=0),"",$L$711-1),IF($R$17="Distrato",$E773,0))),0,YEARFRAC(MAX($P$708*($B773+IF($R$17="Distrato",$I$38-1,0)),IF(AND($L$711=0,$P$708=0),"",$L$711-1),IF($R$17="Distrato",$E773,0)),MIN(W$38,$D$19),$P$20))-SUM($P773:V773)</f>
        <v>#VALUE!</v>
      </c>
      <c r="X773" s="446" t="e">
        <f>IF(OR($B773="",MIN(X$38,$D$19)&lt;MAX($P$708*($B773+IF($R$17="Distrato",$I$38-1,0)),IF(AND($L$711=0,$P$708=0),"",$L$711-1),IF($R$17="Distrato",$E773,0))),0,YEARFRAC(MAX($P$708*($B773+IF($R$17="Distrato",$I$38-1,0)),IF(AND($L$711=0,$P$708=0),"",$L$711-1),IF($R$17="Distrato",$E773,0)),MIN(X$38,$D$19),$P$20))-SUM($P773:W773)</f>
        <v>#VALUE!</v>
      </c>
      <c r="Y773" s="446" t="e">
        <f>IF(OR($B773="",MIN(Y$38,$D$19)&lt;MAX($P$708*($B773+IF($R$17="Distrato",$I$38-1,0)),IF(AND($L$711=0,$P$708=0),"",$L$711-1),IF($R$17="Distrato",$E773,0))),0,YEARFRAC(MAX($P$708*($B773+IF($R$17="Distrato",$I$38-1,0)),IF(AND($L$711=0,$P$708=0),"",$L$711-1),IF($R$17="Distrato",$E773,0)),MIN(Y$38,$D$19),$P$20))-SUM($P773:X773)</f>
        <v>#VALUE!</v>
      </c>
      <c r="Z773" s="446" t="e">
        <f>IF(OR($B773="",MIN(Z$38,$D$19)&lt;MAX($P$708*($B773+IF($R$17="Distrato",$I$38-1,0)),IF(AND($L$711=0,$P$708=0),"",$L$711-1),IF($R$17="Distrato",$E773,0))),0,YEARFRAC(MAX($P$708*($B773+IF($R$17="Distrato",$I$38-1,0)),IF(AND($L$711=0,$P$708=0),"",$L$711-1),IF($R$17="Distrato",$E773,0)),MIN(Z$38,$D$19),$P$20))-SUM($P773:Y773)</f>
        <v>#VALUE!</v>
      </c>
      <c r="AA773" s="446" t="e">
        <f>IF(OR($B773="",MIN(AA$38,$D$19)&lt;MAX($P$708*($B773+IF($R$17="Distrato",$I$38-1,0)),IF(AND($L$711=0,$P$708=0),"",$L$711-1),IF($R$17="Distrato",$E773,0))),0,YEARFRAC(MAX($P$708*($B773+IF($R$17="Distrato",$I$38-1,0)),IF(AND($L$711=0,$P$708=0),"",$L$711-1),IF($R$17="Distrato",$E773,0)),MIN(AA$38,$D$19),$P$20))-SUM($P773:Z773)</f>
        <v>#VALUE!</v>
      </c>
      <c r="AB773" s="446" t="e">
        <f>IF(OR($B773="",MIN(AB$38,$D$19)&lt;MAX($P$708*($B773+IF($R$17="Distrato",$I$38-1,0)),IF(AND($L$711=0,$P$708=0),"",$L$711-1),IF($R$17="Distrato",$E773,0))),0,YEARFRAC(MAX($P$708*($B773+IF($R$17="Distrato",$I$38-1,0)),IF(AND($L$711=0,$P$708=0),"",$L$711-1),IF($R$17="Distrato",$E773,0)),MIN(AB$38,$D$19),$P$20))-SUM($P773:AA773)</f>
        <v>#VALUE!</v>
      </c>
      <c r="AC773" s="446" t="e">
        <f>IF(OR($B773="",MIN(AC$38,$D$19)&lt;MAX($P$708*($B773+IF($R$17="Distrato",$I$38-1,0)),IF(AND($L$711=0,$P$708=0),"",$L$711-1),IF($R$17="Distrato",$E773,0))),0,YEARFRAC(MAX($P$708*($B773+IF($R$17="Distrato",$I$38-1,0)),IF(AND($L$711=0,$P$708=0),"",$L$711-1),IF($R$17="Distrato",$E773,0)),MIN(AC$38,$D$19),$P$20))-SUM($P773:AB773)</f>
        <v>#VALUE!</v>
      </c>
      <c r="AD773" s="446" t="e">
        <f>IF(OR($B773="",MIN(AD$38,$D$19)&lt;MAX($P$708*($B773+IF($R$17="Distrato",$I$38-1,0)),IF(AND($L$711=0,$P$708=0),"",$L$711-1),IF($R$17="Distrato",$E773,0))),0,YEARFRAC(MAX($P$708*($B773+IF($R$17="Distrato",$I$38-1,0)),IF(AND($L$711=0,$P$708=0),"",$L$711-1),IF($R$17="Distrato",$E773,0)),MIN(AD$38,$D$19),$P$20))-SUM($P773:AC773)</f>
        <v>#VALUE!</v>
      </c>
      <c r="AE773" s="446" t="e">
        <f>IF(OR($B773="",MIN(AE$38,$D$19)&lt;MAX($P$708*($B773+IF($R$17="Distrato",$I$38-1,0)),IF(AND($L$711=0,$P$708=0),"",$L$711-1),IF($R$17="Distrato",$E773,0))),0,YEARFRAC(MAX($P$708*($B773+IF($R$17="Distrato",$I$38-1,0)),IF(AND($L$711=0,$P$708=0),"",$L$711-1),IF($R$17="Distrato",$E773,0)),MIN(AE$38,$D$19),$P$20))-SUM($P773:AD773)</f>
        <v>#VALUE!</v>
      </c>
      <c r="AF773" s="446" t="e">
        <f>IF(OR($B773="",MIN(AF$38,$D$19)&lt;MAX($P$708*($B773+IF($R$17="Distrato",$I$38-1,0)),IF(AND($L$711=0,$P$708=0),"",$L$711-1),IF($R$17="Distrato",$E773,0))),0,YEARFRAC(MAX($P$708*($B773+IF($R$17="Distrato",$I$38-1,0)),IF(AND($L$711=0,$P$708=0),"",$L$711-1),IF($R$17="Distrato",$E773,0)),MIN(AF$38,$D$19),$P$20))-SUM($P773:AE773)</f>
        <v>#VALUE!</v>
      </c>
      <c r="AG773" s="446" t="e">
        <f>IF(OR($B773="",MIN(AG$38,$D$19)&lt;MAX($P$708*($B773+IF($R$17="Distrato",$I$38-1,0)),IF(AND($L$711=0,$P$708=0),"",$L$711-1),IF($R$17="Distrato",$E773,0))),0,YEARFRAC(MAX($P$708*($B773+IF($R$17="Distrato",$I$38-1,0)),IF(AND($L$711=0,$P$708=0),"",$L$711-1),IF($R$17="Distrato",$E773,0)),MIN(AG$38,$D$19),$P$20))-SUM($P773:AF773)</f>
        <v>#VALUE!</v>
      </c>
      <c r="AH773" s="446" t="e">
        <f>IF(OR($B773="",MIN(AH$38,$D$19)&lt;MAX($P$708*($B773+IF($R$17="Distrato",$I$38-1,0)),IF(AND($L$711=0,$P$708=0),"",$L$711-1),IF($R$17="Distrato",$E773,0))),0,YEARFRAC(MAX($P$708*($B773+IF($R$17="Distrato",$I$38-1,0)),IF(AND($L$711=0,$P$708=0),"",$L$711-1),IF($R$17="Distrato",$E773,0)),MIN(AH$38,$D$19),$P$20))-SUM($P773:AG773)</f>
        <v>#VALUE!</v>
      </c>
      <c r="AI773" s="446" t="e">
        <f>IF(OR($B773="",MIN(AI$38,$D$19)&lt;MAX($P$708*($B773+IF($R$17="Distrato",$I$38-1,0)),IF(AND($L$711=0,$P$708=0),"",$L$711-1),IF($R$17="Distrato",$E773,0))),0,YEARFRAC(MAX($P$708*($B773+IF($R$17="Distrato",$I$38-1,0)),IF(AND($L$711=0,$P$708=0),"",$L$711-1),IF($R$17="Distrato",$E773,0)),MIN(AI$38,$D$19),$P$20))-SUM($P773:AH773)</f>
        <v>#VALUE!</v>
      </c>
      <c r="AJ773" s="446" t="e">
        <f>IF(OR($B773="",MIN(AJ$38,$D$19)&lt;MAX($P$708*($B773+IF($R$17="Distrato",$I$38-1,0)),IF(AND($L$711=0,$P$708=0),"",$L$711-1),IF($R$17="Distrato",$E773,0))),0,YEARFRAC(MAX($P$708*($B773+IF($R$17="Distrato",$I$38-1,0)),IF(AND($L$711=0,$P$708=0),"",$L$711-1),IF($R$17="Distrato",$E773,0)),MIN(AJ$38,$D$19),$P$20))-SUM($P773:AI773)</f>
        <v>#VALUE!</v>
      </c>
      <c r="AK773" s="446" t="e">
        <f>IF(OR($B773="",MIN(AK$38,$D$19)&lt;MAX($P$708*($B773+IF($R$17="Distrato",$I$38-1,0)),IF(AND($L$711=0,$P$708=0),"",$L$711-1),IF($R$17="Distrato",$E773,0))),0,YEARFRAC(MAX($P$708*($B773+IF($R$17="Distrato",$I$38-1,0)),IF(AND($L$711=0,$P$708=0),"",$L$711-1),IF($R$17="Distrato",$E773,0)),MIN(AK$38,$D$19),$P$20))-SUM($P773:AJ773)</f>
        <v>#VALUE!</v>
      </c>
      <c r="AL773" s="446" t="e">
        <f>IF(OR($B773="",MIN(AL$38,$D$19)&lt;MAX($P$708*($B773+IF($R$17="Distrato",$I$38-1,0)),IF(AND($L$711=0,$P$708=0),"",$L$711-1),IF($R$17="Distrato",$E773,0))),0,YEARFRAC(MAX($P$708*($B773+IF($R$17="Distrato",$I$38-1,0)),IF(AND($L$711=0,$P$708=0),"",$L$711-1),IF($R$17="Distrato",$E773,0)),MIN(AL$38,$D$19),$P$20))-SUM($P773:AK773)</f>
        <v>#VALUE!</v>
      </c>
      <c r="AM773" s="446" t="e">
        <f>IF(OR($B773="",MIN(AM$38,$D$19)&lt;MAX($P$708*($B773+IF($R$17="Distrato",$I$38-1,0)),IF(AND($L$711=0,$P$708=0),"",$L$711-1),IF($R$17="Distrato",$E773,0))),0,YEARFRAC(MAX($P$708*($B773+IF($R$17="Distrato",$I$38-1,0)),IF(AND($L$711=0,$P$708=0),"",$L$711-1),IF($R$17="Distrato",$E773,0)),MIN(AM$38,$D$19),$P$20))-SUM($P773:AL773)</f>
        <v>#VALUE!</v>
      </c>
      <c r="AN773" s="446" t="e">
        <f>IF(OR($B773="",MIN(AN$38,$D$19)&lt;MAX($P$708*($B773+IF($R$17="Distrato",$I$38-1,0)),IF(AND($L$711=0,$P$708=0),"",$L$711-1),IF($R$17="Distrato",$E773,0))),0,YEARFRAC(MAX($P$708*($B773+IF($R$17="Distrato",$I$38-1,0)),IF(AND($L$711=0,$P$708=0),"",$L$711-1),IF($R$17="Distrato",$E773,0)),MIN(AN$38,$D$19),$P$20))-SUM($P773:AM773)</f>
        <v>#VALUE!</v>
      </c>
      <c r="AO773" s="446" t="e">
        <f>IF(OR($B773="",MIN(AO$38,$D$19)&lt;MAX($P$708*($B773+IF($R$17="Distrato",$I$38-1,0)),IF(AND($L$711=0,$P$708=0),"",$L$711-1),IF($R$17="Distrato",$E773,0))),0,YEARFRAC(MAX($P$708*($B773+IF($R$17="Distrato",$I$38-1,0)),IF(AND($L$711=0,$P$708=0),"",$L$711-1),IF($R$17="Distrato",$E773,0)),MIN(AO$38,$D$19),$P$20))-SUM($P773:AN773)</f>
        <v>#VALUE!</v>
      </c>
      <c r="AP773" s="446" t="e">
        <f>IF(OR($B773="",MIN(AP$38,$D$19)&lt;MAX($P$708*($B773+IF($R$17="Distrato",$I$38-1,0)),IF(AND($L$711=0,$P$708=0),"",$L$711-1),IF($R$17="Distrato",$E773,0))),0,YEARFRAC(MAX($P$708*($B773+IF($R$17="Distrato",$I$38-1,0)),IF(AND($L$711=0,$P$708=0),"",$L$711-1),IF($R$17="Distrato",$E773,0)),MIN(AP$38,$D$19),$P$20))-SUM($P773:AO773)</f>
        <v>#VALUE!</v>
      </c>
      <c r="AQ773" s="446" t="e">
        <f>IF(OR($B773="",MIN(AQ$38,$D$19)&lt;MAX($P$708*($B773+IF($R$17="Distrato",$I$38-1,0)),IF(AND($L$711=0,$P$708=0),"",$L$711-1),IF($R$17="Distrato",$E773,0))),0,YEARFRAC(MAX($P$708*($B773+IF($R$17="Distrato",$I$38-1,0)),IF(AND($L$711=0,$P$708=0),"",$L$711-1),IF($R$17="Distrato",$E773,0)),MIN(AQ$38,$D$19),$P$20))-SUM($P773:AP773)</f>
        <v>#VALUE!</v>
      </c>
      <c r="AR773" s="446" t="e">
        <f>IF(OR($B773="",MIN(AR$38,$D$19)&lt;MAX($P$708*($B773+IF($R$17="Distrato",$I$38-1,0)),IF(AND($L$711=0,$P$708=0),"",$L$711-1),IF($R$17="Distrato",$E773,0))),0,YEARFRAC(MAX($P$708*($B773+IF($R$17="Distrato",$I$38-1,0)),IF(AND($L$711=0,$P$708=0),"",$L$711-1),IF($R$17="Distrato",$E773,0)),MIN(AR$38,$D$19),$P$20))-SUM($P773:AQ773)</f>
        <v>#VALUE!</v>
      </c>
      <c r="AS773" s="446" t="e">
        <f>IF(OR($B773="",MIN(AS$38,$D$19)&lt;MAX($P$708*($B773+IF($R$17="Distrato",$I$38-1,0)),IF(AND($L$711=0,$P$708=0),"",$L$711-1),IF($R$17="Distrato",$E773,0))),0,YEARFRAC(MAX($P$708*($B773+IF($R$17="Distrato",$I$38-1,0)),IF(AND($L$711=0,$P$708=0),"",$L$711-1),IF($R$17="Distrato",$E773,0)),MIN(AS$38,$D$19),$P$20))-SUM($P773:AR773)</f>
        <v>#VALUE!</v>
      </c>
      <c r="AT773" s="446" t="e">
        <f>IF(OR($B773="",MIN(AT$38,$D$19)&lt;MAX($P$708*($B773+IF($R$17="Distrato",$I$38-1,0)),IF(AND($L$711=0,$P$708=0),"",$L$711-1),IF($R$17="Distrato",$E773,0))),0,YEARFRAC(MAX($P$708*($B773+IF($R$17="Distrato",$I$38-1,0)),IF(AND($L$711=0,$P$708=0),"",$L$711-1),IF($R$17="Distrato",$E773,0)),MIN(AT$38,$D$19),$P$20))-SUM($P773:AS773)</f>
        <v>#VALUE!</v>
      </c>
      <c r="AU773" s="446" t="e">
        <f>IF(OR($B773="",MIN(AU$38,$D$19)&lt;MAX($P$708*($B773+IF($R$17="Distrato",$I$38-1,0)),IF(AND($L$711=0,$P$708=0),"",$L$711-1),IF($R$17="Distrato",$E773,0))),0,YEARFRAC(MAX($P$708*($B773+IF($R$17="Distrato",$I$38-1,0)),IF(AND($L$711=0,$P$708=0),"",$L$711-1),IF($R$17="Distrato",$E773,0)),MIN(AU$38,$D$19),$P$20))-SUM($P773:AT773)</f>
        <v>#VALUE!</v>
      </c>
      <c r="AV773" s="446" t="e">
        <f>IF(OR($B773="",MIN(AV$38,$D$19)&lt;MAX($P$708*($B773+IF($R$17="Distrato",$I$38-1,0)),IF(AND($L$711=0,$P$708=0),"",$L$711-1),IF($R$17="Distrato",$E773,0))),0,YEARFRAC(MAX($P$708*($B773+IF($R$17="Distrato",$I$38-1,0)),IF(AND($L$711=0,$P$708=0),"",$L$711-1),IF($R$17="Distrato",$E773,0)),MIN(AV$38,$D$19),$P$20))-SUM($P773:AU773)</f>
        <v>#VALUE!</v>
      </c>
      <c r="AW773" s="446" t="e">
        <f>IF(OR($B773="",MIN(AW$38,$D$19)&lt;MAX($P$708*($B773+IF($R$17="Distrato",$I$38-1,0)),IF(AND($L$711=0,$P$708=0),"",$L$711-1),IF($R$17="Distrato",$E773,0))),0,YEARFRAC(MAX($P$708*($B773+IF($R$17="Distrato",$I$38-1,0)),IF(AND($L$711=0,$P$708=0),"",$L$711-1),IF($R$17="Distrato",$E773,0)),MIN(AW$38,$D$19),$P$20))-SUM($P773:AV773)</f>
        <v>#VALUE!</v>
      </c>
      <c r="AX773" s="446" t="e">
        <f>IF(OR($B773="",MIN(AX$38,$D$19)&lt;MAX($P$708*($B773+IF($R$17="Distrato",$I$38-1,0)),IF(AND($L$711=0,$P$708=0),"",$L$711-1),IF($R$17="Distrato",$E773,0))),0,YEARFRAC(MAX($P$708*($B773+IF($R$17="Distrato",$I$38-1,0)),IF(AND($L$711=0,$P$708=0),"",$L$711-1),IF($R$17="Distrato",$E773,0)),MIN(AX$38,$D$19),$P$20))-SUM($P773:AW773)</f>
        <v>#VALUE!</v>
      </c>
      <c r="AY773" s="446" t="e">
        <f>IF(OR($B773="",MIN(AY$38,$D$19)&lt;MAX($P$708*($B773+IF($R$17="Distrato",$I$38-1,0)),IF(AND($L$711=0,$P$708=0),"",$L$711-1),IF($R$17="Distrato",$E773,0))),0,YEARFRAC(MAX($P$708*($B773+IF($R$17="Distrato",$I$38-1,0)),IF(AND($L$711=0,$P$708=0),"",$L$711-1),IF($R$17="Distrato",$E773,0)),MIN(AY$38,$D$19),$P$20))-SUM($P773:AX773)</f>
        <v>#VALUE!</v>
      </c>
      <c r="AZ773" s="446" t="e">
        <f>IF(OR($B773="",MIN(AZ$38,$D$19)&lt;MAX($P$708*($B773+IF($R$17="Distrato",$I$38-1,0)),IF(AND($L$711=0,$P$708=0),"",$L$711-1),IF($R$17="Distrato",$E773,0))),0,YEARFRAC(MAX($P$708*($B773+IF($R$17="Distrato",$I$38-1,0)),IF(AND($L$711=0,$P$708=0),"",$L$711-1),IF($R$17="Distrato",$E773,0)),MIN(AZ$38,$D$19),$P$20))-SUM($P773:AY773)</f>
        <v>#VALUE!</v>
      </c>
      <c r="BA773" s="446" t="e">
        <f>IF(OR($B773="",MIN(BA$38,$D$19)&lt;MAX($P$708*($B773+IF($R$17="Distrato",$I$38-1,0)),IF(AND($L$711=0,$P$708=0),"",$L$711-1),IF($R$17="Distrato",$E773,0))),0,YEARFRAC(MAX($P$708*($B773+IF($R$17="Distrato",$I$38-1,0)),IF(AND($L$711=0,$P$708=0),"",$L$711-1),IF($R$17="Distrato",$E773,0)),MIN(BA$38,$D$19),$P$20))-SUM($P773:AZ773)</f>
        <v>#VALUE!</v>
      </c>
      <c r="BB773" s="447"/>
    </row>
    <row r="774" spans="1:54" s="446" customFormat="1" ht="11.25" hidden="1" customHeight="1" x14ac:dyDescent="0.2">
      <c r="A774" s="235"/>
      <c r="B774" s="236"/>
      <c r="C774" s="29" t="str">
        <f>IF(B774="","",IF($L$709=$BL$25,VLOOKUP(DATE(YEAR($D$19),MONTH($D$19)-1,1),ÍNDICES!$A:$DE,HLOOKUP($BL$25,ÍNDICES!$B$3:$T$4,2)+11)-VLOOKUP(B774,ÍNDICES!$A:$DE,HLOOKUP($BL$25,ÍNDICES!$B$3:$T$4,2)+11)+1%,IF(C$712=$W$26,$J$35,IF(ISERROR(IF(B774&gt;$D$19,1,VLOOKUP(DATE(YEAR(B774),MONTH(B774)+IF($C$709=$S$23,1,0),1),ÍNDICES!$A:$DE,$Z$709+1))),"",IF(B774&gt;$D$19,1,VLOOKUP(DATE(YEAR(B774),MONTH(B774)+IF($C$709=$S$23,1,0),1),ÍNDICES!$A:$DE,$Z$709+1))))))</f>
        <v/>
      </c>
      <c r="D774" s="155"/>
      <c r="E774" s="88"/>
      <c r="F774" s="88"/>
      <c r="G774" s="88"/>
      <c r="H774" s="118"/>
      <c r="I774" s="182">
        <f t="shared" si="115"/>
        <v>0</v>
      </c>
      <c r="J774" s="20">
        <f t="shared" ca="1" si="116"/>
        <v>0</v>
      </c>
      <c r="K774" s="5">
        <f t="shared" ca="1" si="117"/>
        <v>0</v>
      </c>
      <c r="L774" s="61">
        <f t="shared" ca="1" si="118"/>
        <v>0</v>
      </c>
      <c r="M774" s="64">
        <f t="shared" si="119"/>
        <v>0</v>
      </c>
      <c r="N774" s="151"/>
      <c r="O774" s="5">
        <f t="shared" ca="1" si="120"/>
        <v>0</v>
      </c>
      <c r="P774" s="446" t="e">
        <f t="shared" si="121"/>
        <v>#VALUE!</v>
      </c>
      <c r="Q774" s="446" t="e">
        <f>IF(OR($B774="",MIN(Q$38,$D$19)&lt;MAX($P$708*($B774+IF($R$17="Distrato",$I$38-1,0)),IF(AND($L$711=0,$P$708=0),"",$L$711-1),IF($R$17="Distrato",$E774,0))),0,YEARFRAC(MAX($P$708*($B774+IF($R$17="Distrato",$I$38-1,0)),IF(AND($L$711=0,$P$708=0),"",$L$711-1),IF($R$17="Distrato",$E774,0)),MIN(Q$38,$D$19),$P$20))-SUM($P774:P774)</f>
        <v>#VALUE!</v>
      </c>
      <c r="R774" s="446" t="e">
        <f>IF(OR($B774="",MIN(R$38,$D$19)&lt;MAX($P$708*($B774+IF($R$17="Distrato",$I$38-1,0)),IF(AND($L$711=0,$P$708=0),"",$L$711-1),IF($R$17="Distrato",$E774,0))),0,YEARFRAC(MAX($P$708*($B774+IF($R$17="Distrato",$I$38-1,0)),IF(AND($L$711=0,$P$708=0),"",$L$711-1),IF($R$17="Distrato",$E774,0)),MIN(R$38,$D$19),$P$20))-SUM($P774:Q774)</f>
        <v>#VALUE!</v>
      </c>
      <c r="S774" s="446" t="e">
        <f>IF(OR($B774="",MIN(S$38,$D$19)&lt;MAX($P$708*($B774+IF($R$17="Distrato",$I$38-1,0)),IF(AND($L$711=0,$P$708=0),"",$L$711-1),IF($R$17="Distrato",$E774,0))),0,YEARFRAC(MAX($P$708*($B774+IF($R$17="Distrato",$I$38-1,0)),IF(AND($L$711=0,$P$708=0),"",$L$711-1),IF($R$17="Distrato",$E774,0)),MIN(S$38,$D$19),$P$20))-SUM($P774:R774)</f>
        <v>#VALUE!</v>
      </c>
      <c r="T774" s="446" t="e">
        <f>IF(OR($B774="",MIN(T$38,$D$19)&lt;MAX($P$708*($B774+IF($R$17="Distrato",$I$38-1,0)),IF(AND($L$711=0,$P$708=0),"",$L$711-1),IF($R$17="Distrato",$E774,0))),0,YEARFRAC(MAX($P$708*($B774+IF($R$17="Distrato",$I$38-1,0)),IF(AND($L$711=0,$P$708=0),"",$L$711-1),IF($R$17="Distrato",$E774,0)),MIN(T$38,$D$19),$P$20))-SUM($P774:S774)</f>
        <v>#VALUE!</v>
      </c>
      <c r="U774" s="446" t="e">
        <f>IF(OR($B774="",MIN(U$38,$D$19)&lt;MAX($P$708*($B774+IF($R$17="Distrato",$I$38-1,0)),IF(AND($L$711=0,$P$708=0),"",$L$711-1),IF($R$17="Distrato",$E774,0))),0,YEARFRAC(MAX($P$708*($B774+IF($R$17="Distrato",$I$38-1,0)),IF(AND($L$711=0,$P$708=0),"",$L$711-1),IF($R$17="Distrato",$E774,0)),MIN(U$38,$D$19),$P$20))-SUM($P774:T774)</f>
        <v>#VALUE!</v>
      </c>
      <c r="V774" s="446" t="e">
        <f>IF(OR($B774="",MIN(V$38,$D$19)&lt;MAX($P$708*($B774+IF($R$17="Distrato",$I$38-1,0)),IF(AND($L$711=0,$P$708=0),"",$L$711-1),IF($R$17="Distrato",$E774,0))),0,YEARFRAC(MAX($P$708*($B774+IF($R$17="Distrato",$I$38-1,0)),IF(AND($L$711=0,$P$708=0),"",$L$711-1),IF($R$17="Distrato",$E774,0)),MIN(V$38,$D$19),$P$20))-SUM($P774:U774)</f>
        <v>#VALUE!</v>
      </c>
      <c r="W774" s="446" t="e">
        <f>IF(OR($B774="",MIN(W$38,$D$19)&lt;MAX($P$708*($B774+IF($R$17="Distrato",$I$38-1,0)),IF(AND($L$711=0,$P$708=0),"",$L$711-1),IF($R$17="Distrato",$E774,0))),0,YEARFRAC(MAX($P$708*($B774+IF($R$17="Distrato",$I$38-1,0)),IF(AND($L$711=0,$P$708=0),"",$L$711-1),IF($R$17="Distrato",$E774,0)),MIN(W$38,$D$19),$P$20))-SUM($P774:V774)</f>
        <v>#VALUE!</v>
      </c>
      <c r="X774" s="446" t="e">
        <f>IF(OR($B774="",MIN(X$38,$D$19)&lt;MAX($P$708*($B774+IF($R$17="Distrato",$I$38-1,0)),IF(AND($L$711=0,$P$708=0),"",$L$711-1),IF($R$17="Distrato",$E774,0))),0,YEARFRAC(MAX($P$708*($B774+IF($R$17="Distrato",$I$38-1,0)),IF(AND($L$711=0,$P$708=0),"",$L$711-1),IF($R$17="Distrato",$E774,0)),MIN(X$38,$D$19),$P$20))-SUM($P774:W774)</f>
        <v>#VALUE!</v>
      </c>
      <c r="Y774" s="446" t="e">
        <f>IF(OR($B774="",MIN(Y$38,$D$19)&lt;MAX($P$708*($B774+IF($R$17="Distrato",$I$38-1,0)),IF(AND($L$711=0,$P$708=0),"",$L$711-1),IF($R$17="Distrato",$E774,0))),0,YEARFRAC(MAX($P$708*($B774+IF($R$17="Distrato",$I$38-1,0)),IF(AND($L$711=0,$P$708=0),"",$L$711-1),IF($R$17="Distrato",$E774,0)),MIN(Y$38,$D$19),$P$20))-SUM($P774:X774)</f>
        <v>#VALUE!</v>
      </c>
      <c r="Z774" s="446" t="e">
        <f>IF(OR($B774="",MIN(Z$38,$D$19)&lt;MAX($P$708*($B774+IF($R$17="Distrato",$I$38-1,0)),IF(AND($L$711=0,$P$708=0),"",$L$711-1),IF($R$17="Distrato",$E774,0))),0,YEARFRAC(MAX($P$708*($B774+IF($R$17="Distrato",$I$38-1,0)),IF(AND($L$711=0,$P$708=0),"",$L$711-1),IF($R$17="Distrato",$E774,0)),MIN(Z$38,$D$19),$P$20))-SUM($P774:Y774)</f>
        <v>#VALUE!</v>
      </c>
      <c r="AA774" s="446" t="e">
        <f>IF(OR($B774="",MIN(AA$38,$D$19)&lt;MAX($P$708*($B774+IF($R$17="Distrato",$I$38-1,0)),IF(AND($L$711=0,$P$708=0),"",$L$711-1),IF($R$17="Distrato",$E774,0))),0,YEARFRAC(MAX($P$708*($B774+IF($R$17="Distrato",$I$38-1,0)),IF(AND($L$711=0,$P$708=0),"",$L$711-1),IF($R$17="Distrato",$E774,0)),MIN(AA$38,$D$19),$P$20))-SUM($P774:Z774)</f>
        <v>#VALUE!</v>
      </c>
      <c r="AB774" s="446" t="e">
        <f>IF(OR($B774="",MIN(AB$38,$D$19)&lt;MAX($P$708*($B774+IF($R$17="Distrato",$I$38-1,0)),IF(AND($L$711=0,$P$708=0),"",$L$711-1),IF($R$17="Distrato",$E774,0))),0,YEARFRAC(MAX($P$708*($B774+IF($R$17="Distrato",$I$38-1,0)),IF(AND($L$711=0,$P$708=0),"",$L$711-1),IF($R$17="Distrato",$E774,0)),MIN(AB$38,$D$19),$P$20))-SUM($P774:AA774)</f>
        <v>#VALUE!</v>
      </c>
      <c r="AC774" s="446" t="e">
        <f>IF(OR($B774="",MIN(AC$38,$D$19)&lt;MAX($P$708*($B774+IF($R$17="Distrato",$I$38-1,0)),IF(AND($L$711=0,$P$708=0),"",$L$711-1),IF($R$17="Distrato",$E774,0))),0,YEARFRAC(MAX($P$708*($B774+IF($R$17="Distrato",$I$38-1,0)),IF(AND($L$711=0,$P$708=0),"",$L$711-1),IF($R$17="Distrato",$E774,0)),MIN(AC$38,$D$19),$P$20))-SUM($P774:AB774)</f>
        <v>#VALUE!</v>
      </c>
      <c r="AD774" s="446" t="e">
        <f>IF(OR($B774="",MIN(AD$38,$D$19)&lt;MAX($P$708*($B774+IF($R$17="Distrato",$I$38-1,0)),IF(AND($L$711=0,$P$708=0),"",$L$711-1),IF($R$17="Distrato",$E774,0))),0,YEARFRAC(MAX($P$708*($B774+IF($R$17="Distrato",$I$38-1,0)),IF(AND($L$711=0,$P$708=0),"",$L$711-1),IF($R$17="Distrato",$E774,0)),MIN(AD$38,$D$19),$P$20))-SUM($P774:AC774)</f>
        <v>#VALUE!</v>
      </c>
      <c r="AE774" s="446" t="e">
        <f>IF(OR($B774="",MIN(AE$38,$D$19)&lt;MAX($P$708*($B774+IF($R$17="Distrato",$I$38-1,0)),IF(AND($L$711=0,$P$708=0),"",$L$711-1),IF($R$17="Distrato",$E774,0))),0,YEARFRAC(MAX($P$708*($B774+IF($R$17="Distrato",$I$38-1,0)),IF(AND($L$711=0,$P$708=0),"",$L$711-1),IF($R$17="Distrato",$E774,0)),MIN(AE$38,$D$19),$P$20))-SUM($P774:AD774)</f>
        <v>#VALUE!</v>
      </c>
      <c r="AF774" s="446" t="e">
        <f>IF(OR($B774="",MIN(AF$38,$D$19)&lt;MAX($P$708*($B774+IF($R$17="Distrato",$I$38-1,0)),IF(AND($L$711=0,$P$708=0),"",$L$711-1),IF($R$17="Distrato",$E774,0))),0,YEARFRAC(MAX($P$708*($B774+IF($R$17="Distrato",$I$38-1,0)),IF(AND($L$711=0,$P$708=0),"",$L$711-1),IF($R$17="Distrato",$E774,0)),MIN(AF$38,$D$19),$P$20))-SUM($P774:AE774)</f>
        <v>#VALUE!</v>
      </c>
      <c r="AG774" s="446" t="e">
        <f>IF(OR($B774="",MIN(AG$38,$D$19)&lt;MAX($P$708*($B774+IF($R$17="Distrato",$I$38-1,0)),IF(AND($L$711=0,$P$708=0),"",$L$711-1),IF($R$17="Distrato",$E774,0))),0,YEARFRAC(MAX($P$708*($B774+IF($R$17="Distrato",$I$38-1,0)),IF(AND($L$711=0,$P$708=0),"",$L$711-1),IF($R$17="Distrato",$E774,0)),MIN(AG$38,$D$19),$P$20))-SUM($P774:AF774)</f>
        <v>#VALUE!</v>
      </c>
      <c r="AH774" s="446" t="e">
        <f>IF(OR($B774="",MIN(AH$38,$D$19)&lt;MAX($P$708*($B774+IF($R$17="Distrato",$I$38-1,0)),IF(AND($L$711=0,$P$708=0),"",$L$711-1),IF($R$17="Distrato",$E774,0))),0,YEARFRAC(MAX($P$708*($B774+IF($R$17="Distrato",$I$38-1,0)),IF(AND($L$711=0,$P$708=0),"",$L$711-1),IF($R$17="Distrato",$E774,0)),MIN(AH$38,$D$19),$P$20))-SUM($P774:AG774)</f>
        <v>#VALUE!</v>
      </c>
      <c r="AI774" s="446" t="e">
        <f>IF(OR($B774="",MIN(AI$38,$D$19)&lt;MAX($P$708*($B774+IF($R$17="Distrato",$I$38-1,0)),IF(AND($L$711=0,$P$708=0),"",$L$711-1),IF($R$17="Distrato",$E774,0))),0,YEARFRAC(MAX($P$708*($B774+IF($R$17="Distrato",$I$38-1,0)),IF(AND($L$711=0,$P$708=0),"",$L$711-1),IF($R$17="Distrato",$E774,0)),MIN(AI$38,$D$19),$P$20))-SUM($P774:AH774)</f>
        <v>#VALUE!</v>
      </c>
      <c r="AJ774" s="446" t="e">
        <f>IF(OR($B774="",MIN(AJ$38,$D$19)&lt;MAX($P$708*($B774+IF($R$17="Distrato",$I$38-1,0)),IF(AND($L$711=0,$P$708=0),"",$L$711-1),IF($R$17="Distrato",$E774,0))),0,YEARFRAC(MAX($P$708*($B774+IF($R$17="Distrato",$I$38-1,0)),IF(AND($L$711=0,$P$708=0),"",$L$711-1),IF($R$17="Distrato",$E774,0)),MIN(AJ$38,$D$19),$P$20))-SUM($P774:AI774)</f>
        <v>#VALUE!</v>
      </c>
      <c r="AK774" s="446" t="e">
        <f>IF(OR($B774="",MIN(AK$38,$D$19)&lt;MAX($P$708*($B774+IF($R$17="Distrato",$I$38-1,0)),IF(AND($L$711=0,$P$708=0),"",$L$711-1),IF($R$17="Distrato",$E774,0))),0,YEARFRAC(MAX($P$708*($B774+IF($R$17="Distrato",$I$38-1,0)),IF(AND($L$711=0,$P$708=0),"",$L$711-1),IF($R$17="Distrato",$E774,0)),MIN(AK$38,$D$19),$P$20))-SUM($P774:AJ774)</f>
        <v>#VALUE!</v>
      </c>
      <c r="AL774" s="446" t="e">
        <f>IF(OR($B774="",MIN(AL$38,$D$19)&lt;MAX($P$708*($B774+IF($R$17="Distrato",$I$38-1,0)),IF(AND($L$711=0,$P$708=0),"",$L$711-1),IF($R$17="Distrato",$E774,0))),0,YEARFRAC(MAX($P$708*($B774+IF($R$17="Distrato",$I$38-1,0)),IF(AND($L$711=0,$P$708=0),"",$L$711-1),IF($R$17="Distrato",$E774,0)),MIN(AL$38,$D$19),$P$20))-SUM($P774:AK774)</f>
        <v>#VALUE!</v>
      </c>
      <c r="AM774" s="446" t="e">
        <f>IF(OR($B774="",MIN(AM$38,$D$19)&lt;MAX($P$708*($B774+IF($R$17="Distrato",$I$38-1,0)),IF(AND($L$711=0,$P$708=0),"",$L$711-1),IF($R$17="Distrato",$E774,0))),0,YEARFRAC(MAX($P$708*($B774+IF($R$17="Distrato",$I$38-1,0)),IF(AND($L$711=0,$P$708=0),"",$L$711-1),IF($R$17="Distrato",$E774,0)),MIN(AM$38,$D$19),$P$20))-SUM($P774:AL774)</f>
        <v>#VALUE!</v>
      </c>
      <c r="AN774" s="446" t="e">
        <f>IF(OR($B774="",MIN(AN$38,$D$19)&lt;MAX($P$708*($B774+IF($R$17="Distrato",$I$38-1,0)),IF(AND($L$711=0,$P$708=0),"",$L$711-1),IF($R$17="Distrato",$E774,0))),0,YEARFRAC(MAX($P$708*($B774+IF($R$17="Distrato",$I$38-1,0)),IF(AND($L$711=0,$P$708=0),"",$L$711-1),IF($R$17="Distrato",$E774,0)),MIN(AN$38,$D$19),$P$20))-SUM($P774:AM774)</f>
        <v>#VALUE!</v>
      </c>
      <c r="AO774" s="446" t="e">
        <f>IF(OR($B774="",MIN(AO$38,$D$19)&lt;MAX($P$708*($B774+IF($R$17="Distrato",$I$38-1,0)),IF(AND($L$711=0,$P$708=0),"",$L$711-1),IF($R$17="Distrato",$E774,0))),0,YEARFRAC(MAX($P$708*($B774+IF($R$17="Distrato",$I$38-1,0)),IF(AND($L$711=0,$P$708=0),"",$L$711-1),IF($R$17="Distrato",$E774,0)),MIN(AO$38,$D$19),$P$20))-SUM($P774:AN774)</f>
        <v>#VALUE!</v>
      </c>
      <c r="AP774" s="446" t="e">
        <f>IF(OR($B774="",MIN(AP$38,$D$19)&lt;MAX($P$708*($B774+IF($R$17="Distrato",$I$38-1,0)),IF(AND($L$711=0,$P$708=0),"",$L$711-1),IF($R$17="Distrato",$E774,0))),0,YEARFRAC(MAX($P$708*($B774+IF($R$17="Distrato",$I$38-1,0)),IF(AND($L$711=0,$P$708=0),"",$L$711-1),IF($R$17="Distrato",$E774,0)),MIN(AP$38,$D$19),$P$20))-SUM($P774:AO774)</f>
        <v>#VALUE!</v>
      </c>
      <c r="AQ774" s="446" t="e">
        <f>IF(OR($B774="",MIN(AQ$38,$D$19)&lt;MAX($P$708*($B774+IF($R$17="Distrato",$I$38-1,0)),IF(AND($L$711=0,$P$708=0),"",$L$711-1),IF($R$17="Distrato",$E774,0))),0,YEARFRAC(MAX($P$708*($B774+IF($R$17="Distrato",$I$38-1,0)),IF(AND($L$711=0,$P$708=0),"",$L$711-1),IF($R$17="Distrato",$E774,0)),MIN(AQ$38,$D$19),$P$20))-SUM($P774:AP774)</f>
        <v>#VALUE!</v>
      </c>
      <c r="AR774" s="446" t="e">
        <f>IF(OR($B774="",MIN(AR$38,$D$19)&lt;MAX($P$708*($B774+IF($R$17="Distrato",$I$38-1,0)),IF(AND($L$711=0,$P$708=0),"",$L$711-1),IF($R$17="Distrato",$E774,0))),0,YEARFRAC(MAX($P$708*($B774+IF($R$17="Distrato",$I$38-1,0)),IF(AND($L$711=0,$P$708=0),"",$L$711-1),IF($R$17="Distrato",$E774,0)),MIN(AR$38,$D$19),$P$20))-SUM($P774:AQ774)</f>
        <v>#VALUE!</v>
      </c>
      <c r="AS774" s="446" t="e">
        <f>IF(OR($B774="",MIN(AS$38,$D$19)&lt;MAX($P$708*($B774+IF($R$17="Distrato",$I$38-1,0)),IF(AND($L$711=0,$P$708=0),"",$L$711-1),IF($R$17="Distrato",$E774,0))),0,YEARFRAC(MAX($P$708*($B774+IF($R$17="Distrato",$I$38-1,0)),IF(AND($L$711=0,$P$708=0),"",$L$711-1),IF($R$17="Distrato",$E774,0)),MIN(AS$38,$D$19),$P$20))-SUM($P774:AR774)</f>
        <v>#VALUE!</v>
      </c>
      <c r="AT774" s="446" t="e">
        <f>IF(OR($B774="",MIN(AT$38,$D$19)&lt;MAX($P$708*($B774+IF($R$17="Distrato",$I$38-1,0)),IF(AND($L$711=0,$P$708=0),"",$L$711-1),IF($R$17="Distrato",$E774,0))),0,YEARFRAC(MAX($P$708*($B774+IF($R$17="Distrato",$I$38-1,0)),IF(AND($L$711=0,$P$708=0),"",$L$711-1),IF($R$17="Distrato",$E774,0)),MIN(AT$38,$D$19),$P$20))-SUM($P774:AS774)</f>
        <v>#VALUE!</v>
      </c>
      <c r="AU774" s="446" t="e">
        <f>IF(OR($B774="",MIN(AU$38,$D$19)&lt;MAX($P$708*($B774+IF($R$17="Distrato",$I$38-1,0)),IF(AND($L$711=0,$P$708=0),"",$L$711-1),IF($R$17="Distrato",$E774,0))),0,YEARFRAC(MAX($P$708*($B774+IF($R$17="Distrato",$I$38-1,0)),IF(AND($L$711=0,$P$708=0),"",$L$711-1),IF($R$17="Distrato",$E774,0)),MIN(AU$38,$D$19),$P$20))-SUM($P774:AT774)</f>
        <v>#VALUE!</v>
      </c>
      <c r="AV774" s="446" t="e">
        <f>IF(OR($B774="",MIN(AV$38,$D$19)&lt;MAX($P$708*($B774+IF($R$17="Distrato",$I$38-1,0)),IF(AND($L$711=0,$P$708=0),"",$L$711-1),IF($R$17="Distrato",$E774,0))),0,YEARFRAC(MAX($P$708*($B774+IF($R$17="Distrato",$I$38-1,0)),IF(AND($L$711=0,$P$708=0),"",$L$711-1),IF($R$17="Distrato",$E774,0)),MIN(AV$38,$D$19),$P$20))-SUM($P774:AU774)</f>
        <v>#VALUE!</v>
      </c>
      <c r="AW774" s="446" t="e">
        <f>IF(OR($B774="",MIN(AW$38,$D$19)&lt;MAX($P$708*($B774+IF($R$17="Distrato",$I$38-1,0)),IF(AND($L$711=0,$P$708=0),"",$L$711-1),IF($R$17="Distrato",$E774,0))),0,YEARFRAC(MAX($P$708*($B774+IF($R$17="Distrato",$I$38-1,0)),IF(AND($L$711=0,$P$708=0),"",$L$711-1),IF($R$17="Distrato",$E774,0)),MIN(AW$38,$D$19),$P$20))-SUM($P774:AV774)</f>
        <v>#VALUE!</v>
      </c>
      <c r="AX774" s="446" t="e">
        <f>IF(OR($B774="",MIN(AX$38,$D$19)&lt;MAX($P$708*($B774+IF($R$17="Distrato",$I$38-1,0)),IF(AND($L$711=0,$P$708=0),"",$L$711-1),IF($R$17="Distrato",$E774,0))),0,YEARFRAC(MAX($P$708*($B774+IF($R$17="Distrato",$I$38-1,0)),IF(AND($L$711=0,$P$708=0),"",$L$711-1),IF($R$17="Distrato",$E774,0)),MIN(AX$38,$D$19),$P$20))-SUM($P774:AW774)</f>
        <v>#VALUE!</v>
      </c>
      <c r="AY774" s="446" t="e">
        <f>IF(OR($B774="",MIN(AY$38,$D$19)&lt;MAX($P$708*($B774+IF($R$17="Distrato",$I$38-1,0)),IF(AND($L$711=0,$P$708=0),"",$L$711-1),IF($R$17="Distrato",$E774,0))),0,YEARFRAC(MAX($P$708*($B774+IF($R$17="Distrato",$I$38-1,0)),IF(AND($L$711=0,$P$708=0),"",$L$711-1),IF($R$17="Distrato",$E774,0)),MIN(AY$38,$D$19),$P$20))-SUM($P774:AX774)</f>
        <v>#VALUE!</v>
      </c>
      <c r="AZ774" s="446" t="e">
        <f>IF(OR($B774="",MIN(AZ$38,$D$19)&lt;MAX($P$708*($B774+IF($R$17="Distrato",$I$38-1,0)),IF(AND($L$711=0,$P$708=0),"",$L$711-1),IF($R$17="Distrato",$E774,0))),0,YEARFRAC(MAX($P$708*($B774+IF($R$17="Distrato",$I$38-1,0)),IF(AND($L$711=0,$P$708=0),"",$L$711-1),IF($R$17="Distrato",$E774,0)),MIN(AZ$38,$D$19),$P$20))-SUM($P774:AY774)</f>
        <v>#VALUE!</v>
      </c>
      <c r="BA774" s="446" t="e">
        <f>IF(OR($B774="",MIN(BA$38,$D$19)&lt;MAX($P$708*($B774+IF($R$17="Distrato",$I$38-1,0)),IF(AND($L$711=0,$P$708=0),"",$L$711-1),IF($R$17="Distrato",$E774,0))),0,YEARFRAC(MAX($P$708*($B774+IF($R$17="Distrato",$I$38-1,0)),IF(AND($L$711=0,$P$708=0),"",$L$711-1),IF($R$17="Distrato",$E774,0)),MIN(BA$38,$D$19),$P$20))-SUM($P774:AZ774)</f>
        <v>#VALUE!</v>
      </c>
      <c r="BB774" s="447"/>
    </row>
    <row r="775" spans="1:54" s="446" customFormat="1" ht="11.25" hidden="1" customHeight="1" x14ac:dyDescent="0.2">
      <c r="A775" s="235"/>
      <c r="B775" s="236"/>
      <c r="C775" s="29" t="str">
        <f>IF(B775="","",IF($L$709=$BL$25,VLOOKUP(DATE(YEAR($D$19),MONTH($D$19)-1,1),ÍNDICES!$A:$DE,HLOOKUP($BL$25,ÍNDICES!$B$3:$T$4,2)+11)-VLOOKUP(B775,ÍNDICES!$A:$DE,HLOOKUP($BL$25,ÍNDICES!$B$3:$T$4,2)+11)+1%,IF(C$712=$W$26,$J$35,IF(ISERROR(IF(B775&gt;$D$19,1,VLOOKUP(DATE(YEAR(B775),MONTH(B775)+IF($C$709=$S$23,1,0),1),ÍNDICES!$A:$DE,$Z$709+1))),"",IF(B775&gt;$D$19,1,VLOOKUP(DATE(YEAR(B775),MONTH(B775)+IF($C$709=$S$23,1,0),1),ÍNDICES!$A:$DE,$Z$709+1))))))</f>
        <v/>
      </c>
      <c r="D775" s="155"/>
      <c r="E775" s="88"/>
      <c r="F775" s="88"/>
      <c r="G775" s="88"/>
      <c r="H775" s="118"/>
      <c r="I775" s="182">
        <f t="shared" si="115"/>
        <v>0</v>
      </c>
      <c r="J775" s="20">
        <f t="shared" ca="1" si="116"/>
        <v>0</v>
      </c>
      <c r="K775" s="5">
        <f t="shared" ca="1" si="117"/>
        <v>0</v>
      </c>
      <c r="L775" s="61">
        <f t="shared" ca="1" si="118"/>
        <v>0</v>
      </c>
      <c r="M775" s="64">
        <f t="shared" si="119"/>
        <v>0</v>
      </c>
      <c r="N775" s="151"/>
      <c r="O775" s="5">
        <f t="shared" ca="1" si="120"/>
        <v>0</v>
      </c>
      <c r="P775" s="446" t="e">
        <f t="shared" si="121"/>
        <v>#VALUE!</v>
      </c>
      <c r="Q775" s="446" t="e">
        <f>IF(OR($B775="",MIN(Q$38,$D$19)&lt;MAX($P$708*($B775+IF($R$17="Distrato",$I$38-1,0)),IF(AND($L$711=0,$P$708=0),"",$L$711-1),IF($R$17="Distrato",$E775,0))),0,YEARFRAC(MAX($P$708*($B775+IF($R$17="Distrato",$I$38-1,0)),IF(AND($L$711=0,$P$708=0),"",$L$711-1),IF($R$17="Distrato",$E775,0)),MIN(Q$38,$D$19),$P$20))-SUM($P775:P775)</f>
        <v>#VALUE!</v>
      </c>
      <c r="R775" s="446" t="e">
        <f>IF(OR($B775="",MIN(R$38,$D$19)&lt;MAX($P$708*($B775+IF($R$17="Distrato",$I$38-1,0)),IF(AND($L$711=0,$P$708=0),"",$L$711-1),IF($R$17="Distrato",$E775,0))),0,YEARFRAC(MAX($P$708*($B775+IF($R$17="Distrato",$I$38-1,0)),IF(AND($L$711=0,$P$708=0),"",$L$711-1),IF($R$17="Distrato",$E775,0)),MIN(R$38,$D$19),$P$20))-SUM($P775:Q775)</f>
        <v>#VALUE!</v>
      </c>
      <c r="S775" s="446" t="e">
        <f>IF(OR($B775="",MIN(S$38,$D$19)&lt;MAX($P$708*($B775+IF($R$17="Distrato",$I$38-1,0)),IF(AND($L$711=0,$P$708=0),"",$L$711-1),IF($R$17="Distrato",$E775,0))),0,YEARFRAC(MAX($P$708*($B775+IF($R$17="Distrato",$I$38-1,0)),IF(AND($L$711=0,$P$708=0),"",$L$711-1),IF($R$17="Distrato",$E775,0)),MIN(S$38,$D$19),$P$20))-SUM($P775:R775)</f>
        <v>#VALUE!</v>
      </c>
      <c r="T775" s="446" t="e">
        <f>IF(OR($B775="",MIN(T$38,$D$19)&lt;MAX($P$708*($B775+IF($R$17="Distrato",$I$38-1,0)),IF(AND($L$711=0,$P$708=0),"",$L$711-1),IF($R$17="Distrato",$E775,0))),0,YEARFRAC(MAX($P$708*($B775+IF($R$17="Distrato",$I$38-1,0)),IF(AND($L$711=0,$P$708=0),"",$L$711-1),IF($R$17="Distrato",$E775,0)),MIN(T$38,$D$19),$P$20))-SUM($P775:S775)</f>
        <v>#VALUE!</v>
      </c>
      <c r="U775" s="446" t="e">
        <f>IF(OR($B775="",MIN(U$38,$D$19)&lt;MAX($P$708*($B775+IF($R$17="Distrato",$I$38-1,0)),IF(AND($L$711=0,$P$708=0),"",$L$711-1),IF($R$17="Distrato",$E775,0))),0,YEARFRAC(MAX($P$708*($B775+IF($R$17="Distrato",$I$38-1,0)),IF(AND($L$711=0,$P$708=0),"",$L$711-1),IF($R$17="Distrato",$E775,0)),MIN(U$38,$D$19),$P$20))-SUM($P775:T775)</f>
        <v>#VALUE!</v>
      </c>
      <c r="V775" s="446" t="e">
        <f>IF(OR($B775="",MIN(V$38,$D$19)&lt;MAX($P$708*($B775+IF($R$17="Distrato",$I$38-1,0)),IF(AND($L$711=0,$P$708=0),"",$L$711-1),IF($R$17="Distrato",$E775,0))),0,YEARFRAC(MAX($P$708*($B775+IF($R$17="Distrato",$I$38-1,0)),IF(AND($L$711=0,$P$708=0),"",$L$711-1),IF($R$17="Distrato",$E775,0)),MIN(V$38,$D$19),$P$20))-SUM($P775:U775)</f>
        <v>#VALUE!</v>
      </c>
      <c r="W775" s="446" t="e">
        <f>IF(OR($B775="",MIN(W$38,$D$19)&lt;MAX($P$708*($B775+IF($R$17="Distrato",$I$38-1,0)),IF(AND($L$711=0,$P$708=0),"",$L$711-1),IF($R$17="Distrato",$E775,0))),0,YEARFRAC(MAX($P$708*($B775+IF($R$17="Distrato",$I$38-1,0)),IF(AND($L$711=0,$P$708=0),"",$L$711-1),IF($R$17="Distrato",$E775,0)),MIN(W$38,$D$19),$P$20))-SUM($P775:V775)</f>
        <v>#VALUE!</v>
      </c>
      <c r="X775" s="446" t="e">
        <f>IF(OR($B775="",MIN(X$38,$D$19)&lt;MAX($P$708*($B775+IF($R$17="Distrato",$I$38-1,0)),IF(AND($L$711=0,$P$708=0),"",$L$711-1),IF($R$17="Distrato",$E775,0))),0,YEARFRAC(MAX($P$708*($B775+IF($R$17="Distrato",$I$38-1,0)),IF(AND($L$711=0,$P$708=0),"",$L$711-1),IF($R$17="Distrato",$E775,0)),MIN(X$38,$D$19),$P$20))-SUM($P775:W775)</f>
        <v>#VALUE!</v>
      </c>
      <c r="Y775" s="446" t="e">
        <f>IF(OR($B775="",MIN(Y$38,$D$19)&lt;MAX($P$708*($B775+IF($R$17="Distrato",$I$38-1,0)),IF(AND($L$711=0,$P$708=0),"",$L$711-1),IF($R$17="Distrato",$E775,0))),0,YEARFRAC(MAX($P$708*($B775+IF($R$17="Distrato",$I$38-1,0)),IF(AND($L$711=0,$P$708=0),"",$L$711-1),IF($R$17="Distrato",$E775,0)),MIN(Y$38,$D$19),$P$20))-SUM($P775:X775)</f>
        <v>#VALUE!</v>
      </c>
      <c r="Z775" s="446" t="e">
        <f>IF(OR($B775="",MIN(Z$38,$D$19)&lt;MAX($P$708*($B775+IF($R$17="Distrato",$I$38-1,0)),IF(AND($L$711=0,$P$708=0),"",$L$711-1),IF($R$17="Distrato",$E775,0))),0,YEARFRAC(MAX($P$708*($B775+IF($R$17="Distrato",$I$38-1,0)),IF(AND($L$711=0,$P$708=0),"",$L$711-1),IF($R$17="Distrato",$E775,0)),MIN(Z$38,$D$19),$P$20))-SUM($P775:Y775)</f>
        <v>#VALUE!</v>
      </c>
      <c r="AA775" s="446" t="e">
        <f>IF(OR($B775="",MIN(AA$38,$D$19)&lt;MAX($P$708*($B775+IF($R$17="Distrato",$I$38-1,0)),IF(AND($L$711=0,$P$708=0),"",$L$711-1),IF($R$17="Distrato",$E775,0))),0,YEARFRAC(MAX($P$708*($B775+IF($R$17="Distrato",$I$38-1,0)),IF(AND($L$711=0,$P$708=0),"",$L$711-1),IF($R$17="Distrato",$E775,0)),MIN(AA$38,$D$19),$P$20))-SUM($P775:Z775)</f>
        <v>#VALUE!</v>
      </c>
      <c r="AB775" s="446" t="e">
        <f>IF(OR($B775="",MIN(AB$38,$D$19)&lt;MAX($P$708*($B775+IF($R$17="Distrato",$I$38-1,0)),IF(AND($L$711=0,$P$708=0),"",$L$711-1),IF($R$17="Distrato",$E775,0))),0,YEARFRAC(MAX($P$708*($B775+IF($R$17="Distrato",$I$38-1,0)),IF(AND($L$711=0,$P$708=0),"",$L$711-1),IF($R$17="Distrato",$E775,0)),MIN(AB$38,$D$19),$P$20))-SUM($P775:AA775)</f>
        <v>#VALUE!</v>
      </c>
      <c r="AC775" s="446" t="e">
        <f>IF(OR($B775="",MIN(AC$38,$D$19)&lt;MAX($P$708*($B775+IF($R$17="Distrato",$I$38-1,0)),IF(AND($L$711=0,$P$708=0),"",$L$711-1),IF($R$17="Distrato",$E775,0))),0,YEARFRAC(MAX($P$708*($B775+IF($R$17="Distrato",$I$38-1,0)),IF(AND($L$711=0,$P$708=0),"",$L$711-1),IF($R$17="Distrato",$E775,0)),MIN(AC$38,$D$19),$P$20))-SUM($P775:AB775)</f>
        <v>#VALUE!</v>
      </c>
      <c r="AD775" s="446" t="e">
        <f>IF(OR($B775="",MIN(AD$38,$D$19)&lt;MAX($P$708*($B775+IF($R$17="Distrato",$I$38-1,0)),IF(AND($L$711=0,$P$708=0),"",$L$711-1),IF($R$17="Distrato",$E775,0))),0,YEARFRAC(MAX($P$708*($B775+IF($R$17="Distrato",$I$38-1,0)),IF(AND($L$711=0,$P$708=0),"",$L$711-1),IF($R$17="Distrato",$E775,0)),MIN(AD$38,$D$19),$P$20))-SUM($P775:AC775)</f>
        <v>#VALUE!</v>
      </c>
      <c r="AE775" s="446" t="e">
        <f>IF(OR($B775="",MIN(AE$38,$D$19)&lt;MAX($P$708*($B775+IF($R$17="Distrato",$I$38-1,0)),IF(AND($L$711=0,$P$708=0),"",$L$711-1),IF($R$17="Distrato",$E775,0))),0,YEARFRAC(MAX($P$708*($B775+IF($R$17="Distrato",$I$38-1,0)),IF(AND($L$711=0,$P$708=0),"",$L$711-1),IF($R$17="Distrato",$E775,0)),MIN(AE$38,$D$19),$P$20))-SUM($P775:AD775)</f>
        <v>#VALUE!</v>
      </c>
      <c r="AF775" s="446" t="e">
        <f>IF(OR($B775="",MIN(AF$38,$D$19)&lt;MAX($P$708*($B775+IF($R$17="Distrato",$I$38-1,0)),IF(AND($L$711=0,$P$708=0),"",$L$711-1),IF($R$17="Distrato",$E775,0))),0,YEARFRAC(MAX($P$708*($B775+IF($R$17="Distrato",$I$38-1,0)),IF(AND($L$711=0,$P$708=0),"",$L$711-1),IF($R$17="Distrato",$E775,0)),MIN(AF$38,$D$19),$P$20))-SUM($P775:AE775)</f>
        <v>#VALUE!</v>
      </c>
      <c r="AG775" s="446" t="e">
        <f>IF(OR($B775="",MIN(AG$38,$D$19)&lt;MAX($P$708*($B775+IF($R$17="Distrato",$I$38-1,0)),IF(AND($L$711=0,$P$708=0),"",$L$711-1),IF($R$17="Distrato",$E775,0))),0,YEARFRAC(MAX($P$708*($B775+IF($R$17="Distrato",$I$38-1,0)),IF(AND($L$711=0,$P$708=0),"",$L$711-1),IF($R$17="Distrato",$E775,0)),MIN(AG$38,$D$19),$P$20))-SUM($P775:AF775)</f>
        <v>#VALUE!</v>
      </c>
      <c r="AH775" s="446" t="e">
        <f>IF(OR($B775="",MIN(AH$38,$D$19)&lt;MAX($P$708*($B775+IF($R$17="Distrato",$I$38-1,0)),IF(AND($L$711=0,$P$708=0),"",$L$711-1),IF($R$17="Distrato",$E775,0))),0,YEARFRAC(MAX($P$708*($B775+IF($R$17="Distrato",$I$38-1,0)),IF(AND($L$711=0,$P$708=0),"",$L$711-1),IF($R$17="Distrato",$E775,0)),MIN(AH$38,$D$19),$P$20))-SUM($P775:AG775)</f>
        <v>#VALUE!</v>
      </c>
      <c r="AI775" s="446" t="e">
        <f>IF(OR($B775="",MIN(AI$38,$D$19)&lt;MAX($P$708*($B775+IF($R$17="Distrato",$I$38-1,0)),IF(AND($L$711=0,$P$708=0),"",$L$711-1),IF($R$17="Distrato",$E775,0))),0,YEARFRAC(MAX($P$708*($B775+IF($R$17="Distrato",$I$38-1,0)),IF(AND($L$711=0,$P$708=0),"",$L$711-1),IF($R$17="Distrato",$E775,0)),MIN(AI$38,$D$19),$P$20))-SUM($P775:AH775)</f>
        <v>#VALUE!</v>
      </c>
      <c r="AJ775" s="446" t="e">
        <f>IF(OR($B775="",MIN(AJ$38,$D$19)&lt;MAX($P$708*($B775+IF($R$17="Distrato",$I$38-1,0)),IF(AND($L$711=0,$P$708=0),"",$L$711-1),IF($R$17="Distrato",$E775,0))),0,YEARFRAC(MAX($P$708*($B775+IF($R$17="Distrato",$I$38-1,0)),IF(AND($L$711=0,$P$708=0),"",$L$711-1),IF($R$17="Distrato",$E775,0)),MIN(AJ$38,$D$19),$P$20))-SUM($P775:AI775)</f>
        <v>#VALUE!</v>
      </c>
      <c r="AK775" s="446" t="e">
        <f>IF(OR($B775="",MIN(AK$38,$D$19)&lt;MAX($P$708*($B775+IF($R$17="Distrato",$I$38-1,0)),IF(AND($L$711=0,$P$708=0),"",$L$711-1),IF($R$17="Distrato",$E775,0))),0,YEARFRAC(MAX($P$708*($B775+IF($R$17="Distrato",$I$38-1,0)),IF(AND($L$711=0,$P$708=0),"",$L$711-1),IF($R$17="Distrato",$E775,0)),MIN(AK$38,$D$19),$P$20))-SUM($P775:AJ775)</f>
        <v>#VALUE!</v>
      </c>
      <c r="AL775" s="446" t="e">
        <f>IF(OR($B775="",MIN(AL$38,$D$19)&lt;MAX($P$708*($B775+IF($R$17="Distrato",$I$38-1,0)),IF(AND($L$711=0,$P$708=0),"",$L$711-1),IF($R$17="Distrato",$E775,0))),0,YEARFRAC(MAX($P$708*($B775+IF($R$17="Distrato",$I$38-1,0)),IF(AND($L$711=0,$P$708=0),"",$L$711-1),IF($R$17="Distrato",$E775,0)),MIN(AL$38,$D$19),$P$20))-SUM($P775:AK775)</f>
        <v>#VALUE!</v>
      </c>
      <c r="AM775" s="446" t="e">
        <f>IF(OR($B775="",MIN(AM$38,$D$19)&lt;MAX($P$708*($B775+IF($R$17="Distrato",$I$38-1,0)),IF(AND($L$711=0,$P$708=0),"",$L$711-1),IF($R$17="Distrato",$E775,0))),0,YEARFRAC(MAX($P$708*($B775+IF($R$17="Distrato",$I$38-1,0)),IF(AND($L$711=0,$P$708=0),"",$L$711-1),IF($R$17="Distrato",$E775,0)),MIN(AM$38,$D$19),$P$20))-SUM($P775:AL775)</f>
        <v>#VALUE!</v>
      </c>
      <c r="AN775" s="446" t="e">
        <f>IF(OR($B775="",MIN(AN$38,$D$19)&lt;MAX($P$708*($B775+IF($R$17="Distrato",$I$38-1,0)),IF(AND($L$711=0,$P$708=0),"",$L$711-1),IF($R$17="Distrato",$E775,0))),0,YEARFRAC(MAX($P$708*($B775+IF($R$17="Distrato",$I$38-1,0)),IF(AND($L$711=0,$P$708=0),"",$L$711-1),IF($R$17="Distrato",$E775,0)),MIN(AN$38,$D$19),$P$20))-SUM($P775:AM775)</f>
        <v>#VALUE!</v>
      </c>
      <c r="AO775" s="446" t="e">
        <f>IF(OR($B775="",MIN(AO$38,$D$19)&lt;MAX($P$708*($B775+IF($R$17="Distrato",$I$38-1,0)),IF(AND($L$711=0,$P$708=0),"",$L$711-1),IF($R$17="Distrato",$E775,0))),0,YEARFRAC(MAX($P$708*($B775+IF($R$17="Distrato",$I$38-1,0)),IF(AND($L$711=0,$P$708=0),"",$L$711-1),IF($R$17="Distrato",$E775,0)),MIN(AO$38,$D$19),$P$20))-SUM($P775:AN775)</f>
        <v>#VALUE!</v>
      </c>
      <c r="AP775" s="446" t="e">
        <f>IF(OR($B775="",MIN(AP$38,$D$19)&lt;MAX($P$708*($B775+IF($R$17="Distrato",$I$38-1,0)),IF(AND($L$711=0,$P$708=0),"",$L$711-1),IF($R$17="Distrato",$E775,0))),0,YEARFRAC(MAX($P$708*($B775+IF($R$17="Distrato",$I$38-1,0)),IF(AND($L$711=0,$P$708=0),"",$L$711-1),IF($R$17="Distrato",$E775,0)),MIN(AP$38,$D$19),$P$20))-SUM($P775:AO775)</f>
        <v>#VALUE!</v>
      </c>
      <c r="AQ775" s="446" t="e">
        <f>IF(OR($B775="",MIN(AQ$38,$D$19)&lt;MAX($P$708*($B775+IF($R$17="Distrato",$I$38-1,0)),IF(AND($L$711=0,$P$708=0),"",$L$711-1),IF($R$17="Distrato",$E775,0))),0,YEARFRAC(MAX($P$708*($B775+IF($R$17="Distrato",$I$38-1,0)),IF(AND($L$711=0,$P$708=0),"",$L$711-1),IF($R$17="Distrato",$E775,0)),MIN(AQ$38,$D$19),$P$20))-SUM($P775:AP775)</f>
        <v>#VALUE!</v>
      </c>
      <c r="AR775" s="446" t="e">
        <f>IF(OR($B775="",MIN(AR$38,$D$19)&lt;MAX($P$708*($B775+IF($R$17="Distrato",$I$38-1,0)),IF(AND($L$711=0,$P$708=0),"",$L$711-1),IF($R$17="Distrato",$E775,0))),0,YEARFRAC(MAX($P$708*($B775+IF($R$17="Distrato",$I$38-1,0)),IF(AND($L$711=0,$P$708=0),"",$L$711-1),IF($R$17="Distrato",$E775,0)),MIN(AR$38,$D$19),$P$20))-SUM($P775:AQ775)</f>
        <v>#VALUE!</v>
      </c>
      <c r="AS775" s="446" t="e">
        <f>IF(OR($B775="",MIN(AS$38,$D$19)&lt;MAX($P$708*($B775+IF($R$17="Distrato",$I$38-1,0)),IF(AND($L$711=0,$P$708=0),"",$L$711-1),IF($R$17="Distrato",$E775,0))),0,YEARFRAC(MAX($P$708*($B775+IF($R$17="Distrato",$I$38-1,0)),IF(AND($L$711=0,$P$708=0),"",$L$711-1),IF($R$17="Distrato",$E775,0)),MIN(AS$38,$D$19),$P$20))-SUM($P775:AR775)</f>
        <v>#VALUE!</v>
      </c>
      <c r="AT775" s="446" t="e">
        <f>IF(OR($B775="",MIN(AT$38,$D$19)&lt;MAX($P$708*($B775+IF($R$17="Distrato",$I$38-1,0)),IF(AND($L$711=0,$P$708=0),"",$L$711-1),IF($R$17="Distrato",$E775,0))),0,YEARFRAC(MAX($P$708*($B775+IF($R$17="Distrato",$I$38-1,0)),IF(AND($L$711=0,$P$708=0),"",$L$711-1),IF($R$17="Distrato",$E775,0)),MIN(AT$38,$D$19),$P$20))-SUM($P775:AS775)</f>
        <v>#VALUE!</v>
      </c>
      <c r="AU775" s="446" t="e">
        <f>IF(OR($B775="",MIN(AU$38,$D$19)&lt;MAX($P$708*($B775+IF($R$17="Distrato",$I$38-1,0)),IF(AND($L$711=0,$P$708=0),"",$L$711-1),IF($R$17="Distrato",$E775,0))),0,YEARFRAC(MAX($P$708*($B775+IF($R$17="Distrato",$I$38-1,0)),IF(AND($L$711=0,$P$708=0),"",$L$711-1),IF($R$17="Distrato",$E775,0)),MIN(AU$38,$D$19),$P$20))-SUM($P775:AT775)</f>
        <v>#VALUE!</v>
      </c>
      <c r="AV775" s="446" t="e">
        <f>IF(OR($B775="",MIN(AV$38,$D$19)&lt;MAX($P$708*($B775+IF($R$17="Distrato",$I$38-1,0)),IF(AND($L$711=0,$P$708=0),"",$L$711-1),IF($R$17="Distrato",$E775,0))),0,YEARFRAC(MAX($P$708*($B775+IF($R$17="Distrato",$I$38-1,0)),IF(AND($L$711=0,$P$708=0),"",$L$711-1),IF($R$17="Distrato",$E775,0)),MIN(AV$38,$D$19),$P$20))-SUM($P775:AU775)</f>
        <v>#VALUE!</v>
      </c>
      <c r="AW775" s="446" t="e">
        <f>IF(OR($B775="",MIN(AW$38,$D$19)&lt;MAX($P$708*($B775+IF($R$17="Distrato",$I$38-1,0)),IF(AND($L$711=0,$P$708=0),"",$L$711-1),IF($R$17="Distrato",$E775,0))),0,YEARFRAC(MAX($P$708*($B775+IF($R$17="Distrato",$I$38-1,0)),IF(AND($L$711=0,$P$708=0),"",$L$711-1),IF($R$17="Distrato",$E775,0)),MIN(AW$38,$D$19),$P$20))-SUM($P775:AV775)</f>
        <v>#VALUE!</v>
      </c>
      <c r="AX775" s="446" t="e">
        <f>IF(OR($B775="",MIN(AX$38,$D$19)&lt;MAX($P$708*($B775+IF($R$17="Distrato",$I$38-1,0)),IF(AND($L$711=0,$P$708=0),"",$L$711-1),IF($R$17="Distrato",$E775,0))),0,YEARFRAC(MAX($P$708*($B775+IF($R$17="Distrato",$I$38-1,0)),IF(AND($L$711=0,$P$708=0),"",$L$711-1),IF($R$17="Distrato",$E775,0)),MIN(AX$38,$D$19),$P$20))-SUM($P775:AW775)</f>
        <v>#VALUE!</v>
      </c>
      <c r="AY775" s="446" t="e">
        <f>IF(OR($B775="",MIN(AY$38,$D$19)&lt;MAX($P$708*($B775+IF($R$17="Distrato",$I$38-1,0)),IF(AND($L$711=0,$P$708=0),"",$L$711-1),IF($R$17="Distrato",$E775,0))),0,YEARFRAC(MAX($P$708*($B775+IF($R$17="Distrato",$I$38-1,0)),IF(AND($L$711=0,$P$708=0),"",$L$711-1),IF($R$17="Distrato",$E775,0)),MIN(AY$38,$D$19),$P$20))-SUM($P775:AX775)</f>
        <v>#VALUE!</v>
      </c>
      <c r="AZ775" s="446" t="e">
        <f>IF(OR($B775="",MIN(AZ$38,$D$19)&lt;MAX($P$708*($B775+IF($R$17="Distrato",$I$38-1,0)),IF(AND($L$711=0,$P$708=0),"",$L$711-1),IF($R$17="Distrato",$E775,0))),0,YEARFRAC(MAX($P$708*($B775+IF($R$17="Distrato",$I$38-1,0)),IF(AND($L$711=0,$P$708=0),"",$L$711-1),IF($R$17="Distrato",$E775,0)),MIN(AZ$38,$D$19),$P$20))-SUM($P775:AY775)</f>
        <v>#VALUE!</v>
      </c>
      <c r="BA775" s="446" t="e">
        <f>IF(OR($B775="",MIN(BA$38,$D$19)&lt;MAX($P$708*($B775+IF($R$17="Distrato",$I$38-1,0)),IF(AND($L$711=0,$P$708=0),"",$L$711-1),IF($R$17="Distrato",$E775,0))),0,YEARFRAC(MAX($P$708*($B775+IF($R$17="Distrato",$I$38-1,0)),IF(AND($L$711=0,$P$708=0),"",$L$711-1),IF($R$17="Distrato",$E775,0)),MIN(BA$38,$D$19),$P$20))-SUM($P775:AZ775)</f>
        <v>#VALUE!</v>
      </c>
      <c r="BB775" s="447"/>
    </row>
    <row r="776" spans="1:54" s="446" customFormat="1" ht="11.25" hidden="1" customHeight="1" x14ac:dyDescent="0.2">
      <c r="A776" s="235"/>
      <c r="B776" s="236"/>
      <c r="C776" s="29" t="str">
        <f>IF(B776="","",IF($L$709=$BL$25,VLOOKUP(DATE(YEAR($D$19),MONTH($D$19)-1,1),ÍNDICES!$A:$DE,HLOOKUP($BL$25,ÍNDICES!$B$3:$T$4,2)+11)-VLOOKUP(B776,ÍNDICES!$A:$DE,HLOOKUP($BL$25,ÍNDICES!$B$3:$T$4,2)+11)+1%,IF(C$712=$W$26,$J$35,IF(ISERROR(IF(B776&gt;$D$19,1,VLOOKUP(DATE(YEAR(B776),MONTH(B776)+IF($C$709=$S$23,1,0),1),ÍNDICES!$A:$DE,$Z$709+1))),"",IF(B776&gt;$D$19,1,VLOOKUP(DATE(YEAR(B776),MONTH(B776)+IF($C$709=$S$23,1,0),1),ÍNDICES!$A:$DE,$Z$709+1))))))</f>
        <v/>
      </c>
      <c r="D776" s="155"/>
      <c r="E776" s="88"/>
      <c r="F776" s="88"/>
      <c r="G776" s="88"/>
      <c r="H776" s="118"/>
      <c r="I776" s="182">
        <f t="shared" si="115"/>
        <v>0</v>
      </c>
      <c r="J776" s="20">
        <f t="shared" ca="1" si="116"/>
        <v>0</v>
      </c>
      <c r="K776" s="5">
        <f t="shared" ca="1" si="117"/>
        <v>0</v>
      </c>
      <c r="L776" s="61">
        <f t="shared" ca="1" si="118"/>
        <v>0</v>
      </c>
      <c r="M776" s="64">
        <f t="shared" si="119"/>
        <v>0</v>
      </c>
      <c r="N776" s="151"/>
      <c r="O776" s="5">
        <f t="shared" ca="1" si="120"/>
        <v>0</v>
      </c>
      <c r="P776" s="446" t="e">
        <f t="shared" si="121"/>
        <v>#VALUE!</v>
      </c>
      <c r="Q776" s="446" t="e">
        <f>IF(OR($B776="",MIN(Q$38,$D$19)&lt;MAX($P$708*($B776+IF($R$17="Distrato",$I$38-1,0)),IF(AND($L$711=0,$P$708=0),"",$L$711-1),IF($R$17="Distrato",$E776,0))),0,YEARFRAC(MAX($P$708*($B776+IF($R$17="Distrato",$I$38-1,0)),IF(AND($L$711=0,$P$708=0),"",$L$711-1),IF($R$17="Distrato",$E776,0)),MIN(Q$38,$D$19),$P$20))-SUM($P776:P776)</f>
        <v>#VALUE!</v>
      </c>
      <c r="R776" s="446" t="e">
        <f>IF(OR($B776="",MIN(R$38,$D$19)&lt;MAX($P$708*($B776+IF($R$17="Distrato",$I$38-1,0)),IF(AND($L$711=0,$P$708=0),"",$L$711-1),IF($R$17="Distrato",$E776,0))),0,YEARFRAC(MAX($P$708*($B776+IF($R$17="Distrato",$I$38-1,0)),IF(AND($L$711=0,$P$708=0),"",$L$711-1),IF($R$17="Distrato",$E776,0)),MIN(R$38,$D$19),$P$20))-SUM($P776:Q776)</f>
        <v>#VALUE!</v>
      </c>
      <c r="S776" s="446" t="e">
        <f>IF(OR($B776="",MIN(S$38,$D$19)&lt;MAX($P$708*($B776+IF($R$17="Distrato",$I$38-1,0)),IF(AND($L$711=0,$P$708=0),"",$L$711-1),IF($R$17="Distrato",$E776,0))),0,YEARFRAC(MAX($P$708*($B776+IF($R$17="Distrato",$I$38-1,0)),IF(AND($L$711=0,$P$708=0),"",$L$711-1),IF($R$17="Distrato",$E776,0)),MIN(S$38,$D$19),$P$20))-SUM($P776:R776)</f>
        <v>#VALUE!</v>
      </c>
      <c r="T776" s="446" t="e">
        <f>IF(OR($B776="",MIN(T$38,$D$19)&lt;MAX($P$708*($B776+IF($R$17="Distrato",$I$38-1,0)),IF(AND($L$711=0,$P$708=0),"",$L$711-1),IF($R$17="Distrato",$E776,0))),0,YEARFRAC(MAX($P$708*($B776+IF($R$17="Distrato",$I$38-1,0)),IF(AND($L$711=0,$P$708=0),"",$L$711-1),IF($R$17="Distrato",$E776,0)),MIN(T$38,$D$19),$P$20))-SUM($P776:S776)</f>
        <v>#VALUE!</v>
      </c>
      <c r="U776" s="446" t="e">
        <f>IF(OR($B776="",MIN(U$38,$D$19)&lt;MAX($P$708*($B776+IF($R$17="Distrato",$I$38-1,0)),IF(AND($L$711=0,$P$708=0),"",$L$711-1),IF($R$17="Distrato",$E776,0))),0,YEARFRAC(MAX($P$708*($B776+IF($R$17="Distrato",$I$38-1,0)),IF(AND($L$711=0,$P$708=0),"",$L$711-1),IF($R$17="Distrato",$E776,0)),MIN(U$38,$D$19),$P$20))-SUM($P776:T776)</f>
        <v>#VALUE!</v>
      </c>
      <c r="V776" s="446" t="e">
        <f>IF(OR($B776="",MIN(V$38,$D$19)&lt;MAX($P$708*($B776+IF($R$17="Distrato",$I$38-1,0)),IF(AND($L$711=0,$P$708=0),"",$L$711-1),IF($R$17="Distrato",$E776,0))),0,YEARFRAC(MAX($P$708*($B776+IF($R$17="Distrato",$I$38-1,0)),IF(AND($L$711=0,$P$708=0),"",$L$711-1),IF($R$17="Distrato",$E776,0)),MIN(V$38,$D$19),$P$20))-SUM($P776:U776)</f>
        <v>#VALUE!</v>
      </c>
      <c r="W776" s="446" t="e">
        <f>IF(OR($B776="",MIN(W$38,$D$19)&lt;MAX($P$708*($B776+IF($R$17="Distrato",$I$38-1,0)),IF(AND($L$711=0,$P$708=0),"",$L$711-1),IF($R$17="Distrato",$E776,0))),0,YEARFRAC(MAX($P$708*($B776+IF($R$17="Distrato",$I$38-1,0)),IF(AND($L$711=0,$P$708=0),"",$L$711-1),IF($R$17="Distrato",$E776,0)),MIN(W$38,$D$19),$P$20))-SUM($P776:V776)</f>
        <v>#VALUE!</v>
      </c>
      <c r="X776" s="446" t="e">
        <f>IF(OR($B776="",MIN(X$38,$D$19)&lt;MAX($P$708*($B776+IF($R$17="Distrato",$I$38-1,0)),IF(AND($L$711=0,$P$708=0),"",$L$711-1),IF($R$17="Distrato",$E776,0))),0,YEARFRAC(MAX($P$708*($B776+IF($R$17="Distrato",$I$38-1,0)),IF(AND($L$711=0,$P$708=0),"",$L$711-1),IF($R$17="Distrato",$E776,0)),MIN(X$38,$D$19),$P$20))-SUM($P776:W776)</f>
        <v>#VALUE!</v>
      </c>
      <c r="Y776" s="446" t="e">
        <f>IF(OR($B776="",MIN(Y$38,$D$19)&lt;MAX($P$708*($B776+IF($R$17="Distrato",$I$38-1,0)),IF(AND($L$711=0,$P$708=0),"",$L$711-1),IF($R$17="Distrato",$E776,0))),0,YEARFRAC(MAX($P$708*($B776+IF($R$17="Distrato",$I$38-1,0)),IF(AND($L$711=0,$P$708=0),"",$L$711-1),IF($R$17="Distrato",$E776,0)),MIN(Y$38,$D$19),$P$20))-SUM($P776:X776)</f>
        <v>#VALUE!</v>
      </c>
      <c r="Z776" s="446" t="e">
        <f>IF(OR($B776="",MIN(Z$38,$D$19)&lt;MAX($P$708*($B776+IF($R$17="Distrato",$I$38-1,0)),IF(AND($L$711=0,$P$708=0),"",$L$711-1),IF($R$17="Distrato",$E776,0))),0,YEARFRAC(MAX($P$708*($B776+IF($R$17="Distrato",$I$38-1,0)),IF(AND($L$711=0,$P$708=0),"",$L$711-1),IF($R$17="Distrato",$E776,0)),MIN(Z$38,$D$19),$P$20))-SUM($P776:Y776)</f>
        <v>#VALUE!</v>
      </c>
      <c r="AA776" s="446" t="e">
        <f>IF(OR($B776="",MIN(AA$38,$D$19)&lt;MAX($P$708*($B776+IF($R$17="Distrato",$I$38-1,0)),IF(AND($L$711=0,$P$708=0),"",$L$711-1),IF($R$17="Distrato",$E776,0))),0,YEARFRAC(MAX($P$708*($B776+IF($R$17="Distrato",$I$38-1,0)),IF(AND($L$711=0,$P$708=0),"",$L$711-1),IF($R$17="Distrato",$E776,0)),MIN(AA$38,$D$19),$P$20))-SUM($P776:Z776)</f>
        <v>#VALUE!</v>
      </c>
      <c r="AB776" s="446" t="e">
        <f>IF(OR($B776="",MIN(AB$38,$D$19)&lt;MAX($P$708*($B776+IF($R$17="Distrato",$I$38-1,0)),IF(AND($L$711=0,$P$708=0),"",$L$711-1),IF($R$17="Distrato",$E776,0))),0,YEARFRAC(MAX($P$708*($B776+IF($R$17="Distrato",$I$38-1,0)),IF(AND($L$711=0,$P$708=0),"",$L$711-1),IF($R$17="Distrato",$E776,0)),MIN(AB$38,$D$19),$P$20))-SUM($P776:AA776)</f>
        <v>#VALUE!</v>
      </c>
      <c r="AC776" s="446" t="e">
        <f>IF(OR($B776="",MIN(AC$38,$D$19)&lt;MAX($P$708*($B776+IF($R$17="Distrato",$I$38-1,0)),IF(AND($L$711=0,$P$708=0),"",$L$711-1),IF($R$17="Distrato",$E776,0))),0,YEARFRAC(MAX($P$708*($B776+IF($R$17="Distrato",$I$38-1,0)),IF(AND($L$711=0,$P$708=0),"",$L$711-1),IF($R$17="Distrato",$E776,0)),MIN(AC$38,$D$19),$P$20))-SUM($P776:AB776)</f>
        <v>#VALUE!</v>
      </c>
      <c r="AD776" s="446" t="e">
        <f>IF(OR($B776="",MIN(AD$38,$D$19)&lt;MAX($P$708*($B776+IF($R$17="Distrato",$I$38-1,0)),IF(AND($L$711=0,$P$708=0),"",$L$711-1),IF($R$17="Distrato",$E776,0))),0,YEARFRAC(MAX($P$708*($B776+IF($R$17="Distrato",$I$38-1,0)),IF(AND($L$711=0,$P$708=0),"",$L$711-1),IF($R$17="Distrato",$E776,0)),MIN(AD$38,$D$19),$P$20))-SUM($P776:AC776)</f>
        <v>#VALUE!</v>
      </c>
      <c r="AE776" s="446" t="e">
        <f>IF(OR($B776="",MIN(AE$38,$D$19)&lt;MAX($P$708*($B776+IF($R$17="Distrato",$I$38-1,0)),IF(AND($L$711=0,$P$708=0),"",$L$711-1),IF($R$17="Distrato",$E776,0))),0,YEARFRAC(MAX($P$708*($B776+IF($R$17="Distrato",$I$38-1,0)),IF(AND($L$711=0,$P$708=0),"",$L$711-1),IF($R$17="Distrato",$E776,0)),MIN(AE$38,$D$19),$P$20))-SUM($P776:AD776)</f>
        <v>#VALUE!</v>
      </c>
      <c r="AF776" s="446" t="e">
        <f>IF(OR($B776="",MIN(AF$38,$D$19)&lt;MAX($P$708*($B776+IF($R$17="Distrato",$I$38-1,0)),IF(AND($L$711=0,$P$708=0),"",$L$711-1),IF($R$17="Distrato",$E776,0))),0,YEARFRAC(MAX($P$708*($B776+IF($R$17="Distrato",$I$38-1,0)),IF(AND($L$711=0,$P$708=0),"",$L$711-1),IF($R$17="Distrato",$E776,0)),MIN(AF$38,$D$19),$P$20))-SUM($P776:AE776)</f>
        <v>#VALUE!</v>
      </c>
      <c r="AG776" s="446" t="e">
        <f>IF(OR($B776="",MIN(AG$38,$D$19)&lt;MAX($P$708*($B776+IF($R$17="Distrato",$I$38-1,0)),IF(AND($L$711=0,$P$708=0),"",$L$711-1),IF($R$17="Distrato",$E776,0))),0,YEARFRAC(MAX($P$708*($B776+IF($R$17="Distrato",$I$38-1,0)),IF(AND($L$711=0,$P$708=0),"",$L$711-1),IF($R$17="Distrato",$E776,0)),MIN(AG$38,$D$19),$P$20))-SUM($P776:AF776)</f>
        <v>#VALUE!</v>
      </c>
      <c r="AH776" s="446" t="e">
        <f>IF(OR($B776="",MIN(AH$38,$D$19)&lt;MAX($P$708*($B776+IF($R$17="Distrato",$I$38-1,0)),IF(AND($L$711=0,$P$708=0),"",$L$711-1),IF($R$17="Distrato",$E776,0))),0,YEARFRAC(MAX($P$708*($B776+IF($R$17="Distrato",$I$38-1,0)),IF(AND($L$711=0,$P$708=0),"",$L$711-1),IF($R$17="Distrato",$E776,0)),MIN(AH$38,$D$19),$P$20))-SUM($P776:AG776)</f>
        <v>#VALUE!</v>
      </c>
      <c r="AI776" s="446" t="e">
        <f>IF(OR($B776="",MIN(AI$38,$D$19)&lt;MAX($P$708*($B776+IF($R$17="Distrato",$I$38-1,0)),IF(AND($L$711=0,$P$708=0),"",$L$711-1),IF($R$17="Distrato",$E776,0))),0,YEARFRAC(MAX($P$708*($B776+IF($R$17="Distrato",$I$38-1,0)),IF(AND($L$711=0,$P$708=0),"",$L$711-1),IF($R$17="Distrato",$E776,0)),MIN(AI$38,$D$19),$P$20))-SUM($P776:AH776)</f>
        <v>#VALUE!</v>
      </c>
      <c r="AJ776" s="446" t="e">
        <f>IF(OR($B776="",MIN(AJ$38,$D$19)&lt;MAX($P$708*($B776+IF($R$17="Distrato",$I$38-1,0)),IF(AND($L$711=0,$P$708=0),"",$L$711-1),IF($R$17="Distrato",$E776,0))),0,YEARFRAC(MAX($P$708*($B776+IF($R$17="Distrato",$I$38-1,0)),IF(AND($L$711=0,$P$708=0),"",$L$711-1),IF($R$17="Distrato",$E776,0)),MIN(AJ$38,$D$19),$P$20))-SUM($P776:AI776)</f>
        <v>#VALUE!</v>
      </c>
      <c r="AK776" s="446" t="e">
        <f>IF(OR($B776="",MIN(AK$38,$D$19)&lt;MAX($P$708*($B776+IF($R$17="Distrato",$I$38-1,0)),IF(AND($L$711=0,$P$708=0),"",$L$711-1),IF($R$17="Distrato",$E776,0))),0,YEARFRAC(MAX($P$708*($B776+IF($R$17="Distrato",$I$38-1,0)),IF(AND($L$711=0,$P$708=0),"",$L$711-1),IF($R$17="Distrato",$E776,0)),MIN(AK$38,$D$19),$P$20))-SUM($P776:AJ776)</f>
        <v>#VALUE!</v>
      </c>
      <c r="AL776" s="446" t="e">
        <f>IF(OR($B776="",MIN(AL$38,$D$19)&lt;MAX($P$708*($B776+IF($R$17="Distrato",$I$38-1,0)),IF(AND($L$711=0,$P$708=0),"",$L$711-1),IF($R$17="Distrato",$E776,0))),0,YEARFRAC(MAX($P$708*($B776+IF($R$17="Distrato",$I$38-1,0)),IF(AND($L$711=0,$P$708=0),"",$L$711-1),IF($R$17="Distrato",$E776,0)),MIN(AL$38,$D$19),$P$20))-SUM($P776:AK776)</f>
        <v>#VALUE!</v>
      </c>
      <c r="AM776" s="446" t="e">
        <f>IF(OR($B776="",MIN(AM$38,$D$19)&lt;MAX($P$708*($B776+IF($R$17="Distrato",$I$38-1,0)),IF(AND($L$711=0,$P$708=0),"",$L$711-1),IF($R$17="Distrato",$E776,0))),0,YEARFRAC(MAX($P$708*($B776+IF($R$17="Distrato",$I$38-1,0)),IF(AND($L$711=0,$P$708=0),"",$L$711-1),IF($R$17="Distrato",$E776,0)),MIN(AM$38,$D$19),$P$20))-SUM($P776:AL776)</f>
        <v>#VALUE!</v>
      </c>
      <c r="AN776" s="446" t="e">
        <f>IF(OR($B776="",MIN(AN$38,$D$19)&lt;MAX($P$708*($B776+IF($R$17="Distrato",$I$38-1,0)),IF(AND($L$711=0,$P$708=0),"",$L$711-1),IF($R$17="Distrato",$E776,0))),0,YEARFRAC(MAX($P$708*($B776+IF($R$17="Distrato",$I$38-1,0)),IF(AND($L$711=0,$P$708=0),"",$L$711-1),IF($R$17="Distrato",$E776,0)),MIN(AN$38,$D$19),$P$20))-SUM($P776:AM776)</f>
        <v>#VALUE!</v>
      </c>
      <c r="AO776" s="446" t="e">
        <f>IF(OR($B776="",MIN(AO$38,$D$19)&lt;MAX($P$708*($B776+IF($R$17="Distrato",$I$38-1,0)),IF(AND($L$711=0,$P$708=0),"",$L$711-1),IF($R$17="Distrato",$E776,0))),0,YEARFRAC(MAX($P$708*($B776+IF($R$17="Distrato",$I$38-1,0)),IF(AND($L$711=0,$P$708=0),"",$L$711-1),IF($R$17="Distrato",$E776,0)),MIN(AO$38,$D$19),$P$20))-SUM($P776:AN776)</f>
        <v>#VALUE!</v>
      </c>
      <c r="AP776" s="446" t="e">
        <f>IF(OR($B776="",MIN(AP$38,$D$19)&lt;MAX($P$708*($B776+IF($R$17="Distrato",$I$38-1,0)),IF(AND($L$711=0,$P$708=0),"",$L$711-1),IF($R$17="Distrato",$E776,0))),0,YEARFRAC(MAX($P$708*($B776+IF($R$17="Distrato",$I$38-1,0)),IF(AND($L$711=0,$P$708=0),"",$L$711-1),IF($R$17="Distrato",$E776,0)),MIN(AP$38,$D$19),$P$20))-SUM($P776:AO776)</f>
        <v>#VALUE!</v>
      </c>
      <c r="AQ776" s="446" t="e">
        <f>IF(OR($B776="",MIN(AQ$38,$D$19)&lt;MAX($P$708*($B776+IF($R$17="Distrato",$I$38-1,0)),IF(AND($L$711=0,$P$708=0),"",$L$711-1),IF($R$17="Distrato",$E776,0))),0,YEARFRAC(MAX($P$708*($B776+IF($R$17="Distrato",$I$38-1,0)),IF(AND($L$711=0,$P$708=0),"",$L$711-1),IF($R$17="Distrato",$E776,0)),MIN(AQ$38,$D$19),$P$20))-SUM($P776:AP776)</f>
        <v>#VALUE!</v>
      </c>
      <c r="AR776" s="446" t="e">
        <f>IF(OR($B776="",MIN(AR$38,$D$19)&lt;MAX($P$708*($B776+IF($R$17="Distrato",$I$38-1,0)),IF(AND($L$711=0,$P$708=0),"",$L$711-1),IF($R$17="Distrato",$E776,0))),0,YEARFRAC(MAX($P$708*($B776+IF($R$17="Distrato",$I$38-1,0)),IF(AND($L$711=0,$P$708=0),"",$L$711-1),IF($R$17="Distrato",$E776,0)),MIN(AR$38,$D$19),$P$20))-SUM($P776:AQ776)</f>
        <v>#VALUE!</v>
      </c>
      <c r="AS776" s="446" t="e">
        <f>IF(OR($B776="",MIN(AS$38,$D$19)&lt;MAX($P$708*($B776+IF($R$17="Distrato",$I$38-1,0)),IF(AND($L$711=0,$P$708=0),"",$L$711-1),IF($R$17="Distrato",$E776,0))),0,YEARFRAC(MAX($P$708*($B776+IF($R$17="Distrato",$I$38-1,0)),IF(AND($L$711=0,$P$708=0),"",$L$711-1),IF($R$17="Distrato",$E776,0)),MIN(AS$38,$D$19),$P$20))-SUM($P776:AR776)</f>
        <v>#VALUE!</v>
      </c>
      <c r="AT776" s="446" t="e">
        <f>IF(OR($B776="",MIN(AT$38,$D$19)&lt;MAX($P$708*($B776+IF($R$17="Distrato",$I$38-1,0)),IF(AND($L$711=0,$P$708=0),"",$L$711-1),IF($R$17="Distrato",$E776,0))),0,YEARFRAC(MAX($P$708*($B776+IF($R$17="Distrato",$I$38-1,0)),IF(AND($L$711=0,$P$708=0),"",$L$711-1),IF($R$17="Distrato",$E776,0)),MIN(AT$38,$D$19),$P$20))-SUM($P776:AS776)</f>
        <v>#VALUE!</v>
      </c>
      <c r="AU776" s="446" t="e">
        <f>IF(OR($B776="",MIN(AU$38,$D$19)&lt;MAX($P$708*($B776+IF($R$17="Distrato",$I$38-1,0)),IF(AND($L$711=0,$P$708=0),"",$L$711-1),IF($R$17="Distrato",$E776,0))),0,YEARFRAC(MAX($P$708*($B776+IF($R$17="Distrato",$I$38-1,0)),IF(AND($L$711=0,$P$708=0),"",$L$711-1),IF($R$17="Distrato",$E776,0)),MIN(AU$38,$D$19),$P$20))-SUM($P776:AT776)</f>
        <v>#VALUE!</v>
      </c>
      <c r="AV776" s="446" t="e">
        <f>IF(OR($B776="",MIN(AV$38,$D$19)&lt;MAX($P$708*($B776+IF($R$17="Distrato",$I$38-1,0)),IF(AND($L$711=0,$P$708=0),"",$L$711-1),IF($R$17="Distrato",$E776,0))),0,YEARFRAC(MAX($P$708*($B776+IF($R$17="Distrato",$I$38-1,0)),IF(AND($L$711=0,$P$708=0),"",$L$711-1),IF($R$17="Distrato",$E776,0)),MIN(AV$38,$D$19),$P$20))-SUM($P776:AU776)</f>
        <v>#VALUE!</v>
      </c>
      <c r="AW776" s="446" t="e">
        <f>IF(OR($B776="",MIN(AW$38,$D$19)&lt;MAX($P$708*($B776+IF($R$17="Distrato",$I$38-1,0)),IF(AND($L$711=0,$P$708=0),"",$L$711-1),IF($R$17="Distrato",$E776,0))),0,YEARFRAC(MAX($P$708*($B776+IF($R$17="Distrato",$I$38-1,0)),IF(AND($L$711=0,$P$708=0),"",$L$711-1),IF($R$17="Distrato",$E776,0)),MIN(AW$38,$D$19),$P$20))-SUM($P776:AV776)</f>
        <v>#VALUE!</v>
      </c>
      <c r="AX776" s="446" t="e">
        <f>IF(OR($B776="",MIN(AX$38,$D$19)&lt;MAX($P$708*($B776+IF($R$17="Distrato",$I$38-1,0)),IF(AND($L$711=0,$P$708=0),"",$L$711-1),IF($R$17="Distrato",$E776,0))),0,YEARFRAC(MAX($P$708*($B776+IF($R$17="Distrato",$I$38-1,0)),IF(AND($L$711=0,$P$708=0),"",$L$711-1),IF($R$17="Distrato",$E776,0)),MIN(AX$38,$D$19),$P$20))-SUM($P776:AW776)</f>
        <v>#VALUE!</v>
      </c>
      <c r="AY776" s="446" t="e">
        <f>IF(OR($B776="",MIN(AY$38,$D$19)&lt;MAX($P$708*($B776+IF($R$17="Distrato",$I$38-1,0)),IF(AND($L$711=0,$P$708=0),"",$L$711-1),IF($R$17="Distrato",$E776,0))),0,YEARFRAC(MAX($P$708*($B776+IF($R$17="Distrato",$I$38-1,0)),IF(AND($L$711=0,$P$708=0),"",$L$711-1),IF($R$17="Distrato",$E776,0)),MIN(AY$38,$D$19),$P$20))-SUM($P776:AX776)</f>
        <v>#VALUE!</v>
      </c>
      <c r="AZ776" s="446" t="e">
        <f>IF(OR($B776="",MIN(AZ$38,$D$19)&lt;MAX($P$708*($B776+IF($R$17="Distrato",$I$38-1,0)),IF(AND($L$711=0,$P$708=0),"",$L$711-1),IF($R$17="Distrato",$E776,0))),0,YEARFRAC(MAX($P$708*($B776+IF($R$17="Distrato",$I$38-1,0)),IF(AND($L$711=0,$P$708=0),"",$L$711-1),IF($R$17="Distrato",$E776,0)),MIN(AZ$38,$D$19),$P$20))-SUM($P776:AY776)</f>
        <v>#VALUE!</v>
      </c>
      <c r="BA776" s="446" t="e">
        <f>IF(OR($B776="",MIN(BA$38,$D$19)&lt;MAX($P$708*($B776+IF($R$17="Distrato",$I$38-1,0)),IF(AND($L$711=0,$P$708=0),"",$L$711-1),IF($R$17="Distrato",$E776,0))),0,YEARFRAC(MAX($P$708*($B776+IF($R$17="Distrato",$I$38-1,0)),IF(AND($L$711=0,$P$708=0),"",$L$711-1),IF($R$17="Distrato",$E776,0)),MIN(BA$38,$D$19),$P$20))-SUM($P776:AZ776)</f>
        <v>#VALUE!</v>
      </c>
      <c r="BB776" s="447"/>
    </row>
    <row r="777" spans="1:54" s="446" customFormat="1" ht="11.25" hidden="1" customHeight="1" x14ac:dyDescent="0.2">
      <c r="A777" s="235"/>
      <c r="B777" s="236"/>
      <c r="C777" s="29" t="str">
        <f>IF(B777="","",IF($L$709=$BL$25,VLOOKUP(DATE(YEAR($D$19),MONTH($D$19)-1,1),ÍNDICES!$A:$DE,HLOOKUP($BL$25,ÍNDICES!$B$3:$T$4,2)+11)-VLOOKUP(B777,ÍNDICES!$A:$DE,HLOOKUP($BL$25,ÍNDICES!$B$3:$T$4,2)+11)+1%,IF(C$712=$W$26,$J$35,IF(ISERROR(IF(B777&gt;$D$19,1,VLOOKUP(DATE(YEAR(B777),MONTH(B777)+IF($C$709=$S$23,1,0),1),ÍNDICES!$A:$DE,$Z$709+1))),"",IF(B777&gt;$D$19,1,VLOOKUP(DATE(YEAR(B777),MONTH(B777)+IF($C$709=$S$23,1,0),1),ÍNDICES!$A:$DE,$Z$709+1))))))</f>
        <v/>
      </c>
      <c r="D777" s="155"/>
      <c r="E777" s="88"/>
      <c r="F777" s="88"/>
      <c r="G777" s="88"/>
      <c r="H777" s="118"/>
      <c r="I777" s="182">
        <f t="shared" si="115"/>
        <v>0</v>
      </c>
      <c r="J777" s="20">
        <f t="shared" ca="1" si="116"/>
        <v>0</v>
      </c>
      <c r="K777" s="5">
        <f t="shared" ca="1" si="117"/>
        <v>0</v>
      </c>
      <c r="L777" s="61">
        <f t="shared" ca="1" si="118"/>
        <v>0</v>
      </c>
      <c r="M777" s="64">
        <f t="shared" si="119"/>
        <v>0</v>
      </c>
      <c r="N777" s="151"/>
      <c r="O777" s="5">
        <f t="shared" ca="1" si="120"/>
        <v>0</v>
      </c>
      <c r="P777" s="446" t="e">
        <f t="shared" si="121"/>
        <v>#VALUE!</v>
      </c>
      <c r="Q777" s="446" t="e">
        <f>IF(OR($B777="",MIN(Q$38,$D$19)&lt;MAX($P$708*($B777+IF($R$17="Distrato",$I$38-1,0)),IF(AND($L$711=0,$P$708=0),"",$L$711-1),IF($R$17="Distrato",$E777,0))),0,YEARFRAC(MAX($P$708*($B777+IF($R$17="Distrato",$I$38-1,0)),IF(AND($L$711=0,$P$708=0),"",$L$711-1),IF($R$17="Distrato",$E777,0)),MIN(Q$38,$D$19),$P$20))-SUM($P777:P777)</f>
        <v>#VALUE!</v>
      </c>
      <c r="R777" s="446" t="e">
        <f>IF(OR($B777="",MIN(R$38,$D$19)&lt;MAX($P$708*($B777+IF($R$17="Distrato",$I$38-1,0)),IF(AND($L$711=0,$P$708=0),"",$L$711-1),IF($R$17="Distrato",$E777,0))),0,YEARFRAC(MAX($P$708*($B777+IF($R$17="Distrato",$I$38-1,0)),IF(AND($L$711=0,$P$708=0),"",$L$711-1),IF($R$17="Distrato",$E777,0)),MIN(R$38,$D$19),$P$20))-SUM($P777:Q777)</f>
        <v>#VALUE!</v>
      </c>
      <c r="S777" s="446" t="e">
        <f>IF(OR($B777="",MIN(S$38,$D$19)&lt;MAX($P$708*($B777+IF($R$17="Distrato",$I$38-1,0)),IF(AND($L$711=0,$P$708=0),"",$L$711-1),IF($R$17="Distrato",$E777,0))),0,YEARFRAC(MAX($P$708*($B777+IF($R$17="Distrato",$I$38-1,0)),IF(AND($L$711=0,$P$708=0),"",$L$711-1),IF($R$17="Distrato",$E777,0)),MIN(S$38,$D$19),$P$20))-SUM($P777:R777)</f>
        <v>#VALUE!</v>
      </c>
      <c r="T777" s="446" t="e">
        <f>IF(OR($B777="",MIN(T$38,$D$19)&lt;MAX($P$708*($B777+IF($R$17="Distrato",$I$38-1,0)),IF(AND($L$711=0,$P$708=0),"",$L$711-1),IF($R$17="Distrato",$E777,0))),0,YEARFRAC(MAX($P$708*($B777+IF($R$17="Distrato",$I$38-1,0)),IF(AND($L$711=0,$P$708=0),"",$L$711-1),IF($R$17="Distrato",$E777,0)),MIN(T$38,$D$19),$P$20))-SUM($P777:S777)</f>
        <v>#VALUE!</v>
      </c>
      <c r="U777" s="446" t="e">
        <f>IF(OR($B777="",MIN(U$38,$D$19)&lt;MAX($P$708*($B777+IF($R$17="Distrato",$I$38-1,0)),IF(AND($L$711=0,$P$708=0),"",$L$711-1),IF($R$17="Distrato",$E777,0))),0,YEARFRAC(MAX($P$708*($B777+IF($R$17="Distrato",$I$38-1,0)),IF(AND($L$711=0,$P$708=0),"",$L$711-1),IF($R$17="Distrato",$E777,0)),MIN(U$38,$D$19),$P$20))-SUM($P777:T777)</f>
        <v>#VALUE!</v>
      </c>
      <c r="V777" s="446" t="e">
        <f>IF(OR($B777="",MIN(V$38,$D$19)&lt;MAX($P$708*($B777+IF($R$17="Distrato",$I$38-1,0)),IF(AND($L$711=0,$P$708=0),"",$L$711-1),IF($R$17="Distrato",$E777,0))),0,YEARFRAC(MAX($P$708*($B777+IF($R$17="Distrato",$I$38-1,0)),IF(AND($L$711=0,$P$708=0),"",$L$711-1),IF($R$17="Distrato",$E777,0)),MIN(V$38,$D$19),$P$20))-SUM($P777:U777)</f>
        <v>#VALUE!</v>
      </c>
      <c r="W777" s="446" t="e">
        <f>IF(OR($B777="",MIN(W$38,$D$19)&lt;MAX($P$708*($B777+IF($R$17="Distrato",$I$38-1,0)),IF(AND($L$711=0,$P$708=0),"",$L$711-1),IF($R$17="Distrato",$E777,0))),0,YEARFRAC(MAX($P$708*($B777+IF($R$17="Distrato",$I$38-1,0)),IF(AND($L$711=0,$P$708=0),"",$L$711-1),IF($R$17="Distrato",$E777,0)),MIN(W$38,$D$19),$P$20))-SUM($P777:V777)</f>
        <v>#VALUE!</v>
      </c>
      <c r="X777" s="446" t="e">
        <f>IF(OR($B777="",MIN(X$38,$D$19)&lt;MAX($P$708*($B777+IF($R$17="Distrato",$I$38-1,0)),IF(AND($L$711=0,$P$708=0),"",$L$711-1),IF($R$17="Distrato",$E777,0))),0,YEARFRAC(MAX($P$708*($B777+IF($R$17="Distrato",$I$38-1,0)),IF(AND($L$711=0,$P$708=0),"",$L$711-1),IF($R$17="Distrato",$E777,0)),MIN(X$38,$D$19),$P$20))-SUM($P777:W777)</f>
        <v>#VALUE!</v>
      </c>
      <c r="Y777" s="446" t="e">
        <f>IF(OR($B777="",MIN(Y$38,$D$19)&lt;MAX($P$708*($B777+IF($R$17="Distrato",$I$38-1,0)),IF(AND($L$711=0,$P$708=0),"",$L$711-1),IF($R$17="Distrato",$E777,0))),0,YEARFRAC(MAX($P$708*($B777+IF($R$17="Distrato",$I$38-1,0)),IF(AND($L$711=0,$P$708=0),"",$L$711-1),IF($R$17="Distrato",$E777,0)),MIN(Y$38,$D$19),$P$20))-SUM($P777:X777)</f>
        <v>#VALUE!</v>
      </c>
      <c r="Z777" s="446" t="e">
        <f>IF(OR($B777="",MIN(Z$38,$D$19)&lt;MAX($P$708*($B777+IF($R$17="Distrato",$I$38-1,0)),IF(AND($L$711=0,$P$708=0),"",$L$711-1),IF($R$17="Distrato",$E777,0))),0,YEARFRAC(MAX($P$708*($B777+IF($R$17="Distrato",$I$38-1,0)),IF(AND($L$711=0,$P$708=0),"",$L$711-1),IF($R$17="Distrato",$E777,0)),MIN(Z$38,$D$19),$P$20))-SUM($P777:Y777)</f>
        <v>#VALUE!</v>
      </c>
      <c r="AA777" s="446" t="e">
        <f>IF(OR($B777="",MIN(AA$38,$D$19)&lt;MAX($P$708*($B777+IF($R$17="Distrato",$I$38-1,0)),IF(AND($L$711=0,$P$708=0),"",$L$711-1),IF($R$17="Distrato",$E777,0))),0,YEARFRAC(MAX($P$708*($B777+IF($R$17="Distrato",$I$38-1,0)),IF(AND($L$711=0,$P$708=0),"",$L$711-1),IF($R$17="Distrato",$E777,0)),MIN(AA$38,$D$19),$P$20))-SUM($P777:Z777)</f>
        <v>#VALUE!</v>
      </c>
      <c r="AB777" s="446" t="e">
        <f>IF(OR($B777="",MIN(AB$38,$D$19)&lt;MAX($P$708*($B777+IF($R$17="Distrato",$I$38-1,0)),IF(AND($L$711=0,$P$708=0),"",$L$711-1),IF($R$17="Distrato",$E777,0))),0,YEARFRAC(MAX($P$708*($B777+IF($R$17="Distrato",$I$38-1,0)),IF(AND($L$711=0,$P$708=0),"",$L$711-1),IF($R$17="Distrato",$E777,0)),MIN(AB$38,$D$19),$P$20))-SUM($P777:AA777)</f>
        <v>#VALUE!</v>
      </c>
      <c r="AC777" s="446" t="e">
        <f>IF(OR($B777="",MIN(AC$38,$D$19)&lt;MAX($P$708*($B777+IF($R$17="Distrato",$I$38-1,0)),IF(AND($L$711=0,$P$708=0),"",$L$711-1),IF($R$17="Distrato",$E777,0))),0,YEARFRAC(MAX($P$708*($B777+IF($R$17="Distrato",$I$38-1,0)),IF(AND($L$711=0,$P$708=0),"",$L$711-1),IF($R$17="Distrato",$E777,0)),MIN(AC$38,$D$19),$P$20))-SUM($P777:AB777)</f>
        <v>#VALUE!</v>
      </c>
      <c r="AD777" s="446" t="e">
        <f>IF(OR($B777="",MIN(AD$38,$D$19)&lt;MAX($P$708*($B777+IF($R$17="Distrato",$I$38-1,0)),IF(AND($L$711=0,$P$708=0),"",$L$711-1),IF($R$17="Distrato",$E777,0))),0,YEARFRAC(MAX($P$708*($B777+IF($R$17="Distrato",$I$38-1,0)),IF(AND($L$711=0,$P$708=0),"",$L$711-1),IF($R$17="Distrato",$E777,0)),MIN(AD$38,$D$19),$P$20))-SUM($P777:AC777)</f>
        <v>#VALUE!</v>
      </c>
      <c r="AE777" s="446" t="e">
        <f>IF(OR($B777="",MIN(AE$38,$D$19)&lt;MAX($P$708*($B777+IF($R$17="Distrato",$I$38-1,0)),IF(AND($L$711=0,$P$708=0),"",$L$711-1),IF($R$17="Distrato",$E777,0))),0,YEARFRAC(MAX($P$708*($B777+IF($R$17="Distrato",$I$38-1,0)),IF(AND($L$711=0,$P$708=0),"",$L$711-1),IF($R$17="Distrato",$E777,0)),MIN(AE$38,$D$19),$P$20))-SUM($P777:AD777)</f>
        <v>#VALUE!</v>
      </c>
      <c r="AF777" s="446" t="e">
        <f>IF(OR($B777="",MIN(AF$38,$D$19)&lt;MAX($P$708*($B777+IF($R$17="Distrato",$I$38-1,0)),IF(AND($L$711=0,$P$708=0),"",$L$711-1),IF($R$17="Distrato",$E777,0))),0,YEARFRAC(MAX($P$708*($B777+IF($R$17="Distrato",$I$38-1,0)),IF(AND($L$711=0,$P$708=0),"",$L$711-1),IF($R$17="Distrato",$E777,0)),MIN(AF$38,$D$19),$P$20))-SUM($P777:AE777)</f>
        <v>#VALUE!</v>
      </c>
      <c r="AG777" s="446" t="e">
        <f>IF(OR($B777="",MIN(AG$38,$D$19)&lt;MAX($P$708*($B777+IF($R$17="Distrato",$I$38-1,0)),IF(AND($L$711=0,$P$708=0),"",$L$711-1),IF($R$17="Distrato",$E777,0))),0,YEARFRAC(MAX($P$708*($B777+IF($R$17="Distrato",$I$38-1,0)),IF(AND($L$711=0,$P$708=0),"",$L$711-1),IF($R$17="Distrato",$E777,0)),MIN(AG$38,$D$19),$P$20))-SUM($P777:AF777)</f>
        <v>#VALUE!</v>
      </c>
      <c r="AH777" s="446" t="e">
        <f>IF(OR($B777="",MIN(AH$38,$D$19)&lt;MAX($P$708*($B777+IF($R$17="Distrato",$I$38-1,0)),IF(AND($L$711=0,$P$708=0),"",$L$711-1),IF($R$17="Distrato",$E777,0))),0,YEARFRAC(MAX($P$708*($B777+IF($R$17="Distrato",$I$38-1,0)),IF(AND($L$711=0,$P$708=0),"",$L$711-1),IF($R$17="Distrato",$E777,0)),MIN(AH$38,$D$19),$P$20))-SUM($P777:AG777)</f>
        <v>#VALUE!</v>
      </c>
      <c r="AI777" s="446" t="e">
        <f>IF(OR($B777="",MIN(AI$38,$D$19)&lt;MAX($P$708*($B777+IF($R$17="Distrato",$I$38-1,0)),IF(AND($L$711=0,$P$708=0),"",$L$711-1),IF($R$17="Distrato",$E777,0))),0,YEARFRAC(MAX($P$708*($B777+IF($R$17="Distrato",$I$38-1,0)),IF(AND($L$711=0,$P$708=0),"",$L$711-1),IF($R$17="Distrato",$E777,0)),MIN(AI$38,$D$19),$P$20))-SUM($P777:AH777)</f>
        <v>#VALUE!</v>
      </c>
      <c r="AJ777" s="446" t="e">
        <f>IF(OR($B777="",MIN(AJ$38,$D$19)&lt;MAX($P$708*($B777+IF($R$17="Distrato",$I$38-1,0)),IF(AND($L$711=0,$P$708=0),"",$L$711-1),IF($R$17="Distrato",$E777,0))),0,YEARFRAC(MAX($P$708*($B777+IF($R$17="Distrato",$I$38-1,0)),IF(AND($L$711=0,$P$708=0),"",$L$711-1),IF($R$17="Distrato",$E777,0)),MIN(AJ$38,$D$19),$P$20))-SUM($P777:AI777)</f>
        <v>#VALUE!</v>
      </c>
      <c r="AK777" s="446" t="e">
        <f>IF(OR($B777="",MIN(AK$38,$D$19)&lt;MAX($P$708*($B777+IF($R$17="Distrato",$I$38-1,0)),IF(AND($L$711=0,$P$708=0),"",$L$711-1),IF($R$17="Distrato",$E777,0))),0,YEARFRAC(MAX($P$708*($B777+IF($R$17="Distrato",$I$38-1,0)),IF(AND($L$711=0,$P$708=0),"",$L$711-1),IF($R$17="Distrato",$E777,0)),MIN(AK$38,$D$19),$P$20))-SUM($P777:AJ777)</f>
        <v>#VALUE!</v>
      </c>
      <c r="AL777" s="446" t="e">
        <f>IF(OR($B777="",MIN(AL$38,$D$19)&lt;MAX($P$708*($B777+IF($R$17="Distrato",$I$38-1,0)),IF(AND($L$711=0,$P$708=0),"",$L$711-1),IF($R$17="Distrato",$E777,0))),0,YEARFRAC(MAX($P$708*($B777+IF($R$17="Distrato",$I$38-1,0)),IF(AND($L$711=0,$P$708=0),"",$L$711-1),IF($R$17="Distrato",$E777,0)),MIN(AL$38,$D$19),$P$20))-SUM($P777:AK777)</f>
        <v>#VALUE!</v>
      </c>
      <c r="AM777" s="446" t="e">
        <f>IF(OR($B777="",MIN(AM$38,$D$19)&lt;MAX($P$708*($B777+IF($R$17="Distrato",$I$38-1,0)),IF(AND($L$711=0,$P$708=0),"",$L$711-1),IF($R$17="Distrato",$E777,0))),0,YEARFRAC(MAX($P$708*($B777+IF($R$17="Distrato",$I$38-1,0)),IF(AND($L$711=0,$P$708=0),"",$L$711-1),IF($R$17="Distrato",$E777,0)),MIN(AM$38,$D$19),$P$20))-SUM($P777:AL777)</f>
        <v>#VALUE!</v>
      </c>
      <c r="AN777" s="446" t="e">
        <f>IF(OR($B777="",MIN(AN$38,$D$19)&lt;MAX($P$708*($B777+IF($R$17="Distrato",$I$38-1,0)),IF(AND($L$711=0,$P$708=0),"",$L$711-1),IF($R$17="Distrato",$E777,0))),0,YEARFRAC(MAX($P$708*($B777+IF($R$17="Distrato",$I$38-1,0)),IF(AND($L$711=0,$P$708=0),"",$L$711-1),IF($R$17="Distrato",$E777,0)),MIN(AN$38,$D$19),$P$20))-SUM($P777:AM777)</f>
        <v>#VALUE!</v>
      </c>
      <c r="AO777" s="446" t="e">
        <f>IF(OR($B777="",MIN(AO$38,$D$19)&lt;MAX($P$708*($B777+IF($R$17="Distrato",$I$38-1,0)),IF(AND($L$711=0,$P$708=0),"",$L$711-1),IF($R$17="Distrato",$E777,0))),0,YEARFRAC(MAX($P$708*($B777+IF($R$17="Distrato",$I$38-1,0)),IF(AND($L$711=0,$P$708=0),"",$L$711-1),IF($R$17="Distrato",$E777,0)),MIN(AO$38,$D$19),$P$20))-SUM($P777:AN777)</f>
        <v>#VALUE!</v>
      </c>
      <c r="AP777" s="446" t="e">
        <f>IF(OR($B777="",MIN(AP$38,$D$19)&lt;MAX($P$708*($B777+IF($R$17="Distrato",$I$38-1,0)),IF(AND($L$711=0,$P$708=0),"",$L$711-1),IF($R$17="Distrato",$E777,0))),0,YEARFRAC(MAX($P$708*($B777+IF($R$17="Distrato",$I$38-1,0)),IF(AND($L$711=0,$P$708=0),"",$L$711-1),IF($R$17="Distrato",$E777,0)),MIN(AP$38,$D$19),$P$20))-SUM($P777:AO777)</f>
        <v>#VALUE!</v>
      </c>
      <c r="AQ777" s="446" t="e">
        <f>IF(OR($B777="",MIN(AQ$38,$D$19)&lt;MAX($P$708*($B777+IF($R$17="Distrato",$I$38-1,0)),IF(AND($L$711=0,$P$708=0),"",$L$711-1),IF($R$17="Distrato",$E777,0))),0,YEARFRAC(MAX($P$708*($B777+IF($R$17="Distrato",$I$38-1,0)),IF(AND($L$711=0,$P$708=0),"",$L$711-1),IF($R$17="Distrato",$E777,0)),MIN(AQ$38,$D$19),$P$20))-SUM($P777:AP777)</f>
        <v>#VALUE!</v>
      </c>
      <c r="AR777" s="446" t="e">
        <f>IF(OR($B777="",MIN(AR$38,$D$19)&lt;MAX($P$708*($B777+IF($R$17="Distrato",$I$38-1,0)),IF(AND($L$711=0,$P$708=0),"",$L$711-1),IF($R$17="Distrato",$E777,0))),0,YEARFRAC(MAX($P$708*($B777+IF($R$17="Distrato",$I$38-1,0)),IF(AND($L$711=0,$P$708=0),"",$L$711-1),IF($R$17="Distrato",$E777,0)),MIN(AR$38,$D$19),$P$20))-SUM($P777:AQ777)</f>
        <v>#VALUE!</v>
      </c>
      <c r="AS777" s="446" t="e">
        <f>IF(OR($B777="",MIN(AS$38,$D$19)&lt;MAX($P$708*($B777+IF($R$17="Distrato",$I$38-1,0)),IF(AND($L$711=0,$P$708=0),"",$L$711-1),IF($R$17="Distrato",$E777,0))),0,YEARFRAC(MAX($P$708*($B777+IF($R$17="Distrato",$I$38-1,0)),IF(AND($L$711=0,$P$708=0),"",$L$711-1),IF($R$17="Distrato",$E777,0)),MIN(AS$38,$D$19),$P$20))-SUM($P777:AR777)</f>
        <v>#VALUE!</v>
      </c>
      <c r="AT777" s="446" t="e">
        <f>IF(OR($B777="",MIN(AT$38,$D$19)&lt;MAX($P$708*($B777+IF($R$17="Distrato",$I$38-1,0)),IF(AND($L$711=0,$P$708=0),"",$L$711-1),IF($R$17="Distrato",$E777,0))),0,YEARFRAC(MAX($P$708*($B777+IF($R$17="Distrato",$I$38-1,0)),IF(AND($L$711=0,$P$708=0),"",$L$711-1),IF($R$17="Distrato",$E777,0)),MIN(AT$38,$D$19),$P$20))-SUM($P777:AS777)</f>
        <v>#VALUE!</v>
      </c>
      <c r="AU777" s="446" t="e">
        <f>IF(OR($B777="",MIN(AU$38,$D$19)&lt;MAX($P$708*($B777+IF($R$17="Distrato",$I$38-1,0)),IF(AND($L$711=0,$P$708=0),"",$L$711-1),IF($R$17="Distrato",$E777,0))),0,YEARFRAC(MAX($P$708*($B777+IF($R$17="Distrato",$I$38-1,0)),IF(AND($L$711=0,$P$708=0),"",$L$711-1),IF($R$17="Distrato",$E777,0)),MIN(AU$38,$D$19),$P$20))-SUM($P777:AT777)</f>
        <v>#VALUE!</v>
      </c>
      <c r="AV777" s="446" t="e">
        <f>IF(OR($B777="",MIN(AV$38,$D$19)&lt;MAX($P$708*($B777+IF($R$17="Distrato",$I$38-1,0)),IF(AND($L$711=0,$P$708=0),"",$L$711-1),IF($R$17="Distrato",$E777,0))),0,YEARFRAC(MAX($P$708*($B777+IF($R$17="Distrato",$I$38-1,0)),IF(AND($L$711=0,$P$708=0),"",$L$711-1),IF($R$17="Distrato",$E777,0)),MIN(AV$38,$D$19),$P$20))-SUM($P777:AU777)</f>
        <v>#VALUE!</v>
      </c>
      <c r="AW777" s="446" t="e">
        <f>IF(OR($B777="",MIN(AW$38,$D$19)&lt;MAX($P$708*($B777+IF($R$17="Distrato",$I$38-1,0)),IF(AND($L$711=0,$P$708=0),"",$L$711-1),IF($R$17="Distrato",$E777,0))),0,YEARFRAC(MAX($P$708*($B777+IF($R$17="Distrato",$I$38-1,0)),IF(AND($L$711=0,$P$708=0),"",$L$711-1),IF($R$17="Distrato",$E777,0)),MIN(AW$38,$D$19),$P$20))-SUM($P777:AV777)</f>
        <v>#VALUE!</v>
      </c>
      <c r="AX777" s="446" t="e">
        <f>IF(OR($B777="",MIN(AX$38,$D$19)&lt;MAX($P$708*($B777+IF($R$17="Distrato",$I$38-1,0)),IF(AND($L$711=0,$P$708=0),"",$L$711-1),IF($R$17="Distrato",$E777,0))),0,YEARFRAC(MAX($P$708*($B777+IF($R$17="Distrato",$I$38-1,0)),IF(AND($L$711=0,$P$708=0),"",$L$711-1),IF($R$17="Distrato",$E777,0)),MIN(AX$38,$D$19),$P$20))-SUM($P777:AW777)</f>
        <v>#VALUE!</v>
      </c>
      <c r="AY777" s="446" t="e">
        <f>IF(OR($B777="",MIN(AY$38,$D$19)&lt;MAX($P$708*($B777+IF($R$17="Distrato",$I$38-1,0)),IF(AND($L$711=0,$P$708=0),"",$L$711-1),IF($R$17="Distrato",$E777,0))),0,YEARFRAC(MAX($P$708*($B777+IF($R$17="Distrato",$I$38-1,0)),IF(AND($L$711=0,$P$708=0),"",$L$711-1),IF($R$17="Distrato",$E777,0)),MIN(AY$38,$D$19),$P$20))-SUM($P777:AX777)</f>
        <v>#VALUE!</v>
      </c>
      <c r="AZ777" s="446" t="e">
        <f>IF(OR($B777="",MIN(AZ$38,$D$19)&lt;MAX($P$708*($B777+IF($R$17="Distrato",$I$38-1,0)),IF(AND($L$711=0,$P$708=0),"",$L$711-1),IF($R$17="Distrato",$E777,0))),0,YEARFRAC(MAX($P$708*($B777+IF($R$17="Distrato",$I$38-1,0)),IF(AND($L$711=0,$P$708=0),"",$L$711-1),IF($R$17="Distrato",$E777,0)),MIN(AZ$38,$D$19),$P$20))-SUM($P777:AY777)</f>
        <v>#VALUE!</v>
      </c>
      <c r="BA777" s="446" t="e">
        <f>IF(OR($B777="",MIN(BA$38,$D$19)&lt;MAX($P$708*($B777+IF($R$17="Distrato",$I$38-1,0)),IF(AND($L$711=0,$P$708=0),"",$L$711-1),IF($R$17="Distrato",$E777,0))),0,YEARFRAC(MAX($P$708*($B777+IF($R$17="Distrato",$I$38-1,0)),IF(AND($L$711=0,$P$708=0),"",$L$711-1),IF($R$17="Distrato",$E777,0)),MIN(BA$38,$D$19),$P$20))-SUM($P777:AZ777)</f>
        <v>#VALUE!</v>
      </c>
      <c r="BB777" s="447"/>
    </row>
    <row r="778" spans="1:54" s="446" customFormat="1" ht="11.25" hidden="1" customHeight="1" x14ac:dyDescent="0.2">
      <c r="A778" s="235"/>
      <c r="B778" s="236"/>
      <c r="C778" s="29" t="str">
        <f>IF(B778="","",IF($L$709=$BL$25,VLOOKUP(DATE(YEAR($D$19),MONTH($D$19)-1,1),ÍNDICES!$A:$DE,HLOOKUP($BL$25,ÍNDICES!$B$3:$T$4,2)+11)-VLOOKUP(B778,ÍNDICES!$A:$DE,HLOOKUP($BL$25,ÍNDICES!$B$3:$T$4,2)+11)+1%,IF(C$712=$W$26,$J$35,IF(ISERROR(IF(B778&gt;$D$19,1,VLOOKUP(DATE(YEAR(B778),MONTH(B778)+IF($C$709=$S$23,1,0),1),ÍNDICES!$A:$DE,$Z$709+1))),"",IF(B778&gt;$D$19,1,VLOOKUP(DATE(YEAR(B778),MONTH(B778)+IF($C$709=$S$23,1,0),1),ÍNDICES!$A:$DE,$Z$709+1))))))</f>
        <v/>
      </c>
      <c r="D778" s="155"/>
      <c r="E778" s="88"/>
      <c r="F778" s="88"/>
      <c r="G778" s="88"/>
      <c r="H778" s="118"/>
      <c r="I778" s="182">
        <f t="shared" ref="I778:I841" si="122">IF(ISERROR(D778-G778),"",D778-G778)</f>
        <v>0</v>
      </c>
      <c r="J778" s="20">
        <f t="shared" ref="J778:J841" ca="1" si="123">IF(ISERROR(IF(I778="","",I778*IF(B778&gt;$D$19,1,$J$709)/C778)),0,IF(I778="","",I778*IF(B778&gt;$D$19,1,$J$709)/C778))</f>
        <v>0</v>
      </c>
      <c r="K778" s="5">
        <f t="shared" ref="K778:K841" ca="1" si="124">IF(ISERROR(J778*K$712),0,J778*K$712)</f>
        <v>0</v>
      </c>
      <c r="L778" s="61">
        <f t="shared" ref="L778:L841" ca="1" si="125">IF(L$709="SELIC - TRIBUTOS",0,IFERROR(K778*SUMPRODUCT($P$37:$BA$37,$P778:$BA778),0))</f>
        <v>0</v>
      </c>
      <c r="M778" s="64">
        <f t="shared" ref="M778:M841" si="126">IFERROR(SUM(P778:BA778),0)</f>
        <v>0</v>
      </c>
      <c r="N778" s="151"/>
      <c r="O778" s="5">
        <f t="shared" ref="O778:O841" ca="1" si="127">IF(ISERROR((K778+L778)*N$712),"",(K778+L778)*N$712)</f>
        <v>0</v>
      </c>
      <c r="P778" s="446" t="e">
        <f t="shared" ref="P778:P841" si="128">IF(OR($B778="",MIN(P$38,$D$19)&lt;MAX($P$708*($B778+IF($R$17="Distrato",$I$38-1,0)),IF(AND($L$711=0,$P$708=0),"",$L$711-1),IF($R$17="Distrato",$E778,0))),0,YEARFRAC(MAX($P$708*($B778+IF($R$17="Distrato",$I$38-1,0)),IF(AND($L$711=0,$P$708=0),"",$L$711-1),IF($R$17="Distrato",$E778,0)),MIN(P$38,$D$19),$P$20))</f>
        <v>#VALUE!</v>
      </c>
      <c r="Q778" s="446" t="e">
        <f>IF(OR($B778="",MIN(Q$38,$D$19)&lt;MAX($P$708*($B778+IF($R$17="Distrato",$I$38-1,0)),IF(AND($L$711=0,$P$708=0),"",$L$711-1),IF($R$17="Distrato",$E778,0))),0,YEARFRAC(MAX($P$708*($B778+IF($R$17="Distrato",$I$38-1,0)),IF(AND($L$711=0,$P$708=0),"",$L$711-1),IF($R$17="Distrato",$E778,0)),MIN(Q$38,$D$19),$P$20))-SUM($P778:P778)</f>
        <v>#VALUE!</v>
      </c>
      <c r="R778" s="446" t="e">
        <f>IF(OR($B778="",MIN(R$38,$D$19)&lt;MAX($P$708*($B778+IF($R$17="Distrato",$I$38-1,0)),IF(AND($L$711=0,$P$708=0),"",$L$711-1),IF($R$17="Distrato",$E778,0))),0,YEARFRAC(MAX($P$708*($B778+IF($R$17="Distrato",$I$38-1,0)),IF(AND($L$711=0,$P$708=0),"",$L$711-1),IF($R$17="Distrato",$E778,0)),MIN(R$38,$D$19),$P$20))-SUM($P778:Q778)</f>
        <v>#VALUE!</v>
      </c>
      <c r="S778" s="446" t="e">
        <f>IF(OR($B778="",MIN(S$38,$D$19)&lt;MAX($P$708*($B778+IF($R$17="Distrato",$I$38-1,0)),IF(AND($L$711=0,$P$708=0),"",$L$711-1),IF($R$17="Distrato",$E778,0))),0,YEARFRAC(MAX($P$708*($B778+IF($R$17="Distrato",$I$38-1,0)),IF(AND($L$711=0,$P$708=0),"",$L$711-1),IF($R$17="Distrato",$E778,0)),MIN(S$38,$D$19),$P$20))-SUM($P778:R778)</f>
        <v>#VALUE!</v>
      </c>
      <c r="T778" s="446" t="e">
        <f>IF(OR($B778="",MIN(T$38,$D$19)&lt;MAX($P$708*($B778+IF($R$17="Distrato",$I$38-1,0)),IF(AND($L$711=0,$P$708=0),"",$L$711-1),IF($R$17="Distrato",$E778,0))),0,YEARFRAC(MAX($P$708*($B778+IF($R$17="Distrato",$I$38-1,0)),IF(AND($L$711=0,$P$708=0),"",$L$711-1),IF($R$17="Distrato",$E778,0)),MIN(T$38,$D$19),$P$20))-SUM($P778:S778)</f>
        <v>#VALUE!</v>
      </c>
      <c r="U778" s="446" t="e">
        <f>IF(OR($B778="",MIN(U$38,$D$19)&lt;MAX($P$708*($B778+IF($R$17="Distrato",$I$38-1,0)),IF(AND($L$711=0,$P$708=0),"",$L$711-1),IF($R$17="Distrato",$E778,0))),0,YEARFRAC(MAX($P$708*($B778+IF($R$17="Distrato",$I$38-1,0)),IF(AND($L$711=0,$P$708=0),"",$L$711-1),IF($R$17="Distrato",$E778,0)),MIN(U$38,$D$19),$P$20))-SUM($P778:T778)</f>
        <v>#VALUE!</v>
      </c>
      <c r="V778" s="446" t="e">
        <f>IF(OR($B778="",MIN(V$38,$D$19)&lt;MAX($P$708*($B778+IF($R$17="Distrato",$I$38-1,0)),IF(AND($L$711=0,$P$708=0),"",$L$711-1),IF($R$17="Distrato",$E778,0))),0,YEARFRAC(MAX($P$708*($B778+IF($R$17="Distrato",$I$38-1,0)),IF(AND($L$711=0,$P$708=0),"",$L$711-1),IF($R$17="Distrato",$E778,0)),MIN(V$38,$D$19),$P$20))-SUM($P778:U778)</f>
        <v>#VALUE!</v>
      </c>
      <c r="W778" s="446" t="e">
        <f>IF(OR($B778="",MIN(W$38,$D$19)&lt;MAX($P$708*($B778+IF($R$17="Distrato",$I$38-1,0)),IF(AND($L$711=0,$P$708=0),"",$L$711-1),IF($R$17="Distrato",$E778,0))),0,YEARFRAC(MAX($P$708*($B778+IF($R$17="Distrato",$I$38-1,0)),IF(AND($L$711=0,$P$708=0),"",$L$711-1),IF($R$17="Distrato",$E778,0)),MIN(W$38,$D$19),$P$20))-SUM($P778:V778)</f>
        <v>#VALUE!</v>
      </c>
      <c r="X778" s="446" t="e">
        <f>IF(OR($B778="",MIN(X$38,$D$19)&lt;MAX($P$708*($B778+IF($R$17="Distrato",$I$38-1,0)),IF(AND($L$711=0,$P$708=0),"",$L$711-1),IF($R$17="Distrato",$E778,0))),0,YEARFRAC(MAX($P$708*($B778+IF($R$17="Distrato",$I$38-1,0)),IF(AND($L$711=0,$P$708=0),"",$L$711-1),IF($R$17="Distrato",$E778,0)),MIN(X$38,$D$19),$P$20))-SUM($P778:W778)</f>
        <v>#VALUE!</v>
      </c>
      <c r="Y778" s="446" t="e">
        <f>IF(OR($B778="",MIN(Y$38,$D$19)&lt;MAX($P$708*($B778+IF($R$17="Distrato",$I$38-1,0)),IF(AND($L$711=0,$P$708=0),"",$L$711-1),IF($R$17="Distrato",$E778,0))),0,YEARFRAC(MAX($P$708*($B778+IF($R$17="Distrato",$I$38-1,0)),IF(AND($L$711=0,$P$708=0),"",$L$711-1),IF($R$17="Distrato",$E778,0)),MIN(Y$38,$D$19),$P$20))-SUM($P778:X778)</f>
        <v>#VALUE!</v>
      </c>
      <c r="Z778" s="446" t="e">
        <f>IF(OR($B778="",MIN(Z$38,$D$19)&lt;MAX($P$708*($B778+IF($R$17="Distrato",$I$38-1,0)),IF(AND($L$711=0,$P$708=0),"",$L$711-1),IF($R$17="Distrato",$E778,0))),0,YEARFRAC(MAX($P$708*($B778+IF($R$17="Distrato",$I$38-1,0)),IF(AND($L$711=0,$P$708=0),"",$L$711-1),IF($R$17="Distrato",$E778,0)),MIN(Z$38,$D$19),$P$20))-SUM($P778:Y778)</f>
        <v>#VALUE!</v>
      </c>
      <c r="AA778" s="446" t="e">
        <f>IF(OR($B778="",MIN(AA$38,$D$19)&lt;MAX($P$708*($B778+IF($R$17="Distrato",$I$38-1,0)),IF(AND($L$711=0,$P$708=0),"",$L$711-1),IF($R$17="Distrato",$E778,0))),0,YEARFRAC(MAX($P$708*($B778+IF($R$17="Distrato",$I$38-1,0)),IF(AND($L$711=0,$P$708=0),"",$L$711-1),IF($R$17="Distrato",$E778,0)),MIN(AA$38,$D$19),$P$20))-SUM($P778:Z778)</f>
        <v>#VALUE!</v>
      </c>
      <c r="AB778" s="446" t="e">
        <f>IF(OR($B778="",MIN(AB$38,$D$19)&lt;MAX($P$708*($B778+IF($R$17="Distrato",$I$38-1,0)),IF(AND($L$711=0,$P$708=0),"",$L$711-1),IF($R$17="Distrato",$E778,0))),0,YEARFRAC(MAX($P$708*($B778+IF($R$17="Distrato",$I$38-1,0)),IF(AND($L$711=0,$P$708=0),"",$L$711-1),IF($R$17="Distrato",$E778,0)),MIN(AB$38,$D$19),$P$20))-SUM($P778:AA778)</f>
        <v>#VALUE!</v>
      </c>
      <c r="AC778" s="446" t="e">
        <f>IF(OR($B778="",MIN(AC$38,$D$19)&lt;MAX($P$708*($B778+IF($R$17="Distrato",$I$38-1,0)),IF(AND($L$711=0,$P$708=0),"",$L$711-1),IF($R$17="Distrato",$E778,0))),0,YEARFRAC(MAX($P$708*($B778+IF($R$17="Distrato",$I$38-1,0)),IF(AND($L$711=0,$P$708=0),"",$L$711-1),IF($R$17="Distrato",$E778,0)),MIN(AC$38,$D$19),$P$20))-SUM($P778:AB778)</f>
        <v>#VALUE!</v>
      </c>
      <c r="AD778" s="446" t="e">
        <f>IF(OR($B778="",MIN(AD$38,$D$19)&lt;MAX($P$708*($B778+IF($R$17="Distrato",$I$38-1,0)),IF(AND($L$711=0,$P$708=0),"",$L$711-1),IF($R$17="Distrato",$E778,0))),0,YEARFRAC(MAX($P$708*($B778+IF($R$17="Distrato",$I$38-1,0)),IF(AND($L$711=0,$P$708=0),"",$L$711-1),IF($R$17="Distrato",$E778,0)),MIN(AD$38,$D$19),$P$20))-SUM($P778:AC778)</f>
        <v>#VALUE!</v>
      </c>
      <c r="AE778" s="446" t="e">
        <f>IF(OR($B778="",MIN(AE$38,$D$19)&lt;MAX($P$708*($B778+IF($R$17="Distrato",$I$38-1,0)),IF(AND($L$711=0,$P$708=0),"",$L$711-1),IF($R$17="Distrato",$E778,0))),0,YEARFRAC(MAX($P$708*($B778+IF($R$17="Distrato",$I$38-1,0)),IF(AND($L$711=0,$P$708=0),"",$L$711-1),IF($R$17="Distrato",$E778,0)),MIN(AE$38,$D$19),$P$20))-SUM($P778:AD778)</f>
        <v>#VALUE!</v>
      </c>
      <c r="AF778" s="446" t="e">
        <f>IF(OR($B778="",MIN(AF$38,$D$19)&lt;MAX($P$708*($B778+IF($R$17="Distrato",$I$38-1,0)),IF(AND($L$711=0,$P$708=0),"",$L$711-1),IF($R$17="Distrato",$E778,0))),0,YEARFRAC(MAX($P$708*($B778+IF($R$17="Distrato",$I$38-1,0)),IF(AND($L$711=0,$P$708=0),"",$L$711-1),IF($R$17="Distrato",$E778,0)),MIN(AF$38,$D$19),$P$20))-SUM($P778:AE778)</f>
        <v>#VALUE!</v>
      </c>
      <c r="AG778" s="446" t="e">
        <f>IF(OR($B778="",MIN(AG$38,$D$19)&lt;MAX($P$708*($B778+IF($R$17="Distrato",$I$38-1,0)),IF(AND($L$711=0,$P$708=0),"",$L$711-1),IF($R$17="Distrato",$E778,0))),0,YEARFRAC(MAX($P$708*($B778+IF($R$17="Distrato",$I$38-1,0)),IF(AND($L$711=0,$P$708=0),"",$L$711-1),IF($R$17="Distrato",$E778,0)),MIN(AG$38,$D$19),$P$20))-SUM($P778:AF778)</f>
        <v>#VALUE!</v>
      </c>
      <c r="AH778" s="446" t="e">
        <f>IF(OR($B778="",MIN(AH$38,$D$19)&lt;MAX($P$708*($B778+IF($R$17="Distrato",$I$38-1,0)),IF(AND($L$711=0,$P$708=0),"",$L$711-1),IF($R$17="Distrato",$E778,0))),0,YEARFRAC(MAX($P$708*($B778+IF($R$17="Distrato",$I$38-1,0)),IF(AND($L$711=0,$P$708=0),"",$L$711-1),IF($R$17="Distrato",$E778,0)),MIN(AH$38,$D$19),$P$20))-SUM($P778:AG778)</f>
        <v>#VALUE!</v>
      </c>
      <c r="AI778" s="446" t="e">
        <f>IF(OR($B778="",MIN(AI$38,$D$19)&lt;MAX($P$708*($B778+IF($R$17="Distrato",$I$38-1,0)),IF(AND($L$711=0,$P$708=0),"",$L$711-1),IF($R$17="Distrato",$E778,0))),0,YEARFRAC(MAX($P$708*($B778+IF($R$17="Distrato",$I$38-1,0)),IF(AND($L$711=0,$P$708=0),"",$L$711-1),IF($R$17="Distrato",$E778,0)),MIN(AI$38,$D$19),$P$20))-SUM($P778:AH778)</f>
        <v>#VALUE!</v>
      </c>
      <c r="AJ778" s="446" t="e">
        <f>IF(OR($B778="",MIN(AJ$38,$D$19)&lt;MAX($P$708*($B778+IF($R$17="Distrato",$I$38-1,0)),IF(AND($L$711=0,$P$708=0),"",$L$711-1),IF($R$17="Distrato",$E778,0))),0,YEARFRAC(MAX($P$708*($B778+IF($R$17="Distrato",$I$38-1,0)),IF(AND($L$711=0,$P$708=0),"",$L$711-1),IF($R$17="Distrato",$E778,0)),MIN(AJ$38,$D$19),$P$20))-SUM($P778:AI778)</f>
        <v>#VALUE!</v>
      </c>
      <c r="AK778" s="446" t="e">
        <f>IF(OR($B778="",MIN(AK$38,$D$19)&lt;MAX($P$708*($B778+IF($R$17="Distrato",$I$38-1,0)),IF(AND($L$711=0,$P$708=0),"",$L$711-1),IF($R$17="Distrato",$E778,0))),0,YEARFRAC(MAX($P$708*($B778+IF($R$17="Distrato",$I$38-1,0)),IF(AND($L$711=0,$P$708=0),"",$L$711-1),IF($R$17="Distrato",$E778,0)),MIN(AK$38,$D$19),$P$20))-SUM($P778:AJ778)</f>
        <v>#VALUE!</v>
      </c>
      <c r="AL778" s="446" t="e">
        <f>IF(OR($B778="",MIN(AL$38,$D$19)&lt;MAX($P$708*($B778+IF($R$17="Distrato",$I$38-1,0)),IF(AND($L$711=0,$P$708=0),"",$L$711-1),IF($R$17="Distrato",$E778,0))),0,YEARFRAC(MAX($P$708*($B778+IF($R$17="Distrato",$I$38-1,0)),IF(AND($L$711=0,$P$708=0),"",$L$711-1),IF($R$17="Distrato",$E778,0)),MIN(AL$38,$D$19),$P$20))-SUM($P778:AK778)</f>
        <v>#VALUE!</v>
      </c>
      <c r="AM778" s="446" t="e">
        <f>IF(OR($B778="",MIN(AM$38,$D$19)&lt;MAX($P$708*($B778+IF($R$17="Distrato",$I$38-1,0)),IF(AND($L$711=0,$P$708=0),"",$L$711-1),IF($R$17="Distrato",$E778,0))),0,YEARFRAC(MAX($P$708*($B778+IF($R$17="Distrato",$I$38-1,0)),IF(AND($L$711=0,$P$708=0),"",$L$711-1),IF($R$17="Distrato",$E778,0)),MIN(AM$38,$D$19),$P$20))-SUM($P778:AL778)</f>
        <v>#VALUE!</v>
      </c>
      <c r="AN778" s="446" t="e">
        <f>IF(OR($B778="",MIN(AN$38,$D$19)&lt;MAX($P$708*($B778+IF($R$17="Distrato",$I$38-1,0)),IF(AND($L$711=0,$P$708=0),"",$L$711-1),IF($R$17="Distrato",$E778,0))),0,YEARFRAC(MAX($P$708*($B778+IF($R$17="Distrato",$I$38-1,0)),IF(AND($L$711=0,$P$708=0),"",$L$711-1),IF($R$17="Distrato",$E778,0)),MIN(AN$38,$D$19),$P$20))-SUM($P778:AM778)</f>
        <v>#VALUE!</v>
      </c>
      <c r="AO778" s="446" t="e">
        <f>IF(OR($B778="",MIN(AO$38,$D$19)&lt;MAX($P$708*($B778+IF($R$17="Distrato",$I$38-1,0)),IF(AND($L$711=0,$P$708=0),"",$L$711-1),IF($R$17="Distrato",$E778,0))),0,YEARFRAC(MAX($P$708*($B778+IF($R$17="Distrato",$I$38-1,0)),IF(AND($L$711=0,$P$708=0),"",$L$711-1),IF($R$17="Distrato",$E778,0)),MIN(AO$38,$D$19),$P$20))-SUM($P778:AN778)</f>
        <v>#VALUE!</v>
      </c>
      <c r="AP778" s="446" t="e">
        <f>IF(OR($B778="",MIN(AP$38,$D$19)&lt;MAX($P$708*($B778+IF($R$17="Distrato",$I$38-1,0)),IF(AND($L$711=0,$P$708=0),"",$L$711-1),IF($R$17="Distrato",$E778,0))),0,YEARFRAC(MAX($P$708*($B778+IF($R$17="Distrato",$I$38-1,0)),IF(AND($L$711=0,$P$708=0),"",$L$711-1),IF($R$17="Distrato",$E778,0)),MIN(AP$38,$D$19),$P$20))-SUM($P778:AO778)</f>
        <v>#VALUE!</v>
      </c>
      <c r="AQ778" s="446" t="e">
        <f>IF(OR($B778="",MIN(AQ$38,$D$19)&lt;MAX($P$708*($B778+IF($R$17="Distrato",$I$38-1,0)),IF(AND($L$711=0,$P$708=0),"",$L$711-1),IF($R$17="Distrato",$E778,0))),0,YEARFRAC(MAX($P$708*($B778+IF($R$17="Distrato",$I$38-1,0)),IF(AND($L$711=0,$P$708=0),"",$L$711-1),IF($R$17="Distrato",$E778,0)),MIN(AQ$38,$D$19),$P$20))-SUM($P778:AP778)</f>
        <v>#VALUE!</v>
      </c>
      <c r="AR778" s="446" t="e">
        <f>IF(OR($B778="",MIN(AR$38,$D$19)&lt;MAX($P$708*($B778+IF($R$17="Distrato",$I$38-1,0)),IF(AND($L$711=0,$P$708=0),"",$L$711-1),IF($R$17="Distrato",$E778,0))),0,YEARFRAC(MAX($P$708*($B778+IF($R$17="Distrato",$I$38-1,0)),IF(AND($L$711=0,$P$708=0),"",$L$711-1),IF($R$17="Distrato",$E778,0)),MIN(AR$38,$D$19),$P$20))-SUM($P778:AQ778)</f>
        <v>#VALUE!</v>
      </c>
      <c r="AS778" s="446" t="e">
        <f>IF(OR($B778="",MIN(AS$38,$D$19)&lt;MAX($P$708*($B778+IF($R$17="Distrato",$I$38-1,0)),IF(AND($L$711=0,$P$708=0),"",$L$711-1),IF($R$17="Distrato",$E778,0))),0,YEARFRAC(MAX($P$708*($B778+IF($R$17="Distrato",$I$38-1,0)),IF(AND($L$711=0,$P$708=0),"",$L$711-1),IF($R$17="Distrato",$E778,0)),MIN(AS$38,$D$19),$P$20))-SUM($P778:AR778)</f>
        <v>#VALUE!</v>
      </c>
      <c r="AT778" s="446" t="e">
        <f>IF(OR($B778="",MIN(AT$38,$D$19)&lt;MAX($P$708*($B778+IF($R$17="Distrato",$I$38-1,0)),IF(AND($L$711=0,$P$708=0),"",$L$711-1),IF($R$17="Distrato",$E778,0))),0,YEARFRAC(MAX($P$708*($B778+IF($R$17="Distrato",$I$38-1,0)),IF(AND($L$711=0,$P$708=0),"",$L$711-1),IF($R$17="Distrato",$E778,0)),MIN(AT$38,$D$19),$P$20))-SUM($P778:AS778)</f>
        <v>#VALUE!</v>
      </c>
      <c r="AU778" s="446" t="e">
        <f>IF(OR($B778="",MIN(AU$38,$D$19)&lt;MAX($P$708*($B778+IF($R$17="Distrato",$I$38-1,0)),IF(AND($L$711=0,$P$708=0),"",$L$711-1),IF($R$17="Distrato",$E778,0))),0,YEARFRAC(MAX($P$708*($B778+IF($R$17="Distrato",$I$38-1,0)),IF(AND($L$711=0,$P$708=0),"",$L$711-1),IF($R$17="Distrato",$E778,0)),MIN(AU$38,$D$19),$P$20))-SUM($P778:AT778)</f>
        <v>#VALUE!</v>
      </c>
      <c r="AV778" s="446" t="e">
        <f>IF(OR($B778="",MIN(AV$38,$D$19)&lt;MAX($P$708*($B778+IF($R$17="Distrato",$I$38-1,0)),IF(AND($L$711=0,$P$708=0),"",$L$711-1),IF($R$17="Distrato",$E778,0))),0,YEARFRAC(MAX($P$708*($B778+IF($R$17="Distrato",$I$38-1,0)),IF(AND($L$711=0,$P$708=0),"",$L$711-1),IF($R$17="Distrato",$E778,0)),MIN(AV$38,$D$19),$P$20))-SUM($P778:AU778)</f>
        <v>#VALUE!</v>
      </c>
      <c r="AW778" s="446" t="e">
        <f>IF(OR($B778="",MIN(AW$38,$D$19)&lt;MAX($P$708*($B778+IF($R$17="Distrato",$I$38-1,0)),IF(AND($L$711=0,$P$708=0),"",$L$711-1),IF($R$17="Distrato",$E778,0))),0,YEARFRAC(MAX($P$708*($B778+IF($R$17="Distrato",$I$38-1,0)),IF(AND($L$711=0,$P$708=0),"",$L$711-1),IF($R$17="Distrato",$E778,0)),MIN(AW$38,$D$19),$P$20))-SUM($P778:AV778)</f>
        <v>#VALUE!</v>
      </c>
      <c r="AX778" s="446" t="e">
        <f>IF(OR($B778="",MIN(AX$38,$D$19)&lt;MAX($P$708*($B778+IF($R$17="Distrato",$I$38-1,0)),IF(AND($L$711=0,$P$708=0),"",$L$711-1),IF($R$17="Distrato",$E778,0))),0,YEARFRAC(MAX($P$708*($B778+IF($R$17="Distrato",$I$38-1,0)),IF(AND($L$711=0,$P$708=0),"",$L$711-1),IF($R$17="Distrato",$E778,0)),MIN(AX$38,$D$19),$P$20))-SUM($P778:AW778)</f>
        <v>#VALUE!</v>
      </c>
      <c r="AY778" s="446" t="e">
        <f>IF(OR($B778="",MIN(AY$38,$D$19)&lt;MAX($P$708*($B778+IF($R$17="Distrato",$I$38-1,0)),IF(AND($L$711=0,$P$708=0),"",$L$711-1),IF($R$17="Distrato",$E778,0))),0,YEARFRAC(MAX($P$708*($B778+IF($R$17="Distrato",$I$38-1,0)),IF(AND($L$711=0,$P$708=0),"",$L$711-1),IF($R$17="Distrato",$E778,0)),MIN(AY$38,$D$19),$P$20))-SUM($P778:AX778)</f>
        <v>#VALUE!</v>
      </c>
      <c r="AZ778" s="446" t="e">
        <f>IF(OR($B778="",MIN(AZ$38,$D$19)&lt;MAX($P$708*($B778+IF($R$17="Distrato",$I$38-1,0)),IF(AND($L$711=0,$P$708=0),"",$L$711-1),IF($R$17="Distrato",$E778,0))),0,YEARFRAC(MAX($P$708*($B778+IF($R$17="Distrato",$I$38-1,0)),IF(AND($L$711=0,$P$708=0),"",$L$711-1),IF($R$17="Distrato",$E778,0)),MIN(AZ$38,$D$19),$P$20))-SUM($P778:AY778)</f>
        <v>#VALUE!</v>
      </c>
      <c r="BA778" s="446" t="e">
        <f>IF(OR($B778="",MIN(BA$38,$D$19)&lt;MAX($P$708*($B778+IF($R$17="Distrato",$I$38-1,0)),IF(AND($L$711=0,$P$708=0),"",$L$711-1),IF($R$17="Distrato",$E778,0))),0,YEARFRAC(MAX($P$708*($B778+IF($R$17="Distrato",$I$38-1,0)),IF(AND($L$711=0,$P$708=0),"",$L$711-1),IF($R$17="Distrato",$E778,0)),MIN(BA$38,$D$19),$P$20))-SUM($P778:AZ778)</f>
        <v>#VALUE!</v>
      </c>
      <c r="BB778" s="447"/>
    </row>
    <row r="779" spans="1:54" s="446" customFormat="1" ht="11.25" hidden="1" customHeight="1" x14ac:dyDescent="0.2">
      <c r="A779" s="235"/>
      <c r="B779" s="236"/>
      <c r="C779" s="29" t="str">
        <f>IF(B779="","",IF($L$709=$BL$25,VLOOKUP(DATE(YEAR($D$19),MONTH($D$19)-1,1),ÍNDICES!$A:$DE,HLOOKUP($BL$25,ÍNDICES!$B$3:$T$4,2)+11)-VLOOKUP(B779,ÍNDICES!$A:$DE,HLOOKUP($BL$25,ÍNDICES!$B$3:$T$4,2)+11)+1%,IF(C$712=$W$26,$J$35,IF(ISERROR(IF(B779&gt;$D$19,1,VLOOKUP(DATE(YEAR(B779),MONTH(B779)+IF($C$709=$S$23,1,0),1),ÍNDICES!$A:$DE,$Z$709+1))),"",IF(B779&gt;$D$19,1,VLOOKUP(DATE(YEAR(B779),MONTH(B779)+IF($C$709=$S$23,1,0),1),ÍNDICES!$A:$DE,$Z$709+1))))))</f>
        <v/>
      </c>
      <c r="D779" s="155"/>
      <c r="E779" s="88"/>
      <c r="F779" s="88"/>
      <c r="G779" s="88"/>
      <c r="H779" s="118"/>
      <c r="I779" s="182">
        <f t="shared" si="122"/>
        <v>0</v>
      </c>
      <c r="J779" s="20">
        <f t="shared" ca="1" si="123"/>
        <v>0</v>
      </c>
      <c r="K779" s="5">
        <f t="shared" ca="1" si="124"/>
        <v>0</v>
      </c>
      <c r="L779" s="61">
        <f t="shared" ca="1" si="125"/>
        <v>0</v>
      </c>
      <c r="M779" s="64">
        <f t="shared" si="126"/>
        <v>0</v>
      </c>
      <c r="N779" s="151"/>
      <c r="O779" s="5">
        <f t="shared" ca="1" si="127"/>
        <v>0</v>
      </c>
      <c r="P779" s="446" t="e">
        <f t="shared" si="128"/>
        <v>#VALUE!</v>
      </c>
      <c r="Q779" s="446" t="e">
        <f>IF(OR($B779="",MIN(Q$38,$D$19)&lt;MAX($P$708*($B779+IF($R$17="Distrato",$I$38-1,0)),IF(AND($L$711=0,$P$708=0),"",$L$711-1),IF($R$17="Distrato",$E779,0))),0,YEARFRAC(MAX($P$708*($B779+IF($R$17="Distrato",$I$38-1,0)),IF(AND($L$711=0,$P$708=0),"",$L$711-1),IF($R$17="Distrato",$E779,0)),MIN(Q$38,$D$19),$P$20))-SUM($P779:P779)</f>
        <v>#VALUE!</v>
      </c>
      <c r="R779" s="446" t="e">
        <f>IF(OR($B779="",MIN(R$38,$D$19)&lt;MAX($P$708*($B779+IF($R$17="Distrato",$I$38-1,0)),IF(AND($L$711=0,$P$708=0),"",$L$711-1),IF($R$17="Distrato",$E779,0))),0,YEARFRAC(MAX($P$708*($B779+IF($R$17="Distrato",$I$38-1,0)),IF(AND($L$711=0,$P$708=0),"",$L$711-1),IF($R$17="Distrato",$E779,0)),MIN(R$38,$D$19),$P$20))-SUM($P779:Q779)</f>
        <v>#VALUE!</v>
      </c>
      <c r="S779" s="446" t="e">
        <f>IF(OR($B779="",MIN(S$38,$D$19)&lt;MAX($P$708*($B779+IF($R$17="Distrato",$I$38-1,0)),IF(AND($L$711=0,$P$708=0),"",$L$711-1),IF($R$17="Distrato",$E779,0))),0,YEARFRAC(MAX($P$708*($B779+IF($R$17="Distrato",$I$38-1,0)),IF(AND($L$711=0,$P$708=0),"",$L$711-1),IF($R$17="Distrato",$E779,0)),MIN(S$38,$D$19),$P$20))-SUM($P779:R779)</f>
        <v>#VALUE!</v>
      </c>
      <c r="T779" s="446" t="e">
        <f>IF(OR($B779="",MIN(T$38,$D$19)&lt;MAX($P$708*($B779+IF($R$17="Distrato",$I$38-1,0)),IF(AND($L$711=0,$P$708=0),"",$L$711-1),IF($R$17="Distrato",$E779,0))),0,YEARFRAC(MAX($P$708*($B779+IF($R$17="Distrato",$I$38-1,0)),IF(AND($L$711=0,$P$708=0),"",$L$711-1),IF($R$17="Distrato",$E779,0)),MIN(T$38,$D$19),$P$20))-SUM($P779:S779)</f>
        <v>#VALUE!</v>
      </c>
      <c r="U779" s="446" t="e">
        <f>IF(OR($B779="",MIN(U$38,$D$19)&lt;MAX($P$708*($B779+IF($R$17="Distrato",$I$38-1,0)),IF(AND($L$711=0,$P$708=0),"",$L$711-1),IF($R$17="Distrato",$E779,0))),0,YEARFRAC(MAX($P$708*($B779+IF($R$17="Distrato",$I$38-1,0)),IF(AND($L$711=0,$P$708=0),"",$L$711-1),IF($R$17="Distrato",$E779,0)),MIN(U$38,$D$19),$P$20))-SUM($P779:T779)</f>
        <v>#VALUE!</v>
      </c>
      <c r="V779" s="446" t="e">
        <f>IF(OR($B779="",MIN(V$38,$D$19)&lt;MAX($P$708*($B779+IF($R$17="Distrato",$I$38-1,0)),IF(AND($L$711=0,$P$708=0),"",$L$711-1),IF($R$17="Distrato",$E779,0))),0,YEARFRAC(MAX($P$708*($B779+IF($R$17="Distrato",$I$38-1,0)),IF(AND($L$711=0,$P$708=0),"",$L$711-1),IF($R$17="Distrato",$E779,0)),MIN(V$38,$D$19),$P$20))-SUM($P779:U779)</f>
        <v>#VALUE!</v>
      </c>
      <c r="W779" s="446" t="e">
        <f>IF(OR($B779="",MIN(W$38,$D$19)&lt;MAX($P$708*($B779+IF($R$17="Distrato",$I$38-1,0)),IF(AND($L$711=0,$P$708=0),"",$L$711-1),IF($R$17="Distrato",$E779,0))),0,YEARFRAC(MAX($P$708*($B779+IF($R$17="Distrato",$I$38-1,0)),IF(AND($L$711=0,$P$708=0),"",$L$711-1),IF($R$17="Distrato",$E779,0)),MIN(W$38,$D$19),$P$20))-SUM($P779:V779)</f>
        <v>#VALUE!</v>
      </c>
      <c r="X779" s="446" t="e">
        <f>IF(OR($B779="",MIN(X$38,$D$19)&lt;MAX($P$708*($B779+IF($R$17="Distrato",$I$38-1,0)),IF(AND($L$711=0,$P$708=0),"",$L$711-1),IF($R$17="Distrato",$E779,0))),0,YEARFRAC(MAX($P$708*($B779+IF($R$17="Distrato",$I$38-1,0)),IF(AND($L$711=0,$P$708=0),"",$L$711-1),IF($R$17="Distrato",$E779,0)),MIN(X$38,$D$19),$P$20))-SUM($P779:W779)</f>
        <v>#VALUE!</v>
      </c>
      <c r="Y779" s="446" t="e">
        <f>IF(OR($B779="",MIN(Y$38,$D$19)&lt;MAX($P$708*($B779+IF($R$17="Distrato",$I$38-1,0)),IF(AND($L$711=0,$P$708=0),"",$L$711-1),IF($R$17="Distrato",$E779,0))),0,YEARFRAC(MAX($P$708*($B779+IF($R$17="Distrato",$I$38-1,0)),IF(AND($L$711=0,$P$708=0),"",$L$711-1),IF($R$17="Distrato",$E779,0)),MIN(Y$38,$D$19),$P$20))-SUM($P779:X779)</f>
        <v>#VALUE!</v>
      </c>
      <c r="Z779" s="446" t="e">
        <f>IF(OR($B779="",MIN(Z$38,$D$19)&lt;MAX($P$708*($B779+IF($R$17="Distrato",$I$38-1,0)),IF(AND($L$711=0,$P$708=0),"",$L$711-1),IF($R$17="Distrato",$E779,0))),0,YEARFRAC(MAX($P$708*($B779+IF($R$17="Distrato",$I$38-1,0)),IF(AND($L$711=0,$P$708=0),"",$L$711-1),IF($R$17="Distrato",$E779,0)),MIN(Z$38,$D$19),$P$20))-SUM($P779:Y779)</f>
        <v>#VALUE!</v>
      </c>
      <c r="AA779" s="446" t="e">
        <f>IF(OR($B779="",MIN(AA$38,$D$19)&lt;MAX($P$708*($B779+IF($R$17="Distrato",$I$38-1,0)),IF(AND($L$711=0,$P$708=0),"",$L$711-1),IF($R$17="Distrato",$E779,0))),0,YEARFRAC(MAX($P$708*($B779+IF($R$17="Distrato",$I$38-1,0)),IF(AND($L$711=0,$P$708=0),"",$L$711-1),IF($R$17="Distrato",$E779,0)),MIN(AA$38,$D$19),$P$20))-SUM($P779:Z779)</f>
        <v>#VALUE!</v>
      </c>
      <c r="AB779" s="446" t="e">
        <f>IF(OR($B779="",MIN(AB$38,$D$19)&lt;MAX($P$708*($B779+IF($R$17="Distrato",$I$38-1,0)),IF(AND($L$711=0,$P$708=0),"",$L$711-1),IF($R$17="Distrato",$E779,0))),0,YEARFRAC(MAX($P$708*($B779+IF($R$17="Distrato",$I$38-1,0)),IF(AND($L$711=0,$P$708=0),"",$L$711-1),IF($R$17="Distrato",$E779,0)),MIN(AB$38,$D$19),$P$20))-SUM($P779:AA779)</f>
        <v>#VALUE!</v>
      </c>
      <c r="AC779" s="446" t="e">
        <f>IF(OR($B779="",MIN(AC$38,$D$19)&lt;MAX($P$708*($B779+IF($R$17="Distrato",$I$38-1,0)),IF(AND($L$711=0,$P$708=0),"",$L$711-1),IF($R$17="Distrato",$E779,0))),0,YEARFRAC(MAX($P$708*($B779+IF($R$17="Distrato",$I$38-1,0)),IF(AND($L$711=0,$P$708=0),"",$L$711-1),IF($R$17="Distrato",$E779,0)),MIN(AC$38,$D$19),$P$20))-SUM($P779:AB779)</f>
        <v>#VALUE!</v>
      </c>
      <c r="AD779" s="446" t="e">
        <f>IF(OR($B779="",MIN(AD$38,$D$19)&lt;MAX($P$708*($B779+IF($R$17="Distrato",$I$38-1,0)),IF(AND($L$711=0,$P$708=0),"",$L$711-1),IF($R$17="Distrato",$E779,0))),0,YEARFRAC(MAX($P$708*($B779+IF($R$17="Distrato",$I$38-1,0)),IF(AND($L$711=0,$P$708=0),"",$L$711-1),IF($R$17="Distrato",$E779,0)),MIN(AD$38,$D$19),$P$20))-SUM($P779:AC779)</f>
        <v>#VALUE!</v>
      </c>
      <c r="AE779" s="446" t="e">
        <f>IF(OR($B779="",MIN(AE$38,$D$19)&lt;MAX($P$708*($B779+IF($R$17="Distrato",$I$38-1,0)),IF(AND($L$711=0,$P$708=0),"",$L$711-1),IF($R$17="Distrato",$E779,0))),0,YEARFRAC(MAX($P$708*($B779+IF($R$17="Distrato",$I$38-1,0)),IF(AND($L$711=0,$P$708=0),"",$L$711-1),IF($R$17="Distrato",$E779,0)),MIN(AE$38,$D$19),$P$20))-SUM($P779:AD779)</f>
        <v>#VALUE!</v>
      </c>
      <c r="AF779" s="446" t="e">
        <f>IF(OR($B779="",MIN(AF$38,$D$19)&lt;MAX($P$708*($B779+IF($R$17="Distrato",$I$38-1,0)),IF(AND($L$711=0,$P$708=0),"",$L$711-1),IF($R$17="Distrato",$E779,0))),0,YEARFRAC(MAX($P$708*($B779+IF($R$17="Distrato",$I$38-1,0)),IF(AND($L$711=0,$P$708=0),"",$L$711-1),IF($R$17="Distrato",$E779,0)),MIN(AF$38,$D$19),$P$20))-SUM($P779:AE779)</f>
        <v>#VALUE!</v>
      </c>
      <c r="AG779" s="446" t="e">
        <f>IF(OR($B779="",MIN(AG$38,$D$19)&lt;MAX($P$708*($B779+IF($R$17="Distrato",$I$38-1,0)),IF(AND($L$711=0,$P$708=0),"",$L$711-1),IF($R$17="Distrato",$E779,0))),0,YEARFRAC(MAX($P$708*($B779+IF($R$17="Distrato",$I$38-1,0)),IF(AND($L$711=0,$P$708=0),"",$L$711-1),IF($R$17="Distrato",$E779,0)),MIN(AG$38,$D$19),$P$20))-SUM($P779:AF779)</f>
        <v>#VALUE!</v>
      </c>
      <c r="AH779" s="446" t="e">
        <f>IF(OR($B779="",MIN(AH$38,$D$19)&lt;MAX($P$708*($B779+IF($R$17="Distrato",$I$38-1,0)),IF(AND($L$711=0,$P$708=0),"",$L$711-1),IF($R$17="Distrato",$E779,0))),0,YEARFRAC(MAX($P$708*($B779+IF($R$17="Distrato",$I$38-1,0)),IF(AND($L$711=0,$P$708=0),"",$L$711-1),IF($R$17="Distrato",$E779,0)),MIN(AH$38,$D$19),$P$20))-SUM($P779:AG779)</f>
        <v>#VALUE!</v>
      </c>
      <c r="AI779" s="446" t="e">
        <f>IF(OR($B779="",MIN(AI$38,$D$19)&lt;MAX($P$708*($B779+IF($R$17="Distrato",$I$38-1,0)),IF(AND($L$711=0,$P$708=0),"",$L$711-1),IF($R$17="Distrato",$E779,0))),0,YEARFRAC(MAX($P$708*($B779+IF($R$17="Distrato",$I$38-1,0)),IF(AND($L$711=0,$P$708=0),"",$L$711-1),IF($R$17="Distrato",$E779,0)),MIN(AI$38,$D$19),$P$20))-SUM($P779:AH779)</f>
        <v>#VALUE!</v>
      </c>
      <c r="AJ779" s="446" t="e">
        <f>IF(OR($B779="",MIN(AJ$38,$D$19)&lt;MAX($P$708*($B779+IF($R$17="Distrato",$I$38-1,0)),IF(AND($L$711=0,$P$708=0),"",$L$711-1),IF($R$17="Distrato",$E779,0))),0,YEARFRAC(MAX($P$708*($B779+IF($R$17="Distrato",$I$38-1,0)),IF(AND($L$711=0,$P$708=0),"",$L$711-1),IF($R$17="Distrato",$E779,0)),MIN(AJ$38,$D$19),$P$20))-SUM($P779:AI779)</f>
        <v>#VALUE!</v>
      </c>
      <c r="AK779" s="446" t="e">
        <f>IF(OR($B779="",MIN(AK$38,$D$19)&lt;MAX($P$708*($B779+IF($R$17="Distrato",$I$38-1,0)),IF(AND($L$711=0,$P$708=0),"",$L$711-1),IF($R$17="Distrato",$E779,0))),0,YEARFRAC(MAX($P$708*($B779+IF($R$17="Distrato",$I$38-1,0)),IF(AND($L$711=0,$P$708=0),"",$L$711-1),IF($R$17="Distrato",$E779,0)),MIN(AK$38,$D$19),$P$20))-SUM($P779:AJ779)</f>
        <v>#VALUE!</v>
      </c>
      <c r="AL779" s="446" t="e">
        <f>IF(OR($B779="",MIN(AL$38,$D$19)&lt;MAX($P$708*($B779+IF($R$17="Distrato",$I$38-1,0)),IF(AND($L$711=0,$P$708=0),"",$L$711-1),IF($R$17="Distrato",$E779,0))),0,YEARFRAC(MAX($P$708*($B779+IF($R$17="Distrato",$I$38-1,0)),IF(AND($L$711=0,$P$708=0),"",$L$711-1),IF($R$17="Distrato",$E779,0)),MIN(AL$38,$D$19),$P$20))-SUM($P779:AK779)</f>
        <v>#VALUE!</v>
      </c>
      <c r="AM779" s="446" t="e">
        <f>IF(OR($B779="",MIN(AM$38,$D$19)&lt;MAX($P$708*($B779+IF($R$17="Distrato",$I$38-1,0)),IF(AND($L$711=0,$P$708=0),"",$L$711-1),IF($R$17="Distrato",$E779,0))),0,YEARFRAC(MAX($P$708*($B779+IF($R$17="Distrato",$I$38-1,0)),IF(AND($L$711=0,$P$708=0),"",$L$711-1),IF($R$17="Distrato",$E779,0)),MIN(AM$38,$D$19),$P$20))-SUM($P779:AL779)</f>
        <v>#VALUE!</v>
      </c>
      <c r="AN779" s="446" t="e">
        <f>IF(OR($B779="",MIN(AN$38,$D$19)&lt;MAX($P$708*($B779+IF($R$17="Distrato",$I$38-1,0)),IF(AND($L$711=0,$P$708=0),"",$L$711-1),IF($R$17="Distrato",$E779,0))),0,YEARFRAC(MAX($P$708*($B779+IF($R$17="Distrato",$I$38-1,0)),IF(AND($L$711=0,$P$708=0),"",$L$711-1),IF($R$17="Distrato",$E779,0)),MIN(AN$38,$D$19),$P$20))-SUM($P779:AM779)</f>
        <v>#VALUE!</v>
      </c>
      <c r="AO779" s="446" t="e">
        <f>IF(OR($B779="",MIN(AO$38,$D$19)&lt;MAX($P$708*($B779+IF($R$17="Distrato",$I$38-1,0)),IF(AND($L$711=0,$P$708=0),"",$L$711-1),IF($R$17="Distrato",$E779,0))),0,YEARFRAC(MAX($P$708*($B779+IF($R$17="Distrato",$I$38-1,0)),IF(AND($L$711=0,$P$708=0),"",$L$711-1),IF($R$17="Distrato",$E779,0)),MIN(AO$38,$D$19),$P$20))-SUM($P779:AN779)</f>
        <v>#VALUE!</v>
      </c>
      <c r="AP779" s="446" t="e">
        <f>IF(OR($B779="",MIN(AP$38,$D$19)&lt;MAX($P$708*($B779+IF($R$17="Distrato",$I$38-1,0)),IF(AND($L$711=0,$P$708=0),"",$L$711-1),IF($R$17="Distrato",$E779,0))),0,YEARFRAC(MAX($P$708*($B779+IF($R$17="Distrato",$I$38-1,0)),IF(AND($L$711=0,$P$708=0),"",$L$711-1),IF($R$17="Distrato",$E779,0)),MIN(AP$38,$D$19),$P$20))-SUM($P779:AO779)</f>
        <v>#VALUE!</v>
      </c>
      <c r="AQ779" s="446" t="e">
        <f>IF(OR($B779="",MIN(AQ$38,$D$19)&lt;MAX($P$708*($B779+IF($R$17="Distrato",$I$38-1,0)),IF(AND($L$711=0,$P$708=0),"",$L$711-1),IF($R$17="Distrato",$E779,0))),0,YEARFRAC(MAX($P$708*($B779+IF($R$17="Distrato",$I$38-1,0)),IF(AND($L$711=0,$P$708=0),"",$L$711-1),IF($R$17="Distrato",$E779,0)),MIN(AQ$38,$D$19),$P$20))-SUM($P779:AP779)</f>
        <v>#VALUE!</v>
      </c>
      <c r="AR779" s="446" t="e">
        <f>IF(OR($B779="",MIN(AR$38,$D$19)&lt;MAX($P$708*($B779+IF($R$17="Distrato",$I$38-1,0)),IF(AND($L$711=0,$P$708=0),"",$L$711-1),IF($R$17="Distrato",$E779,0))),0,YEARFRAC(MAX($P$708*($B779+IF($R$17="Distrato",$I$38-1,0)),IF(AND($L$711=0,$P$708=0),"",$L$711-1),IF($R$17="Distrato",$E779,0)),MIN(AR$38,$D$19),$P$20))-SUM($P779:AQ779)</f>
        <v>#VALUE!</v>
      </c>
      <c r="AS779" s="446" t="e">
        <f>IF(OR($B779="",MIN(AS$38,$D$19)&lt;MAX($P$708*($B779+IF($R$17="Distrato",$I$38-1,0)),IF(AND($L$711=0,$P$708=0),"",$L$711-1),IF($R$17="Distrato",$E779,0))),0,YEARFRAC(MAX($P$708*($B779+IF($R$17="Distrato",$I$38-1,0)),IF(AND($L$711=0,$P$708=0),"",$L$711-1),IF($R$17="Distrato",$E779,0)),MIN(AS$38,$D$19),$P$20))-SUM($P779:AR779)</f>
        <v>#VALUE!</v>
      </c>
      <c r="AT779" s="446" t="e">
        <f>IF(OR($B779="",MIN(AT$38,$D$19)&lt;MAX($P$708*($B779+IF($R$17="Distrato",$I$38-1,0)),IF(AND($L$711=0,$P$708=0),"",$L$711-1),IF($R$17="Distrato",$E779,0))),0,YEARFRAC(MAX($P$708*($B779+IF($R$17="Distrato",$I$38-1,0)),IF(AND($L$711=0,$P$708=0),"",$L$711-1),IF($R$17="Distrato",$E779,0)),MIN(AT$38,$D$19),$P$20))-SUM($P779:AS779)</f>
        <v>#VALUE!</v>
      </c>
      <c r="AU779" s="446" t="e">
        <f>IF(OR($B779="",MIN(AU$38,$D$19)&lt;MAX($P$708*($B779+IF($R$17="Distrato",$I$38-1,0)),IF(AND($L$711=0,$P$708=0),"",$L$711-1),IF($R$17="Distrato",$E779,0))),0,YEARFRAC(MAX($P$708*($B779+IF($R$17="Distrato",$I$38-1,0)),IF(AND($L$711=0,$P$708=0),"",$L$711-1),IF($R$17="Distrato",$E779,0)),MIN(AU$38,$D$19),$P$20))-SUM($P779:AT779)</f>
        <v>#VALUE!</v>
      </c>
      <c r="AV779" s="446" t="e">
        <f>IF(OR($B779="",MIN(AV$38,$D$19)&lt;MAX($P$708*($B779+IF($R$17="Distrato",$I$38-1,0)),IF(AND($L$711=0,$P$708=0),"",$L$711-1),IF($R$17="Distrato",$E779,0))),0,YEARFRAC(MAX($P$708*($B779+IF($R$17="Distrato",$I$38-1,0)),IF(AND($L$711=0,$P$708=0),"",$L$711-1),IF($R$17="Distrato",$E779,0)),MIN(AV$38,$D$19),$P$20))-SUM($P779:AU779)</f>
        <v>#VALUE!</v>
      </c>
      <c r="AW779" s="446" t="e">
        <f>IF(OR($B779="",MIN(AW$38,$D$19)&lt;MAX($P$708*($B779+IF($R$17="Distrato",$I$38-1,0)),IF(AND($L$711=0,$P$708=0),"",$L$711-1),IF($R$17="Distrato",$E779,0))),0,YEARFRAC(MAX($P$708*($B779+IF($R$17="Distrato",$I$38-1,0)),IF(AND($L$711=0,$P$708=0),"",$L$711-1),IF($R$17="Distrato",$E779,0)),MIN(AW$38,$D$19),$P$20))-SUM($P779:AV779)</f>
        <v>#VALUE!</v>
      </c>
      <c r="AX779" s="446" t="e">
        <f>IF(OR($B779="",MIN(AX$38,$D$19)&lt;MAX($P$708*($B779+IF($R$17="Distrato",$I$38-1,0)),IF(AND($L$711=0,$P$708=0),"",$L$711-1),IF($R$17="Distrato",$E779,0))),0,YEARFRAC(MAX($P$708*($B779+IF($R$17="Distrato",$I$38-1,0)),IF(AND($L$711=0,$P$708=0),"",$L$711-1),IF($R$17="Distrato",$E779,0)),MIN(AX$38,$D$19),$P$20))-SUM($P779:AW779)</f>
        <v>#VALUE!</v>
      </c>
      <c r="AY779" s="446" t="e">
        <f>IF(OR($B779="",MIN(AY$38,$D$19)&lt;MAX($P$708*($B779+IF($R$17="Distrato",$I$38-1,0)),IF(AND($L$711=0,$P$708=0),"",$L$711-1),IF($R$17="Distrato",$E779,0))),0,YEARFRAC(MAX($P$708*($B779+IF($R$17="Distrato",$I$38-1,0)),IF(AND($L$711=0,$P$708=0),"",$L$711-1),IF($R$17="Distrato",$E779,0)),MIN(AY$38,$D$19),$P$20))-SUM($P779:AX779)</f>
        <v>#VALUE!</v>
      </c>
      <c r="AZ779" s="446" t="e">
        <f>IF(OR($B779="",MIN(AZ$38,$D$19)&lt;MAX($P$708*($B779+IF($R$17="Distrato",$I$38-1,0)),IF(AND($L$711=0,$P$708=0),"",$L$711-1),IF($R$17="Distrato",$E779,0))),0,YEARFRAC(MAX($P$708*($B779+IF($R$17="Distrato",$I$38-1,0)),IF(AND($L$711=0,$P$708=0),"",$L$711-1),IF($R$17="Distrato",$E779,0)),MIN(AZ$38,$D$19),$P$20))-SUM($P779:AY779)</f>
        <v>#VALUE!</v>
      </c>
      <c r="BA779" s="446" t="e">
        <f>IF(OR($B779="",MIN(BA$38,$D$19)&lt;MAX($P$708*($B779+IF($R$17="Distrato",$I$38-1,0)),IF(AND($L$711=0,$P$708=0),"",$L$711-1),IF($R$17="Distrato",$E779,0))),0,YEARFRAC(MAX($P$708*($B779+IF($R$17="Distrato",$I$38-1,0)),IF(AND($L$711=0,$P$708=0),"",$L$711-1),IF($R$17="Distrato",$E779,0)),MIN(BA$38,$D$19),$P$20))-SUM($P779:AZ779)</f>
        <v>#VALUE!</v>
      </c>
      <c r="BB779" s="447"/>
    </row>
    <row r="780" spans="1:54" s="446" customFormat="1" ht="11.25" hidden="1" customHeight="1" x14ac:dyDescent="0.2">
      <c r="A780" s="235"/>
      <c r="B780" s="236"/>
      <c r="C780" s="29" t="str">
        <f>IF(B780="","",IF($L$709=$BL$25,VLOOKUP(DATE(YEAR($D$19),MONTH($D$19)-1,1),ÍNDICES!$A:$DE,HLOOKUP($BL$25,ÍNDICES!$B$3:$T$4,2)+11)-VLOOKUP(B780,ÍNDICES!$A:$DE,HLOOKUP($BL$25,ÍNDICES!$B$3:$T$4,2)+11)+1%,IF(C$712=$W$26,$J$35,IF(ISERROR(IF(B780&gt;$D$19,1,VLOOKUP(DATE(YEAR(B780),MONTH(B780)+IF($C$709=$S$23,1,0),1),ÍNDICES!$A:$DE,$Z$709+1))),"",IF(B780&gt;$D$19,1,VLOOKUP(DATE(YEAR(B780),MONTH(B780)+IF($C$709=$S$23,1,0),1),ÍNDICES!$A:$DE,$Z$709+1))))))</f>
        <v/>
      </c>
      <c r="D780" s="155"/>
      <c r="E780" s="88"/>
      <c r="F780" s="88"/>
      <c r="G780" s="88"/>
      <c r="H780" s="118"/>
      <c r="I780" s="182">
        <f t="shared" si="122"/>
        <v>0</v>
      </c>
      <c r="J780" s="20">
        <f t="shared" ca="1" si="123"/>
        <v>0</v>
      </c>
      <c r="K780" s="5">
        <f t="shared" ca="1" si="124"/>
        <v>0</v>
      </c>
      <c r="L780" s="61">
        <f t="shared" ca="1" si="125"/>
        <v>0</v>
      </c>
      <c r="M780" s="64">
        <f t="shared" si="126"/>
        <v>0</v>
      </c>
      <c r="N780" s="151"/>
      <c r="O780" s="5">
        <f t="shared" ca="1" si="127"/>
        <v>0</v>
      </c>
      <c r="P780" s="446" t="e">
        <f t="shared" si="128"/>
        <v>#VALUE!</v>
      </c>
      <c r="Q780" s="446" t="e">
        <f>IF(OR($B780="",MIN(Q$38,$D$19)&lt;MAX($P$708*($B780+IF($R$17="Distrato",$I$38-1,0)),IF(AND($L$711=0,$P$708=0),"",$L$711-1),IF($R$17="Distrato",$E780,0))),0,YEARFRAC(MAX($P$708*($B780+IF($R$17="Distrato",$I$38-1,0)),IF(AND($L$711=0,$P$708=0),"",$L$711-1),IF($R$17="Distrato",$E780,0)),MIN(Q$38,$D$19),$P$20))-SUM($P780:P780)</f>
        <v>#VALUE!</v>
      </c>
      <c r="R780" s="446" t="e">
        <f>IF(OR($B780="",MIN(R$38,$D$19)&lt;MAX($P$708*($B780+IF($R$17="Distrato",$I$38-1,0)),IF(AND($L$711=0,$P$708=0),"",$L$711-1),IF($R$17="Distrato",$E780,0))),0,YEARFRAC(MAX($P$708*($B780+IF($R$17="Distrato",$I$38-1,0)),IF(AND($L$711=0,$P$708=0),"",$L$711-1),IF($R$17="Distrato",$E780,0)),MIN(R$38,$D$19),$P$20))-SUM($P780:Q780)</f>
        <v>#VALUE!</v>
      </c>
      <c r="S780" s="446" t="e">
        <f>IF(OR($B780="",MIN(S$38,$D$19)&lt;MAX($P$708*($B780+IF($R$17="Distrato",$I$38-1,0)),IF(AND($L$711=0,$P$708=0),"",$L$711-1),IF($R$17="Distrato",$E780,0))),0,YEARFRAC(MAX($P$708*($B780+IF($R$17="Distrato",$I$38-1,0)),IF(AND($L$711=0,$P$708=0),"",$L$711-1),IF($R$17="Distrato",$E780,0)),MIN(S$38,$D$19),$P$20))-SUM($P780:R780)</f>
        <v>#VALUE!</v>
      </c>
      <c r="T780" s="446" t="e">
        <f>IF(OR($B780="",MIN(T$38,$D$19)&lt;MAX($P$708*($B780+IF($R$17="Distrato",$I$38-1,0)),IF(AND($L$711=0,$P$708=0),"",$L$711-1),IF($R$17="Distrato",$E780,0))),0,YEARFRAC(MAX($P$708*($B780+IF($R$17="Distrato",$I$38-1,0)),IF(AND($L$711=0,$P$708=0),"",$L$711-1),IF($R$17="Distrato",$E780,0)),MIN(T$38,$D$19),$P$20))-SUM($P780:S780)</f>
        <v>#VALUE!</v>
      </c>
      <c r="U780" s="446" t="e">
        <f>IF(OR($B780="",MIN(U$38,$D$19)&lt;MAX($P$708*($B780+IF($R$17="Distrato",$I$38-1,0)),IF(AND($L$711=0,$P$708=0),"",$L$711-1),IF($R$17="Distrato",$E780,0))),0,YEARFRAC(MAX($P$708*($B780+IF($R$17="Distrato",$I$38-1,0)),IF(AND($L$711=0,$P$708=0),"",$L$711-1),IF($R$17="Distrato",$E780,0)),MIN(U$38,$D$19),$P$20))-SUM($P780:T780)</f>
        <v>#VALUE!</v>
      </c>
      <c r="V780" s="446" t="e">
        <f>IF(OR($B780="",MIN(V$38,$D$19)&lt;MAX($P$708*($B780+IF($R$17="Distrato",$I$38-1,0)),IF(AND($L$711=0,$P$708=0),"",$L$711-1),IF($R$17="Distrato",$E780,0))),0,YEARFRAC(MAX($P$708*($B780+IF($R$17="Distrato",$I$38-1,0)),IF(AND($L$711=0,$P$708=0),"",$L$711-1),IF($R$17="Distrato",$E780,0)),MIN(V$38,$D$19),$P$20))-SUM($P780:U780)</f>
        <v>#VALUE!</v>
      </c>
      <c r="W780" s="446" t="e">
        <f>IF(OR($B780="",MIN(W$38,$D$19)&lt;MAX($P$708*($B780+IF($R$17="Distrato",$I$38-1,0)),IF(AND($L$711=0,$P$708=0),"",$L$711-1),IF($R$17="Distrato",$E780,0))),0,YEARFRAC(MAX($P$708*($B780+IF($R$17="Distrato",$I$38-1,0)),IF(AND($L$711=0,$P$708=0),"",$L$711-1),IF($R$17="Distrato",$E780,0)),MIN(W$38,$D$19),$P$20))-SUM($P780:V780)</f>
        <v>#VALUE!</v>
      </c>
      <c r="X780" s="446" t="e">
        <f>IF(OR($B780="",MIN(X$38,$D$19)&lt;MAX($P$708*($B780+IF($R$17="Distrato",$I$38-1,0)),IF(AND($L$711=0,$P$708=0),"",$L$711-1),IF($R$17="Distrato",$E780,0))),0,YEARFRAC(MAX($P$708*($B780+IF($R$17="Distrato",$I$38-1,0)),IF(AND($L$711=0,$P$708=0),"",$L$711-1),IF($R$17="Distrato",$E780,0)),MIN(X$38,$D$19),$P$20))-SUM($P780:W780)</f>
        <v>#VALUE!</v>
      </c>
      <c r="Y780" s="446" t="e">
        <f>IF(OR($B780="",MIN(Y$38,$D$19)&lt;MAX($P$708*($B780+IF($R$17="Distrato",$I$38-1,0)),IF(AND($L$711=0,$P$708=0),"",$L$711-1),IF($R$17="Distrato",$E780,0))),0,YEARFRAC(MAX($P$708*($B780+IF($R$17="Distrato",$I$38-1,0)),IF(AND($L$711=0,$P$708=0),"",$L$711-1),IF($R$17="Distrato",$E780,0)),MIN(Y$38,$D$19),$P$20))-SUM($P780:X780)</f>
        <v>#VALUE!</v>
      </c>
      <c r="Z780" s="446" t="e">
        <f>IF(OR($B780="",MIN(Z$38,$D$19)&lt;MAX($P$708*($B780+IF($R$17="Distrato",$I$38-1,0)),IF(AND($L$711=0,$P$708=0),"",$L$711-1),IF($R$17="Distrato",$E780,0))),0,YEARFRAC(MAX($P$708*($B780+IF($R$17="Distrato",$I$38-1,0)),IF(AND($L$711=0,$P$708=0),"",$L$711-1),IF($R$17="Distrato",$E780,0)),MIN(Z$38,$D$19),$P$20))-SUM($P780:Y780)</f>
        <v>#VALUE!</v>
      </c>
      <c r="AA780" s="446" t="e">
        <f>IF(OR($B780="",MIN(AA$38,$D$19)&lt;MAX($P$708*($B780+IF($R$17="Distrato",$I$38-1,0)),IF(AND($L$711=0,$P$708=0),"",$L$711-1),IF($R$17="Distrato",$E780,0))),0,YEARFRAC(MAX($P$708*($B780+IF($R$17="Distrato",$I$38-1,0)),IF(AND($L$711=0,$P$708=0),"",$L$711-1),IF($R$17="Distrato",$E780,0)),MIN(AA$38,$D$19),$P$20))-SUM($P780:Z780)</f>
        <v>#VALUE!</v>
      </c>
      <c r="AB780" s="446" t="e">
        <f>IF(OR($B780="",MIN(AB$38,$D$19)&lt;MAX($P$708*($B780+IF($R$17="Distrato",$I$38-1,0)),IF(AND($L$711=0,$P$708=0),"",$L$711-1),IF($R$17="Distrato",$E780,0))),0,YEARFRAC(MAX($P$708*($B780+IF($R$17="Distrato",$I$38-1,0)),IF(AND($L$711=0,$P$708=0),"",$L$711-1),IF($R$17="Distrato",$E780,0)),MIN(AB$38,$D$19),$P$20))-SUM($P780:AA780)</f>
        <v>#VALUE!</v>
      </c>
      <c r="AC780" s="446" t="e">
        <f>IF(OR($B780="",MIN(AC$38,$D$19)&lt;MAX($P$708*($B780+IF($R$17="Distrato",$I$38-1,0)),IF(AND($L$711=0,$P$708=0),"",$L$711-1),IF($R$17="Distrato",$E780,0))),0,YEARFRAC(MAX($P$708*($B780+IF($R$17="Distrato",$I$38-1,0)),IF(AND($L$711=0,$P$708=0),"",$L$711-1),IF($R$17="Distrato",$E780,0)),MIN(AC$38,$D$19),$P$20))-SUM($P780:AB780)</f>
        <v>#VALUE!</v>
      </c>
      <c r="AD780" s="446" t="e">
        <f>IF(OR($B780="",MIN(AD$38,$D$19)&lt;MAX($P$708*($B780+IF($R$17="Distrato",$I$38-1,0)),IF(AND($L$711=0,$P$708=0),"",$L$711-1),IF($R$17="Distrato",$E780,0))),0,YEARFRAC(MAX($P$708*($B780+IF($R$17="Distrato",$I$38-1,0)),IF(AND($L$711=0,$P$708=0),"",$L$711-1),IF($R$17="Distrato",$E780,0)),MIN(AD$38,$D$19),$P$20))-SUM($P780:AC780)</f>
        <v>#VALUE!</v>
      </c>
      <c r="AE780" s="446" t="e">
        <f>IF(OR($B780="",MIN(AE$38,$D$19)&lt;MAX($P$708*($B780+IF($R$17="Distrato",$I$38-1,0)),IF(AND($L$711=0,$P$708=0),"",$L$711-1),IF($R$17="Distrato",$E780,0))),0,YEARFRAC(MAX($P$708*($B780+IF($R$17="Distrato",$I$38-1,0)),IF(AND($L$711=0,$P$708=0),"",$L$711-1),IF($R$17="Distrato",$E780,0)),MIN(AE$38,$D$19),$P$20))-SUM($P780:AD780)</f>
        <v>#VALUE!</v>
      </c>
      <c r="AF780" s="446" t="e">
        <f>IF(OR($B780="",MIN(AF$38,$D$19)&lt;MAX($P$708*($B780+IF($R$17="Distrato",$I$38-1,0)),IF(AND($L$711=0,$P$708=0),"",$L$711-1),IF($R$17="Distrato",$E780,0))),0,YEARFRAC(MAX($P$708*($B780+IF($R$17="Distrato",$I$38-1,0)),IF(AND($L$711=0,$P$708=0),"",$L$711-1),IF($R$17="Distrato",$E780,0)),MIN(AF$38,$D$19),$P$20))-SUM($P780:AE780)</f>
        <v>#VALUE!</v>
      </c>
      <c r="AG780" s="446" t="e">
        <f>IF(OR($B780="",MIN(AG$38,$D$19)&lt;MAX($P$708*($B780+IF($R$17="Distrato",$I$38-1,0)),IF(AND($L$711=0,$P$708=0),"",$L$711-1),IF($R$17="Distrato",$E780,0))),0,YEARFRAC(MAX($P$708*($B780+IF($R$17="Distrato",$I$38-1,0)),IF(AND($L$711=0,$P$708=0),"",$L$711-1),IF($R$17="Distrato",$E780,0)),MIN(AG$38,$D$19),$P$20))-SUM($P780:AF780)</f>
        <v>#VALUE!</v>
      </c>
      <c r="AH780" s="446" t="e">
        <f>IF(OR($B780="",MIN(AH$38,$D$19)&lt;MAX($P$708*($B780+IF($R$17="Distrato",$I$38-1,0)),IF(AND($L$711=0,$P$708=0),"",$L$711-1),IF($R$17="Distrato",$E780,0))),0,YEARFRAC(MAX($P$708*($B780+IF($R$17="Distrato",$I$38-1,0)),IF(AND($L$711=0,$P$708=0),"",$L$711-1),IF($R$17="Distrato",$E780,0)),MIN(AH$38,$D$19),$P$20))-SUM($P780:AG780)</f>
        <v>#VALUE!</v>
      </c>
      <c r="AI780" s="446" t="e">
        <f>IF(OR($B780="",MIN(AI$38,$D$19)&lt;MAX($P$708*($B780+IF($R$17="Distrato",$I$38-1,0)),IF(AND($L$711=0,$P$708=0),"",$L$711-1),IF($R$17="Distrato",$E780,0))),0,YEARFRAC(MAX($P$708*($B780+IF($R$17="Distrato",$I$38-1,0)),IF(AND($L$711=0,$P$708=0),"",$L$711-1),IF($R$17="Distrato",$E780,0)),MIN(AI$38,$D$19),$P$20))-SUM($P780:AH780)</f>
        <v>#VALUE!</v>
      </c>
      <c r="AJ780" s="446" t="e">
        <f>IF(OR($B780="",MIN(AJ$38,$D$19)&lt;MAX($P$708*($B780+IF($R$17="Distrato",$I$38-1,0)),IF(AND($L$711=0,$P$708=0),"",$L$711-1),IF($R$17="Distrato",$E780,0))),0,YEARFRAC(MAX($P$708*($B780+IF($R$17="Distrato",$I$38-1,0)),IF(AND($L$711=0,$P$708=0),"",$L$711-1),IF($R$17="Distrato",$E780,0)),MIN(AJ$38,$D$19),$P$20))-SUM($P780:AI780)</f>
        <v>#VALUE!</v>
      </c>
      <c r="AK780" s="446" t="e">
        <f>IF(OR($B780="",MIN(AK$38,$D$19)&lt;MAX($P$708*($B780+IF($R$17="Distrato",$I$38-1,0)),IF(AND($L$711=0,$P$708=0),"",$L$711-1),IF($R$17="Distrato",$E780,0))),0,YEARFRAC(MAX($P$708*($B780+IF($R$17="Distrato",$I$38-1,0)),IF(AND($L$711=0,$P$708=0),"",$L$711-1),IF($R$17="Distrato",$E780,0)),MIN(AK$38,$D$19),$P$20))-SUM($P780:AJ780)</f>
        <v>#VALUE!</v>
      </c>
      <c r="AL780" s="446" t="e">
        <f>IF(OR($B780="",MIN(AL$38,$D$19)&lt;MAX($P$708*($B780+IF($R$17="Distrato",$I$38-1,0)),IF(AND($L$711=0,$P$708=0),"",$L$711-1),IF($R$17="Distrato",$E780,0))),0,YEARFRAC(MAX($P$708*($B780+IF($R$17="Distrato",$I$38-1,0)),IF(AND($L$711=0,$P$708=0),"",$L$711-1),IF($R$17="Distrato",$E780,0)),MIN(AL$38,$D$19),$P$20))-SUM($P780:AK780)</f>
        <v>#VALUE!</v>
      </c>
      <c r="AM780" s="446" t="e">
        <f>IF(OR($B780="",MIN(AM$38,$D$19)&lt;MAX($P$708*($B780+IF($R$17="Distrato",$I$38-1,0)),IF(AND($L$711=0,$P$708=0),"",$L$711-1),IF($R$17="Distrato",$E780,0))),0,YEARFRAC(MAX($P$708*($B780+IF($R$17="Distrato",$I$38-1,0)),IF(AND($L$711=0,$P$708=0),"",$L$711-1),IF($R$17="Distrato",$E780,0)),MIN(AM$38,$D$19),$P$20))-SUM($P780:AL780)</f>
        <v>#VALUE!</v>
      </c>
      <c r="AN780" s="446" t="e">
        <f>IF(OR($B780="",MIN(AN$38,$D$19)&lt;MAX($P$708*($B780+IF($R$17="Distrato",$I$38-1,0)),IF(AND($L$711=0,$P$708=0),"",$L$711-1),IF($R$17="Distrato",$E780,0))),0,YEARFRAC(MAX($P$708*($B780+IF($R$17="Distrato",$I$38-1,0)),IF(AND($L$711=0,$P$708=0),"",$L$711-1),IF($R$17="Distrato",$E780,0)),MIN(AN$38,$D$19),$P$20))-SUM($P780:AM780)</f>
        <v>#VALUE!</v>
      </c>
      <c r="AO780" s="446" t="e">
        <f>IF(OR($B780="",MIN(AO$38,$D$19)&lt;MAX($P$708*($B780+IF($R$17="Distrato",$I$38-1,0)),IF(AND($L$711=0,$P$708=0),"",$L$711-1),IF($R$17="Distrato",$E780,0))),0,YEARFRAC(MAX($P$708*($B780+IF($R$17="Distrato",$I$38-1,0)),IF(AND($L$711=0,$P$708=0),"",$L$711-1),IF($R$17="Distrato",$E780,0)),MIN(AO$38,$D$19),$P$20))-SUM($P780:AN780)</f>
        <v>#VALUE!</v>
      </c>
      <c r="AP780" s="446" t="e">
        <f>IF(OR($B780="",MIN(AP$38,$D$19)&lt;MAX($P$708*($B780+IF($R$17="Distrato",$I$38-1,0)),IF(AND($L$711=0,$P$708=0),"",$L$711-1),IF($R$17="Distrato",$E780,0))),0,YEARFRAC(MAX($P$708*($B780+IF($R$17="Distrato",$I$38-1,0)),IF(AND($L$711=0,$P$708=0),"",$L$711-1),IF($R$17="Distrato",$E780,0)),MIN(AP$38,$D$19),$P$20))-SUM($P780:AO780)</f>
        <v>#VALUE!</v>
      </c>
      <c r="AQ780" s="446" t="e">
        <f>IF(OR($B780="",MIN(AQ$38,$D$19)&lt;MAX($P$708*($B780+IF($R$17="Distrato",$I$38-1,0)),IF(AND($L$711=0,$P$708=0),"",$L$711-1),IF($R$17="Distrato",$E780,0))),0,YEARFRAC(MAX($P$708*($B780+IF($R$17="Distrato",$I$38-1,0)),IF(AND($L$711=0,$P$708=0),"",$L$711-1),IF($R$17="Distrato",$E780,0)),MIN(AQ$38,$D$19),$P$20))-SUM($P780:AP780)</f>
        <v>#VALUE!</v>
      </c>
      <c r="AR780" s="446" t="e">
        <f>IF(OR($B780="",MIN(AR$38,$D$19)&lt;MAX($P$708*($B780+IF($R$17="Distrato",$I$38-1,0)),IF(AND($L$711=0,$P$708=0),"",$L$711-1),IF($R$17="Distrato",$E780,0))),0,YEARFRAC(MAX($P$708*($B780+IF($R$17="Distrato",$I$38-1,0)),IF(AND($L$711=0,$P$708=0),"",$L$711-1),IF($R$17="Distrato",$E780,0)),MIN(AR$38,$D$19),$P$20))-SUM($P780:AQ780)</f>
        <v>#VALUE!</v>
      </c>
      <c r="AS780" s="446" t="e">
        <f>IF(OR($B780="",MIN(AS$38,$D$19)&lt;MAX($P$708*($B780+IF($R$17="Distrato",$I$38-1,0)),IF(AND($L$711=0,$P$708=0),"",$L$711-1),IF($R$17="Distrato",$E780,0))),0,YEARFRAC(MAX($P$708*($B780+IF($R$17="Distrato",$I$38-1,0)),IF(AND($L$711=0,$P$708=0),"",$L$711-1),IF($R$17="Distrato",$E780,0)),MIN(AS$38,$D$19),$P$20))-SUM($P780:AR780)</f>
        <v>#VALUE!</v>
      </c>
      <c r="AT780" s="446" t="e">
        <f>IF(OR($B780="",MIN(AT$38,$D$19)&lt;MAX($P$708*($B780+IF($R$17="Distrato",$I$38-1,0)),IF(AND($L$711=0,$P$708=0),"",$L$711-1),IF($R$17="Distrato",$E780,0))),0,YEARFRAC(MAX($P$708*($B780+IF($R$17="Distrato",$I$38-1,0)),IF(AND($L$711=0,$P$708=0),"",$L$711-1),IF($R$17="Distrato",$E780,0)),MIN(AT$38,$D$19),$P$20))-SUM($P780:AS780)</f>
        <v>#VALUE!</v>
      </c>
      <c r="AU780" s="446" t="e">
        <f>IF(OR($B780="",MIN(AU$38,$D$19)&lt;MAX($P$708*($B780+IF($R$17="Distrato",$I$38-1,0)),IF(AND($L$711=0,$P$708=0),"",$L$711-1),IF($R$17="Distrato",$E780,0))),0,YEARFRAC(MAX($P$708*($B780+IF($R$17="Distrato",$I$38-1,0)),IF(AND($L$711=0,$P$708=0),"",$L$711-1),IF($R$17="Distrato",$E780,0)),MIN(AU$38,$D$19),$P$20))-SUM($P780:AT780)</f>
        <v>#VALUE!</v>
      </c>
      <c r="AV780" s="446" t="e">
        <f>IF(OR($B780="",MIN(AV$38,$D$19)&lt;MAX($P$708*($B780+IF($R$17="Distrato",$I$38-1,0)),IF(AND($L$711=0,$P$708=0),"",$L$711-1),IF($R$17="Distrato",$E780,0))),0,YEARFRAC(MAX($P$708*($B780+IF($R$17="Distrato",$I$38-1,0)),IF(AND($L$711=0,$P$708=0),"",$L$711-1),IF($R$17="Distrato",$E780,0)),MIN(AV$38,$D$19),$P$20))-SUM($P780:AU780)</f>
        <v>#VALUE!</v>
      </c>
      <c r="AW780" s="446" t="e">
        <f>IF(OR($B780="",MIN(AW$38,$D$19)&lt;MAX($P$708*($B780+IF($R$17="Distrato",$I$38-1,0)),IF(AND($L$711=0,$P$708=0),"",$L$711-1),IF($R$17="Distrato",$E780,0))),0,YEARFRAC(MAX($P$708*($B780+IF($R$17="Distrato",$I$38-1,0)),IF(AND($L$711=0,$P$708=0),"",$L$711-1),IF($R$17="Distrato",$E780,0)),MIN(AW$38,$D$19),$P$20))-SUM($P780:AV780)</f>
        <v>#VALUE!</v>
      </c>
      <c r="AX780" s="446" t="e">
        <f>IF(OR($B780="",MIN(AX$38,$D$19)&lt;MAX($P$708*($B780+IF($R$17="Distrato",$I$38-1,0)),IF(AND($L$711=0,$P$708=0),"",$L$711-1),IF($R$17="Distrato",$E780,0))),0,YEARFRAC(MAX($P$708*($B780+IF($R$17="Distrato",$I$38-1,0)),IF(AND($L$711=0,$P$708=0),"",$L$711-1),IF($R$17="Distrato",$E780,0)),MIN(AX$38,$D$19),$P$20))-SUM($P780:AW780)</f>
        <v>#VALUE!</v>
      </c>
      <c r="AY780" s="446" t="e">
        <f>IF(OR($B780="",MIN(AY$38,$D$19)&lt;MAX($P$708*($B780+IF($R$17="Distrato",$I$38-1,0)),IF(AND($L$711=0,$P$708=0),"",$L$711-1),IF($R$17="Distrato",$E780,0))),0,YEARFRAC(MAX($P$708*($B780+IF($R$17="Distrato",$I$38-1,0)),IF(AND($L$711=0,$P$708=0),"",$L$711-1),IF($R$17="Distrato",$E780,0)),MIN(AY$38,$D$19),$P$20))-SUM($P780:AX780)</f>
        <v>#VALUE!</v>
      </c>
      <c r="AZ780" s="446" t="e">
        <f>IF(OR($B780="",MIN(AZ$38,$D$19)&lt;MAX($P$708*($B780+IF($R$17="Distrato",$I$38-1,0)),IF(AND($L$711=0,$P$708=0),"",$L$711-1),IF($R$17="Distrato",$E780,0))),0,YEARFRAC(MAX($P$708*($B780+IF($R$17="Distrato",$I$38-1,0)),IF(AND($L$711=0,$P$708=0),"",$L$711-1),IF($R$17="Distrato",$E780,0)),MIN(AZ$38,$D$19),$P$20))-SUM($P780:AY780)</f>
        <v>#VALUE!</v>
      </c>
      <c r="BA780" s="446" t="e">
        <f>IF(OR($B780="",MIN(BA$38,$D$19)&lt;MAX($P$708*($B780+IF($R$17="Distrato",$I$38-1,0)),IF(AND($L$711=0,$P$708=0),"",$L$711-1),IF($R$17="Distrato",$E780,0))),0,YEARFRAC(MAX($P$708*($B780+IF($R$17="Distrato",$I$38-1,0)),IF(AND($L$711=0,$P$708=0),"",$L$711-1),IF($R$17="Distrato",$E780,0)),MIN(BA$38,$D$19),$P$20))-SUM($P780:AZ780)</f>
        <v>#VALUE!</v>
      </c>
      <c r="BB780" s="447"/>
    </row>
    <row r="781" spans="1:54" s="446" customFormat="1" ht="11.25" hidden="1" customHeight="1" x14ac:dyDescent="0.2">
      <c r="A781" s="235"/>
      <c r="B781" s="236"/>
      <c r="C781" s="29" t="str">
        <f>IF(B781="","",IF($L$709=$BL$25,VLOOKUP(DATE(YEAR($D$19),MONTH($D$19)-1,1),ÍNDICES!$A:$DE,HLOOKUP($BL$25,ÍNDICES!$B$3:$T$4,2)+11)-VLOOKUP(B781,ÍNDICES!$A:$DE,HLOOKUP($BL$25,ÍNDICES!$B$3:$T$4,2)+11)+1%,IF(C$712=$W$26,$J$35,IF(ISERROR(IF(B781&gt;$D$19,1,VLOOKUP(DATE(YEAR(B781),MONTH(B781)+IF($C$709=$S$23,1,0),1),ÍNDICES!$A:$DE,$Z$709+1))),"",IF(B781&gt;$D$19,1,VLOOKUP(DATE(YEAR(B781),MONTH(B781)+IF($C$709=$S$23,1,0),1),ÍNDICES!$A:$DE,$Z$709+1))))))</f>
        <v/>
      </c>
      <c r="D781" s="155"/>
      <c r="E781" s="88"/>
      <c r="F781" s="88"/>
      <c r="G781" s="88"/>
      <c r="H781" s="118"/>
      <c r="I781" s="182">
        <f t="shared" si="122"/>
        <v>0</v>
      </c>
      <c r="J781" s="20">
        <f t="shared" ca="1" si="123"/>
        <v>0</v>
      </c>
      <c r="K781" s="5">
        <f t="shared" ca="1" si="124"/>
        <v>0</v>
      </c>
      <c r="L781" s="61">
        <f t="shared" ca="1" si="125"/>
        <v>0</v>
      </c>
      <c r="M781" s="64">
        <f t="shared" si="126"/>
        <v>0</v>
      </c>
      <c r="N781" s="151"/>
      <c r="O781" s="5">
        <f t="shared" ca="1" si="127"/>
        <v>0</v>
      </c>
      <c r="P781" s="446" t="e">
        <f t="shared" si="128"/>
        <v>#VALUE!</v>
      </c>
      <c r="Q781" s="446" t="e">
        <f>IF(OR($B781="",MIN(Q$38,$D$19)&lt;MAX($P$708*($B781+IF($R$17="Distrato",$I$38-1,0)),IF(AND($L$711=0,$P$708=0),"",$L$711-1),IF($R$17="Distrato",$E781,0))),0,YEARFRAC(MAX($P$708*($B781+IF($R$17="Distrato",$I$38-1,0)),IF(AND($L$711=0,$P$708=0),"",$L$711-1),IF($R$17="Distrato",$E781,0)),MIN(Q$38,$D$19),$P$20))-SUM($P781:P781)</f>
        <v>#VALUE!</v>
      </c>
      <c r="R781" s="446" t="e">
        <f>IF(OR($B781="",MIN(R$38,$D$19)&lt;MAX($P$708*($B781+IF($R$17="Distrato",$I$38-1,0)),IF(AND($L$711=0,$P$708=0),"",$L$711-1),IF($R$17="Distrato",$E781,0))),0,YEARFRAC(MAX($P$708*($B781+IF($R$17="Distrato",$I$38-1,0)),IF(AND($L$711=0,$P$708=0),"",$L$711-1),IF($R$17="Distrato",$E781,0)),MIN(R$38,$D$19),$P$20))-SUM($P781:Q781)</f>
        <v>#VALUE!</v>
      </c>
      <c r="S781" s="446" t="e">
        <f>IF(OR($B781="",MIN(S$38,$D$19)&lt;MAX($P$708*($B781+IF($R$17="Distrato",$I$38-1,0)),IF(AND($L$711=0,$P$708=0),"",$L$711-1),IF($R$17="Distrato",$E781,0))),0,YEARFRAC(MAX($P$708*($B781+IF($R$17="Distrato",$I$38-1,0)),IF(AND($L$711=0,$P$708=0),"",$L$711-1),IF($R$17="Distrato",$E781,0)),MIN(S$38,$D$19),$P$20))-SUM($P781:R781)</f>
        <v>#VALUE!</v>
      </c>
      <c r="T781" s="446" t="e">
        <f>IF(OR($B781="",MIN(T$38,$D$19)&lt;MAX($P$708*($B781+IF($R$17="Distrato",$I$38-1,0)),IF(AND($L$711=0,$P$708=0),"",$L$711-1),IF($R$17="Distrato",$E781,0))),0,YEARFRAC(MAX($P$708*($B781+IF($R$17="Distrato",$I$38-1,0)),IF(AND($L$711=0,$P$708=0),"",$L$711-1),IF($R$17="Distrato",$E781,0)),MIN(T$38,$D$19),$P$20))-SUM($P781:S781)</f>
        <v>#VALUE!</v>
      </c>
      <c r="U781" s="446" t="e">
        <f>IF(OR($B781="",MIN(U$38,$D$19)&lt;MAX($P$708*($B781+IF($R$17="Distrato",$I$38-1,0)),IF(AND($L$711=0,$P$708=0),"",$L$711-1),IF($R$17="Distrato",$E781,0))),0,YEARFRAC(MAX($P$708*($B781+IF($R$17="Distrato",$I$38-1,0)),IF(AND($L$711=0,$P$708=0),"",$L$711-1),IF($R$17="Distrato",$E781,0)),MIN(U$38,$D$19),$P$20))-SUM($P781:T781)</f>
        <v>#VALUE!</v>
      </c>
      <c r="V781" s="446" t="e">
        <f>IF(OR($B781="",MIN(V$38,$D$19)&lt;MAX($P$708*($B781+IF($R$17="Distrato",$I$38-1,0)),IF(AND($L$711=0,$P$708=0),"",$L$711-1),IF($R$17="Distrato",$E781,0))),0,YEARFRAC(MAX($P$708*($B781+IF($R$17="Distrato",$I$38-1,0)),IF(AND($L$711=0,$P$708=0),"",$L$711-1),IF($R$17="Distrato",$E781,0)),MIN(V$38,$D$19),$P$20))-SUM($P781:U781)</f>
        <v>#VALUE!</v>
      </c>
      <c r="W781" s="446" t="e">
        <f>IF(OR($B781="",MIN(W$38,$D$19)&lt;MAX($P$708*($B781+IF($R$17="Distrato",$I$38-1,0)),IF(AND($L$711=0,$P$708=0),"",$L$711-1),IF($R$17="Distrato",$E781,0))),0,YEARFRAC(MAX($P$708*($B781+IF($R$17="Distrato",$I$38-1,0)),IF(AND($L$711=0,$P$708=0),"",$L$711-1),IF($R$17="Distrato",$E781,0)),MIN(W$38,$D$19),$P$20))-SUM($P781:V781)</f>
        <v>#VALUE!</v>
      </c>
      <c r="X781" s="446" t="e">
        <f>IF(OR($B781="",MIN(X$38,$D$19)&lt;MAX($P$708*($B781+IF($R$17="Distrato",$I$38-1,0)),IF(AND($L$711=0,$P$708=0),"",$L$711-1),IF($R$17="Distrato",$E781,0))),0,YEARFRAC(MAX($P$708*($B781+IF($R$17="Distrato",$I$38-1,0)),IF(AND($L$711=0,$P$708=0),"",$L$711-1),IF($R$17="Distrato",$E781,0)),MIN(X$38,$D$19),$P$20))-SUM($P781:W781)</f>
        <v>#VALUE!</v>
      </c>
      <c r="Y781" s="446" t="e">
        <f>IF(OR($B781="",MIN(Y$38,$D$19)&lt;MAX($P$708*($B781+IF($R$17="Distrato",$I$38-1,0)),IF(AND($L$711=0,$P$708=0),"",$L$711-1),IF($R$17="Distrato",$E781,0))),0,YEARFRAC(MAX($P$708*($B781+IF($R$17="Distrato",$I$38-1,0)),IF(AND($L$711=0,$P$708=0),"",$L$711-1),IF($R$17="Distrato",$E781,0)),MIN(Y$38,$D$19),$P$20))-SUM($P781:X781)</f>
        <v>#VALUE!</v>
      </c>
      <c r="Z781" s="446" t="e">
        <f>IF(OR($B781="",MIN(Z$38,$D$19)&lt;MAX($P$708*($B781+IF($R$17="Distrato",$I$38-1,0)),IF(AND($L$711=0,$P$708=0),"",$L$711-1),IF($R$17="Distrato",$E781,0))),0,YEARFRAC(MAX($P$708*($B781+IF($R$17="Distrato",$I$38-1,0)),IF(AND($L$711=0,$P$708=0),"",$L$711-1),IF($R$17="Distrato",$E781,0)),MIN(Z$38,$D$19),$P$20))-SUM($P781:Y781)</f>
        <v>#VALUE!</v>
      </c>
      <c r="AA781" s="446" t="e">
        <f>IF(OR($B781="",MIN(AA$38,$D$19)&lt;MAX($P$708*($B781+IF($R$17="Distrato",$I$38-1,0)),IF(AND($L$711=0,$P$708=0),"",$L$711-1),IF($R$17="Distrato",$E781,0))),0,YEARFRAC(MAX($P$708*($B781+IF($R$17="Distrato",$I$38-1,0)),IF(AND($L$711=0,$P$708=0),"",$L$711-1),IF($R$17="Distrato",$E781,0)),MIN(AA$38,$D$19),$P$20))-SUM($P781:Z781)</f>
        <v>#VALUE!</v>
      </c>
      <c r="AB781" s="446" t="e">
        <f>IF(OR($B781="",MIN(AB$38,$D$19)&lt;MAX($P$708*($B781+IF($R$17="Distrato",$I$38-1,0)),IF(AND($L$711=0,$P$708=0),"",$L$711-1),IF($R$17="Distrato",$E781,0))),0,YEARFRAC(MAX($P$708*($B781+IF($R$17="Distrato",$I$38-1,0)),IF(AND($L$711=0,$P$708=0),"",$L$711-1),IF($R$17="Distrato",$E781,0)),MIN(AB$38,$D$19),$P$20))-SUM($P781:AA781)</f>
        <v>#VALUE!</v>
      </c>
      <c r="AC781" s="446" t="e">
        <f>IF(OR($B781="",MIN(AC$38,$D$19)&lt;MAX($P$708*($B781+IF($R$17="Distrato",$I$38-1,0)),IF(AND($L$711=0,$P$708=0),"",$L$711-1),IF($R$17="Distrato",$E781,0))),0,YEARFRAC(MAX($P$708*($B781+IF($R$17="Distrato",$I$38-1,0)),IF(AND($L$711=0,$P$708=0),"",$L$711-1),IF($R$17="Distrato",$E781,0)),MIN(AC$38,$D$19),$P$20))-SUM($P781:AB781)</f>
        <v>#VALUE!</v>
      </c>
      <c r="AD781" s="446" t="e">
        <f>IF(OR($B781="",MIN(AD$38,$D$19)&lt;MAX($P$708*($B781+IF($R$17="Distrato",$I$38-1,0)),IF(AND($L$711=0,$P$708=0),"",$L$711-1),IF($R$17="Distrato",$E781,0))),0,YEARFRAC(MAX($P$708*($B781+IF($R$17="Distrato",$I$38-1,0)),IF(AND($L$711=0,$P$708=0),"",$L$711-1),IF($R$17="Distrato",$E781,0)),MIN(AD$38,$D$19),$P$20))-SUM($P781:AC781)</f>
        <v>#VALUE!</v>
      </c>
      <c r="AE781" s="446" t="e">
        <f>IF(OR($B781="",MIN(AE$38,$D$19)&lt;MAX($P$708*($B781+IF($R$17="Distrato",$I$38-1,0)),IF(AND($L$711=0,$P$708=0),"",$L$711-1),IF($R$17="Distrato",$E781,0))),0,YEARFRAC(MAX($P$708*($B781+IF($R$17="Distrato",$I$38-1,0)),IF(AND($L$711=0,$P$708=0),"",$L$711-1),IF($R$17="Distrato",$E781,0)),MIN(AE$38,$D$19),$P$20))-SUM($P781:AD781)</f>
        <v>#VALUE!</v>
      </c>
      <c r="AF781" s="446" t="e">
        <f>IF(OR($B781="",MIN(AF$38,$D$19)&lt;MAX($P$708*($B781+IF($R$17="Distrato",$I$38-1,0)),IF(AND($L$711=0,$P$708=0),"",$L$711-1),IF($R$17="Distrato",$E781,0))),0,YEARFRAC(MAX($P$708*($B781+IF($R$17="Distrato",$I$38-1,0)),IF(AND($L$711=0,$P$708=0),"",$L$711-1),IF($R$17="Distrato",$E781,0)),MIN(AF$38,$D$19),$P$20))-SUM($P781:AE781)</f>
        <v>#VALUE!</v>
      </c>
      <c r="AG781" s="446" t="e">
        <f>IF(OR($B781="",MIN(AG$38,$D$19)&lt;MAX($P$708*($B781+IF($R$17="Distrato",$I$38-1,0)),IF(AND($L$711=0,$P$708=0),"",$L$711-1),IF($R$17="Distrato",$E781,0))),0,YEARFRAC(MAX($P$708*($B781+IF($R$17="Distrato",$I$38-1,0)),IF(AND($L$711=0,$P$708=0),"",$L$711-1),IF($R$17="Distrato",$E781,0)),MIN(AG$38,$D$19),$P$20))-SUM($P781:AF781)</f>
        <v>#VALUE!</v>
      </c>
      <c r="AH781" s="446" t="e">
        <f>IF(OR($B781="",MIN(AH$38,$D$19)&lt;MAX($P$708*($B781+IF($R$17="Distrato",$I$38-1,0)),IF(AND($L$711=0,$P$708=0),"",$L$711-1),IF($R$17="Distrato",$E781,0))),0,YEARFRAC(MAX($P$708*($B781+IF($R$17="Distrato",$I$38-1,0)),IF(AND($L$711=0,$P$708=0),"",$L$711-1),IF($R$17="Distrato",$E781,0)),MIN(AH$38,$D$19),$P$20))-SUM($P781:AG781)</f>
        <v>#VALUE!</v>
      </c>
      <c r="AI781" s="446" t="e">
        <f>IF(OR($B781="",MIN(AI$38,$D$19)&lt;MAX($P$708*($B781+IF($R$17="Distrato",$I$38-1,0)),IF(AND($L$711=0,$P$708=0),"",$L$711-1),IF($R$17="Distrato",$E781,0))),0,YEARFRAC(MAX($P$708*($B781+IF($R$17="Distrato",$I$38-1,0)),IF(AND($L$711=0,$P$708=0),"",$L$711-1),IF($R$17="Distrato",$E781,0)),MIN(AI$38,$D$19),$P$20))-SUM($P781:AH781)</f>
        <v>#VALUE!</v>
      </c>
      <c r="AJ781" s="446" t="e">
        <f>IF(OR($B781="",MIN(AJ$38,$D$19)&lt;MAX($P$708*($B781+IF($R$17="Distrato",$I$38-1,0)),IF(AND($L$711=0,$P$708=0),"",$L$711-1),IF($R$17="Distrato",$E781,0))),0,YEARFRAC(MAX($P$708*($B781+IF($R$17="Distrato",$I$38-1,0)),IF(AND($L$711=0,$P$708=0),"",$L$711-1),IF($R$17="Distrato",$E781,0)),MIN(AJ$38,$D$19),$P$20))-SUM($P781:AI781)</f>
        <v>#VALUE!</v>
      </c>
      <c r="AK781" s="446" t="e">
        <f>IF(OR($B781="",MIN(AK$38,$D$19)&lt;MAX($P$708*($B781+IF($R$17="Distrato",$I$38-1,0)),IF(AND($L$711=0,$P$708=0),"",$L$711-1),IF($R$17="Distrato",$E781,0))),0,YEARFRAC(MAX($P$708*($B781+IF($R$17="Distrato",$I$38-1,0)),IF(AND($L$711=0,$P$708=0),"",$L$711-1),IF($R$17="Distrato",$E781,0)),MIN(AK$38,$D$19),$P$20))-SUM($P781:AJ781)</f>
        <v>#VALUE!</v>
      </c>
      <c r="AL781" s="446" t="e">
        <f>IF(OR($B781="",MIN(AL$38,$D$19)&lt;MAX($P$708*($B781+IF($R$17="Distrato",$I$38-1,0)),IF(AND($L$711=0,$P$708=0),"",$L$711-1),IF($R$17="Distrato",$E781,0))),0,YEARFRAC(MAX($P$708*($B781+IF($R$17="Distrato",$I$38-1,0)),IF(AND($L$711=0,$P$708=0),"",$L$711-1),IF($R$17="Distrato",$E781,0)),MIN(AL$38,$D$19),$P$20))-SUM($P781:AK781)</f>
        <v>#VALUE!</v>
      </c>
      <c r="AM781" s="446" t="e">
        <f>IF(OR($B781="",MIN(AM$38,$D$19)&lt;MAX($P$708*($B781+IF($R$17="Distrato",$I$38-1,0)),IF(AND($L$711=0,$P$708=0),"",$L$711-1),IF($R$17="Distrato",$E781,0))),0,YEARFRAC(MAX($P$708*($B781+IF($R$17="Distrato",$I$38-1,0)),IF(AND($L$711=0,$P$708=0),"",$L$711-1),IF($R$17="Distrato",$E781,0)),MIN(AM$38,$D$19),$P$20))-SUM($P781:AL781)</f>
        <v>#VALUE!</v>
      </c>
      <c r="AN781" s="446" t="e">
        <f>IF(OR($B781="",MIN(AN$38,$D$19)&lt;MAX($P$708*($B781+IF($R$17="Distrato",$I$38-1,0)),IF(AND($L$711=0,$P$708=0),"",$L$711-1),IF($R$17="Distrato",$E781,0))),0,YEARFRAC(MAX($P$708*($B781+IF($R$17="Distrato",$I$38-1,0)),IF(AND($L$711=0,$P$708=0),"",$L$711-1),IF($R$17="Distrato",$E781,0)),MIN(AN$38,$D$19),$P$20))-SUM($P781:AM781)</f>
        <v>#VALUE!</v>
      </c>
      <c r="AO781" s="446" t="e">
        <f>IF(OR($B781="",MIN(AO$38,$D$19)&lt;MAX($P$708*($B781+IF($R$17="Distrato",$I$38-1,0)),IF(AND($L$711=0,$P$708=0),"",$L$711-1),IF($R$17="Distrato",$E781,0))),0,YEARFRAC(MAX($P$708*($B781+IF($R$17="Distrato",$I$38-1,0)),IF(AND($L$711=0,$P$708=0),"",$L$711-1),IF($R$17="Distrato",$E781,0)),MIN(AO$38,$D$19),$P$20))-SUM($P781:AN781)</f>
        <v>#VALUE!</v>
      </c>
      <c r="AP781" s="446" t="e">
        <f>IF(OR($B781="",MIN(AP$38,$D$19)&lt;MAX($P$708*($B781+IF($R$17="Distrato",$I$38-1,0)),IF(AND($L$711=0,$P$708=0),"",$L$711-1),IF($R$17="Distrato",$E781,0))),0,YEARFRAC(MAX($P$708*($B781+IF($R$17="Distrato",$I$38-1,0)),IF(AND($L$711=0,$P$708=0),"",$L$711-1),IF($R$17="Distrato",$E781,0)),MIN(AP$38,$D$19),$P$20))-SUM($P781:AO781)</f>
        <v>#VALUE!</v>
      </c>
      <c r="AQ781" s="446" t="e">
        <f>IF(OR($B781="",MIN(AQ$38,$D$19)&lt;MAX($P$708*($B781+IF($R$17="Distrato",$I$38-1,0)),IF(AND($L$711=0,$P$708=0),"",$L$711-1),IF($R$17="Distrato",$E781,0))),0,YEARFRAC(MAX($P$708*($B781+IF($R$17="Distrato",$I$38-1,0)),IF(AND($L$711=0,$P$708=0),"",$L$711-1),IF($R$17="Distrato",$E781,0)),MIN(AQ$38,$D$19),$P$20))-SUM($P781:AP781)</f>
        <v>#VALUE!</v>
      </c>
      <c r="AR781" s="446" t="e">
        <f>IF(OR($B781="",MIN(AR$38,$D$19)&lt;MAX($P$708*($B781+IF($R$17="Distrato",$I$38-1,0)),IF(AND($L$711=0,$P$708=0),"",$L$711-1),IF($R$17="Distrato",$E781,0))),0,YEARFRAC(MAX($P$708*($B781+IF($R$17="Distrato",$I$38-1,0)),IF(AND($L$711=0,$P$708=0),"",$L$711-1),IF($R$17="Distrato",$E781,0)),MIN(AR$38,$D$19),$P$20))-SUM($P781:AQ781)</f>
        <v>#VALUE!</v>
      </c>
      <c r="AS781" s="446" t="e">
        <f>IF(OR($B781="",MIN(AS$38,$D$19)&lt;MAX($P$708*($B781+IF($R$17="Distrato",$I$38-1,0)),IF(AND($L$711=0,$P$708=0),"",$L$711-1),IF($R$17="Distrato",$E781,0))),0,YEARFRAC(MAX($P$708*($B781+IF($R$17="Distrato",$I$38-1,0)),IF(AND($L$711=0,$P$708=0),"",$L$711-1),IF($R$17="Distrato",$E781,0)),MIN(AS$38,$D$19),$P$20))-SUM($P781:AR781)</f>
        <v>#VALUE!</v>
      </c>
      <c r="AT781" s="446" t="e">
        <f>IF(OR($B781="",MIN(AT$38,$D$19)&lt;MAX($P$708*($B781+IF($R$17="Distrato",$I$38-1,0)),IF(AND($L$711=0,$P$708=0),"",$L$711-1),IF($R$17="Distrato",$E781,0))),0,YEARFRAC(MAX($P$708*($B781+IF($R$17="Distrato",$I$38-1,0)),IF(AND($L$711=0,$P$708=0),"",$L$711-1),IF($R$17="Distrato",$E781,0)),MIN(AT$38,$D$19),$P$20))-SUM($P781:AS781)</f>
        <v>#VALUE!</v>
      </c>
      <c r="AU781" s="446" t="e">
        <f>IF(OR($B781="",MIN(AU$38,$D$19)&lt;MAX($P$708*($B781+IF($R$17="Distrato",$I$38-1,0)),IF(AND($L$711=0,$P$708=0),"",$L$711-1),IF($R$17="Distrato",$E781,0))),0,YEARFRAC(MAX($P$708*($B781+IF($R$17="Distrato",$I$38-1,0)),IF(AND($L$711=0,$P$708=0),"",$L$711-1),IF($R$17="Distrato",$E781,0)),MIN(AU$38,$D$19),$P$20))-SUM($P781:AT781)</f>
        <v>#VALUE!</v>
      </c>
      <c r="AV781" s="446" t="e">
        <f>IF(OR($B781="",MIN(AV$38,$D$19)&lt;MAX($P$708*($B781+IF($R$17="Distrato",$I$38-1,0)),IF(AND($L$711=0,$P$708=0),"",$L$711-1),IF($R$17="Distrato",$E781,0))),0,YEARFRAC(MAX($P$708*($B781+IF($R$17="Distrato",$I$38-1,0)),IF(AND($L$711=0,$P$708=0),"",$L$711-1),IF($R$17="Distrato",$E781,0)),MIN(AV$38,$D$19),$P$20))-SUM($P781:AU781)</f>
        <v>#VALUE!</v>
      </c>
      <c r="AW781" s="446" t="e">
        <f>IF(OR($B781="",MIN(AW$38,$D$19)&lt;MAX($P$708*($B781+IF($R$17="Distrato",$I$38-1,0)),IF(AND($L$711=0,$P$708=0),"",$L$711-1),IF($R$17="Distrato",$E781,0))),0,YEARFRAC(MAX($P$708*($B781+IF($R$17="Distrato",$I$38-1,0)),IF(AND($L$711=0,$P$708=0),"",$L$711-1),IF($R$17="Distrato",$E781,0)),MIN(AW$38,$D$19),$P$20))-SUM($P781:AV781)</f>
        <v>#VALUE!</v>
      </c>
      <c r="AX781" s="446" t="e">
        <f>IF(OR($B781="",MIN(AX$38,$D$19)&lt;MAX($P$708*($B781+IF($R$17="Distrato",$I$38-1,0)),IF(AND($L$711=0,$P$708=0),"",$L$711-1),IF($R$17="Distrato",$E781,0))),0,YEARFRAC(MAX($P$708*($B781+IF($R$17="Distrato",$I$38-1,0)),IF(AND($L$711=0,$P$708=0),"",$L$711-1),IF($R$17="Distrato",$E781,0)),MIN(AX$38,$D$19),$P$20))-SUM($P781:AW781)</f>
        <v>#VALUE!</v>
      </c>
      <c r="AY781" s="446" t="e">
        <f>IF(OR($B781="",MIN(AY$38,$D$19)&lt;MAX($P$708*($B781+IF($R$17="Distrato",$I$38-1,0)),IF(AND($L$711=0,$P$708=0),"",$L$711-1),IF($R$17="Distrato",$E781,0))),0,YEARFRAC(MAX($P$708*($B781+IF($R$17="Distrato",$I$38-1,0)),IF(AND($L$711=0,$P$708=0),"",$L$711-1),IF($R$17="Distrato",$E781,0)),MIN(AY$38,$D$19),$P$20))-SUM($P781:AX781)</f>
        <v>#VALUE!</v>
      </c>
      <c r="AZ781" s="446" t="e">
        <f>IF(OR($B781="",MIN(AZ$38,$D$19)&lt;MAX($P$708*($B781+IF($R$17="Distrato",$I$38-1,0)),IF(AND($L$711=0,$P$708=0),"",$L$711-1),IF($R$17="Distrato",$E781,0))),0,YEARFRAC(MAX($P$708*($B781+IF($R$17="Distrato",$I$38-1,0)),IF(AND($L$711=0,$P$708=0),"",$L$711-1),IF($R$17="Distrato",$E781,0)),MIN(AZ$38,$D$19),$P$20))-SUM($P781:AY781)</f>
        <v>#VALUE!</v>
      </c>
      <c r="BA781" s="446" t="e">
        <f>IF(OR($B781="",MIN(BA$38,$D$19)&lt;MAX($P$708*($B781+IF($R$17="Distrato",$I$38-1,0)),IF(AND($L$711=0,$P$708=0),"",$L$711-1),IF($R$17="Distrato",$E781,0))),0,YEARFRAC(MAX($P$708*($B781+IF($R$17="Distrato",$I$38-1,0)),IF(AND($L$711=0,$P$708=0),"",$L$711-1),IF($R$17="Distrato",$E781,0)),MIN(BA$38,$D$19),$P$20))-SUM($P781:AZ781)</f>
        <v>#VALUE!</v>
      </c>
      <c r="BB781" s="447"/>
    </row>
    <row r="782" spans="1:54" s="446" customFormat="1" ht="11.25" hidden="1" customHeight="1" x14ac:dyDescent="0.2">
      <c r="A782" s="235"/>
      <c r="B782" s="236"/>
      <c r="C782" s="29" t="str">
        <f>IF(B782="","",IF($L$709=$BL$25,VLOOKUP(DATE(YEAR($D$19),MONTH($D$19)-1,1),ÍNDICES!$A:$DE,HLOOKUP($BL$25,ÍNDICES!$B$3:$T$4,2)+11)-VLOOKUP(B782,ÍNDICES!$A:$DE,HLOOKUP($BL$25,ÍNDICES!$B$3:$T$4,2)+11)+1%,IF(C$712=$W$26,$J$35,IF(ISERROR(IF(B782&gt;$D$19,1,VLOOKUP(DATE(YEAR(B782),MONTH(B782)+IF($C$709=$S$23,1,0),1),ÍNDICES!$A:$DE,$Z$709+1))),"",IF(B782&gt;$D$19,1,VLOOKUP(DATE(YEAR(B782),MONTH(B782)+IF($C$709=$S$23,1,0),1),ÍNDICES!$A:$DE,$Z$709+1))))))</f>
        <v/>
      </c>
      <c r="D782" s="155"/>
      <c r="E782" s="88"/>
      <c r="F782" s="88"/>
      <c r="G782" s="88"/>
      <c r="H782" s="118"/>
      <c r="I782" s="182">
        <f t="shared" si="122"/>
        <v>0</v>
      </c>
      <c r="J782" s="20">
        <f t="shared" ca="1" si="123"/>
        <v>0</v>
      </c>
      <c r="K782" s="5">
        <f t="shared" ca="1" si="124"/>
        <v>0</v>
      </c>
      <c r="L782" s="61">
        <f t="shared" ca="1" si="125"/>
        <v>0</v>
      </c>
      <c r="M782" s="64">
        <f t="shared" si="126"/>
        <v>0</v>
      </c>
      <c r="N782" s="151"/>
      <c r="O782" s="5">
        <f t="shared" ca="1" si="127"/>
        <v>0</v>
      </c>
      <c r="P782" s="446" t="e">
        <f t="shared" si="128"/>
        <v>#VALUE!</v>
      </c>
      <c r="Q782" s="446" t="e">
        <f>IF(OR($B782="",MIN(Q$38,$D$19)&lt;MAX($P$708*($B782+IF($R$17="Distrato",$I$38-1,0)),IF(AND($L$711=0,$P$708=0),"",$L$711-1),IF($R$17="Distrato",$E782,0))),0,YEARFRAC(MAX($P$708*($B782+IF($R$17="Distrato",$I$38-1,0)),IF(AND($L$711=0,$P$708=0),"",$L$711-1),IF($R$17="Distrato",$E782,0)),MIN(Q$38,$D$19),$P$20))-SUM($P782:P782)</f>
        <v>#VALUE!</v>
      </c>
      <c r="R782" s="446" t="e">
        <f>IF(OR($B782="",MIN(R$38,$D$19)&lt;MAX($P$708*($B782+IF($R$17="Distrato",$I$38-1,0)),IF(AND($L$711=0,$P$708=0),"",$L$711-1),IF($R$17="Distrato",$E782,0))),0,YEARFRAC(MAX($P$708*($B782+IF($R$17="Distrato",$I$38-1,0)),IF(AND($L$711=0,$P$708=0),"",$L$711-1),IF($R$17="Distrato",$E782,0)),MIN(R$38,$D$19),$P$20))-SUM($P782:Q782)</f>
        <v>#VALUE!</v>
      </c>
      <c r="S782" s="446" t="e">
        <f>IF(OR($B782="",MIN(S$38,$D$19)&lt;MAX($P$708*($B782+IF($R$17="Distrato",$I$38-1,0)),IF(AND($L$711=0,$P$708=0),"",$L$711-1),IF($R$17="Distrato",$E782,0))),0,YEARFRAC(MAX($P$708*($B782+IF($R$17="Distrato",$I$38-1,0)),IF(AND($L$711=0,$P$708=0),"",$L$711-1),IF($R$17="Distrato",$E782,0)),MIN(S$38,$D$19),$P$20))-SUM($P782:R782)</f>
        <v>#VALUE!</v>
      </c>
      <c r="T782" s="446" t="e">
        <f>IF(OR($B782="",MIN(T$38,$D$19)&lt;MAX($P$708*($B782+IF($R$17="Distrato",$I$38-1,0)),IF(AND($L$711=0,$P$708=0),"",$L$711-1),IF($R$17="Distrato",$E782,0))),0,YEARFRAC(MAX($P$708*($B782+IF($R$17="Distrato",$I$38-1,0)),IF(AND($L$711=0,$P$708=0),"",$L$711-1),IF($R$17="Distrato",$E782,0)),MIN(T$38,$D$19),$P$20))-SUM($P782:S782)</f>
        <v>#VALUE!</v>
      </c>
      <c r="U782" s="446" t="e">
        <f>IF(OR($B782="",MIN(U$38,$D$19)&lt;MAX($P$708*($B782+IF($R$17="Distrato",$I$38-1,0)),IF(AND($L$711=0,$P$708=0),"",$L$711-1),IF($R$17="Distrato",$E782,0))),0,YEARFRAC(MAX($P$708*($B782+IF($R$17="Distrato",$I$38-1,0)),IF(AND($L$711=0,$P$708=0),"",$L$711-1),IF($R$17="Distrato",$E782,0)),MIN(U$38,$D$19),$P$20))-SUM($P782:T782)</f>
        <v>#VALUE!</v>
      </c>
      <c r="V782" s="446" t="e">
        <f>IF(OR($B782="",MIN(V$38,$D$19)&lt;MAX($P$708*($B782+IF($R$17="Distrato",$I$38-1,0)),IF(AND($L$711=0,$P$708=0),"",$L$711-1),IF($R$17="Distrato",$E782,0))),0,YEARFRAC(MAX($P$708*($B782+IF($R$17="Distrato",$I$38-1,0)),IF(AND($L$711=0,$P$708=0),"",$L$711-1),IF($R$17="Distrato",$E782,0)),MIN(V$38,$D$19),$P$20))-SUM($P782:U782)</f>
        <v>#VALUE!</v>
      </c>
      <c r="W782" s="446" t="e">
        <f>IF(OR($B782="",MIN(W$38,$D$19)&lt;MAX($P$708*($B782+IF($R$17="Distrato",$I$38-1,0)),IF(AND($L$711=0,$P$708=0),"",$L$711-1),IF($R$17="Distrato",$E782,0))),0,YEARFRAC(MAX($P$708*($B782+IF($R$17="Distrato",$I$38-1,0)),IF(AND($L$711=0,$P$708=0),"",$L$711-1),IF($R$17="Distrato",$E782,0)),MIN(W$38,$D$19),$P$20))-SUM($P782:V782)</f>
        <v>#VALUE!</v>
      </c>
      <c r="X782" s="446" t="e">
        <f>IF(OR($B782="",MIN(X$38,$D$19)&lt;MAX($P$708*($B782+IF($R$17="Distrato",$I$38-1,0)),IF(AND($L$711=0,$P$708=0),"",$L$711-1),IF($R$17="Distrato",$E782,0))),0,YEARFRAC(MAX($P$708*($B782+IF($R$17="Distrato",$I$38-1,0)),IF(AND($L$711=0,$P$708=0),"",$L$711-1),IF($R$17="Distrato",$E782,0)),MIN(X$38,$D$19),$P$20))-SUM($P782:W782)</f>
        <v>#VALUE!</v>
      </c>
      <c r="Y782" s="446" t="e">
        <f>IF(OR($B782="",MIN(Y$38,$D$19)&lt;MAX($P$708*($B782+IF($R$17="Distrato",$I$38-1,0)),IF(AND($L$711=0,$P$708=0),"",$L$711-1),IF($R$17="Distrato",$E782,0))),0,YEARFRAC(MAX($P$708*($B782+IF($R$17="Distrato",$I$38-1,0)),IF(AND($L$711=0,$P$708=0),"",$L$711-1),IF($R$17="Distrato",$E782,0)),MIN(Y$38,$D$19),$P$20))-SUM($P782:X782)</f>
        <v>#VALUE!</v>
      </c>
      <c r="Z782" s="446" t="e">
        <f>IF(OR($B782="",MIN(Z$38,$D$19)&lt;MAX($P$708*($B782+IF($R$17="Distrato",$I$38-1,0)),IF(AND($L$711=0,$P$708=0),"",$L$711-1),IF($R$17="Distrato",$E782,0))),0,YEARFRAC(MAX($P$708*($B782+IF($R$17="Distrato",$I$38-1,0)),IF(AND($L$711=0,$P$708=0),"",$L$711-1),IF($R$17="Distrato",$E782,0)),MIN(Z$38,$D$19),$P$20))-SUM($P782:Y782)</f>
        <v>#VALUE!</v>
      </c>
      <c r="AA782" s="446" t="e">
        <f>IF(OR($B782="",MIN(AA$38,$D$19)&lt;MAX($P$708*($B782+IF($R$17="Distrato",$I$38-1,0)),IF(AND($L$711=0,$P$708=0),"",$L$711-1),IF($R$17="Distrato",$E782,0))),0,YEARFRAC(MAX($P$708*($B782+IF($R$17="Distrato",$I$38-1,0)),IF(AND($L$711=0,$P$708=0),"",$L$711-1),IF($R$17="Distrato",$E782,0)),MIN(AA$38,$D$19),$P$20))-SUM($P782:Z782)</f>
        <v>#VALUE!</v>
      </c>
      <c r="AB782" s="446" t="e">
        <f>IF(OR($B782="",MIN(AB$38,$D$19)&lt;MAX($P$708*($B782+IF($R$17="Distrato",$I$38-1,0)),IF(AND($L$711=0,$P$708=0),"",$L$711-1),IF($R$17="Distrato",$E782,0))),0,YEARFRAC(MAX($P$708*($B782+IF($R$17="Distrato",$I$38-1,0)),IF(AND($L$711=0,$P$708=0),"",$L$711-1),IF($R$17="Distrato",$E782,0)),MIN(AB$38,$D$19),$P$20))-SUM($P782:AA782)</f>
        <v>#VALUE!</v>
      </c>
      <c r="AC782" s="446" t="e">
        <f>IF(OR($B782="",MIN(AC$38,$D$19)&lt;MAX($P$708*($B782+IF($R$17="Distrato",$I$38-1,0)),IF(AND($L$711=0,$P$708=0),"",$L$711-1),IF($R$17="Distrato",$E782,0))),0,YEARFRAC(MAX($P$708*($B782+IF($R$17="Distrato",$I$38-1,0)),IF(AND($L$711=0,$P$708=0),"",$L$711-1),IF($R$17="Distrato",$E782,0)),MIN(AC$38,$D$19),$P$20))-SUM($P782:AB782)</f>
        <v>#VALUE!</v>
      </c>
      <c r="AD782" s="446" t="e">
        <f>IF(OR($B782="",MIN(AD$38,$D$19)&lt;MAX($P$708*($B782+IF($R$17="Distrato",$I$38-1,0)),IF(AND($L$711=0,$P$708=0),"",$L$711-1),IF($R$17="Distrato",$E782,0))),0,YEARFRAC(MAX($P$708*($B782+IF($R$17="Distrato",$I$38-1,0)),IF(AND($L$711=0,$P$708=0),"",$L$711-1),IF($R$17="Distrato",$E782,0)),MIN(AD$38,$D$19),$P$20))-SUM($P782:AC782)</f>
        <v>#VALUE!</v>
      </c>
      <c r="AE782" s="446" t="e">
        <f>IF(OR($B782="",MIN(AE$38,$D$19)&lt;MAX($P$708*($B782+IF($R$17="Distrato",$I$38-1,0)),IF(AND($L$711=0,$P$708=0),"",$L$711-1),IF($R$17="Distrato",$E782,0))),0,YEARFRAC(MAX($P$708*($B782+IF($R$17="Distrato",$I$38-1,0)),IF(AND($L$711=0,$P$708=0),"",$L$711-1),IF($R$17="Distrato",$E782,0)),MIN(AE$38,$D$19),$P$20))-SUM($P782:AD782)</f>
        <v>#VALUE!</v>
      </c>
      <c r="AF782" s="446" t="e">
        <f>IF(OR($B782="",MIN(AF$38,$D$19)&lt;MAX($P$708*($B782+IF($R$17="Distrato",$I$38-1,0)),IF(AND($L$711=0,$P$708=0),"",$L$711-1),IF($R$17="Distrato",$E782,0))),0,YEARFRAC(MAX($P$708*($B782+IF($R$17="Distrato",$I$38-1,0)),IF(AND($L$711=0,$P$708=0),"",$L$711-1),IF($R$17="Distrato",$E782,0)),MIN(AF$38,$D$19),$P$20))-SUM($P782:AE782)</f>
        <v>#VALUE!</v>
      </c>
      <c r="AG782" s="446" t="e">
        <f>IF(OR($B782="",MIN(AG$38,$D$19)&lt;MAX($P$708*($B782+IF($R$17="Distrato",$I$38-1,0)),IF(AND($L$711=0,$P$708=0),"",$L$711-1),IF($R$17="Distrato",$E782,0))),0,YEARFRAC(MAX($P$708*($B782+IF($R$17="Distrato",$I$38-1,0)),IF(AND($L$711=0,$P$708=0),"",$L$711-1),IF($R$17="Distrato",$E782,0)),MIN(AG$38,$D$19),$P$20))-SUM($P782:AF782)</f>
        <v>#VALUE!</v>
      </c>
      <c r="AH782" s="446" t="e">
        <f>IF(OR($B782="",MIN(AH$38,$D$19)&lt;MAX($P$708*($B782+IF($R$17="Distrato",$I$38-1,0)),IF(AND($L$711=0,$P$708=0),"",$L$711-1),IF($R$17="Distrato",$E782,0))),0,YEARFRAC(MAX($P$708*($B782+IF($R$17="Distrato",$I$38-1,0)),IF(AND($L$711=0,$P$708=0),"",$L$711-1),IF($R$17="Distrato",$E782,0)),MIN(AH$38,$D$19),$P$20))-SUM($P782:AG782)</f>
        <v>#VALUE!</v>
      </c>
      <c r="AI782" s="446" t="e">
        <f>IF(OR($B782="",MIN(AI$38,$D$19)&lt;MAX($P$708*($B782+IF($R$17="Distrato",$I$38-1,0)),IF(AND($L$711=0,$P$708=0),"",$L$711-1),IF($R$17="Distrato",$E782,0))),0,YEARFRAC(MAX($P$708*($B782+IF($R$17="Distrato",$I$38-1,0)),IF(AND($L$711=0,$P$708=0),"",$L$711-1),IF($R$17="Distrato",$E782,0)),MIN(AI$38,$D$19),$P$20))-SUM($P782:AH782)</f>
        <v>#VALUE!</v>
      </c>
      <c r="AJ782" s="446" t="e">
        <f>IF(OR($B782="",MIN(AJ$38,$D$19)&lt;MAX($P$708*($B782+IF($R$17="Distrato",$I$38-1,0)),IF(AND($L$711=0,$P$708=0),"",$L$711-1),IF($R$17="Distrato",$E782,0))),0,YEARFRAC(MAX($P$708*($B782+IF($R$17="Distrato",$I$38-1,0)),IF(AND($L$711=0,$P$708=0),"",$L$711-1),IF($R$17="Distrato",$E782,0)),MIN(AJ$38,$D$19),$P$20))-SUM($P782:AI782)</f>
        <v>#VALUE!</v>
      </c>
      <c r="AK782" s="446" t="e">
        <f>IF(OR($B782="",MIN(AK$38,$D$19)&lt;MAX($P$708*($B782+IF($R$17="Distrato",$I$38-1,0)),IF(AND($L$711=0,$P$708=0),"",$L$711-1),IF($R$17="Distrato",$E782,0))),0,YEARFRAC(MAX($P$708*($B782+IF($R$17="Distrato",$I$38-1,0)),IF(AND($L$711=0,$P$708=0),"",$L$711-1),IF($R$17="Distrato",$E782,0)),MIN(AK$38,$D$19),$P$20))-SUM($P782:AJ782)</f>
        <v>#VALUE!</v>
      </c>
      <c r="AL782" s="446" t="e">
        <f>IF(OR($B782="",MIN(AL$38,$D$19)&lt;MAX($P$708*($B782+IF($R$17="Distrato",$I$38-1,0)),IF(AND($L$711=0,$P$708=0),"",$L$711-1),IF($R$17="Distrato",$E782,0))),0,YEARFRAC(MAX($P$708*($B782+IF($R$17="Distrato",$I$38-1,0)),IF(AND($L$711=0,$P$708=0),"",$L$711-1),IF($R$17="Distrato",$E782,0)),MIN(AL$38,$D$19),$P$20))-SUM($P782:AK782)</f>
        <v>#VALUE!</v>
      </c>
      <c r="AM782" s="446" t="e">
        <f>IF(OR($B782="",MIN(AM$38,$D$19)&lt;MAX($P$708*($B782+IF($R$17="Distrato",$I$38-1,0)),IF(AND($L$711=0,$P$708=0),"",$L$711-1),IF($R$17="Distrato",$E782,0))),0,YEARFRAC(MAX($P$708*($B782+IF($R$17="Distrato",$I$38-1,0)),IF(AND($L$711=0,$P$708=0),"",$L$711-1),IF($R$17="Distrato",$E782,0)),MIN(AM$38,$D$19),$P$20))-SUM($P782:AL782)</f>
        <v>#VALUE!</v>
      </c>
      <c r="AN782" s="446" t="e">
        <f>IF(OR($B782="",MIN(AN$38,$D$19)&lt;MAX($P$708*($B782+IF($R$17="Distrato",$I$38-1,0)),IF(AND($L$711=0,$P$708=0),"",$L$711-1),IF($R$17="Distrato",$E782,0))),0,YEARFRAC(MAX($P$708*($B782+IF($R$17="Distrato",$I$38-1,0)),IF(AND($L$711=0,$P$708=0),"",$L$711-1),IF($R$17="Distrato",$E782,0)),MIN(AN$38,$D$19),$P$20))-SUM($P782:AM782)</f>
        <v>#VALUE!</v>
      </c>
      <c r="AO782" s="446" t="e">
        <f>IF(OR($B782="",MIN(AO$38,$D$19)&lt;MAX($P$708*($B782+IF($R$17="Distrato",$I$38-1,0)),IF(AND($L$711=0,$P$708=0),"",$L$711-1),IF($R$17="Distrato",$E782,0))),0,YEARFRAC(MAX($P$708*($B782+IF($R$17="Distrato",$I$38-1,0)),IF(AND($L$711=0,$P$708=0),"",$L$711-1),IF($R$17="Distrato",$E782,0)),MIN(AO$38,$D$19),$P$20))-SUM($P782:AN782)</f>
        <v>#VALUE!</v>
      </c>
      <c r="AP782" s="446" t="e">
        <f>IF(OR($B782="",MIN(AP$38,$D$19)&lt;MAX($P$708*($B782+IF($R$17="Distrato",$I$38-1,0)),IF(AND($L$711=0,$P$708=0),"",$L$711-1),IF($R$17="Distrato",$E782,0))),0,YEARFRAC(MAX($P$708*($B782+IF($R$17="Distrato",$I$38-1,0)),IF(AND($L$711=0,$P$708=0),"",$L$711-1),IF($R$17="Distrato",$E782,0)),MIN(AP$38,$D$19),$P$20))-SUM($P782:AO782)</f>
        <v>#VALUE!</v>
      </c>
      <c r="AQ782" s="446" t="e">
        <f>IF(OR($B782="",MIN(AQ$38,$D$19)&lt;MAX($P$708*($B782+IF($R$17="Distrato",$I$38-1,0)),IF(AND($L$711=0,$P$708=0),"",$L$711-1),IF($R$17="Distrato",$E782,0))),0,YEARFRAC(MAX($P$708*($B782+IF($R$17="Distrato",$I$38-1,0)),IF(AND($L$711=0,$P$708=0),"",$L$711-1),IF($R$17="Distrato",$E782,0)),MIN(AQ$38,$D$19),$P$20))-SUM($P782:AP782)</f>
        <v>#VALUE!</v>
      </c>
      <c r="AR782" s="446" t="e">
        <f>IF(OR($B782="",MIN(AR$38,$D$19)&lt;MAX($P$708*($B782+IF($R$17="Distrato",$I$38-1,0)),IF(AND($L$711=0,$P$708=0),"",$L$711-1),IF($R$17="Distrato",$E782,0))),0,YEARFRAC(MAX($P$708*($B782+IF($R$17="Distrato",$I$38-1,0)),IF(AND($L$711=0,$P$708=0),"",$L$711-1),IF($R$17="Distrato",$E782,0)),MIN(AR$38,$D$19),$P$20))-SUM($P782:AQ782)</f>
        <v>#VALUE!</v>
      </c>
      <c r="AS782" s="446" t="e">
        <f>IF(OR($B782="",MIN(AS$38,$D$19)&lt;MAX($P$708*($B782+IF($R$17="Distrato",$I$38-1,0)),IF(AND($L$711=0,$P$708=0),"",$L$711-1),IF($R$17="Distrato",$E782,0))),0,YEARFRAC(MAX($P$708*($B782+IF($R$17="Distrato",$I$38-1,0)),IF(AND($L$711=0,$P$708=0),"",$L$711-1),IF($R$17="Distrato",$E782,0)),MIN(AS$38,$D$19),$P$20))-SUM($P782:AR782)</f>
        <v>#VALUE!</v>
      </c>
      <c r="AT782" s="446" t="e">
        <f>IF(OR($B782="",MIN(AT$38,$D$19)&lt;MAX($P$708*($B782+IF($R$17="Distrato",$I$38-1,0)),IF(AND($L$711=0,$P$708=0),"",$L$711-1),IF($R$17="Distrato",$E782,0))),0,YEARFRAC(MAX($P$708*($B782+IF($R$17="Distrato",$I$38-1,0)),IF(AND($L$711=0,$P$708=0),"",$L$711-1),IF($R$17="Distrato",$E782,0)),MIN(AT$38,$D$19),$P$20))-SUM($P782:AS782)</f>
        <v>#VALUE!</v>
      </c>
      <c r="AU782" s="446" t="e">
        <f>IF(OR($B782="",MIN(AU$38,$D$19)&lt;MAX($P$708*($B782+IF($R$17="Distrato",$I$38-1,0)),IF(AND($L$711=0,$P$708=0),"",$L$711-1),IF($R$17="Distrato",$E782,0))),0,YEARFRAC(MAX($P$708*($B782+IF($R$17="Distrato",$I$38-1,0)),IF(AND($L$711=0,$P$708=0),"",$L$711-1),IF($R$17="Distrato",$E782,0)),MIN(AU$38,$D$19),$P$20))-SUM($P782:AT782)</f>
        <v>#VALUE!</v>
      </c>
      <c r="AV782" s="446" t="e">
        <f>IF(OR($B782="",MIN(AV$38,$D$19)&lt;MAX($P$708*($B782+IF($R$17="Distrato",$I$38-1,0)),IF(AND($L$711=0,$P$708=0),"",$L$711-1),IF($R$17="Distrato",$E782,0))),0,YEARFRAC(MAX($P$708*($B782+IF($R$17="Distrato",$I$38-1,0)),IF(AND($L$711=0,$P$708=0),"",$L$711-1),IF($R$17="Distrato",$E782,0)),MIN(AV$38,$D$19),$P$20))-SUM($P782:AU782)</f>
        <v>#VALUE!</v>
      </c>
      <c r="AW782" s="446" t="e">
        <f>IF(OR($B782="",MIN(AW$38,$D$19)&lt;MAX($P$708*($B782+IF($R$17="Distrato",$I$38-1,0)),IF(AND($L$711=0,$P$708=0),"",$L$711-1),IF($R$17="Distrato",$E782,0))),0,YEARFRAC(MAX($P$708*($B782+IF($R$17="Distrato",$I$38-1,0)),IF(AND($L$711=0,$P$708=0),"",$L$711-1),IF($R$17="Distrato",$E782,0)),MIN(AW$38,$D$19),$P$20))-SUM($P782:AV782)</f>
        <v>#VALUE!</v>
      </c>
      <c r="AX782" s="446" t="e">
        <f>IF(OR($B782="",MIN(AX$38,$D$19)&lt;MAX($P$708*($B782+IF($R$17="Distrato",$I$38-1,0)),IF(AND($L$711=0,$P$708=0),"",$L$711-1),IF($R$17="Distrato",$E782,0))),0,YEARFRAC(MAX($P$708*($B782+IF($R$17="Distrato",$I$38-1,0)),IF(AND($L$711=0,$P$708=0),"",$L$711-1),IF($R$17="Distrato",$E782,0)),MIN(AX$38,$D$19),$P$20))-SUM($P782:AW782)</f>
        <v>#VALUE!</v>
      </c>
      <c r="AY782" s="446" t="e">
        <f>IF(OR($B782="",MIN(AY$38,$D$19)&lt;MAX($P$708*($B782+IF($R$17="Distrato",$I$38-1,0)),IF(AND($L$711=0,$P$708=0),"",$L$711-1),IF($R$17="Distrato",$E782,0))),0,YEARFRAC(MAX($P$708*($B782+IF($R$17="Distrato",$I$38-1,0)),IF(AND($L$711=0,$P$708=0),"",$L$711-1),IF($R$17="Distrato",$E782,0)),MIN(AY$38,$D$19),$P$20))-SUM($P782:AX782)</f>
        <v>#VALUE!</v>
      </c>
      <c r="AZ782" s="446" t="e">
        <f>IF(OR($B782="",MIN(AZ$38,$D$19)&lt;MAX($P$708*($B782+IF($R$17="Distrato",$I$38-1,0)),IF(AND($L$711=0,$P$708=0),"",$L$711-1),IF($R$17="Distrato",$E782,0))),0,YEARFRAC(MAX($P$708*($B782+IF($R$17="Distrato",$I$38-1,0)),IF(AND($L$711=0,$P$708=0),"",$L$711-1),IF($R$17="Distrato",$E782,0)),MIN(AZ$38,$D$19),$P$20))-SUM($P782:AY782)</f>
        <v>#VALUE!</v>
      </c>
      <c r="BA782" s="446" t="e">
        <f>IF(OR($B782="",MIN(BA$38,$D$19)&lt;MAX($P$708*($B782+IF($R$17="Distrato",$I$38-1,0)),IF(AND($L$711=0,$P$708=0),"",$L$711-1),IF($R$17="Distrato",$E782,0))),0,YEARFRAC(MAX($P$708*($B782+IF($R$17="Distrato",$I$38-1,0)),IF(AND($L$711=0,$P$708=0),"",$L$711-1),IF($R$17="Distrato",$E782,0)),MIN(BA$38,$D$19),$P$20))-SUM($P782:AZ782)</f>
        <v>#VALUE!</v>
      </c>
      <c r="BB782" s="447"/>
    </row>
    <row r="783" spans="1:54" s="446" customFormat="1" ht="11.25" hidden="1" customHeight="1" x14ac:dyDescent="0.2">
      <c r="A783" s="235"/>
      <c r="B783" s="236"/>
      <c r="C783" s="29" t="str">
        <f>IF(B783="","",IF($L$709=$BL$25,VLOOKUP(DATE(YEAR($D$19),MONTH($D$19)-1,1),ÍNDICES!$A:$DE,HLOOKUP($BL$25,ÍNDICES!$B$3:$T$4,2)+11)-VLOOKUP(B783,ÍNDICES!$A:$DE,HLOOKUP($BL$25,ÍNDICES!$B$3:$T$4,2)+11)+1%,IF(C$712=$W$26,$J$35,IF(ISERROR(IF(B783&gt;$D$19,1,VLOOKUP(DATE(YEAR(B783),MONTH(B783)+IF($C$709=$S$23,1,0),1),ÍNDICES!$A:$DE,$Z$709+1))),"",IF(B783&gt;$D$19,1,VLOOKUP(DATE(YEAR(B783),MONTH(B783)+IF($C$709=$S$23,1,0),1),ÍNDICES!$A:$DE,$Z$709+1))))))</f>
        <v/>
      </c>
      <c r="D783" s="155"/>
      <c r="E783" s="88"/>
      <c r="F783" s="88"/>
      <c r="G783" s="88"/>
      <c r="H783" s="118"/>
      <c r="I783" s="182">
        <f t="shared" si="122"/>
        <v>0</v>
      </c>
      <c r="J783" s="20">
        <f t="shared" ca="1" si="123"/>
        <v>0</v>
      </c>
      <c r="K783" s="5">
        <f t="shared" ca="1" si="124"/>
        <v>0</v>
      </c>
      <c r="L783" s="61">
        <f t="shared" ca="1" si="125"/>
        <v>0</v>
      </c>
      <c r="M783" s="64">
        <f t="shared" si="126"/>
        <v>0</v>
      </c>
      <c r="N783" s="151"/>
      <c r="O783" s="5">
        <f t="shared" ca="1" si="127"/>
        <v>0</v>
      </c>
      <c r="P783" s="446" t="e">
        <f t="shared" si="128"/>
        <v>#VALUE!</v>
      </c>
      <c r="Q783" s="446" t="e">
        <f>IF(OR($B783="",MIN(Q$38,$D$19)&lt;MAX($P$708*($B783+IF($R$17="Distrato",$I$38-1,0)),IF(AND($L$711=0,$P$708=0),"",$L$711-1),IF($R$17="Distrato",$E783,0))),0,YEARFRAC(MAX($P$708*($B783+IF($R$17="Distrato",$I$38-1,0)),IF(AND($L$711=0,$P$708=0),"",$L$711-1),IF($R$17="Distrato",$E783,0)),MIN(Q$38,$D$19),$P$20))-SUM($P783:P783)</f>
        <v>#VALUE!</v>
      </c>
      <c r="R783" s="446" t="e">
        <f>IF(OR($B783="",MIN(R$38,$D$19)&lt;MAX($P$708*($B783+IF($R$17="Distrato",$I$38-1,0)),IF(AND($L$711=0,$P$708=0),"",$L$711-1),IF($R$17="Distrato",$E783,0))),0,YEARFRAC(MAX($P$708*($B783+IF($R$17="Distrato",$I$38-1,0)),IF(AND($L$711=0,$P$708=0),"",$L$711-1),IF($R$17="Distrato",$E783,0)),MIN(R$38,$D$19),$P$20))-SUM($P783:Q783)</f>
        <v>#VALUE!</v>
      </c>
      <c r="S783" s="446" t="e">
        <f>IF(OR($B783="",MIN(S$38,$D$19)&lt;MAX($P$708*($B783+IF($R$17="Distrato",$I$38-1,0)),IF(AND($L$711=0,$P$708=0),"",$L$711-1),IF($R$17="Distrato",$E783,0))),0,YEARFRAC(MAX($P$708*($B783+IF($R$17="Distrato",$I$38-1,0)),IF(AND($L$711=0,$P$708=0),"",$L$711-1),IF($R$17="Distrato",$E783,0)),MIN(S$38,$D$19),$P$20))-SUM($P783:R783)</f>
        <v>#VALUE!</v>
      </c>
      <c r="T783" s="446" t="e">
        <f>IF(OR($B783="",MIN(T$38,$D$19)&lt;MAX($P$708*($B783+IF($R$17="Distrato",$I$38-1,0)),IF(AND($L$711=0,$P$708=0),"",$L$711-1),IF($R$17="Distrato",$E783,0))),0,YEARFRAC(MAX($P$708*($B783+IF($R$17="Distrato",$I$38-1,0)),IF(AND($L$711=0,$P$708=0),"",$L$711-1),IF($R$17="Distrato",$E783,0)),MIN(T$38,$D$19),$P$20))-SUM($P783:S783)</f>
        <v>#VALUE!</v>
      </c>
      <c r="U783" s="446" t="e">
        <f>IF(OR($B783="",MIN(U$38,$D$19)&lt;MAX($P$708*($B783+IF($R$17="Distrato",$I$38-1,0)),IF(AND($L$711=0,$P$708=0),"",$L$711-1),IF($R$17="Distrato",$E783,0))),0,YEARFRAC(MAX($P$708*($B783+IF($R$17="Distrato",$I$38-1,0)),IF(AND($L$711=0,$P$708=0),"",$L$711-1),IF($R$17="Distrato",$E783,0)),MIN(U$38,$D$19),$P$20))-SUM($P783:T783)</f>
        <v>#VALUE!</v>
      </c>
      <c r="V783" s="446" t="e">
        <f>IF(OR($B783="",MIN(V$38,$D$19)&lt;MAX($P$708*($B783+IF($R$17="Distrato",$I$38-1,0)),IF(AND($L$711=0,$P$708=0),"",$L$711-1),IF($R$17="Distrato",$E783,0))),0,YEARFRAC(MAX($P$708*($B783+IF($R$17="Distrato",$I$38-1,0)),IF(AND($L$711=0,$P$708=0),"",$L$711-1),IF($R$17="Distrato",$E783,0)),MIN(V$38,$D$19),$P$20))-SUM($P783:U783)</f>
        <v>#VALUE!</v>
      </c>
      <c r="W783" s="446" t="e">
        <f>IF(OR($B783="",MIN(W$38,$D$19)&lt;MAX($P$708*($B783+IF($R$17="Distrato",$I$38-1,0)),IF(AND($L$711=0,$P$708=0),"",$L$711-1),IF($R$17="Distrato",$E783,0))),0,YEARFRAC(MAX($P$708*($B783+IF($R$17="Distrato",$I$38-1,0)),IF(AND($L$711=0,$P$708=0),"",$L$711-1),IF($R$17="Distrato",$E783,0)),MIN(W$38,$D$19),$P$20))-SUM($P783:V783)</f>
        <v>#VALUE!</v>
      </c>
      <c r="X783" s="446" t="e">
        <f>IF(OR($B783="",MIN(X$38,$D$19)&lt;MAX($P$708*($B783+IF($R$17="Distrato",$I$38-1,0)),IF(AND($L$711=0,$P$708=0),"",$L$711-1),IF($R$17="Distrato",$E783,0))),0,YEARFRAC(MAX($P$708*($B783+IF($R$17="Distrato",$I$38-1,0)),IF(AND($L$711=0,$P$708=0),"",$L$711-1),IF($R$17="Distrato",$E783,0)),MIN(X$38,$D$19),$P$20))-SUM($P783:W783)</f>
        <v>#VALUE!</v>
      </c>
      <c r="Y783" s="446" t="e">
        <f>IF(OR($B783="",MIN(Y$38,$D$19)&lt;MAX($P$708*($B783+IF($R$17="Distrato",$I$38-1,0)),IF(AND($L$711=0,$P$708=0),"",$L$711-1),IF($R$17="Distrato",$E783,0))),0,YEARFRAC(MAX($P$708*($B783+IF($R$17="Distrato",$I$38-1,0)),IF(AND($L$711=0,$P$708=0),"",$L$711-1),IF($R$17="Distrato",$E783,0)),MIN(Y$38,$D$19),$P$20))-SUM($P783:X783)</f>
        <v>#VALUE!</v>
      </c>
      <c r="Z783" s="446" t="e">
        <f>IF(OR($B783="",MIN(Z$38,$D$19)&lt;MAX($P$708*($B783+IF($R$17="Distrato",$I$38-1,0)),IF(AND($L$711=0,$P$708=0),"",$L$711-1),IF($R$17="Distrato",$E783,0))),0,YEARFRAC(MAX($P$708*($B783+IF($R$17="Distrato",$I$38-1,0)),IF(AND($L$711=0,$P$708=0),"",$L$711-1),IF($R$17="Distrato",$E783,0)),MIN(Z$38,$D$19),$P$20))-SUM($P783:Y783)</f>
        <v>#VALUE!</v>
      </c>
      <c r="AA783" s="446" t="e">
        <f>IF(OR($B783="",MIN(AA$38,$D$19)&lt;MAX($P$708*($B783+IF($R$17="Distrato",$I$38-1,0)),IF(AND($L$711=0,$P$708=0),"",$L$711-1),IF($R$17="Distrato",$E783,0))),0,YEARFRAC(MAX($P$708*($B783+IF($R$17="Distrato",$I$38-1,0)),IF(AND($L$711=0,$P$708=0),"",$L$711-1),IF($R$17="Distrato",$E783,0)),MIN(AA$38,$D$19),$P$20))-SUM($P783:Z783)</f>
        <v>#VALUE!</v>
      </c>
      <c r="AB783" s="446" t="e">
        <f>IF(OR($B783="",MIN(AB$38,$D$19)&lt;MAX($P$708*($B783+IF($R$17="Distrato",$I$38-1,0)),IF(AND($L$711=0,$P$708=0),"",$L$711-1),IF($R$17="Distrato",$E783,0))),0,YEARFRAC(MAX($P$708*($B783+IF($R$17="Distrato",$I$38-1,0)),IF(AND($L$711=0,$P$708=0),"",$L$711-1),IF($R$17="Distrato",$E783,0)),MIN(AB$38,$D$19),$P$20))-SUM($P783:AA783)</f>
        <v>#VALUE!</v>
      </c>
      <c r="AC783" s="446" t="e">
        <f>IF(OR($B783="",MIN(AC$38,$D$19)&lt;MAX($P$708*($B783+IF($R$17="Distrato",$I$38-1,0)),IF(AND($L$711=0,$P$708=0),"",$L$711-1),IF($R$17="Distrato",$E783,0))),0,YEARFRAC(MAX($P$708*($B783+IF($R$17="Distrato",$I$38-1,0)),IF(AND($L$711=0,$P$708=0),"",$L$711-1),IF($R$17="Distrato",$E783,0)),MIN(AC$38,$D$19),$P$20))-SUM($P783:AB783)</f>
        <v>#VALUE!</v>
      </c>
      <c r="AD783" s="446" t="e">
        <f>IF(OR($B783="",MIN(AD$38,$D$19)&lt;MAX($P$708*($B783+IF($R$17="Distrato",$I$38-1,0)),IF(AND($L$711=0,$P$708=0),"",$L$711-1),IF($R$17="Distrato",$E783,0))),0,YEARFRAC(MAX($P$708*($B783+IF($R$17="Distrato",$I$38-1,0)),IF(AND($L$711=0,$P$708=0),"",$L$711-1),IF($R$17="Distrato",$E783,0)),MIN(AD$38,$D$19),$P$20))-SUM($P783:AC783)</f>
        <v>#VALUE!</v>
      </c>
      <c r="AE783" s="446" t="e">
        <f>IF(OR($B783="",MIN(AE$38,$D$19)&lt;MAX($P$708*($B783+IF($R$17="Distrato",$I$38-1,0)),IF(AND($L$711=0,$P$708=0),"",$L$711-1),IF($R$17="Distrato",$E783,0))),0,YEARFRAC(MAX($P$708*($B783+IF($R$17="Distrato",$I$38-1,0)),IF(AND($L$711=0,$P$708=0),"",$L$711-1),IF($R$17="Distrato",$E783,0)),MIN(AE$38,$D$19),$P$20))-SUM($P783:AD783)</f>
        <v>#VALUE!</v>
      </c>
      <c r="AF783" s="446" t="e">
        <f>IF(OR($B783="",MIN(AF$38,$D$19)&lt;MAX($P$708*($B783+IF($R$17="Distrato",$I$38-1,0)),IF(AND($L$711=0,$P$708=0),"",$L$711-1),IF($R$17="Distrato",$E783,0))),0,YEARFRAC(MAX($P$708*($B783+IF($R$17="Distrato",$I$38-1,0)),IF(AND($L$711=0,$P$708=0),"",$L$711-1),IF($R$17="Distrato",$E783,0)),MIN(AF$38,$D$19),$P$20))-SUM($P783:AE783)</f>
        <v>#VALUE!</v>
      </c>
      <c r="AG783" s="446" t="e">
        <f>IF(OR($B783="",MIN(AG$38,$D$19)&lt;MAX($P$708*($B783+IF($R$17="Distrato",$I$38-1,0)),IF(AND($L$711=0,$P$708=0),"",$L$711-1),IF($R$17="Distrato",$E783,0))),0,YEARFRAC(MAX($P$708*($B783+IF($R$17="Distrato",$I$38-1,0)),IF(AND($L$711=0,$P$708=0),"",$L$711-1),IF($R$17="Distrato",$E783,0)),MIN(AG$38,$D$19),$P$20))-SUM($P783:AF783)</f>
        <v>#VALUE!</v>
      </c>
      <c r="AH783" s="446" t="e">
        <f>IF(OR($B783="",MIN(AH$38,$D$19)&lt;MAX($P$708*($B783+IF($R$17="Distrato",$I$38-1,0)),IF(AND($L$711=0,$P$708=0),"",$L$711-1),IF($R$17="Distrato",$E783,0))),0,YEARFRAC(MAX($P$708*($B783+IF($R$17="Distrato",$I$38-1,0)),IF(AND($L$711=0,$P$708=0),"",$L$711-1),IF($R$17="Distrato",$E783,0)),MIN(AH$38,$D$19),$P$20))-SUM($P783:AG783)</f>
        <v>#VALUE!</v>
      </c>
      <c r="AI783" s="446" t="e">
        <f>IF(OR($B783="",MIN(AI$38,$D$19)&lt;MAX($P$708*($B783+IF($R$17="Distrato",$I$38-1,0)),IF(AND($L$711=0,$P$708=0),"",$L$711-1),IF($R$17="Distrato",$E783,0))),0,YEARFRAC(MAX($P$708*($B783+IF($R$17="Distrato",$I$38-1,0)),IF(AND($L$711=0,$P$708=0),"",$L$711-1),IF($R$17="Distrato",$E783,0)),MIN(AI$38,$D$19),$P$20))-SUM($P783:AH783)</f>
        <v>#VALUE!</v>
      </c>
      <c r="AJ783" s="446" t="e">
        <f>IF(OR($B783="",MIN(AJ$38,$D$19)&lt;MAX($P$708*($B783+IF($R$17="Distrato",$I$38-1,0)),IF(AND($L$711=0,$P$708=0),"",$L$711-1),IF($R$17="Distrato",$E783,0))),0,YEARFRAC(MAX($P$708*($B783+IF($R$17="Distrato",$I$38-1,0)),IF(AND($L$711=0,$P$708=0),"",$L$711-1),IF($R$17="Distrato",$E783,0)),MIN(AJ$38,$D$19),$P$20))-SUM($P783:AI783)</f>
        <v>#VALUE!</v>
      </c>
      <c r="AK783" s="446" t="e">
        <f>IF(OR($B783="",MIN(AK$38,$D$19)&lt;MAX($P$708*($B783+IF($R$17="Distrato",$I$38-1,0)),IF(AND($L$711=0,$P$708=0),"",$L$711-1),IF($R$17="Distrato",$E783,0))),0,YEARFRAC(MAX($P$708*($B783+IF($R$17="Distrato",$I$38-1,0)),IF(AND($L$711=0,$P$708=0),"",$L$711-1),IF($R$17="Distrato",$E783,0)),MIN(AK$38,$D$19),$P$20))-SUM($P783:AJ783)</f>
        <v>#VALUE!</v>
      </c>
      <c r="AL783" s="446" t="e">
        <f>IF(OR($B783="",MIN(AL$38,$D$19)&lt;MAX($P$708*($B783+IF($R$17="Distrato",$I$38-1,0)),IF(AND($L$711=0,$P$708=0),"",$L$711-1),IF($R$17="Distrato",$E783,0))),0,YEARFRAC(MAX($P$708*($B783+IF($R$17="Distrato",$I$38-1,0)),IF(AND($L$711=0,$P$708=0),"",$L$711-1),IF($R$17="Distrato",$E783,0)),MIN(AL$38,$D$19),$P$20))-SUM($P783:AK783)</f>
        <v>#VALUE!</v>
      </c>
      <c r="AM783" s="446" t="e">
        <f>IF(OR($B783="",MIN(AM$38,$D$19)&lt;MAX($P$708*($B783+IF($R$17="Distrato",$I$38-1,0)),IF(AND($L$711=0,$P$708=0),"",$L$711-1),IF($R$17="Distrato",$E783,0))),0,YEARFRAC(MAX($P$708*($B783+IF($R$17="Distrato",$I$38-1,0)),IF(AND($L$711=0,$P$708=0),"",$L$711-1),IF($R$17="Distrato",$E783,0)),MIN(AM$38,$D$19),$P$20))-SUM($P783:AL783)</f>
        <v>#VALUE!</v>
      </c>
      <c r="AN783" s="446" t="e">
        <f>IF(OR($B783="",MIN(AN$38,$D$19)&lt;MAX($P$708*($B783+IF($R$17="Distrato",$I$38-1,0)),IF(AND($L$711=0,$P$708=0),"",$L$711-1),IF($R$17="Distrato",$E783,0))),0,YEARFRAC(MAX($P$708*($B783+IF($R$17="Distrato",$I$38-1,0)),IF(AND($L$711=0,$P$708=0),"",$L$711-1),IF($R$17="Distrato",$E783,0)),MIN(AN$38,$D$19),$P$20))-SUM($P783:AM783)</f>
        <v>#VALUE!</v>
      </c>
      <c r="AO783" s="446" t="e">
        <f>IF(OR($B783="",MIN(AO$38,$D$19)&lt;MAX($P$708*($B783+IF($R$17="Distrato",$I$38-1,0)),IF(AND($L$711=0,$P$708=0),"",$L$711-1),IF($R$17="Distrato",$E783,0))),0,YEARFRAC(MAX($P$708*($B783+IF($R$17="Distrato",$I$38-1,0)),IF(AND($L$711=0,$P$708=0),"",$L$711-1),IF($R$17="Distrato",$E783,0)),MIN(AO$38,$D$19),$P$20))-SUM($P783:AN783)</f>
        <v>#VALUE!</v>
      </c>
      <c r="AP783" s="446" t="e">
        <f>IF(OR($B783="",MIN(AP$38,$D$19)&lt;MAX($P$708*($B783+IF($R$17="Distrato",$I$38-1,0)),IF(AND($L$711=0,$P$708=0),"",$L$711-1),IF($R$17="Distrato",$E783,0))),0,YEARFRAC(MAX($P$708*($B783+IF($R$17="Distrato",$I$38-1,0)),IF(AND($L$711=0,$P$708=0),"",$L$711-1),IF($R$17="Distrato",$E783,0)),MIN(AP$38,$D$19),$P$20))-SUM($P783:AO783)</f>
        <v>#VALUE!</v>
      </c>
      <c r="AQ783" s="446" t="e">
        <f>IF(OR($B783="",MIN(AQ$38,$D$19)&lt;MAX($P$708*($B783+IF($R$17="Distrato",$I$38-1,0)),IF(AND($L$711=0,$P$708=0),"",$L$711-1),IF($R$17="Distrato",$E783,0))),0,YEARFRAC(MAX($P$708*($B783+IF($R$17="Distrato",$I$38-1,0)),IF(AND($L$711=0,$P$708=0),"",$L$711-1),IF($R$17="Distrato",$E783,0)),MIN(AQ$38,$D$19),$P$20))-SUM($P783:AP783)</f>
        <v>#VALUE!</v>
      </c>
      <c r="AR783" s="446" t="e">
        <f>IF(OR($B783="",MIN(AR$38,$D$19)&lt;MAX($P$708*($B783+IF($R$17="Distrato",$I$38-1,0)),IF(AND($L$711=0,$P$708=0),"",$L$711-1),IF($R$17="Distrato",$E783,0))),0,YEARFRAC(MAX($P$708*($B783+IF($R$17="Distrato",$I$38-1,0)),IF(AND($L$711=0,$P$708=0),"",$L$711-1),IF($R$17="Distrato",$E783,0)),MIN(AR$38,$D$19),$P$20))-SUM($P783:AQ783)</f>
        <v>#VALUE!</v>
      </c>
      <c r="AS783" s="446" t="e">
        <f>IF(OR($B783="",MIN(AS$38,$D$19)&lt;MAX($P$708*($B783+IF($R$17="Distrato",$I$38-1,0)),IF(AND($L$711=0,$P$708=0),"",$L$711-1),IF($R$17="Distrato",$E783,0))),0,YEARFRAC(MAX($P$708*($B783+IF($R$17="Distrato",$I$38-1,0)),IF(AND($L$711=0,$P$708=0),"",$L$711-1),IF($R$17="Distrato",$E783,0)),MIN(AS$38,$D$19),$P$20))-SUM($P783:AR783)</f>
        <v>#VALUE!</v>
      </c>
      <c r="AT783" s="446" t="e">
        <f>IF(OR($B783="",MIN(AT$38,$D$19)&lt;MAX($P$708*($B783+IF($R$17="Distrato",$I$38-1,0)),IF(AND($L$711=0,$P$708=0),"",$L$711-1),IF($R$17="Distrato",$E783,0))),0,YEARFRAC(MAX($P$708*($B783+IF($R$17="Distrato",$I$38-1,0)),IF(AND($L$711=0,$P$708=0),"",$L$711-1),IF($R$17="Distrato",$E783,0)),MIN(AT$38,$D$19),$P$20))-SUM($P783:AS783)</f>
        <v>#VALUE!</v>
      </c>
      <c r="AU783" s="446" t="e">
        <f>IF(OR($B783="",MIN(AU$38,$D$19)&lt;MAX($P$708*($B783+IF($R$17="Distrato",$I$38-1,0)),IF(AND($L$711=0,$P$708=0),"",$L$711-1),IF($R$17="Distrato",$E783,0))),0,YEARFRAC(MAX($P$708*($B783+IF($R$17="Distrato",$I$38-1,0)),IF(AND($L$711=0,$P$708=0),"",$L$711-1),IF($R$17="Distrato",$E783,0)),MIN(AU$38,$D$19),$P$20))-SUM($P783:AT783)</f>
        <v>#VALUE!</v>
      </c>
      <c r="AV783" s="446" t="e">
        <f>IF(OR($B783="",MIN(AV$38,$D$19)&lt;MAX($P$708*($B783+IF($R$17="Distrato",$I$38-1,0)),IF(AND($L$711=0,$P$708=0),"",$L$711-1),IF($R$17="Distrato",$E783,0))),0,YEARFRAC(MAX($P$708*($B783+IF($R$17="Distrato",$I$38-1,0)),IF(AND($L$711=0,$P$708=0),"",$L$711-1),IF($R$17="Distrato",$E783,0)),MIN(AV$38,$D$19),$P$20))-SUM($P783:AU783)</f>
        <v>#VALUE!</v>
      </c>
      <c r="AW783" s="446" t="e">
        <f>IF(OR($B783="",MIN(AW$38,$D$19)&lt;MAX($P$708*($B783+IF($R$17="Distrato",$I$38-1,0)),IF(AND($L$711=0,$P$708=0),"",$L$711-1),IF($R$17="Distrato",$E783,0))),0,YEARFRAC(MAX($P$708*($B783+IF($R$17="Distrato",$I$38-1,0)),IF(AND($L$711=0,$P$708=0),"",$L$711-1),IF($R$17="Distrato",$E783,0)),MIN(AW$38,$D$19),$P$20))-SUM($P783:AV783)</f>
        <v>#VALUE!</v>
      </c>
      <c r="AX783" s="446" t="e">
        <f>IF(OR($B783="",MIN(AX$38,$D$19)&lt;MAX($P$708*($B783+IF($R$17="Distrato",$I$38-1,0)),IF(AND($L$711=0,$P$708=0),"",$L$711-1),IF($R$17="Distrato",$E783,0))),0,YEARFRAC(MAX($P$708*($B783+IF($R$17="Distrato",$I$38-1,0)),IF(AND($L$711=0,$P$708=0),"",$L$711-1),IF($R$17="Distrato",$E783,0)),MIN(AX$38,$D$19),$P$20))-SUM($P783:AW783)</f>
        <v>#VALUE!</v>
      </c>
      <c r="AY783" s="446" t="e">
        <f>IF(OR($B783="",MIN(AY$38,$D$19)&lt;MAX($P$708*($B783+IF($R$17="Distrato",$I$38-1,0)),IF(AND($L$711=0,$P$708=0),"",$L$711-1),IF($R$17="Distrato",$E783,0))),0,YEARFRAC(MAX($P$708*($B783+IF($R$17="Distrato",$I$38-1,0)),IF(AND($L$711=0,$P$708=0),"",$L$711-1),IF($R$17="Distrato",$E783,0)),MIN(AY$38,$D$19),$P$20))-SUM($P783:AX783)</f>
        <v>#VALUE!</v>
      </c>
      <c r="AZ783" s="446" t="e">
        <f>IF(OR($B783="",MIN(AZ$38,$D$19)&lt;MAX($P$708*($B783+IF($R$17="Distrato",$I$38-1,0)),IF(AND($L$711=0,$P$708=0),"",$L$711-1),IF($R$17="Distrato",$E783,0))),0,YEARFRAC(MAX($P$708*($B783+IF($R$17="Distrato",$I$38-1,0)),IF(AND($L$711=0,$P$708=0),"",$L$711-1),IF($R$17="Distrato",$E783,0)),MIN(AZ$38,$D$19),$P$20))-SUM($P783:AY783)</f>
        <v>#VALUE!</v>
      </c>
      <c r="BA783" s="446" t="e">
        <f>IF(OR($B783="",MIN(BA$38,$D$19)&lt;MAX($P$708*($B783+IF($R$17="Distrato",$I$38-1,0)),IF(AND($L$711=0,$P$708=0),"",$L$711-1),IF($R$17="Distrato",$E783,0))),0,YEARFRAC(MAX($P$708*($B783+IF($R$17="Distrato",$I$38-1,0)),IF(AND($L$711=0,$P$708=0),"",$L$711-1),IF($R$17="Distrato",$E783,0)),MIN(BA$38,$D$19),$P$20))-SUM($P783:AZ783)</f>
        <v>#VALUE!</v>
      </c>
      <c r="BB783" s="447"/>
    </row>
    <row r="784" spans="1:54" s="446" customFormat="1" ht="11.25" hidden="1" customHeight="1" x14ac:dyDescent="0.2">
      <c r="A784" s="235"/>
      <c r="B784" s="236"/>
      <c r="C784" s="29" t="str">
        <f>IF(B784="","",IF($L$709=$BL$25,VLOOKUP(DATE(YEAR($D$19),MONTH($D$19)-1,1),ÍNDICES!$A:$DE,HLOOKUP($BL$25,ÍNDICES!$B$3:$T$4,2)+11)-VLOOKUP(B784,ÍNDICES!$A:$DE,HLOOKUP($BL$25,ÍNDICES!$B$3:$T$4,2)+11)+1%,IF(C$712=$W$26,$J$35,IF(ISERROR(IF(B784&gt;$D$19,1,VLOOKUP(DATE(YEAR(B784),MONTH(B784)+IF($C$709=$S$23,1,0),1),ÍNDICES!$A:$DE,$Z$709+1))),"",IF(B784&gt;$D$19,1,VLOOKUP(DATE(YEAR(B784),MONTH(B784)+IF($C$709=$S$23,1,0),1),ÍNDICES!$A:$DE,$Z$709+1))))))</f>
        <v/>
      </c>
      <c r="D784" s="155"/>
      <c r="E784" s="88"/>
      <c r="F784" s="88"/>
      <c r="G784" s="88"/>
      <c r="H784" s="118"/>
      <c r="I784" s="182">
        <f t="shared" si="122"/>
        <v>0</v>
      </c>
      <c r="J784" s="20">
        <f t="shared" ca="1" si="123"/>
        <v>0</v>
      </c>
      <c r="K784" s="5">
        <f t="shared" ca="1" si="124"/>
        <v>0</v>
      </c>
      <c r="L784" s="61">
        <f t="shared" ca="1" si="125"/>
        <v>0</v>
      </c>
      <c r="M784" s="64">
        <f t="shared" si="126"/>
        <v>0</v>
      </c>
      <c r="N784" s="151"/>
      <c r="O784" s="5">
        <f t="shared" ca="1" si="127"/>
        <v>0</v>
      </c>
      <c r="P784" s="446" t="e">
        <f t="shared" si="128"/>
        <v>#VALUE!</v>
      </c>
      <c r="Q784" s="446" t="e">
        <f>IF(OR($B784="",MIN(Q$38,$D$19)&lt;MAX($P$708*($B784+IF($R$17="Distrato",$I$38-1,0)),IF(AND($L$711=0,$P$708=0),"",$L$711-1),IF($R$17="Distrato",$E784,0))),0,YEARFRAC(MAX($P$708*($B784+IF($R$17="Distrato",$I$38-1,0)),IF(AND($L$711=0,$P$708=0),"",$L$711-1),IF($R$17="Distrato",$E784,0)),MIN(Q$38,$D$19),$P$20))-SUM($P784:P784)</f>
        <v>#VALUE!</v>
      </c>
      <c r="R784" s="446" t="e">
        <f>IF(OR($B784="",MIN(R$38,$D$19)&lt;MAX($P$708*($B784+IF($R$17="Distrato",$I$38-1,0)),IF(AND($L$711=0,$P$708=0),"",$L$711-1),IF($R$17="Distrato",$E784,0))),0,YEARFRAC(MAX($P$708*($B784+IF($R$17="Distrato",$I$38-1,0)),IF(AND($L$711=0,$P$708=0),"",$L$711-1),IF($R$17="Distrato",$E784,0)),MIN(R$38,$D$19),$P$20))-SUM($P784:Q784)</f>
        <v>#VALUE!</v>
      </c>
      <c r="S784" s="446" t="e">
        <f>IF(OR($B784="",MIN(S$38,$D$19)&lt;MAX($P$708*($B784+IF($R$17="Distrato",$I$38-1,0)),IF(AND($L$711=0,$P$708=0),"",$L$711-1),IF($R$17="Distrato",$E784,0))),0,YEARFRAC(MAX($P$708*($B784+IF($R$17="Distrato",$I$38-1,0)),IF(AND($L$711=0,$P$708=0),"",$L$711-1),IF($R$17="Distrato",$E784,0)),MIN(S$38,$D$19),$P$20))-SUM($P784:R784)</f>
        <v>#VALUE!</v>
      </c>
      <c r="T784" s="446" t="e">
        <f>IF(OR($B784="",MIN(T$38,$D$19)&lt;MAX($P$708*($B784+IF($R$17="Distrato",$I$38-1,0)),IF(AND($L$711=0,$P$708=0),"",$L$711-1),IF($R$17="Distrato",$E784,0))),0,YEARFRAC(MAX($P$708*($B784+IF($R$17="Distrato",$I$38-1,0)),IF(AND($L$711=0,$P$708=0),"",$L$711-1),IF($R$17="Distrato",$E784,0)),MIN(T$38,$D$19),$P$20))-SUM($P784:S784)</f>
        <v>#VALUE!</v>
      </c>
      <c r="U784" s="446" t="e">
        <f>IF(OR($B784="",MIN(U$38,$D$19)&lt;MAX($P$708*($B784+IF($R$17="Distrato",$I$38-1,0)),IF(AND($L$711=0,$P$708=0),"",$L$711-1),IF($R$17="Distrato",$E784,0))),0,YEARFRAC(MAX($P$708*($B784+IF($R$17="Distrato",$I$38-1,0)),IF(AND($L$711=0,$P$708=0),"",$L$711-1),IF($R$17="Distrato",$E784,0)),MIN(U$38,$D$19),$P$20))-SUM($P784:T784)</f>
        <v>#VALUE!</v>
      </c>
      <c r="V784" s="446" t="e">
        <f>IF(OR($B784="",MIN(V$38,$D$19)&lt;MAX($P$708*($B784+IF($R$17="Distrato",$I$38-1,0)),IF(AND($L$711=0,$P$708=0),"",$L$711-1),IF($R$17="Distrato",$E784,0))),0,YEARFRAC(MAX($P$708*($B784+IF($R$17="Distrato",$I$38-1,0)),IF(AND($L$711=0,$P$708=0),"",$L$711-1),IF($R$17="Distrato",$E784,0)),MIN(V$38,$D$19),$P$20))-SUM($P784:U784)</f>
        <v>#VALUE!</v>
      </c>
      <c r="W784" s="446" t="e">
        <f>IF(OR($B784="",MIN(W$38,$D$19)&lt;MAX($P$708*($B784+IF($R$17="Distrato",$I$38-1,0)),IF(AND($L$711=0,$P$708=0),"",$L$711-1),IF($R$17="Distrato",$E784,0))),0,YEARFRAC(MAX($P$708*($B784+IF($R$17="Distrato",$I$38-1,0)),IF(AND($L$711=0,$P$708=0),"",$L$711-1),IF($R$17="Distrato",$E784,0)),MIN(W$38,$D$19),$P$20))-SUM($P784:V784)</f>
        <v>#VALUE!</v>
      </c>
      <c r="X784" s="446" t="e">
        <f>IF(OR($B784="",MIN(X$38,$D$19)&lt;MAX($P$708*($B784+IF($R$17="Distrato",$I$38-1,0)),IF(AND($L$711=0,$P$708=0),"",$L$711-1),IF($R$17="Distrato",$E784,0))),0,YEARFRAC(MAX($P$708*($B784+IF($R$17="Distrato",$I$38-1,0)),IF(AND($L$711=0,$P$708=0),"",$L$711-1),IF($R$17="Distrato",$E784,0)),MIN(X$38,$D$19),$P$20))-SUM($P784:W784)</f>
        <v>#VALUE!</v>
      </c>
      <c r="Y784" s="446" t="e">
        <f>IF(OR($B784="",MIN(Y$38,$D$19)&lt;MAX($P$708*($B784+IF($R$17="Distrato",$I$38-1,0)),IF(AND($L$711=0,$P$708=0),"",$L$711-1),IF($R$17="Distrato",$E784,0))),0,YEARFRAC(MAX($P$708*($B784+IF($R$17="Distrato",$I$38-1,0)),IF(AND($L$711=0,$P$708=0),"",$L$711-1),IF($R$17="Distrato",$E784,0)),MIN(Y$38,$D$19),$P$20))-SUM($P784:X784)</f>
        <v>#VALUE!</v>
      </c>
      <c r="Z784" s="446" t="e">
        <f>IF(OR($B784="",MIN(Z$38,$D$19)&lt;MAX($P$708*($B784+IF($R$17="Distrato",$I$38-1,0)),IF(AND($L$711=0,$P$708=0),"",$L$711-1),IF($R$17="Distrato",$E784,0))),0,YEARFRAC(MAX($P$708*($B784+IF($R$17="Distrato",$I$38-1,0)),IF(AND($L$711=0,$P$708=0),"",$L$711-1),IF($R$17="Distrato",$E784,0)),MIN(Z$38,$D$19),$P$20))-SUM($P784:Y784)</f>
        <v>#VALUE!</v>
      </c>
      <c r="AA784" s="446" t="e">
        <f>IF(OR($B784="",MIN(AA$38,$D$19)&lt;MAX($P$708*($B784+IF($R$17="Distrato",$I$38-1,0)),IF(AND($L$711=0,$P$708=0),"",$L$711-1),IF($R$17="Distrato",$E784,0))),0,YEARFRAC(MAX($P$708*($B784+IF($R$17="Distrato",$I$38-1,0)),IF(AND($L$711=0,$P$708=0),"",$L$711-1),IF($R$17="Distrato",$E784,0)),MIN(AA$38,$D$19),$P$20))-SUM($P784:Z784)</f>
        <v>#VALUE!</v>
      </c>
      <c r="AB784" s="446" t="e">
        <f>IF(OR($B784="",MIN(AB$38,$D$19)&lt;MAX($P$708*($B784+IF($R$17="Distrato",$I$38-1,0)),IF(AND($L$711=0,$P$708=0),"",$L$711-1),IF($R$17="Distrato",$E784,0))),0,YEARFRAC(MAX($P$708*($B784+IF($R$17="Distrato",$I$38-1,0)),IF(AND($L$711=0,$P$708=0),"",$L$711-1),IF($R$17="Distrato",$E784,0)),MIN(AB$38,$D$19),$P$20))-SUM($P784:AA784)</f>
        <v>#VALUE!</v>
      </c>
      <c r="AC784" s="446" t="e">
        <f>IF(OR($B784="",MIN(AC$38,$D$19)&lt;MAX($P$708*($B784+IF($R$17="Distrato",$I$38-1,0)),IF(AND($L$711=0,$P$708=0),"",$L$711-1),IF($R$17="Distrato",$E784,0))),0,YEARFRAC(MAX($P$708*($B784+IF($R$17="Distrato",$I$38-1,0)),IF(AND($L$711=0,$P$708=0),"",$L$711-1),IF($R$17="Distrato",$E784,0)),MIN(AC$38,$D$19),$P$20))-SUM($P784:AB784)</f>
        <v>#VALUE!</v>
      </c>
      <c r="AD784" s="446" t="e">
        <f>IF(OR($B784="",MIN(AD$38,$D$19)&lt;MAX($P$708*($B784+IF($R$17="Distrato",$I$38-1,0)),IF(AND($L$711=0,$P$708=0),"",$L$711-1),IF($R$17="Distrato",$E784,0))),0,YEARFRAC(MAX($P$708*($B784+IF($R$17="Distrato",$I$38-1,0)),IF(AND($L$711=0,$P$708=0),"",$L$711-1),IF($R$17="Distrato",$E784,0)),MIN(AD$38,$D$19),$P$20))-SUM($P784:AC784)</f>
        <v>#VALUE!</v>
      </c>
      <c r="AE784" s="446" t="e">
        <f>IF(OR($B784="",MIN(AE$38,$D$19)&lt;MAX($P$708*($B784+IF($R$17="Distrato",$I$38-1,0)),IF(AND($L$711=0,$P$708=0),"",$L$711-1),IF($R$17="Distrato",$E784,0))),0,YEARFRAC(MAX($P$708*($B784+IF($R$17="Distrato",$I$38-1,0)),IF(AND($L$711=0,$P$708=0),"",$L$711-1),IF($R$17="Distrato",$E784,0)),MIN(AE$38,$D$19),$P$20))-SUM($P784:AD784)</f>
        <v>#VALUE!</v>
      </c>
      <c r="AF784" s="446" t="e">
        <f>IF(OR($B784="",MIN(AF$38,$D$19)&lt;MAX($P$708*($B784+IF($R$17="Distrato",$I$38-1,0)),IF(AND($L$711=0,$P$708=0),"",$L$711-1),IF($R$17="Distrato",$E784,0))),0,YEARFRAC(MAX($P$708*($B784+IF($R$17="Distrato",$I$38-1,0)),IF(AND($L$711=0,$P$708=0),"",$L$711-1),IF($R$17="Distrato",$E784,0)),MIN(AF$38,$D$19),$P$20))-SUM($P784:AE784)</f>
        <v>#VALUE!</v>
      </c>
      <c r="AG784" s="446" t="e">
        <f>IF(OR($B784="",MIN(AG$38,$D$19)&lt;MAX($P$708*($B784+IF($R$17="Distrato",$I$38-1,0)),IF(AND($L$711=0,$P$708=0),"",$L$711-1),IF($R$17="Distrato",$E784,0))),0,YEARFRAC(MAX($P$708*($B784+IF($R$17="Distrato",$I$38-1,0)),IF(AND($L$711=0,$P$708=0),"",$L$711-1),IF($R$17="Distrato",$E784,0)),MIN(AG$38,$D$19),$P$20))-SUM($P784:AF784)</f>
        <v>#VALUE!</v>
      </c>
      <c r="AH784" s="446" t="e">
        <f>IF(OR($B784="",MIN(AH$38,$D$19)&lt;MAX($P$708*($B784+IF($R$17="Distrato",$I$38-1,0)),IF(AND($L$711=0,$P$708=0),"",$L$711-1),IF($R$17="Distrato",$E784,0))),0,YEARFRAC(MAX($P$708*($B784+IF($R$17="Distrato",$I$38-1,0)),IF(AND($L$711=0,$P$708=0),"",$L$711-1),IF($R$17="Distrato",$E784,0)),MIN(AH$38,$D$19),$P$20))-SUM($P784:AG784)</f>
        <v>#VALUE!</v>
      </c>
      <c r="AI784" s="446" t="e">
        <f>IF(OR($B784="",MIN(AI$38,$D$19)&lt;MAX($P$708*($B784+IF($R$17="Distrato",$I$38-1,0)),IF(AND($L$711=0,$P$708=0),"",$L$711-1),IF($R$17="Distrato",$E784,0))),0,YEARFRAC(MAX($P$708*($B784+IF($R$17="Distrato",$I$38-1,0)),IF(AND($L$711=0,$P$708=0),"",$L$711-1),IF($R$17="Distrato",$E784,0)),MIN(AI$38,$D$19),$P$20))-SUM($P784:AH784)</f>
        <v>#VALUE!</v>
      </c>
      <c r="AJ784" s="446" t="e">
        <f>IF(OR($B784="",MIN(AJ$38,$D$19)&lt;MAX($P$708*($B784+IF($R$17="Distrato",$I$38-1,0)),IF(AND($L$711=0,$P$708=0),"",$L$711-1),IF($R$17="Distrato",$E784,0))),0,YEARFRAC(MAX($P$708*($B784+IF($R$17="Distrato",$I$38-1,0)),IF(AND($L$711=0,$P$708=0),"",$L$711-1),IF($R$17="Distrato",$E784,0)),MIN(AJ$38,$D$19),$P$20))-SUM($P784:AI784)</f>
        <v>#VALUE!</v>
      </c>
      <c r="AK784" s="446" t="e">
        <f>IF(OR($B784="",MIN(AK$38,$D$19)&lt;MAX($P$708*($B784+IF($R$17="Distrato",$I$38-1,0)),IF(AND($L$711=0,$P$708=0),"",$L$711-1),IF($R$17="Distrato",$E784,0))),0,YEARFRAC(MAX($P$708*($B784+IF($R$17="Distrato",$I$38-1,0)),IF(AND($L$711=0,$P$708=0),"",$L$711-1),IF($R$17="Distrato",$E784,0)),MIN(AK$38,$D$19),$P$20))-SUM($P784:AJ784)</f>
        <v>#VALUE!</v>
      </c>
      <c r="AL784" s="446" t="e">
        <f>IF(OR($B784="",MIN(AL$38,$D$19)&lt;MAX($P$708*($B784+IF($R$17="Distrato",$I$38-1,0)),IF(AND($L$711=0,$P$708=0),"",$L$711-1),IF($R$17="Distrato",$E784,0))),0,YEARFRAC(MAX($P$708*($B784+IF($R$17="Distrato",$I$38-1,0)),IF(AND($L$711=0,$P$708=0),"",$L$711-1),IF($R$17="Distrato",$E784,0)),MIN(AL$38,$D$19),$P$20))-SUM($P784:AK784)</f>
        <v>#VALUE!</v>
      </c>
      <c r="AM784" s="446" t="e">
        <f>IF(OR($B784="",MIN(AM$38,$D$19)&lt;MAX($P$708*($B784+IF($R$17="Distrato",$I$38-1,0)),IF(AND($L$711=0,$P$708=0),"",$L$711-1),IF($R$17="Distrato",$E784,0))),0,YEARFRAC(MAX($P$708*($B784+IF($R$17="Distrato",$I$38-1,0)),IF(AND($L$711=0,$P$708=0),"",$L$711-1),IF($R$17="Distrato",$E784,0)),MIN(AM$38,$D$19),$P$20))-SUM($P784:AL784)</f>
        <v>#VALUE!</v>
      </c>
      <c r="AN784" s="446" t="e">
        <f>IF(OR($B784="",MIN(AN$38,$D$19)&lt;MAX($P$708*($B784+IF($R$17="Distrato",$I$38-1,0)),IF(AND($L$711=0,$P$708=0),"",$L$711-1),IF($R$17="Distrato",$E784,0))),0,YEARFRAC(MAX($P$708*($B784+IF($R$17="Distrato",$I$38-1,0)),IF(AND($L$711=0,$P$708=0),"",$L$711-1),IF($R$17="Distrato",$E784,0)),MIN(AN$38,$D$19),$P$20))-SUM($P784:AM784)</f>
        <v>#VALUE!</v>
      </c>
      <c r="AO784" s="446" t="e">
        <f>IF(OR($B784="",MIN(AO$38,$D$19)&lt;MAX($P$708*($B784+IF($R$17="Distrato",$I$38-1,0)),IF(AND($L$711=0,$P$708=0),"",$L$711-1),IF($R$17="Distrato",$E784,0))),0,YEARFRAC(MAX($P$708*($B784+IF($R$17="Distrato",$I$38-1,0)),IF(AND($L$711=0,$P$708=0),"",$L$711-1),IF($R$17="Distrato",$E784,0)),MIN(AO$38,$D$19),$P$20))-SUM($P784:AN784)</f>
        <v>#VALUE!</v>
      </c>
      <c r="AP784" s="446" t="e">
        <f>IF(OR($B784="",MIN(AP$38,$D$19)&lt;MAX($P$708*($B784+IF($R$17="Distrato",$I$38-1,0)),IF(AND($L$711=0,$P$708=0),"",$L$711-1),IF($R$17="Distrato",$E784,0))),0,YEARFRAC(MAX($P$708*($B784+IF($R$17="Distrato",$I$38-1,0)),IF(AND($L$711=0,$P$708=0),"",$L$711-1),IF($R$17="Distrato",$E784,0)),MIN(AP$38,$D$19),$P$20))-SUM($P784:AO784)</f>
        <v>#VALUE!</v>
      </c>
      <c r="AQ784" s="446" t="e">
        <f>IF(OR($B784="",MIN(AQ$38,$D$19)&lt;MAX($P$708*($B784+IF($R$17="Distrato",$I$38-1,0)),IF(AND($L$711=0,$P$708=0),"",$L$711-1),IF($R$17="Distrato",$E784,0))),0,YEARFRAC(MAX($P$708*($B784+IF($R$17="Distrato",$I$38-1,0)),IF(AND($L$711=0,$P$708=0),"",$L$711-1),IF($R$17="Distrato",$E784,0)),MIN(AQ$38,$D$19),$P$20))-SUM($P784:AP784)</f>
        <v>#VALUE!</v>
      </c>
      <c r="AR784" s="446" t="e">
        <f>IF(OR($B784="",MIN(AR$38,$D$19)&lt;MAX($P$708*($B784+IF($R$17="Distrato",$I$38-1,0)),IF(AND($L$711=0,$P$708=0),"",$L$711-1),IF($R$17="Distrato",$E784,0))),0,YEARFRAC(MAX($P$708*($B784+IF($R$17="Distrato",$I$38-1,0)),IF(AND($L$711=0,$P$708=0),"",$L$711-1),IF($R$17="Distrato",$E784,0)),MIN(AR$38,$D$19),$P$20))-SUM($P784:AQ784)</f>
        <v>#VALUE!</v>
      </c>
      <c r="AS784" s="446" t="e">
        <f>IF(OR($B784="",MIN(AS$38,$D$19)&lt;MAX($P$708*($B784+IF($R$17="Distrato",$I$38-1,0)),IF(AND($L$711=0,$P$708=0),"",$L$711-1),IF($R$17="Distrato",$E784,0))),0,YEARFRAC(MAX($P$708*($B784+IF($R$17="Distrato",$I$38-1,0)),IF(AND($L$711=0,$P$708=0),"",$L$711-1),IF($R$17="Distrato",$E784,0)),MIN(AS$38,$D$19),$P$20))-SUM($P784:AR784)</f>
        <v>#VALUE!</v>
      </c>
      <c r="AT784" s="446" t="e">
        <f>IF(OR($B784="",MIN(AT$38,$D$19)&lt;MAX($P$708*($B784+IF($R$17="Distrato",$I$38-1,0)),IF(AND($L$711=0,$P$708=0),"",$L$711-1),IF($R$17="Distrato",$E784,0))),0,YEARFRAC(MAX($P$708*($B784+IF($R$17="Distrato",$I$38-1,0)),IF(AND($L$711=0,$P$708=0),"",$L$711-1),IF($R$17="Distrato",$E784,0)),MIN(AT$38,$D$19),$P$20))-SUM($P784:AS784)</f>
        <v>#VALUE!</v>
      </c>
      <c r="AU784" s="446" t="e">
        <f>IF(OR($B784="",MIN(AU$38,$D$19)&lt;MAX($P$708*($B784+IF($R$17="Distrato",$I$38-1,0)),IF(AND($L$711=0,$P$708=0),"",$L$711-1),IF($R$17="Distrato",$E784,0))),0,YEARFRAC(MAX($P$708*($B784+IF($R$17="Distrato",$I$38-1,0)),IF(AND($L$711=0,$P$708=0),"",$L$711-1),IF($R$17="Distrato",$E784,0)),MIN(AU$38,$D$19),$P$20))-SUM($P784:AT784)</f>
        <v>#VALUE!</v>
      </c>
      <c r="AV784" s="446" t="e">
        <f>IF(OR($B784="",MIN(AV$38,$D$19)&lt;MAX($P$708*($B784+IF($R$17="Distrato",$I$38-1,0)),IF(AND($L$711=0,$P$708=0),"",$L$711-1),IF($R$17="Distrato",$E784,0))),0,YEARFRAC(MAX($P$708*($B784+IF($R$17="Distrato",$I$38-1,0)),IF(AND($L$711=0,$P$708=0),"",$L$711-1),IF($R$17="Distrato",$E784,0)),MIN(AV$38,$D$19),$P$20))-SUM($P784:AU784)</f>
        <v>#VALUE!</v>
      </c>
      <c r="AW784" s="446" t="e">
        <f>IF(OR($B784="",MIN(AW$38,$D$19)&lt;MAX($P$708*($B784+IF($R$17="Distrato",$I$38-1,0)),IF(AND($L$711=0,$P$708=0),"",$L$711-1),IF($R$17="Distrato",$E784,0))),0,YEARFRAC(MAX($P$708*($B784+IF($R$17="Distrato",$I$38-1,0)),IF(AND($L$711=0,$P$708=0),"",$L$711-1),IF($R$17="Distrato",$E784,0)),MIN(AW$38,$D$19),$P$20))-SUM($P784:AV784)</f>
        <v>#VALUE!</v>
      </c>
      <c r="AX784" s="446" t="e">
        <f>IF(OR($B784="",MIN(AX$38,$D$19)&lt;MAX($P$708*($B784+IF($R$17="Distrato",$I$38-1,0)),IF(AND($L$711=0,$P$708=0),"",$L$711-1),IF($R$17="Distrato",$E784,0))),0,YEARFRAC(MAX($P$708*($B784+IF($R$17="Distrato",$I$38-1,0)),IF(AND($L$711=0,$P$708=0),"",$L$711-1),IF($R$17="Distrato",$E784,0)),MIN(AX$38,$D$19),$P$20))-SUM($P784:AW784)</f>
        <v>#VALUE!</v>
      </c>
      <c r="AY784" s="446" t="e">
        <f>IF(OR($B784="",MIN(AY$38,$D$19)&lt;MAX($P$708*($B784+IF($R$17="Distrato",$I$38-1,0)),IF(AND($L$711=0,$P$708=0),"",$L$711-1),IF($R$17="Distrato",$E784,0))),0,YEARFRAC(MAX($P$708*($B784+IF($R$17="Distrato",$I$38-1,0)),IF(AND($L$711=0,$P$708=0),"",$L$711-1),IF($R$17="Distrato",$E784,0)),MIN(AY$38,$D$19),$P$20))-SUM($P784:AX784)</f>
        <v>#VALUE!</v>
      </c>
      <c r="AZ784" s="446" t="e">
        <f>IF(OR($B784="",MIN(AZ$38,$D$19)&lt;MAX($P$708*($B784+IF($R$17="Distrato",$I$38-1,0)),IF(AND($L$711=0,$P$708=0),"",$L$711-1),IF($R$17="Distrato",$E784,0))),0,YEARFRAC(MAX($P$708*($B784+IF($R$17="Distrato",$I$38-1,0)),IF(AND($L$711=0,$P$708=0),"",$L$711-1),IF($R$17="Distrato",$E784,0)),MIN(AZ$38,$D$19),$P$20))-SUM($P784:AY784)</f>
        <v>#VALUE!</v>
      </c>
      <c r="BA784" s="446" t="e">
        <f>IF(OR($B784="",MIN(BA$38,$D$19)&lt;MAX($P$708*($B784+IF($R$17="Distrato",$I$38-1,0)),IF(AND($L$711=0,$P$708=0),"",$L$711-1),IF($R$17="Distrato",$E784,0))),0,YEARFRAC(MAX($P$708*($B784+IF($R$17="Distrato",$I$38-1,0)),IF(AND($L$711=0,$P$708=0),"",$L$711-1),IF($R$17="Distrato",$E784,0)),MIN(BA$38,$D$19),$P$20))-SUM($P784:AZ784)</f>
        <v>#VALUE!</v>
      </c>
      <c r="BB784" s="447"/>
    </row>
    <row r="785" spans="1:54" s="446" customFormat="1" ht="11.25" hidden="1" customHeight="1" x14ac:dyDescent="0.2">
      <c r="A785" s="235"/>
      <c r="B785" s="236"/>
      <c r="C785" s="29" t="str">
        <f>IF(B785="","",IF($L$709=$BL$25,VLOOKUP(DATE(YEAR($D$19),MONTH($D$19)-1,1),ÍNDICES!$A:$DE,HLOOKUP($BL$25,ÍNDICES!$B$3:$T$4,2)+11)-VLOOKUP(B785,ÍNDICES!$A:$DE,HLOOKUP($BL$25,ÍNDICES!$B$3:$T$4,2)+11)+1%,IF(C$712=$W$26,$J$35,IF(ISERROR(IF(B785&gt;$D$19,1,VLOOKUP(DATE(YEAR(B785),MONTH(B785)+IF($C$709=$S$23,1,0),1),ÍNDICES!$A:$DE,$Z$709+1))),"",IF(B785&gt;$D$19,1,VLOOKUP(DATE(YEAR(B785),MONTH(B785)+IF($C$709=$S$23,1,0),1),ÍNDICES!$A:$DE,$Z$709+1))))))</f>
        <v/>
      </c>
      <c r="D785" s="155"/>
      <c r="E785" s="88"/>
      <c r="F785" s="88"/>
      <c r="G785" s="88"/>
      <c r="H785" s="118"/>
      <c r="I785" s="182">
        <f t="shared" si="122"/>
        <v>0</v>
      </c>
      <c r="J785" s="20">
        <f t="shared" ca="1" si="123"/>
        <v>0</v>
      </c>
      <c r="K785" s="5">
        <f t="shared" ca="1" si="124"/>
        <v>0</v>
      </c>
      <c r="L785" s="61">
        <f t="shared" ca="1" si="125"/>
        <v>0</v>
      </c>
      <c r="M785" s="64">
        <f t="shared" si="126"/>
        <v>0</v>
      </c>
      <c r="N785" s="151"/>
      <c r="O785" s="5">
        <f t="shared" ca="1" si="127"/>
        <v>0</v>
      </c>
      <c r="P785" s="446" t="e">
        <f t="shared" si="128"/>
        <v>#VALUE!</v>
      </c>
      <c r="Q785" s="446" t="e">
        <f>IF(OR($B785="",MIN(Q$38,$D$19)&lt;MAX($P$708*($B785+IF($R$17="Distrato",$I$38-1,0)),IF(AND($L$711=0,$P$708=0),"",$L$711-1),IF($R$17="Distrato",$E785,0))),0,YEARFRAC(MAX($P$708*($B785+IF($R$17="Distrato",$I$38-1,0)),IF(AND($L$711=0,$P$708=0),"",$L$711-1),IF($R$17="Distrato",$E785,0)),MIN(Q$38,$D$19),$P$20))-SUM($P785:P785)</f>
        <v>#VALUE!</v>
      </c>
      <c r="R785" s="446" t="e">
        <f>IF(OR($B785="",MIN(R$38,$D$19)&lt;MAX($P$708*($B785+IF($R$17="Distrato",$I$38-1,0)),IF(AND($L$711=0,$P$708=0),"",$L$711-1),IF($R$17="Distrato",$E785,0))),0,YEARFRAC(MAX($P$708*($B785+IF($R$17="Distrato",$I$38-1,0)),IF(AND($L$711=0,$P$708=0),"",$L$711-1),IF($R$17="Distrato",$E785,0)),MIN(R$38,$D$19),$P$20))-SUM($P785:Q785)</f>
        <v>#VALUE!</v>
      </c>
      <c r="S785" s="446" t="e">
        <f>IF(OR($B785="",MIN(S$38,$D$19)&lt;MAX($P$708*($B785+IF($R$17="Distrato",$I$38-1,0)),IF(AND($L$711=0,$P$708=0),"",$L$711-1),IF($R$17="Distrato",$E785,0))),0,YEARFRAC(MAX($P$708*($B785+IF($R$17="Distrato",$I$38-1,0)),IF(AND($L$711=0,$P$708=0),"",$L$711-1),IF($R$17="Distrato",$E785,0)),MIN(S$38,$D$19),$P$20))-SUM($P785:R785)</f>
        <v>#VALUE!</v>
      </c>
      <c r="T785" s="446" t="e">
        <f>IF(OR($B785="",MIN(T$38,$D$19)&lt;MAX($P$708*($B785+IF($R$17="Distrato",$I$38-1,0)),IF(AND($L$711=0,$P$708=0),"",$L$711-1),IF($R$17="Distrato",$E785,0))),0,YEARFRAC(MAX($P$708*($B785+IF($R$17="Distrato",$I$38-1,0)),IF(AND($L$711=0,$P$708=0),"",$L$711-1),IF($R$17="Distrato",$E785,0)),MIN(T$38,$D$19),$P$20))-SUM($P785:S785)</f>
        <v>#VALUE!</v>
      </c>
      <c r="U785" s="446" t="e">
        <f>IF(OR($B785="",MIN(U$38,$D$19)&lt;MAX($P$708*($B785+IF($R$17="Distrato",$I$38-1,0)),IF(AND($L$711=0,$P$708=0),"",$L$711-1),IF($R$17="Distrato",$E785,0))),0,YEARFRAC(MAX($P$708*($B785+IF($R$17="Distrato",$I$38-1,0)),IF(AND($L$711=0,$P$708=0),"",$L$711-1),IF($R$17="Distrato",$E785,0)),MIN(U$38,$D$19),$P$20))-SUM($P785:T785)</f>
        <v>#VALUE!</v>
      </c>
      <c r="V785" s="446" t="e">
        <f>IF(OR($B785="",MIN(V$38,$D$19)&lt;MAX($P$708*($B785+IF($R$17="Distrato",$I$38-1,0)),IF(AND($L$711=0,$P$708=0),"",$L$711-1),IF($R$17="Distrato",$E785,0))),0,YEARFRAC(MAX($P$708*($B785+IF($R$17="Distrato",$I$38-1,0)),IF(AND($L$711=0,$P$708=0),"",$L$711-1),IF($R$17="Distrato",$E785,0)),MIN(V$38,$D$19),$P$20))-SUM($P785:U785)</f>
        <v>#VALUE!</v>
      </c>
      <c r="W785" s="446" t="e">
        <f>IF(OR($B785="",MIN(W$38,$D$19)&lt;MAX($P$708*($B785+IF($R$17="Distrato",$I$38-1,0)),IF(AND($L$711=0,$P$708=0),"",$L$711-1),IF($R$17="Distrato",$E785,0))),0,YEARFRAC(MAX($P$708*($B785+IF($R$17="Distrato",$I$38-1,0)),IF(AND($L$711=0,$P$708=0),"",$L$711-1),IF($R$17="Distrato",$E785,0)),MIN(W$38,$D$19),$P$20))-SUM($P785:V785)</f>
        <v>#VALUE!</v>
      </c>
      <c r="X785" s="446" t="e">
        <f>IF(OR($B785="",MIN(X$38,$D$19)&lt;MAX($P$708*($B785+IF($R$17="Distrato",$I$38-1,0)),IF(AND($L$711=0,$P$708=0),"",$L$711-1),IF($R$17="Distrato",$E785,0))),0,YEARFRAC(MAX($P$708*($B785+IF($R$17="Distrato",$I$38-1,0)),IF(AND($L$711=0,$P$708=0),"",$L$711-1),IF($R$17="Distrato",$E785,0)),MIN(X$38,$D$19),$P$20))-SUM($P785:W785)</f>
        <v>#VALUE!</v>
      </c>
      <c r="Y785" s="446" t="e">
        <f>IF(OR($B785="",MIN(Y$38,$D$19)&lt;MAX($P$708*($B785+IF($R$17="Distrato",$I$38-1,0)),IF(AND($L$711=0,$P$708=0),"",$L$711-1),IF($R$17="Distrato",$E785,0))),0,YEARFRAC(MAX($P$708*($B785+IF($R$17="Distrato",$I$38-1,0)),IF(AND($L$711=0,$P$708=0),"",$L$711-1),IF($R$17="Distrato",$E785,0)),MIN(Y$38,$D$19),$P$20))-SUM($P785:X785)</f>
        <v>#VALUE!</v>
      </c>
      <c r="Z785" s="446" t="e">
        <f>IF(OR($B785="",MIN(Z$38,$D$19)&lt;MAX($P$708*($B785+IF($R$17="Distrato",$I$38-1,0)),IF(AND($L$711=0,$P$708=0),"",$L$711-1),IF($R$17="Distrato",$E785,0))),0,YEARFRAC(MAX($P$708*($B785+IF($R$17="Distrato",$I$38-1,0)),IF(AND($L$711=0,$P$708=0),"",$L$711-1),IF($R$17="Distrato",$E785,0)),MIN(Z$38,$D$19),$P$20))-SUM($P785:Y785)</f>
        <v>#VALUE!</v>
      </c>
      <c r="AA785" s="446" t="e">
        <f>IF(OR($B785="",MIN(AA$38,$D$19)&lt;MAX($P$708*($B785+IF($R$17="Distrato",$I$38-1,0)),IF(AND($L$711=0,$P$708=0),"",$L$711-1),IF($R$17="Distrato",$E785,0))),0,YEARFRAC(MAX($P$708*($B785+IF($R$17="Distrato",$I$38-1,0)),IF(AND($L$711=0,$P$708=0),"",$L$711-1),IF($R$17="Distrato",$E785,0)),MIN(AA$38,$D$19),$P$20))-SUM($P785:Z785)</f>
        <v>#VALUE!</v>
      </c>
      <c r="AB785" s="446" t="e">
        <f>IF(OR($B785="",MIN(AB$38,$D$19)&lt;MAX($P$708*($B785+IF($R$17="Distrato",$I$38-1,0)),IF(AND($L$711=0,$P$708=0),"",$L$711-1),IF($R$17="Distrato",$E785,0))),0,YEARFRAC(MAX($P$708*($B785+IF($R$17="Distrato",$I$38-1,0)),IF(AND($L$711=0,$P$708=0),"",$L$711-1),IF($R$17="Distrato",$E785,0)),MIN(AB$38,$D$19),$P$20))-SUM($P785:AA785)</f>
        <v>#VALUE!</v>
      </c>
      <c r="AC785" s="446" t="e">
        <f>IF(OR($B785="",MIN(AC$38,$D$19)&lt;MAX($P$708*($B785+IF($R$17="Distrato",$I$38-1,0)),IF(AND($L$711=0,$P$708=0),"",$L$711-1),IF($R$17="Distrato",$E785,0))),0,YEARFRAC(MAX($P$708*($B785+IF($R$17="Distrato",$I$38-1,0)),IF(AND($L$711=0,$P$708=0),"",$L$711-1),IF($R$17="Distrato",$E785,0)),MIN(AC$38,$D$19),$P$20))-SUM($P785:AB785)</f>
        <v>#VALUE!</v>
      </c>
      <c r="AD785" s="446" t="e">
        <f>IF(OR($B785="",MIN(AD$38,$D$19)&lt;MAX($P$708*($B785+IF($R$17="Distrato",$I$38-1,0)),IF(AND($L$711=0,$P$708=0),"",$L$711-1),IF($R$17="Distrato",$E785,0))),0,YEARFRAC(MAX($P$708*($B785+IF($R$17="Distrato",$I$38-1,0)),IF(AND($L$711=0,$P$708=0),"",$L$711-1),IF($R$17="Distrato",$E785,0)),MIN(AD$38,$D$19),$P$20))-SUM($P785:AC785)</f>
        <v>#VALUE!</v>
      </c>
      <c r="AE785" s="446" t="e">
        <f>IF(OR($B785="",MIN(AE$38,$D$19)&lt;MAX($P$708*($B785+IF($R$17="Distrato",$I$38-1,0)),IF(AND($L$711=0,$P$708=0),"",$L$711-1),IF($R$17="Distrato",$E785,0))),0,YEARFRAC(MAX($P$708*($B785+IF($R$17="Distrato",$I$38-1,0)),IF(AND($L$711=0,$P$708=0),"",$L$711-1),IF($R$17="Distrato",$E785,0)),MIN(AE$38,$D$19),$P$20))-SUM($P785:AD785)</f>
        <v>#VALUE!</v>
      </c>
      <c r="AF785" s="446" t="e">
        <f>IF(OR($B785="",MIN(AF$38,$D$19)&lt;MAX($P$708*($B785+IF($R$17="Distrato",$I$38-1,0)),IF(AND($L$711=0,$P$708=0),"",$L$711-1),IF($R$17="Distrato",$E785,0))),0,YEARFRAC(MAX($P$708*($B785+IF($R$17="Distrato",$I$38-1,0)),IF(AND($L$711=0,$P$708=0),"",$L$711-1),IF($R$17="Distrato",$E785,0)),MIN(AF$38,$D$19),$P$20))-SUM($P785:AE785)</f>
        <v>#VALUE!</v>
      </c>
      <c r="AG785" s="446" t="e">
        <f>IF(OR($B785="",MIN(AG$38,$D$19)&lt;MAX($P$708*($B785+IF($R$17="Distrato",$I$38-1,0)),IF(AND($L$711=0,$P$708=0),"",$L$711-1),IF($R$17="Distrato",$E785,0))),0,YEARFRAC(MAX($P$708*($B785+IF($R$17="Distrato",$I$38-1,0)),IF(AND($L$711=0,$P$708=0),"",$L$711-1),IF($R$17="Distrato",$E785,0)),MIN(AG$38,$D$19),$P$20))-SUM($P785:AF785)</f>
        <v>#VALUE!</v>
      </c>
      <c r="AH785" s="446" t="e">
        <f>IF(OR($B785="",MIN(AH$38,$D$19)&lt;MAX($P$708*($B785+IF($R$17="Distrato",$I$38-1,0)),IF(AND($L$711=0,$P$708=0),"",$L$711-1),IF($R$17="Distrato",$E785,0))),0,YEARFRAC(MAX($P$708*($B785+IF($R$17="Distrato",$I$38-1,0)),IF(AND($L$711=0,$P$708=0),"",$L$711-1),IF($R$17="Distrato",$E785,0)),MIN(AH$38,$D$19),$P$20))-SUM($P785:AG785)</f>
        <v>#VALUE!</v>
      </c>
      <c r="AI785" s="446" t="e">
        <f>IF(OR($B785="",MIN(AI$38,$D$19)&lt;MAX($P$708*($B785+IF($R$17="Distrato",$I$38-1,0)),IF(AND($L$711=0,$P$708=0),"",$L$711-1),IF($R$17="Distrato",$E785,0))),0,YEARFRAC(MAX($P$708*($B785+IF($R$17="Distrato",$I$38-1,0)),IF(AND($L$711=0,$P$708=0),"",$L$711-1),IF($R$17="Distrato",$E785,0)),MIN(AI$38,$D$19),$P$20))-SUM($P785:AH785)</f>
        <v>#VALUE!</v>
      </c>
      <c r="AJ785" s="446" t="e">
        <f>IF(OR($B785="",MIN(AJ$38,$D$19)&lt;MAX($P$708*($B785+IF($R$17="Distrato",$I$38-1,0)),IF(AND($L$711=0,$P$708=0),"",$L$711-1),IF($R$17="Distrato",$E785,0))),0,YEARFRAC(MAX($P$708*($B785+IF($R$17="Distrato",$I$38-1,0)),IF(AND($L$711=0,$P$708=0),"",$L$711-1),IF($R$17="Distrato",$E785,0)),MIN(AJ$38,$D$19),$P$20))-SUM($P785:AI785)</f>
        <v>#VALUE!</v>
      </c>
      <c r="AK785" s="446" t="e">
        <f>IF(OR($B785="",MIN(AK$38,$D$19)&lt;MAX($P$708*($B785+IF($R$17="Distrato",$I$38-1,0)),IF(AND($L$711=0,$P$708=0),"",$L$711-1),IF($R$17="Distrato",$E785,0))),0,YEARFRAC(MAX($P$708*($B785+IF($R$17="Distrato",$I$38-1,0)),IF(AND($L$711=0,$P$708=0),"",$L$711-1),IF($R$17="Distrato",$E785,0)),MIN(AK$38,$D$19),$P$20))-SUM($P785:AJ785)</f>
        <v>#VALUE!</v>
      </c>
      <c r="AL785" s="446" t="e">
        <f>IF(OR($B785="",MIN(AL$38,$D$19)&lt;MAX($P$708*($B785+IF($R$17="Distrato",$I$38-1,0)),IF(AND($L$711=0,$P$708=0),"",$L$711-1),IF($R$17="Distrato",$E785,0))),0,YEARFRAC(MAX($P$708*($B785+IF($R$17="Distrato",$I$38-1,0)),IF(AND($L$711=0,$P$708=0),"",$L$711-1),IF($R$17="Distrato",$E785,0)),MIN(AL$38,$D$19),$P$20))-SUM($P785:AK785)</f>
        <v>#VALUE!</v>
      </c>
      <c r="AM785" s="446" t="e">
        <f>IF(OR($B785="",MIN(AM$38,$D$19)&lt;MAX($P$708*($B785+IF($R$17="Distrato",$I$38-1,0)),IF(AND($L$711=0,$P$708=0),"",$L$711-1),IF($R$17="Distrato",$E785,0))),0,YEARFRAC(MAX($P$708*($B785+IF($R$17="Distrato",$I$38-1,0)),IF(AND($L$711=0,$P$708=0),"",$L$711-1),IF($R$17="Distrato",$E785,0)),MIN(AM$38,$D$19),$P$20))-SUM($P785:AL785)</f>
        <v>#VALUE!</v>
      </c>
      <c r="AN785" s="446" t="e">
        <f>IF(OR($B785="",MIN(AN$38,$D$19)&lt;MAX($P$708*($B785+IF($R$17="Distrato",$I$38-1,0)),IF(AND($L$711=0,$P$708=0),"",$L$711-1),IF($R$17="Distrato",$E785,0))),0,YEARFRAC(MAX($P$708*($B785+IF($R$17="Distrato",$I$38-1,0)),IF(AND($L$711=0,$P$708=0),"",$L$711-1),IF($R$17="Distrato",$E785,0)),MIN(AN$38,$D$19),$P$20))-SUM($P785:AM785)</f>
        <v>#VALUE!</v>
      </c>
      <c r="AO785" s="446" t="e">
        <f>IF(OR($B785="",MIN(AO$38,$D$19)&lt;MAX($P$708*($B785+IF($R$17="Distrato",$I$38-1,0)),IF(AND($L$711=0,$P$708=0),"",$L$711-1),IF($R$17="Distrato",$E785,0))),0,YEARFRAC(MAX($P$708*($B785+IF($R$17="Distrato",$I$38-1,0)),IF(AND($L$711=0,$P$708=0),"",$L$711-1),IF($R$17="Distrato",$E785,0)),MIN(AO$38,$D$19),$P$20))-SUM($P785:AN785)</f>
        <v>#VALUE!</v>
      </c>
      <c r="AP785" s="446" t="e">
        <f>IF(OR($B785="",MIN(AP$38,$D$19)&lt;MAX($P$708*($B785+IF($R$17="Distrato",$I$38-1,0)),IF(AND($L$711=0,$P$708=0),"",$L$711-1),IF($R$17="Distrato",$E785,0))),0,YEARFRAC(MAX($P$708*($B785+IF($R$17="Distrato",$I$38-1,0)),IF(AND($L$711=0,$P$708=0),"",$L$711-1),IF($R$17="Distrato",$E785,0)),MIN(AP$38,$D$19),$P$20))-SUM($P785:AO785)</f>
        <v>#VALUE!</v>
      </c>
      <c r="AQ785" s="446" t="e">
        <f>IF(OR($B785="",MIN(AQ$38,$D$19)&lt;MAX($P$708*($B785+IF($R$17="Distrato",$I$38-1,0)),IF(AND($L$711=0,$P$708=0),"",$L$711-1),IF($R$17="Distrato",$E785,0))),0,YEARFRAC(MAX($P$708*($B785+IF($R$17="Distrato",$I$38-1,0)),IF(AND($L$711=0,$P$708=0),"",$L$711-1),IF($R$17="Distrato",$E785,0)),MIN(AQ$38,$D$19),$P$20))-SUM($P785:AP785)</f>
        <v>#VALUE!</v>
      </c>
      <c r="AR785" s="446" t="e">
        <f>IF(OR($B785="",MIN(AR$38,$D$19)&lt;MAX($P$708*($B785+IF($R$17="Distrato",$I$38-1,0)),IF(AND($L$711=0,$P$708=0),"",$L$711-1),IF($R$17="Distrato",$E785,0))),0,YEARFRAC(MAX($P$708*($B785+IF($R$17="Distrato",$I$38-1,0)),IF(AND($L$711=0,$P$708=0),"",$L$711-1),IF($R$17="Distrato",$E785,0)),MIN(AR$38,$D$19),$P$20))-SUM($P785:AQ785)</f>
        <v>#VALUE!</v>
      </c>
      <c r="AS785" s="446" t="e">
        <f>IF(OR($B785="",MIN(AS$38,$D$19)&lt;MAX($P$708*($B785+IF($R$17="Distrato",$I$38-1,0)),IF(AND($L$711=0,$P$708=0),"",$L$711-1),IF($R$17="Distrato",$E785,0))),0,YEARFRAC(MAX($P$708*($B785+IF($R$17="Distrato",$I$38-1,0)),IF(AND($L$711=0,$P$708=0),"",$L$711-1),IF($R$17="Distrato",$E785,0)),MIN(AS$38,$D$19),$P$20))-SUM($P785:AR785)</f>
        <v>#VALUE!</v>
      </c>
      <c r="AT785" s="446" t="e">
        <f>IF(OR($B785="",MIN(AT$38,$D$19)&lt;MAX($P$708*($B785+IF($R$17="Distrato",$I$38-1,0)),IF(AND($L$711=0,$P$708=0),"",$L$711-1),IF($R$17="Distrato",$E785,0))),0,YEARFRAC(MAX($P$708*($B785+IF($R$17="Distrato",$I$38-1,0)),IF(AND($L$711=0,$P$708=0),"",$L$711-1),IF($R$17="Distrato",$E785,0)),MIN(AT$38,$D$19),$P$20))-SUM($P785:AS785)</f>
        <v>#VALUE!</v>
      </c>
      <c r="AU785" s="446" t="e">
        <f>IF(OR($B785="",MIN(AU$38,$D$19)&lt;MAX($P$708*($B785+IF($R$17="Distrato",$I$38-1,0)),IF(AND($L$711=0,$P$708=0),"",$L$711-1),IF($R$17="Distrato",$E785,0))),0,YEARFRAC(MAX($P$708*($B785+IF($R$17="Distrato",$I$38-1,0)),IF(AND($L$711=0,$P$708=0),"",$L$711-1),IF($R$17="Distrato",$E785,0)),MIN(AU$38,$D$19),$P$20))-SUM($P785:AT785)</f>
        <v>#VALUE!</v>
      </c>
      <c r="AV785" s="446" t="e">
        <f>IF(OR($B785="",MIN(AV$38,$D$19)&lt;MAX($P$708*($B785+IF($R$17="Distrato",$I$38-1,0)),IF(AND($L$711=0,$P$708=0),"",$L$711-1),IF($R$17="Distrato",$E785,0))),0,YEARFRAC(MAX($P$708*($B785+IF($R$17="Distrato",$I$38-1,0)),IF(AND($L$711=0,$P$708=0),"",$L$711-1),IF($R$17="Distrato",$E785,0)),MIN(AV$38,$D$19),$P$20))-SUM($P785:AU785)</f>
        <v>#VALUE!</v>
      </c>
      <c r="AW785" s="446" t="e">
        <f>IF(OR($B785="",MIN(AW$38,$D$19)&lt;MAX($P$708*($B785+IF($R$17="Distrato",$I$38-1,0)),IF(AND($L$711=0,$P$708=0),"",$L$711-1),IF($R$17="Distrato",$E785,0))),0,YEARFRAC(MAX($P$708*($B785+IF($R$17="Distrato",$I$38-1,0)),IF(AND($L$711=0,$P$708=0),"",$L$711-1),IF($R$17="Distrato",$E785,0)),MIN(AW$38,$D$19),$P$20))-SUM($P785:AV785)</f>
        <v>#VALUE!</v>
      </c>
      <c r="AX785" s="446" t="e">
        <f>IF(OR($B785="",MIN(AX$38,$D$19)&lt;MAX($P$708*($B785+IF($R$17="Distrato",$I$38-1,0)),IF(AND($L$711=0,$P$708=0),"",$L$711-1),IF($R$17="Distrato",$E785,0))),0,YEARFRAC(MAX($P$708*($B785+IF($R$17="Distrato",$I$38-1,0)),IF(AND($L$711=0,$P$708=0),"",$L$711-1),IF($R$17="Distrato",$E785,0)),MIN(AX$38,$D$19),$P$20))-SUM($P785:AW785)</f>
        <v>#VALUE!</v>
      </c>
      <c r="AY785" s="446" t="e">
        <f>IF(OR($B785="",MIN(AY$38,$D$19)&lt;MAX($P$708*($B785+IF($R$17="Distrato",$I$38-1,0)),IF(AND($L$711=0,$P$708=0),"",$L$711-1),IF($R$17="Distrato",$E785,0))),0,YEARFRAC(MAX($P$708*($B785+IF($R$17="Distrato",$I$38-1,0)),IF(AND($L$711=0,$P$708=0),"",$L$711-1),IF($R$17="Distrato",$E785,0)),MIN(AY$38,$D$19),$P$20))-SUM($P785:AX785)</f>
        <v>#VALUE!</v>
      </c>
      <c r="AZ785" s="446" t="e">
        <f>IF(OR($B785="",MIN(AZ$38,$D$19)&lt;MAX($P$708*($B785+IF($R$17="Distrato",$I$38-1,0)),IF(AND($L$711=0,$P$708=0),"",$L$711-1),IF($R$17="Distrato",$E785,0))),0,YEARFRAC(MAX($P$708*($B785+IF($R$17="Distrato",$I$38-1,0)),IF(AND($L$711=0,$P$708=0),"",$L$711-1),IF($R$17="Distrato",$E785,0)),MIN(AZ$38,$D$19),$P$20))-SUM($P785:AY785)</f>
        <v>#VALUE!</v>
      </c>
      <c r="BA785" s="446" t="e">
        <f>IF(OR($B785="",MIN(BA$38,$D$19)&lt;MAX($P$708*($B785+IF($R$17="Distrato",$I$38-1,0)),IF(AND($L$711=0,$P$708=0),"",$L$711-1),IF($R$17="Distrato",$E785,0))),0,YEARFRAC(MAX($P$708*($B785+IF($R$17="Distrato",$I$38-1,0)),IF(AND($L$711=0,$P$708=0),"",$L$711-1),IF($R$17="Distrato",$E785,0)),MIN(BA$38,$D$19),$P$20))-SUM($P785:AZ785)</f>
        <v>#VALUE!</v>
      </c>
      <c r="BB785" s="447"/>
    </row>
    <row r="786" spans="1:54" s="446" customFormat="1" ht="11.25" hidden="1" customHeight="1" x14ac:dyDescent="0.2">
      <c r="A786" s="235"/>
      <c r="B786" s="236"/>
      <c r="C786" s="29" t="str">
        <f>IF(B786="","",IF($L$709=$BL$25,VLOOKUP(DATE(YEAR($D$19),MONTH($D$19)-1,1),ÍNDICES!$A:$DE,HLOOKUP($BL$25,ÍNDICES!$B$3:$T$4,2)+11)-VLOOKUP(B786,ÍNDICES!$A:$DE,HLOOKUP($BL$25,ÍNDICES!$B$3:$T$4,2)+11)+1%,IF(C$712=$W$26,$J$35,IF(ISERROR(IF(B786&gt;$D$19,1,VLOOKUP(DATE(YEAR(B786),MONTH(B786)+IF($C$709=$S$23,1,0),1),ÍNDICES!$A:$DE,$Z$709+1))),"",IF(B786&gt;$D$19,1,VLOOKUP(DATE(YEAR(B786),MONTH(B786)+IF($C$709=$S$23,1,0),1),ÍNDICES!$A:$DE,$Z$709+1))))))</f>
        <v/>
      </c>
      <c r="D786" s="155"/>
      <c r="E786" s="88"/>
      <c r="F786" s="88"/>
      <c r="G786" s="88"/>
      <c r="H786" s="118"/>
      <c r="I786" s="182">
        <f t="shared" si="122"/>
        <v>0</v>
      </c>
      <c r="J786" s="20">
        <f t="shared" ca="1" si="123"/>
        <v>0</v>
      </c>
      <c r="K786" s="5">
        <f t="shared" ca="1" si="124"/>
        <v>0</v>
      </c>
      <c r="L786" s="61">
        <f t="shared" ca="1" si="125"/>
        <v>0</v>
      </c>
      <c r="M786" s="64">
        <f t="shared" si="126"/>
        <v>0</v>
      </c>
      <c r="N786" s="151"/>
      <c r="O786" s="5">
        <f t="shared" ca="1" si="127"/>
        <v>0</v>
      </c>
      <c r="P786" s="446" t="e">
        <f t="shared" si="128"/>
        <v>#VALUE!</v>
      </c>
      <c r="Q786" s="446" t="e">
        <f>IF(OR($B786="",MIN(Q$38,$D$19)&lt;MAX($P$708*($B786+IF($R$17="Distrato",$I$38-1,0)),IF(AND($L$711=0,$P$708=0),"",$L$711-1),IF($R$17="Distrato",$E786,0))),0,YEARFRAC(MAX($P$708*($B786+IF($R$17="Distrato",$I$38-1,0)),IF(AND($L$711=0,$P$708=0),"",$L$711-1),IF($R$17="Distrato",$E786,0)),MIN(Q$38,$D$19),$P$20))-SUM($P786:P786)</f>
        <v>#VALUE!</v>
      </c>
      <c r="R786" s="446" t="e">
        <f>IF(OR($B786="",MIN(R$38,$D$19)&lt;MAX($P$708*($B786+IF($R$17="Distrato",$I$38-1,0)),IF(AND($L$711=0,$P$708=0),"",$L$711-1),IF($R$17="Distrato",$E786,0))),0,YEARFRAC(MAX($P$708*($B786+IF($R$17="Distrato",$I$38-1,0)),IF(AND($L$711=0,$P$708=0),"",$L$711-1),IF($R$17="Distrato",$E786,0)),MIN(R$38,$D$19),$P$20))-SUM($P786:Q786)</f>
        <v>#VALUE!</v>
      </c>
      <c r="S786" s="446" t="e">
        <f>IF(OR($B786="",MIN(S$38,$D$19)&lt;MAX($P$708*($B786+IF($R$17="Distrato",$I$38-1,0)),IF(AND($L$711=0,$P$708=0),"",$L$711-1),IF($R$17="Distrato",$E786,0))),0,YEARFRAC(MAX($P$708*($B786+IF($R$17="Distrato",$I$38-1,0)),IF(AND($L$711=0,$P$708=0),"",$L$711-1),IF($R$17="Distrato",$E786,0)),MIN(S$38,$D$19),$P$20))-SUM($P786:R786)</f>
        <v>#VALUE!</v>
      </c>
      <c r="T786" s="446" t="e">
        <f>IF(OR($B786="",MIN(T$38,$D$19)&lt;MAX($P$708*($B786+IF($R$17="Distrato",$I$38-1,0)),IF(AND($L$711=0,$P$708=0),"",$L$711-1),IF($R$17="Distrato",$E786,0))),0,YEARFRAC(MAX($P$708*($B786+IF($R$17="Distrato",$I$38-1,0)),IF(AND($L$711=0,$P$708=0),"",$L$711-1),IF($R$17="Distrato",$E786,0)),MIN(T$38,$D$19),$P$20))-SUM($P786:S786)</f>
        <v>#VALUE!</v>
      </c>
      <c r="U786" s="446" t="e">
        <f>IF(OR($B786="",MIN(U$38,$D$19)&lt;MAX($P$708*($B786+IF($R$17="Distrato",$I$38-1,0)),IF(AND($L$711=0,$P$708=0),"",$L$711-1),IF($R$17="Distrato",$E786,0))),0,YEARFRAC(MAX($P$708*($B786+IF($R$17="Distrato",$I$38-1,0)),IF(AND($L$711=0,$P$708=0),"",$L$711-1),IF($R$17="Distrato",$E786,0)),MIN(U$38,$D$19),$P$20))-SUM($P786:T786)</f>
        <v>#VALUE!</v>
      </c>
      <c r="V786" s="446" t="e">
        <f>IF(OR($B786="",MIN(V$38,$D$19)&lt;MAX($P$708*($B786+IF($R$17="Distrato",$I$38-1,0)),IF(AND($L$711=0,$P$708=0),"",$L$711-1),IF($R$17="Distrato",$E786,0))),0,YEARFRAC(MAX($P$708*($B786+IF($R$17="Distrato",$I$38-1,0)),IF(AND($L$711=0,$P$708=0),"",$L$711-1),IF($R$17="Distrato",$E786,0)),MIN(V$38,$D$19),$P$20))-SUM($P786:U786)</f>
        <v>#VALUE!</v>
      </c>
      <c r="W786" s="446" t="e">
        <f>IF(OR($B786="",MIN(W$38,$D$19)&lt;MAX($P$708*($B786+IF($R$17="Distrato",$I$38-1,0)),IF(AND($L$711=0,$P$708=0),"",$L$711-1),IF($R$17="Distrato",$E786,0))),0,YEARFRAC(MAX($P$708*($B786+IF($R$17="Distrato",$I$38-1,0)),IF(AND($L$711=0,$P$708=0),"",$L$711-1),IF($R$17="Distrato",$E786,0)),MIN(W$38,$D$19),$P$20))-SUM($P786:V786)</f>
        <v>#VALUE!</v>
      </c>
      <c r="X786" s="446" t="e">
        <f>IF(OR($B786="",MIN(X$38,$D$19)&lt;MAX($P$708*($B786+IF($R$17="Distrato",$I$38-1,0)),IF(AND($L$711=0,$P$708=0),"",$L$711-1),IF($R$17="Distrato",$E786,0))),0,YEARFRAC(MAX($P$708*($B786+IF($R$17="Distrato",$I$38-1,0)),IF(AND($L$711=0,$P$708=0),"",$L$711-1),IF($R$17="Distrato",$E786,0)),MIN(X$38,$D$19),$P$20))-SUM($P786:W786)</f>
        <v>#VALUE!</v>
      </c>
      <c r="Y786" s="446" t="e">
        <f>IF(OR($B786="",MIN(Y$38,$D$19)&lt;MAX($P$708*($B786+IF($R$17="Distrato",$I$38-1,0)),IF(AND($L$711=0,$P$708=0),"",$L$711-1),IF($R$17="Distrato",$E786,0))),0,YEARFRAC(MAX($P$708*($B786+IF($R$17="Distrato",$I$38-1,0)),IF(AND($L$711=0,$P$708=0),"",$L$711-1),IF($R$17="Distrato",$E786,0)),MIN(Y$38,$D$19),$P$20))-SUM($P786:X786)</f>
        <v>#VALUE!</v>
      </c>
      <c r="Z786" s="446" t="e">
        <f>IF(OR($B786="",MIN(Z$38,$D$19)&lt;MAX($P$708*($B786+IF($R$17="Distrato",$I$38-1,0)),IF(AND($L$711=0,$P$708=0),"",$L$711-1),IF($R$17="Distrato",$E786,0))),0,YEARFRAC(MAX($P$708*($B786+IF($R$17="Distrato",$I$38-1,0)),IF(AND($L$711=0,$P$708=0),"",$L$711-1),IF($R$17="Distrato",$E786,0)),MIN(Z$38,$D$19),$P$20))-SUM($P786:Y786)</f>
        <v>#VALUE!</v>
      </c>
      <c r="AA786" s="446" t="e">
        <f>IF(OR($B786="",MIN(AA$38,$D$19)&lt;MAX($P$708*($B786+IF($R$17="Distrato",$I$38-1,0)),IF(AND($L$711=0,$P$708=0),"",$L$711-1),IF($R$17="Distrato",$E786,0))),0,YEARFRAC(MAX($P$708*($B786+IF($R$17="Distrato",$I$38-1,0)),IF(AND($L$711=0,$P$708=0),"",$L$711-1),IF($R$17="Distrato",$E786,0)),MIN(AA$38,$D$19),$P$20))-SUM($P786:Z786)</f>
        <v>#VALUE!</v>
      </c>
      <c r="AB786" s="446" t="e">
        <f>IF(OR($B786="",MIN(AB$38,$D$19)&lt;MAX($P$708*($B786+IF($R$17="Distrato",$I$38-1,0)),IF(AND($L$711=0,$P$708=0),"",$L$711-1),IF($R$17="Distrato",$E786,0))),0,YEARFRAC(MAX($P$708*($B786+IF($R$17="Distrato",$I$38-1,0)),IF(AND($L$711=0,$P$708=0),"",$L$711-1),IF($R$17="Distrato",$E786,0)),MIN(AB$38,$D$19),$P$20))-SUM($P786:AA786)</f>
        <v>#VALUE!</v>
      </c>
      <c r="AC786" s="446" t="e">
        <f>IF(OR($B786="",MIN(AC$38,$D$19)&lt;MAX($P$708*($B786+IF($R$17="Distrato",$I$38-1,0)),IF(AND($L$711=0,$P$708=0),"",$L$711-1),IF($R$17="Distrato",$E786,0))),0,YEARFRAC(MAX($P$708*($B786+IF($R$17="Distrato",$I$38-1,0)),IF(AND($L$711=0,$P$708=0),"",$L$711-1),IF($R$17="Distrato",$E786,0)),MIN(AC$38,$D$19),$P$20))-SUM($P786:AB786)</f>
        <v>#VALUE!</v>
      </c>
      <c r="AD786" s="446" t="e">
        <f>IF(OR($B786="",MIN(AD$38,$D$19)&lt;MAX($P$708*($B786+IF($R$17="Distrato",$I$38-1,0)),IF(AND($L$711=0,$P$708=0),"",$L$711-1),IF($R$17="Distrato",$E786,0))),0,YEARFRAC(MAX($P$708*($B786+IF($R$17="Distrato",$I$38-1,0)),IF(AND($L$711=0,$P$708=0),"",$L$711-1),IF($R$17="Distrato",$E786,0)),MIN(AD$38,$D$19),$P$20))-SUM($P786:AC786)</f>
        <v>#VALUE!</v>
      </c>
      <c r="AE786" s="446" t="e">
        <f>IF(OR($B786="",MIN(AE$38,$D$19)&lt;MAX($P$708*($B786+IF($R$17="Distrato",$I$38-1,0)),IF(AND($L$711=0,$P$708=0),"",$L$711-1),IF($R$17="Distrato",$E786,0))),0,YEARFRAC(MAX($P$708*($B786+IF($R$17="Distrato",$I$38-1,0)),IF(AND($L$711=0,$P$708=0),"",$L$711-1),IF($R$17="Distrato",$E786,0)),MIN(AE$38,$D$19),$P$20))-SUM($P786:AD786)</f>
        <v>#VALUE!</v>
      </c>
      <c r="AF786" s="446" t="e">
        <f>IF(OR($B786="",MIN(AF$38,$D$19)&lt;MAX($P$708*($B786+IF($R$17="Distrato",$I$38-1,0)),IF(AND($L$711=0,$P$708=0),"",$L$711-1),IF($R$17="Distrato",$E786,0))),0,YEARFRAC(MAX($P$708*($B786+IF($R$17="Distrato",$I$38-1,0)),IF(AND($L$711=0,$P$708=0),"",$L$711-1),IF($R$17="Distrato",$E786,0)),MIN(AF$38,$D$19),$P$20))-SUM($P786:AE786)</f>
        <v>#VALUE!</v>
      </c>
      <c r="AG786" s="446" t="e">
        <f>IF(OR($B786="",MIN(AG$38,$D$19)&lt;MAX($P$708*($B786+IF($R$17="Distrato",$I$38-1,0)),IF(AND($L$711=0,$P$708=0),"",$L$711-1),IF($R$17="Distrato",$E786,0))),0,YEARFRAC(MAX($P$708*($B786+IF($R$17="Distrato",$I$38-1,0)),IF(AND($L$711=0,$P$708=0),"",$L$711-1),IF($R$17="Distrato",$E786,0)),MIN(AG$38,$D$19),$P$20))-SUM($P786:AF786)</f>
        <v>#VALUE!</v>
      </c>
      <c r="AH786" s="446" t="e">
        <f>IF(OR($B786="",MIN(AH$38,$D$19)&lt;MAX($P$708*($B786+IF($R$17="Distrato",$I$38-1,0)),IF(AND($L$711=0,$P$708=0),"",$L$711-1),IF($R$17="Distrato",$E786,0))),0,YEARFRAC(MAX($P$708*($B786+IF($R$17="Distrato",$I$38-1,0)),IF(AND($L$711=0,$P$708=0),"",$L$711-1),IF($R$17="Distrato",$E786,0)),MIN(AH$38,$D$19),$P$20))-SUM($P786:AG786)</f>
        <v>#VALUE!</v>
      </c>
      <c r="AI786" s="446" t="e">
        <f>IF(OR($B786="",MIN(AI$38,$D$19)&lt;MAX($P$708*($B786+IF($R$17="Distrato",$I$38-1,0)),IF(AND($L$711=0,$P$708=0),"",$L$711-1),IF($R$17="Distrato",$E786,0))),0,YEARFRAC(MAX($P$708*($B786+IF($R$17="Distrato",$I$38-1,0)),IF(AND($L$711=0,$P$708=0),"",$L$711-1),IF($R$17="Distrato",$E786,0)),MIN(AI$38,$D$19),$P$20))-SUM($P786:AH786)</f>
        <v>#VALUE!</v>
      </c>
      <c r="AJ786" s="446" t="e">
        <f>IF(OR($B786="",MIN(AJ$38,$D$19)&lt;MAX($P$708*($B786+IF($R$17="Distrato",$I$38-1,0)),IF(AND($L$711=0,$P$708=0),"",$L$711-1),IF($R$17="Distrato",$E786,0))),0,YEARFRAC(MAX($P$708*($B786+IF($R$17="Distrato",$I$38-1,0)),IF(AND($L$711=0,$P$708=0),"",$L$711-1),IF($R$17="Distrato",$E786,0)),MIN(AJ$38,$D$19),$P$20))-SUM($P786:AI786)</f>
        <v>#VALUE!</v>
      </c>
      <c r="AK786" s="446" t="e">
        <f>IF(OR($B786="",MIN(AK$38,$D$19)&lt;MAX($P$708*($B786+IF($R$17="Distrato",$I$38-1,0)),IF(AND($L$711=0,$P$708=0),"",$L$711-1),IF($R$17="Distrato",$E786,0))),0,YEARFRAC(MAX($P$708*($B786+IF($R$17="Distrato",$I$38-1,0)),IF(AND($L$711=0,$P$708=0),"",$L$711-1),IF($R$17="Distrato",$E786,0)),MIN(AK$38,$D$19),$P$20))-SUM($P786:AJ786)</f>
        <v>#VALUE!</v>
      </c>
      <c r="AL786" s="446" t="e">
        <f>IF(OR($B786="",MIN(AL$38,$D$19)&lt;MAX($P$708*($B786+IF($R$17="Distrato",$I$38-1,0)),IF(AND($L$711=0,$P$708=0),"",$L$711-1),IF($R$17="Distrato",$E786,0))),0,YEARFRAC(MAX($P$708*($B786+IF($R$17="Distrato",$I$38-1,0)),IF(AND($L$711=0,$P$708=0),"",$L$711-1),IF($R$17="Distrato",$E786,0)),MIN(AL$38,$D$19),$P$20))-SUM($P786:AK786)</f>
        <v>#VALUE!</v>
      </c>
      <c r="AM786" s="446" t="e">
        <f>IF(OR($B786="",MIN(AM$38,$D$19)&lt;MAX($P$708*($B786+IF($R$17="Distrato",$I$38-1,0)),IF(AND($L$711=0,$P$708=0),"",$L$711-1),IF($R$17="Distrato",$E786,0))),0,YEARFRAC(MAX($P$708*($B786+IF($R$17="Distrato",$I$38-1,0)),IF(AND($L$711=0,$P$708=0),"",$L$711-1),IF($R$17="Distrato",$E786,0)),MIN(AM$38,$D$19),$P$20))-SUM($P786:AL786)</f>
        <v>#VALUE!</v>
      </c>
      <c r="AN786" s="446" t="e">
        <f>IF(OR($B786="",MIN(AN$38,$D$19)&lt;MAX($P$708*($B786+IF($R$17="Distrato",$I$38-1,0)),IF(AND($L$711=0,$P$708=0),"",$L$711-1),IF($R$17="Distrato",$E786,0))),0,YEARFRAC(MAX($P$708*($B786+IF($R$17="Distrato",$I$38-1,0)),IF(AND($L$711=0,$P$708=0),"",$L$711-1),IF($R$17="Distrato",$E786,0)),MIN(AN$38,$D$19),$P$20))-SUM($P786:AM786)</f>
        <v>#VALUE!</v>
      </c>
      <c r="AO786" s="446" t="e">
        <f>IF(OR($B786="",MIN(AO$38,$D$19)&lt;MAX($P$708*($B786+IF($R$17="Distrato",$I$38-1,0)),IF(AND($L$711=0,$P$708=0),"",$L$711-1),IF($R$17="Distrato",$E786,0))),0,YEARFRAC(MAX($P$708*($B786+IF($R$17="Distrato",$I$38-1,0)),IF(AND($L$711=0,$P$708=0),"",$L$711-1),IF($R$17="Distrato",$E786,0)),MIN(AO$38,$D$19),$P$20))-SUM($P786:AN786)</f>
        <v>#VALUE!</v>
      </c>
      <c r="AP786" s="446" t="e">
        <f>IF(OR($B786="",MIN(AP$38,$D$19)&lt;MAX($P$708*($B786+IF($R$17="Distrato",$I$38-1,0)),IF(AND($L$711=0,$P$708=0),"",$L$711-1),IF($R$17="Distrato",$E786,0))),0,YEARFRAC(MAX($P$708*($B786+IF($R$17="Distrato",$I$38-1,0)),IF(AND($L$711=0,$P$708=0),"",$L$711-1),IF($R$17="Distrato",$E786,0)),MIN(AP$38,$D$19),$P$20))-SUM($P786:AO786)</f>
        <v>#VALUE!</v>
      </c>
      <c r="AQ786" s="446" t="e">
        <f>IF(OR($B786="",MIN(AQ$38,$D$19)&lt;MAX($P$708*($B786+IF($R$17="Distrato",$I$38-1,0)),IF(AND($L$711=0,$P$708=0),"",$L$711-1),IF($R$17="Distrato",$E786,0))),0,YEARFRAC(MAX($P$708*($B786+IF($R$17="Distrato",$I$38-1,0)),IF(AND($L$711=0,$P$708=0),"",$L$711-1),IF($R$17="Distrato",$E786,0)),MIN(AQ$38,$D$19),$P$20))-SUM($P786:AP786)</f>
        <v>#VALUE!</v>
      </c>
      <c r="AR786" s="446" t="e">
        <f>IF(OR($B786="",MIN(AR$38,$D$19)&lt;MAX($P$708*($B786+IF($R$17="Distrato",$I$38-1,0)),IF(AND($L$711=0,$P$708=0),"",$L$711-1),IF($R$17="Distrato",$E786,0))),0,YEARFRAC(MAX($P$708*($B786+IF($R$17="Distrato",$I$38-1,0)),IF(AND($L$711=0,$P$708=0),"",$L$711-1),IF($R$17="Distrato",$E786,0)),MIN(AR$38,$D$19),$P$20))-SUM($P786:AQ786)</f>
        <v>#VALUE!</v>
      </c>
      <c r="AS786" s="446" t="e">
        <f>IF(OR($B786="",MIN(AS$38,$D$19)&lt;MAX($P$708*($B786+IF($R$17="Distrato",$I$38-1,0)),IF(AND($L$711=0,$P$708=0),"",$L$711-1),IF($R$17="Distrato",$E786,0))),0,YEARFRAC(MAX($P$708*($B786+IF($R$17="Distrato",$I$38-1,0)),IF(AND($L$711=0,$P$708=0),"",$L$711-1),IF($R$17="Distrato",$E786,0)),MIN(AS$38,$D$19),$P$20))-SUM($P786:AR786)</f>
        <v>#VALUE!</v>
      </c>
      <c r="AT786" s="446" t="e">
        <f>IF(OR($B786="",MIN(AT$38,$D$19)&lt;MAX($P$708*($B786+IF($R$17="Distrato",$I$38-1,0)),IF(AND($L$711=0,$P$708=0),"",$L$711-1),IF($R$17="Distrato",$E786,0))),0,YEARFRAC(MAX($P$708*($B786+IF($R$17="Distrato",$I$38-1,0)),IF(AND($L$711=0,$P$708=0),"",$L$711-1),IF($R$17="Distrato",$E786,0)),MIN(AT$38,$D$19),$P$20))-SUM($P786:AS786)</f>
        <v>#VALUE!</v>
      </c>
      <c r="AU786" s="446" t="e">
        <f>IF(OR($B786="",MIN(AU$38,$D$19)&lt;MAX($P$708*($B786+IF($R$17="Distrato",$I$38-1,0)),IF(AND($L$711=0,$P$708=0),"",$L$711-1),IF($R$17="Distrato",$E786,0))),0,YEARFRAC(MAX($P$708*($B786+IF($R$17="Distrato",$I$38-1,0)),IF(AND($L$711=0,$P$708=0),"",$L$711-1),IF($R$17="Distrato",$E786,0)),MIN(AU$38,$D$19),$P$20))-SUM($P786:AT786)</f>
        <v>#VALUE!</v>
      </c>
      <c r="AV786" s="446" t="e">
        <f>IF(OR($B786="",MIN(AV$38,$D$19)&lt;MAX($P$708*($B786+IF($R$17="Distrato",$I$38-1,0)),IF(AND($L$711=0,$P$708=0),"",$L$711-1),IF($R$17="Distrato",$E786,0))),0,YEARFRAC(MAX($P$708*($B786+IF($R$17="Distrato",$I$38-1,0)),IF(AND($L$711=0,$P$708=0),"",$L$711-1),IF($R$17="Distrato",$E786,0)),MIN(AV$38,$D$19),$P$20))-SUM($P786:AU786)</f>
        <v>#VALUE!</v>
      </c>
      <c r="AW786" s="446" t="e">
        <f>IF(OR($B786="",MIN(AW$38,$D$19)&lt;MAX($P$708*($B786+IF($R$17="Distrato",$I$38-1,0)),IF(AND($L$711=0,$P$708=0),"",$L$711-1),IF($R$17="Distrato",$E786,0))),0,YEARFRAC(MAX($P$708*($B786+IF($R$17="Distrato",$I$38-1,0)),IF(AND($L$711=0,$P$708=0),"",$L$711-1),IF($R$17="Distrato",$E786,0)),MIN(AW$38,$D$19),$P$20))-SUM($P786:AV786)</f>
        <v>#VALUE!</v>
      </c>
      <c r="AX786" s="446" t="e">
        <f>IF(OR($B786="",MIN(AX$38,$D$19)&lt;MAX($P$708*($B786+IF($R$17="Distrato",$I$38-1,0)),IF(AND($L$711=0,$P$708=0),"",$L$711-1),IF($R$17="Distrato",$E786,0))),0,YEARFRAC(MAX($P$708*($B786+IF($R$17="Distrato",$I$38-1,0)),IF(AND($L$711=0,$P$708=0),"",$L$711-1),IF($R$17="Distrato",$E786,0)),MIN(AX$38,$D$19),$P$20))-SUM($P786:AW786)</f>
        <v>#VALUE!</v>
      </c>
      <c r="AY786" s="446" t="e">
        <f>IF(OR($B786="",MIN(AY$38,$D$19)&lt;MAX($P$708*($B786+IF($R$17="Distrato",$I$38-1,0)),IF(AND($L$711=0,$P$708=0),"",$L$711-1),IF($R$17="Distrato",$E786,0))),0,YEARFRAC(MAX($P$708*($B786+IF($R$17="Distrato",$I$38-1,0)),IF(AND($L$711=0,$P$708=0),"",$L$711-1),IF($R$17="Distrato",$E786,0)),MIN(AY$38,$D$19),$P$20))-SUM($P786:AX786)</f>
        <v>#VALUE!</v>
      </c>
      <c r="AZ786" s="446" t="e">
        <f>IF(OR($B786="",MIN(AZ$38,$D$19)&lt;MAX($P$708*($B786+IF($R$17="Distrato",$I$38-1,0)),IF(AND($L$711=0,$P$708=0),"",$L$711-1),IF($R$17="Distrato",$E786,0))),0,YEARFRAC(MAX($P$708*($B786+IF($R$17="Distrato",$I$38-1,0)),IF(AND($L$711=0,$P$708=0),"",$L$711-1),IF($R$17="Distrato",$E786,0)),MIN(AZ$38,$D$19),$P$20))-SUM($P786:AY786)</f>
        <v>#VALUE!</v>
      </c>
      <c r="BA786" s="446" t="e">
        <f>IF(OR($B786="",MIN(BA$38,$D$19)&lt;MAX($P$708*($B786+IF($R$17="Distrato",$I$38-1,0)),IF(AND($L$711=0,$P$708=0),"",$L$711-1),IF($R$17="Distrato",$E786,0))),0,YEARFRAC(MAX($P$708*($B786+IF($R$17="Distrato",$I$38-1,0)),IF(AND($L$711=0,$P$708=0),"",$L$711-1),IF($R$17="Distrato",$E786,0)),MIN(BA$38,$D$19),$P$20))-SUM($P786:AZ786)</f>
        <v>#VALUE!</v>
      </c>
      <c r="BB786" s="447"/>
    </row>
    <row r="787" spans="1:54" s="446" customFormat="1" ht="11.25" hidden="1" customHeight="1" x14ac:dyDescent="0.2">
      <c r="A787" s="235"/>
      <c r="B787" s="236"/>
      <c r="C787" s="29" t="str">
        <f>IF(B787="","",IF($L$709=$BL$25,VLOOKUP(DATE(YEAR($D$19),MONTH($D$19)-1,1),ÍNDICES!$A:$DE,HLOOKUP($BL$25,ÍNDICES!$B$3:$T$4,2)+11)-VLOOKUP(B787,ÍNDICES!$A:$DE,HLOOKUP($BL$25,ÍNDICES!$B$3:$T$4,2)+11)+1%,IF(C$712=$W$26,$J$35,IF(ISERROR(IF(B787&gt;$D$19,1,VLOOKUP(DATE(YEAR(B787),MONTH(B787)+IF($C$709=$S$23,1,0),1),ÍNDICES!$A:$DE,$Z$709+1))),"",IF(B787&gt;$D$19,1,VLOOKUP(DATE(YEAR(B787),MONTH(B787)+IF($C$709=$S$23,1,0),1),ÍNDICES!$A:$DE,$Z$709+1))))))</f>
        <v/>
      </c>
      <c r="D787" s="155"/>
      <c r="E787" s="88"/>
      <c r="F787" s="88"/>
      <c r="G787" s="88"/>
      <c r="H787" s="118"/>
      <c r="I787" s="182">
        <f t="shared" si="122"/>
        <v>0</v>
      </c>
      <c r="J787" s="20">
        <f t="shared" ca="1" si="123"/>
        <v>0</v>
      </c>
      <c r="K787" s="5">
        <f t="shared" ca="1" si="124"/>
        <v>0</v>
      </c>
      <c r="L787" s="61">
        <f t="shared" ca="1" si="125"/>
        <v>0</v>
      </c>
      <c r="M787" s="64">
        <f t="shared" si="126"/>
        <v>0</v>
      </c>
      <c r="N787" s="151"/>
      <c r="O787" s="5">
        <f t="shared" ca="1" si="127"/>
        <v>0</v>
      </c>
      <c r="P787" s="446" t="e">
        <f t="shared" si="128"/>
        <v>#VALUE!</v>
      </c>
      <c r="Q787" s="446" t="e">
        <f>IF(OR($B787="",MIN(Q$38,$D$19)&lt;MAX($P$708*($B787+IF($R$17="Distrato",$I$38-1,0)),IF(AND($L$711=0,$P$708=0),"",$L$711-1),IF($R$17="Distrato",$E787,0))),0,YEARFRAC(MAX($P$708*($B787+IF($R$17="Distrato",$I$38-1,0)),IF(AND($L$711=0,$P$708=0),"",$L$711-1),IF($R$17="Distrato",$E787,0)),MIN(Q$38,$D$19),$P$20))-SUM($P787:P787)</f>
        <v>#VALUE!</v>
      </c>
      <c r="R787" s="446" t="e">
        <f>IF(OR($B787="",MIN(R$38,$D$19)&lt;MAX($P$708*($B787+IF($R$17="Distrato",$I$38-1,0)),IF(AND($L$711=0,$P$708=0),"",$L$711-1),IF($R$17="Distrato",$E787,0))),0,YEARFRAC(MAX($P$708*($B787+IF($R$17="Distrato",$I$38-1,0)),IF(AND($L$711=0,$P$708=0),"",$L$711-1),IF($R$17="Distrato",$E787,0)),MIN(R$38,$D$19),$P$20))-SUM($P787:Q787)</f>
        <v>#VALUE!</v>
      </c>
      <c r="S787" s="446" t="e">
        <f>IF(OR($B787="",MIN(S$38,$D$19)&lt;MAX($P$708*($B787+IF($R$17="Distrato",$I$38-1,0)),IF(AND($L$711=0,$P$708=0),"",$L$711-1),IF($R$17="Distrato",$E787,0))),0,YEARFRAC(MAX($P$708*($B787+IF($R$17="Distrato",$I$38-1,0)),IF(AND($L$711=0,$P$708=0),"",$L$711-1),IF($R$17="Distrato",$E787,0)),MIN(S$38,$D$19),$P$20))-SUM($P787:R787)</f>
        <v>#VALUE!</v>
      </c>
      <c r="T787" s="446" t="e">
        <f>IF(OR($B787="",MIN(T$38,$D$19)&lt;MAX($P$708*($B787+IF($R$17="Distrato",$I$38-1,0)),IF(AND($L$711=0,$P$708=0),"",$L$711-1),IF($R$17="Distrato",$E787,0))),0,YEARFRAC(MAX($P$708*($B787+IF($R$17="Distrato",$I$38-1,0)),IF(AND($L$711=0,$P$708=0),"",$L$711-1),IF($R$17="Distrato",$E787,0)),MIN(T$38,$D$19),$P$20))-SUM($P787:S787)</f>
        <v>#VALUE!</v>
      </c>
      <c r="U787" s="446" t="e">
        <f>IF(OR($B787="",MIN(U$38,$D$19)&lt;MAX($P$708*($B787+IF($R$17="Distrato",$I$38-1,0)),IF(AND($L$711=0,$P$708=0),"",$L$711-1),IF($R$17="Distrato",$E787,0))),0,YEARFRAC(MAX($P$708*($B787+IF($R$17="Distrato",$I$38-1,0)),IF(AND($L$711=0,$P$708=0),"",$L$711-1),IF($R$17="Distrato",$E787,0)),MIN(U$38,$D$19),$P$20))-SUM($P787:T787)</f>
        <v>#VALUE!</v>
      </c>
      <c r="V787" s="446" t="e">
        <f>IF(OR($B787="",MIN(V$38,$D$19)&lt;MAX($P$708*($B787+IF($R$17="Distrato",$I$38-1,0)),IF(AND($L$711=0,$P$708=0),"",$L$711-1),IF($R$17="Distrato",$E787,0))),0,YEARFRAC(MAX($P$708*($B787+IF($R$17="Distrato",$I$38-1,0)),IF(AND($L$711=0,$P$708=0),"",$L$711-1),IF($R$17="Distrato",$E787,0)),MIN(V$38,$D$19),$P$20))-SUM($P787:U787)</f>
        <v>#VALUE!</v>
      </c>
      <c r="W787" s="446" t="e">
        <f>IF(OR($B787="",MIN(W$38,$D$19)&lt;MAX($P$708*($B787+IF($R$17="Distrato",$I$38-1,0)),IF(AND($L$711=0,$P$708=0),"",$L$711-1),IF($R$17="Distrato",$E787,0))),0,YEARFRAC(MAX($P$708*($B787+IF($R$17="Distrato",$I$38-1,0)),IF(AND($L$711=0,$P$708=0),"",$L$711-1),IF($R$17="Distrato",$E787,0)),MIN(W$38,$D$19),$P$20))-SUM($P787:V787)</f>
        <v>#VALUE!</v>
      </c>
      <c r="X787" s="446" t="e">
        <f>IF(OR($B787="",MIN(X$38,$D$19)&lt;MAX($P$708*($B787+IF($R$17="Distrato",$I$38-1,0)),IF(AND($L$711=0,$P$708=0),"",$L$711-1),IF($R$17="Distrato",$E787,0))),0,YEARFRAC(MAX($P$708*($B787+IF($R$17="Distrato",$I$38-1,0)),IF(AND($L$711=0,$P$708=0),"",$L$711-1),IF($R$17="Distrato",$E787,0)),MIN(X$38,$D$19),$P$20))-SUM($P787:W787)</f>
        <v>#VALUE!</v>
      </c>
      <c r="Y787" s="446" t="e">
        <f>IF(OR($B787="",MIN(Y$38,$D$19)&lt;MAX($P$708*($B787+IF($R$17="Distrato",$I$38-1,0)),IF(AND($L$711=0,$P$708=0),"",$L$711-1),IF($R$17="Distrato",$E787,0))),0,YEARFRAC(MAX($P$708*($B787+IF($R$17="Distrato",$I$38-1,0)),IF(AND($L$711=0,$P$708=0),"",$L$711-1),IF($R$17="Distrato",$E787,0)),MIN(Y$38,$D$19),$P$20))-SUM($P787:X787)</f>
        <v>#VALUE!</v>
      </c>
      <c r="Z787" s="446" t="e">
        <f>IF(OR($B787="",MIN(Z$38,$D$19)&lt;MAX($P$708*($B787+IF($R$17="Distrato",$I$38-1,0)),IF(AND($L$711=0,$P$708=0),"",$L$711-1),IF($R$17="Distrato",$E787,0))),0,YEARFRAC(MAX($P$708*($B787+IF($R$17="Distrato",$I$38-1,0)),IF(AND($L$711=0,$P$708=0),"",$L$711-1),IF($R$17="Distrato",$E787,0)),MIN(Z$38,$D$19),$P$20))-SUM($P787:Y787)</f>
        <v>#VALUE!</v>
      </c>
      <c r="AA787" s="446" t="e">
        <f>IF(OR($B787="",MIN(AA$38,$D$19)&lt;MAX($P$708*($B787+IF($R$17="Distrato",$I$38-1,0)),IF(AND($L$711=0,$P$708=0),"",$L$711-1),IF($R$17="Distrato",$E787,0))),0,YEARFRAC(MAX($P$708*($B787+IF($R$17="Distrato",$I$38-1,0)),IF(AND($L$711=0,$P$708=0),"",$L$711-1),IF($R$17="Distrato",$E787,0)),MIN(AA$38,$D$19),$P$20))-SUM($P787:Z787)</f>
        <v>#VALUE!</v>
      </c>
      <c r="AB787" s="446" t="e">
        <f>IF(OR($B787="",MIN(AB$38,$D$19)&lt;MAX($P$708*($B787+IF($R$17="Distrato",$I$38-1,0)),IF(AND($L$711=0,$P$708=0),"",$L$711-1),IF($R$17="Distrato",$E787,0))),0,YEARFRAC(MAX($P$708*($B787+IF($R$17="Distrato",$I$38-1,0)),IF(AND($L$711=0,$P$708=0),"",$L$711-1),IF($R$17="Distrato",$E787,0)),MIN(AB$38,$D$19),$P$20))-SUM($P787:AA787)</f>
        <v>#VALUE!</v>
      </c>
      <c r="AC787" s="446" t="e">
        <f>IF(OR($B787="",MIN(AC$38,$D$19)&lt;MAX($P$708*($B787+IF($R$17="Distrato",$I$38-1,0)),IF(AND($L$711=0,$P$708=0),"",$L$711-1),IF($R$17="Distrato",$E787,0))),0,YEARFRAC(MAX($P$708*($B787+IF($R$17="Distrato",$I$38-1,0)),IF(AND($L$711=0,$P$708=0),"",$L$711-1),IF($R$17="Distrato",$E787,0)),MIN(AC$38,$D$19),$P$20))-SUM($P787:AB787)</f>
        <v>#VALUE!</v>
      </c>
      <c r="AD787" s="446" t="e">
        <f>IF(OR($B787="",MIN(AD$38,$D$19)&lt;MAX($P$708*($B787+IF($R$17="Distrato",$I$38-1,0)),IF(AND($L$711=0,$P$708=0),"",$L$711-1),IF($R$17="Distrato",$E787,0))),0,YEARFRAC(MAX($P$708*($B787+IF($R$17="Distrato",$I$38-1,0)),IF(AND($L$711=0,$P$708=0),"",$L$711-1),IF($R$17="Distrato",$E787,0)),MIN(AD$38,$D$19),$P$20))-SUM($P787:AC787)</f>
        <v>#VALUE!</v>
      </c>
      <c r="AE787" s="446" t="e">
        <f>IF(OR($B787="",MIN(AE$38,$D$19)&lt;MAX($P$708*($B787+IF($R$17="Distrato",$I$38-1,0)),IF(AND($L$711=0,$P$708=0),"",$L$711-1),IF($R$17="Distrato",$E787,0))),0,YEARFRAC(MAX($P$708*($B787+IF($R$17="Distrato",$I$38-1,0)),IF(AND($L$711=0,$P$708=0),"",$L$711-1),IF($R$17="Distrato",$E787,0)),MIN(AE$38,$D$19),$P$20))-SUM($P787:AD787)</f>
        <v>#VALUE!</v>
      </c>
      <c r="AF787" s="446" t="e">
        <f>IF(OR($B787="",MIN(AF$38,$D$19)&lt;MAX($P$708*($B787+IF($R$17="Distrato",$I$38-1,0)),IF(AND($L$711=0,$P$708=0),"",$L$711-1),IF($R$17="Distrato",$E787,0))),0,YEARFRAC(MAX($P$708*($B787+IF($R$17="Distrato",$I$38-1,0)),IF(AND($L$711=0,$P$708=0),"",$L$711-1),IF($R$17="Distrato",$E787,0)),MIN(AF$38,$D$19),$P$20))-SUM($P787:AE787)</f>
        <v>#VALUE!</v>
      </c>
      <c r="AG787" s="446" t="e">
        <f>IF(OR($B787="",MIN(AG$38,$D$19)&lt;MAX($P$708*($B787+IF($R$17="Distrato",$I$38-1,0)),IF(AND($L$711=0,$P$708=0),"",$L$711-1),IF($R$17="Distrato",$E787,0))),0,YEARFRAC(MAX($P$708*($B787+IF($R$17="Distrato",$I$38-1,0)),IF(AND($L$711=0,$P$708=0),"",$L$711-1),IF($R$17="Distrato",$E787,0)),MIN(AG$38,$D$19),$P$20))-SUM($P787:AF787)</f>
        <v>#VALUE!</v>
      </c>
      <c r="AH787" s="446" t="e">
        <f>IF(OR($B787="",MIN(AH$38,$D$19)&lt;MAX($P$708*($B787+IF($R$17="Distrato",$I$38-1,0)),IF(AND($L$711=0,$P$708=0),"",$L$711-1),IF($R$17="Distrato",$E787,0))),0,YEARFRAC(MAX($P$708*($B787+IF($R$17="Distrato",$I$38-1,0)),IF(AND($L$711=0,$P$708=0),"",$L$711-1),IF($R$17="Distrato",$E787,0)),MIN(AH$38,$D$19),$P$20))-SUM($P787:AG787)</f>
        <v>#VALUE!</v>
      </c>
      <c r="AI787" s="446" t="e">
        <f>IF(OR($B787="",MIN(AI$38,$D$19)&lt;MAX($P$708*($B787+IF($R$17="Distrato",$I$38-1,0)),IF(AND($L$711=0,$P$708=0),"",$L$711-1),IF($R$17="Distrato",$E787,0))),0,YEARFRAC(MAX($P$708*($B787+IF($R$17="Distrato",$I$38-1,0)),IF(AND($L$711=0,$P$708=0),"",$L$711-1),IF($R$17="Distrato",$E787,0)),MIN(AI$38,$D$19),$P$20))-SUM($P787:AH787)</f>
        <v>#VALUE!</v>
      </c>
      <c r="AJ787" s="446" t="e">
        <f>IF(OR($B787="",MIN(AJ$38,$D$19)&lt;MAX($P$708*($B787+IF($R$17="Distrato",$I$38-1,0)),IF(AND($L$711=0,$P$708=0),"",$L$711-1),IF($R$17="Distrato",$E787,0))),0,YEARFRAC(MAX($P$708*($B787+IF($R$17="Distrato",$I$38-1,0)),IF(AND($L$711=0,$P$708=0),"",$L$711-1),IF($R$17="Distrato",$E787,0)),MIN(AJ$38,$D$19),$P$20))-SUM($P787:AI787)</f>
        <v>#VALUE!</v>
      </c>
      <c r="AK787" s="446" t="e">
        <f>IF(OR($B787="",MIN(AK$38,$D$19)&lt;MAX($P$708*($B787+IF($R$17="Distrato",$I$38-1,0)),IF(AND($L$711=0,$P$708=0),"",$L$711-1),IF($R$17="Distrato",$E787,0))),0,YEARFRAC(MAX($P$708*($B787+IF($R$17="Distrato",$I$38-1,0)),IF(AND($L$711=0,$P$708=0),"",$L$711-1),IF($R$17="Distrato",$E787,0)),MIN(AK$38,$D$19),$P$20))-SUM($P787:AJ787)</f>
        <v>#VALUE!</v>
      </c>
      <c r="AL787" s="446" t="e">
        <f>IF(OR($B787="",MIN(AL$38,$D$19)&lt;MAX($P$708*($B787+IF($R$17="Distrato",$I$38-1,0)),IF(AND($L$711=0,$P$708=0),"",$L$711-1),IF($R$17="Distrato",$E787,0))),0,YEARFRAC(MAX($P$708*($B787+IF($R$17="Distrato",$I$38-1,0)),IF(AND($L$711=0,$P$708=0),"",$L$711-1),IF($R$17="Distrato",$E787,0)),MIN(AL$38,$D$19),$P$20))-SUM($P787:AK787)</f>
        <v>#VALUE!</v>
      </c>
      <c r="AM787" s="446" t="e">
        <f>IF(OR($B787="",MIN(AM$38,$D$19)&lt;MAX($P$708*($B787+IF($R$17="Distrato",$I$38-1,0)),IF(AND($L$711=0,$P$708=0),"",$L$711-1),IF($R$17="Distrato",$E787,0))),0,YEARFRAC(MAX($P$708*($B787+IF($R$17="Distrato",$I$38-1,0)),IF(AND($L$711=0,$P$708=0),"",$L$711-1),IF($R$17="Distrato",$E787,0)),MIN(AM$38,$D$19),$P$20))-SUM($P787:AL787)</f>
        <v>#VALUE!</v>
      </c>
      <c r="AN787" s="446" t="e">
        <f>IF(OR($B787="",MIN(AN$38,$D$19)&lt;MAX($P$708*($B787+IF($R$17="Distrato",$I$38-1,0)),IF(AND($L$711=0,$P$708=0),"",$L$711-1),IF($R$17="Distrato",$E787,0))),0,YEARFRAC(MAX($P$708*($B787+IF($R$17="Distrato",$I$38-1,0)),IF(AND($L$711=0,$P$708=0),"",$L$711-1),IF($R$17="Distrato",$E787,0)),MIN(AN$38,$D$19),$P$20))-SUM($P787:AM787)</f>
        <v>#VALUE!</v>
      </c>
      <c r="AO787" s="446" t="e">
        <f>IF(OR($B787="",MIN(AO$38,$D$19)&lt;MAX($P$708*($B787+IF($R$17="Distrato",$I$38-1,0)),IF(AND($L$711=0,$P$708=0),"",$L$711-1),IF($R$17="Distrato",$E787,0))),0,YEARFRAC(MAX($P$708*($B787+IF($R$17="Distrato",$I$38-1,0)),IF(AND($L$711=0,$P$708=0),"",$L$711-1),IF($R$17="Distrato",$E787,0)),MIN(AO$38,$D$19),$P$20))-SUM($P787:AN787)</f>
        <v>#VALUE!</v>
      </c>
      <c r="AP787" s="446" t="e">
        <f>IF(OR($B787="",MIN(AP$38,$D$19)&lt;MAX($P$708*($B787+IF($R$17="Distrato",$I$38-1,0)),IF(AND($L$711=0,$P$708=0),"",$L$711-1),IF($R$17="Distrato",$E787,0))),0,YEARFRAC(MAX($P$708*($B787+IF($R$17="Distrato",$I$38-1,0)),IF(AND($L$711=0,$P$708=0),"",$L$711-1),IF($R$17="Distrato",$E787,0)),MIN(AP$38,$D$19),$P$20))-SUM($P787:AO787)</f>
        <v>#VALUE!</v>
      </c>
      <c r="AQ787" s="446" t="e">
        <f>IF(OR($B787="",MIN(AQ$38,$D$19)&lt;MAX($P$708*($B787+IF($R$17="Distrato",$I$38-1,0)),IF(AND($L$711=0,$P$708=0),"",$L$711-1),IF($R$17="Distrato",$E787,0))),0,YEARFRAC(MAX($P$708*($B787+IF($R$17="Distrato",$I$38-1,0)),IF(AND($L$711=0,$P$708=0),"",$L$711-1),IF($R$17="Distrato",$E787,0)),MIN(AQ$38,$D$19),$P$20))-SUM($P787:AP787)</f>
        <v>#VALUE!</v>
      </c>
      <c r="AR787" s="446" t="e">
        <f>IF(OR($B787="",MIN(AR$38,$D$19)&lt;MAX($P$708*($B787+IF($R$17="Distrato",$I$38-1,0)),IF(AND($L$711=0,$P$708=0),"",$L$711-1),IF($R$17="Distrato",$E787,0))),0,YEARFRAC(MAX($P$708*($B787+IF($R$17="Distrato",$I$38-1,0)),IF(AND($L$711=0,$P$708=0),"",$L$711-1),IF($R$17="Distrato",$E787,0)),MIN(AR$38,$D$19),$P$20))-SUM($P787:AQ787)</f>
        <v>#VALUE!</v>
      </c>
      <c r="AS787" s="446" t="e">
        <f>IF(OR($B787="",MIN(AS$38,$D$19)&lt;MAX($P$708*($B787+IF($R$17="Distrato",$I$38-1,0)),IF(AND($L$711=0,$P$708=0),"",$L$711-1),IF($R$17="Distrato",$E787,0))),0,YEARFRAC(MAX($P$708*($B787+IF($R$17="Distrato",$I$38-1,0)),IF(AND($L$711=0,$P$708=0),"",$L$711-1),IF($R$17="Distrato",$E787,0)),MIN(AS$38,$D$19),$P$20))-SUM($P787:AR787)</f>
        <v>#VALUE!</v>
      </c>
      <c r="AT787" s="446" t="e">
        <f>IF(OR($B787="",MIN(AT$38,$D$19)&lt;MAX($P$708*($B787+IF($R$17="Distrato",$I$38-1,0)),IF(AND($L$711=0,$P$708=0),"",$L$711-1),IF($R$17="Distrato",$E787,0))),0,YEARFRAC(MAX($P$708*($B787+IF($R$17="Distrato",$I$38-1,0)),IF(AND($L$711=0,$P$708=0),"",$L$711-1),IF($R$17="Distrato",$E787,0)),MIN(AT$38,$D$19),$P$20))-SUM($P787:AS787)</f>
        <v>#VALUE!</v>
      </c>
      <c r="AU787" s="446" t="e">
        <f>IF(OR($B787="",MIN(AU$38,$D$19)&lt;MAX($P$708*($B787+IF($R$17="Distrato",$I$38-1,0)),IF(AND($L$711=0,$P$708=0),"",$L$711-1),IF($R$17="Distrato",$E787,0))),0,YEARFRAC(MAX($P$708*($B787+IF($R$17="Distrato",$I$38-1,0)),IF(AND($L$711=0,$P$708=0),"",$L$711-1),IF($R$17="Distrato",$E787,0)),MIN(AU$38,$D$19),$P$20))-SUM($P787:AT787)</f>
        <v>#VALUE!</v>
      </c>
      <c r="AV787" s="446" t="e">
        <f>IF(OR($B787="",MIN(AV$38,$D$19)&lt;MAX($P$708*($B787+IF($R$17="Distrato",$I$38-1,0)),IF(AND($L$711=0,$P$708=0),"",$L$711-1),IF($R$17="Distrato",$E787,0))),0,YEARFRAC(MAX($P$708*($B787+IF($R$17="Distrato",$I$38-1,0)),IF(AND($L$711=0,$P$708=0),"",$L$711-1),IF($R$17="Distrato",$E787,0)),MIN(AV$38,$D$19),$P$20))-SUM($P787:AU787)</f>
        <v>#VALUE!</v>
      </c>
      <c r="AW787" s="446" t="e">
        <f>IF(OR($B787="",MIN(AW$38,$D$19)&lt;MAX($P$708*($B787+IF($R$17="Distrato",$I$38-1,0)),IF(AND($L$711=0,$P$708=0),"",$L$711-1),IF($R$17="Distrato",$E787,0))),0,YEARFRAC(MAX($P$708*($B787+IF($R$17="Distrato",$I$38-1,0)),IF(AND($L$711=0,$P$708=0),"",$L$711-1),IF($R$17="Distrato",$E787,0)),MIN(AW$38,$D$19),$P$20))-SUM($P787:AV787)</f>
        <v>#VALUE!</v>
      </c>
      <c r="AX787" s="446" t="e">
        <f>IF(OR($B787="",MIN(AX$38,$D$19)&lt;MAX($P$708*($B787+IF($R$17="Distrato",$I$38-1,0)),IF(AND($L$711=0,$P$708=0),"",$L$711-1),IF($R$17="Distrato",$E787,0))),0,YEARFRAC(MAX($P$708*($B787+IF($R$17="Distrato",$I$38-1,0)),IF(AND($L$711=0,$P$708=0),"",$L$711-1),IF($R$17="Distrato",$E787,0)),MIN(AX$38,$D$19),$P$20))-SUM($P787:AW787)</f>
        <v>#VALUE!</v>
      </c>
      <c r="AY787" s="446" t="e">
        <f>IF(OR($B787="",MIN(AY$38,$D$19)&lt;MAX($P$708*($B787+IF($R$17="Distrato",$I$38-1,0)),IF(AND($L$711=0,$P$708=0),"",$L$711-1),IF($R$17="Distrato",$E787,0))),0,YEARFRAC(MAX($P$708*($B787+IF($R$17="Distrato",$I$38-1,0)),IF(AND($L$711=0,$P$708=0),"",$L$711-1),IF($R$17="Distrato",$E787,0)),MIN(AY$38,$D$19),$P$20))-SUM($P787:AX787)</f>
        <v>#VALUE!</v>
      </c>
      <c r="AZ787" s="446" t="e">
        <f>IF(OR($B787="",MIN(AZ$38,$D$19)&lt;MAX($P$708*($B787+IF($R$17="Distrato",$I$38-1,0)),IF(AND($L$711=0,$P$708=0),"",$L$711-1),IF($R$17="Distrato",$E787,0))),0,YEARFRAC(MAX($P$708*($B787+IF($R$17="Distrato",$I$38-1,0)),IF(AND($L$711=0,$P$708=0),"",$L$711-1),IF($R$17="Distrato",$E787,0)),MIN(AZ$38,$D$19),$P$20))-SUM($P787:AY787)</f>
        <v>#VALUE!</v>
      </c>
      <c r="BA787" s="446" t="e">
        <f>IF(OR($B787="",MIN(BA$38,$D$19)&lt;MAX($P$708*($B787+IF($R$17="Distrato",$I$38-1,0)),IF(AND($L$711=0,$P$708=0),"",$L$711-1),IF($R$17="Distrato",$E787,0))),0,YEARFRAC(MAX($P$708*($B787+IF($R$17="Distrato",$I$38-1,0)),IF(AND($L$711=0,$P$708=0),"",$L$711-1),IF($R$17="Distrato",$E787,0)),MIN(BA$38,$D$19),$P$20))-SUM($P787:AZ787)</f>
        <v>#VALUE!</v>
      </c>
      <c r="BB787" s="447"/>
    </row>
    <row r="788" spans="1:54" s="446" customFormat="1" ht="11.25" hidden="1" customHeight="1" x14ac:dyDescent="0.2">
      <c r="A788" s="235"/>
      <c r="B788" s="236"/>
      <c r="C788" s="29" t="str">
        <f>IF(B788="","",IF($L$709=$BL$25,VLOOKUP(DATE(YEAR($D$19),MONTH($D$19)-1,1),ÍNDICES!$A:$DE,HLOOKUP($BL$25,ÍNDICES!$B$3:$T$4,2)+11)-VLOOKUP(B788,ÍNDICES!$A:$DE,HLOOKUP($BL$25,ÍNDICES!$B$3:$T$4,2)+11)+1%,IF(C$712=$W$26,$J$35,IF(ISERROR(IF(B788&gt;$D$19,1,VLOOKUP(DATE(YEAR(B788),MONTH(B788)+IF($C$709=$S$23,1,0),1),ÍNDICES!$A:$DE,$Z$709+1))),"",IF(B788&gt;$D$19,1,VLOOKUP(DATE(YEAR(B788),MONTH(B788)+IF($C$709=$S$23,1,0),1),ÍNDICES!$A:$DE,$Z$709+1))))))</f>
        <v/>
      </c>
      <c r="D788" s="155"/>
      <c r="E788" s="88"/>
      <c r="F788" s="88"/>
      <c r="G788" s="88"/>
      <c r="H788" s="118"/>
      <c r="I788" s="182">
        <f t="shared" si="122"/>
        <v>0</v>
      </c>
      <c r="J788" s="20">
        <f t="shared" ca="1" si="123"/>
        <v>0</v>
      </c>
      <c r="K788" s="5">
        <f t="shared" ca="1" si="124"/>
        <v>0</v>
      </c>
      <c r="L788" s="61">
        <f t="shared" ca="1" si="125"/>
        <v>0</v>
      </c>
      <c r="M788" s="64">
        <f t="shared" si="126"/>
        <v>0</v>
      </c>
      <c r="N788" s="151"/>
      <c r="O788" s="5">
        <f t="shared" ca="1" si="127"/>
        <v>0</v>
      </c>
      <c r="P788" s="446" t="e">
        <f t="shared" si="128"/>
        <v>#VALUE!</v>
      </c>
      <c r="Q788" s="446" t="e">
        <f>IF(OR($B788="",MIN(Q$38,$D$19)&lt;MAX($P$708*($B788+IF($R$17="Distrato",$I$38-1,0)),IF(AND($L$711=0,$P$708=0),"",$L$711-1),IF($R$17="Distrato",$E788,0))),0,YEARFRAC(MAX($P$708*($B788+IF($R$17="Distrato",$I$38-1,0)),IF(AND($L$711=0,$P$708=0),"",$L$711-1),IF($R$17="Distrato",$E788,0)),MIN(Q$38,$D$19),$P$20))-SUM($P788:P788)</f>
        <v>#VALUE!</v>
      </c>
      <c r="R788" s="446" t="e">
        <f>IF(OR($B788="",MIN(R$38,$D$19)&lt;MAX($P$708*($B788+IF($R$17="Distrato",$I$38-1,0)),IF(AND($L$711=0,$P$708=0),"",$L$711-1),IF($R$17="Distrato",$E788,0))),0,YEARFRAC(MAX($P$708*($B788+IF($R$17="Distrato",$I$38-1,0)),IF(AND($L$711=0,$P$708=0),"",$L$711-1),IF($R$17="Distrato",$E788,0)),MIN(R$38,$D$19),$P$20))-SUM($P788:Q788)</f>
        <v>#VALUE!</v>
      </c>
      <c r="S788" s="446" t="e">
        <f>IF(OR($B788="",MIN(S$38,$D$19)&lt;MAX($P$708*($B788+IF($R$17="Distrato",$I$38-1,0)),IF(AND($L$711=0,$P$708=0),"",$L$711-1),IF($R$17="Distrato",$E788,0))),0,YEARFRAC(MAX($P$708*($B788+IF($R$17="Distrato",$I$38-1,0)),IF(AND($L$711=0,$P$708=0),"",$L$711-1),IF($R$17="Distrato",$E788,0)),MIN(S$38,$D$19),$P$20))-SUM($P788:R788)</f>
        <v>#VALUE!</v>
      </c>
      <c r="T788" s="446" t="e">
        <f>IF(OR($B788="",MIN(T$38,$D$19)&lt;MAX($P$708*($B788+IF($R$17="Distrato",$I$38-1,0)),IF(AND($L$711=0,$P$708=0),"",$L$711-1),IF($R$17="Distrato",$E788,0))),0,YEARFRAC(MAX($P$708*($B788+IF($R$17="Distrato",$I$38-1,0)),IF(AND($L$711=0,$P$708=0),"",$L$711-1),IF($R$17="Distrato",$E788,0)),MIN(T$38,$D$19),$P$20))-SUM($P788:S788)</f>
        <v>#VALUE!</v>
      </c>
      <c r="U788" s="446" t="e">
        <f>IF(OR($B788="",MIN(U$38,$D$19)&lt;MAX($P$708*($B788+IF($R$17="Distrato",$I$38-1,0)),IF(AND($L$711=0,$P$708=0),"",$L$711-1),IF($R$17="Distrato",$E788,0))),0,YEARFRAC(MAX($P$708*($B788+IF($R$17="Distrato",$I$38-1,0)),IF(AND($L$711=0,$P$708=0),"",$L$711-1),IF($R$17="Distrato",$E788,0)),MIN(U$38,$D$19),$P$20))-SUM($P788:T788)</f>
        <v>#VALUE!</v>
      </c>
      <c r="V788" s="446" t="e">
        <f>IF(OR($B788="",MIN(V$38,$D$19)&lt;MAX($P$708*($B788+IF($R$17="Distrato",$I$38-1,0)),IF(AND($L$711=0,$P$708=0),"",$L$711-1),IF($R$17="Distrato",$E788,0))),0,YEARFRAC(MAX($P$708*($B788+IF($R$17="Distrato",$I$38-1,0)),IF(AND($L$711=0,$P$708=0),"",$L$711-1),IF($R$17="Distrato",$E788,0)),MIN(V$38,$D$19),$P$20))-SUM($P788:U788)</f>
        <v>#VALUE!</v>
      </c>
      <c r="W788" s="446" t="e">
        <f>IF(OR($B788="",MIN(W$38,$D$19)&lt;MAX($P$708*($B788+IF($R$17="Distrato",$I$38-1,0)),IF(AND($L$711=0,$P$708=0),"",$L$711-1),IF($R$17="Distrato",$E788,0))),0,YEARFRAC(MAX($P$708*($B788+IF($R$17="Distrato",$I$38-1,0)),IF(AND($L$711=0,$P$708=0),"",$L$711-1),IF($R$17="Distrato",$E788,0)),MIN(W$38,$D$19),$P$20))-SUM($P788:V788)</f>
        <v>#VALUE!</v>
      </c>
      <c r="X788" s="446" t="e">
        <f>IF(OR($B788="",MIN(X$38,$D$19)&lt;MAX($P$708*($B788+IF($R$17="Distrato",$I$38-1,0)),IF(AND($L$711=0,$P$708=0),"",$L$711-1),IF($R$17="Distrato",$E788,0))),0,YEARFRAC(MAX($P$708*($B788+IF($R$17="Distrato",$I$38-1,0)),IF(AND($L$711=0,$P$708=0),"",$L$711-1),IF($R$17="Distrato",$E788,0)),MIN(X$38,$D$19),$P$20))-SUM($P788:W788)</f>
        <v>#VALUE!</v>
      </c>
      <c r="Y788" s="446" t="e">
        <f>IF(OR($B788="",MIN(Y$38,$D$19)&lt;MAX($P$708*($B788+IF($R$17="Distrato",$I$38-1,0)),IF(AND($L$711=0,$P$708=0),"",$L$711-1),IF($R$17="Distrato",$E788,0))),0,YEARFRAC(MAX($P$708*($B788+IF($R$17="Distrato",$I$38-1,0)),IF(AND($L$711=0,$P$708=0),"",$L$711-1),IF($R$17="Distrato",$E788,0)),MIN(Y$38,$D$19),$P$20))-SUM($P788:X788)</f>
        <v>#VALUE!</v>
      </c>
      <c r="Z788" s="446" t="e">
        <f>IF(OR($B788="",MIN(Z$38,$D$19)&lt;MAX($P$708*($B788+IF($R$17="Distrato",$I$38-1,0)),IF(AND($L$711=0,$P$708=0),"",$L$711-1),IF($R$17="Distrato",$E788,0))),0,YEARFRAC(MAX($P$708*($B788+IF($R$17="Distrato",$I$38-1,0)),IF(AND($L$711=0,$P$708=0),"",$L$711-1),IF($R$17="Distrato",$E788,0)),MIN(Z$38,$D$19),$P$20))-SUM($P788:Y788)</f>
        <v>#VALUE!</v>
      </c>
      <c r="AA788" s="446" t="e">
        <f>IF(OR($B788="",MIN(AA$38,$D$19)&lt;MAX($P$708*($B788+IF($R$17="Distrato",$I$38-1,0)),IF(AND($L$711=0,$P$708=0),"",$L$711-1),IF($R$17="Distrato",$E788,0))),0,YEARFRAC(MAX($P$708*($B788+IF($R$17="Distrato",$I$38-1,0)),IF(AND($L$711=0,$P$708=0),"",$L$711-1),IF($R$17="Distrato",$E788,0)),MIN(AA$38,$D$19),$P$20))-SUM($P788:Z788)</f>
        <v>#VALUE!</v>
      </c>
      <c r="AB788" s="446" t="e">
        <f>IF(OR($B788="",MIN(AB$38,$D$19)&lt;MAX($P$708*($B788+IF($R$17="Distrato",$I$38-1,0)),IF(AND($L$711=0,$P$708=0),"",$L$711-1),IF($R$17="Distrato",$E788,0))),0,YEARFRAC(MAX($P$708*($B788+IF($R$17="Distrato",$I$38-1,0)),IF(AND($L$711=0,$P$708=0),"",$L$711-1),IF($R$17="Distrato",$E788,0)),MIN(AB$38,$D$19),$P$20))-SUM($P788:AA788)</f>
        <v>#VALUE!</v>
      </c>
      <c r="AC788" s="446" t="e">
        <f>IF(OR($B788="",MIN(AC$38,$D$19)&lt;MAX($P$708*($B788+IF($R$17="Distrato",$I$38-1,0)),IF(AND($L$711=0,$P$708=0),"",$L$711-1),IF($R$17="Distrato",$E788,0))),0,YEARFRAC(MAX($P$708*($B788+IF($R$17="Distrato",$I$38-1,0)),IF(AND($L$711=0,$P$708=0),"",$L$711-1),IF($R$17="Distrato",$E788,0)),MIN(AC$38,$D$19),$P$20))-SUM($P788:AB788)</f>
        <v>#VALUE!</v>
      </c>
      <c r="AD788" s="446" t="e">
        <f>IF(OR($B788="",MIN(AD$38,$D$19)&lt;MAX($P$708*($B788+IF($R$17="Distrato",$I$38-1,0)),IF(AND($L$711=0,$P$708=0),"",$L$711-1),IF($R$17="Distrato",$E788,0))),0,YEARFRAC(MAX($P$708*($B788+IF($R$17="Distrato",$I$38-1,0)),IF(AND($L$711=0,$P$708=0),"",$L$711-1),IF($R$17="Distrato",$E788,0)),MIN(AD$38,$D$19),$P$20))-SUM($P788:AC788)</f>
        <v>#VALUE!</v>
      </c>
      <c r="AE788" s="446" t="e">
        <f>IF(OR($B788="",MIN(AE$38,$D$19)&lt;MAX($P$708*($B788+IF($R$17="Distrato",$I$38-1,0)),IF(AND($L$711=0,$P$708=0),"",$L$711-1),IF($R$17="Distrato",$E788,0))),0,YEARFRAC(MAX($P$708*($B788+IF($R$17="Distrato",$I$38-1,0)),IF(AND($L$711=0,$P$708=0),"",$L$711-1),IF($R$17="Distrato",$E788,0)),MIN(AE$38,$D$19),$P$20))-SUM($P788:AD788)</f>
        <v>#VALUE!</v>
      </c>
      <c r="AF788" s="446" t="e">
        <f>IF(OR($B788="",MIN(AF$38,$D$19)&lt;MAX($P$708*($B788+IF($R$17="Distrato",$I$38-1,0)),IF(AND($L$711=0,$P$708=0),"",$L$711-1),IF($R$17="Distrato",$E788,0))),0,YEARFRAC(MAX($P$708*($B788+IF($R$17="Distrato",$I$38-1,0)),IF(AND($L$711=0,$P$708=0),"",$L$711-1),IF($R$17="Distrato",$E788,0)),MIN(AF$38,$D$19),$P$20))-SUM($P788:AE788)</f>
        <v>#VALUE!</v>
      </c>
      <c r="AG788" s="446" t="e">
        <f>IF(OR($B788="",MIN(AG$38,$D$19)&lt;MAX($P$708*($B788+IF($R$17="Distrato",$I$38-1,0)),IF(AND($L$711=0,$P$708=0),"",$L$711-1),IF($R$17="Distrato",$E788,0))),0,YEARFRAC(MAX($P$708*($B788+IF($R$17="Distrato",$I$38-1,0)),IF(AND($L$711=0,$P$708=0),"",$L$711-1),IF($R$17="Distrato",$E788,0)),MIN(AG$38,$D$19),$P$20))-SUM($P788:AF788)</f>
        <v>#VALUE!</v>
      </c>
      <c r="AH788" s="446" t="e">
        <f>IF(OR($B788="",MIN(AH$38,$D$19)&lt;MAX($P$708*($B788+IF($R$17="Distrato",$I$38-1,0)),IF(AND($L$711=0,$P$708=0),"",$L$711-1),IF($R$17="Distrato",$E788,0))),0,YEARFRAC(MAX($P$708*($B788+IF($R$17="Distrato",$I$38-1,0)),IF(AND($L$711=0,$P$708=0),"",$L$711-1),IF($R$17="Distrato",$E788,0)),MIN(AH$38,$D$19),$P$20))-SUM($P788:AG788)</f>
        <v>#VALUE!</v>
      </c>
      <c r="AI788" s="446" t="e">
        <f>IF(OR($B788="",MIN(AI$38,$D$19)&lt;MAX($P$708*($B788+IF($R$17="Distrato",$I$38-1,0)),IF(AND($L$711=0,$P$708=0),"",$L$711-1),IF($R$17="Distrato",$E788,0))),0,YEARFRAC(MAX($P$708*($B788+IF($R$17="Distrato",$I$38-1,0)),IF(AND($L$711=0,$P$708=0),"",$L$711-1),IF($R$17="Distrato",$E788,0)),MIN(AI$38,$D$19),$P$20))-SUM($P788:AH788)</f>
        <v>#VALUE!</v>
      </c>
      <c r="AJ788" s="446" t="e">
        <f>IF(OR($B788="",MIN(AJ$38,$D$19)&lt;MAX($P$708*($B788+IF($R$17="Distrato",$I$38-1,0)),IF(AND($L$711=0,$P$708=0),"",$L$711-1),IF($R$17="Distrato",$E788,0))),0,YEARFRAC(MAX($P$708*($B788+IF($R$17="Distrato",$I$38-1,0)),IF(AND($L$711=0,$P$708=0),"",$L$711-1),IF($R$17="Distrato",$E788,0)),MIN(AJ$38,$D$19),$P$20))-SUM($P788:AI788)</f>
        <v>#VALUE!</v>
      </c>
      <c r="AK788" s="446" t="e">
        <f>IF(OR($B788="",MIN(AK$38,$D$19)&lt;MAX($P$708*($B788+IF($R$17="Distrato",$I$38-1,0)),IF(AND($L$711=0,$P$708=0),"",$L$711-1),IF($R$17="Distrato",$E788,0))),0,YEARFRAC(MAX($P$708*($B788+IF($R$17="Distrato",$I$38-1,0)),IF(AND($L$711=0,$P$708=0),"",$L$711-1),IF($R$17="Distrato",$E788,0)),MIN(AK$38,$D$19),$P$20))-SUM($P788:AJ788)</f>
        <v>#VALUE!</v>
      </c>
      <c r="AL788" s="446" t="e">
        <f>IF(OR($B788="",MIN(AL$38,$D$19)&lt;MAX($P$708*($B788+IF($R$17="Distrato",$I$38-1,0)),IF(AND($L$711=0,$P$708=0),"",$L$711-1),IF($R$17="Distrato",$E788,0))),0,YEARFRAC(MAX($P$708*($B788+IF($R$17="Distrato",$I$38-1,0)),IF(AND($L$711=0,$P$708=0),"",$L$711-1),IF($R$17="Distrato",$E788,0)),MIN(AL$38,$D$19),$P$20))-SUM($P788:AK788)</f>
        <v>#VALUE!</v>
      </c>
      <c r="AM788" s="446" t="e">
        <f>IF(OR($B788="",MIN(AM$38,$D$19)&lt;MAX($P$708*($B788+IF($R$17="Distrato",$I$38-1,0)),IF(AND($L$711=0,$P$708=0),"",$L$711-1),IF($R$17="Distrato",$E788,0))),0,YEARFRAC(MAX($P$708*($B788+IF($R$17="Distrato",$I$38-1,0)),IF(AND($L$711=0,$P$708=0),"",$L$711-1),IF($R$17="Distrato",$E788,0)),MIN(AM$38,$D$19),$P$20))-SUM($P788:AL788)</f>
        <v>#VALUE!</v>
      </c>
      <c r="AN788" s="446" t="e">
        <f>IF(OR($B788="",MIN(AN$38,$D$19)&lt;MAX($P$708*($B788+IF($R$17="Distrato",$I$38-1,0)),IF(AND($L$711=0,$P$708=0),"",$L$711-1),IF($R$17="Distrato",$E788,0))),0,YEARFRAC(MAX($P$708*($B788+IF($R$17="Distrato",$I$38-1,0)),IF(AND($L$711=0,$P$708=0),"",$L$711-1),IF($R$17="Distrato",$E788,0)),MIN(AN$38,$D$19),$P$20))-SUM($P788:AM788)</f>
        <v>#VALUE!</v>
      </c>
      <c r="AO788" s="446" t="e">
        <f>IF(OR($B788="",MIN(AO$38,$D$19)&lt;MAX($P$708*($B788+IF($R$17="Distrato",$I$38-1,0)),IF(AND($L$711=0,$P$708=0),"",$L$711-1),IF($R$17="Distrato",$E788,0))),0,YEARFRAC(MAX($P$708*($B788+IF($R$17="Distrato",$I$38-1,0)),IF(AND($L$711=0,$P$708=0),"",$L$711-1),IF($R$17="Distrato",$E788,0)),MIN(AO$38,$D$19),$P$20))-SUM($P788:AN788)</f>
        <v>#VALUE!</v>
      </c>
      <c r="AP788" s="446" t="e">
        <f>IF(OR($B788="",MIN(AP$38,$D$19)&lt;MAX($P$708*($B788+IF($R$17="Distrato",$I$38-1,0)),IF(AND($L$711=0,$P$708=0),"",$L$711-1),IF($R$17="Distrato",$E788,0))),0,YEARFRAC(MAX($P$708*($B788+IF($R$17="Distrato",$I$38-1,0)),IF(AND($L$711=0,$P$708=0),"",$L$711-1),IF($R$17="Distrato",$E788,0)),MIN(AP$38,$D$19),$P$20))-SUM($P788:AO788)</f>
        <v>#VALUE!</v>
      </c>
      <c r="AQ788" s="446" t="e">
        <f>IF(OR($B788="",MIN(AQ$38,$D$19)&lt;MAX($P$708*($B788+IF($R$17="Distrato",$I$38-1,0)),IF(AND($L$711=0,$P$708=0),"",$L$711-1),IF($R$17="Distrato",$E788,0))),0,YEARFRAC(MAX($P$708*($B788+IF($R$17="Distrato",$I$38-1,0)),IF(AND($L$711=0,$P$708=0),"",$L$711-1),IF($R$17="Distrato",$E788,0)),MIN(AQ$38,$D$19),$P$20))-SUM($P788:AP788)</f>
        <v>#VALUE!</v>
      </c>
      <c r="AR788" s="446" t="e">
        <f>IF(OR($B788="",MIN(AR$38,$D$19)&lt;MAX($P$708*($B788+IF($R$17="Distrato",$I$38-1,0)),IF(AND($L$711=0,$P$708=0),"",$L$711-1),IF($R$17="Distrato",$E788,0))),0,YEARFRAC(MAX($P$708*($B788+IF($R$17="Distrato",$I$38-1,0)),IF(AND($L$711=0,$P$708=0),"",$L$711-1),IF($R$17="Distrato",$E788,0)),MIN(AR$38,$D$19),$P$20))-SUM($P788:AQ788)</f>
        <v>#VALUE!</v>
      </c>
      <c r="AS788" s="446" t="e">
        <f>IF(OR($B788="",MIN(AS$38,$D$19)&lt;MAX($P$708*($B788+IF($R$17="Distrato",$I$38-1,0)),IF(AND($L$711=0,$P$708=0),"",$L$711-1),IF($R$17="Distrato",$E788,0))),0,YEARFRAC(MAX($P$708*($B788+IF($R$17="Distrato",$I$38-1,0)),IF(AND($L$711=0,$P$708=0),"",$L$711-1),IF($R$17="Distrato",$E788,0)),MIN(AS$38,$D$19),$P$20))-SUM($P788:AR788)</f>
        <v>#VALUE!</v>
      </c>
      <c r="AT788" s="446" t="e">
        <f>IF(OR($B788="",MIN(AT$38,$D$19)&lt;MAX($P$708*($B788+IF($R$17="Distrato",$I$38-1,0)),IF(AND($L$711=0,$P$708=0),"",$L$711-1),IF($R$17="Distrato",$E788,0))),0,YEARFRAC(MAX($P$708*($B788+IF($R$17="Distrato",$I$38-1,0)),IF(AND($L$711=0,$P$708=0),"",$L$711-1),IF($R$17="Distrato",$E788,0)),MIN(AT$38,$D$19),$P$20))-SUM($P788:AS788)</f>
        <v>#VALUE!</v>
      </c>
      <c r="AU788" s="446" t="e">
        <f>IF(OR($B788="",MIN(AU$38,$D$19)&lt;MAX($P$708*($B788+IF($R$17="Distrato",$I$38-1,0)),IF(AND($L$711=0,$P$708=0),"",$L$711-1),IF($R$17="Distrato",$E788,0))),0,YEARFRAC(MAX($P$708*($B788+IF($R$17="Distrato",$I$38-1,0)),IF(AND($L$711=0,$P$708=0),"",$L$711-1),IF($R$17="Distrato",$E788,0)),MIN(AU$38,$D$19),$P$20))-SUM($P788:AT788)</f>
        <v>#VALUE!</v>
      </c>
      <c r="AV788" s="446" t="e">
        <f>IF(OR($B788="",MIN(AV$38,$D$19)&lt;MAX($P$708*($B788+IF($R$17="Distrato",$I$38-1,0)),IF(AND($L$711=0,$P$708=0),"",$L$711-1),IF($R$17="Distrato",$E788,0))),0,YEARFRAC(MAX($P$708*($B788+IF($R$17="Distrato",$I$38-1,0)),IF(AND($L$711=0,$P$708=0),"",$L$711-1),IF($R$17="Distrato",$E788,0)),MIN(AV$38,$D$19),$P$20))-SUM($P788:AU788)</f>
        <v>#VALUE!</v>
      </c>
      <c r="AW788" s="446" t="e">
        <f>IF(OR($B788="",MIN(AW$38,$D$19)&lt;MAX($P$708*($B788+IF($R$17="Distrato",$I$38-1,0)),IF(AND($L$711=0,$P$708=0),"",$L$711-1),IF($R$17="Distrato",$E788,0))),0,YEARFRAC(MAX($P$708*($B788+IF($R$17="Distrato",$I$38-1,0)),IF(AND($L$711=0,$P$708=0),"",$L$711-1),IF($R$17="Distrato",$E788,0)),MIN(AW$38,$D$19),$P$20))-SUM($P788:AV788)</f>
        <v>#VALUE!</v>
      </c>
      <c r="AX788" s="446" t="e">
        <f>IF(OR($B788="",MIN(AX$38,$D$19)&lt;MAX($P$708*($B788+IF($R$17="Distrato",$I$38-1,0)),IF(AND($L$711=0,$P$708=0),"",$L$711-1),IF($R$17="Distrato",$E788,0))),0,YEARFRAC(MAX($P$708*($B788+IF($R$17="Distrato",$I$38-1,0)),IF(AND($L$711=0,$P$708=0),"",$L$711-1),IF($R$17="Distrato",$E788,0)),MIN(AX$38,$D$19),$P$20))-SUM($P788:AW788)</f>
        <v>#VALUE!</v>
      </c>
      <c r="AY788" s="446" t="e">
        <f>IF(OR($B788="",MIN(AY$38,$D$19)&lt;MAX($P$708*($B788+IF($R$17="Distrato",$I$38-1,0)),IF(AND($L$711=0,$P$708=0),"",$L$711-1),IF($R$17="Distrato",$E788,0))),0,YEARFRAC(MAX($P$708*($B788+IF($R$17="Distrato",$I$38-1,0)),IF(AND($L$711=0,$P$708=0),"",$L$711-1),IF($R$17="Distrato",$E788,0)),MIN(AY$38,$D$19),$P$20))-SUM($P788:AX788)</f>
        <v>#VALUE!</v>
      </c>
      <c r="AZ788" s="446" t="e">
        <f>IF(OR($B788="",MIN(AZ$38,$D$19)&lt;MAX($P$708*($B788+IF($R$17="Distrato",$I$38-1,0)),IF(AND($L$711=0,$P$708=0),"",$L$711-1),IF($R$17="Distrato",$E788,0))),0,YEARFRAC(MAX($P$708*($B788+IF($R$17="Distrato",$I$38-1,0)),IF(AND($L$711=0,$P$708=0),"",$L$711-1),IF($R$17="Distrato",$E788,0)),MIN(AZ$38,$D$19),$P$20))-SUM($P788:AY788)</f>
        <v>#VALUE!</v>
      </c>
      <c r="BA788" s="446" t="e">
        <f>IF(OR($B788="",MIN(BA$38,$D$19)&lt;MAX($P$708*($B788+IF($R$17="Distrato",$I$38-1,0)),IF(AND($L$711=0,$P$708=0),"",$L$711-1),IF($R$17="Distrato",$E788,0))),0,YEARFRAC(MAX($P$708*($B788+IF($R$17="Distrato",$I$38-1,0)),IF(AND($L$711=0,$P$708=0),"",$L$711-1),IF($R$17="Distrato",$E788,0)),MIN(BA$38,$D$19),$P$20))-SUM($P788:AZ788)</f>
        <v>#VALUE!</v>
      </c>
      <c r="BB788" s="447"/>
    </row>
    <row r="789" spans="1:54" s="446" customFormat="1" ht="11.25" hidden="1" customHeight="1" x14ac:dyDescent="0.2">
      <c r="A789" s="235"/>
      <c r="B789" s="236"/>
      <c r="C789" s="29" t="str">
        <f>IF(B789="","",IF($L$709=$BL$25,VLOOKUP(DATE(YEAR($D$19),MONTH($D$19)-1,1),ÍNDICES!$A:$DE,HLOOKUP($BL$25,ÍNDICES!$B$3:$T$4,2)+11)-VLOOKUP(B789,ÍNDICES!$A:$DE,HLOOKUP($BL$25,ÍNDICES!$B$3:$T$4,2)+11)+1%,IF(C$712=$W$26,$J$35,IF(ISERROR(IF(B789&gt;$D$19,1,VLOOKUP(DATE(YEAR(B789),MONTH(B789)+IF($C$709=$S$23,1,0),1),ÍNDICES!$A:$DE,$Z$709+1))),"",IF(B789&gt;$D$19,1,VLOOKUP(DATE(YEAR(B789),MONTH(B789)+IF($C$709=$S$23,1,0),1),ÍNDICES!$A:$DE,$Z$709+1))))))</f>
        <v/>
      </c>
      <c r="D789" s="155"/>
      <c r="E789" s="88"/>
      <c r="F789" s="88"/>
      <c r="G789" s="88"/>
      <c r="H789" s="118"/>
      <c r="I789" s="182">
        <f t="shared" si="122"/>
        <v>0</v>
      </c>
      <c r="J789" s="20">
        <f t="shared" ca="1" si="123"/>
        <v>0</v>
      </c>
      <c r="K789" s="5">
        <f t="shared" ca="1" si="124"/>
        <v>0</v>
      </c>
      <c r="L789" s="61">
        <f t="shared" ca="1" si="125"/>
        <v>0</v>
      </c>
      <c r="M789" s="64">
        <f t="shared" si="126"/>
        <v>0</v>
      </c>
      <c r="N789" s="151"/>
      <c r="O789" s="5">
        <f t="shared" ca="1" si="127"/>
        <v>0</v>
      </c>
      <c r="P789" s="446" t="e">
        <f t="shared" si="128"/>
        <v>#VALUE!</v>
      </c>
      <c r="Q789" s="446" t="e">
        <f>IF(OR($B789="",MIN(Q$38,$D$19)&lt;MAX($P$708*($B789+IF($R$17="Distrato",$I$38-1,0)),IF(AND($L$711=0,$P$708=0),"",$L$711-1),IF($R$17="Distrato",$E789,0))),0,YEARFRAC(MAX($P$708*($B789+IF($R$17="Distrato",$I$38-1,0)),IF(AND($L$711=0,$P$708=0),"",$L$711-1),IF($R$17="Distrato",$E789,0)),MIN(Q$38,$D$19),$P$20))-SUM($P789:P789)</f>
        <v>#VALUE!</v>
      </c>
      <c r="R789" s="446" t="e">
        <f>IF(OR($B789="",MIN(R$38,$D$19)&lt;MAX($P$708*($B789+IF($R$17="Distrato",$I$38-1,0)),IF(AND($L$711=0,$P$708=0),"",$L$711-1),IF($R$17="Distrato",$E789,0))),0,YEARFRAC(MAX($P$708*($B789+IF($R$17="Distrato",$I$38-1,0)),IF(AND($L$711=0,$P$708=0),"",$L$711-1),IF($R$17="Distrato",$E789,0)),MIN(R$38,$D$19),$P$20))-SUM($P789:Q789)</f>
        <v>#VALUE!</v>
      </c>
      <c r="S789" s="446" t="e">
        <f>IF(OR($B789="",MIN(S$38,$D$19)&lt;MAX($P$708*($B789+IF($R$17="Distrato",$I$38-1,0)),IF(AND($L$711=0,$P$708=0),"",$L$711-1),IF($R$17="Distrato",$E789,0))),0,YEARFRAC(MAX($P$708*($B789+IF($R$17="Distrato",$I$38-1,0)),IF(AND($L$711=0,$P$708=0),"",$L$711-1),IF($R$17="Distrato",$E789,0)),MIN(S$38,$D$19),$P$20))-SUM($P789:R789)</f>
        <v>#VALUE!</v>
      </c>
      <c r="T789" s="446" t="e">
        <f>IF(OR($B789="",MIN(T$38,$D$19)&lt;MAX($P$708*($B789+IF($R$17="Distrato",$I$38-1,0)),IF(AND($L$711=0,$P$708=0),"",$L$711-1),IF($R$17="Distrato",$E789,0))),0,YEARFRAC(MAX($P$708*($B789+IF($R$17="Distrato",$I$38-1,0)),IF(AND($L$711=0,$P$708=0),"",$L$711-1),IF($R$17="Distrato",$E789,0)),MIN(T$38,$D$19),$P$20))-SUM($P789:S789)</f>
        <v>#VALUE!</v>
      </c>
      <c r="U789" s="446" t="e">
        <f>IF(OR($B789="",MIN(U$38,$D$19)&lt;MAX($P$708*($B789+IF($R$17="Distrato",$I$38-1,0)),IF(AND($L$711=0,$P$708=0),"",$L$711-1),IF($R$17="Distrato",$E789,0))),0,YEARFRAC(MAX($P$708*($B789+IF($R$17="Distrato",$I$38-1,0)),IF(AND($L$711=0,$P$708=0),"",$L$711-1),IF($R$17="Distrato",$E789,0)),MIN(U$38,$D$19),$P$20))-SUM($P789:T789)</f>
        <v>#VALUE!</v>
      </c>
      <c r="V789" s="446" t="e">
        <f>IF(OR($B789="",MIN(V$38,$D$19)&lt;MAX($P$708*($B789+IF($R$17="Distrato",$I$38-1,0)),IF(AND($L$711=0,$P$708=0),"",$L$711-1),IF($R$17="Distrato",$E789,0))),0,YEARFRAC(MAX($P$708*($B789+IF($R$17="Distrato",$I$38-1,0)),IF(AND($L$711=0,$P$708=0),"",$L$711-1),IF($R$17="Distrato",$E789,0)),MIN(V$38,$D$19),$P$20))-SUM($P789:U789)</f>
        <v>#VALUE!</v>
      </c>
      <c r="W789" s="446" t="e">
        <f>IF(OR($B789="",MIN(W$38,$D$19)&lt;MAX($P$708*($B789+IF($R$17="Distrato",$I$38-1,0)),IF(AND($L$711=0,$P$708=0),"",$L$711-1),IF($R$17="Distrato",$E789,0))),0,YEARFRAC(MAX($P$708*($B789+IF($R$17="Distrato",$I$38-1,0)),IF(AND($L$711=0,$P$708=0),"",$L$711-1),IF($R$17="Distrato",$E789,0)),MIN(W$38,$D$19),$P$20))-SUM($P789:V789)</f>
        <v>#VALUE!</v>
      </c>
      <c r="X789" s="446" t="e">
        <f>IF(OR($B789="",MIN(X$38,$D$19)&lt;MAX($P$708*($B789+IF($R$17="Distrato",$I$38-1,0)),IF(AND($L$711=0,$P$708=0),"",$L$711-1),IF($R$17="Distrato",$E789,0))),0,YEARFRAC(MAX($P$708*($B789+IF($R$17="Distrato",$I$38-1,0)),IF(AND($L$711=0,$P$708=0),"",$L$711-1),IF($R$17="Distrato",$E789,0)),MIN(X$38,$D$19),$P$20))-SUM($P789:W789)</f>
        <v>#VALUE!</v>
      </c>
      <c r="Y789" s="446" t="e">
        <f>IF(OR($B789="",MIN(Y$38,$D$19)&lt;MAX($P$708*($B789+IF($R$17="Distrato",$I$38-1,0)),IF(AND($L$711=0,$P$708=0),"",$L$711-1),IF($R$17="Distrato",$E789,0))),0,YEARFRAC(MAX($P$708*($B789+IF($R$17="Distrato",$I$38-1,0)),IF(AND($L$711=0,$P$708=0),"",$L$711-1),IF($R$17="Distrato",$E789,0)),MIN(Y$38,$D$19),$P$20))-SUM($P789:X789)</f>
        <v>#VALUE!</v>
      </c>
      <c r="Z789" s="446" t="e">
        <f>IF(OR($B789="",MIN(Z$38,$D$19)&lt;MAX($P$708*($B789+IF($R$17="Distrato",$I$38-1,0)),IF(AND($L$711=0,$P$708=0),"",$L$711-1),IF($R$17="Distrato",$E789,0))),0,YEARFRAC(MAX($P$708*($B789+IF($R$17="Distrato",$I$38-1,0)),IF(AND($L$711=0,$P$708=0),"",$L$711-1),IF($R$17="Distrato",$E789,0)),MIN(Z$38,$D$19),$P$20))-SUM($P789:Y789)</f>
        <v>#VALUE!</v>
      </c>
      <c r="AA789" s="446" t="e">
        <f>IF(OR($B789="",MIN(AA$38,$D$19)&lt;MAX($P$708*($B789+IF($R$17="Distrato",$I$38-1,0)),IF(AND($L$711=0,$P$708=0),"",$L$711-1),IF($R$17="Distrato",$E789,0))),0,YEARFRAC(MAX($P$708*($B789+IF($R$17="Distrato",$I$38-1,0)),IF(AND($L$711=0,$P$708=0),"",$L$711-1),IF($R$17="Distrato",$E789,0)),MIN(AA$38,$D$19),$P$20))-SUM($P789:Z789)</f>
        <v>#VALUE!</v>
      </c>
      <c r="AB789" s="446" t="e">
        <f>IF(OR($B789="",MIN(AB$38,$D$19)&lt;MAX($P$708*($B789+IF($R$17="Distrato",$I$38-1,0)),IF(AND($L$711=0,$P$708=0),"",$L$711-1),IF($R$17="Distrato",$E789,0))),0,YEARFRAC(MAX($P$708*($B789+IF($R$17="Distrato",$I$38-1,0)),IF(AND($L$711=0,$P$708=0),"",$L$711-1),IF($R$17="Distrato",$E789,0)),MIN(AB$38,$D$19),$P$20))-SUM($P789:AA789)</f>
        <v>#VALUE!</v>
      </c>
      <c r="AC789" s="446" t="e">
        <f>IF(OR($B789="",MIN(AC$38,$D$19)&lt;MAX($P$708*($B789+IF($R$17="Distrato",$I$38-1,0)),IF(AND($L$711=0,$P$708=0),"",$L$711-1),IF($R$17="Distrato",$E789,0))),0,YEARFRAC(MAX($P$708*($B789+IF($R$17="Distrato",$I$38-1,0)),IF(AND($L$711=0,$P$708=0),"",$L$711-1),IF($R$17="Distrato",$E789,0)),MIN(AC$38,$D$19),$P$20))-SUM($P789:AB789)</f>
        <v>#VALUE!</v>
      </c>
      <c r="AD789" s="446" t="e">
        <f>IF(OR($B789="",MIN(AD$38,$D$19)&lt;MAX($P$708*($B789+IF($R$17="Distrato",$I$38-1,0)),IF(AND($L$711=0,$P$708=0),"",$L$711-1),IF($R$17="Distrato",$E789,0))),0,YEARFRAC(MAX($P$708*($B789+IF($R$17="Distrato",$I$38-1,0)),IF(AND($L$711=0,$P$708=0),"",$L$711-1),IF($R$17="Distrato",$E789,0)),MIN(AD$38,$D$19),$P$20))-SUM($P789:AC789)</f>
        <v>#VALUE!</v>
      </c>
      <c r="AE789" s="446" t="e">
        <f>IF(OR($B789="",MIN(AE$38,$D$19)&lt;MAX($P$708*($B789+IF($R$17="Distrato",$I$38-1,0)),IF(AND($L$711=0,$P$708=0),"",$L$711-1),IF($R$17="Distrato",$E789,0))),0,YEARFRAC(MAX($P$708*($B789+IF($R$17="Distrato",$I$38-1,0)),IF(AND($L$711=0,$P$708=0),"",$L$711-1),IF($R$17="Distrato",$E789,0)),MIN(AE$38,$D$19),$P$20))-SUM($P789:AD789)</f>
        <v>#VALUE!</v>
      </c>
      <c r="AF789" s="446" t="e">
        <f>IF(OR($B789="",MIN(AF$38,$D$19)&lt;MAX($P$708*($B789+IF($R$17="Distrato",$I$38-1,0)),IF(AND($L$711=0,$P$708=0),"",$L$711-1),IF($R$17="Distrato",$E789,0))),0,YEARFRAC(MAX($P$708*($B789+IF($R$17="Distrato",$I$38-1,0)),IF(AND($L$711=0,$P$708=0),"",$L$711-1),IF($R$17="Distrato",$E789,0)),MIN(AF$38,$D$19),$P$20))-SUM($P789:AE789)</f>
        <v>#VALUE!</v>
      </c>
      <c r="AG789" s="446" t="e">
        <f>IF(OR($B789="",MIN(AG$38,$D$19)&lt;MAX($P$708*($B789+IF($R$17="Distrato",$I$38-1,0)),IF(AND($L$711=0,$P$708=0),"",$L$711-1),IF($R$17="Distrato",$E789,0))),0,YEARFRAC(MAX($P$708*($B789+IF($R$17="Distrato",$I$38-1,0)),IF(AND($L$711=0,$P$708=0),"",$L$711-1),IF($R$17="Distrato",$E789,0)),MIN(AG$38,$D$19),$P$20))-SUM($P789:AF789)</f>
        <v>#VALUE!</v>
      </c>
      <c r="AH789" s="446" t="e">
        <f>IF(OR($B789="",MIN(AH$38,$D$19)&lt;MAX($P$708*($B789+IF($R$17="Distrato",$I$38-1,0)),IF(AND($L$711=0,$P$708=0),"",$L$711-1),IF($R$17="Distrato",$E789,0))),0,YEARFRAC(MAX($P$708*($B789+IF($R$17="Distrato",$I$38-1,0)),IF(AND($L$711=0,$P$708=0),"",$L$711-1),IF($R$17="Distrato",$E789,0)),MIN(AH$38,$D$19),$P$20))-SUM($P789:AG789)</f>
        <v>#VALUE!</v>
      </c>
      <c r="AI789" s="446" t="e">
        <f>IF(OR($B789="",MIN(AI$38,$D$19)&lt;MAX($P$708*($B789+IF($R$17="Distrato",$I$38-1,0)),IF(AND($L$711=0,$P$708=0),"",$L$711-1),IF($R$17="Distrato",$E789,0))),0,YEARFRAC(MAX($P$708*($B789+IF($R$17="Distrato",$I$38-1,0)),IF(AND($L$711=0,$P$708=0),"",$L$711-1),IF($R$17="Distrato",$E789,0)),MIN(AI$38,$D$19),$P$20))-SUM($P789:AH789)</f>
        <v>#VALUE!</v>
      </c>
      <c r="AJ789" s="446" t="e">
        <f>IF(OR($B789="",MIN(AJ$38,$D$19)&lt;MAX($P$708*($B789+IF($R$17="Distrato",$I$38-1,0)),IF(AND($L$711=0,$P$708=0),"",$L$711-1),IF($R$17="Distrato",$E789,0))),0,YEARFRAC(MAX($P$708*($B789+IF($R$17="Distrato",$I$38-1,0)),IF(AND($L$711=0,$P$708=0),"",$L$711-1),IF($R$17="Distrato",$E789,0)),MIN(AJ$38,$D$19),$P$20))-SUM($P789:AI789)</f>
        <v>#VALUE!</v>
      </c>
      <c r="AK789" s="446" t="e">
        <f>IF(OR($B789="",MIN(AK$38,$D$19)&lt;MAX($P$708*($B789+IF($R$17="Distrato",$I$38-1,0)),IF(AND($L$711=0,$P$708=0),"",$L$711-1),IF($R$17="Distrato",$E789,0))),0,YEARFRAC(MAX($P$708*($B789+IF($R$17="Distrato",$I$38-1,0)),IF(AND($L$711=0,$P$708=0),"",$L$711-1),IF($R$17="Distrato",$E789,0)),MIN(AK$38,$D$19),$P$20))-SUM($P789:AJ789)</f>
        <v>#VALUE!</v>
      </c>
      <c r="AL789" s="446" t="e">
        <f>IF(OR($B789="",MIN(AL$38,$D$19)&lt;MAX($P$708*($B789+IF($R$17="Distrato",$I$38-1,0)),IF(AND($L$711=0,$P$708=0),"",$L$711-1),IF($R$17="Distrato",$E789,0))),0,YEARFRAC(MAX($P$708*($B789+IF($R$17="Distrato",$I$38-1,0)),IF(AND($L$711=0,$P$708=0),"",$L$711-1),IF($R$17="Distrato",$E789,0)),MIN(AL$38,$D$19),$P$20))-SUM($P789:AK789)</f>
        <v>#VALUE!</v>
      </c>
      <c r="AM789" s="446" t="e">
        <f>IF(OR($B789="",MIN(AM$38,$D$19)&lt;MAX($P$708*($B789+IF($R$17="Distrato",$I$38-1,0)),IF(AND($L$711=0,$P$708=0),"",$L$711-1),IF($R$17="Distrato",$E789,0))),0,YEARFRAC(MAX($P$708*($B789+IF($R$17="Distrato",$I$38-1,0)),IF(AND($L$711=0,$P$708=0),"",$L$711-1),IF($R$17="Distrato",$E789,0)),MIN(AM$38,$D$19),$P$20))-SUM($P789:AL789)</f>
        <v>#VALUE!</v>
      </c>
      <c r="AN789" s="446" t="e">
        <f>IF(OR($B789="",MIN(AN$38,$D$19)&lt;MAX($P$708*($B789+IF($R$17="Distrato",$I$38-1,0)),IF(AND($L$711=0,$P$708=0),"",$L$711-1),IF($R$17="Distrato",$E789,0))),0,YEARFRAC(MAX($P$708*($B789+IF($R$17="Distrato",$I$38-1,0)),IF(AND($L$711=0,$P$708=0),"",$L$711-1),IF($R$17="Distrato",$E789,0)),MIN(AN$38,$D$19),$P$20))-SUM($P789:AM789)</f>
        <v>#VALUE!</v>
      </c>
      <c r="AO789" s="446" t="e">
        <f>IF(OR($B789="",MIN(AO$38,$D$19)&lt;MAX($P$708*($B789+IF($R$17="Distrato",$I$38-1,0)),IF(AND($L$711=0,$P$708=0),"",$L$711-1),IF($R$17="Distrato",$E789,0))),0,YEARFRAC(MAX($P$708*($B789+IF($R$17="Distrato",$I$38-1,0)),IF(AND($L$711=0,$P$708=0),"",$L$711-1),IF($R$17="Distrato",$E789,0)),MIN(AO$38,$D$19),$P$20))-SUM($P789:AN789)</f>
        <v>#VALUE!</v>
      </c>
      <c r="AP789" s="446" t="e">
        <f>IF(OR($B789="",MIN(AP$38,$D$19)&lt;MAX($P$708*($B789+IF($R$17="Distrato",$I$38-1,0)),IF(AND($L$711=0,$P$708=0),"",$L$711-1),IF($R$17="Distrato",$E789,0))),0,YEARFRAC(MAX($P$708*($B789+IF($R$17="Distrato",$I$38-1,0)),IF(AND($L$711=0,$P$708=0),"",$L$711-1),IF($R$17="Distrato",$E789,0)),MIN(AP$38,$D$19),$P$20))-SUM($P789:AO789)</f>
        <v>#VALUE!</v>
      </c>
      <c r="AQ789" s="446" t="e">
        <f>IF(OR($B789="",MIN(AQ$38,$D$19)&lt;MAX($P$708*($B789+IF($R$17="Distrato",$I$38-1,0)),IF(AND($L$711=0,$P$708=0),"",$L$711-1),IF($R$17="Distrato",$E789,0))),0,YEARFRAC(MAX($P$708*($B789+IF($R$17="Distrato",$I$38-1,0)),IF(AND($L$711=0,$P$708=0),"",$L$711-1),IF($R$17="Distrato",$E789,0)),MIN(AQ$38,$D$19),$P$20))-SUM($P789:AP789)</f>
        <v>#VALUE!</v>
      </c>
      <c r="AR789" s="446" t="e">
        <f>IF(OR($B789="",MIN(AR$38,$D$19)&lt;MAX($P$708*($B789+IF($R$17="Distrato",$I$38-1,0)),IF(AND($L$711=0,$P$708=0),"",$L$711-1),IF($R$17="Distrato",$E789,0))),0,YEARFRAC(MAX($P$708*($B789+IF($R$17="Distrato",$I$38-1,0)),IF(AND($L$711=0,$P$708=0),"",$L$711-1),IF($R$17="Distrato",$E789,0)),MIN(AR$38,$D$19),$P$20))-SUM($P789:AQ789)</f>
        <v>#VALUE!</v>
      </c>
      <c r="AS789" s="446" t="e">
        <f>IF(OR($B789="",MIN(AS$38,$D$19)&lt;MAX($P$708*($B789+IF($R$17="Distrato",$I$38-1,0)),IF(AND($L$711=0,$P$708=0),"",$L$711-1),IF($R$17="Distrato",$E789,0))),0,YEARFRAC(MAX($P$708*($B789+IF($R$17="Distrato",$I$38-1,0)),IF(AND($L$711=0,$P$708=0),"",$L$711-1),IF($R$17="Distrato",$E789,0)),MIN(AS$38,$D$19),$P$20))-SUM($P789:AR789)</f>
        <v>#VALUE!</v>
      </c>
      <c r="AT789" s="446" t="e">
        <f>IF(OR($B789="",MIN(AT$38,$D$19)&lt;MAX($P$708*($B789+IF($R$17="Distrato",$I$38-1,0)),IF(AND($L$711=0,$P$708=0),"",$L$711-1),IF($R$17="Distrato",$E789,0))),0,YEARFRAC(MAX($P$708*($B789+IF($R$17="Distrato",$I$38-1,0)),IF(AND($L$711=0,$P$708=0),"",$L$711-1),IF($R$17="Distrato",$E789,0)),MIN(AT$38,$D$19),$P$20))-SUM($P789:AS789)</f>
        <v>#VALUE!</v>
      </c>
      <c r="AU789" s="446" t="e">
        <f>IF(OR($B789="",MIN(AU$38,$D$19)&lt;MAX($P$708*($B789+IF($R$17="Distrato",$I$38-1,0)),IF(AND($L$711=0,$P$708=0),"",$L$711-1),IF($R$17="Distrato",$E789,0))),0,YEARFRAC(MAX($P$708*($B789+IF($R$17="Distrato",$I$38-1,0)),IF(AND($L$711=0,$P$708=0),"",$L$711-1),IF($R$17="Distrato",$E789,0)),MIN(AU$38,$D$19),$P$20))-SUM($P789:AT789)</f>
        <v>#VALUE!</v>
      </c>
      <c r="AV789" s="446" t="e">
        <f>IF(OR($B789="",MIN(AV$38,$D$19)&lt;MAX($P$708*($B789+IF($R$17="Distrato",$I$38-1,0)),IF(AND($L$711=0,$P$708=0),"",$L$711-1),IF($R$17="Distrato",$E789,0))),0,YEARFRAC(MAX($P$708*($B789+IF($R$17="Distrato",$I$38-1,0)),IF(AND($L$711=0,$P$708=0),"",$L$711-1),IF($R$17="Distrato",$E789,0)),MIN(AV$38,$D$19),$P$20))-SUM($P789:AU789)</f>
        <v>#VALUE!</v>
      </c>
      <c r="AW789" s="446" t="e">
        <f>IF(OR($B789="",MIN(AW$38,$D$19)&lt;MAX($P$708*($B789+IF($R$17="Distrato",$I$38-1,0)),IF(AND($L$711=0,$P$708=0),"",$L$711-1),IF($R$17="Distrato",$E789,0))),0,YEARFRAC(MAX($P$708*($B789+IF($R$17="Distrato",$I$38-1,0)),IF(AND($L$711=0,$P$708=0),"",$L$711-1),IF($R$17="Distrato",$E789,0)),MIN(AW$38,$D$19),$P$20))-SUM($P789:AV789)</f>
        <v>#VALUE!</v>
      </c>
      <c r="AX789" s="446" t="e">
        <f>IF(OR($B789="",MIN(AX$38,$D$19)&lt;MAX($P$708*($B789+IF($R$17="Distrato",$I$38-1,0)),IF(AND($L$711=0,$P$708=0),"",$L$711-1),IF($R$17="Distrato",$E789,0))),0,YEARFRAC(MAX($P$708*($B789+IF($R$17="Distrato",$I$38-1,0)),IF(AND($L$711=0,$P$708=0),"",$L$711-1),IF($R$17="Distrato",$E789,0)),MIN(AX$38,$D$19),$P$20))-SUM($P789:AW789)</f>
        <v>#VALUE!</v>
      </c>
      <c r="AY789" s="446" t="e">
        <f>IF(OR($B789="",MIN(AY$38,$D$19)&lt;MAX($P$708*($B789+IF($R$17="Distrato",$I$38-1,0)),IF(AND($L$711=0,$P$708=0),"",$L$711-1),IF($R$17="Distrato",$E789,0))),0,YEARFRAC(MAX($P$708*($B789+IF($R$17="Distrato",$I$38-1,0)),IF(AND($L$711=0,$P$708=0),"",$L$711-1),IF($R$17="Distrato",$E789,0)),MIN(AY$38,$D$19),$P$20))-SUM($P789:AX789)</f>
        <v>#VALUE!</v>
      </c>
      <c r="AZ789" s="446" t="e">
        <f>IF(OR($B789="",MIN(AZ$38,$D$19)&lt;MAX($P$708*($B789+IF($R$17="Distrato",$I$38-1,0)),IF(AND($L$711=0,$P$708=0),"",$L$711-1),IF($R$17="Distrato",$E789,0))),0,YEARFRAC(MAX($P$708*($B789+IF($R$17="Distrato",$I$38-1,0)),IF(AND($L$711=0,$P$708=0),"",$L$711-1),IF($R$17="Distrato",$E789,0)),MIN(AZ$38,$D$19),$P$20))-SUM($P789:AY789)</f>
        <v>#VALUE!</v>
      </c>
      <c r="BA789" s="446" t="e">
        <f>IF(OR($B789="",MIN(BA$38,$D$19)&lt;MAX($P$708*($B789+IF($R$17="Distrato",$I$38-1,0)),IF(AND($L$711=0,$P$708=0),"",$L$711-1),IF($R$17="Distrato",$E789,0))),0,YEARFRAC(MAX($P$708*($B789+IF($R$17="Distrato",$I$38-1,0)),IF(AND($L$711=0,$P$708=0),"",$L$711-1),IF($R$17="Distrato",$E789,0)),MIN(BA$38,$D$19),$P$20))-SUM($P789:AZ789)</f>
        <v>#VALUE!</v>
      </c>
      <c r="BB789" s="447"/>
    </row>
    <row r="790" spans="1:54" s="446" customFormat="1" ht="11.25" hidden="1" customHeight="1" x14ac:dyDescent="0.2">
      <c r="A790" s="235"/>
      <c r="B790" s="236"/>
      <c r="C790" s="29" t="str">
        <f>IF(B790="","",IF($L$709=$BL$25,VLOOKUP(DATE(YEAR($D$19),MONTH($D$19)-1,1),ÍNDICES!$A:$DE,HLOOKUP($BL$25,ÍNDICES!$B$3:$T$4,2)+11)-VLOOKUP(B790,ÍNDICES!$A:$DE,HLOOKUP($BL$25,ÍNDICES!$B$3:$T$4,2)+11)+1%,IF(C$712=$W$26,$J$35,IF(ISERROR(IF(B790&gt;$D$19,1,VLOOKUP(DATE(YEAR(B790),MONTH(B790)+IF($C$709=$S$23,1,0),1),ÍNDICES!$A:$DE,$Z$709+1))),"",IF(B790&gt;$D$19,1,VLOOKUP(DATE(YEAR(B790),MONTH(B790)+IF($C$709=$S$23,1,0),1),ÍNDICES!$A:$DE,$Z$709+1))))))</f>
        <v/>
      </c>
      <c r="D790" s="155"/>
      <c r="E790" s="88"/>
      <c r="F790" s="88"/>
      <c r="G790" s="88"/>
      <c r="H790" s="118"/>
      <c r="I790" s="182">
        <f t="shared" si="122"/>
        <v>0</v>
      </c>
      <c r="J790" s="20">
        <f t="shared" ca="1" si="123"/>
        <v>0</v>
      </c>
      <c r="K790" s="5">
        <f t="shared" ca="1" si="124"/>
        <v>0</v>
      </c>
      <c r="L790" s="61">
        <f t="shared" ca="1" si="125"/>
        <v>0</v>
      </c>
      <c r="M790" s="64">
        <f t="shared" si="126"/>
        <v>0</v>
      </c>
      <c r="N790" s="151"/>
      <c r="O790" s="5">
        <f t="shared" ca="1" si="127"/>
        <v>0</v>
      </c>
      <c r="P790" s="446" t="e">
        <f t="shared" si="128"/>
        <v>#VALUE!</v>
      </c>
      <c r="Q790" s="446" t="e">
        <f>IF(OR($B790="",MIN(Q$38,$D$19)&lt;MAX($P$708*($B790+IF($R$17="Distrato",$I$38-1,0)),IF(AND($L$711=0,$P$708=0),"",$L$711-1),IF($R$17="Distrato",$E790,0))),0,YEARFRAC(MAX($P$708*($B790+IF($R$17="Distrato",$I$38-1,0)),IF(AND($L$711=0,$P$708=0),"",$L$711-1),IF($R$17="Distrato",$E790,0)),MIN(Q$38,$D$19),$P$20))-SUM($P790:P790)</f>
        <v>#VALUE!</v>
      </c>
      <c r="R790" s="446" t="e">
        <f>IF(OR($B790="",MIN(R$38,$D$19)&lt;MAX($P$708*($B790+IF($R$17="Distrato",$I$38-1,0)),IF(AND($L$711=0,$P$708=0),"",$L$711-1),IF($R$17="Distrato",$E790,0))),0,YEARFRAC(MAX($P$708*($B790+IF($R$17="Distrato",$I$38-1,0)),IF(AND($L$711=0,$P$708=0),"",$L$711-1),IF($R$17="Distrato",$E790,0)),MIN(R$38,$D$19),$P$20))-SUM($P790:Q790)</f>
        <v>#VALUE!</v>
      </c>
      <c r="S790" s="446" t="e">
        <f>IF(OR($B790="",MIN(S$38,$D$19)&lt;MAX($P$708*($B790+IF($R$17="Distrato",$I$38-1,0)),IF(AND($L$711=0,$P$708=0),"",$L$711-1),IF($R$17="Distrato",$E790,0))),0,YEARFRAC(MAX($P$708*($B790+IF($R$17="Distrato",$I$38-1,0)),IF(AND($L$711=0,$P$708=0),"",$L$711-1),IF($R$17="Distrato",$E790,0)),MIN(S$38,$D$19),$P$20))-SUM($P790:R790)</f>
        <v>#VALUE!</v>
      </c>
      <c r="T790" s="446" t="e">
        <f>IF(OR($B790="",MIN(T$38,$D$19)&lt;MAX($P$708*($B790+IF($R$17="Distrato",$I$38-1,0)),IF(AND($L$711=0,$P$708=0),"",$L$711-1),IF($R$17="Distrato",$E790,0))),0,YEARFRAC(MAX($P$708*($B790+IF($R$17="Distrato",$I$38-1,0)),IF(AND($L$711=0,$P$708=0),"",$L$711-1),IF($R$17="Distrato",$E790,0)),MIN(T$38,$D$19),$P$20))-SUM($P790:S790)</f>
        <v>#VALUE!</v>
      </c>
      <c r="U790" s="446" t="e">
        <f>IF(OR($B790="",MIN(U$38,$D$19)&lt;MAX($P$708*($B790+IF($R$17="Distrato",$I$38-1,0)),IF(AND($L$711=0,$P$708=0),"",$L$711-1),IF($R$17="Distrato",$E790,0))),0,YEARFRAC(MAX($P$708*($B790+IF($R$17="Distrato",$I$38-1,0)),IF(AND($L$711=0,$P$708=0),"",$L$711-1),IF($R$17="Distrato",$E790,0)),MIN(U$38,$D$19),$P$20))-SUM($P790:T790)</f>
        <v>#VALUE!</v>
      </c>
      <c r="V790" s="446" t="e">
        <f>IF(OR($B790="",MIN(V$38,$D$19)&lt;MAX($P$708*($B790+IF($R$17="Distrato",$I$38-1,0)),IF(AND($L$711=0,$P$708=0),"",$L$711-1),IF($R$17="Distrato",$E790,0))),0,YEARFRAC(MAX($P$708*($B790+IF($R$17="Distrato",$I$38-1,0)),IF(AND($L$711=0,$P$708=0),"",$L$711-1),IF($R$17="Distrato",$E790,0)),MIN(V$38,$D$19),$P$20))-SUM($P790:U790)</f>
        <v>#VALUE!</v>
      </c>
      <c r="W790" s="446" t="e">
        <f>IF(OR($B790="",MIN(W$38,$D$19)&lt;MAX($P$708*($B790+IF($R$17="Distrato",$I$38-1,0)),IF(AND($L$711=0,$P$708=0),"",$L$711-1),IF($R$17="Distrato",$E790,0))),0,YEARFRAC(MAX($P$708*($B790+IF($R$17="Distrato",$I$38-1,0)),IF(AND($L$711=0,$P$708=0),"",$L$711-1),IF($R$17="Distrato",$E790,0)),MIN(W$38,$D$19),$P$20))-SUM($P790:V790)</f>
        <v>#VALUE!</v>
      </c>
      <c r="X790" s="446" t="e">
        <f>IF(OR($B790="",MIN(X$38,$D$19)&lt;MAX($P$708*($B790+IF($R$17="Distrato",$I$38-1,0)),IF(AND($L$711=0,$P$708=0),"",$L$711-1),IF($R$17="Distrato",$E790,0))),0,YEARFRAC(MAX($P$708*($B790+IF($R$17="Distrato",$I$38-1,0)),IF(AND($L$711=0,$P$708=0),"",$L$711-1),IF($R$17="Distrato",$E790,0)),MIN(X$38,$D$19),$P$20))-SUM($P790:W790)</f>
        <v>#VALUE!</v>
      </c>
      <c r="Y790" s="446" t="e">
        <f>IF(OR($B790="",MIN(Y$38,$D$19)&lt;MAX($P$708*($B790+IF($R$17="Distrato",$I$38-1,0)),IF(AND($L$711=0,$P$708=0),"",$L$711-1),IF($R$17="Distrato",$E790,0))),0,YEARFRAC(MAX($P$708*($B790+IF($R$17="Distrato",$I$38-1,0)),IF(AND($L$711=0,$P$708=0),"",$L$711-1),IF($R$17="Distrato",$E790,0)),MIN(Y$38,$D$19),$P$20))-SUM($P790:X790)</f>
        <v>#VALUE!</v>
      </c>
      <c r="Z790" s="446" t="e">
        <f>IF(OR($B790="",MIN(Z$38,$D$19)&lt;MAX($P$708*($B790+IF($R$17="Distrato",$I$38-1,0)),IF(AND($L$711=0,$P$708=0),"",$L$711-1),IF($R$17="Distrato",$E790,0))),0,YEARFRAC(MAX($P$708*($B790+IF($R$17="Distrato",$I$38-1,0)),IF(AND($L$711=0,$P$708=0),"",$L$711-1),IF($R$17="Distrato",$E790,0)),MIN(Z$38,$D$19),$P$20))-SUM($P790:Y790)</f>
        <v>#VALUE!</v>
      </c>
      <c r="AA790" s="446" t="e">
        <f>IF(OR($B790="",MIN(AA$38,$D$19)&lt;MAX($P$708*($B790+IF($R$17="Distrato",$I$38-1,0)),IF(AND($L$711=0,$P$708=0),"",$L$711-1),IF($R$17="Distrato",$E790,0))),0,YEARFRAC(MAX($P$708*($B790+IF($R$17="Distrato",$I$38-1,0)),IF(AND($L$711=0,$P$708=0),"",$L$711-1),IF($R$17="Distrato",$E790,0)),MIN(AA$38,$D$19),$P$20))-SUM($P790:Z790)</f>
        <v>#VALUE!</v>
      </c>
      <c r="AB790" s="446" t="e">
        <f>IF(OR($B790="",MIN(AB$38,$D$19)&lt;MAX($P$708*($B790+IF($R$17="Distrato",$I$38-1,0)),IF(AND($L$711=0,$P$708=0),"",$L$711-1),IF($R$17="Distrato",$E790,0))),0,YEARFRAC(MAX($P$708*($B790+IF($R$17="Distrato",$I$38-1,0)),IF(AND($L$711=0,$P$708=0),"",$L$711-1),IF($R$17="Distrato",$E790,0)),MIN(AB$38,$D$19),$P$20))-SUM($P790:AA790)</f>
        <v>#VALUE!</v>
      </c>
      <c r="AC790" s="446" t="e">
        <f>IF(OR($B790="",MIN(AC$38,$D$19)&lt;MAX($P$708*($B790+IF($R$17="Distrato",$I$38-1,0)),IF(AND($L$711=0,$P$708=0),"",$L$711-1),IF($R$17="Distrato",$E790,0))),0,YEARFRAC(MAX($P$708*($B790+IF($R$17="Distrato",$I$38-1,0)),IF(AND($L$711=0,$P$708=0),"",$L$711-1),IF($R$17="Distrato",$E790,0)),MIN(AC$38,$D$19),$P$20))-SUM($P790:AB790)</f>
        <v>#VALUE!</v>
      </c>
      <c r="AD790" s="446" t="e">
        <f>IF(OR($B790="",MIN(AD$38,$D$19)&lt;MAX($P$708*($B790+IF($R$17="Distrato",$I$38-1,0)),IF(AND($L$711=0,$P$708=0),"",$L$711-1),IF($R$17="Distrato",$E790,0))),0,YEARFRAC(MAX($P$708*($B790+IF($R$17="Distrato",$I$38-1,0)),IF(AND($L$711=0,$P$708=0),"",$L$711-1),IF($R$17="Distrato",$E790,0)),MIN(AD$38,$D$19),$P$20))-SUM($P790:AC790)</f>
        <v>#VALUE!</v>
      </c>
      <c r="AE790" s="446" t="e">
        <f>IF(OR($B790="",MIN(AE$38,$D$19)&lt;MAX($P$708*($B790+IF($R$17="Distrato",$I$38-1,0)),IF(AND($L$711=0,$P$708=0),"",$L$711-1),IF($R$17="Distrato",$E790,0))),0,YEARFRAC(MAX($P$708*($B790+IF($R$17="Distrato",$I$38-1,0)),IF(AND($L$711=0,$P$708=0),"",$L$711-1),IF($R$17="Distrato",$E790,0)),MIN(AE$38,$D$19),$P$20))-SUM($P790:AD790)</f>
        <v>#VALUE!</v>
      </c>
      <c r="AF790" s="446" t="e">
        <f>IF(OR($B790="",MIN(AF$38,$D$19)&lt;MAX($P$708*($B790+IF($R$17="Distrato",$I$38-1,0)),IF(AND($L$711=0,$P$708=0),"",$L$711-1),IF($R$17="Distrato",$E790,0))),0,YEARFRAC(MAX($P$708*($B790+IF($R$17="Distrato",$I$38-1,0)),IF(AND($L$711=0,$P$708=0),"",$L$711-1),IF($R$17="Distrato",$E790,0)),MIN(AF$38,$D$19),$P$20))-SUM($P790:AE790)</f>
        <v>#VALUE!</v>
      </c>
      <c r="AG790" s="446" t="e">
        <f>IF(OR($B790="",MIN(AG$38,$D$19)&lt;MAX($P$708*($B790+IF($R$17="Distrato",$I$38-1,0)),IF(AND($L$711=0,$P$708=0),"",$L$711-1),IF($R$17="Distrato",$E790,0))),0,YEARFRAC(MAX($P$708*($B790+IF($R$17="Distrato",$I$38-1,0)),IF(AND($L$711=0,$P$708=0),"",$L$711-1),IF($R$17="Distrato",$E790,0)),MIN(AG$38,$D$19),$P$20))-SUM($P790:AF790)</f>
        <v>#VALUE!</v>
      </c>
      <c r="AH790" s="446" t="e">
        <f>IF(OR($B790="",MIN(AH$38,$D$19)&lt;MAX($P$708*($B790+IF($R$17="Distrato",$I$38-1,0)),IF(AND($L$711=0,$P$708=0),"",$L$711-1),IF($R$17="Distrato",$E790,0))),0,YEARFRAC(MAX($P$708*($B790+IF($R$17="Distrato",$I$38-1,0)),IF(AND($L$711=0,$P$708=0),"",$L$711-1),IF($R$17="Distrato",$E790,0)),MIN(AH$38,$D$19),$P$20))-SUM($P790:AG790)</f>
        <v>#VALUE!</v>
      </c>
      <c r="AI790" s="446" t="e">
        <f>IF(OR($B790="",MIN(AI$38,$D$19)&lt;MAX($P$708*($B790+IF($R$17="Distrato",$I$38-1,0)),IF(AND($L$711=0,$P$708=0),"",$L$711-1),IF($R$17="Distrato",$E790,0))),0,YEARFRAC(MAX($P$708*($B790+IF($R$17="Distrato",$I$38-1,0)),IF(AND($L$711=0,$P$708=0),"",$L$711-1),IF($R$17="Distrato",$E790,0)),MIN(AI$38,$D$19),$P$20))-SUM($P790:AH790)</f>
        <v>#VALUE!</v>
      </c>
      <c r="AJ790" s="446" t="e">
        <f>IF(OR($B790="",MIN(AJ$38,$D$19)&lt;MAX($P$708*($B790+IF($R$17="Distrato",$I$38-1,0)),IF(AND($L$711=0,$P$708=0),"",$L$711-1),IF($R$17="Distrato",$E790,0))),0,YEARFRAC(MAX($P$708*($B790+IF($R$17="Distrato",$I$38-1,0)),IF(AND($L$711=0,$P$708=0),"",$L$711-1),IF($R$17="Distrato",$E790,0)),MIN(AJ$38,$D$19),$P$20))-SUM($P790:AI790)</f>
        <v>#VALUE!</v>
      </c>
      <c r="AK790" s="446" t="e">
        <f>IF(OR($B790="",MIN(AK$38,$D$19)&lt;MAX($P$708*($B790+IF($R$17="Distrato",$I$38-1,0)),IF(AND($L$711=0,$P$708=0),"",$L$711-1),IF($R$17="Distrato",$E790,0))),0,YEARFRAC(MAX($P$708*($B790+IF($R$17="Distrato",$I$38-1,0)),IF(AND($L$711=0,$P$708=0),"",$L$711-1),IF($R$17="Distrato",$E790,0)),MIN(AK$38,$D$19),$P$20))-SUM($P790:AJ790)</f>
        <v>#VALUE!</v>
      </c>
      <c r="AL790" s="446" t="e">
        <f>IF(OR($B790="",MIN(AL$38,$D$19)&lt;MAX($P$708*($B790+IF($R$17="Distrato",$I$38-1,0)),IF(AND($L$711=0,$P$708=0),"",$L$711-1),IF($R$17="Distrato",$E790,0))),0,YEARFRAC(MAX($P$708*($B790+IF($R$17="Distrato",$I$38-1,0)),IF(AND($L$711=0,$P$708=0),"",$L$711-1),IF($R$17="Distrato",$E790,0)),MIN(AL$38,$D$19),$P$20))-SUM($P790:AK790)</f>
        <v>#VALUE!</v>
      </c>
      <c r="AM790" s="446" t="e">
        <f>IF(OR($B790="",MIN(AM$38,$D$19)&lt;MAX($P$708*($B790+IF($R$17="Distrato",$I$38-1,0)),IF(AND($L$711=0,$P$708=0),"",$L$711-1),IF($R$17="Distrato",$E790,0))),0,YEARFRAC(MAX($P$708*($B790+IF($R$17="Distrato",$I$38-1,0)),IF(AND($L$711=0,$P$708=0),"",$L$711-1),IF($R$17="Distrato",$E790,0)),MIN(AM$38,$D$19),$P$20))-SUM($P790:AL790)</f>
        <v>#VALUE!</v>
      </c>
      <c r="AN790" s="446" t="e">
        <f>IF(OR($B790="",MIN(AN$38,$D$19)&lt;MAX($P$708*($B790+IF($R$17="Distrato",$I$38-1,0)),IF(AND($L$711=0,$P$708=0),"",$L$711-1),IF($R$17="Distrato",$E790,0))),0,YEARFRAC(MAX($P$708*($B790+IF($R$17="Distrato",$I$38-1,0)),IF(AND($L$711=0,$P$708=0),"",$L$711-1),IF($R$17="Distrato",$E790,0)),MIN(AN$38,$D$19),$P$20))-SUM($P790:AM790)</f>
        <v>#VALUE!</v>
      </c>
      <c r="AO790" s="446" t="e">
        <f>IF(OR($B790="",MIN(AO$38,$D$19)&lt;MAX($P$708*($B790+IF($R$17="Distrato",$I$38-1,0)),IF(AND($L$711=0,$P$708=0),"",$L$711-1),IF($R$17="Distrato",$E790,0))),0,YEARFRAC(MAX($P$708*($B790+IF($R$17="Distrato",$I$38-1,0)),IF(AND($L$711=0,$P$708=0),"",$L$711-1),IF($R$17="Distrato",$E790,0)),MIN(AO$38,$D$19),$P$20))-SUM($P790:AN790)</f>
        <v>#VALUE!</v>
      </c>
      <c r="AP790" s="446" t="e">
        <f>IF(OR($B790="",MIN(AP$38,$D$19)&lt;MAX($P$708*($B790+IF($R$17="Distrato",$I$38-1,0)),IF(AND($L$711=0,$P$708=0),"",$L$711-1),IF($R$17="Distrato",$E790,0))),0,YEARFRAC(MAX($P$708*($B790+IF($R$17="Distrato",$I$38-1,0)),IF(AND($L$711=0,$P$708=0),"",$L$711-1),IF($R$17="Distrato",$E790,0)),MIN(AP$38,$D$19),$P$20))-SUM($P790:AO790)</f>
        <v>#VALUE!</v>
      </c>
      <c r="AQ790" s="446" t="e">
        <f>IF(OR($B790="",MIN(AQ$38,$D$19)&lt;MAX($P$708*($B790+IF($R$17="Distrato",$I$38-1,0)),IF(AND($L$711=0,$P$708=0),"",$L$711-1),IF($R$17="Distrato",$E790,0))),0,YEARFRAC(MAX($P$708*($B790+IF($R$17="Distrato",$I$38-1,0)),IF(AND($L$711=0,$P$708=0),"",$L$711-1),IF($R$17="Distrato",$E790,0)),MIN(AQ$38,$D$19),$P$20))-SUM($P790:AP790)</f>
        <v>#VALUE!</v>
      </c>
      <c r="AR790" s="446" t="e">
        <f>IF(OR($B790="",MIN(AR$38,$D$19)&lt;MAX($P$708*($B790+IF($R$17="Distrato",$I$38-1,0)),IF(AND($L$711=0,$P$708=0),"",$L$711-1),IF($R$17="Distrato",$E790,0))),0,YEARFRAC(MAX($P$708*($B790+IF($R$17="Distrato",$I$38-1,0)),IF(AND($L$711=0,$P$708=0),"",$L$711-1),IF($R$17="Distrato",$E790,0)),MIN(AR$38,$D$19),$P$20))-SUM($P790:AQ790)</f>
        <v>#VALUE!</v>
      </c>
      <c r="AS790" s="446" t="e">
        <f>IF(OR($B790="",MIN(AS$38,$D$19)&lt;MAX($P$708*($B790+IF($R$17="Distrato",$I$38-1,0)),IF(AND($L$711=0,$P$708=0),"",$L$711-1),IF($R$17="Distrato",$E790,0))),0,YEARFRAC(MAX($P$708*($B790+IF($R$17="Distrato",$I$38-1,0)),IF(AND($L$711=0,$P$708=0),"",$L$711-1),IF($R$17="Distrato",$E790,0)),MIN(AS$38,$D$19),$P$20))-SUM($P790:AR790)</f>
        <v>#VALUE!</v>
      </c>
      <c r="AT790" s="446" t="e">
        <f>IF(OR($B790="",MIN(AT$38,$D$19)&lt;MAX($P$708*($B790+IF($R$17="Distrato",$I$38-1,0)),IF(AND($L$711=0,$P$708=0),"",$L$711-1),IF($R$17="Distrato",$E790,0))),0,YEARFRAC(MAX($P$708*($B790+IF($R$17="Distrato",$I$38-1,0)),IF(AND($L$711=0,$P$708=0),"",$L$711-1),IF($R$17="Distrato",$E790,0)),MIN(AT$38,$D$19),$P$20))-SUM($P790:AS790)</f>
        <v>#VALUE!</v>
      </c>
      <c r="AU790" s="446" t="e">
        <f>IF(OR($B790="",MIN(AU$38,$D$19)&lt;MAX($P$708*($B790+IF($R$17="Distrato",$I$38-1,0)),IF(AND($L$711=0,$P$708=0),"",$L$711-1),IF($R$17="Distrato",$E790,0))),0,YEARFRAC(MAX($P$708*($B790+IF($R$17="Distrato",$I$38-1,0)),IF(AND($L$711=0,$P$708=0),"",$L$711-1),IF($R$17="Distrato",$E790,0)),MIN(AU$38,$D$19),$P$20))-SUM($P790:AT790)</f>
        <v>#VALUE!</v>
      </c>
      <c r="AV790" s="446" t="e">
        <f>IF(OR($B790="",MIN(AV$38,$D$19)&lt;MAX($P$708*($B790+IF($R$17="Distrato",$I$38-1,0)),IF(AND($L$711=0,$P$708=0),"",$L$711-1),IF($R$17="Distrato",$E790,0))),0,YEARFRAC(MAX($P$708*($B790+IF($R$17="Distrato",$I$38-1,0)),IF(AND($L$711=0,$P$708=0),"",$L$711-1),IF($R$17="Distrato",$E790,0)),MIN(AV$38,$D$19),$P$20))-SUM($P790:AU790)</f>
        <v>#VALUE!</v>
      </c>
      <c r="AW790" s="446" t="e">
        <f>IF(OR($B790="",MIN(AW$38,$D$19)&lt;MAX($P$708*($B790+IF($R$17="Distrato",$I$38-1,0)),IF(AND($L$711=0,$P$708=0),"",$L$711-1),IF($R$17="Distrato",$E790,0))),0,YEARFRAC(MAX($P$708*($B790+IF($R$17="Distrato",$I$38-1,0)),IF(AND($L$711=0,$P$708=0),"",$L$711-1),IF($R$17="Distrato",$E790,0)),MIN(AW$38,$D$19),$P$20))-SUM($P790:AV790)</f>
        <v>#VALUE!</v>
      </c>
      <c r="AX790" s="446" t="e">
        <f>IF(OR($B790="",MIN(AX$38,$D$19)&lt;MAX($P$708*($B790+IF($R$17="Distrato",$I$38-1,0)),IF(AND($L$711=0,$P$708=0),"",$L$711-1),IF($R$17="Distrato",$E790,0))),0,YEARFRAC(MAX($P$708*($B790+IF($R$17="Distrato",$I$38-1,0)),IF(AND($L$711=0,$P$708=0),"",$L$711-1),IF($R$17="Distrato",$E790,0)),MIN(AX$38,$D$19),$P$20))-SUM($P790:AW790)</f>
        <v>#VALUE!</v>
      </c>
      <c r="AY790" s="446" t="e">
        <f>IF(OR($B790="",MIN(AY$38,$D$19)&lt;MAX($P$708*($B790+IF($R$17="Distrato",$I$38-1,0)),IF(AND($L$711=0,$P$708=0),"",$L$711-1),IF($R$17="Distrato",$E790,0))),0,YEARFRAC(MAX($P$708*($B790+IF($R$17="Distrato",$I$38-1,0)),IF(AND($L$711=0,$P$708=0),"",$L$711-1),IF($R$17="Distrato",$E790,0)),MIN(AY$38,$D$19),$P$20))-SUM($P790:AX790)</f>
        <v>#VALUE!</v>
      </c>
      <c r="AZ790" s="446" t="e">
        <f>IF(OR($B790="",MIN(AZ$38,$D$19)&lt;MAX($P$708*($B790+IF($R$17="Distrato",$I$38-1,0)),IF(AND($L$711=0,$P$708=0),"",$L$711-1),IF($R$17="Distrato",$E790,0))),0,YEARFRAC(MAX($P$708*($B790+IF($R$17="Distrato",$I$38-1,0)),IF(AND($L$711=0,$P$708=0),"",$L$711-1),IF($R$17="Distrato",$E790,0)),MIN(AZ$38,$D$19),$P$20))-SUM($P790:AY790)</f>
        <v>#VALUE!</v>
      </c>
      <c r="BA790" s="446" t="e">
        <f>IF(OR($B790="",MIN(BA$38,$D$19)&lt;MAX($P$708*($B790+IF($R$17="Distrato",$I$38-1,0)),IF(AND($L$711=0,$P$708=0),"",$L$711-1),IF($R$17="Distrato",$E790,0))),0,YEARFRAC(MAX($P$708*($B790+IF($R$17="Distrato",$I$38-1,0)),IF(AND($L$711=0,$P$708=0),"",$L$711-1),IF($R$17="Distrato",$E790,0)),MIN(BA$38,$D$19),$P$20))-SUM($P790:AZ790)</f>
        <v>#VALUE!</v>
      </c>
      <c r="BB790" s="447"/>
    </row>
    <row r="791" spans="1:54" s="446" customFormat="1" ht="11.25" hidden="1" customHeight="1" x14ac:dyDescent="0.2">
      <c r="A791" s="235"/>
      <c r="B791" s="236"/>
      <c r="C791" s="29" t="str">
        <f>IF(B791="","",IF($L$709=$BL$25,VLOOKUP(DATE(YEAR($D$19),MONTH($D$19)-1,1),ÍNDICES!$A:$DE,HLOOKUP($BL$25,ÍNDICES!$B$3:$T$4,2)+11)-VLOOKUP(B791,ÍNDICES!$A:$DE,HLOOKUP($BL$25,ÍNDICES!$B$3:$T$4,2)+11)+1%,IF(C$712=$W$26,$J$35,IF(ISERROR(IF(B791&gt;$D$19,1,VLOOKUP(DATE(YEAR(B791),MONTH(B791)+IF($C$709=$S$23,1,0),1),ÍNDICES!$A:$DE,$Z$709+1))),"",IF(B791&gt;$D$19,1,VLOOKUP(DATE(YEAR(B791),MONTH(B791)+IF($C$709=$S$23,1,0),1),ÍNDICES!$A:$DE,$Z$709+1))))))</f>
        <v/>
      </c>
      <c r="D791" s="155"/>
      <c r="E791" s="88"/>
      <c r="F791" s="88"/>
      <c r="G791" s="88"/>
      <c r="H791" s="118"/>
      <c r="I791" s="182">
        <f t="shared" si="122"/>
        <v>0</v>
      </c>
      <c r="J791" s="20">
        <f t="shared" ca="1" si="123"/>
        <v>0</v>
      </c>
      <c r="K791" s="5">
        <f t="shared" ca="1" si="124"/>
        <v>0</v>
      </c>
      <c r="L791" s="61">
        <f t="shared" ca="1" si="125"/>
        <v>0</v>
      </c>
      <c r="M791" s="64">
        <f t="shared" si="126"/>
        <v>0</v>
      </c>
      <c r="N791" s="151"/>
      <c r="O791" s="5">
        <f t="shared" ca="1" si="127"/>
        <v>0</v>
      </c>
      <c r="P791" s="446" t="e">
        <f t="shared" si="128"/>
        <v>#VALUE!</v>
      </c>
      <c r="Q791" s="446" t="e">
        <f>IF(OR($B791="",MIN(Q$38,$D$19)&lt;MAX($P$708*($B791+IF($R$17="Distrato",$I$38-1,0)),IF(AND($L$711=0,$P$708=0),"",$L$711-1),IF($R$17="Distrato",$E791,0))),0,YEARFRAC(MAX($P$708*($B791+IF($R$17="Distrato",$I$38-1,0)),IF(AND($L$711=0,$P$708=0),"",$L$711-1),IF($R$17="Distrato",$E791,0)),MIN(Q$38,$D$19),$P$20))-SUM($P791:P791)</f>
        <v>#VALUE!</v>
      </c>
      <c r="R791" s="446" t="e">
        <f>IF(OR($B791="",MIN(R$38,$D$19)&lt;MAX($P$708*($B791+IF($R$17="Distrato",$I$38-1,0)),IF(AND($L$711=0,$P$708=0),"",$L$711-1),IF($R$17="Distrato",$E791,0))),0,YEARFRAC(MAX($P$708*($B791+IF($R$17="Distrato",$I$38-1,0)),IF(AND($L$711=0,$P$708=0),"",$L$711-1),IF($R$17="Distrato",$E791,0)),MIN(R$38,$D$19),$P$20))-SUM($P791:Q791)</f>
        <v>#VALUE!</v>
      </c>
      <c r="S791" s="446" t="e">
        <f>IF(OR($B791="",MIN(S$38,$D$19)&lt;MAX($P$708*($B791+IF($R$17="Distrato",$I$38-1,0)),IF(AND($L$711=0,$P$708=0),"",$L$711-1),IF($R$17="Distrato",$E791,0))),0,YEARFRAC(MAX($P$708*($B791+IF($R$17="Distrato",$I$38-1,0)),IF(AND($L$711=0,$P$708=0),"",$L$711-1),IF($R$17="Distrato",$E791,0)),MIN(S$38,$D$19),$P$20))-SUM($P791:R791)</f>
        <v>#VALUE!</v>
      </c>
      <c r="T791" s="446" t="e">
        <f>IF(OR($B791="",MIN(T$38,$D$19)&lt;MAX($P$708*($B791+IF($R$17="Distrato",$I$38-1,0)),IF(AND($L$711=0,$P$708=0),"",$L$711-1),IF($R$17="Distrato",$E791,0))),0,YEARFRAC(MAX($P$708*($B791+IF($R$17="Distrato",$I$38-1,0)),IF(AND($L$711=0,$P$708=0),"",$L$711-1),IF($R$17="Distrato",$E791,0)),MIN(T$38,$D$19),$P$20))-SUM($P791:S791)</f>
        <v>#VALUE!</v>
      </c>
      <c r="U791" s="446" t="e">
        <f>IF(OR($B791="",MIN(U$38,$D$19)&lt;MAX($P$708*($B791+IF($R$17="Distrato",$I$38-1,0)),IF(AND($L$711=0,$P$708=0),"",$L$711-1),IF($R$17="Distrato",$E791,0))),0,YEARFRAC(MAX($P$708*($B791+IF($R$17="Distrato",$I$38-1,0)),IF(AND($L$711=0,$P$708=0),"",$L$711-1),IF($R$17="Distrato",$E791,0)),MIN(U$38,$D$19),$P$20))-SUM($P791:T791)</f>
        <v>#VALUE!</v>
      </c>
      <c r="V791" s="446" t="e">
        <f>IF(OR($B791="",MIN(V$38,$D$19)&lt;MAX($P$708*($B791+IF($R$17="Distrato",$I$38-1,0)),IF(AND($L$711=0,$P$708=0),"",$L$711-1),IF($R$17="Distrato",$E791,0))),0,YEARFRAC(MAX($P$708*($B791+IF($R$17="Distrato",$I$38-1,0)),IF(AND($L$711=0,$P$708=0),"",$L$711-1),IF($R$17="Distrato",$E791,0)),MIN(V$38,$D$19),$P$20))-SUM($P791:U791)</f>
        <v>#VALUE!</v>
      </c>
      <c r="W791" s="446" t="e">
        <f>IF(OR($B791="",MIN(W$38,$D$19)&lt;MAX($P$708*($B791+IF($R$17="Distrato",$I$38-1,0)),IF(AND($L$711=0,$P$708=0),"",$L$711-1),IF($R$17="Distrato",$E791,0))),0,YEARFRAC(MAX($P$708*($B791+IF($R$17="Distrato",$I$38-1,0)),IF(AND($L$711=0,$P$708=0),"",$L$711-1),IF($R$17="Distrato",$E791,0)),MIN(W$38,$D$19),$P$20))-SUM($P791:V791)</f>
        <v>#VALUE!</v>
      </c>
      <c r="X791" s="446" t="e">
        <f>IF(OR($B791="",MIN(X$38,$D$19)&lt;MAX($P$708*($B791+IF($R$17="Distrato",$I$38-1,0)),IF(AND($L$711=0,$P$708=0),"",$L$711-1),IF($R$17="Distrato",$E791,0))),0,YEARFRAC(MAX($P$708*($B791+IF($R$17="Distrato",$I$38-1,0)),IF(AND($L$711=0,$P$708=0),"",$L$711-1),IF($R$17="Distrato",$E791,0)),MIN(X$38,$D$19),$P$20))-SUM($P791:W791)</f>
        <v>#VALUE!</v>
      </c>
      <c r="Y791" s="446" t="e">
        <f>IF(OR($B791="",MIN(Y$38,$D$19)&lt;MAX($P$708*($B791+IF($R$17="Distrato",$I$38-1,0)),IF(AND($L$711=0,$P$708=0),"",$L$711-1),IF($R$17="Distrato",$E791,0))),0,YEARFRAC(MAX($P$708*($B791+IF($R$17="Distrato",$I$38-1,0)),IF(AND($L$711=0,$P$708=0),"",$L$711-1),IF($R$17="Distrato",$E791,0)),MIN(Y$38,$D$19),$P$20))-SUM($P791:X791)</f>
        <v>#VALUE!</v>
      </c>
      <c r="Z791" s="446" t="e">
        <f>IF(OR($B791="",MIN(Z$38,$D$19)&lt;MAX($P$708*($B791+IF($R$17="Distrato",$I$38-1,0)),IF(AND($L$711=0,$P$708=0),"",$L$711-1),IF($R$17="Distrato",$E791,0))),0,YEARFRAC(MAX($P$708*($B791+IF($R$17="Distrato",$I$38-1,0)),IF(AND($L$711=0,$P$708=0),"",$L$711-1),IF($R$17="Distrato",$E791,0)),MIN(Z$38,$D$19),$P$20))-SUM($P791:Y791)</f>
        <v>#VALUE!</v>
      </c>
      <c r="AA791" s="446" t="e">
        <f>IF(OR($B791="",MIN(AA$38,$D$19)&lt;MAX($P$708*($B791+IF($R$17="Distrato",$I$38-1,0)),IF(AND($L$711=0,$P$708=0),"",$L$711-1),IF($R$17="Distrato",$E791,0))),0,YEARFRAC(MAX($P$708*($B791+IF($R$17="Distrato",$I$38-1,0)),IF(AND($L$711=0,$P$708=0),"",$L$711-1),IF($R$17="Distrato",$E791,0)),MIN(AA$38,$D$19),$P$20))-SUM($P791:Z791)</f>
        <v>#VALUE!</v>
      </c>
      <c r="AB791" s="446" t="e">
        <f>IF(OR($B791="",MIN(AB$38,$D$19)&lt;MAX($P$708*($B791+IF($R$17="Distrato",$I$38-1,0)),IF(AND($L$711=0,$P$708=0),"",$L$711-1),IF($R$17="Distrato",$E791,0))),0,YEARFRAC(MAX($P$708*($B791+IF($R$17="Distrato",$I$38-1,0)),IF(AND($L$711=0,$P$708=0),"",$L$711-1),IF($R$17="Distrato",$E791,0)),MIN(AB$38,$D$19),$P$20))-SUM($P791:AA791)</f>
        <v>#VALUE!</v>
      </c>
      <c r="AC791" s="446" t="e">
        <f>IF(OR($B791="",MIN(AC$38,$D$19)&lt;MAX($P$708*($B791+IF($R$17="Distrato",$I$38-1,0)),IF(AND($L$711=0,$P$708=0),"",$L$711-1),IF($R$17="Distrato",$E791,0))),0,YEARFRAC(MAX($P$708*($B791+IF($R$17="Distrato",$I$38-1,0)),IF(AND($L$711=0,$P$708=0),"",$L$711-1),IF($R$17="Distrato",$E791,0)),MIN(AC$38,$D$19),$P$20))-SUM($P791:AB791)</f>
        <v>#VALUE!</v>
      </c>
      <c r="AD791" s="446" t="e">
        <f>IF(OR($B791="",MIN(AD$38,$D$19)&lt;MAX($P$708*($B791+IF($R$17="Distrato",$I$38-1,0)),IF(AND($L$711=0,$P$708=0),"",$L$711-1),IF($R$17="Distrato",$E791,0))),0,YEARFRAC(MAX($P$708*($B791+IF($R$17="Distrato",$I$38-1,0)),IF(AND($L$711=0,$P$708=0),"",$L$711-1),IF($R$17="Distrato",$E791,0)),MIN(AD$38,$D$19),$P$20))-SUM($P791:AC791)</f>
        <v>#VALUE!</v>
      </c>
      <c r="AE791" s="446" t="e">
        <f>IF(OR($B791="",MIN(AE$38,$D$19)&lt;MAX($P$708*($B791+IF($R$17="Distrato",$I$38-1,0)),IF(AND($L$711=0,$P$708=0),"",$L$711-1),IF($R$17="Distrato",$E791,0))),0,YEARFRAC(MAX($P$708*($B791+IF($R$17="Distrato",$I$38-1,0)),IF(AND($L$711=0,$P$708=0),"",$L$711-1),IF($R$17="Distrato",$E791,0)),MIN(AE$38,$D$19),$P$20))-SUM($P791:AD791)</f>
        <v>#VALUE!</v>
      </c>
      <c r="AF791" s="446" t="e">
        <f>IF(OR($B791="",MIN(AF$38,$D$19)&lt;MAX($P$708*($B791+IF($R$17="Distrato",$I$38-1,0)),IF(AND($L$711=0,$P$708=0),"",$L$711-1),IF($R$17="Distrato",$E791,0))),0,YEARFRAC(MAX($P$708*($B791+IF($R$17="Distrato",$I$38-1,0)),IF(AND($L$711=0,$P$708=0),"",$L$711-1),IF($R$17="Distrato",$E791,0)),MIN(AF$38,$D$19),$P$20))-SUM($P791:AE791)</f>
        <v>#VALUE!</v>
      </c>
      <c r="AG791" s="446" t="e">
        <f>IF(OR($B791="",MIN(AG$38,$D$19)&lt;MAX($P$708*($B791+IF($R$17="Distrato",$I$38-1,0)),IF(AND($L$711=0,$P$708=0),"",$L$711-1),IF($R$17="Distrato",$E791,0))),0,YEARFRAC(MAX($P$708*($B791+IF($R$17="Distrato",$I$38-1,0)),IF(AND($L$711=0,$P$708=0),"",$L$711-1),IF($R$17="Distrato",$E791,0)),MIN(AG$38,$D$19),$P$20))-SUM($P791:AF791)</f>
        <v>#VALUE!</v>
      </c>
      <c r="AH791" s="446" t="e">
        <f>IF(OR($B791="",MIN(AH$38,$D$19)&lt;MAX($P$708*($B791+IF($R$17="Distrato",$I$38-1,0)),IF(AND($L$711=0,$P$708=0),"",$L$711-1),IF($R$17="Distrato",$E791,0))),0,YEARFRAC(MAX($P$708*($B791+IF($R$17="Distrato",$I$38-1,0)),IF(AND($L$711=0,$P$708=0),"",$L$711-1),IF($R$17="Distrato",$E791,0)),MIN(AH$38,$D$19),$P$20))-SUM($P791:AG791)</f>
        <v>#VALUE!</v>
      </c>
      <c r="AI791" s="446" t="e">
        <f>IF(OR($B791="",MIN(AI$38,$D$19)&lt;MAX($P$708*($B791+IF($R$17="Distrato",$I$38-1,0)),IF(AND($L$711=0,$P$708=0),"",$L$711-1),IF($R$17="Distrato",$E791,0))),0,YEARFRAC(MAX($P$708*($B791+IF($R$17="Distrato",$I$38-1,0)),IF(AND($L$711=0,$P$708=0),"",$L$711-1),IF($R$17="Distrato",$E791,0)),MIN(AI$38,$D$19),$P$20))-SUM($P791:AH791)</f>
        <v>#VALUE!</v>
      </c>
      <c r="AJ791" s="446" t="e">
        <f>IF(OR($B791="",MIN(AJ$38,$D$19)&lt;MAX($P$708*($B791+IF($R$17="Distrato",$I$38-1,0)),IF(AND($L$711=0,$P$708=0),"",$L$711-1),IF($R$17="Distrato",$E791,0))),0,YEARFRAC(MAX($P$708*($B791+IF($R$17="Distrato",$I$38-1,0)),IF(AND($L$711=0,$P$708=0),"",$L$711-1),IF($R$17="Distrato",$E791,0)),MIN(AJ$38,$D$19),$P$20))-SUM($P791:AI791)</f>
        <v>#VALUE!</v>
      </c>
      <c r="AK791" s="446" t="e">
        <f>IF(OR($B791="",MIN(AK$38,$D$19)&lt;MAX($P$708*($B791+IF($R$17="Distrato",$I$38-1,0)),IF(AND($L$711=0,$P$708=0),"",$L$711-1),IF($R$17="Distrato",$E791,0))),0,YEARFRAC(MAX($P$708*($B791+IF($R$17="Distrato",$I$38-1,0)),IF(AND($L$711=0,$P$708=0),"",$L$711-1),IF($R$17="Distrato",$E791,0)),MIN(AK$38,$D$19),$P$20))-SUM($P791:AJ791)</f>
        <v>#VALUE!</v>
      </c>
      <c r="AL791" s="446" t="e">
        <f>IF(OR($B791="",MIN(AL$38,$D$19)&lt;MAX($P$708*($B791+IF($R$17="Distrato",$I$38-1,0)),IF(AND($L$711=0,$P$708=0),"",$L$711-1),IF($R$17="Distrato",$E791,0))),0,YEARFRAC(MAX($P$708*($B791+IF($R$17="Distrato",$I$38-1,0)),IF(AND($L$711=0,$P$708=0),"",$L$711-1),IF($R$17="Distrato",$E791,0)),MIN(AL$38,$D$19),$P$20))-SUM($P791:AK791)</f>
        <v>#VALUE!</v>
      </c>
      <c r="AM791" s="446" t="e">
        <f>IF(OR($B791="",MIN(AM$38,$D$19)&lt;MAX($P$708*($B791+IF($R$17="Distrato",$I$38-1,0)),IF(AND($L$711=0,$P$708=0),"",$L$711-1),IF($R$17="Distrato",$E791,0))),0,YEARFRAC(MAX($P$708*($B791+IF($R$17="Distrato",$I$38-1,0)),IF(AND($L$711=0,$P$708=0),"",$L$711-1),IF($R$17="Distrato",$E791,0)),MIN(AM$38,$D$19),$P$20))-SUM($P791:AL791)</f>
        <v>#VALUE!</v>
      </c>
      <c r="AN791" s="446" t="e">
        <f>IF(OR($B791="",MIN(AN$38,$D$19)&lt;MAX($P$708*($B791+IF($R$17="Distrato",$I$38-1,0)),IF(AND($L$711=0,$P$708=0),"",$L$711-1),IF($R$17="Distrato",$E791,0))),0,YEARFRAC(MAX($P$708*($B791+IF($R$17="Distrato",$I$38-1,0)),IF(AND($L$711=0,$P$708=0),"",$L$711-1),IF($R$17="Distrato",$E791,0)),MIN(AN$38,$D$19),$P$20))-SUM($P791:AM791)</f>
        <v>#VALUE!</v>
      </c>
      <c r="AO791" s="446" t="e">
        <f>IF(OR($B791="",MIN(AO$38,$D$19)&lt;MAX($P$708*($B791+IF($R$17="Distrato",$I$38-1,0)),IF(AND($L$711=0,$P$708=0),"",$L$711-1),IF($R$17="Distrato",$E791,0))),0,YEARFRAC(MAX($P$708*($B791+IF($R$17="Distrato",$I$38-1,0)),IF(AND($L$711=0,$P$708=0),"",$L$711-1),IF($R$17="Distrato",$E791,0)),MIN(AO$38,$D$19),$P$20))-SUM($P791:AN791)</f>
        <v>#VALUE!</v>
      </c>
      <c r="AP791" s="446" t="e">
        <f>IF(OR($B791="",MIN(AP$38,$D$19)&lt;MAX($P$708*($B791+IF($R$17="Distrato",$I$38-1,0)),IF(AND($L$711=0,$P$708=0),"",$L$711-1),IF($R$17="Distrato",$E791,0))),0,YEARFRAC(MAX($P$708*($B791+IF($R$17="Distrato",$I$38-1,0)),IF(AND($L$711=0,$P$708=0),"",$L$711-1),IF($R$17="Distrato",$E791,0)),MIN(AP$38,$D$19),$P$20))-SUM($P791:AO791)</f>
        <v>#VALUE!</v>
      </c>
      <c r="AQ791" s="446" t="e">
        <f>IF(OR($B791="",MIN(AQ$38,$D$19)&lt;MAX($P$708*($B791+IF($R$17="Distrato",$I$38-1,0)),IF(AND($L$711=0,$P$708=0),"",$L$711-1),IF($R$17="Distrato",$E791,0))),0,YEARFRAC(MAX($P$708*($B791+IF($R$17="Distrato",$I$38-1,0)),IF(AND($L$711=0,$P$708=0),"",$L$711-1),IF($R$17="Distrato",$E791,0)),MIN(AQ$38,$D$19),$P$20))-SUM($P791:AP791)</f>
        <v>#VALUE!</v>
      </c>
      <c r="AR791" s="446" t="e">
        <f>IF(OR($B791="",MIN(AR$38,$D$19)&lt;MAX($P$708*($B791+IF($R$17="Distrato",$I$38-1,0)),IF(AND($L$711=0,$P$708=0),"",$L$711-1),IF($R$17="Distrato",$E791,0))),0,YEARFRAC(MAX($P$708*($B791+IF($R$17="Distrato",$I$38-1,0)),IF(AND($L$711=0,$P$708=0),"",$L$711-1),IF($R$17="Distrato",$E791,0)),MIN(AR$38,$D$19),$P$20))-SUM($P791:AQ791)</f>
        <v>#VALUE!</v>
      </c>
      <c r="AS791" s="446" t="e">
        <f>IF(OR($B791="",MIN(AS$38,$D$19)&lt;MAX($P$708*($B791+IF($R$17="Distrato",$I$38-1,0)),IF(AND($L$711=0,$P$708=0),"",$L$711-1),IF($R$17="Distrato",$E791,0))),0,YEARFRAC(MAX($P$708*($B791+IF($R$17="Distrato",$I$38-1,0)),IF(AND($L$711=0,$P$708=0),"",$L$711-1),IF($R$17="Distrato",$E791,0)),MIN(AS$38,$D$19),$P$20))-SUM($P791:AR791)</f>
        <v>#VALUE!</v>
      </c>
      <c r="AT791" s="446" t="e">
        <f>IF(OR($B791="",MIN(AT$38,$D$19)&lt;MAX($P$708*($B791+IF($R$17="Distrato",$I$38-1,0)),IF(AND($L$711=0,$P$708=0),"",$L$711-1),IF($R$17="Distrato",$E791,0))),0,YEARFRAC(MAX($P$708*($B791+IF($R$17="Distrato",$I$38-1,0)),IF(AND($L$711=0,$P$708=0),"",$L$711-1),IF($R$17="Distrato",$E791,0)),MIN(AT$38,$D$19),$P$20))-SUM($P791:AS791)</f>
        <v>#VALUE!</v>
      </c>
      <c r="AU791" s="446" t="e">
        <f>IF(OR($B791="",MIN(AU$38,$D$19)&lt;MAX($P$708*($B791+IF($R$17="Distrato",$I$38-1,0)),IF(AND($L$711=0,$P$708=0),"",$L$711-1),IF($R$17="Distrato",$E791,0))),0,YEARFRAC(MAX($P$708*($B791+IF($R$17="Distrato",$I$38-1,0)),IF(AND($L$711=0,$P$708=0),"",$L$711-1),IF($R$17="Distrato",$E791,0)),MIN(AU$38,$D$19),$P$20))-SUM($P791:AT791)</f>
        <v>#VALUE!</v>
      </c>
      <c r="AV791" s="446" t="e">
        <f>IF(OR($B791="",MIN(AV$38,$D$19)&lt;MAX($P$708*($B791+IF($R$17="Distrato",$I$38-1,0)),IF(AND($L$711=0,$P$708=0),"",$L$711-1),IF($R$17="Distrato",$E791,0))),0,YEARFRAC(MAX($P$708*($B791+IF($R$17="Distrato",$I$38-1,0)),IF(AND($L$711=0,$P$708=0),"",$L$711-1),IF($R$17="Distrato",$E791,0)),MIN(AV$38,$D$19),$P$20))-SUM($P791:AU791)</f>
        <v>#VALUE!</v>
      </c>
      <c r="AW791" s="446" t="e">
        <f>IF(OR($B791="",MIN(AW$38,$D$19)&lt;MAX($P$708*($B791+IF($R$17="Distrato",$I$38-1,0)),IF(AND($L$711=0,$P$708=0),"",$L$711-1),IF($R$17="Distrato",$E791,0))),0,YEARFRAC(MAX($P$708*($B791+IF($R$17="Distrato",$I$38-1,0)),IF(AND($L$711=0,$P$708=0),"",$L$711-1),IF($R$17="Distrato",$E791,0)),MIN(AW$38,$D$19),$P$20))-SUM($P791:AV791)</f>
        <v>#VALUE!</v>
      </c>
      <c r="AX791" s="446" t="e">
        <f>IF(OR($B791="",MIN(AX$38,$D$19)&lt;MAX($P$708*($B791+IF($R$17="Distrato",$I$38-1,0)),IF(AND($L$711=0,$P$708=0),"",$L$711-1),IF($R$17="Distrato",$E791,0))),0,YEARFRAC(MAX($P$708*($B791+IF($R$17="Distrato",$I$38-1,0)),IF(AND($L$711=0,$P$708=0),"",$L$711-1),IF($R$17="Distrato",$E791,0)),MIN(AX$38,$D$19),$P$20))-SUM($P791:AW791)</f>
        <v>#VALUE!</v>
      </c>
      <c r="AY791" s="446" t="e">
        <f>IF(OR($B791="",MIN(AY$38,$D$19)&lt;MAX($P$708*($B791+IF($R$17="Distrato",$I$38-1,0)),IF(AND($L$711=0,$P$708=0),"",$L$711-1),IF($R$17="Distrato",$E791,0))),0,YEARFRAC(MAX($P$708*($B791+IF($R$17="Distrato",$I$38-1,0)),IF(AND($L$711=0,$P$708=0),"",$L$711-1),IF($R$17="Distrato",$E791,0)),MIN(AY$38,$D$19),$P$20))-SUM($P791:AX791)</f>
        <v>#VALUE!</v>
      </c>
      <c r="AZ791" s="446" t="e">
        <f>IF(OR($B791="",MIN(AZ$38,$D$19)&lt;MAX($P$708*($B791+IF($R$17="Distrato",$I$38-1,0)),IF(AND($L$711=0,$P$708=0),"",$L$711-1),IF($R$17="Distrato",$E791,0))),0,YEARFRAC(MAX($P$708*($B791+IF($R$17="Distrato",$I$38-1,0)),IF(AND($L$711=0,$P$708=0),"",$L$711-1),IF($R$17="Distrato",$E791,0)),MIN(AZ$38,$D$19),$P$20))-SUM($P791:AY791)</f>
        <v>#VALUE!</v>
      </c>
      <c r="BA791" s="446" t="e">
        <f>IF(OR($B791="",MIN(BA$38,$D$19)&lt;MAX($P$708*($B791+IF($R$17="Distrato",$I$38-1,0)),IF(AND($L$711=0,$P$708=0),"",$L$711-1),IF($R$17="Distrato",$E791,0))),0,YEARFRAC(MAX($P$708*($B791+IF($R$17="Distrato",$I$38-1,0)),IF(AND($L$711=0,$P$708=0),"",$L$711-1),IF($R$17="Distrato",$E791,0)),MIN(BA$38,$D$19),$P$20))-SUM($P791:AZ791)</f>
        <v>#VALUE!</v>
      </c>
      <c r="BB791" s="447"/>
    </row>
    <row r="792" spans="1:54" s="446" customFormat="1" ht="11.25" hidden="1" customHeight="1" x14ac:dyDescent="0.2">
      <c r="A792" s="235"/>
      <c r="B792" s="236"/>
      <c r="C792" s="29" t="str">
        <f>IF(B792="","",IF($L$709=$BL$25,VLOOKUP(DATE(YEAR($D$19),MONTH($D$19)-1,1),ÍNDICES!$A:$DE,HLOOKUP($BL$25,ÍNDICES!$B$3:$T$4,2)+11)-VLOOKUP(B792,ÍNDICES!$A:$DE,HLOOKUP($BL$25,ÍNDICES!$B$3:$T$4,2)+11)+1%,IF(C$712=$W$26,$J$35,IF(ISERROR(IF(B792&gt;$D$19,1,VLOOKUP(DATE(YEAR(B792),MONTH(B792)+IF($C$709=$S$23,1,0),1),ÍNDICES!$A:$DE,$Z$709+1))),"",IF(B792&gt;$D$19,1,VLOOKUP(DATE(YEAR(B792),MONTH(B792)+IF($C$709=$S$23,1,0),1),ÍNDICES!$A:$DE,$Z$709+1))))))</f>
        <v/>
      </c>
      <c r="D792" s="155"/>
      <c r="E792" s="88"/>
      <c r="F792" s="88"/>
      <c r="G792" s="88"/>
      <c r="H792" s="118"/>
      <c r="I792" s="182">
        <f t="shared" si="122"/>
        <v>0</v>
      </c>
      <c r="J792" s="20">
        <f t="shared" ca="1" si="123"/>
        <v>0</v>
      </c>
      <c r="K792" s="5">
        <f t="shared" ca="1" si="124"/>
        <v>0</v>
      </c>
      <c r="L792" s="61">
        <f t="shared" ca="1" si="125"/>
        <v>0</v>
      </c>
      <c r="M792" s="64">
        <f t="shared" si="126"/>
        <v>0</v>
      </c>
      <c r="N792" s="151"/>
      <c r="O792" s="5">
        <f t="shared" ca="1" si="127"/>
        <v>0</v>
      </c>
      <c r="P792" s="446" t="e">
        <f t="shared" si="128"/>
        <v>#VALUE!</v>
      </c>
      <c r="Q792" s="446" t="e">
        <f>IF(OR($B792="",MIN(Q$38,$D$19)&lt;MAX($P$708*($B792+IF($R$17="Distrato",$I$38-1,0)),IF(AND($L$711=0,$P$708=0),"",$L$711-1),IF($R$17="Distrato",$E792,0))),0,YEARFRAC(MAX($P$708*($B792+IF($R$17="Distrato",$I$38-1,0)),IF(AND($L$711=0,$P$708=0),"",$L$711-1),IF($R$17="Distrato",$E792,0)),MIN(Q$38,$D$19),$P$20))-SUM($P792:P792)</f>
        <v>#VALUE!</v>
      </c>
      <c r="R792" s="446" t="e">
        <f>IF(OR($B792="",MIN(R$38,$D$19)&lt;MAX($P$708*($B792+IF($R$17="Distrato",$I$38-1,0)),IF(AND($L$711=0,$P$708=0),"",$L$711-1),IF($R$17="Distrato",$E792,0))),0,YEARFRAC(MAX($P$708*($B792+IF($R$17="Distrato",$I$38-1,0)),IF(AND($L$711=0,$P$708=0),"",$L$711-1),IF($R$17="Distrato",$E792,0)),MIN(R$38,$D$19),$P$20))-SUM($P792:Q792)</f>
        <v>#VALUE!</v>
      </c>
      <c r="S792" s="446" t="e">
        <f>IF(OR($B792="",MIN(S$38,$D$19)&lt;MAX($P$708*($B792+IF($R$17="Distrato",$I$38-1,0)),IF(AND($L$711=0,$P$708=0),"",$L$711-1),IF($R$17="Distrato",$E792,0))),0,YEARFRAC(MAX($P$708*($B792+IF($R$17="Distrato",$I$38-1,0)),IF(AND($L$711=0,$P$708=0),"",$L$711-1),IF($R$17="Distrato",$E792,0)),MIN(S$38,$D$19),$P$20))-SUM($P792:R792)</f>
        <v>#VALUE!</v>
      </c>
      <c r="T792" s="446" t="e">
        <f>IF(OR($B792="",MIN(T$38,$D$19)&lt;MAX($P$708*($B792+IF($R$17="Distrato",$I$38-1,0)),IF(AND($L$711=0,$P$708=0),"",$L$711-1),IF($R$17="Distrato",$E792,0))),0,YEARFRAC(MAX($P$708*($B792+IF($R$17="Distrato",$I$38-1,0)),IF(AND($L$711=0,$P$708=0),"",$L$711-1),IF($R$17="Distrato",$E792,0)),MIN(T$38,$D$19),$P$20))-SUM($P792:S792)</f>
        <v>#VALUE!</v>
      </c>
      <c r="U792" s="446" t="e">
        <f>IF(OR($B792="",MIN(U$38,$D$19)&lt;MAX($P$708*($B792+IF($R$17="Distrato",$I$38-1,0)),IF(AND($L$711=0,$P$708=0),"",$L$711-1),IF($R$17="Distrato",$E792,0))),0,YEARFRAC(MAX($P$708*($B792+IF($R$17="Distrato",$I$38-1,0)),IF(AND($L$711=0,$P$708=0),"",$L$711-1),IF($R$17="Distrato",$E792,0)),MIN(U$38,$D$19),$P$20))-SUM($P792:T792)</f>
        <v>#VALUE!</v>
      </c>
      <c r="V792" s="446" t="e">
        <f>IF(OR($B792="",MIN(V$38,$D$19)&lt;MAX($P$708*($B792+IF($R$17="Distrato",$I$38-1,0)),IF(AND($L$711=0,$P$708=0),"",$L$711-1),IF($R$17="Distrato",$E792,0))),0,YEARFRAC(MAX($P$708*($B792+IF($R$17="Distrato",$I$38-1,0)),IF(AND($L$711=0,$P$708=0),"",$L$711-1),IF($R$17="Distrato",$E792,0)),MIN(V$38,$D$19),$P$20))-SUM($P792:U792)</f>
        <v>#VALUE!</v>
      </c>
      <c r="W792" s="446" t="e">
        <f>IF(OR($B792="",MIN(W$38,$D$19)&lt;MAX($P$708*($B792+IF($R$17="Distrato",$I$38-1,0)),IF(AND($L$711=0,$P$708=0),"",$L$711-1),IF($R$17="Distrato",$E792,0))),0,YEARFRAC(MAX($P$708*($B792+IF($R$17="Distrato",$I$38-1,0)),IF(AND($L$711=0,$P$708=0),"",$L$711-1),IF($R$17="Distrato",$E792,0)),MIN(W$38,$D$19),$P$20))-SUM($P792:V792)</f>
        <v>#VALUE!</v>
      </c>
      <c r="X792" s="446" t="e">
        <f>IF(OR($B792="",MIN(X$38,$D$19)&lt;MAX($P$708*($B792+IF($R$17="Distrato",$I$38-1,0)),IF(AND($L$711=0,$P$708=0),"",$L$711-1),IF($R$17="Distrato",$E792,0))),0,YEARFRAC(MAX($P$708*($B792+IF($R$17="Distrato",$I$38-1,0)),IF(AND($L$711=0,$P$708=0),"",$L$711-1),IF($R$17="Distrato",$E792,0)),MIN(X$38,$D$19),$P$20))-SUM($P792:W792)</f>
        <v>#VALUE!</v>
      </c>
      <c r="Y792" s="446" t="e">
        <f>IF(OR($B792="",MIN(Y$38,$D$19)&lt;MAX($P$708*($B792+IF($R$17="Distrato",$I$38-1,0)),IF(AND($L$711=0,$P$708=0),"",$L$711-1),IF($R$17="Distrato",$E792,0))),0,YEARFRAC(MAX($P$708*($B792+IF($R$17="Distrato",$I$38-1,0)),IF(AND($L$711=0,$P$708=0),"",$L$711-1),IF($R$17="Distrato",$E792,0)),MIN(Y$38,$D$19),$P$20))-SUM($P792:X792)</f>
        <v>#VALUE!</v>
      </c>
      <c r="Z792" s="446" t="e">
        <f>IF(OR($B792="",MIN(Z$38,$D$19)&lt;MAX($P$708*($B792+IF($R$17="Distrato",$I$38-1,0)),IF(AND($L$711=0,$P$708=0),"",$L$711-1),IF($R$17="Distrato",$E792,0))),0,YEARFRAC(MAX($P$708*($B792+IF($R$17="Distrato",$I$38-1,0)),IF(AND($L$711=0,$P$708=0),"",$L$711-1),IF($R$17="Distrato",$E792,0)),MIN(Z$38,$D$19),$P$20))-SUM($P792:Y792)</f>
        <v>#VALUE!</v>
      </c>
      <c r="AA792" s="446" t="e">
        <f>IF(OR($B792="",MIN(AA$38,$D$19)&lt;MAX($P$708*($B792+IF($R$17="Distrato",$I$38-1,0)),IF(AND($L$711=0,$P$708=0),"",$L$711-1),IF($R$17="Distrato",$E792,0))),0,YEARFRAC(MAX($P$708*($B792+IF($R$17="Distrato",$I$38-1,0)),IF(AND($L$711=0,$P$708=0),"",$L$711-1),IF($R$17="Distrato",$E792,0)),MIN(AA$38,$D$19),$P$20))-SUM($P792:Z792)</f>
        <v>#VALUE!</v>
      </c>
      <c r="AB792" s="446" t="e">
        <f>IF(OR($B792="",MIN(AB$38,$D$19)&lt;MAX($P$708*($B792+IF($R$17="Distrato",$I$38-1,0)),IF(AND($L$711=0,$P$708=0),"",$L$711-1),IF($R$17="Distrato",$E792,0))),0,YEARFRAC(MAX($P$708*($B792+IF($R$17="Distrato",$I$38-1,0)),IF(AND($L$711=0,$P$708=0),"",$L$711-1),IF($R$17="Distrato",$E792,0)),MIN(AB$38,$D$19),$P$20))-SUM($P792:AA792)</f>
        <v>#VALUE!</v>
      </c>
      <c r="AC792" s="446" t="e">
        <f>IF(OR($B792="",MIN(AC$38,$D$19)&lt;MAX($P$708*($B792+IF($R$17="Distrato",$I$38-1,0)),IF(AND($L$711=0,$P$708=0),"",$L$711-1),IF($R$17="Distrato",$E792,0))),0,YEARFRAC(MAX($P$708*($B792+IF($R$17="Distrato",$I$38-1,0)),IF(AND($L$711=0,$P$708=0),"",$L$711-1),IF($R$17="Distrato",$E792,0)),MIN(AC$38,$D$19),$P$20))-SUM($P792:AB792)</f>
        <v>#VALUE!</v>
      </c>
      <c r="AD792" s="446" t="e">
        <f>IF(OR($B792="",MIN(AD$38,$D$19)&lt;MAX($P$708*($B792+IF($R$17="Distrato",$I$38-1,0)),IF(AND($L$711=0,$P$708=0),"",$L$711-1),IF($R$17="Distrato",$E792,0))),0,YEARFRAC(MAX($P$708*($B792+IF($R$17="Distrato",$I$38-1,0)),IF(AND($L$711=0,$P$708=0),"",$L$711-1),IF($R$17="Distrato",$E792,0)),MIN(AD$38,$D$19),$P$20))-SUM($P792:AC792)</f>
        <v>#VALUE!</v>
      </c>
      <c r="AE792" s="446" t="e">
        <f>IF(OR($B792="",MIN(AE$38,$D$19)&lt;MAX($P$708*($B792+IF($R$17="Distrato",$I$38-1,0)),IF(AND($L$711=0,$P$708=0),"",$L$711-1),IF($R$17="Distrato",$E792,0))),0,YEARFRAC(MAX($P$708*($B792+IF($R$17="Distrato",$I$38-1,0)),IF(AND($L$711=0,$P$708=0),"",$L$711-1),IF($R$17="Distrato",$E792,0)),MIN(AE$38,$D$19),$P$20))-SUM($P792:AD792)</f>
        <v>#VALUE!</v>
      </c>
      <c r="AF792" s="446" t="e">
        <f>IF(OR($B792="",MIN(AF$38,$D$19)&lt;MAX($P$708*($B792+IF($R$17="Distrato",$I$38-1,0)),IF(AND($L$711=0,$P$708=0),"",$L$711-1),IF($R$17="Distrato",$E792,0))),0,YEARFRAC(MAX($P$708*($B792+IF($R$17="Distrato",$I$38-1,0)),IF(AND($L$711=0,$P$708=0),"",$L$711-1),IF($R$17="Distrato",$E792,0)),MIN(AF$38,$D$19),$P$20))-SUM($P792:AE792)</f>
        <v>#VALUE!</v>
      </c>
      <c r="AG792" s="446" t="e">
        <f>IF(OR($B792="",MIN(AG$38,$D$19)&lt;MAX($P$708*($B792+IF($R$17="Distrato",$I$38-1,0)),IF(AND($L$711=0,$P$708=0),"",$L$711-1),IF($R$17="Distrato",$E792,0))),0,YEARFRAC(MAX($P$708*($B792+IF($R$17="Distrato",$I$38-1,0)),IF(AND($L$711=0,$P$708=0),"",$L$711-1),IF($R$17="Distrato",$E792,0)),MIN(AG$38,$D$19),$P$20))-SUM($P792:AF792)</f>
        <v>#VALUE!</v>
      </c>
      <c r="AH792" s="446" t="e">
        <f>IF(OR($B792="",MIN(AH$38,$D$19)&lt;MAX($P$708*($B792+IF($R$17="Distrato",$I$38-1,0)),IF(AND($L$711=0,$P$708=0),"",$L$711-1),IF($R$17="Distrato",$E792,0))),0,YEARFRAC(MAX($P$708*($B792+IF($R$17="Distrato",$I$38-1,0)),IF(AND($L$711=0,$P$708=0),"",$L$711-1),IF($R$17="Distrato",$E792,0)),MIN(AH$38,$D$19),$P$20))-SUM($P792:AG792)</f>
        <v>#VALUE!</v>
      </c>
      <c r="AI792" s="446" t="e">
        <f>IF(OR($B792="",MIN(AI$38,$D$19)&lt;MAX($P$708*($B792+IF($R$17="Distrato",$I$38-1,0)),IF(AND($L$711=0,$P$708=0),"",$L$711-1),IF($R$17="Distrato",$E792,0))),0,YEARFRAC(MAX($P$708*($B792+IF($R$17="Distrato",$I$38-1,0)),IF(AND($L$711=0,$P$708=0),"",$L$711-1),IF($R$17="Distrato",$E792,0)),MIN(AI$38,$D$19),$P$20))-SUM($P792:AH792)</f>
        <v>#VALUE!</v>
      </c>
      <c r="AJ792" s="446" t="e">
        <f>IF(OR($B792="",MIN(AJ$38,$D$19)&lt;MAX($P$708*($B792+IF($R$17="Distrato",$I$38-1,0)),IF(AND($L$711=0,$P$708=0),"",$L$711-1),IF($R$17="Distrato",$E792,0))),0,YEARFRAC(MAX($P$708*($B792+IF($R$17="Distrato",$I$38-1,0)),IF(AND($L$711=0,$P$708=0),"",$L$711-1),IF($R$17="Distrato",$E792,0)),MIN(AJ$38,$D$19),$P$20))-SUM($P792:AI792)</f>
        <v>#VALUE!</v>
      </c>
      <c r="AK792" s="446" t="e">
        <f>IF(OR($B792="",MIN(AK$38,$D$19)&lt;MAX($P$708*($B792+IF($R$17="Distrato",$I$38-1,0)),IF(AND($L$711=0,$P$708=0),"",$L$711-1),IF($R$17="Distrato",$E792,0))),0,YEARFRAC(MAX($P$708*($B792+IF($R$17="Distrato",$I$38-1,0)),IF(AND($L$711=0,$P$708=0),"",$L$711-1),IF($R$17="Distrato",$E792,0)),MIN(AK$38,$D$19),$P$20))-SUM($P792:AJ792)</f>
        <v>#VALUE!</v>
      </c>
      <c r="AL792" s="446" t="e">
        <f>IF(OR($B792="",MIN(AL$38,$D$19)&lt;MAX($P$708*($B792+IF($R$17="Distrato",$I$38-1,0)),IF(AND($L$711=0,$P$708=0),"",$L$711-1),IF($R$17="Distrato",$E792,0))),0,YEARFRAC(MAX($P$708*($B792+IF($R$17="Distrato",$I$38-1,0)),IF(AND($L$711=0,$P$708=0),"",$L$711-1),IF($R$17="Distrato",$E792,0)),MIN(AL$38,$D$19),$P$20))-SUM($P792:AK792)</f>
        <v>#VALUE!</v>
      </c>
      <c r="AM792" s="446" t="e">
        <f>IF(OR($B792="",MIN(AM$38,$D$19)&lt;MAX($P$708*($B792+IF($R$17="Distrato",$I$38-1,0)),IF(AND($L$711=0,$P$708=0),"",$L$711-1),IF($R$17="Distrato",$E792,0))),0,YEARFRAC(MAX($P$708*($B792+IF($R$17="Distrato",$I$38-1,0)),IF(AND($L$711=0,$P$708=0),"",$L$711-1),IF($R$17="Distrato",$E792,0)),MIN(AM$38,$D$19),$P$20))-SUM($P792:AL792)</f>
        <v>#VALUE!</v>
      </c>
      <c r="AN792" s="446" t="e">
        <f>IF(OR($B792="",MIN(AN$38,$D$19)&lt;MAX($P$708*($B792+IF($R$17="Distrato",$I$38-1,0)),IF(AND($L$711=0,$P$708=0),"",$L$711-1),IF($R$17="Distrato",$E792,0))),0,YEARFRAC(MAX($P$708*($B792+IF($R$17="Distrato",$I$38-1,0)),IF(AND($L$711=0,$P$708=0),"",$L$711-1),IF($R$17="Distrato",$E792,0)),MIN(AN$38,$D$19),$P$20))-SUM($P792:AM792)</f>
        <v>#VALUE!</v>
      </c>
      <c r="AO792" s="446" t="e">
        <f>IF(OR($B792="",MIN(AO$38,$D$19)&lt;MAX($P$708*($B792+IF($R$17="Distrato",$I$38-1,0)),IF(AND($L$711=0,$P$708=0),"",$L$711-1),IF($R$17="Distrato",$E792,0))),0,YEARFRAC(MAX($P$708*($B792+IF($R$17="Distrato",$I$38-1,0)),IF(AND($L$711=0,$P$708=0),"",$L$711-1),IF($R$17="Distrato",$E792,0)),MIN(AO$38,$D$19),$P$20))-SUM($P792:AN792)</f>
        <v>#VALUE!</v>
      </c>
      <c r="AP792" s="446" t="e">
        <f>IF(OR($B792="",MIN(AP$38,$D$19)&lt;MAX($P$708*($B792+IF($R$17="Distrato",$I$38-1,0)),IF(AND($L$711=0,$P$708=0),"",$L$711-1),IF($R$17="Distrato",$E792,0))),0,YEARFRAC(MAX($P$708*($B792+IF($R$17="Distrato",$I$38-1,0)),IF(AND($L$711=0,$P$708=0),"",$L$711-1),IF($R$17="Distrato",$E792,0)),MIN(AP$38,$D$19),$P$20))-SUM($P792:AO792)</f>
        <v>#VALUE!</v>
      </c>
      <c r="AQ792" s="446" t="e">
        <f>IF(OR($B792="",MIN(AQ$38,$D$19)&lt;MAX($P$708*($B792+IF($R$17="Distrato",$I$38-1,0)),IF(AND($L$711=0,$P$708=0),"",$L$711-1),IF($R$17="Distrato",$E792,0))),0,YEARFRAC(MAX($P$708*($B792+IF($R$17="Distrato",$I$38-1,0)),IF(AND($L$711=0,$P$708=0),"",$L$711-1),IF($R$17="Distrato",$E792,0)),MIN(AQ$38,$D$19),$P$20))-SUM($P792:AP792)</f>
        <v>#VALUE!</v>
      </c>
      <c r="AR792" s="446" t="e">
        <f>IF(OR($B792="",MIN(AR$38,$D$19)&lt;MAX($P$708*($B792+IF($R$17="Distrato",$I$38-1,0)),IF(AND($L$711=0,$P$708=0),"",$L$711-1),IF($R$17="Distrato",$E792,0))),0,YEARFRAC(MAX($P$708*($B792+IF($R$17="Distrato",$I$38-1,0)),IF(AND($L$711=0,$P$708=0),"",$L$711-1),IF($R$17="Distrato",$E792,0)),MIN(AR$38,$D$19),$P$20))-SUM($P792:AQ792)</f>
        <v>#VALUE!</v>
      </c>
      <c r="AS792" s="446" t="e">
        <f>IF(OR($B792="",MIN(AS$38,$D$19)&lt;MAX($P$708*($B792+IF($R$17="Distrato",$I$38-1,0)),IF(AND($L$711=0,$P$708=0),"",$L$711-1),IF($R$17="Distrato",$E792,0))),0,YEARFRAC(MAX($P$708*($B792+IF($R$17="Distrato",$I$38-1,0)),IF(AND($L$711=0,$P$708=0),"",$L$711-1),IF($R$17="Distrato",$E792,0)),MIN(AS$38,$D$19),$P$20))-SUM($P792:AR792)</f>
        <v>#VALUE!</v>
      </c>
      <c r="AT792" s="446" t="e">
        <f>IF(OR($B792="",MIN(AT$38,$D$19)&lt;MAX($P$708*($B792+IF($R$17="Distrato",$I$38-1,0)),IF(AND($L$711=0,$P$708=0),"",$L$711-1),IF($R$17="Distrato",$E792,0))),0,YEARFRAC(MAX($P$708*($B792+IF($R$17="Distrato",$I$38-1,0)),IF(AND($L$711=0,$P$708=0),"",$L$711-1),IF($R$17="Distrato",$E792,0)),MIN(AT$38,$D$19),$P$20))-SUM($P792:AS792)</f>
        <v>#VALUE!</v>
      </c>
      <c r="AU792" s="446" t="e">
        <f>IF(OR($B792="",MIN(AU$38,$D$19)&lt;MAX($P$708*($B792+IF($R$17="Distrato",$I$38-1,0)),IF(AND($L$711=0,$P$708=0),"",$L$711-1),IF($R$17="Distrato",$E792,0))),0,YEARFRAC(MAX($P$708*($B792+IF($R$17="Distrato",$I$38-1,0)),IF(AND($L$711=0,$P$708=0),"",$L$711-1),IF($R$17="Distrato",$E792,0)),MIN(AU$38,$D$19),$P$20))-SUM($P792:AT792)</f>
        <v>#VALUE!</v>
      </c>
      <c r="AV792" s="446" t="e">
        <f>IF(OR($B792="",MIN(AV$38,$D$19)&lt;MAX($P$708*($B792+IF($R$17="Distrato",$I$38-1,0)),IF(AND($L$711=0,$P$708=0),"",$L$711-1),IF($R$17="Distrato",$E792,0))),0,YEARFRAC(MAX($P$708*($B792+IF($R$17="Distrato",$I$38-1,0)),IF(AND($L$711=0,$P$708=0),"",$L$711-1),IF($R$17="Distrato",$E792,0)),MIN(AV$38,$D$19),$P$20))-SUM($P792:AU792)</f>
        <v>#VALUE!</v>
      </c>
      <c r="AW792" s="446" t="e">
        <f>IF(OR($B792="",MIN(AW$38,$D$19)&lt;MAX($P$708*($B792+IF($R$17="Distrato",$I$38-1,0)),IF(AND($L$711=0,$P$708=0),"",$L$711-1),IF($R$17="Distrato",$E792,0))),0,YEARFRAC(MAX($P$708*($B792+IF($R$17="Distrato",$I$38-1,0)),IF(AND($L$711=0,$P$708=0),"",$L$711-1),IF($R$17="Distrato",$E792,0)),MIN(AW$38,$D$19),$P$20))-SUM($P792:AV792)</f>
        <v>#VALUE!</v>
      </c>
      <c r="AX792" s="446" t="e">
        <f>IF(OR($B792="",MIN(AX$38,$D$19)&lt;MAX($P$708*($B792+IF($R$17="Distrato",$I$38-1,0)),IF(AND($L$711=0,$P$708=0),"",$L$711-1),IF($R$17="Distrato",$E792,0))),0,YEARFRAC(MAX($P$708*($B792+IF($R$17="Distrato",$I$38-1,0)),IF(AND($L$711=0,$P$708=0),"",$L$711-1),IF($R$17="Distrato",$E792,0)),MIN(AX$38,$D$19),$P$20))-SUM($P792:AW792)</f>
        <v>#VALUE!</v>
      </c>
      <c r="AY792" s="446" t="e">
        <f>IF(OR($B792="",MIN(AY$38,$D$19)&lt;MAX($P$708*($B792+IF($R$17="Distrato",$I$38-1,0)),IF(AND($L$711=0,$P$708=0),"",$L$711-1),IF($R$17="Distrato",$E792,0))),0,YEARFRAC(MAX($P$708*($B792+IF($R$17="Distrato",$I$38-1,0)),IF(AND($L$711=0,$P$708=0),"",$L$711-1),IF($R$17="Distrato",$E792,0)),MIN(AY$38,$D$19),$P$20))-SUM($P792:AX792)</f>
        <v>#VALUE!</v>
      </c>
      <c r="AZ792" s="446" t="e">
        <f>IF(OR($B792="",MIN(AZ$38,$D$19)&lt;MAX($P$708*($B792+IF($R$17="Distrato",$I$38-1,0)),IF(AND($L$711=0,$P$708=0),"",$L$711-1),IF($R$17="Distrato",$E792,0))),0,YEARFRAC(MAX($P$708*($B792+IF($R$17="Distrato",$I$38-1,0)),IF(AND($L$711=0,$P$708=0),"",$L$711-1),IF($R$17="Distrato",$E792,0)),MIN(AZ$38,$D$19),$P$20))-SUM($P792:AY792)</f>
        <v>#VALUE!</v>
      </c>
      <c r="BA792" s="446" t="e">
        <f>IF(OR($B792="",MIN(BA$38,$D$19)&lt;MAX($P$708*($B792+IF($R$17="Distrato",$I$38-1,0)),IF(AND($L$711=0,$P$708=0),"",$L$711-1),IF($R$17="Distrato",$E792,0))),0,YEARFRAC(MAX($P$708*($B792+IF($R$17="Distrato",$I$38-1,0)),IF(AND($L$711=0,$P$708=0),"",$L$711-1),IF($R$17="Distrato",$E792,0)),MIN(BA$38,$D$19),$P$20))-SUM($P792:AZ792)</f>
        <v>#VALUE!</v>
      </c>
      <c r="BB792" s="447"/>
    </row>
    <row r="793" spans="1:54" s="446" customFormat="1" ht="11.25" hidden="1" customHeight="1" x14ac:dyDescent="0.2">
      <c r="A793" s="235"/>
      <c r="B793" s="236"/>
      <c r="C793" s="29" t="str">
        <f>IF(B793="","",IF($L$709=$BL$25,VLOOKUP(DATE(YEAR($D$19),MONTH($D$19)-1,1),ÍNDICES!$A:$DE,HLOOKUP($BL$25,ÍNDICES!$B$3:$T$4,2)+11)-VLOOKUP(B793,ÍNDICES!$A:$DE,HLOOKUP($BL$25,ÍNDICES!$B$3:$T$4,2)+11)+1%,IF(C$712=$W$26,$J$35,IF(ISERROR(IF(B793&gt;$D$19,1,VLOOKUP(DATE(YEAR(B793),MONTH(B793)+IF($C$709=$S$23,1,0),1),ÍNDICES!$A:$DE,$Z$709+1))),"",IF(B793&gt;$D$19,1,VLOOKUP(DATE(YEAR(B793),MONTH(B793)+IF($C$709=$S$23,1,0),1),ÍNDICES!$A:$DE,$Z$709+1))))))</f>
        <v/>
      </c>
      <c r="D793" s="155"/>
      <c r="E793" s="88"/>
      <c r="F793" s="88"/>
      <c r="G793" s="88"/>
      <c r="H793" s="118"/>
      <c r="I793" s="182">
        <f t="shared" si="122"/>
        <v>0</v>
      </c>
      <c r="J793" s="20">
        <f t="shared" ca="1" si="123"/>
        <v>0</v>
      </c>
      <c r="K793" s="5">
        <f t="shared" ca="1" si="124"/>
        <v>0</v>
      </c>
      <c r="L793" s="61">
        <f t="shared" ca="1" si="125"/>
        <v>0</v>
      </c>
      <c r="M793" s="64">
        <f t="shared" si="126"/>
        <v>0</v>
      </c>
      <c r="N793" s="151"/>
      <c r="O793" s="5">
        <f t="shared" ca="1" si="127"/>
        <v>0</v>
      </c>
      <c r="P793" s="446" t="e">
        <f t="shared" si="128"/>
        <v>#VALUE!</v>
      </c>
      <c r="Q793" s="446" t="e">
        <f>IF(OR($B793="",MIN(Q$38,$D$19)&lt;MAX($P$708*($B793+IF($R$17="Distrato",$I$38-1,0)),IF(AND($L$711=0,$P$708=0),"",$L$711-1),IF($R$17="Distrato",$E793,0))),0,YEARFRAC(MAX($P$708*($B793+IF($R$17="Distrato",$I$38-1,0)),IF(AND($L$711=0,$P$708=0),"",$L$711-1),IF($R$17="Distrato",$E793,0)),MIN(Q$38,$D$19),$P$20))-SUM($P793:P793)</f>
        <v>#VALUE!</v>
      </c>
      <c r="R793" s="446" t="e">
        <f>IF(OR($B793="",MIN(R$38,$D$19)&lt;MAX($P$708*($B793+IF($R$17="Distrato",$I$38-1,0)),IF(AND($L$711=0,$P$708=0),"",$L$711-1),IF($R$17="Distrato",$E793,0))),0,YEARFRAC(MAX($P$708*($B793+IF($R$17="Distrato",$I$38-1,0)),IF(AND($L$711=0,$P$708=0),"",$L$711-1),IF($R$17="Distrato",$E793,0)),MIN(R$38,$D$19),$P$20))-SUM($P793:Q793)</f>
        <v>#VALUE!</v>
      </c>
      <c r="S793" s="446" t="e">
        <f>IF(OR($B793="",MIN(S$38,$D$19)&lt;MAX($P$708*($B793+IF($R$17="Distrato",$I$38-1,0)),IF(AND($L$711=0,$P$708=0),"",$L$711-1),IF($R$17="Distrato",$E793,0))),0,YEARFRAC(MAX($P$708*($B793+IF($R$17="Distrato",$I$38-1,0)),IF(AND($L$711=0,$P$708=0),"",$L$711-1),IF($R$17="Distrato",$E793,0)),MIN(S$38,$D$19),$P$20))-SUM($P793:R793)</f>
        <v>#VALUE!</v>
      </c>
      <c r="T793" s="446" t="e">
        <f>IF(OR($B793="",MIN(T$38,$D$19)&lt;MAX($P$708*($B793+IF($R$17="Distrato",$I$38-1,0)),IF(AND($L$711=0,$P$708=0),"",$L$711-1),IF($R$17="Distrato",$E793,0))),0,YEARFRAC(MAX($P$708*($B793+IF($R$17="Distrato",$I$38-1,0)),IF(AND($L$711=0,$P$708=0),"",$L$711-1),IF($R$17="Distrato",$E793,0)),MIN(T$38,$D$19),$P$20))-SUM($P793:S793)</f>
        <v>#VALUE!</v>
      </c>
      <c r="U793" s="446" t="e">
        <f>IF(OR($B793="",MIN(U$38,$D$19)&lt;MAX($P$708*($B793+IF($R$17="Distrato",$I$38-1,0)),IF(AND($L$711=0,$P$708=0),"",$L$711-1),IF($R$17="Distrato",$E793,0))),0,YEARFRAC(MAX($P$708*($B793+IF($R$17="Distrato",$I$38-1,0)),IF(AND($L$711=0,$P$708=0),"",$L$711-1),IF($R$17="Distrato",$E793,0)),MIN(U$38,$D$19),$P$20))-SUM($P793:T793)</f>
        <v>#VALUE!</v>
      </c>
      <c r="V793" s="446" t="e">
        <f>IF(OR($B793="",MIN(V$38,$D$19)&lt;MAX($P$708*($B793+IF($R$17="Distrato",$I$38-1,0)),IF(AND($L$711=0,$P$708=0),"",$L$711-1),IF($R$17="Distrato",$E793,0))),0,YEARFRAC(MAX($P$708*($B793+IF($R$17="Distrato",$I$38-1,0)),IF(AND($L$711=0,$P$708=0),"",$L$711-1),IF($R$17="Distrato",$E793,0)),MIN(V$38,$D$19),$P$20))-SUM($P793:U793)</f>
        <v>#VALUE!</v>
      </c>
      <c r="W793" s="446" t="e">
        <f>IF(OR($B793="",MIN(W$38,$D$19)&lt;MAX($P$708*($B793+IF($R$17="Distrato",$I$38-1,0)),IF(AND($L$711=0,$P$708=0),"",$L$711-1),IF($R$17="Distrato",$E793,0))),0,YEARFRAC(MAX($P$708*($B793+IF($R$17="Distrato",$I$38-1,0)),IF(AND($L$711=0,$P$708=0),"",$L$711-1),IF($R$17="Distrato",$E793,0)),MIN(W$38,$D$19),$P$20))-SUM($P793:V793)</f>
        <v>#VALUE!</v>
      </c>
      <c r="X793" s="446" t="e">
        <f>IF(OR($B793="",MIN(X$38,$D$19)&lt;MAX($P$708*($B793+IF($R$17="Distrato",$I$38-1,0)),IF(AND($L$711=0,$P$708=0),"",$L$711-1),IF($R$17="Distrato",$E793,0))),0,YEARFRAC(MAX($P$708*($B793+IF($R$17="Distrato",$I$38-1,0)),IF(AND($L$711=0,$P$708=0),"",$L$711-1),IF($R$17="Distrato",$E793,0)),MIN(X$38,$D$19),$P$20))-SUM($P793:W793)</f>
        <v>#VALUE!</v>
      </c>
      <c r="Y793" s="446" t="e">
        <f>IF(OR($B793="",MIN(Y$38,$D$19)&lt;MAX($P$708*($B793+IF($R$17="Distrato",$I$38-1,0)),IF(AND($L$711=0,$P$708=0),"",$L$711-1),IF($R$17="Distrato",$E793,0))),0,YEARFRAC(MAX($P$708*($B793+IF($R$17="Distrato",$I$38-1,0)),IF(AND($L$711=0,$P$708=0),"",$L$711-1),IF($R$17="Distrato",$E793,0)),MIN(Y$38,$D$19),$P$20))-SUM($P793:X793)</f>
        <v>#VALUE!</v>
      </c>
      <c r="Z793" s="446" t="e">
        <f>IF(OR($B793="",MIN(Z$38,$D$19)&lt;MAX($P$708*($B793+IF($R$17="Distrato",$I$38-1,0)),IF(AND($L$711=0,$P$708=0),"",$L$711-1),IF($R$17="Distrato",$E793,0))),0,YEARFRAC(MAX($P$708*($B793+IF($R$17="Distrato",$I$38-1,0)),IF(AND($L$711=0,$P$708=0),"",$L$711-1),IF($R$17="Distrato",$E793,0)),MIN(Z$38,$D$19),$P$20))-SUM($P793:Y793)</f>
        <v>#VALUE!</v>
      </c>
      <c r="AA793" s="446" t="e">
        <f>IF(OR($B793="",MIN(AA$38,$D$19)&lt;MAX($P$708*($B793+IF($R$17="Distrato",$I$38-1,0)),IF(AND($L$711=0,$P$708=0),"",$L$711-1),IF($R$17="Distrato",$E793,0))),0,YEARFRAC(MAX($P$708*($B793+IF($R$17="Distrato",$I$38-1,0)),IF(AND($L$711=0,$P$708=0),"",$L$711-1),IF($R$17="Distrato",$E793,0)),MIN(AA$38,$D$19),$P$20))-SUM($P793:Z793)</f>
        <v>#VALUE!</v>
      </c>
      <c r="AB793" s="446" t="e">
        <f>IF(OR($B793="",MIN(AB$38,$D$19)&lt;MAX($P$708*($B793+IF($R$17="Distrato",$I$38-1,0)),IF(AND($L$711=0,$P$708=0),"",$L$711-1),IF($R$17="Distrato",$E793,0))),0,YEARFRAC(MAX($P$708*($B793+IF($R$17="Distrato",$I$38-1,0)),IF(AND($L$711=0,$P$708=0),"",$L$711-1),IF($R$17="Distrato",$E793,0)),MIN(AB$38,$D$19),$P$20))-SUM($P793:AA793)</f>
        <v>#VALUE!</v>
      </c>
      <c r="AC793" s="446" t="e">
        <f>IF(OR($B793="",MIN(AC$38,$D$19)&lt;MAX($P$708*($B793+IF($R$17="Distrato",$I$38-1,0)),IF(AND($L$711=0,$P$708=0),"",$L$711-1),IF($R$17="Distrato",$E793,0))),0,YEARFRAC(MAX($P$708*($B793+IF($R$17="Distrato",$I$38-1,0)),IF(AND($L$711=0,$P$708=0),"",$L$711-1),IF($R$17="Distrato",$E793,0)),MIN(AC$38,$D$19),$P$20))-SUM($P793:AB793)</f>
        <v>#VALUE!</v>
      </c>
      <c r="AD793" s="446" t="e">
        <f>IF(OR($B793="",MIN(AD$38,$D$19)&lt;MAX($P$708*($B793+IF($R$17="Distrato",$I$38-1,0)),IF(AND($L$711=0,$P$708=0),"",$L$711-1),IF($R$17="Distrato",$E793,0))),0,YEARFRAC(MAX($P$708*($B793+IF($R$17="Distrato",$I$38-1,0)),IF(AND($L$711=0,$P$708=0),"",$L$711-1),IF($R$17="Distrato",$E793,0)),MIN(AD$38,$D$19),$P$20))-SUM($P793:AC793)</f>
        <v>#VALUE!</v>
      </c>
      <c r="AE793" s="446" t="e">
        <f>IF(OR($B793="",MIN(AE$38,$D$19)&lt;MAX($P$708*($B793+IF($R$17="Distrato",$I$38-1,0)),IF(AND($L$711=0,$P$708=0),"",$L$711-1),IF($R$17="Distrato",$E793,0))),0,YEARFRAC(MAX($P$708*($B793+IF($R$17="Distrato",$I$38-1,0)),IF(AND($L$711=0,$P$708=0),"",$L$711-1),IF($R$17="Distrato",$E793,0)),MIN(AE$38,$D$19),$P$20))-SUM($P793:AD793)</f>
        <v>#VALUE!</v>
      </c>
      <c r="AF793" s="446" t="e">
        <f>IF(OR($B793="",MIN(AF$38,$D$19)&lt;MAX($P$708*($B793+IF($R$17="Distrato",$I$38-1,0)),IF(AND($L$711=0,$P$708=0),"",$L$711-1),IF($R$17="Distrato",$E793,0))),0,YEARFRAC(MAX($P$708*($B793+IF($R$17="Distrato",$I$38-1,0)),IF(AND($L$711=0,$P$708=0),"",$L$711-1),IF($R$17="Distrato",$E793,0)),MIN(AF$38,$D$19),$P$20))-SUM($P793:AE793)</f>
        <v>#VALUE!</v>
      </c>
      <c r="AG793" s="446" t="e">
        <f>IF(OR($B793="",MIN(AG$38,$D$19)&lt;MAX($P$708*($B793+IF($R$17="Distrato",$I$38-1,0)),IF(AND($L$711=0,$P$708=0),"",$L$711-1),IF($R$17="Distrato",$E793,0))),0,YEARFRAC(MAX($P$708*($B793+IF($R$17="Distrato",$I$38-1,0)),IF(AND($L$711=0,$P$708=0),"",$L$711-1),IF($R$17="Distrato",$E793,0)),MIN(AG$38,$D$19),$P$20))-SUM($P793:AF793)</f>
        <v>#VALUE!</v>
      </c>
      <c r="AH793" s="446" t="e">
        <f>IF(OR($B793="",MIN(AH$38,$D$19)&lt;MAX($P$708*($B793+IF($R$17="Distrato",$I$38-1,0)),IF(AND($L$711=0,$P$708=0),"",$L$711-1),IF($R$17="Distrato",$E793,0))),0,YEARFRAC(MAX($P$708*($B793+IF($R$17="Distrato",$I$38-1,0)),IF(AND($L$711=0,$P$708=0),"",$L$711-1),IF($R$17="Distrato",$E793,0)),MIN(AH$38,$D$19),$P$20))-SUM($P793:AG793)</f>
        <v>#VALUE!</v>
      </c>
      <c r="AI793" s="446" t="e">
        <f>IF(OR($B793="",MIN(AI$38,$D$19)&lt;MAX($P$708*($B793+IF($R$17="Distrato",$I$38-1,0)),IF(AND($L$711=0,$P$708=0),"",$L$711-1),IF($R$17="Distrato",$E793,0))),0,YEARFRAC(MAX($P$708*($B793+IF($R$17="Distrato",$I$38-1,0)),IF(AND($L$711=0,$P$708=0),"",$L$711-1),IF($R$17="Distrato",$E793,0)),MIN(AI$38,$D$19),$P$20))-SUM($P793:AH793)</f>
        <v>#VALUE!</v>
      </c>
      <c r="AJ793" s="446" t="e">
        <f>IF(OR($B793="",MIN(AJ$38,$D$19)&lt;MAX($P$708*($B793+IF($R$17="Distrato",$I$38-1,0)),IF(AND($L$711=0,$P$708=0),"",$L$711-1),IF($R$17="Distrato",$E793,0))),0,YEARFRAC(MAX($P$708*($B793+IF($R$17="Distrato",$I$38-1,0)),IF(AND($L$711=0,$P$708=0),"",$L$711-1),IF($R$17="Distrato",$E793,0)),MIN(AJ$38,$D$19),$P$20))-SUM($P793:AI793)</f>
        <v>#VALUE!</v>
      </c>
      <c r="AK793" s="446" t="e">
        <f>IF(OR($B793="",MIN(AK$38,$D$19)&lt;MAX($P$708*($B793+IF($R$17="Distrato",$I$38-1,0)),IF(AND($L$711=0,$P$708=0),"",$L$711-1),IF($R$17="Distrato",$E793,0))),0,YEARFRAC(MAX($P$708*($B793+IF($R$17="Distrato",$I$38-1,0)),IF(AND($L$711=0,$P$708=0),"",$L$711-1),IF($R$17="Distrato",$E793,0)),MIN(AK$38,$D$19),$P$20))-SUM($P793:AJ793)</f>
        <v>#VALUE!</v>
      </c>
      <c r="AL793" s="446" t="e">
        <f>IF(OR($B793="",MIN(AL$38,$D$19)&lt;MAX($P$708*($B793+IF($R$17="Distrato",$I$38-1,0)),IF(AND($L$711=0,$P$708=0),"",$L$711-1),IF($R$17="Distrato",$E793,0))),0,YEARFRAC(MAX($P$708*($B793+IF($R$17="Distrato",$I$38-1,0)),IF(AND($L$711=0,$P$708=0),"",$L$711-1),IF($R$17="Distrato",$E793,0)),MIN(AL$38,$D$19),$P$20))-SUM($P793:AK793)</f>
        <v>#VALUE!</v>
      </c>
      <c r="AM793" s="446" t="e">
        <f>IF(OR($B793="",MIN(AM$38,$D$19)&lt;MAX($P$708*($B793+IF($R$17="Distrato",$I$38-1,0)),IF(AND($L$711=0,$P$708=0),"",$L$711-1),IF($R$17="Distrato",$E793,0))),0,YEARFRAC(MAX($P$708*($B793+IF($R$17="Distrato",$I$38-1,0)),IF(AND($L$711=0,$P$708=0),"",$L$711-1),IF($R$17="Distrato",$E793,0)),MIN(AM$38,$D$19),$P$20))-SUM($P793:AL793)</f>
        <v>#VALUE!</v>
      </c>
      <c r="AN793" s="446" t="e">
        <f>IF(OR($B793="",MIN(AN$38,$D$19)&lt;MAX($P$708*($B793+IF($R$17="Distrato",$I$38-1,0)),IF(AND($L$711=0,$P$708=0),"",$L$711-1),IF($R$17="Distrato",$E793,0))),0,YEARFRAC(MAX($P$708*($B793+IF($R$17="Distrato",$I$38-1,0)),IF(AND($L$711=0,$P$708=0),"",$L$711-1),IF($R$17="Distrato",$E793,0)),MIN(AN$38,$D$19),$P$20))-SUM($P793:AM793)</f>
        <v>#VALUE!</v>
      </c>
      <c r="AO793" s="446" t="e">
        <f>IF(OR($B793="",MIN(AO$38,$D$19)&lt;MAX($P$708*($B793+IF($R$17="Distrato",$I$38-1,0)),IF(AND($L$711=0,$P$708=0),"",$L$711-1),IF($R$17="Distrato",$E793,0))),0,YEARFRAC(MAX($P$708*($B793+IF($R$17="Distrato",$I$38-1,0)),IF(AND($L$711=0,$P$708=0),"",$L$711-1),IF($R$17="Distrato",$E793,0)),MIN(AO$38,$D$19),$P$20))-SUM($P793:AN793)</f>
        <v>#VALUE!</v>
      </c>
      <c r="AP793" s="446" t="e">
        <f>IF(OR($B793="",MIN(AP$38,$D$19)&lt;MAX($P$708*($B793+IF($R$17="Distrato",$I$38-1,0)),IF(AND($L$711=0,$P$708=0),"",$L$711-1),IF($R$17="Distrato",$E793,0))),0,YEARFRAC(MAX($P$708*($B793+IF($R$17="Distrato",$I$38-1,0)),IF(AND($L$711=0,$P$708=0),"",$L$711-1),IF($R$17="Distrato",$E793,0)),MIN(AP$38,$D$19),$P$20))-SUM($P793:AO793)</f>
        <v>#VALUE!</v>
      </c>
      <c r="AQ793" s="446" t="e">
        <f>IF(OR($B793="",MIN(AQ$38,$D$19)&lt;MAX($P$708*($B793+IF($R$17="Distrato",$I$38-1,0)),IF(AND($L$711=0,$P$708=0),"",$L$711-1),IF($R$17="Distrato",$E793,0))),0,YEARFRAC(MAX($P$708*($B793+IF($R$17="Distrato",$I$38-1,0)),IF(AND($L$711=0,$P$708=0),"",$L$711-1),IF($R$17="Distrato",$E793,0)),MIN(AQ$38,$D$19),$P$20))-SUM($P793:AP793)</f>
        <v>#VALUE!</v>
      </c>
      <c r="AR793" s="446" t="e">
        <f>IF(OR($B793="",MIN(AR$38,$D$19)&lt;MAX($P$708*($B793+IF($R$17="Distrato",$I$38-1,0)),IF(AND($L$711=0,$P$708=0),"",$L$711-1),IF($R$17="Distrato",$E793,0))),0,YEARFRAC(MAX($P$708*($B793+IF($R$17="Distrato",$I$38-1,0)),IF(AND($L$711=0,$P$708=0),"",$L$711-1),IF($R$17="Distrato",$E793,0)),MIN(AR$38,$D$19),$P$20))-SUM($P793:AQ793)</f>
        <v>#VALUE!</v>
      </c>
      <c r="AS793" s="446" t="e">
        <f>IF(OR($B793="",MIN(AS$38,$D$19)&lt;MAX($P$708*($B793+IF($R$17="Distrato",$I$38-1,0)),IF(AND($L$711=0,$P$708=0),"",$L$711-1),IF($R$17="Distrato",$E793,0))),0,YEARFRAC(MAX($P$708*($B793+IF($R$17="Distrato",$I$38-1,0)),IF(AND($L$711=0,$P$708=0),"",$L$711-1),IF($R$17="Distrato",$E793,0)),MIN(AS$38,$D$19),$P$20))-SUM($P793:AR793)</f>
        <v>#VALUE!</v>
      </c>
      <c r="AT793" s="446" t="e">
        <f>IF(OR($B793="",MIN(AT$38,$D$19)&lt;MAX($P$708*($B793+IF($R$17="Distrato",$I$38-1,0)),IF(AND($L$711=0,$P$708=0),"",$L$711-1),IF($R$17="Distrato",$E793,0))),0,YEARFRAC(MAX($P$708*($B793+IF($R$17="Distrato",$I$38-1,0)),IF(AND($L$711=0,$P$708=0),"",$L$711-1),IF($R$17="Distrato",$E793,0)),MIN(AT$38,$D$19),$P$20))-SUM($P793:AS793)</f>
        <v>#VALUE!</v>
      </c>
      <c r="AU793" s="446" t="e">
        <f>IF(OR($B793="",MIN(AU$38,$D$19)&lt;MAX($P$708*($B793+IF($R$17="Distrato",$I$38-1,0)),IF(AND($L$711=0,$P$708=0),"",$L$711-1),IF($R$17="Distrato",$E793,0))),0,YEARFRAC(MAX($P$708*($B793+IF($R$17="Distrato",$I$38-1,0)),IF(AND($L$711=0,$P$708=0),"",$L$711-1),IF($R$17="Distrato",$E793,0)),MIN(AU$38,$D$19),$P$20))-SUM($P793:AT793)</f>
        <v>#VALUE!</v>
      </c>
      <c r="AV793" s="446" t="e">
        <f>IF(OR($B793="",MIN(AV$38,$D$19)&lt;MAX($P$708*($B793+IF($R$17="Distrato",$I$38-1,0)),IF(AND($L$711=0,$P$708=0),"",$L$711-1),IF($R$17="Distrato",$E793,0))),0,YEARFRAC(MAX($P$708*($B793+IF($R$17="Distrato",$I$38-1,0)),IF(AND($L$711=0,$P$708=0),"",$L$711-1),IF($R$17="Distrato",$E793,0)),MIN(AV$38,$D$19),$P$20))-SUM($P793:AU793)</f>
        <v>#VALUE!</v>
      </c>
      <c r="AW793" s="446" t="e">
        <f>IF(OR($B793="",MIN(AW$38,$D$19)&lt;MAX($P$708*($B793+IF($R$17="Distrato",$I$38-1,0)),IF(AND($L$711=0,$P$708=0),"",$L$711-1),IF($R$17="Distrato",$E793,0))),0,YEARFRAC(MAX($P$708*($B793+IF($R$17="Distrato",$I$38-1,0)),IF(AND($L$711=0,$P$708=0),"",$L$711-1),IF($R$17="Distrato",$E793,0)),MIN(AW$38,$D$19),$P$20))-SUM($P793:AV793)</f>
        <v>#VALUE!</v>
      </c>
      <c r="AX793" s="446" t="e">
        <f>IF(OR($B793="",MIN(AX$38,$D$19)&lt;MAX($P$708*($B793+IF($R$17="Distrato",$I$38-1,0)),IF(AND($L$711=0,$P$708=0),"",$L$711-1),IF($R$17="Distrato",$E793,0))),0,YEARFRAC(MAX($P$708*($B793+IF($R$17="Distrato",$I$38-1,0)),IF(AND($L$711=0,$P$708=0),"",$L$711-1),IF($R$17="Distrato",$E793,0)),MIN(AX$38,$D$19),$P$20))-SUM($P793:AW793)</f>
        <v>#VALUE!</v>
      </c>
      <c r="AY793" s="446" t="e">
        <f>IF(OR($B793="",MIN(AY$38,$D$19)&lt;MAX($P$708*($B793+IF($R$17="Distrato",$I$38-1,0)),IF(AND($L$711=0,$P$708=0),"",$L$711-1),IF($R$17="Distrato",$E793,0))),0,YEARFRAC(MAX($P$708*($B793+IF($R$17="Distrato",$I$38-1,0)),IF(AND($L$711=0,$P$708=0),"",$L$711-1),IF($R$17="Distrato",$E793,0)),MIN(AY$38,$D$19),$P$20))-SUM($P793:AX793)</f>
        <v>#VALUE!</v>
      </c>
      <c r="AZ793" s="446" t="e">
        <f>IF(OR($B793="",MIN(AZ$38,$D$19)&lt;MAX($P$708*($B793+IF($R$17="Distrato",$I$38-1,0)),IF(AND($L$711=0,$P$708=0),"",$L$711-1),IF($R$17="Distrato",$E793,0))),0,YEARFRAC(MAX($P$708*($B793+IF($R$17="Distrato",$I$38-1,0)),IF(AND($L$711=0,$P$708=0),"",$L$711-1),IF($R$17="Distrato",$E793,0)),MIN(AZ$38,$D$19),$P$20))-SUM($P793:AY793)</f>
        <v>#VALUE!</v>
      </c>
      <c r="BA793" s="446" t="e">
        <f>IF(OR($B793="",MIN(BA$38,$D$19)&lt;MAX($P$708*($B793+IF($R$17="Distrato",$I$38-1,0)),IF(AND($L$711=0,$P$708=0),"",$L$711-1),IF($R$17="Distrato",$E793,0))),0,YEARFRAC(MAX($P$708*($B793+IF($R$17="Distrato",$I$38-1,0)),IF(AND($L$711=0,$P$708=0),"",$L$711-1),IF($R$17="Distrato",$E793,0)),MIN(BA$38,$D$19),$P$20))-SUM($P793:AZ793)</f>
        <v>#VALUE!</v>
      </c>
      <c r="BB793" s="447"/>
    </row>
    <row r="794" spans="1:54" s="446" customFormat="1" ht="11.25" hidden="1" customHeight="1" x14ac:dyDescent="0.2">
      <c r="A794" s="235"/>
      <c r="B794" s="236"/>
      <c r="C794" s="29" t="str">
        <f>IF(B794="","",IF($L$709=$BL$25,VLOOKUP(DATE(YEAR($D$19),MONTH($D$19)-1,1),ÍNDICES!$A:$DE,HLOOKUP($BL$25,ÍNDICES!$B$3:$T$4,2)+11)-VLOOKUP(B794,ÍNDICES!$A:$DE,HLOOKUP($BL$25,ÍNDICES!$B$3:$T$4,2)+11)+1%,IF(C$712=$W$26,$J$35,IF(ISERROR(IF(B794&gt;$D$19,1,VLOOKUP(DATE(YEAR(B794),MONTH(B794)+IF($C$709=$S$23,1,0),1),ÍNDICES!$A:$DE,$Z$709+1))),"",IF(B794&gt;$D$19,1,VLOOKUP(DATE(YEAR(B794),MONTH(B794)+IF($C$709=$S$23,1,0),1),ÍNDICES!$A:$DE,$Z$709+1))))))</f>
        <v/>
      </c>
      <c r="D794" s="155"/>
      <c r="E794" s="88"/>
      <c r="F794" s="88"/>
      <c r="G794" s="88"/>
      <c r="H794" s="118"/>
      <c r="I794" s="182">
        <f t="shared" si="122"/>
        <v>0</v>
      </c>
      <c r="J794" s="20">
        <f t="shared" ca="1" si="123"/>
        <v>0</v>
      </c>
      <c r="K794" s="5">
        <f t="shared" ca="1" si="124"/>
        <v>0</v>
      </c>
      <c r="L794" s="61">
        <f t="shared" ca="1" si="125"/>
        <v>0</v>
      </c>
      <c r="M794" s="64">
        <f t="shared" si="126"/>
        <v>0</v>
      </c>
      <c r="N794" s="151"/>
      <c r="O794" s="5">
        <f t="shared" ca="1" si="127"/>
        <v>0</v>
      </c>
      <c r="P794" s="446" t="e">
        <f t="shared" si="128"/>
        <v>#VALUE!</v>
      </c>
      <c r="Q794" s="446" t="e">
        <f>IF(OR($B794="",MIN(Q$38,$D$19)&lt;MAX($P$708*($B794+IF($R$17="Distrato",$I$38-1,0)),IF(AND($L$711=0,$P$708=0),"",$L$711-1),IF($R$17="Distrato",$E794,0))),0,YEARFRAC(MAX($P$708*($B794+IF($R$17="Distrato",$I$38-1,0)),IF(AND($L$711=0,$P$708=0),"",$L$711-1),IF($R$17="Distrato",$E794,0)),MIN(Q$38,$D$19),$P$20))-SUM($P794:P794)</f>
        <v>#VALUE!</v>
      </c>
      <c r="R794" s="446" t="e">
        <f>IF(OR($B794="",MIN(R$38,$D$19)&lt;MAX($P$708*($B794+IF($R$17="Distrato",$I$38-1,0)),IF(AND($L$711=0,$P$708=0),"",$L$711-1),IF($R$17="Distrato",$E794,0))),0,YEARFRAC(MAX($P$708*($B794+IF($R$17="Distrato",$I$38-1,0)),IF(AND($L$711=0,$P$708=0),"",$L$711-1),IF($R$17="Distrato",$E794,0)),MIN(R$38,$D$19),$P$20))-SUM($P794:Q794)</f>
        <v>#VALUE!</v>
      </c>
      <c r="S794" s="446" t="e">
        <f>IF(OR($B794="",MIN(S$38,$D$19)&lt;MAX($P$708*($B794+IF($R$17="Distrato",$I$38-1,0)),IF(AND($L$711=0,$P$708=0),"",$L$711-1),IF($R$17="Distrato",$E794,0))),0,YEARFRAC(MAX($P$708*($B794+IF($R$17="Distrato",$I$38-1,0)),IF(AND($L$711=0,$P$708=0),"",$L$711-1),IF($R$17="Distrato",$E794,0)),MIN(S$38,$D$19),$P$20))-SUM($P794:R794)</f>
        <v>#VALUE!</v>
      </c>
      <c r="T794" s="446" t="e">
        <f>IF(OR($B794="",MIN(T$38,$D$19)&lt;MAX($P$708*($B794+IF($R$17="Distrato",$I$38-1,0)),IF(AND($L$711=0,$P$708=0),"",$L$711-1),IF($R$17="Distrato",$E794,0))),0,YEARFRAC(MAX($P$708*($B794+IF($R$17="Distrato",$I$38-1,0)),IF(AND($L$711=0,$P$708=0),"",$L$711-1),IF($R$17="Distrato",$E794,0)),MIN(T$38,$D$19),$P$20))-SUM($P794:S794)</f>
        <v>#VALUE!</v>
      </c>
      <c r="U794" s="446" t="e">
        <f>IF(OR($B794="",MIN(U$38,$D$19)&lt;MAX($P$708*($B794+IF($R$17="Distrato",$I$38-1,0)),IF(AND($L$711=0,$P$708=0),"",$L$711-1),IF($R$17="Distrato",$E794,0))),0,YEARFRAC(MAX($P$708*($B794+IF($R$17="Distrato",$I$38-1,0)),IF(AND($L$711=0,$P$708=0),"",$L$711-1),IF($R$17="Distrato",$E794,0)),MIN(U$38,$D$19),$P$20))-SUM($P794:T794)</f>
        <v>#VALUE!</v>
      </c>
      <c r="V794" s="446" t="e">
        <f>IF(OR($B794="",MIN(V$38,$D$19)&lt;MAX($P$708*($B794+IF($R$17="Distrato",$I$38-1,0)),IF(AND($L$711=0,$P$708=0),"",$L$711-1),IF($R$17="Distrato",$E794,0))),0,YEARFRAC(MAX($P$708*($B794+IF($R$17="Distrato",$I$38-1,0)),IF(AND($L$711=0,$P$708=0),"",$L$711-1),IF($R$17="Distrato",$E794,0)),MIN(V$38,$D$19),$P$20))-SUM($P794:U794)</f>
        <v>#VALUE!</v>
      </c>
      <c r="W794" s="446" t="e">
        <f>IF(OR($B794="",MIN(W$38,$D$19)&lt;MAX($P$708*($B794+IF($R$17="Distrato",$I$38-1,0)),IF(AND($L$711=0,$P$708=0),"",$L$711-1),IF($R$17="Distrato",$E794,0))),0,YEARFRAC(MAX($P$708*($B794+IF($R$17="Distrato",$I$38-1,0)),IF(AND($L$711=0,$P$708=0),"",$L$711-1),IF($R$17="Distrato",$E794,0)),MIN(W$38,$D$19),$P$20))-SUM($P794:V794)</f>
        <v>#VALUE!</v>
      </c>
      <c r="X794" s="446" t="e">
        <f>IF(OR($B794="",MIN(X$38,$D$19)&lt;MAX($P$708*($B794+IF($R$17="Distrato",$I$38-1,0)),IF(AND($L$711=0,$P$708=0),"",$L$711-1),IF($R$17="Distrato",$E794,0))),0,YEARFRAC(MAX($P$708*($B794+IF($R$17="Distrato",$I$38-1,0)),IF(AND($L$711=0,$P$708=0),"",$L$711-1),IF($R$17="Distrato",$E794,0)),MIN(X$38,$D$19),$P$20))-SUM($P794:W794)</f>
        <v>#VALUE!</v>
      </c>
      <c r="Y794" s="446" t="e">
        <f>IF(OR($B794="",MIN(Y$38,$D$19)&lt;MAX($P$708*($B794+IF($R$17="Distrato",$I$38-1,0)),IF(AND($L$711=0,$P$708=0),"",$L$711-1),IF($R$17="Distrato",$E794,0))),0,YEARFRAC(MAX($P$708*($B794+IF($R$17="Distrato",$I$38-1,0)),IF(AND($L$711=0,$P$708=0),"",$L$711-1),IF($R$17="Distrato",$E794,0)),MIN(Y$38,$D$19),$P$20))-SUM($P794:X794)</f>
        <v>#VALUE!</v>
      </c>
      <c r="Z794" s="446" t="e">
        <f>IF(OR($B794="",MIN(Z$38,$D$19)&lt;MAX($P$708*($B794+IF($R$17="Distrato",$I$38-1,0)),IF(AND($L$711=0,$P$708=0),"",$L$711-1),IF($R$17="Distrato",$E794,0))),0,YEARFRAC(MAX($P$708*($B794+IF($R$17="Distrato",$I$38-1,0)),IF(AND($L$711=0,$P$708=0),"",$L$711-1),IF($R$17="Distrato",$E794,0)),MIN(Z$38,$D$19),$P$20))-SUM($P794:Y794)</f>
        <v>#VALUE!</v>
      </c>
      <c r="AA794" s="446" t="e">
        <f>IF(OR($B794="",MIN(AA$38,$D$19)&lt;MAX($P$708*($B794+IF($R$17="Distrato",$I$38-1,0)),IF(AND($L$711=0,$P$708=0),"",$L$711-1),IF($R$17="Distrato",$E794,0))),0,YEARFRAC(MAX($P$708*($B794+IF($R$17="Distrato",$I$38-1,0)),IF(AND($L$711=0,$P$708=0),"",$L$711-1),IF($R$17="Distrato",$E794,0)),MIN(AA$38,$D$19),$P$20))-SUM($P794:Z794)</f>
        <v>#VALUE!</v>
      </c>
      <c r="AB794" s="446" t="e">
        <f>IF(OR($B794="",MIN(AB$38,$D$19)&lt;MAX($P$708*($B794+IF($R$17="Distrato",$I$38-1,0)),IF(AND($L$711=0,$P$708=0),"",$L$711-1),IF($R$17="Distrato",$E794,0))),0,YEARFRAC(MAX($P$708*($B794+IF($R$17="Distrato",$I$38-1,0)),IF(AND($L$711=0,$P$708=0),"",$L$711-1),IF($R$17="Distrato",$E794,0)),MIN(AB$38,$D$19),$P$20))-SUM($P794:AA794)</f>
        <v>#VALUE!</v>
      </c>
      <c r="AC794" s="446" t="e">
        <f>IF(OR($B794="",MIN(AC$38,$D$19)&lt;MAX($P$708*($B794+IF($R$17="Distrato",$I$38-1,0)),IF(AND($L$711=0,$P$708=0),"",$L$711-1),IF($R$17="Distrato",$E794,0))),0,YEARFRAC(MAX($P$708*($B794+IF($R$17="Distrato",$I$38-1,0)),IF(AND($L$711=0,$P$708=0),"",$L$711-1),IF($R$17="Distrato",$E794,0)),MIN(AC$38,$D$19),$P$20))-SUM($P794:AB794)</f>
        <v>#VALUE!</v>
      </c>
      <c r="AD794" s="446" t="e">
        <f>IF(OR($B794="",MIN(AD$38,$D$19)&lt;MAX($P$708*($B794+IF($R$17="Distrato",$I$38-1,0)),IF(AND($L$711=0,$P$708=0),"",$L$711-1),IF($R$17="Distrato",$E794,0))),0,YEARFRAC(MAX($P$708*($B794+IF($R$17="Distrato",$I$38-1,0)),IF(AND($L$711=0,$P$708=0),"",$L$711-1),IF($R$17="Distrato",$E794,0)),MIN(AD$38,$D$19),$P$20))-SUM($P794:AC794)</f>
        <v>#VALUE!</v>
      </c>
      <c r="AE794" s="446" t="e">
        <f>IF(OR($B794="",MIN(AE$38,$D$19)&lt;MAX($P$708*($B794+IF($R$17="Distrato",$I$38-1,0)),IF(AND($L$711=0,$P$708=0),"",$L$711-1),IF($R$17="Distrato",$E794,0))),0,YEARFRAC(MAX($P$708*($B794+IF($R$17="Distrato",$I$38-1,0)),IF(AND($L$711=0,$P$708=0),"",$L$711-1),IF($R$17="Distrato",$E794,0)),MIN(AE$38,$D$19),$P$20))-SUM($P794:AD794)</f>
        <v>#VALUE!</v>
      </c>
      <c r="AF794" s="446" t="e">
        <f>IF(OR($B794="",MIN(AF$38,$D$19)&lt;MAX($P$708*($B794+IF($R$17="Distrato",$I$38-1,0)),IF(AND($L$711=0,$P$708=0),"",$L$711-1),IF($R$17="Distrato",$E794,0))),0,YEARFRAC(MAX($P$708*($B794+IF($R$17="Distrato",$I$38-1,0)),IF(AND($L$711=0,$P$708=0),"",$L$711-1),IF($R$17="Distrato",$E794,0)),MIN(AF$38,$D$19),$P$20))-SUM($P794:AE794)</f>
        <v>#VALUE!</v>
      </c>
      <c r="AG794" s="446" t="e">
        <f>IF(OR($B794="",MIN(AG$38,$D$19)&lt;MAX($P$708*($B794+IF($R$17="Distrato",$I$38-1,0)),IF(AND($L$711=0,$P$708=0),"",$L$711-1),IF($R$17="Distrato",$E794,0))),0,YEARFRAC(MAX($P$708*($B794+IF($R$17="Distrato",$I$38-1,0)),IF(AND($L$711=0,$P$708=0),"",$L$711-1),IF($R$17="Distrato",$E794,0)),MIN(AG$38,$D$19),$P$20))-SUM($P794:AF794)</f>
        <v>#VALUE!</v>
      </c>
      <c r="AH794" s="446" t="e">
        <f>IF(OR($B794="",MIN(AH$38,$D$19)&lt;MAX($P$708*($B794+IF($R$17="Distrato",$I$38-1,0)),IF(AND($L$711=0,$P$708=0),"",$L$711-1),IF($R$17="Distrato",$E794,0))),0,YEARFRAC(MAX($P$708*($B794+IF($R$17="Distrato",$I$38-1,0)),IF(AND($L$711=0,$P$708=0),"",$L$711-1),IF($R$17="Distrato",$E794,0)),MIN(AH$38,$D$19),$P$20))-SUM($P794:AG794)</f>
        <v>#VALUE!</v>
      </c>
      <c r="AI794" s="446" t="e">
        <f>IF(OR($B794="",MIN(AI$38,$D$19)&lt;MAX($P$708*($B794+IF($R$17="Distrato",$I$38-1,0)),IF(AND($L$711=0,$P$708=0),"",$L$711-1),IF($R$17="Distrato",$E794,0))),0,YEARFRAC(MAX($P$708*($B794+IF($R$17="Distrato",$I$38-1,0)),IF(AND($L$711=0,$P$708=0),"",$L$711-1),IF($R$17="Distrato",$E794,0)),MIN(AI$38,$D$19),$P$20))-SUM($P794:AH794)</f>
        <v>#VALUE!</v>
      </c>
      <c r="AJ794" s="446" t="e">
        <f>IF(OR($B794="",MIN(AJ$38,$D$19)&lt;MAX($P$708*($B794+IF($R$17="Distrato",$I$38-1,0)),IF(AND($L$711=0,$P$708=0),"",$L$711-1),IF($R$17="Distrato",$E794,0))),0,YEARFRAC(MAX($P$708*($B794+IF($R$17="Distrato",$I$38-1,0)),IF(AND($L$711=0,$P$708=0),"",$L$711-1),IF($R$17="Distrato",$E794,0)),MIN(AJ$38,$D$19),$P$20))-SUM($P794:AI794)</f>
        <v>#VALUE!</v>
      </c>
      <c r="AK794" s="446" t="e">
        <f>IF(OR($B794="",MIN(AK$38,$D$19)&lt;MAX($P$708*($B794+IF($R$17="Distrato",$I$38-1,0)),IF(AND($L$711=0,$P$708=0),"",$L$711-1),IF($R$17="Distrato",$E794,0))),0,YEARFRAC(MAX($P$708*($B794+IF($R$17="Distrato",$I$38-1,0)),IF(AND($L$711=0,$P$708=0),"",$L$711-1),IF($R$17="Distrato",$E794,0)),MIN(AK$38,$D$19),$P$20))-SUM($P794:AJ794)</f>
        <v>#VALUE!</v>
      </c>
      <c r="AL794" s="446" t="e">
        <f>IF(OR($B794="",MIN(AL$38,$D$19)&lt;MAX($P$708*($B794+IF($R$17="Distrato",$I$38-1,0)),IF(AND($L$711=0,$P$708=0),"",$L$711-1),IF($R$17="Distrato",$E794,0))),0,YEARFRAC(MAX($P$708*($B794+IF($R$17="Distrato",$I$38-1,0)),IF(AND($L$711=0,$P$708=0),"",$L$711-1),IF($R$17="Distrato",$E794,0)),MIN(AL$38,$D$19),$P$20))-SUM($P794:AK794)</f>
        <v>#VALUE!</v>
      </c>
      <c r="AM794" s="446" t="e">
        <f>IF(OR($B794="",MIN(AM$38,$D$19)&lt;MAX($P$708*($B794+IF($R$17="Distrato",$I$38-1,0)),IF(AND($L$711=0,$P$708=0),"",$L$711-1),IF($R$17="Distrato",$E794,0))),0,YEARFRAC(MAX($P$708*($B794+IF($R$17="Distrato",$I$38-1,0)),IF(AND($L$711=0,$P$708=0),"",$L$711-1),IF($R$17="Distrato",$E794,0)),MIN(AM$38,$D$19),$P$20))-SUM($P794:AL794)</f>
        <v>#VALUE!</v>
      </c>
      <c r="AN794" s="446" t="e">
        <f>IF(OR($B794="",MIN(AN$38,$D$19)&lt;MAX($P$708*($B794+IF($R$17="Distrato",$I$38-1,0)),IF(AND($L$711=0,$P$708=0),"",$L$711-1),IF($R$17="Distrato",$E794,0))),0,YEARFRAC(MAX($P$708*($B794+IF($R$17="Distrato",$I$38-1,0)),IF(AND($L$711=0,$P$708=0),"",$L$711-1),IF($R$17="Distrato",$E794,0)),MIN(AN$38,$D$19),$P$20))-SUM($P794:AM794)</f>
        <v>#VALUE!</v>
      </c>
      <c r="AO794" s="446" t="e">
        <f>IF(OR($B794="",MIN(AO$38,$D$19)&lt;MAX($P$708*($B794+IF($R$17="Distrato",$I$38-1,0)),IF(AND($L$711=0,$P$708=0),"",$L$711-1),IF($R$17="Distrato",$E794,0))),0,YEARFRAC(MAX($P$708*($B794+IF($R$17="Distrato",$I$38-1,0)),IF(AND($L$711=0,$P$708=0),"",$L$711-1),IF($R$17="Distrato",$E794,0)),MIN(AO$38,$D$19),$P$20))-SUM($P794:AN794)</f>
        <v>#VALUE!</v>
      </c>
      <c r="AP794" s="446" t="e">
        <f>IF(OR($B794="",MIN(AP$38,$D$19)&lt;MAX($P$708*($B794+IF($R$17="Distrato",$I$38-1,0)),IF(AND($L$711=0,$P$708=0),"",$L$711-1),IF($R$17="Distrato",$E794,0))),0,YEARFRAC(MAX($P$708*($B794+IF($R$17="Distrato",$I$38-1,0)),IF(AND($L$711=0,$P$708=0),"",$L$711-1),IF($R$17="Distrato",$E794,0)),MIN(AP$38,$D$19),$P$20))-SUM($P794:AO794)</f>
        <v>#VALUE!</v>
      </c>
      <c r="AQ794" s="446" t="e">
        <f>IF(OR($B794="",MIN(AQ$38,$D$19)&lt;MAX($P$708*($B794+IF($R$17="Distrato",$I$38-1,0)),IF(AND($L$711=0,$P$708=0),"",$L$711-1),IF($R$17="Distrato",$E794,0))),0,YEARFRAC(MAX($P$708*($B794+IF($R$17="Distrato",$I$38-1,0)),IF(AND($L$711=0,$P$708=0),"",$L$711-1),IF($R$17="Distrato",$E794,0)),MIN(AQ$38,$D$19),$P$20))-SUM($P794:AP794)</f>
        <v>#VALUE!</v>
      </c>
      <c r="AR794" s="446" t="e">
        <f>IF(OR($B794="",MIN(AR$38,$D$19)&lt;MAX($P$708*($B794+IF($R$17="Distrato",$I$38-1,0)),IF(AND($L$711=0,$P$708=0),"",$L$711-1),IF($R$17="Distrato",$E794,0))),0,YEARFRAC(MAX($P$708*($B794+IF($R$17="Distrato",$I$38-1,0)),IF(AND($L$711=0,$P$708=0),"",$L$711-1),IF($R$17="Distrato",$E794,0)),MIN(AR$38,$D$19),$P$20))-SUM($P794:AQ794)</f>
        <v>#VALUE!</v>
      </c>
      <c r="AS794" s="446" t="e">
        <f>IF(OR($B794="",MIN(AS$38,$D$19)&lt;MAX($P$708*($B794+IF($R$17="Distrato",$I$38-1,0)),IF(AND($L$711=0,$P$708=0),"",$L$711-1),IF($R$17="Distrato",$E794,0))),0,YEARFRAC(MAX($P$708*($B794+IF($R$17="Distrato",$I$38-1,0)),IF(AND($L$711=0,$P$708=0),"",$L$711-1),IF($R$17="Distrato",$E794,0)),MIN(AS$38,$D$19),$P$20))-SUM($P794:AR794)</f>
        <v>#VALUE!</v>
      </c>
      <c r="AT794" s="446" t="e">
        <f>IF(OR($B794="",MIN(AT$38,$D$19)&lt;MAX($P$708*($B794+IF($R$17="Distrato",$I$38-1,0)),IF(AND($L$711=0,$P$708=0),"",$L$711-1),IF($R$17="Distrato",$E794,0))),0,YEARFRAC(MAX($P$708*($B794+IF($R$17="Distrato",$I$38-1,0)),IF(AND($L$711=0,$P$708=0),"",$L$711-1),IF($R$17="Distrato",$E794,0)),MIN(AT$38,$D$19),$P$20))-SUM($P794:AS794)</f>
        <v>#VALUE!</v>
      </c>
      <c r="AU794" s="446" t="e">
        <f>IF(OR($B794="",MIN(AU$38,$D$19)&lt;MAX($P$708*($B794+IF($R$17="Distrato",$I$38-1,0)),IF(AND($L$711=0,$P$708=0),"",$L$711-1),IF($R$17="Distrato",$E794,0))),0,YEARFRAC(MAX($P$708*($B794+IF($R$17="Distrato",$I$38-1,0)),IF(AND($L$711=0,$P$708=0),"",$L$711-1),IF($R$17="Distrato",$E794,0)),MIN(AU$38,$D$19),$P$20))-SUM($P794:AT794)</f>
        <v>#VALUE!</v>
      </c>
      <c r="AV794" s="446" t="e">
        <f>IF(OR($B794="",MIN(AV$38,$D$19)&lt;MAX($P$708*($B794+IF($R$17="Distrato",$I$38-1,0)),IF(AND($L$711=0,$P$708=0),"",$L$711-1),IF($R$17="Distrato",$E794,0))),0,YEARFRAC(MAX($P$708*($B794+IF($R$17="Distrato",$I$38-1,0)),IF(AND($L$711=0,$P$708=0),"",$L$711-1),IF($R$17="Distrato",$E794,0)),MIN(AV$38,$D$19),$P$20))-SUM($P794:AU794)</f>
        <v>#VALUE!</v>
      </c>
      <c r="AW794" s="446" t="e">
        <f>IF(OR($B794="",MIN(AW$38,$D$19)&lt;MAX($P$708*($B794+IF($R$17="Distrato",$I$38-1,0)),IF(AND($L$711=0,$P$708=0),"",$L$711-1),IF($R$17="Distrato",$E794,0))),0,YEARFRAC(MAX($P$708*($B794+IF($R$17="Distrato",$I$38-1,0)),IF(AND($L$711=0,$P$708=0),"",$L$711-1),IF($R$17="Distrato",$E794,0)),MIN(AW$38,$D$19),$P$20))-SUM($P794:AV794)</f>
        <v>#VALUE!</v>
      </c>
      <c r="AX794" s="446" t="e">
        <f>IF(OR($B794="",MIN(AX$38,$D$19)&lt;MAX($P$708*($B794+IF($R$17="Distrato",$I$38-1,0)),IF(AND($L$711=0,$P$708=0),"",$L$711-1),IF($R$17="Distrato",$E794,0))),0,YEARFRAC(MAX($P$708*($B794+IF($R$17="Distrato",$I$38-1,0)),IF(AND($L$711=0,$P$708=0),"",$L$711-1),IF($R$17="Distrato",$E794,0)),MIN(AX$38,$D$19),$P$20))-SUM($P794:AW794)</f>
        <v>#VALUE!</v>
      </c>
      <c r="AY794" s="446" t="e">
        <f>IF(OR($B794="",MIN(AY$38,$D$19)&lt;MAX($P$708*($B794+IF($R$17="Distrato",$I$38-1,0)),IF(AND($L$711=0,$P$708=0),"",$L$711-1),IF($R$17="Distrato",$E794,0))),0,YEARFRAC(MAX($P$708*($B794+IF($R$17="Distrato",$I$38-1,0)),IF(AND($L$711=0,$P$708=0),"",$L$711-1),IF($R$17="Distrato",$E794,0)),MIN(AY$38,$D$19),$P$20))-SUM($P794:AX794)</f>
        <v>#VALUE!</v>
      </c>
      <c r="AZ794" s="446" t="e">
        <f>IF(OR($B794="",MIN(AZ$38,$D$19)&lt;MAX($P$708*($B794+IF($R$17="Distrato",$I$38-1,0)),IF(AND($L$711=0,$P$708=0),"",$L$711-1),IF($R$17="Distrato",$E794,0))),0,YEARFRAC(MAX($P$708*($B794+IF($R$17="Distrato",$I$38-1,0)),IF(AND($L$711=0,$P$708=0),"",$L$711-1),IF($R$17="Distrato",$E794,0)),MIN(AZ$38,$D$19),$P$20))-SUM($P794:AY794)</f>
        <v>#VALUE!</v>
      </c>
      <c r="BA794" s="446" t="e">
        <f>IF(OR($B794="",MIN(BA$38,$D$19)&lt;MAX($P$708*($B794+IF($R$17="Distrato",$I$38-1,0)),IF(AND($L$711=0,$P$708=0),"",$L$711-1),IF($R$17="Distrato",$E794,0))),0,YEARFRAC(MAX($P$708*($B794+IF($R$17="Distrato",$I$38-1,0)),IF(AND($L$711=0,$P$708=0),"",$L$711-1),IF($R$17="Distrato",$E794,0)),MIN(BA$38,$D$19),$P$20))-SUM($P794:AZ794)</f>
        <v>#VALUE!</v>
      </c>
      <c r="BB794" s="447"/>
    </row>
    <row r="795" spans="1:54" s="446" customFormat="1" ht="11.25" hidden="1" customHeight="1" x14ac:dyDescent="0.2">
      <c r="A795" s="235"/>
      <c r="B795" s="236"/>
      <c r="C795" s="29" t="str">
        <f>IF(B795="","",IF($L$709=$BL$25,VLOOKUP(DATE(YEAR($D$19),MONTH($D$19)-1,1),ÍNDICES!$A:$DE,HLOOKUP($BL$25,ÍNDICES!$B$3:$T$4,2)+11)-VLOOKUP(B795,ÍNDICES!$A:$DE,HLOOKUP($BL$25,ÍNDICES!$B$3:$T$4,2)+11)+1%,IF(C$712=$W$26,$J$35,IF(ISERROR(IF(B795&gt;$D$19,1,VLOOKUP(DATE(YEAR(B795),MONTH(B795)+IF($C$709=$S$23,1,0),1),ÍNDICES!$A:$DE,$Z$709+1))),"",IF(B795&gt;$D$19,1,VLOOKUP(DATE(YEAR(B795),MONTH(B795)+IF($C$709=$S$23,1,0),1),ÍNDICES!$A:$DE,$Z$709+1))))))</f>
        <v/>
      </c>
      <c r="D795" s="155"/>
      <c r="E795" s="88"/>
      <c r="F795" s="88"/>
      <c r="G795" s="88"/>
      <c r="H795" s="118"/>
      <c r="I795" s="182">
        <f t="shared" si="122"/>
        <v>0</v>
      </c>
      <c r="J795" s="20">
        <f t="shared" ca="1" si="123"/>
        <v>0</v>
      </c>
      <c r="K795" s="5">
        <f t="shared" ca="1" si="124"/>
        <v>0</v>
      </c>
      <c r="L795" s="61">
        <f t="shared" ca="1" si="125"/>
        <v>0</v>
      </c>
      <c r="M795" s="64">
        <f t="shared" si="126"/>
        <v>0</v>
      </c>
      <c r="N795" s="151"/>
      <c r="O795" s="5">
        <f t="shared" ca="1" si="127"/>
        <v>0</v>
      </c>
      <c r="P795" s="446" t="e">
        <f t="shared" si="128"/>
        <v>#VALUE!</v>
      </c>
      <c r="Q795" s="446" t="e">
        <f>IF(OR($B795="",MIN(Q$38,$D$19)&lt;MAX($P$708*($B795+IF($R$17="Distrato",$I$38-1,0)),IF(AND($L$711=0,$P$708=0),"",$L$711-1),IF($R$17="Distrato",$E795,0))),0,YEARFRAC(MAX($P$708*($B795+IF($R$17="Distrato",$I$38-1,0)),IF(AND($L$711=0,$P$708=0),"",$L$711-1),IF($R$17="Distrato",$E795,0)),MIN(Q$38,$D$19),$P$20))-SUM($P795:P795)</f>
        <v>#VALUE!</v>
      </c>
      <c r="R795" s="446" t="e">
        <f>IF(OR($B795="",MIN(R$38,$D$19)&lt;MAX($P$708*($B795+IF($R$17="Distrato",$I$38-1,0)),IF(AND($L$711=0,$P$708=0),"",$L$711-1),IF($R$17="Distrato",$E795,0))),0,YEARFRAC(MAX($P$708*($B795+IF($R$17="Distrato",$I$38-1,0)),IF(AND($L$711=0,$P$708=0),"",$L$711-1),IF($R$17="Distrato",$E795,0)),MIN(R$38,$D$19),$P$20))-SUM($P795:Q795)</f>
        <v>#VALUE!</v>
      </c>
      <c r="S795" s="446" t="e">
        <f>IF(OR($B795="",MIN(S$38,$D$19)&lt;MAX($P$708*($B795+IF($R$17="Distrato",$I$38-1,0)),IF(AND($L$711=0,$P$708=0),"",$L$711-1),IF($R$17="Distrato",$E795,0))),0,YEARFRAC(MAX($P$708*($B795+IF($R$17="Distrato",$I$38-1,0)),IF(AND($L$711=0,$P$708=0),"",$L$711-1),IF($R$17="Distrato",$E795,0)),MIN(S$38,$D$19),$P$20))-SUM($P795:R795)</f>
        <v>#VALUE!</v>
      </c>
      <c r="T795" s="446" t="e">
        <f>IF(OR($B795="",MIN(T$38,$D$19)&lt;MAX($P$708*($B795+IF($R$17="Distrato",$I$38-1,0)),IF(AND($L$711=0,$P$708=0),"",$L$711-1),IF($R$17="Distrato",$E795,0))),0,YEARFRAC(MAX($P$708*($B795+IF($R$17="Distrato",$I$38-1,0)),IF(AND($L$711=0,$P$708=0),"",$L$711-1),IF($R$17="Distrato",$E795,0)),MIN(T$38,$D$19),$P$20))-SUM($P795:S795)</f>
        <v>#VALUE!</v>
      </c>
      <c r="U795" s="446" t="e">
        <f>IF(OR($B795="",MIN(U$38,$D$19)&lt;MAX($P$708*($B795+IF($R$17="Distrato",$I$38-1,0)),IF(AND($L$711=0,$P$708=0),"",$L$711-1),IF($R$17="Distrato",$E795,0))),0,YEARFRAC(MAX($P$708*($B795+IF($R$17="Distrato",$I$38-1,0)),IF(AND($L$711=0,$P$708=0),"",$L$711-1),IF($R$17="Distrato",$E795,0)),MIN(U$38,$D$19),$P$20))-SUM($P795:T795)</f>
        <v>#VALUE!</v>
      </c>
      <c r="V795" s="446" t="e">
        <f>IF(OR($B795="",MIN(V$38,$D$19)&lt;MAX($P$708*($B795+IF($R$17="Distrato",$I$38-1,0)),IF(AND($L$711=0,$P$708=0),"",$L$711-1),IF($R$17="Distrato",$E795,0))),0,YEARFRAC(MAX($P$708*($B795+IF($R$17="Distrato",$I$38-1,0)),IF(AND($L$711=0,$P$708=0),"",$L$711-1),IF($R$17="Distrato",$E795,0)),MIN(V$38,$D$19),$P$20))-SUM($P795:U795)</f>
        <v>#VALUE!</v>
      </c>
      <c r="W795" s="446" t="e">
        <f>IF(OR($B795="",MIN(W$38,$D$19)&lt;MAX($P$708*($B795+IF($R$17="Distrato",$I$38-1,0)),IF(AND($L$711=0,$P$708=0),"",$L$711-1),IF($R$17="Distrato",$E795,0))),0,YEARFRAC(MAX($P$708*($B795+IF($R$17="Distrato",$I$38-1,0)),IF(AND($L$711=0,$P$708=0),"",$L$711-1),IF($R$17="Distrato",$E795,0)),MIN(W$38,$D$19),$P$20))-SUM($P795:V795)</f>
        <v>#VALUE!</v>
      </c>
      <c r="X795" s="446" t="e">
        <f>IF(OR($B795="",MIN(X$38,$D$19)&lt;MAX($P$708*($B795+IF($R$17="Distrato",$I$38-1,0)),IF(AND($L$711=0,$P$708=0),"",$L$711-1),IF($R$17="Distrato",$E795,0))),0,YEARFRAC(MAX($P$708*($B795+IF($R$17="Distrato",$I$38-1,0)),IF(AND($L$711=0,$P$708=0),"",$L$711-1),IF($R$17="Distrato",$E795,0)),MIN(X$38,$D$19),$P$20))-SUM($P795:W795)</f>
        <v>#VALUE!</v>
      </c>
      <c r="Y795" s="446" t="e">
        <f>IF(OR($B795="",MIN(Y$38,$D$19)&lt;MAX($P$708*($B795+IF($R$17="Distrato",$I$38-1,0)),IF(AND($L$711=0,$P$708=0),"",$L$711-1),IF($R$17="Distrato",$E795,0))),0,YEARFRAC(MAX($P$708*($B795+IF($R$17="Distrato",$I$38-1,0)),IF(AND($L$711=0,$P$708=0),"",$L$711-1),IF($R$17="Distrato",$E795,0)),MIN(Y$38,$D$19),$P$20))-SUM($P795:X795)</f>
        <v>#VALUE!</v>
      </c>
      <c r="Z795" s="446" t="e">
        <f>IF(OR($B795="",MIN(Z$38,$D$19)&lt;MAX($P$708*($B795+IF($R$17="Distrato",$I$38-1,0)),IF(AND($L$711=0,$P$708=0),"",$L$711-1),IF($R$17="Distrato",$E795,0))),0,YEARFRAC(MAX($P$708*($B795+IF($R$17="Distrato",$I$38-1,0)),IF(AND($L$711=0,$P$708=0),"",$L$711-1),IF($R$17="Distrato",$E795,0)),MIN(Z$38,$D$19),$P$20))-SUM($P795:Y795)</f>
        <v>#VALUE!</v>
      </c>
      <c r="AA795" s="446" t="e">
        <f>IF(OR($B795="",MIN(AA$38,$D$19)&lt;MAX($P$708*($B795+IF($R$17="Distrato",$I$38-1,0)),IF(AND($L$711=0,$P$708=0),"",$L$711-1),IF($R$17="Distrato",$E795,0))),0,YEARFRAC(MAX($P$708*($B795+IF($R$17="Distrato",$I$38-1,0)),IF(AND($L$711=0,$P$708=0),"",$L$711-1),IF($R$17="Distrato",$E795,0)),MIN(AA$38,$D$19),$P$20))-SUM($P795:Z795)</f>
        <v>#VALUE!</v>
      </c>
      <c r="AB795" s="446" t="e">
        <f>IF(OR($B795="",MIN(AB$38,$D$19)&lt;MAX($P$708*($B795+IF($R$17="Distrato",$I$38-1,0)),IF(AND($L$711=0,$P$708=0),"",$L$711-1),IF($R$17="Distrato",$E795,0))),0,YEARFRAC(MAX($P$708*($B795+IF($R$17="Distrato",$I$38-1,0)),IF(AND($L$711=0,$P$708=0),"",$L$711-1),IF($R$17="Distrato",$E795,0)),MIN(AB$38,$D$19),$P$20))-SUM($P795:AA795)</f>
        <v>#VALUE!</v>
      </c>
      <c r="AC795" s="446" t="e">
        <f>IF(OR($B795="",MIN(AC$38,$D$19)&lt;MAX($P$708*($B795+IF($R$17="Distrato",$I$38-1,0)),IF(AND($L$711=0,$P$708=0),"",$L$711-1),IF($R$17="Distrato",$E795,0))),0,YEARFRAC(MAX($P$708*($B795+IF($R$17="Distrato",$I$38-1,0)),IF(AND($L$711=0,$P$708=0),"",$L$711-1),IF($R$17="Distrato",$E795,0)),MIN(AC$38,$D$19),$P$20))-SUM($P795:AB795)</f>
        <v>#VALUE!</v>
      </c>
      <c r="AD795" s="446" t="e">
        <f>IF(OR($B795="",MIN(AD$38,$D$19)&lt;MAX($P$708*($B795+IF($R$17="Distrato",$I$38-1,0)),IF(AND($L$711=0,$P$708=0),"",$L$711-1),IF($R$17="Distrato",$E795,0))),0,YEARFRAC(MAX($P$708*($B795+IF($R$17="Distrato",$I$38-1,0)),IF(AND($L$711=0,$P$708=0),"",$L$711-1),IF($R$17="Distrato",$E795,0)),MIN(AD$38,$D$19),$P$20))-SUM($P795:AC795)</f>
        <v>#VALUE!</v>
      </c>
      <c r="AE795" s="446" t="e">
        <f>IF(OR($B795="",MIN(AE$38,$D$19)&lt;MAX($P$708*($B795+IF($R$17="Distrato",$I$38-1,0)),IF(AND($L$711=0,$P$708=0),"",$L$711-1),IF($R$17="Distrato",$E795,0))),0,YEARFRAC(MAX($P$708*($B795+IF($R$17="Distrato",$I$38-1,0)),IF(AND($L$711=0,$P$708=0),"",$L$711-1),IF($R$17="Distrato",$E795,0)),MIN(AE$38,$D$19),$P$20))-SUM($P795:AD795)</f>
        <v>#VALUE!</v>
      </c>
      <c r="AF795" s="446" t="e">
        <f>IF(OR($B795="",MIN(AF$38,$D$19)&lt;MAX($P$708*($B795+IF($R$17="Distrato",$I$38-1,0)),IF(AND($L$711=0,$P$708=0),"",$L$711-1),IF($R$17="Distrato",$E795,0))),0,YEARFRAC(MAX($P$708*($B795+IF($R$17="Distrato",$I$38-1,0)),IF(AND($L$711=0,$P$708=0),"",$L$711-1),IF($R$17="Distrato",$E795,0)),MIN(AF$38,$D$19),$P$20))-SUM($P795:AE795)</f>
        <v>#VALUE!</v>
      </c>
      <c r="AG795" s="446" t="e">
        <f>IF(OR($B795="",MIN(AG$38,$D$19)&lt;MAX($P$708*($B795+IF($R$17="Distrato",$I$38-1,0)),IF(AND($L$711=0,$P$708=0),"",$L$711-1),IF($R$17="Distrato",$E795,0))),0,YEARFRAC(MAX($P$708*($B795+IF($R$17="Distrato",$I$38-1,0)),IF(AND($L$711=0,$P$708=0),"",$L$711-1),IF($R$17="Distrato",$E795,0)),MIN(AG$38,$D$19),$P$20))-SUM($P795:AF795)</f>
        <v>#VALUE!</v>
      </c>
      <c r="AH795" s="446" t="e">
        <f>IF(OR($B795="",MIN(AH$38,$D$19)&lt;MAX($P$708*($B795+IF($R$17="Distrato",$I$38-1,0)),IF(AND($L$711=0,$P$708=0),"",$L$711-1),IF($R$17="Distrato",$E795,0))),0,YEARFRAC(MAX($P$708*($B795+IF($R$17="Distrato",$I$38-1,0)),IF(AND($L$711=0,$P$708=0),"",$L$711-1),IF($R$17="Distrato",$E795,0)),MIN(AH$38,$D$19),$P$20))-SUM($P795:AG795)</f>
        <v>#VALUE!</v>
      </c>
      <c r="AI795" s="446" t="e">
        <f>IF(OR($B795="",MIN(AI$38,$D$19)&lt;MAX($P$708*($B795+IF($R$17="Distrato",$I$38-1,0)),IF(AND($L$711=0,$P$708=0),"",$L$711-1),IF($R$17="Distrato",$E795,0))),0,YEARFRAC(MAX($P$708*($B795+IF($R$17="Distrato",$I$38-1,0)),IF(AND($L$711=0,$P$708=0),"",$L$711-1),IF($R$17="Distrato",$E795,0)),MIN(AI$38,$D$19),$P$20))-SUM($P795:AH795)</f>
        <v>#VALUE!</v>
      </c>
      <c r="AJ795" s="446" t="e">
        <f>IF(OR($B795="",MIN(AJ$38,$D$19)&lt;MAX($P$708*($B795+IF($R$17="Distrato",$I$38-1,0)),IF(AND($L$711=0,$P$708=0),"",$L$711-1),IF($R$17="Distrato",$E795,0))),0,YEARFRAC(MAX($P$708*($B795+IF($R$17="Distrato",$I$38-1,0)),IF(AND($L$711=0,$P$708=0),"",$L$711-1),IF($R$17="Distrato",$E795,0)),MIN(AJ$38,$D$19),$P$20))-SUM($P795:AI795)</f>
        <v>#VALUE!</v>
      </c>
      <c r="AK795" s="446" t="e">
        <f>IF(OR($B795="",MIN(AK$38,$D$19)&lt;MAX($P$708*($B795+IF($R$17="Distrato",$I$38-1,0)),IF(AND($L$711=0,$P$708=0),"",$L$711-1),IF($R$17="Distrato",$E795,0))),0,YEARFRAC(MAX($P$708*($B795+IF($R$17="Distrato",$I$38-1,0)),IF(AND($L$711=0,$P$708=0),"",$L$711-1),IF($R$17="Distrato",$E795,0)),MIN(AK$38,$D$19),$P$20))-SUM($P795:AJ795)</f>
        <v>#VALUE!</v>
      </c>
      <c r="AL795" s="446" t="e">
        <f>IF(OR($B795="",MIN(AL$38,$D$19)&lt;MAX($P$708*($B795+IF($R$17="Distrato",$I$38-1,0)),IF(AND($L$711=0,$P$708=0),"",$L$711-1),IF($R$17="Distrato",$E795,0))),0,YEARFRAC(MAX($P$708*($B795+IF($R$17="Distrato",$I$38-1,0)),IF(AND($L$711=0,$P$708=0),"",$L$711-1),IF($R$17="Distrato",$E795,0)),MIN(AL$38,$D$19),$P$20))-SUM($P795:AK795)</f>
        <v>#VALUE!</v>
      </c>
      <c r="AM795" s="446" t="e">
        <f>IF(OR($B795="",MIN(AM$38,$D$19)&lt;MAX($P$708*($B795+IF($R$17="Distrato",$I$38-1,0)),IF(AND($L$711=0,$P$708=0),"",$L$711-1),IF($R$17="Distrato",$E795,0))),0,YEARFRAC(MAX($P$708*($B795+IF($R$17="Distrato",$I$38-1,0)),IF(AND($L$711=0,$P$708=0),"",$L$711-1),IF($R$17="Distrato",$E795,0)),MIN(AM$38,$D$19),$P$20))-SUM($P795:AL795)</f>
        <v>#VALUE!</v>
      </c>
      <c r="AN795" s="446" t="e">
        <f>IF(OR($B795="",MIN(AN$38,$D$19)&lt;MAX($P$708*($B795+IF($R$17="Distrato",$I$38-1,0)),IF(AND($L$711=0,$P$708=0),"",$L$711-1),IF($R$17="Distrato",$E795,0))),0,YEARFRAC(MAX($P$708*($B795+IF($R$17="Distrato",$I$38-1,0)),IF(AND($L$711=0,$P$708=0),"",$L$711-1),IF($R$17="Distrato",$E795,0)),MIN(AN$38,$D$19),$P$20))-SUM($P795:AM795)</f>
        <v>#VALUE!</v>
      </c>
      <c r="AO795" s="446" t="e">
        <f>IF(OR($B795="",MIN(AO$38,$D$19)&lt;MAX($P$708*($B795+IF($R$17="Distrato",$I$38-1,0)),IF(AND($L$711=0,$P$708=0),"",$L$711-1),IF($R$17="Distrato",$E795,0))),0,YEARFRAC(MAX($P$708*($B795+IF($R$17="Distrato",$I$38-1,0)),IF(AND($L$711=0,$P$708=0),"",$L$711-1),IF($R$17="Distrato",$E795,0)),MIN(AO$38,$D$19),$P$20))-SUM($P795:AN795)</f>
        <v>#VALUE!</v>
      </c>
      <c r="AP795" s="446" t="e">
        <f>IF(OR($B795="",MIN(AP$38,$D$19)&lt;MAX($P$708*($B795+IF($R$17="Distrato",$I$38-1,0)),IF(AND($L$711=0,$P$708=0),"",$L$711-1),IF($R$17="Distrato",$E795,0))),0,YEARFRAC(MAX($P$708*($B795+IF($R$17="Distrato",$I$38-1,0)),IF(AND($L$711=0,$P$708=0),"",$L$711-1),IF($R$17="Distrato",$E795,0)),MIN(AP$38,$D$19),$P$20))-SUM($P795:AO795)</f>
        <v>#VALUE!</v>
      </c>
      <c r="AQ795" s="446" t="e">
        <f>IF(OR($B795="",MIN(AQ$38,$D$19)&lt;MAX($P$708*($B795+IF($R$17="Distrato",$I$38-1,0)),IF(AND($L$711=0,$P$708=0),"",$L$711-1),IF($R$17="Distrato",$E795,0))),0,YEARFRAC(MAX($P$708*($B795+IF($R$17="Distrato",$I$38-1,0)),IF(AND($L$711=0,$P$708=0),"",$L$711-1),IF($R$17="Distrato",$E795,0)),MIN(AQ$38,$D$19),$P$20))-SUM($P795:AP795)</f>
        <v>#VALUE!</v>
      </c>
      <c r="AR795" s="446" t="e">
        <f>IF(OR($B795="",MIN(AR$38,$D$19)&lt;MAX($P$708*($B795+IF($R$17="Distrato",$I$38-1,0)),IF(AND($L$711=0,$P$708=0),"",$L$711-1),IF($R$17="Distrato",$E795,0))),0,YEARFRAC(MAX($P$708*($B795+IF($R$17="Distrato",$I$38-1,0)),IF(AND($L$711=0,$P$708=0),"",$L$711-1),IF($R$17="Distrato",$E795,0)),MIN(AR$38,$D$19),$P$20))-SUM($P795:AQ795)</f>
        <v>#VALUE!</v>
      </c>
      <c r="AS795" s="446" t="e">
        <f>IF(OR($B795="",MIN(AS$38,$D$19)&lt;MAX($P$708*($B795+IF($R$17="Distrato",$I$38-1,0)),IF(AND($L$711=0,$P$708=0),"",$L$711-1),IF($R$17="Distrato",$E795,0))),0,YEARFRAC(MAX($P$708*($B795+IF($R$17="Distrato",$I$38-1,0)),IF(AND($L$711=0,$P$708=0),"",$L$711-1),IF($R$17="Distrato",$E795,0)),MIN(AS$38,$D$19),$P$20))-SUM($P795:AR795)</f>
        <v>#VALUE!</v>
      </c>
      <c r="AT795" s="446" t="e">
        <f>IF(OR($B795="",MIN(AT$38,$D$19)&lt;MAX($P$708*($B795+IF($R$17="Distrato",$I$38-1,0)),IF(AND($L$711=0,$P$708=0),"",$L$711-1),IF($R$17="Distrato",$E795,0))),0,YEARFRAC(MAX($P$708*($B795+IF($R$17="Distrato",$I$38-1,0)),IF(AND($L$711=0,$P$708=0),"",$L$711-1),IF($R$17="Distrato",$E795,0)),MIN(AT$38,$D$19),$P$20))-SUM($P795:AS795)</f>
        <v>#VALUE!</v>
      </c>
      <c r="AU795" s="446" t="e">
        <f>IF(OR($B795="",MIN(AU$38,$D$19)&lt;MAX($P$708*($B795+IF($R$17="Distrato",$I$38-1,0)),IF(AND($L$711=0,$P$708=0),"",$L$711-1),IF($R$17="Distrato",$E795,0))),0,YEARFRAC(MAX($P$708*($B795+IF($R$17="Distrato",$I$38-1,0)),IF(AND($L$711=0,$P$708=0),"",$L$711-1),IF($R$17="Distrato",$E795,0)),MIN(AU$38,$D$19),$P$20))-SUM($P795:AT795)</f>
        <v>#VALUE!</v>
      </c>
      <c r="AV795" s="446" t="e">
        <f>IF(OR($B795="",MIN(AV$38,$D$19)&lt;MAX($P$708*($B795+IF($R$17="Distrato",$I$38-1,0)),IF(AND($L$711=0,$P$708=0),"",$L$711-1),IF($R$17="Distrato",$E795,0))),0,YEARFRAC(MAX($P$708*($B795+IF($R$17="Distrato",$I$38-1,0)),IF(AND($L$711=0,$P$708=0),"",$L$711-1),IF($R$17="Distrato",$E795,0)),MIN(AV$38,$D$19),$P$20))-SUM($P795:AU795)</f>
        <v>#VALUE!</v>
      </c>
      <c r="AW795" s="446" t="e">
        <f>IF(OR($B795="",MIN(AW$38,$D$19)&lt;MAX($P$708*($B795+IF($R$17="Distrato",$I$38-1,0)),IF(AND($L$711=0,$P$708=0),"",$L$711-1),IF($R$17="Distrato",$E795,0))),0,YEARFRAC(MAX($P$708*($B795+IF($R$17="Distrato",$I$38-1,0)),IF(AND($L$711=0,$P$708=0),"",$L$711-1),IF($R$17="Distrato",$E795,0)),MIN(AW$38,$D$19),$P$20))-SUM($P795:AV795)</f>
        <v>#VALUE!</v>
      </c>
      <c r="AX795" s="446" t="e">
        <f>IF(OR($B795="",MIN(AX$38,$D$19)&lt;MAX($P$708*($B795+IF($R$17="Distrato",$I$38-1,0)),IF(AND($L$711=0,$P$708=0),"",$L$711-1),IF($R$17="Distrato",$E795,0))),0,YEARFRAC(MAX($P$708*($B795+IF($R$17="Distrato",$I$38-1,0)),IF(AND($L$711=0,$P$708=0),"",$L$711-1),IF($R$17="Distrato",$E795,0)),MIN(AX$38,$D$19),$P$20))-SUM($P795:AW795)</f>
        <v>#VALUE!</v>
      </c>
      <c r="AY795" s="446" t="e">
        <f>IF(OR($B795="",MIN(AY$38,$D$19)&lt;MAX($P$708*($B795+IF($R$17="Distrato",$I$38-1,0)),IF(AND($L$711=0,$P$708=0),"",$L$711-1),IF($R$17="Distrato",$E795,0))),0,YEARFRAC(MAX($P$708*($B795+IF($R$17="Distrato",$I$38-1,0)),IF(AND($L$711=0,$P$708=0),"",$L$711-1),IF($R$17="Distrato",$E795,0)),MIN(AY$38,$D$19),$P$20))-SUM($P795:AX795)</f>
        <v>#VALUE!</v>
      </c>
      <c r="AZ795" s="446" t="e">
        <f>IF(OR($B795="",MIN(AZ$38,$D$19)&lt;MAX($P$708*($B795+IF($R$17="Distrato",$I$38-1,0)),IF(AND($L$711=0,$P$708=0),"",$L$711-1),IF($R$17="Distrato",$E795,0))),0,YEARFRAC(MAX($P$708*($B795+IF($R$17="Distrato",$I$38-1,0)),IF(AND($L$711=0,$P$708=0),"",$L$711-1),IF($R$17="Distrato",$E795,0)),MIN(AZ$38,$D$19),$P$20))-SUM($P795:AY795)</f>
        <v>#VALUE!</v>
      </c>
      <c r="BA795" s="446" t="e">
        <f>IF(OR($B795="",MIN(BA$38,$D$19)&lt;MAX($P$708*($B795+IF($R$17="Distrato",$I$38-1,0)),IF(AND($L$711=0,$P$708=0),"",$L$711-1),IF($R$17="Distrato",$E795,0))),0,YEARFRAC(MAX($P$708*($B795+IF($R$17="Distrato",$I$38-1,0)),IF(AND($L$711=0,$P$708=0),"",$L$711-1),IF($R$17="Distrato",$E795,0)),MIN(BA$38,$D$19),$P$20))-SUM($P795:AZ795)</f>
        <v>#VALUE!</v>
      </c>
      <c r="BB795" s="447"/>
    </row>
    <row r="796" spans="1:54" s="446" customFormat="1" ht="11.25" hidden="1" customHeight="1" x14ac:dyDescent="0.2">
      <c r="A796" s="235"/>
      <c r="B796" s="236"/>
      <c r="C796" s="29" t="str">
        <f>IF(B796="","",IF($L$709=$BL$25,VLOOKUP(DATE(YEAR($D$19),MONTH($D$19)-1,1),ÍNDICES!$A:$DE,HLOOKUP($BL$25,ÍNDICES!$B$3:$T$4,2)+11)-VLOOKUP(B796,ÍNDICES!$A:$DE,HLOOKUP($BL$25,ÍNDICES!$B$3:$T$4,2)+11)+1%,IF(C$712=$W$26,$J$35,IF(ISERROR(IF(B796&gt;$D$19,1,VLOOKUP(DATE(YEAR(B796),MONTH(B796)+IF($C$709=$S$23,1,0),1),ÍNDICES!$A:$DE,$Z$709+1))),"",IF(B796&gt;$D$19,1,VLOOKUP(DATE(YEAR(B796),MONTH(B796)+IF($C$709=$S$23,1,0),1),ÍNDICES!$A:$DE,$Z$709+1))))))</f>
        <v/>
      </c>
      <c r="D796" s="155"/>
      <c r="E796" s="88"/>
      <c r="F796" s="88"/>
      <c r="G796" s="88"/>
      <c r="H796" s="118"/>
      <c r="I796" s="182">
        <f t="shared" si="122"/>
        <v>0</v>
      </c>
      <c r="J796" s="20">
        <f t="shared" ca="1" si="123"/>
        <v>0</v>
      </c>
      <c r="K796" s="5">
        <f t="shared" ca="1" si="124"/>
        <v>0</v>
      </c>
      <c r="L796" s="61">
        <f t="shared" ca="1" si="125"/>
        <v>0</v>
      </c>
      <c r="M796" s="64">
        <f t="shared" si="126"/>
        <v>0</v>
      </c>
      <c r="N796" s="151"/>
      <c r="O796" s="5">
        <f t="shared" ca="1" si="127"/>
        <v>0</v>
      </c>
      <c r="P796" s="446" t="e">
        <f t="shared" si="128"/>
        <v>#VALUE!</v>
      </c>
      <c r="Q796" s="446" t="e">
        <f>IF(OR($B796="",MIN(Q$38,$D$19)&lt;MAX($P$708*($B796+IF($R$17="Distrato",$I$38-1,0)),IF(AND($L$711=0,$P$708=0),"",$L$711-1),IF($R$17="Distrato",$E796,0))),0,YEARFRAC(MAX($P$708*($B796+IF($R$17="Distrato",$I$38-1,0)),IF(AND($L$711=0,$P$708=0),"",$L$711-1),IF($R$17="Distrato",$E796,0)),MIN(Q$38,$D$19),$P$20))-SUM($P796:P796)</f>
        <v>#VALUE!</v>
      </c>
      <c r="R796" s="446" t="e">
        <f>IF(OR($B796="",MIN(R$38,$D$19)&lt;MAX($P$708*($B796+IF($R$17="Distrato",$I$38-1,0)),IF(AND($L$711=0,$P$708=0),"",$L$711-1),IF($R$17="Distrato",$E796,0))),0,YEARFRAC(MAX($P$708*($B796+IF($R$17="Distrato",$I$38-1,0)),IF(AND($L$711=0,$P$708=0),"",$L$711-1),IF($R$17="Distrato",$E796,0)),MIN(R$38,$D$19),$P$20))-SUM($P796:Q796)</f>
        <v>#VALUE!</v>
      </c>
      <c r="S796" s="446" t="e">
        <f>IF(OR($B796="",MIN(S$38,$D$19)&lt;MAX($P$708*($B796+IF($R$17="Distrato",$I$38-1,0)),IF(AND($L$711=0,$P$708=0),"",$L$711-1),IF($R$17="Distrato",$E796,0))),0,YEARFRAC(MAX($P$708*($B796+IF($R$17="Distrato",$I$38-1,0)),IF(AND($L$711=0,$P$708=0),"",$L$711-1),IF($R$17="Distrato",$E796,0)),MIN(S$38,$D$19),$P$20))-SUM($P796:R796)</f>
        <v>#VALUE!</v>
      </c>
      <c r="T796" s="446" t="e">
        <f>IF(OR($B796="",MIN(T$38,$D$19)&lt;MAX($P$708*($B796+IF($R$17="Distrato",$I$38-1,0)),IF(AND($L$711=0,$P$708=0),"",$L$711-1),IF($R$17="Distrato",$E796,0))),0,YEARFRAC(MAX($P$708*($B796+IF($R$17="Distrato",$I$38-1,0)),IF(AND($L$711=0,$P$708=0),"",$L$711-1),IF($R$17="Distrato",$E796,0)),MIN(T$38,$D$19),$P$20))-SUM($P796:S796)</f>
        <v>#VALUE!</v>
      </c>
      <c r="U796" s="446" t="e">
        <f>IF(OR($B796="",MIN(U$38,$D$19)&lt;MAX($P$708*($B796+IF($R$17="Distrato",$I$38-1,0)),IF(AND($L$711=0,$P$708=0),"",$L$711-1),IF($R$17="Distrato",$E796,0))),0,YEARFRAC(MAX($P$708*($B796+IF($R$17="Distrato",$I$38-1,0)),IF(AND($L$711=0,$P$708=0),"",$L$711-1),IF($R$17="Distrato",$E796,0)),MIN(U$38,$D$19),$P$20))-SUM($P796:T796)</f>
        <v>#VALUE!</v>
      </c>
      <c r="V796" s="446" t="e">
        <f>IF(OR($B796="",MIN(V$38,$D$19)&lt;MAX($P$708*($B796+IF($R$17="Distrato",$I$38-1,0)),IF(AND($L$711=0,$P$708=0),"",$L$711-1),IF($R$17="Distrato",$E796,0))),0,YEARFRAC(MAX($P$708*($B796+IF($R$17="Distrato",$I$38-1,0)),IF(AND($L$711=0,$P$708=0),"",$L$711-1),IF($R$17="Distrato",$E796,0)),MIN(V$38,$D$19),$P$20))-SUM($P796:U796)</f>
        <v>#VALUE!</v>
      </c>
      <c r="W796" s="446" t="e">
        <f>IF(OR($B796="",MIN(W$38,$D$19)&lt;MAX($P$708*($B796+IF($R$17="Distrato",$I$38-1,0)),IF(AND($L$711=0,$P$708=0),"",$L$711-1),IF($R$17="Distrato",$E796,0))),0,YEARFRAC(MAX($P$708*($B796+IF($R$17="Distrato",$I$38-1,0)),IF(AND($L$711=0,$P$708=0),"",$L$711-1),IF($R$17="Distrato",$E796,0)),MIN(W$38,$D$19),$P$20))-SUM($P796:V796)</f>
        <v>#VALUE!</v>
      </c>
      <c r="X796" s="446" t="e">
        <f>IF(OR($B796="",MIN(X$38,$D$19)&lt;MAX($P$708*($B796+IF($R$17="Distrato",$I$38-1,0)),IF(AND($L$711=0,$P$708=0),"",$L$711-1),IF($R$17="Distrato",$E796,0))),0,YEARFRAC(MAX($P$708*($B796+IF($R$17="Distrato",$I$38-1,0)),IF(AND($L$711=0,$P$708=0),"",$L$711-1),IF($R$17="Distrato",$E796,0)),MIN(X$38,$D$19),$P$20))-SUM($P796:W796)</f>
        <v>#VALUE!</v>
      </c>
      <c r="Y796" s="446" t="e">
        <f>IF(OR($B796="",MIN(Y$38,$D$19)&lt;MAX($P$708*($B796+IF($R$17="Distrato",$I$38-1,0)),IF(AND($L$711=0,$P$708=0),"",$L$711-1),IF($R$17="Distrato",$E796,0))),0,YEARFRAC(MAX($P$708*($B796+IF($R$17="Distrato",$I$38-1,0)),IF(AND($L$711=0,$P$708=0),"",$L$711-1),IF($R$17="Distrato",$E796,0)),MIN(Y$38,$D$19),$P$20))-SUM($P796:X796)</f>
        <v>#VALUE!</v>
      </c>
      <c r="Z796" s="446" t="e">
        <f>IF(OR($B796="",MIN(Z$38,$D$19)&lt;MAX($P$708*($B796+IF($R$17="Distrato",$I$38-1,0)),IF(AND($L$711=0,$P$708=0),"",$L$711-1),IF($R$17="Distrato",$E796,0))),0,YEARFRAC(MAX($P$708*($B796+IF($R$17="Distrato",$I$38-1,0)),IF(AND($L$711=0,$P$708=0),"",$L$711-1),IF($R$17="Distrato",$E796,0)),MIN(Z$38,$D$19),$P$20))-SUM($P796:Y796)</f>
        <v>#VALUE!</v>
      </c>
      <c r="AA796" s="446" t="e">
        <f>IF(OR($B796="",MIN(AA$38,$D$19)&lt;MAX($P$708*($B796+IF($R$17="Distrato",$I$38-1,0)),IF(AND($L$711=0,$P$708=0),"",$L$711-1),IF($R$17="Distrato",$E796,0))),0,YEARFRAC(MAX($P$708*($B796+IF($R$17="Distrato",$I$38-1,0)),IF(AND($L$711=0,$P$708=0),"",$L$711-1),IF($R$17="Distrato",$E796,0)),MIN(AA$38,$D$19),$P$20))-SUM($P796:Z796)</f>
        <v>#VALUE!</v>
      </c>
      <c r="AB796" s="446" t="e">
        <f>IF(OR($B796="",MIN(AB$38,$D$19)&lt;MAX($P$708*($B796+IF($R$17="Distrato",$I$38-1,0)),IF(AND($L$711=0,$P$708=0),"",$L$711-1),IF($R$17="Distrato",$E796,0))),0,YEARFRAC(MAX($P$708*($B796+IF($R$17="Distrato",$I$38-1,0)),IF(AND($L$711=0,$P$708=0),"",$L$711-1),IF($R$17="Distrato",$E796,0)),MIN(AB$38,$D$19),$P$20))-SUM($P796:AA796)</f>
        <v>#VALUE!</v>
      </c>
      <c r="AC796" s="446" t="e">
        <f>IF(OR($B796="",MIN(AC$38,$D$19)&lt;MAX($P$708*($B796+IF($R$17="Distrato",$I$38-1,0)),IF(AND($L$711=0,$P$708=0),"",$L$711-1),IF($R$17="Distrato",$E796,0))),0,YEARFRAC(MAX($P$708*($B796+IF($R$17="Distrato",$I$38-1,0)),IF(AND($L$711=0,$P$708=0),"",$L$711-1),IF($R$17="Distrato",$E796,0)),MIN(AC$38,$D$19),$P$20))-SUM($P796:AB796)</f>
        <v>#VALUE!</v>
      </c>
      <c r="AD796" s="446" t="e">
        <f>IF(OR($B796="",MIN(AD$38,$D$19)&lt;MAX($P$708*($B796+IF($R$17="Distrato",$I$38-1,0)),IF(AND($L$711=0,$P$708=0),"",$L$711-1),IF($R$17="Distrato",$E796,0))),0,YEARFRAC(MAX($P$708*($B796+IF($R$17="Distrato",$I$38-1,0)),IF(AND($L$711=0,$P$708=0),"",$L$711-1),IF($R$17="Distrato",$E796,0)),MIN(AD$38,$D$19),$P$20))-SUM($P796:AC796)</f>
        <v>#VALUE!</v>
      </c>
      <c r="AE796" s="446" t="e">
        <f>IF(OR($B796="",MIN(AE$38,$D$19)&lt;MAX($P$708*($B796+IF($R$17="Distrato",$I$38-1,0)),IF(AND($L$711=0,$P$708=0),"",$L$711-1),IF($R$17="Distrato",$E796,0))),0,YEARFRAC(MAX($P$708*($B796+IF($R$17="Distrato",$I$38-1,0)),IF(AND($L$711=0,$P$708=0),"",$L$711-1),IF($R$17="Distrato",$E796,0)),MIN(AE$38,$D$19),$P$20))-SUM($P796:AD796)</f>
        <v>#VALUE!</v>
      </c>
      <c r="AF796" s="446" t="e">
        <f>IF(OR($B796="",MIN(AF$38,$D$19)&lt;MAX($P$708*($B796+IF($R$17="Distrato",$I$38-1,0)),IF(AND($L$711=0,$P$708=0),"",$L$711-1),IF($R$17="Distrato",$E796,0))),0,YEARFRAC(MAX($P$708*($B796+IF($R$17="Distrato",$I$38-1,0)),IF(AND($L$711=0,$P$708=0),"",$L$711-1),IF($R$17="Distrato",$E796,0)),MIN(AF$38,$D$19),$P$20))-SUM($P796:AE796)</f>
        <v>#VALUE!</v>
      </c>
      <c r="AG796" s="446" t="e">
        <f>IF(OR($B796="",MIN(AG$38,$D$19)&lt;MAX($P$708*($B796+IF($R$17="Distrato",$I$38-1,0)),IF(AND($L$711=0,$P$708=0),"",$L$711-1),IF($R$17="Distrato",$E796,0))),0,YEARFRAC(MAX($P$708*($B796+IF($R$17="Distrato",$I$38-1,0)),IF(AND($L$711=0,$P$708=0),"",$L$711-1),IF($R$17="Distrato",$E796,0)),MIN(AG$38,$D$19),$P$20))-SUM($P796:AF796)</f>
        <v>#VALUE!</v>
      </c>
      <c r="AH796" s="446" t="e">
        <f>IF(OR($B796="",MIN(AH$38,$D$19)&lt;MAX($P$708*($B796+IF($R$17="Distrato",$I$38-1,0)),IF(AND($L$711=0,$P$708=0),"",$L$711-1),IF($R$17="Distrato",$E796,0))),0,YEARFRAC(MAX($P$708*($B796+IF($R$17="Distrato",$I$38-1,0)),IF(AND($L$711=0,$P$708=0),"",$L$711-1),IF($R$17="Distrato",$E796,0)),MIN(AH$38,$D$19),$P$20))-SUM($P796:AG796)</f>
        <v>#VALUE!</v>
      </c>
      <c r="AI796" s="446" t="e">
        <f>IF(OR($B796="",MIN(AI$38,$D$19)&lt;MAX($P$708*($B796+IF($R$17="Distrato",$I$38-1,0)),IF(AND($L$711=0,$P$708=0),"",$L$711-1),IF($R$17="Distrato",$E796,0))),0,YEARFRAC(MAX($P$708*($B796+IF($R$17="Distrato",$I$38-1,0)),IF(AND($L$711=0,$P$708=0),"",$L$711-1),IF($R$17="Distrato",$E796,0)),MIN(AI$38,$D$19),$P$20))-SUM($P796:AH796)</f>
        <v>#VALUE!</v>
      </c>
      <c r="AJ796" s="446" t="e">
        <f>IF(OR($B796="",MIN(AJ$38,$D$19)&lt;MAX($P$708*($B796+IF($R$17="Distrato",$I$38-1,0)),IF(AND($L$711=0,$P$708=0),"",$L$711-1),IF($R$17="Distrato",$E796,0))),0,YEARFRAC(MAX($P$708*($B796+IF($R$17="Distrato",$I$38-1,0)),IF(AND($L$711=0,$P$708=0),"",$L$711-1),IF($R$17="Distrato",$E796,0)),MIN(AJ$38,$D$19),$P$20))-SUM($P796:AI796)</f>
        <v>#VALUE!</v>
      </c>
      <c r="AK796" s="446" t="e">
        <f>IF(OR($B796="",MIN(AK$38,$D$19)&lt;MAX($P$708*($B796+IF($R$17="Distrato",$I$38-1,0)),IF(AND($L$711=0,$P$708=0),"",$L$711-1),IF($R$17="Distrato",$E796,0))),0,YEARFRAC(MAX($P$708*($B796+IF($R$17="Distrato",$I$38-1,0)),IF(AND($L$711=0,$P$708=0),"",$L$711-1),IF($R$17="Distrato",$E796,0)),MIN(AK$38,$D$19),$P$20))-SUM($P796:AJ796)</f>
        <v>#VALUE!</v>
      </c>
      <c r="AL796" s="446" t="e">
        <f>IF(OR($B796="",MIN(AL$38,$D$19)&lt;MAX($P$708*($B796+IF($R$17="Distrato",$I$38-1,0)),IF(AND($L$711=0,$P$708=0),"",$L$711-1),IF($R$17="Distrato",$E796,0))),0,YEARFRAC(MAX($P$708*($B796+IF($R$17="Distrato",$I$38-1,0)),IF(AND($L$711=0,$P$708=0),"",$L$711-1),IF($R$17="Distrato",$E796,0)),MIN(AL$38,$D$19),$P$20))-SUM($P796:AK796)</f>
        <v>#VALUE!</v>
      </c>
      <c r="AM796" s="446" t="e">
        <f>IF(OR($B796="",MIN(AM$38,$D$19)&lt;MAX($P$708*($B796+IF($R$17="Distrato",$I$38-1,0)),IF(AND($L$711=0,$P$708=0),"",$L$711-1),IF($R$17="Distrato",$E796,0))),0,YEARFRAC(MAX($P$708*($B796+IF($R$17="Distrato",$I$38-1,0)),IF(AND($L$711=0,$P$708=0),"",$L$711-1),IF($R$17="Distrato",$E796,0)),MIN(AM$38,$D$19),$P$20))-SUM($P796:AL796)</f>
        <v>#VALUE!</v>
      </c>
      <c r="AN796" s="446" t="e">
        <f>IF(OR($B796="",MIN(AN$38,$D$19)&lt;MAX($P$708*($B796+IF($R$17="Distrato",$I$38-1,0)),IF(AND($L$711=0,$P$708=0),"",$L$711-1),IF($R$17="Distrato",$E796,0))),0,YEARFRAC(MAX($P$708*($B796+IF($R$17="Distrato",$I$38-1,0)),IF(AND($L$711=0,$P$708=0),"",$L$711-1),IF($R$17="Distrato",$E796,0)),MIN(AN$38,$D$19),$P$20))-SUM($P796:AM796)</f>
        <v>#VALUE!</v>
      </c>
      <c r="AO796" s="446" t="e">
        <f>IF(OR($B796="",MIN(AO$38,$D$19)&lt;MAX($P$708*($B796+IF($R$17="Distrato",$I$38-1,0)),IF(AND($L$711=0,$P$708=0),"",$L$711-1),IF($R$17="Distrato",$E796,0))),0,YEARFRAC(MAX($P$708*($B796+IF($R$17="Distrato",$I$38-1,0)),IF(AND($L$711=0,$P$708=0),"",$L$711-1),IF($R$17="Distrato",$E796,0)),MIN(AO$38,$D$19),$P$20))-SUM($P796:AN796)</f>
        <v>#VALUE!</v>
      </c>
      <c r="AP796" s="446" t="e">
        <f>IF(OR($B796="",MIN(AP$38,$D$19)&lt;MAX($P$708*($B796+IF($R$17="Distrato",$I$38-1,0)),IF(AND($L$711=0,$P$708=0),"",$L$711-1),IF($R$17="Distrato",$E796,0))),0,YEARFRAC(MAX($P$708*($B796+IF($R$17="Distrato",$I$38-1,0)),IF(AND($L$711=0,$P$708=0),"",$L$711-1),IF($R$17="Distrato",$E796,0)),MIN(AP$38,$D$19),$P$20))-SUM($P796:AO796)</f>
        <v>#VALUE!</v>
      </c>
      <c r="AQ796" s="446" t="e">
        <f>IF(OR($B796="",MIN(AQ$38,$D$19)&lt;MAX($P$708*($B796+IF($R$17="Distrato",$I$38-1,0)),IF(AND($L$711=0,$P$708=0),"",$L$711-1),IF($R$17="Distrato",$E796,0))),0,YEARFRAC(MAX($P$708*($B796+IF($R$17="Distrato",$I$38-1,0)),IF(AND($L$711=0,$P$708=0),"",$L$711-1),IF($R$17="Distrato",$E796,0)),MIN(AQ$38,$D$19),$P$20))-SUM($P796:AP796)</f>
        <v>#VALUE!</v>
      </c>
      <c r="AR796" s="446" t="e">
        <f>IF(OR($B796="",MIN(AR$38,$D$19)&lt;MAX($P$708*($B796+IF($R$17="Distrato",$I$38-1,0)),IF(AND($L$711=0,$P$708=0),"",$L$711-1),IF($R$17="Distrato",$E796,0))),0,YEARFRAC(MAX($P$708*($B796+IF($R$17="Distrato",$I$38-1,0)),IF(AND($L$711=0,$P$708=0),"",$L$711-1),IF($R$17="Distrato",$E796,0)),MIN(AR$38,$D$19),$P$20))-SUM($P796:AQ796)</f>
        <v>#VALUE!</v>
      </c>
      <c r="AS796" s="446" t="e">
        <f>IF(OR($B796="",MIN(AS$38,$D$19)&lt;MAX($P$708*($B796+IF($R$17="Distrato",$I$38-1,0)),IF(AND($L$711=0,$P$708=0),"",$L$711-1),IF($R$17="Distrato",$E796,0))),0,YEARFRAC(MAX($P$708*($B796+IF($R$17="Distrato",$I$38-1,0)),IF(AND($L$711=0,$P$708=0),"",$L$711-1),IF($R$17="Distrato",$E796,0)),MIN(AS$38,$D$19),$P$20))-SUM($P796:AR796)</f>
        <v>#VALUE!</v>
      </c>
      <c r="AT796" s="446" t="e">
        <f>IF(OR($B796="",MIN(AT$38,$D$19)&lt;MAX($P$708*($B796+IF($R$17="Distrato",$I$38-1,0)),IF(AND($L$711=0,$P$708=0),"",$L$711-1),IF($R$17="Distrato",$E796,0))),0,YEARFRAC(MAX($P$708*($B796+IF($R$17="Distrato",$I$38-1,0)),IF(AND($L$711=0,$P$708=0),"",$L$711-1),IF($R$17="Distrato",$E796,0)),MIN(AT$38,$D$19),$P$20))-SUM($P796:AS796)</f>
        <v>#VALUE!</v>
      </c>
      <c r="AU796" s="446" t="e">
        <f>IF(OR($B796="",MIN(AU$38,$D$19)&lt;MAX($P$708*($B796+IF($R$17="Distrato",$I$38-1,0)),IF(AND($L$711=0,$P$708=0),"",$L$711-1),IF($R$17="Distrato",$E796,0))),0,YEARFRAC(MAX($P$708*($B796+IF($R$17="Distrato",$I$38-1,0)),IF(AND($L$711=0,$P$708=0),"",$L$711-1),IF($R$17="Distrato",$E796,0)),MIN(AU$38,$D$19),$P$20))-SUM($P796:AT796)</f>
        <v>#VALUE!</v>
      </c>
      <c r="AV796" s="446" t="e">
        <f>IF(OR($B796="",MIN(AV$38,$D$19)&lt;MAX($P$708*($B796+IF($R$17="Distrato",$I$38-1,0)),IF(AND($L$711=0,$P$708=0),"",$L$711-1),IF($R$17="Distrato",$E796,0))),0,YEARFRAC(MAX($P$708*($B796+IF($R$17="Distrato",$I$38-1,0)),IF(AND($L$711=0,$P$708=0),"",$L$711-1),IF($R$17="Distrato",$E796,0)),MIN(AV$38,$D$19),$P$20))-SUM($P796:AU796)</f>
        <v>#VALUE!</v>
      </c>
      <c r="AW796" s="446" t="e">
        <f>IF(OR($B796="",MIN(AW$38,$D$19)&lt;MAX($P$708*($B796+IF($R$17="Distrato",$I$38-1,0)),IF(AND($L$711=0,$P$708=0),"",$L$711-1),IF($R$17="Distrato",$E796,0))),0,YEARFRAC(MAX($P$708*($B796+IF($R$17="Distrato",$I$38-1,0)),IF(AND($L$711=0,$P$708=0),"",$L$711-1),IF($R$17="Distrato",$E796,0)),MIN(AW$38,$D$19),$P$20))-SUM($P796:AV796)</f>
        <v>#VALUE!</v>
      </c>
      <c r="AX796" s="446" t="e">
        <f>IF(OR($B796="",MIN(AX$38,$D$19)&lt;MAX($P$708*($B796+IF($R$17="Distrato",$I$38-1,0)),IF(AND($L$711=0,$P$708=0),"",$L$711-1),IF($R$17="Distrato",$E796,0))),0,YEARFRAC(MAX($P$708*($B796+IF($R$17="Distrato",$I$38-1,0)),IF(AND($L$711=0,$P$708=0),"",$L$711-1),IF($R$17="Distrato",$E796,0)),MIN(AX$38,$D$19),$P$20))-SUM($P796:AW796)</f>
        <v>#VALUE!</v>
      </c>
      <c r="AY796" s="446" t="e">
        <f>IF(OR($B796="",MIN(AY$38,$D$19)&lt;MAX($P$708*($B796+IF($R$17="Distrato",$I$38-1,0)),IF(AND($L$711=0,$P$708=0),"",$L$711-1),IF($R$17="Distrato",$E796,0))),0,YEARFRAC(MAX($P$708*($B796+IF($R$17="Distrato",$I$38-1,0)),IF(AND($L$711=0,$P$708=0),"",$L$711-1),IF($R$17="Distrato",$E796,0)),MIN(AY$38,$D$19),$P$20))-SUM($P796:AX796)</f>
        <v>#VALUE!</v>
      </c>
      <c r="AZ796" s="446" t="e">
        <f>IF(OR($B796="",MIN(AZ$38,$D$19)&lt;MAX($P$708*($B796+IF($R$17="Distrato",$I$38-1,0)),IF(AND($L$711=0,$P$708=0),"",$L$711-1),IF($R$17="Distrato",$E796,0))),0,YEARFRAC(MAX($P$708*($B796+IF($R$17="Distrato",$I$38-1,0)),IF(AND($L$711=0,$P$708=0),"",$L$711-1),IF($R$17="Distrato",$E796,0)),MIN(AZ$38,$D$19),$P$20))-SUM($P796:AY796)</f>
        <v>#VALUE!</v>
      </c>
      <c r="BA796" s="446" t="e">
        <f>IF(OR($B796="",MIN(BA$38,$D$19)&lt;MAX($P$708*($B796+IF($R$17="Distrato",$I$38-1,0)),IF(AND($L$711=0,$P$708=0),"",$L$711-1),IF($R$17="Distrato",$E796,0))),0,YEARFRAC(MAX($P$708*($B796+IF($R$17="Distrato",$I$38-1,0)),IF(AND($L$711=0,$P$708=0),"",$L$711-1),IF($R$17="Distrato",$E796,0)),MIN(BA$38,$D$19),$P$20))-SUM($P796:AZ796)</f>
        <v>#VALUE!</v>
      </c>
      <c r="BB796" s="447"/>
    </row>
    <row r="797" spans="1:54" s="446" customFormat="1" ht="11.25" hidden="1" customHeight="1" x14ac:dyDescent="0.2">
      <c r="A797" s="235"/>
      <c r="B797" s="236"/>
      <c r="C797" s="29" t="str">
        <f>IF(B797="","",IF($L$709=$BL$25,VLOOKUP(DATE(YEAR($D$19),MONTH($D$19)-1,1),ÍNDICES!$A:$DE,HLOOKUP($BL$25,ÍNDICES!$B$3:$T$4,2)+11)-VLOOKUP(B797,ÍNDICES!$A:$DE,HLOOKUP($BL$25,ÍNDICES!$B$3:$T$4,2)+11)+1%,IF(C$712=$W$26,$J$35,IF(ISERROR(IF(B797&gt;$D$19,1,VLOOKUP(DATE(YEAR(B797),MONTH(B797)+IF($C$709=$S$23,1,0),1),ÍNDICES!$A:$DE,$Z$709+1))),"",IF(B797&gt;$D$19,1,VLOOKUP(DATE(YEAR(B797),MONTH(B797)+IF($C$709=$S$23,1,0),1),ÍNDICES!$A:$DE,$Z$709+1))))))</f>
        <v/>
      </c>
      <c r="D797" s="155"/>
      <c r="E797" s="88"/>
      <c r="F797" s="88"/>
      <c r="G797" s="88"/>
      <c r="H797" s="118"/>
      <c r="I797" s="182">
        <f t="shared" si="122"/>
        <v>0</v>
      </c>
      <c r="J797" s="20">
        <f t="shared" ca="1" si="123"/>
        <v>0</v>
      </c>
      <c r="K797" s="5">
        <f t="shared" ca="1" si="124"/>
        <v>0</v>
      </c>
      <c r="L797" s="61">
        <f t="shared" ca="1" si="125"/>
        <v>0</v>
      </c>
      <c r="M797" s="64">
        <f t="shared" si="126"/>
        <v>0</v>
      </c>
      <c r="N797" s="151"/>
      <c r="O797" s="5">
        <f t="shared" ca="1" si="127"/>
        <v>0</v>
      </c>
      <c r="P797" s="446" t="e">
        <f t="shared" si="128"/>
        <v>#VALUE!</v>
      </c>
      <c r="Q797" s="446" t="e">
        <f>IF(OR($B797="",MIN(Q$38,$D$19)&lt;MAX($P$708*($B797+IF($R$17="Distrato",$I$38-1,0)),IF(AND($L$711=0,$P$708=0),"",$L$711-1),IF($R$17="Distrato",$E797,0))),0,YEARFRAC(MAX($P$708*($B797+IF($R$17="Distrato",$I$38-1,0)),IF(AND($L$711=0,$P$708=0),"",$L$711-1),IF($R$17="Distrato",$E797,0)),MIN(Q$38,$D$19),$P$20))-SUM($P797:P797)</f>
        <v>#VALUE!</v>
      </c>
      <c r="R797" s="446" t="e">
        <f>IF(OR($B797="",MIN(R$38,$D$19)&lt;MAX($P$708*($B797+IF($R$17="Distrato",$I$38-1,0)),IF(AND($L$711=0,$P$708=0),"",$L$711-1),IF($R$17="Distrato",$E797,0))),0,YEARFRAC(MAX($P$708*($B797+IF($R$17="Distrato",$I$38-1,0)),IF(AND($L$711=0,$P$708=0),"",$L$711-1),IF($R$17="Distrato",$E797,0)),MIN(R$38,$D$19),$P$20))-SUM($P797:Q797)</f>
        <v>#VALUE!</v>
      </c>
      <c r="S797" s="446" t="e">
        <f>IF(OR($B797="",MIN(S$38,$D$19)&lt;MAX($P$708*($B797+IF($R$17="Distrato",$I$38-1,0)),IF(AND($L$711=0,$P$708=0),"",$L$711-1),IF($R$17="Distrato",$E797,0))),0,YEARFRAC(MAX($P$708*($B797+IF($R$17="Distrato",$I$38-1,0)),IF(AND($L$711=0,$P$708=0),"",$L$711-1),IF($R$17="Distrato",$E797,0)),MIN(S$38,$D$19),$P$20))-SUM($P797:R797)</f>
        <v>#VALUE!</v>
      </c>
      <c r="T797" s="446" t="e">
        <f>IF(OR($B797="",MIN(T$38,$D$19)&lt;MAX($P$708*($B797+IF($R$17="Distrato",$I$38-1,0)),IF(AND($L$711=0,$P$708=0),"",$L$711-1),IF($R$17="Distrato",$E797,0))),0,YEARFRAC(MAX($P$708*($B797+IF($R$17="Distrato",$I$38-1,0)),IF(AND($L$711=0,$P$708=0),"",$L$711-1),IF($R$17="Distrato",$E797,0)),MIN(T$38,$D$19),$P$20))-SUM($P797:S797)</f>
        <v>#VALUE!</v>
      </c>
      <c r="U797" s="446" t="e">
        <f>IF(OR($B797="",MIN(U$38,$D$19)&lt;MAX($P$708*($B797+IF($R$17="Distrato",$I$38-1,0)),IF(AND($L$711=0,$P$708=0),"",$L$711-1),IF($R$17="Distrato",$E797,0))),0,YEARFRAC(MAX($P$708*($B797+IF($R$17="Distrato",$I$38-1,0)),IF(AND($L$711=0,$P$708=0),"",$L$711-1),IF($R$17="Distrato",$E797,0)),MIN(U$38,$D$19),$P$20))-SUM($P797:T797)</f>
        <v>#VALUE!</v>
      </c>
      <c r="V797" s="446" t="e">
        <f>IF(OR($B797="",MIN(V$38,$D$19)&lt;MAX($P$708*($B797+IF($R$17="Distrato",$I$38-1,0)),IF(AND($L$711=0,$P$708=0),"",$L$711-1),IF($R$17="Distrato",$E797,0))),0,YEARFRAC(MAX($P$708*($B797+IF($R$17="Distrato",$I$38-1,0)),IF(AND($L$711=0,$P$708=0),"",$L$711-1),IF($R$17="Distrato",$E797,0)),MIN(V$38,$D$19),$P$20))-SUM($P797:U797)</f>
        <v>#VALUE!</v>
      </c>
      <c r="W797" s="446" t="e">
        <f>IF(OR($B797="",MIN(W$38,$D$19)&lt;MAX($P$708*($B797+IF($R$17="Distrato",$I$38-1,0)),IF(AND($L$711=0,$P$708=0),"",$L$711-1),IF($R$17="Distrato",$E797,0))),0,YEARFRAC(MAX($P$708*($B797+IF($R$17="Distrato",$I$38-1,0)),IF(AND($L$711=0,$P$708=0),"",$L$711-1),IF($R$17="Distrato",$E797,0)),MIN(W$38,$D$19),$P$20))-SUM($P797:V797)</f>
        <v>#VALUE!</v>
      </c>
      <c r="X797" s="446" t="e">
        <f>IF(OR($B797="",MIN(X$38,$D$19)&lt;MAX($P$708*($B797+IF($R$17="Distrato",$I$38-1,0)),IF(AND($L$711=0,$P$708=0),"",$L$711-1),IF($R$17="Distrato",$E797,0))),0,YEARFRAC(MAX($P$708*($B797+IF($R$17="Distrato",$I$38-1,0)),IF(AND($L$711=0,$P$708=0),"",$L$711-1),IF($R$17="Distrato",$E797,0)),MIN(X$38,$D$19),$P$20))-SUM($P797:W797)</f>
        <v>#VALUE!</v>
      </c>
      <c r="Y797" s="446" t="e">
        <f>IF(OR($B797="",MIN(Y$38,$D$19)&lt;MAX($P$708*($B797+IF($R$17="Distrato",$I$38-1,0)),IF(AND($L$711=0,$P$708=0),"",$L$711-1),IF($R$17="Distrato",$E797,0))),0,YEARFRAC(MAX($P$708*($B797+IF($R$17="Distrato",$I$38-1,0)),IF(AND($L$711=0,$P$708=0),"",$L$711-1),IF($R$17="Distrato",$E797,0)),MIN(Y$38,$D$19),$P$20))-SUM($P797:X797)</f>
        <v>#VALUE!</v>
      </c>
      <c r="Z797" s="446" t="e">
        <f>IF(OR($B797="",MIN(Z$38,$D$19)&lt;MAX($P$708*($B797+IF($R$17="Distrato",$I$38-1,0)),IF(AND($L$711=0,$P$708=0),"",$L$711-1),IF($R$17="Distrato",$E797,0))),0,YEARFRAC(MAX($P$708*($B797+IF($R$17="Distrato",$I$38-1,0)),IF(AND($L$711=0,$P$708=0),"",$L$711-1),IF($R$17="Distrato",$E797,0)),MIN(Z$38,$D$19),$P$20))-SUM($P797:Y797)</f>
        <v>#VALUE!</v>
      </c>
      <c r="AA797" s="446" t="e">
        <f>IF(OR($B797="",MIN(AA$38,$D$19)&lt;MAX($P$708*($B797+IF($R$17="Distrato",$I$38-1,0)),IF(AND($L$711=0,$P$708=0),"",$L$711-1),IF($R$17="Distrato",$E797,0))),0,YEARFRAC(MAX($P$708*($B797+IF($R$17="Distrato",$I$38-1,0)),IF(AND($L$711=0,$P$708=0),"",$L$711-1),IF($R$17="Distrato",$E797,0)),MIN(AA$38,$D$19),$P$20))-SUM($P797:Z797)</f>
        <v>#VALUE!</v>
      </c>
      <c r="AB797" s="446" t="e">
        <f>IF(OR($B797="",MIN(AB$38,$D$19)&lt;MAX($P$708*($B797+IF($R$17="Distrato",$I$38-1,0)),IF(AND($L$711=0,$P$708=0),"",$L$711-1),IF($R$17="Distrato",$E797,0))),0,YEARFRAC(MAX($P$708*($B797+IF($R$17="Distrato",$I$38-1,0)),IF(AND($L$711=0,$P$708=0),"",$L$711-1),IF($R$17="Distrato",$E797,0)),MIN(AB$38,$D$19),$P$20))-SUM($P797:AA797)</f>
        <v>#VALUE!</v>
      </c>
      <c r="AC797" s="446" t="e">
        <f>IF(OR($B797="",MIN(AC$38,$D$19)&lt;MAX($P$708*($B797+IF($R$17="Distrato",$I$38-1,0)),IF(AND($L$711=0,$P$708=0),"",$L$711-1),IF($R$17="Distrato",$E797,0))),0,YEARFRAC(MAX($P$708*($B797+IF($R$17="Distrato",$I$38-1,0)),IF(AND($L$711=0,$P$708=0),"",$L$711-1),IF($R$17="Distrato",$E797,0)),MIN(AC$38,$D$19),$P$20))-SUM($P797:AB797)</f>
        <v>#VALUE!</v>
      </c>
      <c r="AD797" s="446" t="e">
        <f>IF(OR($B797="",MIN(AD$38,$D$19)&lt;MAX($P$708*($B797+IF($R$17="Distrato",$I$38-1,0)),IF(AND($L$711=0,$P$708=0),"",$L$711-1),IF($R$17="Distrato",$E797,0))),0,YEARFRAC(MAX($P$708*($B797+IF($R$17="Distrato",$I$38-1,0)),IF(AND($L$711=0,$P$708=0),"",$L$711-1),IF($R$17="Distrato",$E797,0)),MIN(AD$38,$D$19),$P$20))-SUM($P797:AC797)</f>
        <v>#VALUE!</v>
      </c>
      <c r="AE797" s="446" t="e">
        <f>IF(OR($B797="",MIN(AE$38,$D$19)&lt;MAX($P$708*($B797+IF($R$17="Distrato",$I$38-1,0)),IF(AND($L$711=0,$P$708=0),"",$L$711-1),IF($R$17="Distrato",$E797,0))),0,YEARFRAC(MAX($P$708*($B797+IF($R$17="Distrato",$I$38-1,0)),IF(AND($L$711=0,$P$708=0),"",$L$711-1),IF($R$17="Distrato",$E797,0)),MIN(AE$38,$D$19),$P$20))-SUM($P797:AD797)</f>
        <v>#VALUE!</v>
      </c>
      <c r="AF797" s="446" t="e">
        <f>IF(OR($B797="",MIN(AF$38,$D$19)&lt;MAX($P$708*($B797+IF($R$17="Distrato",$I$38-1,0)),IF(AND($L$711=0,$P$708=0),"",$L$711-1),IF($R$17="Distrato",$E797,0))),0,YEARFRAC(MAX($P$708*($B797+IF($R$17="Distrato",$I$38-1,0)),IF(AND($L$711=0,$P$708=0),"",$L$711-1),IF($R$17="Distrato",$E797,0)),MIN(AF$38,$D$19),$P$20))-SUM($P797:AE797)</f>
        <v>#VALUE!</v>
      </c>
      <c r="AG797" s="446" t="e">
        <f>IF(OR($B797="",MIN(AG$38,$D$19)&lt;MAX($P$708*($B797+IF($R$17="Distrato",$I$38-1,0)),IF(AND($L$711=0,$P$708=0),"",$L$711-1),IF($R$17="Distrato",$E797,0))),0,YEARFRAC(MAX($P$708*($B797+IF($R$17="Distrato",$I$38-1,0)),IF(AND($L$711=0,$P$708=0),"",$L$711-1),IF($R$17="Distrato",$E797,0)),MIN(AG$38,$D$19),$P$20))-SUM($P797:AF797)</f>
        <v>#VALUE!</v>
      </c>
      <c r="AH797" s="446" t="e">
        <f>IF(OR($B797="",MIN(AH$38,$D$19)&lt;MAX($P$708*($B797+IF($R$17="Distrato",$I$38-1,0)),IF(AND($L$711=0,$P$708=0),"",$L$711-1),IF($R$17="Distrato",$E797,0))),0,YEARFRAC(MAX($P$708*($B797+IF($R$17="Distrato",$I$38-1,0)),IF(AND($L$711=0,$P$708=0),"",$L$711-1),IF($R$17="Distrato",$E797,0)),MIN(AH$38,$D$19),$P$20))-SUM($P797:AG797)</f>
        <v>#VALUE!</v>
      </c>
      <c r="AI797" s="446" t="e">
        <f>IF(OR($B797="",MIN(AI$38,$D$19)&lt;MAX($P$708*($B797+IF($R$17="Distrato",$I$38-1,0)),IF(AND($L$711=0,$P$708=0),"",$L$711-1),IF($R$17="Distrato",$E797,0))),0,YEARFRAC(MAX($P$708*($B797+IF($R$17="Distrato",$I$38-1,0)),IF(AND($L$711=0,$P$708=0),"",$L$711-1),IF($R$17="Distrato",$E797,0)),MIN(AI$38,$D$19),$P$20))-SUM($P797:AH797)</f>
        <v>#VALUE!</v>
      </c>
      <c r="AJ797" s="446" t="e">
        <f>IF(OR($B797="",MIN(AJ$38,$D$19)&lt;MAX($P$708*($B797+IF($R$17="Distrato",$I$38-1,0)),IF(AND($L$711=0,$P$708=0),"",$L$711-1),IF($R$17="Distrato",$E797,0))),0,YEARFRAC(MAX($P$708*($B797+IF($R$17="Distrato",$I$38-1,0)),IF(AND($L$711=0,$P$708=0),"",$L$711-1),IF($R$17="Distrato",$E797,0)),MIN(AJ$38,$D$19),$P$20))-SUM($P797:AI797)</f>
        <v>#VALUE!</v>
      </c>
      <c r="AK797" s="446" t="e">
        <f>IF(OR($B797="",MIN(AK$38,$D$19)&lt;MAX($P$708*($B797+IF($R$17="Distrato",$I$38-1,0)),IF(AND($L$711=0,$P$708=0),"",$L$711-1),IF($R$17="Distrato",$E797,0))),0,YEARFRAC(MAX($P$708*($B797+IF($R$17="Distrato",$I$38-1,0)),IF(AND($L$711=0,$P$708=0),"",$L$711-1),IF($R$17="Distrato",$E797,0)),MIN(AK$38,$D$19),$P$20))-SUM($P797:AJ797)</f>
        <v>#VALUE!</v>
      </c>
      <c r="AL797" s="446" t="e">
        <f>IF(OR($B797="",MIN(AL$38,$D$19)&lt;MAX($P$708*($B797+IF($R$17="Distrato",$I$38-1,0)),IF(AND($L$711=0,$P$708=0),"",$L$711-1),IF($R$17="Distrato",$E797,0))),0,YEARFRAC(MAX($P$708*($B797+IF($R$17="Distrato",$I$38-1,0)),IF(AND($L$711=0,$P$708=0),"",$L$711-1),IF($R$17="Distrato",$E797,0)),MIN(AL$38,$D$19),$P$20))-SUM($P797:AK797)</f>
        <v>#VALUE!</v>
      </c>
      <c r="AM797" s="446" t="e">
        <f>IF(OR($B797="",MIN(AM$38,$D$19)&lt;MAX($P$708*($B797+IF($R$17="Distrato",$I$38-1,0)),IF(AND($L$711=0,$P$708=0),"",$L$711-1),IF($R$17="Distrato",$E797,0))),0,YEARFRAC(MAX($P$708*($B797+IF($R$17="Distrato",$I$38-1,0)),IF(AND($L$711=0,$P$708=0),"",$L$711-1),IF($R$17="Distrato",$E797,0)),MIN(AM$38,$D$19),$P$20))-SUM($P797:AL797)</f>
        <v>#VALUE!</v>
      </c>
      <c r="AN797" s="446" t="e">
        <f>IF(OR($B797="",MIN(AN$38,$D$19)&lt;MAX($P$708*($B797+IF($R$17="Distrato",$I$38-1,0)),IF(AND($L$711=0,$P$708=0),"",$L$711-1),IF($R$17="Distrato",$E797,0))),0,YEARFRAC(MAX($P$708*($B797+IF($R$17="Distrato",$I$38-1,0)),IF(AND($L$711=0,$P$708=0),"",$L$711-1),IF($R$17="Distrato",$E797,0)),MIN(AN$38,$D$19),$P$20))-SUM($P797:AM797)</f>
        <v>#VALUE!</v>
      </c>
      <c r="AO797" s="446" t="e">
        <f>IF(OR($B797="",MIN(AO$38,$D$19)&lt;MAX($P$708*($B797+IF($R$17="Distrato",$I$38-1,0)),IF(AND($L$711=0,$P$708=0),"",$L$711-1),IF($R$17="Distrato",$E797,0))),0,YEARFRAC(MAX($P$708*($B797+IF($R$17="Distrato",$I$38-1,0)),IF(AND($L$711=0,$P$708=0),"",$L$711-1),IF($R$17="Distrato",$E797,0)),MIN(AO$38,$D$19),$P$20))-SUM($P797:AN797)</f>
        <v>#VALUE!</v>
      </c>
      <c r="AP797" s="446" t="e">
        <f>IF(OR($B797="",MIN(AP$38,$D$19)&lt;MAX($P$708*($B797+IF($R$17="Distrato",$I$38-1,0)),IF(AND($L$711=0,$P$708=0),"",$L$711-1),IF($R$17="Distrato",$E797,0))),0,YEARFRAC(MAX($P$708*($B797+IF($R$17="Distrato",$I$38-1,0)),IF(AND($L$711=0,$P$708=0),"",$L$711-1),IF($R$17="Distrato",$E797,0)),MIN(AP$38,$D$19),$P$20))-SUM($P797:AO797)</f>
        <v>#VALUE!</v>
      </c>
      <c r="AQ797" s="446" t="e">
        <f>IF(OR($B797="",MIN(AQ$38,$D$19)&lt;MAX($P$708*($B797+IF($R$17="Distrato",$I$38-1,0)),IF(AND($L$711=0,$P$708=0),"",$L$711-1),IF($R$17="Distrato",$E797,0))),0,YEARFRAC(MAX($P$708*($B797+IF($R$17="Distrato",$I$38-1,0)),IF(AND($L$711=0,$P$708=0),"",$L$711-1),IF($R$17="Distrato",$E797,0)),MIN(AQ$38,$D$19),$P$20))-SUM($P797:AP797)</f>
        <v>#VALUE!</v>
      </c>
      <c r="AR797" s="446" t="e">
        <f>IF(OR($B797="",MIN(AR$38,$D$19)&lt;MAX($P$708*($B797+IF($R$17="Distrato",$I$38-1,0)),IF(AND($L$711=0,$P$708=0),"",$L$711-1),IF($R$17="Distrato",$E797,0))),0,YEARFRAC(MAX($P$708*($B797+IF($R$17="Distrato",$I$38-1,0)),IF(AND($L$711=0,$P$708=0),"",$L$711-1),IF($R$17="Distrato",$E797,0)),MIN(AR$38,$D$19),$P$20))-SUM($P797:AQ797)</f>
        <v>#VALUE!</v>
      </c>
      <c r="AS797" s="446" t="e">
        <f>IF(OR($B797="",MIN(AS$38,$D$19)&lt;MAX($P$708*($B797+IF($R$17="Distrato",$I$38-1,0)),IF(AND($L$711=0,$P$708=0),"",$L$711-1),IF($R$17="Distrato",$E797,0))),0,YEARFRAC(MAX($P$708*($B797+IF($R$17="Distrato",$I$38-1,0)),IF(AND($L$711=0,$P$708=0),"",$L$711-1),IF($R$17="Distrato",$E797,0)),MIN(AS$38,$D$19),$P$20))-SUM($P797:AR797)</f>
        <v>#VALUE!</v>
      </c>
      <c r="AT797" s="446" t="e">
        <f>IF(OR($B797="",MIN(AT$38,$D$19)&lt;MAX($P$708*($B797+IF($R$17="Distrato",$I$38-1,0)),IF(AND($L$711=0,$P$708=0),"",$L$711-1),IF($R$17="Distrato",$E797,0))),0,YEARFRAC(MAX($P$708*($B797+IF($R$17="Distrato",$I$38-1,0)),IF(AND($L$711=0,$P$708=0),"",$L$711-1),IF($R$17="Distrato",$E797,0)),MIN(AT$38,$D$19),$P$20))-SUM($P797:AS797)</f>
        <v>#VALUE!</v>
      </c>
      <c r="AU797" s="446" t="e">
        <f>IF(OR($B797="",MIN(AU$38,$D$19)&lt;MAX($P$708*($B797+IF($R$17="Distrato",$I$38-1,0)),IF(AND($L$711=0,$P$708=0),"",$L$711-1),IF($R$17="Distrato",$E797,0))),0,YEARFRAC(MAX($P$708*($B797+IF($R$17="Distrato",$I$38-1,0)),IF(AND($L$711=0,$P$708=0),"",$L$711-1),IF($R$17="Distrato",$E797,0)),MIN(AU$38,$D$19),$P$20))-SUM($P797:AT797)</f>
        <v>#VALUE!</v>
      </c>
      <c r="AV797" s="446" t="e">
        <f>IF(OR($B797="",MIN(AV$38,$D$19)&lt;MAX($P$708*($B797+IF($R$17="Distrato",$I$38-1,0)),IF(AND($L$711=0,$P$708=0),"",$L$711-1),IF($R$17="Distrato",$E797,0))),0,YEARFRAC(MAX($P$708*($B797+IF($R$17="Distrato",$I$38-1,0)),IF(AND($L$711=0,$P$708=0),"",$L$711-1),IF($R$17="Distrato",$E797,0)),MIN(AV$38,$D$19),$P$20))-SUM($P797:AU797)</f>
        <v>#VALUE!</v>
      </c>
      <c r="AW797" s="446" t="e">
        <f>IF(OR($B797="",MIN(AW$38,$D$19)&lt;MAX($P$708*($B797+IF($R$17="Distrato",$I$38-1,0)),IF(AND($L$711=0,$P$708=0),"",$L$711-1),IF($R$17="Distrato",$E797,0))),0,YEARFRAC(MAX($P$708*($B797+IF($R$17="Distrato",$I$38-1,0)),IF(AND($L$711=0,$P$708=0),"",$L$711-1),IF($R$17="Distrato",$E797,0)),MIN(AW$38,$D$19),$P$20))-SUM($P797:AV797)</f>
        <v>#VALUE!</v>
      </c>
      <c r="AX797" s="446" t="e">
        <f>IF(OR($B797="",MIN(AX$38,$D$19)&lt;MAX($P$708*($B797+IF($R$17="Distrato",$I$38-1,0)),IF(AND($L$711=0,$P$708=0),"",$L$711-1),IF($R$17="Distrato",$E797,0))),0,YEARFRAC(MAX($P$708*($B797+IF($R$17="Distrato",$I$38-1,0)),IF(AND($L$711=0,$P$708=0),"",$L$711-1),IF($R$17="Distrato",$E797,0)),MIN(AX$38,$D$19),$P$20))-SUM($P797:AW797)</f>
        <v>#VALUE!</v>
      </c>
      <c r="AY797" s="446" t="e">
        <f>IF(OR($B797="",MIN(AY$38,$D$19)&lt;MAX($P$708*($B797+IF($R$17="Distrato",$I$38-1,0)),IF(AND($L$711=0,$P$708=0),"",$L$711-1),IF($R$17="Distrato",$E797,0))),0,YEARFRAC(MAX($P$708*($B797+IF($R$17="Distrato",$I$38-1,0)),IF(AND($L$711=0,$P$708=0),"",$L$711-1),IF($R$17="Distrato",$E797,0)),MIN(AY$38,$D$19),$P$20))-SUM($P797:AX797)</f>
        <v>#VALUE!</v>
      </c>
      <c r="AZ797" s="446" t="e">
        <f>IF(OR($B797="",MIN(AZ$38,$D$19)&lt;MAX($P$708*($B797+IF($R$17="Distrato",$I$38-1,0)),IF(AND($L$711=0,$P$708=0),"",$L$711-1),IF($R$17="Distrato",$E797,0))),0,YEARFRAC(MAX($P$708*($B797+IF($R$17="Distrato",$I$38-1,0)),IF(AND($L$711=0,$P$708=0),"",$L$711-1),IF($R$17="Distrato",$E797,0)),MIN(AZ$38,$D$19),$P$20))-SUM($P797:AY797)</f>
        <v>#VALUE!</v>
      </c>
      <c r="BA797" s="446" t="e">
        <f>IF(OR($B797="",MIN(BA$38,$D$19)&lt;MAX($P$708*($B797+IF($R$17="Distrato",$I$38-1,0)),IF(AND($L$711=0,$P$708=0),"",$L$711-1),IF($R$17="Distrato",$E797,0))),0,YEARFRAC(MAX($P$708*($B797+IF($R$17="Distrato",$I$38-1,0)),IF(AND($L$711=0,$P$708=0),"",$L$711-1),IF($R$17="Distrato",$E797,0)),MIN(BA$38,$D$19),$P$20))-SUM($P797:AZ797)</f>
        <v>#VALUE!</v>
      </c>
      <c r="BB797" s="447"/>
    </row>
    <row r="798" spans="1:54" s="446" customFormat="1" ht="11.25" hidden="1" customHeight="1" x14ac:dyDescent="0.2">
      <c r="A798" s="235"/>
      <c r="B798" s="236"/>
      <c r="C798" s="29" t="str">
        <f>IF(B798="","",IF($L$709=$BL$25,VLOOKUP(DATE(YEAR($D$19),MONTH($D$19)-1,1),ÍNDICES!$A:$DE,HLOOKUP($BL$25,ÍNDICES!$B$3:$T$4,2)+11)-VLOOKUP(B798,ÍNDICES!$A:$DE,HLOOKUP($BL$25,ÍNDICES!$B$3:$T$4,2)+11)+1%,IF(C$712=$W$26,$J$35,IF(ISERROR(IF(B798&gt;$D$19,1,VLOOKUP(DATE(YEAR(B798),MONTH(B798)+IF($C$709=$S$23,1,0),1),ÍNDICES!$A:$DE,$Z$709+1))),"",IF(B798&gt;$D$19,1,VLOOKUP(DATE(YEAR(B798),MONTH(B798)+IF($C$709=$S$23,1,0),1),ÍNDICES!$A:$DE,$Z$709+1))))))</f>
        <v/>
      </c>
      <c r="D798" s="155"/>
      <c r="E798" s="88"/>
      <c r="F798" s="88"/>
      <c r="G798" s="88"/>
      <c r="H798" s="118"/>
      <c r="I798" s="182">
        <f t="shared" si="122"/>
        <v>0</v>
      </c>
      <c r="J798" s="20">
        <f t="shared" ca="1" si="123"/>
        <v>0</v>
      </c>
      <c r="K798" s="5">
        <f t="shared" ca="1" si="124"/>
        <v>0</v>
      </c>
      <c r="L798" s="61">
        <f t="shared" ca="1" si="125"/>
        <v>0</v>
      </c>
      <c r="M798" s="64">
        <f t="shared" si="126"/>
        <v>0</v>
      </c>
      <c r="N798" s="151"/>
      <c r="O798" s="5">
        <f t="shared" ca="1" si="127"/>
        <v>0</v>
      </c>
      <c r="P798" s="446" t="e">
        <f t="shared" si="128"/>
        <v>#VALUE!</v>
      </c>
      <c r="Q798" s="446" t="e">
        <f>IF(OR($B798="",MIN(Q$38,$D$19)&lt;MAX($P$708*($B798+IF($R$17="Distrato",$I$38-1,0)),IF(AND($L$711=0,$P$708=0),"",$L$711-1),IF($R$17="Distrato",$E798,0))),0,YEARFRAC(MAX($P$708*($B798+IF($R$17="Distrato",$I$38-1,0)),IF(AND($L$711=0,$P$708=0),"",$L$711-1),IF($R$17="Distrato",$E798,0)),MIN(Q$38,$D$19),$P$20))-SUM($P798:P798)</f>
        <v>#VALUE!</v>
      </c>
      <c r="R798" s="446" t="e">
        <f>IF(OR($B798="",MIN(R$38,$D$19)&lt;MAX($P$708*($B798+IF($R$17="Distrato",$I$38-1,0)),IF(AND($L$711=0,$P$708=0),"",$L$711-1),IF($R$17="Distrato",$E798,0))),0,YEARFRAC(MAX($P$708*($B798+IF($R$17="Distrato",$I$38-1,0)),IF(AND($L$711=0,$P$708=0),"",$L$711-1),IF($R$17="Distrato",$E798,0)),MIN(R$38,$D$19),$P$20))-SUM($P798:Q798)</f>
        <v>#VALUE!</v>
      </c>
      <c r="S798" s="446" t="e">
        <f>IF(OR($B798="",MIN(S$38,$D$19)&lt;MAX($P$708*($B798+IF($R$17="Distrato",$I$38-1,0)),IF(AND($L$711=0,$P$708=0),"",$L$711-1),IF($R$17="Distrato",$E798,0))),0,YEARFRAC(MAX($P$708*($B798+IF($R$17="Distrato",$I$38-1,0)),IF(AND($L$711=0,$P$708=0),"",$L$711-1),IF($R$17="Distrato",$E798,0)),MIN(S$38,$D$19),$P$20))-SUM($P798:R798)</f>
        <v>#VALUE!</v>
      </c>
      <c r="T798" s="446" t="e">
        <f>IF(OR($B798="",MIN(T$38,$D$19)&lt;MAX($P$708*($B798+IF($R$17="Distrato",$I$38-1,0)),IF(AND($L$711=0,$P$708=0),"",$L$711-1),IF($R$17="Distrato",$E798,0))),0,YEARFRAC(MAX($P$708*($B798+IF($R$17="Distrato",$I$38-1,0)),IF(AND($L$711=0,$P$708=0),"",$L$711-1),IF($R$17="Distrato",$E798,0)),MIN(T$38,$D$19),$P$20))-SUM($P798:S798)</f>
        <v>#VALUE!</v>
      </c>
      <c r="U798" s="446" t="e">
        <f>IF(OR($B798="",MIN(U$38,$D$19)&lt;MAX($P$708*($B798+IF($R$17="Distrato",$I$38-1,0)),IF(AND($L$711=0,$P$708=0),"",$L$711-1),IF($R$17="Distrato",$E798,0))),0,YEARFRAC(MAX($P$708*($B798+IF($R$17="Distrato",$I$38-1,0)),IF(AND($L$711=0,$P$708=0),"",$L$711-1),IF($R$17="Distrato",$E798,0)),MIN(U$38,$D$19),$P$20))-SUM($P798:T798)</f>
        <v>#VALUE!</v>
      </c>
      <c r="V798" s="446" t="e">
        <f>IF(OR($B798="",MIN(V$38,$D$19)&lt;MAX($P$708*($B798+IF($R$17="Distrato",$I$38-1,0)),IF(AND($L$711=0,$P$708=0),"",$L$711-1),IF($R$17="Distrato",$E798,0))),0,YEARFRAC(MAX($P$708*($B798+IF($R$17="Distrato",$I$38-1,0)),IF(AND($L$711=0,$P$708=0),"",$L$711-1),IF($R$17="Distrato",$E798,0)),MIN(V$38,$D$19),$P$20))-SUM($P798:U798)</f>
        <v>#VALUE!</v>
      </c>
      <c r="W798" s="446" t="e">
        <f>IF(OR($B798="",MIN(W$38,$D$19)&lt;MAX($P$708*($B798+IF($R$17="Distrato",$I$38-1,0)),IF(AND($L$711=0,$P$708=0),"",$L$711-1),IF($R$17="Distrato",$E798,0))),0,YEARFRAC(MAX($P$708*($B798+IF($R$17="Distrato",$I$38-1,0)),IF(AND($L$711=0,$P$708=0),"",$L$711-1),IF($R$17="Distrato",$E798,0)),MIN(W$38,$D$19),$P$20))-SUM($P798:V798)</f>
        <v>#VALUE!</v>
      </c>
      <c r="X798" s="446" t="e">
        <f>IF(OR($B798="",MIN(X$38,$D$19)&lt;MAX($P$708*($B798+IF($R$17="Distrato",$I$38-1,0)),IF(AND($L$711=0,$P$708=0),"",$L$711-1),IF($R$17="Distrato",$E798,0))),0,YEARFRAC(MAX($P$708*($B798+IF($R$17="Distrato",$I$38-1,0)),IF(AND($L$711=0,$P$708=0),"",$L$711-1),IF($R$17="Distrato",$E798,0)),MIN(X$38,$D$19),$P$20))-SUM($P798:W798)</f>
        <v>#VALUE!</v>
      </c>
      <c r="Y798" s="446" t="e">
        <f>IF(OR($B798="",MIN(Y$38,$D$19)&lt;MAX($P$708*($B798+IF($R$17="Distrato",$I$38-1,0)),IF(AND($L$711=0,$P$708=0),"",$L$711-1),IF($R$17="Distrato",$E798,0))),0,YEARFRAC(MAX($P$708*($B798+IF($R$17="Distrato",$I$38-1,0)),IF(AND($L$711=0,$P$708=0),"",$L$711-1),IF($R$17="Distrato",$E798,0)),MIN(Y$38,$D$19),$P$20))-SUM($P798:X798)</f>
        <v>#VALUE!</v>
      </c>
      <c r="Z798" s="446" t="e">
        <f>IF(OR($B798="",MIN(Z$38,$D$19)&lt;MAX($P$708*($B798+IF($R$17="Distrato",$I$38-1,0)),IF(AND($L$711=0,$P$708=0),"",$L$711-1),IF($R$17="Distrato",$E798,0))),0,YEARFRAC(MAX($P$708*($B798+IF($R$17="Distrato",$I$38-1,0)),IF(AND($L$711=0,$P$708=0),"",$L$711-1),IF($R$17="Distrato",$E798,0)),MIN(Z$38,$D$19),$P$20))-SUM($P798:Y798)</f>
        <v>#VALUE!</v>
      </c>
      <c r="AA798" s="446" t="e">
        <f>IF(OR($B798="",MIN(AA$38,$D$19)&lt;MAX($P$708*($B798+IF($R$17="Distrato",$I$38-1,0)),IF(AND($L$711=0,$P$708=0),"",$L$711-1),IF($R$17="Distrato",$E798,0))),0,YEARFRAC(MAX($P$708*($B798+IF($R$17="Distrato",$I$38-1,0)),IF(AND($L$711=0,$P$708=0),"",$L$711-1),IF($R$17="Distrato",$E798,0)),MIN(AA$38,$D$19),$P$20))-SUM($P798:Z798)</f>
        <v>#VALUE!</v>
      </c>
      <c r="AB798" s="446" t="e">
        <f>IF(OR($B798="",MIN(AB$38,$D$19)&lt;MAX($P$708*($B798+IF($R$17="Distrato",$I$38-1,0)),IF(AND($L$711=0,$P$708=0),"",$L$711-1),IF($R$17="Distrato",$E798,0))),0,YEARFRAC(MAX($P$708*($B798+IF($R$17="Distrato",$I$38-1,0)),IF(AND($L$711=0,$P$708=0),"",$L$711-1),IF($R$17="Distrato",$E798,0)),MIN(AB$38,$D$19),$P$20))-SUM($P798:AA798)</f>
        <v>#VALUE!</v>
      </c>
      <c r="AC798" s="446" t="e">
        <f>IF(OR($B798="",MIN(AC$38,$D$19)&lt;MAX($P$708*($B798+IF($R$17="Distrato",$I$38-1,0)),IF(AND($L$711=0,$P$708=0),"",$L$711-1),IF($R$17="Distrato",$E798,0))),0,YEARFRAC(MAX($P$708*($B798+IF($R$17="Distrato",$I$38-1,0)),IF(AND($L$711=0,$P$708=0),"",$L$711-1),IF($R$17="Distrato",$E798,0)),MIN(AC$38,$D$19),$P$20))-SUM($P798:AB798)</f>
        <v>#VALUE!</v>
      </c>
      <c r="AD798" s="446" t="e">
        <f>IF(OR($B798="",MIN(AD$38,$D$19)&lt;MAX($P$708*($B798+IF($R$17="Distrato",$I$38-1,0)),IF(AND($L$711=0,$P$708=0),"",$L$711-1),IF($R$17="Distrato",$E798,0))),0,YEARFRAC(MAX($P$708*($B798+IF($R$17="Distrato",$I$38-1,0)),IF(AND($L$711=0,$P$708=0),"",$L$711-1),IF($R$17="Distrato",$E798,0)),MIN(AD$38,$D$19),$P$20))-SUM($P798:AC798)</f>
        <v>#VALUE!</v>
      </c>
      <c r="AE798" s="446" t="e">
        <f>IF(OR($B798="",MIN(AE$38,$D$19)&lt;MAX($P$708*($B798+IF($R$17="Distrato",$I$38-1,0)),IF(AND($L$711=0,$P$708=0),"",$L$711-1),IF($R$17="Distrato",$E798,0))),0,YEARFRAC(MAX($P$708*($B798+IF($R$17="Distrato",$I$38-1,0)),IF(AND($L$711=0,$P$708=0),"",$L$711-1),IF($R$17="Distrato",$E798,0)),MIN(AE$38,$D$19),$P$20))-SUM($P798:AD798)</f>
        <v>#VALUE!</v>
      </c>
      <c r="AF798" s="446" t="e">
        <f>IF(OR($B798="",MIN(AF$38,$D$19)&lt;MAX($P$708*($B798+IF($R$17="Distrato",$I$38-1,0)),IF(AND($L$711=0,$P$708=0),"",$L$711-1),IF($R$17="Distrato",$E798,0))),0,YEARFRAC(MAX($P$708*($B798+IF($R$17="Distrato",$I$38-1,0)),IF(AND($L$711=0,$P$708=0),"",$L$711-1),IF($R$17="Distrato",$E798,0)),MIN(AF$38,$D$19),$P$20))-SUM($P798:AE798)</f>
        <v>#VALUE!</v>
      </c>
      <c r="AG798" s="446" t="e">
        <f>IF(OR($B798="",MIN(AG$38,$D$19)&lt;MAX($P$708*($B798+IF($R$17="Distrato",$I$38-1,0)),IF(AND($L$711=0,$P$708=0),"",$L$711-1),IF($R$17="Distrato",$E798,0))),0,YEARFRAC(MAX($P$708*($B798+IF($R$17="Distrato",$I$38-1,0)),IF(AND($L$711=0,$P$708=0),"",$L$711-1),IF($R$17="Distrato",$E798,0)),MIN(AG$38,$D$19),$P$20))-SUM($P798:AF798)</f>
        <v>#VALUE!</v>
      </c>
      <c r="AH798" s="446" t="e">
        <f>IF(OR($B798="",MIN(AH$38,$D$19)&lt;MAX($P$708*($B798+IF($R$17="Distrato",$I$38-1,0)),IF(AND($L$711=0,$P$708=0),"",$L$711-1),IF($R$17="Distrato",$E798,0))),0,YEARFRAC(MAX($P$708*($B798+IF($R$17="Distrato",$I$38-1,0)),IF(AND($L$711=0,$P$708=0),"",$L$711-1),IF($R$17="Distrato",$E798,0)),MIN(AH$38,$D$19),$P$20))-SUM($P798:AG798)</f>
        <v>#VALUE!</v>
      </c>
      <c r="AI798" s="446" t="e">
        <f>IF(OR($B798="",MIN(AI$38,$D$19)&lt;MAX($P$708*($B798+IF($R$17="Distrato",$I$38-1,0)),IF(AND($L$711=0,$P$708=0),"",$L$711-1),IF($R$17="Distrato",$E798,0))),0,YEARFRAC(MAX($P$708*($B798+IF($R$17="Distrato",$I$38-1,0)),IF(AND($L$711=0,$P$708=0),"",$L$711-1),IF($R$17="Distrato",$E798,0)),MIN(AI$38,$D$19),$P$20))-SUM($P798:AH798)</f>
        <v>#VALUE!</v>
      </c>
      <c r="AJ798" s="446" t="e">
        <f>IF(OR($B798="",MIN(AJ$38,$D$19)&lt;MAX($P$708*($B798+IF($R$17="Distrato",$I$38-1,0)),IF(AND($L$711=0,$P$708=0),"",$L$711-1),IF($R$17="Distrato",$E798,0))),0,YEARFRAC(MAX($P$708*($B798+IF($R$17="Distrato",$I$38-1,0)),IF(AND($L$711=0,$P$708=0),"",$L$711-1),IF($R$17="Distrato",$E798,0)),MIN(AJ$38,$D$19),$P$20))-SUM($P798:AI798)</f>
        <v>#VALUE!</v>
      </c>
      <c r="AK798" s="446" t="e">
        <f>IF(OR($B798="",MIN(AK$38,$D$19)&lt;MAX($P$708*($B798+IF($R$17="Distrato",$I$38-1,0)),IF(AND($L$711=0,$P$708=0),"",$L$711-1),IF($R$17="Distrato",$E798,0))),0,YEARFRAC(MAX($P$708*($B798+IF($R$17="Distrato",$I$38-1,0)),IF(AND($L$711=0,$P$708=0),"",$L$711-1),IF($R$17="Distrato",$E798,0)),MIN(AK$38,$D$19),$P$20))-SUM($P798:AJ798)</f>
        <v>#VALUE!</v>
      </c>
      <c r="AL798" s="446" t="e">
        <f>IF(OR($B798="",MIN(AL$38,$D$19)&lt;MAX($P$708*($B798+IF($R$17="Distrato",$I$38-1,0)),IF(AND($L$711=0,$P$708=0),"",$L$711-1),IF($R$17="Distrato",$E798,0))),0,YEARFRAC(MAX($P$708*($B798+IF($R$17="Distrato",$I$38-1,0)),IF(AND($L$711=0,$P$708=0),"",$L$711-1),IF($R$17="Distrato",$E798,0)),MIN(AL$38,$D$19),$P$20))-SUM($P798:AK798)</f>
        <v>#VALUE!</v>
      </c>
      <c r="AM798" s="446" t="e">
        <f>IF(OR($B798="",MIN(AM$38,$D$19)&lt;MAX($P$708*($B798+IF($R$17="Distrato",$I$38-1,0)),IF(AND($L$711=0,$P$708=0),"",$L$711-1),IF($R$17="Distrato",$E798,0))),0,YEARFRAC(MAX($P$708*($B798+IF($R$17="Distrato",$I$38-1,0)),IF(AND($L$711=0,$P$708=0),"",$L$711-1),IF($R$17="Distrato",$E798,0)),MIN(AM$38,$D$19),$P$20))-SUM($P798:AL798)</f>
        <v>#VALUE!</v>
      </c>
      <c r="AN798" s="446" t="e">
        <f>IF(OR($B798="",MIN(AN$38,$D$19)&lt;MAX($P$708*($B798+IF($R$17="Distrato",$I$38-1,0)),IF(AND($L$711=0,$P$708=0),"",$L$711-1),IF($R$17="Distrato",$E798,0))),0,YEARFRAC(MAX($P$708*($B798+IF($R$17="Distrato",$I$38-1,0)),IF(AND($L$711=0,$P$708=0),"",$L$711-1),IF($R$17="Distrato",$E798,0)),MIN(AN$38,$D$19),$P$20))-SUM($P798:AM798)</f>
        <v>#VALUE!</v>
      </c>
      <c r="AO798" s="446" t="e">
        <f>IF(OR($B798="",MIN(AO$38,$D$19)&lt;MAX($P$708*($B798+IF($R$17="Distrato",$I$38-1,0)),IF(AND($L$711=0,$P$708=0),"",$L$711-1),IF($R$17="Distrato",$E798,0))),0,YEARFRAC(MAX($P$708*($B798+IF($R$17="Distrato",$I$38-1,0)),IF(AND($L$711=0,$P$708=0),"",$L$711-1),IF($R$17="Distrato",$E798,0)),MIN(AO$38,$D$19),$P$20))-SUM($P798:AN798)</f>
        <v>#VALUE!</v>
      </c>
      <c r="AP798" s="446" t="e">
        <f>IF(OR($B798="",MIN(AP$38,$D$19)&lt;MAX($P$708*($B798+IF($R$17="Distrato",$I$38-1,0)),IF(AND($L$711=0,$P$708=0),"",$L$711-1),IF($R$17="Distrato",$E798,0))),0,YEARFRAC(MAX($P$708*($B798+IF($R$17="Distrato",$I$38-1,0)),IF(AND($L$711=0,$P$708=0),"",$L$711-1),IF($R$17="Distrato",$E798,0)),MIN(AP$38,$D$19),$P$20))-SUM($P798:AO798)</f>
        <v>#VALUE!</v>
      </c>
      <c r="AQ798" s="446" t="e">
        <f>IF(OR($B798="",MIN(AQ$38,$D$19)&lt;MAX($P$708*($B798+IF($R$17="Distrato",$I$38-1,0)),IF(AND($L$711=0,$P$708=0),"",$L$711-1),IF($R$17="Distrato",$E798,0))),0,YEARFRAC(MAX($P$708*($B798+IF($R$17="Distrato",$I$38-1,0)),IF(AND($L$711=0,$P$708=0),"",$L$711-1),IF($R$17="Distrato",$E798,0)),MIN(AQ$38,$D$19),$P$20))-SUM($P798:AP798)</f>
        <v>#VALUE!</v>
      </c>
      <c r="AR798" s="446" t="e">
        <f>IF(OR($B798="",MIN(AR$38,$D$19)&lt;MAX($P$708*($B798+IF($R$17="Distrato",$I$38-1,0)),IF(AND($L$711=0,$P$708=0),"",$L$711-1),IF($R$17="Distrato",$E798,0))),0,YEARFRAC(MAX($P$708*($B798+IF($R$17="Distrato",$I$38-1,0)),IF(AND($L$711=0,$P$708=0),"",$L$711-1),IF($R$17="Distrato",$E798,0)),MIN(AR$38,$D$19),$P$20))-SUM($P798:AQ798)</f>
        <v>#VALUE!</v>
      </c>
      <c r="AS798" s="446" t="e">
        <f>IF(OR($B798="",MIN(AS$38,$D$19)&lt;MAX($P$708*($B798+IF($R$17="Distrato",$I$38-1,0)),IF(AND($L$711=0,$P$708=0),"",$L$711-1),IF($R$17="Distrato",$E798,0))),0,YEARFRAC(MAX($P$708*($B798+IF($R$17="Distrato",$I$38-1,0)),IF(AND($L$711=0,$P$708=0),"",$L$711-1),IF($R$17="Distrato",$E798,0)),MIN(AS$38,$D$19),$P$20))-SUM($P798:AR798)</f>
        <v>#VALUE!</v>
      </c>
      <c r="AT798" s="446" t="e">
        <f>IF(OR($B798="",MIN(AT$38,$D$19)&lt;MAX($P$708*($B798+IF($R$17="Distrato",$I$38-1,0)),IF(AND($L$711=0,$P$708=0),"",$L$711-1),IF($R$17="Distrato",$E798,0))),0,YEARFRAC(MAX($P$708*($B798+IF($R$17="Distrato",$I$38-1,0)),IF(AND($L$711=0,$P$708=0),"",$L$711-1),IF($R$17="Distrato",$E798,0)),MIN(AT$38,$D$19),$P$20))-SUM($P798:AS798)</f>
        <v>#VALUE!</v>
      </c>
      <c r="AU798" s="446" t="e">
        <f>IF(OR($B798="",MIN(AU$38,$D$19)&lt;MAX($P$708*($B798+IF($R$17="Distrato",$I$38-1,0)),IF(AND($L$711=0,$P$708=0),"",$L$711-1),IF($R$17="Distrato",$E798,0))),0,YEARFRAC(MAX($P$708*($B798+IF($R$17="Distrato",$I$38-1,0)),IF(AND($L$711=0,$P$708=0),"",$L$711-1),IF($R$17="Distrato",$E798,0)),MIN(AU$38,$D$19),$P$20))-SUM($P798:AT798)</f>
        <v>#VALUE!</v>
      </c>
      <c r="AV798" s="446" t="e">
        <f>IF(OR($B798="",MIN(AV$38,$D$19)&lt;MAX($P$708*($B798+IF($R$17="Distrato",$I$38-1,0)),IF(AND($L$711=0,$P$708=0),"",$L$711-1),IF($R$17="Distrato",$E798,0))),0,YEARFRAC(MAX($P$708*($B798+IF($R$17="Distrato",$I$38-1,0)),IF(AND($L$711=0,$P$708=0),"",$L$711-1),IF($R$17="Distrato",$E798,0)),MIN(AV$38,$D$19),$P$20))-SUM($P798:AU798)</f>
        <v>#VALUE!</v>
      </c>
      <c r="AW798" s="446" t="e">
        <f>IF(OR($B798="",MIN(AW$38,$D$19)&lt;MAX($P$708*($B798+IF($R$17="Distrato",$I$38-1,0)),IF(AND($L$711=0,$P$708=0),"",$L$711-1),IF($R$17="Distrato",$E798,0))),0,YEARFRAC(MAX($P$708*($B798+IF($R$17="Distrato",$I$38-1,0)),IF(AND($L$711=0,$P$708=0),"",$L$711-1),IF($R$17="Distrato",$E798,0)),MIN(AW$38,$D$19),$P$20))-SUM($P798:AV798)</f>
        <v>#VALUE!</v>
      </c>
      <c r="AX798" s="446" t="e">
        <f>IF(OR($B798="",MIN(AX$38,$D$19)&lt;MAX($P$708*($B798+IF($R$17="Distrato",$I$38-1,0)),IF(AND($L$711=0,$P$708=0),"",$L$711-1),IF($R$17="Distrato",$E798,0))),0,YEARFRAC(MAX($P$708*($B798+IF($R$17="Distrato",$I$38-1,0)),IF(AND($L$711=0,$P$708=0),"",$L$711-1),IF($R$17="Distrato",$E798,0)),MIN(AX$38,$D$19),$P$20))-SUM($P798:AW798)</f>
        <v>#VALUE!</v>
      </c>
      <c r="AY798" s="446" t="e">
        <f>IF(OR($B798="",MIN(AY$38,$D$19)&lt;MAX($P$708*($B798+IF($R$17="Distrato",$I$38-1,0)),IF(AND($L$711=0,$P$708=0),"",$L$711-1),IF($R$17="Distrato",$E798,0))),0,YEARFRAC(MAX($P$708*($B798+IF($R$17="Distrato",$I$38-1,0)),IF(AND($L$711=0,$P$708=0),"",$L$711-1),IF($R$17="Distrato",$E798,0)),MIN(AY$38,$D$19),$P$20))-SUM($P798:AX798)</f>
        <v>#VALUE!</v>
      </c>
      <c r="AZ798" s="446" t="e">
        <f>IF(OR($B798="",MIN(AZ$38,$D$19)&lt;MAX($P$708*($B798+IF($R$17="Distrato",$I$38-1,0)),IF(AND($L$711=0,$P$708=0),"",$L$711-1),IF($R$17="Distrato",$E798,0))),0,YEARFRAC(MAX($P$708*($B798+IF($R$17="Distrato",$I$38-1,0)),IF(AND($L$711=0,$P$708=0),"",$L$711-1),IF($R$17="Distrato",$E798,0)),MIN(AZ$38,$D$19),$P$20))-SUM($P798:AY798)</f>
        <v>#VALUE!</v>
      </c>
      <c r="BA798" s="446" t="e">
        <f>IF(OR($B798="",MIN(BA$38,$D$19)&lt;MAX($P$708*($B798+IF($R$17="Distrato",$I$38-1,0)),IF(AND($L$711=0,$P$708=0),"",$L$711-1),IF($R$17="Distrato",$E798,0))),0,YEARFRAC(MAX($P$708*($B798+IF($R$17="Distrato",$I$38-1,0)),IF(AND($L$711=0,$P$708=0),"",$L$711-1),IF($R$17="Distrato",$E798,0)),MIN(BA$38,$D$19),$P$20))-SUM($P798:AZ798)</f>
        <v>#VALUE!</v>
      </c>
      <c r="BB798" s="447"/>
    </row>
    <row r="799" spans="1:54" s="446" customFormat="1" ht="11.25" hidden="1" customHeight="1" x14ac:dyDescent="0.2">
      <c r="A799" s="235"/>
      <c r="B799" s="236"/>
      <c r="C799" s="29" t="str">
        <f>IF(B799="","",IF($L$709=$BL$25,VLOOKUP(DATE(YEAR($D$19),MONTH($D$19)-1,1),ÍNDICES!$A:$DE,HLOOKUP($BL$25,ÍNDICES!$B$3:$T$4,2)+11)-VLOOKUP(B799,ÍNDICES!$A:$DE,HLOOKUP($BL$25,ÍNDICES!$B$3:$T$4,2)+11)+1%,IF(C$712=$W$26,$J$35,IF(ISERROR(IF(B799&gt;$D$19,1,VLOOKUP(DATE(YEAR(B799),MONTH(B799)+IF($C$709=$S$23,1,0),1),ÍNDICES!$A:$DE,$Z$709+1))),"",IF(B799&gt;$D$19,1,VLOOKUP(DATE(YEAR(B799),MONTH(B799)+IF($C$709=$S$23,1,0),1),ÍNDICES!$A:$DE,$Z$709+1))))))</f>
        <v/>
      </c>
      <c r="D799" s="155"/>
      <c r="E799" s="88"/>
      <c r="F799" s="88"/>
      <c r="G799" s="88"/>
      <c r="H799" s="118"/>
      <c r="I799" s="182">
        <f t="shared" si="122"/>
        <v>0</v>
      </c>
      <c r="J799" s="20">
        <f t="shared" ca="1" si="123"/>
        <v>0</v>
      </c>
      <c r="K799" s="5">
        <f t="shared" ca="1" si="124"/>
        <v>0</v>
      </c>
      <c r="L799" s="61">
        <f t="shared" ca="1" si="125"/>
        <v>0</v>
      </c>
      <c r="M799" s="64">
        <f t="shared" si="126"/>
        <v>0</v>
      </c>
      <c r="N799" s="151"/>
      <c r="O799" s="5">
        <f t="shared" ca="1" si="127"/>
        <v>0</v>
      </c>
      <c r="P799" s="446" t="e">
        <f t="shared" si="128"/>
        <v>#VALUE!</v>
      </c>
      <c r="Q799" s="446" t="e">
        <f>IF(OR($B799="",MIN(Q$38,$D$19)&lt;MAX($P$708*($B799+IF($R$17="Distrato",$I$38-1,0)),IF(AND($L$711=0,$P$708=0),"",$L$711-1),IF($R$17="Distrato",$E799,0))),0,YEARFRAC(MAX($P$708*($B799+IF($R$17="Distrato",$I$38-1,0)),IF(AND($L$711=0,$P$708=0),"",$L$711-1),IF($R$17="Distrato",$E799,0)),MIN(Q$38,$D$19),$P$20))-SUM($P799:P799)</f>
        <v>#VALUE!</v>
      </c>
      <c r="R799" s="446" t="e">
        <f>IF(OR($B799="",MIN(R$38,$D$19)&lt;MAX($P$708*($B799+IF($R$17="Distrato",$I$38-1,0)),IF(AND($L$711=0,$P$708=0),"",$L$711-1),IF($R$17="Distrato",$E799,0))),0,YEARFRAC(MAX($P$708*($B799+IF($R$17="Distrato",$I$38-1,0)),IF(AND($L$711=0,$P$708=0),"",$L$711-1),IF($R$17="Distrato",$E799,0)),MIN(R$38,$D$19),$P$20))-SUM($P799:Q799)</f>
        <v>#VALUE!</v>
      </c>
      <c r="S799" s="446" t="e">
        <f>IF(OR($B799="",MIN(S$38,$D$19)&lt;MAX($P$708*($B799+IF($R$17="Distrato",$I$38-1,0)),IF(AND($L$711=0,$P$708=0),"",$L$711-1),IF($R$17="Distrato",$E799,0))),0,YEARFRAC(MAX($P$708*($B799+IF($R$17="Distrato",$I$38-1,0)),IF(AND($L$711=0,$P$708=0),"",$L$711-1),IF($R$17="Distrato",$E799,0)),MIN(S$38,$D$19),$P$20))-SUM($P799:R799)</f>
        <v>#VALUE!</v>
      </c>
      <c r="T799" s="446" t="e">
        <f>IF(OR($B799="",MIN(T$38,$D$19)&lt;MAX($P$708*($B799+IF($R$17="Distrato",$I$38-1,0)),IF(AND($L$711=0,$P$708=0),"",$L$711-1),IF($R$17="Distrato",$E799,0))),0,YEARFRAC(MAX($P$708*($B799+IF($R$17="Distrato",$I$38-1,0)),IF(AND($L$711=0,$P$708=0),"",$L$711-1),IF($R$17="Distrato",$E799,0)),MIN(T$38,$D$19),$P$20))-SUM($P799:S799)</f>
        <v>#VALUE!</v>
      </c>
      <c r="U799" s="446" t="e">
        <f>IF(OR($B799="",MIN(U$38,$D$19)&lt;MAX($P$708*($B799+IF($R$17="Distrato",$I$38-1,0)),IF(AND($L$711=0,$P$708=0),"",$L$711-1),IF($R$17="Distrato",$E799,0))),0,YEARFRAC(MAX($P$708*($B799+IF($R$17="Distrato",$I$38-1,0)),IF(AND($L$711=0,$P$708=0),"",$L$711-1),IF($R$17="Distrato",$E799,0)),MIN(U$38,$D$19),$P$20))-SUM($P799:T799)</f>
        <v>#VALUE!</v>
      </c>
      <c r="V799" s="446" t="e">
        <f>IF(OR($B799="",MIN(V$38,$D$19)&lt;MAX($P$708*($B799+IF($R$17="Distrato",$I$38-1,0)),IF(AND($L$711=0,$P$708=0),"",$L$711-1),IF($R$17="Distrato",$E799,0))),0,YEARFRAC(MAX($P$708*($B799+IF($R$17="Distrato",$I$38-1,0)),IF(AND($L$711=0,$P$708=0),"",$L$711-1),IF($R$17="Distrato",$E799,0)),MIN(V$38,$D$19),$P$20))-SUM($P799:U799)</f>
        <v>#VALUE!</v>
      </c>
      <c r="W799" s="446" t="e">
        <f>IF(OR($B799="",MIN(W$38,$D$19)&lt;MAX($P$708*($B799+IF($R$17="Distrato",$I$38-1,0)),IF(AND($L$711=0,$P$708=0),"",$L$711-1),IF($R$17="Distrato",$E799,0))),0,YEARFRAC(MAX($P$708*($B799+IF($R$17="Distrato",$I$38-1,0)),IF(AND($L$711=0,$P$708=0),"",$L$711-1),IF($R$17="Distrato",$E799,0)),MIN(W$38,$D$19),$P$20))-SUM($P799:V799)</f>
        <v>#VALUE!</v>
      </c>
      <c r="X799" s="446" t="e">
        <f>IF(OR($B799="",MIN(X$38,$D$19)&lt;MAX($P$708*($B799+IF($R$17="Distrato",$I$38-1,0)),IF(AND($L$711=0,$P$708=0),"",$L$711-1),IF($R$17="Distrato",$E799,0))),0,YEARFRAC(MAX($P$708*($B799+IF($R$17="Distrato",$I$38-1,0)),IF(AND($L$711=0,$P$708=0),"",$L$711-1),IF($R$17="Distrato",$E799,0)),MIN(X$38,$D$19),$P$20))-SUM($P799:W799)</f>
        <v>#VALUE!</v>
      </c>
      <c r="Y799" s="446" t="e">
        <f>IF(OR($B799="",MIN(Y$38,$D$19)&lt;MAX($P$708*($B799+IF($R$17="Distrato",$I$38-1,0)),IF(AND($L$711=0,$P$708=0),"",$L$711-1),IF($R$17="Distrato",$E799,0))),0,YEARFRAC(MAX($P$708*($B799+IF($R$17="Distrato",$I$38-1,0)),IF(AND($L$711=0,$P$708=0),"",$L$711-1),IF($R$17="Distrato",$E799,0)),MIN(Y$38,$D$19),$P$20))-SUM($P799:X799)</f>
        <v>#VALUE!</v>
      </c>
      <c r="Z799" s="446" t="e">
        <f>IF(OR($B799="",MIN(Z$38,$D$19)&lt;MAX($P$708*($B799+IF($R$17="Distrato",$I$38-1,0)),IF(AND($L$711=0,$P$708=0),"",$L$711-1),IF($R$17="Distrato",$E799,0))),0,YEARFRAC(MAX($P$708*($B799+IF($R$17="Distrato",$I$38-1,0)),IF(AND($L$711=0,$P$708=0),"",$L$711-1),IF($R$17="Distrato",$E799,0)),MIN(Z$38,$D$19),$P$20))-SUM($P799:Y799)</f>
        <v>#VALUE!</v>
      </c>
      <c r="AA799" s="446" t="e">
        <f>IF(OR($B799="",MIN(AA$38,$D$19)&lt;MAX($P$708*($B799+IF($R$17="Distrato",$I$38-1,0)),IF(AND($L$711=0,$P$708=0),"",$L$711-1),IF($R$17="Distrato",$E799,0))),0,YEARFRAC(MAX($P$708*($B799+IF($R$17="Distrato",$I$38-1,0)),IF(AND($L$711=0,$P$708=0),"",$L$711-1),IF($R$17="Distrato",$E799,0)),MIN(AA$38,$D$19),$P$20))-SUM($P799:Z799)</f>
        <v>#VALUE!</v>
      </c>
      <c r="AB799" s="446" t="e">
        <f>IF(OR($B799="",MIN(AB$38,$D$19)&lt;MAX($P$708*($B799+IF($R$17="Distrato",$I$38-1,0)),IF(AND($L$711=0,$P$708=0),"",$L$711-1),IF($R$17="Distrato",$E799,0))),0,YEARFRAC(MAX($P$708*($B799+IF($R$17="Distrato",$I$38-1,0)),IF(AND($L$711=0,$P$708=0),"",$L$711-1),IF($R$17="Distrato",$E799,0)),MIN(AB$38,$D$19),$P$20))-SUM($P799:AA799)</f>
        <v>#VALUE!</v>
      </c>
      <c r="AC799" s="446" t="e">
        <f>IF(OR($B799="",MIN(AC$38,$D$19)&lt;MAX($P$708*($B799+IF($R$17="Distrato",$I$38-1,0)),IF(AND($L$711=0,$P$708=0),"",$L$711-1),IF($R$17="Distrato",$E799,0))),0,YEARFRAC(MAX($P$708*($B799+IF($R$17="Distrato",$I$38-1,0)),IF(AND($L$711=0,$P$708=0),"",$L$711-1),IF($R$17="Distrato",$E799,0)),MIN(AC$38,$D$19),$P$20))-SUM($P799:AB799)</f>
        <v>#VALUE!</v>
      </c>
      <c r="AD799" s="446" t="e">
        <f>IF(OR($B799="",MIN(AD$38,$D$19)&lt;MAX($P$708*($B799+IF($R$17="Distrato",$I$38-1,0)),IF(AND($L$711=0,$P$708=0),"",$L$711-1),IF($R$17="Distrato",$E799,0))),0,YEARFRAC(MAX($P$708*($B799+IF($R$17="Distrato",$I$38-1,0)),IF(AND($L$711=0,$P$708=0),"",$L$711-1),IF($R$17="Distrato",$E799,0)),MIN(AD$38,$D$19),$P$20))-SUM($P799:AC799)</f>
        <v>#VALUE!</v>
      </c>
      <c r="AE799" s="446" t="e">
        <f>IF(OR($B799="",MIN(AE$38,$D$19)&lt;MAX($P$708*($B799+IF($R$17="Distrato",$I$38-1,0)),IF(AND($L$711=0,$P$708=0),"",$L$711-1),IF($R$17="Distrato",$E799,0))),0,YEARFRAC(MAX($P$708*($B799+IF($R$17="Distrato",$I$38-1,0)),IF(AND($L$711=0,$P$708=0),"",$L$711-1),IF($R$17="Distrato",$E799,0)),MIN(AE$38,$D$19),$P$20))-SUM($P799:AD799)</f>
        <v>#VALUE!</v>
      </c>
      <c r="AF799" s="446" t="e">
        <f>IF(OR($B799="",MIN(AF$38,$D$19)&lt;MAX($P$708*($B799+IF($R$17="Distrato",$I$38-1,0)),IF(AND($L$711=0,$P$708=0),"",$L$711-1),IF($R$17="Distrato",$E799,0))),0,YEARFRAC(MAX($P$708*($B799+IF($R$17="Distrato",$I$38-1,0)),IF(AND($L$711=0,$P$708=0),"",$L$711-1),IF($R$17="Distrato",$E799,0)),MIN(AF$38,$D$19),$P$20))-SUM($P799:AE799)</f>
        <v>#VALUE!</v>
      </c>
      <c r="AG799" s="446" t="e">
        <f>IF(OR($B799="",MIN(AG$38,$D$19)&lt;MAX($P$708*($B799+IF($R$17="Distrato",$I$38-1,0)),IF(AND($L$711=0,$P$708=0),"",$L$711-1),IF($R$17="Distrato",$E799,0))),0,YEARFRAC(MAX($P$708*($B799+IF($R$17="Distrato",$I$38-1,0)),IF(AND($L$711=0,$P$708=0),"",$L$711-1),IF($R$17="Distrato",$E799,0)),MIN(AG$38,$D$19),$P$20))-SUM($P799:AF799)</f>
        <v>#VALUE!</v>
      </c>
      <c r="AH799" s="446" t="e">
        <f>IF(OR($B799="",MIN(AH$38,$D$19)&lt;MAX($P$708*($B799+IF($R$17="Distrato",$I$38-1,0)),IF(AND($L$711=0,$P$708=0),"",$L$711-1),IF($R$17="Distrato",$E799,0))),0,YEARFRAC(MAX($P$708*($B799+IF($R$17="Distrato",$I$38-1,0)),IF(AND($L$711=0,$P$708=0),"",$L$711-1),IF($R$17="Distrato",$E799,0)),MIN(AH$38,$D$19),$P$20))-SUM($P799:AG799)</f>
        <v>#VALUE!</v>
      </c>
      <c r="AI799" s="446" t="e">
        <f>IF(OR($B799="",MIN(AI$38,$D$19)&lt;MAX($P$708*($B799+IF($R$17="Distrato",$I$38-1,0)),IF(AND($L$711=0,$P$708=0),"",$L$711-1),IF($R$17="Distrato",$E799,0))),0,YEARFRAC(MAX($P$708*($B799+IF($R$17="Distrato",$I$38-1,0)),IF(AND($L$711=0,$P$708=0),"",$L$711-1),IF($R$17="Distrato",$E799,0)),MIN(AI$38,$D$19),$P$20))-SUM($P799:AH799)</f>
        <v>#VALUE!</v>
      </c>
      <c r="AJ799" s="446" t="e">
        <f>IF(OR($B799="",MIN(AJ$38,$D$19)&lt;MAX($P$708*($B799+IF($R$17="Distrato",$I$38-1,0)),IF(AND($L$711=0,$P$708=0),"",$L$711-1),IF($R$17="Distrato",$E799,0))),0,YEARFRAC(MAX($P$708*($B799+IF($R$17="Distrato",$I$38-1,0)),IF(AND($L$711=0,$P$708=0),"",$L$711-1),IF($R$17="Distrato",$E799,0)),MIN(AJ$38,$D$19),$P$20))-SUM($P799:AI799)</f>
        <v>#VALUE!</v>
      </c>
      <c r="AK799" s="446" t="e">
        <f>IF(OR($B799="",MIN(AK$38,$D$19)&lt;MAX($P$708*($B799+IF($R$17="Distrato",$I$38-1,0)),IF(AND($L$711=0,$P$708=0),"",$L$711-1),IF($R$17="Distrato",$E799,0))),0,YEARFRAC(MAX($P$708*($B799+IF($R$17="Distrato",$I$38-1,0)),IF(AND($L$711=0,$P$708=0),"",$L$711-1),IF($R$17="Distrato",$E799,0)),MIN(AK$38,$D$19),$P$20))-SUM($P799:AJ799)</f>
        <v>#VALUE!</v>
      </c>
      <c r="AL799" s="446" t="e">
        <f>IF(OR($B799="",MIN(AL$38,$D$19)&lt;MAX($P$708*($B799+IF($R$17="Distrato",$I$38-1,0)),IF(AND($L$711=0,$P$708=0),"",$L$711-1),IF($R$17="Distrato",$E799,0))),0,YEARFRAC(MAX($P$708*($B799+IF($R$17="Distrato",$I$38-1,0)),IF(AND($L$711=0,$P$708=0),"",$L$711-1),IF($R$17="Distrato",$E799,0)),MIN(AL$38,$D$19),$P$20))-SUM($P799:AK799)</f>
        <v>#VALUE!</v>
      </c>
      <c r="AM799" s="446" t="e">
        <f>IF(OR($B799="",MIN(AM$38,$D$19)&lt;MAX($P$708*($B799+IF($R$17="Distrato",$I$38-1,0)),IF(AND($L$711=0,$P$708=0),"",$L$711-1),IF($R$17="Distrato",$E799,0))),0,YEARFRAC(MAX($P$708*($B799+IF($R$17="Distrato",$I$38-1,0)),IF(AND($L$711=0,$P$708=0),"",$L$711-1),IF($R$17="Distrato",$E799,0)),MIN(AM$38,$D$19),$P$20))-SUM($P799:AL799)</f>
        <v>#VALUE!</v>
      </c>
      <c r="AN799" s="446" t="e">
        <f>IF(OR($B799="",MIN(AN$38,$D$19)&lt;MAX($P$708*($B799+IF($R$17="Distrato",$I$38-1,0)),IF(AND($L$711=0,$P$708=0),"",$L$711-1),IF($R$17="Distrato",$E799,0))),0,YEARFRAC(MAX($P$708*($B799+IF($R$17="Distrato",$I$38-1,0)),IF(AND($L$711=0,$P$708=0),"",$L$711-1),IF($R$17="Distrato",$E799,0)),MIN(AN$38,$D$19),$P$20))-SUM($P799:AM799)</f>
        <v>#VALUE!</v>
      </c>
      <c r="AO799" s="446" t="e">
        <f>IF(OR($B799="",MIN(AO$38,$D$19)&lt;MAX($P$708*($B799+IF($R$17="Distrato",$I$38-1,0)),IF(AND($L$711=0,$P$708=0),"",$L$711-1),IF($R$17="Distrato",$E799,0))),0,YEARFRAC(MAX($P$708*($B799+IF($R$17="Distrato",$I$38-1,0)),IF(AND($L$711=0,$P$708=0),"",$L$711-1),IF($R$17="Distrato",$E799,0)),MIN(AO$38,$D$19),$P$20))-SUM($P799:AN799)</f>
        <v>#VALUE!</v>
      </c>
      <c r="AP799" s="446" t="e">
        <f>IF(OR($B799="",MIN(AP$38,$D$19)&lt;MAX($P$708*($B799+IF($R$17="Distrato",$I$38-1,0)),IF(AND($L$711=0,$P$708=0),"",$L$711-1),IF($R$17="Distrato",$E799,0))),0,YEARFRAC(MAX($P$708*($B799+IF($R$17="Distrato",$I$38-1,0)),IF(AND($L$711=0,$P$708=0),"",$L$711-1),IF($R$17="Distrato",$E799,0)),MIN(AP$38,$D$19),$P$20))-SUM($P799:AO799)</f>
        <v>#VALUE!</v>
      </c>
      <c r="AQ799" s="446" t="e">
        <f>IF(OR($B799="",MIN(AQ$38,$D$19)&lt;MAX($P$708*($B799+IF($R$17="Distrato",$I$38-1,0)),IF(AND($L$711=0,$P$708=0),"",$L$711-1),IF($R$17="Distrato",$E799,0))),0,YEARFRAC(MAX($P$708*($B799+IF($R$17="Distrato",$I$38-1,0)),IF(AND($L$711=0,$P$708=0),"",$L$711-1),IF($R$17="Distrato",$E799,0)),MIN(AQ$38,$D$19),$P$20))-SUM($P799:AP799)</f>
        <v>#VALUE!</v>
      </c>
      <c r="AR799" s="446" t="e">
        <f>IF(OR($B799="",MIN(AR$38,$D$19)&lt;MAX($P$708*($B799+IF($R$17="Distrato",$I$38-1,0)),IF(AND($L$711=0,$P$708=0),"",$L$711-1),IF($R$17="Distrato",$E799,0))),0,YEARFRAC(MAX($P$708*($B799+IF($R$17="Distrato",$I$38-1,0)),IF(AND($L$711=0,$P$708=0),"",$L$711-1),IF($R$17="Distrato",$E799,0)),MIN(AR$38,$D$19),$P$20))-SUM($P799:AQ799)</f>
        <v>#VALUE!</v>
      </c>
      <c r="AS799" s="446" t="e">
        <f>IF(OR($B799="",MIN(AS$38,$D$19)&lt;MAX($P$708*($B799+IF($R$17="Distrato",$I$38-1,0)),IF(AND($L$711=0,$P$708=0),"",$L$711-1),IF($R$17="Distrato",$E799,0))),0,YEARFRAC(MAX($P$708*($B799+IF($R$17="Distrato",$I$38-1,0)),IF(AND($L$711=0,$P$708=0),"",$L$711-1),IF($R$17="Distrato",$E799,0)),MIN(AS$38,$D$19),$P$20))-SUM($P799:AR799)</f>
        <v>#VALUE!</v>
      </c>
      <c r="AT799" s="446" t="e">
        <f>IF(OR($B799="",MIN(AT$38,$D$19)&lt;MAX($P$708*($B799+IF($R$17="Distrato",$I$38-1,0)),IF(AND($L$711=0,$P$708=0),"",$L$711-1),IF($R$17="Distrato",$E799,0))),0,YEARFRAC(MAX($P$708*($B799+IF($R$17="Distrato",$I$38-1,0)),IF(AND($L$711=0,$P$708=0),"",$L$711-1),IF($R$17="Distrato",$E799,0)),MIN(AT$38,$D$19),$P$20))-SUM($P799:AS799)</f>
        <v>#VALUE!</v>
      </c>
      <c r="AU799" s="446" t="e">
        <f>IF(OR($B799="",MIN(AU$38,$D$19)&lt;MAX($P$708*($B799+IF($R$17="Distrato",$I$38-1,0)),IF(AND($L$711=0,$P$708=0),"",$L$711-1),IF($R$17="Distrato",$E799,0))),0,YEARFRAC(MAX($P$708*($B799+IF($R$17="Distrato",$I$38-1,0)),IF(AND($L$711=0,$P$708=0),"",$L$711-1),IF($R$17="Distrato",$E799,0)),MIN(AU$38,$D$19),$P$20))-SUM($P799:AT799)</f>
        <v>#VALUE!</v>
      </c>
      <c r="AV799" s="446" t="e">
        <f>IF(OR($B799="",MIN(AV$38,$D$19)&lt;MAX($P$708*($B799+IF($R$17="Distrato",$I$38-1,0)),IF(AND($L$711=0,$P$708=0),"",$L$711-1),IF($R$17="Distrato",$E799,0))),0,YEARFRAC(MAX($P$708*($B799+IF($R$17="Distrato",$I$38-1,0)),IF(AND($L$711=0,$P$708=0),"",$L$711-1),IF($R$17="Distrato",$E799,0)),MIN(AV$38,$D$19),$P$20))-SUM($P799:AU799)</f>
        <v>#VALUE!</v>
      </c>
      <c r="AW799" s="446" t="e">
        <f>IF(OR($B799="",MIN(AW$38,$D$19)&lt;MAX($P$708*($B799+IF($R$17="Distrato",$I$38-1,0)),IF(AND($L$711=0,$P$708=0),"",$L$711-1),IF($R$17="Distrato",$E799,0))),0,YEARFRAC(MAX($P$708*($B799+IF($R$17="Distrato",$I$38-1,0)),IF(AND($L$711=0,$P$708=0),"",$L$711-1),IF($R$17="Distrato",$E799,0)),MIN(AW$38,$D$19),$P$20))-SUM($P799:AV799)</f>
        <v>#VALUE!</v>
      </c>
      <c r="AX799" s="446" t="e">
        <f>IF(OR($B799="",MIN(AX$38,$D$19)&lt;MAX($P$708*($B799+IF($R$17="Distrato",$I$38-1,0)),IF(AND($L$711=0,$P$708=0),"",$L$711-1),IF($R$17="Distrato",$E799,0))),0,YEARFRAC(MAX($P$708*($B799+IF($R$17="Distrato",$I$38-1,0)),IF(AND($L$711=0,$P$708=0),"",$L$711-1),IF($R$17="Distrato",$E799,0)),MIN(AX$38,$D$19),$P$20))-SUM($P799:AW799)</f>
        <v>#VALUE!</v>
      </c>
      <c r="AY799" s="446" t="e">
        <f>IF(OR($B799="",MIN(AY$38,$D$19)&lt;MAX($P$708*($B799+IF($R$17="Distrato",$I$38-1,0)),IF(AND($L$711=0,$P$708=0),"",$L$711-1),IF($R$17="Distrato",$E799,0))),0,YEARFRAC(MAX($P$708*($B799+IF($R$17="Distrato",$I$38-1,0)),IF(AND($L$711=0,$P$708=0),"",$L$711-1),IF($R$17="Distrato",$E799,0)),MIN(AY$38,$D$19),$P$20))-SUM($P799:AX799)</f>
        <v>#VALUE!</v>
      </c>
      <c r="AZ799" s="446" t="e">
        <f>IF(OR($B799="",MIN(AZ$38,$D$19)&lt;MAX($P$708*($B799+IF($R$17="Distrato",$I$38-1,0)),IF(AND($L$711=0,$P$708=0),"",$L$711-1),IF($R$17="Distrato",$E799,0))),0,YEARFRAC(MAX($P$708*($B799+IF($R$17="Distrato",$I$38-1,0)),IF(AND($L$711=0,$P$708=0),"",$L$711-1),IF($R$17="Distrato",$E799,0)),MIN(AZ$38,$D$19),$P$20))-SUM($P799:AY799)</f>
        <v>#VALUE!</v>
      </c>
      <c r="BA799" s="446" t="e">
        <f>IF(OR($B799="",MIN(BA$38,$D$19)&lt;MAX($P$708*($B799+IF($R$17="Distrato",$I$38-1,0)),IF(AND($L$711=0,$P$708=0),"",$L$711-1),IF($R$17="Distrato",$E799,0))),0,YEARFRAC(MAX($P$708*($B799+IF($R$17="Distrato",$I$38-1,0)),IF(AND($L$711=0,$P$708=0),"",$L$711-1),IF($R$17="Distrato",$E799,0)),MIN(BA$38,$D$19),$P$20))-SUM($P799:AZ799)</f>
        <v>#VALUE!</v>
      </c>
      <c r="BB799" s="447"/>
    </row>
    <row r="800" spans="1:54" s="446" customFormat="1" ht="11.25" hidden="1" customHeight="1" x14ac:dyDescent="0.2">
      <c r="A800" s="235"/>
      <c r="B800" s="236"/>
      <c r="C800" s="29" t="str">
        <f>IF(B800="","",IF($L$709=$BL$25,VLOOKUP(DATE(YEAR($D$19),MONTH($D$19)-1,1),ÍNDICES!$A:$DE,HLOOKUP($BL$25,ÍNDICES!$B$3:$T$4,2)+11)-VLOOKUP(B800,ÍNDICES!$A:$DE,HLOOKUP($BL$25,ÍNDICES!$B$3:$T$4,2)+11)+1%,IF(C$712=$W$26,$J$35,IF(ISERROR(IF(B800&gt;$D$19,1,VLOOKUP(DATE(YEAR(B800),MONTH(B800)+IF($C$709=$S$23,1,0),1),ÍNDICES!$A:$DE,$Z$709+1))),"",IF(B800&gt;$D$19,1,VLOOKUP(DATE(YEAR(B800),MONTH(B800)+IF($C$709=$S$23,1,0),1),ÍNDICES!$A:$DE,$Z$709+1))))))</f>
        <v/>
      </c>
      <c r="D800" s="155"/>
      <c r="E800" s="88"/>
      <c r="F800" s="88"/>
      <c r="G800" s="88"/>
      <c r="H800" s="118"/>
      <c r="I800" s="182">
        <f t="shared" si="122"/>
        <v>0</v>
      </c>
      <c r="J800" s="20">
        <f t="shared" ca="1" si="123"/>
        <v>0</v>
      </c>
      <c r="K800" s="5">
        <f t="shared" ca="1" si="124"/>
        <v>0</v>
      </c>
      <c r="L800" s="61">
        <f t="shared" ca="1" si="125"/>
        <v>0</v>
      </c>
      <c r="M800" s="64">
        <f t="shared" si="126"/>
        <v>0</v>
      </c>
      <c r="N800" s="151"/>
      <c r="O800" s="5">
        <f t="shared" ca="1" si="127"/>
        <v>0</v>
      </c>
      <c r="P800" s="446" t="e">
        <f t="shared" si="128"/>
        <v>#VALUE!</v>
      </c>
      <c r="Q800" s="446" t="e">
        <f>IF(OR($B800="",MIN(Q$38,$D$19)&lt;MAX($P$708*($B800+IF($R$17="Distrato",$I$38-1,0)),IF(AND($L$711=0,$P$708=0),"",$L$711-1),IF($R$17="Distrato",$E800,0))),0,YEARFRAC(MAX($P$708*($B800+IF($R$17="Distrato",$I$38-1,0)),IF(AND($L$711=0,$P$708=0),"",$L$711-1),IF($R$17="Distrato",$E800,0)),MIN(Q$38,$D$19),$P$20))-SUM($P800:P800)</f>
        <v>#VALUE!</v>
      </c>
      <c r="R800" s="446" t="e">
        <f>IF(OR($B800="",MIN(R$38,$D$19)&lt;MAX($P$708*($B800+IF($R$17="Distrato",$I$38-1,0)),IF(AND($L$711=0,$P$708=0),"",$L$711-1),IF($R$17="Distrato",$E800,0))),0,YEARFRAC(MAX($P$708*($B800+IF($R$17="Distrato",$I$38-1,0)),IF(AND($L$711=0,$P$708=0),"",$L$711-1),IF($R$17="Distrato",$E800,0)),MIN(R$38,$D$19),$P$20))-SUM($P800:Q800)</f>
        <v>#VALUE!</v>
      </c>
      <c r="S800" s="446" t="e">
        <f>IF(OR($B800="",MIN(S$38,$D$19)&lt;MAX($P$708*($B800+IF($R$17="Distrato",$I$38-1,0)),IF(AND($L$711=0,$P$708=0),"",$L$711-1),IF($R$17="Distrato",$E800,0))),0,YEARFRAC(MAX($P$708*($B800+IF($R$17="Distrato",$I$38-1,0)),IF(AND($L$711=0,$P$708=0),"",$L$711-1),IF($R$17="Distrato",$E800,0)),MIN(S$38,$D$19),$P$20))-SUM($P800:R800)</f>
        <v>#VALUE!</v>
      </c>
      <c r="T800" s="446" t="e">
        <f>IF(OR($B800="",MIN(T$38,$D$19)&lt;MAX($P$708*($B800+IF($R$17="Distrato",$I$38-1,0)),IF(AND($L$711=0,$P$708=0),"",$L$711-1),IF($R$17="Distrato",$E800,0))),0,YEARFRAC(MAX($P$708*($B800+IF($R$17="Distrato",$I$38-1,0)),IF(AND($L$711=0,$P$708=0),"",$L$711-1),IF($R$17="Distrato",$E800,0)),MIN(T$38,$D$19),$P$20))-SUM($P800:S800)</f>
        <v>#VALUE!</v>
      </c>
      <c r="U800" s="446" t="e">
        <f>IF(OR($B800="",MIN(U$38,$D$19)&lt;MAX($P$708*($B800+IF($R$17="Distrato",$I$38-1,0)),IF(AND($L$711=0,$P$708=0),"",$L$711-1),IF($R$17="Distrato",$E800,0))),0,YEARFRAC(MAX($P$708*($B800+IF($R$17="Distrato",$I$38-1,0)),IF(AND($L$711=0,$P$708=0),"",$L$711-1),IF($R$17="Distrato",$E800,0)),MIN(U$38,$D$19),$P$20))-SUM($P800:T800)</f>
        <v>#VALUE!</v>
      </c>
      <c r="V800" s="446" t="e">
        <f>IF(OR($B800="",MIN(V$38,$D$19)&lt;MAX($P$708*($B800+IF($R$17="Distrato",$I$38-1,0)),IF(AND($L$711=0,$P$708=0),"",$L$711-1),IF($R$17="Distrato",$E800,0))),0,YEARFRAC(MAX($P$708*($B800+IF($R$17="Distrato",$I$38-1,0)),IF(AND($L$711=0,$P$708=0),"",$L$711-1),IF($R$17="Distrato",$E800,0)),MIN(V$38,$D$19),$P$20))-SUM($P800:U800)</f>
        <v>#VALUE!</v>
      </c>
      <c r="W800" s="446" t="e">
        <f>IF(OR($B800="",MIN(W$38,$D$19)&lt;MAX($P$708*($B800+IF($R$17="Distrato",$I$38-1,0)),IF(AND($L$711=0,$P$708=0),"",$L$711-1),IF($R$17="Distrato",$E800,0))),0,YEARFRAC(MAX($P$708*($B800+IF($R$17="Distrato",$I$38-1,0)),IF(AND($L$711=0,$P$708=0),"",$L$711-1),IF($R$17="Distrato",$E800,0)),MIN(W$38,$D$19),$P$20))-SUM($P800:V800)</f>
        <v>#VALUE!</v>
      </c>
      <c r="X800" s="446" t="e">
        <f>IF(OR($B800="",MIN(X$38,$D$19)&lt;MAX($P$708*($B800+IF($R$17="Distrato",$I$38-1,0)),IF(AND($L$711=0,$P$708=0),"",$L$711-1),IF($R$17="Distrato",$E800,0))),0,YEARFRAC(MAX($P$708*($B800+IF($R$17="Distrato",$I$38-1,0)),IF(AND($L$711=0,$P$708=0),"",$L$711-1),IF($R$17="Distrato",$E800,0)),MIN(X$38,$D$19),$P$20))-SUM($P800:W800)</f>
        <v>#VALUE!</v>
      </c>
      <c r="Y800" s="446" t="e">
        <f>IF(OR($B800="",MIN(Y$38,$D$19)&lt;MAX($P$708*($B800+IF($R$17="Distrato",$I$38-1,0)),IF(AND($L$711=0,$P$708=0),"",$L$711-1),IF($R$17="Distrato",$E800,0))),0,YEARFRAC(MAX($P$708*($B800+IF($R$17="Distrato",$I$38-1,0)),IF(AND($L$711=0,$P$708=0),"",$L$711-1),IF($R$17="Distrato",$E800,0)),MIN(Y$38,$D$19),$P$20))-SUM($P800:X800)</f>
        <v>#VALUE!</v>
      </c>
      <c r="Z800" s="446" t="e">
        <f>IF(OR($B800="",MIN(Z$38,$D$19)&lt;MAX($P$708*($B800+IF($R$17="Distrato",$I$38-1,0)),IF(AND($L$711=0,$P$708=0),"",$L$711-1),IF($R$17="Distrato",$E800,0))),0,YEARFRAC(MAX($P$708*($B800+IF($R$17="Distrato",$I$38-1,0)),IF(AND($L$711=0,$P$708=0),"",$L$711-1),IF($R$17="Distrato",$E800,0)),MIN(Z$38,$D$19),$P$20))-SUM($P800:Y800)</f>
        <v>#VALUE!</v>
      </c>
      <c r="AA800" s="446" t="e">
        <f>IF(OR($B800="",MIN(AA$38,$D$19)&lt;MAX($P$708*($B800+IF($R$17="Distrato",$I$38-1,0)),IF(AND($L$711=0,$P$708=0),"",$L$711-1),IF($R$17="Distrato",$E800,0))),0,YEARFRAC(MAX($P$708*($B800+IF($R$17="Distrato",$I$38-1,0)),IF(AND($L$711=0,$P$708=0),"",$L$711-1),IF($R$17="Distrato",$E800,0)),MIN(AA$38,$D$19),$P$20))-SUM($P800:Z800)</f>
        <v>#VALUE!</v>
      </c>
      <c r="AB800" s="446" t="e">
        <f>IF(OR($B800="",MIN(AB$38,$D$19)&lt;MAX($P$708*($B800+IF($R$17="Distrato",$I$38-1,0)),IF(AND($L$711=0,$P$708=0),"",$L$711-1),IF($R$17="Distrato",$E800,0))),0,YEARFRAC(MAX($P$708*($B800+IF($R$17="Distrato",$I$38-1,0)),IF(AND($L$711=0,$P$708=0),"",$L$711-1),IF($R$17="Distrato",$E800,0)),MIN(AB$38,$D$19),$P$20))-SUM($P800:AA800)</f>
        <v>#VALUE!</v>
      </c>
      <c r="AC800" s="446" t="e">
        <f>IF(OR($B800="",MIN(AC$38,$D$19)&lt;MAX($P$708*($B800+IF($R$17="Distrato",$I$38-1,0)),IF(AND($L$711=0,$P$708=0),"",$L$711-1),IF($R$17="Distrato",$E800,0))),0,YEARFRAC(MAX($P$708*($B800+IF($R$17="Distrato",$I$38-1,0)),IF(AND($L$711=0,$P$708=0),"",$L$711-1),IF($R$17="Distrato",$E800,0)),MIN(AC$38,$D$19),$P$20))-SUM($P800:AB800)</f>
        <v>#VALUE!</v>
      </c>
      <c r="AD800" s="446" t="e">
        <f>IF(OR($B800="",MIN(AD$38,$D$19)&lt;MAX($P$708*($B800+IF($R$17="Distrato",$I$38-1,0)),IF(AND($L$711=0,$P$708=0),"",$L$711-1),IF($R$17="Distrato",$E800,0))),0,YEARFRAC(MAX($P$708*($B800+IF($R$17="Distrato",$I$38-1,0)),IF(AND($L$711=0,$P$708=0),"",$L$711-1),IF($R$17="Distrato",$E800,0)),MIN(AD$38,$D$19),$P$20))-SUM($P800:AC800)</f>
        <v>#VALUE!</v>
      </c>
      <c r="AE800" s="446" t="e">
        <f>IF(OR($B800="",MIN(AE$38,$D$19)&lt;MAX($P$708*($B800+IF($R$17="Distrato",$I$38-1,0)),IF(AND($L$711=0,$P$708=0),"",$L$711-1),IF($R$17="Distrato",$E800,0))),0,YEARFRAC(MAX($P$708*($B800+IF($R$17="Distrato",$I$38-1,0)),IF(AND($L$711=0,$P$708=0),"",$L$711-1),IF($R$17="Distrato",$E800,0)),MIN(AE$38,$D$19),$P$20))-SUM($P800:AD800)</f>
        <v>#VALUE!</v>
      </c>
      <c r="AF800" s="446" t="e">
        <f>IF(OR($B800="",MIN(AF$38,$D$19)&lt;MAX($P$708*($B800+IF($R$17="Distrato",$I$38-1,0)),IF(AND($L$711=0,$P$708=0),"",$L$711-1),IF($R$17="Distrato",$E800,0))),0,YEARFRAC(MAX($P$708*($B800+IF($R$17="Distrato",$I$38-1,0)),IF(AND($L$711=0,$P$708=0),"",$L$711-1),IF($R$17="Distrato",$E800,0)),MIN(AF$38,$D$19),$P$20))-SUM($P800:AE800)</f>
        <v>#VALUE!</v>
      </c>
      <c r="AG800" s="446" t="e">
        <f>IF(OR($B800="",MIN(AG$38,$D$19)&lt;MAX($P$708*($B800+IF($R$17="Distrato",$I$38-1,0)),IF(AND($L$711=0,$P$708=0),"",$L$711-1),IF($R$17="Distrato",$E800,0))),0,YEARFRAC(MAX($P$708*($B800+IF($R$17="Distrato",$I$38-1,0)),IF(AND($L$711=0,$P$708=0),"",$L$711-1),IF($R$17="Distrato",$E800,0)),MIN(AG$38,$D$19),$P$20))-SUM($P800:AF800)</f>
        <v>#VALUE!</v>
      </c>
      <c r="AH800" s="446" t="e">
        <f>IF(OR($B800="",MIN(AH$38,$D$19)&lt;MAX($P$708*($B800+IF($R$17="Distrato",$I$38-1,0)),IF(AND($L$711=0,$P$708=0),"",$L$711-1),IF($R$17="Distrato",$E800,0))),0,YEARFRAC(MAX($P$708*($B800+IF($R$17="Distrato",$I$38-1,0)),IF(AND($L$711=0,$P$708=0),"",$L$711-1),IF($R$17="Distrato",$E800,0)),MIN(AH$38,$D$19),$P$20))-SUM($P800:AG800)</f>
        <v>#VALUE!</v>
      </c>
      <c r="AI800" s="446" t="e">
        <f>IF(OR($B800="",MIN(AI$38,$D$19)&lt;MAX($P$708*($B800+IF($R$17="Distrato",$I$38-1,0)),IF(AND($L$711=0,$P$708=0),"",$L$711-1),IF($R$17="Distrato",$E800,0))),0,YEARFRAC(MAX($P$708*($B800+IF($R$17="Distrato",$I$38-1,0)),IF(AND($L$711=0,$P$708=0),"",$L$711-1),IF($R$17="Distrato",$E800,0)),MIN(AI$38,$D$19),$P$20))-SUM($P800:AH800)</f>
        <v>#VALUE!</v>
      </c>
      <c r="AJ800" s="446" t="e">
        <f>IF(OR($B800="",MIN(AJ$38,$D$19)&lt;MAX($P$708*($B800+IF($R$17="Distrato",$I$38-1,0)),IF(AND($L$711=0,$P$708=0),"",$L$711-1),IF($R$17="Distrato",$E800,0))),0,YEARFRAC(MAX($P$708*($B800+IF($R$17="Distrato",$I$38-1,0)),IF(AND($L$711=0,$P$708=0),"",$L$711-1),IF($R$17="Distrato",$E800,0)),MIN(AJ$38,$D$19),$P$20))-SUM($P800:AI800)</f>
        <v>#VALUE!</v>
      </c>
      <c r="AK800" s="446" t="e">
        <f>IF(OR($B800="",MIN(AK$38,$D$19)&lt;MAX($P$708*($B800+IF($R$17="Distrato",$I$38-1,0)),IF(AND($L$711=0,$P$708=0),"",$L$711-1),IF($R$17="Distrato",$E800,0))),0,YEARFRAC(MAX($P$708*($B800+IF($R$17="Distrato",$I$38-1,0)),IF(AND($L$711=0,$P$708=0),"",$L$711-1),IF($R$17="Distrato",$E800,0)),MIN(AK$38,$D$19),$P$20))-SUM($P800:AJ800)</f>
        <v>#VALUE!</v>
      </c>
      <c r="AL800" s="446" t="e">
        <f>IF(OR($B800="",MIN(AL$38,$D$19)&lt;MAX($P$708*($B800+IF($R$17="Distrato",$I$38-1,0)),IF(AND($L$711=0,$P$708=0),"",$L$711-1),IF($R$17="Distrato",$E800,0))),0,YEARFRAC(MAX($P$708*($B800+IF($R$17="Distrato",$I$38-1,0)),IF(AND($L$711=0,$P$708=0),"",$L$711-1),IF($R$17="Distrato",$E800,0)),MIN(AL$38,$D$19),$P$20))-SUM($P800:AK800)</f>
        <v>#VALUE!</v>
      </c>
      <c r="AM800" s="446" t="e">
        <f>IF(OR($B800="",MIN(AM$38,$D$19)&lt;MAX($P$708*($B800+IF($R$17="Distrato",$I$38-1,0)),IF(AND($L$711=0,$P$708=0),"",$L$711-1),IF($R$17="Distrato",$E800,0))),0,YEARFRAC(MAX($P$708*($B800+IF($R$17="Distrato",$I$38-1,0)),IF(AND($L$711=0,$P$708=0),"",$L$711-1),IF($R$17="Distrato",$E800,0)),MIN(AM$38,$D$19),$P$20))-SUM($P800:AL800)</f>
        <v>#VALUE!</v>
      </c>
      <c r="AN800" s="446" t="e">
        <f>IF(OR($B800="",MIN(AN$38,$D$19)&lt;MAX($P$708*($B800+IF($R$17="Distrato",$I$38-1,0)),IF(AND($L$711=0,$P$708=0),"",$L$711-1),IF($R$17="Distrato",$E800,0))),0,YEARFRAC(MAX($P$708*($B800+IF($R$17="Distrato",$I$38-1,0)),IF(AND($L$711=0,$P$708=0),"",$L$711-1),IF($R$17="Distrato",$E800,0)),MIN(AN$38,$D$19),$P$20))-SUM($P800:AM800)</f>
        <v>#VALUE!</v>
      </c>
      <c r="AO800" s="446" t="e">
        <f>IF(OR($B800="",MIN(AO$38,$D$19)&lt;MAX($P$708*($B800+IF($R$17="Distrato",$I$38-1,0)),IF(AND($L$711=0,$P$708=0),"",$L$711-1),IF($R$17="Distrato",$E800,0))),0,YEARFRAC(MAX($P$708*($B800+IF($R$17="Distrato",$I$38-1,0)),IF(AND($L$711=0,$P$708=0),"",$L$711-1),IF($R$17="Distrato",$E800,0)),MIN(AO$38,$D$19),$P$20))-SUM($P800:AN800)</f>
        <v>#VALUE!</v>
      </c>
      <c r="AP800" s="446" t="e">
        <f>IF(OR($B800="",MIN(AP$38,$D$19)&lt;MAX($P$708*($B800+IF($R$17="Distrato",$I$38-1,0)),IF(AND($L$711=0,$P$708=0),"",$L$711-1),IF($R$17="Distrato",$E800,0))),0,YEARFRAC(MAX($P$708*($B800+IF($R$17="Distrato",$I$38-1,0)),IF(AND($L$711=0,$P$708=0),"",$L$711-1),IF($R$17="Distrato",$E800,0)),MIN(AP$38,$D$19),$P$20))-SUM($P800:AO800)</f>
        <v>#VALUE!</v>
      </c>
      <c r="AQ800" s="446" t="e">
        <f>IF(OR($B800="",MIN(AQ$38,$D$19)&lt;MAX($P$708*($B800+IF($R$17="Distrato",$I$38-1,0)),IF(AND($L$711=0,$P$708=0),"",$L$711-1),IF($R$17="Distrato",$E800,0))),0,YEARFRAC(MAX($P$708*($B800+IF($R$17="Distrato",$I$38-1,0)),IF(AND($L$711=0,$P$708=0),"",$L$711-1),IF($R$17="Distrato",$E800,0)),MIN(AQ$38,$D$19),$P$20))-SUM($P800:AP800)</f>
        <v>#VALUE!</v>
      </c>
      <c r="AR800" s="446" t="e">
        <f>IF(OR($B800="",MIN(AR$38,$D$19)&lt;MAX($P$708*($B800+IF($R$17="Distrato",$I$38-1,0)),IF(AND($L$711=0,$P$708=0),"",$L$711-1),IF($R$17="Distrato",$E800,0))),0,YEARFRAC(MAX($P$708*($B800+IF($R$17="Distrato",$I$38-1,0)),IF(AND($L$711=0,$P$708=0),"",$L$711-1),IF($R$17="Distrato",$E800,0)),MIN(AR$38,$D$19),$P$20))-SUM($P800:AQ800)</f>
        <v>#VALUE!</v>
      </c>
      <c r="AS800" s="446" t="e">
        <f>IF(OR($B800="",MIN(AS$38,$D$19)&lt;MAX($P$708*($B800+IF($R$17="Distrato",$I$38-1,0)),IF(AND($L$711=0,$P$708=0),"",$L$711-1),IF($R$17="Distrato",$E800,0))),0,YEARFRAC(MAX($P$708*($B800+IF($R$17="Distrato",$I$38-1,0)),IF(AND($L$711=0,$P$708=0),"",$L$711-1),IF($R$17="Distrato",$E800,0)),MIN(AS$38,$D$19),$P$20))-SUM($P800:AR800)</f>
        <v>#VALUE!</v>
      </c>
      <c r="AT800" s="446" t="e">
        <f>IF(OR($B800="",MIN(AT$38,$D$19)&lt;MAX($P$708*($B800+IF($R$17="Distrato",$I$38-1,0)),IF(AND($L$711=0,$P$708=0),"",$L$711-1),IF($R$17="Distrato",$E800,0))),0,YEARFRAC(MAX($P$708*($B800+IF($R$17="Distrato",$I$38-1,0)),IF(AND($L$711=0,$P$708=0),"",$L$711-1),IF($R$17="Distrato",$E800,0)),MIN(AT$38,$D$19),$P$20))-SUM($P800:AS800)</f>
        <v>#VALUE!</v>
      </c>
      <c r="AU800" s="446" t="e">
        <f>IF(OR($B800="",MIN(AU$38,$D$19)&lt;MAX($P$708*($B800+IF($R$17="Distrato",$I$38-1,0)),IF(AND($L$711=0,$P$708=0),"",$L$711-1),IF($R$17="Distrato",$E800,0))),0,YEARFRAC(MAX($P$708*($B800+IF($R$17="Distrato",$I$38-1,0)),IF(AND($L$711=0,$P$708=0),"",$L$711-1),IF($R$17="Distrato",$E800,0)),MIN(AU$38,$D$19),$P$20))-SUM($P800:AT800)</f>
        <v>#VALUE!</v>
      </c>
      <c r="AV800" s="446" t="e">
        <f>IF(OR($B800="",MIN(AV$38,$D$19)&lt;MAX($P$708*($B800+IF($R$17="Distrato",$I$38-1,0)),IF(AND($L$711=0,$P$708=0),"",$L$711-1),IF($R$17="Distrato",$E800,0))),0,YEARFRAC(MAX($P$708*($B800+IF($R$17="Distrato",$I$38-1,0)),IF(AND($L$711=0,$P$708=0),"",$L$711-1),IF($R$17="Distrato",$E800,0)),MIN(AV$38,$D$19),$P$20))-SUM($P800:AU800)</f>
        <v>#VALUE!</v>
      </c>
      <c r="AW800" s="446" t="e">
        <f>IF(OR($B800="",MIN(AW$38,$D$19)&lt;MAX($P$708*($B800+IF($R$17="Distrato",$I$38-1,0)),IF(AND($L$711=0,$P$708=0),"",$L$711-1),IF($R$17="Distrato",$E800,0))),0,YEARFRAC(MAX($P$708*($B800+IF($R$17="Distrato",$I$38-1,0)),IF(AND($L$711=0,$P$708=0),"",$L$711-1),IF($R$17="Distrato",$E800,0)),MIN(AW$38,$D$19),$P$20))-SUM($P800:AV800)</f>
        <v>#VALUE!</v>
      </c>
      <c r="AX800" s="446" t="e">
        <f>IF(OR($B800="",MIN(AX$38,$D$19)&lt;MAX($P$708*($B800+IF($R$17="Distrato",$I$38-1,0)),IF(AND($L$711=0,$P$708=0),"",$L$711-1),IF($R$17="Distrato",$E800,0))),0,YEARFRAC(MAX($P$708*($B800+IF($R$17="Distrato",$I$38-1,0)),IF(AND($L$711=0,$P$708=0),"",$L$711-1),IF($R$17="Distrato",$E800,0)),MIN(AX$38,$D$19),$P$20))-SUM($P800:AW800)</f>
        <v>#VALUE!</v>
      </c>
      <c r="AY800" s="446" t="e">
        <f>IF(OR($B800="",MIN(AY$38,$D$19)&lt;MAX($P$708*($B800+IF($R$17="Distrato",$I$38-1,0)),IF(AND($L$711=0,$P$708=0),"",$L$711-1),IF($R$17="Distrato",$E800,0))),0,YEARFRAC(MAX($P$708*($B800+IF($R$17="Distrato",$I$38-1,0)),IF(AND($L$711=0,$P$708=0),"",$L$711-1),IF($R$17="Distrato",$E800,0)),MIN(AY$38,$D$19),$P$20))-SUM($P800:AX800)</f>
        <v>#VALUE!</v>
      </c>
      <c r="AZ800" s="446" t="e">
        <f>IF(OR($B800="",MIN(AZ$38,$D$19)&lt;MAX($P$708*($B800+IF($R$17="Distrato",$I$38-1,0)),IF(AND($L$711=0,$P$708=0),"",$L$711-1),IF($R$17="Distrato",$E800,0))),0,YEARFRAC(MAX($P$708*($B800+IF($R$17="Distrato",$I$38-1,0)),IF(AND($L$711=0,$P$708=0),"",$L$711-1),IF($R$17="Distrato",$E800,0)),MIN(AZ$38,$D$19),$P$20))-SUM($P800:AY800)</f>
        <v>#VALUE!</v>
      </c>
      <c r="BA800" s="446" t="e">
        <f>IF(OR($B800="",MIN(BA$38,$D$19)&lt;MAX($P$708*($B800+IF($R$17="Distrato",$I$38-1,0)),IF(AND($L$711=0,$P$708=0),"",$L$711-1),IF($R$17="Distrato",$E800,0))),0,YEARFRAC(MAX($P$708*($B800+IF($R$17="Distrato",$I$38-1,0)),IF(AND($L$711=0,$P$708=0),"",$L$711-1),IF($R$17="Distrato",$E800,0)),MIN(BA$38,$D$19),$P$20))-SUM($P800:AZ800)</f>
        <v>#VALUE!</v>
      </c>
      <c r="BB800" s="447"/>
    </row>
    <row r="801" spans="1:54" s="446" customFormat="1" ht="11.25" hidden="1" customHeight="1" x14ac:dyDescent="0.2">
      <c r="A801" s="235"/>
      <c r="B801" s="236"/>
      <c r="C801" s="29" t="str">
        <f>IF(B801="","",IF($L$709=$BL$25,VLOOKUP(DATE(YEAR($D$19),MONTH($D$19)-1,1),ÍNDICES!$A:$DE,HLOOKUP($BL$25,ÍNDICES!$B$3:$T$4,2)+11)-VLOOKUP(B801,ÍNDICES!$A:$DE,HLOOKUP($BL$25,ÍNDICES!$B$3:$T$4,2)+11)+1%,IF(C$712=$W$26,$J$35,IF(ISERROR(IF(B801&gt;$D$19,1,VLOOKUP(DATE(YEAR(B801),MONTH(B801)+IF($C$709=$S$23,1,0),1),ÍNDICES!$A:$DE,$Z$709+1))),"",IF(B801&gt;$D$19,1,VLOOKUP(DATE(YEAR(B801),MONTH(B801)+IF($C$709=$S$23,1,0),1),ÍNDICES!$A:$DE,$Z$709+1))))))</f>
        <v/>
      </c>
      <c r="D801" s="155"/>
      <c r="E801" s="88"/>
      <c r="F801" s="88"/>
      <c r="G801" s="88"/>
      <c r="H801" s="118"/>
      <c r="I801" s="182">
        <f t="shared" si="122"/>
        <v>0</v>
      </c>
      <c r="J801" s="20">
        <f t="shared" ca="1" si="123"/>
        <v>0</v>
      </c>
      <c r="K801" s="5">
        <f t="shared" ca="1" si="124"/>
        <v>0</v>
      </c>
      <c r="L801" s="61">
        <f t="shared" ca="1" si="125"/>
        <v>0</v>
      </c>
      <c r="M801" s="64">
        <f t="shared" si="126"/>
        <v>0</v>
      </c>
      <c r="N801" s="151"/>
      <c r="O801" s="5">
        <f t="shared" ca="1" si="127"/>
        <v>0</v>
      </c>
      <c r="P801" s="446" t="e">
        <f t="shared" si="128"/>
        <v>#VALUE!</v>
      </c>
      <c r="Q801" s="446" t="e">
        <f>IF(OR($B801="",MIN(Q$38,$D$19)&lt;MAX($P$708*($B801+IF($R$17="Distrato",$I$38-1,0)),IF(AND($L$711=0,$P$708=0),"",$L$711-1),IF($R$17="Distrato",$E801,0))),0,YEARFRAC(MAX($P$708*($B801+IF($R$17="Distrato",$I$38-1,0)),IF(AND($L$711=0,$P$708=0),"",$L$711-1),IF($R$17="Distrato",$E801,0)),MIN(Q$38,$D$19),$P$20))-SUM($P801:P801)</f>
        <v>#VALUE!</v>
      </c>
      <c r="R801" s="446" t="e">
        <f>IF(OR($B801="",MIN(R$38,$D$19)&lt;MAX($P$708*($B801+IF($R$17="Distrato",$I$38-1,0)),IF(AND($L$711=0,$P$708=0),"",$L$711-1),IF($R$17="Distrato",$E801,0))),0,YEARFRAC(MAX($P$708*($B801+IF($R$17="Distrato",$I$38-1,0)),IF(AND($L$711=0,$P$708=0),"",$L$711-1),IF($R$17="Distrato",$E801,0)),MIN(R$38,$D$19),$P$20))-SUM($P801:Q801)</f>
        <v>#VALUE!</v>
      </c>
      <c r="S801" s="446" t="e">
        <f>IF(OR($B801="",MIN(S$38,$D$19)&lt;MAX($P$708*($B801+IF($R$17="Distrato",$I$38-1,0)),IF(AND($L$711=0,$P$708=0),"",$L$711-1),IF($R$17="Distrato",$E801,0))),0,YEARFRAC(MAX($P$708*($B801+IF($R$17="Distrato",$I$38-1,0)),IF(AND($L$711=0,$P$708=0),"",$L$711-1),IF($R$17="Distrato",$E801,0)),MIN(S$38,$D$19),$P$20))-SUM($P801:R801)</f>
        <v>#VALUE!</v>
      </c>
      <c r="T801" s="446" t="e">
        <f>IF(OR($B801="",MIN(T$38,$D$19)&lt;MAX($P$708*($B801+IF($R$17="Distrato",$I$38-1,0)),IF(AND($L$711=0,$P$708=0),"",$L$711-1),IF($R$17="Distrato",$E801,0))),0,YEARFRAC(MAX($P$708*($B801+IF($R$17="Distrato",$I$38-1,0)),IF(AND($L$711=0,$P$708=0),"",$L$711-1),IF($R$17="Distrato",$E801,0)),MIN(T$38,$D$19),$P$20))-SUM($P801:S801)</f>
        <v>#VALUE!</v>
      </c>
      <c r="U801" s="446" t="e">
        <f>IF(OR($B801="",MIN(U$38,$D$19)&lt;MAX($P$708*($B801+IF($R$17="Distrato",$I$38-1,0)),IF(AND($L$711=0,$P$708=0),"",$L$711-1),IF($R$17="Distrato",$E801,0))),0,YEARFRAC(MAX($P$708*($B801+IF($R$17="Distrato",$I$38-1,0)),IF(AND($L$711=0,$P$708=0),"",$L$711-1),IF($R$17="Distrato",$E801,0)),MIN(U$38,$D$19),$P$20))-SUM($P801:T801)</f>
        <v>#VALUE!</v>
      </c>
      <c r="V801" s="446" t="e">
        <f>IF(OR($B801="",MIN(V$38,$D$19)&lt;MAX($P$708*($B801+IF($R$17="Distrato",$I$38-1,0)),IF(AND($L$711=0,$P$708=0),"",$L$711-1),IF($R$17="Distrato",$E801,0))),0,YEARFRAC(MAX($P$708*($B801+IF($R$17="Distrato",$I$38-1,0)),IF(AND($L$711=0,$P$708=0),"",$L$711-1),IF($R$17="Distrato",$E801,0)),MIN(V$38,$D$19),$P$20))-SUM($P801:U801)</f>
        <v>#VALUE!</v>
      </c>
      <c r="W801" s="446" t="e">
        <f>IF(OR($B801="",MIN(W$38,$D$19)&lt;MAX($P$708*($B801+IF($R$17="Distrato",$I$38-1,0)),IF(AND($L$711=0,$P$708=0),"",$L$711-1),IF($R$17="Distrato",$E801,0))),0,YEARFRAC(MAX($P$708*($B801+IF($R$17="Distrato",$I$38-1,0)),IF(AND($L$711=0,$P$708=0),"",$L$711-1),IF($R$17="Distrato",$E801,0)),MIN(W$38,$D$19),$P$20))-SUM($P801:V801)</f>
        <v>#VALUE!</v>
      </c>
      <c r="X801" s="446" t="e">
        <f>IF(OR($B801="",MIN(X$38,$D$19)&lt;MAX($P$708*($B801+IF($R$17="Distrato",$I$38-1,0)),IF(AND($L$711=0,$P$708=0),"",$L$711-1),IF($R$17="Distrato",$E801,0))),0,YEARFRAC(MAX($P$708*($B801+IF($R$17="Distrato",$I$38-1,0)),IF(AND($L$711=0,$P$708=0),"",$L$711-1),IF($R$17="Distrato",$E801,0)),MIN(X$38,$D$19),$P$20))-SUM($P801:W801)</f>
        <v>#VALUE!</v>
      </c>
      <c r="Y801" s="446" t="e">
        <f>IF(OR($B801="",MIN(Y$38,$D$19)&lt;MAX($P$708*($B801+IF($R$17="Distrato",$I$38-1,0)),IF(AND($L$711=0,$P$708=0),"",$L$711-1),IF($R$17="Distrato",$E801,0))),0,YEARFRAC(MAX($P$708*($B801+IF($R$17="Distrato",$I$38-1,0)),IF(AND($L$711=0,$P$708=0),"",$L$711-1),IF($R$17="Distrato",$E801,0)),MIN(Y$38,$D$19),$P$20))-SUM($P801:X801)</f>
        <v>#VALUE!</v>
      </c>
      <c r="Z801" s="446" t="e">
        <f>IF(OR($B801="",MIN(Z$38,$D$19)&lt;MAX($P$708*($B801+IF($R$17="Distrato",$I$38-1,0)),IF(AND($L$711=0,$P$708=0),"",$L$711-1),IF($R$17="Distrato",$E801,0))),0,YEARFRAC(MAX($P$708*($B801+IF($R$17="Distrato",$I$38-1,0)),IF(AND($L$711=0,$P$708=0),"",$L$711-1),IF($R$17="Distrato",$E801,0)),MIN(Z$38,$D$19),$P$20))-SUM($P801:Y801)</f>
        <v>#VALUE!</v>
      </c>
      <c r="AA801" s="446" t="e">
        <f>IF(OR($B801="",MIN(AA$38,$D$19)&lt;MAX($P$708*($B801+IF($R$17="Distrato",$I$38-1,0)),IF(AND($L$711=0,$P$708=0),"",$L$711-1),IF($R$17="Distrato",$E801,0))),0,YEARFRAC(MAX($P$708*($B801+IF($R$17="Distrato",$I$38-1,0)),IF(AND($L$711=0,$P$708=0),"",$L$711-1),IF($R$17="Distrato",$E801,0)),MIN(AA$38,$D$19),$P$20))-SUM($P801:Z801)</f>
        <v>#VALUE!</v>
      </c>
      <c r="AB801" s="446" t="e">
        <f>IF(OR($B801="",MIN(AB$38,$D$19)&lt;MAX($P$708*($B801+IF($R$17="Distrato",$I$38-1,0)),IF(AND($L$711=0,$P$708=0),"",$L$711-1),IF($R$17="Distrato",$E801,0))),0,YEARFRAC(MAX($P$708*($B801+IF($R$17="Distrato",$I$38-1,0)),IF(AND($L$711=0,$P$708=0),"",$L$711-1),IF($R$17="Distrato",$E801,0)),MIN(AB$38,$D$19),$P$20))-SUM($P801:AA801)</f>
        <v>#VALUE!</v>
      </c>
      <c r="AC801" s="446" t="e">
        <f>IF(OR($B801="",MIN(AC$38,$D$19)&lt;MAX($P$708*($B801+IF($R$17="Distrato",$I$38-1,0)),IF(AND($L$711=0,$P$708=0),"",$L$711-1),IF($R$17="Distrato",$E801,0))),0,YEARFRAC(MAX($P$708*($B801+IF($R$17="Distrato",$I$38-1,0)),IF(AND($L$711=0,$P$708=0),"",$L$711-1),IF($R$17="Distrato",$E801,0)),MIN(AC$38,$D$19),$P$20))-SUM($P801:AB801)</f>
        <v>#VALUE!</v>
      </c>
      <c r="AD801" s="446" t="e">
        <f>IF(OR($B801="",MIN(AD$38,$D$19)&lt;MAX($P$708*($B801+IF($R$17="Distrato",$I$38-1,0)),IF(AND($L$711=0,$P$708=0),"",$L$711-1),IF($R$17="Distrato",$E801,0))),0,YEARFRAC(MAX($P$708*($B801+IF($R$17="Distrato",$I$38-1,0)),IF(AND($L$711=0,$P$708=0),"",$L$711-1),IF($R$17="Distrato",$E801,0)),MIN(AD$38,$D$19),$P$20))-SUM($P801:AC801)</f>
        <v>#VALUE!</v>
      </c>
      <c r="AE801" s="446" t="e">
        <f>IF(OR($B801="",MIN(AE$38,$D$19)&lt;MAX($P$708*($B801+IF($R$17="Distrato",$I$38-1,0)),IF(AND($L$711=0,$P$708=0),"",$L$711-1),IF($R$17="Distrato",$E801,0))),0,YEARFRAC(MAX($P$708*($B801+IF($R$17="Distrato",$I$38-1,0)),IF(AND($L$711=0,$P$708=0),"",$L$711-1),IF($R$17="Distrato",$E801,0)),MIN(AE$38,$D$19),$P$20))-SUM($P801:AD801)</f>
        <v>#VALUE!</v>
      </c>
      <c r="AF801" s="446" t="e">
        <f>IF(OR($B801="",MIN(AF$38,$D$19)&lt;MAX($P$708*($B801+IF($R$17="Distrato",$I$38-1,0)),IF(AND($L$711=0,$P$708=0),"",$L$711-1),IF($R$17="Distrato",$E801,0))),0,YEARFRAC(MAX($P$708*($B801+IF($R$17="Distrato",$I$38-1,0)),IF(AND($L$711=0,$P$708=0),"",$L$711-1),IF($R$17="Distrato",$E801,0)),MIN(AF$38,$D$19),$P$20))-SUM($P801:AE801)</f>
        <v>#VALUE!</v>
      </c>
      <c r="AG801" s="446" t="e">
        <f>IF(OR($B801="",MIN(AG$38,$D$19)&lt;MAX($P$708*($B801+IF($R$17="Distrato",$I$38-1,0)),IF(AND($L$711=0,$P$708=0),"",$L$711-1),IF($R$17="Distrato",$E801,0))),0,YEARFRAC(MAX($P$708*($B801+IF($R$17="Distrato",$I$38-1,0)),IF(AND($L$711=0,$P$708=0),"",$L$711-1),IF($R$17="Distrato",$E801,0)),MIN(AG$38,$D$19),$P$20))-SUM($P801:AF801)</f>
        <v>#VALUE!</v>
      </c>
      <c r="AH801" s="446" t="e">
        <f>IF(OR($B801="",MIN(AH$38,$D$19)&lt;MAX($P$708*($B801+IF($R$17="Distrato",$I$38-1,0)),IF(AND($L$711=0,$P$708=0),"",$L$711-1),IF($R$17="Distrato",$E801,0))),0,YEARFRAC(MAX($P$708*($B801+IF($R$17="Distrato",$I$38-1,0)),IF(AND($L$711=0,$P$708=0),"",$L$711-1),IF($R$17="Distrato",$E801,0)),MIN(AH$38,$D$19),$P$20))-SUM($P801:AG801)</f>
        <v>#VALUE!</v>
      </c>
      <c r="AI801" s="446" t="e">
        <f>IF(OR($B801="",MIN(AI$38,$D$19)&lt;MAX($P$708*($B801+IF($R$17="Distrato",$I$38-1,0)),IF(AND($L$711=0,$P$708=0),"",$L$711-1),IF($R$17="Distrato",$E801,0))),0,YEARFRAC(MAX($P$708*($B801+IF($R$17="Distrato",$I$38-1,0)),IF(AND($L$711=0,$P$708=0),"",$L$711-1),IF($R$17="Distrato",$E801,0)),MIN(AI$38,$D$19),$P$20))-SUM($P801:AH801)</f>
        <v>#VALUE!</v>
      </c>
      <c r="AJ801" s="446" t="e">
        <f>IF(OR($B801="",MIN(AJ$38,$D$19)&lt;MAX($P$708*($B801+IF($R$17="Distrato",$I$38-1,0)),IF(AND($L$711=0,$P$708=0),"",$L$711-1),IF($R$17="Distrato",$E801,0))),0,YEARFRAC(MAX($P$708*($B801+IF($R$17="Distrato",$I$38-1,0)),IF(AND($L$711=0,$P$708=0),"",$L$711-1),IF($R$17="Distrato",$E801,0)),MIN(AJ$38,$D$19),$P$20))-SUM($P801:AI801)</f>
        <v>#VALUE!</v>
      </c>
      <c r="AK801" s="446" t="e">
        <f>IF(OR($B801="",MIN(AK$38,$D$19)&lt;MAX($P$708*($B801+IF($R$17="Distrato",$I$38-1,0)),IF(AND($L$711=0,$P$708=0),"",$L$711-1),IF($R$17="Distrato",$E801,0))),0,YEARFRAC(MAX($P$708*($B801+IF($R$17="Distrato",$I$38-1,0)),IF(AND($L$711=0,$P$708=0),"",$L$711-1),IF($R$17="Distrato",$E801,0)),MIN(AK$38,$D$19),$P$20))-SUM($P801:AJ801)</f>
        <v>#VALUE!</v>
      </c>
      <c r="AL801" s="446" t="e">
        <f>IF(OR($B801="",MIN(AL$38,$D$19)&lt;MAX($P$708*($B801+IF($R$17="Distrato",$I$38-1,0)),IF(AND($L$711=0,$P$708=0),"",$L$711-1),IF($R$17="Distrato",$E801,0))),0,YEARFRAC(MAX($P$708*($B801+IF($R$17="Distrato",$I$38-1,0)),IF(AND($L$711=0,$P$708=0),"",$L$711-1),IF($R$17="Distrato",$E801,0)),MIN(AL$38,$D$19),$P$20))-SUM($P801:AK801)</f>
        <v>#VALUE!</v>
      </c>
      <c r="AM801" s="446" t="e">
        <f>IF(OR($B801="",MIN(AM$38,$D$19)&lt;MAX($P$708*($B801+IF($R$17="Distrato",$I$38-1,0)),IF(AND($L$711=0,$P$708=0),"",$L$711-1),IF($R$17="Distrato",$E801,0))),0,YEARFRAC(MAX($P$708*($B801+IF($R$17="Distrato",$I$38-1,0)),IF(AND($L$711=0,$P$708=0),"",$L$711-1),IF($R$17="Distrato",$E801,0)),MIN(AM$38,$D$19),$P$20))-SUM($P801:AL801)</f>
        <v>#VALUE!</v>
      </c>
      <c r="AN801" s="446" t="e">
        <f>IF(OR($B801="",MIN(AN$38,$D$19)&lt;MAX($P$708*($B801+IF($R$17="Distrato",$I$38-1,0)),IF(AND($L$711=0,$P$708=0),"",$L$711-1),IF($R$17="Distrato",$E801,0))),0,YEARFRAC(MAX($P$708*($B801+IF($R$17="Distrato",$I$38-1,0)),IF(AND($L$711=0,$P$708=0),"",$L$711-1),IF($R$17="Distrato",$E801,0)),MIN(AN$38,$D$19),$P$20))-SUM($P801:AM801)</f>
        <v>#VALUE!</v>
      </c>
      <c r="AO801" s="446" t="e">
        <f>IF(OR($B801="",MIN(AO$38,$D$19)&lt;MAX($P$708*($B801+IF($R$17="Distrato",$I$38-1,0)),IF(AND($L$711=0,$P$708=0),"",$L$711-1),IF($R$17="Distrato",$E801,0))),0,YEARFRAC(MAX($P$708*($B801+IF($R$17="Distrato",$I$38-1,0)),IF(AND($L$711=0,$P$708=0),"",$L$711-1),IF($R$17="Distrato",$E801,0)),MIN(AO$38,$D$19),$P$20))-SUM($P801:AN801)</f>
        <v>#VALUE!</v>
      </c>
      <c r="AP801" s="446" t="e">
        <f>IF(OR($B801="",MIN(AP$38,$D$19)&lt;MAX($P$708*($B801+IF($R$17="Distrato",$I$38-1,0)),IF(AND($L$711=0,$P$708=0),"",$L$711-1),IF($R$17="Distrato",$E801,0))),0,YEARFRAC(MAX($P$708*($B801+IF($R$17="Distrato",$I$38-1,0)),IF(AND($L$711=0,$P$708=0),"",$L$711-1),IF($R$17="Distrato",$E801,0)),MIN(AP$38,$D$19),$P$20))-SUM($P801:AO801)</f>
        <v>#VALUE!</v>
      </c>
      <c r="AQ801" s="446" t="e">
        <f>IF(OR($B801="",MIN(AQ$38,$D$19)&lt;MAX($P$708*($B801+IF($R$17="Distrato",$I$38-1,0)),IF(AND($L$711=0,$P$708=0),"",$L$711-1),IF($R$17="Distrato",$E801,0))),0,YEARFRAC(MAX($P$708*($B801+IF($R$17="Distrato",$I$38-1,0)),IF(AND($L$711=0,$P$708=0),"",$L$711-1),IF($R$17="Distrato",$E801,0)),MIN(AQ$38,$D$19),$P$20))-SUM($P801:AP801)</f>
        <v>#VALUE!</v>
      </c>
      <c r="AR801" s="446" t="e">
        <f>IF(OR($B801="",MIN(AR$38,$D$19)&lt;MAX($P$708*($B801+IF($R$17="Distrato",$I$38-1,0)),IF(AND($L$711=0,$P$708=0),"",$L$711-1),IF($R$17="Distrato",$E801,0))),0,YEARFRAC(MAX($P$708*($B801+IF($R$17="Distrato",$I$38-1,0)),IF(AND($L$711=0,$P$708=0),"",$L$711-1),IF($R$17="Distrato",$E801,0)),MIN(AR$38,$D$19),$P$20))-SUM($P801:AQ801)</f>
        <v>#VALUE!</v>
      </c>
      <c r="AS801" s="446" t="e">
        <f>IF(OR($B801="",MIN(AS$38,$D$19)&lt;MAX($P$708*($B801+IF($R$17="Distrato",$I$38-1,0)),IF(AND($L$711=0,$P$708=0),"",$L$711-1),IF($R$17="Distrato",$E801,0))),0,YEARFRAC(MAX($P$708*($B801+IF($R$17="Distrato",$I$38-1,0)),IF(AND($L$711=0,$P$708=0),"",$L$711-1),IF($R$17="Distrato",$E801,0)),MIN(AS$38,$D$19),$P$20))-SUM($P801:AR801)</f>
        <v>#VALUE!</v>
      </c>
      <c r="AT801" s="446" t="e">
        <f>IF(OR($B801="",MIN(AT$38,$D$19)&lt;MAX($P$708*($B801+IF($R$17="Distrato",$I$38-1,0)),IF(AND($L$711=0,$P$708=0),"",$L$711-1),IF($R$17="Distrato",$E801,0))),0,YEARFRAC(MAX($P$708*($B801+IF($R$17="Distrato",$I$38-1,0)),IF(AND($L$711=0,$P$708=0),"",$L$711-1),IF($R$17="Distrato",$E801,0)),MIN(AT$38,$D$19),$P$20))-SUM($P801:AS801)</f>
        <v>#VALUE!</v>
      </c>
      <c r="AU801" s="446" t="e">
        <f>IF(OR($B801="",MIN(AU$38,$D$19)&lt;MAX($P$708*($B801+IF($R$17="Distrato",$I$38-1,0)),IF(AND($L$711=0,$P$708=0),"",$L$711-1),IF($R$17="Distrato",$E801,0))),0,YEARFRAC(MAX($P$708*($B801+IF($R$17="Distrato",$I$38-1,0)),IF(AND($L$711=0,$P$708=0),"",$L$711-1),IF($R$17="Distrato",$E801,0)),MIN(AU$38,$D$19),$P$20))-SUM($P801:AT801)</f>
        <v>#VALUE!</v>
      </c>
      <c r="AV801" s="446" t="e">
        <f>IF(OR($B801="",MIN(AV$38,$D$19)&lt;MAX($P$708*($B801+IF($R$17="Distrato",$I$38-1,0)),IF(AND($L$711=0,$P$708=0),"",$L$711-1),IF($R$17="Distrato",$E801,0))),0,YEARFRAC(MAX($P$708*($B801+IF($R$17="Distrato",$I$38-1,0)),IF(AND($L$711=0,$P$708=0),"",$L$711-1),IF($R$17="Distrato",$E801,0)),MIN(AV$38,$D$19),$P$20))-SUM($P801:AU801)</f>
        <v>#VALUE!</v>
      </c>
      <c r="AW801" s="446" t="e">
        <f>IF(OR($B801="",MIN(AW$38,$D$19)&lt;MAX($P$708*($B801+IF($R$17="Distrato",$I$38-1,0)),IF(AND($L$711=0,$P$708=0),"",$L$711-1),IF($R$17="Distrato",$E801,0))),0,YEARFRAC(MAX($P$708*($B801+IF($R$17="Distrato",$I$38-1,0)),IF(AND($L$711=0,$P$708=0),"",$L$711-1),IF($R$17="Distrato",$E801,0)),MIN(AW$38,$D$19),$P$20))-SUM($P801:AV801)</f>
        <v>#VALUE!</v>
      </c>
      <c r="AX801" s="446" t="e">
        <f>IF(OR($B801="",MIN(AX$38,$D$19)&lt;MAX($P$708*($B801+IF($R$17="Distrato",$I$38-1,0)),IF(AND($L$711=0,$P$708=0),"",$L$711-1),IF($R$17="Distrato",$E801,0))),0,YEARFRAC(MAX($P$708*($B801+IF($R$17="Distrato",$I$38-1,0)),IF(AND($L$711=0,$P$708=0),"",$L$711-1),IF($R$17="Distrato",$E801,0)),MIN(AX$38,$D$19),$P$20))-SUM($P801:AW801)</f>
        <v>#VALUE!</v>
      </c>
      <c r="AY801" s="446" t="e">
        <f>IF(OR($B801="",MIN(AY$38,$D$19)&lt;MAX($P$708*($B801+IF($R$17="Distrato",$I$38-1,0)),IF(AND($L$711=0,$P$708=0),"",$L$711-1),IF($R$17="Distrato",$E801,0))),0,YEARFRAC(MAX($P$708*($B801+IF($R$17="Distrato",$I$38-1,0)),IF(AND($L$711=0,$P$708=0),"",$L$711-1),IF($R$17="Distrato",$E801,0)),MIN(AY$38,$D$19),$P$20))-SUM($P801:AX801)</f>
        <v>#VALUE!</v>
      </c>
      <c r="AZ801" s="446" t="e">
        <f>IF(OR($B801="",MIN(AZ$38,$D$19)&lt;MAX($P$708*($B801+IF($R$17="Distrato",$I$38-1,0)),IF(AND($L$711=0,$P$708=0),"",$L$711-1),IF($R$17="Distrato",$E801,0))),0,YEARFRAC(MAX($P$708*($B801+IF($R$17="Distrato",$I$38-1,0)),IF(AND($L$711=0,$P$708=0),"",$L$711-1),IF($R$17="Distrato",$E801,0)),MIN(AZ$38,$D$19),$P$20))-SUM($P801:AY801)</f>
        <v>#VALUE!</v>
      </c>
      <c r="BA801" s="446" t="e">
        <f>IF(OR($B801="",MIN(BA$38,$D$19)&lt;MAX($P$708*($B801+IF($R$17="Distrato",$I$38-1,0)),IF(AND($L$711=0,$P$708=0),"",$L$711-1),IF($R$17="Distrato",$E801,0))),0,YEARFRAC(MAX($P$708*($B801+IF($R$17="Distrato",$I$38-1,0)),IF(AND($L$711=0,$P$708=0),"",$L$711-1),IF($R$17="Distrato",$E801,0)),MIN(BA$38,$D$19),$P$20))-SUM($P801:AZ801)</f>
        <v>#VALUE!</v>
      </c>
      <c r="BB801" s="447"/>
    </row>
    <row r="802" spans="1:54" s="446" customFormat="1" ht="11.25" hidden="1" customHeight="1" x14ac:dyDescent="0.2">
      <c r="A802" s="235"/>
      <c r="B802" s="236"/>
      <c r="C802" s="29" t="str">
        <f>IF(B802="","",IF($L$709=$BL$25,VLOOKUP(DATE(YEAR($D$19),MONTH($D$19)-1,1),ÍNDICES!$A:$DE,HLOOKUP($BL$25,ÍNDICES!$B$3:$T$4,2)+11)-VLOOKUP(B802,ÍNDICES!$A:$DE,HLOOKUP($BL$25,ÍNDICES!$B$3:$T$4,2)+11)+1%,IF(C$712=$W$26,$J$35,IF(ISERROR(IF(B802&gt;$D$19,1,VLOOKUP(DATE(YEAR(B802),MONTH(B802)+IF($C$709=$S$23,1,0),1),ÍNDICES!$A:$DE,$Z$709+1))),"",IF(B802&gt;$D$19,1,VLOOKUP(DATE(YEAR(B802),MONTH(B802)+IF($C$709=$S$23,1,0),1),ÍNDICES!$A:$DE,$Z$709+1))))))</f>
        <v/>
      </c>
      <c r="D802" s="155"/>
      <c r="E802" s="88"/>
      <c r="F802" s="88"/>
      <c r="G802" s="88"/>
      <c r="H802" s="118"/>
      <c r="I802" s="182">
        <f t="shared" si="122"/>
        <v>0</v>
      </c>
      <c r="J802" s="20">
        <f t="shared" ca="1" si="123"/>
        <v>0</v>
      </c>
      <c r="K802" s="5">
        <f t="shared" ca="1" si="124"/>
        <v>0</v>
      </c>
      <c r="L802" s="61">
        <f t="shared" ca="1" si="125"/>
        <v>0</v>
      </c>
      <c r="M802" s="64">
        <f t="shared" si="126"/>
        <v>0</v>
      </c>
      <c r="N802" s="151"/>
      <c r="O802" s="5">
        <f t="shared" ca="1" si="127"/>
        <v>0</v>
      </c>
      <c r="P802" s="446" t="e">
        <f t="shared" si="128"/>
        <v>#VALUE!</v>
      </c>
      <c r="Q802" s="446" t="e">
        <f>IF(OR($B802="",MIN(Q$38,$D$19)&lt;MAX($P$708*($B802+IF($R$17="Distrato",$I$38-1,0)),IF(AND($L$711=0,$P$708=0),"",$L$711-1),IF($R$17="Distrato",$E802,0))),0,YEARFRAC(MAX($P$708*($B802+IF($R$17="Distrato",$I$38-1,0)),IF(AND($L$711=0,$P$708=0),"",$L$711-1),IF($R$17="Distrato",$E802,0)),MIN(Q$38,$D$19),$P$20))-SUM($P802:P802)</f>
        <v>#VALUE!</v>
      </c>
      <c r="R802" s="446" t="e">
        <f>IF(OR($B802="",MIN(R$38,$D$19)&lt;MAX($P$708*($B802+IF($R$17="Distrato",$I$38-1,0)),IF(AND($L$711=0,$P$708=0),"",$L$711-1),IF($R$17="Distrato",$E802,0))),0,YEARFRAC(MAX($P$708*($B802+IF($R$17="Distrato",$I$38-1,0)),IF(AND($L$711=0,$P$708=0),"",$L$711-1),IF($R$17="Distrato",$E802,0)),MIN(R$38,$D$19),$P$20))-SUM($P802:Q802)</f>
        <v>#VALUE!</v>
      </c>
      <c r="S802" s="446" t="e">
        <f>IF(OR($B802="",MIN(S$38,$D$19)&lt;MAX($P$708*($B802+IF($R$17="Distrato",$I$38-1,0)),IF(AND($L$711=0,$P$708=0),"",$L$711-1),IF($R$17="Distrato",$E802,0))),0,YEARFRAC(MAX($P$708*($B802+IF($R$17="Distrato",$I$38-1,0)),IF(AND($L$711=0,$P$708=0),"",$L$711-1),IF($R$17="Distrato",$E802,0)),MIN(S$38,$D$19),$P$20))-SUM($P802:R802)</f>
        <v>#VALUE!</v>
      </c>
      <c r="T802" s="446" t="e">
        <f>IF(OR($B802="",MIN(T$38,$D$19)&lt;MAX($P$708*($B802+IF($R$17="Distrato",$I$38-1,0)),IF(AND($L$711=0,$P$708=0),"",$L$711-1),IF($R$17="Distrato",$E802,0))),0,YEARFRAC(MAX($P$708*($B802+IF($R$17="Distrato",$I$38-1,0)),IF(AND($L$711=0,$P$708=0),"",$L$711-1),IF($R$17="Distrato",$E802,0)),MIN(T$38,$D$19),$P$20))-SUM($P802:S802)</f>
        <v>#VALUE!</v>
      </c>
      <c r="U802" s="446" t="e">
        <f>IF(OR($B802="",MIN(U$38,$D$19)&lt;MAX($P$708*($B802+IF($R$17="Distrato",$I$38-1,0)),IF(AND($L$711=0,$P$708=0),"",$L$711-1),IF($R$17="Distrato",$E802,0))),0,YEARFRAC(MAX($P$708*($B802+IF($R$17="Distrato",$I$38-1,0)),IF(AND($L$711=0,$P$708=0),"",$L$711-1),IF($R$17="Distrato",$E802,0)),MIN(U$38,$D$19),$P$20))-SUM($P802:T802)</f>
        <v>#VALUE!</v>
      </c>
      <c r="V802" s="446" t="e">
        <f>IF(OR($B802="",MIN(V$38,$D$19)&lt;MAX($P$708*($B802+IF($R$17="Distrato",$I$38-1,0)),IF(AND($L$711=0,$P$708=0),"",$L$711-1),IF($R$17="Distrato",$E802,0))),0,YEARFRAC(MAX($P$708*($B802+IF($R$17="Distrato",$I$38-1,0)),IF(AND($L$711=0,$P$708=0),"",$L$711-1),IF($R$17="Distrato",$E802,0)),MIN(V$38,$D$19),$P$20))-SUM($P802:U802)</f>
        <v>#VALUE!</v>
      </c>
      <c r="W802" s="446" t="e">
        <f>IF(OR($B802="",MIN(W$38,$D$19)&lt;MAX($P$708*($B802+IF($R$17="Distrato",$I$38-1,0)),IF(AND($L$711=0,$P$708=0),"",$L$711-1),IF($R$17="Distrato",$E802,0))),0,YEARFRAC(MAX($P$708*($B802+IF($R$17="Distrato",$I$38-1,0)),IF(AND($L$711=0,$P$708=0),"",$L$711-1),IF($R$17="Distrato",$E802,0)),MIN(W$38,$D$19),$P$20))-SUM($P802:V802)</f>
        <v>#VALUE!</v>
      </c>
      <c r="X802" s="446" t="e">
        <f>IF(OR($B802="",MIN(X$38,$D$19)&lt;MAX($P$708*($B802+IF($R$17="Distrato",$I$38-1,0)),IF(AND($L$711=0,$P$708=0),"",$L$711-1),IF($R$17="Distrato",$E802,0))),0,YEARFRAC(MAX($P$708*($B802+IF($R$17="Distrato",$I$38-1,0)),IF(AND($L$711=0,$P$708=0),"",$L$711-1),IF($R$17="Distrato",$E802,0)),MIN(X$38,$D$19),$P$20))-SUM($P802:W802)</f>
        <v>#VALUE!</v>
      </c>
      <c r="Y802" s="446" t="e">
        <f>IF(OR($B802="",MIN(Y$38,$D$19)&lt;MAX($P$708*($B802+IF($R$17="Distrato",$I$38-1,0)),IF(AND($L$711=0,$P$708=0),"",$L$711-1),IF($R$17="Distrato",$E802,0))),0,YEARFRAC(MAX($P$708*($B802+IF($R$17="Distrato",$I$38-1,0)),IF(AND($L$711=0,$P$708=0),"",$L$711-1),IF($R$17="Distrato",$E802,0)),MIN(Y$38,$D$19),$P$20))-SUM($P802:X802)</f>
        <v>#VALUE!</v>
      </c>
      <c r="Z802" s="446" t="e">
        <f>IF(OR($B802="",MIN(Z$38,$D$19)&lt;MAX($P$708*($B802+IF($R$17="Distrato",$I$38-1,0)),IF(AND($L$711=0,$P$708=0),"",$L$711-1),IF($R$17="Distrato",$E802,0))),0,YEARFRAC(MAX($P$708*($B802+IF($R$17="Distrato",$I$38-1,0)),IF(AND($L$711=0,$P$708=0),"",$L$711-1),IF($R$17="Distrato",$E802,0)),MIN(Z$38,$D$19),$P$20))-SUM($P802:Y802)</f>
        <v>#VALUE!</v>
      </c>
      <c r="AA802" s="446" t="e">
        <f>IF(OR($B802="",MIN(AA$38,$D$19)&lt;MAX($P$708*($B802+IF($R$17="Distrato",$I$38-1,0)),IF(AND($L$711=0,$P$708=0),"",$L$711-1),IF($R$17="Distrato",$E802,0))),0,YEARFRAC(MAX($P$708*($B802+IF($R$17="Distrato",$I$38-1,0)),IF(AND($L$711=0,$P$708=0),"",$L$711-1),IF($R$17="Distrato",$E802,0)),MIN(AA$38,$D$19),$P$20))-SUM($P802:Z802)</f>
        <v>#VALUE!</v>
      </c>
      <c r="AB802" s="446" t="e">
        <f>IF(OR($B802="",MIN(AB$38,$D$19)&lt;MAX($P$708*($B802+IF($R$17="Distrato",$I$38-1,0)),IF(AND($L$711=0,$P$708=0),"",$L$711-1),IF($R$17="Distrato",$E802,0))),0,YEARFRAC(MAX($P$708*($B802+IF($R$17="Distrato",$I$38-1,0)),IF(AND($L$711=0,$P$708=0),"",$L$711-1),IF($R$17="Distrato",$E802,0)),MIN(AB$38,$D$19),$P$20))-SUM($P802:AA802)</f>
        <v>#VALUE!</v>
      </c>
      <c r="AC802" s="446" t="e">
        <f>IF(OR($B802="",MIN(AC$38,$D$19)&lt;MAX($P$708*($B802+IF($R$17="Distrato",$I$38-1,0)),IF(AND($L$711=0,$P$708=0),"",$L$711-1),IF($R$17="Distrato",$E802,0))),0,YEARFRAC(MAX($P$708*($B802+IF($R$17="Distrato",$I$38-1,0)),IF(AND($L$711=0,$P$708=0),"",$L$711-1),IF($R$17="Distrato",$E802,0)),MIN(AC$38,$D$19),$P$20))-SUM($P802:AB802)</f>
        <v>#VALUE!</v>
      </c>
      <c r="AD802" s="446" t="e">
        <f>IF(OR($B802="",MIN(AD$38,$D$19)&lt;MAX($P$708*($B802+IF($R$17="Distrato",$I$38-1,0)),IF(AND($L$711=0,$P$708=0),"",$L$711-1),IF($R$17="Distrato",$E802,0))),0,YEARFRAC(MAX($P$708*($B802+IF($R$17="Distrato",$I$38-1,0)),IF(AND($L$711=0,$P$708=0),"",$L$711-1),IF($R$17="Distrato",$E802,0)),MIN(AD$38,$D$19),$P$20))-SUM($P802:AC802)</f>
        <v>#VALUE!</v>
      </c>
      <c r="AE802" s="446" t="e">
        <f>IF(OR($B802="",MIN(AE$38,$D$19)&lt;MAX($P$708*($B802+IF($R$17="Distrato",$I$38-1,0)),IF(AND($L$711=0,$P$708=0),"",$L$711-1),IF($R$17="Distrato",$E802,0))),0,YEARFRAC(MAX($P$708*($B802+IF($R$17="Distrato",$I$38-1,0)),IF(AND($L$711=0,$P$708=0),"",$L$711-1),IF($R$17="Distrato",$E802,0)),MIN(AE$38,$D$19),$P$20))-SUM($P802:AD802)</f>
        <v>#VALUE!</v>
      </c>
      <c r="AF802" s="446" t="e">
        <f>IF(OR($B802="",MIN(AF$38,$D$19)&lt;MAX($P$708*($B802+IF($R$17="Distrato",$I$38-1,0)),IF(AND($L$711=0,$P$708=0),"",$L$711-1),IF($R$17="Distrato",$E802,0))),0,YEARFRAC(MAX($P$708*($B802+IF($R$17="Distrato",$I$38-1,0)),IF(AND($L$711=0,$P$708=0),"",$L$711-1),IF($R$17="Distrato",$E802,0)),MIN(AF$38,$D$19),$P$20))-SUM($P802:AE802)</f>
        <v>#VALUE!</v>
      </c>
      <c r="AG802" s="446" t="e">
        <f>IF(OR($B802="",MIN(AG$38,$D$19)&lt;MAX($P$708*($B802+IF($R$17="Distrato",$I$38-1,0)),IF(AND($L$711=0,$P$708=0),"",$L$711-1),IF($R$17="Distrato",$E802,0))),0,YEARFRAC(MAX($P$708*($B802+IF($R$17="Distrato",$I$38-1,0)),IF(AND($L$711=0,$P$708=0),"",$L$711-1),IF($R$17="Distrato",$E802,0)),MIN(AG$38,$D$19),$P$20))-SUM($P802:AF802)</f>
        <v>#VALUE!</v>
      </c>
      <c r="AH802" s="446" t="e">
        <f>IF(OR($B802="",MIN(AH$38,$D$19)&lt;MAX($P$708*($B802+IF($R$17="Distrato",$I$38-1,0)),IF(AND($L$711=0,$P$708=0),"",$L$711-1),IF($R$17="Distrato",$E802,0))),0,YEARFRAC(MAX($P$708*($B802+IF($R$17="Distrato",$I$38-1,0)),IF(AND($L$711=0,$P$708=0),"",$L$711-1),IF($R$17="Distrato",$E802,0)),MIN(AH$38,$D$19),$P$20))-SUM($P802:AG802)</f>
        <v>#VALUE!</v>
      </c>
      <c r="AI802" s="446" t="e">
        <f>IF(OR($B802="",MIN(AI$38,$D$19)&lt;MAX($P$708*($B802+IF($R$17="Distrato",$I$38-1,0)),IF(AND($L$711=0,$P$708=0),"",$L$711-1),IF($R$17="Distrato",$E802,0))),0,YEARFRAC(MAX($P$708*($B802+IF($R$17="Distrato",$I$38-1,0)),IF(AND($L$711=0,$P$708=0),"",$L$711-1),IF($R$17="Distrato",$E802,0)),MIN(AI$38,$D$19),$P$20))-SUM($P802:AH802)</f>
        <v>#VALUE!</v>
      </c>
      <c r="AJ802" s="446" t="e">
        <f>IF(OR($B802="",MIN(AJ$38,$D$19)&lt;MAX($P$708*($B802+IF($R$17="Distrato",$I$38-1,0)),IF(AND($L$711=0,$P$708=0),"",$L$711-1),IF($R$17="Distrato",$E802,0))),0,YEARFRAC(MAX($P$708*($B802+IF($R$17="Distrato",$I$38-1,0)),IF(AND($L$711=0,$P$708=0),"",$L$711-1),IF($R$17="Distrato",$E802,0)),MIN(AJ$38,$D$19),$P$20))-SUM($P802:AI802)</f>
        <v>#VALUE!</v>
      </c>
      <c r="AK802" s="446" t="e">
        <f>IF(OR($B802="",MIN(AK$38,$D$19)&lt;MAX($P$708*($B802+IF($R$17="Distrato",$I$38-1,0)),IF(AND($L$711=0,$P$708=0),"",$L$711-1),IF($R$17="Distrato",$E802,0))),0,YEARFRAC(MAX($P$708*($B802+IF($R$17="Distrato",$I$38-1,0)),IF(AND($L$711=0,$P$708=0),"",$L$711-1),IF($R$17="Distrato",$E802,0)),MIN(AK$38,$D$19),$P$20))-SUM($P802:AJ802)</f>
        <v>#VALUE!</v>
      </c>
      <c r="AL802" s="446" t="e">
        <f>IF(OR($B802="",MIN(AL$38,$D$19)&lt;MAX($P$708*($B802+IF($R$17="Distrato",$I$38-1,0)),IF(AND($L$711=0,$P$708=0),"",$L$711-1),IF($R$17="Distrato",$E802,0))),0,YEARFRAC(MAX($P$708*($B802+IF($R$17="Distrato",$I$38-1,0)),IF(AND($L$711=0,$P$708=0),"",$L$711-1),IF($R$17="Distrato",$E802,0)),MIN(AL$38,$D$19),$P$20))-SUM($P802:AK802)</f>
        <v>#VALUE!</v>
      </c>
      <c r="AM802" s="446" t="e">
        <f>IF(OR($B802="",MIN(AM$38,$D$19)&lt;MAX($P$708*($B802+IF($R$17="Distrato",$I$38-1,0)),IF(AND($L$711=0,$P$708=0),"",$L$711-1),IF($R$17="Distrato",$E802,0))),0,YEARFRAC(MAX($P$708*($B802+IF($R$17="Distrato",$I$38-1,0)),IF(AND($L$711=0,$P$708=0),"",$L$711-1),IF($R$17="Distrato",$E802,0)),MIN(AM$38,$D$19),$P$20))-SUM($P802:AL802)</f>
        <v>#VALUE!</v>
      </c>
      <c r="AN802" s="446" t="e">
        <f>IF(OR($B802="",MIN(AN$38,$D$19)&lt;MAX($P$708*($B802+IF($R$17="Distrato",$I$38-1,0)),IF(AND($L$711=0,$P$708=0),"",$L$711-1),IF($R$17="Distrato",$E802,0))),0,YEARFRAC(MAX($P$708*($B802+IF($R$17="Distrato",$I$38-1,0)),IF(AND($L$711=0,$P$708=0),"",$L$711-1),IF($R$17="Distrato",$E802,0)),MIN(AN$38,$D$19),$P$20))-SUM($P802:AM802)</f>
        <v>#VALUE!</v>
      </c>
      <c r="AO802" s="446" t="e">
        <f>IF(OR($B802="",MIN(AO$38,$D$19)&lt;MAX($P$708*($B802+IF($R$17="Distrato",$I$38-1,0)),IF(AND($L$711=0,$P$708=0),"",$L$711-1),IF($R$17="Distrato",$E802,0))),0,YEARFRAC(MAX($P$708*($B802+IF($R$17="Distrato",$I$38-1,0)),IF(AND($L$711=0,$P$708=0),"",$L$711-1),IF($R$17="Distrato",$E802,0)),MIN(AO$38,$D$19),$P$20))-SUM($P802:AN802)</f>
        <v>#VALUE!</v>
      </c>
      <c r="AP802" s="446" t="e">
        <f>IF(OR($B802="",MIN(AP$38,$D$19)&lt;MAX($P$708*($B802+IF($R$17="Distrato",$I$38-1,0)),IF(AND($L$711=0,$P$708=0),"",$L$711-1),IF($R$17="Distrato",$E802,0))),0,YEARFRAC(MAX($P$708*($B802+IF($R$17="Distrato",$I$38-1,0)),IF(AND($L$711=0,$P$708=0),"",$L$711-1),IF($R$17="Distrato",$E802,0)),MIN(AP$38,$D$19),$P$20))-SUM($P802:AO802)</f>
        <v>#VALUE!</v>
      </c>
      <c r="AQ802" s="446" t="e">
        <f>IF(OR($B802="",MIN(AQ$38,$D$19)&lt;MAX($P$708*($B802+IF($R$17="Distrato",$I$38-1,0)),IF(AND($L$711=0,$P$708=0),"",$L$711-1),IF($R$17="Distrato",$E802,0))),0,YEARFRAC(MAX($P$708*($B802+IF($R$17="Distrato",$I$38-1,0)),IF(AND($L$711=0,$P$708=0),"",$L$711-1),IF($R$17="Distrato",$E802,0)),MIN(AQ$38,$D$19),$P$20))-SUM($P802:AP802)</f>
        <v>#VALUE!</v>
      </c>
      <c r="AR802" s="446" t="e">
        <f>IF(OR($B802="",MIN(AR$38,$D$19)&lt;MAX($P$708*($B802+IF($R$17="Distrato",$I$38-1,0)),IF(AND($L$711=0,$P$708=0),"",$L$711-1),IF($R$17="Distrato",$E802,0))),0,YEARFRAC(MAX($P$708*($B802+IF($R$17="Distrato",$I$38-1,0)),IF(AND($L$711=0,$P$708=0),"",$L$711-1),IF($R$17="Distrato",$E802,0)),MIN(AR$38,$D$19),$P$20))-SUM($P802:AQ802)</f>
        <v>#VALUE!</v>
      </c>
      <c r="AS802" s="446" t="e">
        <f>IF(OR($B802="",MIN(AS$38,$D$19)&lt;MAX($P$708*($B802+IF($R$17="Distrato",$I$38-1,0)),IF(AND($L$711=0,$P$708=0),"",$L$711-1),IF($R$17="Distrato",$E802,0))),0,YEARFRAC(MAX($P$708*($B802+IF($R$17="Distrato",$I$38-1,0)),IF(AND($L$711=0,$P$708=0),"",$L$711-1),IF($R$17="Distrato",$E802,0)),MIN(AS$38,$D$19),$P$20))-SUM($P802:AR802)</f>
        <v>#VALUE!</v>
      </c>
      <c r="AT802" s="446" t="e">
        <f>IF(OR($B802="",MIN(AT$38,$D$19)&lt;MAX($P$708*($B802+IF($R$17="Distrato",$I$38-1,0)),IF(AND($L$711=0,$P$708=0),"",$L$711-1),IF($R$17="Distrato",$E802,0))),0,YEARFRAC(MAX($P$708*($B802+IF($R$17="Distrato",$I$38-1,0)),IF(AND($L$711=0,$P$708=0),"",$L$711-1),IF($R$17="Distrato",$E802,0)),MIN(AT$38,$D$19),$P$20))-SUM($P802:AS802)</f>
        <v>#VALUE!</v>
      </c>
      <c r="AU802" s="446" t="e">
        <f>IF(OR($B802="",MIN(AU$38,$D$19)&lt;MAX($P$708*($B802+IF($R$17="Distrato",$I$38-1,0)),IF(AND($L$711=0,$P$708=0),"",$L$711-1),IF($R$17="Distrato",$E802,0))),0,YEARFRAC(MAX($P$708*($B802+IF($R$17="Distrato",$I$38-1,0)),IF(AND($L$711=0,$P$708=0),"",$L$711-1),IF($R$17="Distrato",$E802,0)),MIN(AU$38,$D$19),$P$20))-SUM($P802:AT802)</f>
        <v>#VALUE!</v>
      </c>
      <c r="AV802" s="446" t="e">
        <f>IF(OR($B802="",MIN(AV$38,$D$19)&lt;MAX($P$708*($B802+IF($R$17="Distrato",$I$38-1,0)),IF(AND($L$711=0,$P$708=0),"",$L$711-1),IF($R$17="Distrato",$E802,0))),0,YEARFRAC(MAX($P$708*($B802+IF($R$17="Distrato",$I$38-1,0)),IF(AND($L$711=0,$P$708=0),"",$L$711-1),IF($R$17="Distrato",$E802,0)),MIN(AV$38,$D$19),$P$20))-SUM($P802:AU802)</f>
        <v>#VALUE!</v>
      </c>
      <c r="AW802" s="446" t="e">
        <f>IF(OR($B802="",MIN(AW$38,$D$19)&lt;MAX($P$708*($B802+IF($R$17="Distrato",$I$38-1,0)),IF(AND($L$711=0,$P$708=0),"",$L$711-1),IF($R$17="Distrato",$E802,0))),0,YEARFRAC(MAX($P$708*($B802+IF($R$17="Distrato",$I$38-1,0)),IF(AND($L$711=0,$P$708=0),"",$L$711-1),IF($R$17="Distrato",$E802,0)),MIN(AW$38,$D$19),$P$20))-SUM($P802:AV802)</f>
        <v>#VALUE!</v>
      </c>
      <c r="AX802" s="446" t="e">
        <f>IF(OR($B802="",MIN(AX$38,$D$19)&lt;MAX($P$708*($B802+IF($R$17="Distrato",$I$38-1,0)),IF(AND($L$711=0,$P$708=0),"",$L$711-1),IF($R$17="Distrato",$E802,0))),0,YEARFRAC(MAX($P$708*($B802+IF($R$17="Distrato",$I$38-1,0)),IF(AND($L$711=0,$P$708=0),"",$L$711-1),IF($R$17="Distrato",$E802,0)),MIN(AX$38,$D$19),$P$20))-SUM($P802:AW802)</f>
        <v>#VALUE!</v>
      </c>
      <c r="AY802" s="446" t="e">
        <f>IF(OR($B802="",MIN(AY$38,$D$19)&lt;MAX($P$708*($B802+IF($R$17="Distrato",$I$38-1,0)),IF(AND($L$711=0,$P$708=0),"",$L$711-1),IF($R$17="Distrato",$E802,0))),0,YEARFRAC(MAX($P$708*($B802+IF($R$17="Distrato",$I$38-1,0)),IF(AND($L$711=0,$P$708=0),"",$L$711-1),IF($R$17="Distrato",$E802,0)),MIN(AY$38,$D$19),$P$20))-SUM($P802:AX802)</f>
        <v>#VALUE!</v>
      </c>
      <c r="AZ802" s="446" t="e">
        <f>IF(OR($B802="",MIN(AZ$38,$D$19)&lt;MAX($P$708*($B802+IF($R$17="Distrato",$I$38-1,0)),IF(AND($L$711=0,$P$708=0),"",$L$711-1),IF($R$17="Distrato",$E802,0))),0,YEARFRAC(MAX($P$708*($B802+IF($R$17="Distrato",$I$38-1,0)),IF(AND($L$711=0,$P$708=0),"",$L$711-1),IF($R$17="Distrato",$E802,0)),MIN(AZ$38,$D$19),$P$20))-SUM($P802:AY802)</f>
        <v>#VALUE!</v>
      </c>
      <c r="BA802" s="446" t="e">
        <f>IF(OR($B802="",MIN(BA$38,$D$19)&lt;MAX($P$708*($B802+IF($R$17="Distrato",$I$38-1,0)),IF(AND($L$711=0,$P$708=0),"",$L$711-1),IF($R$17="Distrato",$E802,0))),0,YEARFRAC(MAX($P$708*($B802+IF($R$17="Distrato",$I$38-1,0)),IF(AND($L$711=0,$P$708=0),"",$L$711-1),IF($R$17="Distrato",$E802,0)),MIN(BA$38,$D$19),$P$20))-SUM($P802:AZ802)</f>
        <v>#VALUE!</v>
      </c>
      <c r="BB802" s="447"/>
    </row>
    <row r="803" spans="1:54" s="446" customFormat="1" ht="11.25" hidden="1" customHeight="1" x14ac:dyDescent="0.2">
      <c r="A803" s="235"/>
      <c r="B803" s="236"/>
      <c r="C803" s="29" t="str">
        <f>IF(B803="","",IF($L$709=$BL$25,VLOOKUP(DATE(YEAR($D$19),MONTH($D$19)-1,1),ÍNDICES!$A:$DE,HLOOKUP($BL$25,ÍNDICES!$B$3:$T$4,2)+11)-VLOOKUP(B803,ÍNDICES!$A:$DE,HLOOKUP($BL$25,ÍNDICES!$B$3:$T$4,2)+11)+1%,IF(C$712=$W$26,$J$35,IF(ISERROR(IF(B803&gt;$D$19,1,VLOOKUP(DATE(YEAR(B803),MONTH(B803)+IF($C$709=$S$23,1,0),1),ÍNDICES!$A:$DE,$Z$709+1))),"",IF(B803&gt;$D$19,1,VLOOKUP(DATE(YEAR(B803),MONTH(B803)+IF($C$709=$S$23,1,0),1),ÍNDICES!$A:$DE,$Z$709+1))))))</f>
        <v/>
      </c>
      <c r="D803" s="155"/>
      <c r="E803" s="88"/>
      <c r="F803" s="88"/>
      <c r="G803" s="88"/>
      <c r="H803" s="118"/>
      <c r="I803" s="182">
        <f t="shared" si="122"/>
        <v>0</v>
      </c>
      <c r="J803" s="20">
        <f t="shared" ca="1" si="123"/>
        <v>0</v>
      </c>
      <c r="K803" s="5">
        <f t="shared" ca="1" si="124"/>
        <v>0</v>
      </c>
      <c r="L803" s="61">
        <f t="shared" ca="1" si="125"/>
        <v>0</v>
      </c>
      <c r="M803" s="64">
        <f t="shared" si="126"/>
        <v>0</v>
      </c>
      <c r="N803" s="151"/>
      <c r="O803" s="5">
        <f t="shared" ca="1" si="127"/>
        <v>0</v>
      </c>
      <c r="P803" s="446" t="e">
        <f t="shared" si="128"/>
        <v>#VALUE!</v>
      </c>
      <c r="Q803" s="446" t="e">
        <f>IF(OR($B803="",MIN(Q$38,$D$19)&lt;MAX($P$708*($B803+IF($R$17="Distrato",$I$38-1,0)),IF(AND($L$711=0,$P$708=0),"",$L$711-1),IF($R$17="Distrato",$E803,0))),0,YEARFRAC(MAX($P$708*($B803+IF($R$17="Distrato",$I$38-1,0)),IF(AND($L$711=0,$P$708=0),"",$L$711-1),IF($R$17="Distrato",$E803,0)),MIN(Q$38,$D$19),$P$20))-SUM($P803:P803)</f>
        <v>#VALUE!</v>
      </c>
      <c r="R803" s="446" t="e">
        <f>IF(OR($B803="",MIN(R$38,$D$19)&lt;MAX($P$708*($B803+IF($R$17="Distrato",$I$38-1,0)),IF(AND($L$711=0,$P$708=0),"",$L$711-1),IF($R$17="Distrato",$E803,0))),0,YEARFRAC(MAX($P$708*($B803+IF($R$17="Distrato",$I$38-1,0)),IF(AND($L$711=0,$P$708=0),"",$L$711-1),IF($R$17="Distrato",$E803,0)),MIN(R$38,$D$19),$P$20))-SUM($P803:Q803)</f>
        <v>#VALUE!</v>
      </c>
      <c r="S803" s="446" t="e">
        <f>IF(OR($B803="",MIN(S$38,$D$19)&lt;MAX($P$708*($B803+IF($R$17="Distrato",$I$38-1,0)),IF(AND($L$711=0,$P$708=0),"",$L$711-1),IF($R$17="Distrato",$E803,0))),0,YEARFRAC(MAX($P$708*($B803+IF($R$17="Distrato",$I$38-1,0)),IF(AND($L$711=0,$P$708=0),"",$L$711-1),IF($R$17="Distrato",$E803,0)),MIN(S$38,$D$19),$P$20))-SUM($P803:R803)</f>
        <v>#VALUE!</v>
      </c>
      <c r="T803" s="446" t="e">
        <f>IF(OR($B803="",MIN(T$38,$D$19)&lt;MAX($P$708*($B803+IF($R$17="Distrato",$I$38-1,0)),IF(AND($L$711=0,$P$708=0),"",$L$711-1),IF($R$17="Distrato",$E803,0))),0,YEARFRAC(MAX($P$708*($B803+IF($R$17="Distrato",$I$38-1,0)),IF(AND($L$711=0,$P$708=0),"",$L$711-1),IF($R$17="Distrato",$E803,0)),MIN(T$38,$D$19),$P$20))-SUM($P803:S803)</f>
        <v>#VALUE!</v>
      </c>
      <c r="U803" s="446" t="e">
        <f>IF(OR($B803="",MIN(U$38,$D$19)&lt;MAX($P$708*($B803+IF($R$17="Distrato",$I$38-1,0)),IF(AND($L$711=0,$P$708=0),"",$L$711-1),IF($R$17="Distrato",$E803,0))),0,YEARFRAC(MAX($P$708*($B803+IF($R$17="Distrato",$I$38-1,0)),IF(AND($L$711=0,$P$708=0),"",$L$711-1),IF($R$17="Distrato",$E803,0)),MIN(U$38,$D$19),$P$20))-SUM($P803:T803)</f>
        <v>#VALUE!</v>
      </c>
      <c r="V803" s="446" t="e">
        <f>IF(OR($B803="",MIN(V$38,$D$19)&lt;MAX($P$708*($B803+IF($R$17="Distrato",$I$38-1,0)),IF(AND($L$711=0,$P$708=0),"",$L$711-1),IF($R$17="Distrato",$E803,0))),0,YEARFRAC(MAX($P$708*($B803+IF($R$17="Distrato",$I$38-1,0)),IF(AND($L$711=0,$P$708=0),"",$L$711-1),IF($R$17="Distrato",$E803,0)),MIN(V$38,$D$19),$P$20))-SUM($P803:U803)</f>
        <v>#VALUE!</v>
      </c>
      <c r="W803" s="446" t="e">
        <f>IF(OR($B803="",MIN(W$38,$D$19)&lt;MAX($P$708*($B803+IF($R$17="Distrato",$I$38-1,0)),IF(AND($L$711=0,$P$708=0),"",$L$711-1),IF($R$17="Distrato",$E803,0))),0,YEARFRAC(MAX($P$708*($B803+IF($R$17="Distrato",$I$38-1,0)),IF(AND($L$711=0,$P$708=0),"",$L$711-1),IF($R$17="Distrato",$E803,0)),MIN(W$38,$D$19),$P$20))-SUM($P803:V803)</f>
        <v>#VALUE!</v>
      </c>
      <c r="X803" s="446" t="e">
        <f>IF(OR($B803="",MIN(X$38,$D$19)&lt;MAX($P$708*($B803+IF($R$17="Distrato",$I$38-1,0)),IF(AND($L$711=0,$P$708=0),"",$L$711-1),IF($R$17="Distrato",$E803,0))),0,YEARFRAC(MAX($P$708*($B803+IF($R$17="Distrato",$I$38-1,0)),IF(AND($L$711=0,$P$708=0),"",$L$711-1),IF($R$17="Distrato",$E803,0)),MIN(X$38,$D$19),$P$20))-SUM($P803:W803)</f>
        <v>#VALUE!</v>
      </c>
      <c r="Y803" s="446" t="e">
        <f>IF(OR($B803="",MIN(Y$38,$D$19)&lt;MAX($P$708*($B803+IF($R$17="Distrato",$I$38-1,0)),IF(AND($L$711=0,$P$708=0),"",$L$711-1),IF($R$17="Distrato",$E803,0))),0,YEARFRAC(MAX($P$708*($B803+IF($R$17="Distrato",$I$38-1,0)),IF(AND($L$711=0,$P$708=0),"",$L$711-1),IF($R$17="Distrato",$E803,0)),MIN(Y$38,$D$19),$P$20))-SUM($P803:X803)</f>
        <v>#VALUE!</v>
      </c>
      <c r="Z803" s="446" t="e">
        <f>IF(OR($B803="",MIN(Z$38,$D$19)&lt;MAX($P$708*($B803+IF($R$17="Distrato",$I$38-1,0)),IF(AND($L$711=0,$P$708=0),"",$L$711-1),IF($R$17="Distrato",$E803,0))),0,YEARFRAC(MAX($P$708*($B803+IF($R$17="Distrato",$I$38-1,0)),IF(AND($L$711=0,$P$708=0),"",$L$711-1),IF($R$17="Distrato",$E803,0)),MIN(Z$38,$D$19),$P$20))-SUM($P803:Y803)</f>
        <v>#VALUE!</v>
      </c>
      <c r="AA803" s="446" t="e">
        <f>IF(OR($B803="",MIN(AA$38,$D$19)&lt;MAX($P$708*($B803+IF($R$17="Distrato",$I$38-1,0)),IF(AND($L$711=0,$P$708=0),"",$L$711-1),IF($R$17="Distrato",$E803,0))),0,YEARFRAC(MAX($P$708*($B803+IF($R$17="Distrato",$I$38-1,0)),IF(AND($L$711=0,$P$708=0),"",$L$711-1),IF($R$17="Distrato",$E803,0)),MIN(AA$38,$D$19),$P$20))-SUM($P803:Z803)</f>
        <v>#VALUE!</v>
      </c>
      <c r="AB803" s="446" t="e">
        <f>IF(OR($B803="",MIN(AB$38,$D$19)&lt;MAX($P$708*($B803+IF($R$17="Distrato",$I$38-1,0)),IF(AND($L$711=0,$P$708=0),"",$L$711-1),IF($R$17="Distrato",$E803,0))),0,YEARFRAC(MAX($P$708*($B803+IF($R$17="Distrato",$I$38-1,0)),IF(AND($L$711=0,$P$708=0),"",$L$711-1),IF($R$17="Distrato",$E803,0)),MIN(AB$38,$D$19),$P$20))-SUM($P803:AA803)</f>
        <v>#VALUE!</v>
      </c>
      <c r="AC803" s="446" t="e">
        <f>IF(OR($B803="",MIN(AC$38,$D$19)&lt;MAX($P$708*($B803+IF($R$17="Distrato",$I$38-1,0)),IF(AND($L$711=0,$P$708=0),"",$L$711-1),IF($R$17="Distrato",$E803,0))),0,YEARFRAC(MAX($P$708*($B803+IF($R$17="Distrato",$I$38-1,0)),IF(AND($L$711=0,$P$708=0),"",$L$711-1),IF($R$17="Distrato",$E803,0)),MIN(AC$38,$D$19),$P$20))-SUM($P803:AB803)</f>
        <v>#VALUE!</v>
      </c>
      <c r="AD803" s="446" t="e">
        <f>IF(OR($B803="",MIN(AD$38,$D$19)&lt;MAX($P$708*($B803+IF($R$17="Distrato",$I$38-1,0)),IF(AND($L$711=0,$P$708=0),"",$L$711-1),IF($R$17="Distrato",$E803,0))),0,YEARFRAC(MAX($P$708*($B803+IF($R$17="Distrato",$I$38-1,0)),IF(AND($L$711=0,$P$708=0),"",$L$711-1),IF($R$17="Distrato",$E803,0)),MIN(AD$38,$D$19),$P$20))-SUM($P803:AC803)</f>
        <v>#VALUE!</v>
      </c>
      <c r="AE803" s="446" t="e">
        <f>IF(OR($B803="",MIN(AE$38,$D$19)&lt;MAX($P$708*($B803+IF($R$17="Distrato",$I$38-1,0)),IF(AND($L$711=0,$P$708=0),"",$L$711-1),IF($R$17="Distrato",$E803,0))),0,YEARFRAC(MAX($P$708*($B803+IF($R$17="Distrato",$I$38-1,0)),IF(AND($L$711=0,$P$708=0),"",$L$711-1),IF($R$17="Distrato",$E803,0)),MIN(AE$38,$D$19),$P$20))-SUM($P803:AD803)</f>
        <v>#VALUE!</v>
      </c>
      <c r="AF803" s="446" t="e">
        <f>IF(OR($B803="",MIN(AF$38,$D$19)&lt;MAX($P$708*($B803+IF($R$17="Distrato",$I$38-1,0)),IF(AND($L$711=0,$P$708=0),"",$L$711-1),IF($R$17="Distrato",$E803,0))),0,YEARFRAC(MAX($P$708*($B803+IF($R$17="Distrato",$I$38-1,0)),IF(AND($L$711=0,$P$708=0),"",$L$711-1),IF($R$17="Distrato",$E803,0)),MIN(AF$38,$D$19),$P$20))-SUM($P803:AE803)</f>
        <v>#VALUE!</v>
      </c>
      <c r="AG803" s="446" t="e">
        <f>IF(OR($B803="",MIN(AG$38,$D$19)&lt;MAX($P$708*($B803+IF($R$17="Distrato",$I$38-1,0)),IF(AND($L$711=0,$P$708=0),"",$L$711-1),IF($R$17="Distrato",$E803,0))),0,YEARFRAC(MAX($P$708*($B803+IF($R$17="Distrato",$I$38-1,0)),IF(AND($L$711=0,$P$708=0),"",$L$711-1),IF($R$17="Distrato",$E803,0)),MIN(AG$38,$D$19),$P$20))-SUM($P803:AF803)</f>
        <v>#VALUE!</v>
      </c>
      <c r="AH803" s="446" t="e">
        <f>IF(OR($B803="",MIN(AH$38,$D$19)&lt;MAX($P$708*($B803+IF($R$17="Distrato",$I$38-1,0)),IF(AND($L$711=0,$P$708=0),"",$L$711-1),IF($R$17="Distrato",$E803,0))),0,YEARFRAC(MAX($P$708*($B803+IF($R$17="Distrato",$I$38-1,0)),IF(AND($L$711=0,$P$708=0),"",$L$711-1),IF($R$17="Distrato",$E803,0)),MIN(AH$38,$D$19),$P$20))-SUM($P803:AG803)</f>
        <v>#VALUE!</v>
      </c>
      <c r="AI803" s="446" t="e">
        <f>IF(OR($B803="",MIN(AI$38,$D$19)&lt;MAX($P$708*($B803+IF($R$17="Distrato",$I$38-1,0)),IF(AND($L$711=0,$P$708=0),"",$L$711-1),IF($R$17="Distrato",$E803,0))),0,YEARFRAC(MAX($P$708*($B803+IF($R$17="Distrato",$I$38-1,0)),IF(AND($L$711=0,$P$708=0),"",$L$711-1),IF($R$17="Distrato",$E803,0)),MIN(AI$38,$D$19),$P$20))-SUM($P803:AH803)</f>
        <v>#VALUE!</v>
      </c>
      <c r="AJ803" s="446" t="e">
        <f>IF(OR($B803="",MIN(AJ$38,$D$19)&lt;MAX($P$708*($B803+IF($R$17="Distrato",$I$38-1,0)),IF(AND($L$711=0,$P$708=0),"",$L$711-1),IF($R$17="Distrato",$E803,0))),0,YEARFRAC(MAX($P$708*($B803+IF($R$17="Distrato",$I$38-1,0)),IF(AND($L$711=0,$P$708=0),"",$L$711-1),IF($R$17="Distrato",$E803,0)),MIN(AJ$38,$D$19),$P$20))-SUM($P803:AI803)</f>
        <v>#VALUE!</v>
      </c>
      <c r="AK803" s="446" t="e">
        <f>IF(OR($B803="",MIN(AK$38,$D$19)&lt;MAX($P$708*($B803+IF($R$17="Distrato",$I$38-1,0)),IF(AND($L$711=0,$P$708=0),"",$L$711-1),IF($R$17="Distrato",$E803,0))),0,YEARFRAC(MAX($P$708*($B803+IF($R$17="Distrato",$I$38-1,0)),IF(AND($L$711=0,$P$708=0),"",$L$711-1),IF($R$17="Distrato",$E803,0)),MIN(AK$38,$D$19),$P$20))-SUM($P803:AJ803)</f>
        <v>#VALUE!</v>
      </c>
      <c r="AL803" s="446" t="e">
        <f>IF(OR($B803="",MIN(AL$38,$D$19)&lt;MAX($P$708*($B803+IF($R$17="Distrato",$I$38-1,0)),IF(AND($L$711=0,$P$708=0),"",$L$711-1),IF($R$17="Distrato",$E803,0))),0,YEARFRAC(MAX($P$708*($B803+IF($R$17="Distrato",$I$38-1,0)),IF(AND($L$711=0,$P$708=0),"",$L$711-1),IF($R$17="Distrato",$E803,0)),MIN(AL$38,$D$19),$P$20))-SUM($P803:AK803)</f>
        <v>#VALUE!</v>
      </c>
      <c r="AM803" s="446" t="e">
        <f>IF(OR($B803="",MIN(AM$38,$D$19)&lt;MAX($P$708*($B803+IF($R$17="Distrato",$I$38-1,0)),IF(AND($L$711=0,$P$708=0),"",$L$711-1),IF($R$17="Distrato",$E803,0))),0,YEARFRAC(MAX($P$708*($B803+IF($R$17="Distrato",$I$38-1,0)),IF(AND($L$711=0,$P$708=0),"",$L$711-1),IF($R$17="Distrato",$E803,0)),MIN(AM$38,$D$19),$P$20))-SUM($P803:AL803)</f>
        <v>#VALUE!</v>
      </c>
      <c r="AN803" s="446" t="e">
        <f>IF(OR($B803="",MIN(AN$38,$D$19)&lt;MAX($P$708*($B803+IF($R$17="Distrato",$I$38-1,0)),IF(AND($L$711=0,$P$708=0),"",$L$711-1),IF($R$17="Distrato",$E803,0))),0,YEARFRAC(MAX($P$708*($B803+IF($R$17="Distrato",$I$38-1,0)),IF(AND($L$711=0,$P$708=0),"",$L$711-1),IF($R$17="Distrato",$E803,0)),MIN(AN$38,$D$19),$P$20))-SUM($P803:AM803)</f>
        <v>#VALUE!</v>
      </c>
      <c r="AO803" s="446" t="e">
        <f>IF(OR($B803="",MIN(AO$38,$D$19)&lt;MAX($P$708*($B803+IF($R$17="Distrato",$I$38-1,0)),IF(AND($L$711=0,$P$708=0),"",$L$711-1),IF($R$17="Distrato",$E803,0))),0,YEARFRAC(MAX($P$708*($B803+IF($R$17="Distrato",$I$38-1,0)),IF(AND($L$711=0,$P$708=0),"",$L$711-1),IF($R$17="Distrato",$E803,0)),MIN(AO$38,$D$19),$P$20))-SUM($P803:AN803)</f>
        <v>#VALUE!</v>
      </c>
      <c r="AP803" s="446" t="e">
        <f>IF(OR($B803="",MIN(AP$38,$D$19)&lt;MAX($P$708*($B803+IF($R$17="Distrato",$I$38-1,0)),IF(AND($L$711=0,$P$708=0),"",$L$711-1),IF($R$17="Distrato",$E803,0))),0,YEARFRAC(MAX($P$708*($B803+IF($R$17="Distrato",$I$38-1,0)),IF(AND($L$711=0,$P$708=0),"",$L$711-1),IF($R$17="Distrato",$E803,0)),MIN(AP$38,$D$19),$P$20))-SUM($P803:AO803)</f>
        <v>#VALUE!</v>
      </c>
      <c r="AQ803" s="446" t="e">
        <f>IF(OR($B803="",MIN(AQ$38,$D$19)&lt;MAX($P$708*($B803+IF($R$17="Distrato",$I$38-1,0)),IF(AND($L$711=0,$P$708=0),"",$L$711-1),IF($R$17="Distrato",$E803,0))),0,YEARFRAC(MAX($P$708*($B803+IF($R$17="Distrato",$I$38-1,0)),IF(AND($L$711=0,$P$708=0),"",$L$711-1),IF($R$17="Distrato",$E803,0)),MIN(AQ$38,$D$19),$P$20))-SUM($P803:AP803)</f>
        <v>#VALUE!</v>
      </c>
      <c r="AR803" s="446" t="e">
        <f>IF(OR($B803="",MIN(AR$38,$D$19)&lt;MAX($P$708*($B803+IF($R$17="Distrato",$I$38-1,0)),IF(AND($L$711=0,$P$708=0),"",$L$711-1),IF($R$17="Distrato",$E803,0))),0,YEARFRAC(MAX($P$708*($B803+IF($R$17="Distrato",$I$38-1,0)),IF(AND($L$711=0,$P$708=0),"",$L$711-1),IF($R$17="Distrato",$E803,0)),MIN(AR$38,$D$19),$P$20))-SUM($P803:AQ803)</f>
        <v>#VALUE!</v>
      </c>
      <c r="AS803" s="446" t="e">
        <f>IF(OR($B803="",MIN(AS$38,$D$19)&lt;MAX($P$708*($B803+IF($R$17="Distrato",$I$38-1,0)),IF(AND($L$711=0,$P$708=0),"",$L$711-1),IF($R$17="Distrato",$E803,0))),0,YEARFRAC(MAX($P$708*($B803+IF($R$17="Distrato",$I$38-1,0)),IF(AND($L$711=0,$P$708=0),"",$L$711-1),IF($R$17="Distrato",$E803,0)),MIN(AS$38,$D$19),$P$20))-SUM($P803:AR803)</f>
        <v>#VALUE!</v>
      </c>
      <c r="AT803" s="446" t="e">
        <f>IF(OR($B803="",MIN(AT$38,$D$19)&lt;MAX($P$708*($B803+IF($R$17="Distrato",$I$38-1,0)),IF(AND($L$711=0,$P$708=0),"",$L$711-1),IF($R$17="Distrato",$E803,0))),0,YEARFRAC(MAX($P$708*($B803+IF($R$17="Distrato",$I$38-1,0)),IF(AND($L$711=0,$P$708=0),"",$L$711-1),IF($R$17="Distrato",$E803,0)),MIN(AT$38,$D$19),$P$20))-SUM($P803:AS803)</f>
        <v>#VALUE!</v>
      </c>
      <c r="AU803" s="446" t="e">
        <f>IF(OR($B803="",MIN(AU$38,$D$19)&lt;MAX($P$708*($B803+IF($R$17="Distrato",$I$38-1,0)),IF(AND($L$711=0,$P$708=0),"",$L$711-1),IF($R$17="Distrato",$E803,0))),0,YEARFRAC(MAX($P$708*($B803+IF($R$17="Distrato",$I$38-1,0)),IF(AND($L$711=0,$P$708=0),"",$L$711-1),IF($R$17="Distrato",$E803,0)),MIN(AU$38,$D$19),$P$20))-SUM($P803:AT803)</f>
        <v>#VALUE!</v>
      </c>
      <c r="AV803" s="446" t="e">
        <f>IF(OR($B803="",MIN(AV$38,$D$19)&lt;MAX($P$708*($B803+IF($R$17="Distrato",$I$38-1,0)),IF(AND($L$711=0,$P$708=0),"",$L$711-1),IF($R$17="Distrato",$E803,0))),0,YEARFRAC(MAX($P$708*($B803+IF($R$17="Distrato",$I$38-1,0)),IF(AND($L$711=0,$P$708=0),"",$L$711-1),IF($R$17="Distrato",$E803,0)),MIN(AV$38,$D$19),$P$20))-SUM($P803:AU803)</f>
        <v>#VALUE!</v>
      </c>
      <c r="AW803" s="446" t="e">
        <f>IF(OR($B803="",MIN(AW$38,$D$19)&lt;MAX($P$708*($B803+IF($R$17="Distrato",$I$38-1,0)),IF(AND($L$711=0,$P$708=0),"",$L$711-1),IF($R$17="Distrato",$E803,0))),0,YEARFRAC(MAX($P$708*($B803+IF($R$17="Distrato",$I$38-1,0)),IF(AND($L$711=0,$P$708=0),"",$L$711-1),IF($R$17="Distrato",$E803,0)),MIN(AW$38,$D$19),$P$20))-SUM($P803:AV803)</f>
        <v>#VALUE!</v>
      </c>
      <c r="AX803" s="446" t="e">
        <f>IF(OR($B803="",MIN(AX$38,$D$19)&lt;MAX($P$708*($B803+IF($R$17="Distrato",$I$38-1,0)),IF(AND($L$711=0,$P$708=0),"",$L$711-1),IF($R$17="Distrato",$E803,0))),0,YEARFRAC(MAX($P$708*($B803+IF($R$17="Distrato",$I$38-1,0)),IF(AND($L$711=0,$P$708=0),"",$L$711-1),IF($R$17="Distrato",$E803,0)),MIN(AX$38,$D$19),$P$20))-SUM($P803:AW803)</f>
        <v>#VALUE!</v>
      </c>
      <c r="AY803" s="446" t="e">
        <f>IF(OR($B803="",MIN(AY$38,$D$19)&lt;MAX($P$708*($B803+IF($R$17="Distrato",$I$38-1,0)),IF(AND($L$711=0,$P$708=0),"",$L$711-1),IF($R$17="Distrato",$E803,0))),0,YEARFRAC(MAX($P$708*($B803+IF($R$17="Distrato",$I$38-1,0)),IF(AND($L$711=0,$P$708=0),"",$L$711-1),IF($R$17="Distrato",$E803,0)),MIN(AY$38,$D$19),$P$20))-SUM($P803:AX803)</f>
        <v>#VALUE!</v>
      </c>
      <c r="AZ803" s="446" t="e">
        <f>IF(OR($B803="",MIN(AZ$38,$D$19)&lt;MAX($P$708*($B803+IF($R$17="Distrato",$I$38-1,0)),IF(AND($L$711=0,$P$708=0),"",$L$711-1),IF($R$17="Distrato",$E803,0))),0,YEARFRAC(MAX($P$708*($B803+IF($R$17="Distrato",$I$38-1,0)),IF(AND($L$711=0,$P$708=0),"",$L$711-1),IF($R$17="Distrato",$E803,0)),MIN(AZ$38,$D$19),$P$20))-SUM($P803:AY803)</f>
        <v>#VALUE!</v>
      </c>
      <c r="BA803" s="446" t="e">
        <f>IF(OR($B803="",MIN(BA$38,$D$19)&lt;MAX($P$708*($B803+IF($R$17="Distrato",$I$38-1,0)),IF(AND($L$711=0,$P$708=0),"",$L$711-1),IF($R$17="Distrato",$E803,0))),0,YEARFRAC(MAX($P$708*($B803+IF($R$17="Distrato",$I$38-1,0)),IF(AND($L$711=0,$P$708=0),"",$L$711-1),IF($R$17="Distrato",$E803,0)),MIN(BA$38,$D$19),$P$20))-SUM($P803:AZ803)</f>
        <v>#VALUE!</v>
      </c>
      <c r="BB803" s="447"/>
    </row>
    <row r="804" spans="1:54" s="446" customFormat="1" ht="11.25" hidden="1" customHeight="1" x14ac:dyDescent="0.2">
      <c r="A804" s="235"/>
      <c r="B804" s="236"/>
      <c r="C804" s="29" t="str">
        <f>IF(B804="","",IF($L$709=$BL$25,VLOOKUP(DATE(YEAR($D$19),MONTH($D$19)-1,1),ÍNDICES!$A:$DE,HLOOKUP($BL$25,ÍNDICES!$B$3:$T$4,2)+11)-VLOOKUP(B804,ÍNDICES!$A:$DE,HLOOKUP($BL$25,ÍNDICES!$B$3:$T$4,2)+11)+1%,IF(C$712=$W$26,$J$35,IF(ISERROR(IF(B804&gt;$D$19,1,VLOOKUP(DATE(YEAR(B804),MONTH(B804)+IF($C$709=$S$23,1,0),1),ÍNDICES!$A:$DE,$Z$709+1))),"",IF(B804&gt;$D$19,1,VLOOKUP(DATE(YEAR(B804),MONTH(B804)+IF($C$709=$S$23,1,0),1),ÍNDICES!$A:$DE,$Z$709+1))))))</f>
        <v/>
      </c>
      <c r="D804" s="155"/>
      <c r="E804" s="88"/>
      <c r="F804" s="88"/>
      <c r="G804" s="88"/>
      <c r="H804" s="118"/>
      <c r="I804" s="182">
        <f t="shared" si="122"/>
        <v>0</v>
      </c>
      <c r="J804" s="20">
        <f t="shared" ca="1" si="123"/>
        <v>0</v>
      </c>
      <c r="K804" s="5">
        <f t="shared" ca="1" si="124"/>
        <v>0</v>
      </c>
      <c r="L804" s="61">
        <f t="shared" ca="1" si="125"/>
        <v>0</v>
      </c>
      <c r="M804" s="64">
        <f t="shared" si="126"/>
        <v>0</v>
      </c>
      <c r="N804" s="151"/>
      <c r="O804" s="5">
        <f t="shared" ca="1" si="127"/>
        <v>0</v>
      </c>
      <c r="P804" s="446" t="e">
        <f t="shared" si="128"/>
        <v>#VALUE!</v>
      </c>
      <c r="Q804" s="446" t="e">
        <f>IF(OR($B804="",MIN(Q$38,$D$19)&lt;MAX($P$708*($B804+IF($R$17="Distrato",$I$38-1,0)),IF(AND($L$711=0,$P$708=0),"",$L$711-1),IF($R$17="Distrato",$E804,0))),0,YEARFRAC(MAX($P$708*($B804+IF($R$17="Distrato",$I$38-1,0)),IF(AND($L$711=0,$P$708=0),"",$L$711-1),IF($R$17="Distrato",$E804,0)),MIN(Q$38,$D$19),$P$20))-SUM($P804:P804)</f>
        <v>#VALUE!</v>
      </c>
      <c r="R804" s="446" t="e">
        <f>IF(OR($B804="",MIN(R$38,$D$19)&lt;MAX($P$708*($B804+IF($R$17="Distrato",$I$38-1,0)),IF(AND($L$711=0,$P$708=0),"",$L$711-1),IF($R$17="Distrato",$E804,0))),0,YEARFRAC(MAX($P$708*($B804+IF($R$17="Distrato",$I$38-1,0)),IF(AND($L$711=0,$P$708=0),"",$L$711-1),IF($R$17="Distrato",$E804,0)),MIN(R$38,$D$19),$P$20))-SUM($P804:Q804)</f>
        <v>#VALUE!</v>
      </c>
      <c r="S804" s="446" t="e">
        <f>IF(OR($B804="",MIN(S$38,$D$19)&lt;MAX($P$708*($B804+IF($R$17="Distrato",$I$38-1,0)),IF(AND($L$711=0,$P$708=0),"",$L$711-1),IF($R$17="Distrato",$E804,0))),0,YEARFRAC(MAX($P$708*($B804+IF($R$17="Distrato",$I$38-1,0)),IF(AND($L$711=0,$P$708=0),"",$L$711-1),IF($R$17="Distrato",$E804,0)),MIN(S$38,$D$19),$P$20))-SUM($P804:R804)</f>
        <v>#VALUE!</v>
      </c>
      <c r="T804" s="446" t="e">
        <f>IF(OR($B804="",MIN(T$38,$D$19)&lt;MAX($P$708*($B804+IF($R$17="Distrato",$I$38-1,0)),IF(AND($L$711=0,$P$708=0),"",$L$711-1),IF($R$17="Distrato",$E804,0))),0,YEARFRAC(MAX($P$708*($B804+IF($R$17="Distrato",$I$38-1,0)),IF(AND($L$711=0,$P$708=0),"",$L$711-1),IF($R$17="Distrato",$E804,0)),MIN(T$38,$D$19),$P$20))-SUM($P804:S804)</f>
        <v>#VALUE!</v>
      </c>
      <c r="U804" s="446" t="e">
        <f>IF(OR($B804="",MIN(U$38,$D$19)&lt;MAX($P$708*($B804+IF($R$17="Distrato",$I$38-1,0)),IF(AND($L$711=0,$P$708=0),"",$L$711-1),IF($R$17="Distrato",$E804,0))),0,YEARFRAC(MAX($P$708*($B804+IF($R$17="Distrato",$I$38-1,0)),IF(AND($L$711=0,$P$708=0),"",$L$711-1),IF($R$17="Distrato",$E804,0)),MIN(U$38,$D$19),$P$20))-SUM($P804:T804)</f>
        <v>#VALUE!</v>
      </c>
      <c r="V804" s="446" t="e">
        <f>IF(OR($B804="",MIN(V$38,$D$19)&lt;MAX($P$708*($B804+IF($R$17="Distrato",$I$38-1,0)),IF(AND($L$711=0,$P$708=0),"",$L$711-1),IF($R$17="Distrato",$E804,0))),0,YEARFRAC(MAX($P$708*($B804+IF($R$17="Distrato",$I$38-1,0)),IF(AND($L$711=0,$P$708=0),"",$L$711-1),IF($R$17="Distrato",$E804,0)),MIN(V$38,$D$19),$P$20))-SUM($P804:U804)</f>
        <v>#VALUE!</v>
      </c>
      <c r="W804" s="446" t="e">
        <f>IF(OR($B804="",MIN(W$38,$D$19)&lt;MAX($P$708*($B804+IF($R$17="Distrato",$I$38-1,0)),IF(AND($L$711=0,$P$708=0),"",$L$711-1),IF($R$17="Distrato",$E804,0))),0,YEARFRAC(MAX($P$708*($B804+IF($R$17="Distrato",$I$38-1,0)),IF(AND($L$711=0,$P$708=0),"",$L$711-1),IF($R$17="Distrato",$E804,0)),MIN(W$38,$D$19),$P$20))-SUM($P804:V804)</f>
        <v>#VALUE!</v>
      </c>
      <c r="X804" s="446" t="e">
        <f>IF(OR($B804="",MIN(X$38,$D$19)&lt;MAX($P$708*($B804+IF($R$17="Distrato",$I$38-1,0)),IF(AND($L$711=0,$P$708=0),"",$L$711-1),IF($R$17="Distrato",$E804,0))),0,YEARFRAC(MAX($P$708*($B804+IF($R$17="Distrato",$I$38-1,0)),IF(AND($L$711=0,$P$708=0),"",$L$711-1),IF($R$17="Distrato",$E804,0)),MIN(X$38,$D$19),$P$20))-SUM($P804:W804)</f>
        <v>#VALUE!</v>
      </c>
      <c r="Y804" s="446" t="e">
        <f>IF(OR($B804="",MIN(Y$38,$D$19)&lt;MAX($P$708*($B804+IF($R$17="Distrato",$I$38-1,0)),IF(AND($L$711=0,$P$708=0),"",$L$711-1),IF($R$17="Distrato",$E804,0))),0,YEARFRAC(MAX($P$708*($B804+IF($R$17="Distrato",$I$38-1,0)),IF(AND($L$711=0,$P$708=0),"",$L$711-1),IF($R$17="Distrato",$E804,0)),MIN(Y$38,$D$19),$P$20))-SUM($P804:X804)</f>
        <v>#VALUE!</v>
      </c>
      <c r="Z804" s="446" t="e">
        <f>IF(OR($B804="",MIN(Z$38,$D$19)&lt;MAX($P$708*($B804+IF($R$17="Distrato",$I$38-1,0)),IF(AND($L$711=0,$P$708=0),"",$L$711-1),IF($R$17="Distrato",$E804,0))),0,YEARFRAC(MAX($P$708*($B804+IF($R$17="Distrato",$I$38-1,0)),IF(AND($L$711=0,$P$708=0),"",$L$711-1),IF($R$17="Distrato",$E804,0)),MIN(Z$38,$D$19),$P$20))-SUM($P804:Y804)</f>
        <v>#VALUE!</v>
      </c>
      <c r="AA804" s="446" t="e">
        <f>IF(OR($B804="",MIN(AA$38,$D$19)&lt;MAX($P$708*($B804+IF($R$17="Distrato",$I$38-1,0)),IF(AND($L$711=0,$P$708=0),"",$L$711-1),IF($R$17="Distrato",$E804,0))),0,YEARFRAC(MAX($P$708*($B804+IF($R$17="Distrato",$I$38-1,0)),IF(AND($L$711=0,$P$708=0),"",$L$711-1),IF($R$17="Distrato",$E804,0)),MIN(AA$38,$D$19),$P$20))-SUM($P804:Z804)</f>
        <v>#VALUE!</v>
      </c>
      <c r="AB804" s="446" t="e">
        <f>IF(OR($B804="",MIN(AB$38,$D$19)&lt;MAX($P$708*($B804+IF($R$17="Distrato",$I$38-1,0)),IF(AND($L$711=0,$P$708=0),"",$L$711-1),IF($R$17="Distrato",$E804,0))),0,YEARFRAC(MAX($P$708*($B804+IF($R$17="Distrato",$I$38-1,0)),IF(AND($L$711=0,$P$708=0),"",$L$711-1),IF($R$17="Distrato",$E804,0)),MIN(AB$38,$D$19),$P$20))-SUM($P804:AA804)</f>
        <v>#VALUE!</v>
      </c>
      <c r="AC804" s="446" t="e">
        <f>IF(OR($B804="",MIN(AC$38,$D$19)&lt;MAX($P$708*($B804+IF($R$17="Distrato",$I$38-1,0)),IF(AND($L$711=0,$P$708=0),"",$L$711-1),IF($R$17="Distrato",$E804,0))),0,YEARFRAC(MAX($P$708*($B804+IF($R$17="Distrato",$I$38-1,0)),IF(AND($L$711=0,$P$708=0),"",$L$711-1),IF($R$17="Distrato",$E804,0)),MIN(AC$38,$D$19),$P$20))-SUM($P804:AB804)</f>
        <v>#VALUE!</v>
      </c>
      <c r="AD804" s="446" t="e">
        <f>IF(OR($B804="",MIN(AD$38,$D$19)&lt;MAX($P$708*($B804+IF($R$17="Distrato",$I$38-1,0)),IF(AND($L$711=0,$P$708=0),"",$L$711-1),IF($R$17="Distrato",$E804,0))),0,YEARFRAC(MAX($P$708*($B804+IF($R$17="Distrato",$I$38-1,0)),IF(AND($L$711=0,$P$708=0),"",$L$711-1),IF($R$17="Distrato",$E804,0)),MIN(AD$38,$D$19),$P$20))-SUM($P804:AC804)</f>
        <v>#VALUE!</v>
      </c>
      <c r="AE804" s="446" t="e">
        <f>IF(OR($B804="",MIN(AE$38,$D$19)&lt;MAX($P$708*($B804+IF($R$17="Distrato",$I$38-1,0)),IF(AND($L$711=0,$P$708=0),"",$L$711-1),IF($R$17="Distrato",$E804,0))),0,YEARFRAC(MAX($P$708*($B804+IF($R$17="Distrato",$I$38-1,0)),IF(AND($L$711=0,$P$708=0),"",$L$711-1),IF($R$17="Distrato",$E804,0)),MIN(AE$38,$D$19),$P$20))-SUM($P804:AD804)</f>
        <v>#VALUE!</v>
      </c>
      <c r="AF804" s="446" t="e">
        <f>IF(OR($B804="",MIN(AF$38,$D$19)&lt;MAX($P$708*($B804+IF($R$17="Distrato",$I$38-1,0)),IF(AND($L$711=0,$P$708=0),"",$L$711-1),IF($R$17="Distrato",$E804,0))),0,YEARFRAC(MAX($P$708*($B804+IF($R$17="Distrato",$I$38-1,0)),IF(AND($L$711=0,$P$708=0),"",$L$711-1),IF($R$17="Distrato",$E804,0)),MIN(AF$38,$D$19),$P$20))-SUM($P804:AE804)</f>
        <v>#VALUE!</v>
      </c>
      <c r="AG804" s="446" t="e">
        <f>IF(OR($B804="",MIN(AG$38,$D$19)&lt;MAX($P$708*($B804+IF($R$17="Distrato",$I$38-1,0)),IF(AND($L$711=0,$P$708=0),"",$L$711-1),IF($R$17="Distrato",$E804,0))),0,YEARFRAC(MAX($P$708*($B804+IF($R$17="Distrato",$I$38-1,0)),IF(AND($L$711=0,$P$708=0),"",$L$711-1),IF($R$17="Distrato",$E804,0)),MIN(AG$38,$D$19),$P$20))-SUM($P804:AF804)</f>
        <v>#VALUE!</v>
      </c>
      <c r="AH804" s="446" t="e">
        <f>IF(OR($B804="",MIN(AH$38,$D$19)&lt;MAX($P$708*($B804+IF($R$17="Distrato",$I$38-1,0)),IF(AND($L$711=0,$P$708=0),"",$L$711-1),IF($R$17="Distrato",$E804,0))),0,YEARFRAC(MAX($P$708*($B804+IF($R$17="Distrato",$I$38-1,0)),IF(AND($L$711=0,$P$708=0),"",$L$711-1),IF($R$17="Distrato",$E804,0)),MIN(AH$38,$D$19),$P$20))-SUM($P804:AG804)</f>
        <v>#VALUE!</v>
      </c>
      <c r="AI804" s="446" t="e">
        <f>IF(OR($B804="",MIN(AI$38,$D$19)&lt;MAX($P$708*($B804+IF($R$17="Distrato",$I$38-1,0)),IF(AND($L$711=0,$P$708=0),"",$L$711-1),IF($R$17="Distrato",$E804,0))),0,YEARFRAC(MAX($P$708*($B804+IF($R$17="Distrato",$I$38-1,0)),IF(AND($L$711=0,$P$708=0),"",$L$711-1),IF($R$17="Distrato",$E804,0)),MIN(AI$38,$D$19),$P$20))-SUM($P804:AH804)</f>
        <v>#VALUE!</v>
      </c>
      <c r="AJ804" s="446" t="e">
        <f>IF(OR($B804="",MIN(AJ$38,$D$19)&lt;MAX($P$708*($B804+IF($R$17="Distrato",$I$38-1,0)),IF(AND($L$711=0,$P$708=0),"",$L$711-1),IF($R$17="Distrato",$E804,0))),0,YEARFRAC(MAX($P$708*($B804+IF($R$17="Distrato",$I$38-1,0)),IF(AND($L$711=0,$P$708=0),"",$L$711-1),IF($R$17="Distrato",$E804,0)),MIN(AJ$38,$D$19),$P$20))-SUM($P804:AI804)</f>
        <v>#VALUE!</v>
      </c>
      <c r="AK804" s="446" t="e">
        <f>IF(OR($B804="",MIN(AK$38,$D$19)&lt;MAX($P$708*($B804+IF($R$17="Distrato",$I$38-1,0)),IF(AND($L$711=0,$P$708=0),"",$L$711-1),IF($R$17="Distrato",$E804,0))),0,YEARFRAC(MAX($P$708*($B804+IF($R$17="Distrato",$I$38-1,0)),IF(AND($L$711=0,$P$708=0),"",$L$711-1),IF($R$17="Distrato",$E804,0)),MIN(AK$38,$D$19),$P$20))-SUM($P804:AJ804)</f>
        <v>#VALUE!</v>
      </c>
      <c r="AL804" s="446" t="e">
        <f>IF(OR($B804="",MIN(AL$38,$D$19)&lt;MAX($P$708*($B804+IF($R$17="Distrato",$I$38-1,0)),IF(AND($L$711=0,$P$708=0),"",$L$711-1),IF($R$17="Distrato",$E804,0))),0,YEARFRAC(MAX($P$708*($B804+IF($R$17="Distrato",$I$38-1,0)),IF(AND($L$711=0,$P$708=0),"",$L$711-1),IF($R$17="Distrato",$E804,0)),MIN(AL$38,$D$19),$P$20))-SUM($P804:AK804)</f>
        <v>#VALUE!</v>
      </c>
      <c r="AM804" s="446" t="e">
        <f>IF(OR($B804="",MIN(AM$38,$D$19)&lt;MAX($P$708*($B804+IF($R$17="Distrato",$I$38-1,0)),IF(AND($L$711=0,$P$708=0),"",$L$711-1),IF($R$17="Distrato",$E804,0))),0,YEARFRAC(MAX($P$708*($B804+IF($R$17="Distrato",$I$38-1,0)),IF(AND($L$711=0,$P$708=0),"",$L$711-1),IF($R$17="Distrato",$E804,0)),MIN(AM$38,$D$19),$P$20))-SUM($P804:AL804)</f>
        <v>#VALUE!</v>
      </c>
      <c r="AN804" s="446" t="e">
        <f>IF(OR($B804="",MIN(AN$38,$D$19)&lt;MAX($P$708*($B804+IF($R$17="Distrato",$I$38-1,0)),IF(AND($L$711=0,$P$708=0),"",$L$711-1),IF($R$17="Distrato",$E804,0))),0,YEARFRAC(MAX($P$708*($B804+IF($R$17="Distrato",$I$38-1,0)),IF(AND($L$711=0,$P$708=0),"",$L$711-1),IF($R$17="Distrato",$E804,0)),MIN(AN$38,$D$19),$P$20))-SUM($P804:AM804)</f>
        <v>#VALUE!</v>
      </c>
      <c r="AO804" s="446" t="e">
        <f>IF(OR($B804="",MIN(AO$38,$D$19)&lt;MAX($P$708*($B804+IF($R$17="Distrato",$I$38-1,0)),IF(AND($L$711=0,$P$708=0),"",$L$711-1),IF($R$17="Distrato",$E804,0))),0,YEARFRAC(MAX($P$708*($B804+IF($R$17="Distrato",$I$38-1,0)),IF(AND($L$711=0,$P$708=0),"",$L$711-1),IF($R$17="Distrato",$E804,0)),MIN(AO$38,$D$19),$P$20))-SUM($P804:AN804)</f>
        <v>#VALUE!</v>
      </c>
      <c r="AP804" s="446" t="e">
        <f>IF(OR($B804="",MIN(AP$38,$D$19)&lt;MAX($P$708*($B804+IF($R$17="Distrato",$I$38-1,0)),IF(AND($L$711=0,$P$708=0),"",$L$711-1),IF($R$17="Distrato",$E804,0))),0,YEARFRAC(MAX($P$708*($B804+IF($R$17="Distrato",$I$38-1,0)),IF(AND($L$711=0,$P$708=0),"",$L$711-1),IF($R$17="Distrato",$E804,0)),MIN(AP$38,$D$19),$P$20))-SUM($P804:AO804)</f>
        <v>#VALUE!</v>
      </c>
      <c r="AQ804" s="446" t="e">
        <f>IF(OR($B804="",MIN(AQ$38,$D$19)&lt;MAX($P$708*($B804+IF($R$17="Distrato",$I$38-1,0)),IF(AND($L$711=0,$P$708=0),"",$L$711-1),IF($R$17="Distrato",$E804,0))),0,YEARFRAC(MAX($P$708*($B804+IF($R$17="Distrato",$I$38-1,0)),IF(AND($L$711=0,$P$708=0),"",$L$711-1),IF($R$17="Distrato",$E804,0)),MIN(AQ$38,$D$19),$P$20))-SUM($P804:AP804)</f>
        <v>#VALUE!</v>
      </c>
      <c r="AR804" s="446" t="e">
        <f>IF(OR($B804="",MIN(AR$38,$D$19)&lt;MAX($P$708*($B804+IF($R$17="Distrato",$I$38-1,0)),IF(AND($L$711=0,$P$708=0),"",$L$711-1),IF($R$17="Distrato",$E804,0))),0,YEARFRAC(MAX($P$708*($B804+IF($R$17="Distrato",$I$38-1,0)),IF(AND($L$711=0,$P$708=0),"",$L$711-1),IF($R$17="Distrato",$E804,0)),MIN(AR$38,$D$19),$P$20))-SUM($P804:AQ804)</f>
        <v>#VALUE!</v>
      </c>
      <c r="AS804" s="446" t="e">
        <f>IF(OR($B804="",MIN(AS$38,$D$19)&lt;MAX($P$708*($B804+IF($R$17="Distrato",$I$38-1,0)),IF(AND($L$711=0,$P$708=0),"",$L$711-1),IF($R$17="Distrato",$E804,0))),0,YEARFRAC(MAX($P$708*($B804+IF($R$17="Distrato",$I$38-1,0)),IF(AND($L$711=0,$P$708=0),"",$L$711-1),IF($R$17="Distrato",$E804,0)),MIN(AS$38,$D$19),$P$20))-SUM($P804:AR804)</f>
        <v>#VALUE!</v>
      </c>
      <c r="AT804" s="446" t="e">
        <f>IF(OR($B804="",MIN(AT$38,$D$19)&lt;MAX($P$708*($B804+IF($R$17="Distrato",$I$38-1,0)),IF(AND($L$711=0,$P$708=0),"",$L$711-1),IF($R$17="Distrato",$E804,0))),0,YEARFRAC(MAX($P$708*($B804+IF($R$17="Distrato",$I$38-1,0)),IF(AND($L$711=0,$P$708=0),"",$L$711-1),IF($R$17="Distrato",$E804,0)),MIN(AT$38,$D$19),$P$20))-SUM($P804:AS804)</f>
        <v>#VALUE!</v>
      </c>
      <c r="AU804" s="446" t="e">
        <f>IF(OR($B804="",MIN(AU$38,$D$19)&lt;MAX($P$708*($B804+IF($R$17="Distrato",$I$38-1,0)),IF(AND($L$711=0,$P$708=0),"",$L$711-1),IF($R$17="Distrato",$E804,0))),0,YEARFRAC(MAX($P$708*($B804+IF($R$17="Distrato",$I$38-1,0)),IF(AND($L$711=0,$P$708=0),"",$L$711-1),IF($R$17="Distrato",$E804,0)),MIN(AU$38,$D$19),$P$20))-SUM($P804:AT804)</f>
        <v>#VALUE!</v>
      </c>
      <c r="AV804" s="446" t="e">
        <f>IF(OR($B804="",MIN(AV$38,$D$19)&lt;MAX($P$708*($B804+IF($R$17="Distrato",$I$38-1,0)),IF(AND($L$711=0,$P$708=0),"",$L$711-1),IF($R$17="Distrato",$E804,0))),0,YEARFRAC(MAX($P$708*($B804+IF($R$17="Distrato",$I$38-1,0)),IF(AND($L$711=0,$P$708=0),"",$L$711-1),IF($R$17="Distrato",$E804,0)),MIN(AV$38,$D$19),$P$20))-SUM($P804:AU804)</f>
        <v>#VALUE!</v>
      </c>
      <c r="AW804" s="446" t="e">
        <f>IF(OR($B804="",MIN(AW$38,$D$19)&lt;MAX($P$708*($B804+IF($R$17="Distrato",$I$38-1,0)),IF(AND($L$711=0,$P$708=0),"",$L$711-1),IF($R$17="Distrato",$E804,0))),0,YEARFRAC(MAX($P$708*($B804+IF($R$17="Distrato",$I$38-1,0)),IF(AND($L$711=0,$P$708=0),"",$L$711-1),IF($R$17="Distrato",$E804,0)),MIN(AW$38,$D$19),$P$20))-SUM($P804:AV804)</f>
        <v>#VALUE!</v>
      </c>
      <c r="AX804" s="446" t="e">
        <f>IF(OR($B804="",MIN(AX$38,$D$19)&lt;MAX($P$708*($B804+IF($R$17="Distrato",$I$38-1,0)),IF(AND($L$711=0,$P$708=0),"",$L$711-1),IF($R$17="Distrato",$E804,0))),0,YEARFRAC(MAX($P$708*($B804+IF($R$17="Distrato",$I$38-1,0)),IF(AND($L$711=0,$P$708=0),"",$L$711-1),IF($R$17="Distrato",$E804,0)),MIN(AX$38,$D$19),$P$20))-SUM($P804:AW804)</f>
        <v>#VALUE!</v>
      </c>
      <c r="AY804" s="446" t="e">
        <f>IF(OR($B804="",MIN(AY$38,$D$19)&lt;MAX($P$708*($B804+IF($R$17="Distrato",$I$38-1,0)),IF(AND($L$711=0,$P$708=0),"",$L$711-1),IF($R$17="Distrato",$E804,0))),0,YEARFRAC(MAX($P$708*($B804+IF($R$17="Distrato",$I$38-1,0)),IF(AND($L$711=0,$P$708=0),"",$L$711-1),IF($R$17="Distrato",$E804,0)),MIN(AY$38,$D$19),$P$20))-SUM($P804:AX804)</f>
        <v>#VALUE!</v>
      </c>
      <c r="AZ804" s="446" t="e">
        <f>IF(OR($B804="",MIN(AZ$38,$D$19)&lt;MAX($P$708*($B804+IF($R$17="Distrato",$I$38-1,0)),IF(AND($L$711=0,$P$708=0),"",$L$711-1),IF($R$17="Distrato",$E804,0))),0,YEARFRAC(MAX($P$708*($B804+IF($R$17="Distrato",$I$38-1,0)),IF(AND($L$711=0,$P$708=0),"",$L$711-1),IF($R$17="Distrato",$E804,0)),MIN(AZ$38,$D$19),$P$20))-SUM($P804:AY804)</f>
        <v>#VALUE!</v>
      </c>
      <c r="BA804" s="446" t="e">
        <f>IF(OR($B804="",MIN(BA$38,$D$19)&lt;MAX($P$708*($B804+IF($R$17="Distrato",$I$38-1,0)),IF(AND($L$711=0,$P$708=0),"",$L$711-1),IF($R$17="Distrato",$E804,0))),0,YEARFRAC(MAX($P$708*($B804+IF($R$17="Distrato",$I$38-1,0)),IF(AND($L$711=0,$P$708=0),"",$L$711-1),IF($R$17="Distrato",$E804,0)),MIN(BA$38,$D$19),$P$20))-SUM($P804:AZ804)</f>
        <v>#VALUE!</v>
      </c>
      <c r="BB804" s="447"/>
    </row>
    <row r="805" spans="1:54" s="446" customFormat="1" ht="11.25" hidden="1" customHeight="1" x14ac:dyDescent="0.2">
      <c r="A805" s="235"/>
      <c r="B805" s="236"/>
      <c r="C805" s="29" t="str">
        <f>IF(B805="","",IF($L$709=$BL$25,VLOOKUP(DATE(YEAR($D$19),MONTH($D$19)-1,1),ÍNDICES!$A:$DE,HLOOKUP($BL$25,ÍNDICES!$B$3:$T$4,2)+11)-VLOOKUP(B805,ÍNDICES!$A:$DE,HLOOKUP($BL$25,ÍNDICES!$B$3:$T$4,2)+11)+1%,IF(C$712=$W$26,$J$35,IF(ISERROR(IF(B805&gt;$D$19,1,VLOOKUP(DATE(YEAR(B805),MONTH(B805)+IF($C$709=$S$23,1,0),1),ÍNDICES!$A:$DE,$Z$709+1))),"",IF(B805&gt;$D$19,1,VLOOKUP(DATE(YEAR(B805),MONTH(B805)+IF($C$709=$S$23,1,0),1),ÍNDICES!$A:$DE,$Z$709+1))))))</f>
        <v/>
      </c>
      <c r="D805" s="155"/>
      <c r="E805" s="88"/>
      <c r="F805" s="88"/>
      <c r="G805" s="88"/>
      <c r="H805" s="118"/>
      <c r="I805" s="182">
        <f t="shared" si="122"/>
        <v>0</v>
      </c>
      <c r="J805" s="20">
        <f t="shared" ca="1" si="123"/>
        <v>0</v>
      </c>
      <c r="K805" s="5">
        <f t="shared" ca="1" si="124"/>
        <v>0</v>
      </c>
      <c r="L805" s="61">
        <f t="shared" ca="1" si="125"/>
        <v>0</v>
      </c>
      <c r="M805" s="64">
        <f t="shared" si="126"/>
        <v>0</v>
      </c>
      <c r="N805" s="151"/>
      <c r="O805" s="5">
        <f t="shared" ca="1" si="127"/>
        <v>0</v>
      </c>
      <c r="P805" s="446" t="e">
        <f t="shared" si="128"/>
        <v>#VALUE!</v>
      </c>
      <c r="Q805" s="446" t="e">
        <f>IF(OR($B805="",MIN(Q$38,$D$19)&lt;MAX($P$708*($B805+IF($R$17="Distrato",$I$38-1,0)),IF(AND($L$711=0,$P$708=0),"",$L$711-1),IF($R$17="Distrato",$E805,0))),0,YEARFRAC(MAX($P$708*($B805+IF($R$17="Distrato",$I$38-1,0)),IF(AND($L$711=0,$P$708=0),"",$L$711-1),IF($R$17="Distrato",$E805,0)),MIN(Q$38,$D$19),$P$20))-SUM($P805:P805)</f>
        <v>#VALUE!</v>
      </c>
      <c r="R805" s="446" t="e">
        <f>IF(OR($B805="",MIN(R$38,$D$19)&lt;MAX($P$708*($B805+IF($R$17="Distrato",$I$38-1,0)),IF(AND($L$711=0,$P$708=0),"",$L$711-1),IF($R$17="Distrato",$E805,0))),0,YEARFRAC(MAX($P$708*($B805+IF($R$17="Distrato",$I$38-1,0)),IF(AND($L$711=0,$P$708=0),"",$L$711-1),IF($R$17="Distrato",$E805,0)),MIN(R$38,$D$19),$P$20))-SUM($P805:Q805)</f>
        <v>#VALUE!</v>
      </c>
      <c r="S805" s="446" t="e">
        <f>IF(OR($B805="",MIN(S$38,$D$19)&lt;MAX($P$708*($B805+IF($R$17="Distrato",$I$38-1,0)),IF(AND($L$711=0,$P$708=0),"",$L$711-1),IF($R$17="Distrato",$E805,0))),0,YEARFRAC(MAX($P$708*($B805+IF($R$17="Distrato",$I$38-1,0)),IF(AND($L$711=0,$P$708=0),"",$L$711-1),IF($R$17="Distrato",$E805,0)),MIN(S$38,$D$19),$P$20))-SUM($P805:R805)</f>
        <v>#VALUE!</v>
      </c>
      <c r="T805" s="446" t="e">
        <f>IF(OR($B805="",MIN(T$38,$D$19)&lt;MAX($P$708*($B805+IF($R$17="Distrato",$I$38-1,0)),IF(AND($L$711=0,$P$708=0),"",$L$711-1),IF($R$17="Distrato",$E805,0))),0,YEARFRAC(MAX($P$708*($B805+IF($R$17="Distrato",$I$38-1,0)),IF(AND($L$711=0,$P$708=0),"",$L$711-1),IF($R$17="Distrato",$E805,0)),MIN(T$38,$D$19),$P$20))-SUM($P805:S805)</f>
        <v>#VALUE!</v>
      </c>
      <c r="U805" s="446" t="e">
        <f>IF(OR($B805="",MIN(U$38,$D$19)&lt;MAX($P$708*($B805+IF($R$17="Distrato",$I$38-1,0)),IF(AND($L$711=0,$P$708=0),"",$L$711-1),IF($R$17="Distrato",$E805,0))),0,YEARFRAC(MAX($P$708*($B805+IF($R$17="Distrato",$I$38-1,0)),IF(AND($L$711=0,$P$708=0),"",$L$711-1),IF($R$17="Distrato",$E805,0)),MIN(U$38,$D$19),$P$20))-SUM($P805:T805)</f>
        <v>#VALUE!</v>
      </c>
      <c r="V805" s="446" t="e">
        <f>IF(OR($B805="",MIN(V$38,$D$19)&lt;MAX($P$708*($B805+IF($R$17="Distrato",$I$38-1,0)),IF(AND($L$711=0,$P$708=0),"",$L$711-1),IF($R$17="Distrato",$E805,0))),0,YEARFRAC(MAX($P$708*($B805+IF($R$17="Distrato",$I$38-1,0)),IF(AND($L$711=0,$P$708=0),"",$L$711-1),IF($R$17="Distrato",$E805,0)),MIN(V$38,$D$19),$P$20))-SUM($P805:U805)</f>
        <v>#VALUE!</v>
      </c>
      <c r="W805" s="446" t="e">
        <f>IF(OR($B805="",MIN(W$38,$D$19)&lt;MAX($P$708*($B805+IF($R$17="Distrato",$I$38-1,0)),IF(AND($L$711=0,$P$708=0),"",$L$711-1),IF($R$17="Distrato",$E805,0))),0,YEARFRAC(MAX($P$708*($B805+IF($R$17="Distrato",$I$38-1,0)),IF(AND($L$711=0,$P$708=0),"",$L$711-1),IF($R$17="Distrato",$E805,0)),MIN(W$38,$D$19),$P$20))-SUM($P805:V805)</f>
        <v>#VALUE!</v>
      </c>
      <c r="X805" s="446" t="e">
        <f>IF(OR($B805="",MIN(X$38,$D$19)&lt;MAX($P$708*($B805+IF($R$17="Distrato",$I$38-1,0)),IF(AND($L$711=0,$P$708=0),"",$L$711-1),IF($R$17="Distrato",$E805,0))),0,YEARFRAC(MAX($P$708*($B805+IF($R$17="Distrato",$I$38-1,0)),IF(AND($L$711=0,$P$708=0),"",$L$711-1),IF($R$17="Distrato",$E805,0)),MIN(X$38,$D$19),$P$20))-SUM($P805:W805)</f>
        <v>#VALUE!</v>
      </c>
      <c r="Y805" s="446" t="e">
        <f>IF(OR($B805="",MIN(Y$38,$D$19)&lt;MAX($P$708*($B805+IF($R$17="Distrato",$I$38-1,0)),IF(AND($L$711=0,$P$708=0),"",$L$711-1),IF($R$17="Distrato",$E805,0))),0,YEARFRAC(MAX($P$708*($B805+IF($R$17="Distrato",$I$38-1,0)),IF(AND($L$711=0,$P$708=0),"",$L$711-1),IF($R$17="Distrato",$E805,0)),MIN(Y$38,$D$19),$P$20))-SUM($P805:X805)</f>
        <v>#VALUE!</v>
      </c>
      <c r="Z805" s="446" t="e">
        <f>IF(OR($B805="",MIN(Z$38,$D$19)&lt;MAX($P$708*($B805+IF($R$17="Distrato",$I$38-1,0)),IF(AND($L$711=0,$P$708=0),"",$L$711-1),IF($R$17="Distrato",$E805,0))),0,YEARFRAC(MAX($P$708*($B805+IF($R$17="Distrato",$I$38-1,0)),IF(AND($L$711=0,$P$708=0),"",$L$711-1),IF($R$17="Distrato",$E805,0)),MIN(Z$38,$D$19),$P$20))-SUM($P805:Y805)</f>
        <v>#VALUE!</v>
      </c>
      <c r="AA805" s="446" t="e">
        <f>IF(OR($B805="",MIN(AA$38,$D$19)&lt;MAX($P$708*($B805+IF($R$17="Distrato",$I$38-1,0)),IF(AND($L$711=0,$P$708=0),"",$L$711-1),IF($R$17="Distrato",$E805,0))),0,YEARFRAC(MAX($P$708*($B805+IF($R$17="Distrato",$I$38-1,0)),IF(AND($L$711=0,$P$708=0),"",$L$711-1),IF($R$17="Distrato",$E805,0)),MIN(AA$38,$D$19),$P$20))-SUM($P805:Z805)</f>
        <v>#VALUE!</v>
      </c>
      <c r="AB805" s="446" t="e">
        <f>IF(OR($B805="",MIN(AB$38,$D$19)&lt;MAX($P$708*($B805+IF($R$17="Distrato",$I$38-1,0)),IF(AND($L$711=0,$P$708=0),"",$L$711-1),IF($R$17="Distrato",$E805,0))),0,YEARFRAC(MAX($P$708*($B805+IF($R$17="Distrato",$I$38-1,0)),IF(AND($L$711=0,$P$708=0),"",$L$711-1),IF($R$17="Distrato",$E805,0)),MIN(AB$38,$D$19),$P$20))-SUM($P805:AA805)</f>
        <v>#VALUE!</v>
      </c>
      <c r="AC805" s="446" t="e">
        <f>IF(OR($B805="",MIN(AC$38,$D$19)&lt;MAX($P$708*($B805+IF($R$17="Distrato",$I$38-1,0)),IF(AND($L$711=0,$P$708=0),"",$L$711-1),IF($R$17="Distrato",$E805,0))),0,YEARFRAC(MAX($P$708*($B805+IF($R$17="Distrato",$I$38-1,0)),IF(AND($L$711=0,$P$708=0),"",$L$711-1),IF($R$17="Distrato",$E805,0)),MIN(AC$38,$D$19),$P$20))-SUM($P805:AB805)</f>
        <v>#VALUE!</v>
      </c>
      <c r="AD805" s="446" t="e">
        <f>IF(OR($B805="",MIN(AD$38,$D$19)&lt;MAX($P$708*($B805+IF($R$17="Distrato",$I$38-1,0)),IF(AND($L$711=0,$P$708=0),"",$L$711-1),IF($R$17="Distrato",$E805,0))),0,YEARFRAC(MAX($P$708*($B805+IF($R$17="Distrato",$I$38-1,0)),IF(AND($L$711=0,$P$708=0),"",$L$711-1),IF($R$17="Distrato",$E805,0)),MIN(AD$38,$D$19),$P$20))-SUM($P805:AC805)</f>
        <v>#VALUE!</v>
      </c>
      <c r="AE805" s="446" t="e">
        <f>IF(OR($B805="",MIN(AE$38,$D$19)&lt;MAX($P$708*($B805+IF($R$17="Distrato",$I$38-1,0)),IF(AND($L$711=0,$P$708=0),"",$L$711-1),IF($R$17="Distrato",$E805,0))),0,YEARFRAC(MAX($P$708*($B805+IF($R$17="Distrato",$I$38-1,0)),IF(AND($L$711=0,$P$708=0),"",$L$711-1),IF($R$17="Distrato",$E805,0)),MIN(AE$38,$D$19),$P$20))-SUM($P805:AD805)</f>
        <v>#VALUE!</v>
      </c>
      <c r="AF805" s="446" t="e">
        <f>IF(OR($B805="",MIN(AF$38,$D$19)&lt;MAX($P$708*($B805+IF($R$17="Distrato",$I$38-1,0)),IF(AND($L$711=0,$P$708=0),"",$L$711-1),IF($R$17="Distrato",$E805,0))),0,YEARFRAC(MAX($P$708*($B805+IF($R$17="Distrato",$I$38-1,0)),IF(AND($L$711=0,$P$708=0),"",$L$711-1),IF($R$17="Distrato",$E805,0)),MIN(AF$38,$D$19),$P$20))-SUM($P805:AE805)</f>
        <v>#VALUE!</v>
      </c>
      <c r="AG805" s="446" t="e">
        <f>IF(OR($B805="",MIN(AG$38,$D$19)&lt;MAX($P$708*($B805+IF($R$17="Distrato",$I$38-1,0)),IF(AND($L$711=0,$P$708=0),"",$L$711-1),IF($R$17="Distrato",$E805,0))),0,YEARFRAC(MAX($P$708*($B805+IF($R$17="Distrato",$I$38-1,0)),IF(AND($L$711=0,$P$708=0),"",$L$711-1),IF($R$17="Distrato",$E805,0)),MIN(AG$38,$D$19),$P$20))-SUM($P805:AF805)</f>
        <v>#VALUE!</v>
      </c>
      <c r="AH805" s="446" t="e">
        <f>IF(OR($B805="",MIN(AH$38,$D$19)&lt;MAX($P$708*($B805+IF($R$17="Distrato",$I$38-1,0)),IF(AND($L$711=0,$P$708=0),"",$L$711-1),IF($R$17="Distrato",$E805,0))),0,YEARFRAC(MAX($P$708*($B805+IF($R$17="Distrato",$I$38-1,0)),IF(AND($L$711=0,$P$708=0),"",$L$711-1),IF($R$17="Distrato",$E805,0)),MIN(AH$38,$D$19),$P$20))-SUM($P805:AG805)</f>
        <v>#VALUE!</v>
      </c>
      <c r="AI805" s="446" t="e">
        <f>IF(OR($B805="",MIN(AI$38,$D$19)&lt;MAX($P$708*($B805+IF($R$17="Distrato",$I$38-1,0)),IF(AND($L$711=0,$P$708=0),"",$L$711-1),IF($R$17="Distrato",$E805,0))),0,YEARFRAC(MAX($P$708*($B805+IF($R$17="Distrato",$I$38-1,0)),IF(AND($L$711=0,$P$708=0),"",$L$711-1),IF($R$17="Distrato",$E805,0)),MIN(AI$38,$D$19),$P$20))-SUM($P805:AH805)</f>
        <v>#VALUE!</v>
      </c>
      <c r="AJ805" s="446" t="e">
        <f>IF(OR($B805="",MIN(AJ$38,$D$19)&lt;MAX($P$708*($B805+IF($R$17="Distrato",$I$38-1,0)),IF(AND($L$711=0,$P$708=0),"",$L$711-1),IF($R$17="Distrato",$E805,0))),0,YEARFRAC(MAX($P$708*($B805+IF($R$17="Distrato",$I$38-1,0)),IF(AND($L$711=0,$P$708=0),"",$L$711-1),IF($R$17="Distrato",$E805,0)),MIN(AJ$38,$D$19),$P$20))-SUM($P805:AI805)</f>
        <v>#VALUE!</v>
      </c>
      <c r="AK805" s="446" t="e">
        <f>IF(OR($B805="",MIN(AK$38,$D$19)&lt;MAX($P$708*($B805+IF($R$17="Distrato",$I$38-1,0)),IF(AND($L$711=0,$P$708=0),"",$L$711-1),IF($R$17="Distrato",$E805,0))),0,YEARFRAC(MAX($P$708*($B805+IF($R$17="Distrato",$I$38-1,0)),IF(AND($L$711=0,$P$708=0),"",$L$711-1),IF($R$17="Distrato",$E805,0)),MIN(AK$38,$D$19),$P$20))-SUM($P805:AJ805)</f>
        <v>#VALUE!</v>
      </c>
      <c r="AL805" s="446" t="e">
        <f>IF(OR($B805="",MIN(AL$38,$D$19)&lt;MAX($P$708*($B805+IF($R$17="Distrato",$I$38-1,0)),IF(AND($L$711=0,$P$708=0),"",$L$711-1),IF($R$17="Distrato",$E805,0))),0,YEARFRAC(MAX($P$708*($B805+IF($R$17="Distrato",$I$38-1,0)),IF(AND($L$711=0,$P$708=0),"",$L$711-1),IF($R$17="Distrato",$E805,0)),MIN(AL$38,$D$19),$P$20))-SUM($P805:AK805)</f>
        <v>#VALUE!</v>
      </c>
      <c r="AM805" s="446" t="e">
        <f>IF(OR($B805="",MIN(AM$38,$D$19)&lt;MAX($P$708*($B805+IF($R$17="Distrato",$I$38-1,0)),IF(AND($L$711=0,$P$708=0),"",$L$711-1),IF($R$17="Distrato",$E805,0))),0,YEARFRAC(MAX($P$708*($B805+IF($R$17="Distrato",$I$38-1,0)),IF(AND($L$711=0,$P$708=0),"",$L$711-1),IF($R$17="Distrato",$E805,0)),MIN(AM$38,$D$19),$P$20))-SUM($P805:AL805)</f>
        <v>#VALUE!</v>
      </c>
      <c r="AN805" s="446" t="e">
        <f>IF(OR($B805="",MIN(AN$38,$D$19)&lt;MAX($P$708*($B805+IF($R$17="Distrato",$I$38-1,0)),IF(AND($L$711=0,$P$708=0),"",$L$711-1),IF($R$17="Distrato",$E805,0))),0,YEARFRAC(MAX($P$708*($B805+IF($R$17="Distrato",$I$38-1,0)),IF(AND($L$711=0,$P$708=0),"",$L$711-1),IF($R$17="Distrato",$E805,0)),MIN(AN$38,$D$19),$P$20))-SUM($P805:AM805)</f>
        <v>#VALUE!</v>
      </c>
      <c r="AO805" s="446" t="e">
        <f>IF(OR($B805="",MIN(AO$38,$D$19)&lt;MAX($P$708*($B805+IF($R$17="Distrato",$I$38-1,0)),IF(AND($L$711=0,$P$708=0),"",$L$711-1),IF($R$17="Distrato",$E805,0))),0,YEARFRAC(MAX($P$708*($B805+IF($R$17="Distrato",$I$38-1,0)),IF(AND($L$711=0,$P$708=0),"",$L$711-1),IF($R$17="Distrato",$E805,0)),MIN(AO$38,$D$19),$P$20))-SUM($P805:AN805)</f>
        <v>#VALUE!</v>
      </c>
      <c r="AP805" s="446" t="e">
        <f>IF(OR($B805="",MIN(AP$38,$D$19)&lt;MAX($P$708*($B805+IF($R$17="Distrato",$I$38-1,0)),IF(AND($L$711=0,$P$708=0),"",$L$711-1),IF($R$17="Distrato",$E805,0))),0,YEARFRAC(MAX($P$708*($B805+IF($R$17="Distrato",$I$38-1,0)),IF(AND($L$711=0,$P$708=0),"",$L$711-1),IF($R$17="Distrato",$E805,0)),MIN(AP$38,$D$19),$P$20))-SUM($P805:AO805)</f>
        <v>#VALUE!</v>
      </c>
      <c r="AQ805" s="446" t="e">
        <f>IF(OR($B805="",MIN(AQ$38,$D$19)&lt;MAX($P$708*($B805+IF($R$17="Distrato",$I$38-1,0)),IF(AND($L$711=0,$P$708=0),"",$L$711-1),IF($R$17="Distrato",$E805,0))),0,YEARFRAC(MAX($P$708*($B805+IF($R$17="Distrato",$I$38-1,0)),IF(AND($L$711=0,$P$708=0),"",$L$711-1),IF($R$17="Distrato",$E805,0)),MIN(AQ$38,$D$19),$P$20))-SUM($P805:AP805)</f>
        <v>#VALUE!</v>
      </c>
      <c r="AR805" s="446" t="e">
        <f>IF(OR($B805="",MIN(AR$38,$D$19)&lt;MAX($P$708*($B805+IF($R$17="Distrato",$I$38-1,0)),IF(AND($L$711=0,$P$708=0),"",$L$711-1),IF($R$17="Distrato",$E805,0))),0,YEARFRAC(MAX($P$708*($B805+IF($R$17="Distrato",$I$38-1,0)),IF(AND($L$711=0,$P$708=0),"",$L$711-1),IF($R$17="Distrato",$E805,0)),MIN(AR$38,$D$19),$P$20))-SUM($P805:AQ805)</f>
        <v>#VALUE!</v>
      </c>
      <c r="AS805" s="446" t="e">
        <f>IF(OR($B805="",MIN(AS$38,$D$19)&lt;MAX($P$708*($B805+IF($R$17="Distrato",$I$38-1,0)),IF(AND($L$711=0,$P$708=0),"",$L$711-1),IF($R$17="Distrato",$E805,0))),0,YEARFRAC(MAX($P$708*($B805+IF($R$17="Distrato",$I$38-1,0)),IF(AND($L$711=0,$P$708=0),"",$L$711-1),IF($R$17="Distrato",$E805,0)),MIN(AS$38,$D$19),$P$20))-SUM($P805:AR805)</f>
        <v>#VALUE!</v>
      </c>
      <c r="AT805" s="446" t="e">
        <f>IF(OR($B805="",MIN(AT$38,$D$19)&lt;MAX($P$708*($B805+IF($R$17="Distrato",$I$38-1,0)),IF(AND($L$711=0,$P$708=0),"",$L$711-1),IF($R$17="Distrato",$E805,0))),0,YEARFRAC(MAX($P$708*($B805+IF($R$17="Distrato",$I$38-1,0)),IF(AND($L$711=0,$P$708=0),"",$L$711-1),IF($R$17="Distrato",$E805,0)),MIN(AT$38,$D$19),$P$20))-SUM($P805:AS805)</f>
        <v>#VALUE!</v>
      </c>
      <c r="AU805" s="446" t="e">
        <f>IF(OR($B805="",MIN(AU$38,$D$19)&lt;MAX($P$708*($B805+IF($R$17="Distrato",$I$38-1,0)),IF(AND($L$711=0,$P$708=0),"",$L$711-1),IF($R$17="Distrato",$E805,0))),0,YEARFRAC(MAX($P$708*($B805+IF($R$17="Distrato",$I$38-1,0)),IF(AND($L$711=0,$P$708=0),"",$L$711-1),IF($R$17="Distrato",$E805,0)),MIN(AU$38,$D$19),$P$20))-SUM($P805:AT805)</f>
        <v>#VALUE!</v>
      </c>
      <c r="AV805" s="446" t="e">
        <f>IF(OR($B805="",MIN(AV$38,$D$19)&lt;MAX($P$708*($B805+IF($R$17="Distrato",$I$38-1,0)),IF(AND($L$711=0,$P$708=0),"",$L$711-1),IF($R$17="Distrato",$E805,0))),0,YEARFRAC(MAX($P$708*($B805+IF($R$17="Distrato",$I$38-1,0)),IF(AND($L$711=0,$P$708=0),"",$L$711-1),IF($R$17="Distrato",$E805,0)),MIN(AV$38,$D$19),$P$20))-SUM($P805:AU805)</f>
        <v>#VALUE!</v>
      </c>
      <c r="AW805" s="446" t="e">
        <f>IF(OR($B805="",MIN(AW$38,$D$19)&lt;MAX($P$708*($B805+IF($R$17="Distrato",$I$38-1,0)),IF(AND($L$711=0,$P$708=0),"",$L$711-1),IF($R$17="Distrato",$E805,0))),0,YEARFRAC(MAX($P$708*($B805+IF($R$17="Distrato",$I$38-1,0)),IF(AND($L$711=0,$P$708=0),"",$L$711-1),IF($R$17="Distrato",$E805,0)),MIN(AW$38,$D$19),$P$20))-SUM($P805:AV805)</f>
        <v>#VALUE!</v>
      </c>
      <c r="AX805" s="446" t="e">
        <f>IF(OR($B805="",MIN(AX$38,$D$19)&lt;MAX($P$708*($B805+IF($R$17="Distrato",$I$38-1,0)),IF(AND($L$711=0,$P$708=0),"",$L$711-1),IF($R$17="Distrato",$E805,0))),0,YEARFRAC(MAX($P$708*($B805+IF($R$17="Distrato",$I$38-1,0)),IF(AND($L$711=0,$P$708=0),"",$L$711-1),IF($R$17="Distrato",$E805,0)),MIN(AX$38,$D$19),$P$20))-SUM($P805:AW805)</f>
        <v>#VALUE!</v>
      </c>
      <c r="AY805" s="446" t="e">
        <f>IF(OR($B805="",MIN(AY$38,$D$19)&lt;MAX($P$708*($B805+IF($R$17="Distrato",$I$38-1,0)),IF(AND($L$711=0,$P$708=0),"",$L$711-1),IF($R$17="Distrato",$E805,0))),0,YEARFRAC(MAX($P$708*($B805+IF($R$17="Distrato",$I$38-1,0)),IF(AND($L$711=0,$P$708=0),"",$L$711-1),IF($R$17="Distrato",$E805,0)),MIN(AY$38,$D$19),$P$20))-SUM($P805:AX805)</f>
        <v>#VALUE!</v>
      </c>
      <c r="AZ805" s="446" t="e">
        <f>IF(OR($B805="",MIN(AZ$38,$D$19)&lt;MAX($P$708*($B805+IF($R$17="Distrato",$I$38-1,0)),IF(AND($L$711=0,$P$708=0),"",$L$711-1),IF($R$17="Distrato",$E805,0))),0,YEARFRAC(MAX($P$708*($B805+IF($R$17="Distrato",$I$38-1,0)),IF(AND($L$711=0,$P$708=0),"",$L$711-1),IF($R$17="Distrato",$E805,0)),MIN(AZ$38,$D$19),$P$20))-SUM($P805:AY805)</f>
        <v>#VALUE!</v>
      </c>
      <c r="BA805" s="446" t="e">
        <f>IF(OR($B805="",MIN(BA$38,$D$19)&lt;MAX($P$708*($B805+IF($R$17="Distrato",$I$38-1,0)),IF(AND($L$711=0,$P$708=0),"",$L$711-1),IF($R$17="Distrato",$E805,0))),0,YEARFRAC(MAX($P$708*($B805+IF($R$17="Distrato",$I$38-1,0)),IF(AND($L$711=0,$P$708=0),"",$L$711-1),IF($R$17="Distrato",$E805,0)),MIN(BA$38,$D$19),$P$20))-SUM($P805:AZ805)</f>
        <v>#VALUE!</v>
      </c>
      <c r="BB805" s="447"/>
    </row>
    <row r="806" spans="1:54" s="446" customFormat="1" ht="11.25" hidden="1" customHeight="1" x14ac:dyDescent="0.2">
      <c r="A806" s="235"/>
      <c r="B806" s="236"/>
      <c r="C806" s="29" t="str">
        <f>IF(B806="","",IF($L$709=$BL$25,VLOOKUP(DATE(YEAR($D$19),MONTH($D$19)-1,1),ÍNDICES!$A:$DE,HLOOKUP($BL$25,ÍNDICES!$B$3:$T$4,2)+11)-VLOOKUP(B806,ÍNDICES!$A:$DE,HLOOKUP($BL$25,ÍNDICES!$B$3:$T$4,2)+11)+1%,IF(C$712=$W$26,$J$35,IF(ISERROR(IF(B806&gt;$D$19,1,VLOOKUP(DATE(YEAR(B806),MONTH(B806)+IF($C$709=$S$23,1,0),1),ÍNDICES!$A:$DE,$Z$709+1))),"",IF(B806&gt;$D$19,1,VLOOKUP(DATE(YEAR(B806),MONTH(B806)+IF($C$709=$S$23,1,0),1),ÍNDICES!$A:$DE,$Z$709+1))))))</f>
        <v/>
      </c>
      <c r="D806" s="155"/>
      <c r="E806" s="88"/>
      <c r="F806" s="88"/>
      <c r="G806" s="88"/>
      <c r="H806" s="118"/>
      <c r="I806" s="182">
        <f t="shared" si="122"/>
        <v>0</v>
      </c>
      <c r="J806" s="20">
        <f t="shared" ca="1" si="123"/>
        <v>0</v>
      </c>
      <c r="K806" s="5">
        <f t="shared" ca="1" si="124"/>
        <v>0</v>
      </c>
      <c r="L806" s="61">
        <f t="shared" ca="1" si="125"/>
        <v>0</v>
      </c>
      <c r="M806" s="64">
        <f t="shared" si="126"/>
        <v>0</v>
      </c>
      <c r="N806" s="151"/>
      <c r="O806" s="5">
        <f t="shared" ca="1" si="127"/>
        <v>0</v>
      </c>
      <c r="P806" s="446" t="e">
        <f t="shared" si="128"/>
        <v>#VALUE!</v>
      </c>
      <c r="Q806" s="446" t="e">
        <f>IF(OR($B806="",MIN(Q$38,$D$19)&lt;MAX($P$708*($B806+IF($R$17="Distrato",$I$38-1,0)),IF(AND($L$711=0,$P$708=0),"",$L$711-1),IF($R$17="Distrato",$E806,0))),0,YEARFRAC(MAX($P$708*($B806+IF($R$17="Distrato",$I$38-1,0)),IF(AND($L$711=0,$P$708=0),"",$L$711-1),IF($R$17="Distrato",$E806,0)),MIN(Q$38,$D$19),$P$20))-SUM($P806:P806)</f>
        <v>#VALUE!</v>
      </c>
      <c r="R806" s="446" t="e">
        <f>IF(OR($B806="",MIN(R$38,$D$19)&lt;MAX($P$708*($B806+IF($R$17="Distrato",$I$38-1,0)),IF(AND($L$711=0,$P$708=0),"",$L$711-1),IF($R$17="Distrato",$E806,0))),0,YEARFRAC(MAX($P$708*($B806+IF($R$17="Distrato",$I$38-1,0)),IF(AND($L$711=0,$P$708=0),"",$L$711-1),IF($R$17="Distrato",$E806,0)),MIN(R$38,$D$19),$P$20))-SUM($P806:Q806)</f>
        <v>#VALUE!</v>
      </c>
      <c r="S806" s="446" t="e">
        <f>IF(OR($B806="",MIN(S$38,$D$19)&lt;MAX($P$708*($B806+IF($R$17="Distrato",$I$38-1,0)),IF(AND($L$711=0,$P$708=0),"",$L$711-1),IF($R$17="Distrato",$E806,0))),0,YEARFRAC(MAX($P$708*($B806+IF($R$17="Distrato",$I$38-1,0)),IF(AND($L$711=0,$P$708=0),"",$L$711-1),IF($R$17="Distrato",$E806,0)),MIN(S$38,$D$19),$P$20))-SUM($P806:R806)</f>
        <v>#VALUE!</v>
      </c>
      <c r="T806" s="446" t="e">
        <f>IF(OR($B806="",MIN(T$38,$D$19)&lt;MAX($P$708*($B806+IF($R$17="Distrato",$I$38-1,0)),IF(AND($L$711=0,$P$708=0),"",$L$711-1),IF($R$17="Distrato",$E806,0))),0,YEARFRAC(MAX($P$708*($B806+IF($R$17="Distrato",$I$38-1,0)),IF(AND($L$711=0,$P$708=0),"",$L$711-1),IF($R$17="Distrato",$E806,0)),MIN(T$38,$D$19),$P$20))-SUM($P806:S806)</f>
        <v>#VALUE!</v>
      </c>
      <c r="U806" s="446" t="e">
        <f>IF(OR($B806="",MIN(U$38,$D$19)&lt;MAX($P$708*($B806+IF($R$17="Distrato",$I$38-1,0)),IF(AND($L$711=0,$P$708=0),"",$L$711-1),IF($R$17="Distrato",$E806,0))),0,YEARFRAC(MAX($P$708*($B806+IF($R$17="Distrato",$I$38-1,0)),IF(AND($L$711=0,$P$708=0),"",$L$711-1),IF($R$17="Distrato",$E806,0)),MIN(U$38,$D$19),$P$20))-SUM($P806:T806)</f>
        <v>#VALUE!</v>
      </c>
      <c r="V806" s="446" t="e">
        <f>IF(OR($B806="",MIN(V$38,$D$19)&lt;MAX($P$708*($B806+IF($R$17="Distrato",$I$38-1,0)),IF(AND($L$711=0,$P$708=0),"",$L$711-1),IF($R$17="Distrato",$E806,0))),0,YEARFRAC(MAX($P$708*($B806+IF($R$17="Distrato",$I$38-1,0)),IF(AND($L$711=0,$P$708=0),"",$L$711-1),IF($R$17="Distrato",$E806,0)),MIN(V$38,$D$19),$P$20))-SUM($P806:U806)</f>
        <v>#VALUE!</v>
      </c>
      <c r="W806" s="446" t="e">
        <f>IF(OR($B806="",MIN(W$38,$D$19)&lt;MAX($P$708*($B806+IF($R$17="Distrato",$I$38-1,0)),IF(AND($L$711=0,$P$708=0),"",$L$711-1),IF($R$17="Distrato",$E806,0))),0,YEARFRAC(MAX($P$708*($B806+IF($R$17="Distrato",$I$38-1,0)),IF(AND($L$711=0,$P$708=0),"",$L$711-1),IF($R$17="Distrato",$E806,0)),MIN(W$38,$D$19),$P$20))-SUM($P806:V806)</f>
        <v>#VALUE!</v>
      </c>
      <c r="X806" s="446" t="e">
        <f>IF(OR($B806="",MIN(X$38,$D$19)&lt;MAX($P$708*($B806+IF($R$17="Distrato",$I$38-1,0)),IF(AND($L$711=0,$P$708=0),"",$L$711-1),IF($R$17="Distrato",$E806,0))),0,YEARFRAC(MAX($P$708*($B806+IF($R$17="Distrato",$I$38-1,0)),IF(AND($L$711=0,$P$708=0),"",$L$711-1),IF($R$17="Distrato",$E806,0)),MIN(X$38,$D$19),$P$20))-SUM($P806:W806)</f>
        <v>#VALUE!</v>
      </c>
      <c r="Y806" s="446" t="e">
        <f>IF(OR($B806="",MIN(Y$38,$D$19)&lt;MAX($P$708*($B806+IF($R$17="Distrato",$I$38-1,0)),IF(AND($L$711=0,$P$708=0),"",$L$711-1),IF($R$17="Distrato",$E806,0))),0,YEARFRAC(MAX($P$708*($B806+IF($R$17="Distrato",$I$38-1,0)),IF(AND($L$711=0,$P$708=0),"",$L$711-1),IF($R$17="Distrato",$E806,0)),MIN(Y$38,$D$19),$P$20))-SUM($P806:X806)</f>
        <v>#VALUE!</v>
      </c>
      <c r="Z806" s="446" t="e">
        <f>IF(OR($B806="",MIN(Z$38,$D$19)&lt;MAX($P$708*($B806+IF($R$17="Distrato",$I$38-1,0)),IF(AND($L$711=0,$P$708=0),"",$L$711-1),IF($R$17="Distrato",$E806,0))),0,YEARFRAC(MAX($P$708*($B806+IF($R$17="Distrato",$I$38-1,0)),IF(AND($L$711=0,$P$708=0),"",$L$711-1),IF($R$17="Distrato",$E806,0)),MIN(Z$38,$D$19),$P$20))-SUM($P806:Y806)</f>
        <v>#VALUE!</v>
      </c>
      <c r="AA806" s="446" t="e">
        <f>IF(OR($B806="",MIN(AA$38,$D$19)&lt;MAX($P$708*($B806+IF($R$17="Distrato",$I$38-1,0)),IF(AND($L$711=0,$P$708=0),"",$L$711-1),IF($R$17="Distrato",$E806,0))),0,YEARFRAC(MAX($P$708*($B806+IF($R$17="Distrato",$I$38-1,0)),IF(AND($L$711=0,$P$708=0),"",$L$711-1),IF($R$17="Distrato",$E806,0)),MIN(AA$38,$D$19),$P$20))-SUM($P806:Z806)</f>
        <v>#VALUE!</v>
      </c>
      <c r="AB806" s="446" t="e">
        <f>IF(OR($B806="",MIN(AB$38,$D$19)&lt;MAX($P$708*($B806+IF($R$17="Distrato",$I$38-1,0)),IF(AND($L$711=0,$P$708=0),"",$L$711-1),IF($R$17="Distrato",$E806,0))),0,YEARFRAC(MAX($P$708*($B806+IF($R$17="Distrato",$I$38-1,0)),IF(AND($L$711=0,$P$708=0),"",$L$711-1),IF($R$17="Distrato",$E806,0)),MIN(AB$38,$D$19),$P$20))-SUM($P806:AA806)</f>
        <v>#VALUE!</v>
      </c>
      <c r="AC806" s="446" t="e">
        <f>IF(OR($B806="",MIN(AC$38,$D$19)&lt;MAX($P$708*($B806+IF($R$17="Distrato",$I$38-1,0)),IF(AND($L$711=0,$P$708=0),"",$L$711-1),IF($R$17="Distrato",$E806,0))),0,YEARFRAC(MAX($P$708*($B806+IF($R$17="Distrato",$I$38-1,0)),IF(AND($L$711=0,$P$708=0),"",$L$711-1),IF($R$17="Distrato",$E806,0)),MIN(AC$38,$D$19),$P$20))-SUM($P806:AB806)</f>
        <v>#VALUE!</v>
      </c>
      <c r="AD806" s="446" t="e">
        <f>IF(OR($B806="",MIN(AD$38,$D$19)&lt;MAX($P$708*($B806+IF($R$17="Distrato",$I$38-1,0)),IF(AND($L$711=0,$P$708=0),"",$L$711-1),IF($R$17="Distrato",$E806,0))),0,YEARFRAC(MAX($P$708*($B806+IF($R$17="Distrato",$I$38-1,0)),IF(AND($L$711=0,$P$708=0),"",$L$711-1),IF($R$17="Distrato",$E806,0)),MIN(AD$38,$D$19),$P$20))-SUM($P806:AC806)</f>
        <v>#VALUE!</v>
      </c>
      <c r="AE806" s="446" t="e">
        <f>IF(OR($B806="",MIN(AE$38,$D$19)&lt;MAX($P$708*($B806+IF($R$17="Distrato",$I$38-1,0)),IF(AND($L$711=0,$P$708=0),"",$L$711-1),IF($R$17="Distrato",$E806,0))),0,YEARFRAC(MAX($P$708*($B806+IF($R$17="Distrato",$I$38-1,0)),IF(AND($L$711=0,$P$708=0),"",$L$711-1),IF($R$17="Distrato",$E806,0)),MIN(AE$38,$D$19),$P$20))-SUM($P806:AD806)</f>
        <v>#VALUE!</v>
      </c>
      <c r="AF806" s="446" t="e">
        <f>IF(OR($B806="",MIN(AF$38,$D$19)&lt;MAX($P$708*($B806+IF($R$17="Distrato",$I$38-1,0)),IF(AND($L$711=0,$P$708=0),"",$L$711-1),IF($R$17="Distrato",$E806,0))),0,YEARFRAC(MAX($P$708*($B806+IF($R$17="Distrato",$I$38-1,0)),IF(AND($L$711=0,$P$708=0),"",$L$711-1),IF($R$17="Distrato",$E806,0)),MIN(AF$38,$D$19),$P$20))-SUM($P806:AE806)</f>
        <v>#VALUE!</v>
      </c>
      <c r="AG806" s="446" t="e">
        <f>IF(OR($B806="",MIN(AG$38,$D$19)&lt;MAX($P$708*($B806+IF($R$17="Distrato",$I$38-1,0)),IF(AND($L$711=0,$P$708=0),"",$L$711-1),IF($R$17="Distrato",$E806,0))),0,YEARFRAC(MAX($P$708*($B806+IF($R$17="Distrato",$I$38-1,0)),IF(AND($L$711=0,$P$708=0),"",$L$711-1),IF($R$17="Distrato",$E806,0)),MIN(AG$38,$D$19),$P$20))-SUM($P806:AF806)</f>
        <v>#VALUE!</v>
      </c>
      <c r="AH806" s="446" t="e">
        <f>IF(OR($B806="",MIN(AH$38,$D$19)&lt;MAX($P$708*($B806+IF($R$17="Distrato",$I$38-1,0)),IF(AND($L$711=0,$P$708=0),"",$L$711-1),IF($R$17="Distrato",$E806,0))),0,YEARFRAC(MAX($P$708*($B806+IF($R$17="Distrato",$I$38-1,0)),IF(AND($L$711=0,$P$708=0),"",$L$711-1),IF($R$17="Distrato",$E806,0)),MIN(AH$38,$D$19),$P$20))-SUM($P806:AG806)</f>
        <v>#VALUE!</v>
      </c>
      <c r="AI806" s="446" t="e">
        <f>IF(OR($B806="",MIN(AI$38,$D$19)&lt;MAX($P$708*($B806+IF($R$17="Distrato",$I$38-1,0)),IF(AND($L$711=0,$P$708=0),"",$L$711-1),IF($R$17="Distrato",$E806,0))),0,YEARFRAC(MAX($P$708*($B806+IF($R$17="Distrato",$I$38-1,0)),IF(AND($L$711=0,$P$708=0),"",$L$711-1),IF($R$17="Distrato",$E806,0)),MIN(AI$38,$D$19),$P$20))-SUM($P806:AH806)</f>
        <v>#VALUE!</v>
      </c>
      <c r="AJ806" s="446" t="e">
        <f>IF(OR($B806="",MIN(AJ$38,$D$19)&lt;MAX($P$708*($B806+IF($R$17="Distrato",$I$38-1,0)),IF(AND($L$711=0,$P$708=0),"",$L$711-1),IF($R$17="Distrato",$E806,0))),0,YEARFRAC(MAX($P$708*($B806+IF($R$17="Distrato",$I$38-1,0)),IF(AND($L$711=0,$P$708=0),"",$L$711-1),IF($R$17="Distrato",$E806,0)),MIN(AJ$38,$D$19),$P$20))-SUM($P806:AI806)</f>
        <v>#VALUE!</v>
      </c>
      <c r="AK806" s="446" t="e">
        <f>IF(OR($B806="",MIN(AK$38,$D$19)&lt;MAX($P$708*($B806+IF($R$17="Distrato",$I$38-1,0)),IF(AND($L$711=0,$P$708=0),"",$L$711-1),IF($R$17="Distrato",$E806,0))),0,YEARFRAC(MAX($P$708*($B806+IF($R$17="Distrato",$I$38-1,0)),IF(AND($L$711=0,$P$708=0),"",$L$711-1),IF($R$17="Distrato",$E806,0)),MIN(AK$38,$D$19),$P$20))-SUM($P806:AJ806)</f>
        <v>#VALUE!</v>
      </c>
      <c r="AL806" s="446" t="e">
        <f>IF(OR($B806="",MIN(AL$38,$D$19)&lt;MAX($P$708*($B806+IF($R$17="Distrato",$I$38-1,0)),IF(AND($L$711=0,$P$708=0),"",$L$711-1),IF($R$17="Distrato",$E806,0))),0,YEARFRAC(MAX($P$708*($B806+IF($R$17="Distrato",$I$38-1,0)),IF(AND($L$711=0,$P$708=0),"",$L$711-1),IF($R$17="Distrato",$E806,0)),MIN(AL$38,$D$19),$P$20))-SUM($P806:AK806)</f>
        <v>#VALUE!</v>
      </c>
      <c r="AM806" s="446" t="e">
        <f>IF(OR($B806="",MIN(AM$38,$D$19)&lt;MAX($P$708*($B806+IF($R$17="Distrato",$I$38-1,0)),IF(AND($L$711=0,$P$708=0),"",$L$711-1),IF($R$17="Distrato",$E806,0))),0,YEARFRAC(MAX($P$708*($B806+IF($R$17="Distrato",$I$38-1,0)),IF(AND($L$711=0,$P$708=0),"",$L$711-1),IF($R$17="Distrato",$E806,0)),MIN(AM$38,$D$19),$P$20))-SUM($P806:AL806)</f>
        <v>#VALUE!</v>
      </c>
      <c r="AN806" s="446" t="e">
        <f>IF(OR($B806="",MIN(AN$38,$D$19)&lt;MAX($P$708*($B806+IF($R$17="Distrato",$I$38-1,0)),IF(AND($L$711=0,$P$708=0),"",$L$711-1),IF($R$17="Distrato",$E806,0))),0,YEARFRAC(MAX($P$708*($B806+IF($R$17="Distrato",$I$38-1,0)),IF(AND($L$711=0,$P$708=0),"",$L$711-1),IF($R$17="Distrato",$E806,0)),MIN(AN$38,$D$19),$P$20))-SUM($P806:AM806)</f>
        <v>#VALUE!</v>
      </c>
      <c r="AO806" s="446" t="e">
        <f>IF(OR($B806="",MIN(AO$38,$D$19)&lt;MAX($P$708*($B806+IF($R$17="Distrato",$I$38-1,0)),IF(AND($L$711=0,$P$708=0),"",$L$711-1),IF($R$17="Distrato",$E806,0))),0,YEARFRAC(MAX($P$708*($B806+IF($R$17="Distrato",$I$38-1,0)),IF(AND($L$711=0,$P$708=0),"",$L$711-1),IF($R$17="Distrato",$E806,0)),MIN(AO$38,$D$19),$P$20))-SUM($P806:AN806)</f>
        <v>#VALUE!</v>
      </c>
      <c r="AP806" s="446" t="e">
        <f>IF(OR($B806="",MIN(AP$38,$D$19)&lt;MAX($P$708*($B806+IF($R$17="Distrato",$I$38-1,0)),IF(AND($L$711=0,$P$708=0),"",$L$711-1),IF($R$17="Distrato",$E806,0))),0,YEARFRAC(MAX($P$708*($B806+IF($R$17="Distrato",$I$38-1,0)),IF(AND($L$711=0,$P$708=0),"",$L$711-1),IF($R$17="Distrato",$E806,0)),MIN(AP$38,$D$19),$P$20))-SUM($P806:AO806)</f>
        <v>#VALUE!</v>
      </c>
      <c r="AQ806" s="446" t="e">
        <f>IF(OR($B806="",MIN(AQ$38,$D$19)&lt;MAX($P$708*($B806+IF($R$17="Distrato",$I$38-1,0)),IF(AND($L$711=0,$P$708=0),"",$L$711-1),IF($R$17="Distrato",$E806,0))),0,YEARFRAC(MAX($P$708*($B806+IF($R$17="Distrato",$I$38-1,0)),IF(AND($L$711=0,$P$708=0),"",$L$711-1),IF($R$17="Distrato",$E806,0)),MIN(AQ$38,$D$19),$P$20))-SUM($P806:AP806)</f>
        <v>#VALUE!</v>
      </c>
      <c r="AR806" s="446" t="e">
        <f>IF(OR($B806="",MIN(AR$38,$D$19)&lt;MAX($P$708*($B806+IF($R$17="Distrato",$I$38-1,0)),IF(AND($L$711=0,$P$708=0),"",$L$711-1),IF($R$17="Distrato",$E806,0))),0,YEARFRAC(MAX($P$708*($B806+IF($R$17="Distrato",$I$38-1,0)),IF(AND($L$711=0,$P$708=0),"",$L$711-1),IF($R$17="Distrato",$E806,0)),MIN(AR$38,$D$19),$P$20))-SUM($P806:AQ806)</f>
        <v>#VALUE!</v>
      </c>
      <c r="AS806" s="446" t="e">
        <f>IF(OR($B806="",MIN(AS$38,$D$19)&lt;MAX($P$708*($B806+IF($R$17="Distrato",$I$38-1,0)),IF(AND($L$711=0,$P$708=0),"",$L$711-1),IF($R$17="Distrato",$E806,0))),0,YEARFRAC(MAX($P$708*($B806+IF($R$17="Distrato",$I$38-1,0)),IF(AND($L$711=0,$P$708=0),"",$L$711-1),IF($R$17="Distrato",$E806,0)),MIN(AS$38,$D$19),$P$20))-SUM($P806:AR806)</f>
        <v>#VALUE!</v>
      </c>
      <c r="AT806" s="446" t="e">
        <f>IF(OR($B806="",MIN(AT$38,$D$19)&lt;MAX($P$708*($B806+IF($R$17="Distrato",$I$38-1,0)),IF(AND($L$711=0,$P$708=0),"",$L$711-1),IF($R$17="Distrato",$E806,0))),0,YEARFRAC(MAX($P$708*($B806+IF($R$17="Distrato",$I$38-1,0)),IF(AND($L$711=0,$P$708=0),"",$L$711-1),IF($R$17="Distrato",$E806,0)),MIN(AT$38,$D$19),$P$20))-SUM($P806:AS806)</f>
        <v>#VALUE!</v>
      </c>
      <c r="AU806" s="446" t="e">
        <f>IF(OR($B806="",MIN(AU$38,$D$19)&lt;MAX($P$708*($B806+IF($R$17="Distrato",$I$38-1,0)),IF(AND($L$711=0,$P$708=0),"",$L$711-1),IF($R$17="Distrato",$E806,0))),0,YEARFRAC(MAX($P$708*($B806+IF($R$17="Distrato",$I$38-1,0)),IF(AND($L$711=0,$P$708=0),"",$L$711-1),IF($R$17="Distrato",$E806,0)),MIN(AU$38,$D$19),$P$20))-SUM($P806:AT806)</f>
        <v>#VALUE!</v>
      </c>
      <c r="AV806" s="446" t="e">
        <f>IF(OR($B806="",MIN(AV$38,$D$19)&lt;MAX($P$708*($B806+IF($R$17="Distrato",$I$38-1,0)),IF(AND($L$711=0,$P$708=0),"",$L$711-1),IF($R$17="Distrato",$E806,0))),0,YEARFRAC(MAX($P$708*($B806+IF($R$17="Distrato",$I$38-1,0)),IF(AND($L$711=0,$P$708=0),"",$L$711-1),IF($R$17="Distrato",$E806,0)),MIN(AV$38,$D$19),$P$20))-SUM($P806:AU806)</f>
        <v>#VALUE!</v>
      </c>
      <c r="AW806" s="446" t="e">
        <f>IF(OR($B806="",MIN(AW$38,$D$19)&lt;MAX($P$708*($B806+IF($R$17="Distrato",$I$38-1,0)),IF(AND($L$711=0,$P$708=0),"",$L$711-1),IF($R$17="Distrato",$E806,0))),0,YEARFRAC(MAX($P$708*($B806+IF($R$17="Distrato",$I$38-1,0)),IF(AND($L$711=0,$P$708=0),"",$L$711-1),IF($R$17="Distrato",$E806,0)),MIN(AW$38,$D$19),$P$20))-SUM($P806:AV806)</f>
        <v>#VALUE!</v>
      </c>
      <c r="AX806" s="446" t="e">
        <f>IF(OR($B806="",MIN(AX$38,$D$19)&lt;MAX($P$708*($B806+IF($R$17="Distrato",$I$38-1,0)),IF(AND($L$711=0,$P$708=0),"",$L$711-1),IF($R$17="Distrato",$E806,0))),0,YEARFRAC(MAX($P$708*($B806+IF($R$17="Distrato",$I$38-1,0)),IF(AND($L$711=0,$P$708=0),"",$L$711-1),IF($R$17="Distrato",$E806,0)),MIN(AX$38,$D$19),$P$20))-SUM($P806:AW806)</f>
        <v>#VALUE!</v>
      </c>
      <c r="AY806" s="446" t="e">
        <f>IF(OR($B806="",MIN(AY$38,$D$19)&lt;MAX($P$708*($B806+IF($R$17="Distrato",$I$38-1,0)),IF(AND($L$711=0,$P$708=0),"",$L$711-1),IF($R$17="Distrato",$E806,0))),0,YEARFRAC(MAX($P$708*($B806+IF($R$17="Distrato",$I$38-1,0)),IF(AND($L$711=0,$P$708=0),"",$L$711-1),IF($R$17="Distrato",$E806,0)),MIN(AY$38,$D$19),$P$20))-SUM($P806:AX806)</f>
        <v>#VALUE!</v>
      </c>
      <c r="AZ806" s="446" t="e">
        <f>IF(OR($B806="",MIN(AZ$38,$D$19)&lt;MAX($P$708*($B806+IF($R$17="Distrato",$I$38-1,0)),IF(AND($L$711=0,$P$708=0),"",$L$711-1),IF($R$17="Distrato",$E806,0))),0,YEARFRAC(MAX($P$708*($B806+IF($R$17="Distrato",$I$38-1,0)),IF(AND($L$711=0,$P$708=0),"",$L$711-1),IF($R$17="Distrato",$E806,0)),MIN(AZ$38,$D$19),$P$20))-SUM($P806:AY806)</f>
        <v>#VALUE!</v>
      </c>
      <c r="BA806" s="446" t="e">
        <f>IF(OR($B806="",MIN(BA$38,$D$19)&lt;MAX($P$708*($B806+IF($R$17="Distrato",$I$38-1,0)),IF(AND($L$711=0,$P$708=0),"",$L$711-1),IF($R$17="Distrato",$E806,0))),0,YEARFRAC(MAX($P$708*($B806+IF($R$17="Distrato",$I$38-1,0)),IF(AND($L$711=0,$P$708=0),"",$L$711-1),IF($R$17="Distrato",$E806,0)),MIN(BA$38,$D$19),$P$20))-SUM($P806:AZ806)</f>
        <v>#VALUE!</v>
      </c>
      <c r="BB806" s="447"/>
    </row>
    <row r="807" spans="1:54" s="446" customFormat="1" ht="11.25" hidden="1" customHeight="1" x14ac:dyDescent="0.2">
      <c r="A807" s="235"/>
      <c r="B807" s="236"/>
      <c r="C807" s="29" t="str">
        <f>IF(B807="","",IF($L$709=$BL$25,VLOOKUP(DATE(YEAR($D$19),MONTH($D$19)-1,1),ÍNDICES!$A:$DE,HLOOKUP($BL$25,ÍNDICES!$B$3:$T$4,2)+11)-VLOOKUP(B807,ÍNDICES!$A:$DE,HLOOKUP($BL$25,ÍNDICES!$B$3:$T$4,2)+11)+1%,IF(C$712=$W$26,$J$35,IF(ISERROR(IF(B807&gt;$D$19,1,VLOOKUP(DATE(YEAR(B807),MONTH(B807)+IF($C$709=$S$23,1,0),1),ÍNDICES!$A:$DE,$Z$709+1))),"",IF(B807&gt;$D$19,1,VLOOKUP(DATE(YEAR(B807),MONTH(B807)+IF($C$709=$S$23,1,0),1),ÍNDICES!$A:$DE,$Z$709+1))))))</f>
        <v/>
      </c>
      <c r="D807" s="155"/>
      <c r="E807" s="88"/>
      <c r="F807" s="88"/>
      <c r="G807" s="88"/>
      <c r="H807" s="118"/>
      <c r="I807" s="182">
        <f t="shared" si="122"/>
        <v>0</v>
      </c>
      <c r="J807" s="20">
        <f t="shared" ca="1" si="123"/>
        <v>0</v>
      </c>
      <c r="K807" s="5">
        <f t="shared" ca="1" si="124"/>
        <v>0</v>
      </c>
      <c r="L807" s="61">
        <f t="shared" ca="1" si="125"/>
        <v>0</v>
      </c>
      <c r="M807" s="64">
        <f t="shared" si="126"/>
        <v>0</v>
      </c>
      <c r="N807" s="151"/>
      <c r="O807" s="5">
        <f t="shared" ca="1" si="127"/>
        <v>0</v>
      </c>
      <c r="P807" s="446" t="e">
        <f t="shared" si="128"/>
        <v>#VALUE!</v>
      </c>
      <c r="Q807" s="446" t="e">
        <f>IF(OR($B807="",MIN(Q$38,$D$19)&lt;MAX($P$708*($B807+IF($R$17="Distrato",$I$38-1,0)),IF(AND($L$711=0,$P$708=0),"",$L$711-1),IF($R$17="Distrato",$E807,0))),0,YEARFRAC(MAX($P$708*($B807+IF($R$17="Distrato",$I$38-1,0)),IF(AND($L$711=0,$P$708=0),"",$L$711-1),IF($R$17="Distrato",$E807,0)),MIN(Q$38,$D$19),$P$20))-SUM($P807:P807)</f>
        <v>#VALUE!</v>
      </c>
      <c r="R807" s="446" t="e">
        <f>IF(OR($B807="",MIN(R$38,$D$19)&lt;MAX($P$708*($B807+IF($R$17="Distrato",$I$38-1,0)),IF(AND($L$711=0,$P$708=0),"",$L$711-1),IF($R$17="Distrato",$E807,0))),0,YEARFRAC(MAX($P$708*($B807+IF($R$17="Distrato",$I$38-1,0)),IF(AND($L$711=0,$P$708=0),"",$L$711-1),IF($R$17="Distrato",$E807,0)),MIN(R$38,$D$19),$P$20))-SUM($P807:Q807)</f>
        <v>#VALUE!</v>
      </c>
      <c r="S807" s="446" t="e">
        <f>IF(OR($B807="",MIN(S$38,$D$19)&lt;MAX($P$708*($B807+IF($R$17="Distrato",$I$38-1,0)),IF(AND($L$711=0,$P$708=0),"",$L$711-1),IF($R$17="Distrato",$E807,0))),0,YEARFRAC(MAX($P$708*($B807+IF($R$17="Distrato",$I$38-1,0)),IF(AND($L$711=0,$P$708=0),"",$L$711-1),IF($R$17="Distrato",$E807,0)),MIN(S$38,$D$19),$P$20))-SUM($P807:R807)</f>
        <v>#VALUE!</v>
      </c>
      <c r="T807" s="446" t="e">
        <f>IF(OR($B807="",MIN(T$38,$D$19)&lt;MAX($P$708*($B807+IF($R$17="Distrato",$I$38-1,0)),IF(AND($L$711=0,$P$708=0),"",$L$711-1),IF($R$17="Distrato",$E807,0))),0,YEARFRAC(MAX($P$708*($B807+IF($R$17="Distrato",$I$38-1,0)),IF(AND($L$711=0,$P$708=0),"",$L$711-1),IF($R$17="Distrato",$E807,0)),MIN(T$38,$D$19),$P$20))-SUM($P807:S807)</f>
        <v>#VALUE!</v>
      </c>
      <c r="U807" s="446" t="e">
        <f>IF(OR($B807="",MIN(U$38,$D$19)&lt;MAX($P$708*($B807+IF($R$17="Distrato",$I$38-1,0)),IF(AND($L$711=0,$P$708=0),"",$L$711-1),IF($R$17="Distrato",$E807,0))),0,YEARFRAC(MAX($P$708*($B807+IF($R$17="Distrato",$I$38-1,0)),IF(AND($L$711=0,$P$708=0),"",$L$711-1),IF($R$17="Distrato",$E807,0)),MIN(U$38,$D$19),$P$20))-SUM($P807:T807)</f>
        <v>#VALUE!</v>
      </c>
      <c r="V807" s="446" t="e">
        <f>IF(OR($B807="",MIN(V$38,$D$19)&lt;MAX($P$708*($B807+IF($R$17="Distrato",$I$38-1,0)),IF(AND($L$711=0,$P$708=0),"",$L$711-1),IF($R$17="Distrato",$E807,0))),0,YEARFRAC(MAX($P$708*($B807+IF($R$17="Distrato",$I$38-1,0)),IF(AND($L$711=0,$P$708=0),"",$L$711-1),IF($R$17="Distrato",$E807,0)),MIN(V$38,$D$19),$P$20))-SUM($P807:U807)</f>
        <v>#VALUE!</v>
      </c>
      <c r="W807" s="446" t="e">
        <f>IF(OR($B807="",MIN(W$38,$D$19)&lt;MAX($P$708*($B807+IF($R$17="Distrato",$I$38-1,0)),IF(AND($L$711=0,$P$708=0),"",$L$711-1),IF($R$17="Distrato",$E807,0))),0,YEARFRAC(MAX($P$708*($B807+IF($R$17="Distrato",$I$38-1,0)),IF(AND($L$711=0,$P$708=0),"",$L$711-1),IF($R$17="Distrato",$E807,0)),MIN(W$38,$D$19),$P$20))-SUM($P807:V807)</f>
        <v>#VALUE!</v>
      </c>
      <c r="X807" s="446" t="e">
        <f>IF(OR($B807="",MIN(X$38,$D$19)&lt;MAX($P$708*($B807+IF($R$17="Distrato",$I$38-1,0)),IF(AND($L$711=0,$P$708=0),"",$L$711-1),IF($R$17="Distrato",$E807,0))),0,YEARFRAC(MAX($P$708*($B807+IF($R$17="Distrato",$I$38-1,0)),IF(AND($L$711=0,$P$708=0),"",$L$711-1),IF($R$17="Distrato",$E807,0)),MIN(X$38,$D$19),$P$20))-SUM($P807:W807)</f>
        <v>#VALUE!</v>
      </c>
      <c r="Y807" s="446" t="e">
        <f>IF(OR($B807="",MIN(Y$38,$D$19)&lt;MAX($P$708*($B807+IF($R$17="Distrato",$I$38-1,0)),IF(AND($L$711=0,$P$708=0),"",$L$711-1),IF($R$17="Distrato",$E807,0))),0,YEARFRAC(MAX($P$708*($B807+IF($R$17="Distrato",$I$38-1,0)),IF(AND($L$711=0,$P$708=0),"",$L$711-1),IF($R$17="Distrato",$E807,0)),MIN(Y$38,$D$19),$P$20))-SUM($P807:X807)</f>
        <v>#VALUE!</v>
      </c>
      <c r="Z807" s="446" t="e">
        <f>IF(OR($B807="",MIN(Z$38,$D$19)&lt;MAX($P$708*($B807+IF($R$17="Distrato",$I$38-1,0)),IF(AND($L$711=0,$P$708=0),"",$L$711-1),IF($R$17="Distrato",$E807,0))),0,YEARFRAC(MAX($P$708*($B807+IF($R$17="Distrato",$I$38-1,0)),IF(AND($L$711=0,$P$708=0),"",$L$711-1),IF($R$17="Distrato",$E807,0)),MIN(Z$38,$D$19),$P$20))-SUM($P807:Y807)</f>
        <v>#VALUE!</v>
      </c>
      <c r="AA807" s="446" t="e">
        <f>IF(OR($B807="",MIN(AA$38,$D$19)&lt;MAX($P$708*($B807+IF($R$17="Distrato",$I$38-1,0)),IF(AND($L$711=0,$P$708=0),"",$L$711-1),IF($R$17="Distrato",$E807,0))),0,YEARFRAC(MAX($P$708*($B807+IF($R$17="Distrato",$I$38-1,0)),IF(AND($L$711=0,$P$708=0),"",$L$711-1),IF($R$17="Distrato",$E807,0)),MIN(AA$38,$D$19),$P$20))-SUM($P807:Z807)</f>
        <v>#VALUE!</v>
      </c>
      <c r="AB807" s="446" t="e">
        <f>IF(OR($B807="",MIN(AB$38,$D$19)&lt;MAX($P$708*($B807+IF($R$17="Distrato",$I$38-1,0)),IF(AND($L$711=0,$P$708=0),"",$L$711-1),IF($R$17="Distrato",$E807,0))),0,YEARFRAC(MAX($P$708*($B807+IF($R$17="Distrato",$I$38-1,0)),IF(AND($L$711=0,$P$708=0),"",$L$711-1),IF($R$17="Distrato",$E807,0)),MIN(AB$38,$D$19),$P$20))-SUM($P807:AA807)</f>
        <v>#VALUE!</v>
      </c>
      <c r="AC807" s="446" t="e">
        <f>IF(OR($B807="",MIN(AC$38,$D$19)&lt;MAX($P$708*($B807+IF($R$17="Distrato",$I$38-1,0)),IF(AND($L$711=0,$P$708=0),"",$L$711-1),IF($R$17="Distrato",$E807,0))),0,YEARFRAC(MAX($P$708*($B807+IF($R$17="Distrato",$I$38-1,0)),IF(AND($L$711=0,$P$708=0),"",$L$711-1),IF($R$17="Distrato",$E807,0)),MIN(AC$38,$D$19),$P$20))-SUM($P807:AB807)</f>
        <v>#VALUE!</v>
      </c>
      <c r="AD807" s="446" t="e">
        <f>IF(OR($B807="",MIN(AD$38,$D$19)&lt;MAX($P$708*($B807+IF($R$17="Distrato",$I$38-1,0)),IF(AND($L$711=0,$P$708=0),"",$L$711-1),IF($R$17="Distrato",$E807,0))),0,YEARFRAC(MAX($P$708*($B807+IF($R$17="Distrato",$I$38-1,0)),IF(AND($L$711=0,$P$708=0),"",$L$711-1),IF($R$17="Distrato",$E807,0)),MIN(AD$38,$D$19),$P$20))-SUM($P807:AC807)</f>
        <v>#VALUE!</v>
      </c>
      <c r="AE807" s="446" t="e">
        <f>IF(OR($B807="",MIN(AE$38,$D$19)&lt;MAX($P$708*($B807+IF($R$17="Distrato",$I$38-1,0)),IF(AND($L$711=0,$P$708=0),"",$L$711-1),IF($R$17="Distrato",$E807,0))),0,YEARFRAC(MAX($P$708*($B807+IF($R$17="Distrato",$I$38-1,0)),IF(AND($L$711=0,$P$708=0),"",$L$711-1),IF($R$17="Distrato",$E807,0)),MIN(AE$38,$D$19),$P$20))-SUM($P807:AD807)</f>
        <v>#VALUE!</v>
      </c>
      <c r="AF807" s="446" t="e">
        <f>IF(OR($B807="",MIN(AF$38,$D$19)&lt;MAX($P$708*($B807+IF($R$17="Distrato",$I$38-1,0)),IF(AND($L$711=0,$P$708=0),"",$L$711-1),IF($R$17="Distrato",$E807,0))),0,YEARFRAC(MAX($P$708*($B807+IF($R$17="Distrato",$I$38-1,0)),IF(AND($L$711=0,$P$708=0),"",$L$711-1),IF($R$17="Distrato",$E807,0)),MIN(AF$38,$D$19),$P$20))-SUM($P807:AE807)</f>
        <v>#VALUE!</v>
      </c>
      <c r="AG807" s="446" t="e">
        <f>IF(OR($B807="",MIN(AG$38,$D$19)&lt;MAX($P$708*($B807+IF($R$17="Distrato",$I$38-1,0)),IF(AND($L$711=0,$P$708=0),"",$L$711-1),IF($R$17="Distrato",$E807,0))),0,YEARFRAC(MAX($P$708*($B807+IF($R$17="Distrato",$I$38-1,0)),IF(AND($L$711=0,$P$708=0),"",$L$711-1),IF($R$17="Distrato",$E807,0)),MIN(AG$38,$D$19),$P$20))-SUM($P807:AF807)</f>
        <v>#VALUE!</v>
      </c>
      <c r="AH807" s="446" t="e">
        <f>IF(OR($B807="",MIN(AH$38,$D$19)&lt;MAX($P$708*($B807+IF($R$17="Distrato",$I$38-1,0)),IF(AND($L$711=0,$P$708=0),"",$L$711-1),IF($R$17="Distrato",$E807,0))),0,YEARFRAC(MAX($P$708*($B807+IF($R$17="Distrato",$I$38-1,0)),IF(AND($L$711=0,$P$708=0),"",$L$711-1),IF($R$17="Distrato",$E807,0)),MIN(AH$38,$D$19),$P$20))-SUM($P807:AG807)</f>
        <v>#VALUE!</v>
      </c>
      <c r="AI807" s="446" t="e">
        <f>IF(OR($B807="",MIN(AI$38,$D$19)&lt;MAX($P$708*($B807+IF($R$17="Distrato",$I$38-1,0)),IF(AND($L$711=0,$P$708=0),"",$L$711-1),IF($R$17="Distrato",$E807,0))),0,YEARFRAC(MAX($P$708*($B807+IF($R$17="Distrato",$I$38-1,0)),IF(AND($L$711=0,$P$708=0),"",$L$711-1),IF($R$17="Distrato",$E807,0)),MIN(AI$38,$D$19),$P$20))-SUM($P807:AH807)</f>
        <v>#VALUE!</v>
      </c>
      <c r="AJ807" s="446" t="e">
        <f>IF(OR($B807="",MIN(AJ$38,$D$19)&lt;MAX($P$708*($B807+IF($R$17="Distrato",$I$38-1,0)),IF(AND($L$711=0,$P$708=0),"",$L$711-1),IF($R$17="Distrato",$E807,0))),0,YEARFRAC(MAX($P$708*($B807+IF($R$17="Distrato",$I$38-1,0)),IF(AND($L$711=0,$P$708=0),"",$L$711-1),IF($R$17="Distrato",$E807,0)),MIN(AJ$38,$D$19),$P$20))-SUM($P807:AI807)</f>
        <v>#VALUE!</v>
      </c>
      <c r="AK807" s="446" t="e">
        <f>IF(OR($B807="",MIN(AK$38,$D$19)&lt;MAX($P$708*($B807+IF($R$17="Distrato",$I$38-1,0)),IF(AND($L$711=0,$P$708=0),"",$L$711-1),IF($R$17="Distrato",$E807,0))),0,YEARFRAC(MAX($P$708*($B807+IF($R$17="Distrato",$I$38-1,0)),IF(AND($L$711=0,$P$708=0),"",$L$711-1),IF($R$17="Distrato",$E807,0)),MIN(AK$38,$D$19),$P$20))-SUM($P807:AJ807)</f>
        <v>#VALUE!</v>
      </c>
      <c r="AL807" s="446" t="e">
        <f>IF(OR($B807="",MIN(AL$38,$D$19)&lt;MAX($P$708*($B807+IF($R$17="Distrato",$I$38-1,0)),IF(AND($L$711=0,$P$708=0),"",$L$711-1),IF($R$17="Distrato",$E807,0))),0,YEARFRAC(MAX($P$708*($B807+IF($R$17="Distrato",$I$38-1,0)),IF(AND($L$711=0,$P$708=0),"",$L$711-1),IF($R$17="Distrato",$E807,0)),MIN(AL$38,$D$19),$P$20))-SUM($P807:AK807)</f>
        <v>#VALUE!</v>
      </c>
      <c r="AM807" s="446" t="e">
        <f>IF(OR($B807="",MIN(AM$38,$D$19)&lt;MAX($P$708*($B807+IF($R$17="Distrato",$I$38-1,0)),IF(AND($L$711=0,$P$708=0),"",$L$711-1),IF($R$17="Distrato",$E807,0))),0,YEARFRAC(MAX($P$708*($B807+IF($R$17="Distrato",$I$38-1,0)),IF(AND($L$711=0,$P$708=0),"",$L$711-1),IF($R$17="Distrato",$E807,0)),MIN(AM$38,$D$19),$P$20))-SUM($P807:AL807)</f>
        <v>#VALUE!</v>
      </c>
      <c r="AN807" s="446" t="e">
        <f>IF(OR($B807="",MIN(AN$38,$D$19)&lt;MAX($P$708*($B807+IF($R$17="Distrato",$I$38-1,0)),IF(AND($L$711=0,$P$708=0),"",$L$711-1),IF($R$17="Distrato",$E807,0))),0,YEARFRAC(MAX($P$708*($B807+IF($R$17="Distrato",$I$38-1,0)),IF(AND($L$711=0,$P$708=0),"",$L$711-1),IF($R$17="Distrato",$E807,0)),MIN(AN$38,$D$19),$P$20))-SUM($P807:AM807)</f>
        <v>#VALUE!</v>
      </c>
      <c r="AO807" s="446" t="e">
        <f>IF(OR($B807="",MIN(AO$38,$D$19)&lt;MAX($P$708*($B807+IF($R$17="Distrato",$I$38-1,0)),IF(AND($L$711=0,$P$708=0),"",$L$711-1),IF($R$17="Distrato",$E807,0))),0,YEARFRAC(MAX($P$708*($B807+IF($R$17="Distrato",$I$38-1,0)),IF(AND($L$711=0,$P$708=0),"",$L$711-1),IF($R$17="Distrato",$E807,0)),MIN(AO$38,$D$19),$P$20))-SUM($P807:AN807)</f>
        <v>#VALUE!</v>
      </c>
      <c r="AP807" s="446" t="e">
        <f>IF(OR($B807="",MIN(AP$38,$D$19)&lt;MAX($P$708*($B807+IF($R$17="Distrato",$I$38-1,0)),IF(AND($L$711=0,$P$708=0),"",$L$711-1),IF($R$17="Distrato",$E807,0))),0,YEARFRAC(MAX($P$708*($B807+IF($R$17="Distrato",$I$38-1,0)),IF(AND($L$711=0,$P$708=0),"",$L$711-1),IF($R$17="Distrato",$E807,0)),MIN(AP$38,$D$19),$P$20))-SUM($P807:AO807)</f>
        <v>#VALUE!</v>
      </c>
      <c r="AQ807" s="446" t="e">
        <f>IF(OR($B807="",MIN(AQ$38,$D$19)&lt;MAX($P$708*($B807+IF($R$17="Distrato",$I$38-1,0)),IF(AND($L$711=0,$P$708=0),"",$L$711-1),IF($R$17="Distrato",$E807,0))),0,YEARFRAC(MAX($P$708*($B807+IF($R$17="Distrato",$I$38-1,0)),IF(AND($L$711=0,$P$708=0),"",$L$711-1),IF($R$17="Distrato",$E807,0)),MIN(AQ$38,$D$19),$P$20))-SUM($P807:AP807)</f>
        <v>#VALUE!</v>
      </c>
      <c r="AR807" s="446" t="e">
        <f>IF(OR($B807="",MIN(AR$38,$D$19)&lt;MAX($P$708*($B807+IF($R$17="Distrato",$I$38-1,0)),IF(AND($L$711=0,$P$708=0),"",$L$711-1),IF($R$17="Distrato",$E807,0))),0,YEARFRAC(MAX($P$708*($B807+IF($R$17="Distrato",$I$38-1,0)),IF(AND($L$711=0,$P$708=0),"",$L$711-1),IF($R$17="Distrato",$E807,0)),MIN(AR$38,$D$19),$P$20))-SUM($P807:AQ807)</f>
        <v>#VALUE!</v>
      </c>
      <c r="AS807" s="446" t="e">
        <f>IF(OR($B807="",MIN(AS$38,$D$19)&lt;MAX($P$708*($B807+IF($R$17="Distrato",$I$38-1,0)),IF(AND($L$711=0,$P$708=0),"",$L$711-1),IF($R$17="Distrato",$E807,0))),0,YEARFRAC(MAX($P$708*($B807+IF($R$17="Distrato",$I$38-1,0)),IF(AND($L$711=0,$P$708=0),"",$L$711-1),IF($R$17="Distrato",$E807,0)),MIN(AS$38,$D$19),$P$20))-SUM($P807:AR807)</f>
        <v>#VALUE!</v>
      </c>
      <c r="AT807" s="446" t="e">
        <f>IF(OR($B807="",MIN(AT$38,$D$19)&lt;MAX($P$708*($B807+IF($R$17="Distrato",$I$38-1,0)),IF(AND($L$711=0,$P$708=0),"",$L$711-1),IF($R$17="Distrato",$E807,0))),0,YEARFRAC(MAX($P$708*($B807+IF($R$17="Distrato",$I$38-1,0)),IF(AND($L$711=0,$P$708=0),"",$L$711-1),IF($R$17="Distrato",$E807,0)),MIN(AT$38,$D$19),$P$20))-SUM($P807:AS807)</f>
        <v>#VALUE!</v>
      </c>
      <c r="AU807" s="446" t="e">
        <f>IF(OR($B807="",MIN(AU$38,$D$19)&lt;MAX($P$708*($B807+IF($R$17="Distrato",$I$38-1,0)),IF(AND($L$711=0,$P$708=0),"",$L$711-1),IF($R$17="Distrato",$E807,0))),0,YEARFRAC(MAX($P$708*($B807+IF($R$17="Distrato",$I$38-1,0)),IF(AND($L$711=0,$P$708=0),"",$L$711-1),IF($R$17="Distrato",$E807,0)),MIN(AU$38,$D$19),$P$20))-SUM($P807:AT807)</f>
        <v>#VALUE!</v>
      </c>
      <c r="AV807" s="446" t="e">
        <f>IF(OR($B807="",MIN(AV$38,$D$19)&lt;MAX($P$708*($B807+IF($R$17="Distrato",$I$38-1,0)),IF(AND($L$711=0,$P$708=0),"",$L$711-1),IF($R$17="Distrato",$E807,0))),0,YEARFRAC(MAX($P$708*($B807+IF($R$17="Distrato",$I$38-1,0)),IF(AND($L$711=0,$P$708=0),"",$L$711-1),IF($R$17="Distrato",$E807,0)),MIN(AV$38,$D$19),$P$20))-SUM($P807:AU807)</f>
        <v>#VALUE!</v>
      </c>
      <c r="AW807" s="446" t="e">
        <f>IF(OR($B807="",MIN(AW$38,$D$19)&lt;MAX($P$708*($B807+IF($R$17="Distrato",$I$38-1,0)),IF(AND($L$711=0,$P$708=0),"",$L$711-1),IF($R$17="Distrato",$E807,0))),0,YEARFRAC(MAX($P$708*($B807+IF($R$17="Distrato",$I$38-1,0)),IF(AND($L$711=0,$P$708=0),"",$L$711-1),IF($R$17="Distrato",$E807,0)),MIN(AW$38,$D$19),$P$20))-SUM($P807:AV807)</f>
        <v>#VALUE!</v>
      </c>
      <c r="AX807" s="446" t="e">
        <f>IF(OR($B807="",MIN(AX$38,$D$19)&lt;MAX($P$708*($B807+IF($R$17="Distrato",$I$38-1,0)),IF(AND($L$711=0,$P$708=0),"",$L$711-1),IF($R$17="Distrato",$E807,0))),0,YEARFRAC(MAX($P$708*($B807+IF($R$17="Distrato",$I$38-1,0)),IF(AND($L$711=0,$P$708=0),"",$L$711-1),IF($R$17="Distrato",$E807,0)),MIN(AX$38,$D$19),$P$20))-SUM($P807:AW807)</f>
        <v>#VALUE!</v>
      </c>
      <c r="AY807" s="446" t="e">
        <f>IF(OR($B807="",MIN(AY$38,$D$19)&lt;MAX($P$708*($B807+IF($R$17="Distrato",$I$38-1,0)),IF(AND($L$711=0,$P$708=0),"",$L$711-1),IF($R$17="Distrato",$E807,0))),0,YEARFRAC(MAX($P$708*($B807+IF($R$17="Distrato",$I$38-1,0)),IF(AND($L$711=0,$P$708=0),"",$L$711-1),IF($R$17="Distrato",$E807,0)),MIN(AY$38,$D$19),$P$20))-SUM($P807:AX807)</f>
        <v>#VALUE!</v>
      </c>
      <c r="AZ807" s="446" t="e">
        <f>IF(OR($B807="",MIN(AZ$38,$D$19)&lt;MAX($P$708*($B807+IF($R$17="Distrato",$I$38-1,0)),IF(AND($L$711=0,$P$708=0),"",$L$711-1),IF($R$17="Distrato",$E807,0))),0,YEARFRAC(MAX($P$708*($B807+IF($R$17="Distrato",$I$38-1,0)),IF(AND($L$711=0,$P$708=0),"",$L$711-1),IF($R$17="Distrato",$E807,0)),MIN(AZ$38,$D$19),$P$20))-SUM($P807:AY807)</f>
        <v>#VALUE!</v>
      </c>
      <c r="BA807" s="446" t="e">
        <f>IF(OR($B807="",MIN(BA$38,$D$19)&lt;MAX($P$708*($B807+IF($R$17="Distrato",$I$38-1,0)),IF(AND($L$711=0,$P$708=0),"",$L$711-1),IF($R$17="Distrato",$E807,0))),0,YEARFRAC(MAX($P$708*($B807+IF($R$17="Distrato",$I$38-1,0)),IF(AND($L$711=0,$P$708=0),"",$L$711-1),IF($R$17="Distrato",$E807,0)),MIN(BA$38,$D$19),$P$20))-SUM($P807:AZ807)</f>
        <v>#VALUE!</v>
      </c>
      <c r="BB807" s="447"/>
    </row>
    <row r="808" spans="1:54" s="446" customFormat="1" ht="11.25" hidden="1" customHeight="1" x14ac:dyDescent="0.2">
      <c r="A808" s="235"/>
      <c r="B808" s="236"/>
      <c r="C808" s="29" t="str">
        <f>IF(B808="","",IF($L$709=$BL$25,VLOOKUP(DATE(YEAR($D$19),MONTH($D$19)-1,1),ÍNDICES!$A:$DE,HLOOKUP($BL$25,ÍNDICES!$B$3:$T$4,2)+11)-VLOOKUP(B808,ÍNDICES!$A:$DE,HLOOKUP($BL$25,ÍNDICES!$B$3:$T$4,2)+11)+1%,IF(C$712=$W$26,$J$35,IF(ISERROR(IF(B808&gt;$D$19,1,VLOOKUP(DATE(YEAR(B808),MONTH(B808)+IF($C$709=$S$23,1,0),1),ÍNDICES!$A:$DE,$Z$709+1))),"",IF(B808&gt;$D$19,1,VLOOKUP(DATE(YEAR(B808),MONTH(B808)+IF($C$709=$S$23,1,0),1),ÍNDICES!$A:$DE,$Z$709+1))))))</f>
        <v/>
      </c>
      <c r="D808" s="155"/>
      <c r="E808" s="88"/>
      <c r="F808" s="88"/>
      <c r="G808" s="88"/>
      <c r="H808" s="118"/>
      <c r="I808" s="182">
        <f t="shared" si="122"/>
        <v>0</v>
      </c>
      <c r="J808" s="20">
        <f t="shared" ca="1" si="123"/>
        <v>0</v>
      </c>
      <c r="K808" s="5">
        <f t="shared" ca="1" si="124"/>
        <v>0</v>
      </c>
      <c r="L808" s="61">
        <f t="shared" ca="1" si="125"/>
        <v>0</v>
      </c>
      <c r="M808" s="64">
        <f t="shared" si="126"/>
        <v>0</v>
      </c>
      <c r="N808" s="151"/>
      <c r="O808" s="5">
        <f t="shared" ca="1" si="127"/>
        <v>0</v>
      </c>
      <c r="P808" s="446" t="e">
        <f t="shared" si="128"/>
        <v>#VALUE!</v>
      </c>
      <c r="Q808" s="446" t="e">
        <f>IF(OR($B808="",MIN(Q$38,$D$19)&lt;MAX($P$708*($B808+IF($R$17="Distrato",$I$38-1,0)),IF(AND($L$711=0,$P$708=0),"",$L$711-1),IF($R$17="Distrato",$E808,0))),0,YEARFRAC(MAX($P$708*($B808+IF($R$17="Distrato",$I$38-1,0)),IF(AND($L$711=0,$P$708=0),"",$L$711-1),IF($R$17="Distrato",$E808,0)),MIN(Q$38,$D$19),$P$20))-SUM($P808:P808)</f>
        <v>#VALUE!</v>
      </c>
      <c r="R808" s="446" t="e">
        <f>IF(OR($B808="",MIN(R$38,$D$19)&lt;MAX($P$708*($B808+IF($R$17="Distrato",$I$38-1,0)),IF(AND($L$711=0,$P$708=0),"",$L$711-1),IF($R$17="Distrato",$E808,0))),0,YEARFRAC(MAX($P$708*($B808+IF($R$17="Distrato",$I$38-1,0)),IF(AND($L$711=0,$P$708=0),"",$L$711-1),IF($R$17="Distrato",$E808,0)),MIN(R$38,$D$19),$P$20))-SUM($P808:Q808)</f>
        <v>#VALUE!</v>
      </c>
      <c r="S808" s="446" t="e">
        <f>IF(OR($B808="",MIN(S$38,$D$19)&lt;MAX($P$708*($B808+IF($R$17="Distrato",$I$38-1,0)),IF(AND($L$711=0,$P$708=0),"",$L$711-1),IF($R$17="Distrato",$E808,0))),0,YEARFRAC(MAX($P$708*($B808+IF($R$17="Distrato",$I$38-1,0)),IF(AND($L$711=0,$P$708=0),"",$L$711-1),IF($R$17="Distrato",$E808,0)),MIN(S$38,$D$19),$P$20))-SUM($P808:R808)</f>
        <v>#VALUE!</v>
      </c>
      <c r="T808" s="446" t="e">
        <f>IF(OR($B808="",MIN(T$38,$D$19)&lt;MAX($P$708*($B808+IF($R$17="Distrato",$I$38-1,0)),IF(AND($L$711=0,$P$708=0),"",$L$711-1),IF($R$17="Distrato",$E808,0))),0,YEARFRAC(MAX($P$708*($B808+IF($R$17="Distrato",$I$38-1,0)),IF(AND($L$711=0,$P$708=0),"",$L$711-1),IF($R$17="Distrato",$E808,0)),MIN(T$38,$D$19),$P$20))-SUM($P808:S808)</f>
        <v>#VALUE!</v>
      </c>
      <c r="U808" s="446" t="e">
        <f>IF(OR($B808="",MIN(U$38,$D$19)&lt;MAX($P$708*($B808+IF($R$17="Distrato",$I$38-1,0)),IF(AND($L$711=0,$P$708=0),"",$L$711-1),IF($R$17="Distrato",$E808,0))),0,YEARFRAC(MAX($P$708*($B808+IF($R$17="Distrato",$I$38-1,0)),IF(AND($L$711=0,$P$708=0),"",$L$711-1),IF($R$17="Distrato",$E808,0)),MIN(U$38,$D$19),$P$20))-SUM($P808:T808)</f>
        <v>#VALUE!</v>
      </c>
      <c r="V808" s="446" t="e">
        <f>IF(OR($B808="",MIN(V$38,$D$19)&lt;MAX($P$708*($B808+IF($R$17="Distrato",$I$38-1,0)),IF(AND($L$711=0,$P$708=0),"",$L$711-1),IF($R$17="Distrato",$E808,0))),0,YEARFRAC(MAX($P$708*($B808+IF($R$17="Distrato",$I$38-1,0)),IF(AND($L$711=0,$P$708=0),"",$L$711-1),IF($R$17="Distrato",$E808,0)),MIN(V$38,$D$19),$P$20))-SUM($P808:U808)</f>
        <v>#VALUE!</v>
      </c>
      <c r="W808" s="446" t="e">
        <f>IF(OR($B808="",MIN(W$38,$D$19)&lt;MAX($P$708*($B808+IF($R$17="Distrato",$I$38-1,0)),IF(AND($L$711=0,$P$708=0),"",$L$711-1),IF($R$17="Distrato",$E808,0))),0,YEARFRAC(MAX($P$708*($B808+IF($R$17="Distrato",$I$38-1,0)),IF(AND($L$711=0,$P$708=0),"",$L$711-1),IF($R$17="Distrato",$E808,0)),MIN(W$38,$D$19),$P$20))-SUM($P808:V808)</f>
        <v>#VALUE!</v>
      </c>
      <c r="X808" s="446" t="e">
        <f>IF(OR($B808="",MIN(X$38,$D$19)&lt;MAX($P$708*($B808+IF($R$17="Distrato",$I$38-1,0)),IF(AND($L$711=0,$P$708=0),"",$L$711-1),IF($R$17="Distrato",$E808,0))),0,YEARFRAC(MAX($P$708*($B808+IF($R$17="Distrato",$I$38-1,0)),IF(AND($L$711=0,$P$708=0),"",$L$711-1),IF($R$17="Distrato",$E808,0)),MIN(X$38,$D$19),$P$20))-SUM($P808:W808)</f>
        <v>#VALUE!</v>
      </c>
      <c r="Y808" s="446" t="e">
        <f>IF(OR($B808="",MIN(Y$38,$D$19)&lt;MAX($P$708*($B808+IF($R$17="Distrato",$I$38-1,0)),IF(AND($L$711=0,$P$708=0),"",$L$711-1),IF($R$17="Distrato",$E808,0))),0,YEARFRAC(MAX($P$708*($B808+IF($R$17="Distrato",$I$38-1,0)),IF(AND($L$711=0,$P$708=0),"",$L$711-1),IF($R$17="Distrato",$E808,0)),MIN(Y$38,$D$19),$P$20))-SUM($P808:X808)</f>
        <v>#VALUE!</v>
      </c>
      <c r="Z808" s="446" t="e">
        <f>IF(OR($B808="",MIN(Z$38,$D$19)&lt;MAX($P$708*($B808+IF($R$17="Distrato",$I$38-1,0)),IF(AND($L$711=0,$P$708=0),"",$L$711-1),IF($R$17="Distrato",$E808,0))),0,YEARFRAC(MAX($P$708*($B808+IF($R$17="Distrato",$I$38-1,0)),IF(AND($L$711=0,$P$708=0),"",$L$711-1),IF($R$17="Distrato",$E808,0)),MIN(Z$38,$D$19),$P$20))-SUM($P808:Y808)</f>
        <v>#VALUE!</v>
      </c>
      <c r="AA808" s="446" t="e">
        <f>IF(OR($B808="",MIN(AA$38,$D$19)&lt;MAX($P$708*($B808+IF($R$17="Distrato",$I$38-1,0)),IF(AND($L$711=0,$P$708=0),"",$L$711-1),IF($R$17="Distrato",$E808,0))),0,YEARFRAC(MAX($P$708*($B808+IF($R$17="Distrato",$I$38-1,0)),IF(AND($L$711=0,$P$708=0),"",$L$711-1),IF($R$17="Distrato",$E808,0)),MIN(AA$38,$D$19),$P$20))-SUM($P808:Z808)</f>
        <v>#VALUE!</v>
      </c>
      <c r="AB808" s="446" t="e">
        <f>IF(OR($B808="",MIN(AB$38,$D$19)&lt;MAX($P$708*($B808+IF($R$17="Distrato",$I$38-1,0)),IF(AND($L$711=0,$P$708=0),"",$L$711-1),IF($R$17="Distrato",$E808,0))),0,YEARFRAC(MAX($P$708*($B808+IF($R$17="Distrato",$I$38-1,0)),IF(AND($L$711=0,$P$708=0),"",$L$711-1),IF($R$17="Distrato",$E808,0)),MIN(AB$38,$D$19),$P$20))-SUM($P808:AA808)</f>
        <v>#VALUE!</v>
      </c>
      <c r="AC808" s="446" t="e">
        <f>IF(OR($B808="",MIN(AC$38,$D$19)&lt;MAX($P$708*($B808+IF($R$17="Distrato",$I$38-1,0)),IF(AND($L$711=0,$P$708=0),"",$L$711-1),IF($R$17="Distrato",$E808,0))),0,YEARFRAC(MAX($P$708*($B808+IF($R$17="Distrato",$I$38-1,0)),IF(AND($L$711=0,$P$708=0),"",$L$711-1),IF($R$17="Distrato",$E808,0)),MIN(AC$38,$D$19),$P$20))-SUM($P808:AB808)</f>
        <v>#VALUE!</v>
      </c>
      <c r="AD808" s="446" t="e">
        <f>IF(OR($B808="",MIN(AD$38,$D$19)&lt;MAX($P$708*($B808+IF($R$17="Distrato",$I$38-1,0)),IF(AND($L$711=0,$P$708=0),"",$L$711-1),IF($R$17="Distrato",$E808,0))),0,YEARFRAC(MAX($P$708*($B808+IF($R$17="Distrato",$I$38-1,0)),IF(AND($L$711=0,$P$708=0),"",$L$711-1),IF($R$17="Distrato",$E808,0)),MIN(AD$38,$D$19),$P$20))-SUM($P808:AC808)</f>
        <v>#VALUE!</v>
      </c>
      <c r="AE808" s="446" t="e">
        <f>IF(OR($B808="",MIN(AE$38,$D$19)&lt;MAX($P$708*($B808+IF($R$17="Distrato",$I$38-1,0)),IF(AND($L$711=0,$P$708=0),"",$L$711-1),IF($R$17="Distrato",$E808,0))),0,YEARFRAC(MAX($P$708*($B808+IF($R$17="Distrato",$I$38-1,0)),IF(AND($L$711=0,$P$708=0),"",$L$711-1),IF($R$17="Distrato",$E808,0)),MIN(AE$38,$D$19),$P$20))-SUM($P808:AD808)</f>
        <v>#VALUE!</v>
      </c>
      <c r="AF808" s="446" t="e">
        <f>IF(OR($B808="",MIN(AF$38,$D$19)&lt;MAX($P$708*($B808+IF($R$17="Distrato",$I$38-1,0)),IF(AND($L$711=0,$P$708=0),"",$L$711-1),IF($R$17="Distrato",$E808,0))),0,YEARFRAC(MAX($P$708*($B808+IF($R$17="Distrato",$I$38-1,0)),IF(AND($L$711=0,$P$708=0),"",$L$711-1),IF($R$17="Distrato",$E808,0)),MIN(AF$38,$D$19),$P$20))-SUM($P808:AE808)</f>
        <v>#VALUE!</v>
      </c>
      <c r="AG808" s="446" t="e">
        <f>IF(OR($B808="",MIN(AG$38,$D$19)&lt;MAX($P$708*($B808+IF($R$17="Distrato",$I$38-1,0)),IF(AND($L$711=0,$P$708=0),"",$L$711-1),IF($R$17="Distrato",$E808,0))),0,YEARFRAC(MAX($P$708*($B808+IF($R$17="Distrato",$I$38-1,0)),IF(AND($L$711=0,$P$708=0),"",$L$711-1),IF($R$17="Distrato",$E808,0)),MIN(AG$38,$D$19),$P$20))-SUM($P808:AF808)</f>
        <v>#VALUE!</v>
      </c>
      <c r="AH808" s="446" t="e">
        <f>IF(OR($B808="",MIN(AH$38,$D$19)&lt;MAX($P$708*($B808+IF($R$17="Distrato",$I$38-1,0)),IF(AND($L$711=0,$P$708=0),"",$L$711-1),IF($R$17="Distrato",$E808,0))),0,YEARFRAC(MAX($P$708*($B808+IF($R$17="Distrato",$I$38-1,0)),IF(AND($L$711=0,$P$708=0),"",$L$711-1),IF($R$17="Distrato",$E808,0)),MIN(AH$38,$D$19),$P$20))-SUM($P808:AG808)</f>
        <v>#VALUE!</v>
      </c>
      <c r="AI808" s="446" t="e">
        <f>IF(OR($B808="",MIN(AI$38,$D$19)&lt;MAX($P$708*($B808+IF($R$17="Distrato",$I$38-1,0)),IF(AND($L$711=0,$P$708=0),"",$L$711-1),IF($R$17="Distrato",$E808,0))),0,YEARFRAC(MAX($P$708*($B808+IF($R$17="Distrato",$I$38-1,0)),IF(AND($L$711=0,$P$708=0),"",$L$711-1),IF($R$17="Distrato",$E808,0)),MIN(AI$38,$D$19),$P$20))-SUM($P808:AH808)</f>
        <v>#VALUE!</v>
      </c>
      <c r="AJ808" s="446" t="e">
        <f>IF(OR($B808="",MIN(AJ$38,$D$19)&lt;MAX($P$708*($B808+IF($R$17="Distrato",$I$38-1,0)),IF(AND($L$711=0,$P$708=0),"",$L$711-1),IF($R$17="Distrato",$E808,0))),0,YEARFRAC(MAX($P$708*($B808+IF($R$17="Distrato",$I$38-1,0)),IF(AND($L$711=0,$P$708=0),"",$L$711-1),IF($R$17="Distrato",$E808,0)),MIN(AJ$38,$D$19),$P$20))-SUM($P808:AI808)</f>
        <v>#VALUE!</v>
      </c>
      <c r="AK808" s="446" t="e">
        <f>IF(OR($B808="",MIN(AK$38,$D$19)&lt;MAX($P$708*($B808+IF($R$17="Distrato",$I$38-1,0)),IF(AND($L$711=0,$P$708=0),"",$L$711-1),IF($R$17="Distrato",$E808,0))),0,YEARFRAC(MAX($P$708*($B808+IF($R$17="Distrato",$I$38-1,0)),IF(AND($L$711=0,$P$708=0),"",$L$711-1),IF($R$17="Distrato",$E808,0)),MIN(AK$38,$D$19),$P$20))-SUM($P808:AJ808)</f>
        <v>#VALUE!</v>
      </c>
      <c r="AL808" s="446" t="e">
        <f>IF(OR($B808="",MIN(AL$38,$D$19)&lt;MAX($P$708*($B808+IF($R$17="Distrato",$I$38-1,0)),IF(AND($L$711=0,$P$708=0),"",$L$711-1),IF($R$17="Distrato",$E808,0))),0,YEARFRAC(MAX($P$708*($B808+IF($R$17="Distrato",$I$38-1,0)),IF(AND($L$711=0,$P$708=0),"",$L$711-1),IF($R$17="Distrato",$E808,0)),MIN(AL$38,$D$19),$P$20))-SUM($P808:AK808)</f>
        <v>#VALUE!</v>
      </c>
      <c r="AM808" s="446" t="e">
        <f>IF(OR($B808="",MIN(AM$38,$D$19)&lt;MAX($P$708*($B808+IF($R$17="Distrato",$I$38-1,0)),IF(AND($L$711=0,$P$708=0),"",$L$711-1),IF($R$17="Distrato",$E808,0))),0,YEARFRAC(MAX($P$708*($B808+IF($R$17="Distrato",$I$38-1,0)),IF(AND($L$711=0,$P$708=0),"",$L$711-1),IF($R$17="Distrato",$E808,0)),MIN(AM$38,$D$19),$P$20))-SUM($P808:AL808)</f>
        <v>#VALUE!</v>
      </c>
      <c r="AN808" s="446" t="e">
        <f>IF(OR($B808="",MIN(AN$38,$D$19)&lt;MAX($P$708*($B808+IF($R$17="Distrato",$I$38-1,0)),IF(AND($L$711=0,$P$708=0),"",$L$711-1),IF($R$17="Distrato",$E808,0))),0,YEARFRAC(MAX($P$708*($B808+IF($R$17="Distrato",$I$38-1,0)),IF(AND($L$711=0,$P$708=0),"",$L$711-1),IF($R$17="Distrato",$E808,0)),MIN(AN$38,$D$19),$P$20))-SUM($P808:AM808)</f>
        <v>#VALUE!</v>
      </c>
      <c r="AO808" s="446" t="e">
        <f>IF(OR($B808="",MIN(AO$38,$D$19)&lt;MAX($P$708*($B808+IF($R$17="Distrato",$I$38-1,0)),IF(AND($L$711=0,$P$708=0),"",$L$711-1),IF($R$17="Distrato",$E808,0))),0,YEARFRAC(MAX($P$708*($B808+IF($R$17="Distrato",$I$38-1,0)),IF(AND($L$711=0,$P$708=0),"",$L$711-1),IF($R$17="Distrato",$E808,0)),MIN(AO$38,$D$19),$P$20))-SUM($P808:AN808)</f>
        <v>#VALUE!</v>
      </c>
      <c r="AP808" s="446" t="e">
        <f>IF(OR($B808="",MIN(AP$38,$D$19)&lt;MAX($P$708*($B808+IF($R$17="Distrato",$I$38-1,0)),IF(AND($L$711=0,$P$708=0),"",$L$711-1),IF($R$17="Distrato",$E808,0))),0,YEARFRAC(MAX($P$708*($B808+IF($R$17="Distrato",$I$38-1,0)),IF(AND($L$711=0,$P$708=0),"",$L$711-1),IF($R$17="Distrato",$E808,0)),MIN(AP$38,$D$19),$P$20))-SUM($P808:AO808)</f>
        <v>#VALUE!</v>
      </c>
      <c r="AQ808" s="446" t="e">
        <f>IF(OR($B808="",MIN(AQ$38,$D$19)&lt;MAX($P$708*($B808+IF($R$17="Distrato",$I$38-1,0)),IF(AND($L$711=0,$P$708=0),"",$L$711-1),IF($R$17="Distrato",$E808,0))),0,YEARFRAC(MAX($P$708*($B808+IF($R$17="Distrato",$I$38-1,0)),IF(AND($L$711=0,$P$708=0),"",$L$711-1),IF($R$17="Distrato",$E808,0)),MIN(AQ$38,$D$19),$P$20))-SUM($P808:AP808)</f>
        <v>#VALUE!</v>
      </c>
      <c r="AR808" s="446" t="e">
        <f>IF(OR($B808="",MIN(AR$38,$D$19)&lt;MAX($P$708*($B808+IF($R$17="Distrato",$I$38-1,0)),IF(AND($L$711=0,$P$708=0),"",$L$711-1),IF($R$17="Distrato",$E808,0))),0,YEARFRAC(MAX($P$708*($B808+IF($R$17="Distrato",$I$38-1,0)),IF(AND($L$711=0,$P$708=0),"",$L$711-1),IF($R$17="Distrato",$E808,0)),MIN(AR$38,$D$19),$P$20))-SUM($P808:AQ808)</f>
        <v>#VALUE!</v>
      </c>
      <c r="AS808" s="446" t="e">
        <f>IF(OR($B808="",MIN(AS$38,$D$19)&lt;MAX($P$708*($B808+IF($R$17="Distrato",$I$38-1,0)),IF(AND($L$711=0,$P$708=0),"",$L$711-1),IF($R$17="Distrato",$E808,0))),0,YEARFRAC(MAX($P$708*($B808+IF($R$17="Distrato",$I$38-1,0)),IF(AND($L$711=0,$P$708=0),"",$L$711-1),IF($R$17="Distrato",$E808,0)),MIN(AS$38,$D$19),$P$20))-SUM($P808:AR808)</f>
        <v>#VALUE!</v>
      </c>
      <c r="AT808" s="446" t="e">
        <f>IF(OR($B808="",MIN(AT$38,$D$19)&lt;MAX($P$708*($B808+IF($R$17="Distrato",$I$38-1,0)),IF(AND($L$711=0,$P$708=0),"",$L$711-1),IF($R$17="Distrato",$E808,0))),0,YEARFRAC(MAX($P$708*($B808+IF($R$17="Distrato",$I$38-1,0)),IF(AND($L$711=0,$P$708=0),"",$L$711-1),IF($R$17="Distrato",$E808,0)),MIN(AT$38,$D$19),$P$20))-SUM($P808:AS808)</f>
        <v>#VALUE!</v>
      </c>
      <c r="AU808" s="446" t="e">
        <f>IF(OR($B808="",MIN(AU$38,$D$19)&lt;MAX($P$708*($B808+IF($R$17="Distrato",$I$38-1,0)),IF(AND($L$711=0,$P$708=0),"",$L$711-1),IF($R$17="Distrato",$E808,0))),0,YEARFRAC(MAX($P$708*($B808+IF($R$17="Distrato",$I$38-1,0)),IF(AND($L$711=0,$P$708=0),"",$L$711-1),IF($R$17="Distrato",$E808,0)),MIN(AU$38,$D$19),$P$20))-SUM($P808:AT808)</f>
        <v>#VALUE!</v>
      </c>
      <c r="AV808" s="446" t="e">
        <f>IF(OR($B808="",MIN(AV$38,$D$19)&lt;MAX($P$708*($B808+IF($R$17="Distrato",$I$38-1,0)),IF(AND($L$711=0,$P$708=0),"",$L$711-1),IF($R$17="Distrato",$E808,0))),0,YEARFRAC(MAX($P$708*($B808+IF($R$17="Distrato",$I$38-1,0)),IF(AND($L$711=0,$P$708=0),"",$L$711-1),IF($R$17="Distrato",$E808,0)),MIN(AV$38,$D$19),$P$20))-SUM($P808:AU808)</f>
        <v>#VALUE!</v>
      </c>
      <c r="AW808" s="446" t="e">
        <f>IF(OR($B808="",MIN(AW$38,$D$19)&lt;MAX($P$708*($B808+IF($R$17="Distrato",$I$38-1,0)),IF(AND($L$711=0,$P$708=0),"",$L$711-1),IF($R$17="Distrato",$E808,0))),0,YEARFRAC(MAX($P$708*($B808+IF($R$17="Distrato",$I$38-1,0)),IF(AND($L$711=0,$P$708=0),"",$L$711-1),IF($R$17="Distrato",$E808,0)),MIN(AW$38,$D$19),$P$20))-SUM($P808:AV808)</f>
        <v>#VALUE!</v>
      </c>
      <c r="AX808" s="446" t="e">
        <f>IF(OR($B808="",MIN(AX$38,$D$19)&lt;MAX($P$708*($B808+IF($R$17="Distrato",$I$38-1,0)),IF(AND($L$711=0,$P$708=0),"",$L$711-1),IF($R$17="Distrato",$E808,0))),0,YEARFRAC(MAX($P$708*($B808+IF($R$17="Distrato",$I$38-1,0)),IF(AND($L$711=0,$P$708=0),"",$L$711-1),IF($R$17="Distrato",$E808,0)),MIN(AX$38,$D$19),$P$20))-SUM($P808:AW808)</f>
        <v>#VALUE!</v>
      </c>
      <c r="AY808" s="446" t="e">
        <f>IF(OR($B808="",MIN(AY$38,$D$19)&lt;MAX($P$708*($B808+IF($R$17="Distrato",$I$38-1,0)),IF(AND($L$711=0,$P$708=0),"",$L$711-1),IF($R$17="Distrato",$E808,0))),0,YEARFRAC(MAX($P$708*($B808+IF($R$17="Distrato",$I$38-1,0)),IF(AND($L$711=0,$P$708=0),"",$L$711-1),IF($R$17="Distrato",$E808,0)),MIN(AY$38,$D$19),$P$20))-SUM($P808:AX808)</f>
        <v>#VALUE!</v>
      </c>
      <c r="AZ808" s="446" t="e">
        <f>IF(OR($B808="",MIN(AZ$38,$D$19)&lt;MAX($P$708*($B808+IF($R$17="Distrato",$I$38-1,0)),IF(AND($L$711=0,$P$708=0),"",$L$711-1),IF($R$17="Distrato",$E808,0))),0,YEARFRAC(MAX($P$708*($B808+IF($R$17="Distrato",$I$38-1,0)),IF(AND($L$711=0,$P$708=0),"",$L$711-1),IF($R$17="Distrato",$E808,0)),MIN(AZ$38,$D$19),$P$20))-SUM($P808:AY808)</f>
        <v>#VALUE!</v>
      </c>
      <c r="BA808" s="446" t="e">
        <f>IF(OR($B808="",MIN(BA$38,$D$19)&lt;MAX($P$708*($B808+IF($R$17="Distrato",$I$38-1,0)),IF(AND($L$711=0,$P$708=0),"",$L$711-1),IF($R$17="Distrato",$E808,0))),0,YEARFRAC(MAX($P$708*($B808+IF($R$17="Distrato",$I$38-1,0)),IF(AND($L$711=0,$P$708=0),"",$L$711-1),IF($R$17="Distrato",$E808,0)),MIN(BA$38,$D$19),$P$20))-SUM($P808:AZ808)</f>
        <v>#VALUE!</v>
      </c>
      <c r="BB808" s="447"/>
    </row>
    <row r="809" spans="1:54" s="446" customFormat="1" ht="11.25" hidden="1" customHeight="1" x14ac:dyDescent="0.2">
      <c r="A809" s="235"/>
      <c r="B809" s="236"/>
      <c r="C809" s="29" t="str">
        <f>IF(B809="","",IF($L$709=$BL$25,VLOOKUP(DATE(YEAR($D$19),MONTH($D$19)-1,1),ÍNDICES!$A:$DE,HLOOKUP($BL$25,ÍNDICES!$B$3:$T$4,2)+11)-VLOOKUP(B809,ÍNDICES!$A:$DE,HLOOKUP($BL$25,ÍNDICES!$B$3:$T$4,2)+11)+1%,IF(C$712=$W$26,$J$35,IF(ISERROR(IF(B809&gt;$D$19,1,VLOOKUP(DATE(YEAR(B809),MONTH(B809)+IF($C$709=$S$23,1,0),1),ÍNDICES!$A:$DE,$Z$709+1))),"",IF(B809&gt;$D$19,1,VLOOKUP(DATE(YEAR(B809),MONTH(B809)+IF($C$709=$S$23,1,0),1),ÍNDICES!$A:$DE,$Z$709+1))))))</f>
        <v/>
      </c>
      <c r="D809" s="155"/>
      <c r="E809" s="88"/>
      <c r="F809" s="88"/>
      <c r="G809" s="88"/>
      <c r="H809" s="118"/>
      <c r="I809" s="182">
        <f t="shared" si="122"/>
        <v>0</v>
      </c>
      <c r="J809" s="20">
        <f t="shared" ca="1" si="123"/>
        <v>0</v>
      </c>
      <c r="K809" s="5">
        <f t="shared" ca="1" si="124"/>
        <v>0</v>
      </c>
      <c r="L809" s="61">
        <f t="shared" ca="1" si="125"/>
        <v>0</v>
      </c>
      <c r="M809" s="64">
        <f t="shared" si="126"/>
        <v>0</v>
      </c>
      <c r="N809" s="151"/>
      <c r="O809" s="5">
        <f t="shared" ca="1" si="127"/>
        <v>0</v>
      </c>
      <c r="P809" s="446" t="e">
        <f t="shared" si="128"/>
        <v>#VALUE!</v>
      </c>
      <c r="Q809" s="446" t="e">
        <f>IF(OR($B809="",MIN(Q$38,$D$19)&lt;MAX($P$708*($B809+IF($R$17="Distrato",$I$38-1,0)),IF(AND($L$711=0,$P$708=0),"",$L$711-1),IF($R$17="Distrato",$E809,0))),0,YEARFRAC(MAX($P$708*($B809+IF($R$17="Distrato",$I$38-1,0)),IF(AND($L$711=0,$P$708=0),"",$L$711-1),IF($R$17="Distrato",$E809,0)),MIN(Q$38,$D$19),$P$20))-SUM($P809:P809)</f>
        <v>#VALUE!</v>
      </c>
      <c r="R809" s="446" t="e">
        <f>IF(OR($B809="",MIN(R$38,$D$19)&lt;MAX($P$708*($B809+IF($R$17="Distrato",$I$38-1,0)),IF(AND($L$711=0,$P$708=0),"",$L$711-1),IF($R$17="Distrato",$E809,0))),0,YEARFRAC(MAX($P$708*($B809+IF($R$17="Distrato",$I$38-1,0)),IF(AND($L$711=0,$P$708=0),"",$L$711-1),IF($R$17="Distrato",$E809,0)),MIN(R$38,$D$19),$P$20))-SUM($P809:Q809)</f>
        <v>#VALUE!</v>
      </c>
      <c r="S809" s="446" t="e">
        <f>IF(OR($B809="",MIN(S$38,$D$19)&lt;MAX($P$708*($B809+IF($R$17="Distrato",$I$38-1,0)),IF(AND($L$711=0,$P$708=0),"",$L$711-1),IF($R$17="Distrato",$E809,0))),0,YEARFRAC(MAX($P$708*($B809+IF($R$17="Distrato",$I$38-1,0)),IF(AND($L$711=0,$P$708=0),"",$L$711-1),IF($R$17="Distrato",$E809,0)),MIN(S$38,$D$19),$P$20))-SUM($P809:R809)</f>
        <v>#VALUE!</v>
      </c>
      <c r="T809" s="446" t="e">
        <f>IF(OR($B809="",MIN(T$38,$D$19)&lt;MAX($P$708*($B809+IF($R$17="Distrato",$I$38-1,0)),IF(AND($L$711=0,$P$708=0),"",$L$711-1),IF($R$17="Distrato",$E809,0))),0,YEARFRAC(MAX($P$708*($B809+IF($R$17="Distrato",$I$38-1,0)),IF(AND($L$711=0,$P$708=0),"",$L$711-1),IF($R$17="Distrato",$E809,0)),MIN(T$38,$D$19),$P$20))-SUM($P809:S809)</f>
        <v>#VALUE!</v>
      </c>
      <c r="U809" s="446" t="e">
        <f>IF(OR($B809="",MIN(U$38,$D$19)&lt;MAX($P$708*($B809+IF($R$17="Distrato",$I$38-1,0)),IF(AND($L$711=0,$P$708=0),"",$L$711-1),IF($R$17="Distrato",$E809,0))),0,YEARFRAC(MAX($P$708*($B809+IF($R$17="Distrato",$I$38-1,0)),IF(AND($L$711=0,$P$708=0),"",$L$711-1),IF($R$17="Distrato",$E809,0)),MIN(U$38,$D$19),$P$20))-SUM($P809:T809)</f>
        <v>#VALUE!</v>
      </c>
      <c r="V809" s="446" t="e">
        <f>IF(OR($B809="",MIN(V$38,$D$19)&lt;MAX($P$708*($B809+IF($R$17="Distrato",$I$38-1,0)),IF(AND($L$711=0,$P$708=0),"",$L$711-1),IF($R$17="Distrato",$E809,0))),0,YEARFRAC(MAX($P$708*($B809+IF($R$17="Distrato",$I$38-1,0)),IF(AND($L$711=0,$P$708=0),"",$L$711-1),IF($R$17="Distrato",$E809,0)),MIN(V$38,$D$19),$P$20))-SUM($P809:U809)</f>
        <v>#VALUE!</v>
      </c>
      <c r="W809" s="446" t="e">
        <f>IF(OR($B809="",MIN(W$38,$D$19)&lt;MAX($P$708*($B809+IF($R$17="Distrato",$I$38-1,0)),IF(AND($L$711=0,$P$708=0),"",$L$711-1),IF($R$17="Distrato",$E809,0))),0,YEARFRAC(MAX($P$708*($B809+IF($R$17="Distrato",$I$38-1,0)),IF(AND($L$711=0,$P$708=0),"",$L$711-1),IF($R$17="Distrato",$E809,0)),MIN(W$38,$D$19),$P$20))-SUM($P809:V809)</f>
        <v>#VALUE!</v>
      </c>
      <c r="X809" s="446" t="e">
        <f>IF(OR($B809="",MIN(X$38,$D$19)&lt;MAX($P$708*($B809+IF($R$17="Distrato",$I$38-1,0)),IF(AND($L$711=0,$P$708=0),"",$L$711-1),IF($R$17="Distrato",$E809,0))),0,YEARFRAC(MAX($P$708*($B809+IF($R$17="Distrato",$I$38-1,0)),IF(AND($L$711=0,$P$708=0),"",$L$711-1),IF($R$17="Distrato",$E809,0)),MIN(X$38,$D$19),$P$20))-SUM($P809:W809)</f>
        <v>#VALUE!</v>
      </c>
      <c r="Y809" s="446" t="e">
        <f>IF(OR($B809="",MIN(Y$38,$D$19)&lt;MAX($P$708*($B809+IF($R$17="Distrato",$I$38-1,0)),IF(AND($L$711=0,$P$708=0),"",$L$711-1),IF($R$17="Distrato",$E809,0))),0,YEARFRAC(MAX($P$708*($B809+IF($R$17="Distrato",$I$38-1,0)),IF(AND($L$711=0,$P$708=0),"",$L$711-1),IF($R$17="Distrato",$E809,0)),MIN(Y$38,$D$19),$P$20))-SUM($P809:X809)</f>
        <v>#VALUE!</v>
      </c>
      <c r="Z809" s="446" t="e">
        <f>IF(OR($B809="",MIN(Z$38,$D$19)&lt;MAX($P$708*($B809+IF($R$17="Distrato",$I$38-1,0)),IF(AND($L$711=0,$P$708=0),"",$L$711-1),IF($R$17="Distrato",$E809,0))),0,YEARFRAC(MAX($P$708*($B809+IF($R$17="Distrato",$I$38-1,0)),IF(AND($L$711=0,$P$708=0),"",$L$711-1),IF($R$17="Distrato",$E809,0)),MIN(Z$38,$D$19),$P$20))-SUM($P809:Y809)</f>
        <v>#VALUE!</v>
      </c>
      <c r="AA809" s="446" t="e">
        <f>IF(OR($B809="",MIN(AA$38,$D$19)&lt;MAX($P$708*($B809+IF($R$17="Distrato",$I$38-1,0)),IF(AND($L$711=0,$P$708=0),"",$L$711-1),IF($R$17="Distrato",$E809,0))),0,YEARFRAC(MAX($P$708*($B809+IF($R$17="Distrato",$I$38-1,0)),IF(AND($L$711=0,$P$708=0),"",$L$711-1),IF($R$17="Distrato",$E809,0)),MIN(AA$38,$D$19),$P$20))-SUM($P809:Z809)</f>
        <v>#VALUE!</v>
      </c>
      <c r="AB809" s="446" t="e">
        <f>IF(OR($B809="",MIN(AB$38,$D$19)&lt;MAX($P$708*($B809+IF($R$17="Distrato",$I$38-1,0)),IF(AND($L$711=0,$P$708=0),"",$L$711-1),IF($R$17="Distrato",$E809,0))),0,YEARFRAC(MAX($P$708*($B809+IF($R$17="Distrato",$I$38-1,0)),IF(AND($L$711=0,$P$708=0),"",$L$711-1),IF($R$17="Distrato",$E809,0)),MIN(AB$38,$D$19),$P$20))-SUM($P809:AA809)</f>
        <v>#VALUE!</v>
      </c>
      <c r="AC809" s="446" t="e">
        <f>IF(OR($B809="",MIN(AC$38,$D$19)&lt;MAX($P$708*($B809+IF($R$17="Distrato",$I$38-1,0)),IF(AND($L$711=0,$P$708=0),"",$L$711-1),IF($R$17="Distrato",$E809,0))),0,YEARFRAC(MAX($P$708*($B809+IF($R$17="Distrato",$I$38-1,0)),IF(AND($L$711=0,$P$708=0),"",$L$711-1),IF($R$17="Distrato",$E809,0)),MIN(AC$38,$D$19),$P$20))-SUM($P809:AB809)</f>
        <v>#VALUE!</v>
      </c>
      <c r="AD809" s="446" t="e">
        <f>IF(OR($B809="",MIN(AD$38,$D$19)&lt;MAX($P$708*($B809+IF($R$17="Distrato",$I$38-1,0)),IF(AND($L$711=0,$P$708=0),"",$L$711-1),IF($R$17="Distrato",$E809,0))),0,YEARFRAC(MAX($P$708*($B809+IF($R$17="Distrato",$I$38-1,0)),IF(AND($L$711=0,$P$708=0),"",$L$711-1),IF($R$17="Distrato",$E809,0)),MIN(AD$38,$D$19),$P$20))-SUM($P809:AC809)</f>
        <v>#VALUE!</v>
      </c>
      <c r="AE809" s="446" t="e">
        <f>IF(OR($B809="",MIN(AE$38,$D$19)&lt;MAX($P$708*($B809+IF($R$17="Distrato",$I$38-1,0)),IF(AND($L$711=0,$P$708=0),"",$L$711-1),IF($R$17="Distrato",$E809,0))),0,YEARFRAC(MAX($P$708*($B809+IF($R$17="Distrato",$I$38-1,0)),IF(AND($L$711=0,$P$708=0),"",$L$711-1),IF($R$17="Distrato",$E809,0)),MIN(AE$38,$D$19),$P$20))-SUM($P809:AD809)</f>
        <v>#VALUE!</v>
      </c>
      <c r="AF809" s="446" t="e">
        <f>IF(OR($B809="",MIN(AF$38,$D$19)&lt;MAX($P$708*($B809+IF($R$17="Distrato",$I$38-1,0)),IF(AND($L$711=0,$P$708=0),"",$L$711-1),IF($R$17="Distrato",$E809,0))),0,YEARFRAC(MAX($P$708*($B809+IF($R$17="Distrato",$I$38-1,0)),IF(AND($L$711=0,$P$708=0),"",$L$711-1),IF($R$17="Distrato",$E809,0)),MIN(AF$38,$D$19),$P$20))-SUM($P809:AE809)</f>
        <v>#VALUE!</v>
      </c>
      <c r="AG809" s="446" t="e">
        <f>IF(OR($B809="",MIN(AG$38,$D$19)&lt;MAX($P$708*($B809+IF($R$17="Distrato",$I$38-1,0)),IF(AND($L$711=0,$P$708=0),"",$L$711-1),IF($R$17="Distrato",$E809,0))),0,YEARFRAC(MAX($P$708*($B809+IF($R$17="Distrato",$I$38-1,0)),IF(AND($L$711=0,$P$708=0),"",$L$711-1),IF($R$17="Distrato",$E809,0)),MIN(AG$38,$D$19),$P$20))-SUM($P809:AF809)</f>
        <v>#VALUE!</v>
      </c>
      <c r="AH809" s="446" t="e">
        <f>IF(OR($B809="",MIN(AH$38,$D$19)&lt;MAX($P$708*($B809+IF($R$17="Distrato",$I$38-1,0)),IF(AND($L$711=0,$P$708=0),"",$L$711-1),IF($R$17="Distrato",$E809,0))),0,YEARFRAC(MAX($P$708*($B809+IF($R$17="Distrato",$I$38-1,0)),IF(AND($L$711=0,$P$708=0),"",$L$711-1),IF($R$17="Distrato",$E809,0)),MIN(AH$38,$D$19),$P$20))-SUM($P809:AG809)</f>
        <v>#VALUE!</v>
      </c>
      <c r="AI809" s="446" t="e">
        <f>IF(OR($B809="",MIN(AI$38,$D$19)&lt;MAX($P$708*($B809+IF($R$17="Distrato",$I$38-1,0)),IF(AND($L$711=0,$P$708=0),"",$L$711-1),IF($R$17="Distrato",$E809,0))),0,YEARFRAC(MAX($P$708*($B809+IF($R$17="Distrato",$I$38-1,0)),IF(AND($L$711=0,$P$708=0),"",$L$711-1),IF($R$17="Distrato",$E809,0)),MIN(AI$38,$D$19),$P$20))-SUM($P809:AH809)</f>
        <v>#VALUE!</v>
      </c>
      <c r="AJ809" s="446" t="e">
        <f>IF(OR($B809="",MIN(AJ$38,$D$19)&lt;MAX($P$708*($B809+IF($R$17="Distrato",$I$38-1,0)),IF(AND($L$711=0,$P$708=0),"",$L$711-1),IF($R$17="Distrato",$E809,0))),0,YEARFRAC(MAX($P$708*($B809+IF($R$17="Distrato",$I$38-1,0)),IF(AND($L$711=0,$P$708=0),"",$L$711-1),IF($R$17="Distrato",$E809,0)),MIN(AJ$38,$D$19),$P$20))-SUM($P809:AI809)</f>
        <v>#VALUE!</v>
      </c>
      <c r="AK809" s="446" t="e">
        <f>IF(OR($B809="",MIN(AK$38,$D$19)&lt;MAX($P$708*($B809+IF($R$17="Distrato",$I$38-1,0)),IF(AND($L$711=0,$P$708=0),"",$L$711-1),IF($R$17="Distrato",$E809,0))),0,YEARFRAC(MAX($P$708*($B809+IF($R$17="Distrato",$I$38-1,0)),IF(AND($L$711=0,$P$708=0),"",$L$711-1),IF($R$17="Distrato",$E809,0)),MIN(AK$38,$D$19),$P$20))-SUM($P809:AJ809)</f>
        <v>#VALUE!</v>
      </c>
      <c r="AL809" s="446" t="e">
        <f>IF(OR($B809="",MIN(AL$38,$D$19)&lt;MAX($P$708*($B809+IF($R$17="Distrato",$I$38-1,0)),IF(AND($L$711=0,$P$708=0),"",$L$711-1),IF($R$17="Distrato",$E809,0))),0,YEARFRAC(MAX($P$708*($B809+IF($R$17="Distrato",$I$38-1,0)),IF(AND($L$711=0,$P$708=0),"",$L$711-1),IF($R$17="Distrato",$E809,0)),MIN(AL$38,$D$19),$P$20))-SUM($P809:AK809)</f>
        <v>#VALUE!</v>
      </c>
      <c r="AM809" s="446" t="e">
        <f>IF(OR($B809="",MIN(AM$38,$D$19)&lt;MAX($P$708*($B809+IF($R$17="Distrato",$I$38-1,0)),IF(AND($L$711=0,$P$708=0),"",$L$711-1),IF($R$17="Distrato",$E809,0))),0,YEARFRAC(MAX($P$708*($B809+IF($R$17="Distrato",$I$38-1,0)),IF(AND($L$711=0,$P$708=0),"",$L$711-1),IF($R$17="Distrato",$E809,0)),MIN(AM$38,$D$19),$P$20))-SUM($P809:AL809)</f>
        <v>#VALUE!</v>
      </c>
      <c r="AN809" s="446" t="e">
        <f>IF(OR($B809="",MIN(AN$38,$D$19)&lt;MAX($P$708*($B809+IF($R$17="Distrato",$I$38-1,0)),IF(AND($L$711=0,$P$708=0),"",$L$711-1),IF($R$17="Distrato",$E809,0))),0,YEARFRAC(MAX($P$708*($B809+IF($R$17="Distrato",$I$38-1,0)),IF(AND($L$711=0,$P$708=0),"",$L$711-1),IF($R$17="Distrato",$E809,0)),MIN(AN$38,$D$19),$P$20))-SUM($P809:AM809)</f>
        <v>#VALUE!</v>
      </c>
      <c r="AO809" s="446" t="e">
        <f>IF(OR($B809="",MIN(AO$38,$D$19)&lt;MAX($P$708*($B809+IF($R$17="Distrato",$I$38-1,0)),IF(AND($L$711=0,$P$708=0),"",$L$711-1),IF($R$17="Distrato",$E809,0))),0,YEARFRAC(MAX($P$708*($B809+IF($R$17="Distrato",$I$38-1,0)),IF(AND($L$711=0,$P$708=0),"",$L$711-1),IF($R$17="Distrato",$E809,0)),MIN(AO$38,$D$19),$P$20))-SUM($P809:AN809)</f>
        <v>#VALUE!</v>
      </c>
      <c r="AP809" s="446" t="e">
        <f>IF(OR($B809="",MIN(AP$38,$D$19)&lt;MAX($P$708*($B809+IF($R$17="Distrato",$I$38-1,0)),IF(AND($L$711=0,$P$708=0),"",$L$711-1),IF($R$17="Distrato",$E809,0))),0,YEARFRAC(MAX($P$708*($B809+IF($R$17="Distrato",$I$38-1,0)),IF(AND($L$711=0,$P$708=0),"",$L$711-1),IF($R$17="Distrato",$E809,0)),MIN(AP$38,$D$19),$P$20))-SUM($P809:AO809)</f>
        <v>#VALUE!</v>
      </c>
      <c r="AQ809" s="446" t="e">
        <f>IF(OR($B809="",MIN(AQ$38,$D$19)&lt;MAX($P$708*($B809+IF($R$17="Distrato",$I$38-1,0)),IF(AND($L$711=0,$P$708=0),"",$L$711-1),IF($R$17="Distrato",$E809,0))),0,YEARFRAC(MAX($P$708*($B809+IF($R$17="Distrato",$I$38-1,0)),IF(AND($L$711=0,$P$708=0),"",$L$711-1),IF($R$17="Distrato",$E809,0)),MIN(AQ$38,$D$19),$P$20))-SUM($P809:AP809)</f>
        <v>#VALUE!</v>
      </c>
      <c r="AR809" s="446" t="e">
        <f>IF(OR($B809="",MIN(AR$38,$D$19)&lt;MAX($P$708*($B809+IF($R$17="Distrato",$I$38-1,0)),IF(AND($L$711=0,$P$708=0),"",$L$711-1),IF($R$17="Distrato",$E809,0))),0,YEARFRAC(MAX($P$708*($B809+IF($R$17="Distrato",$I$38-1,0)),IF(AND($L$711=0,$P$708=0),"",$L$711-1),IF($R$17="Distrato",$E809,0)),MIN(AR$38,$D$19),$P$20))-SUM($P809:AQ809)</f>
        <v>#VALUE!</v>
      </c>
      <c r="AS809" s="446" t="e">
        <f>IF(OR($B809="",MIN(AS$38,$D$19)&lt;MAX($P$708*($B809+IF($R$17="Distrato",$I$38-1,0)),IF(AND($L$711=0,$P$708=0),"",$L$711-1),IF($R$17="Distrato",$E809,0))),0,YEARFRAC(MAX($P$708*($B809+IF($R$17="Distrato",$I$38-1,0)),IF(AND($L$711=0,$P$708=0),"",$L$711-1),IF($R$17="Distrato",$E809,0)),MIN(AS$38,$D$19),$P$20))-SUM($P809:AR809)</f>
        <v>#VALUE!</v>
      </c>
      <c r="AT809" s="446" t="e">
        <f>IF(OR($B809="",MIN(AT$38,$D$19)&lt;MAX($P$708*($B809+IF($R$17="Distrato",$I$38-1,0)),IF(AND($L$711=0,$P$708=0),"",$L$711-1),IF($R$17="Distrato",$E809,0))),0,YEARFRAC(MAX($P$708*($B809+IF($R$17="Distrato",$I$38-1,0)),IF(AND($L$711=0,$P$708=0),"",$L$711-1),IF($R$17="Distrato",$E809,0)),MIN(AT$38,$D$19),$P$20))-SUM($P809:AS809)</f>
        <v>#VALUE!</v>
      </c>
      <c r="AU809" s="446" t="e">
        <f>IF(OR($B809="",MIN(AU$38,$D$19)&lt;MAX($P$708*($B809+IF($R$17="Distrato",$I$38-1,0)),IF(AND($L$711=0,$P$708=0),"",$L$711-1),IF($R$17="Distrato",$E809,0))),0,YEARFRAC(MAX($P$708*($B809+IF($R$17="Distrato",$I$38-1,0)),IF(AND($L$711=0,$P$708=0),"",$L$711-1),IF($R$17="Distrato",$E809,0)),MIN(AU$38,$D$19),$P$20))-SUM($P809:AT809)</f>
        <v>#VALUE!</v>
      </c>
      <c r="AV809" s="446" t="e">
        <f>IF(OR($B809="",MIN(AV$38,$D$19)&lt;MAX($P$708*($B809+IF($R$17="Distrato",$I$38-1,0)),IF(AND($L$711=0,$P$708=0),"",$L$711-1),IF($R$17="Distrato",$E809,0))),0,YEARFRAC(MAX($P$708*($B809+IF($R$17="Distrato",$I$38-1,0)),IF(AND($L$711=0,$P$708=0),"",$L$711-1),IF($R$17="Distrato",$E809,0)),MIN(AV$38,$D$19),$P$20))-SUM($P809:AU809)</f>
        <v>#VALUE!</v>
      </c>
      <c r="AW809" s="446" t="e">
        <f>IF(OR($B809="",MIN(AW$38,$D$19)&lt;MAX($P$708*($B809+IF($R$17="Distrato",$I$38-1,0)),IF(AND($L$711=0,$P$708=0),"",$L$711-1),IF($R$17="Distrato",$E809,0))),0,YEARFRAC(MAX($P$708*($B809+IF($R$17="Distrato",$I$38-1,0)),IF(AND($L$711=0,$P$708=0),"",$L$711-1),IF($R$17="Distrato",$E809,0)),MIN(AW$38,$D$19),$P$20))-SUM($P809:AV809)</f>
        <v>#VALUE!</v>
      </c>
      <c r="AX809" s="446" t="e">
        <f>IF(OR($B809="",MIN(AX$38,$D$19)&lt;MAX($P$708*($B809+IF($R$17="Distrato",$I$38-1,0)),IF(AND($L$711=0,$P$708=0),"",$L$711-1),IF($R$17="Distrato",$E809,0))),0,YEARFRAC(MAX($P$708*($B809+IF($R$17="Distrato",$I$38-1,0)),IF(AND($L$711=0,$P$708=0),"",$L$711-1),IF($R$17="Distrato",$E809,0)),MIN(AX$38,$D$19),$P$20))-SUM($P809:AW809)</f>
        <v>#VALUE!</v>
      </c>
      <c r="AY809" s="446" t="e">
        <f>IF(OR($B809="",MIN(AY$38,$D$19)&lt;MAX($P$708*($B809+IF($R$17="Distrato",$I$38-1,0)),IF(AND($L$711=0,$P$708=0),"",$L$711-1),IF($R$17="Distrato",$E809,0))),0,YEARFRAC(MAX($P$708*($B809+IF($R$17="Distrato",$I$38-1,0)),IF(AND($L$711=0,$P$708=0),"",$L$711-1),IF($R$17="Distrato",$E809,0)),MIN(AY$38,$D$19),$P$20))-SUM($P809:AX809)</f>
        <v>#VALUE!</v>
      </c>
      <c r="AZ809" s="446" t="e">
        <f>IF(OR($B809="",MIN(AZ$38,$D$19)&lt;MAX($P$708*($B809+IF($R$17="Distrato",$I$38-1,0)),IF(AND($L$711=0,$P$708=0),"",$L$711-1),IF($R$17="Distrato",$E809,0))),0,YEARFRAC(MAX($P$708*($B809+IF($R$17="Distrato",$I$38-1,0)),IF(AND($L$711=0,$P$708=0),"",$L$711-1),IF($R$17="Distrato",$E809,0)),MIN(AZ$38,$D$19),$P$20))-SUM($P809:AY809)</f>
        <v>#VALUE!</v>
      </c>
      <c r="BA809" s="446" t="e">
        <f>IF(OR($B809="",MIN(BA$38,$D$19)&lt;MAX($P$708*($B809+IF($R$17="Distrato",$I$38-1,0)),IF(AND($L$711=0,$P$708=0),"",$L$711-1),IF($R$17="Distrato",$E809,0))),0,YEARFRAC(MAX($P$708*($B809+IF($R$17="Distrato",$I$38-1,0)),IF(AND($L$711=0,$P$708=0),"",$L$711-1),IF($R$17="Distrato",$E809,0)),MIN(BA$38,$D$19),$P$20))-SUM($P809:AZ809)</f>
        <v>#VALUE!</v>
      </c>
      <c r="BB809" s="447"/>
    </row>
    <row r="810" spans="1:54" s="446" customFormat="1" ht="11.25" hidden="1" customHeight="1" x14ac:dyDescent="0.2">
      <c r="A810" s="235"/>
      <c r="B810" s="236"/>
      <c r="C810" s="29" t="str">
        <f>IF(B810="","",IF($L$709=$BL$25,VLOOKUP(DATE(YEAR($D$19),MONTH($D$19)-1,1),ÍNDICES!$A:$DE,HLOOKUP($BL$25,ÍNDICES!$B$3:$T$4,2)+11)-VLOOKUP(B810,ÍNDICES!$A:$DE,HLOOKUP($BL$25,ÍNDICES!$B$3:$T$4,2)+11)+1%,IF(C$712=$W$26,$J$35,IF(ISERROR(IF(B810&gt;$D$19,1,VLOOKUP(DATE(YEAR(B810),MONTH(B810)+IF($C$709=$S$23,1,0),1),ÍNDICES!$A:$DE,$Z$709+1))),"",IF(B810&gt;$D$19,1,VLOOKUP(DATE(YEAR(B810),MONTH(B810)+IF($C$709=$S$23,1,0),1),ÍNDICES!$A:$DE,$Z$709+1))))))</f>
        <v/>
      </c>
      <c r="D810" s="155"/>
      <c r="E810" s="88"/>
      <c r="F810" s="88"/>
      <c r="G810" s="88"/>
      <c r="H810" s="118"/>
      <c r="I810" s="182">
        <f t="shared" si="122"/>
        <v>0</v>
      </c>
      <c r="J810" s="20">
        <f t="shared" ca="1" si="123"/>
        <v>0</v>
      </c>
      <c r="K810" s="5">
        <f t="shared" ca="1" si="124"/>
        <v>0</v>
      </c>
      <c r="L810" s="61">
        <f t="shared" ca="1" si="125"/>
        <v>0</v>
      </c>
      <c r="M810" s="64">
        <f t="shared" si="126"/>
        <v>0</v>
      </c>
      <c r="N810" s="151"/>
      <c r="O810" s="5">
        <f t="shared" ca="1" si="127"/>
        <v>0</v>
      </c>
      <c r="P810" s="446" t="e">
        <f t="shared" si="128"/>
        <v>#VALUE!</v>
      </c>
      <c r="Q810" s="446" t="e">
        <f>IF(OR($B810="",MIN(Q$38,$D$19)&lt;MAX($P$708*($B810+IF($R$17="Distrato",$I$38-1,0)),IF(AND($L$711=0,$P$708=0),"",$L$711-1),IF($R$17="Distrato",$E810,0))),0,YEARFRAC(MAX($P$708*($B810+IF($R$17="Distrato",$I$38-1,0)),IF(AND($L$711=0,$P$708=0),"",$L$711-1),IF($R$17="Distrato",$E810,0)),MIN(Q$38,$D$19),$P$20))-SUM($P810:P810)</f>
        <v>#VALUE!</v>
      </c>
      <c r="R810" s="446" t="e">
        <f>IF(OR($B810="",MIN(R$38,$D$19)&lt;MAX($P$708*($B810+IF($R$17="Distrato",$I$38-1,0)),IF(AND($L$711=0,$P$708=0),"",$L$711-1),IF($R$17="Distrato",$E810,0))),0,YEARFRAC(MAX($P$708*($B810+IF($R$17="Distrato",$I$38-1,0)),IF(AND($L$711=0,$P$708=0),"",$L$711-1),IF($R$17="Distrato",$E810,0)),MIN(R$38,$D$19),$P$20))-SUM($P810:Q810)</f>
        <v>#VALUE!</v>
      </c>
      <c r="S810" s="446" t="e">
        <f>IF(OR($B810="",MIN(S$38,$D$19)&lt;MAX($P$708*($B810+IF($R$17="Distrato",$I$38-1,0)),IF(AND($L$711=0,$P$708=0),"",$L$711-1),IF($R$17="Distrato",$E810,0))),0,YEARFRAC(MAX($P$708*($B810+IF($R$17="Distrato",$I$38-1,0)),IF(AND($L$711=0,$P$708=0),"",$L$711-1),IF($R$17="Distrato",$E810,0)),MIN(S$38,$D$19),$P$20))-SUM($P810:R810)</f>
        <v>#VALUE!</v>
      </c>
      <c r="T810" s="446" t="e">
        <f>IF(OR($B810="",MIN(T$38,$D$19)&lt;MAX($P$708*($B810+IF($R$17="Distrato",$I$38-1,0)),IF(AND($L$711=0,$P$708=0),"",$L$711-1),IF($R$17="Distrato",$E810,0))),0,YEARFRAC(MAX($P$708*($B810+IF($R$17="Distrato",$I$38-1,0)),IF(AND($L$711=0,$P$708=0),"",$L$711-1),IF($R$17="Distrato",$E810,0)),MIN(T$38,$D$19),$P$20))-SUM($P810:S810)</f>
        <v>#VALUE!</v>
      </c>
      <c r="U810" s="446" t="e">
        <f>IF(OR($B810="",MIN(U$38,$D$19)&lt;MAX($P$708*($B810+IF($R$17="Distrato",$I$38-1,0)),IF(AND($L$711=0,$P$708=0),"",$L$711-1),IF($R$17="Distrato",$E810,0))),0,YEARFRAC(MAX($P$708*($B810+IF($R$17="Distrato",$I$38-1,0)),IF(AND($L$711=0,$P$708=0),"",$L$711-1),IF($R$17="Distrato",$E810,0)),MIN(U$38,$D$19),$P$20))-SUM($P810:T810)</f>
        <v>#VALUE!</v>
      </c>
      <c r="V810" s="446" t="e">
        <f>IF(OR($B810="",MIN(V$38,$D$19)&lt;MAX($P$708*($B810+IF($R$17="Distrato",$I$38-1,0)),IF(AND($L$711=0,$P$708=0),"",$L$711-1),IF($R$17="Distrato",$E810,0))),0,YEARFRAC(MAX($P$708*($B810+IF($R$17="Distrato",$I$38-1,0)),IF(AND($L$711=0,$P$708=0),"",$L$711-1),IF($R$17="Distrato",$E810,0)),MIN(V$38,$D$19),$P$20))-SUM($P810:U810)</f>
        <v>#VALUE!</v>
      </c>
      <c r="W810" s="446" t="e">
        <f>IF(OR($B810="",MIN(W$38,$D$19)&lt;MAX($P$708*($B810+IF($R$17="Distrato",$I$38-1,0)),IF(AND($L$711=0,$P$708=0),"",$L$711-1),IF($R$17="Distrato",$E810,0))),0,YEARFRAC(MAX($P$708*($B810+IF($R$17="Distrato",$I$38-1,0)),IF(AND($L$711=0,$P$708=0),"",$L$711-1),IF($R$17="Distrato",$E810,0)),MIN(W$38,$D$19),$P$20))-SUM($P810:V810)</f>
        <v>#VALUE!</v>
      </c>
      <c r="X810" s="446" t="e">
        <f>IF(OR($B810="",MIN(X$38,$D$19)&lt;MAX($P$708*($B810+IF($R$17="Distrato",$I$38-1,0)),IF(AND($L$711=0,$P$708=0),"",$L$711-1),IF($R$17="Distrato",$E810,0))),0,YEARFRAC(MAX($P$708*($B810+IF($R$17="Distrato",$I$38-1,0)),IF(AND($L$711=0,$P$708=0),"",$L$711-1),IF($R$17="Distrato",$E810,0)),MIN(X$38,$D$19),$P$20))-SUM($P810:W810)</f>
        <v>#VALUE!</v>
      </c>
      <c r="Y810" s="446" t="e">
        <f>IF(OR($B810="",MIN(Y$38,$D$19)&lt;MAX($P$708*($B810+IF($R$17="Distrato",$I$38-1,0)),IF(AND($L$711=0,$P$708=0),"",$L$711-1),IF($R$17="Distrato",$E810,0))),0,YEARFRAC(MAX($P$708*($B810+IF($R$17="Distrato",$I$38-1,0)),IF(AND($L$711=0,$P$708=0),"",$L$711-1),IF($R$17="Distrato",$E810,0)),MIN(Y$38,$D$19),$P$20))-SUM($P810:X810)</f>
        <v>#VALUE!</v>
      </c>
      <c r="Z810" s="446" t="e">
        <f>IF(OR($B810="",MIN(Z$38,$D$19)&lt;MAX($P$708*($B810+IF($R$17="Distrato",$I$38-1,0)),IF(AND($L$711=0,$P$708=0),"",$L$711-1),IF($R$17="Distrato",$E810,0))),0,YEARFRAC(MAX($P$708*($B810+IF($R$17="Distrato",$I$38-1,0)),IF(AND($L$711=0,$P$708=0),"",$L$711-1),IF($R$17="Distrato",$E810,0)),MIN(Z$38,$D$19),$P$20))-SUM($P810:Y810)</f>
        <v>#VALUE!</v>
      </c>
      <c r="AA810" s="446" t="e">
        <f>IF(OR($B810="",MIN(AA$38,$D$19)&lt;MAX($P$708*($B810+IF($R$17="Distrato",$I$38-1,0)),IF(AND($L$711=0,$P$708=0),"",$L$711-1),IF($R$17="Distrato",$E810,0))),0,YEARFRAC(MAX($P$708*($B810+IF($R$17="Distrato",$I$38-1,0)),IF(AND($L$711=0,$P$708=0),"",$L$711-1),IF($R$17="Distrato",$E810,0)),MIN(AA$38,$D$19),$P$20))-SUM($P810:Z810)</f>
        <v>#VALUE!</v>
      </c>
      <c r="AB810" s="446" t="e">
        <f>IF(OR($B810="",MIN(AB$38,$D$19)&lt;MAX($P$708*($B810+IF($R$17="Distrato",$I$38-1,0)),IF(AND($L$711=0,$P$708=0),"",$L$711-1),IF($R$17="Distrato",$E810,0))),0,YEARFRAC(MAX($P$708*($B810+IF($R$17="Distrato",$I$38-1,0)),IF(AND($L$711=0,$P$708=0),"",$L$711-1),IF($R$17="Distrato",$E810,0)),MIN(AB$38,$D$19),$P$20))-SUM($P810:AA810)</f>
        <v>#VALUE!</v>
      </c>
      <c r="AC810" s="446" t="e">
        <f>IF(OR($B810="",MIN(AC$38,$D$19)&lt;MAX($P$708*($B810+IF($R$17="Distrato",$I$38-1,0)),IF(AND($L$711=0,$P$708=0),"",$L$711-1),IF($R$17="Distrato",$E810,0))),0,YEARFRAC(MAX($P$708*($B810+IF($R$17="Distrato",$I$38-1,0)),IF(AND($L$711=0,$P$708=0),"",$L$711-1),IF($R$17="Distrato",$E810,0)),MIN(AC$38,$D$19),$P$20))-SUM($P810:AB810)</f>
        <v>#VALUE!</v>
      </c>
      <c r="AD810" s="446" t="e">
        <f>IF(OR($B810="",MIN(AD$38,$D$19)&lt;MAX($P$708*($B810+IF($R$17="Distrato",$I$38-1,0)),IF(AND($L$711=0,$P$708=0),"",$L$711-1),IF($R$17="Distrato",$E810,0))),0,YEARFRAC(MAX($P$708*($B810+IF($R$17="Distrato",$I$38-1,0)),IF(AND($L$711=0,$P$708=0),"",$L$711-1),IF($R$17="Distrato",$E810,0)),MIN(AD$38,$D$19),$P$20))-SUM($P810:AC810)</f>
        <v>#VALUE!</v>
      </c>
      <c r="AE810" s="446" t="e">
        <f>IF(OR($B810="",MIN(AE$38,$D$19)&lt;MAX($P$708*($B810+IF($R$17="Distrato",$I$38-1,0)),IF(AND($L$711=0,$P$708=0),"",$L$711-1),IF($R$17="Distrato",$E810,0))),0,YEARFRAC(MAX($P$708*($B810+IF($R$17="Distrato",$I$38-1,0)),IF(AND($L$711=0,$P$708=0),"",$L$711-1),IF($R$17="Distrato",$E810,0)),MIN(AE$38,$D$19),$P$20))-SUM($P810:AD810)</f>
        <v>#VALUE!</v>
      </c>
      <c r="AF810" s="446" t="e">
        <f>IF(OR($B810="",MIN(AF$38,$D$19)&lt;MAX($P$708*($B810+IF($R$17="Distrato",$I$38-1,0)),IF(AND($L$711=0,$P$708=0),"",$L$711-1),IF($R$17="Distrato",$E810,0))),0,YEARFRAC(MAX($P$708*($B810+IF($R$17="Distrato",$I$38-1,0)),IF(AND($L$711=0,$P$708=0),"",$L$711-1),IF($R$17="Distrato",$E810,0)),MIN(AF$38,$D$19),$P$20))-SUM($P810:AE810)</f>
        <v>#VALUE!</v>
      </c>
      <c r="AG810" s="446" t="e">
        <f>IF(OR($B810="",MIN(AG$38,$D$19)&lt;MAX($P$708*($B810+IF($R$17="Distrato",$I$38-1,0)),IF(AND($L$711=0,$P$708=0),"",$L$711-1),IF($R$17="Distrato",$E810,0))),0,YEARFRAC(MAX($P$708*($B810+IF($R$17="Distrato",$I$38-1,0)),IF(AND($L$711=0,$P$708=0),"",$L$711-1),IF($R$17="Distrato",$E810,0)),MIN(AG$38,$D$19),$P$20))-SUM($P810:AF810)</f>
        <v>#VALUE!</v>
      </c>
      <c r="AH810" s="446" t="e">
        <f>IF(OR($B810="",MIN(AH$38,$D$19)&lt;MAX($P$708*($B810+IF($R$17="Distrato",$I$38-1,0)),IF(AND($L$711=0,$P$708=0),"",$L$711-1),IF($R$17="Distrato",$E810,0))),0,YEARFRAC(MAX($P$708*($B810+IF($R$17="Distrato",$I$38-1,0)),IF(AND($L$711=0,$P$708=0),"",$L$711-1),IF($R$17="Distrato",$E810,0)),MIN(AH$38,$D$19),$P$20))-SUM($P810:AG810)</f>
        <v>#VALUE!</v>
      </c>
      <c r="AI810" s="446" t="e">
        <f>IF(OR($B810="",MIN(AI$38,$D$19)&lt;MAX($P$708*($B810+IF($R$17="Distrato",$I$38-1,0)),IF(AND($L$711=0,$P$708=0),"",$L$711-1),IF($R$17="Distrato",$E810,0))),0,YEARFRAC(MAX($P$708*($B810+IF($R$17="Distrato",$I$38-1,0)),IF(AND($L$711=0,$P$708=0),"",$L$711-1),IF($R$17="Distrato",$E810,0)),MIN(AI$38,$D$19),$P$20))-SUM($P810:AH810)</f>
        <v>#VALUE!</v>
      </c>
      <c r="AJ810" s="446" t="e">
        <f>IF(OR($B810="",MIN(AJ$38,$D$19)&lt;MAX($P$708*($B810+IF($R$17="Distrato",$I$38-1,0)),IF(AND($L$711=0,$P$708=0),"",$L$711-1),IF($R$17="Distrato",$E810,0))),0,YEARFRAC(MAX($P$708*($B810+IF($R$17="Distrato",$I$38-1,0)),IF(AND($L$711=0,$P$708=0),"",$L$711-1),IF($R$17="Distrato",$E810,0)),MIN(AJ$38,$D$19),$P$20))-SUM($P810:AI810)</f>
        <v>#VALUE!</v>
      </c>
      <c r="AK810" s="446" t="e">
        <f>IF(OR($B810="",MIN(AK$38,$D$19)&lt;MAX($P$708*($B810+IF($R$17="Distrato",$I$38-1,0)),IF(AND($L$711=0,$P$708=0),"",$L$711-1),IF($R$17="Distrato",$E810,0))),0,YEARFRAC(MAX($P$708*($B810+IF($R$17="Distrato",$I$38-1,0)),IF(AND($L$711=0,$P$708=0),"",$L$711-1),IF($R$17="Distrato",$E810,0)),MIN(AK$38,$D$19),$P$20))-SUM($P810:AJ810)</f>
        <v>#VALUE!</v>
      </c>
      <c r="AL810" s="446" t="e">
        <f>IF(OR($B810="",MIN(AL$38,$D$19)&lt;MAX($P$708*($B810+IF($R$17="Distrato",$I$38-1,0)),IF(AND($L$711=0,$P$708=0),"",$L$711-1),IF($R$17="Distrato",$E810,0))),0,YEARFRAC(MAX($P$708*($B810+IF($R$17="Distrato",$I$38-1,0)),IF(AND($L$711=0,$P$708=0),"",$L$711-1),IF($R$17="Distrato",$E810,0)),MIN(AL$38,$D$19),$P$20))-SUM($P810:AK810)</f>
        <v>#VALUE!</v>
      </c>
      <c r="AM810" s="446" t="e">
        <f>IF(OR($B810="",MIN(AM$38,$D$19)&lt;MAX($P$708*($B810+IF($R$17="Distrato",$I$38-1,0)),IF(AND($L$711=0,$P$708=0),"",$L$711-1),IF($R$17="Distrato",$E810,0))),0,YEARFRAC(MAX($P$708*($B810+IF($R$17="Distrato",$I$38-1,0)),IF(AND($L$711=0,$P$708=0),"",$L$711-1),IF($R$17="Distrato",$E810,0)),MIN(AM$38,$D$19),$P$20))-SUM($P810:AL810)</f>
        <v>#VALUE!</v>
      </c>
      <c r="AN810" s="446" t="e">
        <f>IF(OR($B810="",MIN(AN$38,$D$19)&lt;MAX($P$708*($B810+IF($R$17="Distrato",$I$38-1,0)),IF(AND($L$711=0,$P$708=0),"",$L$711-1),IF($R$17="Distrato",$E810,0))),0,YEARFRAC(MAX($P$708*($B810+IF($R$17="Distrato",$I$38-1,0)),IF(AND($L$711=0,$P$708=0),"",$L$711-1),IF($R$17="Distrato",$E810,0)),MIN(AN$38,$D$19),$P$20))-SUM($P810:AM810)</f>
        <v>#VALUE!</v>
      </c>
      <c r="AO810" s="446" t="e">
        <f>IF(OR($B810="",MIN(AO$38,$D$19)&lt;MAX($P$708*($B810+IF($R$17="Distrato",$I$38-1,0)),IF(AND($L$711=0,$P$708=0),"",$L$711-1),IF($R$17="Distrato",$E810,0))),0,YEARFRAC(MAX($P$708*($B810+IF($R$17="Distrato",$I$38-1,0)),IF(AND($L$711=0,$P$708=0),"",$L$711-1),IF($R$17="Distrato",$E810,0)),MIN(AO$38,$D$19),$P$20))-SUM($P810:AN810)</f>
        <v>#VALUE!</v>
      </c>
      <c r="AP810" s="446" t="e">
        <f>IF(OR($B810="",MIN(AP$38,$D$19)&lt;MAX($P$708*($B810+IF($R$17="Distrato",$I$38-1,0)),IF(AND($L$711=0,$P$708=0),"",$L$711-1),IF($R$17="Distrato",$E810,0))),0,YEARFRAC(MAX($P$708*($B810+IF($R$17="Distrato",$I$38-1,0)),IF(AND($L$711=0,$P$708=0),"",$L$711-1),IF($R$17="Distrato",$E810,0)),MIN(AP$38,$D$19),$P$20))-SUM($P810:AO810)</f>
        <v>#VALUE!</v>
      </c>
      <c r="AQ810" s="446" t="e">
        <f>IF(OR($B810="",MIN(AQ$38,$D$19)&lt;MAX($P$708*($B810+IF($R$17="Distrato",$I$38-1,0)),IF(AND($L$711=0,$P$708=0),"",$L$711-1),IF($R$17="Distrato",$E810,0))),0,YEARFRAC(MAX($P$708*($B810+IF($R$17="Distrato",$I$38-1,0)),IF(AND($L$711=0,$P$708=0),"",$L$711-1),IF($R$17="Distrato",$E810,0)),MIN(AQ$38,$D$19),$P$20))-SUM($P810:AP810)</f>
        <v>#VALUE!</v>
      </c>
      <c r="AR810" s="446" t="e">
        <f>IF(OR($B810="",MIN(AR$38,$D$19)&lt;MAX($P$708*($B810+IF($R$17="Distrato",$I$38-1,0)),IF(AND($L$711=0,$P$708=0),"",$L$711-1),IF($R$17="Distrato",$E810,0))),0,YEARFRAC(MAX($P$708*($B810+IF($R$17="Distrato",$I$38-1,0)),IF(AND($L$711=0,$P$708=0),"",$L$711-1),IF($R$17="Distrato",$E810,0)),MIN(AR$38,$D$19),$P$20))-SUM($P810:AQ810)</f>
        <v>#VALUE!</v>
      </c>
      <c r="AS810" s="446" t="e">
        <f>IF(OR($B810="",MIN(AS$38,$D$19)&lt;MAX($P$708*($B810+IF($R$17="Distrato",$I$38-1,0)),IF(AND($L$711=0,$P$708=0),"",$L$711-1),IF($R$17="Distrato",$E810,0))),0,YEARFRAC(MAX($P$708*($B810+IF($R$17="Distrato",$I$38-1,0)),IF(AND($L$711=0,$P$708=0),"",$L$711-1),IF($R$17="Distrato",$E810,0)),MIN(AS$38,$D$19),$P$20))-SUM($P810:AR810)</f>
        <v>#VALUE!</v>
      </c>
      <c r="AT810" s="446" t="e">
        <f>IF(OR($B810="",MIN(AT$38,$D$19)&lt;MAX($P$708*($B810+IF($R$17="Distrato",$I$38-1,0)),IF(AND($L$711=0,$P$708=0),"",$L$711-1),IF($R$17="Distrato",$E810,0))),0,YEARFRAC(MAX($P$708*($B810+IF($R$17="Distrato",$I$38-1,0)),IF(AND($L$711=0,$P$708=0),"",$L$711-1),IF($R$17="Distrato",$E810,0)),MIN(AT$38,$D$19),$P$20))-SUM($P810:AS810)</f>
        <v>#VALUE!</v>
      </c>
      <c r="AU810" s="446" t="e">
        <f>IF(OR($B810="",MIN(AU$38,$D$19)&lt;MAX($P$708*($B810+IF($R$17="Distrato",$I$38-1,0)),IF(AND($L$711=0,$P$708=0),"",$L$711-1),IF($R$17="Distrato",$E810,0))),0,YEARFRAC(MAX($P$708*($B810+IF($R$17="Distrato",$I$38-1,0)),IF(AND($L$711=0,$P$708=0),"",$L$711-1),IF($R$17="Distrato",$E810,0)),MIN(AU$38,$D$19),$P$20))-SUM($P810:AT810)</f>
        <v>#VALUE!</v>
      </c>
      <c r="AV810" s="446" t="e">
        <f>IF(OR($B810="",MIN(AV$38,$D$19)&lt;MAX($P$708*($B810+IF($R$17="Distrato",$I$38-1,0)),IF(AND($L$711=0,$P$708=0),"",$L$711-1),IF($R$17="Distrato",$E810,0))),0,YEARFRAC(MAX($P$708*($B810+IF($R$17="Distrato",$I$38-1,0)),IF(AND($L$711=0,$P$708=0),"",$L$711-1),IF($R$17="Distrato",$E810,0)),MIN(AV$38,$D$19),$P$20))-SUM($P810:AU810)</f>
        <v>#VALUE!</v>
      </c>
      <c r="AW810" s="446" t="e">
        <f>IF(OR($B810="",MIN(AW$38,$D$19)&lt;MAX($P$708*($B810+IF($R$17="Distrato",$I$38-1,0)),IF(AND($L$711=0,$P$708=0),"",$L$711-1),IF($R$17="Distrato",$E810,0))),0,YEARFRAC(MAX($P$708*($B810+IF($R$17="Distrato",$I$38-1,0)),IF(AND($L$711=0,$P$708=0),"",$L$711-1),IF($R$17="Distrato",$E810,0)),MIN(AW$38,$D$19),$P$20))-SUM($P810:AV810)</f>
        <v>#VALUE!</v>
      </c>
      <c r="AX810" s="446" t="e">
        <f>IF(OR($B810="",MIN(AX$38,$D$19)&lt;MAX($P$708*($B810+IF($R$17="Distrato",$I$38-1,0)),IF(AND($L$711=0,$P$708=0),"",$L$711-1),IF($R$17="Distrato",$E810,0))),0,YEARFRAC(MAX($P$708*($B810+IF($R$17="Distrato",$I$38-1,0)),IF(AND($L$711=0,$P$708=0),"",$L$711-1),IF($R$17="Distrato",$E810,0)),MIN(AX$38,$D$19),$P$20))-SUM($P810:AW810)</f>
        <v>#VALUE!</v>
      </c>
      <c r="AY810" s="446" t="e">
        <f>IF(OR($B810="",MIN(AY$38,$D$19)&lt;MAX($P$708*($B810+IF($R$17="Distrato",$I$38-1,0)),IF(AND($L$711=0,$P$708=0),"",$L$711-1),IF($R$17="Distrato",$E810,0))),0,YEARFRAC(MAX($P$708*($B810+IF($R$17="Distrato",$I$38-1,0)),IF(AND($L$711=0,$P$708=0),"",$L$711-1),IF($R$17="Distrato",$E810,0)),MIN(AY$38,$D$19),$P$20))-SUM($P810:AX810)</f>
        <v>#VALUE!</v>
      </c>
      <c r="AZ810" s="446" t="e">
        <f>IF(OR($B810="",MIN(AZ$38,$D$19)&lt;MAX($P$708*($B810+IF($R$17="Distrato",$I$38-1,0)),IF(AND($L$711=0,$P$708=0),"",$L$711-1),IF($R$17="Distrato",$E810,0))),0,YEARFRAC(MAX($P$708*($B810+IF($R$17="Distrato",$I$38-1,0)),IF(AND($L$711=0,$P$708=0),"",$L$711-1),IF($R$17="Distrato",$E810,0)),MIN(AZ$38,$D$19),$P$20))-SUM($P810:AY810)</f>
        <v>#VALUE!</v>
      </c>
      <c r="BA810" s="446" t="e">
        <f>IF(OR($B810="",MIN(BA$38,$D$19)&lt;MAX($P$708*($B810+IF($R$17="Distrato",$I$38-1,0)),IF(AND($L$711=0,$P$708=0),"",$L$711-1),IF($R$17="Distrato",$E810,0))),0,YEARFRAC(MAX($P$708*($B810+IF($R$17="Distrato",$I$38-1,0)),IF(AND($L$711=0,$P$708=0),"",$L$711-1),IF($R$17="Distrato",$E810,0)),MIN(BA$38,$D$19),$P$20))-SUM($P810:AZ810)</f>
        <v>#VALUE!</v>
      </c>
      <c r="BB810" s="447"/>
    </row>
    <row r="811" spans="1:54" s="446" customFormat="1" ht="11.25" hidden="1" customHeight="1" x14ac:dyDescent="0.2">
      <c r="A811" s="235"/>
      <c r="B811" s="236"/>
      <c r="C811" s="29" t="str">
        <f>IF(B811="","",IF($L$709=$BL$25,VLOOKUP(DATE(YEAR($D$19),MONTH($D$19)-1,1),ÍNDICES!$A:$DE,HLOOKUP($BL$25,ÍNDICES!$B$3:$T$4,2)+11)-VLOOKUP(B811,ÍNDICES!$A:$DE,HLOOKUP($BL$25,ÍNDICES!$B$3:$T$4,2)+11)+1%,IF(C$712=$W$26,$J$35,IF(ISERROR(IF(B811&gt;$D$19,1,VLOOKUP(DATE(YEAR(B811),MONTH(B811)+IF($C$709=$S$23,1,0),1),ÍNDICES!$A:$DE,$Z$709+1))),"",IF(B811&gt;$D$19,1,VLOOKUP(DATE(YEAR(B811),MONTH(B811)+IF($C$709=$S$23,1,0),1),ÍNDICES!$A:$DE,$Z$709+1))))))</f>
        <v/>
      </c>
      <c r="D811" s="155"/>
      <c r="E811" s="88"/>
      <c r="F811" s="88"/>
      <c r="G811" s="88"/>
      <c r="H811" s="118"/>
      <c r="I811" s="182">
        <f t="shared" si="122"/>
        <v>0</v>
      </c>
      <c r="J811" s="20">
        <f t="shared" ca="1" si="123"/>
        <v>0</v>
      </c>
      <c r="K811" s="5">
        <f t="shared" ca="1" si="124"/>
        <v>0</v>
      </c>
      <c r="L811" s="61">
        <f t="shared" ca="1" si="125"/>
        <v>0</v>
      </c>
      <c r="M811" s="64">
        <f t="shared" si="126"/>
        <v>0</v>
      </c>
      <c r="N811" s="151"/>
      <c r="O811" s="5">
        <f t="shared" ca="1" si="127"/>
        <v>0</v>
      </c>
      <c r="P811" s="446" t="e">
        <f t="shared" si="128"/>
        <v>#VALUE!</v>
      </c>
      <c r="Q811" s="446" t="e">
        <f>IF(OR($B811="",MIN(Q$38,$D$19)&lt;MAX($P$708*($B811+IF($R$17="Distrato",$I$38-1,0)),IF(AND($L$711=0,$P$708=0),"",$L$711-1),IF($R$17="Distrato",$E811,0))),0,YEARFRAC(MAX($P$708*($B811+IF($R$17="Distrato",$I$38-1,0)),IF(AND($L$711=0,$P$708=0),"",$L$711-1),IF($R$17="Distrato",$E811,0)),MIN(Q$38,$D$19),$P$20))-SUM($P811:P811)</f>
        <v>#VALUE!</v>
      </c>
      <c r="R811" s="446" t="e">
        <f>IF(OR($B811="",MIN(R$38,$D$19)&lt;MAX($P$708*($B811+IF($R$17="Distrato",$I$38-1,0)),IF(AND($L$711=0,$P$708=0),"",$L$711-1),IF($R$17="Distrato",$E811,0))),0,YEARFRAC(MAX($P$708*($B811+IF($R$17="Distrato",$I$38-1,0)),IF(AND($L$711=0,$P$708=0),"",$L$711-1),IF($R$17="Distrato",$E811,0)),MIN(R$38,$D$19),$P$20))-SUM($P811:Q811)</f>
        <v>#VALUE!</v>
      </c>
      <c r="S811" s="446" t="e">
        <f>IF(OR($B811="",MIN(S$38,$D$19)&lt;MAX($P$708*($B811+IF($R$17="Distrato",$I$38-1,0)),IF(AND($L$711=0,$P$708=0),"",$L$711-1),IF($R$17="Distrato",$E811,0))),0,YEARFRAC(MAX($P$708*($B811+IF($R$17="Distrato",$I$38-1,0)),IF(AND($L$711=0,$P$708=0),"",$L$711-1),IF($R$17="Distrato",$E811,0)),MIN(S$38,$D$19),$P$20))-SUM($P811:R811)</f>
        <v>#VALUE!</v>
      </c>
      <c r="T811" s="446" t="e">
        <f>IF(OR($B811="",MIN(T$38,$D$19)&lt;MAX($P$708*($B811+IF($R$17="Distrato",$I$38-1,0)),IF(AND($L$711=0,$P$708=0),"",$L$711-1),IF($R$17="Distrato",$E811,0))),0,YEARFRAC(MAX($P$708*($B811+IF($R$17="Distrato",$I$38-1,0)),IF(AND($L$711=0,$P$708=0),"",$L$711-1),IF($R$17="Distrato",$E811,0)),MIN(T$38,$D$19),$P$20))-SUM($P811:S811)</f>
        <v>#VALUE!</v>
      </c>
      <c r="U811" s="446" t="e">
        <f>IF(OR($B811="",MIN(U$38,$D$19)&lt;MAX($P$708*($B811+IF($R$17="Distrato",$I$38-1,0)),IF(AND($L$711=0,$P$708=0),"",$L$711-1),IF($R$17="Distrato",$E811,0))),0,YEARFRAC(MAX($P$708*($B811+IF($R$17="Distrato",$I$38-1,0)),IF(AND($L$711=0,$P$708=0),"",$L$711-1),IF($R$17="Distrato",$E811,0)),MIN(U$38,$D$19),$P$20))-SUM($P811:T811)</f>
        <v>#VALUE!</v>
      </c>
      <c r="V811" s="446" t="e">
        <f>IF(OR($B811="",MIN(V$38,$D$19)&lt;MAX($P$708*($B811+IF($R$17="Distrato",$I$38-1,0)),IF(AND($L$711=0,$P$708=0),"",$L$711-1),IF($R$17="Distrato",$E811,0))),0,YEARFRAC(MAX($P$708*($B811+IF($R$17="Distrato",$I$38-1,0)),IF(AND($L$711=0,$P$708=0),"",$L$711-1),IF($R$17="Distrato",$E811,0)),MIN(V$38,$D$19),$P$20))-SUM($P811:U811)</f>
        <v>#VALUE!</v>
      </c>
      <c r="W811" s="446" t="e">
        <f>IF(OR($B811="",MIN(W$38,$D$19)&lt;MAX($P$708*($B811+IF($R$17="Distrato",$I$38-1,0)),IF(AND($L$711=0,$P$708=0),"",$L$711-1),IF($R$17="Distrato",$E811,0))),0,YEARFRAC(MAX($P$708*($B811+IF($R$17="Distrato",$I$38-1,0)),IF(AND($L$711=0,$P$708=0),"",$L$711-1),IF($R$17="Distrato",$E811,0)),MIN(W$38,$D$19),$P$20))-SUM($P811:V811)</f>
        <v>#VALUE!</v>
      </c>
      <c r="X811" s="446" t="e">
        <f>IF(OR($B811="",MIN(X$38,$D$19)&lt;MAX($P$708*($B811+IF($R$17="Distrato",$I$38-1,0)),IF(AND($L$711=0,$P$708=0),"",$L$711-1),IF($R$17="Distrato",$E811,0))),0,YEARFRAC(MAX($P$708*($B811+IF($R$17="Distrato",$I$38-1,0)),IF(AND($L$711=0,$P$708=0),"",$L$711-1),IF($R$17="Distrato",$E811,0)),MIN(X$38,$D$19),$P$20))-SUM($P811:W811)</f>
        <v>#VALUE!</v>
      </c>
      <c r="Y811" s="446" t="e">
        <f>IF(OR($B811="",MIN(Y$38,$D$19)&lt;MAX($P$708*($B811+IF($R$17="Distrato",$I$38-1,0)),IF(AND($L$711=0,$P$708=0),"",$L$711-1),IF($R$17="Distrato",$E811,0))),0,YEARFRAC(MAX($P$708*($B811+IF($R$17="Distrato",$I$38-1,0)),IF(AND($L$711=0,$P$708=0),"",$L$711-1),IF($R$17="Distrato",$E811,0)),MIN(Y$38,$D$19),$P$20))-SUM($P811:X811)</f>
        <v>#VALUE!</v>
      </c>
      <c r="Z811" s="446" t="e">
        <f>IF(OR($B811="",MIN(Z$38,$D$19)&lt;MAX($P$708*($B811+IF($R$17="Distrato",$I$38-1,0)),IF(AND($L$711=0,$P$708=0),"",$L$711-1),IF($R$17="Distrato",$E811,0))),0,YEARFRAC(MAX($P$708*($B811+IF($R$17="Distrato",$I$38-1,0)),IF(AND($L$711=0,$P$708=0),"",$L$711-1),IF($R$17="Distrato",$E811,0)),MIN(Z$38,$D$19),$P$20))-SUM($P811:Y811)</f>
        <v>#VALUE!</v>
      </c>
      <c r="AA811" s="446" t="e">
        <f>IF(OR($B811="",MIN(AA$38,$D$19)&lt;MAX($P$708*($B811+IF($R$17="Distrato",$I$38-1,0)),IF(AND($L$711=0,$P$708=0),"",$L$711-1),IF($R$17="Distrato",$E811,0))),0,YEARFRAC(MAX($P$708*($B811+IF($R$17="Distrato",$I$38-1,0)),IF(AND($L$711=0,$P$708=0),"",$L$711-1),IF($R$17="Distrato",$E811,0)),MIN(AA$38,$D$19),$P$20))-SUM($P811:Z811)</f>
        <v>#VALUE!</v>
      </c>
      <c r="AB811" s="446" t="e">
        <f>IF(OR($B811="",MIN(AB$38,$D$19)&lt;MAX($P$708*($B811+IF($R$17="Distrato",$I$38-1,0)),IF(AND($L$711=0,$P$708=0),"",$L$711-1),IF($R$17="Distrato",$E811,0))),0,YEARFRAC(MAX($P$708*($B811+IF($R$17="Distrato",$I$38-1,0)),IF(AND($L$711=0,$P$708=0),"",$L$711-1),IF($R$17="Distrato",$E811,0)),MIN(AB$38,$D$19),$P$20))-SUM($P811:AA811)</f>
        <v>#VALUE!</v>
      </c>
      <c r="AC811" s="446" t="e">
        <f>IF(OR($B811="",MIN(AC$38,$D$19)&lt;MAX($P$708*($B811+IF($R$17="Distrato",$I$38-1,0)),IF(AND($L$711=0,$P$708=0),"",$L$711-1),IF($R$17="Distrato",$E811,0))),0,YEARFRAC(MAX($P$708*($B811+IF($R$17="Distrato",$I$38-1,0)),IF(AND($L$711=0,$P$708=0),"",$L$711-1),IF($R$17="Distrato",$E811,0)),MIN(AC$38,$D$19),$P$20))-SUM($P811:AB811)</f>
        <v>#VALUE!</v>
      </c>
      <c r="AD811" s="446" t="e">
        <f>IF(OR($B811="",MIN(AD$38,$D$19)&lt;MAX($P$708*($B811+IF($R$17="Distrato",$I$38-1,0)),IF(AND($L$711=0,$P$708=0),"",$L$711-1),IF($R$17="Distrato",$E811,0))),0,YEARFRAC(MAX($P$708*($B811+IF($R$17="Distrato",$I$38-1,0)),IF(AND($L$711=0,$P$708=0),"",$L$711-1),IF($R$17="Distrato",$E811,0)),MIN(AD$38,$D$19),$P$20))-SUM($P811:AC811)</f>
        <v>#VALUE!</v>
      </c>
      <c r="AE811" s="446" t="e">
        <f>IF(OR($B811="",MIN(AE$38,$D$19)&lt;MAX($P$708*($B811+IF($R$17="Distrato",$I$38-1,0)),IF(AND($L$711=0,$P$708=0),"",$L$711-1),IF($R$17="Distrato",$E811,0))),0,YEARFRAC(MAX($P$708*($B811+IF($R$17="Distrato",$I$38-1,0)),IF(AND($L$711=0,$P$708=0),"",$L$711-1),IF($R$17="Distrato",$E811,0)),MIN(AE$38,$D$19),$P$20))-SUM($P811:AD811)</f>
        <v>#VALUE!</v>
      </c>
      <c r="AF811" s="446" t="e">
        <f>IF(OR($B811="",MIN(AF$38,$D$19)&lt;MAX($P$708*($B811+IF($R$17="Distrato",$I$38-1,0)),IF(AND($L$711=0,$P$708=0),"",$L$711-1),IF($R$17="Distrato",$E811,0))),0,YEARFRAC(MAX($P$708*($B811+IF($R$17="Distrato",$I$38-1,0)),IF(AND($L$711=0,$P$708=0),"",$L$711-1),IF($R$17="Distrato",$E811,0)),MIN(AF$38,$D$19),$P$20))-SUM($P811:AE811)</f>
        <v>#VALUE!</v>
      </c>
      <c r="AG811" s="446" t="e">
        <f>IF(OR($B811="",MIN(AG$38,$D$19)&lt;MAX($P$708*($B811+IF($R$17="Distrato",$I$38-1,0)),IF(AND($L$711=0,$P$708=0),"",$L$711-1),IF($R$17="Distrato",$E811,0))),0,YEARFRAC(MAX($P$708*($B811+IF($R$17="Distrato",$I$38-1,0)),IF(AND($L$711=0,$P$708=0),"",$L$711-1),IF($R$17="Distrato",$E811,0)),MIN(AG$38,$D$19),$P$20))-SUM($P811:AF811)</f>
        <v>#VALUE!</v>
      </c>
      <c r="AH811" s="446" t="e">
        <f>IF(OR($B811="",MIN(AH$38,$D$19)&lt;MAX($P$708*($B811+IF($R$17="Distrato",$I$38-1,0)),IF(AND($L$711=0,$P$708=0),"",$L$711-1),IF($R$17="Distrato",$E811,0))),0,YEARFRAC(MAX($P$708*($B811+IF($R$17="Distrato",$I$38-1,0)),IF(AND($L$711=0,$P$708=0),"",$L$711-1),IF($R$17="Distrato",$E811,0)),MIN(AH$38,$D$19),$P$20))-SUM($P811:AG811)</f>
        <v>#VALUE!</v>
      </c>
      <c r="AI811" s="446" t="e">
        <f>IF(OR($B811="",MIN(AI$38,$D$19)&lt;MAX($P$708*($B811+IF($R$17="Distrato",$I$38-1,0)),IF(AND($L$711=0,$P$708=0),"",$L$711-1),IF($R$17="Distrato",$E811,0))),0,YEARFRAC(MAX($P$708*($B811+IF($R$17="Distrato",$I$38-1,0)),IF(AND($L$711=0,$P$708=0),"",$L$711-1),IF($R$17="Distrato",$E811,0)),MIN(AI$38,$D$19),$P$20))-SUM($P811:AH811)</f>
        <v>#VALUE!</v>
      </c>
      <c r="AJ811" s="446" t="e">
        <f>IF(OR($B811="",MIN(AJ$38,$D$19)&lt;MAX($P$708*($B811+IF($R$17="Distrato",$I$38-1,0)),IF(AND($L$711=0,$P$708=0),"",$L$711-1),IF($R$17="Distrato",$E811,0))),0,YEARFRAC(MAX($P$708*($B811+IF($R$17="Distrato",$I$38-1,0)),IF(AND($L$711=0,$P$708=0),"",$L$711-1),IF($R$17="Distrato",$E811,0)),MIN(AJ$38,$D$19),$P$20))-SUM($P811:AI811)</f>
        <v>#VALUE!</v>
      </c>
      <c r="AK811" s="446" t="e">
        <f>IF(OR($B811="",MIN(AK$38,$D$19)&lt;MAX($P$708*($B811+IF($R$17="Distrato",$I$38-1,0)),IF(AND($L$711=0,$P$708=0),"",$L$711-1),IF($R$17="Distrato",$E811,0))),0,YEARFRAC(MAX($P$708*($B811+IF($R$17="Distrato",$I$38-1,0)),IF(AND($L$711=0,$P$708=0),"",$L$711-1),IF($R$17="Distrato",$E811,0)),MIN(AK$38,$D$19),$P$20))-SUM($P811:AJ811)</f>
        <v>#VALUE!</v>
      </c>
      <c r="AL811" s="446" t="e">
        <f>IF(OR($B811="",MIN(AL$38,$D$19)&lt;MAX($P$708*($B811+IF($R$17="Distrato",$I$38-1,0)),IF(AND($L$711=0,$P$708=0),"",$L$711-1),IF($R$17="Distrato",$E811,0))),0,YEARFRAC(MAX($P$708*($B811+IF($R$17="Distrato",$I$38-1,0)),IF(AND($L$711=0,$P$708=0),"",$L$711-1),IF($R$17="Distrato",$E811,0)),MIN(AL$38,$D$19),$P$20))-SUM($P811:AK811)</f>
        <v>#VALUE!</v>
      </c>
      <c r="AM811" s="446" t="e">
        <f>IF(OR($B811="",MIN(AM$38,$D$19)&lt;MAX($P$708*($B811+IF($R$17="Distrato",$I$38-1,0)),IF(AND($L$711=0,$P$708=0),"",$L$711-1),IF($R$17="Distrato",$E811,0))),0,YEARFRAC(MAX($P$708*($B811+IF($R$17="Distrato",$I$38-1,0)),IF(AND($L$711=0,$P$708=0),"",$L$711-1),IF($R$17="Distrato",$E811,0)),MIN(AM$38,$D$19),$P$20))-SUM($P811:AL811)</f>
        <v>#VALUE!</v>
      </c>
      <c r="AN811" s="446" t="e">
        <f>IF(OR($B811="",MIN(AN$38,$D$19)&lt;MAX($P$708*($B811+IF($R$17="Distrato",$I$38-1,0)),IF(AND($L$711=0,$P$708=0),"",$L$711-1),IF($R$17="Distrato",$E811,0))),0,YEARFRAC(MAX($P$708*($B811+IF($R$17="Distrato",$I$38-1,0)),IF(AND($L$711=0,$P$708=0),"",$L$711-1),IF($R$17="Distrato",$E811,0)),MIN(AN$38,$D$19),$P$20))-SUM($P811:AM811)</f>
        <v>#VALUE!</v>
      </c>
      <c r="AO811" s="446" t="e">
        <f>IF(OR($B811="",MIN(AO$38,$D$19)&lt;MAX($P$708*($B811+IF($R$17="Distrato",$I$38-1,0)),IF(AND($L$711=0,$P$708=0),"",$L$711-1),IF($R$17="Distrato",$E811,0))),0,YEARFRAC(MAX($P$708*($B811+IF($R$17="Distrato",$I$38-1,0)),IF(AND($L$711=0,$P$708=0),"",$L$711-1),IF($R$17="Distrato",$E811,0)),MIN(AO$38,$D$19),$P$20))-SUM($P811:AN811)</f>
        <v>#VALUE!</v>
      </c>
      <c r="AP811" s="446" t="e">
        <f>IF(OR($B811="",MIN(AP$38,$D$19)&lt;MAX($P$708*($B811+IF($R$17="Distrato",$I$38-1,0)),IF(AND($L$711=0,$P$708=0),"",$L$711-1),IF($R$17="Distrato",$E811,0))),0,YEARFRAC(MAX($P$708*($B811+IF($R$17="Distrato",$I$38-1,0)),IF(AND($L$711=0,$P$708=0),"",$L$711-1),IF($R$17="Distrato",$E811,0)),MIN(AP$38,$D$19),$P$20))-SUM($P811:AO811)</f>
        <v>#VALUE!</v>
      </c>
      <c r="AQ811" s="446" t="e">
        <f>IF(OR($B811="",MIN(AQ$38,$D$19)&lt;MAX($P$708*($B811+IF($R$17="Distrato",$I$38-1,0)),IF(AND($L$711=0,$P$708=0),"",$L$711-1),IF($R$17="Distrato",$E811,0))),0,YEARFRAC(MAX($P$708*($B811+IF($R$17="Distrato",$I$38-1,0)),IF(AND($L$711=0,$P$708=0),"",$L$711-1),IF($R$17="Distrato",$E811,0)),MIN(AQ$38,$D$19),$P$20))-SUM($P811:AP811)</f>
        <v>#VALUE!</v>
      </c>
      <c r="AR811" s="446" t="e">
        <f>IF(OR($B811="",MIN(AR$38,$D$19)&lt;MAX($P$708*($B811+IF($R$17="Distrato",$I$38-1,0)),IF(AND($L$711=0,$P$708=0),"",$L$711-1),IF($R$17="Distrato",$E811,0))),0,YEARFRAC(MAX($P$708*($B811+IF($R$17="Distrato",$I$38-1,0)),IF(AND($L$711=0,$P$708=0),"",$L$711-1),IF($R$17="Distrato",$E811,0)),MIN(AR$38,$D$19),$P$20))-SUM($P811:AQ811)</f>
        <v>#VALUE!</v>
      </c>
      <c r="AS811" s="446" t="e">
        <f>IF(OR($B811="",MIN(AS$38,$D$19)&lt;MAX($P$708*($B811+IF($R$17="Distrato",$I$38-1,0)),IF(AND($L$711=0,$P$708=0),"",$L$711-1),IF($R$17="Distrato",$E811,0))),0,YEARFRAC(MAX($P$708*($B811+IF($R$17="Distrato",$I$38-1,0)),IF(AND($L$711=0,$P$708=0),"",$L$711-1),IF($R$17="Distrato",$E811,0)),MIN(AS$38,$D$19),$P$20))-SUM($P811:AR811)</f>
        <v>#VALUE!</v>
      </c>
      <c r="AT811" s="446" t="e">
        <f>IF(OR($B811="",MIN(AT$38,$D$19)&lt;MAX($P$708*($B811+IF($R$17="Distrato",$I$38-1,0)),IF(AND($L$711=0,$P$708=0),"",$L$711-1),IF($R$17="Distrato",$E811,0))),0,YEARFRAC(MAX($P$708*($B811+IF($R$17="Distrato",$I$38-1,0)),IF(AND($L$711=0,$P$708=0),"",$L$711-1),IF($R$17="Distrato",$E811,0)),MIN(AT$38,$D$19),$P$20))-SUM($P811:AS811)</f>
        <v>#VALUE!</v>
      </c>
      <c r="AU811" s="446" t="e">
        <f>IF(OR($B811="",MIN(AU$38,$D$19)&lt;MAX($P$708*($B811+IF($R$17="Distrato",$I$38-1,0)),IF(AND($L$711=0,$P$708=0),"",$L$711-1),IF($R$17="Distrato",$E811,0))),0,YEARFRAC(MAX($P$708*($B811+IF($R$17="Distrato",$I$38-1,0)),IF(AND($L$711=0,$P$708=0),"",$L$711-1),IF($R$17="Distrato",$E811,0)),MIN(AU$38,$D$19),$P$20))-SUM($P811:AT811)</f>
        <v>#VALUE!</v>
      </c>
      <c r="AV811" s="446" t="e">
        <f>IF(OR($B811="",MIN(AV$38,$D$19)&lt;MAX($P$708*($B811+IF($R$17="Distrato",$I$38-1,0)),IF(AND($L$711=0,$P$708=0),"",$L$711-1),IF($R$17="Distrato",$E811,0))),0,YEARFRAC(MAX($P$708*($B811+IF($R$17="Distrato",$I$38-1,0)),IF(AND($L$711=0,$P$708=0),"",$L$711-1),IF($R$17="Distrato",$E811,0)),MIN(AV$38,$D$19),$P$20))-SUM($P811:AU811)</f>
        <v>#VALUE!</v>
      </c>
      <c r="AW811" s="446" t="e">
        <f>IF(OR($B811="",MIN(AW$38,$D$19)&lt;MAX($P$708*($B811+IF($R$17="Distrato",$I$38-1,0)),IF(AND($L$711=0,$P$708=0),"",$L$711-1),IF($R$17="Distrato",$E811,0))),0,YEARFRAC(MAX($P$708*($B811+IF($R$17="Distrato",$I$38-1,0)),IF(AND($L$711=0,$P$708=0),"",$L$711-1),IF($R$17="Distrato",$E811,0)),MIN(AW$38,$D$19),$P$20))-SUM($P811:AV811)</f>
        <v>#VALUE!</v>
      </c>
      <c r="AX811" s="446" t="e">
        <f>IF(OR($B811="",MIN(AX$38,$D$19)&lt;MAX($P$708*($B811+IF($R$17="Distrato",$I$38-1,0)),IF(AND($L$711=0,$P$708=0),"",$L$711-1),IF($R$17="Distrato",$E811,0))),0,YEARFRAC(MAX($P$708*($B811+IF($R$17="Distrato",$I$38-1,0)),IF(AND($L$711=0,$P$708=0),"",$L$711-1),IF($R$17="Distrato",$E811,0)),MIN(AX$38,$D$19),$P$20))-SUM($P811:AW811)</f>
        <v>#VALUE!</v>
      </c>
      <c r="AY811" s="446" t="e">
        <f>IF(OR($B811="",MIN(AY$38,$D$19)&lt;MAX($P$708*($B811+IF($R$17="Distrato",$I$38-1,0)),IF(AND($L$711=0,$P$708=0),"",$L$711-1),IF($R$17="Distrato",$E811,0))),0,YEARFRAC(MAX($P$708*($B811+IF($R$17="Distrato",$I$38-1,0)),IF(AND($L$711=0,$P$708=0),"",$L$711-1),IF($R$17="Distrato",$E811,0)),MIN(AY$38,$D$19),$P$20))-SUM($P811:AX811)</f>
        <v>#VALUE!</v>
      </c>
      <c r="AZ811" s="446" t="e">
        <f>IF(OR($B811="",MIN(AZ$38,$D$19)&lt;MAX($P$708*($B811+IF($R$17="Distrato",$I$38-1,0)),IF(AND($L$711=0,$P$708=0),"",$L$711-1),IF($R$17="Distrato",$E811,0))),0,YEARFRAC(MAX($P$708*($B811+IF($R$17="Distrato",$I$38-1,0)),IF(AND($L$711=0,$P$708=0),"",$L$711-1),IF($R$17="Distrato",$E811,0)),MIN(AZ$38,$D$19),$P$20))-SUM($P811:AY811)</f>
        <v>#VALUE!</v>
      </c>
      <c r="BA811" s="446" t="e">
        <f>IF(OR($B811="",MIN(BA$38,$D$19)&lt;MAX($P$708*($B811+IF($R$17="Distrato",$I$38-1,0)),IF(AND($L$711=0,$P$708=0),"",$L$711-1),IF($R$17="Distrato",$E811,0))),0,YEARFRAC(MAX($P$708*($B811+IF($R$17="Distrato",$I$38-1,0)),IF(AND($L$711=0,$P$708=0),"",$L$711-1),IF($R$17="Distrato",$E811,0)),MIN(BA$38,$D$19),$P$20))-SUM($P811:AZ811)</f>
        <v>#VALUE!</v>
      </c>
      <c r="BB811" s="447"/>
    </row>
    <row r="812" spans="1:54" s="446" customFormat="1" ht="11.25" hidden="1" customHeight="1" x14ac:dyDescent="0.2">
      <c r="A812" s="235"/>
      <c r="B812" s="236"/>
      <c r="C812" s="29" t="str">
        <f>IF(B812="","",IF($L$709=$BL$25,VLOOKUP(DATE(YEAR($D$19),MONTH($D$19)-1,1),ÍNDICES!$A:$DE,HLOOKUP($BL$25,ÍNDICES!$B$3:$T$4,2)+11)-VLOOKUP(B812,ÍNDICES!$A:$DE,HLOOKUP($BL$25,ÍNDICES!$B$3:$T$4,2)+11)+1%,IF(C$712=$W$26,$J$35,IF(ISERROR(IF(B812&gt;$D$19,1,VLOOKUP(DATE(YEAR(B812),MONTH(B812)+IF($C$709=$S$23,1,0),1),ÍNDICES!$A:$DE,$Z$709+1))),"",IF(B812&gt;$D$19,1,VLOOKUP(DATE(YEAR(B812),MONTH(B812)+IF($C$709=$S$23,1,0),1),ÍNDICES!$A:$DE,$Z$709+1))))))</f>
        <v/>
      </c>
      <c r="D812" s="155"/>
      <c r="E812" s="88"/>
      <c r="F812" s="88"/>
      <c r="G812" s="88"/>
      <c r="H812" s="118"/>
      <c r="I812" s="182">
        <f t="shared" si="122"/>
        <v>0</v>
      </c>
      <c r="J812" s="20">
        <f t="shared" ca="1" si="123"/>
        <v>0</v>
      </c>
      <c r="K812" s="5">
        <f t="shared" ca="1" si="124"/>
        <v>0</v>
      </c>
      <c r="L812" s="61">
        <f t="shared" ca="1" si="125"/>
        <v>0</v>
      </c>
      <c r="M812" s="64">
        <f t="shared" si="126"/>
        <v>0</v>
      </c>
      <c r="N812" s="151"/>
      <c r="O812" s="5">
        <f t="shared" ca="1" si="127"/>
        <v>0</v>
      </c>
      <c r="P812" s="446" t="e">
        <f t="shared" si="128"/>
        <v>#VALUE!</v>
      </c>
      <c r="Q812" s="446" t="e">
        <f>IF(OR($B812="",MIN(Q$38,$D$19)&lt;MAX($P$708*($B812+IF($R$17="Distrato",$I$38-1,0)),IF(AND($L$711=0,$P$708=0),"",$L$711-1),IF($R$17="Distrato",$E812,0))),0,YEARFRAC(MAX($P$708*($B812+IF($R$17="Distrato",$I$38-1,0)),IF(AND($L$711=0,$P$708=0),"",$L$711-1),IF($R$17="Distrato",$E812,0)),MIN(Q$38,$D$19),$P$20))-SUM($P812:P812)</f>
        <v>#VALUE!</v>
      </c>
      <c r="R812" s="446" t="e">
        <f>IF(OR($B812="",MIN(R$38,$D$19)&lt;MAX($P$708*($B812+IF($R$17="Distrato",$I$38-1,0)),IF(AND($L$711=0,$P$708=0),"",$L$711-1),IF($R$17="Distrato",$E812,0))),0,YEARFRAC(MAX($P$708*($B812+IF($R$17="Distrato",$I$38-1,0)),IF(AND($L$711=0,$P$708=0),"",$L$711-1),IF($R$17="Distrato",$E812,0)),MIN(R$38,$D$19),$P$20))-SUM($P812:Q812)</f>
        <v>#VALUE!</v>
      </c>
      <c r="S812" s="446" t="e">
        <f>IF(OR($B812="",MIN(S$38,$D$19)&lt;MAX($P$708*($B812+IF($R$17="Distrato",$I$38-1,0)),IF(AND($L$711=0,$P$708=0),"",$L$711-1),IF($R$17="Distrato",$E812,0))),0,YEARFRAC(MAX($P$708*($B812+IF($R$17="Distrato",$I$38-1,0)),IF(AND($L$711=0,$P$708=0),"",$L$711-1),IF($R$17="Distrato",$E812,0)),MIN(S$38,$D$19),$P$20))-SUM($P812:R812)</f>
        <v>#VALUE!</v>
      </c>
      <c r="T812" s="446" t="e">
        <f>IF(OR($B812="",MIN(T$38,$D$19)&lt;MAX($P$708*($B812+IF($R$17="Distrato",$I$38-1,0)),IF(AND($L$711=0,$P$708=0),"",$L$711-1),IF($R$17="Distrato",$E812,0))),0,YEARFRAC(MAX($P$708*($B812+IF($R$17="Distrato",$I$38-1,0)),IF(AND($L$711=0,$P$708=0),"",$L$711-1),IF($R$17="Distrato",$E812,0)),MIN(T$38,$D$19),$P$20))-SUM($P812:S812)</f>
        <v>#VALUE!</v>
      </c>
      <c r="U812" s="446" t="e">
        <f>IF(OR($B812="",MIN(U$38,$D$19)&lt;MAX($P$708*($B812+IF($R$17="Distrato",$I$38-1,0)),IF(AND($L$711=0,$P$708=0),"",$L$711-1),IF($R$17="Distrato",$E812,0))),0,YEARFRAC(MAX($P$708*($B812+IF($R$17="Distrato",$I$38-1,0)),IF(AND($L$711=0,$P$708=0),"",$L$711-1),IF($R$17="Distrato",$E812,0)),MIN(U$38,$D$19),$P$20))-SUM($P812:T812)</f>
        <v>#VALUE!</v>
      </c>
      <c r="V812" s="446" t="e">
        <f>IF(OR($B812="",MIN(V$38,$D$19)&lt;MAX($P$708*($B812+IF($R$17="Distrato",$I$38-1,0)),IF(AND($L$711=0,$P$708=0),"",$L$711-1),IF($R$17="Distrato",$E812,0))),0,YEARFRAC(MAX($P$708*($B812+IF($R$17="Distrato",$I$38-1,0)),IF(AND($L$711=0,$P$708=0),"",$L$711-1),IF($R$17="Distrato",$E812,0)),MIN(V$38,$D$19),$P$20))-SUM($P812:U812)</f>
        <v>#VALUE!</v>
      </c>
      <c r="W812" s="446" t="e">
        <f>IF(OR($B812="",MIN(W$38,$D$19)&lt;MAX($P$708*($B812+IF($R$17="Distrato",$I$38-1,0)),IF(AND($L$711=0,$P$708=0),"",$L$711-1),IF($R$17="Distrato",$E812,0))),0,YEARFRAC(MAX($P$708*($B812+IF($R$17="Distrato",$I$38-1,0)),IF(AND($L$711=0,$P$708=0),"",$L$711-1),IF($R$17="Distrato",$E812,0)),MIN(W$38,$D$19),$P$20))-SUM($P812:V812)</f>
        <v>#VALUE!</v>
      </c>
      <c r="X812" s="446" t="e">
        <f>IF(OR($B812="",MIN(X$38,$D$19)&lt;MAX($P$708*($B812+IF($R$17="Distrato",$I$38-1,0)),IF(AND($L$711=0,$P$708=0),"",$L$711-1),IF($R$17="Distrato",$E812,0))),0,YEARFRAC(MAX($P$708*($B812+IF($R$17="Distrato",$I$38-1,0)),IF(AND($L$711=0,$P$708=0),"",$L$711-1),IF($R$17="Distrato",$E812,0)),MIN(X$38,$D$19),$P$20))-SUM($P812:W812)</f>
        <v>#VALUE!</v>
      </c>
      <c r="Y812" s="446" t="e">
        <f>IF(OR($B812="",MIN(Y$38,$D$19)&lt;MAX($P$708*($B812+IF($R$17="Distrato",$I$38-1,0)),IF(AND($L$711=0,$P$708=0),"",$L$711-1),IF($R$17="Distrato",$E812,0))),0,YEARFRAC(MAX($P$708*($B812+IF($R$17="Distrato",$I$38-1,0)),IF(AND($L$711=0,$P$708=0),"",$L$711-1),IF($R$17="Distrato",$E812,0)),MIN(Y$38,$D$19),$P$20))-SUM($P812:X812)</f>
        <v>#VALUE!</v>
      </c>
      <c r="Z812" s="446" t="e">
        <f>IF(OR($B812="",MIN(Z$38,$D$19)&lt;MAX($P$708*($B812+IF($R$17="Distrato",$I$38-1,0)),IF(AND($L$711=0,$P$708=0),"",$L$711-1),IF($R$17="Distrato",$E812,0))),0,YEARFRAC(MAX($P$708*($B812+IF($R$17="Distrato",$I$38-1,0)),IF(AND($L$711=0,$P$708=0),"",$L$711-1),IF($R$17="Distrato",$E812,0)),MIN(Z$38,$D$19),$P$20))-SUM($P812:Y812)</f>
        <v>#VALUE!</v>
      </c>
      <c r="AA812" s="446" t="e">
        <f>IF(OR($B812="",MIN(AA$38,$D$19)&lt;MAX($P$708*($B812+IF($R$17="Distrato",$I$38-1,0)),IF(AND($L$711=0,$P$708=0),"",$L$711-1),IF($R$17="Distrato",$E812,0))),0,YEARFRAC(MAX($P$708*($B812+IF($R$17="Distrato",$I$38-1,0)),IF(AND($L$711=0,$P$708=0),"",$L$711-1),IF($R$17="Distrato",$E812,0)),MIN(AA$38,$D$19),$P$20))-SUM($P812:Z812)</f>
        <v>#VALUE!</v>
      </c>
      <c r="AB812" s="446" t="e">
        <f>IF(OR($B812="",MIN(AB$38,$D$19)&lt;MAX($P$708*($B812+IF($R$17="Distrato",$I$38-1,0)),IF(AND($L$711=0,$P$708=0),"",$L$711-1),IF($R$17="Distrato",$E812,0))),0,YEARFRAC(MAX($P$708*($B812+IF($R$17="Distrato",$I$38-1,0)),IF(AND($L$711=0,$P$708=0),"",$L$711-1),IF($R$17="Distrato",$E812,0)),MIN(AB$38,$D$19),$P$20))-SUM($P812:AA812)</f>
        <v>#VALUE!</v>
      </c>
      <c r="AC812" s="446" t="e">
        <f>IF(OR($B812="",MIN(AC$38,$D$19)&lt;MAX($P$708*($B812+IF($R$17="Distrato",$I$38-1,0)),IF(AND($L$711=0,$P$708=0),"",$L$711-1),IF($R$17="Distrato",$E812,0))),0,YEARFRAC(MAX($P$708*($B812+IF($R$17="Distrato",$I$38-1,0)),IF(AND($L$711=0,$P$708=0),"",$L$711-1),IF($R$17="Distrato",$E812,0)),MIN(AC$38,$D$19),$P$20))-SUM($P812:AB812)</f>
        <v>#VALUE!</v>
      </c>
      <c r="AD812" s="446" t="e">
        <f>IF(OR($B812="",MIN(AD$38,$D$19)&lt;MAX($P$708*($B812+IF($R$17="Distrato",$I$38-1,0)),IF(AND($L$711=0,$P$708=0),"",$L$711-1),IF($R$17="Distrato",$E812,0))),0,YEARFRAC(MAX($P$708*($B812+IF($R$17="Distrato",$I$38-1,0)),IF(AND($L$711=0,$P$708=0),"",$L$711-1),IF($R$17="Distrato",$E812,0)),MIN(AD$38,$D$19),$P$20))-SUM($P812:AC812)</f>
        <v>#VALUE!</v>
      </c>
      <c r="AE812" s="446" t="e">
        <f>IF(OR($B812="",MIN(AE$38,$D$19)&lt;MAX($P$708*($B812+IF($R$17="Distrato",$I$38-1,0)),IF(AND($L$711=0,$P$708=0),"",$L$711-1),IF($R$17="Distrato",$E812,0))),0,YEARFRAC(MAX($P$708*($B812+IF($R$17="Distrato",$I$38-1,0)),IF(AND($L$711=0,$P$708=0),"",$L$711-1),IF($R$17="Distrato",$E812,0)),MIN(AE$38,$D$19),$P$20))-SUM($P812:AD812)</f>
        <v>#VALUE!</v>
      </c>
      <c r="AF812" s="446" t="e">
        <f>IF(OR($B812="",MIN(AF$38,$D$19)&lt;MAX($P$708*($B812+IF($R$17="Distrato",$I$38-1,0)),IF(AND($L$711=0,$P$708=0),"",$L$711-1),IF($R$17="Distrato",$E812,0))),0,YEARFRAC(MAX($P$708*($B812+IF($R$17="Distrato",$I$38-1,0)),IF(AND($L$711=0,$P$708=0),"",$L$711-1),IF($R$17="Distrato",$E812,0)),MIN(AF$38,$D$19),$P$20))-SUM($P812:AE812)</f>
        <v>#VALUE!</v>
      </c>
      <c r="AG812" s="446" t="e">
        <f>IF(OR($B812="",MIN(AG$38,$D$19)&lt;MAX($P$708*($B812+IF($R$17="Distrato",$I$38-1,0)),IF(AND($L$711=0,$P$708=0),"",$L$711-1),IF($R$17="Distrato",$E812,0))),0,YEARFRAC(MAX($P$708*($B812+IF($R$17="Distrato",$I$38-1,0)),IF(AND($L$711=0,$P$708=0),"",$L$711-1),IF($R$17="Distrato",$E812,0)),MIN(AG$38,$D$19),$P$20))-SUM($P812:AF812)</f>
        <v>#VALUE!</v>
      </c>
      <c r="AH812" s="446" t="e">
        <f>IF(OR($B812="",MIN(AH$38,$D$19)&lt;MAX($P$708*($B812+IF($R$17="Distrato",$I$38-1,0)),IF(AND($L$711=0,$P$708=0),"",$L$711-1),IF($R$17="Distrato",$E812,0))),0,YEARFRAC(MAX($P$708*($B812+IF($R$17="Distrato",$I$38-1,0)),IF(AND($L$711=0,$P$708=0),"",$L$711-1),IF($R$17="Distrato",$E812,0)),MIN(AH$38,$D$19),$P$20))-SUM($P812:AG812)</f>
        <v>#VALUE!</v>
      </c>
      <c r="AI812" s="446" t="e">
        <f>IF(OR($B812="",MIN(AI$38,$D$19)&lt;MAX($P$708*($B812+IF($R$17="Distrato",$I$38-1,0)),IF(AND($L$711=0,$P$708=0),"",$L$711-1),IF($R$17="Distrato",$E812,0))),0,YEARFRAC(MAX($P$708*($B812+IF($R$17="Distrato",$I$38-1,0)),IF(AND($L$711=0,$P$708=0),"",$L$711-1),IF($R$17="Distrato",$E812,0)),MIN(AI$38,$D$19),$P$20))-SUM($P812:AH812)</f>
        <v>#VALUE!</v>
      </c>
      <c r="AJ812" s="446" t="e">
        <f>IF(OR($B812="",MIN(AJ$38,$D$19)&lt;MAX($P$708*($B812+IF($R$17="Distrato",$I$38-1,0)),IF(AND($L$711=0,$P$708=0),"",$L$711-1),IF($R$17="Distrato",$E812,0))),0,YEARFRAC(MAX($P$708*($B812+IF($R$17="Distrato",$I$38-1,0)),IF(AND($L$711=0,$P$708=0),"",$L$711-1),IF($R$17="Distrato",$E812,0)),MIN(AJ$38,$D$19),$P$20))-SUM($P812:AI812)</f>
        <v>#VALUE!</v>
      </c>
      <c r="AK812" s="446" t="e">
        <f>IF(OR($B812="",MIN(AK$38,$D$19)&lt;MAX($P$708*($B812+IF($R$17="Distrato",$I$38-1,0)),IF(AND($L$711=0,$P$708=0),"",$L$711-1),IF($R$17="Distrato",$E812,0))),0,YEARFRAC(MAX($P$708*($B812+IF($R$17="Distrato",$I$38-1,0)),IF(AND($L$711=0,$P$708=0),"",$L$711-1),IF($R$17="Distrato",$E812,0)),MIN(AK$38,$D$19),$P$20))-SUM($P812:AJ812)</f>
        <v>#VALUE!</v>
      </c>
      <c r="AL812" s="446" t="e">
        <f>IF(OR($B812="",MIN(AL$38,$D$19)&lt;MAX($P$708*($B812+IF($R$17="Distrato",$I$38-1,0)),IF(AND($L$711=0,$P$708=0),"",$L$711-1),IF($R$17="Distrato",$E812,0))),0,YEARFRAC(MAX($P$708*($B812+IF($R$17="Distrato",$I$38-1,0)),IF(AND($L$711=0,$P$708=0),"",$L$711-1),IF($R$17="Distrato",$E812,0)),MIN(AL$38,$D$19),$P$20))-SUM($P812:AK812)</f>
        <v>#VALUE!</v>
      </c>
      <c r="AM812" s="446" t="e">
        <f>IF(OR($B812="",MIN(AM$38,$D$19)&lt;MAX($P$708*($B812+IF($R$17="Distrato",$I$38-1,0)),IF(AND($L$711=0,$P$708=0),"",$L$711-1),IF($R$17="Distrato",$E812,0))),0,YEARFRAC(MAX($P$708*($B812+IF($R$17="Distrato",$I$38-1,0)),IF(AND($L$711=0,$P$708=0),"",$L$711-1),IF($R$17="Distrato",$E812,0)),MIN(AM$38,$D$19),$P$20))-SUM($P812:AL812)</f>
        <v>#VALUE!</v>
      </c>
      <c r="AN812" s="446" t="e">
        <f>IF(OR($B812="",MIN(AN$38,$D$19)&lt;MAX($P$708*($B812+IF($R$17="Distrato",$I$38-1,0)),IF(AND($L$711=0,$P$708=0),"",$L$711-1),IF($R$17="Distrato",$E812,0))),0,YEARFRAC(MAX($P$708*($B812+IF($R$17="Distrato",$I$38-1,0)),IF(AND($L$711=0,$P$708=0),"",$L$711-1),IF($R$17="Distrato",$E812,0)),MIN(AN$38,$D$19),$P$20))-SUM($P812:AM812)</f>
        <v>#VALUE!</v>
      </c>
      <c r="AO812" s="446" t="e">
        <f>IF(OR($B812="",MIN(AO$38,$D$19)&lt;MAX($P$708*($B812+IF($R$17="Distrato",$I$38-1,0)),IF(AND($L$711=0,$P$708=0),"",$L$711-1),IF($R$17="Distrato",$E812,0))),0,YEARFRAC(MAX($P$708*($B812+IF($R$17="Distrato",$I$38-1,0)),IF(AND($L$711=0,$P$708=0),"",$L$711-1),IF($R$17="Distrato",$E812,0)),MIN(AO$38,$D$19),$P$20))-SUM($P812:AN812)</f>
        <v>#VALUE!</v>
      </c>
      <c r="AP812" s="446" t="e">
        <f>IF(OR($B812="",MIN(AP$38,$D$19)&lt;MAX($P$708*($B812+IF($R$17="Distrato",$I$38-1,0)),IF(AND($L$711=0,$P$708=0),"",$L$711-1),IF($R$17="Distrato",$E812,0))),0,YEARFRAC(MAX($P$708*($B812+IF($R$17="Distrato",$I$38-1,0)),IF(AND($L$711=0,$P$708=0),"",$L$711-1),IF($R$17="Distrato",$E812,0)),MIN(AP$38,$D$19),$P$20))-SUM($P812:AO812)</f>
        <v>#VALUE!</v>
      </c>
      <c r="AQ812" s="446" t="e">
        <f>IF(OR($B812="",MIN(AQ$38,$D$19)&lt;MAX($P$708*($B812+IF($R$17="Distrato",$I$38-1,0)),IF(AND($L$711=0,$P$708=0),"",$L$711-1),IF($R$17="Distrato",$E812,0))),0,YEARFRAC(MAX($P$708*($B812+IF($R$17="Distrato",$I$38-1,0)),IF(AND($L$711=0,$P$708=0),"",$L$711-1),IF($R$17="Distrato",$E812,0)),MIN(AQ$38,$D$19),$P$20))-SUM($P812:AP812)</f>
        <v>#VALUE!</v>
      </c>
      <c r="AR812" s="446" t="e">
        <f>IF(OR($B812="",MIN(AR$38,$D$19)&lt;MAX($P$708*($B812+IF($R$17="Distrato",$I$38-1,0)),IF(AND($L$711=0,$P$708=0),"",$L$711-1),IF($R$17="Distrato",$E812,0))),0,YEARFRAC(MAX($P$708*($B812+IF($R$17="Distrato",$I$38-1,0)),IF(AND($L$711=0,$P$708=0),"",$L$711-1),IF($R$17="Distrato",$E812,0)),MIN(AR$38,$D$19),$P$20))-SUM($P812:AQ812)</f>
        <v>#VALUE!</v>
      </c>
      <c r="AS812" s="446" t="e">
        <f>IF(OR($B812="",MIN(AS$38,$D$19)&lt;MAX($P$708*($B812+IF($R$17="Distrato",$I$38-1,0)),IF(AND($L$711=0,$P$708=0),"",$L$711-1),IF($R$17="Distrato",$E812,0))),0,YEARFRAC(MAX($P$708*($B812+IF($R$17="Distrato",$I$38-1,0)),IF(AND($L$711=0,$P$708=0),"",$L$711-1),IF($R$17="Distrato",$E812,0)),MIN(AS$38,$D$19),$P$20))-SUM($P812:AR812)</f>
        <v>#VALUE!</v>
      </c>
      <c r="AT812" s="446" t="e">
        <f>IF(OR($B812="",MIN(AT$38,$D$19)&lt;MAX($P$708*($B812+IF($R$17="Distrato",$I$38-1,0)),IF(AND($L$711=0,$P$708=0),"",$L$711-1),IF($R$17="Distrato",$E812,0))),0,YEARFRAC(MAX($P$708*($B812+IF($R$17="Distrato",$I$38-1,0)),IF(AND($L$711=0,$P$708=0),"",$L$711-1),IF($R$17="Distrato",$E812,0)),MIN(AT$38,$D$19),$P$20))-SUM($P812:AS812)</f>
        <v>#VALUE!</v>
      </c>
      <c r="AU812" s="446" t="e">
        <f>IF(OR($B812="",MIN(AU$38,$D$19)&lt;MAX($P$708*($B812+IF($R$17="Distrato",$I$38-1,0)),IF(AND($L$711=0,$P$708=0),"",$L$711-1),IF($R$17="Distrato",$E812,0))),0,YEARFRAC(MAX($P$708*($B812+IF($R$17="Distrato",$I$38-1,0)),IF(AND($L$711=0,$P$708=0),"",$L$711-1),IF($R$17="Distrato",$E812,0)),MIN(AU$38,$D$19),$P$20))-SUM($P812:AT812)</f>
        <v>#VALUE!</v>
      </c>
      <c r="AV812" s="446" t="e">
        <f>IF(OR($B812="",MIN(AV$38,$D$19)&lt;MAX($P$708*($B812+IF($R$17="Distrato",$I$38-1,0)),IF(AND($L$711=0,$P$708=0),"",$L$711-1),IF($R$17="Distrato",$E812,0))),0,YEARFRAC(MAX($P$708*($B812+IF($R$17="Distrato",$I$38-1,0)),IF(AND($L$711=0,$P$708=0),"",$L$711-1),IF($R$17="Distrato",$E812,0)),MIN(AV$38,$D$19),$P$20))-SUM($P812:AU812)</f>
        <v>#VALUE!</v>
      </c>
      <c r="AW812" s="446" t="e">
        <f>IF(OR($B812="",MIN(AW$38,$D$19)&lt;MAX($P$708*($B812+IF($R$17="Distrato",$I$38-1,0)),IF(AND($L$711=0,$P$708=0),"",$L$711-1),IF($R$17="Distrato",$E812,0))),0,YEARFRAC(MAX($P$708*($B812+IF($R$17="Distrato",$I$38-1,0)),IF(AND($L$711=0,$P$708=0),"",$L$711-1),IF($R$17="Distrato",$E812,0)),MIN(AW$38,$D$19),$P$20))-SUM($P812:AV812)</f>
        <v>#VALUE!</v>
      </c>
      <c r="AX812" s="446" t="e">
        <f>IF(OR($B812="",MIN(AX$38,$D$19)&lt;MAX($P$708*($B812+IF($R$17="Distrato",$I$38-1,0)),IF(AND($L$711=0,$P$708=0),"",$L$711-1),IF($R$17="Distrato",$E812,0))),0,YEARFRAC(MAX($P$708*($B812+IF($R$17="Distrato",$I$38-1,0)),IF(AND($L$711=0,$P$708=0),"",$L$711-1),IF($R$17="Distrato",$E812,0)),MIN(AX$38,$D$19),$P$20))-SUM($P812:AW812)</f>
        <v>#VALUE!</v>
      </c>
      <c r="AY812" s="446" t="e">
        <f>IF(OR($B812="",MIN(AY$38,$D$19)&lt;MAX($P$708*($B812+IF($R$17="Distrato",$I$38-1,0)),IF(AND($L$711=0,$P$708=0),"",$L$711-1),IF($R$17="Distrato",$E812,0))),0,YEARFRAC(MAX($P$708*($B812+IF($R$17="Distrato",$I$38-1,0)),IF(AND($L$711=0,$P$708=0),"",$L$711-1),IF($R$17="Distrato",$E812,0)),MIN(AY$38,$D$19),$P$20))-SUM($P812:AX812)</f>
        <v>#VALUE!</v>
      </c>
      <c r="AZ812" s="446" t="e">
        <f>IF(OR($B812="",MIN(AZ$38,$D$19)&lt;MAX($P$708*($B812+IF($R$17="Distrato",$I$38-1,0)),IF(AND($L$711=0,$P$708=0),"",$L$711-1),IF($R$17="Distrato",$E812,0))),0,YEARFRAC(MAX($P$708*($B812+IF($R$17="Distrato",$I$38-1,0)),IF(AND($L$711=0,$P$708=0),"",$L$711-1),IF($R$17="Distrato",$E812,0)),MIN(AZ$38,$D$19),$P$20))-SUM($P812:AY812)</f>
        <v>#VALUE!</v>
      </c>
      <c r="BA812" s="446" t="e">
        <f>IF(OR($B812="",MIN(BA$38,$D$19)&lt;MAX($P$708*($B812+IF($R$17="Distrato",$I$38-1,0)),IF(AND($L$711=0,$P$708=0),"",$L$711-1),IF($R$17="Distrato",$E812,0))),0,YEARFRAC(MAX($P$708*($B812+IF($R$17="Distrato",$I$38-1,0)),IF(AND($L$711=0,$P$708=0),"",$L$711-1),IF($R$17="Distrato",$E812,0)),MIN(BA$38,$D$19),$P$20))-SUM($P812:AZ812)</f>
        <v>#VALUE!</v>
      </c>
      <c r="BB812" s="447"/>
    </row>
    <row r="813" spans="1:54" s="446" customFormat="1" ht="11.25" hidden="1" customHeight="1" x14ac:dyDescent="0.2">
      <c r="A813" s="235"/>
      <c r="B813" s="236"/>
      <c r="C813" s="29" t="str">
        <f>IF(B813="","",IF($L$709=$BL$25,VLOOKUP(DATE(YEAR($D$19),MONTH($D$19)-1,1),ÍNDICES!$A:$DE,HLOOKUP($BL$25,ÍNDICES!$B$3:$T$4,2)+11)-VLOOKUP(B813,ÍNDICES!$A:$DE,HLOOKUP($BL$25,ÍNDICES!$B$3:$T$4,2)+11)+1%,IF(C$712=$W$26,$J$35,IF(ISERROR(IF(B813&gt;$D$19,1,VLOOKUP(DATE(YEAR(B813),MONTH(B813)+IF($C$709=$S$23,1,0),1),ÍNDICES!$A:$DE,$Z$709+1))),"",IF(B813&gt;$D$19,1,VLOOKUP(DATE(YEAR(B813),MONTH(B813)+IF($C$709=$S$23,1,0),1),ÍNDICES!$A:$DE,$Z$709+1))))))</f>
        <v/>
      </c>
      <c r="D813" s="155"/>
      <c r="E813" s="88"/>
      <c r="F813" s="88"/>
      <c r="G813" s="88"/>
      <c r="H813" s="118"/>
      <c r="I813" s="182">
        <f t="shared" si="122"/>
        <v>0</v>
      </c>
      <c r="J813" s="20">
        <f t="shared" ca="1" si="123"/>
        <v>0</v>
      </c>
      <c r="K813" s="5">
        <f t="shared" ca="1" si="124"/>
        <v>0</v>
      </c>
      <c r="L813" s="61">
        <f t="shared" ca="1" si="125"/>
        <v>0</v>
      </c>
      <c r="M813" s="64">
        <f t="shared" si="126"/>
        <v>0</v>
      </c>
      <c r="N813" s="151"/>
      <c r="O813" s="5">
        <f t="shared" ca="1" si="127"/>
        <v>0</v>
      </c>
      <c r="P813" s="446" t="e">
        <f t="shared" si="128"/>
        <v>#VALUE!</v>
      </c>
      <c r="Q813" s="446" t="e">
        <f>IF(OR($B813="",MIN(Q$38,$D$19)&lt;MAX($P$708*($B813+IF($R$17="Distrato",$I$38-1,0)),IF(AND($L$711=0,$P$708=0),"",$L$711-1),IF($R$17="Distrato",$E813,0))),0,YEARFRAC(MAX($P$708*($B813+IF($R$17="Distrato",$I$38-1,0)),IF(AND($L$711=0,$P$708=0),"",$L$711-1),IF($R$17="Distrato",$E813,0)),MIN(Q$38,$D$19),$P$20))-SUM($P813:P813)</f>
        <v>#VALUE!</v>
      </c>
      <c r="R813" s="446" t="e">
        <f>IF(OR($B813="",MIN(R$38,$D$19)&lt;MAX($P$708*($B813+IF($R$17="Distrato",$I$38-1,0)),IF(AND($L$711=0,$P$708=0),"",$L$711-1),IF($R$17="Distrato",$E813,0))),0,YEARFRAC(MAX($P$708*($B813+IF($R$17="Distrato",$I$38-1,0)),IF(AND($L$711=0,$P$708=0),"",$L$711-1),IF($R$17="Distrato",$E813,0)),MIN(R$38,$D$19),$P$20))-SUM($P813:Q813)</f>
        <v>#VALUE!</v>
      </c>
      <c r="S813" s="446" t="e">
        <f>IF(OR($B813="",MIN(S$38,$D$19)&lt;MAX($P$708*($B813+IF($R$17="Distrato",$I$38-1,0)),IF(AND($L$711=0,$P$708=0),"",$L$711-1),IF($R$17="Distrato",$E813,0))),0,YEARFRAC(MAX($P$708*($B813+IF($R$17="Distrato",$I$38-1,0)),IF(AND($L$711=0,$P$708=0),"",$L$711-1),IF($R$17="Distrato",$E813,0)),MIN(S$38,$D$19),$P$20))-SUM($P813:R813)</f>
        <v>#VALUE!</v>
      </c>
      <c r="T813" s="446" t="e">
        <f>IF(OR($B813="",MIN(T$38,$D$19)&lt;MAX($P$708*($B813+IF($R$17="Distrato",$I$38-1,0)),IF(AND($L$711=0,$P$708=0),"",$L$711-1),IF($R$17="Distrato",$E813,0))),0,YEARFRAC(MAX($P$708*($B813+IF($R$17="Distrato",$I$38-1,0)),IF(AND($L$711=0,$P$708=0),"",$L$711-1),IF($R$17="Distrato",$E813,0)),MIN(T$38,$D$19),$P$20))-SUM($P813:S813)</f>
        <v>#VALUE!</v>
      </c>
      <c r="U813" s="446" t="e">
        <f>IF(OR($B813="",MIN(U$38,$D$19)&lt;MAX($P$708*($B813+IF($R$17="Distrato",$I$38-1,0)),IF(AND($L$711=0,$P$708=0),"",$L$711-1),IF($R$17="Distrato",$E813,0))),0,YEARFRAC(MAX($P$708*($B813+IF($R$17="Distrato",$I$38-1,0)),IF(AND($L$711=0,$P$708=0),"",$L$711-1),IF($R$17="Distrato",$E813,0)),MIN(U$38,$D$19),$P$20))-SUM($P813:T813)</f>
        <v>#VALUE!</v>
      </c>
      <c r="V813" s="446" t="e">
        <f>IF(OR($B813="",MIN(V$38,$D$19)&lt;MAX($P$708*($B813+IF($R$17="Distrato",$I$38-1,0)),IF(AND($L$711=0,$P$708=0),"",$L$711-1),IF($R$17="Distrato",$E813,0))),0,YEARFRAC(MAX($P$708*($B813+IF($R$17="Distrato",$I$38-1,0)),IF(AND($L$711=0,$P$708=0),"",$L$711-1),IF($R$17="Distrato",$E813,0)),MIN(V$38,$D$19),$P$20))-SUM($P813:U813)</f>
        <v>#VALUE!</v>
      </c>
      <c r="W813" s="446" t="e">
        <f>IF(OR($B813="",MIN(W$38,$D$19)&lt;MAX($P$708*($B813+IF($R$17="Distrato",$I$38-1,0)),IF(AND($L$711=0,$P$708=0),"",$L$711-1),IF($R$17="Distrato",$E813,0))),0,YEARFRAC(MAX($P$708*($B813+IF($R$17="Distrato",$I$38-1,0)),IF(AND($L$711=0,$P$708=0),"",$L$711-1),IF($R$17="Distrato",$E813,0)),MIN(W$38,$D$19),$P$20))-SUM($P813:V813)</f>
        <v>#VALUE!</v>
      </c>
      <c r="X813" s="446" t="e">
        <f>IF(OR($B813="",MIN(X$38,$D$19)&lt;MAX($P$708*($B813+IF($R$17="Distrato",$I$38-1,0)),IF(AND($L$711=0,$P$708=0),"",$L$711-1),IF($R$17="Distrato",$E813,0))),0,YEARFRAC(MAX($P$708*($B813+IF($R$17="Distrato",$I$38-1,0)),IF(AND($L$711=0,$P$708=0),"",$L$711-1),IF($R$17="Distrato",$E813,0)),MIN(X$38,$D$19),$P$20))-SUM($P813:W813)</f>
        <v>#VALUE!</v>
      </c>
      <c r="Y813" s="446" t="e">
        <f>IF(OR($B813="",MIN(Y$38,$D$19)&lt;MAX($P$708*($B813+IF($R$17="Distrato",$I$38-1,0)),IF(AND($L$711=0,$P$708=0),"",$L$711-1),IF($R$17="Distrato",$E813,0))),0,YEARFRAC(MAX($P$708*($B813+IF($R$17="Distrato",$I$38-1,0)),IF(AND($L$711=0,$P$708=0),"",$L$711-1),IF($R$17="Distrato",$E813,0)),MIN(Y$38,$D$19),$P$20))-SUM($P813:X813)</f>
        <v>#VALUE!</v>
      </c>
      <c r="Z813" s="446" t="e">
        <f>IF(OR($B813="",MIN(Z$38,$D$19)&lt;MAX($P$708*($B813+IF($R$17="Distrato",$I$38-1,0)),IF(AND($L$711=0,$P$708=0),"",$L$711-1),IF($R$17="Distrato",$E813,0))),0,YEARFRAC(MAX($P$708*($B813+IF($R$17="Distrato",$I$38-1,0)),IF(AND($L$711=0,$P$708=0),"",$L$711-1),IF($R$17="Distrato",$E813,0)),MIN(Z$38,$D$19),$P$20))-SUM($P813:Y813)</f>
        <v>#VALUE!</v>
      </c>
      <c r="AA813" s="446" t="e">
        <f>IF(OR($B813="",MIN(AA$38,$D$19)&lt;MAX($P$708*($B813+IF($R$17="Distrato",$I$38-1,0)),IF(AND($L$711=0,$P$708=0),"",$L$711-1),IF($R$17="Distrato",$E813,0))),0,YEARFRAC(MAX($P$708*($B813+IF($R$17="Distrato",$I$38-1,0)),IF(AND($L$711=0,$P$708=0),"",$L$711-1),IF($R$17="Distrato",$E813,0)),MIN(AA$38,$D$19),$P$20))-SUM($P813:Z813)</f>
        <v>#VALUE!</v>
      </c>
      <c r="AB813" s="446" t="e">
        <f>IF(OR($B813="",MIN(AB$38,$D$19)&lt;MAX($P$708*($B813+IF($R$17="Distrato",$I$38-1,0)),IF(AND($L$711=0,$P$708=0),"",$L$711-1),IF($R$17="Distrato",$E813,0))),0,YEARFRAC(MAX($P$708*($B813+IF($R$17="Distrato",$I$38-1,0)),IF(AND($L$711=0,$P$708=0),"",$L$711-1),IF($R$17="Distrato",$E813,0)),MIN(AB$38,$D$19),$P$20))-SUM($P813:AA813)</f>
        <v>#VALUE!</v>
      </c>
      <c r="AC813" s="446" t="e">
        <f>IF(OR($B813="",MIN(AC$38,$D$19)&lt;MAX($P$708*($B813+IF($R$17="Distrato",$I$38-1,0)),IF(AND($L$711=0,$P$708=0),"",$L$711-1),IF($R$17="Distrato",$E813,0))),0,YEARFRAC(MAX($P$708*($B813+IF($R$17="Distrato",$I$38-1,0)),IF(AND($L$711=0,$P$708=0),"",$L$711-1),IF($R$17="Distrato",$E813,0)),MIN(AC$38,$D$19),$P$20))-SUM($P813:AB813)</f>
        <v>#VALUE!</v>
      </c>
      <c r="AD813" s="446" t="e">
        <f>IF(OR($B813="",MIN(AD$38,$D$19)&lt;MAX($P$708*($B813+IF($R$17="Distrato",$I$38-1,0)),IF(AND($L$711=0,$P$708=0),"",$L$711-1),IF($R$17="Distrato",$E813,0))),0,YEARFRAC(MAX($P$708*($B813+IF($R$17="Distrato",$I$38-1,0)),IF(AND($L$711=0,$P$708=0),"",$L$711-1),IF($R$17="Distrato",$E813,0)),MIN(AD$38,$D$19),$P$20))-SUM($P813:AC813)</f>
        <v>#VALUE!</v>
      </c>
      <c r="AE813" s="446" t="e">
        <f>IF(OR($B813="",MIN(AE$38,$D$19)&lt;MAX($P$708*($B813+IF($R$17="Distrato",$I$38-1,0)),IF(AND($L$711=0,$P$708=0),"",$L$711-1),IF($R$17="Distrato",$E813,0))),0,YEARFRAC(MAX($P$708*($B813+IF($R$17="Distrato",$I$38-1,0)),IF(AND($L$711=0,$P$708=0),"",$L$711-1),IF($R$17="Distrato",$E813,0)),MIN(AE$38,$D$19),$P$20))-SUM($P813:AD813)</f>
        <v>#VALUE!</v>
      </c>
      <c r="AF813" s="446" t="e">
        <f>IF(OR($B813="",MIN(AF$38,$D$19)&lt;MAX($P$708*($B813+IF($R$17="Distrato",$I$38-1,0)),IF(AND($L$711=0,$P$708=0),"",$L$711-1),IF($R$17="Distrato",$E813,0))),0,YEARFRAC(MAX($P$708*($B813+IF($R$17="Distrato",$I$38-1,0)),IF(AND($L$711=0,$P$708=0),"",$L$711-1),IF($R$17="Distrato",$E813,0)),MIN(AF$38,$D$19),$P$20))-SUM($P813:AE813)</f>
        <v>#VALUE!</v>
      </c>
      <c r="AG813" s="446" t="e">
        <f>IF(OR($B813="",MIN(AG$38,$D$19)&lt;MAX($P$708*($B813+IF($R$17="Distrato",$I$38-1,0)),IF(AND($L$711=0,$P$708=0),"",$L$711-1),IF($R$17="Distrato",$E813,0))),0,YEARFRAC(MAX($P$708*($B813+IF($R$17="Distrato",$I$38-1,0)),IF(AND($L$711=0,$P$708=0),"",$L$711-1),IF($R$17="Distrato",$E813,0)),MIN(AG$38,$D$19),$P$20))-SUM($P813:AF813)</f>
        <v>#VALUE!</v>
      </c>
      <c r="AH813" s="446" t="e">
        <f>IF(OR($B813="",MIN(AH$38,$D$19)&lt;MAX($P$708*($B813+IF($R$17="Distrato",$I$38-1,0)),IF(AND($L$711=0,$P$708=0),"",$L$711-1),IF($R$17="Distrato",$E813,0))),0,YEARFRAC(MAX($P$708*($B813+IF($R$17="Distrato",$I$38-1,0)),IF(AND($L$711=0,$P$708=0),"",$L$711-1),IF($R$17="Distrato",$E813,0)),MIN(AH$38,$D$19),$P$20))-SUM($P813:AG813)</f>
        <v>#VALUE!</v>
      </c>
      <c r="AI813" s="446" t="e">
        <f>IF(OR($B813="",MIN(AI$38,$D$19)&lt;MAX($P$708*($B813+IF($R$17="Distrato",$I$38-1,0)),IF(AND($L$711=0,$P$708=0),"",$L$711-1),IF($R$17="Distrato",$E813,0))),0,YEARFRAC(MAX($P$708*($B813+IF($R$17="Distrato",$I$38-1,0)),IF(AND($L$711=0,$P$708=0),"",$L$711-1),IF($R$17="Distrato",$E813,0)),MIN(AI$38,$D$19),$P$20))-SUM($P813:AH813)</f>
        <v>#VALUE!</v>
      </c>
      <c r="AJ813" s="446" t="e">
        <f>IF(OR($B813="",MIN(AJ$38,$D$19)&lt;MAX($P$708*($B813+IF($R$17="Distrato",$I$38-1,0)),IF(AND($L$711=0,$P$708=0),"",$L$711-1),IF($R$17="Distrato",$E813,0))),0,YEARFRAC(MAX($P$708*($B813+IF($R$17="Distrato",$I$38-1,0)),IF(AND($L$711=0,$P$708=0),"",$L$711-1),IF($R$17="Distrato",$E813,0)),MIN(AJ$38,$D$19),$P$20))-SUM($P813:AI813)</f>
        <v>#VALUE!</v>
      </c>
      <c r="AK813" s="446" t="e">
        <f>IF(OR($B813="",MIN(AK$38,$D$19)&lt;MAX($P$708*($B813+IF($R$17="Distrato",$I$38-1,0)),IF(AND($L$711=0,$P$708=0),"",$L$711-1),IF($R$17="Distrato",$E813,0))),0,YEARFRAC(MAX($P$708*($B813+IF($R$17="Distrato",$I$38-1,0)),IF(AND($L$711=0,$P$708=0),"",$L$711-1),IF($R$17="Distrato",$E813,0)),MIN(AK$38,$D$19),$P$20))-SUM($P813:AJ813)</f>
        <v>#VALUE!</v>
      </c>
      <c r="AL813" s="446" t="e">
        <f>IF(OR($B813="",MIN(AL$38,$D$19)&lt;MAX($P$708*($B813+IF($R$17="Distrato",$I$38-1,0)),IF(AND($L$711=0,$P$708=0),"",$L$711-1),IF($R$17="Distrato",$E813,0))),0,YEARFRAC(MAX($P$708*($B813+IF($R$17="Distrato",$I$38-1,0)),IF(AND($L$711=0,$P$708=0),"",$L$711-1),IF($R$17="Distrato",$E813,0)),MIN(AL$38,$D$19),$P$20))-SUM($P813:AK813)</f>
        <v>#VALUE!</v>
      </c>
      <c r="AM813" s="446" t="e">
        <f>IF(OR($B813="",MIN(AM$38,$D$19)&lt;MAX($P$708*($B813+IF($R$17="Distrato",$I$38-1,0)),IF(AND($L$711=0,$P$708=0),"",$L$711-1),IF($R$17="Distrato",$E813,0))),0,YEARFRAC(MAX($P$708*($B813+IF($R$17="Distrato",$I$38-1,0)),IF(AND($L$711=0,$P$708=0),"",$L$711-1),IF($R$17="Distrato",$E813,0)),MIN(AM$38,$D$19),$P$20))-SUM($P813:AL813)</f>
        <v>#VALUE!</v>
      </c>
      <c r="AN813" s="446" t="e">
        <f>IF(OR($B813="",MIN(AN$38,$D$19)&lt;MAX($P$708*($B813+IF($R$17="Distrato",$I$38-1,0)),IF(AND($L$711=0,$P$708=0),"",$L$711-1),IF($R$17="Distrato",$E813,0))),0,YEARFRAC(MAX($P$708*($B813+IF($R$17="Distrato",$I$38-1,0)),IF(AND($L$711=0,$P$708=0),"",$L$711-1),IF($R$17="Distrato",$E813,0)),MIN(AN$38,$D$19),$P$20))-SUM($P813:AM813)</f>
        <v>#VALUE!</v>
      </c>
      <c r="AO813" s="446" t="e">
        <f>IF(OR($B813="",MIN(AO$38,$D$19)&lt;MAX($P$708*($B813+IF($R$17="Distrato",$I$38-1,0)),IF(AND($L$711=0,$P$708=0),"",$L$711-1),IF($R$17="Distrato",$E813,0))),0,YEARFRAC(MAX($P$708*($B813+IF($R$17="Distrato",$I$38-1,0)),IF(AND($L$711=0,$P$708=0),"",$L$711-1),IF($R$17="Distrato",$E813,0)),MIN(AO$38,$D$19),$P$20))-SUM($P813:AN813)</f>
        <v>#VALUE!</v>
      </c>
      <c r="AP813" s="446" t="e">
        <f>IF(OR($B813="",MIN(AP$38,$D$19)&lt;MAX($P$708*($B813+IF($R$17="Distrato",$I$38-1,0)),IF(AND($L$711=0,$P$708=0),"",$L$711-1),IF($R$17="Distrato",$E813,0))),0,YEARFRAC(MAX($P$708*($B813+IF($R$17="Distrato",$I$38-1,0)),IF(AND($L$711=0,$P$708=0),"",$L$711-1),IF($R$17="Distrato",$E813,0)),MIN(AP$38,$D$19),$P$20))-SUM($P813:AO813)</f>
        <v>#VALUE!</v>
      </c>
      <c r="AQ813" s="446" t="e">
        <f>IF(OR($B813="",MIN(AQ$38,$D$19)&lt;MAX($P$708*($B813+IF($R$17="Distrato",$I$38-1,0)),IF(AND($L$711=0,$P$708=0),"",$L$711-1),IF($R$17="Distrato",$E813,0))),0,YEARFRAC(MAX($P$708*($B813+IF($R$17="Distrato",$I$38-1,0)),IF(AND($L$711=0,$P$708=0),"",$L$711-1),IF($R$17="Distrato",$E813,0)),MIN(AQ$38,$D$19),$P$20))-SUM($P813:AP813)</f>
        <v>#VALUE!</v>
      </c>
      <c r="AR813" s="446" t="e">
        <f>IF(OR($B813="",MIN(AR$38,$D$19)&lt;MAX($P$708*($B813+IF($R$17="Distrato",$I$38-1,0)),IF(AND($L$711=0,$P$708=0),"",$L$711-1),IF($R$17="Distrato",$E813,0))),0,YEARFRAC(MAX($P$708*($B813+IF($R$17="Distrato",$I$38-1,0)),IF(AND($L$711=0,$P$708=0),"",$L$711-1),IF($R$17="Distrato",$E813,0)),MIN(AR$38,$D$19),$P$20))-SUM($P813:AQ813)</f>
        <v>#VALUE!</v>
      </c>
      <c r="AS813" s="446" t="e">
        <f>IF(OR($B813="",MIN(AS$38,$D$19)&lt;MAX($P$708*($B813+IF($R$17="Distrato",$I$38-1,0)),IF(AND($L$711=0,$P$708=0),"",$L$711-1),IF($R$17="Distrato",$E813,0))),0,YEARFRAC(MAX($P$708*($B813+IF($R$17="Distrato",$I$38-1,0)),IF(AND($L$711=0,$P$708=0),"",$L$711-1),IF($R$17="Distrato",$E813,0)),MIN(AS$38,$D$19),$P$20))-SUM($P813:AR813)</f>
        <v>#VALUE!</v>
      </c>
      <c r="AT813" s="446" t="e">
        <f>IF(OR($B813="",MIN(AT$38,$D$19)&lt;MAX($P$708*($B813+IF($R$17="Distrato",$I$38-1,0)),IF(AND($L$711=0,$P$708=0),"",$L$711-1),IF($R$17="Distrato",$E813,0))),0,YEARFRAC(MAX($P$708*($B813+IF($R$17="Distrato",$I$38-1,0)),IF(AND($L$711=0,$P$708=0),"",$L$711-1),IF($R$17="Distrato",$E813,0)),MIN(AT$38,$D$19),$P$20))-SUM($P813:AS813)</f>
        <v>#VALUE!</v>
      </c>
      <c r="AU813" s="446" t="e">
        <f>IF(OR($B813="",MIN(AU$38,$D$19)&lt;MAX($P$708*($B813+IF($R$17="Distrato",$I$38-1,0)),IF(AND($L$711=0,$P$708=0),"",$L$711-1),IF($R$17="Distrato",$E813,0))),0,YEARFRAC(MAX($P$708*($B813+IF($R$17="Distrato",$I$38-1,0)),IF(AND($L$711=0,$P$708=0),"",$L$711-1),IF($R$17="Distrato",$E813,0)),MIN(AU$38,$D$19),$P$20))-SUM($P813:AT813)</f>
        <v>#VALUE!</v>
      </c>
      <c r="AV813" s="446" t="e">
        <f>IF(OR($B813="",MIN(AV$38,$D$19)&lt;MAX($P$708*($B813+IF($R$17="Distrato",$I$38-1,0)),IF(AND($L$711=0,$P$708=0),"",$L$711-1),IF($R$17="Distrato",$E813,0))),0,YEARFRAC(MAX($P$708*($B813+IF($R$17="Distrato",$I$38-1,0)),IF(AND($L$711=0,$P$708=0),"",$L$711-1),IF($R$17="Distrato",$E813,0)),MIN(AV$38,$D$19),$P$20))-SUM($P813:AU813)</f>
        <v>#VALUE!</v>
      </c>
      <c r="AW813" s="446" t="e">
        <f>IF(OR($B813="",MIN(AW$38,$D$19)&lt;MAX($P$708*($B813+IF($R$17="Distrato",$I$38-1,0)),IF(AND($L$711=0,$P$708=0),"",$L$711-1),IF($R$17="Distrato",$E813,0))),0,YEARFRAC(MAX($P$708*($B813+IF($R$17="Distrato",$I$38-1,0)),IF(AND($L$711=0,$P$708=0),"",$L$711-1),IF($R$17="Distrato",$E813,0)),MIN(AW$38,$D$19),$P$20))-SUM($P813:AV813)</f>
        <v>#VALUE!</v>
      </c>
      <c r="AX813" s="446" t="e">
        <f>IF(OR($B813="",MIN(AX$38,$D$19)&lt;MAX($P$708*($B813+IF($R$17="Distrato",$I$38-1,0)),IF(AND($L$711=0,$P$708=0),"",$L$711-1),IF($R$17="Distrato",$E813,0))),0,YEARFRAC(MAX($P$708*($B813+IF($R$17="Distrato",$I$38-1,0)),IF(AND($L$711=0,$P$708=0),"",$L$711-1),IF($R$17="Distrato",$E813,0)),MIN(AX$38,$D$19),$P$20))-SUM($P813:AW813)</f>
        <v>#VALUE!</v>
      </c>
      <c r="AY813" s="446" t="e">
        <f>IF(OR($B813="",MIN(AY$38,$D$19)&lt;MAX($P$708*($B813+IF($R$17="Distrato",$I$38-1,0)),IF(AND($L$711=0,$P$708=0),"",$L$711-1),IF($R$17="Distrato",$E813,0))),0,YEARFRAC(MAX($P$708*($B813+IF($R$17="Distrato",$I$38-1,0)),IF(AND($L$711=0,$P$708=0),"",$L$711-1),IF($R$17="Distrato",$E813,0)),MIN(AY$38,$D$19),$P$20))-SUM($P813:AX813)</f>
        <v>#VALUE!</v>
      </c>
      <c r="AZ813" s="446" t="e">
        <f>IF(OR($B813="",MIN(AZ$38,$D$19)&lt;MAX($P$708*($B813+IF($R$17="Distrato",$I$38-1,0)),IF(AND($L$711=0,$P$708=0),"",$L$711-1),IF($R$17="Distrato",$E813,0))),0,YEARFRAC(MAX($P$708*($B813+IF($R$17="Distrato",$I$38-1,0)),IF(AND($L$711=0,$P$708=0),"",$L$711-1),IF($R$17="Distrato",$E813,0)),MIN(AZ$38,$D$19),$P$20))-SUM($P813:AY813)</f>
        <v>#VALUE!</v>
      </c>
      <c r="BA813" s="446" t="e">
        <f>IF(OR($B813="",MIN(BA$38,$D$19)&lt;MAX($P$708*($B813+IF($R$17="Distrato",$I$38-1,0)),IF(AND($L$711=0,$P$708=0),"",$L$711-1),IF($R$17="Distrato",$E813,0))),0,YEARFRAC(MAX($P$708*($B813+IF($R$17="Distrato",$I$38-1,0)),IF(AND($L$711=0,$P$708=0),"",$L$711-1),IF($R$17="Distrato",$E813,0)),MIN(BA$38,$D$19),$P$20))-SUM($P813:AZ813)</f>
        <v>#VALUE!</v>
      </c>
      <c r="BB813" s="447"/>
    </row>
    <row r="814" spans="1:54" s="446" customFormat="1" ht="11.25" hidden="1" customHeight="1" x14ac:dyDescent="0.2">
      <c r="A814" s="235"/>
      <c r="B814" s="236"/>
      <c r="C814" s="29" t="str">
        <f>IF(B814="","",IF($L$709=$BL$25,VLOOKUP(DATE(YEAR($D$19),MONTH($D$19)-1,1),ÍNDICES!$A:$DE,HLOOKUP($BL$25,ÍNDICES!$B$3:$T$4,2)+11)-VLOOKUP(B814,ÍNDICES!$A:$DE,HLOOKUP($BL$25,ÍNDICES!$B$3:$T$4,2)+11)+1%,IF(C$712=$W$26,$J$35,IF(ISERROR(IF(B814&gt;$D$19,1,VLOOKUP(DATE(YEAR(B814),MONTH(B814)+IF($C$709=$S$23,1,0),1),ÍNDICES!$A:$DE,$Z$709+1))),"",IF(B814&gt;$D$19,1,VLOOKUP(DATE(YEAR(B814),MONTH(B814)+IF($C$709=$S$23,1,0),1),ÍNDICES!$A:$DE,$Z$709+1))))))</f>
        <v/>
      </c>
      <c r="D814" s="155"/>
      <c r="E814" s="88"/>
      <c r="F814" s="88"/>
      <c r="G814" s="88"/>
      <c r="H814" s="118"/>
      <c r="I814" s="182">
        <f t="shared" si="122"/>
        <v>0</v>
      </c>
      <c r="J814" s="20">
        <f t="shared" ca="1" si="123"/>
        <v>0</v>
      </c>
      <c r="K814" s="5">
        <f t="shared" ca="1" si="124"/>
        <v>0</v>
      </c>
      <c r="L814" s="61">
        <f t="shared" ca="1" si="125"/>
        <v>0</v>
      </c>
      <c r="M814" s="64">
        <f t="shared" si="126"/>
        <v>0</v>
      </c>
      <c r="N814" s="151"/>
      <c r="O814" s="5">
        <f t="shared" ca="1" si="127"/>
        <v>0</v>
      </c>
      <c r="P814" s="446" t="e">
        <f t="shared" si="128"/>
        <v>#VALUE!</v>
      </c>
      <c r="Q814" s="446" t="e">
        <f>IF(OR($B814="",MIN(Q$38,$D$19)&lt;MAX($P$708*($B814+IF($R$17="Distrato",$I$38-1,0)),IF(AND($L$711=0,$P$708=0),"",$L$711-1),IF($R$17="Distrato",$E814,0))),0,YEARFRAC(MAX($P$708*($B814+IF($R$17="Distrato",$I$38-1,0)),IF(AND($L$711=0,$P$708=0),"",$L$711-1),IF($R$17="Distrato",$E814,0)),MIN(Q$38,$D$19),$P$20))-SUM($P814:P814)</f>
        <v>#VALUE!</v>
      </c>
      <c r="R814" s="446" t="e">
        <f>IF(OR($B814="",MIN(R$38,$D$19)&lt;MAX($P$708*($B814+IF($R$17="Distrato",$I$38-1,0)),IF(AND($L$711=0,$P$708=0),"",$L$711-1),IF($R$17="Distrato",$E814,0))),0,YEARFRAC(MAX($P$708*($B814+IF($R$17="Distrato",$I$38-1,0)),IF(AND($L$711=0,$P$708=0),"",$L$711-1),IF($R$17="Distrato",$E814,0)),MIN(R$38,$D$19),$P$20))-SUM($P814:Q814)</f>
        <v>#VALUE!</v>
      </c>
      <c r="S814" s="446" t="e">
        <f>IF(OR($B814="",MIN(S$38,$D$19)&lt;MAX($P$708*($B814+IF($R$17="Distrato",$I$38-1,0)),IF(AND($L$711=0,$P$708=0),"",$L$711-1),IF($R$17="Distrato",$E814,0))),0,YEARFRAC(MAX($P$708*($B814+IF($R$17="Distrato",$I$38-1,0)),IF(AND($L$711=0,$P$708=0),"",$L$711-1),IF($R$17="Distrato",$E814,0)),MIN(S$38,$D$19),$P$20))-SUM($P814:R814)</f>
        <v>#VALUE!</v>
      </c>
      <c r="T814" s="446" t="e">
        <f>IF(OR($B814="",MIN(T$38,$D$19)&lt;MAX($P$708*($B814+IF($R$17="Distrato",$I$38-1,0)),IF(AND($L$711=0,$P$708=0),"",$L$711-1),IF($R$17="Distrato",$E814,0))),0,YEARFRAC(MAX($P$708*($B814+IF($R$17="Distrato",$I$38-1,0)),IF(AND($L$711=0,$P$708=0),"",$L$711-1),IF($R$17="Distrato",$E814,0)),MIN(T$38,$D$19),$P$20))-SUM($P814:S814)</f>
        <v>#VALUE!</v>
      </c>
      <c r="U814" s="446" t="e">
        <f>IF(OR($B814="",MIN(U$38,$D$19)&lt;MAX($P$708*($B814+IF($R$17="Distrato",$I$38-1,0)),IF(AND($L$711=0,$P$708=0),"",$L$711-1),IF($R$17="Distrato",$E814,0))),0,YEARFRAC(MAX($P$708*($B814+IF($R$17="Distrato",$I$38-1,0)),IF(AND($L$711=0,$P$708=0),"",$L$711-1),IF($R$17="Distrato",$E814,0)),MIN(U$38,$D$19),$P$20))-SUM($P814:T814)</f>
        <v>#VALUE!</v>
      </c>
      <c r="V814" s="446" t="e">
        <f>IF(OR($B814="",MIN(V$38,$D$19)&lt;MAX($P$708*($B814+IF($R$17="Distrato",$I$38-1,0)),IF(AND($L$711=0,$P$708=0),"",$L$711-1),IF($R$17="Distrato",$E814,0))),0,YEARFRAC(MAX($P$708*($B814+IF($R$17="Distrato",$I$38-1,0)),IF(AND($L$711=0,$P$708=0),"",$L$711-1),IF($R$17="Distrato",$E814,0)),MIN(V$38,$D$19),$P$20))-SUM($P814:U814)</f>
        <v>#VALUE!</v>
      </c>
      <c r="W814" s="446" t="e">
        <f>IF(OR($B814="",MIN(W$38,$D$19)&lt;MAX($P$708*($B814+IF($R$17="Distrato",$I$38-1,0)),IF(AND($L$711=0,$P$708=0),"",$L$711-1),IF($R$17="Distrato",$E814,0))),0,YEARFRAC(MAX($P$708*($B814+IF($R$17="Distrato",$I$38-1,0)),IF(AND($L$711=0,$P$708=0),"",$L$711-1),IF($R$17="Distrato",$E814,0)),MIN(W$38,$D$19),$P$20))-SUM($P814:V814)</f>
        <v>#VALUE!</v>
      </c>
      <c r="X814" s="446" t="e">
        <f>IF(OR($B814="",MIN(X$38,$D$19)&lt;MAX($P$708*($B814+IF($R$17="Distrato",$I$38-1,0)),IF(AND($L$711=0,$P$708=0),"",$L$711-1),IF($R$17="Distrato",$E814,0))),0,YEARFRAC(MAX($P$708*($B814+IF($R$17="Distrato",$I$38-1,0)),IF(AND($L$711=0,$P$708=0),"",$L$711-1),IF($R$17="Distrato",$E814,0)),MIN(X$38,$D$19),$P$20))-SUM($P814:W814)</f>
        <v>#VALUE!</v>
      </c>
      <c r="Y814" s="446" t="e">
        <f>IF(OR($B814="",MIN(Y$38,$D$19)&lt;MAX($P$708*($B814+IF($R$17="Distrato",$I$38-1,0)),IF(AND($L$711=0,$P$708=0),"",$L$711-1),IF($R$17="Distrato",$E814,0))),0,YEARFRAC(MAX($P$708*($B814+IF($R$17="Distrato",$I$38-1,0)),IF(AND($L$711=0,$P$708=0),"",$L$711-1),IF($R$17="Distrato",$E814,0)),MIN(Y$38,$D$19),$P$20))-SUM($P814:X814)</f>
        <v>#VALUE!</v>
      </c>
      <c r="Z814" s="446" t="e">
        <f>IF(OR($B814="",MIN(Z$38,$D$19)&lt;MAX($P$708*($B814+IF($R$17="Distrato",$I$38-1,0)),IF(AND($L$711=0,$P$708=0),"",$L$711-1),IF($R$17="Distrato",$E814,0))),0,YEARFRAC(MAX($P$708*($B814+IF($R$17="Distrato",$I$38-1,0)),IF(AND($L$711=0,$P$708=0),"",$L$711-1),IF($R$17="Distrato",$E814,0)),MIN(Z$38,$D$19),$P$20))-SUM($P814:Y814)</f>
        <v>#VALUE!</v>
      </c>
      <c r="AA814" s="446" t="e">
        <f>IF(OR($B814="",MIN(AA$38,$D$19)&lt;MAX($P$708*($B814+IF($R$17="Distrato",$I$38-1,0)),IF(AND($L$711=0,$P$708=0),"",$L$711-1),IF($R$17="Distrato",$E814,0))),0,YEARFRAC(MAX($P$708*($B814+IF($R$17="Distrato",$I$38-1,0)),IF(AND($L$711=0,$P$708=0),"",$L$711-1),IF($R$17="Distrato",$E814,0)),MIN(AA$38,$D$19),$P$20))-SUM($P814:Z814)</f>
        <v>#VALUE!</v>
      </c>
      <c r="AB814" s="446" t="e">
        <f>IF(OR($B814="",MIN(AB$38,$D$19)&lt;MAX($P$708*($B814+IF($R$17="Distrato",$I$38-1,0)),IF(AND($L$711=0,$P$708=0),"",$L$711-1),IF($R$17="Distrato",$E814,0))),0,YEARFRAC(MAX($P$708*($B814+IF($R$17="Distrato",$I$38-1,0)),IF(AND($L$711=0,$P$708=0),"",$L$711-1),IF($R$17="Distrato",$E814,0)),MIN(AB$38,$D$19),$P$20))-SUM($P814:AA814)</f>
        <v>#VALUE!</v>
      </c>
      <c r="AC814" s="446" t="e">
        <f>IF(OR($B814="",MIN(AC$38,$D$19)&lt;MAX($P$708*($B814+IF($R$17="Distrato",$I$38-1,0)),IF(AND($L$711=0,$P$708=0),"",$L$711-1),IF($R$17="Distrato",$E814,0))),0,YEARFRAC(MAX($P$708*($B814+IF($R$17="Distrato",$I$38-1,0)),IF(AND($L$711=0,$P$708=0),"",$L$711-1),IF($R$17="Distrato",$E814,0)),MIN(AC$38,$D$19),$P$20))-SUM($P814:AB814)</f>
        <v>#VALUE!</v>
      </c>
      <c r="AD814" s="446" t="e">
        <f>IF(OR($B814="",MIN(AD$38,$D$19)&lt;MAX($P$708*($B814+IF($R$17="Distrato",$I$38-1,0)),IF(AND($L$711=0,$P$708=0),"",$L$711-1),IF($R$17="Distrato",$E814,0))),0,YEARFRAC(MAX($P$708*($B814+IF($R$17="Distrato",$I$38-1,0)),IF(AND($L$711=0,$P$708=0),"",$L$711-1),IF($R$17="Distrato",$E814,0)),MIN(AD$38,$D$19),$P$20))-SUM($P814:AC814)</f>
        <v>#VALUE!</v>
      </c>
      <c r="AE814" s="446" t="e">
        <f>IF(OR($B814="",MIN(AE$38,$D$19)&lt;MAX($P$708*($B814+IF($R$17="Distrato",$I$38-1,0)),IF(AND($L$711=0,$P$708=0),"",$L$711-1),IF($R$17="Distrato",$E814,0))),0,YEARFRAC(MAX($P$708*($B814+IF($R$17="Distrato",$I$38-1,0)),IF(AND($L$711=0,$P$708=0),"",$L$711-1),IF($R$17="Distrato",$E814,0)),MIN(AE$38,$D$19),$P$20))-SUM($P814:AD814)</f>
        <v>#VALUE!</v>
      </c>
      <c r="AF814" s="446" t="e">
        <f>IF(OR($B814="",MIN(AF$38,$D$19)&lt;MAX($P$708*($B814+IF($R$17="Distrato",$I$38-1,0)),IF(AND($L$711=0,$P$708=0),"",$L$711-1),IF($R$17="Distrato",$E814,0))),0,YEARFRAC(MAX($P$708*($B814+IF($R$17="Distrato",$I$38-1,0)),IF(AND($L$711=0,$P$708=0),"",$L$711-1),IF($R$17="Distrato",$E814,0)),MIN(AF$38,$D$19),$P$20))-SUM($P814:AE814)</f>
        <v>#VALUE!</v>
      </c>
      <c r="AG814" s="446" t="e">
        <f>IF(OR($B814="",MIN(AG$38,$D$19)&lt;MAX($P$708*($B814+IF($R$17="Distrato",$I$38-1,0)),IF(AND($L$711=0,$P$708=0),"",$L$711-1),IF($R$17="Distrato",$E814,0))),0,YEARFRAC(MAX($P$708*($B814+IF($R$17="Distrato",$I$38-1,0)),IF(AND($L$711=0,$P$708=0),"",$L$711-1),IF($R$17="Distrato",$E814,0)),MIN(AG$38,$D$19),$P$20))-SUM($P814:AF814)</f>
        <v>#VALUE!</v>
      </c>
      <c r="AH814" s="446" t="e">
        <f>IF(OR($B814="",MIN(AH$38,$D$19)&lt;MAX($P$708*($B814+IF($R$17="Distrato",$I$38-1,0)),IF(AND($L$711=0,$P$708=0),"",$L$711-1),IF($R$17="Distrato",$E814,0))),0,YEARFRAC(MAX($P$708*($B814+IF($R$17="Distrato",$I$38-1,0)),IF(AND($L$711=0,$P$708=0),"",$L$711-1),IF($R$17="Distrato",$E814,0)),MIN(AH$38,$D$19),$P$20))-SUM($P814:AG814)</f>
        <v>#VALUE!</v>
      </c>
      <c r="AI814" s="446" t="e">
        <f>IF(OR($B814="",MIN(AI$38,$D$19)&lt;MAX($P$708*($B814+IF($R$17="Distrato",$I$38-1,0)),IF(AND($L$711=0,$P$708=0),"",$L$711-1),IF($R$17="Distrato",$E814,0))),0,YEARFRAC(MAX($P$708*($B814+IF($R$17="Distrato",$I$38-1,0)),IF(AND($L$711=0,$P$708=0),"",$L$711-1),IF($R$17="Distrato",$E814,0)),MIN(AI$38,$D$19),$P$20))-SUM($P814:AH814)</f>
        <v>#VALUE!</v>
      </c>
      <c r="AJ814" s="446" t="e">
        <f>IF(OR($B814="",MIN(AJ$38,$D$19)&lt;MAX($P$708*($B814+IF($R$17="Distrato",$I$38-1,0)),IF(AND($L$711=0,$P$708=0),"",$L$711-1),IF($R$17="Distrato",$E814,0))),0,YEARFRAC(MAX($P$708*($B814+IF($R$17="Distrato",$I$38-1,0)),IF(AND($L$711=0,$P$708=0),"",$L$711-1),IF($R$17="Distrato",$E814,0)),MIN(AJ$38,$D$19),$P$20))-SUM($P814:AI814)</f>
        <v>#VALUE!</v>
      </c>
      <c r="AK814" s="446" t="e">
        <f>IF(OR($B814="",MIN(AK$38,$D$19)&lt;MAX($P$708*($B814+IF($R$17="Distrato",$I$38-1,0)),IF(AND($L$711=0,$P$708=0),"",$L$711-1),IF($R$17="Distrato",$E814,0))),0,YEARFRAC(MAX($P$708*($B814+IF($R$17="Distrato",$I$38-1,0)),IF(AND($L$711=0,$P$708=0),"",$L$711-1),IF($R$17="Distrato",$E814,0)),MIN(AK$38,$D$19),$P$20))-SUM($P814:AJ814)</f>
        <v>#VALUE!</v>
      </c>
      <c r="AL814" s="446" t="e">
        <f>IF(OR($B814="",MIN(AL$38,$D$19)&lt;MAX($P$708*($B814+IF($R$17="Distrato",$I$38-1,0)),IF(AND($L$711=0,$P$708=0),"",$L$711-1),IF($R$17="Distrato",$E814,0))),0,YEARFRAC(MAX($P$708*($B814+IF($R$17="Distrato",$I$38-1,0)),IF(AND($L$711=0,$P$708=0),"",$L$711-1),IF($R$17="Distrato",$E814,0)),MIN(AL$38,$D$19),$P$20))-SUM($P814:AK814)</f>
        <v>#VALUE!</v>
      </c>
      <c r="AM814" s="446" t="e">
        <f>IF(OR($B814="",MIN(AM$38,$D$19)&lt;MAX($P$708*($B814+IF($R$17="Distrato",$I$38-1,0)),IF(AND($L$711=0,$P$708=0),"",$L$711-1),IF($R$17="Distrato",$E814,0))),0,YEARFRAC(MAX($P$708*($B814+IF($R$17="Distrato",$I$38-1,0)),IF(AND($L$711=0,$P$708=0),"",$L$711-1),IF($R$17="Distrato",$E814,0)),MIN(AM$38,$D$19),$P$20))-SUM($P814:AL814)</f>
        <v>#VALUE!</v>
      </c>
      <c r="AN814" s="446" t="e">
        <f>IF(OR($B814="",MIN(AN$38,$D$19)&lt;MAX($P$708*($B814+IF($R$17="Distrato",$I$38-1,0)),IF(AND($L$711=0,$P$708=0),"",$L$711-1),IF($R$17="Distrato",$E814,0))),0,YEARFRAC(MAX($P$708*($B814+IF($R$17="Distrato",$I$38-1,0)),IF(AND($L$711=0,$P$708=0),"",$L$711-1),IF($R$17="Distrato",$E814,0)),MIN(AN$38,$D$19),$P$20))-SUM($P814:AM814)</f>
        <v>#VALUE!</v>
      </c>
      <c r="AO814" s="446" t="e">
        <f>IF(OR($B814="",MIN(AO$38,$D$19)&lt;MAX($P$708*($B814+IF($R$17="Distrato",$I$38-1,0)),IF(AND($L$711=0,$P$708=0),"",$L$711-1),IF($R$17="Distrato",$E814,0))),0,YEARFRAC(MAX($P$708*($B814+IF($R$17="Distrato",$I$38-1,0)),IF(AND($L$711=0,$P$708=0),"",$L$711-1),IF($R$17="Distrato",$E814,0)),MIN(AO$38,$D$19),$P$20))-SUM($P814:AN814)</f>
        <v>#VALUE!</v>
      </c>
      <c r="AP814" s="446" t="e">
        <f>IF(OR($B814="",MIN(AP$38,$D$19)&lt;MAX($P$708*($B814+IF($R$17="Distrato",$I$38-1,0)),IF(AND($L$711=0,$P$708=0),"",$L$711-1),IF($R$17="Distrato",$E814,0))),0,YEARFRAC(MAX($P$708*($B814+IF($R$17="Distrato",$I$38-1,0)),IF(AND($L$711=0,$P$708=0),"",$L$711-1),IF($R$17="Distrato",$E814,0)),MIN(AP$38,$D$19),$P$20))-SUM($P814:AO814)</f>
        <v>#VALUE!</v>
      </c>
      <c r="AQ814" s="446" t="e">
        <f>IF(OR($B814="",MIN(AQ$38,$D$19)&lt;MAX($P$708*($B814+IF($R$17="Distrato",$I$38-1,0)),IF(AND($L$711=0,$P$708=0),"",$L$711-1),IF($R$17="Distrato",$E814,0))),0,YEARFRAC(MAX($P$708*($B814+IF($R$17="Distrato",$I$38-1,0)),IF(AND($L$711=0,$P$708=0),"",$L$711-1),IF($R$17="Distrato",$E814,0)),MIN(AQ$38,$D$19),$P$20))-SUM($P814:AP814)</f>
        <v>#VALUE!</v>
      </c>
      <c r="AR814" s="446" t="e">
        <f>IF(OR($B814="",MIN(AR$38,$D$19)&lt;MAX($P$708*($B814+IF($R$17="Distrato",$I$38-1,0)),IF(AND($L$711=0,$P$708=0),"",$L$711-1),IF($R$17="Distrato",$E814,0))),0,YEARFRAC(MAX($P$708*($B814+IF($R$17="Distrato",$I$38-1,0)),IF(AND($L$711=0,$P$708=0),"",$L$711-1),IF($R$17="Distrato",$E814,0)),MIN(AR$38,$D$19),$P$20))-SUM($P814:AQ814)</f>
        <v>#VALUE!</v>
      </c>
      <c r="AS814" s="446" t="e">
        <f>IF(OR($B814="",MIN(AS$38,$D$19)&lt;MAX($P$708*($B814+IF($R$17="Distrato",$I$38-1,0)),IF(AND($L$711=0,$P$708=0),"",$L$711-1),IF($R$17="Distrato",$E814,0))),0,YEARFRAC(MAX($P$708*($B814+IF($R$17="Distrato",$I$38-1,0)),IF(AND($L$711=0,$P$708=0),"",$L$711-1),IF($R$17="Distrato",$E814,0)),MIN(AS$38,$D$19),$P$20))-SUM($P814:AR814)</f>
        <v>#VALUE!</v>
      </c>
      <c r="AT814" s="446" t="e">
        <f>IF(OR($B814="",MIN(AT$38,$D$19)&lt;MAX($P$708*($B814+IF($R$17="Distrato",$I$38-1,0)),IF(AND($L$711=0,$P$708=0),"",$L$711-1),IF($R$17="Distrato",$E814,0))),0,YEARFRAC(MAX($P$708*($B814+IF($R$17="Distrato",$I$38-1,0)),IF(AND($L$711=0,$P$708=0),"",$L$711-1),IF($R$17="Distrato",$E814,0)),MIN(AT$38,$D$19),$P$20))-SUM($P814:AS814)</f>
        <v>#VALUE!</v>
      </c>
      <c r="AU814" s="446" t="e">
        <f>IF(OR($B814="",MIN(AU$38,$D$19)&lt;MAX($P$708*($B814+IF($R$17="Distrato",$I$38-1,0)),IF(AND($L$711=0,$P$708=0),"",$L$711-1),IF($R$17="Distrato",$E814,0))),0,YEARFRAC(MAX($P$708*($B814+IF($R$17="Distrato",$I$38-1,0)),IF(AND($L$711=0,$P$708=0),"",$L$711-1),IF($R$17="Distrato",$E814,0)),MIN(AU$38,$D$19),$P$20))-SUM($P814:AT814)</f>
        <v>#VALUE!</v>
      </c>
      <c r="AV814" s="446" t="e">
        <f>IF(OR($B814="",MIN(AV$38,$D$19)&lt;MAX($P$708*($B814+IF($R$17="Distrato",$I$38-1,0)),IF(AND($L$711=0,$P$708=0),"",$L$711-1),IF($R$17="Distrato",$E814,0))),0,YEARFRAC(MAX($P$708*($B814+IF($R$17="Distrato",$I$38-1,0)),IF(AND($L$711=0,$P$708=0),"",$L$711-1),IF($R$17="Distrato",$E814,0)),MIN(AV$38,$D$19),$P$20))-SUM($P814:AU814)</f>
        <v>#VALUE!</v>
      </c>
      <c r="AW814" s="446" t="e">
        <f>IF(OR($B814="",MIN(AW$38,$D$19)&lt;MAX($P$708*($B814+IF($R$17="Distrato",$I$38-1,0)),IF(AND($L$711=0,$P$708=0),"",$L$711-1),IF($R$17="Distrato",$E814,0))),0,YEARFRAC(MAX($P$708*($B814+IF($R$17="Distrato",$I$38-1,0)),IF(AND($L$711=0,$P$708=0),"",$L$711-1),IF($R$17="Distrato",$E814,0)),MIN(AW$38,$D$19),$P$20))-SUM($P814:AV814)</f>
        <v>#VALUE!</v>
      </c>
      <c r="AX814" s="446" t="e">
        <f>IF(OR($B814="",MIN(AX$38,$D$19)&lt;MAX($P$708*($B814+IF($R$17="Distrato",$I$38-1,0)),IF(AND($L$711=0,$P$708=0),"",$L$711-1),IF($R$17="Distrato",$E814,0))),0,YEARFRAC(MAX($P$708*($B814+IF($R$17="Distrato",$I$38-1,0)),IF(AND($L$711=0,$P$708=0),"",$L$711-1),IF($R$17="Distrato",$E814,0)),MIN(AX$38,$D$19),$P$20))-SUM($P814:AW814)</f>
        <v>#VALUE!</v>
      </c>
      <c r="AY814" s="446" t="e">
        <f>IF(OR($B814="",MIN(AY$38,$D$19)&lt;MAX($P$708*($B814+IF($R$17="Distrato",$I$38-1,0)),IF(AND($L$711=0,$P$708=0),"",$L$711-1),IF($R$17="Distrato",$E814,0))),0,YEARFRAC(MAX($P$708*($B814+IF($R$17="Distrato",$I$38-1,0)),IF(AND($L$711=0,$P$708=0),"",$L$711-1),IF($R$17="Distrato",$E814,0)),MIN(AY$38,$D$19),$P$20))-SUM($P814:AX814)</f>
        <v>#VALUE!</v>
      </c>
      <c r="AZ814" s="446" t="e">
        <f>IF(OR($B814="",MIN(AZ$38,$D$19)&lt;MAX($P$708*($B814+IF($R$17="Distrato",$I$38-1,0)),IF(AND($L$711=0,$P$708=0),"",$L$711-1),IF($R$17="Distrato",$E814,0))),0,YEARFRAC(MAX($P$708*($B814+IF($R$17="Distrato",$I$38-1,0)),IF(AND($L$711=0,$P$708=0),"",$L$711-1),IF($R$17="Distrato",$E814,0)),MIN(AZ$38,$D$19),$P$20))-SUM($P814:AY814)</f>
        <v>#VALUE!</v>
      </c>
      <c r="BA814" s="446" t="e">
        <f>IF(OR($B814="",MIN(BA$38,$D$19)&lt;MAX($P$708*($B814+IF($R$17="Distrato",$I$38-1,0)),IF(AND($L$711=0,$P$708=0),"",$L$711-1),IF($R$17="Distrato",$E814,0))),0,YEARFRAC(MAX($P$708*($B814+IF($R$17="Distrato",$I$38-1,0)),IF(AND($L$711=0,$P$708=0),"",$L$711-1),IF($R$17="Distrato",$E814,0)),MIN(BA$38,$D$19),$P$20))-SUM($P814:AZ814)</f>
        <v>#VALUE!</v>
      </c>
      <c r="BB814" s="447"/>
    </row>
    <row r="815" spans="1:54" s="446" customFormat="1" ht="11.25" hidden="1" customHeight="1" x14ac:dyDescent="0.2">
      <c r="A815" s="235"/>
      <c r="B815" s="236"/>
      <c r="C815" s="29" t="str">
        <f>IF(B815="","",IF($L$709=$BL$25,VLOOKUP(DATE(YEAR($D$19),MONTH($D$19)-1,1),ÍNDICES!$A:$DE,HLOOKUP($BL$25,ÍNDICES!$B$3:$T$4,2)+11)-VLOOKUP(B815,ÍNDICES!$A:$DE,HLOOKUP($BL$25,ÍNDICES!$B$3:$T$4,2)+11)+1%,IF(C$712=$W$26,$J$35,IF(ISERROR(IF(B815&gt;$D$19,1,VLOOKUP(DATE(YEAR(B815),MONTH(B815)+IF($C$709=$S$23,1,0),1),ÍNDICES!$A:$DE,$Z$709+1))),"",IF(B815&gt;$D$19,1,VLOOKUP(DATE(YEAR(B815),MONTH(B815)+IF($C$709=$S$23,1,0),1),ÍNDICES!$A:$DE,$Z$709+1))))))</f>
        <v/>
      </c>
      <c r="D815" s="155"/>
      <c r="E815" s="88"/>
      <c r="F815" s="88"/>
      <c r="G815" s="88"/>
      <c r="H815" s="118"/>
      <c r="I815" s="182">
        <f t="shared" si="122"/>
        <v>0</v>
      </c>
      <c r="J815" s="20">
        <f t="shared" ca="1" si="123"/>
        <v>0</v>
      </c>
      <c r="K815" s="5">
        <f t="shared" ca="1" si="124"/>
        <v>0</v>
      </c>
      <c r="L815" s="61">
        <f t="shared" ca="1" si="125"/>
        <v>0</v>
      </c>
      <c r="M815" s="64">
        <f t="shared" si="126"/>
        <v>0</v>
      </c>
      <c r="N815" s="151"/>
      <c r="O815" s="5">
        <f t="shared" ca="1" si="127"/>
        <v>0</v>
      </c>
      <c r="P815" s="446" t="e">
        <f t="shared" si="128"/>
        <v>#VALUE!</v>
      </c>
      <c r="Q815" s="446" t="e">
        <f>IF(OR($B815="",MIN(Q$38,$D$19)&lt;MAX($P$708*($B815+IF($R$17="Distrato",$I$38-1,0)),IF(AND($L$711=0,$P$708=0),"",$L$711-1),IF($R$17="Distrato",$E815,0))),0,YEARFRAC(MAX($P$708*($B815+IF($R$17="Distrato",$I$38-1,0)),IF(AND($L$711=0,$P$708=0),"",$L$711-1),IF($R$17="Distrato",$E815,0)),MIN(Q$38,$D$19),$P$20))-SUM($P815:P815)</f>
        <v>#VALUE!</v>
      </c>
      <c r="R815" s="446" t="e">
        <f>IF(OR($B815="",MIN(R$38,$D$19)&lt;MAX($P$708*($B815+IF($R$17="Distrato",$I$38-1,0)),IF(AND($L$711=0,$P$708=0),"",$L$711-1),IF($R$17="Distrato",$E815,0))),0,YEARFRAC(MAX($P$708*($B815+IF($R$17="Distrato",$I$38-1,0)),IF(AND($L$711=0,$P$708=0),"",$L$711-1),IF($R$17="Distrato",$E815,0)),MIN(R$38,$D$19),$P$20))-SUM($P815:Q815)</f>
        <v>#VALUE!</v>
      </c>
      <c r="S815" s="446" t="e">
        <f>IF(OR($B815="",MIN(S$38,$D$19)&lt;MAX($P$708*($B815+IF($R$17="Distrato",$I$38-1,0)),IF(AND($L$711=0,$P$708=0),"",$L$711-1),IF($R$17="Distrato",$E815,0))),0,YEARFRAC(MAX($P$708*($B815+IF($R$17="Distrato",$I$38-1,0)),IF(AND($L$711=0,$P$708=0),"",$L$711-1),IF($R$17="Distrato",$E815,0)),MIN(S$38,$D$19),$P$20))-SUM($P815:R815)</f>
        <v>#VALUE!</v>
      </c>
      <c r="T815" s="446" t="e">
        <f>IF(OR($B815="",MIN(T$38,$D$19)&lt;MAX($P$708*($B815+IF($R$17="Distrato",$I$38-1,0)),IF(AND($L$711=0,$P$708=0),"",$L$711-1),IF($R$17="Distrato",$E815,0))),0,YEARFRAC(MAX($P$708*($B815+IF($R$17="Distrato",$I$38-1,0)),IF(AND($L$711=0,$P$708=0),"",$L$711-1),IF($R$17="Distrato",$E815,0)),MIN(T$38,$D$19),$P$20))-SUM($P815:S815)</f>
        <v>#VALUE!</v>
      </c>
      <c r="U815" s="446" t="e">
        <f>IF(OR($B815="",MIN(U$38,$D$19)&lt;MAX($P$708*($B815+IF($R$17="Distrato",$I$38-1,0)),IF(AND($L$711=0,$P$708=0),"",$L$711-1),IF($R$17="Distrato",$E815,0))),0,YEARFRAC(MAX($P$708*($B815+IF($R$17="Distrato",$I$38-1,0)),IF(AND($L$711=0,$P$708=0),"",$L$711-1),IF($R$17="Distrato",$E815,0)),MIN(U$38,$D$19),$P$20))-SUM($P815:T815)</f>
        <v>#VALUE!</v>
      </c>
      <c r="V815" s="446" t="e">
        <f>IF(OR($B815="",MIN(V$38,$D$19)&lt;MAX($P$708*($B815+IF($R$17="Distrato",$I$38-1,0)),IF(AND($L$711=0,$P$708=0),"",$L$711-1),IF($R$17="Distrato",$E815,0))),0,YEARFRAC(MAX($P$708*($B815+IF($R$17="Distrato",$I$38-1,0)),IF(AND($L$711=0,$P$708=0),"",$L$711-1),IF($R$17="Distrato",$E815,0)),MIN(V$38,$D$19),$P$20))-SUM($P815:U815)</f>
        <v>#VALUE!</v>
      </c>
      <c r="W815" s="446" t="e">
        <f>IF(OR($B815="",MIN(W$38,$D$19)&lt;MAX($P$708*($B815+IF($R$17="Distrato",$I$38-1,0)),IF(AND($L$711=0,$P$708=0),"",$L$711-1),IF($R$17="Distrato",$E815,0))),0,YEARFRAC(MAX($P$708*($B815+IF($R$17="Distrato",$I$38-1,0)),IF(AND($L$711=0,$P$708=0),"",$L$711-1),IF($R$17="Distrato",$E815,0)),MIN(W$38,$D$19),$P$20))-SUM($P815:V815)</f>
        <v>#VALUE!</v>
      </c>
      <c r="X815" s="446" t="e">
        <f>IF(OR($B815="",MIN(X$38,$D$19)&lt;MAX($P$708*($B815+IF($R$17="Distrato",$I$38-1,0)),IF(AND($L$711=0,$P$708=0),"",$L$711-1),IF($R$17="Distrato",$E815,0))),0,YEARFRAC(MAX($P$708*($B815+IF($R$17="Distrato",$I$38-1,0)),IF(AND($L$711=0,$P$708=0),"",$L$711-1),IF($R$17="Distrato",$E815,0)),MIN(X$38,$D$19),$P$20))-SUM($P815:W815)</f>
        <v>#VALUE!</v>
      </c>
      <c r="Y815" s="446" t="e">
        <f>IF(OR($B815="",MIN(Y$38,$D$19)&lt;MAX($P$708*($B815+IF($R$17="Distrato",$I$38-1,0)),IF(AND($L$711=0,$P$708=0),"",$L$711-1),IF($R$17="Distrato",$E815,0))),0,YEARFRAC(MAX($P$708*($B815+IF($R$17="Distrato",$I$38-1,0)),IF(AND($L$711=0,$P$708=0),"",$L$711-1),IF($R$17="Distrato",$E815,0)),MIN(Y$38,$D$19),$P$20))-SUM($P815:X815)</f>
        <v>#VALUE!</v>
      </c>
      <c r="Z815" s="446" t="e">
        <f>IF(OR($B815="",MIN(Z$38,$D$19)&lt;MAX($P$708*($B815+IF($R$17="Distrato",$I$38-1,0)),IF(AND($L$711=0,$P$708=0),"",$L$711-1),IF($R$17="Distrato",$E815,0))),0,YEARFRAC(MAX($P$708*($B815+IF($R$17="Distrato",$I$38-1,0)),IF(AND($L$711=0,$P$708=0),"",$L$711-1),IF($R$17="Distrato",$E815,0)),MIN(Z$38,$D$19),$P$20))-SUM($P815:Y815)</f>
        <v>#VALUE!</v>
      </c>
      <c r="AA815" s="446" t="e">
        <f>IF(OR($B815="",MIN(AA$38,$D$19)&lt;MAX($P$708*($B815+IF($R$17="Distrato",$I$38-1,0)),IF(AND($L$711=0,$P$708=0),"",$L$711-1),IF($R$17="Distrato",$E815,0))),0,YEARFRAC(MAX($P$708*($B815+IF($R$17="Distrato",$I$38-1,0)),IF(AND($L$711=0,$P$708=0),"",$L$711-1),IF($R$17="Distrato",$E815,0)),MIN(AA$38,$D$19),$P$20))-SUM($P815:Z815)</f>
        <v>#VALUE!</v>
      </c>
      <c r="AB815" s="446" t="e">
        <f>IF(OR($B815="",MIN(AB$38,$D$19)&lt;MAX($P$708*($B815+IF($R$17="Distrato",$I$38-1,0)),IF(AND($L$711=0,$P$708=0),"",$L$711-1),IF($R$17="Distrato",$E815,0))),0,YEARFRAC(MAX($P$708*($B815+IF($R$17="Distrato",$I$38-1,0)),IF(AND($L$711=0,$P$708=0),"",$L$711-1),IF($R$17="Distrato",$E815,0)),MIN(AB$38,$D$19),$P$20))-SUM($P815:AA815)</f>
        <v>#VALUE!</v>
      </c>
      <c r="AC815" s="446" t="e">
        <f>IF(OR($B815="",MIN(AC$38,$D$19)&lt;MAX($P$708*($B815+IF($R$17="Distrato",$I$38-1,0)),IF(AND($L$711=0,$P$708=0),"",$L$711-1),IF($R$17="Distrato",$E815,0))),0,YEARFRAC(MAX($P$708*($B815+IF($R$17="Distrato",$I$38-1,0)),IF(AND($L$711=0,$P$708=0),"",$L$711-1),IF($R$17="Distrato",$E815,0)),MIN(AC$38,$D$19),$P$20))-SUM($P815:AB815)</f>
        <v>#VALUE!</v>
      </c>
      <c r="AD815" s="446" t="e">
        <f>IF(OR($B815="",MIN(AD$38,$D$19)&lt;MAX($P$708*($B815+IF($R$17="Distrato",$I$38-1,0)),IF(AND($L$711=0,$P$708=0),"",$L$711-1),IF($R$17="Distrato",$E815,0))),0,YEARFRAC(MAX($P$708*($B815+IF($R$17="Distrato",$I$38-1,0)),IF(AND($L$711=0,$P$708=0),"",$L$711-1),IF($R$17="Distrato",$E815,0)),MIN(AD$38,$D$19),$P$20))-SUM($P815:AC815)</f>
        <v>#VALUE!</v>
      </c>
      <c r="AE815" s="446" t="e">
        <f>IF(OR($B815="",MIN(AE$38,$D$19)&lt;MAX($P$708*($B815+IF($R$17="Distrato",$I$38-1,0)),IF(AND($L$711=0,$P$708=0),"",$L$711-1),IF($R$17="Distrato",$E815,0))),0,YEARFRAC(MAX($P$708*($B815+IF($R$17="Distrato",$I$38-1,0)),IF(AND($L$711=0,$P$708=0),"",$L$711-1),IF($R$17="Distrato",$E815,0)),MIN(AE$38,$D$19),$P$20))-SUM($P815:AD815)</f>
        <v>#VALUE!</v>
      </c>
      <c r="AF815" s="446" t="e">
        <f>IF(OR($B815="",MIN(AF$38,$D$19)&lt;MAX($P$708*($B815+IF($R$17="Distrato",$I$38-1,0)),IF(AND($L$711=0,$P$708=0),"",$L$711-1),IF($R$17="Distrato",$E815,0))),0,YEARFRAC(MAX($P$708*($B815+IF($R$17="Distrato",$I$38-1,0)),IF(AND($L$711=0,$P$708=0),"",$L$711-1),IF($R$17="Distrato",$E815,0)),MIN(AF$38,$D$19),$P$20))-SUM($P815:AE815)</f>
        <v>#VALUE!</v>
      </c>
      <c r="AG815" s="446" t="e">
        <f>IF(OR($B815="",MIN(AG$38,$D$19)&lt;MAX($P$708*($B815+IF($R$17="Distrato",$I$38-1,0)),IF(AND($L$711=0,$P$708=0),"",$L$711-1),IF($R$17="Distrato",$E815,0))),0,YEARFRAC(MAX($P$708*($B815+IF($R$17="Distrato",$I$38-1,0)),IF(AND($L$711=0,$P$708=0),"",$L$711-1),IF($R$17="Distrato",$E815,0)),MIN(AG$38,$D$19),$P$20))-SUM($P815:AF815)</f>
        <v>#VALUE!</v>
      </c>
      <c r="AH815" s="446" t="e">
        <f>IF(OR($B815="",MIN(AH$38,$D$19)&lt;MAX($P$708*($B815+IF($R$17="Distrato",$I$38-1,0)),IF(AND($L$711=0,$P$708=0),"",$L$711-1),IF($R$17="Distrato",$E815,0))),0,YEARFRAC(MAX($P$708*($B815+IF($R$17="Distrato",$I$38-1,0)),IF(AND($L$711=0,$P$708=0),"",$L$711-1),IF($R$17="Distrato",$E815,0)),MIN(AH$38,$D$19),$P$20))-SUM($P815:AG815)</f>
        <v>#VALUE!</v>
      </c>
      <c r="AI815" s="446" t="e">
        <f>IF(OR($B815="",MIN(AI$38,$D$19)&lt;MAX($P$708*($B815+IF($R$17="Distrato",$I$38-1,0)),IF(AND($L$711=0,$P$708=0),"",$L$711-1),IF($R$17="Distrato",$E815,0))),0,YEARFRAC(MAX($P$708*($B815+IF($R$17="Distrato",$I$38-1,0)),IF(AND($L$711=0,$P$708=0),"",$L$711-1),IF($R$17="Distrato",$E815,0)),MIN(AI$38,$D$19),$P$20))-SUM($P815:AH815)</f>
        <v>#VALUE!</v>
      </c>
      <c r="AJ815" s="446" t="e">
        <f>IF(OR($B815="",MIN(AJ$38,$D$19)&lt;MAX($P$708*($B815+IF($R$17="Distrato",$I$38-1,0)),IF(AND($L$711=0,$P$708=0),"",$L$711-1),IF($R$17="Distrato",$E815,0))),0,YEARFRAC(MAX($P$708*($B815+IF($R$17="Distrato",$I$38-1,0)),IF(AND($L$711=0,$P$708=0),"",$L$711-1),IF($R$17="Distrato",$E815,0)),MIN(AJ$38,$D$19),$P$20))-SUM($P815:AI815)</f>
        <v>#VALUE!</v>
      </c>
      <c r="AK815" s="446" t="e">
        <f>IF(OR($B815="",MIN(AK$38,$D$19)&lt;MAX($P$708*($B815+IF($R$17="Distrato",$I$38-1,0)),IF(AND($L$711=0,$P$708=0),"",$L$711-1),IF($R$17="Distrato",$E815,0))),0,YEARFRAC(MAX($P$708*($B815+IF($R$17="Distrato",$I$38-1,0)),IF(AND($L$711=0,$P$708=0),"",$L$711-1),IF($R$17="Distrato",$E815,0)),MIN(AK$38,$D$19),$P$20))-SUM($P815:AJ815)</f>
        <v>#VALUE!</v>
      </c>
      <c r="AL815" s="446" t="e">
        <f>IF(OR($B815="",MIN(AL$38,$D$19)&lt;MAX($P$708*($B815+IF($R$17="Distrato",$I$38-1,0)),IF(AND($L$711=0,$P$708=0),"",$L$711-1),IF($R$17="Distrato",$E815,0))),0,YEARFRAC(MAX($P$708*($B815+IF($R$17="Distrato",$I$38-1,0)),IF(AND($L$711=0,$P$708=0),"",$L$711-1),IF($R$17="Distrato",$E815,0)),MIN(AL$38,$D$19),$P$20))-SUM($P815:AK815)</f>
        <v>#VALUE!</v>
      </c>
      <c r="AM815" s="446" t="e">
        <f>IF(OR($B815="",MIN(AM$38,$D$19)&lt;MAX($P$708*($B815+IF($R$17="Distrato",$I$38-1,0)),IF(AND($L$711=0,$P$708=0),"",$L$711-1),IF($R$17="Distrato",$E815,0))),0,YEARFRAC(MAX($P$708*($B815+IF($R$17="Distrato",$I$38-1,0)),IF(AND($L$711=0,$P$708=0),"",$L$711-1),IF($R$17="Distrato",$E815,0)),MIN(AM$38,$D$19),$P$20))-SUM($P815:AL815)</f>
        <v>#VALUE!</v>
      </c>
      <c r="AN815" s="446" t="e">
        <f>IF(OR($B815="",MIN(AN$38,$D$19)&lt;MAX($P$708*($B815+IF($R$17="Distrato",$I$38-1,0)),IF(AND($L$711=0,$P$708=0),"",$L$711-1),IF($R$17="Distrato",$E815,0))),0,YEARFRAC(MAX($P$708*($B815+IF($R$17="Distrato",$I$38-1,0)),IF(AND($L$711=0,$P$708=0),"",$L$711-1),IF($R$17="Distrato",$E815,0)),MIN(AN$38,$D$19),$P$20))-SUM($P815:AM815)</f>
        <v>#VALUE!</v>
      </c>
      <c r="AO815" s="446" t="e">
        <f>IF(OR($B815="",MIN(AO$38,$D$19)&lt;MAX($P$708*($B815+IF($R$17="Distrato",$I$38-1,0)),IF(AND($L$711=0,$P$708=0),"",$L$711-1),IF($R$17="Distrato",$E815,0))),0,YEARFRAC(MAX($P$708*($B815+IF($R$17="Distrato",$I$38-1,0)),IF(AND($L$711=0,$P$708=0),"",$L$711-1),IF($R$17="Distrato",$E815,0)),MIN(AO$38,$D$19),$P$20))-SUM($P815:AN815)</f>
        <v>#VALUE!</v>
      </c>
      <c r="AP815" s="446" t="e">
        <f>IF(OR($B815="",MIN(AP$38,$D$19)&lt;MAX($P$708*($B815+IF($R$17="Distrato",$I$38-1,0)),IF(AND($L$711=0,$P$708=0),"",$L$711-1),IF($R$17="Distrato",$E815,0))),0,YEARFRAC(MAX($P$708*($B815+IF($R$17="Distrato",$I$38-1,0)),IF(AND($L$711=0,$P$708=0),"",$L$711-1),IF($R$17="Distrato",$E815,0)),MIN(AP$38,$D$19),$P$20))-SUM($P815:AO815)</f>
        <v>#VALUE!</v>
      </c>
      <c r="AQ815" s="446" t="e">
        <f>IF(OR($B815="",MIN(AQ$38,$D$19)&lt;MAX($P$708*($B815+IF($R$17="Distrato",$I$38-1,0)),IF(AND($L$711=0,$P$708=0),"",$L$711-1),IF($R$17="Distrato",$E815,0))),0,YEARFRAC(MAX($P$708*($B815+IF($R$17="Distrato",$I$38-1,0)),IF(AND($L$711=0,$P$708=0),"",$L$711-1),IF($R$17="Distrato",$E815,0)),MIN(AQ$38,$D$19),$P$20))-SUM($P815:AP815)</f>
        <v>#VALUE!</v>
      </c>
      <c r="AR815" s="446" t="e">
        <f>IF(OR($B815="",MIN(AR$38,$D$19)&lt;MAX($P$708*($B815+IF($R$17="Distrato",$I$38-1,0)),IF(AND($L$711=0,$P$708=0),"",$L$711-1),IF($R$17="Distrato",$E815,0))),0,YEARFRAC(MAX($P$708*($B815+IF($R$17="Distrato",$I$38-1,0)),IF(AND($L$711=0,$P$708=0),"",$L$711-1),IF($R$17="Distrato",$E815,0)),MIN(AR$38,$D$19),$P$20))-SUM($P815:AQ815)</f>
        <v>#VALUE!</v>
      </c>
      <c r="AS815" s="446" t="e">
        <f>IF(OR($B815="",MIN(AS$38,$D$19)&lt;MAX($P$708*($B815+IF($R$17="Distrato",$I$38-1,0)),IF(AND($L$711=0,$P$708=0),"",$L$711-1),IF($R$17="Distrato",$E815,0))),0,YEARFRAC(MAX($P$708*($B815+IF($R$17="Distrato",$I$38-1,0)),IF(AND($L$711=0,$P$708=0),"",$L$711-1),IF($R$17="Distrato",$E815,0)),MIN(AS$38,$D$19),$P$20))-SUM($P815:AR815)</f>
        <v>#VALUE!</v>
      </c>
      <c r="AT815" s="446" t="e">
        <f>IF(OR($B815="",MIN(AT$38,$D$19)&lt;MAX($P$708*($B815+IF($R$17="Distrato",$I$38-1,0)),IF(AND($L$711=0,$P$708=0),"",$L$711-1),IF($R$17="Distrato",$E815,0))),0,YEARFRAC(MAX($P$708*($B815+IF($R$17="Distrato",$I$38-1,0)),IF(AND($L$711=0,$P$708=0),"",$L$711-1),IF($R$17="Distrato",$E815,0)),MIN(AT$38,$D$19),$P$20))-SUM($P815:AS815)</f>
        <v>#VALUE!</v>
      </c>
      <c r="AU815" s="446" t="e">
        <f>IF(OR($B815="",MIN(AU$38,$D$19)&lt;MAX($P$708*($B815+IF($R$17="Distrato",$I$38-1,0)),IF(AND($L$711=0,$P$708=0),"",$L$711-1),IF($R$17="Distrato",$E815,0))),0,YEARFRAC(MAX($P$708*($B815+IF($R$17="Distrato",$I$38-1,0)),IF(AND($L$711=0,$P$708=0),"",$L$711-1),IF($R$17="Distrato",$E815,0)),MIN(AU$38,$D$19),$P$20))-SUM($P815:AT815)</f>
        <v>#VALUE!</v>
      </c>
      <c r="AV815" s="446" t="e">
        <f>IF(OR($B815="",MIN(AV$38,$D$19)&lt;MAX($P$708*($B815+IF($R$17="Distrato",$I$38-1,0)),IF(AND($L$711=0,$P$708=0),"",$L$711-1),IF($R$17="Distrato",$E815,0))),0,YEARFRAC(MAX($P$708*($B815+IF($R$17="Distrato",$I$38-1,0)),IF(AND($L$711=0,$P$708=0),"",$L$711-1),IF($R$17="Distrato",$E815,0)),MIN(AV$38,$D$19),$P$20))-SUM($P815:AU815)</f>
        <v>#VALUE!</v>
      </c>
      <c r="AW815" s="446" t="e">
        <f>IF(OR($B815="",MIN(AW$38,$D$19)&lt;MAX($P$708*($B815+IF($R$17="Distrato",$I$38-1,0)),IF(AND($L$711=0,$P$708=0),"",$L$711-1),IF($R$17="Distrato",$E815,0))),0,YEARFRAC(MAX($P$708*($B815+IF($R$17="Distrato",$I$38-1,0)),IF(AND($L$711=0,$P$708=0),"",$L$711-1),IF($R$17="Distrato",$E815,0)),MIN(AW$38,$D$19),$P$20))-SUM($P815:AV815)</f>
        <v>#VALUE!</v>
      </c>
      <c r="AX815" s="446" t="e">
        <f>IF(OR($B815="",MIN(AX$38,$D$19)&lt;MAX($P$708*($B815+IF($R$17="Distrato",$I$38-1,0)),IF(AND($L$711=0,$P$708=0),"",$L$711-1),IF($R$17="Distrato",$E815,0))),0,YEARFRAC(MAX($P$708*($B815+IF($R$17="Distrato",$I$38-1,0)),IF(AND($L$711=0,$P$708=0),"",$L$711-1),IF($R$17="Distrato",$E815,0)),MIN(AX$38,$D$19),$P$20))-SUM($P815:AW815)</f>
        <v>#VALUE!</v>
      </c>
      <c r="AY815" s="446" t="e">
        <f>IF(OR($B815="",MIN(AY$38,$D$19)&lt;MAX($P$708*($B815+IF($R$17="Distrato",$I$38-1,0)),IF(AND($L$711=0,$P$708=0),"",$L$711-1),IF($R$17="Distrato",$E815,0))),0,YEARFRAC(MAX($P$708*($B815+IF($R$17="Distrato",$I$38-1,0)),IF(AND($L$711=0,$P$708=0),"",$L$711-1),IF($R$17="Distrato",$E815,0)),MIN(AY$38,$D$19),$P$20))-SUM($P815:AX815)</f>
        <v>#VALUE!</v>
      </c>
      <c r="AZ815" s="446" t="e">
        <f>IF(OR($B815="",MIN(AZ$38,$D$19)&lt;MAX($P$708*($B815+IF($R$17="Distrato",$I$38-1,0)),IF(AND($L$711=0,$P$708=0),"",$L$711-1),IF($R$17="Distrato",$E815,0))),0,YEARFRAC(MAX($P$708*($B815+IF($R$17="Distrato",$I$38-1,0)),IF(AND($L$711=0,$P$708=0),"",$L$711-1),IF($R$17="Distrato",$E815,0)),MIN(AZ$38,$D$19),$P$20))-SUM($P815:AY815)</f>
        <v>#VALUE!</v>
      </c>
      <c r="BA815" s="446" t="e">
        <f>IF(OR($B815="",MIN(BA$38,$D$19)&lt;MAX($P$708*($B815+IF($R$17="Distrato",$I$38-1,0)),IF(AND($L$711=0,$P$708=0),"",$L$711-1),IF($R$17="Distrato",$E815,0))),0,YEARFRAC(MAX($P$708*($B815+IF($R$17="Distrato",$I$38-1,0)),IF(AND($L$711=0,$P$708=0),"",$L$711-1),IF($R$17="Distrato",$E815,0)),MIN(BA$38,$D$19),$P$20))-SUM($P815:AZ815)</f>
        <v>#VALUE!</v>
      </c>
      <c r="BB815" s="447"/>
    </row>
    <row r="816" spans="1:54" s="446" customFormat="1" ht="11.25" hidden="1" customHeight="1" x14ac:dyDescent="0.2">
      <c r="A816" s="235"/>
      <c r="B816" s="236"/>
      <c r="C816" s="29" t="str">
        <f>IF(B816="","",IF($L$709=$BL$25,VLOOKUP(DATE(YEAR($D$19),MONTH($D$19)-1,1),ÍNDICES!$A:$DE,HLOOKUP($BL$25,ÍNDICES!$B$3:$T$4,2)+11)-VLOOKUP(B816,ÍNDICES!$A:$DE,HLOOKUP($BL$25,ÍNDICES!$B$3:$T$4,2)+11)+1%,IF(C$712=$W$26,$J$35,IF(ISERROR(IF(B816&gt;$D$19,1,VLOOKUP(DATE(YEAR(B816),MONTH(B816)+IF($C$709=$S$23,1,0),1),ÍNDICES!$A:$DE,$Z$709+1))),"",IF(B816&gt;$D$19,1,VLOOKUP(DATE(YEAR(B816),MONTH(B816)+IF($C$709=$S$23,1,0),1),ÍNDICES!$A:$DE,$Z$709+1))))))</f>
        <v/>
      </c>
      <c r="D816" s="155"/>
      <c r="E816" s="88"/>
      <c r="F816" s="88"/>
      <c r="G816" s="88"/>
      <c r="H816" s="118"/>
      <c r="I816" s="182">
        <f t="shared" si="122"/>
        <v>0</v>
      </c>
      <c r="J816" s="20">
        <f t="shared" ca="1" si="123"/>
        <v>0</v>
      </c>
      <c r="K816" s="5">
        <f t="shared" ca="1" si="124"/>
        <v>0</v>
      </c>
      <c r="L816" s="61">
        <f t="shared" ca="1" si="125"/>
        <v>0</v>
      </c>
      <c r="M816" s="64">
        <f t="shared" si="126"/>
        <v>0</v>
      </c>
      <c r="N816" s="151"/>
      <c r="O816" s="5">
        <f t="shared" ca="1" si="127"/>
        <v>0</v>
      </c>
      <c r="P816" s="446" t="e">
        <f t="shared" si="128"/>
        <v>#VALUE!</v>
      </c>
      <c r="Q816" s="446" t="e">
        <f>IF(OR($B816="",MIN(Q$38,$D$19)&lt;MAX($P$708*($B816+IF($R$17="Distrato",$I$38-1,0)),IF(AND($L$711=0,$P$708=0),"",$L$711-1),IF($R$17="Distrato",$E816,0))),0,YEARFRAC(MAX($P$708*($B816+IF($R$17="Distrato",$I$38-1,0)),IF(AND($L$711=0,$P$708=0),"",$L$711-1),IF($R$17="Distrato",$E816,0)),MIN(Q$38,$D$19),$P$20))-SUM($P816:P816)</f>
        <v>#VALUE!</v>
      </c>
      <c r="R816" s="446" t="e">
        <f>IF(OR($B816="",MIN(R$38,$D$19)&lt;MAX($P$708*($B816+IF($R$17="Distrato",$I$38-1,0)),IF(AND($L$711=0,$P$708=0),"",$L$711-1),IF($R$17="Distrato",$E816,0))),0,YEARFRAC(MAX($P$708*($B816+IF($R$17="Distrato",$I$38-1,0)),IF(AND($L$711=0,$P$708=0),"",$L$711-1),IF($R$17="Distrato",$E816,0)),MIN(R$38,$D$19),$P$20))-SUM($P816:Q816)</f>
        <v>#VALUE!</v>
      </c>
      <c r="S816" s="446" t="e">
        <f>IF(OR($B816="",MIN(S$38,$D$19)&lt;MAX($P$708*($B816+IF($R$17="Distrato",$I$38-1,0)),IF(AND($L$711=0,$P$708=0),"",$L$711-1),IF($R$17="Distrato",$E816,0))),0,YEARFRAC(MAX($P$708*($B816+IF($R$17="Distrato",$I$38-1,0)),IF(AND($L$711=0,$P$708=0),"",$L$711-1),IF($R$17="Distrato",$E816,0)),MIN(S$38,$D$19),$P$20))-SUM($P816:R816)</f>
        <v>#VALUE!</v>
      </c>
      <c r="T816" s="446" t="e">
        <f>IF(OR($B816="",MIN(T$38,$D$19)&lt;MAX($P$708*($B816+IF($R$17="Distrato",$I$38-1,0)),IF(AND($L$711=0,$P$708=0),"",$L$711-1),IF($R$17="Distrato",$E816,0))),0,YEARFRAC(MAX($P$708*($B816+IF($R$17="Distrato",$I$38-1,0)),IF(AND($L$711=0,$P$708=0),"",$L$711-1),IF($R$17="Distrato",$E816,0)),MIN(T$38,$D$19),$P$20))-SUM($P816:S816)</f>
        <v>#VALUE!</v>
      </c>
      <c r="U816" s="446" t="e">
        <f>IF(OR($B816="",MIN(U$38,$D$19)&lt;MAX($P$708*($B816+IF($R$17="Distrato",$I$38-1,0)),IF(AND($L$711=0,$P$708=0),"",$L$711-1),IF($R$17="Distrato",$E816,0))),0,YEARFRAC(MAX($P$708*($B816+IF($R$17="Distrato",$I$38-1,0)),IF(AND($L$711=0,$P$708=0),"",$L$711-1),IF($R$17="Distrato",$E816,0)),MIN(U$38,$D$19),$P$20))-SUM($P816:T816)</f>
        <v>#VALUE!</v>
      </c>
      <c r="V816" s="446" t="e">
        <f>IF(OR($B816="",MIN(V$38,$D$19)&lt;MAX($P$708*($B816+IF($R$17="Distrato",$I$38-1,0)),IF(AND($L$711=0,$P$708=0),"",$L$711-1),IF($R$17="Distrato",$E816,0))),0,YEARFRAC(MAX($P$708*($B816+IF($R$17="Distrato",$I$38-1,0)),IF(AND($L$711=0,$P$708=0),"",$L$711-1),IF($R$17="Distrato",$E816,0)),MIN(V$38,$D$19),$P$20))-SUM($P816:U816)</f>
        <v>#VALUE!</v>
      </c>
      <c r="W816" s="446" t="e">
        <f>IF(OR($B816="",MIN(W$38,$D$19)&lt;MAX($P$708*($B816+IF($R$17="Distrato",$I$38-1,0)),IF(AND($L$711=0,$P$708=0),"",$L$711-1),IF($R$17="Distrato",$E816,0))),0,YEARFRAC(MAX($P$708*($B816+IF($R$17="Distrato",$I$38-1,0)),IF(AND($L$711=0,$P$708=0),"",$L$711-1),IF($R$17="Distrato",$E816,0)),MIN(W$38,$D$19),$P$20))-SUM($P816:V816)</f>
        <v>#VALUE!</v>
      </c>
      <c r="X816" s="446" t="e">
        <f>IF(OR($B816="",MIN(X$38,$D$19)&lt;MAX($P$708*($B816+IF($R$17="Distrato",$I$38-1,0)),IF(AND($L$711=0,$P$708=0),"",$L$711-1),IF($R$17="Distrato",$E816,0))),0,YEARFRAC(MAX($P$708*($B816+IF($R$17="Distrato",$I$38-1,0)),IF(AND($L$711=0,$P$708=0),"",$L$711-1),IF($R$17="Distrato",$E816,0)),MIN(X$38,$D$19),$P$20))-SUM($P816:W816)</f>
        <v>#VALUE!</v>
      </c>
      <c r="Y816" s="446" t="e">
        <f>IF(OR($B816="",MIN(Y$38,$D$19)&lt;MAX($P$708*($B816+IF($R$17="Distrato",$I$38-1,0)),IF(AND($L$711=0,$P$708=0),"",$L$711-1),IF($R$17="Distrato",$E816,0))),0,YEARFRAC(MAX($P$708*($B816+IF($R$17="Distrato",$I$38-1,0)),IF(AND($L$711=0,$P$708=0),"",$L$711-1),IF($R$17="Distrato",$E816,0)),MIN(Y$38,$D$19),$P$20))-SUM($P816:X816)</f>
        <v>#VALUE!</v>
      </c>
      <c r="Z816" s="446" t="e">
        <f>IF(OR($B816="",MIN(Z$38,$D$19)&lt;MAX($P$708*($B816+IF($R$17="Distrato",$I$38-1,0)),IF(AND($L$711=0,$P$708=0),"",$L$711-1),IF($R$17="Distrato",$E816,0))),0,YEARFRAC(MAX($P$708*($B816+IF($R$17="Distrato",$I$38-1,0)),IF(AND($L$711=0,$P$708=0),"",$L$711-1),IF($R$17="Distrato",$E816,0)),MIN(Z$38,$D$19),$P$20))-SUM($P816:Y816)</f>
        <v>#VALUE!</v>
      </c>
      <c r="AA816" s="446" t="e">
        <f>IF(OR($B816="",MIN(AA$38,$D$19)&lt;MAX($P$708*($B816+IF($R$17="Distrato",$I$38-1,0)),IF(AND($L$711=0,$P$708=0),"",$L$711-1),IF($R$17="Distrato",$E816,0))),0,YEARFRAC(MAX($P$708*($B816+IF($R$17="Distrato",$I$38-1,0)),IF(AND($L$711=0,$P$708=0),"",$L$711-1),IF($R$17="Distrato",$E816,0)),MIN(AA$38,$D$19),$P$20))-SUM($P816:Z816)</f>
        <v>#VALUE!</v>
      </c>
      <c r="AB816" s="446" t="e">
        <f>IF(OR($B816="",MIN(AB$38,$D$19)&lt;MAX($P$708*($B816+IF($R$17="Distrato",$I$38-1,0)),IF(AND($L$711=0,$P$708=0),"",$L$711-1),IF($R$17="Distrato",$E816,0))),0,YEARFRAC(MAX($P$708*($B816+IF($R$17="Distrato",$I$38-1,0)),IF(AND($L$711=0,$P$708=0),"",$L$711-1),IF($R$17="Distrato",$E816,0)),MIN(AB$38,$D$19),$P$20))-SUM($P816:AA816)</f>
        <v>#VALUE!</v>
      </c>
      <c r="AC816" s="446" t="e">
        <f>IF(OR($B816="",MIN(AC$38,$D$19)&lt;MAX($P$708*($B816+IF($R$17="Distrato",$I$38-1,0)),IF(AND($L$711=0,$P$708=0),"",$L$711-1),IF($R$17="Distrato",$E816,0))),0,YEARFRAC(MAX($P$708*($B816+IF($R$17="Distrato",$I$38-1,0)),IF(AND($L$711=0,$P$708=0),"",$L$711-1),IF($R$17="Distrato",$E816,0)),MIN(AC$38,$D$19),$P$20))-SUM($P816:AB816)</f>
        <v>#VALUE!</v>
      </c>
      <c r="AD816" s="446" t="e">
        <f>IF(OR($B816="",MIN(AD$38,$D$19)&lt;MAX($P$708*($B816+IF($R$17="Distrato",$I$38-1,0)),IF(AND($L$711=0,$P$708=0),"",$L$711-1),IF($R$17="Distrato",$E816,0))),0,YEARFRAC(MAX($P$708*($B816+IF($R$17="Distrato",$I$38-1,0)),IF(AND($L$711=0,$P$708=0),"",$L$711-1),IF($R$17="Distrato",$E816,0)),MIN(AD$38,$D$19),$P$20))-SUM($P816:AC816)</f>
        <v>#VALUE!</v>
      </c>
      <c r="AE816" s="446" t="e">
        <f>IF(OR($B816="",MIN(AE$38,$D$19)&lt;MAX($P$708*($B816+IF($R$17="Distrato",$I$38-1,0)),IF(AND($L$711=0,$P$708=0),"",$L$711-1),IF($R$17="Distrato",$E816,0))),0,YEARFRAC(MAX($P$708*($B816+IF($R$17="Distrato",$I$38-1,0)),IF(AND($L$711=0,$P$708=0),"",$L$711-1),IF($R$17="Distrato",$E816,0)),MIN(AE$38,$D$19),$P$20))-SUM($P816:AD816)</f>
        <v>#VALUE!</v>
      </c>
      <c r="AF816" s="446" t="e">
        <f>IF(OR($B816="",MIN(AF$38,$D$19)&lt;MAX($P$708*($B816+IF($R$17="Distrato",$I$38-1,0)),IF(AND($L$711=0,$P$708=0),"",$L$711-1),IF($R$17="Distrato",$E816,0))),0,YEARFRAC(MAX($P$708*($B816+IF($R$17="Distrato",$I$38-1,0)),IF(AND($L$711=0,$P$708=0),"",$L$711-1),IF($R$17="Distrato",$E816,0)),MIN(AF$38,$D$19),$P$20))-SUM($P816:AE816)</f>
        <v>#VALUE!</v>
      </c>
      <c r="AG816" s="446" t="e">
        <f>IF(OR($B816="",MIN(AG$38,$D$19)&lt;MAX($P$708*($B816+IF($R$17="Distrato",$I$38-1,0)),IF(AND($L$711=0,$P$708=0),"",$L$711-1),IF($R$17="Distrato",$E816,0))),0,YEARFRAC(MAX($P$708*($B816+IF($R$17="Distrato",$I$38-1,0)),IF(AND($L$711=0,$P$708=0),"",$L$711-1),IF($R$17="Distrato",$E816,0)),MIN(AG$38,$D$19),$P$20))-SUM($P816:AF816)</f>
        <v>#VALUE!</v>
      </c>
      <c r="AH816" s="446" t="e">
        <f>IF(OR($B816="",MIN(AH$38,$D$19)&lt;MAX($P$708*($B816+IF($R$17="Distrato",$I$38-1,0)),IF(AND($L$711=0,$P$708=0),"",$L$711-1),IF($R$17="Distrato",$E816,0))),0,YEARFRAC(MAX($P$708*($B816+IF($R$17="Distrato",$I$38-1,0)),IF(AND($L$711=0,$P$708=0),"",$L$711-1),IF($R$17="Distrato",$E816,0)),MIN(AH$38,$D$19),$P$20))-SUM($P816:AG816)</f>
        <v>#VALUE!</v>
      </c>
      <c r="AI816" s="446" t="e">
        <f>IF(OR($B816="",MIN(AI$38,$D$19)&lt;MAX($P$708*($B816+IF($R$17="Distrato",$I$38-1,0)),IF(AND($L$711=0,$P$708=0),"",$L$711-1),IF($R$17="Distrato",$E816,0))),0,YEARFRAC(MAX($P$708*($B816+IF($R$17="Distrato",$I$38-1,0)),IF(AND($L$711=0,$P$708=0),"",$L$711-1),IF($R$17="Distrato",$E816,0)),MIN(AI$38,$D$19),$P$20))-SUM($P816:AH816)</f>
        <v>#VALUE!</v>
      </c>
      <c r="AJ816" s="446" t="e">
        <f>IF(OR($B816="",MIN(AJ$38,$D$19)&lt;MAX($P$708*($B816+IF($R$17="Distrato",$I$38-1,0)),IF(AND($L$711=0,$P$708=0),"",$L$711-1),IF($R$17="Distrato",$E816,0))),0,YEARFRAC(MAX($P$708*($B816+IF($R$17="Distrato",$I$38-1,0)),IF(AND($L$711=0,$P$708=0),"",$L$711-1),IF($R$17="Distrato",$E816,0)),MIN(AJ$38,$D$19),$P$20))-SUM($P816:AI816)</f>
        <v>#VALUE!</v>
      </c>
      <c r="AK816" s="446" t="e">
        <f>IF(OR($B816="",MIN(AK$38,$D$19)&lt;MAX($P$708*($B816+IF($R$17="Distrato",$I$38-1,0)),IF(AND($L$711=0,$P$708=0),"",$L$711-1),IF($R$17="Distrato",$E816,0))),0,YEARFRAC(MAX($P$708*($B816+IF($R$17="Distrato",$I$38-1,0)),IF(AND($L$711=0,$P$708=0),"",$L$711-1),IF($R$17="Distrato",$E816,0)),MIN(AK$38,$D$19),$P$20))-SUM($P816:AJ816)</f>
        <v>#VALUE!</v>
      </c>
      <c r="AL816" s="446" t="e">
        <f>IF(OR($B816="",MIN(AL$38,$D$19)&lt;MAX($P$708*($B816+IF($R$17="Distrato",$I$38-1,0)),IF(AND($L$711=0,$P$708=0),"",$L$711-1),IF($R$17="Distrato",$E816,0))),0,YEARFRAC(MAX($P$708*($B816+IF($R$17="Distrato",$I$38-1,0)),IF(AND($L$711=0,$P$708=0),"",$L$711-1),IF($R$17="Distrato",$E816,0)),MIN(AL$38,$D$19),$P$20))-SUM($P816:AK816)</f>
        <v>#VALUE!</v>
      </c>
      <c r="AM816" s="446" t="e">
        <f>IF(OR($B816="",MIN(AM$38,$D$19)&lt;MAX($P$708*($B816+IF($R$17="Distrato",$I$38-1,0)),IF(AND($L$711=0,$P$708=0),"",$L$711-1),IF($R$17="Distrato",$E816,0))),0,YEARFRAC(MAX($P$708*($B816+IF($R$17="Distrato",$I$38-1,0)),IF(AND($L$711=0,$P$708=0),"",$L$711-1),IF($R$17="Distrato",$E816,0)),MIN(AM$38,$D$19),$P$20))-SUM($P816:AL816)</f>
        <v>#VALUE!</v>
      </c>
      <c r="AN816" s="446" t="e">
        <f>IF(OR($B816="",MIN(AN$38,$D$19)&lt;MAX($P$708*($B816+IF($R$17="Distrato",$I$38-1,0)),IF(AND($L$711=0,$P$708=0),"",$L$711-1),IF($R$17="Distrato",$E816,0))),0,YEARFRAC(MAX($P$708*($B816+IF($R$17="Distrato",$I$38-1,0)),IF(AND($L$711=0,$P$708=0),"",$L$711-1),IF($R$17="Distrato",$E816,0)),MIN(AN$38,$D$19),$P$20))-SUM($P816:AM816)</f>
        <v>#VALUE!</v>
      </c>
      <c r="AO816" s="446" t="e">
        <f>IF(OR($B816="",MIN(AO$38,$D$19)&lt;MAX($P$708*($B816+IF($R$17="Distrato",$I$38-1,0)),IF(AND($L$711=0,$P$708=0),"",$L$711-1),IF($R$17="Distrato",$E816,0))),0,YEARFRAC(MAX($P$708*($B816+IF($R$17="Distrato",$I$38-1,0)),IF(AND($L$711=0,$P$708=0),"",$L$711-1),IF($R$17="Distrato",$E816,0)),MIN(AO$38,$D$19),$P$20))-SUM($P816:AN816)</f>
        <v>#VALUE!</v>
      </c>
      <c r="AP816" s="446" t="e">
        <f>IF(OR($B816="",MIN(AP$38,$D$19)&lt;MAX($P$708*($B816+IF($R$17="Distrato",$I$38-1,0)),IF(AND($L$711=0,$P$708=0),"",$L$711-1),IF($R$17="Distrato",$E816,0))),0,YEARFRAC(MAX($P$708*($B816+IF($R$17="Distrato",$I$38-1,0)),IF(AND($L$711=0,$P$708=0),"",$L$711-1),IF($R$17="Distrato",$E816,0)),MIN(AP$38,$D$19),$P$20))-SUM($P816:AO816)</f>
        <v>#VALUE!</v>
      </c>
      <c r="AQ816" s="446" t="e">
        <f>IF(OR($B816="",MIN(AQ$38,$D$19)&lt;MAX($P$708*($B816+IF($R$17="Distrato",$I$38-1,0)),IF(AND($L$711=0,$P$708=0),"",$L$711-1),IF($R$17="Distrato",$E816,0))),0,YEARFRAC(MAX($P$708*($B816+IF($R$17="Distrato",$I$38-1,0)),IF(AND($L$711=0,$P$708=0),"",$L$711-1),IF($R$17="Distrato",$E816,0)),MIN(AQ$38,$D$19),$P$20))-SUM($P816:AP816)</f>
        <v>#VALUE!</v>
      </c>
      <c r="AR816" s="446" t="e">
        <f>IF(OR($B816="",MIN(AR$38,$D$19)&lt;MAX($P$708*($B816+IF($R$17="Distrato",$I$38-1,0)),IF(AND($L$711=0,$P$708=0),"",$L$711-1),IF($R$17="Distrato",$E816,0))),0,YEARFRAC(MAX($P$708*($B816+IF($R$17="Distrato",$I$38-1,0)),IF(AND($L$711=0,$P$708=0),"",$L$711-1),IF($R$17="Distrato",$E816,0)),MIN(AR$38,$D$19),$P$20))-SUM($P816:AQ816)</f>
        <v>#VALUE!</v>
      </c>
      <c r="AS816" s="446" t="e">
        <f>IF(OR($B816="",MIN(AS$38,$D$19)&lt;MAX($P$708*($B816+IF($R$17="Distrato",$I$38-1,0)),IF(AND($L$711=0,$P$708=0),"",$L$711-1),IF($R$17="Distrato",$E816,0))),0,YEARFRAC(MAX($P$708*($B816+IF($R$17="Distrato",$I$38-1,0)),IF(AND($L$711=0,$P$708=0),"",$L$711-1),IF($R$17="Distrato",$E816,0)),MIN(AS$38,$D$19),$P$20))-SUM($P816:AR816)</f>
        <v>#VALUE!</v>
      </c>
      <c r="AT816" s="446" t="e">
        <f>IF(OR($B816="",MIN(AT$38,$D$19)&lt;MAX($P$708*($B816+IF($R$17="Distrato",$I$38-1,0)),IF(AND($L$711=0,$P$708=0),"",$L$711-1),IF($R$17="Distrato",$E816,0))),0,YEARFRAC(MAX($P$708*($B816+IF($R$17="Distrato",$I$38-1,0)),IF(AND($L$711=0,$P$708=0),"",$L$711-1),IF($R$17="Distrato",$E816,0)),MIN(AT$38,$D$19),$P$20))-SUM($P816:AS816)</f>
        <v>#VALUE!</v>
      </c>
      <c r="AU816" s="446" t="e">
        <f>IF(OR($B816="",MIN(AU$38,$D$19)&lt;MAX($P$708*($B816+IF($R$17="Distrato",$I$38-1,0)),IF(AND($L$711=0,$P$708=0),"",$L$711-1),IF($R$17="Distrato",$E816,0))),0,YEARFRAC(MAX($P$708*($B816+IF($R$17="Distrato",$I$38-1,0)),IF(AND($L$711=0,$P$708=0),"",$L$711-1),IF($R$17="Distrato",$E816,0)),MIN(AU$38,$D$19),$P$20))-SUM($P816:AT816)</f>
        <v>#VALUE!</v>
      </c>
      <c r="AV816" s="446" t="e">
        <f>IF(OR($B816="",MIN(AV$38,$D$19)&lt;MAX($P$708*($B816+IF($R$17="Distrato",$I$38-1,0)),IF(AND($L$711=0,$P$708=0),"",$L$711-1),IF($R$17="Distrato",$E816,0))),0,YEARFRAC(MAX($P$708*($B816+IF($R$17="Distrato",$I$38-1,0)),IF(AND($L$711=0,$P$708=0),"",$L$711-1),IF($R$17="Distrato",$E816,0)),MIN(AV$38,$D$19),$P$20))-SUM($P816:AU816)</f>
        <v>#VALUE!</v>
      </c>
      <c r="AW816" s="446" t="e">
        <f>IF(OR($B816="",MIN(AW$38,$D$19)&lt;MAX($P$708*($B816+IF($R$17="Distrato",$I$38-1,0)),IF(AND($L$711=0,$P$708=0),"",$L$711-1),IF($R$17="Distrato",$E816,0))),0,YEARFRAC(MAX($P$708*($B816+IF($R$17="Distrato",$I$38-1,0)),IF(AND($L$711=0,$P$708=0),"",$L$711-1),IF($R$17="Distrato",$E816,0)),MIN(AW$38,$D$19),$P$20))-SUM($P816:AV816)</f>
        <v>#VALUE!</v>
      </c>
      <c r="AX816" s="446" t="e">
        <f>IF(OR($B816="",MIN(AX$38,$D$19)&lt;MAX($P$708*($B816+IF($R$17="Distrato",$I$38-1,0)),IF(AND($L$711=0,$P$708=0),"",$L$711-1),IF($R$17="Distrato",$E816,0))),0,YEARFRAC(MAX($P$708*($B816+IF($R$17="Distrato",$I$38-1,0)),IF(AND($L$711=0,$P$708=0),"",$L$711-1),IF($R$17="Distrato",$E816,0)),MIN(AX$38,$D$19),$P$20))-SUM($P816:AW816)</f>
        <v>#VALUE!</v>
      </c>
      <c r="AY816" s="446" t="e">
        <f>IF(OR($B816="",MIN(AY$38,$D$19)&lt;MAX($P$708*($B816+IF($R$17="Distrato",$I$38-1,0)),IF(AND($L$711=0,$P$708=0),"",$L$711-1),IF($R$17="Distrato",$E816,0))),0,YEARFRAC(MAX($P$708*($B816+IF($R$17="Distrato",$I$38-1,0)),IF(AND($L$711=0,$P$708=0),"",$L$711-1),IF($R$17="Distrato",$E816,0)),MIN(AY$38,$D$19),$P$20))-SUM($P816:AX816)</f>
        <v>#VALUE!</v>
      </c>
      <c r="AZ816" s="446" t="e">
        <f>IF(OR($B816="",MIN(AZ$38,$D$19)&lt;MAX($P$708*($B816+IF($R$17="Distrato",$I$38-1,0)),IF(AND($L$711=0,$P$708=0),"",$L$711-1),IF($R$17="Distrato",$E816,0))),0,YEARFRAC(MAX($P$708*($B816+IF($R$17="Distrato",$I$38-1,0)),IF(AND($L$711=0,$P$708=0),"",$L$711-1),IF($R$17="Distrato",$E816,0)),MIN(AZ$38,$D$19),$P$20))-SUM($P816:AY816)</f>
        <v>#VALUE!</v>
      </c>
      <c r="BA816" s="446" t="e">
        <f>IF(OR($B816="",MIN(BA$38,$D$19)&lt;MAX($P$708*($B816+IF($R$17="Distrato",$I$38-1,0)),IF(AND($L$711=0,$P$708=0),"",$L$711-1),IF($R$17="Distrato",$E816,0))),0,YEARFRAC(MAX($P$708*($B816+IF($R$17="Distrato",$I$38-1,0)),IF(AND($L$711=0,$P$708=0),"",$L$711-1),IF($R$17="Distrato",$E816,0)),MIN(BA$38,$D$19),$P$20))-SUM($P816:AZ816)</f>
        <v>#VALUE!</v>
      </c>
      <c r="BB816" s="447"/>
    </row>
    <row r="817" spans="1:54" s="446" customFormat="1" ht="11.25" hidden="1" customHeight="1" x14ac:dyDescent="0.2">
      <c r="A817" s="235"/>
      <c r="B817" s="236"/>
      <c r="C817" s="29" t="str">
        <f>IF(B817="","",IF($L$709=$BL$25,VLOOKUP(DATE(YEAR($D$19),MONTH($D$19)-1,1),ÍNDICES!$A:$DE,HLOOKUP($BL$25,ÍNDICES!$B$3:$T$4,2)+11)-VLOOKUP(B817,ÍNDICES!$A:$DE,HLOOKUP($BL$25,ÍNDICES!$B$3:$T$4,2)+11)+1%,IF(C$712=$W$26,$J$35,IF(ISERROR(IF(B817&gt;$D$19,1,VLOOKUP(DATE(YEAR(B817),MONTH(B817)+IF($C$709=$S$23,1,0),1),ÍNDICES!$A:$DE,$Z$709+1))),"",IF(B817&gt;$D$19,1,VLOOKUP(DATE(YEAR(B817),MONTH(B817)+IF($C$709=$S$23,1,0),1),ÍNDICES!$A:$DE,$Z$709+1))))))</f>
        <v/>
      </c>
      <c r="D817" s="155"/>
      <c r="E817" s="88"/>
      <c r="F817" s="88"/>
      <c r="G817" s="88"/>
      <c r="H817" s="118"/>
      <c r="I817" s="182">
        <f t="shared" si="122"/>
        <v>0</v>
      </c>
      <c r="J817" s="20">
        <f t="shared" ca="1" si="123"/>
        <v>0</v>
      </c>
      <c r="K817" s="5">
        <f t="shared" ca="1" si="124"/>
        <v>0</v>
      </c>
      <c r="L817" s="61">
        <f t="shared" ca="1" si="125"/>
        <v>0</v>
      </c>
      <c r="M817" s="64">
        <f t="shared" si="126"/>
        <v>0</v>
      </c>
      <c r="N817" s="151"/>
      <c r="O817" s="5">
        <f t="shared" ca="1" si="127"/>
        <v>0</v>
      </c>
      <c r="P817" s="446" t="e">
        <f t="shared" si="128"/>
        <v>#VALUE!</v>
      </c>
      <c r="Q817" s="446" t="e">
        <f>IF(OR($B817="",MIN(Q$38,$D$19)&lt;MAX($P$708*($B817+IF($R$17="Distrato",$I$38-1,0)),IF(AND($L$711=0,$P$708=0),"",$L$711-1),IF($R$17="Distrato",$E817,0))),0,YEARFRAC(MAX($P$708*($B817+IF($R$17="Distrato",$I$38-1,0)),IF(AND($L$711=0,$P$708=0),"",$L$711-1),IF($R$17="Distrato",$E817,0)),MIN(Q$38,$D$19),$P$20))-SUM($P817:P817)</f>
        <v>#VALUE!</v>
      </c>
      <c r="R817" s="446" t="e">
        <f>IF(OR($B817="",MIN(R$38,$D$19)&lt;MAX($P$708*($B817+IF($R$17="Distrato",$I$38-1,0)),IF(AND($L$711=0,$P$708=0),"",$L$711-1),IF($R$17="Distrato",$E817,0))),0,YEARFRAC(MAX($P$708*($B817+IF($R$17="Distrato",$I$38-1,0)),IF(AND($L$711=0,$P$708=0),"",$L$711-1),IF($R$17="Distrato",$E817,0)),MIN(R$38,$D$19),$P$20))-SUM($P817:Q817)</f>
        <v>#VALUE!</v>
      </c>
      <c r="S817" s="446" t="e">
        <f>IF(OR($B817="",MIN(S$38,$D$19)&lt;MAX($P$708*($B817+IF($R$17="Distrato",$I$38-1,0)),IF(AND($L$711=0,$P$708=0),"",$L$711-1),IF($R$17="Distrato",$E817,0))),0,YEARFRAC(MAX($P$708*($B817+IF($R$17="Distrato",$I$38-1,0)),IF(AND($L$711=0,$P$708=0),"",$L$711-1),IF($R$17="Distrato",$E817,0)),MIN(S$38,$D$19),$P$20))-SUM($P817:R817)</f>
        <v>#VALUE!</v>
      </c>
      <c r="T817" s="446" t="e">
        <f>IF(OR($B817="",MIN(T$38,$D$19)&lt;MAX($P$708*($B817+IF($R$17="Distrato",$I$38-1,0)),IF(AND($L$711=0,$P$708=0),"",$L$711-1),IF($R$17="Distrato",$E817,0))),0,YEARFRAC(MAX($P$708*($B817+IF($R$17="Distrato",$I$38-1,0)),IF(AND($L$711=0,$P$708=0),"",$L$711-1),IF($R$17="Distrato",$E817,0)),MIN(T$38,$D$19),$P$20))-SUM($P817:S817)</f>
        <v>#VALUE!</v>
      </c>
      <c r="U817" s="446" t="e">
        <f>IF(OR($B817="",MIN(U$38,$D$19)&lt;MAX($P$708*($B817+IF($R$17="Distrato",$I$38-1,0)),IF(AND($L$711=0,$P$708=0),"",$L$711-1),IF($R$17="Distrato",$E817,0))),0,YEARFRAC(MAX($P$708*($B817+IF($R$17="Distrato",$I$38-1,0)),IF(AND($L$711=0,$P$708=0),"",$L$711-1),IF($R$17="Distrato",$E817,0)),MIN(U$38,$D$19),$P$20))-SUM($P817:T817)</f>
        <v>#VALUE!</v>
      </c>
      <c r="V817" s="446" t="e">
        <f>IF(OR($B817="",MIN(V$38,$D$19)&lt;MAX($P$708*($B817+IF($R$17="Distrato",$I$38-1,0)),IF(AND($L$711=0,$P$708=0),"",$L$711-1),IF($R$17="Distrato",$E817,0))),0,YEARFRAC(MAX($P$708*($B817+IF($R$17="Distrato",$I$38-1,0)),IF(AND($L$711=0,$P$708=0),"",$L$711-1),IF($R$17="Distrato",$E817,0)),MIN(V$38,$D$19),$P$20))-SUM($P817:U817)</f>
        <v>#VALUE!</v>
      </c>
      <c r="W817" s="446" t="e">
        <f>IF(OR($B817="",MIN(W$38,$D$19)&lt;MAX($P$708*($B817+IF($R$17="Distrato",$I$38-1,0)),IF(AND($L$711=0,$P$708=0),"",$L$711-1),IF($R$17="Distrato",$E817,0))),0,YEARFRAC(MAX($P$708*($B817+IF($R$17="Distrato",$I$38-1,0)),IF(AND($L$711=0,$P$708=0),"",$L$711-1),IF($R$17="Distrato",$E817,0)),MIN(W$38,$D$19),$P$20))-SUM($P817:V817)</f>
        <v>#VALUE!</v>
      </c>
      <c r="X817" s="446" t="e">
        <f>IF(OR($B817="",MIN(X$38,$D$19)&lt;MAX($P$708*($B817+IF($R$17="Distrato",$I$38-1,0)),IF(AND($L$711=0,$P$708=0),"",$L$711-1),IF($R$17="Distrato",$E817,0))),0,YEARFRAC(MAX($P$708*($B817+IF($R$17="Distrato",$I$38-1,0)),IF(AND($L$711=0,$P$708=0),"",$L$711-1),IF($R$17="Distrato",$E817,0)),MIN(X$38,$D$19),$P$20))-SUM($P817:W817)</f>
        <v>#VALUE!</v>
      </c>
      <c r="Y817" s="446" t="e">
        <f>IF(OR($B817="",MIN(Y$38,$D$19)&lt;MAX($P$708*($B817+IF($R$17="Distrato",$I$38-1,0)),IF(AND($L$711=0,$P$708=0),"",$L$711-1),IF($R$17="Distrato",$E817,0))),0,YEARFRAC(MAX($P$708*($B817+IF($R$17="Distrato",$I$38-1,0)),IF(AND($L$711=0,$P$708=0),"",$L$711-1),IF($R$17="Distrato",$E817,0)),MIN(Y$38,$D$19),$P$20))-SUM($P817:X817)</f>
        <v>#VALUE!</v>
      </c>
      <c r="Z817" s="446" t="e">
        <f>IF(OR($B817="",MIN(Z$38,$D$19)&lt;MAX($P$708*($B817+IF($R$17="Distrato",$I$38-1,0)),IF(AND($L$711=0,$P$708=0),"",$L$711-1),IF($R$17="Distrato",$E817,0))),0,YEARFRAC(MAX($P$708*($B817+IF($R$17="Distrato",$I$38-1,0)),IF(AND($L$711=0,$P$708=0),"",$L$711-1),IF($R$17="Distrato",$E817,0)),MIN(Z$38,$D$19),$P$20))-SUM($P817:Y817)</f>
        <v>#VALUE!</v>
      </c>
      <c r="AA817" s="446" t="e">
        <f>IF(OR($B817="",MIN(AA$38,$D$19)&lt;MAX($P$708*($B817+IF($R$17="Distrato",$I$38-1,0)),IF(AND($L$711=0,$P$708=0),"",$L$711-1),IF($R$17="Distrato",$E817,0))),0,YEARFRAC(MAX($P$708*($B817+IF($R$17="Distrato",$I$38-1,0)),IF(AND($L$711=0,$P$708=0),"",$L$711-1),IF($R$17="Distrato",$E817,0)),MIN(AA$38,$D$19),$P$20))-SUM($P817:Z817)</f>
        <v>#VALUE!</v>
      </c>
      <c r="AB817" s="446" t="e">
        <f>IF(OR($B817="",MIN(AB$38,$D$19)&lt;MAX($P$708*($B817+IF($R$17="Distrato",$I$38-1,0)),IF(AND($L$711=0,$P$708=0),"",$L$711-1),IF($R$17="Distrato",$E817,0))),0,YEARFRAC(MAX($P$708*($B817+IF($R$17="Distrato",$I$38-1,0)),IF(AND($L$711=0,$P$708=0),"",$L$711-1),IF($R$17="Distrato",$E817,0)),MIN(AB$38,$D$19),$P$20))-SUM($P817:AA817)</f>
        <v>#VALUE!</v>
      </c>
      <c r="AC817" s="446" t="e">
        <f>IF(OR($B817="",MIN(AC$38,$D$19)&lt;MAX($P$708*($B817+IF($R$17="Distrato",$I$38-1,0)),IF(AND($L$711=0,$P$708=0),"",$L$711-1),IF($R$17="Distrato",$E817,0))),0,YEARFRAC(MAX($P$708*($B817+IF($R$17="Distrato",$I$38-1,0)),IF(AND($L$711=0,$P$708=0),"",$L$711-1),IF($R$17="Distrato",$E817,0)),MIN(AC$38,$D$19),$P$20))-SUM($P817:AB817)</f>
        <v>#VALUE!</v>
      </c>
      <c r="AD817" s="446" t="e">
        <f>IF(OR($B817="",MIN(AD$38,$D$19)&lt;MAX($P$708*($B817+IF($R$17="Distrato",$I$38-1,0)),IF(AND($L$711=0,$P$708=0),"",$L$711-1),IF($R$17="Distrato",$E817,0))),0,YEARFRAC(MAX($P$708*($B817+IF($R$17="Distrato",$I$38-1,0)),IF(AND($L$711=0,$P$708=0),"",$L$711-1),IF($R$17="Distrato",$E817,0)),MIN(AD$38,$D$19),$P$20))-SUM($P817:AC817)</f>
        <v>#VALUE!</v>
      </c>
      <c r="AE817" s="446" t="e">
        <f>IF(OR($B817="",MIN(AE$38,$D$19)&lt;MAX($P$708*($B817+IF($R$17="Distrato",$I$38-1,0)),IF(AND($L$711=0,$P$708=0),"",$L$711-1),IF($R$17="Distrato",$E817,0))),0,YEARFRAC(MAX($P$708*($B817+IF($R$17="Distrato",$I$38-1,0)),IF(AND($L$711=0,$P$708=0),"",$L$711-1),IF($R$17="Distrato",$E817,0)),MIN(AE$38,$D$19),$P$20))-SUM($P817:AD817)</f>
        <v>#VALUE!</v>
      </c>
      <c r="AF817" s="446" t="e">
        <f>IF(OR($B817="",MIN(AF$38,$D$19)&lt;MAX($P$708*($B817+IF($R$17="Distrato",$I$38-1,0)),IF(AND($L$711=0,$P$708=0),"",$L$711-1),IF($R$17="Distrato",$E817,0))),0,YEARFRAC(MAX($P$708*($B817+IF($R$17="Distrato",$I$38-1,0)),IF(AND($L$711=0,$P$708=0),"",$L$711-1),IF($R$17="Distrato",$E817,0)),MIN(AF$38,$D$19),$P$20))-SUM($P817:AE817)</f>
        <v>#VALUE!</v>
      </c>
      <c r="AG817" s="446" t="e">
        <f>IF(OR($B817="",MIN(AG$38,$D$19)&lt;MAX($P$708*($B817+IF($R$17="Distrato",$I$38-1,0)),IF(AND($L$711=0,$P$708=0),"",$L$711-1),IF($R$17="Distrato",$E817,0))),0,YEARFRAC(MAX($P$708*($B817+IF($R$17="Distrato",$I$38-1,0)),IF(AND($L$711=0,$P$708=0),"",$L$711-1),IF($R$17="Distrato",$E817,0)),MIN(AG$38,$D$19),$P$20))-SUM($P817:AF817)</f>
        <v>#VALUE!</v>
      </c>
      <c r="AH817" s="446" t="e">
        <f>IF(OR($B817="",MIN(AH$38,$D$19)&lt;MAX($P$708*($B817+IF($R$17="Distrato",$I$38-1,0)),IF(AND($L$711=0,$P$708=0),"",$L$711-1),IF($R$17="Distrato",$E817,0))),0,YEARFRAC(MAX($P$708*($B817+IF($R$17="Distrato",$I$38-1,0)),IF(AND($L$711=0,$P$708=0),"",$L$711-1),IF($R$17="Distrato",$E817,0)),MIN(AH$38,$D$19),$P$20))-SUM($P817:AG817)</f>
        <v>#VALUE!</v>
      </c>
      <c r="AI817" s="446" t="e">
        <f>IF(OR($B817="",MIN(AI$38,$D$19)&lt;MAX($P$708*($B817+IF($R$17="Distrato",$I$38-1,0)),IF(AND($L$711=0,$P$708=0),"",$L$711-1),IF($R$17="Distrato",$E817,0))),0,YEARFRAC(MAX($P$708*($B817+IF($R$17="Distrato",$I$38-1,0)),IF(AND($L$711=0,$P$708=0),"",$L$711-1),IF($R$17="Distrato",$E817,0)),MIN(AI$38,$D$19),$P$20))-SUM($P817:AH817)</f>
        <v>#VALUE!</v>
      </c>
      <c r="AJ817" s="446" t="e">
        <f>IF(OR($B817="",MIN(AJ$38,$D$19)&lt;MAX($P$708*($B817+IF($R$17="Distrato",$I$38-1,0)),IF(AND($L$711=0,$P$708=0),"",$L$711-1),IF($R$17="Distrato",$E817,0))),0,YEARFRAC(MAX($P$708*($B817+IF($R$17="Distrato",$I$38-1,0)),IF(AND($L$711=0,$P$708=0),"",$L$711-1),IF($R$17="Distrato",$E817,0)),MIN(AJ$38,$D$19),$P$20))-SUM($P817:AI817)</f>
        <v>#VALUE!</v>
      </c>
      <c r="AK817" s="446" t="e">
        <f>IF(OR($B817="",MIN(AK$38,$D$19)&lt;MAX($P$708*($B817+IF($R$17="Distrato",$I$38-1,0)),IF(AND($L$711=0,$P$708=0),"",$L$711-1),IF($R$17="Distrato",$E817,0))),0,YEARFRAC(MAX($P$708*($B817+IF($R$17="Distrato",$I$38-1,0)),IF(AND($L$711=0,$P$708=0),"",$L$711-1),IF($R$17="Distrato",$E817,0)),MIN(AK$38,$D$19),$P$20))-SUM($P817:AJ817)</f>
        <v>#VALUE!</v>
      </c>
      <c r="AL817" s="446" t="e">
        <f>IF(OR($B817="",MIN(AL$38,$D$19)&lt;MAX($P$708*($B817+IF($R$17="Distrato",$I$38-1,0)),IF(AND($L$711=0,$P$708=0),"",$L$711-1),IF($R$17="Distrato",$E817,0))),0,YEARFRAC(MAX($P$708*($B817+IF($R$17="Distrato",$I$38-1,0)),IF(AND($L$711=0,$P$708=0),"",$L$711-1),IF($R$17="Distrato",$E817,0)),MIN(AL$38,$D$19),$P$20))-SUM($P817:AK817)</f>
        <v>#VALUE!</v>
      </c>
      <c r="AM817" s="446" t="e">
        <f>IF(OR($B817="",MIN(AM$38,$D$19)&lt;MAX($P$708*($B817+IF($R$17="Distrato",$I$38-1,0)),IF(AND($L$711=0,$P$708=0),"",$L$711-1),IF($R$17="Distrato",$E817,0))),0,YEARFRAC(MAX($P$708*($B817+IF($R$17="Distrato",$I$38-1,0)),IF(AND($L$711=0,$P$708=0),"",$L$711-1),IF($R$17="Distrato",$E817,0)),MIN(AM$38,$D$19),$P$20))-SUM($P817:AL817)</f>
        <v>#VALUE!</v>
      </c>
      <c r="AN817" s="446" t="e">
        <f>IF(OR($B817="",MIN(AN$38,$D$19)&lt;MAX($P$708*($B817+IF($R$17="Distrato",$I$38-1,0)),IF(AND($L$711=0,$P$708=0),"",$L$711-1),IF($R$17="Distrato",$E817,0))),0,YEARFRAC(MAX($P$708*($B817+IF($R$17="Distrato",$I$38-1,0)),IF(AND($L$711=0,$P$708=0),"",$L$711-1),IF($R$17="Distrato",$E817,0)),MIN(AN$38,$D$19),$P$20))-SUM($P817:AM817)</f>
        <v>#VALUE!</v>
      </c>
      <c r="AO817" s="446" t="e">
        <f>IF(OR($B817="",MIN(AO$38,$D$19)&lt;MAX($P$708*($B817+IF($R$17="Distrato",$I$38-1,0)),IF(AND($L$711=0,$P$708=0),"",$L$711-1),IF($R$17="Distrato",$E817,0))),0,YEARFRAC(MAX($P$708*($B817+IF($R$17="Distrato",$I$38-1,0)),IF(AND($L$711=0,$P$708=0),"",$L$711-1),IF($R$17="Distrato",$E817,0)),MIN(AO$38,$D$19),$P$20))-SUM($P817:AN817)</f>
        <v>#VALUE!</v>
      </c>
      <c r="AP817" s="446" t="e">
        <f>IF(OR($B817="",MIN(AP$38,$D$19)&lt;MAX($P$708*($B817+IF($R$17="Distrato",$I$38-1,0)),IF(AND($L$711=0,$P$708=0),"",$L$711-1),IF($R$17="Distrato",$E817,0))),0,YEARFRAC(MAX($P$708*($B817+IF($R$17="Distrato",$I$38-1,0)),IF(AND($L$711=0,$P$708=0),"",$L$711-1),IF($R$17="Distrato",$E817,0)),MIN(AP$38,$D$19),$P$20))-SUM($P817:AO817)</f>
        <v>#VALUE!</v>
      </c>
      <c r="AQ817" s="446" t="e">
        <f>IF(OR($B817="",MIN(AQ$38,$D$19)&lt;MAX($P$708*($B817+IF($R$17="Distrato",$I$38-1,0)),IF(AND($L$711=0,$P$708=0),"",$L$711-1),IF($R$17="Distrato",$E817,0))),0,YEARFRAC(MAX($P$708*($B817+IF($R$17="Distrato",$I$38-1,0)),IF(AND($L$711=0,$P$708=0),"",$L$711-1),IF($R$17="Distrato",$E817,0)),MIN(AQ$38,$D$19),$P$20))-SUM($P817:AP817)</f>
        <v>#VALUE!</v>
      </c>
      <c r="AR817" s="446" t="e">
        <f>IF(OR($B817="",MIN(AR$38,$D$19)&lt;MAX($P$708*($B817+IF($R$17="Distrato",$I$38-1,0)),IF(AND($L$711=0,$P$708=0),"",$L$711-1),IF($R$17="Distrato",$E817,0))),0,YEARFRAC(MAX($P$708*($B817+IF($R$17="Distrato",$I$38-1,0)),IF(AND($L$711=0,$P$708=0),"",$L$711-1),IF($R$17="Distrato",$E817,0)),MIN(AR$38,$D$19),$P$20))-SUM($P817:AQ817)</f>
        <v>#VALUE!</v>
      </c>
      <c r="AS817" s="446" t="e">
        <f>IF(OR($B817="",MIN(AS$38,$D$19)&lt;MAX($P$708*($B817+IF($R$17="Distrato",$I$38-1,0)),IF(AND($L$711=0,$P$708=0),"",$L$711-1),IF($R$17="Distrato",$E817,0))),0,YEARFRAC(MAX($P$708*($B817+IF($R$17="Distrato",$I$38-1,0)),IF(AND($L$711=0,$P$708=0),"",$L$711-1),IF($R$17="Distrato",$E817,0)),MIN(AS$38,$D$19),$P$20))-SUM($P817:AR817)</f>
        <v>#VALUE!</v>
      </c>
      <c r="AT817" s="446" t="e">
        <f>IF(OR($B817="",MIN(AT$38,$D$19)&lt;MAX($P$708*($B817+IF($R$17="Distrato",$I$38-1,0)),IF(AND($L$711=0,$P$708=0),"",$L$711-1),IF($R$17="Distrato",$E817,0))),0,YEARFRAC(MAX($P$708*($B817+IF($R$17="Distrato",$I$38-1,0)),IF(AND($L$711=0,$P$708=0),"",$L$711-1),IF($R$17="Distrato",$E817,0)),MIN(AT$38,$D$19),$P$20))-SUM($P817:AS817)</f>
        <v>#VALUE!</v>
      </c>
      <c r="AU817" s="446" t="e">
        <f>IF(OR($B817="",MIN(AU$38,$D$19)&lt;MAX($P$708*($B817+IF($R$17="Distrato",$I$38-1,0)),IF(AND($L$711=0,$P$708=0),"",$L$711-1),IF($R$17="Distrato",$E817,0))),0,YEARFRAC(MAX($P$708*($B817+IF($R$17="Distrato",$I$38-1,0)),IF(AND($L$711=0,$P$708=0),"",$L$711-1),IF($R$17="Distrato",$E817,0)),MIN(AU$38,$D$19),$P$20))-SUM($P817:AT817)</f>
        <v>#VALUE!</v>
      </c>
      <c r="AV817" s="446" t="e">
        <f>IF(OR($B817="",MIN(AV$38,$D$19)&lt;MAX($P$708*($B817+IF($R$17="Distrato",$I$38-1,0)),IF(AND($L$711=0,$P$708=0),"",$L$711-1),IF($R$17="Distrato",$E817,0))),0,YEARFRAC(MAX($P$708*($B817+IF($R$17="Distrato",$I$38-1,0)),IF(AND($L$711=0,$P$708=0),"",$L$711-1),IF($R$17="Distrato",$E817,0)),MIN(AV$38,$D$19),$P$20))-SUM($P817:AU817)</f>
        <v>#VALUE!</v>
      </c>
      <c r="AW817" s="446" t="e">
        <f>IF(OR($B817="",MIN(AW$38,$D$19)&lt;MAX($P$708*($B817+IF($R$17="Distrato",$I$38-1,0)),IF(AND($L$711=0,$P$708=0),"",$L$711-1),IF($R$17="Distrato",$E817,0))),0,YEARFRAC(MAX($P$708*($B817+IF($R$17="Distrato",$I$38-1,0)),IF(AND($L$711=0,$P$708=0),"",$L$711-1),IF($R$17="Distrato",$E817,0)),MIN(AW$38,$D$19),$P$20))-SUM($P817:AV817)</f>
        <v>#VALUE!</v>
      </c>
      <c r="AX817" s="446" t="e">
        <f>IF(OR($B817="",MIN(AX$38,$D$19)&lt;MAX($P$708*($B817+IF($R$17="Distrato",$I$38-1,0)),IF(AND($L$711=0,$P$708=0),"",$L$711-1),IF($R$17="Distrato",$E817,0))),0,YEARFRAC(MAX($P$708*($B817+IF($R$17="Distrato",$I$38-1,0)),IF(AND($L$711=0,$P$708=0),"",$L$711-1),IF($R$17="Distrato",$E817,0)),MIN(AX$38,$D$19),$P$20))-SUM($P817:AW817)</f>
        <v>#VALUE!</v>
      </c>
      <c r="AY817" s="446" t="e">
        <f>IF(OR($B817="",MIN(AY$38,$D$19)&lt;MAX($P$708*($B817+IF($R$17="Distrato",$I$38-1,0)),IF(AND($L$711=0,$P$708=0),"",$L$711-1),IF($R$17="Distrato",$E817,0))),0,YEARFRAC(MAX($P$708*($B817+IF($R$17="Distrato",$I$38-1,0)),IF(AND($L$711=0,$P$708=0),"",$L$711-1),IF($R$17="Distrato",$E817,0)),MIN(AY$38,$D$19),$P$20))-SUM($P817:AX817)</f>
        <v>#VALUE!</v>
      </c>
      <c r="AZ817" s="446" t="e">
        <f>IF(OR($B817="",MIN(AZ$38,$D$19)&lt;MAX($P$708*($B817+IF($R$17="Distrato",$I$38-1,0)),IF(AND($L$711=0,$P$708=0),"",$L$711-1),IF($R$17="Distrato",$E817,0))),0,YEARFRAC(MAX($P$708*($B817+IF($R$17="Distrato",$I$38-1,0)),IF(AND($L$711=0,$P$708=0),"",$L$711-1),IF($R$17="Distrato",$E817,0)),MIN(AZ$38,$D$19),$P$20))-SUM($P817:AY817)</f>
        <v>#VALUE!</v>
      </c>
      <c r="BA817" s="446" t="e">
        <f>IF(OR($B817="",MIN(BA$38,$D$19)&lt;MAX($P$708*($B817+IF($R$17="Distrato",$I$38-1,0)),IF(AND($L$711=0,$P$708=0),"",$L$711-1),IF($R$17="Distrato",$E817,0))),0,YEARFRAC(MAX($P$708*($B817+IF($R$17="Distrato",$I$38-1,0)),IF(AND($L$711=0,$P$708=0),"",$L$711-1),IF($R$17="Distrato",$E817,0)),MIN(BA$38,$D$19),$P$20))-SUM($P817:AZ817)</f>
        <v>#VALUE!</v>
      </c>
      <c r="BB817" s="447"/>
    </row>
    <row r="818" spans="1:54" s="446" customFormat="1" ht="11.25" hidden="1" customHeight="1" x14ac:dyDescent="0.2">
      <c r="A818" s="235"/>
      <c r="B818" s="236"/>
      <c r="C818" s="29" t="str">
        <f>IF(B818="","",IF($L$709=$BL$25,VLOOKUP(DATE(YEAR($D$19),MONTH($D$19)-1,1),ÍNDICES!$A:$DE,HLOOKUP($BL$25,ÍNDICES!$B$3:$T$4,2)+11)-VLOOKUP(B818,ÍNDICES!$A:$DE,HLOOKUP($BL$25,ÍNDICES!$B$3:$T$4,2)+11)+1%,IF(C$712=$W$26,$J$35,IF(ISERROR(IF(B818&gt;$D$19,1,VLOOKUP(DATE(YEAR(B818),MONTH(B818)+IF($C$709=$S$23,1,0),1),ÍNDICES!$A:$DE,$Z$709+1))),"",IF(B818&gt;$D$19,1,VLOOKUP(DATE(YEAR(B818),MONTH(B818)+IF($C$709=$S$23,1,0),1),ÍNDICES!$A:$DE,$Z$709+1))))))</f>
        <v/>
      </c>
      <c r="D818" s="155"/>
      <c r="E818" s="88"/>
      <c r="F818" s="88"/>
      <c r="G818" s="88"/>
      <c r="H818" s="118"/>
      <c r="I818" s="182">
        <f t="shared" si="122"/>
        <v>0</v>
      </c>
      <c r="J818" s="20">
        <f t="shared" ca="1" si="123"/>
        <v>0</v>
      </c>
      <c r="K818" s="5">
        <f t="shared" ca="1" si="124"/>
        <v>0</v>
      </c>
      <c r="L818" s="61">
        <f t="shared" ca="1" si="125"/>
        <v>0</v>
      </c>
      <c r="M818" s="64">
        <f t="shared" si="126"/>
        <v>0</v>
      </c>
      <c r="N818" s="151"/>
      <c r="O818" s="5">
        <f t="shared" ca="1" si="127"/>
        <v>0</v>
      </c>
      <c r="P818" s="446" t="e">
        <f t="shared" si="128"/>
        <v>#VALUE!</v>
      </c>
      <c r="Q818" s="446" t="e">
        <f>IF(OR($B818="",MIN(Q$38,$D$19)&lt;MAX($P$708*($B818+IF($R$17="Distrato",$I$38-1,0)),IF(AND($L$711=0,$P$708=0),"",$L$711-1),IF($R$17="Distrato",$E818,0))),0,YEARFRAC(MAX($P$708*($B818+IF($R$17="Distrato",$I$38-1,0)),IF(AND($L$711=0,$P$708=0),"",$L$711-1),IF($R$17="Distrato",$E818,0)),MIN(Q$38,$D$19),$P$20))-SUM($P818:P818)</f>
        <v>#VALUE!</v>
      </c>
      <c r="R818" s="446" t="e">
        <f>IF(OR($B818="",MIN(R$38,$D$19)&lt;MAX($P$708*($B818+IF($R$17="Distrato",$I$38-1,0)),IF(AND($L$711=0,$P$708=0),"",$L$711-1),IF($R$17="Distrato",$E818,0))),0,YEARFRAC(MAX($P$708*($B818+IF($R$17="Distrato",$I$38-1,0)),IF(AND($L$711=0,$P$708=0),"",$L$711-1),IF($R$17="Distrato",$E818,0)),MIN(R$38,$D$19),$P$20))-SUM($P818:Q818)</f>
        <v>#VALUE!</v>
      </c>
      <c r="S818" s="446" t="e">
        <f>IF(OR($B818="",MIN(S$38,$D$19)&lt;MAX($P$708*($B818+IF($R$17="Distrato",$I$38-1,0)),IF(AND($L$711=0,$P$708=0),"",$L$711-1),IF($R$17="Distrato",$E818,0))),0,YEARFRAC(MAX($P$708*($B818+IF($R$17="Distrato",$I$38-1,0)),IF(AND($L$711=0,$P$708=0),"",$L$711-1),IF($R$17="Distrato",$E818,0)),MIN(S$38,$D$19),$P$20))-SUM($P818:R818)</f>
        <v>#VALUE!</v>
      </c>
      <c r="T818" s="446" t="e">
        <f>IF(OR($B818="",MIN(T$38,$D$19)&lt;MAX($P$708*($B818+IF($R$17="Distrato",$I$38-1,0)),IF(AND($L$711=0,$P$708=0),"",$L$711-1),IF($R$17="Distrato",$E818,0))),0,YEARFRAC(MAX($P$708*($B818+IF($R$17="Distrato",$I$38-1,0)),IF(AND($L$711=0,$P$708=0),"",$L$711-1),IF($R$17="Distrato",$E818,0)),MIN(T$38,$D$19),$P$20))-SUM($P818:S818)</f>
        <v>#VALUE!</v>
      </c>
      <c r="U818" s="446" t="e">
        <f>IF(OR($B818="",MIN(U$38,$D$19)&lt;MAX($P$708*($B818+IF($R$17="Distrato",$I$38-1,0)),IF(AND($L$711=0,$P$708=0),"",$L$711-1),IF($R$17="Distrato",$E818,0))),0,YEARFRAC(MAX($P$708*($B818+IF($R$17="Distrato",$I$38-1,0)),IF(AND($L$711=0,$P$708=0),"",$L$711-1),IF($R$17="Distrato",$E818,0)),MIN(U$38,$D$19),$P$20))-SUM($P818:T818)</f>
        <v>#VALUE!</v>
      </c>
      <c r="V818" s="446" t="e">
        <f>IF(OR($B818="",MIN(V$38,$D$19)&lt;MAX($P$708*($B818+IF($R$17="Distrato",$I$38-1,0)),IF(AND($L$711=0,$P$708=0),"",$L$711-1),IF($R$17="Distrato",$E818,0))),0,YEARFRAC(MAX($P$708*($B818+IF($R$17="Distrato",$I$38-1,0)),IF(AND($L$711=0,$P$708=0),"",$L$711-1),IF($R$17="Distrato",$E818,0)),MIN(V$38,$D$19),$P$20))-SUM($P818:U818)</f>
        <v>#VALUE!</v>
      </c>
      <c r="W818" s="446" t="e">
        <f>IF(OR($B818="",MIN(W$38,$D$19)&lt;MAX($P$708*($B818+IF($R$17="Distrato",$I$38-1,0)),IF(AND($L$711=0,$P$708=0),"",$L$711-1),IF($R$17="Distrato",$E818,0))),0,YEARFRAC(MAX($P$708*($B818+IF($R$17="Distrato",$I$38-1,0)),IF(AND($L$711=0,$P$708=0),"",$L$711-1),IF($R$17="Distrato",$E818,0)),MIN(W$38,$D$19),$P$20))-SUM($P818:V818)</f>
        <v>#VALUE!</v>
      </c>
      <c r="X818" s="446" t="e">
        <f>IF(OR($B818="",MIN(X$38,$D$19)&lt;MAX($P$708*($B818+IF($R$17="Distrato",$I$38-1,0)),IF(AND($L$711=0,$P$708=0),"",$L$711-1),IF($R$17="Distrato",$E818,0))),0,YEARFRAC(MAX($P$708*($B818+IF($R$17="Distrato",$I$38-1,0)),IF(AND($L$711=0,$P$708=0),"",$L$711-1),IF($R$17="Distrato",$E818,0)),MIN(X$38,$D$19),$P$20))-SUM($P818:W818)</f>
        <v>#VALUE!</v>
      </c>
      <c r="Y818" s="446" t="e">
        <f>IF(OR($B818="",MIN(Y$38,$D$19)&lt;MAX($P$708*($B818+IF($R$17="Distrato",$I$38-1,0)),IF(AND($L$711=0,$P$708=0),"",$L$711-1),IF($R$17="Distrato",$E818,0))),0,YEARFRAC(MAX($P$708*($B818+IF($R$17="Distrato",$I$38-1,0)),IF(AND($L$711=0,$P$708=0),"",$L$711-1),IF($R$17="Distrato",$E818,0)),MIN(Y$38,$D$19),$P$20))-SUM($P818:X818)</f>
        <v>#VALUE!</v>
      </c>
      <c r="Z818" s="446" t="e">
        <f>IF(OR($B818="",MIN(Z$38,$D$19)&lt;MAX($P$708*($B818+IF($R$17="Distrato",$I$38-1,0)),IF(AND($L$711=0,$P$708=0),"",$L$711-1),IF($R$17="Distrato",$E818,0))),0,YEARFRAC(MAX($P$708*($B818+IF($R$17="Distrato",$I$38-1,0)),IF(AND($L$711=0,$P$708=0),"",$L$711-1),IF($R$17="Distrato",$E818,0)),MIN(Z$38,$D$19),$P$20))-SUM($P818:Y818)</f>
        <v>#VALUE!</v>
      </c>
      <c r="AA818" s="446" t="e">
        <f>IF(OR($B818="",MIN(AA$38,$D$19)&lt;MAX($P$708*($B818+IF($R$17="Distrato",$I$38-1,0)),IF(AND($L$711=0,$P$708=0),"",$L$711-1),IF($R$17="Distrato",$E818,0))),0,YEARFRAC(MAX($P$708*($B818+IF($R$17="Distrato",$I$38-1,0)),IF(AND($L$711=0,$P$708=0),"",$L$711-1),IF($R$17="Distrato",$E818,0)),MIN(AA$38,$D$19),$P$20))-SUM($P818:Z818)</f>
        <v>#VALUE!</v>
      </c>
      <c r="AB818" s="446" t="e">
        <f>IF(OR($B818="",MIN(AB$38,$D$19)&lt;MAX($P$708*($B818+IF($R$17="Distrato",$I$38-1,0)),IF(AND($L$711=0,$P$708=0),"",$L$711-1),IF($R$17="Distrato",$E818,0))),0,YEARFRAC(MAX($P$708*($B818+IF($R$17="Distrato",$I$38-1,0)),IF(AND($L$711=0,$P$708=0),"",$L$711-1),IF($R$17="Distrato",$E818,0)),MIN(AB$38,$D$19),$P$20))-SUM($P818:AA818)</f>
        <v>#VALUE!</v>
      </c>
      <c r="AC818" s="446" t="e">
        <f>IF(OR($B818="",MIN(AC$38,$D$19)&lt;MAX($P$708*($B818+IF($R$17="Distrato",$I$38-1,0)),IF(AND($L$711=0,$P$708=0),"",$L$711-1),IF($R$17="Distrato",$E818,0))),0,YEARFRAC(MAX($P$708*($B818+IF($R$17="Distrato",$I$38-1,0)),IF(AND($L$711=0,$P$708=0),"",$L$711-1),IF($R$17="Distrato",$E818,0)),MIN(AC$38,$D$19),$P$20))-SUM($P818:AB818)</f>
        <v>#VALUE!</v>
      </c>
      <c r="AD818" s="446" t="e">
        <f>IF(OR($B818="",MIN(AD$38,$D$19)&lt;MAX($P$708*($B818+IF($R$17="Distrato",$I$38-1,0)),IF(AND($L$711=0,$P$708=0),"",$L$711-1),IF($R$17="Distrato",$E818,0))),0,YEARFRAC(MAX($P$708*($B818+IF($R$17="Distrato",$I$38-1,0)),IF(AND($L$711=0,$P$708=0),"",$L$711-1),IF($R$17="Distrato",$E818,0)),MIN(AD$38,$D$19),$P$20))-SUM($P818:AC818)</f>
        <v>#VALUE!</v>
      </c>
      <c r="AE818" s="446" t="e">
        <f>IF(OR($B818="",MIN(AE$38,$D$19)&lt;MAX($P$708*($B818+IF($R$17="Distrato",$I$38-1,0)),IF(AND($L$711=0,$P$708=0),"",$L$711-1),IF($R$17="Distrato",$E818,0))),0,YEARFRAC(MAX($P$708*($B818+IF($R$17="Distrato",$I$38-1,0)),IF(AND($L$711=0,$P$708=0),"",$L$711-1),IF($R$17="Distrato",$E818,0)),MIN(AE$38,$D$19),$P$20))-SUM($P818:AD818)</f>
        <v>#VALUE!</v>
      </c>
      <c r="AF818" s="446" t="e">
        <f>IF(OR($B818="",MIN(AF$38,$D$19)&lt;MAX($P$708*($B818+IF($R$17="Distrato",$I$38-1,0)),IF(AND($L$711=0,$P$708=0),"",$L$711-1),IF($R$17="Distrato",$E818,0))),0,YEARFRAC(MAX($P$708*($B818+IF($R$17="Distrato",$I$38-1,0)),IF(AND($L$711=0,$P$708=0),"",$L$711-1),IF($R$17="Distrato",$E818,0)),MIN(AF$38,$D$19),$P$20))-SUM($P818:AE818)</f>
        <v>#VALUE!</v>
      </c>
      <c r="AG818" s="446" t="e">
        <f>IF(OR($B818="",MIN(AG$38,$D$19)&lt;MAX($P$708*($B818+IF($R$17="Distrato",$I$38-1,0)),IF(AND($L$711=0,$P$708=0),"",$L$711-1),IF($R$17="Distrato",$E818,0))),0,YEARFRAC(MAX($P$708*($B818+IF($R$17="Distrato",$I$38-1,0)),IF(AND($L$711=0,$P$708=0),"",$L$711-1),IF($R$17="Distrato",$E818,0)),MIN(AG$38,$D$19),$P$20))-SUM($P818:AF818)</f>
        <v>#VALUE!</v>
      </c>
      <c r="AH818" s="446" t="e">
        <f>IF(OR($B818="",MIN(AH$38,$D$19)&lt;MAX($P$708*($B818+IF($R$17="Distrato",$I$38-1,0)),IF(AND($L$711=0,$P$708=0),"",$L$711-1),IF($R$17="Distrato",$E818,0))),0,YEARFRAC(MAX($P$708*($B818+IF($R$17="Distrato",$I$38-1,0)),IF(AND($L$711=0,$P$708=0),"",$L$711-1),IF($R$17="Distrato",$E818,0)),MIN(AH$38,$D$19),$P$20))-SUM($P818:AG818)</f>
        <v>#VALUE!</v>
      </c>
      <c r="AI818" s="446" t="e">
        <f>IF(OR($B818="",MIN(AI$38,$D$19)&lt;MAX($P$708*($B818+IF($R$17="Distrato",$I$38-1,0)),IF(AND($L$711=0,$P$708=0),"",$L$711-1),IF($R$17="Distrato",$E818,0))),0,YEARFRAC(MAX($P$708*($B818+IF($R$17="Distrato",$I$38-1,0)),IF(AND($L$711=0,$P$708=0),"",$L$711-1),IF($R$17="Distrato",$E818,0)),MIN(AI$38,$D$19),$P$20))-SUM($P818:AH818)</f>
        <v>#VALUE!</v>
      </c>
      <c r="AJ818" s="446" t="e">
        <f>IF(OR($B818="",MIN(AJ$38,$D$19)&lt;MAX($P$708*($B818+IF($R$17="Distrato",$I$38-1,0)),IF(AND($L$711=0,$P$708=0),"",$L$711-1),IF($R$17="Distrato",$E818,0))),0,YEARFRAC(MAX($P$708*($B818+IF($R$17="Distrato",$I$38-1,0)),IF(AND($L$711=0,$P$708=0),"",$L$711-1),IF($R$17="Distrato",$E818,0)),MIN(AJ$38,$D$19),$P$20))-SUM($P818:AI818)</f>
        <v>#VALUE!</v>
      </c>
      <c r="AK818" s="446" t="e">
        <f>IF(OR($B818="",MIN(AK$38,$D$19)&lt;MAX($P$708*($B818+IF($R$17="Distrato",$I$38-1,0)),IF(AND($L$711=0,$P$708=0),"",$L$711-1),IF($R$17="Distrato",$E818,0))),0,YEARFRAC(MAX($P$708*($B818+IF($R$17="Distrato",$I$38-1,0)),IF(AND($L$711=0,$P$708=0),"",$L$711-1),IF($R$17="Distrato",$E818,0)),MIN(AK$38,$D$19),$P$20))-SUM($P818:AJ818)</f>
        <v>#VALUE!</v>
      </c>
      <c r="AL818" s="446" t="e">
        <f>IF(OR($B818="",MIN(AL$38,$D$19)&lt;MAX($P$708*($B818+IF($R$17="Distrato",$I$38-1,0)),IF(AND($L$711=0,$P$708=0),"",$L$711-1),IF($R$17="Distrato",$E818,0))),0,YEARFRAC(MAX($P$708*($B818+IF($R$17="Distrato",$I$38-1,0)),IF(AND($L$711=0,$P$708=0),"",$L$711-1),IF($R$17="Distrato",$E818,0)),MIN(AL$38,$D$19),$P$20))-SUM($P818:AK818)</f>
        <v>#VALUE!</v>
      </c>
      <c r="AM818" s="446" t="e">
        <f>IF(OR($B818="",MIN(AM$38,$D$19)&lt;MAX($P$708*($B818+IF($R$17="Distrato",$I$38-1,0)),IF(AND($L$711=0,$P$708=0),"",$L$711-1),IF($R$17="Distrato",$E818,0))),0,YEARFRAC(MAX($P$708*($B818+IF($R$17="Distrato",$I$38-1,0)),IF(AND($L$711=0,$P$708=0),"",$L$711-1),IF($R$17="Distrato",$E818,0)),MIN(AM$38,$D$19),$P$20))-SUM($P818:AL818)</f>
        <v>#VALUE!</v>
      </c>
      <c r="AN818" s="446" t="e">
        <f>IF(OR($B818="",MIN(AN$38,$D$19)&lt;MAX($P$708*($B818+IF($R$17="Distrato",$I$38-1,0)),IF(AND($L$711=0,$P$708=0),"",$L$711-1),IF($R$17="Distrato",$E818,0))),0,YEARFRAC(MAX($P$708*($B818+IF($R$17="Distrato",$I$38-1,0)),IF(AND($L$711=0,$P$708=0),"",$L$711-1),IF($R$17="Distrato",$E818,0)),MIN(AN$38,$D$19),$P$20))-SUM($P818:AM818)</f>
        <v>#VALUE!</v>
      </c>
      <c r="AO818" s="446" t="e">
        <f>IF(OR($B818="",MIN(AO$38,$D$19)&lt;MAX($P$708*($B818+IF($R$17="Distrato",$I$38-1,0)),IF(AND($L$711=0,$P$708=0),"",$L$711-1),IF($R$17="Distrato",$E818,0))),0,YEARFRAC(MAX($P$708*($B818+IF($R$17="Distrato",$I$38-1,0)),IF(AND($L$711=0,$P$708=0),"",$L$711-1),IF($R$17="Distrato",$E818,0)),MIN(AO$38,$D$19),$P$20))-SUM($P818:AN818)</f>
        <v>#VALUE!</v>
      </c>
      <c r="AP818" s="446" t="e">
        <f>IF(OR($B818="",MIN(AP$38,$D$19)&lt;MAX($P$708*($B818+IF($R$17="Distrato",$I$38-1,0)),IF(AND($L$711=0,$P$708=0),"",$L$711-1),IF($R$17="Distrato",$E818,0))),0,YEARFRAC(MAX($P$708*($B818+IF($R$17="Distrato",$I$38-1,0)),IF(AND($L$711=0,$P$708=0),"",$L$711-1),IF($R$17="Distrato",$E818,0)),MIN(AP$38,$D$19),$P$20))-SUM($P818:AO818)</f>
        <v>#VALUE!</v>
      </c>
      <c r="AQ818" s="446" t="e">
        <f>IF(OR($B818="",MIN(AQ$38,$D$19)&lt;MAX($P$708*($B818+IF($R$17="Distrato",$I$38-1,0)),IF(AND($L$711=0,$P$708=0),"",$L$711-1),IF($R$17="Distrato",$E818,0))),0,YEARFRAC(MAX($P$708*($B818+IF($R$17="Distrato",$I$38-1,0)),IF(AND($L$711=0,$P$708=0),"",$L$711-1),IF($R$17="Distrato",$E818,0)),MIN(AQ$38,$D$19),$P$20))-SUM($P818:AP818)</f>
        <v>#VALUE!</v>
      </c>
      <c r="AR818" s="446" t="e">
        <f>IF(OR($B818="",MIN(AR$38,$D$19)&lt;MAX($P$708*($B818+IF($R$17="Distrato",$I$38-1,0)),IF(AND($L$711=0,$P$708=0),"",$L$711-1),IF($R$17="Distrato",$E818,0))),0,YEARFRAC(MAX($P$708*($B818+IF($R$17="Distrato",$I$38-1,0)),IF(AND($L$711=0,$P$708=0),"",$L$711-1),IF($R$17="Distrato",$E818,0)),MIN(AR$38,$D$19),$P$20))-SUM($P818:AQ818)</f>
        <v>#VALUE!</v>
      </c>
      <c r="AS818" s="446" t="e">
        <f>IF(OR($B818="",MIN(AS$38,$D$19)&lt;MAX($P$708*($B818+IF($R$17="Distrato",$I$38-1,0)),IF(AND($L$711=0,$P$708=0),"",$L$711-1),IF($R$17="Distrato",$E818,0))),0,YEARFRAC(MAX($P$708*($B818+IF($R$17="Distrato",$I$38-1,0)),IF(AND($L$711=0,$P$708=0),"",$L$711-1),IF($R$17="Distrato",$E818,0)),MIN(AS$38,$D$19),$P$20))-SUM($P818:AR818)</f>
        <v>#VALUE!</v>
      </c>
      <c r="AT818" s="446" t="e">
        <f>IF(OR($B818="",MIN(AT$38,$D$19)&lt;MAX($P$708*($B818+IF($R$17="Distrato",$I$38-1,0)),IF(AND($L$711=0,$P$708=0),"",$L$711-1),IF($R$17="Distrato",$E818,0))),0,YEARFRAC(MAX($P$708*($B818+IF($R$17="Distrato",$I$38-1,0)),IF(AND($L$711=0,$P$708=0),"",$L$711-1),IF($R$17="Distrato",$E818,0)),MIN(AT$38,$D$19),$P$20))-SUM($P818:AS818)</f>
        <v>#VALUE!</v>
      </c>
      <c r="AU818" s="446" t="e">
        <f>IF(OR($B818="",MIN(AU$38,$D$19)&lt;MAX($P$708*($B818+IF($R$17="Distrato",$I$38-1,0)),IF(AND($L$711=0,$P$708=0),"",$L$711-1),IF($R$17="Distrato",$E818,0))),0,YEARFRAC(MAX($P$708*($B818+IF($R$17="Distrato",$I$38-1,0)),IF(AND($L$711=0,$P$708=0),"",$L$711-1),IF($R$17="Distrato",$E818,0)),MIN(AU$38,$D$19),$P$20))-SUM($P818:AT818)</f>
        <v>#VALUE!</v>
      </c>
      <c r="AV818" s="446" t="e">
        <f>IF(OR($B818="",MIN(AV$38,$D$19)&lt;MAX($P$708*($B818+IF($R$17="Distrato",$I$38-1,0)),IF(AND($L$711=0,$P$708=0),"",$L$711-1),IF($R$17="Distrato",$E818,0))),0,YEARFRAC(MAX($P$708*($B818+IF($R$17="Distrato",$I$38-1,0)),IF(AND($L$711=0,$P$708=0),"",$L$711-1),IF($R$17="Distrato",$E818,0)),MIN(AV$38,$D$19),$P$20))-SUM($P818:AU818)</f>
        <v>#VALUE!</v>
      </c>
      <c r="AW818" s="446" t="e">
        <f>IF(OR($B818="",MIN(AW$38,$D$19)&lt;MAX($P$708*($B818+IF($R$17="Distrato",$I$38-1,0)),IF(AND($L$711=0,$P$708=0),"",$L$711-1),IF($R$17="Distrato",$E818,0))),0,YEARFRAC(MAX($P$708*($B818+IF($R$17="Distrato",$I$38-1,0)),IF(AND($L$711=0,$P$708=0),"",$L$711-1),IF($R$17="Distrato",$E818,0)),MIN(AW$38,$D$19),$P$20))-SUM($P818:AV818)</f>
        <v>#VALUE!</v>
      </c>
      <c r="AX818" s="446" t="e">
        <f>IF(OR($B818="",MIN(AX$38,$D$19)&lt;MAX($P$708*($B818+IF($R$17="Distrato",$I$38-1,0)),IF(AND($L$711=0,$P$708=0),"",$L$711-1),IF($R$17="Distrato",$E818,0))),0,YEARFRAC(MAX($P$708*($B818+IF($R$17="Distrato",$I$38-1,0)),IF(AND($L$711=0,$P$708=0),"",$L$711-1),IF($R$17="Distrato",$E818,0)),MIN(AX$38,$D$19),$P$20))-SUM($P818:AW818)</f>
        <v>#VALUE!</v>
      </c>
      <c r="AY818" s="446" t="e">
        <f>IF(OR($B818="",MIN(AY$38,$D$19)&lt;MAX($P$708*($B818+IF($R$17="Distrato",$I$38-1,0)),IF(AND($L$711=0,$P$708=0),"",$L$711-1),IF($R$17="Distrato",$E818,0))),0,YEARFRAC(MAX($P$708*($B818+IF($R$17="Distrato",$I$38-1,0)),IF(AND($L$711=0,$P$708=0),"",$L$711-1),IF($R$17="Distrato",$E818,0)),MIN(AY$38,$D$19),$P$20))-SUM($P818:AX818)</f>
        <v>#VALUE!</v>
      </c>
      <c r="AZ818" s="446" t="e">
        <f>IF(OR($B818="",MIN(AZ$38,$D$19)&lt;MAX($P$708*($B818+IF($R$17="Distrato",$I$38-1,0)),IF(AND($L$711=0,$P$708=0),"",$L$711-1),IF($R$17="Distrato",$E818,0))),0,YEARFRAC(MAX($P$708*($B818+IF($R$17="Distrato",$I$38-1,0)),IF(AND($L$711=0,$P$708=0),"",$L$711-1),IF($R$17="Distrato",$E818,0)),MIN(AZ$38,$D$19),$P$20))-SUM($P818:AY818)</f>
        <v>#VALUE!</v>
      </c>
      <c r="BA818" s="446" t="e">
        <f>IF(OR($B818="",MIN(BA$38,$D$19)&lt;MAX($P$708*($B818+IF($R$17="Distrato",$I$38-1,0)),IF(AND($L$711=0,$P$708=0),"",$L$711-1),IF($R$17="Distrato",$E818,0))),0,YEARFRAC(MAX($P$708*($B818+IF($R$17="Distrato",$I$38-1,0)),IF(AND($L$711=0,$P$708=0),"",$L$711-1),IF($R$17="Distrato",$E818,0)),MIN(BA$38,$D$19),$P$20))-SUM($P818:AZ818)</f>
        <v>#VALUE!</v>
      </c>
      <c r="BB818" s="447"/>
    </row>
    <row r="819" spans="1:54" s="446" customFormat="1" ht="11.25" hidden="1" customHeight="1" x14ac:dyDescent="0.2">
      <c r="A819" s="235"/>
      <c r="B819" s="236"/>
      <c r="C819" s="29" t="str">
        <f>IF(B819="","",IF($L$709=$BL$25,VLOOKUP(DATE(YEAR($D$19),MONTH($D$19)-1,1),ÍNDICES!$A:$DE,HLOOKUP($BL$25,ÍNDICES!$B$3:$T$4,2)+11)-VLOOKUP(B819,ÍNDICES!$A:$DE,HLOOKUP($BL$25,ÍNDICES!$B$3:$T$4,2)+11)+1%,IF(C$712=$W$26,$J$35,IF(ISERROR(IF(B819&gt;$D$19,1,VLOOKUP(DATE(YEAR(B819),MONTH(B819)+IF($C$709=$S$23,1,0),1),ÍNDICES!$A:$DE,$Z$709+1))),"",IF(B819&gt;$D$19,1,VLOOKUP(DATE(YEAR(B819),MONTH(B819)+IF($C$709=$S$23,1,0),1),ÍNDICES!$A:$DE,$Z$709+1))))))</f>
        <v/>
      </c>
      <c r="D819" s="155"/>
      <c r="E819" s="88"/>
      <c r="F819" s="88"/>
      <c r="G819" s="88"/>
      <c r="H819" s="118"/>
      <c r="I819" s="182">
        <f t="shared" si="122"/>
        <v>0</v>
      </c>
      <c r="J819" s="20">
        <f t="shared" ca="1" si="123"/>
        <v>0</v>
      </c>
      <c r="K819" s="5">
        <f t="shared" ca="1" si="124"/>
        <v>0</v>
      </c>
      <c r="L819" s="61">
        <f t="shared" ca="1" si="125"/>
        <v>0</v>
      </c>
      <c r="M819" s="64">
        <f t="shared" si="126"/>
        <v>0</v>
      </c>
      <c r="N819" s="151"/>
      <c r="O819" s="5">
        <f t="shared" ca="1" si="127"/>
        <v>0</v>
      </c>
      <c r="P819" s="446" t="e">
        <f t="shared" si="128"/>
        <v>#VALUE!</v>
      </c>
      <c r="Q819" s="446" t="e">
        <f>IF(OR($B819="",MIN(Q$38,$D$19)&lt;MAX($P$708*($B819+IF($R$17="Distrato",$I$38-1,0)),IF(AND($L$711=0,$P$708=0),"",$L$711-1),IF($R$17="Distrato",$E819,0))),0,YEARFRAC(MAX($P$708*($B819+IF($R$17="Distrato",$I$38-1,0)),IF(AND($L$711=0,$P$708=0),"",$L$711-1),IF($R$17="Distrato",$E819,0)),MIN(Q$38,$D$19),$P$20))-SUM($P819:P819)</f>
        <v>#VALUE!</v>
      </c>
      <c r="R819" s="446" t="e">
        <f>IF(OR($B819="",MIN(R$38,$D$19)&lt;MAX($P$708*($B819+IF($R$17="Distrato",$I$38-1,0)),IF(AND($L$711=0,$P$708=0),"",$L$711-1),IF($R$17="Distrato",$E819,0))),0,YEARFRAC(MAX($P$708*($B819+IF($R$17="Distrato",$I$38-1,0)),IF(AND($L$711=0,$P$708=0),"",$L$711-1),IF($R$17="Distrato",$E819,0)),MIN(R$38,$D$19),$P$20))-SUM($P819:Q819)</f>
        <v>#VALUE!</v>
      </c>
      <c r="S819" s="446" t="e">
        <f>IF(OR($B819="",MIN(S$38,$D$19)&lt;MAX($P$708*($B819+IF($R$17="Distrato",$I$38-1,0)),IF(AND($L$711=0,$P$708=0),"",$L$711-1),IF($R$17="Distrato",$E819,0))),0,YEARFRAC(MAX($P$708*($B819+IF($R$17="Distrato",$I$38-1,0)),IF(AND($L$711=0,$P$708=0),"",$L$711-1),IF($R$17="Distrato",$E819,0)),MIN(S$38,$D$19),$P$20))-SUM($P819:R819)</f>
        <v>#VALUE!</v>
      </c>
      <c r="T819" s="446" t="e">
        <f>IF(OR($B819="",MIN(T$38,$D$19)&lt;MAX($P$708*($B819+IF($R$17="Distrato",$I$38-1,0)),IF(AND($L$711=0,$P$708=0),"",$L$711-1),IF($R$17="Distrato",$E819,0))),0,YEARFRAC(MAX($P$708*($B819+IF($R$17="Distrato",$I$38-1,0)),IF(AND($L$711=0,$P$708=0),"",$L$711-1),IF($R$17="Distrato",$E819,0)),MIN(T$38,$D$19),$P$20))-SUM($P819:S819)</f>
        <v>#VALUE!</v>
      </c>
      <c r="U819" s="446" t="e">
        <f>IF(OR($B819="",MIN(U$38,$D$19)&lt;MAX($P$708*($B819+IF($R$17="Distrato",$I$38-1,0)),IF(AND($L$711=0,$P$708=0),"",$L$711-1),IF($R$17="Distrato",$E819,0))),0,YEARFRAC(MAX($P$708*($B819+IF($R$17="Distrato",$I$38-1,0)),IF(AND($L$711=0,$P$708=0),"",$L$711-1),IF($R$17="Distrato",$E819,0)),MIN(U$38,$D$19),$P$20))-SUM($P819:T819)</f>
        <v>#VALUE!</v>
      </c>
      <c r="V819" s="446" t="e">
        <f>IF(OR($B819="",MIN(V$38,$D$19)&lt;MAX($P$708*($B819+IF($R$17="Distrato",$I$38-1,0)),IF(AND($L$711=0,$P$708=0),"",$L$711-1),IF($R$17="Distrato",$E819,0))),0,YEARFRAC(MAX($P$708*($B819+IF($R$17="Distrato",$I$38-1,0)),IF(AND($L$711=0,$P$708=0),"",$L$711-1),IF($R$17="Distrato",$E819,0)),MIN(V$38,$D$19),$P$20))-SUM($P819:U819)</f>
        <v>#VALUE!</v>
      </c>
      <c r="W819" s="446" t="e">
        <f>IF(OR($B819="",MIN(W$38,$D$19)&lt;MAX($P$708*($B819+IF($R$17="Distrato",$I$38-1,0)),IF(AND($L$711=0,$P$708=0),"",$L$711-1),IF($R$17="Distrato",$E819,0))),0,YEARFRAC(MAX($P$708*($B819+IF($R$17="Distrato",$I$38-1,0)),IF(AND($L$711=0,$P$708=0),"",$L$711-1),IF($R$17="Distrato",$E819,0)),MIN(W$38,$D$19),$P$20))-SUM($P819:V819)</f>
        <v>#VALUE!</v>
      </c>
      <c r="X819" s="446" t="e">
        <f>IF(OR($B819="",MIN(X$38,$D$19)&lt;MAX($P$708*($B819+IF($R$17="Distrato",$I$38-1,0)),IF(AND($L$711=0,$P$708=0),"",$L$711-1),IF($R$17="Distrato",$E819,0))),0,YEARFRAC(MAX($P$708*($B819+IF($R$17="Distrato",$I$38-1,0)),IF(AND($L$711=0,$P$708=0),"",$L$711-1),IF($R$17="Distrato",$E819,0)),MIN(X$38,$D$19),$P$20))-SUM($P819:W819)</f>
        <v>#VALUE!</v>
      </c>
      <c r="Y819" s="446" t="e">
        <f>IF(OR($B819="",MIN(Y$38,$D$19)&lt;MAX($P$708*($B819+IF($R$17="Distrato",$I$38-1,0)),IF(AND($L$711=0,$P$708=0),"",$L$711-1),IF($R$17="Distrato",$E819,0))),0,YEARFRAC(MAX($P$708*($B819+IF($R$17="Distrato",$I$38-1,0)),IF(AND($L$711=0,$P$708=0),"",$L$711-1),IF($R$17="Distrato",$E819,0)),MIN(Y$38,$D$19),$P$20))-SUM($P819:X819)</f>
        <v>#VALUE!</v>
      </c>
      <c r="Z819" s="446" t="e">
        <f>IF(OR($B819="",MIN(Z$38,$D$19)&lt;MAX($P$708*($B819+IF($R$17="Distrato",$I$38-1,0)),IF(AND($L$711=0,$P$708=0),"",$L$711-1),IF($R$17="Distrato",$E819,0))),0,YEARFRAC(MAX($P$708*($B819+IF($R$17="Distrato",$I$38-1,0)),IF(AND($L$711=0,$P$708=0),"",$L$711-1),IF($R$17="Distrato",$E819,0)),MIN(Z$38,$D$19),$P$20))-SUM($P819:Y819)</f>
        <v>#VALUE!</v>
      </c>
      <c r="AA819" s="446" t="e">
        <f>IF(OR($B819="",MIN(AA$38,$D$19)&lt;MAX($P$708*($B819+IF($R$17="Distrato",$I$38-1,0)),IF(AND($L$711=0,$P$708=0),"",$L$711-1),IF($R$17="Distrato",$E819,0))),0,YEARFRAC(MAX($P$708*($B819+IF($R$17="Distrato",$I$38-1,0)),IF(AND($L$711=0,$P$708=0),"",$L$711-1),IF($R$17="Distrato",$E819,0)),MIN(AA$38,$D$19),$P$20))-SUM($P819:Z819)</f>
        <v>#VALUE!</v>
      </c>
      <c r="AB819" s="446" t="e">
        <f>IF(OR($B819="",MIN(AB$38,$D$19)&lt;MAX($P$708*($B819+IF($R$17="Distrato",$I$38-1,0)),IF(AND($L$711=0,$P$708=0),"",$L$711-1),IF($R$17="Distrato",$E819,0))),0,YEARFRAC(MAX($P$708*($B819+IF($R$17="Distrato",$I$38-1,0)),IF(AND($L$711=0,$P$708=0),"",$L$711-1),IF($R$17="Distrato",$E819,0)),MIN(AB$38,$D$19),$P$20))-SUM($P819:AA819)</f>
        <v>#VALUE!</v>
      </c>
      <c r="AC819" s="446" t="e">
        <f>IF(OR($B819="",MIN(AC$38,$D$19)&lt;MAX($P$708*($B819+IF($R$17="Distrato",$I$38-1,0)),IF(AND($L$711=0,$P$708=0),"",$L$711-1),IF($R$17="Distrato",$E819,0))),0,YEARFRAC(MAX($P$708*($B819+IF($R$17="Distrato",$I$38-1,0)),IF(AND($L$711=0,$P$708=0),"",$L$711-1),IF($R$17="Distrato",$E819,0)),MIN(AC$38,$D$19),$P$20))-SUM($P819:AB819)</f>
        <v>#VALUE!</v>
      </c>
      <c r="AD819" s="446" t="e">
        <f>IF(OR($B819="",MIN(AD$38,$D$19)&lt;MAX($P$708*($B819+IF($R$17="Distrato",$I$38-1,0)),IF(AND($L$711=0,$P$708=0),"",$L$711-1),IF($R$17="Distrato",$E819,0))),0,YEARFRAC(MAX($P$708*($B819+IF($R$17="Distrato",$I$38-1,0)),IF(AND($L$711=0,$P$708=0),"",$L$711-1),IF($R$17="Distrato",$E819,0)),MIN(AD$38,$D$19),$P$20))-SUM($P819:AC819)</f>
        <v>#VALUE!</v>
      </c>
      <c r="AE819" s="446" t="e">
        <f>IF(OR($B819="",MIN(AE$38,$D$19)&lt;MAX($P$708*($B819+IF($R$17="Distrato",$I$38-1,0)),IF(AND($L$711=0,$P$708=0),"",$L$711-1),IF($R$17="Distrato",$E819,0))),0,YEARFRAC(MAX($P$708*($B819+IF($R$17="Distrato",$I$38-1,0)),IF(AND($L$711=0,$P$708=0),"",$L$711-1),IF($R$17="Distrato",$E819,0)),MIN(AE$38,$D$19),$P$20))-SUM($P819:AD819)</f>
        <v>#VALUE!</v>
      </c>
      <c r="AF819" s="446" t="e">
        <f>IF(OR($B819="",MIN(AF$38,$D$19)&lt;MAX($P$708*($B819+IF($R$17="Distrato",$I$38-1,0)),IF(AND($L$711=0,$P$708=0),"",$L$711-1),IF($R$17="Distrato",$E819,0))),0,YEARFRAC(MAX($P$708*($B819+IF($R$17="Distrato",$I$38-1,0)),IF(AND($L$711=0,$P$708=0),"",$L$711-1),IF($R$17="Distrato",$E819,0)),MIN(AF$38,$D$19),$P$20))-SUM($P819:AE819)</f>
        <v>#VALUE!</v>
      </c>
      <c r="AG819" s="446" t="e">
        <f>IF(OR($B819="",MIN(AG$38,$D$19)&lt;MAX($P$708*($B819+IF($R$17="Distrato",$I$38-1,0)),IF(AND($L$711=0,$P$708=0),"",$L$711-1),IF($R$17="Distrato",$E819,0))),0,YEARFRAC(MAX($P$708*($B819+IF($R$17="Distrato",$I$38-1,0)),IF(AND($L$711=0,$P$708=0),"",$L$711-1),IF($R$17="Distrato",$E819,0)),MIN(AG$38,$D$19),$P$20))-SUM($P819:AF819)</f>
        <v>#VALUE!</v>
      </c>
      <c r="AH819" s="446" t="e">
        <f>IF(OR($B819="",MIN(AH$38,$D$19)&lt;MAX($P$708*($B819+IF($R$17="Distrato",$I$38-1,0)),IF(AND($L$711=0,$P$708=0),"",$L$711-1),IF($R$17="Distrato",$E819,0))),0,YEARFRAC(MAX($P$708*($B819+IF($R$17="Distrato",$I$38-1,0)),IF(AND($L$711=0,$P$708=0),"",$L$711-1),IF($R$17="Distrato",$E819,0)),MIN(AH$38,$D$19),$P$20))-SUM($P819:AG819)</f>
        <v>#VALUE!</v>
      </c>
      <c r="AI819" s="446" t="e">
        <f>IF(OR($B819="",MIN(AI$38,$D$19)&lt;MAX($P$708*($B819+IF($R$17="Distrato",$I$38-1,0)),IF(AND($L$711=0,$P$708=0),"",$L$711-1),IF($R$17="Distrato",$E819,0))),0,YEARFRAC(MAX($P$708*($B819+IF($R$17="Distrato",$I$38-1,0)),IF(AND($L$711=0,$P$708=0),"",$L$711-1),IF($R$17="Distrato",$E819,0)),MIN(AI$38,$D$19),$P$20))-SUM($P819:AH819)</f>
        <v>#VALUE!</v>
      </c>
      <c r="AJ819" s="446" t="e">
        <f>IF(OR($B819="",MIN(AJ$38,$D$19)&lt;MAX($P$708*($B819+IF($R$17="Distrato",$I$38-1,0)),IF(AND($L$711=0,$P$708=0),"",$L$711-1),IF($R$17="Distrato",$E819,0))),0,YEARFRAC(MAX($P$708*($B819+IF($R$17="Distrato",$I$38-1,0)),IF(AND($L$711=0,$P$708=0),"",$L$711-1),IF($R$17="Distrato",$E819,0)),MIN(AJ$38,$D$19),$P$20))-SUM($P819:AI819)</f>
        <v>#VALUE!</v>
      </c>
      <c r="AK819" s="446" t="e">
        <f>IF(OR($B819="",MIN(AK$38,$D$19)&lt;MAX($P$708*($B819+IF($R$17="Distrato",$I$38-1,0)),IF(AND($L$711=0,$P$708=0),"",$L$711-1),IF($R$17="Distrato",$E819,0))),0,YEARFRAC(MAX($P$708*($B819+IF($R$17="Distrato",$I$38-1,0)),IF(AND($L$711=0,$P$708=0),"",$L$711-1),IF($R$17="Distrato",$E819,0)),MIN(AK$38,$D$19),$P$20))-SUM($P819:AJ819)</f>
        <v>#VALUE!</v>
      </c>
      <c r="AL819" s="446" t="e">
        <f>IF(OR($B819="",MIN(AL$38,$D$19)&lt;MAX($P$708*($B819+IF($R$17="Distrato",$I$38-1,0)),IF(AND($L$711=0,$P$708=0),"",$L$711-1),IF($R$17="Distrato",$E819,0))),0,YEARFRAC(MAX($P$708*($B819+IF($R$17="Distrato",$I$38-1,0)),IF(AND($L$711=0,$P$708=0),"",$L$711-1),IF($R$17="Distrato",$E819,0)),MIN(AL$38,$D$19),$P$20))-SUM($P819:AK819)</f>
        <v>#VALUE!</v>
      </c>
      <c r="AM819" s="446" t="e">
        <f>IF(OR($B819="",MIN(AM$38,$D$19)&lt;MAX($P$708*($B819+IF($R$17="Distrato",$I$38-1,0)),IF(AND($L$711=0,$P$708=0),"",$L$711-1),IF($R$17="Distrato",$E819,0))),0,YEARFRAC(MAX($P$708*($B819+IF($R$17="Distrato",$I$38-1,0)),IF(AND($L$711=0,$P$708=0),"",$L$711-1),IF($R$17="Distrato",$E819,0)),MIN(AM$38,$D$19),$P$20))-SUM($P819:AL819)</f>
        <v>#VALUE!</v>
      </c>
      <c r="AN819" s="446" t="e">
        <f>IF(OR($B819="",MIN(AN$38,$D$19)&lt;MAX($P$708*($B819+IF($R$17="Distrato",$I$38-1,0)),IF(AND($L$711=0,$P$708=0),"",$L$711-1),IF($R$17="Distrato",$E819,0))),0,YEARFRAC(MAX($P$708*($B819+IF($R$17="Distrato",$I$38-1,0)),IF(AND($L$711=0,$P$708=0),"",$L$711-1),IF($R$17="Distrato",$E819,0)),MIN(AN$38,$D$19),$P$20))-SUM($P819:AM819)</f>
        <v>#VALUE!</v>
      </c>
      <c r="AO819" s="446" t="e">
        <f>IF(OR($B819="",MIN(AO$38,$D$19)&lt;MAX($P$708*($B819+IF($R$17="Distrato",$I$38-1,0)),IF(AND($L$711=0,$P$708=0),"",$L$711-1),IF($R$17="Distrato",$E819,0))),0,YEARFRAC(MAX($P$708*($B819+IF($R$17="Distrato",$I$38-1,0)),IF(AND($L$711=0,$P$708=0),"",$L$711-1),IF($R$17="Distrato",$E819,0)),MIN(AO$38,$D$19),$P$20))-SUM($P819:AN819)</f>
        <v>#VALUE!</v>
      </c>
      <c r="AP819" s="446" t="e">
        <f>IF(OR($B819="",MIN(AP$38,$D$19)&lt;MAX($P$708*($B819+IF($R$17="Distrato",$I$38-1,0)),IF(AND($L$711=0,$P$708=0),"",$L$711-1),IF($R$17="Distrato",$E819,0))),0,YEARFRAC(MAX($P$708*($B819+IF($R$17="Distrato",$I$38-1,0)),IF(AND($L$711=0,$P$708=0),"",$L$711-1),IF($R$17="Distrato",$E819,0)),MIN(AP$38,$D$19),$P$20))-SUM($P819:AO819)</f>
        <v>#VALUE!</v>
      </c>
      <c r="AQ819" s="446" t="e">
        <f>IF(OR($B819="",MIN(AQ$38,$D$19)&lt;MAX($P$708*($B819+IF($R$17="Distrato",$I$38-1,0)),IF(AND($L$711=0,$P$708=0),"",$L$711-1),IF($R$17="Distrato",$E819,0))),0,YEARFRAC(MAX($P$708*($B819+IF($R$17="Distrato",$I$38-1,0)),IF(AND($L$711=0,$P$708=0),"",$L$711-1),IF($R$17="Distrato",$E819,0)),MIN(AQ$38,$D$19),$P$20))-SUM($P819:AP819)</f>
        <v>#VALUE!</v>
      </c>
      <c r="AR819" s="446" t="e">
        <f>IF(OR($B819="",MIN(AR$38,$D$19)&lt;MAX($P$708*($B819+IF($R$17="Distrato",$I$38-1,0)),IF(AND($L$711=0,$P$708=0),"",$L$711-1),IF($R$17="Distrato",$E819,0))),0,YEARFRAC(MAX($P$708*($B819+IF($R$17="Distrato",$I$38-1,0)),IF(AND($L$711=0,$P$708=0),"",$L$711-1),IF($R$17="Distrato",$E819,0)),MIN(AR$38,$D$19),$P$20))-SUM($P819:AQ819)</f>
        <v>#VALUE!</v>
      </c>
      <c r="AS819" s="446" t="e">
        <f>IF(OR($B819="",MIN(AS$38,$D$19)&lt;MAX($P$708*($B819+IF($R$17="Distrato",$I$38-1,0)),IF(AND($L$711=0,$P$708=0),"",$L$711-1),IF($R$17="Distrato",$E819,0))),0,YEARFRAC(MAX($P$708*($B819+IF($R$17="Distrato",$I$38-1,0)),IF(AND($L$711=0,$P$708=0),"",$L$711-1),IF($R$17="Distrato",$E819,0)),MIN(AS$38,$D$19),$P$20))-SUM($P819:AR819)</f>
        <v>#VALUE!</v>
      </c>
      <c r="AT819" s="446" t="e">
        <f>IF(OR($B819="",MIN(AT$38,$D$19)&lt;MAX($P$708*($B819+IF($R$17="Distrato",$I$38-1,0)),IF(AND($L$711=0,$P$708=0),"",$L$711-1),IF($R$17="Distrato",$E819,0))),0,YEARFRAC(MAX($P$708*($B819+IF($R$17="Distrato",$I$38-1,0)),IF(AND($L$711=0,$P$708=0),"",$L$711-1),IF($R$17="Distrato",$E819,0)),MIN(AT$38,$D$19),$P$20))-SUM($P819:AS819)</f>
        <v>#VALUE!</v>
      </c>
      <c r="AU819" s="446" t="e">
        <f>IF(OR($B819="",MIN(AU$38,$D$19)&lt;MAX($P$708*($B819+IF($R$17="Distrato",$I$38-1,0)),IF(AND($L$711=0,$P$708=0),"",$L$711-1),IF($R$17="Distrato",$E819,0))),0,YEARFRAC(MAX($P$708*($B819+IF($R$17="Distrato",$I$38-1,0)),IF(AND($L$711=0,$P$708=0),"",$L$711-1),IF($R$17="Distrato",$E819,0)),MIN(AU$38,$D$19),$P$20))-SUM($P819:AT819)</f>
        <v>#VALUE!</v>
      </c>
      <c r="AV819" s="446" t="e">
        <f>IF(OR($B819="",MIN(AV$38,$D$19)&lt;MAX($P$708*($B819+IF($R$17="Distrato",$I$38-1,0)),IF(AND($L$711=0,$P$708=0),"",$L$711-1),IF($R$17="Distrato",$E819,0))),0,YEARFRAC(MAX($P$708*($B819+IF($R$17="Distrato",$I$38-1,0)),IF(AND($L$711=0,$P$708=0),"",$L$711-1),IF($R$17="Distrato",$E819,0)),MIN(AV$38,$D$19),$P$20))-SUM($P819:AU819)</f>
        <v>#VALUE!</v>
      </c>
      <c r="AW819" s="446" t="e">
        <f>IF(OR($B819="",MIN(AW$38,$D$19)&lt;MAX($P$708*($B819+IF($R$17="Distrato",$I$38-1,0)),IF(AND($L$711=0,$P$708=0),"",$L$711-1),IF($R$17="Distrato",$E819,0))),0,YEARFRAC(MAX($P$708*($B819+IF($R$17="Distrato",$I$38-1,0)),IF(AND($L$711=0,$P$708=0),"",$L$711-1),IF($R$17="Distrato",$E819,0)),MIN(AW$38,$D$19),$P$20))-SUM($P819:AV819)</f>
        <v>#VALUE!</v>
      </c>
      <c r="AX819" s="446" t="e">
        <f>IF(OR($B819="",MIN(AX$38,$D$19)&lt;MAX($P$708*($B819+IF($R$17="Distrato",$I$38-1,0)),IF(AND($L$711=0,$P$708=0),"",$L$711-1),IF($R$17="Distrato",$E819,0))),0,YEARFRAC(MAX($P$708*($B819+IF($R$17="Distrato",$I$38-1,0)),IF(AND($L$711=0,$P$708=0),"",$L$711-1),IF($R$17="Distrato",$E819,0)),MIN(AX$38,$D$19),$P$20))-SUM($P819:AW819)</f>
        <v>#VALUE!</v>
      </c>
      <c r="AY819" s="446" t="e">
        <f>IF(OR($B819="",MIN(AY$38,$D$19)&lt;MAX($P$708*($B819+IF($R$17="Distrato",$I$38-1,0)),IF(AND($L$711=0,$P$708=0),"",$L$711-1),IF($R$17="Distrato",$E819,0))),0,YEARFRAC(MAX($P$708*($B819+IF($R$17="Distrato",$I$38-1,0)),IF(AND($L$711=0,$P$708=0),"",$L$711-1),IF($R$17="Distrato",$E819,0)),MIN(AY$38,$D$19),$P$20))-SUM($P819:AX819)</f>
        <v>#VALUE!</v>
      </c>
      <c r="AZ819" s="446" t="e">
        <f>IF(OR($B819="",MIN(AZ$38,$D$19)&lt;MAX($P$708*($B819+IF($R$17="Distrato",$I$38-1,0)),IF(AND($L$711=0,$P$708=0),"",$L$711-1),IF($R$17="Distrato",$E819,0))),0,YEARFRAC(MAX($P$708*($B819+IF($R$17="Distrato",$I$38-1,0)),IF(AND($L$711=0,$P$708=0),"",$L$711-1),IF($R$17="Distrato",$E819,0)),MIN(AZ$38,$D$19),$P$20))-SUM($P819:AY819)</f>
        <v>#VALUE!</v>
      </c>
      <c r="BA819" s="446" t="e">
        <f>IF(OR($B819="",MIN(BA$38,$D$19)&lt;MAX($P$708*($B819+IF($R$17="Distrato",$I$38-1,0)),IF(AND($L$711=0,$P$708=0),"",$L$711-1),IF($R$17="Distrato",$E819,0))),0,YEARFRAC(MAX($P$708*($B819+IF($R$17="Distrato",$I$38-1,0)),IF(AND($L$711=0,$P$708=0),"",$L$711-1),IF($R$17="Distrato",$E819,0)),MIN(BA$38,$D$19),$P$20))-SUM($P819:AZ819)</f>
        <v>#VALUE!</v>
      </c>
      <c r="BB819" s="447"/>
    </row>
    <row r="820" spans="1:54" s="446" customFormat="1" ht="11.25" hidden="1" customHeight="1" x14ac:dyDescent="0.2">
      <c r="A820" s="235"/>
      <c r="B820" s="236"/>
      <c r="C820" s="29" t="str">
        <f>IF(B820="","",IF($L$709=$BL$25,VLOOKUP(DATE(YEAR($D$19),MONTH($D$19)-1,1),ÍNDICES!$A:$DE,HLOOKUP($BL$25,ÍNDICES!$B$3:$T$4,2)+11)-VLOOKUP(B820,ÍNDICES!$A:$DE,HLOOKUP($BL$25,ÍNDICES!$B$3:$T$4,2)+11)+1%,IF(C$712=$W$26,$J$35,IF(ISERROR(IF(B820&gt;$D$19,1,VLOOKUP(DATE(YEAR(B820),MONTH(B820)+IF($C$709=$S$23,1,0),1),ÍNDICES!$A:$DE,$Z$709+1))),"",IF(B820&gt;$D$19,1,VLOOKUP(DATE(YEAR(B820),MONTH(B820)+IF($C$709=$S$23,1,0),1),ÍNDICES!$A:$DE,$Z$709+1))))))</f>
        <v/>
      </c>
      <c r="D820" s="155"/>
      <c r="E820" s="88"/>
      <c r="F820" s="88"/>
      <c r="G820" s="88"/>
      <c r="H820" s="118"/>
      <c r="I820" s="182">
        <f t="shared" si="122"/>
        <v>0</v>
      </c>
      <c r="J820" s="20">
        <f t="shared" ca="1" si="123"/>
        <v>0</v>
      </c>
      <c r="K820" s="5">
        <f t="shared" ca="1" si="124"/>
        <v>0</v>
      </c>
      <c r="L820" s="61">
        <f t="shared" ca="1" si="125"/>
        <v>0</v>
      </c>
      <c r="M820" s="64">
        <f t="shared" si="126"/>
        <v>0</v>
      </c>
      <c r="N820" s="151"/>
      <c r="O820" s="5">
        <f t="shared" ca="1" si="127"/>
        <v>0</v>
      </c>
      <c r="P820" s="446" t="e">
        <f t="shared" si="128"/>
        <v>#VALUE!</v>
      </c>
      <c r="Q820" s="446" t="e">
        <f>IF(OR($B820="",MIN(Q$38,$D$19)&lt;MAX($P$708*($B820+IF($R$17="Distrato",$I$38-1,0)),IF(AND($L$711=0,$P$708=0),"",$L$711-1),IF($R$17="Distrato",$E820,0))),0,YEARFRAC(MAX($P$708*($B820+IF($R$17="Distrato",$I$38-1,0)),IF(AND($L$711=0,$P$708=0),"",$L$711-1),IF($R$17="Distrato",$E820,0)),MIN(Q$38,$D$19),$P$20))-SUM($P820:P820)</f>
        <v>#VALUE!</v>
      </c>
      <c r="R820" s="446" t="e">
        <f>IF(OR($B820="",MIN(R$38,$D$19)&lt;MAX($P$708*($B820+IF($R$17="Distrato",$I$38-1,0)),IF(AND($L$711=0,$P$708=0),"",$L$711-1),IF($R$17="Distrato",$E820,0))),0,YEARFRAC(MAX($P$708*($B820+IF($R$17="Distrato",$I$38-1,0)),IF(AND($L$711=0,$P$708=0),"",$L$711-1),IF($R$17="Distrato",$E820,0)),MIN(R$38,$D$19),$P$20))-SUM($P820:Q820)</f>
        <v>#VALUE!</v>
      </c>
      <c r="S820" s="446" t="e">
        <f>IF(OR($B820="",MIN(S$38,$D$19)&lt;MAX($P$708*($B820+IF($R$17="Distrato",$I$38-1,0)),IF(AND($L$711=0,$P$708=0),"",$L$711-1),IF($R$17="Distrato",$E820,0))),0,YEARFRAC(MAX($P$708*($B820+IF($R$17="Distrato",$I$38-1,0)),IF(AND($L$711=0,$P$708=0),"",$L$711-1),IF($R$17="Distrato",$E820,0)),MIN(S$38,$D$19),$P$20))-SUM($P820:R820)</f>
        <v>#VALUE!</v>
      </c>
      <c r="T820" s="446" t="e">
        <f>IF(OR($B820="",MIN(T$38,$D$19)&lt;MAX($P$708*($B820+IF($R$17="Distrato",$I$38-1,0)),IF(AND($L$711=0,$P$708=0),"",$L$711-1),IF($R$17="Distrato",$E820,0))),0,YEARFRAC(MAX($P$708*($B820+IF($R$17="Distrato",$I$38-1,0)),IF(AND($L$711=0,$P$708=0),"",$L$711-1),IF($R$17="Distrato",$E820,0)),MIN(T$38,$D$19),$P$20))-SUM($P820:S820)</f>
        <v>#VALUE!</v>
      </c>
      <c r="U820" s="446" t="e">
        <f>IF(OR($B820="",MIN(U$38,$D$19)&lt;MAX($P$708*($B820+IF($R$17="Distrato",$I$38-1,0)),IF(AND($L$711=0,$P$708=0),"",$L$711-1),IF($R$17="Distrato",$E820,0))),0,YEARFRAC(MAX($P$708*($B820+IF($R$17="Distrato",$I$38-1,0)),IF(AND($L$711=0,$P$708=0),"",$L$711-1),IF($R$17="Distrato",$E820,0)),MIN(U$38,$D$19),$P$20))-SUM($P820:T820)</f>
        <v>#VALUE!</v>
      </c>
      <c r="V820" s="446" t="e">
        <f>IF(OR($B820="",MIN(V$38,$D$19)&lt;MAX($P$708*($B820+IF($R$17="Distrato",$I$38-1,0)),IF(AND($L$711=0,$P$708=0),"",$L$711-1),IF($R$17="Distrato",$E820,0))),0,YEARFRAC(MAX($P$708*($B820+IF($R$17="Distrato",$I$38-1,0)),IF(AND($L$711=0,$P$708=0),"",$L$711-1),IF($R$17="Distrato",$E820,0)),MIN(V$38,$D$19),$P$20))-SUM($P820:U820)</f>
        <v>#VALUE!</v>
      </c>
      <c r="W820" s="446" t="e">
        <f>IF(OR($B820="",MIN(W$38,$D$19)&lt;MAX($P$708*($B820+IF($R$17="Distrato",$I$38-1,0)),IF(AND($L$711=0,$P$708=0),"",$L$711-1),IF($R$17="Distrato",$E820,0))),0,YEARFRAC(MAX($P$708*($B820+IF($R$17="Distrato",$I$38-1,0)),IF(AND($L$711=0,$P$708=0),"",$L$711-1),IF($R$17="Distrato",$E820,0)),MIN(W$38,$D$19),$P$20))-SUM($P820:V820)</f>
        <v>#VALUE!</v>
      </c>
      <c r="X820" s="446" t="e">
        <f>IF(OR($B820="",MIN(X$38,$D$19)&lt;MAX($P$708*($B820+IF($R$17="Distrato",$I$38-1,0)),IF(AND($L$711=0,$P$708=0),"",$L$711-1),IF($R$17="Distrato",$E820,0))),0,YEARFRAC(MAX($P$708*($B820+IF($R$17="Distrato",$I$38-1,0)),IF(AND($L$711=0,$P$708=0),"",$L$711-1),IF($R$17="Distrato",$E820,0)),MIN(X$38,$D$19),$P$20))-SUM($P820:W820)</f>
        <v>#VALUE!</v>
      </c>
      <c r="Y820" s="446" t="e">
        <f>IF(OR($B820="",MIN(Y$38,$D$19)&lt;MAX($P$708*($B820+IF($R$17="Distrato",$I$38-1,0)),IF(AND($L$711=0,$P$708=0),"",$L$711-1),IF($R$17="Distrato",$E820,0))),0,YEARFRAC(MAX($P$708*($B820+IF($R$17="Distrato",$I$38-1,0)),IF(AND($L$711=0,$P$708=0),"",$L$711-1),IF($R$17="Distrato",$E820,0)),MIN(Y$38,$D$19),$P$20))-SUM($P820:X820)</f>
        <v>#VALUE!</v>
      </c>
      <c r="Z820" s="446" t="e">
        <f>IF(OR($B820="",MIN(Z$38,$D$19)&lt;MAX($P$708*($B820+IF($R$17="Distrato",$I$38-1,0)),IF(AND($L$711=0,$P$708=0),"",$L$711-1),IF($R$17="Distrato",$E820,0))),0,YEARFRAC(MAX($P$708*($B820+IF($R$17="Distrato",$I$38-1,0)),IF(AND($L$711=0,$P$708=0),"",$L$711-1),IF($R$17="Distrato",$E820,0)),MIN(Z$38,$D$19),$P$20))-SUM($P820:Y820)</f>
        <v>#VALUE!</v>
      </c>
      <c r="AA820" s="446" t="e">
        <f>IF(OR($B820="",MIN(AA$38,$D$19)&lt;MAX($P$708*($B820+IF($R$17="Distrato",$I$38-1,0)),IF(AND($L$711=0,$P$708=0),"",$L$711-1),IF($R$17="Distrato",$E820,0))),0,YEARFRAC(MAX($P$708*($B820+IF($R$17="Distrato",$I$38-1,0)),IF(AND($L$711=0,$P$708=0),"",$L$711-1),IF($R$17="Distrato",$E820,0)),MIN(AA$38,$D$19),$P$20))-SUM($P820:Z820)</f>
        <v>#VALUE!</v>
      </c>
      <c r="AB820" s="446" t="e">
        <f>IF(OR($B820="",MIN(AB$38,$D$19)&lt;MAX($P$708*($B820+IF($R$17="Distrato",$I$38-1,0)),IF(AND($L$711=0,$P$708=0),"",$L$711-1),IF($R$17="Distrato",$E820,0))),0,YEARFRAC(MAX($P$708*($B820+IF($R$17="Distrato",$I$38-1,0)),IF(AND($L$711=0,$P$708=0),"",$L$711-1),IF($R$17="Distrato",$E820,0)),MIN(AB$38,$D$19),$P$20))-SUM($P820:AA820)</f>
        <v>#VALUE!</v>
      </c>
      <c r="AC820" s="446" t="e">
        <f>IF(OR($B820="",MIN(AC$38,$D$19)&lt;MAX($P$708*($B820+IF($R$17="Distrato",$I$38-1,0)),IF(AND($L$711=0,$P$708=0),"",$L$711-1),IF($R$17="Distrato",$E820,0))),0,YEARFRAC(MAX($P$708*($B820+IF($R$17="Distrato",$I$38-1,0)),IF(AND($L$711=0,$P$708=0),"",$L$711-1),IF($R$17="Distrato",$E820,0)),MIN(AC$38,$D$19),$P$20))-SUM($P820:AB820)</f>
        <v>#VALUE!</v>
      </c>
      <c r="AD820" s="446" t="e">
        <f>IF(OR($B820="",MIN(AD$38,$D$19)&lt;MAX($P$708*($B820+IF($R$17="Distrato",$I$38-1,0)),IF(AND($L$711=0,$P$708=0),"",$L$711-1),IF($R$17="Distrato",$E820,0))),0,YEARFRAC(MAX($P$708*($B820+IF($R$17="Distrato",$I$38-1,0)),IF(AND($L$711=0,$P$708=0),"",$L$711-1),IF($R$17="Distrato",$E820,0)),MIN(AD$38,$D$19),$P$20))-SUM($P820:AC820)</f>
        <v>#VALUE!</v>
      </c>
      <c r="AE820" s="446" t="e">
        <f>IF(OR($B820="",MIN(AE$38,$D$19)&lt;MAX($P$708*($B820+IF($R$17="Distrato",$I$38-1,0)),IF(AND($L$711=0,$P$708=0),"",$L$711-1),IF($R$17="Distrato",$E820,0))),0,YEARFRAC(MAX($P$708*($B820+IF($R$17="Distrato",$I$38-1,0)),IF(AND($L$711=0,$P$708=0),"",$L$711-1),IF($R$17="Distrato",$E820,0)),MIN(AE$38,$D$19),$P$20))-SUM($P820:AD820)</f>
        <v>#VALUE!</v>
      </c>
      <c r="AF820" s="446" t="e">
        <f>IF(OR($B820="",MIN(AF$38,$D$19)&lt;MAX($P$708*($B820+IF($R$17="Distrato",$I$38-1,0)),IF(AND($L$711=0,$P$708=0),"",$L$711-1),IF($R$17="Distrato",$E820,0))),0,YEARFRAC(MAX($P$708*($B820+IF($R$17="Distrato",$I$38-1,0)),IF(AND($L$711=0,$P$708=0),"",$L$711-1),IF($R$17="Distrato",$E820,0)),MIN(AF$38,$D$19),$P$20))-SUM($P820:AE820)</f>
        <v>#VALUE!</v>
      </c>
      <c r="AG820" s="446" t="e">
        <f>IF(OR($B820="",MIN(AG$38,$D$19)&lt;MAX($P$708*($B820+IF($R$17="Distrato",$I$38-1,0)),IF(AND($L$711=0,$P$708=0),"",$L$711-1),IF($R$17="Distrato",$E820,0))),0,YEARFRAC(MAX($P$708*($B820+IF($R$17="Distrato",$I$38-1,0)),IF(AND($L$711=0,$P$708=0),"",$L$711-1),IF($R$17="Distrato",$E820,0)),MIN(AG$38,$D$19),$P$20))-SUM($P820:AF820)</f>
        <v>#VALUE!</v>
      </c>
      <c r="AH820" s="446" t="e">
        <f>IF(OR($B820="",MIN(AH$38,$D$19)&lt;MAX($P$708*($B820+IF($R$17="Distrato",$I$38-1,0)),IF(AND($L$711=0,$P$708=0),"",$L$711-1),IF($R$17="Distrato",$E820,0))),0,YEARFRAC(MAX($P$708*($B820+IF($R$17="Distrato",$I$38-1,0)),IF(AND($L$711=0,$P$708=0),"",$L$711-1),IF($R$17="Distrato",$E820,0)),MIN(AH$38,$D$19),$P$20))-SUM($P820:AG820)</f>
        <v>#VALUE!</v>
      </c>
      <c r="AI820" s="446" t="e">
        <f>IF(OR($B820="",MIN(AI$38,$D$19)&lt;MAX($P$708*($B820+IF($R$17="Distrato",$I$38-1,0)),IF(AND($L$711=0,$P$708=0),"",$L$711-1),IF($R$17="Distrato",$E820,0))),0,YEARFRAC(MAX($P$708*($B820+IF($R$17="Distrato",$I$38-1,0)),IF(AND($L$711=0,$P$708=0),"",$L$711-1),IF($R$17="Distrato",$E820,0)),MIN(AI$38,$D$19),$P$20))-SUM($P820:AH820)</f>
        <v>#VALUE!</v>
      </c>
      <c r="AJ820" s="446" t="e">
        <f>IF(OR($B820="",MIN(AJ$38,$D$19)&lt;MAX($P$708*($B820+IF($R$17="Distrato",$I$38-1,0)),IF(AND($L$711=0,$P$708=0),"",$L$711-1),IF($R$17="Distrato",$E820,0))),0,YEARFRAC(MAX($P$708*($B820+IF($R$17="Distrato",$I$38-1,0)),IF(AND($L$711=0,$P$708=0),"",$L$711-1),IF($R$17="Distrato",$E820,0)),MIN(AJ$38,$D$19),$P$20))-SUM($P820:AI820)</f>
        <v>#VALUE!</v>
      </c>
      <c r="AK820" s="446" t="e">
        <f>IF(OR($B820="",MIN(AK$38,$D$19)&lt;MAX($P$708*($B820+IF($R$17="Distrato",$I$38-1,0)),IF(AND($L$711=0,$P$708=0),"",$L$711-1),IF($R$17="Distrato",$E820,0))),0,YEARFRAC(MAX($P$708*($B820+IF($R$17="Distrato",$I$38-1,0)),IF(AND($L$711=0,$P$708=0),"",$L$711-1),IF($R$17="Distrato",$E820,0)),MIN(AK$38,$D$19),$P$20))-SUM($P820:AJ820)</f>
        <v>#VALUE!</v>
      </c>
      <c r="AL820" s="446" t="e">
        <f>IF(OR($B820="",MIN(AL$38,$D$19)&lt;MAX($P$708*($B820+IF($R$17="Distrato",$I$38-1,0)),IF(AND($L$711=0,$P$708=0),"",$L$711-1),IF($R$17="Distrato",$E820,0))),0,YEARFRAC(MAX($P$708*($B820+IF($R$17="Distrato",$I$38-1,0)),IF(AND($L$711=0,$P$708=0),"",$L$711-1),IF($R$17="Distrato",$E820,0)),MIN(AL$38,$D$19),$P$20))-SUM($P820:AK820)</f>
        <v>#VALUE!</v>
      </c>
      <c r="AM820" s="446" t="e">
        <f>IF(OR($B820="",MIN(AM$38,$D$19)&lt;MAX($P$708*($B820+IF($R$17="Distrato",$I$38-1,0)),IF(AND($L$711=0,$P$708=0),"",$L$711-1),IF($R$17="Distrato",$E820,0))),0,YEARFRAC(MAX($P$708*($B820+IF($R$17="Distrato",$I$38-1,0)),IF(AND($L$711=0,$P$708=0),"",$L$711-1),IF($R$17="Distrato",$E820,0)),MIN(AM$38,$D$19),$P$20))-SUM($P820:AL820)</f>
        <v>#VALUE!</v>
      </c>
      <c r="AN820" s="446" t="e">
        <f>IF(OR($B820="",MIN(AN$38,$D$19)&lt;MAX($P$708*($B820+IF($R$17="Distrato",$I$38-1,0)),IF(AND($L$711=0,$P$708=0),"",$L$711-1),IF($R$17="Distrato",$E820,0))),0,YEARFRAC(MAX($P$708*($B820+IF($R$17="Distrato",$I$38-1,0)),IF(AND($L$711=0,$P$708=0),"",$L$711-1),IF($R$17="Distrato",$E820,0)),MIN(AN$38,$D$19),$P$20))-SUM($P820:AM820)</f>
        <v>#VALUE!</v>
      </c>
      <c r="AO820" s="446" t="e">
        <f>IF(OR($B820="",MIN(AO$38,$D$19)&lt;MAX($P$708*($B820+IF($R$17="Distrato",$I$38-1,0)),IF(AND($L$711=0,$P$708=0),"",$L$711-1),IF($R$17="Distrato",$E820,0))),0,YEARFRAC(MAX($P$708*($B820+IF($R$17="Distrato",$I$38-1,0)),IF(AND($L$711=0,$P$708=0),"",$L$711-1),IF($R$17="Distrato",$E820,0)),MIN(AO$38,$D$19),$P$20))-SUM($P820:AN820)</f>
        <v>#VALUE!</v>
      </c>
      <c r="AP820" s="446" t="e">
        <f>IF(OR($B820="",MIN(AP$38,$D$19)&lt;MAX($P$708*($B820+IF($R$17="Distrato",$I$38-1,0)),IF(AND($L$711=0,$P$708=0),"",$L$711-1),IF($R$17="Distrato",$E820,0))),0,YEARFRAC(MAX($P$708*($B820+IF($R$17="Distrato",$I$38-1,0)),IF(AND($L$711=0,$P$708=0),"",$L$711-1),IF($R$17="Distrato",$E820,0)),MIN(AP$38,$D$19),$P$20))-SUM($P820:AO820)</f>
        <v>#VALUE!</v>
      </c>
      <c r="AQ820" s="446" t="e">
        <f>IF(OR($B820="",MIN(AQ$38,$D$19)&lt;MAX($P$708*($B820+IF($R$17="Distrato",$I$38-1,0)),IF(AND($L$711=0,$P$708=0),"",$L$711-1),IF($R$17="Distrato",$E820,0))),0,YEARFRAC(MAX($P$708*($B820+IF($R$17="Distrato",$I$38-1,0)),IF(AND($L$711=0,$P$708=0),"",$L$711-1),IF($R$17="Distrato",$E820,0)),MIN(AQ$38,$D$19),$P$20))-SUM($P820:AP820)</f>
        <v>#VALUE!</v>
      </c>
      <c r="AR820" s="446" t="e">
        <f>IF(OR($B820="",MIN(AR$38,$D$19)&lt;MAX($P$708*($B820+IF($R$17="Distrato",$I$38-1,0)),IF(AND($L$711=0,$P$708=0),"",$L$711-1),IF($R$17="Distrato",$E820,0))),0,YEARFRAC(MAX($P$708*($B820+IF($R$17="Distrato",$I$38-1,0)),IF(AND($L$711=0,$P$708=0),"",$L$711-1),IF($R$17="Distrato",$E820,0)),MIN(AR$38,$D$19),$P$20))-SUM($P820:AQ820)</f>
        <v>#VALUE!</v>
      </c>
      <c r="AS820" s="446" t="e">
        <f>IF(OR($B820="",MIN(AS$38,$D$19)&lt;MAX($P$708*($B820+IF($R$17="Distrato",$I$38-1,0)),IF(AND($L$711=0,$P$708=0),"",$L$711-1),IF($R$17="Distrato",$E820,0))),0,YEARFRAC(MAX($P$708*($B820+IF($R$17="Distrato",$I$38-1,0)),IF(AND($L$711=0,$P$708=0),"",$L$711-1),IF($R$17="Distrato",$E820,0)),MIN(AS$38,$D$19),$P$20))-SUM($P820:AR820)</f>
        <v>#VALUE!</v>
      </c>
      <c r="AT820" s="446" t="e">
        <f>IF(OR($B820="",MIN(AT$38,$D$19)&lt;MAX($P$708*($B820+IF($R$17="Distrato",$I$38-1,0)),IF(AND($L$711=0,$P$708=0),"",$L$711-1),IF($R$17="Distrato",$E820,0))),0,YEARFRAC(MAX($P$708*($B820+IF($R$17="Distrato",$I$38-1,0)),IF(AND($L$711=0,$P$708=0),"",$L$711-1),IF($R$17="Distrato",$E820,0)),MIN(AT$38,$D$19),$P$20))-SUM($P820:AS820)</f>
        <v>#VALUE!</v>
      </c>
      <c r="AU820" s="446" t="e">
        <f>IF(OR($B820="",MIN(AU$38,$D$19)&lt;MAX($P$708*($B820+IF($R$17="Distrato",$I$38-1,0)),IF(AND($L$711=0,$P$708=0),"",$L$711-1),IF($R$17="Distrato",$E820,0))),0,YEARFRAC(MAX($P$708*($B820+IF($R$17="Distrato",$I$38-1,0)),IF(AND($L$711=0,$P$708=0),"",$L$711-1),IF($R$17="Distrato",$E820,0)),MIN(AU$38,$D$19),$P$20))-SUM($P820:AT820)</f>
        <v>#VALUE!</v>
      </c>
      <c r="AV820" s="446" t="e">
        <f>IF(OR($B820="",MIN(AV$38,$D$19)&lt;MAX($P$708*($B820+IF($R$17="Distrato",$I$38-1,0)),IF(AND($L$711=0,$P$708=0),"",$L$711-1),IF($R$17="Distrato",$E820,0))),0,YEARFRAC(MAX($P$708*($B820+IF($R$17="Distrato",$I$38-1,0)),IF(AND($L$711=0,$P$708=0),"",$L$711-1),IF($R$17="Distrato",$E820,0)),MIN(AV$38,$D$19),$P$20))-SUM($P820:AU820)</f>
        <v>#VALUE!</v>
      </c>
      <c r="AW820" s="446" t="e">
        <f>IF(OR($B820="",MIN(AW$38,$D$19)&lt;MAX($P$708*($B820+IF($R$17="Distrato",$I$38-1,0)),IF(AND($L$711=0,$P$708=0),"",$L$711-1),IF($R$17="Distrato",$E820,0))),0,YEARFRAC(MAX($P$708*($B820+IF($R$17="Distrato",$I$38-1,0)),IF(AND($L$711=0,$P$708=0),"",$L$711-1),IF($R$17="Distrato",$E820,0)),MIN(AW$38,$D$19),$P$20))-SUM($P820:AV820)</f>
        <v>#VALUE!</v>
      </c>
      <c r="AX820" s="446" t="e">
        <f>IF(OR($B820="",MIN(AX$38,$D$19)&lt;MAX($P$708*($B820+IF($R$17="Distrato",$I$38-1,0)),IF(AND($L$711=0,$P$708=0),"",$L$711-1),IF($R$17="Distrato",$E820,0))),0,YEARFRAC(MAX($P$708*($B820+IF($R$17="Distrato",$I$38-1,0)),IF(AND($L$711=0,$P$708=0),"",$L$711-1),IF($R$17="Distrato",$E820,0)),MIN(AX$38,$D$19),$P$20))-SUM($P820:AW820)</f>
        <v>#VALUE!</v>
      </c>
      <c r="AY820" s="446" t="e">
        <f>IF(OR($B820="",MIN(AY$38,$D$19)&lt;MAX($P$708*($B820+IF($R$17="Distrato",$I$38-1,0)),IF(AND($L$711=0,$P$708=0),"",$L$711-1),IF($R$17="Distrato",$E820,0))),0,YEARFRAC(MAX($P$708*($B820+IF($R$17="Distrato",$I$38-1,0)),IF(AND($L$711=0,$P$708=0),"",$L$711-1),IF($R$17="Distrato",$E820,0)),MIN(AY$38,$D$19),$P$20))-SUM($P820:AX820)</f>
        <v>#VALUE!</v>
      </c>
      <c r="AZ820" s="446" t="e">
        <f>IF(OR($B820="",MIN(AZ$38,$D$19)&lt;MAX($P$708*($B820+IF($R$17="Distrato",$I$38-1,0)),IF(AND($L$711=0,$P$708=0),"",$L$711-1),IF($R$17="Distrato",$E820,0))),0,YEARFRAC(MAX($P$708*($B820+IF($R$17="Distrato",$I$38-1,0)),IF(AND($L$711=0,$P$708=0),"",$L$711-1),IF($R$17="Distrato",$E820,0)),MIN(AZ$38,$D$19),$P$20))-SUM($P820:AY820)</f>
        <v>#VALUE!</v>
      </c>
      <c r="BA820" s="446" t="e">
        <f>IF(OR($B820="",MIN(BA$38,$D$19)&lt;MAX($P$708*($B820+IF($R$17="Distrato",$I$38-1,0)),IF(AND($L$711=0,$P$708=0),"",$L$711-1),IF($R$17="Distrato",$E820,0))),0,YEARFRAC(MAX($P$708*($B820+IF($R$17="Distrato",$I$38-1,0)),IF(AND($L$711=0,$P$708=0),"",$L$711-1),IF($R$17="Distrato",$E820,0)),MIN(BA$38,$D$19),$P$20))-SUM($P820:AZ820)</f>
        <v>#VALUE!</v>
      </c>
      <c r="BB820" s="447"/>
    </row>
    <row r="821" spans="1:54" s="446" customFormat="1" ht="11.25" hidden="1" customHeight="1" x14ac:dyDescent="0.2">
      <c r="A821" s="235"/>
      <c r="B821" s="236"/>
      <c r="C821" s="29" t="str">
        <f>IF(B821="","",IF($L$709=$BL$25,VLOOKUP(DATE(YEAR($D$19),MONTH($D$19)-1,1),ÍNDICES!$A:$DE,HLOOKUP($BL$25,ÍNDICES!$B$3:$T$4,2)+11)-VLOOKUP(B821,ÍNDICES!$A:$DE,HLOOKUP($BL$25,ÍNDICES!$B$3:$T$4,2)+11)+1%,IF(C$712=$W$26,$J$35,IF(ISERROR(IF(B821&gt;$D$19,1,VLOOKUP(DATE(YEAR(B821),MONTH(B821)+IF($C$709=$S$23,1,0),1),ÍNDICES!$A:$DE,$Z$709+1))),"",IF(B821&gt;$D$19,1,VLOOKUP(DATE(YEAR(B821),MONTH(B821)+IF($C$709=$S$23,1,0),1),ÍNDICES!$A:$DE,$Z$709+1))))))</f>
        <v/>
      </c>
      <c r="D821" s="155"/>
      <c r="E821" s="88"/>
      <c r="F821" s="88"/>
      <c r="G821" s="88"/>
      <c r="H821" s="118"/>
      <c r="I821" s="182">
        <f t="shared" si="122"/>
        <v>0</v>
      </c>
      <c r="J821" s="20">
        <f t="shared" ca="1" si="123"/>
        <v>0</v>
      </c>
      <c r="K821" s="5">
        <f t="shared" ca="1" si="124"/>
        <v>0</v>
      </c>
      <c r="L821" s="61">
        <f t="shared" ca="1" si="125"/>
        <v>0</v>
      </c>
      <c r="M821" s="64">
        <f t="shared" si="126"/>
        <v>0</v>
      </c>
      <c r="N821" s="151"/>
      <c r="O821" s="5">
        <f t="shared" ca="1" si="127"/>
        <v>0</v>
      </c>
      <c r="P821" s="446" t="e">
        <f t="shared" si="128"/>
        <v>#VALUE!</v>
      </c>
      <c r="Q821" s="446" t="e">
        <f>IF(OR($B821="",MIN(Q$38,$D$19)&lt;MAX($P$708*($B821+IF($R$17="Distrato",$I$38-1,0)),IF(AND($L$711=0,$P$708=0),"",$L$711-1),IF($R$17="Distrato",$E821,0))),0,YEARFRAC(MAX($P$708*($B821+IF($R$17="Distrato",$I$38-1,0)),IF(AND($L$711=0,$P$708=0),"",$L$711-1),IF($R$17="Distrato",$E821,0)),MIN(Q$38,$D$19),$P$20))-SUM($P821:P821)</f>
        <v>#VALUE!</v>
      </c>
      <c r="R821" s="446" t="e">
        <f>IF(OR($B821="",MIN(R$38,$D$19)&lt;MAX($P$708*($B821+IF($R$17="Distrato",$I$38-1,0)),IF(AND($L$711=0,$P$708=0),"",$L$711-1),IF($R$17="Distrato",$E821,0))),0,YEARFRAC(MAX($P$708*($B821+IF($R$17="Distrato",$I$38-1,0)),IF(AND($L$711=0,$P$708=0),"",$L$711-1),IF($R$17="Distrato",$E821,0)),MIN(R$38,$D$19),$P$20))-SUM($P821:Q821)</f>
        <v>#VALUE!</v>
      </c>
      <c r="S821" s="446" t="e">
        <f>IF(OR($B821="",MIN(S$38,$D$19)&lt;MAX($P$708*($B821+IF($R$17="Distrato",$I$38-1,0)),IF(AND($L$711=0,$P$708=0),"",$L$711-1),IF($R$17="Distrato",$E821,0))),0,YEARFRAC(MAX($P$708*($B821+IF($R$17="Distrato",$I$38-1,0)),IF(AND($L$711=0,$P$708=0),"",$L$711-1),IF($R$17="Distrato",$E821,0)),MIN(S$38,$D$19),$P$20))-SUM($P821:R821)</f>
        <v>#VALUE!</v>
      </c>
      <c r="T821" s="446" t="e">
        <f>IF(OR($B821="",MIN(T$38,$D$19)&lt;MAX($P$708*($B821+IF($R$17="Distrato",$I$38-1,0)),IF(AND($L$711=0,$P$708=0),"",$L$711-1),IF($R$17="Distrato",$E821,0))),0,YEARFRAC(MAX($P$708*($B821+IF($R$17="Distrato",$I$38-1,0)),IF(AND($L$711=0,$P$708=0),"",$L$711-1),IF($R$17="Distrato",$E821,0)),MIN(T$38,$D$19),$P$20))-SUM($P821:S821)</f>
        <v>#VALUE!</v>
      </c>
      <c r="U821" s="446" t="e">
        <f>IF(OR($B821="",MIN(U$38,$D$19)&lt;MAX($P$708*($B821+IF($R$17="Distrato",$I$38-1,0)),IF(AND($L$711=0,$P$708=0),"",$L$711-1),IF($R$17="Distrato",$E821,0))),0,YEARFRAC(MAX($P$708*($B821+IF($R$17="Distrato",$I$38-1,0)),IF(AND($L$711=0,$P$708=0),"",$L$711-1),IF($R$17="Distrato",$E821,0)),MIN(U$38,$D$19),$P$20))-SUM($P821:T821)</f>
        <v>#VALUE!</v>
      </c>
      <c r="V821" s="446" t="e">
        <f>IF(OR($B821="",MIN(V$38,$D$19)&lt;MAX($P$708*($B821+IF($R$17="Distrato",$I$38-1,0)),IF(AND($L$711=0,$P$708=0),"",$L$711-1),IF($R$17="Distrato",$E821,0))),0,YEARFRAC(MAX($P$708*($B821+IF($R$17="Distrato",$I$38-1,0)),IF(AND($L$711=0,$P$708=0),"",$L$711-1),IF($R$17="Distrato",$E821,0)),MIN(V$38,$D$19),$P$20))-SUM($P821:U821)</f>
        <v>#VALUE!</v>
      </c>
      <c r="W821" s="446" t="e">
        <f>IF(OR($B821="",MIN(W$38,$D$19)&lt;MAX($P$708*($B821+IF($R$17="Distrato",$I$38-1,0)),IF(AND($L$711=0,$P$708=0),"",$L$711-1),IF($R$17="Distrato",$E821,0))),0,YEARFRAC(MAX($P$708*($B821+IF($R$17="Distrato",$I$38-1,0)),IF(AND($L$711=0,$P$708=0),"",$L$711-1),IF($R$17="Distrato",$E821,0)),MIN(W$38,$D$19),$P$20))-SUM($P821:V821)</f>
        <v>#VALUE!</v>
      </c>
      <c r="X821" s="446" t="e">
        <f>IF(OR($B821="",MIN(X$38,$D$19)&lt;MAX($P$708*($B821+IF($R$17="Distrato",$I$38-1,0)),IF(AND($L$711=0,$P$708=0),"",$L$711-1),IF($R$17="Distrato",$E821,0))),0,YEARFRAC(MAX($P$708*($B821+IF($R$17="Distrato",$I$38-1,0)),IF(AND($L$711=0,$P$708=0),"",$L$711-1),IF($R$17="Distrato",$E821,0)),MIN(X$38,$D$19),$P$20))-SUM($P821:W821)</f>
        <v>#VALUE!</v>
      </c>
      <c r="Y821" s="446" t="e">
        <f>IF(OR($B821="",MIN(Y$38,$D$19)&lt;MAX($P$708*($B821+IF($R$17="Distrato",$I$38-1,0)),IF(AND($L$711=0,$P$708=0),"",$L$711-1),IF($R$17="Distrato",$E821,0))),0,YEARFRAC(MAX($P$708*($B821+IF($R$17="Distrato",$I$38-1,0)),IF(AND($L$711=0,$P$708=0),"",$L$711-1),IF($R$17="Distrato",$E821,0)),MIN(Y$38,$D$19),$P$20))-SUM($P821:X821)</f>
        <v>#VALUE!</v>
      </c>
      <c r="Z821" s="446" t="e">
        <f>IF(OR($B821="",MIN(Z$38,$D$19)&lt;MAX($P$708*($B821+IF($R$17="Distrato",$I$38-1,0)),IF(AND($L$711=0,$P$708=0),"",$L$711-1),IF($R$17="Distrato",$E821,0))),0,YEARFRAC(MAX($P$708*($B821+IF($R$17="Distrato",$I$38-1,0)),IF(AND($L$711=0,$P$708=0),"",$L$711-1),IF($R$17="Distrato",$E821,0)),MIN(Z$38,$D$19),$P$20))-SUM($P821:Y821)</f>
        <v>#VALUE!</v>
      </c>
      <c r="AA821" s="446" t="e">
        <f>IF(OR($B821="",MIN(AA$38,$D$19)&lt;MAX($P$708*($B821+IF($R$17="Distrato",$I$38-1,0)),IF(AND($L$711=0,$P$708=0),"",$L$711-1),IF($R$17="Distrato",$E821,0))),0,YEARFRAC(MAX($P$708*($B821+IF($R$17="Distrato",$I$38-1,0)),IF(AND($L$711=0,$P$708=0),"",$L$711-1),IF($R$17="Distrato",$E821,0)),MIN(AA$38,$D$19),$P$20))-SUM($P821:Z821)</f>
        <v>#VALUE!</v>
      </c>
      <c r="AB821" s="446" t="e">
        <f>IF(OR($B821="",MIN(AB$38,$D$19)&lt;MAX($P$708*($B821+IF($R$17="Distrato",$I$38-1,0)),IF(AND($L$711=0,$P$708=0),"",$L$711-1),IF($R$17="Distrato",$E821,0))),0,YEARFRAC(MAX($P$708*($B821+IF($R$17="Distrato",$I$38-1,0)),IF(AND($L$711=0,$P$708=0),"",$L$711-1),IF($R$17="Distrato",$E821,0)),MIN(AB$38,$D$19),$P$20))-SUM($P821:AA821)</f>
        <v>#VALUE!</v>
      </c>
      <c r="AC821" s="446" t="e">
        <f>IF(OR($B821="",MIN(AC$38,$D$19)&lt;MAX($P$708*($B821+IF($R$17="Distrato",$I$38-1,0)),IF(AND($L$711=0,$P$708=0),"",$L$711-1),IF($R$17="Distrato",$E821,0))),0,YEARFRAC(MAX($P$708*($B821+IF($R$17="Distrato",$I$38-1,0)),IF(AND($L$711=0,$P$708=0),"",$L$711-1),IF($R$17="Distrato",$E821,0)),MIN(AC$38,$D$19),$P$20))-SUM($P821:AB821)</f>
        <v>#VALUE!</v>
      </c>
      <c r="AD821" s="446" t="e">
        <f>IF(OR($B821="",MIN(AD$38,$D$19)&lt;MAX($P$708*($B821+IF($R$17="Distrato",$I$38-1,0)),IF(AND($L$711=0,$P$708=0),"",$L$711-1),IF($R$17="Distrato",$E821,0))),0,YEARFRAC(MAX($P$708*($B821+IF($R$17="Distrato",$I$38-1,0)),IF(AND($L$711=0,$P$708=0),"",$L$711-1),IF($R$17="Distrato",$E821,0)),MIN(AD$38,$D$19),$P$20))-SUM($P821:AC821)</f>
        <v>#VALUE!</v>
      </c>
      <c r="AE821" s="446" t="e">
        <f>IF(OR($B821="",MIN(AE$38,$D$19)&lt;MAX($P$708*($B821+IF($R$17="Distrato",$I$38-1,0)),IF(AND($L$711=0,$P$708=0),"",$L$711-1),IF($R$17="Distrato",$E821,0))),0,YEARFRAC(MAX($P$708*($B821+IF($R$17="Distrato",$I$38-1,0)),IF(AND($L$711=0,$P$708=0),"",$L$711-1),IF($R$17="Distrato",$E821,0)),MIN(AE$38,$D$19),$P$20))-SUM($P821:AD821)</f>
        <v>#VALUE!</v>
      </c>
      <c r="AF821" s="446" t="e">
        <f>IF(OR($B821="",MIN(AF$38,$D$19)&lt;MAX($P$708*($B821+IF($R$17="Distrato",$I$38-1,0)),IF(AND($L$711=0,$P$708=0),"",$L$711-1),IF($R$17="Distrato",$E821,0))),0,YEARFRAC(MAX($P$708*($B821+IF($R$17="Distrato",$I$38-1,0)),IF(AND($L$711=0,$P$708=0),"",$L$711-1),IF($R$17="Distrato",$E821,0)),MIN(AF$38,$D$19),$P$20))-SUM($P821:AE821)</f>
        <v>#VALUE!</v>
      </c>
      <c r="AG821" s="446" t="e">
        <f>IF(OR($B821="",MIN(AG$38,$D$19)&lt;MAX($P$708*($B821+IF($R$17="Distrato",$I$38-1,0)),IF(AND($L$711=0,$P$708=0),"",$L$711-1),IF($R$17="Distrato",$E821,0))),0,YEARFRAC(MAX($P$708*($B821+IF($R$17="Distrato",$I$38-1,0)),IF(AND($L$711=0,$P$708=0),"",$L$711-1),IF($R$17="Distrato",$E821,0)),MIN(AG$38,$D$19),$P$20))-SUM($P821:AF821)</f>
        <v>#VALUE!</v>
      </c>
      <c r="AH821" s="446" t="e">
        <f>IF(OR($B821="",MIN(AH$38,$D$19)&lt;MAX($P$708*($B821+IF($R$17="Distrato",$I$38-1,0)),IF(AND($L$711=0,$P$708=0),"",$L$711-1),IF($R$17="Distrato",$E821,0))),0,YEARFRAC(MAX($P$708*($B821+IF($R$17="Distrato",$I$38-1,0)),IF(AND($L$711=0,$P$708=0),"",$L$711-1),IF($R$17="Distrato",$E821,0)),MIN(AH$38,$D$19),$P$20))-SUM($P821:AG821)</f>
        <v>#VALUE!</v>
      </c>
      <c r="AI821" s="446" t="e">
        <f>IF(OR($B821="",MIN(AI$38,$D$19)&lt;MAX($P$708*($B821+IF($R$17="Distrato",$I$38-1,0)),IF(AND($L$711=0,$P$708=0),"",$L$711-1),IF($R$17="Distrato",$E821,0))),0,YEARFRAC(MAX($P$708*($B821+IF($R$17="Distrato",$I$38-1,0)),IF(AND($L$711=0,$P$708=0),"",$L$711-1),IF($R$17="Distrato",$E821,0)),MIN(AI$38,$D$19),$P$20))-SUM($P821:AH821)</f>
        <v>#VALUE!</v>
      </c>
      <c r="AJ821" s="446" t="e">
        <f>IF(OR($B821="",MIN(AJ$38,$D$19)&lt;MAX($P$708*($B821+IF($R$17="Distrato",$I$38-1,0)),IF(AND($L$711=0,$P$708=0),"",$L$711-1),IF($R$17="Distrato",$E821,0))),0,YEARFRAC(MAX($P$708*($B821+IF($R$17="Distrato",$I$38-1,0)),IF(AND($L$711=0,$P$708=0),"",$L$711-1),IF($R$17="Distrato",$E821,0)),MIN(AJ$38,$D$19),$P$20))-SUM($P821:AI821)</f>
        <v>#VALUE!</v>
      </c>
      <c r="AK821" s="446" t="e">
        <f>IF(OR($B821="",MIN(AK$38,$D$19)&lt;MAX($P$708*($B821+IF($R$17="Distrato",$I$38-1,0)),IF(AND($L$711=0,$P$708=0),"",$L$711-1),IF($R$17="Distrato",$E821,0))),0,YEARFRAC(MAX($P$708*($B821+IF($R$17="Distrato",$I$38-1,0)),IF(AND($L$711=0,$P$708=0),"",$L$711-1),IF($R$17="Distrato",$E821,0)),MIN(AK$38,$D$19),$P$20))-SUM($P821:AJ821)</f>
        <v>#VALUE!</v>
      </c>
      <c r="AL821" s="446" t="e">
        <f>IF(OR($B821="",MIN(AL$38,$D$19)&lt;MAX($P$708*($B821+IF($R$17="Distrato",$I$38-1,0)),IF(AND($L$711=0,$P$708=0),"",$L$711-1),IF($R$17="Distrato",$E821,0))),0,YEARFRAC(MAX($P$708*($B821+IF($R$17="Distrato",$I$38-1,0)),IF(AND($L$711=0,$P$708=0),"",$L$711-1),IF($R$17="Distrato",$E821,0)),MIN(AL$38,$D$19),$P$20))-SUM($P821:AK821)</f>
        <v>#VALUE!</v>
      </c>
      <c r="AM821" s="446" t="e">
        <f>IF(OR($B821="",MIN(AM$38,$D$19)&lt;MAX($P$708*($B821+IF($R$17="Distrato",$I$38-1,0)),IF(AND($L$711=0,$P$708=0),"",$L$711-1),IF($R$17="Distrato",$E821,0))),0,YEARFRAC(MAX($P$708*($B821+IF($R$17="Distrato",$I$38-1,0)),IF(AND($L$711=0,$P$708=0),"",$L$711-1),IF($R$17="Distrato",$E821,0)),MIN(AM$38,$D$19),$P$20))-SUM($P821:AL821)</f>
        <v>#VALUE!</v>
      </c>
      <c r="AN821" s="446" t="e">
        <f>IF(OR($B821="",MIN(AN$38,$D$19)&lt;MAX($P$708*($B821+IF($R$17="Distrato",$I$38-1,0)),IF(AND($L$711=0,$P$708=0),"",$L$711-1),IF($R$17="Distrato",$E821,0))),0,YEARFRAC(MAX($P$708*($B821+IF($R$17="Distrato",$I$38-1,0)),IF(AND($L$711=0,$P$708=0),"",$L$711-1),IF($R$17="Distrato",$E821,0)),MIN(AN$38,$D$19),$P$20))-SUM($P821:AM821)</f>
        <v>#VALUE!</v>
      </c>
      <c r="AO821" s="446" t="e">
        <f>IF(OR($B821="",MIN(AO$38,$D$19)&lt;MAX($P$708*($B821+IF($R$17="Distrato",$I$38-1,0)),IF(AND($L$711=0,$P$708=0),"",$L$711-1),IF($R$17="Distrato",$E821,0))),0,YEARFRAC(MAX($P$708*($B821+IF($R$17="Distrato",$I$38-1,0)),IF(AND($L$711=0,$P$708=0),"",$L$711-1),IF($R$17="Distrato",$E821,0)),MIN(AO$38,$D$19),$P$20))-SUM($P821:AN821)</f>
        <v>#VALUE!</v>
      </c>
      <c r="AP821" s="446" t="e">
        <f>IF(OR($B821="",MIN(AP$38,$D$19)&lt;MAX($P$708*($B821+IF($R$17="Distrato",$I$38-1,0)),IF(AND($L$711=0,$P$708=0),"",$L$711-1),IF($R$17="Distrato",$E821,0))),0,YEARFRAC(MAX($P$708*($B821+IF($R$17="Distrato",$I$38-1,0)),IF(AND($L$711=0,$P$708=0),"",$L$711-1),IF($R$17="Distrato",$E821,0)),MIN(AP$38,$D$19),$P$20))-SUM($P821:AO821)</f>
        <v>#VALUE!</v>
      </c>
      <c r="AQ821" s="446" t="e">
        <f>IF(OR($B821="",MIN(AQ$38,$D$19)&lt;MAX($P$708*($B821+IF($R$17="Distrato",$I$38-1,0)),IF(AND($L$711=0,$P$708=0),"",$L$711-1),IF($R$17="Distrato",$E821,0))),0,YEARFRAC(MAX($P$708*($B821+IF($R$17="Distrato",$I$38-1,0)),IF(AND($L$711=0,$P$708=0),"",$L$711-1),IF($R$17="Distrato",$E821,0)),MIN(AQ$38,$D$19),$P$20))-SUM($P821:AP821)</f>
        <v>#VALUE!</v>
      </c>
      <c r="AR821" s="446" t="e">
        <f>IF(OR($B821="",MIN(AR$38,$D$19)&lt;MAX($P$708*($B821+IF($R$17="Distrato",$I$38-1,0)),IF(AND($L$711=0,$P$708=0),"",$L$711-1),IF($R$17="Distrato",$E821,0))),0,YEARFRAC(MAX($P$708*($B821+IF($R$17="Distrato",$I$38-1,0)),IF(AND($L$711=0,$P$708=0),"",$L$711-1),IF($R$17="Distrato",$E821,0)),MIN(AR$38,$D$19),$P$20))-SUM($P821:AQ821)</f>
        <v>#VALUE!</v>
      </c>
      <c r="AS821" s="446" t="e">
        <f>IF(OR($B821="",MIN(AS$38,$D$19)&lt;MAX($P$708*($B821+IF($R$17="Distrato",$I$38-1,0)),IF(AND($L$711=0,$P$708=0),"",$L$711-1),IF($R$17="Distrato",$E821,0))),0,YEARFRAC(MAX($P$708*($B821+IF($R$17="Distrato",$I$38-1,0)),IF(AND($L$711=0,$P$708=0),"",$L$711-1),IF($R$17="Distrato",$E821,0)),MIN(AS$38,$D$19),$P$20))-SUM($P821:AR821)</f>
        <v>#VALUE!</v>
      </c>
      <c r="AT821" s="446" t="e">
        <f>IF(OR($B821="",MIN(AT$38,$D$19)&lt;MAX($P$708*($B821+IF($R$17="Distrato",$I$38-1,0)),IF(AND($L$711=0,$P$708=0),"",$L$711-1),IF($R$17="Distrato",$E821,0))),0,YEARFRAC(MAX($P$708*($B821+IF($R$17="Distrato",$I$38-1,0)),IF(AND($L$711=0,$P$708=0),"",$L$711-1),IF($R$17="Distrato",$E821,0)),MIN(AT$38,$D$19),$P$20))-SUM($P821:AS821)</f>
        <v>#VALUE!</v>
      </c>
      <c r="AU821" s="446" t="e">
        <f>IF(OR($B821="",MIN(AU$38,$D$19)&lt;MAX($P$708*($B821+IF($R$17="Distrato",$I$38-1,0)),IF(AND($L$711=0,$P$708=0),"",$L$711-1),IF($R$17="Distrato",$E821,0))),0,YEARFRAC(MAX($P$708*($B821+IF($R$17="Distrato",$I$38-1,0)),IF(AND($L$711=0,$P$708=0),"",$L$711-1),IF($R$17="Distrato",$E821,0)),MIN(AU$38,$D$19),$P$20))-SUM($P821:AT821)</f>
        <v>#VALUE!</v>
      </c>
      <c r="AV821" s="446" t="e">
        <f>IF(OR($B821="",MIN(AV$38,$D$19)&lt;MAX($P$708*($B821+IF($R$17="Distrato",$I$38-1,0)),IF(AND($L$711=0,$P$708=0),"",$L$711-1),IF($R$17="Distrato",$E821,0))),0,YEARFRAC(MAX($P$708*($B821+IF($R$17="Distrato",$I$38-1,0)),IF(AND($L$711=0,$P$708=0),"",$L$711-1),IF($R$17="Distrato",$E821,0)),MIN(AV$38,$D$19),$P$20))-SUM($P821:AU821)</f>
        <v>#VALUE!</v>
      </c>
      <c r="AW821" s="446" t="e">
        <f>IF(OR($B821="",MIN(AW$38,$D$19)&lt;MAX($P$708*($B821+IF($R$17="Distrato",$I$38-1,0)),IF(AND($L$711=0,$P$708=0),"",$L$711-1),IF($R$17="Distrato",$E821,0))),0,YEARFRAC(MAX($P$708*($B821+IF($R$17="Distrato",$I$38-1,0)),IF(AND($L$711=0,$P$708=0),"",$L$711-1),IF($R$17="Distrato",$E821,0)),MIN(AW$38,$D$19),$P$20))-SUM($P821:AV821)</f>
        <v>#VALUE!</v>
      </c>
      <c r="AX821" s="446" t="e">
        <f>IF(OR($B821="",MIN(AX$38,$D$19)&lt;MAX($P$708*($B821+IF($R$17="Distrato",$I$38-1,0)),IF(AND($L$711=0,$P$708=0),"",$L$711-1),IF($R$17="Distrato",$E821,0))),0,YEARFRAC(MAX($P$708*($B821+IF($R$17="Distrato",$I$38-1,0)),IF(AND($L$711=0,$P$708=0),"",$L$711-1),IF($R$17="Distrato",$E821,0)),MIN(AX$38,$D$19),$P$20))-SUM($P821:AW821)</f>
        <v>#VALUE!</v>
      </c>
      <c r="AY821" s="446" t="e">
        <f>IF(OR($B821="",MIN(AY$38,$D$19)&lt;MAX($P$708*($B821+IF($R$17="Distrato",$I$38-1,0)),IF(AND($L$711=0,$P$708=0),"",$L$711-1),IF($R$17="Distrato",$E821,0))),0,YEARFRAC(MAX($P$708*($B821+IF($R$17="Distrato",$I$38-1,0)),IF(AND($L$711=0,$P$708=0),"",$L$711-1),IF($R$17="Distrato",$E821,0)),MIN(AY$38,$D$19),$P$20))-SUM($P821:AX821)</f>
        <v>#VALUE!</v>
      </c>
      <c r="AZ821" s="446" t="e">
        <f>IF(OR($B821="",MIN(AZ$38,$D$19)&lt;MAX($P$708*($B821+IF($R$17="Distrato",$I$38-1,0)),IF(AND($L$711=0,$P$708=0),"",$L$711-1),IF($R$17="Distrato",$E821,0))),0,YEARFRAC(MAX($P$708*($B821+IF($R$17="Distrato",$I$38-1,0)),IF(AND($L$711=0,$P$708=0),"",$L$711-1),IF($R$17="Distrato",$E821,0)),MIN(AZ$38,$D$19),$P$20))-SUM($P821:AY821)</f>
        <v>#VALUE!</v>
      </c>
      <c r="BA821" s="446" t="e">
        <f>IF(OR($B821="",MIN(BA$38,$D$19)&lt;MAX($P$708*($B821+IF($R$17="Distrato",$I$38-1,0)),IF(AND($L$711=0,$P$708=0),"",$L$711-1),IF($R$17="Distrato",$E821,0))),0,YEARFRAC(MAX($P$708*($B821+IF($R$17="Distrato",$I$38-1,0)),IF(AND($L$711=0,$P$708=0),"",$L$711-1),IF($R$17="Distrato",$E821,0)),MIN(BA$38,$D$19),$P$20))-SUM($P821:AZ821)</f>
        <v>#VALUE!</v>
      </c>
      <c r="BB821" s="447"/>
    </row>
    <row r="822" spans="1:54" s="446" customFormat="1" ht="11.25" hidden="1" customHeight="1" x14ac:dyDescent="0.2">
      <c r="A822" s="235"/>
      <c r="B822" s="236"/>
      <c r="C822" s="29" t="str">
        <f>IF(B822="","",IF($L$709=$BL$25,VLOOKUP(DATE(YEAR($D$19),MONTH($D$19)-1,1),ÍNDICES!$A:$DE,HLOOKUP($BL$25,ÍNDICES!$B$3:$T$4,2)+11)-VLOOKUP(B822,ÍNDICES!$A:$DE,HLOOKUP($BL$25,ÍNDICES!$B$3:$T$4,2)+11)+1%,IF(C$712=$W$26,$J$35,IF(ISERROR(IF(B822&gt;$D$19,1,VLOOKUP(DATE(YEAR(B822),MONTH(B822)+IF($C$709=$S$23,1,0),1),ÍNDICES!$A:$DE,$Z$709+1))),"",IF(B822&gt;$D$19,1,VLOOKUP(DATE(YEAR(B822),MONTH(B822)+IF($C$709=$S$23,1,0),1),ÍNDICES!$A:$DE,$Z$709+1))))))</f>
        <v/>
      </c>
      <c r="D822" s="155"/>
      <c r="E822" s="88"/>
      <c r="F822" s="88"/>
      <c r="G822" s="88"/>
      <c r="H822" s="118"/>
      <c r="I822" s="182">
        <f t="shared" si="122"/>
        <v>0</v>
      </c>
      <c r="J822" s="20">
        <f t="shared" ca="1" si="123"/>
        <v>0</v>
      </c>
      <c r="K822" s="5">
        <f t="shared" ca="1" si="124"/>
        <v>0</v>
      </c>
      <c r="L822" s="61">
        <f t="shared" ca="1" si="125"/>
        <v>0</v>
      </c>
      <c r="M822" s="64">
        <f t="shared" si="126"/>
        <v>0</v>
      </c>
      <c r="N822" s="151"/>
      <c r="O822" s="5">
        <f t="shared" ca="1" si="127"/>
        <v>0</v>
      </c>
      <c r="P822" s="446" t="e">
        <f t="shared" si="128"/>
        <v>#VALUE!</v>
      </c>
      <c r="Q822" s="446" t="e">
        <f>IF(OR($B822="",MIN(Q$38,$D$19)&lt;MAX($P$708*($B822+IF($R$17="Distrato",$I$38-1,0)),IF(AND($L$711=0,$P$708=0),"",$L$711-1),IF($R$17="Distrato",$E822,0))),0,YEARFRAC(MAX($P$708*($B822+IF($R$17="Distrato",$I$38-1,0)),IF(AND($L$711=0,$P$708=0),"",$L$711-1),IF($R$17="Distrato",$E822,0)),MIN(Q$38,$D$19),$P$20))-SUM($P822:P822)</f>
        <v>#VALUE!</v>
      </c>
      <c r="R822" s="446" t="e">
        <f>IF(OR($B822="",MIN(R$38,$D$19)&lt;MAX($P$708*($B822+IF($R$17="Distrato",$I$38-1,0)),IF(AND($L$711=0,$P$708=0),"",$L$711-1),IF($R$17="Distrato",$E822,0))),0,YEARFRAC(MAX($P$708*($B822+IF($R$17="Distrato",$I$38-1,0)),IF(AND($L$711=0,$P$708=0),"",$L$711-1),IF($R$17="Distrato",$E822,0)),MIN(R$38,$D$19),$P$20))-SUM($P822:Q822)</f>
        <v>#VALUE!</v>
      </c>
      <c r="S822" s="446" t="e">
        <f>IF(OR($B822="",MIN(S$38,$D$19)&lt;MAX($P$708*($B822+IF($R$17="Distrato",$I$38-1,0)),IF(AND($L$711=0,$P$708=0),"",$L$711-1),IF($R$17="Distrato",$E822,0))),0,YEARFRAC(MAX($P$708*($B822+IF($R$17="Distrato",$I$38-1,0)),IF(AND($L$711=0,$P$708=0),"",$L$711-1),IF($R$17="Distrato",$E822,0)),MIN(S$38,$D$19),$P$20))-SUM($P822:R822)</f>
        <v>#VALUE!</v>
      </c>
      <c r="T822" s="446" t="e">
        <f>IF(OR($B822="",MIN(T$38,$D$19)&lt;MAX($P$708*($B822+IF($R$17="Distrato",$I$38-1,0)),IF(AND($L$711=0,$P$708=0),"",$L$711-1),IF($R$17="Distrato",$E822,0))),0,YEARFRAC(MAX($P$708*($B822+IF($R$17="Distrato",$I$38-1,0)),IF(AND($L$711=0,$P$708=0),"",$L$711-1),IF($R$17="Distrato",$E822,0)),MIN(T$38,$D$19),$P$20))-SUM($P822:S822)</f>
        <v>#VALUE!</v>
      </c>
      <c r="U822" s="446" t="e">
        <f>IF(OR($B822="",MIN(U$38,$D$19)&lt;MAX($P$708*($B822+IF($R$17="Distrato",$I$38-1,0)),IF(AND($L$711=0,$P$708=0),"",$L$711-1),IF($R$17="Distrato",$E822,0))),0,YEARFRAC(MAX($P$708*($B822+IF($R$17="Distrato",$I$38-1,0)),IF(AND($L$711=0,$P$708=0),"",$L$711-1),IF($R$17="Distrato",$E822,0)),MIN(U$38,$D$19),$P$20))-SUM($P822:T822)</f>
        <v>#VALUE!</v>
      </c>
      <c r="V822" s="446" t="e">
        <f>IF(OR($B822="",MIN(V$38,$D$19)&lt;MAX($P$708*($B822+IF($R$17="Distrato",$I$38-1,0)),IF(AND($L$711=0,$P$708=0),"",$L$711-1),IF($R$17="Distrato",$E822,0))),0,YEARFRAC(MAX($P$708*($B822+IF($R$17="Distrato",$I$38-1,0)),IF(AND($L$711=0,$P$708=0),"",$L$711-1),IF($R$17="Distrato",$E822,0)),MIN(V$38,$D$19),$P$20))-SUM($P822:U822)</f>
        <v>#VALUE!</v>
      </c>
      <c r="W822" s="446" t="e">
        <f>IF(OR($B822="",MIN(W$38,$D$19)&lt;MAX($P$708*($B822+IF($R$17="Distrato",$I$38-1,0)),IF(AND($L$711=0,$P$708=0),"",$L$711-1),IF($R$17="Distrato",$E822,0))),0,YEARFRAC(MAX($P$708*($B822+IF($R$17="Distrato",$I$38-1,0)),IF(AND($L$711=0,$P$708=0),"",$L$711-1),IF($R$17="Distrato",$E822,0)),MIN(W$38,$D$19),$P$20))-SUM($P822:V822)</f>
        <v>#VALUE!</v>
      </c>
      <c r="X822" s="446" t="e">
        <f>IF(OR($B822="",MIN(X$38,$D$19)&lt;MAX($P$708*($B822+IF($R$17="Distrato",$I$38-1,0)),IF(AND($L$711=0,$P$708=0),"",$L$711-1),IF($R$17="Distrato",$E822,0))),0,YEARFRAC(MAX($P$708*($B822+IF($R$17="Distrato",$I$38-1,0)),IF(AND($L$711=0,$P$708=0),"",$L$711-1),IF($R$17="Distrato",$E822,0)),MIN(X$38,$D$19),$P$20))-SUM($P822:W822)</f>
        <v>#VALUE!</v>
      </c>
      <c r="Y822" s="446" t="e">
        <f>IF(OR($B822="",MIN(Y$38,$D$19)&lt;MAX($P$708*($B822+IF($R$17="Distrato",$I$38-1,0)),IF(AND($L$711=0,$P$708=0),"",$L$711-1),IF($R$17="Distrato",$E822,0))),0,YEARFRAC(MAX($P$708*($B822+IF($R$17="Distrato",$I$38-1,0)),IF(AND($L$711=0,$P$708=0),"",$L$711-1),IF($R$17="Distrato",$E822,0)),MIN(Y$38,$D$19),$P$20))-SUM($P822:X822)</f>
        <v>#VALUE!</v>
      </c>
      <c r="Z822" s="446" t="e">
        <f>IF(OR($B822="",MIN(Z$38,$D$19)&lt;MAX($P$708*($B822+IF($R$17="Distrato",$I$38-1,0)),IF(AND($L$711=0,$P$708=0),"",$L$711-1),IF($R$17="Distrato",$E822,0))),0,YEARFRAC(MAX($P$708*($B822+IF($R$17="Distrato",$I$38-1,0)),IF(AND($L$711=0,$P$708=0),"",$L$711-1),IF($R$17="Distrato",$E822,0)),MIN(Z$38,$D$19),$P$20))-SUM($P822:Y822)</f>
        <v>#VALUE!</v>
      </c>
      <c r="AA822" s="446" t="e">
        <f>IF(OR($B822="",MIN(AA$38,$D$19)&lt;MAX($P$708*($B822+IF($R$17="Distrato",$I$38-1,0)),IF(AND($L$711=0,$P$708=0),"",$L$711-1),IF($R$17="Distrato",$E822,0))),0,YEARFRAC(MAX($P$708*($B822+IF($R$17="Distrato",$I$38-1,0)),IF(AND($L$711=0,$P$708=0),"",$L$711-1),IF($R$17="Distrato",$E822,0)),MIN(AA$38,$D$19),$P$20))-SUM($P822:Z822)</f>
        <v>#VALUE!</v>
      </c>
      <c r="AB822" s="446" t="e">
        <f>IF(OR($B822="",MIN(AB$38,$D$19)&lt;MAX($P$708*($B822+IF($R$17="Distrato",$I$38-1,0)),IF(AND($L$711=0,$P$708=0),"",$L$711-1),IF($R$17="Distrato",$E822,0))),0,YEARFRAC(MAX($P$708*($B822+IF($R$17="Distrato",$I$38-1,0)),IF(AND($L$711=0,$P$708=0),"",$L$711-1),IF($R$17="Distrato",$E822,0)),MIN(AB$38,$D$19),$P$20))-SUM($P822:AA822)</f>
        <v>#VALUE!</v>
      </c>
      <c r="AC822" s="446" t="e">
        <f>IF(OR($B822="",MIN(AC$38,$D$19)&lt;MAX($P$708*($B822+IF($R$17="Distrato",$I$38-1,0)),IF(AND($L$711=0,$P$708=0),"",$L$711-1),IF($R$17="Distrato",$E822,0))),0,YEARFRAC(MAX($P$708*($B822+IF($R$17="Distrato",$I$38-1,0)),IF(AND($L$711=0,$P$708=0),"",$L$711-1),IF($R$17="Distrato",$E822,0)),MIN(AC$38,$D$19),$P$20))-SUM($P822:AB822)</f>
        <v>#VALUE!</v>
      </c>
      <c r="AD822" s="446" t="e">
        <f>IF(OR($B822="",MIN(AD$38,$D$19)&lt;MAX($P$708*($B822+IF($R$17="Distrato",$I$38-1,0)),IF(AND($L$711=0,$P$708=0),"",$L$711-1),IF($R$17="Distrato",$E822,0))),0,YEARFRAC(MAX($P$708*($B822+IF($R$17="Distrato",$I$38-1,0)),IF(AND($L$711=0,$P$708=0),"",$L$711-1),IF($R$17="Distrato",$E822,0)),MIN(AD$38,$D$19),$P$20))-SUM($P822:AC822)</f>
        <v>#VALUE!</v>
      </c>
      <c r="AE822" s="446" t="e">
        <f>IF(OR($B822="",MIN(AE$38,$D$19)&lt;MAX($P$708*($B822+IF($R$17="Distrato",$I$38-1,0)),IF(AND($L$711=0,$P$708=0),"",$L$711-1),IF($R$17="Distrato",$E822,0))),0,YEARFRAC(MAX($P$708*($B822+IF($R$17="Distrato",$I$38-1,0)),IF(AND($L$711=0,$P$708=0),"",$L$711-1),IF($R$17="Distrato",$E822,0)),MIN(AE$38,$D$19),$P$20))-SUM($P822:AD822)</f>
        <v>#VALUE!</v>
      </c>
      <c r="AF822" s="446" t="e">
        <f>IF(OR($B822="",MIN(AF$38,$D$19)&lt;MAX($P$708*($B822+IF($R$17="Distrato",$I$38-1,0)),IF(AND($L$711=0,$P$708=0),"",$L$711-1),IF($R$17="Distrato",$E822,0))),0,YEARFRAC(MAX($P$708*($B822+IF($R$17="Distrato",$I$38-1,0)),IF(AND($L$711=0,$P$708=0),"",$L$711-1),IF($R$17="Distrato",$E822,0)),MIN(AF$38,$D$19),$P$20))-SUM($P822:AE822)</f>
        <v>#VALUE!</v>
      </c>
      <c r="AG822" s="446" t="e">
        <f>IF(OR($B822="",MIN(AG$38,$D$19)&lt;MAX($P$708*($B822+IF($R$17="Distrato",$I$38-1,0)),IF(AND($L$711=0,$P$708=0),"",$L$711-1),IF($R$17="Distrato",$E822,0))),0,YEARFRAC(MAX($P$708*($B822+IF($R$17="Distrato",$I$38-1,0)),IF(AND($L$711=0,$P$708=0),"",$L$711-1),IF($R$17="Distrato",$E822,0)),MIN(AG$38,$D$19),$P$20))-SUM($P822:AF822)</f>
        <v>#VALUE!</v>
      </c>
      <c r="AH822" s="446" t="e">
        <f>IF(OR($B822="",MIN(AH$38,$D$19)&lt;MAX($P$708*($B822+IF($R$17="Distrato",$I$38-1,0)),IF(AND($L$711=0,$P$708=0),"",$L$711-1),IF($R$17="Distrato",$E822,0))),0,YEARFRAC(MAX($P$708*($B822+IF($R$17="Distrato",$I$38-1,0)),IF(AND($L$711=0,$P$708=0),"",$L$711-1),IF($R$17="Distrato",$E822,0)),MIN(AH$38,$D$19),$P$20))-SUM($P822:AG822)</f>
        <v>#VALUE!</v>
      </c>
      <c r="AI822" s="446" t="e">
        <f>IF(OR($B822="",MIN(AI$38,$D$19)&lt;MAX($P$708*($B822+IF($R$17="Distrato",$I$38-1,0)),IF(AND($L$711=0,$P$708=0),"",$L$711-1),IF($R$17="Distrato",$E822,0))),0,YEARFRAC(MAX($P$708*($B822+IF($R$17="Distrato",$I$38-1,0)),IF(AND($L$711=0,$P$708=0),"",$L$711-1),IF($R$17="Distrato",$E822,0)),MIN(AI$38,$D$19),$P$20))-SUM($P822:AH822)</f>
        <v>#VALUE!</v>
      </c>
      <c r="AJ822" s="446" t="e">
        <f>IF(OR($B822="",MIN(AJ$38,$D$19)&lt;MAX($P$708*($B822+IF($R$17="Distrato",$I$38-1,0)),IF(AND($L$711=0,$P$708=0),"",$L$711-1),IF($R$17="Distrato",$E822,0))),0,YEARFRAC(MAX($P$708*($B822+IF($R$17="Distrato",$I$38-1,0)),IF(AND($L$711=0,$P$708=0),"",$L$711-1),IF($R$17="Distrato",$E822,0)),MIN(AJ$38,$D$19),$P$20))-SUM($P822:AI822)</f>
        <v>#VALUE!</v>
      </c>
      <c r="AK822" s="446" t="e">
        <f>IF(OR($B822="",MIN(AK$38,$D$19)&lt;MAX($P$708*($B822+IF($R$17="Distrato",$I$38-1,0)),IF(AND($L$711=0,$P$708=0),"",$L$711-1),IF($R$17="Distrato",$E822,0))),0,YEARFRAC(MAX($P$708*($B822+IF($R$17="Distrato",$I$38-1,0)),IF(AND($L$711=0,$P$708=0),"",$L$711-1),IF($R$17="Distrato",$E822,0)),MIN(AK$38,$D$19),$P$20))-SUM($P822:AJ822)</f>
        <v>#VALUE!</v>
      </c>
      <c r="AL822" s="446" t="e">
        <f>IF(OR($B822="",MIN(AL$38,$D$19)&lt;MAX($P$708*($B822+IF($R$17="Distrato",$I$38-1,0)),IF(AND($L$711=0,$P$708=0),"",$L$711-1),IF($R$17="Distrato",$E822,0))),0,YEARFRAC(MAX($P$708*($B822+IF($R$17="Distrato",$I$38-1,0)),IF(AND($L$711=0,$P$708=0),"",$L$711-1),IF($R$17="Distrato",$E822,0)),MIN(AL$38,$D$19),$P$20))-SUM($P822:AK822)</f>
        <v>#VALUE!</v>
      </c>
      <c r="AM822" s="446" t="e">
        <f>IF(OR($B822="",MIN(AM$38,$D$19)&lt;MAX($P$708*($B822+IF($R$17="Distrato",$I$38-1,0)),IF(AND($L$711=0,$P$708=0),"",$L$711-1),IF($R$17="Distrato",$E822,0))),0,YEARFRAC(MAX($P$708*($B822+IF($R$17="Distrato",$I$38-1,0)),IF(AND($L$711=0,$P$708=0),"",$L$711-1),IF($R$17="Distrato",$E822,0)),MIN(AM$38,$D$19),$P$20))-SUM($P822:AL822)</f>
        <v>#VALUE!</v>
      </c>
      <c r="AN822" s="446" t="e">
        <f>IF(OR($B822="",MIN(AN$38,$D$19)&lt;MAX($P$708*($B822+IF($R$17="Distrato",$I$38-1,0)),IF(AND($L$711=0,$P$708=0),"",$L$711-1),IF($R$17="Distrato",$E822,0))),0,YEARFRAC(MAX($P$708*($B822+IF($R$17="Distrato",$I$38-1,0)),IF(AND($L$711=0,$P$708=0),"",$L$711-1),IF($R$17="Distrato",$E822,0)),MIN(AN$38,$D$19),$P$20))-SUM($P822:AM822)</f>
        <v>#VALUE!</v>
      </c>
      <c r="AO822" s="446" t="e">
        <f>IF(OR($B822="",MIN(AO$38,$D$19)&lt;MAX($P$708*($B822+IF($R$17="Distrato",$I$38-1,0)),IF(AND($L$711=0,$P$708=0),"",$L$711-1),IF($R$17="Distrato",$E822,0))),0,YEARFRAC(MAX($P$708*($B822+IF($R$17="Distrato",$I$38-1,0)),IF(AND($L$711=0,$P$708=0),"",$L$711-1),IF($R$17="Distrato",$E822,0)),MIN(AO$38,$D$19),$P$20))-SUM($P822:AN822)</f>
        <v>#VALUE!</v>
      </c>
      <c r="AP822" s="446" t="e">
        <f>IF(OR($B822="",MIN(AP$38,$D$19)&lt;MAX($P$708*($B822+IF($R$17="Distrato",$I$38-1,0)),IF(AND($L$711=0,$P$708=0),"",$L$711-1),IF($R$17="Distrato",$E822,0))),0,YEARFRAC(MAX($P$708*($B822+IF($R$17="Distrato",$I$38-1,0)),IF(AND($L$711=0,$P$708=0),"",$L$711-1),IF($R$17="Distrato",$E822,0)),MIN(AP$38,$D$19),$P$20))-SUM($P822:AO822)</f>
        <v>#VALUE!</v>
      </c>
      <c r="AQ822" s="446" t="e">
        <f>IF(OR($B822="",MIN(AQ$38,$D$19)&lt;MAX($P$708*($B822+IF($R$17="Distrato",$I$38-1,0)),IF(AND($L$711=0,$P$708=0),"",$L$711-1),IF($R$17="Distrato",$E822,0))),0,YEARFRAC(MAX($P$708*($B822+IF($R$17="Distrato",$I$38-1,0)),IF(AND($L$711=0,$P$708=0),"",$L$711-1),IF($R$17="Distrato",$E822,0)),MIN(AQ$38,$D$19),$P$20))-SUM($P822:AP822)</f>
        <v>#VALUE!</v>
      </c>
      <c r="AR822" s="446" t="e">
        <f>IF(OR($B822="",MIN(AR$38,$D$19)&lt;MAX($P$708*($B822+IF($R$17="Distrato",$I$38-1,0)),IF(AND($L$711=0,$P$708=0),"",$L$711-1),IF($R$17="Distrato",$E822,0))),0,YEARFRAC(MAX($P$708*($B822+IF($R$17="Distrato",$I$38-1,0)),IF(AND($L$711=0,$P$708=0),"",$L$711-1),IF($R$17="Distrato",$E822,0)),MIN(AR$38,$D$19),$P$20))-SUM($P822:AQ822)</f>
        <v>#VALUE!</v>
      </c>
      <c r="AS822" s="446" t="e">
        <f>IF(OR($B822="",MIN(AS$38,$D$19)&lt;MAX($P$708*($B822+IF($R$17="Distrato",$I$38-1,0)),IF(AND($L$711=0,$P$708=0),"",$L$711-1),IF($R$17="Distrato",$E822,0))),0,YEARFRAC(MAX($P$708*($B822+IF($R$17="Distrato",$I$38-1,0)),IF(AND($L$711=0,$P$708=0),"",$L$711-1),IF($R$17="Distrato",$E822,0)),MIN(AS$38,$D$19),$P$20))-SUM($P822:AR822)</f>
        <v>#VALUE!</v>
      </c>
      <c r="AT822" s="446" t="e">
        <f>IF(OR($B822="",MIN(AT$38,$D$19)&lt;MAX($P$708*($B822+IF($R$17="Distrato",$I$38-1,0)),IF(AND($L$711=0,$P$708=0),"",$L$711-1),IF($R$17="Distrato",$E822,0))),0,YEARFRAC(MAX($P$708*($B822+IF($R$17="Distrato",$I$38-1,0)),IF(AND($L$711=0,$P$708=0),"",$L$711-1),IF($R$17="Distrato",$E822,0)),MIN(AT$38,$D$19),$P$20))-SUM($P822:AS822)</f>
        <v>#VALUE!</v>
      </c>
      <c r="AU822" s="446" t="e">
        <f>IF(OR($B822="",MIN(AU$38,$D$19)&lt;MAX($P$708*($B822+IF($R$17="Distrato",$I$38-1,0)),IF(AND($L$711=0,$P$708=0),"",$L$711-1),IF($R$17="Distrato",$E822,0))),0,YEARFRAC(MAX($P$708*($B822+IF($R$17="Distrato",$I$38-1,0)),IF(AND($L$711=0,$P$708=0),"",$L$711-1),IF($R$17="Distrato",$E822,0)),MIN(AU$38,$D$19),$P$20))-SUM($P822:AT822)</f>
        <v>#VALUE!</v>
      </c>
      <c r="AV822" s="446" t="e">
        <f>IF(OR($B822="",MIN(AV$38,$D$19)&lt;MAX($P$708*($B822+IF($R$17="Distrato",$I$38-1,0)),IF(AND($L$711=0,$P$708=0),"",$L$711-1),IF($R$17="Distrato",$E822,0))),0,YEARFRAC(MAX($P$708*($B822+IF($R$17="Distrato",$I$38-1,0)),IF(AND($L$711=0,$P$708=0),"",$L$711-1),IF($R$17="Distrato",$E822,0)),MIN(AV$38,$D$19),$P$20))-SUM($P822:AU822)</f>
        <v>#VALUE!</v>
      </c>
      <c r="AW822" s="446" t="e">
        <f>IF(OR($B822="",MIN(AW$38,$D$19)&lt;MAX($P$708*($B822+IF($R$17="Distrato",$I$38-1,0)),IF(AND($L$711=0,$P$708=0),"",$L$711-1),IF($R$17="Distrato",$E822,0))),0,YEARFRAC(MAX($P$708*($B822+IF($R$17="Distrato",$I$38-1,0)),IF(AND($L$711=0,$P$708=0),"",$L$711-1),IF($R$17="Distrato",$E822,0)),MIN(AW$38,$D$19),$P$20))-SUM($P822:AV822)</f>
        <v>#VALUE!</v>
      </c>
      <c r="AX822" s="446" t="e">
        <f>IF(OR($B822="",MIN(AX$38,$D$19)&lt;MAX($P$708*($B822+IF($R$17="Distrato",$I$38-1,0)),IF(AND($L$711=0,$P$708=0),"",$L$711-1),IF($R$17="Distrato",$E822,0))),0,YEARFRAC(MAX($P$708*($B822+IF($R$17="Distrato",$I$38-1,0)),IF(AND($L$711=0,$P$708=0),"",$L$711-1),IF($R$17="Distrato",$E822,0)),MIN(AX$38,$D$19),$P$20))-SUM($P822:AW822)</f>
        <v>#VALUE!</v>
      </c>
      <c r="AY822" s="446" t="e">
        <f>IF(OR($B822="",MIN(AY$38,$D$19)&lt;MAX($P$708*($B822+IF($R$17="Distrato",$I$38-1,0)),IF(AND($L$711=0,$P$708=0),"",$L$711-1),IF($R$17="Distrato",$E822,0))),0,YEARFRAC(MAX($P$708*($B822+IF($R$17="Distrato",$I$38-1,0)),IF(AND($L$711=0,$P$708=0),"",$L$711-1),IF($R$17="Distrato",$E822,0)),MIN(AY$38,$D$19),$P$20))-SUM($P822:AX822)</f>
        <v>#VALUE!</v>
      </c>
      <c r="AZ822" s="446" t="e">
        <f>IF(OR($B822="",MIN(AZ$38,$D$19)&lt;MAX($P$708*($B822+IF($R$17="Distrato",$I$38-1,0)),IF(AND($L$711=0,$P$708=0),"",$L$711-1),IF($R$17="Distrato",$E822,0))),0,YEARFRAC(MAX($P$708*($B822+IF($R$17="Distrato",$I$38-1,0)),IF(AND($L$711=0,$P$708=0),"",$L$711-1),IF($R$17="Distrato",$E822,0)),MIN(AZ$38,$D$19),$P$20))-SUM($P822:AY822)</f>
        <v>#VALUE!</v>
      </c>
      <c r="BA822" s="446" t="e">
        <f>IF(OR($B822="",MIN(BA$38,$D$19)&lt;MAX($P$708*($B822+IF($R$17="Distrato",$I$38-1,0)),IF(AND($L$711=0,$P$708=0),"",$L$711-1),IF($R$17="Distrato",$E822,0))),0,YEARFRAC(MAX($P$708*($B822+IF($R$17="Distrato",$I$38-1,0)),IF(AND($L$711=0,$P$708=0),"",$L$711-1),IF($R$17="Distrato",$E822,0)),MIN(BA$38,$D$19),$P$20))-SUM($P822:AZ822)</f>
        <v>#VALUE!</v>
      </c>
      <c r="BB822" s="447"/>
    </row>
    <row r="823" spans="1:54" s="446" customFormat="1" ht="11.25" hidden="1" customHeight="1" x14ac:dyDescent="0.2">
      <c r="A823" s="235"/>
      <c r="B823" s="236"/>
      <c r="C823" s="29" t="str">
        <f>IF(B823="","",IF($L$709=$BL$25,VLOOKUP(DATE(YEAR($D$19),MONTH($D$19)-1,1),ÍNDICES!$A:$DE,HLOOKUP($BL$25,ÍNDICES!$B$3:$T$4,2)+11)-VLOOKUP(B823,ÍNDICES!$A:$DE,HLOOKUP($BL$25,ÍNDICES!$B$3:$T$4,2)+11)+1%,IF(C$712=$W$26,$J$35,IF(ISERROR(IF(B823&gt;$D$19,1,VLOOKUP(DATE(YEAR(B823),MONTH(B823)+IF($C$709=$S$23,1,0),1),ÍNDICES!$A:$DE,$Z$709+1))),"",IF(B823&gt;$D$19,1,VLOOKUP(DATE(YEAR(B823),MONTH(B823)+IF($C$709=$S$23,1,0),1),ÍNDICES!$A:$DE,$Z$709+1))))))</f>
        <v/>
      </c>
      <c r="D823" s="155"/>
      <c r="E823" s="88"/>
      <c r="F823" s="88"/>
      <c r="G823" s="88"/>
      <c r="H823" s="118"/>
      <c r="I823" s="182">
        <f t="shared" si="122"/>
        <v>0</v>
      </c>
      <c r="J823" s="20">
        <f t="shared" ca="1" si="123"/>
        <v>0</v>
      </c>
      <c r="K823" s="5">
        <f t="shared" ca="1" si="124"/>
        <v>0</v>
      </c>
      <c r="L823" s="61">
        <f t="shared" ca="1" si="125"/>
        <v>0</v>
      </c>
      <c r="M823" s="64">
        <f t="shared" si="126"/>
        <v>0</v>
      </c>
      <c r="N823" s="151"/>
      <c r="O823" s="5">
        <f t="shared" ca="1" si="127"/>
        <v>0</v>
      </c>
      <c r="P823" s="446" t="e">
        <f t="shared" si="128"/>
        <v>#VALUE!</v>
      </c>
      <c r="Q823" s="446" t="e">
        <f>IF(OR($B823="",MIN(Q$38,$D$19)&lt;MAX($P$708*($B823+IF($R$17="Distrato",$I$38-1,0)),IF(AND($L$711=0,$P$708=0),"",$L$711-1),IF($R$17="Distrato",$E823,0))),0,YEARFRAC(MAX($P$708*($B823+IF($R$17="Distrato",$I$38-1,0)),IF(AND($L$711=0,$P$708=0),"",$L$711-1),IF($R$17="Distrato",$E823,0)),MIN(Q$38,$D$19),$P$20))-SUM($P823:P823)</f>
        <v>#VALUE!</v>
      </c>
      <c r="R823" s="446" t="e">
        <f>IF(OR($B823="",MIN(R$38,$D$19)&lt;MAX($P$708*($B823+IF($R$17="Distrato",$I$38-1,0)),IF(AND($L$711=0,$P$708=0),"",$L$711-1),IF($R$17="Distrato",$E823,0))),0,YEARFRAC(MAX($P$708*($B823+IF($R$17="Distrato",$I$38-1,0)),IF(AND($L$711=0,$P$708=0),"",$L$711-1),IF($R$17="Distrato",$E823,0)),MIN(R$38,$D$19),$P$20))-SUM($P823:Q823)</f>
        <v>#VALUE!</v>
      </c>
      <c r="S823" s="446" t="e">
        <f>IF(OR($B823="",MIN(S$38,$D$19)&lt;MAX($P$708*($B823+IF($R$17="Distrato",$I$38-1,0)),IF(AND($L$711=0,$P$708=0),"",$L$711-1),IF($R$17="Distrato",$E823,0))),0,YEARFRAC(MAX($P$708*($B823+IF($R$17="Distrato",$I$38-1,0)),IF(AND($L$711=0,$P$708=0),"",$L$711-1),IF($R$17="Distrato",$E823,0)),MIN(S$38,$D$19),$P$20))-SUM($P823:R823)</f>
        <v>#VALUE!</v>
      </c>
      <c r="T823" s="446" t="e">
        <f>IF(OR($B823="",MIN(T$38,$D$19)&lt;MAX($P$708*($B823+IF($R$17="Distrato",$I$38-1,0)),IF(AND($L$711=0,$P$708=0),"",$L$711-1),IF($R$17="Distrato",$E823,0))),0,YEARFRAC(MAX($P$708*($B823+IF($R$17="Distrato",$I$38-1,0)),IF(AND($L$711=0,$P$708=0),"",$L$711-1),IF($R$17="Distrato",$E823,0)),MIN(T$38,$D$19),$P$20))-SUM($P823:S823)</f>
        <v>#VALUE!</v>
      </c>
      <c r="U823" s="446" t="e">
        <f>IF(OR($B823="",MIN(U$38,$D$19)&lt;MAX($P$708*($B823+IF($R$17="Distrato",$I$38-1,0)),IF(AND($L$711=0,$P$708=0),"",$L$711-1),IF($R$17="Distrato",$E823,0))),0,YEARFRAC(MAX($P$708*($B823+IF($R$17="Distrato",$I$38-1,0)),IF(AND($L$711=0,$P$708=0),"",$L$711-1),IF($R$17="Distrato",$E823,0)),MIN(U$38,$D$19),$P$20))-SUM($P823:T823)</f>
        <v>#VALUE!</v>
      </c>
      <c r="V823" s="446" t="e">
        <f>IF(OR($B823="",MIN(V$38,$D$19)&lt;MAX($P$708*($B823+IF($R$17="Distrato",$I$38-1,0)),IF(AND($L$711=0,$P$708=0),"",$L$711-1),IF($R$17="Distrato",$E823,0))),0,YEARFRAC(MAX($P$708*($B823+IF($R$17="Distrato",$I$38-1,0)),IF(AND($L$711=0,$P$708=0),"",$L$711-1),IF($R$17="Distrato",$E823,0)),MIN(V$38,$D$19),$P$20))-SUM($P823:U823)</f>
        <v>#VALUE!</v>
      </c>
      <c r="W823" s="446" t="e">
        <f>IF(OR($B823="",MIN(W$38,$D$19)&lt;MAX($P$708*($B823+IF($R$17="Distrato",$I$38-1,0)),IF(AND($L$711=0,$P$708=0),"",$L$711-1),IF($R$17="Distrato",$E823,0))),0,YEARFRAC(MAX($P$708*($B823+IF($R$17="Distrato",$I$38-1,0)),IF(AND($L$711=0,$P$708=0),"",$L$711-1),IF($R$17="Distrato",$E823,0)),MIN(W$38,$D$19),$P$20))-SUM($P823:V823)</f>
        <v>#VALUE!</v>
      </c>
      <c r="X823" s="446" t="e">
        <f>IF(OR($B823="",MIN(X$38,$D$19)&lt;MAX($P$708*($B823+IF($R$17="Distrato",$I$38-1,0)),IF(AND($L$711=0,$P$708=0),"",$L$711-1),IF($R$17="Distrato",$E823,0))),0,YEARFRAC(MAX($P$708*($B823+IF($R$17="Distrato",$I$38-1,0)),IF(AND($L$711=0,$P$708=0),"",$L$711-1),IF($R$17="Distrato",$E823,0)),MIN(X$38,$D$19),$P$20))-SUM($P823:W823)</f>
        <v>#VALUE!</v>
      </c>
      <c r="Y823" s="446" t="e">
        <f>IF(OR($B823="",MIN(Y$38,$D$19)&lt;MAX($P$708*($B823+IF($R$17="Distrato",$I$38-1,0)),IF(AND($L$711=0,$P$708=0),"",$L$711-1),IF($R$17="Distrato",$E823,0))),0,YEARFRAC(MAX($P$708*($B823+IF($R$17="Distrato",$I$38-1,0)),IF(AND($L$711=0,$P$708=0),"",$L$711-1),IF($R$17="Distrato",$E823,0)),MIN(Y$38,$D$19),$P$20))-SUM($P823:X823)</f>
        <v>#VALUE!</v>
      </c>
      <c r="Z823" s="446" t="e">
        <f>IF(OR($B823="",MIN(Z$38,$D$19)&lt;MAX($P$708*($B823+IF($R$17="Distrato",$I$38-1,0)),IF(AND($L$711=0,$P$708=0),"",$L$711-1),IF($R$17="Distrato",$E823,0))),0,YEARFRAC(MAX($P$708*($B823+IF($R$17="Distrato",$I$38-1,0)),IF(AND($L$711=0,$P$708=0),"",$L$711-1),IF($R$17="Distrato",$E823,0)),MIN(Z$38,$D$19),$P$20))-SUM($P823:Y823)</f>
        <v>#VALUE!</v>
      </c>
      <c r="AA823" s="446" t="e">
        <f>IF(OR($B823="",MIN(AA$38,$D$19)&lt;MAX($P$708*($B823+IF($R$17="Distrato",$I$38-1,0)),IF(AND($L$711=0,$P$708=0),"",$L$711-1),IF($R$17="Distrato",$E823,0))),0,YEARFRAC(MAX($P$708*($B823+IF($R$17="Distrato",$I$38-1,0)),IF(AND($L$711=0,$P$708=0),"",$L$711-1),IF($R$17="Distrato",$E823,0)),MIN(AA$38,$D$19),$P$20))-SUM($P823:Z823)</f>
        <v>#VALUE!</v>
      </c>
      <c r="AB823" s="446" t="e">
        <f>IF(OR($B823="",MIN(AB$38,$D$19)&lt;MAX($P$708*($B823+IF($R$17="Distrato",$I$38-1,0)),IF(AND($L$711=0,$P$708=0),"",$L$711-1),IF($R$17="Distrato",$E823,0))),0,YEARFRAC(MAX($P$708*($B823+IF($R$17="Distrato",$I$38-1,0)),IF(AND($L$711=0,$P$708=0),"",$L$711-1),IF($R$17="Distrato",$E823,0)),MIN(AB$38,$D$19),$P$20))-SUM($P823:AA823)</f>
        <v>#VALUE!</v>
      </c>
      <c r="AC823" s="446" t="e">
        <f>IF(OR($B823="",MIN(AC$38,$D$19)&lt;MAX($P$708*($B823+IF($R$17="Distrato",$I$38-1,0)),IF(AND($L$711=0,$P$708=0),"",$L$711-1),IF($R$17="Distrato",$E823,0))),0,YEARFRAC(MAX($P$708*($B823+IF($R$17="Distrato",$I$38-1,0)),IF(AND($L$711=0,$P$708=0),"",$L$711-1),IF($R$17="Distrato",$E823,0)),MIN(AC$38,$D$19),$P$20))-SUM($P823:AB823)</f>
        <v>#VALUE!</v>
      </c>
      <c r="AD823" s="446" t="e">
        <f>IF(OR($B823="",MIN(AD$38,$D$19)&lt;MAX($P$708*($B823+IF($R$17="Distrato",$I$38-1,0)),IF(AND($L$711=0,$P$708=0),"",$L$711-1),IF($R$17="Distrato",$E823,0))),0,YEARFRAC(MAX($P$708*($B823+IF($R$17="Distrato",$I$38-1,0)),IF(AND($L$711=0,$P$708=0),"",$L$711-1),IF($R$17="Distrato",$E823,0)),MIN(AD$38,$D$19),$P$20))-SUM($P823:AC823)</f>
        <v>#VALUE!</v>
      </c>
      <c r="AE823" s="446" t="e">
        <f>IF(OR($B823="",MIN(AE$38,$D$19)&lt;MAX($P$708*($B823+IF($R$17="Distrato",$I$38-1,0)),IF(AND($L$711=0,$P$708=0),"",$L$711-1),IF($R$17="Distrato",$E823,0))),0,YEARFRAC(MAX($P$708*($B823+IF($R$17="Distrato",$I$38-1,0)),IF(AND($L$711=0,$P$708=0),"",$L$711-1),IF($R$17="Distrato",$E823,0)),MIN(AE$38,$D$19),$P$20))-SUM($P823:AD823)</f>
        <v>#VALUE!</v>
      </c>
      <c r="AF823" s="446" t="e">
        <f>IF(OR($B823="",MIN(AF$38,$D$19)&lt;MAX($P$708*($B823+IF($R$17="Distrato",$I$38-1,0)),IF(AND($L$711=0,$P$708=0),"",$L$711-1),IF($R$17="Distrato",$E823,0))),0,YEARFRAC(MAX($P$708*($B823+IF($R$17="Distrato",$I$38-1,0)),IF(AND($L$711=0,$P$708=0),"",$L$711-1),IF($R$17="Distrato",$E823,0)),MIN(AF$38,$D$19),$P$20))-SUM($P823:AE823)</f>
        <v>#VALUE!</v>
      </c>
      <c r="AG823" s="446" t="e">
        <f>IF(OR($B823="",MIN(AG$38,$D$19)&lt;MAX($P$708*($B823+IF($R$17="Distrato",$I$38-1,0)),IF(AND($L$711=0,$P$708=0),"",$L$711-1),IF($R$17="Distrato",$E823,0))),0,YEARFRAC(MAX($P$708*($B823+IF($R$17="Distrato",$I$38-1,0)),IF(AND($L$711=0,$P$708=0),"",$L$711-1),IF($R$17="Distrato",$E823,0)),MIN(AG$38,$D$19),$P$20))-SUM($P823:AF823)</f>
        <v>#VALUE!</v>
      </c>
      <c r="AH823" s="446" t="e">
        <f>IF(OR($B823="",MIN(AH$38,$D$19)&lt;MAX($P$708*($B823+IF($R$17="Distrato",$I$38-1,0)),IF(AND($L$711=0,$P$708=0),"",$L$711-1),IF($R$17="Distrato",$E823,0))),0,YEARFRAC(MAX($P$708*($B823+IF($R$17="Distrato",$I$38-1,0)),IF(AND($L$711=0,$P$708=0),"",$L$711-1),IF($R$17="Distrato",$E823,0)),MIN(AH$38,$D$19),$P$20))-SUM($P823:AG823)</f>
        <v>#VALUE!</v>
      </c>
      <c r="AI823" s="446" t="e">
        <f>IF(OR($B823="",MIN(AI$38,$D$19)&lt;MAX($P$708*($B823+IF($R$17="Distrato",$I$38-1,0)),IF(AND($L$711=0,$P$708=0),"",$L$711-1),IF($R$17="Distrato",$E823,0))),0,YEARFRAC(MAX($P$708*($B823+IF($R$17="Distrato",$I$38-1,0)),IF(AND($L$711=0,$P$708=0),"",$L$711-1),IF($R$17="Distrato",$E823,0)),MIN(AI$38,$D$19),$P$20))-SUM($P823:AH823)</f>
        <v>#VALUE!</v>
      </c>
      <c r="AJ823" s="446" t="e">
        <f>IF(OR($B823="",MIN(AJ$38,$D$19)&lt;MAX($P$708*($B823+IF($R$17="Distrato",$I$38-1,0)),IF(AND($L$711=0,$P$708=0),"",$L$711-1),IF($R$17="Distrato",$E823,0))),0,YEARFRAC(MAX($P$708*($B823+IF($R$17="Distrato",$I$38-1,0)),IF(AND($L$711=0,$P$708=0),"",$L$711-1),IF($R$17="Distrato",$E823,0)),MIN(AJ$38,$D$19),$P$20))-SUM($P823:AI823)</f>
        <v>#VALUE!</v>
      </c>
      <c r="AK823" s="446" t="e">
        <f>IF(OR($B823="",MIN(AK$38,$D$19)&lt;MAX($P$708*($B823+IF($R$17="Distrato",$I$38-1,0)),IF(AND($L$711=0,$P$708=0),"",$L$711-1),IF($R$17="Distrato",$E823,0))),0,YEARFRAC(MAX($P$708*($B823+IF($R$17="Distrato",$I$38-1,0)),IF(AND($L$711=0,$P$708=0),"",$L$711-1),IF($R$17="Distrato",$E823,0)),MIN(AK$38,$D$19),$P$20))-SUM($P823:AJ823)</f>
        <v>#VALUE!</v>
      </c>
      <c r="AL823" s="446" t="e">
        <f>IF(OR($B823="",MIN(AL$38,$D$19)&lt;MAX($P$708*($B823+IF($R$17="Distrato",$I$38-1,0)),IF(AND($L$711=0,$P$708=0),"",$L$711-1),IF($R$17="Distrato",$E823,0))),0,YEARFRAC(MAX($P$708*($B823+IF($R$17="Distrato",$I$38-1,0)),IF(AND($L$711=0,$P$708=0),"",$L$711-1),IF($R$17="Distrato",$E823,0)),MIN(AL$38,$D$19),$P$20))-SUM($P823:AK823)</f>
        <v>#VALUE!</v>
      </c>
      <c r="AM823" s="446" t="e">
        <f>IF(OR($B823="",MIN(AM$38,$D$19)&lt;MAX($P$708*($B823+IF($R$17="Distrato",$I$38-1,0)),IF(AND($L$711=0,$P$708=0),"",$L$711-1),IF($R$17="Distrato",$E823,0))),0,YEARFRAC(MAX($P$708*($B823+IF($R$17="Distrato",$I$38-1,0)),IF(AND($L$711=0,$P$708=0),"",$L$711-1),IF($R$17="Distrato",$E823,0)),MIN(AM$38,$D$19),$P$20))-SUM($P823:AL823)</f>
        <v>#VALUE!</v>
      </c>
      <c r="AN823" s="446" t="e">
        <f>IF(OR($B823="",MIN(AN$38,$D$19)&lt;MAX($P$708*($B823+IF($R$17="Distrato",$I$38-1,0)),IF(AND($L$711=0,$P$708=0),"",$L$711-1),IF($R$17="Distrato",$E823,0))),0,YEARFRAC(MAX($P$708*($B823+IF($R$17="Distrato",$I$38-1,0)),IF(AND($L$711=0,$P$708=0),"",$L$711-1),IF($R$17="Distrato",$E823,0)),MIN(AN$38,$D$19),$P$20))-SUM($P823:AM823)</f>
        <v>#VALUE!</v>
      </c>
      <c r="AO823" s="446" t="e">
        <f>IF(OR($B823="",MIN(AO$38,$D$19)&lt;MAX($P$708*($B823+IF($R$17="Distrato",$I$38-1,0)),IF(AND($L$711=0,$P$708=0),"",$L$711-1),IF($R$17="Distrato",$E823,0))),0,YEARFRAC(MAX($P$708*($B823+IF($R$17="Distrato",$I$38-1,0)),IF(AND($L$711=0,$P$708=0),"",$L$711-1),IF($R$17="Distrato",$E823,0)),MIN(AO$38,$D$19),$P$20))-SUM($P823:AN823)</f>
        <v>#VALUE!</v>
      </c>
      <c r="AP823" s="446" t="e">
        <f>IF(OR($B823="",MIN(AP$38,$D$19)&lt;MAX($P$708*($B823+IF($R$17="Distrato",$I$38-1,0)),IF(AND($L$711=0,$P$708=0),"",$L$711-1),IF($R$17="Distrato",$E823,0))),0,YEARFRAC(MAX($P$708*($B823+IF($R$17="Distrato",$I$38-1,0)),IF(AND($L$711=0,$P$708=0),"",$L$711-1),IF($R$17="Distrato",$E823,0)),MIN(AP$38,$D$19),$P$20))-SUM($P823:AO823)</f>
        <v>#VALUE!</v>
      </c>
      <c r="AQ823" s="446" t="e">
        <f>IF(OR($B823="",MIN(AQ$38,$D$19)&lt;MAX($P$708*($B823+IF($R$17="Distrato",$I$38-1,0)),IF(AND($L$711=0,$P$708=0),"",$L$711-1),IF($R$17="Distrato",$E823,0))),0,YEARFRAC(MAX($P$708*($B823+IF($R$17="Distrato",$I$38-1,0)),IF(AND($L$711=0,$P$708=0),"",$L$711-1),IF($R$17="Distrato",$E823,0)),MIN(AQ$38,$D$19),$P$20))-SUM($P823:AP823)</f>
        <v>#VALUE!</v>
      </c>
      <c r="AR823" s="446" t="e">
        <f>IF(OR($B823="",MIN(AR$38,$D$19)&lt;MAX($P$708*($B823+IF($R$17="Distrato",$I$38-1,0)),IF(AND($L$711=0,$P$708=0),"",$L$711-1),IF($R$17="Distrato",$E823,0))),0,YEARFRAC(MAX($P$708*($B823+IF($R$17="Distrato",$I$38-1,0)),IF(AND($L$711=0,$P$708=0),"",$L$711-1),IF($R$17="Distrato",$E823,0)),MIN(AR$38,$D$19),$P$20))-SUM($P823:AQ823)</f>
        <v>#VALUE!</v>
      </c>
      <c r="AS823" s="446" t="e">
        <f>IF(OR($B823="",MIN(AS$38,$D$19)&lt;MAX($P$708*($B823+IF($R$17="Distrato",$I$38-1,0)),IF(AND($L$711=0,$P$708=0),"",$L$711-1),IF($R$17="Distrato",$E823,0))),0,YEARFRAC(MAX($P$708*($B823+IF($R$17="Distrato",$I$38-1,0)),IF(AND($L$711=0,$P$708=0),"",$L$711-1),IF($R$17="Distrato",$E823,0)),MIN(AS$38,$D$19),$P$20))-SUM($P823:AR823)</f>
        <v>#VALUE!</v>
      </c>
      <c r="AT823" s="446" t="e">
        <f>IF(OR($B823="",MIN(AT$38,$D$19)&lt;MAX($P$708*($B823+IF($R$17="Distrato",$I$38-1,0)),IF(AND($L$711=0,$P$708=0),"",$L$711-1),IF($R$17="Distrato",$E823,0))),0,YEARFRAC(MAX($P$708*($B823+IF($R$17="Distrato",$I$38-1,0)),IF(AND($L$711=0,$P$708=0),"",$L$711-1),IF($R$17="Distrato",$E823,0)),MIN(AT$38,$D$19),$P$20))-SUM($P823:AS823)</f>
        <v>#VALUE!</v>
      </c>
      <c r="AU823" s="446" t="e">
        <f>IF(OR($B823="",MIN(AU$38,$D$19)&lt;MAX($P$708*($B823+IF($R$17="Distrato",$I$38-1,0)),IF(AND($L$711=0,$P$708=0),"",$L$711-1),IF($R$17="Distrato",$E823,0))),0,YEARFRAC(MAX($P$708*($B823+IF($R$17="Distrato",$I$38-1,0)),IF(AND($L$711=0,$P$708=0),"",$L$711-1),IF($R$17="Distrato",$E823,0)),MIN(AU$38,$D$19),$P$20))-SUM($P823:AT823)</f>
        <v>#VALUE!</v>
      </c>
      <c r="AV823" s="446" t="e">
        <f>IF(OR($B823="",MIN(AV$38,$D$19)&lt;MAX($P$708*($B823+IF($R$17="Distrato",$I$38-1,0)),IF(AND($L$711=0,$P$708=0),"",$L$711-1),IF($R$17="Distrato",$E823,0))),0,YEARFRAC(MAX($P$708*($B823+IF($R$17="Distrato",$I$38-1,0)),IF(AND($L$711=0,$P$708=0),"",$L$711-1),IF($R$17="Distrato",$E823,0)),MIN(AV$38,$D$19),$P$20))-SUM($P823:AU823)</f>
        <v>#VALUE!</v>
      </c>
      <c r="AW823" s="446" t="e">
        <f>IF(OR($B823="",MIN(AW$38,$D$19)&lt;MAX($P$708*($B823+IF($R$17="Distrato",$I$38-1,0)),IF(AND($L$711=0,$P$708=0),"",$L$711-1),IF($R$17="Distrato",$E823,0))),0,YEARFRAC(MAX($P$708*($B823+IF($R$17="Distrato",$I$38-1,0)),IF(AND($L$711=0,$P$708=0),"",$L$711-1),IF($R$17="Distrato",$E823,0)),MIN(AW$38,$D$19),$P$20))-SUM($P823:AV823)</f>
        <v>#VALUE!</v>
      </c>
      <c r="AX823" s="446" t="e">
        <f>IF(OR($B823="",MIN(AX$38,$D$19)&lt;MAX($P$708*($B823+IF($R$17="Distrato",$I$38-1,0)),IF(AND($L$711=0,$P$708=0),"",$L$711-1),IF($R$17="Distrato",$E823,0))),0,YEARFRAC(MAX($P$708*($B823+IF($R$17="Distrato",$I$38-1,0)),IF(AND($L$711=0,$P$708=0),"",$L$711-1),IF($R$17="Distrato",$E823,0)),MIN(AX$38,$D$19),$P$20))-SUM($P823:AW823)</f>
        <v>#VALUE!</v>
      </c>
      <c r="AY823" s="446" t="e">
        <f>IF(OR($B823="",MIN(AY$38,$D$19)&lt;MAX($P$708*($B823+IF($R$17="Distrato",$I$38-1,0)),IF(AND($L$711=0,$P$708=0),"",$L$711-1),IF($R$17="Distrato",$E823,0))),0,YEARFRAC(MAX($P$708*($B823+IF($R$17="Distrato",$I$38-1,0)),IF(AND($L$711=0,$P$708=0),"",$L$711-1),IF($R$17="Distrato",$E823,0)),MIN(AY$38,$D$19),$P$20))-SUM($P823:AX823)</f>
        <v>#VALUE!</v>
      </c>
      <c r="AZ823" s="446" t="e">
        <f>IF(OR($B823="",MIN(AZ$38,$D$19)&lt;MAX($P$708*($B823+IF($R$17="Distrato",$I$38-1,0)),IF(AND($L$711=0,$P$708=0),"",$L$711-1),IF($R$17="Distrato",$E823,0))),0,YEARFRAC(MAX($P$708*($B823+IF($R$17="Distrato",$I$38-1,0)),IF(AND($L$711=0,$P$708=0),"",$L$711-1),IF($R$17="Distrato",$E823,0)),MIN(AZ$38,$D$19),$P$20))-SUM($P823:AY823)</f>
        <v>#VALUE!</v>
      </c>
      <c r="BA823" s="446" t="e">
        <f>IF(OR($B823="",MIN(BA$38,$D$19)&lt;MAX($P$708*($B823+IF($R$17="Distrato",$I$38-1,0)),IF(AND($L$711=0,$P$708=0),"",$L$711-1),IF($R$17="Distrato",$E823,0))),0,YEARFRAC(MAX($P$708*($B823+IF($R$17="Distrato",$I$38-1,0)),IF(AND($L$711=0,$P$708=0),"",$L$711-1),IF($R$17="Distrato",$E823,0)),MIN(BA$38,$D$19),$P$20))-SUM($P823:AZ823)</f>
        <v>#VALUE!</v>
      </c>
      <c r="BB823" s="447"/>
    </row>
    <row r="824" spans="1:54" s="446" customFormat="1" ht="11.25" hidden="1" customHeight="1" x14ac:dyDescent="0.2">
      <c r="A824" s="235"/>
      <c r="B824" s="236"/>
      <c r="C824" s="29" t="str">
        <f>IF(B824="","",IF($L$709=$BL$25,VLOOKUP(DATE(YEAR($D$19),MONTH($D$19)-1,1),ÍNDICES!$A:$DE,HLOOKUP($BL$25,ÍNDICES!$B$3:$T$4,2)+11)-VLOOKUP(B824,ÍNDICES!$A:$DE,HLOOKUP($BL$25,ÍNDICES!$B$3:$T$4,2)+11)+1%,IF(C$712=$W$26,$J$35,IF(ISERROR(IF(B824&gt;$D$19,1,VLOOKUP(DATE(YEAR(B824),MONTH(B824)+IF($C$709=$S$23,1,0),1),ÍNDICES!$A:$DE,$Z$709+1))),"",IF(B824&gt;$D$19,1,VLOOKUP(DATE(YEAR(B824),MONTH(B824)+IF($C$709=$S$23,1,0),1),ÍNDICES!$A:$DE,$Z$709+1))))))</f>
        <v/>
      </c>
      <c r="D824" s="155"/>
      <c r="E824" s="88"/>
      <c r="F824" s="88"/>
      <c r="G824" s="88"/>
      <c r="H824" s="118"/>
      <c r="I824" s="182">
        <f t="shared" si="122"/>
        <v>0</v>
      </c>
      <c r="J824" s="20">
        <f t="shared" ca="1" si="123"/>
        <v>0</v>
      </c>
      <c r="K824" s="5">
        <f t="shared" ca="1" si="124"/>
        <v>0</v>
      </c>
      <c r="L824" s="61">
        <f t="shared" ca="1" si="125"/>
        <v>0</v>
      </c>
      <c r="M824" s="64">
        <f t="shared" si="126"/>
        <v>0</v>
      </c>
      <c r="N824" s="151"/>
      <c r="O824" s="5">
        <f t="shared" ca="1" si="127"/>
        <v>0</v>
      </c>
      <c r="P824" s="446" t="e">
        <f t="shared" si="128"/>
        <v>#VALUE!</v>
      </c>
      <c r="Q824" s="446" t="e">
        <f>IF(OR($B824="",MIN(Q$38,$D$19)&lt;MAX($P$708*($B824+IF($R$17="Distrato",$I$38-1,0)),IF(AND($L$711=0,$P$708=0),"",$L$711-1),IF($R$17="Distrato",$E824,0))),0,YEARFRAC(MAX($P$708*($B824+IF($R$17="Distrato",$I$38-1,0)),IF(AND($L$711=0,$P$708=0),"",$L$711-1),IF($R$17="Distrato",$E824,0)),MIN(Q$38,$D$19),$P$20))-SUM($P824:P824)</f>
        <v>#VALUE!</v>
      </c>
      <c r="R824" s="446" t="e">
        <f>IF(OR($B824="",MIN(R$38,$D$19)&lt;MAX($P$708*($B824+IF($R$17="Distrato",$I$38-1,0)),IF(AND($L$711=0,$P$708=0),"",$L$711-1),IF($R$17="Distrato",$E824,0))),0,YEARFRAC(MAX($P$708*($B824+IF($R$17="Distrato",$I$38-1,0)),IF(AND($L$711=0,$P$708=0),"",$L$711-1),IF($R$17="Distrato",$E824,0)),MIN(R$38,$D$19),$P$20))-SUM($P824:Q824)</f>
        <v>#VALUE!</v>
      </c>
      <c r="S824" s="446" t="e">
        <f>IF(OR($B824="",MIN(S$38,$D$19)&lt;MAX($P$708*($B824+IF($R$17="Distrato",$I$38-1,0)),IF(AND($L$711=0,$P$708=0),"",$L$711-1),IF($R$17="Distrato",$E824,0))),0,YEARFRAC(MAX($P$708*($B824+IF($R$17="Distrato",$I$38-1,0)),IF(AND($L$711=0,$P$708=0),"",$L$711-1),IF($R$17="Distrato",$E824,0)),MIN(S$38,$D$19),$P$20))-SUM($P824:R824)</f>
        <v>#VALUE!</v>
      </c>
      <c r="T824" s="446" t="e">
        <f>IF(OR($B824="",MIN(T$38,$D$19)&lt;MAX($P$708*($B824+IF($R$17="Distrato",$I$38-1,0)),IF(AND($L$711=0,$P$708=0),"",$L$711-1),IF($R$17="Distrato",$E824,0))),0,YEARFRAC(MAX($P$708*($B824+IF($R$17="Distrato",$I$38-1,0)),IF(AND($L$711=0,$P$708=0),"",$L$711-1),IF($R$17="Distrato",$E824,0)),MIN(T$38,$D$19),$P$20))-SUM($P824:S824)</f>
        <v>#VALUE!</v>
      </c>
      <c r="U824" s="446" t="e">
        <f>IF(OR($B824="",MIN(U$38,$D$19)&lt;MAX($P$708*($B824+IF($R$17="Distrato",$I$38-1,0)),IF(AND($L$711=0,$P$708=0),"",$L$711-1),IF($R$17="Distrato",$E824,0))),0,YEARFRAC(MAX($P$708*($B824+IF($R$17="Distrato",$I$38-1,0)),IF(AND($L$711=0,$P$708=0),"",$L$711-1),IF($R$17="Distrato",$E824,0)),MIN(U$38,$D$19),$P$20))-SUM($P824:T824)</f>
        <v>#VALUE!</v>
      </c>
      <c r="V824" s="446" t="e">
        <f>IF(OR($B824="",MIN(V$38,$D$19)&lt;MAX($P$708*($B824+IF($R$17="Distrato",$I$38-1,0)),IF(AND($L$711=0,$P$708=0),"",$L$711-1),IF($R$17="Distrato",$E824,0))),0,YEARFRAC(MAX($P$708*($B824+IF($R$17="Distrato",$I$38-1,0)),IF(AND($L$711=0,$P$708=0),"",$L$711-1),IF($R$17="Distrato",$E824,0)),MIN(V$38,$D$19),$P$20))-SUM($P824:U824)</f>
        <v>#VALUE!</v>
      </c>
      <c r="W824" s="446" t="e">
        <f>IF(OR($B824="",MIN(W$38,$D$19)&lt;MAX($P$708*($B824+IF($R$17="Distrato",$I$38-1,0)),IF(AND($L$711=0,$P$708=0),"",$L$711-1),IF($R$17="Distrato",$E824,0))),0,YEARFRAC(MAX($P$708*($B824+IF($R$17="Distrato",$I$38-1,0)),IF(AND($L$711=0,$P$708=0),"",$L$711-1),IF($R$17="Distrato",$E824,0)),MIN(W$38,$D$19),$P$20))-SUM($P824:V824)</f>
        <v>#VALUE!</v>
      </c>
      <c r="X824" s="446" t="e">
        <f>IF(OR($B824="",MIN(X$38,$D$19)&lt;MAX($P$708*($B824+IF($R$17="Distrato",$I$38-1,0)),IF(AND($L$711=0,$P$708=0),"",$L$711-1),IF($R$17="Distrato",$E824,0))),0,YEARFRAC(MAX($P$708*($B824+IF($R$17="Distrato",$I$38-1,0)),IF(AND($L$711=0,$P$708=0),"",$L$711-1),IF($R$17="Distrato",$E824,0)),MIN(X$38,$D$19),$P$20))-SUM($P824:W824)</f>
        <v>#VALUE!</v>
      </c>
      <c r="Y824" s="446" t="e">
        <f>IF(OR($B824="",MIN(Y$38,$D$19)&lt;MAX($P$708*($B824+IF($R$17="Distrato",$I$38-1,0)),IF(AND($L$711=0,$P$708=0),"",$L$711-1),IF($R$17="Distrato",$E824,0))),0,YEARFRAC(MAX($P$708*($B824+IF($R$17="Distrato",$I$38-1,0)),IF(AND($L$711=0,$P$708=0),"",$L$711-1),IF($R$17="Distrato",$E824,0)),MIN(Y$38,$D$19),$P$20))-SUM($P824:X824)</f>
        <v>#VALUE!</v>
      </c>
      <c r="Z824" s="446" t="e">
        <f>IF(OR($B824="",MIN(Z$38,$D$19)&lt;MAX($P$708*($B824+IF($R$17="Distrato",$I$38-1,0)),IF(AND($L$711=0,$P$708=0),"",$L$711-1),IF($R$17="Distrato",$E824,0))),0,YEARFRAC(MAX($P$708*($B824+IF($R$17="Distrato",$I$38-1,0)),IF(AND($L$711=0,$P$708=0),"",$L$711-1),IF($R$17="Distrato",$E824,0)),MIN(Z$38,$D$19),$P$20))-SUM($P824:Y824)</f>
        <v>#VALUE!</v>
      </c>
      <c r="AA824" s="446" t="e">
        <f>IF(OR($B824="",MIN(AA$38,$D$19)&lt;MAX($P$708*($B824+IF($R$17="Distrato",$I$38-1,0)),IF(AND($L$711=0,$P$708=0),"",$L$711-1),IF($R$17="Distrato",$E824,0))),0,YEARFRAC(MAX($P$708*($B824+IF($R$17="Distrato",$I$38-1,0)),IF(AND($L$711=0,$P$708=0),"",$L$711-1),IF($R$17="Distrato",$E824,0)),MIN(AA$38,$D$19),$P$20))-SUM($P824:Z824)</f>
        <v>#VALUE!</v>
      </c>
      <c r="AB824" s="446" t="e">
        <f>IF(OR($B824="",MIN(AB$38,$D$19)&lt;MAX($P$708*($B824+IF($R$17="Distrato",$I$38-1,0)),IF(AND($L$711=0,$P$708=0),"",$L$711-1),IF($R$17="Distrato",$E824,0))),0,YEARFRAC(MAX($P$708*($B824+IF($R$17="Distrato",$I$38-1,0)),IF(AND($L$711=0,$P$708=0),"",$L$711-1),IF($R$17="Distrato",$E824,0)),MIN(AB$38,$D$19),$P$20))-SUM($P824:AA824)</f>
        <v>#VALUE!</v>
      </c>
      <c r="AC824" s="446" t="e">
        <f>IF(OR($B824="",MIN(AC$38,$D$19)&lt;MAX($P$708*($B824+IF($R$17="Distrato",$I$38-1,0)),IF(AND($L$711=0,$P$708=0),"",$L$711-1),IF($R$17="Distrato",$E824,0))),0,YEARFRAC(MAX($P$708*($B824+IF($R$17="Distrato",$I$38-1,0)),IF(AND($L$711=0,$P$708=0),"",$L$711-1),IF($R$17="Distrato",$E824,0)),MIN(AC$38,$D$19),$P$20))-SUM($P824:AB824)</f>
        <v>#VALUE!</v>
      </c>
      <c r="AD824" s="446" t="e">
        <f>IF(OR($B824="",MIN(AD$38,$D$19)&lt;MAX($P$708*($B824+IF($R$17="Distrato",$I$38-1,0)),IF(AND($L$711=0,$P$708=0),"",$L$711-1),IF($R$17="Distrato",$E824,0))),0,YEARFRAC(MAX($P$708*($B824+IF($R$17="Distrato",$I$38-1,0)),IF(AND($L$711=0,$P$708=0),"",$L$711-1),IF($R$17="Distrato",$E824,0)),MIN(AD$38,$D$19),$P$20))-SUM($P824:AC824)</f>
        <v>#VALUE!</v>
      </c>
      <c r="AE824" s="446" t="e">
        <f>IF(OR($B824="",MIN(AE$38,$D$19)&lt;MAX($P$708*($B824+IF($R$17="Distrato",$I$38-1,0)),IF(AND($L$711=0,$P$708=0),"",$L$711-1),IF($R$17="Distrato",$E824,0))),0,YEARFRAC(MAX($P$708*($B824+IF($R$17="Distrato",$I$38-1,0)),IF(AND($L$711=0,$P$708=0),"",$L$711-1),IF($R$17="Distrato",$E824,0)),MIN(AE$38,$D$19),$P$20))-SUM($P824:AD824)</f>
        <v>#VALUE!</v>
      </c>
      <c r="AF824" s="446" t="e">
        <f>IF(OR($B824="",MIN(AF$38,$D$19)&lt;MAX($P$708*($B824+IF($R$17="Distrato",$I$38-1,0)),IF(AND($L$711=0,$P$708=0),"",$L$711-1),IF($R$17="Distrato",$E824,0))),0,YEARFRAC(MAX($P$708*($B824+IF($R$17="Distrato",$I$38-1,0)),IF(AND($L$711=0,$P$708=0),"",$L$711-1),IF($R$17="Distrato",$E824,0)),MIN(AF$38,$D$19),$P$20))-SUM($P824:AE824)</f>
        <v>#VALUE!</v>
      </c>
      <c r="AG824" s="446" t="e">
        <f>IF(OR($B824="",MIN(AG$38,$D$19)&lt;MAX($P$708*($B824+IF($R$17="Distrato",$I$38-1,0)),IF(AND($L$711=0,$P$708=0),"",$L$711-1),IF($R$17="Distrato",$E824,0))),0,YEARFRAC(MAX($P$708*($B824+IF($R$17="Distrato",$I$38-1,0)),IF(AND($L$711=0,$P$708=0),"",$L$711-1),IF($R$17="Distrato",$E824,0)),MIN(AG$38,$D$19),$P$20))-SUM($P824:AF824)</f>
        <v>#VALUE!</v>
      </c>
      <c r="AH824" s="446" t="e">
        <f>IF(OR($B824="",MIN(AH$38,$D$19)&lt;MAX($P$708*($B824+IF($R$17="Distrato",$I$38-1,0)),IF(AND($L$711=0,$P$708=0),"",$L$711-1),IF($R$17="Distrato",$E824,0))),0,YEARFRAC(MAX($P$708*($B824+IF($R$17="Distrato",$I$38-1,0)),IF(AND($L$711=0,$P$708=0),"",$L$711-1),IF($R$17="Distrato",$E824,0)),MIN(AH$38,$D$19),$P$20))-SUM($P824:AG824)</f>
        <v>#VALUE!</v>
      </c>
      <c r="AI824" s="446" t="e">
        <f>IF(OR($B824="",MIN(AI$38,$D$19)&lt;MAX($P$708*($B824+IF($R$17="Distrato",$I$38-1,0)),IF(AND($L$711=0,$P$708=0),"",$L$711-1),IF($R$17="Distrato",$E824,0))),0,YEARFRAC(MAX($P$708*($B824+IF($R$17="Distrato",$I$38-1,0)),IF(AND($L$711=0,$P$708=0),"",$L$711-1),IF($R$17="Distrato",$E824,0)),MIN(AI$38,$D$19),$P$20))-SUM($P824:AH824)</f>
        <v>#VALUE!</v>
      </c>
      <c r="AJ824" s="446" t="e">
        <f>IF(OR($B824="",MIN(AJ$38,$D$19)&lt;MAX($P$708*($B824+IF($R$17="Distrato",$I$38-1,0)),IF(AND($L$711=0,$P$708=0),"",$L$711-1),IF($R$17="Distrato",$E824,0))),0,YEARFRAC(MAX($P$708*($B824+IF($R$17="Distrato",$I$38-1,0)),IF(AND($L$711=0,$P$708=0),"",$L$711-1),IF($R$17="Distrato",$E824,0)),MIN(AJ$38,$D$19),$P$20))-SUM($P824:AI824)</f>
        <v>#VALUE!</v>
      </c>
      <c r="AK824" s="446" t="e">
        <f>IF(OR($B824="",MIN(AK$38,$D$19)&lt;MAX($P$708*($B824+IF($R$17="Distrato",$I$38-1,0)),IF(AND($L$711=0,$P$708=0),"",$L$711-1),IF($R$17="Distrato",$E824,0))),0,YEARFRAC(MAX($P$708*($B824+IF($R$17="Distrato",$I$38-1,0)),IF(AND($L$711=0,$P$708=0),"",$L$711-1),IF($R$17="Distrato",$E824,0)),MIN(AK$38,$D$19),$P$20))-SUM($P824:AJ824)</f>
        <v>#VALUE!</v>
      </c>
      <c r="AL824" s="446" t="e">
        <f>IF(OR($B824="",MIN(AL$38,$D$19)&lt;MAX($P$708*($B824+IF($R$17="Distrato",$I$38-1,0)),IF(AND($L$711=0,$P$708=0),"",$L$711-1),IF($R$17="Distrato",$E824,0))),0,YEARFRAC(MAX($P$708*($B824+IF($R$17="Distrato",$I$38-1,0)),IF(AND($L$711=0,$P$708=0),"",$L$711-1),IF($R$17="Distrato",$E824,0)),MIN(AL$38,$D$19),$P$20))-SUM($P824:AK824)</f>
        <v>#VALUE!</v>
      </c>
      <c r="AM824" s="446" t="e">
        <f>IF(OR($B824="",MIN(AM$38,$D$19)&lt;MAX($P$708*($B824+IF($R$17="Distrato",$I$38-1,0)),IF(AND($L$711=0,$P$708=0),"",$L$711-1),IF($R$17="Distrato",$E824,0))),0,YEARFRAC(MAX($P$708*($B824+IF($R$17="Distrato",$I$38-1,0)),IF(AND($L$711=0,$P$708=0),"",$L$711-1),IF($R$17="Distrato",$E824,0)),MIN(AM$38,$D$19),$P$20))-SUM($P824:AL824)</f>
        <v>#VALUE!</v>
      </c>
      <c r="AN824" s="446" t="e">
        <f>IF(OR($B824="",MIN(AN$38,$D$19)&lt;MAX($P$708*($B824+IF($R$17="Distrato",$I$38-1,0)),IF(AND($L$711=0,$P$708=0),"",$L$711-1),IF($R$17="Distrato",$E824,0))),0,YEARFRAC(MAX($P$708*($B824+IF($R$17="Distrato",$I$38-1,0)),IF(AND($L$711=0,$P$708=0),"",$L$711-1),IF($R$17="Distrato",$E824,0)),MIN(AN$38,$D$19),$P$20))-SUM($P824:AM824)</f>
        <v>#VALUE!</v>
      </c>
      <c r="AO824" s="446" t="e">
        <f>IF(OR($B824="",MIN(AO$38,$D$19)&lt;MAX($P$708*($B824+IF($R$17="Distrato",$I$38-1,0)),IF(AND($L$711=0,$P$708=0),"",$L$711-1),IF($R$17="Distrato",$E824,0))),0,YEARFRAC(MAX($P$708*($B824+IF($R$17="Distrato",$I$38-1,0)),IF(AND($L$711=0,$P$708=0),"",$L$711-1),IF($R$17="Distrato",$E824,0)),MIN(AO$38,$D$19),$P$20))-SUM($P824:AN824)</f>
        <v>#VALUE!</v>
      </c>
      <c r="AP824" s="446" t="e">
        <f>IF(OR($B824="",MIN(AP$38,$D$19)&lt;MAX($P$708*($B824+IF($R$17="Distrato",$I$38-1,0)),IF(AND($L$711=0,$P$708=0),"",$L$711-1),IF($R$17="Distrato",$E824,0))),0,YEARFRAC(MAX($P$708*($B824+IF($R$17="Distrato",$I$38-1,0)),IF(AND($L$711=0,$P$708=0),"",$L$711-1),IF($R$17="Distrato",$E824,0)),MIN(AP$38,$D$19),$P$20))-SUM($P824:AO824)</f>
        <v>#VALUE!</v>
      </c>
      <c r="AQ824" s="446" t="e">
        <f>IF(OR($B824="",MIN(AQ$38,$D$19)&lt;MAX($P$708*($B824+IF($R$17="Distrato",$I$38-1,0)),IF(AND($L$711=0,$P$708=0),"",$L$711-1),IF($R$17="Distrato",$E824,0))),0,YEARFRAC(MAX($P$708*($B824+IF($R$17="Distrato",$I$38-1,0)),IF(AND($L$711=0,$P$708=0),"",$L$711-1),IF($R$17="Distrato",$E824,0)),MIN(AQ$38,$D$19),$P$20))-SUM($P824:AP824)</f>
        <v>#VALUE!</v>
      </c>
      <c r="AR824" s="446" t="e">
        <f>IF(OR($B824="",MIN(AR$38,$D$19)&lt;MAX($P$708*($B824+IF($R$17="Distrato",$I$38-1,0)),IF(AND($L$711=0,$P$708=0),"",$L$711-1),IF($R$17="Distrato",$E824,0))),0,YEARFRAC(MAX($P$708*($B824+IF($R$17="Distrato",$I$38-1,0)),IF(AND($L$711=0,$P$708=0),"",$L$711-1),IF($R$17="Distrato",$E824,0)),MIN(AR$38,$D$19),$P$20))-SUM($P824:AQ824)</f>
        <v>#VALUE!</v>
      </c>
      <c r="AS824" s="446" t="e">
        <f>IF(OR($B824="",MIN(AS$38,$D$19)&lt;MAX($P$708*($B824+IF($R$17="Distrato",$I$38-1,0)),IF(AND($L$711=0,$P$708=0),"",$L$711-1),IF($R$17="Distrato",$E824,0))),0,YEARFRAC(MAX($P$708*($B824+IF($R$17="Distrato",$I$38-1,0)),IF(AND($L$711=0,$P$708=0),"",$L$711-1),IF($R$17="Distrato",$E824,0)),MIN(AS$38,$D$19),$P$20))-SUM($P824:AR824)</f>
        <v>#VALUE!</v>
      </c>
      <c r="AT824" s="446" t="e">
        <f>IF(OR($B824="",MIN(AT$38,$D$19)&lt;MAX($P$708*($B824+IF($R$17="Distrato",$I$38-1,0)),IF(AND($L$711=0,$P$708=0),"",$L$711-1),IF($R$17="Distrato",$E824,0))),0,YEARFRAC(MAX($P$708*($B824+IF($R$17="Distrato",$I$38-1,0)),IF(AND($L$711=0,$P$708=0),"",$L$711-1),IF($R$17="Distrato",$E824,0)),MIN(AT$38,$D$19),$P$20))-SUM($P824:AS824)</f>
        <v>#VALUE!</v>
      </c>
      <c r="AU824" s="446" t="e">
        <f>IF(OR($B824="",MIN(AU$38,$D$19)&lt;MAX($P$708*($B824+IF($R$17="Distrato",$I$38-1,0)),IF(AND($L$711=0,$P$708=0),"",$L$711-1),IF($R$17="Distrato",$E824,0))),0,YEARFRAC(MAX($P$708*($B824+IF($R$17="Distrato",$I$38-1,0)),IF(AND($L$711=0,$P$708=0),"",$L$711-1),IF($R$17="Distrato",$E824,0)),MIN(AU$38,$D$19),$P$20))-SUM($P824:AT824)</f>
        <v>#VALUE!</v>
      </c>
      <c r="AV824" s="446" t="e">
        <f>IF(OR($B824="",MIN(AV$38,$D$19)&lt;MAX($P$708*($B824+IF($R$17="Distrato",$I$38-1,0)),IF(AND($L$711=0,$P$708=0),"",$L$711-1),IF($R$17="Distrato",$E824,0))),0,YEARFRAC(MAX($P$708*($B824+IF($R$17="Distrato",$I$38-1,0)),IF(AND($L$711=0,$P$708=0),"",$L$711-1),IF($R$17="Distrato",$E824,0)),MIN(AV$38,$D$19),$P$20))-SUM($P824:AU824)</f>
        <v>#VALUE!</v>
      </c>
      <c r="AW824" s="446" t="e">
        <f>IF(OR($B824="",MIN(AW$38,$D$19)&lt;MAX($P$708*($B824+IF($R$17="Distrato",$I$38-1,0)),IF(AND($L$711=0,$P$708=0),"",$L$711-1),IF($R$17="Distrato",$E824,0))),0,YEARFRAC(MAX($P$708*($B824+IF($R$17="Distrato",$I$38-1,0)),IF(AND($L$711=0,$P$708=0),"",$L$711-1),IF($R$17="Distrato",$E824,0)),MIN(AW$38,$D$19),$P$20))-SUM($P824:AV824)</f>
        <v>#VALUE!</v>
      </c>
      <c r="AX824" s="446" t="e">
        <f>IF(OR($B824="",MIN(AX$38,$D$19)&lt;MAX($P$708*($B824+IF($R$17="Distrato",$I$38-1,0)),IF(AND($L$711=0,$P$708=0),"",$L$711-1),IF($R$17="Distrato",$E824,0))),0,YEARFRAC(MAX($P$708*($B824+IF($R$17="Distrato",$I$38-1,0)),IF(AND($L$711=0,$P$708=0),"",$L$711-1),IF($R$17="Distrato",$E824,0)),MIN(AX$38,$D$19),$P$20))-SUM($P824:AW824)</f>
        <v>#VALUE!</v>
      </c>
      <c r="AY824" s="446" t="e">
        <f>IF(OR($B824="",MIN(AY$38,$D$19)&lt;MAX($P$708*($B824+IF($R$17="Distrato",$I$38-1,0)),IF(AND($L$711=0,$P$708=0),"",$L$711-1),IF($R$17="Distrato",$E824,0))),0,YEARFRAC(MAX($P$708*($B824+IF($R$17="Distrato",$I$38-1,0)),IF(AND($L$711=0,$P$708=0),"",$L$711-1),IF($R$17="Distrato",$E824,0)),MIN(AY$38,$D$19),$P$20))-SUM($P824:AX824)</f>
        <v>#VALUE!</v>
      </c>
      <c r="AZ824" s="446" t="e">
        <f>IF(OR($B824="",MIN(AZ$38,$D$19)&lt;MAX($P$708*($B824+IF($R$17="Distrato",$I$38-1,0)),IF(AND($L$711=0,$P$708=0),"",$L$711-1),IF($R$17="Distrato",$E824,0))),0,YEARFRAC(MAX($P$708*($B824+IF($R$17="Distrato",$I$38-1,0)),IF(AND($L$711=0,$P$708=0),"",$L$711-1),IF($R$17="Distrato",$E824,0)),MIN(AZ$38,$D$19),$P$20))-SUM($P824:AY824)</f>
        <v>#VALUE!</v>
      </c>
      <c r="BA824" s="446" t="e">
        <f>IF(OR($B824="",MIN(BA$38,$D$19)&lt;MAX($P$708*($B824+IF($R$17="Distrato",$I$38-1,0)),IF(AND($L$711=0,$P$708=0),"",$L$711-1),IF($R$17="Distrato",$E824,0))),0,YEARFRAC(MAX($P$708*($B824+IF($R$17="Distrato",$I$38-1,0)),IF(AND($L$711=0,$P$708=0),"",$L$711-1),IF($R$17="Distrato",$E824,0)),MIN(BA$38,$D$19),$P$20))-SUM($P824:AZ824)</f>
        <v>#VALUE!</v>
      </c>
      <c r="BB824" s="447"/>
    </row>
    <row r="825" spans="1:54" s="446" customFormat="1" ht="11.25" hidden="1" customHeight="1" x14ac:dyDescent="0.2">
      <c r="A825" s="235"/>
      <c r="B825" s="236"/>
      <c r="C825" s="29" t="str">
        <f>IF(B825="","",IF($L$709=$BL$25,VLOOKUP(DATE(YEAR($D$19),MONTH($D$19)-1,1),ÍNDICES!$A:$DE,HLOOKUP($BL$25,ÍNDICES!$B$3:$T$4,2)+11)-VLOOKUP(B825,ÍNDICES!$A:$DE,HLOOKUP($BL$25,ÍNDICES!$B$3:$T$4,2)+11)+1%,IF(C$712=$W$26,$J$35,IF(ISERROR(IF(B825&gt;$D$19,1,VLOOKUP(DATE(YEAR(B825),MONTH(B825)+IF($C$709=$S$23,1,0),1),ÍNDICES!$A:$DE,$Z$709+1))),"",IF(B825&gt;$D$19,1,VLOOKUP(DATE(YEAR(B825),MONTH(B825)+IF($C$709=$S$23,1,0),1),ÍNDICES!$A:$DE,$Z$709+1))))))</f>
        <v/>
      </c>
      <c r="D825" s="155"/>
      <c r="E825" s="88"/>
      <c r="F825" s="88"/>
      <c r="G825" s="88"/>
      <c r="H825" s="118"/>
      <c r="I825" s="182">
        <f t="shared" si="122"/>
        <v>0</v>
      </c>
      <c r="J825" s="20">
        <f t="shared" ca="1" si="123"/>
        <v>0</v>
      </c>
      <c r="K825" s="5">
        <f t="shared" ca="1" si="124"/>
        <v>0</v>
      </c>
      <c r="L825" s="61">
        <f t="shared" ca="1" si="125"/>
        <v>0</v>
      </c>
      <c r="M825" s="64">
        <f t="shared" si="126"/>
        <v>0</v>
      </c>
      <c r="N825" s="151"/>
      <c r="O825" s="5">
        <f t="shared" ca="1" si="127"/>
        <v>0</v>
      </c>
      <c r="P825" s="446" t="e">
        <f t="shared" si="128"/>
        <v>#VALUE!</v>
      </c>
      <c r="Q825" s="446" t="e">
        <f>IF(OR($B825="",MIN(Q$38,$D$19)&lt;MAX($P$708*($B825+IF($R$17="Distrato",$I$38-1,0)),IF(AND($L$711=0,$P$708=0),"",$L$711-1),IF($R$17="Distrato",$E825,0))),0,YEARFRAC(MAX($P$708*($B825+IF($R$17="Distrato",$I$38-1,0)),IF(AND($L$711=0,$P$708=0),"",$L$711-1),IF($R$17="Distrato",$E825,0)),MIN(Q$38,$D$19),$P$20))-SUM($P825:P825)</f>
        <v>#VALUE!</v>
      </c>
      <c r="R825" s="446" t="e">
        <f>IF(OR($B825="",MIN(R$38,$D$19)&lt;MAX($P$708*($B825+IF($R$17="Distrato",$I$38-1,0)),IF(AND($L$711=0,$P$708=0),"",$L$711-1),IF($R$17="Distrato",$E825,0))),0,YEARFRAC(MAX($P$708*($B825+IF($R$17="Distrato",$I$38-1,0)),IF(AND($L$711=0,$P$708=0),"",$L$711-1),IF($R$17="Distrato",$E825,0)),MIN(R$38,$D$19),$P$20))-SUM($P825:Q825)</f>
        <v>#VALUE!</v>
      </c>
      <c r="S825" s="446" t="e">
        <f>IF(OR($B825="",MIN(S$38,$D$19)&lt;MAX($P$708*($B825+IF($R$17="Distrato",$I$38-1,0)),IF(AND($L$711=0,$P$708=0),"",$L$711-1),IF($R$17="Distrato",$E825,0))),0,YEARFRAC(MAX($P$708*($B825+IF($R$17="Distrato",$I$38-1,0)),IF(AND($L$711=0,$P$708=0),"",$L$711-1),IF($R$17="Distrato",$E825,0)),MIN(S$38,$D$19),$P$20))-SUM($P825:R825)</f>
        <v>#VALUE!</v>
      </c>
      <c r="T825" s="446" t="e">
        <f>IF(OR($B825="",MIN(T$38,$D$19)&lt;MAX($P$708*($B825+IF($R$17="Distrato",$I$38-1,0)),IF(AND($L$711=0,$P$708=0),"",$L$711-1),IF($R$17="Distrato",$E825,0))),0,YEARFRAC(MAX($P$708*($B825+IF($R$17="Distrato",$I$38-1,0)),IF(AND($L$711=0,$P$708=0),"",$L$711-1),IF($R$17="Distrato",$E825,0)),MIN(T$38,$D$19),$P$20))-SUM($P825:S825)</f>
        <v>#VALUE!</v>
      </c>
      <c r="U825" s="446" t="e">
        <f>IF(OR($B825="",MIN(U$38,$D$19)&lt;MAX($P$708*($B825+IF($R$17="Distrato",$I$38-1,0)),IF(AND($L$711=0,$P$708=0),"",$L$711-1),IF($R$17="Distrato",$E825,0))),0,YEARFRAC(MAX($P$708*($B825+IF($R$17="Distrato",$I$38-1,0)),IF(AND($L$711=0,$P$708=0),"",$L$711-1),IF($R$17="Distrato",$E825,0)),MIN(U$38,$D$19),$P$20))-SUM($P825:T825)</f>
        <v>#VALUE!</v>
      </c>
      <c r="V825" s="446" t="e">
        <f>IF(OR($B825="",MIN(V$38,$D$19)&lt;MAX($P$708*($B825+IF($R$17="Distrato",$I$38-1,0)),IF(AND($L$711=0,$P$708=0),"",$L$711-1),IF($R$17="Distrato",$E825,0))),0,YEARFRAC(MAX($P$708*($B825+IF($R$17="Distrato",$I$38-1,0)),IF(AND($L$711=0,$P$708=0),"",$L$711-1),IF($R$17="Distrato",$E825,0)),MIN(V$38,$D$19),$P$20))-SUM($P825:U825)</f>
        <v>#VALUE!</v>
      </c>
      <c r="W825" s="446" t="e">
        <f>IF(OR($B825="",MIN(W$38,$D$19)&lt;MAX($P$708*($B825+IF($R$17="Distrato",$I$38-1,0)),IF(AND($L$711=0,$P$708=0),"",$L$711-1),IF($R$17="Distrato",$E825,0))),0,YEARFRAC(MAX($P$708*($B825+IF($R$17="Distrato",$I$38-1,0)),IF(AND($L$711=0,$P$708=0),"",$L$711-1),IF($R$17="Distrato",$E825,0)),MIN(W$38,$D$19),$P$20))-SUM($P825:V825)</f>
        <v>#VALUE!</v>
      </c>
      <c r="X825" s="446" t="e">
        <f>IF(OR($B825="",MIN(X$38,$D$19)&lt;MAX($P$708*($B825+IF($R$17="Distrato",$I$38-1,0)),IF(AND($L$711=0,$P$708=0),"",$L$711-1),IF($R$17="Distrato",$E825,0))),0,YEARFRAC(MAX($P$708*($B825+IF($R$17="Distrato",$I$38-1,0)),IF(AND($L$711=0,$P$708=0),"",$L$711-1),IF($R$17="Distrato",$E825,0)),MIN(X$38,$D$19),$P$20))-SUM($P825:W825)</f>
        <v>#VALUE!</v>
      </c>
      <c r="Y825" s="446" t="e">
        <f>IF(OR($B825="",MIN(Y$38,$D$19)&lt;MAX($P$708*($B825+IF($R$17="Distrato",$I$38-1,0)),IF(AND($L$711=0,$P$708=0),"",$L$711-1),IF($R$17="Distrato",$E825,0))),0,YEARFRAC(MAX($P$708*($B825+IF($R$17="Distrato",$I$38-1,0)),IF(AND($L$711=0,$P$708=0),"",$L$711-1),IF($R$17="Distrato",$E825,0)),MIN(Y$38,$D$19),$P$20))-SUM($P825:X825)</f>
        <v>#VALUE!</v>
      </c>
      <c r="Z825" s="446" t="e">
        <f>IF(OR($B825="",MIN(Z$38,$D$19)&lt;MAX($P$708*($B825+IF($R$17="Distrato",$I$38-1,0)),IF(AND($L$711=0,$P$708=0),"",$L$711-1),IF($R$17="Distrato",$E825,0))),0,YEARFRAC(MAX($P$708*($B825+IF($R$17="Distrato",$I$38-1,0)),IF(AND($L$711=0,$P$708=0),"",$L$711-1),IF($R$17="Distrato",$E825,0)),MIN(Z$38,$D$19),$P$20))-SUM($P825:Y825)</f>
        <v>#VALUE!</v>
      </c>
      <c r="AA825" s="446" t="e">
        <f>IF(OR($B825="",MIN(AA$38,$D$19)&lt;MAX($P$708*($B825+IF($R$17="Distrato",$I$38-1,0)),IF(AND($L$711=0,$P$708=0),"",$L$711-1),IF($R$17="Distrato",$E825,0))),0,YEARFRAC(MAX($P$708*($B825+IF($R$17="Distrato",$I$38-1,0)),IF(AND($L$711=0,$P$708=0),"",$L$711-1),IF($R$17="Distrato",$E825,0)),MIN(AA$38,$D$19),$P$20))-SUM($P825:Z825)</f>
        <v>#VALUE!</v>
      </c>
      <c r="AB825" s="446" t="e">
        <f>IF(OR($B825="",MIN(AB$38,$D$19)&lt;MAX($P$708*($B825+IF($R$17="Distrato",$I$38-1,0)),IF(AND($L$711=0,$P$708=0),"",$L$711-1),IF($R$17="Distrato",$E825,0))),0,YEARFRAC(MAX($P$708*($B825+IF($R$17="Distrato",$I$38-1,0)),IF(AND($L$711=0,$P$708=0),"",$L$711-1),IF($R$17="Distrato",$E825,0)),MIN(AB$38,$D$19),$P$20))-SUM($P825:AA825)</f>
        <v>#VALUE!</v>
      </c>
      <c r="AC825" s="446" t="e">
        <f>IF(OR($B825="",MIN(AC$38,$D$19)&lt;MAX($P$708*($B825+IF($R$17="Distrato",$I$38-1,0)),IF(AND($L$711=0,$P$708=0),"",$L$711-1),IF($R$17="Distrato",$E825,0))),0,YEARFRAC(MAX($P$708*($B825+IF($R$17="Distrato",$I$38-1,0)),IF(AND($L$711=0,$P$708=0),"",$L$711-1),IF($R$17="Distrato",$E825,0)),MIN(AC$38,$D$19),$P$20))-SUM($P825:AB825)</f>
        <v>#VALUE!</v>
      </c>
      <c r="AD825" s="446" t="e">
        <f>IF(OR($B825="",MIN(AD$38,$D$19)&lt;MAX($P$708*($B825+IF($R$17="Distrato",$I$38-1,0)),IF(AND($L$711=0,$P$708=0),"",$L$711-1),IF($R$17="Distrato",$E825,0))),0,YEARFRAC(MAX($P$708*($B825+IF($R$17="Distrato",$I$38-1,0)),IF(AND($L$711=0,$P$708=0),"",$L$711-1),IF($R$17="Distrato",$E825,0)),MIN(AD$38,$D$19),$P$20))-SUM($P825:AC825)</f>
        <v>#VALUE!</v>
      </c>
      <c r="AE825" s="446" t="e">
        <f>IF(OR($B825="",MIN(AE$38,$D$19)&lt;MAX($P$708*($B825+IF($R$17="Distrato",$I$38-1,0)),IF(AND($L$711=0,$P$708=0),"",$L$711-1),IF($R$17="Distrato",$E825,0))),0,YEARFRAC(MAX($P$708*($B825+IF($R$17="Distrato",$I$38-1,0)),IF(AND($L$711=0,$P$708=0),"",$L$711-1),IF($R$17="Distrato",$E825,0)),MIN(AE$38,$D$19),$P$20))-SUM($P825:AD825)</f>
        <v>#VALUE!</v>
      </c>
      <c r="AF825" s="446" t="e">
        <f>IF(OR($B825="",MIN(AF$38,$D$19)&lt;MAX($P$708*($B825+IF($R$17="Distrato",$I$38-1,0)),IF(AND($L$711=0,$P$708=0),"",$L$711-1),IF($R$17="Distrato",$E825,0))),0,YEARFRAC(MAX($P$708*($B825+IF($R$17="Distrato",$I$38-1,0)),IF(AND($L$711=0,$P$708=0),"",$L$711-1),IF($R$17="Distrato",$E825,0)),MIN(AF$38,$D$19),$P$20))-SUM($P825:AE825)</f>
        <v>#VALUE!</v>
      </c>
      <c r="AG825" s="446" t="e">
        <f>IF(OR($B825="",MIN(AG$38,$D$19)&lt;MAX($P$708*($B825+IF($R$17="Distrato",$I$38-1,0)),IF(AND($L$711=0,$P$708=0),"",$L$711-1),IF($R$17="Distrato",$E825,0))),0,YEARFRAC(MAX($P$708*($B825+IF($R$17="Distrato",$I$38-1,0)),IF(AND($L$711=0,$P$708=0),"",$L$711-1),IF($R$17="Distrato",$E825,0)),MIN(AG$38,$D$19),$P$20))-SUM($P825:AF825)</f>
        <v>#VALUE!</v>
      </c>
      <c r="AH825" s="446" t="e">
        <f>IF(OR($B825="",MIN(AH$38,$D$19)&lt;MAX($P$708*($B825+IF($R$17="Distrato",$I$38-1,0)),IF(AND($L$711=0,$P$708=0),"",$L$711-1),IF($R$17="Distrato",$E825,0))),0,YEARFRAC(MAX($P$708*($B825+IF($R$17="Distrato",$I$38-1,0)),IF(AND($L$711=0,$P$708=0),"",$L$711-1),IF($R$17="Distrato",$E825,0)),MIN(AH$38,$D$19),$P$20))-SUM($P825:AG825)</f>
        <v>#VALUE!</v>
      </c>
      <c r="AI825" s="446" t="e">
        <f>IF(OR($B825="",MIN(AI$38,$D$19)&lt;MAX($P$708*($B825+IF($R$17="Distrato",$I$38-1,0)),IF(AND($L$711=0,$P$708=0),"",$L$711-1),IF($R$17="Distrato",$E825,0))),0,YEARFRAC(MAX($P$708*($B825+IF($R$17="Distrato",$I$38-1,0)),IF(AND($L$711=0,$P$708=0),"",$L$711-1),IF($R$17="Distrato",$E825,0)),MIN(AI$38,$D$19),$P$20))-SUM($P825:AH825)</f>
        <v>#VALUE!</v>
      </c>
      <c r="AJ825" s="446" t="e">
        <f>IF(OR($B825="",MIN(AJ$38,$D$19)&lt;MAX($P$708*($B825+IF($R$17="Distrato",$I$38-1,0)),IF(AND($L$711=0,$P$708=0),"",$L$711-1),IF($R$17="Distrato",$E825,0))),0,YEARFRAC(MAX($P$708*($B825+IF($R$17="Distrato",$I$38-1,0)),IF(AND($L$711=0,$P$708=0),"",$L$711-1),IF($R$17="Distrato",$E825,0)),MIN(AJ$38,$D$19),$P$20))-SUM($P825:AI825)</f>
        <v>#VALUE!</v>
      </c>
      <c r="AK825" s="446" t="e">
        <f>IF(OR($B825="",MIN(AK$38,$D$19)&lt;MAX($P$708*($B825+IF($R$17="Distrato",$I$38-1,0)),IF(AND($L$711=0,$P$708=0),"",$L$711-1),IF($R$17="Distrato",$E825,0))),0,YEARFRAC(MAX($P$708*($B825+IF($R$17="Distrato",$I$38-1,0)),IF(AND($L$711=0,$P$708=0),"",$L$711-1),IF($R$17="Distrato",$E825,0)),MIN(AK$38,$D$19),$P$20))-SUM($P825:AJ825)</f>
        <v>#VALUE!</v>
      </c>
      <c r="AL825" s="446" t="e">
        <f>IF(OR($B825="",MIN(AL$38,$D$19)&lt;MAX($P$708*($B825+IF($R$17="Distrato",$I$38-1,0)),IF(AND($L$711=0,$P$708=0),"",$L$711-1),IF($R$17="Distrato",$E825,0))),0,YEARFRAC(MAX($P$708*($B825+IF($R$17="Distrato",$I$38-1,0)),IF(AND($L$711=0,$P$708=0),"",$L$711-1),IF($R$17="Distrato",$E825,0)),MIN(AL$38,$D$19),$P$20))-SUM($P825:AK825)</f>
        <v>#VALUE!</v>
      </c>
      <c r="AM825" s="446" t="e">
        <f>IF(OR($B825="",MIN(AM$38,$D$19)&lt;MAX($P$708*($B825+IF($R$17="Distrato",$I$38-1,0)),IF(AND($L$711=0,$P$708=0),"",$L$711-1),IF($R$17="Distrato",$E825,0))),0,YEARFRAC(MAX($P$708*($B825+IF($R$17="Distrato",$I$38-1,0)),IF(AND($L$711=0,$P$708=0),"",$L$711-1),IF($R$17="Distrato",$E825,0)),MIN(AM$38,$D$19),$P$20))-SUM($P825:AL825)</f>
        <v>#VALUE!</v>
      </c>
      <c r="AN825" s="446" t="e">
        <f>IF(OR($B825="",MIN(AN$38,$D$19)&lt;MAX($P$708*($B825+IF($R$17="Distrato",$I$38-1,0)),IF(AND($L$711=0,$P$708=0),"",$L$711-1),IF($R$17="Distrato",$E825,0))),0,YEARFRAC(MAX($P$708*($B825+IF($R$17="Distrato",$I$38-1,0)),IF(AND($L$711=0,$P$708=0),"",$L$711-1),IF($R$17="Distrato",$E825,0)),MIN(AN$38,$D$19),$P$20))-SUM($P825:AM825)</f>
        <v>#VALUE!</v>
      </c>
      <c r="AO825" s="446" t="e">
        <f>IF(OR($B825="",MIN(AO$38,$D$19)&lt;MAX($P$708*($B825+IF($R$17="Distrato",$I$38-1,0)),IF(AND($L$711=0,$P$708=0),"",$L$711-1),IF($R$17="Distrato",$E825,0))),0,YEARFRAC(MAX($P$708*($B825+IF($R$17="Distrato",$I$38-1,0)),IF(AND($L$711=0,$P$708=0),"",$L$711-1),IF($R$17="Distrato",$E825,0)),MIN(AO$38,$D$19),$P$20))-SUM($P825:AN825)</f>
        <v>#VALUE!</v>
      </c>
      <c r="AP825" s="446" t="e">
        <f>IF(OR($B825="",MIN(AP$38,$D$19)&lt;MAX($P$708*($B825+IF($R$17="Distrato",$I$38-1,0)),IF(AND($L$711=0,$P$708=0),"",$L$711-1),IF($R$17="Distrato",$E825,0))),0,YEARFRAC(MAX($P$708*($B825+IF($R$17="Distrato",$I$38-1,0)),IF(AND($L$711=0,$P$708=0),"",$L$711-1),IF($R$17="Distrato",$E825,0)),MIN(AP$38,$D$19),$P$20))-SUM($P825:AO825)</f>
        <v>#VALUE!</v>
      </c>
      <c r="AQ825" s="446" t="e">
        <f>IF(OR($B825="",MIN(AQ$38,$D$19)&lt;MAX($P$708*($B825+IF($R$17="Distrato",$I$38-1,0)),IF(AND($L$711=0,$P$708=0),"",$L$711-1),IF($R$17="Distrato",$E825,0))),0,YEARFRAC(MAX($P$708*($B825+IF($R$17="Distrato",$I$38-1,0)),IF(AND($L$711=0,$P$708=0),"",$L$711-1),IF($R$17="Distrato",$E825,0)),MIN(AQ$38,$D$19),$P$20))-SUM($P825:AP825)</f>
        <v>#VALUE!</v>
      </c>
      <c r="AR825" s="446" t="e">
        <f>IF(OR($B825="",MIN(AR$38,$D$19)&lt;MAX($P$708*($B825+IF($R$17="Distrato",$I$38-1,0)),IF(AND($L$711=0,$P$708=0),"",$L$711-1),IF($R$17="Distrato",$E825,0))),0,YEARFRAC(MAX($P$708*($B825+IF($R$17="Distrato",$I$38-1,0)),IF(AND($L$711=0,$P$708=0),"",$L$711-1),IF($R$17="Distrato",$E825,0)),MIN(AR$38,$D$19),$P$20))-SUM($P825:AQ825)</f>
        <v>#VALUE!</v>
      </c>
      <c r="AS825" s="446" t="e">
        <f>IF(OR($B825="",MIN(AS$38,$D$19)&lt;MAX($P$708*($B825+IF($R$17="Distrato",$I$38-1,0)),IF(AND($L$711=0,$P$708=0),"",$L$711-1),IF($R$17="Distrato",$E825,0))),0,YEARFRAC(MAX($P$708*($B825+IF($R$17="Distrato",$I$38-1,0)),IF(AND($L$711=0,$P$708=0),"",$L$711-1),IF($R$17="Distrato",$E825,0)),MIN(AS$38,$D$19),$P$20))-SUM($P825:AR825)</f>
        <v>#VALUE!</v>
      </c>
      <c r="AT825" s="446" t="e">
        <f>IF(OR($B825="",MIN(AT$38,$D$19)&lt;MAX($P$708*($B825+IF($R$17="Distrato",$I$38-1,0)),IF(AND($L$711=0,$P$708=0),"",$L$711-1),IF($R$17="Distrato",$E825,0))),0,YEARFRAC(MAX($P$708*($B825+IF($R$17="Distrato",$I$38-1,0)),IF(AND($L$711=0,$P$708=0),"",$L$711-1),IF($R$17="Distrato",$E825,0)),MIN(AT$38,$D$19),$P$20))-SUM($P825:AS825)</f>
        <v>#VALUE!</v>
      </c>
      <c r="AU825" s="446" t="e">
        <f>IF(OR($B825="",MIN(AU$38,$D$19)&lt;MAX($P$708*($B825+IF($R$17="Distrato",$I$38-1,0)),IF(AND($L$711=0,$P$708=0),"",$L$711-1),IF($R$17="Distrato",$E825,0))),0,YEARFRAC(MAX($P$708*($B825+IF($R$17="Distrato",$I$38-1,0)),IF(AND($L$711=0,$P$708=0),"",$L$711-1),IF($R$17="Distrato",$E825,0)),MIN(AU$38,$D$19),$P$20))-SUM($P825:AT825)</f>
        <v>#VALUE!</v>
      </c>
      <c r="AV825" s="446" t="e">
        <f>IF(OR($B825="",MIN(AV$38,$D$19)&lt;MAX($P$708*($B825+IF($R$17="Distrato",$I$38-1,0)),IF(AND($L$711=0,$P$708=0),"",$L$711-1),IF($R$17="Distrato",$E825,0))),0,YEARFRAC(MAX($P$708*($B825+IF($R$17="Distrato",$I$38-1,0)),IF(AND($L$711=0,$P$708=0),"",$L$711-1),IF($R$17="Distrato",$E825,0)),MIN(AV$38,$D$19),$P$20))-SUM($P825:AU825)</f>
        <v>#VALUE!</v>
      </c>
      <c r="AW825" s="446" t="e">
        <f>IF(OR($B825="",MIN(AW$38,$D$19)&lt;MAX($P$708*($B825+IF($R$17="Distrato",$I$38-1,0)),IF(AND($L$711=0,$P$708=0),"",$L$711-1),IF($R$17="Distrato",$E825,0))),0,YEARFRAC(MAX($P$708*($B825+IF($R$17="Distrato",$I$38-1,0)),IF(AND($L$711=0,$P$708=0),"",$L$711-1),IF($R$17="Distrato",$E825,0)),MIN(AW$38,$D$19),$P$20))-SUM($P825:AV825)</f>
        <v>#VALUE!</v>
      </c>
      <c r="AX825" s="446" t="e">
        <f>IF(OR($B825="",MIN(AX$38,$D$19)&lt;MAX($P$708*($B825+IF($R$17="Distrato",$I$38-1,0)),IF(AND($L$711=0,$P$708=0),"",$L$711-1),IF($R$17="Distrato",$E825,0))),0,YEARFRAC(MAX($P$708*($B825+IF($R$17="Distrato",$I$38-1,0)),IF(AND($L$711=0,$P$708=0),"",$L$711-1),IF($R$17="Distrato",$E825,0)),MIN(AX$38,$D$19),$P$20))-SUM($P825:AW825)</f>
        <v>#VALUE!</v>
      </c>
      <c r="AY825" s="446" t="e">
        <f>IF(OR($B825="",MIN(AY$38,$D$19)&lt;MAX($P$708*($B825+IF($R$17="Distrato",$I$38-1,0)),IF(AND($L$711=0,$P$708=0),"",$L$711-1),IF($R$17="Distrato",$E825,0))),0,YEARFRAC(MAX($P$708*($B825+IF($R$17="Distrato",$I$38-1,0)),IF(AND($L$711=0,$P$708=0),"",$L$711-1),IF($R$17="Distrato",$E825,0)),MIN(AY$38,$D$19),$P$20))-SUM($P825:AX825)</f>
        <v>#VALUE!</v>
      </c>
      <c r="AZ825" s="446" t="e">
        <f>IF(OR($B825="",MIN(AZ$38,$D$19)&lt;MAX($P$708*($B825+IF($R$17="Distrato",$I$38-1,0)),IF(AND($L$711=0,$P$708=0),"",$L$711-1),IF($R$17="Distrato",$E825,0))),0,YEARFRAC(MAX($P$708*($B825+IF($R$17="Distrato",$I$38-1,0)),IF(AND($L$711=0,$P$708=0),"",$L$711-1),IF($R$17="Distrato",$E825,0)),MIN(AZ$38,$D$19),$P$20))-SUM($P825:AY825)</f>
        <v>#VALUE!</v>
      </c>
      <c r="BA825" s="446" t="e">
        <f>IF(OR($B825="",MIN(BA$38,$D$19)&lt;MAX($P$708*($B825+IF($R$17="Distrato",$I$38-1,0)),IF(AND($L$711=0,$P$708=0),"",$L$711-1),IF($R$17="Distrato",$E825,0))),0,YEARFRAC(MAX($P$708*($B825+IF($R$17="Distrato",$I$38-1,0)),IF(AND($L$711=0,$P$708=0),"",$L$711-1),IF($R$17="Distrato",$E825,0)),MIN(BA$38,$D$19),$P$20))-SUM($P825:AZ825)</f>
        <v>#VALUE!</v>
      </c>
      <c r="BB825" s="447"/>
    </row>
    <row r="826" spans="1:54" s="446" customFormat="1" ht="11.25" hidden="1" customHeight="1" x14ac:dyDescent="0.2">
      <c r="A826" s="235"/>
      <c r="B826" s="236"/>
      <c r="C826" s="29" t="str">
        <f>IF(B826="","",IF($L$709=$BL$25,VLOOKUP(DATE(YEAR($D$19),MONTH($D$19)-1,1),ÍNDICES!$A:$DE,HLOOKUP($BL$25,ÍNDICES!$B$3:$T$4,2)+11)-VLOOKUP(B826,ÍNDICES!$A:$DE,HLOOKUP($BL$25,ÍNDICES!$B$3:$T$4,2)+11)+1%,IF(C$712=$W$26,$J$35,IF(ISERROR(IF(B826&gt;$D$19,1,VLOOKUP(DATE(YEAR(B826),MONTH(B826)+IF($C$709=$S$23,1,0),1),ÍNDICES!$A:$DE,$Z$709+1))),"",IF(B826&gt;$D$19,1,VLOOKUP(DATE(YEAR(B826),MONTH(B826)+IF($C$709=$S$23,1,0),1),ÍNDICES!$A:$DE,$Z$709+1))))))</f>
        <v/>
      </c>
      <c r="D826" s="155"/>
      <c r="E826" s="88"/>
      <c r="F826" s="88"/>
      <c r="G826" s="88"/>
      <c r="H826" s="118"/>
      <c r="I826" s="182">
        <f t="shared" si="122"/>
        <v>0</v>
      </c>
      <c r="J826" s="20">
        <f t="shared" ca="1" si="123"/>
        <v>0</v>
      </c>
      <c r="K826" s="5">
        <f t="shared" ca="1" si="124"/>
        <v>0</v>
      </c>
      <c r="L826" s="61">
        <f t="shared" ca="1" si="125"/>
        <v>0</v>
      </c>
      <c r="M826" s="64">
        <f t="shared" si="126"/>
        <v>0</v>
      </c>
      <c r="N826" s="151"/>
      <c r="O826" s="5">
        <f t="shared" ca="1" si="127"/>
        <v>0</v>
      </c>
      <c r="P826" s="446" t="e">
        <f t="shared" si="128"/>
        <v>#VALUE!</v>
      </c>
      <c r="Q826" s="446" t="e">
        <f>IF(OR($B826="",MIN(Q$38,$D$19)&lt;MAX($P$708*($B826+IF($R$17="Distrato",$I$38-1,0)),IF(AND($L$711=0,$P$708=0),"",$L$711-1),IF($R$17="Distrato",$E826,0))),0,YEARFRAC(MAX($P$708*($B826+IF($R$17="Distrato",$I$38-1,0)),IF(AND($L$711=0,$P$708=0),"",$L$711-1),IF($R$17="Distrato",$E826,0)),MIN(Q$38,$D$19),$P$20))-SUM($P826:P826)</f>
        <v>#VALUE!</v>
      </c>
      <c r="R826" s="446" t="e">
        <f>IF(OR($B826="",MIN(R$38,$D$19)&lt;MAX($P$708*($B826+IF($R$17="Distrato",$I$38-1,0)),IF(AND($L$711=0,$P$708=0),"",$L$711-1),IF($R$17="Distrato",$E826,0))),0,YEARFRAC(MAX($P$708*($B826+IF($R$17="Distrato",$I$38-1,0)),IF(AND($L$711=0,$P$708=0),"",$L$711-1),IF($R$17="Distrato",$E826,0)),MIN(R$38,$D$19),$P$20))-SUM($P826:Q826)</f>
        <v>#VALUE!</v>
      </c>
      <c r="S826" s="446" t="e">
        <f>IF(OR($B826="",MIN(S$38,$D$19)&lt;MAX($P$708*($B826+IF($R$17="Distrato",$I$38-1,0)),IF(AND($L$711=0,$P$708=0),"",$L$711-1),IF($R$17="Distrato",$E826,0))),0,YEARFRAC(MAX($P$708*($B826+IF($R$17="Distrato",$I$38-1,0)),IF(AND($L$711=0,$P$708=0),"",$L$711-1),IF($R$17="Distrato",$E826,0)),MIN(S$38,$D$19),$P$20))-SUM($P826:R826)</f>
        <v>#VALUE!</v>
      </c>
      <c r="T826" s="446" t="e">
        <f>IF(OR($B826="",MIN(T$38,$D$19)&lt;MAX($P$708*($B826+IF($R$17="Distrato",$I$38-1,0)),IF(AND($L$711=0,$P$708=0),"",$L$711-1),IF($R$17="Distrato",$E826,0))),0,YEARFRAC(MAX($P$708*($B826+IF($R$17="Distrato",$I$38-1,0)),IF(AND($L$711=0,$P$708=0),"",$L$711-1),IF($R$17="Distrato",$E826,0)),MIN(T$38,$D$19),$P$20))-SUM($P826:S826)</f>
        <v>#VALUE!</v>
      </c>
      <c r="U826" s="446" t="e">
        <f>IF(OR($B826="",MIN(U$38,$D$19)&lt;MAX($P$708*($B826+IF($R$17="Distrato",$I$38-1,0)),IF(AND($L$711=0,$P$708=0),"",$L$711-1),IF($R$17="Distrato",$E826,0))),0,YEARFRAC(MAX($P$708*($B826+IF($R$17="Distrato",$I$38-1,0)),IF(AND($L$711=0,$P$708=0),"",$L$711-1),IF($R$17="Distrato",$E826,0)),MIN(U$38,$D$19),$P$20))-SUM($P826:T826)</f>
        <v>#VALUE!</v>
      </c>
      <c r="V826" s="446" t="e">
        <f>IF(OR($B826="",MIN(V$38,$D$19)&lt;MAX($P$708*($B826+IF($R$17="Distrato",$I$38-1,0)),IF(AND($L$711=0,$P$708=0),"",$L$711-1),IF($R$17="Distrato",$E826,0))),0,YEARFRAC(MAX($P$708*($B826+IF($R$17="Distrato",$I$38-1,0)),IF(AND($L$711=0,$P$708=0),"",$L$711-1),IF($R$17="Distrato",$E826,0)),MIN(V$38,$D$19),$P$20))-SUM($P826:U826)</f>
        <v>#VALUE!</v>
      </c>
      <c r="W826" s="446" t="e">
        <f>IF(OR($B826="",MIN(W$38,$D$19)&lt;MAX($P$708*($B826+IF($R$17="Distrato",$I$38-1,0)),IF(AND($L$711=0,$P$708=0),"",$L$711-1),IF($R$17="Distrato",$E826,0))),0,YEARFRAC(MAX($P$708*($B826+IF($R$17="Distrato",$I$38-1,0)),IF(AND($L$711=0,$P$708=0),"",$L$711-1),IF($R$17="Distrato",$E826,0)),MIN(W$38,$D$19),$P$20))-SUM($P826:V826)</f>
        <v>#VALUE!</v>
      </c>
      <c r="X826" s="446" t="e">
        <f>IF(OR($B826="",MIN(X$38,$D$19)&lt;MAX($P$708*($B826+IF($R$17="Distrato",$I$38-1,0)),IF(AND($L$711=0,$P$708=0),"",$L$711-1),IF($R$17="Distrato",$E826,0))),0,YEARFRAC(MAX($P$708*($B826+IF($R$17="Distrato",$I$38-1,0)),IF(AND($L$711=0,$P$708=0),"",$L$711-1),IF($R$17="Distrato",$E826,0)),MIN(X$38,$D$19),$P$20))-SUM($P826:W826)</f>
        <v>#VALUE!</v>
      </c>
      <c r="Y826" s="446" t="e">
        <f>IF(OR($B826="",MIN(Y$38,$D$19)&lt;MAX($P$708*($B826+IF($R$17="Distrato",$I$38-1,0)),IF(AND($L$711=0,$P$708=0),"",$L$711-1),IF($R$17="Distrato",$E826,0))),0,YEARFRAC(MAX($P$708*($B826+IF($R$17="Distrato",$I$38-1,0)),IF(AND($L$711=0,$P$708=0),"",$L$711-1),IF($R$17="Distrato",$E826,0)),MIN(Y$38,$D$19),$P$20))-SUM($P826:X826)</f>
        <v>#VALUE!</v>
      </c>
      <c r="Z826" s="446" t="e">
        <f>IF(OR($B826="",MIN(Z$38,$D$19)&lt;MAX($P$708*($B826+IF($R$17="Distrato",$I$38-1,0)),IF(AND($L$711=0,$P$708=0),"",$L$711-1),IF($R$17="Distrato",$E826,0))),0,YEARFRAC(MAX($P$708*($B826+IF($R$17="Distrato",$I$38-1,0)),IF(AND($L$711=0,$P$708=0),"",$L$711-1),IF($R$17="Distrato",$E826,0)),MIN(Z$38,$D$19),$P$20))-SUM($P826:Y826)</f>
        <v>#VALUE!</v>
      </c>
      <c r="AA826" s="446" t="e">
        <f>IF(OR($B826="",MIN(AA$38,$D$19)&lt;MAX($P$708*($B826+IF($R$17="Distrato",$I$38-1,0)),IF(AND($L$711=0,$P$708=0),"",$L$711-1),IF($R$17="Distrato",$E826,0))),0,YEARFRAC(MAX($P$708*($B826+IF($R$17="Distrato",$I$38-1,0)),IF(AND($L$711=0,$P$708=0),"",$L$711-1),IF($R$17="Distrato",$E826,0)),MIN(AA$38,$D$19),$P$20))-SUM($P826:Z826)</f>
        <v>#VALUE!</v>
      </c>
      <c r="AB826" s="446" t="e">
        <f>IF(OR($B826="",MIN(AB$38,$D$19)&lt;MAX($P$708*($B826+IF($R$17="Distrato",$I$38-1,0)),IF(AND($L$711=0,$P$708=0),"",$L$711-1),IF($R$17="Distrato",$E826,0))),0,YEARFRAC(MAX($P$708*($B826+IF($R$17="Distrato",$I$38-1,0)),IF(AND($L$711=0,$P$708=0),"",$L$711-1),IF($R$17="Distrato",$E826,0)),MIN(AB$38,$D$19),$P$20))-SUM($P826:AA826)</f>
        <v>#VALUE!</v>
      </c>
      <c r="AC826" s="446" t="e">
        <f>IF(OR($B826="",MIN(AC$38,$D$19)&lt;MAX($P$708*($B826+IF($R$17="Distrato",$I$38-1,0)),IF(AND($L$711=0,$P$708=0),"",$L$711-1),IF($R$17="Distrato",$E826,0))),0,YEARFRAC(MAX($P$708*($B826+IF($R$17="Distrato",$I$38-1,0)),IF(AND($L$711=0,$P$708=0),"",$L$711-1),IF($R$17="Distrato",$E826,0)),MIN(AC$38,$D$19),$P$20))-SUM($P826:AB826)</f>
        <v>#VALUE!</v>
      </c>
      <c r="AD826" s="446" t="e">
        <f>IF(OR($B826="",MIN(AD$38,$D$19)&lt;MAX($P$708*($B826+IF($R$17="Distrato",$I$38-1,0)),IF(AND($L$711=0,$P$708=0),"",$L$711-1),IF($R$17="Distrato",$E826,0))),0,YEARFRAC(MAX($P$708*($B826+IF($R$17="Distrato",$I$38-1,0)),IF(AND($L$711=0,$P$708=0),"",$L$711-1),IF($R$17="Distrato",$E826,0)),MIN(AD$38,$D$19),$P$20))-SUM($P826:AC826)</f>
        <v>#VALUE!</v>
      </c>
      <c r="AE826" s="446" t="e">
        <f>IF(OR($B826="",MIN(AE$38,$D$19)&lt;MAX($P$708*($B826+IF($R$17="Distrato",$I$38-1,0)),IF(AND($L$711=0,$P$708=0),"",$L$711-1),IF($R$17="Distrato",$E826,0))),0,YEARFRAC(MAX($P$708*($B826+IF($R$17="Distrato",$I$38-1,0)),IF(AND($L$711=0,$P$708=0),"",$L$711-1),IF($R$17="Distrato",$E826,0)),MIN(AE$38,$D$19),$P$20))-SUM($P826:AD826)</f>
        <v>#VALUE!</v>
      </c>
      <c r="AF826" s="446" t="e">
        <f>IF(OR($B826="",MIN(AF$38,$D$19)&lt;MAX($P$708*($B826+IF($R$17="Distrato",$I$38-1,0)),IF(AND($L$711=0,$P$708=0),"",$L$711-1),IF($R$17="Distrato",$E826,0))),0,YEARFRAC(MAX($P$708*($B826+IF($R$17="Distrato",$I$38-1,0)),IF(AND($L$711=0,$P$708=0),"",$L$711-1),IF($R$17="Distrato",$E826,0)),MIN(AF$38,$D$19),$P$20))-SUM($P826:AE826)</f>
        <v>#VALUE!</v>
      </c>
      <c r="AG826" s="446" t="e">
        <f>IF(OR($B826="",MIN(AG$38,$D$19)&lt;MAX($P$708*($B826+IF($R$17="Distrato",$I$38-1,0)),IF(AND($L$711=0,$P$708=0),"",$L$711-1),IF($R$17="Distrato",$E826,0))),0,YEARFRAC(MAX($P$708*($B826+IF($R$17="Distrato",$I$38-1,0)),IF(AND($L$711=0,$P$708=0),"",$L$711-1),IF($R$17="Distrato",$E826,0)),MIN(AG$38,$D$19),$P$20))-SUM($P826:AF826)</f>
        <v>#VALUE!</v>
      </c>
      <c r="AH826" s="446" t="e">
        <f>IF(OR($B826="",MIN(AH$38,$D$19)&lt;MAX($P$708*($B826+IF($R$17="Distrato",$I$38-1,0)),IF(AND($L$711=0,$P$708=0),"",$L$711-1),IF($R$17="Distrato",$E826,0))),0,YEARFRAC(MAX($P$708*($B826+IF($R$17="Distrato",$I$38-1,0)),IF(AND($L$711=0,$P$708=0),"",$L$711-1),IF($R$17="Distrato",$E826,0)),MIN(AH$38,$D$19),$P$20))-SUM($P826:AG826)</f>
        <v>#VALUE!</v>
      </c>
      <c r="AI826" s="446" t="e">
        <f>IF(OR($B826="",MIN(AI$38,$D$19)&lt;MAX($P$708*($B826+IF($R$17="Distrato",$I$38-1,0)),IF(AND($L$711=0,$P$708=0),"",$L$711-1),IF($R$17="Distrato",$E826,0))),0,YEARFRAC(MAX($P$708*($B826+IF($R$17="Distrato",$I$38-1,0)),IF(AND($L$711=0,$P$708=0),"",$L$711-1),IF($R$17="Distrato",$E826,0)),MIN(AI$38,$D$19),$P$20))-SUM($P826:AH826)</f>
        <v>#VALUE!</v>
      </c>
      <c r="AJ826" s="446" t="e">
        <f>IF(OR($B826="",MIN(AJ$38,$D$19)&lt;MAX($P$708*($B826+IF($R$17="Distrato",$I$38-1,0)),IF(AND($L$711=0,$P$708=0),"",$L$711-1),IF($R$17="Distrato",$E826,0))),0,YEARFRAC(MAX($P$708*($B826+IF($R$17="Distrato",$I$38-1,0)),IF(AND($L$711=0,$P$708=0),"",$L$711-1),IF($R$17="Distrato",$E826,0)),MIN(AJ$38,$D$19),$P$20))-SUM($P826:AI826)</f>
        <v>#VALUE!</v>
      </c>
      <c r="AK826" s="446" t="e">
        <f>IF(OR($B826="",MIN(AK$38,$D$19)&lt;MAX($P$708*($B826+IF($R$17="Distrato",$I$38-1,0)),IF(AND($L$711=0,$P$708=0),"",$L$711-1),IF($R$17="Distrato",$E826,0))),0,YEARFRAC(MAX($P$708*($B826+IF($R$17="Distrato",$I$38-1,0)),IF(AND($L$711=0,$P$708=0),"",$L$711-1),IF($R$17="Distrato",$E826,0)),MIN(AK$38,$D$19),$P$20))-SUM($P826:AJ826)</f>
        <v>#VALUE!</v>
      </c>
      <c r="AL826" s="446" t="e">
        <f>IF(OR($B826="",MIN(AL$38,$D$19)&lt;MAX($P$708*($B826+IF($R$17="Distrato",$I$38-1,0)),IF(AND($L$711=0,$P$708=0),"",$L$711-1),IF($R$17="Distrato",$E826,0))),0,YEARFRAC(MAX($P$708*($B826+IF($R$17="Distrato",$I$38-1,0)),IF(AND($L$711=0,$P$708=0),"",$L$711-1),IF($R$17="Distrato",$E826,0)),MIN(AL$38,$D$19),$P$20))-SUM($P826:AK826)</f>
        <v>#VALUE!</v>
      </c>
      <c r="AM826" s="446" t="e">
        <f>IF(OR($B826="",MIN(AM$38,$D$19)&lt;MAX($P$708*($B826+IF($R$17="Distrato",$I$38-1,0)),IF(AND($L$711=0,$P$708=0),"",$L$711-1),IF($R$17="Distrato",$E826,0))),0,YEARFRAC(MAX($P$708*($B826+IF($R$17="Distrato",$I$38-1,0)),IF(AND($L$711=0,$P$708=0),"",$L$711-1),IF($R$17="Distrato",$E826,0)),MIN(AM$38,$D$19),$P$20))-SUM($P826:AL826)</f>
        <v>#VALUE!</v>
      </c>
      <c r="AN826" s="446" t="e">
        <f>IF(OR($B826="",MIN(AN$38,$D$19)&lt;MAX($P$708*($B826+IF($R$17="Distrato",$I$38-1,0)),IF(AND($L$711=0,$P$708=0),"",$L$711-1),IF($R$17="Distrato",$E826,0))),0,YEARFRAC(MAX($P$708*($B826+IF($R$17="Distrato",$I$38-1,0)),IF(AND($L$711=0,$P$708=0),"",$L$711-1),IF($R$17="Distrato",$E826,0)),MIN(AN$38,$D$19),$P$20))-SUM($P826:AM826)</f>
        <v>#VALUE!</v>
      </c>
      <c r="AO826" s="446" t="e">
        <f>IF(OR($B826="",MIN(AO$38,$D$19)&lt;MAX($P$708*($B826+IF($R$17="Distrato",$I$38-1,0)),IF(AND($L$711=0,$P$708=0),"",$L$711-1),IF($R$17="Distrato",$E826,0))),0,YEARFRAC(MAX($P$708*($B826+IF($R$17="Distrato",$I$38-1,0)),IF(AND($L$711=0,$P$708=0),"",$L$711-1),IF($R$17="Distrato",$E826,0)),MIN(AO$38,$D$19),$P$20))-SUM($P826:AN826)</f>
        <v>#VALUE!</v>
      </c>
      <c r="AP826" s="446" t="e">
        <f>IF(OR($B826="",MIN(AP$38,$D$19)&lt;MAX($P$708*($B826+IF($R$17="Distrato",$I$38-1,0)),IF(AND($L$711=0,$P$708=0),"",$L$711-1),IF($R$17="Distrato",$E826,0))),0,YEARFRAC(MAX($P$708*($B826+IF($R$17="Distrato",$I$38-1,0)),IF(AND($L$711=0,$P$708=0),"",$L$711-1),IF($R$17="Distrato",$E826,0)),MIN(AP$38,$D$19),$P$20))-SUM($P826:AO826)</f>
        <v>#VALUE!</v>
      </c>
      <c r="AQ826" s="446" t="e">
        <f>IF(OR($B826="",MIN(AQ$38,$D$19)&lt;MAX($P$708*($B826+IF($R$17="Distrato",$I$38-1,0)),IF(AND($L$711=0,$P$708=0),"",$L$711-1),IF($R$17="Distrato",$E826,0))),0,YEARFRAC(MAX($P$708*($B826+IF($R$17="Distrato",$I$38-1,0)),IF(AND($L$711=0,$P$708=0),"",$L$711-1),IF($R$17="Distrato",$E826,0)),MIN(AQ$38,$D$19),$P$20))-SUM($P826:AP826)</f>
        <v>#VALUE!</v>
      </c>
      <c r="AR826" s="446" t="e">
        <f>IF(OR($B826="",MIN(AR$38,$D$19)&lt;MAX($P$708*($B826+IF($R$17="Distrato",$I$38-1,0)),IF(AND($L$711=0,$P$708=0),"",$L$711-1),IF($R$17="Distrato",$E826,0))),0,YEARFRAC(MAX($P$708*($B826+IF($R$17="Distrato",$I$38-1,0)),IF(AND($L$711=0,$P$708=0),"",$L$711-1),IF($R$17="Distrato",$E826,0)),MIN(AR$38,$D$19),$P$20))-SUM($P826:AQ826)</f>
        <v>#VALUE!</v>
      </c>
      <c r="AS826" s="446" t="e">
        <f>IF(OR($B826="",MIN(AS$38,$D$19)&lt;MAX($P$708*($B826+IF($R$17="Distrato",$I$38-1,0)),IF(AND($L$711=0,$P$708=0),"",$L$711-1),IF($R$17="Distrato",$E826,0))),0,YEARFRAC(MAX($P$708*($B826+IF($R$17="Distrato",$I$38-1,0)),IF(AND($L$711=0,$P$708=0),"",$L$711-1),IF($R$17="Distrato",$E826,0)),MIN(AS$38,$D$19),$P$20))-SUM($P826:AR826)</f>
        <v>#VALUE!</v>
      </c>
      <c r="AT826" s="446" t="e">
        <f>IF(OR($B826="",MIN(AT$38,$D$19)&lt;MAX($P$708*($B826+IF($R$17="Distrato",$I$38-1,0)),IF(AND($L$711=0,$P$708=0),"",$L$711-1),IF($R$17="Distrato",$E826,0))),0,YEARFRAC(MAX($P$708*($B826+IF($R$17="Distrato",$I$38-1,0)),IF(AND($L$711=0,$P$708=0),"",$L$711-1),IF($R$17="Distrato",$E826,0)),MIN(AT$38,$D$19),$P$20))-SUM($P826:AS826)</f>
        <v>#VALUE!</v>
      </c>
      <c r="AU826" s="446" t="e">
        <f>IF(OR($B826="",MIN(AU$38,$D$19)&lt;MAX($P$708*($B826+IF($R$17="Distrato",$I$38-1,0)),IF(AND($L$711=0,$P$708=0),"",$L$711-1),IF($R$17="Distrato",$E826,0))),0,YEARFRAC(MAX($P$708*($B826+IF($R$17="Distrato",$I$38-1,0)),IF(AND($L$711=0,$P$708=0),"",$L$711-1),IF($R$17="Distrato",$E826,0)),MIN(AU$38,$D$19),$P$20))-SUM($P826:AT826)</f>
        <v>#VALUE!</v>
      </c>
      <c r="AV826" s="446" t="e">
        <f>IF(OR($B826="",MIN(AV$38,$D$19)&lt;MAX($P$708*($B826+IF($R$17="Distrato",$I$38-1,0)),IF(AND($L$711=0,$P$708=0),"",$L$711-1),IF($R$17="Distrato",$E826,0))),0,YEARFRAC(MAX($P$708*($B826+IF($R$17="Distrato",$I$38-1,0)),IF(AND($L$711=0,$P$708=0),"",$L$711-1),IF($R$17="Distrato",$E826,0)),MIN(AV$38,$D$19),$P$20))-SUM($P826:AU826)</f>
        <v>#VALUE!</v>
      </c>
      <c r="AW826" s="446" t="e">
        <f>IF(OR($B826="",MIN(AW$38,$D$19)&lt;MAX($P$708*($B826+IF($R$17="Distrato",$I$38-1,0)),IF(AND($L$711=0,$P$708=0),"",$L$711-1),IF($R$17="Distrato",$E826,0))),0,YEARFRAC(MAX($P$708*($B826+IF($R$17="Distrato",$I$38-1,0)),IF(AND($L$711=0,$P$708=0),"",$L$711-1),IF($R$17="Distrato",$E826,0)),MIN(AW$38,$D$19),$P$20))-SUM($P826:AV826)</f>
        <v>#VALUE!</v>
      </c>
      <c r="AX826" s="446" t="e">
        <f>IF(OR($B826="",MIN(AX$38,$D$19)&lt;MAX($P$708*($B826+IF($R$17="Distrato",$I$38-1,0)),IF(AND($L$711=0,$P$708=0),"",$L$711-1),IF($R$17="Distrato",$E826,0))),0,YEARFRAC(MAX($P$708*($B826+IF($R$17="Distrato",$I$38-1,0)),IF(AND($L$711=0,$P$708=0),"",$L$711-1),IF($R$17="Distrato",$E826,0)),MIN(AX$38,$D$19),$P$20))-SUM($P826:AW826)</f>
        <v>#VALUE!</v>
      </c>
      <c r="AY826" s="446" t="e">
        <f>IF(OR($B826="",MIN(AY$38,$D$19)&lt;MAX($P$708*($B826+IF($R$17="Distrato",$I$38-1,0)),IF(AND($L$711=0,$P$708=0),"",$L$711-1),IF($R$17="Distrato",$E826,0))),0,YEARFRAC(MAX($P$708*($B826+IF($R$17="Distrato",$I$38-1,0)),IF(AND($L$711=0,$P$708=0),"",$L$711-1),IF($R$17="Distrato",$E826,0)),MIN(AY$38,$D$19),$P$20))-SUM($P826:AX826)</f>
        <v>#VALUE!</v>
      </c>
      <c r="AZ826" s="446" t="e">
        <f>IF(OR($B826="",MIN(AZ$38,$D$19)&lt;MAX($P$708*($B826+IF($R$17="Distrato",$I$38-1,0)),IF(AND($L$711=0,$P$708=0),"",$L$711-1),IF($R$17="Distrato",$E826,0))),0,YEARFRAC(MAX($P$708*($B826+IF($R$17="Distrato",$I$38-1,0)),IF(AND($L$711=0,$P$708=0),"",$L$711-1),IF($R$17="Distrato",$E826,0)),MIN(AZ$38,$D$19),$P$20))-SUM($P826:AY826)</f>
        <v>#VALUE!</v>
      </c>
      <c r="BA826" s="446" t="e">
        <f>IF(OR($B826="",MIN(BA$38,$D$19)&lt;MAX($P$708*($B826+IF($R$17="Distrato",$I$38-1,0)),IF(AND($L$711=0,$P$708=0),"",$L$711-1),IF($R$17="Distrato",$E826,0))),0,YEARFRAC(MAX($P$708*($B826+IF($R$17="Distrato",$I$38-1,0)),IF(AND($L$711=0,$P$708=0),"",$L$711-1),IF($R$17="Distrato",$E826,0)),MIN(BA$38,$D$19),$P$20))-SUM($P826:AZ826)</f>
        <v>#VALUE!</v>
      </c>
      <c r="BB826" s="447"/>
    </row>
    <row r="827" spans="1:54" s="446" customFormat="1" ht="11.25" hidden="1" customHeight="1" x14ac:dyDescent="0.2">
      <c r="A827" s="235"/>
      <c r="B827" s="236"/>
      <c r="C827" s="29" t="str">
        <f>IF(B827="","",IF($L$709=$BL$25,VLOOKUP(DATE(YEAR($D$19),MONTH($D$19)-1,1),ÍNDICES!$A:$DE,HLOOKUP($BL$25,ÍNDICES!$B$3:$T$4,2)+11)-VLOOKUP(B827,ÍNDICES!$A:$DE,HLOOKUP($BL$25,ÍNDICES!$B$3:$T$4,2)+11)+1%,IF(C$712=$W$26,$J$35,IF(ISERROR(IF(B827&gt;$D$19,1,VLOOKUP(DATE(YEAR(B827),MONTH(B827)+IF($C$709=$S$23,1,0),1),ÍNDICES!$A:$DE,$Z$709+1))),"",IF(B827&gt;$D$19,1,VLOOKUP(DATE(YEAR(B827),MONTH(B827)+IF($C$709=$S$23,1,0),1),ÍNDICES!$A:$DE,$Z$709+1))))))</f>
        <v/>
      </c>
      <c r="D827" s="155"/>
      <c r="E827" s="88"/>
      <c r="F827" s="88"/>
      <c r="G827" s="88"/>
      <c r="H827" s="118"/>
      <c r="I827" s="182">
        <f t="shared" si="122"/>
        <v>0</v>
      </c>
      <c r="J827" s="20">
        <f t="shared" ca="1" si="123"/>
        <v>0</v>
      </c>
      <c r="K827" s="5">
        <f t="shared" ca="1" si="124"/>
        <v>0</v>
      </c>
      <c r="L827" s="61">
        <f t="shared" ca="1" si="125"/>
        <v>0</v>
      </c>
      <c r="M827" s="64">
        <f t="shared" si="126"/>
        <v>0</v>
      </c>
      <c r="N827" s="151"/>
      <c r="O827" s="5">
        <f t="shared" ca="1" si="127"/>
        <v>0</v>
      </c>
      <c r="P827" s="446" t="e">
        <f t="shared" si="128"/>
        <v>#VALUE!</v>
      </c>
      <c r="Q827" s="446" t="e">
        <f>IF(OR($B827="",MIN(Q$38,$D$19)&lt;MAX($P$708*($B827+IF($R$17="Distrato",$I$38-1,0)),IF(AND($L$711=0,$P$708=0),"",$L$711-1),IF($R$17="Distrato",$E827,0))),0,YEARFRAC(MAX($P$708*($B827+IF($R$17="Distrato",$I$38-1,0)),IF(AND($L$711=0,$P$708=0),"",$L$711-1),IF($R$17="Distrato",$E827,0)),MIN(Q$38,$D$19),$P$20))-SUM($P827:P827)</f>
        <v>#VALUE!</v>
      </c>
      <c r="R827" s="446" t="e">
        <f>IF(OR($B827="",MIN(R$38,$D$19)&lt;MAX($P$708*($B827+IF($R$17="Distrato",$I$38-1,0)),IF(AND($L$711=0,$P$708=0),"",$L$711-1),IF($R$17="Distrato",$E827,0))),0,YEARFRAC(MAX($P$708*($B827+IF($R$17="Distrato",$I$38-1,0)),IF(AND($L$711=0,$P$708=0),"",$L$711-1),IF($R$17="Distrato",$E827,0)),MIN(R$38,$D$19),$P$20))-SUM($P827:Q827)</f>
        <v>#VALUE!</v>
      </c>
      <c r="S827" s="446" t="e">
        <f>IF(OR($B827="",MIN(S$38,$D$19)&lt;MAX($P$708*($B827+IF($R$17="Distrato",$I$38-1,0)),IF(AND($L$711=0,$P$708=0),"",$L$711-1),IF($R$17="Distrato",$E827,0))),0,YEARFRAC(MAX($P$708*($B827+IF($R$17="Distrato",$I$38-1,0)),IF(AND($L$711=0,$P$708=0),"",$L$711-1),IF($R$17="Distrato",$E827,0)),MIN(S$38,$D$19),$P$20))-SUM($P827:R827)</f>
        <v>#VALUE!</v>
      </c>
      <c r="T827" s="446" t="e">
        <f>IF(OR($B827="",MIN(T$38,$D$19)&lt;MAX($P$708*($B827+IF($R$17="Distrato",$I$38-1,0)),IF(AND($L$711=0,$P$708=0),"",$L$711-1),IF($R$17="Distrato",$E827,0))),0,YEARFRAC(MAX($P$708*($B827+IF($R$17="Distrato",$I$38-1,0)),IF(AND($L$711=0,$P$708=0),"",$L$711-1),IF($R$17="Distrato",$E827,0)),MIN(T$38,$D$19),$P$20))-SUM($P827:S827)</f>
        <v>#VALUE!</v>
      </c>
      <c r="U827" s="446" t="e">
        <f>IF(OR($B827="",MIN(U$38,$D$19)&lt;MAX($P$708*($B827+IF($R$17="Distrato",$I$38-1,0)),IF(AND($L$711=0,$P$708=0),"",$L$711-1),IF($R$17="Distrato",$E827,0))),0,YEARFRAC(MAX($P$708*($B827+IF($R$17="Distrato",$I$38-1,0)),IF(AND($L$711=0,$P$708=0),"",$L$711-1),IF($R$17="Distrato",$E827,0)),MIN(U$38,$D$19),$P$20))-SUM($P827:T827)</f>
        <v>#VALUE!</v>
      </c>
      <c r="V827" s="446" t="e">
        <f>IF(OR($B827="",MIN(V$38,$D$19)&lt;MAX($P$708*($B827+IF($R$17="Distrato",$I$38-1,0)),IF(AND($L$711=0,$P$708=0),"",$L$711-1),IF($R$17="Distrato",$E827,0))),0,YEARFRAC(MAX($P$708*($B827+IF($R$17="Distrato",$I$38-1,0)),IF(AND($L$711=0,$P$708=0),"",$L$711-1),IF($R$17="Distrato",$E827,0)),MIN(V$38,$D$19),$P$20))-SUM($P827:U827)</f>
        <v>#VALUE!</v>
      </c>
      <c r="W827" s="446" t="e">
        <f>IF(OR($B827="",MIN(W$38,$D$19)&lt;MAX($P$708*($B827+IF($R$17="Distrato",$I$38-1,0)),IF(AND($L$711=0,$P$708=0),"",$L$711-1),IF($R$17="Distrato",$E827,0))),0,YEARFRAC(MAX($P$708*($B827+IF($R$17="Distrato",$I$38-1,0)),IF(AND($L$711=0,$P$708=0),"",$L$711-1),IF($R$17="Distrato",$E827,0)),MIN(W$38,$D$19),$P$20))-SUM($P827:V827)</f>
        <v>#VALUE!</v>
      </c>
      <c r="X827" s="446" t="e">
        <f>IF(OR($B827="",MIN(X$38,$D$19)&lt;MAX($P$708*($B827+IF($R$17="Distrato",$I$38-1,0)),IF(AND($L$711=0,$P$708=0),"",$L$711-1),IF($R$17="Distrato",$E827,0))),0,YEARFRAC(MAX($P$708*($B827+IF($R$17="Distrato",$I$38-1,0)),IF(AND($L$711=0,$P$708=0),"",$L$711-1),IF($R$17="Distrato",$E827,0)),MIN(X$38,$D$19),$P$20))-SUM($P827:W827)</f>
        <v>#VALUE!</v>
      </c>
      <c r="Y827" s="446" t="e">
        <f>IF(OR($B827="",MIN(Y$38,$D$19)&lt;MAX($P$708*($B827+IF($R$17="Distrato",$I$38-1,0)),IF(AND($L$711=0,$P$708=0),"",$L$711-1),IF($R$17="Distrato",$E827,0))),0,YEARFRAC(MAX($P$708*($B827+IF($R$17="Distrato",$I$38-1,0)),IF(AND($L$711=0,$P$708=0),"",$L$711-1),IF($R$17="Distrato",$E827,0)),MIN(Y$38,$D$19),$P$20))-SUM($P827:X827)</f>
        <v>#VALUE!</v>
      </c>
      <c r="Z827" s="446" t="e">
        <f>IF(OR($B827="",MIN(Z$38,$D$19)&lt;MAX($P$708*($B827+IF($R$17="Distrato",$I$38-1,0)),IF(AND($L$711=0,$P$708=0),"",$L$711-1),IF($R$17="Distrato",$E827,0))),0,YEARFRAC(MAX($P$708*($B827+IF($R$17="Distrato",$I$38-1,0)),IF(AND($L$711=0,$P$708=0),"",$L$711-1),IF($R$17="Distrato",$E827,0)),MIN(Z$38,$D$19),$P$20))-SUM($P827:Y827)</f>
        <v>#VALUE!</v>
      </c>
      <c r="AA827" s="446" t="e">
        <f>IF(OR($B827="",MIN(AA$38,$D$19)&lt;MAX($P$708*($B827+IF($R$17="Distrato",$I$38-1,0)),IF(AND($L$711=0,$P$708=0),"",$L$711-1),IF($R$17="Distrato",$E827,0))),0,YEARFRAC(MAX($P$708*($B827+IF($R$17="Distrato",$I$38-1,0)),IF(AND($L$711=0,$P$708=0),"",$L$711-1),IF($R$17="Distrato",$E827,0)),MIN(AA$38,$D$19),$P$20))-SUM($P827:Z827)</f>
        <v>#VALUE!</v>
      </c>
      <c r="AB827" s="446" t="e">
        <f>IF(OR($B827="",MIN(AB$38,$D$19)&lt;MAX($P$708*($B827+IF($R$17="Distrato",$I$38-1,0)),IF(AND($L$711=0,$P$708=0),"",$L$711-1),IF($R$17="Distrato",$E827,0))),0,YEARFRAC(MAX($P$708*($B827+IF($R$17="Distrato",$I$38-1,0)),IF(AND($L$711=0,$P$708=0),"",$L$711-1),IF($R$17="Distrato",$E827,0)),MIN(AB$38,$D$19),$P$20))-SUM($P827:AA827)</f>
        <v>#VALUE!</v>
      </c>
      <c r="AC827" s="446" t="e">
        <f>IF(OR($B827="",MIN(AC$38,$D$19)&lt;MAX($P$708*($B827+IF($R$17="Distrato",$I$38-1,0)),IF(AND($L$711=0,$P$708=0),"",$L$711-1),IF($R$17="Distrato",$E827,0))),0,YEARFRAC(MAX($P$708*($B827+IF($R$17="Distrato",$I$38-1,0)),IF(AND($L$711=0,$P$708=0),"",$L$711-1),IF($R$17="Distrato",$E827,0)),MIN(AC$38,$D$19),$P$20))-SUM($P827:AB827)</f>
        <v>#VALUE!</v>
      </c>
      <c r="AD827" s="446" t="e">
        <f>IF(OR($B827="",MIN(AD$38,$D$19)&lt;MAX($P$708*($B827+IF($R$17="Distrato",$I$38-1,0)),IF(AND($L$711=0,$P$708=0),"",$L$711-1),IF($R$17="Distrato",$E827,0))),0,YEARFRAC(MAX($P$708*($B827+IF($R$17="Distrato",$I$38-1,0)),IF(AND($L$711=0,$P$708=0),"",$L$711-1),IF($R$17="Distrato",$E827,0)),MIN(AD$38,$D$19),$P$20))-SUM($P827:AC827)</f>
        <v>#VALUE!</v>
      </c>
      <c r="AE827" s="446" t="e">
        <f>IF(OR($B827="",MIN(AE$38,$D$19)&lt;MAX($P$708*($B827+IF($R$17="Distrato",$I$38-1,0)),IF(AND($L$711=0,$P$708=0),"",$L$711-1),IF($R$17="Distrato",$E827,0))),0,YEARFRAC(MAX($P$708*($B827+IF($R$17="Distrato",$I$38-1,0)),IF(AND($L$711=0,$P$708=0),"",$L$711-1),IF($R$17="Distrato",$E827,0)),MIN(AE$38,$D$19),$P$20))-SUM($P827:AD827)</f>
        <v>#VALUE!</v>
      </c>
      <c r="AF827" s="446" t="e">
        <f>IF(OR($B827="",MIN(AF$38,$D$19)&lt;MAX($P$708*($B827+IF($R$17="Distrato",$I$38-1,0)),IF(AND($L$711=0,$P$708=0),"",$L$711-1),IF($R$17="Distrato",$E827,0))),0,YEARFRAC(MAX($P$708*($B827+IF($R$17="Distrato",$I$38-1,0)),IF(AND($L$711=0,$P$708=0),"",$L$711-1),IF($R$17="Distrato",$E827,0)),MIN(AF$38,$D$19),$P$20))-SUM($P827:AE827)</f>
        <v>#VALUE!</v>
      </c>
      <c r="AG827" s="446" t="e">
        <f>IF(OR($B827="",MIN(AG$38,$D$19)&lt;MAX($P$708*($B827+IF($R$17="Distrato",$I$38-1,0)),IF(AND($L$711=0,$P$708=0),"",$L$711-1),IF($R$17="Distrato",$E827,0))),0,YEARFRAC(MAX($P$708*($B827+IF($R$17="Distrato",$I$38-1,0)),IF(AND($L$711=0,$P$708=0),"",$L$711-1),IF($R$17="Distrato",$E827,0)),MIN(AG$38,$D$19),$P$20))-SUM($P827:AF827)</f>
        <v>#VALUE!</v>
      </c>
      <c r="AH827" s="446" t="e">
        <f>IF(OR($B827="",MIN(AH$38,$D$19)&lt;MAX($P$708*($B827+IF($R$17="Distrato",$I$38-1,0)),IF(AND($L$711=0,$P$708=0),"",$L$711-1),IF($R$17="Distrato",$E827,0))),0,YEARFRAC(MAX($P$708*($B827+IF($R$17="Distrato",$I$38-1,0)),IF(AND($L$711=0,$P$708=0),"",$L$711-1),IF($R$17="Distrato",$E827,0)),MIN(AH$38,$D$19),$P$20))-SUM($P827:AG827)</f>
        <v>#VALUE!</v>
      </c>
      <c r="AI827" s="446" t="e">
        <f>IF(OR($B827="",MIN(AI$38,$D$19)&lt;MAX($P$708*($B827+IF($R$17="Distrato",$I$38-1,0)),IF(AND($L$711=0,$P$708=0),"",$L$711-1),IF($R$17="Distrato",$E827,0))),0,YEARFRAC(MAX($P$708*($B827+IF($R$17="Distrato",$I$38-1,0)),IF(AND($L$711=0,$P$708=0),"",$L$711-1),IF($R$17="Distrato",$E827,0)),MIN(AI$38,$D$19),$P$20))-SUM($P827:AH827)</f>
        <v>#VALUE!</v>
      </c>
      <c r="AJ827" s="446" t="e">
        <f>IF(OR($B827="",MIN(AJ$38,$D$19)&lt;MAX($P$708*($B827+IF($R$17="Distrato",$I$38-1,0)),IF(AND($L$711=0,$P$708=0),"",$L$711-1),IF($R$17="Distrato",$E827,0))),0,YEARFRAC(MAX($P$708*($B827+IF($R$17="Distrato",$I$38-1,0)),IF(AND($L$711=0,$P$708=0),"",$L$711-1),IF($R$17="Distrato",$E827,0)),MIN(AJ$38,$D$19),$P$20))-SUM($P827:AI827)</f>
        <v>#VALUE!</v>
      </c>
      <c r="AK827" s="446" t="e">
        <f>IF(OR($B827="",MIN(AK$38,$D$19)&lt;MAX($P$708*($B827+IF($R$17="Distrato",$I$38-1,0)),IF(AND($L$711=0,$P$708=0),"",$L$711-1),IF($R$17="Distrato",$E827,0))),0,YEARFRAC(MAX($P$708*($B827+IF($R$17="Distrato",$I$38-1,0)),IF(AND($L$711=0,$P$708=0),"",$L$711-1),IF($R$17="Distrato",$E827,0)),MIN(AK$38,$D$19),$P$20))-SUM($P827:AJ827)</f>
        <v>#VALUE!</v>
      </c>
      <c r="AL827" s="446" t="e">
        <f>IF(OR($B827="",MIN(AL$38,$D$19)&lt;MAX($P$708*($B827+IF($R$17="Distrato",$I$38-1,0)),IF(AND($L$711=0,$P$708=0),"",$L$711-1),IF($R$17="Distrato",$E827,0))),0,YEARFRAC(MAX($P$708*($B827+IF($R$17="Distrato",$I$38-1,0)),IF(AND($L$711=0,$P$708=0),"",$L$711-1),IF($R$17="Distrato",$E827,0)),MIN(AL$38,$D$19),$P$20))-SUM($P827:AK827)</f>
        <v>#VALUE!</v>
      </c>
      <c r="AM827" s="446" t="e">
        <f>IF(OR($B827="",MIN(AM$38,$D$19)&lt;MAX($P$708*($B827+IF($R$17="Distrato",$I$38-1,0)),IF(AND($L$711=0,$P$708=0),"",$L$711-1),IF($R$17="Distrato",$E827,0))),0,YEARFRAC(MAX($P$708*($B827+IF($R$17="Distrato",$I$38-1,0)),IF(AND($L$711=0,$P$708=0),"",$L$711-1),IF($R$17="Distrato",$E827,0)),MIN(AM$38,$D$19),$P$20))-SUM($P827:AL827)</f>
        <v>#VALUE!</v>
      </c>
      <c r="AN827" s="446" t="e">
        <f>IF(OR($B827="",MIN(AN$38,$D$19)&lt;MAX($P$708*($B827+IF($R$17="Distrato",$I$38-1,0)),IF(AND($L$711=0,$P$708=0),"",$L$711-1),IF($R$17="Distrato",$E827,0))),0,YEARFRAC(MAX($P$708*($B827+IF($R$17="Distrato",$I$38-1,0)),IF(AND($L$711=0,$P$708=0),"",$L$711-1),IF($R$17="Distrato",$E827,0)),MIN(AN$38,$D$19),$P$20))-SUM($P827:AM827)</f>
        <v>#VALUE!</v>
      </c>
      <c r="AO827" s="446" t="e">
        <f>IF(OR($B827="",MIN(AO$38,$D$19)&lt;MAX($P$708*($B827+IF($R$17="Distrato",$I$38-1,0)),IF(AND($L$711=0,$P$708=0),"",$L$711-1),IF($R$17="Distrato",$E827,0))),0,YEARFRAC(MAX($P$708*($B827+IF($R$17="Distrato",$I$38-1,0)),IF(AND($L$711=0,$P$708=0),"",$L$711-1),IF($R$17="Distrato",$E827,0)),MIN(AO$38,$D$19),$P$20))-SUM($P827:AN827)</f>
        <v>#VALUE!</v>
      </c>
      <c r="AP827" s="446" t="e">
        <f>IF(OR($B827="",MIN(AP$38,$D$19)&lt;MAX($P$708*($B827+IF($R$17="Distrato",$I$38-1,0)),IF(AND($L$711=0,$P$708=0),"",$L$711-1),IF($R$17="Distrato",$E827,0))),0,YEARFRAC(MAX($P$708*($B827+IF($R$17="Distrato",$I$38-1,0)),IF(AND($L$711=0,$P$708=0),"",$L$711-1),IF($R$17="Distrato",$E827,0)),MIN(AP$38,$D$19),$P$20))-SUM($P827:AO827)</f>
        <v>#VALUE!</v>
      </c>
      <c r="AQ827" s="446" t="e">
        <f>IF(OR($B827="",MIN(AQ$38,$D$19)&lt;MAX($P$708*($B827+IF($R$17="Distrato",$I$38-1,0)),IF(AND($L$711=0,$P$708=0),"",$L$711-1),IF($R$17="Distrato",$E827,0))),0,YEARFRAC(MAX($P$708*($B827+IF($R$17="Distrato",$I$38-1,0)),IF(AND($L$711=0,$P$708=0),"",$L$711-1),IF($R$17="Distrato",$E827,0)),MIN(AQ$38,$D$19),$P$20))-SUM($P827:AP827)</f>
        <v>#VALUE!</v>
      </c>
      <c r="AR827" s="446" t="e">
        <f>IF(OR($B827="",MIN(AR$38,$D$19)&lt;MAX($P$708*($B827+IF($R$17="Distrato",$I$38-1,0)),IF(AND($L$711=0,$P$708=0),"",$L$711-1),IF($R$17="Distrato",$E827,0))),0,YEARFRAC(MAX($P$708*($B827+IF($R$17="Distrato",$I$38-1,0)),IF(AND($L$711=0,$P$708=0),"",$L$711-1),IF($R$17="Distrato",$E827,0)),MIN(AR$38,$D$19),$P$20))-SUM($P827:AQ827)</f>
        <v>#VALUE!</v>
      </c>
      <c r="AS827" s="446" t="e">
        <f>IF(OR($B827="",MIN(AS$38,$D$19)&lt;MAX($P$708*($B827+IF($R$17="Distrato",$I$38-1,0)),IF(AND($L$711=0,$P$708=0),"",$L$711-1),IF($R$17="Distrato",$E827,0))),0,YEARFRAC(MAX($P$708*($B827+IF($R$17="Distrato",$I$38-1,0)),IF(AND($L$711=0,$P$708=0),"",$L$711-1),IF($R$17="Distrato",$E827,0)),MIN(AS$38,$D$19),$P$20))-SUM($P827:AR827)</f>
        <v>#VALUE!</v>
      </c>
      <c r="AT827" s="446" t="e">
        <f>IF(OR($B827="",MIN(AT$38,$D$19)&lt;MAX($P$708*($B827+IF($R$17="Distrato",$I$38-1,0)),IF(AND($L$711=0,$P$708=0),"",$L$711-1),IF($R$17="Distrato",$E827,0))),0,YEARFRAC(MAX($P$708*($B827+IF($R$17="Distrato",$I$38-1,0)),IF(AND($L$711=0,$P$708=0),"",$L$711-1),IF($R$17="Distrato",$E827,0)),MIN(AT$38,$D$19),$P$20))-SUM($P827:AS827)</f>
        <v>#VALUE!</v>
      </c>
      <c r="AU827" s="446" t="e">
        <f>IF(OR($B827="",MIN(AU$38,$D$19)&lt;MAX($P$708*($B827+IF($R$17="Distrato",$I$38-1,0)),IF(AND($L$711=0,$P$708=0),"",$L$711-1),IF($R$17="Distrato",$E827,0))),0,YEARFRAC(MAX($P$708*($B827+IF($R$17="Distrato",$I$38-1,0)),IF(AND($L$711=0,$P$708=0),"",$L$711-1),IF($R$17="Distrato",$E827,0)),MIN(AU$38,$D$19),$P$20))-SUM($P827:AT827)</f>
        <v>#VALUE!</v>
      </c>
      <c r="AV827" s="446" t="e">
        <f>IF(OR($B827="",MIN(AV$38,$D$19)&lt;MAX($P$708*($B827+IF($R$17="Distrato",$I$38-1,0)),IF(AND($L$711=0,$P$708=0),"",$L$711-1),IF($R$17="Distrato",$E827,0))),0,YEARFRAC(MAX($P$708*($B827+IF($R$17="Distrato",$I$38-1,0)),IF(AND($L$711=0,$P$708=0),"",$L$711-1),IF($R$17="Distrato",$E827,0)),MIN(AV$38,$D$19),$P$20))-SUM($P827:AU827)</f>
        <v>#VALUE!</v>
      </c>
      <c r="AW827" s="446" t="e">
        <f>IF(OR($B827="",MIN(AW$38,$D$19)&lt;MAX($P$708*($B827+IF($R$17="Distrato",$I$38-1,0)),IF(AND($L$711=0,$P$708=0),"",$L$711-1),IF($R$17="Distrato",$E827,0))),0,YEARFRAC(MAX($P$708*($B827+IF($R$17="Distrato",$I$38-1,0)),IF(AND($L$711=0,$P$708=0),"",$L$711-1),IF($R$17="Distrato",$E827,0)),MIN(AW$38,$D$19),$P$20))-SUM($P827:AV827)</f>
        <v>#VALUE!</v>
      </c>
      <c r="AX827" s="446" t="e">
        <f>IF(OR($B827="",MIN(AX$38,$D$19)&lt;MAX($P$708*($B827+IF($R$17="Distrato",$I$38-1,0)),IF(AND($L$711=0,$P$708=0),"",$L$711-1),IF($R$17="Distrato",$E827,0))),0,YEARFRAC(MAX($P$708*($B827+IF($R$17="Distrato",$I$38-1,0)),IF(AND($L$711=0,$P$708=0),"",$L$711-1),IF($R$17="Distrato",$E827,0)),MIN(AX$38,$D$19),$P$20))-SUM($P827:AW827)</f>
        <v>#VALUE!</v>
      </c>
      <c r="AY827" s="446" t="e">
        <f>IF(OR($B827="",MIN(AY$38,$D$19)&lt;MAX($P$708*($B827+IF($R$17="Distrato",$I$38-1,0)),IF(AND($L$711=0,$P$708=0),"",$L$711-1),IF($R$17="Distrato",$E827,0))),0,YEARFRAC(MAX($P$708*($B827+IF($R$17="Distrato",$I$38-1,0)),IF(AND($L$711=0,$P$708=0),"",$L$711-1),IF($R$17="Distrato",$E827,0)),MIN(AY$38,$D$19),$P$20))-SUM($P827:AX827)</f>
        <v>#VALUE!</v>
      </c>
      <c r="AZ827" s="446" t="e">
        <f>IF(OR($B827="",MIN(AZ$38,$D$19)&lt;MAX($P$708*($B827+IF($R$17="Distrato",$I$38-1,0)),IF(AND($L$711=0,$P$708=0),"",$L$711-1),IF($R$17="Distrato",$E827,0))),0,YEARFRAC(MAX($P$708*($B827+IF($R$17="Distrato",$I$38-1,0)),IF(AND($L$711=0,$P$708=0),"",$L$711-1),IF($R$17="Distrato",$E827,0)),MIN(AZ$38,$D$19),$P$20))-SUM($P827:AY827)</f>
        <v>#VALUE!</v>
      </c>
      <c r="BA827" s="446" t="e">
        <f>IF(OR($B827="",MIN(BA$38,$D$19)&lt;MAX($P$708*($B827+IF($R$17="Distrato",$I$38-1,0)),IF(AND($L$711=0,$P$708=0),"",$L$711-1),IF($R$17="Distrato",$E827,0))),0,YEARFRAC(MAX($P$708*($B827+IF($R$17="Distrato",$I$38-1,0)),IF(AND($L$711=0,$P$708=0),"",$L$711-1),IF($R$17="Distrato",$E827,0)),MIN(BA$38,$D$19),$P$20))-SUM($P827:AZ827)</f>
        <v>#VALUE!</v>
      </c>
      <c r="BB827" s="447"/>
    </row>
    <row r="828" spans="1:54" s="446" customFormat="1" ht="11.25" hidden="1" customHeight="1" x14ac:dyDescent="0.2">
      <c r="A828" s="235"/>
      <c r="B828" s="236"/>
      <c r="C828" s="29" t="str">
        <f>IF(B828="","",IF($L$709=$BL$25,VLOOKUP(DATE(YEAR($D$19),MONTH($D$19)-1,1),ÍNDICES!$A:$DE,HLOOKUP($BL$25,ÍNDICES!$B$3:$T$4,2)+11)-VLOOKUP(B828,ÍNDICES!$A:$DE,HLOOKUP($BL$25,ÍNDICES!$B$3:$T$4,2)+11)+1%,IF(C$712=$W$26,$J$35,IF(ISERROR(IF(B828&gt;$D$19,1,VLOOKUP(DATE(YEAR(B828),MONTH(B828)+IF($C$709=$S$23,1,0),1),ÍNDICES!$A:$DE,$Z$709+1))),"",IF(B828&gt;$D$19,1,VLOOKUP(DATE(YEAR(B828),MONTH(B828)+IF($C$709=$S$23,1,0),1),ÍNDICES!$A:$DE,$Z$709+1))))))</f>
        <v/>
      </c>
      <c r="D828" s="155"/>
      <c r="E828" s="88"/>
      <c r="F828" s="88"/>
      <c r="G828" s="88"/>
      <c r="H828" s="118"/>
      <c r="I828" s="182">
        <f t="shared" si="122"/>
        <v>0</v>
      </c>
      <c r="J828" s="20">
        <f t="shared" ca="1" si="123"/>
        <v>0</v>
      </c>
      <c r="K828" s="5">
        <f t="shared" ca="1" si="124"/>
        <v>0</v>
      </c>
      <c r="L828" s="61">
        <f t="shared" ca="1" si="125"/>
        <v>0</v>
      </c>
      <c r="M828" s="64">
        <f t="shared" si="126"/>
        <v>0</v>
      </c>
      <c r="N828" s="151"/>
      <c r="O828" s="5">
        <f t="shared" ca="1" si="127"/>
        <v>0</v>
      </c>
      <c r="P828" s="446" t="e">
        <f t="shared" si="128"/>
        <v>#VALUE!</v>
      </c>
      <c r="Q828" s="446" t="e">
        <f>IF(OR($B828="",MIN(Q$38,$D$19)&lt;MAX($P$708*($B828+IF($R$17="Distrato",$I$38-1,0)),IF(AND($L$711=0,$P$708=0),"",$L$711-1),IF($R$17="Distrato",$E828,0))),0,YEARFRAC(MAX($P$708*($B828+IF($R$17="Distrato",$I$38-1,0)),IF(AND($L$711=0,$P$708=0),"",$L$711-1),IF($R$17="Distrato",$E828,0)),MIN(Q$38,$D$19),$P$20))-SUM($P828:P828)</f>
        <v>#VALUE!</v>
      </c>
      <c r="R828" s="446" t="e">
        <f>IF(OR($B828="",MIN(R$38,$D$19)&lt;MAX($P$708*($B828+IF($R$17="Distrato",$I$38-1,0)),IF(AND($L$711=0,$P$708=0),"",$L$711-1),IF($R$17="Distrato",$E828,0))),0,YEARFRAC(MAX($P$708*($B828+IF($R$17="Distrato",$I$38-1,0)),IF(AND($L$711=0,$P$708=0),"",$L$711-1),IF($R$17="Distrato",$E828,0)),MIN(R$38,$D$19),$P$20))-SUM($P828:Q828)</f>
        <v>#VALUE!</v>
      </c>
      <c r="S828" s="446" t="e">
        <f>IF(OR($B828="",MIN(S$38,$D$19)&lt;MAX($P$708*($B828+IF($R$17="Distrato",$I$38-1,0)),IF(AND($L$711=0,$P$708=0),"",$L$711-1),IF($R$17="Distrato",$E828,0))),0,YEARFRAC(MAX($P$708*($B828+IF($R$17="Distrato",$I$38-1,0)),IF(AND($L$711=0,$P$708=0),"",$L$711-1),IF($R$17="Distrato",$E828,0)),MIN(S$38,$D$19),$P$20))-SUM($P828:R828)</f>
        <v>#VALUE!</v>
      </c>
      <c r="T828" s="446" t="e">
        <f>IF(OR($B828="",MIN(T$38,$D$19)&lt;MAX($P$708*($B828+IF($R$17="Distrato",$I$38-1,0)),IF(AND($L$711=0,$P$708=0),"",$L$711-1),IF($R$17="Distrato",$E828,0))),0,YEARFRAC(MAX($P$708*($B828+IF($R$17="Distrato",$I$38-1,0)),IF(AND($L$711=0,$P$708=0),"",$L$711-1),IF($R$17="Distrato",$E828,0)),MIN(T$38,$D$19),$P$20))-SUM($P828:S828)</f>
        <v>#VALUE!</v>
      </c>
      <c r="U828" s="446" t="e">
        <f>IF(OR($B828="",MIN(U$38,$D$19)&lt;MAX($P$708*($B828+IF($R$17="Distrato",$I$38-1,0)),IF(AND($L$711=0,$P$708=0),"",$L$711-1),IF($R$17="Distrato",$E828,0))),0,YEARFRAC(MAX($P$708*($B828+IF($R$17="Distrato",$I$38-1,0)),IF(AND($L$711=0,$P$708=0),"",$L$711-1),IF($R$17="Distrato",$E828,0)),MIN(U$38,$D$19),$P$20))-SUM($P828:T828)</f>
        <v>#VALUE!</v>
      </c>
      <c r="V828" s="446" t="e">
        <f>IF(OR($B828="",MIN(V$38,$D$19)&lt;MAX($P$708*($B828+IF($R$17="Distrato",$I$38-1,0)),IF(AND($L$711=0,$P$708=0),"",$L$711-1),IF($R$17="Distrato",$E828,0))),0,YEARFRAC(MAX($P$708*($B828+IF($R$17="Distrato",$I$38-1,0)),IF(AND($L$711=0,$P$708=0),"",$L$711-1),IF($R$17="Distrato",$E828,0)),MIN(V$38,$D$19),$P$20))-SUM($P828:U828)</f>
        <v>#VALUE!</v>
      </c>
      <c r="W828" s="446" t="e">
        <f>IF(OR($B828="",MIN(W$38,$D$19)&lt;MAX($P$708*($B828+IF($R$17="Distrato",$I$38-1,0)),IF(AND($L$711=0,$P$708=0),"",$L$711-1),IF($R$17="Distrato",$E828,0))),0,YEARFRAC(MAX($P$708*($B828+IF($R$17="Distrato",$I$38-1,0)),IF(AND($L$711=0,$P$708=0),"",$L$711-1),IF($R$17="Distrato",$E828,0)),MIN(W$38,$D$19),$P$20))-SUM($P828:V828)</f>
        <v>#VALUE!</v>
      </c>
      <c r="X828" s="446" t="e">
        <f>IF(OR($B828="",MIN(X$38,$D$19)&lt;MAX($P$708*($B828+IF($R$17="Distrato",$I$38-1,0)),IF(AND($L$711=0,$P$708=0),"",$L$711-1),IF($R$17="Distrato",$E828,0))),0,YEARFRAC(MAX($P$708*($B828+IF($R$17="Distrato",$I$38-1,0)),IF(AND($L$711=0,$P$708=0),"",$L$711-1),IF($R$17="Distrato",$E828,0)),MIN(X$38,$D$19),$P$20))-SUM($P828:W828)</f>
        <v>#VALUE!</v>
      </c>
      <c r="Y828" s="446" t="e">
        <f>IF(OR($B828="",MIN(Y$38,$D$19)&lt;MAX($P$708*($B828+IF($R$17="Distrato",$I$38-1,0)),IF(AND($L$711=0,$P$708=0),"",$L$711-1),IF($R$17="Distrato",$E828,0))),0,YEARFRAC(MAX($P$708*($B828+IF($R$17="Distrato",$I$38-1,0)),IF(AND($L$711=0,$P$708=0),"",$L$711-1),IF($R$17="Distrato",$E828,0)),MIN(Y$38,$D$19),$P$20))-SUM($P828:X828)</f>
        <v>#VALUE!</v>
      </c>
      <c r="Z828" s="446" t="e">
        <f>IF(OR($B828="",MIN(Z$38,$D$19)&lt;MAX($P$708*($B828+IF($R$17="Distrato",$I$38-1,0)),IF(AND($L$711=0,$P$708=0),"",$L$711-1),IF($R$17="Distrato",$E828,0))),0,YEARFRAC(MAX($P$708*($B828+IF($R$17="Distrato",$I$38-1,0)),IF(AND($L$711=0,$P$708=0),"",$L$711-1),IF($R$17="Distrato",$E828,0)),MIN(Z$38,$D$19),$P$20))-SUM($P828:Y828)</f>
        <v>#VALUE!</v>
      </c>
      <c r="AA828" s="446" t="e">
        <f>IF(OR($B828="",MIN(AA$38,$D$19)&lt;MAX($P$708*($B828+IF($R$17="Distrato",$I$38-1,0)),IF(AND($L$711=0,$P$708=0),"",$L$711-1),IF($R$17="Distrato",$E828,0))),0,YEARFRAC(MAX($P$708*($B828+IF($R$17="Distrato",$I$38-1,0)),IF(AND($L$711=0,$P$708=0),"",$L$711-1),IF($R$17="Distrato",$E828,0)),MIN(AA$38,$D$19),$P$20))-SUM($P828:Z828)</f>
        <v>#VALUE!</v>
      </c>
      <c r="AB828" s="446" t="e">
        <f>IF(OR($B828="",MIN(AB$38,$D$19)&lt;MAX($P$708*($B828+IF($R$17="Distrato",$I$38-1,0)),IF(AND($L$711=0,$P$708=0),"",$L$711-1),IF($R$17="Distrato",$E828,0))),0,YEARFRAC(MAX($P$708*($B828+IF($R$17="Distrato",$I$38-1,0)),IF(AND($L$711=0,$P$708=0),"",$L$711-1),IF($R$17="Distrato",$E828,0)),MIN(AB$38,$D$19),$P$20))-SUM($P828:AA828)</f>
        <v>#VALUE!</v>
      </c>
      <c r="AC828" s="446" t="e">
        <f>IF(OR($B828="",MIN(AC$38,$D$19)&lt;MAX($P$708*($B828+IF($R$17="Distrato",$I$38-1,0)),IF(AND($L$711=0,$P$708=0),"",$L$711-1),IF($R$17="Distrato",$E828,0))),0,YEARFRAC(MAX($P$708*($B828+IF($R$17="Distrato",$I$38-1,0)),IF(AND($L$711=0,$P$708=0),"",$L$711-1),IF($R$17="Distrato",$E828,0)),MIN(AC$38,$D$19),$P$20))-SUM($P828:AB828)</f>
        <v>#VALUE!</v>
      </c>
      <c r="AD828" s="446" t="e">
        <f>IF(OR($B828="",MIN(AD$38,$D$19)&lt;MAX($P$708*($B828+IF($R$17="Distrato",$I$38-1,0)),IF(AND($L$711=0,$P$708=0),"",$L$711-1),IF($R$17="Distrato",$E828,0))),0,YEARFRAC(MAX($P$708*($B828+IF($R$17="Distrato",$I$38-1,0)),IF(AND($L$711=0,$P$708=0),"",$L$711-1),IF($R$17="Distrato",$E828,0)),MIN(AD$38,$D$19),$P$20))-SUM($P828:AC828)</f>
        <v>#VALUE!</v>
      </c>
      <c r="AE828" s="446" t="e">
        <f>IF(OR($B828="",MIN(AE$38,$D$19)&lt;MAX($P$708*($B828+IF($R$17="Distrato",$I$38-1,0)),IF(AND($L$711=0,$P$708=0),"",$L$711-1),IF($R$17="Distrato",$E828,0))),0,YEARFRAC(MAX($P$708*($B828+IF($R$17="Distrato",$I$38-1,0)),IF(AND($L$711=0,$P$708=0),"",$L$711-1),IF($R$17="Distrato",$E828,0)),MIN(AE$38,$D$19),$P$20))-SUM($P828:AD828)</f>
        <v>#VALUE!</v>
      </c>
      <c r="AF828" s="446" t="e">
        <f>IF(OR($B828="",MIN(AF$38,$D$19)&lt;MAX($P$708*($B828+IF($R$17="Distrato",$I$38-1,0)),IF(AND($L$711=0,$P$708=0),"",$L$711-1),IF($R$17="Distrato",$E828,0))),0,YEARFRAC(MAX($P$708*($B828+IF($R$17="Distrato",$I$38-1,0)),IF(AND($L$711=0,$P$708=0),"",$L$711-1),IF($R$17="Distrato",$E828,0)),MIN(AF$38,$D$19),$P$20))-SUM($P828:AE828)</f>
        <v>#VALUE!</v>
      </c>
      <c r="AG828" s="446" t="e">
        <f>IF(OR($B828="",MIN(AG$38,$D$19)&lt;MAX($P$708*($B828+IF($R$17="Distrato",$I$38-1,0)),IF(AND($L$711=0,$P$708=0),"",$L$711-1),IF($R$17="Distrato",$E828,0))),0,YEARFRAC(MAX($P$708*($B828+IF($R$17="Distrato",$I$38-1,0)),IF(AND($L$711=0,$P$708=0),"",$L$711-1),IF($R$17="Distrato",$E828,0)),MIN(AG$38,$D$19),$P$20))-SUM($P828:AF828)</f>
        <v>#VALUE!</v>
      </c>
      <c r="AH828" s="446" t="e">
        <f>IF(OR($B828="",MIN(AH$38,$D$19)&lt;MAX($P$708*($B828+IF($R$17="Distrato",$I$38-1,0)),IF(AND($L$711=0,$P$708=0),"",$L$711-1),IF($R$17="Distrato",$E828,0))),0,YEARFRAC(MAX($P$708*($B828+IF($R$17="Distrato",$I$38-1,0)),IF(AND($L$711=0,$P$708=0),"",$L$711-1),IF($R$17="Distrato",$E828,0)),MIN(AH$38,$D$19),$P$20))-SUM($P828:AG828)</f>
        <v>#VALUE!</v>
      </c>
      <c r="AI828" s="446" t="e">
        <f>IF(OR($B828="",MIN(AI$38,$D$19)&lt;MAX($P$708*($B828+IF($R$17="Distrato",$I$38-1,0)),IF(AND($L$711=0,$P$708=0),"",$L$711-1),IF($R$17="Distrato",$E828,0))),0,YEARFRAC(MAX($P$708*($B828+IF($R$17="Distrato",$I$38-1,0)),IF(AND($L$711=0,$P$708=0),"",$L$711-1),IF($R$17="Distrato",$E828,0)),MIN(AI$38,$D$19),$P$20))-SUM($P828:AH828)</f>
        <v>#VALUE!</v>
      </c>
      <c r="AJ828" s="446" t="e">
        <f>IF(OR($B828="",MIN(AJ$38,$D$19)&lt;MAX($P$708*($B828+IF($R$17="Distrato",$I$38-1,0)),IF(AND($L$711=0,$P$708=0),"",$L$711-1),IF($R$17="Distrato",$E828,0))),0,YEARFRAC(MAX($P$708*($B828+IF($R$17="Distrato",$I$38-1,0)),IF(AND($L$711=0,$P$708=0),"",$L$711-1),IF($R$17="Distrato",$E828,0)),MIN(AJ$38,$D$19),$P$20))-SUM($P828:AI828)</f>
        <v>#VALUE!</v>
      </c>
      <c r="AK828" s="446" t="e">
        <f>IF(OR($B828="",MIN(AK$38,$D$19)&lt;MAX($P$708*($B828+IF($R$17="Distrato",$I$38-1,0)),IF(AND($L$711=0,$P$708=0),"",$L$711-1),IF($R$17="Distrato",$E828,0))),0,YEARFRAC(MAX($P$708*($B828+IF($R$17="Distrato",$I$38-1,0)),IF(AND($L$711=0,$P$708=0),"",$L$711-1),IF($R$17="Distrato",$E828,0)),MIN(AK$38,$D$19),$P$20))-SUM($P828:AJ828)</f>
        <v>#VALUE!</v>
      </c>
      <c r="AL828" s="446" t="e">
        <f>IF(OR($B828="",MIN(AL$38,$D$19)&lt;MAX($P$708*($B828+IF($R$17="Distrato",$I$38-1,0)),IF(AND($L$711=0,$P$708=0),"",$L$711-1),IF($R$17="Distrato",$E828,0))),0,YEARFRAC(MAX($P$708*($B828+IF($R$17="Distrato",$I$38-1,0)),IF(AND($L$711=0,$P$708=0),"",$L$711-1),IF($R$17="Distrato",$E828,0)),MIN(AL$38,$D$19),$P$20))-SUM($P828:AK828)</f>
        <v>#VALUE!</v>
      </c>
      <c r="AM828" s="446" t="e">
        <f>IF(OR($B828="",MIN(AM$38,$D$19)&lt;MAX($P$708*($B828+IF($R$17="Distrato",$I$38-1,0)),IF(AND($L$711=0,$P$708=0),"",$L$711-1),IF($R$17="Distrato",$E828,0))),0,YEARFRAC(MAX($P$708*($B828+IF($R$17="Distrato",$I$38-1,0)),IF(AND($L$711=0,$P$708=0),"",$L$711-1),IF($R$17="Distrato",$E828,0)),MIN(AM$38,$D$19),$P$20))-SUM($P828:AL828)</f>
        <v>#VALUE!</v>
      </c>
      <c r="AN828" s="446" t="e">
        <f>IF(OR($B828="",MIN(AN$38,$D$19)&lt;MAX($P$708*($B828+IF($R$17="Distrato",$I$38-1,0)),IF(AND($L$711=0,$P$708=0),"",$L$711-1),IF($R$17="Distrato",$E828,0))),0,YEARFRAC(MAX($P$708*($B828+IF($R$17="Distrato",$I$38-1,0)),IF(AND($L$711=0,$P$708=0),"",$L$711-1),IF($R$17="Distrato",$E828,0)),MIN(AN$38,$D$19),$P$20))-SUM($P828:AM828)</f>
        <v>#VALUE!</v>
      </c>
      <c r="AO828" s="446" t="e">
        <f>IF(OR($B828="",MIN(AO$38,$D$19)&lt;MAX($P$708*($B828+IF($R$17="Distrato",$I$38-1,0)),IF(AND($L$711=0,$P$708=0),"",$L$711-1),IF($R$17="Distrato",$E828,0))),0,YEARFRAC(MAX($P$708*($B828+IF($R$17="Distrato",$I$38-1,0)),IF(AND($L$711=0,$P$708=0),"",$L$711-1),IF($R$17="Distrato",$E828,0)),MIN(AO$38,$D$19),$P$20))-SUM($P828:AN828)</f>
        <v>#VALUE!</v>
      </c>
      <c r="AP828" s="446" t="e">
        <f>IF(OR($B828="",MIN(AP$38,$D$19)&lt;MAX($P$708*($B828+IF($R$17="Distrato",$I$38-1,0)),IF(AND($L$711=0,$P$708=0),"",$L$711-1),IF($R$17="Distrato",$E828,0))),0,YEARFRAC(MAX($P$708*($B828+IF($R$17="Distrato",$I$38-1,0)),IF(AND($L$711=0,$P$708=0),"",$L$711-1),IF($R$17="Distrato",$E828,0)),MIN(AP$38,$D$19),$P$20))-SUM($P828:AO828)</f>
        <v>#VALUE!</v>
      </c>
      <c r="AQ828" s="446" t="e">
        <f>IF(OR($B828="",MIN(AQ$38,$D$19)&lt;MAX($P$708*($B828+IF($R$17="Distrato",$I$38-1,0)),IF(AND($L$711=0,$P$708=0),"",$L$711-1),IF($R$17="Distrato",$E828,0))),0,YEARFRAC(MAX($P$708*($B828+IF($R$17="Distrato",$I$38-1,0)),IF(AND($L$711=0,$P$708=0),"",$L$711-1),IF($R$17="Distrato",$E828,0)),MIN(AQ$38,$D$19),$P$20))-SUM($P828:AP828)</f>
        <v>#VALUE!</v>
      </c>
      <c r="AR828" s="446" t="e">
        <f>IF(OR($B828="",MIN(AR$38,$D$19)&lt;MAX($P$708*($B828+IF($R$17="Distrato",$I$38-1,0)),IF(AND($L$711=0,$P$708=0),"",$L$711-1),IF($R$17="Distrato",$E828,0))),0,YEARFRAC(MAX($P$708*($B828+IF($R$17="Distrato",$I$38-1,0)),IF(AND($L$711=0,$P$708=0),"",$L$711-1),IF($R$17="Distrato",$E828,0)),MIN(AR$38,$D$19),$P$20))-SUM($P828:AQ828)</f>
        <v>#VALUE!</v>
      </c>
      <c r="AS828" s="446" t="e">
        <f>IF(OR($B828="",MIN(AS$38,$D$19)&lt;MAX($P$708*($B828+IF($R$17="Distrato",$I$38-1,0)),IF(AND($L$711=0,$P$708=0),"",$L$711-1),IF($R$17="Distrato",$E828,0))),0,YEARFRAC(MAX($P$708*($B828+IF($R$17="Distrato",$I$38-1,0)),IF(AND($L$711=0,$P$708=0),"",$L$711-1),IF($R$17="Distrato",$E828,0)),MIN(AS$38,$D$19),$P$20))-SUM($P828:AR828)</f>
        <v>#VALUE!</v>
      </c>
      <c r="AT828" s="446" t="e">
        <f>IF(OR($B828="",MIN(AT$38,$D$19)&lt;MAX($P$708*($B828+IF($R$17="Distrato",$I$38-1,0)),IF(AND($L$711=0,$P$708=0),"",$L$711-1),IF($R$17="Distrato",$E828,0))),0,YEARFRAC(MAX($P$708*($B828+IF($R$17="Distrato",$I$38-1,0)),IF(AND($L$711=0,$P$708=0),"",$L$711-1),IF($R$17="Distrato",$E828,0)),MIN(AT$38,$D$19),$P$20))-SUM($P828:AS828)</f>
        <v>#VALUE!</v>
      </c>
      <c r="AU828" s="446" t="e">
        <f>IF(OR($B828="",MIN(AU$38,$D$19)&lt;MAX($P$708*($B828+IF($R$17="Distrato",$I$38-1,0)),IF(AND($L$711=0,$P$708=0),"",$L$711-1),IF($R$17="Distrato",$E828,0))),0,YEARFRAC(MAX($P$708*($B828+IF($R$17="Distrato",$I$38-1,0)),IF(AND($L$711=0,$P$708=0),"",$L$711-1),IF($R$17="Distrato",$E828,0)),MIN(AU$38,$D$19),$P$20))-SUM($P828:AT828)</f>
        <v>#VALUE!</v>
      </c>
      <c r="AV828" s="446" t="e">
        <f>IF(OR($B828="",MIN(AV$38,$D$19)&lt;MAX($P$708*($B828+IF($R$17="Distrato",$I$38-1,0)),IF(AND($L$711=0,$P$708=0),"",$L$711-1),IF($R$17="Distrato",$E828,0))),0,YEARFRAC(MAX($P$708*($B828+IF($R$17="Distrato",$I$38-1,0)),IF(AND($L$711=0,$P$708=0),"",$L$711-1),IF($R$17="Distrato",$E828,0)),MIN(AV$38,$D$19),$P$20))-SUM($P828:AU828)</f>
        <v>#VALUE!</v>
      </c>
      <c r="AW828" s="446" t="e">
        <f>IF(OR($B828="",MIN(AW$38,$D$19)&lt;MAX($P$708*($B828+IF($R$17="Distrato",$I$38-1,0)),IF(AND($L$711=0,$P$708=0),"",$L$711-1),IF($R$17="Distrato",$E828,0))),0,YEARFRAC(MAX($P$708*($B828+IF($R$17="Distrato",$I$38-1,0)),IF(AND($L$711=0,$P$708=0),"",$L$711-1),IF($R$17="Distrato",$E828,0)),MIN(AW$38,$D$19),$P$20))-SUM($P828:AV828)</f>
        <v>#VALUE!</v>
      </c>
      <c r="AX828" s="446" t="e">
        <f>IF(OR($B828="",MIN(AX$38,$D$19)&lt;MAX($P$708*($B828+IF($R$17="Distrato",$I$38-1,0)),IF(AND($L$711=0,$P$708=0),"",$L$711-1),IF($R$17="Distrato",$E828,0))),0,YEARFRAC(MAX($P$708*($B828+IF($R$17="Distrato",$I$38-1,0)),IF(AND($L$711=0,$P$708=0),"",$L$711-1),IF($R$17="Distrato",$E828,0)),MIN(AX$38,$D$19),$P$20))-SUM($P828:AW828)</f>
        <v>#VALUE!</v>
      </c>
      <c r="AY828" s="446" t="e">
        <f>IF(OR($B828="",MIN(AY$38,$D$19)&lt;MAX($P$708*($B828+IF($R$17="Distrato",$I$38-1,0)),IF(AND($L$711=0,$P$708=0),"",$L$711-1),IF($R$17="Distrato",$E828,0))),0,YEARFRAC(MAX($P$708*($B828+IF($R$17="Distrato",$I$38-1,0)),IF(AND($L$711=0,$P$708=0),"",$L$711-1),IF($R$17="Distrato",$E828,0)),MIN(AY$38,$D$19),$P$20))-SUM($P828:AX828)</f>
        <v>#VALUE!</v>
      </c>
      <c r="AZ828" s="446" t="e">
        <f>IF(OR($B828="",MIN(AZ$38,$D$19)&lt;MAX($P$708*($B828+IF($R$17="Distrato",$I$38-1,0)),IF(AND($L$711=0,$P$708=0),"",$L$711-1),IF($R$17="Distrato",$E828,0))),0,YEARFRAC(MAX($P$708*($B828+IF($R$17="Distrato",$I$38-1,0)),IF(AND($L$711=0,$P$708=0),"",$L$711-1),IF($R$17="Distrato",$E828,0)),MIN(AZ$38,$D$19),$P$20))-SUM($P828:AY828)</f>
        <v>#VALUE!</v>
      </c>
      <c r="BA828" s="446" t="e">
        <f>IF(OR($B828="",MIN(BA$38,$D$19)&lt;MAX($P$708*($B828+IF($R$17="Distrato",$I$38-1,0)),IF(AND($L$711=0,$P$708=0),"",$L$711-1),IF($R$17="Distrato",$E828,0))),0,YEARFRAC(MAX($P$708*($B828+IF($R$17="Distrato",$I$38-1,0)),IF(AND($L$711=0,$P$708=0),"",$L$711-1),IF($R$17="Distrato",$E828,0)),MIN(BA$38,$D$19),$P$20))-SUM($P828:AZ828)</f>
        <v>#VALUE!</v>
      </c>
      <c r="BB828" s="447"/>
    </row>
    <row r="829" spans="1:54" s="446" customFormat="1" ht="11.25" hidden="1" customHeight="1" x14ac:dyDescent="0.2">
      <c r="A829" s="235"/>
      <c r="B829" s="236"/>
      <c r="C829" s="29" t="str">
        <f>IF(B829="","",IF($L$709=$BL$25,VLOOKUP(DATE(YEAR($D$19),MONTH($D$19)-1,1),ÍNDICES!$A:$DE,HLOOKUP($BL$25,ÍNDICES!$B$3:$T$4,2)+11)-VLOOKUP(B829,ÍNDICES!$A:$DE,HLOOKUP($BL$25,ÍNDICES!$B$3:$T$4,2)+11)+1%,IF(C$712=$W$26,$J$35,IF(ISERROR(IF(B829&gt;$D$19,1,VLOOKUP(DATE(YEAR(B829),MONTH(B829)+IF($C$709=$S$23,1,0),1),ÍNDICES!$A:$DE,$Z$709+1))),"",IF(B829&gt;$D$19,1,VLOOKUP(DATE(YEAR(B829),MONTH(B829)+IF($C$709=$S$23,1,0),1),ÍNDICES!$A:$DE,$Z$709+1))))))</f>
        <v/>
      </c>
      <c r="D829" s="155"/>
      <c r="E829" s="88"/>
      <c r="F829" s="88"/>
      <c r="G829" s="88"/>
      <c r="H829" s="118"/>
      <c r="I829" s="182">
        <f t="shared" si="122"/>
        <v>0</v>
      </c>
      <c r="J829" s="20">
        <f t="shared" ca="1" si="123"/>
        <v>0</v>
      </c>
      <c r="K829" s="5">
        <f t="shared" ca="1" si="124"/>
        <v>0</v>
      </c>
      <c r="L829" s="61">
        <f t="shared" ca="1" si="125"/>
        <v>0</v>
      </c>
      <c r="M829" s="64">
        <f t="shared" si="126"/>
        <v>0</v>
      </c>
      <c r="N829" s="151"/>
      <c r="O829" s="5">
        <f t="shared" ca="1" si="127"/>
        <v>0</v>
      </c>
      <c r="P829" s="446" t="e">
        <f t="shared" si="128"/>
        <v>#VALUE!</v>
      </c>
      <c r="Q829" s="446" t="e">
        <f>IF(OR($B829="",MIN(Q$38,$D$19)&lt;MAX($P$708*($B829+IF($R$17="Distrato",$I$38-1,0)),IF(AND($L$711=0,$P$708=0),"",$L$711-1),IF($R$17="Distrato",$E829,0))),0,YEARFRAC(MAX($P$708*($B829+IF($R$17="Distrato",$I$38-1,0)),IF(AND($L$711=0,$P$708=0),"",$L$711-1),IF($R$17="Distrato",$E829,0)),MIN(Q$38,$D$19),$P$20))-SUM($P829:P829)</f>
        <v>#VALUE!</v>
      </c>
      <c r="R829" s="446" t="e">
        <f>IF(OR($B829="",MIN(R$38,$D$19)&lt;MAX($P$708*($B829+IF($R$17="Distrato",$I$38-1,0)),IF(AND($L$711=0,$P$708=0),"",$L$711-1),IF($R$17="Distrato",$E829,0))),0,YEARFRAC(MAX($P$708*($B829+IF($R$17="Distrato",$I$38-1,0)),IF(AND($L$711=0,$P$708=0),"",$L$711-1),IF($R$17="Distrato",$E829,0)),MIN(R$38,$D$19),$P$20))-SUM($P829:Q829)</f>
        <v>#VALUE!</v>
      </c>
      <c r="S829" s="446" t="e">
        <f>IF(OR($B829="",MIN(S$38,$D$19)&lt;MAX($P$708*($B829+IF($R$17="Distrato",$I$38-1,0)),IF(AND($L$711=0,$P$708=0),"",$L$711-1),IF($R$17="Distrato",$E829,0))),0,YEARFRAC(MAX($P$708*($B829+IF($R$17="Distrato",$I$38-1,0)),IF(AND($L$711=0,$P$708=0),"",$L$711-1),IF($R$17="Distrato",$E829,0)),MIN(S$38,$D$19),$P$20))-SUM($P829:R829)</f>
        <v>#VALUE!</v>
      </c>
      <c r="T829" s="446" t="e">
        <f>IF(OR($B829="",MIN(T$38,$D$19)&lt;MAX($P$708*($B829+IF($R$17="Distrato",$I$38-1,0)),IF(AND($L$711=0,$P$708=0),"",$L$711-1),IF($R$17="Distrato",$E829,0))),0,YEARFRAC(MAX($P$708*($B829+IF($R$17="Distrato",$I$38-1,0)),IF(AND($L$711=0,$P$708=0),"",$L$711-1),IF($R$17="Distrato",$E829,0)),MIN(T$38,$D$19),$P$20))-SUM($P829:S829)</f>
        <v>#VALUE!</v>
      </c>
      <c r="U829" s="446" t="e">
        <f>IF(OR($B829="",MIN(U$38,$D$19)&lt;MAX($P$708*($B829+IF($R$17="Distrato",$I$38-1,0)),IF(AND($L$711=0,$P$708=0),"",$L$711-1),IF($R$17="Distrato",$E829,0))),0,YEARFRAC(MAX($P$708*($B829+IF($R$17="Distrato",$I$38-1,0)),IF(AND($L$711=0,$P$708=0),"",$L$711-1),IF($R$17="Distrato",$E829,0)),MIN(U$38,$D$19),$P$20))-SUM($P829:T829)</f>
        <v>#VALUE!</v>
      </c>
      <c r="V829" s="446" t="e">
        <f>IF(OR($B829="",MIN(V$38,$D$19)&lt;MAX($P$708*($B829+IF($R$17="Distrato",$I$38-1,0)),IF(AND($L$711=0,$P$708=0),"",$L$711-1),IF($R$17="Distrato",$E829,0))),0,YEARFRAC(MAX($P$708*($B829+IF($R$17="Distrato",$I$38-1,0)),IF(AND($L$711=0,$P$708=0),"",$L$711-1),IF($R$17="Distrato",$E829,0)),MIN(V$38,$D$19),$P$20))-SUM($P829:U829)</f>
        <v>#VALUE!</v>
      </c>
      <c r="W829" s="446" t="e">
        <f>IF(OR($B829="",MIN(W$38,$D$19)&lt;MAX($P$708*($B829+IF($R$17="Distrato",$I$38-1,0)),IF(AND($L$711=0,$P$708=0),"",$L$711-1),IF($R$17="Distrato",$E829,0))),0,YEARFRAC(MAX($P$708*($B829+IF($R$17="Distrato",$I$38-1,0)),IF(AND($L$711=0,$P$708=0),"",$L$711-1),IF($R$17="Distrato",$E829,0)),MIN(W$38,$D$19),$P$20))-SUM($P829:V829)</f>
        <v>#VALUE!</v>
      </c>
      <c r="X829" s="446" t="e">
        <f>IF(OR($B829="",MIN(X$38,$D$19)&lt;MAX($P$708*($B829+IF($R$17="Distrato",$I$38-1,0)),IF(AND($L$711=0,$P$708=0),"",$L$711-1),IF($R$17="Distrato",$E829,0))),0,YEARFRAC(MAX($P$708*($B829+IF($R$17="Distrato",$I$38-1,0)),IF(AND($L$711=0,$P$708=0),"",$L$711-1),IF($R$17="Distrato",$E829,0)),MIN(X$38,$D$19),$P$20))-SUM($P829:W829)</f>
        <v>#VALUE!</v>
      </c>
      <c r="Y829" s="446" t="e">
        <f>IF(OR($B829="",MIN(Y$38,$D$19)&lt;MAX($P$708*($B829+IF($R$17="Distrato",$I$38-1,0)),IF(AND($L$711=0,$P$708=0),"",$L$711-1),IF($R$17="Distrato",$E829,0))),0,YEARFRAC(MAX($P$708*($B829+IF($R$17="Distrato",$I$38-1,0)),IF(AND($L$711=0,$P$708=0),"",$L$711-1),IF($R$17="Distrato",$E829,0)),MIN(Y$38,$D$19),$P$20))-SUM($P829:X829)</f>
        <v>#VALUE!</v>
      </c>
      <c r="Z829" s="446" t="e">
        <f>IF(OR($B829="",MIN(Z$38,$D$19)&lt;MAX($P$708*($B829+IF($R$17="Distrato",$I$38-1,0)),IF(AND($L$711=0,$P$708=0),"",$L$711-1),IF($R$17="Distrato",$E829,0))),0,YEARFRAC(MAX($P$708*($B829+IF($R$17="Distrato",$I$38-1,0)),IF(AND($L$711=0,$P$708=0),"",$L$711-1),IF($R$17="Distrato",$E829,0)),MIN(Z$38,$D$19),$P$20))-SUM($P829:Y829)</f>
        <v>#VALUE!</v>
      </c>
      <c r="AA829" s="446" t="e">
        <f>IF(OR($B829="",MIN(AA$38,$D$19)&lt;MAX($P$708*($B829+IF($R$17="Distrato",$I$38-1,0)),IF(AND($L$711=0,$P$708=0),"",$L$711-1),IF($R$17="Distrato",$E829,0))),0,YEARFRAC(MAX($P$708*($B829+IF($R$17="Distrato",$I$38-1,0)),IF(AND($L$711=0,$P$708=0),"",$L$711-1),IF($R$17="Distrato",$E829,0)),MIN(AA$38,$D$19),$P$20))-SUM($P829:Z829)</f>
        <v>#VALUE!</v>
      </c>
      <c r="AB829" s="446" t="e">
        <f>IF(OR($B829="",MIN(AB$38,$D$19)&lt;MAX($P$708*($B829+IF($R$17="Distrato",$I$38-1,0)),IF(AND($L$711=0,$P$708=0),"",$L$711-1),IF($R$17="Distrato",$E829,0))),0,YEARFRAC(MAX($P$708*($B829+IF($R$17="Distrato",$I$38-1,0)),IF(AND($L$711=0,$P$708=0),"",$L$711-1),IF($R$17="Distrato",$E829,0)),MIN(AB$38,$D$19),$P$20))-SUM($P829:AA829)</f>
        <v>#VALUE!</v>
      </c>
      <c r="AC829" s="446" t="e">
        <f>IF(OR($B829="",MIN(AC$38,$D$19)&lt;MAX($P$708*($B829+IF($R$17="Distrato",$I$38-1,0)),IF(AND($L$711=0,$P$708=0),"",$L$711-1),IF($R$17="Distrato",$E829,0))),0,YEARFRAC(MAX($P$708*($B829+IF($R$17="Distrato",$I$38-1,0)),IF(AND($L$711=0,$P$708=0),"",$L$711-1),IF($R$17="Distrato",$E829,0)),MIN(AC$38,$D$19),$P$20))-SUM($P829:AB829)</f>
        <v>#VALUE!</v>
      </c>
      <c r="AD829" s="446" t="e">
        <f>IF(OR($B829="",MIN(AD$38,$D$19)&lt;MAX($P$708*($B829+IF($R$17="Distrato",$I$38-1,0)),IF(AND($L$711=0,$P$708=0),"",$L$711-1),IF($R$17="Distrato",$E829,0))),0,YEARFRAC(MAX($P$708*($B829+IF($R$17="Distrato",$I$38-1,0)),IF(AND($L$711=0,$P$708=0),"",$L$711-1),IF($R$17="Distrato",$E829,0)),MIN(AD$38,$D$19),$P$20))-SUM($P829:AC829)</f>
        <v>#VALUE!</v>
      </c>
      <c r="AE829" s="446" t="e">
        <f>IF(OR($B829="",MIN(AE$38,$D$19)&lt;MAX($P$708*($B829+IF($R$17="Distrato",$I$38-1,0)),IF(AND($L$711=0,$P$708=0),"",$L$711-1),IF($R$17="Distrato",$E829,0))),0,YEARFRAC(MAX($P$708*($B829+IF($R$17="Distrato",$I$38-1,0)),IF(AND($L$711=0,$P$708=0),"",$L$711-1),IF($R$17="Distrato",$E829,0)),MIN(AE$38,$D$19),$P$20))-SUM($P829:AD829)</f>
        <v>#VALUE!</v>
      </c>
      <c r="AF829" s="446" t="e">
        <f>IF(OR($B829="",MIN(AF$38,$D$19)&lt;MAX($P$708*($B829+IF($R$17="Distrato",$I$38-1,0)),IF(AND($L$711=0,$P$708=0),"",$L$711-1),IF($R$17="Distrato",$E829,0))),0,YEARFRAC(MAX($P$708*($B829+IF($R$17="Distrato",$I$38-1,0)),IF(AND($L$711=0,$P$708=0),"",$L$711-1),IF($R$17="Distrato",$E829,0)),MIN(AF$38,$D$19),$P$20))-SUM($P829:AE829)</f>
        <v>#VALUE!</v>
      </c>
      <c r="AG829" s="446" t="e">
        <f>IF(OR($B829="",MIN(AG$38,$D$19)&lt;MAX($P$708*($B829+IF($R$17="Distrato",$I$38-1,0)),IF(AND($L$711=0,$P$708=0),"",$L$711-1),IF($R$17="Distrato",$E829,0))),0,YEARFRAC(MAX($P$708*($B829+IF($R$17="Distrato",$I$38-1,0)),IF(AND($L$711=0,$P$708=0),"",$L$711-1),IF($R$17="Distrato",$E829,0)),MIN(AG$38,$D$19),$P$20))-SUM($P829:AF829)</f>
        <v>#VALUE!</v>
      </c>
      <c r="AH829" s="446" t="e">
        <f>IF(OR($B829="",MIN(AH$38,$D$19)&lt;MAX($P$708*($B829+IF($R$17="Distrato",$I$38-1,0)),IF(AND($L$711=0,$P$708=0),"",$L$711-1),IF($R$17="Distrato",$E829,0))),0,YEARFRAC(MAX($P$708*($B829+IF($R$17="Distrato",$I$38-1,0)),IF(AND($L$711=0,$P$708=0),"",$L$711-1),IF($R$17="Distrato",$E829,0)),MIN(AH$38,$D$19),$P$20))-SUM($P829:AG829)</f>
        <v>#VALUE!</v>
      </c>
      <c r="AI829" s="446" t="e">
        <f>IF(OR($B829="",MIN(AI$38,$D$19)&lt;MAX($P$708*($B829+IF($R$17="Distrato",$I$38-1,0)),IF(AND($L$711=0,$P$708=0),"",$L$711-1),IF($R$17="Distrato",$E829,0))),0,YEARFRAC(MAX($P$708*($B829+IF($R$17="Distrato",$I$38-1,0)),IF(AND($L$711=0,$P$708=0),"",$L$711-1),IF($R$17="Distrato",$E829,0)),MIN(AI$38,$D$19),$P$20))-SUM($P829:AH829)</f>
        <v>#VALUE!</v>
      </c>
      <c r="AJ829" s="446" t="e">
        <f>IF(OR($B829="",MIN(AJ$38,$D$19)&lt;MAX($P$708*($B829+IF($R$17="Distrato",$I$38-1,0)),IF(AND($L$711=0,$P$708=0),"",$L$711-1),IF($R$17="Distrato",$E829,0))),0,YEARFRAC(MAX($P$708*($B829+IF($R$17="Distrato",$I$38-1,0)),IF(AND($L$711=0,$P$708=0),"",$L$711-1),IF($R$17="Distrato",$E829,0)),MIN(AJ$38,$D$19),$P$20))-SUM($P829:AI829)</f>
        <v>#VALUE!</v>
      </c>
      <c r="AK829" s="446" t="e">
        <f>IF(OR($B829="",MIN(AK$38,$D$19)&lt;MAX($P$708*($B829+IF($R$17="Distrato",$I$38-1,0)),IF(AND($L$711=0,$P$708=0),"",$L$711-1),IF($R$17="Distrato",$E829,0))),0,YEARFRAC(MAX($P$708*($B829+IF($R$17="Distrato",$I$38-1,0)),IF(AND($L$711=0,$P$708=0),"",$L$711-1),IF($R$17="Distrato",$E829,0)),MIN(AK$38,$D$19),$P$20))-SUM($P829:AJ829)</f>
        <v>#VALUE!</v>
      </c>
      <c r="AL829" s="446" t="e">
        <f>IF(OR($B829="",MIN(AL$38,$D$19)&lt;MAX($P$708*($B829+IF($R$17="Distrato",$I$38-1,0)),IF(AND($L$711=0,$P$708=0),"",$L$711-1),IF($R$17="Distrato",$E829,0))),0,YEARFRAC(MAX($P$708*($B829+IF($R$17="Distrato",$I$38-1,0)),IF(AND($L$711=0,$P$708=0),"",$L$711-1),IF($R$17="Distrato",$E829,0)),MIN(AL$38,$D$19),$P$20))-SUM($P829:AK829)</f>
        <v>#VALUE!</v>
      </c>
      <c r="AM829" s="446" t="e">
        <f>IF(OR($B829="",MIN(AM$38,$D$19)&lt;MAX($P$708*($B829+IF($R$17="Distrato",$I$38-1,0)),IF(AND($L$711=0,$P$708=0),"",$L$711-1),IF($R$17="Distrato",$E829,0))),0,YEARFRAC(MAX($P$708*($B829+IF($R$17="Distrato",$I$38-1,0)),IF(AND($L$711=0,$P$708=0),"",$L$711-1),IF($R$17="Distrato",$E829,0)),MIN(AM$38,$D$19),$P$20))-SUM($P829:AL829)</f>
        <v>#VALUE!</v>
      </c>
      <c r="AN829" s="446" t="e">
        <f>IF(OR($B829="",MIN(AN$38,$D$19)&lt;MAX($P$708*($B829+IF($R$17="Distrato",$I$38-1,0)),IF(AND($L$711=0,$P$708=0),"",$L$711-1),IF($R$17="Distrato",$E829,0))),0,YEARFRAC(MAX($P$708*($B829+IF($R$17="Distrato",$I$38-1,0)),IF(AND($L$711=0,$P$708=0),"",$L$711-1),IF($R$17="Distrato",$E829,0)),MIN(AN$38,$D$19),$P$20))-SUM($P829:AM829)</f>
        <v>#VALUE!</v>
      </c>
      <c r="AO829" s="446" t="e">
        <f>IF(OR($B829="",MIN(AO$38,$D$19)&lt;MAX($P$708*($B829+IF($R$17="Distrato",$I$38-1,0)),IF(AND($L$711=0,$P$708=0),"",$L$711-1),IF($R$17="Distrato",$E829,0))),0,YEARFRAC(MAX($P$708*($B829+IF($R$17="Distrato",$I$38-1,0)),IF(AND($L$711=0,$P$708=0),"",$L$711-1),IF($R$17="Distrato",$E829,0)),MIN(AO$38,$D$19),$P$20))-SUM($P829:AN829)</f>
        <v>#VALUE!</v>
      </c>
      <c r="AP829" s="446" t="e">
        <f>IF(OR($B829="",MIN(AP$38,$D$19)&lt;MAX($P$708*($B829+IF($R$17="Distrato",$I$38-1,0)),IF(AND($L$711=0,$P$708=0),"",$L$711-1),IF($R$17="Distrato",$E829,0))),0,YEARFRAC(MAX($P$708*($B829+IF($R$17="Distrato",$I$38-1,0)),IF(AND($L$711=0,$P$708=0),"",$L$711-1),IF($R$17="Distrato",$E829,0)),MIN(AP$38,$D$19),$P$20))-SUM($P829:AO829)</f>
        <v>#VALUE!</v>
      </c>
      <c r="AQ829" s="446" t="e">
        <f>IF(OR($B829="",MIN(AQ$38,$D$19)&lt;MAX($P$708*($B829+IF($R$17="Distrato",$I$38-1,0)),IF(AND($L$711=0,$P$708=0),"",$L$711-1),IF($R$17="Distrato",$E829,0))),0,YEARFRAC(MAX($P$708*($B829+IF($R$17="Distrato",$I$38-1,0)),IF(AND($L$711=0,$P$708=0),"",$L$711-1),IF($R$17="Distrato",$E829,0)),MIN(AQ$38,$D$19),$P$20))-SUM($P829:AP829)</f>
        <v>#VALUE!</v>
      </c>
      <c r="AR829" s="446" t="e">
        <f>IF(OR($B829="",MIN(AR$38,$D$19)&lt;MAX($P$708*($B829+IF($R$17="Distrato",$I$38-1,0)),IF(AND($L$711=0,$P$708=0),"",$L$711-1),IF($R$17="Distrato",$E829,0))),0,YEARFRAC(MAX($P$708*($B829+IF($R$17="Distrato",$I$38-1,0)),IF(AND($L$711=0,$P$708=0),"",$L$711-1),IF($R$17="Distrato",$E829,0)),MIN(AR$38,$D$19),$P$20))-SUM($P829:AQ829)</f>
        <v>#VALUE!</v>
      </c>
      <c r="AS829" s="446" t="e">
        <f>IF(OR($B829="",MIN(AS$38,$D$19)&lt;MAX($P$708*($B829+IF($R$17="Distrato",$I$38-1,0)),IF(AND($L$711=0,$P$708=0),"",$L$711-1),IF($R$17="Distrato",$E829,0))),0,YEARFRAC(MAX($P$708*($B829+IF($R$17="Distrato",$I$38-1,0)),IF(AND($L$711=0,$P$708=0),"",$L$711-1),IF($R$17="Distrato",$E829,0)),MIN(AS$38,$D$19),$P$20))-SUM($P829:AR829)</f>
        <v>#VALUE!</v>
      </c>
      <c r="AT829" s="446" t="e">
        <f>IF(OR($B829="",MIN(AT$38,$D$19)&lt;MAX($P$708*($B829+IF($R$17="Distrato",$I$38-1,0)),IF(AND($L$711=0,$P$708=0),"",$L$711-1),IF($R$17="Distrato",$E829,0))),0,YEARFRAC(MAX($P$708*($B829+IF($R$17="Distrato",$I$38-1,0)),IF(AND($L$711=0,$P$708=0),"",$L$711-1),IF($R$17="Distrato",$E829,0)),MIN(AT$38,$D$19),$P$20))-SUM($P829:AS829)</f>
        <v>#VALUE!</v>
      </c>
      <c r="AU829" s="446" t="e">
        <f>IF(OR($B829="",MIN(AU$38,$D$19)&lt;MAX($P$708*($B829+IF($R$17="Distrato",$I$38-1,0)),IF(AND($L$711=0,$P$708=0),"",$L$711-1),IF($R$17="Distrato",$E829,0))),0,YEARFRAC(MAX($P$708*($B829+IF($R$17="Distrato",$I$38-1,0)),IF(AND($L$711=0,$P$708=0),"",$L$711-1),IF($R$17="Distrato",$E829,0)),MIN(AU$38,$D$19),$P$20))-SUM($P829:AT829)</f>
        <v>#VALUE!</v>
      </c>
      <c r="AV829" s="446" t="e">
        <f>IF(OR($B829="",MIN(AV$38,$D$19)&lt;MAX($P$708*($B829+IF($R$17="Distrato",$I$38-1,0)),IF(AND($L$711=0,$P$708=0),"",$L$711-1),IF($R$17="Distrato",$E829,0))),0,YEARFRAC(MAX($P$708*($B829+IF($R$17="Distrato",$I$38-1,0)),IF(AND($L$711=0,$P$708=0),"",$L$711-1),IF($R$17="Distrato",$E829,0)),MIN(AV$38,$D$19),$P$20))-SUM($P829:AU829)</f>
        <v>#VALUE!</v>
      </c>
      <c r="AW829" s="446" t="e">
        <f>IF(OR($B829="",MIN(AW$38,$D$19)&lt;MAX($P$708*($B829+IF($R$17="Distrato",$I$38-1,0)),IF(AND($L$711=0,$P$708=0),"",$L$711-1),IF($R$17="Distrato",$E829,0))),0,YEARFRAC(MAX($P$708*($B829+IF($R$17="Distrato",$I$38-1,0)),IF(AND($L$711=0,$P$708=0),"",$L$711-1),IF($R$17="Distrato",$E829,0)),MIN(AW$38,$D$19),$P$20))-SUM($P829:AV829)</f>
        <v>#VALUE!</v>
      </c>
      <c r="AX829" s="446" t="e">
        <f>IF(OR($B829="",MIN(AX$38,$D$19)&lt;MAX($P$708*($B829+IF($R$17="Distrato",$I$38-1,0)),IF(AND($L$711=0,$P$708=0),"",$L$711-1),IF($R$17="Distrato",$E829,0))),0,YEARFRAC(MAX($P$708*($B829+IF($R$17="Distrato",$I$38-1,0)),IF(AND($L$711=0,$P$708=0),"",$L$711-1),IF($R$17="Distrato",$E829,0)),MIN(AX$38,$D$19),$P$20))-SUM($P829:AW829)</f>
        <v>#VALUE!</v>
      </c>
      <c r="AY829" s="446" t="e">
        <f>IF(OR($B829="",MIN(AY$38,$D$19)&lt;MAX($P$708*($B829+IF($R$17="Distrato",$I$38-1,0)),IF(AND($L$711=0,$P$708=0),"",$L$711-1),IF($R$17="Distrato",$E829,0))),0,YEARFRAC(MAX($P$708*($B829+IF($R$17="Distrato",$I$38-1,0)),IF(AND($L$711=0,$P$708=0),"",$L$711-1),IF($R$17="Distrato",$E829,0)),MIN(AY$38,$D$19),$P$20))-SUM($P829:AX829)</f>
        <v>#VALUE!</v>
      </c>
      <c r="AZ829" s="446" t="e">
        <f>IF(OR($B829="",MIN(AZ$38,$D$19)&lt;MAX($P$708*($B829+IF($R$17="Distrato",$I$38-1,0)),IF(AND($L$711=0,$P$708=0),"",$L$711-1),IF($R$17="Distrato",$E829,0))),0,YEARFRAC(MAX($P$708*($B829+IF($R$17="Distrato",$I$38-1,0)),IF(AND($L$711=0,$P$708=0),"",$L$711-1),IF($R$17="Distrato",$E829,0)),MIN(AZ$38,$D$19),$P$20))-SUM($P829:AY829)</f>
        <v>#VALUE!</v>
      </c>
      <c r="BA829" s="446" t="e">
        <f>IF(OR($B829="",MIN(BA$38,$D$19)&lt;MAX($P$708*($B829+IF($R$17="Distrato",$I$38-1,0)),IF(AND($L$711=0,$P$708=0),"",$L$711-1),IF($R$17="Distrato",$E829,0))),0,YEARFRAC(MAX($P$708*($B829+IF($R$17="Distrato",$I$38-1,0)),IF(AND($L$711=0,$P$708=0),"",$L$711-1),IF($R$17="Distrato",$E829,0)),MIN(BA$38,$D$19),$P$20))-SUM($P829:AZ829)</f>
        <v>#VALUE!</v>
      </c>
      <c r="BB829" s="447"/>
    </row>
    <row r="830" spans="1:54" s="446" customFormat="1" ht="11.25" hidden="1" customHeight="1" x14ac:dyDescent="0.2">
      <c r="A830" s="235"/>
      <c r="B830" s="236"/>
      <c r="C830" s="29" t="str">
        <f>IF(B830="","",IF($L$709=$BL$25,VLOOKUP(DATE(YEAR($D$19),MONTH($D$19)-1,1),ÍNDICES!$A:$DE,HLOOKUP($BL$25,ÍNDICES!$B$3:$T$4,2)+11)-VLOOKUP(B830,ÍNDICES!$A:$DE,HLOOKUP($BL$25,ÍNDICES!$B$3:$T$4,2)+11)+1%,IF(C$712=$W$26,$J$35,IF(ISERROR(IF(B830&gt;$D$19,1,VLOOKUP(DATE(YEAR(B830),MONTH(B830)+IF($C$709=$S$23,1,0),1),ÍNDICES!$A:$DE,$Z$709+1))),"",IF(B830&gt;$D$19,1,VLOOKUP(DATE(YEAR(B830),MONTH(B830)+IF($C$709=$S$23,1,0),1),ÍNDICES!$A:$DE,$Z$709+1))))))</f>
        <v/>
      </c>
      <c r="D830" s="155"/>
      <c r="E830" s="88"/>
      <c r="F830" s="88"/>
      <c r="G830" s="88"/>
      <c r="H830" s="118"/>
      <c r="I830" s="182">
        <f t="shared" si="122"/>
        <v>0</v>
      </c>
      <c r="J830" s="20">
        <f t="shared" ca="1" si="123"/>
        <v>0</v>
      </c>
      <c r="K830" s="5">
        <f t="shared" ca="1" si="124"/>
        <v>0</v>
      </c>
      <c r="L830" s="61">
        <f t="shared" ca="1" si="125"/>
        <v>0</v>
      </c>
      <c r="M830" s="64">
        <f t="shared" si="126"/>
        <v>0</v>
      </c>
      <c r="N830" s="151"/>
      <c r="O830" s="5">
        <f t="shared" ca="1" si="127"/>
        <v>0</v>
      </c>
      <c r="P830" s="446" t="e">
        <f t="shared" si="128"/>
        <v>#VALUE!</v>
      </c>
      <c r="Q830" s="446" t="e">
        <f>IF(OR($B830="",MIN(Q$38,$D$19)&lt;MAX($P$708*($B830+IF($R$17="Distrato",$I$38-1,0)),IF(AND($L$711=0,$P$708=0),"",$L$711-1),IF($R$17="Distrato",$E830,0))),0,YEARFRAC(MAX($P$708*($B830+IF($R$17="Distrato",$I$38-1,0)),IF(AND($L$711=0,$P$708=0),"",$L$711-1),IF($R$17="Distrato",$E830,0)),MIN(Q$38,$D$19),$P$20))-SUM($P830:P830)</f>
        <v>#VALUE!</v>
      </c>
      <c r="R830" s="446" t="e">
        <f>IF(OR($B830="",MIN(R$38,$D$19)&lt;MAX($P$708*($B830+IF($R$17="Distrato",$I$38-1,0)),IF(AND($L$711=0,$P$708=0),"",$L$711-1),IF($R$17="Distrato",$E830,0))),0,YEARFRAC(MAX($P$708*($B830+IF($R$17="Distrato",$I$38-1,0)),IF(AND($L$711=0,$P$708=0),"",$L$711-1),IF($R$17="Distrato",$E830,0)),MIN(R$38,$D$19),$P$20))-SUM($P830:Q830)</f>
        <v>#VALUE!</v>
      </c>
      <c r="S830" s="446" t="e">
        <f>IF(OR($B830="",MIN(S$38,$D$19)&lt;MAX($P$708*($B830+IF($R$17="Distrato",$I$38-1,0)),IF(AND($L$711=0,$P$708=0),"",$L$711-1),IF($R$17="Distrato",$E830,0))),0,YEARFRAC(MAX($P$708*($B830+IF($R$17="Distrato",$I$38-1,0)),IF(AND($L$711=0,$P$708=0),"",$L$711-1),IF($R$17="Distrato",$E830,0)),MIN(S$38,$D$19),$P$20))-SUM($P830:R830)</f>
        <v>#VALUE!</v>
      </c>
      <c r="T830" s="446" t="e">
        <f>IF(OR($B830="",MIN(T$38,$D$19)&lt;MAX($P$708*($B830+IF($R$17="Distrato",$I$38-1,0)),IF(AND($L$711=0,$P$708=0),"",$L$711-1),IF($R$17="Distrato",$E830,0))),0,YEARFRAC(MAX($P$708*($B830+IF($R$17="Distrato",$I$38-1,0)),IF(AND($L$711=0,$P$708=0),"",$L$711-1),IF($R$17="Distrato",$E830,0)),MIN(T$38,$D$19),$P$20))-SUM($P830:S830)</f>
        <v>#VALUE!</v>
      </c>
      <c r="U830" s="446" t="e">
        <f>IF(OR($B830="",MIN(U$38,$D$19)&lt;MAX($P$708*($B830+IF($R$17="Distrato",$I$38-1,0)),IF(AND($L$711=0,$P$708=0),"",$L$711-1),IF($R$17="Distrato",$E830,0))),0,YEARFRAC(MAX($P$708*($B830+IF($R$17="Distrato",$I$38-1,0)),IF(AND($L$711=0,$P$708=0),"",$L$711-1),IF($R$17="Distrato",$E830,0)),MIN(U$38,$D$19),$P$20))-SUM($P830:T830)</f>
        <v>#VALUE!</v>
      </c>
      <c r="V830" s="446" t="e">
        <f>IF(OR($B830="",MIN(V$38,$D$19)&lt;MAX($P$708*($B830+IF($R$17="Distrato",$I$38-1,0)),IF(AND($L$711=0,$P$708=0),"",$L$711-1),IF($R$17="Distrato",$E830,0))),0,YEARFRAC(MAX($P$708*($B830+IF($R$17="Distrato",$I$38-1,0)),IF(AND($L$711=0,$P$708=0),"",$L$711-1),IF($R$17="Distrato",$E830,0)),MIN(V$38,$D$19),$P$20))-SUM($P830:U830)</f>
        <v>#VALUE!</v>
      </c>
      <c r="W830" s="446" t="e">
        <f>IF(OR($B830="",MIN(W$38,$D$19)&lt;MAX($P$708*($B830+IF($R$17="Distrato",$I$38-1,0)),IF(AND($L$711=0,$P$708=0),"",$L$711-1),IF($R$17="Distrato",$E830,0))),0,YEARFRAC(MAX($P$708*($B830+IF($R$17="Distrato",$I$38-1,0)),IF(AND($L$711=0,$P$708=0),"",$L$711-1),IF($R$17="Distrato",$E830,0)),MIN(W$38,$D$19),$P$20))-SUM($P830:V830)</f>
        <v>#VALUE!</v>
      </c>
      <c r="X830" s="446" t="e">
        <f>IF(OR($B830="",MIN(X$38,$D$19)&lt;MAX($P$708*($B830+IF($R$17="Distrato",$I$38-1,0)),IF(AND($L$711=0,$P$708=0),"",$L$711-1),IF($R$17="Distrato",$E830,0))),0,YEARFRAC(MAX($P$708*($B830+IF($R$17="Distrato",$I$38-1,0)),IF(AND($L$711=0,$P$708=0),"",$L$711-1),IF($R$17="Distrato",$E830,0)),MIN(X$38,$D$19),$P$20))-SUM($P830:W830)</f>
        <v>#VALUE!</v>
      </c>
      <c r="Y830" s="446" t="e">
        <f>IF(OR($B830="",MIN(Y$38,$D$19)&lt;MAX($P$708*($B830+IF($R$17="Distrato",$I$38-1,0)),IF(AND($L$711=0,$P$708=0),"",$L$711-1),IF($R$17="Distrato",$E830,0))),0,YEARFRAC(MAX($P$708*($B830+IF($R$17="Distrato",$I$38-1,0)),IF(AND($L$711=0,$P$708=0),"",$L$711-1),IF($R$17="Distrato",$E830,0)),MIN(Y$38,$D$19),$P$20))-SUM($P830:X830)</f>
        <v>#VALUE!</v>
      </c>
      <c r="Z830" s="446" t="e">
        <f>IF(OR($B830="",MIN(Z$38,$D$19)&lt;MAX($P$708*($B830+IF($R$17="Distrato",$I$38-1,0)),IF(AND($L$711=0,$P$708=0),"",$L$711-1),IF($R$17="Distrato",$E830,0))),0,YEARFRAC(MAX($P$708*($B830+IF($R$17="Distrato",$I$38-1,0)),IF(AND($L$711=0,$P$708=0),"",$L$711-1),IF($R$17="Distrato",$E830,0)),MIN(Z$38,$D$19),$P$20))-SUM($P830:Y830)</f>
        <v>#VALUE!</v>
      </c>
      <c r="AA830" s="446" t="e">
        <f>IF(OR($B830="",MIN(AA$38,$D$19)&lt;MAX($P$708*($B830+IF($R$17="Distrato",$I$38-1,0)),IF(AND($L$711=0,$P$708=0),"",$L$711-1),IF($R$17="Distrato",$E830,0))),0,YEARFRAC(MAX($P$708*($B830+IF($R$17="Distrato",$I$38-1,0)),IF(AND($L$711=0,$P$708=0),"",$L$711-1),IF($R$17="Distrato",$E830,0)),MIN(AA$38,$D$19),$P$20))-SUM($P830:Z830)</f>
        <v>#VALUE!</v>
      </c>
      <c r="AB830" s="446" t="e">
        <f>IF(OR($B830="",MIN(AB$38,$D$19)&lt;MAX($P$708*($B830+IF($R$17="Distrato",$I$38-1,0)),IF(AND($L$711=0,$P$708=0),"",$L$711-1),IF($R$17="Distrato",$E830,0))),0,YEARFRAC(MAX($P$708*($B830+IF($R$17="Distrato",$I$38-1,0)),IF(AND($L$711=0,$P$708=0),"",$L$711-1),IF($R$17="Distrato",$E830,0)),MIN(AB$38,$D$19),$P$20))-SUM($P830:AA830)</f>
        <v>#VALUE!</v>
      </c>
      <c r="AC830" s="446" t="e">
        <f>IF(OR($B830="",MIN(AC$38,$D$19)&lt;MAX($P$708*($B830+IF($R$17="Distrato",$I$38-1,0)),IF(AND($L$711=0,$P$708=0),"",$L$711-1),IF($R$17="Distrato",$E830,0))),0,YEARFRAC(MAX($P$708*($B830+IF($R$17="Distrato",$I$38-1,0)),IF(AND($L$711=0,$P$708=0),"",$L$711-1),IF($R$17="Distrato",$E830,0)),MIN(AC$38,$D$19),$P$20))-SUM($P830:AB830)</f>
        <v>#VALUE!</v>
      </c>
      <c r="AD830" s="446" t="e">
        <f>IF(OR($B830="",MIN(AD$38,$D$19)&lt;MAX($P$708*($B830+IF($R$17="Distrato",$I$38-1,0)),IF(AND($L$711=0,$P$708=0),"",$L$711-1),IF($R$17="Distrato",$E830,0))),0,YEARFRAC(MAX($P$708*($B830+IF($R$17="Distrato",$I$38-1,0)),IF(AND($L$711=0,$P$708=0),"",$L$711-1),IF($R$17="Distrato",$E830,0)),MIN(AD$38,$D$19),$P$20))-SUM($P830:AC830)</f>
        <v>#VALUE!</v>
      </c>
      <c r="AE830" s="446" t="e">
        <f>IF(OR($B830="",MIN(AE$38,$D$19)&lt;MAX($P$708*($B830+IF($R$17="Distrato",$I$38-1,0)),IF(AND($L$711=0,$P$708=0),"",$L$711-1),IF($R$17="Distrato",$E830,0))),0,YEARFRAC(MAX($P$708*($B830+IF($R$17="Distrato",$I$38-1,0)),IF(AND($L$711=0,$P$708=0),"",$L$711-1),IF($R$17="Distrato",$E830,0)),MIN(AE$38,$D$19),$P$20))-SUM($P830:AD830)</f>
        <v>#VALUE!</v>
      </c>
      <c r="AF830" s="446" t="e">
        <f>IF(OR($B830="",MIN(AF$38,$D$19)&lt;MAX($P$708*($B830+IF($R$17="Distrato",$I$38-1,0)),IF(AND($L$711=0,$P$708=0),"",$L$711-1),IF($R$17="Distrato",$E830,0))),0,YEARFRAC(MAX($P$708*($B830+IF($R$17="Distrato",$I$38-1,0)),IF(AND($L$711=0,$P$708=0),"",$L$711-1),IF($R$17="Distrato",$E830,0)),MIN(AF$38,$D$19),$P$20))-SUM($P830:AE830)</f>
        <v>#VALUE!</v>
      </c>
      <c r="AG830" s="446" t="e">
        <f>IF(OR($B830="",MIN(AG$38,$D$19)&lt;MAX($P$708*($B830+IF($R$17="Distrato",$I$38-1,0)),IF(AND($L$711=0,$P$708=0),"",$L$711-1),IF($R$17="Distrato",$E830,0))),0,YEARFRAC(MAX($P$708*($B830+IF($R$17="Distrato",$I$38-1,0)),IF(AND($L$711=0,$P$708=0),"",$L$711-1),IF($R$17="Distrato",$E830,0)),MIN(AG$38,$D$19),$P$20))-SUM($P830:AF830)</f>
        <v>#VALUE!</v>
      </c>
      <c r="AH830" s="446" t="e">
        <f>IF(OR($B830="",MIN(AH$38,$D$19)&lt;MAX($P$708*($B830+IF($R$17="Distrato",$I$38-1,0)),IF(AND($L$711=0,$P$708=0),"",$L$711-1),IF($R$17="Distrato",$E830,0))),0,YEARFRAC(MAX($P$708*($B830+IF($R$17="Distrato",$I$38-1,0)),IF(AND($L$711=0,$P$708=0),"",$L$711-1),IF($R$17="Distrato",$E830,0)),MIN(AH$38,$D$19),$P$20))-SUM($P830:AG830)</f>
        <v>#VALUE!</v>
      </c>
      <c r="AI830" s="446" t="e">
        <f>IF(OR($B830="",MIN(AI$38,$D$19)&lt;MAX($P$708*($B830+IF($R$17="Distrato",$I$38-1,0)),IF(AND($L$711=0,$P$708=0),"",$L$711-1),IF($R$17="Distrato",$E830,0))),0,YEARFRAC(MAX($P$708*($B830+IF($R$17="Distrato",$I$38-1,0)),IF(AND($L$711=0,$P$708=0),"",$L$711-1),IF($R$17="Distrato",$E830,0)),MIN(AI$38,$D$19),$P$20))-SUM($P830:AH830)</f>
        <v>#VALUE!</v>
      </c>
      <c r="AJ830" s="446" t="e">
        <f>IF(OR($B830="",MIN(AJ$38,$D$19)&lt;MAX($P$708*($B830+IF($R$17="Distrato",$I$38-1,0)),IF(AND($L$711=0,$P$708=0),"",$L$711-1),IF($R$17="Distrato",$E830,0))),0,YEARFRAC(MAX($P$708*($B830+IF($R$17="Distrato",$I$38-1,0)),IF(AND($L$711=0,$P$708=0),"",$L$711-1),IF($R$17="Distrato",$E830,0)),MIN(AJ$38,$D$19),$P$20))-SUM($P830:AI830)</f>
        <v>#VALUE!</v>
      </c>
      <c r="AK830" s="446" t="e">
        <f>IF(OR($B830="",MIN(AK$38,$D$19)&lt;MAX($P$708*($B830+IF($R$17="Distrato",$I$38-1,0)),IF(AND($L$711=0,$P$708=0),"",$L$711-1),IF($R$17="Distrato",$E830,0))),0,YEARFRAC(MAX($P$708*($B830+IF($R$17="Distrato",$I$38-1,0)),IF(AND($L$711=0,$P$708=0),"",$L$711-1),IF($R$17="Distrato",$E830,0)),MIN(AK$38,$D$19),$P$20))-SUM($P830:AJ830)</f>
        <v>#VALUE!</v>
      </c>
      <c r="AL830" s="446" t="e">
        <f>IF(OR($B830="",MIN(AL$38,$D$19)&lt;MAX($P$708*($B830+IF($R$17="Distrato",$I$38-1,0)),IF(AND($L$711=0,$P$708=0),"",$L$711-1),IF($R$17="Distrato",$E830,0))),0,YEARFRAC(MAX($P$708*($B830+IF($R$17="Distrato",$I$38-1,0)),IF(AND($L$711=0,$P$708=0),"",$L$711-1),IF($R$17="Distrato",$E830,0)),MIN(AL$38,$D$19),$P$20))-SUM($P830:AK830)</f>
        <v>#VALUE!</v>
      </c>
      <c r="AM830" s="446" t="e">
        <f>IF(OR($B830="",MIN(AM$38,$D$19)&lt;MAX($P$708*($B830+IF($R$17="Distrato",$I$38-1,0)),IF(AND($L$711=0,$P$708=0),"",$L$711-1),IF($R$17="Distrato",$E830,0))),0,YEARFRAC(MAX($P$708*($B830+IF($R$17="Distrato",$I$38-1,0)),IF(AND($L$711=0,$P$708=0),"",$L$711-1),IF($R$17="Distrato",$E830,0)),MIN(AM$38,$D$19),$P$20))-SUM($P830:AL830)</f>
        <v>#VALUE!</v>
      </c>
      <c r="AN830" s="446" t="e">
        <f>IF(OR($B830="",MIN(AN$38,$D$19)&lt;MAX($P$708*($B830+IF($R$17="Distrato",$I$38-1,0)),IF(AND($L$711=0,$P$708=0),"",$L$711-1),IF($R$17="Distrato",$E830,0))),0,YEARFRAC(MAX($P$708*($B830+IF($R$17="Distrato",$I$38-1,0)),IF(AND($L$711=0,$P$708=0),"",$L$711-1),IF($R$17="Distrato",$E830,0)),MIN(AN$38,$D$19),$P$20))-SUM($P830:AM830)</f>
        <v>#VALUE!</v>
      </c>
      <c r="AO830" s="446" t="e">
        <f>IF(OR($B830="",MIN(AO$38,$D$19)&lt;MAX($P$708*($B830+IF($R$17="Distrato",$I$38-1,0)),IF(AND($L$711=0,$P$708=0),"",$L$711-1),IF($R$17="Distrato",$E830,0))),0,YEARFRAC(MAX($P$708*($B830+IF($R$17="Distrato",$I$38-1,0)),IF(AND($L$711=0,$P$708=0),"",$L$711-1),IF($R$17="Distrato",$E830,0)),MIN(AO$38,$D$19),$P$20))-SUM($P830:AN830)</f>
        <v>#VALUE!</v>
      </c>
      <c r="AP830" s="446" t="e">
        <f>IF(OR($B830="",MIN(AP$38,$D$19)&lt;MAX($P$708*($B830+IF($R$17="Distrato",$I$38-1,0)),IF(AND($L$711=0,$P$708=0),"",$L$711-1),IF($R$17="Distrato",$E830,0))),0,YEARFRAC(MAX($P$708*($B830+IF($R$17="Distrato",$I$38-1,0)),IF(AND($L$711=0,$P$708=0),"",$L$711-1),IF($R$17="Distrato",$E830,0)),MIN(AP$38,$D$19),$P$20))-SUM($P830:AO830)</f>
        <v>#VALUE!</v>
      </c>
      <c r="AQ830" s="446" t="e">
        <f>IF(OR($B830="",MIN(AQ$38,$D$19)&lt;MAX($P$708*($B830+IF($R$17="Distrato",$I$38-1,0)),IF(AND($L$711=0,$P$708=0),"",$L$711-1),IF($R$17="Distrato",$E830,0))),0,YEARFRAC(MAX($P$708*($B830+IF($R$17="Distrato",$I$38-1,0)),IF(AND($L$711=0,$P$708=0),"",$L$711-1),IF($R$17="Distrato",$E830,0)),MIN(AQ$38,$D$19),$P$20))-SUM($P830:AP830)</f>
        <v>#VALUE!</v>
      </c>
      <c r="AR830" s="446" t="e">
        <f>IF(OR($B830="",MIN(AR$38,$D$19)&lt;MAX($P$708*($B830+IF($R$17="Distrato",$I$38-1,0)),IF(AND($L$711=0,$P$708=0),"",$L$711-1),IF($R$17="Distrato",$E830,0))),0,YEARFRAC(MAX($P$708*($B830+IF($R$17="Distrato",$I$38-1,0)),IF(AND($L$711=0,$P$708=0),"",$L$711-1),IF($R$17="Distrato",$E830,0)),MIN(AR$38,$D$19),$P$20))-SUM($P830:AQ830)</f>
        <v>#VALUE!</v>
      </c>
      <c r="AS830" s="446" t="e">
        <f>IF(OR($B830="",MIN(AS$38,$D$19)&lt;MAX($P$708*($B830+IF($R$17="Distrato",$I$38-1,0)),IF(AND($L$711=0,$P$708=0),"",$L$711-1),IF($R$17="Distrato",$E830,0))),0,YEARFRAC(MAX($P$708*($B830+IF($R$17="Distrato",$I$38-1,0)),IF(AND($L$711=0,$P$708=0),"",$L$711-1),IF($R$17="Distrato",$E830,0)),MIN(AS$38,$D$19),$P$20))-SUM($P830:AR830)</f>
        <v>#VALUE!</v>
      </c>
      <c r="AT830" s="446" t="e">
        <f>IF(OR($B830="",MIN(AT$38,$D$19)&lt;MAX($P$708*($B830+IF($R$17="Distrato",$I$38-1,0)),IF(AND($L$711=0,$P$708=0),"",$L$711-1),IF($R$17="Distrato",$E830,0))),0,YEARFRAC(MAX($P$708*($B830+IF($R$17="Distrato",$I$38-1,0)),IF(AND($L$711=0,$P$708=0),"",$L$711-1),IF($R$17="Distrato",$E830,0)),MIN(AT$38,$D$19),$P$20))-SUM($P830:AS830)</f>
        <v>#VALUE!</v>
      </c>
      <c r="AU830" s="446" t="e">
        <f>IF(OR($B830="",MIN(AU$38,$D$19)&lt;MAX($P$708*($B830+IF($R$17="Distrato",$I$38-1,0)),IF(AND($L$711=0,$P$708=0),"",$L$711-1),IF($R$17="Distrato",$E830,0))),0,YEARFRAC(MAX($P$708*($B830+IF($R$17="Distrato",$I$38-1,0)),IF(AND($L$711=0,$P$708=0),"",$L$711-1),IF($R$17="Distrato",$E830,0)),MIN(AU$38,$D$19),$P$20))-SUM($P830:AT830)</f>
        <v>#VALUE!</v>
      </c>
      <c r="AV830" s="446" t="e">
        <f>IF(OR($B830="",MIN(AV$38,$D$19)&lt;MAX($P$708*($B830+IF($R$17="Distrato",$I$38-1,0)),IF(AND($L$711=0,$P$708=0),"",$L$711-1),IF($R$17="Distrato",$E830,0))),0,YEARFRAC(MAX($P$708*($B830+IF($R$17="Distrato",$I$38-1,0)),IF(AND($L$711=0,$P$708=0),"",$L$711-1),IF($R$17="Distrato",$E830,0)),MIN(AV$38,$D$19),$P$20))-SUM($P830:AU830)</f>
        <v>#VALUE!</v>
      </c>
      <c r="AW830" s="446" t="e">
        <f>IF(OR($B830="",MIN(AW$38,$D$19)&lt;MAX($P$708*($B830+IF($R$17="Distrato",$I$38-1,0)),IF(AND($L$711=0,$P$708=0),"",$L$711-1),IF($R$17="Distrato",$E830,0))),0,YEARFRAC(MAX($P$708*($B830+IF($R$17="Distrato",$I$38-1,0)),IF(AND($L$711=0,$P$708=0),"",$L$711-1),IF($R$17="Distrato",$E830,0)),MIN(AW$38,$D$19),$P$20))-SUM($P830:AV830)</f>
        <v>#VALUE!</v>
      </c>
      <c r="AX830" s="446" t="e">
        <f>IF(OR($B830="",MIN(AX$38,$D$19)&lt;MAX($P$708*($B830+IF($R$17="Distrato",$I$38-1,0)),IF(AND($L$711=0,$P$708=0),"",$L$711-1),IF($R$17="Distrato",$E830,0))),0,YEARFRAC(MAX($P$708*($B830+IF($R$17="Distrato",$I$38-1,0)),IF(AND($L$711=0,$P$708=0),"",$L$711-1),IF($R$17="Distrato",$E830,0)),MIN(AX$38,$D$19),$P$20))-SUM($P830:AW830)</f>
        <v>#VALUE!</v>
      </c>
      <c r="AY830" s="446" t="e">
        <f>IF(OR($B830="",MIN(AY$38,$D$19)&lt;MAX($P$708*($B830+IF($R$17="Distrato",$I$38-1,0)),IF(AND($L$711=0,$P$708=0),"",$L$711-1),IF($R$17="Distrato",$E830,0))),0,YEARFRAC(MAX($P$708*($B830+IF($R$17="Distrato",$I$38-1,0)),IF(AND($L$711=0,$P$708=0),"",$L$711-1),IF($R$17="Distrato",$E830,0)),MIN(AY$38,$D$19),$P$20))-SUM($P830:AX830)</f>
        <v>#VALUE!</v>
      </c>
      <c r="AZ830" s="446" t="e">
        <f>IF(OR($B830="",MIN(AZ$38,$D$19)&lt;MAX($P$708*($B830+IF($R$17="Distrato",$I$38-1,0)),IF(AND($L$711=0,$P$708=0),"",$L$711-1),IF($R$17="Distrato",$E830,0))),0,YEARFRAC(MAX($P$708*($B830+IF($R$17="Distrato",$I$38-1,0)),IF(AND($L$711=0,$P$708=0),"",$L$711-1),IF($R$17="Distrato",$E830,0)),MIN(AZ$38,$D$19),$P$20))-SUM($P830:AY830)</f>
        <v>#VALUE!</v>
      </c>
      <c r="BA830" s="446" t="e">
        <f>IF(OR($B830="",MIN(BA$38,$D$19)&lt;MAX($P$708*($B830+IF($R$17="Distrato",$I$38-1,0)),IF(AND($L$711=0,$P$708=0),"",$L$711-1),IF($R$17="Distrato",$E830,0))),0,YEARFRAC(MAX($P$708*($B830+IF($R$17="Distrato",$I$38-1,0)),IF(AND($L$711=0,$P$708=0),"",$L$711-1),IF($R$17="Distrato",$E830,0)),MIN(BA$38,$D$19),$P$20))-SUM($P830:AZ830)</f>
        <v>#VALUE!</v>
      </c>
      <c r="BB830" s="447"/>
    </row>
    <row r="831" spans="1:54" s="446" customFormat="1" ht="11.25" hidden="1" customHeight="1" x14ac:dyDescent="0.2">
      <c r="A831" s="235"/>
      <c r="B831" s="236"/>
      <c r="C831" s="29" t="str">
        <f>IF(B831="","",IF($L$709=$BL$25,VLOOKUP(DATE(YEAR($D$19),MONTH($D$19)-1,1),ÍNDICES!$A:$DE,HLOOKUP($BL$25,ÍNDICES!$B$3:$T$4,2)+11)-VLOOKUP(B831,ÍNDICES!$A:$DE,HLOOKUP($BL$25,ÍNDICES!$B$3:$T$4,2)+11)+1%,IF(C$712=$W$26,$J$35,IF(ISERROR(IF(B831&gt;$D$19,1,VLOOKUP(DATE(YEAR(B831),MONTH(B831)+IF($C$709=$S$23,1,0),1),ÍNDICES!$A:$DE,$Z$709+1))),"",IF(B831&gt;$D$19,1,VLOOKUP(DATE(YEAR(B831),MONTH(B831)+IF($C$709=$S$23,1,0),1),ÍNDICES!$A:$DE,$Z$709+1))))))</f>
        <v/>
      </c>
      <c r="D831" s="155"/>
      <c r="E831" s="88"/>
      <c r="F831" s="88"/>
      <c r="G831" s="88"/>
      <c r="H831" s="118"/>
      <c r="I831" s="182">
        <f t="shared" si="122"/>
        <v>0</v>
      </c>
      <c r="J831" s="20">
        <f t="shared" ca="1" si="123"/>
        <v>0</v>
      </c>
      <c r="K831" s="5">
        <f t="shared" ca="1" si="124"/>
        <v>0</v>
      </c>
      <c r="L831" s="61">
        <f t="shared" ca="1" si="125"/>
        <v>0</v>
      </c>
      <c r="M831" s="64">
        <f t="shared" si="126"/>
        <v>0</v>
      </c>
      <c r="N831" s="151"/>
      <c r="O831" s="5">
        <f t="shared" ca="1" si="127"/>
        <v>0</v>
      </c>
      <c r="P831" s="446" t="e">
        <f t="shared" si="128"/>
        <v>#VALUE!</v>
      </c>
      <c r="Q831" s="446" t="e">
        <f>IF(OR($B831="",MIN(Q$38,$D$19)&lt;MAX($P$708*($B831+IF($R$17="Distrato",$I$38-1,0)),IF(AND($L$711=0,$P$708=0),"",$L$711-1),IF($R$17="Distrato",$E831,0))),0,YEARFRAC(MAX($P$708*($B831+IF($R$17="Distrato",$I$38-1,0)),IF(AND($L$711=0,$P$708=0),"",$L$711-1),IF($R$17="Distrato",$E831,0)),MIN(Q$38,$D$19),$P$20))-SUM($P831:P831)</f>
        <v>#VALUE!</v>
      </c>
      <c r="R831" s="446" t="e">
        <f>IF(OR($B831="",MIN(R$38,$D$19)&lt;MAX($P$708*($B831+IF($R$17="Distrato",$I$38-1,0)),IF(AND($L$711=0,$P$708=0),"",$L$711-1),IF($R$17="Distrato",$E831,0))),0,YEARFRAC(MAX($P$708*($B831+IF($R$17="Distrato",$I$38-1,0)),IF(AND($L$711=0,$P$708=0),"",$L$711-1),IF($R$17="Distrato",$E831,0)),MIN(R$38,$D$19),$P$20))-SUM($P831:Q831)</f>
        <v>#VALUE!</v>
      </c>
      <c r="S831" s="446" t="e">
        <f>IF(OR($B831="",MIN(S$38,$D$19)&lt;MAX($P$708*($B831+IF($R$17="Distrato",$I$38-1,0)),IF(AND($L$711=0,$P$708=0),"",$L$711-1),IF($R$17="Distrato",$E831,0))),0,YEARFRAC(MAX($P$708*($B831+IF($R$17="Distrato",$I$38-1,0)),IF(AND($L$711=0,$P$708=0),"",$L$711-1),IF($R$17="Distrato",$E831,0)),MIN(S$38,$D$19),$P$20))-SUM($P831:R831)</f>
        <v>#VALUE!</v>
      </c>
      <c r="T831" s="446" t="e">
        <f>IF(OR($B831="",MIN(T$38,$D$19)&lt;MAX($P$708*($B831+IF($R$17="Distrato",$I$38-1,0)),IF(AND($L$711=0,$P$708=0),"",$L$711-1),IF($R$17="Distrato",$E831,0))),0,YEARFRAC(MAX($P$708*($B831+IF($R$17="Distrato",$I$38-1,0)),IF(AND($L$711=0,$P$708=0),"",$L$711-1),IF($R$17="Distrato",$E831,0)),MIN(T$38,$D$19),$P$20))-SUM($P831:S831)</f>
        <v>#VALUE!</v>
      </c>
      <c r="U831" s="446" t="e">
        <f>IF(OR($B831="",MIN(U$38,$D$19)&lt;MAX($P$708*($B831+IF($R$17="Distrato",$I$38-1,0)),IF(AND($L$711=0,$P$708=0),"",$L$711-1),IF($R$17="Distrato",$E831,0))),0,YEARFRAC(MAX($P$708*($B831+IF($R$17="Distrato",$I$38-1,0)),IF(AND($L$711=0,$P$708=0),"",$L$711-1),IF($R$17="Distrato",$E831,0)),MIN(U$38,$D$19),$P$20))-SUM($P831:T831)</f>
        <v>#VALUE!</v>
      </c>
      <c r="V831" s="446" t="e">
        <f>IF(OR($B831="",MIN(V$38,$D$19)&lt;MAX($P$708*($B831+IF($R$17="Distrato",$I$38-1,0)),IF(AND($L$711=0,$P$708=0),"",$L$711-1),IF($R$17="Distrato",$E831,0))),0,YEARFRAC(MAX($P$708*($B831+IF($R$17="Distrato",$I$38-1,0)),IF(AND($L$711=0,$P$708=0),"",$L$711-1),IF($R$17="Distrato",$E831,0)),MIN(V$38,$D$19),$P$20))-SUM($P831:U831)</f>
        <v>#VALUE!</v>
      </c>
      <c r="W831" s="446" t="e">
        <f>IF(OR($B831="",MIN(W$38,$D$19)&lt;MAX($P$708*($B831+IF($R$17="Distrato",$I$38-1,0)),IF(AND($L$711=0,$P$708=0),"",$L$711-1),IF($R$17="Distrato",$E831,0))),0,YEARFRAC(MAX($P$708*($B831+IF($R$17="Distrato",$I$38-1,0)),IF(AND($L$711=0,$P$708=0),"",$L$711-1),IF($R$17="Distrato",$E831,0)),MIN(W$38,$D$19),$P$20))-SUM($P831:V831)</f>
        <v>#VALUE!</v>
      </c>
      <c r="X831" s="446" t="e">
        <f>IF(OR($B831="",MIN(X$38,$D$19)&lt;MAX($P$708*($B831+IF($R$17="Distrato",$I$38-1,0)),IF(AND($L$711=0,$P$708=0),"",$L$711-1),IF($R$17="Distrato",$E831,0))),0,YEARFRAC(MAX($P$708*($B831+IF($R$17="Distrato",$I$38-1,0)),IF(AND($L$711=0,$P$708=0),"",$L$711-1),IF($R$17="Distrato",$E831,0)),MIN(X$38,$D$19),$P$20))-SUM($P831:W831)</f>
        <v>#VALUE!</v>
      </c>
      <c r="Y831" s="446" t="e">
        <f>IF(OR($B831="",MIN(Y$38,$D$19)&lt;MAX($P$708*($B831+IF($R$17="Distrato",$I$38-1,0)),IF(AND($L$711=0,$P$708=0),"",$L$711-1),IF($R$17="Distrato",$E831,0))),0,YEARFRAC(MAX($P$708*($B831+IF($R$17="Distrato",$I$38-1,0)),IF(AND($L$711=0,$P$708=0),"",$L$711-1),IF($R$17="Distrato",$E831,0)),MIN(Y$38,$D$19),$P$20))-SUM($P831:X831)</f>
        <v>#VALUE!</v>
      </c>
      <c r="Z831" s="446" t="e">
        <f>IF(OR($B831="",MIN(Z$38,$D$19)&lt;MAX($P$708*($B831+IF($R$17="Distrato",$I$38-1,0)),IF(AND($L$711=0,$P$708=0),"",$L$711-1),IF($R$17="Distrato",$E831,0))),0,YEARFRAC(MAX($P$708*($B831+IF($R$17="Distrato",$I$38-1,0)),IF(AND($L$711=0,$P$708=0),"",$L$711-1),IF($R$17="Distrato",$E831,0)),MIN(Z$38,$D$19),$P$20))-SUM($P831:Y831)</f>
        <v>#VALUE!</v>
      </c>
      <c r="AA831" s="446" t="e">
        <f>IF(OR($B831="",MIN(AA$38,$D$19)&lt;MAX($P$708*($B831+IF($R$17="Distrato",$I$38-1,0)),IF(AND($L$711=0,$P$708=0),"",$L$711-1),IF($R$17="Distrato",$E831,0))),0,YEARFRAC(MAX($P$708*($B831+IF($R$17="Distrato",$I$38-1,0)),IF(AND($L$711=0,$P$708=0),"",$L$711-1),IF($R$17="Distrato",$E831,0)),MIN(AA$38,$D$19),$P$20))-SUM($P831:Z831)</f>
        <v>#VALUE!</v>
      </c>
      <c r="AB831" s="446" t="e">
        <f>IF(OR($B831="",MIN(AB$38,$D$19)&lt;MAX($P$708*($B831+IF($R$17="Distrato",$I$38-1,0)),IF(AND($L$711=0,$P$708=0),"",$L$711-1),IF($R$17="Distrato",$E831,0))),0,YEARFRAC(MAX($P$708*($B831+IF($R$17="Distrato",$I$38-1,0)),IF(AND($L$711=0,$P$708=0),"",$L$711-1),IF($R$17="Distrato",$E831,0)),MIN(AB$38,$D$19),$P$20))-SUM($P831:AA831)</f>
        <v>#VALUE!</v>
      </c>
      <c r="AC831" s="446" t="e">
        <f>IF(OR($B831="",MIN(AC$38,$D$19)&lt;MAX($P$708*($B831+IF($R$17="Distrato",$I$38-1,0)),IF(AND($L$711=0,$P$708=0),"",$L$711-1),IF($R$17="Distrato",$E831,0))),0,YEARFRAC(MAX($P$708*($B831+IF($R$17="Distrato",$I$38-1,0)),IF(AND($L$711=0,$P$708=0),"",$L$711-1),IF($R$17="Distrato",$E831,0)),MIN(AC$38,$D$19),$P$20))-SUM($P831:AB831)</f>
        <v>#VALUE!</v>
      </c>
      <c r="AD831" s="446" t="e">
        <f>IF(OR($B831="",MIN(AD$38,$D$19)&lt;MAX($P$708*($B831+IF($R$17="Distrato",$I$38-1,0)),IF(AND($L$711=0,$P$708=0),"",$L$711-1),IF($R$17="Distrato",$E831,0))),0,YEARFRAC(MAX($P$708*($B831+IF($R$17="Distrato",$I$38-1,0)),IF(AND($L$711=0,$P$708=0),"",$L$711-1),IF($R$17="Distrato",$E831,0)),MIN(AD$38,$D$19),$P$20))-SUM($P831:AC831)</f>
        <v>#VALUE!</v>
      </c>
      <c r="AE831" s="446" t="e">
        <f>IF(OR($B831="",MIN(AE$38,$D$19)&lt;MAX($P$708*($B831+IF($R$17="Distrato",$I$38-1,0)),IF(AND($L$711=0,$P$708=0),"",$L$711-1),IF($R$17="Distrato",$E831,0))),0,YEARFRAC(MAX($P$708*($B831+IF($R$17="Distrato",$I$38-1,0)),IF(AND($L$711=0,$P$708=0),"",$L$711-1),IF($R$17="Distrato",$E831,0)),MIN(AE$38,$D$19),$P$20))-SUM($P831:AD831)</f>
        <v>#VALUE!</v>
      </c>
      <c r="AF831" s="446" t="e">
        <f>IF(OR($B831="",MIN(AF$38,$D$19)&lt;MAX($P$708*($B831+IF($R$17="Distrato",$I$38-1,0)),IF(AND($L$711=0,$P$708=0),"",$L$711-1),IF($R$17="Distrato",$E831,0))),0,YEARFRAC(MAX($P$708*($B831+IF($R$17="Distrato",$I$38-1,0)),IF(AND($L$711=0,$P$708=0),"",$L$711-1),IF($R$17="Distrato",$E831,0)),MIN(AF$38,$D$19),$P$20))-SUM($P831:AE831)</f>
        <v>#VALUE!</v>
      </c>
      <c r="AG831" s="446" t="e">
        <f>IF(OR($B831="",MIN(AG$38,$D$19)&lt;MAX($P$708*($B831+IF($R$17="Distrato",$I$38-1,0)),IF(AND($L$711=0,$P$708=0),"",$L$711-1),IF($R$17="Distrato",$E831,0))),0,YEARFRAC(MAX($P$708*($B831+IF($R$17="Distrato",$I$38-1,0)),IF(AND($L$711=0,$P$708=0),"",$L$711-1),IF($R$17="Distrato",$E831,0)),MIN(AG$38,$D$19),$P$20))-SUM($P831:AF831)</f>
        <v>#VALUE!</v>
      </c>
      <c r="AH831" s="446" t="e">
        <f>IF(OR($B831="",MIN(AH$38,$D$19)&lt;MAX($P$708*($B831+IF($R$17="Distrato",$I$38-1,0)),IF(AND($L$711=0,$P$708=0),"",$L$711-1),IF($R$17="Distrato",$E831,0))),0,YEARFRAC(MAX($P$708*($B831+IF($R$17="Distrato",$I$38-1,0)),IF(AND($L$711=0,$P$708=0),"",$L$711-1),IF($R$17="Distrato",$E831,0)),MIN(AH$38,$D$19),$P$20))-SUM($P831:AG831)</f>
        <v>#VALUE!</v>
      </c>
      <c r="AI831" s="446" t="e">
        <f>IF(OR($B831="",MIN(AI$38,$D$19)&lt;MAX($P$708*($B831+IF($R$17="Distrato",$I$38-1,0)),IF(AND($L$711=0,$P$708=0),"",$L$711-1),IF($R$17="Distrato",$E831,0))),0,YEARFRAC(MAX($P$708*($B831+IF($R$17="Distrato",$I$38-1,0)),IF(AND($L$711=0,$P$708=0),"",$L$711-1),IF($R$17="Distrato",$E831,0)),MIN(AI$38,$D$19),$P$20))-SUM($P831:AH831)</f>
        <v>#VALUE!</v>
      </c>
      <c r="AJ831" s="446" t="e">
        <f>IF(OR($B831="",MIN(AJ$38,$D$19)&lt;MAX($P$708*($B831+IF($R$17="Distrato",$I$38-1,0)),IF(AND($L$711=0,$P$708=0),"",$L$711-1),IF($R$17="Distrato",$E831,0))),0,YEARFRAC(MAX($P$708*($B831+IF($R$17="Distrato",$I$38-1,0)),IF(AND($L$711=0,$P$708=0),"",$L$711-1),IF($R$17="Distrato",$E831,0)),MIN(AJ$38,$D$19),$P$20))-SUM($P831:AI831)</f>
        <v>#VALUE!</v>
      </c>
      <c r="AK831" s="446" t="e">
        <f>IF(OR($B831="",MIN(AK$38,$D$19)&lt;MAX($P$708*($B831+IF($R$17="Distrato",$I$38-1,0)),IF(AND($L$711=0,$P$708=0),"",$L$711-1),IF($R$17="Distrato",$E831,0))),0,YEARFRAC(MAX($P$708*($B831+IF($R$17="Distrato",$I$38-1,0)),IF(AND($L$711=0,$P$708=0),"",$L$711-1),IF($R$17="Distrato",$E831,0)),MIN(AK$38,$D$19),$P$20))-SUM($P831:AJ831)</f>
        <v>#VALUE!</v>
      </c>
      <c r="AL831" s="446" t="e">
        <f>IF(OR($B831="",MIN(AL$38,$D$19)&lt;MAX($P$708*($B831+IF($R$17="Distrato",$I$38-1,0)),IF(AND($L$711=0,$P$708=0),"",$L$711-1),IF($R$17="Distrato",$E831,0))),0,YEARFRAC(MAX($P$708*($B831+IF($R$17="Distrato",$I$38-1,0)),IF(AND($L$711=0,$P$708=0),"",$L$711-1),IF($R$17="Distrato",$E831,0)),MIN(AL$38,$D$19),$P$20))-SUM($P831:AK831)</f>
        <v>#VALUE!</v>
      </c>
      <c r="AM831" s="446" t="e">
        <f>IF(OR($B831="",MIN(AM$38,$D$19)&lt;MAX($P$708*($B831+IF($R$17="Distrato",$I$38-1,0)),IF(AND($L$711=0,$P$708=0),"",$L$711-1),IF($R$17="Distrato",$E831,0))),0,YEARFRAC(MAX($P$708*($B831+IF($R$17="Distrato",$I$38-1,0)),IF(AND($L$711=0,$P$708=0),"",$L$711-1),IF($R$17="Distrato",$E831,0)),MIN(AM$38,$D$19),$P$20))-SUM($P831:AL831)</f>
        <v>#VALUE!</v>
      </c>
      <c r="AN831" s="446" t="e">
        <f>IF(OR($B831="",MIN(AN$38,$D$19)&lt;MAX($P$708*($B831+IF($R$17="Distrato",$I$38-1,0)),IF(AND($L$711=0,$P$708=0),"",$L$711-1),IF($R$17="Distrato",$E831,0))),0,YEARFRAC(MAX($P$708*($B831+IF($R$17="Distrato",$I$38-1,0)),IF(AND($L$711=0,$P$708=0),"",$L$711-1),IF($R$17="Distrato",$E831,0)),MIN(AN$38,$D$19),$P$20))-SUM($P831:AM831)</f>
        <v>#VALUE!</v>
      </c>
      <c r="AO831" s="446" t="e">
        <f>IF(OR($B831="",MIN(AO$38,$D$19)&lt;MAX($P$708*($B831+IF($R$17="Distrato",$I$38-1,0)),IF(AND($L$711=0,$P$708=0),"",$L$711-1),IF($R$17="Distrato",$E831,0))),0,YEARFRAC(MAX($P$708*($B831+IF($R$17="Distrato",$I$38-1,0)),IF(AND($L$711=0,$P$708=0),"",$L$711-1),IF($R$17="Distrato",$E831,0)),MIN(AO$38,$D$19),$P$20))-SUM($P831:AN831)</f>
        <v>#VALUE!</v>
      </c>
      <c r="AP831" s="446" t="e">
        <f>IF(OR($B831="",MIN(AP$38,$D$19)&lt;MAX($P$708*($B831+IF($R$17="Distrato",$I$38-1,0)),IF(AND($L$711=0,$P$708=0),"",$L$711-1),IF($R$17="Distrato",$E831,0))),0,YEARFRAC(MAX($P$708*($B831+IF($R$17="Distrato",$I$38-1,0)),IF(AND($L$711=0,$P$708=0),"",$L$711-1),IF($R$17="Distrato",$E831,0)),MIN(AP$38,$D$19),$P$20))-SUM($P831:AO831)</f>
        <v>#VALUE!</v>
      </c>
      <c r="AQ831" s="446" t="e">
        <f>IF(OR($B831="",MIN(AQ$38,$D$19)&lt;MAX($P$708*($B831+IF($R$17="Distrato",$I$38-1,0)),IF(AND($L$711=0,$P$708=0),"",$L$711-1),IF($R$17="Distrato",$E831,0))),0,YEARFRAC(MAX($P$708*($B831+IF($R$17="Distrato",$I$38-1,0)),IF(AND($L$711=0,$P$708=0),"",$L$711-1),IF($R$17="Distrato",$E831,0)),MIN(AQ$38,$D$19),$P$20))-SUM($P831:AP831)</f>
        <v>#VALUE!</v>
      </c>
      <c r="AR831" s="446" t="e">
        <f>IF(OR($B831="",MIN(AR$38,$D$19)&lt;MAX($P$708*($B831+IF($R$17="Distrato",$I$38-1,0)),IF(AND($L$711=0,$P$708=0),"",$L$711-1),IF($R$17="Distrato",$E831,0))),0,YEARFRAC(MAX($P$708*($B831+IF($R$17="Distrato",$I$38-1,0)),IF(AND($L$711=0,$P$708=0),"",$L$711-1),IF($R$17="Distrato",$E831,0)),MIN(AR$38,$D$19),$P$20))-SUM($P831:AQ831)</f>
        <v>#VALUE!</v>
      </c>
      <c r="AS831" s="446" t="e">
        <f>IF(OR($B831="",MIN(AS$38,$D$19)&lt;MAX($P$708*($B831+IF($R$17="Distrato",$I$38-1,0)),IF(AND($L$711=0,$P$708=0),"",$L$711-1),IF($R$17="Distrato",$E831,0))),0,YEARFRAC(MAX($P$708*($B831+IF($R$17="Distrato",$I$38-1,0)),IF(AND($L$711=0,$P$708=0),"",$L$711-1),IF($R$17="Distrato",$E831,0)),MIN(AS$38,$D$19),$P$20))-SUM($P831:AR831)</f>
        <v>#VALUE!</v>
      </c>
      <c r="AT831" s="446" t="e">
        <f>IF(OR($B831="",MIN(AT$38,$D$19)&lt;MAX($P$708*($B831+IF($R$17="Distrato",$I$38-1,0)),IF(AND($L$711=0,$P$708=0),"",$L$711-1),IF($R$17="Distrato",$E831,0))),0,YEARFRAC(MAX($P$708*($B831+IF($R$17="Distrato",$I$38-1,0)),IF(AND($L$711=0,$P$708=0),"",$L$711-1),IF($R$17="Distrato",$E831,0)),MIN(AT$38,$D$19),$P$20))-SUM($P831:AS831)</f>
        <v>#VALUE!</v>
      </c>
      <c r="AU831" s="446" t="e">
        <f>IF(OR($B831="",MIN(AU$38,$D$19)&lt;MAX($P$708*($B831+IF($R$17="Distrato",$I$38-1,0)),IF(AND($L$711=0,$P$708=0),"",$L$711-1),IF($R$17="Distrato",$E831,0))),0,YEARFRAC(MAX($P$708*($B831+IF($R$17="Distrato",$I$38-1,0)),IF(AND($L$711=0,$P$708=0),"",$L$711-1),IF($R$17="Distrato",$E831,0)),MIN(AU$38,$D$19),$P$20))-SUM($P831:AT831)</f>
        <v>#VALUE!</v>
      </c>
      <c r="AV831" s="446" t="e">
        <f>IF(OR($B831="",MIN(AV$38,$D$19)&lt;MAX($P$708*($B831+IF($R$17="Distrato",$I$38-1,0)),IF(AND($L$711=0,$P$708=0),"",$L$711-1),IF($R$17="Distrato",$E831,0))),0,YEARFRAC(MAX($P$708*($B831+IF($R$17="Distrato",$I$38-1,0)),IF(AND($L$711=0,$P$708=0),"",$L$711-1),IF($R$17="Distrato",$E831,0)),MIN(AV$38,$D$19),$P$20))-SUM($P831:AU831)</f>
        <v>#VALUE!</v>
      </c>
      <c r="AW831" s="446" t="e">
        <f>IF(OR($B831="",MIN(AW$38,$D$19)&lt;MAX($P$708*($B831+IF($R$17="Distrato",$I$38-1,0)),IF(AND($L$711=0,$P$708=0),"",$L$711-1),IF($R$17="Distrato",$E831,0))),0,YEARFRAC(MAX($P$708*($B831+IF($R$17="Distrato",$I$38-1,0)),IF(AND($L$711=0,$P$708=0),"",$L$711-1),IF($R$17="Distrato",$E831,0)),MIN(AW$38,$D$19),$P$20))-SUM($P831:AV831)</f>
        <v>#VALUE!</v>
      </c>
      <c r="AX831" s="446" t="e">
        <f>IF(OR($B831="",MIN(AX$38,$D$19)&lt;MAX($P$708*($B831+IF($R$17="Distrato",$I$38-1,0)),IF(AND($L$711=0,$P$708=0),"",$L$711-1),IF($R$17="Distrato",$E831,0))),0,YEARFRAC(MAX($P$708*($B831+IF($R$17="Distrato",$I$38-1,0)),IF(AND($L$711=0,$P$708=0),"",$L$711-1),IF($R$17="Distrato",$E831,0)),MIN(AX$38,$D$19),$P$20))-SUM($P831:AW831)</f>
        <v>#VALUE!</v>
      </c>
      <c r="AY831" s="446" t="e">
        <f>IF(OR($B831="",MIN(AY$38,$D$19)&lt;MAX($P$708*($B831+IF($R$17="Distrato",$I$38-1,0)),IF(AND($L$711=0,$P$708=0),"",$L$711-1),IF($R$17="Distrato",$E831,0))),0,YEARFRAC(MAX($P$708*($B831+IF($R$17="Distrato",$I$38-1,0)),IF(AND($L$711=0,$P$708=0),"",$L$711-1),IF($R$17="Distrato",$E831,0)),MIN(AY$38,$D$19),$P$20))-SUM($P831:AX831)</f>
        <v>#VALUE!</v>
      </c>
      <c r="AZ831" s="446" t="e">
        <f>IF(OR($B831="",MIN(AZ$38,$D$19)&lt;MAX($P$708*($B831+IF($R$17="Distrato",$I$38-1,0)),IF(AND($L$711=0,$P$708=0),"",$L$711-1),IF($R$17="Distrato",$E831,0))),0,YEARFRAC(MAX($P$708*($B831+IF($R$17="Distrato",$I$38-1,0)),IF(AND($L$711=0,$P$708=0),"",$L$711-1),IF($R$17="Distrato",$E831,0)),MIN(AZ$38,$D$19),$P$20))-SUM($P831:AY831)</f>
        <v>#VALUE!</v>
      </c>
      <c r="BA831" s="446" t="e">
        <f>IF(OR($B831="",MIN(BA$38,$D$19)&lt;MAX($P$708*($B831+IF($R$17="Distrato",$I$38-1,0)),IF(AND($L$711=0,$P$708=0),"",$L$711-1),IF($R$17="Distrato",$E831,0))),0,YEARFRAC(MAX($P$708*($B831+IF($R$17="Distrato",$I$38-1,0)),IF(AND($L$711=0,$P$708=0),"",$L$711-1),IF($R$17="Distrato",$E831,0)),MIN(BA$38,$D$19),$P$20))-SUM($P831:AZ831)</f>
        <v>#VALUE!</v>
      </c>
      <c r="BB831" s="447"/>
    </row>
    <row r="832" spans="1:54" s="446" customFormat="1" ht="11.25" hidden="1" customHeight="1" x14ac:dyDescent="0.2">
      <c r="A832" s="235"/>
      <c r="B832" s="236"/>
      <c r="C832" s="29" t="str">
        <f>IF(B832="","",IF($L$709=$BL$25,VLOOKUP(DATE(YEAR($D$19),MONTH($D$19)-1,1),ÍNDICES!$A:$DE,HLOOKUP($BL$25,ÍNDICES!$B$3:$T$4,2)+11)-VLOOKUP(B832,ÍNDICES!$A:$DE,HLOOKUP($BL$25,ÍNDICES!$B$3:$T$4,2)+11)+1%,IF(C$712=$W$26,$J$35,IF(ISERROR(IF(B832&gt;$D$19,1,VLOOKUP(DATE(YEAR(B832),MONTH(B832)+IF($C$709=$S$23,1,0),1),ÍNDICES!$A:$DE,$Z$709+1))),"",IF(B832&gt;$D$19,1,VLOOKUP(DATE(YEAR(B832),MONTH(B832)+IF($C$709=$S$23,1,0),1),ÍNDICES!$A:$DE,$Z$709+1))))))</f>
        <v/>
      </c>
      <c r="D832" s="155"/>
      <c r="E832" s="88"/>
      <c r="F832" s="88"/>
      <c r="G832" s="88"/>
      <c r="H832" s="118"/>
      <c r="I832" s="182">
        <f t="shared" si="122"/>
        <v>0</v>
      </c>
      <c r="J832" s="20">
        <f t="shared" ca="1" si="123"/>
        <v>0</v>
      </c>
      <c r="K832" s="5">
        <f t="shared" ca="1" si="124"/>
        <v>0</v>
      </c>
      <c r="L832" s="61">
        <f t="shared" ca="1" si="125"/>
        <v>0</v>
      </c>
      <c r="M832" s="64">
        <f t="shared" si="126"/>
        <v>0</v>
      </c>
      <c r="N832" s="151"/>
      <c r="O832" s="5">
        <f t="shared" ca="1" si="127"/>
        <v>0</v>
      </c>
      <c r="P832" s="446" t="e">
        <f t="shared" si="128"/>
        <v>#VALUE!</v>
      </c>
      <c r="Q832" s="446" t="e">
        <f>IF(OR($B832="",MIN(Q$38,$D$19)&lt;MAX($P$708*($B832+IF($R$17="Distrato",$I$38-1,0)),IF(AND($L$711=0,$P$708=0),"",$L$711-1),IF($R$17="Distrato",$E832,0))),0,YEARFRAC(MAX($P$708*($B832+IF($R$17="Distrato",$I$38-1,0)),IF(AND($L$711=0,$P$708=0),"",$L$711-1),IF($R$17="Distrato",$E832,0)),MIN(Q$38,$D$19),$P$20))-SUM($P832:P832)</f>
        <v>#VALUE!</v>
      </c>
      <c r="R832" s="446" t="e">
        <f>IF(OR($B832="",MIN(R$38,$D$19)&lt;MAX($P$708*($B832+IF($R$17="Distrato",$I$38-1,0)),IF(AND($L$711=0,$P$708=0),"",$L$711-1),IF($R$17="Distrato",$E832,0))),0,YEARFRAC(MAX($P$708*($B832+IF($R$17="Distrato",$I$38-1,0)),IF(AND($L$711=0,$P$708=0),"",$L$711-1),IF($R$17="Distrato",$E832,0)),MIN(R$38,$D$19),$P$20))-SUM($P832:Q832)</f>
        <v>#VALUE!</v>
      </c>
      <c r="S832" s="446" t="e">
        <f>IF(OR($B832="",MIN(S$38,$D$19)&lt;MAX($P$708*($B832+IF($R$17="Distrato",$I$38-1,0)),IF(AND($L$711=0,$P$708=0),"",$L$711-1),IF($R$17="Distrato",$E832,0))),0,YEARFRAC(MAX($P$708*($B832+IF($R$17="Distrato",$I$38-1,0)),IF(AND($L$711=0,$P$708=0),"",$L$711-1),IF($R$17="Distrato",$E832,0)),MIN(S$38,$D$19),$P$20))-SUM($P832:R832)</f>
        <v>#VALUE!</v>
      </c>
      <c r="T832" s="446" t="e">
        <f>IF(OR($B832="",MIN(T$38,$D$19)&lt;MAX($P$708*($B832+IF($R$17="Distrato",$I$38-1,0)),IF(AND($L$711=0,$P$708=0),"",$L$711-1),IF($R$17="Distrato",$E832,0))),0,YEARFRAC(MAX($P$708*($B832+IF($R$17="Distrato",$I$38-1,0)),IF(AND($L$711=0,$P$708=0),"",$L$711-1),IF($R$17="Distrato",$E832,0)),MIN(T$38,$D$19),$P$20))-SUM($P832:S832)</f>
        <v>#VALUE!</v>
      </c>
      <c r="U832" s="446" t="e">
        <f>IF(OR($B832="",MIN(U$38,$D$19)&lt;MAX($P$708*($B832+IF($R$17="Distrato",$I$38-1,0)),IF(AND($L$711=0,$P$708=0),"",$L$711-1),IF($R$17="Distrato",$E832,0))),0,YEARFRAC(MAX($P$708*($B832+IF($R$17="Distrato",$I$38-1,0)),IF(AND($L$711=0,$P$708=0),"",$L$711-1),IF($R$17="Distrato",$E832,0)),MIN(U$38,$D$19),$P$20))-SUM($P832:T832)</f>
        <v>#VALUE!</v>
      </c>
      <c r="V832" s="446" t="e">
        <f>IF(OR($B832="",MIN(V$38,$D$19)&lt;MAX($P$708*($B832+IF($R$17="Distrato",$I$38-1,0)),IF(AND($L$711=0,$P$708=0),"",$L$711-1),IF($R$17="Distrato",$E832,0))),0,YEARFRAC(MAX($P$708*($B832+IF($R$17="Distrato",$I$38-1,0)),IF(AND($L$711=0,$P$708=0),"",$L$711-1),IF($R$17="Distrato",$E832,0)),MIN(V$38,$D$19),$P$20))-SUM($P832:U832)</f>
        <v>#VALUE!</v>
      </c>
      <c r="W832" s="446" t="e">
        <f>IF(OR($B832="",MIN(W$38,$D$19)&lt;MAX($P$708*($B832+IF($R$17="Distrato",$I$38-1,0)),IF(AND($L$711=0,$P$708=0),"",$L$711-1),IF($R$17="Distrato",$E832,0))),0,YEARFRAC(MAX($P$708*($B832+IF($R$17="Distrato",$I$38-1,0)),IF(AND($L$711=0,$P$708=0),"",$L$711-1),IF($R$17="Distrato",$E832,0)),MIN(W$38,$D$19),$P$20))-SUM($P832:V832)</f>
        <v>#VALUE!</v>
      </c>
      <c r="X832" s="446" t="e">
        <f>IF(OR($B832="",MIN(X$38,$D$19)&lt;MAX($P$708*($B832+IF($R$17="Distrato",$I$38-1,0)),IF(AND($L$711=0,$P$708=0),"",$L$711-1),IF($R$17="Distrato",$E832,0))),0,YEARFRAC(MAX($P$708*($B832+IF($R$17="Distrato",$I$38-1,0)),IF(AND($L$711=0,$P$708=0),"",$L$711-1),IF($R$17="Distrato",$E832,0)),MIN(X$38,$D$19),$P$20))-SUM($P832:W832)</f>
        <v>#VALUE!</v>
      </c>
      <c r="Y832" s="446" t="e">
        <f>IF(OR($B832="",MIN(Y$38,$D$19)&lt;MAX($P$708*($B832+IF($R$17="Distrato",$I$38-1,0)),IF(AND($L$711=0,$P$708=0),"",$L$711-1),IF($R$17="Distrato",$E832,0))),0,YEARFRAC(MAX($P$708*($B832+IF($R$17="Distrato",$I$38-1,0)),IF(AND($L$711=0,$P$708=0),"",$L$711-1),IF($R$17="Distrato",$E832,0)),MIN(Y$38,$D$19),$P$20))-SUM($P832:X832)</f>
        <v>#VALUE!</v>
      </c>
      <c r="Z832" s="446" t="e">
        <f>IF(OR($B832="",MIN(Z$38,$D$19)&lt;MAX($P$708*($B832+IF($R$17="Distrato",$I$38-1,0)),IF(AND($L$711=0,$P$708=0),"",$L$711-1),IF($R$17="Distrato",$E832,0))),0,YEARFRAC(MAX($P$708*($B832+IF($R$17="Distrato",$I$38-1,0)),IF(AND($L$711=0,$P$708=0),"",$L$711-1),IF($R$17="Distrato",$E832,0)),MIN(Z$38,$D$19),$P$20))-SUM($P832:Y832)</f>
        <v>#VALUE!</v>
      </c>
      <c r="AA832" s="446" t="e">
        <f>IF(OR($B832="",MIN(AA$38,$D$19)&lt;MAX($P$708*($B832+IF($R$17="Distrato",$I$38-1,0)),IF(AND($L$711=0,$P$708=0),"",$L$711-1),IF($R$17="Distrato",$E832,0))),0,YEARFRAC(MAX($P$708*($B832+IF($R$17="Distrato",$I$38-1,0)),IF(AND($L$711=0,$P$708=0),"",$L$711-1),IF($R$17="Distrato",$E832,0)),MIN(AA$38,$D$19),$P$20))-SUM($P832:Z832)</f>
        <v>#VALUE!</v>
      </c>
      <c r="AB832" s="446" t="e">
        <f>IF(OR($B832="",MIN(AB$38,$D$19)&lt;MAX($P$708*($B832+IF($R$17="Distrato",$I$38-1,0)),IF(AND($L$711=0,$P$708=0),"",$L$711-1),IF($R$17="Distrato",$E832,0))),0,YEARFRAC(MAX($P$708*($B832+IF($R$17="Distrato",$I$38-1,0)),IF(AND($L$711=0,$P$708=0),"",$L$711-1),IF($R$17="Distrato",$E832,0)),MIN(AB$38,$D$19),$P$20))-SUM($P832:AA832)</f>
        <v>#VALUE!</v>
      </c>
      <c r="AC832" s="446" t="e">
        <f>IF(OR($B832="",MIN(AC$38,$D$19)&lt;MAX($P$708*($B832+IF($R$17="Distrato",$I$38-1,0)),IF(AND($L$711=0,$P$708=0),"",$L$711-1),IF($R$17="Distrato",$E832,0))),0,YEARFRAC(MAX($P$708*($B832+IF($R$17="Distrato",$I$38-1,0)),IF(AND($L$711=0,$P$708=0),"",$L$711-1),IF($R$17="Distrato",$E832,0)),MIN(AC$38,$D$19),$P$20))-SUM($P832:AB832)</f>
        <v>#VALUE!</v>
      </c>
      <c r="AD832" s="446" t="e">
        <f>IF(OR($B832="",MIN(AD$38,$D$19)&lt;MAX($P$708*($B832+IF($R$17="Distrato",$I$38-1,0)),IF(AND($L$711=0,$P$708=0),"",$L$711-1),IF($R$17="Distrato",$E832,0))),0,YEARFRAC(MAX($P$708*($B832+IF($R$17="Distrato",$I$38-1,0)),IF(AND($L$711=0,$P$708=0),"",$L$711-1),IF($R$17="Distrato",$E832,0)),MIN(AD$38,$D$19),$P$20))-SUM($P832:AC832)</f>
        <v>#VALUE!</v>
      </c>
      <c r="AE832" s="446" t="e">
        <f>IF(OR($B832="",MIN(AE$38,$D$19)&lt;MAX($P$708*($B832+IF($R$17="Distrato",$I$38-1,0)),IF(AND($L$711=0,$P$708=0),"",$L$711-1),IF($R$17="Distrato",$E832,0))),0,YEARFRAC(MAX($P$708*($B832+IF($R$17="Distrato",$I$38-1,0)),IF(AND($L$711=0,$P$708=0),"",$L$711-1),IF($R$17="Distrato",$E832,0)),MIN(AE$38,$D$19),$P$20))-SUM($P832:AD832)</f>
        <v>#VALUE!</v>
      </c>
      <c r="AF832" s="446" t="e">
        <f>IF(OR($B832="",MIN(AF$38,$D$19)&lt;MAX($P$708*($B832+IF($R$17="Distrato",$I$38-1,0)),IF(AND($L$711=0,$P$708=0),"",$L$711-1),IF($R$17="Distrato",$E832,0))),0,YEARFRAC(MAX($P$708*($B832+IF($R$17="Distrato",$I$38-1,0)),IF(AND($L$711=0,$P$708=0),"",$L$711-1),IF($R$17="Distrato",$E832,0)),MIN(AF$38,$D$19),$P$20))-SUM($P832:AE832)</f>
        <v>#VALUE!</v>
      </c>
      <c r="AG832" s="446" t="e">
        <f>IF(OR($B832="",MIN(AG$38,$D$19)&lt;MAX($P$708*($B832+IF($R$17="Distrato",$I$38-1,0)),IF(AND($L$711=0,$P$708=0),"",$L$711-1),IF($R$17="Distrato",$E832,0))),0,YEARFRAC(MAX($P$708*($B832+IF($R$17="Distrato",$I$38-1,0)),IF(AND($L$711=0,$P$708=0),"",$L$711-1),IF($R$17="Distrato",$E832,0)),MIN(AG$38,$D$19),$P$20))-SUM($P832:AF832)</f>
        <v>#VALUE!</v>
      </c>
      <c r="AH832" s="446" t="e">
        <f>IF(OR($B832="",MIN(AH$38,$D$19)&lt;MAX($P$708*($B832+IF($R$17="Distrato",$I$38-1,0)),IF(AND($L$711=0,$P$708=0),"",$L$711-1),IF($R$17="Distrato",$E832,0))),0,YEARFRAC(MAX($P$708*($B832+IF($R$17="Distrato",$I$38-1,0)),IF(AND($L$711=0,$P$708=0),"",$L$711-1),IF($R$17="Distrato",$E832,0)),MIN(AH$38,$D$19),$P$20))-SUM($P832:AG832)</f>
        <v>#VALUE!</v>
      </c>
      <c r="AI832" s="446" t="e">
        <f>IF(OR($B832="",MIN(AI$38,$D$19)&lt;MAX($P$708*($B832+IF($R$17="Distrato",$I$38-1,0)),IF(AND($L$711=0,$P$708=0),"",$L$711-1),IF($R$17="Distrato",$E832,0))),0,YEARFRAC(MAX($P$708*($B832+IF($R$17="Distrato",$I$38-1,0)),IF(AND($L$711=0,$P$708=0),"",$L$711-1),IF($R$17="Distrato",$E832,0)),MIN(AI$38,$D$19),$P$20))-SUM($P832:AH832)</f>
        <v>#VALUE!</v>
      </c>
      <c r="AJ832" s="446" t="e">
        <f>IF(OR($B832="",MIN(AJ$38,$D$19)&lt;MAX($P$708*($B832+IF($R$17="Distrato",$I$38-1,0)),IF(AND($L$711=0,$P$708=0),"",$L$711-1),IF($R$17="Distrato",$E832,0))),0,YEARFRAC(MAX($P$708*($B832+IF($R$17="Distrato",$I$38-1,0)),IF(AND($L$711=0,$P$708=0),"",$L$711-1),IF($R$17="Distrato",$E832,0)),MIN(AJ$38,$D$19),$P$20))-SUM($P832:AI832)</f>
        <v>#VALUE!</v>
      </c>
      <c r="AK832" s="446" t="e">
        <f>IF(OR($B832="",MIN(AK$38,$D$19)&lt;MAX($P$708*($B832+IF($R$17="Distrato",$I$38-1,0)),IF(AND($L$711=0,$P$708=0),"",$L$711-1),IF($R$17="Distrato",$E832,0))),0,YEARFRAC(MAX($P$708*($B832+IF($R$17="Distrato",$I$38-1,0)),IF(AND($L$711=0,$P$708=0),"",$L$711-1),IF($R$17="Distrato",$E832,0)),MIN(AK$38,$D$19),$P$20))-SUM($P832:AJ832)</f>
        <v>#VALUE!</v>
      </c>
      <c r="AL832" s="446" t="e">
        <f>IF(OR($B832="",MIN(AL$38,$D$19)&lt;MAX($P$708*($B832+IF($R$17="Distrato",$I$38-1,0)),IF(AND($L$711=0,$P$708=0),"",$L$711-1),IF($R$17="Distrato",$E832,0))),0,YEARFRAC(MAX($P$708*($B832+IF($R$17="Distrato",$I$38-1,0)),IF(AND($L$711=0,$P$708=0),"",$L$711-1),IF($R$17="Distrato",$E832,0)),MIN(AL$38,$D$19),$P$20))-SUM($P832:AK832)</f>
        <v>#VALUE!</v>
      </c>
      <c r="AM832" s="446" t="e">
        <f>IF(OR($B832="",MIN(AM$38,$D$19)&lt;MAX($P$708*($B832+IF($R$17="Distrato",$I$38-1,0)),IF(AND($L$711=0,$P$708=0),"",$L$711-1),IF($R$17="Distrato",$E832,0))),0,YEARFRAC(MAX($P$708*($B832+IF($R$17="Distrato",$I$38-1,0)),IF(AND($L$711=0,$P$708=0),"",$L$711-1),IF($R$17="Distrato",$E832,0)),MIN(AM$38,$D$19),$P$20))-SUM($P832:AL832)</f>
        <v>#VALUE!</v>
      </c>
      <c r="AN832" s="446" t="e">
        <f>IF(OR($B832="",MIN(AN$38,$D$19)&lt;MAX($P$708*($B832+IF($R$17="Distrato",$I$38-1,0)),IF(AND($L$711=0,$P$708=0),"",$L$711-1),IF($R$17="Distrato",$E832,0))),0,YEARFRAC(MAX($P$708*($B832+IF($R$17="Distrato",$I$38-1,0)),IF(AND($L$711=0,$P$708=0),"",$L$711-1),IF($R$17="Distrato",$E832,0)),MIN(AN$38,$D$19),$P$20))-SUM($P832:AM832)</f>
        <v>#VALUE!</v>
      </c>
      <c r="AO832" s="446" t="e">
        <f>IF(OR($B832="",MIN(AO$38,$D$19)&lt;MAX($P$708*($B832+IF($R$17="Distrato",$I$38-1,0)),IF(AND($L$711=0,$P$708=0),"",$L$711-1),IF($R$17="Distrato",$E832,0))),0,YEARFRAC(MAX($P$708*($B832+IF($R$17="Distrato",$I$38-1,0)),IF(AND($L$711=0,$P$708=0),"",$L$711-1),IF($R$17="Distrato",$E832,0)),MIN(AO$38,$D$19),$P$20))-SUM($P832:AN832)</f>
        <v>#VALUE!</v>
      </c>
      <c r="AP832" s="446" t="e">
        <f>IF(OR($B832="",MIN(AP$38,$D$19)&lt;MAX($P$708*($B832+IF($R$17="Distrato",$I$38-1,0)),IF(AND($L$711=0,$P$708=0),"",$L$711-1),IF($R$17="Distrato",$E832,0))),0,YEARFRAC(MAX($P$708*($B832+IF($R$17="Distrato",$I$38-1,0)),IF(AND($L$711=0,$P$708=0),"",$L$711-1),IF($R$17="Distrato",$E832,0)),MIN(AP$38,$D$19),$P$20))-SUM($P832:AO832)</f>
        <v>#VALUE!</v>
      </c>
      <c r="AQ832" s="446" t="e">
        <f>IF(OR($B832="",MIN(AQ$38,$D$19)&lt;MAX($P$708*($B832+IF($R$17="Distrato",$I$38-1,0)),IF(AND($L$711=0,$P$708=0),"",$L$711-1),IF($R$17="Distrato",$E832,0))),0,YEARFRAC(MAX($P$708*($B832+IF($R$17="Distrato",$I$38-1,0)),IF(AND($L$711=0,$P$708=0),"",$L$711-1),IF($R$17="Distrato",$E832,0)),MIN(AQ$38,$D$19),$P$20))-SUM($P832:AP832)</f>
        <v>#VALUE!</v>
      </c>
      <c r="AR832" s="446" t="e">
        <f>IF(OR($B832="",MIN(AR$38,$D$19)&lt;MAX($P$708*($B832+IF($R$17="Distrato",$I$38-1,0)),IF(AND($L$711=0,$P$708=0),"",$L$711-1),IF($R$17="Distrato",$E832,0))),0,YEARFRAC(MAX($P$708*($B832+IF($R$17="Distrato",$I$38-1,0)),IF(AND($L$711=0,$P$708=0),"",$L$711-1),IF($R$17="Distrato",$E832,0)),MIN(AR$38,$D$19),$P$20))-SUM($P832:AQ832)</f>
        <v>#VALUE!</v>
      </c>
      <c r="AS832" s="446" t="e">
        <f>IF(OR($B832="",MIN(AS$38,$D$19)&lt;MAX($P$708*($B832+IF($R$17="Distrato",$I$38-1,0)),IF(AND($L$711=0,$P$708=0),"",$L$711-1),IF($R$17="Distrato",$E832,0))),0,YEARFRAC(MAX($P$708*($B832+IF($R$17="Distrato",$I$38-1,0)),IF(AND($L$711=0,$P$708=0),"",$L$711-1),IF($R$17="Distrato",$E832,0)),MIN(AS$38,$D$19),$P$20))-SUM($P832:AR832)</f>
        <v>#VALUE!</v>
      </c>
      <c r="AT832" s="446" t="e">
        <f>IF(OR($B832="",MIN(AT$38,$D$19)&lt;MAX($P$708*($B832+IF($R$17="Distrato",$I$38-1,0)),IF(AND($L$711=0,$P$708=0),"",$L$711-1),IF($R$17="Distrato",$E832,0))),0,YEARFRAC(MAX($P$708*($B832+IF($R$17="Distrato",$I$38-1,0)),IF(AND($L$711=0,$P$708=0),"",$L$711-1),IF($R$17="Distrato",$E832,0)),MIN(AT$38,$D$19),$P$20))-SUM($P832:AS832)</f>
        <v>#VALUE!</v>
      </c>
      <c r="AU832" s="446" t="e">
        <f>IF(OR($B832="",MIN(AU$38,$D$19)&lt;MAX($P$708*($B832+IF($R$17="Distrato",$I$38-1,0)),IF(AND($L$711=0,$P$708=0),"",$L$711-1),IF($R$17="Distrato",$E832,0))),0,YEARFRAC(MAX($P$708*($B832+IF($R$17="Distrato",$I$38-1,0)),IF(AND($L$711=0,$P$708=0),"",$L$711-1),IF($R$17="Distrato",$E832,0)),MIN(AU$38,$D$19),$P$20))-SUM($P832:AT832)</f>
        <v>#VALUE!</v>
      </c>
      <c r="AV832" s="446" t="e">
        <f>IF(OR($B832="",MIN(AV$38,$D$19)&lt;MAX($P$708*($B832+IF($R$17="Distrato",$I$38-1,0)),IF(AND($L$711=0,$P$708=0),"",$L$711-1),IF($R$17="Distrato",$E832,0))),0,YEARFRAC(MAX($P$708*($B832+IF($R$17="Distrato",$I$38-1,0)),IF(AND($L$711=0,$P$708=0),"",$L$711-1),IF($R$17="Distrato",$E832,0)),MIN(AV$38,$D$19),$P$20))-SUM($P832:AU832)</f>
        <v>#VALUE!</v>
      </c>
      <c r="AW832" s="446" t="e">
        <f>IF(OR($B832="",MIN(AW$38,$D$19)&lt;MAX($P$708*($B832+IF($R$17="Distrato",$I$38-1,0)),IF(AND($L$711=0,$P$708=0),"",$L$711-1),IF($R$17="Distrato",$E832,0))),0,YEARFRAC(MAX($P$708*($B832+IF($R$17="Distrato",$I$38-1,0)),IF(AND($L$711=0,$P$708=0),"",$L$711-1),IF($R$17="Distrato",$E832,0)),MIN(AW$38,$D$19),$P$20))-SUM($P832:AV832)</f>
        <v>#VALUE!</v>
      </c>
      <c r="AX832" s="446" t="e">
        <f>IF(OR($B832="",MIN(AX$38,$D$19)&lt;MAX($P$708*($B832+IF($R$17="Distrato",$I$38-1,0)),IF(AND($L$711=0,$P$708=0),"",$L$711-1),IF($R$17="Distrato",$E832,0))),0,YEARFRAC(MAX($P$708*($B832+IF($R$17="Distrato",$I$38-1,0)),IF(AND($L$711=0,$P$708=0),"",$L$711-1),IF($R$17="Distrato",$E832,0)),MIN(AX$38,$D$19),$P$20))-SUM($P832:AW832)</f>
        <v>#VALUE!</v>
      </c>
      <c r="AY832" s="446" t="e">
        <f>IF(OR($B832="",MIN(AY$38,$D$19)&lt;MAX($P$708*($B832+IF($R$17="Distrato",$I$38-1,0)),IF(AND($L$711=0,$P$708=0),"",$L$711-1),IF($R$17="Distrato",$E832,0))),0,YEARFRAC(MAX($P$708*($B832+IF($R$17="Distrato",$I$38-1,0)),IF(AND($L$711=0,$P$708=0),"",$L$711-1),IF($R$17="Distrato",$E832,0)),MIN(AY$38,$D$19),$P$20))-SUM($P832:AX832)</f>
        <v>#VALUE!</v>
      </c>
      <c r="AZ832" s="446" t="e">
        <f>IF(OR($B832="",MIN(AZ$38,$D$19)&lt;MAX($P$708*($B832+IF($R$17="Distrato",$I$38-1,0)),IF(AND($L$711=0,$P$708=0),"",$L$711-1),IF($R$17="Distrato",$E832,0))),0,YEARFRAC(MAX($P$708*($B832+IF($R$17="Distrato",$I$38-1,0)),IF(AND($L$711=0,$P$708=0),"",$L$711-1),IF($R$17="Distrato",$E832,0)),MIN(AZ$38,$D$19),$P$20))-SUM($P832:AY832)</f>
        <v>#VALUE!</v>
      </c>
      <c r="BA832" s="446" t="e">
        <f>IF(OR($B832="",MIN(BA$38,$D$19)&lt;MAX($P$708*($B832+IF($R$17="Distrato",$I$38-1,0)),IF(AND($L$711=0,$P$708=0),"",$L$711-1),IF($R$17="Distrato",$E832,0))),0,YEARFRAC(MAX($P$708*($B832+IF($R$17="Distrato",$I$38-1,0)),IF(AND($L$711=0,$P$708=0),"",$L$711-1),IF($R$17="Distrato",$E832,0)),MIN(BA$38,$D$19),$P$20))-SUM($P832:AZ832)</f>
        <v>#VALUE!</v>
      </c>
      <c r="BB832" s="447"/>
    </row>
    <row r="833" spans="1:54" s="446" customFormat="1" ht="11.25" hidden="1" customHeight="1" x14ac:dyDescent="0.2">
      <c r="A833" s="235"/>
      <c r="B833" s="236"/>
      <c r="C833" s="29" t="str">
        <f>IF(B833="","",IF($L$709=$BL$25,VLOOKUP(DATE(YEAR($D$19),MONTH($D$19)-1,1),ÍNDICES!$A:$DE,HLOOKUP($BL$25,ÍNDICES!$B$3:$T$4,2)+11)-VLOOKUP(B833,ÍNDICES!$A:$DE,HLOOKUP($BL$25,ÍNDICES!$B$3:$T$4,2)+11)+1%,IF(C$712=$W$26,$J$35,IF(ISERROR(IF(B833&gt;$D$19,1,VLOOKUP(DATE(YEAR(B833),MONTH(B833)+IF($C$709=$S$23,1,0),1),ÍNDICES!$A:$DE,$Z$709+1))),"",IF(B833&gt;$D$19,1,VLOOKUP(DATE(YEAR(B833),MONTH(B833)+IF($C$709=$S$23,1,0),1),ÍNDICES!$A:$DE,$Z$709+1))))))</f>
        <v/>
      </c>
      <c r="D833" s="155"/>
      <c r="E833" s="88"/>
      <c r="F833" s="88"/>
      <c r="G833" s="88"/>
      <c r="H833" s="118"/>
      <c r="I833" s="182">
        <f t="shared" si="122"/>
        <v>0</v>
      </c>
      <c r="J833" s="20">
        <f t="shared" ca="1" si="123"/>
        <v>0</v>
      </c>
      <c r="K833" s="5">
        <f t="shared" ca="1" si="124"/>
        <v>0</v>
      </c>
      <c r="L833" s="61">
        <f t="shared" ca="1" si="125"/>
        <v>0</v>
      </c>
      <c r="M833" s="64">
        <f t="shared" si="126"/>
        <v>0</v>
      </c>
      <c r="N833" s="151"/>
      <c r="O833" s="5">
        <f t="shared" ca="1" si="127"/>
        <v>0</v>
      </c>
      <c r="P833" s="446" t="e">
        <f t="shared" si="128"/>
        <v>#VALUE!</v>
      </c>
      <c r="Q833" s="446" t="e">
        <f>IF(OR($B833="",MIN(Q$38,$D$19)&lt;MAX($P$708*($B833+IF($R$17="Distrato",$I$38-1,0)),IF(AND($L$711=0,$P$708=0),"",$L$711-1),IF($R$17="Distrato",$E833,0))),0,YEARFRAC(MAX($P$708*($B833+IF($R$17="Distrato",$I$38-1,0)),IF(AND($L$711=0,$P$708=0),"",$L$711-1),IF($R$17="Distrato",$E833,0)),MIN(Q$38,$D$19),$P$20))-SUM($P833:P833)</f>
        <v>#VALUE!</v>
      </c>
      <c r="R833" s="446" t="e">
        <f>IF(OR($B833="",MIN(R$38,$D$19)&lt;MAX($P$708*($B833+IF($R$17="Distrato",$I$38-1,0)),IF(AND($L$711=0,$P$708=0),"",$L$711-1),IF($R$17="Distrato",$E833,0))),0,YEARFRAC(MAX($P$708*($B833+IF($R$17="Distrato",$I$38-1,0)),IF(AND($L$711=0,$P$708=0),"",$L$711-1),IF($R$17="Distrato",$E833,0)),MIN(R$38,$D$19),$P$20))-SUM($P833:Q833)</f>
        <v>#VALUE!</v>
      </c>
      <c r="S833" s="446" t="e">
        <f>IF(OR($B833="",MIN(S$38,$D$19)&lt;MAX($P$708*($B833+IF($R$17="Distrato",$I$38-1,0)),IF(AND($L$711=0,$P$708=0),"",$L$711-1),IF($R$17="Distrato",$E833,0))),0,YEARFRAC(MAX($P$708*($B833+IF($R$17="Distrato",$I$38-1,0)),IF(AND($L$711=0,$P$708=0),"",$L$711-1),IF($R$17="Distrato",$E833,0)),MIN(S$38,$D$19),$P$20))-SUM($P833:R833)</f>
        <v>#VALUE!</v>
      </c>
      <c r="T833" s="446" t="e">
        <f>IF(OR($B833="",MIN(T$38,$D$19)&lt;MAX($P$708*($B833+IF($R$17="Distrato",$I$38-1,0)),IF(AND($L$711=0,$P$708=0),"",$L$711-1),IF($R$17="Distrato",$E833,0))),0,YEARFRAC(MAX($P$708*($B833+IF($R$17="Distrato",$I$38-1,0)),IF(AND($L$711=0,$P$708=0),"",$L$711-1),IF($R$17="Distrato",$E833,0)),MIN(T$38,$D$19),$P$20))-SUM($P833:S833)</f>
        <v>#VALUE!</v>
      </c>
      <c r="U833" s="446" t="e">
        <f>IF(OR($B833="",MIN(U$38,$D$19)&lt;MAX($P$708*($B833+IF($R$17="Distrato",$I$38-1,0)),IF(AND($L$711=0,$P$708=0),"",$L$711-1),IF($R$17="Distrato",$E833,0))),0,YEARFRAC(MAX($P$708*($B833+IF($R$17="Distrato",$I$38-1,0)),IF(AND($L$711=0,$P$708=0),"",$L$711-1),IF($R$17="Distrato",$E833,0)),MIN(U$38,$D$19),$P$20))-SUM($P833:T833)</f>
        <v>#VALUE!</v>
      </c>
      <c r="V833" s="446" t="e">
        <f>IF(OR($B833="",MIN(V$38,$D$19)&lt;MAX($P$708*($B833+IF($R$17="Distrato",$I$38-1,0)),IF(AND($L$711=0,$P$708=0),"",$L$711-1),IF($R$17="Distrato",$E833,0))),0,YEARFRAC(MAX($P$708*($B833+IF($R$17="Distrato",$I$38-1,0)),IF(AND($L$711=0,$P$708=0),"",$L$711-1),IF($R$17="Distrato",$E833,0)),MIN(V$38,$D$19),$P$20))-SUM($P833:U833)</f>
        <v>#VALUE!</v>
      </c>
      <c r="W833" s="446" t="e">
        <f>IF(OR($B833="",MIN(W$38,$D$19)&lt;MAX($P$708*($B833+IF($R$17="Distrato",$I$38-1,0)),IF(AND($L$711=0,$P$708=0),"",$L$711-1),IF($R$17="Distrato",$E833,0))),0,YEARFRAC(MAX($P$708*($B833+IF($R$17="Distrato",$I$38-1,0)),IF(AND($L$711=0,$P$708=0),"",$L$711-1),IF($R$17="Distrato",$E833,0)),MIN(W$38,$D$19),$P$20))-SUM($P833:V833)</f>
        <v>#VALUE!</v>
      </c>
      <c r="X833" s="446" t="e">
        <f>IF(OR($B833="",MIN(X$38,$D$19)&lt;MAX($P$708*($B833+IF($R$17="Distrato",$I$38-1,0)),IF(AND($L$711=0,$P$708=0),"",$L$711-1),IF($R$17="Distrato",$E833,0))),0,YEARFRAC(MAX($P$708*($B833+IF($R$17="Distrato",$I$38-1,0)),IF(AND($L$711=0,$P$708=0),"",$L$711-1),IF($R$17="Distrato",$E833,0)),MIN(X$38,$D$19),$P$20))-SUM($P833:W833)</f>
        <v>#VALUE!</v>
      </c>
      <c r="Y833" s="446" t="e">
        <f>IF(OR($B833="",MIN(Y$38,$D$19)&lt;MAX($P$708*($B833+IF($R$17="Distrato",$I$38-1,0)),IF(AND($L$711=0,$P$708=0),"",$L$711-1),IF($R$17="Distrato",$E833,0))),0,YEARFRAC(MAX($P$708*($B833+IF($R$17="Distrato",$I$38-1,0)),IF(AND($L$711=0,$P$708=0),"",$L$711-1),IF($R$17="Distrato",$E833,0)),MIN(Y$38,$D$19),$P$20))-SUM($P833:X833)</f>
        <v>#VALUE!</v>
      </c>
      <c r="Z833" s="446" t="e">
        <f>IF(OR($B833="",MIN(Z$38,$D$19)&lt;MAX($P$708*($B833+IF($R$17="Distrato",$I$38-1,0)),IF(AND($L$711=0,$P$708=0),"",$L$711-1),IF($R$17="Distrato",$E833,0))),0,YEARFRAC(MAX($P$708*($B833+IF($R$17="Distrato",$I$38-1,0)),IF(AND($L$711=0,$P$708=0),"",$L$711-1),IF($R$17="Distrato",$E833,0)),MIN(Z$38,$D$19),$P$20))-SUM($P833:Y833)</f>
        <v>#VALUE!</v>
      </c>
      <c r="AA833" s="446" t="e">
        <f>IF(OR($B833="",MIN(AA$38,$D$19)&lt;MAX($P$708*($B833+IF($R$17="Distrato",$I$38-1,0)),IF(AND($L$711=0,$P$708=0),"",$L$711-1),IF($R$17="Distrato",$E833,0))),0,YEARFRAC(MAX($P$708*($B833+IF($R$17="Distrato",$I$38-1,0)),IF(AND($L$711=0,$P$708=0),"",$L$711-1),IF($R$17="Distrato",$E833,0)),MIN(AA$38,$D$19),$P$20))-SUM($P833:Z833)</f>
        <v>#VALUE!</v>
      </c>
      <c r="AB833" s="446" t="e">
        <f>IF(OR($B833="",MIN(AB$38,$D$19)&lt;MAX($P$708*($B833+IF($R$17="Distrato",$I$38-1,0)),IF(AND($L$711=0,$P$708=0),"",$L$711-1),IF($R$17="Distrato",$E833,0))),0,YEARFRAC(MAX($P$708*($B833+IF($R$17="Distrato",$I$38-1,0)),IF(AND($L$711=0,$P$708=0),"",$L$711-1),IF($R$17="Distrato",$E833,0)),MIN(AB$38,$D$19),$P$20))-SUM($P833:AA833)</f>
        <v>#VALUE!</v>
      </c>
      <c r="AC833" s="446" t="e">
        <f>IF(OR($B833="",MIN(AC$38,$D$19)&lt;MAX($P$708*($B833+IF($R$17="Distrato",$I$38-1,0)),IF(AND($L$711=0,$P$708=0),"",$L$711-1),IF($R$17="Distrato",$E833,0))),0,YEARFRAC(MAX($P$708*($B833+IF($R$17="Distrato",$I$38-1,0)),IF(AND($L$711=0,$P$708=0),"",$L$711-1),IF($R$17="Distrato",$E833,0)),MIN(AC$38,$D$19),$P$20))-SUM($P833:AB833)</f>
        <v>#VALUE!</v>
      </c>
      <c r="AD833" s="446" t="e">
        <f>IF(OR($B833="",MIN(AD$38,$D$19)&lt;MAX($P$708*($B833+IF($R$17="Distrato",$I$38-1,0)),IF(AND($L$711=0,$P$708=0),"",$L$711-1),IF($R$17="Distrato",$E833,0))),0,YEARFRAC(MAX($P$708*($B833+IF($R$17="Distrato",$I$38-1,0)),IF(AND($L$711=0,$P$708=0),"",$L$711-1),IF($R$17="Distrato",$E833,0)),MIN(AD$38,$D$19),$P$20))-SUM($P833:AC833)</f>
        <v>#VALUE!</v>
      </c>
      <c r="AE833" s="446" t="e">
        <f>IF(OR($B833="",MIN(AE$38,$D$19)&lt;MAX($P$708*($B833+IF($R$17="Distrato",$I$38-1,0)),IF(AND($L$711=0,$P$708=0),"",$L$711-1),IF($R$17="Distrato",$E833,0))),0,YEARFRAC(MAX($P$708*($B833+IF($R$17="Distrato",$I$38-1,0)),IF(AND($L$711=0,$P$708=0),"",$L$711-1),IF($R$17="Distrato",$E833,0)),MIN(AE$38,$D$19),$P$20))-SUM($P833:AD833)</f>
        <v>#VALUE!</v>
      </c>
      <c r="AF833" s="446" t="e">
        <f>IF(OR($B833="",MIN(AF$38,$D$19)&lt;MAX($P$708*($B833+IF($R$17="Distrato",$I$38-1,0)),IF(AND($L$711=0,$P$708=0),"",$L$711-1),IF($R$17="Distrato",$E833,0))),0,YEARFRAC(MAX($P$708*($B833+IF($R$17="Distrato",$I$38-1,0)),IF(AND($L$711=0,$P$708=0),"",$L$711-1),IF($R$17="Distrato",$E833,0)),MIN(AF$38,$D$19),$P$20))-SUM($P833:AE833)</f>
        <v>#VALUE!</v>
      </c>
      <c r="AG833" s="446" t="e">
        <f>IF(OR($B833="",MIN(AG$38,$D$19)&lt;MAX($P$708*($B833+IF($R$17="Distrato",$I$38-1,0)),IF(AND($L$711=0,$P$708=0),"",$L$711-1),IF($R$17="Distrato",$E833,0))),0,YEARFRAC(MAX($P$708*($B833+IF($R$17="Distrato",$I$38-1,0)),IF(AND($L$711=0,$P$708=0),"",$L$711-1),IF($R$17="Distrato",$E833,0)),MIN(AG$38,$D$19),$P$20))-SUM($P833:AF833)</f>
        <v>#VALUE!</v>
      </c>
      <c r="AH833" s="446" t="e">
        <f>IF(OR($B833="",MIN(AH$38,$D$19)&lt;MAX($P$708*($B833+IF($R$17="Distrato",$I$38-1,0)),IF(AND($L$711=0,$P$708=0),"",$L$711-1),IF($R$17="Distrato",$E833,0))),0,YEARFRAC(MAX($P$708*($B833+IF($R$17="Distrato",$I$38-1,0)),IF(AND($L$711=0,$P$708=0),"",$L$711-1),IF($R$17="Distrato",$E833,0)),MIN(AH$38,$D$19),$P$20))-SUM($P833:AG833)</f>
        <v>#VALUE!</v>
      </c>
      <c r="AI833" s="446" t="e">
        <f>IF(OR($B833="",MIN(AI$38,$D$19)&lt;MAX($P$708*($B833+IF($R$17="Distrato",$I$38-1,0)),IF(AND($L$711=0,$P$708=0),"",$L$711-1),IF($R$17="Distrato",$E833,0))),0,YEARFRAC(MAX($P$708*($B833+IF($R$17="Distrato",$I$38-1,0)),IF(AND($L$711=0,$P$708=0),"",$L$711-1),IF($R$17="Distrato",$E833,0)),MIN(AI$38,$D$19),$P$20))-SUM($P833:AH833)</f>
        <v>#VALUE!</v>
      </c>
      <c r="AJ833" s="446" t="e">
        <f>IF(OR($B833="",MIN(AJ$38,$D$19)&lt;MAX($P$708*($B833+IF($R$17="Distrato",$I$38-1,0)),IF(AND($L$711=0,$P$708=0),"",$L$711-1),IF($R$17="Distrato",$E833,0))),0,YEARFRAC(MAX($P$708*($B833+IF($R$17="Distrato",$I$38-1,0)),IF(AND($L$711=0,$P$708=0),"",$L$711-1),IF($R$17="Distrato",$E833,0)),MIN(AJ$38,$D$19),$P$20))-SUM($P833:AI833)</f>
        <v>#VALUE!</v>
      </c>
      <c r="AK833" s="446" t="e">
        <f>IF(OR($B833="",MIN(AK$38,$D$19)&lt;MAX($P$708*($B833+IF($R$17="Distrato",$I$38-1,0)),IF(AND($L$711=0,$P$708=0),"",$L$711-1),IF($R$17="Distrato",$E833,0))),0,YEARFRAC(MAX($P$708*($B833+IF($R$17="Distrato",$I$38-1,0)),IF(AND($L$711=0,$P$708=0),"",$L$711-1),IF($R$17="Distrato",$E833,0)),MIN(AK$38,$D$19),$P$20))-SUM($P833:AJ833)</f>
        <v>#VALUE!</v>
      </c>
      <c r="AL833" s="446" t="e">
        <f>IF(OR($B833="",MIN(AL$38,$D$19)&lt;MAX($P$708*($B833+IF($R$17="Distrato",$I$38-1,0)),IF(AND($L$711=0,$P$708=0),"",$L$711-1),IF($R$17="Distrato",$E833,0))),0,YEARFRAC(MAX($P$708*($B833+IF($R$17="Distrato",$I$38-1,0)),IF(AND($L$711=0,$P$708=0),"",$L$711-1),IF($R$17="Distrato",$E833,0)),MIN(AL$38,$D$19),$P$20))-SUM($P833:AK833)</f>
        <v>#VALUE!</v>
      </c>
      <c r="AM833" s="446" t="e">
        <f>IF(OR($B833="",MIN(AM$38,$D$19)&lt;MAX($P$708*($B833+IF($R$17="Distrato",$I$38-1,0)),IF(AND($L$711=0,$P$708=0),"",$L$711-1),IF($R$17="Distrato",$E833,0))),0,YEARFRAC(MAX($P$708*($B833+IF($R$17="Distrato",$I$38-1,0)),IF(AND($L$711=0,$P$708=0),"",$L$711-1),IF($R$17="Distrato",$E833,0)),MIN(AM$38,$D$19),$P$20))-SUM($P833:AL833)</f>
        <v>#VALUE!</v>
      </c>
      <c r="AN833" s="446" t="e">
        <f>IF(OR($B833="",MIN(AN$38,$D$19)&lt;MAX($P$708*($B833+IF($R$17="Distrato",$I$38-1,0)),IF(AND($L$711=0,$P$708=0),"",$L$711-1),IF($R$17="Distrato",$E833,0))),0,YEARFRAC(MAX($P$708*($B833+IF($R$17="Distrato",$I$38-1,0)),IF(AND($L$711=0,$P$708=0),"",$L$711-1),IF($R$17="Distrato",$E833,0)),MIN(AN$38,$D$19),$P$20))-SUM($P833:AM833)</f>
        <v>#VALUE!</v>
      </c>
      <c r="AO833" s="446" t="e">
        <f>IF(OR($B833="",MIN(AO$38,$D$19)&lt;MAX($P$708*($B833+IF($R$17="Distrato",$I$38-1,0)),IF(AND($L$711=0,$P$708=0),"",$L$711-1),IF($R$17="Distrato",$E833,0))),0,YEARFRAC(MAX($P$708*($B833+IF($R$17="Distrato",$I$38-1,0)),IF(AND($L$711=0,$P$708=0),"",$L$711-1),IF($R$17="Distrato",$E833,0)),MIN(AO$38,$D$19),$P$20))-SUM($P833:AN833)</f>
        <v>#VALUE!</v>
      </c>
      <c r="AP833" s="446" t="e">
        <f>IF(OR($B833="",MIN(AP$38,$D$19)&lt;MAX($P$708*($B833+IF($R$17="Distrato",$I$38-1,0)),IF(AND($L$711=0,$P$708=0),"",$L$711-1),IF($R$17="Distrato",$E833,0))),0,YEARFRAC(MAX($P$708*($B833+IF($R$17="Distrato",$I$38-1,0)),IF(AND($L$711=0,$P$708=0),"",$L$711-1),IF($R$17="Distrato",$E833,0)),MIN(AP$38,$D$19),$P$20))-SUM($P833:AO833)</f>
        <v>#VALUE!</v>
      </c>
      <c r="AQ833" s="446" t="e">
        <f>IF(OR($B833="",MIN(AQ$38,$D$19)&lt;MAX($P$708*($B833+IF($R$17="Distrato",$I$38-1,0)),IF(AND($L$711=0,$P$708=0),"",$L$711-1),IF($R$17="Distrato",$E833,0))),0,YEARFRAC(MAX($P$708*($B833+IF($R$17="Distrato",$I$38-1,0)),IF(AND($L$711=0,$P$708=0),"",$L$711-1),IF($R$17="Distrato",$E833,0)),MIN(AQ$38,$D$19),$P$20))-SUM($P833:AP833)</f>
        <v>#VALUE!</v>
      </c>
      <c r="AR833" s="446" t="e">
        <f>IF(OR($B833="",MIN(AR$38,$D$19)&lt;MAX($P$708*($B833+IF($R$17="Distrato",$I$38-1,0)),IF(AND($L$711=0,$P$708=0),"",$L$711-1),IF($R$17="Distrato",$E833,0))),0,YEARFRAC(MAX($P$708*($B833+IF($R$17="Distrato",$I$38-1,0)),IF(AND($L$711=0,$P$708=0),"",$L$711-1),IF($R$17="Distrato",$E833,0)),MIN(AR$38,$D$19),$P$20))-SUM($P833:AQ833)</f>
        <v>#VALUE!</v>
      </c>
      <c r="AS833" s="446" t="e">
        <f>IF(OR($B833="",MIN(AS$38,$D$19)&lt;MAX($P$708*($B833+IF($R$17="Distrato",$I$38-1,0)),IF(AND($L$711=0,$P$708=0),"",$L$711-1),IF($R$17="Distrato",$E833,0))),0,YEARFRAC(MAX($P$708*($B833+IF($R$17="Distrato",$I$38-1,0)),IF(AND($L$711=0,$P$708=0),"",$L$711-1),IF($R$17="Distrato",$E833,0)),MIN(AS$38,$D$19),$P$20))-SUM($P833:AR833)</f>
        <v>#VALUE!</v>
      </c>
      <c r="AT833" s="446" t="e">
        <f>IF(OR($B833="",MIN(AT$38,$D$19)&lt;MAX($P$708*($B833+IF($R$17="Distrato",$I$38-1,0)),IF(AND($L$711=0,$P$708=0),"",$L$711-1),IF($R$17="Distrato",$E833,0))),0,YEARFRAC(MAX($P$708*($B833+IF($R$17="Distrato",$I$38-1,0)),IF(AND($L$711=0,$P$708=0),"",$L$711-1),IF($R$17="Distrato",$E833,0)),MIN(AT$38,$D$19),$P$20))-SUM($P833:AS833)</f>
        <v>#VALUE!</v>
      </c>
      <c r="AU833" s="446" t="e">
        <f>IF(OR($B833="",MIN(AU$38,$D$19)&lt;MAX($P$708*($B833+IF($R$17="Distrato",$I$38-1,0)),IF(AND($L$711=0,$P$708=0),"",$L$711-1),IF($R$17="Distrato",$E833,0))),0,YEARFRAC(MAX($P$708*($B833+IF($R$17="Distrato",$I$38-1,0)),IF(AND($L$711=0,$P$708=0),"",$L$711-1),IF($R$17="Distrato",$E833,0)),MIN(AU$38,$D$19),$P$20))-SUM($P833:AT833)</f>
        <v>#VALUE!</v>
      </c>
      <c r="AV833" s="446" t="e">
        <f>IF(OR($B833="",MIN(AV$38,$D$19)&lt;MAX($P$708*($B833+IF($R$17="Distrato",$I$38-1,0)),IF(AND($L$711=0,$P$708=0),"",$L$711-1),IF($R$17="Distrato",$E833,0))),0,YEARFRAC(MAX($P$708*($B833+IF($R$17="Distrato",$I$38-1,0)),IF(AND($L$711=0,$P$708=0),"",$L$711-1),IF($R$17="Distrato",$E833,0)),MIN(AV$38,$D$19),$P$20))-SUM($P833:AU833)</f>
        <v>#VALUE!</v>
      </c>
      <c r="AW833" s="446" t="e">
        <f>IF(OR($B833="",MIN(AW$38,$D$19)&lt;MAX($P$708*($B833+IF($R$17="Distrato",$I$38-1,0)),IF(AND($L$711=0,$P$708=0),"",$L$711-1),IF($R$17="Distrato",$E833,0))),0,YEARFRAC(MAX($P$708*($B833+IF($R$17="Distrato",$I$38-1,0)),IF(AND($L$711=0,$P$708=0),"",$L$711-1),IF($R$17="Distrato",$E833,0)),MIN(AW$38,$D$19),$P$20))-SUM($P833:AV833)</f>
        <v>#VALUE!</v>
      </c>
      <c r="AX833" s="446" t="e">
        <f>IF(OR($B833="",MIN(AX$38,$D$19)&lt;MAX($P$708*($B833+IF($R$17="Distrato",$I$38-1,0)),IF(AND($L$711=0,$P$708=0),"",$L$711-1),IF($R$17="Distrato",$E833,0))),0,YEARFRAC(MAX($P$708*($B833+IF($R$17="Distrato",$I$38-1,0)),IF(AND($L$711=0,$P$708=0),"",$L$711-1),IF($R$17="Distrato",$E833,0)),MIN(AX$38,$D$19),$P$20))-SUM($P833:AW833)</f>
        <v>#VALUE!</v>
      </c>
      <c r="AY833" s="446" t="e">
        <f>IF(OR($B833="",MIN(AY$38,$D$19)&lt;MAX($P$708*($B833+IF($R$17="Distrato",$I$38-1,0)),IF(AND($L$711=0,$P$708=0),"",$L$711-1),IF($R$17="Distrato",$E833,0))),0,YEARFRAC(MAX($P$708*($B833+IF($R$17="Distrato",$I$38-1,0)),IF(AND($L$711=0,$P$708=0),"",$L$711-1),IF($R$17="Distrato",$E833,0)),MIN(AY$38,$D$19),$P$20))-SUM($P833:AX833)</f>
        <v>#VALUE!</v>
      </c>
      <c r="AZ833" s="446" t="e">
        <f>IF(OR($B833="",MIN(AZ$38,$D$19)&lt;MAX($P$708*($B833+IF($R$17="Distrato",$I$38-1,0)),IF(AND($L$711=0,$P$708=0),"",$L$711-1),IF($R$17="Distrato",$E833,0))),0,YEARFRAC(MAX($P$708*($B833+IF($R$17="Distrato",$I$38-1,0)),IF(AND($L$711=0,$P$708=0),"",$L$711-1),IF($R$17="Distrato",$E833,0)),MIN(AZ$38,$D$19),$P$20))-SUM($P833:AY833)</f>
        <v>#VALUE!</v>
      </c>
      <c r="BA833" s="446" t="e">
        <f>IF(OR($B833="",MIN(BA$38,$D$19)&lt;MAX($P$708*($B833+IF($R$17="Distrato",$I$38-1,0)),IF(AND($L$711=0,$P$708=0),"",$L$711-1),IF($R$17="Distrato",$E833,0))),0,YEARFRAC(MAX($P$708*($B833+IF($R$17="Distrato",$I$38-1,0)),IF(AND($L$711=0,$P$708=0),"",$L$711-1),IF($R$17="Distrato",$E833,0)),MIN(BA$38,$D$19),$P$20))-SUM($P833:AZ833)</f>
        <v>#VALUE!</v>
      </c>
      <c r="BB833" s="447"/>
    </row>
    <row r="834" spans="1:54" s="446" customFormat="1" ht="11.25" hidden="1" customHeight="1" x14ac:dyDescent="0.2">
      <c r="A834" s="235"/>
      <c r="B834" s="236"/>
      <c r="C834" s="29" t="str">
        <f>IF(B834="","",IF($L$709=$BL$25,VLOOKUP(DATE(YEAR($D$19),MONTH($D$19)-1,1),ÍNDICES!$A:$DE,HLOOKUP($BL$25,ÍNDICES!$B$3:$T$4,2)+11)-VLOOKUP(B834,ÍNDICES!$A:$DE,HLOOKUP($BL$25,ÍNDICES!$B$3:$T$4,2)+11)+1%,IF(C$712=$W$26,$J$35,IF(ISERROR(IF(B834&gt;$D$19,1,VLOOKUP(DATE(YEAR(B834),MONTH(B834)+IF($C$709=$S$23,1,0),1),ÍNDICES!$A:$DE,$Z$709+1))),"",IF(B834&gt;$D$19,1,VLOOKUP(DATE(YEAR(B834),MONTH(B834)+IF($C$709=$S$23,1,0),1),ÍNDICES!$A:$DE,$Z$709+1))))))</f>
        <v/>
      </c>
      <c r="D834" s="155"/>
      <c r="E834" s="88"/>
      <c r="F834" s="88"/>
      <c r="G834" s="88"/>
      <c r="H834" s="118"/>
      <c r="I834" s="182">
        <f t="shared" si="122"/>
        <v>0</v>
      </c>
      <c r="J834" s="20">
        <f t="shared" ca="1" si="123"/>
        <v>0</v>
      </c>
      <c r="K834" s="5">
        <f t="shared" ca="1" si="124"/>
        <v>0</v>
      </c>
      <c r="L834" s="61">
        <f t="shared" ca="1" si="125"/>
        <v>0</v>
      </c>
      <c r="M834" s="64">
        <f t="shared" si="126"/>
        <v>0</v>
      </c>
      <c r="N834" s="151"/>
      <c r="O834" s="5">
        <f t="shared" ca="1" si="127"/>
        <v>0</v>
      </c>
      <c r="P834" s="446" t="e">
        <f t="shared" si="128"/>
        <v>#VALUE!</v>
      </c>
      <c r="Q834" s="446" t="e">
        <f>IF(OR($B834="",MIN(Q$38,$D$19)&lt;MAX($P$708*($B834+IF($R$17="Distrato",$I$38-1,0)),IF(AND($L$711=0,$P$708=0),"",$L$711-1),IF($R$17="Distrato",$E834,0))),0,YEARFRAC(MAX($P$708*($B834+IF($R$17="Distrato",$I$38-1,0)),IF(AND($L$711=0,$P$708=0),"",$L$711-1),IF($R$17="Distrato",$E834,0)),MIN(Q$38,$D$19),$P$20))-SUM($P834:P834)</f>
        <v>#VALUE!</v>
      </c>
      <c r="R834" s="446" t="e">
        <f>IF(OR($B834="",MIN(R$38,$D$19)&lt;MAX($P$708*($B834+IF($R$17="Distrato",$I$38-1,0)),IF(AND($L$711=0,$P$708=0),"",$L$711-1),IF($R$17="Distrato",$E834,0))),0,YEARFRAC(MAX($P$708*($B834+IF($R$17="Distrato",$I$38-1,0)),IF(AND($L$711=0,$P$708=0),"",$L$711-1),IF($R$17="Distrato",$E834,0)),MIN(R$38,$D$19),$P$20))-SUM($P834:Q834)</f>
        <v>#VALUE!</v>
      </c>
      <c r="S834" s="446" t="e">
        <f>IF(OR($B834="",MIN(S$38,$D$19)&lt;MAX($P$708*($B834+IF($R$17="Distrato",$I$38-1,0)),IF(AND($L$711=0,$P$708=0),"",$L$711-1),IF($R$17="Distrato",$E834,0))),0,YEARFRAC(MAX($P$708*($B834+IF($R$17="Distrato",$I$38-1,0)),IF(AND($L$711=0,$P$708=0),"",$L$711-1),IF($R$17="Distrato",$E834,0)),MIN(S$38,$D$19),$P$20))-SUM($P834:R834)</f>
        <v>#VALUE!</v>
      </c>
      <c r="T834" s="446" t="e">
        <f>IF(OR($B834="",MIN(T$38,$D$19)&lt;MAX($P$708*($B834+IF($R$17="Distrato",$I$38-1,0)),IF(AND($L$711=0,$P$708=0),"",$L$711-1),IF($R$17="Distrato",$E834,0))),0,YEARFRAC(MAX($P$708*($B834+IF($R$17="Distrato",$I$38-1,0)),IF(AND($L$711=0,$P$708=0),"",$L$711-1),IF($R$17="Distrato",$E834,0)),MIN(T$38,$D$19),$P$20))-SUM($P834:S834)</f>
        <v>#VALUE!</v>
      </c>
      <c r="U834" s="446" t="e">
        <f>IF(OR($B834="",MIN(U$38,$D$19)&lt;MAX($P$708*($B834+IF($R$17="Distrato",$I$38-1,0)),IF(AND($L$711=0,$P$708=0),"",$L$711-1),IF($R$17="Distrato",$E834,0))),0,YEARFRAC(MAX($P$708*($B834+IF($R$17="Distrato",$I$38-1,0)),IF(AND($L$711=0,$P$708=0),"",$L$711-1),IF($R$17="Distrato",$E834,0)),MIN(U$38,$D$19),$P$20))-SUM($P834:T834)</f>
        <v>#VALUE!</v>
      </c>
      <c r="V834" s="446" t="e">
        <f>IF(OR($B834="",MIN(V$38,$D$19)&lt;MAX($P$708*($B834+IF($R$17="Distrato",$I$38-1,0)),IF(AND($L$711=0,$P$708=0),"",$L$711-1),IF($R$17="Distrato",$E834,0))),0,YEARFRAC(MAX($P$708*($B834+IF($R$17="Distrato",$I$38-1,0)),IF(AND($L$711=0,$P$708=0),"",$L$711-1),IF($R$17="Distrato",$E834,0)),MIN(V$38,$D$19),$P$20))-SUM($P834:U834)</f>
        <v>#VALUE!</v>
      </c>
      <c r="W834" s="446" t="e">
        <f>IF(OR($B834="",MIN(W$38,$D$19)&lt;MAX($P$708*($B834+IF($R$17="Distrato",$I$38-1,0)),IF(AND($L$711=0,$P$708=0),"",$L$711-1),IF($R$17="Distrato",$E834,0))),0,YEARFRAC(MAX($P$708*($B834+IF($R$17="Distrato",$I$38-1,0)),IF(AND($L$711=0,$P$708=0),"",$L$711-1),IF($R$17="Distrato",$E834,0)),MIN(W$38,$D$19),$P$20))-SUM($P834:V834)</f>
        <v>#VALUE!</v>
      </c>
      <c r="X834" s="446" t="e">
        <f>IF(OR($B834="",MIN(X$38,$D$19)&lt;MAX($P$708*($B834+IF($R$17="Distrato",$I$38-1,0)),IF(AND($L$711=0,$P$708=0),"",$L$711-1),IF($R$17="Distrato",$E834,0))),0,YEARFRAC(MAX($P$708*($B834+IF($R$17="Distrato",$I$38-1,0)),IF(AND($L$711=0,$P$708=0),"",$L$711-1),IF($R$17="Distrato",$E834,0)),MIN(X$38,$D$19),$P$20))-SUM($P834:W834)</f>
        <v>#VALUE!</v>
      </c>
      <c r="Y834" s="446" t="e">
        <f>IF(OR($B834="",MIN(Y$38,$D$19)&lt;MAX($P$708*($B834+IF($R$17="Distrato",$I$38-1,0)),IF(AND($L$711=0,$P$708=0),"",$L$711-1),IF($R$17="Distrato",$E834,0))),0,YEARFRAC(MAX($P$708*($B834+IF($R$17="Distrato",$I$38-1,0)),IF(AND($L$711=0,$P$708=0),"",$L$711-1),IF($R$17="Distrato",$E834,0)),MIN(Y$38,$D$19),$P$20))-SUM($P834:X834)</f>
        <v>#VALUE!</v>
      </c>
      <c r="Z834" s="446" t="e">
        <f>IF(OR($B834="",MIN(Z$38,$D$19)&lt;MAX($P$708*($B834+IF($R$17="Distrato",$I$38-1,0)),IF(AND($L$711=0,$P$708=0),"",$L$711-1),IF($R$17="Distrato",$E834,0))),0,YEARFRAC(MAX($P$708*($B834+IF($R$17="Distrato",$I$38-1,0)),IF(AND($L$711=0,$P$708=0),"",$L$711-1),IF($R$17="Distrato",$E834,0)),MIN(Z$38,$D$19),$P$20))-SUM($P834:Y834)</f>
        <v>#VALUE!</v>
      </c>
      <c r="AA834" s="446" t="e">
        <f>IF(OR($B834="",MIN(AA$38,$D$19)&lt;MAX($P$708*($B834+IF($R$17="Distrato",$I$38-1,0)),IF(AND($L$711=0,$P$708=0),"",$L$711-1),IF($R$17="Distrato",$E834,0))),0,YEARFRAC(MAX($P$708*($B834+IF($R$17="Distrato",$I$38-1,0)),IF(AND($L$711=0,$P$708=0),"",$L$711-1),IF($R$17="Distrato",$E834,0)),MIN(AA$38,$D$19),$P$20))-SUM($P834:Z834)</f>
        <v>#VALUE!</v>
      </c>
      <c r="AB834" s="446" t="e">
        <f>IF(OR($B834="",MIN(AB$38,$D$19)&lt;MAX($P$708*($B834+IF($R$17="Distrato",$I$38-1,0)),IF(AND($L$711=0,$P$708=0),"",$L$711-1),IF($R$17="Distrato",$E834,0))),0,YEARFRAC(MAX($P$708*($B834+IF($R$17="Distrato",$I$38-1,0)),IF(AND($L$711=0,$P$708=0),"",$L$711-1),IF($R$17="Distrato",$E834,0)),MIN(AB$38,$D$19),$P$20))-SUM($P834:AA834)</f>
        <v>#VALUE!</v>
      </c>
      <c r="AC834" s="446" t="e">
        <f>IF(OR($B834="",MIN(AC$38,$D$19)&lt;MAX($P$708*($B834+IF($R$17="Distrato",$I$38-1,0)),IF(AND($L$711=0,$P$708=0),"",$L$711-1),IF($R$17="Distrato",$E834,0))),0,YEARFRAC(MAX($P$708*($B834+IF($R$17="Distrato",$I$38-1,0)),IF(AND($L$711=0,$P$708=0),"",$L$711-1),IF($R$17="Distrato",$E834,0)),MIN(AC$38,$D$19),$P$20))-SUM($P834:AB834)</f>
        <v>#VALUE!</v>
      </c>
      <c r="AD834" s="446" t="e">
        <f>IF(OR($B834="",MIN(AD$38,$D$19)&lt;MAX($P$708*($B834+IF($R$17="Distrato",$I$38-1,0)),IF(AND($L$711=0,$P$708=0),"",$L$711-1),IF($R$17="Distrato",$E834,0))),0,YEARFRAC(MAX($P$708*($B834+IF($R$17="Distrato",$I$38-1,0)),IF(AND($L$711=0,$P$708=0),"",$L$711-1),IF($R$17="Distrato",$E834,0)),MIN(AD$38,$D$19),$P$20))-SUM($P834:AC834)</f>
        <v>#VALUE!</v>
      </c>
      <c r="AE834" s="446" t="e">
        <f>IF(OR($B834="",MIN(AE$38,$D$19)&lt;MAX($P$708*($B834+IF($R$17="Distrato",$I$38-1,0)),IF(AND($L$711=0,$P$708=0),"",$L$711-1),IF($R$17="Distrato",$E834,0))),0,YEARFRAC(MAX($P$708*($B834+IF($R$17="Distrato",$I$38-1,0)),IF(AND($L$711=0,$P$708=0),"",$L$711-1),IF($R$17="Distrato",$E834,0)),MIN(AE$38,$D$19),$P$20))-SUM($P834:AD834)</f>
        <v>#VALUE!</v>
      </c>
      <c r="AF834" s="446" t="e">
        <f>IF(OR($B834="",MIN(AF$38,$D$19)&lt;MAX($P$708*($B834+IF($R$17="Distrato",$I$38-1,0)),IF(AND($L$711=0,$P$708=0),"",$L$711-1),IF($R$17="Distrato",$E834,0))),0,YEARFRAC(MAX($P$708*($B834+IF($R$17="Distrato",$I$38-1,0)),IF(AND($L$711=0,$P$708=0),"",$L$711-1),IF($R$17="Distrato",$E834,0)),MIN(AF$38,$D$19),$P$20))-SUM($P834:AE834)</f>
        <v>#VALUE!</v>
      </c>
      <c r="AG834" s="446" t="e">
        <f>IF(OR($B834="",MIN(AG$38,$D$19)&lt;MAX($P$708*($B834+IF($R$17="Distrato",$I$38-1,0)),IF(AND($L$711=0,$P$708=0),"",$L$711-1),IF($R$17="Distrato",$E834,0))),0,YEARFRAC(MAX($P$708*($B834+IF($R$17="Distrato",$I$38-1,0)),IF(AND($L$711=0,$P$708=0),"",$L$711-1),IF($R$17="Distrato",$E834,0)),MIN(AG$38,$D$19),$P$20))-SUM($P834:AF834)</f>
        <v>#VALUE!</v>
      </c>
      <c r="AH834" s="446" t="e">
        <f>IF(OR($B834="",MIN(AH$38,$D$19)&lt;MAX($P$708*($B834+IF($R$17="Distrato",$I$38-1,0)),IF(AND($L$711=0,$P$708=0),"",$L$711-1),IF($R$17="Distrato",$E834,0))),0,YEARFRAC(MAX($P$708*($B834+IF($R$17="Distrato",$I$38-1,0)),IF(AND($L$711=0,$P$708=0),"",$L$711-1),IF($R$17="Distrato",$E834,0)),MIN(AH$38,$D$19),$P$20))-SUM($P834:AG834)</f>
        <v>#VALUE!</v>
      </c>
      <c r="AI834" s="446" t="e">
        <f>IF(OR($B834="",MIN(AI$38,$D$19)&lt;MAX($P$708*($B834+IF($R$17="Distrato",$I$38-1,0)),IF(AND($L$711=0,$P$708=0),"",$L$711-1),IF($R$17="Distrato",$E834,0))),0,YEARFRAC(MAX($P$708*($B834+IF($R$17="Distrato",$I$38-1,0)),IF(AND($L$711=0,$P$708=0),"",$L$711-1),IF($R$17="Distrato",$E834,0)),MIN(AI$38,$D$19),$P$20))-SUM($P834:AH834)</f>
        <v>#VALUE!</v>
      </c>
      <c r="AJ834" s="446" t="e">
        <f>IF(OR($B834="",MIN(AJ$38,$D$19)&lt;MAX($P$708*($B834+IF($R$17="Distrato",$I$38-1,0)),IF(AND($L$711=0,$P$708=0),"",$L$711-1),IF($R$17="Distrato",$E834,0))),0,YEARFRAC(MAX($P$708*($B834+IF($R$17="Distrato",$I$38-1,0)),IF(AND($L$711=0,$P$708=0),"",$L$711-1),IF($R$17="Distrato",$E834,0)),MIN(AJ$38,$D$19),$P$20))-SUM($P834:AI834)</f>
        <v>#VALUE!</v>
      </c>
      <c r="AK834" s="446" t="e">
        <f>IF(OR($B834="",MIN(AK$38,$D$19)&lt;MAX($P$708*($B834+IF($R$17="Distrato",$I$38-1,0)),IF(AND($L$711=0,$P$708=0),"",$L$711-1),IF($R$17="Distrato",$E834,0))),0,YEARFRAC(MAX($P$708*($B834+IF($R$17="Distrato",$I$38-1,0)),IF(AND($L$711=0,$P$708=0),"",$L$711-1),IF($R$17="Distrato",$E834,0)),MIN(AK$38,$D$19),$P$20))-SUM($P834:AJ834)</f>
        <v>#VALUE!</v>
      </c>
      <c r="AL834" s="446" t="e">
        <f>IF(OR($B834="",MIN(AL$38,$D$19)&lt;MAX($P$708*($B834+IF($R$17="Distrato",$I$38-1,0)),IF(AND($L$711=0,$P$708=0),"",$L$711-1),IF($R$17="Distrato",$E834,0))),0,YEARFRAC(MAX($P$708*($B834+IF($R$17="Distrato",$I$38-1,0)),IF(AND($L$711=0,$P$708=0),"",$L$711-1),IF($R$17="Distrato",$E834,0)),MIN(AL$38,$D$19),$P$20))-SUM($P834:AK834)</f>
        <v>#VALUE!</v>
      </c>
      <c r="AM834" s="446" t="e">
        <f>IF(OR($B834="",MIN(AM$38,$D$19)&lt;MAX($P$708*($B834+IF($R$17="Distrato",$I$38-1,0)),IF(AND($L$711=0,$P$708=0),"",$L$711-1),IF($R$17="Distrato",$E834,0))),0,YEARFRAC(MAX($P$708*($B834+IF($R$17="Distrato",$I$38-1,0)),IF(AND($L$711=0,$P$708=0),"",$L$711-1),IF($R$17="Distrato",$E834,0)),MIN(AM$38,$D$19),$P$20))-SUM($P834:AL834)</f>
        <v>#VALUE!</v>
      </c>
      <c r="AN834" s="446" t="e">
        <f>IF(OR($B834="",MIN(AN$38,$D$19)&lt;MAX($P$708*($B834+IF($R$17="Distrato",$I$38-1,0)),IF(AND($L$711=0,$P$708=0),"",$L$711-1),IF($R$17="Distrato",$E834,0))),0,YEARFRAC(MAX($P$708*($B834+IF($R$17="Distrato",$I$38-1,0)),IF(AND($L$711=0,$P$708=0),"",$L$711-1),IF($R$17="Distrato",$E834,0)),MIN(AN$38,$D$19),$P$20))-SUM($P834:AM834)</f>
        <v>#VALUE!</v>
      </c>
      <c r="AO834" s="446" t="e">
        <f>IF(OR($B834="",MIN(AO$38,$D$19)&lt;MAX($P$708*($B834+IF($R$17="Distrato",$I$38-1,0)),IF(AND($L$711=0,$P$708=0),"",$L$711-1),IF($R$17="Distrato",$E834,0))),0,YEARFRAC(MAX($P$708*($B834+IF($R$17="Distrato",$I$38-1,0)),IF(AND($L$711=0,$P$708=0),"",$L$711-1),IF($R$17="Distrato",$E834,0)),MIN(AO$38,$D$19),$P$20))-SUM($P834:AN834)</f>
        <v>#VALUE!</v>
      </c>
      <c r="AP834" s="446" t="e">
        <f>IF(OR($B834="",MIN(AP$38,$D$19)&lt;MAX($P$708*($B834+IF($R$17="Distrato",$I$38-1,0)),IF(AND($L$711=0,$P$708=0),"",$L$711-1),IF($R$17="Distrato",$E834,0))),0,YEARFRAC(MAX($P$708*($B834+IF($R$17="Distrato",$I$38-1,0)),IF(AND($L$711=0,$P$708=0),"",$L$711-1),IF($R$17="Distrato",$E834,0)),MIN(AP$38,$D$19),$P$20))-SUM($P834:AO834)</f>
        <v>#VALUE!</v>
      </c>
      <c r="AQ834" s="446" t="e">
        <f>IF(OR($B834="",MIN(AQ$38,$D$19)&lt;MAX($P$708*($B834+IF($R$17="Distrato",$I$38-1,0)),IF(AND($L$711=0,$P$708=0),"",$L$711-1),IF($R$17="Distrato",$E834,0))),0,YEARFRAC(MAX($P$708*($B834+IF($R$17="Distrato",$I$38-1,0)),IF(AND($L$711=0,$P$708=0),"",$L$711-1),IF($R$17="Distrato",$E834,0)),MIN(AQ$38,$D$19),$P$20))-SUM($P834:AP834)</f>
        <v>#VALUE!</v>
      </c>
      <c r="AR834" s="446" t="e">
        <f>IF(OR($B834="",MIN(AR$38,$D$19)&lt;MAX($P$708*($B834+IF($R$17="Distrato",$I$38-1,0)),IF(AND($L$711=0,$P$708=0),"",$L$711-1),IF($R$17="Distrato",$E834,0))),0,YEARFRAC(MAX($P$708*($B834+IF($R$17="Distrato",$I$38-1,0)),IF(AND($L$711=0,$P$708=0),"",$L$711-1),IF($R$17="Distrato",$E834,0)),MIN(AR$38,$D$19),$P$20))-SUM($P834:AQ834)</f>
        <v>#VALUE!</v>
      </c>
      <c r="AS834" s="446" t="e">
        <f>IF(OR($B834="",MIN(AS$38,$D$19)&lt;MAX($P$708*($B834+IF($R$17="Distrato",$I$38-1,0)),IF(AND($L$711=0,$P$708=0),"",$L$711-1),IF($R$17="Distrato",$E834,0))),0,YEARFRAC(MAX($P$708*($B834+IF($R$17="Distrato",$I$38-1,0)),IF(AND($L$711=0,$P$708=0),"",$L$711-1),IF($R$17="Distrato",$E834,0)),MIN(AS$38,$D$19),$P$20))-SUM($P834:AR834)</f>
        <v>#VALUE!</v>
      </c>
      <c r="AT834" s="446" t="e">
        <f>IF(OR($B834="",MIN(AT$38,$D$19)&lt;MAX($P$708*($B834+IF($R$17="Distrato",$I$38-1,0)),IF(AND($L$711=0,$P$708=0),"",$L$711-1),IF($R$17="Distrato",$E834,0))),0,YEARFRAC(MAX($P$708*($B834+IF($R$17="Distrato",$I$38-1,0)),IF(AND($L$711=0,$P$708=0),"",$L$711-1),IF($R$17="Distrato",$E834,0)),MIN(AT$38,$D$19),$P$20))-SUM($P834:AS834)</f>
        <v>#VALUE!</v>
      </c>
      <c r="AU834" s="446" t="e">
        <f>IF(OR($B834="",MIN(AU$38,$D$19)&lt;MAX($P$708*($B834+IF($R$17="Distrato",$I$38-1,0)),IF(AND($L$711=0,$P$708=0),"",$L$711-1),IF($R$17="Distrato",$E834,0))),0,YEARFRAC(MAX($P$708*($B834+IF($R$17="Distrato",$I$38-1,0)),IF(AND($L$711=0,$P$708=0),"",$L$711-1),IF($R$17="Distrato",$E834,0)),MIN(AU$38,$D$19),$P$20))-SUM($P834:AT834)</f>
        <v>#VALUE!</v>
      </c>
      <c r="AV834" s="446" t="e">
        <f>IF(OR($B834="",MIN(AV$38,$D$19)&lt;MAX($P$708*($B834+IF($R$17="Distrato",$I$38-1,0)),IF(AND($L$711=0,$P$708=0),"",$L$711-1),IF($R$17="Distrato",$E834,0))),0,YEARFRAC(MAX($P$708*($B834+IF($R$17="Distrato",$I$38-1,0)),IF(AND($L$711=0,$P$708=0),"",$L$711-1),IF($R$17="Distrato",$E834,0)),MIN(AV$38,$D$19),$P$20))-SUM($P834:AU834)</f>
        <v>#VALUE!</v>
      </c>
      <c r="AW834" s="446" t="e">
        <f>IF(OR($B834="",MIN(AW$38,$D$19)&lt;MAX($P$708*($B834+IF($R$17="Distrato",$I$38-1,0)),IF(AND($L$711=0,$P$708=0),"",$L$711-1),IF($R$17="Distrato",$E834,0))),0,YEARFRAC(MAX($P$708*($B834+IF($R$17="Distrato",$I$38-1,0)),IF(AND($L$711=0,$P$708=0),"",$L$711-1),IF($R$17="Distrato",$E834,0)),MIN(AW$38,$D$19),$P$20))-SUM($P834:AV834)</f>
        <v>#VALUE!</v>
      </c>
      <c r="AX834" s="446" t="e">
        <f>IF(OR($B834="",MIN(AX$38,$D$19)&lt;MAX($P$708*($B834+IF($R$17="Distrato",$I$38-1,0)),IF(AND($L$711=0,$P$708=0),"",$L$711-1),IF($R$17="Distrato",$E834,0))),0,YEARFRAC(MAX($P$708*($B834+IF($R$17="Distrato",$I$38-1,0)),IF(AND($L$711=0,$P$708=0),"",$L$711-1),IF($R$17="Distrato",$E834,0)),MIN(AX$38,$D$19),$P$20))-SUM($P834:AW834)</f>
        <v>#VALUE!</v>
      </c>
      <c r="AY834" s="446" t="e">
        <f>IF(OR($B834="",MIN(AY$38,$D$19)&lt;MAX($P$708*($B834+IF($R$17="Distrato",$I$38-1,0)),IF(AND($L$711=0,$P$708=0),"",$L$711-1),IF($R$17="Distrato",$E834,0))),0,YEARFRAC(MAX($P$708*($B834+IF($R$17="Distrato",$I$38-1,0)),IF(AND($L$711=0,$P$708=0),"",$L$711-1),IF($R$17="Distrato",$E834,0)),MIN(AY$38,$D$19),$P$20))-SUM($P834:AX834)</f>
        <v>#VALUE!</v>
      </c>
      <c r="AZ834" s="446" t="e">
        <f>IF(OR($B834="",MIN(AZ$38,$D$19)&lt;MAX($P$708*($B834+IF($R$17="Distrato",$I$38-1,0)),IF(AND($L$711=0,$P$708=0),"",$L$711-1),IF($R$17="Distrato",$E834,0))),0,YEARFRAC(MAX($P$708*($B834+IF($R$17="Distrato",$I$38-1,0)),IF(AND($L$711=0,$P$708=0),"",$L$711-1),IF($R$17="Distrato",$E834,0)),MIN(AZ$38,$D$19),$P$20))-SUM($P834:AY834)</f>
        <v>#VALUE!</v>
      </c>
      <c r="BA834" s="446" t="e">
        <f>IF(OR($B834="",MIN(BA$38,$D$19)&lt;MAX($P$708*($B834+IF($R$17="Distrato",$I$38-1,0)),IF(AND($L$711=0,$P$708=0),"",$L$711-1),IF($R$17="Distrato",$E834,0))),0,YEARFRAC(MAX($P$708*($B834+IF($R$17="Distrato",$I$38-1,0)),IF(AND($L$711=0,$P$708=0),"",$L$711-1),IF($R$17="Distrato",$E834,0)),MIN(BA$38,$D$19),$P$20))-SUM($P834:AZ834)</f>
        <v>#VALUE!</v>
      </c>
      <c r="BB834" s="447"/>
    </row>
    <row r="835" spans="1:54" s="446" customFormat="1" ht="11.25" hidden="1" customHeight="1" x14ac:dyDescent="0.2">
      <c r="A835" s="235"/>
      <c r="B835" s="236"/>
      <c r="C835" s="29" t="str">
        <f>IF(B835="","",IF($L$709=$BL$25,VLOOKUP(DATE(YEAR($D$19),MONTH($D$19)-1,1),ÍNDICES!$A:$DE,HLOOKUP($BL$25,ÍNDICES!$B$3:$T$4,2)+11)-VLOOKUP(B835,ÍNDICES!$A:$DE,HLOOKUP($BL$25,ÍNDICES!$B$3:$T$4,2)+11)+1%,IF(C$712=$W$26,$J$35,IF(ISERROR(IF(B835&gt;$D$19,1,VLOOKUP(DATE(YEAR(B835),MONTH(B835)+IF($C$709=$S$23,1,0),1),ÍNDICES!$A:$DE,$Z$709+1))),"",IF(B835&gt;$D$19,1,VLOOKUP(DATE(YEAR(B835),MONTH(B835)+IF($C$709=$S$23,1,0),1),ÍNDICES!$A:$DE,$Z$709+1))))))</f>
        <v/>
      </c>
      <c r="D835" s="155"/>
      <c r="E835" s="88"/>
      <c r="F835" s="88"/>
      <c r="G835" s="88"/>
      <c r="H835" s="118"/>
      <c r="I835" s="182">
        <f t="shared" si="122"/>
        <v>0</v>
      </c>
      <c r="J835" s="20">
        <f t="shared" ca="1" si="123"/>
        <v>0</v>
      </c>
      <c r="K835" s="5">
        <f t="shared" ca="1" si="124"/>
        <v>0</v>
      </c>
      <c r="L835" s="61">
        <f t="shared" ca="1" si="125"/>
        <v>0</v>
      </c>
      <c r="M835" s="64">
        <f t="shared" si="126"/>
        <v>0</v>
      </c>
      <c r="N835" s="151"/>
      <c r="O835" s="5">
        <f t="shared" ca="1" si="127"/>
        <v>0</v>
      </c>
      <c r="P835" s="446" t="e">
        <f t="shared" si="128"/>
        <v>#VALUE!</v>
      </c>
      <c r="Q835" s="446" t="e">
        <f>IF(OR($B835="",MIN(Q$38,$D$19)&lt;MAX($P$708*($B835+IF($R$17="Distrato",$I$38-1,0)),IF(AND($L$711=0,$P$708=0),"",$L$711-1),IF($R$17="Distrato",$E835,0))),0,YEARFRAC(MAX($P$708*($B835+IF($R$17="Distrato",$I$38-1,0)),IF(AND($L$711=0,$P$708=0),"",$L$711-1),IF($R$17="Distrato",$E835,0)),MIN(Q$38,$D$19),$P$20))-SUM($P835:P835)</f>
        <v>#VALUE!</v>
      </c>
      <c r="R835" s="446" t="e">
        <f>IF(OR($B835="",MIN(R$38,$D$19)&lt;MAX($P$708*($B835+IF($R$17="Distrato",$I$38-1,0)),IF(AND($L$711=0,$P$708=0),"",$L$711-1),IF($R$17="Distrato",$E835,0))),0,YEARFRAC(MAX($P$708*($B835+IF($R$17="Distrato",$I$38-1,0)),IF(AND($L$711=0,$P$708=0),"",$L$711-1),IF($R$17="Distrato",$E835,0)),MIN(R$38,$D$19),$P$20))-SUM($P835:Q835)</f>
        <v>#VALUE!</v>
      </c>
      <c r="S835" s="446" t="e">
        <f>IF(OR($B835="",MIN(S$38,$D$19)&lt;MAX($P$708*($B835+IF($R$17="Distrato",$I$38-1,0)),IF(AND($L$711=0,$P$708=0),"",$L$711-1),IF($R$17="Distrato",$E835,0))),0,YEARFRAC(MAX($P$708*($B835+IF($R$17="Distrato",$I$38-1,0)),IF(AND($L$711=0,$P$708=0),"",$L$711-1),IF($R$17="Distrato",$E835,0)),MIN(S$38,$D$19),$P$20))-SUM($P835:R835)</f>
        <v>#VALUE!</v>
      </c>
      <c r="T835" s="446" t="e">
        <f>IF(OR($B835="",MIN(T$38,$D$19)&lt;MAX($P$708*($B835+IF($R$17="Distrato",$I$38-1,0)),IF(AND($L$711=0,$P$708=0),"",$L$711-1),IF($R$17="Distrato",$E835,0))),0,YEARFRAC(MAX($P$708*($B835+IF($R$17="Distrato",$I$38-1,0)),IF(AND($L$711=0,$P$708=0),"",$L$711-1),IF($R$17="Distrato",$E835,0)),MIN(T$38,$D$19),$P$20))-SUM($P835:S835)</f>
        <v>#VALUE!</v>
      </c>
      <c r="U835" s="446" t="e">
        <f>IF(OR($B835="",MIN(U$38,$D$19)&lt;MAX($P$708*($B835+IF($R$17="Distrato",$I$38-1,0)),IF(AND($L$711=0,$P$708=0),"",$L$711-1),IF($R$17="Distrato",$E835,0))),0,YEARFRAC(MAX($P$708*($B835+IF($R$17="Distrato",$I$38-1,0)),IF(AND($L$711=0,$P$708=0),"",$L$711-1),IF($R$17="Distrato",$E835,0)),MIN(U$38,$D$19),$P$20))-SUM($P835:T835)</f>
        <v>#VALUE!</v>
      </c>
      <c r="V835" s="446" t="e">
        <f>IF(OR($B835="",MIN(V$38,$D$19)&lt;MAX($P$708*($B835+IF($R$17="Distrato",$I$38-1,0)),IF(AND($L$711=0,$P$708=0),"",$L$711-1),IF($R$17="Distrato",$E835,0))),0,YEARFRAC(MAX($P$708*($B835+IF($R$17="Distrato",$I$38-1,0)),IF(AND($L$711=0,$P$708=0),"",$L$711-1),IF($R$17="Distrato",$E835,0)),MIN(V$38,$D$19),$P$20))-SUM($P835:U835)</f>
        <v>#VALUE!</v>
      </c>
      <c r="W835" s="446" t="e">
        <f>IF(OR($B835="",MIN(W$38,$D$19)&lt;MAX($P$708*($B835+IF($R$17="Distrato",$I$38-1,0)),IF(AND($L$711=0,$P$708=0),"",$L$711-1),IF($R$17="Distrato",$E835,0))),0,YEARFRAC(MAX($P$708*($B835+IF($R$17="Distrato",$I$38-1,0)),IF(AND($L$711=0,$P$708=0),"",$L$711-1),IF($R$17="Distrato",$E835,0)),MIN(W$38,$D$19),$P$20))-SUM($P835:V835)</f>
        <v>#VALUE!</v>
      </c>
      <c r="X835" s="446" t="e">
        <f>IF(OR($B835="",MIN(X$38,$D$19)&lt;MAX($P$708*($B835+IF($R$17="Distrato",$I$38-1,0)),IF(AND($L$711=0,$P$708=0),"",$L$711-1),IF($R$17="Distrato",$E835,0))),0,YEARFRAC(MAX($P$708*($B835+IF($R$17="Distrato",$I$38-1,0)),IF(AND($L$711=0,$P$708=0),"",$L$711-1),IF($R$17="Distrato",$E835,0)),MIN(X$38,$D$19),$P$20))-SUM($P835:W835)</f>
        <v>#VALUE!</v>
      </c>
      <c r="Y835" s="446" t="e">
        <f>IF(OR($B835="",MIN(Y$38,$D$19)&lt;MAX($P$708*($B835+IF($R$17="Distrato",$I$38-1,0)),IF(AND($L$711=0,$P$708=0),"",$L$711-1),IF($R$17="Distrato",$E835,0))),0,YEARFRAC(MAX($P$708*($B835+IF($R$17="Distrato",$I$38-1,0)),IF(AND($L$711=0,$P$708=0),"",$L$711-1),IF($R$17="Distrato",$E835,0)),MIN(Y$38,$D$19),$P$20))-SUM($P835:X835)</f>
        <v>#VALUE!</v>
      </c>
      <c r="Z835" s="446" t="e">
        <f>IF(OR($B835="",MIN(Z$38,$D$19)&lt;MAX($P$708*($B835+IF($R$17="Distrato",$I$38-1,0)),IF(AND($L$711=0,$P$708=0),"",$L$711-1),IF($R$17="Distrato",$E835,0))),0,YEARFRAC(MAX($P$708*($B835+IF($R$17="Distrato",$I$38-1,0)),IF(AND($L$711=0,$P$708=0),"",$L$711-1),IF($R$17="Distrato",$E835,0)),MIN(Z$38,$D$19),$P$20))-SUM($P835:Y835)</f>
        <v>#VALUE!</v>
      </c>
      <c r="AA835" s="446" t="e">
        <f>IF(OR($B835="",MIN(AA$38,$D$19)&lt;MAX($P$708*($B835+IF($R$17="Distrato",$I$38-1,0)),IF(AND($L$711=0,$P$708=0),"",$L$711-1),IF($R$17="Distrato",$E835,0))),0,YEARFRAC(MAX($P$708*($B835+IF($R$17="Distrato",$I$38-1,0)),IF(AND($L$711=0,$P$708=0),"",$L$711-1),IF($R$17="Distrato",$E835,0)),MIN(AA$38,$D$19),$P$20))-SUM($P835:Z835)</f>
        <v>#VALUE!</v>
      </c>
      <c r="AB835" s="446" t="e">
        <f>IF(OR($B835="",MIN(AB$38,$D$19)&lt;MAX($P$708*($B835+IF($R$17="Distrato",$I$38-1,0)),IF(AND($L$711=0,$P$708=0),"",$L$711-1),IF($R$17="Distrato",$E835,0))),0,YEARFRAC(MAX($P$708*($B835+IF($R$17="Distrato",$I$38-1,0)),IF(AND($L$711=0,$P$708=0),"",$L$711-1),IF($R$17="Distrato",$E835,0)),MIN(AB$38,$D$19),$P$20))-SUM($P835:AA835)</f>
        <v>#VALUE!</v>
      </c>
      <c r="AC835" s="446" t="e">
        <f>IF(OR($B835="",MIN(AC$38,$D$19)&lt;MAX($P$708*($B835+IF($R$17="Distrato",$I$38-1,0)),IF(AND($L$711=0,$P$708=0),"",$L$711-1),IF($R$17="Distrato",$E835,0))),0,YEARFRAC(MAX($P$708*($B835+IF($R$17="Distrato",$I$38-1,0)),IF(AND($L$711=0,$P$708=0),"",$L$711-1),IF($R$17="Distrato",$E835,0)),MIN(AC$38,$D$19),$P$20))-SUM($P835:AB835)</f>
        <v>#VALUE!</v>
      </c>
      <c r="AD835" s="446" t="e">
        <f>IF(OR($B835="",MIN(AD$38,$D$19)&lt;MAX($P$708*($B835+IF($R$17="Distrato",$I$38-1,0)),IF(AND($L$711=0,$P$708=0),"",$L$711-1),IF($R$17="Distrato",$E835,0))),0,YEARFRAC(MAX($P$708*($B835+IF($R$17="Distrato",$I$38-1,0)),IF(AND($L$711=0,$P$708=0),"",$L$711-1),IF($R$17="Distrato",$E835,0)),MIN(AD$38,$D$19),$P$20))-SUM($P835:AC835)</f>
        <v>#VALUE!</v>
      </c>
      <c r="AE835" s="446" t="e">
        <f>IF(OR($B835="",MIN(AE$38,$D$19)&lt;MAX($P$708*($B835+IF($R$17="Distrato",$I$38-1,0)),IF(AND($L$711=0,$P$708=0),"",$L$711-1),IF($R$17="Distrato",$E835,0))),0,YEARFRAC(MAX($P$708*($B835+IF($R$17="Distrato",$I$38-1,0)),IF(AND($L$711=0,$P$708=0),"",$L$711-1),IF($R$17="Distrato",$E835,0)),MIN(AE$38,$D$19),$P$20))-SUM($P835:AD835)</f>
        <v>#VALUE!</v>
      </c>
      <c r="AF835" s="446" t="e">
        <f>IF(OR($B835="",MIN(AF$38,$D$19)&lt;MAX($P$708*($B835+IF($R$17="Distrato",$I$38-1,0)),IF(AND($L$711=0,$P$708=0),"",$L$711-1),IF($R$17="Distrato",$E835,0))),0,YEARFRAC(MAX($P$708*($B835+IF($R$17="Distrato",$I$38-1,0)),IF(AND($L$711=0,$P$708=0),"",$L$711-1),IF($R$17="Distrato",$E835,0)),MIN(AF$38,$D$19),$P$20))-SUM($P835:AE835)</f>
        <v>#VALUE!</v>
      </c>
      <c r="AG835" s="446" t="e">
        <f>IF(OR($B835="",MIN(AG$38,$D$19)&lt;MAX($P$708*($B835+IF($R$17="Distrato",$I$38-1,0)),IF(AND($L$711=0,$P$708=0),"",$L$711-1),IF($R$17="Distrato",$E835,0))),0,YEARFRAC(MAX($P$708*($B835+IF($R$17="Distrato",$I$38-1,0)),IF(AND($L$711=0,$P$708=0),"",$L$711-1),IF($R$17="Distrato",$E835,0)),MIN(AG$38,$D$19),$P$20))-SUM($P835:AF835)</f>
        <v>#VALUE!</v>
      </c>
      <c r="AH835" s="446" t="e">
        <f>IF(OR($B835="",MIN(AH$38,$D$19)&lt;MAX($P$708*($B835+IF($R$17="Distrato",$I$38-1,0)),IF(AND($L$711=0,$P$708=0),"",$L$711-1),IF($R$17="Distrato",$E835,0))),0,YEARFRAC(MAX($P$708*($B835+IF($R$17="Distrato",$I$38-1,0)),IF(AND($L$711=0,$P$708=0),"",$L$711-1),IF($R$17="Distrato",$E835,0)),MIN(AH$38,$D$19),$P$20))-SUM($P835:AG835)</f>
        <v>#VALUE!</v>
      </c>
      <c r="AI835" s="446" t="e">
        <f>IF(OR($B835="",MIN(AI$38,$D$19)&lt;MAX($P$708*($B835+IF($R$17="Distrato",$I$38-1,0)),IF(AND($L$711=0,$P$708=0),"",$L$711-1),IF($R$17="Distrato",$E835,0))),0,YEARFRAC(MAX($P$708*($B835+IF($R$17="Distrato",$I$38-1,0)),IF(AND($L$711=0,$P$708=0),"",$L$711-1),IF($R$17="Distrato",$E835,0)),MIN(AI$38,$D$19),$P$20))-SUM($P835:AH835)</f>
        <v>#VALUE!</v>
      </c>
      <c r="AJ835" s="446" t="e">
        <f>IF(OR($B835="",MIN(AJ$38,$D$19)&lt;MAX($P$708*($B835+IF($R$17="Distrato",$I$38-1,0)),IF(AND($L$711=0,$P$708=0),"",$L$711-1),IF($R$17="Distrato",$E835,0))),0,YEARFRAC(MAX($P$708*($B835+IF($R$17="Distrato",$I$38-1,0)),IF(AND($L$711=0,$P$708=0),"",$L$711-1),IF($R$17="Distrato",$E835,0)),MIN(AJ$38,$D$19),$P$20))-SUM($P835:AI835)</f>
        <v>#VALUE!</v>
      </c>
      <c r="AK835" s="446" t="e">
        <f>IF(OR($B835="",MIN(AK$38,$D$19)&lt;MAX($P$708*($B835+IF($R$17="Distrato",$I$38-1,0)),IF(AND($L$711=0,$P$708=0),"",$L$711-1),IF($R$17="Distrato",$E835,0))),0,YEARFRAC(MAX($P$708*($B835+IF($R$17="Distrato",$I$38-1,0)),IF(AND($L$711=0,$P$708=0),"",$L$711-1),IF($R$17="Distrato",$E835,0)),MIN(AK$38,$D$19),$P$20))-SUM($P835:AJ835)</f>
        <v>#VALUE!</v>
      </c>
      <c r="AL835" s="446" t="e">
        <f>IF(OR($B835="",MIN(AL$38,$D$19)&lt;MAX($P$708*($B835+IF($R$17="Distrato",$I$38-1,0)),IF(AND($L$711=0,$P$708=0),"",$L$711-1),IF($R$17="Distrato",$E835,0))),0,YEARFRAC(MAX($P$708*($B835+IF($R$17="Distrato",$I$38-1,0)),IF(AND($L$711=0,$P$708=0),"",$L$711-1),IF($R$17="Distrato",$E835,0)),MIN(AL$38,$D$19),$P$20))-SUM($P835:AK835)</f>
        <v>#VALUE!</v>
      </c>
      <c r="AM835" s="446" t="e">
        <f>IF(OR($B835="",MIN(AM$38,$D$19)&lt;MAX($P$708*($B835+IF($R$17="Distrato",$I$38-1,0)),IF(AND($L$711=0,$P$708=0),"",$L$711-1),IF($R$17="Distrato",$E835,0))),0,YEARFRAC(MAX($P$708*($B835+IF($R$17="Distrato",$I$38-1,0)),IF(AND($L$711=0,$P$708=0),"",$L$711-1),IF($R$17="Distrato",$E835,0)),MIN(AM$38,$D$19),$P$20))-SUM($P835:AL835)</f>
        <v>#VALUE!</v>
      </c>
      <c r="AN835" s="446" t="e">
        <f>IF(OR($B835="",MIN(AN$38,$D$19)&lt;MAX($P$708*($B835+IF($R$17="Distrato",$I$38-1,0)),IF(AND($L$711=0,$P$708=0),"",$L$711-1),IF($R$17="Distrato",$E835,0))),0,YEARFRAC(MAX($P$708*($B835+IF($R$17="Distrato",$I$38-1,0)),IF(AND($L$711=0,$P$708=0),"",$L$711-1),IF($R$17="Distrato",$E835,0)),MIN(AN$38,$D$19),$P$20))-SUM($P835:AM835)</f>
        <v>#VALUE!</v>
      </c>
      <c r="AO835" s="446" t="e">
        <f>IF(OR($B835="",MIN(AO$38,$D$19)&lt;MAX($P$708*($B835+IF($R$17="Distrato",$I$38-1,0)),IF(AND($L$711=0,$P$708=0),"",$L$711-1),IF($R$17="Distrato",$E835,0))),0,YEARFRAC(MAX($P$708*($B835+IF($R$17="Distrato",$I$38-1,0)),IF(AND($L$711=0,$P$708=0),"",$L$711-1),IF($R$17="Distrato",$E835,0)),MIN(AO$38,$D$19),$P$20))-SUM($P835:AN835)</f>
        <v>#VALUE!</v>
      </c>
      <c r="AP835" s="446" t="e">
        <f>IF(OR($B835="",MIN(AP$38,$D$19)&lt;MAX($P$708*($B835+IF($R$17="Distrato",$I$38-1,0)),IF(AND($L$711=0,$P$708=0),"",$L$711-1),IF($R$17="Distrato",$E835,0))),0,YEARFRAC(MAX($P$708*($B835+IF($R$17="Distrato",$I$38-1,0)),IF(AND($L$711=0,$P$708=0),"",$L$711-1),IF($R$17="Distrato",$E835,0)),MIN(AP$38,$D$19),$P$20))-SUM($P835:AO835)</f>
        <v>#VALUE!</v>
      </c>
      <c r="AQ835" s="446" t="e">
        <f>IF(OR($B835="",MIN(AQ$38,$D$19)&lt;MAX($P$708*($B835+IF($R$17="Distrato",$I$38-1,0)),IF(AND($L$711=0,$P$708=0),"",$L$711-1),IF($R$17="Distrato",$E835,0))),0,YEARFRAC(MAX($P$708*($B835+IF($R$17="Distrato",$I$38-1,0)),IF(AND($L$711=0,$P$708=0),"",$L$711-1),IF($R$17="Distrato",$E835,0)),MIN(AQ$38,$D$19),$P$20))-SUM($P835:AP835)</f>
        <v>#VALUE!</v>
      </c>
      <c r="AR835" s="446" t="e">
        <f>IF(OR($B835="",MIN(AR$38,$D$19)&lt;MAX($P$708*($B835+IF($R$17="Distrato",$I$38-1,0)),IF(AND($L$711=0,$P$708=0),"",$L$711-1),IF($R$17="Distrato",$E835,0))),0,YEARFRAC(MAX($P$708*($B835+IF($R$17="Distrato",$I$38-1,0)),IF(AND($L$711=0,$P$708=0),"",$L$711-1),IF($R$17="Distrato",$E835,0)),MIN(AR$38,$D$19),$P$20))-SUM($P835:AQ835)</f>
        <v>#VALUE!</v>
      </c>
      <c r="AS835" s="446" t="e">
        <f>IF(OR($B835="",MIN(AS$38,$D$19)&lt;MAX($P$708*($B835+IF($R$17="Distrato",$I$38-1,0)),IF(AND($L$711=0,$P$708=0),"",$L$711-1),IF($R$17="Distrato",$E835,0))),0,YEARFRAC(MAX($P$708*($B835+IF($R$17="Distrato",$I$38-1,0)),IF(AND($L$711=0,$P$708=0),"",$L$711-1),IF($R$17="Distrato",$E835,0)),MIN(AS$38,$D$19),$P$20))-SUM($P835:AR835)</f>
        <v>#VALUE!</v>
      </c>
      <c r="AT835" s="446" t="e">
        <f>IF(OR($B835="",MIN(AT$38,$D$19)&lt;MAX($P$708*($B835+IF($R$17="Distrato",$I$38-1,0)),IF(AND($L$711=0,$P$708=0),"",$L$711-1),IF($R$17="Distrato",$E835,0))),0,YEARFRAC(MAX($P$708*($B835+IF($R$17="Distrato",$I$38-1,0)),IF(AND($L$711=0,$P$708=0),"",$L$711-1),IF($R$17="Distrato",$E835,0)),MIN(AT$38,$D$19),$P$20))-SUM($P835:AS835)</f>
        <v>#VALUE!</v>
      </c>
      <c r="AU835" s="446" t="e">
        <f>IF(OR($B835="",MIN(AU$38,$D$19)&lt;MAX($P$708*($B835+IF($R$17="Distrato",$I$38-1,0)),IF(AND($L$711=0,$P$708=0),"",$L$711-1),IF($R$17="Distrato",$E835,0))),0,YEARFRAC(MAX($P$708*($B835+IF($R$17="Distrato",$I$38-1,0)),IF(AND($L$711=0,$P$708=0),"",$L$711-1),IF($R$17="Distrato",$E835,0)),MIN(AU$38,$D$19),$P$20))-SUM($P835:AT835)</f>
        <v>#VALUE!</v>
      </c>
      <c r="AV835" s="446" t="e">
        <f>IF(OR($B835="",MIN(AV$38,$D$19)&lt;MAX($P$708*($B835+IF($R$17="Distrato",$I$38-1,0)),IF(AND($L$711=0,$P$708=0),"",$L$711-1),IF($R$17="Distrato",$E835,0))),0,YEARFRAC(MAX($P$708*($B835+IF($R$17="Distrato",$I$38-1,0)),IF(AND($L$711=0,$P$708=0),"",$L$711-1),IF($R$17="Distrato",$E835,0)),MIN(AV$38,$D$19),$P$20))-SUM($P835:AU835)</f>
        <v>#VALUE!</v>
      </c>
      <c r="AW835" s="446" t="e">
        <f>IF(OR($B835="",MIN(AW$38,$D$19)&lt;MAX($P$708*($B835+IF($R$17="Distrato",$I$38-1,0)),IF(AND($L$711=0,$P$708=0),"",$L$711-1),IF($R$17="Distrato",$E835,0))),0,YEARFRAC(MAX($P$708*($B835+IF($R$17="Distrato",$I$38-1,0)),IF(AND($L$711=0,$P$708=0),"",$L$711-1),IF($R$17="Distrato",$E835,0)),MIN(AW$38,$D$19),$P$20))-SUM($P835:AV835)</f>
        <v>#VALUE!</v>
      </c>
      <c r="AX835" s="446" t="e">
        <f>IF(OR($B835="",MIN(AX$38,$D$19)&lt;MAX($P$708*($B835+IF($R$17="Distrato",$I$38-1,0)),IF(AND($L$711=0,$P$708=0),"",$L$711-1),IF($R$17="Distrato",$E835,0))),0,YEARFRAC(MAX($P$708*($B835+IF($R$17="Distrato",$I$38-1,0)),IF(AND($L$711=0,$P$708=0),"",$L$711-1),IF($R$17="Distrato",$E835,0)),MIN(AX$38,$D$19),$P$20))-SUM($P835:AW835)</f>
        <v>#VALUE!</v>
      </c>
      <c r="AY835" s="446" t="e">
        <f>IF(OR($B835="",MIN(AY$38,$D$19)&lt;MAX($P$708*($B835+IF($R$17="Distrato",$I$38-1,0)),IF(AND($L$711=0,$P$708=0),"",$L$711-1),IF($R$17="Distrato",$E835,0))),0,YEARFRAC(MAX($P$708*($B835+IF($R$17="Distrato",$I$38-1,0)),IF(AND($L$711=0,$P$708=0),"",$L$711-1),IF($R$17="Distrato",$E835,0)),MIN(AY$38,$D$19),$P$20))-SUM($P835:AX835)</f>
        <v>#VALUE!</v>
      </c>
      <c r="AZ835" s="446" t="e">
        <f>IF(OR($B835="",MIN(AZ$38,$D$19)&lt;MAX($P$708*($B835+IF($R$17="Distrato",$I$38-1,0)),IF(AND($L$711=0,$P$708=0),"",$L$711-1),IF($R$17="Distrato",$E835,0))),0,YEARFRAC(MAX($P$708*($B835+IF($R$17="Distrato",$I$38-1,0)),IF(AND($L$711=0,$P$708=0),"",$L$711-1),IF($R$17="Distrato",$E835,0)),MIN(AZ$38,$D$19),$P$20))-SUM($P835:AY835)</f>
        <v>#VALUE!</v>
      </c>
      <c r="BA835" s="446" t="e">
        <f>IF(OR($B835="",MIN(BA$38,$D$19)&lt;MAX($P$708*($B835+IF($R$17="Distrato",$I$38-1,0)),IF(AND($L$711=0,$P$708=0),"",$L$711-1),IF($R$17="Distrato",$E835,0))),0,YEARFRAC(MAX($P$708*($B835+IF($R$17="Distrato",$I$38-1,0)),IF(AND($L$711=0,$P$708=0),"",$L$711-1),IF($R$17="Distrato",$E835,0)),MIN(BA$38,$D$19),$P$20))-SUM($P835:AZ835)</f>
        <v>#VALUE!</v>
      </c>
      <c r="BB835" s="447"/>
    </row>
    <row r="836" spans="1:54" s="446" customFormat="1" ht="11.25" hidden="1" customHeight="1" x14ac:dyDescent="0.2">
      <c r="A836" s="235"/>
      <c r="B836" s="236"/>
      <c r="C836" s="29" t="str">
        <f>IF(B836="","",IF($L$709=$BL$25,VLOOKUP(DATE(YEAR($D$19),MONTH($D$19)-1,1),ÍNDICES!$A:$DE,HLOOKUP($BL$25,ÍNDICES!$B$3:$T$4,2)+11)-VLOOKUP(B836,ÍNDICES!$A:$DE,HLOOKUP($BL$25,ÍNDICES!$B$3:$T$4,2)+11)+1%,IF(C$712=$W$26,$J$35,IF(ISERROR(IF(B836&gt;$D$19,1,VLOOKUP(DATE(YEAR(B836),MONTH(B836)+IF($C$709=$S$23,1,0),1),ÍNDICES!$A:$DE,$Z$709+1))),"",IF(B836&gt;$D$19,1,VLOOKUP(DATE(YEAR(B836),MONTH(B836)+IF($C$709=$S$23,1,0),1),ÍNDICES!$A:$DE,$Z$709+1))))))</f>
        <v/>
      </c>
      <c r="D836" s="155"/>
      <c r="E836" s="88"/>
      <c r="F836" s="88"/>
      <c r="G836" s="88"/>
      <c r="H836" s="118"/>
      <c r="I836" s="182">
        <f t="shared" si="122"/>
        <v>0</v>
      </c>
      <c r="J836" s="20">
        <f t="shared" ca="1" si="123"/>
        <v>0</v>
      </c>
      <c r="K836" s="5">
        <f t="shared" ca="1" si="124"/>
        <v>0</v>
      </c>
      <c r="L836" s="61">
        <f t="shared" ca="1" si="125"/>
        <v>0</v>
      </c>
      <c r="M836" s="64">
        <f t="shared" si="126"/>
        <v>0</v>
      </c>
      <c r="N836" s="151"/>
      <c r="O836" s="5">
        <f t="shared" ca="1" si="127"/>
        <v>0</v>
      </c>
      <c r="P836" s="446" t="e">
        <f t="shared" si="128"/>
        <v>#VALUE!</v>
      </c>
      <c r="Q836" s="446" t="e">
        <f>IF(OR($B836="",MIN(Q$38,$D$19)&lt;MAX($P$708*($B836+IF($R$17="Distrato",$I$38-1,0)),IF(AND($L$711=0,$P$708=0),"",$L$711-1),IF($R$17="Distrato",$E836,0))),0,YEARFRAC(MAX($P$708*($B836+IF($R$17="Distrato",$I$38-1,0)),IF(AND($L$711=0,$P$708=0),"",$L$711-1),IF($R$17="Distrato",$E836,0)),MIN(Q$38,$D$19),$P$20))-SUM($P836:P836)</f>
        <v>#VALUE!</v>
      </c>
      <c r="R836" s="446" t="e">
        <f>IF(OR($B836="",MIN(R$38,$D$19)&lt;MAX($P$708*($B836+IF($R$17="Distrato",$I$38-1,0)),IF(AND($L$711=0,$P$708=0),"",$L$711-1),IF($R$17="Distrato",$E836,0))),0,YEARFRAC(MAX($P$708*($B836+IF($R$17="Distrato",$I$38-1,0)),IF(AND($L$711=0,$P$708=0),"",$L$711-1),IF($R$17="Distrato",$E836,0)),MIN(R$38,$D$19),$P$20))-SUM($P836:Q836)</f>
        <v>#VALUE!</v>
      </c>
      <c r="S836" s="446" t="e">
        <f>IF(OR($B836="",MIN(S$38,$D$19)&lt;MAX($P$708*($B836+IF($R$17="Distrato",$I$38-1,0)),IF(AND($L$711=0,$P$708=0),"",$L$711-1),IF($R$17="Distrato",$E836,0))),0,YEARFRAC(MAX($P$708*($B836+IF($R$17="Distrato",$I$38-1,0)),IF(AND($L$711=0,$P$708=0),"",$L$711-1),IF($R$17="Distrato",$E836,0)),MIN(S$38,$D$19),$P$20))-SUM($P836:R836)</f>
        <v>#VALUE!</v>
      </c>
      <c r="T836" s="446" t="e">
        <f>IF(OR($B836="",MIN(T$38,$D$19)&lt;MAX($P$708*($B836+IF($R$17="Distrato",$I$38-1,0)),IF(AND($L$711=0,$P$708=0),"",$L$711-1),IF($R$17="Distrato",$E836,0))),0,YEARFRAC(MAX($P$708*($B836+IF($R$17="Distrato",$I$38-1,0)),IF(AND($L$711=0,$P$708=0),"",$L$711-1),IF($R$17="Distrato",$E836,0)),MIN(T$38,$D$19),$P$20))-SUM($P836:S836)</f>
        <v>#VALUE!</v>
      </c>
      <c r="U836" s="446" t="e">
        <f>IF(OR($B836="",MIN(U$38,$D$19)&lt;MAX($P$708*($B836+IF($R$17="Distrato",$I$38-1,0)),IF(AND($L$711=0,$P$708=0),"",$L$711-1),IF($R$17="Distrato",$E836,0))),0,YEARFRAC(MAX($P$708*($B836+IF($R$17="Distrato",$I$38-1,0)),IF(AND($L$711=0,$P$708=0),"",$L$711-1),IF($R$17="Distrato",$E836,0)),MIN(U$38,$D$19),$P$20))-SUM($P836:T836)</f>
        <v>#VALUE!</v>
      </c>
      <c r="V836" s="446" t="e">
        <f>IF(OR($B836="",MIN(V$38,$D$19)&lt;MAX($P$708*($B836+IF($R$17="Distrato",$I$38-1,0)),IF(AND($L$711=0,$P$708=0),"",$L$711-1),IF($R$17="Distrato",$E836,0))),0,YEARFRAC(MAX($P$708*($B836+IF($R$17="Distrato",$I$38-1,0)),IF(AND($L$711=0,$P$708=0),"",$L$711-1),IF($R$17="Distrato",$E836,0)),MIN(V$38,$D$19),$P$20))-SUM($P836:U836)</f>
        <v>#VALUE!</v>
      </c>
      <c r="W836" s="446" t="e">
        <f>IF(OR($B836="",MIN(W$38,$D$19)&lt;MAX($P$708*($B836+IF($R$17="Distrato",$I$38-1,0)),IF(AND($L$711=0,$P$708=0),"",$L$711-1),IF($R$17="Distrato",$E836,0))),0,YEARFRAC(MAX($P$708*($B836+IF($R$17="Distrato",$I$38-1,0)),IF(AND($L$711=0,$P$708=0),"",$L$711-1),IF($R$17="Distrato",$E836,0)),MIN(W$38,$D$19),$P$20))-SUM($P836:V836)</f>
        <v>#VALUE!</v>
      </c>
      <c r="X836" s="446" t="e">
        <f>IF(OR($B836="",MIN(X$38,$D$19)&lt;MAX($P$708*($B836+IF($R$17="Distrato",$I$38-1,0)),IF(AND($L$711=0,$P$708=0),"",$L$711-1),IF($R$17="Distrato",$E836,0))),0,YEARFRAC(MAX($P$708*($B836+IF($R$17="Distrato",$I$38-1,0)),IF(AND($L$711=0,$P$708=0),"",$L$711-1),IF($R$17="Distrato",$E836,0)),MIN(X$38,$D$19),$P$20))-SUM($P836:W836)</f>
        <v>#VALUE!</v>
      </c>
      <c r="Y836" s="446" t="e">
        <f>IF(OR($B836="",MIN(Y$38,$D$19)&lt;MAX($P$708*($B836+IF($R$17="Distrato",$I$38-1,0)),IF(AND($L$711=0,$P$708=0),"",$L$711-1),IF($R$17="Distrato",$E836,0))),0,YEARFRAC(MAX($P$708*($B836+IF($R$17="Distrato",$I$38-1,0)),IF(AND($L$711=0,$P$708=0),"",$L$711-1),IF($R$17="Distrato",$E836,0)),MIN(Y$38,$D$19),$P$20))-SUM($P836:X836)</f>
        <v>#VALUE!</v>
      </c>
      <c r="Z836" s="446" t="e">
        <f>IF(OR($B836="",MIN(Z$38,$D$19)&lt;MAX($P$708*($B836+IF($R$17="Distrato",$I$38-1,0)),IF(AND($L$711=0,$P$708=0),"",$L$711-1),IF($R$17="Distrato",$E836,0))),0,YEARFRAC(MAX($P$708*($B836+IF($R$17="Distrato",$I$38-1,0)),IF(AND($L$711=0,$P$708=0),"",$L$711-1),IF($R$17="Distrato",$E836,0)),MIN(Z$38,$D$19),$P$20))-SUM($P836:Y836)</f>
        <v>#VALUE!</v>
      </c>
      <c r="AA836" s="446" t="e">
        <f>IF(OR($B836="",MIN(AA$38,$D$19)&lt;MAX($P$708*($B836+IF($R$17="Distrato",$I$38-1,0)),IF(AND($L$711=0,$P$708=0),"",$L$711-1),IF($R$17="Distrato",$E836,0))),0,YEARFRAC(MAX($P$708*($B836+IF($R$17="Distrato",$I$38-1,0)),IF(AND($L$711=0,$P$708=0),"",$L$711-1),IF($R$17="Distrato",$E836,0)),MIN(AA$38,$D$19),$P$20))-SUM($P836:Z836)</f>
        <v>#VALUE!</v>
      </c>
      <c r="AB836" s="446" t="e">
        <f>IF(OR($B836="",MIN(AB$38,$D$19)&lt;MAX($P$708*($B836+IF($R$17="Distrato",$I$38-1,0)),IF(AND($L$711=0,$P$708=0),"",$L$711-1),IF($R$17="Distrato",$E836,0))),0,YEARFRAC(MAX($P$708*($B836+IF($R$17="Distrato",$I$38-1,0)),IF(AND($L$711=0,$P$708=0),"",$L$711-1),IF($R$17="Distrato",$E836,0)),MIN(AB$38,$D$19),$P$20))-SUM($P836:AA836)</f>
        <v>#VALUE!</v>
      </c>
      <c r="AC836" s="446" t="e">
        <f>IF(OR($B836="",MIN(AC$38,$D$19)&lt;MAX($P$708*($B836+IF($R$17="Distrato",$I$38-1,0)),IF(AND($L$711=0,$P$708=0),"",$L$711-1),IF($R$17="Distrato",$E836,0))),0,YEARFRAC(MAX($P$708*($B836+IF($R$17="Distrato",$I$38-1,0)),IF(AND($L$711=0,$P$708=0),"",$L$711-1),IF($R$17="Distrato",$E836,0)),MIN(AC$38,$D$19),$P$20))-SUM($P836:AB836)</f>
        <v>#VALUE!</v>
      </c>
      <c r="AD836" s="446" t="e">
        <f>IF(OR($B836="",MIN(AD$38,$D$19)&lt;MAX($P$708*($B836+IF($R$17="Distrato",$I$38-1,0)),IF(AND($L$711=0,$P$708=0),"",$L$711-1),IF($R$17="Distrato",$E836,0))),0,YEARFRAC(MAX($P$708*($B836+IF($R$17="Distrato",$I$38-1,0)),IF(AND($L$711=0,$P$708=0),"",$L$711-1),IF($R$17="Distrato",$E836,0)),MIN(AD$38,$D$19),$P$20))-SUM($P836:AC836)</f>
        <v>#VALUE!</v>
      </c>
      <c r="AE836" s="446" t="e">
        <f>IF(OR($B836="",MIN(AE$38,$D$19)&lt;MAX($P$708*($B836+IF($R$17="Distrato",$I$38-1,0)),IF(AND($L$711=0,$P$708=0),"",$L$711-1),IF($R$17="Distrato",$E836,0))),0,YEARFRAC(MAX($P$708*($B836+IF($R$17="Distrato",$I$38-1,0)),IF(AND($L$711=0,$P$708=0),"",$L$711-1),IF($R$17="Distrato",$E836,0)),MIN(AE$38,$D$19),$P$20))-SUM($P836:AD836)</f>
        <v>#VALUE!</v>
      </c>
      <c r="AF836" s="446" t="e">
        <f>IF(OR($B836="",MIN(AF$38,$D$19)&lt;MAX($P$708*($B836+IF($R$17="Distrato",$I$38-1,0)),IF(AND($L$711=0,$P$708=0),"",$L$711-1),IF($R$17="Distrato",$E836,0))),0,YEARFRAC(MAX($P$708*($B836+IF($R$17="Distrato",$I$38-1,0)),IF(AND($L$711=0,$P$708=0),"",$L$711-1),IF($R$17="Distrato",$E836,0)),MIN(AF$38,$D$19),$P$20))-SUM($P836:AE836)</f>
        <v>#VALUE!</v>
      </c>
      <c r="AG836" s="446" t="e">
        <f>IF(OR($B836="",MIN(AG$38,$D$19)&lt;MAX($P$708*($B836+IF($R$17="Distrato",$I$38-1,0)),IF(AND($L$711=0,$P$708=0),"",$L$711-1),IF($R$17="Distrato",$E836,0))),0,YEARFRAC(MAX($P$708*($B836+IF($R$17="Distrato",$I$38-1,0)),IF(AND($L$711=0,$P$708=0),"",$L$711-1),IF($R$17="Distrato",$E836,0)),MIN(AG$38,$D$19),$P$20))-SUM($P836:AF836)</f>
        <v>#VALUE!</v>
      </c>
      <c r="AH836" s="446" t="e">
        <f>IF(OR($B836="",MIN(AH$38,$D$19)&lt;MAX($P$708*($B836+IF($R$17="Distrato",$I$38-1,0)),IF(AND($L$711=0,$P$708=0),"",$L$711-1),IF($R$17="Distrato",$E836,0))),0,YEARFRAC(MAX($P$708*($B836+IF($R$17="Distrato",$I$38-1,0)),IF(AND($L$711=0,$P$708=0),"",$L$711-1),IF($R$17="Distrato",$E836,0)),MIN(AH$38,$D$19),$P$20))-SUM($P836:AG836)</f>
        <v>#VALUE!</v>
      </c>
      <c r="AI836" s="446" t="e">
        <f>IF(OR($B836="",MIN(AI$38,$D$19)&lt;MAX($P$708*($B836+IF($R$17="Distrato",$I$38-1,0)),IF(AND($L$711=0,$P$708=0),"",$L$711-1),IF($R$17="Distrato",$E836,0))),0,YEARFRAC(MAX($P$708*($B836+IF($R$17="Distrato",$I$38-1,0)),IF(AND($L$711=0,$P$708=0),"",$L$711-1),IF($R$17="Distrato",$E836,0)),MIN(AI$38,$D$19),$P$20))-SUM($P836:AH836)</f>
        <v>#VALUE!</v>
      </c>
      <c r="AJ836" s="446" t="e">
        <f>IF(OR($B836="",MIN(AJ$38,$D$19)&lt;MAX($P$708*($B836+IF($R$17="Distrato",$I$38-1,0)),IF(AND($L$711=0,$P$708=0),"",$L$711-1),IF($R$17="Distrato",$E836,0))),0,YEARFRAC(MAX($P$708*($B836+IF($R$17="Distrato",$I$38-1,0)),IF(AND($L$711=0,$P$708=0),"",$L$711-1),IF($R$17="Distrato",$E836,0)),MIN(AJ$38,$D$19),$P$20))-SUM($P836:AI836)</f>
        <v>#VALUE!</v>
      </c>
      <c r="AK836" s="446" t="e">
        <f>IF(OR($B836="",MIN(AK$38,$D$19)&lt;MAX($P$708*($B836+IF($R$17="Distrato",$I$38-1,0)),IF(AND($L$711=0,$P$708=0),"",$L$711-1),IF($R$17="Distrato",$E836,0))),0,YEARFRAC(MAX($P$708*($B836+IF($R$17="Distrato",$I$38-1,0)),IF(AND($L$711=0,$P$708=0),"",$L$711-1),IF($R$17="Distrato",$E836,0)),MIN(AK$38,$D$19),$P$20))-SUM($P836:AJ836)</f>
        <v>#VALUE!</v>
      </c>
      <c r="AL836" s="446" t="e">
        <f>IF(OR($B836="",MIN(AL$38,$D$19)&lt;MAX($P$708*($B836+IF($R$17="Distrato",$I$38-1,0)),IF(AND($L$711=0,$P$708=0),"",$L$711-1),IF($R$17="Distrato",$E836,0))),0,YEARFRAC(MAX($P$708*($B836+IF($R$17="Distrato",$I$38-1,0)),IF(AND($L$711=0,$P$708=0),"",$L$711-1),IF($R$17="Distrato",$E836,0)),MIN(AL$38,$D$19),$P$20))-SUM($P836:AK836)</f>
        <v>#VALUE!</v>
      </c>
      <c r="AM836" s="446" t="e">
        <f>IF(OR($B836="",MIN(AM$38,$D$19)&lt;MAX($P$708*($B836+IF($R$17="Distrato",$I$38-1,0)),IF(AND($L$711=0,$P$708=0),"",$L$711-1),IF($R$17="Distrato",$E836,0))),0,YEARFRAC(MAX($P$708*($B836+IF($R$17="Distrato",$I$38-1,0)),IF(AND($L$711=0,$P$708=0),"",$L$711-1),IF($R$17="Distrato",$E836,0)),MIN(AM$38,$D$19),$P$20))-SUM($P836:AL836)</f>
        <v>#VALUE!</v>
      </c>
      <c r="AN836" s="446" t="e">
        <f>IF(OR($B836="",MIN(AN$38,$D$19)&lt;MAX($P$708*($B836+IF($R$17="Distrato",$I$38-1,0)),IF(AND($L$711=0,$P$708=0),"",$L$711-1),IF($R$17="Distrato",$E836,0))),0,YEARFRAC(MAX($P$708*($B836+IF($R$17="Distrato",$I$38-1,0)),IF(AND($L$711=0,$P$708=0),"",$L$711-1),IF($R$17="Distrato",$E836,0)),MIN(AN$38,$D$19),$P$20))-SUM($P836:AM836)</f>
        <v>#VALUE!</v>
      </c>
      <c r="AO836" s="446" t="e">
        <f>IF(OR($B836="",MIN(AO$38,$D$19)&lt;MAX($P$708*($B836+IF($R$17="Distrato",$I$38-1,0)),IF(AND($L$711=0,$P$708=0),"",$L$711-1),IF($R$17="Distrato",$E836,0))),0,YEARFRAC(MAX($P$708*($B836+IF($R$17="Distrato",$I$38-1,0)),IF(AND($L$711=0,$P$708=0),"",$L$711-1),IF($R$17="Distrato",$E836,0)),MIN(AO$38,$D$19),$P$20))-SUM($P836:AN836)</f>
        <v>#VALUE!</v>
      </c>
      <c r="AP836" s="446" t="e">
        <f>IF(OR($B836="",MIN(AP$38,$D$19)&lt;MAX($P$708*($B836+IF($R$17="Distrato",$I$38-1,0)),IF(AND($L$711=0,$P$708=0),"",$L$711-1),IF($R$17="Distrato",$E836,0))),0,YEARFRAC(MAX($P$708*($B836+IF($R$17="Distrato",$I$38-1,0)),IF(AND($L$711=0,$P$708=0),"",$L$711-1),IF($R$17="Distrato",$E836,0)),MIN(AP$38,$D$19),$P$20))-SUM($P836:AO836)</f>
        <v>#VALUE!</v>
      </c>
      <c r="AQ836" s="446" t="e">
        <f>IF(OR($B836="",MIN(AQ$38,$D$19)&lt;MAX($P$708*($B836+IF($R$17="Distrato",$I$38-1,0)),IF(AND($L$711=0,$P$708=0),"",$L$711-1),IF($R$17="Distrato",$E836,0))),0,YEARFRAC(MAX($P$708*($B836+IF($R$17="Distrato",$I$38-1,0)),IF(AND($L$711=0,$P$708=0),"",$L$711-1),IF($R$17="Distrato",$E836,0)),MIN(AQ$38,$D$19),$P$20))-SUM($P836:AP836)</f>
        <v>#VALUE!</v>
      </c>
      <c r="AR836" s="446" t="e">
        <f>IF(OR($B836="",MIN(AR$38,$D$19)&lt;MAX($P$708*($B836+IF($R$17="Distrato",$I$38-1,0)),IF(AND($L$711=0,$P$708=0),"",$L$711-1),IF($R$17="Distrato",$E836,0))),0,YEARFRAC(MAX($P$708*($B836+IF($R$17="Distrato",$I$38-1,0)),IF(AND($L$711=0,$P$708=0),"",$L$711-1),IF($R$17="Distrato",$E836,0)),MIN(AR$38,$D$19),$P$20))-SUM($P836:AQ836)</f>
        <v>#VALUE!</v>
      </c>
      <c r="AS836" s="446" t="e">
        <f>IF(OR($B836="",MIN(AS$38,$D$19)&lt;MAX($P$708*($B836+IF($R$17="Distrato",$I$38-1,0)),IF(AND($L$711=0,$P$708=0),"",$L$711-1),IF($R$17="Distrato",$E836,0))),0,YEARFRAC(MAX($P$708*($B836+IF($R$17="Distrato",$I$38-1,0)),IF(AND($L$711=0,$P$708=0),"",$L$711-1),IF($R$17="Distrato",$E836,0)),MIN(AS$38,$D$19),$P$20))-SUM($P836:AR836)</f>
        <v>#VALUE!</v>
      </c>
      <c r="AT836" s="446" t="e">
        <f>IF(OR($B836="",MIN(AT$38,$D$19)&lt;MAX($P$708*($B836+IF($R$17="Distrato",$I$38-1,0)),IF(AND($L$711=0,$P$708=0),"",$L$711-1),IF($R$17="Distrato",$E836,0))),0,YEARFRAC(MAX($P$708*($B836+IF($R$17="Distrato",$I$38-1,0)),IF(AND($L$711=0,$P$708=0),"",$L$711-1),IF($R$17="Distrato",$E836,0)),MIN(AT$38,$D$19),$P$20))-SUM($P836:AS836)</f>
        <v>#VALUE!</v>
      </c>
      <c r="AU836" s="446" t="e">
        <f>IF(OR($B836="",MIN(AU$38,$D$19)&lt;MAX($P$708*($B836+IF($R$17="Distrato",$I$38-1,0)),IF(AND($L$711=0,$P$708=0),"",$L$711-1),IF($R$17="Distrato",$E836,0))),0,YEARFRAC(MAX($P$708*($B836+IF($R$17="Distrato",$I$38-1,0)),IF(AND($L$711=0,$P$708=0),"",$L$711-1),IF($R$17="Distrato",$E836,0)),MIN(AU$38,$D$19),$P$20))-SUM($P836:AT836)</f>
        <v>#VALUE!</v>
      </c>
      <c r="AV836" s="446" t="e">
        <f>IF(OR($B836="",MIN(AV$38,$D$19)&lt;MAX($P$708*($B836+IF($R$17="Distrato",$I$38-1,0)),IF(AND($L$711=0,$P$708=0),"",$L$711-1),IF($R$17="Distrato",$E836,0))),0,YEARFRAC(MAX($P$708*($B836+IF($R$17="Distrato",$I$38-1,0)),IF(AND($L$711=0,$P$708=0),"",$L$711-1),IF($R$17="Distrato",$E836,0)),MIN(AV$38,$D$19),$P$20))-SUM($P836:AU836)</f>
        <v>#VALUE!</v>
      </c>
      <c r="AW836" s="446" t="e">
        <f>IF(OR($B836="",MIN(AW$38,$D$19)&lt;MAX($P$708*($B836+IF($R$17="Distrato",$I$38-1,0)),IF(AND($L$711=0,$P$708=0),"",$L$711-1),IF($R$17="Distrato",$E836,0))),0,YEARFRAC(MAX($P$708*($B836+IF($R$17="Distrato",$I$38-1,0)),IF(AND($L$711=0,$P$708=0),"",$L$711-1),IF($R$17="Distrato",$E836,0)),MIN(AW$38,$D$19),$P$20))-SUM($P836:AV836)</f>
        <v>#VALUE!</v>
      </c>
      <c r="AX836" s="446" t="e">
        <f>IF(OR($B836="",MIN(AX$38,$D$19)&lt;MAX($P$708*($B836+IF($R$17="Distrato",$I$38-1,0)),IF(AND($L$711=0,$P$708=0),"",$L$711-1),IF($R$17="Distrato",$E836,0))),0,YEARFRAC(MAX($P$708*($B836+IF($R$17="Distrato",$I$38-1,0)),IF(AND($L$711=0,$P$708=0),"",$L$711-1),IF($R$17="Distrato",$E836,0)),MIN(AX$38,$D$19),$P$20))-SUM($P836:AW836)</f>
        <v>#VALUE!</v>
      </c>
      <c r="AY836" s="446" t="e">
        <f>IF(OR($B836="",MIN(AY$38,$D$19)&lt;MAX($P$708*($B836+IF($R$17="Distrato",$I$38-1,0)),IF(AND($L$711=0,$P$708=0),"",$L$711-1),IF($R$17="Distrato",$E836,0))),0,YEARFRAC(MAX($P$708*($B836+IF($R$17="Distrato",$I$38-1,0)),IF(AND($L$711=0,$P$708=0),"",$L$711-1),IF($R$17="Distrato",$E836,0)),MIN(AY$38,$D$19),$P$20))-SUM($P836:AX836)</f>
        <v>#VALUE!</v>
      </c>
      <c r="AZ836" s="446" t="e">
        <f>IF(OR($B836="",MIN(AZ$38,$D$19)&lt;MAX($P$708*($B836+IF($R$17="Distrato",$I$38-1,0)),IF(AND($L$711=0,$P$708=0),"",$L$711-1),IF($R$17="Distrato",$E836,0))),0,YEARFRAC(MAX($P$708*($B836+IF($R$17="Distrato",$I$38-1,0)),IF(AND($L$711=0,$P$708=0),"",$L$711-1),IF($R$17="Distrato",$E836,0)),MIN(AZ$38,$D$19),$P$20))-SUM($P836:AY836)</f>
        <v>#VALUE!</v>
      </c>
      <c r="BA836" s="446" t="e">
        <f>IF(OR($B836="",MIN(BA$38,$D$19)&lt;MAX($P$708*($B836+IF($R$17="Distrato",$I$38-1,0)),IF(AND($L$711=0,$P$708=0),"",$L$711-1),IF($R$17="Distrato",$E836,0))),0,YEARFRAC(MAX($P$708*($B836+IF($R$17="Distrato",$I$38-1,0)),IF(AND($L$711=0,$P$708=0),"",$L$711-1),IF($R$17="Distrato",$E836,0)),MIN(BA$38,$D$19),$P$20))-SUM($P836:AZ836)</f>
        <v>#VALUE!</v>
      </c>
      <c r="BB836" s="447"/>
    </row>
    <row r="837" spans="1:54" s="446" customFormat="1" ht="11.25" hidden="1" customHeight="1" x14ac:dyDescent="0.2">
      <c r="A837" s="235"/>
      <c r="B837" s="236"/>
      <c r="C837" s="29" t="str">
        <f>IF(B837="","",IF($L$709=$BL$25,VLOOKUP(DATE(YEAR($D$19),MONTH($D$19)-1,1),ÍNDICES!$A:$DE,HLOOKUP($BL$25,ÍNDICES!$B$3:$T$4,2)+11)-VLOOKUP(B837,ÍNDICES!$A:$DE,HLOOKUP($BL$25,ÍNDICES!$B$3:$T$4,2)+11)+1%,IF(C$712=$W$26,$J$35,IF(ISERROR(IF(B837&gt;$D$19,1,VLOOKUP(DATE(YEAR(B837),MONTH(B837)+IF($C$709=$S$23,1,0),1),ÍNDICES!$A:$DE,$Z$709+1))),"",IF(B837&gt;$D$19,1,VLOOKUP(DATE(YEAR(B837),MONTH(B837)+IF($C$709=$S$23,1,0),1),ÍNDICES!$A:$DE,$Z$709+1))))))</f>
        <v/>
      </c>
      <c r="D837" s="155"/>
      <c r="E837" s="88"/>
      <c r="F837" s="88"/>
      <c r="G837" s="88"/>
      <c r="H837" s="118"/>
      <c r="I837" s="182">
        <f t="shared" si="122"/>
        <v>0</v>
      </c>
      <c r="J837" s="20">
        <f t="shared" ca="1" si="123"/>
        <v>0</v>
      </c>
      <c r="K837" s="5">
        <f t="shared" ca="1" si="124"/>
        <v>0</v>
      </c>
      <c r="L837" s="61">
        <f t="shared" ca="1" si="125"/>
        <v>0</v>
      </c>
      <c r="M837" s="64">
        <f t="shared" si="126"/>
        <v>0</v>
      </c>
      <c r="N837" s="151"/>
      <c r="O837" s="5">
        <f t="shared" ca="1" si="127"/>
        <v>0</v>
      </c>
      <c r="P837" s="446" t="e">
        <f t="shared" si="128"/>
        <v>#VALUE!</v>
      </c>
      <c r="Q837" s="446" t="e">
        <f>IF(OR($B837="",MIN(Q$38,$D$19)&lt;MAX($P$708*($B837+IF($R$17="Distrato",$I$38-1,0)),IF(AND($L$711=0,$P$708=0),"",$L$711-1),IF($R$17="Distrato",$E837,0))),0,YEARFRAC(MAX($P$708*($B837+IF($R$17="Distrato",$I$38-1,0)),IF(AND($L$711=0,$P$708=0),"",$L$711-1),IF($R$17="Distrato",$E837,0)),MIN(Q$38,$D$19),$P$20))-SUM($P837:P837)</f>
        <v>#VALUE!</v>
      </c>
      <c r="R837" s="446" t="e">
        <f>IF(OR($B837="",MIN(R$38,$D$19)&lt;MAX($P$708*($B837+IF($R$17="Distrato",$I$38-1,0)),IF(AND($L$711=0,$P$708=0),"",$L$711-1),IF($R$17="Distrato",$E837,0))),0,YEARFRAC(MAX($P$708*($B837+IF($R$17="Distrato",$I$38-1,0)),IF(AND($L$711=0,$P$708=0),"",$L$711-1),IF($R$17="Distrato",$E837,0)),MIN(R$38,$D$19),$P$20))-SUM($P837:Q837)</f>
        <v>#VALUE!</v>
      </c>
      <c r="S837" s="446" t="e">
        <f>IF(OR($B837="",MIN(S$38,$D$19)&lt;MAX($P$708*($B837+IF($R$17="Distrato",$I$38-1,0)),IF(AND($L$711=0,$P$708=0),"",$L$711-1),IF($R$17="Distrato",$E837,0))),0,YEARFRAC(MAX($P$708*($B837+IF($R$17="Distrato",$I$38-1,0)),IF(AND($L$711=0,$P$708=0),"",$L$711-1),IF($R$17="Distrato",$E837,0)),MIN(S$38,$D$19),$P$20))-SUM($P837:R837)</f>
        <v>#VALUE!</v>
      </c>
      <c r="T837" s="446" t="e">
        <f>IF(OR($B837="",MIN(T$38,$D$19)&lt;MAX($P$708*($B837+IF($R$17="Distrato",$I$38-1,0)),IF(AND($L$711=0,$P$708=0),"",$L$711-1),IF($R$17="Distrato",$E837,0))),0,YEARFRAC(MAX($P$708*($B837+IF($R$17="Distrato",$I$38-1,0)),IF(AND($L$711=0,$P$708=0),"",$L$711-1),IF($R$17="Distrato",$E837,0)),MIN(T$38,$D$19),$P$20))-SUM($P837:S837)</f>
        <v>#VALUE!</v>
      </c>
      <c r="U837" s="446" t="e">
        <f>IF(OR($B837="",MIN(U$38,$D$19)&lt;MAX($P$708*($B837+IF($R$17="Distrato",$I$38-1,0)),IF(AND($L$711=0,$P$708=0),"",$L$711-1),IF($R$17="Distrato",$E837,0))),0,YEARFRAC(MAX($P$708*($B837+IF($R$17="Distrato",$I$38-1,0)),IF(AND($L$711=0,$P$708=0),"",$L$711-1),IF($R$17="Distrato",$E837,0)),MIN(U$38,$D$19),$P$20))-SUM($P837:T837)</f>
        <v>#VALUE!</v>
      </c>
      <c r="V837" s="446" t="e">
        <f>IF(OR($B837="",MIN(V$38,$D$19)&lt;MAX($P$708*($B837+IF($R$17="Distrato",$I$38-1,0)),IF(AND($L$711=0,$P$708=0),"",$L$711-1),IF($R$17="Distrato",$E837,0))),0,YEARFRAC(MAX($P$708*($B837+IF($R$17="Distrato",$I$38-1,0)),IF(AND($L$711=0,$P$708=0),"",$L$711-1),IF($R$17="Distrato",$E837,0)),MIN(V$38,$D$19),$P$20))-SUM($P837:U837)</f>
        <v>#VALUE!</v>
      </c>
      <c r="W837" s="446" t="e">
        <f>IF(OR($B837="",MIN(W$38,$D$19)&lt;MAX($P$708*($B837+IF($R$17="Distrato",$I$38-1,0)),IF(AND($L$711=0,$P$708=0),"",$L$711-1),IF($R$17="Distrato",$E837,0))),0,YEARFRAC(MAX($P$708*($B837+IF($R$17="Distrato",$I$38-1,0)),IF(AND($L$711=0,$P$708=0),"",$L$711-1),IF($R$17="Distrato",$E837,0)),MIN(W$38,$D$19),$P$20))-SUM($P837:V837)</f>
        <v>#VALUE!</v>
      </c>
      <c r="X837" s="446" t="e">
        <f>IF(OR($B837="",MIN(X$38,$D$19)&lt;MAX($P$708*($B837+IF($R$17="Distrato",$I$38-1,0)),IF(AND($L$711=0,$P$708=0),"",$L$711-1),IF($R$17="Distrato",$E837,0))),0,YEARFRAC(MAX($P$708*($B837+IF($R$17="Distrato",$I$38-1,0)),IF(AND($L$711=0,$P$708=0),"",$L$711-1),IF($R$17="Distrato",$E837,0)),MIN(X$38,$D$19),$P$20))-SUM($P837:W837)</f>
        <v>#VALUE!</v>
      </c>
      <c r="Y837" s="446" t="e">
        <f>IF(OR($B837="",MIN(Y$38,$D$19)&lt;MAX($P$708*($B837+IF($R$17="Distrato",$I$38-1,0)),IF(AND($L$711=0,$P$708=0),"",$L$711-1),IF($R$17="Distrato",$E837,0))),0,YEARFRAC(MAX($P$708*($B837+IF($R$17="Distrato",$I$38-1,0)),IF(AND($L$711=0,$P$708=0),"",$L$711-1),IF($R$17="Distrato",$E837,0)),MIN(Y$38,$D$19),$P$20))-SUM($P837:X837)</f>
        <v>#VALUE!</v>
      </c>
      <c r="Z837" s="446" t="e">
        <f>IF(OR($B837="",MIN(Z$38,$D$19)&lt;MAX($P$708*($B837+IF($R$17="Distrato",$I$38-1,0)),IF(AND($L$711=0,$P$708=0),"",$L$711-1),IF($R$17="Distrato",$E837,0))),0,YEARFRAC(MAX($P$708*($B837+IF($R$17="Distrato",$I$38-1,0)),IF(AND($L$711=0,$P$708=0),"",$L$711-1),IF($R$17="Distrato",$E837,0)),MIN(Z$38,$D$19),$P$20))-SUM($P837:Y837)</f>
        <v>#VALUE!</v>
      </c>
      <c r="AA837" s="446" t="e">
        <f>IF(OR($B837="",MIN(AA$38,$D$19)&lt;MAX($P$708*($B837+IF($R$17="Distrato",$I$38-1,0)),IF(AND($L$711=0,$P$708=0),"",$L$711-1),IF($R$17="Distrato",$E837,0))),0,YEARFRAC(MAX($P$708*($B837+IF($R$17="Distrato",$I$38-1,0)),IF(AND($L$711=0,$P$708=0),"",$L$711-1),IF($R$17="Distrato",$E837,0)),MIN(AA$38,$D$19),$P$20))-SUM($P837:Z837)</f>
        <v>#VALUE!</v>
      </c>
      <c r="AB837" s="446" t="e">
        <f>IF(OR($B837="",MIN(AB$38,$D$19)&lt;MAX($P$708*($B837+IF($R$17="Distrato",$I$38-1,0)),IF(AND($L$711=0,$P$708=0),"",$L$711-1),IF($R$17="Distrato",$E837,0))),0,YEARFRAC(MAX($P$708*($B837+IF($R$17="Distrato",$I$38-1,0)),IF(AND($L$711=0,$P$708=0),"",$L$711-1),IF($R$17="Distrato",$E837,0)),MIN(AB$38,$D$19),$P$20))-SUM($P837:AA837)</f>
        <v>#VALUE!</v>
      </c>
      <c r="AC837" s="446" t="e">
        <f>IF(OR($B837="",MIN(AC$38,$D$19)&lt;MAX($P$708*($B837+IF($R$17="Distrato",$I$38-1,0)),IF(AND($L$711=0,$P$708=0),"",$L$711-1),IF($R$17="Distrato",$E837,0))),0,YEARFRAC(MAX($P$708*($B837+IF($R$17="Distrato",$I$38-1,0)),IF(AND($L$711=0,$P$708=0),"",$L$711-1),IF($R$17="Distrato",$E837,0)),MIN(AC$38,$D$19),$P$20))-SUM($P837:AB837)</f>
        <v>#VALUE!</v>
      </c>
      <c r="AD837" s="446" t="e">
        <f>IF(OR($B837="",MIN(AD$38,$D$19)&lt;MAX($P$708*($B837+IF($R$17="Distrato",$I$38-1,0)),IF(AND($L$711=0,$P$708=0),"",$L$711-1),IF($R$17="Distrato",$E837,0))),0,YEARFRAC(MAX($P$708*($B837+IF($R$17="Distrato",$I$38-1,0)),IF(AND($L$711=0,$P$708=0),"",$L$711-1),IF($R$17="Distrato",$E837,0)),MIN(AD$38,$D$19),$P$20))-SUM($P837:AC837)</f>
        <v>#VALUE!</v>
      </c>
      <c r="AE837" s="446" t="e">
        <f>IF(OR($B837="",MIN(AE$38,$D$19)&lt;MAX($P$708*($B837+IF($R$17="Distrato",$I$38-1,0)),IF(AND($L$711=0,$P$708=0),"",$L$711-1),IF($R$17="Distrato",$E837,0))),0,YEARFRAC(MAX($P$708*($B837+IF($R$17="Distrato",$I$38-1,0)),IF(AND($L$711=0,$P$708=0),"",$L$711-1),IF($R$17="Distrato",$E837,0)),MIN(AE$38,$D$19),$P$20))-SUM($P837:AD837)</f>
        <v>#VALUE!</v>
      </c>
      <c r="AF837" s="446" t="e">
        <f>IF(OR($B837="",MIN(AF$38,$D$19)&lt;MAX($P$708*($B837+IF($R$17="Distrato",$I$38-1,0)),IF(AND($L$711=0,$P$708=0),"",$L$711-1),IF($R$17="Distrato",$E837,0))),0,YEARFRAC(MAX($P$708*($B837+IF($R$17="Distrato",$I$38-1,0)),IF(AND($L$711=0,$P$708=0),"",$L$711-1),IF($R$17="Distrato",$E837,0)),MIN(AF$38,$D$19),$P$20))-SUM($P837:AE837)</f>
        <v>#VALUE!</v>
      </c>
      <c r="AG837" s="446" t="e">
        <f>IF(OR($B837="",MIN(AG$38,$D$19)&lt;MAX($P$708*($B837+IF($R$17="Distrato",$I$38-1,0)),IF(AND($L$711=0,$P$708=0),"",$L$711-1),IF($R$17="Distrato",$E837,0))),0,YEARFRAC(MAX($P$708*($B837+IF($R$17="Distrato",$I$38-1,0)),IF(AND($L$711=0,$P$708=0),"",$L$711-1),IF($R$17="Distrato",$E837,0)),MIN(AG$38,$D$19),$P$20))-SUM($P837:AF837)</f>
        <v>#VALUE!</v>
      </c>
      <c r="AH837" s="446" t="e">
        <f>IF(OR($B837="",MIN(AH$38,$D$19)&lt;MAX($P$708*($B837+IF($R$17="Distrato",$I$38-1,0)),IF(AND($L$711=0,$P$708=0),"",$L$711-1),IF($R$17="Distrato",$E837,0))),0,YEARFRAC(MAX($P$708*($B837+IF($R$17="Distrato",$I$38-1,0)),IF(AND($L$711=0,$P$708=0),"",$L$711-1),IF($R$17="Distrato",$E837,0)),MIN(AH$38,$D$19),$P$20))-SUM($P837:AG837)</f>
        <v>#VALUE!</v>
      </c>
      <c r="AI837" s="446" t="e">
        <f>IF(OR($B837="",MIN(AI$38,$D$19)&lt;MAX($P$708*($B837+IF($R$17="Distrato",$I$38-1,0)),IF(AND($L$711=0,$P$708=0),"",$L$711-1),IF($R$17="Distrato",$E837,0))),0,YEARFRAC(MAX($P$708*($B837+IF($R$17="Distrato",$I$38-1,0)),IF(AND($L$711=0,$P$708=0),"",$L$711-1),IF($R$17="Distrato",$E837,0)),MIN(AI$38,$D$19),$P$20))-SUM($P837:AH837)</f>
        <v>#VALUE!</v>
      </c>
      <c r="AJ837" s="446" t="e">
        <f>IF(OR($B837="",MIN(AJ$38,$D$19)&lt;MAX($P$708*($B837+IF($R$17="Distrato",$I$38-1,0)),IF(AND($L$711=0,$P$708=0),"",$L$711-1),IF($R$17="Distrato",$E837,0))),0,YEARFRAC(MAX($P$708*($B837+IF($R$17="Distrato",$I$38-1,0)),IF(AND($L$711=0,$P$708=0),"",$L$711-1),IF($R$17="Distrato",$E837,0)),MIN(AJ$38,$D$19),$P$20))-SUM($P837:AI837)</f>
        <v>#VALUE!</v>
      </c>
      <c r="AK837" s="446" t="e">
        <f>IF(OR($B837="",MIN(AK$38,$D$19)&lt;MAX($P$708*($B837+IF($R$17="Distrato",$I$38-1,0)),IF(AND($L$711=0,$P$708=0),"",$L$711-1),IF($R$17="Distrato",$E837,0))),0,YEARFRAC(MAX($P$708*($B837+IF($R$17="Distrato",$I$38-1,0)),IF(AND($L$711=0,$P$708=0),"",$L$711-1),IF($R$17="Distrato",$E837,0)),MIN(AK$38,$D$19),$P$20))-SUM($P837:AJ837)</f>
        <v>#VALUE!</v>
      </c>
      <c r="AL837" s="446" t="e">
        <f>IF(OR($B837="",MIN(AL$38,$D$19)&lt;MAX($P$708*($B837+IF($R$17="Distrato",$I$38-1,0)),IF(AND($L$711=0,$P$708=0),"",$L$711-1),IF($R$17="Distrato",$E837,0))),0,YEARFRAC(MAX($P$708*($B837+IF($R$17="Distrato",$I$38-1,0)),IF(AND($L$711=0,$P$708=0),"",$L$711-1),IF($R$17="Distrato",$E837,0)),MIN(AL$38,$D$19),$P$20))-SUM($P837:AK837)</f>
        <v>#VALUE!</v>
      </c>
      <c r="AM837" s="446" t="e">
        <f>IF(OR($B837="",MIN(AM$38,$D$19)&lt;MAX($P$708*($B837+IF($R$17="Distrato",$I$38-1,0)),IF(AND($L$711=0,$P$708=0),"",$L$711-1),IF($R$17="Distrato",$E837,0))),0,YEARFRAC(MAX($P$708*($B837+IF($R$17="Distrato",$I$38-1,0)),IF(AND($L$711=0,$P$708=0),"",$L$711-1),IF($R$17="Distrato",$E837,0)),MIN(AM$38,$D$19),$P$20))-SUM($P837:AL837)</f>
        <v>#VALUE!</v>
      </c>
      <c r="AN837" s="446" t="e">
        <f>IF(OR($B837="",MIN(AN$38,$D$19)&lt;MAX($P$708*($B837+IF($R$17="Distrato",$I$38-1,0)),IF(AND($L$711=0,$P$708=0),"",$L$711-1),IF($R$17="Distrato",$E837,0))),0,YEARFRAC(MAX($P$708*($B837+IF($R$17="Distrato",$I$38-1,0)),IF(AND($L$711=0,$P$708=0),"",$L$711-1),IF($R$17="Distrato",$E837,0)),MIN(AN$38,$D$19),$P$20))-SUM($P837:AM837)</f>
        <v>#VALUE!</v>
      </c>
      <c r="AO837" s="446" t="e">
        <f>IF(OR($B837="",MIN(AO$38,$D$19)&lt;MAX($P$708*($B837+IF($R$17="Distrato",$I$38-1,0)),IF(AND($L$711=0,$P$708=0),"",$L$711-1),IF($R$17="Distrato",$E837,0))),0,YEARFRAC(MAX($P$708*($B837+IF($R$17="Distrato",$I$38-1,0)),IF(AND($L$711=0,$P$708=0),"",$L$711-1),IF($R$17="Distrato",$E837,0)),MIN(AO$38,$D$19),$P$20))-SUM($P837:AN837)</f>
        <v>#VALUE!</v>
      </c>
      <c r="AP837" s="446" t="e">
        <f>IF(OR($B837="",MIN(AP$38,$D$19)&lt;MAX($P$708*($B837+IF($R$17="Distrato",$I$38-1,0)),IF(AND($L$711=0,$P$708=0),"",$L$711-1),IF($R$17="Distrato",$E837,0))),0,YEARFRAC(MAX($P$708*($B837+IF($R$17="Distrato",$I$38-1,0)),IF(AND($L$711=0,$P$708=0),"",$L$711-1),IF($R$17="Distrato",$E837,0)),MIN(AP$38,$D$19),$P$20))-SUM($P837:AO837)</f>
        <v>#VALUE!</v>
      </c>
      <c r="AQ837" s="446" t="e">
        <f>IF(OR($B837="",MIN(AQ$38,$D$19)&lt;MAX($P$708*($B837+IF($R$17="Distrato",$I$38-1,0)),IF(AND($L$711=0,$P$708=0),"",$L$711-1),IF($R$17="Distrato",$E837,0))),0,YEARFRAC(MAX($P$708*($B837+IF($R$17="Distrato",$I$38-1,0)),IF(AND($L$711=0,$P$708=0),"",$L$711-1),IF($R$17="Distrato",$E837,0)),MIN(AQ$38,$D$19),$P$20))-SUM($P837:AP837)</f>
        <v>#VALUE!</v>
      </c>
      <c r="AR837" s="446" t="e">
        <f>IF(OR($B837="",MIN(AR$38,$D$19)&lt;MAX($P$708*($B837+IF($R$17="Distrato",$I$38-1,0)),IF(AND($L$711=0,$P$708=0),"",$L$711-1),IF($R$17="Distrato",$E837,0))),0,YEARFRAC(MAX($P$708*($B837+IF($R$17="Distrato",$I$38-1,0)),IF(AND($L$711=0,$P$708=0),"",$L$711-1),IF($R$17="Distrato",$E837,0)),MIN(AR$38,$D$19),$P$20))-SUM($P837:AQ837)</f>
        <v>#VALUE!</v>
      </c>
      <c r="AS837" s="446" t="e">
        <f>IF(OR($B837="",MIN(AS$38,$D$19)&lt;MAX($P$708*($B837+IF($R$17="Distrato",$I$38-1,0)),IF(AND($L$711=0,$P$708=0),"",$L$711-1),IF($R$17="Distrato",$E837,0))),0,YEARFRAC(MAX($P$708*($B837+IF($R$17="Distrato",$I$38-1,0)),IF(AND($L$711=0,$P$708=0),"",$L$711-1),IF($R$17="Distrato",$E837,0)),MIN(AS$38,$D$19),$P$20))-SUM($P837:AR837)</f>
        <v>#VALUE!</v>
      </c>
      <c r="AT837" s="446" t="e">
        <f>IF(OR($B837="",MIN(AT$38,$D$19)&lt;MAX($P$708*($B837+IF($R$17="Distrato",$I$38-1,0)),IF(AND($L$711=0,$P$708=0),"",$L$711-1),IF($R$17="Distrato",$E837,0))),0,YEARFRAC(MAX($P$708*($B837+IF($R$17="Distrato",$I$38-1,0)),IF(AND($L$711=0,$P$708=0),"",$L$711-1),IF($R$17="Distrato",$E837,0)),MIN(AT$38,$D$19),$P$20))-SUM($P837:AS837)</f>
        <v>#VALUE!</v>
      </c>
      <c r="AU837" s="446" t="e">
        <f>IF(OR($B837="",MIN(AU$38,$D$19)&lt;MAX($P$708*($B837+IF($R$17="Distrato",$I$38-1,0)),IF(AND($L$711=0,$P$708=0),"",$L$711-1),IF($R$17="Distrato",$E837,0))),0,YEARFRAC(MAX($P$708*($B837+IF($R$17="Distrato",$I$38-1,0)),IF(AND($L$711=0,$P$708=0),"",$L$711-1),IF($R$17="Distrato",$E837,0)),MIN(AU$38,$D$19),$P$20))-SUM($P837:AT837)</f>
        <v>#VALUE!</v>
      </c>
      <c r="AV837" s="446" t="e">
        <f>IF(OR($B837="",MIN(AV$38,$D$19)&lt;MAX($P$708*($B837+IF($R$17="Distrato",$I$38-1,0)),IF(AND($L$711=0,$P$708=0),"",$L$711-1),IF($R$17="Distrato",$E837,0))),0,YEARFRAC(MAX($P$708*($B837+IF($R$17="Distrato",$I$38-1,0)),IF(AND($L$711=0,$P$708=0),"",$L$711-1),IF($R$17="Distrato",$E837,0)),MIN(AV$38,$D$19),$P$20))-SUM($P837:AU837)</f>
        <v>#VALUE!</v>
      </c>
      <c r="AW837" s="446" t="e">
        <f>IF(OR($B837="",MIN(AW$38,$D$19)&lt;MAX($P$708*($B837+IF($R$17="Distrato",$I$38-1,0)),IF(AND($L$711=0,$P$708=0),"",$L$711-1),IF($R$17="Distrato",$E837,0))),0,YEARFRAC(MAX($P$708*($B837+IF($R$17="Distrato",$I$38-1,0)),IF(AND($L$711=0,$P$708=0),"",$L$711-1),IF($R$17="Distrato",$E837,0)),MIN(AW$38,$D$19),$P$20))-SUM($P837:AV837)</f>
        <v>#VALUE!</v>
      </c>
      <c r="AX837" s="446" t="e">
        <f>IF(OR($B837="",MIN(AX$38,$D$19)&lt;MAX($P$708*($B837+IF($R$17="Distrato",$I$38-1,0)),IF(AND($L$711=0,$P$708=0),"",$L$711-1),IF($R$17="Distrato",$E837,0))),0,YEARFRAC(MAX($P$708*($B837+IF($R$17="Distrato",$I$38-1,0)),IF(AND($L$711=0,$P$708=0),"",$L$711-1),IF($R$17="Distrato",$E837,0)),MIN(AX$38,$D$19),$P$20))-SUM($P837:AW837)</f>
        <v>#VALUE!</v>
      </c>
      <c r="AY837" s="446" t="e">
        <f>IF(OR($B837="",MIN(AY$38,$D$19)&lt;MAX($P$708*($B837+IF($R$17="Distrato",$I$38-1,0)),IF(AND($L$711=0,$P$708=0),"",$L$711-1),IF($R$17="Distrato",$E837,0))),0,YEARFRAC(MAX($P$708*($B837+IF($R$17="Distrato",$I$38-1,0)),IF(AND($L$711=0,$P$708=0),"",$L$711-1),IF($R$17="Distrato",$E837,0)),MIN(AY$38,$D$19),$P$20))-SUM($P837:AX837)</f>
        <v>#VALUE!</v>
      </c>
      <c r="AZ837" s="446" t="e">
        <f>IF(OR($B837="",MIN(AZ$38,$D$19)&lt;MAX($P$708*($B837+IF($R$17="Distrato",$I$38-1,0)),IF(AND($L$711=0,$P$708=0),"",$L$711-1),IF($R$17="Distrato",$E837,0))),0,YEARFRAC(MAX($P$708*($B837+IF($R$17="Distrato",$I$38-1,0)),IF(AND($L$711=0,$P$708=0),"",$L$711-1),IF($R$17="Distrato",$E837,0)),MIN(AZ$38,$D$19),$P$20))-SUM($P837:AY837)</f>
        <v>#VALUE!</v>
      </c>
      <c r="BA837" s="446" t="e">
        <f>IF(OR($B837="",MIN(BA$38,$D$19)&lt;MAX($P$708*($B837+IF($R$17="Distrato",$I$38-1,0)),IF(AND($L$711=0,$P$708=0),"",$L$711-1),IF($R$17="Distrato",$E837,0))),0,YEARFRAC(MAX($P$708*($B837+IF($R$17="Distrato",$I$38-1,0)),IF(AND($L$711=0,$P$708=0),"",$L$711-1),IF($R$17="Distrato",$E837,0)),MIN(BA$38,$D$19),$P$20))-SUM($P837:AZ837)</f>
        <v>#VALUE!</v>
      </c>
      <c r="BB837" s="447"/>
    </row>
    <row r="838" spans="1:54" s="446" customFormat="1" ht="11.25" hidden="1" customHeight="1" x14ac:dyDescent="0.2">
      <c r="A838" s="235"/>
      <c r="B838" s="236"/>
      <c r="C838" s="29" t="str">
        <f>IF(B838="","",IF($L$709=$BL$25,VLOOKUP(DATE(YEAR($D$19),MONTH($D$19)-1,1),ÍNDICES!$A:$DE,HLOOKUP($BL$25,ÍNDICES!$B$3:$T$4,2)+11)-VLOOKUP(B838,ÍNDICES!$A:$DE,HLOOKUP($BL$25,ÍNDICES!$B$3:$T$4,2)+11)+1%,IF(C$712=$W$26,$J$35,IF(ISERROR(IF(B838&gt;$D$19,1,VLOOKUP(DATE(YEAR(B838),MONTH(B838)+IF($C$709=$S$23,1,0),1),ÍNDICES!$A:$DE,$Z$709+1))),"",IF(B838&gt;$D$19,1,VLOOKUP(DATE(YEAR(B838),MONTH(B838)+IF($C$709=$S$23,1,0),1),ÍNDICES!$A:$DE,$Z$709+1))))))</f>
        <v/>
      </c>
      <c r="D838" s="155"/>
      <c r="E838" s="88"/>
      <c r="F838" s="88"/>
      <c r="G838" s="88"/>
      <c r="H838" s="118"/>
      <c r="I838" s="182">
        <f t="shared" si="122"/>
        <v>0</v>
      </c>
      <c r="J838" s="20">
        <f t="shared" ca="1" si="123"/>
        <v>0</v>
      </c>
      <c r="K838" s="5">
        <f t="shared" ca="1" si="124"/>
        <v>0</v>
      </c>
      <c r="L838" s="61">
        <f t="shared" ca="1" si="125"/>
        <v>0</v>
      </c>
      <c r="M838" s="64">
        <f t="shared" si="126"/>
        <v>0</v>
      </c>
      <c r="N838" s="151"/>
      <c r="O838" s="5">
        <f t="shared" ca="1" si="127"/>
        <v>0</v>
      </c>
      <c r="P838" s="446" t="e">
        <f t="shared" si="128"/>
        <v>#VALUE!</v>
      </c>
      <c r="Q838" s="446" t="e">
        <f>IF(OR($B838="",MIN(Q$38,$D$19)&lt;MAX($P$708*($B838+IF($R$17="Distrato",$I$38-1,0)),IF(AND($L$711=0,$P$708=0),"",$L$711-1),IF($R$17="Distrato",$E838,0))),0,YEARFRAC(MAX($P$708*($B838+IF($R$17="Distrato",$I$38-1,0)),IF(AND($L$711=0,$P$708=0),"",$L$711-1),IF($R$17="Distrato",$E838,0)),MIN(Q$38,$D$19),$P$20))-SUM($P838:P838)</f>
        <v>#VALUE!</v>
      </c>
      <c r="R838" s="446" t="e">
        <f>IF(OR($B838="",MIN(R$38,$D$19)&lt;MAX($P$708*($B838+IF($R$17="Distrato",$I$38-1,0)),IF(AND($L$711=0,$P$708=0),"",$L$711-1),IF($R$17="Distrato",$E838,0))),0,YEARFRAC(MAX($P$708*($B838+IF($R$17="Distrato",$I$38-1,0)),IF(AND($L$711=0,$P$708=0),"",$L$711-1),IF($R$17="Distrato",$E838,0)),MIN(R$38,$D$19),$P$20))-SUM($P838:Q838)</f>
        <v>#VALUE!</v>
      </c>
      <c r="S838" s="446" t="e">
        <f>IF(OR($B838="",MIN(S$38,$D$19)&lt;MAX($P$708*($B838+IF($R$17="Distrato",$I$38-1,0)),IF(AND($L$711=0,$P$708=0),"",$L$711-1),IF($R$17="Distrato",$E838,0))),0,YEARFRAC(MAX($P$708*($B838+IF($R$17="Distrato",$I$38-1,0)),IF(AND($L$711=0,$P$708=0),"",$L$711-1),IF($R$17="Distrato",$E838,0)),MIN(S$38,$D$19),$P$20))-SUM($P838:R838)</f>
        <v>#VALUE!</v>
      </c>
      <c r="T838" s="446" t="e">
        <f>IF(OR($B838="",MIN(T$38,$D$19)&lt;MAX($P$708*($B838+IF($R$17="Distrato",$I$38-1,0)),IF(AND($L$711=0,$P$708=0),"",$L$711-1),IF($R$17="Distrato",$E838,0))),0,YEARFRAC(MAX($P$708*($B838+IF($R$17="Distrato",$I$38-1,0)),IF(AND($L$711=0,$P$708=0),"",$L$711-1),IF($R$17="Distrato",$E838,0)),MIN(T$38,$D$19),$P$20))-SUM($P838:S838)</f>
        <v>#VALUE!</v>
      </c>
      <c r="U838" s="446" t="e">
        <f>IF(OR($B838="",MIN(U$38,$D$19)&lt;MAX($P$708*($B838+IF($R$17="Distrato",$I$38-1,0)),IF(AND($L$711=0,$P$708=0),"",$L$711-1),IF($R$17="Distrato",$E838,0))),0,YEARFRAC(MAX($P$708*($B838+IF($R$17="Distrato",$I$38-1,0)),IF(AND($L$711=0,$P$708=0),"",$L$711-1),IF($R$17="Distrato",$E838,0)),MIN(U$38,$D$19),$P$20))-SUM($P838:T838)</f>
        <v>#VALUE!</v>
      </c>
      <c r="V838" s="446" t="e">
        <f>IF(OR($B838="",MIN(V$38,$D$19)&lt;MAX($P$708*($B838+IF($R$17="Distrato",$I$38-1,0)),IF(AND($L$711=0,$P$708=0),"",$L$711-1),IF($R$17="Distrato",$E838,0))),0,YEARFRAC(MAX($P$708*($B838+IF($R$17="Distrato",$I$38-1,0)),IF(AND($L$711=0,$P$708=0),"",$L$711-1),IF($R$17="Distrato",$E838,0)),MIN(V$38,$D$19),$P$20))-SUM($P838:U838)</f>
        <v>#VALUE!</v>
      </c>
      <c r="W838" s="446" t="e">
        <f>IF(OR($B838="",MIN(W$38,$D$19)&lt;MAX($P$708*($B838+IF($R$17="Distrato",$I$38-1,0)),IF(AND($L$711=0,$P$708=0),"",$L$711-1),IF($R$17="Distrato",$E838,0))),0,YEARFRAC(MAX($P$708*($B838+IF($R$17="Distrato",$I$38-1,0)),IF(AND($L$711=0,$P$708=0),"",$L$711-1),IF($R$17="Distrato",$E838,0)),MIN(W$38,$D$19),$P$20))-SUM($P838:V838)</f>
        <v>#VALUE!</v>
      </c>
      <c r="X838" s="446" t="e">
        <f>IF(OR($B838="",MIN(X$38,$D$19)&lt;MAX($P$708*($B838+IF($R$17="Distrato",$I$38-1,0)),IF(AND($L$711=0,$P$708=0),"",$L$711-1),IF($R$17="Distrato",$E838,0))),0,YEARFRAC(MAX($P$708*($B838+IF($R$17="Distrato",$I$38-1,0)),IF(AND($L$711=0,$P$708=0),"",$L$711-1),IF($R$17="Distrato",$E838,0)),MIN(X$38,$D$19),$P$20))-SUM($P838:W838)</f>
        <v>#VALUE!</v>
      </c>
      <c r="Y838" s="446" t="e">
        <f>IF(OR($B838="",MIN(Y$38,$D$19)&lt;MAX($P$708*($B838+IF($R$17="Distrato",$I$38-1,0)),IF(AND($L$711=0,$P$708=0),"",$L$711-1),IF($R$17="Distrato",$E838,0))),0,YEARFRAC(MAX($P$708*($B838+IF($R$17="Distrato",$I$38-1,0)),IF(AND($L$711=0,$P$708=0),"",$L$711-1),IF($R$17="Distrato",$E838,0)),MIN(Y$38,$D$19),$P$20))-SUM($P838:X838)</f>
        <v>#VALUE!</v>
      </c>
      <c r="Z838" s="446" t="e">
        <f>IF(OR($B838="",MIN(Z$38,$D$19)&lt;MAX($P$708*($B838+IF($R$17="Distrato",$I$38-1,0)),IF(AND($L$711=0,$P$708=0),"",$L$711-1),IF($R$17="Distrato",$E838,0))),0,YEARFRAC(MAX($P$708*($B838+IF($R$17="Distrato",$I$38-1,0)),IF(AND($L$711=0,$P$708=0),"",$L$711-1),IF($R$17="Distrato",$E838,0)),MIN(Z$38,$D$19),$P$20))-SUM($P838:Y838)</f>
        <v>#VALUE!</v>
      </c>
      <c r="AA838" s="446" t="e">
        <f>IF(OR($B838="",MIN(AA$38,$D$19)&lt;MAX($P$708*($B838+IF($R$17="Distrato",$I$38-1,0)),IF(AND($L$711=0,$P$708=0),"",$L$711-1),IF($R$17="Distrato",$E838,0))),0,YEARFRAC(MAX($P$708*($B838+IF($R$17="Distrato",$I$38-1,0)),IF(AND($L$711=0,$P$708=0),"",$L$711-1),IF($R$17="Distrato",$E838,0)),MIN(AA$38,$D$19),$P$20))-SUM($P838:Z838)</f>
        <v>#VALUE!</v>
      </c>
      <c r="AB838" s="446" t="e">
        <f>IF(OR($B838="",MIN(AB$38,$D$19)&lt;MAX($P$708*($B838+IF($R$17="Distrato",$I$38-1,0)),IF(AND($L$711=0,$P$708=0),"",$L$711-1),IF($R$17="Distrato",$E838,0))),0,YEARFRAC(MAX($P$708*($B838+IF($R$17="Distrato",$I$38-1,0)),IF(AND($L$711=0,$P$708=0),"",$L$711-1),IF($R$17="Distrato",$E838,0)),MIN(AB$38,$D$19),$P$20))-SUM($P838:AA838)</f>
        <v>#VALUE!</v>
      </c>
      <c r="AC838" s="446" t="e">
        <f>IF(OR($B838="",MIN(AC$38,$D$19)&lt;MAX($P$708*($B838+IF($R$17="Distrato",$I$38-1,0)),IF(AND($L$711=0,$P$708=0),"",$L$711-1),IF($R$17="Distrato",$E838,0))),0,YEARFRAC(MAX($P$708*($B838+IF($R$17="Distrato",$I$38-1,0)),IF(AND($L$711=0,$P$708=0),"",$L$711-1),IF($R$17="Distrato",$E838,0)),MIN(AC$38,$D$19),$P$20))-SUM($P838:AB838)</f>
        <v>#VALUE!</v>
      </c>
      <c r="AD838" s="446" t="e">
        <f>IF(OR($B838="",MIN(AD$38,$D$19)&lt;MAX($P$708*($B838+IF($R$17="Distrato",$I$38-1,0)),IF(AND($L$711=0,$P$708=0),"",$L$711-1),IF($R$17="Distrato",$E838,0))),0,YEARFRAC(MAX($P$708*($B838+IF($R$17="Distrato",$I$38-1,0)),IF(AND($L$711=0,$P$708=0),"",$L$711-1),IF($R$17="Distrato",$E838,0)),MIN(AD$38,$D$19),$P$20))-SUM($P838:AC838)</f>
        <v>#VALUE!</v>
      </c>
      <c r="AE838" s="446" t="e">
        <f>IF(OR($B838="",MIN(AE$38,$D$19)&lt;MAX($P$708*($B838+IF($R$17="Distrato",$I$38-1,0)),IF(AND($L$711=0,$P$708=0),"",$L$711-1),IF($R$17="Distrato",$E838,0))),0,YEARFRAC(MAX($P$708*($B838+IF($R$17="Distrato",$I$38-1,0)),IF(AND($L$711=0,$P$708=0),"",$L$711-1),IF($R$17="Distrato",$E838,0)),MIN(AE$38,$D$19),$P$20))-SUM($P838:AD838)</f>
        <v>#VALUE!</v>
      </c>
      <c r="AF838" s="446" t="e">
        <f>IF(OR($B838="",MIN(AF$38,$D$19)&lt;MAX($P$708*($B838+IF($R$17="Distrato",$I$38-1,0)),IF(AND($L$711=0,$P$708=0),"",$L$711-1),IF($R$17="Distrato",$E838,0))),0,YEARFRAC(MAX($P$708*($B838+IF($R$17="Distrato",$I$38-1,0)),IF(AND($L$711=0,$P$708=0),"",$L$711-1),IF($R$17="Distrato",$E838,0)),MIN(AF$38,$D$19),$P$20))-SUM($P838:AE838)</f>
        <v>#VALUE!</v>
      </c>
      <c r="AG838" s="446" t="e">
        <f>IF(OR($B838="",MIN(AG$38,$D$19)&lt;MAX($P$708*($B838+IF($R$17="Distrato",$I$38-1,0)),IF(AND($L$711=0,$P$708=0),"",$L$711-1),IF($R$17="Distrato",$E838,0))),0,YEARFRAC(MAX($P$708*($B838+IF($R$17="Distrato",$I$38-1,0)),IF(AND($L$711=0,$P$708=0),"",$L$711-1),IF($R$17="Distrato",$E838,0)),MIN(AG$38,$D$19),$P$20))-SUM($P838:AF838)</f>
        <v>#VALUE!</v>
      </c>
      <c r="AH838" s="446" t="e">
        <f>IF(OR($B838="",MIN(AH$38,$D$19)&lt;MAX($P$708*($B838+IF($R$17="Distrato",$I$38-1,0)),IF(AND($L$711=0,$P$708=0),"",$L$711-1),IF($R$17="Distrato",$E838,0))),0,YEARFRAC(MAX($P$708*($B838+IF($R$17="Distrato",$I$38-1,0)),IF(AND($L$711=0,$P$708=0),"",$L$711-1),IF($R$17="Distrato",$E838,0)),MIN(AH$38,$D$19),$P$20))-SUM($P838:AG838)</f>
        <v>#VALUE!</v>
      </c>
      <c r="AI838" s="446" t="e">
        <f>IF(OR($B838="",MIN(AI$38,$D$19)&lt;MAX($P$708*($B838+IF($R$17="Distrato",$I$38-1,0)),IF(AND($L$711=0,$P$708=0),"",$L$711-1),IF($R$17="Distrato",$E838,0))),0,YEARFRAC(MAX($P$708*($B838+IF($R$17="Distrato",$I$38-1,0)),IF(AND($L$711=0,$P$708=0),"",$L$711-1),IF($R$17="Distrato",$E838,0)),MIN(AI$38,$D$19),$P$20))-SUM($P838:AH838)</f>
        <v>#VALUE!</v>
      </c>
      <c r="AJ838" s="446" t="e">
        <f>IF(OR($B838="",MIN(AJ$38,$D$19)&lt;MAX($P$708*($B838+IF($R$17="Distrato",$I$38-1,0)),IF(AND($L$711=0,$P$708=0),"",$L$711-1),IF($R$17="Distrato",$E838,0))),0,YEARFRAC(MAX($P$708*($B838+IF($R$17="Distrato",$I$38-1,0)),IF(AND($L$711=0,$P$708=0),"",$L$711-1),IF($R$17="Distrato",$E838,0)),MIN(AJ$38,$D$19),$P$20))-SUM($P838:AI838)</f>
        <v>#VALUE!</v>
      </c>
      <c r="AK838" s="446" t="e">
        <f>IF(OR($B838="",MIN(AK$38,$D$19)&lt;MAX($P$708*($B838+IF($R$17="Distrato",$I$38-1,0)),IF(AND($L$711=0,$P$708=0),"",$L$711-1),IF($R$17="Distrato",$E838,0))),0,YEARFRAC(MAX($P$708*($B838+IF($R$17="Distrato",$I$38-1,0)),IF(AND($L$711=0,$P$708=0),"",$L$711-1),IF($R$17="Distrato",$E838,0)),MIN(AK$38,$D$19),$P$20))-SUM($P838:AJ838)</f>
        <v>#VALUE!</v>
      </c>
      <c r="AL838" s="446" t="e">
        <f>IF(OR($B838="",MIN(AL$38,$D$19)&lt;MAX($P$708*($B838+IF($R$17="Distrato",$I$38-1,0)),IF(AND($L$711=0,$P$708=0),"",$L$711-1),IF($R$17="Distrato",$E838,0))),0,YEARFRAC(MAX($P$708*($B838+IF($R$17="Distrato",$I$38-1,0)),IF(AND($L$711=0,$P$708=0),"",$L$711-1),IF($R$17="Distrato",$E838,0)),MIN(AL$38,$D$19),$P$20))-SUM($P838:AK838)</f>
        <v>#VALUE!</v>
      </c>
      <c r="AM838" s="446" t="e">
        <f>IF(OR($B838="",MIN(AM$38,$D$19)&lt;MAX($P$708*($B838+IF($R$17="Distrato",$I$38-1,0)),IF(AND($L$711=0,$P$708=0),"",$L$711-1),IF($R$17="Distrato",$E838,0))),0,YEARFRAC(MAX($P$708*($B838+IF($R$17="Distrato",$I$38-1,0)),IF(AND($L$711=0,$P$708=0),"",$L$711-1),IF($R$17="Distrato",$E838,0)),MIN(AM$38,$D$19),$P$20))-SUM($P838:AL838)</f>
        <v>#VALUE!</v>
      </c>
      <c r="AN838" s="446" t="e">
        <f>IF(OR($B838="",MIN(AN$38,$D$19)&lt;MAX($P$708*($B838+IF($R$17="Distrato",$I$38-1,0)),IF(AND($L$711=0,$P$708=0),"",$L$711-1),IF($R$17="Distrato",$E838,0))),0,YEARFRAC(MAX($P$708*($B838+IF($R$17="Distrato",$I$38-1,0)),IF(AND($L$711=0,$P$708=0),"",$L$711-1),IF($R$17="Distrato",$E838,0)),MIN(AN$38,$D$19),$P$20))-SUM($P838:AM838)</f>
        <v>#VALUE!</v>
      </c>
      <c r="AO838" s="446" t="e">
        <f>IF(OR($B838="",MIN(AO$38,$D$19)&lt;MAX($P$708*($B838+IF($R$17="Distrato",$I$38-1,0)),IF(AND($L$711=0,$P$708=0),"",$L$711-1),IF($R$17="Distrato",$E838,0))),0,YEARFRAC(MAX($P$708*($B838+IF($R$17="Distrato",$I$38-1,0)),IF(AND($L$711=0,$P$708=0),"",$L$711-1),IF($R$17="Distrato",$E838,0)),MIN(AO$38,$D$19),$P$20))-SUM($P838:AN838)</f>
        <v>#VALUE!</v>
      </c>
      <c r="AP838" s="446" t="e">
        <f>IF(OR($B838="",MIN(AP$38,$D$19)&lt;MAX($P$708*($B838+IF($R$17="Distrato",$I$38-1,0)),IF(AND($L$711=0,$P$708=0),"",$L$711-1),IF($R$17="Distrato",$E838,0))),0,YEARFRAC(MAX($P$708*($B838+IF($R$17="Distrato",$I$38-1,0)),IF(AND($L$711=0,$P$708=0),"",$L$711-1),IF($R$17="Distrato",$E838,0)),MIN(AP$38,$D$19),$P$20))-SUM($P838:AO838)</f>
        <v>#VALUE!</v>
      </c>
      <c r="AQ838" s="446" t="e">
        <f>IF(OR($B838="",MIN(AQ$38,$D$19)&lt;MAX($P$708*($B838+IF($R$17="Distrato",$I$38-1,0)),IF(AND($L$711=0,$P$708=0),"",$L$711-1),IF($R$17="Distrato",$E838,0))),0,YEARFRAC(MAX($P$708*($B838+IF($R$17="Distrato",$I$38-1,0)),IF(AND($L$711=0,$P$708=0),"",$L$711-1),IF($R$17="Distrato",$E838,0)),MIN(AQ$38,$D$19),$P$20))-SUM($P838:AP838)</f>
        <v>#VALUE!</v>
      </c>
      <c r="AR838" s="446" t="e">
        <f>IF(OR($B838="",MIN(AR$38,$D$19)&lt;MAX($P$708*($B838+IF($R$17="Distrato",$I$38-1,0)),IF(AND($L$711=0,$P$708=0),"",$L$711-1),IF($R$17="Distrato",$E838,0))),0,YEARFRAC(MAX($P$708*($B838+IF($R$17="Distrato",$I$38-1,0)),IF(AND($L$711=0,$P$708=0),"",$L$711-1),IF($R$17="Distrato",$E838,0)),MIN(AR$38,$D$19),$P$20))-SUM($P838:AQ838)</f>
        <v>#VALUE!</v>
      </c>
      <c r="AS838" s="446" t="e">
        <f>IF(OR($B838="",MIN(AS$38,$D$19)&lt;MAX($P$708*($B838+IF($R$17="Distrato",$I$38-1,0)),IF(AND($L$711=0,$P$708=0),"",$L$711-1),IF($R$17="Distrato",$E838,0))),0,YEARFRAC(MAX($P$708*($B838+IF($R$17="Distrato",$I$38-1,0)),IF(AND($L$711=0,$P$708=0),"",$L$711-1),IF($R$17="Distrato",$E838,0)),MIN(AS$38,$D$19),$P$20))-SUM($P838:AR838)</f>
        <v>#VALUE!</v>
      </c>
      <c r="AT838" s="446" t="e">
        <f>IF(OR($B838="",MIN(AT$38,$D$19)&lt;MAX($P$708*($B838+IF($R$17="Distrato",$I$38-1,0)),IF(AND($L$711=0,$P$708=0),"",$L$711-1),IF($R$17="Distrato",$E838,0))),0,YEARFRAC(MAX($P$708*($B838+IF($R$17="Distrato",$I$38-1,0)),IF(AND($L$711=0,$P$708=0),"",$L$711-1),IF($R$17="Distrato",$E838,0)),MIN(AT$38,$D$19),$P$20))-SUM($P838:AS838)</f>
        <v>#VALUE!</v>
      </c>
      <c r="AU838" s="446" t="e">
        <f>IF(OR($B838="",MIN(AU$38,$D$19)&lt;MAX($P$708*($B838+IF($R$17="Distrato",$I$38-1,0)),IF(AND($L$711=0,$P$708=0),"",$L$711-1),IF($R$17="Distrato",$E838,0))),0,YEARFRAC(MAX($P$708*($B838+IF($R$17="Distrato",$I$38-1,0)),IF(AND($L$711=0,$P$708=0),"",$L$711-1),IF($R$17="Distrato",$E838,0)),MIN(AU$38,$D$19),$P$20))-SUM($P838:AT838)</f>
        <v>#VALUE!</v>
      </c>
      <c r="AV838" s="446" t="e">
        <f>IF(OR($B838="",MIN(AV$38,$D$19)&lt;MAX($P$708*($B838+IF($R$17="Distrato",$I$38-1,0)),IF(AND($L$711=0,$P$708=0),"",$L$711-1),IF($R$17="Distrato",$E838,0))),0,YEARFRAC(MAX($P$708*($B838+IF($R$17="Distrato",$I$38-1,0)),IF(AND($L$711=0,$P$708=0),"",$L$711-1),IF($R$17="Distrato",$E838,0)),MIN(AV$38,$D$19),$P$20))-SUM($P838:AU838)</f>
        <v>#VALUE!</v>
      </c>
      <c r="AW838" s="446" t="e">
        <f>IF(OR($B838="",MIN(AW$38,$D$19)&lt;MAX($P$708*($B838+IF($R$17="Distrato",$I$38-1,0)),IF(AND($L$711=0,$P$708=0),"",$L$711-1),IF($R$17="Distrato",$E838,0))),0,YEARFRAC(MAX($P$708*($B838+IF($R$17="Distrato",$I$38-1,0)),IF(AND($L$711=0,$P$708=0),"",$L$711-1),IF($R$17="Distrato",$E838,0)),MIN(AW$38,$D$19),$P$20))-SUM($P838:AV838)</f>
        <v>#VALUE!</v>
      </c>
      <c r="AX838" s="446" t="e">
        <f>IF(OR($B838="",MIN(AX$38,$D$19)&lt;MAX($P$708*($B838+IF($R$17="Distrato",$I$38-1,0)),IF(AND($L$711=0,$P$708=0),"",$L$711-1),IF($R$17="Distrato",$E838,0))),0,YEARFRAC(MAX($P$708*($B838+IF($R$17="Distrato",$I$38-1,0)),IF(AND($L$711=0,$P$708=0),"",$L$711-1),IF($R$17="Distrato",$E838,0)),MIN(AX$38,$D$19),$P$20))-SUM($P838:AW838)</f>
        <v>#VALUE!</v>
      </c>
      <c r="AY838" s="446" t="e">
        <f>IF(OR($B838="",MIN(AY$38,$D$19)&lt;MAX($P$708*($B838+IF($R$17="Distrato",$I$38-1,0)),IF(AND($L$711=0,$P$708=0),"",$L$711-1),IF($R$17="Distrato",$E838,0))),0,YEARFRAC(MAX($P$708*($B838+IF($R$17="Distrato",$I$38-1,0)),IF(AND($L$711=0,$P$708=0),"",$L$711-1),IF($R$17="Distrato",$E838,0)),MIN(AY$38,$D$19),$P$20))-SUM($P838:AX838)</f>
        <v>#VALUE!</v>
      </c>
      <c r="AZ838" s="446" t="e">
        <f>IF(OR($B838="",MIN(AZ$38,$D$19)&lt;MAX($P$708*($B838+IF($R$17="Distrato",$I$38-1,0)),IF(AND($L$711=0,$P$708=0),"",$L$711-1),IF($R$17="Distrato",$E838,0))),0,YEARFRAC(MAX($P$708*($B838+IF($R$17="Distrato",$I$38-1,0)),IF(AND($L$711=0,$P$708=0),"",$L$711-1),IF($R$17="Distrato",$E838,0)),MIN(AZ$38,$D$19),$P$20))-SUM($P838:AY838)</f>
        <v>#VALUE!</v>
      </c>
      <c r="BA838" s="446" t="e">
        <f>IF(OR($B838="",MIN(BA$38,$D$19)&lt;MAX($P$708*($B838+IF($R$17="Distrato",$I$38-1,0)),IF(AND($L$711=0,$P$708=0),"",$L$711-1),IF($R$17="Distrato",$E838,0))),0,YEARFRAC(MAX($P$708*($B838+IF($R$17="Distrato",$I$38-1,0)),IF(AND($L$711=0,$P$708=0),"",$L$711-1),IF($R$17="Distrato",$E838,0)),MIN(BA$38,$D$19),$P$20))-SUM($P838:AZ838)</f>
        <v>#VALUE!</v>
      </c>
      <c r="BB838" s="447"/>
    </row>
    <row r="839" spans="1:54" s="446" customFormat="1" ht="11.25" hidden="1" customHeight="1" x14ac:dyDescent="0.2">
      <c r="A839" s="235"/>
      <c r="B839" s="236"/>
      <c r="C839" s="29" t="str">
        <f>IF(B839="","",IF($L$709=$BL$25,VLOOKUP(DATE(YEAR($D$19),MONTH($D$19)-1,1),ÍNDICES!$A:$DE,HLOOKUP($BL$25,ÍNDICES!$B$3:$T$4,2)+11)-VLOOKUP(B839,ÍNDICES!$A:$DE,HLOOKUP($BL$25,ÍNDICES!$B$3:$T$4,2)+11)+1%,IF(C$712=$W$26,$J$35,IF(ISERROR(IF(B839&gt;$D$19,1,VLOOKUP(DATE(YEAR(B839),MONTH(B839)+IF($C$709=$S$23,1,0),1),ÍNDICES!$A:$DE,$Z$709+1))),"",IF(B839&gt;$D$19,1,VLOOKUP(DATE(YEAR(B839),MONTH(B839)+IF($C$709=$S$23,1,0),1),ÍNDICES!$A:$DE,$Z$709+1))))))</f>
        <v/>
      </c>
      <c r="D839" s="155"/>
      <c r="E839" s="88"/>
      <c r="F839" s="88"/>
      <c r="G839" s="88"/>
      <c r="H839" s="118"/>
      <c r="I839" s="182">
        <f t="shared" si="122"/>
        <v>0</v>
      </c>
      <c r="J839" s="20">
        <f t="shared" ca="1" si="123"/>
        <v>0</v>
      </c>
      <c r="K839" s="5">
        <f t="shared" ca="1" si="124"/>
        <v>0</v>
      </c>
      <c r="L839" s="61">
        <f t="shared" ca="1" si="125"/>
        <v>0</v>
      </c>
      <c r="M839" s="64">
        <f t="shared" si="126"/>
        <v>0</v>
      </c>
      <c r="N839" s="151"/>
      <c r="O839" s="5">
        <f t="shared" ca="1" si="127"/>
        <v>0</v>
      </c>
      <c r="P839" s="446" t="e">
        <f t="shared" si="128"/>
        <v>#VALUE!</v>
      </c>
      <c r="Q839" s="446" t="e">
        <f>IF(OR($B839="",MIN(Q$38,$D$19)&lt;MAX($P$708*($B839+IF($R$17="Distrato",$I$38-1,0)),IF(AND($L$711=0,$P$708=0),"",$L$711-1),IF($R$17="Distrato",$E839,0))),0,YEARFRAC(MAX($P$708*($B839+IF($R$17="Distrato",$I$38-1,0)),IF(AND($L$711=0,$P$708=0),"",$L$711-1),IF($R$17="Distrato",$E839,0)),MIN(Q$38,$D$19),$P$20))-SUM($P839:P839)</f>
        <v>#VALUE!</v>
      </c>
      <c r="R839" s="446" t="e">
        <f>IF(OR($B839="",MIN(R$38,$D$19)&lt;MAX($P$708*($B839+IF($R$17="Distrato",$I$38-1,0)),IF(AND($L$711=0,$P$708=0),"",$L$711-1),IF($R$17="Distrato",$E839,0))),0,YEARFRAC(MAX($P$708*($B839+IF($R$17="Distrato",$I$38-1,0)),IF(AND($L$711=0,$P$708=0),"",$L$711-1),IF($R$17="Distrato",$E839,0)),MIN(R$38,$D$19),$P$20))-SUM($P839:Q839)</f>
        <v>#VALUE!</v>
      </c>
      <c r="S839" s="446" t="e">
        <f>IF(OR($B839="",MIN(S$38,$D$19)&lt;MAX($P$708*($B839+IF($R$17="Distrato",$I$38-1,0)),IF(AND($L$711=0,$P$708=0),"",$L$711-1),IF($R$17="Distrato",$E839,0))),0,YEARFRAC(MAX($P$708*($B839+IF($R$17="Distrato",$I$38-1,0)),IF(AND($L$711=0,$P$708=0),"",$L$711-1),IF($R$17="Distrato",$E839,0)),MIN(S$38,$D$19),$P$20))-SUM($P839:R839)</f>
        <v>#VALUE!</v>
      </c>
      <c r="T839" s="446" t="e">
        <f>IF(OR($B839="",MIN(T$38,$D$19)&lt;MAX($P$708*($B839+IF($R$17="Distrato",$I$38-1,0)),IF(AND($L$711=0,$P$708=0),"",$L$711-1),IF($R$17="Distrato",$E839,0))),0,YEARFRAC(MAX($P$708*($B839+IF($R$17="Distrato",$I$38-1,0)),IF(AND($L$711=0,$P$708=0),"",$L$711-1),IF($R$17="Distrato",$E839,0)),MIN(T$38,$D$19),$P$20))-SUM($P839:S839)</f>
        <v>#VALUE!</v>
      </c>
      <c r="U839" s="446" t="e">
        <f>IF(OR($B839="",MIN(U$38,$D$19)&lt;MAX($P$708*($B839+IF($R$17="Distrato",$I$38-1,0)),IF(AND($L$711=0,$P$708=0),"",$L$711-1),IF($R$17="Distrato",$E839,0))),0,YEARFRAC(MAX($P$708*($B839+IF($R$17="Distrato",$I$38-1,0)),IF(AND($L$711=0,$P$708=0),"",$L$711-1),IF($R$17="Distrato",$E839,0)),MIN(U$38,$D$19),$P$20))-SUM($P839:T839)</f>
        <v>#VALUE!</v>
      </c>
      <c r="V839" s="446" t="e">
        <f>IF(OR($B839="",MIN(V$38,$D$19)&lt;MAX($P$708*($B839+IF($R$17="Distrato",$I$38-1,0)),IF(AND($L$711=0,$P$708=0),"",$L$711-1),IF($R$17="Distrato",$E839,0))),0,YEARFRAC(MAX($P$708*($B839+IF($R$17="Distrato",$I$38-1,0)),IF(AND($L$711=0,$P$708=0),"",$L$711-1),IF($R$17="Distrato",$E839,0)),MIN(V$38,$D$19),$P$20))-SUM($P839:U839)</f>
        <v>#VALUE!</v>
      </c>
      <c r="W839" s="446" t="e">
        <f>IF(OR($B839="",MIN(W$38,$D$19)&lt;MAX($P$708*($B839+IF($R$17="Distrato",$I$38-1,0)),IF(AND($L$711=0,$P$708=0),"",$L$711-1),IF($R$17="Distrato",$E839,0))),0,YEARFRAC(MAX($P$708*($B839+IF($R$17="Distrato",$I$38-1,0)),IF(AND($L$711=0,$P$708=0),"",$L$711-1),IF($R$17="Distrato",$E839,0)),MIN(W$38,$D$19),$P$20))-SUM($P839:V839)</f>
        <v>#VALUE!</v>
      </c>
      <c r="X839" s="446" t="e">
        <f>IF(OR($B839="",MIN(X$38,$D$19)&lt;MAX($P$708*($B839+IF($R$17="Distrato",$I$38-1,0)),IF(AND($L$711=0,$P$708=0),"",$L$711-1),IF($R$17="Distrato",$E839,0))),0,YEARFRAC(MAX($P$708*($B839+IF($R$17="Distrato",$I$38-1,0)),IF(AND($L$711=0,$P$708=0),"",$L$711-1),IF($R$17="Distrato",$E839,0)),MIN(X$38,$D$19),$P$20))-SUM($P839:W839)</f>
        <v>#VALUE!</v>
      </c>
      <c r="Y839" s="446" t="e">
        <f>IF(OR($B839="",MIN(Y$38,$D$19)&lt;MAX($P$708*($B839+IF($R$17="Distrato",$I$38-1,0)),IF(AND($L$711=0,$P$708=0),"",$L$711-1),IF($R$17="Distrato",$E839,0))),0,YEARFRAC(MAX($P$708*($B839+IF($R$17="Distrato",$I$38-1,0)),IF(AND($L$711=0,$P$708=0),"",$L$711-1),IF($R$17="Distrato",$E839,0)),MIN(Y$38,$D$19),$P$20))-SUM($P839:X839)</f>
        <v>#VALUE!</v>
      </c>
      <c r="Z839" s="446" t="e">
        <f>IF(OR($B839="",MIN(Z$38,$D$19)&lt;MAX($P$708*($B839+IF($R$17="Distrato",$I$38-1,0)),IF(AND($L$711=0,$P$708=0),"",$L$711-1),IF($R$17="Distrato",$E839,0))),0,YEARFRAC(MAX($P$708*($B839+IF($R$17="Distrato",$I$38-1,0)),IF(AND($L$711=0,$P$708=0),"",$L$711-1),IF($R$17="Distrato",$E839,0)),MIN(Z$38,$D$19),$P$20))-SUM($P839:Y839)</f>
        <v>#VALUE!</v>
      </c>
      <c r="AA839" s="446" t="e">
        <f>IF(OR($B839="",MIN(AA$38,$D$19)&lt;MAX($P$708*($B839+IF($R$17="Distrato",$I$38-1,0)),IF(AND($L$711=0,$P$708=0),"",$L$711-1),IF($R$17="Distrato",$E839,0))),0,YEARFRAC(MAX($P$708*($B839+IF($R$17="Distrato",$I$38-1,0)),IF(AND($L$711=0,$P$708=0),"",$L$711-1),IF($R$17="Distrato",$E839,0)),MIN(AA$38,$D$19),$P$20))-SUM($P839:Z839)</f>
        <v>#VALUE!</v>
      </c>
      <c r="AB839" s="446" t="e">
        <f>IF(OR($B839="",MIN(AB$38,$D$19)&lt;MAX($P$708*($B839+IF($R$17="Distrato",$I$38-1,0)),IF(AND($L$711=0,$P$708=0),"",$L$711-1),IF($R$17="Distrato",$E839,0))),0,YEARFRAC(MAX($P$708*($B839+IF($R$17="Distrato",$I$38-1,0)),IF(AND($L$711=0,$P$708=0),"",$L$711-1),IF($R$17="Distrato",$E839,0)),MIN(AB$38,$D$19),$P$20))-SUM($P839:AA839)</f>
        <v>#VALUE!</v>
      </c>
      <c r="AC839" s="446" t="e">
        <f>IF(OR($B839="",MIN(AC$38,$D$19)&lt;MAX($P$708*($B839+IF($R$17="Distrato",$I$38-1,0)),IF(AND($L$711=0,$P$708=0),"",$L$711-1),IF($R$17="Distrato",$E839,0))),0,YEARFRAC(MAX($P$708*($B839+IF($R$17="Distrato",$I$38-1,0)),IF(AND($L$711=0,$P$708=0),"",$L$711-1),IF($R$17="Distrato",$E839,0)),MIN(AC$38,$D$19),$P$20))-SUM($P839:AB839)</f>
        <v>#VALUE!</v>
      </c>
      <c r="AD839" s="446" t="e">
        <f>IF(OR($B839="",MIN(AD$38,$D$19)&lt;MAX($P$708*($B839+IF($R$17="Distrato",$I$38-1,0)),IF(AND($L$711=0,$P$708=0),"",$L$711-1),IF($R$17="Distrato",$E839,0))),0,YEARFRAC(MAX($P$708*($B839+IF($R$17="Distrato",$I$38-1,0)),IF(AND($L$711=0,$P$708=0),"",$L$711-1),IF($R$17="Distrato",$E839,0)),MIN(AD$38,$D$19),$P$20))-SUM($P839:AC839)</f>
        <v>#VALUE!</v>
      </c>
      <c r="AE839" s="446" t="e">
        <f>IF(OR($B839="",MIN(AE$38,$D$19)&lt;MAX($P$708*($B839+IF($R$17="Distrato",$I$38-1,0)),IF(AND($L$711=0,$P$708=0),"",$L$711-1),IF($R$17="Distrato",$E839,0))),0,YEARFRAC(MAX($P$708*($B839+IF($R$17="Distrato",$I$38-1,0)),IF(AND($L$711=0,$P$708=0),"",$L$711-1),IF($R$17="Distrato",$E839,0)),MIN(AE$38,$D$19),$P$20))-SUM($P839:AD839)</f>
        <v>#VALUE!</v>
      </c>
      <c r="AF839" s="446" t="e">
        <f>IF(OR($B839="",MIN(AF$38,$D$19)&lt;MAX($P$708*($B839+IF($R$17="Distrato",$I$38-1,0)),IF(AND($L$711=0,$P$708=0),"",$L$711-1),IF($R$17="Distrato",$E839,0))),0,YEARFRAC(MAX($P$708*($B839+IF($R$17="Distrato",$I$38-1,0)),IF(AND($L$711=0,$P$708=0),"",$L$711-1),IF($R$17="Distrato",$E839,0)),MIN(AF$38,$D$19),$P$20))-SUM($P839:AE839)</f>
        <v>#VALUE!</v>
      </c>
      <c r="AG839" s="446" t="e">
        <f>IF(OR($B839="",MIN(AG$38,$D$19)&lt;MAX($P$708*($B839+IF($R$17="Distrato",$I$38-1,0)),IF(AND($L$711=0,$P$708=0),"",$L$711-1),IF($R$17="Distrato",$E839,0))),0,YEARFRAC(MAX($P$708*($B839+IF($R$17="Distrato",$I$38-1,0)),IF(AND($L$711=0,$P$708=0),"",$L$711-1),IF($R$17="Distrato",$E839,0)),MIN(AG$38,$D$19),$P$20))-SUM($P839:AF839)</f>
        <v>#VALUE!</v>
      </c>
      <c r="AH839" s="446" t="e">
        <f>IF(OR($B839="",MIN(AH$38,$D$19)&lt;MAX($P$708*($B839+IF($R$17="Distrato",$I$38-1,0)),IF(AND($L$711=0,$P$708=0),"",$L$711-1),IF($R$17="Distrato",$E839,0))),0,YEARFRAC(MAX($P$708*($B839+IF($R$17="Distrato",$I$38-1,0)),IF(AND($L$711=0,$P$708=0),"",$L$711-1),IF($R$17="Distrato",$E839,0)),MIN(AH$38,$D$19),$P$20))-SUM($P839:AG839)</f>
        <v>#VALUE!</v>
      </c>
      <c r="AI839" s="446" t="e">
        <f>IF(OR($B839="",MIN(AI$38,$D$19)&lt;MAX($P$708*($B839+IF($R$17="Distrato",$I$38-1,0)),IF(AND($L$711=0,$P$708=0),"",$L$711-1),IF($R$17="Distrato",$E839,0))),0,YEARFRAC(MAX($P$708*($B839+IF($R$17="Distrato",$I$38-1,0)),IF(AND($L$711=0,$P$708=0),"",$L$711-1),IF($R$17="Distrato",$E839,0)),MIN(AI$38,$D$19),$P$20))-SUM($P839:AH839)</f>
        <v>#VALUE!</v>
      </c>
      <c r="AJ839" s="446" t="e">
        <f>IF(OR($B839="",MIN(AJ$38,$D$19)&lt;MAX($P$708*($B839+IF($R$17="Distrato",$I$38-1,0)),IF(AND($L$711=0,$P$708=0),"",$L$711-1),IF($R$17="Distrato",$E839,0))),0,YEARFRAC(MAX($P$708*($B839+IF($R$17="Distrato",$I$38-1,0)),IF(AND($L$711=0,$P$708=0),"",$L$711-1),IF($R$17="Distrato",$E839,0)),MIN(AJ$38,$D$19),$P$20))-SUM($P839:AI839)</f>
        <v>#VALUE!</v>
      </c>
      <c r="AK839" s="446" t="e">
        <f>IF(OR($B839="",MIN(AK$38,$D$19)&lt;MAX($P$708*($B839+IF($R$17="Distrato",$I$38-1,0)),IF(AND($L$711=0,$P$708=0),"",$L$711-1),IF($R$17="Distrato",$E839,0))),0,YEARFRAC(MAX($P$708*($B839+IF($R$17="Distrato",$I$38-1,0)),IF(AND($L$711=0,$P$708=0),"",$L$711-1),IF($R$17="Distrato",$E839,0)),MIN(AK$38,$D$19),$P$20))-SUM($P839:AJ839)</f>
        <v>#VALUE!</v>
      </c>
      <c r="AL839" s="446" t="e">
        <f>IF(OR($B839="",MIN(AL$38,$D$19)&lt;MAX($P$708*($B839+IF($R$17="Distrato",$I$38-1,0)),IF(AND($L$711=0,$P$708=0),"",$L$711-1),IF($R$17="Distrato",$E839,0))),0,YEARFRAC(MAX($P$708*($B839+IF($R$17="Distrato",$I$38-1,0)),IF(AND($L$711=0,$P$708=0),"",$L$711-1),IF($R$17="Distrato",$E839,0)),MIN(AL$38,$D$19),$P$20))-SUM($P839:AK839)</f>
        <v>#VALUE!</v>
      </c>
      <c r="AM839" s="446" t="e">
        <f>IF(OR($B839="",MIN(AM$38,$D$19)&lt;MAX($P$708*($B839+IF($R$17="Distrato",$I$38-1,0)),IF(AND($L$711=0,$P$708=0),"",$L$711-1),IF($R$17="Distrato",$E839,0))),0,YEARFRAC(MAX($P$708*($B839+IF($R$17="Distrato",$I$38-1,0)),IF(AND($L$711=0,$P$708=0),"",$L$711-1),IF($R$17="Distrato",$E839,0)),MIN(AM$38,$D$19),$P$20))-SUM($P839:AL839)</f>
        <v>#VALUE!</v>
      </c>
      <c r="AN839" s="446" t="e">
        <f>IF(OR($B839="",MIN(AN$38,$D$19)&lt;MAX($P$708*($B839+IF($R$17="Distrato",$I$38-1,0)),IF(AND($L$711=0,$P$708=0),"",$L$711-1),IF($R$17="Distrato",$E839,0))),0,YEARFRAC(MAX($P$708*($B839+IF($R$17="Distrato",$I$38-1,0)),IF(AND($L$711=0,$P$708=0),"",$L$711-1),IF($R$17="Distrato",$E839,0)),MIN(AN$38,$D$19),$P$20))-SUM($P839:AM839)</f>
        <v>#VALUE!</v>
      </c>
      <c r="AO839" s="446" t="e">
        <f>IF(OR($B839="",MIN(AO$38,$D$19)&lt;MAX($P$708*($B839+IF($R$17="Distrato",$I$38-1,0)),IF(AND($L$711=0,$P$708=0),"",$L$711-1),IF($R$17="Distrato",$E839,0))),0,YEARFRAC(MAX($P$708*($B839+IF($R$17="Distrato",$I$38-1,0)),IF(AND($L$711=0,$P$708=0),"",$L$711-1),IF($R$17="Distrato",$E839,0)),MIN(AO$38,$D$19),$P$20))-SUM($P839:AN839)</f>
        <v>#VALUE!</v>
      </c>
      <c r="AP839" s="446" t="e">
        <f>IF(OR($B839="",MIN(AP$38,$D$19)&lt;MAX($P$708*($B839+IF($R$17="Distrato",$I$38-1,0)),IF(AND($L$711=0,$P$708=0),"",$L$711-1),IF($R$17="Distrato",$E839,0))),0,YEARFRAC(MAX($P$708*($B839+IF($R$17="Distrato",$I$38-1,0)),IF(AND($L$711=0,$P$708=0),"",$L$711-1),IF($R$17="Distrato",$E839,0)),MIN(AP$38,$D$19),$P$20))-SUM($P839:AO839)</f>
        <v>#VALUE!</v>
      </c>
      <c r="AQ839" s="446" t="e">
        <f>IF(OR($B839="",MIN(AQ$38,$D$19)&lt;MAX($P$708*($B839+IF($R$17="Distrato",$I$38-1,0)),IF(AND($L$711=0,$P$708=0),"",$L$711-1),IF($R$17="Distrato",$E839,0))),0,YEARFRAC(MAX($P$708*($B839+IF($R$17="Distrato",$I$38-1,0)),IF(AND($L$711=0,$P$708=0),"",$L$711-1),IF($R$17="Distrato",$E839,0)),MIN(AQ$38,$D$19),$P$20))-SUM($P839:AP839)</f>
        <v>#VALUE!</v>
      </c>
      <c r="AR839" s="446" t="e">
        <f>IF(OR($B839="",MIN(AR$38,$D$19)&lt;MAX($P$708*($B839+IF($R$17="Distrato",$I$38-1,0)),IF(AND($L$711=0,$P$708=0),"",$L$711-1),IF($R$17="Distrato",$E839,0))),0,YEARFRAC(MAX($P$708*($B839+IF($R$17="Distrato",$I$38-1,0)),IF(AND($L$711=0,$P$708=0),"",$L$711-1),IF($R$17="Distrato",$E839,0)),MIN(AR$38,$D$19),$P$20))-SUM($P839:AQ839)</f>
        <v>#VALUE!</v>
      </c>
      <c r="AS839" s="446" t="e">
        <f>IF(OR($B839="",MIN(AS$38,$D$19)&lt;MAX($P$708*($B839+IF($R$17="Distrato",$I$38-1,0)),IF(AND($L$711=0,$P$708=0),"",$L$711-1),IF($R$17="Distrato",$E839,0))),0,YEARFRAC(MAX($P$708*($B839+IF($R$17="Distrato",$I$38-1,0)),IF(AND($L$711=0,$P$708=0),"",$L$711-1),IF($R$17="Distrato",$E839,0)),MIN(AS$38,$D$19),$P$20))-SUM($P839:AR839)</f>
        <v>#VALUE!</v>
      </c>
      <c r="AT839" s="446" t="e">
        <f>IF(OR($B839="",MIN(AT$38,$D$19)&lt;MAX($P$708*($B839+IF($R$17="Distrato",$I$38-1,0)),IF(AND($L$711=0,$P$708=0),"",$L$711-1),IF($R$17="Distrato",$E839,0))),0,YEARFRAC(MAX($P$708*($B839+IF($R$17="Distrato",$I$38-1,0)),IF(AND($L$711=0,$P$708=0),"",$L$711-1),IF($R$17="Distrato",$E839,0)),MIN(AT$38,$D$19),$P$20))-SUM($P839:AS839)</f>
        <v>#VALUE!</v>
      </c>
      <c r="AU839" s="446" t="e">
        <f>IF(OR($B839="",MIN(AU$38,$D$19)&lt;MAX($P$708*($B839+IF($R$17="Distrato",$I$38-1,0)),IF(AND($L$711=0,$P$708=0),"",$L$711-1),IF($R$17="Distrato",$E839,0))),0,YEARFRAC(MAX($P$708*($B839+IF($R$17="Distrato",$I$38-1,0)),IF(AND($L$711=0,$P$708=0),"",$L$711-1),IF($R$17="Distrato",$E839,0)),MIN(AU$38,$D$19),$P$20))-SUM($P839:AT839)</f>
        <v>#VALUE!</v>
      </c>
      <c r="AV839" s="446" t="e">
        <f>IF(OR($B839="",MIN(AV$38,$D$19)&lt;MAX($P$708*($B839+IF($R$17="Distrato",$I$38-1,0)),IF(AND($L$711=0,$P$708=0),"",$L$711-1),IF($R$17="Distrato",$E839,0))),0,YEARFRAC(MAX($P$708*($B839+IF($R$17="Distrato",$I$38-1,0)),IF(AND($L$711=0,$P$708=0),"",$L$711-1),IF($R$17="Distrato",$E839,0)),MIN(AV$38,$D$19),$P$20))-SUM($P839:AU839)</f>
        <v>#VALUE!</v>
      </c>
      <c r="AW839" s="446" t="e">
        <f>IF(OR($B839="",MIN(AW$38,$D$19)&lt;MAX($P$708*($B839+IF($R$17="Distrato",$I$38-1,0)),IF(AND($L$711=0,$P$708=0),"",$L$711-1),IF($R$17="Distrato",$E839,0))),0,YEARFRAC(MAX($P$708*($B839+IF($R$17="Distrato",$I$38-1,0)),IF(AND($L$711=0,$P$708=0),"",$L$711-1),IF($R$17="Distrato",$E839,0)),MIN(AW$38,$D$19),$P$20))-SUM($P839:AV839)</f>
        <v>#VALUE!</v>
      </c>
      <c r="AX839" s="446" t="e">
        <f>IF(OR($B839="",MIN(AX$38,$D$19)&lt;MAX($P$708*($B839+IF($R$17="Distrato",$I$38-1,0)),IF(AND($L$711=0,$P$708=0),"",$L$711-1),IF($R$17="Distrato",$E839,0))),0,YEARFRAC(MAX($P$708*($B839+IF($R$17="Distrato",$I$38-1,0)),IF(AND($L$711=0,$P$708=0),"",$L$711-1),IF($R$17="Distrato",$E839,0)),MIN(AX$38,$D$19),$P$20))-SUM($P839:AW839)</f>
        <v>#VALUE!</v>
      </c>
      <c r="AY839" s="446" t="e">
        <f>IF(OR($B839="",MIN(AY$38,$D$19)&lt;MAX($P$708*($B839+IF($R$17="Distrato",$I$38-1,0)),IF(AND($L$711=0,$P$708=0),"",$L$711-1),IF($R$17="Distrato",$E839,0))),0,YEARFRAC(MAX($P$708*($B839+IF($R$17="Distrato",$I$38-1,0)),IF(AND($L$711=0,$P$708=0),"",$L$711-1),IF($R$17="Distrato",$E839,0)),MIN(AY$38,$D$19),$P$20))-SUM($P839:AX839)</f>
        <v>#VALUE!</v>
      </c>
      <c r="AZ839" s="446" t="e">
        <f>IF(OR($B839="",MIN(AZ$38,$D$19)&lt;MAX($P$708*($B839+IF($R$17="Distrato",$I$38-1,0)),IF(AND($L$711=0,$P$708=0),"",$L$711-1),IF($R$17="Distrato",$E839,0))),0,YEARFRAC(MAX($P$708*($B839+IF($R$17="Distrato",$I$38-1,0)),IF(AND($L$711=0,$P$708=0),"",$L$711-1),IF($R$17="Distrato",$E839,0)),MIN(AZ$38,$D$19),$P$20))-SUM($P839:AY839)</f>
        <v>#VALUE!</v>
      </c>
      <c r="BA839" s="446" t="e">
        <f>IF(OR($B839="",MIN(BA$38,$D$19)&lt;MAX($P$708*($B839+IF($R$17="Distrato",$I$38-1,0)),IF(AND($L$711=0,$P$708=0),"",$L$711-1),IF($R$17="Distrato",$E839,0))),0,YEARFRAC(MAX($P$708*($B839+IF($R$17="Distrato",$I$38-1,0)),IF(AND($L$711=0,$P$708=0),"",$L$711-1),IF($R$17="Distrato",$E839,0)),MIN(BA$38,$D$19),$P$20))-SUM($P839:AZ839)</f>
        <v>#VALUE!</v>
      </c>
      <c r="BB839" s="447"/>
    </row>
    <row r="840" spans="1:54" s="446" customFormat="1" ht="11.25" hidden="1" customHeight="1" x14ac:dyDescent="0.2">
      <c r="A840" s="235"/>
      <c r="B840" s="236"/>
      <c r="C840" s="29" t="str">
        <f>IF(B840="","",IF($L$709=$BL$25,VLOOKUP(DATE(YEAR($D$19),MONTH($D$19)-1,1),ÍNDICES!$A:$DE,HLOOKUP($BL$25,ÍNDICES!$B$3:$T$4,2)+11)-VLOOKUP(B840,ÍNDICES!$A:$DE,HLOOKUP($BL$25,ÍNDICES!$B$3:$T$4,2)+11)+1%,IF(C$712=$W$26,$J$35,IF(ISERROR(IF(B840&gt;$D$19,1,VLOOKUP(DATE(YEAR(B840),MONTH(B840)+IF($C$709=$S$23,1,0),1),ÍNDICES!$A:$DE,$Z$709+1))),"",IF(B840&gt;$D$19,1,VLOOKUP(DATE(YEAR(B840),MONTH(B840)+IF($C$709=$S$23,1,0),1),ÍNDICES!$A:$DE,$Z$709+1))))))</f>
        <v/>
      </c>
      <c r="D840" s="155"/>
      <c r="E840" s="88"/>
      <c r="F840" s="88"/>
      <c r="G840" s="88"/>
      <c r="H840" s="118"/>
      <c r="I840" s="182">
        <f t="shared" si="122"/>
        <v>0</v>
      </c>
      <c r="J840" s="20">
        <f t="shared" ca="1" si="123"/>
        <v>0</v>
      </c>
      <c r="K840" s="5">
        <f t="shared" ca="1" si="124"/>
        <v>0</v>
      </c>
      <c r="L840" s="61">
        <f t="shared" ca="1" si="125"/>
        <v>0</v>
      </c>
      <c r="M840" s="64">
        <f t="shared" si="126"/>
        <v>0</v>
      </c>
      <c r="N840" s="151"/>
      <c r="O840" s="5">
        <f t="shared" ca="1" si="127"/>
        <v>0</v>
      </c>
      <c r="P840" s="446" t="e">
        <f t="shared" si="128"/>
        <v>#VALUE!</v>
      </c>
      <c r="Q840" s="446" t="e">
        <f>IF(OR($B840="",MIN(Q$38,$D$19)&lt;MAX($P$708*($B840+IF($R$17="Distrato",$I$38-1,0)),IF(AND($L$711=0,$P$708=0),"",$L$711-1),IF($R$17="Distrato",$E840,0))),0,YEARFRAC(MAX($P$708*($B840+IF($R$17="Distrato",$I$38-1,0)),IF(AND($L$711=0,$P$708=0),"",$L$711-1),IF($R$17="Distrato",$E840,0)),MIN(Q$38,$D$19),$P$20))-SUM($P840:P840)</f>
        <v>#VALUE!</v>
      </c>
      <c r="R840" s="446" t="e">
        <f>IF(OR($B840="",MIN(R$38,$D$19)&lt;MAX($P$708*($B840+IF($R$17="Distrato",$I$38-1,0)),IF(AND($L$711=0,$P$708=0),"",$L$711-1),IF($R$17="Distrato",$E840,0))),0,YEARFRAC(MAX($P$708*($B840+IF($R$17="Distrato",$I$38-1,0)),IF(AND($L$711=0,$P$708=0),"",$L$711-1),IF($R$17="Distrato",$E840,0)),MIN(R$38,$D$19),$P$20))-SUM($P840:Q840)</f>
        <v>#VALUE!</v>
      </c>
      <c r="S840" s="446" t="e">
        <f>IF(OR($B840="",MIN(S$38,$D$19)&lt;MAX($P$708*($B840+IF($R$17="Distrato",$I$38-1,0)),IF(AND($L$711=0,$P$708=0),"",$L$711-1),IF($R$17="Distrato",$E840,0))),0,YEARFRAC(MAX($P$708*($B840+IF($R$17="Distrato",$I$38-1,0)),IF(AND($L$711=0,$P$708=0),"",$L$711-1),IF($R$17="Distrato",$E840,0)),MIN(S$38,$D$19),$P$20))-SUM($P840:R840)</f>
        <v>#VALUE!</v>
      </c>
      <c r="T840" s="446" t="e">
        <f>IF(OR($B840="",MIN(T$38,$D$19)&lt;MAX($P$708*($B840+IF($R$17="Distrato",$I$38-1,0)),IF(AND($L$711=0,$P$708=0),"",$L$711-1),IF($R$17="Distrato",$E840,0))),0,YEARFRAC(MAX($P$708*($B840+IF($R$17="Distrato",$I$38-1,0)),IF(AND($L$711=0,$P$708=0),"",$L$711-1),IF($R$17="Distrato",$E840,0)),MIN(T$38,$D$19),$P$20))-SUM($P840:S840)</f>
        <v>#VALUE!</v>
      </c>
      <c r="U840" s="446" t="e">
        <f>IF(OR($B840="",MIN(U$38,$D$19)&lt;MAX($P$708*($B840+IF($R$17="Distrato",$I$38-1,0)),IF(AND($L$711=0,$P$708=0),"",$L$711-1),IF($R$17="Distrato",$E840,0))),0,YEARFRAC(MAX($P$708*($B840+IF($R$17="Distrato",$I$38-1,0)),IF(AND($L$711=0,$P$708=0),"",$L$711-1),IF($R$17="Distrato",$E840,0)),MIN(U$38,$D$19),$P$20))-SUM($P840:T840)</f>
        <v>#VALUE!</v>
      </c>
      <c r="V840" s="446" t="e">
        <f>IF(OR($B840="",MIN(V$38,$D$19)&lt;MAX($P$708*($B840+IF($R$17="Distrato",$I$38-1,0)),IF(AND($L$711=0,$P$708=0),"",$L$711-1),IF($R$17="Distrato",$E840,0))),0,YEARFRAC(MAX($P$708*($B840+IF($R$17="Distrato",$I$38-1,0)),IF(AND($L$711=0,$P$708=0),"",$L$711-1),IF($R$17="Distrato",$E840,0)),MIN(V$38,$D$19),$P$20))-SUM($P840:U840)</f>
        <v>#VALUE!</v>
      </c>
      <c r="W840" s="446" t="e">
        <f>IF(OR($B840="",MIN(W$38,$D$19)&lt;MAX($P$708*($B840+IF($R$17="Distrato",$I$38-1,0)),IF(AND($L$711=0,$P$708=0),"",$L$711-1),IF($R$17="Distrato",$E840,0))),0,YEARFRAC(MAX($P$708*($B840+IF($R$17="Distrato",$I$38-1,0)),IF(AND($L$711=0,$P$708=0),"",$L$711-1),IF($R$17="Distrato",$E840,0)),MIN(W$38,$D$19),$P$20))-SUM($P840:V840)</f>
        <v>#VALUE!</v>
      </c>
      <c r="X840" s="446" t="e">
        <f>IF(OR($B840="",MIN(X$38,$D$19)&lt;MAX($P$708*($B840+IF($R$17="Distrato",$I$38-1,0)),IF(AND($L$711=0,$P$708=0),"",$L$711-1),IF($R$17="Distrato",$E840,0))),0,YEARFRAC(MAX($P$708*($B840+IF($R$17="Distrato",$I$38-1,0)),IF(AND($L$711=0,$P$708=0),"",$L$711-1),IF($R$17="Distrato",$E840,0)),MIN(X$38,$D$19),$P$20))-SUM($P840:W840)</f>
        <v>#VALUE!</v>
      </c>
      <c r="Y840" s="446" t="e">
        <f>IF(OR($B840="",MIN(Y$38,$D$19)&lt;MAX($P$708*($B840+IF($R$17="Distrato",$I$38-1,0)),IF(AND($L$711=0,$P$708=0),"",$L$711-1),IF($R$17="Distrato",$E840,0))),0,YEARFRAC(MAX($P$708*($B840+IF($R$17="Distrato",$I$38-1,0)),IF(AND($L$711=0,$P$708=0),"",$L$711-1),IF($R$17="Distrato",$E840,0)),MIN(Y$38,$D$19),$P$20))-SUM($P840:X840)</f>
        <v>#VALUE!</v>
      </c>
      <c r="Z840" s="446" t="e">
        <f>IF(OR($B840="",MIN(Z$38,$D$19)&lt;MAX($P$708*($B840+IF($R$17="Distrato",$I$38-1,0)),IF(AND($L$711=0,$P$708=0),"",$L$711-1),IF($R$17="Distrato",$E840,0))),0,YEARFRAC(MAX($P$708*($B840+IF($R$17="Distrato",$I$38-1,0)),IF(AND($L$711=0,$P$708=0),"",$L$711-1),IF($R$17="Distrato",$E840,0)),MIN(Z$38,$D$19),$P$20))-SUM($P840:Y840)</f>
        <v>#VALUE!</v>
      </c>
      <c r="AA840" s="446" t="e">
        <f>IF(OR($B840="",MIN(AA$38,$D$19)&lt;MAX($P$708*($B840+IF($R$17="Distrato",$I$38-1,0)),IF(AND($L$711=0,$P$708=0),"",$L$711-1),IF($R$17="Distrato",$E840,0))),0,YEARFRAC(MAX($P$708*($B840+IF($R$17="Distrato",$I$38-1,0)),IF(AND($L$711=0,$P$708=0),"",$L$711-1),IF($R$17="Distrato",$E840,0)),MIN(AA$38,$D$19),$P$20))-SUM($P840:Z840)</f>
        <v>#VALUE!</v>
      </c>
      <c r="AB840" s="446" t="e">
        <f>IF(OR($B840="",MIN(AB$38,$D$19)&lt;MAX($P$708*($B840+IF($R$17="Distrato",$I$38-1,0)),IF(AND($L$711=0,$P$708=0),"",$L$711-1),IF($R$17="Distrato",$E840,0))),0,YEARFRAC(MAX($P$708*($B840+IF($R$17="Distrato",$I$38-1,0)),IF(AND($L$711=0,$P$708=0),"",$L$711-1),IF($R$17="Distrato",$E840,0)),MIN(AB$38,$D$19),$P$20))-SUM($P840:AA840)</f>
        <v>#VALUE!</v>
      </c>
      <c r="AC840" s="446" t="e">
        <f>IF(OR($B840="",MIN(AC$38,$D$19)&lt;MAX($P$708*($B840+IF($R$17="Distrato",$I$38-1,0)),IF(AND($L$711=0,$P$708=0),"",$L$711-1),IF($R$17="Distrato",$E840,0))),0,YEARFRAC(MAX($P$708*($B840+IF($R$17="Distrato",$I$38-1,0)),IF(AND($L$711=0,$P$708=0),"",$L$711-1),IF($R$17="Distrato",$E840,0)),MIN(AC$38,$D$19),$P$20))-SUM($P840:AB840)</f>
        <v>#VALUE!</v>
      </c>
      <c r="AD840" s="446" t="e">
        <f>IF(OR($B840="",MIN(AD$38,$D$19)&lt;MAX($P$708*($B840+IF($R$17="Distrato",$I$38-1,0)),IF(AND($L$711=0,$P$708=0),"",$L$711-1),IF($R$17="Distrato",$E840,0))),0,YEARFRAC(MAX($P$708*($B840+IF($R$17="Distrato",$I$38-1,0)),IF(AND($L$711=0,$P$708=0),"",$L$711-1),IF($R$17="Distrato",$E840,0)),MIN(AD$38,$D$19),$P$20))-SUM($P840:AC840)</f>
        <v>#VALUE!</v>
      </c>
      <c r="AE840" s="446" t="e">
        <f>IF(OR($B840="",MIN(AE$38,$D$19)&lt;MAX($P$708*($B840+IF($R$17="Distrato",$I$38-1,0)),IF(AND($L$711=0,$P$708=0),"",$L$711-1),IF($R$17="Distrato",$E840,0))),0,YEARFRAC(MAX($P$708*($B840+IF($R$17="Distrato",$I$38-1,0)),IF(AND($L$711=0,$P$708=0),"",$L$711-1),IF($R$17="Distrato",$E840,0)),MIN(AE$38,$D$19),$P$20))-SUM($P840:AD840)</f>
        <v>#VALUE!</v>
      </c>
      <c r="AF840" s="446" t="e">
        <f>IF(OR($B840="",MIN(AF$38,$D$19)&lt;MAX($P$708*($B840+IF($R$17="Distrato",$I$38-1,0)),IF(AND($L$711=0,$P$708=0),"",$L$711-1),IF($R$17="Distrato",$E840,0))),0,YEARFRAC(MAX($P$708*($B840+IF($R$17="Distrato",$I$38-1,0)),IF(AND($L$711=0,$P$708=0),"",$L$711-1),IF($R$17="Distrato",$E840,0)),MIN(AF$38,$D$19),$P$20))-SUM($P840:AE840)</f>
        <v>#VALUE!</v>
      </c>
      <c r="AG840" s="446" t="e">
        <f>IF(OR($B840="",MIN(AG$38,$D$19)&lt;MAX($P$708*($B840+IF($R$17="Distrato",$I$38-1,0)),IF(AND($L$711=0,$P$708=0),"",$L$711-1),IF($R$17="Distrato",$E840,0))),0,YEARFRAC(MAX($P$708*($B840+IF($R$17="Distrato",$I$38-1,0)),IF(AND($L$711=0,$P$708=0),"",$L$711-1),IF($R$17="Distrato",$E840,0)),MIN(AG$38,$D$19),$P$20))-SUM($P840:AF840)</f>
        <v>#VALUE!</v>
      </c>
      <c r="AH840" s="446" t="e">
        <f>IF(OR($B840="",MIN(AH$38,$D$19)&lt;MAX($P$708*($B840+IF($R$17="Distrato",$I$38-1,0)),IF(AND($L$711=0,$P$708=0),"",$L$711-1),IF($R$17="Distrato",$E840,0))),0,YEARFRAC(MAX($P$708*($B840+IF($R$17="Distrato",$I$38-1,0)),IF(AND($L$711=0,$P$708=0),"",$L$711-1),IF($R$17="Distrato",$E840,0)),MIN(AH$38,$D$19),$P$20))-SUM($P840:AG840)</f>
        <v>#VALUE!</v>
      </c>
      <c r="AI840" s="446" t="e">
        <f>IF(OR($B840="",MIN(AI$38,$D$19)&lt;MAX($P$708*($B840+IF($R$17="Distrato",$I$38-1,0)),IF(AND($L$711=0,$P$708=0),"",$L$711-1),IF($R$17="Distrato",$E840,0))),0,YEARFRAC(MAX($P$708*($B840+IF($R$17="Distrato",$I$38-1,0)),IF(AND($L$711=0,$P$708=0),"",$L$711-1),IF($R$17="Distrato",$E840,0)),MIN(AI$38,$D$19),$P$20))-SUM($P840:AH840)</f>
        <v>#VALUE!</v>
      </c>
      <c r="AJ840" s="446" t="e">
        <f>IF(OR($B840="",MIN(AJ$38,$D$19)&lt;MAX($P$708*($B840+IF($R$17="Distrato",$I$38-1,0)),IF(AND($L$711=0,$P$708=0),"",$L$711-1),IF($R$17="Distrato",$E840,0))),0,YEARFRAC(MAX($P$708*($B840+IF($R$17="Distrato",$I$38-1,0)),IF(AND($L$711=0,$P$708=0),"",$L$711-1),IF($R$17="Distrato",$E840,0)),MIN(AJ$38,$D$19),$P$20))-SUM($P840:AI840)</f>
        <v>#VALUE!</v>
      </c>
      <c r="AK840" s="446" t="e">
        <f>IF(OR($B840="",MIN(AK$38,$D$19)&lt;MAX($P$708*($B840+IF($R$17="Distrato",$I$38-1,0)),IF(AND($L$711=0,$P$708=0),"",$L$711-1),IF($R$17="Distrato",$E840,0))),0,YEARFRAC(MAX($P$708*($B840+IF($R$17="Distrato",$I$38-1,0)),IF(AND($L$711=0,$P$708=0),"",$L$711-1),IF($R$17="Distrato",$E840,0)),MIN(AK$38,$D$19),$P$20))-SUM($P840:AJ840)</f>
        <v>#VALUE!</v>
      </c>
      <c r="AL840" s="446" t="e">
        <f>IF(OR($B840="",MIN(AL$38,$D$19)&lt;MAX($P$708*($B840+IF($R$17="Distrato",$I$38-1,0)),IF(AND($L$711=0,$P$708=0),"",$L$711-1),IF($R$17="Distrato",$E840,0))),0,YEARFRAC(MAX($P$708*($B840+IF($R$17="Distrato",$I$38-1,0)),IF(AND($L$711=0,$P$708=0),"",$L$711-1),IF($R$17="Distrato",$E840,0)),MIN(AL$38,$D$19),$P$20))-SUM($P840:AK840)</f>
        <v>#VALUE!</v>
      </c>
      <c r="AM840" s="446" t="e">
        <f>IF(OR($B840="",MIN(AM$38,$D$19)&lt;MAX($P$708*($B840+IF($R$17="Distrato",$I$38-1,0)),IF(AND($L$711=0,$P$708=0),"",$L$711-1),IF($R$17="Distrato",$E840,0))),0,YEARFRAC(MAX($P$708*($B840+IF($R$17="Distrato",$I$38-1,0)),IF(AND($L$711=0,$P$708=0),"",$L$711-1),IF($R$17="Distrato",$E840,0)),MIN(AM$38,$D$19),$P$20))-SUM($P840:AL840)</f>
        <v>#VALUE!</v>
      </c>
      <c r="AN840" s="446" t="e">
        <f>IF(OR($B840="",MIN(AN$38,$D$19)&lt;MAX($P$708*($B840+IF($R$17="Distrato",$I$38-1,0)),IF(AND($L$711=0,$P$708=0),"",$L$711-1),IF($R$17="Distrato",$E840,0))),0,YEARFRAC(MAX($P$708*($B840+IF($R$17="Distrato",$I$38-1,0)),IF(AND($L$711=0,$P$708=0),"",$L$711-1),IF($R$17="Distrato",$E840,0)),MIN(AN$38,$D$19),$P$20))-SUM($P840:AM840)</f>
        <v>#VALUE!</v>
      </c>
      <c r="AO840" s="446" t="e">
        <f>IF(OR($B840="",MIN(AO$38,$D$19)&lt;MAX($P$708*($B840+IF($R$17="Distrato",$I$38-1,0)),IF(AND($L$711=0,$P$708=0),"",$L$711-1),IF($R$17="Distrato",$E840,0))),0,YEARFRAC(MAX($P$708*($B840+IF($R$17="Distrato",$I$38-1,0)),IF(AND($L$711=0,$P$708=0),"",$L$711-1),IF($R$17="Distrato",$E840,0)),MIN(AO$38,$D$19),$P$20))-SUM($P840:AN840)</f>
        <v>#VALUE!</v>
      </c>
      <c r="AP840" s="446" t="e">
        <f>IF(OR($B840="",MIN(AP$38,$D$19)&lt;MAX($P$708*($B840+IF($R$17="Distrato",$I$38-1,0)),IF(AND($L$711=0,$P$708=0),"",$L$711-1),IF($R$17="Distrato",$E840,0))),0,YEARFRAC(MAX($P$708*($B840+IF($R$17="Distrato",$I$38-1,0)),IF(AND($L$711=0,$P$708=0),"",$L$711-1),IF($R$17="Distrato",$E840,0)),MIN(AP$38,$D$19),$P$20))-SUM($P840:AO840)</f>
        <v>#VALUE!</v>
      </c>
      <c r="AQ840" s="446" t="e">
        <f>IF(OR($B840="",MIN(AQ$38,$D$19)&lt;MAX($P$708*($B840+IF($R$17="Distrato",$I$38-1,0)),IF(AND($L$711=0,$P$708=0),"",$L$711-1),IF($R$17="Distrato",$E840,0))),0,YEARFRAC(MAX($P$708*($B840+IF($R$17="Distrato",$I$38-1,0)),IF(AND($L$711=0,$P$708=0),"",$L$711-1),IF($R$17="Distrato",$E840,0)),MIN(AQ$38,$D$19),$P$20))-SUM($P840:AP840)</f>
        <v>#VALUE!</v>
      </c>
      <c r="AR840" s="446" t="e">
        <f>IF(OR($B840="",MIN(AR$38,$D$19)&lt;MAX($P$708*($B840+IF($R$17="Distrato",$I$38-1,0)),IF(AND($L$711=0,$P$708=0),"",$L$711-1),IF($R$17="Distrato",$E840,0))),0,YEARFRAC(MAX($P$708*($B840+IF($R$17="Distrato",$I$38-1,0)),IF(AND($L$711=0,$P$708=0),"",$L$711-1),IF($R$17="Distrato",$E840,0)),MIN(AR$38,$D$19),$P$20))-SUM($P840:AQ840)</f>
        <v>#VALUE!</v>
      </c>
      <c r="AS840" s="446" t="e">
        <f>IF(OR($B840="",MIN(AS$38,$D$19)&lt;MAX($P$708*($B840+IF($R$17="Distrato",$I$38-1,0)),IF(AND($L$711=0,$P$708=0),"",$L$711-1),IF($R$17="Distrato",$E840,0))),0,YEARFRAC(MAX($P$708*($B840+IF($R$17="Distrato",$I$38-1,0)),IF(AND($L$711=0,$P$708=0),"",$L$711-1),IF($R$17="Distrato",$E840,0)),MIN(AS$38,$D$19),$P$20))-SUM($P840:AR840)</f>
        <v>#VALUE!</v>
      </c>
      <c r="AT840" s="446" t="e">
        <f>IF(OR($B840="",MIN(AT$38,$D$19)&lt;MAX($P$708*($B840+IF($R$17="Distrato",$I$38-1,0)),IF(AND($L$711=0,$P$708=0),"",$L$711-1),IF($R$17="Distrato",$E840,0))),0,YEARFRAC(MAX($P$708*($B840+IF($R$17="Distrato",$I$38-1,0)),IF(AND($L$711=0,$P$708=0),"",$L$711-1),IF($R$17="Distrato",$E840,0)),MIN(AT$38,$D$19),$P$20))-SUM($P840:AS840)</f>
        <v>#VALUE!</v>
      </c>
      <c r="AU840" s="446" t="e">
        <f>IF(OR($B840="",MIN(AU$38,$D$19)&lt;MAX($P$708*($B840+IF($R$17="Distrato",$I$38-1,0)),IF(AND($L$711=0,$P$708=0),"",$L$711-1),IF($R$17="Distrato",$E840,0))),0,YEARFRAC(MAX($P$708*($B840+IF($R$17="Distrato",$I$38-1,0)),IF(AND($L$711=0,$P$708=0),"",$L$711-1),IF($R$17="Distrato",$E840,0)),MIN(AU$38,$D$19),$P$20))-SUM($P840:AT840)</f>
        <v>#VALUE!</v>
      </c>
      <c r="AV840" s="446" t="e">
        <f>IF(OR($B840="",MIN(AV$38,$D$19)&lt;MAX($P$708*($B840+IF($R$17="Distrato",$I$38-1,0)),IF(AND($L$711=0,$P$708=0),"",$L$711-1),IF($R$17="Distrato",$E840,0))),0,YEARFRAC(MAX($P$708*($B840+IF($R$17="Distrato",$I$38-1,0)),IF(AND($L$711=0,$P$708=0),"",$L$711-1),IF($R$17="Distrato",$E840,0)),MIN(AV$38,$D$19),$P$20))-SUM($P840:AU840)</f>
        <v>#VALUE!</v>
      </c>
      <c r="AW840" s="446" t="e">
        <f>IF(OR($B840="",MIN(AW$38,$D$19)&lt;MAX($P$708*($B840+IF($R$17="Distrato",$I$38-1,0)),IF(AND($L$711=0,$P$708=0),"",$L$711-1),IF($R$17="Distrato",$E840,0))),0,YEARFRAC(MAX($P$708*($B840+IF($R$17="Distrato",$I$38-1,0)),IF(AND($L$711=0,$P$708=0),"",$L$711-1),IF($R$17="Distrato",$E840,0)),MIN(AW$38,$D$19),$P$20))-SUM($P840:AV840)</f>
        <v>#VALUE!</v>
      </c>
      <c r="AX840" s="446" t="e">
        <f>IF(OR($B840="",MIN(AX$38,$D$19)&lt;MAX($P$708*($B840+IF($R$17="Distrato",$I$38-1,0)),IF(AND($L$711=0,$P$708=0),"",$L$711-1),IF($R$17="Distrato",$E840,0))),0,YEARFRAC(MAX($P$708*($B840+IF($R$17="Distrato",$I$38-1,0)),IF(AND($L$711=0,$P$708=0),"",$L$711-1),IF($R$17="Distrato",$E840,0)),MIN(AX$38,$D$19),$P$20))-SUM($P840:AW840)</f>
        <v>#VALUE!</v>
      </c>
      <c r="AY840" s="446" t="e">
        <f>IF(OR($B840="",MIN(AY$38,$D$19)&lt;MAX($P$708*($B840+IF($R$17="Distrato",$I$38-1,0)),IF(AND($L$711=0,$P$708=0),"",$L$711-1),IF($R$17="Distrato",$E840,0))),0,YEARFRAC(MAX($P$708*($B840+IF($R$17="Distrato",$I$38-1,0)),IF(AND($L$711=0,$P$708=0),"",$L$711-1),IF($R$17="Distrato",$E840,0)),MIN(AY$38,$D$19),$P$20))-SUM($P840:AX840)</f>
        <v>#VALUE!</v>
      </c>
      <c r="AZ840" s="446" t="e">
        <f>IF(OR($B840="",MIN(AZ$38,$D$19)&lt;MAX($P$708*($B840+IF($R$17="Distrato",$I$38-1,0)),IF(AND($L$711=0,$P$708=0),"",$L$711-1),IF($R$17="Distrato",$E840,0))),0,YEARFRAC(MAX($P$708*($B840+IF($R$17="Distrato",$I$38-1,0)),IF(AND($L$711=0,$P$708=0),"",$L$711-1),IF($R$17="Distrato",$E840,0)),MIN(AZ$38,$D$19),$P$20))-SUM($P840:AY840)</f>
        <v>#VALUE!</v>
      </c>
      <c r="BA840" s="446" t="e">
        <f>IF(OR($B840="",MIN(BA$38,$D$19)&lt;MAX($P$708*($B840+IF($R$17="Distrato",$I$38-1,0)),IF(AND($L$711=0,$P$708=0),"",$L$711-1),IF($R$17="Distrato",$E840,0))),0,YEARFRAC(MAX($P$708*($B840+IF($R$17="Distrato",$I$38-1,0)),IF(AND($L$711=0,$P$708=0),"",$L$711-1),IF($R$17="Distrato",$E840,0)),MIN(BA$38,$D$19),$P$20))-SUM($P840:AZ840)</f>
        <v>#VALUE!</v>
      </c>
      <c r="BB840" s="447"/>
    </row>
    <row r="841" spans="1:54" s="446" customFormat="1" ht="11.25" hidden="1" customHeight="1" x14ac:dyDescent="0.2">
      <c r="A841" s="235"/>
      <c r="B841" s="236"/>
      <c r="C841" s="29" t="str">
        <f>IF(B841="","",IF($L$709=$BL$25,VLOOKUP(DATE(YEAR($D$19),MONTH($D$19)-1,1),ÍNDICES!$A:$DE,HLOOKUP($BL$25,ÍNDICES!$B$3:$T$4,2)+11)-VLOOKUP(B841,ÍNDICES!$A:$DE,HLOOKUP($BL$25,ÍNDICES!$B$3:$T$4,2)+11)+1%,IF(C$712=$W$26,$J$35,IF(ISERROR(IF(B841&gt;$D$19,1,VLOOKUP(DATE(YEAR(B841),MONTH(B841)+IF($C$709=$S$23,1,0),1),ÍNDICES!$A:$DE,$Z$709+1))),"",IF(B841&gt;$D$19,1,VLOOKUP(DATE(YEAR(B841),MONTH(B841)+IF($C$709=$S$23,1,0),1),ÍNDICES!$A:$DE,$Z$709+1))))))</f>
        <v/>
      </c>
      <c r="D841" s="155"/>
      <c r="E841" s="88"/>
      <c r="F841" s="88"/>
      <c r="G841" s="88"/>
      <c r="H841" s="118"/>
      <c r="I841" s="182">
        <f t="shared" si="122"/>
        <v>0</v>
      </c>
      <c r="J841" s="20">
        <f t="shared" ca="1" si="123"/>
        <v>0</v>
      </c>
      <c r="K841" s="5">
        <f t="shared" ca="1" si="124"/>
        <v>0</v>
      </c>
      <c r="L841" s="61">
        <f t="shared" ca="1" si="125"/>
        <v>0</v>
      </c>
      <c r="M841" s="64">
        <f t="shared" si="126"/>
        <v>0</v>
      </c>
      <c r="N841" s="151"/>
      <c r="O841" s="5">
        <f t="shared" ca="1" si="127"/>
        <v>0</v>
      </c>
      <c r="P841" s="446" t="e">
        <f t="shared" si="128"/>
        <v>#VALUE!</v>
      </c>
      <c r="Q841" s="446" t="e">
        <f>IF(OR($B841="",MIN(Q$38,$D$19)&lt;MAX($P$708*($B841+IF($R$17="Distrato",$I$38-1,0)),IF(AND($L$711=0,$P$708=0),"",$L$711-1),IF($R$17="Distrato",$E841,0))),0,YEARFRAC(MAX($P$708*($B841+IF($R$17="Distrato",$I$38-1,0)),IF(AND($L$711=0,$P$708=0),"",$L$711-1),IF($R$17="Distrato",$E841,0)),MIN(Q$38,$D$19),$P$20))-SUM($P841:P841)</f>
        <v>#VALUE!</v>
      </c>
      <c r="R841" s="446" t="e">
        <f>IF(OR($B841="",MIN(R$38,$D$19)&lt;MAX($P$708*($B841+IF($R$17="Distrato",$I$38-1,0)),IF(AND($L$711=0,$P$708=0),"",$L$711-1),IF($R$17="Distrato",$E841,0))),0,YEARFRAC(MAX($P$708*($B841+IF($R$17="Distrato",$I$38-1,0)),IF(AND($L$711=0,$P$708=0),"",$L$711-1),IF($R$17="Distrato",$E841,0)),MIN(R$38,$D$19),$P$20))-SUM($P841:Q841)</f>
        <v>#VALUE!</v>
      </c>
      <c r="S841" s="446" t="e">
        <f>IF(OR($B841="",MIN(S$38,$D$19)&lt;MAX($P$708*($B841+IF($R$17="Distrato",$I$38-1,0)),IF(AND($L$711=0,$P$708=0),"",$L$711-1),IF($R$17="Distrato",$E841,0))),0,YEARFRAC(MAX($P$708*($B841+IF($R$17="Distrato",$I$38-1,0)),IF(AND($L$711=0,$P$708=0),"",$L$711-1),IF($R$17="Distrato",$E841,0)),MIN(S$38,$D$19),$P$20))-SUM($P841:R841)</f>
        <v>#VALUE!</v>
      </c>
      <c r="T841" s="446" t="e">
        <f>IF(OR($B841="",MIN(T$38,$D$19)&lt;MAX($P$708*($B841+IF($R$17="Distrato",$I$38-1,0)),IF(AND($L$711=0,$P$708=0),"",$L$711-1),IF($R$17="Distrato",$E841,0))),0,YEARFRAC(MAX($P$708*($B841+IF($R$17="Distrato",$I$38-1,0)),IF(AND($L$711=0,$P$708=0),"",$L$711-1),IF($R$17="Distrato",$E841,0)),MIN(T$38,$D$19),$P$20))-SUM($P841:S841)</f>
        <v>#VALUE!</v>
      </c>
      <c r="U841" s="446" t="e">
        <f>IF(OR($B841="",MIN(U$38,$D$19)&lt;MAX($P$708*($B841+IF($R$17="Distrato",$I$38-1,0)),IF(AND($L$711=0,$P$708=0),"",$L$711-1),IF($R$17="Distrato",$E841,0))),0,YEARFRAC(MAX($P$708*($B841+IF($R$17="Distrato",$I$38-1,0)),IF(AND($L$711=0,$P$708=0),"",$L$711-1),IF($R$17="Distrato",$E841,0)),MIN(U$38,$D$19),$P$20))-SUM($P841:T841)</f>
        <v>#VALUE!</v>
      </c>
      <c r="V841" s="446" t="e">
        <f>IF(OR($B841="",MIN(V$38,$D$19)&lt;MAX($P$708*($B841+IF($R$17="Distrato",$I$38-1,0)),IF(AND($L$711=0,$P$708=0),"",$L$711-1),IF($R$17="Distrato",$E841,0))),0,YEARFRAC(MAX($P$708*($B841+IF($R$17="Distrato",$I$38-1,0)),IF(AND($L$711=0,$P$708=0),"",$L$711-1),IF($R$17="Distrato",$E841,0)),MIN(V$38,$D$19),$P$20))-SUM($P841:U841)</f>
        <v>#VALUE!</v>
      </c>
      <c r="W841" s="446" t="e">
        <f>IF(OR($B841="",MIN(W$38,$D$19)&lt;MAX($P$708*($B841+IF($R$17="Distrato",$I$38-1,0)),IF(AND($L$711=0,$P$708=0),"",$L$711-1),IF($R$17="Distrato",$E841,0))),0,YEARFRAC(MAX($P$708*($B841+IF($R$17="Distrato",$I$38-1,0)),IF(AND($L$711=0,$P$708=0),"",$L$711-1),IF($R$17="Distrato",$E841,0)),MIN(W$38,$D$19),$P$20))-SUM($P841:V841)</f>
        <v>#VALUE!</v>
      </c>
      <c r="X841" s="446" t="e">
        <f>IF(OR($B841="",MIN(X$38,$D$19)&lt;MAX($P$708*($B841+IF($R$17="Distrato",$I$38-1,0)),IF(AND($L$711=0,$P$708=0),"",$L$711-1),IF($R$17="Distrato",$E841,0))),0,YEARFRAC(MAX($P$708*($B841+IF($R$17="Distrato",$I$38-1,0)),IF(AND($L$711=0,$P$708=0),"",$L$711-1),IF($R$17="Distrato",$E841,0)),MIN(X$38,$D$19),$P$20))-SUM($P841:W841)</f>
        <v>#VALUE!</v>
      </c>
      <c r="Y841" s="446" t="e">
        <f>IF(OR($B841="",MIN(Y$38,$D$19)&lt;MAX($P$708*($B841+IF($R$17="Distrato",$I$38-1,0)),IF(AND($L$711=0,$P$708=0),"",$L$711-1),IF($R$17="Distrato",$E841,0))),0,YEARFRAC(MAX($P$708*($B841+IF($R$17="Distrato",$I$38-1,0)),IF(AND($L$711=0,$P$708=0),"",$L$711-1),IF($R$17="Distrato",$E841,0)),MIN(Y$38,$D$19),$P$20))-SUM($P841:X841)</f>
        <v>#VALUE!</v>
      </c>
      <c r="Z841" s="446" t="e">
        <f>IF(OR($B841="",MIN(Z$38,$D$19)&lt;MAX($P$708*($B841+IF($R$17="Distrato",$I$38-1,0)),IF(AND($L$711=0,$P$708=0),"",$L$711-1),IF($R$17="Distrato",$E841,0))),0,YEARFRAC(MAX($P$708*($B841+IF($R$17="Distrato",$I$38-1,0)),IF(AND($L$711=0,$P$708=0),"",$L$711-1),IF($R$17="Distrato",$E841,0)),MIN(Z$38,$D$19),$P$20))-SUM($P841:Y841)</f>
        <v>#VALUE!</v>
      </c>
      <c r="AA841" s="446" t="e">
        <f>IF(OR($B841="",MIN(AA$38,$D$19)&lt;MAX($P$708*($B841+IF($R$17="Distrato",$I$38-1,0)),IF(AND($L$711=0,$P$708=0),"",$L$711-1),IF($R$17="Distrato",$E841,0))),0,YEARFRAC(MAX($P$708*($B841+IF($R$17="Distrato",$I$38-1,0)),IF(AND($L$711=0,$P$708=0),"",$L$711-1),IF($R$17="Distrato",$E841,0)),MIN(AA$38,$D$19),$P$20))-SUM($P841:Z841)</f>
        <v>#VALUE!</v>
      </c>
      <c r="AB841" s="446" t="e">
        <f>IF(OR($B841="",MIN(AB$38,$D$19)&lt;MAX($P$708*($B841+IF($R$17="Distrato",$I$38-1,0)),IF(AND($L$711=0,$P$708=0),"",$L$711-1),IF($R$17="Distrato",$E841,0))),0,YEARFRAC(MAX($P$708*($B841+IF($R$17="Distrato",$I$38-1,0)),IF(AND($L$711=0,$P$708=0),"",$L$711-1),IF($R$17="Distrato",$E841,0)),MIN(AB$38,$D$19),$P$20))-SUM($P841:AA841)</f>
        <v>#VALUE!</v>
      </c>
      <c r="AC841" s="446" t="e">
        <f>IF(OR($B841="",MIN(AC$38,$D$19)&lt;MAX($P$708*($B841+IF($R$17="Distrato",$I$38-1,0)),IF(AND($L$711=0,$P$708=0),"",$L$711-1),IF($R$17="Distrato",$E841,0))),0,YEARFRAC(MAX($P$708*($B841+IF($R$17="Distrato",$I$38-1,0)),IF(AND($L$711=0,$P$708=0),"",$L$711-1),IF($R$17="Distrato",$E841,0)),MIN(AC$38,$D$19),$P$20))-SUM($P841:AB841)</f>
        <v>#VALUE!</v>
      </c>
      <c r="AD841" s="446" t="e">
        <f>IF(OR($B841="",MIN(AD$38,$D$19)&lt;MAX($P$708*($B841+IF($R$17="Distrato",$I$38-1,0)),IF(AND($L$711=0,$P$708=0),"",$L$711-1),IF($R$17="Distrato",$E841,0))),0,YEARFRAC(MAX($P$708*($B841+IF($R$17="Distrato",$I$38-1,0)),IF(AND($L$711=0,$P$708=0),"",$L$711-1),IF($R$17="Distrato",$E841,0)),MIN(AD$38,$D$19),$P$20))-SUM($P841:AC841)</f>
        <v>#VALUE!</v>
      </c>
      <c r="AE841" s="446" t="e">
        <f>IF(OR($B841="",MIN(AE$38,$D$19)&lt;MAX($P$708*($B841+IF($R$17="Distrato",$I$38-1,0)),IF(AND($L$711=0,$P$708=0),"",$L$711-1),IF($R$17="Distrato",$E841,0))),0,YEARFRAC(MAX($P$708*($B841+IF($R$17="Distrato",$I$38-1,0)),IF(AND($L$711=0,$P$708=0),"",$L$711-1),IF($R$17="Distrato",$E841,0)),MIN(AE$38,$D$19),$P$20))-SUM($P841:AD841)</f>
        <v>#VALUE!</v>
      </c>
      <c r="AF841" s="446" t="e">
        <f>IF(OR($B841="",MIN(AF$38,$D$19)&lt;MAX($P$708*($B841+IF($R$17="Distrato",$I$38-1,0)),IF(AND($L$711=0,$P$708=0),"",$L$711-1),IF($R$17="Distrato",$E841,0))),0,YEARFRAC(MAX($P$708*($B841+IF($R$17="Distrato",$I$38-1,0)),IF(AND($L$711=0,$P$708=0),"",$L$711-1),IF($R$17="Distrato",$E841,0)),MIN(AF$38,$D$19),$P$20))-SUM($P841:AE841)</f>
        <v>#VALUE!</v>
      </c>
      <c r="AG841" s="446" t="e">
        <f>IF(OR($B841="",MIN(AG$38,$D$19)&lt;MAX($P$708*($B841+IF($R$17="Distrato",$I$38-1,0)),IF(AND($L$711=0,$P$708=0),"",$L$711-1),IF($R$17="Distrato",$E841,0))),0,YEARFRAC(MAX($P$708*($B841+IF($R$17="Distrato",$I$38-1,0)),IF(AND($L$711=0,$P$708=0),"",$L$711-1),IF($R$17="Distrato",$E841,0)),MIN(AG$38,$D$19),$P$20))-SUM($P841:AF841)</f>
        <v>#VALUE!</v>
      </c>
      <c r="AH841" s="446" t="e">
        <f>IF(OR($B841="",MIN(AH$38,$D$19)&lt;MAX($P$708*($B841+IF($R$17="Distrato",$I$38-1,0)),IF(AND($L$711=0,$P$708=0),"",$L$711-1),IF($R$17="Distrato",$E841,0))),0,YEARFRAC(MAX($P$708*($B841+IF($R$17="Distrato",$I$38-1,0)),IF(AND($L$711=0,$P$708=0),"",$L$711-1),IF($R$17="Distrato",$E841,0)),MIN(AH$38,$D$19),$P$20))-SUM($P841:AG841)</f>
        <v>#VALUE!</v>
      </c>
      <c r="AI841" s="446" t="e">
        <f>IF(OR($B841="",MIN(AI$38,$D$19)&lt;MAX($P$708*($B841+IF($R$17="Distrato",$I$38-1,0)),IF(AND($L$711=0,$P$708=0),"",$L$711-1),IF($R$17="Distrato",$E841,0))),0,YEARFRAC(MAX($P$708*($B841+IF($R$17="Distrato",$I$38-1,0)),IF(AND($L$711=0,$P$708=0),"",$L$711-1),IF($R$17="Distrato",$E841,0)),MIN(AI$38,$D$19),$P$20))-SUM($P841:AH841)</f>
        <v>#VALUE!</v>
      </c>
      <c r="AJ841" s="446" t="e">
        <f>IF(OR($B841="",MIN(AJ$38,$D$19)&lt;MAX($P$708*($B841+IF($R$17="Distrato",$I$38-1,0)),IF(AND($L$711=0,$P$708=0),"",$L$711-1),IF($R$17="Distrato",$E841,0))),0,YEARFRAC(MAX($P$708*($B841+IF($R$17="Distrato",$I$38-1,0)),IF(AND($L$711=0,$P$708=0),"",$L$711-1),IF($R$17="Distrato",$E841,0)),MIN(AJ$38,$D$19),$P$20))-SUM($P841:AI841)</f>
        <v>#VALUE!</v>
      </c>
      <c r="AK841" s="446" t="e">
        <f>IF(OR($B841="",MIN(AK$38,$D$19)&lt;MAX($P$708*($B841+IF($R$17="Distrato",$I$38-1,0)),IF(AND($L$711=0,$P$708=0),"",$L$711-1),IF($R$17="Distrato",$E841,0))),0,YEARFRAC(MAX($P$708*($B841+IF($R$17="Distrato",$I$38-1,0)),IF(AND($L$711=0,$P$708=0),"",$L$711-1),IF($R$17="Distrato",$E841,0)),MIN(AK$38,$D$19),$P$20))-SUM($P841:AJ841)</f>
        <v>#VALUE!</v>
      </c>
      <c r="AL841" s="446" t="e">
        <f>IF(OR($B841="",MIN(AL$38,$D$19)&lt;MAX($P$708*($B841+IF($R$17="Distrato",$I$38-1,0)),IF(AND($L$711=0,$P$708=0),"",$L$711-1),IF($R$17="Distrato",$E841,0))),0,YEARFRAC(MAX($P$708*($B841+IF($R$17="Distrato",$I$38-1,0)),IF(AND($L$711=0,$P$708=0),"",$L$711-1),IF($R$17="Distrato",$E841,0)),MIN(AL$38,$D$19),$P$20))-SUM($P841:AK841)</f>
        <v>#VALUE!</v>
      </c>
      <c r="AM841" s="446" t="e">
        <f>IF(OR($B841="",MIN(AM$38,$D$19)&lt;MAX($P$708*($B841+IF($R$17="Distrato",$I$38-1,0)),IF(AND($L$711=0,$P$708=0),"",$L$711-1),IF($R$17="Distrato",$E841,0))),0,YEARFRAC(MAX($P$708*($B841+IF($R$17="Distrato",$I$38-1,0)),IF(AND($L$711=0,$P$708=0),"",$L$711-1),IF($R$17="Distrato",$E841,0)),MIN(AM$38,$D$19),$P$20))-SUM($P841:AL841)</f>
        <v>#VALUE!</v>
      </c>
      <c r="AN841" s="446" t="e">
        <f>IF(OR($B841="",MIN(AN$38,$D$19)&lt;MAX($P$708*($B841+IF($R$17="Distrato",$I$38-1,0)),IF(AND($L$711=0,$P$708=0),"",$L$711-1),IF($R$17="Distrato",$E841,0))),0,YEARFRAC(MAX($P$708*($B841+IF($R$17="Distrato",$I$38-1,0)),IF(AND($L$711=0,$P$708=0),"",$L$711-1),IF($R$17="Distrato",$E841,0)),MIN(AN$38,$D$19),$P$20))-SUM($P841:AM841)</f>
        <v>#VALUE!</v>
      </c>
      <c r="AO841" s="446" t="e">
        <f>IF(OR($B841="",MIN(AO$38,$D$19)&lt;MAX($P$708*($B841+IF($R$17="Distrato",$I$38-1,0)),IF(AND($L$711=0,$P$708=0),"",$L$711-1),IF($R$17="Distrato",$E841,0))),0,YEARFRAC(MAX($P$708*($B841+IF($R$17="Distrato",$I$38-1,0)),IF(AND($L$711=0,$P$708=0),"",$L$711-1),IF($R$17="Distrato",$E841,0)),MIN(AO$38,$D$19),$P$20))-SUM($P841:AN841)</f>
        <v>#VALUE!</v>
      </c>
      <c r="AP841" s="446" t="e">
        <f>IF(OR($B841="",MIN(AP$38,$D$19)&lt;MAX($P$708*($B841+IF($R$17="Distrato",$I$38-1,0)),IF(AND($L$711=0,$P$708=0),"",$L$711-1),IF($R$17="Distrato",$E841,0))),0,YEARFRAC(MAX($P$708*($B841+IF($R$17="Distrato",$I$38-1,0)),IF(AND($L$711=0,$P$708=0),"",$L$711-1),IF($R$17="Distrato",$E841,0)),MIN(AP$38,$D$19),$P$20))-SUM($P841:AO841)</f>
        <v>#VALUE!</v>
      </c>
      <c r="AQ841" s="446" t="e">
        <f>IF(OR($B841="",MIN(AQ$38,$D$19)&lt;MAX($P$708*($B841+IF($R$17="Distrato",$I$38-1,0)),IF(AND($L$711=0,$P$708=0),"",$L$711-1),IF($R$17="Distrato",$E841,0))),0,YEARFRAC(MAX($P$708*($B841+IF($R$17="Distrato",$I$38-1,0)),IF(AND($L$711=0,$P$708=0),"",$L$711-1),IF($R$17="Distrato",$E841,0)),MIN(AQ$38,$D$19),$P$20))-SUM($P841:AP841)</f>
        <v>#VALUE!</v>
      </c>
      <c r="AR841" s="446" t="e">
        <f>IF(OR($B841="",MIN(AR$38,$D$19)&lt;MAX($P$708*($B841+IF($R$17="Distrato",$I$38-1,0)),IF(AND($L$711=0,$P$708=0),"",$L$711-1),IF($R$17="Distrato",$E841,0))),0,YEARFRAC(MAX($P$708*($B841+IF($R$17="Distrato",$I$38-1,0)),IF(AND($L$711=0,$P$708=0),"",$L$711-1),IF($R$17="Distrato",$E841,0)),MIN(AR$38,$D$19),$P$20))-SUM($P841:AQ841)</f>
        <v>#VALUE!</v>
      </c>
      <c r="AS841" s="446" t="e">
        <f>IF(OR($B841="",MIN(AS$38,$D$19)&lt;MAX($P$708*($B841+IF($R$17="Distrato",$I$38-1,0)),IF(AND($L$711=0,$P$708=0),"",$L$711-1),IF($R$17="Distrato",$E841,0))),0,YEARFRAC(MAX($P$708*($B841+IF($R$17="Distrato",$I$38-1,0)),IF(AND($L$711=0,$P$708=0),"",$L$711-1),IF($R$17="Distrato",$E841,0)),MIN(AS$38,$D$19),$P$20))-SUM($P841:AR841)</f>
        <v>#VALUE!</v>
      </c>
      <c r="AT841" s="446" t="e">
        <f>IF(OR($B841="",MIN(AT$38,$D$19)&lt;MAX($P$708*($B841+IF($R$17="Distrato",$I$38-1,0)),IF(AND($L$711=0,$P$708=0),"",$L$711-1),IF($R$17="Distrato",$E841,0))),0,YEARFRAC(MAX($P$708*($B841+IF($R$17="Distrato",$I$38-1,0)),IF(AND($L$711=0,$P$708=0),"",$L$711-1),IF($R$17="Distrato",$E841,0)),MIN(AT$38,$D$19),$P$20))-SUM($P841:AS841)</f>
        <v>#VALUE!</v>
      </c>
      <c r="AU841" s="446" t="e">
        <f>IF(OR($B841="",MIN(AU$38,$D$19)&lt;MAX($P$708*($B841+IF($R$17="Distrato",$I$38-1,0)),IF(AND($L$711=0,$P$708=0),"",$L$711-1),IF($R$17="Distrato",$E841,0))),0,YEARFRAC(MAX($P$708*($B841+IF($R$17="Distrato",$I$38-1,0)),IF(AND($L$711=0,$P$708=0),"",$L$711-1),IF($R$17="Distrato",$E841,0)),MIN(AU$38,$D$19),$P$20))-SUM($P841:AT841)</f>
        <v>#VALUE!</v>
      </c>
      <c r="AV841" s="446" t="e">
        <f>IF(OR($B841="",MIN(AV$38,$D$19)&lt;MAX($P$708*($B841+IF($R$17="Distrato",$I$38-1,0)),IF(AND($L$711=0,$P$708=0),"",$L$711-1),IF($R$17="Distrato",$E841,0))),0,YEARFRAC(MAX($P$708*($B841+IF($R$17="Distrato",$I$38-1,0)),IF(AND($L$711=0,$P$708=0),"",$L$711-1),IF($R$17="Distrato",$E841,0)),MIN(AV$38,$D$19),$P$20))-SUM($P841:AU841)</f>
        <v>#VALUE!</v>
      </c>
      <c r="AW841" s="446" t="e">
        <f>IF(OR($B841="",MIN(AW$38,$D$19)&lt;MAX($P$708*($B841+IF($R$17="Distrato",$I$38-1,0)),IF(AND($L$711=0,$P$708=0),"",$L$711-1),IF($R$17="Distrato",$E841,0))),0,YEARFRAC(MAX($P$708*($B841+IF($R$17="Distrato",$I$38-1,0)),IF(AND($L$711=0,$P$708=0),"",$L$711-1),IF($R$17="Distrato",$E841,0)),MIN(AW$38,$D$19),$P$20))-SUM($P841:AV841)</f>
        <v>#VALUE!</v>
      </c>
      <c r="AX841" s="446" t="e">
        <f>IF(OR($B841="",MIN(AX$38,$D$19)&lt;MAX($P$708*($B841+IF($R$17="Distrato",$I$38-1,0)),IF(AND($L$711=0,$P$708=0),"",$L$711-1),IF($R$17="Distrato",$E841,0))),0,YEARFRAC(MAX($P$708*($B841+IF($R$17="Distrato",$I$38-1,0)),IF(AND($L$711=0,$P$708=0),"",$L$711-1),IF($R$17="Distrato",$E841,0)),MIN(AX$38,$D$19),$P$20))-SUM($P841:AW841)</f>
        <v>#VALUE!</v>
      </c>
      <c r="AY841" s="446" t="e">
        <f>IF(OR($B841="",MIN(AY$38,$D$19)&lt;MAX($P$708*($B841+IF($R$17="Distrato",$I$38-1,0)),IF(AND($L$711=0,$P$708=0),"",$L$711-1),IF($R$17="Distrato",$E841,0))),0,YEARFRAC(MAX($P$708*($B841+IF($R$17="Distrato",$I$38-1,0)),IF(AND($L$711=0,$P$708=0),"",$L$711-1),IF($R$17="Distrato",$E841,0)),MIN(AY$38,$D$19),$P$20))-SUM($P841:AX841)</f>
        <v>#VALUE!</v>
      </c>
      <c r="AZ841" s="446" t="e">
        <f>IF(OR($B841="",MIN(AZ$38,$D$19)&lt;MAX($P$708*($B841+IF($R$17="Distrato",$I$38-1,0)),IF(AND($L$711=0,$P$708=0),"",$L$711-1),IF($R$17="Distrato",$E841,0))),0,YEARFRAC(MAX($P$708*($B841+IF($R$17="Distrato",$I$38-1,0)),IF(AND($L$711=0,$P$708=0),"",$L$711-1),IF($R$17="Distrato",$E841,0)),MIN(AZ$38,$D$19),$P$20))-SUM($P841:AY841)</f>
        <v>#VALUE!</v>
      </c>
      <c r="BA841" s="446" t="e">
        <f>IF(OR($B841="",MIN(BA$38,$D$19)&lt;MAX($P$708*($B841+IF($R$17="Distrato",$I$38-1,0)),IF(AND($L$711=0,$P$708=0),"",$L$711-1),IF($R$17="Distrato",$E841,0))),0,YEARFRAC(MAX($P$708*($B841+IF($R$17="Distrato",$I$38-1,0)),IF(AND($L$711=0,$P$708=0),"",$L$711-1),IF($R$17="Distrato",$E841,0)),MIN(BA$38,$D$19),$P$20))-SUM($P841:AZ841)</f>
        <v>#VALUE!</v>
      </c>
      <c r="BB841" s="447"/>
    </row>
    <row r="842" spans="1:54" s="446" customFormat="1" ht="11.25" hidden="1" customHeight="1" x14ac:dyDescent="0.2">
      <c r="A842" s="235"/>
      <c r="B842" s="236"/>
      <c r="C842" s="29" t="str">
        <f>IF(B842="","",IF($L$709=$BL$25,VLOOKUP(DATE(YEAR($D$19),MONTH($D$19)-1,1),ÍNDICES!$A:$DE,HLOOKUP($BL$25,ÍNDICES!$B$3:$T$4,2)+11)-VLOOKUP(B842,ÍNDICES!$A:$DE,HLOOKUP($BL$25,ÍNDICES!$B$3:$T$4,2)+11)+1%,IF(C$712=$W$26,$J$35,IF(ISERROR(IF(B842&gt;$D$19,1,VLOOKUP(DATE(YEAR(B842),MONTH(B842)+IF($C$709=$S$23,1,0),1),ÍNDICES!$A:$DE,$Z$709+1))),"",IF(B842&gt;$D$19,1,VLOOKUP(DATE(YEAR(B842),MONTH(B842)+IF($C$709=$S$23,1,0),1),ÍNDICES!$A:$DE,$Z$709+1))))))</f>
        <v/>
      </c>
      <c r="D842" s="155"/>
      <c r="E842" s="88"/>
      <c r="F842" s="88"/>
      <c r="G842" s="88"/>
      <c r="H842" s="118"/>
      <c r="I842" s="182">
        <f t="shared" ref="I842:I905" si="129">IF(ISERROR(D842-G842),"",D842-G842)</f>
        <v>0</v>
      </c>
      <c r="J842" s="20">
        <f t="shared" ref="J842:J905" ca="1" si="130">IF(ISERROR(IF(I842="","",I842*IF(B842&gt;$D$19,1,$J$709)/C842)),0,IF(I842="","",I842*IF(B842&gt;$D$19,1,$J$709)/C842))</f>
        <v>0</v>
      </c>
      <c r="K842" s="5">
        <f t="shared" ref="K842:K905" ca="1" si="131">IF(ISERROR(J842*K$712),0,J842*K$712)</f>
        <v>0</v>
      </c>
      <c r="L842" s="61">
        <f t="shared" ref="L842:L905" ca="1" si="132">IF(L$709="SELIC - TRIBUTOS",0,IFERROR(K842*SUMPRODUCT($P$37:$BA$37,$P842:$BA842),0))</f>
        <v>0</v>
      </c>
      <c r="M842" s="64">
        <f t="shared" ref="M842:M905" si="133">IFERROR(SUM(P842:BA842),0)</f>
        <v>0</v>
      </c>
      <c r="N842" s="151"/>
      <c r="O842" s="5">
        <f t="shared" ref="O842:O905" ca="1" si="134">IF(ISERROR((K842+L842)*N$712),"",(K842+L842)*N$712)</f>
        <v>0</v>
      </c>
      <c r="P842" s="446" t="e">
        <f t="shared" ref="P842:P905" si="135">IF(OR($B842="",MIN(P$38,$D$19)&lt;MAX($P$708*($B842+IF($R$17="Distrato",$I$38-1,0)),IF(AND($L$711=0,$P$708=0),"",$L$711-1),IF($R$17="Distrato",$E842,0))),0,YEARFRAC(MAX($P$708*($B842+IF($R$17="Distrato",$I$38-1,0)),IF(AND($L$711=0,$P$708=0),"",$L$711-1),IF($R$17="Distrato",$E842,0)),MIN(P$38,$D$19),$P$20))</f>
        <v>#VALUE!</v>
      </c>
      <c r="Q842" s="446" t="e">
        <f>IF(OR($B842="",MIN(Q$38,$D$19)&lt;MAX($P$708*($B842+IF($R$17="Distrato",$I$38-1,0)),IF(AND($L$711=0,$P$708=0),"",$L$711-1),IF($R$17="Distrato",$E842,0))),0,YEARFRAC(MAX($P$708*($B842+IF($R$17="Distrato",$I$38-1,0)),IF(AND($L$711=0,$P$708=0),"",$L$711-1),IF($R$17="Distrato",$E842,0)),MIN(Q$38,$D$19),$P$20))-SUM($P842:P842)</f>
        <v>#VALUE!</v>
      </c>
      <c r="R842" s="446" t="e">
        <f>IF(OR($B842="",MIN(R$38,$D$19)&lt;MAX($P$708*($B842+IF($R$17="Distrato",$I$38-1,0)),IF(AND($L$711=0,$P$708=0),"",$L$711-1),IF($R$17="Distrato",$E842,0))),0,YEARFRAC(MAX($P$708*($B842+IF($R$17="Distrato",$I$38-1,0)),IF(AND($L$711=0,$P$708=0),"",$L$711-1),IF($R$17="Distrato",$E842,0)),MIN(R$38,$D$19),$P$20))-SUM($P842:Q842)</f>
        <v>#VALUE!</v>
      </c>
      <c r="S842" s="446" t="e">
        <f>IF(OR($B842="",MIN(S$38,$D$19)&lt;MAX($P$708*($B842+IF($R$17="Distrato",$I$38-1,0)),IF(AND($L$711=0,$P$708=0),"",$L$711-1),IF($R$17="Distrato",$E842,0))),0,YEARFRAC(MAX($P$708*($B842+IF($R$17="Distrato",$I$38-1,0)),IF(AND($L$711=0,$P$708=0),"",$L$711-1),IF($R$17="Distrato",$E842,0)),MIN(S$38,$D$19),$P$20))-SUM($P842:R842)</f>
        <v>#VALUE!</v>
      </c>
      <c r="T842" s="446" t="e">
        <f>IF(OR($B842="",MIN(T$38,$D$19)&lt;MAX($P$708*($B842+IF($R$17="Distrato",$I$38-1,0)),IF(AND($L$711=0,$P$708=0),"",$L$711-1),IF($R$17="Distrato",$E842,0))),0,YEARFRAC(MAX($P$708*($B842+IF($R$17="Distrato",$I$38-1,0)),IF(AND($L$711=0,$P$708=0),"",$L$711-1),IF($R$17="Distrato",$E842,0)),MIN(T$38,$D$19),$P$20))-SUM($P842:S842)</f>
        <v>#VALUE!</v>
      </c>
      <c r="U842" s="446" t="e">
        <f>IF(OR($B842="",MIN(U$38,$D$19)&lt;MAX($P$708*($B842+IF($R$17="Distrato",$I$38-1,0)),IF(AND($L$711=0,$P$708=0),"",$L$711-1),IF($R$17="Distrato",$E842,0))),0,YEARFRAC(MAX($P$708*($B842+IF($R$17="Distrato",$I$38-1,0)),IF(AND($L$711=0,$P$708=0),"",$L$711-1),IF($R$17="Distrato",$E842,0)),MIN(U$38,$D$19),$P$20))-SUM($P842:T842)</f>
        <v>#VALUE!</v>
      </c>
      <c r="V842" s="446" t="e">
        <f>IF(OR($B842="",MIN(V$38,$D$19)&lt;MAX($P$708*($B842+IF($R$17="Distrato",$I$38-1,0)),IF(AND($L$711=0,$P$708=0),"",$L$711-1),IF($R$17="Distrato",$E842,0))),0,YEARFRAC(MAX($P$708*($B842+IF($R$17="Distrato",$I$38-1,0)),IF(AND($L$711=0,$P$708=0),"",$L$711-1),IF($R$17="Distrato",$E842,0)),MIN(V$38,$D$19),$P$20))-SUM($P842:U842)</f>
        <v>#VALUE!</v>
      </c>
      <c r="W842" s="446" t="e">
        <f>IF(OR($B842="",MIN(W$38,$D$19)&lt;MAX($P$708*($B842+IF($R$17="Distrato",$I$38-1,0)),IF(AND($L$711=0,$P$708=0),"",$L$711-1),IF($R$17="Distrato",$E842,0))),0,YEARFRAC(MAX($P$708*($B842+IF($R$17="Distrato",$I$38-1,0)),IF(AND($L$711=0,$P$708=0),"",$L$711-1),IF($R$17="Distrato",$E842,0)),MIN(W$38,$D$19),$P$20))-SUM($P842:V842)</f>
        <v>#VALUE!</v>
      </c>
      <c r="X842" s="446" t="e">
        <f>IF(OR($B842="",MIN(X$38,$D$19)&lt;MAX($P$708*($B842+IF($R$17="Distrato",$I$38-1,0)),IF(AND($L$711=0,$P$708=0),"",$L$711-1),IF($R$17="Distrato",$E842,0))),0,YEARFRAC(MAX($P$708*($B842+IF($R$17="Distrato",$I$38-1,0)),IF(AND($L$711=0,$P$708=0),"",$L$711-1),IF($R$17="Distrato",$E842,0)),MIN(X$38,$D$19),$P$20))-SUM($P842:W842)</f>
        <v>#VALUE!</v>
      </c>
      <c r="Y842" s="446" t="e">
        <f>IF(OR($B842="",MIN(Y$38,$D$19)&lt;MAX($P$708*($B842+IF($R$17="Distrato",$I$38-1,0)),IF(AND($L$711=0,$P$708=0),"",$L$711-1),IF($R$17="Distrato",$E842,0))),0,YEARFRAC(MAX($P$708*($B842+IF($R$17="Distrato",$I$38-1,0)),IF(AND($L$711=0,$P$708=0),"",$L$711-1),IF($R$17="Distrato",$E842,0)),MIN(Y$38,$D$19),$P$20))-SUM($P842:X842)</f>
        <v>#VALUE!</v>
      </c>
      <c r="Z842" s="446" t="e">
        <f>IF(OR($B842="",MIN(Z$38,$D$19)&lt;MAX($P$708*($B842+IF($R$17="Distrato",$I$38-1,0)),IF(AND($L$711=0,$P$708=0),"",$L$711-1),IF($R$17="Distrato",$E842,0))),0,YEARFRAC(MAX($P$708*($B842+IF($R$17="Distrato",$I$38-1,0)),IF(AND($L$711=0,$P$708=0),"",$L$711-1),IF($R$17="Distrato",$E842,0)),MIN(Z$38,$D$19),$P$20))-SUM($P842:Y842)</f>
        <v>#VALUE!</v>
      </c>
      <c r="AA842" s="446" t="e">
        <f>IF(OR($B842="",MIN(AA$38,$D$19)&lt;MAX($P$708*($B842+IF($R$17="Distrato",$I$38-1,0)),IF(AND($L$711=0,$P$708=0),"",$L$711-1),IF($R$17="Distrato",$E842,0))),0,YEARFRAC(MAX($P$708*($B842+IF($R$17="Distrato",$I$38-1,0)),IF(AND($L$711=0,$P$708=0),"",$L$711-1),IF($R$17="Distrato",$E842,0)),MIN(AA$38,$D$19),$P$20))-SUM($P842:Z842)</f>
        <v>#VALUE!</v>
      </c>
      <c r="AB842" s="446" t="e">
        <f>IF(OR($B842="",MIN(AB$38,$D$19)&lt;MAX($P$708*($B842+IF($R$17="Distrato",$I$38-1,0)),IF(AND($L$711=0,$P$708=0),"",$L$711-1),IF($R$17="Distrato",$E842,0))),0,YEARFRAC(MAX($P$708*($B842+IF($R$17="Distrato",$I$38-1,0)),IF(AND($L$711=0,$P$708=0),"",$L$711-1),IF($R$17="Distrato",$E842,0)),MIN(AB$38,$D$19),$P$20))-SUM($P842:AA842)</f>
        <v>#VALUE!</v>
      </c>
      <c r="AC842" s="446" t="e">
        <f>IF(OR($B842="",MIN(AC$38,$D$19)&lt;MAX($P$708*($B842+IF($R$17="Distrato",$I$38-1,0)),IF(AND($L$711=0,$P$708=0),"",$L$711-1),IF($R$17="Distrato",$E842,0))),0,YEARFRAC(MAX($P$708*($B842+IF($R$17="Distrato",$I$38-1,0)),IF(AND($L$711=0,$P$708=0),"",$L$711-1),IF($R$17="Distrato",$E842,0)),MIN(AC$38,$D$19),$P$20))-SUM($P842:AB842)</f>
        <v>#VALUE!</v>
      </c>
      <c r="AD842" s="446" t="e">
        <f>IF(OR($B842="",MIN(AD$38,$D$19)&lt;MAX($P$708*($B842+IF($R$17="Distrato",$I$38-1,0)),IF(AND($L$711=0,$P$708=0),"",$L$711-1),IF($R$17="Distrato",$E842,0))),0,YEARFRAC(MAX($P$708*($B842+IF($R$17="Distrato",$I$38-1,0)),IF(AND($L$711=0,$P$708=0),"",$L$711-1),IF($R$17="Distrato",$E842,0)),MIN(AD$38,$D$19),$P$20))-SUM($P842:AC842)</f>
        <v>#VALUE!</v>
      </c>
      <c r="AE842" s="446" t="e">
        <f>IF(OR($B842="",MIN(AE$38,$D$19)&lt;MAX($P$708*($B842+IF($R$17="Distrato",$I$38-1,0)),IF(AND($L$711=0,$P$708=0),"",$L$711-1),IF($R$17="Distrato",$E842,0))),0,YEARFRAC(MAX($P$708*($B842+IF($R$17="Distrato",$I$38-1,0)),IF(AND($L$711=0,$P$708=0),"",$L$711-1),IF($R$17="Distrato",$E842,0)),MIN(AE$38,$D$19),$P$20))-SUM($P842:AD842)</f>
        <v>#VALUE!</v>
      </c>
      <c r="AF842" s="446" t="e">
        <f>IF(OR($B842="",MIN(AF$38,$D$19)&lt;MAX($P$708*($B842+IF($R$17="Distrato",$I$38-1,0)),IF(AND($L$711=0,$P$708=0),"",$L$711-1),IF($R$17="Distrato",$E842,0))),0,YEARFRAC(MAX($P$708*($B842+IF($R$17="Distrato",$I$38-1,0)),IF(AND($L$711=0,$P$708=0),"",$L$711-1),IF($R$17="Distrato",$E842,0)),MIN(AF$38,$D$19),$P$20))-SUM($P842:AE842)</f>
        <v>#VALUE!</v>
      </c>
      <c r="AG842" s="446" t="e">
        <f>IF(OR($B842="",MIN(AG$38,$D$19)&lt;MAX($P$708*($B842+IF($R$17="Distrato",$I$38-1,0)),IF(AND($L$711=0,$P$708=0),"",$L$711-1),IF($R$17="Distrato",$E842,0))),0,YEARFRAC(MAX($P$708*($B842+IF($R$17="Distrato",$I$38-1,0)),IF(AND($L$711=0,$P$708=0),"",$L$711-1),IF($R$17="Distrato",$E842,0)),MIN(AG$38,$D$19),$P$20))-SUM($P842:AF842)</f>
        <v>#VALUE!</v>
      </c>
      <c r="AH842" s="446" t="e">
        <f>IF(OR($B842="",MIN(AH$38,$D$19)&lt;MAX($P$708*($B842+IF($R$17="Distrato",$I$38-1,0)),IF(AND($L$711=0,$P$708=0),"",$L$711-1),IF($R$17="Distrato",$E842,0))),0,YEARFRAC(MAX($P$708*($B842+IF($R$17="Distrato",$I$38-1,0)),IF(AND($L$711=0,$P$708=0),"",$L$711-1),IF($R$17="Distrato",$E842,0)),MIN(AH$38,$D$19),$P$20))-SUM($P842:AG842)</f>
        <v>#VALUE!</v>
      </c>
      <c r="AI842" s="446" t="e">
        <f>IF(OR($B842="",MIN(AI$38,$D$19)&lt;MAX($P$708*($B842+IF($R$17="Distrato",$I$38-1,0)),IF(AND($L$711=0,$P$708=0),"",$L$711-1),IF($R$17="Distrato",$E842,0))),0,YEARFRAC(MAX($P$708*($B842+IF($R$17="Distrato",$I$38-1,0)),IF(AND($L$711=0,$P$708=0),"",$L$711-1),IF($R$17="Distrato",$E842,0)),MIN(AI$38,$D$19),$P$20))-SUM($P842:AH842)</f>
        <v>#VALUE!</v>
      </c>
      <c r="AJ842" s="446" t="e">
        <f>IF(OR($B842="",MIN(AJ$38,$D$19)&lt;MAX($P$708*($B842+IF($R$17="Distrato",$I$38-1,0)),IF(AND($L$711=0,$P$708=0),"",$L$711-1),IF($R$17="Distrato",$E842,0))),0,YEARFRAC(MAX($P$708*($B842+IF($R$17="Distrato",$I$38-1,0)),IF(AND($L$711=0,$P$708=0),"",$L$711-1),IF($R$17="Distrato",$E842,0)),MIN(AJ$38,$D$19),$P$20))-SUM($P842:AI842)</f>
        <v>#VALUE!</v>
      </c>
      <c r="AK842" s="446" t="e">
        <f>IF(OR($B842="",MIN(AK$38,$D$19)&lt;MAX($P$708*($B842+IF($R$17="Distrato",$I$38-1,0)),IF(AND($L$711=0,$P$708=0),"",$L$711-1),IF($R$17="Distrato",$E842,0))),0,YEARFRAC(MAX($P$708*($B842+IF($R$17="Distrato",$I$38-1,0)),IF(AND($L$711=0,$P$708=0),"",$L$711-1),IF($R$17="Distrato",$E842,0)),MIN(AK$38,$D$19),$P$20))-SUM($P842:AJ842)</f>
        <v>#VALUE!</v>
      </c>
      <c r="AL842" s="446" t="e">
        <f>IF(OR($B842="",MIN(AL$38,$D$19)&lt;MAX($P$708*($B842+IF($R$17="Distrato",$I$38-1,0)),IF(AND($L$711=0,$P$708=0),"",$L$711-1),IF($R$17="Distrato",$E842,0))),0,YEARFRAC(MAX($P$708*($B842+IF($R$17="Distrato",$I$38-1,0)),IF(AND($L$711=0,$P$708=0),"",$L$711-1),IF($R$17="Distrato",$E842,0)),MIN(AL$38,$D$19),$P$20))-SUM($P842:AK842)</f>
        <v>#VALUE!</v>
      </c>
      <c r="AM842" s="446" t="e">
        <f>IF(OR($B842="",MIN(AM$38,$D$19)&lt;MAX($P$708*($B842+IF($R$17="Distrato",$I$38-1,0)),IF(AND($L$711=0,$P$708=0),"",$L$711-1),IF($R$17="Distrato",$E842,0))),0,YEARFRAC(MAX($P$708*($B842+IF($R$17="Distrato",$I$38-1,0)),IF(AND($L$711=0,$P$708=0),"",$L$711-1),IF($R$17="Distrato",$E842,0)),MIN(AM$38,$D$19),$P$20))-SUM($P842:AL842)</f>
        <v>#VALUE!</v>
      </c>
      <c r="AN842" s="446" t="e">
        <f>IF(OR($B842="",MIN(AN$38,$D$19)&lt;MAX($P$708*($B842+IF($R$17="Distrato",$I$38-1,0)),IF(AND($L$711=0,$P$708=0),"",$L$711-1),IF($R$17="Distrato",$E842,0))),0,YEARFRAC(MAX($P$708*($B842+IF($R$17="Distrato",$I$38-1,0)),IF(AND($L$711=0,$P$708=0),"",$L$711-1),IF($R$17="Distrato",$E842,0)),MIN(AN$38,$D$19),$P$20))-SUM($P842:AM842)</f>
        <v>#VALUE!</v>
      </c>
      <c r="AO842" s="446" t="e">
        <f>IF(OR($B842="",MIN(AO$38,$D$19)&lt;MAX($P$708*($B842+IF($R$17="Distrato",$I$38-1,0)),IF(AND($L$711=0,$P$708=0),"",$L$711-1),IF($R$17="Distrato",$E842,0))),0,YEARFRAC(MAX($P$708*($B842+IF($R$17="Distrato",$I$38-1,0)),IF(AND($L$711=0,$P$708=0),"",$L$711-1),IF($R$17="Distrato",$E842,0)),MIN(AO$38,$D$19),$P$20))-SUM($P842:AN842)</f>
        <v>#VALUE!</v>
      </c>
      <c r="AP842" s="446" t="e">
        <f>IF(OR($B842="",MIN(AP$38,$D$19)&lt;MAX($P$708*($B842+IF($R$17="Distrato",$I$38-1,0)),IF(AND($L$711=0,$P$708=0),"",$L$711-1),IF($R$17="Distrato",$E842,0))),0,YEARFRAC(MAX($P$708*($B842+IF($R$17="Distrato",$I$38-1,0)),IF(AND($L$711=0,$P$708=0),"",$L$711-1),IF($R$17="Distrato",$E842,0)),MIN(AP$38,$D$19),$P$20))-SUM($P842:AO842)</f>
        <v>#VALUE!</v>
      </c>
      <c r="AQ842" s="446" t="e">
        <f>IF(OR($B842="",MIN(AQ$38,$D$19)&lt;MAX($P$708*($B842+IF($R$17="Distrato",$I$38-1,0)),IF(AND($L$711=0,$P$708=0),"",$L$711-1),IF($R$17="Distrato",$E842,0))),0,YEARFRAC(MAX($P$708*($B842+IF($R$17="Distrato",$I$38-1,0)),IF(AND($L$711=0,$P$708=0),"",$L$711-1),IF($R$17="Distrato",$E842,0)),MIN(AQ$38,$D$19),$P$20))-SUM($P842:AP842)</f>
        <v>#VALUE!</v>
      </c>
      <c r="AR842" s="446" t="e">
        <f>IF(OR($B842="",MIN(AR$38,$D$19)&lt;MAX($P$708*($B842+IF($R$17="Distrato",$I$38-1,0)),IF(AND($L$711=0,$P$708=0),"",$L$711-1),IF($R$17="Distrato",$E842,0))),0,YEARFRAC(MAX($P$708*($B842+IF($R$17="Distrato",$I$38-1,0)),IF(AND($L$711=0,$P$708=0),"",$L$711-1),IF($R$17="Distrato",$E842,0)),MIN(AR$38,$D$19),$P$20))-SUM($P842:AQ842)</f>
        <v>#VALUE!</v>
      </c>
      <c r="AS842" s="446" t="e">
        <f>IF(OR($B842="",MIN(AS$38,$D$19)&lt;MAX($P$708*($B842+IF($R$17="Distrato",$I$38-1,0)),IF(AND($L$711=0,$P$708=0),"",$L$711-1),IF($R$17="Distrato",$E842,0))),0,YEARFRAC(MAX($P$708*($B842+IF($R$17="Distrato",$I$38-1,0)),IF(AND($L$711=0,$P$708=0),"",$L$711-1),IF($R$17="Distrato",$E842,0)),MIN(AS$38,$D$19),$P$20))-SUM($P842:AR842)</f>
        <v>#VALUE!</v>
      </c>
      <c r="AT842" s="446" t="e">
        <f>IF(OR($B842="",MIN(AT$38,$D$19)&lt;MAX($P$708*($B842+IF($R$17="Distrato",$I$38-1,0)),IF(AND($L$711=0,$P$708=0),"",$L$711-1),IF($R$17="Distrato",$E842,0))),0,YEARFRAC(MAX($P$708*($B842+IF($R$17="Distrato",$I$38-1,0)),IF(AND($L$711=0,$P$708=0),"",$L$711-1),IF($R$17="Distrato",$E842,0)),MIN(AT$38,$D$19),$P$20))-SUM($P842:AS842)</f>
        <v>#VALUE!</v>
      </c>
      <c r="AU842" s="446" t="e">
        <f>IF(OR($B842="",MIN(AU$38,$D$19)&lt;MAX($P$708*($B842+IF($R$17="Distrato",$I$38-1,0)),IF(AND($L$711=0,$P$708=0),"",$L$711-1),IF($R$17="Distrato",$E842,0))),0,YEARFRAC(MAX($P$708*($B842+IF($R$17="Distrato",$I$38-1,0)),IF(AND($L$711=0,$P$708=0),"",$L$711-1),IF($R$17="Distrato",$E842,0)),MIN(AU$38,$D$19),$P$20))-SUM($P842:AT842)</f>
        <v>#VALUE!</v>
      </c>
      <c r="AV842" s="446" t="e">
        <f>IF(OR($B842="",MIN(AV$38,$D$19)&lt;MAX($P$708*($B842+IF($R$17="Distrato",$I$38-1,0)),IF(AND($L$711=0,$P$708=0),"",$L$711-1),IF($R$17="Distrato",$E842,0))),0,YEARFRAC(MAX($P$708*($B842+IF($R$17="Distrato",$I$38-1,0)),IF(AND($L$711=0,$P$708=0),"",$L$711-1),IF($R$17="Distrato",$E842,0)),MIN(AV$38,$D$19),$P$20))-SUM($P842:AU842)</f>
        <v>#VALUE!</v>
      </c>
      <c r="AW842" s="446" t="e">
        <f>IF(OR($B842="",MIN(AW$38,$D$19)&lt;MAX($P$708*($B842+IF($R$17="Distrato",$I$38-1,0)),IF(AND($L$711=0,$P$708=0),"",$L$711-1),IF($R$17="Distrato",$E842,0))),0,YEARFRAC(MAX($P$708*($B842+IF($R$17="Distrato",$I$38-1,0)),IF(AND($L$711=0,$P$708=0),"",$L$711-1),IF($R$17="Distrato",$E842,0)),MIN(AW$38,$D$19),$P$20))-SUM($P842:AV842)</f>
        <v>#VALUE!</v>
      </c>
      <c r="AX842" s="446" t="e">
        <f>IF(OR($B842="",MIN(AX$38,$D$19)&lt;MAX($P$708*($B842+IF($R$17="Distrato",$I$38-1,0)),IF(AND($L$711=0,$P$708=0),"",$L$711-1),IF($R$17="Distrato",$E842,0))),0,YEARFRAC(MAX($P$708*($B842+IF($R$17="Distrato",$I$38-1,0)),IF(AND($L$711=0,$P$708=0),"",$L$711-1),IF($R$17="Distrato",$E842,0)),MIN(AX$38,$D$19),$P$20))-SUM($P842:AW842)</f>
        <v>#VALUE!</v>
      </c>
      <c r="AY842" s="446" t="e">
        <f>IF(OR($B842="",MIN(AY$38,$D$19)&lt;MAX($P$708*($B842+IF($R$17="Distrato",$I$38-1,0)),IF(AND($L$711=0,$P$708=0),"",$L$711-1),IF($R$17="Distrato",$E842,0))),0,YEARFRAC(MAX($P$708*($B842+IF($R$17="Distrato",$I$38-1,0)),IF(AND($L$711=0,$P$708=0),"",$L$711-1),IF($R$17="Distrato",$E842,0)),MIN(AY$38,$D$19),$P$20))-SUM($P842:AX842)</f>
        <v>#VALUE!</v>
      </c>
      <c r="AZ842" s="446" t="e">
        <f>IF(OR($B842="",MIN(AZ$38,$D$19)&lt;MAX($P$708*($B842+IF($R$17="Distrato",$I$38-1,0)),IF(AND($L$711=0,$P$708=0),"",$L$711-1),IF($R$17="Distrato",$E842,0))),0,YEARFRAC(MAX($P$708*($B842+IF($R$17="Distrato",$I$38-1,0)),IF(AND($L$711=0,$P$708=0),"",$L$711-1),IF($R$17="Distrato",$E842,0)),MIN(AZ$38,$D$19),$P$20))-SUM($P842:AY842)</f>
        <v>#VALUE!</v>
      </c>
      <c r="BA842" s="446" t="e">
        <f>IF(OR($B842="",MIN(BA$38,$D$19)&lt;MAX($P$708*($B842+IF($R$17="Distrato",$I$38-1,0)),IF(AND($L$711=0,$P$708=0),"",$L$711-1),IF($R$17="Distrato",$E842,0))),0,YEARFRAC(MAX($P$708*($B842+IF($R$17="Distrato",$I$38-1,0)),IF(AND($L$711=0,$P$708=0),"",$L$711-1),IF($R$17="Distrato",$E842,0)),MIN(BA$38,$D$19),$P$20))-SUM($P842:AZ842)</f>
        <v>#VALUE!</v>
      </c>
      <c r="BB842" s="447"/>
    </row>
    <row r="843" spans="1:54" s="446" customFormat="1" ht="11.25" hidden="1" customHeight="1" x14ac:dyDescent="0.2">
      <c r="A843" s="235"/>
      <c r="B843" s="236"/>
      <c r="C843" s="29" t="str">
        <f>IF(B843="","",IF($L$709=$BL$25,VLOOKUP(DATE(YEAR($D$19),MONTH($D$19)-1,1),ÍNDICES!$A:$DE,HLOOKUP($BL$25,ÍNDICES!$B$3:$T$4,2)+11)-VLOOKUP(B843,ÍNDICES!$A:$DE,HLOOKUP($BL$25,ÍNDICES!$B$3:$T$4,2)+11)+1%,IF(C$712=$W$26,$J$35,IF(ISERROR(IF(B843&gt;$D$19,1,VLOOKUP(DATE(YEAR(B843),MONTH(B843)+IF($C$709=$S$23,1,0),1),ÍNDICES!$A:$DE,$Z$709+1))),"",IF(B843&gt;$D$19,1,VLOOKUP(DATE(YEAR(B843),MONTH(B843)+IF($C$709=$S$23,1,0),1),ÍNDICES!$A:$DE,$Z$709+1))))))</f>
        <v/>
      </c>
      <c r="D843" s="155"/>
      <c r="E843" s="88"/>
      <c r="F843" s="88"/>
      <c r="G843" s="88"/>
      <c r="H843" s="118"/>
      <c r="I843" s="182">
        <f t="shared" si="129"/>
        <v>0</v>
      </c>
      <c r="J843" s="20">
        <f t="shared" ca="1" si="130"/>
        <v>0</v>
      </c>
      <c r="K843" s="5">
        <f t="shared" ca="1" si="131"/>
        <v>0</v>
      </c>
      <c r="L843" s="61">
        <f t="shared" ca="1" si="132"/>
        <v>0</v>
      </c>
      <c r="M843" s="64">
        <f t="shared" si="133"/>
        <v>0</v>
      </c>
      <c r="N843" s="151"/>
      <c r="O843" s="5">
        <f t="shared" ca="1" si="134"/>
        <v>0</v>
      </c>
      <c r="P843" s="446" t="e">
        <f t="shared" si="135"/>
        <v>#VALUE!</v>
      </c>
      <c r="Q843" s="446" t="e">
        <f>IF(OR($B843="",MIN(Q$38,$D$19)&lt;MAX($P$708*($B843+IF($R$17="Distrato",$I$38-1,0)),IF(AND($L$711=0,$P$708=0),"",$L$711-1),IF($R$17="Distrato",$E843,0))),0,YEARFRAC(MAX($P$708*($B843+IF($R$17="Distrato",$I$38-1,0)),IF(AND($L$711=0,$P$708=0),"",$L$711-1),IF($R$17="Distrato",$E843,0)),MIN(Q$38,$D$19),$P$20))-SUM($P843:P843)</f>
        <v>#VALUE!</v>
      </c>
      <c r="R843" s="446" t="e">
        <f>IF(OR($B843="",MIN(R$38,$D$19)&lt;MAX($P$708*($B843+IF($R$17="Distrato",$I$38-1,0)),IF(AND($L$711=0,$P$708=0),"",$L$711-1),IF($R$17="Distrato",$E843,0))),0,YEARFRAC(MAX($P$708*($B843+IF($R$17="Distrato",$I$38-1,0)),IF(AND($L$711=0,$P$708=0),"",$L$711-1),IF($R$17="Distrato",$E843,0)),MIN(R$38,$D$19),$P$20))-SUM($P843:Q843)</f>
        <v>#VALUE!</v>
      </c>
      <c r="S843" s="446" t="e">
        <f>IF(OR($B843="",MIN(S$38,$D$19)&lt;MAX($P$708*($B843+IF($R$17="Distrato",$I$38-1,0)),IF(AND($L$711=0,$P$708=0),"",$L$711-1),IF($R$17="Distrato",$E843,0))),0,YEARFRAC(MAX($P$708*($B843+IF($R$17="Distrato",$I$38-1,0)),IF(AND($L$711=0,$P$708=0),"",$L$711-1),IF($R$17="Distrato",$E843,0)),MIN(S$38,$D$19),$P$20))-SUM($P843:R843)</f>
        <v>#VALUE!</v>
      </c>
      <c r="T843" s="446" t="e">
        <f>IF(OR($B843="",MIN(T$38,$D$19)&lt;MAX($P$708*($B843+IF($R$17="Distrato",$I$38-1,0)),IF(AND($L$711=0,$P$708=0),"",$L$711-1),IF($R$17="Distrato",$E843,0))),0,YEARFRAC(MAX($P$708*($B843+IF($R$17="Distrato",$I$38-1,0)),IF(AND($L$711=0,$P$708=0),"",$L$711-1),IF($R$17="Distrato",$E843,0)),MIN(T$38,$D$19),$P$20))-SUM($P843:S843)</f>
        <v>#VALUE!</v>
      </c>
      <c r="U843" s="446" t="e">
        <f>IF(OR($B843="",MIN(U$38,$D$19)&lt;MAX($P$708*($B843+IF($R$17="Distrato",$I$38-1,0)),IF(AND($L$711=0,$P$708=0),"",$L$711-1),IF($R$17="Distrato",$E843,0))),0,YEARFRAC(MAX($P$708*($B843+IF($R$17="Distrato",$I$38-1,0)),IF(AND($L$711=0,$P$708=0),"",$L$711-1),IF($R$17="Distrato",$E843,0)),MIN(U$38,$D$19),$P$20))-SUM($P843:T843)</f>
        <v>#VALUE!</v>
      </c>
      <c r="V843" s="446" t="e">
        <f>IF(OR($B843="",MIN(V$38,$D$19)&lt;MAX($P$708*($B843+IF($R$17="Distrato",$I$38-1,0)),IF(AND($L$711=0,$P$708=0),"",$L$711-1),IF($R$17="Distrato",$E843,0))),0,YEARFRAC(MAX($P$708*($B843+IF($R$17="Distrato",$I$38-1,0)),IF(AND($L$711=0,$P$708=0),"",$L$711-1),IF($R$17="Distrato",$E843,0)),MIN(V$38,$D$19),$P$20))-SUM($P843:U843)</f>
        <v>#VALUE!</v>
      </c>
      <c r="W843" s="446" t="e">
        <f>IF(OR($B843="",MIN(W$38,$D$19)&lt;MAX($P$708*($B843+IF($R$17="Distrato",$I$38-1,0)),IF(AND($L$711=0,$P$708=0),"",$L$711-1),IF($R$17="Distrato",$E843,0))),0,YEARFRAC(MAX($P$708*($B843+IF($R$17="Distrato",$I$38-1,0)),IF(AND($L$711=0,$P$708=0),"",$L$711-1),IF($R$17="Distrato",$E843,0)),MIN(W$38,$D$19),$P$20))-SUM($P843:V843)</f>
        <v>#VALUE!</v>
      </c>
      <c r="X843" s="446" t="e">
        <f>IF(OR($B843="",MIN(X$38,$D$19)&lt;MAX($P$708*($B843+IF($R$17="Distrato",$I$38-1,0)),IF(AND($L$711=0,$P$708=0),"",$L$711-1),IF($R$17="Distrato",$E843,0))),0,YEARFRAC(MAX($P$708*($B843+IF($R$17="Distrato",$I$38-1,0)),IF(AND($L$711=0,$P$708=0),"",$L$711-1),IF($R$17="Distrato",$E843,0)),MIN(X$38,$D$19),$P$20))-SUM($P843:W843)</f>
        <v>#VALUE!</v>
      </c>
      <c r="Y843" s="446" t="e">
        <f>IF(OR($B843="",MIN(Y$38,$D$19)&lt;MAX($P$708*($B843+IF($R$17="Distrato",$I$38-1,0)),IF(AND($L$711=0,$P$708=0),"",$L$711-1),IF($R$17="Distrato",$E843,0))),0,YEARFRAC(MAX($P$708*($B843+IF($R$17="Distrato",$I$38-1,0)),IF(AND($L$711=0,$P$708=0),"",$L$711-1),IF($R$17="Distrato",$E843,0)),MIN(Y$38,$D$19),$P$20))-SUM($P843:X843)</f>
        <v>#VALUE!</v>
      </c>
      <c r="Z843" s="446" t="e">
        <f>IF(OR($B843="",MIN(Z$38,$D$19)&lt;MAX($P$708*($B843+IF($R$17="Distrato",$I$38-1,0)),IF(AND($L$711=0,$P$708=0),"",$L$711-1),IF($R$17="Distrato",$E843,0))),0,YEARFRAC(MAX($P$708*($B843+IF($R$17="Distrato",$I$38-1,0)),IF(AND($L$711=0,$P$708=0),"",$L$711-1),IF($R$17="Distrato",$E843,0)),MIN(Z$38,$D$19),$P$20))-SUM($P843:Y843)</f>
        <v>#VALUE!</v>
      </c>
      <c r="AA843" s="446" t="e">
        <f>IF(OR($B843="",MIN(AA$38,$D$19)&lt;MAX($P$708*($B843+IF($R$17="Distrato",$I$38-1,0)),IF(AND($L$711=0,$P$708=0),"",$L$711-1),IF($R$17="Distrato",$E843,0))),0,YEARFRAC(MAX($P$708*($B843+IF($R$17="Distrato",$I$38-1,0)),IF(AND($L$711=0,$P$708=0),"",$L$711-1),IF($R$17="Distrato",$E843,0)),MIN(AA$38,$D$19),$P$20))-SUM($P843:Z843)</f>
        <v>#VALUE!</v>
      </c>
      <c r="AB843" s="446" t="e">
        <f>IF(OR($B843="",MIN(AB$38,$D$19)&lt;MAX($P$708*($B843+IF($R$17="Distrato",$I$38-1,0)),IF(AND($L$711=0,$P$708=0),"",$L$711-1),IF($R$17="Distrato",$E843,0))),0,YEARFRAC(MAX($P$708*($B843+IF($R$17="Distrato",$I$38-1,0)),IF(AND($L$711=0,$P$708=0),"",$L$711-1),IF($R$17="Distrato",$E843,0)),MIN(AB$38,$D$19),$P$20))-SUM($P843:AA843)</f>
        <v>#VALUE!</v>
      </c>
      <c r="AC843" s="446" t="e">
        <f>IF(OR($B843="",MIN(AC$38,$D$19)&lt;MAX($P$708*($B843+IF($R$17="Distrato",$I$38-1,0)),IF(AND($L$711=0,$P$708=0),"",$L$711-1),IF($R$17="Distrato",$E843,0))),0,YEARFRAC(MAX($P$708*($B843+IF($R$17="Distrato",$I$38-1,0)),IF(AND($L$711=0,$P$708=0),"",$L$711-1),IF($R$17="Distrato",$E843,0)),MIN(AC$38,$D$19),$P$20))-SUM($P843:AB843)</f>
        <v>#VALUE!</v>
      </c>
      <c r="AD843" s="446" t="e">
        <f>IF(OR($B843="",MIN(AD$38,$D$19)&lt;MAX($P$708*($B843+IF($R$17="Distrato",$I$38-1,0)),IF(AND($L$711=0,$P$708=0),"",$L$711-1),IF($R$17="Distrato",$E843,0))),0,YEARFRAC(MAX($P$708*($B843+IF($R$17="Distrato",$I$38-1,0)),IF(AND($L$711=0,$P$708=0),"",$L$711-1),IF($R$17="Distrato",$E843,0)),MIN(AD$38,$D$19),$P$20))-SUM($P843:AC843)</f>
        <v>#VALUE!</v>
      </c>
      <c r="AE843" s="446" t="e">
        <f>IF(OR($B843="",MIN(AE$38,$D$19)&lt;MAX($P$708*($B843+IF($R$17="Distrato",$I$38-1,0)),IF(AND($L$711=0,$P$708=0),"",$L$711-1),IF($R$17="Distrato",$E843,0))),0,YEARFRAC(MAX($P$708*($B843+IF($R$17="Distrato",$I$38-1,0)),IF(AND($L$711=0,$P$708=0),"",$L$711-1),IF($R$17="Distrato",$E843,0)),MIN(AE$38,$D$19),$P$20))-SUM($P843:AD843)</f>
        <v>#VALUE!</v>
      </c>
      <c r="AF843" s="446" t="e">
        <f>IF(OR($B843="",MIN(AF$38,$D$19)&lt;MAX($P$708*($B843+IF($R$17="Distrato",$I$38-1,0)),IF(AND($L$711=0,$P$708=0),"",$L$711-1),IF($R$17="Distrato",$E843,0))),0,YEARFRAC(MAX($P$708*($B843+IF($R$17="Distrato",$I$38-1,0)),IF(AND($L$711=0,$P$708=0),"",$L$711-1),IF($R$17="Distrato",$E843,0)),MIN(AF$38,$D$19),$P$20))-SUM($P843:AE843)</f>
        <v>#VALUE!</v>
      </c>
      <c r="AG843" s="446" t="e">
        <f>IF(OR($B843="",MIN(AG$38,$D$19)&lt;MAX($P$708*($B843+IF($R$17="Distrato",$I$38-1,0)),IF(AND($L$711=0,$P$708=0),"",$L$711-1),IF($R$17="Distrato",$E843,0))),0,YEARFRAC(MAX($P$708*($B843+IF($R$17="Distrato",$I$38-1,0)),IF(AND($L$711=0,$P$708=0),"",$L$711-1),IF($R$17="Distrato",$E843,0)),MIN(AG$38,$D$19),$P$20))-SUM($P843:AF843)</f>
        <v>#VALUE!</v>
      </c>
      <c r="AH843" s="446" t="e">
        <f>IF(OR($B843="",MIN(AH$38,$D$19)&lt;MAX($P$708*($B843+IF($R$17="Distrato",$I$38-1,0)),IF(AND($L$711=0,$P$708=0),"",$L$711-1),IF($R$17="Distrato",$E843,0))),0,YEARFRAC(MAX($P$708*($B843+IF($R$17="Distrato",$I$38-1,0)),IF(AND($L$711=0,$P$708=0),"",$L$711-1),IF($R$17="Distrato",$E843,0)),MIN(AH$38,$D$19),$P$20))-SUM($P843:AG843)</f>
        <v>#VALUE!</v>
      </c>
      <c r="AI843" s="446" t="e">
        <f>IF(OR($B843="",MIN(AI$38,$D$19)&lt;MAX($P$708*($B843+IF($R$17="Distrato",$I$38-1,0)),IF(AND($L$711=0,$P$708=0),"",$L$711-1),IF($R$17="Distrato",$E843,0))),0,YEARFRAC(MAX($P$708*($B843+IF($R$17="Distrato",$I$38-1,0)),IF(AND($L$711=0,$P$708=0),"",$L$711-1),IF($R$17="Distrato",$E843,0)),MIN(AI$38,$D$19),$P$20))-SUM($P843:AH843)</f>
        <v>#VALUE!</v>
      </c>
      <c r="AJ843" s="446" t="e">
        <f>IF(OR($B843="",MIN(AJ$38,$D$19)&lt;MAX($P$708*($B843+IF($R$17="Distrato",$I$38-1,0)),IF(AND($L$711=0,$P$708=0),"",$L$711-1),IF($R$17="Distrato",$E843,0))),0,YEARFRAC(MAX($P$708*($B843+IF($R$17="Distrato",$I$38-1,0)),IF(AND($L$711=0,$P$708=0),"",$L$711-1),IF($R$17="Distrato",$E843,0)),MIN(AJ$38,$D$19),$P$20))-SUM($P843:AI843)</f>
        <v>#VALUE!</v>
      </c>
      <c r="AK843" s="446" t="e">
        <f>IF(OR($B843="",MIN(AK$38,$D$19)&lt;MAX($P$708*($B843+IF($R$17="Distrato",$I$38-1,0)),IF(AND($L$711=0,$P$708=0),"",$L$711-1),IF($R$17="Distrato",$E843,0))),0,YEARFRAC(MAX($P$708*($B843+IF($R$17="Distrato",$I$38-1,0)),IF(AND($L$711=0,$P$708=0),"",$L$711-1),IF($R$17="Distrato",$E843,0)),MIN(AK$38,$D$19),$P$20))-SUM($P843:AJ843)</f>
        <v>#VALUE!</v>
      </c>
      <c r="AL843" s="446" t="e">
        <f>IF(OR($B843="",MIN(AL$38,$D$19)&lt;MAX($P$708*($B843+IF($R$17="Distrato",$I$38-1,0)),IF(AND($L$711=0,$P$708=0),"",$L$711-1),IF($R$17="Distrato",$E843,0))),0,YEARFRAC(MAX($P$708*($B843+IF($R$17="Distrato",$I$38-1,0)),IF(AND($L$711=0,$P$708=0),"",$L$711-1),IF($R$17="Distrato",$E843,0)),MIN(AL$38,$D$19),$P$20))-SUM($P843:AK843)</f>
        <v>#VALUE!</v>
      </c>
      <c r="AM843" s="446" t="e">
        <f>IF(OR($B843="",MIN(AM$38,$D$19)&lt;MAX($P$708*($B843+IF($R$17="Distrato",$I$38-1,0)),IF(AND($L$711=0,$P$708=0),"",$L$711-1),IF($R$17="Distrato",$E843,0))),0,YEARFRAC(MAX($P$708*($B843+IF($R$17="Distrato",$I$38-1,0)),IF(AND($L$711=0,$P$708=0),"",$L$711-1),IF($R$17="Distrato",$E843,0)),MIN(AM$38,$D$19),$P$20))-SUM($P843:AL843)</f>
        <v>#VALUE!</v>
      </c>
      <c r="AN843" s="446" t="e">
        <f>IF(OR($B843="",MIN(AN$38,$D$19)&lt;MAX($P$708*($B843+IF($R$17="Distrato",$I$38-1,0)),IF(AND($L$711=0,$P$708=0),"",$L$711-1),IF($R$17="Distrato",$E843,0))),0,YEARFRAC(MAX($P$708*($B843+IF($R$17="Distrato",$I$38-1,0)),IF(AND($L$711=0,$P$708=0),"",$L$711-1),IF($R$17="Distrato",$E843,0)),MIN(AN$38,$D$19),$P$20))-SUM($P843:AM843)</f>
        <v>#VALUE!</v>
      </c>
      <c r="AO843" s="446" t="e">
        <f>IF(OR($B843="",MIN(AO$38,$D$19)&lt;MAX($P$708*($B843+IF($R$17="Distrato",$I$38-1,0)),IF(AND($L$711=0,$P$708=0),"",$L$711-1),IF($R$17="Distrato",$E843,0))),0,YEARFRAC(MAX($P$708*($B843+IF($R$17="Distrato",$I$38-1,0)),IF(AND($L$711=0,$P$708=0),"",$L$711-1),IF($R$17="Distrato",$E843,0)),MIN(AO$38,$D$19),$P$20))-SUM($P843:AN843)</f>
        <v>#VALUE!</v>
      </c>
      <c r="AP843" s="446" t="e">
        <f>IF(OR($B843="",MIN(AP$38,$D$19)&lt;MAX($P$708*($B843+IF($R$17="Distrato",$I$38-1,0)),IF(AND($L$711=0,$P$708=0),"",$L$711-1),IF($R$17="Distrato",$E843,0))),0,YEARFRAC(MAX($P$708*($B843+IF($R$17="Distrato",$I$38-1,0)),IF(AND($L$711=0,$P$708=0),"",$L$711-1),IF($R$17="Distrato",$E843,0)),MIN(AP$38,$D$19),$P$20))-SUM($P843:AO843)</f>
        <v>#VALUE!</v>
      </c>
      <c r="AQ843" s="446" t="e">
        <f>IF(OR($B843="",MIN(AQ$38,$D$19)&lt;MAX($P$708*($B843+IF($R$17="Distrato",$I$38-1,0)),IF(AND($L$711=0,$P$708=0),"",$L$711-1),IF($R$17="Distrato",$E843,0))),0,YEARFRAC(MAX($P$708*($B843+IF($R$17="Distrato",$I$38-1,0)),IF(AND($L$711=0,$P$708=0),"",$L$711-1),IF($R$17="Distrato",$E843,0)),MIN(AQ$38,$D$19),$P$20))-SUM($P843:AP843)</f>
        <v>#VALUE!</v>
      </c>
      <c r="AR843" s="446" t="e">
        <f>IF(OR($B843="",MIN(AR$38,$D$19)&lt;MAX($P$708*($B843+IF($R$17="Distrato",$I$38-1,0)),IF(AND($L$711=0,$P$708=0),"",$L$711-1),IF($R$17="Distrato",$E843,0))),0,YEARFRAC(MAX($P$708*($B843+IF($R$17="Distrato",$I$38-1,0)),IF(AND($L$711=0,$P$708=0),"",$L$711-1),IF($R$17="Distrato",$E843,0)),MIN(AR$38,$D$19),$P$20))-SUM($P843:AQ843)</f>
        <v>#VALUE!</v>
      </c>
      <c r="AS843" s="446" t="e">
        <f>IF(OR($B843="",MIN(AS$38,$D$19)&lt;MAX($P$708*($B843+IF($R$17="Distrato",$I$38-1,0)),IF(AND($L$711=0,$P$708=0),"",$L$711-1),IF($R$17="Distrato",$E843,0))),0,YEARFRAC(MAX($P$708*($B843+IF($R$17="Distrato",$I$38-1,0)),IF(AND($L$711=0,$P$708=0),"",$L$711-1),IF($R$17="Distrato",$E843,0)),MIN(AS$38,$D$19),$P$20))-SUM($P843:AR843)</f>
        <v>#VALUE!</v>
      </c>
      <c r="AT843" s="446" t="e">
        <f>IF(OR($B843="",MIN(AT$38,$D$19)&lt;MAX($P$708*($B843+IF($R$17="Distrato",$I$38-1,0)),IF(AND($L$711=0,$P$708=0),"",$L$711-1),IF($R$17="Distrato",$E843,0))),0,YEARFRAC(MAX($P$708*($B843+IF($R$17="Distrato",$I$38-1,0)),IF(AND($L$711=0,$P$708=0),"",$L$711-1),IF($R$17="Distrato",$E843,0)),MIN(AT$38,$D$19),$P$20))-SUM($P843:AS843)</f>
        <v>#VALUE!</v>
      </c>
      <c r="AU843" s="446" t="e">
        <f>IF(OR($B843="",MIN(AU$38,$D$19)&lt;MAX($P$708*($B843+IF($R$17="Distrato",$I$38-1,0)),IF(AND($L$711=0,$P$708=0),"",$L$711-1),IF($R$17="Distrato",$E843,0))),0,YEARFRAC(MAX($P$708*($B843+IF($R$17="Distrato",$I$38-1,0)),IF(AND($L$711=0,$P$708=0),"",$L$711-1),IF($R$17="Distrato",$E843,0)),MIN(AU$38,$D$19),$P$20))-SUM($P843:AT843)</f>
        <v>#VALUE!</v>
      </c>
      <c r="AV843" s="446" t="e">
        <f>IF(OR($B843="",MIN(AV$38,$D$19)&lt;MAX($P$708*($B843+IF($R$17="Distrato",$I$38-1,0)),IF(AND($L$711=0,$P$708=0),"",$L$711-1),IF($R$17="Distrato",$E843,0))),0,YEARFRAC(MAX($P$708*($B843+IF($R$17="Distrato",$I$38-1,0)),IF(AND($L$711=0,$P$708=0),"",$L$711-1),IF($R$17="Distrato",$E843,0)),MIN(AV$38,$D$19),$P$20))-SUM($P843:AU843)</f>
        <v>#VALUE!</v>
      </c>
      <c r="AW843" s="446" t="e">
        <f>IF(OR($B843="",MIN(AW$38,$D$19)&lt;MAX($P$708*($B843+IF($R$17="Distrato",$I$38-1,0)),IF(AND($L$711=0,$P$708=0),"",$L$711-1),IF($R$17="Distrato",$E843,0))),0,YEARFRAC(MAX($P$708*($B843+IF($R$17="Distrato",$I$38-1,0)),IF(AND($L$711=0,$P$708=0),"",$L$711-1),IF($R$17="Distrato",$E843,0)),MIN(AW$38,$D$19),$P$20))-SUM($P843:AV843)</f>
        <v>#VALUE!</v>
      </c>
      <c r="AX843" s="446" t="e">
        <f>IF(OR($B843="",MIN(AX$38,$D$19)&lt;MAX($P$708*($B843+IF($R$17="Distrato",$I$38-1,0)),IF(AND($L$711=0,$P$708=0),"",$L$711-1),IF($R$17="Distrato",$E843,0))),0,YEARFRAC(MAX($P$708*($B843+IF($R$17="Distrato",$I$38-1,0)),IF(AND($L$711=0,$P$708=0),"",$L$711-1),IF($R$17="Distrato",$E843,0)),MIN(AX$38,$D$19),$P$20))-SUM($P843:AW843)</f>
        <v>#VALUE!</v>
      </c>
      <c r="AY843" s="446" t="e">
        <f>IF(OR($B843="",MIN(AY$38,$D$19)&lt;MAX($P$708*($B843+IF($R$17="Distrato",$I$38-1,0)),IF(AND($L$711=0,$P$708=0),"",$L$711-1),IF($R$17="Distrato",$E843,0))),0,YEARFRAC(MAX($P$708*($B843+IF($R$17="Distrato",$I$38-1,0)),IF(AND($L$711=0,$P$708=0),"",$L$711-1),IF($R$17="Distrato",$E843,0)),MIN(AY$38,$D$19),$P$20))-SUM($P843:AX843)</f>
        <v>#VALUE!</v>
      </c>
      <c r="AZ843" s="446" t="e">
        <f>IF(OR($B843="",MIN(AZ$38,$D$19)&lt;MAX($P$708*($B843+IF($R$17="Distrato",$I$38-1,0)),IF(AND($L$711=0,$P$708=0),"",$L$711-1),IF($R$17="Distrato",$E843,0))),0,YEARFRAC(MAX($P$708*($B843+IF($R$17="Distrato",$I$38-1,0)),IF(AND($L$711=0,$P$708=0),"",$L$711-1),IF($R$17="Distrato",$E843,0)),MIN(AZ$38,$D$19),$P$20))-SUM($P843:AY843)</f>
        <v>#VALUE!</v>
      </c>
      <c r="BA843" s="446" t="e">
        <f>IF(OR($B843="",MIN(BA$38,$D$19)&lt;MAX($P$708*($B843+IF($R$17="Distrato",$I$38-1,0)),IF(AND($L$711=0,$P$708=0),"",$L$711-1),IF($R$17="Distrato",$E843,0))),0,YEARFRAC(MAX($P$708*($B843+IF($R$17="Distrato",$I$38-1,0)),IF(AND($L$711=0,$P$708=0),"",$L$711-1),IF($R$17="Distrato",$E843,0)),MIN(BA$38,$D$19),$P$20))-SUM($P843:AZ843)</f>
        <v>#VALUE!</v>
      </c>
      <c r="BB843" s="447"/>
    </row>
    <row r="844" spans="1:54" s="446" customFormat="1" ht="11.25" hidden="1" customHeight="1" x14ac:dyDescent="0.2">
      <c r="A844" s="235"/>
      <c r="B844" s="236"/>
      <c r="C844" s="29" t="str">
        <f>IF(B844="","",IF($L$709=$BL$25,VLOOKUP(DATE(YEAR($D$19),MONTH($D$19)-1,1),ÍNDICES!$A:$DE,HLOOKUP($BL$25,ÍNDICES!$B$3:$T$4,2)+11)-VLOOKUP(B844,ÍNDICES!$A:$DE,HLOOKUP($BL$25,ÍNDICES!$B$3:$T$4,2)+11)+1%,IF(C$712=$W$26,$J$35,IF(ISERROR(IF(B844&gt;$D$19,1,VLOOKUP(DATE(YEAR(B844),MONTH(B844)+IF($C$709=$S$23,1,0),1),ÍNDICES!$A:$DE,$Z$709+1))),"",IF(B844&gt;$D$19,1,VLOOKUP(DATE(YEAR(B844),MONTH(B844)+IF($C$709=$S$23,1,0),1),ÍNDICES!$A:$DE,$Z$709+1))))))</f>
        <v/>
      </c>
      <c r="D844" s="155"/>
      <c r="E844" s="88"/>
      <c r="F844" s="88"/>
      <c r="G844" s="88"/>
      <c r="H844" s="118"/>
      <c r="I844" s="182">
        <f t="shared" si="129"/>
        <v>0</v>
      </c>
      <c r="J844" s="20">
        <f t="shared" ca="1" si="130"/>
        <v>0</v>
      </c>
      <c r="K844" s="5">
        <f t="shared" ca="1" si="131"/>
        <v>0</v>
      </c>
      <c r="L844" s="61">
        <f t="shared" ca="1" si="132"/>
        <v>0</v>
      </c>
      <c r="M844" s="64">
        <f t="shared" si="133"/>
        <v>0</v>
      </c>
      <c r="N844" s="151"/>
      <c r="O844" s="5">
        <f t="shared" ca="1" si="134"/>
        <v>0</v>
      </c>
      <c r="P844" s="446" t="e">
        <f t="shared" si="135"/>
        <v>#VALUE!</v>
      </c>
      <c r="Q844" s="446" t="e">
        <f>IF(OR($B844="",MIN(Q$38,$D$19)&lt;MAX($P$708*($B844+IF($R$17="Distrato",$I$38-1,0)),IF(AND($L$711=0,$P$708=0),"",$L$711-1),IF($R$17="Distrato",$E844,0))),0,YEARFRAC(MAX($P$708*($B844+IF($R$17="Distrato",$I$38-1,0)),IF(AND($L$711=0,$P$708=0),"",$L$711-1),IF($R$17="Distrato",$E844,0)),MIN(Q$38,$D$19),$P$20))-SUM($P844:P844)</f>
        <v>#VALUE!</v>
      </c>
      <c r="R844" s="446" t="e">
        <f>IF(OR($B844="",MIN(R$38,$D$19)&lt;MAX($P$708*($B844+IF($R$17="Distrato",$I$38-1,0)),IF(AND($L$711=0,$P$708=0),"",$L$711-1),IF($R$17="Distrato",$E844,0))),0,YEARFRAC(MAX($P$708*($B844+IF($R$17="Distrato",$I$38-1,0)),IF(AND($L$711=0,$P$708=0),"",$L$711-1),IF($R$17="Distrato",$E844,0)),MIN(R$38,$D$19),$P$20))-SUM($P844:Q844)</f>
        <v>#VALUE!</v>
      </c>
      <c r="S844" s="446" t="e">
        <f>IF(OR($B844="",MIN(S$38,$D$19)&lt;MAX($P$708*($B844+IF($R$17="Distrato",$I$38-1,0)),IF(AND($L$711=0,$P$708=0),"",$L$711-1),IF($R$17="Distrato",$E844,0))),0,YEARFRAC(MAX($P$708*($B844+IF($R$17="Distrato",$I$38-1,0)),IF(AND($L$711=0,$P$708=0),"",$L$711-1),IF($R$17="Distrato",$E844,0)),MIN(S$38,$D$19),$P$20))-SUM($P844:R844)</f>
        <v>#VALUE!</v>
      </c>
      <c r="T844" s="446" t="e">
        <f>IF(OR($B844="",MIN(T$38,$D$19)&lt;MAX($P$708*($B844+IF($R$17="Distrato",$I$38-1,0)),IF(AND($L$711=0,$P$708=0),"",$L$711-1),IF($R$17="Distrato",$E844,0))),0,YEARFRAC(MAX($P$708*($B844+IF($R$17="Distrato",$I$38-1,0)),IF(AND($L$711=0,$P$708=0),"",$L$711-1),IF($R$17="Distrato",$E844,0)),MIN(T$38,$D$19),$P$20))-SUM($P844:S844)</f>
        <v>#VALUE!</v>
      </c>
      <c r="U844" s="446" t="e">
        <f>IF(OR($B844="",MIN(U$38,$D$19)&lt;MAX($P$708*($B844+IF($R$17="Distrato",$I$38-1,0)),IF(AND($L$711=0,$P$708=0),"",$L$711-1),IF($R$17="Distrato",$E844,0))),0,YEARFRAC(MAX($P$708*($B844+IF($R$17="Distrato",$I$38-1,0)),IF(AND($L$711=0,$P$708=0),"",$L$711-1),IF($R$17="Distrato",$E844,0)),MIN(U$38,$D$19),$P$20))-SUM($P844:T844)</f>
        <v>#VALUE!</v>
      </c>
      <c r="V844" s="446" t="e">
        <f>IF(OR($B844="",MIN(V$38,$D$19)&lt;MAX($P$708*($B844+IF($R$17="Distrato",$I$38-1,0)),IF(AND($L$711=0,$P$708=0),"",$L$711-1),IF($R$17="Distrato",$E844,0))),0,YEARFRAC(MAX($P$708*($B844+IF($R$17="Distrato",$I$38-1,0)),IF(AND($L$711=0,$P$708=0),"",$L$711-1),IF($R$17="Distrato",$E844,0)),MIN(V$38,$D$19),$P$20))-SUM($P844:U844)</f>
        <v>#VALUE!</v>
      </c>
      <c r="W844" s="446" t="e">
        <f>IF(OR($B844="",MIN(W$38,$D$19)&lt;MAX($P$708*($B844+IF($R$17="Distrato",$I$38-1,0)),IF(AND($L$711=0,$P$708=0),"",$L$711-1),IF($R$17="Distrato",$E844,0))),0,YEARFRAC(MAX($P$708*($B844+IF($R$17="Distrato",$I$38-1,0)),IF(AND($L$711=0,$P$708=0),"",$L$711-1),IF($R$17="Distrato",$E844,0)),MIN(W$38,$D$19),$P$20))-SUM($P844:V844)</f>
        <v>#VALUE!</v>
      </c>
      <c r="X844" s="446" t="e">
        <f>IF(OR($B844="",MIN(X$38,$D$19)&lt;MAX($P$708*($B844+IF($R$17="Distrato",$I$38-1,0)),IF(AND($L$711=0,$P$708=0),"",$L$711-1),IF($R$17="Distrato",$E844,0))),0,YEARFRAC(MAX($P$708*($B844+IF($R$17="Distrato",$I$38-1,0)),IF(AND($L$711=0,$P$708=0),"",$L$711-1),IF($R$17="Distrato",$E844,0)),MIN(X$38,$D$19),$P$20))-SUM($P844:W844)</f>
        <v>#VALUE!</v>
      </c>
      <c r="Y844" s="446" t="e">
        <f>IF(OR($B844="",MIN(Y$38,$D$19)&lt;MAX($P$708*($B844+IF($R$17="Distrato",$I$38-1,0)),IF(AND($L$711=0,$P$708=0),"",$L$711-1),IF($R$17="Distrato",$E844,0))),0,YEARFRAC(MAX($P$708*($B844+IF($R$17="Distrato",$I$38-1,0)),IF(AND($L$711=0,$P$708=0),"",$L$711-1),IF($R$17="Distrato",$E844,0)),MIN(Y$38,$D$19),$P$20))-SUM($P844:X844)</f>
        <v>#VALUE!</v>
      </c>
      <c r="Z844" s="446" t="e">
        <f>IF(OR($B844="",MIN(Z$38,$D$19)&lt;MAX($P$708*($B844+IF($R$17="Distrato",$I$38-1,0)),IF(AND($L$711=0,$P$708=0),"",$L$711-1),IF($R$17="Distrato",$E844,0))),0,YEARFRAC(MAX($P$708*($B844+IF($R$17="Distrato",$I$38-1,0)),IF(AND($L$711=0,$P$708=0),"",$L$711-1),IF($R$17="Distrato",$E844,0)),MIN(Z$38,$D$19),$P$20))-SUM($P844:Y844)</f>
        <v>#VALUE!</v>
      </c>
      <c r="AA844" s="446" t="e">
        <f>IF(OR($B844="",MIN(AA$38,$D$19)&lt;MAX($P$708*($B844+IF($R$17="Distrato",$I$38-1,0)),IF(AND($L$711=0,$P$708=0),"",$L$711-1),IF($R$17="Distrato",$E844,0))),0,YEARFRAC(MAX($P$708*($B844+IF($R$17="Distrato",$I$38-1,0)),IF(AND($L$711=0,$P$708=0),"",$L$711-1),IF($R$17="Distrato",$E844,0)),MIN(AA$38,$D$19),$P$20))-SUM($P844:Z844)</f>
        <v>#VALUE!</v>
      </c>
      <c r="AB844" s="446" t="e">
        <f>IF(OR($B844="",MIN(AB$38,$D$19)&lt;MAX($P$708*($B844+IF($R$17="Distrato",$I$38-1,0)),IF(AND($L$711=0,$P$708=0),"",$L$711-1),IF($R$17="Distrato",$E844,0))),0,YEARFRAC(MAX($P$708*($B844+IF($R$17="Distrato",$I$38-1,0)),IF(AND($L$711=0,$P$708=0),"",$L$711-1),IF($R$17="Distrato",$E844,0)),MIN(AB$38,$D$19),$P$20))-SUM($P844:AA844)</f>
        <v>#VALUE!</v>
      </c>
      <c r="AC844" s="446" t="e">
        <f>IF(OR($B844="",MIN(AC$38,$D$19)&lt;MAX($P$708*($B844+IF($R$17="Distrato",$I$38-1,0)),IF(AND($L$711=0,$P$708=0),"",$L$711-1),IF($R$17="Distrato",$E844,0))),0,YEARFRAC(MAX($P$708*($B844+IF($R$17="Distrato",$I$38-1,0)),IF(AND($L$711=0,$P$708=0),"",$L$711-1),IF($R$17="Distrato",$E844,0)),MIN(AC$38,$D$19),$P$20))-SUM($P844:AB844)</f>
        <v>#VALUE!</v>
      </c>
      <c r="AD844" s="446" t="e">
        <f>IF(OR($B844="",MIN(AD$38,$D$19)&lt;MAX($P$708*($B844+IF($R$17="Distrato",$I$38-1,0)),IF(AND($L$711=0,$P$708=0),"",$L$711-1),IF($R$17="Distrato",$E844,0))),0,YEARFRAC(MAX($P$708*($B844+IF($R$17="Distrato",$I$38-1,0)),IF(AND($L$711=0,$P$708=0),"",$L$711-1),IF($R$17="Distrato",$E844,0)),MIN(AD$38,$D$19),$P$20))-SUM($P844:AC844)</f>
        <v>#VALUE!</v>
      </c>
      <c r="AE844" s="446" t="e">
        <f>IF(OR($B844="",MIN(AE$38,$D$19)&lt;MAX($P$708*($B844+IF($R$17="Distrato",$I$38-1,0)),IF(AND($L$711=0,$P$708=0),"",$L$711-1),IF($R$17="Distrato",$E844,0))),0,YEARFRAC(MAX($P$708*($B844+IF($R$17="Distrato",$I$38-1,0)),IF(AND($L$711=0,$P$708=0),"",$L$711-1),IF($R$17="Distrato",$E844,0)),MIN(AE$38,$D$19),$P$20))-SUM($P844:AD844)</f>
        <v>#VALUE!</v>
      </c>
      <c r="AF844" s="446" t="e">
        <f>IF(OR($B844="",MIN(AF$38,$D$19)&lt;MAX($P$708*($B844+IF($R$17="Distrato",$I$38-1,0)),IF(AND($L$711=0,$P$708=0),"",$L$711-1),IF($R$17="Distrato",$E844,0))),0,YEARFRAC(MAX($P$708*($B844+IF($R$17="Distrato",$I$38-1,0)),IF(AND($L$711=0,$P$708=0),"",$L$711-1),IF($R$17="Distrato",$E844,0)),MIN(AF$38,$D$19),$P$20))-SUM($P844:AE844)</f>
        <v>#VALUE!</v>
      </c>
      <c r="AG844" s="446" t="e">
        <f>IF(OR($B844="",MIN(AG$38,$D$19)&lt;MAX($P$708*($B844+IF($R$17="Distrato",$I$38-1,0)),IF(AND($L$711=0,$P$708=0),"",$L$711-1),IF($R$17="Distrato",$E844,0))),0,YEARFRAC(MAX($P$708*($B844+IF($R$17="Distrato",$I$38-1,0)),IF(AND($L$711=0,$P$708=0),"",$L$711-1),IF($R$17="Distrato",$E844,0)),MIN(AG$38,$D$19),$P$20))-SUM($P844:AF844)</f>
        <v>#VALUE!</v>
      </c>
      <c r="AH844" s="446" t="e">
        <f>IF(OR($B844="",MIN(AH$38,$D$19)&lt;MAX($P$708*($B844+IF($R$17="Distrato",$I$38-1,0)),IF(AND($L$711=0,$P$708=0),"",$L$711-1),IF($R$17="Distrato",$E844,0))),0,YEARFRAC(MAX($P$708*($B844+IF($R$17="Distrato",$I$38-1,0)),IF(AND($L$711=0,$P$708=0),"",$L$711-1),IF($R$17="Distrato",$E844,0)),MIN(AH$38,$D$19),$P$20))-SUM($P844:AG844)</f>
        <v>#VALUE!</v>
      </c>
      <c r="AI844" s="446" t="e">
        <f>IF(OR($B844="",MIN(AI$38,$D$19)&lt;MAX($P$708*($B844+IF($R$17="Distrato",$I$38-1,0)),IF(AND($L$711=0,$P$708=0),"",$L$711-1),IF($R$17="Distrato",$E844,0))),0,YEARFRAC(MAX($P$708*($B844+IF($R$17="Distrato",$I$38-1,0)),IF(AND($L$711=0,$P$708=0),"",$L$711-1),IF($R$17="Distrato",$E844,0)),MIN(AI$38,$D$19),$P$20))-SUM($P844:AH844)</f>
        <v>#VALUE!</v>
      </c>
      <c r="AJ844" s="446" t="e">
        <f>IF(OR($B844="",MIN(AJ$38,$D$19)&lt;MAX($P$708*($B844+IF($R$17="Distrato",$I$38-1,0)),IF(AND($L$711=0,$P$708=0),"",$L$711-1),IF($R$17="Distrato",$E844,0))),0,YEARFRAC(MAX($P$708*($B844+IF($R$17="Distrato",$I$38-1,0)),IF(AND($L$711=0,$P$708=0),"",$L$711-1),IF($R$17="Distrato",$E844,0)),MIN(AJ$38,$D$19),$P$20))-SUM($P844:AI844)</f>
        <v>#VALUE!</v>
      </c>
      <c r="AK844" s="446" t="e">
        <f>IF(OR($B844="",MIN(AK$38,$D$19)&lt;MAX($P$708*($B844+IF($R$17="Distrato",$I$38-1,0)),IF(AND($L$711=0,$P$708=0),"",$L$711-1),IF($R$17="Distrato",$E844,0))),0,YEARFRAC(MAX($P$708*($B844+IF($R$17="Distrato",$I$38-1,0)),IF(AND($L$711=0,$P$708=0),"",$L$711-1),IF($R$17="Distrato",$E844,0)),MIN(AK$38,$D$19),$P$20))-SUM($P844:AJ844)</f>
        <v>#VALUE!</v>
      </c>
      <c r="AL844" s="446" t="e">
        <f>IF(OR($B844="",MIN(AL$38,$D$19)&lt;MAX($P$708*($B844+IF($R$17="Distrato",$I$38-1,0)),IF(AND($L$711=0,$P$708=0),"",$L$711-1),IF($R$17="Distrato",$E844,0))),0,YEARFRAC(MAX($P$708*($B844+IF($R$17="Distrato",$I$38-1,0)),IF(AND($L$711=0,$P$708=0),"",$L$711-1),IF($R$17="Distrato",$E844,0)),MIN(AL$38,$D$19),$P$20))-SUM($P844:AK844)</f>
        <v>#VALUE!</v>
      </c>
      <c r="AM844" s="446" t="e">
        <f>IF(OR($B844="",MIN(AM$38,$D$19)&lt;MAX($P$708*($B844+IF($R$17="Distrato",$I$38-1,0)),IF(AND($L$711=0,$P$708=0),"",$L$711-1),IF($R$17="Distrato",$E844,0))),0,YEARFRAC(MAX($P$708*($B844+IF($R$17="Distrato",$I$38-1,0)),IF(AND($L$711=0,$P$708=0),"",$L$711-1),IF($R$17="Distrato",$E844,0)),MIN(AM$38,$D$19),$P$20))-SUM($P844:AL844)</f>
        <v>#VALUE!</v>
      </c>
      <c r="AN844" s="446" t="e">
        <f>IF(OR($B844="",MIN(AN$38,$D$19)&lt;MAX($P$708*($B844+IF($R$17="Distrato",$I$38-1,0)),IF(AND($L$711=0,$P$708=0),"",$L$711-1),IF($R$17="Distrato",$E844,0))),0,YEARFRAC(MAX($P$708*($B844+IF($R$17="Distrato",$I$38-1,0)),IF(AND($L$711=0,$P$708=0),"",$L$711-1),IF($R$17="Distrato",$E844,0)),MIN(AN$38,$D$19),$P$20))-SUM($P844:AM844)</f>
        <v>#VALUE!</v>
      </c>
      <c r="AO844" s="446" t="e">
        <f>IF(OR($B844="",MIN(AO$38,$D$19)&lt;MAX($P$708*($B844+IF($R$17="Distrato",$I$38-1,0)),IF(AND($L$711=0,$P$708=0),"",$L$711-1),IF($R$17="Distrato",$E844,0))),0,YEARFRAC(MAX($P$708*($B844+IF($R$17="Distrato",$I$38-1,0)),IF(AND($L$711=0,$P$708=0),"",$L$711-1),IF($R$17="Distrato",$E844,0)),MIN(AO$38,$D$19),$P$20))-SUM($P844:AN844)</f>
        <v>#VALUE!</v>
      </c>
      <c r="AP844" s="446" t="e">
        <f>IF(OR($B844="",MIN(AP$38,$D$19)&lt;MAX($P$708*($B844+IF($R$17="Distrato",$I$38-1,0)),IF(AND($L$711=0,$P$708=0),"",$L$711-1),IF($R$17="Distrato",$E844,0))),0,YEARFRAC(MAX($P$708*($B844+IF($R$17="Distrato",$I$38-1,0)),IF(AND($L$711=0,$P$708=0),"",$L$711-1),IF($R$17="Distrato",$E844,0)),MIN(AP$38,$D$19),$P$20))-SUM($P844:AO844)</f>
        <v>#VALUE!</v>
      </c>
      <c r="AQ844" s="446" t="e">
        <f>IF(OR($B844="",MIN(AQ$38,$D$19)&lt;MAX($P$708*($B844+IF($R$17="Distrato",$I$38-1,0)),IF(AND($L$711=0,$P$708=0),"",$L$711-1),IF($R$17="Distrato",$E844,0))),0,YEARFRAC(MAX($P$708*($B844+IF($R$17="Distrato",$I$38-1,0)),IF(AND($L$711=0,$P$708=0),"",$L$711-1),IF($R$17="Distrato",$E844,0)),MIN(AQ$38,$D$19),$P$20))-SUM($P844:AP844)</f>
        <v>#VALUE!</v>
      </c>
      <c r="AR844" s="446" t="e">
        <f>IF(OR($B844="",MIN(AR$38,$D$19)&lt;MAX($P$708*($B844+IF($R$17="Distrato",$I$38-1,0)),IF(AND($L$711=0,$P$708=0),"",$L$711-1),IF($R$17="Distrato",$E844,0))),0,YEARFRAC(MAX($P$708*($B844+IF($R$17="Distrato",$I$38-1,0)),IF(AND($L$711=0,$P$708=0),"",$L$711-1),IF($R$17="Distrato",$E844,0)),MIN(AR$38,$D$19),$P$20))-SUM($P844:AQ844)</f>
        <v>#VALUE!</v>
      </c>
      <c r="AS844" s="446" t="e">
        <f>IF(OR($B844="",MIN(AS$38,$D$19)&lt;MAX($P$708*($B844+IF($R$17="Distrato",$I$38-1,0)),IF(AND($L$711=0,$P$708=0),"",$L$711-1),IF($R$17="Distrato",$E844,0))),0,YEARFRAC(MAX($P$708*($B844+IF($R$17="Distrato",$I$38-1,0)),IF(AND($L$711=0,$P$708=0),"",$L$711-1),IF($R$17="Distrato",$E844,0)),MIN(AS$38,$D$19),$P$20))-SUM($P844:AR844)</f>
        <v>#VALUE!</v>
      </c>
      <c r="AT844" s="446" t="e">
        <f>IF(OR($B844="",MIN(AT$38,$D$19)&lt;MAX($P$708*($B844+IF($R$17="Distrato",$I$38-1,0)),IF(AND($L$711=0,$P$708=0),"",$L$711-1),IF($R$17="Distrato",$E844,0))),0,YEARFRAC(MAX($P$708*($B844+IF($R$17="Distrato",$I$38-1,0)),IF(AND($L$711=0,$P$708=0),"",$L$711-1),IF($R$17="Distrato",$E844,0)),MIN(AT$38,$D$19),$P$20))-SUM($P844:AS844)</f>
        <v>#VALUE!</v>
      </c>
      <c r="AU844" s="446" t="e">
        <f>IF(OR($B844="",MIN(AU$38,$D$19)&lt;MAX($P$708*($B844+IF($R$17="Distrato",$I$38-1,0)),IF(AND($L$711=0,$P$708=0),"",$L$711-1),IF($R$17="Distrato",$E844,0))),0,YEARFRAC(MAX($P$708*($B844+IF($R$17="Distrato",$I$38-1,0)),IF(AND($L$711=0,$P$708=0),"",$L$711-1),IF($R$17="Distrato",$E844,0)),MIN(AU$38,$D$19),$P$20))-SUM($P844:AT844)</f>
        <v>#VALUE!</v>
      </c>
      <c r="AV844" s="446" t="e">
        <f>IF(OR($B844="",MIN(AV$38,$D$19)&lt;MAX($P$708*($B844+IF($R$17="Distrato",$I$38-1,0)),IF(AND($L$711=0,$P$708=0),"",$L$711-1),IF($R$17="Distrato",$E844,0))),0,YEARFRAC(MAX($P$708*($B844+IF($R$17="Distrato",$I$38-1,0)),IF(AND($L$711=0,$P$708=0),"",$L$711-1),IF($R$17="Distrato",$E844,0)),MIN(AV$38,$D$19),$P$20))-SUM($P844:AU844)</f>
        <v>#VALUE!</v>
      </c>
      <c r="AW844" s="446" t="e">
        <f>IF(OR($B844="",MIN(AW$38,$D$19)&lt;MAX($P$708*($B844+IF($R$17="Distrato",$I$38-1,0)),IF(AND($L$711=0,$P$708=0),"",$L$711-1),IF($R$17="Distrato",$E844,0))),0,YEARFRAC(MAX($P$708*($B844+IF($R$17="Distrato",$I$38-1,0)),IF(AND($L$711=0,$P$708=0),"",$L$711-1),IF($R$17="Distrato",$E844,0)),MIN(AW$38,$D$19),$P$20))-SUM($P844:AV844)</f>
        <v>#VALUE!</v>
      </c>
      <c r="AX844" s="446" t="e">
        <f>IF(OR($B844="",MIN(AX$38,$D$19)&lt;MAX($P$708*($B844+IF($R$17="Distrato",$I$38-1,0)),IF(AND($L$711=0,$P$708=0),"",$L$711-1),IF($R$17="Distrato",$E844,0))),0,YEARFRAC(MAX($P$708*($B844+IF($R$17="Distrato",$I$38-1,0)),IF(AND($L$711=0,$P$708=0),"",$L$711-1),IF($R$17="Distrato",$E844,0)),MIN(AX$38,$D$19),$P$20))-SUM($P844:AW844)</f>
        <v>#VALUE!</v>
      </c>
      <c r="AY844" s="446" t="e">
        <f>IF(OR($B844="",MIN(AY$38,$D$19)&lt;MAX($P$708*($B844+IF($R$17="Distrato",$I$38-1,0)),IF(AND($L$711=0,$P$708=0),"",$L$711-1),IF($R$17="Distrato",$E844,0))),0,YEARFRAC(MAX($P$708*($B844+IF($R$17="Distrato",$I$38-1,0)),IF(AND($L$711=0,$P$708=0),"",$L$711-1),IF($R$17="Distrato",$E844,0)),MIN(AY$38,$D$19),$P$20))-SUM($P844:AX844)</f>
        <v>#VALUE!</v>
      </c>
      <c r="AZ844" s="446" t="e">
        <f>IF(OR($B844="",MIN(AZ$38,$D$19)&lt;MAX($P$708*($B844+IF($R$17="Distrato",$I$38-1,0)),IF(AND($L$711=0,$P$708=0),"",$L$711-1),IF($R$17="Distrato",$E844,0))),0,YEARFRAC(MAX($P$708*($B844+IF($R$17="Distrato",$I$38-1,0)),IF(AND($L$711=0,$P$708=0),"",$L$711-1),IF($R$17="Distrato",$E844,0)),MIN(AZ$38,$D$19),$P$20))-SUM($P844:AY844)</f>
        <v>#VALUE!</v>
      </c>
      <c r="BA844" s="446" t="e">
        <f>IF(OR($B844="",MIN(BA$38,$D$19)&lt;MAX($P$708*($B844+IF($R$17="Distrato",$I$38-1,0)),IF(AND($L$711=0,$P$708=0),"",$L$711-1),IF($R$17="Distrato",$E844,0))),0,YEARFRAC(MAX($P$708*($B844+IF($R$17="Distrato",$I$38-1,0)),IF(AND($L$711=0,$P$708=0),"",$L$711-1),IF($R$17="Distrato",$E844,0)),MIN(BA$38,$D$19),$P$20))-SUM($P844:AZ844)</f>
        <v>#VALUE!</v>
      </c>
      <c r="BB844" s="447"/>
    </row>
    <row r="845" spans="1:54" s="446" customFormat="1" ht="11.25" hidden="1" customHeight="1" x14ac:dyDescent="0.2">
      <c r="A845" s="235"/>
      <c r="B845" s="236"/>
      <c r="C845" s="29" t="str">
        <f>IF(B845="","",IF($L$709=$BL$25,VLOOKUP(DATE(YEAR($D$19),MONTH($D$19)-1,1),ÍNDICES!$A:$DE,HLOOKUP($BL$25,ÍNDICES!$B$3:$T$4,2)+11)-VLOOKUP(B845,ÍNDICES!$A:$DE,HLOOKUP($BL$25,ÍNDICES!$B$3:$T$4,2)+11)+1%,IF(C$712=$W$26,$J$35,IF(ISERROR(IF(B845&gt;$D$19,1,VLOOKUP(DATE(YEAR(B845),MONTH(B845)+IF($C$709=$S$23,1,0),1),ÍNDICES!$A:$DE,$Z$709+1))),"",IF(B845&gt;$D$19,1,VLOOKUP(DATE(YEAR(B845),MONTH(B845)+IF($C$709=$S$23,1,0),1),ÍNDICES!$A:$DE,$Z$709+1))))))</f>
        <v/>
      </c>
      <c r="D845" s="155"/>
      <c r="E845" s="88"/>
      <c r="F845" s="88"/>
      <c r="G845" s="88"/>
      <c r="H845" s="118"/>
      <c r="I845" s="182">
        <f t="shared" si="129"/>
        <v>0</v>
      </c>
      <c r="J845" s="20">
        <f t="shared" ca="1" si="130"/>
        <v>0</v>
      </c>
      <c r="K845" s="5">
        <f t="shared" ca="1" si="131"/>
        <v>0</v>
      </c>
      <c r="L845" s="61">
        <f t="shared" ca="1" si="132"/>
        <v>0</v>
      </c>
      <c r="M845" s="64">
        <f t="shared" si="133"/>
        <v>0</v>
      </c>
      <c r="N845" s="151"/>
      <c r="O845" s="5">
        <f t="shared" ca="1" si="134"/>
        <v>0</v>
      </c>
      <c r="P845" s="446" t="e">
        <f t="shared" si="135"/>
        <v>#VALUE!</v>
      </c>
      <c r="Q845" s="446" t="e">
        <f>IF(OR($B845="",MIN(Q$38,$D$19)&lt;MAX($P$708*($B845+IF($R$17="Distrato",$I$38-1,0)),IF(AND($L$711=0,$P$708=0),"",$L$711-1),IF($R$17="Distrato",$E845,0))),0,YEARFRAC(MAX($P$708*($B845+IF($R$17="Distrato",$I$38-1,0)),IF(AND($L$711=0,$P$708=0),"",$L$711-1),IF($R$17="Distrato",$E845,0)),MIN(Q$38,$D$19),$P$20))-SUM($P845:P845)</f>
        <v>#VALUE!</v>
      </c>
      <c r="R845" s="446" t="e">
        <f>IF(OR($B845="",MIN(R$38,$D$19)&lt;MAX($P$708*($B845+IF($R$17="Distrato",$I$38-1,0)),IF(AND($L$711=0,$P$708=0),"",$L$711-1),IF($R$17="Distrato",$E845,0))),0,YEARFRAC(MAX($P$708*($B845+IF($R$17="Distrato",$I$38-1,0)),IF(AND($L$711=0,$P$708=0),"",$L$711-1),IF($R$17="Distrato",$E845,0)),MIN(R$38,$D$19),$P$20))-SUM($P845:Q845)</f>
        <v>#VALUE!</v>
      </c>
      <c r="S845" s="446" t="e">
        <f>IF(OR($B845="",MIN(S$38,$D$19)&lt;MAX($P$708*($B845+IF($R$17="Distrato",$I$38-1,0)),IF(AND($L$711=0,$P$708=0),"",$L$711-1),IF($R$17="Distrato",$E845,0))),0,YEARFRAC(MAX($P$708*($B845+IF($R$17="Distrato",$I$38-1,0)),IF(AND($L$711=0,$P$708=0),"",$L$711-1),IF($R$17="Distrato",$E845,0)),MIN(S$38,$D$19),$P$20))-SUM($P845:R845)</f>
        <v>#VALUE!</v>
      </c>
      <c r="T845" s="446" t="e">
        <f>IF(OR($B845="",MIN(T$38,$D$19)&lt;MAX($P$708*($B845+IF($R$17="Distrato",$I$38-1,0)),IF(AND($L$711=0,$P$708=0),"",$L$711-1),IF($R$17="Distrato",$E845,0))),0,YEARFRAC(MAX($P$708*($B845+IF($R$17="Distrato",$I$38-1,0)),IF(AND($L$711=0,$P$708=0),"",$L$711-1),IF($R$17="Distrato",$E845,0)),MIN(T$38,$D$19),$P$20))-SUM($P845:S845)</f>
        <v>#VALUE!</v>
      </c>
      <c r="U845" s="446" t="e">
        <f>IF(OR($B845="",MIN(U$38,$D$19)&lt;MAX($P$708*($B845+IF($R$17="Distrato",$I$38-1,0)),IF(AND($L$711=0,$P$708=0),"",$L$711-1),IF($R$17="Distrato",$E845,0))),0,YEARFRAC(MAX($P$708*($B845+IF($R$17="Distrato",$I$38-1,0)),IF(AND($L$711=0,$P$708=0),"",$L$711-1),IF($R$17="Distrato",$E845,0)),MIN(U$38,$D$19),$P$20))-SUM($P845:T845)</f>
        <v>#VALUE!</v>
      </c>
      <c r="V845" s="446" t="e">
        <f>IF(OR($B845="",MIN(V$38,$D$19)&lt;MAX($P$708*($B845+IF($R$17="Distrato",$I$38-1,0)),IF(AND($L$711=0,$P$708=0),"",$L$711-1),IF($R$17="Distrato",$E845,0))),0,YEARFRAC(MAX($P$708*($B845+IF($R$17="Distrato",$I$38-1,0)),IF(AND($L$711=0,$P$708=0),"",$L$711-1),IF($R$17="Distrato",$E845,0)),MIN(V$38,$D$19),$P$20))-SUM($P845:U845)</f>
        <v>#VALUE!</v>
      </c>
      <c r="W845" s="446" t="e">
        <f>IF(OR($B845="",MIN(W$38,$D$19)&lt;MAX($P$708*($B845+IF($R$17="Distrato",$I$38-1,0)),IF(AND($L$711=0,$P$708=0),"",$L$711-1),IF($R$17="Distrato",$E845,0))),0,YEARFRAC(MAX($P$708*($B845+IF($R$17="Distrato",$I$38-1,0)),IF(AND($L$711=0,$P$708=0),"",$L$711-1),IF($R$17="Distrato",$E845,0)),MIN(W$38,$D$19),$P$20))-SUM($P845:V845)</f>
        <v>#VALUE!</v>
      </c>
      <c r="X845" s="446" t="e">
        <f>IF(OR($B845="",MIN(X$38,$D$19)&lt;MAX($P$708*($B845+IF($R$17="Distrato",$I$38-1,0)),IF(AND($L$711=0,$P$708=0),"",$L$711-1),IF($R$17="Distrato",$E845,0))),0,YEARFRAC(MAX($P$708*($B845+IF($R$17="Distrato",$I$38-1,0)),IF(AND($L$711=0,$P$708=0),"",$L$711-1),IF($R$17="Distrato",$E845,0)),MIN(X$38,$D$19),$P$20))-SUM($P845:W845)</f>
        <v>#VALUE!</v>
      </c>
      <c r="Y845" s="446" t="e">
        <f>IF(OR($B845="",MIN(Y$38,$D$19)&lt;MAX($P$708*($B845+IF($R$17="Distrato",$I$38-1,0)),IF(AND($L$711=0,$P$708=0),"",$L$711-1),IF($R$17="Distrato",$E845,0))),0,YEARFRAC(MAX($P$708*($B845+IF($R$17="Distrato",$I$38-1,0)),IF(AND($L$711=0,$P$708=0),"",$L$711-1),IF($R$17="Distrato",$E845,0)),MIN(Y$38,$D$19),$P$20))-SUM($P845:X845)</f>
        <v>#VALUE!</v>
      </c>
      <c r="Z845" s="446" t="e">
        <f>IF(OR($B845="",MIN(Z$38,$D$19)&lt;MAX($P$708*($B845+IF($R$17="Distrato",$I$38-1,0)),IF(AND($L$711=0,$P$708=0),"",$L$711-1),IF($R$17="Distrato",$E845,0))),0,YEARFRAC(MAX($P$708*($B845+IF($R$17="Distrato",$I$38-1,0)),IF(AND($L$711=0,$P$708=0),"",$L$711-1),IF($R$17="Distrato",$E845,0)),MIN(Z$38,$D$19),$P$20))-SUM($P845:Y845)</f>
        <v>#VALUE!</v>
      </c>
      <c r="AA845" s="446" t="e">
        <f>IF(OR($B845="",MIN(AA$38,$D$19)&lt;MAX($P$708*($B845+IF($R$17="Distrato",$I$38-1,0)),IF(AND($L$711=0,$P$708=0),"",$L$711-1),IF($R$17="Distrato",$E845,0))),0,YEARFRAC(MAX($P$708*($B845+IF($R$17="Distrato",$I$38-1,0)),IF(AND($L$711=0,$P$708=0),"",$L$711-1),IF($R$17="Distrato",$E845,0)),MIN(AA$38,$D$19),$P$20))-SUM($P845:Z845)</f>
        <v>#VALUE!</v>
      </c>
      <c r="AB845" s="446" t="e">
        <f>IF(OR($B845="",MIN(AB$38,$D$19)&lt;MAX($P$708*($B845+IF($R$17="Distrato",$I$38-1,0)),IF(AND($L$711=0,$P$708=0),"",$L$711-1),IF($R$17="Distrato",$E845,0))),0,YEARFRAC(MAX($P$708*($B845+IF($R$17="Distrato",$I$38-1,0)),IF(AND($L$711=0,$P$708=0),"",$L$711-1),IF($R$17="Distrato",$E845,0)),MIN(AB$38,$D$19),$P$20))-SUM($P845:AA845)</f>
        <v>#VALUE!</v>
      </c>
      <c r="AC845" s="446" t="e">
        <f>IF(OR($B845="",MIN(AC$38,$D$19)&lt;MAX($P$708*($B845+IF($R$17="Distrato",$I$38-1,0)),IF(AND($L$711=0,$P$708=0),"",$L$711-1),IF($R$17="Distrato",$E845,0))),0,YEARFRAC(MAX($P$708*($B845+IF($R$17="Distrato",$I$38-1,0)),IF(AND($L$711=0,$P$708=0),"",$L$711-1),IF($R$17="Distrato",$E845,0)),MIN(AC$38,$D$19),$P$20))-SUM($P845:AB845)</f>
        <v>#VALUE!</v>
      </c>
      <c r="AD845" s="446" t="e">
        <f>IF(OR($B845="",MIN(AD$38,$D$19)&lt;MAX($P$708*($B845+IF($R$17="Distrato",$I$38-1,0)),IF(AND($L$711=0,$P$708=0),"",$L$711-1),IF($R$17="Distrato",$E845,0))),0,YEARFRAC(MAX($P$708*($B845+IF($R$17="Distrato",$I$38-1,0)),IF(AND($L$711=0,$P$708=0),"",$L$711-1),IF($R$17="Distrato",$E845,0)),MIN(AD$38,$D$19),$P$20))-SUM($P845:AC845)</f>
        <v>#VALUE!</v>
      </c>
      <c r="AE845" s="446" t="e">
        <f>IF(OR($B845="",MIN(AE$38,$D$19)&lt;MAX($P$708*($B845+IF($R$17="Distrato",$I$38-1,0)),IF(AND($L$711=0,$P$708=0),"",$L$711-1),IF($R$17="Distrato",$E845,0))),0,YEARFRAC(MAX($P$708*($B845+IF($R$17="Distrato",$I$38-1,0)),IF(AND($L$711=0,$P$708=0),"",$L$711-1),IF($R$17="Distrato",$E845,0)),MIN(AE$38,$D$19),$P$20))-SUM($P845:AD845)</f>
        <v>#VALUE!</v>
      </c>
      <c r="AF845" s="446" t="e">
        <f>IF(OR($B845="",MIN(AF$38,$D$19)&lt;MAX($P$708*($B845+IF($R$17="Distrato",$I$38-1,0)),IF(AND($L$711=0,$P$708=0),"",$L$711-1),IF($R$17="Distrato",$E845,0))),0,YEARFRAC(MAX($P$708*($B845+IF($R$17="Distrato",$I$38-1,0)),IF(AND($L$711=0,$P$708=0),"",$L$711-1),IF($R$17="Distrato",$E845,0)),MIN(AF$38,$D$19),$P$20))-SUM($P845:AE845)</f>
        <v>#VALUE!</v>
      </c>
      <c r="AG845" s="446" t="e">
        <f>IF(OR($B845="",MIN(AG$38,$D$19)&lt;MAX($P$708*($B845+IF($R$17="Distrato",$I$38-1,0)),IF(AND($L$711=0,$P$708=0),"",$L$711-1),IF($R$17="Distrato",$E845,0))),0,YEARFRAC(MAX($P$708*($B845+IF($R$17="Distrato",$I$38-1,0)),IF(AND($L$711=0,$P$708=0),"",$L$711-1),IF($R$17="Distrato",$E845,0)),MIN(AG$38,$D$19),$P$20))-SUM($P845:AF845)</f>
        <v>#VALUE!</v>
      </c>
      <c r="AH845" s="446" t="e">
        <f>IF(OR($B845="",MIN(AH$38,$D$19)&lt;MAX($P$708*($B845+IF($R$17="Distrato",$I$38-1,0)),IF(AND($L$711=0,$P$708=0),"",$L$711-1),IF($R$17="Distrato",$E845,0))),0,YEARFRAC(MAX($P$708*($B845+IF($R$17="Distrato",$I$38-1,0)),IF(AND($L$711=0,$P$708=0),"",$L$711-1),IF($R$17="Distrato",$E845,0)),MIN(AH$38,$D$19),$P$20))-SUM($P845:AG845)</f>
        <v>#VALUE!</v>
      </c>
      <c r="AI845" s="446" t="e">
        <f>IF(OR($B845="",MIN(AI$38,$D$19)&lt;MAX($P$708*($B845+IF($R$17="Distrato",$I$38-1,0)),IF(AND($L$711=0,$P$708=0),"",$L$711-1),IF($R$17="Distrato",$E845,0))),0,YEARFRAC(MAX($P$708*($B845+IF($R$17="Distrato",$I$38-1,0)),IF(AND($L$711=0,$P$708=0),"",$L$711-1),IF($R$17="Distrato",$E845,0)),MIN(AI$38,$D$19),$P$20))-SUM($P845:AH845)</f>
        <v>#VALUE!</v>
      </c>
      <c r="AJ845" s="446" t="e">
        <f>IF(OR($B845="",MIN(AJ$38,$D$19)&lt;MAX($P$708*($B845+IF($R$17="Distrato",$I$38-1,0)),IF(AND($L$711=0,$P$708=0),"",$L$711-1),IF($R$17="Distrato",$E845,0))),0,YEARFRAC(MAX($P$708*($B845+IF($R$17="Distrato",$I$38-1,0)),IF(AND($L$711=0,$P$708=0),"",$L$711-1),IF($R$17="Distrato",$E845,0)),MIN(AJ$38,$D$19),$P$20))-SUM($P845:AI845)</f>
        <v>#VALUE!</v>
      </c>
      <c r="AK845" s="446" t="e">
        <f>IF(OR($B845="",MIN(AK$38,$D$19)&lt;MAX($P$708*($B845+IF($R$17="Distrato",$I$38-1,0)),IF(AND($L$711=0,$P$708=0),"",$L$711-1),IF($R$17="Distrato",$E845,0))),0,YEARFRAC(MAX($P$708*($B845+IF($R$17="Distrato",$I$38-1,0)),IF(AND($L$711=0,$P$708=0),"",$L$711-1),IF($R$17="Distrato",$E845,0)),MIN(AK$38,$D$19),$P$20))-SUM($P845:AJ845)</f>
        <v>#VALUE!</v>
      </c>
      <c r="AL845" s="446" t="e">
        <f>IF(OR($B845="",MIN(AL$38,$D$19)&lt;MAX($P$708*($B845+IF($R$17="Distrato",$I$38-1,0)),IF(AND($L$711=0,$P$708=0),"",$L$711-1),IF($R$17="Distrato",$E845,0))),0,YEARFRAC(MAX($P$708*($B845+IF($R$17="Distrato",$I$38-1,0)),IF(AND($L$711=0,$P$708=0),"",$L$711-1),IF($R$17="Distrato",$E845,0)),MIN(AL$38,$D$19),$P$20))-SUM($P845:AK845)</f>
        <v>#VALUE!</v>
      </c>
      <c r="AM845" s="446" t="e">
        <f>IF(OR($B845="",MIN(AM$38,$D$19)&lt;MAX($P$708*($B845+IF($R$17="Distrato",$I$38-1,0)),IF(AND($L$711=0,$P$708=0),"",$L$711-1),IF($R$17="Distrato",$E845,0))),0,YEARFRAC(MAX($P$708*($B845+IF($R$17="Distrato",$I$38-1,0)),IF(AND($L$711=0,$P$708=0),"",$L$711-1),IF($R$17="Distrato",$E845,0)),MIN(AM$38,$D$19),$P$20))-SUM($P845:AL845)</f>
        <v>#VALUE!</v>
      </c>
      <c r="AN845" s="446" t="e">
        <f>IF(OR($B845="",MIN(AN$38,$D$19)&lt;MAX($P$708*($B845+IF($R$17="Distrato",$I$38-1,0)),IF(AND($L$711=0,$P$708=0),"",$L$711-1),IF($R$17="Distrato",$E845,0))),0,YEARFRAC(MAX($P$708*($B845+IF($R$17="Distrato",$I$38-1,0)),IF(AND($L$711=0,$P$708=0),"",$L$711-1),IF($R$17="Distrato",$E845,0)),MIN(AN$38,$D$19),$P$20))-SUM($P845:AM845)</f>
        <v>#VALUE!</v>
      </c>
      <c r="AO845" s="446" t="e">
        <f>IF(OR($B845="",MIN(AO$38,$D$19)&lt;MAX($P$708*($B845+IF($R$17="Distrato",$I$38-1,0)),IF(AND($L$711=0,$P$708=0),"",$L$711-1),IF($R$17="Distrato",$E845,0))),0,YEARFRAC(MAX($P$708*($B845+IF($R$17="Distrato",$I$38-1,0)),IF(AND($L$711=0,$P$708=0),"",$L$711-1),IF($R$17="Distrato",$E845,0)),MIN(AO$38,$D$19),$P$20))-SUM($P845:AN845)</f>
        <v>#VALUE!</v>
      </c>
      <c r="AP845" s="446" t="e">
        <f>IF(OR($B845="",MIN(AP$38,$D$19)&lt;MAX($P$708*($B845+IF($R$17="Distrato",$I$38-1,0)),IF(AND($L$711=0,$P$708=0),"",$L$711-1),IF($R$17="Distrato",$E845,0))),0,YEARFRAC(MAX($P$708*($B845+IF($R$17="Distrato",$I$38-1,0)),IF(AND($L$711=0,$P$708=0),"",$L$711-1),IF($R$17="Distrato",$E845,0)),MIN(AP$38,$D$19),$P$20))-SUM($P845:AO845)</f>
        <v>#VALUE!</v>
      </c>
      <c r="AQ845" s="446" t="e">
        <f>IF(OR($B845="",MIN(AQ$38,$D$19)&lt;MAX($P$708*($B845+IF($R$17="Distrato",$I$38-1,0)),IF(AND($L$711=0,$P$708=0),"",$L$711-1),IF($R$17="Distrato",$E845,0))),0,YEARFRAC(MAX($P$708*($B845+IF($R$17="Distrato",$I$38-1,0)),IF(AND($L$711=0,$P$708=0),"",$L$711-1),IF($R$17="Distrato",$E845,0)),MIN(AQ$38,$D$19),$P$20))-SUM($P845:AP845)</f>
        <v>#VALUE!</v>
      </c>
      <c r="AR845" s="446" t="e">
        <f>IF(OR($B845="",MIN(AR$38,$D$19)&lt;MAX($P$708*($B845+IF($R$17="Distrato",$I$38-1,0)),IF(AND($L$711=0,$P$708=0),"",$L$711-1),IF($R$17="Distrato",$E845,0))),0,YEARFRAC(MAX($P$708*($B845+IF($R$17="Distrato",$I$38-1,0)),IF(AND($L$711=0,$P$708=0),"",$L$711-1),IF($R$17="Distrato",$E845,0)),MIN(AR$38,$D$19),$P$20))-SUM($P845:AQ845)</f>
        <v>#VALUE!</v>
      </c>
      <c r="AS845" s="446" t="e">
        <f>IF(OR($B845="",MIN(AS$38,$D$19)&lt;MAX($P$708*($B845+IF($R$17="Distrato",$I$38-1,0)),IF(AND($L$711=0,$P$708=0),"",$L$711-1),IF($R$17="Distrato",$E845,0))),0,YEARFRAC(MAX($P$708*($B845+IF($R$17="Distrato",$I$38-1,0)),IF(AND($L$711=0,$P$708=0),"",$L$711-1),IF($R$17="Distrato",$E845,0)),MIN(AS$38,$D$19),$P$20))-SUM($P845:AR845)</f>
        <v>#VALUE!</v>
      </c>
      <c r="AT845" s="446" t="e">
        <f>IF(OR($B845="",MIN(AT$38,$D$19)&lt;MAX($P$708*($B845+IF($R$17="Distrato",$I$38-1,0)),IF(AND($L$711=0,$P$708=0),"",$L$711-1),IF($R$17="Distrato",$E845,0))),0,YEARFRAC(MAX($P$708*($B845+IF($R$17="Distrato",$I$38-1,0)),IF(AND($L$711=0,$P$708=0),"",$L$711-1),IF($R$17="Distrato",$E845,0)),MIN(AT$38,$D$19),$P$20))-SUM($P845:AS845)</f>
        <v>#VALUE!</v>
      </c>
      <c r="AU845" s="446" t="e">
        <f>IF(OR($B845="",MIN(AU$38,$D$19)&lt;MAX($P$708*($B845+IF($R$17="Distrato",$I$38-1,0)),IF(AND($L$711=0,$P$708=0),"",$L$711-1),IF($R$17="Distrato",$E845,0))),0,YEARFRAC(MAX($P$708*($B845+IF($R$17="Distrato",$I$38-1,0)),IF(AND($L$711=0,$P$708=0),"",$L$711-1),IF($R$17="Distrato",$E845,0)),MIN(AU$38,$D$19),$P$20))-SUM($P845:AT845)</f>
        <v>#VALUE!</v>
      </c>
      <c r="AV845" s="446" t="e">
        <f>IF(OR($B845="",MIN(AV$38,$D$19)&lt;MAX($P$708*($B845+IF($R$17="Distrato",$I$38-1,0)),IF(AND($L$711=0,$P$708=0),"",$L$711-1),IF($R$17="Distrato",$E845,0))),0,YEARFRAC(MAX($P$708*($B845+IF($R$17="Distrato",$I$38-1,0)),IF(AND($L$711=0,$P$708=0),"",$L$711-1),IF($R$17="Distrato",$E845,0)),MIN(AV$38,$D$19),$P$20))-SUM($P845:AU845)</f>
        <v>#VALUE!</v>
      </c>
      <c r="AW845" s="446" t="e">
        <f>IF(OR($B845="",MIN(AW$38,$D$19)&lt;MAX($P$708*($B845+IF($R$17="Distrato",$I$38-1,0)),IF(AND($L$711=0,$P$708=0),"",$L$711-1),IF($R$17="Distrato",$E845,0))),0,YEARFRAC(MAX($P$708*($B845+IF($R$17="Distrato",$I$38-1,0)),IF(AND($L$711=0,$P$708=0),"",$L$711-1),IF($R$17="Distrato",$E845,0)),MIN(AW$38,$D$19),$P$20))-SUM($P845:AV845)</f>
        <v>#VALUE!</v>
      </c>
      <c r="AX845" s="446" t="e">
        <f>IF(OR($B845="",MIN(AX$38,$D$19)&lt;MAX($P$708*($B845+IF($R$17="Distrato",$I$38-1,0)),IF(AND($L$711=0,$P$708=0),"",$L$711-1),IF($R$17="Distrato",$E845,0))),0,YEARFRAC(MAX($P$708*($B845+IF($R$17="Distrato",$I$38-1,0)),IF(AND($L$711=0,$P$708=0),"",$L$711-1),IF($R$17="Distrato",$E845,0)),MIN(AX$38,$D$19),$P$20))-SUM($P845:AW845)</f>
        <v>#VALUE!</v>
      </c>
      <c r="AY845" s="446" t="e">
        <f>IF(OR($B845="",MIN(AY$38,$D$19)&lt;MAX($P$708*($B845+IF($R$17="Distrato",$I$38-1,0)),IF(AND($L$711=0,$P$708=0),"",$L$711-1),IF($R$17="Distrato",$E845,0))),0,YEARFRAC(MAX($P$708*($B845+IF($R$17="Distrato",$I$38-1,0)),IF(AND($L$711=0,$P$708=0),"",$L$711-1),IF($R$17="Distrato",$E845,0)),MIN(AY$38,$D$19),$P$20))-SUM($P845:AX845)</f>
        <v>#VALUE!</v>
      </c>
      <c r="AZ845" s="446" t="e">
        <f>IF(OR($B845="",MIN(AZ$38,$D$19)&lt;MAX($P$708*($B845+IF($R$17="Distrato",$I$38-1,0)),IF(AND($L$711=0,$P$708=0),"",$L$711-1),IF($R$17="Distrato",$E845,0))),0,YEARFRAC(MAX($P$708*($B845+IF($R$17="Distrato",$I$38-1,0)),IF(AND($L$711=0,$P$708=0),"",$L$711-1),IF($R$17="Distrato",$E845,0)),MIN(AZ$38,$D$19),$P$20))-SUM($P845:AY845)</f>
        <v>#VALUE!</v>
      </c>
      <c r="BA845" s="446" t="e">
        <f>IF(OR($B845="",MIN(BA$38,$D$19)&lt;MAX($P$708*($B845+IF($R$17="Distrato",$I$38-1,0)),IF(AND($L$711=0,$P$708=0),"",$L$711-1),IF($R$17="Distrato",$E845,0))),0,YEARFRAC(MAX($P$708*($B845+IF($R$17="Distrato",$I$38-1,0)),IF(AND($L$711=0,$P$708=0),"",$L$711-1),IF($R$17="Distrato",$E845,0)),MIN(BA$38,$D$19),$P$20))-SUM($P845:AZ845)</f>
        <v>#VALUE!</v>
      </c>
      <c r="BB845" s="447"/>
    </row>
    <row r="846" spans="1:54" s="446" customFormat="1" ht="11.25" hidden="1" customHeight="1" x14ac:dyDescent="0.2">
      <c r="A846" s="235"/>
      <c r="B846" s="236"/>
      <c r="C846" s="29" t="str">
        <f>IF(B846="","",IF($L$709=$BL$25,VLOOKUP(DATE(YEAR($D$19),MONTH($D$19)-1,1),ÍNDICES!$A:$DE,HLOOKUP($BL$25,ÍNDICES!$B$3:$T$4,2)+11)-VLOOKUP(B846,ÍNDICES!$A:$DE,HLOOKUP($BL$25,ÍNDICES!$B$3:$T$4,2)+11)+1%,IF(C$712=$W$26,$J$35,IF(ISERROR(IF(B846&gt;$D$19,1,VLOOKUP(DATE(YEAR(B846),MONTH(B846)+IF($C$709=$S$23,1,0),1),ÍNDICES!$A:$DE,$Z$709+1))),"",IF(B846&gt;$D$19,1,VLOOKUP(DATE(YEAR(B846),MONTH(B846)+IF($C$709=$S$23,1,0),1),ÍNDICES!$A:$DE,$Z$709+1))))))</f>
        <v/>
      </c>
      <c r="D846" s="155"/>
      <c r="E846" s="88"/>
      <c r="F846" s="88"/>
      <c r="G846" s="88"/>
      <c r="H846" s="118"/>
      <c r="I846" s="182">
        <f t="shared" si="129"/>
        <v>0</v>
      </c>
      <c r="J846" s="20">
        <f t="shared" ca="1" si="130"/>
        <v>0</v>
      </c>
      <c r="K846" s="5">
        <f t="shared" ca="1" si="131"/>
        <v>0</v>
      </c>
      <c r="L846" s="61">
        <f t="shared" ca="1" si="132"/>
        <v>0</v>
      </c>
      <c r="M846" s="64">
        <f t="shared" si="133"/>
        <v>0</v>
      </c>
      <c r="N846" s="151"/>
      <c r="O846" s="5">
        <f t="shared" ca="1" si="134"/>
        <v>0</v>
      </c>
      <c r="P846" s="446" t="e">
        <f t="shared" si="135"/>
        <v>#VALUE!</v>
      </c>
      <c r="Q846" s="446" t="e">
        <f>IF(OR($B846="",MIN(Q$38,$D$19)&lt;MAX($P$708*($B846+IF($R$17="Distrato",$I$38-1,0)),IF(AND($L$711=0,$P$708=0),"",$L$711-1),IF($R$17="Distrato",$E846,0))),0,YEARFRAC(MAX($P$708*($B846+IF($R$17="Distrato",$I$38-1,0)),IF(AND($L$711=0,$P$708=0),"",$L$711-1),IF($R$17="Distrato",$E846,0)),MIN(Q$38,$D$19),$P$20))-SUM($P846:P846)</f>
        <v>#VALUE!</v>
      </c>
      <c r="R846" s="446" t="e">
        <f>IF(OR($B846="",MIN(R$38,$D$19)&lt;MAX($P$708*($B846+IF($R$17="Distrato",$I$38-1,0)),IF(AND($L$711=0,$P$708=0),"",$L$711-1),IF($R$17="Distrato",$E846,0))),0,YEARFRAC(MAX($P$708*($B846+IF($R$17="Distrato",$I$38-1,0)),IF(AND($L$711=0,$P$708=0),"",$L$711-1),IF($R$17="Distrato",$E846,0)),MIN(R$38,$D$19),$P$20))-SUM($P846:Q846)</f>
        <v>#VALUE!</v>
      </c>
      <c r="S846" s="446" t="e">
        <f>IF(OR($B846="",MIN(S$38,$D$19)&lt;MAX($P$708*($B846+IF($R$17="Distrato",$I$38-1,0)),IF(AND($L$711=0,$P$708=0),"",$L$711-1),IF($R$17="Distrato",$E846,0))),0,YEARFRAC(MAX($P$708*($B846+IF($R$17="Distrato",$I$38-1,0)),IF(AND($L$711=0,$P$708=0),"",$L$711-1),IF($R$17="Distrato",$E846,0)),MIN(S$38,$D$19),$P$20))-SUM($P846:R846)</f>
        <v>#VALUE!</v>
      </c>
      <c r="T846" s="446" t="e">
        <f>IF(OR($B846="",MIN(T$38,$D$19)&lt;MAX($P$708*($B846+IF($R$17="Distrato",$I$38-1,0)),IF(AND($L$711=0,$P$708=0),"",$L$711-1),IF($R$17="Distrato",$E846,0))),0,YEARFRAC(MAX($P$708*($B846+IF($R$17="Distrato",$I$38-1,0)),IF(AND($L$711=0,$P$708=0),"",$L$711-1),IF($R$17="Distrato",$E846,0)),MIN(T$38,$D$19),$P$20))-SUM($P846:S846)</f>
        <v>#VALUE!</v>
      </c>
      <c r="U846" s="446" t="e">
        <f>IF(OR($B846="",MIN(U$38,$D$19)&lt;MAX($P$708*($B846+IF($R$17="Distrato",$I$38-1,0)),IF(AND($L$711=0,$P$708=0),"",$L$711-1),IF($R$17="Distrato",$E846,0))),0,YEARFRAC(MAX($P$708*($B846+IF($R$17="Distrato",$I$38-1,0)),IF(AND($L$711=0,$P$708=0),"",$L$711-1),IF($R$17="Distrato",$E846,0)),MIN(U$38,$D$19),$P$20))-SUM($P846:T846)</f>
        <v>#VALUE!</v>
      </c>
      <c r="V846" s="446" t="e">
        <f>IF(OR($B846="",MIN(V$38,$D$19)&lt;MAX($P$708*($B846+IF($R$17="Distrato",$I$38-1,0)),IF(AND($L$711=0,$P$708=0),"",$L$711-1),IF($R$17="Distrato",$E846,0))),0,YEARFRAC(MAX($P$708*($B846+IF($R$17="Distrato",$I$38-1,0)),IF(AND($L$711=0,$P$708=0),"",$L$711-1),IF($R$17="Distrato",$E846,0)),MIN(V$38,$D$19),$P$20))-SUM($P846:U846)</f>
        <v>#VALUE!</v>
      </c>
      <c r="W846" s="446" t="e">
        <f>IF(OR($B846="",MIN(W$38,$D$19)&lt;MAX($P$708*($B846+IF($R$17="Distrato",$I$38-1,0)),IF(AND($L$711=0,$P$708=0),"",$L$711-1),IF($R$17="Distrato",$E846,0))),0,YEARFRAC(MAX($P$708*($B846+IF($R$17="Distrato",$I$38-1,0)),IF(AND($L$711=0,$P$708=0),"",$L$711-1),IF($R$17="Distrato",$E846,0)),MIN(W$38,$D$19),$P$20))-SUM($P846:V846)</f>
        <v>#VALUE!</v>
      </c>
      <c r="X846" s="446" t="e">
        <f>IF(OR($B846="",MIN(X$38,$D$19)&lt;MAX($P$708*($B846+IF($R$17="Distrato",$I$38-1,0)),IF(AND($L$711=0,$P$708=0),"",$L$711-1),IF($R$17="Distrato",$E846,0))),0,YEARFRAC(MAX($P$708*($B846+IF($R$17="Distrato",$I$38-1,0)),IF(AND($L$711=0,$P$708=0),"",$L$711-1),IF($R$17="Distrato",$E846,0)),MIN(X$38,$D$19),$P$20))-SUM($P846:W846)</f>
        <v>#VALUE!</v>
      </c>
      <c r="Y846" s="446" t="e">
        <f>IF(OR($B846="",MIN(Y$38,$D$19)&lt;MAX($P$708*($B846+IF($R$17="Distrato",$I$38-1,0)),IF(AND($L$711=0,$P$708=0),"",$L$711-1),IF($R$17="Distrato",$E846,0))),0,YEARFRAC(MAX($P$708*($B846+IF($R$17="Distrato",$I$38-1,0)),IF(AND($L$711=0,$P$708=0),"",$L$711-1),IF($R$17="Distrato",$E846,0)),MIN(Y$38,$D$19),$P$20))-SUM($P846:X846)</f>
        <v>#VALUE!</v>
      </c>
      <c r="Z846" s="446" t="e">
        <f>IF(OR($B846="",MIN(Z$38,$D$19)&lt;MAX($P$708*($B846+IF($R$17="Distrato",$I$38-1,0)),IF(AND($L$711=0,$P$708=0),"",$L$711-1),IF($R$17="Distrato",$E846,0))),0,YEARFRAC(MAX($P$708*($B846+IF($R$17="Distrato",$I$38-1,0)),IF(AND($L$711=0,$P$708=0),"",$L$711-1),IF($R$17="Distrato",$E846,0)),MIN(Z$38,$D$19),$P$20))-SUM($P846:Y846)</f>
        <v>#VALUE!</v>
      </c>
      <c r="AA846" s="446" t="e">
        <f>IF(OR($B846="",MIN(AA$38,$D$19)&lt;MAX($P$708*($B846+IF($R$17="Distrato",$I$38-1,0)),IF(AND($L$711=0,$P$708=0),"",$L$711-1),IF($R$17="Distrato",$E846,0))),0,YEARFRAC(MAX($P$708*($B846+IF($R$17="Distrato",$I$38-1,0)),IF(AND($L$711=0,$P$708=0),"",$L$711-1),IF($R$17="Distrato",$E846,0)),MIN(AA$38,$D$19),$P$20))-SUM($P846:Z846)</f>
        <v>#VALUE!</v>
      </c>
      <c r="AB846" s="446" t="e">
        <f>IF(OR($B846="",MIN(AB$38,$D$19)&lt;MAX($P$708*($B846+IF($R$17="Distrato",$I$38-1,0)),IF(AND($L$711=0,$P$708=0),"",$L$711-1),IF($R$17="Distrato",$E846,0))),0,YEARFRAC(MAX($P$708*($B846+IF($R$17="Distrato",$I$38-1,0)),IF(AND($L$711=0,$P$708=0),"",$L$711-1),IF($R$17="Distrato",$E846,0)),MIN(AB$38,$D$19),$P$20))-SUM($P846:AA846)</f>
        <v>#VALUE!</v>
      </c>
      <c r="AC846" s="446" t="e">
        <f>IF(OR($B846="",MIN(AC$38,$D$19)&lt;MAX($P$708*($B846+IF($R$17="Distrato",$I$38-1,0)),IF(AND($L$711=0,$P$708=0),"",$L$711-1),IF($R$17="Distrato",$E846,0))),0,YEARFRAC(MAX($P$708*($B846+IF($R$17="Distrato",$I$38-1,0)),IF(AND($L$711=0,$P$708=0),"",$L$711-1),IF($R$17="Distrato",$E846,0)),MIN(AC$38,$D$19),$P$20))-SUM($P846:AB846)</f>
        <v>#VALUE!</v>
      </c>
      <c r="AD846" s="446" t="e">
        <f>IF(OR($B846="",MIN(AD$38,$D$19)&lt;MAX($P$708*($B846+IF($R$17="Distrato",$I$38-1,0)),IF(AND($L$711=0,$P$708=0),"",$L$711-1),IF($R$17="Distrato",$E846,0))),0,YEARFRAC(MAX($P$708*($B846+IF($R$17="Distrato",$I$38-1,0)),IF(AND($L$711=0,$P$708=0),"",$L$711-1),IF($R$17="Distrato",$E846,0)),MIN(AD$38,$D$19),$P$20))-SUM($P846:AC846)</f>
        <v>#VALUE!</v>
      </c>
      <c r="AE846" s="446" t="e">
        <f>IF(OR($B846="",MIN(AE$38,$D$19)&lt;MAX($P$708*($B846+IF($R$17="Distrato",$I$38-1,0)),IF(AND($L$711=0,$P$708=0),"",$L$711-1),IF($R$17="Distrato",$E846,0))),0,YEARFRAC(MAX($P$708*($B846+IF($R$17="Distrato",$I$38-1,0)),IF(AND($L$711=0,$P$708=0),"",$L$711-1),IF($R$17="Distrato",$E846,0)),MIN(AE$38,$D$19),$P$20))-SUM($P846:AD846)</f>
        <v>#VALUE!</v>
      </c>
      <c r="AF846" s="446" t="e">
        <f>IF(OR($B846="",MIN(AF$38,$D$19)&lt;MAX($P$708*($B846+IF($R$17="Distrato",$I$38-1,0)),IF(AND($L$711=0,$P$708=0),"",$L$711-1),IF($R$17="Distrato",$E846,0))),0,YEARFRAC(MAX($P$708*($B846+IF($R$17="Distrato",$I$38-1,0)),IF(AND($L$711=0,$P$708=0),"",$L$711-1),IF($R$17="Distrato",$E846,0)),MIN(AF$38,$D$19),$P$20))-SUM($P846:AE846)</f>
        <v>#VALUE!</v>
      </c>
      <c r="AG846" s="446" t="e">
        <f>IF(OR($B846="",MIN(AG$38,$D$19)&lt;MAX($P$708*($B846+IF($R$17="Distrato",$I$38-1,0)),IF(AND($L$711=0,$P$708=0),"",$L$711-1),IF($R$17="Distrato",$E846,0))),0,YEARFRAC(MAX($P$708*($B846+IF($R$17="Distrato",$I$38-1,0)),IF(AND($L$711=0,$P$708=0),"",$L$711-1),IF($R$17="Distrato",$E846,0)),MIN(AG$38,$D$19),$P$20))-SUM($P846:AF846)</f>
        <v>#VALUE!</v>
      </c>
      <c r="AH846" s="446" t="e">
        <f>IF(OR($B846="",MIN(AH$38,$D$19)&lt;MAX($P$708*($B846+IF($R$17="Distrato",$I$38-1,0)),IF(AND($L$711=0,$P$708=0),"",$L$711-1),IF($R$17="Distrato",$E846,0))),0,YEARFRAC(MAX($P$708*($B846+IF($R$17="Distrato",$I$38-1,0)),IF(AND($L$711=0,$P$708=0),"",$L$711-1),IF($R$17="Distrato",$E846,0)),MIN(AH$38,$D$19),$P$20))-SUM($P846:AG846)</f>
        <v>#VALUE!</v>
      </c>
      <c r="AI846" s="446" t="e">
        <f>IF(OR($B846="",MIN(AI$38,$D$19)&lt;MAX($P$708*($B846+IF($R$17="Distrato",$I$38-1,0)),IF(AND($L$711=0,$P$708=0),"",$L$711-1),IF($R$17="Distrato",$E846,0))),0,YEARFRAC(MAX($P$708*($B846+IF($R$17="Distrato",$I$38-1,0)),IF(AND($L$711=0,$P$708=0),"",$L$711-1),IF($R$17="Distrato",$E846,0)),MIN(AI$38,$D$19),$P$20))-SUM($P846:AH846)</f>
        <v>#VALUE!</v>
      </c>
      <c r="AJ846" s="446" t="e">
        <f>IF(OR($B846="",MIN(AJ$38,$D$19)&lt;MAX($P$708*($B846+IF($R$17="Distrato",$I$38-1,0)),IF(AND($L$711=0,$P$708=0),"",$L$711-1),IF($R$17="Distrato",$E846,0))),0,YEARFRAC(MAX($P$708*($B846+IF($R$17="Distrato",$I$38-1,0)),IF(AND($L$711=0,$P$708=0),"",$L$711-1),IF($R$17="Distrato",$E846,0)),MIN(AJ$38,$D$19),$P$20))-SUM($P846:AI846)</f>
        <v>#VALUE!</v>
      </c>
      <c r="AK846" s="446" t="e">
        <f>IF(OR($B846="",MIN(AK$38,$D$19)&lt;MAX($P$708*($B846+IF($R$17="Distrato",$I$38-1,0)),IF(AND($L$711=0,$P$708=0),"",$L$711-1),IF($R$17="Distrato",$E846,0))),0,YEARFRAC(MAX($P$708*($B846+IF($R$17="Distrato",$I$38-1,0)),IF(AND($L$711=0,$P$708=0),"",$L$711-1),IF($R$17="Distrato",$E846,0)),MIN(AK$38,$D$19),$P$20))-SUM($P846:AJ846)</f>
        <v>#VALUE!</v>
      </c>
      <c r="AL846" s="446" t="e">
        <f>IF(OR($B846="",MIN(AL$38,$D$19)&lt;MAX($P$708*($B846+IF($R$17="Distrato",$I$38-1,0)),IF(AND($L$711=0,$P$708=0),"",$L$711-1),IF($R$17="Distrato",$E846,0))),0,YEARFRAC(MAX($P$708*($B846+IF($R$17="Distrato",$I$38-1,0)),IF(AND($L$711=0,$P$708=0),"",$L$711-1),IF($R$17="Distrato",$E846,0)),MIN(AL$38,$D$19),$P$20))-SUM($P846:AK846)</f>
        <v>#VALUE!</v>
      </c>
      <c r="AM846" s="446" t="e">
        <f>IF(OR($B846="",MIN(AM$38,$D$19)&lt;MAX($P$708*($B846+IF($R$17="Distrato",$I$38-1,0)),IF(AND($L$711=0,$P$708=0),"",$L$711-1),IF($R$17="Distrato",$E846,0))),0,YEARFRAC(MAX($P$708*($B846+IF($R$17="Distrato",$I$38-1,0)),IF(AND($L$711=0,$P$708=0),"",$L$711-1),IF($R$17="Distrato",$E846,0)),MIN(AM$38,$D$19),$P$20))-SUM($P846:AL846)</f>
        <v>#VALUE!</v>
      </c>
      <c r="AN846" s="446" t="e">
        <f>IF(OR($B846="",MIN(AN$38,$D$19)&lt;MAX($P$708*($B846+IF($R$17="Distrato",$I$38-1,0)),IF(AND($L$711=0,$P$708=0),"",$L$711-1),IF($R$17="Distrato",$E846,0))),0,YEARFRAC(MAX($P$708*($B846+IF($R$17="Distrato",$I$38-1,0)),IF(AND($L$711=0,$P$708=0),"",$L$711-1),IF($R$17="Distrato",$E846,0)),MIN(AN$38,$D$19),$P$20))-SUM($P846:AM846)</f>
        <v>#VALUE!</v>
      </c>
      <c r="AO846" s="446" t="e">
        <f>IF(OR($B846="",MIN(AO$38,$D$19)&lt;MAX($P$708*($B846+IF($R$17="Distrato",$I$38-1,0)),IF(AND($L$711=0,$P$708=0),"",$L$711-1),IF($R$17="Distrato",$E846,0))),0,YEARFRAC(MAX($P$708*($B846+IF($R$17="Distrato",$I$38-1,0)),IF(AND($L$711=0,$P$708=0),"",$L$711-1),IF($R$17="Distrato",$E846,0)),MIN(AO$38,$D$19),$P$20))-SUM($P846:AN846)</f>
        <v>#VALUE!</v>
      </c>
      <c r="AP846" s="446" t="e">
        <f>IF(OR($B846="",MIN(AP$38,$D$19)&lt;MAX($P$708*($B846+IF($R$17="Distrato",$I$38-1,0)),IF(AND($L$711=0,$P$708=0),"",$L$711-1),IF($R$17="Distrato",$E846,0))),0,YEARFRAC(MAX($P$708*($B846+IF($R$17="Distrato",$I$38-1,0)),IF(AND($L$711=0,$P$708=0),"",$L$711-1),IF($R$17="Distrato",$E846,0)),MIN(AP$38,$D$19),$P$20))-SUM($P846:AO846)</f>
        <v>#VALUE!</v>
      </c>
      <c r="AQ846" s="446" t="e">
        <f>IF(OR($B846="",MIN(AQ$38,$D$19)&lt;MAX($P$708*($B846+IF($R$17="Distrato",$I$38-1,0)),IF(AND($L$711=0,$P$708=0),"",$L$711-1),IF($R$17="Distrato",$E846,0))),0,YEARFRAC(MAX($P$708*($B846+IF($R$17="Distrato",$I$38-1,0)),IF(AND($L$711=0,$P$708=0),"",$L$711-1),IF($R$17="Distrato",$E846,0)),MIN(AQ$38,$D$19),$P$20))-SUM($P846:AP846)</f>
        <v>#VALUE!</v>
      </c>
      <c r="AR846" s="446" t="e">
        <f>IF(OR($B846="",MIN(AR$38,$D$19)&lt;MAX($P$708*($B846+IF($R$17="Distrato",$I$38-1,0)),IF(AND($L$711=0,$P$708=0),"",$L$711-1),IF($R$17="Distrato",$E846,0))),0,YEARFRAC(MAX($P$708*($B846+IF($R$17="Distrato",$I$38-1,0)),IF(AND($L$711=0,$P$708=0),"",$L$711-1),IF($R$17="Distrato",$E846,0)),MIN(AR$38,$D$19),$P$20))-SUM($P846:AQ846)</f>
        <v>#VALUE!</v>
      </c>
      <c r="AS846" s="446" t="e">
        <f>IF(OR($B846="",MIN(AS$38,$D$19)&lt;MAX($P$708*($B846+IF($R$17="Distrato",$I$38-1,0)),IF(AND($L$711=0,$P$708=0),"",$L$711-1),IF($R$17="Distrato",$E846,0))),0,YEARFRAC(MAX($P$708*($B846+IF($R$17="Distrato",$I$38-1,0)),IF(AND($L$711=0,$P$708=0),"",$L$711-1),IF($R$17="Distrato",$E846,0)),MIN(AS$38,$D$19),$P$20))-SUM($P846:AR846)</f>
        <v>#VALUE!</v>
      </c>
      <c r="AT846" s="446" t="e">
        <f>IF(OR($B846="",MIN(AT$38,$D$19)&lt;MAX($P$708*($B846+IF($R$17="Distrato",$I$38-1,0)),IF(AND($L$711=0,$P$708=0),"",$L$711-1),IF($R$17="Distrato",$E846,0))),0,YEARFRAC(MAX($P$708*($B846+IF($R$17="Distrato",$I$38-1,0)),IF(AND($L$711=0,$P$708=0),"",$L$711-1),IF($R$17="Distrato",$E846,0)),MIN(AT$38,$D$19),$P$20))-SUM($P846:AS846)</f>
        <v>#VALUE!</v>
      </c>
      <c r="AU846" s="446" t="e">
        <f>IF(OR($B846="",MIN(AU$38,$D$19)&lt;MAX($P$708*($B846+IF($R$17="Distrato",$I$38-1,0)),IF(AND($L$711=0,$P$708=0),"",$L$711-1),IF($R$17="Distrato",$E846,0))),0,YEARFRAC(MAX($P$708*($B846+IF($R$17="Distrato",$I$38-1,0)),IF(AND($L$711=0,$P$708=0),"",$L$711-1),IF($R$17="Distrato",$E846,0)),MIN(AU$38,$D$19),$P$20))-SUM($P846:AT846)</f>
        <v>#VALUE!</v>
      </c>
      <c r="AV846" s="446" t="e">
        <f>IF(OR($B846="",MIN(AV$38,$D$19)&lt;MAX($P$708*($B846+IF($R$17="Distrato",$I$38-1,0)),IF(AND($L$711=0,$P$708=0),"",$L$711-1),IF($R$17="Distrato",$E846,0))),0,YEARFRAC(MAX($P$708*($B846+IF($R$17="Distrato",$I$38-1,0)),IF(AND($L$711=0,$P$708=0),"",$L$711-1),IF($R$17="Distrato",$E846,0)),MIN(AV$38,$D$19),$P$20))-SUM($P846:AU846)</f>
        <v>#VALUE!</v>
      </c>
      <c r="AW846" s="446" t="e">
        <f>IF(OR($B846="",MIN(AW$38,$D$19)&lt;MAX($P$708*($B846+IF($R$17="Distrato",$I$38-1,0)),IF(AND($L$711=0,$P$708=0),"",$L$711-1),IF($R$17="Distrato",$E846,0))),0,YEARFRAC(MAX($P$708*($B846+IF($R$17="Distrato",$I$38-1,0)),IF(AND($L$711=0,$P$708=0),"",$L$711-1),IF($R$17="Distrato",$E846,0)),MIN(AW$38,$D$19),$P$20))-SUM($P846:AV846)</f>
        <v>#VALUE!</v>
      </c>
      <c r="AX846" s="446" t="e">
        <f>IF(OR($B846="",MIN(AX$38,$D$19)&lt;MAX($P$708*($B846+IF($R$17="Distrato",$I$38-1,0)),IF(AND($L$711=0,$P$708=0),"",$L$711-1),IF($R$17="Distrato",$E846,0))),0,YEARFRAC(MAX($P$708*($B846+IF($R$17="Distrato",$I$38-1,0)),IF(AND($L$711=0,$P$708=0),"",$L$711-1),IF($R$17="Distrato",$E846,0)),MIN(AX$38,$D$19),$P$20))-SUM($P846:AW846)</f>
        <v>#VALUE!</v>
      </c>
      <c r="AY846" s="446" t="e">
        <f>IF(OR($B846="",MIN(AY$38,$D$19)&lt;MAX($P$708*($B846+IF($R$17="Distrato",$I$38-1,0)),IF(AND($L$711=0,$P$708=0),"",$L$711-1),IF($R$17="Distrato",$E846,0))),0,YEARFRAC(MAX($P$708*($B846+IF($R$17="Distrato",$I$38-1,0)),IF(AND($L$711=0,$P$708=0),"",$L$711-1),IF($R$17="Distrato",$E846,0)),MIN(AY$38,$D$19),$P$20))-SUM($P846:AX846)</f>
        <v>#VALUE!</v>
      </c>
      <c r="AZ846" s="446" t="e">
        <f>IF(OR($B846="",MIN(AZ$38,$D$19)&lt;MAX($P$708*($B846+IF($R$17="Distrato",$I$38-1,0)),IF(AND($L$711=0,$P$708=0),"",$L$711-1),IF($R$17="Distrato",$E846,0))),0,YEARFRAC(MAX($P$708*($B846+IF($R$17="Distrato",$I$38-1,0)),IF(AND($L$711=0,$P$708=0),"",$L$711-1),IF($R$17="Distrato",$E846,0)),MIN(AZ$38,$D$19),$P$20))-SUM($P846:AY846)</f>
        <v>#VALUE!</v>
      </c>
      <c r="BA846" s="446" t="e">
        <f>IF(OR($B846="",MIN(BA$38,$D$19)&lt;MAX($P$708*($B846+IF($R$17="Distrato",$I$38-1,0)),IF(AND($L$711=0,$P$708=0),"",$L$711-1),IF($R$17="Distrato",$E846,0))),0,YEARFRAC(MAX($P$708*($B846+IF($R$17="Distrato",$I$38-1,0)),IF(AND($L$711=0,$P$708=0),"",$L$711-1),IF($R$17="Distrato",$E846,0)),MIN(BA$38,$D$19),$P$20))-SUM($P846:AZ846)</f>
        <v>#VALUE!</v>
      </c>
      <c r="BB846" s="447"/>
    </row>
    <row r="847" spans="1:54" s="446" customFormat="1" ht="11.25" hidden="1" customHeight="1" x14ac:dyDescent="0.2">
      <c r="A847" s="235"/>
      <c r="B847" s="236"/>
      <c r="C847" s="29" t="str">
        <f>IF(B847="","",IF($L$709=$BL$25,VLOOKUP(DATE(YEAR($D$19),MONTH($D$19)-1,1),ÍNDICES!$A:$DE,HLOOKUP($BL$25,ÍNDICES!$B$3:$T$4,2)+11)-VLOOKUP(B847,ÍNDICES!$A:$DE,HLOOKUP($BL$25,ÍNDICES!$B$3:$T$4,2)+11)+1%,IF(C$712=$W$26,$J$35,IF(ISERROR(IF(B847&gt;$D$19,1,VLOOKUP(DATE(YEAR(B847),MONTH(B847)+IF($C$709=$S$23,1,0),1),ÍNDICES!$A:$DE,$Z$709+1))),"",IF(B847&gt;$D$19,1,VLOOKUP(DATE(YEAR(B847),MONTH(B847)+IF($C$709=$S$23,1,0),1),ÍNDICES!$A:$DE,$Z$709+1))))))</f>
        <v/>
      </c>
      <c r="D847" s="155"/>
      <c r="E847" s="88"/>
      <c r="F847" s="88"/>
      <c r="G847" s="88"/>
      <c r="H847" s="118"/>
      <c r="I847" s="182">
        <f t="shared" si="129"/>
        <v>0</v>
      </c>
      <c r="J847" s="20">
        <f t="shared" ca="1" si="130"/>
        <v>0</v>
      </c>
      <c r="K847" s="5">
        <f t="shared" ca="1" si="131"/>
        <v>0</v>
      </c>
      <c r="L847" s="61">
        <f t="shared" ca="1" si="132"/>
        <v>0</v>
      </c>
      <c r="M847" s="64">
        <f t="shared" si="133"/>
        <v>0</v>
      </c>
      <c r="N847" s="151"/>
      <c r="O847" s="5">
        <f t="shared" ca="1" si="134"/>
        <v>0</v>
      </c>
      <c r="P847" s="446" t="e">
        <f t="shared" si="135"/>
        <v>#VALUE!</v>
      </c>
      <c r="Q847" s="446" t="e">
        <f>IF(OR($B847="",MIN(Q$38,$D$19)&lt;MAX($P$708*($B847+IF($R$17="Distrato",$I$38-1,0)),IF(AND($L$711=0,$P$708=0),"",$L$711-1),IF($R$17="Distrato",$E847,0))),0,YEARFRAC(MAX($P$708*($B847+IF($R$17="Distrato",$I$38-1,0)),IF(AND($L$711=0,$P$708=0),"",$L$711-1),IF($R$17="Distrato",$E847,0)),MIN(Q$38,$D$19),$P$20))-SUM($P847:P847)</f>
        <v>#VALUE!</v>
      </c>
      <c r="R847" s="446" t="e">
        <f>IF(OR($B847="",MIN(R$38,$D$19)&lt;MAX($P$708*($B847+IF($R$17="Distrato",$I$38-1,0)),IF(AND($L$711=0,$P$708=0),"",$L$711-1),IF($R$17="Distrato",$E847,0))),0,YEARFRAC(MAX($P$708*($B847+IF($R$17="Distrato",$I$38-1,0)),IF(AND($L$711=0,$P$708=0),"",$L$711-1),IF($R$17="Distrato",$E847,0)),MIN(R$38,$D$19),$P$20))-SUM($P847:Q847)</f>
        <v>#VALUE!</v>
      </c>
      <c r="S847" s="446" t="e">
        <f>IF(OR($B847="",MIN(S$38,$D$19)&lt;MAX($P$708*($B847+IF($R$17="Distrato",$I$38-1,0)),IF(AND($L$711=0,$P$708=0),"",$L$711-1),IF($R$17="Distrato",$E847,0))),0,YEARFRAC(MAX($P$708*($B847+IF($R$17="Distrato",$I$38-1,0)),IF(AND($L$711=0,$P$708=0),"",$L$711-1),IF($R$17="Distrato",$E847,0)),MIN(S$38,$D$19),$P$20))-SUM($P847:R847)</f>
        <v>#VALUE!</v>
      </c>
      <c r="T847" s="446" t="e">
        <f>IF(OR($B847="",MIN(T$38,$D$19)&lt;MAX($P$708*($B847+IF($R$17="Distrato",$I$38-1,0)),IF(AND($L$711=0,$P$708=0),"",$L$711-1),IF($R$17="Distrato",$E847,0))),0,YEARFRAC(MAX($P$708*($B847+IF($R$17="Distrato",$I$38-1,0)),IF(AND($L$711=0,$P$708=0),"",$L$711-1),IF($R$17="Distrato",$E847,0)),MIN(T$38,$D$19),$P$20))-SUM($P847:S847)</f>
        <v>#VALUE!</v>
      </c>
      <c r="U847" s="446" t="e">
        <f>IF(OR($B847="",MIN(U$38,$D$19)&lt;MAX($P$708*($B847+IF($R$17="Distrato",$I$38-1,0)),IF(AND($L$711=0,$P$708=0),"",$L$711-1),IF($R$17="Distrato",$E847,0))),0,YEARFRAC(MAX($P$708*($B847+IF($R$17="Distrato",$I$38-1,0)),IF(AND($L$711=0,$P$708=0),"",$L$711-1),IF($R$17="Distrato",$E847,0)),MIN(U$38,$D$19),$P$20))-SUM($P847:T847)</f>
        <v>#VALUE!</v>
      </c>
      <c r="V847" s="446" t="e">
        <f>IF(OR($B847="",MIN(V$38,$D$19)&lt;MAX($P$708*($B847+IF($R$17="Distrato",$I$38-1,0)),IF(AND($L$711=0,$P$708=0),"",$L$711-1),IF($R$17="Distrato",$E847,0))),0,YEARFRAC(MAX($P$708*($B847+IF($R$17="Distrato",$I$38-1,0)),IF(AND($L$711=0,$P$708=0),"",$L$711-1),IF($R$17="Distrato",$E847,0)),MIN(V$38,$D$19),$P$20))-SUM($P847:U847)</f>
        <v>#VALUE!</v>
      </c>
      <c r="W847" s="446" t="e">
        <f>IF(OR($B847="",MIN(W$38,$D$19)&lt;MAX($P$708*($B847+IF($R$17="Distrato",$I$38-1,0)),IF(AND($L$711=0,$P$708=0),"",$L$711-1),IF($R$17="Distrato",$E847,0))),0,YEARFRAC(MAX($P$708*($B847+IF($R$17="Distrato",$I$38-1,0)),IF(AND($L$711=0,$P$708=0),"",$L$711-1),IF($R$17="Distrato",$E847,0)),MIN(W$38,$D$19),$P$20))-SUM($P847:V847)</f>
        <v>#VALUE!</v>
      </c>
      <c r="X847" s="446" t="e">
        <f>IF(OR($B847="",MIN(X$38,$D$19)&lt;MAX($P$708*($B847+IF($R$17="Distrato",$I$38-1,0)),IF(AND($L$711=0,$P$708=0),"",$L$711-1),IF($R$17="Distrato",$E847,0))),0,YEARFRAC(MAX($P$708*($B847+IF($R$17="Distrato",$I$38-1,0)),IF(AND($L$711=0,$P$708=0),"",$L$711-1),IF($R$17="Distrato",$E847,0)),MIN(X$38,$D$19),$P$20))-SUM($P847:W847)</f>
        <v>#VALUE!</v>
      </c>
      <c r="Y847" s="446" t="e">
        <f>IF(OR($B847="",MIN(Y$38,$D$19)&lt;MAX($P$708*($B847+IF($R$17="Distrato",$I$38-1,0)),IF(AND($L$711=0,$P$708=0),"",$L$711-1),IF($R$17="Distrato",$E847,0))),0,YEARFRAC(MAX($P$708*($B847+IF($R$17="Distrato",$I$38-1,0)),IF(AND($L$711=0,$P$708=0),"",$L$711-1),IF($R$17="Distrato",$E847,0)),MIN(Y$38,$D$19),$P$20))-SUM($P847:X847)</f>
        <v>#VALUE!</v>
      </c>
      <c r="Z847" s="446" t="e">
        <f>IF(OR($B847="",MIN(Z$38,$D$19)&lt;MAX($P$708*($B847+IF($R$17="Distrato",$I$38-1,0)),IF(AND($L$711=0,$P$708=0),"",$L$711-1),IF($R$17="Distrato",$E847,0))),0,YEARFRAC(MAX($P$708*($B847+IF($R$17="Distrato",$I$38-1,0)),IF(AND($L$711=0,$P$708=0),"",$L$711-1),IF($R$17="Distrato",$E847,0)),MIN(Z$38,$D$19),$P$20))-SUM($P847:Y847)</f>
        <v>#VALUE!</v>
      </c>
      <c r="AA847" s="446" t="e">
        <f>IF(OR($B847="",MIN(AA$38,$D$19)&lt;MAX($P$708*($B847+IF($R$17="Distrato",$I$38-1,0)),IF(AND($L$711=0,$P$708=0),"",$L$711-1),IF($R$17="Distrato",$E847,0))),0,YEARFRAC(MAX($P$708*($B847+IF($R$17="Distrato",$I$38-1,0)),IF(AND($L$711=0,$P$708=0),"",$L$711-1),IF($R$17="Distrato",$E847,0)),MIN(AA$38,$D$19),$P$20))-SUM($P847:Z847)</f>
        <v>#VALUE!</v>
      </c>
      <c r="AB847" s="446" t="e">
        <f>IF(OR($B847="",MIN(AB$38,$D$19)&lt;MAX($P$708*($B847+IF($R$17="Distrato",$I$38-1,0)),IF(AND($L$711=0,$P$708=0),"",$L$711-1),IF($R$17="Distrato",$E847,0))),0,YEARFRAC(MAX($P$708*($B847+IF($R$17="Distrato",$I$38-1,0)),IF(AND($L$711=0,$P$708=0),"",$L$711-1),IF($R$17="Distrato",$E847,0)),MIN(AB$38,$D$19),$P$20))-SUM($P847:AA847)</f>
        <v>#VALUE!</v>
      </c>
      <c r="AC847" s="446" t="e">
        <f>IF(OR($B847="",MIN(AC$38,$D$19)&lt;MAX($P$708*($B847+IF($R$17="Distrato",$I$38-1,0)),IF(AND($L$711=0,$P$708=0),"",$L$711-1),IF($R$17="Distrato",$E847,0))),0,YEARFRAC(MAX($P$708*($B847+IF($R$17="Distrato",$I$38-1,0)),IF(AND($L$711=0,$P$708=0),"",$L$711-1),IF($R$17="Distrato",$E847,0)),MIN(AC$38,$D$19),$P$20))-SUM($P847:AB847)</f>
        <v>#VALUE!</v>
      </c>
      <c r="AD847" s="446" t="e">
        <f>IF(OR($B847="",MIN(AD$38,$D$19)&lt;MAX($P$708*($B847+IF($R$17="Distrato",$I$38-1,0)),IF(AND($L$711=0,$P$708=0),"",$L$711-1),IF($R$17="Distrato",$E847,0))),0,YEARFRAC(MAX($P$708*($B847+IF($R$17="Distrato",$I$38-1,0)),IF(AND($L$711=0,$P$708=0),"",$L$711-1),IF($R$17="Distrato",$E847,0)),MIN(AD$38,$D$19),$P$20))-SUM($P847:AC847)</f>
        <v>#VALUE!</v>
      </c>
      <c r="AE847" s="446" t="e">
        <f>IF(OR($B847="",MIN(AE$38,$D$19)&lt;MAX($P$708*($B847+IF($R$17="Distrato",$I$38-1,0)),IF(AND($L$711=0,$P$708=0),"",$L$711-1),IF($R$17="Distrato",$E847,0))),0,YEARFRAC(MAX($P$708*($B847+IF($R$17="Distrato",$I$38-1,0)),IF(AND($L$711=0,$P$708=0),"",$L$711-1),IF($R$17="Distrato",$E847,0)),MIN(AE$38,$D$19),$P$20))-SUM($P847:AD847)</f>
        <v>#VALUE!</v>
      </c>
      <c r="AF847" s="446" t="e">
        <f>IF(OR($B847="",MIN(AF$38,$D$19)&lt;MAX($P$708*($B847+IF($R$17="Distrato",$I$38-1,0)),IF(AND($L$711=0,$P$708=0),"",$L$711-1),IF($R$17="Distrato",$E847,0))),0,YEARFRAC(MAX($P$708*($B847+IF($R$17="Distrato",$I$38-1,0)),IF(AND($L$711=0,$P$708=0),"",$L$711-1),IF($R$17="Distrato",$E847,0)),MIN(AF$38,$D$19),$P$20))-SUM($P847:AE847)</f>
        <v>#VALUE!</v>
      </c>
      <c r="AG847" s="446" t="e">
        <f>IF(OR($B847="",MIN(AG$38,$D$19)&lt;MAX($P$708*($B847+IF($R$17="Distrato",$I$38-1,0)),IF(AND($L$711=0,$P$708=0),"",$L$711-1),IF($R$17="Distrato",$E847,0))),0,YEARFRAC(MAX($P$708*($B847+IF($R$17="Distrato",$I$38-1,0)),IF(AND($L$711=0,$P$708=0),"",$L$711-1),IF($R$17="Distrato",$E847,0)),MIN(AG$38,$D$19),$P$20))-SUM($P847:AF847)</f>
        <v>#VALUE!</v>
      </c>
      <c r="AH847" s="446" t="e">
        <f>IF(OR($B847="",MIN(AH$38,$D$19)&lt;MAX($P$708*($B847+IF($R$17="Distrato",$I$38-1,0)),IF(AND($L$711=0,$P$708=0),"",$L$711-1),IF($R$17="Distrato",$E847,0))),0,YEARFRAC(MAX($P$708*($B847+IF($R$17="Distrato",$I$38-1,0)),IF(AND($L$711=0,$P$708=0),"",$L$711-1),IF($R$17="Distrato",$E847,0)),MIN(AH$38,$D$19),$P$20))-SUM($P847:AG847)</f>
        <v>#VALUE!</v>
      </c>
      <c r="AI847" s="446" t="e">
        <f>IF(OR($B847="",MIN(AI$38,$D$19)&lt;MAX($P$708*($B847+IF($R$17="Distrato",$I$38-1,0)),IF(AND($L$711=0,$P$708=0),"",$L$711-1),IF($R$17="Distrato",$E847,0))),0,YEARFRAC(MAX($P$708*($B847+IF($R$17="Distrato",$I$38-1,0)),IF(AND($L$711=0,$P$708=0),"",$L$711-1),IF($R$17="Distrato",$E847,0)),MIN(AI$38,$D$19),$P$20))-SUM($P847:AH847)</f>
        <v>#VALUE!</v>
      </c>
      <c r="AJ847" s="446" t="e">
        <f>IF(OR($B847="",MIN(AJ$38,$D$19)&lt;MAX($P$708*($B847+IF($R$17="Distrato",$I$38-1,0)),IF(AND($L$711=0,$P$708=0),"",$L$711-1),IF($R$17="Distrato",$E847,0))),0,YEARFRAC(MAX($P$708*($B847+IF($R$17="Distrato",$I$38-1,0)),IF(AND($L$711=0,$P$708=0),"",$L$711-1),IF($R$17="Distrato",$E847,0)),MIN(AJ$38,$D$19),$P$20))-SUM($P847:AI847)</f>
        <v>#VALUE!</v>
      </c>
      <c r="AK847" s="446" t="e">
        <f>IF(OR($B847="",MIN(AK$38,$D$19)&lt;MAX($P$708*($B847+IF($R$17="Distrato",$I$38-1,0)),IF(AND($L$711=0,$P$708=0),"",$L$711-1),IF($R$17="Distrato",$E847,0))),0,YEARFRAC(MAX($P$708*($B847+IF($R$17="Distrato",$I$38-1,0)),IF(AND($L$711=0,$P$708=0),"",$L$711-1),IF($R$17="Distrato",$E847,0)),MIN(AK$38,$D$19),$P$20))-SUM($P847:AJ847)</f>
        <v>#VALUE!</v>
      </c>
      <c r="AL847" s="446" t="e">
        <f>IF(OR($B847="",MIN(AL$38,$D$19)&lt;MAX($P$708*($B847+IF($R$17="Distrato",$I$38-1,0)),IF(AND($L$711=0,$P$708=0),"",$L$711-1),IF($R$17="Distrato",$E847,0))),0,YEARFRAC(MAX($P$708*($B847+IF($R$17="Distrato",$I$38-1,0)),IF(AND($L$711=0,$P$708=0),"",$L$711-1),IF($R$17="Distrato",$E847,0)),MIN(AL$38,$D$19),$P$20))-SUM($P847:AK847)</f>
        <v>#VALUE!</v>
      </c>
      <c r="AM847" s="446" t="e">
        <f>IF(OR($B847="",MIN(AM$38,$D$19)&lt;MAX($P$708*($B847+IF($R$17="Distrato",$I$38-1,0)),IF(AND($L$711=0,$P$708=0),"",$L$711-1),IF($R$17="Distrato",$E847,0))),0,YEARFRAC(MAX($P$708*($B847+IF($R$17="Distrato",$I$38-1,0)),IF(AND($L$711=0,$P$708=0),"",$L$711-1),IF($R$17="Distrato",$E847,0)),MIN(AM$38,$D$19),$P$20))-SUM($P847:AL847)</f>
        <v>#VALUE!</v>
      </c>
      <c r="AN847" s="446" t="e">
        <f>IF(OR($B847="",MIN(AN$38,$D$19)&lt;MAX($P$708*($B847+IF($R$17="Distrato",$I$38-1,0)),IF(AND($L$711=0,$P$708=0),"",$L$711-1),IF($R$17="Distrato",$E847,0))),0,YEARFRAC(MAX($P$708*($B847+IF($R$17="Distrato",$I$38-1,0)),IF(AND($L$711=0,$P$708=0),"",$L$711-1),IF($R$17="Distrato",$E847,0)),MIN(AN$38,$D$19),$P$20))-SUM($P847:AM847)</f>
        <v>#VALUE!</v>
      </c>
      <c r="AO847" s="446" t="e">
        <f>IF(OR($B847="",MIN(AO$38,$D$19)&lt;MAX($P$708*($B847+IF($R$17="Distrato",$I$38-1,0)),IF(AND($L$711=0,$P$708=0),"",$L$711-1),IF($R$17="Distrato",$E847,0))),0,YEARFRAC(MAX($P$708*($B847+IF($R$17="Distrato",$I$38-1,0)),IF(AND($L$711=0,$P$708=0),"",$L$711-1),IF($R$17="Distrato",$E847,0)),MIN(AO$38,$D$19),$P$20))-SUM($P847:AN847)</f>
        <v>#VALUE!</v>
      </c>
      <c r="AP847" s="446" t="e">
        <f>IF(OR($B847="",MIN(AP$38,$D$19)&lt;MAX($P$708*($B847+IF($R$17="Distrato",$I$38-1,0)),IF(AND($L$711=0,$P$708=0),"",$L$711-1),IF($R$17="Distrato",$E847,0))),0,YEARFRAC(MAX($P$708*($B847+IF($R$17="Distrato",$I$38-1,0)),IF(AND($L$711=0,$P$708=0),"",$L$711-1),IF($R$17="Distrato",$E847,0)),MIN(AP$38,$D$19),$P$20))-SUM($P847:AO847)</f>
        <v>#VALUE!</v>
      </c>
      <c r="AQ847" s="446" t="e">
        <f>IF(OR($B847="",MIN(AQ$38,$D$19)&lt;MAX($P$708*($B847+IF($R$17="Distrato",$I$38-1,0)),IF(AND($L$711=0,$P$708=0),"",$L$711-1),IF($R$17="Distrato",$E847,0))),0,YEARFRAC(MAX($P$708*($B847+IF($R$17="Distrato",$I$38-1,0)),IF(AND($L$711=0,$P$708=0),"",$L$711-1),IF($R$17="Distrato",$E847,0)),MIN(AQ$38,$D$19),$P$20))-SUM($P847:AP847)</f>
        <v>#VALUE!</v>
      </c>
      <c r="AR847" s="446" t="e">
        <f>IF(OR($B847="",MIN(AR$38,$D$19)&lt;MAX($P$708*($B847+IF($R$17="Distrato",$I$38-1,0)),IF(AND($L$711=0,$P$708=0),"",$L$711-1),IF($R$17="Distrato",$E847,0))),0,YEARFRAC(MAX($P$708*($B847+IF($R$17="Distrato",$I$38-1,0)),IF(AND($L$711=0,$P$708=0),"",$L$711-1),IF($R$17="Distrato",$E847,0)),MIN(AR$38,$D$19),$P$20))-SUM($P847:AQ847)</f>
        <v>#VALUE!</v>
      </c>
      <c r="AS847" s="446" t="e">
        <f>IF(OR($B847="",MIN(AS$38,$D$19)&lt;MAX($P$708*($B847+IF($R$17="Distrato",$I$38-1,0)),IF(AND($L$711=0,$P$708=0),"",$L$711-1),IF($R$17="Distrato",$E847,0))),0,YEARFRAC(MAX($P$708*($B847+IF($R$17="Distrato",$I$38-1,0)),IF(AND($L$711=0,$P$708=0),"",$L$711-1),IF($R$17="Distrato",$E847,0)),MIN(AS$38,$D$19),$P$20))-SUM($P847:AR847)</f>
        <v>#VALUE!</v>
      </c>
      <c r="AT847" s="446" t="e">
        <f>IF(OR($B847="",MIN(AT$38,$D$19)&lt;MAX($P$708*($B847+IF($R$17="Distrato",$I$38-1,0)),IF(AND($L$711=0,$P$708=0),"",$L$711-1),IF($R$17="Distrato",$E847,0))),0,YEARFRAC(MAX($P$708*($B847+IF($R$17="Distrato",$I$38-1,0)),IF(AND($L$711=0,$P$708=0),"",$L$711-1),IF($R$17="Distrato",$E847,0)),MIN(AT$38,$D$19),$P$20))-SUM($P847:AS847)</f>
        <v>#VALUE!</v>
      </c>
      <c r="AU847" s="446" t="e">
        <f>IF(OR($B847="",MIN(AU$38,$D$19)&lt;MAX($P$708*($B847+IF($R$17="Distrato",$I$38-1,0)),IF(AND($L$711=0,$P$708=0),"",$L$711-1),IF($R$17="Distrato",$E847,0))),0,YEARFRAC(MAX($P$708*($B847+IF($R$17="Distrato",$I$38-1,0)),IF(AND($L$711=0,$P$708=0),"",$L$711-1),IF($R$17="Distrato",$E847,0)),MIN(AU$38,$D$19),$P$20))-SUM($P847:AT847)</f>
        <v>#VALUE!</v>
      </c>
      <c r="AV847" s="446" t="e">
        <f>IF(OR($B847="",MIN(AV$38,$D$19)&lt;MAX($P$708*($B847+IF($R$17="Distrato",$I$38-1,0)),IF(AND($L$711=0,$P$708=0),"",$L$711-1),IF($R$17="Distrato",$E847,0))),0,YEARFRAC(MAX($P$708*($B847+IF($R$17="Distrato",$I$38-1,0)),IF(AND($L$711=0,$P$708=0),"",$L$711-1),IF($R$17="Distrato",$E847,0)),MIN(AV$38,$D$19),$P$20))-SUM($P847:AU847)</f>
        <v>#VALUE!</v>
      </c>
      <c r="AW847" s="446" t="e">
        <f>IF(OR($B847="",MIN(AW$38,$D$19)&lt;MAX($P$708*($B847+IF($R$17="Distrato",$I$38-1,0)),IF(AND($L$711=0,$P$708=0),"",$L$711-1),IF($R$17="Distrato",$E847,0))),0,YEARFRAC(MAX($P$708*($B847+IF($R$17="Distrato",$I$38-1,0)),IF(AND($L$711=0,$P$708=0),"",$L$711-1),IF($R$17="Distrato",$E847,0)),MIN(AW$38,$D$19),$P$20))-SUM($P847:AV847)</f>
        <v>#VALUE!</v>
      </c>
      <c r="AX847" s="446" t="e">
        <f>IF(OR($B847="",MIN(AX$38,$D$19)&lt;MAX($P$708*($B847+IF($R$17="Distrato",$I$38-1,0)),IF(AND($L$711=0,$P$708=0),"",$L$711-1),IF($R$17="Distrato",$E847,0))),0,YEARFRAC(MAX($P$708*($B847+IF($R$17="Distrato",$I$38-1,0)),IF(AND($L$711=0,$P$708=0),"",$L$711-1),IF($R$17="Distrato",$E847,0)),MIN(AX$38,$D$19),$P$20))-SUM($P847:AW847)</f>
        <v>#VALUE!</v>
      </c>
      <c r="AY847" s="446" t="e">
        <f>IF(OR($B847="",MIN(AY$38,$D$19)&lt;MAX($P$708*($B847+IF($R$17="Distrato",$I$38-1,0)),IF(AND($L$711=0,$P$708=0),"",$L$711-1),IF($R$17="Distrato",$E847,0))),0,YEARFRAC(MAX($P$708*($B847+IF($R$17="Distrato",$I$38-1,0)),IF(AND($L$711=0,$P$708=0),"",$L$711-1),IF($R$17="Distrato",$E847,0)),MIN(AY$38,$D$19),$P$20))-SUM($P847:AX847)</f>
        <v>#VALUE!</v>
      </c>
      <c r="AZ847" s="446" t="e">
        <f>IF(OR($B847="",MIN(AZ$38,$D$19)&lt;MAX($P$708*($B847+IF($R$17="Distrato",$I$38-1,0)),IF(AND($L$711=0,$P$708=0),"",$L$711-1),IF($R$17="Distrato",$E847,0))),0,YEARFRAC(MAX($P$708*($B847+IF($R$17="Distrato",$I$38-1,0)),IF(AND($L$711=0,$P$708=0),"",$L$711-1),IF($R$17="Distrato",$E847,0)),MIN(AZ$38,$D$19),$P$20))-SUM($P847:AY847)</f>
        <v>#VALUE!</v>
      </c>
      <c r="BA847" s="446" t="e">
        <f>IF(OR($B847="",MIN(BA$38,$D$19)&lt;MAX($P$708*($B847+IF($R$17="Distrato",$I$38-1,0)),IF(AND($L$711=0,$P$708=0),"",$L$711-1),IF($R$17="Distrato",$E847,0))),0,YEARFRAC(MAX($P$708*($B847+IF($R$17="Distrato",$I$38-1,0)),IF(AND($L$711=0,$P$708=0),"",$L$711-1),IF($R$17="Distrato",$E847,0)),MIN(BA$38,$D$19),$P$20))-SUM($P847:AZ847)</f>
        <v>#VALUE!</v>
      </c>
      <c r="BB847" s="447"/>
    </row>
    <row r="848" spans="1:54" s="446" customFormat="1" ht="11.25" hidden="1" customHeight="1" x14ac:dyDescent="0.2">
      <c r="A848" s="235"/>
      <c r="B848" s="236"/>
      <c r="C848" s="29" t="str">
        <f>IF(B848="","",IF($L$709=$BL$25,VLOOKUP(DATE(YEAR($D$19),MONTH($D$19)-1,1),ÍNDICES!$A:$DE,HLOOKUP($BL$25,ÍNDICES!$B$3:$T$4,2)+11)-VLOOKUP(B848,ÍNDICES!$A:$DE,HLOOKUP($BL$25,ÍNDICES!$B$3:$T$4,2)+11)+1%,IF(C$712=$W$26,$J$35,IF(ISERROR(IF(B848&gt;$D$19,1,VLOOKUP(DATE(YEAR(B848),MONTH(B848)+IF($C$709=$S$23,1,0),1),ÍNDICES!$A:$DE,$Z$709+1))),"",IF(B848&gt;$D$19,1,VLOOKUP(DATE(YEAR(B848),MONTH(B848)+IF($C$709=$S$23,1,0),1),ÍNDICES!$A:$DE,$Z$709+1))))))</f>
        <v/>
      </c>
      <c r="D848" s="155"/>
      <c r="E848" s="88"/>
      <c r="F848" s="88"/>
      <c r="G848" s="88"/>
      <c r="H848" s="118"/>
      <c r="I848" s="182">
        <f t="shared" si="129"/>
        <v>0</v>
      </c>
      <c r="J848" s="20">
        <f t="shared" ca="1" si="130"/>
        <v>0</v>
      </c>
      <c r="K848" s="5">
        <f t="shared" ca="1" si="131"/>
        <v>0</v>
      </c>
      <c r="L848" s="61">
        <f t="shared" ca="1" si="132"/>
        <v>0</v>
      </c>
      <c r="M848" s="64">
        <f t="shared" si="133"/>
        <v>0</v>
      </c>
      <c r="N848" s="151"/>
      <c r="O848" s="5">
        <f t="shared" ca="1" si="134"/>
        <v>0</v>
      </c>
      <c r="P848" s="446" t="e">
        <f t="shared" si="135"/>
        <v>#VALUE!</v>
      </c>
      <c r="Q848" s="446" t="e">
        <f>IF(OR($B848="",MIN(Q$38,$D$19)&lt;MAX($P$708*($B848+IF($R$17="Distrato",$I$38-1,0)),IF(AND($L$711=0,$P$708=0),"",$L$711-1),IF($R$17="Distrato",$E848,0))),0,YEARFRAC(MAX($P$708*($B848+IF($R$17="Distrato",$I$38-1,0)),IF(AND($L$711=0,$P$708=0),"",$L$711-1),IF($R$17="Distrato",$E848,0)),MIN(Q$38,$D$19),$P$20))-SUM($P848:P848)</f>
        <v>#VALUE!</v>
      </c>
      <c r="R848" s="446" t="e">
        <f>IF(OR($B848="",MIN(R$38,$D$19)&lt;MAX($P$708*($B848+IF($R$17="Distrato",$I$38-1,0)),IF(AND($L$711=0,$P$708=0),"",$L$711-1),IF($R$17="Distrato",$E848,0))),0,YEARFRAC(MAX($P$708*($B848+IF($R$17="Distrato",$I$38-1,0)),IF(AND($L$711=0,$P$708=0),"",$L$711-1),IF($R$17="Distrato",$E848,0)),MIN(R$38,$D$19),$P$20))-SUM($P848:Q848)</f>
        <v>#VALUE!</v>
      </c>
      <c r="S848" s="446" t="e">
        <f>IF(OR($B848="",MIN(S$38,$D$19)&lt;MAX($P$708*($B848+IF($R$17="Distrato",$I$38-1,0)),IF(AND($L$711=0,$P$708=0),"",$L$711-1),IF($R$17="Distrato",$E848,0))),0,YEARFRAC(MAX($P$708*($B848+IF($R$17="Distrato",$I$38-1,0)),IF(AND($L$711=0,$P$708=0),"",$L$711-1),IF($R$17="Distrato",$E848,0)),MIN(S$38,$D$19),$P$20))-SUM($P848:R848)</f>
        <v>#VALUE!</v>
      </c>
      <c r="T848" s="446" t="e">
        <f>IF(OR($B848="",MIN(T$38,$D$19)&lt;MAX($P$708*($B848+IF($R$17="Distrato",$I$38-1,0)),IF(AND($L$711=0,$P$708=0),"",$L$711-1),IF($R$17="Distrato",$E848,0))),0,YEARFRAC(MAX($P$708*($B848+IF($R$17="Distrato",$I$38-1,0)),IF(AND($L$711=0,$P$708=0),"",$L$711-1),IF($R$17="Distrato",$E848,0)),MIN(T$38,$D$19),$P$20))-SUM($P848:S848)</f>
        <v>#VALUE!</v>
      </c>
      <c r="U848" s="446" t="e">
        <f>IF(OR($B848="",MIN(U$38,$D$19)&lt;MAX($P$708*($B848+IF($R$17="Distrato",$I$38-1,0)),IF(AND($L$711=0,$P$708=0),"",$L$711-1),IF($R$17="Distrato",$E848,0))),0,YEARFRAC(MAX($P$708*($B848+IF($R$17="Distrato",$I$38-1,0)),IF(AND($L$711=0,$P$708=0),"",$L$711-1),IF($R$17="Distrato",$E848,0)),MIN(U$38,$D$19),$P$20))-SUM($P848:T848)</f>
        <v>#VALUE!</v>
      </c>
      <c r="V848" s="446" t="e">
        <f>IF(OR($B848="",MIN(V$38,$D$19)&lt;MAX($P$708*($B848+IF($R$17="Distrato",$I$38-1,0)),IF(AND($L$711=0,$P$708=0),"",$L$711-1),IF($R$17="Distrato",$E848,0))),0,YEARFRAC(MAX($P$708*($B848+IF($R$17="Distrato",$I$38-1,0)),IF(AND($L$711=0,$P$708=0),"",$L$711-1),IF($R$17="Distrato",$E848,0)),MIN(V$38,$D$19),$P$20))-SUM($P848:U848)</f>
        <v>#VALUE!</v>
      </c>
      <c r="W848" s="446" t="e">
        <f>IF(OR($B848="",MIN(W$38,$D$19)&lt;MAX($P$708*($B848+IF($R$17="Distrato",$I$38-1,0)),IF(AND($L$711=0,$P$708=0),"",$L$711-1),IF($R$17="Distrato",$E848,0))),0,YEARFRAC(MAX($P$708*($B848+IF($R$17="Distrato",$I$38-1,0)),IF(AND($L$711=0,$P$708=0),"",$L$711-1),IF($R$17="Distrato",$E848,0)),MIN(W$38,$D$19),$P$20))-SUM($P848:V848)</f>
        <v>#VALUE!</v>
      </c>
      <c r="X848" s="446" t="e">
        <f>IF(OR($B848="",MIN(X$38,$D$19)&lt;MAX($P$708*($B848+IF($R$17="Distrato",$I$38-1,0)),IF(AND($L$711=0,$P$708=0),"",$L$711-1),IF($R$17="Distrato",$E848,0))),0,YEARFRAC(MAX($P$708*($B848+IF($R$17="Distrato",$I$38-1,0)),IF(AND($L$711=0,$P$708=0),"",$L$711-1),IF($R$17="Distrato",$E848,0)),MIN(X$38,$D$19),$P$20))-SUM($P848:W848)</f>
        <v>#VALUE!</v>
      </c>
      <c r="Y848" s="446" t="e">
        <f>IF(OR($B848="",MIN(Y$38,$D$19)&lt;MAX($P$708*($B848+IF($R$17="Distrato",$I$38-1,0)),IF(AND($L$711=0,$P$708=0),"",$L$711-1),IF($R$17="Distrato",$E848,0))),0,YEARFRAC(MAX($P$708*($B848+IF($R$17="Distrato",$I$38-1,0)),IF(AND($L$711=0,$P$708=0),"",$L$711-1),IF($R$17="Distrato",$E848,0)),MIN(Y$38,$D$19),$P$20))-SUM($P848:X848)</f>
        <v>#VALUE!</v>
      </c>
      <c r="Z848" s="446" t="e">
        <f>IF(OR($B848="",MIN(Z$38,$D$19)&lt;MAX($P$708*($B848+IF($R$17="Distrato",$I$38-1,0)),IF(AND($L$711=0,$P$708=0),"",$L$711-1),IF($R$17="Distrato",$E848,0))),0,YEARFRAC(MAX($P$708*($B848+IF($R$17="Distrato",$I$38-1,0)),IF(AND($L$711=0,$P$708=0),"",$L$711-1),IF($R$17="Distrato",$E848,0)),MIN(Z$38,$D$19),$P$20))-SUM($P848:Y848)</f>
        <v>#VALUE!</v>
      </c>
      <c r="AA848" s="446" t="e">
        <f>IF(OR($B848="",MIN(AA$38,$D$19)&lt;MAX($P$708*($B848+IF($R$17="Distrato",$I$38-1,0)),IF(AND($L$711=0,$P$708=0),"",$L$711-1),IF($R$17="Distrato",$E848,0))),0,YEARFRAC(MAX($P$708*($B848+IF($R$17="Distrato",$I$38-1,0)),IF(AND($L$711=0,$P$708=0),"",$L$711-1),IF($R$17="Distrato",$E848,0)),MIN(AA$38,$D$19),$P$20))-SUM($P848:Z848)</f>
        <v>#VALUE!</v>
      </c>
      <c r="AB848" s="446" t="e">
        <f>IF(OR($B848="",MIN(AB$38,$D$19)&lt;MAX($P$708*($B848+IF($R$17="Distrato",$I$38-1,0)),IF(AND($L$711=0,$P$708=0),"",$L$711-1),IF($R$17="Distrato",$E848,0))),0,YEARFRAC(MAX($P$708*($B848+IF($R$17="Distrato",$I$38-1,0)),IF(AND($L$711=0,$P$708=0),"",$L$711-1),IF($R$17="Distrato",$E848,0)),MIN(AB$38,$D$19),$P$20))-SUM($P848:AA848)</f>
        <v>#VALUE!</v>
      </c>
      <c r="AC848" s="446" t="e">
        <f>IF(OR($B848="",MIN(AC$38,$D$19)&lt;MAX($P$708*($B848+IF($R$17="Distrato",$I$38-1,0)),IF(AND($L$711=0,$P$708=0),"",$L$711-1),IF($R$17="Distrato",$E848,0))),0,YEARFRAC(MAX($P$708*($B848+IF($R$17="Distrato",$I$38-1,0)),IF(AND($L$711=0,$P$708=0),"",$L$711-1),IF($R$17="Distrato",$E848,0)),MIN(AC$38,$D$19),$P$20))-SUM($P848:AB848)</f>
        <v>#VALUE!</v>
      </c>
      <c r="AD848" s="446" t="e">
        <f>IF(OR($B848="",MIN(AD$38,$D$19)&lt;MAX($P$708*($B848+IF($R$17="Distrato",$I$38-1,0)),IF(AND($L$711=0,$P$708=0),"",$L$711-1),IF($R$17="Distrato",$E848,0))),0,YEARFRAC(MAX($P$708*($B848+IF($R$17="Distrato",$I$38-1,0)),IF(AND($L$711=0,$P$708=0),"",$L$711-1),IF($R$17="Distrato",$E848,0)),MIN(AD$38,$D$19),$P$20))-SUM($P848:AC848)</f>
        <v>#VALUE!</v>
      </c>
      <c r="AE848" s="446" t="e">
        <f>IF(OR($B848="",MIN(AE$38,$D$19)&lt;MAX($P$708*($B848+IF($R$17="Distrato",$I$38-1,0)),IF(AND($L$711=0,$P$708=0),"",$L$711-1),IF($R$17="Distrato",$E848,0))),0,YEARFRAC(MAX($P$708*($B848+IF($R$17="Distrato",$I$38-1,0)),IF(AND($L$711=0,$P$708=0),"",$L$711-1),IF($R$17="Distrato",$E848,0)),MIN(AE$38,$D$19),$P$20))-SUM($P848:AD848)</f>
        <v>#VALUE!</v>
      </c>
      <c r="AF848" s="446" t="e">
        <f>IF(OR($B848="",MIN(AF$38,$D$19)&lt;MAX($P$708*($B848+IF($R$17="Distrato",$I$38-1,0)),IF(AND($L$711=0,$P$708=0),"",$L$711-1),IF($R$17="Distrato",$E848,0))),0,YEARFRAC(MAX($P$708*($B848+IF($R$17="Distrato",$I$38-1,0)),IF(AND($L$711=0,$P$708=0),"",$L$711-1),IF($R$17="Distrato",$E848,0)),MIN(AF$38,$D$19),$P$20))-SUM($P848:AE848)</f>
        <v>#VALUE!</v>
      </c>
      <c r="AG848" s="446" t="e">
        <f>IF(OR($B848="",MIN(AG$38,$D$19)&lt;MAX($P$708*($B848+IF($R$17="Distrato",$I$38-1,0)),IF(AND($L$711=0,$P$708=0),"",$L$711-1),IF($R$17="Distrato",$E848,0))),0,YEARFRAC(MAX($P$708*($B848+IF($R$17="Distrato",$I$38-1,0)),IF(AND($L$711=0,$P$708=0),"",$L$711-1),IF($R$17="Distrato",$E848,0)),MIN(AG$38,$D$19),$P$20))-SUM($P848:AF848)</f>
        <v>#VALUE!</v>
      </c>
      <c r="AH848" s="446" t="e">
        <f>IF(OR($B848="",MIN(AH$38,$D$19)&lt;MAX($P$708*($B848+IF($R$17="Distrato",$I$38-1,0)),IF(AND($L$711=0,$P$708=0),"",$L$711-1),IF($R$17="Distrato",$E848,0))),0,YEARFRAC(MAX($P$708*($B848+IF($R$17="Distrato",$I$38-1,0)),IF(AND($L$711=0,$P$708=0),"",$L$711-1),IF($R$17="Distrato",$E848,0)),MIN(AH$38,$D$19),$P$20))-SUM($P848:AG848)</f>
        <v>#VALUE!</v>
      </c>
      <c r="AI848" s="446" t="e">
        <f>IF(OR($B848="",MIN(AI$38,$D$19)&lt;MAX($P$708*($B848+IF($R$17="Distrato",$I$38-1,0)),IF(AND($L$711=0,$P$708=0),"",$L$711-1),IF($R$17="Distrato",$E848,0))),0,YEARFRAC(MAX($P$708*($B848+IF($R$17="Distrato",$I$38-1,0)),IF(AND($L$711=0,$P$708=0),"",$L$711-1),IF($R$17="Distrato",$E848,0)),MIN(AI$38,$D$19),$P$20))-SUM($P848:AH848)</f>
        <v>#VALUE!</v>
      </c>
      <c r="AJ848" s="446" t="e">
        <f>IF(OR($B848="",MIN(AJ$38,$D$19)&lt;MAX($P$708*($B848+IF($R$17="Distrato",$I$38-1,0)),IF(AND($L$711=0,$P$708=0),"",$L$711-1),IF($R$17="Distrato",$E848,0))),0,YEARFRAC(MAX($P$708*($B848+IF($R$17="Distrato",$I$38-1,0)),IF(AND($L$711=0,$P$708=0),"",$L$711-1),IF($R$17="Distrato",$E848,0)),MIN(AJ$38,$D$19),$P$20))-SUM($P848:AI848)</f>
        <v>#VALUE!</v>
      </c>
      <c r="AK848" s="446" t="e">
        <f>IF(OR($B848="",MIN(AK$38,$D$19)&lt;MAX($P$708*($B848+IF($R$17="Distrato",$I$38-1,0)),IF(AND($L$711=0,$P$708=0),"",$L$711-1),IF($R$17="Distrato",$E848,0))),0,YEARFRAC(MAX($P$708*($B848+IF($R$17="Distrato",$I$38-1,0)),IF(AND($L$711=0,$P$708=0),"",$L$711-1),IF($R$17="Distrato",$E848,0)),MIN(AK$38,$D$19),$P$20))-SUM($P848:AJ848)</f>
        <v>#VALUE!</v>
      </c>
      <c r="AL848" s="446" t="e">
        <f>IF(OR($B848="",MIN(AL$38,$D$19)&lt;MAX($P$708*($B848+IF($R$17="Distrato",$I$38-1,0)),IF(AND($L$711=0,$P$708=0),"",$L$711-1),IF($R$17="Distrato",$E848,0))),0,YEARFRAC(MAX($P$708*($B848+IF($R$17="Distrato",$I$38-1,0)),IF(AND($L$711=0,$P$708=0),"",$L$711-1),IF($R$17="Distrato",$E848,0)),MIN(AL$38,$D$19),$P$20))-SUM($P848:AK848)</f>
        <v>#VALUE!</v>
      </c>
      <c r="AM848" s="446" t="e">
        <f>IF(OR($B848="",MIN(AM$38,$D$19)&lt;MAX($P$708*($B848+IF($R$17="Distrato",$I$38-1,0)),IF(AND($L$711=0,$P$708=0),"",$L$711-1),IF($R$17="Distrato",$E848,0))),0,YEARFRAC(MAX($P$708*($B848+IF($R$17="Distrato",$I$38-1,0)),IF(AND($L$711=0,$P$708=0),"",$L$711-1),IF($R$17="Distrato",$E848,0)),MIN(AM$38,$D$19),$P$20))-SUM($P848:AL848)</f>
        <v>#VALUE!</v>
      </c>
      <c r="AN848" s="446" t="e">
        <f>IF(OR($B848="",MIN(AN$38,$D$19)&lt;MAX($P$708*($B848+IF($R$17="Distrato",$I$38-1,0)),IF(AND($L$711=0,$P$708=0),"",$L$711-1),IF($R$17="Distrato",$E848,0))),0,YEARFRAC(MAX($P$708*($B848+IF($R$17="Distrato",$I$38-1,0)),IF(AND($L$711=0,$P$708=0),"",$L$711-1),IF($R$17="Distrato",$E848,0)),MIN(AN$38,$D$19),$P$20))-SUM($P848:AM848)</f>
        <v>#VALUE!</v>
      </c>
      <c r="AO848" s="446" t="e">
        <f>IF(OR($B848="",MIN(AO$38,$D$19)&lt;MAX($P$708*($B848+IF($R$17="Distrato",$I$38-1,0)),IF(AND($L$711=0,$P$708=0),"",$L$711-1),IF($R$17="Distrato",$E848,0))),0,YEARFRAC(MAX($P$708*($B848+IF($R$17="Distrato",$I$38-1,0)),IF(AND($L$711=0,$P$708=0),"",$L$711-1),IF($R$17="Distrato",$E848,0)),MIN(AO$38,$D$19),$P$20))-SUM($P848:AN848)</f>
        <v>#VALUE!</v>
      </c>
      <c r="AP848" s="446" t="e">
        <f>IF(OR($B848="",MIN(AP$38,$D$19)&lt;MAX($P$708*($B848+IF($R$17="Distrato",$I$38-1,0)),IF(AND($L$711=0,$P$708=0),"",$L$711-1),IF($R$17="Distrato",$E848,0))),0,YEARFRAC(MAX($P$708*($B848+IF($R$17="Distrato",$I$38-1,0)),IF(AND($L$711=0,$P$708=0),"",$L$711-1),IF($R$17="Distrato",$E848,0)),MIN(AP$38,$D$19),$P$20))-SUM($P848:AO848)</f>
        <v>#VALUE!</v>
      </c>
      <c r="AQ848" s="446" t="e">
        <f>IF(OR($B848="",MIN(AQ$38,$D$19)&lt;MAX($P$708*($B848+IF($R$17="Distrato",$I$38-1,0)),IF(AND($L$711=0,$P$708=0),"",$L$711-1),IF($R$17="Distrato",$E848,0))),0,YEARFRAC(MAX($P$708*($B848+IF($R$17="Distrato",$I$38-1,0)),IF(AND($L$711=0,$P$708=0),"",$L$711-1),IF($R$17="Distrato",$E848,0)),MIN(AQ$38,$D$19),$P$20))-SUM($P848:AP848)</f>
        <v>#VALUE!</v>
      </c>
      <c r="AR848" s="446" t="e">
        <f>IF(OR($B848="",MIN(AR$38,$D$19)&lt;MAX($P$708*($B848+IF($R$17="Distrato",$I$38-1,0)),IF(AND($L$711=0,$P$708=0),"",$L$711-1),IF($R$17="Distrato",$E848,0))),0,YEARFRAC(MAX($P$708*($B848+IF($R$17="Distrato",$I$38-1,0)),IF(AND($L$711=0,$P$708=0),"",$L$711-1),IF($R$17="Distrato",$E848,0)),MIN(AR$38,$D$19),$P$20))-SUM($P848:AQ848)</f>
        <v>#VALUE!</v>
      </c>
      <c r="AS848" s="446" t="e">
        <f>IF(OR($B848="",MIN(AS$38,$D$19)&lt;MAX($P$708*($B848+IF($R$17="Distrato",$I$38-1,0)),IF(AND($L$711=0,$P$708=0),"",$L$711-1),IF($R$17="Distrato",$E848,0))),0,YEARFRAC(MAX($P$708*($B848+IF($R$17="Distrato",$I$38-1,0)),IF(AND($L$711=0,$P$708=0),"",$L$711-1),IF($R$17="Distrato",$E848,0)),MIN(AS$38,$D$19),$P$20))-SUM($P848:AR848)</f>
        <v>#VALUE!</v>
      </c>
      <c r="AT848" s="446" t="e">
        <f>IF(OR($B848="",MIN(AT$38,$D$19)&lt;MAX($P$708*($B848+IF($R$17="Distrato",$I$38-1,0)),IF(AND($L$711=0,$P$708=0),"",$L$711-1),IF($R$17="Distrato",$E848,0))),0,YEARFRAC(MAX($P$708*($B848+IF($R$17="Distrato",$I$38-1,0)),IF(AND($L$711=0,$P$708=0),"",$L$711-1),IF($R$17="Distrato",$E848,0)),MIN(AT$38,$D$19),$P$20))-SUM($P848:AS848)</f>
        <v>#VALUE!</v>
      </c>
      <c r="AU848" s="446" t="e">
        <f>IF(OR($B848="",MIN(AU$38,$D$19)&lt;MAX($P$708*($B848+IF($R$17="Distrato",$I$38-1,0)),IF(AND($L$711=0,$P$708=0),"",$L$711-1),IF($R$17="Distrato",$E848,0))),0,YEARFRAC(MAX($P$708*($B848+IF($R$17="Distrato",$I$38-1,0)),IF(AND($L$711=0,$P$708=0),"",$L$711-1),IF($R$17="Distrato",$E848,0)),MIN(AU$38,$D$19),$P$20))-SUM($P848:AT848)</f>
        <v>#VALUE!</v>
      </c>
      <c r="AV848" s="446" t="e">
        <f>IF(OR($B848="",MIN(AV$38,$D$19)&lt;MAX($P$708*($B848+IF($R$17="Distrato",$I$38-1,0)),IF(AND($L$711=0,$P$708=0),"",$L$711-1),IF($R$17="Distrato",$E848,0))),0,YEARFRAC(MAX($P$708*($B848+IF($R$17="Distrato",$I$38-1,0)),IF(AND($L$711=0,$P$708=0),"",$L$711-1),IF($R$17="Distrato",$E848,0)),MIN(AV$38,$D$19),$P$20))-SUM($P848:AU848)</f>
        <v>#VALUE!</v>
      </c>
      <c r="AW848" s="446" t="e">
        <f>IF(OR($B848="",MIN(AW$38,$D$19)&lt;MAX($P$708*($B848+IF($R$17="Distrato",$I$38-1,0)),IF(AND($L$711=0,$P$708=0),"",$L$711-1),IF($R$17="Distrato",$E848,0))),0,YEARFRAC(MAX($P$708*($B848+IF($R$17="Distrato",$I$38-1,0)),IF(AND($L$711=0,$P$708=0),"",$L$711-1),IF($R$17="Distrato",$E848,0)),MIN(AW$38,$D$19),$P$20))-SUM($P848:AV848)</f>
        <v>#VALUE!</v>
      </c>
      <c r="AX848" s="446" t="e">
        <f>IF(OR($B848="",MIN(AX$38,$D$19)&lt;MAX($P$708*($B848+IF($R$17="Distrato",$I$38-1,0)),IF(AND($L$711=0,$P$708=0),"",$L$711-1),IF($R$17="Distrato",$E848,0))),0,YEARFRAC(MAX($P$708*($B848+IF($R$17="Distrato",$I$38-1,0)),IF(AND($L$711=0,$P$708=0),"",$L$711-1),IF($R$17="Distrato",$E848,0)),MIN(AX$38,$D$19),$P$20))-SUM($P848:AW848)</f>
        <v>#VALUE!</v>
      </c>
      <c r="AY848" s="446" t="e">
        <f>IF(OR($B848="",MIN(AY$38,$D$19)&lt;MAX($P$708*($B848+IF($R$17="Distrato",$I$38-1,0)),IF(AND($L$711=0,$P$708=0),"",$L$711-1),IF($R$17="Distrato",$E848,0))),0,YEARFRAC(MAX($P$708*($B848+IF($R$17="Distrato",$I$38-1,0)),IF(AND($L$711=0,$P$708=0),"",$L$711-1),IF($R$17="Distrato",$E848,0)),MIN(AY$38,$D$19),$P$20))-SUM($P848:AX848)</f>
        <v>#VALUE!</v>
      </c>
      <c r="AZ848" s="446" t="e">
        <f>IF(OR($B848="",MIN(AZ$38,$D$19)&lt;MAX($P$708*($B848+IF($R$17="Distrato",$I$38-1,0)),IF(AND($L$711=0,$P$708=0),"",$L$711-1),IF($R$17="Distrato",$E848,0))),0,YEARFRAC(MAX($P$708*($B848+IF($R$17="Distrato",$I$38-1,0)),IF(AND($L$711=0,$P$708=0),"",$L$711-1),IF($R$17="Distrato",$E848,0)),MIN(AZ$38,$D$19),$P$20))-SUM($P848:AY848)</f>
        <v>#VALUE!</v>
      </c>
      <c r="BA848" s="446" t="e">
        <f>IF(OR($B848="",MIN(BA$38,$D$19)&lt;MAX($P$708*($B848+IF($R$17="Distrato",$I$38-1,0)),IF(AND($L$711=0,$P$708=0),"",$L$711-1),IF($R$17="Distrato",$E848,0))),0,YEARFRAC(MAX($P$708*($B848+IF($R$17="Distrato",$I$38-1,0)),IF(AND($L$711=0,$P$708=0),"",$L$711-1),IF($R$17="Distrato",$E848,0)),MIN(BA$38,$D$19),$P$20))-SUM($P848:AZ848)</f>
        <v>#VALUE!</v>
      </c>
      <c r="BB848" s="447"/>
    </row>
    <row r="849" spans="1:54" s="446" customFormat="1" ht="11.25" hidden="1" customHeight="1" x14ac:dyDescent="0.2">
      <c r="A849" s="235"/>
      <c r="B849" s="236"/>
      <c r="C849" s="29" t="str">
        <f>IF(B849="","",IF($L$709=$BL$25,VLOOKUP(DATE(YEAR($D$19),MONTH($D$19)-1,1),ÍNDICES!$A:$DE,HLOOKUP($BL$25,ÍNDICES!$B$3:$T$4,2)+11)-VLOOKUP(B849,ÍNDICES!$A:$DE,HLOOKUP($BL$25,ÍNDICES!$B$3:$T$4,2)+11)+1%,IF(C$712=$W$26,$J$35,IF(ISERROR(IF(B849&gt;$D$19,1,VLOOKUP(DATE(YEAR(B849),MONTH(B849)+IF($C$709=$S$23,1,0),1),ÍNDICES!$A:$DE,$Z$709+1))),"",IF(B849&gt;$D$19,1,VLOOKUP(DATE(YEAR(B849),MONTH(B849)+IF($C$709=$S$23,1,0),1),ÍNDICES!$A:$DE,$Z$709+1))))))</f>
        <v/>
      </c>
      <c r="D849" s="155"/>
      <c r="E849" s="88"/>
      <c r="F849" s="88"/>
      <c r="G849" s="88"/>
      <c r="H849" s="118"/>
      <c r="I849" s="182">
        <f t="shared" si="129"/>
        <v>0</v>
      </c>
      <c r="J849" s="20">
        <f t="shared" ca="1" si="130"/>
        <v>0</v>
      </c>
      <c r="K849" s="5">
        <f t="shared" ca="1" si="131"/>
        <v>0</v>
      </c>
      <c r="L849" s="61">
        <f t="shared" ca="1" si="132"/>
        <v>0</v>
      </c>
      <c r="M849" s="64">
        <f t="shared" si="133"/>
        <v>0</v>
      </c>
      <c r="N849" s="151"/>
      <c r="O849" s="5">
        <f t="shared" ca="1" si="134"/>
        <v>0</v>
      </c>
      <c r="P849" s="446" t="e">
        <f t="shared" si="135"/>
        <v>#VALUE!</v>
      </c>
      <c r="Q849" s="446" t="e">
        <f>IF(OR($B849="",MIN(Q$38,$D$19)&lt;MAX($P$708*($B849+IF($R$17="Distrato",$I$38-1,0)),IF(AND($L$711=0,$P$708=0),"",$L$711-1),IF($R$17="Distrato",$E849,0))),0,YEARFRAC(MAX($P$708*($B849+IF($R$17="Distrato",$I$38-1,0)),IF(AND($L$711=0,$P$708=0),"",$L$711-1),IF($R$17="Distrato",$E849,0)),MIN(Q$38,$D$19),$P$20))-SUM($P849:P849)</f>
        <v>#VALUE!</v>
      </c>
      <c r="R849" s="446" t="e">
        <f>IF(OR($B849="",MIN(R$38,$D$19)&lt;MAX($P$708*($B849+IF($R$17="Distrato",$I$38-1,0)),IF(AND($L$711=0,$P$708=0),"",$L$711-1),IF($R$17="Distrato",$E849,0))),0,YEARFRAC(MAX($P$708*($B849+IF($R$17="Distrato",$I$38-1,0)),IF(AND($L$711=0,$P$708=0),"",$L$711-1),IF($R$17="Distrato",$E849,0)),MIN(R$38,$D$19),$P$20))-SUM($P849:Q849)</f>
        <v>#VALUE!</v>
      </c>
      <c r="S849" s="446" t="e">
        <f>IF(OR($B849="",MIN(S$38,$D$19)&lt;MAX($P$708*($B849+IF($R$17="Distrato",$I$38-1,0)),IF(AND($L$711=0,$P$708=0),"",$L$711-1),IF($R$17="Distrato",$E849,0))),0,YEARFRAC(MAX($P$708*($B849+IF($R$17="Distrato",$I$38-1,0)),IF(AND($L$711=0,$P$708=0),"",$L$711-1),IF($R$17="Distrato",$E849,0)),MIN(S$38,$D$19),$P$20))-SUM($P849:R849)</f>
        <v>#VALUE!</v>
      </c>
      <c r="T849" s="446" t="e">
        <f>IF(OR($B849="",MIN(T$38,$D$19)&lt;MAX($P$708*($B849+IF($R$17="Distrato",$I$38-1,0)),IF(AND($L$711=0,$P$708=0),"",$L$711-1),IF($R$17="Distrato",$E849,0))),0,YEARFRAC(MAX($P$708*($B849+IF($R$17="Distrato",$I$38-1,0)),IF(AND($L$711=0,$P$708=0),"",$L$711-1),IF($R$17="Distrato",$E849,0)),MIN(T$38,$D$19),$P$20))-SUM($P849:S849)</f>
        <v>#VALUE!</v>
      </c>
      <c r="U849" s="446" t="e">
        <f>IF(OR($B849="",MIN(U$38,$D$19)&lt;MAX($P$708*($B849+IF($R$17="Distrato",$I$38-1,0)),IF(AND($L$711=0,$P$708=0),"",$L$711-1),IF($R$17="Distrato",$E849,0))),0,YEARFRAC(MAX($P$708*($B849+IF($R$17="Distrato",$I$38-1,0)),IF(AND($L$711=0,$P$708=0),"",$L$711-1),IF($R$17="Distrato",$E849,0)),MIN(U$38,$D$19),$P$20))-SUM($P849:T849)</f>
        <v>#VALUE!</v>
      </c>
      <c r="V849" s="446" t="e">
        <f>IF(OR($B849="",MIN(V$38,$D$19)&lt;MAX($P$708*($B849+IF($R$17="Distrato",$I$38-1,0)),IF(AND($L$711=0,$P$708=0),"",$L$711-1),IF($R$17="Distrato",$E849,0))),0,YEARFRAC(MAX($P$708*($B849+IF($R$17="Distrato",$I$38-1,0)),IF(AND($L$711=0,$P$708=0),"",$L$711-1),IF($R$17="Distrato",$E849,0)),MIN(V$38,$D$19),$P$20))-SUM($P849:U849)</f>
        <v>#VALUE!</v>
      </c>
      <c r="W849" s="446" t="e">
        <f>IF(OR($B849="",MIN(W$38,$D$19)&lt;MAX($P$708*($B849+IF($R$17="Distrato",$I$38-1,0)),IF(AND($L$711=0,$P$708=0),"",$L$711-1),IF($R$17="Distrato",$E849,0))),0,YEARFRAC(MAX($P$708*($B849+IF($R$17="Distrato",$I$38-1,0)),IF(AND($L$711=0,$P$708=0),"",$L$711-1),IF($R$17="Distrato",$E849,0)),MIN(W$38,$D$19),$P$20))-SUM($P849:V849)</f>
        <v>#VALUE!</v>
      </c>
      <c r="X849" s="446" t="e">
        <f>IF(OR($B849="",MIN(X$38,$D$19)&lt;MAX($P$708*($B849+IF($R$17="Distrato",$I$38-1,0)),IF(AND($L$711=0,$P$708=0),"",$L$711-1),IF($R$17="Distrato",$E849,0))),0,YEARFRAC(MAX($P$708*($B849+IF($R$17="Distrato",$I$38-1,0)),IF(AND($L$711=0,$P$708=0),"",$L$711-1),IF($R$17="Distrato",$E849,0)),MIN(X$38,$D$19),$P$20))-SUM($P849:W849)</f>
        <v>#VALUE!</v>
      </c>
      <c r="Y849" s="446" t="e">
        <f>IF(OR($B849="",MIN(Y$38,$D$19)&lt;MAX($P$708*($B849+IF($R$17="Distrato",$I$38-1,0)),IF(AND($L$711=0,$P$708=0),"",$L$711-1),IF($R$17="Distrato",$E849,0))),0,YEARFRAC(MAX($P$708*($B849+IF($R$17="Distrato",$I$38-1,0)),IF(AND($L$711=0,$P$708=0),"",$L$711-1),IF($R$17="Distrato",$E849,0)),MIN(Y$38,$D$19),$P$20))-SUM($P849:X849)</f>
        <v>#VALUE!</v>
      </c>
      <c r="Z849" s="446" t="e">
        <f>IF(OR($B849="",MIN(Z$38,$D$19)&lt;MAX($P$708*($B849+IF($R$17="Distrato",$I$38-1,0)),IF(AND($L$711=0,$P$708=0),"",$L$711-1),IF($R$17="Distrato",$E849,0))),0,YEARFRAC(MAX($P$708*($B849+IF($R$17="Distrato",$I$38-1,0)),IF(AND($L$711=0,$P$708=0),"",$L$711-1),IF($R$17="Distrato",$E849,0)),MIN(Z$38,$D$19),$P$20))-SUM($P849:Y849)</f>
        <v>#VALUE!</v>
      </c>
      <c r="AA849" s="446" t="e">
        <f>IF(OR($B849="",MIN(AA$38,$D$19)&lt;MAX($P$708*($B849+IF($R$17="Distrato",$I$38-1,0)),IF(AND($L$711=0,$P$708=0),"",$L$711-1),IF($R$17="Distrato",$E849,0))),0,YEARFRAC(MAX($P$708*($B849+IF($R$17="Distrato",$I$38-1,0)),IF(AND($L$711=0,$P$708=0),"",$L$711-1),IF($R$17="Distrato",$E849,0)),MIN(AA$38,$D$19),$P$20))-SUM($P849:Z849)</f>
        <v>#VALUE!</v>
      </c>
      <c r="AB849" s="446" t="e">
        <f>IF(OR($B849="",MIN(AB$38,$D$19)&lt;MAX($P$708*($B849+IF($R$17="Distrato",$I$38-1,0)),IF(AND($L$711=0,$P$708=0),"",$L$711-1),IF($R$17="Distrato",$E849,0))),0,YEARFRAC(MAX($P$708*($B849+IF($R$17="Distrato",$I$38-1,0)),IF(AND($L$711=0,$P$708=0),"",$L$711-1),IF($R$17="Distrato",$E849,0)),MIN(AB$38,$D$19),$P$20))-SUM($P849:AA849)</f>
        <v>#VALUE!</v>
      </c>
      <c r="AC849" s="446" t="e">
        <f>IF(OR($B849="",MIN(AC$38,$D$19)&lt;MAX($P$708*($B849+IF($R$17="Distrato",$I$38-1,0)),IF(AND($L$711=0,$P$708=0),"",$L$711-1),IF($R$17="Distrato",$E849,0))),0,YEARFRAC(MAX($P$708*($B849+IF($R$17="Distrato",$I$38-1,0)),IF(AND($L$711=0,$P$708=0),"",$L$711-1),IF($R$17="Distrato",$E849,0)),MIN(AC$38,$D$19),$P$20))-SUM($P849:AB849)</f>
        <v>#VALUE!</v>
      </c>
      <c r="AD849" s="446" t="e">
        <f>IF(OR($B849="",MIN(AD$38,$D$19)&lt;MAX($P$708*($B849+IF($R$17="Distrato",$I$38-1,0)),IF(AND($L$711=0,$P$708=0),"",$L$711-1),IF($R$17="Distrato",$E849,0))),0,YEARFRAC(MAX($P$708*($B849+IF($R$17="Distrato",$I$38-1,0)),IF(AND($L$711=0,$P$708=0),"",$L$711-1),IF($R$17="Distrato",$E849,0)),MIN(AD$38,$D$19),$P$20))-SUM($P849:AC849)</f>
        <v>#VALUE!</v>
      </c>
      <c r="AE849" s="446" t="e">
        <f>IF(OR($B849="",MIN(AE$38,$D$19)&lt;MAX($P$708*($B849+IF($R$17="Distrato",$I$38-1,0)),IF(AND($L$711=0,$P$708=0),"",$L$711-1),IF($R$17="Distrato",$E849,0))),0,YEARFRAC(MAX($P$708*($B849+IF($R$17="Distrato",$I$38-1,0)),IF(AND($L$711=0,$P$708=0),"",$L$711-1),IF($R$17="Distrato",$E849,0)),MIN(AE$38,$D$19),$P$20))-SUM($P849:AD849)</f>
        <v>#VALUE!</v>
      </c>
      <c r="AF849" s="446" t="e">
        <f>IF(OR($B849="",MIN(AF$38,$D$19)&lt;MAX($P$708*($B849+IF($R$17="Distrato",$I$38-1,0)),IF(AND($L$711=0,$P$708=0),"",$L$711-1),IF($R$17="Distrato",$E849,0))),0,YEARFRAC(MAX($P$708*($B849+IF($R$17="Distrato",$I$38-1,0)),IF(AND($L$711=0,$P$708=0),"",$L$711-1),IF($R$17="Distrato",$E849,0)),MIN(AF$38,$D$19),$P$20))-SUM($P849:AE849)</f>
        <v>#VALUE!</v>
      </c>
      <c r="AG849" s="446" t="e">
        <f>IF(OR($B849="",MIN(AG$38,$D$19)&lt;MAX($P$708*($B849+IF($R$17="Distrato",$I$38-1,0)),IF(AND($L$711=0,$P$708=0),"",$L$711-1),IF($R$17="Distrato",$E849,0))),0,YEARFRAC(MAX($P$708*($B849+IF($R$17="Distrato",$I$38-1,0)),IF(AND($L$711=0,$P$708=0),"",$L$711-1),IF($R$17="Distrato",$E849,0)),MIN(AG$38,$D$19),$P$20))-SUM($P849:AF849)</f>
        <v>#VALUE!</v>
      </c>
      <c r="AH849" s="446" t="e">
        <f>IF(OR($B849="",MIN(AH$38,$D$19)&lt;MAX($P$708*($B849+IF($R$17="Distrato",$I$38-1,0)),IF(AND($L$711=0,$P$708=0),"",$L$711-1),IF($R$17="Distrato",$E849,0))),0,YEARFRAC(MAX($P$708*($B849+IF($R$17="Distrato",$I$38-1,0)),IF(AND($L$711=0,$P$708=0),"",$L$711-1),IF($R$17="Distrato",$E849,0)),MIN(AH$38,$D$19),$P$20))-SUM($P849:AG849)</f>
        <v>#VALUE!</v>
      </c>
      <c r="AI849" s="446" t="e">
        <f>IF(OR($B849="",MIN(AI$38,$D$19)&lt;MAX($P$708*($B849+IF($R$17="Distrato",$I$38-1,0)),IF(AND($L$711=0,$P$708=0),"",$L$711-1),IF($R$17="Distrato",$E849,0))),0,YEARFRAC(MAX($P$708*($B849+IF($R$17="Distrato",$I$38-1,0)),IF(AND($L$711=0,$P$708=0),"",$L$711-1),IF($R$17="Distrato",$E849,0)),MIN(AI$38,$D$19),$P$20))-SUM($P849:AH849)</f>
        <v>#VALUE!</v>
      </c>
      <c r="AJ849" s="446" t="e">
        <f>IF(OR($B849="",MIN(AJ$38,$D$19)&lt;MAX($P$708*($B849+IF($R$17="Distrato",$I$38-1,0)),IF(AND($L$711=0,$P$708=0),"",$L$711-1),IF($R$17="Distrato",$E849,0))),0,YEARFRAC(MAX($P$708*($B849+IF($R$17="Distrato",$I$38-1,0)),IF(AND($L$711=0,$P$708=0),"",$L$711-1),IF($R$17="Distrato",$E849,0)),MIN(AJ$38,$D$19),$P$20))-SUM($P849:AI849)</f>
        <v>#VALUE!</v>
      </c>
      <c r="AK849" s="446" t="e">
        <f>IF(OR($B849="",MIN(AK$38,$D$19)&lt;MAX($P$708*($B849+IF($R$17="Distrato",$I$38-1,0)),IF(AND($L$711=0,$P$708=0),"",$L$711-1),IF($R$17="Distrato",$E849,0))),0,YEARFRAC(MAX($P$708*($B849+IF($R$17="Distrato",$I$38-1,0)),IF(AND($L$711=0,$P$708=0),"",$L$711-1),IF($R$17="Distrato",$E849,0)),MIN(AK$38,$D$19),$P$20))-SUM($P849:AJ849)</f>
        <v>#VALUE!</v>
      </c>
      <c r="AL849" s="446" t="e">
        <f>IF(OR($B849="",MIN(AL$38,$D$19)&lt;MAX($P$708*($B849+IF($R$17="Distrato",$I$38-1,0)),IF(AND($L$711=0,$P$708=0),"",$L$711-1),IF($R$17="Distrato",$E849,0))),0,YEARFRAC(MAX($P$708*($B849+IF($R$17="Distrato",$I$38-1,0)),IF(AND($L$711=0,$P$708=0),"",$L$711-1),IF($R$17="Distrato",$E849,0)),MIN(AL$38,$D$19),$P$20))-SUM($P849:AK849)</f>
        <v>#VALUE!</v>
      </c>
      <c r="AM849" s="446" t="e">
        <f>IF(OR($B849="",MIN(AM$38,$D$19)&lt;MAX($P$708*($B849+IF($R$17="Distrato",$I$38-1,0)),IF(AND($L$711=0,$P$708=0),"",$L$711-1),IF($R$17="Distrato",$E849,0))),0,YEARFRAC(MAX($P$708*($B849+IF($R$17="Distrato",$I$38-1,0)),IF(AND($L$711=0,$P$708=0),"",$L$711-1),IF($R$17="Distrato",$E849,0)),MIN(AM$38,$D$19),$P$20))-SUM($P849:AL849)</f>
        <v>#VALUE!</v>
      </c>
      <c r="AN849" s="446" t="e">
        <f>IF(OR($B849="",MIN(AN$38,$D$19)&lt;MAX($P$708*($B849+IF($R$17="Distrato",$I$38-1,0)),IF(AND($L$711=0,$P$708=0),"",$L$711-1),IF($R$17="Distrato",$E849,0))),0,YEARFRAC(MAX($P$708*($B849+IF($R$17="Distrato",$I$38-1,0)),IF(AND($L$711=0,$P$708=0),"",$L$711-1),IF($R$17="Distrato",$E849,0)),MIN(AN$38,$D$19),$P$20))-SUM($P849:AM849)</f>
        <v>#VALUE!</v>
      </c>
      <c r="AO849" s="446" t="e">
        <f>IF(OR($B849="",MIN(AO$38,$D$19)&lt;MAX($P$708*($B849+IF($R$17="Distrato",$I$38-1,0)),IF(AND($L$711=0,$P$708=0),"",$L$711-1),IF($R$17="Distrato",$E849,0))),0,YEARFRAC(MAX($P$708*($B849+IF($R$17="Distrato",$I$38-1,0)),IF(AND($L$711=0,$P$708=0),"",$L$711-1),IF($R$17="Distrato",$E849,0)),MIN(AO$38,$D$19),$P$20))-SUM($P849:AN849)</f>
        <v>#VALUE!</v>
      </c>
      <c r="AP849" s="446" t="e">
        <f>IF(OR($B849="",MIN(AP$38,$D$19)&lt;MAX($P$708*($B849+IF($R$17="Distrato",$I$38-1,0)),IF(AND($L$711=0,$P$708=0),"",$L$711-1),IF($R$17="Distrato",$E849,0))),0,YEARFRAC(MAX($P$708*($B849+IF($R$17="Distrato",$I$38-1,0)),IF(AND($L$711=0,$P$708=0),"",$L$711-1),IF($R$17="Distrato",$E849,0)),MIN(AP$38,$D$19),$P$20))-SUM($P849:AO849)</f>
        <v>#VALUE!</v>
      </c>
      <c r="AQ849" s="446" t="e">
        <f>IF(OR($B849="",MIN(AQ$38,$D$19)&lt;MAX($P$708*($B849+IF($R$17="Distrato",$I$38-1,0)),IF(AND($L$711=0,$P$708=0),"",$L$711-1),IF($R$17="Distrato",$E849,0))),0,YEARFRAC(MAX($P$708*($B849+IF($R$17="Distrato",$I$38-1,0)),IF(AND($L$711=0,$P$708=0),"",$L$711-1),IF($R$17="Distrato",$E849,0)),MIN(AQ$38,$D$19),$P$20))-SUM($P849:AP849)</f>
        <v>#VALUE!</v>
      </c>
      <c r="AR849" s="446" t="e">
        <f>IF(OR($B849="",MIN(AR$38,$D$19)&lt;MAX($P$708*($B849+IF($R$17="Distrato",$I$38-1,0)),IF(AND($L$711=0,$P$708=0),"",$L$711-1),IF($R$17="Distrato",$E849,0))),0,YEARFRAC(MAX($P$708*($B849+IF($R$17="Distrato",$I$38-1,0)),IF(AND($L$711=0,$P$708=0),"",$L$711-1),IF($R$17="Distrato",$E849,0)),MIN(AR$38,$D$19),$P$20))-SUM($P849:AQ849)</f>
        <v>#VALUE!</v>
      </c>
      <c r="AS849" s="446" t="e">
        <f>IF(OR($B849="",MIN(AS$38,$D$19)&lt;MAX($P$708*($B849+IF($R$17="Distrato",$I$38-1,0)),IF(AND($L$711=0,$P$708=0),"",$L$711-1),IF($R$17="Distrato",$E849,0))),0,YEARFRAC(MAX($P$708*($B849+IF($R$17="Distrato",$I$38-1,0)),IF(AND($L$711=0,$P$708=0),"",$L$711-1),IF($R$17="Distrato",$E849,0)),MIN(AS$38,$D$19),$P$20))-SUM($P849:AR849)</f>
        <v>#VALUE!</v>
      </c>
      <c r="AT849" s="446" t="e">
        <f>IF(OR($B849="",MIN(AT$38,$D$19)&lt;MAX($P$708*($B849+IF($R$17="Distrato",$I$38-1,0)),IF(AND($L$711=0,$P$708=0),"",$L$711-1),IF($R$17="Distrato",$E849,0))),0,YEARFRAC(MAX($P$708*($B849+IF($R$17="Distrato",$I$38-1,0)),IF(AND($L$711=0,$P$708=0),"",$L$711-1),IF($R$17="Distrato",$E849,0)),MIN(AT$38,$D$19),$P$20))-SUM($P849:AS849)</f>
        <v>#VALUE!</v>
      </c>
      <c r="AU849" s="446" t="e">
        <f>IF(OR($B849="",MIN(AU$38,$D$19)&lt;MAX($P$708*($B849+IF($R$17="Distrato",$I$38-1,0)),IF(AND($L$711=0,$P$708=0),"",$L$711-1),IF($R$17="Distrato",$E849,0))),0,YEARFRAC(MAX($P$708*($B849+IF($R$17="Distrato",$I$38-1,0)),IF(AND($L$711=0,$P$708=0),"",$L$711-1),IF($R$17="Distrato",$E849,0)),MIN(AU$38,$D$19),$P$20))-SUM($P849:AT849)</f>
        <v>#VALUE!</v>
      </c>
      <c r="AV849" s="446" t="e">
        <f>IF(OR($B849="",MIN(AV$38,$D$19)&lt;MAX($P$708*($B849+IF($R$17="Distrato",$I$38-1,0)),IF(AND($L$711=0,$P$708=0),"",$L$711-1),IF($R$17="Distrato",$E849,0))),0,YEARFRAC(MAX($P$708*($B849+IF($R$17="Distrato",$I$38-1,0)),IF(AND($L$711=0,$P$708=0),"",$L$711-1),IF($R$17="Distrato",$E849,0)),MIN(AV$38,$D$19),$P$20))-SUM($P849:AU849)</f>
        <v>#VALUE!</v>
      </c>
      <c r="AW849" s="446" t="e">
        <f>IF(OR($B849="",MIN(AW$38,$D$19)&lt;MAX($P$708*($B849+IF($R$17="Distrato",$I$38-1,0)),IF(AND($L$711=0,$P$708=0),"",$L$711-1),IF($R$17="Distrato",$E849,0))),0,YEARFRAC(MAX($P$708*($B849+IF($R$17="Distrato",$I$38-1,0)),IF(AND($L$711=0,$P$708=0),"",$L$711-1),IF($R$17="Distrato",$E849,0)),MIN(AW$38,$D$19),$P$20))-SUM($P849:AV849)</f>
        <v>#VALUE!</v>
      </c>
      <c r="AX849" s="446" t="e">
        <f>IF(OR($B849="",MIN(AX$38,$D$19)&lt;MAX($P$708*($B849+IF($R$17="Distrato",$I$38-1,0)),IF(AND($L$711=0,$P$708=0),"",$L$711-1),IF($R$17="Distrato",$E849,0))),0,YEARFRAC(MAX($P$708*($B849+IF($R$17="Distrato",$I$38-1,0)),IF(AND($L$711=0,$P$708=0),"",$L$711-1),IF($R$17="Distrato",$E849,0)),MIN(AX$38,$D$19),$P$20))-SUM($P849:AW849)</f>
        <v>#VALUE!</v>
      </c>
      <c r="AY849" s="446" t="e">
        <f>IF(OR($B849="",MIN(AY$38,$D$19)&lt;MAX($P$708*($B849+IF($R$17="Distrato",$I$38-1,0)),IF(AND($L$711=0,$P$708=0),"",$L$711-1),IF($R$17="Distrato",$E849,0))),0,YEARFRAC(MAX($P$708*($B849+IF($R$17="Distrato",$I$38-1,0)),IF(AND($L$711=0,$P$708=0),"",$L$711-1),IF($R$17="Distrato",$E849,0)),MIN(AY$38,$D$19),$P$20))-SUM($P849:AX849)</f>
        <v>#VALUE!</v>
      </c>
      <c r="AZ849" s="446" t="e">
        <f>IF(OR($B849="",MIN(AZ$38,$D$19)&lt;MAX($P$708*($B849+IF($R$17="Distrato",$I$38-1,0)),IF(AND($L$711=0,$P$708=0),"",$L$711-1),IF($R$17="Distrato",$E849,0))),0,YEARFRAC(MAX($P$708*($B849+IF($R$17="Distrato",$I$38-1,0)),IF(AND($L$711=0,$P$708=0),"",$L$711-1),IF($R$17="Distrato",$E849,0)),MIN(AZ$38,$D$19),$P$20))-SUM($P849:AY849)</f>
        <v>#VALUE!</v>
      </c>
      <c r="BA849" s="446" t="e">
        <f>IF(OR($B849="",MIN(BA$38,$D$19)&lt;MAX($P$708*($B849+IF($R$17="Distrato",$I$38-1,0)),IF(AND($L$711=0,$P$708=0),"",$L$711-1),IF($R$17="Distrato",$E849,0))),0,YEARFRAC(MAX($P$708*($B849+IF($R$17="Distrato",$I$38-1,0)),IF(AND($L$711=0,$P$708=0),"",$L$711-1),IF($R$17="Distrato",$E849,0)),MIN(BA$38,$D$19),$P$20))-SUM($P849:AZ849)</f>
        <v>#VALUE!</v>
      </c>
      <c r="BB849" s="447"/>
    </row>
    <row r="850" spans="1:54" s="446" customFormat="1" ht="11.25" hidden="1" customHeight="1" x14ac:dyDescent="0.2">
      <c r="A850" s="235"/>
      <c r="B850" s="236"/>
      <c r="C850" s="29" t="str">
        <f>IF(B850="","",IF($L$709=$BL$25,VLOOKUP(DATE(YEAR($D$19),MONTH($D$19)-1,1),ÍNDICES!$A:$DE,HLOOKUP($BL$25,ÍNDICES!$B$3:$T$4,2)+11)-VLOOKUP(B850,ÍNDICES!$A:$DE,HLOOKUP($BL$25,ÍNDICES!$B$3:$T$4,2)+11)+1%,IF(C$712=$W$26,$J$35,IF(ISERROR(IF(B850&gt;$D$19,1,VLOOKUP(DATE(YEAR(B850),MONTH(B850)+IF($C$709=$S$23,1,0),1),ÍNDICES!$A:$DE,$Z$709+1))),"",IF(B850&gt;$D$19,1,VLOOKUP(DATE(YEAR(B850),MONTH(B850)+IF($C$709=$S$23,1,0),1),ÍNDICES!$A:$DE,$Z$709+1))))))</f>
        <v/>
      </c>
      <c r="D850" s="155"/>
      <c r="E850" s="88"/>
      <c r="F850" s="88"/>
      <c r="G850" s="88"/>
      <c r="H850" s="118"/>
      <c r="I850" s="182">
        <f t="shared" si="129"/>
        <v>0</v>
      </c>
      <c r="J850" s="20">
        <f t="shared" ca="1" si="130"/>
        <v>0</v>
      </c>
      <c r="K850" s="5">
        <f t="shared" ca="1" si="131"/>
        <v>0</v>
      </c>
      <c r="L850" s="61">
        <f t="shared" ca="1" si="132"/>
        <v>0</v>
      </c>
      <c r="M850" s="64">
        <f t="shared" si="133"/>
        <v>0</v>
      </c>
      <c r="N850" s="151"/>
      <c r="O850" s="5">
        <f t="shared" ca="1" si="134"/>
        <v>0</v>
      </c>
      <c r="P850" s="446" t="e">
        <f t="shared" si="135"/>
        <v>#VALUE!</v>
      </c>
      <c r="Q850" s="446" t="e">
        <f>IF(OR($B850="",MIN(Q$38,$D$19)&lt;MAX($P$708*($B850+IF($R$17="Distrato",$I$38-1,0)),IF(AND($L$711=0,$P$708=0),"",$L$711-1),IF($R$17="Distrato",$E850,0))),0,YEARFRAC(MAX($P$708*($B850+IF($R$17="Distrato",$I$38-1,0)),IF(AND($L$711=0,$P$708=0),"",$L$711-1),IF($R$17="Distrato",$E850,0)),MIN(Q$38,$D$19),$P$20))-SUM($P850:P850)</f>
        <v>#VALUE!</v>
      </c>
      <c r="R850" s="446" t="e">
        <f>IF(OR($B850="",MIN(R$38,$D$19)&lt;MAX($P$708*($B850+IF($R$17="Distrato",$I$38-1,0)),IF(AND($L$711=0,$P$708=0),"",$L$711-1),IF($R$17="Distrato",$E850,0))),0,YEARFRAC(MAX($P$708*($B850+IF($R$17="Distrato",$I$38-1,0)),IF(AND($L$711=0,$P$708=0),"",$L$711-1),IF($R$17="Distrato",$E850,0)),MIN(R$38,$D$19),$P$20))-SUM($P850:Q850)</f>
        <v>#VALUE!</v>
      </c>
      <c r="S850" s="446" t="e">
        <f>IF(OR($B850="",MIN(S$38,$D$19)&lt;MAX($P$708*($B850+IF($R$17="Distrato",$I$38-1,0)),IF(AND($L$711=0,$P$708=0),"",$L$711-1),IF($R$17="Distrato",$E850,0))),0,YEARFRAC(MAX($P$708*($B850+IF($R$17="Distrato",$I$38-1,0)),IF(AND($L$711=0,$P$708=0),"",$L$711-1),IF($R$17="Distrato",$E850,0)),MIN(S$38,$D$19),$P$20))-SUM($P850:R850)</f>
        <v>#VALUE!</v>
      </c>
      <c r="T850" s="446" t="e">
        <f>IF(OR($B850="",MIN(T$38,$D$19)&lt;MAX($P$708*($B850+IF($R$17="Distrato",$I$38-1,0)),IF(AND($L$711=0,$P$708=0),"",$L$711-1),IF($R$17="Distrato",$E850,0))),0,YEARFRAC(MAX($P$708*($B850+IF($R$17="Distrato",$I$38-1,0)),IF(AND($L$711=0,$P$708=0),"",$L$711-1),IF($R$17="Distrato",$E850,0)),MIN(T$38,$D$19),$P$20))-SUM($P850:S850)</f>
        <v>#VALUE!</v>
      </c>
      <c r="U850" s="446" t="e">
        <f>IF(OR($B850="",MIN(U$38,$D$19)&lt;MAX($P$708*($B850+IF($R$17="Distrato",$I$38-1,0)),IF(AND($L$711=0,$P$708=0),"",$L$711-1),IF($R$17="Distrato",$E850,0))),0,YEARFRAC(MAX($P$708*($B850+IF($R$17="Distrato",$I$38-1,0)),IF(AND($L$711=0,$P$708=0),"",$L$711-1),IF($R$17="Distrato",$E850,0)),MIN(U$38,$D$19),$P$20))-SUM($P850:T850)</f>
        <v>#VALUE!</v>
      </c>
      <c r="V850" s="446" t="e">
        <f>IF(OR($B850="",MIN(V$38,$D$19)&lt;MAX($P$708*($B850+IF($R$17="Distrato",$I$38-1,0)),IF(AND($L$711=0,$P$708=0),"",$L$711-1),IF($R$17="Distrato",$E850,0))),0,YEARFRAC(MAX($P$708*($B850+IF($R$17="Distrato",$I$38-1,0)),IF(AND($L$711=0,$P$708=0),"",$L$711-1),IF($R$17="Distrato",$E850,0)),MIN(V$38,$D$19),$P$20))-SUM($P850:U850)</f>
        <v>#VALUE!</v>
      </c>
      <c r="W850" s="446" t="e">
        <f>IF(OR($B850="",MIN(W$38,$D$19)&lt;MAX($P$708*($B850+IF($R$17="Distrato",$I$38-1,0)),IF(AND($L$711=0,$P$708=0),"",$L$711-1),IF($R$17="Distrato",$E850,0))),0,YEARFRAC(MAX($P$708*($B850+IF($R$17="Distrato",$I$38-1,0)),IF(AND($L$711=0,$P$708=0),"",$L$711-1),IF($R$17="Distrato",$E850,0)),MIN(W$38,$D$19),$P$20))-SUM($P850:V850)</f>
        <v>#VALUE!</v>
      </c>
      <c r="X850" s="446" t="e">
        <f>IF(OR($B850="",MIN(X$38,$D$19)&lt;MAX($P$708*($B850+IF($R$17="Distrato",$I$38-1,0)),IF(AND($L$711=0,$P$708=0),"",$L$711-1),IF($R$17="Distrato",$E850,0))),0,YEARFRAC(MAX($P$708*($B850+IF($R$17="Distrato",$I$38-1,0)),IF(AND($L$711=0,$P$708=0),"",$L$711-1),IF($R$17="Distrato",$E850,0)),MIN(X$38,$D$19),$P$20))-SUM($P850:W850)</f>
        <v>#VALUE!</v>
      </c>
      <c r="Y850" s="446" t="e">
        <f>IF(OR($B850="",MIN(Y$38,$D$19)&lt;MAX($P$708*($B850+IF($R$17="Distrato",$I$38-1,0)),IF(AND($L$711=0,$P$708=0),"",$L$711-1),IF($R$17="Distrato",$E850,0))),0,YEARFRAC(MAX($P$708*($B850+IF($R$17="Distrato",$I$38-1,0)),IF(AND($L$711=0,$P$708=0),"",$L$711-1),IF($R$17="Distrato",$E850,0)),MIN(Y$38,$D$19),$P$20))-SUM($P850:X850)</f>
        <v>#VALUE!</v>
      </c>
      <c r="Z850" s="446" t="e">
        <f>IF(OR($B850="",MIN(Z$38,$D$19)&lt;MAX($P$708*($B850+IF($R$17="Distrato",$I$38-1,0)),IF(AND($L$711=0,$P$708=0),"",$L$711-1),IF($R$17="Distrato",$E850,0))),0,YEARFRAC(MAX($P$708*($B850+IF($R$17="Distrato",$I$38-1,0)),IF(AND($L$711=0,$P$708=0),"",$L$711-1),IF($R$17="Distrato",$E850,0)),MIN(Z$38,$D$19),$P$20))-SUM($P850:Y850)</f>
        <v>#VALUE!</v>
      </c>
      <c r="AA850" s="446" t="e">
        <f>IF(OR($B850="",MIN(AA$38,$D$19)&lt;MAX($P$708*($B850+IF($R$17="Distrato",$I$38-1,0)),IF(AND($L$711=0,$P$708=0),"",$L$711-1),IF($R$17="Distrato",$E850,0))),0,YEARFRAC(MAX($P$708*($B850+IF($R$17="Distrato",$I$38-1,0)),IF(AND($L$711=0,$P$708=0),"",$L$711-1),IF($R$17="Distrato",$E850,0)),MIN(AA$38,$D$19),$P$20))-SUM($P850:Z850)</f>
        <v>#VALUE!</v>
      </c>
      <c r="AB850" s="446" t="e">
        <f>IF(OR($B850="",MIN(AB$38,$D$19)&lt;MAX($P$708*($B850+IF($R$17="Distrato",$I$38-1,0)),IF(AND($L$711=0,$P$708=0),"",$L$711-1),IF($R$17="Distrato",$E850,0))),0,YEARFRAC(MAX($P$708*($B850+IF($R$17="Distrato",$I$38-1,0)),IF(AND($L$711=0,$P$708=0),"",$L$711-1),IF($R$17="Distrato",$E850,0)),MIN(AB$38,$D$19),$P$20))-SUM($P850:AA850)</f>
        <v>#VALUE!</v>
      </c>
      <c r="AC850" s="446" t="e">
        <f>IF(OR($B850="",MIN(AC$38,$D$19)&lt;MAX($P$708*($B850+IF($R$17="Distrato",$I$38-1,0)),IF(AND($L$711=0,$P$708=0),"",$L$711-1),IF($R$17="Distrato",$E850,0))),0,YEARFRAC(MAX($P$708*($B850+IF($R$17="Distrato",$I$38-1,0)),IF(AND($L$711=0,$P$708=0),"",$L$711-1),IF($R$17="Distrato",$E850,0)),MIN(AC$38,$D$19),$P$20))-SUM($P850:AB850)</f>
        <v>#VALUE!</v>
      </c>
      <c r="AD850" s="446" t="e">
        <f>IF(OR($B850="",MIN(AD$38,$D$19)&lt;MAX($P$708*($B850+IF($R$17="Distrato",$I$38-1,0)),IF(AND($L$711=0,$P$708=0),"",$L$711-1),IF($R$17="Distrato",$E850,0))),0,YEARFRAC(MAX($P$708*($B850+IF($R$17="Distrato",$I$38-1,0)),IF(AND($L$711=0,$P$708=0),"",$L$711-1),IF($R$17="Distrato",$E850,0)),MIN(AD$38,$D$19),$P$20))-SUM($P850:AC850)</f>
        <v>#VALUE!</v>
      </c>
      <c r="AE850" s="446" t="e">
        <f>IF(OR($B850="",MIN(AE$38,$D$19)&lt;MAX($P$708*($B850+IF($R$17="Distrato",$I$38-1,0)),IF(AND($L$711=0,$P$708=0),"",$L$711-1),IF($R$17="Distrato",$E850,0))),0,YEARFRAC(MAX($P$708*($B850+IF($R$17="Distrato",$I$38-1,0)),IF(AND($L$711=0,$P$708=0),"",$L$711-1),IF($R$17="Distrato",$E850,0)),MIN(AE$38,$D$19),$P$20))-SUM($P850:AD850)</f>
        <v>#VALUE!</v>
      </c>
      <c r="AF850" s="446" t="e">
        <f>IF(OR($B850="",MIN(AF$38,$D$19)&lt;MAX($P$708*($B850+IF($R$17="Distrato",$I$38-1,0)),IF(AND($L$711=0,$P$708=0),"",$L$711-1),IF($R$17="Distrato",$E850,0))),0,YEARFRAC(MAX($P$708*($B850+IF($R$17="Distrato",$I$38-1,0)),IF(AND($L$711=0,$P$708=0),"",$L$711-1),IF($R$17="Distrato",$E850,0)),MIN(AF$38,$D$19),$P$20))-SUM($P850:AE850)</f>
        <v>#VALUE!</v>
      </c>
      <c r="AG850" s="446" t="e">
        <f>IF(OR($B850="",MIN(AG$38,$D$19)&lt;MAX($P$708*($B850+IF($R$17="Distrato",$I$38-1,0)),IF(AND($L$711=0,$P$708=0),"",$L$711-1),IF($R$17="Distrato",$E850,0))),0,YEARFRAC(MAX($P$708*($B850+IF($R$17="Distrato",$I$38-1,0)),IF(AND($L$711=0,$P$708=0),"",$L$711-1),IF($R$17="Distrato",$E850,0)),MIN(AG$38,$D$19),$P$20))-SUM($P850:AF850)</f>
        <v>#VALUE!</v>
      </c>
      <c r="AH850" s="446" t="e">
        <f>IF(OR($B850="",MIN(AH$38,$D$19)&lt;MAX($P$708*($B850+IF($R$17="Distrato",$I$38-1,0)),IF(AND($L$711=0,$P$708=0),"",$L$711-1),IF($R$17="Distrato",$E850,0))),0,YEARFRAC(MAX($P$708*($B850+IF($R$17="Distrato",$I$38-1,0)),IF(AND($L$711=0,$P$708=0),"",$L$711-1),IF($R$17="Distrato",$E850,0)),MIN(AH$38,$D$19),$P$20))-SUM($P850:AG850)</f>
        <v>#VALUE!</v>
      </c>
      <c r="AI850" s="446" t="e">
        <f>IF(OR($B850="",MIN(AI$38,$D$19)&lt;MAX($P$708*($B850+IF($R$17="Distrato",$I$38-1,0)),IF(AND($L$711=0,$P$708=0),"",$L$711-1),IF($R$17="Distrato",$E850,0))),0,YEARFRAC(MAX($P$708*($B850+IF($R$17="Distrato",$I$38-1,0)),IF(AND($L$711=0,$P$708=0),"",$L$711-1),IF($R$17="Distrato",$E850,0)),MIN(AI$38,$D$19),$P$20))-SUM($P850:AH850)</f>
        <v>#VALUE!</v>
      </c>
      <c r="AJ850" s="446" t="e">
        <f>IF(OR($B850="",MIN(AJ$38,$D$19)&lt;MAX($P$708*($B850+IF($R$17="Distrato",$I$38-1,0)),IF(AND($L$711=0,$P$708=0),"",$L$711-1),IF($R$17="Distrato",$E850,0))),0,YEARFRAC(MAX($P$708*($B850+IF($R$17="Distrato",$I$38-1,0)),IF(AND($L$711=0,$P$708=0),"",$L$711-1),IF($R$17="Distrato",$E850,0)),MIN(AJ$38,$D$19),$P$20))-SUM($P850:AI850)</f>
        <v>#VALUE!</v>
      </c>
      <c r="AK850" s="446" t="e">
        <f>IF(OR($B850="",MIN(AK$38,$D$19)&lt;MAX($P$708*($B850+IF($R$17="Distrato",$I$38-1,0)),IF(AND($L$711=0,$P$708=0),"",$L$711-1),IF($R$17="Distrato",$E850,0))),0,YEARFRAC(MAX($P$708*($B850+IF($R$17="Distrato",$I$38-1,0)),IF(AND($L$711=0,$P$708=0),"",$L$711-1),IF($R$17="Distrato",$E850,0)),MIN(AK$38,$D$19),$P$20))-SUM($P850:AJ850)</f>
        <v>#VALUE!</v>
      </c>
      <c r="AL850" s="446" t="e">
        <f>IF(OR($B850="",MIN(AL$38,$D$19)&lt;MAX($P$708*($B850+IF($R$17="Distrato",$I$38-1,0)),IF(AND($L$711=0,$P$708=0),"",$L$711-1),IF($R$17="Distrato",$E850,0))),0,YEARFRAC(MAX($P$708*($B850+IF($R$17="Distrato",$I$38-1,0)),IF(AND($L$711=0,$P$708=0),"",$L$711-1),IF($R$17="Distrato",$E850,0)),MIN(AL$38,$D$19),$P$20))-SUM($P850:AK850)</f>
        <v>#VALUE!</v>
      </c>
      <c r="AM850" s="446" t="e">
        <f>IF(OR($B850="",MIN(AM$38,$D$19)&lt;MAX($P$708*($B850+IF($R$17="Distrato",$I$38-1,0)),IF(AND($L$711=0,$P$708=0),"",$L$711-1),IF($R$17="Distrato",$E850,0))),0,YEARFRAC(MAX($P$708*($B850+IF($R$17="Distrato",$I$38-1,0)),IF(AND($L$711=0,$P$708=0),"",$L$711-1),IF($R$17="Distrato",$E850,0)),MIN(AM$38,$D$19),$P$20))-SUM($P850:AL850)</f>
        <v>#VALUE!</v>
      </c>
      <c r="AN850" s="446" t="e">
        <f>IF(OR($B850="",MIN(AN$38,$D$19)&lt;MAX($P$708*($B850+IF($R$17="Distrato",$I$38-1,0)),IF(AND($L$711=0,$P$708=0),"",$L$711-1),IF($R$17="Distrato",$E850,0))),0,YEARFRAC(MAX($P$708*($B850+IF($R$17="Distrato",$I$38-1,0)),IF(AND($L$711=0,$P$708=0),"",$L$711-1),IF($R$17="Distrato",$E850,0)),MIN(AN$38,$D$19),$P$20))-SUM($P850:AM850)</f>
        <v>#VALUE!</v>
      </c>
      <c r="AO850" s="446" t="e">
        <f>IF(OR($B850="",MIN(AO$38,$D$19)&lt;MAX($P$708*($B850+IF($R$17="Distrato",$I$38-1,0)),IF(AND($L$711=0,$P$708=0),"",$L$711-1),IF($R$17="Distrato",$E850,0))),0,YEARFRAC(MAX($P$708*($B850+IF($R$17="Distrato",$I$38-1,0)),IF(AND($L$711=0,$P$708=0),"",$L$711-1),IF($R$17="Distrato",$E850,0)),MIN(AO$38,$D$19),$P$20))-SUM($P850:AN850)</f>
        <v>#VALUE!</v>
      </c>
      <c r="AP850" s="446" t="e">
        <f>IF(OR($B850="",MIN(AP$38,$D$19)&lt;MAX($P$708*($B850+IF($R$17="Distrato",$I$38-1,0)),IF(AND($L$711=0,$P$708=0),"",$L$711-1),IF($R$17="Distrato",$E850,0))),0,YEARFRAC(MAX($P$708*($B850+IF($R$17="Distrato",$I$38-1,0)),IF(AND($L$711=0,$P$708=0),"",$L$711-1),IF($R$17="Distrato",$E850,0)),MIN(AP$38,$D$19),$P$20))-SUM($P850:AO850)</f>
        <v>#VALUE!</v>
      </c>
      <c r="AQ850" s="446" t="e">
        <f>IF(OR($B850="",MIN(AQ$38,$D$19)&lt;MAX($P$708*($B850+IF($R$17="Distrato",$I$38-1,0)),IF(AND($L$711=0,$P$708=0),"",$L$711-1),IF($R$17="Distrato",$E850,0))),0,YEARFRAC(MAX($P$708*($B850+IF($R$17="Distrato",$I$38-1,0)),IF(AND($L$711=0,$P$708=0),"",$L$711-1),IF($R$17="Distrato",$E850,0)),MIN(AQ$38,$D$19),$P$20))-SUM($P850:AP850)</f>
        <v>#VALUE!</v>
      </c>
      <c r="AR850" s="446" t="e">
        <f>IF(OR($B850="",MIN(AR$38,$D$19)&lt;MAX($P$708*($B850+IF($R$17="Distrato",$I$38-1,0)),IF(AND($L$711=0,$P$708=0),"",$L$711-1),IF($R$17="Distrato",$E850,0))),0,YEARFRAC(MAX($P$708*($B850+IF($R$17="Distrato",$I$38-1,0)),IF(AND($L$711=0,$P$708=0),"",$L$711-1),IF($R$17="Distrato",$E850,0)),MIN(AR$38,$D$19),$P$20))-SUM($P850:AQ850)</f>
        <v>#VALUE!</v>
      </c>
      <c r="AS850" s="446" t="e">
        <f>IF(OR($B850="",MIN(AS$38,$D$19)&lt;MAX($P$708*($B850+IF($R$17="Distrato",$I$38-1,0)),IF(AND($L$711=0,$P$708=0),"",$L$711-1),IF($R$17="Distrato",$E850,0))),0,YEARFRAC(MAX($P$708*($B850+IF($R$17="Distrato",$I$38-1,0)),IF(AND($L$711=0,$P$708=0),"",$L$711-1),IF($R$17="Distrato",$E850,0)),MIN(AS$38,$D$19),$P$20))-SUM($P850:AR850)</f>
        <v>#VALUE!</v>
      </c>
      <c r="AT850" s="446" t="e">
        <f>IF(OR($B850="",MIN(AT$38,$D$19)&lt;MAX($P$708*($B850+IF($R$17="Distrato",$I$38-1,0)),IF(AND($L$711=0,$P$708=0),"",$L$711-1),IF($R$17="Distrato",$E850,0))),0,YEARFRAC(MAX($P$708*($B850+IF($R$17="Distrato",$I$38-1,0)),IF(AND($L$711=0,$P$708=0),"",$L$711-1),IF($R$17="Distrato",$E850,0)),MIN(AT$38,$D$19),$P$20))-SUM($P850:AS850)</f>
        <v>#VALUE!</v>
      </c>
      <c r="AU850" s="446" t="e">
        <f>IF(OR($B850="",MIN(AU$38,$D$19)&lt;MAX($P$708*($B850+IF($R$17="Distrato",$I$38-1,0)),IF(AND($L$711=0,$P$708=0),"",$L$711-1),IF($R$17="Distrato",$E850,0))),0,YEARFRAC(MAX($P$708*($B850+IF($R$17="Distrato",$I$38-1,0)),IF(AND($L$711=0,$P$708=0),"",$L$711-1),IF($R$17="Distrato",$E850,0)),MIN(AU$38,$D$19),$P$20))-SUM($P850:AT850)</f>
        <v>#VALUE!</v>
      </c>
      <c r="AV850" s="446" t="e">
        <f>IF(OR($B850="",MIN(AV$38,$D$19)&lt;MAX($P$708*($B850+IF($R$17="Distrato",$I$38-1,0)),IF(AND($L$711=0,$P$708=0),"",$L$711-1),IF($R$17="Distrato",$E850,0))),0,YEARFRAC(MAX($P$708*($B850+IF($R$17="Distrato",$I$38-1,0)),IF(AND($L$711=0,$P$708=0),"",$L$711-1),IF($R$17="Distrato",$E850,0)),MIN(AV$38,$D$19),$P$20))-SUM($P850:AU850)</f>
        <v>#VALUE!</v>
      </c>
      <c r="AW850" s="446" t="e">
        <f>IF(OR($B850="",MIN(AW$38,$D$19)&lt;MAX($P$708*($B850+IF($R$17="Distrato",$I$38-1,0)),IF(AND($L$711=0,$P$708=0),"",$L$711-1),IF($R$17="Distrato",$E850,0))),0,YEARFRAC(MAX($P$708*($B850+IF($R$17="Distrato",$I$38-1,0)),IF(AND($L$711=0,$P$708=0),"",$L$711-1),IF($R$17="Distrato",$E850,0)),MIN(AW$38,$D$19),$P$20))-SUM($P850:AV850)</f>
        <v>#VALUE!</v>
      </c>
      <c r="AX850" s="446" t="e">
        <f>IF(OR($B850="",MIN(AX$38,$D$19)&lt;MAX($P$708*($B850+IF($R$17="Distrato",$I$38-1,0)),IF(AND($L$711=0,$P$708=0),"",$L$711-1),IF($R$17="Distrato",$E850,0))),0,YEARFRAC(MAX($P$708*($B850+IF($R$17="Distrato",$I$38-1,0)),IF(AND($L$711=0,$P$708=0),"",$L$711-1),IF($R$17="Distrato",$E850,0)),MIN(AX$38,$D$19),$P$20))-SUM($P850:AW850)</f>
        <v>#VALUE!</v>
      </c>
      <c r="AY850" s="446" t="e">
        <f>IF(OR($B850="",MIN(AY$38,$D$19)&lt;MAX($P$708*($B850+IF($R$17="Distrato",$I$38-1,0)),IF(AND($L$711=0,$P$708=0),"",$L$711-1),IF($R$17="Distrato",$E850,0))),0,YEARFRAC(MAX($P$708*($B850+IF($R$17="Distrato",$I$38-1,0)),IF(AND($L$711=0,$P$708=0),"",$L$711-1),IF($R$17="Distrato",$E850,0)),MIN(AY$38,$D$19),$P$20))-SUM($P850:AX850)</f>
        <v>#VALUE!</v>
      </c>
      <c r="AZ850" s="446" t="e">
        <f>IF(OR($B850="",MIN(AZ$38,$D$19)&lt;MAX($P$708*($B850+IF($R$17="Distrato",$I$38-1,0)),IF(AND($L$711=0,$P$708=0),"",$L$711-1),IF($R$17="Distrato",$E850,0))),0,YEARFRAC(MAX($P$708*($B850+IF($R$17="Distrato",$I$38-1,0)),IF(AND($L$711=0,$P$708=0),"",$L$711-1),IF($R$17="Distrato",$E850,0)),MIN(AZ$38,$D$19),$P$20))-SUM($P850:AY850)</f>
        <v>#VALUE!</v>
      </c>
      <c r="BA850" s="446" t="e">
        <f>IF(OR($B850="",MIN(BA$38,$D$19)&lt;MAX($P$708*($B850+IF($R$17="Distrato",$I$38-1,0)),IF(AND($L$711=0,$P$708=0),"",$L$711-1),IF($R$17="Distrato",$E850,0))),0,YEARFRAC(MAX($P$708*($B850+IF($R$17="Distrato",$I$38-1,0)),IF(AND($L$711=0,$P$708=0),"",$L$711-1),IF($R$17="Distrato",$E850,0)),MIN(BA$38,$D$19),$P$20))-SUM($P850:AZ850)</f>
        <v>#VALUE!</v>
      </c>
      <c r="BB850" s="447"/>
    </row>
    <row r="851" spans="1:54" s="446" customFormat="1" ht="11.25" hidden="1" customHeight="1" x14ac:dyDescent="0.2">
      <c r="A851" s="235"/>
      <c r="B851" s="236"/>
      <c r="C851" s="29" t="str">
        <f>IF(B851="","",IF($L$709=$BL$25,VLOOKUP(DATE(YEAR($D$19),MONTH($D$19)-1,1),ÍNDICES!$A:$DE,HLOOKUP($BL$25,ÍNDICES!$B$3:$T$4,2)+11)-VLOOKUP(B851,ÍNDICES!$A:$DE,HLOOKUP($BL$25,ÍNDICES!$B$3:$T$4,2)+11)+1%,IF(C$712=$W$26,$J$35,IF(ISERROR(IF(B851&gt;$D$19,1,VLOOKUP(DATE(YEAR(B851),MONTH(B851)+IF($C$709=$S$23,1,0),1),ÍNDICES!$A:$DE,$Z$709+1))),"",IF(B851&gt;$D$19,1,VLOOKUP(DATE(YEAR(B851),MONTH(B851)+IF($C$709=$S$23,1,0),1),ÍNDICES!$A:$DE,$Z$709+1))))))</f>
        <v/>
      </c>
      <c r="D851" s="155"/>
      <c r="E851" s="88"/>
      <c r="F851" s="88"/>
      <c r="G851" s="88"/>
      <c r="H851" s="118"/>
      <c r="I851" s="182">
        <f t="shared" si="129"/>
        <v>0</v>
      </c>
      <c r="J851" s="20">
        <f t="shared" ca="1" si="130"/>
        <v>0</v>
      </c>
      <c r="K851" s="5">
        <f t="shared" ca="1" si="131"/>
        <v>0</v>
      </c>
      <c r="L851" s="61">
        <f t="shared" ca="1" si="132"/>
        <v>0</v>
      </c>
      <c r="M851" s="64">
        <f t="shared" si="133"/>
        <v>0</v>
      </c>
      <c r="N851" s="151"/>
      <c r="O851" s="5">
        <f t="shared" ca="1" si="134"/>
        <v>0</v>
      </c>
      <c r="P851" s="446" t="e">
        <f t="shared" si="135"/>
        <v>#VALUE!</v>
      </c>
      <c r="Q851" s="446" t="e">
        <f>IF(OR($B851="",MIN(Q$38,$D$19)&lt;MAX($P$708*($B851+IF($R$17="Distrato",$I$38-1,0)),IF(AND($L$711=0,$P$708=0),"",$L$711-1),IF($R$17="Distrato",$E851,0))),0,YEARFRAC(MAX($P$708*($B851+IF($R$17="Distrato",$I$38-1,0)),IF(AND($L$711=0,$P$708=0),"",$L$711-1),IF($R$17="Distrato",$E851,0)),MIN(Q$38,$D$19),$P$20))-SUM($P851:P851)</f>
        <v>#VALUE!</v>
      </c>
      <c r="R851" s="446" t="e">
        <f>IF(OR($B851="",MIN(R$38,$D$19)&lt;MAX($P$708*($B851+IF($R$17="Distrato",$I$38-1,0)),IF(AND($L$711=0,$P$708=0),"",$L$711-1),IF($R$17="Distrato",$E851,0))),0,YEARFRAC(MAX($P$708*($B851+IF($R$17="Distrato",$I$38-1,0)),IF(AND($L$711=0,$P$708=0),"",$L$711-1),IF($R$17="Distrato",$E851,0)),MIN(R$38,$D$19),$P$20))-SUM($P851:Q851)</f>
        <v>#VALUE!</v>
      </c>
      <c r="S851" s="446" t="e">
        <f>IF(OR($B851="",MIN(S$38,$D$19)&lt;MAX($P$708*($B851+IF($R$17="Distrato",$I$38-1,0)),IF(AND($L$711=0,$P$708=0),"",$L$711-1),IF($R$17="Distrato",$E851,0))),0,YEARFRAC(MAX($P$708*($B851+IF($R$17="Distrato",$I$38-1,0)),IF(AND($L$711=0,$P$708=0),"",$L$711-1),IF($R$17="Distrato",$E851,0)),MIN(S$38,$D$19),$P$20))-SUM($P851:R851)</f>
        <v>#VALUE!</v>
      </c>
      <c r="T851" s="446" t="e">
        <f>IF(OR($B851="",MIN(T$38,$D$19)&lt;MAX($P$708*($B851+IF($R$17="Distrato",$I$38-1,0)),IF(AND($L$711=0,$P$708=0),"",$L$711-1),IF($R$17="Distrato",$E851,0))),0,YEARFRAC(MAX($P$708*($B851+IF($R$17="Distrato",$I$38-1,0)),IF(AND($L$711=0,$P$708=0),"",$L$711-1),IF($R$17="Distrato",$E851,0)),MIN(T$38,$D$19),$P$20))-SUM($P851:S851)</f>
        <v>#VALUE!</v>
      </c>
      <c r="U851" s="446" t="e">
        <f>IF(OR($B851="",MIN(U$38,$D$19)&lt;MAX($P$708*($B851+IF($R$17="Distrato",$I$38-1,0)),IF(AND($L$711=0,$P$708=0),"",$L$711-1),IF($R$17="Distrato",$E851,0))),0,YEARFRAC(MAX($P$708*($B851+IF($R$17="Distrato",$I$38-1,0)),IF(AND($L$711=0,$P$708=0),"",$L$711-1),IF($R$17="Distrato",$E851,0)),MIN(U$38,$D$19),$P$20))-SUM($P851:T851)</f>
        <v>#VALUE!</v>
      </c>
      <c r="V851" s="446" t="e">
        <f>IF(OR($B851="",MIN(V$38,$D$19)&lt;MAX($P$708*($B851+IF($R$17="Distrato",$I$38-1,0)),IF(AND($L$711=0,$P$708=0),"",$L$711-1),IF($R$17="Distrato",$E851,0))),0,YEARFRAC(MAX($P$708*($B851+IF($R$17="Distrato",$I$38-1,0)),IF(AND($L$711=0,$P$708=0),"",$L$711-1),IF($R$17="Distrato",$E851,0)),MIN(V$38,$D$19),$P$20))-SUM($P851:U851)</f>
        <v>#VALUE!</v>
      </c>
      <c r="W851" s="446" t="e">
        <f>IF(OR($B851="",MIN(W$38,$D$19)&lt;MAX($P$708*($B851+IF($R$17="Distrato",$I$38-1,0)),IF(AND($L$711=0,$P$708=0),"",$L$711-1),IF($R$17="Distrato",$E851,0))),0,YEARFRAC(MAX($P$708*($B851+IF($R$17="Distrato",$I$38-1,0)),IF(AND($L$711=0,$P$708=0),"",$L$711-1),IF($R$17="Distrato",$E851,0)),MIN(W$38,$D$19),$P$20))-SUM($P851:V851)</f>
        <v>#VALUE!</v>
      </c>
      <c r="X851" s="446" t="e">
        <f>IF(OR($B851="",MIN(X$38,$D$19)&lt;MAX($P$708*($B851+IF($R$17="Distrato",$I$38-1,0)),IF(AND($L$711=0,$P$708=0),"",$L$711-1),IF($R$17="Distrato",$E851,0))),0,YEARFRAC(MAX($P$708*($B851+IF($R$17="Distrato",$I$38-1,0)),IF(AND($L$711=0,$P$708=0),"",$L$711-1),IF($R$17="Distrato",$E851,0)),MIN(X$38,$D$19),$P$20))-SUM($P851:W851)</f>
        <v>#VALUE!</v>
      </c>
      <c r="Y851" s="446" t="e">
        <f>IF(OR($B851="",MIN(Y$38,$D$19)&lt;MAX($P$708*($B851+IF($R$17="Distrato",$I$38-1,0)),IF(AND($L$711=0,$P$708=0),"",$L$711-1),IF($R$17="Distrato",$E851,0))),0,YEARFRAC(MAX($P$708*($B851+IF($R$17="Distrato",$I$38-1,0)),IF(AND($L$711=0,$P$708=0),"",$L$711-1),IF($R$17="Distrato",$E851,0)),MIN(Y$38,$D$19),$P$20))-SUM($P851:X851)</f>
        <v>#VALUE!</v>
      </c>
      <c r="Z851" s="446" t="e">
        <f>IF(OR($B851="",MIN(Z$38,$D$19)&lt;MAX($P$708*($B851+IF($R$17="Distrato",$I$38-1,0)),IF(AND($L$711=0,$P$708=0),"",$L$711-1),IF($R$17="Distrato",$E851,0))),0,YEARFRAC(MAX($P$708*($B851+IF($R$17="Distrato",$I$38-1,0)),IF(AND($L$711=0,$P$708=0),"",$L$711-1),IF($R$17="Distrato",$E851,0)),MIN(Z$38,$D$19),$P$20))-SUM($P851:Y851)</f>
        <v>#VALUE!</v>
      </c>
      <c r="AA851" s="446" t="e">
        <f>IF(OR($B851="",MIN(AA$38,$D$19)&lt;MAX($P$708*($B851+IF($R$17="Distrato",$I$38-1,0)),IF(AND($L$711=0,$P$708=0),"",$L$711-1),IF($R$17="Distrato",$E851,0))),0,YEARFRAC(MAX($P$708*($B851+IF($R$17="Distrato",$I$38-1,0)),IF(AND($L$711=0,$P$708=0),"",$L$711-1),IF($R$17="Distrato",$E851,0)),MIN(AA$38,$D$19),$P$20))-SUM($P851:Z851)</f>
        <v>#VALUE!</v>
      </c>
      <c r="AB851" s="446" t="e">
        <f>IF(OR($B851="",MIN(AB$38,$D$19)&lt;MAX($P$708*($B851+IF($R$17="Distrato",$I$38-1,0)),IF(AND($L$711=0,$P$708=0),"",$L$711-1),IF($R$17="Distrato",$E851,0))),0,YEARFRAC(MAX($P$708*($B851+IF($R$17="Distrato",$I$38-1,0)),IF(AND($L$711=0,$P$708=0),"",$L$711-1),IF($R$17="Distrato",$E851,0)),MIN(AB$38,$D$19),$P$20))-SUM($P851:AA851)</f>
        <v>#VALUE!</v>
      </c>
      <c r="AC851" s="446" t="e">
        <f>IF(OR($B851="",MIN(AC$38,$D$19)&lt;MAX($P$708*($B851+IF($R$17="Distrato",$I$38-1,0)),IF(AND($L$711=0,$P$708=0),"",$L$711-1),IF($R$17="Distrato",$E851,0))),0,YEARFRAC(MAX($P$708*($B851+IF($R$17="Distrato",$I$38-1,0)),IF(AND($L$711=0,$P$708=0),"",$L$711-1),IF($R$17="Distrato",$E851,0)),MIN(AC$38,$D$19),$P$20))-SUM($P851:AB851)</f>
        <v>#VALUE!</v>
      </c>
      <c r="AD851" s="446" t="e">
        <f>IF(OR($B851="",MIN(AD$38,$D$19)&lt;MAX($P$708*($B851+IF($R$17="Distrato",$I$38-1,0)),IF(AND($L$711=0,$P$708=0),"",$L$711-1),IF($R$17="Distrato",$E851,0))),0,YEARFRAC(MAX($P$708*($B851+IF($R$17="Distrato",$I$38-1,0)),IF(AND($L$711=0,$P$708=0),"",$L$711-1),IF($R$17="Distrato",$E851,0)),MIN(AD$38,$D$19),$P$20))-SUM($P851:AC851)</f>
        <v>#VALUE!</v>
      </c>
      <c r="AE851" s="446" t="e">
        <f>IF(OR($B851="",MIN(AE$38,$D$19)&lt;MAX($P$708*($B851+IF($R$17="Distrato",$I$38-1,0)),IF(AND($L$711=0,$P$708=0),"",$L$711-1),IF($R$17="Distrato",$E851,0))),0,YEARFRAC(MAX($P$708*($B851+IF($R$17="Distrato",$I$38-1,0)),IF(AND($L$711=0,$P$708=0),"",$L$711-1),IF($R$17="Distrato",$E851,0)),MIN(AE$38,$D$19),$P$20))-SUM($P851:AD851)</f>
        <v>#VALUE!</v>
      </c>
      <c r="AF851" s="446" t="e">
        <f>IF(OR($B851="",MIN(AF$38,$D$19)&lt;MAX($P$708*($B851+IF($R$17="Distrato",$I$38-1,0)),IF(AND($L$711=0,$P$708=0),"",$L$711-1),IF($R$17="Distrato",$E851,0))),0,YEARFRAC(MAX($P$708*($B851+IF($R$17="Distrato",$I$38-1,0)),IF(AND($L$711=0,$P$708=0),"",$L$711-1),IF($R$17="Distrato",$E851,0)),MIN(AF$38,$D$19),$P$20))-SUM($P851:AE851)</f>
        <v>#VALUE!</v>
      </c>
      <c r="AG851" s="446" t="e">
        <f>IF(OR($B851="",MIN(AG$38,$D$19)&lt;MAX($P$708*($B851+IF($R$17="Distrato",$I$38-1,0)),IF(AND($L$711=0,$P$708=0),"",$L$711-1),IF($R$17="Distrato",$E851,0))),0,YEARFRAC(MAX($P$708*($B851+IF($R$17="Distrato",$I$38-1,0)),IF(AND($L$711=0,$P$708=0),"",$L$711-1),IF($R$17="Distrato",$E851,0)),MIN(AG$38,$D$19),$P$20))-SUM($P851:AF851)</f>
        <v>#VALUE!</v>
      </c>
      <c r="AH851" s="446" t="e">
        <f>IF(OR($B851="",MIN(AH$38,$D$19)&lt;MAX($P$708*($B851+IF($R$17="Distrato",$I$38-1,0)),IF(AND($L$711=0,$P$708=0),"",$L$711-1),IF($R$17="Distrato",$E851,0))),0,YEARFRAC(MAX($P$708*($B851+IF($R$17="Distrato",$I$38-1,0)),IF(AND($L$711=0,$P$708=0),"",$L$711-1),IF($R$17="Distrato",$E851,0)),MIN(AH$38,$D$19),$P$20))-SUM($P851:AG851)</f>
        <v>#VALUE!</v>
      </c>
      <c r="AI851" s="446" t="e">
        <f>IF(OR($B851="",MIN(AI$38,$D$19)&lt;MAX($P$708*($B851+IF($R$17="Distrato",$I$38-1,0)),IF(AND($L$711=0,$P$708=0),"",$L$711-1),IF($R$17="Distrato",$E851,0))),0,YEARFRAC(MAX($P$708*($B851+IF($R$17="Distrato",$I$38-1,0)),IF(AND($L$711=0,$P$708=0),"",$L$711-1),IF($R$17="Distrato",$E851,0)),MIN(AI$38,$D$19),$P$20))-SUM($P851:AH851)</f>
        <v>#VALUE!</v>
      </c>
      <c r="AJ851" s="446" t="e">
        <f>IF(OR($B851="",MIN(AJ$38,$D$19)&lt;MAX($P$708*($B851+IF($R$17="Distrato",$I$38-1,0)),IF(AND($L$711=0,$P$708=0),"",$L$711-1),IF($R$17="Distrato",$E851,0))),0,YEARFRAC(MAX($P$708*($B851+IF($R$17="Distrato",$I$38-1,0)),IF(AND($L$711=0,$P$708=0),"",$L$711-1),IF($R$17="Distrato",$E851,0)),MIN(AJ$38,$D$19),$P$20))-SUM($P851:AI851)</f>
        <v>#VALUE!</v>
      </c>
      <c r="AK851" s="446" t="e">
        <f>IF(OR($B851="",MIN(AK$38,$D$19)&lt;MAX($P$708*($B851+IF($R$17="Distrato",$I$38-1,0)),IF(AND($L$711=0,$P$708=0),"",$L$711-1),IF($R$17="Distrato",$E851,0))),0,YEARFRAC(MAX($P$708*($B851+IF($R$17="Distrato",$I$38-1,0)),IF(AND($L$711=0,$P$708=0),"",$L$711-1),IF($R$17="Distrato",$E851,0)),MIN(AK$38,$D$19),$P$20))-SUM($P851:AJ851)</f>
        <v>#VALUE!</v>
      </c>
      <c r="AL851" s="446" t="e">
        <f>IF(OR($B851="",MIN(AL$38,$D$19)&lt;MAX($P$708*($B851+IF($R$17="Distrato",$I$38-1,0)),IF(AND($L$711=0,$P$708=0),"",$L$711-1),IF($R$17="Distrato",$E851,0))),0,YEARFRAC(MAX($P$708*($B851+IF($R$17="Distrato",$I$38-1,0)),IF(AND($L$711=0,$P$708=0),"",$L$711-1),IF($R$17="Distrato",$E851,0)),MIN(AL$38,$D$19),$P$20))-SUM($P851:AK851)</f>
        <v>#VALUE!</v>
      </c>
      <c r="AM851" s="446" t="e">
        <f>IF(OR($B851="",MIN(AM$38,$D$19)&lt;MAX($P$708*($B851+IF($R$17="Distrato",$I$38-1,0)),IF(AND($L$711=0,$P$708=0),"",$L$711-1),IF($R$17="Distrato",$E851,0))),0,YEARFRAC(MAX($P$708*($B851+IF($R$17="Distrato",$I$38-1,0)),IF(AND($L$711=0,$P$708=0),"",$L$711-1),IF($R$17="Distrato",$E851,0)),MIN(AM$38,$D$19),$P$20))-SUM($P851:AL851)</f>
        <v>#VALUE!</v>
      </c>
      <c r="AN851" s="446" t="e">
        <f>IF(OR($B851="",MIN(AN$38,$D$19)&lt;MAX($P$708*($B851+IF($R$17="Distrato",$I$38-1,0)),IF(AND($L$711=0,$P$708=0),"",$L$711-1),IF($R$17="Distrato",$E851,0))),0,YEARFRAC(MAX($P$708*($B851+IF($R$17="Distrato",$I$38-1,0)),IF(AND($L$711=0,$P$708=0),"",$L$711-1),IF($R$17="Distrato",$E851,0)),MIN(AN$38,$D$19),$P$20))-SUM($P851:AM851)</f>
        <v>#VALUE!</v>
      </c>
      <c r="AO851" s="446" t="e">
        <f>IF(OR($B851="",MIN(AO$38,$D$19)&lt;MAX($P$708*($B851+IF($R$17="Distrato",$I$38-1,0)),IF(AND($L$711=0,$P$708=0),"",$L$711-1),IF($R$17="Distrato",$E851,0))),0,YEARFRAC(MAX($P$708*($B851+IF($R$17="Distrato",$I$38-1,0)),IF(AND($L$711=0,$P$708=0),"",$L$711-1),IF($R$17="Distrato",$E851,0)),MIN(AO$38,$D$19),$P$20))-SUM($P851:AN851)</f>
        <v>#VALUE!</v>
      </c>
      <c r="AP851" s="446" t="e">
        <f>IF(OR($B851="",MIN(AP$38,$D$19)&lt;MAX($P$708*($B851+IF($R$17="Distrato",$I$38-1,0)),IF(AND($L$711=0,$P$708=0),"",$L$711-1),IF($R$17="Distrato",$E851,0))),0,YEARFRAC(MAX($P$708*($B851+IF($R$17="Distrato",$I$38-1,0)),IF(AND($L$711=0,$P$708=0),"",$L$711-1),IF($R$17="Distrato",$E851,0)),MIN(AP$38,$D$19),$P$20))-SUM($P851:AO851)</f>
        <v>#VALUE!</v>
      </c>
      <c r="AQ851" s="446" t="e">
        <f>IF(OR($B851="",MIN(AQ$38,$D$19)&lt;MAX($P$708*($B851+IF($R$17="Distrato",$I$38-1,0)),IF(AND($L$711=0,$P$708=0),"",$L$711-1),IF($R$17="Distrato",$E851,0))),0,YEARFRAC(MAX($P$708*($B851+IF($R$17="Distrato",$I$38-1,0)),IF(AND($L$711=0,$P$708=0),"",$L$711-1),IF($R$17="Distrato",$E851,0)),MIN(AQ$38,$D$19),$P$20))-SUM($P851:AP851)</f>
        <v>#VALUE!</v>
      </c>
      <c r="AR851" s="446" t="e">
        <f>IF(OR($B851="",MIN(AR$38,$D$19)&lt;MAX($P$708*($B851+IF($R$17="Distrato",$I$38-1,0)),IF(AND($L$711=0,$P$708=0),"",$L$711-1),IF($R$17="Distrato",$E851,0))),0,YEARFRAC(MAX($P$708*($B851+IF($R$17="Distrato",$I$38-1,0)),IF(AND($L$711=0,$P$708=0),"",$L$711-1),IF($R$17="Distrato",$E851,0)),MIN(AR$38,$D$19),$P$20))-SUM($P851:AQ851)</f>
        <v>#VALUE!</v>
      </c>
      <c r="AS851" s="446" t="e">
        <f>IF(OR($B851="",MIN(AS$38,$D$19)&lt;MAX($P$708*($B851+IF($R$17="Distrato",$I$38-1,0)),IF(AND($L$711=0,$P$708=0),"",$L$711-1),IF($R$17="Distrato",$E851,0))),0,YEARFRAC(MAX($P$708*($B851+IF($R$17="Distrato",$I$38-1,0)),IF(AND($L$711=0,$P$708=0),"",$L$711-1),IF($R$17="Distrato",$E851,0)),MIN(AS$38,$D$19),$P$20))-SUM($P851:AR851)</f>
        <v>#VALUE!</v>
      </c>
      <c r="AT851" s="446" t="e">
        <f>IF(OR($B851="",MIN(AT$38,$D$19)&lt;MAX($P$708*($B851+IF($R$17="Distrato",$I$38-1,0)),IF(AND($L$711=0,$P$708=0),"",$L$711-1),IF($R$17="Distrato",$E851,0))),0,YEARFRAC(MAX($P$708*($B851+IF($R$17="Distrato",$I$38-1,0)),IF(AND($L$711=0,$P$708=0),"",$L$711-1),IF($R$17="Distrato",$E851,0)),MIN(AT$38,$D$19),$P$20))-SUM($P851:AS851)</f>
        <v>#VALUE!</v>
      </c>
      <c r="AU851" s="446" t="e">
        <f>IF(OR($B851="",MIN(AU$38,$D$19)&lt;MAX($P$708*($B851+IF($R$17="Distrato",$I$38-1,0)),IF(AND($L$711=0,$P$708=0),"",$L$711-1),IF($R$17="Distrato",$E851,0))),0,YEARFRAC(MAX($P$708*($B851+IF($R$17="Distrato",$I$38-1,0)),IF(AND($L$711=0,$P$708=0),"",$L$711-1),IF($R$17="Distrato",$E851,0)),MIN(AU$38,$D$19),$P$20))-SUM($P851:AT851)</f>
        <v>#VALUE!</v>
      </c>
      <c r="AV851" s="446" t="e">
        <f>IF(OR($B851="",MIN(AV$38,$D$19)&lt;MAX($P$708*($B851+IF($R$17="Distrato",$I$38-1,0)),IF(AND($L$711=0,$P$708=0),"",$L$711-1),IF($R$17="Distrato",$E851,0))),0,YEARFRAC(MAX($P$708*($B851+IF($R$17="Distrato",$I$38-1,0)),IF(AND($L$711=0,$P$708=0),"",$L$711-1),IF($R$17="Distrato",$E851,0)),MIN(AV$38,$D$19),$P$20))-SUM($P851:AU851)</f>
        <v>#VALUE!</v>
      </c>
      <c r="AW851" s="446" t="e">
        <f>IF(OR($B851="",MIN(AW$38,$D$19)&lt;MAX($P$708*($B851+IF($R$17="Distrato",$I$38-1,0)),IF(AND($L$711=0,$P$708=0),"",$L$711-1),IF($R$17="Distrato",$E851,0))),0,YEARFRAC(MAX($P$708*($B851+IF($R$17="Distrato",$I$38-1,0)),IF(AND($L$711=0,$P$708=0),"",$L$711-1),IF($R$17="Distrato",$E851,0)),MIN(AW$38,$D$19),$P$20))-SUM($P851:AV851)</f>
        <v>#VALUE!</v>
      </c>
      <c r="AX851" s="446" t="e">
        <f>IF(OR($B851="",MIN(AX$38,$D$19)&lt;MAX($P$708*($B851+IF($R$17="Distrato",$I$38-1,0)),IF(AND($L$711=0,$P$708=0),"",$L$711-1),IF($R$17="Distrato",$E851,0))),0,YEARFRAC(MAX($P$708*($B851+IF($R$17="Distrato",$I$38-1,0)),IF(AND($L$711=0,$P$708=0),"",$L$711-1),IF($R$17="Distrato",$E851,0)),MIN(AX$38,$D$19),$P$20))-SUM($P851:AW851)</f>
        <v>#VALUE!</v>
      </c>
      <c r="AY851" s="446" t="e">
        <f>IF(OR($B851="",MIN(AY$38,$D$19)&lt;MAX($P$708*($B851+IF($R$17="Distrato",$I$38-1,0)),IF(AND($L$711=0,$P$708=0),"",$L$711-1),IF($R$17="Distrato",$E851,0))),0,YEARFRAC(MAX($P$708*($B851+IF($R$17="Distrato",$I$38-1,0)),IF(AND($L$711=0,$P$708=0),"",$L$711-1),IF($R$17="Distrato",$E851,0)),MIN(AY$38,$D$19),$P$20))-SUM($P851:AX851)</f>
        <v>#VALUE!</v>
      </c>
      <c r="AZ851" s="446" t="e">
        <f>IF(OR($B851="",MIN(AZ$38,$D$19)&lt;MAX($P$708*($B851+IF($R$17="Distrato",$I$38-1,0)),IF(AND($L$711=0,$P$708=0),"",$L$711-1),IF($R$17="Distrato",$E851,0))),0,YEARFRAC(MAX($P$708*($B851+IF($R$17="Distrato",$I$38-1,0)),IF(AND($L$711=0,$P$708=0),"",$L$711-1),IF($R$17="Distrato",$E851,0)),MIN(AZ$38,$D$19),$P$20))-SUM($P851:AY851)</f>
        <v>#VALUE!</v>
      </c>
      <c r="BA851" s="446" t="e">
        <f>IF(OR($B851="",MIN(BA$38,$D$19)&lt;MAX($P$708*($B851+IF($R$17="Distrato",$I$38-1,0)),IF(AND($L$711=0,$P$708=0),"",$L$711-1),IF($R$17="Distrato",$E851,0))),0,YEARFRAC(MAX($P$708*($B851+IF($R$17="Distrato",$I$38-1,0)),IF(AND($L$711=0,$P$708=0),"",$L$711-1),IF($R$17="Distrato",$E851,0)),MIN(BA$38,$D$19),$P$20))-SUM($P851:AZ851)</f>
        <v>#VALUE!</v>
      </c>
      <c r="BB851" s="447"/>
    </row>
    <row r="852" spans="1:54" s="446" customFormat="1" ht="11.25" hidden="1" customHeight="1" x14ac:dyDescent="0.2">
      <c r="A852" s="235"/>
      <c r="B852" s="236"/>
      <c r="C852" s="29" t="str">
        <f>IF(B852="","",IF($L$709=$BL$25,VLOOKUP(DATE(YEAR($D$19),MONTH($D$19)-1,1),ÍNDICES!$A:$DE,HLOOKUP($BL$25,ÍNDICES!$B$3:$T$4,2)+11)-VLOOKUP(B852,ÍNDICES!$A:$DE,HLOOKUP($BL$25,ÍNDICES!$B$3:$T$4,2)+11)+1%,IF(C$712=$W$26,$J$35,IF(ISERROR(IF(B852&gt;$D$19,1,VLOOKUP(DATE(YEAR(B852),MONTH(B852)+IF($C$709=$S$23,1,0),1),ÍNDICES!$A:$DE,$Z$709+1))),"",IF(B852&gt;$D$19,1,VLOOKUP(DATE(YEAR(B852),MONTH(B852)+IF($C$709=$S$23,1,0),1),ÍNDICES!$A:$DE,$Z$709+1))))))</f>
        <v/>
      </c>
      <c r="D852" s="155"/>
      <c r="E852" s="88"/>
      <c r="F852" s="88"/>
      <c r="G852" s="88"/>
      <c r="H852" s="118"/>
      <c r="I852" s="182">
        <f t="shared" si="129"/>
        <v>0</v>
      </c>
      <c r="J852" s="20">
        <f t="shared" ca="1" si="130"/>
        <v>0</v>
      </c>
      <c r="K852" s="5">
        <f t="shared" ca="1" si="131"/>
        <v>0</v>
      </c>
      <c r="L852" s="61">
        <f t="shared" ca="1" si="132"/>
        <v>0</v>
      </c>
      <c r="M852" s="64">
        <f t="shared" si="133"/>
        <v>0</v>
      </c>
      <c r="N852" s="151"/>
      <c r="O852" s="5">
        <f t="shared" ca="1" si="134"/>
        <v>0</v>
      </c>
      <c r="P852" s="446" t="e">
        <f t="shared" si="135"/>
        <v>#VALUE!</v>
      </c>
      <c r="Q852" s="446" t="e">
        <f>IF(OR($B852="",MIN(Q$38,$D$19)&lt;MAX($P$708*($B852+IF($R$17="Distrato",$I$38-1,0)),IF(AND($L$711=0,$P$708=0),"",$L$711-1),IF($R$17="Distrato",$E852,0))),0,YEARFRAC(MAX($P$708*($B852+IF($R$17="Distrato",$I$38-1,0)),IF(AND($L$711=0,$P$708=0),"",$L$711-1),IF($R$17="Distrato",$E852,0)),MIN(Q$38,$D$19),$P$20))-SUM($P852:P852)</f>
        <v>#VALUE!</v>
      </c>
      <c r="R852" s="446" t="e">
        <f>IF(OR($B852="",MIN(R$38,$D$19)&lt;MAX($P$708*($B852+IF($R$17="Distrato",$I$38-1,0)),IF(AND($L$711=0,$P$708=0),"",$L$711-1),IF($R$17="Distrato",$E852,0))),0,YEARFRAC(MAX($P$708*($B852+IF($R$17="Distrato",$I$38-1,0)),IF(AND($L$711=0,$P$708=0),"",$L$711-1),IF($R$17="Distrato",$E852,0)),MIN(R$38,$D$19),$P$20))-SUM($P852:Q852)</f>
        <v>#VALUE!</v>
      </c>
      <c r="S852" s="446" t="e">
        <f>IF(OR($B852="",MIN(S$38,$D$19)&lt;MAX($P$708*($B852+IF($R$17="Distrato",$I$38-1,0)),IF(AND($L$711=0,$P$708=0),"",$L$711-1),IF($R$17="Distrato",$E852,0))),0,YEARFRAC(MAX($P$708*($B852+IF($R$17="Distrato",$I$38-1,0)),IF(AND($L$711=0,$P$708=0),"",$L$711-1),IF($R$17="Distrato",$E852,0)),MIN(S$38,$D$19),$P$20))-SUM($P852:R852)</f>
        <v>#VALUE!</v>
      </c>
      <c r="T852" s="446" t="e">
        <f>IF(OR($B852="",MIN(T$38,$D$19)&lt;MAX($P$708*($B852+IF($R$17="Distrato",$I$38-1,0)),IF(AND($L$711=0,$P$708=0),"",$L$711-1),IF($R$17="Distrato",$E852,0))),0,YEARFRAC(MAX($P$708*($B852+IF($R$17="Distrato",$I$38-1,0)),IF(AND($L$711=0,$P$708=0),"",$L$711-1),IF($R$17="Distrato",$E852,0)),MIN(T$38,$D$19),$P$20))-SUM($P852:S852)</f>
        <v>#VALUE!</v>
      </c>
      <c r="U852" s="446" t="e">
        <f>IF(OR($B852="",MIN(U$38,$D$19)&lt;MAX($P$708*($B852+IF($R$17="Distrato",$I$38-1,0)),IF(AND($L$711=0,$P$708=0),"",$L$711-1),IF($R$17="Distrato",$E852,0))),0,YEARFRAC(MAX($P$708*($B852+IF($R$17="Distrato",$I$38-1,0)),IF(AND($L$711=0,$P$708=0),"",$L$711-1),IF($R$17="Distrato",$E852,0)),MIN(U$38,$D$19),$P$20))-SUM($P852:T852)</f>
        <v>#VALUE!</v>
      </c>
      <c r="V852" s="446" t="e">
        <f>IF(OR($B852="",MIN(V$38,$D$19)&lt;MAX($P$708*($B852+IF($R$17="Distrato",$I$38-1,0)),IF(AND($L$711=0,$P$708=0),"",$L$711-1),IF($R$17="Distrato",$E852,0))),0,YEARFRAC(MAX($P$708*($B852+IF($R$17="Distrato",$I$38-1,0)),IF(AND($L$711=0,$P$708=0),"",$L$711-1),IF($R$17="Distrato",$E852,0)),MIN(V$38,$D$19),$P$20))-SUM($P852:U852)</f>
        <v>#VALUE!</v>
      </c>
      <c r="W852" s="446" t="e">
        <f>IF(OR($B852="",MIN(W$38,$D$19)&lt;MAX($P$708*($B852+IF($R$17="Distrato",$I$38-1,0)),IF(AND($L$711=0,$P$708=0),"",$L$711-1),IF($R$17="Distrato",$E852,0))),0,YEARFRAC(MAX($P$708*($B852+IF($R$17="Distrato",$I$38-1,0)),IF(AND($L$711=0,$P$708=0),"",$L$711-1),IF($R$17="Distrato",$E852,0)),MIN(W$38,$D$19),$P$20))-SUM($P852:V852)</f>
        <v>#VALUE!</v>
      </c>
      <c r="X852" s="446" t="e">
        <f>IF(OR($B852="",MIN(X$38,$D$19)&lt;MAX($P$708*($B852+IF($R$17="Distrato",$I$38-1,0)),IF(AND($L$711=0,$P$708=0),"",$L$711-1),IF($R$17="Distrato",$E852,0))),0,YEARFRAC(MAX($P$708*($B852+IF($R$17="Distrato",$I$38-1,0)),IF(AND($L$711=0,$P$708=0),"",$L$711-1),IF($R$17="Distrato",$E852,0)),MIN(X$38,$D$19),$P$20))-SUM($P852:W852)</f>
        <v>#VALUE!</v>
      </c>
      <c r="Y852" s="446" t="e">
        <f>IF(OR($B852="",MIN(Y$38,$D$19)&lt;MAX($P$708*($B852+IF($R$17="Distrato",$I$38-1,0)),IF(AND($L$711=0,$P$708=0),"",$L$711-1),IF($R$17="Distrato",$E852,0))),0,YEARFRAC(MAX($P$708*($B852+IF($R$17="Distrato",$I$38-1,0)),IF(AND($L$711=0,$P$708=0),"",$L$711-1),IF($R$17="Distrato",$E852,0)),MIN(Y$38,$D$19),$P$20))-SUM($P852:X852)</f>
        <v>#VALUE!</v>
      </c>
      <c r="Z852" s="446" t="e">
        <f>IF(OR($B852="",MIN(Z$38,$D$19)&lt;MAX($P$708*($B852+IF($R$17="Distrato",$I$38-1,0)),IF(AND($L$711=0,$P$708=0),"",$L$711-1),IF($R$17="Distrato",$E852,0))),0,YEARFRAC(MAX($P$708*($B852+IF($R$17="Distrato",$I$38-1,0)),IF(AND($L$711=0,$P$708=0),"",$L$711-1),IF($R$17="Distrato",$E852,0)),MIN(Z$38,$D$19),$P$20))-SUM($P852:Y852)</f>
        <v>#VALUE!</v>
      </c>
      <c r="AA852" s="446" t="e">
        <f>IF(OR($B852="",MIN(AA$38,$D$19)&lt;MAX($P$708*($B852+IF($R$17="Distrato",$I$38-1,0)),IF(AND($L$711=0,$P$708=0),"",$L$711-1),IF($R$17="Distrato",$E852,0))),0,YEARFRAC(MAX($P$708*($B852+IF($R$17="Distrato",$I$38-1,0)),IF(AND($L$711=0,$P$708=0),"",$L$711-1),IF($R$17="Distrato",$E852,0)),MIN(AA$38,$D$19),$P$20))-SUM($P852:Z852)</f>
        <v>#VALUE!</v>
      </c>
      <c r="AB852" s="446" t="e">
        <f>IF(OR($B852="",MIN(AB$38,$D$19)&lt;MAX($P$708*($B852+IF($R$17="Distrato",$I$38-1,0)),IF(AND($L$711=0,$P$708=0),"",$L$711-1),IF($R$17="Distrato",$E852,0))),0,YEARFRAC(MAX($P$708*($B852+IF($R$17="Distrato",$I$38-1,0)),IF(AND($L$711=0,$P$708=0),"",$L$711-1),IF($R$17="Distrato",$E852,0)),MIN(AB$38,$D$19),$P$20))-SUM($P852:AA852)</f>
        <v>#VALUE!</v>
      </c>
      <c r="AC852" s="446" t="e">
        <f>IF(OR($B852="",MIN(AC$38,$D$19)&lt;MAX($P$708*($B852+IF($R$17="Distrato",$I$38-1,0)),IF(AND($L$711=0,$P$708=0),"",$L$711-1),IF($R$17="Distrato",$E852,0))),0,YEARFRAC(MAX($P$708*($B852+IF($R$17="Distrato",$I$38-1,0)),IF(AND($L$711=0,$P$708=0),"",$L$711-1),IF($R$17="Distrato",$E852,0)),MIN(AC$38,$D$19),$P$20))-SUM($P852:AB852)</f>
        <v>#VALUE!</v>
      </c>
      <c r="AD852" s="446" t="e">
        <f>IF(OR($B852="",MIN(AD$38,$D$19)&lt;MAX($P$708*($B852+IF($R$17="Distrato",$I$38-1,0)),IF(AND($L$711=0,$P$708=0),"",$L$711-1),IF($R$17="Distrato",$E852,0))),0,YEARFRAC(MAX($P$708*($B852+IF($R$17="Distrato",$I$38-1,0)),IF(AND($L$711=0,$P$708=0),"",$L$711-1),IF($R$17="Distrato",$E852,0)),MIN(AD$38,$D$19),$P$20))-SUM($P852:AC852)</f>
        <v>#VALUE!</v>
      </c>
      <c r="AE852" s="446" t="e">
        <f>IF(OR($B852="",MIN(AE$38,$D$19)&lt;MAX($P$708*($B852+IF($R$17="Distrato",$I$38-1,0)),IF(AND($L$711=0,$P$708=0),"",$L$711-1),IF($R$17="Distrato",$E852,0))),0,YEARFRAC(MAX($P$708*($B852+IF($R$17="Distrato",$I$38-1,0)),IF(AND($L$711=0,$P$708=0),"",$L$711-1),IF($R$17="Distrato",$E852,0)),MIN(AE$38,$D$19),$P$20))-SUM($P852:AD852)</f>
        <v>#VALUE!</v>
      </c>
      <c r="AF852" s="446" t="e">
        <f>IF(OR($B852="",MIN(AF$38,$D$19)&lt;MAX($P$708*($B852+IF($R$17="Distrato",$I$38-1,0)),IF(AND($L$711=0,$P$708=0),"",$L$711-1),IF($R$17="Distrato",$E852,0))),0,YEARFRAC(MAX($P$708*($B852+IF($R$17="Distrato",$I$38-1,0)),IF(AND($L$711=0,$P$708=0),"",$L$711-1),IF($R$17="Distrato",$E852,0)),MIN(AF$38,$D$19),$P$20))-SUM($P852:AE852)</f>
        <v>#VALUE!</v>
      </c>
      <c r="AG852" s="446" t="e">
        <f>IF(OR($B852="",MIN(AG$38,$D$19)&lt;MAX($P$708*($B852+IF($R$17="Distrato",$I$38-1,0)),IF(AND($L$711=0,$P$708=0),"",$L$711-1),IF($R$17="Distrato",$E852,0))),0,YEARFRAC(MAX($P$708*($B852+IF($R$17="Distrato",$I$38-1,0)),IF(AND($L$711=0,$P$708=0),"",$L$711-1),IF($R$17="Distrato",$E852,0)),MIN(AG$38,$D$19),$P$20))-SUM($P852:AF852)</f>
        <v>#VALUE!</v>
      </c>
      <c r="AH852" s="446" t="e">
        <f>IF(OR($B852="",MIN(AH$38,$D$19)&lt;MAX($P$708*($B852+IF($R$17="Distrato",$I$38-1,0)),IF(AND($L$711=0,$P$708=0),"",$L$711-1),IF($R$17="Distrato",$E852,0))),0,YEARFRAC(MAX($P$708*($B852+IF($R$17="Distrato",$I$38-1,0)),IF(AND($L$711=0,$P$708=0),"",$L$711-1),IF($R$17="Distrato",$E852,0)),MIN(AH$38,$D$19),$P$20))-SUM($P852:AG852)</f>
        <v>#VALUE!</v>
      </c>
      <c r="AI852" s="446" t="e">
        <f>IF(OR($B852="",MIN(AI$38,$D$19)&lt;MAX($P$708*($B852+IF($R$17="Distrato",$I$38-1,0)),IF(AND($L$711=0,$P$708=0),"",$L$711-1),IF($R$17="Distrato",$E852,0))),0,YEARFRAC(MAX($P$708*($B852+IF($R$17="Distrato",$I$38-1,0)),IF(AND($L$711=0,$P$708=0),"",$L$711-1),IF($R$17="Distrato",$E852,0)),MIN(AI$38,$D$19),$P$20))-SUM($P852:AH852)</f>
        <v>#VALUE!</v>
      </c>
      <c r="AJ852" s="446" t="e">
        <f>IF(OR($B852="",MIN(AJ$38,$D$19)&lt;MAX($P$708*($B852+IF($R$17="Distrato",$I$38-1,0)),IF(AND($L$711=0,$P$708=0),"",$L$711-1),IF($R$17="Distrato",$E852,0))),0,YEARFRAC(MAX($P$708*($B852+IF($R$17="Distrato",$I$38-1,0)),IF(AND($L$711=0,$P$708=0),"",$L$711-1),IF($R$17="Distrato",$E852,0)),MIN(AJ$38,$D$19),$P$20))-SUM($P852:AI852)</f>
        <v>#VALUE!</v>
      </c>
      <c r="AK852" s="446" t="e">
        <f>IF(OR($B852="",MIN(AK$38,$D$19)&lt;MAX($P$708*($B852+IF($R$17="Distrato",$I$38-1,0)),IF(AND($L$711=0,$P$708=0),"",$L$711-1),IF($R$17="Distrato",$E852,0))),0,YEARFRAC(MAX($P$708*($B852+IF($R$17="Distrato",$I$38-1,0)),IF(AND($L$711=0,$P$708=0),"",$L$711-1),IF($R$17="Distrato",$E852,0)),MIN(AK$38,$D$19),$P$20))-SUM($P852:AJ852)</f>
        <v>#VALUE!</v>
      </c>
      <c r="AL852" s="446" t="e">
        <f>IF(OR($B852="",MIN(AL$38,$D$19)&lt;MAX($P$708*($B852+IF($R$17="Distrato",$I$38-1,0)),IF(AND($L$711=0,$P$708=0),"",$L$711-1),IF($R$17="Distrato",$E852,0))),0,YEARFRAC(MAX($P$708*($B852+IF($R$17="Distrato",$I$38-1,0)),IF(AND($L$711=0,$P$708=0),"",$L$711-1),IF($R$17="Distrato",$E852,0)),MIN(AL$38,$D$19),$P$20))-SUM($P852:AK852)</f>
        <v>#VALUE!</v>
      </c>
      <c r="AM852" s="446" t="e">
        <f>IF(OR($B852="",MIN(AM$38,$D$19)&lt;MAX($P$708*($B852+IF($R$17="Distrato",$I$38-1,0)),IF(AND($L$711=0,$P$708=0),"",$L$711-1),IF($R$17="Distrato",$E852,0))),0,YEARFRAC(MAX($P$708*($B852+IF($R$17="Distrato",$I$38-1,0)),IF(AND($L$711=0,$P$708=0),"",$L$711-1),IF($R$17="Distrato",$E852,0)),MIN(AM$38,$D$19),$P$20))-SUM($P852:AL852)</f>
        <v>#VALUE!</v>
      </c>
      <c r="AN852" s="446" t="e">
        <f>IF(OR($B852="",MIN(AN$38,$D$19)&lt;MAX($P$708*($B852+IF($R$17="Distrato",$I$38-1,0)),IF(AND($L$711=0,$P$708=0),"",$L$711-1),IF($R$17="Distrato",$E852,0))),0,YEARFRAC(MAX($P$708*($B852+IF($R$17="Distrato",$I$38-1,0)),IF(AND($L$711=0,$P$708=0),"",$L$711-1),IF($R$17="Distrato",$E852,0)),MIN(AN$38,$D$19),$P$20))-SUM($P852:AM852)</f>
        <v>#VALUE!</v>
      </c>
      <c r="AO852" s="446" t="e">
        <f>IF(OR($B852="",MIN(AO$38,$D$19)&lt;MAX($P$708*($B852+IF($R$17="Distrato",$I$38-1,0)),IF(AND($L$711=0,$P$708=0),"",$L$711-1),IF($R$17="Distrato",$E852,0))),0,YEARFRAC(MAX($P$708*($B852+IF($R$17="Distrato",$I$38-1,0)),IF(AND($L$711=0,$P$708=0),"",$L$711-1),IF($R$17="Distrato",$E852,0)),MIN(AO$38,$D$19),$P$20))-SUM($P852:AN852)</f>
        <v>#VALUE!</v>
      </c>
      <c r="AP852" s="446" t="e">
        <f>IF(OR($B852="",MIN(AP$38,$D$19)&lt;MAX($P$708*($B852+IF($R$17="Distrato",$I$38-1,0)),IF(AND($L$711=0,$P$708=0),"",$L$711-1),IF($R$17="Distrato",$E852,0))),0,YEARFRAC(MAX($P$708*($B852+IF($R$17="Distrato",$I$38-1,0)),IF(AND($L$711=0,$P$708=0),"",$L$711-1),IF($R$17="Distrato",$E852,0)),MIN(AP$38,$D$19),$P$20))-SUM($P852:AO852)</f>
        <v>#VALUE!</v>
      </c>
      <c r="AQ852" s="446" t="e">
        <f>IF(OR($B852="",MIN(AQ$38,$D$19)&lt;MAX($P$708*($B852+IF($R$17="Distrato",$I$38-1,0)),IF(AND($L$711=0,$P$708=0),"",$L$711-1),IF($R$17="Distrato",$E852,0))),0,YEARFRAC(MAX($P$708*($B852+IF($R$17="Distrato",$I$38-1,0)),IF(AND($L$711=0,$P$708=0),"",$L$711-1),IF($R$17="Distrato",$E852,0)),MIN(AQ$38,$D$19),$P$20))-SUM($P852:AP852)</f>
        <v>#VALUE!</v>
      </c>
      <c r="AR852" s="446" t="e">
        <f>IF(OR($B852="",MIN(AR$38,$D$19)&lt;MAX($P$708*($B852+IF($R$17="Distrato",$I$38-1,0)),IF(AND($L$711=0,$P$708=0),"",$L$711-1),IF($R$17="Distrato",$E852,0))),0,YEARFRAC(MAX($P$708*($B852+IF($R$17="Distrato",$I$38-1,0)),IF(AND($L$711=0,$P$708=0),"",$L$711-1),IF($R$17="Distrato",$E852,0)),MIN(AR$38,$D$19),$P$20))-SUM($P852:AQ852)</f>
        <v>#VALUE!</v>
      </c>
      <c r="AS852" s="446" t="e">
        <f>IF(OR($B852="",MIN(AS$38,$D$19)&lt;MAX($P$708*($B852+IF($R$17="Distrato",$I$38-1,0)),IF(AND($L$711=0,$P$708=0),"",$L$711-1),IF($R$17="Distrato",$E852,0))),0,YEARFRAC(MAX($P$708*($B852+IF($R$17="Distrato",$I$38-1,0)),IF(AND($L$711=0,$P$708=0),"",$L$711-1),IF($R$17="Distrato",$E852,0)),MIN(AS$38,$D$19),$P$20))-SUM($P852:AR852)</f>
        <v>#VALUE!</v>
      </c>
      <c r="AT852" s="446" t="e">
        <f>IF(OR($B852="",MIN(AT$38,$D$19)&lt;MAX($P$708*($B852+IF($R$17="Distrato",$I$38-1,0)),IF(AND($L$711=0,$P$708=0),"",$L$711-1),IF($R$17="Distrato",$E852,0))),0,YEARFRAC(MAX($P$708*($B852+IF($R$17="Distrato",$I$38-1,0)),IF(AND($L$711=0,$P$708=0),"",$L$711-1),IF($R$17="Distrato",$E852,0)),MIN(AT$38,$D$19),$P$20))-SUM($P852:AS852)</f>
        <v>#VALUE!</v>
      </c>
      <c r="AU852" s="446" t="e">
        <f>IF(OR($B852="",MIN(AU$38,$D$19)&lt;MAX($P$708*($B852+IF($R$17="Distrato",$I$38-1,0)),IF(AND($L$711=0,$P$708=0),"",$L$711-1),IF($R$17="Distrato",$E852,0))),0,YEARFRAC(MAX($P$708*($B852+IF($R$17="Distrato",$I$38-1,0)),IF(AND($L$711=0,$P$708=0),"",$L$711-1),IF($R$17="Distrato",$E852,0)),MIN(AU$38,$D$19),$P$20))-SUM($P852:AT852)</f>
        <v>#VALUE!</v>
      </c>
      <c r="AV852" s="446" t="e">
        <f>IF(OR($B852="",MIN(AV$38,$D$19)&lt;MAX($P$708*($B852+IF($R$17="Distrato",$I$38-1,0)),IF(AND($L$711=0,$P$708=0),"",$L$711-1),IF($R$17="Distrato",$E852,0))),0,YEARFRAC(MAX($P$708*($B852+IF($R$17="Distrato",$I$38-1,0)),IF(AND($L$711=0,$P$708=0),"",$L$711-1),IF($R$17="Distrato",$E852,0)),MIN(AV$38,$D$19),$P$20))-SUM($P852:AU852)</f>
        <v>#VALUE!</v>
      </c>
      <c r="AW852" s="446" t="e">
        <f>IF(OR($B852="",MIN(AW$38,$D$19)&lt;MAX($P$708*($B852+IF($R$17="Distrato",$I$38-1,0)),IF(AND($L$711=0,$P$708=0),"",$L$711-1),IF($R$17="Distrato",$E852,0))),0,YEARFRAC(MAX($P$708*($B852+IF($R$17="Distrato",$I$38-1,0)),IF(AND($L$711=0,$P$708=0),"",$L$711-1),IF($R$17="Distrato",$E852,0)),MIN(AW$38,$D$19),$P$20))-SUM($P852:AV852)</f>
        <v>#VALUE!</v>
      </c>
      <c r="AX852" s="446" t="e">
        <f>IF(OR($B852="",MIN(AX$38,$D$19)&lt;MAX($P$708*($B852+IF($R$17="Distrato",$I$38-1,0)),IF(AND($L$711=0,$P$708=0),"",$L$711-1),IF($R$17="Distrato",$E852,0))),0,YEARFRAC(MAX($P$708*($B852+IF($R$17="Distrato",$I$38-1,0)),IF(AND($L$711=0,$P$708=0),"",$L$711-1),IF($R$17="Distrato",$E852,0)),MIN(AX$38,$D$19),$P$20))-SUM($P852:AW852)</f>
        <v>#VALUE!</v>
      </c>
      <c r="AY852" s="446" t="e">
        <f>IF(OR($B852="",MIN(AY$38,$D$19)&lt;MAX($P$708*($B852+IF($R$17="Distrato",$I$38-1,0)),IF(AND($L$711=0,$P$708=0),"",$L$711-1),IF($R$17="Distrato",$E852,0))),0,YEARFRAC(MAX($P$708*($B852+IF($R$17="Distrato",$I$38-1,0)),IF(AND($L$711=0,$P$708=0),"",$L$711-1),IF($R$17="Distrato",$E852,0)),MIN(AY$38,$D$19),$P$20))-SUM($P852:AX852)</f>
        <v>#VALUE!</v>
      </c>
      <c r="AZ852" s="446" t="e">
        <f>IF(OR($B852="",MIN(AZ$38,$D$19)&lt;MAX($P$708*($B852+IF($R$17="Distrato",$I$38-1,0)),IF(AND($L$711=0,$P$708=0),"",$L$711-1),IF($R$17="Distrato",$E852,0))),0,YEARFRAC(MAX($P$708*($B852+IF($R$17="Distrato",$I$38-1,0)),IF(AND($L$711=0,$P$708=0),"",$L$711-1),IF($R$17="Distrato",$E852,0)),MIN(AZ$38,$D$19),$P$20))-SUM($P852:AY852)</f>
        <v>#VALUE!</v>
      </c>
      <c r="BA852" s="446" t="e">
        <f>IF(OR($B852="",MIN(BA$38,$D$19)&lt;MAX($P$708*($B852+IF($R$17="Distrato",$I$38-1,0)),IF(AND($L$711=0,$P$708=0),"",$L$711-1),IF($R$17="Distrato",$E852,0))),0,YEARFRAC(MAX($P$708*($B852+IF($R$17="Distrato",$I$38-1,0)),IF(AND($L$711=0,$P$708=0),"",$L$711-1),IF($R$17="Distrato",$E852,0)),MIN(BA$38,$D$19),$P$20))-SUM($P852:AZ852)</f>
        <v>#VALUE!</v>
      </c>
      <c r="BB852" s="447"/>
    </row>
    <row r="853" spans="1:54" s="446" customFormat="1" ht="11.25" hidden="1" customHeight="1" x14ac:dyDescent="0.2">
      <c r="A853" s="235"/>
      <c r="B853" s="236"/>
      <c r="C853" s="29" t="str">
        <f>IF(B853="","",IF($L$709=$BL$25,VLOOKUP(DATE(YEAR($D$19),MONTH($D$19)-1,1),ÍNDICES!$A:$DE,HLOOKUP($BL$25,ÍNDICES!$B$3:$T$4,2)+11)-VLOOKUP(B853,ÍNDICES!$A:$DE,HLOOKUP($BL$25,ÍNDICES!$B$3:$T$4,2)+11)+1%,IF(C$712=$W$26,$J$35,IF(ISERROR(IF(B853&gt;$D$19,1,VLOOKUP(DATE(YEAR(B853),MONTH(B853)+IF($C$709=$S$23,1,0),1),ÍNDICES!$A:$DE,$Z$709+1))),"",IF(B853&gt;$D$19,1,VLOOKUP(DATE(YEAR(B853),MONTH(B853)+IF($C$709=$S$23,1,0),1),ÍNDICES!$A:$DE,$Z$709+1))))))</f>
        <v/>
      </c>
      <c r="D853" s="155"/>
      <c r="E853" s="88"/>
      <c r="F853" s="88"/>
      <c r="G853" s="88"/>
      <c r="H853" s="118"/>
      <c r="I853" s="182">
        <f t="shared" si="129"/>
        <v>0</v>
      </c>
      <c r="J853" s="20">
        <f t="shared" ca="1" si="130"/>
        <v>0</v>
      </c>
      <c r="K853" s="5">
        <f t="shared" ca="1" si="131"/>
        <v>0</v>
      </c>
      <c r="L853" s="61">
        <f t="shared" ca="1" si="132"/>
        <v>0</v>
      </c>
      <c r="M853" s="64">
        <f t="shared" si="133"/>
        <v>0</v>
      </c>
      <c r="N853" s="151"/>
      <c r="O853" s="5">
        <f t="shared" ca="1" si="134"/>
        <v>0</v>
      </c>
      <c r="P853" s="446" t="e">
        <f t="shared" si="135"/>
        <v>#VALUE!</v>
      </c>
      <c r="Q853" s="446" t="e">
        <f>IF(OR($B853="",MIN(Q$38,$D$19)&lt;MAX($P$708*($B853+IF($R$17="Distrato",$I$38-1,0)),IF(AND($L$711=0,$P$708=0),"",$L$711-1),IF($R$17="Distrato",$E853,0))),0,YEARFRAC(MAX($P$708*($B853+IF($R$17="Distrato",$I$38-1,0)),IF(AND($L$711=0,$P$708=0),"",$L$711-1),IF($R$17="Distrato",$E853,0)),MIN(Q$38,$D$19),$P$20))-SUM($P853:P853)</f>
        <v>#VALUE!</v>
      </c>
      <c r="R853" s="446" t="e">
        <f>IF(OR($B853="",MIN(R$38,$D$19)&lt;MAX($P$708*($B853+IF($R$17="Distrato",$I$38-1,0)),IF(AND($L$711=0,$P$708=0),"",$L$711-1),IF($R$17="Distrato",$E853,0))),0,YEARFRAC(MAX($P$708*($B853+IF($R$17="Distrato",$I$38-1,0)),IF(AND($L$711=0,$P$708=0),"",$L$711-1),IF($R$17="Distrato",$E853,0)),MIN(R$38,$D$19),$P$20))-SUM($P853:Q853)</f>
        <v>#VALUE!</v>
      </c>
      <c r="S853" s="446" t="e">
        <f>IF(OR($B853="",MIN(S$38,$D$19)&lt;MAX($P$708*($B853+IF($R$17="Distrato",$I$38-1,0)),IF(AND($L$711=0,$P$708=0),"",$L$711-1),IF($R$17="Distrato",$E853,0))),0,YEARFRAC(MAX($P$708*($B853+IF($R$17="Distrato",$I$38-1,0)),IF(AND($L$711=0,$P$708=0),"",$L$711-1),IF($R$17="Distrato",$E853,0)),MIN(S$38,$D$19),$P$20))-SUM($P853:R853)</f>
        <v>#VALUE!</v>
      </c>
      <c r="T853" s="446" t="e">
        <f>IF(OR($B853="",MIN(T$38,$D$19)&lt;MAX($P$708*($B853+IF($R$17="Distrato",$I$38-1,0)),IF(AND($L$711=0,$P$708=0),"",$L$711-1),IF($R$17="Distrato",$E853,0))),0,YEARFRAC(MAX($P$708*($B853+IF($R$17="Distrato",$I$38-1,0)),IF(AND($L$711=0,$P$708=0),"",$L$711-1),IF($R$17="Distrato",$E853,0)),MIN(T$38,$D$19),$P$20))-SUM($P853:S853)</f>
        <v>#VALUE!</v>
      </c>
      <c r="U853" s="446" t="e">
        <f>IF(OR($B853="",MIN(U$38,$D$19)&lt;MAX($P$708*($B853+IF($R$17="Distrato",$I$38-1,0)),IF(AND($L$711=0,$P$708=0),"",$L$711-1),IF($R$17="Distrato",$E853,0))),0,YEARFRAC(MAX($P$708*($B853+IF($R$17="Distrato",$I$38-1,0)),IF(AND($L$711=0,$P$708=0),"",$L$711-1),IF($R$17="Distrato",$E853,0)),MIN(U$38,$D$19),$P$20))-SUM($P853:T853)</f>
        <v>#VALUE!</v>
      </c>
      <c r="V853" s="446" t="e">
        <f>IF(OR($B853="",MIN(V$38,$D$19)&lt;MAX($P$708*($B853+IF($R$17="Distrato",$I$38-1,0)),IF(AND($L$711=0,$P$708=0),"",$L$711-1),IF($R$17="Distrato",$E853,0))),0,YEARFRAC(MAX($P$708*($B853+IF($R$17="Distrato",$I$38-1,0)),IF(AND($L$711=0,$P$708=0),"",$L$711-1),IF($R$17="Distrato",$E853,0)),MIN(V$38,$D$19),$P$20))-SUM($P853:U853)</f>
        <v>#VALUE!</v>
      </c>
      <c r="W853" s="446" t="e">
        <f>IF(OR($B853="",MIN(W$38,$D$19)&lt;MAX($P$708*($B853+IF($R$17="Distrato",$I$38-1,0)),IF(AND($L$711=0,$P$708=0),"",$L$711-1),IF($R$17="Distrato",$E853,0))),0,YEARFRAC(MAX($P$708*($B853+IF($R$17="Distrato",$I$38-1,0)),IF(AND($L$711=0,$P$708=0),"",$L$711-1),IF($R$17="Distrato",$E853,0)),MIN(W$38,$D$19),$P$20))-SUM($P853:V853)</f>
        <v>#VALUE!</v>
      </c>
      <c r="X853" s="446" t="e">
        <f>IF(OR($B853="",MIN(X$38,$D$19)&lt;MAX($P$708*($B853+IF($R$17="Distrato",$I$38-1,0)),IF(AND($L$711=0,$P$708=0),"",$L$711-1),IF($R$17="Distrato",$E853,0))),0,YEARFRAC(MAX($P$708*($B853+IF($R$17="Distrato",$I$38-1,0)),IF(AND($L$711=0,$P$708=0),"",$L$711-1),IF($R$17="Distrato",$E853,0)),MIN(X$38,$D$19),$P$20))-SUM($P853:W853)</f>
        <v>#VALUE!</v>
      </c>
      <c r="Y853" s="446" t="e">
        <f>IF(OR($B853="",MIN(Y$38,$D$19)&lt;MAX($P$708*($B853+IF($R$17="Distrato",$I$38-1,0)),IF(AND($L$711=0,$P$708=0),"",$L$711-1),IF($R$17="Distrato",$E853,0))),0,YEARFRAC(MAX($P$708*($B853+IF($R$17="Distrato",$I$38-1,0)),IF(AND($L$711=0,$P$708=0),"",$L$711-1),IF($R$17="Distrato",$E853,0)),MIN(Y$38,$D$19),$P$20))-SUM($P853:X853)</f>
        <v>#VALUE!</v>
      </c>
      <c r="Z853" s="446" t="e">
        <f>IF(OR($B853="",MIN(Z$38,$D$19)&lt;MAX($P$708*($B853+IF($R$17="Distrato",$I$38-1,0)),IF(AND($L$711=0,$P$708=0),"",$L$711-1),IF($R$17="Distrato",$E853,0))),0,YEARFRAC(MAX($P$708*($B853+IF($R$17="Distrato",$I$38-1,0)),IF(AND($L$711=0,$P$708=0),"",$L$711-1),IF($R$17="Distrato",$E853,0)),MIN(Z$38,$D$19),$P$20))-SUM($P853:Y853)</f>
        <v>#VALUE!</v>
      </c>
      <c r="AA853" s="446" t="e">
        <f>IF(OR($B853="",MIN(AA$38,$D$19)&lt;MAX($P$708*($B853+IF($R$17="Distrato",$I$38-1,0)),IF(AND($L$711=0,$P$708=0),"",$L$711-1),IF($R$17="Distrato",$E853,0))),0,YEARFRAC(MAX($P$708*($B853+IF($R$17="Distrato",$I$38-1,0)),IF(AND($L$711=0,$P$708=0),"",$L$711-1),IF($R$17="Distrato",$E853,0)),MIN(AA$38,$D$19),$P$20))-SUM($P853:Z853)</f>
        <v>#VALUE!</v>
      </c>
      <c r="AB853" s="446" t="e">
        <f>IF(OR($B853="",MIN(AB$38,$D$19)&lt;MAX($P$708*($B853+IF($R$17="Distrato",$I$38-1,0)),IF(AND($L$711=0,$P$708=0),"",$L$711-1),IF($R$17="Distrato",$E853,0))),0,YEARFRAC(MAX($P$708*($B853+IF($R$17="Distrato",$I$38-1,0)),IF(AND($L$711=0,$P$708=0),"",$L$711-1),IF($R$17="Distrato",$E853,0)),MIN(AB$38,$D$19),$P$20))-SUM($P853:AA853)</f>
        <v>#VALUE!</v>
      </c>
      <c r="AC853" s="446" t="e">
        <f>IF(OR($B853="",MIN(AC$38,$D$19)&lt;MAX($P$708*($B853+IF($R$17="Distrato",$I$38-1,0)),IF(AND($L$711=0,$P$708=0),"",$L$711-1),IF($R$17="Distrato",$E853,0))),0,YEARFRAC(MAX($P$708*($B853+IF($R$17="Distrato",$I$38-1,0)),IF(AND($L$711=0,$P$708=0),"",$L$711-1),IF($R$17="Distrato",$E853,0)),MIN(AC$38,$D$19),$P$20))-SUM($P853:AB853)</f>
        <v>#VALUE!</v>
      </c>
      <c r="AD853" s="446" t="e">
        <f>IF(OR($B853="",MIN(AD$38,$D$19)&lt;MAX($P$708*($B853+IF($R$17="Distrato",$I$38-1,0)),IF(AND($L$711=0,$P$708=0),"",$L$711-1),IF($R$17="Distrato",$E853,0))),0,YEARFRAC(MAX($P$708*($B853+IF($R$17="Distrato",$I$38-1,0)),IF(AND($L$711=0,$P$708=0),"",$L$711-1),IF($R$17="Distrato",$E853,0)),MIN(AD$38,$D$19),$P$20))-SUM($P853:AC853)</f>
        <v>#VALUE!</v>
      </c>
      <c r="AE853" s="446" t="e">
        <f>IF(OR($B853="",MIN(AE$38,$D$19)&lt;MAX($P$708*($B853+IF($R$17="Distrato",$I$38-1,0)),IF(AND($L$711=0,$P$708=0),"",$L$711-1),IF($R$17="Distrato",$E853,0))),0,YEARFRAC(MAX($P$708*($B853+IF($R$17="Distrato",$I$38-1,0)),IF(AND($L$711=0,$P$708=0),"",$L$711-1),IF($R$17="Distrato",$E853,0)),MIN(AE$38,$D$19),$P$20))-SUM($P853:AD853)</f>
        <v>#VALUE!</v>
      </c>
      <c r="AF853" s="446" t="e">
        <f>IF(OR($B853="",MIN(AF$38,$D$19)&lt;MAX($P$708*($B853+IF($R$17="Distrato",$I$38-1,0)),IF(AND($L$711=0,$P$708=0),"",$L$711-1),IF($R$17="Distrato",$E853,0))),0,YEARFRAC(MAX($P$708*($B853+IF($R$17="Distrato",$I$38-1,0)),IF(AND($L$711=0,$P$708=0),"",$L$711-1),IF($R$17="Distrato",$E853,0)),MIN(AF$38,$D$19),$P$20))-SUM($P853:AE853)</f>
        <v>#VALUE!</v>
      </c>
      <c r="AG853" s="446" t="e">
        <f>IF(OR($B853="",MIN(AG$38,$D$19)&lt;MAX($P$708*($B853+IF($R$17="Distrato",$I$38-1,0)),IF(AND($L$711=0,$P$708=0),"",$L$711-1),IF($R$17="Distrato",$E853,0))),0,YEARFRAC(MAX($P$708*($B853+IF($R$17="Distrato",$I$38-1,0)),IF(AND($L$711=0,$P$708=0),"",$L$711-1),IF($R$17="Distrato",$E853,0)),MIN(AG$38,$D$19),$P$20))-SUM($P853:AF853)</f>
        <v>#VALUE!</v>
      </c>
      <c r="AH853" s="446" t="e">
        <f>IF(OR($B853="",MIN(AH$38,$D$19)&lt;MAX($P$708*($B853+IF($R$17="Distrato",$I$38-1,0)),IF(AND($L$711=0,$P$708=0),"",$L$711-1),IF($R$17="Distrato",$E853,0))),0,YEARFRAC(MAX($P$708*($B853+IF($R$17="Distrato",$I$38-1,0)),IF(AND($L$711=0,$P$708=0),"",$L$711-1),IF($R$17="Distrato",$E853,0)),MIN(AH$38,$D$19),$P$20))-SUM($P853:AG853)</f>
        <v>#VALUE!</v>
      </c>
      <c r="AI853" s="446" t="e">
        <f>IF(OR($B853="",MIN(AI$38,$D$19)&lt;MAX($P$708*($B853+IF($R$17="Distrato",$I$38-1,0)),IF(AND($L$711=0,$P$708=0),"",$L$711-1),IF($R$17="Distrato",$E853,0))),0,YEARFRAC(MAX($P$708*($B853+IF($R$17="Distrato",$I$38-1,0)),IF(AND($L$711=0,$P$708=0),"",$L$711-1),IF($R$17="Distrato",$E853,0)),MIN(AI$38,$D$19),$P$20))-SUM($P853:AH853)</f>
        <v>#VALUE!</v>
      </c>
      <c r="AJ853" s="446" t="e">
        <f>IF(OR($B853="",MIN(AJ$38,$D$19)&lt;MAX($P$708*($B853+IF($R$17="Distrato",$I$38-1,0)),IF(AND($L$711=0,$P$708=0),"",$L$711-1),IF($R$17="Distrato",$E853,0))),0,YEARFRAC(MAX($P$708*($B853+IF($R$17="Distrato",$I$38-1,0)),IF(AND($L$711=0,$P$708=0),"",$L$711-1),IF($R$17="Distrato",$E853,0)),MIN(AJ$38,$D$19),$P$20))-SUM($P853:AI853)</f>
        <v>#VALUE!</v>
      </c>
      <c r="AK853" s="446" t="e">
        <f>IF(OR($B853="",MIN(AK$38,$D$19)&lt;MAX($P$708*($B853+IF($R$17="Distrato",$I$38-1,0)),IF(AND($L$711=0,$P$708=0),"",$L$711-1),IF($R$17="Distrato",$E853,0))),0,YEARFRAC(MAX($P$708*($B853+IF($R$17="Distrato",$I$38-1,0)),IF(AND($L$711=0,$P$708=0),"",$L$711-1),IF($R$17="Distrato",$E853,0)),MIN(AK$38,$D$19),$P$20))-SUM($P853:AJ853)</f>
        <v>#VALUE!</v>
      </c>
      <c r="AL853" s="446" t="e">
        <f>IF(OR($B853="",MIN(AL$38,$D$19)&lt;MAX($P$708*($B853+IF($R$17="Distrato",$I$38-1,0)),IF(AND($L$711=0,$P$708=0),"",$L$711-1),IF($R$17="Distrato",$E853,0))),0,YEARFRAC(MAX($P$708*($B853+IF($R$17="Distrato",$I$38-1,0)),IF(AND($L$711=0,$P$708=0),"",$L$711-1),IF($R$17="Distrato",$E853,0)),MIN(AL$38,$D$19),$P$20))-SUM($P853:AK853)</f>
        <v>#VALUE!</v>
      </c>
      <c r="AM853" s="446" t="e">
        <f>IF(OR($B853="",MIN(AM$38,$D$19)&lt;MAX($P$708*($B853+IF($R$17="Distrato",$I$38-1,0)),IF(AND($L$711=0,$P$708=0),"",$L$711-1),IF($R$17="Distrato",$E853,0))),0,YEARFRAC(MAX($P$708*($B853+IF($R$17="Distrato",$I$38-1,0)),IF(AND($L$711=0,$P$708=0),"",$L$711-1),IF($R$17="Distrato",$E853,0)),MIN(AM$38,$D$19),$P$20))-SUM($P853:AL853)</f>
        <v>#VALUE!</v>
      </c>
      <c r="AN853" s="446" t="e">
        <f>IF(OR($B853="",MIN(AN$38,$D$19)&lt;MAX($P$708*($B853+IF($R$17="Distrato",$I$38-1,0)),IF(AND($L$711=0,$P$708=0),"",$L$711-1),IF($R$17="Distrato",$E853,0))),0,YEARFRAC(MAX($P$708*($B853+IF($R$17="Distrato",$I$38-1,0)),IF(AND($L$711=0,$P$708=0),"",$L$711-1),IF($R$17="Distrato",$E853,0)),MIN(AN$38,$D$19),$P$20))-SUM($P853:AM853)</f>
        <v>#VALUE!</v>
      </c>
      <c r="AO853" s="446" t="e">
        <f>IF(OR($B853="",MIN(AO$38,$D$19)&lt;MAX($P$708*($B853+IF($R$17="Distrato",$I$38-1,0)),IF(AND($L$711=0,$P$708=0),"",$L$711-1),IF($R$17="Distrato",$E853,0))),0,YEARFRAC(MAX($P$708*($B853+IF($R$17="Distrato",$I$38-1,0)),IF(AND($L$711=0,$P$708=0),"",$L$711-1),IF($R$17="Distrato",$E853,0)),MIN(AO$38,$D$19),$P$20))-SUM($P853:AN853)</f>
        <v>#VALUE!</v>
      </c>
      <c r="AP853" s="446" t="e">
        <f>IF(OR($B853="",MIN(AP$38,$D$19)&lt;MAX($P$708*($B853+IF($R$17="Distrato",$I$38-1,0)),IF(AND($L$711=0,$P$708=0),"",$L$711-1),IF($R$17="Distrato",$E853,0))),0,YEARFRAC(MAX($P$708*($B853+IF($R$17="Distrato",$I$38-1,0)),IF(AND($L$711=0,$P$708=0),"",$L$711-1),IF($R$17="Distrato",$E853,0)),MIN(AP$38,$D$19),$P$20))-SUM($P853:AO853)</f>
        <v>#VALUE!</v>
      </c>
      <c r="AQ853" s="446" t="e">
        <f>IF(OR($B853="",MIN(AQ$38,$D$19)&lt;MAX($P$708*($B853+IF($R$17="Distrato",$I$38-1,0)),IF(AND($L$711=0,$P$708=0),"",$L$711-1),IF($R$17="Distrato",$E853,0))),0,YEARFRAC(MAX($P$708*($B853+IF($R$17="Distrato",$I$38-1,0)),IF(AND($L$711=0,$P$708=0),"",$L$711-1),IF($R$17="Distrato",$E853,0)),MIN(AQ$38,$D$19),$P$20))-SUM($P853:AP853)</f>
        <v>#VALUE!</v>
      </c>
      <c r="AR853" s="446" t="e">
        <f>IF(OR($B853="",MIN(AR$38,$D$19)&lt;MAX($P$708*($B853+IF($R$17="Distrato",$I$38-1,0)),IF(AND($L$711=0,$P$708=0),"",$L$711-1),IF($R$17="Distrato",$E853,0))),0,YEARFRAC(MAX($P$708*($B853+IF($R$17="Distrato",$I$38-1,0)),IF(AND($L$711=0,$P$708=0),"",$L$711-1),IF($R$17="Distrato",$E853,0)),MIN(AR$38,$D$19),$P$20))-SUM($P853:AQ853)</f>
        <v>#VALUE!</v>
      </c>
      <c r="AS853" s="446" t="e">
        <f>IF(OR($B853="",MIN(AS$38,$D$19)&lt;MAX($P$708*($B853+IF($R$17="Distrato",$I$38-1,0)),IF(AND($L$711=0,$P$708=0),"",$L$711-1),IF($R$17="Distrato",$E853,0))),0,YEARFRAC(MAX($P$708*($B853+IF($R$17="Distrato",$I$38-1,0)),IF(AND($L$711=0,$P$708=0),"",$L$711-1),IF($R$17="Distrato",$E853,0)),MIN(AS$38,$D$19),$P$20))-SUM($P853:AR853)</f>
        <v>#VALUE!</v>
      </c>
      <c r="AT853" s="446" t="e">
        <f>IF(OR($B853="",MIN(AT$38,$D$19)&lt;MAX($P$708*($B853+IF($R$17="Distrato",$I$38-1,0)),IF(AND($L$711=0,$P$708=0),"",$L$711-1),IF($R$17="Distrato",$E853,0))),0,YEARFRAC(MAX($P$708*($B853+IF($R$17="Distrato",$I$38-1,0)),IF(AND($L$711=0,$P$708=0),"",$L$711-1),IF($R$17="Distrato",$E853,0)),MIN(AT$38,$D$19),$P$20))-SUM($P853:AS853)</f>
        <v>#VALUE!</v>
      </c>
      <c r="AU853" s="446" t="e">
        <f>IF(OR($B853="",MIN(AU$38,$D$19)&lt;MAX($P$708*($B853+IF($R$17="Distrato",$I$38-1,0)),IF(AND($L$711=0,$P$708=0),"",$L$711-1),IF($R$17="Distrato",$E853,0))),0,YEARFRAC(MAX($P$708*($B853+IF($R$17="Distrato",$I$38-1,0)),IF(AND($L$711=0,$P$708=0),"",$L$711-1),IF($R$17="Distrato",$E853,0)),MIN(AU$38,$D$19),$P$20))-SUM($P853:AT853)</f>
        <v>#VALUE!</v>
      </c>
      <c r="AV853" s="446" t="e">
        <f>IF(OR($B853="",MIN(AV$38,$D$19)&lt;MAX($P$708*($B853+IF($R$17="Distrato",$I$38-1,0)),IF(AND($L$711=0,$P$708=0),"",$L$711-1),IF($R$17="Distrato",$E853,0))),0,YEARFRAC(MAX($P$708*($B853+IF($R$17="Distrato",$I$38-1,0)),IF(AND($L$711=0,$P$708=0),"",$L$711-1),IF($R$17="Distrato",$E853,0)),MIN(AV$38,$D$19),$P$20))-SUM($P853:AU853)</f>
        <v>#VALUE!</v>
      </c>
      <c r="AW853" s="446" t="e">
        <f>IF(OR($B853="",MIN(AW$38,$D$19)&lt;MAX($P$708*($B853+IF($R$17="Distrato",$I$38-1,0)),IF(AND($L$711=0,$P$708=0),"",$L$711-1),IF($R$17="Distrato",$E853,0))),0,YEARFRAC(MAX($P$708*($B853+IF($R$17="Distrato",$I$38-1,0)),IF(AND($L$711=0,$P$708=0),"",$L$711-1),IF($R$17="Distrato",$E853,0)),MIN(AW$38,$D$19),$P$20))-SUM($P853:AV853)</f>
        <v>#VALUE!</v>
      </c>
      <c r="AX853" s="446" t="e">
        <f>IF(OR($B853="",MIN(AX$38,$D$19)&lt;MAX($P$708*($B853+IF($R$17="Distrato",$I$38-1,0)),IF(AND($L$711=0,$P$708=0),"",$L$711-1),IF($R$17="Distrato",$E853,0))),0,YEARFRAC(MAX($P$708*($B853+IF($R$17="Distrato",$I$38-1,0)),IF(AND($L$711=0,$P$708=0),"",$L$711-1),IF($R$17="Distrato",$E853,0)),MIN(AX$38,$D$19),$P$20))-SUM($P853:AW853)</f>
        <v>#VALUE!</v>
      </c>
      <c r="AY853" s="446" t="e">
        <f>IF(OR($B853="",MIN(AY$38,$D$19)&lt;MAX($P$708*($B853+IF($R$17="Distrato",$I$38-1,0)),IF(AND($L$711=0,$P$708=0),"",$L$711-1),IF($R$17="Distrato",$E853,0))),0,YEARFRAC(MAX($P$708*($B853+IF($R$17="Distrato",$I$38-1,0)),IF(AND($L$711=0,$P$708=0),"",$L$711-1),IF($R$17="Distrato",$E853,0)),MIN(AY$38,$D$19),$P$20))-SUM($P853:AX853)</f>
        <v>#VALUE!</v>
      </c>
      <c r="AZ853" s="446" t="e">
        <f>IF(OR($B853="",MIN(AZ$38,$D$19)&lt;MAX($P$708*($B853+IF($R$17="Distrato",$I$38-1,0)),IF(AND($L$711=0,$P$708=0),"",$L$711-1),IF($R$17="Distrato",$E853,0))),0,YEARFRAC(MAX($P$708*($B853+IF($R$17="Distrato",$I$38-1,0)),IF(AND($L$711=0,$P$708=0),"",$L$711-1),IF($R$17="Distrato",$E853,0)),MIN(AZ$38,$D$19),$P$20))-SUM($P853:AY853)</f>
        <v>#VALUE!</v>
      </c>
      <c r="BA853" s="446" t="e">
        <f>IF(OR($B853="",MIN(BA$38,$D$19)&lt;MAX($P$708*($B853+IF($R$17="Distrato",$I$38-1,0)),IF(AND($L$711=0,$P$708=0),"",$L$711-1),IF($R$17="Distrato",$E853,0))),0,YEARFRAC(MAX($P$708*($B853+IF($R$17="Distrato",$I$38-1,0)),IF(AND($L$711=0,$P$708=0),"",$L$711-1),IF($R$17="Distrato",$E853,0)),MIN(BA$38,$D$19),$P$20))-SUM($P853:AZ853)</f>
        <v>#VALUE!</v>
      </c>
      <c r="BB853" s="447"/>
    </row>
    <row r="854" spans="1:54" s="446" customFormat="1" ht="11.25" hidden="1" customHeight="1" x14ac:dyDescent="0.2">
      <c r="A854" s="235"/>
      <c r="B854" s="236"/>
      <c r="C854" s="29" t="str">
        <f>IF(B854="","",IF($L$709=$BL$25,VLOOKUP(DATE(YEAR($D$19),MONTH($D$19)-1,1),ÍNDICES!$A:$DE,HLOOKUP($BL$25,ÍNDICES!$B$3:$T$4,2)+11)-VLOOKUP(B854,ÍNDICES!$A:$DE,HLOOKUP($BL$25,ÍNDICES!$B$3:$T$4,2)+11)+1%,IF(C$712=$W$26,$J$35,IF(ISERROR(IF(B854&gt;$D$19,1,VLOOKUP(DATE(YEAR(B854),MONTH(B854)+IF($C$709=$S$23,1,0),1),ÍNDICES!$A:$DE,$Z$709+1))),"",IF(B854&gt;$D$19,1,VLOOKUP(DATE(YEAR(B854),MONTH(B854)+IF($C$709=$S$23,1,0),1),ÍNDICES!$A:$DE,$Z$709+1))))))</f>
        <v/>
      </c>
      <c r="D854" s="155"/>
      <c r="E854" s="88"/>
      <c r="F854" s="88"/>
      <c r="G854" s="88"/>
      <c r="H854" s="118"/>
      <c r="I854" s="182">
        <f t="shared" si="129"/>
        <v>0</v>
      </c>
      <c r="J854" s="20">
        <f t="shared" ca="1" si="130"/>
        <v>0</v>
      </c>
      <c r="K854" s="5">
        <f t="shared" ca="1" si="131"/>
        <v>0</v>
      </c>
      <c r="L854" s="61">
        <f t="shared" ca="1" si="132"/>
        <v>0</v>
      </c>
      <c r="M854" s="64">
        <f t="shared" si="133"/>
        <v>0</v>
      </c>
      <c r="N854" s="151"/>
      <c r="O854" s="5">
        <f t="shared" ca="1" si="134"/>
        <v>0</v>
      </c>
      <c r="P854" s="446" t="e">
        <f t="shared" si="135"/>
        <v>#VALUE!</v>
      </c>
      <c r="Q854" s="446" t="e">
        <f>IF(OR($B854="",MIN(Q$38,$D$19)&lt;MAX($P$708*($B854+IF($R$17="Distrato",$I$38-1,0)),IF(AND($L$711=0,$P$708=0),"",$L$711-1),IF($R$17="Distrato",$E854,0))),0,YEARFRAC(MAX($P$708*($B854+IF($R$17="Distrato",$I$38-1,0)),IF(AND($L$711=0,$P$708=0),"",$L$711-1),IF($R$17="Distrato",$E854,0)),MIN(Q$38,$D$19),$P$20))-SUM($P854:P854)</f>
        <v>#VALUE!</v>
      </c>
      <c r="R854" s="446" t="e">
        <f>IF(OR($B854="",MIN(R$38,$D$19)&lt;MAX($P$708*($B854+IF($R$17="Distrato",$I$38-1,0)),IF(AND($L$711=0,$P$708=0),"",$L$711-1),IF($R$17="Distrato",$E854,0))),0,YEARFRAC(MAX($P$708*($B854+IF($R$17="Distrato",$I$38-1,0)),IF(AND($L$711=0,$P$708=0),"",$L$711-1),IF($R$17="Distrato",$E854,0)),MIN(R$38,$D$19),$P$20))-SUM($P854:Q854)</f>
        <v>#VALUE!</v>
      </c>
      <c r="S854" s="446" t="e">
        <f>IF(OR($B854="",MIN(S$38,$D$19)&lt;MAX($P$708*($B854+IF($R$17="Distrato",$I$38-1,0)),IF(AND($L$711=0,$P$708=0),"",$L$711-1),IF($R$17="Distrato",$E854,0))),0,YEARFRAC(MAX($P$708*($B854+IF($R$17="Distrato",$I$38-1,0)),IF(AND($L$711=0,$P$708=0),"",$L$711-1),IF($R$17="Distrato",$E854,0)),MIN(S$38,$D$19),$P$20))-SUM($P854:R854)</f>
        <v>#VALUE!</v>
      </c>
      <c r="T854" s="446" t="e">
        <f>IF(OR($B854="",MIN(T$38,$D$19)&lt;MAX($P$708*($B854+IF($R$17="Distrato",$I$38-1,0)),IF(AND($L$711=0,$P$708=0),"",$L$711-1),IF($R$17="Distrato",$E854,0))),0,YEARFRAC(MAX($P$708*($B854+IF($R$17="Distrato",$I$38-1,0)),IF(AND($L$711=0,$P$708=0),"",$L$711-1),IF($R$17="Distrato",$E854,0)),MIN(T$38,$D$19),$P$20))-SUM($P854:S854)</f>
        <v>#VALUE!</v>
      </c>
      <c r="U854" s="446" t="e">
        <f>IF(OR($B854="",MIN(U$38,$D$19)&lt;MAX($P$708*($B854+IF($R$17="Distrato",$I$38-1,0)),IF(AND($L$711=0,$P$708=0),"",$L$711-1),IF($R$17="Distrato",$E854,0))),0,YEARFRAC(MAX($P$708*($B854+IF($R$17="Distrato",$I$38-1,0)),IF(AND($L$711=0,$P$708=0),"",$L$711-1),IF($R$17="Distrato",$E854,0)),MIN(U$38,$D$19),$P$20))-SUM($P854:T854)</f>
        <v>#VALUE!</v>
      </c>
      <c r="V854" s="446" t="e">
        <f>IF(OR($B854="",MIN(V$38,$D$19)&lt;MAX($P$708*($B854+IF($R$17="Distrato",$I$38-1,0)),IF(AND($L$711=0,$P$708=0),"",$L$711-1),IF($R$17="Distrato",$E854,0))),0,YEARFRAC(MAX($P$708*($B854+IF($R$17="Distrato",$I$38-1,0)),IF(AND($L$711=0,$P$708=0),"",$L$711-1),IF($R$17="Distrato",$E854,0)),MIN(V$38,$D$19),$P$20))-SUM($P854:U854)</f>
        <v>#VALUE!</v>
      </c>
      <c r="W854" s="446" t="e">
        <f>IF(OR($B854="",MIN(W$38,$D$19)&lt;MAX($P$708*($B854+IF($R$17="Distrato",$I$38-1,0)),IF(AND($L$711=0,$P$708=0),"",$L$711-1),IF($R$17="Distrato",$E854,0))),0,YEARFRAC(MAX($P$708*($B854+IF($R$17="Distrato",$I$38-1,0)),IF(AND($L$711=0,$P$708=0),"",$L$711-1),IF($R$17="Distrato",$E854,0)),MIN(W$38,$D$19),$P$20))-SUM($P854:V854)</f>
        <v>#VALUE!</v>
      </c>
      <c r="X854" s="446" t="e">
        <f>IF(OR($B854="",MIN(X$38,$D$19)&lt;MAX($P$708*($B854+IF($R$17="Distrato",$I$38-1,0)),IF(AND($L$711=0,$P$708=0),"",$L$711-1),IF($R$17="Distrato",$E854,0))),0,YEARFRAC(MAX($P$708*($B854+IF($R$17="Distrato",$I$38-1,0)),IF(AND($L$711=0,$P$708=0),"",$L$711-1),IF($R$17="Distrato",$E854,0)),MIN(X$38,$D$19),$P$20))-SUM($P854:W854)</f>
        <v>#VALUE!</v>
      </c>
      <c r="Y854" s="446" t="e">
        <f>IF(OR($B854="",MIN(Y$38,$D$19)&lt;MAX($P$708*($B854+IF($R$17="Distrato",$I$38-1,0)),IF(AND($L$711=0,$P$708=0),"",$L$711-1),IF($R$17="Distrato",$E854,0))),0,YEARFRAC(MAX($P$708*($B854+IF($R$17="Distrato",$I$38-1,0)),IF(AND($L$711=0,$P$708=0),"",$L$711-1),IF($R$17="Distrato",$E854,0)),MIN(Y$38,$D$19),$P$20))-SUM($P854:X854)</f>
        <v>#VALUE!</v>
      </c>
      <c r="Z854" s="446" t="e">
        <f>IF(OR($B854="",MIN(Z$38,$D$19)&lt;MAX($P$708*($B854+IF($R$17="Distrato",$I$38-1,0)),IF(AND($L$711=0,$P$708=0),"",$L$711-1),IF($R$17="Distrato",$E854,0))),0,YEARFRAC(MAX($P$708*($B854+IF($R$17="Distrato",$I$38-1,0)),IF(AND($L$711=0,$P$708=0),"",$L$711-1),IF($R$17="Distrato",$E854,0)),MIN(Z$38,$D$19),$P$20))-SUM($P854:Y854)</f>
        <v>#VALUE!</v>
      </c>
      <c r="AA854" s="446" t="e">
        <f>IF(OR($B854="",MIN(AA$38,$D$19)&lt;MAX($P$708*($B854+IF($R$17="Distrato",$I$38-1,0)),IF(AND($L$711=0,$P$708=0),"",$L$711-1),IF($R$17="Distrato",$E854,0))),0,YEARFRAC(MAX($P$708*($B854+IF($R$17="Distrato",$I$38-1,0)),IF(AND($L$711=0,$P$708=0),"",$L$711-1),IF($R$17="Distrato",$E854,0)),MIN(AA$38,$D$19),$P$20))-SUM($P854:Z854)</f>
        <v>#VALUE!</v>
      </c>
      <c r="AB854" s="446" t="e">
        <f>IF(OR($B854="",MIN(AB$38,$D$19)&lt;MAX($P$708*($B854+IF($R$17="Distrato",$I$38-1,0)),IF(AND($L$711=0,$P$708=0),"",$L$711-1),IF($R$17="Distrato",$E854,0))),0,YEARFRAC(MAX($P$708*($B854+IF($R$17="Distrato",$I$38-1,0)),IF(AND($L$711=0,$P$708=0),"",$L$711-1),IF($R$17="Distrato",$E854,0)),MIN(AB$38,$D$19),$P$20))-SUM($P854:AA854)</f>
        <v>#VALUE!</v>
      </c>
      <c r="AC854" s="446" t="e">
        <f>IF(OR($B854="",MIN(AC$38,$D$19)&lt;MAX($P$708*($B854+IF($R$17="Distrato",$I$38-1,0)),IF(AND($L$711=0,$P$708=0),"",$L$711-1),IF($R$17="Distrato",$E854,0))),0,YEARFRAC(MAX($P$708*($B854+IF($R$17="Distrato",$I$38-1,0)),IF(AND($L$711=0,$P$708=0),"",$L$711-1),IF($R$17="Distrato",$E854,0)),MIN(AC$38,$D$19),$P$20))-SUM($P854:AB854)</f>
        <v>#VALUE!</v>
      </c>
      <c r="AD854" s="446" t="e">
        <f>IF(OR($B854="",MIN(AD$38,$D$19)&lt;MAX($P$708*($B854+IF($R$17="Distrato",$I$38-1,0)),IF(AND($L$711=0,$P$708=0),"",$L$711-1),IF($R$17="Distrato",$E854,0))),0,YEARFRAC(MAX($P$708*($B854+IF($R$17="Distrato",$I$38-1,0)),IF(AND($L$711=0,$P$708=0),"",$L$711-1),IF($R$17="Distrato",$E854,0)),MIN(AD$38,$D$19),$P$20))-SUM($P854:AC854)</f>
        <v>#VALUE!</v>
      </c>
      <c r="AE854" s="446" t="e">
        <f>IF(OR($B854="",MIN(AE$38,$D$19)&lt;MAX($P$708*($B854+IF($R$17="Distrato",$I$38-1,0)),IF(AND($L$711=0,$P$708=0),"",$L$711-1),IF($R$17="Distrato",$E854,0))),0,YEARFRAC(MAX($P$708*($B854+IF($R$17="Distrato",$I$38-1,0)),IF(AND($L$711=0,$P$708=0),"",$L$711-1),IF($R$17="Distrato",$E854,0)),MIN(AE$38,$D$19),$P$20))-SUM($P854:AD854)</f>
        <v>#VALUE!</v>
      </c>
      <c r="AF854" s="446" t="e">
        <f>IF(OR($B854="",MIN(AF$38,$D$19)&lt;MAX($P$708*($B854+IF($R$17="Distrato",$I$38-1,0)),IF(AND($L$711=0,$P$708=0),"",$L$711-1),IF($R$17="Distrato",$E854,0))),0,YEARFRAC(MAX($P$708*($B854+IF($R$17="Distrato",$I$38-1,0)),IF(AND($L$711=0,$P$708=0),"",$L$711-1),IF($R$17="Distrato",$E854,0)),MIN(AF$38,$D$19),$P$20))-SUM($P854:AE854)</f>
        <v>#VALUE!</v>
      </c>
      <c r="AG854" s="446" t="e">
        <f>IF(OR($B854="",MIN(AG$38,$D$19)&lt;MAX($P$708*($B854+IF($R$17="Distrato",$I$38-1,0)),IF(AND($L$711=0,$P$708=0),"",$L$711-1),IF($R$17="Distrato",$E854,0))),0,YEARFRAC(MAX($P$708*($B854+IF($R$17="Distrato",$I$38-1,0)),IF(AND($L$711=0,$P$708=0),"",$L$711-1),IF($R$17="Distrato",$E854,0)),MIN(AG$38,$D$19),$P$20))-SUM($P854:AF854)</f>
        <v>#VALUE!</v>
      </c>
      <c r="AH854" s="446" t="e">
        <f>IF(OR($B854="",MIN(AH$38,$D$19)&lt;MAX($P$708*($B854+IF($R$17="Distrato",$I$38-1,0)),IF(AND($L$711=0,$P$708=0),"",$L$711-1),IF($R$17="Distrato",$E854,0))),0,YEARFRAC(MAX($P$708*($B854+IF($R$17="Distrato",$I$38-1,0)),IF(AND($L$711=0,$P$708=0),"",$L$711-1),IF($R$17="Distrato",$E854,0)),MIN(AH$38,$D$19),$P$20))-SUM($P854:AG854)</f>
        <v>#VALUE!</v>
      </c>
      <c r="AI854" s="446" t="e">
        <f>IF(OR($B854="",MIN(AI$38,$D$19)&lt;MAX($P$708*($B854+IF($R$17="Distrato",$I$38-1,0)),IF(AND($L$711=0,$P$708=0),"",$L$711-1),IF($R$17="Distrato",$E854,0))),0,YEARFRAC(MAX($P$708*($B854+IF($R$17="Distrato",$I$38-1,0)),IF(AND($L$711=0,$P$708=0),"",$L$711-1),IF($R$17="Distrato",$E854,0)),MIN(AI$38,$D$19),$P$20))-SUM($P854:AH854)</f>
        <v>#VALUE!</v>
      </c>
      <c r="AJ854" s="446" t="e">
        <f>IF(OR($B854="",MIN(AJ$38,$D$19)&lt;MAX($P$708*($B854+IF($R$17="Distrato",$I$38-1,0)),IF(AND($L$711=0,$P$708=0),"",$L$711-1),IF($R$17="Distrato",$E854,0))),0,YEARFRAC(MAX($P$708*($B854+IF($R$17="Distrato",$I$38-1,0)),IF(AND($L$711=0,$P$708=0),"",$L$711-1),IF($R$17="Distrato",$E854,0)),MIN(AJ$38,$D$19),$P$20))-SUM($P854:AI854)</f>
        <v>#VALUE!</v>
      </c>
      <c r="AK854" s="446" t="e">
        <f>IF(OR($B854="",MIN(AK$38,$D$19)&lt;MAX($P$708*($B854+IF($R$17="Distrato",$I$38-1,0)),IF(AND($L$711=0,$P$708=0),"",$L$711-1),IF($R$17="Distrato",$E854,0))),0,YEARFRAC(MAX($P$708*($B854+IF($R$17="Distrato",$I$38-1,0)),IF(AND($L$711=0,$P$708=0),"",$L$711-1),IF($R$17="Distrato",$E854,0)),MIN(AK$38,$D$19),$P$20))-SUM($P854:AJ854)</f>
        <v>#VALUE!</v>
      </c>
      <c r="AL854" s="446" t="e">
        <f>IF(OR($B854="",MIN(AL$38,$D$19)&lt;MAX($P$708*($B854+IF($R$17="Distrato",$I$38-1,0)),IF(AND($L$711=0,$P$708=0),"",$L$711-1),IF($R$17="Distrato",$E854,0))),0,YEARFRAC(MAX($P$708*($B854+IF($R$17="Distrato",$I$38-1,0)),IF(AND($L$711=0,$P$708=0),"",$L$711-1),IF($R$17="Distrato",$E854,0)),MIN(AL$38,$D$19),$P$20))-SUM($P854:AK854)</f>
        <v>#VALUE!</v>
      </c>
      <c r="AM854" s="446" t="e">
        <f>IF(OR($B854="",MIN(AM$38,$D$19)&lt;MAX($P$708*($B854+IF($R$17="Distrato",$I$38-1,0)),IF(AND($L$711=0,$P$708=0),"",$L$711-1),IF($R$17="Distrato",$E854,0))),0,YEARFRAC(MAX($P$708*($B854+IF($R$17="Distrato",$I$38-1,0)),IF(AND($L$711=0,$P$708=0),"",$L$711-1),IF($R$17="Distrato",$E854,0)),MIN(AM$38,$D$19),$P$20))-SUM($P854:AL854)</f>
        <v>#VALUE!</v>
      </c>
      <c r="AN854" s="446" t="e">
        <f>IF(OR($B854="",MIN(AN$38,$D$19)&lt;MAX($P$708*($B854+IF($R$17="Distrato",$I$38-1,0)),IF(AND($L$711=0,$P$708=0),"",$L$711-1),IF($R$17="Distrato",$E854,0))),0,YEARFRAC(MAX($P$708*($B854+IF($R$17="Distrato",$I$38-1,0)),IF(AND($L$711=0,$P$708=0),"",$L$711-1),IF($R$17="Distrato",$E854,0)),MIN(AN$38,$D$19),$P$20))-SUM($P854:AM854)</f>
        <v>#VALUE!</v>
      </c>
      <c r="AO854" s="446" t="e">
        <f>IF(OR($B854="",MIN(AO$38,$D$19)&lt;MAX($P$708*($B854+IF($R$17="Distrato",$I$38-1,0)),IF(AND($L$711=0,$P$708=0),"",$L$711-1),IF($R$17="Distrato",$E854,0))),0,YEARFRAC(MAX($P$708*($B854+IF($R$17="Distrato",$I$38-1,0)),IF(AND($L$711=0,$P$708=0),"",$L$711-1),IF($R$17="Distrato",$E854,0)),MIN(AO$38,$D$19),$P$20))-SUM($P854:AN854)</f>
        <v>#VALUE!</v>
      </c>
      <c r="AP854" s="446" t="e">
        <f>IF(OR($B854="",MIN(AP$38,$D$19)&lt;MAX($P$708*($B854+IF($R$17="Distrato",$I$38-1,0)),IF(AND($L$711=0,$P$708=0),"",$L$711-1),IF($R$17="Distrato",$E854,0))),0,YEARFRAC(MAX($P$708*($B854+IF($R$17="Distrato",$I$38-1,0)),IF(AND($L$711=0,$P$708=0),"",$L$711-1),IF($R$17="Distrato",$E854,0)),MIN(AP$38,$D$19),$P$20))-SUM($P854:AO854)</f>
        <v>#VALUE!</v>
      </c>
      <c r="AQ854" s="446" t="e">
        <f>IF(OR($B854="",MIN(AQ$38,$D$19)&lt;MAX($P$708*($B854+IF($R$17="Distrato",$I$38-1,0)),IF(AND($L$711=0,$P$708=0),"",$L$711-1),IF($R$17="Distrato",$E854,0))),0,YEARFRAC(MAX($P$708*($B854+IF($R$17="Distrato",$I$38-1,0)),IF(AND($L$711=0,$P$708=0),"",$L$711-1),IF($R$17="Distrato",$E854,0)),MIN(AQ$38,$D$19),$P$20))-SUM($P854:AP854)</f>
        <v>#VALUE!</v>
      </c>
      <c r="AR854" s="446" t="e">
        <f>IF(OR($B854="",MIN(AR$38,$D$19)&lt;MAX($P$708*($B854+IF($R$17="Distrato",$I$38-1,0)),IF(AND($L$711=0,$P$708=0),"",$L$711-1),IF($R$17="Distrato",$E854,0))),0,YEARFRAC(MAX($P$708*($B854+IF($R$17="Distrato",$I$38-1,0)),IF(AND($L$711=0,$P$708=0),"",$L$711-1),IF($R$17="Distrato",$E854,0)),MIN(AR$38,$D$19),$P$20))-SUM($P854:AQ854)</f>
        <v>#VALUE!</v>
      </c>
      <c r="AS854" s="446" t="e">
        <f>IF(OR($B854="",MIN(AS$38,$D$19)&lt;MAX($P$708*($B854+IF($R$17="Distrato",$I$38-1,0)),IF(AND($L$711=0,$P$708=0),"",$L$711-1),IF($R$17="Distrato",$E854,0))),0,YEARFRAC(MAX($P$708*($B854+IF($R$17="Distrato",$I$38-1,0)),IF(AND($L$711=0,$P$708=0),"",$L$711-1),IF($R$17="Distrato",$E854,0)),MIN(AS$38,$D$19),$P$20))-SUM($P854:AR854)</f>
        <v>#VALUE!</v>
      </c>
      <c r="AT854" s="446" t="e">
        <f>IF(OR($B854="",MIN(AT$38,$D$19)&lt;MAX($P$708*($B854+IF($R$17="Distrato",$I$38-1,0)),IF(AND($L$711=0,$P$708=0),"",$L$711-1),IF($R$17="Distrato",$E854,0))),0,YEARFRAC(MAX($P$708*($B854+IF($R$17="Distrato",$I$38-1,0)),IF(AND($L$711=0,$P$708=0),"",$L$711-1),IF($R$17="Distrato",$E854,0)),MIN(AT$38,$D$19),$P$20))-SUM($P854:AS854)</f>
        <v>#VALUE!</v>
      </c>
      <c r="AU854" s="446" t="e">
        <f>IF(OR($B854="",MIN(AU$38,$D$19)&lt;MAX($P$708*($B854+IF($R$17="Distrato",$I$38-1,0)),IF(AND($L$711=0,$P$708=0),"",$L$711-1),IF($R$17="Distrato",$E854,0))),0,YEARFRAC(MAX($P$708*($B854+IF($R$17="Distrato",$I$38-1,0)),IF(AND($L$711=0,$P$708=0),"",$L$711-1),IF($R$17="Distrato",$E854,0)),MIN(AU$38,$D$19),$P$20))-SUM($P854:AT854)</f>
        <v>#VALUE!</v>
      </c>
      <c r="AV854" s="446" t="e">
        <f>IF(OR($B854="",MIN(AV$38,$D$19)&lt;MAX($P$708*($B854+IF($R$17="Distrato",$I$38-1,0)),IF(AND($L$711=0,$P$708=0),"",$L$711-1),IF($R$17="Distrato",$E854,0))),0,YEARFRAC(MAX($P$708*($B854+IF($R$17="Distrato",$I$38-1,0)),IF(AND($L$711=0,$P$708=0),"",$L$711-1),IF($R$17="Distrato",$E854,0)),MIN(AV$38,$D$19),$P$20))-SUM($P854:AU854)</f>
        <v>#VALUE!</v>
      </c>
      <c r="AW854" s="446" t="e">
        <f>IF(OR($B854="",MIN(AW$38,$D$19)&lt;MAX($P$708*($B854+IF($R$17="Distrato",$I$38-1,0)),IF(AND($L$711=0,$P$708=0),"",$L$711-1),IF($R$17="Distrato",$E854,0))),0,YEARFRAC(MAX($P$708*($B854+IF($R$17="Distrato",$I$38-1,0)),IF(AND($L$711=0,$P$708=0),"",$L$711-1),IF($R$17="Distrato",$E854,0)),MIN(AW$38,$D$19),$P$20))-SUM($P854:AV854)</f>
        <v>#VALUE!</v>
      </c>
      <c r="AX854" s="446" t="e">
        <f>IF(OR($B854="",MIN(AX$38,$D$19)&lt;MAX($P$708*($B854+IF($R$17="Distrato",$I$38-1,0)),IF(AND($L$711=0,$P$708=0),"",$L$711-1),IF($R$17="Distrato",$E854,0))),0,YEARFRAC(MAX($P$708*($B854+IF($R$17="Distrato",$I$38-1,0)),IF(AND($L$711=0,$P$708=0),"",$L$711-1),IF($R$17="Distrato",$E854,0)),MIN(AX$38,$D$19),$P$20))-SUM($P854:AW854)</f>
        <v>#VALUE!</v>
      </c>
      <c r="AY854" s="446" t="e">
        <f>IF(OR($B854="",MIN(AY$38,$D$19)&lt;MAX($P$708*($B854+IF($R$17="Distrato",$I$38-1,0)),IF(AND($L$711=0,$P$708=0),"",$L$711-1),IF($R$17="Distrato",$E854,0))),0,YEARFRAC(MAX($P$708*($B854+IF($R$17="Distrato",$I$38-1,0)),IF(AND($L$711=0,$P$708=0),"",$L$711-1),IF($R$17="Distrato",$E854,0)),MIN(AY$38,$D$19),$P$20))-SUM($P854:AX854)</f>
        <v>#VALUE!</v>
      </c>
      <c r="AZ854" s="446" t="e">
        <f>IF(OR($B854="",MIN(AZ$38,$D$19)&lt;MAX($P$708*($B854+IF($R$17="Distrato",$I$38-1,0)),IF(AND($L$711=0,$P$708=0),"",$L$711-1),IF($R$17="Distrato",$E854,0))),0,YEARFRAC(MAX($P$708*($B854+IF($R$17="Distrato",$I$38-1,0)),IF(AND($L$711=0,$P$708=0),"",$L$711-1),IF($R$17="Distrato",$E854,0)),MIN(AZ$38,$D$19),$P$20))-SUM($P854:AY854)</f>
        <v>#VALUE!</v>
      </c>
      <c r="BA854" s="446" t="e">
        <f>IF(OR($B854="",MIN(BA$38,$D$19)&lt;MAX($P$708*($B854+IF($R$17="Distrato",$I$38-1,0)),IF(AND($L$711=0,$P$708=0),"",$L$711-1),IF($R$17="Distrato",$E854,0))),0,YEARFRAC(MAX($P$708*($B854+IF($R$17="Distrato",$I$38-1,0)),IF(AND($L$711=0,$P$708=0),"",$L$711-1),IF($R$17="Distrato",$E854,0)),MIN(BA$38,$D$19),$P$20))-SUM($P854:AZ854)</f>
        <v>#VALUE!</v>
      </c>
      <c r="BB854" s="447"/>
    </row>
    <row r="855" spans="1:54" s="446" customFormat="1" ht="11.25" hidden="1" customHeight="1" x14ac:dyDescent="0.2">
      <c r="A855" s="235"/>
      <c r="B855" s="236"/>
      <c r="C855" s="29" t="str">
        <f>IF(B855="","",IF($L$709=$BL$25,VLOOKUP(DATE(YEAR($D$19),MONTH($D$19)-1,1),ÍNDICES!$A:$DE,HLOOKUP($BL$25,ÍNDICES!$B$3:$T$4,2)+11)-VLOOKUP(B855,ÍNDICES!$A:$DE,HLOOKUP($BL$25,ÍNDICES!$B$3:$T$4,2)+11)+1%,IF(C$712=$W$26,$J$35,IF(ISERROR(IF(B855&gt;$D$19,1,VLOOKUP(DATE(YEAR(B855),MONTH(B855)+IF($C$709=$S$23,1,0),1),ÍNDICES!$A:$DE,$Z$709+1))),"",IF(B855&gt;$D$19,1,VLOOKUP(DATE(YEAR(B855),MONTH(B855)+IF($C$709=$S$23,1,0),1),ÍNDICES!$A:$DE,$Z$709+1))))))</f>
        <v/>
      </c>
      <c r="D855" s="155"/>
      <c r="E855" s="88"/>
      <c r="F855" s="88"/>
      <c r="G855" s="88"/>
      <c r="H855" s="118"/>
      <c r="I855" s="182">
        <f t="shared" si="129"/>
        <v>0</v>
      </c>
      <c r="J855" s="20">
        <f t="shared" ca="1" si="130"/>
        <v>0</v>
      </c>
      <c r="K855" s="5">
        <f t="shared" ca="1" si="131"/>
        <v>0</v>
      </c>
      <c r="L855" s="61">
        <f t="shared" ca="1" si="132"/>
        <v>0</v>
      </c>
      <c r="M855" s="64">
        <f t="shared" si="133"/>
        <v>0</v>
      </c>
      <c r="N855" s="151"/>
      <c r="O855" s="5">
        <f t="shared" ca="1" si="134"/>
        <v>0</v>
      </c>
      <c r="P855" s="446" t="e">
        <f t="shared" si="135"/>
        <v>#VALUE!</v>
      </c>
      <c r="Q855" s="446" t="e">
        <f>IF(OR($B855="",MIN(Q$38,$D$19)&lt;MAX($P$708*($B855+IF($R$17="Distrato",$I$38-1,0)),IF(AND($L$711=0,$P$708=0),"",$L$711-1),IF($R$17="Distrato",$E855,0))),0,YEARFRAC(MAX($P$708*($B855+IF($R$17="Distrato",$I$38-1,0)),IF(AND($L$711=0,$P$708=0),"",$L$711-1),IF($R$17="Distrato",$E855,0)),MIN(Q$38,$D$19),$P$20))-SUM($P855:P855)</f>
        <v>#VALUE!</v>
      </c>
      <c r="R855" s="446" t="e">
        <f>IF(OR($B855="",MIN(R$38,$D$19)&lt;MAX($P$708*($B855+IF($R$17="Distrato",$I$38-1,0)),IF(AND($L$711=0,$P$708=0),"",$L$711-1),IF($R$17="Distrato",$E855,0))),0,YEARFRAC(MAX($P$708*($B855+IF($R$17="Distrato",$I$38-1,0)),IF(AND($L$711=0,$P$708=0),"",$L$711-1),IF($R$17="Distrato",$E855,0)),MIN(R$38,$D$19),$P$20))-SUM($P855:Q855)</f>
        <v>#VALUE!</v>
      </c>
      <c r="S855" s="446" t="e">
        <f>IF(OR($B855="",MIN(S$38,$D$19)&lt;MAX($P$708*($B855+IF($R$17="Distrato",$I$38-1,0)),IF(AND($L$711=0,$P$708=0),"",$L$711-1),IF($R$17="Distrato",$E855,0))),0,YEARFRAC(MAX($P$708*($B855+IF($R$17="Distrato",$I$38-1,0)),IF(AND($L$711=0,$P$708=0),"",$L$711-1),IF($R$17="Distrato",$E855,0)),MIN(S$38,$D$19),$P$20))-SUM($P855:R855)</f>
        <v>#VALUE!</v>
      </c>
      <c r="T855" s="446" t="e">
        <f>IF(OR($B855="",MIN(T$38,$D$19)&lt;MAX($P$708*($B855+IF($R$17="Distrato",$I$38-1,0)),IF(AND($L$711=0,$P$708=0),"",$L$711-1),IF($R$17="Distrato",$E855,0))),0,YEARFRAC(MAX($P$708*($B855+IF($R$17="Distrato",$I$38-1,0)),IF(AND($L$711=0,$P$708=0),"",$L$711-1),IF($R$17="Distrato",$E855,0)),MIN(T$38,$D$19),$P$20))-SUM($P855:S855)</f>
        <v>#VALUE!</v>
      </c>
      <c r="U855" s="446" t="e">
        <f>IF(OR($B855="",MIN(U$38,$D$19)&lt;MAX($P$708*($B855+IF($R$17="Distrato",$I$38-1,0)),IF(AND($L$711=0,$P$708=0),"",$L$711-1),IF($R$17="Distrato",$E855,0))),0,YEARFRAC(MAX($P$708*($B855+IF($R$17="Distrato",$I$38-1,0)),IF(AND($L$711=0,$P$708=0),"",$L$711-1),IF($R$17="Distrato",$E855,0)),MIN(U$38,$D$19),$P$20))-SUM($P855:T855)</f>
        <v>#VALUE!</v>
      </c>
      <c r="V855" s="446" t="e">
        <f>IF(OR($B855="",MIN(V$38,$D$19)&lt;MAX($P$708*($B855+IF($R$17="Distrato",$I$38-1,0)),IF(AND($L$711=0,$P$708=0),"",$L$711-1),IF($R$17="Distrato",$E855,0))),0,YEARFRAC(MAX($P$708*($B855+IF($R$17="Distrato",$I$38-1,0)),IF(AND($L$711=0,$P$708=0),"",$L$711-1),IF($R$17="Distrato",$E855,0)),MIN(V$38,$D$19),$P$20))-SUM($P855:U855)</f>
        <v>#VALUE!</v>
      </c>
      <c r="W855" s="446" t="e">
        <f>IF(OR($B855="",MIN(W$38,$D$19)&lt;MAX($P$708*($B855+IF($R$17="Distrato",$I$38-1,0)),IF(AND($L$711=0,$P$708=0),"",$L$711-1),IF($R$17="Distrato",$E855,0))),0,YEARFRAC(MAX($P$708*($B855+IF($R$17="Distrato",$I$38-1,0)),IF(AND($L$711=0,$P$708=0),"",$L$711-1),IF($R$17="Distrato",$E855,0)),MIN(W$38,$D$19),$P$20))-SUM($P855:V855)</f>
        <v>#VALUE!</v>
      </c>
      <c r="X855" s="446" t="e">
        <f>IF(OR($B855="",MIN(X$38,$D$19)&lt;MAX($P$708*($B855+IF($R$17="Distrato",$I$38-1,0)),IF(AND($L$711=0,$P$708=0),"",$L$711-1),IF($R$17="Distrato",$E855,0))),0,YEARFRAC(MAX($P$708*($B855+IF($R$17="Distrato",$I$38-1,0)),IF(AND($L$711=0,$P$708=0),"",$L$711-1),IF($R$17="Distrato",$E855,0)),MIN(X$38,$D$19),$P$20))-SUM($P855:W855)</f>
        <v>#VALUE!</v>
      </c>
      <c r="Y855" s="446" t="e">
        <f>IF(OR($B855="",MIN(Y$38,$D$19)&lt;MAX($P$708*($B855+IF($R$17="Distrato",$I$38-1,0)),IF(AND($L$711=0,$P$708=0),"",$L$711-1),IF($R$17="Distrato",$E855,0))),0,YEARFRAC(MAX($P$708*($B855+IF($R$17="Distrato",$I$38-1,0)),IF(AND($L$711=0,$P$708=0),"",$L$711-1),IF($R$17="Distrato",$E855,0)),MIN(Y$38,$D$19),$P$20))-SUM($P855:X855)</f>
        <v>#VALUE!</v>
      </c>
      <c r="Z855" s="446" t="e">
        <f>IF(OR($B855="",MIN(Z$38,$D$19)&lt;MAX($P$708*($B855+IF($R$17="Distrato",$I$38-1,0)),IF(AND($L$711=0,$P$708=0),"",$L$711-1),IF($R$17="Distrato",$E855,0))),0,YEARFRAC(MAX($P$708*($B855+IF($R$17="Distrato",$I$38-1,0)),IF(AND($L$711=0,$P$708=0),"",$L$711-1),IF($R$17="Distrato",$E855,0)),MIN(Z$38,$D$19),$P$20))-SUM($P855:Y855)</f>
        <v>#VALUE!</v>
      </c>
      <c r="AA855" s="446" t="e">
        <f>IF(OR($B855="",MIN(AA$38,$D$19)&lt;MAX($P$708*($B855+IF($R$17="Distrato",$I$38-1,0)),IF(AND($L$711=0,$P$708=0),"",$L$711-1),IF($R$17="Distrato",$E855,0))),0,YEARFRAC(MAX($P$708*($B855+IF($R$17="Distrato",$I$38-1,0)),IF(AND($L$711=0,$P$708=0),"",$L$711-1),IF($R$17="Distrato",$E855,0)),MIN(AA$38,$D$19),$P$20))-SUM($P855:Z855)</f>
        <v>#VALUE!</v>
      </c>
      <c r="AB855" s="446" t="e">
        <f>IF(OR($B855="",MIN(AB$38,$D$19)&lt;MAX($P$708*($B855+IF($R$17="Distrato",$I$38-1,0)),IF(AND($L$711=0,$P$708=0),"",$L$711-1),IF($R$17="Distrato",$E855,0))),0,YEARFRAC(MAX($P$708*($B855+IF($R$17="Distrato",$I$38-1,0)),IF(AND($L$711=0,$P$708=0),"",$L$711-1),IF($R$17="Distrato",$E855,0)),MIN(AB$38,$D$19),$P$20))-SUM($P855:AA855)</f>
        <v>#VALUE!</v>
      </c>
      <c r="AC855" s="446" t="e">
        <f>IF(OR($B855="",MIN(AC$38,$D$19)&lt;MAX($P$708*($B855+IF($R$17="Distrato",$I$38-1,0)),IF(AND($L$711=0,$P$708=0),"",$L$711-1),IF($R$17="Distrato",$E855,0))),0,YEARFRAC(MAX($P$708*($B855+IF($R$17="Distrato",$I$38-1,0)),IF(AND($L$711=0,$P$708=0),"",$L$711-1),IF($R$17="Distrato",$E855,0)),MIN(AC$38,$D$19),$P$20))-SUM($P855:AB855)</f>
        <v>#VALUE!</v>
      </c>
      <c r="AD855" s="446" t="e">
        <f>IF(OR($B855="",MIN(AD$38,$D$19)&lt;MAX($P$708*($B855+IF($R$17="Distrato",$I$38-1,0)),IF(AND($L$711=0,$P$708=0),"",$L$711-1),IF($R$17="Distrato",$E855,0))),0,YEARFRAC(MAX($P$708*($B855+IF($R$17="Distrato",$I$38-1,0)),IF(AND($L$711=0,$P$708=0),"",$L$711-1),IF($R$17="Distrato",$E855,0)),MIN(AD$38,$D$19),$P$20))-SUM($P855:AC855)</f>
        <v>#VALUE!</v>
      </c>
      <c r="AE855" s="446" t="e">
        <f>IF(OR($B855="",MIN(AE$38,$D$19)&lt;MAX($P$708*($B855+IF($R$17="Distrato",$I$38-1,0)),IF(AND($L$711=0,$P$708=0),"",$L$711-1),IF($R$17="Distrato",$E855,0))),0,YEARFRAC(MAX($P$708*($B855+IF($R$17="Distrato",$I$38-1,0)),IF(AND($L$711=0,$P$708=0),"",$L$711-1),IF($R$17="Distrato",$E855,0)),MIN(AE$38,$D$19),$P$20))-SUM($P855:AD855)</f>
        <v>#VALUE!</v>
      </c>
      <c r="AF855" s="446" t="e">
        <f>IF(OR($B855="",MIN(AF$38,$D$19)&lt;MAX($P$708*($B855+IF($R$17="Distrato",$I$38-1,0)),IF(AND($L$711=0,$P$708=0),"",$L$711-1),IF($R$17="Distrato",$E855,0))),0,YEARFRAC(MAX($P$708*($B855+IF($R$17="Distrato",$I$38-1,0)),IF(AND($L$711=0,$P$708=0),"",$L$711-1),IF($R$17="Distrato",$E855,0)),MIN(AF$38,$D$19),$P$20))-SUM($P855:AE855)</f>
        <v>#VALUE!</v>
      </c>
      <c r="AG855" s="446" t="e">
        <f>IF(OR($B855="",MIN(AG$38,$D$19)&lt;MAX($P$708*($B855+IF($R$17="Distrato",$I$38-1,0)),IF(AND($L$711=0,$P$708=0),"",$L$711-1),IF($R$17="Distrato",$E855,0))),0,YEARFRAC(MAX($P$708*($B855+IF($R$17="Distrato",$I$38-1,0)),IF(AND($L$711=0,$P$708=0),"",$L$711-1),IF($R$17="Distrato",$E855,0)),MIN(AG$38,$D$19),$P$20))-SUM($P855:AF855)</f>
        <v>#VALUE!</v>
      </c>
      <c r="AH855" s="446" t="e">
        <f>IF(OR($B855="",MIN(AH$38,$D$19)&lt;MAX($P$708*($B855+IF($R$17="Distrato",$I$38-1,0)),IF(AND($L$711=0,$P$708=0),"",$L$711-1),IF($R$17="Distrato",$E855,0))),0,YEARFRAC(MAX($P$708*($B855+IF($R$17="Distrato",$I$38-1,0)),IF(AND($L$711=0,$P$708=0),"",$L$711-1),IF($R$17="Distrato",$E855,0)),MIN(AH$38,$D$19),$P$20))-SUM($P855:AG855)</f>
        <v>#VALUE!</v>
      </c>
      <c r="AI855" s="446" t="e">
        <f>IF(OR($B855="",MIN(AI$38,$D$19)&lt;MAX($P$708*($B855+IF($R$17="Distrato",$I$38-1,0)),IF(AND($L$711=0,$P$708=0),"",$L$711-1),IF($R$17="Distrato",$E855,0))),0,YEARFRAC(MAX($P$708*($B855+IF($R$17="Distrato",$I$38-1,0)),IF(AND($L$711=0,$P$708=0),"",$L$711-1),IF($R$17="Distrato",$E855,0)),MIN(AI$38,$D$19),$P$20))-SUM($P855:AH855)</f>
        <v>#VALUE!</v>
      </c>
      <c r="AJ855" s="446" t="e">
        <f>IF(OR($B855="",MIN(AJ$38,$D$19)&lt;MAX($P$708*($B855+IF($R$17="Distrato",$I$38-1,0)),IF(AND($L$711=0,$P$708=0),"",$L$711-1),IF($R$17="Distrato",$E855,0))),0,YEARFRAC(MAX($P$708*($B855+IF($R$17="Distrato",$I$38-1,0)),IF(AND($L$711=0,$P$708=0),"",$L$711-1),IF($R$17="Distrato",$E855,0)),MIN(AJ$38,$D$19),$P$20))-SUM($P855:AI855)</f>
        <v>#VALUE!</v>
      </c>
      <c r="AK855" s="446" t="e">
        <f>IF(OR($B855="",MIN(AK$38,$D$19)&lt;MAX($P$708*($B855+IF($R$17="Distrato",$I$38-1,0)),IF(AND($L$711=0,$P$708=0),"",$L$711-1),IF($R$17="Distrato",$E855,0))),0,YEARFRAC(MAX($P$708*($B855+IF($R$17="Distrato",$I$38-1,0)),IF(AND($L$711=0,$P$708=0),"",$L$711-1),IF($R$17="Distrato",$E855,0)),MIN(AK$38,$D$19),$P$20))-SUM($P855:AJ855)</f>
        <v>#VALUE!</v>
      </c>
      <c r="AL855" s="446" t="e">
        <f>IF(OR($B855="",MIN(AL$38,$D$19)&lt;MAX($P$708*($B855+IF($R$17="Distrato",$I$38-1,0)),IF(AND($L$711=0,$P$708=0),"",$L$711-1),IF($R$17="Distrato",$E855,0))),0,YEARFRAC(MAX($P$708*($B855+IF($R$17="Distrato",$I$38-1,0)),IF(AND($L$711=0,$P$708=0),"",$L$711-1),IF($R$17="Distrato",$E855,0)),MIN(AL$38,$D$19),$P$20))-SUM($P855:AK855)</f>
        <v>#VALUE!</v>
      </c>
      <c r="AM855" s="446" t="e">
        <f>IF(OR($B855="",MIN(AM$38,$D$19)&lt;MAX($P$708*($B855+IF($R$17="Distrato",$I$38-1,0)),IF(AND($L$711=0,$P$708=0),"",$L$711-1),IF($R$17="Distrato",$E855,0))),0,YEARFRAC(MAX($P$708*($B855+IF($R$17="Distrato",$I$38-1,0)),IF(AND($L$711=0,$P$708=0),"",$L$711-1),IF($R$17="Distrato",$E855,0)),MIN(AM$38,$D$19),$P$20))-SUM($P855:AL855)</f>
        <v>#VALUE!</v>
      </c>
      <c r="AN855" s="446" t="e">
        <f>IF(OR($B855="",MIN(AN$38,$D$19)&lt;MAX($P$708*($B855+IF($R$17="Distrato",$I$38-1,0)),IF(AND($L$711=0,$P$708=0),"",$L$711-1),IF($R$17="Distrato",$E855,0))),0,YEARFRAC(MAX($P$708*($B855+IF($R$17="Distrato",$I$38-1,0)),IF(AND($L$711=0,$P$708=0),"",$L$711-1),IF($R$17="Distrato",$E855,0)),MIN(AN$38,$D$19),$P$20))-SUM($P855:AM855)</f>
        <v>#VALUE!</v>
      </c>
      <c r="AO855" s="446" t="e">
        <f>IF(OR($B855="",MIN(AO$38,$D$19)&lt;MAX($P$708*($B855+IF($R$17="Distrato",$I$38-1,0)),IF(AND($L$711=0,$P$708=0),"",$L$711-1),IF($R$17="Distrato",$E855,0))),0,YEARFRAC(MAX($P$708*($B855+IF($R$17="Distrato",$I$38-1,0)),IF(AND($L$711=0,$P$708=0),"",$L$711-1),IF($R$17="Distrato",$E855,0)),MIN(AO$38,$D$19),$P$20))-SUM($P855:AN855)</f>
        <v>#VALUE!</v>
      </c>
      <c r="AP855" s="446" t="e">
        <f>IF(OR($B855="",MIN(AP$38,$D$19)&lt;MAX($P$708*($B855+IF($R$17="Distrato",$I$38-1,0)),IF(AND($L$711=0,$P$708=0),"",$L$711-1),IF($R$17="Distrato",$E855,0))),0,YEARFRAC(MAX($P$708*($B855+IF($R$17="Distrato",$I$38-1,0)),IF(AND($L$711=0,$P$708=0),"",$L$711-1),IF($R$17="Distrato",$E855,0)),MIN(AP$38,$D$19),$P$20))-SUM($P855:AO855)</f>
        <v>#VALUE!</v>
      </c>
      <c r="AQ855" s="446" t="e">
        <f>IF(OR($B855="",MIN(AQ$38,$D$19)&lt;MAX($P$708*($B855+IF($R$17="Distrato",$I$38-1,0)),IF(AND($L$711=0,$P$708=0),"",$L$711-1),IF($R$17="Distrato",$E855,0))),0,YEARFRAC(MAX($P$708*($B855+IF($R$17="Distrato",$I$38-1,0)),IF(AND($L$711=0,$P$708=0),"",$L$711-1),IF($R$17="Distrato",$E855,0)),MIN(AQ$38,$D$19),$P$20))-SUM($P855:AP855)</f>
        <v>#VALUE!</v>
      </c>
      <c r="AR855" s="446" t="e">
        <f>IF(OR($B855="",MIN(AR$38,$D$19)&lt;MAX($P$708*($B855+IF($R$17="Distrato",$I$38-1,0)),IF(AND($L$711=0,$P$708=0),"",$L$711-1),IF($R$17="Distrato",$E855,0))),0,YEARFRAC(MAX($P$708*($B855+IF($R$17="Distrato",$I$38-1,0)),IF(AND($L$711=0,$P$708=0),"",$L$711-1),IF($R$17="Distrato",$E855,0)),MIN(AR$38,$D$19),$P$20))-SUM($P855:AQ855)</f>
        <v>#VALUE!</v>
      </c>
      <c r="AS855" s="446" t="e">
        <f>IF(OR($B855="",MIN(AS$38,$D$19)&lt;MAX($P$708*($B855+IF($R$17="Distrato",$I$38-1,0)),IF(AND($L$711=0,$P$708=0),"",$L$711-1),IF($R$17="Distrato",$E855,0))),0,YEARFRAC(MAX($P$708*($B855+IF($R$17="Distrato",$I$38-1,0)),IF(AND($L$711=0,$P$708=0),"",$L$711-1),IF($R$17="Distrato",$E855,0)),MIN(AS$38,$D$19),$P$20))-SUM($P855:AR855)</f>
        <v>#VALUE!</v>
      </c>
      <c r="AT855" s="446" t="e">
        <f>IF(OR($B855="",MIN(AT$38,$D$19)&lt;MAX($P$708*($B855+IF($R$17="Distrato",$I$38-1,0)),IF(AND($L$711=0,$P$708=0),"",$L$711-1),IF($R$17="Distrato",$E855,0))),0,YEARFRAC(MAX($P$708*($B855+IF($R$17="Distrato",$I$38-1,0)),IF(AND($L$711=0,$P$708=0),"",$L$711-1),IF($R$17="Distrato",$E855,0)),MIN(AT$38,$D$19),$P$20))-SUM($P855:AS855)</f>
        <v>#VALUE!</v>
      </c>
      <c r="AU855" s="446" t="e">
        <f>IF(OR($B855="",MIN(AU$38,$D$19)&lt;MAX($P$708*($B855+IF($R$17="Distrato",$I$38-1,0)),IF(AND($L$711=0,$P$708=0),"",$L$711-1),IF($R$17="Distrato",$E855,0))),0,YEARFRAC(MAX($P$708*($B855+IF($R$17="Distrato",$I$38-1,0)),IF(AND($L$711=0,$P$708=0),"",$L$711-1),IF($R$17="Distrato",$E855,0)),MIN(AU$38,$D$19),$P$20))-SUM($P855:AT855)</f>
        <v>#VALUE!</v>
      </c>
      <c r="AV855" s="446" t="e">
        <f>IF(OR($B855="",MIN(AV$38,$D$19)&lt;MAX($P$708*($B855+IF($R$17="Distrato",$I$38-1,0)),IF(AND($L$711=0,$P$708=0),"",$L$711-1),IF($R$17="Distrato",$E855,0))),0,YEARFRAC(MAX($P$708*($B855+IF($R$17="Distrato",$I$38-1,0)),IF(AND($L$711=0,$P$708=0),"",$L$711-1),IF($R$17="Distrato",$E855,0)),MIN(AV$38,$D$19),$P$20))-SUM($P855:AU855)</f>
        <v>#VALUE!</v>
      </c>
      <c r="AW855" s="446" t="e">
        <f>IF(OR($B855="",MIN(AW$38,$D$19)&lt;MAX($P$708*($B855+IF($R$17="Distrato",$I$38-1,0)),IF(AND($L$711=0,$P$708=0),"",$L$711-1),IF($R$17="Distrato",$E855,0))),0,YEARFRAC(MAX($P$708*($B855+IF($R$17="Distrato",$I$38-1,0)),IF(AND($L$711=0,$P$708=0),"",$L$711-1),IF($R$17="Distrato",$E855,0)),MIN(AW$38,$D$19),$P$20))-SUM($P855:AV855)</f>
        <v>#VALUE!</v>
      </c>
      <c r="AX855" s="446" t="e">
        <f>IF(OR($B855="",MIN(AX$38,$D$19)&lt;MAX($P$708*($B855+IF($R$17="Distrato",$I$38-1,0)),IF(AND($L$711=0,$P$708=0),"",$L$711-1),IF($R$17="Distrato",$E855,0))),0,YEARFRAC(MAX($P$708*($B855+IF($R$17="Distrato",$I$38-1,0)),IF(AND($L$711=0,$P$708=0),"",$L$711-1),IF($R$17="Distrato",$E855,0)),MIN(AX$38,$D$19),$P$20))-SUM($P855:AW855)</f>
        <v>#VALUE!</v>
      </c>
      <c r="AY855" s="446" t="e">
        <f>IF(OR($B855="",MIN(AY$38,$D$19)&lt;MAX($P$708*($B855+IF($R$17="Distrato",$I$38-1,0)),IF(AND($L$711=0,$P$708=0),"",$L$711-1),IF($R$17="Distrato",$E855,0))),0,YEARFRAC(MAX($P$708*($B855+IF($R$17="Distrato",$I$38-1,0)),IF(AND($L$711=0,$P$708=0),"",$L$711-1),IF($R$17="Distrato",$E855,0)),MIN(AY$38,$D$19),$P$20))-SUM($P855:AX855)</f>
        <v>#VALUE!</v>
      </c>
      <c r="AZ855" s="446" t="e">
        <f>IF(OR($B855="",MIN(AZ$38,$D$19)&lt;MAX($P$708*($B855+IF($R$17="Distrato",$I$38-1,0)),IF(AND($L$711=0,$P$708=0),"",$L$711-1),IF($R$17="Distrato",$E855,0))),0,YEARFRAC(MAX($P$708*($B855+IF($R$17="Distrato",$I$38-1,0)),IF(AND($L$711=0,$P$708=0),"",$L$711-1),IF($R$17="Distrato",$E855,0)),MIN(AZ$38,$D$19),$P$20))-SUM($P855:AY855)</f>
        <v>#VALUE!</v>
      </c>
      <c r="BA855" s="446" t="e">
        <f>IF(OR($B855="",MIN(BA$38,$D$19)&lt;MAX($P$708*($B855+IF($R$17="Distrato",$I$38-1,0)),IF(AND($L$711=0,$P$708=0),"",$L$711-1),IF($R$17="Distrato",$E855,0))),0,YEARFRAC(MAX($P$708*($B855+IF($R$17="Distrato",$I$38-1,0)),IF(AND($L$711=0,$P$708=0),"",$L$711-1),IF($R$17="Distrato",$E855,0)),MIN(BA$38,$D$19),$P$20))-SUM($P855:AZ855)</f>
        <v>#VALUE!</v>
      </c>
      <c r="BB855" s="447"/>
    </row>
    <row r="856" spans="1:54" s="446" customFormat="1" ht="11.25" hidden="1" customHeight="1" x14ac:dyDescent="0.2">
      <c r="A856" s="235"/>
      <c r="B856" s="236"/>
      <c r="C856" s="29" t="str">
        <f>IF(B856="","",IF($L$709=$BL$25,VLOOKUP(DATE(YEAR($D$19),MONTH($D$19)-1,1),ÍNDICES!$A:$DE,HLOOKUP($BL$25,ÍNDICES!$B$3:$T$4,2)+11)-VLOOKUP(B856,ÍNDICES!$A:$DE,HLOOKUP($BL$25,ÍNDICES!$B$3:$T$4,2)+11)+1%,IF(C$712=$W$26,$J$35,IF(ISERROR(IF(B856&gt;$D$19,1,VLOOKUP(DATE(YEAR(B856),MONTH(B856)+IF($C$709=$S$23,1,0),1),ÍNDICES!$A:$DE,$Z$709+1))),"",IF(B856&gt;$D$19,1,VLOOKUP(DATE(YEAR(B856),MONTH(B856)+IF($C$709=$S$23,1,0),1),ÍNDICES!$A:$DE,$Z$709+1))))))</f>
        <v/>
      </c>
      <c r="D856" s="155"/>
      <c r="E856" s="88"/>
      <c r="F856" s="88"/>
      <c r="G856" s="88"/>
      <c r="H856" s="118"/>
      <c r="I856" s="182">
        <f t="shared" si="129"/>
        <v>0</v>
      </c>
      <c r="J856" s="20">
        <f t="shared" ca="1" si="130"/>
        <v>0</v>
      </c>
      <c r="K856" s="5">
        <f t="shared" ca="1" si="131"/>
        <v>0</v>
      </c>
      <c r="L856" s="61">
        <f t="shared" ca="1" si="132"/>
        <v>0</v>
      </c>
      <c r="M856" s="64">
        <f t="shared" si="133"/>
        <v>0</v>
      </c>
      <c r="N856" s="151"/>
      <c r="O856" s="5">
        <f t="shared" ca="1" si="134"/>
        <v>0</v>
      </c>
      <c r="P856" s="446" t="e">
        <f t="shared" si="135"/>
        <v>#VALUE!</v>
      </c>
      <c r="Q856" s="446" t="e">
        <f>IF(OR($B856="",MIN(Q$38,$D$19)&lt;MAX($P$708*($B856+IF($R$17="Distrato",$I$38-1,0)),IF(AND($L$711=0,$P$708=0),"",$L$711-1),IF($R$17="Distrato",$E856,0))),0,YEARFRAC(MAX($P$708*($B856+IF($R$17="Distrato",$I$38-1,0)),IF(AND($L$711=0,$P$708=0),"",$L$711-1),IF($R$17="Distrato",$E856,0)),MIN(Q$38,$D$19),$P$20))-SUM($P856:P856)</f>
        <v>#VALUE!</v>
      </c>
      <c r="R856" s="446" t="e">
        <f>IF(OR($B856="",MIN(R$38,$D$19)&lt;MAX($P$708*($B856+IF($R$17="Distrato",$I$38-1,0)),IF(AND($L$711=0,$P$708=0),"",$L$711-1),IF($R$17="Distrato",$E856,0))),0,YEARFRAC(MAX($P$708*($B856+IF($R$17="Distrato",$I$38-1,0)),IF(AND($L$711=0,$P$708=0),"",$L$711-1),IF($R$17="Distrato",$E856,0)),MIN(R$38,$D$19),$P$20))-SUM($P856:Q856)</f>
        <v>#VALUE!</v>
      </c>
      <c r="S856" s="446" t="e">
        <f>IF(OR($B856="",MIN(S$38,$D$19)&lt;MAX($P$708*($B856+IF($R$17="Distrato",$I$38-1,0)),IF(AND($L$711=0,$P$708=0),"",$L$711-1),IF($R$17="Distrato",$E856,0))),0,YEARFRAC(MAX($P$708*($B856+IF($R$17="Distrato",$I$38-1,0)),IF(AND($L$711=0,$P$708=0),"",$L$711-1),IF($R$17="Distrato",$E856,0)),MIN(S$38,$D$19),$P$20))-SUM($P856:R856)</f>
        <v>#VALUE!</v>
      </c>
      <c r="T856" s="446" t="e">
        <f>IF(OR($B856="",MIN(T$38,$D$19)&lt;MAX($P$708*($B856+IF($R$17="Distrato",$I$38-1,0)),IF(AND($L$711=0,$P$708=0),"",$L$711-1),IF($R$17="Distrato",$E856,0))),0,YEARFRAC(MAX($P$708*($B856+IF($R$17="Distrato",$I$38-1,0)),IF(AND($L$711=0,$P$708=0),"",$L$711-1),IF($R$17="Distrato",$E856,0)),MIN(T$38,$D$19),$P$20))-SUM($P856:S856)</f>
        <v>#VALUE!</v>
      </c>
      <c r="U856" s="446" t="e">
        <f>IF(OR($B856="",MIN(U$38,$D$19)&lt;MAX($P$708*($B856+IF($R$17="Distrato",$I$38-1,0)),IF(AND($L$711=0,$P$708=0),"",$L$711-1),IF($R$17="Distrato",$E856,0))),0,YEARFRAC(MAX($P$708*($B856+IF($R$17="Distrato",$I$38-1,0)),IF(AND($L$711=0,$P$708=0),"",$L$711-1),IF($R$17="Distrato",$E856,0)),MIN(U$38,$D$19),$P$20))-SUM($P856:T856)</f>
        <v>#VALUE!</v>
      </c>
      <c r="V856" s="446" t="e">
        <f>IF(OR($B856="",MIN(V$38,$D$19)&lt;MAX($P$708*($B856+IF($R$17="Distrato",$I$38-1,0)),IF(AND($L$711=0,$P$708=0),"",$L$711-1),IF($R$17="Distrato",$E856,0))),0,YEARFRAC(MAX($P$708*($B856+IF($R$17="Distrato",$I$38-1,0)),IF(AND($L$711=0,$P$708=0),"",$L$711-1),IF($R$17="Distrato",$E856,0)),MIN(V$38,$D$19),$P$20))-SUM($P856:U856)</f>
        <v>#VALUE!</v>
      </c>
      <c r="W856" s="446" t="e">
        <f>IF(OR($B856="",MIN(W$38,$D$19)&lt;MAX($P$708*($B856+IF($R$17="Distrato",$I$38-1,0)),IF(AND($L$711=0,$P$708=0),"",$L$711-1),IF($R$17="Distrato",$E856,0))),0,YEARFRAC(MAX($P$708*($B856+IF($R$17="Distrato",$I$38-1,0)),IF(AND($L$711=0,$P$708=0),"",$L$711-1),IF($R$17="Distrato",$E856,0)),MIN(W$38,$D$19),$P$20))-SUM($P856:V856)</f>
        <v>#VALUE!</v>
      </c>
      <c r="X856" s="446" t="e">
        <f>IF(OR($B856="",MIN(X$38,$D$19)&lt;MAX($P$708*($B856+IF($R$17="Distrato",$I$38-1,0)),IF(AND($L$711=0,$P$708=0),"",$L$711-1),IF($R$17="Distrato",$E856,0))),0,YEARFRAC(MAX($P$708*($B856+IF($R$17="Distrato",$I$38-1,0)),IF(AND($L$711=0,$P$708=0),"",$L$711-1),IF($R$17="Distrato",$E856,0)),MIN(X$38,$D$19),$P$20))-SUM($P856:W856)</f>
        <v>#VALUE!</v>
      </c>
      <c r="Y856" s="446" t="e">
        <f>IF(OR($B856="",MIN(Y$38,$D$19)&lt;MAX($P$708*($B856+IF($R$17="Distrato",$I$38-1,0)),IF(AND($L$711=0,$P$708=0),"",$L$711-1),IF($R$17="Distrato",$E856,0))),0,YEARFRAC(MAX($P$708*($B856+IF($R$17="Distrato",$I$38-1,0)),IF(AND($L$711=0,$P$708=0),"",$L$711-1),IF($R$17="Distrato",$E856,0)),MIN(Y$38,$D$19),$P$20))-SUM($P856:X856)</f>
        <v>#VALUE!</v>
      </c>
      <c r="Z856" s="446" t="e">
        <f>IF(OR($B856="",MIN(Z$38,$D$19)&lt;MAX($P$708*($B856+IF($R$17="Distrato",$I$38-1,0)),IF(AND($L$711=0,$P$708=0),"",$L$711-1),IF($R$17="Distrato",$E856,0))),0,YEARFRAC(MAX($P$708*($B856+IF($R$17="Distrato",$I$38-1,0)),IF(AND($L$711=0,$P$708=0),"",$L$711-1),IF($R$17="Distrato",$E856,0)),MIN(Z$38,$D$19),$P$20))-SUM($P856:Y856)</f>
        <v>#VALUE!</v>
      </c>
      <c r="AA856" s="446" t="e">
        <f>IF(OR($B856="",MIN(AA$38,$D$19)&lt;MAX($P$708*($B856+IF($R$17="Distrato",$I$38-1,0)),IF(AND($L$711=0,$P$708=0),"",$L$711-1),IF($R$17="Distrato",$E856,0))),0,YEARFRAC(MAX($P$708*($B856+IF($R$17="Distrato",$I$38-1,0)),IF(AND($L$711=0,$P$708=0),"",$L$711-1),IF($R$17="Distrato",$E856,0)),MIN(AA$38,$D$19),$P$20))-SUM($P856:Z856)</f>
        <v>#VALUE!</v>
      </c>
      <c r="AB856" s="446" t="e">
        <f>IF(OR($B856="",MIN(AB$38,$D$19)&lt;MAX($P$708*($B856+IF($R$17="Distrato",$I$38-1,0)),IF(AND($L$711=0,$P$708=0),"",$L$711-1),IF($R$17="Distrato",$E856,0))),0,YEARFRAC(MAX($P$708*($B856+IF($R$17="Distrato",$I$38-1,0)),IF(AND($L$711=0,$P$708=0),"",$L$711-1),IF($R$17="Distrato",$E856,0)),MIN(AB$38,$D$19),$P$20))-SUM($P856:AA856)</f>
        <v>#VALUE!</v>
      </c>
      <c r="AC856" s="446" t="e">
        <f>IF(OR($B856="",MIN(AC$38,$D$19)&lt;MAX($P$708*($B856+IF($R$17="Distrato",$I$38-1,0)),IF(AND($L$711=0,$P$708=0),"",$L$711-1),IF($R$17="Distrato",$E856,0))),0,YEARFRAC(MAX($P$708*($B856+IF($R$17="Distrato",$I$38-1,0)),IF(AND($L$711=0,$P$708=0),"",$L$711-1),IF($R$17="Distrato",$E856,0)),MIN(AC$38,$D$19),$P$20))-SUM($P856:AB856)</f>
        <v>#VALUE!</v>
      </c>
      <c r="AD856" s="446" t="e">
        <f>IF(OR($B856="",MIN(AD$38,$D$19)&lt;MAX($P$708*($B856+IF($R$17="Distrato",$I$38-1,0)),IF(AND($L$711=0,$P$708=0),"",$L$711-1),IF($R$17="Distrato",$E856,0))),0,YEARFRAC(MAX($P$708*($B856+IF($R$17="Distrato",$I$38-1,0)),IF(AND($L$711=0,$P$708=0),"",$L$711-1),IF($R$17="Distrato",$E856,0)),MIN(AD$38,$D$19),$P$20))-SUM($P856:AC856)</f>
        <v>#VALUE!</v>
      </c>
      <c r="AE856" s="446" t="e">
        <f>IF(OR($B856="",MIN(AE$38,$D$19)&lt;MAX($P$708*($B856+IF($R$17="Distrato",$I$38-1,0)),IF(AND($L$711=0,$P$708=0),"",$L$711-1),IF($R$17="Distrato",$E856,0))),0,YEARFRAC(MAX($P$708*($B856+IF($R$17="Distrato",$I$38-1,0)),IF(AND($L$711=0,$P$708=0),"",$L$711-1),IF($R$17="Distrato",$E856,0)),MIN(AE$38,$D$19),$P$20))-SUM($P856:AD856)</f>
        <v>#VALUE!</v>
      </c>
      <c r="AF856" s="446" t="e">
        <f>IF(OR($B856="",MIN(AF$38,$D$19)&lt;MAX($P$708*($B856+IF($R$17="Distrato",$I$38-1,0)),IF(AND($L$711=0,$P$708=0),"",$L$711-1),IF($R$17="Distrato",$E856,0))),0,YEARFRAC(MAX($P$708*($B856+IF($R$17="Distrato",$I$38-1,0)),IF(AND($L$711=0,$P$708=0),"",$L$711-1),IF($R$17="Distrato",$E856,0)),MIN(AF$38,$D$19),$P$20))-SUM($P856:AE856)</f>
        <v>#VALUE!</v>
      </c>
      <c r="AG856" s="446" t="e">
        <f>IF(OR($B856="",MIN(AG$38,$D$19)&lt;MAX($P$708*($B856+IF($R$17="Distrato",$I$38-1,0)),IF(AND($L$711=0,$P$708=0),"",$L$711-1),IF($R$17="Distrato",$E856,0))),0,YEARFRAC(MAX($P$708*($B856+IF($R$17="Distrato",$I$38-1,0)),IF(AND($L$711=0,$P$708=0),"",$L$711-1),IF($R$17="Distrato",$E856,0)),MIN(AG$38,$D$19),$P$20))-SUM($P856:AF856)</f>
        <v>#VALUE!</v>
      </c>
      <c r="AH856" s="446" t="e">
        <f>IF(OR($B856="",MIN(AH$38,$D$19)&lt;MAX($P$708*($B856+IF($R$17="Distrato",$I$38-1,0)),IF(AND($L$711=0,$P$708=0),"",$L$711-1),IF($R$17="Distrato",$E856,0))),0,YEARFRAC(MAX($P$708*($B856+IF($R$17="Distrato",$I$38-1,0)),IF(AND($L$711=0,$P$708=0),"",$L$711-1),IF($R$17="Distrato",$E856,0)),MIN(AH$38,$D$19),$P$20))-SUM($P856:AG856)</f>
        <v>#VALUE!</v>
      </c>
      <c r="AI856" s="446" t="e">
        <f>IF(OR($B856="",MIN(AI$38,$D$19)&lt;MAX($P$708*($B856+IF($R$17="Distrato",$I$38-1,0)),IF(AND($L$711=0,$P$708=0),"",$L$711-1),IF($R$17="Distrato",$E856,0))),0,YEARFRAC(MAX($P$708*($B856+IF($R$17="Distrato",$I$38-1,0)),IF(AND($L$711=0,$P$708=0),"",$L$711-1),IF($R$17="Distrato",$E856,0)),MIN(AI$38,$D$19),$P$20))-SUM($P856:AH856)</f>
        <v>#VALUE!</v>
      </c>
      <c r="AJ856" s="446" t="e">
        <f>IF(OR($B856="",MIN(AJ$38,$D$19)&lt;MAX($P$708*($B856+IF($R$17="Distrato",$I$38-1,0)),IF(AND($L$711=0,$P$708=0),"",$L$711-1),IF($R$17="Distrato",$E856,0))),0,YEARFRAC(MAX($P$708*($B856+IF($R$17="Distrato",$I$38-1,0)),IF(AND($L$711=0,$P$708=0),"",$L$711-1),IF($R$17="Distrato",$E856,0)),MIN(AJ$38,$D$19),$P$20))-SUM($P856:AI856)</f>
        <v>#VALUE!</v>
      </c>
      <c r="AK856" s="446" t="e">
        <f>IF(OR($B856="",MIN(AK$38,$D$19)&lt;MAX($P$708*($B856+IF($R$17="Distrato",$I$38-1,0)),IF(AND($L$711=0,$P$708=0),"",$L$711-1),IF($R$17="Distrato",$E856,0))),0,YEARFRAC(MAX($P$708*($B856+IF($R$17="Distrato",$I$38-1,0)),IF(AND($L$711=0,$P$708=0),"",$L$711-1),IF($R$17="Distrato",$E856,0)),MIN(AK$38,$D$19),$P$20))-SUM($P856:AJ856)</f>
        <v>#VALUE!</v>
      </c>
      <c r="AL856" s="446" t="e">
        <f>IF(OR($B856="",MIN(AL$38,$D$19)&lt;MAX($P$708*($B856+IF($R$17="Distrato",$I$38-1,0)),IF(AND($L$711=0,$P$708=0),"",$L$711-1),IF($R$17="Distrato",$E856,0))),0,YEARFRAC(MAX($P$708*($B856+IF($R$17="Distrato",$I$38-1,0)),IF(AND($L$711=0,$P$708=0),"",$L$711-1),IF($R$17="Distrato",$E856,0)),MIN(AL$38,$D$19),$P$20))-SUM($P856:AK856)</f>
        <v>#VALUE!</v>
      </c>
      <c r="AM856" s="446" t="e">
        <f>IF(OR($B856="",MIN(AM$38,$D$19)&lt;MAX($P$708*($B856+IF($R$17="Distrato",$I$38-1,0)),IF(AND($L$711=0,$P$708=0),"",$L$711-1),IF($R$17="Distrato",$E856,0))),0,YEARFRAC(MAX($P$708*($B856+IF($R$17="Distrato",$I$38-1,0)),IF(AND($L$711=0,$P$708=0),"",$L$711-1),IF($R$17="Distrato",$E856,0)),MIN(AM$38,$D$19),$P$20))-SUM($P856:AL856)</f>
        <v>#VALUE!</v>
      </c>
      <c r="AN856" s="446" t="e">
        <f>IF(OR($B856="",MIN(AN$38,$D$19)&lt;MAX($P$708*($B856+IF($R$17="Distrato",$I$38-1,0)),IF(AND($L$711=0,$P$708=0),"",$L$711-1),IF($R$17="Distrato",$E856,0))),0,YEARFRAC(MAX($P$708*($B856+IF($R$17="Distrato",$I$38-1,0)),IF(AND($L$711=0,$P$708=0),"",$L$711-1),IF($R$17="Distrato",$E856,0)),MIN(AN$38,$D$19),$P$20))-SUM($P856:AM856)</f>
        <v>#VALUE!</v>
      </c>
      <c r="AO856" s="446" t="e">
        <f>IF(OR($B856="",MIN(AO$38,$D$19)&lt;MAX($P$708*($B856+IF($R$17="Distrato",$I$38-1,0)),IF(AND($L$711=0,$P$708=0),"",$L$711-1),IF($R$17="Distrato",$E856,0))),0,YEARFRAC(MAX($P$708*($B856+IF($R$17="Distrato",$I$38-1,0)),IF(AND($L$711=0,$P$708=0),"",$L$711-1),IF($R$17="Distrato",$E856,0)),MIN(AO$38,$D$19),$P$20))-SUM($P856:AN856)</f>
        <v>#VALUE!</v>
      </c>
      <c r="AP856" s="446" t="e">
        <f>IF(OR($B856="",MIN(AP$38,$D$19)&lt;MAX($P$708*($B856+IF($R$17="Distrato",$I$38-1,0)),IF(AND($L$711=0,$P$708=0),"",$L$711-1),IF($R$17="Distrato",$E856,0))),0,YEARFRAC(MAX($P$708*($B856+IF($R$17="Distrato",$I$38-1,0)),IF(AND($L$711=0,$P$708=0),"",$L$711-1),IF($R$17="Distrato",$E856,0)),MIN(AP$38,$D$19),$P$20))-SUM($P856:AO856)</f>
        <v>#VALUE!</v>
      </c>
      <c r="AQ856" s="446" t="e">
        <f>IF(OR($B856="",MIN(AQ$38,$D$19)&lt;MAX($P$708*($B856+IF($R$17="Distrato",$I$38-1,0)),IF(AND($L$711=0,$P$708=0),"",$L$711-1),IF($R$17="Distrato",$E856,0))),0,YEARFRAC(MAX($P$708*($B856+IF($R$17="Distrato",$I$38-1,0)),IF(AND($L$711=0,$P$708=0),"",$L$711-1),IF($R$17="Distrato",$E856,0)),MIN(AQ$38,$D$19),$P$20))-SUM($P856:AP856)</f>
        <v>#VALUE!</v>
      </c>
      <c r="AR856" s="446" t="e">
        <f>IF(OR($B856="",MIN(AR$38,$D$19)&lt;MAX($P$708*($B856+IF($R$17="Distrato",$I$38-1,0)),IF(AND($L$711=0,$P$708=0),"",$L$711-1),IF($R$17="Distrato",$E856,0))),0,YEARFRAC(MAX($P$708*($B856+IF($R$17="Distrato",$I$38-1,0)),IF(AND($L$711=0,$P$708=0),"",$L$711-1),IF($R$17="Distrato",$E856,0)),MIN(AR$38,$D$19),$P$20))-SUM($P856:AQ856)</f>
        <v>#VALUE!</v>
      </c>
      <c r="AS856" s="446" t="e">
        <f>IF(OR($B856="",MIN(AS$38,$D$19)&lt;MAX($P$708*($B856+IF($R$17="Distrato",$I$38-1,0)),IF(AND($L$711=0,$P$708=0),"",$L$711-1),IF($R$17="Distrato",$E856,0))),0,YEARFRAC(MAX($P$708*($B856+IF($R$17="Distrato",$I$38-1,0)),IF(AND($L$711=0,$P$708=0),"",$L$711-1),IF($R$17="Distrato",$E856,0)),MIN(AS$38,$D$19),$P$20))-SUM($P856:AR856)</f>
        <v>#VALUE!</v>
      </c>
      <c r="AT856" s="446" t="e">
        <f>IF(OR($B856="",MIN(AT$38,$D$19)&lt;MAX($P$708*($B856+IF($R$17="Distrato",$I$38-1,0)),IF(AND($L$711=0,$P$708=0),"",$L$711-1),IF($R$17="Distrato",$E856,0))),0,YEARFRAC(MAX($P$708*($B856+IF($R$17="Distrato",$I$38-1,0)),IF(AND($L$711=0,$P$708=0),"",$L$711-1),IF($R$17="Distrato",$E856,0)),MIN(AT$38,$D$19),$P$20))-SUM($P856:AS856)</f>
        <v>#VALUE!</v>
      </c>
      <c r="AU856" s="446" t="e">
        <f>IF(OR($B856="",MIN(AU$38,$D$19)&lt;MAX($P$708*($B856+IF($R$17="Distrato",$I$38-1,0)),IF(AND($L$711=0,$P$708=0),"",$L$711-1),IF($R$17="Distrato",$E856,0))),0,YEARFRAC(MAX($P$708*($B856+IF($R$17="Distrato",$I$38-1,0)),IF(AND($L$711=0,$P$708=0),"",$L$711-1),IF($R$17="Distrato",$E856,0)),MIN(AU$38,$D$19),$P$20))-SUM($P856:AT856)</f>
        <v>#VALUE!</v>
      </c>
      <c r="AV856" s="446" t="e">
        <f>IF(OR($B856="",MIN(AV$38,$D$19)&lt;MAX($P$708*($B856+IF($R$17="Distrato",$I$38-1,0)),IF(AND($L$711=0,$P$708=0),"",$L$711-1),IF($R$17="Distrato",$E856,0))),0,YEARFRAC(MAX($P$708*($B856+IF($R$17="Distrato",$I$38-1,0)),IF(AND($L$711=0,$P$708=0),"",$L$711-1),IF($R$17="Distrato",$E856,0)),MIN(AV$38,$D$19),$P$20))-SUM($P856:AU856)</f>
        <v>#VALUE!</v>
      </c>
      <c r="AW856" s="446" t="e">
        <f>IF(OR($B856="",MIN(AW$38,$D$19)&lt;MAX($P$708*($B856+IF($R$17="Distrato",$I$38-1,0)),IF(AND($L$711=0,$P$708=0),"",$L$711-1),IF($R$17="Distrato",$E856,0))),0,YEARFRAC(MAX($P$708*($B856+IF($R$17="Distrato",$I$38-1,0)),IF(AND($L$711=0,$P$708=0),"",$L$711-1),IF($R$17="Distrato",$E856,0)),MIN(AW$38,$D$19),$P$20))-SUM($P856:AV856)</f>
        <v>#VALUE!</v>
      </c>
      <c r="AX856" s="446" t="e">
        <f>IF(OR($B856="",MIN(AX$38,$D$19)&lt;MAX($P$708*($B856+IF($R$17="Distrato",$I$38-1,0)),IF(AND($L$711=0,$P$708=0),"",$L$711-1),IF($R$17="Distrato",$E856,0))),0,YEARFRAC(MAX($P$708*($B856+IF($R$17="Distrato",$I$38-1,0)),IF(AND($L$711=0,$P$708=0),"",$L$711-1),IF($R$17="Distrato",$E856,0)),MIN(AX$38,$D$19),$P$20))-SUM($P856:AW856)</f>
        <v>#VALUE!</v>
      </c>
      <c r="AY856" s="446" t="e">
        <f>IF(OR($B856="",MIN(AY$38,$D$19)&lt;MAX($P$708*($B856+IF($R$17="Distrato",$I$38-1,0)),IF(AND($L$711=0,$P$708=0),"",$L$711-1),IF($R$17="Distrato",$E856,0))),0,YEARFRAC(MAX($P$708*($B856+IF($R$17="Distrato",$I$38-1,0)),IF(AND($L$711=0,$P$708=0),"",$L$711-1),IF($R$17="Distrato",$E856,0)),MIN(AY$38,$D$19),$P$20))-SUM($P856:AX856)</f>
        <v>#VALUE!</v>
      </c>
      <c r="AZ856" s="446" t="e">
        <f>IF(OR($B856="",MIN(AZ$38,$D$19)&lt;MAX($P$708*($B856+IF($R$17="Distrato",$I$38-1,0)),IF(AND($L$711=0,$P$708=0),"",$L$711-1),IF($R$17="Distrato",$E856,0))),0,YEARFRAC(MAX($P$708*($B856+IF($R$17="Distrato",$I$38-1,0)),IF(AND($L$711=0,$P$708=0),"",$L$711-1),IF($R$17="Distrato",$E856,0)),MIN(AZ$38,$D$19),$P$20))-SUM($P856:AY856)</f>
        <v>#VALUE!</v>
      </c>
      <c r="BA856" s="446" t="e">
        <f>IF(OR($B856="",MIN(BA$38,$D$19)&lt;MAX($P$708*($B856+IF($R$17="Distrato",$I$38-1,0)),IF(AND($L$711=0,$P$708=0),"",$L$711-1),IF($R$17="Distrato",$E856,0))),0,YEARFRAC(MAX($P$708*($B856+IF($R$17="Distrato",$I$38-1,0)),IF(AND($L$711=0,$P$708=0),"",$L$711-1),IF($R$17="Distrato",$E856,0)),MIN(BA$38,$D$19),$P$20))-SUM($P856:AZ856)</f>
        <v>#VALUE!</v>
      </c>
      <c r="BB856" s="447"/>
    </row>
    <row r="857" spans="1:54" s="446" customFormat="1" ht="11.25" hidden="1" customHeight="1" x14ac:dyDescent="0.2">
      <c r="A857" s="235"/>
      <c r="B857" s="236"/>
      <c r="C857" s="29" t="str">
        <f>IF(B857="","",IF($L$709=$BL$25,VLOOKUP(DATE(YEAR($D$19),MONTH($D$19)-1,1),ÍNDICES!$A:$DE,HLOOKUP($BL$25,ÍNDICES!$B$3:$T$4,2)+11)-VLOOKUP(B857,ÍNDICES!$A:$DE,HLOOKUP($BL$25,ÍNDICES!$B$3:$T$4,2)+11)+1%,IF(C$712=$W$26,$J$35,IF(ISERROR(IF(B857&gt;$D$19,1,VLOOKUP(DATE(YEAR(B857),MONTH(B857)+IF($C$709=$S$23,1,0),1),ÍNDICES!$A:$DE,$Z$709+1))),"",IF(B857&gt;$D$19,1,VLOOKUP(DATE(YEAR(B857),MONTH(B857)+IF($C$709=$S$23,1,0),1),ÍNDICES!$A:$DE,$Z$709+1))))))</f>
        <v/>
      </c>
      <c r="D857" s="155"/>
      <c r="E857" s="88"/>
      <c r="F857" s="88"/>
      <c r="G857" s="88"/>
      <c r="H857" s="118"/>
      <c r="I857" s="182">
        <f t="shared" si="129"/>
        <v>0</v>
      </c>
      <c r="J857" s="20">
        <f t="shared" ca="1" si="130"/>
        <v>0</v>
      </c>
      <c r="K857" s="5">
        <f t="shared" ca="1" si="131"/>
        <v>0</v>
      </c>
      <c r="L857" s="61">
        <f t="shared" ca="1" si="132"/>
        <v>0</v>
      </c>
      <c r="M857" s="64">
        <f t="shared" si="133"/>
        <v>0</v>
      </c>
      <c r="N857" s="151"/>
      <c r="O857" s="5">
        <f t="shared" ca="1" si="134"/>
        <v>0</v>
      </c>
      <c r="P857" s="446" t="e">
        <f t="shared" si="135"/>
        <v>#VALUE!</v>
      </c>
      <c r="Q857" s="446" t="e">
        <f>IF(OR($B857="",MIN(Q$38,$D$19)&lt;MAX($P$708*($B857+IF($R$17="Distrato",$I$38-1,0)),IF(AND($L$711=0,$P$708=0),"",$L$711-1),IF($R$17="Distrato",$E857,0))),0,YEARFRAC(MAX($P$708*($B857+IF($R$17="Distrato",$I$38-1,0)),IF(AND($L$711=0,$P$708=0),"",$L$711-1),IF($R$17="Distrato",$E857,0)),MIN(Q$38,$D$19),$P$20))-SUM($P857:P857)</f>
        <v>#VALUE!</v>
      </c>
      <c r="R857" s="446" t="e">
        <f>IF(OR($B857="",MIN(R$38,$D$19)&lt;MAX($P$708*($B857+IF($R$17="Distrato",$I$38-1,0)),IF(AND($L$711=0,$P$708=0),"",$L$711-1),IF($R$17="Distrato",$E857,0))),0,YEARFRAC(MAX($P$708*($B857+IF($R$17="Distrato",$I$38-1,0)),IF(AND($L$711=0,$P$708=0),"",$L$711-1),IF($R$17="Distrato",$E857,0)),MIN(R$38,$D$19),$P$20))-SUM($P857:Q857)</f>
        <v>#VALUE!</v>
      </c>
      <c r="S857" s="446" t="e">
        <f>IF(OR($B857="",MIN(S$38,$D$19)&lt;MAX($P$708*($B857+IF($R$17="Distrato",$I$38-1,0)),IF(AND($L$711=0,$P$708=0),"",$L$711-1),IF($R$17="Distrato",$E857,0))),0,YEARFRAC(MAX($P$708*($B857+IF($R$17="Distrato",$I$38-1,0)),IF(AND($L$711=0,$P$708=0),"",$L$711-1),IF($R$17="Distrato",$E857,0)),MIN(S$38,$D$19),$P$20))-SUM($P857:R857)</f>
        <v>#VALUE!</v>
      </c>
      <c r="T857" s="446" t="e">
        <f>IF(OR($B857="",MIN(T$38,$D$19)&lt;MAX($P$708*($B857+IF($R$17="Distrato",$I$38-1,0)),IF(AND($L$711=0,$P$708=0),"",$L$711-1),IF($R$17="Distrato",$E857,0))),0,YEARFRAC(MAX($P$708*($B857+IF($R$17="Distrato",$I$38-1,0)),IF(AND($L$711=0,$P$708=0),"",$L$711-1),IF($R$17="Distrato",$E857,0)),MIN(T$38,$D$19),$P$20))-SUM($P857:S857)</f>
        <v>#VALUE!</v>
      </c>
      <c r="U857" s="446" t="e">
        <f>IF(OR($B857="",MIN(U$38,$D$19)&lt;MAX($P$708*($B857+IF($R$17="Distrato",$I$38-1,0)),IF(AND($L$711=0,$P$708=0),"",$L$711-1),IF($R$17="Distrato",$E857,0))),0,YEARFRAC(MAX($P$708*($B857+IF($R$17="Distrato",$I$38-1,0)),IF(AND($L$711=0,$P$708=0),"",$L$711-1),IF($R$17="Distrato",$E857,0)),MIN(U$38,$D$19),$P$20))-SUM($P857:T857)</f>
        <v>#VALUE!</v>
      </c>
      <c r="V857" s="446" t="e">
        <f>IF(OR($B857="",MIN(V$38,$D$19)&lt;MAX($P$708*($B857+IF($R$17="Distrato",$I$38-1,0)),IF(AND($L$711=0,$P$708=0),"",$L$711-1),IF($R$17="Distrato",$E857,0))),0,YEARFRAC(MAX($P$708*($B857+IF($R$17="Distrato",$I$38-1,0)),IF(AND($L$711=0,$P$708=0),"",$L$711-1),IF($R$17="Distrato",$E857,0)),MIN(V$38,$D$19),$P$20))-SUM($P857:U857)</f>
        <v>#VALUE!</v>
      </c>
      <c r="W857" s="446" t="e">
        <f>IF(OR($B857="",MIN(W$38,$D$19)&lt;MAX($P$708*($B857+IF($R$17="Distrato",$I$38-1,0)),IF(AND($L$711=0,$P$708=0),"",$L$711-1),IF($R$17="Distrato",$E857,0))),0,YEARFRAC(MAX($P$708*($B857+IF($R$17="Distrato",$I$38-1,0)),IF(AND($L$711=0,$P$708=0),"",$L$711-1),IF($R$17="Distrato",$E857,0)),MIN(W$38,$D$19),$P$20))-SUM($P857:V857)</f>
        <v>#VALUE!</v>
      </c>
      <c r="X857" s="446" t="e">
        <f>IF(OR($B857="",MIN(X$38,$D$19)&lt;MAX($P$708*($B857+IF($R$17="Distrato",$I$38-1,0)),IF(AND($L$711=0,$P$708=0),"",$L$711-1),IF($R$17="Distrato",$E857,0))),0,YEARFRAC(MAX($P$708*($B857+IF($R$17="Distrato",$I$38-1,0)),IF(AND($L$711=0,$P$708=0),"",$L$711-1),IF($R$17="Distrato",$E857,0)),MIN(X$38,$D$19),$P$20))-SUM($P857:W857)</f>
        <v>#VALUE!</v>
      </c>
      <c r="Y857" s="446" t="e">
        <f>IF(OR($B857="",MIN(Y$38,$D$19)&lt;MAX($P$708*($B857+IF($R$17="Distrato",$I$38-1,0)),IF(AND($L$711=0,$P$708=0),"",$L$711-1),IF($R$17="Distrato",$E857,0))),0,YEARFRAC(MAX($P$708*($B857+IF($R$17="Distrato",$I$38-1,0)),IF(AND($L$711=0,$P$708=0),"",$L$711-1),IF($R$17="Distrato",$E857,0)),MIN(Y$38,$D$19),$P$20))-SUM($P857:X857)</f>
        <v>#VALUE!</v>
      </c>
      <c r="Z857" s="446" t="e">
        <f>IF(OR($B857="",MIN(Z$38,$D$19)&lt;MAX($P$708*($B857+IF($R$17="Distrato",$I$38-1,0)),IF(AND($L$711=0,$P$708=0),"",$L$711-1),IF($R$17="Distrato",$E857,0))),0,YEARFRAC(MAX($P$708*($B857+IF($R$17="Distrato",$I$38-1,0)),IF(AND($L$711=0,$P$708=0),"",$L$711-1),IF($R$17="Distrato",$E857,0)),MIN(Z$38,$D$19),$P$20))-SUM($P857:Y857)</f>
        <v>#VALUE!</v>
      </c>
      <c r="AA857" s="446" t="e">
        <f>IF(OR($B857="",MIN(AA$38,$D$19)&lt;MAX($P$708*($B857+IF($R$17="Distrato",$I$38-1,0)),IF(AND($L$711=0,$P$708=0),"",$L$711-1),IF($R$17="Distrato",$E857,0))),0,YEARFRAC(MAX($P$708*($B857+IF($R$17="Distrato",$I$38-1,0)),IF(AND($L$711=0,$P$708=0),"",$L$711-1),IF($R$17="Distrato",$E857,0)),MIN(AA$38,$D$19),$P$20))-SUM($P857:Z857)</f>
        <v>#VALUE!</v>
      </c>
      <c r="AB857" s="446" t="e">
        <f>IF(OR($B857="",MIN(AB$38,$D$19)&lt;MAX($P$708*($B857+IF($R$17="Distrato",$I$38-1,0)),IF(AND($L$711=0,$P$708=0),"",$L$711-1),IF($R$17="Distrato",$E857,0))),0,YEARFRAC(MAX($P$708*($B857+IF($R$17="Distrato",$I$38-1,0)),IF(AND($L$711=0,$P$708=0),"",$L$711-1),IF($R$17="Distrato",$E857,0)),MIN(AB$38,$D$19),$P$20))-SUM($P857:AA857)</f>
        <v>#VALUE!</v>
      </c>
      <c r="AC857" s="446" t="e">
        <f>IF(OR($B857="",MIN(AC$38,$D$19)&lt;MAX($P$708*($B857+IF($R$17="Distrato",$I$38-1,0)),IF(AND($L$711=0,$P$708=0),"",$L$711-1),IF($R$17="Distrato",$E857,0))),0,YEARFRAC(MAX($P$708*($B857+IF($R$17="Distrato",$I$38-1,0)),IF(AND($L$711=0,$P$708=0),"",$L$711-1),IF($R$17="Distrato",$E857,0)),MIN(AC$38,$D$19),$P$20))-SUM($P857:AB857)</f>
        <v>#VALUE!</v>
      </c>
      <c r="AD857" s="446" t="e">
        <f>IF(OR($B857="",MIN(AD$38,$D$19)&lt;MAX($P$708*($B857+IF($R$17="Distrato",$I$38-1,0)),IF(AND($L$711=0,$P$708=0),"",$L$711-1),IF($R$17="Distrato",$E857,0))),0,YEARFRAC(MAX($P$708*($B857+IF($R$17="Distrato",$I$38-1,0)),IF(AND($L$711=0,$P$708=0),"",$L$711-1),IF($R$17="Distrato",$E857,0)),MIN(AD$38,$D$19),$P$20))-SUM($P857:AC857)</f>
        <v>#VALUE!</v>
      </c>
      <c r="AE857" s="446" t="e">
        <f>IF(OR($B857="",MIN(AE$38,$D$19)&lt;MAX($P$708*($B857+IF($R$17="Distrato",$I$38-1,0)),IF(AND($L$711=0,$P$708=0),"",$L$711-1),IF($R$17="Distrato",$E857,0))),0,YEARFRAC(MAX($P$708*($B857+IF($R$17="Distrato",$I$38-1,0)),IF(AND($L$711=0,$P$708=0),"",$L$711-1),IF($R$17="Distrato",$E857,0)),MIN(AE$38,$D$19),$P$20))-SUM($P857:AD857)</f>
        <v>#VALUE!</v>
      </c>
      <c r="AF857" s="446" t="e">
        <f>IF(OR($B857="",MIN(AF$38,$D$19)&lt;MAX($P$708*($B857+IF($R$17="Distrato",$I$38-1,0)),IF(AND($L$711=0,$P$708=0),"",$L$711-1),IF($R$17="Distrato",$E857,0))),0,YEARFRAC(MAX($P$708*($B857+IF($R$17="Distrato",$I$38-1,0)),IF(AND($L$711=0,$P$708=0),"",$L$711-1),IF($R$17="Distrato",$E857,0)),MIN(AF$38,$D$19),$P$20))-SUM($P857:AE857)</f>
        <v>#VALUE!</v>
      </c>
      <c r="AG857" s="446" t="e">
        <f>IF(OR($B857="",MIN(AG$38,$D$19)&lt;MAX($P$708*($B857+IF($R$17="Distrato",$I$38-1,0)),IF(AND($L$711=0,$P$708=0),"",$L$711-1),IF($R$17="Distrato",$E857,0))),0,YEARFRAC(MAX($P$708*($B857+IF($R$17="Distrato",$I$38-1,0)),IF(AND($L$711=0,$P$708=0),"",$L$711-1),IF($R$17="Distrato",$E857,0)),MIN(AG$38,$D$19),$P$20))-SUM($P857:AF857)</f>
        <v>#VALUE!</v>
      </c>
      <c r="AH857" s="446" t="e">
        <f>IF(OR($B857="",MIN(AH$38,$D$19)&lt;MAX($P$708*($B857+IF($R$17="Distrato",$I$38-1,0)),IF(AND($L$711=0,$P$708=0),"",$L$711-1),IF($R$17="Distrato",$E857,0))),0,YEARFRAC(MAX($P$708*($B857+IF($R$17="Distrato",$I$38-1,0)),IF(AND($L$711=0,$P$708=0),"",$L$711-1),IF($R$17="Distrato",$E857,0)),MIN(AH$38,$D$19),$P$20))-SUM($P857:AG857)</f>
        <v>#VALUE!</v>
      </c>
      <c r="AI857" s="446" t="e">
        <f>IF(OR($B857="",MIN(AI$38,$D$19)&lt;MAX($P$708*($B857+IF($R$17="Distrato",$I$38-1,0)),IF(AND($L$711=0,$P$708=0),"",$L$711-1),IF($R$17="Distrato",$E857,0))),0,YEARFRAC(MAX($P$708*($B857+IF($R$17="Distrato",$I$38-1,0)),IF(AND($L$711=0,$P$708=0),"",$L$711-1),IF($R$17="Distrato",$E857,0)),MIN(AI$38,$D$19),$P$20))-SUM($P857:AH857)</f>
        <v>#VALUE!</v>
      </c>
      <c r="AJ857" s="446" t="e">
        <f>IF(OR($B857="",MIN(AJ$38,$D$19)&lt;MAX($P$708*($B857+IF($R$17="Distrato",$I$38-1,0)),IF(AND($L$711=0,$P$708=0),"",$L$711-1),IF($R$17="Distrato",$E857,0))),0,YEARFRAC(MAX($P$708*($B857+IF($R$17="Distrato",$I$38-1,0)),IF(AND($L$711=0,$P$708=0),"",$L$711-1),IF($R$17="Distrato",$E857,0)),MIN(AJ$38,$D$19),$P$20))-SUM($P857:AI857)</f>
        <v>#VALUE!</v>
      </c>
      <c r="AK857" s="446" t="e">
        <f>IF(OR($B857="",MIN(AK$38,$D$19)&lt;MAX($P$708*($B857+IF($R$17="Distrato",$I$38-1,0)),IF(AND($L$711=0,$P$708=0),"",$L$711-1),IF($R$17="Distrato",$E857,0))),0,YEARFRAC(MAX($P$708*($B857+IF($R$17="Distrato",$I$38-1,0)),IF(AND($L$711=0,$P$708=0),"",$L$711-1),IF($R$17="Distrato",$E857,0)),MIN(AK$38,$D$19),$P$20))-SUM($P857:AJ857)</f>
        <v>#VALUE!</v>
      </c>
      <c r="AL857" s="446" t="e">
        <f>IF(OR($B857="",MIN(AL$38,$D$19)&lt;MAX($P$708*($B857+IF($R$17="Distrato",$I$38-1,0)),IF(AND($L$711=0,$P$708=0),"",$L$711-1),IF($R$17="Distrato",$E857,0))),0,YEARFRAC(MAX($P$708*($B857+IF($R$17="Distrato",$I$38-1,0)),IF(AND($L$711=0,$P$708=0),"",$L$711-1),IF($R$17="Distrato",$E857,0)),MIN(AL$38,$D$19),$P$20))-SUM($P857:AK857)</f>
        <v>#VALUE!</v>
      </c>
      <c r="AM857" s="446" t="e">
        <f>IF(OR($B857="",MIN(AM$38,$D$19)&lt;MAX($P$708*($B857+IF($R$17="Distrato",$I$38-1,0)),IF(AND($L$711=0,$P$708=0),"",$L$711-1),IF($R$17="Distrato",$E857,0))),0,YEARFRAC(MAX($P$708*($B857+IF($R$17="Distrato",$I$38-1,0)),IF(AND($L$711=0,$P$708=0),"",$L$711-1),IF($R$17="Distrato",$E857,0)),MIN(AM$38,$D$19),$P$20))-SUM($P857:AL857)</f>
        <v>#VALUE!</v>
      </c>
      <c r="AN857" s="446" t="e">
        <f>IF(OR($B857="",MIN(AN$38,$D$19)&lt;MAX($P$708*($B857+IF($R$17="Distrato",$I$38-1,0)),IF(AND($L$711=0,$P$708=0),"",$L$711-1),IF($R$17="Distrato",$E857,0))),0,YEARFRAC(MAX($P$708*($B857+IF($R$17="Distrato",$I$38-1,0)),IF(AND($L$711=0,$P$708=0),"",$L$711-1),IF($R$17="Distrato",$E857,0)),MIN(AN$38,$D$19),$P$20))-SUM($P857:AM857)</f>
        <v>#VALUE!</v>
      </c>
      <c r="AO857" s="446" t="e">
        <f>IF(OR($B857="",MIN(AO$38,$D$19)&lt;MAX($P$708*($B857+IF($R$17="Distrato",$I$38-1,0)),IF(AND($L$711=0,$P$708=0),"",$L$711-1),IF($R$17="Distrato",$E857,0))),0,YEARFRAC(MAX($P$708*($B857+IF($R$17="Distrato",$I$38-1,0)),IF(AND($L$711=0,$P$708=0),"",$L$711-1),IF($R$17="Distrato",$E857,0)),MIN(AO$38,$D$19),$P$20))-SUM($P857:AN857)</f>
        <v>#VALUE!</v>
      </c>
      <c r="AP857" s="446" t="e">
        <f>IF(OR($B857="",MIN(AP$38,$D$19)&lt;MAX($P$708*($B857+IF($R$17="Distrato",$I$38-1,0)),IF(AND($L$711=0,$P$708=0),"",$L$711-1),IF($R$17="Distrato",$E857,0))),0,YEARFRAC(MAX($P$708*($B857+IF($R$17="Distrato",$I$38-1,0)),IF(AND($L$711=0,$P$708=0),"",$L$711-1),IF($R$17="Distrato",$E857,0)),MIN(AP$38,$D$19),$P$20))-SUM($P857:AO857)</f>
        <v>#VALUE!</v>
      </c>
      <c r="AQ857" s="446" t="e">
        <f>IF(OR($B857="",MIN(AQ$38,$D$19)&lt;MAX($P$708*($B857+IF($R$17="Distrato",$I$38-1,0)),IF(AND($L$711=0,$P$708=0),"",$L$711-1),IF($R$17="Distrato",$E857,0))),0,YEARFRAC(MAX($P$708*($B857+IF($R$17="Distrato",$I$38-1,0)),IF(AND($L$711=0,$P$708=0),"",$L$711-1),IF($R$17="Distrato",$E857,0)),MIN(AQ$38,$D$19),$P$20))-SUM($P857:AP857)</f>
        <v>#VALUE!</v>
      </c>
      <c r="AR857" s="446" t="e">
        <f>IF(OR($B857="",MIN(AR$38,$D$19)&lt;MAX($P$708*($B857+IF($R$17="Distrato",$I$38-1,0)),IF(AND($L$711=0,$P$708=0),"",$L$711-1),IF($R$17="Distrato",$E857,0))),0,YEARFRAC(MAX($P$708*($B857+IF($R$17="Distrato",$I$38-1,0)),IF(AND($L$711=0,$P$708=0),"",$L$711-1),IF($R$17="Distrato",$E857,0)),MIN(AR$38,$D$19),$P$20))-SUM($P857:AQ857)</f>
        <v>#VALUE!</v>
      </c>
      <c r="AS857" s="446" t="e">
        <f>IF(OR($B857="",MIN(AS$38,$D$19)&lt;MAX($P$708*($B857+IF($R$17="Distrato",$I$38-1,0)),IF(AND($L$711=0,$P$708=0),"",$L$711-1),IF($R$17="Distrato",$E857,0))),0,YEARFRAC(MAX($P$708*($B857+IF($R$17="Distrato",$I$38-1,0)),IF(AND($L$711=0,$P$708=0),"",$L$711-1),IF($R$17="Distrato",$E857,0)),MIN(AS$38,$D$19),$P$20))-SUM($P857:AR857)</f>
        <v>#VALUE!</v>
      </c>
      <c r="AT857" s="446" t="e">
        <f>IF(OR($B857="",MIN(AT$38,$D$19)&lt;MAX($P$708*($B857+IF($R$17="Distrato",$I$38-1,0)),IF(AND($L$711=0,$P$708=0),"",$L$711-1),IF($R$17="Distrato",$E857,0))),0,YEARFRAC(MAX($P$708*($B857+IF($R$17="Distrato",$I$38-1,0)),IF(AND($L$711=0,$P$708=0),"",$L$711-1),IF($R$17="Distrato",$E857,0)),MIN(AT$38,$D$19),$P$20))-SUM($P857:AS857)</f>
        <v>#VALUE!</v>
      </c>
      <c r="AU857" s="446" t="e">
        <f>IF(OR($B857="",MIN(AU$38,$D$19)&lt;MAX($P$708*($B857+IF($R$17="Distrato",$I$38-1,0)),IF(AND($L$711=0,$P$708=0),"",$L$711-1),IF($R$17="Distrato",$E857,0))),0,YEARFRAC(MAX($P$708*($B857+IF($R$17="Distrato",$I$38-1,0)),IF(AND($L$711=0,$P$708=0),"",$L$711-1),IF($R$17="Distrato",$E857,0)),MIN(AU$38,$D$19),$P$20))-SUM($P857:AT857)</f>
        <v>#VALUE!</v>
      </c>
      <c r="AV857" s="446" t="e">
        <f>IF(OR($B857="",MIN(AV$38,$D$19)&lt;MAX($P$708*($B857+IF($R$17="Distrato",$I$38-1,0)),IF(AND($L$711=0,$P$708=0),"",$L$711-1),IF($R$17="Distrato",$E857,0))),0,YEARFRAC(MAX($P$708*($B857+IF($R$17="Distrato",$I$38-1,0)),IF(AND($L$711=0,$P$708=0),"",$L$711-1),IF($R$17="Distrato",$E857,0)),MIN(AV$38,$D$19),$P$20))-SUM($P857:AU857)</f>
        <v>#VALUE!</v>
      </c>
      <c r="AW857" s="446" t="e">
        <f>IF(OR($B857="",MIN(AW$38,$D$19)&lt;MAX($P$708*($B857+IF($R$17="Distrato",$I$38-1,0)),IF(AND($L$711=0,$P$708=0),"",$L$711-1),IF($R$17="Distrato",$E857,0))),0,YEARFRAC(MAX($P$708*($B857+IF($R$17="Distrato",$I$38-1,0)),IF(AND($L$711=0,$P$708=0),"",$L$711-1),IF($R$17="Distrato",$E857,0)),MIN(AW$38,$D$19),$P$20))-SUM($P857:AV857)</f>
        <v>#VALUE!</v>
      </c>
      <c r="AX857" s="446" t="e">
        <f>IF(OR($B857="",MIN(AX$38,$D$19)&lt;MAX($P$708*($B857+IF($R$17="Distrato",$I$38-1,0)),IF(AND($L$711=0,$P$708=0),"",$L$711-1),IF($R$17="Distrato",$E857,0))),0,YEARFRAC(MAX($P$708*($B857+IF($R$17="Distrato",$I$38-1,0)),IF(AND($L$711=0,$P$708=0),"",$L$711-1),IF($R$17="Distrato",$E857,0)),MIN(AX$38,$D$19),$P$20))-SUM($P857:AW857)</f>
        <v>#VALUE!</v>
      </c>
      <c r="AY857" s="446" t="e">
        <f>IF(OR($B857="",MIN(AY$38,$D$19)&lt;MAX($P$708*($B857+IF($R$17="Distrato",$I$38-1,0)),IF(AND($L$711=0,$P$708=0),"",$L$711-1),IF($R$17="Distrato",$E857,0))),0,YEARFRAC(MAX($P$708*($B857+IF($R$17="Distrato",$I$38-1,0)),IF(AND($L$711=0,$P$708=0),"",$L$711-1),IF($R$17="Distrato",$E857,0)),MIN(AY$38,$D$19),$P$20))-SUM($P857:AX857)</f>
        <v>#VALUE!</v>
      </c>
      <c r="AZ857" s="446" t="e">
        <f>IF(OR($B857="",MIN(AZ$38,$D$19)&lt;MAX($P$708*($B857+IF($R$17="Distrato",$I$38-1,0)),IF(AND($L$711=0,$P$708=0),"",$L$711-1),IF($R$17="Distrato",$E857,0))),0,YEARFRAC(MAX($P$708*($B857+IF($R$17="Distrato",$I$38-1,0)),IF(AND($L$711=0,$P$708=0),"",$L$711-1),IF($R$17="Distrato",$E857,0)),MIN(AZ$38,$D$19),$P$20))-SUM($P857:AY857)</f>
        <v>#VALUE!</v>
      </c>
      <c r="BA857" s="446" t="e">
        <f>IF(OR($B857="",MIN(BA$38,$D$19)&lt;MAX($P$708*($B857+IF($R$17="Distrato",$I$38-1,0)),IF(AND($L$711=0,$P$708=0),"",$L$711-1),IF($R$17="Distrato",$E857,0))),0,YEARFRAC(MAX($P$708*($B857+IF($R$17="Distrato",$I$38-1,0)),IF(AND($L$711=0,$P$708=0),"",$L$711-1),IF($R$17="Distrato",$E857,0)),MIN(BA$38,$D$19),$P$20))-SUM($P857:AZ857)</f>
        <v>#VALUE!</v>
      </c>
      <c r="BB857" s="447"/>
    </row>
    <row r="858" spans="1:54" s="446" customFormat="1" ht="11.25" hidden="1" customHeight="1" x14ac:dyDescent="0.2">
      <c r="A858" s="235"/>
      <c r="B858" s="236"/>
      <c r="C858" s="29" t="str">
        <f>IF(B858="","",IF($L$709=$BL$25,VLOOKUP(DATE(YEAR($D$19),MONTH($D$19)-1,1),ÍNDICES!$A:$DE,HLOOKUP($BL$25,ÍNDICES!$B$3:$T$4,2)+11)-VLOOKUP(B858,ÍNDICES!$A:$DE,HLOOKUP($BL$25,ÍNDICES!$B$3:$T$4,2)+11)+1%,IF(C$712=$W$26,$J$35,IF(ISERROR(IF(B858&gt;$D$19,1,VLOOKUP(DATE(YEAR(B858),MONTH(B858)+IF($C$709=$S$23,1,0),1),ÍNDICES!$A:$DE,$Z$709+1))),"",IF(B858&gt;$D$19,1,VLOOKUP(DATE(YEAR(B858),MONTH(B858)+IF($C$709=$S$23,1,0),1),ÍNDICES!$A:$DE,$Z$709+1))))))</f>
        <v/>
      </c>
      <c r="D858" s="155"/>
      <c r="E858" s="88"/>
      <c r="F858" s="88"/>
      <c r="G858" s="88"/>
      <c r="H858" s="118"/>
      <c r="I858" s="182">
        <f t="shared" si="129"/>
        <v>0</v>
      </c>
      <c r="J858" s="20">
        <f t="shared" ca="1" si="130"/>
        <v>0</v>
      </c>
      <c r="K858" s="5">
        <f t="shared" ca="1" si="131"/>
        <v>0</v>
      </c>
      <c r="L858" s="61">
        <f t="shared" ca="1" si="132"/>
        <v>0</v>
      </c>
      <c r="M858" s="64">
        <f t="shared" si="133"/>
        <v>0</v>
      </c>
      <c r="N858" s="151"/>
      <c r="O858" s="5">
        <f t="shared" ca="1" si="134"/>
        <v>0</v>
      </c>
      <c r="P858" s="446" t="e">
        <f t="shared" si="135"/>
        <v>#VALUE!</v>
      </c>
      <c r="Q858" s="446" t="e">
        <f>IF(OR($B858="",MIN(Q$38,$D$19)&lt;MAX($P$708*($B858+IF($R$17="Distrato",$I$38-1,0)),IF(AND($L$711=0,$P$708=0),"",$L$711-1),IF($R$17="Distrato",$E858,0))),0,YEARFRAC(MAX($P$708*($B858+IF($R$17="Distrato",$I$38-1,0)),IF(AND($L$711=0,$P$708=0),"",$L$711-1),IF($R$17="Distrato",$E858,0)),MIN(Q$38,$D$19),$P$20))-SUM($P858:P858)</f>
        <v>#VALUE!</v>
      </c>
      <c r="R858" s="446" t="e">
        <f>IF(OR($B858="",MIN(R$38,$D$19)&lt;MAX($P$708*($B858+IF($R$17="Distrato",$I$38-1,0)),IF(AND($L$711=0,$P$708=0),"",$L$711-1),IF($R$17="Distrato",$E858,0))),0,YEARFRAC(MAX($P$708*($B858+IF($R$17="Distrato",$I$38-1,0)),IF(AND($L$711=0,$P$708=0),"",$L$711-1),IF($R$17="Distrato",$E858,0)),MIN(R$38,$D$19),$P$20))-SUM($P858:Q858)</f>
        <v>#VALUE!</v>
      </c>
      <c r="S858" s="446" t="e">
        <f>IF(OR($B858="",MIN(S$38,$D$19)&lt;MAX($P$708*($B858+IF($R$17="Distrato",$I$38-1,0)),IF(AND($L$711=0,$P$708=0),"",$L$711-1),IF($R$17="Distrato",$E858,0))),0,YEARFRAC(MAX($P$708*($B858+IF($R$17="Distrato",$I$38-1,0)),IF(AND($L$711=0,$P$708=0),"",$L$711-1),IF($R$17="Distrato",$E858,0)),MIN(S$38,$D$19),$P$20))-SUM($P858:R858)</f>
        <v>#VALUE!</v>
      </c>
      <c r="T858" s="446" t="e">
        <f>IF(OR($B858="",MIN(T$38,$D$19)&lt;MAX($P$708*($B858+IF($R$17="Distrato",$I$38-1,0)),IF(AND($L$711=0,$P$708=0),"",$L$711-1),IF($R$17="Distrato",$E858,0))),0,YEARFRAC(MAX($P$708*($B858+IF($R$17="Distrato",$I$38-1,0)),IF(AND($L$711=0,$P$708=0),"",$L$711-1),IF($R$17="Distrato",$E858,0)),MIN(T$38,$D$19),$P$20))-SUM($P858:S858)</f>
        <v>#VALUE!</v>
      </c>
      <c r="U858" s="446" t="e">
        <f>IF(OR($B858="",MIN(U$38,$D$19)&lt;MAX($P$708*($B858+IF($R$17="Distrato",$I$38-1,0)),IF(AND($L$711=0,$P$708=0),"",$L$711-1),IF($R$17="Distrato",$E858,0))),0,YEARFRAC(MAX($P$708*($B858+IF($R$17="Distrato",$I$38-1,0)),IF(AND($L$711=0,$P$708=0),"",$L$711-1),IF($R$17="Distrato",$E858,0)),MIN(U$38,$D$19),$P$20))-SUM($P858:T858)</f>
        <v>#VALUE!</v>
      </c>
      <c r="V858" s="446" t="e">
        <f>IF(OR($B858="",MIN(V$38,$D$19)&lt;MAX($P$708*($B858+IF($R$17="Distrato",$I$38-1,0)),IF(AND($L$711=0,$P$708=0),"",$L$711-1),IF($R$17="Distrato",$E858,0))),0,YEARFRAC(MAX($P$708*($B858+IF($R$17="Distrato",$I$38-1,0)),IF(AND($L$711=0,$P$708=0),"",$L$711-1),IF($R$17="Distrato",$E858,0)),MIN(V$38,$D$19),$P$20))-SUM($P858:U858)</f>
        <v>#VALUE!</v>
      </c>
      <c r="W858" s="446" t="e">
        <f>IF(OR($B858="",MIN(W$38,$D$19)&lt;MAX($P$708*($B858+IF($R$17="Distrato",$I$38-1,0)),IF(AND($L$711=0,$P$708=0),"",$L$711-1),IF($R$17="Distrato",$E858,0))),0,YEARFRAC(MAX($P$708*($B858+IF($R$17="Distrato",$I$38-1,0)),IF(AND($L$711=0,$P$708=0),"",$L$711-1),IF($R$17="Distrato",$E858,0)),MIN(W$38,$D$19),$P$20))-SUM($P858:V858)</f>
        <v>#VALUE!</v>
      </c>
      <c r="X858" s="446" t="e">
        <f>IF(OR($B858="",MIN(X$38,$D$19)&lt;MAX($P$708*($B858+IF($R$17="Distrato",$I$38-1,0)),IF(AND($L$711=0,$P$708=0),"",$L$711-1),IF($R$17="Distrato",$E858,0))),0,YEARFRAC(MAX($P$708*($B858+IF($R$17="Distrato",$I$38-1,0)),IF(AND($L$711=0,$P$708=0),"",$L$711-1),IF($R$17="Distrato",$E858,0)),MIN(X$38,$D$19),$P$20))-SUM($P858:W858)</f>
        <v>#VALUE!</v>
      </c>
      <c r="Y858" s="446" t="e">
        <f>IF(OR($B858="",MIN(Y$38,$D$19)&lt;MAX($P$708*($B858+IF($R$17="Distrato",$I$38-1,0)),IF(AND($L$711=0,$P$708=0),"",$L$711-1),IF($R$17="Distrato",$E858,0))),0,YEARFRAC(MAX($P$708*($B858+IF($R$17="Distrato",$I$38-1,0)),IF(AND($L$711=0,$P$708=0),"",$L$711-1),IF($R$17="Distrato",$E858,0)),MIN(Y$38,$D$19),$P$20))-SUM($P858:X858)</f>
        <v>#VALUE!</v>
      </c>
      <c r="Z858" s="446" t="e">
        <f>IF(OR($B858="",MIN(Z$38,$D$19)&lt;MAX($P$708*($B858+IF($R$17="Distrato",$I$38-1,0)),IF(AND($L$711=0,$P$708=0),"",$L$711-1),IF($R$17="Distrato",$E858,0))),0,YEARFRAC(MAX($P$708*($B858+IF($R$17="Distrato",$I$38-1,0)),IF(AND($L$711=0,$P$708=0),"",$L$711-1),IF($R$17="Distrato",$E858,0)),MIN(Z$38,$D$19),$P$20))-SUM($P858:Y858)</f>
        <v>#VALUE!</v>
      </c>
      <c r="AA858" s="446" t="e">
        <f>IF(OR($B858="",MIN(AA$38,$D$19)&lt;MAX($P$708*($B858+IF($R$17="Distrato",$I$38-1,0)),IF(AND($L$711=0,$P$708=0),"",$L$711-1),IF($R$17="Distrato",$E858,0))),0,YEARFRAC(MAX($P$708*($B858+IF($R$17="Distrato",$I$38-1,0)),IF(AND($L$711=0,$P$708=0),"",$L$711-1),IF($R$17="Distrato",$E858,0)),MIN(AA$38,$D$19),$P$20))-SUM($P858:Z858)</f>
        <v>#VALUE!</v>
      </c>
      <c r="AB858" s="446" t="e">
        <f>IF(OR($B858="",MIN(AB$38,$D$19)&lt;MAX($P$708*($B858+IF($R$17="Distrato",$I$38-1,0)),IF(AND($L$711=0,$P$708=0),"",$L$711-1),IF($R$17="Distrato",$E858,0))),0,YEARFRAC(MAX($P$708*($B858+IF($R$17="Distrato",$I$38-1,0)),IF(AND($L$711=0,$P$708=0),"",$L$711-1),IF($R$17="Distrato",$E858,0)),MIN(AB$38,$D$19),$P$20))-SUM($P858:AA858)</f>
        <v>#VALUE!</v>
      </c>
      <c r="AC858" s="446" t="e">
        <f>IF(OR($B858="",MIN(AC$38,$D$19)&lt;MAX($P$708*($B858+IF($R$17="Distrato",$I$38-1,0)),IF(AND($L$711=0,$P$708=0),"",$L$711-1),IF($R$17="Distrato",$E858,0))),0,YEARFRAC(MAX($P$708*($B858+IF($R$17="Distrato",$I$38-1,0)),IF(AND($L$711=0,$P$708=0),"",$L$711-1),IF($R$17="Distrato",$E858,0)),MIN(AC$38,$D$19),$P$20))-SUM($P858:AB858)</f>
        <v>#VALUE!</v>
      </c>
      <c r="AD858" s="446" t="e">
        <f>IF(OR($B858="",MIN(AD$38,$D$19)&lt;MAX($P$708*($B858+IF($R$17="Distrato",$I$38-1,0)),IF(AND($L$711=0,$P$708=0),"",$L$711-1),IF($R$17="Distrato",$E858,0))),0,YEARFRAC(MAX($P$708*($B858+IF($R$17="Distrato",$I$38-1,0)),IF(AND($L$711=0,$P$708=0),"",$L$711-1),IF($R$17="Distrato",$E858,0)),MIN(AD$38,$D$19),$P$20))-SUM($P858:AC858)</f>
        <v>#VALUE!</v>
      </c>
      <c r="AE858" s="446" t="e">
        <f>IF(OR($B858="",MIN(AE$38,$D$19)&lt;MAX($P$708*($B858+IF($R$17="Distrato",$I$38-1,0)),IF(AND($L$711=0,$P$708=0),"",$L$711-1),IF($R$17="Distrato",$E858,0))),0,YEARFRAC(MAX($P$708*($B858+IF($R$17="Distrato",$I$38-1,0)),IF(AND($L$711=0,$P$708=0),"",$L$711-1),IF($R$17="Distrato",$E858,0)),MIN(AE$38,$D$19),$P$20))-SUM($P858:AD858)</f>
        <v>#VALUE!</v>
      </c>
      <c r="AF858" s="446" t="e">
        <f>IF(OR($B858="",MIN(AF$38,$D$19)&lt;MAX($P$708*($B858+IF($R$17="Distrato",$I$38-1,0)),IF(AND($L$711=0,$P$708=0),"",$L$711-1),IF($R$17="Distrato",$E858,0))),0,YEARFRAC(MAX($P$708*($B858+IF($R$17="Distrato",$I$38-1,0)),IF(AND($L$711=0,$P$708=0),"",$L$711-1),IF($R$17="Distrato",$E858,0)),MIN(AF$38,$D$19),$P$20))-SUM($P858:AE858)</f>
        <v>#VALUE!</v>
      </c>
      <c r="AG858" s="446" t="e">
        <f>IF(OR($B858="",MIN(AG$38,$D$19)&lt;MAX($P$708*($B858+IF($R$17="Distrato",$I$38-1,0)),IF(AND($L$711=0,$P$708=0),"",$L$711-1),IF($R$17="Distrato",$E858,0))),0,YEARFRAC(MAX($P$708*($B858+IF($R$17="Distrato",$I$38-1,0)),IF(AND($L$711=0,$P$708=0),"",$L$711-1),IF($R$17="Distrato",$E858,0)),MIN(AG$38,$D$19),$P$20))-SUM($P858:AF858)</f>
        <v>#VALUE!</v>
      </c>
      <c r="AH858" s="446" t="e">
        <f>IF(OR($B858="",MIN(AH$38,$D$19)&lt;MAX($P$708*($B858+IF($R$17="Distrato",$I$38-1,0)),IF(AND($L$711=0,$P$708=0),"",$L$711-1),IF($R$17="Distrato",$E858,0))),0,YEARFRAC(MAX($P$708*($B858+IF($R$17="Distrato",$I$38-1,0)),IF(AND($L$711=0,$P$708=0),"",$L$711-1),IF($R$17="Distrato",$E858,0)),MIN(AH$38,$D$19),$P$20))-SUM($P858:AG858)</f>
        <v>#VALUE!</v>
      </c>
      <c r="AI858" s="446" t="e">
        <f>IF(OR($B858="",MIN(AI$38,$D$19)&lt;MAX($P$708*($B858+IF($R$17="Distrato",$I$38-1,0)),IF(AND($L$711=0,$P$708=0),"",$L$711-1),IF($R$17="Distrato",$E858,0))),0,YEARFRAC(MAX($P$708*($B858+IF($R$17="Distrato",$I$38-1,0)),IF(AND($L$711=0,$P$708=0),"",$L$711-1),IF($R$17="Distrato",$E858,0)),MIN(AI$38,$D$19),$P$20))-SUM($P858:AH858)</f>
        <v>#VALUE!</v>
      </c>
      <c r="AJ858" s="446" t="e">
        <f>IF(OR($B858="",MIN(AJ$38,$D$19)&lt;MAX($P$708*($B858+IF($R$17="Distrato",$I$38-1,0)),IF(AND($L$711=0,$P$708=0),"",$L$711-1),IF($R$17="Distrato",$E858,0))),0,YEARFRAC(MAX($P$708*($B858+IF($R$17="Distrato",$I$38-1,0)),IF(AND($L$711=0,$P$708=0),"",$L$711-1),IF($R$17="Distrato",$E858,0)),MIN(AJ$38,$D$19),$P$20))-SUM($P858:AI858)</f>
        <v>#VALUE!</v>
      </c>
      <c r="AK858" s="446" t="e">
        <f>IF(OR($B858="",MIN(AK$38,$D$19)&lt;MAX($P$708*($B858+IF($R$17="Distrato",$I$38-1,0)),IF(AND($L$711=0,$P$708=0),"",$L$711-1),IF($R$17="Distrato",$E858,0))),0,YEARFRAC(MAX($P$708*($B858+IF($R$17="Distrato",$I$38-1,0)),IF(AND($L$711=0,$P$708=0),"",$L$711-1),IF($R$17="Distrato",$E858,0)),MIN(AK$38,$D$19),$P$20))-SUM($P858:AJ858)</f>
        <v>#VALUE!</v>
      </c>
      <c r="AL858" s="446" t="e">
        <f>IF(OR($B858="",MIN(AL$38,$D$19)&lt;MAX($P$708*($B858+IF($R$17="Distrato",$I$38-1,0)),IF(AND($L$711=0,$P$708=0),"",$L$711-1),IF($R$17="Distrato",$E858,0))),0,YEARFRAC(MAX($P$708*($B858+IF($R$17="Distrato",$I$38-1,0)),IF(AND($L$711=0,$P$708=0),"",$L$711-1),IF($R$17="Distrato",$E858,0)),MIN(AL$38,$D$19),$P$20))-SUM($P858:AK858)</f>
        <v>#VALUE!</v>
      </c>
      <c r="AM858" s="446" t="e">
        <f>IF(OR($B858="",MIN(AM$38,$D$19)&lt;MAX($P$708*($B858+IF($R$17="Distrato",$I$38-1,0)),IF(AND($L$711=0,$P$708=0),"",$L$711-1),IF($R$17="Distrato",$E858,0))),0,YEARFRAC(MAX($P$708*($B858+IF($R$17="Distrato",$I$38-1,0)),IF(AND($L$711=0,$P$708=0),"",$L$711-1),IF($R$17="Distrato",$E858,0)),MIN(AM$38,$D$19),$P$20))-SUM($P858:AL858)</f>
        <v>#VALUE!</v>
      </c>
      <c r="AN858" s="446" t="e">
        <f>IF(OR($B858="",MIN(AN$38,$D$19)&lt;MAX($P$708*($B858+IF($R$17="Distrato",$I$38-1,0)),IF(AND($L$711=0,$P$708=0),"",$L$711-1),IF($R$17="Distrato",$E858,0))),0,YEARFRAC(MAX($P$708*($B858+IF($R$17="Distrato",$I$38-1,0)),IF(AND($L$711=0,$P$708=0),"",$L$711-1),IF($R$17="Distrato",$E858,0)),MIN(AN$38,$D$19),$P$20))-SUM($P858:AM858)</f>
        <v>#VALUE!</v>
      </c>
      <c r="AO858" s="446" t="e">
        <f>IF(OR($B858="",MIN(AO$38,$D$19)&lt;MAX($P$708*($B858+IF($R$17="Distrato",$I$38-1,0)),IF(AND($L$711=0,$P$708=0),"",$L$711-1),IF($R$17="Distrato",$E858,0))),0,YEARFRAC(MAX($P$708*($B858+IF($R$17="Distrato",$I$38-1,0)),IF(AND($L$711=0,$P$708=0),"",$L$711-1),IF($R$17="Distrato",$E858,0)),MIN(AO$38,$D$19),$P$20))-SUM($P858:AN858)</f>
        <v>#VALUE!</v>
      </c>
      <c r="AP858" s="446" t="e">
        <f>IF(OR($B858="",MIN(AP$38,$D$19)&lt;MAX($P$708*($B858+IF($R$17="Distrato",$I$38-1,0)),IF(AND($L$711=0,$P$708=0),"",$L$711-1),IF($R$17="Distrato",$E858,0))),0,YEARFRAC(MAX($P$708*($B858+IF($R$17="Distrato",$I$38-1,0)),IF(AND($L$711=0,$P$708=0),"",$L$711-1),IF($R$17="Distrato",$E858,0)),MIN(AP$38,$D$19),$P$20))-SUM($P858:AO858)</f>
        <v>#VALUE!</v>
      </c>
      <c r="AQ858" s="446" t="e">
        <f>IF(OR($B858="",MIN(AQ$38,$D$19)&lt;MAX($P$708*($B858+IF($R$17="Distrato",$I$38-1,0)),IF(AND($L$711=0,$P$708=0),"",$L$711-1),IF($R$17="Distrato",$E858,0))),0,YEARFRAC(MAX($P$708*($B858+IF($R$17="Distrato",$I$38-1,0)),IF(AND($L$711=0,$P$708=0),"",$L$711-1),IF($R$17="Distrato",$E858,0)),MIN(AQ$38,$D$19),$P$20))-SUM($P858:AP858)</f>
        <v>#VALUE!</v>
      </c>
      <c r="AR858" s="446" t="e">
        <f>IF(OR($B858="",MIN(AR$38,$D$19)&lt;MAX($P$708*($B858+IF($R$17="Distrato",$I$38-1,0)),IF(AND($L$711=0,$P$708=0),"",$L$711-1),IF($R$17="Distrato",$E858,0))),0,YEARFRAC(MAX($P$708*($B858+IF($R$17="Distrato",$I$38-1,0)),IF(AND($L$711=0,$P$708=0),"",$L$711-1),IF($R$17="Distrato",$E858,0)),MIN(AR$38,$D$19),$P$20))-SUM($P858:AQ858)</f>
        <v>#VALUE!</v>
      </c>
      <c r="AS858" s="446" t="e">
        <f>IF(OR($B858="",MIN(AS$38,$D$19)&lt;MAX($P$708*($B858+IF($R$17="Distrato",$I$38-1,0)),IF(AND($L$711=0,$P$708=0),"",$L$711-1),IF($R$17="Distrato",$E858,0))),0,YEARFRAC(MAX($P$708*($B858+IF($R$17="Distrato",$I$38-1,0)),IF(AND($L$711=0,$P$708=0),"",$L$711-1),IF($R$17="Distrato",$E858,0)),MIN(AS$38,$D$19),$P$20))-SUM($P858:AR858)</f>
        <v>#VALUE!</v>
      </c>
      <c r="AT858" s="446" t="e">
        <f>IF(OR($B858="",MIN(AT$38,$D$19)&lt;MAX($P$708*($B858+IF($R$17="Distrato",$I$38-1,0)),IF(AND($L$711=0,$P$708=0),"",$L$711-1),IF($R$17="Distrato",$E858,0))),0,YEARFRAC(MAX($P$708*($B858+IF($R$17="Distrato",$I$38-1,0)),IF(AND($L$711=0,$P$708=0),"",$L$711-1),IF($R$17="Distrato",$E858,0)),MIN(AT$38,$D$19),$P$20))-SUM($P858:AS858)</f>
        <v>#VALUE!</v>
      </c>
      <c r="AU858" s="446" t="e">
        <f>IF(OR($B858="",MIN(AU$38,$D$19)&lt;MAX($P$708*($B858+IF($R$17="Distrato",$I$38-1,0)),IF(AND($L$711=0,$P$708=0),"",$L$711-1),IF($R$17="Distrato",$E858,0))),0,YEARFRAC(MAX($P$708*($B858+IF($R$17="Distrato",$I$38-1,0)),IF(AND($L$711=0,$P$708=0),"",$L$711-1),IF($R$17="Distrato",$E858,0)),MIN(AU$38,$D$19),$P$20))-SUM($P858:AT858)</f>
        <v>#VALUE!</v>
      </c>
      <c r="AV858" s="446" t="e">
        <f>IF(OR($B858="",MIN(AV$38,$D$19)&lt;MAX($P$708*($B858+IF($R$17="Distrato",$I$38-1,0)),IF(AND($L$711=0,$P$708=0),"",$L$711-1),IF($R$17="Distrato",$E858,0))),0,YEARFRAC(MAX($P$708*($B858+IF($R$17="Distrato",$I$38-1,0)),IF(AND($L$711=0,$P$708=0),"",$L$711-1),IF($R$17="Distrato",$E858,0)),MIN(AV$38,$D$19),$P$20))-SUM($P858:AU858)</f>
        <v>#VALUE!</v>
      </c>
      <c r="AW858" s="446" t="e">
        <f>IF(OR($B858="",MIN(AW$38,$D$19)&lt;MAX($P$708*($B858+IF($R$17="Distrato",$I$38-1,0)),IF(AND($L$711=0,$P$708=0),"",$L$711-1),IF($R$17="Distrato",$E858,0))),0,YEARFRAC(MAX($P$708*($B858+IF($R$17="Distrato",$I$38-1,0)),IF(AND($L$711=0,$P$708=0),"",$L$711-1),IF($R$17="Distrato",$E858,0)),MIN(AW$38,$D$19),$P$20))-SUM($P858:AV858)</f>
        <v>#VALUE!</v>
      </c>
      <c r="AX858" s="446" t="e">
        <f>IF(OR($B858="",MIN(AX$38,$D$19)&lt;MAX($P$708*($B858+IF($R$17="Distrato",$I$38-1,0)),IF(AND($L$711=0,$P$708=0),"",$L$711-1),IF($R$17="Distrato",$E858,0))),0,YEARFRAC(MAX($P$708*($B858+IF($R$17="Distrato",$I$38-1,0)),IF(AND($L$711=0,$P$708=0),"",$L$711-1),IF($R$17="Distrato",$E858,0)),MIN(AX$38,$D$19),$P$20))-SUM($P858:AW858)</f>
        <v>#VALUE!</v>
      </c>
      <c r="AY858" s="446" t="e">
        <f>IF(OR($B858="",MIN(AY$38,$D$19)&lt;MAX($P$708*($B858+IF($R$17="Distrato",$I$38-1,0)),IF(AND($L$711=0,$P$708=0),"",$L$711-1),IF($R$17="Distrato",$E858,0))),0,YEARFRAC(MAX($P$708*($B858+IF($R$17="Distrato",$I$38-1,0)),IF(AND($L$711=0,$P$708=0),"",$L$711-1),IF($R$17="Distrato",$E858,0)),MIN(AY$38,$D$19),$P$20))-SUM($P858:AX858)</f>
        <v>#VALUE!</v>
      </c>
      <c r="AZ858" s="446" t="e">
        <f>IF(OR($B858="",MIN(AZ$38,$D$19)&lt;MAX($P$708*($B858+IF($R$17="Distrato",$I$38-1,0)),IF(AND($L$711=0,$P$708=0),"",$L$711-1),IF($R$17="Distrato",$E858,0))),0,YEARFRAC(MAX($P$708*($B858+IF($R$17="Distrato",$I$38-1,0)),IF(AND($L$711=0,$P$708=0),"",$L$711-1),IF($R$17="Distrato",$E858,0)),MIN(AZ$38,$D$19),$P$20))-SUM($P858:AY858)</f>
        <v>#VALUE!</v>
      </c>
      <c r="BA858" s="446" t="e">
        <f>IF(OR($B858="",MIN(BA$38,$D$19)&lt;MAX($P$708*($B858+IF($R$17="Distrato",$I$38-1,0)),IF(AND($L$711=0,$P$708=0),"",$L$711-1),IF($R$17="Distrato",$E858,0))),0,YEARFRAC(MAX($P$708*($B858+IF($R$17="Distrato",$I$38-1,0)),IF(AND($L$711=0,$P$708=0),"",$L$711-1),IF($R$17="Distrato",$E858,0)),MIN(BA$38,$D$19),$P$20))-SUM($P858:AZ858)</f>
        <v>#VALUE!</v>
      </c>
      <c r="BB858" s="447"/>
    </row>
    <row r="859" spans="1:54" s="446" customFormat="1" ht="11.25" hidden="1" customHeight="1" x14ac:dyDescent="0.2">
      <c r="A859" s="235"/>
      <c r="B859" s="236"/>
      <c r="C859" s="29" t="str">
        <f>IF(B859="","",IF($L$709=$BL$25,VLOOKUP(DATE(YEAR($D$19),MONTH($D$19)-1,1),ÍNDICES!$A:$DE,HLOOKUP($BL$25,ÍNDICES!$B$3:$T$4,2)+11)-VLOOKUP(B859,ÍNDICES!$A:$DE,HLOOKUP($BL$25,ÍNDICES!$B$3:$T$4,2)+11)+1%,IF(C$712=$W$26,$J$35,IF(ISERROR(IF(B859&gt;$D$19,1,VLOOKUP(DATE(YEAR(B859),MONTH(B859)+IF($C$709=$S$23,1,0),1),ÍNDICES!$A:$DE,$Z$709+1))),"",IF(B859&gt;$D$19,1,VLOOKUP(DATE(YEAR(B859),MONTH(B859)+IF($C$709=$S$23,1,0),1),ÍNDICES!$A:$DE,$Z$709+1))))))</f>
        <v/>
      </c>
      <c r="D859" s="155"/>
      <c r="E859" s="88"/>
      <c r="F859" s="88"/>
      <c r="G859" s="88"/>
      <c r="H859" s="118"/>
      <c r="I859" s="182">
        <f t="shared" si="129"/>
        <v>0</v>
      </c>
      <c r="J859" s="20">
        <f t="shared" ca="1" si="130"/>
        <v>0</v>
      </c>
      <c r="K859" s="5">
        <f t="shared" ca="1" si="131"/>
        <v>0</v>
      </c>
      <c r="L859" s="61">
        <f t="shared" ca="1" si="132"/>
        <v>0</v>
      </c>
      <c r="M859" s="64">
        <f t="shared" si="133"/>
        <v>0</v>
      </c>
      <c r="N859" s="151"/>
      <c r="O859" s="5">
        <f t="shared" ca="1" si="134"/>
        <v>0</v>
      </c>
      <c r="P859" s="446" t="e">
        <f t="shared" si="135"/>
        <v>#VALUE!</v>
      </c>
      <c r="Q859" s="446" t="e">
        <f>IF(OR($B859="",MIN(Q$38,$D$19)&lt;MAX($P$708*($B859+IF($R$17="Distrato",$I$38-1,0)),IF(AND($L$711=0,$P$708=0),"",$L$711-1),IF($R$17="Distrato",$E859,0))),0,YEARFRAC(MAX($P$708*($B859+IF($R$17="Distrato",$I$38-1,0)),IF(AND($L$711=0,$P$708=0),"",$L$711-1),IF($R$17="Distrato",$E859,0)),MIN(Q$38,$D$19),$P$20))-SUM($P859:P859)</f>
        <v>#VALUE!</v>
      </c>
      <c r="R859" s="446" t="e">
        <f>IF(OR($B859="",MIN(R$38,$D$19)&lt;MAX($P$708*($B859+IF($R$17="Distrato",$I$38-1,0)),IF(AND($L$711=0,$P$708=0),"",$L$711-1),IF($R$17="Distrato",$E859,0))),0,YEARFRAC(MAX($P$708*($B859+IF($R$17="Distrato",$I$38-1,0)),IF(AND($L$711=0,$P$708=0),"",$L$711-1),IF($R$17="Distrato",$E859,0)),MIN(R$38,$D$19),$P$20))-SUM($P859:Q859)</f>
        <v>#VALUE!</v>
      </c>
      <c r="S859" s="446" t="e">
        <f>IF(OR($B859="",MIN(S$38,$D$19)&lt;MAX($P$708*($B859+IF($R$17="Distrato",$I$38-1,0)),IF(AND($L$711=0,$P$708=0),"",$L$711-1),IF($R$17="Distrato",$E859,0))),0,YEARFRAC(MAX($P$708*($B859+IF($R$17="Distrato",$I$38-1,0)),IF(AND($L$711=0,$P$708=0),"",$L$711-1),IF($R$17="Distrato",$E859,0)),MIN(S$38,$D$19),$P$20))-SUM($P859:R859)</f>
        <v>#VALUE!</v>
      </c>
      <c r="T859" s="446" t="e">
        <f>IF(OR($B859="",MIN(T$38,$D$19)&lt;MAX($P$708*($B859+IF($R$17="Distrato",$I$38-1,0)),IF(AND($L$711=0,$P$708=0),"",$L$711-1),IF($R$17="Distrato",$E859,0))),0,YEARFRAC(MAX($P$708*($B859+IF($R$17="Distrato",$I$38-1,0)),IF(AND($L$711=0,$P$708=0),"",$L$711-1),IF($R$17="Distrato",$E859,0)),MIN(T$38,$D$19),$P$20))-SUM($P859:S859)</f>
        <v>#VALUE!</v>
      </c>
      <c r="U859" s="446" t="e">
        <f>IF(OR($B859="",MIN(U$38,$D$19)&lt;MAX($P$708*($B859+IF($R$17="Distrato",$I$38-1,0)),IF(AND($L$711=0,$P$708=0),"",$L$711-1),IF($R$17="Distrato",$E859,0))),0,YEARFRAC(MAX($P$708*($B859+IF($R$17="Distrato",$I$38-1,0)),IF(AND($L$711=0,$P$708=0),"",$L$711-1),IF($R$17="Distrato",$E859,0)),MIN(U$38,$D$19),$P$20))-SUM($P859:T859)</f>
        <v>#VALUE!</v>
      </c>
      <c r="V859" s="446" t="e">
        <f>IF(OR($B859="",MIN(V$38,$D$19)&lt;MAX($P$708*($B859+IF($R$17="Distrato",$I$38-1,0)),IF(AND($L$711=0,$P$708=0),"",$L$711-1),IF($R$17="Distrato",$E859,0))),0,YEARFRAC(MAX($P$708*($B859+IF($R$17="Distrato",$I$38-1,0)),IF(AND($L$711=0,$P$708=0),"",$L$711-1),IF($R$17="Distrato",$E859,0)),MIN(V$38,$D$19),$P$20))-SUM($P859:U859)</f>
        <v>#VALUE!</v>
      </c>
      <c r="W859" s="446" t="e">
        <f>IF(OR($B859="",MIN(W$38,$D$19)&lt;MAX($P$708*($B859+IF($R$17="Distrato",$I$38-1,0)),IF(AND($L$711=0,$P$708=0),"",$L$711-1),IF($R$17="Distrato",$E859,0))),0,YEARFRAC(MAX($P$708*($B859+IF($R$17="Distrato",$I$38-1,0)),IF(AND($L$711=0,$P$708=0),"",$L$711-1),IF($R$17="Distrato",$E859,0)),MIN(W$38,$D$19),$P$20))-SUM($P859:V859)</f>
        <v>#VALUE!</v>
      </c>
      <c r="X859" s="446" t="e">
        <f>IF(OR($B859="",MIN(X$38,$D$19)&lt;MAX($P$708*($B859+IF($R$17="Distrato",$I$38-1,0)),IF(AND($L$711=0,$P$708=0),"",$L$711-1),IF($R$17="Distrato",$E859,0))),0,YEARFRAC(MAX($P$708*($B859+IF($R$17="Distrato",$I$38-1,0)),IF(AND($L$711=0,$P$708=0),"",$L$711-1),IF($R$17="Distrato",$E859,0)),MIN(X$38,$D$19),$P$20))-SUM($P859:W859)</f>
        <v>#VALUE!</v>
      </c>
      <c r="Y859" s="446" t="e">
        <f>IF(OR($B859="",MIN(Y$38,$D$19)&lt;MAX($P$708*($B859+IF($R$17="Distrato",$I$38-1,0)),IF(AND($L$711=0,$P$708=0),"",$L$711-1),IF($R$17="Distrato",$E859,0))),0,YEARFRAC(MAX($P$708*($B859+IF($R$17="Distrato",$I$38-1,0)),IF(AND($L$711=0,$P$708=0),"",$L$711-1),IF($R$17="Distrato",$E859,0)),MIN(Y$38,$D$19),$P$20))-SUM($P859:X859)</f>
        <v>#VALUE!</v>
      </c>
      <c r="Z859" s="446" t="e">
        <f>IF(OR($B859="",MIN(Z$38,$D$19)&lt;MAX($P$708*($B859+IF($R$17="Distrato",$I$38-1,0)),IF(AND($L$711=0,$P$708=0),"",$L$711-1),IF($R$17="Distrato",$E859,0))),0,YEARFRAC(MAX($P$708*($B859+IF($R$17="Distrato",$I$38-1,0)),IF(AND($L$711=0,$P$708=0),"",$L$711-1),IF($R$17="Distrato",$E859,0)),MIN(Z$38,$D$19),$P$20))-SUM($P859:Y859)</f>
        <v>#VALUE!</v>
      </c>
      <c r="AA859" s="446" t="e">
        <f>IF(OR($B859="",MIN(AA$38,$D$19)&lt;MAX($P$708*($B859+IF($R$17="Distrato",$I$38-1,0)),IF(AND($L$711=0,$P$708=0),"",$L$711-1),IF($R$17="Distrato",$E859,0))),0,YEARFRAC(MAX($P$708*($B859+IF($R$17="Distrato",$I$38-1,0)),IF(AND($L$711=0,$P$708=0),"",$L$711-1),IF($R$17="Distrato",$E859,0)),MIN(AA$38,$D$19),$P$20))-SUM($P859:Z859)</f>
        <v>#VALUE!</v>
      </c>
      <c r="AB859" s="446" t="e">
        <f>IF(OR($B859="",MIN(AB$38,$D$19)&lt;MAX($P$708*($B859+IF($R$17="Distrato",$I$38-1,0)),IF(AND($L$711=0,$P$708=0),"",$L$711-1),IF($R$17="Distrato",$E859,0))),0,YEARFRAC(MAX($P$708*($B859+IF($R$17="Distrato",$I$38-1,0)),IF(AND($L$711=0,$P$708=0),"",$L$711-1),IF($R$17="Distrato",$E859,0)),MIN(AB$38,$D$19),$P$20))-SUM($P859:AA859)</f>
        <v>#VALUE!</v>
      </c>
      <c r="AC859" s="446" t="e">
        <f>IF(OR($B859="",MIN(AC$38,$D$19)&lt;MAX($P$708*($B859+IF($R$17="Distrato",$I$38-1,0)),IF(AND($L$711=0,$P$708=0),"",$L$711-1),IF($R$17="Distrato",$E859,0))),0,YEARFRAC(MAX($P$708*($B859+IF($R$17="Distrato",$I$38-1,0)),IF(AND($L$711=0,$P$708=0),"",$L$711-1),IF($R$17="Distrato",$E859,0)),MIN(AC$38,$D$19),$P$20))-SUM($P859:AB859)</f>
        <v>#VALUE!</v>
      </c>
      <c r="AD859" s="446" t="e">
        <f>IF(OR($B859="",MIN(AD$38,$D$19)&lt;MAX($P$708*($B859+IF($R$17="Distrato",$I$38-1,0)),IF(AND($L$711=0,$P$708=0),"",$L$711-1),IF($R$17="Distrato",$E859,0))),0,YEARFRAC(MAX($P$708*($B859+IF($R$17="Distrato",$I$38-1,0)),IF(AND($L$711=0,$P$708=0),"",$L$711-1),IF($R$17="Distrato",$E859,0)),MIN(AD$38,$D$19),$P$20))-SUM($P859:AC859)</f>
        <v>#VALUE!</v>
      </c>
      <c r="AE859" s="446" t="e">
        <f>IF(OR($B859="",MIN(AE$38,$D$19)&lt;MAX($P$708*($B859+IF($R$17="Distrato",$I$38-1,0)),IF(AND($L$711=0,$P$708=0),"",$L$711-1),IF($R$17="Distrato",$E859,0))),0,YEARFRAC(MAX($P$708*($B859+IF($R$17="Distrato",$I$38-1,0)),IF(AND($L$711=0,$P$708=0),"",$L$711-1),IF($R$17="Distrato",$E859,0)),MIN(AE$38,$D$19),$P$20))-SUM($P859:AD859)</f>
        <v>#VALUE!</v>
      </c>
      <c r="AF859" s="446" t="e">
        <f>IF(OR($B859="",MIN(AF$38,$D$19)&lt;MAX($P$708*($B859+IF($R$17="Distrato",$I$38-1,0)),IF(AND($L$711=0,$P$708=0),"",$L$711-1),IF($R$17="Distrato",$E859,0))),0,YEARFRAC(MAX($P$708*($B859+IF($R$17="Distrato",$I$38-1,0)),IF(AND($L$711=0,$P$708=0),"",$L$711-1),IF($R$17="Distrato",$E859,0)),MIN(AF$38,$D$19),$P$20))-SUM($P859:AE859)</f>
        <v>#VALUE!</v>
      </c>
      <c r="AG859" s="446" t="e">
        <f>IF(OR($B859="",MIN(AG$38,$D$19)&lt;MAX($P$708*($B859+IF($R$17="Distrato",$I$38-1,0)),IF(AND($L$711=0,$P$708=0),"",$L$711-1),IF($R$17="Distrato",$E859,0))),0,YEARFRAC(MAX($P$708*($B859+IF($R$17="Distrato",$I$38-1,0)),IF(AND($L$711=0,$P$708=0),"",$L$711-1),IF($R$17="Distrato",$E859,0)),MIN(AG$38,$D$19),$P$20))-SUM($P859:AF859)</f>
        <v>#VALUE!</v>
      </c>
      <c r="AH859" s="446" t="e">
        <f>IF(OR($B859="",MIN(AH$38,$D$19)&lt;MAX($P$708*($B859+IF($R$17="Distrato",$I$38-1,0)),IF(AND($L$711=0,$P$708=0),"",$L$711-1),IF($R$17="Distrato",$E859,0))),0,YEARFRAC(MAX($P$708*($B859+IF($R$17="Distrato",$I$38-1,0)),IF(AND($L$711=0,$P$708=0),"",$L$711-1),IF($R$17="Distrato",$E859,0)),MIN(AH$38,$D$19),$P$20))-SUM($P859:AG859)</f>
        <v>#VALUE!</v>
      </c>
      <c r="AI859" s="446" t="e">
        <f>IF(OR($B859="",MIN(AI$38,$D$19)&lt;MAX($P$708*($B859+IF($R$17="Distrato",$I$38-1,0)),IF(AND($L$711=0,$P$708=0),"",$L$711-1),IF($R$17="Distrato",$E859,0))),0,YEARFRAC(MAX($P$708*($B859+IF($R$17="Distrato",$I$38-1,0)),IF(AND($L$711=0,$P$708=0),"",$L$711-1),IF($R$17="Distrato",$E859,0)),MIN(AI$38,$D$19),$P$20))-SUM($P859:AH859)</f>
        <v>#VALUE!</v>
      </c>
      <c r="AJ859" s="446" t="e">
        <f>IF(OR($B859="",MIN(AJ$38,$D$19)&lt;MAX($P$708*($B859+IF($R$17="Distrato",$I$38-1,0)),IF(AND($L$711=0,$P$708=0),"",$L$711-1),IF($R$17="Distrato",$E859,0))),0,YEARFRAC(MAX($P$708*($B859+IF($R$17="Distrato",$I$38-1,0)),IF(AND($L$711=0,$P$708=0),"",$L$711-1),IF($R$17="Distrato",$E859,0)),MIN(AJ$38,$D$19),$P$20))-SUM($P859:AI859)</f>
        <v>#VALUE!</v>
      </c>
      <c r="AK859" s="446" t="e">
        <f>IF(OR($B859="",MIN(AK$38,$D$19)&lt;MAX($P$708*($B859+IF($R$17="Distrato",$I$38-1,0)),IF(AND($L$711=0,$P$708=0),"",$L$711-1),IF($R$17="Distrato",$E859,0))),0,YEARFRAC(MAX($P$708*($B859+IF($R$17="Distrato",$I$38-1,0)),IF(AND($L$711=0,$P$708=0),"",$L$711-1),IF($R$17="Distrato",$E859,0)),MIN(AK$38,$D$19),$P$20))-SUM($P859:AJ859)</f>
        <v>#VALUE!</v>
      </c>
      <c r="AL859" s="446" t="e">
        <f>IF(OR($B859="",MIN(AL$38,$D$19)&lt;MAX($P$708*($B859+IF($R$17="Distrato",$I$38-1,0)),IF(AND($L$711=0,$P$708=0),"",$L$711-1),IF($R$17="Distrato",$E859,0))),0,YEARFRAC(MAX($P$708*($B859+IF($R$17="Distrato",$I$38-1,0)),IF(AND($L$711=0,$P$708=0),"",$L$711-1),IF($R$17="Distrato",$E859,0)),MIN(AL$38,$D$19),$P$20))-SUM($P859:AK859)</f>
        <v>#VALUE!</v>
      </c>
      <c r="AM859" s="446" t="e">
        <f>IF(OR($B859="",MIN(AM$38,$D$19)&lt;MAX($P$708*($B859+IF($R$17="Distrato",$I$38-1,0)),IF(AND($L$711=0,$P$708=0),"",$L$711-1),IF($R$17="Distrato",$E859,0))),0,YEARFRAC(MAX($P$708*($B859+IF($R$17="Distrato",$I$38-1,0)),IF(AND($L$711=0,$P$708=0),"",$L$711-1),IF($R$17="Distrato",$E859,0)),MIN(AM$38,$D$19),$P$20))-SUM($P859:AL859)</f>
        <v>#VALUE!</v>
      </c>
      <c r="AN859" s="446" t="e">
        <f>IF(OR($B859="",MIN(AN$38,$D$19)&lt;MAX($P$708*($B859+IF($R$17="Distrato",$I$38-1,0)),IF(AND($L$711=0,$P$708=0),"",$L$711-1),IF($R$17="Distrato",$E859,0))),0,YEARFRAC(MAX($P$708*($B859+IF($R$17="Distrato",$I$38-1,0)),IF(AND($L$711=0,$P$708=0),"",$L$711-1),IF($R$17="Distrato",$E859,0)),MIN(AN$38,$D$19),$P$20))-SUM($P859:AM859)</f>
        <v>#VALUE!</v>
      </c>
      <c r="AO859" s="446" t="e">
        <f>IF(OR($B859="",MIN(AO$38,$D$19)&lt;MAX($P$708*($B859+IF($R$17="Distrato",$I$38-1,0)),IF(AND($L$711=0,$P$708=0),"",$L$711-1),IF($R$17="Distrato",$E859,0))),0,YEARFRAC(MAX($P$708*($B859+IF($R$17="Distrato",$I$38-1,0)),IF(AND($L$711=0,$P$708=0),"",$L$711-1),IF($R$17="Distrato",$E859,0)),MIN(AO$38,$D$19),$P$20))-SUM($P859:AN859)</f>
        <v>#VALUE!</v>
      </c>
      <c r="AP859" s="446" t="e">
        <f>IF(OR($B859="",MIN(AP$38,$D$19)&lt;MAX($P$708*($B859+IF($R$17="Distrato",$I$38-1,0)),IF(AND($L$711=0,$P$708=0),"",$L$711-1),IF($R$17="Distrato",$E859,0))),0,YEARFRAC(MAX($P$708*($B859+IF($R$17="Distrato",$I$38-1,0)),IF(AND($L$711=0,$P$708=0),"",$L$711-1),IF($R$17="Distrato",$E859,0)),MIN(AP$38,$D$19),$P$20))-SUM($P859:AO859)</f>
        <v>#VALUE!</v>
      </c>
      <c r="AQ859" s="446" t="e">
        <f>IF(OR($B859="",MIN(AQ$38,$D$19)&lt;MAX($P$708*($B859+IF($R$17="Distrato",$I$38-1,0)),IF(AND($L$711=0,$P$708=0),"",$L$711-1),IF($R$17="Distrato",$E859,0))),0,YEARFRAC(MAX($P$708*($B859+IF($R$17="Distrato",$I$38-1,0)),IF(AND($L$711=0,$P$708=0),"",$L$711-1),IF($R$17="Distrato",$E859,0)),MIN(AQ$38,$D$19),$P$20))-SUM($P859:AP859)</f>
        <v>#VALUE!</v>
      </c>
      <c r="AR859" s="446" t="e">
        <f>IF(OR($B859="",MIN(AR$38,$D$19)&lt;MAX($P$708*($B859+IF($R$17="Distrato",$I$38-1,0)),IF(AND($L$711=0,$P$708=0),"",$L$711-1),IF($R$17="Distrato",$E859,0))),0,YEARFRAC(MAX($P$708*($B859+IF($R$17="Distrato",$I$38-1,0)),IF(AND($L$711=0,$P$708=0),"",$L$711-1),IF($R$17="Distrato",$E859,0)),MIN(AR$38,$D$19),$P$20))-SUM($P859:AQ859)</f>
        <v>#VALUE!</v>
      </c>
      <c r="AS859" s="446" t="e">
        <f>IF(OR($B859="",MIN(AS$38,$D$19)&lt;MAX($P$708*($B859+IF($R$17="Distrato",$I$38-1,0)),IF(AND($L$711=0,$P$708=0),"",$L$711-1),IF($R$17="Distrato",$E859,0))),0,YEARFRAC(MAX($P$708*($B859+IF($R$17="Distrato",$I$38-1,0)),IF(AND($L$711=0,$P$708=0),"",$L$711-1),IF($R$17="Distrato",$E859,0)),MIN(AS$38,$D$19),$P$20))-SUM($P859:AR859)</f>
        <v>#VALUE!</v>
      </c>
      <c r="AT859" s="446" t="e">
        <f>IF(OR($B859="",MIN(AT$38,$D$19)&lt;MAX($P$708*($B859+IF($R$17="Distrato",$I$38-1,0)),IF(AND($L$711=0,$P$708=0),"",$L$711-1),IF($R$17="Distrato",$E859,0))),0,YEARFRAC(MAX($P$708*($B859+IF($R$17="Distrato",$I$38-1,0)),IF(AND($L$711=0,$P$708=0),"",$L$711-1),IF($R$17="Distrato",$E859,0)),MIN(AT$38,$D$19),$P$20))-SUM($P859:AS859)</f>
        <v>#VALUE!</v>
      </c>
      <c r="AU859" s="446" t="e">
        <f>IF(OR($B859="",MIN(AU$38,$D$19)&lt;MAX($P$708*($B859+IF($R$17="Distrato",$I$38-1,0)),IF(AND($L$711=0,$P$708=0),"",$L$711-1),IF($R$17="Distrato",$E859,0))),0,YEARFRAC(MAX($P$708*($B859+IF($R$17="Distrato",$I$38-1,0)),IF(AND($L$711=0,$P$708=0),"",$L$711-1),IF($R$17="Distrato",$E859,0)),MIN(AU$38,$D$19),$P$20))-SUM($P859:AT859)</f>
        <v>#VALUE!</v>
      </c>
      <c r="AV859" s="446" t="e">
        <f>IF(OR($B859="",MIN(AV$38,$D$19)&lt;MAX($P$708*($B859+IF($R$17="Distrato",$I$38-1,0)),IF(AND($L$711=0,$P$708=0),"",$L$711-1),IF($R$17="Distrato",$E859,0))),0,YEARFRAC(MAX($P$708*($B859+IF($R$17="Distrato",$I$38-1,0)),IF(AND($L$711=0,$P$708=0),"",$L$711-1),IF($R$17="Distrato",$E859,0)),MIN(AV$38,$D$19),$P$20))-SUM($P859:AU859)</f>
        <v>#VALUE!</v>
      </c>
      <c r="AW859" s="446" t="e">
        <f>IF(OR($B859="",MIN(AW$38,$D$19)&lt;MAX($P$708*($B859+IF($R$17="Distrato",$I$38-1,0)),IF(AND($L$711=0,$P$708=0),"",$L$711-1),IF($R$17="Distrato",$E859,0))),0,YEARFRAC(MAX($P$708*($B859+IF($R$17="Distrato",$I$38-1,0)),IF(AND($L$711=0,$P$708=0),"",$L$711-1),IF($R$17="Distrato",$E859,0)),MIN(AW$38,$D$19),$P$20))-SUM($P859:AV859)</f>
        <v>#VALUE!</v>
      </c>
      <c r="AX859" s="446" t="e">
        <f>IF(OR($B859="",MIN(AX$38,$D$19)&lt;MAX($P$708*($B859+IF($R$17="Distrato",$I$38-1,0)),IF(AND($L$711=0,$P$708=0),"",$L$711-1),IF($R$17="Distrato",$E859,0))),0,YEARFRAC(MAX($P$708*($B859+IF($R$17="Distrato",$I$38-1,0)),IF(AND($L$711=0,$P$708=0),"",$L$711-1),IF($R$17="Distrato",$E859,0)),MIN(AX$38,$D$19),$P$20))-SUM($P859:AW859)</f>
        <v>#VALUE!</v>
      </c>
      <c r="AY859" s="446" t="e">
        <f>IF(OR($B859="",MIN(AY$38,$D$19)&lt;MAX($P$708*($B859+IF($R$17="Distrato",$I$38-1,0)),IF(AND($L$711=0,$P$708=0),"",$L$711-1),IF($R$17="Distrato",$E859,0))),0,YEARFRAC(MAX($P$708*($B859+IF($R$17="Distrato",$I$38-1,0)),IF(AND($L$711=0,$P$708=0),"",$L$711-1),IF($R$17="Distrato",$E859,0)),MIN(AY$38,$D$19),$P$20))-SUM($P859:AX859)</f>
        <v>#VALUE!</v>
      </c>
      <c r="AZ859" s="446" t="e">
        <f>IF(OR($B859="",MIN(AZ$38,$D$19)&lt;MAX($P$708*($B859+IF($R$17="Distrato",$I$38-1,0)),IF(AND($L$711=0,$P$708=0),"",$L$711-1),IF($R$17="Distrato",$E859,0))),0,YEARFRAC(MAX($P$708*($B859+IF($R$17="Distrato",$I$38-1,0)),IF(AND($L$711=0,$P$708=0),"",$L$711-1),IF($R$17="Distrato",$E859,0)),MIN(AZ$38,$D$19),$P$20))-SUM($P859:AY859)</f>
        <v>#VALUE!</v>
      </c>
      <c r="BA859" s="446" t="e">
        <f>IF(OR($B859="",MIN(BA$38,$D$19)&lt;MAX($P$708*($B859+IF($R$17="Distrato",$I$38-1,0)),IF(AND($L$711=0,$P$708=0),"",$L$711-1),IF($R$17="Distrato",$E859,0))),0,YEARFRAC(MAX($P$708*($B859+IF($R$17="Distrato",$I$38-1,0)),IF(AND($L$711=0,$P$708=0),"",$L$711-1),IF($R$17="Distrato",$E859,0)),MIN(BA$38,$D$19),$P$20))-SUM($P859:AZ859)</f>
        <v>#VALUE!</v>
      </c>
      <c r="BB859" s="447"/>
    </row>
    <row r="860" spans="1:54" s="446" customFormat="1" ht="11.25" hidden="1" customHeight="1" x14ac:dyDescent="0.2">
      <c r="A860" s="235"/>
      <c r="B860" s="236"/>
      <c r="C860" s="29" t="str">
        <f>IF(B860="","",IF($L$709=$BL$25,VLOOKUP(DATE(YEAR($D$19),MONTH($D$19)-1,1),ÍNDICES!$A:$DE,HLOOKUP($BL$25,ÍNDICES!$B$3:$T$4,2)+11)-VLOOKUP(B860,ÍNDICES!$A:$DE,HLOOKUP($BL$25,ÍNDICES!$B$3:$T$4,2)+11)+1%,IF(C$712=$W$26,$J$35,IF(ISERROR(IF(B860&gt;$D$19,1,VLOOKUP(DATE(YEAR(B860),MONTH(B860)+IF($C$709=$S$23,1,0),1),ÍNDICES!$A:$DE,$Z$709+1))),"",IF(B860&gt;$D$19,1,VLOOKUP(DATE(YEAR(B860),MONTH(B860)+IF($C$709=$S$23,1,0),1),ÍNDICES!$A:$DE,$Z$709+1))))))</f>
        <v/>
      </c>
      <c r="D860" s="155"/>
      <c r="E860" s="88"/>
      <c r="F860" s="88"/>
      <c r="G860" s="88"/>
      <c r="H860" s="118"/>
      <c r="I860" s="182">
        <f t="shared" si="129"/>
        <v>0</v>
      </c>
      <c r="J860" s="20">
        <f t="shared" ca="1" si="130"/>
        <v>0</v>
      </c>
      <c r="K860" s="5">
        <f t="shared" ca="1" si="131"/>
        <v>0</v>
      </c>
      <c r="L860" s="61">
        <f t="shared" ca="1" si="132"/>
        <v>0</v>
      </c>
      <c r="M860" s="64">
        <f t="shared" si="133"/>
        <v>0</v>
      </c>
      <c r="N860" s="151"/>
      <c r="O860" s="5">
        <f t="shared" ca="1" si="134"/>
        <v>0</v>
      </c>
      <c r="P860" s="446" t="e">
        <f t="shared" si="135"/>
        <v>#VALUE!</v>
      </c>
      <c r="Q860" s="446" t="e">
        <f>IF(OR($B860="",MIN(Q$38,$D$19)&lt;MAX($P$708*($B860+IF($R$17="Distrato",$I$38-1,0)),IF(AND($L$711=0,$P$708=0),"",$L$711-1),IF($R$17="Distrato",$E860,0))),0,YEARFRAC(MAX($P$708*($B860+IF($R$17="Distrato",$I$38-1,0)),IF(AND($L$711=0,$P$708=0),"",$L$711-1),IF($R$17="Distrato",$E860,0)),MIN(Q$38,$D$19),$P$20))-SUM($P860:P860)</f>
        <v>#VALUE!</v>
      </c>
      <c r="R860" s="446" t="e">
        <f>IF(OR($B860="",MIN(R$38,$D$19)&lt;MAX($P$708*($B860+IF($R$17="Distrato",$I$38-1,0)),IF(AND($L$711=0,$P$708=0),"",$L$711-1),IF($R$17="Distrato",$E860,0))),0,YEARFRAC(MAX($P$708*($B860+IF($R$17="Distrato",$I$38-1,0)),IF(AND($L$711=0,$P$708=0),"",$L$711-1),IF($R$17="Distrato",$E860,0)),MIN(R$38,$D$19),$P$20))-SUM($P860:Q860)</f>
        <v>#VALUE!</v>
      </c>
      <c r="S860" s="446" t="e">
        <f>IF(OR($B860="",MIN(S$38,$D$19)&lt;MAX($P$708*($B860+IF($R$17="Distrato",$I$38-1,0)),IF(AND($L$711=0,$P$708=0),"",$L$711-1),IF($R$17="Distrato",$E860,0))),0,YEARFRAC(MAX($P$708*($B860+IF($R$17="Distrato",$I$38-1,0)),IF(AND($L$711=0,$P$708=0),"",$L$711-1),IF($R$17="Distrato",$E860,0)),MIN(S$38,$D$19),$P$20))-SUM($P860:R860)</f>
        <v>#VALUE!</v>
      </c>
      <c r="T860" s="446" t="e">
        <f>IF(OR($B860="",MIN(T$38,$D$19)&lt;MAX($P$708*($B860+IF($R$17="Distrato",$I$38-1,0)),IF(AND($L$711=0,$P$708=0),"",$L$711-1),IF($R$17="Distrato",$E860,0))),0,YEARFRAC(MAX($P$708*($B860+IF($R$17="Distrato",$I$38-1,0)),IF(AND($L$711=0,$P$708=0),"",$L$711-1),IF($R$17="Distrato",$E860,0)),MIN(T$38,$D$19),$P$20))-SUM($P860:S860)</f>
        <v>#VALUE!</v>
      </c>
      <c r="U860" s="446" t="e">
        <f>IF(OR($B860="",MIN(U$38,$D$19)&lt;MAX($P$708*($B860+IF($R$17="Distrato",$I$38-1,0)),IF(AND($L$711=0,$P$708=0),"",$L$711-1),IF($R$17="Distrato",$E860,0))),0,YEARFRAC(MAX($P$708*($B860+IF($R$17="Distrato",$I$38-1,0)),IF(AND($L$711=0,$P$708=0),"",$L$711-1),IF($R$17="Distrato",$E860,0)),MIN(U$38,$D$19),$P$20))-SUM($P860:T860)</f>
        <v>#VALUE!</v>
      </c>
      <c r="V860" s="446" t="e">
        <f>IF(OR($B860="",MIN(V$38,$D$19)&lt;MAX($P$708*($B860+IF($R$17="Distrato",$I$38-1,0)),IF(AND($L$711=0,$P$708=0),"",$L$711-1),IF($R$17="Distrato",$E860,0))),0,YEARFRAC(MAX($P$708*($B860+IF($R$17="Distrato",$I$38-1,0)),IF(AND($L$711=0,$P$708=0),"",$L$711-1),IF($R$17="Distrato",$E860,0)),MIN(V$38,$D$19),$P$20))-SUM($P860:U860)</f>
        <v>#VALUE!</v>
      </c>
      <c r="W860" s="446" t="e">
        <f>IF(OR($B860="",MIN(W$38,$D$19)&lt;MAX($P$708*($B860+IF($R$17="Distrato",$I$38-1,0)),IF(AND($L$711=0,$P$708=0),"",$L$711-1),IF($R$17="Distrato",$E860,0))),0,YEARFRAC(MAX($P$708*($B860+IF($R$17="Distrato",$I$38-1,0)),IF(AND($L$711=0,$P$708=0),"",$L$711-1),IF($R$17="Distrato",$E860,0)),MIN(W$38,$D$19),$P$20))-SUM($P860:V860)</f>
        <v>#VALUE!</v>
      </c>
      <c r="X860" s="446" t="e">
        <f>IF(OR($B860="",MIN(X$38,$D$19)&lt;MAX($P$708*($B860+IF($R$17="Distrato",$I$38-1,0)),IF(AND($L$711=0,$P$708=0),"",$L$711-1),IF($R$17="Distrato",$E860,0))),0,YEARFRAC(MAX($P$708*($B860+IF($R$17="Distrato",$I$38-1,0)),IF(AND($L$711=0,$P$708=0),"",$L$711-1),IF($R$17="Distrato",$E860,0)),MIN(X$38,$D$19),$P$20))-SUM($P860:W860)</f>
        <v>#VALUE!</v>
      </c>
      <c r="Y860" s="446" t="e">
        <f>IF(OR($B860="",MIN(Y$38,$D$19)&lt;MAX($P$708*($B860+IF($R$17="Distrato",$I$38-1,0)),IF(AND($L$711=0,$P$708=0),"",$L$711-1),IF($R$17="Distrato",$E860,0))),0,YEARFRAC(MAX($P$708*($B860+IF($R$17="Distrato",$I$38-1,0)),IF(AND($L$711=0,$P$708=0),"",$L$711-1),IF($R$17="Distrato",$E860,0)),MIN(Y$38,$D$19),$P$20))-SUM($P860:X860)</f>
        <v>#VALUE!</v>
      </c>
      <c r="Z860" s="446" t="e">
        <f>IF(OR($B860="",MIN(Z$38,$D$19)&lt;MAX($P$708*($B860+IF($R$17="Distrato",$I$38-1,0)),IF(AND($L$711=0,$P$708=0),"",$L$711-1),IF($R$17="Distrato",$E860,0))),0,YEARFRAC(MAX($P$708*($B860+IF($R$17="Distrato",$I$38-1,0)),IF(AND($L$711=0,$P$708=0),"",$L$711-1),IF($R$17="Distrato",$E860,0)),MIN(Z$38,$D$19),$P$20))-SUM($P860:Y860)</f>
        <v>#VALUE!</v>
      </c>
      <c r="AA860" s="446" t="e">
        <f>IF(OR($B860="",MIN(AA$38,$D$19)&lt;MAX($P$708*($B860+IF($R$17="Distrato",$I$38-1,0)),IF(AND($L$711=0,$P$708=0),"",$L$711-1),IF($R$17="Distrato",$E860,0))),0,YEARFRAC(MAX($P$708*($B860+IF($R$17="Distrato",$I$38-1,0)),IF(AND($L$711=0,$P$708=0),"",$L$711-1),IF($R$17="Distrato",$E860,0)),MIN(AA$38,$D$19),$P$20))-SUM($P860:Z860)</f>
        <v>#VALUE!</v>
      </c>
      <c r="AB860" s="446" t="e">
        <f>IF(OR($B860="",MIN(AB$38,$D$19)&lt;MAX($P$708*($B860+IF($R$17="Distrato",$I$38-1,0)),IF(AND($L$711=0,$P$708=0),"",$L$711-1),IF($R$17="Distrato",$E860,0))),0,YEARFRAC(MAX($P$708*($B860+IF($R$17="Distrato",$I$38-1,0)),IF(AND($L$711=0,$P$708=0),"",$L$711-1),IF($R$17="Distrato",$E860,0)),MIN(AB$38,$D$19),$P$20))-SUM($P860:AA860)</f>
        <v>#VALUE!</v>
      </c>
      <c r="AC860" s="446" t="e">
        <f>IF(OR($B860="",MIN(AC$38,$D$19)&lt;MAX($P$708*($B860+IF($R$17="Distrato",$I$38-1,0)),IF(AND($L$711=0,$P$708=0),"",$L$711-1),IF($R$17="Distrato",$E860,0))),0,YEARFRAC(MAX($P$708*($B860+IF($R$17="Distrato",$I$38-1,0)),IF(AND($L$711=0,$P$708=0),"",$L$711-1),IF($R$17="Distrato",$E860,0)),MIN(AC$38,$D$19),$P$20))-SUM($P860:AB860)</f>
        <v>#VALUE!</v>
      </c>
      <c r="AD860" s="446" t="e">
        <f>IF(OR($B860="",MIN(AD$38,$D$19)&lt;MAX($P$708*($B860+IF($R$17="Distrato",$I$38-1,0)),IF(AND($L$711=0,$P$708=0),"",$L$711-1),IF($R$17="Distrato",$E860,0))),0,YEARFRAC(MAX($P$708*($B860+IF($R$17="Distrato",$I$38-1,0)),IF(AND($L$711=0,$P$708=0),"",$L$711-1),IF($R$17="Distrato",$E860,0)),MIN(AD$38,$D$19),$P$20))-SUM($P860:AC860)</f>
        <v>#VALUE!</v>
      </c>
      <c r="AE860" s="446" t="e">
        <f>IF(OR($B860="",MIN(AE$38,$D$19)&lt;MAX($P$708*($B860+IF($R$17="Distrato",$I$38-1,0)),IF(AND($L$711=0,$P$708=0),"",$L$711-1),IF($R$17="Distrato",$E860,0))),0,YEARFRAC(MAX($P$708*($B860+IF($R$17="Distrato",$I$38-1,0)),IF(AND($L$711=0,$P$708=0),"",$L$711-1),IF($R$17="Distrato",$E860,0)),MIN(AE$38,$D$19),$P$20))-SUM($P860:AD860)</f>
        <v>#VALUE!</v>
      </c>
      <c r="AF860" s="446" t="e">
        <f>IF(OR($B860="",MIN(AF$38,$D$19)&lt;MAX($P$708*($B860+IF($R$17="Distrato",$I$38-1,0)),IF(AND($L$711=0,$P$708=0),"",$L$711-1),IF($R$17="Distrato",$E860,0))),0,YEARFRAC(MAX($P$708*($B860+IF($R$17="Distrato",$I$38-1,0)),IF(AND($L$711=0,$P$708=0),"",$L$711-1),IF($R$17="Distrato",$E860,0)),MIN(AF$38,$D$19),$P$20))-SUM($P860:AE860)</f>
        <v>#VALUE!</v>
      </c>
      <c r="AG860" s="446" t="e">
        <f>IF(OR($B860="",MIN(AG$38,$D$19)&lt;MAX($P$708*($B860+IF($R$17="Distrato",$I$38-1,0)),IF(AND($L$711=0,$P$708=0),"",$L$711-1),IF($R$17="Distrato",$E860,0))),0,YEARFRAC(MAX($P$708*($B860+IF($R$17="Distrato",$I$38-1,0)),IF(AND($L$711=0,$P$708=0),"",$L$711-1),IF($R$17="Distrato",$E860,0)),MIN(AG$38,$D$19),$P$20))-SUM($P860:AF860)</f>
        <v>#VALUE!</v>
      </c>
      <c r="AH860" s="446" t="e">
        <f>IF(OR($B860="",MIN(AH$38,$D$19)&lt;MAX($P$708*($B860+IF($R$17="Distrato",$I$38-1,0)),IF(AND($L$711=0,$P$708=0),"",$L$711-1),IF($R$17="Distrato",$E860,0))),0,YEARFRAC(MAX($P$708*($B860+IF($R$17="Distrato",$I$38-1,0)),IF(AND($L$711=0,$P$708=0),"",$L$711-1),IF($R$17="Distrato",$E860,0)),MIN(AH$38,$D$19),$P$20))-SUM($P860:AG860)</f>
        <v>#VALUE!</v>
      </c>
      <c r="AI860" s="446" t="e">
        <f>IF(OR($B860="",MIN(AI$38,$D$19)&lt;MAX($P$708*($B860+IF($R$17="Distrato",$I$38-1,0)),IF(AND($L$711=0,$P$708=0),"",$L$711-1),IF($R$17="Distrato",$E860,0))),0,YEARFRAC(MAX($P$708*($B860+IF($R$17="Distrato",$I$38-1,0)),IF(AND($L$711=0,$P$708=0),"",$L$711-1),IF($R$17="Distrato",$E860,0)),MIN(AI$38,$D$19),$P$20))-SUM($P860:AH860)</f>
        <v>#VALUE!</v>
      </c>
      <c r="AJ860" s="446" t="e">
        <f>IF(OR($B860="",MIN(AJ$38,$D$19)&lt;MAX($P$708*($B860+IF($R$17="Distrato",$I$38-1,0)),IF(AND($L$711=0,$P$708=0),"",$L$711-1),IF($R$17="Distrato",$E860,0))),0,YEARFRAC(MAX($P$708*($B860+IF($R$17="Distrato",$I$38-1,0)),IF(AND($L$711=0,$P$708=0),"",$L$711-1),IF($R$17="Distrato",$E860,0)),MIN(AJ$38,$D$19),$P$20))-SUM($P860:AI860)</f>
        <v>#VALUE!</v>
      </c>
      <c r="AK860" s="446" t="e">
        <f>IF(OR($B860="",MIN(AK$38,$D$19)&lt;MAX($P$708*($B860+IF($R$17="Distrato",$I$38-1,0)),IF(AND($L$711=0,$P$708=0),"",$L$711-1),IF($R$17="Distrato",$E860,0))),0,YEARFRAC(MAX($P$708*($B860+IF($R$17="Distrato",$I$38-1,0)),IF(AND($L$711=0,$P$708=0),"",$L$711-1),IF($R$17="Distrato",$E860,0)),MIN(AK$38,$D$19),$P$20))-SUM($P860:AJ860)</f>
        <v>#VALUE!</v>
      </c>
      <c r="AL860" s="446" t="e">
        <f>IF(OR($B860="",MIN(AL$38,$D$19)&lt;MAX($P$708*($B860+IF($R$17="Distrato",$I$38-1,0)),IF(AND($L$711=0,$P$708=0),"",$L$711-1),IF($R$17="Distrato",$E860,0))),0,YEARFRAC(MAX($P$708*($B860+IF($R$17="Distrato",$I$38-1,0)),IF(AND($L$711=0,$P$708=0),"",$L$711-1),IF($R$17="Distrato",$E860,0)),MIN(AL$38,$D$19),$P$20))-SUM($P860:AK860)</f>
        <v>#VALUE!</v>
      </c>
      <c r="AM860" s="446" t="e">
        <f>IF(OR($B860="",MIN(AM$38,$D$19)&lt;MAX($P$708*($B860+IF($R$17="Distrato",$I$38-1,0)),IF(AND($L$711=0,$P$708=0),"",$L$711-1),IF($R$17="Distrato",$E860,0))),0,YEARFRAC(MAX($P$708*($B860+IF($R$17="Distrato",$I$38-1,0)),IF(AND($L$711=0,$P$708=0),"",$L$711-1),IF($R$17="Distrato",$E860,0)),MIN(AM$38,$D$19),$P$20))-SUM($P860:AL860)</f>
        <v>#VALUE!</v>
      </c>
      <c r="AN860" s="446" t="e">
        <f>IF(OR($B860="",MIN(AN$38,$D$19)&lt;MAX($P$708*($B860+IF($R$17="Distrato",$I$38-1,0)),IF(AND($L$711=0,$P$708=0),"",$L$711-1),IF($R$17="Distrato",$E860,0))),0,YEARFRAC(MAX($P$708*($B860+IF($R$17="Distrato",$I$38-1,0)),IF(AND($L$711=0,$P$708=0),"",$L$711-1),IF($R$17="Distrato",$E860,0)),MIN(AN$38,$D$19),$P$20))-SUM($P860:AM860)</f>
        <v>#VALUE!</v>
      </c>
      <c r="AO860" s="446" t="e">
        <f>IF(OR($B860="",MIN(AO$38,$D$19)&lt;MAX($P$708*($B860+IF($R$17="Distrato",$I$38-1,0)),IF(AND($L$711=0,$P$708=0),"",$L$711-1),IF($R$17="Distrato",$E860,0))),0,YEARFRAC(MAX($P$708*($B860+IF($R$17="Distrato",$I$38-1,0)),IF(AND($L$711=0,$P$708=0),"",$L$711-1),IF($R$17="Distrato",$E860,0)),MIN(AO$38,$D$19),$P$20))-SUM($P860:AN860)</f>
        <v>#VALUE!</v>
      </c>
      <c r="AP860" s="446" t="e">
        <f>IF(OR($B860="",MIN(AP$38,$D$19)&lt;MAX($P$708*($B860+IF($R$17="Distrato",$I$38-1,0)),IF(AND($L$711=0,$P$708=0),"",$L$711-1),IF($R$17="Distrato",$E860,0))),0,YEARFRAC(MAX($P$708*($B860+IF($R$17="Distrato",$I$38-1,0)),IF(AND($L$711=0,$P$708=0),"",$L$711-1),IF($R$17="Distrato",$E860,0)),MIN(AP$38,$D$19),$P$20))-SUM($P860:AO860)</f>
        <v>#VALUE!</v>
      </c>
      <c r="AQ860" s="446" t="e">
        <f>IF(OR($B860="",MIN(AQ$38,$D$19)&lt;MAX($P$708*($B860+IF($R$17="Distrato",$I$38-1,0)),IF(AND($L$711=0,$P$708=0),"",$L$711-1),IF($R$17="Distrato",$E860,0))),0,YEARFRAC(MAX($P$708*($B860+IF($R$17="Distrato",$I$38-1,0)),IF(AND($L$711=0,$P$708=0),"",$L$711-1),IF($R$17="Distrato",$E860,0)),MIN(AQ$38,$D$19),$P$20))-SUM($P860:AP860)</f>
        <v>#VALUE!</v>
      </c>
      <c r="AR860" s="446" t="e">
        <f>IF(OR($B860="",MIN(AR$38,$D$19)&lt;MAX($P$708*($B860+IF($R$17="Distrato",$I$38-1,0)),IF(AND($L$711=0,$P$708=0),"",$L$711-1),IF($R$17="Distrato",$E860,0))),0,YEARFRAC(MAX($P$708*($B860+IF($R$17="Distrato",$I$38-1,0)),IF(AND($L$711=0,$P$708=0),"",$L$711-1),IF($R$17="Distrato",$E860,0)),MIN(AR$38,$D$19),$P$20))-SUM($P860:AQ860)</f>
        <v>#VALUE!</v>
      </c>
      <c r="AS860" s="446" t="e">
        <f>IF(OR($B860="",MIN(AS$38,$D$19)&lt;MAX($P$708*($B860+IF($R$17="Distrato",$I$38-1,0)),IF(AND($L$711=0,$P$708=0),"",$L$711-1),IF($R$17="Distrato",$E860,0))),0,YEARFRAC(MAX($P$708*($B860+IF($R$17="Distrato",$I$38-1,0)),IF(AND($L$711=0,$P$708=0),"",$L$711-1),IF($R$17="Distrato",$E860,0)),MIN(AS$38,$D$19),$P$20))-SUM($P860:AR860)</f>
        <v>#VALUE!</v>
      </c>
      <c r="AT860" s="446" t="e">
        <f>IF(OR($B860="",MIN(AT$38,$D$19)&lt;MAX($P$708*($B860+IF($R$17="Distrato",$I$38-1,0)),IF(AND($L$711=0,$P$708=0),"",$L$711-1),IF($R$17="Distrato",$E860,0))),0,YEARFRAC(MAX($P$708*($B860+IF($R$17="Distrato",$I$38-1,0)),IF(AND($L$711=0,$P$708=0),"",$L$711-1),IF($R$17="Distrato",$E860,0)),MIN(AT$38,$D$19),$P$20))-SUM($P860:AS860)</f>
        <v>#VALUE!</v>
      </c>
      <c r="AU860" s="446" t="e">
        <f>IF(OR($B860="",MIN(AU$38,$D$19)&lt;MAX($P$708*($B860+IF($R$17="Distrato",$I$38-1,0)),IF(AND($L$711=0,$P$708=0),"",$L$711-1),IF($R$17="Distrato",$E860,0))),0,YEARFRAC(MAX($P$708*($B860+IF($R$17="Distrato",$I$38-1,0)),IF(AND($L$711=0,$P$708=0),"",$L$711-1),IF($R$17="Distrato",$E860,0)),MIN(AU$38,$D$19),$P$20))-SUM($P860:AT860)</f>
        <v>#VALUE!</v>
      </c>
      <c r="AV860" s="446" t="e">
        <f>IF(OR($B860="",MIN(AV$38,$D$19)&lt;MAX($P$708*($B860+IF($R$17="Distrato",$I$38-1,0)),IF(AND($L$711=0,$P$708=0),"",$L$711-1),IF($R$17="Distrato",$E860,0))),0,YEARFRAC(MAX($P$708*($B860+IF($R$17="Distrato",$I$38-1,0)),IF(AND($L$711=0,$P$708=0),"",$L$711-1),IF($R$17="Distrato",$E860,0)),MIN(AV$38,$D$19),$P$20))-SUM($P860:AU860)</f>
        <v>#VALUE!</v>
      </c>
      <c r="AW860" s="446" t="e">
        <f>IF(OR($B860="",MIN(AW$38,$D$19)&lt;MAX($P$708*($B860+IF($R$17="Distrato",$I$38-1,0)),IF(AND($L$711=0,$P$708=0),"",$L$711-1),IF($R$17="Distrato",$E860,0))),0,YEARFRAC(MAX($P$708*($B860+IF($R$17="Distrato",$I$38-1,0)),IF(AND($L$711=0,$P$708=0),"",$L$711-1),IF($R$17="Distrato",$E860,0)),MIN(AW$38,$D$19),$P$20))-SUM($P860:AV860)</f>
        <v>#VALUE!</v>
      </c>
      <c r="AX860" s="446" t="e">
        <f>IF(OR($B860="",MIN(AX$38,$D$19)&lt;MAX($P$708*($B860+IF($R$17="Distrato",$I$38-1,0)),IF(AND($L$711=0,$P$708=0),"",$L$711-1),IF($R$17="Distrato",$E860,0))),0,YEARFRAC(MAX($P$708*($B860+IF($R$17="Distrato",$I$38-1,0)),IF(AND($L$711=0,$P$708=0),"",$L$711-1),IF($R$17="Distrato",$E860,0)),MIN(AX$38,$D$19),$P$20))-SUM($P860:AW860)</f>
        <v>#VALUE!</v>
      </c>
      <c r="AY860" s="446" t="e">
        <f>IF(OR($B860="",MIN(AY$38,$D$19)&lt;MAX($P$708*($B860+IF($R$17="Distrato",$I$38-1,0)),IF(AND($L$711=0,$P$708=0),"",$L$711-1),IF($R$17="Distrato",$E860,0))),0,YEARFRAC(MAX($P$708*($B860+IF($R$17="Distrato",$I$38-1,0)),IF(AND($L$711=0,$P$708=0),"",$L$711-1),IF($R$17="Distrato",$E860,0)),MIN(AY$38,$D$19),$P$20))-SUM($P860:AX860)</f>
        <v>#VALUE!</v>
      </c>
      <c r="AZ860" s="446" t="e">
        <f>IF(OR($B860="",MIN(AZ$38,$D$19)&lt;MAX($P$708*($B860+IF($R$17="Distrato",$I$38-1,0)),IF(AND($L$711=0,$P$708=0),"",$L$711-1),IF($R$17="Distrato",$E860,0))),0,YEARFRAC(MAX($P$708*($B860+IF($R$17="Distrato",$I$38-1,0)),IF(AND($L$711=0,$P$708=0),"",$L$711-1),IF($R$17="Distrato",$E860,0)),MIN(AZ$38,$D$19),$P$20))-SUM($P860:AY860)</f>
        <v>#VALUE!</v>
      </c>
      <c r="BA860" s="446" t="e">
        <f>IF(OR($B860="",MIN(BA$38,$D$19)&lt;MAX($P$708*($B860+IF($R$17="Distrato",$I$38-1,0)),IF(AND($L$711=0,$P$708=0),"",$L$711-1),IF($R$17="Distrato",$E860,0))),0,YEARFRAC(MAX($P$708*($B860+IF($R$17="Distrato",$I$38-1,0)),IF(AND($L$711=0,$P$708=0),"",$L$711-1),IF($R$17="Distrato",$E860,0)),MIN(BA$38,$D$19),$P$20))-SUM($P860:AZ860)</f>
        <v>#VALUE!</v>
      </c>
      <c r="BB860" s="447"/>
    </row>
    <row r="861" spans="1:54" s="446" customFormat="1" ht="11.25" hidden="1" customHeight="1" x14ac:dyDescent="0.2">
      <c r="A861" s="235"/>
      <c r="B861" s="236"/>
      <c r="C861" s="29" t="str">
        <f>IF(B861="","",IF($L$709=$BL$25,VLOOKUP(DATE(YEAR($D$19),MONTH($D$19)-1,1),ÍNDICES!$A:$DE,HLOOKUP($BL$25,ÍNDICES!$B$3:$T$4,2)+11)-VLOOKUP(B861,ÍNDICES!$A:$DE,HLOOKUP($BL$25,ÍNDICES!$B$3:$T$4,2)+11)+1%,IF(C$712=$W$26,$J$35,IF(ISERROR(IF(B861&gt;$D$19,1,VLOOKUP(DATE(YEAR(B861),MONTH(B861)+IF($C$709=$S$23,1,0),1),ÍNDICES!$A:$DE,$Z$709+1))),"",IF(B861&gt;$D$19,1,VLOOKUP(DATE(YEAR(B861),MONTH(B861)+IF($C$709=$S$23,1,0),1),ÍNDICES!$A:$DE,$Z$709+1))))))</f>
        <v/>
      </c>
      <c r="D861" s="155"/>
      <c r="E861" s="88"/>
      <c r="F861" s="88"/>
      <c r="G861" s="88"/>
      <c r="H861" s="118"/>
      <c r="I861" s="182">
        <f t="shared" si="129"/>
        <v>0</v>
      </c>
      <c r="J861" s="20">
        <f t="shared" ca="1" si="130"/>
        <v>0</v>
      </c>
      <c r="K861" s="5">
        <f t="shared" ca="1" si="131"/>
        <v>0</v>
      </c>
      <c r="L861" s="61">
        <f t="shared" ca="1" si="132"/>
        <v>0</v>
      </c>
      <c r="M861" s="64">
        <f t="shared" si="133"/>
        <v>0</v>
      </c>
      <c r="N861" s="151"/>
      <c r="O861" s="5">
        <f t="shared" ca="1" si="134"/>
        <v>0</v>
      </c>
      <c r="P861" s="446" t="e">
        <f t="shared" si="135"/>
        <v>#VALUE!</v>
      </c>
      <c r="Q861" s="446" t="e">
        <f>IF(OR($B861="",MIN(Q$38,$D$19)&lt;MAX($P$708*($B861+IF($R$17="Distrato",$I$38-1,0)),IF(AND($L$711=0,$P$708=0),"",$L$711-1),IF($R$17="Distrato",$E861,0))),0,YEARFRAC(MAX($P$708*($B861+IF($R$17="Distrato",$I$38-1,0)),IF(AND($L$711=0,$P$708=0),"",$L$711-1),IF($R$17="Distrato",$E861,0)),MIN(Q$38,$D$19),$P$20))-SUM($P861:P861)</f>
        <v>#VALUE!</v>
      </c>
      <c r="R861" s="446" t="e">
        <f>IF(OR($B861="",MIN(R$38,$D$19)&lt;MAX($P$708*($B861+IF($R$17="Distrato",$I$38-1,0)),IF(AND($L$711=0,$P$708=0),"",$L$711-1),IF($R$17="Distrato",$E861,0))),0,YEARFRAC(MAX($P$708*($B861+IF($R$17="Distrato",$I$38-1,0)),IF(AND($L$711=0,$P$708=0),"",$L$711-1),IF($R$17="Distrato",$E861,0)),MIN(R$38,$D$19),$P$20))-SUM($P861:Q861)</f>
        <v>#VALUE!</v>
      </c>
      <c r="S861" s="446" t="e">
        <f>IF(OR($B861="",MIN(S$38,$D$19)&lt;MAX($P$708*($B861+IF($R$17="Distrato",$I$38-1,0)),IF(AND($L$711=0,$P$708=0),"",$L$711-1),IF($R$17="Distrato",$E861,0))),0,YEARFRAC(MAX($P$708*($B861+IF($R$17="Distrato",$I$38-1,0)),IF(AND($L$711=0,$P$708=0),"",$L$711-1),IF($R$17="Distrato",$E861,0)),MIN(S$38,$D$19),$P$20))-SUM($P861:R861)</f>
        <v>#VALUE!</v>
      </c>
      <c r="T861" s="446" t="e">
        <f>IF(OR($B861="",MIN(T$38,$D$19)&lt;MAX($P$708*($B861+IF($R$17="Distrato",$I$38-1,0)),IF(AND($L$711=0,$P$708=0),"",$L$711-1),IF($R$17="Distrato",$E861,0))),0,YEARFRAC(MAX($P$708*($B861+IF($R$17="Distrato",$I$38-1,0)),IF(AND($L$711=0,$P$708=0),"",$L$711-1),IF($R$17="Distrato",$E861,0)),MIN(T$38,$D$19),$P$20))-SUM($P861:S861)</f>
        <v>#VALUE!</v>
      </c>
      <c r="U861" s="446" t="e">
        <f>IF(OR($B861="",MIN(U$38,$D$19)&lt;MAX($P$708*($B861+IF($R$17="Distrato",$I$38-1,0)),IF(AND($L$711=0,$P$708=0),"",$L$711-1),IF($R$17="Distrato",$E861,0))),0,YEARFRAC(MAX($P$708*($B861+IF($R$17="Distrato",$I$38-1,0)),IF(AND($L$711=0,$P$708=0),"",$L$711-1),IF($R$17="Distrato",$E861,0)),MIN(U$38,$D$19),$P$20))-SUM($P861:T861)</f>
        <v>#VALUE!</v>
      </c>
      <c r="V861" s="446" t="e">
        <f>IF(OR($B861="",MIN(V$38,$D$19)&lt;MAX($P$708*($B861+IF($R$17="Distrato",$I$38-1,0)),IF(AND($L$711=0,$P$708=0),"",$L$711-1),IF($R$17="Distrato",$E861,0))),0,YEARFRAC(MAX($P$708*($B861+IF($R$17="Distrato",$I$38-1,0)),IF(AND($L$711=0,$P$708=0),"",$L$711-1),IF($R$17="Distrato",$E861,0)),MIN(V$38,$D$19),$P$20))-SUM($P861:U861)</f>
        <v>#VALUE!</v>
      </c>
      <c r="W861" s="446" t="e">
        <f>IF(OR($B861="",MIN(W$38,$D$19)&lt;MAX($P$708*($B861+IF($R$17="Distrato",$I$38-1,0)),IF(AND($L$711=0,$P$708=0),"",$L$711-1),IF($R$17="Distrato",$E861,0))),0,YEARFRAC(MAX($P$708*($B861+IF($R$17="Distrato",$I$38-1,0)),IF(AND($L$711=0,$P$708=0),"",$L$711-1),IF($R$17="Distrato",$E861,0)),MIN(W$38,$D$19),$P$20))-SUM($P861:V861)</f>
        <v>#VALUE!</v>
      </c>
      <c r="X861" s="446" t="e">
        <f>IF(OR($B861="",MIN(X$38,$D$19)&lt;MAX($P$708*($B861+IF($R$17="Distrato",$I$38-1,0)),IF(AND($L$711=0,$P$708=0),"",$L$711-1),IF($R$17="Distrato",$E861,0))),0,YEARFRAC(MAX($P$708*($B861+IF($R$17="Distrato",$I$38-1,0)),IF(AND($L$711=0,$P$708=0),"",$L$711-1),IF($R$17="Distrato",$E861,0)),MIN(X$38,$D$19),$P$20))-SUM($P861:W861)</f>
        <v>#VALUE!</v>
      </c>
      <c r="Y861" s="446" t="e">
        <f>IF(OR($B861="",MIN(Y$38,$D$19)&lt;MAX($P$708*($B861+IF($R$17="Distrato",$I$38-1,0)),IF(AND($L$711=0,$P$708=0),"",$L$711-1),IF($R$17="Distrato",$E861,0))),0,YEARFRAC(MAX($P$708*($B861+IF($R$17="Distrato",$I$38-1,0)),IF(AND($L$711=0,$P$708=0),"",$L$711-1),IF($R$17="Distrato",$E861,0)),MIN(Y$38,$D$19),$P$20))-SUM($P861:X861)</f>
        <v>#VALUE!</v>
      </c>
      <c r="Z861" s="446" t="e">
        <f>IF(OR($B861="",MIN(Z$38,$D$19)&lt;MAX($P$708*($B861+IF($R$17="Distrato",$I$38-1,0)),IF(AND($L$711=0,$P$708=0),"",$L$711-1),IF($R$17="Distrato",$E861,0))),0,YEARFRAC(MAX($P$708*($B861+IF($R$17="Distrato",$I$38-1,0)),IF(AND($L$711=0,$P$708=0),"",$L$711-1),IF($R$17="Distrato",$E861,0)),MIN(Z$38,$D$19),$P$20))-SUM($P861:Y861)</f>
        <v>#VALUE!</v>
      </c>
      <c r="AA861" s="446" t="e">
        <f>IF(OR($B861="",MIN(AA$38,$D$19)&lt;MAX($P$708*($B861+IF($R$17="Distrato",$I$38-1,0)),IF(AND($L$711=0,$P$708=0),"",$L$711-1),IF($R$17="Distrato",$E861,0))),0,YEARFRAC(MAX($P$708*($B861+IF($R$17="Distrato",$I$38-1,0)),IF(AND($L$711=0,$P$708=0),"",$L$711-1),IF($R$17="Distrato",$E861,0)),MIN(AA$38,$D$19),$P$20))-SUM($P861:Z861)</f>
        <v>#VALUE!</v>
      </c>
      <c r="AB861" s="446" t="e">
        <f>IF(OR($B861="",MIN(AB$38,$D$19)&lt;MAX($P$708*($B861+IF($R$17="Distrato",$I$38-1,0)),IF(AND($L$711=0,$P$708=0),"",$L$711-1),IF($R$17="Distrato",$E861,0))),0,YEARFRAC(MAX($P$708*($B861+IF($R$17="Distrato",$I$38-1,0)),IF(AND($L$711=0,$P$708=0),"",$L$711-1),IF($R$17="Distrato",$E861,0)),MIN(AB$38,$D$19),$P$20))-SUM($P861:AA861)</f>
        <v>#VALUE!</v>
      </c>
      <c r="AC861" s="446" t="e">
        <f>IF(OR($B861="",MIN(AC$38,$D$19)&lt;MAX($P$708*($B861+IF($R$17="Distrato",$I$38-1,0)),IF(AND($L$711=0,$P$708=0),"",$L$711-1),IF($R$17="Distrato",$E861,0))),0,YEARFRAC(MAX($P$708*($B861+IF($R$17="Distrato",$I$38-1,0)),IF(AND($L$711=0,$P$708=0),"",$L$711-1),IF($R$17="Distrato",$E861,0)),MIN(AC$38,$D$19),$P$20))-SUM($P861:AB861)</f>
        <v>#VALUE!</v>
      </c>
      <c r="AD861" s="446" t="e">
        <f>IF(OR($B861="",MIN(AD$38,$D$19)&lt;MAX($P$708*($B861+IF($R$17="Distrato",$I$38-1,0)),IF(AND($L$711=0,$P$708=0),"",$L$711-1),IF($R$17="Distrato",$E861,0))),0,YEARFRAC(MAX($P$708*($B861+IF($R$17="Distrato",$I$38-1,0)),IF(AND($L$711=0,$P$708=0),"",$L$711-1),IF($R$17="Distrato",$E861,0)),MIN(AD$38,$D$19),$P$20))-SUM($P861:AC861)</f>
        <v>#VALUE!</v>
      </c>
      <c r="AE861" s="446" t="e">
        <f>IF(OR($B861="",MIN(AE$38,$D$19)&lt;MAX($P$708*($B861+IF($R$17="Distrato",$I$38-1,0)),IF(AND($L$711=0,$P$708=0),"",$L$711-1),IF($R$17="Distrato",$E861,0))),0,YEARFRAC(MAX($P$708*($B861+IF($R$17="Distrato",$I$38-1,0)),IF(AND($L$711=0,$P$708=0),"",$L$711-1),IF($R$17="Distrato",$E861,0)),MIN(AE$38,$D$19),$P$20))-SUM($P861:AD861)</f>
        <v>#VALUE!</v>
      </c>
      <c r="AF861" s="446" t="e">
        <f>IF(OR($B861="",MIN(AF$38,$D$19)&lt;MAX($P$708*($B861+IF($R$17="Distrato",$I$38-1,0)),IF(AND($L$711=0,$P$708=0),"",$L$711-1),IF($R$17="Distrato",$E861,0))),0,YEARFRAC(MAX($P$708*($B861+IF($R$17="Distrato",$I$38-1,0)),IF(AND($L$711=0,$P$708=0),"",$L$711-1),IF($R$17="Distrato",$E861,0)),MIN(AF$38,$D$19),$P$20))-SUM($P861:AE861)</f>
        <v>#VALUE!</v>
      </c>
      <c r="AG861" s="446" t="e">
        <f>IF(OR($B861="",MIN(AG$38,$D$19)&lt;MAX($P$708*($B861+IF($R$17="Distrato",$I$38-1,0)),IF(AND($L$711=0,$P$708=0),"",$L$711-1),IF($R$17="Distrato",$E861,0))),0,YEARFRAC(MAX($P$708*($B861+IF($R$17="Distrato",$I$38-1,0)),IF(AND($L$711=0,$P$708=0),"",$L$711-1),IF($R$17="Distrato",$E861,0)),MIN(AG$38,$D$19),$P$20))-SUM($P861:AF861)</f>
        <v>#VALUE!</v>
      </c>
      <c r="AH861" s="446" t="e">
        <f>IF(OR($B861="",MIN(AH$38,$D$19)&lt;MAX($P$708*($B861+IF($R$17="Distrato",$I$38-1,0)),IF(AND($L$711=0,$P$708=0),"",$L$711-1),IF($R$17="Distrato",$E861,0))),0,YEARFRAC(MAX($P$708*($B861+IF($R$17="Distrato",$I$38-1,0)),IF(AND($L$711=0,$P$708=0),"",$L$711-1),IF($R$17="Distrato",$E861,0)),MIN(AH$38,$D$19),$P$20))-SUM($P861:AG861)</f>
        <v>#VALUE!</v>
      </c>
      <c r="AI861" s="446" t="e">
        <f>IF(OR($B861="",MIN(AI$38,$D$19)&lt;MAX($P$708*($B861+IF($R$17="Distrato",$I$38-1,0)),IF(AND($L$711=0,$P$708=0),"",$L$711-1),IF($R$17="Distrato",$E861,0))),0,YEARFRAC(MAX($P$708*($B861+IF($R$17="Distrato",$I$38-1,0)),IF(AND($L$711=0,$P$708=0),"",$L$711-1),IF($R$17="Distrato",$E861,0)),MIN(AI$38,$D$19),$P$20))-SUM($P861:AH861)</f>
        <v>#VALUE!</v>
      </c>
      <c r="AJ861" s="446" t="e">
        <f>IF(OR($B861="",MIN(AJ$38,$D$19)&lt;MAX($P$708*($B861+IF($R$17="Distrato",$I$38-1,0)),IF(AND($L$711=0,$P$708=0),"",$L$711-1),IF($R$17="Distrato",$E861,0))),0,YEARFRAC(MAX($P$708*($B861+IF($R$17="Distrato",$I$38-1,0)),IF(AND($L$711=0,$P$708=0),"",$L$711-1),IF($R$17="Distrato",$E861,0)),MIN(AJ$38,$D$19),$P$20))-SUM($P861:AI861)</f>
        <v>#VALUE!</v>
      </c>
      <c r="AK861" s="446" t="e">
        <f>IF(OR($B861="",MIN(AK$38,$D$19)&lt;MAX($P$708*($B861+IF($R$17="Distrato",$I$38-1,0)),IF(AND($L$711=0,$P$708=0),"",$L$711-1),IF($R$17="Distrato",$E861,0))),0,YEARFRAC(MAX($P$708*($B861+IF($R$17="Distrato",$I$38-1,0)),IF(AND($L$711=0,$P$708=0),"",$L$711-1),IF($R$17="Distrato",$E861,0)),MIN(AK$38,$D$19),$P$20))-SUM($P861:AJ861)</f>
        <v>#VALUE!</v>
      </c>
      <c r="AL861" s="446" t="e">
        <f>IF(OR($B861="",MIN(AL$38,$D$19)&lt;MAX($P$708*($B861+IF($R$17="Distrato",$I$38-1,0)),IF(AND($L$711=0,$P$708=0),"",$L$711-1),IF($R$17="Distrato",$E861,0))),0,YEARFRAC(MAX($P$708*($B861+IF($R$17="Distrato",$I$38-1,0)),IF(AND($L$711=0,$P$708=0),"",$L$711-1),IF($R$17="Distrato",$E861,0)),MIN(AL$38,$D$19),$P$20))-SUM($P861:AK861)</f>
        <v>#VALUE!</v>
      </c>
      <c r="AM861" s="446" t="e">
        <f>IF(OR($B861="",MIN(AM$38,$D$19)&lt;MAX($P$708*($B861+IF($R$17="Distrato",$I$38-1,0)),IF(AND($L$711=0,$P$708=0),"",$L$711-1),IF($R$17="Distrato",$E861,0))),0,YEARFRAC(MAX($P$708*($B861+IF($R$17="Distrato",$I$38-1,0)),IF(AND($L$711=0,$P$708=0),"",$L$711-1),IF($R$17="Distrato",$E861,0)),MIN(AM$38,$D$19),$P$20))-SUM($P861:AL861)</f>
        <v>#VALUE!</v>
      </c>
      <c r="AN861" s="446" t="e">
        <f>IF(OR($B861="",MIN(AN$38,$D$19)&lt;MAX($P$708*($B861+IF($R$17="Distrato",$I$38-1,0)),IF(AND($L$711=0,$P$708=0),"",$L$711-1),IF($R$17="Distrato",$E861,0))),0,YEARFRAC(MAX($P$708*($B861+IF($R$17="Distrato",$I$38-1,0)),IF(AND($L$711=0,$P$708=0),"",$L$711-1),IF($R$17="Distrato",$E861,0)),MIN(AN$38,$D$19),$P$20))-SUM($P861:AM861)</f>
        <v>#VALUE!</v>
      </c>
      <c r="AO861" s="446" t="e">
        <f>IF(OR($B861="",MIN(AO$38,$D$19)&lt;MAX($P$708*($B861+IF($R$17="Distrato",$I$38-1,0)),IF(AND($L$711=0,$P$708=0),"",$L$711-1),IF($R$17="Distrato",$E861,0))),0,YEARFRAC(MAX($P$708*($B861+IF($R$17="Distrato",$I$38-1,0)),IF(AND($L$711=0,$P$708=0),"",$L$711-1),IF($R$17="Distrato",$E861,0)),MIN(AO$38,$D$19),$P$20))-SUM($P861:AN861)</f>
        <v>#VALUE!</v>
      </c>
      <c r="AP861" s="446" t="e">
        <f>IF(OR($B861="",MIN(AP$38,$D$19)&lt;MAX($P$708*($B861+IF($R$17="Distrato",$I$38-1,0)),IF(AND($L$711=0,$P$708=0),"",$L$711-1),IF($R$17="Distrato",$E861,0))),0,YEARFRAC(MAX($P$708*($B861+IF($R$17="Distrato",$I$38-1,0)),IF(AND($L$711=0,$P$708=0),"",$L$711-1),IF($R$17="Distrato",$E861,0)),MIN(AP$38,$D$19),$P$20))-SUM($P861:AO861)</f>
        <v>#VALUE!</v>
      </c>
      <c r="AQ861" s="446" t="e">
        <f>IF(OR($B861="",MIN(AQ$38,$D$19)&lt;MAX($P$708*($B861+IF($R$17="Distrato",$I$38-1,0)),IF(AND($L$711=0,$P$708=0),"",$L$711-1),IF($R$17="Distrato",$E861,0))),0,YEARFRAC(MAX($P$708*($B861+IF($R$17="Distrato",$I$38-1,0)),IF(AND($L$711=0,$P$708=0),"",$L$711-1),IF($R$17="Distrato",$E861,0)),MIN(AQ$38,$D$19),$P$20))-SUM($P861:AP861)</f>
        <v>#VALUE!</v>
      </c>
      <c r="AR861" s="446" t="e">
        <f>IF(OR($B861="",MIN(AR$38,$D$19)&lt;MAX($P$708*($B861+IF($R$17="Distrato",$I$38-1,0)),IF(AND($L$711=0,$P$708=0),"",$L$711-1),IF($R$17="Distrato",$E861,0))),0,YEARFRAC(MAX($P$708*($B861+IF($R$17="Distrato",$I$38-1,0)),IF(AND($L$711=0,$P$708=0),"",$L$711-1),IF($R$17="Distrato",$E861,0)),MIN(AR$38,$D$19),$P$20))-SUM($P861:AQ861)</f>
        <v>#VALUE!</v>
      </c>
      <c r="AS861" s="446" t="e">
        <f>IF(OR($B861="",MIN(AS$38,$D$19)&lt;MAX($P$708*($B861+IF($R$17="Distrato",$I$38-1,0)),IF(AND($L$711=0,$P$708=0),"",$L$711-1),IF($R$17="Distrato",$E861,0))),0,YEARFRAC(MAX($P$708*($B861+IF($R$17="Distrato",$I$38-1,0)),IF(AND($L$711=0,$P$708=0),"",$L$711-1),IF($R$17="Distrato",$E861,0)),MIN(AS$38,$D$19),$P$20))-SUM($P861:AR861)</f>
        <v>#VALUE!</v>
      </c>
      <c r="AT861" s="446" t="e">
        <f>IF(OR($B861="",MIN(AT$38,$D$19)&lt;MAX($P$708*($B861+IF($R$17="Distrato",$I$38-1,0)),IF(AND($L$711=0,$P$708=0),"",$L$711-1),IF($R$17="Distrato",$E861,0))),0,YEARFRAC(MAX($P$708*($B861+IF($R$17="Distrato",$I$38-1,0)),IF(AND($L$711=0,$P$708=0),"",$L$711-1),IF($R$17="Distrato",$E861,0)),MIN(AT$38,$D$19),$P$20))-SUM($P861:AS861)</f>
        <v>#VALUE!</v>
      </c>
      <c r="AU861" s="446" t="e">
        <f>IF(OR($B861="",MIN(AU$38,$D$19)&lt;MAX($P$708*($B861+IF($R$17="Distrato",$I$38-1,0)),IF(AND($L$711=0,$P$708=0),"",$L$711-1),IF($R$17="Distrato",$E861,0))),0,YEARFRAC(MAX($P$708*($B861+IF($R$17="Distrato",$I$38-1,0)),IF(AND($L$711=0,$P$708=0),"",$L$711-1),IF($R$17="Distrato",$E861,0)),MIN(AU$38,$D$19),$P$20))-SUM($P861:AT861)</f>
        <v>#VALUE!</v>
      </c>
      <c r="AV861" s="446" t="e">
        <f>IF(OR($B861="",MIN(AV$38,$D$19)&lt;MAX($P$708*($B861+IF($R$17="Distrato",$I$38-1,0)),IF(AND($L$711=0,$P$708=0),"",$L$711-1),IF($R$17="Distrato",$E861,0))),0,YEARFRAC(MAX($P$708*($B861+IF($R$17="Distrato",$I$38-1,0)),IF(AND($L$711=0,$P$708=0),"",$L$711-1),IF($R$17="Distrato",$E861,0)),MIN(AV$38,$D$19),$P$20))-SUM($P861:AU861)</f>
        <v>#VALUE!</v>
      </c>
      <c r="AW861" s="446" t="e">
        <f>IF(OR($B861="",MIN(AW$38,$D$19)&lt;MAX($P$708*($B861+IF($R$17="Distrato",$I$38-1,0)),IF(AND($L$711=0,$P$708=0),"",$L$711-1),IF($R$17="Distrato",$E861,0))),0,YEARFRAC(MAX($P$708*($B861+IF($R$17="Distrato",$I$38-1,0)),IF(AND($L$711=0,$P$708=0),"",$L$711-1),IF($R$17="Distrato",$E861,0)),MIN(AW$38,$D$19),$P$20))-SUM($P861:AV861)</f>
        <v>#VALUE!</v>
      </c>
      <c r="AX861" s="446" t="e">
        <f>IF(OR($B861="",MIN(AX$38,$D$19)&lt;MAX($P$708*($B861+IF($R$17="Distrato",$I$38-1,0)),IF(AND($L$711=0,$P$708=0),"",$L$711-1),IF($R$17="Distrato",$E861,0))),0,YEARFRAC(MAX($P$708*($B861+IF($R$17="Distrato",$I$38-1,0)),IF(AND($L$711=0,$P$708=0),"",$L$711-1),IF($R$17="Distrato",$E861,0)),MIN(AX$38,$D$19),$P$20))-SUM($P861:AW861)</f>
        <v>#VALUE!</v>
      </c>
      <c r="AY861" s="446" t="e">
        <f>IF(OR($B861="",MIN(AY$38,$D$19)&lt;MAX($P$708*($B861+IF($R$17="Distrato",$I$38-1,0)),IF(AND($L$711=0,$P$708=0),"",$L$711-1),IF($R$17="Distrato",$E861,0))),0,YEARFRAC(MAX($P$708*($B861+IF($R$17="Distrato",$I$38-1,0)),IF(AND($L$711=0,$P$708=0),"",$L$711-1),IF($R$17="Distrato",$E861,0)),MIN(AY$38,$D$19),$P$20))-SUM($P861:AX861)</f>
        <v>#VALUE!</v>
      </c>
      <c r="AZ861" s="446" t="e">
        <f>IF(OR($B861="",MIN(AZ$38,$D$19)&lt;MAX($P$708*($B861+IF($R$17="Distrato",$I$38-1,0)),IF(AND($L$711=0,$P$708=0),"",$L$711-1),IF($R$17="Distrato",$E861,0))),0,YEARFRAC(MAX($P$708*($B861+IF($R$17="Distrato",$I$38-1,0)),IF(AND($L$711=0,$P$708=0),"",$L$711-1),IF($R$17="Distrato",$E861,0)),MIN(AZ$38,$D$19),$P$20))-SUM($P861:AY861)</f>
        <v>#VALUE!</v>
      </c>
      <c r="BA861" s="446" t="e">
        <f>IF(OR($B861="",MIN(BA$38,$D$19)&lt;MAX($P$708*($B861+IF($R$17="Distrato",$I$38-1,0)),IF(AND($L$711=0,$P$708=0),"",$L$711-1),IF($R$17="Distrato",$E861,0))),0,YEARFRAC(MAX($P$708*($B861+IF($R$17="Distrato",$I$38-1,0)),IF(AND($L$711=0,$P$708=0),"",$L$711-1),IF($R$17="Distrato",$E861,0)),MIN(BA$38,$D$19),$P$20))-SUM($P861:AZ861)</f>
        <v>#VALUE!</v>
      </c>
      <c r="BB861" s="447"/>
    </row>
    <row r="862" spans="1:54" s="446" customFormat="1" ht="11.25" hidden="1" customHeight="1" x14ac:dyDescent="0.2">
      <c r="A862" s="235"/>
      <c r="B862" s="236"/>
      <c r="C862" s="29" t="str">
        <f>IF(B862="","",IF($L$709=$BL$25,VLOOKUP(DATE(YEAR($D$19),MONTH($D$19)-1,1),ÍNDICES!$A:$DE,HLOOKUP($BL$25,ÍNDICES!$B$3:$T$4,2)+11)-VLOOKUP(B862,ÍNDICES!$A:$DE,HLOOKUP($BL$25,ÍNDICES!$B$3:$T$4,2)+11)+1%,IF(C$712=$W$26,$J$35,IF(ISERROR(IF(B862&gt;$D$19,1,VLOOKUP(DATE(YEAR(B862),MONTH(B862)+IF($C$709=$S$23,1,0),1),ÍNDICES!$A:$DE,$Z$709+1))),"",IF(B862&gt;$D$19,1,VLOOKUP(DATE(YEAR(B862),MONTH(B862)+IF($C$709=$S$23,1,0),1),ÍNDICES!$A:$DE,$Z$709+1))))))</f>
        <v/>
      </c>
      <c r="D862" s="155"/>
      <c r="E862" s="88"/>
      <c r="F862" s="88"/>
      <c r="G862" s="88"/>
      <c r="H862" s="118"/>
      <c r="I862" s="182">
        <f t="shared" si="129"/>
        <v>0</v>
      </c>
      <c r="J862" s="20">
        <f t="shared" ca="1" si="130"/>
        <v>0</v>
      </c>
      <c r="K862" s="5">
        <f t="shared" ca="1" si="131"/>
        <v>0</v>
      </c>
      <c r="L862" s="61">
        <f t="shared" ca="1" si="132"/>
        <v>0</v>
      </c>
      <c r="M862" s="64">
        <f t="shared" si="133"/>
        <v>0</v>
      </c>
      <c r="N862" s="151"/>
      <c r="O862" s="5">
        <f t="shared" ca="1" si="134"/>
        <v>0</v>
      </c>
      <c r="P862" s="446" t="e">
        <f t="shared" si="135"/>
        <v>#VALUE!</v>
      </c>
      <c r="Q862" s="446" t="e">
        <f>IF(OR($B862="",MIN(Q$38,$D$19)&lt;MAX($P$708*($B862+IF($R$17="Distrato",$I$38-1,0)),IF(AND($L$711=0,$P$708=0),"",$L$711-1),IF($R$17="Distrato",$E862,0))),0,YEARFRAC(MAX($P$708*($B862+IF($R$17="Distrato",$I$38-1,0)),IF(AND($L$711=0,$P$708=0),"",$L$711-1),IF($R$17="Distrato",$E862,0)),MIN(Q$38,$D$19),$P$20))-SUM($P862:P862)</f>
        <v>#VALUE!</v>
      </c>
      <c r="R862" s="446" t="e">
        <f>IF(OR($B862="",MIN(R$38,$D$19)&lt;MAX($P$708*($B862+IF($R$17="Distrato",$I$38-1,0)),IF(AND($L$711=0,$P$708=0),"",$L$711-1),IF($R$17="Distrato",$E862,0))),0,YEARFRAC(MAX($P$708*($B862+IF($R$17="Distrato",$I$38-1,0)),IF(AND($L$711=0,$P$708=0),"",$L$711-1),IF($R$17="Distrato",$E862,0)),MIN(R$38,$D$19),$P$20))-SUM($P862:Q862)</f>
        <v>#VALUE!</v>
      </c>
      <c r="S862" s="446" t="e">
        <f>IF(OR($B862="",MIN(S$38,$D$19)&lt;MAX($P$708*($B862+IF($R$17="Distrato",$I$38-1,0)),IF(AND($L$711=0,$P$708=0),"",$L$711-1),IF($R$17="Distrato",$E862,0))),0,YEARFRAC(MAX($P$708*($B862+IF($R$17="Distrato",$I$38-1,0)),IF(AND($L$711=0,$P$708=0),"",$L$711-1),IF($R$17="Distrato",$E862,0)),MIN(S$38,$D$19),$P$20))-SUM($P862:R862)</f>
        <v>#VALUE!</v>
      </c>
      <c r="T862" s="446" t="e">
        <f>IF(OR($B862="",MIN(T$38,$D$19)&lt;MAX($P$708*($B862+IF($R$17="Distrato",$I$38-1,0)),IF(AND($L$711=0,$P$708=0),"",$L$711-1),IF($R$17="Distrato",$E862,0))),0,YEARFRAC(MAX($P$708*($B862+IF($R$17="Distrato",$I$38-1,0)),IF(AND($L$711=0,$P$708=0),"",$L$711-1),IF($R$17="Distrato",$E862,0)),MIN(T$38,$D$19),$P$20))-SUM($P862:S862)</f>
        <v>#VALUE!</v>
      </c>
      <c r="U862" s="446" t="e">
        <f>IF(OR($B862="",MIN(U$38,$D$19)&lt;MAX($P$708*($B862+IF($R$17="Distrato",$I$38-1,0)),IF(AND($L$711=0,$P$708=0),"",$L$711-1),IF($R$17="Distrato",$E862,0))),0,YEARFRAC(MAX($P$708*($B862+IF($R$17="Distrato",$I$38-1,0)),IF(AND($L$711=0,$P$708=0),"",$L$711-1),IF($R$17="Distrato",$E862,0)),MIN(U$38,$D$19),$P$20))-SUM($P862:T862)</f>
        <v>#VALUE!</v>
      </c>
      <c r="V862" s="446" t="e">
        <f>IF(OR($B862="",MIN(V$38,$D$19)&lt;MAX($P$708*($B862+IF($R$17="Distrato",$I$38-1,0)),IF(AND($L$711=0,$P$708=0),"",$L$711-1),IF($R$17="Distrato",$E862,0))),0,YEARFRAC(MAX($P$708*($B862+IF($R$17="Distrato",$I$38-1,0)),IF(AND($L$711=0,$P$708=0),"",$L$711-1),IF($R$17="Distrato",$E862,0)),MIN(V$38,$D$19),$P$20))-SUM($P862:U862)</f>
        <v>#VALUE!</v>
      </c>
      <c r="W862" s="446" t="e">
        <f>IF(OR($B862="",MIN(W$38,$D$19)&lt;MAX($P$708*($B862+IF($R$17="Distrato",$I$38-1,0)),IF(AND($L$711=0,$P$708=0),"",$L$711-1),IF($R$17="Distrato",$E862,0))),0,YEARFRAC(MAX($P$708*($B862+IF($R$17="Distrato",$I$38-1,0)),IF(AND($L$711=0,$P$708=0),"",$L$711-1),IF($R$17="Distrato",$E862,0)),MIN(W$38,$D$19),$P$20))-SUM($P862:V862)</f>
        <v>#VALUE!</v>
      </c>
      <c r="X862" s="446" t="e">
        <f>IF(OR($B862="",MIN(X$38,$D$19)&lt;MAX($P$708*($B862+IF($R$17="Distrato",$I$38-1,0)),IF(AND($L$711=0,$P$708=0),"",$L$711-1),IF($R$17="Distrato",$E862,0))),0,YEARFRAC(MAX($P$708*($B862+IF($R$17="Distrato",$I$38-1,0)),IF(AND($L$711=0,$P$708=0),"",$L$711-1),IF($R$17="Distrato",$E862,0)),MIN(X$38,$D$19),$P$20))-SUM($P862:W862)</f>
        <v>#VALUE!</v>
      </c>
      <c r="Y862" s="446" t="e">
        <f>IF(OR($B862="",MIN(Y$38,$D$19)&lt;MAX($P$708*($B862+IF($R$17="Distrato",$I$38-1,0)),IF(AND($L$711=0,$P$708=0),"",$L$711-1),IF($R$17="Distrato",$E862,0))),0,YEARFRAC(MAX($P$708*($B862+IF($R$17="Distrato",$I$38-1,0)),IF(AND($L$711=0,$P$708=0),"",$L$711-1),IF($R$17="Distrato",$E862,0)),MIN(Y$38,$D$19),$P$20))-SUM($P862:X862)</f>
        <v>#VALUE!</v>
      </c>
      <c r="Z862" s="446" t="e">
        <f>IF(OR($B862="",MIN(Z$38,$D$19)&lt;MAX($P$708*($B862+IF($R$17="Distrato",$I$38-1,0)),IF(AND($L$711=0,$P$708=0),"",$L$711-1),IF($R$17="Distrato",$E862,0))),0,YEARFRAC(MAX($P$708*($B862+IF($R$17="Distrato",$I$38-1,0)),IF(AND($L$711=0,$P$708=0),"",$L$711-1),IF($R$17="Distrato",$E862,0)),MIN(Z$38,$D$19),$P$20))-SUM($P862:Y862)</f>
        <v>#VALUE!</v>
      </c>
      <c r="AA862" s="446" t="e">
        <f>IF(OR($B862="",MIN(AA$38,$D$19)&lt;MAX($P$708*($B862+IF($R$17="Distrato",$I$38-1,0)),IF(AND($L$711=0,$P$708=0),"",$L$711-1),IF($R$17="Distrato",$E862,0))),0,YEARFRAC(MAX($P$708*($B862+IF($R$17="Distrato",$I$38-1,0)),IF(AND($L$711=0,$P$708=0),"",$L$711-1),IF($R$17="Distrato",$E862,0)),MIN(AA$38,$D$19),$P$20))-SUM($P862:Z862)</f>
        <v>#VALUE!</v>
      </c>
      <c r="AB862" s="446" t="e">
        <f>IF(OR($B862="",MIN(AB$38,$D$19)&lt;MAX($P$708*($B862+IF($R$17="Distrato",$I$38-1,0)),IF(AND($L$711=0,$P$708=0),"",$L$711-1),IF($R$17="Distrato",$E862,0))),0,YEARFRAC(MAX($P$708*($B862+IF($R$17="Distrato",$I$38-1,0)),IF(AND($L$711=0,$P$708=0),"",$L$711-1),IF($R$17="Distrato",$E862,0)),MIN(AB$38,$D$19),$P$20))-SUM($P862:AA862)</f>
        <v>#VALUE!</v>
      </c>
      <c r="AC862" s="446" t="e">
        <f>IF(OR($B862="",MIN(AC$38,$D$19)&lt;MAX($P$708*($B862+IF($R$17="Distrato",$I$38-1,0)),IF(AND($L$711=0,$P$708=0),"",$L$711-1),IF($R$17="Distrato",$E862,0))),0,YEARFRAC(MAX($P$708*($B862+IF($R$17="Distrato",$I$38-1,0)),IF(AND($L$711=0,$P$708=0),"",$L$711-1),IF($R$17="Distrato",$E862,0)),MIN(AC$38,$D$19),$P$20))-SUM($P862:AB862)</f>
        <v>#VALUE!</v>
      </c>
      <c r="AD862" s="446" t="e">
        <f>IF(OR($B862="",MIN(AD$38,$D$19)&lt;MAX($P$708*($B862+IF($R$17="Distrato",$I$38-1,0)),IF(AND($L$711=0,$P$708=0),"",$L$711-1),IF($R$17="Distrato",$E862,0))),0,YEARFRAC(MAX($P$708*($B862+IF($R$17="Distrato",$I$38-1,0)),IF(AND($L$711=0,$P$708=0),"",$L$711-1),IF($R$17="Distrato",$E862,0)),MIN(AD$38,$D$19),$P$20))-SUM($P862:AC862)</f>
        <v>#VALUE!</v>
      </c>
      <c r="AE862" s="446" t="e">
        <f>IF(OR($B862="",MIN(AE$38,$D$19)&lt;MAX($P$708*($B862+IF($R$17="Distrato",$I$38-1,0)),IF(AND($L$711=0,$P$708=0),"",$L$711-1),IF($R$17="Distrato",$E862,0))),0,YEARFRAC(MAX($P$708*($B862+IF($R$17="Distrato",$I$38-1,0)),IF(AND($L$711=0,$P$708=0),"",$L$711-1),IF($R$17="Distrato",$E862,0)),MIN(AE$38,$D$19),$P$20))-SUM($P862:AD862)</f>
        <v>#VALUE!</v>
      </c>
      <c r="AF862" s="446" t="e">
        <f>IF(OR($B862="",MIN(AF$38,$D$19)&lt;MAX($P$708*($B862+IF($R$17="Distrato",$I$38-1,0)),IF(AND($L$711=0,$P$708=0),"",$L$711-1),IF($R$17="Distrato",$E862,0))),0,YEARFRAC(MAX($P$708*($B862+IF($R$17="Distrato",$I$38-1,0)),IF(AND($L$711=0,$P$708=0),"",$L$711-1),IF($R$17="Distrato",$E862,0)),MIN(AF$38,$D$19),$P$20))-SUM($P862:AE862)</f>
        <v>#VALUE!</v>
      </c>
      <c r="AG862" s="446" t="e">
        <f>IF(OR($B862="",MIN(AG$38,$D$19)&lt;MAX($P$708*($B862+IF($R$17="Distrato",$I$38-1,0)),IF(AND($L$711=0,$P$708=0),"",$L$711-1),IF($R$17="Distrato",$E862,0))),0,YEARFRAC(MAX($P$708*($B862+IF($R$17="Distrato",$I$38-1,0)),IF(AND($L$711=0,$P$708=0),"",$L$711-1),IF($R$17="Distrato",$E862,0)),MIN(AG$38,$D$19),$P$20))-SUM($P862:AF862)</f>
        <v>#VALUE!</v>
      </c>
      <c r="AH862" s="446" t="e">
        <f>IF(OR($B862="",MIN(AH$38,$D$19)&lt;MAX($P$708*($B862+IF($R$17="Distrato",$I$38-1,0)),IF(AND($L$711=0,$P$708=0),"",$L$711-1),IF($R$17="Distrato",$E862,0))),0,YEARFRAC(MAX($P$708*($B862+IF($R$17="Distrato",$I$38-1,0)),IF(AND($L$711=0,$P$708=0),"",$L$711-1),IF($R$17="Distrato",$E862,0)),MIN(AH$38,$D$19),$P$20))-SUM($P862:AG862)</f>
        <v>#VALUE!</v>
      </c>
      <c r="AI862" s="446" t="e">
        <f>IF(OR($B862="",MIN(AI$38,$D$19)&lt;MAX($P$708*($B862+IF($R$17="Distrato",$I$38-1,0)),IF(AND($L$711=0,$P$708=0),"",$L$711-1),IF($R$17="Distrato",$E862,0))),0,YEARFRAC(MAX($P$708*($B862+IF($R$17="Distrato",$I$38-1,0)),IF(AND($L$711=0,$P$708=0),"",$L$711-1),IF($R$17="Distrato",$E862,0)),MIN(AI$38,$D$19),$P$20))-SUM($P862:AH862)</f>
        <v>#VALUE!</v>
      </c>
      <c r="AJ862" s="446" t="e">
        <f>IF(OR($B862="",MIN(AJ$38,$D$19)&lt;MAX($P$708*($B862+IF($R$17="Distrato",$I$38-1,0)),IF(AND($L$711=0,$P$708=0),"",$L$711-1),IF($R$17="Distrato",$E862,0))),0,YEARFRAC(MAX($P$708*($B862+IF($R$17="Distrato",$I$38-1,0)),IF(AND($L$711=0,$P$708=0),"",$L$711-1),IF($R$17="Distrato",$E862,0)),MIN(AJ$38,$D$19),$P$20))-SUM($P862:AI862)</f>
        <v>#VALUE!</v>
      </c>
      <c r="AK862" s="446" t="e">
        <f>IF(OR($B862="",MIN(AK$38,$D$19)&lt;MAX($P$708*($B862+IF($R$17="Distrato",$I$38-1,0)),IF(AND($L$711=0,$P$708=0),"",$L$711-1),IF($R$17="Distrato",$E862,0))),0,YEARFRAC(MAX($P$708*($B862+IF($R$17="Distrato",$I$38-1,0)),IF(AND($L$711=0,$P$708=0),"",$L$711-1),IF($R$17="Distrato",$E862,0)),MIN(AK$38,$D$19),$P$20))-SUM($P862:AJ862)</f>
        <v>#VALUE!</v>
      </c>
      <c r="AL862" s="446" t="e">
        <f>IF(OR($B862="",MIN(AL$38,$D$19)&lt;MAX($P$708*($B862+IF($R$17="Distrato",$I$38-1,0)),IF(AND($L$711=0,$P$708=0),"",$L$711-1),IF($R$17="Distrato",$E862,0))),0,YEARFRAC(MAX($P$708*($B862+IF($R$17="Distrato",$I$38-1,0)),IF(AND($L$711=0,$P$708=0),"",$L$711-1),IF($R$17="Distrato",$E862,0)),MIN(AL$38,$D$19),$P$20))-SUM($P862:AK862)</f>
        <v>#VALUE!</v>
      </c>
      <c r="AM862" s="446" t="e">
        <f>IF(OR($B862="",MIN(AM$38,$D$19)&lt;MAX($P$708*($B862+IF($R$17="Distrato",$I$38-1,0)),IF(AND($L$711=0,$P$708=0),"",$L$711-1),IF($R$17="Distrato",$E862,0))),0,YEARFRAC(MAX($P$708*($B862+IF($R$17="Distrato",$I$38-1,0)),IF(AND($L$711=0,$P$708=0),"",$L$711-1),IF($R$17="Distrato",$E862,0)),MIN(AM$38,$D$19),$P$20))-SUM($P862:AL862)</f>
        <v>#VALUE!</v>
      </c>
      <c r="AN862" s="446" t="e">
        <f>IF(OR($B862="",MIN(AN$38,$D$19)&lt;MAX($P$708*($B862+IF($R$17="Distrato",$I$38-1,0)),IF(AND($L$711=0,$P$708=0),"",$L$711-1),IF($R$17="Distrato",$E862,0))),0,YEARFRAC(MAX($P$708*($B862+IF($R$17="Distrato",$I$38-1,0)),IF(AND($L$711=0,$P$708=0),"",$L$711-1),IF($R$17="Distrato",$E862,0)),MIN(AN$38,$D$19),$P$20))-SUM($P862:AM862)</f>
        <v>#VALUE!</v>
      </c>
      <c r="AO862" s="446" t="e">
        <f>IF(OR($B862="",MIN(AO$38,$D$19)&lt;MAX($P$708*($B862+IF($R$17="Distrato",$I$38-1,0)),IF(AND($L$711=0,$P$708=0),"",$L$711-1),IF($R$17="Distrato",$E862,0))),0,YEARFRAC(MAX($P$708*($B862+IF($R$17="Distrato",$I$38-1,0)),IF(AND($L$711=0,$P$708=0),"",$L$711-1),IF($R$17="Distrato",$E862,0)),MIN(AO$38,$D$19),$P$20))-SUM($P862:AN862)</f>
        <v>#VALUE!</v>
      </c>
      <c r="AP862" s="446" t="e">
        <f>IF(OR($B862="",MIN(AP$38,$D$19)&lt;MAX($P$708*($B862+IF($R$17="Distrato",$I$38-1,0)),IF(AND($L$711=0,$P$708=0),"",$L$711-1),IF($R$17="Distrato",$E862,0))),0,YEARFRAC(MAX($P$708*($B862+IF($R$17="Distrato",$I$38-1,0)),IF(AND($L$711=0,$P$708=0),"",$L$711-1),IF($R$17="Distrato",$E862,0)),MIN(AP$38,$D$19),$P$20))-SUM($P862:AO862)</f>
        <v>#VALUE!</v>
      </c>
      <c r="AQ862" s="446" t="e">
        <f>IF(OR($B862="",MIN(AQ$38,$D$19)&lt;MAX($P$708*($B862+IF($R$17="Distrato",$I$38-1,0)),IF(AND($L$711=0,$P$708=0),"",$L$711-1),IF($R$17="Distrato",$E862,0))),0,YEARFRAC(MAX($P$708*($B862+IF($R$17="Distrato",$I$38-1,0)),IF(AND($L$711=0,$P$708=0),"",$L$711-1),IF($R$17="Distrato",$E862,0)),MIN(AQ$38,$D$19),$P$20))-SUM($P862:AP862)</f>
        <v>#VALUE!</v>
      </c>
      <c r="AR862" s="446" t="e">
        <f>IF(OR($B862="",MIN(AR$38,$D$19)&lt;MAX($P$708*($B862+IF($R$17="Distrato",$I$38-1,0)),IF(AND($L$711=0,$P$708=0),"",$L$711-1),IF($R$17="Distrato",$E862,0))),0,YEARFRAC(MAX($P$708*($B862+IF($R$17="Distrato",$I$38-1,0)),IF(AND($L$711=0,$P$708=0),"",$L$711-1),IF($R$17="Distrato",$E862,0)),MIN(AR$38,$D$19),$P$20))-SUM($P862:AQ862)</f>
        <v>#VALUE!</v>
      </c>
      <c r="AS862" s="446" t="e">
        <f>IF(OR($B862="",MIN(AS$38,$D$19)&lt;MAX($P$708*($B862+IF($R$17="Distrato",$I$38-1,0)),IF(AND($L$711=0,$P$708=0),"",$L$711-1),IF($R$17="Distrato",$E862,0))),0,YEARFRAC(MAX($P$708*($B862+IF($R$17="Distrato",$I$38-1,0)),IF(AND($L$711=0,$P$708=0),"",$L$711-1),IF($R$17="Distrato",$E862,0)),MIN(AS$38,$D$19),$P$20))-SUM($P862:AR862)</f>
        <v>#VALUE!</v>
      </c>
      <c r="AT862" s="446" t="e">
        <f>IF(OR($B862="",MIN(AT$38,$D$19)&lt;MAX($P$708*($B862+IF($R$17="Distrato",$I$38-1,0)),IF(AND($L$711=0,$P$708=0),"",$L$711-1),IF($R$17="Distrato",$E862,0))),0,YEARFRAC(MAX($P$708*($B862+IF($R$17="Distrato",$I$38-1,0)),IF(AND($L$711=0,$P$708=0),"",$L$711-1),IF($R$17="Distrato",$E862,0)),MIN(AT$38,$D$19),$P$20))-SUM($P862:AS862)</f>
        <v>#VALUE!</v>
      </c>
      <c r="AU862" s="446" t="e">
        <f>IF(OR($B862="",MIN(AU$38,$D$19)&lt;MAX($P$708*($B862+IF($R$17="Distrato",$I$38-1,0)),IF(AND($L$711=0,$P$708=0),"",$L$711-1),IF($R$17="Distrato",$E862,0))),0,YEARFRAC(MAX($P$708*($B862+IF($R$17="Distrato",$I$38-1,0)),IF(AND($L$711=0,$P$708=0),"",$L$711-1),IF($R$17="Distrato",$E862,0)),MIN(AU$38,$D$19),$P$20))-SUM($P862:AT862)</f>
        <v>#VALUE!</v>
      </c>
      <c r="AV862" s="446" t="e">
        <f>IF(OR($B862="",MIN(AV$38,$D$19)&lt;MAX($P$708*($B862+IF($R$17="Distrato",$I$38-1,0)),IF(AND($L$711=0,$P$708=0),"",$L$711-1),IF($R$17="Distrato",$E862,0))),0,YEARFRAC(MAX($P$708*($B862+IF($R$17="Distrato",$I$38-1,0)),IF(AND($L$711=0,$P$708=0),"",$L$711-1),IF($R$17="Distrato",$E862,0)),MIN(AV$38,$D$19),$P$20))-SUM($P862:AU862)</f>
        <v>#VALUE!</v>
      </c>
      <c r="AW862" s="446" t="e">
        <f>IF(OR($B862="",MIN(AW$38,$D$19)&lt;MAX($P$708*($B862+IF($R$17="Distrato",$I$38-1,0)),IF(AND($L$711=0,$P$708=0),"",$L$711-1),IF($R$17="Distrato",$E862,0))),0,YEARFRAC(MAX($P$708*($B862+IF($R$17="Distrato",$I$38-1,0)),IF(AND($L$711=0,$P$708=0),"",$L$711-1),IF($R$17="Distrato",$E862,0)),MIN(AW$38,$D$19),$P$20))-SUM($P862:AV862)</f>
        <v>#VALUE!</v>
      </c>
      <c r="AX862" s="446" t="e">
        <f>IF(OR($B862="",MIN(AX$38,$D$19)&lt;MAX($P$708*($B862+IF($R$17="Distrato",$I$38-1,0)),IF(AND($L$711=0,$P$708=0),"",$L$711-1),IF($R$17="Distrato",$E862,0))),0,YEARFRAC(MAX($P$708*($B862+IF($R$17="Distrato",$I$38-1,0)),IF(AND($L$711=0,$P$708=0),"",$L$711-1),IF($R$17="Distrato",$E862,0)),MIN(AX$38,$D$19),$P$20))-SUM($P862:AW862)</f>
        <v>#VALUE!</v>
      </c>
      <c r="AY862" s="446" t="e">
        <f>IF(OR($B862="",MIN(AY$38,$D$19)&lt;MAX($P$708*($B862+IF($R$17="Distrato",$I$38-1,0)),IF(AND($L$711=0,$P$708=0),"",$L$711-1),IF($R$17="Distrato",$E862,0))),0,YEARFRAC(MAX($P$708*($B862+IF($R$17="Distrato",$I$38-1,0)),IF(AND($L$711=0,$P$708=0),"",$L$711-1),IF($R$17="Distrato",$E862,0)),MIN(AY$38,$D$19),$P$20))-SUM($P862:AX862)</f>
        <v>#VALUE!</v>
      </c>
      <c r="AZ862" s="446" t="e">
        <f>IF(OR($B862="",MIN(AZ$38,$D$19)&lt;MAX($P$708*($B862+IF($R$17="Distrato",$I$38-1,0)),IF(AND($L$711=0,$P$708=0),"",$L$711-1),IF($R$17="Distrato",$E862,0))),0,YEARFRAC(MAX($P$708*($B862+IF($R$17="Distrato",$I$38-1,0)),IF(AND($L$711=0,$P$708=0),"",$L$711-1),IF($R$17="Distrato",$E862,0)),MIN(AZ$38,$D$19),$P$20))-SUM($P862:AY862)</f>
        <v>#VALUE!</v>
      </c>
      <c r="BA862" s="446" t="e">
        <f>IF(OR($B862="",MIN(BA$38,$D$19)&lt;MAX($P$708*($B862+IF($R$17="Distrato",$I$38-1,0)),IF(AND($L$711=0,$P$708=0),"",$L$711-1),IF($R$17="Distrato",$E862,0))),0,YEARFRAC(MAX($P$708*($B862+IF($R$17="Distrato",$I$38-1,0)),IF(AND($L$711=0,$P$708=0),"",$L$711-1),IF($R$17="Distrato",$E862,0)),MIN(BA$38,$D$19),$P$20))-SUM($P862:AZ862)</f>
        <v>#VALUE!</v>
      </c>
      <c r="BB862" s="447"/>
    </row>
    <row r="863" spans="1:54" s="446" customFormat="1" ht="11.25" hidden="1" customHeight="1" x14ac:dyDescent="0.2">
      <c r="A863" s="235"/>
      <c r="B863" s="236"/>
      <c r="C863" s="29" t="str">
        <f>IF(B863="","",IF($L$709=$BL$25,VLOOKUP(DATE(YEAR($D$19),MONTH($D$19)-1,1),ÍNDICES!$A:$DE,HLOOKUP($BL$25,ÍNDICES!$B$3:$T$4,2)+11)-VLOOKUP(B863,ÍNDICES!$A:$DE,HLOOKUP($BL$25,ÍNDICES!$B$3:$T$4,2)+11)+1%,IF(C$712=$W$26,$J$35,IF(ISERROR(IF(B863&gt;$D$19,1,VLOOKUP(DATE(YEAR(B863),MONTH(B863)+IF($C$709=$S$23,1,0),1),ÍNDICES!$A:$DE,$Z$709+1))),"",IF(B863&gt;$D$19,1,VLOOKUP(DATE(YEAR(B863),MONTH(B863)+IF($C$709=$S$23,1,0),1),ÍNDICES!$A:$DE,$Z$709+1))))))</f>
        <v/>
      </c>
      <c r="D863" s="155"/>
      <c r="E863" s="88"/>
      <c r="F863" s="88"/>
      <c r="G863" s="88"/>
      <c r="H863" s="118"/>
      <c r="I863" s="182">
        <f t="shared" si="129"/>
        <v>0</v>
      </c>
      <c r="J863" s="20">
        <f t="shared" ca="1" si="130"/>
        <v>0</v>
      </c>
      <c r="K863" s="5">
        <f t="shared" ca="1" si="131"/>
        <v>0</v>
      </c>
      <c r="L863" s="61">
        <f t="shared" ca="1" si="132"/>
        <v>0</v>
      </c>
      <c r="M863" s="64">
        <f t="shared" si="133"/>
        <v>0</v>
      </c>
      <c r="N863" s="151"/>
      <c r="O863" s="5">
        <f t="shared" ca="1" si="134"/>
        <v>0</v>
      </c>
      <c r="P863" s="446" t="e">
        <f t="shared" si="135"/>
        <v>#VALUE!</v>
      </c>
      <c r="Q863" s="446" t="e">
        <f>IF(OR($B863="",MIN(Q$38,$D$19)&lt;MAX($P$708*($B863+IF($R$17="Distrato",$I$38-1,0)),IF(AND($L$711=0,$P$708=0),"",$L$711-1),IF($R$17="Distrato",$E863,0))),0,YEARFRAC(MAX($P$708*($B863+IF($R$17="Distrato",$I$38-1,0)),IF(AND($L$711=0,$P$708=0),"",$L$711-1),IF($R$17="Distrato",$E863,0)),MIN(Q$38,$D$19),$P$20))-SUM($P863:P863)</f>
        <v>#VALUE!</v>
      </c>
      <c r="R863" s="446" t="e">
        <f>IF(OR($B863="",MIN(R$38,$D$19)&lt;MAX($P$708*($B863+IF($R$17="Distrato",$I$38-1,0)),IF(AND($L$711=0,$P$708=0),"",$L$711-1),IF($R$17="Distrato",$E863,0))),0,YEARFRAC(MAX($P$708*($B863+IF($R$17="Distrato",$I$38-1,0)),IF(AND($L$711=0,$P$708=0),"",$L$711-1),IF($R$17="Distrato",$E863,0)),MIN(R$38,$D$19),$P$20))-SUM($P863:Q863)</f>
        <v>#VALUE!</v>
      </c>
      <c r="S863" s="446" t="e">
        <f>IF(OR($B863="",MIN(S$38,$D$19)&lt;MAX($P$708*($B863+IF($R$17="Distrato",$I$38-1,0)),IF(AND($L$711=0,$P$708=0),"",$L$711-1),IF($R$17="Distrato",$E863,0))),0,YEARFRAC(MAX($P$708*($B863+IF($R$17="Distrato",$I$38-1,0)),IF(AND($L$711=0,$P$708=0),"",$L$711-1),IF($R$17="Distrato",$E863,0)),MIN(S$38,$D$19),$P$20))-SUM($P863:R863)</f>
        <v>#VALUE!</v>
      </c>
      <c r="T863" s="446" t="e">
        <f>IF(OR($B863="",MIN(T$38,$D$19)&lt;MAX($P$708*($B863+IF($R$17="Distrato",$I$38-1,0)),IF(AND($L$711=0,$P$708=0),"",$L$711-1),IF($R$17="Distrato",$E863,0))),0,YEARFRAC(MAX($P$708*($B863+IF($R$17="Distrato",$I$38-1,0)),IF(AND($L$711=0,$P$708=0),"",$L$711-1),IF($R$17="Distrato",$E863,0)),MIN(T$38,$D$19),$P$20))-SUM($P863:S863)</f>
        <v>#VALUE!</v>
      </c>
      <c r="U863" s="446" t="e">
        <f>IF(OR($B863="",MIN(U$38,$D$19)&lt;MAX($P$708*($B863+IF($R$17="Distrato",$I$38-1,0)),IF(AND($L$711=0,$P$708=0),"",$L$711-1),IF($R$17="Distrato",$E863,0))),0,YEARFRAC(MAX($P$708*($B863+IF($R$17="Distrato",$I$38-1,0)),IF(AND($L$711=0,$P$708=0),"",$L$711-1),IF($R$17="Distrato",$E863,0)),MIN(U$38,$D$19),$P$20))-SUM($P863:T863)</f>
        <v>#VALUE!</v>
      </c>
      <c r="V863" s="446" t="e">
        <f>IF(OR($B863="",MIN(V$38,$D$19)&lt;MAX($P$708*($B863+IF($R$17="Distrato",$I$38-1,0)),IF(AND($L$711=0,$P$708=0),"",$L$711-1),IF($R$17="Distrato",$E863,0))),0,YEARFRAC(MAX($P$708*($B863+IF($R$17="Distrato",$I$38-1,0)),IF(AND($L$711=0,$P$708=0),"",$L$711-1),IF($R$17="Distrato",$E863,0)),MIN(V$38,$D$19),$P$20))-SUM($P863:U863)</f>
        <v>#VALUE!</v>
      </c>
      <c r="W863" s="446" t="e">
        <f>IF(OR($B863="",MIN(W$38,$D$19)&lt;MAX($P$708*($B863+IF($R$17="Distrato",$I$38-1,0)),IF(AND($L$711=0,$P$708=0),"",$L$711-1),IF($R$17="Distrato",$E863,0))),0,YEARFRAC(MAX($P$708*($B863+IF($R$17="Distrato",$I$38-1,0)),IF(AND($L$711=0,$P$708=0),"",$L$711-1),IF($R$17="Distrato",$E863,0)),MIN(W$38,$D$19),$P$20))-SUM($P863:V863)</f>
        <v>#VALUE!</v>
      </c>
      <c r="X863" s="446" t="e">
        <f>IF(OR($B863="",MIN(X$38,$D$19)&lt;MAX($P$708*($B863+IF($R$17="Distrato",$I$38-1,0)),IF(AND($L$711=0,$P$708=0),"",$L$711-1),IF($R$17="Distrato",$E863,0))),0,YEARFRAC(MAX($P$708*($B863+IF($R$17="Distrato",$I$38-1,0)),IF(AND($L$711=0,$P$708=0),"",$L$711-1),IF($R$17="Distrato",$E863,0)),MIN(X$38,$D$19),$P$20))-SUM($P863:W863)</f>
        <v>#VALUE!</v>
      </c>
      <c r="Y863" s="446" t="e">
        <f>IF(OR($B863="",MIN(Y$38,$D$19)&lt;MAX($P$708*($B863+IF($R$17="Distrato",$I$38-1,0)),IF(AND($L$711=0,$P$708=0),"",$L$711-1),IF($R$17="Distrato",$E863,0))),0,YEARFRAC(MAX($P$708*($B863+IF($R$17="Distrato",$I$38-1,0)),IF(AND($L$711=0,$P$708=0),"",$L$711-1),IF($R$17="Distrato",$E863,0)),MIN(Y$38,$D$19),$P$20))-SUM($P863:X863)</f>
        <v>#VALUE!</v>
      </c>
      <c r="Z863" s="446" t="e">
        <f>IF(OR($B863="",MIN(Z$38,$D$19)&lt;MAX($P$708*($B863+IF($R$17="Distrato",$I$38-1,0)),IF(AND($L$711=0,$P$708=0),"",$L$711-1),IF($R$17="Distrato",$E863,0))),0,YEARFRAC(MAX($P$708*($B863+IF($R$17="Distrato",$I$38-1,0)),IF(AND($L$711=0,$P$708=0),"",$L$711-1),IF($R$17="Distrato",$E863,0)),MIN(Z$38,$D$19),$P$20))-SUM($P863:Y863)</f>
        <v>#VALUE!</v>
      </c>
      <c r="AA863" s="446" t="e">
        <f>IF(OR($B863="",MIN(AA$38,$D$19)&lt;MAX($P$708*($B863+IF($R$17="Distrato",$I$38-1,0)),IF(AND($L$711=0,$P$708=0),"",$L$711-1),IF($R$17="Distrato",$E863,0))),0,YEARFRAC(MAX($P$708*($B863+IF($R$17="Distrato",$I$38-1,0)),IF(AND($L$711=0,$P$708=0),"",$L$711-1),IF($R$17="Distrato",$E863,0)),MIN(AA$38,$D$19),$P$20))-SUM($P863:Z863)</f>
        <v>#VALUE!</v>
      </c>
      <c r="AB863" s="446" t="e">
        <f>IF(OR($B863="",MIN(AB$38,$D$19)&lt;MAX($P$708*($B863+IF($R$17="Distrato",$I$38-1,0)),IF(AND($L$711=0,$P$708=0),"",$L$711-1),IF($R$17="Distrato",$E863,0))),0,YEARFRAC(MAX($P$708*($B863+IF($R$17="Distrato",$I$38-1,0)),IF(AND($L$711=0,$P$708=0),"",$L$711-1),IF($R$17="Distrato",$E863,0)),MIN(AB$38,$D$19),$P$20))-SUM($P863:AA863)</f>
        <v>#VALUE!</v>
      </c>
      <c r="AC863" s="446" t="e">
        <f>IF(OR($B863="",MIN(AC$38,$D$19)&lt;MAX($P$708*($B863+IF($R$17="Distrato",$I$38-1,0)),IF(AND($L$711=0,$P$708=0),"",$L$711-1),IF($R$17="Distrato",$E863,0))),0,YEARFRAC(MAX($P$708*($B863+IF($R$17="Distrato",$I$38-1,0)),IF(AND($L$711=0,$P$708=0),"",$L$711-1),IF($R$17="Distrato",$E863,0)),MIN(AC$38,$D$19),$P$20))-SUM($P863:AB863)</f>
        <v>#VALUE!</v>
      </c>
      <c r="AD863" s="446" t="e">
        <f>IF(OR($B863="",MIN(AD$38,$D$19)&lt;MAX($P$708*($B863+IF($R$17="Distrato",$I$38-1,0)),IF(AND($L$711=0,$P$708=0),"",$L$711-1),IF($R$17="Distrato",$E863,0))),0,YEARFRAC(MAX($P$708*($B863+IF($R$17="Distrato",$I$38-1,0)),IF(AND($L$711=0,$P$708=0),"",$L$711-1),IF($R$17="Distrato",$E863,0)),MIN(AD$38,$D$19),$P$20))-SUM($P863:AC863)</f>
        <v>#VALUE!</v>
      </c>
      <c r="AE863" s="446" t="e">
        <f>IF(OR($B863="",MIN(AE$38,$D$19)&lt;MAX($P$708*($B863+IF($R$17="Distrato",$I$38-1,0)),IF(AND($L$711=0,$P$708=0),"",$L$711-1),IF($R$17="Distrato",$E863,0))),0,YEARFRAC(MAX($P$708*($B863+IF($R$17="Distrato",$I$38-1,0)),IF(AND($L$711=0,$P$708=0),"",$L$711-1),IF($R$17="Distrato",$E863,0)),MIN(AE$38,$D$19),$P$20))-SUM($P863:AD863)</f>
        <v>#VALUE!</v>
      </c>
      <c r="AF863" s="446" t="e">
        <f>IF(OR($B863="",MIN(AF$38,$D$19)&lt;MAX($P$708*($B863+IF($R$17="Distrato",$I$38-1,0)),IF(AND($L$711=0,$P$708=0),"",$L$711-1),IF($R$17="Distrato",$E863,0))),0,YEARFRAC(MAX($P$708*($B863+IF($R$17="Distrato",$I$38-1,0)),IF(AND($L$711=0,$P$708=0),"",$L$711-1),IF($R$17="Distrato",$E863,0)),MIN(AF$38,$D$19),$P$20))-SUM($P863:AE863)</f>
        <v>#VALUE!</v>
      </c>
      <c r="AG863" s="446" t="e">
        <f>IF(OR($B863="",MIN(AG$38,$D$19)&lt;MAX($P$708*($B863+IF($R$17="Distrato",$I$38-1,0)),IF(AND($L$711=0,$P$708=0),"",$L$711-1),IF($R$17="Distrato",$E863,0))),0,YEARFRAC(MAX($P$708*($B863+IF($R$17="Distrato",$I$38-1,0)),IF(AND($L$711=0,$P$708=0),"",$L$711-1),IF($R$17="Distrato",$E863,0)),MIN(AG$38,$D$19),$P$20))-SUM($P863:AF863)</f>
        <v>#VALUE!</v>
      </c>
      <c r="AH863" s="446" t="e">
        <f>IF(OR($B863="",MIN(AH$38,$D$19)&lt;MAX($P$708*($B863+IF($R$17="Distrato",$I$38-1,0)),IF(AND($L$711=0,$P$708=0),"",$L$711-1),IF($R$17="Distrato",$E863,0))),0,YEARFRAC(MAX($P$708*($B863+IF($R$17="Distrato",$I$38-1,0)),IF(AND($L$711=0,$P$708=0),"",$L$711-1),IF($R$17="Distrato",$E863,0)),MIN(AH$38,$D$19),$P$20))-SUM($P863:AG863)</f>
        <v>#VALUE!</v>
      </c>
      <c r="AI863" s="446" t="e">
        <f>IF(OR($B863="",MIN(AI$38,$D$19)&lt;MAX($P$708*($B863+IF($R$17="Distrato",$I$38-1,0)),IF(AND($L$711=0,$P$708=0),"",$L$711-1),IF($R$17="Distrato",$E863,0))),0,YEARFRAC(MAX($P$708*($B863+IF($R$17="Distrato",$I$38-1,0)),IF(AND($L$711=0,$P$708=0),"",$L$711-1),IF($R$17="Distrato",$E863,0)),MIN(AI$38,$D$19),$P$20))-SUM($P863:AH863)</f>
        <v>#VALUE!</v>
      </c>
      <c r="AJ863" s="446" t="e">
        <f>IF(OR($B863="",MIN(AJ$38,$D$19)&lt;MAX($P$708*($B863+IF($R$17="Distrato",$I$38-1,0)),IF(AND($L$711=0,$P$708=0),"",$L$711-1),IF($R$17="Distrato",$E863,0))),0,YEARFRAC(MAX($P$708*($B863+IF($R$17="Distrato",$I$38-1,0)),IF(AND($L$711=0,$P$708=0),"",$L$711-1),IF($R$17="Distrato",$E863,0)),MIN(AJ$38,$D$19),$P$20))-SUM($P863:AI863)</f>
        <v>#VALUE!</v>
      </c>
      <c r="AK863" s="446" t="e">
        <f>IF(OR($B863="",MIN(AK$38,$D$19)&lt;MAX($P$708*($B863+IF($R$17="Distrato",$I$38-1,0)),IF(AND($L$711=0,$P$708=0),"",$L$711-1),IF($R$17="Distrato",$E863,0))),0,YEARFRAC(MAX($P$708*($B863+IF($R$17="Distrato",$I$38-1,0)),IF(AND($L$711=0,$P$708=0),"",$L$711-1),IF($R$17="Distrato",$E863,0)),MIN(AK$38,$D$19),$P$20))-SUM($P863:AJ863)</f>
        <v>#VALUE!</v>
      </c>
      <c r="AL863" s="446" t="e">
        <f>IF(OR($B863="",MIN(AL$38,$D$19)&lt;MAX($P$708*($B863+IF($R$17="Distrato",$I$38-1,0)),IF(AND($L$711=0,$P$708=0),"",$L$711-1),IF($R$17="Distrato",$E863,0))),0,YEARFRAC(MAX($P$708*($B863+IF($R$17="Distrato",$I$38-1,0)),IF(AND($L$711=0,$P$708=0),"",$L$711-1),IF($R$17="Distrato",$E863,0)),MIN(AL$38,$D$19),$P$20))-SUM($P863:AK863)</f>
        <v>#VALUE!</v>
      </c>
      <c r="AM863" s="446" t="e">
        <f>IF(OR($B863="",MIN(AM$38,$D$19)&lt;MAX($P$708*($B863+IF($R$17="Distrato",$I$38-1,0)),IF(AND($L$711=0,$P$708=0),"",$L$711-1),IF($R$17="Distrato",$E863,0))),0,YEARFRAC(MAX($P$708*($B863+IF($R$17="Distrato",$I$38-1,0)),IF(AND($L$711=0,$P$708=0),"",$L$711-1),IF($R$17="Distrato",$E863,0)),MIN(AM$38,$D$19),$P$20))-SUM($P863:AL863)</f>
        <v>#VALUE!</v>
      </c>
      <c r="AN863" s="446" t="e">
        <f>IF(OR($B863="",MIN(AN$38,$D$19)&lt;MAX($P$708*($B863+IF($R$17="Distrato",$I$38-1,0)),IF(AND($L$711=0,$P$708=0),"",$L$711-1),IF($R$17="Distrato",$E863,0))),0,YEARFRAC(MAX($P$708*($B863+IF($R$17="Distrato",$I$38-1,0)),IF(AND($L$711=0,$P$708=0),"",$L$711-1),IF($R$17="Distrato",$E863,0)),MIN(AN$38,$D$19),$P$20))-SUM($P863:AM863)</f>
        <v>#VALUE!</v>
      </c>
      <c r="AO863" s="446" t="e">
        <f>IF(OR($B863="",MIN(AO$38,$D$19)&lt;MAX($P$708*($B863+IF($R$17="Distrato",$I$38-1,0)),IF(AND($L$711=0,$P$708=0),"",$L$711-1),IF($R$17="Distrato",$E863,0))),0,YEARFRAC(MAX($P$708*($B863+IF($R$17="Distrato",$I$38-1,0)),IF(AND($L$711=0,$P$708=0),"",$L$711-1),IF($R$17="Distrato",$E863,0)),MIN(AO$38,$D$19),$P$20))-SUM($P863:AN863)</f>
        <v>#VALUE!</v>
      </c>
      <c r="AP863" s="446" t="e">
        <f>IF(OR($B863="",MIN(AP$38,$D$19)&lt;MAX($P$708*($B863+IF($R$17="Distrato",$I$38-1,0)),IF(AND($L$711=0,$P$708=0),"",$L$711-1),IF($R$17="Distrato",$E863,0))),0,YEARFRAC(MAX($P$708*($B863+IF($R$17="Distrato",$I$38-1,0)),IF(AND($L$711=0,$P$708=0),"",$L$711-1),IF($R$17="Distrato",$E863,0)),MIN(AP$38,$D$19),$P$20))-SUM($P863:AO863)</f>
        <v>#VALUE!</v>
      </c>
      <c r="AQ863" s="446" t="e">
        <f>IF(OR($B863="",MIN(AQ$38,$D$19)&lt;MAX($P$708*($B863+IF($R$17="Distrato",$I$38-1,0)),IF(AND($L$711=0,$P$708=0),"",$L$711-1),IF($R$17="Distrato",$E863,0))),0,YEARFRAC(MAX($P$708*($B863+IF($R$17="Distrato",$I$38-1,0)),IF(AND($L$711=0,$P$708=0),"",$L$711-1),IF($R$17="Distrato",$E863,0)),MIN(AQ$38,$D$19),$P$20))-SUM($P863:AP863)</f>
        <v>#VALUE!</v>
      </c>
      <c r="AR863" s="446" t="e">
        <f>IF(OR($B863="",MIN(AR$38,$D$19)&lt;MAX($P$708*($B863+IF($R$17="Distrato",$I$38-1,0)),IF(AND($L$711=0,$P$708=0),"",$L$711-1),IF($R$17="Distrato",$E863,0))),0,YEARFRAC(MAX($P$708*($B863+IF($R$17="Distrato",$I$38-1,0)),IF(AND($L$711=0,$P$708=0),"",$L$711-1),IF($R$17="Distrato",$E863,0)),MIN(AR$38,$D$19),$P$20))-SUM($P863:AQ863)</f>
        <v>#VALUE!</v>
      </c>
      <c r="AS863" s="446" t="e">
        <f>IF(OR($B863="",MIN(AS$38,$D$19)&lt;MAX($P$708*($B863+IF($R$17="Distrato",$I$38-1,0)),IF(AND($L$711=0,$P$708=0),"",$L$711-1),IF($R$17="Distrato",$E863,0))),0,YEARFRAC(MAX($P$708*($B863+IF($R$17="Distrato",$I$38-1,0)),IF(AND($L$711=0,$P$708=0),"",$L$711-1),IF($R$17="Distrato",$E863,0)),MIN(AS$38,$D$19),$P$20))-SUM($P863:AR863)</f>
        <v>#VALUE!</v>
      </c>
      <c r="AT863" s="446" t="e">
        <f>IF(OR($B863="",MIN(AT$38,$D$19)&lt;MAX($P$708*($B863+IF($R$17="Distrato",$I$38-1,0)),IF(AND($L$711=0,$P$708=0),"",$L$711-1),IF($R$17="Distrato",$E863,0))),0,YEARFRAC(MAX($P$708*($B863+IF($R$17="Distrato",$I$38-1,0)),IF(AND($L$711=0,$P$708=0),"",$L$711-1),IF($R$17="Distrato",$E863,0)),MIN(AT$38,$D$19),$P$20))-SUM($P863:AS863)</f>
        <v>#VALUE!</v>
      </c>
      <c r="AU863" s="446" t="e">
        <f>IF(OR($B863="",MIN(AU$38,$D$19)&lt;MAX($P$708*($B863+IF($R$17="Distrato",$I$38-1,0)),IF(AND($L$711=0,$P$708=0),"",$L$711-1),IF($R$17="Distrato",$E863,0))),0,YEARFRAC(MAX($P$708*($B863+IF($R$17="Distrato",$I$38-1,0)),IF(AND($L$711=0,$P$708=0),"",$L$711-1),IF($R$17="Distrato",$E863,0)),MIN(AU$38,$D$19),$P$20))-SUM($P863:AT863)</f>
        <v>#VALUE!</v>
      </c>
      <c r="AV863" s="446" t="e">
        <f>IF(OR($B863="",MIN(AV$38,$D$19)&lt;MAX($P$708*($B863+IF($R$17="Distrato",$I$38-1,0)),IF(AND($L$711=0,$P$708=0),"",$L$711-1),IF($R$17="Distrato",$E863,0))),0,YEARFRAC(MAX($P$708*($B863+IF($R$17="Distrato",$I$38-1,0)),IF(AND($L$711=0,$P$708=0),"",$L$711-1),IF($R$17="Distrato",$E863,0)),MIN(AV$38,$D$19),$P$20))-SUM($P863:AU863)</f>
        <v>#VALUE!</v>
      </c>
      <c r="AW863" s="446" t="e">
        <f>IF(OR($B863="",MIN(AW$38,$D$19)&lt;MAX($P$708*($B863+IF($R$17="Distrato",$I$38-1,0)),IF(AND($L$711=0,$P$708=0),"",$L$711-1),IF($R$17="Distrato",$E863,0))),0,YEARFRAC(MAX($P$708*($B863+IF($R$17="Distrato",$I$38-1,0)),IF(AND($L$711=0,$P$708=0),"",$L$711-1),IF($R$17="Distrato",$E863,0)),MIN(AW$38,$D$19),$P$20))-SUM($P863:AV863)</f>
        <v>#VALUE!</v>
      </c>
      <c r="AX863" s="446" t="e">
        <f>IF(OR($B863="",MIN(AX$38,$D$19)&lt;MAX($P$708*($B863+IF($R$17="Distrato",$I$38-1,0)),IF(AND($L$711=0,$P$708=0),"",$L$711-1),IF($R$17="Distrato",$E863,0))),0,YEARFRAC(MAX($P$708*($B863+IF($R$17="Distrato",$I$38-1,0)),IF(AND($L$711=0,$P$708=0),"",$L$711-1),IF($R$17="Distrato",$E863,0)),MIN(AX$38,$D$19),$P$20))-SUM($P863:AW863)</f>
        <v>#VALUE!</v>
      </c>
      <c r="AY863" s="446" t="e">
        <f>IF(OR($B863="",MIN(AY$38,$D$19)&lt;MAX($P$708*($B863+IF($R$17="Distrato",$I$38-1,0)),IF(AND($L$711=0,$P$708=0),"",$L$711-1),IF($R$17="Distrato",$E863,0))),0,YEARFRAC(MAX($P$708*($B863+IF($R$17="Distrato",$I$38-1,0)),IF(AND($L$711=0,$P$708=0),"",$L$711-1),IF($R$17="Distrato",$E863,0)),MIN(AY$38,$D$19),$P$20))-SUM($P863:AX863)</f>
        <v>#VALUE!</v>
      </c>
      <c r="AZ863" s="446" t="e">
        <f>IF(OR($B863="",MIN(AZ$38,$D$19)&lt;MAX($P$708*($B863+IF($R$17="Distrato",$I$38-1,0)),IF(AND($L$711=0,$P$708=0),"",$L$711-1),IF($R$17="Distrato",$E863,0))),0,YEARFRAC(MAX($P$708*($B863+IF($R$17="Distrato",$I$38-1,0)),IF(AND($L$711=0,$P$708=0),"",$L$711-1),IF($R$17="Distrato",$E863,0)),MIN(AZ$38,$D$19),$P$20))-SUM($P863:AY863)</f>
        <v>#VALUE!</v>
      </c>
      <c r="BA863" s="446" t="e">
        <f>IF(OR($B863="",MIN(BA$38,$D$19)&lt;MAX($P$708*($B863+IF($R$17="Distrato",$I$38-1,0)),IF(AND($L$711=0,$P$708=0),"",$L$711-1),IF($R$17="Distrato",$E863,0))),0,YEARFRAC(MAX($P$708*($B863+IF($R$17="Distrato",$I$38-1,0)),IF(AND($L$711=0,$P$708=0),"",$L$711-1),IF($R$17="Distrato",$E863,0)),MIN(BA$38,$D$19),$P$20))-SUM($P863:AZ863)</f>
        <v>#VALUE!</v>
      </c>
      <c r="BB863" s="447"/>
    </row>
    <row r="864" spans="1:54" s="446" customFormat="1" ht="11.25" hidden="1" customHeight="1" x14ac:dyDescent="0.2">
      <c r="A864" s="235"/>
      <c r="B864" s="236"/>
      <c r="C864" s="29" t="str">
        <f>IF(B864="","",IF($L$709=$BL$25,VLOOKUP(DATE(YEAR($D$19),MONTH($D$19)-1,1),ÍNDICES!$A:$DE,HLOOKUP($BL$25,ÍNDICES!$B$3:$T$4,2)+11)-VLOOKUP(B864,ÍNDICES!$A:$DE,HLOOKUP($BL$25,ÍNDICES!$B$3:$T$4,2)+11)+1%,IF(C$712=$W$26,$J$35,IF(ISERROR(IF(B864&gt;$D$19,1,VLOOKUP(DATE(YEAR(B864),MONTH(B864)+IF($C$709=$S$23,1,0),1),ÍNDICES!$A:$DE,$Z$709+1))),"",IF(B864&gt;$D$19,1,VLOOKUP(DATE(YEAR(B864),MONTH(B864)+IF($C$709=$S$23,1,0),1),ÍNDICES!$A:$DE,$Z$709+1))))))</f>
        <v/>
      </c>
      <c r="D864" s="155"/>
      <c r="E864" s="88"/>
      <c r="F864" s="88"/>
      <c r="G864" s="88"/>
      <c r="H864" s="118"/>
      <c r="I864" s="182">
        <f t="shared" si="129"/>
        <v>0</v>
      </c>
      <c r="J864" s="20">
        <f t="shared" ca="1" si="130"/>
        <v>0</v>
      </c>
      <c r="K864" s="5">
        <f t="shared" ca="1" si="131"/>
        <v>0</v>
      </c>
      <c r="L864" s="61">
        <f t="shared" ca="1" si="132"/>
        <v>0</v>
      </c>
      <c r="M864" s="64">
        <f t="shared" si="133"/>
        <v>0</v>
      </c>
      <c r="N864" s="151"/>
      <c r="O864" s="5">
        <f t="shared" ca="1" si="134"/>
        <v>0</v>
      </c>
      <c r="P864" s="446" t="e">
        <f t="shared" si="135"/>
        <v>#VALUE!</v>
      </c>
      <c r="Q864" s="446" t="e">
        <f>IF(OR($B864="",MIN(Q$38,$D$19)&lt;MAX($P$708*($B864+IF($R$17="Distrato",$I$38-1,0)),IF(AND($L$711=0,$P$708=0),"",$L$711-1),IF($R$17="Distrato",$E864,0))),0,YEARFRAC(MAX($P$708*($B864+IF($R$17="Distrato",$I$38-1,0)),IF(AND($L$711=0,$P$708=0),"",$L$711-1),IF($R$17="Distrato",$E864,0)),MIN(Q$38,$D$19),$P$20))-SUM($P864:P864)</f>
        <v>#VALUE!</v>
      </c>
      <c r="R864" s="446" t="e">
        <f>IF(OR($B864="",MIN(R$38,$D$19)&lt;MAX($P$708*($B864+IF($R$17="Distrato",$I$38-1,0)),IF(AND($L$711=0,$P$708=0),"",$L$711-1),IF($R$17="Distrato",$E864,0))),0,YEARFRAC(MAX($P$708*($B864+IF($R$17="Distrato",$I$38-1,0)),IF(AND($L$711=0,$P$708=0),"",$L$711-1),IF($R$17="Distrato",$E864,0)),MIN(R$38,$D$19),$P$20))-SUM($P864:Q864)</f>
        <v>#VALUE!</v>
      </c>
      <c r="S864" s="446" t="e">
        <f>IF(OR($B864="",MIN(S$38,$D$19)&lt;MAX($P$708*($B864+IF($R$17="Distrato",$I$38-1,0)),IF(AND($L$711=0,$P$708=0),"",$L$711-1),IF($R$17="Distrato",$E864,0))),0,YEARFRAC(MAX($P$708*($B864+IF($R$17="Distrato",$I$38-1,0)),IF(AND($L$711=0,$P$708=0),"",$L$711-1),IF($R$17="Distrato",$E864,0)),MIN(S$38,$D$19),$P$20))-SUM($P864:R864)</f>
        <v>#VALUE!</v>
      </c>
      <c r="T864" s="446" t="e">
        <f>IF(OR($B864="",MIN(T$38,$D$19)&lt;MAX($P$708*($B864+IF($R$17="Distrato",$I$38-1,0)),IF(AND($L$711=0,$P$708=0),"",$L$711-1),IF($R$17="Distrato",$E864,0))),0,YEARFRAC(MAX($P$708*($B864+IF($R$17="Distrato",$I$38-1,0)),IF(AND($L$711=0,$P$708=0),"",$L$711-1),IF($R$17="Distrato",$E864,0)),MIN(T$38,$D$19),$P$20))-SUM($P864:S864)</f>
        <v>#VALUE!</v>
      </c>
      <c r="U864" s="446" t="e">
        <f>IF(OR($B864="",MIN(U$38,$D$19)&lt;MAX($P$708*($B864+IF($R$17="Distrato",$I$38-1,0)),IF(AND($L$711=0,$P$708=0),"",$L$711-1),IF($R$17="Distrato",$E864,0))),0,YEARFRAC(MAX($P$708*($B864+IF($R$17="Distrato",$I$38-1,0)),IF(AND($L$711=0,$P$708=0),"",$L$711-1),IF($R$17="Distrato",$E864,0)),MIN(U$38,$D$19),$P$20))-SUM($P864:T864)</f>
        <v>#VALUE!</v>
      </c>
      <c r="V864" s="446" t="e">
        <f>IF(OR($B864="",MIN(V$38,$D$19)&lt;MAX($P$708*($B864+IF($R$17="Distrato",$I$38-1,0)),IF(AND($L$711=0,$P$708=0),"",$L$711-1),IF($R$17="Distrato",$E864,0))),0,YEARFRAC(MAX($P$708*($B864+IF($R$17="Distrato",$I$38-1,0)),IF(AND($L$711=0,$P$708=0),"",$L$711-1),IF($R$17="Distrato",$E864,0)),MIN(V$38,$D$19),$P$20))-SUM($P864:U864)</f>
        <v>#VALUE!</v>
      </c>
      <c r="W864" s="446" t="e">
        <f>IF(OR($B864="",MIN(W$38,$D$19)&lt;MAX($P$708*($B864+IF($R$17="Distrato",$I$38-1,0)),IF(AND($L$711=0,$P$708=0),"",$L$711-1),IF($R$17="Distrato",$E864,0))),0,YEARFRAC(MAX($P$708*($B864+IF($R$17="Distrato",$I$38-1,0)),IF(AND($L$711=0,$P$708=0),"",$L$711-1),IF($R$17="Distrato",$E864,0)),MIN(W$38,$D$19),$P$20))-SUM($P864:V864)</f>
        <v>#VALUE!</v>
      </c>
      <c r="X864" s="446" t="e">
        <f>IF(OR($B864="",MIN(X$38,$D$19)&lt;MAX($P$708*($B864+IF($R$17="Distrato",$I$38-1,0)),IF(AND($L$711=0,$P$708=0),"",$L$711-1),IF($R$17="Distrato",$E864,0))),0,YEARFRAC(MAX($P$708*($B864+IF($R$17="Distrato",$I$38-1,0)),IF(AND($L$711=0,$P$708=0),"",$L$711-1),IF($R$17="Distrato",$E864,0)),MIN(X$38,$D$19),$P$20))-SUM($P864:W864)</f>
        <v>#VALUE!</v>
      </c>
      <c r="Y864" s="446" t="e">
        <f>IF(OR($B864="",MIN(Y$38,$D$19)&lt;MAX($P$708*($B864+IF($R$17="Distrato",$I$38-1,0)),IF(AND($L$711=0,$P$708=0),"",$L$711-1),IF($R$17="Distrato",$E864,0))),0,YEARFRAC(MAX($P$708*($B864+IF($R$17="Distrato",$I$38-1,0)),IF(AND($L$711=0,$P$708=0),"",$L$711-1),IF($R$17="Distrato",$E864,0)),MIN(Y$38,$D$19),$P$20))-SUM($P864:X864)</f>
        <v>#VALUE!</v>
      </c>
      <c r="Z864" s="446" t="e">
        <f>IF(OR($B864="",MIN(Z$38,$D$19)&lt;MAX($P$708*($B864+IF($R$17="Distrato",$I$38-1,0)),IF(AND($L$711=0,$P$708=0),"",$L$711-1),IF($R$17="Distrato",$E864,0))),0,YEARFRAC(MAX($P$708*($B864+IF($R$17="Distrato",$I$38-1,0)),IF(AND($L$711=0,$P$708=0),"",$L$711-1),IF($R$17="Distrato",$E864,0)),MIN(Z$38,$D$19),$P$20))-SUM($P864:Y864)</f>
        <v>#VALUE!</v>
      </c>
      <c r="AA864" s="446" t="e">
        <f>IF(OR($B864="",MIN(AA$38,$D$19)&lt;MAX($P$708*($B864+IF($R$17="Distrato",$I$38-1,0)),IF(AND($L$711=0,$P$708=0),"",$L$711-1),IF($R$17="Distrato",$E864,0))),0,YEARFRAC(MAX($P$708*($B864+IF($R$17="Distrato",$I$38-1,0)),IF(AND($L$711=0,$P$708=0),"",$L$711-1),IF($R$17="Distrato",$E864,0)),MIN(AA$38,$D$19),$P$20))-SUM($P864:Z864)</f>
        <v>#VALUE!</v>
      </c>
      <c r="AB864" s="446" t="e">
        <f>IF(OR($B864="",MIN(AB$38,$D$19)&lt;MAX($P$708*($B864+IF($R$17="Distrato",$I$38-1,0)),IF(AND($L$711=0,$P$708=0),"",$L$711-1),IF($R$17="Distrato",$E864,0))),0,YEARFRAC(MAX($P$708*($B864+IF($R$17="Distrato",$I$38-1,0)),IF(AND($L$711=0,$P$708=0),"",$L$711-1),IF($R$17="Distrato",$E864,0)),MIN(AB$38,$D$19),$P$20))-SUM($P864:AA864)</f>
        <v>#VALUE!</v>
      </c>
      <c r="AC864" s="446" t="e">
        <f>IF(OR($B864="",MIN(AC$38,$D$19)&lt;MAX($P$708*($B864+IF($R$17="Distrato",$I$38-1,0)),IF(AND($L$711=0,$P$708=0),"",$L$711-1),IF($R$17="Distrato",$E864,0))),0,YEARFRAC(MAX($P$708*($B864+IF($R$17="Distrato",$I$38-1,0)),IF(AND($L$711=0,$P$708=0),"",$L$711-1),IF($R$17="Distrato",$E864,0)),MIN(AC$38,$D$19),$P$20))-SUM($P864:AB864)</f>
        <v>#VALUE!</v>
      </c>
      <c r="AD864" s="446" t="e">
        <f>IF(OR($B864="",MIN(AD$38,$D$19)&lt;MAX($P$708*($B864+IF($R$17="Distrato",$I$38-1,0)),IF(AND($L$711=0,$P$708=0),"",$L$711-1),IF($R$17="Distrato",$E864,0))),0,YEARFRAC(MAX($P$708*($B864+IF($R$17="Distrato",$I$38-1,0)),IF(AND($L$711=0,$P$708=0),"",$L$711-1),IF($R$17="Distrato",$E864,0)),MIN(AD$38,$D$19),$P$20))-SUM($P864:AC864)</f>
        <v>#VALUE!</v>
      </c>
      <c r="AE864" s="446" t="e">
        <f>IF(OR($B864="",MIN(AE$38,$D$19)&lt;MAX($P$708*($B864+IF($R$17="Distrato",$I$38-1,0)),IF(AND($L$711=0,$P$708=0),"",$L$711-1),IF($R$17="Distrato",$E864,0))),0,YEARFRAC(MAX($P$708*($B864+IF($R$17="Distrato",$I$38-1,0)),IF(AND($L$711=0,$P$708=0),"",$L$711-1),IF($R$17="Distrato",$E864,0)),MIN(AE$38,$D$19),$P$20))-SUM($P864:AD864)</f>
        <v>#VALUE!</v>
      </c>
      <c r="AF864" s="446" t="e">
        <f>IF(OR($B864="",MIN(AF$38,$D$19)&lt;MAX($P$708*($B864+IF($R$17="Distrato",$I$38-1,0)),IF(AND($L$711=0,$P$708=0),"",$L$711-1),IF($R$17="Distrato",$E864,0))),0,YEARFRAC(MAX($P$708*($B864+IF($R$17="Distrato",$I$38-1,0)),IF(AND($L$711=0,$P$708=0),"",$L$711-1),IF($R$17="Distrato",$E864,0)),MIN(AF$38,$D$19),$P$20))-SUM($P864:AE864)</f>
        <v>#VALUE!</v>
      </c>
      <c r="AG864" s="446" t="e">
        <f>IF(OR($B864="",MIN(AG$38,$D$19)&lt;MAX($P$708*($B864+IF($R$17="Distrato",$I$38-1,0)),IF(AND($L$711=0,$P$708=0),"",$L$711-1),IF($R$17="Distrato",$E864,0))),0,YEARFRAC(MAX($P$708*($B864+IF($R$17="Distrato",$I$38-1,0)),IF(AND($L$711=0,$P$708=0),"",$L$711-1),IF($R$17="Distrato",$E864,0)),MIN(AG$38,$D$19),$P$20))-SUM($P864:AF864)</f>
        <v>#VALUE!</v>
      </c>
      <c r="AH864" s="446" t="e">
        <f>IF(OR($B864="",MIN(AH$38,$D$19)&lt;MAX($P$708*($B864+IF($R$17="Distrato",$I$38-1,0)),IF(AND($L$711=0,$P$708=0),"",$L$711-1),IF($R$17="Distrato",$E864,0))),0,YEARFRAC(MAX($P$708*($B864+IF($R$17="Distrato",$I$38-1,0)),IF(AND($L$711=0,$P$708=0),"",$L$711-1),IF($R$17="Distrato",$E864,0)),MIN(AH$38,$D$19),$P$20))-SUM($P864:AG864)</f>
        <v>#VALUE!</v>
      </c>
      <c r="AI864" s="446" t="e">
        <f>IF(OR($B864="",MIN(AI$38,$D$19)&lt;MAX($P$708*($B864+IF($R$17="Distrato",$I$38-1,0)),IF(AND($L$711=0,$P$708=0),"",$L$711-1),IF($R$17="Distrato",$E864,0))),0,YEARFRAC(MAX($P$708*($B864+IF($R$17="Distrato",$I$38-1,0)),IF(AND($L$711=0,$P$708=0),"",$L$711-1),IF($R$17="Distrato",$E864,0)),MIN(AI$38,$D$19),$P$20))-SUM($P864:AH864)</f>
        <v>#VALUE!</v>
      </c>
      <c r="AJ864" s="446" t="e">
        <f>IF(OR($B864="",MIN(AJ$38,$D$19)&lt;MAX($P$708*($B864+IF($R$17="Distrato",$I$38-1,0)),IF(AND($L$711=0,$P$708=0),"",$L$711-1),IF($R$17="Distrato",$E864,0))),0,YEARFRAC(MAX($P$708*($B864+IF($R$17="Distrato",$I$38-1,0)),IF(AND($L$711=0,$P$708=0),"",$L$711-1),IF($R$17="Distrato",$E864,0)),MIN(AJ$38,$D$19),$P$20))-SUM($P864:AI864)</f>
        <v>#VALUE!</v>
      </c>
      <c r="AK864" s="446" t="e">
        <f>IF(OR($B864="",MIN(AK$38,$D$19)&lt;MAX($P$708*($B864+IF($R$17="Distrato",$I$38-1,0)),IF(AND($L$711=0,$P$708=0),"",$L$711-1),IF($R$17="Distrato",$E864,0))),0,YEARFRAC(MAX($P$708*($B864+IF($R$17="Distrato",$I$38-1,0)),IF(AND($L$711=0,$P$708=0),"",$L$711-1),IF($R$17="Distrato",$E864,0)),MIN(AK$38,$D$19),$P$20))-SUM($P864:AJ864)</f>
        <v>#VALUE!</v>
      </c>
      <c r="AL864" s="446" t="e">
        <f>IF(OR($B864="",MIN(AL$38,$D$19)&lt;MAX($P$708*($B864+IF($R$17="Distrato",$I$38-1,0)),IF(AND($L$711=0,$P$708=0),"",$L$711-1),IF($R$17="Distrato",$E864,0))),0,YEARFRAC(MAX($P$708*($B864+IF($R$17="Distrato",$I$38-1,0)),IF(AND($L$711=0,$P$708=0),"",$L$711-1),IF($R$17="Distrato",$E864,0)),MIN(AL$38,$D$19),$P$20))-SUM($P864:AK864)</f>
        <v>#VALUE!</v>
      </c>
      <c r="AM864" s="446" t="e">
        <f>IF(OR($B864="",MIN(AM$38,$D$19)&lt;MAX($P$708*($B864+IF($R$17="Distrato",$I$38-1,0)),IF(AND($L$711=0,$P$708=0),"",$L$711-1),IF($R$17="Distrato",$E864,0))),0,YEARFRAC(MAX($P$708*($B864+IF($R$17="Distrato",$I$38-1,0)),IF(AND($L$711=0,$P$708=0),"",$L$711-1),IF($R$17="Distrato",$E864,0)),MIN(AM$38,$D$19),$P$20))-SUM($P864:AL864)</f>
        <v>#VALUE!</v>
      </c>
      <c r="AN864" s="446" t="e">
        <f>IF(OR($B864="",MIN(AN$38,$D$19)&lt;MAX($P$708*($B864+IF($R$17="Distrato",$I$38-1,0)),IF(AND($L$711=0,$P$708=0),"",$L$711-1),IF($R$17="Distrato",$E864,0))),0,YEARFRAC(MAX($P$708*($B864+IF($R$17="Distrato",$I$38-1,0)),IF(AND($L$711=0,$P$708=0),"",$L$711-1),IF($R$17="Distrato",$E864,0)),MIN(AN$38,$D$19),$P$20))-SUM($P864:AM864)</f>
        <v>#VALUE!</v>
      </c>
      <c r="AO864" s="446" t="e">
        <f>IF(OR($B864="",MIN(AO$38,$D$19)&lt;MAX($P$708*($B864+IF($R$17="Distrato",$I$38-1,0)),IF(AND($L$711=0,$P$708=0),"",$L$711-1),IF($R$17="Distrato",$E864,0))),0,YEARFRAC(MAX($P$708*($B864+IF($R$17="Distrato",$I$38-1,0)),IF(AND($L$711=0,$P$708=0),"",$L$711-1),IF($R$17="Distrato",$E864,0)),MIN(AO$38,$D$19),$P$20))-SUM($P864:AN864)</f>
        <v>#VALUE!</v>
      </c>
      <c r="AP864" s="446" t="e">
        <f>IF(OR($B864="",MIN(AP$38,$D$19)&lt;MAX($P$708*($B864+IF($R$17="Distrato",$I$38-1,0)),IF(AND($L$711=0,$P$708=0),"",$L$711-1),IF($R$17="Distrato",$E864,0))),0,YEARFRAC(MAX($P$708*($B864+IF($R$17="Distrato",$I$38-1,0)),IF(AND($L$711=0,$P$708=0),"",$L$711-1),IF($R$17="Distrato",$E864,0)),MIN(AP$38,$D$19),$P$20))-SUM($P864:AO864)</f>
        <v>#VALUE!</v>
      </c>
      <c r="AQ864" s="446" t="e">
        <f>IF(OR($B864="",MIN(AQ$38,$D$19)&lt;MAX($P$708*($B864+IF($R$17="Distrato",$I$38-1,0)),IF(AND($L$711=0,$P$708=0),"",$L$711-1),IF($R$17="Distrato",$E864,0))),0,YEARFRAC(MAX($P$708*($B864+IF($R$17="Distrato",$I$38-1,0)),IF(AND($L$711=0,$P$708=0),"",$L$711-1),IF($R$17="Distrato",$E864,0)),MIN(AQ$38,$D$19),$P$20))-SUM($P864:AP864)</f>
        <v>#VALUE!</v>
      </c>
      <c r="AR864" s="446" t="e">
        <f>IF(OR($B864="",MIN(AR$38,$D$19)&lt;MAX($P$708*($B864+IF($R$17="Distrato",$I$38-1,0)),IF(AND($L$711=0,$P$708=0),"",$L$711-1),IF($R$17="Distrato",$E864,0))),0,YEARFRAC(MAX($P$708*($B864+IF($R$17="Distrato",$I$38-1,0)),IF(AND($L$711=0,$P$708=0),"",$L$711-1),IF($R$17="Distrato",$E864,0)),MIN(AR$38,$D$19),$P$20))-SUM($P864:AQ864)</f>
        <v>#VALUE!</v>
      </c>
      <c r="AS864" s="446" t="e">
        <f>IF(OR($B864="",MIN(AS$38,$D$19)&lt;MAX($P$708*($B864+IF($R$17="Distrato",$I$38-1,0)),IF(AND($L$711=0,$P$708=0),"",$L$711-1),IF($R$17="Distrato",$E864,0))),0,YEARFRAC(MAX($P$708*($B864+IF($R$17="Distrato",$I$38-1,0)),IF(AND($L$711=0,$P$708=0),"",$L$711-1),IF($R$17="Distrato",$E864,0)),MIN(AS$38,$D$19),$P$20))-SUM($P864:AR864)</f>
        <v>#VALUE!</v>
      </c>
      <c r="AT864" s="446" t="e">
        <f>IF(OR($B864="",MIN(AT$38,$D$19)&lt;MAX($P$708*($B864+IF($R$17="Distrato",$I$38-1,0)),IF(AND($L$711=0,$P$708=0),"",$L$711-1),IF($R$17="Distrato",$E864,0))),0,YEARFRAC(MAX($P$708*($B864+IF($R$17="Distrato",$I$38-1,0)),IF(AND($L$711=0,$P$708=0),"",$L$711-1),IF($R$17="Distrato",$E864,0)),MIN(AT$38,$D$19),$P$20))-SUM($P864:AS864)</f>
        <v>#VALUE!</v>
      </c>
      <c r="AU864" s="446" t="e">
        <f>IF(OR($B864="",MIN(AU$38,$D$19)&lt;MAX($P$708*($B864+IF($R$17="Distrato",$I$38-1,0)),IF(AND($L$711=0,$P$708=0),"",$L$711-1),IF($R$17="Distrato",$E864,0))),0,YEARFRAC(MAX($P$708*($B864+IF($R$17="Distrato",$I$38-1,0)),IF(AND($L$711=0,$P$708=0),"",$L$711-1),IF($R$17="Distrato",$E864,0)),MIN(AU$38,$D$19),$P$20))-SUM($P864:AT864)</f>
        <v>#VALUE!</v>
      </c>
      <c r="AV864" s="446" t="e">
        <f>IF(OR($B864="",MIN(AV$38,$D$19)&lt;MAX($P$708*($B864+IF($R$17="Distrato",$I$38-1,0)),IF(AND($L$711=0,$P$708=0),"",$L$711-1),IF($R$17="Distrato",$E864,0))),0,YEARFRAC(MAX($P$708*($B864+IF($R$17="Distrato",$I$38-1,0)),IF(AND($L$711=0,$P$708=0),"",$L$711-1),IF($R$17="Distrato",$E864,0)),MIN(AV$38,$D$19),$P$20))-SUM($P864:AU864)</f>
        <v>#VALUE!</v>
      </c>
      <c r="AW864" s="446" t="e">
        <f>IF(OR($B864="",MIN(AW$38,$D$19)&lt;MAX($P$708*($B864+IF($R$17="Distrato",$I$38-1,0)),IF(AND($L$711=0,$P$708=0),"",$L$711-1),IF($R$17="Distrato",$E864,0))),0,YEARFRAC(MAX($P$708*($B864+IF($R$17="Distrato",$I$38-1,0)),IF(AND($L$711=0,$P$708=0),"",$L$711-1),IF($R$17="Distrato",$E864,0)),MIN(AW$38,$D$19),$P$20))-SUM($P864:AV864)</f>
        <v>#VALUE!</v>
      </c>
      <c r="AX864" s="446" t="e">
        <f>IF(OR($B864="",MIN(AX$38,$D$19)&lt;MAX($P$708*($B864+IF($R$17="Distrato",$I$38-1,0)),IF(AND($L$711=0,$P$708=0),"",$L$711-1),IF($R$17="Distrato",$E864,0))),0,YEARFRAC(MAX($P$708*($B864+IF($R$17="Distrato",$I$38-1,0)),IF(AND($L$711=0,$P$708=0),"",$L$711-1),IF($R$17="Distrato",$E864,0)),MIN(AX$38,$D$19),$P$20))-SUM($P864:AW864)</f>
        <v>#VALUE!</v>
      </c>
      <c r="AY864" s="446" t="e">
        <f>IF(OR($B864="",MIN(AY$38,$D$19)&lt;MAX($P$708*($B864+IF($R$17="Distrato",$I$38-1,0)),IF(AND($L$711=0,$P$708=0),"",$L$711-1),IF($R$17="Distrato",$E864,0))),0,YEARFRAC(MAX($P$708*($B864+IF($R$17="Distrato",$I$38-1,0)),IF(AND($L$711=0,$P$708=0),"",$L$711-1),IF($R$17="Distrato",$E864,0)),MIN(AY$38,$D$19),$P$20))-SUM($P864:AX864)</f>
        <v>#VALUE!</v>
      </c>
      <c r="AZ864" s="446" t="e">
        <f>IF(OR($B864="",MIN(AZ$38,$D$19)&lt;MAX($P$708*($B864+IF($R$17="Distrato",$I$38-1,0)),IF(AND($L$711=0,$P$708=0),"",$L$711-1),IF($R$17="Distrato",$E864,0))),0,YEARFRAC(MAX($P$708*($B864+IF($R$17="Distrato",$I$38-1,0)),IF(AND($L$711=0,$P$708=0),"",$L$711-1),IF($R$17="Distrato",$E864,0)),MIN(AZ$38,$D$19),$P$20))-SUM($P864:AY864)</f>
        <v>#VALUE!</v>
      </c>
      <c r="BA864" s="446" t="e">
        <f>IF(OR($B864="",MIN(BA$38,$D$19)&lt;MAX($P$708*($B864+IF($R$17="Distrato",$I$38-1,0)),IF(AND($L$711=0,$P$708=0),"",$L$711-1),IF($R$17="Distrato",$E864,0))),0,YEARFRAC(MAX($P$708*($B864+IF($R$17="Distrato",$I$38-1,0)),IF(AND($L$711=0,$P$708=0),"",$L$711-1),IF($R$17="Distrato",$E864,0)),MIN(BA$38,$D$19),$P$20))-SUM($P864:AZ864)</f>
        <v>#VALUE!</v>
      </c>
      <c r="BB864" s="447"/>
    </row>
    <row r="865" spans="1:54" s="446" customFormat="1" ht="11.25" hidden="1" customHeight="1" x14ac:dyDescent="0.2">
      <c r="A865" s="235"/>
      <c r="B865" s="236"/>
      <c r="C865" s="29" t="str">
        <f>IF(B865="","",IF($L$709=$BL$25,VLOOKUP(DATE(YEAR($D$19),MONTH($D$19)-1,1),ÍNDICES!$A:$DE,HLOOKUP($BL$25,ÍNDICES!$B$3:$T$4,2)+11)-VLOOKUP(B865,ÍNDICES!$A:$DE,HLOOKUP($BL$25,ÍNDICES!$B$3:$T$4,2)+11)+1%,IF(C$712=$W$26,$J$35,IF(ISERROR(IF(B865&gt;$D$19,1,VLOOKUP(DATE(YEAR(B865),MONTH(B865)+IF($C$709=$S$23,1,0),1),ÍNDICES!$A:$DE,$Z$709+1))),"",IF(B865&gt;$D$19,1,VLOOKUP(DATE(YEAR(B865),MONTH(B865)+IF($C$709=$S$23,1,0),1),ÍNDICES!$A:$DE,$Z$709+1))))))</f>
        <v/>
      </c>
      <c r="D865" s="155"/>
      <c r="E865" s="88"/>
      <c r="F865" s="88"/>
      <c r="G865" s="88"/>
      <c r="H865" s="118"/>
      <c r="I865" s="182">
        <f t="shared" si="129"/>
        <v>0</v>
      </c>
      <c r="J865" s="20">
        <f t="shared" ca="1" si="130"/>
        <v>0</v>
      </c>
      <c r="K865" s="5">
        <f t="shared" ca="1" si="131"/>
        <v>0</v>
      </c>
      <c r="L865" s="61">
        <f t="shared" ca="1" si="132"/>
        <v>0</v>
      </c>
      <c r="M865" s="64">
        <f t="shared" si="133"/>
        <v>0</v>
      </c>
      <c r="N865" s="151"/>
      <c r="O865" s="5">
        <f t="shared" ca="1" si="134"/>
        <v>0</v>
      </c>
      <c r="P865" s="446" t="e">
        <f t="shared" si="135"/>
        <v>#VALUE!</v>
      </c>
      <c r="Q865" s="446" t="e">
        <f>IF(OR($B865="",MIN(Q$38,$D$19)&lt;MAX($P$708*($B865+IF($R$17="Distrato",$I$38-1,0)),IF(AND($L$711=0,$P$708=0),"",$L$711-1),IF($R$17="Distrato",$E865,0))),0,YEARFRAC(MAX($P$708*($B865+IF($R$17="Distrato",$I$38-1,0)),IF(AND($L$711=0,$P$708=0),"",$L$711-1),IF($R$17="Distrato",$E865,0)),MIN(Q$38,$D$19),$P$20))-SUM($P865:P865)</f>
        <v>#VALUE!</v>
      </c>
      <c r="R865" s="446" t="e">
        <f>IF(OR($B865="",MIN(R$38,$D$19)&lt;MAX($P$708*($B865+IF($R$17="Distrato",$I$38-1,0)),IF(AND($L$711=0,$P$708=0),"",$L$711-1),IF($R$17="Distrato",$E865,0))),0,YEARFRAC(MAX($P$708*($B865+IF($R$17="Distrato",$I$38-1,0)),IF(AND($L$711=0,$P$708=0),"",$L$711-1),IF($R$17="Distrato",$E865,0)),MIN(R$38,$D$19),$P$20))-SUM($P865:Q865)</f>
        <v>#VALUE!</v>
      </c>
      <c r="S865" s="446" t="e">
        <f>IF(OR($B865="",MIN(S$38,$D$19)&lt;MAX($P$708*($B865+IF($R$17="Distrato",$I$38-1,0)),IF(AND($L$711=0,$P$708=0),"",$L$711-1),IF($R$17="Distrato",$E865,0))),0,YEARFRAC(MAX($P$708*($B865+IF($R$17="Distrato",$I$38-1,0)),IF(AND($L$711=0,$P$708=0),"",$L$711-1),IF($R$17="Distrato",$E865,0)),MIN(S$38,$D$19),$P$20))-SUM($P865:R865)</f>
        <v>#VALUE!</v>
      </c>
      <c r="T865" s="446" t="e">
        <f>IF(OR($B865="",MIN(T$38,$D$19)&lt;MAX($P$708*($B865+IF($R$17="Distrato",$I$38-1,0)),IF(AND($L$711=0,$P$708=0),"",$L$711-1),IF($R$17="Distrato",$E865,0))),0,YEARFRAC(MAX($P$708*($B865+IF($R$17="Distrato",$I$38-1,0)),IF(AND($L$711=0,$P$708=0),"",$L$711-1),IF($R$17="Distrato",$E865,0)),MIN(T$38,$D$19),$P$20))-SUM($P865:S865)</f>
        <v>#VALUE!</v>
      </c>
      <c r="U865" s="446" t="e">
        <f>IF(OR($B865="",MIN(U$38,$D$19)&lt;MAX($P$708*($B865+IF($R$17="Distrato",$I$38-1,0)),IF(AND($L$711=0,$P$708=0),"",$L$711-1),IF($R$17="Distrato",$E865,0))),0,YEARFRAC(MAX($P$708*($B865+IF($R$17="Distrato",$I$38-1,0)),IF(AND($L$711=0,$P$708=0),"",$L$711-1),IF($R$17="Distrato",$E865,0)),MIN(U$38,$D$19),$P$20))-SUM($P865:T865)</f>
        <v>#VALUE!</v>
      </c>
      <c r="V865" s="446" t="e">
        <f>IF(OR($B865="",MIN(V$38,$D$19)&lt;MAX($P$708*($B865+IF($R$17="Distrato",$I$38-1,0)),IF(AND($L$711=0,$P$708=0),"",$L$711-1),IF($R$17="Distrato",$E865,0))),0,YEARFRAC(MAX($P$708*($B865+IF($R$17="Distrato",$I$38-1,0)),IF(AND($L$711=0,$P$708=0),"",$L$711-1),IF($R$17="Distrato",$E865,0)),MIN(V$38,$D$19),$P$20))-SUM($P865:U865)</f>
        <v>#VALUE!</v>
      </c>
      <c r="W865" s="446" t="e">
        <f>IF(OR($B865="",MIN(W$38,$D$19)&lt;MAX($P$708*($B865+IF($R$17="Distrato",$I$38-1,0)),IF(AND($L$711=0,$P$708=0),"",$L$711-1),IF($R$17="Distrato",$E865,0))),0,YEARFRAC(MAX($P$708*($B865+IF($R$17="Distrato",$I$38-1,0)),IF(AND($L$711=0,$P$708=0),"",$L$711-1),IF($R$17="Distrato",$E865,0)),MIN(W$38,$D$19),$P$20))-SUM($P865:V865)</f>
        <v>#VALUE!</v>
      </c>
      <c r="X865" s="446" t="e">
        <f>IF(OR($B865="",MIN(X$38,$D$19)&lt;MAX($P$708*($B865+IF($R$17="Distrato",$I$38-1,0)),IF(AND($L$711=0,$P$708=0),"",$L$711-1),IF($R$17="Distrato",$E865,0))),0,YEARFRAC(MAX($P$708*($B865+IF($R$17="Distrato",$I$38-1,0)),IF(AND($L$711=0,$P$708=0),"",$L$711-1),IF($R$17="Distrato",$E865,0)),MIN(X$38,$D$19),$P$20))-SUM($P865:W865)</f>
        <v>#VALUE!</v>
      </c>
      <c r="Y865" s="446" t="e">
        <f>IF(OR($B865="",MIN(Y$38,$D$19)&lt;MAX($P$708*($B865+IF($R$17="Distrato",$I$38-1,0)),IF(AND($L$711=0,$P$708=0),"",$L$711-1),IF($R$17="Distrato",$E865,0))),0,YEARFRAC(MAX($P$708*($B865+IF($R$17="Distrato",$I$38-1,0)),IF(AND($L$711=0,$P$708=0),"",$L$711-1),IF($R$17="Distrato",$E865,0)),MIN(Y$38,$D$19),$P$20))-SUM($P865:X865)</f>
        <v>#VALUE!</v>
      </c>
      <c r="Z865" s="446" t="e">
        <f>IF(OR($B865="",MIN(Z$38,$D$19)&lt;MAX($P$708*($B865+IF($R$17="Distrato",$I$38-1,0)),IF(AND($L$711=0,$P$708=0),"",$L$711-1),IF($R$17="Distrato",$E865,0))),0,YEARFRAC(MAX($P$708*($B865+IF($R$17="Distrato",$I$38-1,0)),IF(AND($L$711=0,$P$708=0),"",$L$711-1),IF($R$17="Distrato",$E865,0)),MIN(Z$38,$D$19),$P$20))-SUM($P865:Y865)</f>
        <v>#VALUE!</v>
      </c>
      <c r="AA865" s="446" t="e">
        <f>IF(OR($B865="",MIN(AA$38,$D$19)&lt;MAX($P$708*($B865+IF($R$17="Distrato",$I$38-1,0)),IF(AND($L$711=0,$P$708=0),"",$L$711-1),IF($R$17="Distrato",$E865,0))),0,YEARFRAC(MAX($P$708*($B865+IF($R$17="Distrato",$I$38-1,0)),IF(AND($L$711=0,$P$708=0),"",$L$711-1),IF($R$17="Distrato",$E865,0)),MIN(AA$38,$D$19),$P$20))-SUM($P865:Z865)</f>
        <v>#VALUE!</v>
      </c>
      <c r="AB865" s="446" t="e">
        <f>IF(OR($B865="",MIN(AB$38,$D$19)&lt;MAX($P$708*($B865+IF($R$17="Distrato",$I$38-1,0)),IF(AND($L$711=0,$P$708=0),"",$L$711-1),IF($R$17="Distrato",$E865,0))),0,YEARFRAC(MAX($P$708*($B865+IF($R$17="Distrato",$I$38-1,0)),IF(AND($L$711=0,$P$708=0),"",$L$711-1),IF($R$17="Distrato",$E865,0)),MIN(AB$38,$D$19),$P$20))-SUM($P865:AA865)</f>
        <v>#VALUE!</v>
      </c>
      <c r="AC865" s="446" t="e">
        <f>IF(OR($B865="",MIN(AC$38,$D$19)&lt;MAX($P$708*($B865+IF($R$17="Distrato",$I$38-1,0)),IF(AND($L$711=0,$P$708=0),"",$L$711-1),IF($R$17="Distrato",$E865,0))),0,YEARFRAC(MAX($P$708*($B865+IF($R$17="Distrato",$I$38-1,0)),IF(AND($L$711=0,$P$708=0),"",$L$711-1),IF($R$17="Distrato",$E865,0)),MIN(AC$38,$D$19),$P$20))-SUM($P865:AB865)</f>
        <v>#VALUE!</v>
      </c>
      <c r="AD865" s="446" t="e">
        <f>IF(OR($B865="",MIN(AD$38,$D$19)&lt;MAX($P$708*($B865+IF($R$17="Distrato",$I$38-1,0)),IF(AND($L$711=0,$P$708=0),"",$L$711-1),IF($R$17="Distrato",$E865,0))),0,YEARFRAC(MAX($P$708*($B865+IF($R$17="Distrato",$I$38-1,0)),IF(AND($L$711=0,$P$708=0),"",$L$711-1),IF($R$17="Distrato",$E865,0)),MIN(AD$38,$D$19),$P$20))-SUM($P865:AC865)</f>
        <v>#VALUE!</v>
      </c>
      <c r="AE865" s="446" t="e">
        <f>IF(OR($B865="",MIN(AE$38,$D$19)&lt;MAX($P$708*($B865+IF($R$17="Distrato",$I$38-1,0)),IF(AND($L$711=0,$P$708=0),"",$L$711-1),IF($R$17="Distrato",$E865,0))),0,YEARFRAC(MAX($P$708*($B865+IF($R$17="Distrato",$I$38-1,0)),IF(AND($L$711=0,$P$708=0),"",$L$711-1),IF($R$17="Distrato",$E865,0)),MIN(AE$38,$D$19),$P$20))-SUM($P865:AD865)</f>
        <v>#VALUE!</v>
      </c>
      <c r="AF865" s="446" t="e">
        <f>IF(OR($B865="",MIN(AF$38,$D$19)&lt;MAX($P$708*($B865+IF($R$17="Distrato",$I$38-1,0)),IF(AND($L$711=0,$P$708=0),"",$L$711-1),IF($R$17="Distrato",$E865,0))),0,YEARFRAC(MAX($P$708*($B865+IF($R$17="Distrato",$I$38-1,0)),IF(AND($L$711=0,$P$708=0),"",$L$711-1),IF($R$17="Distrato",$E865,0)),MIN(AF$38,$D$19),$P$20))-SUM($P865:AE865)</f>
        <v>#VALUE!</v>
      </c>
      <c r="AG865" s="446" t="e">
        <f>IF(OR($B865="",MIN(AG$38,$D$19)&lt;MAX($P$708*($B865+IF($R$17="Distrato",$I$38-1,0)),IF(AND($L$711=0,$P$708=0),"",$L$711-1),IF($R$17="Distrato",$E865,0))),0,YEARFRAC(MAX($P$708*($B865+IF($R$17="Distrato",$I$38-1,0)),IF(AND($L$711=0,$P$708=0),"",$L$711-1),IF($R$17="Distrato",$E865,0)),MIN(AG$38,$D$19),$P$20))-SUM($P865:AF865)</f>
        <v>#VALUE!</v>
      </c>
      <c r="AH865" s="446" t="e">
        <f>IF(OR($B865="",MIN(AH$38,$D$19)&lt;MAX($P$708*($B865+IF($R$17="Distrato",$I$38-1,0)),IF(AND($L$711=0,$P$708=0),"",$L$711-1),IF($R$17="Distrato",$E865,0))),0,YEARFRAC(MAX($P$708*($B865+IF($R$17="Distrato",$I$38-1,0)),IF(AND($L$711=0,$P$708=0),"",$L$711-1),IF($R$17="Distrato",$E865,0)),MIN(AH$38,$D$19),$P$20))-SUM($P865:AG865)</f>
        <v>#VALUE!</v>
      </c>
      <c r="AI865" s="446" t="e">
        <f>IF(OR($B865="",MIN(AI$38,$D$19)&lt;MAX($P$708*($B865+IF($R$17="Distrato",$I$38-1,0)),IF(AND($L$711=0,$P$708=0),"",$L$711-1),IF($R$17="Distrato",$E865,0))),0,YEARFRAC(MAX($P$708*($B865+IF($R$17="Distrato",$I$38-1,0)),IF(AND($L$711=0,$P$708=0),"",$L$711-1),IF($R$17="Distrato",$E865,0)),MIN(AI$38,$D$19),$P$20))-SUM($P865:AH865)</f>
        <v>#VALUE!</v>
      </c>
      <c r="AJ865" s="446" t="e">
        <f>IF(OR($B865="",MIN(AJ$38,$D$19)&lt;MAX($P$708*($B865+IF($R$17="Distrato",$I$38-1,0)),IF(AND($L$711=0,$P$708=0),"",$L$711-1),IF($R$17="Distrato",$E865,0))),0,YEARFRAC(MAX($P$708*($B865+IF($R$17="Distrato",$I$38-1,0)),IF(AND($L$711=0,$P$708=0),"",$L$711-1),IF($R$17="Distrato",$E865,0)),MIN(AJ$38,$D$19),$P$20))-SUM($P865:AI865)</f>
        <v>#VALUE!</v>
      </c>
      <c r="AK865" s="446" t="e">
        <f>IF(OR($B865="",MIN(AK$38,$D$19)&lt;MAX($P$708*($B865+IF($R$17="Distrato",$I$38-1,0)),IF(AND($L$711=0,$P$708=0),"",$L$711-1),IF($R$17="Distrato",$E865,0))),0,YEARFRAC(MAX($P$708*($B865+IF($R$17="Distrato",$I$38-1,0)),IF(AND($L$711=0,$P$708=0),"",$L$711-1),IF($R$17="Distrato",$E865,0)),MIN(AK$38,$D$19),$P$20))-SUM($P865:AJ865)</f>
        <v>#VALUE!</v>
      </c>
      <c r="AL865" s="446" t="e">
        <f>IF(OR($B865="",MIN(AL$38,$D$19)&lt;MAX($P$708*($B865+IF($R$17="Distrato",$I$38-1,0)),IF(AND($L$711=0,$P$708=0),"",$L$711-1),IF($R$17="Distrato",$E865,0))),0,YEARFRAC(MAX($P$708*($B865+IF($R$17="Distrato",$I$38-1,0)),IF(AND($L$711=0,$P$708=0),"",$L$711-1),IF($R$17="Distrato",$E865,0)),MIN(AL$38,$D$19),$P$20))-SUM($P865:AK865)</f>
        <v>#VALUE!</v>
      </c>
      <c r="AM865" s="446" t="e">
        <f>IF(OR($B865="",MIN(AM$38,$D$19)&lt;MAX($P$708*($B865+IF($R$17="Distrato",$I$38-1,0)),IF(AND($L$711=0,$P$708=0),"",$L$711-1),IF($R$17="Distrato",$E865,0))),0,YEARFRAC(MAX($P$708*($B865+IF($R$17="Distrato",$I$38-1,0)),IF(AND($L$711=0,$P$708=0),"",$L$711-1),IF($R$17="Distrato",$E865,0)),MIN(AM$38,$D$19),$P$20))-SUM($P865:AL865)</f>
        <v>#VALUE!</v>
      </c>
      <c r="AN865" s="446" t="e">
        <f>IF(OR($B865="",MIN(AN$38,$D$19)&lt;MAX($P$708*($B865+IF($R$17="Distrato",$I$38-1,0)),IF(AND($L$711=0,$P$708=0),"",$L$711-1),IF($R$17="Distrato",$E865,0))),0,YEARFRAC(MAX($P$708*($B865+IF($R$17="Distrato",$I$38-1,0)),IF(AND($L$711=0,$P$708=0),"",$L$711-1),IF($R$17="Distrato",$E865,0)),MIN(AN$38,$D$19),$P$20))-SUM($P865:AM865)</f>
        <v>#VALUE!</v>
      </c>
      <c r="AO865" s="446" t="e">
        <f>IF(OR($B865="",MIN(AO$38,$D$19)&lt;MAX($P$708*($B865+IF($R$17="Distrato",$I$38-1,0)),IF(AND($L$711=0,$P$708=0),"",$L$711-1),IF($R$17="Distrato",$E865,0))),0,YEARFRAC(MAX($P$708*($B865+IF($R$17="Distrato",$I$38-1,0)),IF(AND($L$711=0,$P$708=0),"",$L$711-1),IF($R$17="Distrato",$E865,0)),MIN(AO$38,$D$19),$P$20))-SUM($P865:AN865)</f>
        <v>#VALUE!</v>
      </c>
      <c r="AP865" s="446" t="e">
        <f>IF(OR($B865="",MIN(AP$38,$D$19)&lt;MAX($P$708*($B865+IF($R$17="Distrato",$I$38-1,0)),IF(AND($L$711=0,$P$708=0),"",$L$711-1),IF($R$17="Distrato",$E865,0))),0,YEARFRAC(MAX($P$708*($B865+IF($R$17="Distrato",$I$38-1,0)),IF(AND($L$711=0,$P$708=0),"",$L$711-1),IF($R$17="Distrato",$E865,0)),MIN(AP$38,$D$19),$P$20))-SUM($P865:AO865)</f>
        <v>#VALUE!</v>
      </c>
      <c r="AQ865" s="446" t="e">
        <f>IF(OR($B865="",MIN(AQ$38,$D$19)&lt;MAX($P$708*($B865+IF($R$17="Distrato",$I$38-1,0)),IF(AND($L$711=0,$P$708=0),"",$L$711-1),IF($R$17="Distrato",$E865,0))),0,YEARFRAC(MAX($P$708*($B865+IF($R$17="Distrato",$I$38-1,0)),IF(AND($L$711=0,$P$708=0),"",$L$711-1),IF($R$17="Distrato",$E865,0)),MIN(AQ$38,$D$19),$P$20))-SUM($P865:AP865)</f>
        <v>#VALUE!</v>
      </c>
      <c r="AR865" s="446" t="e">
        <f>IF(OR($B865="",MIN(AR$38,$D$19)&lt;MAX($P$708*($B865+IF($R$17="Distrato",$I$38-1,0)),IF(AND($L$711=0,$P$708=0),"",$L$711-1),IF($R$17="Distrato",$E865,0))),0,YEARFRAC(MAX($P$708*($B865+IF($R$17="Distrato",$I$38-1,0)),IF(AND($L$711=0,$P$708=0),"",$L$711-1),IF($R$17="Distrato",$E865,0)),MIN(AR$38,$D$19),$P$20))-SUM($P865:AQ865)</f>
        <v>#VALUE!</v>
      </c>
      <c r="AS865" s="446" t="e">
        <f>IF(OR($B865="",MIN(AS$38,$D$19)&lt;MAX($P$708*($B865+IF($R$17="Distrato",$I$38-1,0)),IF(AND($L$711=0,$P$708=0),"",$L$711-1),IF($R$17="Distrato",$E865,0))),0,YEARFRAC(MAX($P$708*($B865+IF($R$17="Distrato",$I$38-1,0)),IF(AND($L$711=0,$P$708=0),"",$L$711-1),IF($R$17="Distrato",$E865,0)),MIN(AS$38,$D$19),$P$20))-SUM($P865:AR865)</f>
        <v>#VALUE!</v>
      </c>
      <c r="AT865" s="446" t="e">
        <f>IF(OR($B865="",MIN(AT$38,$D$19)&lt;MAX($P$708*($B865+IF($R$17="Distrato",$I$38-1,0)),IF(AND($L$711=0,$P$708=0),"",$L$711-1),IF($R$17="Distrato",$E865,0))),0,YEARFRAC(MAX($P$708*($B865+IF($R$17="Distrato",$I$38-1,0)),IF(AND($L$711=0,$P$708=0),"",$L$711-1),IF($R$17="Distrato",$E865,0)),MIN(AT$38,$D$19),$P$20))-SUM($P865:AS865)</f>
        <v>#VALUE!</v>
      </c>
      <c r="AU865" s="446" t="e">
        <f>IF(OR($B865="",MIN(AU$38,$D$19)&lt;MAX($P$708*($B865+IF($R$17="Distrato",$I$38-1,0)),IF(AND($L$711=0,$P$708=0),"",$L$711-1),IF($R$17="Distrato",$E865,0))),0,YEARFRAC(MAX($P$708*($B865+IF($R$17="Distrato",$I$38-1,0)),IF(AND($L$711=0,$P$708=0),"",$L$711-1),IF($R$17="Distrato",$E865,0)),MIN(AU$38,$D$19),$P$20))-SUM($P865:AT865)</f>
        <v>#VALUE!</v>
      </c>
      <c r="AV865" s="446" t="e">
        <f>IF(OR($B865="",MIN(AV$38,$D$19)&lt;MAX($P$708*($B865+IF($R$17="Distrato",$I$38-1,0)),IF(AND($L$711=0,$P$708=0),"",$L$711-1),IF($R$17="Distrato",$E865,0))),0,YEARFRAC(MAX($P$708*($B865+IF($R$17="Distrato",$I$38-1,0)),IF(AND($L$711=0,$P$708=0),"",$L$711-1),IF($R$17="Distrato",$E865,0)),MIN(AV$38,$D$19),$P$20))-SUM($P865:AU865)</f>
        <v>#VALUE!</v>
      </c>
      <c r="AW865" s="446" t="e">
        <f>IF(OR($B865="",MIN(AW$38,$D$19)&lt;MAX($P$708*($B865+IF($R$17="Distrato",$I$38-1,0)),IF(AND($L$711=0,$P$708=0),"",$L$711-1),IF($R$17="Distrato",$E865,0))),0,YEARFRAC(MAX($P$708*($B865+IF($R$17="Distrato",$I$38-1,0)),IF(AND($L$711=0,$P$708=0),"",$L$711-1),IF($R$17="Distrato",$E865,0)),MIN(AW$38,$D$19),$P$20))-SUM($P865:AV865)</f>
        <v>#VALUE!</v>
      </c>
      <c r="AX865" s="446" t="e">
        <f>IF(OR($B865="",MIN(AX$38,$D$19)&lt;MAX($P$708*($B865+IF($R$17="Distrato",$I$38-1,0)),IF(AND($L$711=0,$P$708=0),"",$L$711-1),IF($R$17="Distrato",$E865,0))),0,YEARFRAC(MAX($P$708*($B865+IF($R$17="Distrato",$I$38-1,0)),IF(AND($L$711=0,$P$708=0),"",$L$711-1),IF($R$17="Distrato",$E865,0)),MIN(AX$38,$D$19),$P$20))-SUM($P865:AW865)</f>
        <v>#VALUE!</v>
      </c>
      <c r="AY865" s="446" t="e">
        <f>IF(OR($B865="",MIN(AY$38,$D$19)&lt;MAX($P$708*($B865+IF($R$17="Distrato",$I$38-1,0)),IF(AND($L$711=0,$P$708=0),"",$L$711-1),IF($R$17="Distrato",$E865,0))),0,YEARFRAC(MAX($P$708*($B865+IF($R$17="Distrato",$I$38-1,0)),IF(AND($L$711=0,$P$708=0),"",$L$711-1),IF($R$17="Distrato",$E865,0)),MIN(AY$38,$D$19),$P$20))-SUM($P865:AX865)</f>
        <v>#VALUE!</v>
      </c>
      <c r="AZ865" s="446" t="e">
        <f>IF(OR($B865="",MIN(AZ$38,$D$19)&lt;MAX($P$708*($B865+IF($R$17="Distrato",$I$38-1,0)),IF(AND($L$711=0,$P$708=0),"",$L$711-1),IF($R$17="Distrato",$E865,0))),0,YEARFRAC(MAX($P$708*($B865+IF($R$17="Distrato",$I$38-1,0)),IF(AND($L$711=0,$P$708=0),"",$L$711-1),IF($R$17="Distrato",$E865,0)),MIN(AZ$38,$D$19),$P$20))-SUM($P865:AY865)</f>
        <v>#VALUE!</v>
      </c>
      <c r="BA865" s="446" t="e">
        <f>IF(OR($B865="",MIN(BA$38,$D$19)&lt;MAX($P$708*($B865+IF($R$17="Distrato",$I$38-1,0)),IF(AND($L$711=0,$P$708=0),"",$L$711-1),IF($R$17="Distrato",$E865,0))),0,YEARFRAC(MAX($P$708*($B865+IF($R$17="Distrato",$I$38-1,0)),IF(AND($L$711=0,$P$708=0),"",$L$711-1),IF($R$17="Distrato",$E865,0)),MIN(BA$38,$D$19),$P$20))-SUM($P865:AZ865)</f>
        <v>#VALUE!</v>
      </c>
      <c r="BB865" s="447"/>
    </row>
    <row r="866" spans="1:54" s="446" customFormat="1" ht="11.25" hidden="1" customHeight="1" x14ac:dyDescent="0.2">
      <c r="A866" s="235"/>
      <c r="B866" s="236"/>
      <c r="C866" s="29" t="str">
        <f>IF(B866="","",IF($L$709=$BL$25,VLOOKUP(DATE(YEAR($D$19),MONTH($D$19)-1,1),ÍNDICES!$A:$DE,HLOOKUP($BL$25,ÍNDICES!$B$3:$T$4,2)+11)-VLOOKUP(B866,ÍNDICES!$A:$DE,HLOOKUP($BL$25,ÍNDICES!$B$3:$T$4,2)+11)+1%,IF(C$712=$W$26,$J$35,IF(ISERROR(IF(B866&gt;$D$19,1,VLOOKUP(DATE(YEAR(B866),MONTH(B866)+IF($C$709=$S$23,1,0),1),ÍNDICES!$A:$DE,$Z$709+1))),"",IF(B866&gt;$D$19,1,VLOOKUP(DATE(YEAR(B866),MONTH(B866)+IF($C$709=$S$23,1,0),1),ÍNDICES!$A:$DE,$Z$709+1))))))</f>
        <v/>
      </c>
      <c r="D866" s="155"/>
      <c r="E866" s="88"/>
      <c r="F866" s="88"/>
      <c r="G866" s="88"/>
      <c r="H866" s="118"/>
      <c r="I866" s="182">
        <f t="shared" si="129"/>
        <v>0</v>
      </c>
      <c r="J866" s="20">
        <f t="shared" ca="1" si="130"/>
        <v>0</v>
      </c>
      <c r="K866" s="5">
        <f t="shared" ca="1" si="131"/>
        <v>0</v>
      </c>
      <c r="L866" s="61">
        <f t="shared" ca="1" si="132"/>
        <v>0</v>
      </c>
      <c r="M866" s="64">
        <f t="shared" si="133"/>
        <v>0</v>
      </c>
      <c r="N866" s="151"/>
      <c r="O866" s="5">
        <f t="shared" ca="1" si="134"/>
        <v>0</v>
      </c>
      <c r="P866" s="446" t="e">
        <f t="shared" si="135"/>
        <v>#VALUE!</v>
      </c>
      <c r="Q866" s="446" t="e">
        <f>IF(OR($B866="",MIN(Q$38,$D$19)&lt;MAX($P$708*($B866+IF($R$17="Distrato",$I$38-1,0)),IF(AND($L$711=0,$P$708=0),"",$L$711-1),IF($R$17="Distrato",$E866,0))),0,YEARFRAC(MAX($P$708*($B866+IF($R$17="Distrato",$I$38-1,0)),IF(AND($L$711=0,$P$708=0),"",$L$711-1),IF($R$17="Distrato",$E866,0)),MIN(Q$38,$D$19),$P$20))-SUM($P866:P866)</f>
        <v>#VALUE!</v>
      </c>
      <c r="R866" s="446" t="e">
        <f>IF(OR($B866="",MIN(R$38,$D$19)&lt;MAX($P$708*($B866+IF($R$17="Distrato",$I$38-1,0)),IF(AND($L$711=0,$P$708=0),"",$L$711-1),IF($R$17="Distrato",$E866,0))),0,YEARFRAC(MAX($P$708*($B866+IF($R$17="Distrato",$I$38-1,0)),IF(AND($L$711=0,$P$708=0),"",$L$711-1),IF($R$17="Distrato",$E866,0)),MIN(R$38,$D$19),$P$20))-SUM($P866:Q866)</f>
        <v>#VALUE!</v>
      </c>
      <c r="S866" s="446" t="e">
        <f>IF(OR($B866="",MIN(S$38,$D$19)&lt;MAX($P$708*($B866+IF($R$17="Distrato",$I$38-1,0)),IF(AND($L$711=0,$P$708=0),"",$L$711-1),IF($R$17="Distrato",$E866,0))),0,YEARFRAC(MAX($P$708*($B866+IF($R$17="Distrato",$I$38-1,0)),IF(AND($L$711=0,$P$708=0),"",$L$711-1),IF($R$17="Distrato",$E866,0)),MIN(S$38,$D$19),$P$20))-SUM($P866:R866)</f>
        <v>#VALUE!</v>
      </c>
      <c r="T866" s="446" t="e">
        <f>IF(OR($B866="",MIN(T$38,$D$19)&lt;MAX($P$708*($B866+IF($R$17="Distrato",$I$38-1,0)),IF(AND($L$711=0,$P$708=0),"",$L$711-1),IF($R$17="Distrato",$E866,0))),0,YEARFRAC(MAX($P$708*($B866+IF($R$17="Distrato",$I$38-1,0)),IF(AND($L$711=0,$P$708=0),"",$L$711-1),IF($R$17="Distrato",$E866,0)),MIN(T$38,$D$19),$P$20))-SUM($P866:S866)</f>
        <v>#VALUE!</v>
      </c>
      <c r="U866" s="446" t="e">
        <f>IF(OR($B866="",MIN(U$38,$D$19)&lt;MAX($P$708*($B866+IF($R$17="Distrato",$I$38-1,0)),IF(AND($L$711=0,$P$708=0),"",$L$711-1),IF($R$17="Distrato",$E866,0))),0,YEARFRAC(MAX($P$708*($B866+IF($R$17="Distrato",$I$38-1,0)),IF(AND($L$711=0,$P$708=0),"",$L$711-1),IF($R$17="Distrato",$E866,0)),MIN(U$38,$D$19),$P$20))-SUM($P866:T866)</f>
        <v>#VALUE!</v>
      </c>
      <c r="V866" s="446" t="e">
        <f>IF(OR($B866="",MIN(V$38,$D$19)&lt;MAX($P$708*($B866+IF($R$17="Distrato",$I$38-1,0)),IF(AND($L$711=0,$P$708=0),"",$L$711-1),IF($R$17="Distrato",$E866,0))),0,YEARFRAC(MAX($P$708*($B866+IF($R$17="Distrato",$I$38-1,0)),IF(AND($L$711=0,$P$708=0),"",$L$711-1),IF($R$17="Distrato",$E866,0)),MIN(V$38,$D$19),$P$20))-SUM($P866:U866)</f>
        <v>#VALUE!</v>
      </c>
      <c r="W866" s="446" t="e">
        <f>IF(OR($B866="",MIN(W$38,$D$19)&lt;MAX($P$708*($B866+IF($R$17="Distrato",$I$38-1,0)),IF(AND($L$711=0,$P$708=0),"",$L$711-1),IF($R$17="Distrato",$E866,0))),0,YEARFRAC(MAX($P$708*($B866+IF($R$17="Distrato",$I$38-1,0)),IF(AND($L$711=0,$P$708=0),"",$L$711-1),IF($R$17="Distrato",$E866,0)),MIN(W$38,$D$19),$P$20))-SUM($P866:V866)</f>
        <v>#VALUE!</v>
      </c>
      <c r="X866" s="446" t="e">
        <f>IF(OR($B866="",MIN(X$38,$D$19)&lt;MAX($P$708*($B866+IF($R$17="Distrato",$I$38-1,0)),IF(AND($L$711=0,$P$708=0),"",$L$711-1),IF($R$17="Distrato",$E866,0))),0,YEARFRAC(MAX($P$708*($B866+IF($R$17="Distrato",$I$38-1,0)),IF(AND($L$711=0,$P$708=0),"",$L$711-1),IF($R$17="Distrato",$E866,0)),MIN(X$38,$D$19),$P$20))-SUM($P866:W866)</f>
        <v>#VALUE!</v>
      </c>
      <c r="Y866" s="446" t="e">
        <f>IF(OR($B866="",MIN(Y$38,$D$19)&lt;MAX($P$708*($B866+IF($R$17="Distrato",$I$38-1,0)),IF(AND($L$711=0,$P$708=0),"",$L$711-1),IF($R$17="Distrato",$E866,0))),0,YEARFRAC(MAX($P$708*($B866+IF($R$17="Distrato",$I$38-1,0)),IF(AND($L$711=0,$P$708=0),"",$L$711-1),IF($R$17="Distrato",$E866,0)),MIN(Y$38,$D$19),$P$20))-SUM($P866:X866)</f>
        <v>#VALUE!</v>
      </c>
      <c r="Z866" s="446" t="e">
        <f>IF(OR($B866="",MIN(Z$38,$D$19)&lt;MAX($P$708*($B866+IF($R$17="Distrato",$I$38-1,0)),IF(AND($L$711=0,$P$708=0),"",$L$711-1),IF($R$17="Distrato",$E866,0))),0,YEARFRAC(MAX($P$708*($B866+IF($R$17="Distrato",$I$38-1,0)),IF(AND($L$711=0,$P$708=0),"",$L$711-1),IF($R$17="Distrato",$E866,0)),MIN(Z$38,$D$19),$P$20))-SUM($P866:Y866)</f>
        <v>#VALUE!</v>
      </c>
      <c r="AA866" s="446" t="e">
        <f>IF(OR($B866="",MIN(AA$38,$D$19)&lt;MAX($P$708*($B866+IF($R$17="Distrato",$I$38-1,0)),IF(AND($L$711=0,$P$708=0),"",$L$711-1),IF($R$17="Distrato",$E866,0))),0,YEARFRAC(MAX($P$708*($B866+IF($R$17="Distrato",$I$38-1,0)),IF(AND($L$711=0,$P$708=0),"",$L$711-1),IF($R$17="Distrato",$E866,0)),MIN(AA$38,$D$19),$P$20))-SUM($P866:Z866)</f>
        <v>#VALUE!</v>
      </c>
      <c r="AB866" s="446" t="e">
        <f>IF(OR($B866="",MIN(AB$38,$D$19)&lt;MAX($P$708*($B866+IF($R$17="Distrato",$I$38-1,0)),IF(AND($L$711=0,$P$708=0),"",$L$711-1),IF($R$17="Distrato",$E866,0))),0,YEARFRAC(MAX($P$708*($B866+IF($R$17="Distrato",$I$38-1,0)),IF(AND($L$711=0,$P$708=0),"",$L$711-1),IF($R$17="Distrato",$E866,0)),MIN(AB$38,$D$19),$P$20))-SUM($P866:AA866)</f>
        <v>#VALUE!</v>
      </c>
      <c r="AC866" s="446" t="e">
        <f>IF(OR($B866="",MIN(AC$38,$D$19)&lt;MAX($P$708*($B866+IF($R$17="Distrato",$I$38-1,0)),IF(AND($L$711=0,$P$708=0),"",$L$711-1),IF($R$17="Distrato",$E866,0))),0,YEARFRAC(MAX($P$708*($B866+IF($R$17="Distrato",$I$38-1,0)),IF(AND($L$711=0,$P$708=0),"",$L$711-1),IF($R$17="Distrato",$E866,0)),MIN(AC$38,$D$19),$P$20))-SUM($P866:AB866)</f>
        <v>#VALUE!</v>
      </c>
      <c r="AD866" s="446" t="e">
        <f>IF(OR($B866="",MIN(AD$38,$D$19)&lt;MAX($P$708*($B866+IF($R$17="Distrato",$I$38-1,0)),IF(AND($L$711=0,$P$708=0),"",$L$711-1),IF($R$17="Distrato",$E866,0))),0,YEARFRAC(MAX($P$708*($B866+IF($R$17="Distrato",$I$38-1,0)),IF(AND($L$711=0,$P$708=0),"",$L$711-1),IF($R$17="Distrato",$E866,0)),MIN(AD$38,$D$19),$P$20))-SUM($P866:AC866)</f>
        <v>#VALUE!</v>
      </c>
      <c r="AE866" s="446" t="e">
        <f>IF(OR($B866="",MIN(AE$38,$D$19)&lt;MAX($P$708*($B866+IF($R$17="Distrato",$I$38-1,0)),IF(AND($L$711=0,$P$708=0),"",$L$711-1),IF($R$17="Distrato",$E866,0))),0,YEARFRAC(MAX($P$708*($B866+IF($R$17="Distrato",$I$38-1,0)),IF(AND($L$711=0,$P$708=0),"",$L$711-1),IF($R$17="Distrato",$E866,0)),MIN(AE$38,$D$19),$P$20))-SUM($P866:AD866)</f>
        <v>#VALUE!</v>
      </c>
      <c r="AF866" s="446" t="e">
        <f>IF(OR($B866="",MIN(AF$38,$D$19)&lt;MAX($P$708*($B866+IF($R$17="Distrato",$I$38-1,0)),IF(AND($L$711=0,$P$708=0),"",$L$711-1),IF($R$17="Distrato",$E866,0))),0,YEARFRAC(MAX($P$708*($B866+IF($R$17="Distrato",$I$38-1,0)),IF(AND($L$711=0,$P$708=0),"",$L$711-1),IF($R$17="Distrato",$E866,0)),MIN(AF$38,$D$19),$P$20))-SUM($P866:AE866)</f>
        <v>#VALUE!</v>
      </c>
      <c r="AG866" s="446" t="e">
        <f>IF(OR($B866="",MIN(AG$38,$D$19)&lt;MAX($P$708*($B866+IF($R$17="Distrato",$I$38-1,0)),IF(AND($L$711=0,$P$708=0),"",$L$711-1),IF($R$17="Distrato",$E866,0))),0,YEARFRAC(MAX($P$708*($B866+IF($R$17="Distrato",$I$38-1,0)),IF(AND($L$711=0,$P$708=0),"",$L$711-1),IF($R$17="Distrato",$E866,0)),MIN(AG$38,$D$19),$P$20))-SUM($P866:AF866)</f>
        <v>#VALUE!</v>
      </c>
      <c r="AH866" s="446" t="e">
        <f>IF(OR($B866="",MIN(AH$38,$D$19)&lt;MAX($P$708*($B866+IF($R$17="Distrato",$I$38-1,0)),IF(AND($L$711=0,$P$708=0),"",$L$711-1),IF($R$17="Distrato",$E866,0))),0,YEARFRAC(MAX($P$708*($B866+IF($R$17="Distrato",$I$38-1,0)),IF(AND($L$711=0,$P$708=0),"",$L$711-1),IF($R$17="Distrato",$E866,0)),MIN(AH$38,$D$19),$P$20))-SUM($P866:AG866)</f>
        <v>#VALUE!</v>
      </c>
      <c r="AI866" s="446" t="e">
        <f>IF(OR($B866="",MIN(AI$38,$D$19)&lt;MAX($P$708*($B866+IF($R$17="Distrato",$I$38-1,0)),IF(AND($L$711=0,$P$708=0),"",$L$711-1),IF($R$17="Distrato",$E866,0))),0,YEARFRAC(MAX($P$708*($B866+IF($R$17="Distrato",$I$38-1,0)),IF(AND($L$711=0,$P$708=0),"",$L$711-1),IF($R$17="Distrato",$E866,0)),MIN(AI$38,$D$19),$P$20))-SUM($P866:AH866)</f>
        <v>#VALUE!</v>
      </c>
      <c r="AJ866" s="446" t="e">
        <f>IF(OR($B866="",MIN(AJ$38,$D$19)&lt;MAX($P$708*($B866+IF($R$17="Distrato",$I$38-1,0)),IF(AND($L$711=0,$P$708=0),"",$L$711-1),IF($R$17="Distrato",$E866,0))),0,YEARFRAC(MAX($P$708*($B866+IF($R$17="Distrato",$I$38-1,0)),IF(AND($L$711=0,$P$708=0),"",$L$711-1),IF($R$17="Distrato",$E866,0)),MIN(AJ$38,$D$19),$P$20))-SUM($P866:AI866)</f>
        <v>#VALUE!</v>
      </c>
      <c r="AK866" s="446" t="e">
        <f>IF(OR($B866="",MIN(AK$38,$D$19)&lt;MAX($P$708*($B866+IF($R$17="Distrato",$I$38-1,0)),IF(AND($L$711=0,$P$708=0),"",$L$711-1),IF($R$17="Distrato",$E866,0))),0,YEARFRAC(MAX($P$708*($B866+IF($R$17="Distrato",$I$38-1,0)),IF(AND($L$711=0,$P$708=0),"",$L$711-1),IF($R$17="Distrato",$E866,0)),MIN(AK$38,$D$19),$P$20))-SUM($P866:AJ866)</f>
        <v>#VALUE!</v>
      </c>
      <c r="AL866" s="446" t="e">
        <f>IF(OR($B866="",MIN(AL$38,$D$19)&lt;MAX($P$708*($B866+IF($R$17="Distrato",$I$38-1,0)),IF(AND($L$711=0,$P$708=0),"",$L$711-1),IF($R$17="Distrato",$E866,0))),0,YEARFRAC(MAX($P$708*($B866+IF($R$17="Distrato",$I$38-1,0)),IF(AND($L$711=0,$P$708=0),"",$L$711-1),IF($R$17="Distrato",$E866,0)),MIN(AL$38,$D$19),$P$20))-SUM($P866:AK866)</f>
        <v>#VALUE!</v>
      </c>
      <c r="AM866" s="446" t="e">
        <f>IF(OR($B866="",MIN(AM$38,$D$19)&lt;MAX($P$708*($B866+IF($R$17="Distrato",$I$38-1,0)),IF(AND($L$711=0,$P$708=0),"",$L$711-1),IF($R$17="Distrato",$E866,0))),0,YEARFRAC(MAX($P$708*($B866+IF($R$17="Distrato",$I$38-1,0)),IF(AND($L$711=0,$P$708=0),"",$L$711-1),IF($R$17="Distrato",$E866,0)),MIN(AM$38,$D$19),$P$20))-SUM($P866:AL866)</f>
        <v>#VALUE!</v>
      </c>
      <c r="AN866" s="446" t="e">
        <f>IF(OR($B866="",MIN(AN$38,$D$19)&lt;MAX($P$708*($B866+IF($R$17="Distrato",$I$38-1,0)),IF(AND($L$711=0,$P$708=0),"",$L$711-1),IF($R$17="Distrato",$E866,0))),0,YEARFRAC(MAX($P$708*($B866+IF($R$17="Distrato",$I$38-1,0)),IF(AND($L$711=0,$P$708=0),"",$L$711-1),IF($R$17="Distrato",$E866,0)),MIN(AN$38,$D$19),$P$20))-SUM($P866:AM866)</f>
        <v>#VALUE!</v>
      </c>
      <c r="AO866" s="446" t="e">
        <f>IF(OR($B866="",MIN(AO$38,$D$19)&lt;MAX($P$708*($B866+IF($R$17="Distrato",$I$38-1,0)),IF(AND($L$711=0,$P$708=0),"",$L$711-1),IF($R$17="Distrato",$E866,0))),0,YEARFRAC(MAX($P$708*($B866+IF($R$17="Distrato",$I$38-1,0)),IF(AND($L$711=0,$P$708=0),"",$L$711-1),IF($R$17="Distrato",$E866,0)),MIN(AO$38,$D$19),$P$20))-SUM($P866:AN866)</f>
        <v>#VALUE!</v>
      </c>
      <c r="AP866" s="446" t="e">
        <f>IF(OR($B866="",MIN(AP$38,$D$19)&lt;MAX($P$708*($B866+IF($R$17="Distrato",$I$38-1,0)),IF(AND($L$711=0,$P$708=0),"",$L$711-1),IF($R$17="Distrato",$E866,0))),0,YEARFRAC(MAX($P$708*($B866+IF($R$17="Distrato",$I$38-1,0)),IF(AND($L$711=0,$P$708=0),"",$L$711-1),IF($R$17="Distrato",$E866,0)),MIN(AP$38,$D$19),$P$20))-SUM($P866:AO866)</f>
        <v>#VALUE!</v>
      </c>
      <c r="AQ866" s="446" t="e">
        <f>IF(OR($B866="",MIN(AQ$38,$D$19)&lt;MAX($P$708*($B866+IF($R$17="Distrato",$I$38-1,0)),IF(AND($L$711=0,$P$708=0),"",$L$711-1),IF($R$17="Distrato",$E866,0))),0,YEARFRAC(MAX($P$708*($B866+IF($R$17="Distrato",$I$38-1,0)),IF(AND($L$711=0,$P$708=0),"",$L$711-1),IF($R$17="Distrato",$E866,0)),MIN(AQ$38,$D$19),$P$20))-SUM($P866:AP866)</f>
        <v>#VALUE!</v>
      </c>
      <c r="AR866" s="446" t="e">
        <f>IF(OR($B866="",MIN(AR$38,$D$19)&lt;MAX($P$708*($B866+IF($R$17="Distrato",$I$38-1,0)),IF(AND($L$711=0,$P$708=0),"",$L$711-1),IF($R$17="Distrato",$E866,0))),0,YEARFRAC(MAX($P$708*($B866+IF($R$17="Distrato",$I$38-1,0)),IF(AND($L$711=0,$P$708=0),"",$L$711-1),IF($R$17="Distrato",$E866,0)),MIN(AR$38,$D$19),$P$20))-SUM($P866:AQ866)</f>
        <v>#VALUE!</v>
      </c>
      <c r="AS866" s="446" t="e">
        <f>IF(OR($B866="",MIN(AS$38,$D$19)&lt;MAX($P$708*($B866+IF($R$17="Distrato",$I$38-1,0)),IF(AND($L$711=0,$P$708=0),"",$L$711-1),IF($R$17="Distrato",$E866,0))),0,YEARFRAC(MAX($P$708*($B866+IF($R$17="Distrato",$I$38-1,0)),IF(AND($L$711=0,$P$708=0),"",$L$711-1),IF($R$17="Distrato",$E866,0)),MIN(AS$38,$D$19),$P$20))-SUM($P866:AR866)</f>
        <v>#VALUE!</v>
      </c>
      <c r="AT866" s="446" t="e">
        <f>IF(OR($B866="",MIN(AT$38,$D$19)&lt;MAX($P$708*($B866+IF($R$17="Distrato",$I$38-1,0)),IF(AND($L$711=0,$P$708=0),"",$L$711-1),IF($R$17="Distrato",$E866,0))),0,YEARFRAC(MAX($P$708*($B866+IF($R$17="Distrato",$I$38-1,0)),IF(AND($L$711=0,$P$708=0),"",$L$711-1),IF($R$17="Distrato",$E866,0)),MIN(AT$38,$D$19),$P$20))-SUM($P866:AS866)</f>
        <v>#VALUE!</v>
      </c>
      <c r="AU866" s="446" t="e">
        <f>IF(OR($B866="",MIN(AU$38,$D$19)&lt;MAX($P$708*($B866+IF($R$17="Distrato",$I$38-1,0)),IF(AND($L$711=0,$P$708=0),"",$L$711-1),IF($R$17="Distrato",$E866,0))),0,YEARFRAC(MAX($P$708*($B866+IF($R$17="Distrato",$I$38-1,0)),IF(AND($L$711=0,$P$708=0),"",$L$711-1),IF($R$17="Distrato",$E866,0)),MIN(AU$38,$D$19),$P$20))-SUM($P866:AT866)</f>
        <v>#VALUE!</v>
      </c>
      <c r="AV866" s="446" t="e">
        <f>IF(OR($B866="",MIN(AV$38,$D$19)&lt;MAX($P$708*($B866+IF($R$17="Distrato",$I$38-1,0)),IF(AND($L$711=0,$P$708=0),"",$L$711-1),IF($R$17="Distrato",$E866,0))),0,YEARFRAC(MAX($P$708*($B866+IF($R$17="Distrato",$I$38-1,0)),IF(AND($L$711=0,$P$708=0),"",$L$711-1),IF($R$17="Distrato",$E866,0)),MIN(AV$38,$D$19),$P$20))-SUM($P866:AU866)</f>
        <v>#VALUE!</v>
      </c>
      <c r="AW866" s="446" t="e">
        <f>IF(OR($B866="",MIN(AW$38,$D$19)&lt;MAX($P$708*($B866+IF($R$17="Distrato",$I$38-1,0)),IF(AND($L$711=0,$P$708=0),"",$L$711-1),IF($R$17="Distrato",$E866,0))),0,YEARFRAC(MAX($P$708*($B866+IF($R$17="Distrato",$I$38-1,0)),IF(AND($L$711=0,$P$708=0),"",$L$711-1),IF($R$17="Distrato",$E866,0)),MIN(AW$38,$D$19),$P$20))-SUM($P866:AV866)</f>
        <v>#VALUE!</v>
      </c>
      <c r="AX866" s="446" t="e">
        <f>IF(OR($B866="",MIN(AX$38,$D$19)&lt;MAX($P$708*($B866+IF($R$17="Distrato",$I$38-1,0)),IF(AND($L$711=0,$P$708=0),"",$L$711-1),IF($R$17="Distrato",$E866,0))),0,YEARFRAC(MAX($P$708*($B866+IF($R$17="Distrato",$I$38-1,0)),IF(AND($L$711=0,$P$708=0),"",$L$711-1),IF($R$17="Distrato",$E866,0)),MIN(AX$38,$D$19),$P$20))-SUM($P866:AW866)</f>
        <v>#VALUE!</v>
      </c>
      <c r="AY866" s="446" t="e">
        <f>IF(OR($B866="",MIN(AY$38,$D$19)&lt;MAX($P$708*($B866+IF($R$17="Distrato",$I$38-1,0)),IF(AND($L$711=0,$P$708=0),"",$L$711-1),IF($R$17="Distrato",$E866,0))),0,YEARFRAC(MAX($P$708*($B866+IF($R$17="Distrato",$I$38-1,0)),IF(AND($L$711=0,$P$708=0),"",$L$711-1),IF($R$17="Distrato",$E866,0)),MIN(AY$38,$D$19),$P$20))-SUM($P866:AX866)</f>
        <v>#VALUE!</v>
      </c>
      <c r="AZ866" s="446" t="e">
        <f>IF(OR($B866="",MIN(AZ$38,$D$19)&lt;MAX($P$708*($B866+IF($R$17="Distrato",$I$38-1,0)),IF(AND($L$711=0,$P$708=0),"",$L$711-1),IF($R$17="Distrato",$E866,0))),0,YEARFRAC(MAX($P$708*($B866+IF($R$17="Distrato",$I$38-1,0)),IF(AND($L$711=0,$P$708=0),"",$L$711-1),IF($R$17="Distrato",$E866,0)),MIN(AZ$38,$D$19),$P$20))-SUM($P866:AY866)</f>
        <v>#VALUE!</v>
      </c>
      <c r="BA866" s="446" t="e">
        <f>IF(OR($B866="",MIN(BA$38,$D$19)&lt;MAX($P$708*($B866+IF($R$17="Distrato",$I$38-1,0)),IF(AND($L$711=0,$P$708=0),"",$L$711-1),IF($R$17="Distrato",$E866,0))),0,YEARFRAC(MAX($P$708*($B866+IF($R$17="Distrato",$I$38-1,0)),IF(AND($L$711=0,$P$708=0),"",$L$711-1),IF($R$17="Distrato",$E866,0)),MIN(BA$38,$D$19),$P$20))-SUM($P866:AZ866)</f>
        <v>#VALUE!</v>
      </c>
      <c r="BB866" s="447"/>
    </row>
    <row r="867" spans="1:54" s="446" customFormat="1" ht="11.25" hidden="1" customHeight="1" x14ac:dyDescent="0.2">
      <c r="A867" s="235"/>
      <c r="B867" s="236"/>
      <c r="C867" s="29" t="str">
        <f>IF(B867="","",IF($L$709=$BL$25,VLOOKUP(DATE(YEAR($D$19),MONTH($D$19)-1,1),ÍNDICES!$A:$DE,HLOOKUP($BL$25,ÍNDICES!$B$3:$T$4,2)+11)-VLOOKUP(B867,ÍNDICES!$A:$DE,HLOOKUP($BL$25,ÍNDICES!$B$3:$T$4,2)+11)+1%,IF(C$712=$W$26,$J$35,IF(ISERROR(IF(B867&gt;$D$19,1,VLOOKUP(DATE(YEAR(B867),MONTH(B867)+IF($C$709=$S$23,1,0),1),ÍNDICES!$A:$DE,$Z$709+1))),"",IF(B867&gt;$D$19,1,VLOOKUP(DATE(YEAR(B867),MONTH(B867)+IF($C$709=$S$23,1,0),1),ÍNDICES!$A:$DE,$Z$709+1))))))</f>
        <v/>
      </c>
      <c r="D867" s="155"/>
      <c r="E867" s="88"/>
      <c r="F867" s="88"/>
      <c r="G867" s="88"/>
      <c r="H867" s="118"/>
      <c r="I867" s="182">
        <f t="shared" si="129"/>
        <v>0</v>
      </c>
      <c r="J867" s="20">
        <f t="shared" ca="1" si="130"/>
        <v>0</v>
      </c>
      <c r="K867" s="5">
        <f t="shared" ca="1" si="131"/>
        <v>0</v>
      </c>
      <c r="L867" s="61">
        <f t="shared" ca="1" si="132"/>
        <v>0</v>
      </c>
      <c r="M867" s="64">
        <f t="shared" si="133"/>
        <v>0</v>
      </c>
      <c r="N867" s="151"/>
      <c r="O867" s="5">
        <f t="shared" ca="1" si="134"/>
        <v>0</v>
      </c>
      <c r="P867" s="446" t="e">
        <f t="shared" si="135"/>
        <v>#VALUE!</v>
      </c>
      <c r="Q867" s="446" t="e">
        <f>IF(OR($B867="",MIN(Q$38,$D$19)&lt;MAX($P$708*($B867+IF($R$17="Distrato",$I$38-1,0)),IF(AND($L$711=0,$P$708=0),"",$L$711-1),IF($R$17="Distrato",$E867,0))),0,YEARFRAC(MAX($P$708*($B867+IF($R$17="Distrato",$I$38-1,0)),IF(AND($L$711=0,$P$708=0),"",$L$711-1),IF($R$17="Distrato",$E867,0)),MIN(Q$38,$D$19),$P$20))-SUM($P867:P867)</f>
        <v>#VALUE!</v>
      </c>
      <c r="R867" s="446" t="e">
        <f>IF(OR($B867="",MIN(R$38,$D$19)&lt;MAX($P$708*($B867+IF($R$17="Distrato",$I$38-1,0)),IF(AND($L$711=0,$P$708=0),"",$L$711-1),IF($R$17="Distrato",$E867,0))),0,YEARFRAC(MAX($P$708*($B867+IF($R$17="Distrato",$I$38-1,0)),IF(AND($L$711=0,$P$708=0),"",$L$711-1),IF($R$17="Distrato",$E867,0)),MIN(R$38,$D$19),$P$20))-SUM($P867:Q867)</f>
        <v>#VALUE!</v>
      </c>
      <c r="S867" s="446" t="e">
        <f>IF(OR($B867="",MIN(S$38,$D$19)&lt;MAX($P$708*($B867+IF($R$17="Distrato",$I$38-1,0)),IF(AND($L$711=0,$P$708=0),"",$L$711-1),IF($R$17="Distrato",$E867,0))),0,YEARFRAC(MAX($P$708*($B867+IF($R$17="Distrato",$I$38-1,0)),IF(AND($L$711=0,$P$708=0),"",$L$711-1),IF($R$17="Distrato",$E867,0)),MIN(S$38,$D$19),$P$20))-SUM($P867:R867)</f>
        <v>#VALUE!</v>
      </c>
      <c r="T867" s="446" t="e">
        <f>IF(OR($B867="",MIN(T$38,$D$19)&lt;MAX($P$708*($B867+IF($R$17="Distrato",$I$38-1,0)),IF(AND($L$711=0,$P$708=0),"",$L$711-1),IF($R$17="Distrato",$E867,0))),0,YEARFRAC(MAX($P$708*($B867+IF($R$17="Distrato",$I$38-1,0)),IF(AND($L$711=0,$P$708=0),"",$L$711-1),IF($R$17="Distrato",$E867,0)),MIN(T$38,$D$19),$P$20))-SUM($P867:S867)</f>
        <v>#VALUE!</v>
      </c>
      <c r="U867" s="446" t="e">
        <f>IF(OR($B867="",MIN(U$38,$D$19)&lt;MAX($P$708*($B867+IF($R$17="Distrato",$I$38-1,0)),IF(AND($L$711=0,$P$708=0),"",$L$711-1),IF($R$17="Distrato",$E867,0))),0,YEARFRAC(MAX($P$708*($B867+IF($R$17="Distrato",$I$38-1,0)),IF(AND($L$711=0,$P$708=0),"",$L$711-1),IF($R$17="Distrato",$E867,0)),MIN(U$38,$D$19),$P$20))-SUM($P867:T867)</f>
        <v>#VALUE!</v>
      </c>
      <c r="V867" s="446" t="e">
        <f>IF(OR($B867="",MIN(V$38,$D$19)&lt;MAX($P$708*($B867+IF($R$17="Distrato",$I$38-1,0)),IF(AND($L$711=0,$P$708=0),"",$L$711-1),IF($R$17="Distrato",$E867,0))),0,YEARFRAC(MAX($P$708*($B867+IF($R$17="Distrato",$I$38-1,0)),IF(AND($L$711=0,$P$708=0),"",$L$711-1),IF($R$17="Distrato",$E867,0)),MIN(V$38,$D$19),$P$20))-SUM($P867:U867)</f>
        <v>#VALUE!</v>
      </c>
      <c r="W867" s="446" t="e">
        <f>IF(OR($B867="",MIN(W$38,$D$19)&lt;MAX($P$708*($B867+IF($R$17="Distrato",$I$38-1,0)),IF(AND($L$711=0,$P$708=0),"",$L$711-1),IF($R$17="Distrato",$E867,0))),0,YEARFRAC(MAX($P$708*($B867+IF($R$17="Distrato",$I$38-1,0)),IF(AND($L$711=0,$P$708=0),"",$L$711-1),IF($R$17="Distrato",$E867,0)),MIN(W$38,$D$19),$P$20))-SUM($P867:V867)</f>
        <v>#VALUE!</v>
      </c>
      <c r="X867" s="446" t="e">
        <f>IF(OR($B867="",MIN(X$38,$D$19)&lt;MAX($P$708*($B867+IF($R$17="Distrato",$I$38-1,0)),IF(AND($L$711=0,$P$708=0),"",$L$711-1),IF($R$17="Distrato",$E867,0))),0,YEARFRAC(MAX($P$708*($B867+IF($R$17="Distrato",$I$38-1,0)),IF(AND($L$711=0,$P$708=0),"",$L$711-1),IF($R$17="Distrato",$E867,0)),MIN(X$38,$D$19),$P$20))-SUM($P867:W867)</f>
        <v>#VALUE!</v>
      </c>
      <c r="Y867" s="446" t="e">
        <f>IF(OR($B867="",MIN(Y$38,$D$19)&lt;MAX($P$708*($B867+IF($R$17="Distrato",$I$38-1,0)),IF(AND($L$711=0,$P$708=0),"",$L$711-1),IF($R$17="Distrato",$E867,0))),0,YEARFRAC(MAX($P$708*($B867+IF($R$17="Distrato",$I$38-1,0)),IF(AND($L$711=0,$P$708=0),"",$L$711-1),IF($R$17="Distrato",$E867,0)),MIN(Y$38,$D$19),$P$20))-SUM($P867:X867)</f>
        <v>#VALUE!</v>
      </c>
      <c r="Z867" s="446" t="e">
        <f>IF(OR($B867="",MIN(Z$38,$D$19)&lt;MAX($P$708*($B867+IF($R$17="Distrato",$I$38-1,0)),IF(AND($L$711=0,$P$708=0),"",$L$711-1),IF($R$17="Distrato",$E867,0))),0,YEARFRAC(MAX($P$708*($B867+IF($R$17="Distrato",$I$38-1,0)),IF(AND($L$711=0,$P$708=0),"",$L$711-1),IF($R$17="Distrato",$E867,0)),MIN(Z$38,$D$19),$P$20))-SUM($P867:Y867)</f>
        <v>#VALUE!</v>
      </c>
      <c r="AA867" s="446" t="e">
        <f>IF(OR($B867="",MIN(AA$38,$D$19)&lt;MAX($P$708*($B867+IF($R$17="Distrato",$I$38-1,0)),IF(AND($L$711=0,$P$708=0),"",$L$711-1),IF($R$17="Distrato",$E867,0))),0,YEARFRAC(MAX($P$708*($B867+IF($R$17="Distrato",$I$38-1,0)),IF(AND($L$711=0,$P$708=0),"",$L$711-1),IF($R$17="Distrato",$E867,0)),MIN(AA$38,$D$19),$P$20))-SUM($P867:Z867)</f>
        <v>#VALUE!</v>
      </c>
      <c r="AB867" s="446" t="e">
        <f>IF(OR($B867="",MIN(AB$38,$D$19)&lt;MAX($P$708*($B867+IF($R$17="Distrato",$I$38-1,0)),IF(AND($L$711=0,$P$708=0),"",$L$711-1),IF($R$17="Distrato",$E867,0))),0,YEARFRAC(MAX($P$708*($B867+IF($R$17="Distrato",$I$38-1,0)),IF(AND($L$711=0,$P$708=0),"",$L$711-1),IF($R$17="Distrato",$E867,0)),MIN(AB$38,$D$19),$P$20))-SUM($P867:AA867)</f>
        <v>#VALUE!</v>
      </c>
      <c r="AC867" s="446" t="e">
        <f>IF(OR($B867="",MIN(AC$38,$D$19)&lt;MAX($P$708*($B867+IF($R$17="Distrato",$I$38-1,0)),IF(AND($L$711=0,$P$708=0),"",$L$711-1),IF($R$17="Distrato",$E867,0))),0,YEARFRAC(MAX($P$708*($B867+IF($R$17="Distrato",$I$38-1,0)),IF(AND($L$711=0,$P$708=0),"",$L$711-1),IF($R$17="Distrato",$E867,0)),MIN(AC$38,$D$19),$P$20))-SUM($P867:AB867)</f>
        <v>#VALUE!</v>
      </c>
      <c r="AD867" s="446" t="e">
        <f>IF(OR($B867="",MIN(AD$38,$D$19)&lt;MAX($P$708*($B867+IF($R$17="Distrato",$I$38-1,0)),IF(AND($L$711=0,$P$708=0),"",$L$711-1),IF($R$17="Distrato",$E867,0))),0,YEARFRAC(MAX($P$708*($B867+IF($R$17="Distrato",$I$38-1,0)),IF(AND($L$711=0,$P$708=0),"",$L$711-1),IF($R$17="Distrato",$E867,0)),MIN(AD$38,$D$19),$P$20))-SUM($P867:AC867)</f>
        <v>#VALUE!</v>
      </c>
      <c r="AE867" s="446" t="e">
        <f>IF(OR($B867="",MIN(AE$38,$D$19)&lt;MAX($P$708*($B867+IF($R$17="Distrato",$I$38-1,0)),IF(AND($L$711=0,$P$708=0),"",$L$711-1),IF($R$17="Distrato",$E867,0))),0,YEARFRAC(MAX($P$708*($B867+IF($R$17="Distrato",$I$38-1,0)),IF(AND($L$711=0,$P$708=0),"",$L$711-1),IF($R$17="Distrato",$E867,0)),MIN(AE$38,$D$19),$P$20))-SUM($P867:AD867)</f>
        <v>#VALUE!</v>
      </c>
      <c r="AF867" s="446" t="e">
        <f>IF(OR($B867="",MIN(AF$38,$D$19)&lt;MAX($P$708*($B867+IF($R$17="Distrato",$I$38-1,0)),IF(AND($L$711=0,$P$708=0),"",$L$711-1),IF($R$17="Distrato",$E867,0))),0,YEARFRAC(MAX($P$708*($B867+IF($R$17="Distrato",$I$38-1,0)),IF(AND($L$711=0,$P$708=0),"",$L$711-1),IF($R$17="Distrato",$E867,0)),MIN(AF$38,$D$19),$P$20))-SUM($P867:AE867)</f>
        <v>#VALUE!</v>
      </c>
      <c r="AG867" s="446" t="e">
        <f>IF(OR($B867="",MIN(AG$38,$D$19)&lt;MAX($P$708*($B867+IF($R$17="Distrato",$I$38-1,0)),IF(AND($L$711=0,$P$708=0),"",$L$711-1),IF($R$17="Distrato",$E867,0))),0,YEARFRAC(MAX($P$708*($B867+IF($R$17="Distrato",$I$38-1,0)),IF(AND($L$711=0,$P$708=0),"",$L$711-1),IF($R$17="Distrato",$E867,0)),MIN(AG$38,$D$19),$P$20))-SUM($P867:AF867)</f>
        <v>#VALUE!</v>
      </c>
      <c r="AH867" s="446" t="e">
        <f>IF(OR($B867="",MIN(AH$38,$D$19)&lt;MAX($P$708*($B867+IF($R$17="Distrato",$I$38-1,0)),IF(AND($L$711=0,$P$708=0),"",$L$711-1),IF($R$17="Distrato",$E867,0))),0,YEARFRAC(MAX($P$708*($B867+IF($R$17="Distrato",$I$38-1,0)),IF(AND($L$711=0,$P$708=0),"",$L$711-1),IF($R$17="Distrato",$E867,0)),MIN(AH$38,$D$19),$P$20))-SUM($P867:AG867)</f>
        <v>#VALUE!</v>
      </c>
      <c r="AI867" s="446" t="e">
        <f>IF(OR($B867="",MIN(AI$38,$D$19)&lt;MAX($P$708*($B867+IF($R$17="Distrato",$I$38-1,0)),IF(AND($L$711=0,$P$708=0),"",$L$711-1),IF($R$17="Distrato",$E867,0))),0,YEARFRAC(MAX($P$708*($B867+IF($R$17="Distrato",$I$38-1,0)),IF(AND($L$711=0,$P$708=0),"",$L$711-1),IF($R$17="Distrato",$E867,0)),MIN(AI$38,$D$19),$P$20))-SUM($P867:AH867)</f>
        <v>#VALUE!</v>
      </c>
      <c r="AJ867" s="446" t="e">
        <f>IF(OR($B867="",MIN(AJ$38,$D$19)&lt;MAX($P$708*($B867+IF($R$17="Distrato",$I$38-1,0)),IF(AND($L$711=0,$P$708=0),"",$L$711-1),IF($R$17="Distrato",$E867,0))),0,YEARFRAC(MAX($P$708*($B867+IF($R$17="Distrato",$I$38-1,0)),IF(AND($L$711=0,$P$708=0),"",$L$711-1),IF($R$17="Distrato",$E867,0)),MIN(AJ$38,$D$19),$P$20))-SUM($P867:AI867)</f>
        <v>#VALUE!</v>
      </c>
      <c r="AK867" s="446" t="e">
        <f>IF(OR($B867="",MIN(AK$38,$D$19)&lt;MAX($P$708*($B867+IF($R$17="Distrato",$I$38-1,0)),IF(AND($L$711=0,$P$708=0),"",$L$711-1),IF($R$17="Distrato",$E867,0))),0,YEARFRAC(MAX($P$708*($B867+IF($R$17="Distrato",$I$38-1,0)),IF(AND($L$711=0,$P$708=0),"",$L$711-1),IF($R$17="Distrato",$E867,0)),MIN(AK$38,$D$19),$P$20))-SUM($P867:AJ867)</f>
        <v>#VALUE!</v>
      </c>
      <c r="AL867" s="446" t="e">
        <f>IF(OR($B867="",MIN(AL$38,$D$19)&lt;MAX($P$708*($B867+IF($R$17="Distrato",$I$38-1,0)),IF(AND($L$711=0,$P$708=0),"",$L$711-1),IF($R$17="Distrato",$E867,0))),0,YEARFRAC(MAX($P$708*($B867+IF($R$17="Distrato",$I$38-1,0)),IF(AND($L$711=0,$P$708=0),"",$L$711-1),IF($R$17="Distrato",$E867,0)),MIN(AL$38,$D$19),$P$20))-SUM($P867:AK867)</f>
        <v>#VALUE!</v>
      </c>
      <c r="AM867" s="446" t="e">
        <f>IF(OR($B867="",MIN(AM$38,$D$19)&lt;MAX($P$708*($B867+IF($R$17="Distrato",$I$38-1,0)),IF(AND($L$711=0,$P$708=0),"",$L$711-1),IF($R$17="Distrato",$E867,0))),0,YEARFRAC(MAX($P$708*($B867+IF($R$17="Distrato",$I$38-1,0)),IF(AND($L$711=0,$P$708=0),"",$L$711-1),IF($R$17="Distrato",$E867,0)),MIN(AM$38,$D$19),$P$20))-SUM($P867:AL867)</f>
        <v>#VALUE!</v>
      </c>
      <c r="AN867" s="446" t="e">
        <f>IF(OR($B867="",MIN(AN$38,$D$19)&lt;MAX($P$708*($B867+IF($R$17="Distrato",$I$38-1,0)),IF(AND($L$711=0,$P$708=0),"",$L$711-1),IF($R$17="Distrato",$E867,0))),0,YEARFRAC(MAX($P$708*($B867+IF($R$17="Distrato",$I$38-1,0)),IF(AND($L$711=0,$P$708=0),"",$L$711-1),IF($R$17="Distrato",$E867,0)),MIN(AN$38,$D$19),$P$20))-SUM($P867:AM867)</f>
        <v>#VALUE!</v>
      </c>
      <c r="AO867" s="446" t="e">
        <f>IF(OR($B867="",MIN(AO$38,$D$19)&lt;MAX($P$708*($B867+IF($R$17="Distrato",$I$38-1,0)),IF(AND($L$711=0,$P$708=0),"",$L$711-1),IF($R$17="Distrato",$E867,0))),0,YEARFRAC(MAX($P$708*($B867+IF($R$17="Distrato",$I$38-1,0)),IF(AND($L$711=0,$P$708=0),"",$L$711-1),IF($R$17="Distrato",$E867,0)),MIN(AO$38,$D$19),$P$20))-SUM($P867:AN867)</f>
        <v>#VALUE!</v>
      </c>
      <c r="AP867" s="446" t="e">
        <f>IF(OR($B867="",MIN(AP$38,$D$19)&lt;MAX($P$708*($B867+IF($R$17="Distrato",$I$38-1,0)),IF(AND($L$711=0,$P$708=0),"",$L$711-1),IF($R$17="Distrato",$E867,0))),0,YEARFRAC(MAX($P$708*($B867+IF($R$17="Distrato",$I$38-1,0)),IF(AND($L$711=0,$P$708=0),"",$L$711-1),IF($R$17="Distrato",$E867,0)),MIN(AP$38,$D$19),$P$20))-SUM($P867:AO867)</f>
        <v>#VALUE!</v>
      </c>
      <c r="AQ867" s="446" t="e">
        <f>IF(OR($B867="",MIN(AQ$38,$D$19)&lt;MAX($P$708*($B867+IF($R$17="Distrato",$I$38-1,0)),IF(AND($L$711=0,$P$708=0),"",$L$711-1),IF($R$17="Distrato",$E867,0))),0,YEARFRAC(MAX($P$708*($B867+IF($R$17="Distrato",$I$38-1,0)),IF(AND($L$711=0,$P$708=0),"",$L$711-1),IF($R$17="Distrato",$E867,0)),MIN(AQ$38,$D$19),$P$20))-SUM($P867:AP867)</f>
        <v>#VALUE!</v>
      </c>
      <c r="AR867" s="446" t="e">
        <f>IF(OR($B867="",MIN(AR$38,$D$19)&lt;MAX($P$708*($B867+IF($R$17="Distrato",$I$38-1,0)),IF(AND($L$711=0,$P$708=0),"",$L$711-1),IF($R$17="Distrato",$E867,0))),0,YEARFRAC(MAX($P$708*($B867+IF($R$17="Distrato",$I$38-1,0)),IF(AND($L$711=0,$P$708=0),"",$L$711-1),IF($R$17="Distrato",$E867,0)),MIN(AR$38,$D$19),$P$20))-SUM($P867:AQ867)</f>
        <v>#VALUE!</v>
      </c>
      <c r="AS867" s="446" t="e">
        <f>IF(OR($B867="",MIN(AS$38,$D$19)&lt;MAX($P$708*($B867+IF($R$17="Distrato",$I$38-1,0)),IF(AND($L$711=0,$P$708=0),"",$L$711-1),IF($R$17="Distrato",$E867,0))),0,YEARFRAC(MAX($P$708*($B867+IF($R$17="Distrato",$I$38-1,0)),IF(AND($L$711=0,$P$708=0),"",$L$711-1),IF($R$17="Distrato",$E867,0)),MIN(AS$38,$D$19),$P$20))-SUM($P867:AR867)</f>
        <v>#VALUE!</v>
      </c>
      <c r="AT867" s="446" t="e">
        <f>IF(OR($B867="",MIN(AT$38,$D$19)&lt;MAX($P$708*($B867+IF($R$17="Distrato",$I$38-1,0)),IF(AND($L$711=0,$P$708=0),"",$L$711-1),IF($R$17="Distrato",$E867,0))),0,YEARFRAC(MAX($P$708*($B867+IF($R$17="Distrato",$I$38-1,0)),IF(AND($L$711=0,$P$708=0),"",$L$711-1),IF($R$17="Distrato",$E867,0)),MIN(AT$38,$D$19),$P$20))-SUM($P867:AS867)</f>
        <v>#VALUE!</v>
      </c>
      <c r="AU867" s="446" t="e">
        <f>IF(OR($B867="",MIN(AU$38,$D$19)&lt;MAX($P$708*($B867+IF($R$17="Distrato",$I$38-1,0)),IF(AND($L$711=0,$P$708=0),"",$L$711-1),IF($R$17="Distrato",$E867,0))),0,YEARFRAC(MAX($P$708*($B867+IF($R$17="Distrato",$I$38-1,0)),IF(AND($L$711=0,$P$708=0),"",$L$711-1),IF($R$17="Distrato",$E867,0)),MIN(AU$38,$D$19),$P$20))-SUM($P867:AT867)</f>
        <v>#VALUE!</v>
      </c>
      <c r="AV867" s="446" t="e">
        <f>IF(OR($B867="",MIN(AV$38,$D$19)&lt;MAX($P$708*($B867+IF($R$17="Distrato",$I$38-1,0)),IF(AND($L$711=0,$P$708=0),"",$L$711-1),IF($R$17="Distrato",$E867,0))),0,YEARFRAC(MAX($P$708*($B867+IF($R$17="Distrato",$I$38-1,0)),IF(AND($L$711=0,$P$708=0),"",$L$711-1),IF($R$17="Distrato",$E867,0)),MIN(AV$38,$D$19),$P$20))-SUM($P867:AU867)</f>
        <v>#VALUE!</v>
      </c>
      <c r="AW867" s="446" t="e">
        <f>IF(OR($B867="",MIN(AW$38,$D$19)&lt;MAX($P$708*($B867+IF($R$17="Distrato",$I$38-1,0)),IF(AND($L$711=0,$P$708=0),"",$L$711-1),IF($R$17="Distrato",$E867,0))),0,YEARFRAC(MAX($P$708*($B867+IF($R$17="Distrato",$I$38-1,0)),IF(AND($L$711=0,$P$708=0),"",$L$711-1),IF($R$17="Distrato",$E867,0)),MIN(AW$38,$D$19),$P$20))-SUM($P867:AV867)</f>
        <v>#VALUE!</v>
      </c>
      <c r="AX867" s="446" t="e">
        <f>IF(OR($B867="",MIN(AX$38,$D$19)&lt;MAX($P$708*($B867+IF($R$17="Distrato",$I$38-1,0)),IF(AND($L$711=0,$P$708=0),"",$L$711-1),IF($R$17="Distrato",$E867,0))),0,YEARFRAC(MAX($P$708*($B867+IF($R$17="Distrato",$I$38-1,0)),IF(AND($L$711=0,$P$708=0),"",$L$711-1),IF($R$17="Distrato",$E867,0)),MIN(AX$38,$D$19),$P$20))-SUM($P867:AW867)</f>
        <v>#VALUE!</v>
      </c>
      <c r="AY867" s="446" t="e">
        <f>IF(OR($B867="",MIN(AY$38,$D$19)&lt;MAX($P$708*($B867+IF($R$17="Distrato",$I$38-1,0)),IF(AND($L$711=0,$P$708=0),"",$L$711-1),IF($R$17="Distrato",$E867,0))),0,YEARFRAC(MAX($P$708*($B867+IF($R$17="Distrato",$I$38-1,0)),IF(AND($L$711=0,$P$708=0),"",$L$711-1),IF($R$17="Distrato",$E867,0)),MIN(AY$38,$D$19),$P$20))-SUM($P867:AX867)</f>
        <v>#VALUE!</v>
      </c>
      <c r="AZ867" s="446" t="e">
        <f>IF(OR($B867="",MIN(AZ$38,$D$19)&lt;MAX($P$708*($B867+IF($R$17="Distrato",$I$38-1,0)),IF(AND($L$711=0,$P$708=0),"",$L$711-1),IF($R$17="Distrato",$E867,0))),0,YEARFRAC(MAX($P$708*($B867+IF($R$17="Distrato",$I$38-1,0)),IF(AND($L$711=0,$P$708=0),"",$L$711-1),IF($R$17="Distrato",$E867,0)),MIN(AZ$38,$D$19),$P$20))-SUM($P867:AY867)</f>
        <v>#VALUE!</v>
      </c>
      <c r="BA867" s="446" t="e">
        <f>IF(OR($B867="",MIN(BA$38,$D$19)&lt;MAX($P$708*($B867+IF($R$17="Distrato",$I$38-1,0)),IF(AND($L$711=0,$P$708=0),"",$L$711-1),IF($R$17="Distrato",$E867,0))),0,YEARFRAC(MAX($P$708*($B867+IF($R$17="Distrato",$I$38-1,0)),IF(AND($L$711=0,$P$708=0),"",$L$711-1),IF($R$17="Distrato",$E867,0)),MIN(BA$38,$D$19),$P$20))-SUM($P867:AZ867)</f>
        <v>#VALUE!</v>
      </c>
      <c r="BB867" s="447"/>
    </row>
    <row r="868" spans="1:54" s="446" customFormat="1" ht="11.25" hidden="1" customHeight="1" x14ac:dyDescent="0.2">
      <c r="A868" s="235"/>
      <c r="B868" s="236"/>
      <c r="C868" s="29" t="str">
        <f>IF(B868="","",IF($L$709=$BL$25,VLOOKUP(DATE(YEAR($D$19),MONTH($D$19)-1,1),ÍNDICES!$A:$DE,HLOOKUP($BL$25,ÍNDICES!$B$3:$T$4,2)+11)-VLOOKUP(B868,ÍNDICES!$A:$DE,HLOOKUP($BL$25,ÍNDICES!$B$3:$T$4,2)+11)+1%,IF(C$712=$W$26,$J$35,IF(ISERROR(IF(B868&gt;$D$19,1,VLOOKUP(DATE(YEAR(B868),MONTH(B868)+IF($C$709=$S$23,1,0),1),ÍNDICES!$A:$DE,$Z$709+1))),"",IF(B868&gt;$D$19,1,VLOOKUP(DATE(YEAR(B868),MONTH(B868)+IF($C$709=$S$23,1,0),1),ÍNDICES!$A:$DE,$Z$709+1))))))</f>
        <v/>
      </c>
      <c r="D868" s="155"/>
      <c r="E868" s="88"/>
      <c r="F868" s="88"/>
      <c r="G868" s="88"/>
      <c r="H868" s="118"/>
      <c r="I868" s="182">
        <f t="shared" si="129"/>
        <v>0</v>
      </c>
      <c r="J868" s="20">
        <f t="shared" ca="1" si="130"/>
        <v>0</v>
      </c>
      <c r="K868" s="5">
        <f t="shared" ca="1" si="131"/>
        <v>0</v>
      </c>
      <c r="L868" s="61">
        <f t="shared" ca="1" si="132"/>
        <v>0</v>
      </c>
      <c r="M868" s="64">
        <f t="shared" si="133"/>
        <v>0</v>
      </c>
      <c r="N868" s="151"/>
      <c r="O868" s="5">
        <f t="shared" ca="1" si="134"/>
        <v>0</v>
      </c>
      <c r="P868" s="446" t="e">
        <f t="shared" si="135"/>
        <v>#VALUE!</v>
      </c>
      <c r="Q868" s="446" t="e">
        <f>IF(OR($B868="",MIN(Q$38,$D$19)&lt;MAX($P$708*($B868+IF($R$17="Distrato",$I$38-1,0)),IF(AND($L$711=0,$P$708=0),"",$L$711-1),IF($R$17="Distrato",$E868,0))),0,YEARFRAC(MAX($P$708*($B868+IF($R$17="Distrato",$I$38-1,0)),IF(AND($L$711=0,$P$708=0),"",$L$711-1),IF($R$17="Distrato",$E868,0)),MIN(Q$38,$D$19),$P$20))-SUM($P868:P868)</f>
        <v>#VALUE!</v>
      </c>
      <c r="R868" s="446" t="e">
        <f>IF(OR($B868="",MIN(R$38,$D$19)&lt;MAX($P$708*($B868+IF($R$17="Distrato",$I$38-1,0)),IF(AND($L$711=0,$P$708=0),"",$L$711-1),IF($R$17="Distrato",$E868,0))),0,YEARFRAC(MAX($P$708*($B868+IF($R$17="Distrato",$I$38-1,0)),IF(AND($L$711=0,$P$708=0),"",$L$711-1),IF($R$17="Distrato",$E868,0)),MIN(R$38,$D$19),$P$20))-SUM($P868:Q868)</f>
        <v>#VALUE!</v>
      </c>
      <c r="S868" s="446" t="e">
        <f>IF(OR($B868="",MIN(S$38,$D$19)&lt;MAX($P$708*($B868+IF($R$17="Distrato",$I$38-1,0)),IF(AND($L$711=0,$P$708=0),"",$L$711-1),IF($R$17="Distrato",$E868,0))),0,YEARFRAC(MAX($P$708*($B868+IF($R$17="Distrato",$I$38-1,0)),IF(AND($L$711=0,$P$708=0),"",$L$711-1),IF($R$17="Distrato",$E868,0)),MIN(S$38,$D$19),$P$20))-SUM($P868:R868)</f>
        <v>#VALUE!</v>
      </c>
      <c r="T868" s="446" t="e">
        <f>IF(OR($B868="",MIN(T$38,$D$19)&lt;MAX($P$708*($B868+IF($R$17="Distrato",$I$38-1,0)),IF(AND($L$711=0,$P$708=0),"",$L$711-1),IF($R$17="Distrato",$E868,0))),0,YEARFRAC(MAX($P$708*($B868+IF($R$17="Distrato",$I$38-1,0)),IF(AND($L$711=0,$P$708=0),"",$L$711-1),IF($R$17="Distrato",$E868,0)),MIN(T$38,$D$19),$P$20))-SUM($P868:S868)</f>
        <v>#VALUE!</v>
      </c>
      <c r="U868" s="446" t="e">
        <f>IF(OR($B868="",MIN(U$38,$D$19)&lt;MAX($P$708*($B868+IF($R$17="Distrato",$I$38-1,0)),IF(AND($L$711=0,$P$708=0),"",$L$711-1),IF($R$17="Distrato",$E868,0))),0,YEARFRAC(MAX($P$708*($B868+IF($R$17="Distrato",$I$38-1,0)),IF(AND($L$711=0,$P$708=0),"",$L$711-1),IF($R$17="Distrato",$E868,0)),MIN(U$38,$D$19),$P$20))-SUM($P868:T868)</f>
        <v>#VALUE!</v>
      </c>
      <c r="V868" s="446" t="e">
        <f>IF(OR($B868="",MIN(V$38,$D$19)&lt;MAX($P$708*($B868+IF($R$17="Distrato",$I$38-1,0)),IF(AND($L$711=0,$P$708=0),"",$L$711-1),IF($R$17="Distrato",$E868,0))),0,YEARFRAC(MAX($P$708*($B868+IF($R$17="Distrato",$I$38-1,0)),IF(AND($L$711=0,$P$708=0),"",$L$711-1),IF($R$17="Distrato",$E868,0)),MIN(V$38,$D$19),$P$20))-SUM($P868:U868)</f>
        <v>#VALUE!</v>
      </c>
      <c r="W868" s="446" t="e">
        <f>IF(OR($B868="",MIN(W$38,$D$19)&lt;MAX($P$708*($B868+IF($R$17="Distrato",$I$38-1,0)),IF(AND($L$711=0,$P$708=0),"",$L$711-1),IF($R$17="Distrato",$E868,0))),0,YEARFRAC(MAX($P$708*($B868+IF($R$17="Distrato",$I$38-1,0)),IF(AND($L$711=0,$P$708=0),"",$L$711-1),IF($R$17="Distrato",$E868,0)),MIN(W$38,$D$19),$P$20))-SUM($P868:V868)</f>
        <v>#VALUE!</v>
      </c>
      <c r="X868" s="446" t="e">
        <f>IF(OR($B868="",MIN(X$38,$D$19)&lt;MAX($P$708*($B868+IF($R$17="Distrato",$I$38-1,0)),IF(AND($L$711=0,$P$708=0),"",$L$711-1),IF($R$17="Distrato",$E868,0))),0,YEARFRAC(MAX($P$708*($B868+IF($R$17="Distrato",$I$38-1,0)),IF(AND($L$711=0,$P$708=0),"",$L$711-1),IF($R$17="Distrato",$E868,0)),MIN(X$38,$D$19),$P$20))-SUM($P868:W868)</f>
        <v>#VALUE!</v>
      </c>
      <c r="Y868" s="446" t="e">
        <f>IF(OR($B868="",MIN(Y$38,$D$19)&lt;MAX($P$708*($B868+IF($R$17="Distrato",$I$38-1,0)),IF(AND($L$711=0,$P$708=0),"",$L$711-1),IF($R$17="Distrato",$E868,0))),0,YEARFRAC(MAX($P$708*($B868+IF($R$17="Distrato",$I$38-1,0)),IF(AND($L$711=0,$P$708=0),"",$L$711-1),IF($R$17="Distrato",$E868,0)),MIN(Y$38,$D$19),$P$20))-SUM($P868:X868)</f>
        <v>#VALUE!</v>
      </c>
      <c r="Z868" s="446" t="e">
        <f>IF(OR($B868="",MIN(Z$38,$D$19)&lt;MAX($P$708*($B868+IF($R$17="Distrato",$I$38-1,0)),IF(AND($L$711=0,$P$708=0),"",$L$711-1),IF($R$17="Distrato",$E868,0))),0,YEARFRAC(MAX($P$708*($B868+IF($R$17="Distrato",$I$38-1,0)),IF(AND($L$711=0,$P$708=0),"",$L$711-1),IF($R$17="Distrato",$E868,0)),MIN(Z$38,$D$19),$P$20))-SUM($P868:Y868)</f>
        <v>#VALUE!</v>
      </c>
      <c r="AA868" s="446" t="e">
        <f>IF(OR($B868="",MIN(AA$38,$D$19)&lt;MAX($P$708*($B868+IF($R$17="Distrato",$I$38-1,0)),IF(AND($L$711=0,$P$708=0),"",$L$711-1),IF($R$17="Distrato",$E868,0))),0,YEARFRAC(MAX($P$708*($B868+IF($R$17="Distrato",$I$38-1,0)),IF(AND($L$711=0,$P$708=0),"",$L$711-1),IF($R$17="Distrato",$E868,0)),MIN(AA$38,$D$19),$P$20))-SUM($P868:Z868)</f>
        <v>#VALUE!</v>
      </c>
      <c r="AB868" s="446" t="e">
        <f>IF(OR($B868="",MIN(AB$38,$D$19)&lt;MAX($P$708*($B868+IF($R$17="Distrato",$I$38-1,0)),IF(AND($L$711=0,$P$708=0),"",$L$711-1),IF($R$17="Distrato",$E868,0))),0,YEARFRAC(MAX($P$708*($B868+IF($R$17="Distrato",$I$38-1,0)),IF(AND($L$711=0,$P$708=0),"",$L$711-1),IF($R$17="Distrato",$E868,0)),MIN(AB$38,$D$19),$P$20))-SUM($P868:AA868)</f>
        <v>#VALUE!</v>
      </c>
      <c r="AC868" s="446" t="e">
        <f>IF(OR($B868="",MIN(AC$38,$D$19)&lt;MAX($P$708*($B868+IF($R$17="Distrato",$I$38-1,0)),IF(AND($L$711=0,$P$708=0),"",$L$711-1),IF($R$17="Distrato",$E868,0))),0,YEARFRAC(MAX($P$708*($B868+IF($R$17="Distrato",$I$38-1,0)),IF(AND($L$711=0,$P$708=0),"",$L$711-1),IF($R$17="Distrato",$E868,0)),MIN(AC$38,$D$19),$P$20))-SUM($P868:AB868)</f>
        <v>#VALUE!</v>
      </c>
      <c r="AD868" s="446" t="e">
        <f>IF(OR($B868="",MIN(AD$38,$D$19)&lt;MAX($P$708*($B868+IF($R$17="Distrato",$I$38-1,0)),IF(AND($L$711=0,$P$708=0),"",$L$711-1),IF($R$17="Distrato",$E868,0))),0,YEARFRAC(MAX($P$708*($B868+IF($R$17="Distrato",$I$38-1,0)),IF(AND($L$711=0,$P$708=0),"",$L$711-1),IF($R$17="Distrato",$E868,0)),MIN(AD$38,$D$19),$P$20))-SUM($P868:AC868)</f>
        <v>#VALUE!</v>
      </c>
      <c r="AE868" s="446" t="e">
        <f>IF(OR($B868="",MIN(AE$38,$D$19)&lt;MAX($P$708*($B868+IF($R$17="Distrato",$I$38-1,0)),IF(AND($L$711=0,$P$708=0),"",$L$711-1),IF($R$17="Distrato",$E868,0))),0,YEARFRAC(MAX($P$708*($B868+IF($R$17="Distrato",$I$38-1,0)),IF(AND($L$711=0,$P$708=0),"",$L$711-1),IF($R$17="Distrato",$E868,0)),MIN(AE$38,$D$19),$P$20))-SUM($P868:AD868)</f>
        <v>#VALUE!</v>
      </c>
      <c r="AF868" s="446" t="e">
        <f>IF(OR($B868="",MIN(AF$38,$D$19)&lt;MAX($P$708*($B868+IF($R$17="Distrato",$I$38-1,0)),IF(AND($L$711=0,$P$708=0),"",$L$711-1),IF($R$17="Distrato",$E868,0))),0,YEARFRAC(MAX($P$708*($B868+IF($R$17="Distrato",$I$38-1,0)),IF(AND($L$711=0,$P$708=0),"",$L$711-1),IF($R$17="Distrato",$E868,0)),MIN(AF$38,$D$19),$P$20))-SUM($P868:AE868)</f>
        <v>#VALUE!</v>
      </c>
      <c r="AG868" s="446" t="e">
        <f>IF(OR($B868="",MIN(AG$38,$D$19)&lt;MAX($P$708*($B868+IF($R$17="Distrato",$I$38-1,0)),IF(AND($L$711=0,$P$708=0),"",$L$711-1),IF($R$17="Distrato",$E868,0))),0,YEARFRAC(MAX($P$708*($B868+IF($R$17="Distrato",$I$38-1,0)),IF(AND($L$711=0,$P$708=0),"",$L$711-1),IF($R$17="Distrato",$E868,0)),MIN(AG$38,$D$19),$P$20))-SUM($P868:AF868)</f>
        <v>#VALUE!</v>
      </c>
      <c r="AH868" s="446" t="e">
        <f>IF(OR($B868="",MIN(AH$38,$D$19)&lt;MAX($P$708*($B868+IF($R$17="Distrato",$I$38-1,0)),IF(AND($L$711=0,$P$708=0),"",$L$711-1),IF($R$17="Distrato",$E868,0))),0,YEARFRAC(MAX($P$708*($B868+IF($R$17="Distrato",$I$38-1,0)),IF(AND($L$711=0,$P$708=0),"",$L$711-1),IF($R$17="Distrato",$E868,0)),MIN(AH$38,$D$19),$P$20))-SUM($P868:AG868)</f>
        <v>#VALUE!</v>
      </c>
      <c r="AI868" s="446" t="e">
        <f>IF(OR($B868="",MIN(AI$38,$D$19)&lt;MAX($P$708*($B868+IF($R$17="Distrato",$I$38-1,0)),IF(AND($L$711=0,$P$708=0),"",$L$711-1),IF($R$17="Distrato",$E868,0))),0,YEARFRAC(MAX($P$708*($B868+IF($R$17="Distrato",$I$38-1,0)),IF(AND($L$711=0,$P$708=0),"",$L$711-1),IF($R$17="Distrato",$E868,0)),MIN(AI$38,$D$19),$P$20))-SUM($P868:AH868)</f>
        <v>#VALUE!</v>
      </c>
      <c r="AJ868" s="446" t="e">
        <f>IF(OR($B868="",MIN(AJ$38,$D$19)&lt;MAX($P$708*($B868+IF($R$17="Distrato",$I$38-1,0)),IF(AND($L$711=0,$P$708=0),"",$L$711-1),IF($R$17="Distrato",$E868,0))),0,YEARFRAC(MAX($P$708*($B868+IF($R$17="Distrato",$I$38-1,0)),IF(AND($L$711=0,$P$708=0),"",$L$711-1),IF($R$17="Distrato",$E868,0)),MIN(AJ$38,$D$19),$P$20))-SUM($P868:AI868)</f>
        <v>#VALUE!</v>
      </c>
      <c r="AK868" s="446" t="e">
        <f>IF(OR($B868="",MIN(AK$38,$D$19)&lt;MAX($P$708*($B868+IF($R$17="Distrato",$I$38-1,0)),IF(AND($L$711=0,$P$708=0),"",$L$711-1),IF($R$17="Distrato",$E868,0))),0,YEARFRAC(MAX($P$708*($B868+IF($R$17="Distrato",$I$38-1,0)),IF(AND($L$711=0,$P$708=0),"",$L$711-1),IF($R$17="Distrato",$E868,0)),MIN(AK$38,$D$19),$P$20))-SUM($P868:AJ868)</f>
        <v>#VALUE!</v>
      </c>
      <c r="AL868" s="446" t="e">
        <f>IF(OR($B868="",MIN(AL$38,$D$19)&lt;MAX($P$708*($B868+IF($R$17="Distrato",$I$38-1,0)),IF(AND($L$711=0,$P$708=0),"",$L$711-1),IF($R$17="Distrato",$E868,0))),0,YEARFRAC(MAX($P$708*($B868+IF($R$17="Distrato",$I$38-1,0)),IF(AND($L$711=0,$P$708=0),"",$L$711-1),IF($R$17="Distrato",$E868,0)),MIN(AL$38,$D$19),$P$20))-SUM($P868:AK868)</f>
        <v>#VALUE!</v>
      </c>
      <c r="AM868" s="446" t="e">
        <f>IF(OR($B868="",MIN(AM$38,$D$19)&lt;MAX($P$708*($B868+IF($R$17="Distrato",$I$38-1,0)),IF(AND($L$711=0,$P$708=0),"",$L$711-1),IF($R$17="Distrato",$E868,0))),0,YEARFRAC(MAX($P$708*($B868+IF($R$17="Distrato",$I$38-1,0)),IF(AND($L$711=0,$P$708=0),"",$L$711-1),IF($R$17="Distrato",$E868,0)),MIN(AM$38,$D$19),$P$20))-SUM($P868:AL868)</f>
        <v>#VALUE!</v>
      </c>
      <c r="AN868" s="446" t="e">
        <f>IF(OR($B868="",MIN(AN$38,$D$19)&lt;MAX($P$708*($B868+IF($R$17="Distrato",$I$38-1,0)),IF(AND($L$711=0,$P$708=0),"",$L$711-1),IF($R$17="Distrato",$E868,0))),0,YEARFRAC(MAX($P$708*($B868+IF($R$17="Distrato",$I$38-1,0)),IF(AND($L$711=0,$P$708=0),"",$L$711-1),IF($R$17="Distrato",$E868,0)),MIN(AN$38,$D$19),$P$20))-SUM($P868:AM868)</f>
        <v>#VALUE!</v>
      </c>
      <c r="AO868" s="446" t="e">
        <f>IF(OR($B868="",MIN(AO$38,$D$19)&lt;MAX($P$708*($B868+IF($R$17="Distrato",$I$38-1,0)),IF(AND($L$711=0,$P$708=0),"",$L$711-1),IF($R$17="Distrato",$E868,0))),0,YEARFRAC(MAX($P$708*($B868+IF($R$17="Distrato",$I$38-1,0)),IF(AND($L$711=0,$P$708=0),"",$L$711-1),IF($R$17="Distrato",$E868,0)),MIN(AO$38,$D$19),$P$20))-SUM($P868:AN868)</f>
        <v>#VALUE!</v>
      </c>
      <c r="AP868" s="446" t="e">
        <f>IF(OR($B868="",MIN(AP$38,$D$19)&lt;MAX($P$708*($B868+IF($R$17="Distrato",$I$38-1,0)),IF(AND($L$711=0,$P$708=0),"",$L$711-1),IF($R$17="Distrato",$E868,0))),0,YEARFRAC(MAX($P$708*($B868+IF($R$17="Distrato",$I$38-1,0)),IF(AND($L$711=0,$P$708=0),"",$L$711-1),IF($R$17="Distrato",$E868,0)),MIN(AP$38,$D$19),$P$20))-SUM($P868:AO868)</f>
        <v>#VALUE!</v>
      </c>
      <c r="AQ868" s="446" t="e">
        <f>IF(OR($B868="",MIN(AQ$38,$D$19)&lt;MAX($P$708*($B868+IF($R$17="Distrato",$I$38-1,0)),IF(AND($L$711=0,$P$708=0),"",$L$711-1),IF($R$17="Distrato",$E868,0))),0,YEARFRAC(MAX($P$708*($B868+IF($R$17="Distrato",$I$38-1,0)),IF(AND($L$711=0,$P$708=0),"",$L$711-1),IF($R$17="Distrato",$E868,0)),MIN(AQ$38,$D$19),$P$20))-SUM($P868:AP868)</f>
        <v>#VALUE!</v>
      </c>
      <c r="AR868" s="446" t="e">
        <f>IF(OR($B868="",MIN(AR$38,$D$19)&lt;MAX($P$708*($B868+IF($R$17="Distrato",$I$38-1,0)),IF(AND($L$711=0,$P$708=0),"",$L$711-1),IF($R$17="Distrato",$E868,0))),0,YEARFRAC(MAX($P$708*($B868+IF($R$17="Distrato",$I$38-1,0)),IF(AND($L$711=0,$P$708=0),"",$L$711-1),IF($R$17="Distrato",$E868,0)),MIN(AR$38,$D$19),$P$20))-SUM($P868:AQ868)</f>
        <v>#VALUE!</v>
      </c>
      <c r="AS868" s="446" t="e">
        <f>IF(OR($B868="",MIN(AS$38,$D$19)&lt;MAX($P$708*($B868+IF($R$17="Distrato",$I$38-1,0)),IF(AND($L$711=0,$P$708=0),"",$L$711-1),IF($R$17="Distrato",$E868,0))),0,YEARFRAC(MAX($P$708*($B868+IF($R$17="Distrato",$I$38-1,0)),IF(AND($L$711=0,$P$708=0),"",$L$711-1),IF($R$17="Distrato",$E868,0)),MIN(AS$38,$D$19),$P$20))-SUM($P868:AR868)</f>
        <v>#VALUE!</v>
      </c>
      <c r="AT868" s="446" t="e">
        <f>IF(OR($B868="",MIN(AT$38,$D$19)&lt;MAX($P$708*($B868+IF($R$17="Distrato",$I$38-1,0)),IF(AND($L$711=0,$P$708=0),"",$L$711-1),IF($R$17="Distrato",$E868,0))),0,YEARFRAC(MAX($P$708*($B868+IF($R$17="Distrato",$I$38-1,0)),IF(AND($L$711=0,$P$708=0),"",$L$711-1),IF($R$17="Distrato",$E868,0)),MIN(AT$38,$D$19),$P$20))-SUM($P868:AS868)</f>
        <v>#VALUE!</v>
      </c>
      <c r="AU868" s="446" t="e">
        <f>IF(OR($B868="",MIN(AU$38,$D$19)&lt;MAX($P$708*($B868+IF($R$17="Distrato",$I$38-1,0)),IF(AND($L$711=0,$P$708=0),"",$L$711-1),IF($R$17="Distrato",$E868,0))),0,YEARFRAC(MAX($P$708*($B868+IF($R$17="Distrato",$I$38-1,0)),IF(AND($L$711=0,$P$708=0),"",$L$711-1),IF($R$17="Distrato",$E868,0)),MIN(AU$38,$D$19),$P$20))-SUM($P868:AT868)</f>
        <v>#VALUE!</v>
      </c>
      <c r="AV868" s="446" t="e">
        <f>IF(OR($B868="",MIN(AV$38,$D$19)&lt;MAX($P$708*($B868+IF($R$17="Distrato",$I$38-1,0)),IF(AND($L$711=0,$P$708=0),"",$L$711-1),IF($R$17="Distrato",$E868,0))),0,YEARFRAC(MAX($P$708*($B868+IF($R$17="Distrato",$I$38-1,0)),IF(AND($L$711=0,$P$708=0),"",$L$711-1),IF($R$17="Distrato",$E868,0)),MIN(AV$38,$D$19),$P$20))-SUM($P868:AU868)</f>
        <v>#VALUE!</v>
      </c>
      <c r="AW868" s="446" t="e">
        <f>IF(OR($B868="",MIN(AW$38,$D$19)&lt;MAX($P$708*($B868+IF($R$17="Distrato",$I$38-1,0)),IF(AND($L$711=0,$P$708=0),"",$L$711-1),IF($R$17="Distrato",$E868,0))),0,YEARFRAC(MAX($P$708*($B868+IF($R$17="Distrato",$I$38-1,0)),IF(AND($L$711=0,$P$708=0),"",$L$711-1),IF($R$17="Distrato",$E868,0)),MIN(AW$38,$D$19),$P$20))-SUM($P868:AV868)</f>
        <v>#VALUE!</v>
      </c>
      <c r="AX868" s="446" t="e">
        <f>IF(OR($B868="",MIN(AX$38,$D$19)&lt;MAX($P$708*($B868+IF($R$17="Distrato",$I$38-1,0)),IF(AND($L$711=0,$P$708=0),"",$L$711-1),IF($R$17="Distrato",$E868,0))),0,YEARFRAC(MAX($P$708*($B868+IF($R$17="Distrato",$I$38-1,0)),IF(AND($L$711=0,$P$708=0),"",$L$711-1),IF($R$17="Distrato",$E868,0)),MIN(AX$38,$D$19),$P$20))-SUM($P868:AW868)</f>
        <v>#VALUE!</v>
      </c>
      <c r="AY868" s="446" t="e">
        <f>IF(OR($B868="",MIN(AY$38,$D$19)&lt;MAX($P$708*($B868+IF($R$17="Distrato",$I$38-1,0)),IF(AND($L$711=0,$P$708=0),"",$L$711-1),IF($R$17="Distrato",$E868,0))),0,YEARFRAC(MAX($P$708*($B868+IF($R$17="Distrato",$I$38-1,0)),IF(AND($L$711=0,$P$708=0),"",$L$711-1),IF($R$17="Distrato",$E868,0)),MIN(AY$38,$D$19),$P$20))-SUM($P868:AX868)</f>
        <v>#VALUE!</v>
      </c>
      <c r="AZ868" s="446" t="e">
        <f>IF(OR($B868="",MIN(AZ$38,$D$19)&lt;MAX($P$708*($B868+IF($R$17="Distrato",$I$38-1,0)),IF(AND($L$711=0,$P$708=0),"",$L$711-1),IF($R$17="Distrato",$E868,0))),0,YEARFRAC(MAX($P$708*($B868+IF($R$17="Distrato",$I$38-1,0)),IF(AND($L$711=0,$P$708=0),"",$L$711-1),IF($R$17="Distrato",$E868,0)),MIN(AZ$38,$D$19),$P$20))-SUM($P868:AY868)</f>
        <v>#VALUE!</v>
      </c>
      <c r="BA868" s="446" t="e">
        <f>IF(OR($B868="",MIN(BA$38,$D$19)&lt;MAX($P$708*($B868+IF($R$17="Distrato",$I$38-1,0)),IF(AND($L$711=0,$P$708=0),"",$L$711-1),IF($R$17="Distrato",$E868,0))),0,YEARFRAC(MAX($P$708*($B868+IF($R$17="Distrato",$I$38-1,0)),IF(AND($L$711=0,$P$708=0),"",$L$711-1),IF($R$17="Distrato",$E868,0)),MIN(BA$38,$D$19),$P$20))-SUM($P868:AZ868)</f>
        <v>#VALUE!</v>
      </c>
      <c r="BB868" s="447"/>
    </row>
    <row r="869" spans="1:54" s="446" customFormat="1" ht="11.25" hidden="1" customHeight="1" x14ac:dyDescent="0.2">
      <c r="A869" s="235"/>
      <c r="B869" s="236"/>
      <c r="C869" s="29" t="str">
        <f>IF(B869="","",IF($L$709=$BL$25,VLOOKUP(DATE(YEAR($D$19),MONTH($D$19)-1,1),ÍNDICES!$A:$DE,HLOOKUP($BL$25,ÍNDICES!$B$3:$T$4,2)+11)-VLOOKUP(B869,ÍNDICES!$A:$DE,HLOOKUP($BL$25,ÍNDICES!$B$3:$T$4,2)+11)+1%,IF(C$712=$W$26,$J$35,IF(ISERROR(IF(B869&gt;$D$19,1,VLOOKUP(DATE(YEAR(B869),MONTH(B869)+IF($C$709=$S$23,1,0),1),ÍNDICES!$A:$DE,$Z$709+1))),"",IF(B869&gt;$D$19,1,VLOOKUP(DATE(YEAR(B869),MONTH(B869)+IF($C$709=$S$23,1,0),1),ÍNDICES!$A:$DE,$Z$709+1))))))</f>
        <v/>
      </c>
      <c r="D869" s="155"/>
      <c r="E869" s="88"/>
      <c r="F869" s="88"/>
      <c r="G869" s="88"/>
      <c r="H869" s="118"/>
      <c r="I869" s="182">
        <f t="shared" si="129"/>
        <v>0</v>
      </c>
      <c r="J869" s="20">
        <f t="shared" ca="1" si="130"/>
        <v>0</v>
      </c>
      <c r="K869" s="5">
        <f t="shared" ca="1" si="131"/>
        <v>0</v>
      </c>
      <c r="L869" s="61">
        <f t="shared" ca="1" si="132"/>
        <v>0</v>
      </c>
      <c r="M869" s="64">
        <f t="shared" si="133"/>
        <v>0</v>
      </c>
      <c r="N869" s="151"/>
      <c r="O869" s="5">
        <f t="shared" ca="1" si="134"/>
        <v>0</v>
      </c>
      <c r="P869" s="446" t="e">
        <f t="shared" si="135"/>
        <v>#VALUE!</v>
      </c>
      <c r="Q869" s="446" t="e">
        <f>IF(OR($B869="",MIN(Q$38,$D$19)&lt;MAX($P$708*($B869+IF($R$17="Distrato",$I$38-1,0)),IF(AND($L$711=0,$P$708=0),"",$L$711-1),IF($R$17="Distrato",$E869,0))),0,YEARFRAC(MAX($P$708*($B869+IF($R$17="Distrato",$I$38-1,0)),IF(AND($L$711=0,$P$708=0),"",$L$711-1),IF($R$17="Distrato",$E869,0)),MIN(Q$38,$D$19),$P$20))-SUM($P869:P869)</f>
        <v>#VALUE!</v>
      </c>
      <c r="R869" s="446" t="e">
        <f>IF(OR($B869="",MIN(R$38,$D$19)&lt;MAX($P$708*($B869+IF($R$17="Distrato",$I$38-1,0)),IF(AND($L$711=0,$P$708=0),"",$L$711-1),IF($R$17="Distrato",$E869,0))),0,YEARFRAC(MAX($P$708*($B869+IF($R$17="Distrato",$I$38-1,0)),IF(AND($L$711=0,$P$708=0),"",$L$711-1),IF($R$17="Distrato",$E869,0)),MIN(R$38,$D$19),$P$20))-SUM($P869:Q869)</f>
        <v>#VALUE!</v>
      </c>
      <c r="S869" s="446" t="e">
        <f>IF(OR($B869="",MIN(S$38,$D$19)&lt;MAX($P$708*($B869+IF($R$17="Distrato",$I$38-1,0)),IF(AND($L$711=0,$P$708=0),"",$L$711-1),IF($R$17="Distrato",$E869,0))),0,YEARFRAC(MAX($P$708*($B869+IF($R$17="Distrato",$I$38-1,0)),IF(AND($L$711=0,$P$708=0),"",$L$711-1),IF($R$17="Distrato",$E869,0)),MIN(S$38,$D$19),$P$20))-SUM($P869:R869)</f>
        <v>#VALUE!</v>
      </c>
      <c r="T869" s="446" t="e">
        <f>IF(OR($B869="",MIN(T$38,$D$19)&lt;MAX($P$708*($B869+IF($R$17="Distrato",$I$38-1,0)),IF(AND($L$711=0,$P$708=0),"",$L$711-1),IF($R$17="Distrato",$E869,0))),0,YEARFRAC(MAX($P$708*($B869+IF($R$17="Distrato",$I$38-1,0)),IF(AND($L$711=0,$P$708=0),"",$L$711-1),IF($R$17="Distrato",$E869,0)),MIN(T$38,$D$19),$P$20))-SUM($P869:S869)</f>
        <v>#VALUE!</v>
      </c>
      <c r="U869" s="446" t="e">
        <f>IF(OR($B869="",MIN(U$38,$D$19)&lt;MAX($P$708*($B869+IF($R$17="Distrato",$I$38-1,0)),IF(AND($L$711=0,$P$708=0),"",$L$711-1),IF($R$17="Distrato",$E869,0))),0,YEARFRAC(MAX($P$708*($B869+IF($R$17="Distrato",$I$38-1,0)),IF(AND($L$711=0,$P$708=0),"",$L$711-1),IF($R$17="Distrato",$E869,0)),MIN(U$38,$D$19),$P$20))-SUM($P869:T869)</f>
        <v>#VALUE!</v>
      </c>
      <c r="V869" s="446" t="e">
        <f>IF(OR($B869="",MIN(V$38,$D$19)&lt;MAX($P$708*($B869+IF($R$17="Distrato",$I$38-1,0)),IF(AND($L$711=0,$P$708=0),"",$L$711-1),IF($R$17="Distrato",$E869,0))),0,YEARFRAC(MAX($P$708*($B869+IF($R$17="Distrato",$I$38-1,0)),IF(AND($L$711=0,$P$708=0),"",$L$711-1),IF($R$17="Distrato",$E869,0)),MIN(V$38,$D$19),$P$20))-SUM($P869:U869)</f>
        <v>#VALUE!</v>
      </c>
      <c r="W869" s="446" t="e">
        <f>IF(OR($B869="",MIN(W$38,$D$19)&lt;MAX($P$708*($B869+IF($R$17="Distrato",$I$38-1,0)),IF(AND($L$711=0,$P$708=0),"",$L$711-1),IF($R$17="Distrato",$E869,0))),0,YEARFRAC(MAX($P$708*($B869+IF($R$17="Distrato",$I$38-1,0)),IF(AND($L$711=0,$P$708=0),"",$L$711-1),IF($R$17="Distrato",$E869,0)),MIN(W$38,$D$19),$P$20))-SUM($P869:V869)</f>
        <v>#VALUE!</v>
      </c>
      <c r="X869" s="446" t="e">
        <f>IF(OR($B869="",MIN(X$38,$D$19)&lt;MAX($P$708*($B869+IF($R$17="Distrato",$I$38-1,0)),IF(AND($L$711=0,$P$708=0),"",$L$711-1),IF($R$17="Distrato",$E869,0))),0,YEARFRAC(MAX($P$708*($B869+IF($R$17="Distrato",$I$38-1,0)),IF(AND($L$711=0,$P$708=0),"",$L$711-1),IF($R$17="Distrato",$E869,0)),MIN(X$38,$D$19),$P$20))-SUM($P869:W869)</f>
        <v>#VALUE!</v>
      </c>
      <c r="Y869" s="446" t="e">
        <f>IF(OR($B869="",MIN(Y$38,$D$19)&lt;MAX($P$708*($B869+IF($R$17="Distrato",$I$38-1,0)),IF(AND($L$711=0,$P$708=0),"",$L$711-1),IF($R$17="Distrato",$E869,0))),0,YEARFRAC(MAX($P$708*($B869+IF($R$17="Distrato",$I$38-1,0)),IF(AND($L$711=0,$P$708=0),"",$L$711-1),IF($R$17="Distrato",$E869,0)),MIN(Y$38,$D$19),$P$20))-SUM($P869:X869)</f>
        <v>#VALUE!</v>
      </c>
      <c r="Z869" s="446" t="e">
        <f>IF(OR($B869="",MIN(Z$38,$D$19)&lt;MAX($P$708*($B869+IF($R$17="Distrato",$I$38-1,0)),IF(AND($L$711=0,$P$708=0),"",$L$711-1),IF($R$17="Distrato",$E869,0))),0,YEARFRAC(MAX($P$708*($B869+IF($R$17="Distrato",$I$38-1,0)),IF(AND($L$711=0,$P$708=0),"",$L$711-1),IF($R$17="Distrato",$E869,0)),MIN(Z$38,$D$19),$P$20))-SUM($P869:Y869)</f>
        <v>#VALUE!</v>
      </c>
      <c r="AA869" s="446" t="e">
        <f>IF(OR($B869="",MIN(AA$38,$D$19)&lt;MAX($P$708*($B869+IF($R$17="Distrato",$I$38-1,0)),IF(AND($L$711=0,$P$708=0),"",$L$711-1),IF($R$17="Distrato",$E869,0))),0,YEARFRAC(MAX($P$708*($B869+IF($R$17="Distrato",$I$38-1,0)),IF(AND($L$711=0,$P$708=0),"",$L$711-1),IF($R$17="Distrato",$E869,0)),MIN(AA$38,$D$19),$P$20))-SUM($P869:Z869)</f>
        <v>#VALUE!</v>
      </c>
      <c r="AB869" s="446" t="e">
        <f>IF(OR($B869="",MIN(AB$38,$D$19)&lt;MAX($P$708*($B869+IF($R$17="Distrato",$I$38-1,0)),IF(AND($L$711=0,$P$708=0),"",$L$711-1),IF($R$17="Distrato",$E869,0))),0,YEARFRAC(MAX($P$708*($B869+IF($R$17="Distrato",$I$38-1,0)),IF(AND($L$711=0,$P$708=0),"",$L$711-1),IF($R$17="Distrato",$E869,0)),MIN(AB$38,$D$19),$P$20))-SUM($P869:AA869)</f>
        <v>#VALUE!</v>
      </c>
      <c r="AC869" s="446" t="e">
        <f>IF(OR($B869="",MIN(AC$38,$D$19)&lt;MAX($P$708*($B869+IF($R$17="Distrato",$I$38-1,0)),IF(AND($L$711=0,$P$708=0),"",$L$711-1),IF($R$17="Distrato",$E869,0))),0,YEARFRAC(MAX($P$708*($B869+IF($R$17="Distrato",$I$38-1,0)),IF(AND($L$711=0,$P$708=0),"",$L$711-1),IF($R$17="Distrato",$E869,0)),MIN(AC$38,$D$19),$P$20))-SUM($P869:AB869)</f>
        <v>#VALUE!</v>
      </c>
      <c r="AD869" s="446" t="e">
        <f>IF(OR($B869="",MIN(AD$38,$D$19)&lt;MAX($P$708*($B869+IF($R$17="Distrato",$I$38-1,0)),IF(AND($L$711=0,$P$708=0),"",$L$711-1),IF($R$17="Distrato",$E869,0))),0,YEARFRAC(MAX($P$708*($B869+IF($R$17="Distrato",$I$38-1,0)),IF(AND($L$711=0,$P$708=0),"",$L$711-1),IF($R$17="Distrato",$E869,0)),MIN(AD$38,$D$19),$P$20))-SUM($P869:AC869)</f>
        <v>#VALUE!</v>
      </c>
      <c r="AE869" s="446" t="e">
        <f>IF(OR($B869="",MIN(AE$38,$D$19)&lt;MAX($P$708*($B869+IF($R$17="Distrato",$I$38-1,0)),IF(AND($L$711=0,$P$708=0),"",$L$711-1),IF($R$17="Distrato",$E869,0))),0,YEARFRAC(MAX($P$708*($B869+IF($R$17="Distrato",$I$38-1,0)),IF(AND($L$711=0,$P$708=0),"",$L$711-1),IF($R$17="Distrato",$E869,0)),MIN(AE$38,$D$19),$P$20))-SUM($P869:AD869)</f>
        <v>#VALUE!</v>
      </c>
      <c r="AF869" s="446" t="e">
        <f>IF(OR($B869="",MIN(AF$38,$D$19)&lt;MAX($P$708*($B869+IF($R$17="Distrato",$I$38-1,0)),IF(AND($L$711=0,$P$708=0),"",$L$711-1),IF($R$17="Distrato",$E869,0))),0,YEARFRAC(MAX($P$708*($B869+IF($R$17="Distrato",$I$38-1,0)),IF(AND($L$711=0,$P$708=0),"",$L$711-1),IF($R$17="Distrato",$E869,0)),MIN(AF$38,$D$19),$P$20))-SUM($P869:AE869)</f>
        <v>#VALUE!</v>
      </c>
      <c r="AG869" s="446" t="e">
        <f>IF(OR($B869="",MIN(AG$38,$D$19)&lt;MAX($P$708*($B869+IF($R$17="Distrato",$I$38-1,0)),IF(AND($L$711=0,$P$708=0),"",$L$711-1),IF($R$17="Distrato",$E869,0))),0,YEARFRAC(MAX($P$708*($B869+IF($R$17="Distrato",$I$38-1,0)),IF(AND($L$711=0,$P$708=0),"",$L$711-1),IF($R$17="Distrato",$E869,0)),MIN(AG$38,$D$19),$P$20))-SUM($P869:AF869)</f>
        <v>#VALUE!</v>
      </c>
      <c r="AH869" s="446" t="e">
        <f>IF(OR($B869="",MIN(AH$38,$D$19)&lt;MAX($P$708*($B869+IF($R$17="Distrato",$I$38-1,0)),IF(AND($L$711=0,$P$708=0),"",$L$711-1),IF($R$17="Distrato",$E869,0))),0,YEARFRAC(MAX($P$708*($B869+IF($R$17="Distrato",$I$38-1,0)),IF(AND($L$711=0,$P$708=0),"",$L$711-1),IF($R$17="Distrato",$E869,0)),MIN(AH$38,$D$19),$P$20))-SUM($P869:AG869)</f>
        <v>#VALUE!</v>
      </c>
      <c r="AI869" s="446" t="e">
        <f>IF(OR($B869="",MIN(AI$38,$D$19)&lt;MAX($P$708*($B869+IF($R$17="Distrato",$I$38-1,0)),IF(AND($L$711=0,$P$708=0),"",$L$711-1),IF($R$17="Distrato",$E869,0))),0,YEARFRAC(MAX($P$708*($B869+IF($R$17="Distrato",$I$38-1,0)),IF(AND($L$711=0,$P$708=0),"",$L$711-1),IF($R$17="Distrato",$E869,0)),MIN(AI$38,$D$19),$P$20))-SUM($P869:AH869)</f>
        <v>#VALUE!</v>
      </c>
      <c r="AJ869" s="446" t="e">
        <f>IF(OR($B869="",MIN(AJ$38,$D$19)&lt;MAX($P$708*($B869+IF($R$17="Distrato",$I$38-1,0)),IF(AND($L$711=0,$P$708=0),"",$L$711-1),IF($R$17="Distrato",$E869,0))),0,YEARFRAC(MAX($P$708*($B869+IF($R$17="Distrato",$I$38-1,0)),IF(AND($L$711=0,$P$708=0),"",$L$711-1),IF($R$17="Distrato",$E869,0)),MIN(AJ$38,$D$19),$P$20))-SUM($P869:AI869)</f>
        <v>#VALUE!</v>
      </c>
      <c r="AK869" s="446" t="e">
        <f>IF(OR($B869="",MIN(AK$38,$D$19)&lt;MAX($P$708*($B869+IF($R$17="Distrato",$I$38-1,0)),IF(AND($L$711=0,$P$708=0),"",$L$711-1),IF($R$17="Distrato",$E869,0))),0,YEARFRAC(MAX($P$708*($B869+IF($R$17="Distrato",$I$38-1,0)),IF(AND($L$711=0,$P$708=0),"",$L$711-1),IF($R$17="Distrato",$E869,0)),MIN(AK$38,$D$19),$P$20))-SUM($P869:AJ869)</f>
        <v>#VALUE!</v>
      </c>
      <c r="AL869" s="446" t="e">
        <f>IF(OR($B869="",MIN(AL$38,$D$19)&lt;MAX($P$708*($B869+IF($R$17="Distrato",$I$38-1,0)),IF(AND($L$711=0,$P$708=0),"",$L$711-1),IF($R$17="Distrato",$E869,0))),0,YEARFRAC(MAX($P$708*($B869+IF($R$17="Distrato",$I$38-1,0)),IF(AND($L$711=0,$P$708=0),"",$L$711-1),IF($R$17="Distrato",$E869,0)),MIN(AL$38,$D$19),$P$20))-SUM($P869:AK869)</f>
        <v>#VALUE!</v>
      </c>
      <c r="AM869" s="446" t="e">
        <f>IF(OR($B869="",MIN(AM$38,$D$19)&lt;MAX($P$708*($B869+IF($R$17="Distrato",$I$38-1,0)),IF(AND($L$711=0,$P$708=0),"",$L$711-1),IF($R$17="Distrato",$E869,0))),0,YEARFRAC(MAX($P$708*($B869+IF($R$17="Distrato",$I$38-1,0)),IF(AND($L$711=0,$P$708=0),"",$L$711-1),IF($R$17="Distrato",$E869,0)),MIN(AM$38,$D$19),$P$20))-SUM($P869:AL869)</f>
        <v>#VALUE!</v>
      </c>
      <c r="AN869" s="446" t="e">
        <f>IF(OR($B869="",MIN(AN$38,$D$19)&lt;MAX($P$708*($B869+IF($R$17="Distrato",$I$38-1,0)),IF(AND($L$711=0,$P$708=0),"",$L$711-1),IF($R$17="Distrato",$E869,0))),0,YEARFRAC(MAX($P$708*($B869+IF($R$17="Distrato",$I$38-1,0)),IF(AND($L$711=0,$P$708=0),"",$L$711-1),IF($R$17="Distrato",$E869,0)),MIN(AN$38,$D$19),$P$20))-SUM($P869:AM869)</f>
        <v>#VALUE!</v>
      </c>
      <c r="AO869" s="446" t="e">
        <f>IF(OR($B869="",MIN(AO$38,$D$19)&lt;MAX($P$708*($B869+IF($R$17="Distrato",$I$38-1,0)),IF(AND($L$711=0,$P$708=0),"",$L$711-1),IF($R$17="Distrato",$E869,0))),0,YEARFRAC(MAX($P$708*($B869+IF($R$17="Distrato",$I$38-1,0)),IF(AND($L$711=0,$P$708=0),"",$L$711-1),IF($R$17="Distrato",$E869,0)),MIN(AO$38,$D$19),$P$20))-SUM($P869:AN869)</f>
        <v>#VALUE!</v>
      </c>
      <c r="AP869" s="446" t="e">
        <f>IF(OR($B869="",MIN(AP$38,$D$19)&lt;MAX($P$708*($B869+IF($R$17="Distrato",$I$38-1,0)),IF(AND($L$711=0,$P$708=0),"",$L$711-1),IF($R$17="Distrato",$E869,0))),0,YEARFRAC(MAX($P$708*($B869+IF($R$17="Distrato",$I$38-1,0)),IF(AND($L$711=0,$P$708=0),"",$L$711-1),IF($R$17="Distrato",$E869,0)),MIN(AP$38,$D$19),$P$20))-SUM($P869:AO869)</f>
        <v>#VALUE!</v>
      </c>
      <c r="AQ869" s="446" t="e">
        <f>IF(OR($B869="",MIN(AQ$38,$D$19)&lt;MAX($P$708*($B869+IF($R$17="Distrato",$I$38-1,0)),IF(AND($L$711=0,$P$708=0),"",$L$711-1),IF($R$17="Distrato",$E869,0))),0,YEARFRAC(MAX($P$708*($B869+IF($R$17="Distrato",$I$38-1,0)),IF(AND($L$711=0,$P$708=0),"",$L$711-1),IF($R$17="Distrato",$E869,0)),MIN(AQ$38,$D$19),$P$20))-SUM($P869:AP869)</f>
        <v>#VALUE!</v>
      </c>
      <c r="AR869" s="446" t="e">
        <f>IF(OR($B869="",MIN(AR$38,$D$19)&lt;MAX($P$708*($B869+IF($R$17="Distrato",$I$38-1,0)),IF(AND($L$711=0,$P$708=0),"",$L$711-1),IF($R$17="Distrato",$E869,0))),0,YEARFRAC(MAX($P$708*($B869+IF($R$17="Distrato",$I$38-1,0)),IF(AND($L$711=0,$P$708=0),"",$L$711-1),IF($R$17="Distrato",$E869,0)),MIN(AR$38,$D$19),$P$20))-SUM($P869:AQ869)</f>
        <v>#VALUE!</v>
      </c>
      <c r="AS869" s="446" t="e">
        <f>IF(OR($B869="",MIN(AS$38,$D$19)&lt;MAX($P$708*($B869+IF($R$17="Distrato",$I$38-1,0)),IF(AND($L$711=0,$P$708=0),"",$L$711-1),IF($R$17="Distrato",$E869,0))),0,YEARFRAC(MAX($P$708*($B869+IF($R$17="Distrato",$I$38-1,0)),IF(AND($L$711=0,$P$708=0),"",$L$711-1),IF($R$17="Distrato",$E869,0)),MIN(AS$38,$D$19),$P$20))-SUM($P869:AR869)</f>
        <v>#VALUE!</v>
      </c>
      <c r="AT869" s="446" t="e">
        <f>IF(OR($B869="",MIN(AT$38,$D$19)&lt;MAX($P$708*($B869+IF($R$17="Distrato",$I$38-1,0)),IF(AND($L$711=0,$P$708=0),"",$L$711-1),IF($R$17="Distrato",$E869,0))),0,YEARFRAC(MAX($P$708*($B869+IF($R$17="Distrato",$I$38-1,0)),IF(AND($L$711=0,$P$708=0),"",$L$711-1),IF($R$17="Distrato",$E869,0)),MIN(AT$38,$D$19),$P$20))-SUM($P869:AS869)</f>
        <v>#VALUE!</v>
      </c>
      <c r="AU869" s="446" t="e">
        <f>IF(OR($B869="",MIN(AU$38,$D$19)&lt;MAX($P$708*($B869+IF($R$17="Distrato",$I$38-1,0)),IF(AND($L$711=0,$P$708=0),"",$L$711-1),IF($R$17="Distrato",$E869,0))),0,YEARFRAC(MAX($P$708*($B869+IF($R$17="Distrato",$I$38-1,0)),IF(AND($L$711=0,$P$708=0),"",$L$711-1),IF($R$17="Distrato",$E869,0)),MIN(AU$38,$D$19),$P$20))-SUM($P869:AT869)</f>
        <v>#VALUE!</v>
      </c>
      <c r="AV869" s="446" t="e">
        <f>IF(OR($B869="",MIN(AV$38,$D$19)&lt;MAX($P$708*($B869+IF($R$17="Distrato",$I$38-1,0)),IF(AND($L$711=0,$P$708=0),"",$L$711-1),IF($R$17="Distrato",$E869,0))),0,YEARFRAC(MAX($P$708*($B869+IF($R$17="Distrato",$I$38-1,0)),IF(AND($L$711=0,$P$708=0),"",$L$711-1),IF($R$17="Distrato",$E869,0)),MIN(AV$38,$D$19),$P$20))-SUM($P869:AU869)</f>
        <v>#VALUE!</v>
      </c>
      <c r="AW869" s="446" t="e">
        <f>IF(OR($B869="",MIN(AW$38,$D$19)&lt;MAX($P$708*($B869+IF($R$17="Distrato",$I$38-1,0)),IF(AND($L$711=0,$P$708=0),"",$L$711-1),IF($R$17="Distrato",$E869,0))),0,YEARFRAC(MAX($P$708*($B869+IF($R$17="Distrato",$I$38-1,0)),IF(AND($L$711=0,$P$708=0),"",$L$711-1),IF($R$17="Distrato",$E869,0)),MIN(AW$38,$D$19),$P$20))-SUM($P869:AV869)</f>
        <v>#VALUE!</v>
      </c>
      <c r="AX869" s="446" t="e">
        <f>IF(OR($B869="",MIN(AX$38,$D$19)&lt;MAX($P$708*($B869+IF($R$17="Distrato",$I$38-1,0)),IF(AND($L$711=0,$P$708=0),"",$L$711-1),IF($R$17="Distrato",$E869,0))),0,YEARFRAC(MAX($P$708*($B869+IF($R$17="Distrato",$I$38-1,0)),IF(AND($L$711=0,$P$708=0),"",$L$711-1),IF($R$17="Distrato",$E869,0)),MIN(AX$38,$D$19),$P$20))-SUM($P869:AW869)</f>
        <v>#VALUE!</v>
      </c>
      <c r="AY869" s="446" t="e">
        <f>IF(OR($B869="",MIN(AY$38,$D$19)&lt;MAX($P$708*($B869+IF($R$17="Distrato",$I$38-1,0)),IF(AND($L$711=0,$P$708=0),"",$L$711-1),IF($R$17="Distrato",$E869,0))),0,YEARFRAC(MAX($P$708*($B869+IF($R$17="Distrato",$I$38-1,0)),IF(AND($L$711=0,$P$708=0),"",$L$711-1),IF($R$17="Distrato",$E869,0)),MIN(AY$38,$D$19),$P$20))-SUM($P869:AX869)</f>
        <v>#VALUE!</v>
      </c>
      <c r="AZ869" s="446" t="e">
        <f>IF(OR($B869="",MIN(AZ$38,$D$19)&lt;MAX($P$708*($B869+IF($R$17="Distrato",$I$38-1,0)),IF(AND($L$711=0,$P$708=0),"",$L$711-1),IF($R$17="Distrato",$E869,0))),0,YEARFRAC(MAX($P$708*($B869+IF($R$17="Distrato",$I$38-1,0)),IF(AND($L$711=0,$P$708=0),"",$L$711-1),IF($R$17="Distrato",$E869,0)),MIN(AZ$38,$D$19),$P$20))-SUM($P869:AY869)</f>
        <v>#VALUE!</v>
      </c>
      <c r="BA869" s="446" t="e">
        <f>IF(OR($B869="",MIN(BA$38,$D$19)&lt;MAX($P$708*($B869+IF($R$17="Distrato",$I$38-1,0)),IF(AND($L$711=0,$P$708=0),"",$L$711-1),IF($R$17="Distrato",$E869,0))),0,YEARFRAC(MAX($P$708*($B869+IF($R$17="Distrato",$I$38-1,0)),IF(AND($L$711=0,$P$708=0),"",$L$711-1),IF($R$17="Distrato",$E869,0)),MIN(BA$38,$D$19),$P$20))-SUM($P869:AZ869)</f>
        <v>#VALUE!</v>
      </c>
      <c r="BB869" s="447"/>
    </row>
    <row r="870" spans="1:54" s="446" customFormat="1" ht="11.25" hidden="1" customHeight="1" x14ac:dyDescent="0.2">
      <c r="A870" s="235"/>
      <c r="B870" s="236"/>
      <c r="C870" s="29" t="str">
        <f>IF(B870="","",IF($L$709=$BL$25,VLOOKUP(DATE(YEAR($D$19),MONTH($D$19)-1,1),ÍNDICES!$A:$DE,HLOOKUP($BL$25,ÍNDICES!$B$3:$T$4,2)+11)-VLOOKUP(B870,ÍNDICES!$A:$DE,HLOOKUP($BL$25,ÍNDICES!$B$3:$T$4,2)+11)+1%,IF(C$712=$W$26,$J$35,IF(ISERROR(IF(B870&gt;$D$19,1,VLOOKUP(DATE(YEAR(B870),MONTH(B870)+IF($C$709=$S$23,1,0),1),ÍNDICES!$A:$DE,$Z$709+1))),"",IF(B870&gt;$D$19,1,VLOOKUP(DATE(YEAR(B870),MONTH(B870)+IF($C$709=$S$23,1,0),1),ÍNDICES!$A:$DE,$Z$709+1))))))</f>
        <v/>
      </c>
      <c r="D870" s="155"/>
      <c r="E870" s="88"/>
      <c r="F870" s="88"/>
      <c r="G870" s="88"/>
      <c r="H870" s="118"/>
      <c r="I870" s="182">
        <f t="shared" si="129"/>
        <v>0</v>
      </c>
      <c r="J870" s="20">
        <f t="shared" ca="1" si="130"/>
        <v>0</v>
      </c>
      <c r="K870" s="5">
        <f t="shared" ca="1" si="131"/>
        <v>0</v>
      </c>
      <c r="L870" s="61">
        <f t="shared" ca="1" si="132"/>
        <v>0</v>
      </c>
      <c r="M870" s="64">
        <f t="shared" si="133"/>
        <v>0</v>
      </c>
      <c r="N870" s="151"/>
      <c r="O870" s="5">
        <f t="shared" ca="1" si="134"/>
        <v>0</v>
      </c>
      <c r="P870" s="446" t="e">
        <f t="shared" si="135"/>
        <v>#VALUE!</v>
      </c>
      <c r="Q870" s="446" t="e">
        <f>IF(OR($B870="",MIN(Q$38,$D$19)&lt;MAX($P$708*($B870+IF($R$17="Distrato",$I$38-1,0)),IF(AND($L$711=0,$P$708=0),"",$L$711-1),IF($R$17="Distrato",$E870,0))),0,YEARFRAC(MAX($P$708*($B870+IF($R$17="Distrato",$I$38-1,0)),IF(AND($L$711=0,$P$708=0),"",$L$711-1),IF($R$17="Distrato",$E870,0)),MIN(Q$38,$D$19),$P$20))-SUM($P870:P870)</f>
        <v>#VALUE!</v>
      </c>
      <c r="R870" s="446" t="e">
        <f>IF(OR($B870="",MIN(R$38,$D$19)&lt;MAX($P$708*($B870+IF($R$17="Distrato",$I$38-1,0)),IF(AND($L$711=0,$P$708=0),"",$L$711-1),IF($R$17="Distrato",$E870,0))),0,YEARFRAC(MAX($P$708*($B870+IF($R$17="Distrato",$I$38-1,0)),IF(AND($L$711=0,$P$708=0),"",$L$711-1),IF($R$17="Distrato",$E870,0)),MIN(R$38,$D$19),$P$20))-SUM($P870:Q870)</f>
        <v>#VALUE!</v>
      </c>
      <c r="S870" s="446" t="e">
        <f>IF(OR($B870="",MIN(S$38,$D$19)&lt;MAX($P$708*($B870+IF($R$17="Distrato",$I$38-1,0)),IF(AND($L$711=0,$P$708=0),"",$L$711-1),IF($R$17="Distrato",$E870,0))),0,YEARFRAC(MAX($P$708*($B870+IF($R$17="Distrato",$I$38-1,0)),IF(AND($L$711=0,$P$708=0),"",$L$711-1),IF($R$17="Distrato",$E870,0)),MIN(S$38,$D$19),$P$20))-SUM($P870:R870)</f>
        <v>#VALUE!</v>
      </c>
      <c r="T870" s="446" t="e">
        <f>IF(OR($B870="",MIN(T$38,$D$19)&lt;MAX($P$708*($B870+IF($R$17="Distrato",$I$38-1,0)),IF(AND($L$711=0,$P$708=0),"",$L$711-1),IF($R$17="Distrato",$E870,0))),0,YEARFRAC(MAX($P$708*($B870+IF($R$17="Distrato",$I$38-1,0)),IF(AND($L$711=0,$P$708=0),"",$L$711-1),IF($R$17="Distrato",$E870,0)),MIN(T$38,$D$19),$P$20))-SUM($P870:S870)</f>
        <v>#VALUE!</v>
      </c>
      <c r="U870" s="446" t="e">
        <f>IF(OR($B870="",MIN(U$38,$D$19)&lt;MAX($P$708*($B870+IF($R$17="Distrato",$I$38-1,0)),IF(AND($L$711=0,$P$708=0),"",$L$711-1),IF($R$17="Distrato",$E870,0))),0,YEARFRAC(MAX($P$708*($B870+IF($R$17="Distrato",$I$38-1,0)),IF(AND($L$711=0,$P$708=0),"",$L$711-1),IF($R$17="Distrato",$E870,0)),MIN(U$38,$D$19),$P$20))-SUM($P870:T870)</f>
        <v>#VALUE!</v>
      </c>
      <c r="V870" s="446" t="e">
        <f>IF(OR($B870="",MIN(V$38,$D$19)&lt;MAX($P$708*($B870+IF($R$17="Distrato",$I$38-1,0)),IF(AND($L$711=0,$P$708=0),"",$L$711-1),IF($R$17="Distrato",$E870,0))),0,YEARFRAC(MAX($P$708*($B870+IF($R$17="Distrato",$I$38-1,0)),IF(AND($L$711=0,$P$708=0),"",$L$711-1),IF($R$17="Distrato",$E870,0)),MIN(V$38,$D$19),$P$20))-SUM($P870:U870)</f>
        <v>#VALUE!</v>
      </c>
      <c r="W870" s="446" t="e">
        <f>IF(OR($B870="",MIN(W$38,$D$19)&lt;MAX($P$708*($B870+IF($R$17="Distrato",$I$38-1,0)),IF(AND($L$711=0,$P$708=0),"",$L$711-1),IF($R$17="Distrato",$E870,0))),0,YEARFRAC(MAX($P$708*($B870+IF($R$17="Distrato",$I$38-1,0)),IF(AND($L$711=0,$P$708=0),"",$L$711-1),IF($R$17="Distrato",$E870,0)),MIN(W$38,$D$19),$P$20))-SUM($P870:V870)</f>
        <v>#VALUE!</v>
      </c>
      <c r="X870" s="446" t="e">
        <f>IF(OR($B870="",MIN(X$38,$D$19)&lt;MAX($P$708*($B870+IF($R$17="Distrato",$I$38-1,0)),IF(AND($L$711=0,$P$708=0),"",$L$711-1),IF($R$17="Distrato",$E870,0))),0,YEARFRAC(MAX($P$708*($B870+IF($R$17="Distrato",$I$38-1,0)),IF(AND($L$711=0,$P$708=0),"",$L$711-1),IF($R$17="Distrato",$E870,0)),MIN(X$38,$D$19),$P$20))-SUM($P870:W870)</f>
        <v>#VALUE!</v>
      </c>
      <c r="Y870" s="446" t="e">
        <f>IF(OR($B870="",MIN(Y$38,$D$19)&lt;MAX($P$708*($B870+IF($R$17="Distrato",$I$38-1,0)),IF(AND($L$711=0,$P$708=0),"",$L$711-1),IF($R$17="Distrato",$E870,0))),0,YEARFRAC(MAX($P$708*($B870+IF($R$17="Distrato",$I$38-1,0)),IF(AND($L$711=0,$P$708=0),"",$L$711-1),IF($R$17="Distrato",$E870,0)),MIN(Y$38,$D$19),$P$20))-SUM($P870:X870)</f>
        <v>#VALUE!</v>
      </c>
      <c r="Z870" s="446" t="e">
        <f>IF(OR($B870="",MIN(Z$38,$D$19)&lt;MAX($P$708*($B870+IF($R$17="Distrato",$I$38-1,0)),IF(AND($L$711=0,$P$708=0),"",$L$711-1),IF($R$17="Distrato",$E870,0))),0,YEARFRAC(MAX($P$708*($B870+IF($R$17="Distrato",$I$38-1,0)),IF(AND($L$711=0,$P$708=0),"",$L$711-1),IF($R$17="Distrato",$E870,0)),MIN(Z$38,$D$19),$P$20))-SUM($P870:Y870)</f>
        <v>#VALUE!</v>
      </c>
      <c r="AA870" s="446" t="e">
        <f>IF(OR($B870="",MIN(AA$38,$D$19)&lt;MAX($P$708*($B870+IF($R$17="Distrato",$I$38-1,0)),IF(AND($L$711=0,$P$708=0),"",$L$711-1),IF($R$17="Distrato",$E870,0))),0,YEARFRAC(MAX($P$708*($B870+IF($R$17="Distrato",$I$38-1,0)),IF(AND($L$711=0,$P$708=0),"",$L$711-1),IF($R$17="Distrato",$E870,0)),MIN(AA$38,$D$19),$P$20))-SUM($P870:Z870)</f>
        <v>#VALUE!</v>
      </c>
      <c r="AB870" s="446" t="e">
        <f>IF(OR($B870="",MIN(AB$38,$D$19)&lt;MAX($P$708*($B870+IF($R$17="Distrato",$I$38-1,0)),IF(AND($L$711=0,$P$708=0),"",$L$711-1),IF($R$17="Distrato",$E870,0))),0,YEARFRAC(MAX($P$708*($B870+IF($R$17="Distrato",$I$38-1,0)),IF(AND($L$711=0,$P$708=0),"",$L$711-1),IF($R$17="Distrato",$E870,0)),MIN(AB$38,$D$19),$P$20))-SUM($P870:AA870)</f>
        <v>#VALUE!</v>
      </c>
      <c r="AC870" s="446" t="e">
        <f>IF(OR($B870="",MIN(AC$38,$D$19)&lt;MAX($P$708*($B870+IF($R$17="Distrato",$I$38-1,0)),IF(AND($L$711=0,$P$708=0),"",$L$711-1),IF($R$17="Distrato",$E870,0))),0,YEARFRAC(MAX($P$708*($B870+IF($R$17="Distrato",$I$38-1,0)),IF(AND($L$711=0,$P$708=0),"",$L$711-1),IF($R$17="Distrato",$E870,0)),MIN(AC$38,$D$19),$P$20))-SUM($P870:AB870)</f>
        <v>#VALUE!</v>
      </c>
      <c r="AD870" s="446" t="e">
        <f>IF(OR($B870="",MIN(AD$38,$D$19)&lt;MAX($P$708*($B870+IF($R$17="Distrato",$I$38-1,0)),IF(AND($L$711=0,$P$708=0),"",$L$711-1),IF($R$17="Distrato",$E870,0))),0,YEARFRAC(MAX($P$708*($B870+IF($R$17="Distrato",$I$38-1,0)),IF(AND($L$711=0,$P$708=0),"",$L$711-1),IF($R$17="Distrato",$E870,0)),MIN(AD$38,$D$19),$P$20))-SUM($P870:AC870)</f>
        <v>#VALUE!</v>
      </c>
      <c r="AE870" s="446" t="e">
        <f>IF(OR($B870="",MIN(AE$38,$D$19)&lt;MAX($P$708*($B870+IF($R$17="Distrato",$I$38-1,0)),IF(AND($L$711=0,$P$708=0),"",$L$711-1),IF($R$17="Distrato",$E870,0))),0,YEARFRAC(MAX($P$708*($B870+IF($R$17="Distrato",$I$38-1,0)),IF(AND($L$711=0,$P$708=0),"",$L$711-1),IF($R$17="Distrato",$E870,0)),MIN(AE$38,$D$19),$P$20))-SUM($P870:AD870)</f>
        <v>#VALUE!</v>
      </c>
      <c r="AF870" s="446" t="e">
        <f>IF(OR($B870="",MIN(AF$38,$D$19)&lt;MAX($P$708*($B870+IF($R$17="Distrato",$I$38-1,0)),IF(AND($L$711=0,$P$708=0),"",$L$711-1),IF($R$17="Distrato",$E870,0))),0,YEARFRAC(MAX($P$708*($B870+IF($R$17="Distrato",$I$38-1,0)),IF(AND($L$711=0,$P$708=0),"",$L$711-1),IF($R$17="Distrato",$E870,0)),MIN(AF$38,$D$19),$P$20))-SUM($P870:AE870)</f>
        <v>#VALUE!</v>
      </c>
      <c r="AG870" s="446" t="e">
        <f>IF(OR($B870="",MIN(AG$38,$D$19)&lt;MAX($P$708*($B870+IF($R$17="Distrato",$I$38-1,0)),IF(AND($L$711=0,$P$708=0),"",$L$711-1),IF($R$17="Distrato",$E870,0))),0,YEARFRAC(MAX($P$708*($B870+IF($R$17="Distrato",$I$38-1,0)),IF(AND($L$711=0,$P$708=0),"",$L$711-1),IF($R$17="Distrato",$E870,0)),MIN(AG$38,$D$19),$P$20))-SUM($P870:AF870)</f>
        <v>#VALUE!</v>
      </c>
      <c r="AH870" s="446" t="e">
        <f>IF(OR($B870="",MIN(AH$38,$D$19)&lt;MAX($P$708*($B870+IF($R$17="Distrato",$I$38-1,0)),IF(AND($L$711=0,$P$708=0),"",$L$711-1),IF($R$17="Distrato",$E870,0))),0,YEARFRAC(MAX($P$708*($B870+IF($R$17="Distrato",$I$38-1,0)),IF(AND($L$711=0,$P$708=0),"",$L$711-1),IF($R$17="Distrato",$E870,0)),MIN(AH$38,$D$19),$P$20))-SUM($P870:AG870)</f>
        <v>#VALUE!</v>
      </c>
      <c r="AI870" s="446" t="e">
        <f>IF(OR($B870="",MIN(AI$38,$D$19)&lt;MAX($P$708*($B870+IF($R$17="Distrato",$I$38-1,0)),IF(AND($L$711=0,$P$708=0),"",$L$711-1),IF($R$17="Distrato",$E870,0))),0,YEARFRAC(MAX($P$708*($B870+IF($R$17="Distrato",$I$38-1,0)),IF(AND($L$711=0,$P$708=0),"",$L$711-1),IF($R$17="Distrato",$E870,0)),MIN(AI$38,$D$19),$P$20))-SUM($P870:AH870)</f>
        <v>#VALUE!</v>
      </c>
      <c r="AJ870" s="446" t="e">
        <f>IF(OR($B870="",MIN(AJ$38,$D$19)&lt;MAX($P$708*($B870+IF($R$17="Distrato",$I$38-1,0)),IF(AND($L$711=0,$P$708=0),"",$L$711-1),IF($R$17="Distrato",$E870,0))),0,YEARFRAC(MAX($P$708*($B870+IF($R$17="Distrato",$I$38-1,0)),IF(AND($L$711=0,$P$708=0),"",$L$711-1),IF($R$17="Distrato",$E870,0)),MIN(AJ$38,$D$19),$P$20))-SUM($P870:AI870)</f>
        <v>#VALUE!</v>
      </c>
      <c r="AK870" s="446" t="e">
        <f>IF(OR($B870="",MIN(AK$38,$D$19)&lt;MAX($P$708*($B870+IF($R$17="Distrato",$I$38-1,0)),IF(AND($L$711=0,$P$708=0),"",$L$711-1),IF($R$17="Distrato",$E870,0))),0,YEARFRAC(MAX($P$708*($B870+IF($R$17="Distrato",$I$38-1,0)),IF(AND($L$711=0,$P$708=0),"",$L$711-1),IF($R$17="Distrato",$E870,0)),MIN(AK$38,$D$19),$P$20))-SUM($P870:AJ870)</f>
        <v>#VALUE!</v>
      </c>
      <c r="AL870" s="446" t="e">
        <f>IF(OR($B870="",MIN(AL$38,$D$19)&lt;MAX($P$708*($B870+IF($R$17="Distrato",$I$38-1,0)),IF(AND($L$711=0,$P$708=0),"",$L$711-1),IF($R$17="Distrato",$E870,0))),0,YEARFRAC(MAX($P$708*($B870+IF($R$17="Distrato",$I$38-1,0)),IF(AND($L$711=0,$P$708=0),"",$L$711-1),IF($R$17="Distrato",$E870,0)),MIN(AL$38,$D$19),$P$20))-SUM($P870:AK870)</f>
        <v>#VALUE!</v>
      </c>
      <c r="AM870" s="446" t="e">
        <f>IF(OR($B870="",MIN(AM$38,$D$19)&lt;MAX($P$708*($B870+IF($R$17="Distrato",$I$38-1,0)),IF(AND($L$711=0,$P$708=0),"",$L$711-1),IF($R$17="Distrato",$E870,0))),0,YEARFRAC(MAX($P$708*($B870+IF($R$17="Distrato",$I$38-1,0)),IF(AND($L$711=0,$P$708=0),"",$L$711-1),IF($R$17="Distrato",$E870,0)),MIN(AM$38,$D$19),$P$20))-SUM($P870:AL870)</f>
        <v>#VALUE!</v>
      </c>
      <c r="AN870" s="446" t="e">
        <f>IF(OR($B870="",MIN(AN$38,$D$19)&lt;MAX($P$708*($B870+IF($R$17="Distrato",$I$38-1,0)),IF(AND($L$711=0,$P$708=0),"",$L$711-1),IF($R$17="Distrato",$E870,0))),0,YEARFRAC(MAX($P$708*($B870+IF($R$17="Distrato",$I$38-1,0)),IF(AND($L$711=0,$P$708=0),"",$L$711-1),IF($R$17="Distrato",$E870,0)),MIN(AN$38,$D$19),$P$20))-SUM($P870:AM870)</f>
        <v>#VALUE!</v>
      </c>
      <c r="AO870" s="446" t="e">
        <f>IF(OR($B870="",MIN(AO$38,$D$19)&lt;MAX($P$708*($B870+IF($R$17="Distrato",$I$38-1,0)),IF(AND($L$711=0,$P$708=0),"",$L$711-1),IF($R$17="Distrato",$E870,0))),0,YEARFRAC(MAX($P$708*($B870+IF($R$17="Distrato",$I$38-1,0)),IF(AND($L$711=0,$P$708=0),"",$L$711-1),IF($R$17="Distrato",$E870,0)),MIN(AO$38,$D$19),$P$20))-SUM($P870:AN870)</f>
        <v>#VALUE!</v>
      </c>
      <c r="AP870" s="446" t="e">
        <f>IF(OR($B870="",MIN(AP$38,$D$19)&lt;MAX($P$708*($B870+IF($R$17="Distrato",$I$38-1,0)),IF(AND($L$711=0,$P$708=0),"",$L$711-1),IF($R$17="Distrato",$E870,0))),0,YEARFRAC(MAX($P$708*($B870+IF($R$17="Distrato",$I$38-1,0)),IF(AND($L$711=0,$P$708=0),"",$L$711-1),IF($R$17="Distrato",$E870,0)),MIN(AP$38,$D$19),$P$20))-SUM($P870:AO870)</f>
        <v>#VALUE!</v>
      </c>
      <c r="AQ870" s="446" t="e">
        <f>IF(OR($B870="",MIN(AQ$38,$D$19)&lt;MAX($P$708*($B870+IF($R$17="Distrato",$I$38-1,0)),IF(AND($L$711=0,$P$708=0),"",$L$711-1),IF($R$17="Distrato",$E870,0))),0,YEARFRAC(MAX($P$708*($B870+IF($R$17="Distrato",$I$38-1,0)),IF(AND($L$711=0,$P$708=0),"",$L$711-1),IF($R$17="Distrato",$E870,0)),MIN(AQ$38,$D$19),$P$20))-SUM($P870:AP870)</f>
        <v>#VALUE!</v>
      </c>
      <c r="AR870" s="446" t="e">
        <f>IF(OR($B870="",MIN(AR$38,$D$19)&lt;MAX($P$708*($B870+IF($R$17="Distrato",$I$38-1,0)),IF(AND($L$711=0,$P$708=0),"",$L$711-1),IF($R$17="Distrato",$E870,0))),0,YEARFRAC(MAX($P$708*($B870+IF($R$17="Distrato",$I$38-1,0)),IF(AND($L$711=0,$P$708=0),"",$L$711-1),IF($R$17="Distrato",$E870,0)),MIN(AR$38,$D$19),$P$20))-SUM($P870:AQ870)</f>
        <v>#VALUE!</v>
      </c>
      <c r="AS870" s="446" t="e">
        <f>IF(OR($B870="",MIN(AS$38,$D$19)&lt;MAX($P$708*($B870+IF($R$17="Distrato",$I$38-1,0)),IF(AND($L$711=0,$P$708=0),"",$L$711-1),IF($R$17="Distrato",$E870,0))),0,YEARFRAC(MAX($P$708*($B870+IF($R$17="Distrato",$I$38-1,0)),IF(AND($L$711=0,$P$708=0),"",$L$711-1),IF($R$17="Distrato",$E870,0)),MIN(AS$38,$D$19),$P$20))-SUM($P870:AR870)</f>
        <v>#VALUE!</v>
      </c>
      <c r="AT870" s="446" t="e">
        <f>IF(OR($B870="",MIN(AT$38,$D$19)&lt;MAX($P$708*($B870+IF($R$17="Distrato",$I$38-1,0)),IF(AND($L$711=0,$P$708=0),"",$L$711-1),IF($R$17="Distrato",$E870,0))),0,YEARFRAC(MAX($P$708*($B870+IF($R$17="Distrato",$I$38-1,0)),IF(AND($L$711=0,$P$708=0),"",$L$711-1),IF($R$17="Distrato",$E870,0)),MIN(AT$38,$D$19),$P$20))-SUM($P870:AS870)</f>
        <v>#VALUE!</v>
      </c>
      <c r="AU870" s="446" t="e">
        <f>IF(OR($B870="",MIN(AU$38,$D$19)&lt;MAX($P$708*($B870+IF($R$17="Distrato",$I$38-1,0)),IF(AND($L$711=0,$P$708=0),"",$L$711-1),IF($R$17="Distrato",$E870,0))),0,YEARFRAC(MAX($P$708*($B870+IF($R$17="Distrato",$I$38-1,0)),IF(AND($L$711=0,$P$708=0),"",$L$711-1),IF($R$17="Distrato",$E870,0)),MIN(AU$38,$D$19),$P$20))-SUM($P870:AT870)</f>
        <v>#VALUE!</v>
      </c>
      <c r="AV870" s="446" t="e">
        <f>IF(OR($B870="",MIN(AV$38,$D$19)&lt;MAX($P$708*($B870+IF($R$17="Distrato",$I$38-1,0)),IF(AND($L$711=0,$P$708=0),"",$L$711-1),IF($R$17="Distrato",$E870,0))),0,YEARFRAC(MAX($P$708*($B870+IF($R$17="Distrato",$I$38-1,0)),IF(AND($L$711=0,$P$708=0),"",$L$711-1),IF($R$17="Distrato",$E870,0)),MIN(AV$38,$D$19),$P$20))-SUM($P870:AU870)</f>
        <v>#VALUE!</v>
      </c>
      <c r="AW870" s="446" t="e">
        <f>IF(OR($B870="",MIN(AW$38,$D$19)&lt;MAX($P$708*($B870+IF($R$17="Distrato",$I$38-1,0)),IF(AND($L$711=0,$P$708=0),"",$L$711-1),IF($R$17="Distrato",$E870,0))),0,YEARFRAC(MAX($P$708*($B870+IF($R$17="Distrato",$I$38-1,0)),IF(AND($L$711=0,$P$708=0),"",$L$711-1),IF($R$17="Distrato",$E870,0)),MIN(AW$38,$D$19),$P$20))-SUM($P870:AV870)</f>
        <v>#VALUE!</v>
      </c>
      <c r="AX870" s="446" t="e">
        <f>IF(OR($B870="",MIN(AX$38,$D$19)&lt;MAX($P$708*($B870+IF($R$17="Distrato",$I$38-1,0)),IF(AND($L$711=0,$P$708=0),"",$L$711-1),IF($R$17="Distrato",$E870,0))),0,YEARFRAC(MAX($P$708*($B870+IF($R$17="Distrato",$I$38-1,0)),IF(AND($L$711=0,$P$708=0),"",$L$711-1),IF($R$17="Distrato",$E870,0)),MIN(AX$38,$D$19),$P$20))-SUM($P870:AW870)</f>
        <v>#VALUE!</v>
      </c>
      <c r="AY870" s="446" t="e">
        <f>IF(OR($B870="",MIN(AY$38,$D$19)&lt;MAX($P$708*($B870+IF($R$17="Distrato",$I$38-1,0)),IF(AND($L$711=0,$P$708=0),"",$L$711-1),IF($R$17="Distrato",$E870,0))),0,YEARFRAC(MAX($P$708*($B870+IF($R$17="Distrato",$I$38-1,0)),IF(AND($L$711=0,$P$708=0),"",$L$711-1),IF($R$17="Distrato",$E870,0)),MIN(AY$38,$D$19),$P$20))-SUM($P870:AX870)</f>
        <v>#VALUE!</v>
      </c>
      <c r="AZ870" s="446" t="e">
        <f>IF(OR($B870="",MIN(AZ$38,$D$19)&lt;MAX($P$708*($B870+IF($R$17="Distrato",$I$38-1,0)),IF(AND($L$711=0,$P$708=0),"",$L$711-1),IF($R$17="Distrato",$E870,0))),0,YEARFRAC(MAX($P$708*($B870+IF($R$17="Distrato",$I$38-1,0)),IF(AND($L$711=0,$P$708=0),"",$L$711-1),IF($R$17="Distrato",$E870,0)),MIN(AZ$38,$D$19),$P$20))-SUM($P870:AY870)</f>
        <v>#VALUE!</v>
      </c>
      <c r="BA870" s="446" t="e">
        <f>IF(OR($B870="",MIN(BA$38,$D$19)&lt;MAX($P$708*($B870+IF($R$17="Distrato",$I$38-1,0)),IF(AND($L$711=0,$P$708=0),"",$L$711-1),IF($R$17="Distrato",$E870,0))),0,YEARFRAC(MAX($P$708*($B870+IF($R$17="Distrato",$I$38-1,0)),IF(AND($L$711=0,$P$708=0),"",$L$711-1),IF($R$17="Distrato",$E870,0)),MIN(BA$38,$D$19),$P$20))-SUM($P870:AZ870)</f>
        <v>#VALUE!</v>
      </c>
      <c r="BB870" s="447"/>
    </row>
    <row r="871" spans="1:54" s="446" customFormat="1" ht="11.25" hidden="1" customHeight="1" x14ac:dyDescent="0.2">
      <c r="A871" s="235"/>
      <c r="B871" s="236"/>
      <c r="C871" s="29" t="str">
        <f>IF(B871="","",IF($L$709=$BL$25,VLOOKUP(DATE(YEAR($D$19),MONTH($D$19)-1,1),ÍNDICES!$A:$DE,HLOOKUP($BL$25,ÍNDICES!$B$3:$T$4,2)+11)-VLOOKUP(B871,ÍNDICES!$A:$DE,HLOOKUP($BL$25,ÍNDICES!$B$3:$T$4,2)+11)+1%,IF(C$712=$W$26,$J$35,IF(ISERROR(IF(B871&gt;$D$19,1,VLOOKUP(DATE(YEAR(B871),MONTH(B871)+IF($C$709=$S$23,1,0),1),ÍNDICES!$A:$DE,$Z$709+1))),"",IF(B871&gt;$D$19,1,VLOOKUP(DATE(YEAR(B871),MONTH(B871)+IF($C$709=$S$23,1,0),1),ÍNDICES!$A:$DE,$Z$709+1))))))</f>
        <v/>
      </c>
      <c r="D871" s="155"/>
      <c r="E871" s="88"/>
      <c r="F871" s="88"/>
      <c r="G871" s="88"/>
      <c r="H871" s="118"/>
      <c r="I871" s="182">
        <f t="shared" si="129"/>
        <v>0</v>
      </c>
      <c r="J871" s="20">
        <f t="shared" ca="1" si="130"/>
        <v>0</v>
      </c>
      <c r="K871" s="5">
        <f t="shared" ca="1" si="131"/>
        <v>0</v>
      </c>
      <c r="L871" s="61">
        <f t="shared" ca="1" si="132"/>
        <v>0</v>
      </c>
      <c r="M871" s="64">
        <f t="shared" si="133"/>
        <v>0</v>
      </c>
      <c r="N871" s="151"/>
      <c r="O871" s="5">
        <f t="shared" ca="1" si="134"/>
        <v>0</v>
      </c>
      <c r="P871" s="446" t="e">
        <f t="shared" si="135"/>
        <v>#VALUE!</v>
      </c>
      <c r="Q871" s="446" t="e">
        <f>IF(OR($B871="",MIN(Q$38,$D$19)&lt;MAX($P$708*($B871+IF($R$17="Distrato",$I$38-1,0)),IF(AND($L$711=0,$P$708=0),"",$L$711-1),IF($R$17="Distrato",$E871,0))),0,YEARFRAC(MAX($P$708*($B871+IF($R$17="Distrato",$I$38-1,0)),IF(AND($L$711=0,$P$708=0),"",$L$711-1),IF($R$17="Distrato",$E871,0)),MIN(Q$38,$D$19),$P$20))-SUM($P871:P871)</f>
        <v>#VALUE!</v>
      </c>
      <c r="R871" s="446" t="e">
        <f>IF(OR($B871="",MIN(R$38,$D$19)&lt;MAX($P$708*($B871+IF($R$17="Distrato",$I$38-1,0)),IF(AND($L$711=0,$P$708=0),"",$L$711-1),IF($R$17="Distrato",$E871,0))),0,YEARFRAC(MAX($P$708*($B871+IF($R$17="Distrato",$I$38-1,0)),IF(AND($L$711=0,$P$708=0),"",$L$711-1),IF($R$17="Distrato",$E871,0)),MIN(R$38,$D$19),$P$20))-SUM($P871:Q871)</f>
        <v>#VALUE!</v>
      </c>
      <c r="S871" s="446" t="e">
        <f>IF(OR($B871="",MIN(S$38,$D$19)&lt;MAX($P$708*($B871+IF($R$17="Distrato",$I$38-1,0)),IF(AND($L$711=0,$P$708=0),"",$L$711-1),IF($R$17="Distrato",$E871,0))),0,YEARFRAC(MAX($P$708*($B871+IF($R$17="Distrato",$I$38-1,0)),IF(AND($L$711=0,$P$708=0),"",$L$711-1),IF($R$17="Distrato",$E871,0)),MIN(S$38,$D$19),$P$20))-SUM($P871:R871)</f>
        <v>#VALUE!</v>
      </c>
      <c r="T871" s="446" t="e">
        <f>IF(OR($B871="",MIN(T$38,$D$19)&lt;MAX($P$708*($B871+IF($R$17="Distrato",$I$38-1,0)),IF(AND($L$711=0,$P$708=0),"",$L$711-1),IF($R$17="Distrato",$E871,0))),0,YEARFRAC(MAX($P$708*($B871+IF($R$17="Distrato",$I$38-1,0)),IF(AND($L$711=0,$P$708=0),"",$L$711-1),IF($R$17="Distrato",$E871,0)),MIN(T$38,$D$19),$P$20))-SUM($P871:S871)</f>
        <v>#VALUE!</v>
      </c>
      <c r="U871" s="446" t="e">
        <f>IF(OR($B871="",MIN(U$38,$D$19)&lt;MAX($P$708*($B871+IF($R$17="Distrato",$I$38-1,0)),IF(AND($L$711=0,$P$708=0),"",$L$711-1),IF($R$17="Distrato",$E871,0))),0,YEARFRAC(MAX($P$708*($B871+IF($R$17="Distrato",$I$38-1,0)),IF(AND($L$711=0,$P$708=0),"",$L$711-1),IF($R$17="Distrato",$E871,0)),MIN(U$38,$D$19),$P$20))-SUM($P871:T871)</f>
        <v>#VALUE!</v>
      </c>
      <c r="V871" s="446" t="e">
        <f>IF(OR($B871="",MIN(V$38,$D$19)&lt;MAX($P$708*($B871+IF($R$17="Distrato",$I$38-1,0)),IF(AND($L$711=0,$P$708=0),"",$L$711-1),IF($R$17="Distrato",$E871,0))),0,YEARFRAC(MAX($P$708*($B871+IF($R$17="Distrato",$I$38-1,0)),IF(AND($L$711=0,$P$708=0),"",$L$711-1),IF($R$17="Distrato",$E871,0)),MIN(V$38,$D$19),$P$20))-SUM($P871:U871)</f>
        <v>#VALUE!</v>
      </c>
      <c r="W871" s="446" t="e">
        <f>IF(OR($B871="",MIN(W$38,$D$19)&lt;MAX($P$708*($B871+IF($R$17="Distrato",$I$38-1,0)),IF(AND($L$711=0,$P$708=0),"",$L$711-1),IF($R$17="Distrato",$E871,0))),0,YEARFRAC(MAX($P$708*($B871+IF($R$17="Distrato",$I$38-1,0)),IF(AND($L$711=0,$P$708=0),"",$L$711-1),IF($R$17="Distrato",$E871,0)),MIN(W$38,$D$19),$P$20))-SUM($P871:V871)</f>
        <v>#VALUE!</v>
      </c>
      <c r="X871" s="446" t="e">
        <f>IF(OR($B871="",MIN(X$38,$D$19)&lt;MAX($P$708*($B871+IF($R$17="Distrato",$I$38-1,0)),IF(AND($L$711=0,$P$708=0),"",$L$711-1),IF($R$17="Distrato",$E871,0))),0,YEARFRAC(MAX($P$708*($B871+IF($R$17="Distrato",$I$38-1,0)),IF(AND($L$711=0,$P$708=0),"",$L$711-1),IF($R$17="Distrato",$E871,0)),MIN(X$38,$D$19),$P$20))-SUM($P871:W871)</f>
        <v>#VALUE!</v>
      </c>
      <c r="Y871" s="446" t="e">
        <f>IF(OR($B871="",MIN(Y$38,$D$19)&lt;MAX($P$708*($B871+IF($R$17="Distrato",$I$38-1,0)),IF(AND($L$711=0,$P$708=0),"",$L$711-1),IF($R$17="Distrato",$E871,0))),0,YEARFRAC(MAX($P$708*($B871+IF($R$17="Distrato",$I$38-1,0)),IF(AND($L$711=0,$P$708=0),"",$L$711-1),IF($R$17="Distrato",$E871,0)),MIN(Y$38,$D$19),$P$20))-SUM($P871:X871)</f>
        <v>#VALUE!</v>
      </c>
      <c r="Z871" s="446" t="e">
        <f>IF(OR($B871="",MIN(Z$38,$D$19)&lt;MAX($P$708*($B871+IF($R$17="Distrato",$I$38-1,0)),IF(AND($L$711=0,$P$708=0),"",$L$711-1),IF($R$17="Distrato",$E871,0))),0,YEARFRAC(MAX($P$708*($B871+IF($R$17="Distrato",$I$38-1,0)),IF(AND($L$711=0,$P$708=0),"",$L$711-1),IF($R$17="Distrato",$E871,0)),MIN(Z$38,$D$19),$P$20))-SUM($P871:Y871)</f>
        <v>#VALUE!</v>
      </c>
      <c r="AA871" s="446" t="e">
        <f>IF(OR($B871="",MIN(AA$38,$D$19)&lt;MAX($P$708*($B871+IF($R$17="Distrato",$I$38-1,0)),IF(AND($L$711=0,$P$708=0),"",$L$711-1),IF($R$17="Distrato",$E871,0))),0,YEARFRAC(MAX($P$708*($B871+IF($R$17="Distrato",$I$38-1,0)),IF(AND($L$711=0,$P$708=0),"",$L$711-1),IF($R$17="Distrato",$E871,0)),MIN(AA$38,$D$19),$P$20))-SUM($P871:Z871)</f>
        <v>#VALUE!</v>
      </c>
      <c r="AB871" s="446" t="e">
        <f>IF(OR($B871="",MIN(AB$38,$D$19)&lt;MAX($P$708*($B871+IF($R$17="Distrato",$I$38-1,0)),IF(AND($L$711=0,$P$708=0),"",$L$711-1),IF($R$17="Distrato",$E871,0))),0,YEARFRAC(MAX($P$708*($B871+IF($R$17="Distrato",$I$38-1,0)),IF(AND($L$711=0,$P$708=0),"",$L$711-1),IF($R$17="Distrato",$E871,0)),MIN(AB$38,$D$19),$P$20))-SUM($P871:AA871)</f>
        <v>#VALUE!</v>
      </c>
      <c r="AC871" s="446" t="e">
        <f>IF(OR($B871="",MIN(AC$38,$D$19)&lt;MAX($P$708*($B871+IF($R$17="Distrato",$I$38-1,0)),IF(AND($L$711=0,$P$708=0),"",$L$711-1),IF($R$17="Distrato",$E871,0))),0,YEARFRAC(MAX($P$708*($B871+IF($R$17="Distrato",$I$38-1,0)),IF(AND($L$711=0,$P$708=0),"",$L$711-1),IF($R$17="Distrato",$E871,0)),MIN(AC$38,$D$19),$P$20))-SUM($P871:AB871)</f>
        <v>#VALUE!</v>
      </c>
      <c r="AD871" s="446" t="e">
        <f>IF(OR($B871="",MIN(AD$38,$D$19)&lt;MAX($P$708*($B871+IF($R$17="Distrato",$I$38-1,0)),IF(AND($L$711=0,$P$708=0),"",$L$711-1),IF($R$17="Distrato",$E871,0))),0,YEARFRAC(MAX($P$708*($B871+IF($R$17="Distrato",$I$38-1,0)),IF(AND($L$711=0,$P$708=0),"",$L$711-1),IF($R$17="Distrato",$E871,0)),MIN(AD$38,$D$19),$P$20))-SUM($P871:AC871)</f>
        <v>#VALUE!</v>
      </c>
      <c r="AE871" s="446" t="e">
        <f>IF(OR($B871="",MIN(AE$38,$D$19)&lt;MAX($P$708*($B871+IF($R$17="Distrato",$I$38-1,0)),IF(AND($L$711=0,$P$708=0),"",$L$711-1),IF($R$17="Distrato",$E871,0))),0,YEARFRAC(MAX($P$708*($B871+IF($R$17="Distrato",$I$38-1,0)),IF(AND($L$711=0,$P$708=0),"",$L$711-1),IF($R$17="Distrato",$E871,0)),MIN(AE$38,$D$19),$P$20))-SUM($P871:AD871)</f>
        <v>#VALUE!</v>
      </c>
      <c r="AF871" s="446" t="e">
        <f>IF(OR($B871="",MIN(AF$38,$D$19)&lt;MAX($P$708*($B871+IF($R$17="Distrato",$I$38-1,0)),IF(AND($L$711=0,$P$708=0),"",$L$711-1),IF($R$17="Distrato",$E871,0))),0,YEARFRAC(MAX($P$708*($B871+IF($R$17="Distrato",$I$38-1,0)),IF(AND($L$711=0,$P$708=0),"",$L$711-1),IF($R$17="Distrato",$E871,0)),MIN(AF$38,$D$19),$P$20))-SUM($P871:AE871)</f>
        <v>#VALUE!</v>
      </c>
      <c r="AG871" s="446" t="e">
        <f>IF(OR($B871="",MIN(AG$38,$D$19)&lt;MAX($P$708*($B871+IF($R$17="Distrato",$I$38-1,0)),IF(AND($L$711=0,$P$708=0),"",$L$711-1),IF($R$17="Distrato",$E871,0))),0,YEARFRAC(MAX($P$708*($B871+IF($R$17="Distrato",$I$38-1,0)),IF(AND($L$711=0,$P$708=0),"",$L$711-1),IF($R$17="Distrato",$E871,0)),MIN(AG$38,$D$19),$P$20))-SUM($P871:AF871)</f>
        <v>#VALUE!</v>
      </c>
      <c r="AH871" s="446" t="e">
        <f>IF(OR($B871="",MIN(AH$38,$D$19)&lt;MAX($P$708*($B871+IF($R$17="Distrato",$I$38-1,0)),IF(AND($L$711=0,$P$708=0),"",$L$711-1),IF($R$17="Distrato",$E871,0))),0,YEARFRAC(MAX($P$708*($B871+IF($R$17="Distrato",$I$38-1,0)),IF(AND($L$711=0,$P$708=0),"",$L$711-1),IF($R$17="Distrato",$E871,0)),MIN(AH$38,$D$19),$P$20))-SUM($P871:AG871)</f>
        <v>#VALUE!</v>
      </c>
      <c r="AI871" s="446" t="e">
        <f>IF(OR($B871="",MIN(AI$38,$D$19)&lt;MAX($P$708*($B871+IF($R$17="Distrato",$I$38-1,0)),IF(AND($L$711=0,$P$708=0),"",$L$711-1),IF($R$17="Distrato",$E871,0))),0,YEARFRAC(MAX($P$708*($B871+IF($R$17="Distrato",$I$38-1,0)),IF(AND($L$711=0,$P$708=0),"",$L$711-1),IF($R$17="Distrato",$E871,0)),MIN(AI$38,$D$19),$P$20))-SUM($P871:AH871)</f>
        <v>#VALUE!</v>
      </c>
      <c r="AJ871" s="446" t="e">
        <f>IF(OR($B871="",MIN(AJ$38,$D$19)&lt;MAX($P$708*($B871+IF($R$17="Distrato",$I$38-1,0)),IF(AND($L$711=0,$P$708=0),"",$L$711-1),IF($R$17="Distrato",$E871,0))),0,YEARFRAC(MAX($P$708*($B871+IF($R$17="Distrato",$I$38-1,0)),IF(AND($L$711=0,$P$708=0),"",$L$711-1),IF($R$17="Distrato",$E871,0)),MIN(AJ$38,$D$19),$P$20))-SUM($P871:AI871)</f>
        <v>#VALUE!</v>
      </c>
      <c r="AK871" s="446" t="e">
        <f>IF(OR($B871="",MIN(AK$38,$D$19)&lt;MAX($P$708*($B871+IF($R$17="Distrato",$I$38-1,0)),IF(AND($L$711=0,$P$708=0),"",$L$711-1),IF($R$17="Distrato",$E871,0))),0,YEARFRAC(MAX($P$708*($B871+IF($R$17="Distrato",$I$38-1,0)),IF(AND($L$711=0,$P$708=0),"",$L$711-1),IF($R$17="Distrato",$E871,0)),MIN(AK$38,$D$19),$P$20))-SUM($P871:AJ871)</f>
        <v>#VALUE!</v>
      </c>
      <c r="AL871" s="446" t="e">
        <f>IF(OR($B871="",MIN(AL$38,$D$19)&lt;MAX($P$708*($B871+IF($R$17="Distrato",$I$38-1,0)),IF(AND($L$711=0,$P$708=0),"",$L$711-1),IF($R$17="Distrato",$E871,0))),0,YEARFRAC(MAX($P$708*($B871+IF($R$17="Distrato",$I$38-1,0)),IF(AND($L$711=0,$P$708=0),"",$L$711-1),IF($R$17="Distrato",$E871,0)),MIN(AL$38,$D$19),$P$20))-SUM($P871:AK871)</f>
        <v>#VALUE!</v>
      </c>
      <c r="AM871" s="446" t="e">
        <f>IF(OR($B871="",MIN(AM$38,$D$19)&lt;MAX($P$708*($B871+IF($R$17="Distrato",$I$38-1,0)),IF(AND($L$711=0,$P$708=0),"",$L$711-1),IF($R$17="Distrato",$E871,0))),0,YEARFRAC(MAX($P$708*($B871+IF($R$17="Distrato",$I$38-1,0)),IF(AND($L$711=0,$P$708=0),"",$L$711-1),IF($R$17="Distrato",$E871,0)),MIN(AM$38,$D$19),$P$20))-SUM($P871:AL871)</f>
        <v>#VALUE!</v>
      </c>
      <c r="AN871" s="446" t="e">
        <f>IF(OR($B871="",MIN(AN$38,$D$19)&lt;MAX($P$708*($B871+IF($R$17="Distrato",$I$38-1,0)),IF(AND($L$711=0,$P$708=0),"",$L$711-1),IF($R$17="Distrato",$E871,0))),0,YEARFRAC(MAX($P$708*($B871+IF($R$17="Distrato",$I$38-1,0)),IF(AND($L$711=0,$P$708=0),"",$L$711-1),IF($R$17="Distrato",$E871,0)),MIN(AN$38,$D$19),$P$20))-SUM($P871:AM871)</f>
        <v>#VALUE!</v>
      </c>
      <c r="AO871" s="446" t="e">
        <f>IF(OR($B871="",MIN(AO$38,$D$19)&lt;MAX($P$708*($B871+IF($R$17="Distrato",$I$38-1,0)),IF(AND($L$711=0,$P$708=0),"",$L$711-1),IF($R$17="Distrato",$E871,0))),0,YEARFRAC(MAX($P$708*($B871+IF($R$17="Distrato",$I$38-1,0)),IF(AND($L$711=0,$P$708=0),"",$L$711-1),IF($R$17="Distrato",$E871,0)),MIN(AO$38,$D$19),$P$20))-SUM($P871:AN871)</f>
        <v>#VALUE!</v>
      </c>
      <c r="AP871" s="446" t="e">
        <f>IF(OR($B871="",MIN(AP$38,$D$19)&lt;MAX($P$708*($B871+IF($R$17="Distrato",$I$38-1,0)),IF(AND($L$711=0,$P$708=0),"",$L$711-1),IF($R$17="Distrato",$E871,0))),0,YEARFRAC(MAX($P$708*($B871+IF($R$17="Distrato",$I$38-1,0)),IF(AND($L$711=0,$P$708=0),"",$L$711-1),IF($R$17="Distrato",$E871,0)),MIN(AP$38,$D$19),$P$20))-SUM($P871:AO871)</f>
        <v>#VALUE!</v>
      </c>
      <c r="AQ871" s="446" t="e">
        <f>IF(OR($B871="",MIN(AQ$38,$D$19)&lt;MAX($P$708*($B871+IF($R$17="Distrato",$I$38-1,0)),IF(AND($L$711=0,$P$708=0),"",$L$711-1),IF($R$17="Distrato",$E871,0))),0,YEARFRAC(MAX($P$708*($B871+IF($R$17="Distrato",$I$38-1,0)),IF(AND($L$711=0,$P$708=0),"",$L$711-1),IF($R$17="Distrato",$E871,0)),MIN(AQ$38,$D$19),$P$20))-SUM($P871:AP871)</f>
        <v>#VALUE!</v>
      </c>
      <c r="AR871" s="446" t="e">
        <f>IF(OR($B871="",MIN(AR$38,$D$19)&lt;MAX($P$708*($B871+IF($R$17="Distrato",$I$38-1,0)),IF(AND($L$711=0,$P$708=0),"",$L$711-1),IF($R$17="Distrato",$E871,0))),0,YEARFRAC(MAX($P$708*($B871+IF($R$17="Distrato",$I$38-1,0)),IF(AND($L$711=0,$P$708=0),"",$L$711-1),IF($R$17="Distrato",$E871,0)),MIN(AR$38,$D$19),$P$20))-SUM($P871:AQ871)</f>
        <v>#VALUE!</v>
      </c>
      <c r="AS871" s="446" t="e">
        <f>IF(OR($B871="",MIN(AS$38,$D$19)&lt;MAX($P$708*($B871+IF($R$17="Distrato",$I$38-1,0)),IF(AND($L$711=0,$P$708=0),"",$L$711-1),IF($R$17="Distrato",$E871,0))),0,YEARFRAC(MAX($P$708*($B871+IF($R$17="Distrato",$I$38-1,0)),IF(AND($L$711=0,$P$708=0),"",$L$711-1),IF($R$17="Distrato",$E871,0)),MIN(AS$38,$D$19),$P$20))-SUM($P871:AR871)</f>
        <v>#VALUE!</v>
      </c>
      <c r="AT871" s="446" t="e">
        <f>IF(OR($B871="",MIN(AT$38,$D$19)&lt;MAX($P$708*($B871+IF($R$17="Distrato",$I$38-1,0)),IF(AND($L$711=0,$P$708=0),"",$L$711-1),IF($R$17="Distrato",$E871,0))),0,YEARFRAC(MAX($P$708*($B871+IF($R$17="Distrato",$I$38-1,0)),IF(AND($L$711=0,$P$708=0),"",$L$711-1),IF($R$17="Distrato",$E871,0)),MIN(AT$38,$D$19),$P$20))-SUM($P871:AS871)</f>
        <v>#VALUE!</v>
      </c>
      <c r="AU871" s="446" t="e">
        <f>IF(OR($B871="",MIN(AU$38,$D$19)&lt;MAX($P$708*($B871+IF($R$17="Distrato",$I$38-1,0)),IF(AND($L$711=0,$P$708=0),"",$L$711-1),IF($R$17="Distrato",$E871,0))),0,YEARFRAC(MAX($P$708*($B871+IF($R$17="Distrato",$I$38-1,0)),IF(AND($L$711=0,$P$708=0),"",$L$711-1),IF($R$17="Distrato",$E871,0)),MIN(AU$38,$D$19),$P$20))-SUM($P871:AT871)</f>
        <v>#VALUE!</v>
      </c>
      <c r="AV871" s="446" t="e">
        <f>IF(OR($B871="",MIN(AV$38,$D$19)&lt;MAX($P$708*($B871+IF($R$17="Distrato",$I$38-1,0)),IF(AND($L$711=0,$P$708=0),"",$L$711-1),IF($R$17="Distrato",$E871,0))),0,YEARFRAC(MAX($P$708*($B871+IF($R$17="Distrato",$I$38-1,0)),IF(AND($L$711=0,$P$708=0),"",$L$711-1),IF($R$17="Distrato",$E871,0)),MIN(AV$38,$D$19),$P$20))-SUM($P871:AU871)</f>
        <v>#VALUE!</v>
      </c>
      <c r="AW871" s="446" t="e">
        <f>IF(OR($B871="",MIN(AW$38,$D$19)&lt;MAX($P$708*($B871+IF($R$17="Distrato",$I$38-1,0)),IF(AND($L$711=0,$P$708=0),"",$L$711-1),IF($R$17="Distrato",$E871,0))),0,YEARFRAC(MAX($P$708*($B871+IF($R$17="Distrato",$I$38-1,0)),IF(AND($L$711=0,$P$708=0),"",$L$711-1),IF($R$17="Distrato",$E871,0)),MIN(AW$38,$D$19),$P$20))-SUM($P871:AV871)</f>
        <v>#VALUE!</v>
      </c>
      <c r="AX871" s="446" t="e">
        <f>IF(OR($B871="",MIN(AX$38,$D$19)&lt;MAX($P$708*($B871+IF($R$17="Distrato",$I$38-1,0)),IF(AND($L$711=0,$P$708=0),"",$L$711-1),IF($R$17="Distrato",$E871,0))),0,YEARFRAC(MAX($P$708*($B871+IF($R$17="Distrato",$I$38-1,0)),IF(AND($L$711=0,$P$708=0),"",$L$711-1),IF($R$17="Distrato",$E871,0)),MIN(AX$38,$D$19),$P$20))-SUM($P871:AW871)</f>
        <v>#VALUE!</v>
      </c>
      <c r="AY871" s="446" t="e">
        <f>IF(OR($B871="",MIN(AY$38,$D$19)&lt;MAX($P$708*($B871+IF($R$17="Distrato",$I$38-1,0)),IF(AND($L$711=0,$P$708=0),"",$L$711-1),IF($R$17="Distrato",$E871,0))),0,YEARFRAC(MAX($P$708*($B871+IF($R$17="Distrato",$I$38-1,0)),IF(AND($L$711=0,$P$708=0),"",$L$711-1),IF($R$17="Distrato",$E871,0)),MIN(AY$38,$D$19),$P$20))-SUM($P871:AX871)</f>
        <v>#VALUE!</v>
      </c>
      <c r="AZ871" s="446" t="e">
        <f>IF(OR($B871="",MIN(AZ$38,$D$19)&lt;MAX($P$708*($B871+IF($R$17="Distrato",$I$38-1,0)),IF(AND($L$711=0,$P$708=0),"",$L$711-1),IF($R$17="Distrato",$E871,0))),0,YEARFRAC(MAX($P$708*($B871+IF($R$17="Distrato",$I$38-1,0)),IF(AND($L$711=0,$P$708=0),"",$L$711-1),IF($R$17="Distrato",$E871,0)),MIN(AZ$38,$D$19),$P$20))-SUM($P871:AY871)</f>
        <v>#VALUE!</v>
      </c>
      <c r="BA871" s="446" t="e">
        <f>IF(OR($B871="",MIN(BA$38,$D$19)&lt;MAX($P$708*($B871+IF($R$17="Distrato",$I$38-1,0)),IF(AND($L$711=0,$P$708=0),"",$L$711-1),IF($R$17="Distrato",$E871,0))),0,YEARFRAC(MAX($P$708*($B871+IF($R$17="Distrato",$I$38-1,0)),IF(AND($L$711=0,$P$708=0),"",$L$711-1),IF($R$17="Distrato",$E871,0)),MIN(BA$38,$D$19),$P$20))-SUM($P871:AZ871)</f>
        <v>#VALUE!</v>
      </c>
      <c r="BB871" s="447"/>
    </row>
    <row r="872" spans="1:54" s="446" customFormat="1" ht="11.25" hidden="1" customHeight="1" x14ac:dyDescent="0.2">
      <c r="A872" s="235"/>
      <c r="B872" s="236"/>
      <c r="C872" s="29" t="str">
        <f>IF(B872="","",IF($L$709=$BL$25,VLOOKUP(DATE(YEAR($D$19),MONTH($D$19)-1,1),ÍNDICES!$A:$DE,HLOOKUP($BL$25,ÍNDICES!$B$3:$T$4,2)+11)-VLOOKUP(B872,ÍNDICES!$A:$DE,HLOOKUP($BL$25,ÍNDICES!$B$3:$T$4,2)+11)+1%,IF(C$712=$W$26,$J$35,IF(ISERROR(IF(B872&gt;$D$19,1,VLOOKUP(DATE(YEAR(B872),MONTH(B872)+IF($C$709=$S$23,1,0),1),ÍNDICES!$A:$DE,$Z$709+1))),"",IF(B872&gt;$D$19,1,VLOOKUP(DATE(YEAR(B872),MONTH(B872)+IF($C$709=$S$23,1,0),1),ÍNDICES!$A:$DE,$Z$709+1))))))</f>
        <v/>
      </c>
      <c r="D872" s="155"/>
      <c r="E872" s="88"/>
      <c r="F872" s="88"/>
      <c r="G872" s="88"/>
      <c r="H872" s="118"/>
      <c r="I872" s="182">
        <f t="shared" si="129"/>
        <v>0</v>
      </c>
      <c r="J872" s="20">
        <f t="shared" ca="1" si="130"/>
        <v>0</v>
      </c>
      <c r="K872" s="5">
        <f t="shared" ca="1" si="131"/>
        <v>0</v>
      </c>
      <c r="L872" s="61">
        <f t="shared" ca="1" si="132"/>
        <v>0</v>
      </c>
      <c r="M872" s="64">
        <f t="shared" si="133"/>
        <v>0</v>
      </c>
      <c r="N872" s="151"/>
      <c r="O872" s="5">
        <f t="shared" ca="1" si="134"/>
        <v>0</v>
      </c>
      <c r="P872" s="446" t="e">
        <f t="shared" si="135"/>
        <v>#VALUE!</v>
      </c>
      <c r="Q872" s="446" t="e">
        <f>IF(OR($B872="",MIN(Q$38,$D$19)&lt;MAX($P$708*($B872+IF($R$17="Distrato",$I$38-1,0)),IF(AND($L$711=0,$P$708=0),"",$L$711-1),IF($R$17="Distrato",$E872,0))),0,YEARFRAC(MAX($P$708*($B872+IF($R$17="Distrato",$I$38-1,0)),IF(AND($L$711=0,$P$708=0),"",$L$711-1),IF($R$17="Distrato",$E872,0)),MIN(Q$38,$D$19),$P$20))-SUM($P872:P872)</f>
        <v>#VALUE!</v>
      </c>
      <c r="R872" s="446" t="e">
        <f>IF(OR($B872="",MIN(R$38,$D$19)&lt;MAX($P$708*($B872+IF($R$17="Distrato",$I$38-1,0)),IF(AND($L$711=0,$P$708=0),"",$L$711-1),IF($R$17="Distrato",$E872,0))),0,YEARFRAC(MAX($P$708*($B872+IF($R$17="Distrato",$I$38-1,0)),IF(AND($L$711=0,$P$708=0),"",$L$711-1),IF($R$17="Distrato",$E872,0)),MIN(R$38,$D$19),$P$20))-SUM($P872:Q872)</f>
        <v>#VALUE!</v>
      </c>
      <c r="S872" s="446" t="e">
        <f>IF(OR($B872="",MIN(S$38,$D$19)&lt;MAX($P$708*($B872+IF($R$17="Distrato",$I$38-1,0)),IF(AND($L$711=0,$P$708=0),"",$L$711-1),IF($R$17="Distrato",$E872,0))),0,YEARFRAC(MAX($P$708*($B872+IF($R$17="Distrato",$I$38-1,0)),IF(AND($L$711=0,$P$708=0),"",$L$711-1),IF($R$17="Distrato",$E872,0)),MIN(S$38,$D$19),$P$20))-SUM($P872:R872)</f>
        <v>#VALUE!</v>
      </c>
      <c r="T872" s="446" t="e">
        <f>IF(OR($B872="",MIN(T$38,$D$19)&lt;MAX($P$708*($B872+IF($R$17="Distrato",$I$38-1,0)),IF(AND($L$711=0,$P$708=0),"",$L$711-1),IF($R$17="Distrato",$E872,0))),0,YEARFRAC(MAX($P$708*($B872+IF($R$17="Distrato",$I$38-1,0)),IF(AND($L$711=0,$P$708=0),"",$L$711-1),IF($R$17="Distrato",$E872,0)),MIN(T$38,$D$19),$P$20))-SUM($P872:S872)</f>
        <v>#VALUE!</v>
      </c>
      <c r="U872" s="446" t="e">
        <f>IF(OR($B872="",MIN(U$38,$D$19)&lt;MAX($P$708*($B872+IF($R$17="Distrato",$I$38-1,0)),IF(AND($L$711=0,$P$708=0),"",$L$711-1),IF($R$17="Distrato",$E872,0))),0,YEARFRAC(MAX($P$708*($B872+IF($R$17="Distrato",$I$38-1,0)),IF(AND($L$711=0,$P$708=0),"",$L$711-1),IF($R$17="Distrato",$E872,0)),MIN(U$38,$D$19),$P$20))-SUM($P872:T872)</f>
        <v>#VALUE!</v>
      </c>
      <c r="V872" s="446" t="e">
        <f>IF(OR($B872="",MIN(V$38,$D$19)&lt;MAX($P$708*($B872+IF($R$17="Distrato",$I$38-1,0)),IF(AND($L$711=0,$P$708=0),"",$L$711-1),IF($R$17="Distrato",$E872,0))),0,YEARFRAC(MAX($P$708*($B872+IF($R$17="Distrato",$I$38-1,0)),IF(AND($L$711=0,$P$708=0),"",$L$711-1),IF($R$17="Distrato",$E872,0)),MIN(V$38,$D$19),$P$20))-SUM($P872:U872)</f>
        <v>#VALUE!</v>
      </c>
      <c r="W872" s="446" t="e">
        <f>IF(OR($B872="",MIN(W$38,$D$19)&lt;MAX($P$708*($B872+IF($R$17="Distrato",$I$38-1,0)),IF(AND($L$711=0,$P$708=0),"",$L$711-1),IF($R$17="Distrato",$E872,0))),0,YEARFRAC(MAX($P$708*($B872+IF($R$17="Distrato",$I$38-1,0)),IF(AND($L$711=0,$P$708=0),"",$L$711-1),IF($R$17="Distrato",$E872,0)),MIN(W$38,$D$19),$P$20))-SUM($P872:V872)</f>
        <v>#VALUE!</v>
      </c>
      <c r="X872" s="446" t="e">
        <f>IF(OR($B872="",MIN(X$38,$D$19)&lt;MAX($P$708*($B872+IF($R$17="Distrato",$I$38-1,0)),IF(AND($L$711=0,$P$708=0),"",$L$711-1),IF($R$17="Distrato",$E872,0))),0,YEARFRAC(MAX($P$708*($B872+IF($R$17="Distrato",$I$38-1,0)),IF(AND($L$711=0,$P$708=0),"",$L$711-1),IF($R$17="Distrato",$E872,0)),MIN(X$38,$D$19),$P$20))-SUM($P872:W872)</f>
        <v>#VALUE!</v>
      </c>
      <c r="Y872" s="446" t="e">
        <f>IF(OR($B872="",MIN(Y$38,$D$19)&lt;MAX($P$708*($B872+IF($R$17="Distrato",$I$38-1,0)),IF(AND($L$711=0,$P$708=0),"",$L$711-1),IF($R$17="Distrato",$E872,0))),0,YEARFRAC(MAX($P$708*($B872+IF($R$17="Distrato",$I$38-1,0)),IF(AND($L$711=0,$P$708=0),"",$L$711-1),IF($R$17="Distrato",$E872,0)),MIN(Y$38,$D$19),$P$20))-SUM($P872:X872)</f>
        <v>#VALUE!</v>
      </c>
      <c r="Z872" s="446" t="e">
        <f>IF(OR($B872="",MIN(Z$38,$D$19)&lt;MAX($P$708*($B872+IF($R$17="Distrato",$I$38-1,0)),IF(AND($L$711=0,$P$708=0),"",$L$711-1),IF($R$17="Distrato",$E872,0))),0,YEARFRAC(MAX($P$708*($B872+IF($R$17="Distrato",$I$38-1,0)),IF(AND($L$711=0,$P$708=0),"",$L$711-1),IF($R$17="Distrato",$E872,0)),MIN(Z$38,$D$19),$P$20))-SUM($P872:Y872)</f>
        <v>#VALUE!</v>
      </c>
      <c r="AA872" s="446" t="e">
        <f>IF(OR($B872="",MIN(AA$38,$D$19)&lt;MAX($P$708*($B872+IF($R$17="Distrato",$I$38-1,0)),IF(AND($L$711=0,$P$708=0),"",$L$711-1),IF($R$17="Distrato",$E872,0))),0,YEARFRAC(MAX($P$708*($B872+IF($R$17="Distrato",$I$38-1,0)),IF(AND($L$711=0,$P$708=0),"",$L$711-1),IF($R$17="Distrato",$E872,0)),MIN(AA$38,$D$19),$P$20))-SUM($P872:Z872)</f>
        <v>#VALUE!</v>
      </c>
      <c r="AB872" s="446" t="e">
        <f>IF(OR($B872="",MIN(AB$38,$D$19)&lt;MAX($P$708*($B872+IF($R$17="Distrato",$I$38-1,0)),IF(AND($L$711=0,$P$708=0),"",$L$711-1),IF($R$17="Distrato",$E872,0))),0,YEARFRAC(MAX($P$708*($B872+IF($R$17="Distrato",$I$38-1,0)),IF(AND($L$711=0,$P$708=0),"",$L$711-1),IF($R$17="Distrato",$E872,0)),MIN(AB$38,$D$19),$P$20))-SUM($P872:AA872)</f>
        <v>#VALUE!</v>
      </c>
      <c r="AC872" s="446" t="e">
        <f>IF(OR($B872="",MIN(AC$38,$D$19)&lt;MAX($P$708*($B872+IF($R$17="Distrato",$I$38-1,0)),IF(AND($L$711=0,$P$708=0),"",$L$711-1),IF($R$17="Distrato",$E872,0))),0,YEARFRAC(MAX($P$708*($B872+IF($R$17="Distrato",$I$38-1,0)),IF(AND($L$711=0,$P$708=0),"",$L$711-1),IF($R$17="Distrato",$E872,0)),MIN(AC$38,$D$19),$P$20))-SUM($P872:AB872)</f>
        <v>#VALUE!</v>
      </c>
      <c r="AD872" s="446" t="e">
        <f>IF(OR($B872="",MIN(AD$38,$D$19)&lt;MAX($P$708*($B872+IF($R$17="Distrato",$I$38-1,0)),IF(AND($L$711=0,$P$708=0),"",$L$711-1),IF($R$17="Distrato",$E872,0))),0,YEARFRAC(MAX($P$708*($B872+IF($R$17="Distrato",$I$38-1,0)),IF(AND($L$711=0,$P$708=0),"",$L$711-1),IF($R$17="Distrato",$E872,0)),MIN(AD$38,$D$19),$P$20))-SUM($P872:AC872)</f>
        <v>#VALUE!</v>
      </c>
      <c r="AE872" s="446" t="e">
        <f>IF(OR($B872="",MIN(AE$38,$D$19)&lt;MAX($P$708*($B872+IF($R$17="Distrato",$I$38-1,0)),IF(AND($L$711=0,$P$708=0),"",$L$711-1),IF($R$17="Distrato",$E872,0))),0,YEARFRAC(MAX($P$708*($B872+IF($R$17="Distrato",$I$38-1,0)),IF(AND($L$711=0,$P$708=0),"",$L$711-1),IF($R$17="Distrato",$E872,0)),MIN(AE$38,$D$19),$P$20))-SUM($P872:AD872)</f>
        <v>#VALUE!</v>
      </c>
      <c r="AF872" s="446" t="e">
        <f>IF(OR($B872="",MIN(AF$38,$D$19)&lt;MAX($P$708*($B872+IF($R$17="Distrato",$I$38-1,0)),IF(AND($L$711=0,$P$708=0),"",$L$711-1),IF($R$17="Distrato",$E872,0))),0,YEARFRAC(MAX($P$708*($B872+IF($R$17="Distrato",$I$38-1,0)),IF(AND($L$711=0,$P$708=0),"",$L$711-1),IF($R$17="Distrato",$E872,0)),MIN(AF$38,$D$19),$P$20))-SUM($P872:AE872)</f>
        <v>#VALUE!</v>
      </c>
      <c r="AG872" s="446" t="e">
        <f>IF(OR($B872="",MIN(AG$38,$D$19)&lt;MAX($P$708*($B872+IF($R$17="Distrato",$I$38-1,0)),IF(AND($L$711=0,$P$708=0),"",$L$711-1),IF($R$17="Distrato",$E872,0))),0,YEARFRAC(MAX($P$708*($B872+IF($R$17="Distrato",$I$38-1,0)),IF(AND($L$711=0,$P$708=0),"",$L$711-1),IF($R$17="Distrato",$E872,0)),MIN(AG$38,$D$19),$P$20))-SUM($P872:AF872)</f>
        <v>#VALUE!</v>
      </c>
      <c r="AH872" s="446" t="e">
        <f>IF(OR($B872="",MIN(AH$38,$D$19)&lt;MAX($P$708*($B872+IF($R$17="Distrato",$I$38-1,0)),IF(AND($L$711=0,$P$708=0),"",$L$711-1),IF($R$17="Distrato",$E872,0))),0,YEARFRAC(MAX($P$708*($B872+IF($R$17="Distrato",$I$38-1,0)),IF(AND($L$711=0,$P$708=0),"",$L$711-1),IF($R$17="Distrato",$E872,0)),MIN(AH$38,$D$19),$P$20))-SUM($P872:AG872)</f>
        <v>#VALUE!</v>
      </c>
      <c r="AI872" s="446" t="e">
        <f>IF(OR($B872="",MIN(AI$38,$D$19)&lt;MAX($P$708*($B872+IF($R$17="Distrato",$I$38-1,0)),IF(AND($L$711=0,$P$708=0),"",$L$711-1),IF($R$17="Distrato",$E872,0))),0,YEARFRAC(MAX($P$708*($B872+IF($R$17="Distrato",$I$38-1,0)),IF(AND($L$711=0,$P$708=0),"",$L$711-1),IF($R$17="Distrato",$E872,0)),MIN(AI$38,$D$19),$P$20))-SUM($P872:AH872)</f>
        <v>#VALUE!</v>
      </c>
      <c r="AJ872" s="446" t="e">
        <f>IF(OR($B872="",MIN(AJ$38,$D$19)&lt;MAX($P$708*($B872+IF($R$17="Distrato",$I$38-1,0)),IF(AND($L$711=0,$P$708=0),"",$L$711-1),IF($R$17="Distrato",$E872,0))),0,YEARFRAC(MAX($P$708*($B872+IF($R$17="Distrato",$I$38-1,0)),IF(AND($L$711=0,$P$708=0),"",$L$711-1),IF($R$17="Distrato",$E872,0)),MIN(AJ$38,$D$19),$P$20))-SUM($P872:AI872)</f>
        <v>#VALUE!</v>
      </c>
      <c r="AK872" s="446" t="e">
        <f>IF(OR($B872="",MIN(AK$38,$D$19)&lt;MAX($P$708*($B872+IF($R$17="Distrato",$I$38-1,0)),IF(AND($L$711=0,$P$708=0),"",$L$711-1),IF($R$17="Distrato",$E872,0))),0,YEARFRAC(MAX($P$708*($B872+IF($R$17="Distrato",$I$38-1,0)),IF(AND($L$711=0,$P$708=0),"",$L$711-1),IF($R$17="Distrato",$E872,0)),MIN(AK$38,$D$19),$P$20))-SUM($P872:AJ872)</f>
        <v>#VALUE!</v>
      </c>
      <c r="AL872" s="446" t="e">
        <f>IF(OR($B872="",MIN(AL$38,$D$19)&lt;MAX($P$708*($B872+IF($R$17="Distrato",$I$38-1,0)),IF(AND($L$711=0,$P$708=0),"",$L$711-1),IF($R$17="Distrato",$E872,0))),0,YEARFRAC(MAX($P$708*($B872+IF($R$17="Distrato",$I$38-1,0)),IF(AND($L$711=0,$P$708=0),"",$L$711-1),IF($R$17="Distrato",$E872,0)),MIN(AL$38,$D$19),$P$20))-SUM($P872:AK872)</f>
        <v>#VALUE!</v>
      </c>
      <c r="AM872" s="446" t="e">
        <f>IF(OR($B872="",MIN(AM$38,$D$19)&lt;MAX($P$708*($B872+IF($R$17="Distrato",$I$38-1,0)),IF(AND($L$711=0,$P$708=0),"",$L$711-1),IF($R$17="Distrato",$E872,0))),0,YEARFRAC(MAX($P$708*($B872+IF($R$17="Distrato",$I$38-1,0)),IF(AND($L$711=0,$P$708=0),"",$L$711-1),IF($R$17="Distrato",$E872,0)),MIN(AM$38,$D$19),$P$20))-SUM($P872:AL872)</f>
        <v>#VALUE!</v>
      </c>
      <c r="AN872" s="446" t="e">
        <f>IF(OR($B872="",MIN(AN$38,$D$19)&lt;MAX($P$708*($B872+IF($R$17="Distrato",$I$38-1,0)),IF(AND($L$711=0,$P$708=0),"",$L$711-1),IF($R$17="Distrato",$E872,0))),0,YEARFRAC(MAX($P$708*($B872+IF($R$17="Distrato",$I$38-1,0)),IF(AND($L$711=0,$P$708=0),"",$L$711-1),IF($R$17="Distrato",$E872,0)),MIN(AN$38,$D$19),$P$20))-SUM($P872:AM872)</f>
        <v>#VALUE!</v>
      </c>
      <c r="AO872" s="446" t="e">
        <f>IF(OR($B872="",MIN(AO$38,$D$19)&lt;MAX($P$708*($B872+IF($R$17="Distrato",$I$38-1,0)),IF(AND($L$711=0,$P$708=0),"",$L$711-1),IF($R$17="Distrato",$E872,0))),0,YEARFRAC(MAX($P$708*($B872+IF($R$17="Distrato",$I$38-1,0)),IF(AND($L$711=0,$P$708=0),"",$L$711-1),IF($R$17="Distrato",$E872,0)),MIN(AO$38,$D$19),$P$20))-SUM($P872:AN872)</f>
        <v>#VALUE!</v>
      </c>
      <c r="AP872" s="446" t="e">
        <f>IF(OR($B872="",MIN(AP$38,$D$19)&lt;MAX($P$708*($B872+IF($R$17="Distrato",$I$38-1,0)),IF(AND($L$711=0,$P$708=0),"",$L$711-1),IF($R$17="Distrato",$E872,0))),0,YEARFRAC(MAX($P$708*($B872+IF($R$17="Distrato",$I$38-1,0)),IF(AND($L$711=0,$P$708=0),"",$L$711-1),IF($R$17="Distrato",$E872,0)),MIN(AP$38,$D$19),$P$20))-SUM($P872:AO872)</f>
        <v>#VALUE!</v>
      </c>
      <c r="AQ872" s="446" t="e">
        <f>IF(OR($B872="",MIN(AQ$38,$D$19)&lt;MAX($P$708*($B872+IF($R$17="Distrato",$I$38-1,0)),IF(AND($L$711=0,$P$708=0),"",$L$711-1),IF($R$17="Distrato",$E872,0))),0,YEARFRAC(MAX($P$708*($B872+IF($R$17="Distrato",$I$38-1,0)),IF(AND($L$711=0,$P$708=0),"",$L$711-1),IF($R$17="Distrato",$E872,0)),MIN(AQ$38,$D$19),$P$20))-SUM($P872:AP872)</f>
        <v>#VALUE!</v>
      </c>
      <c r="AR872" s="446" t="e">
        <f>IF(OR($B872="",MIN(AR$38,$D$19)&lt;MAX($P$708*($B872+IF($R$17="Distrato",$I$38-1,0)),IF(AND($L$711=0,$P$708=0),"",$L$711-1),IF($R$17="Distrato",$E872,0))),0,YEARFRAC(MAX($P$708*($B872+IF($R$17="Distrato",$I$38-1,0)),IF(AND($L$711=0,$P$708=0),"",$L$711-1),IF($R$17="Distrato",$E872,0)),MIN(AR$38,$D$19),$P$20))-SUM($P872:AQ872)</f>
        <v>#VALUE!</v>
      </c>
      <c r="AS872" s="446" t="e">
        <f>IF(OR($B872="",MIN(AS$38,$D$19)&lt;MAX($P$708*($B872+IF($R$17="Distrato",$I$38-1,0)),IF(AND($L$711=0,$P$708=0),"",$L$711-1),IF($R$17="Distrato",$E872,0))),0,YEARFRAC(MAX($P$708*($B872+IF($R$17="Distrato",$I$38-1,0)),IF(AND($L$711=0,$P$708=0),"",$L$711-1),IF($R$17="Distrato",$E872,0)),MIN(AS$38,$D$19),$P$20))-SUM($P872:AR872)</f>
        <v>#VALUE!</v>
      </c>
      <c r="AT872" s="446" t="e">
        <f>IF(OR($B872="",MIN(AT$38,$D$19)&lt;MAX($P$708*($B872+IF($R$17="Distrato",$I$38-1,0)),IF(AND($L$711=0,$P$708=0),"",$L$711-1),IF($R$17="Distrato",$E872,0))),0,YEARFRAC(MAX($P$708*($B872+IF($R$17="Distrato",$I$38-1,0)),IF(AND($L$711=0,$P$708=0),"",$L$711-1),IF($R$17="Distrato",$E872,0)),MIN(AT$38,$D$19),$P$20))-SUM($P872:AS872)</f>
        <v>#VALUE!</v>
      </c>
      <c r="AU872" s="446" t="e">
        <f>IF(OR($B872="",MIN(AU$38,$D$19)&lt;MAX($P$708*($B872+IF($R$17="Distrato",$I$38-1,0)),IF(AND($L$711=0,$P$708=0),"",$L$711-1),IF($R$17="Distrato",$E872,0))),0,YEARFRAC(MAX($P$708*($B872+IF($R$17="Distrato",$I$38-1,0)),IF(AND($L$711=0,$P$708=0),"",$L$711-1),IF($R$17="Distrato",$E872,0)),MIN(AU$38,$D$19),$P$20))-SUM($P872:AT872)</f>
        <v>#VALUE!</v>
      </c>
      <c r="AV872" s="446" t="e">
        <f>IF(OR($B872="",MIN(AV$38,$D$19)&lt;MAX($P$708*($B872+IF($R$17="Distrato",$I$38-1,0)),IF(AND($L$711=0,$P$708=0),"",$L$711-1),IF($R$17="Distrato",$E872,0))),0,YEARFRAC(MAX($P$708*($B872+IF($R$17="Distrato",$I$38-1,0)),IF(AND($L$711=0,$P$708=0),"",$L$711-1),IF($R$17="Distrato",$E872,0)),MIN(AV$38,$D$19),$P$20))-SUM($P872:AU872)</f>
        <v>#VALUE!</v>
      </c>
      <c r="AW872" s="446" t="e">
        <f>IF(OR($B872="",MIN(AW$38,$D$19)&lt;MAX($P$708*($B872+IF($R$17="Distrato",$I$38-1,0)),IF(AND($L$711=0,$P$708=0),"",$L$711-1),IF($R$17="Distrato",$E872,0))),0,YEARFRAC(MAX($P$708*($B872+IF($R$17="Distrato",$I$38-1,0)),IF(AND($L$711=0,$P$708=0),"",$L$711-1),IF($R$17="Distrato",$E872,0)),MIN(AW$38,$D$19),$P$20))-SUM($P872:AV872)</f>
        <v>#VALUE!</v>
      </c>
      <c r="AX872" s="446" t="e">
        <f>IF(OR($B872="",MIN(AX$38,$D$19)&lt;MAX($P$708*($B872+IF($R$17="Distrato",$I$38-1,0)),IF(AND($L$711=0,$P$708=0),"",$L$711-1),IF($R$17="Distrato",$E872,0))),0,YEARFRAC(MAX($P$708*($B872+IF($R$17="Distrato",$I$38-1,0)),IF(AND($L$711=0,$P$708=0),"",$L$711-1),IF($R$17="Distrato",$E872,0)),MIN(AX$38,$D$19),$P$20))-SUM($P872:AW872)</f>
        <v>#VALUE!</v>
      </c>
      <c r="AY872" s="446" t="e">
        <f>IF(OR($B872="",MIN(AY$38,$D$19)&lt;MAX($P$708*($B872+IF($R$17="Distrato",$I$38-1,0)),IF(AND($L$711=0,$P$708=0),"",$L$711-1),IF($R$17="Distrato",$E872,0))),0,YEARFRAC(MAX($P$708*($B872+IF($R$17="Distrato",$I$38-1,0)),IF(AND($L$711=0,$P$708=0),"",$L$711-1),IF($R$17="Distrato",$E872,0)),MIN(AY$38,$D$19),$P$20))-SUM($P872:AX872)</f>
        <v>#VALUE!</v>
      </c>
      <c r="AZ872" s="446" t="e">
        <f>IF(OR($B872="",MIN(AZ$38,$D$19)&lt;MAX($P$708*($B872+IF($R$17="Distrato",$I$38-1,0)),IF(AND($L$711=0,$P$708=0),"",$L$711-1),IF($R$17="Distrato",$E872,0))),0,YEARFRAC(MAX($P$708*($B872+IF($R$17="Distrato",$I$38-1,0)),IF(AND($L$711=0,$P$708=0),"",$L$711-1),IF($R$17="Distrato",$E872,0)),MIN(AZ$38,$D$19),$P$20))-SUM($P872:AY872)</f>
        <v>#VALUE!</v>
      </c>
      <c r="BA872" s="446" t="e">
        <f>IF(OR($B872="",MIN(BA$38,$D$19)&lt;MAX($P$708*($B872+IF($R$17="Distrato",$I$38-1,0)),IF(AND($L$711=0,$P$708=0),"",$L$711-1),IF($R$17="Distrato",$E872,0))),0,YEARFRAC(MAX($P$708*($B872+IF($R$17="Distrato",$I$38-1,0)),IF(AND($L$711=0,$P$708=0),"",$L$711-1),IF($R$17="Distrato",$E872,0)),MIN(BA$38,$D$19),$P$20))-SUM($P872:AZ872)</f>
        <v>#VALUE!</v>
      </c>
      <c r="BB872" s="447"/>
    </row>
    <row r="873" spans="1:54" s="446" customFormat="1" ht="11.25" hidden="1" customHeight="1" x14ac:dyDescent="0.2">
      <c r="A873" s="235"/>
      <c r="B873" s="236"/>
      <c r="C873" s="29" t="str">
        <f>IF(B873="","",IF($L$709=$BL$25,VLOOKUP(DATE(YEAR($D$19),MONTH($D$19)-1,1),ÍNDICES!$A:$DE,HLOOKUP($BL$25,ÍNDICES!$B$3:$T$4,2)+11)-VLOOKUP(B873,ÍNDICES!$A:$DE,HLOOKUP($BL$25,ÍNDICES!$B$3:$T$4,2)+11)+1%,IF(C$712=$W$26,$J$35,IF(ISERROR(IF(B873&gt;$D$19,1,VLOOKUP(DATE(YEAR(B873),MONTH(B873)+IF($C$709=$S$23,1,0),1),ÍNDICES!$A:$DE,$Z$709+1))),"",IF(B873&gt;$D$19,1,VLOOKUP(DATE(YEAR(B873),MONTH(B873)+IF($C$709=$S$23,1,0),1),ÍNDICES!$A:$DE,$Z$709+1))))))</f>
        <v/>
      </c>
      <c r="D873" s="155"/>
      <c r="E873" s="88"/>
      <c r="F873" s="88"/>
      <c r="G873" s="88"/>
      <c r="H873" s="118"/>
      <c r="I873" s="182">
        <f t="shared" si="129"/>
        <v>0</v>
      </c>
      <c r="J873" s="20">
        <f t="shared" ca="1" si="130"/>
        <v>0</v>
      </c>
      <c r="K873" s="5">
        <f t="shared" ca="1" si="131"/>
        <v>0</v>
      </c>
      <c r="L873" s="61">
        <f t="shared" ca="1" si="132"/>
        <v>0</v>
      </c>
      <c r="M873" s="64">
        <f t="shared" si="133"/>
        <v>0</v>
      </c>
      <c r="N873" s="151"/>
      <c r="O873" s="5">
        <f t="shared" ca="1" si="134"/>
        <v>0</v>
      </c>
      <c r="P873" s="446" t="e">
        <f t="shared" si="135"/>
        <v>#VALUE!</v>
      </c>
      <c r="Q873" s="446" t="e">
        <f>IF(OR($B873="",MIN(Q$38,$D$19)&lt;MAX($P$708*($B873+IF($R$17="Distrato",$I$38-1,0)),IF(AND($L$711=0,$P$708=0),"",$L$711-1),IF($R$17="Distrato",$E873,0))),0,YEARFRAC(MAX($P$708*($B873+IF($R$17="Distrato",$I$38-1,0)),IF(AND($L$711=0,$P$708=0),"",$L$711-1),IF($R$17="Distrato",$E873,0)),MIN(Q$38,$D$19),$P$20))-SUM($P873:P873)</f>
        <v>#VALUE!</v>
      </c>
      <c r="R873" s="446" t="e">
        <f>IF(OR($B873="",MIN(R$38,$D$19)&lt;MAX($P$708*($B873+IF($R$17="Distrato",$I$38-1,0)),IF(AND($L$711=0,$P$708=0),"",$L$711-1),IF($R$17="Distrato",$E873,0))),0,YEARFRAC(MAX($P$708*($B873+IF($R$17="Distrato",$I$38-1,0)),IF(AND($L$711=0,$P$708=0),"",$L$711-1),IF($R$17="Distrato",$E873,0)),MIN(R$38,$D$19),$P$20))-SUM($P873:Q873)</f>
        <v>#VALUE!</v>
      </c>
      <c r="S873" s="446" t="e">
        <f>IF(OR($B873="",MIN(S$38,$D$19)&lt;MAX($P$708*($B873+IF($R$17="Distrato",$I$38-1,0)),IF(AND($L$711=0,$P$708=0),"",$L$711-1),IF($R$17="Distrato",$E873,0))),0,YEARFRAC(MAX($P$708*($B873+IF($R$17="Distrato",$I$38-1,0)),IF(AND($L$711=0,$P$708=0),"",$L$711-1),IF($R$17="Distrato",$E873,0)),MIN(S$38,$D$19),$P$20))-SUM($P873:R873)</f>
        <v>#VALUE!</v>
      </c>
      <c r="T873" s="446" t="e">
        <f>IF(OR($B873="",MIN(T$38,$D$19)&lt;MAX($P$708*($B873+IF($R$17="Distrato",$I$38-1,0)),IF(AND($L$711=0,$P$708=0),"",$L$711-1),IF($R$17="Distrato",$E873,0))),0,YEARFRAC(MAX($P$708*($B873+IF($R$17="Distrato",$I$38-1,0)),IF(AND($L$711=0,$P$708=0),"",$L$711-1),IF($R$17="Distrato",$E873,0)),MIN(T$38,$D$19),$P$20))-SUM($P873:S873)</f>
        <v>#VALUE!</v>
      </c>
      <c r="U873" s="446" t="e">
        <f>IF(OR($B873="",MIN(U$38,$D$19)&lt;MAX($P$708*($B873+IF($R$17="Distrato",$I$38-1,0)),IF(AND($L$711=0,$P$708=0),"",$L$711-1),IF($R$17="Distrato",$E873,0))),0,YEARFRAC(MAX($P$708*($B873+IF($R$17="Distrato",$I$38-1,0)),IF(AND($L$711=0,$P$708=0),"",$L$711-1),IF($R$17="Distrato",$E873,0)),MIN(U$38,$D$19),$P$20))-SUM($P873:T873)</f>
        <v>#VALUE!</v>
      </c>
      <c r="V873" s="446" t="e">
        <f>IF(OR($B873="",MIN(V$38,$D$19)&lt;MAX($P$708*($B873+IF($R$17="Distrato",$I$38-1,0)),IF(AND($L$711=0,$P$708=0),"",$L$711-1),IF($R$17="Distrato",$E873,0))),0,YEARFRAC(MAX($P$708*($B873+IF($R$17="Distrato",$I$38-1,0)),IF(AND($L$711=0,$P$708=0),"",$L$711-1),IF($R$17="Distrato",$E873,0)),MIN(V$38,$D$19),$P$20))-SUM($P873:U873)</f>
        <v>#VALUE!</v>
      </c>
      <c r="W873" s="446" t="e">
        <f>IF(OR($B873="",MIN(W$38,$D$19)&lt;MAX($P$708*($B873+IF($R$17="Distrato",$I$38-1,0)),IF(AND($L$711=0,$P$708=0),"",$L$711-1),IF($R$17="Distrato",$E873,0))),0,YEARFRAC(MAX($P$708*($B873+IF($R$17="Distrato",$I$38-1,0)),IF(AND($L$711=0,$P$708=0),"",$L$711-1),IF($R$17="Distrato",$E873,0)),MIN(W$38,$D$19),$P$20))-SUM($P873:V873)</f>
        <v>#VALUE!</v>
      </c>
      <c r="X873" s="446" t="e">
        <f>IF(OR($B873="",MIN(X$38,$D$19)&lt;MAX($P$708*($B873+IF($R$17="Distrato",$I$38-1,0)),IF(AND($L$711=0,$P$708=0),"",$L$711-1),IF($R$17="Distrato",$E873,0))),0,YEARFRAC(MAX($P$708*($B873+IF($R$17="Distrato",$I$38-1,0)),IF(AND($L$711=0,$P$708=0),"",$L$711-1),IF($R$17="Distrato",$E873,0)),MIN(X$38,$D$19),$P$20))-SUM($P873:W873)</f>
        <v>#VALUE!</v>
      </c>
      <c r="Y873" s="446" t="e">
        <f>IF(OR($B873="",MIN(Y$38,$D$19)&lt;MAX($P$708*($B873+IF($R$17="Distrato",$I$38-1,0)),IF(AND($L$711=0,$P$708=0),"",$L$711-1),IF($R$17="Distrato",$E873,0))),0,YEARFRAC(MAX($P$708*($B873+IF($R$17="Distrato",$I$38-1,0)),IF(AND($L$711=0,$P$708=0),"",$L$711-1),IF($R$17="Distrato",$E873,0)),MIN(Y$38,$D$19),$P$20))-SUM($P873:X873)</f>
        <v>#VALUE!</v>
      </c>
      <c r="Z873" s="446" t="e">
        <f>IF(OR($B873="",MIN(Z$38,$D$19)&lt;MAX($P$708*($B873+IF($R$17="Distrato",$I$38-1,0)),IF(AND($L$711=0,$P$708=0),"",$L$711-1),IF($R$17="Distrato",$E873,0))),0,YEARFRAC(MAX($P$708*($B873+IF($R$17="Distrato",$I$38-1,0)),IF(AND($L$711=0,$P$708=0),"",$L$711-1),IF($R$17="Distrato",$E873,0)),MIN(Z$38,$D$19),$P$20))-SUM($P873:Y873)</f>
        <v>#VALUE!</v>
      </c>
      <c r="AA873" s="446" t="e">
        <f>IF(OR($B873="",MIN(AA$38,$D$19)&lt;MAX($P$708*($B873+IF($R$17="Distrato",$I$38-1,0)),IF(AND($L$711=0,$P$708=0),"",$L$711-1),IF($R$17="Distrato",$E873,0))),0,YEARFRAC(MAX($P$708*($B873+IF($R$17="Distrato",$I$38-1,0)),IF(AND($L$711=0,$P$708=0),"",$L$711-1),IF($R$17="Distrato",$E873,0)),MIN(AA$38,$D$19),$P$20))-SUM($P873:Z873)</f>
        <v>#VALUE!</v>
      </c>
      <c r="AB873" s="446" t="e">
        <f>IF(OR($B873="",MIN(AB$38,$D$19)&lt;MAX($P$708*($B873+IF($R$17="Distrato",$I$38-1,0)),IF(AND($L$711=0,$P$708=0),"",$L$711-1),IF($R$17="Distrato",$E873,0))),0,YEARFRAC(MAX($P$708*($B873+IF($R$17="Distrato",$I$38-1,0)),IF(AND($L$711=0,$P$708=0),"",$L$711-1),IF($R$17="Distrato",$E873,0)),MIN(AB$38,$D$19),$P$20))-SUM($P873:AA873)</f>
        <v>#VALUE!</v>
      </c>
      <c r="AC873" s="446" t="e">
        <f>IF(OR($B873="",MIN(AC$38,$D$19)&lt;MAX($P$708*($B873+IF($R$17="Distrato",$I$38-1,0)),IF(AND($L$711=0,$P$708=0),"",$L$711-1),IF($R$17="Distrato",$E873,0))),0,YEARFRAC(MAX($P$708*($B873+IF($R$17="Distrato",$I$38-1,0)),IF(AND($L$711=0,$P$708=0),"",$L$711-1),IF($R$17="Distrato",$E873,0)),MIN(AC$38,$D$19),$P$20))-SUM($P873:AB873)</f>
        <v>#VALUE!</v>
      </c>
      <c r="AD873" s="446" t="e">
        <f>IF(OR($B873="",MIN(AD$38,$D$19)&lt;MAX($P$708*($B873+IF($R$17="Distrato",$I$38-1,0)),IF(AND($L$711=0,$P$708=0),"",$L$711-1),IF($R$17="Distrato",$E873,0))),0,YEARFRAC(MAX($P$708*($B873+IF($R$17="Distrato",$I$38-1,0)),IF(AND($L$711=0,$P$708=0),"",$L$711-1),IF($R$17="Distrato",$E873,0)),MIN(AD$38,$D$19),$P$20))-SUM($P873:AC873)</f>
        <v>#VALUE!</v>
      </c>
      <c r="AE873" s="446" t="e">
        <f>IF(OR($B873="",MIN(AE$38,$D$19)&lt;MAX($P$708*($B873+IF($R$17="Distrato",$I$38-1,0)),IF(AND($L$711=0,$P$708=0),"",$L$711-1),IF($R$17="Distrato",$E873,0))),0,YEARFRAC(MAX($P$708*($B873+IF($R$17="Distrato",$I$38-1,0)),IF(AND($L$711=0,$P$708=0),"",$L$711-1),IF($R$17="Distrato",$E873,0)),MIN(AE$38,$D$19),$P$20))-SUM($P873:AD873)</f>
        <v>#VALUE!</v>
      </c>
      <c r="AF873" s="446" t="e">
        <f>IF(OR($B873="",MIN(AF$38,$D$19)&lt;MAX($P$708*($B873+IF($R$17="Distrato",$I$38-1,0)),IF(AND($L$711=0,$P$708=0),"",$L$711-1),IF($R$17="Distrato",$E873,0))),0,YEARFRAC(MAX($P$708*($B873+IF($R$17="Distrato",$I$38-1,0)),IF(AND($L$711=0,$P$708=0),"",$L$711-1),IF($R$17="Distrato",$E873,0)),MIN(AF$38,$D$19),$P$20))-SUM($P873:AE873)</f>
        <v>#VALUE!</v>
      </c>
      <c r="AG873" s="446" t="e">
        <f>IF(OR($B873="",MIN(AG$38,$D$19)&lt;MAX($P$708*($B873+IF($R$17="Distrato",$I$38-1,0)),IF(AND($L$711=0,$P$708=0),"",$L$711-1),IF($R$17="Distrato",$E873,0))),0,YEARFRAC(MAX($P$708*($B873+IF($R$17="Distrato",$I$38-1,0)),IF(AND($L$711=0,$P$708=0),"",$L$711-1),IF($R$17="Distrato",$E873,0)),MIN(AG$38,$D$19),$P$20))-SUM($P873:AF873)</f>
        <v>#VALUE!</v>
      </c>
      <c r="AH873" s="446" t="e">
        <f>IF(OR($B873="",MIN(AH$38,$D$19)&lt;MAX($P$708*($B873+IF($R$17="Distrato",$I$38-1,0)),IF(AND($L$711=0,$P$708=0),"",$L$711-1),IF($R$17="Distrato",$E873,0))),0,YEARFRAC(MAX($P$708*($B873+IF($R$17="Distrato",$I$38-1,0)),IF(AND($L$711=0,$P$708=0),"",$L$711-1),IF($R$17="Distrato",$E873,0)),MIN(AH$38,$D$19),$P$20))-SUM($P873:AG873)</f>
        <v>#VALUE!</v>
      </c>
      <c r="AI873" s="446" t="e">
        <f>IF(OR($B873="",MIN(AI$38,$D$19)&lt;MAX($P$708*($B873+IF($R$17="Distrato",$I$38-1,0)),IF(AND($L$711=0,$P$708=0),"",$L$711-1),IF($R$17="Distrato",$E873,0))),0,YEARFRAC(MAX($P$708*($B873+IF($R$17="Distrato",$I$38-1,0)),IF(AND($L$711=0,$P$708=0),"",$L$711-1),IF($R$17="Distrato",$E873,0)),MIN(AI$38,$D$19),$P$20))-SUM($P873:AH873)</f>
        <v>#VALUE!</v>
      </c>
      <c r="AJ873" s="446" t="e">
        <f>IF(OR($B873="",MIN(AJ$38,$D$19)&lt;MAX($P$708*($B873+IF($R$17="Distrato",$I$38-1,0)),IF(AND($L$711=0,$P$708=0),"",$L$711-1),IF($R$17="Distrato",$E873,0))),0,YEARFRAC(MAX($P$708*($B873+IF($R$17="Distrato",$I$38-1,0)),IF(AND($L$711=0,$P$708=0),"",$L$711-1),IF($R$17="Distrato",$E873,0)),MIN(AJ$38,$D$19),$P$20))-SUM($P873:AI873)</f>
        <v>#VALUE!</v>
      </c>
      <c r="AK873" s="446" t="e">
        <f>IF(OR($B873="",MIN(AK$38,$D$19)&lt;MAX($P$708*($B873+IF($R$17="Distrato",$I$38-1,0)),IF(AND($L$711=0,$P$708=0),"",$L$711-1),IF($R$17="Distrato",$E873,0))),0,YEARFRAC(MAX($P$708*($B873+IF($R$17="Distrato",$I$38-1,0)),IF(AND($L$711=0,$P$708=0),"",$L$711-1),IF($R$17="Distrato",$E873,0)),MIN(AK$38,$D$19),$P$20))-SUM($P873:AJ873)</f>
        <v>#VALUE!</v>
      </c>
      <c r="AL873" s="446" t="e">
        <f>IF(OR($B873="",MIN(AL$38,$D$19)&lt;MAX($P$708*($B873+IF($R$17="Distrato",$I$38-1,0)),IF(AND($L$711=0,$P$708=0),"",$L$711-1),IF($R$17="Distrato",$E873,0))),0,YEARFRAC(MAX($P$708*($B873+IF($R$17="Distrato",$I$38-1,0)),IF(AND($L$711=0,$P$708=0),"",$L$711-1),IF($R$17="Distrato",$E873,0)),MIN(AL$38,$D$19),$P$20))-SUM($P873:AK873)</f>
        <v>#VALUE!</v>
      </c>
      <c r="AM873" s="446" t="e">
        <f>IF(OR($B873="",MIN(AM$38,$D$19)&lt;MAX($P$708*($B873+IF($R$17="Distrato",$I$38-1,0)),IF(AND($L$711=0,$P$708=0),"",$L$711-1),IF($R$17="Distrato",$E873,0))),0,YEARFRAC(MAX($P$708*($B873+IF($R$17="Distrato",$I$38-1,0)),IF(AND($L$711=0,$P$708=0),"",$L$711-1),IF($R$17="Distrato",$E873,0)),MIN(AM$38,$D$19),$P$20))-SUM($P873:AL873)</f>
        <v>#VALUE!</v>
      </c>
      <c r="AN873" s="446" t="e">
        <f>IF(OR($B873="",MIN(AN$38,$D$19)&lt;MAX($P$708*($B873+IF($R$17="Distrato",$I$38-1,0)),IF(AND($L$711=0,$P$708=0),"",$L$711-1),IF($R$17="Distrato",$E873,0))),0,YEARFRAC(MAX($P$708*($B873+IF($R$17="Distrato",$I$38-1,0)),IF(AND($L$711=0,$P$708=0),"",$L$711-1),IF($R$17="Distrato",$E873,0)),MIN(AN$38,$D$19),$P$20))-SUM($P873:AM873)</f>
        <v>#VALUE!</v>
      </c>
      <c r="AO873" s="446" t="e">
        <f>IF(OR($B873="",MIN(AO$38,$D$19)&lt;MAX($P$708*($B873+IF($R$17="Distrato",$I$38-1,0)),IF(AND($L$711=0,$P$708=0),"",$L$711-1),IF($R$17="Distrato",$E873,0))),0,YEARFRAC(MAX($P$708*($B873+IF($R$17="Distrato",$I$38-1,0)),IF(AND($L$711=0,$P$708=0),"",$L$711-1),IF($R$17="Distrato",$E873,0)),MIN(AO$38,$D$19),$P$20))-SUM($P873:AN873)</f>
        <v>#VALUE!</v>
      </c>
      <c r="AP873" s="446" t="e">
        <f>IF(OR($B873="",MIN(AP$38,$D$19)&lt;MAX($P$708*($B873+IF($R$17="Distrato",$I$38-1,0)),IF(AND($L$711=0,$P$708=0),"",$L$711-1),IF($R$17="Distrato",$E873,0))),0,YEARFRAC(MAX($P$708*($B873+IF($R$17="Distrato",$I$38-1,0)),IF(AND($L$711=0,$P$708=0),"",$L$711-1),IF($R$17="Distrato",$E873,0)),MIN(AP$38,$D$19),$P$20))-SUM($P873:AO873)</f>
        <v>#VALUE!</v>
      </c>
      <c r="AQ873" s="446" t="e">
        <f>IF(OR($B873="",MIN(AQ$38,$D$19)&lt;MAX($P$708*($B873+IF($R$17="Distrato",$I$38-1,0)),IF(AND($L$711=0,$P$708=0),"",$L$711-1),IF($R$17="Distrato",$E873,0))),0,YEARFRAC(MAX($P$708*($B873+IF($R$17="Distrato",$I$38-1,0)),IF(AND($L$711=0,$P$708=0),"",$L$711-1),IF($R$17="Distrato",$E873,0)),MIN(AQ$38,$D$19),$P$20))-SUM($P873:AP873)</f>
        <v>#VALUE!</v>
      </c>
      <c r="AR873" s="446" t="e">
        <f>IF(OR($B873="",MIN(AR$38,$D$19)&lt;MAX($P$708*($B873+IF($R$17="Distrato",$I$38-1,0)),IF(AND($L$711=0,$P$708=0),"",$L$711-1),IF($R$17="Distrato",$E873,0))),0,YEARFRAC(MAX($P$708*($B873+IF($R$17="Distrato",$I$38-1,0)),IF(AND($L$711=0,$P$708=0),"",$L$711-1),IF($R$17="Distrato",$E873,0)),MIN(AR$38,$D$19),$P$20))-SUM($P873:AQ873)</f>
        <v>#VALUE!</v>
      </c>
      <c r="AS873" s="446" t="e">
        <f>IF(OR($B873="",MIN(AS$38,$D$19)&lt;MAX($P$708*($B873+IF($R$17="Distrato",$I$38-1,0)),IF(AND($L$711=0,$P$708=0),"",$L$711-1),IF($R$17="Distrato",$E873,0))),0,YEARFRAC(MAX($P$708*($B873+IF($R$17="Distrato",$I$38-1,0)),IF(AND($L$711=0,$P$708=0),"",$L$711-1),IF($R$17="Distrato",$E873,0)),MIN(AS$38,$D$19),$P$20))-SUM($P873:AR873)</f>
        <v>#VALUE!</v>
      </c>
      <c r="AT873" s="446" t="e">
        <f>IF(OR($B873="",MIN(AT$38,$D$19)&lt;MAX($P$708*($B873+IF($R$17="Distrato",$I$38-1,0)),IF(AND($L$711=0,$P$708=0),"",$L$711-1),IF($R$17="Distrato",$E873,0))),0,YEARFRAC(MAX($P$708*($B873+IF($R$17="Distrato",$I$38-1,0)),IF(AND($L$711=0,$P$708=0),"",$L$711-1),IF($R$17="Distrato",$E873,0)),MIN(AT$38,$D$19),$P$20))-SUM($P873:AS873)</f>
        <v>#VALUE!</v>
      </c>
      <c r="AU873" s="446" t="e">
        <f>IF(OR($B873="",MIN(AU$38,$D$19)&lt;MAX($P$708*($B873+IF($R$17="Distrato",$I$38-1,0)),IF(AND($L$711=0,$P$708=0),"",$L$711-1),IF($R$17="Distrato",$E873,0))),0,YEARFRAC(MAX($P$708*($B873+IF($R$17="Distrato",$I$38-1,0)),IF(AND($L$711=0,$P$708=0),"",$L$711-1),IF($R$17="Distrato",$E873,0)),MIN(AU$38,$D$19),$P$20))-SUM($P873:AT873)</f>
        <v>#VALUE!</v>
      </c>
      <c r="AV873" s="446" t="e">
        <f>IF(OR($B873="",MIN(AV$38,$D$19)&lt;MAX($P$708*($B873+IF($R$17="Distrato",$I$38-1,0)),IF(AND($L$711=0,$P$708=0),"",$L$711-1),IF($R$17="Distrato",$E873,0))),0,YEARFRAC(MAX($P$708*($B873+IF($R$17="Distrato",$I$38-1,0)),IF(AND($L$711=0,$P$708=0),"",$L$711-1),IF($R$17="Distrato",$E873,0)),MIN(AV$38,$D$19),$P$20))-SUM($P873:AU873)</f>
        <v>#VALUE!</v>
      </c>
      <c r="AW873" s="446" t="e">
        <f>IF(OR($B873="",MIN(AW$38,$D$19)&lt;MAX($P$708*($B873+IF($R$17="Distrato",$I$38-1,0)),IF(AND($L$711=0,$P$708=0),"",$L$711-1),IF($R$17="Distrato",$E873,0))),0,YEARFRAC(MAX($P$708*($B873+IF($R$17="Distrato",$I$38-1,0)),IF(AND($L$711=0,$P$708=0),"",$L$711-1),IF($R$17="Distrato",$E873,0)),MIN(AW$38,$D$19),$P$20))-SUM($P873:AV873)</f>
        <v>#VALUE!</v>
      </c>
      <c r="AX873" s="446" t="e">
        <f>IF(OR($B873="",MIN(AX$38,$D$19)&lt;MAX($P$708*($B873+IF($R$17="Distrato",$I$38-1,0)),IF(AND($L$711=0,$P$708=0),"",$L$711-1),IF($R$17="Distrato",$E873,0))),0,YEARFRAC(MAX($P$708*($B873+IF($R$17="Distrato",$I$38-1,0)),IF(AND($L$711=0,$P$708=0),"",$L$711-1),IF($R$17="Distrato",$E873,0)),MIN(AX$38,$D$19),$P$20))-SUM($P873:AW873)</f>
        <v>#VALUE!</v>
      </c>
      <c r="AY873" s="446" t="e">
        <f>IF(OR($B873="",MIN(AY$38,$D$19)&lt;MAX($P$708*($B873+IF($R$17="Distrato",$I$38-1,0)),IF(AND($L$711=0,$P$708=0),"",$L$711-1),IF($R$17="Distrato",$E873,0))),0,YEARFRAC(MAX($P$708*($B873+IF($R$17="Distrato",$I$38-1,0)),IF(AND($L$711=0,$P$708=0),"",$L$711-1),IF($R$17="Distrato",$E873,0)),MIN(AY$38,$D$19),$P$20))-SUM($P873:AX873)</f>
        <v>#VALUE!</v>
      </c>
      <c r="AZ873" s="446" t="e">
        <f>IF(OR($B873="",MIN(AZ$38,$D$19)&lt;MAX($P$708*($B873+IF($R$17="Distrato",$I$38-1,0)),IF(AND($L$711=0,$P$708=0),"",$L$711-1),IF($R$17="Distrato",$E873,0))),0,YEARFRAC(MAX($P$708*($B873+IF($R$17="Distrato",$I$38-1,0)),IF(AND($L$711=0,$P$708=0),"",$L$711-1),IF($R$17="Distrato",$E873,0)),MIN(AZ$38,$D$19),$P$20))-SUM($P873:AY873)</f>
        <v>#VALUE!</v>
      </c>
      <c r="BA873" s="446" t="e">
        <f>IF(OR($B873="",MIN(BA$38,$D$19)&lt;MAX($P$708*($B873+IF($R$17="Distrato",$I$38-1,0)),IF(AND($L$711=0,$P$708=0),"",$L$711-1),IF($R$17="Distrato",$E873,0))),0,YEARFRAC(MAX($P$708*($B873+IF($R$17="Distrato",$I$38-1,0)),IF(AND($L$711=0,$P$708=0),"",$L$711-1),IF($R$17="Distrato",$E873,0)),MIN(BA$38,$D$19),$P$20))-SUM($P873:AZ873)</f>
        <v>#VALUE!</v>
      </c>
      <c r="BB873" s="447"/>
    </row>
    <row r="874" spans="1:54" s="446" customFormat="1" ht="11.25" hidden="1" customHeight="1" x14ac:dyDescent="0.2">
      <c r="A874" s="235"/>
      <c r="B874" s="236"/>
      <c r="C874" s="29" t="str">
        <f>IF(B874="","",IF($L$709=$BL$25,VLOOKUP(DATE(YEAR($D$19),MONTH($D$19)-1,1),ÍNDICES!$A:$DE,HLOOKUP($BL$25,ÍNDICES!$B$3:$T$4,2)+11)-VLOOKUP(B874,ÍNDICES!$A:$DE,HLOOKUP($BL$25,ÍNDICES!$B$3:$T$4,2)+11)+1%,IF(C$712=$W$26,$J$35,IF(ISERROR(IF(B874&gt;$D$19,1,VLOOKUP(DATE(YEAR(B874),MONTH(B874)+IF($C$709=$S$23,1,0),1),ÍNDICES!$A:$DE,$Z$709+1))),"",IF(B874&gt;$D$19,1,VLOOKUP(DATE(YEAR(B874),MONTH(B874)+IF($C$709=$S$23,1,0),1),ÍNDICES!$A:$DE,$Z$709+1))))))</f>
        <v/>
      </c>
      <c r="D874" s="155"/>
      <c r="E874" s="88"/>
      <c r="F874" s="88"/>
      <c r="G874" s="88"/>
      <c r="H874" s="118"/>
      <c r="I874" s="182">
        <f t="shared" si="129"/>
        <v>0</v>
      </c>
      <c r="J874" s="20">
        <f t="shared" ca="1" si="130"/>
        <v>0</v>
      </c>
      <c r="K874" s="5">
        <f t="shared" ca="1" si="131"/>
        <v>0</v>
      </c>
      <c r="L874" s="61">
        <f t="shared" ca="1" si="132"/>
        <v>0</v>
      </c>
      <c r="M874" s="64">
        <f t="shared" si="133"/>
        <v>0</v>
      </c>
      <c r="N874" s="151"/>
      <c r="O874" s="5">
        <f t="shared" ca="1" si="134"/>
        <v>0</v>
      </c>
      <c r="P874" s="446" t="e">
        <f t="shared" si="135"/>
        <v>#VALUE!</v>
      </c>
      <c r="Q874" s="446" t="e">
        <f>IF(OR($B874="",MIN(Q$38,$D$19)&lt;MAX($P$708*($B874+IF($R$17="Distrato",$I$38-1,0)),IF(AND($L$711=0,$P$708=0),"",$L$711-1),IF($R$17="Distrato",$E874,0))),0,YEARFRAC(MAX($P$708*($B874+IF($R$17="Distrato",$I$38-1,0)),IF(AND($L$711=0,$P$708=0),"",$L$711-1),IF($R$17="Distrato",$E874,0)),MIN(Q$38,$D$19),$P$20))-SUM($P874:P874)</f>
        <v>#VALUE!</v>
      </c>
      <c r="R874" s="446" t="e">
        <f>IF(OR($B874="",MIN(R$38,$D$19)&lt;MAX($P$708*($B874+IF($R$17="Distrato",$I$38-1,0)),IF(AND($L$711=0,$P$708=0),"",$L$711-1),IF($R$17="Distrato",$E874,0))),0,YEARFRAC(MAX($P$708*($B874+IF($R$17="Distrato",$I$38-1,0)),IF(AND($L$711=0,$P$708=0),"",$L$711-1),IF($R$17="Distrato",$E874,0)),MIN(R$38,$D$19),$P$20))-SUM($P874:Q874)</f>
        <v>#VALUE!</v>
      </c>
      <c r="S874" s="446" t="e">
        <f>IF(OR($B874="",MIN(S$38,$D$19)&lt;MAX($P$708*($B874+IF($R$17="Distrato",$I$38-1,0)),IF(AND($L$711=0,$P$708=0),"",$L$711-1),IF($R$17="Distrato",$E874,0))),0,YEARFRAC(MAX($P$708*($B874+IF($R$17="Distrato",$I$38-1,0)),IF(AND($L$711=0,$P$708=0),"",$L$711-1),IF($R$17="Distrato",$E874,0)),MIN(S$38,$D$19),$P$20))-SUM($P874:R874)</f>
        <v>#VALUE!</v>
      </c>
      <c r="T874" s="446" t="e">
        <f>IF(OR($B874="",MIN(T$38,$D$19)&lt;MAX($P$708*($B874+IF($R$17="Distrato",$I$38-1,0)),IF(AND($L$711=0,$P$708=0),"",$L$711-1),IF($R$17="Distrato",$E874,0))),0,YEARFRAC(MAX($P$708*($B874+IF($R$17="Distrato",$I$38-1,0)),IF(AND($L$711=0,$P$708=0),"",$L$711-1),IF($R$17="Distrato",$E874,0)),MIN(T$38,$D$19),$P$20))-SUM($P874:S874)</f>
        <v>#VALUE!</v>
      </c>
      <c r="U874" s="446" t="e">
        <f>IF(OR($B874="",MIN(U$38,$D$19)&lt;MAX($P$708*($B874+IF($R$17="Distrato",$I$38-1,0)),IF(AND($L$711=0,$P$708=0),"",$L$711-1),IF($R$17="Distrato",$E874,0))),0,YEARFRAC(MAX($P$708*($B874+IF($R$17="Distrato",$I$38-1,0)),IF(AND($L$711=0,$P$708=0),"",$L$711-1),IF($R$17="Distrato",$E874,0)),MIN(U$38,$D$19),$P$20))-SUM($P874:T874)</f>
        <v>#VALUE!</v>
      </c>
      <c r="V874" s="446" t="e">
        <f>IF(OR($B874="",MIN(V$38,$D$19)&lt;MAX($P$708*($B874+IF($R$17="Distrato",$I$38-1,0)),IF(AND($L$711=0,$P$708=0),"",$L$711-1),IF($R$17="Distrato",$E874,0))),0,YEARFRAC(MAX($P$708*($B874+IF($R$17="Distrato",$I$38-1,0)),IF(AND($L$711=0,$P$708=0),"",$L$711-1),IF($R$17="Distrato",$E874,0)),MIN(V$38,$D$19),$P$20))-SUM($P874:U874)</f>
        <v>#VALUE!</v>
      </c>
      <c r="W874" s="446" t="e">
        <f>IF(OR($B874="",MIN(W$38,$D$19)&lt;MAX($P$708*($B874+IF($R$17="Distrato",$I$38-1,0)),IF(AND($L$711=0,$P$708=0),"",$L$711-1),IF($R$17="Distrato",$E874,0))),0,YEARFRAC(MAX($P$708*($B874+IF($R$17="Distrato",$I$38-1,0)),IF(AND($L$711=0,$P$708=0),"",$L$711-1),IF($R$17="Distrato",$E874,0)),MIN(W$38,$D$19),$P$20))-SUM($P874:V874)</f>
        <v>#VALUE!</v>
      </c>
      <c r="X874" s="446" t="e">
        <f>IF(OR($B874="",MIN(X$38,$D$19)&lt;MAX($P$708*($B874+IF($R$17="Distrato",$I$38-1,0)),IF(AND($L$711=0,$P$708=0),"",$L$711-1),IF($R$17="Distrato",$E874,0))),0,YEARFRAC(MAX($P$708*($B874+IF($R$17="Distrato",$I$38-1,0)),IF(AND($L$711=0,$P$708=0),"",$L$711-1),IF($R$17="Distrato",$E874,0)),MIN(X$38,$D$19),$P$20))-SUM($P874:W874)</f>
        <v>#VALUE!</v>
      </c>
      <c r="Y874" s="446" t="e">
        <f>IF(OR($B874="",MIN(Y$38,$D$19)&lt;MAX($P$708*($B874+IF($R$17="Distrato",$I$38-1,0)),IF(AND($L$711=0,$P$708=0),"",$L$711-1),IF($R$17="Distrato",$E874,0))),0,YEARFRAC(MAX($P$708*($B874+IF($R$17="Distrato",$I$38-1,0)),IF(AND($L$711=0,$P$708=0),"",$L$711-1),IF($R$17="Distrato",$E874,0)),MIN(Y$38,$D$19),$P$20))-SUM($P874:X874)</f>
        <v>#VALUE!</v>
      </c>
      <c r="Z874" s="446" t="e">
        <f>IF(OR($B874="",MIN(Z$38,$D$19)&lt;MAX($P$708*($B874+IF($R$17="Distrato",$I$38-1,0)),IF(AND($L$711=0,$P$708=0),"",$L$711-1),IF($R$17="Distrato",$E874,0))),0,YEARFRAC(MAX($P$708*($B874+IF($R$17="Distrato",$I$38-1,0)),IF(AND($L$711=0,$P$708=0),"",$L$711-1),IF($R$17="Distrato",$E874,0)),MIN(Z$38,$D$19),$P$20))-SUM($P874:Y874)</f>
        <v>#VALUE!</v>
      </c>
      <c r="AA874" s="446" t="e">
        <f>IF(OR($B874="",MIN(AA$38,$D$19)&lt;MAX($P$708*($B874+IF($R$17="Distrato",$I$38-1,0)),IF(AND($L$711=0,$P$708=0),"",$L$711-1),IF($R$17="Distrato",$E874,0))),0,YEARFRAC(MAX($P$708*($B874+IF($R$17="Distrato",$I$38-1,0)),IF(AND($L$711=0,$P$708=0),"",$L$711-1),IF($R$17="Distrato",$E874,0)),MIN(AA$38,$D$19),$P$20))-SUM($P874:Z874)</f>
        <v>#VALUE!</v>
      </c>
      <c r="AB874" s="446" t="e">
        <f>IF(OR($B874="",MIN(AB$38,$D$19)&lt;MAX($P$708*($B874+IF($R$17="Distrato",$I$38-1,0)),IF(AND($L$711=0,$P$708=0),"",$L$711-1),IF($R$17="Distrato",$E874,0))),0,YEARFRAC(MAX($P$708*($B874+IF($R$17="Distrato",$I$38-1,0)),IF(AND($L$711=0,$P$708=0),"",$L$711-1),IF($R$17="Distrato",$E874,0)),MIN(AB$38,$D$19),$P$20))-SUM($P874:AA874)</f>
        <v>#VALUE!</v>
      </c>
      <c r="AC874" s="446" t="e">
        <f>IF(OR($B874="",MIN(AC$38,$D$19)&lt;MAX($P$708*($B874+IF($R$17="Distrato",$I$38-1,0)),IF(AND($L$711=0,$P$708=0),"",$L$711-1),IF($R$17="Distrato",$E874,0))),0,YEARFRAC(MAX($P$708*($B874+IF($R$17="Distrato",$I$38-1,0)),IF(AND($L$711=0,$P$708=0),"",$L$711-1),IF($R$17="Distrato",$E874,0)),MIN(AC$38,$D$19),$P$20))-SUM($P874:AB874)</f>
        <v>#VALUE!</v>
      </c>
      <c r="AD874" s="446" t="e">
        <f>IF(OR($B874="",MIN(AD$38,$D$19)&lt;MAX($P$708*($B874+IF($R$17="Distrato",$I$38-1,0)),IF(AND($L$711=0,$P$708=0),"",$L$711-1),IF($R$17="Distrato",$E874,0))),0,YEARFRAC(MAX($P$708*($B874+IF($R$17="Distrato",$I$38-1,0)),IF(AND($L$711=0,$P$708=0),"",$L$711-1),IF($R$17="Distrato",$E874,0)),MIN(AD$38,$D$19),$P$20))-SUM($P874:AC874)</f>
        <v>#VALUE!</v>
      </c>
      <c r="AE874" s="446" t="e">
        <f>IF(OR($B874="",MIN(AE$38,$D$19)&lt;MAX($P$708*($B874+IF($R$17="Distrato",$I$38-1,0)),IF(AND($L$711=0,$P$708=0),"",$L$711-1),IF($R$17="Distrato",$E874,0))),0,YEARFRAC(MAX($P$708*($B874+IF($R$17="Distrato",$I$38-1,0)),IF(AND($L$711=0,$P$708=0),"",$L$711-1),IF($R$17="Distrato",$E874,0)),MIN(AE$38,$D$19),$P$20))-SUM($P874:AD874)</f>
        <v>#VALUE!</v>
      </c>
      <c r="AF874" s="446" t="e">
        <f>IF(OR($B874="",MIN(AF$38,$D$19)&lt;MAX($P$708*($B874+IF($R$17="Distrato",$I$38-1,0)),IF(AND($L$711=0,$P$708=0),"",$L$711-1),IF($R$17="Distrato",$E874,0))),0,YEARFRAC(MAX($P$708*($B874+IF($R$17="Distrato",$I$38-1,0)),IF(AND($L$711=0,$P$708=0),"",$L$711-1),IF($R$17="Distrato",$E874,0)),MIN(AF$38,$D$19),$P$20))-SUM($P874:AE874)</f>
        <v>#VALUE!</v>
      </c>
      <c r="AG874" s="446" t="e">
        <f>IF(OR($B874="",MIN(AG$38,$D$19)&lt;MAX($P$708*($B874+IF($R$17="Distrato",$I$38-1,0)),IF(AND($L$711=0,$P$708=0),"",$L$711-1),IF($R$17="Distrato",$E874,0))),0,YEARFRAC(MAX($P$708*($B874+IF($R$17="Distrato",$I$38-1,0)),IF(AND($L$711=0,$P$708=0),"",$L$711-1),IF($R$17="Distrato",$E874,0)),MIN(AG$38,$D$19),$P$20))-SUM($P874:AF874)</f>
        <v>#VALUE!</v>
      </c>
      <c r="AH874" s="446" t="e">
        <f>IF(OR($B874="",MIN(AH$38,$D$19)&lt;MAX($P$708*($B874+IF($R$17="Distrato",$I$38-1,0)),IF(AND($L$711=0,$P$708=0),"",$L$711-1),IF($R$17="Distrato",$E874,0))),0,YEARFRAC(MAX($P$708*($B874+IF($R$17="Distrato",$I$38-1,0)),IF(AND($L$711=0,$P$708=0),"",$L$711-1),IF($R$17="Distrato",$E874,0)),MIN(AH$38,$D$19),$P$20))-SUM($P874:AG874)</f>
        <v>#VALUE!</v>
      </c>
      <c r="AI874" s="446" t="e">
        <f>IF(OR($B874="",MIN(AI$38,$D$19)&lt;MAX($P$708*($B874+IF($R$17="Distrato",$I$38-1,0)),IF(AND($L$711=0,$P$708=0),"",$L$711-1),IF($R$17="Distrato",$E874,0))),0,YEARFRAC(MAX($P$708*($B874+IF($R$17="Distrato",$I$38-1,0)),IF(AND($L$711=0,$P$708=0),"",$L$711-1),IF($R$17="Distrato",$E874,0)),MIN(AI$38,$D$19),$P$20))-SUM($P874:AH874)</f>
        <v>#VALUE!</v>
      </c>
      <c r="AJ874" s="446" t="e">
        <f>IF(OR($B874="",MIN(AJ$38,$D$19)&lt;MAX($P$708*($B874+IF($R$17="Distrato",$I$38-1,0)),IF(AND($L$711=0,$P$708=0),"",$L$711-1),IF($R$17="Distrato",$E874,0))),0,YEARFRAC(MAX($P$708*($B874+IF($R$17="Distrato",$I$38-1,0)),IF(AND($L$711=0,$P$708=0),"",$L$711-1),IF($R$17="Distrato",$E874,0)),MIN(AJ$38,$D$19),$P$20))-SUM($P874:AI874)</f>
        <v>#VALUE!</v>
      </c>
      <c r="AK874" s="446" t="e">
        <f>IF(OR($B874="",MIN(AK$38,$D$19)&lt;MAX($P$708*($B874+IF($R$17="Distrato",$I$38-1,0)),IF(AND($L$711=0,$P$708=0),"",$L$711-1),IF($R$17="Distrato",$E874,0))),0,YEARFRAC(MAX($P$708*($B874+IF($R$17="Distrato",$I$38-1,0)),IF(AND($L$711=0,$P$708=0),"",$L$711-1),IF($R$17="Distrato",$E874,0)),MIN(AK$38,$D$19),$P$20))-SUM($P874:AJ874)</f>
        <v>#VALUE!</v>
      </c>
      <c r="AL874" s="446" t="e">
        <f>IF(OR($B874="",MIN(AL$38,$D$19)&lt;MAX($P$708*($B874+IF($R$17="Distrato",$I$38-1,0)),IF(AND($L$711=0,$P$708=0),"",$L$711-1),IF($R$17="Distrato",$E874,0))),0,YEARFRAC(MAX($P$708*($B874+IF($R$17="Distrato",$I$38-1,0)),IF(AND($L$711=0,$P$708=0),"",$L$711-1),IF($R$17="Distrato",$E874,0)),MIN(AL$38,$D$19),$P$20))-SUM($P874:AK874)</f>
        <v>#VALUE!</v>
      </c>
      <c r="AM874" s="446" t="e">
        <f>IF(OR($B874="",MIN(AM$38,$D$19)&lt;MAX($P$708*($B874+IF($R$17="Distrato",$I$38-1,0)),IF(AND($L$711=0,$P$708=0),"",$L$711-1),IF($R$17="Distrato",$E874,0))),0,YEARFRAC(MAX($P$708*($B874+IF($R$17="Distrato",$I$38-1,0)),IF(AND($L$711=0,$P$708=0),"",$L$711-1),IF($R$17="Distrato",$E874,0)),MIN(AM$38,$D$19),$P$20))-SUM($P874:AL874)</f>
        <v>#VALUE!</v>
      </c>
      <c r="AN874" s="446" t="e">
        <f>IF(OR($B874="",MIN(AN$38,$D$19)&lt;MAX($P$708*($B874+IF($R$17="Distrato",$I$38-1,0)),IF(AND($L$711=0,$P$708=0),"",$L$711-1),IF($R$17="Distrato",$E874,0))),0,YEARFRAC(MAX($P$708*($B874+IF($R$17="Distrato",$I$38-1,0)),IF(AND($L$711=0,$P$708=0),"",$L$711-1),IF($R$17="Distrato",$E874,0)),MIN(AN$38,$D$19),$P$20))-SUM($P874:AM874)</f>
        <v>#VALUE!</v>
      </c>
      <c r="AO874" s="446" t="e">
        <f>IF(OR($B874="",MIN(AO$38,$D$19)&lt;MAX($P$708*($B874+IF($R$17="Distrato",$I$38-1,0)),IF(AND($L$711=0,$P$708=0),"",$L$711-1),IF($R$17="Distrato",$E874,0))),0,YEARFRAC(MAX($P$708*($B874+IF($R$17="Distrato",$I$38-1,0)),IF(AND($L$711=0,$P$708=0),"",$L$711-1),IF($R$17="Distrato",$E874,0)),MIN(AO$38,$D$19),$P$20))-SUM($P874:AN874)</f>
        <v>#VALUE!</v>
      </c>
      <c r="AP874" s="446" t="e">
        <f>IF(OR($B874="",MIN(AP$38,$D$19)&lt;MAX($P$708*($B874+IF($R$17="Distrato",$I$38-1,0)),IF(AND($L$711=0,$P$708=0),"",$L$711-1),IF($R$17="Distrato",$E874,0))),0,YEARFRAC(MAX($P$708*($B874+IF($R$17="Distrato",$I$38-1,0)),IF(AND($L$711=0,$P$708=0),"",$L$711-1),IF($R$17="Distrato",$E874,0)),MIN(AP$38,$D$19),$P$20))-SUM($P874:AO874)</f>
        <v>#VALUE!</v>
      </c>
      <c r="AQ874" s="446" t="e">
        <f>IF(OR($B874="",MIN(AQ$38,$D$19)&lt;MAX($P$708*($B874+IF($R$17="Distrato",$I$38-1,0)),IF(AND($L$711=0,$P$708=0),"",$L$711-1),IF($R$17="Distrato",$E874,0))),0,YEARFRAC(MAX($P$708*($B874+IF($R$17="Distrato",$I$38-1,0)),IF(AND($L$711=0,$P$708=0),"",$L$711-1),IF($R$17="Distrato",$E874,0)),MIN(AQ$38,$D$19),$P$20))-SUM($P874:AP874)</f>
        <v>#VALUE!</v>
      </c>
      <c r="AR874" s="446" t="e">
        <f>IF(OR($B874="",MIN(AR$38,$D$19)&lt;MAX($P$708*($B874+IF($R$17="Distrato",$I$38-1,0)),IF(AND($L$711=0,$P$708=0),"",$L$711-1),IF($R$17="Distrato",$E874,0))),0,YEARFRAC(MAX($P$708*($B874+IF($R$17="Distrato",$I$38-1,0)),IF(AND($L$711=0,$P$708=0),"",$L$711-1),IF($R$17="Distrato",$E874,0)),MIN(AR$38,$D$19),$P$20))-SUM($P874:AQ874)</f>
        <v>#VALUE!</v>
      </c>
      <c r="AS874" s="446" t="e">
        <f>IF(OR($B874="",MIN(AS$38,$D$19)&lt;MAX($P$708*($B874+IF($R$17="Distrato",$I$38-1,0)),IF(AND($L$711=0,$P$708=0),"",$L$711-1),IF($R$17="Distrato",$E874,0))),0,YEARFRAC(MAX($P$708*($B874+IF($R$17="Distrato",$I$38-1,0)),IF(AND($L$711=0,$P$708=0),"",$L$711-1),IF($R$17="Distrato",$E874,0)),MIN(AS$38,$D$19),$P$20))-SUM($P874:AR874)</f>
        <v>#VALUE!</v>
      </c>
      <c r="AT874" s="446" t="e">
        <f>IF(OR($B874="",MIN(AT$38,$D$19)&lt;MAX($P$708*($B874+IF($R$17="Distrato",$I$38-1,0)),IF(AND($L$711=0,$P$708=0),"",$L$711-1),IF($R$17="Distrato",$E874,0))),0,YEARFRAC(MAX($P$708*($B874+IF($R$17="Distrato",$I$38-1,0)),IF(AND($L$711=0,$P$708=0),"",$L$711-1),IF($R$17="Distrato",$E874,0)),MIN(AT$38,$D$19),$P$20))-SUM($P874:AS874)</f>
        <v>#VALUE!</v>
      </c>
      <c r="AU874" s="446" t="e">
        <f>IF(OR($B874="",MIN(AU$38,$D$19)&lt;MAX($P$708*($B874+IF($R$17="Distrato",$I$38-1,0)),IF(AND($L$711=0,$P$708=0),"",$L$711-1),IF($R$17="Distrato",$E874,0))),0,YEARFRAC(MAX($P$708*($B874+IF($R$17="Distrato",$I$38-1,0)),IF(AND($L$711=0,$P$708=0),"",$L$711-1),IF($R$17="Distrato",$E874,0)),MIN(AU$38,$D$19),$P$20))-SUM($P874:AT874)</f>
        <v>#VALUE!</v>
      </c>
      <c r="AV874" s="446" t="e">
        <f>IF(OR($B874="",MIN(AV$38,$D$19)&lt;MAX($P$708*($B874+IF($R$17="Distrato",$I$38-1,0)),IF(AND($L$711=0,$P$708=0),"",$L$711-1),IF($R$17="Distrato",$E874,0))),0,YEARFRAC(MAX($P$708*($B874+IF($R$17="Distrato",$I$38-1,0)),IF(AND($L$711=0,$P$708=0),"",$L$711-1),IF($R$17="Distrato",$E874,0)),MIN(AV$38,$D$19),$P$20))-SUM($P874:AU874)</f>
        <v>#VALUE!</v>
      </c>
      <c r="AW874" s="446" t="e">
        <f>IF(OR($B874="",MIN(AW$38,$D$19)&lt;MAX($P$708*($B874+IF($R$17="Distrato",$I$38-1,0)),IF(AND($L$711=0,$P$708=0),"",$L$711-1),IF($R$17="Distrato",$E874,0))),0,YEARFRAC(MAX($P$708*($B874+IF($R$17="Distrato",$I$38-1,0)),IF(AND($L$711=0,$P$708=0),"",$L$711-1),IF($R$17="Distrato",$E874,0)),MIN(AW$38,$D$19),$P$20))-SUM($P874:AV874)</f>
        <v>#VALUE!</v>
      </c>
      <c r="AX874" s="446" t="e">
        <f>IF(OR($B874="",MIN(AX$38,$D$19)&lt;MAX($P$708*($B874+IF($R$17="Distrato",$I$38-1,0)),IF(AND($L$711=0,$P$708=0),"",$L$711-1),IF($R$17="Distrato",$E874,0))),0,YEARFRAC(MAX($P$708*($B874+IF($R$17="Distrato",$I$38-1,0)),IF(AND($L$711=0,$P$708=0),"",$L$711-1),IF($R$17="Distrato",$E874,0)),MIN(AX$38,$D$19),$P$20))-SUM($P874:AW874)</f>
        <v>#VALUE!</v>
      </c>
      <c r="AY874" s="446" t="e">
        <f>IF(OR($B874="",MIN(AY$38,$D$19)&lt;MAX($P$708*($B874+IF($R$17="Distrato",$I$38-1,0)),IF(AND($L$711=0,$P$708=0),"",$L$711-1),IF($R$17="Distrato",$E874,0))),0,YEARFRAC(MAX($P$708*($B874+IF($R$17="Distrato",$I$38-1,0)),IF(AND($L$711=0,$P$708=0),"",$L$711-1),IF($R$17="Distrato",$E874,0)),MIN(AY$38,$D$19),$P$20))-SUM($P874:AX874)</f>
        <v>#VALUE!</v>
      </c>
      <c r="AZ874" s="446" t="e">
        <f>IF(OR($B874="",MIN(AZ$38,$D$19)&lt;MAX($P$708*($B874+IF($R$17="Distrato",$I$38-1,0)),IF(AND($L$711=0,$P$708=0),"",$L$711-1),IF($R$17="Distrato",$E874,0))),0,YEARFRAC(MAX($P$708*($B874+IF($R$17="Distrato",$I$38-1,0)),IF(AND($L$711=0,$P$708=0),"",$L$711-1),IF($R$17="Distrato",$E874,0)),MIN(AZ$38,$D$19),$P$20))-SUM($P874:AY874)</f>
        <v>#VALUE!</v>
      </c>
      <c r="BA874" s="446" t="e">
        <f>IF(OR($B874="",MIN(BA$38,$D$19)&lt;MAX($P$708*($B874+IF($R$17="Distrato",$I$38-1,0)),IF(AND($L$711=0,$P$708=0),"",$L$711-1),IF($R$17="Distrato",$E874,0))),0,YEARFRAC(MAX($P$708*($B874+IF($R$17="Distrato",$I$38-1,0)),IF(AND($L$711=0,$P$708=0),"",$L$711-1),IF($R$17="Distrato",$E874,0)),MIN(BA$38,$D$19),$P$20))-SUM($P874:AZ874)</f>
        <v>#VALUE!</v>
      </c>
      <c r="BB874" s="447"/>
    </row>
    <row r="875" spans="1:54" s="446" customFormat="1" ht="11.25" hidden="1" customHeight="1" x14ac:dyDescent="0.2">
      <c r="A875" s="235"/>
      <c r="B875" s="236"/>
      <c r="C875" s="29" t="str">
        <f>IF(B875="","",IF($L$709=$BL$25,VLOOKUP(DATE(YEAR($D$19),MONTH($D$19)-1,1),ÍNDICES!$A:$DE,HLOOKUP($BL$25,ÍNDICES!$B$3:$T$4,2)+11)-VLOOKUP(B875,ÍNDICES!$A:$DE,HLOOKUP($BL$25,ÍNDICES!$B$3:$T$4,2)+11)+1%,IF(C$712=$W$26,$J$35,IF(ISERROR(IF(B875&gt;$D$19,1,VLOOKUP(DATE(YEAR(B875),MONTH(B875)+IF($C$709=$S$23,1,0),1),ÍNDICES!$A:$DE,$Z$709+1))),"",IF(B875&gt;$D$19,1,VLOOKUP(DATE(YEAR(B875),MONTH(B875)+IF($C$709=$S$23,1,0),1),ÍNDICES!$A:$DE,$Z$709+1))))))</f>
        <v/>
      </c>
      <c r="D875" s="155"/>
      <c r="E875" s="88"/>
      <c r="F875" s="88"/>
      <c r="G875" s="88"/>
      <c r="H875" s="118"/>
      <c r="I875" s="182">
        <f t="shared" si="129"/>
        <v>0</v>
      </c>
      <c r="J875" s="20">
        <f t="shared" ca="1" si="130"/>
        <v>0</v>
      </c>
      <c r="K875" s="5">
        <f t="shared" ca="1" si="131"/>
        <v>0</v>
      </c>
      <c r="L875" s="61">
        <f t="shared" ca="1" si="132"/>
        <v>0</v>
      </c>
      <c r="M875" s="64">
        <f t="shared" si="133"/>
        <v>0</v>
      </c>
      <c r="N875" s="151"/>
      <c r="O875" s="5">
        <f t="shared" ca="1" si="134"/>
        <v>0</v>
      </c>
      <c r="P875" s="446" t="e">
        <f t="shared" si="135"/>
        <v>#VALUE!</v>
      </c>
      <c r="Q875" s="446" t="e">
        <f>IF(OR($B875="",MIN(Q$38,$D$19)&lt;MAX($P$708*($B875+IF($R$17="Distrato",$I$38-1,0)),IF(AND($L$711=0,$P$708=0),"",$L$711-1),IF($R$17="Distrato",$E875,0))),0,YEARFRAC(MAX($P$708*($B875+IF($R$17="Distrato",$I$38-1,0)),IF(AND($L$711=0,$P$708=0),"",$L$711-1),IF($R$17="Distrato",$E875,0)),MIN(Q$38,$D$19),$P$20))-SUM($P875:P875)</f>
        <v>#VALUE!</v>
      </c>
      <c r="R875" s="446" t="e">
        <f>IF(OR($B875="",MIN(R$38,$D$19)&lt;MAX($P$708*($B875+IF($R$17="Distrato",$I$38-1,0)),IF(AND($L$711=0,$P$708=0),"",$L$711-1),IF($R$17="Distrato",$E875,0))),0,YEARFRAC(MAX($P$708*($B875+IF($R$17="Distrato",$I$38-1,0)),IF(AND($L$711=0,$P$708=0),"",$L$711-1),IF($R$17="Distrato",$E875,0)),MIN(R$38,$D$19),$P$20))-SUM($P875:Q875)</f>
        <v>#VALUE!</v>
      </c>
      <c r="S875" s="446" t="e">
        <f>IF(OR($B875="",MIN(S$38,$D$19)&lt;MAX($P$708*($B875+IF($R$17="Distrato",$I$38-1,0)),IF(AND($L$711=0,$P$708=0),"",$L$711-1),IF($R$17="Distrato",$E875,0))),0,YEARFRAC(MAX($P$708*($B875+IF($R$17="Distrato",$I$38-1,0)),IF(AND($L$711=0,$P$708=0),"",$L$711-1),IF($R$17="Distrato",$E875,0)),MIN(S$38,$D$19),$P$20))-SUM($P875:R875)</f>
        <v>#VALUE!</v>
      </c>
      <c r="T875" s="446" t="e">
        <f>IF(OR($B875="",MIN(T$38,$D$19)&lt;MAX($P$708*($B875+IF($R$17="Distrato",$I$38-1,0)),IF(AND($L$711=0,$P$708=0),"",$L$711-1),IF($R$17="Distrato",$E875,0))),0,YEARFRAC(MAX($P$708*($B875+IF($R$17="Distrato",$I$38-1,0)),IF(AND($L$711=0,$P$708=0),"",$L$711-1),IF($R$17="Distrato",$E875,0)),MIN(T$38,$D$19),$P$20))-SUM($P875:S875)</f>
        <v>#VALUE!</v>
      </c>
      <c r="U875" s="446" t="e">
        <f>IF(OR($B875="",MIN(U$38,$D$19)&lt;MAX($P$708*($B875+IF($R$17="Distrato",$I$38-1,0)),IF(AND($L$711=0,$P$708=0),"",$L$711-1),IF($R$17="Distrato",$E875,0))),0,YEARFRAC(MAX($P$708*($B875+IF($R$17="Distrato",$I$38-1,0)),IF(AND($L$711=0,$P$708=0),"",$L$711-1),IF($R$17="Distrato",$E875,0)),MIN(U$38,$D$19),$P$20))-SUM($P875:T875)</f>
        <v>#VALUE!</v>
      </c>
      <c r="V875" s="446" t="e">
        <f>IF(OR($B875="",MIN(V$38,$D$19)&lt;MAX($P$708*($B875+IF($R$17="Distrato",$I$38-1,0)),IF(AND($L$711=0,$P$708=0),"",$L$711-1),IF($R$17="Distrato",$E875,0))),0,YEARFRAC(MAX($P$708*($B875+IF($R$17="Distrato",$I$38-1,0)),IF(AND($L$711=0,$P$708=0),"",$L$711-1),IF($R$17="Distrato",$E875,0)),MIN(V$38,$D$19),$P$20))-SUM($P875:U875)</f>
        <v>#VALUE!</v>
      </c>
      <c r="W875" s="446" t="e">
        <f>IF(OR($B875="",MIN(W$38,$D$19)&lt;MAX($P$708*($B875+IF($R$17="Distrato",$I$38-1,0)),IF(AND($L$711=0,$P$708=0),"",$L$711-1),IF($R$17="Distrato",$E875,0))),0,YEARFRAC(MAX($P$708*($B875+IF($R$17="Distrato",$I$38-1,0)),IF(AND($L$711=0,$P$708=0),"",$L$711-1),IF($R$17="Distrato",$E875,0)),MIN(W$38,$D$19),$P$20))-SUM($P875:V875)</f>
        <v>#VALUE!</v>
      </c>
      <c r="X875" s="446" t="e">
        <f>IF(OR($B875="",MIN(X$38,$D$19)&lt;MAX($P$708*($B875+IF($R$17="Distrato",$I$38-1,0)),IF(AND($L$711=0,$P$708=0),"",$L$711-1),IF($R$17="Distrato",$E875,0))),0,YEARFRAC(MAX($P$708*($B875+IF($R$17="Distrato",$I$38-1,0)),IF(AND($L$711=0,$P$708=0),"",$L$711-1),IF($R$17="Distrato",$E875,0)),MIN(X$38,$D$19),$P$20))-SUM($P875:W875)</f>
        <v>#VALUE!</v>
      </c>
      <c r="Y875" s="446" t="e">
        <f>IF(OR($B875="",MIN(Y$38,$D$19)&lt;MAX($P$708*($B875+IF($R$17="Distrato",$I$38-1,0)),IF(AND($L$711=0,$P$708=0),"",$L$711-1),IF($R$17="Distrato",$E875,0))),0,YEARFRAC(MAX($P$708*($B875+IF($R$17="Distrato",$I$38-1,0)),IF(AND($L$711=0,$P$708=0),"",$L$711-1),IF($R$17="Distrato",$E875,0)),MIN(Y$38,$D$19),$P$20))-SUM($P875:X875)</f>
        <v>#VALUE!</v>
      </c>
      <c r="Z875" s="446" t="e">
        <f>IF(OR($B875="",MIN(Z$38,$D$19)&lt;MAX($P$708*($B875+IF($R$17="Distrato",$I$38-1,0)),IF(AND($L$711=0,$P$708=0),"",$L$711-1),IF($R$17="Distrato",$E875,0))),0,YEARFRAC(MAX($P$708*($B875+IF($R$17="Distrato",$I$38-1,0)),IF(AND($L$711=0,$P$708=0),"",$L$711-1),IF($R$17="Distrato",$E875,0)),MIN(Z$38,$D$19),$P$20))-SUM($P875:Y875)</f>
        <v>#VALUE!</v>
      </c>
      <c r="AA875" s="446" t="e">
        <f>IF(OR($B875="",MIN(AA$38,$D$19)&lt;MAX($P$708*($B875+IF($R$17="Distrato",$I$38-1,0)),IF(AND($L$711=0,$P$708=0),"",$L$711-1),IF($R$17="Distrato",$E875,0))),0,YEARFRAC(MAX($P$708*($B875+IF($R$17="Distrato",$I$38-1,0)),IF(AND($L$711=0,$P$708=0),"",$L$711-1),IF($R$17="Distrato",$E875,0)),MIN(AA$38,$D$19),$P$20))-SUM($P875:Z875)</f>
        <v>#VALUE!</v>
      </c>
      <c r="AB875" s="446" t="e">
        <f>IF(OR($B875="",MIN(AB$38,$D$19)&lt;MAX($P$708*($B875+IF($R$17="Distrato",$I$38-1,0)),IF(AND($L$711=0,$P$708=0),"",$L$711-1),IF($R$17="Distrato",$E875,0))),0,YEARFRAC(MAX($P$708*($B875+IF($R$17="Distrato",$I$38-1,0)),IF(AND($L$711=0,$P$708=0),"",$L$711-1),IF($R$17="Distrato",$E875,0)),MIN(AB$38,$D$19),$P$20))-SUM($P875:AA875)</f>
        <v>#VALUE!</v>
      </c>
      <c r="AC875" s="446" t="e">
        <f>IF(OR($B875="",MIN(AC$38,$D$19)&lt;MAX($P$708*($B875+IF($R$17="Distrato",$I$38-1,0)),IF(AND($L$711=0,$P$708=0),"",$L$711-1),IF($R$17="Distrato",$E875,0))),0,YEARFRAC(MAX($P$708*($B875+IF($R$17="Distrato",$I$38-1,0)),IF(AND($L$711=0,$P$708=0),"",$L$711-1),IF($R$17="Distrato",$E875,0)),MIN(AC$38,$D$19),$P$20))-SUM($P875:AB875)</f>
        <v>#VALUE!</v>
      </c>
      <c r="AD875" s="446" t="e">
        <f>IF(OR($B875="",MIN(AD$38,$D$19)&lt;MAX($P$708*($B875+IF($R$17="Distrato",$I$38-1,0)),IF(AND($L$711=0,$P$708=0),"",$L$711-1),IF($R$17="Distrato",$E875,0))),0,YEARFRAC(MAX($P$708*($B875+IF($R$17="Distrato",$I$38-1,0)),IF(AND($L$711=0,$P$708=0),"",$L$711-1),IF($R$17="Distrato",$E875,0)),MIN(AD$38,$D$19),$P$20))-SUM($P875:AC875)</f>
        <v>#VALUE!</v>
      </c>
      <c r="AE875" s="446" t="e">
        <f>IF(OR($B875="",MIN(AE$38,$D$19)&lt;MAX($P$708*($B875+IF($R$17="Distrato",$I$38-1,0)),IF(AND($L$711=0,$P$708=0),"",$L$711-1),IF($R$17="Distrato",$E875,0))),0,YEARFRAC(MAX($P$708*($B875+IF($R$17="Distrato",$I$38-1,0)),IF(AND($L$711=0,$P$708=0),"",$L$711-1),IF($R$17="Distrato",$E875,0)),MIN(AE$38,$D$19),$P$20))-SUM($P875:AD875)</f>
        <v>#VALUE!</v>
      </c>
      <c r="AF875" s="446" t="e">
        <f>IF(OR($B875="",MIN(AF$38,$D$19)&lt;MAX($P$708*($B875+IF($R$17="Distrato",$I$38-1,0)),IF(AND($L$711=0,$P$708=0),"",$L$711-1),IF($R$17="Distrato",$E875,0))),0,YEARFRAC(MAX($P$708*($B875+IF($R$17="Distrato",$I$38-1,0)),IF(AND($L$711=0,$P$708=0),"",$L$711-1),IF($R$17="Distrato",$E875,0)),MIN(AF$38,$D$19),$P$20))-SUM($P875:AE875)</f>
        <v>#VALUE!</v>
      </c>
      <c r="AG875" s="446" t="e">
        <f>IF(OR($B875="",MIN(AG$38,$D$19)&lt;MAX($P$708*($B875+IF($R$17="Distrato",$I$38-1,0)),IF(AND($L$711=0,$P$708=0),"",$L$711-1),IF($R$17="Distrato",$E875,0))),0,YEARFRAC(MAX($P$708*($B875+IF($R$17="Distrato",$I$38-1,0)),IF(AND($L$711=0,$P$708=0),"",$L$711-1),IF($R$17="Distrato",$E875,0)),MIN(AG$38,$D$19),$P$20))-SUM($P875:AF875)</f>
        <v>#VALUE!</v>
      </c>
      <c r="AH875" s="446" t="e">
        <f>IF(OR($B875="",MIN(AH$38,$D$19)&lt;MAX($P$708*($B875+IF($R$17="Distrato",$I$38-1,0)),IF(AND($L$711=0,$P$708=0),"",$L$711-1),IF($R$17="Distrato",$E875,0))),0,YEARFRAC(MAX($P$708*($B875+IF($R$17="Distrato",$I$38-1,0)),IF(AND($L$711=0,$P$708=0),"",$L$711-1),IF($R$17="Distrato",$E875,0)),MIN(AH$38,$D$19),$P$20))-SUM($P875:AG875)</f>
        <v>#VALUE!</v>
      </c>
      <c r="AI875" s="446" t="e">
        <f>IF(OR($B875="",MIN(AI$38,$D$19)&lt;MAX($P$708*($B875+IF($R$17="Distrato",$I$38-1,0)),IF(AND($L$711=0,$P$708=0),"",$L$711-1),IF($R$17="Distrato",$E875,0))),0,YEARFRAC(MAX($P$708*($B875+IF($R$17="Distrato",$I$38-1,0)),IF(AND($L$711=0,$P$708=0),"",$L$711-1),IF($R$17="Distrato",$E875,0)),MIN(AI$38,$D$19),$P$20))-SUM($P875:AH875)</f>
        <v>#VALUE!</v>
      </c>
      <c r="AJ875" s="446" t="e">
        <f>IF(OR($B875="",MIN(AJ$38,$D$19)&lt;MAX($P$708*($B875+IF($R$17="Distrato",$I$38-1,0)),IF(AND($L$711=0,$P$708=0),"",$L$711-1),IF($R$17="Distrato",$E875,0))),0,YEARFRAC(MAX($P$708*($B875+IF($R$17="Distrato",$I$38-1,0)),IF(AND($L$711=0,$P$708=0),"",$L$711-1),IF($R$17="Distrato",$E875,0)),MIN(AJ$38,$D$19),$P$20))-SUM($P875:AI875)</f>
        <v>#VALUE!</v>
      </c>
      <c r="AK875" s="446" t="e">
        <f>IF(OR($B875="",MIN(AK$38,$D$19)&lt;MAX($P$708*($B875+IF($R$17="Distrato",$I$38-1,0)),IF(AND($L$711=0,$P$708=0),"",$L$711-1),IF($R$17="Distrato",$E875,0))),0,YEARFRAC(MAX($P$708*($B875+IF($R$17="Distrato",$I$38-1,0)),IF(AND($L$711=0,$P$708=0),"",$L$711-1),IF($R$17="Distrato",$E875,0)),MIN(AK$38,$D$19),$P$20))-SUM($P875:AJ875)</f>
        <v>#VALUE!</v>
      </c>
      <c r="AL875" s="446" t="e">
        <f>IF(OR($B875="",MIN(AL$38,$D$19)&lt;MAX($P$708*($B875+IF($R$17="Distrato",$I$38-1,0)),IF(AND($L$711=0,$P$708=0),"",$L$711-1),IF($R$17="Distrato",$E875,0))),0,YEARFRAC(MAX($P$708*($B875+IF($R$17="Distrato",$I$38-1,0)),IF(AND($L$711=0,$P$708=0),"",$L$711-1),IF($R$17="Distrato",$E875,0)),MIN(AL$38,$D$19),$P$20))-SUM($P875:AK875)</f>
        <v>#VALUE!</v>
      </c>
      <c r="AM875" s="446" t="e">
        <f>IF(OR($B875="",MIN(AM$38,$D$19)&lt;MAX($P$708*($B875+IF($R$17="Distrato",$I$38-1,0)),IF(AND($L$711=0,$P$708=0),"",$L$711-1),IF($R$17="Distrato",$E875,0))),0,YEARFRAC(MAX($P$708*($B875+IF($R$17="Distrato",$I$38-1,0)),IF(AND($L$711=0,$P$708=0),"",$L$711-1),IF($R$17="Distrato",$E875,0)),MIN(AM$38,$D$19),$P$20))-SUM($P875:AL875)</f>
        <v>#VALUE!</v>
      </c>
      <c r="AN875" s="446" t="e">
        <f>IF(OR($B875="",MIN(AN$38,$D$19)&lt;MAX($P$708*($B875+IF($R$17="Distrato",$I$38-1,0)),IF(AND($L$711=0,$P$708=0),"",$L$711-1),IF($R$17="Distrato",$E875,0))),0,YEARFRAC(MAX($P$708*($B875+IF($R$17="Distrato",$I$38-1,0)),IF(AND($L$711=0,$P$708=0),"",$L$711-1),IF($R$17="Distrato",$E875,0)),MIN(AN$38,$D$19),$P$20))-SUM($P875:AM875)</f>
        <v>#VALUE!</v>
      </c>
      <c r="AO875" s="446" t="e">
        <f>IF(OR($B875="",MIN(AO$38,$D$19)&lt;MAX($P$708*($B875+IF($R$17="Distrato",$I$38-1,0)),IF(AND($L$711=0,$P$708=0),"",$L$711-1),IF($R$17="Distrato",$E875,0))),0,YEARFRAC(MAX($P$708*($B875+IF($R$17="Distrato",$I$38-1,0)),IF(AND($L$711=0,$P$708=0),"",$L$711-1),IF($R$17="Distrato",$E875,0)),MIN(AO$38,$D$19),$P$20))-SUM($P875:AN875)</f>
        <v>#VALUE!</v>
      </c>
      <c r="AP875" s="446" t="e">
        <f>IF(OR($B875="",MIN(AP$38,$D$19)&lt;MAX($P$708*($B875+IF($R$17="Distrato",$I$38-1,0)),IF(AND($L$711=0,$P$708=0),"",$L$711-1),IF($R$17="Distrato",$E875,0))),0,YEARFRAC(MAX($P$708*($B875+IF($R$17="Distrato",$I$38-1,0)),IF(AND($L$711=0,$P$708=0),"",$L$711-1),IF($R$17="Distrato",$E875,0)),MIN(AP$38,$D$19),$P$20))-SUM($P875:AO875)</f>
        <v>#VALUE!</v>
      </c>
      <c r="AQ875" s="446" t="e">
        <f>IF(OR($B875="",MIN(AQ$38,$D$19)&lt;MAX($P$708*($B875+IF($R$17="Distrato",$I$38-1,0)),IF(AND($L$711=0,$P$708=0),"",$L$711-1),IF($R$17="Distrato",$E875,0))),0,YEARFRAC(MAX($P$708*($B875+IF($R$17="Distrato",$I$38-1,0)),IF(AND($L$711=0,$P$708=0),"",$L$711-1),IF($R$17="Distrato",$E875,0)),MIN(AQ$38,$D$19),$P$20))-SUM($P875:AP875)</f>
        <v>#VALUE!</v>
      </c>
      <c r="AR875" s="446" t="e">
        <f>IF(OR($B875="",MIN(AR$38,$D$19)&lt;MAX($P$708*($B875+IF($R$17="Distrato",$I$38-1,0)),IF(AND($L$711=0,$P$708=0),"",$L$711-1),IF($R$17="Distrato",$E875,0))),0,YEARFRAC(MAX($P$708*($B875+IF($R$17="Distrato",$I$38-1,0)),IF(AND($L$711=0,$P$708=0),"",$L$711-1),IF($R$17="Distrato",$E875,0)),MIN(AR$38,$D$19),$P$20))-SUM($P875:AQ875)</f>
        <v>#VALUE!</v>
      </c>
      <c r="AS875" s="446" t="e">
        <f>IF(OR($B875="",MIN(AS$38,$D$19)&lt;MAX($P$708*($B875+IF($R$17="Distrato",$I$38-1,0)),IF(AND($L$711=0,$P$708=0),"",$L$711-1),IF($R$17="Distrato",$E875,0))),0,YEARFRAC(MAX($P$708*($B875+IF($R$17="Distrato",$I$38-1,0)),IF(AND($L$711=0,$P$708=0),"",$L$711-1),IF($R$17="Distrato",$E875,0)),MIN(AS$38,$D$19),$P$20))-SUM($P875:AR875)</f>
        <v>#VALUE!</v>
      </c>
      <c r="AT875" s="446" t="e">
        <f>IF(OR($B875="",MIN(AT$38,$D$19)&lt;MAX($P$708*($B875+IF($R$17="Distrato",$I$38-1,0)),IF(AND($L$711=0,$P$708=0),"",$L$711-1),IF($R$17="Distrato",$E875,0))),0,YEARFRAC(MAX($P$708*($B875+IF($R$17="Distrato",$I$38-1,0)),IF(AND($L$711=0,$P$708=0),"",$L$711-1),IF($R$17="Distrato",$E875,0)),MIN(AT$38,$D$19),$P$20))-SUM($P875:AS875)</f>
        <v>#VALUE!</v>
      </c>
      <c r="AU875" s="446" t="e">
        <f>IF(OR($B875="",MIN(AU$38,$D$19)&lt;MAX($P$708*($B875+IF($R$17="Distrato",$I$38-1,0)),IF(AND($L$711=0,$P$708=0),"",$L$711-1),IF($R$17="Distrato",$E875,0))),0,YEARFRAC(MAX($P$708*($B875+IF($R$17="Distrato",$I$38-1,0)),IF(AND($L$711=0,$P$708=0),"",$L$711-1),IF($R$17="Distrato",$E875,0)),MIN(AU$38,$D$19),$P$20))-SUM($P875:AT875)</f>
        <v>#VALUE!</v>
      </c>
      <c r="AV875" s="446" t="e">
        <f>IF(OR($B875="",MIN(AV$38,$D$19)&lt;MAX($P$708*($B875+IF($R$17="Distrato",$I$38-1,0)),IF(AND($L$711=0,$P$708=0),"",$L$711-1),IF($R$17="Distrato",$E875,0))),0,YEARFRAC(MAX($P$708*($B875+IF($R$17="Distrato",$I$38-1,0)),IF(AND($L$711=0,$P$708=0),"",$L$711-1),IF($R$17="Distrato",$E875,0)),MIN(AV$38,$D$19),$P$20))-SUM($P875:AU875)</f>
        <v>#VALUE!</v>
      </c>
      <c r="AW875" s="446" t="e">
        <f>IF(OR($B875="",MIN(AW$38,$D$19)&lt;MAX($P$708*($B875+IF($R$17="Distrato",$I$38-1,0)),IF(AND($L$711=0,$P$708=0),"",$L$711-1),IF($R$17="Distrato",$E875,0))),0,YEARFRAC(MAX($P$708*($B875+IF($R$17="Distrato",$I$38-1,0)),IF(AND($L$711=0,$P$708=0),"",$L$711-1),IF($R$17="Distrato",$E875,0)),MIN(AW$38,$D$19),$P$20))-SUM($P875:AV875)</f>
        <v>#VALUE!</v>
      </c>
      <c r="AX875" s="446" t="e">
        <f>IF(OR($B875="",MIN(AX$38,$D$19)&lt;MAX($P$708*($B875+IF($R$17="Distrato",$I$38-1,0)),IF(AND($L$711=0,$P$708=0),"",$L$711-1),IF($R$17="Distrato",$E875,0))),0,YEARFRAC(MAX($P$708*($B875+IF($R$17="Distrato",$I$38-1,0)),IF(AND($L$711=0,$P$708=0),"",$L$711-1),IF($R$17="Distrato",$E875,0)),MIN(AX$38,$D$19),$P$20))-SUM($P875:AW875)</f>
        <v>#VALUE!</v>
      </c>
      <c r="AY875" s="446" t="e">
        <f>IF(OR($B875="",MIN(AY$38,$D$19)&lt;MAX($P$708*($B875+IF($R$17="Distrato",$I$38-1,0)),IF(AND($L$711=0,$P$708=0),"",$L$711-1),IF($R$17="Distrato",$E875,0))),0,YEARFRAC(MAX($P$708*($B875+IF($R$17="Distrato",$I$38-1,0)),IF(AND($L$711=0,$P$708=0),"",$L$711-1),IF($R$17="Distrato",$E875,0)),MIN(AY$38,$D$19),$P$20))-SUM($P875:AX875)</f>
        <v>#VALUE!</v>
      </c>
      <c r="AZ875" s="446" t="e">
        <f>IF(OR($B875="",MIN(AZ$38,$D$19)&lt;MAX($P$708*($B875+IF($R$17="Distrato",$I$38-1,0)),IF(AND($L$711=0,$P$708=0),"",$L$711-1),IF($R$17="Distrato",$E875,0))),0,YEARFRAC(MAX($P$708*($B875+IF($R$17="Distrato",$I$38-1,0)),IF(AND($L$711=0,$P$708=0),"",$L$711-1),IF($R$17="Distrato",$E875,0)),MIN(AZ$38,$D$19),$P$20))-SUM($P875:AY875)</f>
        <v>#VALUE!</v>
      </c>
      <c r="BA875" s="446" t="e">
        <f>IF(OR($B875="",MIN(BA$38,$D$19)&lt;MAX($P$708*($B875+IF($R$17="Distrato",$I$38-1,0)),IF(AND($L$711=0,$P$708=0),"",$L$711-1),IF($R$17="Distrato",$E875,0))),0,YEARFRAC(MAX($P$708*($B875+IF($R$17="Distrato",$I$38-1,0)),IF(AND($L$711=0,$P$708=0),"",$L$711-1),IF($R$17="Distrato",$E875,0)),MIN(BA$38,$D$19),$P$20))-SUM($P875:AZ875)</f>
        <v>#VALUE!</v>
      </c>
      <c r="BB875" s="447"/>
    </row>
    <row r="876" spans="1:54" s="446" customFormat="1" ht="11.25" hidden="1" customHeight="1" x14ac:dyDescent="0.2">
      <c r="A876" s="235"/>
      <c r="B876" s="236"/>
      <c r="C876" s="29" t="str">
        <f>IF(B876="","",IF($L$709=$BL$25,VLOOKUP(DATE(YEAR($D$19),MONTH($D$19)-1,1),ÍNDICES!$A:$DE,HLOOKUP($BL$25,ÍNDICES!$B$3:$T$4,2)+11)-VLOOKUP(B876,ÍNDICES!$A:$DE,HLOOKUP($BL$25,ÍNDICES!$B$3:$T$4,2)+11)+1%,IF(C$712=$W$26,$J$35,IF(ISERROR(IF(B876&gt;$D$19,1,VLOOKUP(DATE(YEAR(B876),MONTH(B876)+IF($C$709=$S$23,1,0),1),ÍNDICES!$A:$DE,$Z$709+1))),"",IF(B876&gt;$D$19,1,VLOOKUP(DATE(YEAR(B876),MONTH(B876)+IF($C$709=$S$23,1,0),1),ÍNDICES!$A:$DE,$Z$709+1))))))</f>
        <v/>
      </c>
      <c r="D876" s="155"/>
      <c r="E876" s="88"/>
      <c r="F876" s="88"/>
      <c r="G876" s="88"/>
      <c r="H876" s="118"/>
      <c r="I876" s="182">
        <f t="shared" si="129"/>
        <v>0</v>
      </c>
      <c r="J876" s="20">
        <f t="shared" ca="1" si="130"/>
        <v>0</v>
      </c>
      <c r="K876" s="5">
        <f t="shared" ca="1" si="131"/>
        <v>0</v>
      </c>
      <c r="L876" s="61">
        <f t="shared" ca="1" si="132"/>
        <v>0</v>
      </c>
      <c r="M876" s="64">
        <f t="shared" si="133"/>
        <v>0</v>
      </c>
      <c r="N876" s="151"/>
      <c r="O876" s="5">
        <f t="shared" ca="1" si="134"/>
        <v>0</v>
      </c>
      <c r="P876" s="446" t="e">
        <f t="shared" si="135"/>
        <v>#VALUE!</v>
      </c>
      <c r="Q876" s="446" t="e">
        <f>IF(OR($B876="",MIN(Q$38,$D$19)&lt;MAX($P$708*($B876+IF($R$17="Distrato",$I$38-1,0)),IF(AND($L$711=0,$P$708=0),"",$L$711-1),IF($R$17="Distrato",$E876,0))),0,YEARFRAC(MAX($P$708*($B876+IF($R$17="Distrato",$I$38-1,0)),IF(AND($L$711=0,$P$708=0),"",$L$711-1),IF($R$17="Distrato",$E876,0)),MIN(Q$38,$D$19),$P$20))-SUM($P876:P876)</f>
        <v>#VALUE!</v>
      </c>
      <c r="R876" s="446" t="e">
        <f>IF(OR($B876="",MIN(R$38,$D$19)&lt;MAX($P$708*($B876+IF($R$17="Distrato",$I$38-1,0)),IF(AND($L$711=0,$P$708=0),"",$L$711-1),IF($R$17="Distrato",$E876,0))),0,YEARFRAC(MAX($P$708*($B876+IF($R$17="Distrato",$I$38-1,0)),IF(AND($L$711=0,$P$708=0),"",$L$711-1),IF($R$17="Distrato",$E876,0)),MIN(R$38,$D$19),$P$20))-SUM($P876:Q876)</f>
        <v>#VALUE!</v>
      </c>
      <c r="S876" s="446" t="e">
        <f>IF(OR($B876="",MIN(S$38,$D$19)&lt;MAX($P$708*($B876+IF($R$17="Distrato",$I$38-1,0)),IF(AND($L$711=0,$P$708=0),"",$L$711-1),IF($R$17="Distrato",$E876,0))),0,YEARFRAC(MAX($P$708*($B876+IF($R$17="Distrato",$I$38-1,0)),IF(AND($L$711=0,$P$708=0),"",$L$711-1),IF($R$17="Distrato",$E876,0)),MIN(S$38,$D$19),$P$20))-SUM($P876:R876)</f>
        <v>#VALUE!</v>
      </c>
      <c r="T876" s="446" t="e">
        <f>IF(OR($B876="",MIN(T$38,$D$19)&lt;MAX($P$708*($B876+IF($R$17="Distrato",$I$38-1,0)),IF(AND($L$711=0,$P$708=0),"",$L$711-1),IF($R$17="Distrato",$E876,0))),0,YEARFRAC(MAX($P$708*($B876+IF($R$17="Distrato",$I$38-1,0)),IF(AND($L$711=0,$P$708=0),"",$L$711-1),IF($R$17="Distrato",$E876,0)),MIN(T$38,$D$19),$P$20))-SUM($P876:S876)</f>
        <v>#VALUE!</v>
      </c>
      <c r="U876" s="446" t="e">
        <f>IF(OR($B876="",MIN(U$38,$D$19)&lt;MAX($P$708*($B876+IF($R$17="Distrato",$I$38-1,0)),IF(AND($L$711=0,$P$708=0),"",$L$711-1),IF($R$17="Distrato",$E876,0))),0,YEARFRAC(MAX($P$708*($B876+IF($R$17="Distrato",$I$38-1,0)),IF(AND($L$711=0,$P$708=0),"",$L$711-1),IF($R$17="Distrato",$E876,0)),MIN(U$38,$D$19),$P$20))-SUM($P876:T876)</f>
        <v>#VALUE!</v>
      </c>
      <c r="V876" s="446" t="e">
        <f>IF(OR($B876="",MIN(V$38,$D$19)&lt;MAX($P$708*($B876+IF($R$17="Distrato",$I$38-1,0)),IF(AND($L$711=0,$P$708=0),"",$L$711-1),IF($R$17="Distrato",$E876,0))),0,YEARFRAC(MAX($P$708*($B876+IF($R$17="Distrato",$I$38-1,0)),IF(AND($L$711=0,$P$708=0),"",$L$711-1),IF($R$17="Distrato",$E876,0)),MIN(V$38,$D$19),$P$20))-SUM($P876:U876)</f>
        <v>#VALUE!</v>
      </c>
      <c r="W876" s="446" t="e">
        <f>IF(OR($B876="",MIN(W$38,$D$19)&lt;MAX($P$708*($B876+IF($R$17="Distrato",$I$38-1,0)),IF(AND($L$711=0,$P$708=0),"",$L$711-1),IF($R$17="Distrato",$E876,0))),0,YEARFRAC(MAX($P$708*($B876+IF($R$17="Distrato",$I$38-1,0)),IF(AND($L$711=0,$P$708=0),"",$L$711-1),IF($R$17="Distrato",$E876,0)),MIN(W$38,$D$19),$P$20))-SUM($P876:V876)</f>
        <v>#VALUE!</v>
      </c>
      <c r="X876" s="446" t="e">
        <f>IF(OR($B876="",MIN(X$38,$D$19)&lt;MAX($P$708*($B876+IF($R$17="Distrato",$I$38-1,0)),IF(AND($L$711=0,$P$708=0),"",$L$711-1),IF($R$17="Distrato",$E876,0))),0,YEARFRAC(MAX($P$708*($B876+IF($R$17="Distrato",$I$38-1,0)),IF(AND($L$711=0,$P$708=0),"",$L$711-1),IF($R$17="Distrato",$E876,0)),MIN(X$38,$D$19),$P$20))-SUM($P876:W876)</f>
        <v>#VALUE!</v>
      </c>
      <c r="Y876" s="446" t="e">
        <f>IF(OR($B876="",MIN(Y$38,$D$19)&lt;MAX($P$708*($B876+IF($R$17="Distrato",$I$38-1,0)),IF(AND($L$711=0,$P$708=0),"",$L$711-1),IF($R$17="Distrato",$E876,0))),0,YEARFRAC(MAX($P$708*($B876+IF($R$17="Distrato",$I$38-1,0)),IF(AND($L$711=0,$P$708=0),"",$L$711-1),IF($R$17="Distrato",$E876,0)),MIN(Y$38,$D$19),$P$20))-SUM($P876:X876)</f>
        <v>#VALUE!</v>
      </c>
      <c r="Z876" s="446" t="e">
        <f>IF(OR($B876="",MIN(Z$38,$D$19)&lt;MAX($P$708*($B876+IF($R$17="Distrato",$I$38-1,0)),IF(AND($L$711=0,$P$708=0),"",$L$711-1),IF($R$17="Distrato",$E876,0))),0,YEARFRAC(MAX($P$708*($B876+IF($R$17="Distrato",$I$38-1,0)),IF(AND($L$711=0,$P$708=0),"",$L$711-1),IF($R$17="Distrato",$E876,0)),MIN(Z$38,$D$19),$P$20))-SUM($P876:Y876)</f>
        <v>#VALUE!</v>
      </c>
      <c r="AA876" s="446" t="e">
        <f>IF(OR($B876="",MIN(AA$38,$D$19)&lt;MAX($P$708*($B876+IF($R$17="Distrato",$I$38-1,0)),IF(AND($L$711=0,$P$708=0),"",$L$711-1),IF($R$17="Distrato",$E876,0))),0,YEARFRAC(MAX($P$708*($B876+IF($R$17="Distrato",$I$38-1,0)),IF(AND($L$711=0,$P$708=0),"",$L$711-1),IF($R$17="Distrato",$E876,0)),MIN(AA$38,$D$19),$P$20))-SUM($P876:Z876)</f>
        <v>#VALUE!</v>
      </c>
      <c r="AB876" s="446" t="e">
        <f>IF(OR($B876="",MIN(AB$38,$D$19)&lt;MAX($P$708*($B876+IF($R$17="Distrato",$I$38-1,0)),IF(AND($L$711=0,$P$708=0),"",$L$711-1),IF($R$17="Distrato",$E876,0))),0,YEARFRAC(MAX($P$708*($B876+IF($R$17="Distrato",$I$38-1,0)),IF(AND($L$711=0,$P$708=0),"",$L$711-1),IF($R$17="Distrato",$E876,0)),MIN(AB$38,$D$19),$P$20))-SUM($P876:AA876)</f>
        <v>#VALUE!</v>
      </c>
      <c r="AC876" s="446" t="e">
        <f>IF(OR($B876="",MIN(AC$38,$D$19)&lt;MAX($P$708*($B876+IF($R$17="Distrato",$I$38-1,0)),IF(AND($L$711=0,$P$708=0),"",$L$711-1),IF($R$17="Distrato",$E876,0))),0,YEARFRAC(MAX($P$708*($B876+IF($R$17="Distrato",$I$38-1,0)),IF(AND($L$711=0,$P$708=0),"",$L$711-1),IF($R$17="Distrato",$E876,0)),MIN(AC$38,$D$19),$P$20))-SUM($P876:AB876)</f>
        <v>#VALUE!</v>
      </c>
      <c r="AD876" s="446" t="e">
        <f>IF(OR($B876="",MIN(AD$38,$D$19)&lt;MAX($P$708*($B876+IF($R$17="Distrato",$I$38-1,0)),IF(AND($L$711=0,$P$708=0),"",$L$711-1),IF($R$17="Distrato",$E876,0))),0,YEARFRAC(MAX($P$708*($B876+IF($R$17="Distrato",$I$38-1,0)),IF(AND($L$711=0,$P$708=0),"",$L$711-1),IF($R$17="Distrato",$E876,0)),MIN(AD$38,$D$19),$P$20))-SUM($P876:AC876)</f>
        <v>#VALUE!</v>
      </c>
      <c r="AE876" s="446" t="e">
        <f>IF(OR($B876="",MIN(AE$38,$D$19)&lt;MAX($P$708*($B876+IF($R$17="Distrato",$I$38-1,0)),IF(AND($L$711=0,$P$708=0),"",$L$711-1),IF($R$17="Distrato",$E876,0))),0,YEARFRAC(MAX($P$708*($B876+IF($R$17="Distrato",$I$38-1,0)),IF(AND($L$711=0,$P$708=0),"",$L$711-1),IF($R$17="Distrato",$E876,0)),MIN(AE$38,$D$19),$P$20))-SUM($P876:AD876)</f>
        <v>#VALUE!</v>
      </c>
      <c r="AF876" s="446" t="e">
        <f>IF(OR($B876="",MIN(AF$38,$D$19)&lt;MAX($P$708*($B876+IF($R$17="Distrato",$I$38-1,0)),IF(AND($L$711=0,$P$708=0),"",$L$711-1),IF($R$17="Distrato",$E876,0))),0,YEARFRAC(MAX($P$708*($B876+IF($R$17="Distrato",$I$38-1,0)),IF(AND($L$711=0,$P$708=0),"",$L$711-1),IF($R$17="Distrato",$E876,0)),MIN(AF$38,$D$19),$P$20))-SUM($P876:AE876)</f>
        <v>#VALUE!</v>
      </c>
      <c r="AG876" s="446" t="e">
        <f>IF(OR($B876="",MIN(AG$38,$D$19)&lt;MAX($P$708*($B876+IF($R$17="Distrato",$I$38-1,0)),IF(AND($L$711=0,$P$708=0),"",$L$711-1),IF($R$17="Distrato",$E876,0))),0,YEARFRAC(MAX($P$708*($B876+IF($R$17="Distrato",$I$38-1,0)),IF(AND($L$711=0,$P$708=0),"",$L$711-1),IF($R$17="Distrato",$E876,0)),MIN(AG$38,$D$19),$P$20))-SUM($P876:AF876)</f>
        <v>#VALUE!</v>
      </c>
      <c r="AH876" s="446" t="e">
        <f>IF(OR($B876="",MIN(AH$38,$D$19)&lt;MAX($P$708*($B876+IF($R$17="Distrato",$I$38-1,0)),IF(AND($L$711=0,$P$708=0),"",$L$711-1),IF($R$17="Distrato",$E876,0))),0,YEARFRAC(MAX($P$708*($B876+IF($R$17="Distrato",$I$38-1,0)),IF(AND($L$711=0,$P$708=0),"",$L$711-1),IF($R$17="Distrato",$E876,0)),MIN(AH$38,$D$19),$P$20))-SUM($P876:AG876)</f>
        <v>#VALUE!</v>
      </c>
      <c r="AI876" s="446" t="e">
        <f>IF(OR($B876="",MIN(AI$38,$D$19)&lt;MAX($P$708*($B876+IF($R$17="Distrato",$I$38-1,0)),IF(AND($L$711=0,$P$708=0),"",$L$711-1),IF($R$17="Distrato",$E876,0))),0,YEARFRAC(MAX($P$708*($B876+IF($R$17="Distrato",$I$38-1,0)),IF(AND($L$711=0,$P$708=0),"",$L$711-1),IF($R$17="Distrato",$E876,0)),MIN(AI$38,$D$19),$P$20))-SUM($P876:AH876)</f>
        <v>#VALUE!</v>
      </c>
      <c r="AJ876" s="446" t="e">
        <f>IF(OR($B876="",MIN(AJ$38,$D$19)&lt;MAX($P$708*($B876+IF($R$17="Distrato",$I$38-1,0)),IF(AND($L$711=0,$P$708=0),"",$L$711-1),IF($R$17="Distrato",$E876,0))),0,YEARFRAC(MAX($P$708*($B876+IF($R$17="Distrato",$I$38-1,0)),IF(AND($L$711=0,$P$708=0),"",$L$711-1),IF($R$17="Distrato",$E876,0)),MIN(AJ$38,$D$19),$P$20))-SUM($P876:AI876)</f>
        <v>#VALUE!</v>
      </c>
      <c r="AK876" s="446" t="e">
        <f>IF(OR($B876="",MIN(AK$38,$D$19)&lt;MAX($P$708*($B876+IF($R$17="Distrato",$I$38-1,0)),IF(AND($L$711=0,$P$708=0),"",$L$711-1),IF($R$17="Distrato",$E876,0))),0,YEARFRAC(MAX($P$708*($B876+IF($R$17="Distrato",$I$38-1,0)),IF(AND($L$711=0,$P$708=0),"",$L$711-1),IF($R$17="Distrato",$E876,0)),MIN(AK$38,$D$19),$P$20))-SUM($P876:AJ876)</f>
        <v>#VALUE!</v>
      </c>
      <c r="AL876" s="446" t="e">
        <f>IF(OR($B876="",MIN(AL$38,$D$19)&lt;MAX($P$708*($B876+IF($R$17="Distrato",$I$38-1,0)),IF(AND($L$711=0,$P$708=0),"",$L$711-1),IF($R$17="Distrato",$E876,0))),0,YEARFRAC(MAX($P$708*($B876+IF($R$17="Distrato",$I$38-1,0)),IF(AND($L$711=0,$P$708=0),"",$L$711-1),IF($R$17="Distrato",$E876,0)),MIN(AL$38,$D$19),$P$20))-SUM($P876:AK876)</f>
        <v>#VALUE!</v>
      </c>
      <c r="AM876" s="446" t="e">
        <f>IF(OR($B876="",MIN(AM$38,$D$19)&lt;MAX($P$708*($B876+IF($R$17="Distrato",$I$38-1,0)),IF(AND($L$711=0,$P$708=0),"",$L$711-1),IF($R$17="Distrato",$E876,0))),0,YEARFRAC(MAX($P$708*($B876+IF($R$17="Distrato",$I$38-1,0)),IF(AND($L$711=0,$P$708=0),"",$L$711-1),IF($R$17="Distrato",$E876,0)),MIN(AM$38,$D$19),$P$20))-SUM($P876:AL876)</f>
        <v>#VALUE!</v>
      </c>
      <c r="AN876" s="446" t="e">
        <f>IF(OR($B876="",MIN(AN$38,$D$19)&lt;MAX($P$708*($B876+IF($R$17="Distrato",$I$38-1,0)),IF(AND($L$711=0,$P$708=0),"",$L$711-1),IF($R$17="Distrato",$E876,0))),0,YEARFRAC(MAX($P$708*($B876+IF($R$17="Distrato",$I$38-1,0)),IF(AND($L$711=0,$P$708=0),"",$L$711-1),IF($R$17="Distrato",$E876,0)),MIN(AN$38,$D$19),$P$20))-SUM($P876:AM876)</f>
        <v>#VALUE!</v>
      </c>
      <c r="AO876" s="446" t="e">
        <f>IF(OR($B876="",MIN(AO$38,$D$19)&lt;MAX($P$708*($B876+IF($R$17="Distrato",$I$38-1,0)),IF(AND($L$711=0,$P$708=0),"",$L$711-1),IF($R$17="Distrato",$E876,0))),0,YEARFRAC(MAX($P$708*($B876+IF($R$17="Distrato",$I$38-1,0)),IF(AND($L$711=0,$P$708=0),"",$L$711-1),IF($R$17="Distrato",$E876,0)),MIN(AO$38,$D$19),$P$20))-SUM($P876:AN876)</f>
        <v>#VALUE!</v>
      </c>
      <c r="AP876" s="446" t="e">
        <f>IF(OR($B876="",MIN(AP$38,$D$19)&lt;MAX($P$708*($B876+IF($R$17="Distrato",$I$38-1,0)),IF(AND($L$711=0,$P$708=0),"",$L$711-1),IF($R$17="Distrato",$E876,0))),0,YEARFRAC(MAX($P$708*($B876+IF($R$17="Distrato",$I$38-1,0)),IF(AND($L$711=0,$P$708=0),"",$L$711-1),IF($R$17="Distrato",$E876,0)),MIN(AP$38,$D$19),$P$20))-SUM($P876:AO876)</f>
        <v>#VALUE!</v>
      </c>
      <c r="AQ876" s="446" t="e">
        <f>IF(OR($B876="",MIN(AQ$38,$D$19)&lt;MAX($P$708*($B876+IF($R$17="Distrato",$I$38-1,0)),IF(AND($L$711=0,$P$708=0),"",$L$711-1),IF($R$17="Distrato",$E876,0))),0,YEARFRAC(MAX($P$708*($B876+IF($R$17="Distrato",$I$38-1,0)),IF(AND($L$711=0,$P$708=0),"",$L$711-1),IF($R$17="Distrato",$E876,0)),MIN(AQ$38,$D$19),$P$20))-SUM($P876:AP876)</f>
        <v>#VALUE!</v>
      </c>
      <c r="AR876" s="446" t="e">
        <f>IF(OR($B876="",MIN(AR$38,$D$19)&lt;MAX($P$708*($B876+IF($R$17="Distrato",$I$38-1,0)),IF(AND($L$711=0,$P$708=0),"",$L$711-1),IF($R$17="Distrato",$E876,0))),0,YEARFRAC(MAX($P$708*($B876+IF($R$17="Distrato",$I$38-1,0)),IF(AND($L$711=0,$P$708=0),"",$L$711-1),IF($R$17="Distrato",$E876,0)),MIN(AR$38,$D$19),$P$20))-SUM($P876:AQ876)</f>
        <v>#VALUE!</v>
      </c>
      <c r="AS876" s="446" t="e">
        <f>IF(OR($B876="",MIN(AS$38,$D$19)&lt;MAX($P$708*($B876+IF($R$17="Distrato",$I$38-1,0)),IF(AND($L$711=0,$P$708=0),"",$L$711-1),IF($R$17="Distrato",$E876,0))),0,YEARFRAC(MAX($P$708*($B876+IF($R$17="Distrato",$I$38-1,0)),IF(AND($L$711=0,$P$708=0),"",$L$711-1),IF($R$17="Distrato",$E876,0)),MIN(AS$38,$D$19),$P$20))-SUM($P876:AR876)</f>
        <v>#VALUE!</v>
      </c>
      <c r="AT876" s="446" t="e">
        <f>IF(OR($B876="",MIN(AT$38,$D$19)&lt;MAX($P$708*($B876+IF($R$17="Distrato",$I$38-1,0)),IF(AND($L$711=0,$P$708=0),"",$L$711-1),IF($R$17="Distrato",$E876,0))),0,YEARFRAC(MAX($P$708*($B876+IF($R$17="Distrato",$I$38-1,0)),IF(AND($L$711=0,$P$708=0),"",$L$711-1),IF($R$17="Distrato",$E876,0)),MIN(AT$38,$D$19),$P$20))-SUM($P876:AS876)</f>
        <v>#VALUE!</v>
      </c>
      <c r="AU876" s="446" t="e">
        <f>IF(OR($B876="",MIN(AU$38,$D$19)&lt;MAX($P$708*($B876+IF($R$17="Distrato",$I$38-1,0)),IF(AND($L$711=0,$P$708=0),"",$L$711-1),IF($R$17="Distrato",$E876,0))),0,YEARFRAC(MAX($P$708*($B876+IF($R$17="Distrato",$I$38-1,0)),IF(AND($L$711=0,$P$708=0),"",$L$711-1),IF($R$17="Distrato",$E876,0)),MIN(AU$38,$D$19),$P$20))-SUM($P876:AT876)</f>
        <v>#VALUE!</v>
      </c>
      <c r="AV876" s="446" t="e">
        <f>IF(OR($B876="",MIN(AV$38,$D$19)&lt;MAX($P$708*($B876+IF($R$17="Distrato",$I$38-1,0)),IF(AND($L$711=0,$P$708=0),"",$L$711-1),IF($R$17="Distrato",$E876,0))),0,YEARFRAC(MAX($P$708*($B876+IF($R$17="Distrato",$I$38-1,0)),IF(AND($L$711=0,$P$708=0),"",$L$711-1),IF($R$17="Distrato",$E876,0)),MIN(AV$38,$D$19),$P$20))-SUM($P876:AU876)</f>
        <v>#VALUE!</v>
      </c>
      <c r="AW876" s="446" t="e">
        <f>IF(OR($B876="",MIN(AW$38,$D$19)&lt;MAX($P$708*($B876+IF($R$17="Distrato",$I$38-1,0)),IF(AND($L$711=0,$P$708=0),"",$L$711-1),IF($R$17="Distrato",$E876,0))),0,YEARFRAC(MAX($P$708*($B876+IF($R$17="Distrato",$I$38-1,0)),IF(AND($L$711=0,$P$708=0),"",$L$711-1),IF($R$17="Distrato",$E876,0)),MIN(AW$38,$D$19),$P$20))-SUM($P876:AV876)</f>
        <v>#VALUE!</v>
      </c>
      <c r="AX876" s="446" t="e">
        <f>IF(OR($B876="",MIN(AX$38,$D$19)&lt;MAX($P$708*($B876+IF($R$17="Distrato",$I$38-1,0)),IF(AND($L$711=0,$P$708=0),"",$L$711-1),IF($R$17="Distrato",$E876,0))),0,YEARFRAC(MAX($P$708*($B876+IF($R$17="Distrato",$I$38-1,0)),IF(AND($L$711=0,$P$708=0),"",$L$711-1),IF($R$17="Distrato",$E876,0)),MIN(AX$38,$D$19),$P$20))-SUM($P876:AW876)</f>
        <v>#VALUE!</v>
      </c>
      <c r="AY876" s="446" t="e">
        <f>IF(OR($B876="",MIN(AY$38,$D$19)&lt;MAX($P$708*($B876+IF($R$17="Distrato",$I$38-1,0)),IF(AND($L$711=0,$P$708=0),"",$L$711-1),IF($R$17="Distrato",$E876,0))),0,YEARFRAC(MAX($P$708*($B876+IF($R$17="Distrato",$I$38-1,0)),IF(AND($L$711=0,$P$708=0),"",$L$711-1),IF($R$17="Distrato",$E876,0)),MIN(AY$38,$D$19),$P$20))-SUM($P876:AX876)</f>
        <v>#VALUE!</v>
      </c>
      <c r="AZ876" s="446" t="e">
        <f>IF(OR($B876="",MIN(AZ$38,$D$19)&lt;MAX($P$708*($B876+IF($R$17="Distrato",$I$38-1,0)),IF(AND($L$711=0,$P$708=0),"",$L$711-1),IF($R$17="Distrato",$E876,0))),0,YEARFRAC(MAX($P$708*($B876+IF($R$17="Distrato",$I$38-1,0)),IF(AND($L$711=0,$P$708=0),"",$L$711-1),IF($R$17="Distrato",$E876,0)),MIN(AZ$38,$D$19),$P$20))-SUM($P876:AY876)</f>
        <v>#VALUE!</v>
      </c>
      <c r="BA876" s="446" t="e">
        <f>IF(OR($B876="",MIN(BA$38,$D$19)&lt;MAX($P$708*($B876+IF($R$17="Distrato",$I$38-1,0)),IF(AND($L$711=0,$P$708=0),"",$L$711-1),IF($R$17="Distrato",$E876,0))),0,YEARFRAC(MAX($P$708*($B876+IF($R$17="Distrato",$I$38-1,0)),IF(AND($L$711=0,$P$708=0),"",$L$711-1),IF($R$17="Distrato",$E876,0)),MIN(BA$38,$D$19),$P$20))-SUM($P876:AZ876)</f>
        <v>#VALUE!</v>
      </c>
      <c r="BB876" s="447"/>
    </row>
    <row r="877" spans="1:54" s="446" customFormat="1" ht="11.25" hidden="1" customHeight="1" x14ac:dyDescent="0.2">
      <c r="A877" s="235"/>
      <c r="B877" s="236"/>
      <c r="C877" s="29" t="str">
        <f>IF(B877="","",IF($L$709=$BL$25,VLOOKUP(DATE(YEAR($D$19),MONTH($D$19)-1,1),ÍNDICES!$A:$DE,HLOOKUP($BL$25,ÍNDICES!$B$3:$T$4,2)+11)-VLOOKUP(B877,ÍNDICES!$A:$DE,HLOOKUP($BL$25,ÍNDICES!$B$3:$T$4,2)+11)+1%,IF(C$712=$W$26,$J$35,IF(ISERROR(IF(B877&gt;$D$19,1,VLOOKUP(DATE(YEAR(B877),MONTH(B877)+IF($C$709=$S$23,1,0),1),ÍNDICES!$A:$DE,$Z$709+1))),"",IF(B877&gt;$D$19,1,VLOOKUP(DATE(YEAR(B877),MONTH(B877)+IF($C$709=$S$23,1,0),1),ÍNDICES!$A:$DE,$Z$709+1))))))</f>
        <v/>
      </c>
      <c r="D877" s="155"/>
      <c r="E877" s="88"/>
      <c r="F877" s="88"/>
      <c r="G877" s="88"/>
      <c r="H877" s="118"/>
      <c r="I877" s="182">
        <f t="shared" si="129"/>
        <v>0</v>
      </c>
      <c r="J877" s="20">
        <f t="shared" ca="1" si="130"/>
        <v>0</v>
      </c>
      <c r="K877" s="5">
        <f t="shared" ca="1" si="131"/>
        <v>0</v>
      </c>
      <c r="L877" s="61">
        <f t="shared" ca="1" si="132"/>
        <v>0</v>
      </c>
      <c r="M877" s="64">
        <f t="shared" si="133"/>
        <v>0</v>
      </c>
      <c r="N877" s="151"/>
      <c r="O877" s="5">
        <f t="shared" ca="1" si="134"/>
        <v>0</v>
      </c>
      <c r="P877" s="446" t="e">
        <f t="shared" si="135"/>
        <v>#VALUE!</v>
      </c>
      <c r="Q877" s="446" t="e">
        <f>IF(OR($B877="",MIN(Q$38,$D$19)&lt;MAX($P$708*($B877+IF($R$17="Distrato",$I$38-1,0)),IF(AND($L$711=0,$P$708=0),"",$L$711-1),IF($R$17="Distrato",$E877,0))),0,YEARFRAC(MAX($P$708*($B877+IF($R$17="Distrato",$I$38-1,0)),IF(AND($L$711=0,$P$708=0),"",$L$711-1),IF($R$17="Distrato",$E877,0)),MIN(Q$38,$D$19),$P$20))-SUM($P877:P877)</f>
        <v>#VALUE!</v>
      </c>
      <c r="R877" s="446" t="e">
        <f>IF(OR($B877="",MIN(R$38,$D$19)&lt;MAX($P$708*($B877+IF($R$17="Distrato",$I$38-1,0)),IF(AND($L$711=0,$P$708=0),"",$L$711-1),IF($R$17="Distrato",$E877,0))),0,YEARFRAC(MAX($P$708*($B877+IF($R$17="Distrato",$I$38-1,0)),IF(AND($L$711=0,$P$708=0),"",$L$711-1),IF($R$17="Distrato",$E877,0)),MIN(R$38,$D$19),$P$20))-SUM($P877:Q877)</f>
        <v>#VALUE!</v>
      </c>
      <c r="S877" s="446" t="e">
        <f>IF(OR($B877="",MIN(S$38,$D$19)&lt;MAX($P$708*($B877+IF($R$17="Distrato",$I$38-1,0)),IF(AND($L$711=0,$P$708=0),"",$L$711-1),IF($R$17="Distrato",$E877,0))),0,YEARFRAC(MAX($P$708*($B877+IF($R$17="Distrato",$I$38-1,0)),IF(AND($L$711=0,$P$708=0),"",$L$711-1),IF($R$17="Distrato",$E877,0)),MIN(S$38,$D$19),$P$20))-SUM($P877:R877)</f>
        <v>#VALUE!</v>
      </c>
      <c r="T877" s="446" t="e">
        <f>IF(OR($B877="",MIN(T$38,$D$19)&lt;MAX($P$708*($B877+IF($R$17="Distrato",$I$38-1,0)),IF(AND($L$711=0,$P$708=0),"",$L$711-1),IF($R$17="Distrato",$E877,0))),0,YEARFRAC(MAX($P$708*($B877+IF($R$17="Distrato",$I$38-1,0)),IF(AND($L$711=0,$P$708=0),"",$L$711-1),IF($R$17="Distrato",$E877,0)),MIN(T$38,$D$19),$P$20))-SUM($P877:S877)</f>
        <v>#VALUE!</v>
      </c>
      <c r="U877" s="446" t="e">
        <f>IF(OR($B877="",MIN(U$38,$D$19)&lt;MAX($P$708*($B877+IF($R$17="Distrato",$I$38-1,0)),IF(AND($L$711=0,$P$708=0),"",$L$711-1),IF($R$17="Distrato",$E877,0))),0,YEARFRAC(MAX($P$708*($B877+IF($R$17="Distrato",$I$38-1,0)),IF(AND($L$711=0,$P$708=0),"",$L$711-1),IF($R$17="Distrato",$E877,0)),MIN(U$38,$D$19),$P$20))-SUM($P877:T877)</f>
        <v>#VALUE!</v>
      </c>
      <c r="V877" s="446" t="e">
        <f>IF(OR($B877="",MIN(V$38,$D$19)&lt;MAX($P$708*($B877+IF($R$17="Distrato",$I$38-1,0)),IF(AND($L$711=0,$P$708=0),"",$L$711-1),IF($R$17="Distrato",$E877,0))),0,YEARFRAC(MAX($P$708*($B877+IF($R$17="Distrato",$I$38-1,0)),IF(AND($L$711=0,$P$708=0),"",$L$711-1),IF($R$17="Distrato",$E877,0)),MIN(V$38,$D$19),$P$20))-SUM($P877:U877)</f>
        <v>#VALUE!</v>
      </c>
      <c r="W877" s="446" t="e">
        <f>IF(OR($B877="",MIN(W$38,$D$19)&lt;MAX($P$708*($B877+IF($R$17="Distrato",$I$38-1,0)),IF(AND($L$711=0,$P$708=0),"",$L$711-1),IF($R$17="Distrato",$E877,0))),0,YEARFRAC(MAX($P$708*($B877+IF($R$17="Distrato",$I$38-1,0)),IF(AND($L$711=0,$P$708=0),"",$L$711-1),IF($R$17="Distrato",$E877,0)),MIN(W$38,$D$19),$P$20))-SUM($P877:V877)</f>
        <v>#VALUE!</v>
      </c>
      <c r="X877" s="446" t="e">
        <f>IF(OR($B877="",MIN(X$38,$D$19)&lt;MAX($P$708*($B877+IF($R$17="Distrato",$I$38-1,0)),IF(AND($L$711=0,$P$708=0),"",$L$711-1),IF($R$17="Distrato",$E877,0))),0,YEARFRAC(MAX($P$708*($B877+IF($R$17="Distrato",$I$38-1,0)),IF(AND($L$711=0,$P$708=0),"",$L$711-1),IF($R$17="Distrato",$E877,0)),MIN(X$38,$D$19),$P$20))-SUM($P877:W877)</f>
        <v>#VALUE!</v>
      </c>
      <c r="Y877" s="446" t="e">
        <f>IF(OR($B877="",MIN(Y$38,$D$19)&lt;MAX($P$708*($B877+IF($R$17="Distrato",$I$38-1,0)),IF(AND($L$711=0,$P$708=0),"",$L$711-1),IF($R$17="Distrato",$E877,0))),0,YEARFRAC(MAX($P$708*($B877+IF($R$17="Distrato",$I$38-1,0)),IF(AND($L$711=0,$P$708=0),"",$L$711-1),IF($R$17="Distrato",$E877,0)),MIN(Y$38,$D$19),$P$20))-SUM($P877:X877)</f>
        <v>#VALUE!</v>
      </c>
      <c r="Z877" s="446" t="e">
        <f>IF(OR($B877="",MIN(Z$38,$D$19)&lt;MAX($P$708*($B877+IF($R$17="Distrato",$I$38-1,0)),IF(AND($L$711=0,$P$708=0),"",$L$711-1),IF($R$17="Distrato",$E877,0))),0,YEARFRAC(MAX($P$708*($B877+IF($R$17="Distrato",$I$38-1,0)),IF(AND($L$711=0,$P$708=0),"",$L$711-1),IF($R$17="Distrato",$E877,0)),MIN(Z$38,$D$19),$P$20))-SUM($P877:Y877)</f>
        <v>#VALUE!</v>
      </c>
      <c r="AA877" s="446" t="e">
        <f>IF(OR($B877="",MIN(AA$38,$D$19)&lt;MAX($P$708*($B877+IF($R$17="Distrato",$I$38-1,0)),IF(AND($L$711=0,$P$708=0),"",$L$711-1),IF($R$17="Distrato",$E877,0))),0,YEARFRAC(MAX($P$708*($B877+IF($R$17="Distrato",$I$38-1,0)),IF(AND($L$711=0,$P$708=0),"",$L$711-1),IF($R$17="Distrato",$E877,0)),MIN(AA$38,$D$19),$P$20))-SUM($P877:Z877)</f>
        <v>#VALUE!</v>
      </c>
      <c r="AB877" s="446" t="e">
        <f>IF(OR($B877="",MIN(AB$38,$D$19)&lt;MAX($P$708*($B877+IF($R$17="Distrato",$I$38-1,0)),IF(AND($L$711=0,$P$708=0),"",$L$711-1),IF($R$17="Distrato",$E877,0))),0,YEARFRAC(MAX($P$708*($B877+IF($R$17="Distrato",$I$38-1,0)),IF(AND($L$711=0,$P$708=0),"",$L$711-1),IF($R$17="Distrato",$E877,0)),MIN(AB$38,$D$19),$P$20))-SUM($P877:AA877)</f>
        <v>#VALUE!</v>
      </c>
      <c r="AC877" s="446" t="e">
        <f>IF(OR($B877="",MIN(AC$38,$D$19)&lt;MAX($P$708*($B877+IF($R$17="Distrato",$I$38-1,0)),IF(AND($L$711=0,$P$708=0),"",$L$711-1),IF($R$17="Distrato",$E877,0))),0,YEARFRAC(MAX($P$708*($B877+IF($R$17="Distrato",$I$38-1,0)),IF(AND($L$711=0,$P$708=0),"",$L$711-1),IF($R$17="Distrato",$E877,0)),MIN(AC$38,$D$19),$P$20))-SUM($P877:AB877)</f>
        <v>#VALUE!</v>
      </c>
      <c r="AD877" s="446" t="e">
        <f>IF(OR($B877="",MIN(AD$38,$D$19)&lt;MAX($P$708*($B877+IF($R$17="Distrato",$I$38-1,0)),IF(AND($L$711=0,$P$708=0),"",$L$711-1),IF($R$17="Distrato",$E877,0))),0,YEARFRAC(MAX($P$708*($B877+IF($R$17="Distrato",$I$38-1,0)),IF(AND($L$711=0,$P$708=0),"",$L$711-1),IF($R$17="Distrato",$E877,0)),MIN(AD$38,$D$19),$P$20))-SUM($P877:AC877)</f>
        <v>#VALUE!</v>
      </c>
      <c r="AE877" s="446" t="e">
        <f>IF(OR($B877="",MIN(AE$38,$D$19)&lt;MAX($P$708*($B877+IF($R$17="Distrato",$I$38-1,0)),IF(AND($L$711=0,$P$708=0),"",$L$711-1),IF($R$17="Distrato",$E877,0))),0,YEARFRAC(MAX($P$708*($B877+IF($R$17="Distrato",$I$38-1,0)),IF(AND($L$711=0,$P$708=0),"",$L$711-1),IF($R$17="Distrato",$E877,0)),MIN(AE$38,$D$19),$P$20))-SUM($P877:AD877)</f>
        <v>#VALUE!</v>
      </c>
      <c r="AF877" s="446" t="e">
        <f>IF(OR($B877="",MIN(AF$38,$D$19)&lt;MAX($P$708*($B877+IF($R$17="Distrato",$I$38-1,0)),IF(AND($L$711=0,$P$708=0),"",$L$711-1),IF($R$17="Distrato",$E877,0))),0,YEARFRAC(MAX($P$708*($B877+IF($R$17="Distrato",$I$38-1,0)),IF(AND($L$711=0,$P$708=0),"",$L$711-1),IF($R$17="Distrato",$E877,0)),MIN(AF$38,$D$19),$P$20))-SUM($P877:AE877)</f>
        <v>#VALUE!</v>
      </c>
      <c r="AG877" s="446" t="e">
        <f>IF(OR($B877="",MIN(AG$38,$D$19)&lt;MAX($P$708*($B877+IF($R$17="Distrato",$I$38-1,0)),IF(AND($L$711=0,$P$708=0),"",$L$711-1),IF($R$17="Distrato",$E877,0))),0,YEARFRAC(MAX($P$708*($B877+IF($R$17="Distrato",$I$38-1,0)),IF(AND($L$711=0,$P$708=0),"",$L$711-1),IF($R$17="Distrato",$E877,0)),MIN(AG$38,$D$19),$P$20))-SUM($P877:AF877)</f>
        <v>#VALUE!</v>
      </c>
      <c r="AH877" s="446" t="e">
        <f>IF(OR($B877="",MIN(AH$38,$D$19)&lt;MAX($P$708*($B877+IF($R$17="Distrato",$I$38-1,0)),IF(AND($L$711=0,$P$708=0),"",$L$711-1),IF($R$17="Distrato",$E877,0))),0,YEARFRAC(MAX($P$708*($B877+IF($R$17="Distrato",$I$38-1,0)),IF(AND($L$711=0,$P$708=0),"",$L$711-1),IF($R$17="Distrato",$E877,0)),MIN(AH$38,$D$19),$P$20))-SUM($P877:AG877)</f>
        <v>#VALUE!</v>
      </c>
      <c r="AI877" s="446" t="e">
        <f>IF(OR($B877="",MIN(AI$38,$D$19)&lt;MAX($P$708*($B877+IF($R$17="Distrato",$I$38-1,0)),IF(AND($L$711=0,$P$708=0),"",$L$711-1),IF($R$17="Distrato",$E877,0))),0,YEARFRAC(MAX($P$708*($B877+IF($R$17="Distrato",$I$38-1,0)),IF(AND($L$711=0,$P$708=0),"",$L$711-1),IF($R$17="Distrato",$E877,0)),MIN(AI$38,$D$19),$P$20))-SUM($P877:AH877)</f>
        <v>#VALUE!</v>
      </c>
      <c r="AJ877" s="446" t="e">
        <f>IF(OR($B877="",MIN(AJ$38,$D$19)&lt;MAX($P$708*($B877+IF($R$17="Distrato",$I$38-1,0)),IF(AND($L$711=0,$P$708=0),"",$L$711-1),IF($R$17="Distrato",$E877,0))),0,YEARFRAC(MAX($P$708*($B877+IF($R$17="Distrato",$I$38-1,0)),IF(AND($L$711=0,$P$708=0),"",$L$711-1),IF($R$17="Distrato",$E877,0)),MIN(AJ$38,$D$19),$P$20))-SUM($P877:AI877)</f>
        <v>#VALUE!</v>
      </c>
      <c r="AK877" s="446" t="e">
        <f>IF(OR($B877="",MIN(AK$38,$D$19)&lt;MAX($P$708*($B877+IF($R$17="Distrato",$I$38-1,0)),IF(AND($L$711=0,$P$708=0),"",$L$711-1),IF($R$17="Distrato",$E877,0))),0,YEARFRAC(MAX($P$708*($B877+IF($R$17="Distrato",$I$38-1,0)),IF(AND($L$711=0,$P$708=0),"",$L$711-1),IF($R$17="Distrato",$E877,0)),MIN(AK$38,$D$19),$P$20))-SUM($P877:AJ877)</f>
        <v>#VALUE!</v>
      </c>
      <c r="AL877" s="446" t="e">
        <f>IF(OR($B877="",MIN(AL$38,$D$19)&lt;MAX($P$708*($B877+IF($R$17="Distrato",$I$38-1,0)),IF(AND($L$711=0,$P$708=0),"",$L$711-1),IF($R$17="Distrato",$E877,0))),0,YEARFRAC(MAX($P$708*($B877+IF($R$17="Distrato",$I$38-1,0)),IF(AND($L$711=0,$P$708=0),"",$L$711-1),IF($R$17="Distrato",$E877,0)),MIN(AL$38,$D$19),$P$20))-SUM($P877:AK877)</f>
        <v>#VALUE!</v>
      </c>
      <c r="AM877" s="446" t="e">
        <f>IF(OR($B877="",MIN(AM$38,$D$19)&lt;MAX($P$708*($B877+IF($R$17="Distrato",$I$38-1,0)),IF(AND($L$711=0,$P$708=0),"",$L$711-1),IF($R$17="Distrato",$E877,0))),0,YEARFRAC(MAX($P$708*($B877+IF($R$17="Distrato",$I$38-1,0)),IF(AND($L$711=0,$P$708=0),"",$L$711-1),IF($R$17="Distrato",$E877,0)),MIN(AM$38,$D$19),$P$20))-SUM($P877:AL877)</f>
        <v>#VALUE!</v>
      </c>
      <c r="AN877" s="446" t="e">
        <f>IF(OR($B877="",MIN(AN$38,$D$19)&lt;MAX($P$708*($B877+IF($R$17="Distrato",$I$38-1,0)),IF(AND($L$711=0,$P$708=0),"",$L$711-1),IF($R$17="Distrato",$E877,0))),0,YEARFRAC(MAX($P$708*($B877+IF($R$17="Distrato",$I$38-1,0)),IF(AND($L$711=0,$P$708=0),"",$L$711-1),IF($R$17="Distrato",$E877,0)),MIN(AN$38,$D$19),$P$20))-SUM($P877:AM877)</f>
        <v>#VALUE!</v>
      </c>
      <c r="AO877" s="446" t="e">
        <f>IF(OR($B877="",MIN(AO$38,$D$19)&lt;MAX($P$708*($B877+IF($R$17="Distrato",$I$38-1,0)),IF(AND($L$711=0,$P$708=0),"",$L$711-1),IF($R$17="Distrato",$E877,0))),0,YEARFRAC(MAX($P$708*($B877+IF($R$17="Distrato",$I$38-1,0)),IF(AND($L$711=0,$P$708=0),"",$L$711-1),IF($R$17="Distrato",$E877,0)),MIN(AO$38,$D$19),$P$20))-SUM($P877:AN877)</f>
        <v>#VALUE!</v>
      </c>
      <c r="AP877" s="446" t="e">
        <f>IF(OR($B877="",MIN(AP$38,$D$19)&lt;MAX($P$708*($B877+IF($R$17="Distrato",$I$38-1,0)),IF(AND($L$711=0,$P$708=0),"",$L$711-1),IF($R$17="Distrato",$E877,0))),0,YEARFRAC(MAX($P$708*($B877+IF($R$17="Distrato",$I$38-1,0)),IF(AND($L$711=0,$P$708=0),"",$L$711-1),IF($R$17="Distrato",$E877,0)),MIN(AP$38,$D$19),$P$20))-SUM($P877:AO877)</f>
        <v>#VALUE!</v>
      </c>
      <c r="AQ877" s="446" t="e">
        <f>IF(OR($B877="",MIN(AQ$38,$D$19)&lt;MAX($P$708*($B877+IF($R$17="Distrato",$I$38-1,0)),IF(AND($L$711=0,$P$708=0),"",$L$711-1),IF($R$17="Distrato",$E877,0))),0,YEARFRAC(MAX($P$708*($B877+IF($R$17="Distrato",$I$38-1,0)),IF(AND($L$711=0,$P$708=0),"",$L$711-1),IF($R$17="Distrato",$E877,0)),MIN(AQ$38,$D$19),$P$20))-SUM($P877:AP877)</f>
        <v>#VALUE!</v>
      </c>
      <c r="AR877" s="446" t="e">
        <f>IF(OR($B877="",MIN(AR$38,$D$19)&lt;MAX($P$708*($B877+IF($R$17="Distrato",$I$38-1,0)),IF(AND($L$711=0,$P$708=0),"",$L$711-1),IF($R$17="Distrato",$E877,0))),0,YEARFRAC(MAX($P$708*($B877+IF($R$17="Distrato",$I$38-1,0)),IF(AND($L$711=0,$P$708=0),"",$L$711-1),IF($R$17="Distrato",$E877,0)),MIN(AR$38,$D$19),$P$20))-SUM($P877:AQ877)</f>
        <v>#VALUE!</v>
      </c>
      <c r="AS877" s="446" t="e">
        <f>IF(OR($B877="",MIN(AS$38,$D$19)&lt;MAX($P$708*($B877+IF($R$17="Distrato",$I$38-1,0)),IF(AND($L$711=0,$P$708=0),"",$L$711-1),IF($R$17="Distrato",$E877,0))),0,YEARFRAC(MAX($P$708*($B877+IF($R$17="Distrato",$I$38-1,0)),IF(AND($L$711=0,$P$708=0),"",$L$711-1),IF($R$17="Distrato",$E877,0)),MIN(AS$38,$D$19),$P$20))-SUM($P877:AR877)</f>
        <v>#VALUE!</v>
      </c>
      <c r="AT877" s="446" t="e">
        <f>IF(OR($B877="",MIN(AT$38,$D$19)&lt;MAX($P$708*($B877+IF($R$17="Distrato",$I$38-1,0)),IF(AND($L$711=0,$P$708=0),"",$L$711-1),IF($R$17="Distrato",$E877,0))),0,YEARFRAC(MAX($P$708*($B877+IF($R$17="Distrato",$I$38-1,0)),IF(AND($L$711=0,$P$708=0),"",$L$711-1),IF($R$17="Distrato",$E877,0)),MIN(AT$38,$D$19),$P$20))-SUM($P877:AS877)</f>
        <v>#VALUE!</v>
      </c>
      <c r="AU877" s="446" t="e">
        <f>IF(OR($B877="",MIN(AU$38,$D$19)&lt;MAX($P$708*($B877+IF($R$17="Distrato",$I$38-1,0)),IF(AND($L$711=0,$P$708=0),"",$L$711-1),IF($R$17="Distrato",$E877,0))),0,YEARFRAC(MAX($P$708*($B877+IF($R$17="Distrato",$I$38-1,0)),IF(AND($L$711=0,$P$708=0),"",$L$711-1),IF($R$17="Distrato",$E877,0)),MIN(AU$38,$D$19),$P$20))-SUM($P877:AT877)</f>
        <v>#VALUE!</v>
      </c>
      <c r="AV877" s="446" t="e">
        <f>IF(OR($B877="",MIN(AV$38,$D$19)&lt;MAX($P$708*($B877+IF($R$17="Distrato",$I$38-1,0)),IF(AND($L$711=0,$P$708=0),"",$L$711-1),IF($R$17="Distrato",$E877,0))),0,YEARFRAC(MAX($P$708*($B877+IF($R$17="Distrato",$I$38-1,0)),IF(AND($L$711=0,$P$708=0),"",$L$711-1),IF($R$17="Distrato",$E877,0)),MIN(AV$38,$D$19),$P$20))-SUM($P877:AU877)</f>
        <v>#VALUE!</v>
      </c>
      <c r="AW877" s="446" t="e">
        <f>IF(OR($B877="",MIN(AW$38,$D$19)&lt;MAX($P$708*($B877+IF($R$17="Distrato",$I$38-1,0)),IF(AND($L$711=0,$P$708=0),"",$L$711-1),IF($R$17="Distrato",$E877,0))),0,YEARFRAC(MAX($P$708*($B877+IF($R$17="Distrato",$I$38-1,0)),IF(AND($L$711=0,$P$708=0),"",$L$711-1),IF($R$17="Distrato",$E877,0)),MIN(AW$38,$D$19),$P$20))-SUM($P877:AV877)</f>
        <v>#VALUE!</v>
      </c>
      <c r="AX877" s="446" t="e">
        <f>IF(OR($B877="",MIN(AX$38,$D$19)&lt;MAX($P$708*($B877+IF($R$17="Distrato",$I$38-1,0)),IF(AND($L$711=0,$P$708=0),"",$L$711-1),IF($R$17="Distrato",$E877,0))),0,YEARFRAC(MAX($P$708*($B877+IF($R$17="Distrato",$I$38-1,0)),IF(AND($L$711=0,$P$708=0),"",$L$711-1),IF($R$17="Distrato",$E877,0)),MIN(AX$38,$D$19),$P$20))-SUM($P877:AW877)</f>
        <v>#VALUE!</v>
      </c>
      <c r="AY877" s="446" t="e">
        <f>IF(OR($B877="",MIN(AY$38,$D$19)&lt;MAX($P$708*($B877+IF($R$17="Distrato",$I$38-1,0)),IF(AND($L$711=0,$P$708=0),"",$L$711-1),IF($R$17="Distrato",$E877,0))),0,YEARFRAC(MAX($P$708*($B877+IF($R$17="Distrato",$I$38-1,0)),IF(AND($L$711=0,$P$708=0),"",$L$711-1),IF($R$17="Distrato",$E877,0)),MIN(AY$38,$D$19),$P$20))-SUM($P877:AX877)</f>
        <v>#VALUE!</v>
      </c>
      <c r="AZ877" s="446" t="e">
        <f>IF(OR($B877="",MIN(AZ$38,$D$19)&lt;MAX($P$708*($B877+IF($R$17="Distrato",$I$38-1,0)),IF(AND($L$711=0,$P$708=0),"",$L$711-1),IF($R$17="Distrato",$E877,0))),0,YEARFRAC(MAX($P$708*($B877+IF($R$17="Distrato",$I$38-1,0)),IF(AND($L$711=0,$P$708=0),"",$L$711-1),IF($R$17="Distrato",$E877,0)),MIN(AZ$38,$D$19),$P$20))-SUM($P877:AY877)</f>
        <v>#VALUE!</v>
      </c>
      <c r="BA877" s="446" t="e">
        <f>IF(OR($B877="",MIN(BA$38,$D$19)&lt;MAX($P$708*($B877+IF($R$17="Distrato",$I$38-1,0)),IF(AND($L$711=0,$P$708=0),"",$L$711-1),IF($R$17="Distrato",$E877,0))),0,YEARFRAC(MAX($P$708*($B877+IF($R$17="Distrato",$I$38-1,0)),IF(AND($L$711=0,$P$708=0),"",$L$711-1),IF($R$17="Distrato",$E877,0)),MIN(BA$38,$D$19),$P$20))-SUM($P877:AZ877)</f>
        <v>#VALUE!</v>
      </c>
      <c r="BB877" s="447"/>
    </row>
    <row r="878" spans="1:54" s="446" customFormat="1" ht="11.25" hidden="1" customHeight="1" x14ac:dyDescent="0.2">
      <c r="A878" s="235"/>
      <c r="B878" s="236"/>
      <c r="C878" s="29" t="str">
        <f>IF(B878="","",IF($L$709=$BL$25,VLOOKUP(DATE(YEAR($D$19),MONTH($D$19)-1,1),ÍNDICES!$A:$DE,HLOOKUP($BL$25,ÍNDICES!$B$3:$T$4,2)+11)-VLOOKUP(B878,ÍNDICES!$A:$DE,HLOOKUP($BL$25,ÍNDICES!$B$3:$T$4,2)+11)+1%,IF(C$712=$W$26,$J$35,IF(ISERROR(IF(B878&gt;$D$19,1,VLOOKUP(DATE(YEAR(B878),MONTH(B878)+IF($C$709=$S$23,1,0),1),ÍNDICES!$A:$DE,$Z$709+1))),"",IF(B878&gt;$D$19,1,VLOOKUP(DATE(YEAR(B878),MONTH(B878)+IF($C$709=$S$23,1,0),1),ÍNDICES!$A:$DE,$Z$709+1))))))</f>
        <v/>
      </c>
      <c r="D878" s="155"/>
      <c r="E878" s="88"/>
      <c r="F878" s="88"/>
      <c r="G878" s="88"/>
      <c r="H878" s="118"/>
      <c r="I878" s="182">
        <f t="shared" si="129"/>
        <v>0</v>
      </c>
      <c r="J878" s="20">
        <f t="shared" ca="1" si="130"/>
        <v>0</v>
      </c>
      <c r="K878" s="5">
        <f t="shared" ca="1" si="131"/>
        <v>0</v>
      </c>
      <c r="L878" s="61">
        <f t="shared" ca="1" si="132"/>
        <v>0</v>
      </c>
      <c r="M878" s="64">
        <f t="shared" si="133"/>
        <v>0</v>
      </c>
      <c r="N878" s="151"/>
      <c r="O878" s="5">
        <f t="shared" ca="1" si="134"/>
        <v>0</v>
      </c>
      <c r="P878" s="446" t="e">
        <f t="shared" si="135"/>
        <v>#VALUE!</v>
      </c>
      <c r="Q878" s="446" t="e">
        <f>IF(OR($B878="",MIN(Q$38,$D$19)&lt;MAX($P$708*($B878+IF($R$17="Distrato",$I$38-1,0)),IF(AND($L$711=0,$P$708=0),"",$L$711-1),IF($R$17="Distrato",$E878,0))),0,YEARFRAC(MAX($P$708*($B878+IF($R$17="Distrato",$I$38-1,0)),IF(AND($L$711=0,$P$708=0),"",$L$711-1),IF($R$17="Distrato",$E878,0)),MIN(Q$38,$D$19),$P$20))-SUM($P878:P878)</f>
        <v>#VALUE!</v>
      </c>
      <c r="R878" s="446" t="e">
        <f>IF(OR($B878="",MIN(R$38,$D$19)&lt;MAX($P$708*($B878+IF($R$17="Distrato",$I$38-1,0)),IF(AND($L$711=0,$P$708=0),"",$L$711-1),IF($R$17="Distrato",$E878,0))),0,YEARFRAC(MAX($P$708*($B878+IF($R$17="Distrato",$I$38-1,0)),IF(AND($L$711=0,$P$708=0),"",$L$711-1),IF($R$17="Distrato",$E878,0)),MIN(R$38,$D$19),$P$20))-SUM($P878:Q878)</f>
        <v>#VALUE!</v>
      </c>
      <c r="S878" s="446" t="e">
        <f>IF(OR($B878="",MIN(S$38,$D$19)&lt;MAX($P$708*($B878+IF($R$17="Distrato",$I$38-1,0)),IF(AND($L$711=0,$P$708=0),"",$L$711-1),IF($R$17="Distrato",$E878,0))),0,YEARFRAC(MAX($P$708*($B878+IF($R$17="Distrato",$I$38-1,0)),IF(AND($L$711=0,$P$708=0),"",$L$711-1),IF($R$17="Distrato",$E878,0)),MIN(S$38,$D$19),$P$20))-SUM($P878:R878)</f>
        <v>#VALUE!</v>
      </c>
      <c r="T878" s="446" t="e">
        <f>IF(OR($B878="",MIN(T$38,$D$19)&lt;MAX($P$708*($B878+IF($R$17="Distrato",$I$38-1,0)),IF(AND($L$711=0,$P$708=0),"",$L$711-1),IF($R$17="Distrato",$E878,0))),0,YEARFRAC(MAX($P$708*($B878+IF($R$17="Distrato",$I$38-1,0)),IF(AND($L$711=0,$P$708=0),"",$L$711-1),IF($R$17="Distrato",$E878,0)),MIN(T$38,$D$19),$P$20))-SUM($P878:S878)</f>
        <v>#VALUE!</v>
      </c>
      <c r="U878" s="446" t="e">
        <f>IF(OR($B878="",MIN(U$38,$D$19)&lt;MAX($P$708*($B878+IF($R$17="Distrato",$I$38-1,0)),IF(AND($L$711=0,$P$708=0),"",$L$711-1),IF($R$17="Distrato",$E878,0))),0,YEARFRAC(MAX($P$708*($B878+IF($R$17="Distrato",$I$38-1,0)),IF(AND($L$711=0,$P$708=0),"",$L$711-1),IF($R$17="Distrato",$E878,0)),MIN(U$38,$D$19),$P$20))-SUM($P878:T878)</f>
        <v>#VALUE!</v>
      </c>
      <c r="V878" s="446" t="e">
        <f>IF(OR($B878="",MIN(V$38,$D$19)&lt;MAX($P$708*($B878+IF($R$17="Distrato",$I$38-1,0)),IF(AND($L$711=0,$P$708=0),"",$L$711-1),IF($R$17="Distrato",$E878,0))),0,YEARFRAC(MAX($P$708*($B878+IF($R$17="Distrato",$I$38-1,0)),IF(AND($L$711=0,$P$708=0),"",$L$711-1),IF($R$17="Distrato",$E878,0)),MIN(V$38,$D$19),$P$20))-SUM($P878:U878)</f>
        <v>#VALUE!</v>
      </c>
      <c r="W878" s="446" t="e">
        <f>IF(OR($B878="",MIN(W$38,$D$19)&lt;MAX($P$708*($B878+IF($R$17="Distrato",$I$38-1,0)),IF(AND($L$711=0,$P$708=0),"",$L$711-1),IF($R$17="Distrato",$E878,0))),0,YEARFRAC(MAX($P$708*($B878+IF($R$17="Distrato",$I$38-1,0)),IF(AND($L$711=0,$P$708=0),"",$L$711-1),IF($R$17="Distrato",$E878,0)),MIN(W$38,$D$19),$P$20))-SUM($P878:V878)</f>
        <v>#VALUE!</v>
      </c>
      <c r="X878" s="446" t="e">
        <f>IF(OR($B878="",MIN(X$38,$D$19)&lt;MAX($P$708*($B878+IF($R$17="Distrato",$I$38-1,0)),IF(AND($L$711=0,$P$708=0),"",$L$711-1),IF($R$17="Distrato",$E878,0))),0,YEARFRAC(MAX($P$708*($B878+IF($R$17="Distrato",$I$38-1,0)),IF(AND($L$711=0,$P$708=0),"",$L$711-1),IF($R$17="Distrato",$E878,0)),MIN(X$38,$D$19),$P$20))-SUM($P878:W878)</f>
        <v>#VALUE!</v>
      </c>
      <c r="Y878" s="446" t="e">
        <f>IF(OR($B878="",MIN(Y$38,$D$19)&lt;MAX($P$708*($B878+IF($R$17="Distrato",$I$38-1,0)),IF(AND($L$711=0,$P$708=0),"",$L$711-1),IF($R$17="Distrato",$E878,0))),0,YEARFRAC(MAX($P$708*($B878+IF($R$17="Distrato",$I$38-1,0)),IF(AND($L$711=0,$P$708=0),"",$L$711-1),IF($R$17="Distrato",$E878,0)),MIN(Y$38,$D$19),$P$20))-SUM($P878:X878)</f>
        <v>#VALUE!</v>
      </c>
      <c r="Z878" s="446" t="e">
        <f>IF(OR($B878="",MIN(Z$38,$D$19)&lt;MAX($P$708*($B878+IF($R$17="Distrato",$I$38-1,0)),IF(AND($L$711=0,$P$708=0),"",$L$711-1),IF($R$17="Distrato",$E878,0))),0,YEARFRAC(MAX($P$708*($B878+IF($R$17="Distrato",$I$38-1,0)),IF(AND($L$711=0,$P$708=0),"",$L$711-1),IF($R$17="Distrato",$E878,0)),MIN(Z$38,$D$19),$P$20))-SUM($P878:Y878)</f>
        <v>#VALUE!</v>
      </c>
      <c r="AA878" s="446" t="e">
        <f>IF(OR($B878="",MIN(AA$38,$D$19)&lt;MAX($P$708*($B878+IF($R$17="Distrato",$I$38-1,0)),IF(AND($L$711=0,$P$708=0),"",$L$711-1),IF($R$17="Distrato",$E878,0))),0,YEARFRAC(MAX($P$708*($B878+IF($R$17="Distrato",$I$38-1,0)),IF(AND($L$711=0,$P$708=0),"",$L$711-1),IF($R$17="Distrato",$E878,0)),MIN(AA$38,$D$19),$P$20))-SUM($P878:Z878)</f>
        <v>#VALUE!</v>
      </c>
      <c r="AB878" s="446" t="e">
        <f>IF(OR($B878="",MIN(AB$38,$D$19)&lt;MAX($P$708*($B878+IF($R$17="Distrato",$I$38-1,0)),IF(AND($L$711=0,$P$708=0),"",$L$711-1),IF($R$17="Distrato",$E878,0))),0,YEARFRAC(MAX($P$708*($B878+IF($R$17="Distrato",$I$38-1,0)),IF(AND($L$711=0,$P$708=0),"",$L$711-1),IF($R$17="Distrato",$E878,0)),MIN(AB$38,$D$19),$P$20))-SUM($P878:AA878)</f>
        <v>#VALUE!</v>
      </c>
      <c r="AC878" s="446" t="e">
        <f>IF(OR($B878="",MIN(AC$38,$D$19)&lt;MAX($P$708*($B878+IF($R$17="Distrato",$I$38-1,0)),IF(AND($L$711=0,$P$708=0),"",$L$711-1),IF($R$17="Distrato",$E878,0))),0,YEARFRAC(MAX($P$708*($B878+IF($R$17="Distrato",$I$38-1,0)),IF(AND($L$711=0,$P$708=0),"",$L$711-1),IF($R$17="Distrato",$E878,0)),MIN(AC$38,$D$19),$P$20))-SUM($P878:AB878)</f>
        <v>#VALUE!</v>
      </c>
      <c r="AD878" s="446" t="e">
        <f>IF(OR($B878="",MIN(AD$38,$D$19)&lt;MAX($P$708*($B878+IF($R$17="Distrato",$I$38-1,0)),IF(AND($L$711=0,$P$708=0),"",$L$711-1),IF($R$17="Distrato",$E878,0))),0,YEARFRAC(MAX($P$708*($B878+IF($R$17="Distrato",$I$38-1,0)),IF(AND($L$711=0,$P$708=0),"",$L$711-1),IF($R$17="Distrato",$E878,0)),MIN(AD$38,$D$19),$P$20))-SUM($P878:AC878)</f>
        <v>#VALUE!</v>
      </c>
      <c r="AE878" s="446" t="e">
        <f>IF(OR($B878="",MIN(AE$38,$D$19)&lt;MAX($P$708*($B878+IF($R$17="Distrato",$I$38-1,0)),IF(AND($L$711=0,$P$708=0),"",$L$711-1),IF($R$17="Distrato",$E878,0))),0,YEARFRAC(MAX($P$708*($B878+IF($R$17="Distrato",$I$38-1,0)),IF(AND($L$711=0,$P$708=0),"",$L$711-1),IF($R$17="Distrato",$E878,0)),MIN(AE$38,$D$19),$P$20))-SUM($P878:AD878)</f>
        <v>#VALUE!</v>
      </c>
      <c r="AF878" s="446" t="e">
        <f>IF(OR($B878="",MIN(AF$38,$D$19)&lt;MAX($P$708*($B878+IF($R$17="Distrato",$I$38-1,0)),IF(AND($L$711=0,$P$708=0),"",$L$711-1),IF($R$17="Distrato",$E878,0))),0,YEARFRAC(MAX($P$708*($B878+IF($R$17="Distrato",$I$38-1,0)),IF(AND($L$711=0,$P$708=0),"",$L$711-1),IF($R$17="Distrato",$E878,0)),MIN(AF$38,$D$19),$P$20))-SUM($P878:AE878)</f>
        <v>#VALUE!</v>
      </c>
      <c r="AG878" s="446" t="e">
        <f>IF(OR($B878="",MIN(AG$38,$D$19)&lt;MAX($P$708*($B878+IF($R$17="Distrato",$I$38-1,0)),IF(AND($L$711=0,$P$708=0),"",$L$711-1),IF($R$17="Distrato",$E878,0))),0,YEARFRAC(MAX($P$708*($B878+IF($R$17="Distrato",$I$38-1,0)),IF(AND($L$711=0,$P$708=0),"",$L$711-1),IF($R$17="Distrato",$E878,0)),MIN(AG$38,$D$19),$P$20))-SUM($P878:AF878)</f>
        <v>#VALUE!</v>
      </c>
      <c r="AH878" s="446" t="e">
        <f>IF(OR($B878="",MIN(AH$38,$D$19)&lt;MAX($P$708*($B878+IF($R$17="Distrato",$I$38-1,0)),IF(AND($L$711=0,$P$708=0),"",$L$711-1),IF($R$17="Distrato",$E878,0))),0,YEARFRAC(MAX($P$708*($B878+IF($R$17="Distrato",$I$38-1,0)),IF(AND($L$711=0,$P$708=0),"",$L$711-1),IF($R$17="Distrato",$E878,0)),MIN(AH$38,$D$19),$P$20))-SUM($P878:AG878)</f>
        <v>#VALUE!</v>
      </c>
      <c r="AI878" s="446" t="e">
        <f>IF(OR($B878="",MIN(AI$38,$D$19)&lt;MAX($P$708*($B878+IF($R$17="Distrato",$I$38-1,0)),IF(AND($L$711=0,$P$708=0),"",$L$711-1),IF($R$17="Distrato",$E878,0))),0,YEARFRAC(MAX($P$708*($B878+IF($R$17="Distrato",$I$38-1,0)),IF(AND($L$711=0,$P$708=0),"",$L$711-1),IF($R$17="Distrato",$E878,0)),MIN(AI$38,$D$19),$P$20))-SUM($P878:AH878)</f>
        <v>#VALUE!</v>
      </c>
      <c r="AJ878" s="446" t="e">
        <f>IF(OR($B878="",MIN(AJ$38,$D$19)&lt;MAX($P$708*($B878+IF($R$17="Distrato",$I$38-1,0)),IF(AND($L$711=0,$P$708=0),"",$L$711-1),IF($R$17="Distrato",$E878,0))),0,YEARFRAC(MAX($P$708*($B878+IF($R$17="Distrato",$I$38-1,0)),IF(AND($L$711=0,$P$708=0),"",$L$711-1),IF($R$17="Distrato",$E878,0)),MIN(AJ$38,$D$19),$P$20))-SUM($P878:AI878)</f>
        <v>#VALUE!</v>
      </c>
      <c r="AK878" s="446" t="e">
        <f>IF(OR($B878="",MIN(AK$38,$D$19)&lt;MAX($P$708*($B878+IF($R$17="Distrato",$I$38-1,0)),IF(AND($L$711=0,$P$708=0),"",$L$711-1),IF($R$17="Distrato",$E878,0))),0,YEARFRAC(MAX($P$708*($B878+IF($R$17="Distrato",$I$38-1,0)),IF(AND($L$711=0,$P$708=0),"",$L$711-1),IF($R$17="Distrato",$E878,0)),MIN(AK$38,$D$19),$P$20))-SUM($P878:AJ878)</f>
        <v>#VALUE!</v>
      </c>
      <c r="AL878" s="446" t="e">
        <f>IF(OR($B878="",MIN(AL$38,$D$19)&lt;MAX($P$708*($B878+IF($R$17="Distrato",$I$38-1,0)),IF(AND($L$711=0,$P$708=0),"",$L$711-1),IF($R$17="Distrato",$E878,0))),0,YEARFRAC(MAX($P$708*($B878+IF($R$17="Distrato",$I$38-1,0)),IF(AND($L$711=0,$P$708=0),"",$L$711-1),IF($R$17="Distrato",$E878,0)),MIN(AL$38,$D$19),$P$20))-SUM($P878:AK878)</f>
        <v>#VALUE!</v>
      </c>
      <c r="AM878" s="446" t="e">
        <f>IF(OR($B878="",MIN(AM$38,$D$19)&lt;MAX($P$708*($B878+IF($R$17="Distrato",$I$38-1,0)),IF(AND($L$711=0,$P$708=0),"",$L$711-1),IF($R$17="Distrato",$E878,0))),0,YEARFRAC(MAX($P$708*($B878+IF($R$17="Distrato",$I$38-1,0)),IF(AND($L$711=0,$P$708=0),"",$L$711-1),IF($R$17="Distrato",$E878,0)),MIN(AM$38,$D$19),$P$20))-SUM($P878:AL878)</f>
        <v>#VALUE!</v>
      </c>
      <c r="AN878" s="446" t="e">
        <f>IF(OR($B878="",MIN(AN$38,$D$19)&lt;MAX($P$708*($B878+IF($R$17="Distrato",$I$38-1,0)),IF(AND($L$711=0,$P$708=0),"",$L$711-1),IF($R$17="Distrato",$E878,0))),0,YEARFRAC(MAX($P$708*($B878+IF($R$17="Distrato",$I$38-1,0)),IF(AND($L$711=0,$P$708=0),"",$L$711-1),IF($R$17="Distrato",$E878,0)),MIN(AN$38,$D$19),$P$20))-SUM($P878:AM878)</f>
        <v>#VALUE!</v>
      </c>
      <c r="AO878" s="446" t="e">
        <f>IF(OR($B878="",MIN(AO$38,$D$19)&lt;MAX($P$708*($B878+IF($R$17="Distrato",$I$38-1,0)),IF(AND($L$711=0,$P$708=0),"",$L$711-1),IF($R$17="Distrato",$E878,0))),0,YEARFRAC(MAX($P$708*($B878+IF($R$17="Distrato",$I$38-1,0)),IF(AND($L$711=0,$P$708=0),"",$L$711-1),IF($R$17="Distrato",$E878,0)),MIN(AO$38,$D$19),$P$20))-SUM($P878:AN878)</f>
        <v>#VALUE!</v>
      </c>
      <c r="AP878" s="446" t="e">
        <f>IF(OR($B878="",MIN(AP$38,$D$19)&lt;MAX($P$708*($B878+IF($R$17="Distrato",$I$38-1,0)),IF(AND($L$711=0,$P$708=0),"",$L$711-1),IF($R$17="Distrato",$E878,0))),0,YEARFRAC(MAX($P$708*($B878+IF($R$17="Distrato",$I$38-1,0)),IF(AND($L$711=0,$P$708=0),"",$L$711-1),IF($R$17="Distrato",$E878,0)),MIN(AP$38,$D$19),$P$20))-SUM($P878:AO878)</f>
        <v>#VALUE!</v>
      </c>
      <c r="AQ878" s="446" t="e">
        <f>IF(OR($B878="",MIN(AQ$38,$D$19)&lt;MAX($P$708*($B878+IF($R$17="Distrato",$I$38-1,0)),IF(AND($L$711=0,$P$708=0),"",$L$711-1),IF($R$17="Distrato",$E878,0))),0,YEARFRAC(MAX($P$708*($B878+IF($R$17="Distrato",$I$38-1,0)),IF(AND($L$711=0,$P$708=0),"",$L$711-1),IF($R$17="Distrato",$E878,0)),MIN(AQ$38,$D$19),$P$20))-SUM($P878:AP878)</f>
        <v>#VALUE!</v>
      </c>
      <c r="AR878" s="446" t="e">
        <f>IF(OR($B878="",MIN(AR$38,$D$19)&lt;MAX($P$708*($B878+IF($R$17="Distrato",$I$38-1,0)),IF(AND($L$711=0,$P$708=0),"",$L$711-1),IF($R$17="Distrato",$E878,0))),0,YEARFRAC(MAX($P$708*($B878+IF($R$17="Distrato",$I$38-1,0)),IF(AND($L$711=0,$P$708=0),"",$L$711-1),IF($R$17="Distrato",$E878,0)),MIN(AR$38,$D$19),$P$20))-SUM($P878:AQ878)</f>
        <v>#VALUE!</v>
      </c>
      <c r="AS878" s="446" t="e">
        <f>IF(OR($B878="",MIN(AS$38,$D$19)&lt;MAX($P$708*($B878+IF($R$17="Distrato",$I$38-1,0)),IF(AND($L$711=0,$P$708=0),"",$L$711-1),IF($R$17="Distrato",$E878,0))),0,YEARFRAC(MAX($P$708*($B878+IF($R$17="Distrato",$I$38-1,0)),IF(AND($L$711=0,$P$708=0),"",$L$711-1),IF($R$17="Distrato",$E878,0)),MIN(AS$38,$D$19),$P$20))-SUM($P878:AR878)</f>
        <v>#VALUE!</v>
      </c>
      <c r="AT878" s="446" t="e">
        <f>IF(OR($B878="",MIN(AT$38,$D$19)&lt;MAX($P$708*($B878+IF($R$17="Distrato",$I$38-1,0)),IF(AND($L$711=0,$P$708=0),"",$L$711-1),IF($R$17="Distrato",$E878,0))),0,YEARFRAC(MAX($P$708*($B878+IF($R$17="Distrato",$I$38-1,0)),IF(AND($L$711=0,$P$708=0),"",$L$711-1),IF($R$17="Distrato",$E878,0)),MIN(AT$38,$D$19),$P$20))-SUM($P878:AS878)</f>
        <v>#VALUE!</v>
      </c>
      <c r="AU878" s="446" t="e">
        <f>IF(OR($B878="",MIN(AU$38,$D$19)&lt;MAX($P$708*($B878+IF($R$17="Distrato",$I$38-1,0)),IF(AND($L$711=0,$P$708=0),"",$L$711-1),IF($R$17="Distrato",$E878,0))),0,YEARFRAC(MAX($P$708*($B878+IF($R$17="Distrato",$I$38-1,0)),IF(AND($L$711=0,$P$708=0),"",$L$711-1),IF($R$17="Distrato",$E878,0)),MIN(AU$38,$D$19),$P$20))-SUM($P878:AT878)</f>
        <v>#VALUE!</v>
      </c>
      <c r="AV878" s="446" t="e">
        <f>IF(OR($B878="",MIN(AV$38,$D$19)&lt;MAX($P$708*($B878+IF($R$17="Distrato",$I$38-1,0)),IF(AND($L$711=0,$P$708=0),"",$L$711-1),IF($R$17="Distrato",$E878,0))),0,YEARFRAC(MAX($P$708*($B878+IF($R$17="Distrato",$I$38-1,0)),IF(AND($L$711=0,$P$708=0),"",$L$711-1),IF($R$17="Distrato",$E878,0)),MIN(AV$38,$D$19),$P$20))-SUM($P878:AU878)</f>
        <v>#VALUE!</v>
      </c>
      <c r="AW878" s="446" t="e">
        <f>IF(OR($B878="",MIN(AW$38,$D$19)&lt;MAX($P$708*($B878+IF($R$17="Distrato",$I$38-1,0)),IF(AND($L$711=0,$P$708=0),"",$L$711-1),IF($R$17="Distrato",$E878,0))),0,YEARFRAC(MAX($P$708*($B878+IF($R$17="Distrato",$I$38-1,0)),IF(AND($L$711=0,$P$708=0),"",$L$711-1),IF($R$17="Distrato",$E878,0)),MIN(AW$38,$D$19),$P$20))-SUM($P878:AV878)</f>
        <v>#VALUE!</v>
      </c>
      <c r="AX878" s="446" t="e">
        <f>IF(OR($B878="",MIN(AX$38,$D$19)&lt;MAX($P$708*($B878+IF($R$17="Distrato",$I$38-1,0)),IF(AND($L$711=0,$P$708=0),"",$L$711-1),IF($R$17="Distrato",$E878,0))),0,YEARFRAC(MAX($P$708*($B878+IF($R$17="Distrato",$I$38-1,0)),IF(AND($L$711=0,$P$708=0),"",$L$711-1),IF($R$17="Distrato",$E878,0)),MIN(AX$38,$D$19),$P$20))-SUM($P878:AW878)</f>
        <v>#VALUE!</v>
      </c>
      <c r="AY878" s="446" t="e">
        <f>IF(OR($B878="",MIN(AY$38,$D$19)&lt;MAX($P$708*($B878+IF($R$17="Distrato",$I$38-1,0)),IF(AND($L$711=0,$P$708=0),"",$L$711-1),IF($R$17="Distrato",$E878,0))),0,YEARFRAC(MAX($P$708*($B878+IF($R$17="Distrato",$I$38-1,0)),IF(AND($L$711=0,$P$708=0),"",$L$711-1),IF($R$17="Distrato",$E878,0)),MIN(AY$38,$D$19),$P$20))-SUM($P878:AX878)</f>
        <v>#VALUE!</v>
      </c>
      <c r="AZ878" s="446" t="e">
        <f>IF(OR($B878="",MIN(AZ$38,$D$19)&lt;MAX($P$708*($B878+IF($R$17="Distrato",$I$38-1,0)),IF(AND($L$711=0,$P$708=0),"",$L$711-1),IF($R$17="Distrato",$E878,0))),0,YEARFRAC(MAX($P$708*($B878+IF($R$17="Distrato",$I$38-1,0)),IF(AND($L$711=0,$P$708=0),"",$L$711-1),IF($R$17="Distrato",$E878,0)),MIN(AZ$38,$D$19),$P$20))-SUM($P878:AY878)</f>
        <v>#VALUE!</v>
      </c>
      <c r="BA878" s="446" t="e">
        <f>IF(OR($B878="",MIN(BA$38,$D$19)&lt;MAX($P$708*($B878+IF($R$17="Distrato",$I$38-1,0)),IF(AND($L$711=0,$P$708=0),"",$L$711-1),IF($R$17="Distrato",$E878,0))),0,YEARFRAC(MAX($P$708*($B878+IF($R$17="Distrato",$I$38-1,0)),IF(AND($L$711=0,$P$708=0),"",$L$711-1),IF($R$17="Distrato",$E878,0)),MIN(BA$38,$D$19),$P$20))-SUM($P878:AZ878)</f>
        <v>#VALUE!</v>
      </c>
      <c r="BB878" s="447"/>
    </row>
    <row r="879" spans="1:54" s="446" customFormat="1" ht="11.25" hidden="1" customHeight="1" x14ac:dyDescent="0.2">
      <c r="A879" s="235"/>
      <c r="B879" s="236"/>
      <c r="C879" s="29" t="str">
        <f>IF(B879="","",IF($L$709=$BL$25,VLOOKUP(DATE(YEAR($D$19),MONTH($D$19)-1,1),ÍNDICES!$A:$DE,HLOOKUP($BL$25,ÍNDICES!$B$3:$T$4,2)+11)-VLOOKUP(B879,ÍNDICES!$A:$DE,HLOOKUP($BL$25,ÍNDICES!$B$3:$T$4,2)+11)+1%,IF(C$712=$W$26,$J$35,IF(ISERROR(IF(B879&gt;$D$19,1,VLOOKUP(DATE(YEAR(B879),MONTH(B879)+IF($C$709=$S$23,1,0),1),ÍNDICES!$A:$DE,$Z$709+1))),"",IF(B879&gt;$D$19,1,VLOOKUP(DATE(YEAR(B879),MONTH(B879)+IF($C$709=$S$23,1,0),1),ÍNDICES!$A:$DE,$Z$709+1))))))</f>
        <v/>
      </c>
      <c r="D879" s="155"/>
      <c r="E879" s="88"/>
      <c r="F879" s="88"/>
      <c r="G879" s="88"/>
      <c r="H879" s="118"/>
      <c r="I879" s="182">
        <f t="shared" si="129"/>
        <v>0</v>
      </c>
      <c r="J879" s="20">
        <f t="shared" ca="1" si="130"/>
        <v>0</v>
      </c>
      <c r="K879" s="5">
        <f t="shared" ca="1" si="131"/>
        <v>0</v>
      </c>
      <c r="L879" s="61">
        <f t="shared" ca="1" si="132"/>
        <v>0</v>
      </c>
      <c r="M879" s="64">
        <f t="shared" si="133"/>
        <v>0</v>
      </c>
      <c r="N879" s="151"/>
      <c r="O879" s="5">
        <f t="shared" ca="1" si="134"/>
        <v>0</v>
      </c>
      <c r="P879" s="446" t="e">
        <f t="shared" si="135"/>
        <v>#VALUE!</v>
      </c>
      <c r="Q879" s="446" t="e">
        <f>IF(OR($B879="",MIN(Q$38,$D$19)&lt;MAX($P$708*($B879+IF($R$17="Distrato",$I$38-1,0)),IF(AND($L$711=0,$P$708=0),"",$L$711-1),IF($R$17="Distrato",$E879,0))),0,YEARFRAC(MAX($P$708*($B879+IF($R$17="Distrato",$I$38-1,0)),IF(AND($L$711=0,$P$708=0),"",$L$711-1),IF($R$17="Distrato",$E879,0)),MIN(Q$38,$D$19),$P$20))-SUM($P879:P879)</f>
        <v>#VALUE!</v>
      </c>
      <c r="R879" s="446" t="e">
        <f>IF(OR($B879="",MIN(R$38,$D$19)&lt;MAX($P$708*($B879+IF($R$17="Distrato",$I$38-1,0)),IF(AND($L$711=0,$P$708=0),"",$L$711-1),IF($R$17="Distrato",$E879,0))),0,YEARFRAC(MAX($P$708*($B879+IF($R$17="Distrato",$I$38-1,0)),IF(AND($L$711=0,$P$708=0),"",$L$711-1),IF($R$17="Distrato",$E879,0)),MIN(R$38,$D$19),$P$20))-SUM($P879:Q879)</f>
        <v>#VALUE!</v>
      </c>
      <c r="S879" s="446" t="e">
        <f>IF(OR($B879="",MIN(S$38,$D$19)&lt;MAX($P$708*($B879+IF($R$17="Distrato",$I$38-1,0)),IF(AND($L$711=0,$P$708=0),"",$L$711-1),IF($R$17="Distrato",$E879,0))),0,YEARFRAC(MAX($P$708*($B879+IF($R$17="Distrato",$I$38-1,0)),IF(AND($L$711=0,$P$708=0),"",$L$711-1),IF($R$17="Distrato",$E879,0)),MIN(S$38,$D$19),$P$20))-SUM($P879:R879)</f>
        <v>#VALUE!</v>
      </c>
      <c r="T879" s="446" t="e">
        <f>IF(OR($B879="",MIN(T$38,$D$19)&lt;MAX($P$708*($B879+IF($R$17="Distrato",$I$38-1,0)),IF(AND($L$711=0,$P$708=0),"",$L$711-1),IF($R$17="Distrato",$E879,0))),0,YEARFRAC(MAX($P$708*($B879+IF($R$17="Distrato",$I$38-1,0)),IF(AND($L$711=0,$P$708=0),"",$L$711-1),IF($R$17="Distrato",$E879,0)),MIN(T$38,$D$19),$P$20))-SUM($P879:S879)</f>
        <v>#VALUE!</v>
      </c>
      <c r="U879" s="446" t="e">
        <f>IF(OR($B879="",MIN(U$38,$D$19)&lt;MAX($P$708*($B879+IF($R$17="Distrato",$I$38-1,0)),IF(AND($L$711=0,$P$708=0),"",$L$711-1),IF($R$17="Distrato",$E879,0))),0,YEARFRAC(MAX($P$708*($B879+IF($R$17="Distrato",$I$38-1,0)),IF(AND($L$711=0,$P$708=0),"",$L$711-1),IF($R$17="Distrato",$E879,0)),MIN(U$38,$D$19),$P$20))-SUM($P879:T879)</f>
        <v>#VALUE!</v>
      </c>
      <c r="V879" s="446" t="e">
        <f>IF(OR($B879="",MIN(V$38,$D$19)&lt;MAX($P$708*($B879+IF($R$17="Distrato",$I$38-1,0)),IF(AND($L$711=0,$P$708=0),"",$L$711-1),IF($R$17="Distrato",$E879,0))),0,YEARFRAC(MAX($P$708*($B879+IF($R$17="Distrato",$I$38-1,0)),IF(AND($L$711=0,$P$708=0),"",$L$711-1),IF($R$17="Distrato",$E879,0)),MIN(V$38,$D$19),$P$20))-SUM($P879:U879)</f>
        <v>#VALUE!</v>
      </c>
      <c r="W879" s="446" t="e">
        <f>IF(OR($B879="",MIN(W$38,$D$19)&lt;MAX($P$708*($B879+IF($R$17="Distrato",$I$38-1,0)),IF(AND($L$711=0,$P$708=0),"",$L$711-1),IF($R$17="Distrato",$E879,0))),0,YEARFRAC(MAX($P$708*($B879+IF($R$17="Distrato",$I$38-1,0)),IF(AND($L$711=0,$P$708=0),"",$L$711-1),IF($R$17="Distrato",$E879,0)),MIN(W$38,$D$19),$P$20))-SUM($P879:V879)</f>
        <v>#VALUE!</v>
      </c>
      <c r="X879" s="446" t="e">
        <f>IF(OR($B879="",MIN(X$38,$D$19)&lt;MAX($P$708*($B879+IF($R$17="Distrato",$I$38-1,0)),IF(AND($L$711=0,$P$708=0),"",$L$711-1),IF($R$17="Distrato",$E879,0))),0,YEARFRAC(MAX($P$708*($B879+IF($R$17="Distrato",$I$38-1,0)),IF(AND($L$711=0,$P$708=0),"",$L$711-1),IF($R$17="Distrato",$E879,0)),MIN(X$38,$D$19),$P$20))-SUM($P879:W879)</f>
        <v>#VALUE!</v>
      </c>
      <c r="Y879" s="446" t="e">
        <f>IF(OR($B879="",MIN(Y$38,$D$19)&lt;MAX($P$708*($B879+IF($R$17="Distrato",$I$38-1,0)),IF(AND($L$711=0,$P$708=0),"",$L$711-1),IF($R$17="Distrato",$E879,0))),0,YEARFRAC(MAX($P$708*($B879+IF($R$17="Distrato",$I$38-1,0)),IF(AND($L$711=0,$P$708=0),"",$L$711-1),IF($R$17="Distrato",$E879,0)),MIN(Y$38,$D$19),$P$20))-SUM($P879:X879)</f>
        <v>#VALUE!</v>
      </c>
      <c r="Z879" s="446" t="e">
        <f>IF(OR($B879="",MIN(Z$38,$D$19)&lt;MAX($P$708*($B879+IF($R$17="Distrato",$I$38-1,0)),IF(AND($L$711=0,$P$708=0),"",$L$711-1),IF($R$17="Distrato",$E879,0))),0,YEARFRAC(MAX($P$708*($B879+IF($R$17="Distrato",$I$38-1,0)),IF(AND($L$711=0,$P$708=0),"",$L$711-1),IF($R$17="Distrato",$E879,0)),MIN(Z$38,$D$19),$P$20))-SUM($P879:Y879)</f>
        <v>#VALUE!</v>
      </c>
      <c r="AA879" s="446" t="e">
        <f>IF(OR($B879="",MIN(AA$38,$D$19)&lt;MAX($P$708*($B879+IF($R$17="Distrato",$I$38-1,0)),IF(AND($L$711=0,$P$708=0),"",$L$711-1),IF($R$17="Distrato",$E879,0))),0,YEARFRAC(MAX($P$708*($B879+IF($R$17="Distrato",$I$38-1,0)),IF(AND($L$711=0,$P$708=0),"",$L$711-1),IF($R$17="Distrato",$E879,0)),MIN(AA$38,$D$19),$P$20))-SUM($P879:Z879)</f>
        <v>#VALUE!</v>
      </c>
      <c r="AB879" s="446" t="e">
        <f>IF(OR($B879="",MIN(AB$38,$D$19)&lt;MAX($P$708*($B879+IF($R$17="Distrato",$I$38-1,0)),IF(AND($L$711=0,$P$708=0),"",$L$711-1),IF($R$17="Distrato",$E879,0))),0,YEARFRAC(MAX($P$708*($B879+IF($R$17="Distrato",$I$38-1,0)),IF(AND($L$711=0,$P$708=0),"",$L$711-1),IF($R$17="Distrato",$E879,0)),MIN(AB$38,$D$19),$P$20))-SUM($P879:AA879)</f>
        <v>#VALUE!</v>
      </c>
      <c r="AC879" s="446" t="e">
        <f>IF(OR($B879="",MIN(AC$38,$D$19)&lt;MAX($P$708*($B879+IF($R$17="Distrato",$I$38-1,0)),IF(AND($L$711=0,$P$708=0),"",$L$711-1),IF($R$17="Distrato",$E879,0))),0,YEARFRAC(MAX($P$708*($B879+IF($R$17="Distrato",$I$38-1,0)),IF(AND($L$711=0,$P$708=0),"",$L$711-1),IF($R$17="Distrato",$E879,0)),MIN(AC$38,$D$19),$P$20))-SUM($P879:AB879)</f>
        <v>#VALUE!</v>
      </c>
      <c r="AD879" s="446" t="e">
        <f>IF(OR($B879="",MIN(AD$38,$D$19)&lt;MAX($P$708*($B879+IF($R$17="Distrato",$I$38-1,0)),IF(AND($L$711=0,$P$708=0),"",$L$711-1),IF($R$17="Distrato",$E879,0))),0,YEARFRAC(MAX($P$708*($B879+IF($R$17="Distrato",$I$38-1,0)),IF(AND($L$711=0,$P$708=0),"",$L$711-1),IF($R$17="Distrato",$E879,0)),MIN(AD$38,$D$19),$P$20))-SUM($P879:AC879)</f>
        <v>#VALUE!</v>
      </c>
      <c r="AE879" s="446" t="e">
        <f>IF(OR($B879="",MIN(AE$38,$D$19)&lt;MAX($P$708*($B879+IF($R$17="Distrato",$I$38-1,0)),IF(AND($L$711=0,$P$708=0),"",$L$711-1),IF($R$17="Distrato",$E879,0))),0,YEARFRAC(MAX($P$708*($B879+IF($R$17="Distrato",$I$38-1,0)),IF(AND($L$711=0,$P$708=0),"",$L$711-1),IF($R$17="Distrato",$E879,0)),MIN(AE$38,$D$19),$P$20))-SUM($P879:AD879)</f>
        <v>#VALUE!</v>
      </c>
      <c r="AF879" s="446" t="e">
        <f>IF(OR($B879="",MIN(AF$38,$D$19)&lt;MAX($P$708*($B879+IF($R$17="Distrato",$I$38-1,0)),IF(AND($L$711=0,$P$708=0),"",$L$711-1),IF($R$17="Distrato",$E879,0))),0,YEARFRAC(MAX($P$708*($B879+IF($R$17="Distrato",$I$38-1,0)),IF(AND($L$711=0,$P$708=0),"",$L$711-1),IF($R$17="Distrato",$E879,0)),MIN(AF$38,$D$19),$P$20))-SUM($P879:AE879)</f>
        <v>#VALUE!</v>
      </c>
      <c r="AG879" s="446" t="e">
        <f>IF(OR($B879="",MIN(AG$38,$D$19)&lt;MAX($P$708*($B879+IF($R$17="Distrato",$I$38-1,0)),IF(AND($L$711=0,$P$708=0),"",$L$711-1),IF($R$17="Distrato",$E879,0))),0,YEARFRAC(MAX($P$708*($B879+IF($R$17="Distrato",$I$38-1,0)),IF(AND($L$711=0,$P$708=0),"",$L$711-1),IF($R$17="Distrato",$E879,0)),MIN(AG$38,$D$19),$P$20))-SUM($P879:AF879)</f>
        <v>#VALUE!</v>
      </c>
      <c r="AH879" s="446" t="e">
        <f>IF(OR($B879="",MIN(AH$38,$D$19)&lt;MAX($P$708*($B879+IF($R$17="Distrato",$I$38-1,0)),IF(AND($L$711=0,$P$708=0),"",$L$711-1),IF($R$17="Distrato",$E879,0))),0,YEARFRAC(MAX($P$708*($B879+IF($R$17="Distrato",$I$38-1,0)),IF(AND($L$711=0,$P$708=0),"",$L$711-1),IF($R$17="Distrato",$E879,0)),MIN(AH$38,$D$19),$P$20))-SUM($P879:AG879)</f>
        <v>#VALUE!</v>
      </c>
      <c r="AI879" s="446" t="e">
        <f>IF(OR($B879="",MIN(AI$38,$D$19)&lt;MAX($P$708*($B879+IF($R$17="Distrato",$I$38-1,0)),IF(AND($L$711=0,$P$708=0),"",$L$711-1),IF($R$17="Distrato",$E879,0))),0,YEARFRAC(MAX($P$708*($B879+IF($R$17="Distrato",$I$38-1,0)),IF(AND($L$711=0,$P$708=0),"",$L$711-1),IF($R$17="Distrato",$E879,0)),MIN(AI$38,$D$19),$P$20))-SUM($P879:AH879)</f>
        <v>#VALUE!</v>
      </c>
      <c r="AJ879" s="446" t="e">
        <f>IF(OR($B879="",MIN(AJ$38,$D$19)&lt;MAX($P$708*($B879+IF($R$17="Distrato",$I$38-1,0)),IF(AND($L$711=0,$P$708=0),"",$L$711-1),IF($R$17="Distrato",$E879,0))),0,YEARFRAC(MAX($P$708*($B879+IF($R$17="Distrato",$I$38-1,0)),IF(AND($L$711=0,$P$708=0),"",$L$711-1),IF($R$17="Distrato",$E879,0)),MIN(AJ$38,$D$19),$P$20))-SUM($P879:AI879)</f>
        <v>#VALUE!</v>
      </c>
      <c r="AK879" s="446" t="e">
        <f>IF(OR($B879="",MIN(AK$38,$D$19)&lt;MAX($P$708*($B879+IF($R$17="Distrato",$I$38-1,0)),IF(AND($L$711=0,$P$708=0),"",$L$711-1),IF($R$17="Distrato",$E879,0))),0,YEARFRAC(MAX($P$708*($B879+IF($R$17="Distrato",$I$38-1,0)),IF(AND($L$711=0,$P$708=0),"",$L$711-1),IF($R$17="Distrato",$E879,0)),MIN(AK$38,$D$19),$P$20))-SUM($P879:AJ879)</f>
        <v>#VALUE!</v>
      </c>
      <c r="AL879" s="446" t="e">
        <f>IF(OR($B879="",MIN(AL$38,$D$19)&lt;MAX($P$708*($B879+IF($R$17="Distrato",$I$38-1,0)),IF(AND($L$711=0,$P$708=0),"",$L$711-1),IF($R$17="Distrato",$E879,0))),0,YEARFRAC(MAX($P$708*($B879+IF($R$17="Distrato",$I$38-1,0)),IF(AND($L$711=0,$P$708=0),"",$L$711-1),IF($R$17="Distrato",$E879,0)),MIN(AL$38,$D$19),$P$20))-SUM($P879:AK879)</f>
        <v>#VALUE!</v>
      </c>
      <c r="AM879" s="446" t="e">
        <f>IF(OR($B879="",MIN(AM$38,$D$19)&lt;MAX($P$708*($B879+IF($R$17="Distrato",$I$38-1,0)),IF(AND($L$711=0,$P$708=0),"",$L$711-1),IF($R$17="Distrato",$E879,0))),0,YEARFRAC(MAX($P$708*($B879+IF($R$17="Distrato",$I$38-1,0)),IF(AND($L$711=0,$P$708=0),"",$L$711-1),IF($R$17="Distrato",$E879,0)),MIN(AM$38,$D$19),$P$20))-SUM($P879:AL879)</f>
        <v>#VALUE!</v>
      </c>
      <c r="AN879" s="446" t="e">
        <f>IF(OR($B879="",MIN(AN$38,$D$19)&lt;MAX($P$708*($B879+IF($R$17="Distrato",$I$38-1,0)),IF(AND($L$711=0,$P$708=0),"",$L$711-1),IF($R$17="Distrato",$E879,0))),0,YEARFRAC(MAX($P$708*($B879+IF($R$17="Distrato",$I$38-1,0)),IF(AND($L$711=0,$P$708=0),"",$L$711-1),IF($R$17="Distrato",$E879,0)),MIN(AN$38,$D$19),$P$20))-SUM($P879:AM879)</f>
        <v>#VALUE!</v>
      </c>
      <c r="AO879" s="446" t="e">
        <f>IF(OR($B879="",MIN(AO$38,$D$19)&lt;MAX($P$708*($B879+IF($R$17="Distrato",$I$38-1,0)),IF(AND($L$711=0,$P$708=0),"",$L$711-1),IF($R$17="Distrato",$E879,0))),0,YEARFRAC(MAX($P$708*($B879+IF($R$17="Distrato",$I$38-1,0)),IF(AND($L$711=0,$P$708=0),"",$L$711-1),IF($R$17="Distrato",$E879,0)),MIN(AO$38,$D$19),$P$20))-SUM($P879:AN879)</f>
        <v>#VALUE!</v>
      </c>
      <c r="AP879" s="446" t="e">
        <f>IF(OR($B879="",MIN(AP$38,$D$19)&lt;MAX($P$708*($B879+IF($R$17="Distrato",$I$38-1,0)),IF(AND($L$711=0,$P$708=0),"",$L$711-1),IF($R$17="Distrato",$E879,0))),0,YEARFRAC(MAX($P$708*($B879+IF($R$17="Distrato",$I$38-1,0)),IF(AND($L$711=0,$P$708=0),"",$L$711-1),IF($R$17="Distrato",$E879,0)),MIN(AP$38,$D$19),$P$20))-SUM($P879:AO879)</f>
        <v>#VALUE!</v>
      </c>
      <c r="AQ879" s="446" t="e">
        <f>IF(OR($B879="",MIN(AQ$38,$D$19)&lt;MAX($P$708*($B879+IF($R$17="Distrato",$I$38-1,0)),IF(AND($L$711=0,$P$708=0),"",$L$711-1),IF($R$17="Distrato",$E879,0))),0,YEARFRAC(MAX($P$708*($B879+IF($R$17="Distrato",$I$38-1,0)),IF(AND($L$711=0,$P$708=0),"",$L$711-1),IF($R$17="Distrato",$E879,0)),MIN(AQ$38,$D$19),$P$20))-SUM($P879:AP879)</f>
        <v>#VALUE!</v>
      </c>
      <c r="AR879" s="446" t="e">
        <f>IF(OR($B879="",MIN(AR$38,$D$19)&lt;MAX($P$708*($B879+IF($R$17="Distrato",$I$38-1,0)),IF(AND($L$711=0,$P$708=0),"",$L$711-1),IF($R$17="Distrato",$E879,0))),0,YEARFRAC(MAX($P$708*($B879+IF($R$17="Distrato",$I$38-1,0)),IF(AND($L$711=0,$P$708=0),"",$L$711-1),IF($R$17="Distrato",$E879,0)),MIN(AR$38,$D$19),$P$20))-SUM($P879:AQ879)</f>
        <v>#VALUE!</v>
      </c>
      <c r="AS879" s="446" t="e">
        <f>IF(OR($B879="",MIN(AS$38,$D$19)&lt;MAX($P$708*($B879+IF($R$17="Distrato",$I$38-1,0)),IF(AND($L$711=0,$P$708=0),"",$L$711-1),IF($R$17="Distrato",$E879,0))),0,YEARFRAC(MAX($P$708*($B879+IF($R$17="Distrato",$I$38-1,0)),IF(AND($L$711=0,$P$708=0),"",$L$711-1),IF($R$17="Distrato",$E879,0)),MIN(AS$38,$D$19),$P$20))-SUM($P879:AR879)</f>
        <v>#VALUE!</v>
      </c>
      <c r="AT879" s="446" t="e">
        <f>IF(OR($B879="",MIN(AT$38,$D$19)&lt;MAX($P$708*($B879+IF($R$17="Distrato",$I$38-1,0)),IF(AND($L$711=0,$P$708=0),"",$L$711-1),IF($R$17="Distrato",$E879,0))),0,YEARFRAC(MAX($P$708*($B879+IF($R$17="Distrato",$I$38-1,0)),IF(AND($L$711=0,$P$708=0),"",$L$711-1),IF($R$17="Distrato",$E879,0)),MIN(AT$38,$D$19),$P$20))-SUM($P879:AS879)</f>
        <v>#VALUE!</v>
      </c>
      <c r="AU879" s="446" t="e">
        <f>IF(OR($B879="",MIN(AU$38,$D$19)&lt;MAX($P$708*($B879+IF($R$17="Distrato",$I$38-1,0)),IF(AND($L$711=0,$P$708=0),"",$L$711-1),IF($R$17="Distrato",$E879,0))),0,YEARFRAC(MAX($P$708*($B879+IF($R$17="Distrato",$I$38-1,0)),IF(AND($L$711=0,$P$708=0),"",$L$711-1),IF($R$17="Distrato",$E879,0)),MIN(AU$38,$D$19),$P$20))-SUM($P879:AT879)</f>
        <v>#VALUE!</v>
      </c>
      <c r="AV879" s="446" t="e">
        <f>IF(OR($B879="",MIN(AV$38,$D$19)&lt;MAX($P$708*($B879+IF($R$17="Distrato",$I$38-1,0)),IF(AND($L$711=0,$P$708=0),"",$L$711-1),IF($R$17="Distrato",$E879,0))),0,YEARFRAC(MAX($P$708*($B879+IF($R$17="Distrato",$I$38-1,0)),IF(AND($L$711=0,$P$708=0),"",$L$711-1),IF($R$17="Distrato",$E879,0)),MIN(AV$38,$D$19),$P$20))-SUM($P879:AU879)</f>
        <v>#VALUE!</v>
      </c>
      <c r="AW879" s="446" t="e">
        <f>IF(OR($B879="",MIN(AW$38,$D$19)&lt;MAX($P$708*($B879+IF($R$17="Distrato",$I$38-1,0)),IF(AND($L$711=0,$P$708=0),"",$L$711-1),IF($R$17="Distrato",$E879,0))),0,YEARFRAC(MAX($P$708*($B879+IF($R$17="Distrato",$I$38-1,0)),IF(AND($L$711=0,$P$708=0),"",$L$711-1),IF($R$17="Distrato",$E879,0)),MIN(AW$38,$D$19),$P$20))-SUM($P879:AV879)</f>
        <v>#VALUE!</v>
      </c>
      <c r="AX879" s="446" t="e">
        <f>IF(OR($B879="",MIN(AX$38,$D$19)&lt;MAX($P$708*($B879+IF($R$17="Distrato",$I$38-1,0)),IF(AND($L$711=0,$P$708=0),"",$L$711-1),IF($R$17="Distrato",$E879,0))),0,YEARFRAC(MAX($P$708*($B879+IF($R$17="Distrato",$I$38-1,0)),IF(AND($L$711=0,$P$708=0),"",$L$711-1),IF($R$17="Distrato",$E879,0)),MIN(AX$38,$D$19),$P$20))-SUM($P879:AW879)</f>
        <v>#VALUE!</v>
      </c>
      <c r="AY879" s="446" t="e">
        <f>IF(OR($B879="",MIN(AY$38,$D$19)&lt;MAX($P$708*($B879+IF($R$17="Distrato",$I$38-1,0)),IF(AND($L$711=0,$P$708=0),"",$L$711-1),IF($R$17="Distrato",$E879,0))),0,YEARFRAC(MAX($P$708*($B879+IF($R$17="Distrato",$I$38-1,0)),IF(AND($L$711=0,$P$708=0),"",$L$711-1),IF($R$17="Distrato",$E879,0)),MIN(AY$38,$D$19),$P$20))-SUM($P879:AX879)</f>
        <v>#VALUE!</v>
      </c>
      <c r="AZ879" s="446" t="e">
        <f>IF(OR($B879="",MIN(AZ$38,$D$19)&lt;MAX($P$708*($B879+IF($R$17="Distrato",$I$38-1,0)),IF(AND($L$711=0,$P$708=0),"",$L$711-1),IF($R$17="Distrato",$E879,0))),0,YEARFRAC(MAX($P$708*($B879+IF($R$17="Distrato",$I$38-1,0)),IF(AND($L$711=0,$P$708=0),"",$L$711-1),IF($R$17="Distrato",$E879,0)),MIN(AZ$38,$D$19),$P$20))-SUM($P879:AY879)</f>
        <v>#VALUE!</v>
      </c>
      <c r="BA879" s="446" t="e">
        <f>IF(OR($B879="",MIN(BA$38,$D$19)&lt;MAX($P$708*($B879+IF($R$17="Distrato",$I$38-1,0)),IF(AND($L$711=0,$P$708=0),"",$L$711-1),IF($R$17="Distrato",$E879,0))),0,YEARFRAC(MAX($P$708*($B879+IF($R$17="Distrato",$I$38-1,0)),IF(AND($L$711=0,$P$708=0),"",$L$711-1),IF($R$17="Distrato",$E879,0)),MIN(BA$38,$D$19),$P$20))-SUM($P879:AZ879)</f>
        <v>#VALUE!</v>
      </c>
      <c r="BB879" s="447"/>
    </row>
    <row r="880" spans="1:54" s="446" customFormat="1" ht="11.25" hidden="1" customHeight="1" x14ac:dyDescent="0.2">
      <c r="A880" s="235"/>
      <c r="B880" s="236"/>
      <c r="C880" s="29" t="str">
        <f>IF(B880="","",IF($L$709=$BL$25,VLOOKUP(DATE(YEAR($D$19),MONTH($D$19)-1,1),ÍNDICES!$A:$DE,HLOOKUP($BL$25,ÍNDICES!$B$3:$T$4,2)+11)-VLOOKUP(B880,ÍNDICES!$A:$DE,HLOOKUP($BL$25,ÍNDICES!$B$3:$T$4,2)+11)+1%,IF(C$712=$W$26,$J$35,IF(ISERROR(IF(B880&gt;$D$19,1,VLOOKUP(DATE(YEAR(B880),MONTH(B880)+IF($C$709=$S$23,1,0),1),ÍNDICES!$A:$DE,$Z$709+1))),"",IF(B880&gt;$D$19,1,VLOOKUP(DATE(YEAR(B880),MONTH(B880)+IF($C$709=$S$23,1,0),1),ÍNDICES!$A:$DE,$Z$709+1))))))</f>
        <v/>
      </c>
      <c r="D880" s="155"/>
      <c r="E880" s="88"/>
      <c r="F880" s="88"/>
      <c r="G880" s="88"/>
      <c r="H880" s="118"/>
      <c r="I880" s="182">
        <f t="shared" si="129"/>
        <v>0</v>
      </c>
      <c r="J880" s="20">
        <f t="shared" ca="1" si="130"/>
        <v>0</v>
      </c>
      <c r="K880" s="5">
        <f t="shared" ca="1" si="131"/>
        <v>0</v>
      </c>
      <c r="L880" s="61">
        <f t="shared" ca="1" si="132"/>
        <v>0</v>
      </c>
      <c r="M880" s="64">
        <f t="shared" si="133"/>
        <v>0</v>
      </c>
      <c r="N880" s="151"/>
      <c r="O880" s="5">
        <f t="shared" ca="1" si="134"/>
        <v>0</v>
      </c>
      <c r="P880" s="446" t="e">
        <f t="shared" si="135"/>
        <v>#VALUE!</v>
      </c>
      <c r="Q880" s="446" t="e">
        <f>IF(OR($B880="",MIN(Q$38,$D$19)&lt;MAX($P$708*($B880+IF($R$17="Distrato",$I$38-1,0)),IF(AND($L$711=0,$P$708=0),"",$L$711-1),IF($R$17="Distrato",$E880,0))),0,YEARFRAC(MAX($P$708*($B880+IF($R$17="Distrato",$I$38-1,0)),IF(AND($L$711=0,$P$708=0),"",$L$711-1),IF($R$17="Distrato",$E880,0)),MIN(Q$38,$D$19),$P$20))-SUM($P880:P880)</f>
        <v>#VALUE!</v>
      </c>
      <c r="R880" s="446" t="e">
        <f>IF(OR($B880="",MIN(R$38,$D$19)&lt;MAX($P$708*($B880+IF($R$17="Distrato",$I$38-1,0)),IF(AND($L$711=0,$P$708=0),"",$L$711-1),IF($R$17="Distrato",$E880,0))),0,YEARFRAC(MAX($P$708*($B880+IF($R$17="Distrato",$I$38-1,0)),IF(AND($L$711=0,$P$708=0),"",$L$711-1),IF($R$17="Distrato",$E880,0)),MIN(R$38,$D$19),$P$20))-SUM($P880:Q880)</f>
        <v>#VALUE!</v>
      </c>
      <c r="S880" s="446" t="e">
        <f>IF(OR($B880="",MIN(S$38,$D$19)&lt;MAX($P$708*($B880+IF($R$17="Distrato",$I$38-1,0)),IF(AND($L$711=0,$P$708=0),"",$L$711-1),IF($R$17="Distrato",$E880,0))),0,YEARFRAC(MAX($P$708*($B880+IF($R$17="Distrato",$I$38-1,0)),IF(AND($L$711=0,$P$708=0),"",$L$711-1),IF($R$17="Distrato",$E880,0)),MIN(S$38,$D$19),$P$20))-SUM($P880:R880)</f>
        <v>#VALUE!</v>
      </c>
      <c r="T880" s="446" t="e">
        <f>IF(OR($B880="",MIN(T$38,$D$19)&lt;MAX($P$708*($B880+IF($R$17="Distrato",$I$38-1,0)),IF(AND($L$711=0,$P$708=0),"",$L$711-1),IF($R$17="Distrato",$E880,0))),0,YEARFRAC(MAX($P$708*($B880+IF($R$17="Distrato",$I$38-1,0)),IF(AND($L$711=0,$P$708=0),"",$L$711-1),IF($R$17="Distrato",$E880,0)),MIN(T$38,$D$19),$P$20))-SUM($P880:S880)</f>
        <v>#VALUE!</v>
      </c>
      <c r="U880" s="446" t="e">
        <f>IF(OR($B880="",MIN(U$38,$D$19)&lt;MAX($P$708*($B880+IF($R$17="Distrato",$I$38-1,0)),IF(AND($L$711=0,$P$708=0),"",$L$711-1),IF($R$17="Distrato",$E880,0))),0,YEARFRAC(MAX($P$708*($B880+IF($R$17="Distrato",$I$38-1,0)),IF(AND($L$711=0,$P$708=0),"",$L$711-1),IF($R$17="Distrato",$E880,0)),MIN(U$38,$D$19),$P$20))-SUM($P880:T880)</f>
        <v>#VALUE!</v>
      </c>
      <c r="V880" s="446" t="e">
        <f>IF(OR($B880="",MIN(V$38,$D$19)&lt;MAX($P$708*($B880+IF($R$17="Distrato",$I$38-1,0)),IF(AND($L$711=0,$P$708=0),"",$L$711-1),IF($R$17="Distrato",$E880,0))),0,YEARFRAC(MAX($P$708*($B880+IF($R$17="Distrato",$I$38-1,0)),IF(AND($L$711=0,$P$708=0),"",$L$711-1),IF($R$17="Distrato",$E880,0)),MIN(V$38,$D$19),$P$20))-SUM($P880:U880)</f>
        <v>#VALUE!</v>
      </c>
      <c r="W880" s="446" t="e">
        <f>IF(OR($B880="",MIN(W$38,$D$19)&lt;MAX($P$708*($B880+IF($R$17="Distrato",$I$38-1,0)),IF(AND($L$711=0,$P$708=0),"",$L$711-1),IF($R$17="Distrato",$E880,0))),0,YEARFRAC(MAX($P$708*($B880+IF($R$17="Distrato",$I$38-1,0)),IF(AND($L$711=0,$P$708=0),"",$L$711-1),IF($R$17="Distrato",$E880,0)),MIN(W$38,$D$19),$P$20))-SUM($P880:V880)</f>
        <v>#VALUE!</v>
      </c>
      <c r="X880" s="446" t="e">
        <f>IF(OR($B880="",MIN(X$38,$D$19)&lt;MAX($P$708*($B880+IF($R$17="Distrato",$I$38-1,0)),IF(AND($L$711=0,$P$708=0),"",$L$711-1),IF($R$17="Distrato",$E880,0))),0,YEARFRAC(MAX($P$708*($B880+IF($R$17="Distrato",$I$38-1,0)),IF(AND($L$711=0,$P$708=0),"",$L$711-1),IF($R$17="Distrato",$E880,0)),MIN(X$38,$D$19),$P$20))-SUM($P880:W880)</f>
        <v>#VALUE!</v>
      </c>
      <c r="Y880" s="446" t="e">
        <f>IF(OR($B880="",MIN(Y$38,$D$19)&lt;MAX($P$708*($B880+IF($R$17="Distrato",$I$38-1,0)),IF(AND($L$711=0,$P$708=0),"",$L$711-1),IF($R$17="Distrato",$E880,0))),0,YEARFRAC(MAX($P$708*($B880+IF($R$17="Distrato",$I$38-1,0)),IF(AND($L$711=0,$P$708=0),"",$L$711-1),IF($R$17="Distrato",$E880,0)),MIN(Y$38,$D$19),$P$20))-SUM($P880:X880)</f>
        <v>#VALUE!</v>
      </c>
      <c r="Z880" s="446" t="e">
        <f>IF(OR($B880="",MIN(Z$38,$D$19)&lt;MAX($P$708*($B880+IF($R$17="Distrato",$I$38-1,0)),IF(AND($L$711=0,$P$708=0),"",$L$711-1),IF($R$17="Distrato",$E880,0))),0,YEARFRAC(MAX($P$708*($B880+IF($R$17="Distrato",$I$38-1,0)),IF(AND($L$711=0,$P$708=0),"",$L$711-1),IF($R$17="Distrato",$E880,0)),MIN(Z$38,$D$19),$P$20))-SUM($P880:Y880)</f>
        <v>#VALUE!</v>
      </c>
      <c r="AA880" s="446" t="e">
        <f>IF(OR($B880="",MIN(AA$38,$D$19)&lt;MAX($P$708*($B880+IF($R$17="Distrato",$I$38-1,0)),IF(AND($L$711=0,$P$708=0),"",$L$711-1),IF($R$17="Distrato",$E880,0))),0,YEARFRAC(MAX($P$708*($B880+IF($R$17="Distrato",$I$38-1,0)),IF(AND($L$711=0,$P$708=0),"",$L$711-1),IF($R$17="Distrato",$E880,0)),MIN(AA$38,$D$19),$P$20))-SUM($P880:Z880)</f>
        <v>#VALUE!</v>
      </c>
      <c r="AB880" s="446" t="e">
        <f>IF(OR($B880="",MIN(AB$38,$D$19)&lt;MAX($P$708*($B880+IF($R$17="Distrato",$I$38-1,0)),IF(AND($L$711=0,$P$708=0),"",$L$711-1),IF($R$17="Distrato",$E880,0))),0,YEARFRAC(MAX($P$708*($B880+IF($R$17="Distrato",$I$38-1,0)),IF(AND($L$711=0,$P$708=0),"",$L$711-1),IF($R$17="Distrato",$E880,0)),MIN(AB$38,$D$19),$P$20))-SUM($P880:AA880)</f>
        <v>#VALUE!</v>
      </c>
      <c r="AC880" s="446" t="e">
        <f>IF(OR($B880="",MIN(AC$38,$D$19)&lt;MAX($P$708*($B880+IF($R$17="Distrato",$I$38-1,0)),IF(AND($L$711=0,$P$708=0),"",$L$711-1),IF($R$17="Distrato",$E880,0))),0,YEARFRAC(MAX($P$708*($B880+IF($R$17="Distrato",$I$38-1,0)),IF(AND($L$711=0,$P$708=0),"",$L$711-1),IF($R$17="Distrato",$E880,0)),MIN(AC$38,$D$19),$P$20))-SUM($P880:AB880)</f>
        <v>#VALUE!</v>
      </c>
      <c r="AD880" s="446" t="e">
        <f>IF(OR($B880="",MIN(AD$38,$D$19)&lt;MAX($P$708*($B880+IF($R$17="Distrato",$I$38-1,0)),IF(AND($L$711=0,$P$708=0),"",$L$711-1),IF($R$17="Distrato",$E880,0))),0,YEARFRAC(MAX($P$708*($B880+IF($R$17="Distrato",$I$38-1,0)),IF(AND($L$711=0,$P$708=0),"",$L$711-1),IF($R$17="Distrato",$E880,0)),MIN(AD$38,$D$19),$P$20))-SUM($P880:AC880)</f>
        <v>#VALUE!</v>
      </c>
      <c r="AE880" s="446" t="e">
        <f>IF(OR($B880="",MIN(AE$38,$D$19)&lt;MAX($P$708*($B880+IF($R$17="Distrato",$I$38-1,0)),IF(AND($L$711=0,$P$708=0),"",$L$711-1),IF($R$17="Distrato",$E880,0))),0,YEARFRAC(MAX($P$708*($B880+IF($R$17="Distrato",$I$38-1,0)),IF(AND($L$711=0,$P$708=0),"",$L$711-1),IF($R$17="Distrato",$E880,0)),MIN(AE$38,$D$19),$P$20))-SUM($P880:AD880)</f>
        <v>#VALUE!</v>
      </c>
      <c r="AF880" s="446" t="e">
        <f>IF(OR($B880="",MIN(AF$38,$D$19)&lt;MAX($P$708*($B880+IF($R$17="Distrato",$I$38-1,0)),IF(AND($L$711=0,$P$708=0),"",$L$711-1),IF($R$17="Distrato",$E880,0))),0,YEARFRAC(MAX($P$708*($B880+IF($R$17="Distrato",$I$38-1,0)),IF(AND($L$711=0,$P$708=0),"",$L$711-1),IF($R$17="Distrato",$E880,0)),MIN(AF$38,$D$19),$P$20))-SUM($P880:AE880)</f>
        <v>#VALUE!</v>
      </c>
      <c r="AG880" s="446" t="e">
        <f>IF(OR($B880="",MIN(AG$38,$D$19)&lt;MAX($P$708*($B880+IF($R$17="Distrato",$I$38-1,0)),IF(AND($L$711=0,$P$708=0),"",$L$711-1),IF($R$17="Distrato",$E880,0))),0,YEARFRAC(MAX($P$708*($B880+IF($R$17="Distrato",$I$38-1,0)),IF(AND($L$711=0,$P$708=0),"",$L$711-1),IF($R$17="Distrato",$E880,0)),MIN(AG$38,$D$19),$P$20))-SUM($P880:AF880)</f>
        <v>#VALUE!</v>
      </c>
      <c r="AH880" s="446" t="e">
        <f>IF(OR($B880="",MIN(AH$38,$D$19)&lt;MAX($P$708*($B880+IF($R$17="Distrato",$I$38-1,0)),IF(AND($L$711=0,$P$708=0),"",$L$711-1),IF($R$17="Distrato",$E880,0))),0,YEARFRAC(MAX($P$708*($B880+IF($R$17="Distrato",$I$38-1,0)),IF(AND($L$711=0,$P$708=0),"",$L$711-1),IF($R$17="Distrato",$E880,0)),MIN(AH$38,$D$19),$P$20))-SUM($P880:AG880)</f>
        <v>#VALUE!</v>
      </c>
      <c r="AI880" s="446" t="e">
        <f>IF(OR($B880="",MIN(AI$38,$D$19)&lt;MAX($P$708*($B880+IF($R$17="Distrato",$I$38-1,0)),IF(AND($L$711=0,$P$708=0),"",$L$711-1),IF($R$17="Distrato",$E880,0))),0,YEARFRAC(MAX($P$708*($B880+IF($R$17="Distrato",$I$38-1,0)),IF(AND($L$711=0,$P$708=0),"",$L$711-1),IF($R$17="Distrato",$E880,0)),MIN(AI$38,$D$19),$P$20))-SUM($P880:AH880)</f>
        <v>#VALUE!</v>
      </c>
      <c r="AJ880" s="446" t="e">
        <f>IF(OR($B880="",MIN(AJ$38,$D$19)&lt;MAX($P$708*($B880+IF($R$17="Distrato",$I$38-1,0)),IF(AND($L$711=0,$P$708=0),"",$L$711-1),IF($R$17="Distrato",$E880,0))),0,YEARFRAC(MAX($P$708*($B880+IF($R$17="Distrato",$I$38-1,0)),IF(AND($L$711=0,$P$708=0),"",$L$711-1),IF($R$17="Distrato",$E880,0)),MIN(AJ$38,$D$19),$P$20))-SUM($P880:AI880)</f>
        <v>#VALUE!</v>
      </c>
      <c r="AK880" s="446" t="e">
        <f>IF(OR($B880="",MIN(AK$38,$D$19)&lt;MAX($P$708*($B880+IF($R$17="Distrato",$I$38-1,0)),IF(AND($L$711=0,$P$708=0),"",$L$711-1),IF($R$17="Distrato",$E880,0))),0,YEARFRAC(MAX($P$708*($B880+IF($R$17="Distrato",$I$38-1,0)),IF(AND($L$711=0,$P$708=0),"",$L$711-1),IF($R$17="Distrato",$E880,0)),MIN(AK$38,$D$19),$P$20))-SUM($P880:AJ880)</f>
        <v>#VALUE!</v>
      </c>
      <c r="AL880" s="446" t="e">
        <f>IF(OR($B880="",MIN(AL$38,$D$19)&lt;MAX($P$708*($B880+IF($R$17="Distrato",$I$38-1,0)),IF(AND($L$711=0,$P$708=0),"",$L$711-1),IF($R$17="Distrato",$E880,0))),0,YEARFRAC(MAX($P$708*($B880+IF($R$17="Distrato",$I$38-1,0)),IF(AND($L$711=0,$P$708=0),"",$L$711-1),IF($R$17="Distrato",$E880,0)),MIN(AL$38,$D$19),$P$20))-SUM($P880:AK880)</f>
        <v>#VALUE!</v>
      </c>
      <c r="AM880" s="446" t="e">
        <f>IF(OR($B880="",MIN(AM$38,$D$19)&lt;MAX($P$708*($B880+IF($R$17="Distrato",$I$38-1,0)),IF(AND($L$711=0,$P$708=0),"",$L$711-1),IF($R$17="Distrato",$E880,0))),0,YEARFRAC(MAX($P$708*($B880+IF($R$17="Distrato",$I$38-1,0)),IF(AND($L$711=0,$P$708=0),"",$L$711-1),IF($R$17="Distrato",$E880,0)),MIN(AM$38,$D$19),$P$20))-SUM($P880:AL880)</f>
        <v>#VALUE!</v>
      </c>
      <c r="AN880" s="446" t="e">
        <f>IF(OR($B880="",MIN(AN$38,$D$19)&lt;MAX($P$708*($B880+IF($R$17="Distrato",$I$38-1,0)),IF(AND($L$711=0,$P$708=0),"",$L$711-1),IF($R$17="Distrato",$E880,0))),0,YEARFRAC(MAX($P$708*($B880+IF($R$17="Distrato",$I$38-1,0)),IF(AND($L$711=0,$P$708=0),"",$L$711-1),IF($R$17="Distrato",$E880,0)),MIN(AN$38,$D$19),$P$20))-SUM($P880:AM880)</f>
        <v>#VALUE!</v>
      </c>
      <c r="AO880" s="446" t="e">
        <f>IF(OR($B880="",MIN(AO$38,$D$19)&lt;MAX($P$708*($B880+IF($R$17="Distrato",$I$38-1,0)),IF(AND($L$711=0,$P$708=0),"",$L$711-1),IF($R$17="Distrato",$E880,0))),0,YEARFRAC(MAX($P$708*($B880+IF($R$17="Distrato",$I$38-1,0)),IF(AND($L$711=0,$P$708=0),"",$L$711-1),IF($R$17="Distrato",$E880,0)),MIN(AO$38,$D$19),$P$20))-SUM($P880:AN880)</f>
        <v>#VALUE!</v>
      </c>
      <c r="AP880" s="446" t="e">
        <f>IF(OR($B880="",MIN(AP$38,$D$19)&lt;MAX($P$708*($B880+IF($R$17="Distrato",$I$38-1,0)),IF(AND($L$711=0,$P$708=0),"",$L$711-1),IF($R$17="Distrato",$E880,0))),0,YEARFRAC(MAX($P$708*($B880+IF($R$17="Distrato",$I$38-1,0)),IF(AND($L$711=0,$P$708=0),"",$L$711-1),IF($R$17="Distrato",$E880,0)),MIN(AP$38,$D$19),$P$20))-SUM($P880:AO880)</f>
        <v>#VALUE!</v>
      </c>
      <c r="AQ880" s="446" t="e">
        <f>IF(OR($B880="",MIN(AQ$38,$D$19)&lt;MAX($P$708*($B880+IF($R$17="Distrato",$I$38-1,0)),IF(AND($L$711=0,$P$708=0),"",$L$711-1),IF($R$17="Distrato",$E880,0))),0,YEARFRAC(MAX($P$708*($B880+IF($R$17="Distrato",$I$38-1,0)),IF(AND($L$711=0,$P$708=0),"",$L$711-1),IF($R$17="Distrato",$E880,0)),MIN(AQ$38,$D$19),$P$20))-SUM($P880:AP880)</f>
        <v>#VALUE!</v>
      </c>
      <c r="AR880" s="446" t="e">
        <f>IF(OR($B880="",MIN(AR$38,$D$19)&lt;MAX($P$708*($B880+IF($R$17="Distrato",$I$38-1,0)),IF(AND($L$711=0,$P$708=0),"",$L$711-1),IF($R$17="Distrato",$E880,0))),0,YEARFRAC(MAX($P$708*($B880+IF($R$17="Distrato",$I$38-1,0)),IF(AND($L$711=0,$P$708=0),"",$L$711-1),IF($R$17="Distrato",$E880,0)),MIN(AR$38,$D$19),$P$20))-SUM($P880:AQ880)</f>
        <v>#VALUE!</v>
      </c>
      <c r="AS880" s="446" t="e">
        <f>IF(OR($B880="",MIN(AS$38,$D$19)&lt;MAX($P$708*($B880+IF($R$17="Distrato",$I$38-1,0)),IF(AND($L$711=0,$P$708=0),"",$L$711-1),IF($R$17="Distrato",$E880,0))),0,YEARFRAC(MAX($P$708*($B880+IF($R$17="Distrato",$I$38-1,0)),IF(AND($L$711=0,$P$708=0),"",$L$711-1),IF($R$17="Distrato",$E880,0)),MIN(AS$38,$D$19),$P$20))-SUM($P880:AR880)</f>
        <v>#VALUE!</v>
      </c>
      <c r="AT880" s="446" t="e">
        <f>IF(OR($B880="",MIN(AT$38,$D$19)&lt;MAX($P$708*($B880+IF($R$17="Distrato",$I$38-1,0)),IF(AND($L$711=0,$P$708=0),"",$L$711-1),IF($R$17="Distrato",$E880,0))),0,YEARFRAC(MAX($P$708*($B880+IF($R$17="Distrato",$I$38-1,0)),IF(AND($L$711=0,$P$708=0),"",$L$711-1),IF($R$17="Distrato",$E880,0)),MIN(AT$38,$D$19),$P$20))-SUM($P880:AS880)</f>
        <v>#VALUE!</v>
      </c>
      <c r="AU880" s="446" t="e">
        <f>IF(OR($B880="",MIN(AU$38,$D$19)&lt;MAX($P$708*($B880+IF($R$17="Distrato",$I$38-1,0)),IF(AND($L$711=0,$P$708=0),"",$L$711-1),IF($R$17="Distrato",$E880,0))),0,YEARFRAC(MAX($P$708*($B880+IF($R$17="Distrato",$I$38-1,0)),IF(AND($L$711=0,$P$708=0),"",$L$711-1),IF($R$17="Distrato",$E880,0)),MIN(AU$38,$D$19),$P$20))-SUM($P880:AT880)</f>
        <v>#VALUE!</v>
      </c>
      <c r="AV880" s="446" t="e">
        <f>IF(OR($B880="",MIN(AV$38,$D$19)&lt;MAX($P$708*($B880+IF($R$17="Distrato",$I$38-1,0)),IF(AND($L$711=0,$P$708=0),"",$L$711-1),IF($R$17="Distrato",$E880,0))),0,YEARFRAC(MAX($P$708*($B880+IF($R$17="Distrato",$I$38-1,0)),IF(AND($L$711=0,$P$708=0),"",$L$711-1),IF($R$17="Distrato",$E880,0)),MIN(AV$38,$D$19),$P$20))-SUM($P880:AU880)</f>
        <v>#VALUE!</v>
      </c>
      <c r="AW880" s="446" t="e">
        <f>IF(OR($B880="",MIN(AW$38,$D$19)&lt;MAX($P$708*($B880+IF($R$17="Distrato",$I$38-1,0)),IF(AND($L$711=0,$P$708=0),"",$L$711-1),IF($R$17="Distrato",$E880,0))),0,YEARFRAC(MAX($P$708*($B880+IF($R$17="Distrato",$I$38-1,0)),IF(AND($L$711=0,$P$708=0),"",$L$711-1),IF($R$17="Distrato",$E880,0)),MIN(AW$38,$D$19),$P$20))-SUM($P880:AV880)</f>
        <v>#VALUE!</v>
      </c>
      <c r="AX880" s="446" t="e">
        <f>IF(OR($B880="",MIN(AX$38,$D$19)&lt;MAX($P$708*($B880+IF($R$17="Distrato",$I$38-1,0)),IF(AND($L$711=0,$P$708=0),"",$L$711-1),IF($R$17="Distrato",$E880,0))),0,YEARFRAC(MAX($P$708*($B880+IF($R$17="Distrato",$I$38-1,0)),IF(AND($L$711=0,$P$708=0),"",$L$711-1),IF($R$17="Distrato",$E880,0)),MIN(AX$38,$D$19),$P$20))-SUM($P880:AW880)</f>
        <v>#VALUE!</v>
      </c>
      <c r="AY880" s="446" t="e">
        <f>IF(OR($B880="",MIN(AY$38,$D$19)&lt;MAX($P$708*($B880+IF($R$17="Distrato",$I$38-1,0)),IF(AND($L$711=0,$P$708=0),"",$L$711-1),IF($R$17="Distrato",$E880,0))),0,YEARFRAC(MAX($P$708*($B880+IF($R$17="Distrato",$I$38-1,0)),IF(AND($L$711=0,$P$708=0),"",$L$711-1),IF($R$17="Distrato",$E880,0)),MIN(AY$38,$D$19),$P$20))-SUM($P880:AX880)</f>
        <v>#VALUE!</v>
      </c>
      <c r="AZ880" s="446" t="e">
        <f>IF(OR($B880="",MIN(AZ$38,$D$19)&lt;MAX($P$708*($B880+IF($R$17="Distrato",$I$38-1,0)),IF(AND($L$711=0,$P$708=0),"",$L$711-1),IF($R$17="Distrato",$E880,0))),0,YEARFRAC(MAX($P$708*($B880+IF($R$17="Distrato",$I$38-1,0)),IF(AND($L$711=0,$P$708=0),"",$L$711-1),IF($R$17="Distrato",$E880,0)),MIN(AZ$38,$D$19),$P$20))-SUM($P880:AY880)</f>
        <v>#VALUE!</v>
      </c>
      <c r="BA880" s="446" t="e">
        <f>IF(OR($B880="",MIN(BA$38,$D$19)&lt;MAX($P$708*($B880+IF($R$17="Distrato",$I$38-1,0)),IF(AND($L$711=0,$P$708=0),"",$L$711-1),IF($R$17="Distrato",$E880,0))),0,YEARFRAC(MAX($P$708*($B880+IF($R$17="Distrato",$I$38-1,0)),IF(AND($L$711=0,$P$708=0),"",$L$711-1),IF($R$17="Distrato",$E880,0)),MIN(BA$38,$D$19),$P$20))-SUM($P880:AZ880)</f>
        <v>#VALUE!</v>
      </c>
      <c r="BB880" s="447"/>
    </row>
    <row r="881" spans="1:54" s="446" customFormat="1" ht="11.25" hidden="1" customHeight="1" x14ac:dyDescent="0.2">
      <c r="A881" s="235"/>
      <c r="B881" s="236"/>
      <c r="C881" s="29" t="str">
        <f>IF(B881="","",IF($L$709=$BL$25,VLOOKUP(DATE(YEAR($D$19),MONTH($D$19)-1,1),ÍNDICES!$A:$DE,HLOOKUP($BL$25,ÍNDICES!$B$3:$T$4,2)+11)-VLOOKUP(B881,ÍNDICES!$A:$DE,HLOOKUP($BL$25,ÍNDICES!$B$3:$T$4,2)+11)+1%,IF(C$712=$W$26,$J$35,IF(ISERROR(IF(B881&gt;$D$19,1,VLOOKUP(DATE(YEAR(B881),MONTH(B881)+IF($C$709=$S$23,1,0),1),ÍNDICES!$A:$DE,$Z$709+1))),"",IF(B881&gt;$D$19,1,VLOOKUP(DATE(YEAR(B881),MONTH(B881)+IF($C$709=$S$23,1,0),1),ÍNDICES!$A:$DE,$Z$709+1))))))</f>
        <v/>
      </c>
      <c r="D881" s="155"/>
      <c r="E881" s="88"/>
      <c r="F881" s="88"/>
      <c r="G881" s="88"/>
      <c r="H881" s="118"/>
      <c r="I881" s="182">
        <f t="shared" si="129"/>
        <v>0</v>
      </c>
      <c r="J881" s="20">
        <f t="shared" ca="1" si="130"/>
        <v>0</v>
      </c>
      <c r="K881" s="5">
        <f t="shared" ca="1" si="131"/>
        <v>0</v>
      </c>
      <c r="L881" s="61">
        <f t="shared" ca="1" si="132"/>
        <v>0</v>
      </c>
      <c r="M881" s="64">
        <f t="shared" si="133"/>
        <v>0</v>
      </c>
      <c r="N881" s="151"/>
      <c r="O881" s="5">
        <f t="shared" ca="1" si="134"/>
        <v>0</v>
      </c>
      <c r="P881" s="446" t="e">
        <f t="shared" si="135"/>
        <v>#VALUE!</v>
      </c>
      <c r="Q881" s="446" t="e">
        <f>IF(OR($B881="",MIN(Q$38,$D$19)&lt;MAX($P$708*($B881+IF($R$17="Distrato",$I$38-1,0)),IF(AND($L$711=0,$P$708=0),"",$L$711-1),IF($R$17="Distrato",$E881,0))),0,YEARFRAC(MAX($P$708*($B881+IF($R$17="Distrato",$I$38-1,0)),IF(AND($L$711=0,$P$708=0),"",$L$711-1),IF($R$17="Distrato",$E881,0)),MIN(Q$38,$D$19),$P$20))-SUM($P881:P881)</f>
        <v>#VALUE!</v>
      </c>
      <c r="R881" s="446" t="e">
        <f>IF(OR($B881="",MIN(R$38,$D$19)&lt;MAX($P$708*($B881+IF($R$17="Distrato",$I$38-1,0)),IF(AND($L$711=0,$P$708=0),"",$L$711-1),IF($R$17="Distrato",$E881,0))),0,YEARFRAC(MAX($P$708*($B881+IF($R$17="Distrato",$I$38-1,0)),IF(AND($L$711=0,$P$708=0),"",$L$711-1),IF($R$17="Distrato",$E881,0)),MIN(R$38,$D$19),$P$20))-SUM($P881:Q881)</f>
        <v>#VALUE!</v>
      </c>
      <c r="S881" s="446" t="e">
        <f>IF(OR($B881="",MIN(S$38,$D$19)&lt;MAX($P$708*($B881+IF($R$17="Distrato",$I$38-1,0)),IF(AND($L$711=0,$P$708=0),"",$L$711-1),IF($R$17="Distrato",$E881,0))),0,YEARFRAC(MAX($P$708*($B881+IF($R$17="Distrato",$I$38-1,0)),IF(AND($L$711=0,$P$708=0),"",$L$711-1),IF($R$17="Distrato",$E881,0)),MIN(S$38,$D$19),$P$20))-SUM($P881:R881)</f>
        <v>#VALUE!</v>
      </c>
      <c r="T881" s="446" t="e">
        <f>IF(OR($B881="",MIN(T$38,$D$19)&lt;MAX($P$708*($B881+IF($R$17="Distrato",$I$38-1,0)),IF(AND($L$711=0,$P$708=0),"",$L$711-1),IF($R$17="Distrato",$E881,0))),0,YEARFRAC(MAX($P$708*($B881+IF($R$17="Distrato",$I$38-1,0)),IF(AND($L$711=0,$P$708=0),"",$L$711-1),IF($R$17="Distrato",$E881,0)),MIN(T$38,$D$19),$P$20))-SUM($P881:S881)</f>
        <v>#VALUE!</v>
      </c>
      <c r="U881" s="446" t="e">
        <f>IF(OR($B881="",MIN(U$38,$D$19)&lt;MAX($P$708*($B881+IF($R$17="Distrato",$I$38-1,0)),IF(AND($L$711=0,$P$708=0),"",$L$711-1),IF($R$17="Distrato",$E881,0))),0,YEARFRAC(MAX($P$708*($B881+IF($R$17="Distrato",$I$38-1,0)),IF(AND($L$711=0,$P$708=0),"",$L$711-1),IF($R$17="Distrato",$E881,0)),MIN(U$38,$D$19),$P$20))-SUM($P881:T881)</f>
        <v>#VALUE!</v>
      </c>
      <c r="V881" s="446" t="e">
        <f>IF(OR($B881="",MIN(V$38,$D$19)&lt;MAX($P$708*($B881+IF($R$17="Distrato",$I$38-1,0)),IF(AND($L$711=0,$P$708=0),"",$L$711-1),IF($R$17="Distrato",$E881,0))),0,YEARFRAC(MAX($P$708*($B881+IF($R$17="Distrato",$I$38-1,0)),IF(AND($L$711=0,$P$708=0),"",$L$711-1),IF($R$17="Distrato",$E881,0)),MIN(V$38,$D$19),$P$20))-SUM($P881:U881)</f>
        <v>#VALUE!</v>
      </c>
      <c r="W881" s="446" t="e">
        <f>IF(OR($B881="",MIN(W$38,$D$19)&lt;MAX($P$708*($B881+IF($R$17="Distrato",$I$38-1,0)),IF(AND($L$711=0,$P$708=0),"",$L$711-1),IF($R$17="Distrato",$E881,0))),0,YEARFRAC(MAX($P$708*($B881+IF($R$17="Distrato",$I$38-1,0)),IF(AND($L$711=0,$P$708=0),"",$L$711-1),IF($R$17="Distrato",$E881,0)),MIN(W$38,$D$19),$P$20))-SUM($P881:V881)</f>
        <v>#VALUE!</v>
      </c>
      <c r="X881" s="446" t="e">
        <f>IF(OR($B881="",MIN(X$38,$D$19)&lt;MAX($P$708*($B881+IF($R$17="Distrato",$I$38-1,0)),IF(AND($L$711=0,$P$708=0),"",$L$711-1),IF($R$17="Distrato",$E881,0))),0,YEARFRAC(MAX($P$708*($B881+IF($R$17="Distrato",$I$38-1,0)),IF(AND($L$711=0,$P$708=0),"",$L$711-1),IF($R$17="Distrato",$E881,0)),MIN(X$38,$D$19),$P$20))-SUM($P881:W881)</f>
        <v>#VALUE!</v>
      </c>
      <c r="Y881" s="446" t="e">
        <f>IF(OR($B881="",MIN(Y$38,$D$19)&lt;MAX($P$708*($B881+IF($R$17="Distrato",$I$38-1,0)),IF(AND($L$711=0,$P$708=0),"",$L$711-1),IF($R$17="Distrato",$E881,0))),0,YEARFRAC(MAX($P$708*($B881+IF($R$17="Distrato",$I$38-1,0)),IF(AND($L$711=0,$P$708=0),"",$L$711-1),IF($R$17="Distrato",$E881,0)),MIN(Y$38,$D$19),$P$20))-SUM($P881:X881)</f>
        <v>#VALUE!</v>
      </c>
      <c r="Z881" s="446" t="e">
        <f>IF(OR($B881="",MIN(Z$38,$D$19)&lt;MAX($P$708*($B881+IF($R$17="Distrato",$I$38-1,0)),IF(AND($L$711=0,$P$708=0),"",$L$711-1),IF($R$17="Distrato",$E881,0))),0,YEARFRAC(MAX($P$708*($B881+IF($R$17="Distrato",$I$38-1,0)),IF(AND($L$711=0,$P$708=0),"",$L$711-1),IF($R$17="Distrato",$E881,0)),MIN(Z$38,$D$19),$P$20))-SUM($P881:Y881)</f>
        <v>#VALUE!</v>
      </c>
      <c r="AA881" s="446" t="e">
        <f>IF(OR($B881="",MIN(AA$38,$D$19)&lt;MAX($P$708*($B881+IF($R$17="Distrato",$I$38-1,0)),IF(AND($L$711=0,$P$708=0),"",$L$711-1),IF($R$17="Distrato",$E881,0))),0,YEARFRAC(MAX($P$708*($B881+IF($R$17="Distrato",$I$38-1,0)),IF(AND($L$711=0,$P$708=0),"",$L$711-1),IF($R$17="Distrato",$E881,0)),MIN(AA$38,$D$19),$P$20))-SUM($P881:Z881)</f>
        <v>#VALUE!</v>
      </c>
      <c r="AB881" s="446" t="e">
        <f>IF(OR($B881="",MIN(AB$38,$D$19)&lt;MAX($P$708*($B881+IF($R$17="Distrato",$I$38-1,0)),IF(AND($L$711=0,$P$708=0),"",$L$711-1),IF($R$17="Distrato",$E881,0))),0,YEARFRAC(MAX($P$708*($B881+IF($R$17="Distrato",$I$38-1,0)),IF(AND($L$711=0,$P$708=0),"",$L$711-1),IF($R$17="Distrato",$E881,0)),MIN(AB$38,$D$19),$P$20))-SUM($P881:AA881)</f>
        <v>#VALUE!</v>
      </c>
      <c r="AC881" s="446" t="e">
        <f>IF(OR($B881="",MIN(AC$38,$D$19)&lt;MAX($P$708*($B881+IF($R$17="Distrato",$I$38-1,0)),IF(AND($L$711=0,$P$708=0),"",$L$711-1),IF($R$17="Distrato",$E881,0))),0,YEARFRAC(MAX($P$708*($B881+IF($R$17="Distrato",$I$38-1,0)),IF(AND($L$711=0,$P$708=0),"",$L$711-1),IF($R$17="Distrato",$E881,0)),MIN(AC$38,$D$19),$P$20))-SUM($P881:AB881)</f>
        <v>#VALUE!</v>
      </c>
      <c r="AD881" s="446" t="e">
        <f>IF(OR($B881="",MIN(AD$38,$D$19)&lt;MAX($P$708*($B881+IF($R$17="Distrato",$I$38-1,0)),IF(AND($L$711=0,$P$708=0),"",$L$711-1),IF($R$17="Distrato",$E881,0))),0,YEARFRAC(MAX($P$708*($B881+IF($R$17="Distrato",$I$38-1,0)),IF(AND($L$711=0,$P$708=0),"",$L$711-1),IF($R$17="Distrato",$E881,0)),MIN(AD$38,$D$19),$P$20))-SUM($P881:AC881)</f>
        <v>#VALUE!</v>
      </c>
      <c r="AE881" s="446" t="e">
        <f>IF(OR($B881="",MIN(AE$38,$D$19)&lt;MAX($P$708*($B881+IF($R$17="Distrato",$I$38-1,0)),IF(AND($L$711=0,$P$708=0),"",$L$711-1),IF($R$17="Distrato",$E881,0))),0,YEARFRAC(MAX($P$708*($B881+IF($R$17="Distrato",$I$38-1,0)),IF(AND($L$711=0,$P$708=0),"",$L$711-1),IF($R$17="Distrato",$E881,0)),MIN(AE$38,$D$19),$P$20))-SUM($P881:AD881)</f>
        <v>#VALUE!</v>
      </c>
      <c r="AF881" s="446" t="e">
        <f>IF(OR($B881="",MIN(AF$38,$D$19)&lt;MAX($P$708*($B881+IF($R$17="Distrato",$I$38-1,0)),IF(AND($L$711=0,$P$708=0),"",$L$711-1),IF($R$17="Distrato",$E881,0))),0,YEARFRAC(MAX($P$708*($B881+IF($R$17="Distrato",$I$38-1,0)),IF(AND($L$711=0,$P$708=0),"",$L$711-1),IF($R$17="Distrato",$E881,0)),MIN(AF$38,$D$19),$P$20))-SUM($P881:AE881)</f>
        <v>#VALUE!</v>
      </c>
      <c r="AG881" s="446" t="e">
        <f>IF(OR($B881="",MIN(AG$38,$D$19)&lt;MAX($P$708*($B881+IF($R$17="Distrato",$I$38-1,0)),IF(AND($L$711=0,$P$708=0),"",$L$711-1),IF($R$17="Distrato",$E881,0))),0,YEARFRAC(MAX($P$708*($B881+IF($R$17="Distrato",$I$38-1,0)),IF(AND($L$711=0,$P$708=0),"",$L$711-1),IF($R$17="Distrato",$E881,0)),MIN(AG$38,$D$19),$P$20))-SUM($P881:AF881)</f>
        <v>#VALUE!</v>
      </c>
      <c r="AH881" s="446" t="e">
        <f>IF(OR($B881="",MIN(AH$38,$D$19)&lt;MAX($P$708*($B881+IF($R$17="Distrato",$I$38-1,0)),IF(AND($L$711=0,$P$708=0),"",$L$711-1),IF($R$17="Distrato",$E881,0))),0,YEARFRAC(MAX($P$708*($B881+IF($R$17="Distrato",$I$38-1,0)),IF(AND($L$711=0,$P$708=0),"",$L$711-1),IF($R$17="Distrato",$E881,0)),MIN(AH$38,$D$19),$P$20))-SUM($P881:AG881)</f>
        <v>#VALUE!</v>
      </c>
      <c r="AI881" s="446" t="e">
        <f>IF(OR($B881="",MIN(AI$38,$D$19)&lt;MAX($P$708*($B881+IF($R$17="Distrato",$I$38-1,0)),IF(AND($L$711=0,$P$708=0),"",$L$711-1),IF($R$17="Distrato",$E881,0))),0,YEARFRAC(MAX($P$708*($B881+IF($R$17="Distrato",$I$38-1,0)),IF(AND($L$711=0,$P$708=0),"",$L$711-1),IF($R$17="Distrato",$E881,0)),MIN(AI$38,$D$19),$P$20))-SUM($P881:AH881)</f>
        <v>#VALUE!</v>
      </c>
      <c r="AJ881" s="446" t="e">
        <f>IF(OR($B881="",MIN(AJ$38,$D$19)&lt;MAX($P$708*($B881+IF($R$17="Distrato",$I$38-1,0)),IF(AND($L$711=0,$P$708=0),"",$L$711-1),IF($R$17="Distrato",$E881,0))),0,YEARFRAC(MAX($P$708*($B881+IF($R$17="Distrato",$I$38-1,0)),IF(AND($L$711=0,$P$708=0),"",$L$711-1),IF($R$17="Distrato",$E881,0)),MIN(AJ$38,$D$19),$P$20))-SUM($P881:AI881)</f>
        <v>#VALUE!</v>
      </c>
      <c r="AK881" s="446" t="e">
        <f>IF(OR($B881="",MIN(AK$38,$D$19)&lt;MAX($P$708*($B881+IF($R$17="Distrato",$I$38-1,0)),IF(AND($L$711=0,$P$708=0),"",$L$711-1),IF($R$17="Distrato",$E881,0))),0,YEARFRAC(MAX($P$708*($B881+IF($R$17="Distrato",$I$38-1,0)),IF(AND($L$711=0,$P$708=0),"",$L$711-1),IF($R$17="Distrato",$E881,0)),MIN(AK$38,$D$19),$P$20))-SUM($P881:AJ881)</f>
        <v>#VALUE!</v>
      </c>
      <c r="AL881" s="446" t="e">
        <f>IF(OR($B881="",MIN(AL$38,$D$19)&lt;MAX($P$708*($B881+IF($R$17="Distrato",$I$38-1,0)),IF(AND($L$711=0,$P$708=0),"",$L$711-1),IF($R$17="Distrato",$E881,0))),0,YEARFRAC(MAX($P$708*($B881+IF($R$17="Distrato",$I$38-1,0)),IF(AND($L$711=0,$P$708=0),"",$L$711-1),IF($R$17="Distrato",$E881,0)),MIN(AL$38,$D$19),$P$20))-SUM($P881:AK881)</f>
        <v>#VALUE!</v>
      </c>
      <c r="AM881" s="446" t="e">
        <f>IF(OR($B881="",MIN(AM$38,$D$19)&lt;MAX($P$708*($B881+IF($R$17="Distrato",$I$38-1,0)),IF(AND($L$711=0,$P$708=0),"",$L$711-1),IF($R$17="Distrato",$E881,0))),0,YEARFRAC(MAX($P$708*($B881+IF($R$17="Distrato",$I$38-1,0)),IF(AND($L$711=0,$P$708=0),"",$L$711-1),IF($R$17="Distrato",$E881,0)),MIN(AM$38,$D$19),$P$20))-SUM($P881:AL881)</f>
        <v>#VALUE!</v>
      </c>
      <c r="AN881" s="446" t="e">
        <f>IF(OR($B881="",MIN(AN$38,$D$19)&lt;MAX($P$708*($B881+IF($R$17="Distrato",$I$38-1,0)),IF(AND($L$711=0,$P$708=0),"",$L$711-1),IF($R$17="Distrato",$E881,0))),0,YEARFRAC(MAX($P$708*($B881+IF($R$17="Distrato",$I$38-1,0)),IF(AND($L$711=0,$P$708=0),"",$L$711-1),IF($R$17="Distrato",$E881,0)),MIN(AN$38,$D$19),$P$20))-SUM($P881:AM881)</f>
        <v>#VALUE!</v>
      </c>
      <c r="AO881" s="446" t="e">
        <f>IF(OR($B881="",MIN(AO$38,$D$19)&lt;MAX($P$708*($B881+IF($R$17="Distrato",$I$38-1,0)),IF(AND($L$711=0,$P$708=0),"",$L$711-1),IF($R$17="Distrato",$E881,0))),0,YEARFRAC(MAX($P$708*($B881+IF($R$17="Distrato",$I$38-1,0)),IF(AND($L$711=0,$P$708=0),"",$L$711-1),IF($R$17="Distrato",$E881,0)),MIN(AO$38,$D$19),$P$20))-SUM($P881:AN881)</f>
        <v>#VALUE!</v>
      </c>
      <c r="AP881" s="446" t="e">
        <f>IF(OR($B881="",MIN(AP$38,$D$19)&lt;MAX($P$708*($B881+IF($R$17="Distrato",$I$38-1,0)),IF(AND($L$711=0,$P$708=0),"",$L$711-1),IF($R$17="Distrato",$E881,0))),0,YEARFRAC(MAX($P$708*($B881+IF($R$17="Distrato",$I$38-1,0)),IF(AND($L$711=0,$P$708=0),"",$L$711-1),IF($R$17="Distrato",$E881,0)),MIN(AP$38,$D$19),$P$20))-SUM($P881:AO881)</f>
        <v>#VALUE!</v>
      </c>
      <c r="AQ881" s="446" t="e">
        <f>IF(OR($B881="",MIN(AQ$38,$D$19)&lt;MAX($P$708*($B881+IF($R$17="Distrato",$I$38-1,0)),IF(AND($L$711=0,$P$708=0),"",$L$711-1),IF($R$17="Distrato",$E881,0))),0,YEARFRAC(MAX($P$708*($B881+IF($R$17="Distrato",$I$38-1,0)),IF(AND($L$711=0,$P$708=0),"",$L$711-1),IF($R$17="Distrato",$E881,0)),MIN(AQ$38,$D$19),$P$20))-SUM($P881:AP881)</f>
        <v>#VALUE!</v>
      </c>
      <c r="AR881" s="446" t="e">
        <f>IF(OR($B881="",MIN(AR$38,$D$19)&lt;MAX($P$708*($B881+IF($R$17="Distrato",$I$38-1,0)),IF(AND($L$711=0,$P$708=0),"",$L$711-1),IF($R$17="Distrato",$E881,0))),0,YEARFRAC(MAX($P$708*($B881+IF($R$17="Distrato",$I$38-1,0)),IF(AND($L$711=0,$P$708=0),"",$L$711-1),IF($R$17="Distrato",$E881,0)),MIN(AR$38,$D$19),$P$20))-SUM($P881:AQ881)</f>
        <v>#VALUE!</v>
      </c>
      <c r="AS881" s="446" t="e">
        <f>IF(OR($B881="",MIN(AS$38,$D$19)&lt;MAX($P$708*($B881+IF($R$17="Distrato",$I$38-1,0)),IF(AND($L$711=0,$P$708=0),"",$L$711-1),IF($R$17="Distrato",$E881,0))),0,YEARFRAC(MAX($P$708*($B881+IF($R$17="Distrato",$I$38-1,0)),IF(AND($L$711=0,$P$708=0),"",$L$711-1),IF($R$17="Distrato",$E881,0)),MIN(AS$38,$D$19),$P$20))-SUM($P881:AR881)</f>
        <v>#VALUE!</v>
      </c>
      <c r="AT881" s="446" t="e">
        <f>IF(OR($B881="",MIN(AT$38,$D$19)&lt;MAX($P$708*($B881+IF($R$17="Distrato",$I$38-1,0)),IF(AND($L$711=0,$P$708=0),"",$L$711-1),IF($R$17="Distrato",$E881,0))),0,YEARFRAC(MAX($P$708*($B881+IF($R$17="Distrato",$I$38-1,0)),IF(AND($L$711=0,$P$708=0),"",$L$711-1),IF($R$17="Distrato",$E881,0)),MIN(AT$38,$D$19),$P$20))-SUM($P881:AS881)</f>
        <v>#VALUE!</v>
      </c>
      <c r="AU881" s="446" t="e">
        <f>IF(OR($B881="",MIN(AU$38,$D$19)&lt;MAX($P$708*($B881+IF($R$17="Distrato",$I$38-1,0)),IF(AND($L$711=0,$P$708=0),"",$L$711-1),IF($R$17="Distrato",$E881,0))),0,YEARFRAC(MAX($P$708*($B881+IF($R$17="Distrato",$I$38-1,0)),IF(AND($L$711=0,$P$708=0),"",$L$711-1),IF($R$17="Distrato",$E881,0)),MIN(AU$38,$D$19),$P$20))-SUM($P881:AT881)</f>
        <v>#VALUE!</v>
      </c>
      <c r="AV881" s="446" t="e">
        <f>IF(OR($B881="",MIN(AV$38,$D$19)&lt;MAX($P$708*($B881+IF($R$17="Distrato",$I$38-1,0)),IF(AND($L$711=0,$P$708=0),"",$L$711-1),IF($R$17="Distrato",$E881,0))),0,YEARFRAC(MAX($P$708*($B881+IF($R$17="Distrato",$I$38-1,0)),IF(AND($L$711=0,$P$708=0),"",$L$711-1),IF($R$17="Distrato",$E881,0)),MIN(AV$38,$D$19),$P$20))-SUM($P881:AU881)</f>
        <v>#VALUE!</v>
      </c>
      <c r="AW881" s="446" t="e">
        <f>IF(OR($B881="",MIN(AW$38,$D$19)&lt;MAX($P$708*($B881+IF($R$17="Distrato",$I$38-1,0)),IF(AND($L$711=0,$P$708=0),"",$L$711-1),IF($R$17="Distrato",$E881,0))),0,YEARFRAC(MAX($P$708*($B881+IF($R$17="Distrato",$I$38-1,0)),IF(AND($L$711=0,$P$708=0),"",$L$711-1),IF($R$17="Distrato",$E881,0)),MIN(AW$38,$D$19),$P$20))-SUM($P881:AV881)</f>
        <v>#VALUE!</v>
      </c>
      <c r="AX881" s="446" t="e">
        <f>IF(OR($B881="",MIN(AX$38,$D$19)&lt;MAX($P$708*($B881+IF($R$17="Distrato",$I$38-1,0)),IF(AND($L$711=0,$P$708=0),"",$L$711-1),IF($R$17="Distrato",$E881,0))),0,YEARFRAC(MAX($P$708*($B881+IF($R$17="Distrato",$I$38-1,0)),IF(AND($L$711=0,$P$708=0),"",$L$711-1),IF($R$17="Distrato",$E881,0)),MIN(AX$38,$D$19),$P$20))-SUM($P881:AW881)</f>
        <v>#VALUE!</v>
      </c>
      <c r="AY881" s="446" t="e">
        <f>IF(OR($B881="",MIN(AY$38,$D$19)&lt;MAX($P$708*($B881+IF($R$17="Distrato",$I$38-1,0)),IF(AND($L$711=0,$P$708=0),"",$L$711-1),IF($R$17="Distrato",$E881,0))),0,YEARFRAC(MAX($P$708*($B881+IF($R$17="Distrato",$I$38-1,0)),IF(AND($L$711=0,$P$708=0),"",$L$711-1),IF($R$17="Distrato",$E881,0)),MIN(AY$38,$D$19),$P$20))-SUM($P881:AX881)</f>
        <v>#VALUE!</v>
      </c>
      <c r="AZ881" s="446" t="e">
        <f>IF(OR($B881="",MIN(AZ$38,$D$19)&lt;MAX($P$708*($B881+IF($R$17="Distrato",$I$38-1,0)),IF(AND($L$711=0,$P$708=0),"",$L$711-1),IF($R$17="Distrato",$E881,0))),0,YEARFRAC(MAX($P$708*($B881+IF($R$17="Distrato",$I$38-1,0)),IF(AND($L$711=0,$P$708=0),"",$L$711-1),IF($R$17="Distrato",$E881,0)),MIN(AZ$38,$D$19),$P$20))-SUM($P881:AY881)</f>
        <v>#VALUE!</v>
      </c>
      <c r="BA881" s="446" t="e">
        <f>IF(OR($B881="",MIN(BA$38,$D$19)&lt;MAX($P$708*($B881+IF($R$17="Distrato",$I$38-1,0)),IF(AND($L$711=0,$P$708=0),"",$L$711-1),IF($R$17="Distrato",$E881,0))),0,YEARFRAC(MAX($P$708*($B881+IF($R$17="Distrato",$I$38-1,0)),IF(AND($L$711=0,$P$708=0),"",$L$711-1),IF($R$17="Distrato",$E881,0)),MIN(BA$38,$D$19),$P$20))-SUM($P881:AZ881)</f>
        <v>#VALUE!</v>
      </c>
      <c r="BB881" s="447"/>
    </row>
    <row r="882" spans="1:54" s="446" customFormat="1" ht="11.25" hidden="1" customHeight="1" x14ac:dyDescent="0.2">
      <c r="A882" s="235"/>
      <c r="B882" s="236"/>
      <c r="C882" s="29" t="str">
        <f>IF(B882="","",IF($L$709=$BL$25,VLOOKUP(DATE(YEAR($D$19),MONTH($D$19)-1,1),ÍNDICES!$A:$DE,HLOOKUP($BL$25,ÍNDICES!$B$3:$T$4,2)+11)-VLOOKUP(B882,ÍNDICES!$A:$DE,HLOOKUP($BL$25,ÍNDICES!$B$3:$T$4,2)+11)+1%,IF(C$712=$W$26,$J$35,IF(ISERROR(IF(B882&gt;$D$19,1,VLOOKUP(DATE(YEAR(B882),MONTH(B882)+IF($C$709=$S$23,1,0),1),ÍNDICES!$A:$DE,$Z$709+1))),"",IF(B882&gt;$D$19,1,VLOOKUP(DATE(YEAR(B882),MONTH(B882)+IF($C$709=$S$23,1,0),1),ÍNDICES!$A:$DE,$Z$709+1))))))</f>
        <v/>
      </c>
      <c r="D882" s="155"/>
      <c r="E882" s="88"/>
      <c r="F882" s="88"/>
      <c r="G882" s="88"/>
      <c r="H882" s="118"/>
      <c r="I882" s="182">
        <f t="shared" si="129"/>
        <v>0</v>
      </c>
      <c r="J882" s="20">
        <f t="shared" ca="1" si="130"/>
        <v>0</v>
      </c>
      <c r="K882" s="5">
        <f t="shared" ca="1" si="131"/>
        <v>0</v>
      </c>
      <c r="L882" s="61">
        <f t="shared" ca="1" si="132"/>
        <v>0</v>
      </c>
      <c r="M882" s="64">
        <f t="shared" si="133"/>
        <v>0</v>
      </c>
      <c r="N882" s="151"/>
      <c r="O882" s="5">
        <f t="shared" ca="1" si="134"/>
        <v>0</v>
      </c>
      <c r="P882" s="446" t="e">
        <f t="shared" si="135"/>
        <v>#VALUE!</v>
      </c>
      <c r="Q882" s="446" t="e">
        <f>IF(OR($B882="",MIN(Q$38,$D$19)&lt;MAX($P$708*($B882+IF($R$17="Distrato",$I$38-1,0)),IF(AND($L$711=0,$P$708=0),"",$L$711-1),IF($R$17="Distrato",$E882,0))),0,YEARFRAC(MAX($P$708*($B882+IF($R$17="Distrato",$I$38-1,0)),IF(AND($L$711=0,$P$708=0),"",$L$711-1),IF($R$17="Distrato",$E882,0)),MIN(Q$38,$D$19),$P$20))-SUM($P882:P882)</f>
        <v>#VALUE!</v>
      </c>
      <c r="R882" s="446" t="e">
        <f>IF(OR($B882="",MIN(R$38,$D$19)&lt;MAX($P$708*($B882+IF($R$17="Distrato",$I$38-1,0)),IF(AND($L$711=0,$P$708=0),"",$L$711-1),IF($R$17="Distrato",$E882,0))),0,YEARFRAC(MAX($P$708*($B882+IF($R$17="Distrato",$I$38-1,0)),IF(AND($L$711=0,$P$708=0),"",$L$711-1),IF($R$17="Distrato",$E882,0)),MIN(R$38,$D$19),$P$20))-SUM($P882:Q882)</f>
        <v>#VALUE!</v>
      </c>
      <c r="S882" s="446" t="e">
        <f>IF(OR($B882="",MIN(S$38,$D$19)&lt;MAX($P$708*($B882+IF($R$17="Distrato",$I$38-1,0)),IF(AND($L$711=0,$P$708=0),"",$L$711-1),IF($R$17="Distrato",$E882,0))),0,YEARFRAC(MAX($P$708*($B882+IF($R$17="Distrato",$I$38-1,0)),IF(AND($L$711=0,$P$708=0),"",$L$711-1),IF($R$17="Distrato",$E882,0)),MIN(S$38,$D$19),$P$20))-SUM($P882:R882)</f>
        <v>#VALUE!</v>
      </c>
      <c r="T882" s="446" t="e">
        <f>IF(OR($B882="",MIN(T$38,$D$19)&lt;MAX($P$708*($B882+IF($R$17="Distrato",$I$38-1,0)),IF(AND($L$711=0,$P$708=0),"",$L$711-1),IF($R$17="Distrato",$E882,0))),0,YEARFRAC(MAX($P$708*($B882+IF($R$17="Distrato",$I$38-1,0)),IF(AND($L$711=0,$P$708=0),"",$L$711-1),IF($R$17="Distrato",$E882,0)),MIN(T$38,$D$19),$P$20))-SUM($P882:S882)</f>
        <v>#VALUE!</v>
      </c>
      <c r="U882" s="446" t="e">
        <f>IF(OR($B882="",MIN(U$38,$D$19)&lt;MAX($P$708*($B882+IF($R$17="Distrato",$I$38-1,0)),IF(AND($L$711=0,$P$708=0),"",$L$711-1),IF($R$17="Distrato",$E882,0))),0,YEARFRAC(MAX($P$708*($B882+IF($R$17="Distrato",$I$38-1,0)),IF(AND($L$711=0,$P$708=0),"",$L$711-1),IF($R$17="Distrato",$E882,0)),MIN(U$38,$D$19),$P$20))-SUM($P882:T882)</f>
        <v>#VALUE!</v>
      </c>
      <c r="V882" s="446" t="e">
        <f>IF(OR($B882="",MIN(V$38,$D$19)&lt;MAX($P$708*($B882+IF($R$17="Distrato",$I$38-1,0)),IF(AND($L$711=0,$P$708=0),"",$L$711-1),IF($R$17="Distrato",$E882,0))),0,YEARFRAC(MAX($P$708*($B882+IF($R$17="Distrato",$I$38-1,0)),IF(AND($L$711=0,$P$708=0),"",$L$711-1),IF($R$17="Distrato",$E882,0)),MIN(V$38,$D$19),$P$20))-SUM($P882:U882)</f>
        <v>#VALUE!</v>
      </c>
      <c r="W882" s="446" t="e">
        <f>IF(OR($B882="",MIN(W$38,$D$19)&lt;MAX($P$708*($B882+IF($R$17="Distrato",$I$38-1,0)),IF(AND($L$711=0,$P$708=0),"",$L$711-1),IF($R$17="Distrato",$E882,0))),0,YEARFRAC(MAX($P$708*($B882+IF($R$17="Distrato",$I$38-1,0)),IF(AND($L$711=0,$P$708=0),"",$L$711-1),IF($R$17="Distrato",$E882,0)),MIN(W$38,$D$19),$P$20))-SUM($P882:V882)</f>
        <v>#VALUE!</v>
      </c>
      <c r="X882" s="446" t="e">
        <f>IF(OR($B882="",MIN(X$38,$D$19)&lt;MAX($P$708*($B882+IF($R$17="Distrato",$I$38-1,0)),IF(AND($L$711=0,$P$708=0),"",$L$711-1),IF($R$17="Distrato",$E882,0))),0,YEARFRAC(MAX($P$708*($B882+IF($R$17="Distrato",$I$38-1,0)),IF(AND($L$711=0,$P$708=0),"",$L$711-1),IF($R$17="Distrato",$E882,0)),MIN(X$38,$D$19),$P$20))-SUM($P882:W882)</f>
        <v>#VALUE!</v>
      </c>
      <c r="Y882" s="446" t="e">
        <f>IF(OR($B882="",MIN(Y$38,$D$19)&lt;MAX($P$708*($B882+IF($R$17="Distrato",$I$38-1,0)),IF(AND($L$711=0,$P$708=0),"",$L$711-1),IF($R$17="Distrato",$E882,0))),0,YEARFRAC(MAX($P$708*($B882+IF($R$17="Distrato",$I$38-1,0)),IF(AND($L$711=0,$P$708=0),"",$L$711-1),IF($R$17="Distrato",$E882,0)),MIN(Y$38,$D$19),$P$20))-SUM($P882:X882)</f>
        <v>#VALUE!</v>
      </c>
      <c r="Z882" s="446" t="e">
        <f>IF(OR($B882="",MIN(Z$38,$D$19)&lt;MAX($P$708*($B882+IF($R$17="Distrato",$I$38-1,0)),IF(AND($L$711=0,$P$708=0),"",$L$711-1),IF($R$17="Distrato",$E882,0))),0,YEARFRAC(MAX($P$708*($B882+IF($R$17="Distrato",$I$38-1,0)),IF(AND($L$711=0,$P$708=0),"",$L$711-1),IF($R$17="Distrato",$E882,0)),MIN(Z$38,$D$19),$P$20))-SUM($P882:Y882)</f>
        <v>#VALUE!</v>
      </c>
      <c r="AA882" s="446" t="e">
        <f>IF(OR($B882="",MIN(AA$38,$D$19)&lt;MAX($P$708*($B882+IF($R$17="Distrato",$I$38-1,0)),IF(AND($L$711=0,$P$708=0),"",$L$711-1),IF($R$17="Distrato",$E882,0))),0,YEARFRAC(MAX($P$708*($B882+IF($R$17="Distrato",$I$38-1,0)),IF(AND($L$711=0,$P$708=0),"",$L$711-1),IF($R$17="Distrato",$E882,0)),MIN(AA$38,$D$19),$P$20))-SUM($P882:Z882)</f>
        <v>#VALUE!</v>
      </c>
      <c r="AB882" s="446" t="e">
        <f>IF(OR($B882="",MIN(AB$38,$D$19)&lt;MAX($P$708*($B882+IF($R$17="Distrato",$I$38-1,0)),IF(AND($L$711=0,$P$708=0),"",$L$711-1),IF($R$17="Distrato",$E882,0))),0,YEARFRAC(MAX($P$708*($B882+IF($R$17="Distrato",$I$38-1,0)),IF(AND($L$711=0,$P$708=0),"",$L$711-1),IF($R$17="Distrato",$E882,0)),MIN(AB$38,$D$19),$P$20))-SUM($P882:AA882)</f>
        <v>#VALUE!</v>
      </c>
      <c r="AC882" s="446" t="e">
        <f>IF(OR($B882="",MIN(AC$38,$D$19)&lt;MAX($P$708*($B882+IF($R$17="Distrato",$I$38-1,0)),IF(AND($L$711=0,$P$708=0),"",$L$711-1),IF($R$17="Distrato",$E882,0))),0,YEARFRAC(MAX($P$708*($B882+IF($R$17="Distrato",$I$38-1,0)),IF(AND($L$711=0,$P$708=0),"",$L$711-1),IF($R$17="Distrato",$E882,0)),MIN(AC$38,$D$19),$P$20))-SUM($P882:AB882)</f>
        <v>#VALUE!</v>
      </c>
      <c r="AD882" s="446" t="e">
        <f>IF(OR($B882="",MIN(AD$38,$D$19)&lt;MAX($P$708*($B882+IF($R$17="Distrato",$I$38-1,0)),IF(AND($L$711=0,$P$708=0),"",$L$711-1),IF($R$17="Distrato",$E882,0))),0,YEARFRAC(MAX($P$708*($B882+IF($R$17="Distrato",$I$38-1,0)),IF(AND($L$711=0,$P$708=0),"",$L$711-1),IF($R$17="Distrato",$E882,0)),MIN(AD$38,$D$19),$P$20))-SUM($P882:AC882)</f>
        <v>#VALUE!</v>
      </c>
      <c r="AE882" s="446" t="e">
        <f>IF(OR($B882="",MIN(AE$38,$D$19)&lt;MAX($P$708*($B882+IF($R$17="Distrato",$I$38-1,0)),IF(AND($L$711=0,$P$708=0),"",$L$711-1),IF($R$17="Distrato",$E882,0))),0,YEARFRAC(MAX($P$708*($B882+IF($R$17="Distrato",$I$38-1,0)),IF(AND($L$711=0,$P$708=0),"",$L$711-1),IF($R$17="Distrato",$E882,0)),MIN(AE$38,$D$19),$P$20))-SUM($P882:AD882)</f>
        <v>#VALUE!</v>
      </c>
      <c r="AF882" s="446" t="e">
        <f>IF(OR($B882="",MIN(AF$38,$D$19)&lt;MAX($P$708*($B882+IF($R$17="Distrato",$I$38-1,0)),IF(AND($L$711=0,$P$708=0),"",$L$711-1),IF($R$17="Distrato",$E882,0))),0,YEARFRAC(MAX($P$708*($B882+IF($R$17="Distrato",$I$38-1,0)),IF(AND($L$711=0,$P$708=0),"",$L$711-1),IF($R$17="Distrato",$E882,0)),MIN(AF$38,$D$19),$P$20))-SUM($P882:AE882)</f>
        <v>#VALUE!</v>
      </c>
      <c r="AG882" s="446" t="e">
        <f>IF(OR($B882="",MIN(AG$38,$D$19)&lt;MAX($P$708*($B882+IF($R$17="Distrato",$I$38-1,0)),IF(AND($L$711=0,$P$708=0),"",$L$711-1),IF($R$17="Distrato",$E882,0))),0,YEARFRAC(MAX($P$708*($B882+IF($R$17="Distrato",$I$38-1,0)),IF(AND($L$711=0,$P$708=0),"",$L$711-1),IF($R$17="Distrato",$E882,0)),MIN(AG$38,$D$19),$P$20))-SUM($P882:AF882)</f>
        <v>#VALUE!</v>
      </c>
      <c r="AH882" s="446" t="e">
        <f>IF(OR($B882="",MIN(AH$38,$D$19)&lt;MAX($P$708*($B882+IF($R$17="Distrato",$I$38-1,0)),IF(AND($L$711=0,$P$708=0),"",$L$711-1),IF($R$17="Distrato",$E882,0))),0,YEARFRAC(MAX($P$708*($B882+IF($R$17="Distrato",$I$38-1,0)),IF(AND($L$711=0,$P$708=0),"",$L$711-1),IF($R$17="Distrato",$E882,0)),MIN(AH$38,$D$19),$P$20))-SUM($P882:AG882)</f>
        <v>#VALUE!</v>
      </c>
      <c r="AI882" s="446" t="e">
        <f>IF(OR($B882="",MIN(AI$38,$D$19)&lt;MAX($P$708*($B882+IF($R$17="Distrato",$I$38-1,0)),IF(AND($L$711=0,$P$708=0),"",$L$711-1),IF($R$17="Distrato",$E882,0))),0,YEARFRAC(MAX($P$708*($B882+IF($R$17="Distrato",$I$38-1,0)),IF(AND($L$711=0,$P$708=0),"",$L$711-1),IF($R$17="Distrato",$E882,0)),MIN(AI$38,$D$19),$P$20))-SUM($P882:AH882)</f>
        <v>#VALUE!</v>
      </c>
      <c r="AJ882" s="446" t="e">
        <f>IF(OR($B882="",MIN(AJ$38,$D$19)&lt;MAX($P$708*($B882+IF($R$17="Distrato",$I$38-1,0)),IF(AND($L$711=0,$P$708=0),"",$L$711-1),IF($R$17="Distrato",$E882,0))),0,YEARFRAC(MAX($P$708*($B882+IF($R$17="Distrato",$I$38-1,0)),IF(AND($L$711=0,$P$708=0),"",$L$711-1),IF($R$17="Distrato",$E882,0)),MIN(AJ$38,$D$19),$P$20))-SUM($P882:AI882)</f>
        <v>#VALUE!</v>
      </c>
      <c r="AK882" s="446" t="e">
        <f>IF(OR($B882="",MIN(AK$38,$D$19)&lt;MAX($P$708*($B882+IF($R$17="Distrato",$I$38-1,0)),IF(AND($L$711=0,$P$708=0),"",$L$711-1),IF($R$17="Distrato",$E882,0))),0,YEARFRAC(MAX($P$708*($B882+IF($R$17="Distrato",$I$38-1,0)),IF(AND($L$711=0,$P$708=0),"",$L$711-1),IF($R$17="Distrato",$E882,0)),MIN(AK$38,$D$19),$P$20))-SUM($P882:AJ882)</f>
        <v>#VALUE!</v>
      </c>
      <c r="AL882" s="446" t="e">
        <f>IF(OR($B882="",MIN(AL$38,$D$19)&lt;MAX($P$708*($B882+IF($R$17="Distrato",$I$38-1,0)),IF(AND($L$711=0,$P$708=0),"",$L$711-1),IF($R$17="Distrato",$E882,0))),0,YEARFRAC(MAX($P$708*($B882+IF($R$17="Distrato",$I$38-1,0)),IF(AND($L$711=0,$P$708=0),"",$L$711-1),IF($R$17="Distrato",$E882,0)),MIN(AL$38,$D$19),$P$20))-SUM($P882:AK882)</f>
        <v>#VALUE!</v>
      </c>
      <c r="AM882" s="446" t="e">
        <f>IF(OR($B882="",MIN(AM$38,$D$19)&lt;MAX($P$708*($B882+IF($R$17="Distrato",$I$38-1,0)),IF(AND($L$711=0,$P$708=0),"",$L$711-1),IF($R$17="Distrato",$E882,0))),0,YEARFRAC(MAX($P$708*($B882+IF($R$17="Distrato",$I$38-1,0)),IF(AND($L$711=0,$P$708=0),"",$L$711-1),IF($R$17="Distrato",$E882,0)),MIN(AM$38,$D$19),$P$20))-SUM($P882:AL882)</f>
        <v>#VALUE!</v>
      </c>
      <c r="AN882" s="446" t="e">
        <f>IF(OR($B882="",MIN(AN$38,$D$19)&lt;MAX($P$708*($B882+IF($R$17="Distrato",$I$38-1,0)),IF(AND($L$711=0,$P$708=0),"",$L$711-1),IF($R$17="Distrato",$E882,0))),0,YEARFRAC(MAX($P$708*($B882+IF($R$17="Distrato",$I$38-1,0)),IF(AND($L$711=0,$P$708=0),"",$L$711-1),IF($R$17="Distrato",$E882,0)),MIN(AN$38,$D$19),$P$20))-SUM($P882:AM882)</f>
        <v>#VALUE!</v>
      </c>
      <c r="AO882" s="446" t="e">
        <f>IF(OR($B882="",MIN(AO$38,$D$19)&lt;MAX($P$708*($B882+IF($R$17="Distrato",$I$38-1,0)),IF(AND($L$711=0,$P$708=0),"",$L$711-1),IF($R$17="Distrato",$E882,0))),0,YEARFRAC(MAX($P$708*($B882+IF($R$17="Distrato",$I$38-1,0)),IF(AND($L$711=0,$P$708=0),"",$L$711-1),IF($R$17="Distrato",$E882,0)),MIN(AO$38,$D$19),$P$20))-SUM($P882:AN882)</f>
        <v>#VALUE!</v>
      </c>
      <c r="AP882" s="446" t="e">
        <f>IF(OR($B882="",MIN(AP$38,$D$19)&lt;MAX($P$708*($B882+IF($R$17="Distrato",$I$38-1,0)),IF(AND($L$711=0,$P$708=0),"",$L$711-1),IF($R$17="Distrato",$E882,0))),0,YEARFRAC(MAX($P$708*($B882+IF($R$17="Distrato",$I$38-1,0)),IF(AND($L$711=0,$P$708=0),"",$L$711-1),IF($R$17="Distrato",$E882,0)),MIN(AP$38,$D$19),$P$20))-SUM($P882:AO882)</f>
        <v>#VALUE!</v>
      </c>
      <c r="AQ882" s="446" t="e">
        <f>IF(OR($B882="",MIN(AQ$38,$D$19)&lt;MAX($P$708*($B882+IF($R$17="Distrato",$I$38-1,0)),IF(AND($L$711=0,$P$708=0),"",$L$711-1),IF($R$17="Distrato",$E882,0))),0,YEARFRAC(MAX($P$708*($B882+IF($R$17="Distrato",$I$38-1,0)),IF(AND($L$711=0,$P$708=0),"",$L$711-1),IF($R$17="Distrato",$E882,0)),MIN(AQ$38,$D$19),$P$20))-SUM($P882:AP882)</f>
        <v>#VALUE!</v>
      </c>
      <c r="AR882" s="446" t="e">
        <f>IF(OR($B882="",MIN(AR$38,$D$19)&lt;MAX($P$708*($B882+IF($R$17="Distrato",$I$38-1,0)),IF(AND($L$711=0,$P$708=0),"",$L$711-1),IF($R$17="Distrato",$E882,0))),0,YEARFRAC(MAX($P$708*($B882+IF($R$17="Distrato",$I$38-1,0)),IF(AND($L$711=0,$P$708=0),"",$L$711-1),IF($R$17="Distrato",$E882,0)),MIN(AR$38,$D$19),$P$20))-SUM($P882:AQ882)</f>
        <v>#VALUE!</v>
      </c>
      <c r="AS882" s="446" t="e">
        <f>IF(OR($B882="",MIN(AS$38,$D$19)&lt;MAX($P$708*($B882+IF($R$17="Distrato",$I$38-1,0)),IF(AND($L$711=0,$P$708=0),"",$L$711-1),IF($R$17="Distrato",$E882,0))),0,YEARFRAC(MAX($P$708*($B882+IF($R$17="Distrato",$I$38-1,0)),IF(AND($L$711=0,$P$708=0),"",$L$711-1),IF($R$17="Distrato",$E882,0)),MIN(AS$38,$D$19),$P$20))-SUM($P882:AR882)</f>
        <v>#VALUE!</v>
      </c>
      <c r="AT882" s="446" t="e">
        <f>IF(OR($B882="",MIN(AT$38,$D$19)&lt;MAX($P$708*($B882+IF($R$17="Distrato",$I$38-1,0)),IF(AND($L$711=0,$P$708=0),"",$L$711-1),IF($R$17="Distrato",$E882,0))),0,YEARFRAC(MAX($P$708*($B882+IF($R$17="Distrato",$I$38-1,0)),IF(AND($L$711=0,$P$708=0),"",$L$711-1),IF($R$17="Distrato",$E882,0)),MIN(AT$38,$D$19),$P$20))-SUM($P882:AS882)</f>
        <v>#VALUE!</v>
      </c>
      <c r="AU882" s="446" t="e">
        <f>IF(OR($B882="",MIN(AU$38,$D$19)&lt;MAX($P$708*($B882+IF($R$17="Distrato",$I$38-1,0)),IF(AND($L$711=0,$P$708=0),"",$L$711-1),IF($R$17="Distrato",$E882,0))),0,YEARFRAC(MAX($P$708*($B882+IF($R$17="Distrato",$I$38-1,0)),IF(AND($L$711=0,$P$708=0),"",$L$711-1),IF($R$17="Distrato",$E882,0)),MIN(AU$38,$D$19),$P$20))-SUM($P882:AT882)</f>
        <v>#VALUE!</v>
      </c>
      <c r="AV882" s="446" t="e">
        <f>IF(OR($B882="",MIN(AV$38,$D$19)&lt;MAX($P$708*($B882+IF($R$17="Distrato",$I$38-1,0)),IF(AND($L$711=0,$P$708=0),"",$L$711-1),IF($R$17="Distrato",$E882,0))),0,YEARFRAC(MAX($P$708*($B882+IF($R$17="Distrato",$I$38-1,0)),IF(AND($L$711=0,$P$708=0),"",$L$711-1),IF($R$17="Distrato",$E882,0)),MIN(AV$38,$D$19),$P$20))-SUM($P882:AU882)</f>
        <v>#VALUE!</v>
      </c>
      <c r="AW882" s="446" t="e">
        <f>IF(OR($B882="",MIN(AW$38,$D$19)&lt;MAX($P$708*($B882+IF($R$17="Distrato",$I$38-1,0)),IF(AND($L$711=0,$P$708=0),"",$L$711-1),IF($R$17="Distrato",$E882,0))),0,YEARFRAC(MAX($P$708*($B882+IF($R$17="Distrato",$I$38-1,0)),IF(AND($L$711=0,$P$708=0),"",$L$711-1),IF($R$17="Distrato",$E882,0)),MIN(AW$38,$D$19),$P$20))-SUM($P882:AV882)</f>
        <v>#VALUE!</v>
      </c>
      <c r="AX882" s="446" t="e">
        <f>IF(OR($B882="",MIN(AX$38,$D$19)&lt;MAX($P$708*($B882+IF($R$17="Distrato",$I$38-1,0)),IF(AND($L$711=0,$P$708=0),"",$L$711-1),IF($R$17="Distrato",$E882,0))),0,YEARFRAC(MAX($P$708*($B882+IF($R$17="Distrato",$I$38-1,0)),IF(AND($L$711=0,$P$708=0),"",$L$711-1),IF($R$17="Distrato",$E882,0)),MIN(AX$38,$D$19),$P$20))-SUM($P882:AW882)</f>
        <v>#VALUE!</v>
      </c>
      <c r="AY882" s="446" t="e">
        <f>IF(OR($B882="",MIN(AY$38,$D$19)&lt;MAX($P$708*($B882+IF($R$17="Distrato",$I$38-1,0)),IF(AND($L$711=0,$P$708=0),"",$L$711-1),IF($R$17="Distrato",$E882,0))),0,YEARFRAC(MAX($P$708*($B882+IF($R$17="Distrato",$I$38-1,0)),IF(AND($L$711=0,$P$708=0),"",$L$711-1),IF($R$17="Distrato",$E882,0)),MIN(AY$38,$D$19),$P$20))-SUM($P882:AX882)</f>
        <v>#VALUE!</v>
      </c>
      <c r="AZ882" s="446" t="e">
        <f>IF(OR($B882="",MIN(AZ$38,$D$19)&lt;MAX($P$708*($B882+IF($R$17="Distrato",$I$38-1,0)),IF(AND($L$711=0,$P$708=0),"",$L$711-1),IF($R$17="Distrato",$E882,0))),0,YEARFRAC(MAX($P$708*($B882+IF($R$17="Distrato",$I$38-1,0)),IF(AND($L$711=0,$P$708=0),"",$L$711-1),IF($R$17="Distrato",$E882,0)),MIN(AZ$38,$D$19),$P$20))-SUM($P882:AY882)</f>
        <v>#VALUE!</v>
      </c>
      <c r="BA882" s="446" t="e">
        <f>IF(OR($B882="",MIN(BA$38,$D$19)&lt;MAX($P$708*($B882+IF($R$17="Distrato",$I$38-1,0)),IF(AND($L$711=0,$P$708=0),"",$L$711-1),IF($R$17="Distrato",$E882,0))),0,YEARFRAC(MAX($P$708*($B882+IF($R$17="Distrato",$I$38-1,0)),IF(AND($L$711=0,$P$708=0),"",$L$711-1),IF($R$17="Distrato",$E882,0)),MIN(BA$38,$D$19),$P$20))-SUM($P882:AZ882)</f>
        <v>#VALUE!</v>
      </c>
      <c r="BB882" s="447"/>
    </row>
    <row r="883" spans="1:54" s="446" customFormat="1" ht="11.25" hidden="1" customHeight="1" x14ac:dyDescent="0.2">
      <c r="A883" s="235"/>
      <c r="B883" s="236"/>
      <c r="C883" s="29" t="str">
        <f>IF(B883="","",IF($L$709=$BL$25,VLOOKUP(DATE(YEAR($D$19),MONTH($D$19)-1,1),ÍNDICES!$A:$DE,HLOOKUP($BL$25,ÍNDICES!$B$3:$T$4,2)+11)-VLOOKUP(B883,ÍNDICES!$A:$DE,HLOOKUP($BL$25,ÍNDICES!$B$3:$T$4,2)+11)+1%,IF(C$712=$W$26,$J$35,IF(ISERROR(IF(B883&gt;$D$19,1,VLOOKUP(DATE(YEAR(B883),MONTH(B883)+IF($C$709=$S$23,1,0),1),ÍNDICES!$A:$DE,$Z$709+1))),"",IF(B883&gt;$D$19,1,VLOOKUP(DATE(YEAR(B883),MONTH(B883)+IF($C$709=$S$23,1,0),1),ÍNDICES!$A:$DE,$Z$709+1))))))</f>
        <v/>
      </c>
      <c r="D883" s="155"/>
      <c r="E883" s="88"/>
      <c r="F883" s="88"/>
      <c r="G883" s="88"/>
      <c r="H883" s="118"/>
      <c r="I883" s="182">
        <f t="shared" si="129"/>
        <v>0</v>
      </c>
      <c r="J883" s="20">
        <f t="shared" ca="1" si="130"/>
        <v>0</v>
      </c>
      <c r="K883" s="5">
        <f t="shared" ca="1" si="131"/>
        <v>0</v>
      </c>
      <c r="L883" s="61">
        <f t="shared" ca="1" si="132"/>
        <v>0</v>
      </c>
      <c r="M883" s="64">
        <f t="shared" si="133"/>
        <v>0</v>
      </c>
      <c r="N883" s="151"/>
      <c r="O883" s="5">
        <f t="shared" ca="1" si="134"/>
        <v>0</v>
      </c>
      <c r="P883" s="446" t="e">
        <f t="shared" si="135"/>
        <v>#VALUE!</v>
      </c>
      <c r="Q883" s="446" t="e">
        <f>IF(OR($B883="",MIN(Q$38,$D$19)&lt;MAX($P$708*($B883+IF($R$17="Distrato",$I$38-1,0)),IF(AND($L$711=0,$P$708=0),"",$L$711-1),IF($R$17="Distrato",$E883,0))),0,YEARFRAC(MAX($P$708*($B883+IF($R$17="Distrato",$I$38-1,0)),IF(AND($L$711=0,$P$708=0),"",$L$711-1),IF($R$17="Distrato",$E883,0)),MIN(Q$38,$D$19),$P$20))-SUM($P883:P883)</f>
        <v>#VALUE!</v>
      </c>
      <c r="R883" s="446" t="e">
        <f>IF(OR($B883="",MIN(R$38,$D$19)&lt;MAX($P$708*($B883+IF($R$17="Distrato",$I$38-1,0)),IF(AND($L$711=0,$P$708=0),"",$L$711-1),IF($R$17="Distrato",$E883,0))),0,YEARFRAC(MAX($P$708*($B883+IF($R$17="Distrato",$I$38-1,0)),IF(AND($L$711=0,$P$708=0),"",$L$711-1),IF($R$17="Distrato",$E883,0)),MIN(R$38,$D$19),$P$20))-SUM($P883:Q883)</f>
        <v>#VALUE!</v>
      </c>
      <c r="S883" s="446" t="e">
        <f>IF(OR($B883="",MIN(S$38,$D$19)&lt;MAX($P$708*($B883+IF($R$17="Distrato",$I$38-1,0)),IF(AND($L$711=0,$P$708=0),"",$L$711-1),IF($R$17="Distrato",$E883,0))),0,YEARFRAC(MAX($P$708*($B883+IF($R$17="Distrato",$I$38-1,0)),IF(AND($L$711=0,$P$708=0),"",$L$711-1),IF($R$17="Distrato",$E883,0)),MIN(S$38,$D$19),$P$20))-SUM($P883:R883)</f>
        <v>#VALUE!</v>
      </c>
      <c r="T883" s="446" t="e">
        <f>IF(OR($B883="",MIN(T$38,$D$19)&lt;MAX($P$708*($B883+IF($R$17="Distrato",$I$38-1,0)),IF(AND($L$711=0,$P$708=0),"",$L$711-1),IF($R$17="Distrato",$E883,0))),0,YEARFRAC(MAX($P$708*($B883+IF($R$17="Distrato",$I$38-1,0)),IF(AND($L$711=0,$P$708=0),"",$L$711-1),IF($R$17="Distrato",$E883,0)),MIN(T$38,$D$19),$P$20))-SUM($P883:S883)</f>
        <v>#VALUE!</v>
      </c>
      <c r="U883" s="446" t="e">
        <f>IF(OR($B883="",MIN(U$38,$D$19)&lt;MAX($P$708*($B883+IF($R$17="Distrato",$I$38-1,0)),IF(AND($L$711=0,$P$708=0),"",$L$711-1),IF($R$17="Distrato",$E883,0))),0,YEARFRAC(MAX($P$708*($B883+IF($R$17="Distrato",$I$38-1,0)),IF(AND($L$711=0,$P$708=0),"",$L$711-1),IF($R$17="Distrato",$E883,0)),MIN(U$38,$D$19),$P$20))-SUM($P883:T883)</f>
        <v>#VALUE!</v>
      </c>
      <c r="V883" s="446" t="e">
        <f>IF(OR($B883="",MIN(V$38,$D$19)&lt;MAX($P$708*($B883+IF($R$17="Distrato",$I$38-1,0)),IF(AND($L$711=0,$P$708=0),"",$L$711-1),IF($R$17="Distrato",$E883,0))),0,YEARFRAC(MAX($P$708*($B883+IF($R$17="Distrato",$I$38-1,0)),IF(AND($L$711=0,$P$708=0),"",$L$711-1),IF($R$17="Distrato",$E883,0)),MIN(V$38,$D$19),$P$20))-SUM($P883:U883)</f>
        <v>#VALUE!</v>
      </c>
      <c r="W883" s="446" t="e">
        <f>IF(OR($B883="",MIN(W$38,$D$19)&lt;MAX($P$708*($B883+IF($R$17="Distrato",$I$38-1,0)),IF(AND($L$711=0,$P$708=0),"",$L$711-1),IF($R$17="Distrato",$E883,0))),0,YEARFRAC(MAX($P$708*($B883+IF($R$17="Distrato",$I$38-1,0)),IF(AND($L$711=0,$P$708=0),"",$L$711-1),IF($R$17="Distrato",$E883,0)),MIN(W$38,$D$19),$P$20))-SUM($P883:V883)</f>
        <v>#VALUE!</v>
      </c>
      <c r="X883" s="446" t="e">
        <f>IF(OR($B883="",MIN(X$38,$D$19)&lt;MAX($P$708*($B883+IF($R$17="Distrato",$I$38-1,0)),IF(AND($L$711=0,$P$708=0),"",$L$711-1),IF($R$17="Distrato",$E883,0))),0,YEARFRAC(MAX($P$708*($B883+IF($R$17="Distrato",$I$38-1,0)),IF(AND($L$711=0,$P$708=0),"",$L$711-1),IF($R$17="Distrato",$E883,0)),MIN(X$38,$D$19),$P$20))-SUM($P883:W883)</f>
        <v>#VALUE!</v>
      </c>
      <c r="Y883" s="446" t="e">
        <f>IF(OR($B883="",MIN(Y$38,$D$19)&lt;MAX($P$708*($B883+IF($R$17="Distrato",$I$38-1,0)),IF(AND($L$711=0,$P$708=0),"",$L$711-1),IF($R$17="Distrato",$E883,0))),0,YEARFRAC(MAX($P$708*($B883+IF($R$17="Distrato",$I$38-1,0)),IF(AND($L$711=0,$P$708=0),"",$L$711-1),IF($R$17="Distrato",$E883,0)),MIN(Y$38,$D$19),$P$20))-SUM($P883:X883)</f>
        <v>#VALUE!</v>
      </c>
      <c r="Z883" s="446" t="e">
        <f>IF(OR($B883="",MIN(Z$38,$D$19)&lt;MAX($P$708*($B883+IF($R$17="Distrato",$I$38-1,0)),IF(AND($L$711=0,$P$708=0),"",$L$711-1),IF($R$17="Distrato",$E883,0))),0,YEARFRAC(MAX($P$708*($B883+IF($R$17="Distrato",$I$38-1,0)),IF(AND($L$711=0,$P$708=0),"",$L$711-1),IF($R$17="Distrato",$E883,0)),MIN(Z$38,$D$19),$P$20))-SUM($P883:Y883)</f>
        <v>#VALUE!</v>
      </c>
      <c r="AA883" s="446" t="e">
        <f>IF(OR($B883="",MIN(AA$38,$D$19)&lt;MAX($P$708*($B883+IF($R$17="Distrato",$I$38-1,0)),IF(AND($L$711=0,$P$708=0),"",$L$711-1),IF($R$17="Distrato",$E883,0))),0,YEARFRAC(MAX($P$708*($B883+IF($R$17="Distrato",$I$38-1,0)),IF(AND($L$711=0,$P$708=0),"",$L$711-1),IF($R$17="Distrato",$E883,0)),MIN(AA$38,$D$19),$P$20))-SUM($P883:Z883)</f>
        <v>#VALUE!</v>
      </c>
      <c r="AB883" s="446" t="e">
        <f>IF(OR($B883="",MIN(AB$38,$D$19)&lt;MAX($P$708*($B883+IF($R$17="Distrato",$I$38-1,0)),IF(AND($L$711=0,$P$708=0),"",$L$711-1),IF($R$17="Distrato",$E883,0))),0,YEARFRAC(MAX($P$708*($B883+IF($R$17="Distrato",$I$38-1,0)),IF(AND($L$711=0,$P$708=0),"",$L$711-1),IF($R$17="Distrato",$E883,0)),MIN(AB$38,$D$19),$P$20))-SUM($P883:AA883)</f>
        <v>#VALUE!</v>
      </c>
      <c r="AC883" s="446" t="e">
        <f>IF(OR($B883="",MIN(AC$38,$D$19)&lt;MAX($P$708*($B883+IF($R$17="Distrato",$I$38-1,0)),IF(AND($L$711=0,$P$708=0),"",$L$711-1),IF($R$17="Distrato",$E883,0))),0,YEARFRAC(MAX($P$708*($B883+IF($R$17="Distrato",$I$38-1,0)),IF(AND($L$711=0,$P$708=0),"",$L$711-1),IF($R$17="Distrato",$E883,0)),MIN(AC$38,$D$19),$P$20))-SUM($P883:AB883)</f>
        <v>#VALUE!</v>
      </c>
      <c r="AD883" s="446" t="e">
        <f>IF(OR($B883="",MIN(AD$38,$D$19)&lt;MAX($P$708*($B883+IF($R$17="Distrato",$I$38-1,0)),IF(AND($L$711=0,$P$708=0),"",$L$711-1),IF($R$17="Distrato",$E883,0))),0,YEARFRAC(MAX($P$708*($B883+IF($R$17="Distrato",$I$38-1,0)),IF(AND($L$711=0,$P$708=0),"",$L$711-1),IF($R$17="Distrato",$E883,0)),MIN(AD$38,$D$19),$P$20))-SUM($P883:AC883)</f>
        <v>#VALUE!</v>
      </c>
      <c r="AE883" s="446" t="e">
        <f>IF(OR($B883="",MIN(AE$38,$D$19)&lt;MAX($P$708*($B883+IF($R$17="Distrato",$I$38-1,0)),IF(AND($L$711=0,$P$708=0),"",$L$711-1),IF($R$17="Distrato",$E883,0))),0,YEARFRAC(MAX($P$708*($B883+IF($R$17="Distrato",$I$38-1,0)),IF(AND($L$711=0,$P$708=0),"",$L$711-1),IF($R$17="Distrato",$E883,0)),MIN(AE$38,$D$19),$P$20))-SUM($P883:AD883)</f>
        <v>#VALUE!</v>
      </c>
      <c r="AF883" s="446" t="e">
        <f>IF(OR($B883="",MIN(AF$38,$D$19)&lt;MAX($P$708*($B883+IF($R$17="Distrato",$I$38-1,0)),IF(AND($L$711=0,$P$708=0),"",$L$711-1),IF($R$17="Distrato",$E883,0))),0,YEARFRAC(MAX($P$708*($B883+IF($R$17="Distrato",$I$38-1,0)),IF(AND($L$711=0,$P$708=0),"",$L$711-1),IF($R$17="Distrato",$E883,0)),MIN(AF$38,$D$19),$P$20))-SUM($P883:AE883)</f>
        <v>#VALUE!</v>
      </c>
      <c r="AG883" s="446" t="e">
        <f>IF(OR($B883="",MIN(AG$38,$D$19)&lt;MAX($P$708*($B883+IF($R$17="Distrato",$I$38-1,0)),IF(AND($L$711=0,$P$708=0),"",$L$711-1),IF($R$17="Distrato",$E883,0))),0,YEARFRAC(MAX($P$708*($B883+IF($R$17="Distrato",$I$38-1,0)),IF(AND($L$711=0,$P$708=0),"",$L$711-1),IF($R$17="Distrato",$E883,0)),MIN(AG$38,$D$19),$P$20))-SUM($P883:AF883)</f>
        <v>#VALUE!</v>
      </c>
      <c r="AH883" s="446" t="e">
        <f>IF(OR($B883="",MIN(AH$38,$D$19)&lt;MAX($P$708*($B883+IF($R$17="Distrato",$I$38-1,0)),IF(AND($L$711=0,$P$708=0),"",$L$711-1),IF($R$17="Distrato",$E883,0))),0,YEARFRAC(MAX($P$708*($B883+IF($R$17="Distrato",$I$38-1,0)),IF(AND($L$711=0,$P$708=0),"",$L$711-1),IF($R$17="Distrato",$E883,0)),MIN(AH$38,$D$19),$P$20))-SUM($P883:AG883)</f>
        <v>#VALUE!</v>
      </c>
      <c r="AI883" s="446" t="e">
        <f>IF(OR($B883="",MIN(AI$38,$D$19)&lt;MAX($P$708*($B883+IF($R$17="Distrato",$I$38-1,0)),IF(AND($L$711=0,$P$708=0),"",$L$711-1),IF($R$17="Distrato",$E883,0))),0,YEARFRAC(MAX($P$708*($B883+IF($R$17="Distrato",$I$38-1,0)),IF(AND($L$711=0,$P$708=0),"",$L$711-1),IF($R$17="Distrato",$E883,0)),MIN(AI$38,$D$19),$P$20))-SUM($P883:AH883)</f>
        <v>#VALUE!</v>
      </c>
      <c r="AJ883" s="446" t="e">
        <f>IF(OR($B883="",MIN(AJ$38,$D$19)&lt;MAX($P$708*($B883+IF($R$17="Distrato",$I$38-1,0)),IF(AND($L$711=0,$P$708=0),"",$L$711-1),IF($R$17="Distrato",$E883,0))),0,YEARFRAC(MAX($P$708*($B883+IF($R$17="Distrato",$I$38-1,0)),IF(AND($L$711=0,$P$708=0),"",$L$711-1),IF($R$17="Distrato",$E883,0)),MIN(AJ$38,$D$19),$P$20))-SUM($P883:AI883)</f>
        <v>#VALUE!</v>
      </c>
      <c r="AK883" s="446" t="e">
        <f>IF(OR($B883="",MIN(AK$38,$D$19)&lt;MAX($P$708*($B883+IF($R$17="Distrato",$I$38-1,0)),IF(AND($L$711=0,$P$708=0),"",$L$711-1),IF($R$17="Distrato",$E883,0))),0,YEARFRAC(MAX($P$708*($B883+IF($R$17="Distrato",$I$38-1,0)),IF(AND($L$711=0,$P$708=0),"",$L$711-1),IF($R$17="Distrato",$E883,0)),MIN(AK$38,$D$19),$P$20))-SUM($P883:AJ883)</f>
        <v>#VALUE!</v>
      </c>
      <c r="AL883" s="446" t="e">
        <f>IF(OR($B883="",MIN(AL$38,$D$19)&lt;MAX($P$708*($B883+IF($R$17="Distrato",$I$38-1,0)),IF(AND($L$711=0,$P$708=0),"",$L$711-1),IF($R$17="Distrato",$E883,0))),0,YEARFRAC(MAX($P$708*($B883+IF($R$17="Distrato",$I$38-1,0)),IF(AND($L$711=0,$P$708=0),"",$L$711-1),IF($R$17="Distrato",$E883,0)),MIN(AL$38,$D$19),$P$20))-SUM($P883:AK883)</f>
        <v>#VALUE!</v>
      </c>
      <c r="AM883" s="446" t="e">
        <f>IF(OR($B883="",MIN(AM$38,$D$19)&lt;MAX($P$708*($B883+IF($R$17="Distrato",$I$38-1,0)),IF(AND($L$711=0,$P$708=0),"",$L$711-1),IF($R$17="Distrato",$E883,0))),0,YEARFRAC(MAX($P$708*($B883+IF($R$17="Distrato",$I$38-1,0)),IF(AND($L$711=0,$P$708=0),"",$L$711-1),IF($R$17="Distrato",$E883,0)),MIN(AM$38,$D$19),$P$20))-SUM($P883:AL883)</f>
        <v>#VALUE!</v>
      </c>
      <c r="AN883" s="446" t="e">
        <f>IF(OR($B883="",MIN(AN$38,$D$19)&lt;MAX($P$708*($B883+IF($R$17="Distrato",$I$38-1,0)),IF(AND($L$711=0,$P$708=0),"",$L$711-1),IF($R$17="Distrato",$E883,0))),0,YEARFRAC(MAX($P$708*($B883+IF($R$17="Distrato",$I$38-1,0)),IF(AND($L$711=0,$P$708=0),"",$L$711-1),IF($R$17="Distrato",$E883,0)),MIN(AN$38,$D$19),$P$20))-SUM($P883:AM883)</f>
        <v>#VALUE!</v>
      </c>
      <c r="AO883" s="446" t="e">
        <f>IF(OR($B883="",MIN(AO$38,$D$19)&lt;MAX($P$708*($B883+IF($R$17="Distrato",$I$38-1,0)),IF(AND($L$711=0,$P$708=0),"",$L$711-1),IF($R$17="Distrato",$E883,0))),0,YEARFRAC(MAX($P$708*($B883+IF($R$17="Distrato",$I$38-1,0)),IF(AND($L$711=0,$P$708=0),"",$L$711-1),IF($R$17="Distrato",$E883,0)),MIN(AO$38,$D$19),$P$20))-SUM($P883:AN883)</f>
        <v>#VALUE!</v>
      </c>
      <c r="AP883" s="446" t="e">
        <f>IF(OR($B883="",MIN(AP$38,$D$19)&lt;MAX($P$708*($B883+IF($R$17="Distrato",$I$38-1,0)),IF(AND($L$711=0,$P$708=0),"",$L$711-1),IF($R$17="Distrato",$E883,0))),0,YEARFRAC(MAX($P$708*($B883+IF($R$17="Distrato",$I$38-1,0)),IF(AND($L$711=0,$P$708=0),"",$L$711-1),IF($R$17="Distrato",$E883,0)),MIN(AP$38,$D$19),$P$20))-SUM($P883:AO883)</f>
        <v>#VALUE!</v>
      </c>
      <c r="AQ883" s="446" t="e">
        <f>IF(OR($B883="",MIN(AQ$38,$D$19)&lt;MAX($P$708*($B883+IF($R$17="Distrato",$I$38-1,0)),IF(AND($L$711=0,$P$708=0),"",$L$711-1),IF($R$17="Distrato",$E883,0))),0,YEARFRAC(MAX($P$708*($B883+IF($R$17="Distrato",$I$38-1,0)),IF(AND($L$711=0,$P$708=0),"",$L$711-1),IF($R$17="Distrato",$E883,0)),MIN(AQ$38,$D$19),$P$20))-SUM($P883:AP883)</f>
        <v>#VALUE!</v>
      </c>
      <c r="AR883" s="446" t="e">
        <f>IF(OR($B883="",MIN(AR$38,$D$19)&lt;MAX($P$708*($B883+IF($R$17="Distrato",$I$38-1,0)),IF(AND($L$711=0,$P$708=0),"",$L$711-1),IF($R$17="Distrato",$E883,0))),0,YEARFRAC(MAX($P$708*($B883+IF($R$17="Distrato",$I$38-1,0)),IF(AND($L$711=0,$P$708=0),"",$L$711-1),IF($R$17="Distrato",$E883,0)),MIN(AR$38,$D$19),$P$20))-SUM($P883:AQ883)</f>
        <v>#VALUE!</v>
      </c>
      <c r="AS883" s="446" t="e">
        <f>IF(OR($B883="",MIN(AS$38,$D$19)&lt;MAX($P$708*($B883+IF($R$17="Distrato",$I$38-1,0)),IF(AND($L$711=0,$P$708=0),"",$L$711-1),IF($R$17="Distrato",$E883,0))),0,YEARFRAC(MAX($P$708*($B883+IF($R$17="Distrato",$I$38-1,0)),IF(AND($L$711=0,$P$708=0),"",$L$711-1),IF($R$17="Distrato",$E883,0)),MIN(AS$38,$D$19),$P$20))-SUM($P883:AR883)</f>
        <v>#VALUE!</v>
      </c>
      <c r="AT883" s="446" t="e">
        <f>IF(OR($B883="",MIN(AT$38,$D$19)&lt;MAX($P$708*($B883+IF($R$17="Distrato",$I$38-1,0)),IF(AND($L$711=0,$P$708=0),"",$L$711-1),IF($R$17="Distrato",$E883,0))),0,YEARFRAC(MAX($P$708*($B883+IF($R$17="Distrato",$I$38-1,0)),IF(AND($L$711=0,$P$708=0),"",$L$711-1),IF($R$17="Distrato",$E883,0)),MIN(AT$38,$D$19),$P$20))-SUM($P883:AS883)</f>
        <v>#VALUE!</v>
      </c>
      <c r="AU883" s="446" t="e">
        <f>IF(OR($B883="",MIN(AU$38,$D$19)&lt;MAX($P$708*($B883+IF($R$17="Distrato",$I$38-1,0)),IF(AND($L$711=0,$P$708=0),"",$L$711-1),IF($R$17="Distrato",$E883,0))),0,YEARFRAC(MAX($P$708*($B883+IF($R$17="Distrato",$I$38-1,0)),IF(AND($L$711=0,$P$708=0),"",$L$711-1),IF($R$17="Distrato",$E883,0)),MIN(AU$38,$D$19),$P$20))-SUM($P883:AT883)</f>
        <v>#VALUE!</v>
      </c>
      <c r="AV883" s="446" t="e">
        <f>IF(OR($B883="",MIN(AV$38,$D$19)&lt;MAX($P$708*($B883+IF($R$17="Distrato",$I$38-1,0)),IF(AND($L$711=0,$P$708=0),"",$L$711-1),IF($R$17="Distrato",$E883,0))),0,YEARFRAC(MAX($P$708*($B883+IF($R$17="Distrato",$I$38-1,0)),IF(AND($L$711=0,$P$708=0),"",$L$711-1),IF($R$17="Distrato",$E883,0)),MIN(AV$38,$D$19),$P$20))-SUM($P883:AU883)</f>
        <v>#VALUE!</v>
      </c>
      <c r="AW883" s="446" t="e">
        <f>IF(OR($B883="",MIN(AW$38,$D$19)&lt;MAX($P$708*($B883+IF($R$17="Distrato",$I$38-1,0)),IF(AND($L$711=0,$P$708=0),"",$L$711-1),IF($R$17="Distrato",$E883,0))),0,YEARFRAC(MAX($P$708*($B883+IF($R$17="Distrato",$I$38-1,0)),IF(AND($L$711=0,$P$708=0),"",$L$711-1),IF($R$17="Distrato",$E883,0)),MIN(AW$38,$D$19),$P$20))-SUM($P883:AV883)</f>
        <v>#VALUE!</v>
      </c>
      <c r="AX883" s="446" t="e">
        <f>IF(OR($B883="",MIN(AX$38,$D$19)&lt;MAX($P$708*($B883+IF($R$17="Distrato",$I$38-1,0)),IF(AND($L$711=0,$P$708=0),"",$L$711-1),IF($R$17="Distrato",$E883,0))),0,YEARFRAC(MAX($P$708*($B883+IF($R$17="Distrato",$I$38-1,0)),IF(AND($L$711=0,$P$708=0),"",$L$711-1),IF($R$17="Distrato",$E883,0)),MIN(AX$38,$D$19),$P$20))-SUM($P883:AW883)</f>
        <v>#VALUE!</v>
      </c>
      <c r="AY883" s="446" t="e">
        <f>IF(OR($B883="",MIN(AY$38,$D$19)&lt;MAX($P$708*($B883+IF($R$17="Distrato",$I$38-1,0)),IF(AND($L$711=0,$P$708=0),"",$L$711-1),IF($R$17="Distrato",$E883,0))),0,YEARFRAC(MAX($P$708*($B883+IF($R$17="Distrato",$I$38-1,0)),IF(AND($L$711=0,$P$708=0),"",$L$711-1),IF($R$17="Distrato",$E883,0)),MIN(AY$38,$D$19),$P$20))-SUM($P883:AX883)</f>
        <v>#VALUE!</v>
      </c>
      <c r="AZ883" s="446" t="e">
        <f>IF(OR($B883="",MIN(AZ$38,$D$19)&lt;MAX($P$708*($B883+IF($R$17="Distrato",$I$38-1,0)),IF(AND($L$711=0,$P$708=0),"",$L$711-1),IF($R$17="Distrato",$E883,0))),0,YEARFRAC(MAX($P$708*($B883+IF($R$17="Distrato",$I$38-1,0)),IF(AND($L$711=0,$P$708=0),"",$L$711-1),IF($R$17="Distrato",$E883,0)),MIN(AZ$38,$D$19),$P$20))-SUM($P883:AY883)</f>
        <v>#VALUE!</v>
      </c>
      <c r="BA883" s="446" t="e">
        <f>IF(OR($B883="",MIN(BA$38,$D$19)&lt;MAX($P$708*($B883+IF($R$17="Distrato",$I$38-1,0)),IF(AND($L$711=0,$P$708=0),"",$L$711-1),IF($R$17="Distrato",$E883,0))),0,YEARFRAC(MAX($P$708*($B883+IF($R$17="Distrato",$I$38-1,0)),IF(AND($L$711=0,$P$708=0),"",$L$711-1),IF($R$17="Distrato",$E883,0)),MIN(BA$38,$D$19),$P$20))-SUM($P883:AZ883)</f>
        <v>#VALUE!</v>
      </c>
      <c r="BB883" s="447"/>
    </row>
    <row r="884" spans="1:54" s="446" customFormat="1" ht="11.25" hidden="1" customHeight="1" x14ac:dyDescent="0.2">
      <c r="A884" s="235"/>
      <c r="B884" s="236"/>
      <c r="C884" s="29" t="str">
        <f>IF(B884="","",IF($L$709=$BL$25,VLOOKUP(DATE(YEAR($D$19),MONTH($D$19)-1,1),ÍNDICES!$A:$DE,HLOOKUP($BL$25,ÍNDICES!$B$3:$T$4,2)+11)-VLOOKUP(B884,ÍNDICES!$A:$DE,HLOOKUP($BL$25,ÍNDICES!$B$3:$T$4,2)+11)+1%,IF(C$712=$W$26,$J$35,IF(ISERROR(IF(B884&gt;$D$19,1,VLOOKUP(DATE(YEAR(B884),MONTH(B884)+IF($C$709=$S$23,1,0),1),ÍNDICES!$A:$DE,$Z$709+1))),"",IF(B884&gt;$D$19,1,VLOOKUP(DATE(YEAR(B884),MONTH(B884)+IF($C$709=$S$23,1,0),1),ÍNDICES!$A:$DE,$Z$709+1))))))</f>
        <v/>
      </c>
      <c r="D884" s="155"/>
      <c r="E884" s="88"/>
      <c r="F884" s="88"/>
      <c r="G884" s="88"/>
      <c r="H884" s="118"/>
      <c r="I884" s="182">
        <f t="shared" si="129"/>
        <v>0</v>
      </c>
      <c r="J884" s="20">
        <f t="shared" ca="1" si="130"/>
        <v>0</v>
      </c>
      <c r="K884" s="5">
        <f t="shared" ca="1" si="131"/>
        <v>0</v>
      </c>
      <c r="L884" s="61">
        <f t="shared" ca="1" si="132"/>
        <v>0</v>
      </c>
      <c r="M884" s="64">
        <f t="shared" si="133"/>
        <v>0</v>
      </c>
      <c r="N884" s="151"/>
      <c r="O884" s="5">
        <f t="shared" ca="1" si="134"/>
        <v>0</v>
      </c>
      <c r="P884" s="446" t="e">
        <f t="shared" si="135"/>
        <v>#VALUE!</v>
      </c>
      <c r="Q884" s="446" t="e">
        <f>IF(OR($B884="",MIN(Q$38,$D$19)&lt;MAX($P$708*($B884+IF($R$17="Distrato",$I$38-1,0)),IF(AND($L$711=0,$P$708=0),"",$L$711-1),IF($R$17="Distrato",$E884,0))),0,YEARFRAC(MAX($P$708*($B884+IF($R$17="Distrato",$I$38-1,0)),IF(AND($L$711=0,$P$708=0),"",$L$711-1),IF($R$17="Distrato",$E884,0)),MIN(Q$38,$D$19),$P$20))-SUM($P884:P884)</f>
        <v>#VALUE!</v>
      </c>
      <c r="R884" s="446" t="e">
        <f>IF(OR($B884="",MIN(R$38,$D$19)&lt;MAX($P$708*($B884+IF($R$17="Distrato",$I$38-1,0)),IF(AND($L$711=0,$P$708=0),"",$L$711-1),IF($R$17="Distrato",$E884,0))),0,YEARFRAC(MAX($P$708*($B884+IF($R$17="Distrato",$I$38-1,0)),IF(AND($L$711=0,$P$708=0),"",$L$711-1),IF($R$17="Distrato",$E884,0)),MIN(R$38,$D$19),$P$20))-SUM($P884:Q884)</f>
        <v>#VALUE!</v>
      </c>
      <c r="S884" s="446" t="e">
        <f>IF(OR($B884="",MIN(S$38,$D$19)&lt;MAX($P$708*($B884+IF($R$17="Distrato",$I$38-1,0)),IF(AND($L$711=0,$P$708=0),"",$L$711-1),IF($R$17="Distrato",$E884,0))),0,YEARFRAC(MAX($P$708*($B884+IF($R$17="Distrato",$I$38-1,0)),IF(AND($L$711=0,$P$708=0),"",$L$711-1),IF($R$17="Distrato",$E884,0)),MIN(S$38,$D$19),$P$20))-SUM($P884:R884)</f>
        <v>#VALUE!</v>
      </c>
      <c r="T884" s="446" t="e">
        <f>IF(OR($B884="",MIN(T$38,$D$19)&lt;MAX($P$708*($B884+IF($R$17="Distrato",$I$38-1,0)),IF(AND($L$711=0,$P$708=0),"",$L$711-1),IF($R$17="Distrato",$E884,0))),0,YEARFRAC(MAX($P$708*($B884+IF($R$17="Distrato",$I$38-1,0)),IF(AND($L$711=0,$P$708=0),"",$L$711-1),IF($R$17="Distrato",$E884,0)),MIN(T$38,$D$19),$P$20))-SUM($P884:S884)</f>
        <v>#VALUE!</v>
      </c>
      <c r="U884" s="446" t="e">
        <f>IF(OR($B884="",MIN(U$38,$D$19)&lt;MAX($P$708*($B884+IF($R$17="Distrato",$I$38-1,0)),IF(AND($L$711=0,$P$708=0),"",$L$711-1),IF($R$17="Distrato",$E884,0))),0,YEARFRAC(MAX($P$708*($B884+IF($R$17="Distrato",$I$38-1,0)),IF(AND($L$711=0,$P$708=0),"",$L$711-1),IF($R$17="Distrato",$E884,0)),MIN(U$38,$D$19),$P$20))-SUM($P884:T884)</f>
        <v>#VALUE!</v>
      </c>
      <c r="V884" s="446" t="e">
        <f>IF(OR($B884="",MIN(V$38,$D$19)&lt;MAX($P$708*($B884+IF($R$17="Distrato",$I$38-1,0)),IF(AND($L$711=0,$P$708=0),"",$L$711-1),IF($R$17="Distrato",$E884,0))),0,YEARFRAC(MAX($P$708*($B884+IF($R$17="Distrato",$I$38-1,0)),IF(AND($L$711=0,$P$708=0),"",$L$711-1),IF($R$17="Distrato",$E884,0)),MIN(V$38,$D$19),$P$20))-SUM($P884:U884)</f>
        <v>#VALUE!</v>
      </c>
      <c r="W884" s="446" t="e">
        <f>IF(OR($B884="",MIN(W$38,$D$19)&lt;MAX($P$708*($B884+IF($R$17="Distrato",$I$38-1,0)),IF(AND($L$711=0,$P$708=0),"",$L$711-1),IF($R$17="Distrato",$E884,0))),0,YEARFRAC(MAX($P$708*($B884+IF($R$17="Distrato",$I$38-1,0)),IF(AND($L$711=0,$P$708=0),"",$L$711-1),IF($R$17="Distrato",$E884,0)),MIN(W$38,$D$19),$P$20))-SUM($P884:V884)</f>
        <v>#VALUE!</v>
      </c>
      <c r="X884" s="446" t="e">
        <f>IF(OR($B884="",MIN(X$38,$D$19)&lt;MAX($P$708*($B884+IF($R$17="Distrato",$I$38-1,0)),IF(AND($L$711=0,$P$708=0),"",$L$711-1),IF($R$17="Distrato",$E884,0))),0,YEARFRAC(MAX($P$708*($B884+IF($R$17="Distrato",$I$38-1,0)),IF(AND($L$711=0,$P$708=0),"",$L$711-1),IF($R$17="Distrato",$E884,0)),MIN(X$38,$D$19),$P$20))-SUM($P884:W884)</f>
        <v>#VALUE!</v>
      </c>
      <c r="Y884" s="446" t="e">
        <f>IF(OR($B884="",MIN(Y$38,$D$19)&lt;MAX($P$708*($B884+IF($R$17="Distrato",$I$38-1,0)),IF(AND($L$711=0,$P$708=0),"",$L$711-1),IF($R$17="Distrato",$E884,0))),0,YEARFRAC(MAX($P$708*($B884+IF($R$17="Distrato",$I$38-1,0)),IF(AND($L$711=0,$P$708=0),"",$L$711-1),IF($R$17="Distrato",$E884,0)),MIN(Y$38,$D$19),$P$20))-SUM($P884:X884)</f>
        <v>#VALUE!</v>
      </c>
      <c r="Z884" s="446" t="e">
        <f>IF(OR($B884="",MIN(Z$38,$D$19)&lt;MAX($P$708*($B884+IF($R$17="Distrato",$I$38-1,0)),IF(AND($L$711=0,$P$708=0),"",$L$711-1),IF($R$17="Distrato",$E884,0))),0,YEARFRAC(MAX($P$708*($B884+IF($R$17="Distrato",$I$38-1,0)),IF(AND($L$711=0,$P$708=0),"",$L$711-1),IF($R$17="Distrato",$E884,0)),MIN(Z$38,$D$19),$P$20))-SUM($P884:Y884)</f>
        <v>#VALUE!</v>
      </c>
      <c r="AA884" s="446" t="e">
        <f>IF(OR($B884="",MIN(AA$38,$D$19)&lt;MAX($P$708*($B884+IF($R$17="Distrato",$I$38-1,0)),IF(AND($L$711=0,$P$708=0),"",$L$711-1),IF($R$17="Distrato",$E884,0))),0,YEARFRAC(MAX($P$708*($B884+IF($R$17="Distrato",$I$38-1,0)),IF(AND($L$711=0,$P$708=0),"",$L$711-1),IF($R$17="Distrato",$E884,0)),MIN(AA$38,$D$19),$P$20))-SUM($P884:Z884)</f>
        <v>#VALUE!</v>
      </c>
      <c r="AB884" s="446" t="e">
        <f>IF(OR($B884="",MIN(AB$38,$D$19)&lt;MAX($P$708*($B884+IF($R$17="Distrato",$I$38-1,0)),IF(AND($L$711=0,$P$708=0),"",$L$711-1),IF($R$17="Distrato",$E884,0))),0,YEARFRAC(MAX($P$708*($B884+IF($R$17="Distrato",$I$38-1,0)),IF(AND($L$711=0,$P$708=0),"",$L$711-1),IF($R$17="Distrato",$E884,0)),MIN(AB$38,$D$19),$P$20))-SUM($P884:AA884)</f>
        <v>#VALUE!</v>
      </c>
      <c r="AC884" s="446" t="e">
        <f>IF(OR($B884="",MIN(AC$38,$D$19)&lt;MAX($P$708*($B884+IF($R$17="Distrato",$I$38-1,0)),IF(AND($L$711=0,$P$708=0),"",$L$711-1),IF($R$17="Distrato",$E884,0))),0,YEARFRAC(MAX($P$708*($B884+IF($R$17="Distrato",$I$38-1,0)),IF(AND($L$711=0,$P$708=0),"",$L$711-1),IF($R$17="Distrato",$E884,0)),MIN(AC$38,$D$19),$P$20))-SUM($P884:AB884)</f>
        <v>#VALUE!</v>
      </c>
      <c r="AD884" s="446" t="e">
        <f>IF(OR($B884="",MIN(AD$38,$D$19)&lt;MAX($P$708*($B884+IF($R$17="Distrato",$I$38-1,0)),IF(AND($L$711=0,$P$708=0),"",$L$711-1),IF($R$17="Distrato",$E884,0))),0,YEARFRAC(MAX($P$708*($B884+IF($R$17="Distrato",$I$38-1,0)),IF(AND($L$711=0,$P$708=0),"",$L$711-1),IF($R$17="Distrato",$E884,0)),MIN(AD$38,$D$19),$P$20))-SUM($P884:AC884)</f>
        <v>#VALUE!</v>
      </c>
      <c r="AE884" s="446" t="e">
        <f>IF(OR($B884="",MIN(AE$38,$D$19)&lt;MAX($P$708*($B884+IF($R$17="Distrato",$I$38-1,0)),IF(AND($L$711=0,$P$708=0),"",$L$711-1),IF($R$17="Distrato",$E884,0))),0,YEARFRAC(MAX($P$708*($B884+IF($R$17="Distrato",$I$38-1,0)),IF(AND($L$711=0,$P$708=0),"",$L$711-1),IF($R$17="Distrato",$E884,0)),MIN(AE$38,$D$19),$P$20))-SUM($P884:AD884)</f>
        <v>#VALUE!</v>
      </c>
      <c r="AF884" s="446" t="e">
        <f>IF(OR($B884="",MIN(AF$38,$D$19)&lt;MAX($P$708*($B884+IF($R$17="Distrato",$I$38-1,0)),IF(AND($L$711=0,$P$708=0),"",$L$711-1),IF($R$17="Distrato",$E884,0))),0,YEARFRAC(MAX($P$708*($B884+IF($R$17="Distrato",$I$38-1,0)),IF(AND($L$711=0,$P$708=0),"",$L$711-1),IF($R$17="Distrato",$E884,0)),MIN(AF$38,$D$19),$P$20))-SUM($P884:AE884)</f>
        <v>#VALUE!</v>
      </c>
      <c r="AG884" s="446" t="e">
        <f>IF(OR($B884="",MIN(AG$38,$D$19)&lt;MAX($P$708*($B884+IF($R$17="Distrato",$I$38-1,0)),IF(AND($L$711=0,$P$708=0),"",$L$711-1),IF($R$17="Distrato",$E884,0))),0,YEARFRAC(MAX($P$708*($B884+IF($R$17="Distrato",$I$38-1,0)),IF(AND($L$711=0,$P$708=0),"",$L$711-1),IF($R$17="Distrato",$E884,0)),MIN(AG$38,$D$19),$P$20))-SUM($P884:AF884)</f>
        <v>#VALUE!</v>
      </c>
      <c r="AH884" s="446" t="e">
        <f>IF(OR($B884="",MIN(AH$38,$D$19)&lt;MAX($P$708*($B884+IF($R$17="Distrato",$I$38-1,0)),IF(AND($L$711=0,$P$708=0),"",$L$711-1),IF($R$17="Distrato",$E884,0))),0,YEARFRAC(MAX($P$708*($B884+IF($R$17="Distrato",$I$38-1,0)),IF(AND($L$711=0,$P$708=0),"",$L$711-1),IF($R$17="Distrato",$E884,0)),MIN(AH$38,$D$19),$P$20))-SUM($P884:AG884)</f>
        <v>#VALUE!</v>
      </c>
      <c r="AI884" s="446" t="e">
        <f>IF(OR($B884="",MIN(AI$38,$D$19)&lt;MAX($P$708*($B884+IF($R$17="Distrato",$I$38-1,0)),IF(AND($L$711=0,$P$708=0),"",$L$711-1),IF($R$17="Distrato",$E884,0))),0,YEARFRAC(MAX($P$708*($B884+IF($R$17="Distrato",$I$38-1,0)),IF(AND($L$711=0,$P$708=0),"",$L$711-1),IF($R$17="Distrato",$E884,0)),MIN(AI$38,$D$19),$P$20))-SUM($P884:AH884)</f>
        <v>#VALUE!</v>
      </c>
      <c r="AJ884" s="446" t="e">
        <f>IF(OR($B884="",MIN(AJ$38,$D$19)&lt;MAX($P$708*($B884+IF($R$17="Distrato",$I$38-1,0)),IF(AND($L$711=0,$P$708=0),"",$L$711-1),IF($R$17="Distrato",$E884,0))),0,YEARFRAC(MAX($P$708*($B884+IF($R$17="Distrato",$I$38-1,0)),IF(AND($L$711=0,$P$708=0),"",$L$711-1),IF($R$17="Distrato",$E884,0)),MIN(AJ$38,$D$19),$P$20))-SUM($P884:AI884)</f>
        <v>#VALUE!</v>
      </c>
      <c r="AK884" s="446" t="e">
        <f>IF(OR($B884="",MIN(AK$38,$D$19)&lt;MAX($P$708*($B884+IF($R$17="Distrato",$I$38-1,0)),IF(AND($L$711=0,$P$708=0),"",$L$711-1),IF($R$17="Distrato",$E884,0))),0,YEARFRAC(MAX($P$708*($B884+IF($R$17="Distrato",$I$38-1,0)),IF(AND($L$711=0,$P$708=0),"",$L$711-1),IF($R$17="Distrato",$E884,0)),MIN(AK$38,$D$19),$P$20))-SUM($P884:AJ884)</f>
        <v>#VALUE!</v>
      </c>
      <c r="AL884" s="446" t="e">
        <f>IF(OR($B884="",MIN(AL$38,$D$19)&lt;MAX($P$708*($B884+IF($R$17="Distrato",$I$38-1,0)),IF(AND($L$711=0,$P$708=0),"",$L$711-1),IF($R$17="Distrato",$E884,0))),0,YEARFRAC(MAX($P$708*($B884+IF($R$17="Distrato",$I$38-1,0)),IF(AND($L$711=0,$P$708=0),"",$L$711-1),IF($R$17="Distrato",$E884,0)),MIN(AL$38,$D$19),$P$20))-SUM($P884:AK884)</f>
        <v>#VALUE!</v>
      </c>
      <c r="AM884" s="446" t="e">
        <f>IF(OR($B884="",MIN(AM$38,$D$19)&lt;MAX($P$708*($B884+IF($R$17="Distrato",$I$38-1,0)),IF(AND($L$711=0,$P$708=0),"",$L$711-1),IF($R$17="Distrato",$E884,0))),0,YEARFRAC(MAX($P$708*($B884+IF($R$17="Distrato",$I$38-1,0)),IF(AND($L$711=0,$P$708=0),"",$L$711-1),IF($R$17="Distrato",$E884,0)),MIN(AM$38,$D$19),$P$20))-SUM($P884:AL884)</f>
        <v>#VALUE!</v>
      </c>
      <c r="AN884" s="446" t="e">
        <f>IF(OR($B884="",MIN(AN$38,$D$19)&lt;MAX($P$708*($B884+IF($R$17="Distrato",$I$38-1,0)),IF(AND($L$711=0,$P$708=0),"",$L$711-1),IF($R$17="Distrato",$E884,0))),0,YEARFRAC(MAX($P$708*($B884+IF($R$17="Distrato",$I$38-1,0)),IF(AND($L$711=0,$P$708=0),"",$L$711-1),IF($R$17="Distrato",$E884,0)),MIN(AN$38,$D$19),$P$20))-SUM($P884:AM884)</f>
        <v>#VALUE!</v>
      </c>
      <c r="AO884" s="446" t="e">
        <f>IF(OR($B884="",MIN(AO$38,$D$19)&lt;MAX($P$708*($B884+IF($R$17="Distrato",$I$38-1,0)),IF(AND($L$711=0,$P$708=0),"",$L$711-1),IF($R$17="Distrato",$E884,0))),0,YEARFRAC(MAX($P$708*($B884+IF($R$17="Distrato",$I$38-1,0)),IF(AND($L$711=0,$P$708=0),"",$L$711-1),IF($R$17="Distrato",$E884,0)),MIN(AO$38,$D$19),$P$20))-SUM($P884:AN884)</f>
        <v>#VALUE!</v>
      </c>
      <c r="AP884" s="446" t="e">
        <f>IF(OR($B884="",MIN(AP$38,$D$19)&lt;MAX($P$708*($B884+IF($R$17="Distrato",$I$38-1,0)),IF(AND($L$711=0,$P$708=0),"",$L$711-1),IF($R$17="Distrato",$E884,0))),0,YEARFRAC(MAX($P$708*($B884+IF($R$17="Distrato",$I$38-1,0)),IF(AND($L$711=0,$P$708=0),"",$L$711-1),IF($R$17="Distrato",$E884,0)),MIN(AP$38,$D$19),$P$20))-SUM($P884:AO884)</f>
        <v>#VALUE!</v>
      </c>
      <c r="AQ884" s="446" t="e">
        <f>IF(OR($B884="",MIN(AQ$38,$D$19)&lt;MAX($P$708*($B884+IF($R$17="Distrato",$I$38-1,0)),IF(AND($L$711=0,$P$708=0),"",$L$711-1),IF($R$17="Distrato",$E884,0))),0,YEARFRAC(MAX($P$708*($B884+IF($R$17="Distrato",$I$38-1,0)),IF(AND($L$711=0,$P$708=0),"",$L$711-1),IF($R$17="Distrato",$E884,0)),MIN(AQ$38,$D$19),$P$20))-SUM($P884:AP884)</f>
        <v>#VALUE!</v>
      </c>
      <c r="AR884" s="446" t="e">
        <f>IF(OR($B884="",MIN(AR$38,$D$19)&lt;MAX($P$708*($B884+IF($R$17="Distrato",$I$38-1,0)),IF(AND($L$711=0,$P$708=0),"",$L$711-1),IF($R$17="Distrato",$E884,0))),0,YEARFRAC(MAX($P$708*($B884+IF($R$17="Distrato",$I$38-1,0)),IF(AND($L$711=0,$P$708=0),"",$L$711-1),IF($R$17="Distrato",$E884,0)),MIN(AR$38,$D$19),$P$20))-SUM($P884:AQ884)</f>
        <v>#VALUE!</v>
      </c>
      <c r="AS884" s="446" t="e">
        <f>IF(OR($B884="",MIN(AS$38,$D$19)&lt;MAX($P$708*($B884+IF($R$17="Distrato",$I$38-1,0)),IF(AND($L$711=0,$P$708=0),"",$L$711-1),IF($R$17="Distrato",$E884,0))),0,YEARFRAC(MAX($P$708*($B884+IF($R$17="Distrato",$I$38-1,0)),IF(AND($L$711=0,$P$708=0),"",$L$711-1),IF($R$17="Distrato",$E884,0)),MIN(AS$38,$D$19),$P$20))-SUM($P884:AR884)</f>
        <v>#VALUE!</v>
      </c>
      <c r="AT884" s="446" t="e">
        <f>IF(OR($B884="",MIN(AT$38,$D$19)&lt;MAX($P$708*($B884+IF($R$17="Distrato",$I$38-1,0)),IF(AND($L$711=0,$P$708=0),"",$L$711-1),IF($R$17="Distrato",$E884,0))),0,YEARFRAC(MAX($P$708*($B884+IF($R$17="Distrato",$I$38-1,0)),IF(AND($L$711=0,$P$708=0),"",$L$711-1),IF($R$17="Distrato",$E884,0)),MIN(AT$38,$D$19),$P$20))-SUM($P884:AS884)</f>
        <v>#VALUE!</v>
      </c>
      <c r="AU884" s="446" t="e">
        <f>IF(OR($B884="",MIN(AU$38,$D$19)&lt;MAX($P$708*($B884+IF($R$17="Distrato",$I$38-1,0)),IF(AND($L$711=0,$P$708=0),"",$L$711-1),IF($R$17="Distrato",$E884,0))),0,YEARFRAC(MAX($P$708*($B884+IF($R$17="Distrato",$I$38-1,0)),IF(AND($L$711=0,$P$708=0),"",$L$711-1),IF($R$17="Distrato",$E884,0)),MIN(AU$38,$D$19),$P$20))-SUM($P884:AT884)</f>
        <v>#VALUE!</v>
      </c>
      <c r="AV884" s="446" t="e">
        <f>IF(OR($B884="",MIN(AV$38,$D$19)&lt;MAX($P$708*($B884+IF($R$17="Distrato",$I$38-1,0)),IF(AND($L$711=0,$P$708=0),"",$L$711-1),IF($R$17="Distrato",$E884,0))),0,YEARFRAC(MAX($P$708*($B884+IF($R$17="Distrato",$I$38-1,0)),IF(AND($L$711=0,$P$708=0),"",$L$711-1),IF($R$17="Distrato",$E884,0)),MIN(AV$38,$D$19),$P$20))-SUM($P884:AU884)</f>
        <v>#VALUE!</v>
      </c>
      <c r="AW884" s="446" t="e">
        <f>IF(OR($B884="",MIN(AW$38,$D$19)&lt;MAX($P$708*($B884+IF($R$17="Distrato",$I$38-1,0)),IF(AND($L$711=0,$P$708=0),"",$L$711-1),IF($R$17="Distrato",$E884,0))),0,YEARFRAC(MAX($P$708*($B884+IF($R$17="Distrato",$I$38-1,0)),IF(AND($L$711=0,$P$708=0),"",$L$711-1),IF($R$17="Distrato",$E884,0)),MIN(AW$38,$D$19),$P$20))-SUM($P884:AV884)</f>
        <v>#VALUE!</v>
      </c>
      <c r="AX884" s="446" t="e">
        <f>IF(OR($B884="",MIN(AX$38,$D$19)&lt;MAX($P$708*($B884+IF($R$17="Distrato",$I$38-1,0)),IF(AND($L$711=0,$P$708=0),"",$L$711-1),IF($R$17="Distrato",$E884,0))),0,YEARFRAC(MAX($P$708*($B884+IF($R$17="Distrato",$I$38-1,0)),IF(AND($L$711=0,$P$708=0),"",$L$711-1),IF($R$17="Distrato",$E884,0)),MIN(AX$38,$D$19),$P$20))-SUM($P884:AW884)</f>
        <v>#VALUE!</v>
      </c>
      <c r="AY884" s="446" t="e">
        <f>IF(OR($B884="",MIN(AY$38,$D$19)&lt;MAX($P$708*($B884+IF($R$17="Distrato",$I$38-1,0)),IF(AND($L$711=0,$P$708=0),"",$L$711-1),IF($R$17="Distrato",$E884,0))),0,YEARFRAC(MAX($P$708*($B884+IF($R$17="Distrato",$I$38-1,0)),IF(AND($L$711=0,$P$708=0),"",$L$711-1),IF($R$17="Distrato",$E884,0)),MIN(AY$38,$D$19),$P$20))-SUM($P884:AX884)</f>
        <v>#VALUE!</v>
      </c>
      <c r="AZ884" s="446" t="e">
        <f>IF(OR($B884="",MIN(AZ$38,$D$19)&lt;MAX($P$708*($B884+IF($R$17="Distrato",$I$38-1,0)),IF(AND($L$711=0,$P$708=0),"",$L$711-1),IF($R$17="Distrato",$E884,0))),0,YEARFRAC(MAX($P$708*($B884+IF($R$17="Distrato",$I$38-1,0)),IF(AND($L$711=0,$P$708=0),"",$L$711-1),IF($R$17="Distrato",$E884,0)),MIN(AZ$38,$D$19),$P$20))-SUM($P884:AY884)</f>
        <v>#VALUE!</v>
      </c>
      <c r="BA884" s="446" t="e">
        <f>IF(OR($B884="",MIN(BA$38,$D$19)&lt;MAX($P$708*($B884+IF($R$17="Distrato",$I$38-1,0)),IF(AND($L$711=0,$P$708=0),"",$L$711-1),IF($R$17="Distrato",$E884,0))),0,YEARFRAC(MAX($P$708*($B884+IF($R$17="Distrato",$I$38-1,0)),IF(AND($L$711=0,$P$708=0),"",$L$711-1),IF($R$17="Distrato",$E884,0)),MIN(BA$38,$D$19),$P$20))-SUM($P884:AZ884)</f>
        <v>#VALUE!</v>
      </c>
      <c r="BB884" s="447"/>
    </row>
    <row r="885" spans="1:54" s="446" customFormat="1" ht="11.25" hidden="1" customHeight="1" x14ac:dyDescent="0.2">
      <c r="A885" s="235"/>
      <c r="B885" s="236"/>
      <c r="C885" s="29" t="str">
        <f>IF(B885="","",IF($L$709=$BL$25,VLOOKUP(DATE(YEAR($D$19),MONTH($D$19)-1,1),ÍNDICES!$A:$DE,HLOOKUP($BL$25,ÍNDICES!$B$3:$T$4,2)+11)-VLOOKUP(B885,ÍNDICES!$A:$DE,HLOOKUP($BL$25,ÍNDICES!$B$3:$T$4,2)+11)+1%,IF(C$712=$W$26,$J$35,IF(ISERROR(IF(B885&gt;$D$19,1,VLOOKUP(DATE(YEAR(B885),MONTH(B885)+IF($C$709=$S$23,1,0),1),ÍNDICES!$A:$DE,$Z$709+1))),"",IF(B885&gt;$D$19,1,VLOOKUP(DATE(YEAR(B885),MONTH(B885)+IF($C$709=$S$23,1,0),1),ÍNDICES!$A:$DE,$Z$709+1))))))</f>
        <v/>
      </c>
      <c r="D885" s="155"/>
      <c r="E885" s="88"/>
      <c r="F885" s="88"/>
      <c r="G885" s="88"/>
      <c r="H885" s="118"/>
      <c r="I885" s="182">
        <f t="shared" si="129"/>
        <v>0</v>
      </c>
      <c r="J885" s="20">
        <f t="shared" ca="1" si="130"/>
        <v>0</v>
      </c>
      <c r="K885" s="5">
        <f t="shared" ca="1" si="131"/>
        <v>0</v>
      </c>
      <c r="L885" s="61">
        <f t="shared" ca="1" si="132"/>
        <v>0</v>
      </c>
      <c r="M885" s="64">
        <f t="shared" si="133"/>
        <v>0</v>
      </c>
      <c r="N885" s="151"/>
      <c r="O885" s="5">
        <f t="shared" ca="1" si="134"/>
        <v>0</v>
      </c>
      <c r="P885" s="446" t="e">
        <f t="shared" si="135"/>
        <v>#VALUE!</v>
      </c>
      <c r="Q885" s="446" t="e">
        <f>IF(OR($B885="",MIN(Q$38,$D$19)&lt;MAX($P$708*($B885+IF($R$17="Distrato",$I$38-1,0)),IF(AND($L$711=0,$P$708=0),"",$L$711-1),IF($R$17="Distrato",$E885,0))),0,YEARFRAC(MAX($P$708*($B885+IF($R$17="Distrato",$I$38-1,0)),IF(AND($L$711=0,$P$708=0),"",$L$711-1),IF($R$17="Distrato",$E885,0)),MIN(Q$38,$D$19),$P$20))-SUM($P885:P885)</f>
        <v>#VALUE!</v>
      </c>
      <c r="R885" s="446" t="e">
        <f>IF(OR($B885="",MIN(R$38,$D$19)&lt;MAX($P$708*($B885+IF($R$17="Distrato",$I$38-1,0)),IF(AND($L$711=0,$P$708=0),"",$L$711-1),IF($R$17="Distrato",$E885,0))),0,YEARFRAC(MAX($P$708*($B885+IF($R$17="Distrato",$I$38-1,0)),IF(AND($L$711=0,$P$708=0),"",$L$711-1),IF($R$17="Distrato",$E885,0)),MIN(R$38,$D$19),$P$20))-SUM($P885:Q885)</f>
        <v>#VALUE!</v>
      </c>
      <c r="S885" s="446" t="e">
        <f>IF(OR($B885="",MIN(S$38,$D$19)&lt;MAX($P$708*($B885+IF($R$17="Distrato",$I$38-1,0)),IF(AND($L$711=0,$P$708=0),"",$L$711-1),IF($R$17="Distrato",$E885,0))),0,YEARFRAC(MAX($P$708*($B885+IF($R$17="Distrato",$I$38-1,0)),IF(AND($L$711=0,$P$708=0),"",$L$711-1),IF($R$17="Distrato",$E885,0)),MIN(S$38,$D$19),$P$20))-SUM($P885:R885)</f>
        <v>#VALUE!</v>
      </c>
      <c r="T885" s="446" t="e">
        <f>IF(OR($B885="",MIN(T$38,$D$19)&lt;MAX($P$708*($B885+IF($R$17="Distrato",$I$38-1,0)),IF(AND($L$711=0,$P$708=0),"",$L$711-1),IF($R$17="Distrato",$E885,0))),0,YEARFRAC(MAX($P$708*($B885+IF($R$17="Distrato",$I$38-1,0)),IF(AND($L$711=0,$P$708=0),"",$L$711-1),IF($R$17="Distrato",$E885,0)),MIN(T$38,$D$19),$P$20))-SUM($P885:S885)</f>
        <v>#VALUE!</v>
      </c>
      <c r="U885" s="446" t="e">
        <f>IF(OR($B885="",MIN(U$38,$D$19)&lt;MAX($P$708*($B885+IF($R$17="Distrato",$I$38-1,0)),IF(AND($L$711=0,$P$708=0),"",$L$711-1),IF($R$17="Distrato",$E885,0))),0,YEARFRAC(MAX($P$708*($B885+IF($R$17="Distrato",$I$38-1,0)),IF(AND($L$711=0,$P$708=0),"",$L$711-1),IF($R$17="Distrato",$E885,0)),MIN(U$38,$D$19),$P$20))-SUM($P885:T885)</f>
        <v>#VALUE!</v>
      </c>
      <c r="V885" s="446" t="e">
        <f>IF(OR($B885="",MIN(V$38,$D$19)&lt;MAX($P$708*($B885+IF($R$17="Distrato",$I$38-1,0)),IF(AND($L$711=0,$P$708=0),"",$L$711-1),IF($R$17="Distrato",$E885,0))),0,YEARFRAC(MAX($P$708*($B885+IF($R$17="Distrato",$I$38-1,0)),IF(AND($L$711=0,$P$708=0),"",$L$711-1),IF($R$17="Distrato",$E885,0)),MIN(V$38,$D$19),$P$20))-SUM($P885:U885)</f>
        <v>#VALUE!</v>
      </c>
      <c r="W885" s="446" t="e">
        <f>IF(OR($B885="",MIN(W$38,$D$19)&lt;MAX($P$708*($B885+IF($R$17="Distrato",$I$38-1,0)),IF(AND($L$711=0,$P$708=0),"",$L$711-1),IF($R$17="Distrato",$E885,0))),0,YEARFRAC(MAX($P$708*($B885+IF($R$17="Distrato",$I$38-1,0)),IF(AND($L$711=0,$P$708=0),"",$L$711-1),IF($R$17="Distrato",$E885,0)),MIN(W$38,$D$19),$P$20))-SUM($P885:V885)</f>
        <v>#VALUE!</v>
      </c>
      <c r="X885" s="446" t="e">
        <f>IF(OR($B885="",MIN(X$38,$D$19)&lt;MAX($P$708*($B885+IF($R$17="Distrato",$I$38-1,0)),IF(AND($L$711=0,$P$708=0),"",$L$711-1),IF($R$17="Distrato",$E885,0))),0,YEARFRAC(MAX($P$708*($B885+IF($R$17="Distrato",$I$38-1,0)),IF(AND($L$711=0,$P$708=0),"",$L$711-1),IF($R$17="Distrato",$E885,0)),MIN(X$38,$D$19),$P$20))-SUM($P885:W885)</f>
        <v>#VALUE!</v>
      </c>
      <c r="Y885" s="446" t="e">
        <f>IF(OR($B885="",MIN(Y$38,$D$19)&lt;MAX($P$708*($B885+IF($R$17="Distrato",$I$38-1,0)),IF(AND($L$711=0,$P$708=0),"",$L$711-1),IF($R$17="Distrato",$E885,0))),0,YEARFRAC(MAX($P$708*($B885+IF($R$17="Distrato",$I$38-1,0)),IF(AND($L$711=0,$P$708=0),"",$L$711-1),IF($R$17="Distrato",$E885,0)),MIN(Y$38,$D$19),$P$20))-SUM($P885:X885)</f>
        <v>#VALUE!</v>
      </c>
      <c r="Z885" s="446" t="e">
        <f>IF(OR($B885="",MIN(Z$38,$D$19)&lt;MAX($P$708*($B885+IF($R$17="Distrato",$I$38-1,0)),IF(AND($L$711=0,$P$708=0),"",$L$711-1),IF($R$17="Distrato",$E885,0))),0,YEARFRAC(MAX($P$708*($B885+IF($R$17="Distrato",$I$38-1,0)),IF(AND($L$711=0,$P$708=0),"",$L$711-1),IF($R$17="Distrato",$E885,0)),MIN(Z$38,$D$19),$P$20))-SUM($P885:Y885)</f>
        <v>#VALUE!</v>
      </c>
      <c r="AA885" s="446" t="e">
        <f>IF(OR($B885="",MIN(AA$38,$D$19)&lt;MAX($P$708*($B885+IF($R$17="Distrato",$I$38-1,0)),IF(AND($L$711=0,$P$708=0),"",$L$711-1),IF($R$17="Distrato",$E885,0))),0,YEARFRAC(MAX($P$708*($B885+IF($R$17="Distrato",$I$38-1,0)),IF(AND($L$711=0,$P$708=0),"",$L$711-1),IF($R$17="Distrato",$E885,0)),MIN(AA$38,$D$19),$P$20))-SUM($P885:Z885)</f>
        <v>#VALUE!</v>
      </c>
      <c r="AB885" s="446" t="e">
        <f>IF(OR($B885="",MIN(AB$38,$D$19)&lt;MAX($P$708*($B885+IF($R$17="Distrato",$I$38-1,0)),IF(AND($L$711=0,$P$708=0),"",$L$711-1),IF($R$17="Distrato",$E885,0))),0,YEARFRAC(MAX($P$708*($B885+IF($R$17="Distrato",$I$38-1,0)),IF(AND($L$711=0,$P$708=0),"",$L$711-1),IF($R$17="Distrato",$E885,0)),MIN(AB$38,$D$19),$P$20))-SUM($P885:AA885)</f>
        <v>#VALUE!</v>
      </c>
      <c r="AC885" s="446" t="e">
        <f>IF(OR($B885="",MIN(AC$38,$D$19)&lt;MAX($P$708*($B885+IF($R$17="Distrato",$I$38-1,0)),IF(AND($L$711=0,$P$708=0),"",$L$711-1),IF($R$17="Distrato",$E885,0))),0,YEARFRAC(MAX($P$708*($B885+IF($R$17="Distrato",$I$38-1,0)),IF(AND($L$711=0,$P$708=0),"",$L$711-1),IF($R$17="Distrato",$E885,0)),MIN(AC$38,$D$19),$P$20))-SUM($P885:AB885)</f>
        <v>#VALUE!</v>
      </c>
      <c r="AD885" s="446" t="e">
        <f>IF(OR($B885="",MIN(AD$38,$D$19)&lt;MAX($P$708*($B885+IF($R$17="Distrato",$I$38-1,0)),IF(AND($L$711=0,$P$708=0),"",$L$711-1),IF($R$17="Distrato",$E885,0))),0,YEARFRAC(MAX($P$708*($B885+IF($R$17="Distrato",$I$38-1,0)),IF(AND($L$711=0,$P$708=0),"",$L$711-1),IF($R$17="Distrato",$E885,0)),MIN(AD$38,$D$19),$P$20))-SUM($P885:AC885)</f>
        <v>#VALUE!</v>
      </c>
      <c r="AE885" s="446" t="e">
        <f>IF(OR($B885="",MIN(AE$38,$D$19)&lt;MAX($P$708*($B885+IF($R$17="Distrato",$I$38-1,0)),IF(AND($L$711=0,$P$708=0),"",$L$711-1),IF($R$17="Distrato",$E885,0))),0,YEARFRAC(MAX($P$708*($B885+IF($R$17="Distrato",$I$38-1,0)),IF(AND($L$711=0,$P$708=0),"",$L$711-1),IF($R$17="Distrato",$E885,0)),MIN(AE$38,$D$19),$P$20))-SUM($P885:AD885)</f>
        <v>#VALUE!</v>
      </c>
      <c r="AF885" s="446" t="e">
        <f>IF(OR($B885="",MIN(AF$38,$D$19)&lt;MAX($P$708*($B885+IF($R$17="Distrato",$I$38-1,0)),IF(AND($L$711=0,$P$708=0),"",$L$711-1),IF($R$17="Distrato",$E885,0))),0,YEARFRAC(MAX($P$708*($B885+IF($R$17="Distrato",$I$38-1,0)),IF(AND($L$711=0,$P$708=0),"",$L$711-1),IF($R$17="Distrato",$E885,0)),MIN(AF$38,$D$19),$P$20))-SUM($P885:AE885)</f>
        <v>#VALUE!</v>
      </c>
      <c r="AG885" s="446" t="e">
        <f>IF(OR($B885="",MIN(AG$38,$D$19)&lt;MAX($P$708*($B885+IF($R$17="Distrato",$I$38-1,0)),IF(AND($L$711=0,$P$708=0),"",$L$711-1),IF($R$17="Distrato",$E885,0))),0,YEARFRAC(MAX($P$708*($B885+IF($R$17="Distrato",$I$38-1,0)),IF(AND($L$711=0,$P$708=0),"",$L$711-1),IF($R$17="Distrato",$E885,0)),MIN(AG$38,$D$19),$P$20))-SUM($P885:AF885)</f>
        <v>#VALUE!</v>
      </c>
      <c r="AH885" s="446" t="e">
        <f>IF(OR($B885="",MIN(AH$38,$D$19)&lt;MAX($P$708*($B885+IF($R$17="Distrato",$I$38-1,0)),IF(AND($L$711=0,$P$708=0),"",$L$711-1),IF($R$17="Distrato",$E885,0))),0,YEARFRAC(MAX($P$708*($B885+IF($R$17="Distrato",$I$38-1,0)),IF(AND($L$711=0,$P$708=0),"",$L$711-1),IF($R$17="Distrato",$E885,0)),MIN(AH$38,$D$19),$P$20))-SUM($P885:AG885)</f>
        <v>#VALUE!</v>
      </c>
      <c r="AI885" s="446" t="e">
        <f>IF(OR($B885="",MIN(AI$38,$D$19)&lt;MAX($P$708*($B885+IF($R$17="Distrato",$I$38-1,0)),IF(AND($L$711=0,$P$708=0),"",$L$711-1),IF($R$17="Distrato",$E885,0))),0,YEARFRAC(MAX($P$708*($B885+IF($R$17="Distrato",$I$38-1,0)),IF(AND($L$711=0,$P$708=0),"",$L$711-1),IF($R$17="Distrato",$E885,0)),MIN(AI$38,$D$19),$P$20))-SUM($P885:AH885)</f>
        <v>#VALUE!</v>
      </c>
      <c r="AJ885" s="446" t="e">
        <f>IF(OR($B885="",MIN(AJ$38,$D$19)&lt;MAX($P$708*($B885+IF($R$17="Distrato",$I$38-1,0)),IF(AND($L$711=0,$P$708=0),"",$L$711-1),IF($R$17="Distrato",$E885,0))),0,YEARFRAC(MAX($P$708*($B885+IF($R$17="Distrato",$I$38-1,0)),IF(AND($L$711=0,$P$708=0),"",$L$711-1),IF($R$17="Distrato",$E885,0)),MIN(AJ$38,$D$19),$P$20))-SUM($P885:AI885)</f>
        <v>#VALUE!</v>
      </c>
      <c r="AK885" s="446" t="e">
        <f>IF(OR($B885="",MIN(AK$38,$D$19)&lt;MAX($P$708*($B885+IF($R$17="Distrato",$I$38-1,0)),IF(AND($L$711=0,$P$708=0),"",$L$711-1),IF($R$17="Distrato",$E885,0))),0,YEARFRAC(MAX($P$708*($B885+IF($R$17="Distrato",$I$38-1,0)),IF(AND($L$711=0,$P$708=0),"",$L$711-1),IF($R$17="Distrato",$E885,0)),MIN(AK$38,$D$19),$P$20))-SUM($P885:AJ885)</f>
        <v>#VALUE!</v>
      </c>
      <c r="AL885" s="446" t="e">
        <f>IF(OR($B885="",MIN(AL$38,$D$19)&lt;MAX($P$708*($B885+IF($R$17="Distrato",$I$38-1,0)),IF(AND($L$711=0,$P$708=0),"",$L$711-1),IF($R$17="Distrato",$E885,0))),0,YEARFRAC(MAX($P$708*($B885+IF($R$17="Distrato",$I$38-1,0)),IF(AND($L$711=0,$P$708=0),"",$L$711-1),IF($R$17="Distrato",$E885,0)),MIN(AL$38,$D$19),$P$20))-SUM($P885:AK885)</f>
        <v>#VALUE!</v>
      </c>
      <c r="AM885" s="446" t="e">
        <f>IF(OR($B885="",MIN(AM$38,$D$19)&lt;MAX($P$708*($B885+IF($R$17="Distrato",$I$38-1,0)),IF(AND($L$711=0,$P$708=0),"",$L$711-1),IF($R$17="Distrato",$E885,0))),0,YEARFRAC(MAX($P$708*($B885+IF($R$17="Distrato",$I$38-1,0)),IF(AND($L$711=0,$P$708=0),"",$L$711-1),IF($R$17="Distrato",$E885,0)),MIN(AM$38,$D$19),$P$20))-SUM($P885:AL885)</f>
        <v>#VALUE!</v>
      </c>
      <c r="AN885" s="446" t="e">
        <f>IF(OR($B885="",MIN(AN$38,$D$19)&lt;MAX($P$708*($B885+IF($R$17="Distrato",$I$38-1,0)),IF(AND($L$711=0,$P$708=0),"",$L$711-1),IF($R$17="Distrato",$E885,0))),0,YEARFRAC(MAX($P$708*($B885+IF($R$17="Distrato",$I$38-1,0)),IF(AND($L$711=0,$P$708=0),"",$L$711-1),IF($R$17="Distrato",$E885,0)),MIN(AN$38,$D$19),$P$20))-SUM($P885:AM885)</f>
        <v>#VALUE!</v>
      </c>
      <c r="AO885" s="446" t="e">
        <f>IF(OR($B885="",MIN(AO$38,$D$19)&lt;MAX($P$708*($B885+IF($R$17="Distrato",$I$38-1,0)),IF(AND($L$711=0,$P$708=0),"",$L$711-1),IF($R$17="Distrato",$E885,0))),0,YEARFRAC(MAX($P$708*($B885+IF($R$17="Distrato",$I$38-1,0)),IF(AND($L$711=0,$P$708=0),"",$L$711-1),IF($R$17="Distrato",$E885,0)),MIN(AO$38,$D$19),$P$20))-SUM($P885:AN885)</f>
        <v>#VALUE!</v>
      </c>
      <c r="AP885" s="446" t="e">
        <f>IF(OR($B885="",MIN(AP$38,$D$19)&lt;MAX($P$708*($B885+IF($R$17="Distrato",$I$38-1,0)),IF(AND($L$711=0,$P$708=0),"",$L$711-1),IF($R$17="Distrato",$E885,0))),0,YEARFRAC(MAX($P$708*($B885+IF($R$17="Distrato",$I$38-1,0)),IF(AND($L$711=0,$P$708=0),"",$L$711-1),IF($R$17="Distrato",$E885,0)),MIN(AP$38,$D$19),$P$20))-SUM($P885:AO885)</f>
        <v>#VALUE!</v>
      </c>
      <c r="AQ885" s="446" t="e">
        <f>IF(OR($B885="",MIN(AQ$38,$D$19)&lt;MAX($P$708*($B885+IF($R$17="Distrato",$I$38-1,0)),IF(AND($L$711=0,$P$708=0),"",$L$711-1),IF($R$17="Distrato",$E885,0))),0,YEARFRAC(MAX($P$708*($B885+IF($R$17="Distrato",$I$38-1,0)),IF(AND($L$711=0,$P$708=0),"",$L$711-1),IF($R$17="Distrato",$E885,0)),MIN(AQ$38,$D$19),$P$20))-SUM($P885:AP885)</f>
        <v>#VALUE!</v>
      </c>
      <c r="AR885" s="446" t="e">
        <f>IF(OR($B885="",MIN(AR$38,$D$19)&lt;MAX($P$708*($B885+IF($R$17="Distrato",$I$38-1,0)),IF(AND($L$711=0,$P$708=0),"",$L$711-1),IF($R$17="Distrato",$E885,0))),0,YEARFRAC(MAX($P$708*($B885+IF($R$17="Distrato",$I$38-1,0)),IF(AND($L$711=0,$P$708=0),"",$L$711-1),IF($R$17="Distrato",$E885,0)),MIN(AR$38,$D$19),$P$20))-SUM($P885:AQ885)</f>
        <v>#VALUE!</v>
      </c>
      <c r="AS885" s="446" t="e">
        <f>IF(OR($B885="",MIN(AS$38,$D$19)&lt;MAX($P$708*($B885+IF($R$17="Distrato",$I$38-1,0)),IF(AND($L$711=0,$P$708=0),"",$L$711-1),IF($R$17="Distrato",$E885,0))),0,YEARFRAC(MAX($P$708*($B885+IF($R$17="Distrato",$I$38-1,0)),IF(AND($L$711=0,$P$708=0),"",$L$711-1),IF($R$17="Distrato",$E885,0)),MIN(AS$38,$D$19),$P$20))-SUM($P885:AR885)</f>
        <v>#VALUE!</v>
      </c>
      <c r="AT885" s="446" t="e">
        <f>IF(OR($B885="",MIN(AT$38,$D$19)&lt;MAX($P$708*($B885+IF($R$17="Distrato",$I$38-1,0)),IF(AND($L$711=0,$P$708=0),"",$L$711-1),IF($R$17="Distrato",$E885,0))),0,YEARFRAC(MAX($P$708*($B885+IF($R$17="Distrato",$I$38-1,0)),IF(AND($L$711=0,$P$708=0),"",$L$711-1),IF($R$17="Distrato",$E885,0)),MIN(AT$38,$D$19),$P$20))-SUM($P885:AS885)</f>
        <v>#VALUE!</v>
      </c>
      <c r="AU885" s="446" t="e">
        <f>IF(OR($B885="",MIN(AU$38,$D$19)&lt;MAX($P$708*($B885+IF($R$17="Distrato",$I$38-1,0)),IF(AND($L$711=0,$P$708=0),"",$L$711-1),IF($R$17="Distrato",$E885,0))),0,YEARFRAC(MAX($P$708*($B885+IF($R$17="Distrato",$I$38-1,0)),IF(AND($L$711=0,$P$708=0),"",$L$711-1),IF($R$17="Distrato",$E885,0)),MIN(AU$38,$D$19),$P$20))-SUM($P885:AT885)</f>
        <v>#VALUE!</v>
      </c>
      <c r="AV885" s="446" t="e">
        <f>IF(OR($B885="",MIN(AV$38,$D$19)&lt;MAX($P$708*($B885+IF($R$17="Distrato",$I$38-1,0)),IF(AND($L$711=0,$P$708=0),"",$L$711-1),IF($R$17="Distrato",$E885,0))),0,YEARFRAC(MAX($P$708*($B885+IF($R$17="Distrato",$I$38-1,0)),IF(AND($L$711=0,$P$708=0),"",$L$711-1),IF($R$17="Distrato",$E885,0)),MIN(AV$38,$D$19),$P$20))-SUM($P885:AU885)</f>
        <v>#VALUE!</v>
      </c>
      <c r="AW885" s="446" t="e">
        <f>IF(OR($B885="",MIN(AW$38,$D$19)&lt;MAX($P$708*($B885+IF($R$17="Distrato",$I$38-1,0)),IF(AND($L$711=0,$P$708=0),"",$L$711-1),IF($R$17="Distrato",$E885,0))),0,YEARFRAC(MAX($P$708*($B885+IF($R$17="Distrato",$I$38-1,0)),IF(AND($L$711=0,$P$708=0),"",$L$711-1),IF($R$17="Distrato",$E885,0)),MIN(AW$38,$D$19),$P$20))-SUM($P885:AV885)</f>
        <v>#VALUE!</v>
      </c>
      <c r="AX885" s="446" t="e">
        <f>IF(OR($B885="",MIN(AX$38,$D$19)&lt;MAX($P$708*($B885+IF($R$17="Distrato",$I$38-1,0)),IF(AND($L$711=0,$P$708=0),"",$L$711-1),IF($R$17="Distrato",$E885,0))),0,YEARFRAC(MAX($P$708*($B885+IF($R$17="Distrato",$I$38-1,0)),IF(AND($L$711=0,$P$708=0),"",$L$711-1),IF($R$17="Distrato",$E885,0)),MIN(AX$38,$D$19),$P$20))-SUM($P885:AW885)</f>
        <v>#VALUE!</v>
      </c>
      <c r="AY885" s="446" t="e">
        <f>IF(OR($B885="",MIN(AY$38,$D$19)&lt;MAX($P$708*($B885+IF($R$17="Distrato",$I$38-1,0)),IF(AND($L$711=0,$P$708=0),"",$L$711-1),IF($R$17="Distrato",$E885,0))),0,YEARFRAC(MAX($P$708*($B885+IF($R$17="Distrato",$I$38-1,0)),IF(AND($L$711=0,$P$708=0),"",$L$711-1),IF($R$17="Distrato",$E885,0)),MIN(AY$38,$D$19),$P$20))-SUM($P885:AX885)</f>
        <v>#VALUE!</v>
      </c>
      <c r="AZ885" s="446" t="e">
        <f>IF(OR($B885="",MIN(AZ$38,$D$19)&lt;MAX($P$708*($B885+IF($R$17="Distrato",$I$38-1,0)),IF(AND($L$711=0,$P$708=0),"",$L$711-1),IF($R$17="Distrato",$E885,0))),0,YEARFRAC(MAX($P$708*($B885+IF($R$17="Distrato",$I$38-1,0)),IF(AND($L$711=0,$P$708=0),"",$L$711-1),IF($R$17="Distrato",$E885,0)),MIN(AZ$38,$D$19),$P$20))-SUM($P885:AY885)</f>
        <v>#VALUE!</v>
      </c>
      <c r="BA885" s="446" t="e">
        <f>IF(OR($B885="",MIN(BA$38,$D$19)&lt;MAX($P$708*($B885+IF($R$17="Distrato",$I$38-1,0)),IF(AND($L$711=0,$P$708=0),"",$L$711-1),IF($R$17="Distrato",$E885,0))),0,YEARFRAC(MAX($P$708*($B885+IF($R$17="Distrato",$I$38-1,0)),IF(AND($L$711=0,$P$708=0),"",$L$711-1),IF($R$17="Distrato",$E885,0)),MIN(BA$38,$D$19),$P$20))-SUM($P885:AZ885)</f>
        <v>#VALUE!</v>
      </c>
      <c r="BB885" s="447"/>
    </row>
    <row r="886" spans="1:54" s="446" customFormat="1" ht="11.25" hidden="1" customHeight="1" x14ac:dyDescent="0.2">
      <c r="A886" s="235"/>
      <c r="B886" s="236"/>
      <c r="C886" s="29" t="str">
        <f>IF(B886="","",IF($L$709=$BL$25,VLOOKUP(DATE(YEAR($D$19),MONTH($D$19)-1,1),ÍNDICES!$A:$DE,HLOOKUP($BL$25,ÍNDICES!$B$3:$T$4,2)+11)-VLOOKUP(B886,ÍNDICES!$A:$DE,HLOOKUP($BL$25,ÍNDICES!$B$3:$T$4,2)+11)+1%,IF(C$712=$W$26,$J$35,IF(ISERROR(IF(B886&gt;$D$19,1,VLOOKUP(DATE(YEAR(B886),MONTH(B886)+IF($C$709=$S$23,1,0),1),ÍNDICES!$A:$DE,$Z$709+1))),"",IF(B886&gt;$D$19,1,VLOOKUP(DATE(YEAR(B886),MONTH(B886)+IF($C$709=$S$23,1,0),1),ÍNDICES!$A:$DE,$Z$709+1))))))</f>
        <v/>
      </c>
      <c r="D886" s="155"/>
      <c r="E886" s="88"/>
      <c r="F886" s="88"/>
      <c r="G886" s="88"/>
      <c r="H886" s="118"/>
      <c r="I886" s="182">
        <f t="shared" si="129"/>
        <v>0</v>
      </c>
      <c r="J886" s="20">
        <f t="shared" ca="1" si="130"/>
        <v>0</v>
      </c>
      <c r="K886" s="5">
        <f t="shared" ca="1" si="131"/>
        <v>0</v>
      </c>
      <c r="L886" s="61">
        <f t="shared" ca="1" si="132"/>
        <v>0</v>
      </c>
      <c r="M886" s="64">
        <f t="shared" si="133"/>
        <v>0</v>
      </c>
      <c r="N886" s="151"/>
      <c r="O886" s="5">
        <f t="shared" ca="1" si="134"/>
        <v>0</v>
      </c>
      <c r="P886" s="446" t="e">
        <f t="shared" si="135"/>
        <v>#VALUE!</v>
      </c>
      <c r="Q886" s="446" t="e">
        <f>IF(OR($B886="",MIN(Q$38,$D$19)&lt;MAX($P$708*($B886+IF($R$17="Distrato",$I$38-1,0)),IF(AND($L$711=0,$P$708=0),"",$L$711-1),IF($R$17="Distrato",$E886,0))),0,YEARFRAC(MAX($P$708*($B886+IF($R$17="Distrato",$I$38-1,0)),IF(AND($L$711=0,$P$708=0),"",$L$711-1),IF($R$17="Distrato",$E886,0)),MIN(Q$38,$D$19),$P$20))-SUM($P886:P886)</f>
        <v>#VALUE!</v>
      </c>
      <c r="R886" s="446" t="e">
        <f>IF(OR($B886="",MIN(R$38,$D$19)&lt;MAX($P$708*($B886+IF($R$17="Distrato",$I$38-1,0)),IF(AND($L$711=0,$P$708=0),"",$L$711-1),IF($R$17="Distrato",$E886,0))),0,YEARFRAC(MAX($P$708*($B886+IF($R$17="Distrato",$I$38-1,0)),IF(AND($L$711=0,$P$708=0),"",$L$711-1),IF($R$17="Distrato",$E886,0)),MIN(R$38,$D$19),$P$20))-SUM($P886:Q886)</f>
        <v>#VALUE!</v>
      </c>
      <c r="S886" s="446" t="e">
        <f>IF(OR($B886="",MIN(S$38,$D$19)&lt;MAX($P$708*($B886+IF($R$17="Distrato",$I$38-1,0)),IF(AND($L$711=0,$P$708=0),"",$L$711-1),IF($R$17="Distrato",$E886,0))),0,YEARFRAC(MAX($P$708*($B886+IF($R$17="Distrato",$I$38-1,0)),IF(AND($L$711=0,$P$708=0),"",$L$711-1),IF($R$17="Distrato",$E886,0)),MIN(S$38,$D$19),$P$20))-SUM($P886:R886)</f>
        <v>#VALUE!</v>
      </c>
      <c r="T886" s="446" t="e">
        <f>IF(OR($B886="",MIN(T$38,$D$19)&lt;MAX($P$708*($B886+IF($R$17="Distrato",$I$38-1,0)),IF(AND($L$711=0,$P$708=0),"",$L$711-1),IF($R$17="Distrato",$E886,0))),0,YEARFRAC(MAX($P$708*($B886+IF($R$17="Distrato",$I$38-1,0)),IF(AND($L$711=0,$P$708=0),"",$L$711-1),IF($R$17="Distrato",$E886,0)),MIN(T$38,$D$19),$P$20))-SUM($P886:S886)</f>
        <v>#VALUE!</v>
      </c>
      <c r="U886" s="446" t="e">
        <f>IF(OR($B886="",MIN(U$38,$D$19)&lt;MAX($P$708*($B886+IF($R$17="Distrato",$I$38-1,0)),IF(AND($L$711=0,$P$708=0),"",$L$711-1),IF($R$17="Distrato",$E886,0))),0,YEARFRAC(MAX($P$708*($B886+IF($R$17="Distrato",$I$38-1,0)),IF(AND($L$711=0,$P$708=0),"",$L$711-1),IF($R$17="Distrato",$E886,0)),MIN(U$38,$D$19),$P$20))-SUM($P886:T886)</f>
        <v>#VALUE!</v>
      </c>
      <c r="V886" s="446" t="e">
        <f>IF(OR($B886="",MIN(V$38,$D$19)&lt;MAX($P$708*($B886+IF($R$17="Distrato",$I$38-1,0)),IF(AND($L$711=0,$P$708=0),"",$L$711-1),IF($R$17="Distrato",$E886,0))),0,YEARFRAC(MAX($P$708*($B886+IF($R$17="Distrato",$I$38-1,0)),IF(AND($L$711=0,$P$708=0),"",$L$711-1),IF($R$17="Distrato",$E886,0)),MIN(V$38,$D$19),$P$20))-SUM($P886:U886)</f>
        <v>#VALUE!</v>
      </c>
      <c r="W886" s="446" t="e">
        <f>IF(OR($B886="",MIN(W$38,$D$19)&lt;MAX($P$708*($B886+IF($R$17="Distrato",$I$38-1,0)),IF(AND($L$711=0,$P$708=0),"",$L$711-1),IF($R$17="Distrato",$E886,0))),0,YEARFRAC(MAX($P$708*($B886+IF($R$17="Distrato",$I$38-1,0)),IF(AND($L$711=0,$P$708=0),"",$L$711-1),IF($R$17="Distrato",$E886,0)),MIN(W$38,$D$19),$P$20))-SUM($P886:V886)</f>
        <v>#VALUE!</v>
      </c>
      <c r="X886" s="446" t="e">
        <f>IF(OR($B886="",MIN(X$38,$D$19)&lt;MAX($P$708*($B886+IF($R$17="Distrato",$I$38-1,0)),IF(AND($L$711=0,$P$708=0),"",$L$711-1),IF($R$17="Distrato",$E886,0))),0,YEARFRAC(MAX($P$708*($B886+IF($R$17="Distrato",$I$38-1,0)),IF(AND($L$711=0,$P$708=0),"",$L$711-1),IF($R$17="Distrato",$E886,0)),MIN(X$38,$D$19),$P$20))-SUM($P886:W886)</f>
        <v>#VALUE!</v>
      </c>
      <c r="Y886" s="446" t="e">
        <f>IF(OR($B886="",MIN(Y$38,$D$19)&lt;MAX($P$708*($B886+IF($R$17="Distrato",$I$38-1,0)),IF(AND($L$711=0,$P$708=0),"",$L$711-1),IF($R$17="Distrato",$E886,0))),0,YEARFRAC(MAX($P$708*($B886+IF($R$17="Distrato",$I$38-1,0)),IF(AND($L$711=0,$P$708=0),"",$L$711-1),IF($R$17="Distrato",$E886,0)),MIN(Y$38,$D$19),$P$20))-SUM($P886:X886)</f>
        <v>#VALUE!</v>
      </c>
      <c r="Z886" s="446" t="e">
        <f>IF(OR($B886="",MIN(Z$38,$D$19)&lt;MAX($P$708*($B886+IF($R$17="Distrato",$I$38-1,0)),IF(AND($L$711=0,$P$708=0),"",$L$711-1),IF($R$17="Distrato",$E886,0))),0,YEARFRAC(MAX($P$708*($B886+IF($R$17="Distrato",$I$38-1,0)),IF(AND($L$711=0,$P$708=0),"",$L$711-1),IF($R$17="Distrato",$E886,0)),MIN(Z$38,$D$19),$P$20))-SUM($P886:Y886)</f>
        <v>#VALUE!</v>
      </c>
      <c r="AA886" s="446" t="e">
        <f>IF(OR($B886="",MIN(AA$38,$D$19)&lt;MAX($P$708*($B886+IF($R$17="Distrato",$I$38-1,0)),IF(AND($L$711=0,$P$708=0),"",$L$711-1),IF($R$17="Distrato",$E886,0))),0,YEARFRAC(MAX($P$708*($B886+IF($R$17="Distrato",$I$38-1,0)),IF(AND($L$711=0,$P$708=0),"",$L$711-1),IF($R$17="Distrato",$E886,0)),MIN(AA$38,$D$19),$P$20))-SUM($P886:Z886)</f>
        <v>#VALUE!</v>
      </c>
      <c r="AB886" s="446" t="e">
        <f>IF(OR($B886="",MIN(AB$38,$D$19)&lt;MAX($P$708*($B886+IF($R$17="Distrato",$I$38-1,0)),IF(AND($L$711=0,$P$708=0),"",$L$711-1),IF($R$17="Distrato",$E886,0))),0,YEARFRAC(MAX($P$708*($B886+IF($R$17="Distrato",$I$38-1,0)),IF(AND($L$711=0,$P$708=0),"",$L$711-1),IF($R$17="Distrato",$E886,0)),MIN(AB$38,$D$19),$P$20))-SUM($P886:AA886)</f>
        <v>#VALUE!</v>
      </c>
      <c r="AC886" s="446" t="e">
        <f>IF(OR($B886="",MIN(AC$38,$D$19)&lt;MAX($P$708*($B886+IF($R$17="Distrato",$I$38-1,0)),IF(AND($L$711=0,$P$708=0),"",$L$711-1),IF($R$17="Distrato",$E886,0))),0,YEARFRAC(MAX($P$708*($B886+IF($R$17="Distrato",$I$38-1,0)),IF(AND($L$711=0,$P$708=0),"",$L$711-1),IF($R$17="Distrato",$E886,0)),MIN(AC$38,$D$19),$P$20))-SUM($P886:AB886)</f>
        <v>#VALUE!</v>
      </c>
      <c r="AD886" s="446" t="e">
        <f>IF(OR($B886="",MIN(AD$38,$D$19)&lt;MAX($P$708*($B886+IF($R$17="Distrato",$I$38-1,0)),IF(AND($L$711=0,$P$708=0),"",$L$711-1),IF($R$17="Distrato",$E886,0))),0,YEARFRAC(MAX($P$708*($B886+IF($R$17="Distrato",$I$38-1,0)),IF(AND($L$711=0,$P$708=0),"",$L$711-1),IF($R$17="Distrato",$E886,0)),MIN(AD$38,$D$19),$P$20))-SUM($P886:AC886)</f>
        <v>#VALUE!</v>
      </c>
      <c r="AE886" s="446" t="e">
        <f>IF(OR($B886="",MIN(AE$38,$D$19)&lt;MAX($P$708*($B886+IF($R$17="Distrato",$I$38-1,0)),IF(AND($L$711=0,$P$708=0),"",$L$711-1),IF($R$17="Distrato",$E886,0))),0,YEARFRAC(MAX($P$708*($B886+IF($R$17="Distrato",$I$38-1,0)),IF(AND($L$711=0,$P$708=0),"",$L$711-1),IF($R$17="Distrato",$E886,0)),MIN(AE$38,$D$19),$P$20))-SUM($P886:AD886)</f>
        <v>#VALUE!</v>
      </c>
      <c r="AF886" s="446" t="e">
        <f>IF(OR($B886="",MIN(AF$38,$D$19)&lt;MAX($P$708*($B886+IF($R$17="Distrato",$I$38-1,0)),IF(AND($L$711=0,$P$708=0),"",$L$711-1),IF($R$17="Distrato",$E886,0))),0,YEARFRAC(MAX($P$708*($B886+IF($R$17="Distrato",$I$38-1,0)),IF(AND($L$711=0,$P$708=0),"",$L$711-1),IF($R$17="Distrato",$E886,0)),MIN(AF$38,$D$19),$P$20))-SUM($P886:AE886)</f>
        <v>#VALUE!</v>
      </c>
      <c r="AG886" s="446" t="e">
        <f>IF(OR($B886="",MIN(AG$38,$D$19)&lt;MAX($P$708*($B886+IF($R$17="Distrato",$I$38-1,0)),IF(AND($L$711=0,$P$708=0),"",$L$711-1),IF($R$17="Distrato",$E886,0))),0,YEARFRAC(MAX($P$708*($B886+IF($R$17="Distrato",$I$38-1,0)),IF(AND($L$711=0,$P$708=0),"",$L$711-1),IF($R$17="Distrato",$E886,0)),MIN(AG$38,$D$19),$P$20))-SUM($P886:AF886)</f>
        <v>#VALUE!</v>
      </c>
      <c r="AH886" s="446" t="e">
        <f>IF(OR($B886="",MIN(AH$38,$D$19)&lt;MAX($P$708*($B886+IF($R$17="Distrato",$I$38-1,0)),IF(AND($L$711=0,$P$708=0),"",$L$711-1),IF($R$17="Distrato",$E886,0))),0,YEARFRAC(MAX($P$708*($B886+IF($R$17="Distrato",$I$38-1,0)),IF(AND($L$711=0,$P$708=0),"",$L$711-1),IF($R$17="Distrato",$E886,0)),MIN(AH$38,$D$19),$P$20))-SUM($P886:AG886)</f>
        <v>#VALUE!</v>
      </c>
      <c r="AI886" s="446" t="e">
        <f>IF(OR($B886="",MIN(AI$38,$D$19)&lt;MAX($P$708*($B886+IF($R$17="Distrato",$I$38-1,0)),IF(AND($L$711=0,$P$708=0),"",$L$711-1),IF($R$17="Distrato",$E886,0))),0,YEARFRAC(MAX($P$708*($B886+IF($R$17="Distrato",$I$38-1,0)),IF(AND($L$711=0,$P$708=0),"",$L$711-1),IF($R$17="Distrato",$E886,0)),MIN(AI$38,$D$19),$P$20))-SUM($P886:AH886)</f>
        <v>#VALUE!</v>
      </c>
      <c r="AJ886" s="446" t="e">
        <f>IF(OR($B886="",MIN(AJ$38,$D$19)&lt;MAX($P$708*($B886+IF($R$17="Distrato",$I$38-1,0)),IF(AND($L$711=0,$P$708=0),"",$L$711-1),IF($R$17="Distrato",$E886,0))),0,YEARFRAC(MAX($P$708*($B886+IF($R$17="Distrato",$I$38-1,0)),IF(AND($L$711=0,$P$708=0),"",$L$711-1),IF($R$17="Distrato",$E886,0)),MIN(AJ$38,$D$19),$P$20))-SUM($P886:AI886)</f>
        <v>#VALUE!</v>
      </c>
      <c r="AK886" s="446" t="e">
        <f>IF(OR($B886="",MIN(AK$38,$D$19)&lt;MAX($P$708*($B886+IF($R$17="Distrato",$I$38-1,0)),IF(AND($L$711=0,$P$708=0),"",$L$711-1),IF($R$17="Distrato",$E886,0))),0,YEARFRAC(MAX($P$708*($B886+IF($R$17="Distrato",$I$38-1,0)),IF(AND($L$711=0,$P$708=0),"",$L$711-1),IF($R$17="Distrato",$E886,0)),MIN(AK$38,$D$19),$P$20))-SUM($P886:AJ886)</f>
        <v>#VALUE!</v>
      </c>
      <c r="AL886" s="446" t="e">
        <f>IF(OR($B886="",MIN(AL$38,$D$19)&lt;MAX($P$708*($B886+IF($R$17="Distrato",$I$38-1,0)),IF(AND($L$711=0,$P$708=0),"",$L$711-1),IF($R$17="Distrato",$E886,0))),0,YEARFRAC(MAX($P$708*($B886+IF($R$17="Distrato",$I$38-1,0)),IF(AND($L$711=0,$P$708=0),"",$L$711-1),IF($R$17="Distrato",$E886,0)),MIN(AL$38,$D$19),$P$20))-SUM($P886:AK886)</f>
        <v>#VALUE!</v>
      </c>
      <c r="AM886" s="446" t="e">
        <f>IF(OR($B886="",MIN(AM$38,$D$19)&lt;MAX($P$708*($B886+IF($R$17="Distrato",$I$38-1,0)),IF(AND($L$711=0,$P$708=0),"",$L$711-1),IF($R$17="Distrato",$E886,0))),0,YEARFRAC(MAX($P$708*($B886+IF($R$17="Distrato",$I$38-1,0)),IF(AND($L$711=0,$P$708=0),"",$L$711-1),IF($R$17="Distrato",$E886,0)),MIN(AM$38,$D$19),$P$20))-SUM($P886:AL886)</f>
        <v>#VALUE!</v>
      </c>
      <c r="AN886" s="446" t="e">
        <f>IF(OR($B886="",MIN(AN$38,$D$19)&lt;MAX($P$708*($B886+IF($R$17="Distrato",$I$38-1,0)),IF(AND($L$711=0,$P$708=0),"",$L$711-1),IF($R$17="Distrato",$E886,0))),0,YEARFRAC(MAX($P$708*($B886+IF($R$17="Distrato",$I$38-1,0)),IF(AND($L$711=0,$P$708=0),"",$L$711-1),IF($R$17="Distrato",$E886,0)),MIN(AN$38,$D$19),$P$20))-SUM($P886:AM886)</f>
        <v>#VALUE!</v>
      </c>
      <c r="AO886" s="446" t="e">
        <f>IF(OR($B886="",MIN(AO$38,$D$19)&lt;MAX($P$708*($B886+IF($R$17="Distrato",$I$38-1,0)),IF(AND($L$711=0,$P$708=0),"",$L$711-1),IF($R$17="Distrato",$E886,0))),0,YEARFRAC(MAX($P$708*($B886+IF($R$17="Distrato",$I$38-1,0)),IF(AND($L$711=0,$P$708=0),"",$L$711-1),IF($R$17="Distrato",$E886,0)),MIN(AO$38,$D$19),$P$20))-SUM($P886:AN886)</f>
        <v>#VALUE!</v>
      </c>
      <c r="AP886" s="446" t="e">
        <f>IF(OR($B886="",MIN(AP$38,$D$19)&lt;MAX($P$708*($B886+IF($R$17="Distrato",$I$38-1,0)),IF(AND($L$711=0,$P$708=0),"",$L$711-1),IF($R$17="Distrato",$E886,0))),0,YEARFRAC(MAX($P$708*($B886+IF($R$17="Distrato",$I$38-1,0)),IF(AND($L$711=0,$P$708=0),"",$L$711-1),IF($R$17="Distrato",$E886,0)),MIN(AP$38,$D$19),$P$20))-SUM($P886:AO886)</f>
        <v>#VALUE!</v>
      </c>
      <c r="AQ886" s="446" t="e">
        <f>IF(OR($B886="",MIN(AQ$38,$D$19)&lt;MAX($P$708*($B886+IF($R$17="Distrato",$I$38-1,0)),IF(AND($L$711=0,$P$708=0),"",$L$711-1),IF($R$17="Distrato",$E886,0))),0,YEARFRAC(MAX($P$708*($B886+IF($R$17="Distrato",$I$38-1,0)),IF(AND($L$711=0,$P$708=0),"",$L$711-1),IF($R$17="Distrato",$E886,0)),MIN(AQ$38,$D$19),$P$20))-SUM($P886:AP886)</f>
        <v>#VALUE!</v>
      </c>
      <c r="AR886" s="446" t="e">
        <f>IF(OR($B886="",MIN(AR$38,$D$19)&lt;MAX($P$708*($B886+IF($R$17="Distrato",$I$38-1,0)),IF(AND($L$711=0,$P$708=0),"",$L$711-1),IF($R$17="Distrato",$E886,0))),0,YEARFRAC(MAX($P$708*($B886+IF($R$17="Distrato",$I$38-1,0)),IF(AND($L$711=0,$P$708=0),"",$L$711-1),IF($R$17="Distrato",$E886,0)),MIN(AR$38,$D$19),$P$20))-SUM($P886:AQ886)</f>
        <v>#VALUE!</v>
      </c>
      <c r="AS886" s="446" t="e">
        <f>IF(OR($B886="",MIN(AS$38,$D$19)&lt;MAX($P$708*($B886+IF($R$17="Distrato",$I$38-1,0)),IF(AND($L$711=0,$P$708=0),"",$L$711-1),IF($R$17="Distrato",$E886,0))),0,YEARFRAC(MAX($P$708*($B886+IF($R$17="Distrato",$I$38-1,0)),IF(AND($L$711=0,$P$708=0),"",$L$711-1),IF($R$17="Distrato",$E886,0)),MIN(AS$38,$D$19),$P$20))-SUM($P886:AR886)</f>
        <v>#VALUE!</v>
      </c>
      <c r="AT886" s="446" t="e">
        <f>IF(OR($B886="",MIN(AT$38,$D$19)&lt;MAX($P$708*($B886+IF($R$17="Distrato",$I$38-1,0)),IF(AND($L$711=0,$P$708=0),"",$L$711-1),IF($R$17="Distrato",$E886,0))),0,YEARFRAC(MAX($P$708*($B886+IF($R$17="Distrato",$I$38-1,0)),IF(AND($L$711=0,$P$708=0),"",$L$711-1),IF($R$17="Distrato",$E886,0)),MIN(AT$38,$D$19),$P$20))-SUM($P886:AS886)</f>
        <v>#VALUE!</v>
      </c>
      <c r="AU886" s="446" t="e">
        <f>IF(OR($B886="",MIN(AU$38,$D$19)&lt;MAX($P$708*($B886+IF($R$17="Distrato",$I$38-1,0)),IF(AND($L$711=0,$P$708=0),"",$L$711-1),IF($R$17="Distrato",$E886,0))),0,YEARFRAC(MAX($P$708*($B886+IF($R$17="Distrato",$I$38-1,0)),IF(AND($L$711=0,$P$708=0),"",$L$711-1),IF($R$17="Distrato",$E886,0)),MIN(AU$38,$D$19),$P$20))-SUM($P886:AT886)</f>
        <v>#VALUE!</v>
      </c>
      <c r="AV886" s="446" t="e">
        <f>IF(OR($B886="",MIN(AV$38,$D$19)&lt;MAX($P$708*($B886+IF($R$17="Distrato",$I$38-1,0)),IF(AND($L$711=0,$P$708=0),"",$L$711-1),IF($R$17="Distrato",$E886,0))),0,YEARFRAC(MAX($P$708*($B886+IF($R$17="Distrato",$I$38-1,0)),IF(AND($L$711=0,$P$708=0),"",$L$711-1),IF($R$17="Distrato",$E886,0)),MIN(AV$38,$D$19),$P$20))-SUM($P886:AU886)</f>
        <v>#VALUE!</v>
      </c>
      <c r="AW886" s="446" t="e">
        <f>IF(OR($B886="",MIN(AW$38,$D$19)&lt;MAX($P$708*($B886+IF($R$17="Distrato",$I$38-1,0)),IF(AND($L$711=0,$P$708=0),"",$L$711-1),IF($R$17="Distrato",$E886,0))),0,YEARFRAC(MAX($P$708*($B886+IF($R$17="Distrato",$I$38-1,0)),IF(AND($L$711=0,$P$708=0),"",$L$711-1),IF($R$17="Distrato",$E886,0)),MIN(AW$38,$D$19),$P$20))-SUM($P886:AV886)</f>
        <v>#VALUE!</v>
      </c>
      <c r="AX886" s="446" t="e">
        <f>IF(OR($B886="",MIN(AX$38,$D$19)&lt;MAX($P$708*($B886+IF($R$17="Distrato",$I$38-1,0)),IF(AND($L$711=0,$P$708=0),"",$L$711-1),IF($R$17="Distrato",$E886,0))),0,YEARFRAC(MAX($P$708*($B886+IF($R$17="Distrato",$I$38-1,0)),IF(AND($L$711=0,$P$708=0),"",$L$711-1),IF($R$17="Distrato",$E886,0)),MIN(AX$38,$D$19),$P$20))-SUM($P886:AW886)</f>
        <v>#VALUE!</v>
      </c>
      <c r="AY886" s="446" t="e">
        <f>IF(OR($B886="",MIN(AY$38,$D$19)&lt;MAX($P$708*($B886+IF($R$17="Distrato",$I$38-1,0)),IF(AND($L$711=0,$P$708=0),"",$L$711-1),IF($R$17="Distrato",$E886,0))),0,YEARFRAC(MAX($P$708*($B886+IF($R$17="Distrato",$I$38-1,0)),IF(AND($L$711=0,$P$708=0),"",$L$711-1),IF($R$17="Distrato",$E886,0)),MIN(AY$38,$D$19),$P$20))-SUM($P886:AX886)</f>
        <v>#VALUE!</v>
      </c>
      <c r="AZ886" s="446" t="e">
        <f>IF(OR($B886="",MIN(AZ$38,$D$19)&lt;MAX($P$708*($B886+IF($R$17="Distrato",$I$38-1,0)),IF(AND($L$711=0,$P$708=0),"",$L$711-1),IF($R$17="Distrato",$E886,0))),0,YEARFRAC(MAX($P$708*($B886+IF($R$17="Distrato",$I$38-1,0)),IF(AND($L$711=0,$P$708=0),"",$L$711-1),IF($R$17="Distrato",$E886,0)),MIN(AZ$38,$D$19),$P$20))-SUM($P886:AY886)</f>
        <v>#VALUE!</v>
      </c>
      <c r="BA886" s="446" t="e">
        <f>IF(OR($B886="",MIN(BA$38,$D$19)&lt;MAX($P$708*($B886+IF($R$17="Distrato",$I$38-1,0)),IF(AND($L$711=0,$P$708=0),"",$L$711-1),IF($R$17="Distrato",$E886,0))),0,YEARFRAC(MAX($P$708*($B886+IF($R$17="Distrato",$I$38-1,0)),IF(AND($L$711=0,$P$708=0),"",$L$711-1),IF($R$17="Distrato",$E886,0)),MIN(BA$38,$D$19),$P$20))-SUM($P886:AZ886)</f>
        <v>#VALUE!</v>
      </c>
      <c r="BB886" s="447"/>
    </row>
    <row r="887" spans="1:54" s="446" customFormat="1" ht="11.25" hidden="1" customHeight="1" x14ac:dyDescent="0.2">
      <c r="A887" s="235"/>
      <c r="B887" s="236"/>
      <c r="C887" s="29" t="str">
        <f>IF(B887="","",IF($L$709=$BL$25,VLOOKUP(DATE(YEAR($D$19),MONTH($D$19)-1,1),ÍNDICES!$A:$DE,HLOOKUP($BL$25,ÍNDICES!$B$3:$T$4,2)+11)-VLOOKUP(B887,ÍNDICES!$A:$DE,HLOOKUP($BL$25,ÍNDICES!$B$3:$T$4,2)+11)+1%,IF(C$712=$W$26,$J$35,IF(ISERROR(IF(B887&gt;$D$19,1,VLOOKUP(DATE(YEAR(B887),MONTH(B887)+IF($C$709=$S$23,1,0),1),ÍNDICES!$A:$DE,$Z$709+1))),"",IF(B887&gt;$D$19,1,VLOOKUP(DATE(YEAR(B887),MONTH(B887)+IF($C$709=$S$23,1,0),1),ÍNDICES!$A:$DE,$Z$709+1))))))</f>
        <v/>
      </c>
      <c r="D887" s="155"/>
      <c r="E887" s="88"/>
      <c r="F887" s="88"/>
      <c r="G887" s="88"/>
      <c r="H887" s="118"/>
      <c r="I887" s="182">
        <f t="shared" si="129"/>
        <v>0</v>
      </c>
      <c r="J887" s="20">
        <f t="shared" ca="1" si="130"/>
        <v>0</v>
      </c>
      <c r="K887" s="5">
        <f t="shared" ca="1" si="131"/>
        <v>0</v>
      </c>
      <c r="L887" s="61">
        <f t="shared" ca="1" si="132"/>
        <v>0</v>
      </c>
      <c r="M887" s="64">
        <f t="shared" si="133"/>
        <v>0</v>
      </c>
      <c r="N887" s="151"/>
      <c r="O887" s="5">
        <f t="shared" ca="1" si="134"/>
        <v>0</v>
      </c>
      <c r="P887" s="446" t="e">
        <f t="shared" si="135"/>
        <v>#VALUE!</v>
      </c>
      <c r="Q887" s="446" t="e">
        <f>IF(OR($B887="",MIN(Q$38,$D$19)&lt;MAX($P$708*($B887+IF($R$17="Distrato",$I$38-1,0)),IF(AND($L$711=0,$P$708=0),"",$L$711-1),IF($R$17="Distrato",$E887,0))),0,YEARFRAC(MAX($P$708*($B887+IF($R$17="Distrato",$I$38-1,0)),IF(AND($L$711=0,$P$708=0),"",$L$711-1),IF($R$17="Distrato",$E887,0)),MIN(Q$38,$D$19),$P$20))-SUM($P887:P887)</f>
        <v>#VALUE!</v>
      </c>
      <c r="R887" s="446" t="e">
        <f>IF(OR($B887="",MIN(R$38,$D$19)&lt;MAX($P$708*($B887+IF($R$17="Distrato",$I$38-1,0)),IF(AND($L$711=0,$P$708=0),"",$L$711-1),IF($R$17="Distrato",$E887,0))),0,YEARFRAC(MAX($P$708*($B887+IF($R$17="Distrato",$I$38-1,0)),IF(AND($L$711=0,$P$708=0),"",$L$711-1),IF($R$17="Distrato",$E887,0)),MIN(R$38,$D$19),$P$20))-SUM($P887:Q887)</f>
        <v>#VALUE!</v>
      </c>
      <c r="S887" s="446" t="e">
        <f>IF(OR($B887="",MIN(S$38,$D$19)&lt;MAX($P$708*($B887+IF($R$17="Distrato",$I$38-1,0)),IF(AND($L$711=0,$P$708=0),"",$L$711-1),IF($R$17="Distrato",$E887,0))),0,YEARFRAC(MAX($P$708*($B887+IF($R$17="Distrato",$I$38-1,0)),IF(AND($L$711=0,$P$708=0),"",$L$711-1),IF($R$17="Distrato",$E887,0)),MIN(S$38,$D$19),$P$20))-SUM($P887:R887)</f>
        <v>#VALUE!</v>
      </c>
      <c r="T887" s="446" t="e">
        <f>IF(OR($B887="",MIN(T$38,$D$19)&lt;MAX($P$708*($B887+IF($R$17="Distrato",$I$38-1,0)),IF(AND($L$711=0,$P$708=0),"",$L$711-1),IF($R$17="Distrato",$E887,0))),0,YEARFRAC(MAX($P$708*($B887+IF($R$17="Distrato",$I$38-1,0)),IF(AND($L$711=0,$P$708=0),"",$L$711-1),IF($R$17="Distrato",$E887,0)),MIN(T$38,$D$19),$P$20))-SUM($P887:S887)</f>
        <v>#VALUE!</v>
      </c>
      <c r="U887" s="446" t="e">
        <f>IF(OR($B887="",MIN(U$38,$D$19)&lt;MAX($P$708*($B887+IF($R$17="Distrato",$I$38-1,0)),IF(AND($L$711=0,$P$708=0),"",$L$711-1),IF($R$17="Distrato",$E887,0))),0,YEARFRAC(MAX($P$708*($B887+IF($R$17="Distrato",$I$38-1,0)),IF(AND($L$711=0,$P$708=0),"",$L$711-1),IF($R$17="Distrato",$E887,0)),MIN(U$38,$D$19),$P$20))-SUM($P887:T887)</f>
        <v>#VALUE!</v>
      </c>
      <c r="V887" s="446" t="e">
        <f>IF(OR($B887="",MIN(V$38,$D$19)&lt;MAX($P$708*($B887+IF($R$17="Distrato",$I$38-1,0)),IF(AND($L$711=0,$P$708=0),"",$L$711-1),IF($R$17="Distrato",$E887,0))),0,YEARFRAC(MAX($P$708*($B887+IF($R$17="Distrato",$I$38-1,0)),IF(AND($L$711=0,$P$708=0),"",$L$711-1),IF($R$17="Distrato",$E887,0)),MIN(V$38,$D$19),$P$20))-SUM($P887:U887)</f>
        <v>#VALUE!</v>
      </c>
      <c r="W887" s="446" t="e">
        <f>IF(OR($B887="",MIN(W$38,$D$19)&lt;MAX($P$708*($B887+IF($R$17="Distrato",$I$38-1,0)),IF(AND($L$711=0,$P$708=0),"",$L$711-1),IF($R$17="Distrato",$E887,0))),0,YEARFRAC(MAX($P$708*($B887+IF($R$17="Distrato",$I$38-1,0)),IF(AND($L$711=0,$P$708=0),"",$L$711-1),IF($R$17="Distrato",$E887,0)),MIN(W$38,$D$19),$P$20))-SUM($P887:V887)</f>
        <v>#VALUE!</v>
      </c>
      <c r="X887" s="446" t="e">
        <f>IF(OR($B887="",MIN(X$38,$D$19)&lt;MAX($P$708*($B887+IF($R$17="Distrato",$I$38-1,0)),IF(AND($L$711=0,$P$708=0),"",$L$711-1),IF($R$17="Distrato",$E887,0))),0,YEARFRAC(MAX($P$708*($B887+IF($R$17="Distrato",$I$38-1,0)),IF(AND($L$711=0,$P$708=0),"",$L$711-1),IF($R$17="Distrato",$E887,0)),MIN(X$38,$D$19),$P$20))-SUM($P887:W887)</f>
        <v>#VALUE!</v>
      </c>
      <c r="Y887" s="446" t="e">
        <f>IF(OR($B887="",MIN(Y$38,$D$19)&lt;MAX($P$708*($B887+IF($R$17="Distrato",$I$38-1,0)),IF(AND($L$711=0,$P$708=0),"",$L$711-1),IF($R$17="Distrato",$E887,0))),0,YEARFRAC(MAX($P$708*($B887+IF($R$17="Distrato",$I$38-1,0)),IF(AND($L$711=0,$P$708=0),"",$L$711-1),IF($R$17="Distrato",$E887,0)),MIN(Y$38,$D$19),$P$20))-SUM($P887:X887)</f>
        <v>#VALUE!</v>
      </c>
      <c r="Z887" s="446" t="e">
        <f>IF(OR($B887="",MIN(Z$38,$D$19)&lt;MAX($P$708*($B887+IF($R$17="Distrato",$I$38-1,0)),IF(AND($L$711=0,$P$708=0),"",$L$711-1),IF($R$17="Distrato",$E887,0))),0,YEARFRAC(MAX($P$708*($B887+IF($R$17="Distrato",$I$38-1,0)),IF(AND($L$711=0,$P$708=0),"",$L$711-1),IF($R$17="Distrato",$E887,0)),MIN(Z$38,$D$19),$P$20))-SUM($P887:Y887)</f>
        <v>#VALUE!</v>
      </c>
      <c r="AA887" s="446" t="e">
        <f>IF(OR($B887="",MIN(AA$38,$D$19)&lt;MAX($P$708*($B887+IF($R$17="Distrato",$I$38-1,0)),IF(AND($L$711=0,$P$708=0),"",$L$711-1),IF($R$17="Distrato",$E887,0))),0,YEARFRAC(MAX($P$708*($B887+IF($R$17="Distrato",$I$38-1,0)),IF(AND($L$711=0,$P$708=0),"",$L$711-1),IF($R$17="Distrato",$E887,0)),MIN(AA$38,$D$19),$P$20))-SUM($P887:Z887)</f>
        <v>#VALUE!</v>
      </c>
      <c r="AB887" s="446" t="e">
        <f>IF(OR($B887="",MIN(AB$38,$D$19)&lt;MAX($P$708*($B887+IF($R$17="Distrato",$I$38-1,0)),IF(AND($L$711=0,$P$708=0),"",$L$711-1),IF($R$17="Distrato",$E887,0))),0,YEARFRAC(MAX($P$708*($B887+IF($R$17="Distrato",$I$38-1,0)),IF(AND($L$711=0,$P$708=0),"",$L$711-1),IF($R$17="Distrato",$E887,0)),MIN(AB$38,$D$19),$P$20))-SUM($P887:AA887)</f>
        <v>#VALUE!</v>
      </c>
      <c r="AC887" s="446" t="e">
        <f>IF(OR($B887="",MIN(AC$38,$D$19)&lt;MAX($P$708*($B887+IF($R$17="Distrato",$I$38-1,0)),IF(AND($L$711=0,$P$708=0),"",$L$711-1),IF($R$17="Distrato",$E887,0))),0,YEARFRAC(MAX($P$708*($B887+IF($R$17="Distrato",$I$38-1,0)),IF(AND($L$711=0,$P$708=0),"",$L$711-1),IF($R$17="Distrato",$E887,0)),MIN(AC$38,$D$19),$P$20))-SUM($P887:AB887)</f>
        <v>#VALUE!</v>
      </c>
      <c r="AD887" s="446" t="e">
        <f>IF(OR($B887="",MIN(AD$38,$D$19)&lt;MAX($P$708*($B887+IF($R$17="Distrato",$I$38-1,0)),IF(AND($L$711=0,$P$708=0),"",$L$711-1),IF($R$17="Distrato",$E887,0))),0,YEARFRAC(MAX($P$708*($B887+IF($R$17="Distrato",$I$38-1,0)),IF(AND($L$711=0,$P$708=0),"",$L$711-1),IF($R$17="Distrato",$E887,0)),MIN(AD$38,$D$19),$P$20))-SUM($P887:AC887)</f>
        <v>#VALUE!</v>
      </c>
      <c r="AE887" s="446" t="e">
        <f>IF(OR($B887="",MIN(AE$38,$D$19)&lt;MAX($P$708*($B887+IF($R$17="Distrato",$I$38-1,0)),IF(AND($L$711=0,$P$708=0),"",$L$711-1),IF($R$17="Distrato",$E887,0))),0,YEARFRAC(MAX($P$708*($B887+IF($R$17="Distrato",$I$38-1,0)),IF(AND($L$711=0,$P$708=0),"",$L$711-1),IF($R$17="Distrato",$E887,0)),MIN(AE$38,$D$19),$P$20))-SUM($P887:AD887)</f>
        <v>#VALUE!</v>
      </c>
      <c r="AF887" s="446" t="e">
        <f>IF(OR($B887="",MIN(AF$38,$D$19)&lt;MAX($P$708*($B887+IF($R$17="Distrato",$I$38-1,0)),IF(AND($L$711=0,$P$708=0),"",$L$711-1),IF($R$17="Distrato",$E887,0))),0,YEARFRAC(MAX($P$708*($B887+IF($R$17="Distrato",$I$38-1,0)),IF(AND($L$711=0,$P$708=0),"",$L$711-1),IF($R$17="Distrato",$E887,0)),MIN(AF$38,$D$19),$P$20))-SUM($P887:AE887)</f>
        <v>#VALUE!</v>
      </c>
      <c r="AG887" s="446" t="e">
        <f>IF(OR($B887="",MIN(AG$38,$D$19)&lt;MAX($P$708*($B887+IF($R$17="Distrato",$I$38-1,0)),IF(AND($L$711=0,$P$708=0),"",$L$711-1),IF($R$17="Distrato",$E887,0))),0,YEARFRAC(MAX($P$708*($B887+IF($R$17="Distrato",$I$38-1,0)),IF(AND($L$711=0,$P$708=0),"",$L$711-1),IF($R$17="Distrato",$E887,0)),MIN(AG$38,$D$19),$P$20))-SUM($P887:AF887)</f>
        <v>#VALUE!</v>
      </c>
      <c r="AH887" s="446" t="e">
        <f>IF(OR($B887="",MIN(AH$38,$D$19)&lt;MAX($P$708*($B887+IF($R$17="Distrato",$I$38-1,0)),IF(AND($L$711=0,$P$708=0),"",$L$711-1),IF($R$17="Distrato",$E887,0))),0,YEARFRAC(MAX($P$708*($B887+IF($R$17="Distrato",$I$38-1,0)),IF(AND($L$711=0,$P$708=0),"",$L$711-1),IF($R$17="Distrato",$E887,0)),MIN(AH$38,$D$19),$P$20))-SUM($P887:AG887)</f>
        <v>#VALUE!</v>
      </c>
      <c r="AI887" s="446" t="e">
        <f>IF(OR($B887="",MIN(AI$38,$D$19)&lt;MAX($P$708*($B887+IF($R$17="Distrato",$I$38-1,0)),IF(AND($L$711=0,$P$708=0),"",$L$711-1),IF($R$17="Distrato",$E887,0))),0,YEARFRAC(MAX($P$708*($B887+IF($R$17="Distrato",$I$38-1,0)),IF(AND($L$711=0,$P$708=0),"",$L$711-1),IF($R$17="Distrato",$E887,0)),MIN(AI$38,$D$19),$P$20))-SUM($P887:AH887)</f>
        <v>#VALUE!</v>
      </c>
      <c r="AJ887" s="446" t="e">
        <f>IF(OR($B887="",MIN(AJ$38,$D$19)&lt;MAX($P$708*($B887+IF($R$17="Distrato",$I$38-1,0)),IF(AND($L$711=0,$P$708=0),"",$L$711-1),IF($R$17="Distrato",$E887,0))),0,YEARFRAC(MAX($P$708*($B887+IF($R$17="Distrato",$I$38-1,0)),IF(AND($L$711=0,$P$708=0),"",$L$711-1),IF($R$17="Distrato",$E887,0)),MIN(AJ$38,$D$19),$P$20))-SUM($P887:AI887)</f>
        <v>#VALUE!</v>
      </c>
      <c r="AK887" s="446" t="e">
        <f>IF(OR($B887="",MIN(AK$38,$D$19)&lt;MAX($P$708*($B887+IF($R$17="Distrato",$I$38-1,0)),IF(AND($L$711=0,$P$708=0),"",$L$711-1),IF($R$17="Distrato",$E887,0))),0,YEARFRAC(MAX($P$708*($B887+IF($R$17="Distrato",$I$38-1,0)),IF(AND($L$711=0,$P$708=0),"",$L$711-1),IF($R$17="Distrato",$E887,0)),MIN(AK$38,$D$19),$P$20))-SUM($P887:AJ887)</f>
        <v>#VALUE!</v>
      </c>
      <c r="AL887" s="446" t="e">
        <f>IF(OR($B887="",MIN(AL$38,$D$19)&lt;MAX($P$708*($B887+IF($R$17="Distrato",$I$38-1,0)),IF(AND($L$711=0,$P$708=0),"",$L$711-1),IF($R$17="Distrato",$E887,0))),0,YEARFRAC(MAX($P$708*($B887+IF($R$17="Distrato",$I$38-1,0)),IF(AND($L$711=0,$P$708=0),"",$L$711-1),IF($R$17="Distrato",$E887,0)),MIN(AL$38,$D$19),$P$20))-SUM($P887:AK887)</f>
        <v>#VALUE!</v>
      </c>
      <c r="AM887" s="446" t="e">
        <f>IF(OR($B887="",MIN(AM$38,$D$19)&lt;MAX($P$708*($B887+IF($R$17="Distrato",$I$38-1,0)),IF(AND($L$711=0,$P$708=0),"",$L$711-1),IF($R$17="Distrato",$E887,0))),0,YEARFRAC(MAX($P$708*($B887+IF($R$17="Distrato",$I$38-1,0)),IF(AND($L$711=0,$P$708=0),"",$L$711-1),IF($R$17="Distrato",$E887,0)),MIN(AM$38,$D$19),$P$20))-SUM($P887:AL887)</f>
        <v>#VALUE!</v>
      </c>
      <c r="AN887" s="446" t="e">
        <f>IF(OR($B887="",MIN(AN$38,$D$19)&lt;MAX($P$708*($B887+IF($R$17="Distrato",$I$38-1,0)),IF(AND($L$711=0,$P$708=0),"",$L$711-1),IF($R$17="Distrato",$E887,0))),0,YEARFRAC(MAX($P$708*($B887+IF($R$17="Distrato",$I$38-1,0)),IF(AND($L$711=0,$P$708=0),"",$L$711-1),IF($R$17="Distrato",$E887,0)),MIN(AN$38,$D$19),$P$20))-SUM($P887:AM887)</f>
        <v>#VALUE!</v>
      </c>
      <c r="AO887" s="446" t="e">
        <f>IF(OR($B887="",MIN(AO$38,$D$19)&lt;MAX($P$708*($B887+IF($R$17="Distrato",$I$38-1,0)),IF(AND($L$711=0,$P$708=0),"",$L$711-1),IF($R$17="Distrato",$E887,0))),0,YEARFRAC(MAX($P$708*($B887+IF($R$17="Distrato",$I$38-1,0)),IF(AND($L$711=0,$P$708=0),"",$L$711-1),IF($R$17="Distrato",$E887,0)),MIN(AO$38,$D$19),$P$20))-SUM($P887:AN887)</f>
        <v>#VALUE!</v>
      </c>
      <c r="AP887" s="446" t="e">
        <f>IF(OR($B887="",MIN(AP$38,$D$19)&lt;MAX($P$708*($B887+IF($R$17="Distrato",$I$38-1,0)),IF(AND($L$711=0,$P$708=0),"",$L$711-1),IF($R$17="Distrato",$E887,0))),0,YEARFRAC(MAX($P$708*($B887+IF($R$17="Distrato",$I$38-1,0)),IF(AND($L$711=0,$P$708=0),"",$L$711-1),IF($R$17="Distrato",$E887,0)),MIN(AP$38,$D$19),$P$20))-SUM($P887:AO887)</f>
        <v>#VALUE!</v>
      </c>
      <c r="AQ887" s="446" t="e">
        <f>IF(OR($B887="",MIN(AQ$38,$D$19)&lt;MAX($P$708*($B887+IF($R$17="Distrato",$I$38-1,0)),IF(AND($L$711=0,$P$708=0),"",$L$711-1),IF($R$17="Distrato",$E887,0))),0,YEARFRAC(MAX($P$708*($B887+IF($R$17="Distrato",$I$38-1,0)),IF(AND($L$711=0,$P$708=0),"",$L$711-1),IF($R$17="Distrato",$E887,0)),MIN(AQ$38,$D$19),$P$20))-SUM($P887:AP887)</f>
        <v>#VALUE!</v>
      </c>
      <c r="AR887" s="446" t="e">
        <f>IF(OR($B887="",MIN(AR$38,$D$19)&lt;MAX($P$708*($B887+IF($R$17="Distrato",$I$38-1,0)),IF(AND($L$711=0,$P$708=0),"",$L$711-1),IF($R$17="Distrato",$E887,0))),0,YEARFRAC(MAX($P$708*($B887+IF($R$17="Distrato",$I$38-1,0)),IF(AND($L$711=0,$P$708=0),"",$L$711-1),IF($R$17="Distrato",$E887,0)),MIN(AR$38,$D$19),$P$20))-SUM($P887:AQ887)</f>
        <v>#VALUE!</v>
      </c>
      <c r="AS887" s="446" t="e">
        <f>IF(OR($B887="",MIN(AS$38,$D$19)&lt;MAX($P$708*($B887+IF($R$17="Distrato",$I$38-1,0)),IF(AND($L$711=0,$P$708=0),"",$L$711-1),IF($R$17="Distrato",$E887,0))),0,YEARFRAC(MAX($P$708*($B887+IF($R$17="Distrato",$I$38-1,0)),IF(AND($L$711=0,$P$708=0),"",$L$711-1),IF($R$17="Distrato",$E887,0)),MIN(AS$38,$D$19),$P$20))-SUM($P887:AR887)</f>
        <v>#VALUE!</v>
      </c>
      <c r="AT887" s="446" t="e">
        <f>IF(OR($B887="",MIN(AT$38,$D$19)&lt;MAX($P$708*($B887+IF($R$17="Distrato",$I$38-1,0)),IF(AND($L$711=0,$P$708=0),"",$L$711-1),IF($R$17="Distrato",$E887,0))),0,YEARFRAC(MAX($P$708*($B887+IF($R$17="Distrato",$I$38-1,0)),IF(AND($L$711=0,$P$708=0),"",$L$711-1),IF($R$17="Distrato",$E887,0)),MIN(AT$38,$D$19),$P$20))-SUM($P887:AS887)</f>
        <v>#VALUE!</v>
      </c>
      <c r="AU887" s="446" t="e">
        <f>IF(OR($B887="",MIN(AU$38,$D$19)&lt;MAX($P$708*($B887+IF($R$17="Distrato",$I$38-1,0)),IF(AND($L$711=0,$P$708=0),"",$L$711-1),IF($R$17="Distrato",$E887,0))),0,YEARFRAC(MAX($P$708*($B887+IF($R$17="Distrato",$I$38-1,0)),IF(AND($L$711=0,$P$708=0),"",$L$711-1),IF($R$17="Distrato",$E887,0)),MIN(AU$38,$D$19),$P$20))-SUM($P887:AT887)</f>
        <v>#VALUE!</v>
      </c>
      <c r="AV887" s="446" t="e">
        <f>IF(OR($B887="",MIN(AV$38,$D$19)&lt;MAX($P$708*($B887+IF($R$17="Distrato",$I$38-1,0)),IF(AND($L$711=0,$P$708=0),"",$L$711-1),IF($R$17="Distrato",$E887,0))),0,YEARFRAC(MAX($P$708*($B887+IF($R$17="Distrato",$I$38-1,0)),IF(AND($L$711=0,$P$708=0),"",$L$711-1),IF($R$17="Distrato",$E887,0)),MIN(AV$38,$D$19),$P$20))-SUM($P887:AU887)</f>
        <v>#VALUE!</v>
      </c>
      <c r="AW887" s="446" t="e">
        <f>IF(OR($B887="",MIN(AW$38,$D$19)&lt;MAX($P$708*($B887+IF($R$17="Distrato",$I$38-1,0)),IF(AND($L$711=0,$P$708=0),"",$L$711-1),IF($R$17="Distrato",$E887,0))),0,YEARFRAC(MAX($P$708*($B887+IF($R$17="Distrato",$I$38-1,0)),IF(AND($L$711=0,$P$708=0),"",$L$711-1),IF($R$17="Distrato",$E887,0)),MIN(AW$38,$D$19),$P$20))-SUM($P887:AV887)</f>
        <v>#VALUE!</v>
      </c>
      <c r="AX887" s="446" t="e">
        <f>IF(OR($B887="",MIN(AX$38,$D$19)&lt;MAX($P$708*($B887+IF($R$17="Distrato",$I$38-1,0)),IF(AND($L$711=0,$P$708=0),"",$L$711-1),IF($R$17="Distrato",$E887,0))),0,YEARFRAC(MAX($P$708*($B887+IF($R$17="Distrato",$I$38-1,0)),IF(AND($L$711=0,$P$708=0),"",$L$711-1),IF($R$17="Distrato",$E887,0)),MIN(AX$38,$D$19),$P$20))-SUM($P887:AW887)</f>
        <v>#VALUE!</v>
      </c>
      <c r="AY887" s="446" t="e">
        <f>IF(OR($B887="",MIN(AY$38,$D$19)&lt;MAX($P$708*($B887+IF($R$17="Distrato",$I$38-1,0)),IF(AND($L$711=0,$P$708=0),"",$L$711-1),IF($R$17="Distrato",$E887,0))),0,YEARFRAC(MAX($P$708*($B887+IF($R$17="Distrato",$I$38-1,0)),IF(AND($L$711=0,$P$708=0),"",$L$711-1),IF($R$17="Distrato",$E887,0)),MIN(AY$38,$D$19),$P$20))-SUM($P887:AX887)</f>
        <v>#VALUE!</v>
      </c>
      <c r="AZ887" s="446" t="e">
        <f>IF(OR($B887="",MIN(AZ$38,$D$19)&lt;MAX($P$708*($B887+IF($R$17="Distrato",$I$38-1,0)),IF(AND($L$711=0,$P$708=0),"",$L$711-1),IF($R$17="Distrato",$E887,0))),0,YEARFRAC(MAX($P$708*($B887+IF($R$17="Distrato",$I$38-1,0)),IF(AND($L$711=0,$P$708=0),"",$L$711-1),IF($R$17="Distrato",$E887,0)),MIN(AZ$38,$D$19),$P$20))-SUM($P887:AY887)</f>
        <v>#VALUE!</v>
      </c>
      <c r="BA887" s="446" t="e">
        <f>IF(OR($B887="",MIN(BA$38,$D$19)&lt;MAX($P$708*($B887+IF($R$17="Distrato",$I$38-1,0)),IF(AND($L$711=0,$P$708=0),"",$L$711-1),IF($R$17="Distrato",$E887,0))),0,YEARFRAC(MAX($P$708*($B887+IF($R$17="Distrato",$I$38-1,0)),IF(AND($L$711=0,$P$708=0),"",$L$711-1),IF($R$17="Distrato",$E887,0)),MIN(BA$38,$D$19),$P$20))-SUM($P887:AZ887)</f>
        <v>#VALUE!</v>
      </c>
      <c r="BB887" s="447"/>
    </row>
    <row r="888" spans="1:54" s="446" customFormat="1" ht="11.25" hidden="1" customHeight="1" x14ac:dyDescent="0.2">
      <c r="A888" s="235"/>
      <c r="B888" s="236"/>
      <c r="C888" s="29" t="str">
        <f>IF(B888="","",IF($L$709=$BL$25,VLOOKUP(DATE(YEAR($D$19),MONTH($D$19)-1,1),ÍNDICES!$A:$DE,HLOOKUP($BL$25,ÍNDICES!$B$3:$T$4,2)+11)-VLOOKUP(B888,ÍNDICES!$A:$DE,HLOOKUP($BL$25,ÍNDICES!$B$3:$T$4,2)+11)+1%,IF(C$712=$W$26,$J$35,IF(ISERROR(IF(B888&gt;$D$19,1,VLOOKUP(DATE(YEAR(B888),MONTH(B888)+IF($C$709=$S$23,1,0),1),ÍNDICES!$A:$DE,$Z$709+1))),"",IF(B888&gt;$D$19,1,VLOOKUP(DATE(YEAR(B888),MONTH(B888)+IF($C$709=$S$23,1,0),1),ÍNDICES!$A:$DE,$Z$709+1))))))</f>
        <v/>
      </c>
      <c r="D888" s="155"/>
      <c r="E888" s="88"/>
      <c r="F888" s="88"/>
      <c r="G888" s="88"/>
      <c r="H888" s="118"/>
      <c r="I888" s="182">
        <f t="shared" si="129"/>
        <v>0</v>
      </c>
      <c r="J888" s="20">
        <f t="shared" ca="1" si="130"/>
        <v>0</v>
      </c>
      <c r="K888" s="5">
        <f t="shared" ca="1" si="131"/>
        <v>0</v>
      </c>
      <c r="L888" s="61">
        <f t="shared" ca="1" si="132"/>
        <v>0</v>
      </c>
      <c r="M888" s="64">
        <f t="shared" si="133"/>
        <v>0</v>
      </c>
      <c r="N888" s="151"/>
      <c r="O888" s="5">
        <f t="shared" ca="1" si="134"/>
        <v>0</v>
      </c>
      <c r="P888" s="446" t="e">
        <f t="shared" si="135"/>
        <v>#VALUE!</v>
      </c>
      <c r="Q888" s="446" t="e">
        <f>IF(OR($B888="",MIN(Q$38,$D$19)&lt;MAX($P$708*($B888+IF($R$17="Distrato",$I$38-1,0)),IF(AND($L$711=0,$P$708=0),"",$L$711-1),IF($R$17="Distrato",$E888,0))),0,YEARFRAC(MAX($P$708*($B888+IF($R$17="Distrato",$I$38-1,0)),IF(AND($L$711=0,$P$708=0),"",$L$711-1),IF($R$17="Distrato",$E888,0)),MIN(Q$38,$D$19),$P$20))-SUM($P888:P888)</f>
        <v>#VALUE!</v>
      </c>
      <c r="R888" s="446" t="e">
        <f>IF(OR($B888="",MIN(R$38,$D$19)&lt;MAX($P$708*($B888+IF($R$17="Distrato",$I$38-1,0)),IF(AND($L$711=0,$P$708=0),"",$L$711-1),IF($R$17="Distrato",$E888,0))),0,YEARFRAC(MAX($P$708*($B888+IF($R$17="Distrato",$I$38-1,0)),IF(AND($L$711=0,$P$708=0),"",$L$711-1),IF($R$17="Distrato",$E888,0)),MIN(R$38,$D$19),$P$20))-SUM($P888:Q888)</f>
        <v>#VALUE!</v>
      </c>
      <c r="S888" s="446" t="e">
        <f>IF(OR($B888="",MIN(S$38,$D$19)&lt;MAX($P$708*($B888+IF($R$17="Distrato",$I$38-1,0)),IF(AND($L$711=0,$P$708=0),"",$L$711-1),IF($R$17="Distrato",$E888,0))),0,YEARFRAC(MAX($P$708*($B888+IF($R$17="Distrato",$I$38-1,0)),IF(AND($L$711=0,$P$708=0),"",$L$711-1),IF($R$17="Distrato",$E888,0)),MIN(S$38,$D$19),$P$20))-SUM($P888:R888)</f>
        <v>#VALUE!</v>
      </c>
      <c r="T888" s="446" t="e">
        <f>IF(OR($B888="",MIN(T$38,$D$19)&lt;MAX($P$708*($B888+IF($R$17="Distrato",$I$38-1,0)),IF(AND($L$711=0,$P$708=0),"",$L$711-1),IF($R$17="Distrato",$E888,0))),0,YEARFRAC(MAX($P$708*($B888+IF($R$17="Distrato",$I$38-1,0)),IF(AND($L$711=0,$P$708=0),"",$L$711-1),IF($R$17="Distrato",$E888,0)),MIN(T$38,$D$19),$P$20))-SUM($P888:S888)</f>
        <v>#VALUE!</v>
      </c>
      <c r="U888" s="446" t="e">
        <f>IF(OR($B888="",MIN(U$38,$D$19)&lt;MAX($P$708*($B888+IF($R$17="Distrato",$I$38-1,0)),IF(AND($L$711=0,$P$708=0),"",$L$711-1),IF($R$17="Distrato",$E888,0))),0,YEARFRAC(MAX($P$708*($B888+IF($R$17="Distrato",$I$38-1,0)),IF(AND($L$711=0,$P$708=0),"",$L$711-1),IF($R$17="Distrato",$E888,0)),MIN(U$38,$D$19),$P$20))-SUM($P888:T888)</f>
        <v>#VALUE!</v>
      </c>
      <c r="V888" s="446" t="e">
        <f>IF(OR($B888="",MIN(V$38,$D$19)&lt;MAX($P$708*($B888+IF($R$17="Distrato",$I$38-1,0)),IF(AND($L$711=0,$P$708=0),"",$L$711-1),IF($R$17="Distrato",$E888,0))),0,YEARFRAC(MAX($P$708*($B888+IF($R$17="Distrato",$I$38-1,0)),IF(AND($L$711=0,$P$708=0),"",$L$711-1),IF($R$17="Distrato",$E888,0)),MIN(V$38,$D$19),$P$20))-SUM($P888:U888)</f>
        <v>#VALUE!</v>
      </c>
      <c r="W888" s="446" t="e">
        <f>IF(OR($B888="",MIN(W$38,$D$19)&lt;MAX($P$708*($B888+IF($R$17="Distrato",$I$38-1,0)),IF(AND($L$711=0,$P$708=0),"",$L$711-1),IF($R$17="Distrato",$E888,0))),0,YEARFRAC(MAX($P$708*($B888+IF($R$17="Distrato",$I$38-1,0)),IF(AND($L$711=0,$P$708=0),"",$L$711-1),IF($R$17="Distrato",$E888,0)),MIN(W$38,$D$19),$P$20))-SUM($P888:V888)</f>
        <v>#VALUE!</v>
      </c>
      <c r="X888" s="446" t="e">
        <f>IF(OR($B888="",MIN(X$38,$D$19)&lt;MAX($P$708*($B888+IF($R$17="Distrato",$I$38-1,0)),IF(AND($L$711=0,$P$708=0),"",$L$711-1),IF($R$17="Distrato",$E888,0))),0,YEARFRAC(MAX($P$708*($B888+IF($R$17="Distrato",$I$38-1,0)),IF(AND($L$711=0,$P$708=0),"",$L$711-1),IF($R$17="Distrato",$E888,0)),MIN(X$38,$D$19),$P$20))-SUM($P888:W888)</f>
        <v>#VALUE!</v>
      </c>
      <c r="Y888" s="446" t="e">
        <f>IF(OR($B888="",MIN(Y$38,$D$19)&lt;MAX($P$708*($B888+IF($R$17="Distrato",$I$38-1,0)),IF(AND($L$711=0,$P$708=0),"",$L$711-1),IF($R$17="Distrato",$E888,0))),0,YEARFRAC(MAX($P$708*($B888+IF($R$17="Distrato",$I$38-1,0)),IF(AND($L$711=0,$P$708=0),"",$L$711-1),IF($R$17="Distrato",$E888,0)),MIN(Y$38,$D$19),$P$20))-SUM($P888:X888)</f>
        <v>#VALUE!</v>
      </c>
      <c r="Z888" s="446" t="e">
        <f>IF(OR($B888="",MIN(Z$38,$D$19)&lt;MAX($P$708*($B888+IF($R$17="Distrato",$I$38-1,0)),IF(AND($L$711=0,$P$708=0),"",$L$711-1),IF($R$17="Distrato",$E888,0))),0,YEARFRAC(MAX($P$708*($B888+IF($R$17="Distrato",$I$38-1,0)),IF(AND($L$711=0,$P$708=0),"",$L$711-1),IF($R$17="Distrato",$E888,0)),MIN(Z$38,$D$19),$P$20))-SUM($P888:Y888)</f>
        <v>#VALUE!</v>
      </c>
      <c r="AA888" s="446" t="e">
        <f>IF(OR($B888="",MIN(AA$38,$D$19)&lt;MAX($P$708*($B888+IF($R$17="Distrato",$I$38-1,0)),IF(AND($L$711=0,$P$708=0),"",$L$711-1),IF($R$17="Distrato",$E888,0))),0,YEARFRAC(MAX($P$708*($B888+IF($R$17="Distrato",$I$38-1,0)),IF(AND($L$711=0,$P$708=0),"",$L$711-1),IF($R$17="Distrato",$E888,0)),MIN(AA$38,$D$19),$P$20))-SUM($P888:Z888)</f>
        <v>#VALUE!</v>
      </c>
      <c r="AB888" s="446" t="e">
        <f>IF(OR($B888="",MIN(AB$38,$D$19)&lt;MAX($P$708*($B888+IF($R$17="Distrato",$I$38-1,0)),IF(AND($L$711=0,$P$708=0),"",$L$711-1),IF($R$17="Distrato",$E888,0))),0,YEARFRAC(MAX($P$708*($B888+IF($R$17="Distrato",$I$38-1,0)),IF(AND($L$711=0,$P$708=0),"",$L$711-1),IF($R$17="Distrato",$E888,0)),MIN(AB$38,$D$19),$P$20))-SUM($P888:AA888)</f>
        <v>#VALUE!</v>
      </c>
      <c r="AC888" s="446" t="e">
        <f>IF(OR($B888="",MIN(AC$38,$D$19)&lt;MAX($P$708*($B888+IF($R$17="Distrato",$I$38-1,0)),IF(AND($L$711=0,$P$708=0),"",$L$711-1),IF($R$17="Distrato",$E888,0))),0,YEARFRAC(MAX($P$708*($B888+IF($R$17="Distrato",$I$38-1,0)),IF(AND($L$711=0,$P$708=0),"",$L$711-1),IF($R$17="Distrato",$E888,0)),MIN(AC$38,$D$19),$P$20))-SUM($P888:AB888)</f>
        <v>#VALUE!</v>
      </c>
      <c r="AD888" s="446" t="e">
        <f>IF(OR($B888="",MIN(AD$38,$D$19)&lt;MAX($P$708*($B888+IF($R$17="Distrato",$I$38-1,0)),IF(AND($L$711=0,$P$708=0),"",$L$711-1),IF($R$17="Distrato",$E888,0))),0,YEARFRAC(MAX($P$708*($B888+IF($R$17="Distrato",$I$38-1,0)),IF(AND($L$711=0,$P$708=0),"",$L$711-1),IF($R$17="Distrato",$E888,0)),MIN(AD$38,$D$19),$P$20))-SUM($P888:AC888)</f>
        <v>#VALUE!</v>
      </c>
      <c r="AE888" s="446" t="e">
        <f>IF(OR($B888="",MIN(AE$38,$D$19)&lt;MAX($P$708*($B888+IF($R$17="Distrato",$I$38-1,0)),IF(AND($L$711=0,$P$708=0),"",$L$711-1),IF($R$17="Distrato",$E888,0))),0,YEARFRAC(MAX($P$708*($B888+IF($R$17="Distrato",$I$38-1,0)),IF(AND($L$711=0,$P$708=0),"",$L$711-1),IF($R$17="Distrato",$E888,0)),MIN(AE$38,$D$19),$P$20))-SUM($P888:AD888)</f>
        <v>#VALUE!</v>
      </c>
      <c r="AF888" s="446" t="e">
        <f>IF(OR($B888="",MIN(AF$38,$D$19)&lt;MAX($P$708*($B888+IF($R$17="Distrato",$I$38-1,0)),IF(AND($L$711=0,$P$708=0),"",$L$711-1),IF($R$17="Distrato",$E888,0))),0,YEARFRAC(MAX($P$708*($B888+IF($R$17="Distrato",$I$38-1,0)),IF(AND($L$711=0,$P$708=0),"",$L$711-1),IF($R$17="Distrato",$E888,0)),MIN(AF$38,$D$19),$P$20))-SUM($P888:AE888)</f>
        <v>#VALUE!</v>
      </c>
      <c r="AG888" s="446" t="e">
        <f>IF(OR($B888="",MIN(AG$38,$D$19)&lt;MAX($P$708*($B888+IF($R$17="Distrato",$I$38-1,0)),IF(AND($L$711=0,$P$708=0),"",$L$711-1),IF($R$17="Distrato",$E888,0))),0,YEARFRAC(MAX($P$708*($B888+IF($R$17="Distrato",$I$38-1,0)),IF(AND($L$711=0,$P$708=0),"",$L$711-1),IF($R$17="Distrato",$E888,0)),MIN(AG$38,$D$19),$P$20))-SUM($P888:AF888)</f>
        <v>#VALUE!</v>
      </c>
      <c r="AH888" s="446" t="e">
        <f>IF(OR($B888="",MIN(AH$38,$D$19)&lt;MAX($P$708*($B888+IF($R$17="Distrato",$I$38-1,0)),IF(AND($L$711=0,$P$708=0),"",$L$711-1),IF($R$17="Distrato",$E888,0))),0,YEARFRAC(MAX($P$708*($B888+IF($R$17="Distrato",$I$38-1,0)),IF(AND($L$711=0,$P$708=0),"",$L$711-1),IF($R$17="Distrato",$E888,0)),MIN(AH$38,$D$19),$P$20))-SUM($P888:AG888)</f>
        <v>#VALUE!</v>
      </c>
      <c r="AI888" s="446" t="e">
        <f>IF(OR($B888="",MIN(AI$38,$D$19)&lt;MAX($P$708*($B888+IF($R$17="Distrato",$I$38-1,0)),IF(AND($L$711=0,$P$708=0),"",$L$711-1),IF($R$17="Distrato",$E888,0))),0,YEARFRAC(MAX($P$708*($B888+IF($R$17="Distrato",$I$38-1,0)),IF(AND($L$711=0,$P$708=0),"",$L$711-1),IF($R$17="Distrato",$E888,0)),MIN(AI$38,$D$19),$P$20))-SUM($P888:AH888)</f>
        <v>#VALUE!</v>
      </c>
      <c r="AJ888" s="446" t="e">
        <f>IF(OR($B888="",MIN(AJ$38,$D$19)&lt;MAX($P$708*($B888+IF($R$17="Distrato",$I$38-1,0)),IF(AND($L$711=0,$P$708=0),"",$L$711-1),IF($R$17="Distrato",$E888,0))),0,YEARFRAC(MAX($P$708*($B888+IF($R$17="Distrato",$I$38-1,0)),IF(AND($L$711=0,$P$708=0),"",$L$711-1),IF($R$17="Distrato",$E888,0)),MIN(AJ$38,$D$19),$P$20))-SUM($P888:AI888)</f>
        <v>#VALUE!</v>
      </c>
      <c r="AK888" s="446" t="e">
        <f>IF(OR($B888="",MIN(AK$38,$D$19)&lt;MAX($P$708*($B888+IF($R$17="Distrato",$I$38-1,0)),IF(AND($L$711=0,$P$708=0),"",$L$711-1),IF($R$17="Distrato",$E888,0))),0,YEARFRAC(MAX($P$708*($B888+IF($R$17="Distrato",$I$38-1,0)),IF(AND($L$711=0,$P$708=0),"",$L$711-1),IF($R$17="Distrato",$E888,0)),MIN(AK$38,$D$19),$P$20))-SUM($P888:AJ888)</f>
        <v>#VALUE!</v>
      </c>
      <c r="AL888" s="446" t="e">
        <f>IF(OR($B888="",MIN(AL$38,$D$19)&lt;MAX($P$708*($B888+IF($R$17="Distrato",$I$38-1,0)),IF(AND($L$711=0,$P$708=0),"",$L$711-1),IF($R$17="Distrato",$E888,0))),0,YEARFRAC(MAX($P$708*($B888+IF($R$17="Distrato",$I$38-1,0)),IF(AND($L$711=0,$P$708=0),"",$L$711-1),IF($R$17="Distrato",$E888,0)),MIN(AL$38,$D$19),$P$20))-SUM($P888:AK888)</f>
        <v>#VALUE!</v>
      </c>
      <c r="AM888" s="446" t="e">
        <f>IF(OR($B888="",MIN(AM$38,$D$19)&lt;MAX($P$708*($B888+IF($R$17="Distrato",$I$38-1,0)),IF(AND($L$711=0,$P$708=0),"",$L$711-1),IF($R$17="Distrato",$E888,0))),0,YEARFRAC(MAX($P$708*($B888+IF($R$17="Distrato",$I$38-1,0)),IF(AND($L$711=0,$P$708=0),"",$L$711-1),IF($R$17="Distrato",$E888,0)),MIN(AM$38,$D$19),$P$20))-SUM($P888:AL888)</f>
        <v>#VALUE!</v>
      </c>
      <c r="AN888" s="446" t="e">
        <f>IF(OR($B888="",MIN(AN$38,$D$19)&lt;MAX($P$708*($B888+IF($R$17="Distrato",$I$38-1,0)),IF(AND($L$711=0,$P$708=0),"",$L$711-1),IF($R$17="Distrato",$E888,0))),0,YEARFRAC(MAX($P$708*($B888+IF($R$17="Distrato",$I$38-1,0)),IF(AND($L$711=0,$P$708=0),"",$L$711-1),IF($R$17="Distrato",$E888,0)),MIN(AN$38,$D$19),$P$20))-SUM($P888:AM888)</f>
        <v>#VALUE!</v>
      </c>
      <c r="AO888" s="446" t="e">
        <f>IF(OR($B888="",MIN(AO$38,$D$19)&lt;MAX($P$708*($B888+IF($R$17="Distrato",$I$38-1,0)),IF(AND($L$711=0,$P$708=0),"",$L$711-1),IF($R$17="Distrato",$E888,0))),0,YEARFRAC(MAX($P$708*($B888+IF($R$17="Distrato",$I$38-1,0)),IF(AND($L$711=0,$P$708=0),"",$L$711-1),IF($R$17="Distrato",$E888,0)),MIN(AO$38,$D$19),$P$20))-SUM($P888:AN888)</f>
        <v>#VALUE!</v>
      </c>
      <c r="AP888" s="446" t="e">
        <f>IF(OR($B888="",MIN(AP$38,$D$19)&lt;MAX($P$708*($B888+IF($R$17="Distrato",$I$38-1,0)),IF(AND($L$711=0,$P$708=0),"",$L$711-1),IF($R$17="Distrato",$E888,0))),0,YEARFRAC(MAX($P$708*($B888+IF($R$17="Distrato",$I$38-1,0)),IF(AND($L$711=0,$P$708=0),"",$L$711-1),IF($R$17="Distrato",$E888,0)),MIN(AP$38,$D$19),$P$20))-SUM($P888:AO888)</f>
        <v>#VALUE!</v>
      </c>
      <c r="AQ888" s="446" t="e">
        <f>IF(OR($B888="",MIN(AQ$38,$D$19)&lt;MAX($P$708*($B888+IF($R$17="Distrato",$I$38-1,0)),IF(AND($L$711=0,$P$708=0),"",$L$711-1),IF($R$17="Distrato",$E888,0))),0,YEARFRAC(MAX($P$708*($B888+IF($R$17="Distrato",$I$38-1,0)),IF(AND($L$711=0,$P$708=0),"",$L$711-1),IF($R$17="Distrato",$E888,0)),MIN(AQ$38,$D$19),$P$20))-SUM($P888:AP888)</f>
        <v>#VALUE!</v>
      </c>
      <c r="AR888" s="446" t="e">
        <f>IF(OR($B888="",MIN(AR$38,$D$19)&lt;MAX($P$708*($B888+IF($R$17="Distrato",$I$38-1,0)),IF(AND($L$711=0,$P$708=0),"",$L$711-1),IF($R$17="Distrato",$E888,0))),0,YEARFRAC(MAX($P$708*($B888+IF($R$17="Distrato",$I$38-1,0)),IF(AND($L$711=0,$P$708=0),"",$L$711-1),IF($R$17="Distrato",$E888,0)),MIN(AR$38,$D$19),$P$20))-SUM($P888:AQ888)</f>
        <v>#VALUE!</v>
      </c>
      <c r="AS888" s="446" t="e">
        <f>IF(OR($B888="",MIN(AS$38,$D$19)&lt;MAX($P$708*($B888+IF($R$17="Distrato",$I$38-1,0)),IF(AND($L$711=0,$P$708=0),"",$L$711-1),IF($R$17="Distrato",$E888,0))),0,YEARFRAC(MAX($P$708*($B888+IF($R$17="Distrato",$I$38-1,0)),IF(AND($L$711=0,$P$708=0),"",$L$711-1),IF($R$17="Distrato",$E888,0)),MIN(AS$38,$D$19),$P$20))-SUM($P888:AR888)</f>
        <v>#VALUE!</v>
      </c>
      <c r="AT888" s="446" t="e">
        <f>IF(OR($B888="",MIN(AT$38,$D$19)&lt;MAX($P$708*($B888+IF($R$17="Distrato",$I$38-1,0)),IF(AND($L$711=0,$P$708=0),"",$L$711-1),IF($R$17="Distrato",$E888,0))),0,YEARFRAC(MAX($P$708*($B888+IF($R$17="Distrato",$I$38-1,0)),IF(AND($L$711=0,$P$708=0),"",$L$711-1),IF($R$17="Distrato",$E888,0)),MIN(AT$38,$D$19),$P$20))-SUM($P888:AS888)</f>
        <v>#VALUE!</v>
      </c>
      <c r="AU888" s="446" t="e">
        <f>IF(OR($B888="",MIN(AU$38,$D$19)&lt;MAX($P$708*($B888+IF($R$17="Distrato",$I$38-1,0)),IF(AND($L$711=0,$P$708=0),"",$L$711-1),IF($R$17="Distrato",$E888,0))),0,YEARFRAC(MAX($P$708*($B888+IF($R$17="Distrato",$I$38-1,0)),IF(AND($L$711=0,$P$708=0),"",$L$711-1),IF($R$17="Distrato",$E888,0)),MIN(AU$38,$D$19),$P$20))-SUM($P888:AT888)</f>
        <v>#VALUE!</v>
      </c>
      <c r="AV888" s="446" t="e">
        <f>IF(OR($B888="",MIN(AV$38,$D$19)&lt;MAX($P$708*($B888+IF($R$17="Distrato",$I$38-1,0)),IF(AND($L$711=0,$P$708=0),"",$L$711-1),IF($R$17="Distrato",$E888,0))),0,YEARFRAC(MAX($P$708*($B888+IF($R$17="Distrato",$I$38-1,0)),IF(AND($L$711=0,$P$708=0),"",$L$711-1),IF($R$17="Distrato",$E888,0)),MIN(AV$38,$D$19),$P$20))-SUM($P888:AU888)</f>
        <v>#VALUE!</v>
      </c>
      <c r="AW888" s="446" t="e">
        <f>IF(OR($B888="",MIN(AW$38,$D$19)&lt;MAX($P$708*($B888+IF($R$17="Distrato",$I$38-1,0)),IF(AND($L$711=0,$P$708=0),"",$L$711-1),IF($R$17="Distrato",$E888,0))),0,YEARFRAC(MAX($P$708*($B888+IF($R$17="Distrato",$I$38-1,0)),IF(AND($L$711=0,$P$708=0),"",$L$711-1),IF($R$17="Distrato",$E888,0)),MIN(AW$38,$D$19),$P$20))-SUM($P888:AV888)</f>
        <v>#VALUE!</v>
      </c>
      <c r="AX888" s="446" t="e">
        <f>IF(OR($B888="",MIN(AX$38,$D$19)&lt;MAX($P$708*($B888+IF($R$17="Distrato",$I$38-1,0)),IF(AND($L$711=0,$P$708=0),"",$L$711-1),IF($R$17="Distrato",$E888,0))),0,YEARFRAC(MAX($P$708*($B888+IF($R$17="Distrato",$I$38-1,0)),IF(AND($L$711=0,$P$708=0),"",$L$711-1),IF($R$17="Distrato",$E888,0)),MIN(AX$38,$D$19),$P$20))-SUM($P888:AW888)</f>
        <v>#VALUE!</v>
      </c>
      <c r="AY888" s="446" t="e">
        <f>IF(OR($B888="",MIN(AY$38,$D$19)&lt;MAX($P$708*($B888+IF($R$17="Distrato",$I$38-1,0)),IF(AND($L$711=0,$P$708=0),"",$L$711-1),IF($R$17="Distrato",$E888,0))),0,YEARFRAC(MAX($P$708*($B888+IF($R$17="Distrato",$I$38-1,0)),IF(AND($L$711=0,$P$708=0),"",$L$711-1),IF($R$17="Distrato",$E888,0)),MIN(AY$38,$D$19),$P$20))-SUM($P888:AX888)</f>
        <v>#VALUE!</v>
      </c>
      <c r="AZ888" s="446" t="e">
        <f>IF(OR($B888="",MIN(AZ$38,$D$19)&lt;MAX($P$708*($B888+IF($R$17="Distrato",$I$38-1,0)),IF(AND($L$711=0,$P$708=0),"",$L$711-1),IF($R$17="Distrato",$E888,0))),0,YEARFRAC(MAX($P$708*($B888+IF($R$17="Distrato",$I$38-1,0)),IF(AND($L$711=0,$P$708=0),"",$L$711-1),IF($R$17="Distrato",$E888,0)),MIN(AZ$38,$D$19),$P$20))-SUM($P888:AY888)</f>
        <v>#VALUE!</v>
      </c>
      <c r="BA888" s="446" t="e">
        <f>IF(OR($B888="",MIN(BA$38,$D$19)&lt;MAX($P$708*($B888+IF($R$17="Distrato",$I$38-1,0)),IF(AND($L$711=0,$P$708=0),"",$L$711-1),IF($R$17="Distrato",$E888,0))),0,YEARFRAC(MAX($P$708*($B888+IF($R$17="Distrato",$I$38-1,0)),IF(AND($L$711=0,$P$708=0),"",$L$711-1),IF($R$17="Distrato",$E888,0)),MIN(BA$38,$D$19),$P$20))-SUM($P888:AZ888)</f>
        <v>#VALUE!</v>
      </c>
      <c r="BB888" s="447"/>
    </row>
    <row r="889" spans="1:54" s="446" customFormat="1" ht="11.25" hidden="1" customHeight="1" x14ac:dyDescent="0.2">
      <c r="A889" s="235"/>
      <c r="B889" s="236"/>
      <c r="C889" s="29" t="str">
        <f>IF(B889="","",IF($L$709=$BL$25,VLOOKUP(DATE(YEAR($D$19),MONTH($D$19)-1,1),ÍNDICES!$A:$DE,HLOOKUP($BL$25,ÍNDICES!$B$3:$T$4,2)+11)-VLOOKUP(B889,ÍNDICES!$A:$DE,HLOOKUP($BL$25,ÍNDICES!$B$3:$T$4,2)+11)+1%,IF(C$712=$W$26,$J$35,IF(ISERROR(IF(B889&gt;$D$19,1,VLOOKUP(DATE(YEAR(B889),MONTH(B889)+IF($C$709=$S$23,1,0),1),ÍNDICES!$A:$DE,$Z$709+1))),"",IF(B889&gt;$D$19,1,VLOOKUP(DATE(YEAR(B889),MONTH(B889)+IF($C$709=$S$23,1,0),1),ÍNDICES!$A:$DE,$Z$709+1))))))</f>
        <v/>
      </c>
      <c r="D889" s="155"/>
      <c r="E889" s="88"/>
      <c r="F889" s="88"/>
      <c r="G889" s="88"/>
      <c r="H889" s="118"/>
      <c r="I889" s="182">
        <f t="shared" si="129"/>
        <v>0</v>
      </c>
      <c r="J889" s="20">
        <f t="shared" ca="1" si="130"/>
        <v>0</v>
      </c>
      <c r="K889" s="5">
        <f t="shared" ca="1" si="131"/>
        <v>0</v>
      </c>
      <c r="L889" s="61">
        <f t="shared" ca="1" si="132"/>
        <v>0</v>
      </c>
      <c r="M889" s="64">
        <f t="shared" si="133"/>
        <v>0</v>
      </c>
      <c r="N889" s="151"/>
      <c r="O889" s="5">
        <f t="shared" ca="1" si="134"/>
        <v>0</v>
      </c>
      <c r="P889" s="446" t="e">
        <f t="shared" si="135"/>
        <v>#VALUE!</v>
      </c>
      <c r="Q889" s="446" t="e">
        <f>IF(OR($B889="",MIN(Q$38,$D$19)&lt;MAX($P$708*($B889+IF($R$17="Distrato",$I$38-1,0)),IF(AND($L$711=0,$P$708=0),"",$L$711-1),IF($R$17="Distrato",$E889,0))),0,YEARFRAC(MAX($P$708*($B889+IF($R$17="Distrato",$I$38-1,0)),IF(AND($L$711=0,$P$708=0),"",$L$711-1),IF($R$17="Distrato",$E889,0)),MIN(Q$38,$D$19),$P$20))-SUM($P889:P889)</f>
        <v>#VALUE!</v>
      </c>
      <c r="R889" s="446" t="e">
        <f>IF(OR($B889="",MIN(R$38,$D$19)&lt;MAX($P$708*($B889+IF($R$17="Distrato",$I$38-1,0)),IF(AND($L$711=0,$P$708=0),"",$L$711-1),IF($R$17="Distrato",$E889,0))),0,YEARFRAC(MAX($P$708*($B889+IF($R$17="Distrato",$I$38-1,0)),IF(AND($L$711=0,$P$708=0),"",$L$711-1),IF($R$17="Distrato",$E889,0)),MIN(R$38,$D$19),$P$20))-SUM($P889:Q889)</f>
        <v>#VALUE!</v>
      </c>
      <c r="S889" s="446" t="e">
        <f>IF(OR($B889="",MIN(S$38,$D$19)&lt;MAX($P$708*($B889+IF($R$17="Distrato",$I$38-1,0)),IF(AND($L$711=0,$P$708=0),"",$L$711-1),IF($R$17="Distrato",$E889,0))),0,YEARFRAC(MAX($P$708*($B889+IF($R$17="Distrato",$I$38-1,0)),IF(AND($L$711=0,$P$708=0),"",$L$711-1),IF($R$17="Distrato",$E889,0)),MIN(S$38,$D$19),$P$20))-SUM($P889:R889)</f>
        <v>#VALUE!</v>
      </c>
      <c r="T889" s="446" t="e">
        <f>IF(OR($B889="",MIN(T$38,$D$19)&lt;MAX($P$708*($B889+IF($R$17="Distrato",$I$38-1,0)),IF(AND($L$711=0,$P$708=0),"",$L$711-1),IF($R$17="Distrato",$E889,0))),0,YEARFRAC(MAX($P$708*($B889+IF($R$17="Distrato",$I$38-1,0)),IF(AND($L$711=0,$P$708=0),"",$L$711-1),IF($R$17="Distrato",$E889,0)),MIN(T$38,$D$19),$P$20))-SUM($P889:S889)</f>
        <v>#VALUE!</v>
      </c>
      <c r="U889" s="446" t="e">
        <f>IF(OR($B889="",MIN(U$38,$D$19)&lt;MAX($P$708*($B889+IF($R$17="Distrato",$I$38-1,0)),IF(AND($L$711=0,$P$708=0),"",$L$711-1),IF($R$17="Distrato",$E889,0))),0,YEARFRAC(MAX($P$708*($B889+IF($R$17="Distrato",$I$38-1,0)),IF(AND($L$711=0,$P$708=0),"",$L$711-1),IF($R$17="Distrato",$E889,0)),MIN(U$38,$D$19),$P$20))-SUM($P889:T889)</f>
        <v>#VALUE!</v>
      </c>
      <c r="V889" s="446" t="e">
        <f>IF(OR($B889="",MIN(V$38,$D$19)&lt;MAX($P$708*($B889+IF($R$17="Distrato",$I$38-1,0)),IF(AND($L$711=0,$P$708=0),"",$L$711-1),IF($R$17="Distrato",$E889,0))),0,YEARFRAC(MAX($P$708*($B889+IF($R$17="Distrato",$I$38-1,0)),IF(AND($L$711=0,$P$708=0),"",$L$711-1),IF($R$17="Distrato",$E889,0)),MIN(V$38,$D$19),$P$20))-SUM($P889:U889)</f>
        <v>#VALUE!</v>
      </c>
      <c r="W889" s="446" t="e">
        <f>IF(OR($B889="",MIN(W$38,$D$19)&lt;MAX($P$708*($B889+IF($R$17="Distrato",$I$38-1,0)),IF(AND($L$711=0,$P$708=0),"",$L$711-1),IF($R$17="Distrato",$E889,0))),0,YEARFRAC(MAX($P$708*($B889+IF($R$17="Distrato",$I$38-1,0)),IF(AND($L$711=0,$P$708=0),"",$L$711-1),IF($R$17="Distrato",$E889,0)),MIN(W$38,$D$19),$P$20))-SUM($P889:V889)</f>
        <v>#VALUE!</v>
      </c>
      <c r="X889" s="446" t="e">
        <f>IF(OR($B889="",MIN(X$38,$D$19)&lt;MAX($P$708*($B889+IF($R$17="Distrato",$I$38-1,0)),IF(AND($L$711=0,$P$708=0),"",$L$711-1),IF($R$17="Distrato",$E889,0))),0,YEARFRAC(MAX($P$708*($B889+IF($R$17="Distrato",$I$38-1,0)),IF(AND($L$711=0,$P$708=0),"",$L$711-1),IF($R$17="Distrato",$E889,0)),MIN(X$38,$D$19),$P$20))-SUM($P889:W889)</f>
        <v>#VALUE!</v>
      </c>
      <c r="Y889" s="446" t="e">
        <f>IF(OR($B889="",MIN(Y$38,$D$19)&lt;MAX($P$708*($B889+IF($R$17="Distrato",$I$38-1,0)),IF(AND($L$711=0,$P$708=0),"",$L$711-1),IF($R$17="Distrato",$E889,0))),0,YEARFRAC(MAX($P$708*($B889+IF($R$17="Distrato",$I$38-1,0)),IF(AND($L$711=0,$P$708=0),"",$L$711-1),IF($R$17="Distrato",$E889,0)),MIN(Y$38,$D$19),$P$20))-SUM($P889:X889)</f>
        <v>#VALUE!</v>
      </c>
      <c r="Z889" s="446" t="e">
        <f>IF(OR($B889="",MIN(Z$38,$D$19)&lt;MAX($P$708*($B889+IF($R$17="Distrato",$I$38-1,0)),IF(AND($L$711=0,$P$708=0),"",$L$711-1),IF($R$17="Distrato",$E889,0))),0,YEARFRAC(MAX($P$708*($B889+IF($R$17="Distrato",$I$38-1,0)),IF(AND($L$711=0,$P$708=0),"",$L$711-1),IF($R$17="Distrato",$E889,0)),MIN(Z$38,$D$19),$P$20))-SUM($P889:Y889)</f>
        <v>#VALUE!</v>
      </c>
      <c r="AA889" s="446" t="e">
        <f>IF(OR($B889="",MIN(AA$38,$D$19)&lt;MAX($P$708*($B889+IF($R$17="Distrato",$I$38-1,0)),IF(AND($L$711=0,$P$708=0),"",$L$711-1),IF($R$17="Distrato",$E889,0))),0,YEARFRAC(MAX($P$708*($B889+IF($R$17="Distrato",$I$38-1,0)),IF(AND($L$711=0,$P$708=0),"",$L$711-1),IF($R$17="Distrato",$E889,0)),MIN(AA$38,$D$19),$P$20))-SUM($P889:Z889)</f>
        <v>#VALUE!</v>
      </c>
      <c r="AB889" s="446" t="e">
        <f>IF(OR($B889="",MIN(AB$38,$D$19)&lt;MAX($P$708*($B889+IF($R$17="Distrato",$I$38-1,0)),IF(AND($L$711=0,$P$708=0),"",$L$711-1),IF($R$17="Distrato",$E889,0))),0,YEARFRAC(MAX($P$708*($B889+IF($R$17="Distrato",$I$38-1,0)),IF(AND($L$711=0,$P$708=0),"",$L$711-1),IF($R$17="Distrato",$E889,0)),MIN(AB$38,$D$19),$P$20))-SUM($P889:AA889)</f>
        <v>#VALUE!</v>
      </c>
      <c r="AC889" s="446" t="e">
        <f>IF(OR($B889="",MIN(AC$38,$D$19)&lt;MAX($P$708*($B889+IF($R$17="Distrato",$I$38-1,0)),IF(AND($L$711=0,$P$708=0),"",$L$711-1),IF($R$17="Distrato",$E889,0))),0,YEARFRAC(MAX($P$708*($B889+IF($R$17="Distrato",$I$38-1,0)),IF(AND($L$711=0,$P$708=0),"",$L$711-1),IF($R$17="Distrato",$E889,0)),MIN(AC$38,$D$19),$P$20))-SUM($P889:AB889)</f>
        <v>#VALUE!</v>
      </c>
      <c r="AD889" s="446" t="e">
        <f>IF(OR($B889="",MIN(AD$38,$D$19)&lt;MAX($P$708*($B889+IF($R$17="Distrato",$I$38-1,0)),IF(AND($L$711=0,$P$708=0),"",$L$711-1),IF($R$17="Distrato",$E889,0))),0,YEARFRAC(MAX($P$708*($B889+IF($R$17="Distrato",$I$38-1,0)),IF(AND($L$711=0,$P$708=0),"",$L$711-1),IF($R$17="Distrato",$E889,0)),MIN(AD$38,$D$19),$P$20))-SUM($P889:AC889)</f>
        <v>#VALUE!</v>
      </c>
      <c r="AE889" s="446" t="e">
        <f>IF(OR($B889="",MIN(AE$38,$D$19)&lt;MAX($P$708*($B889+IF($R$17="Distrato",$I$38-1,0)),IF(AND($L$711=0,$P$708=0),"",$L$711-1),IF($R$17="Distrato",$E889,0))),0,YEARFRAC(MAX($P$708*($B889+IF($R$17="Distrato",$I$38-1,0)),IF(AND($L$711=0,$P$708=0),"",$L$711-1),IF($R$17="Distrato",$E889,0)),MIN(AE$38,$D$19),$P$20))-SUM($P889:AD889)</f>
        <v>#VALUE!</v>
      </c>
      <c r="AF889" s="446" t="e">
        <f>IF(OR($B889="",MIN(AF$38,$D$19)&lt;MAX($P$708*($B889+IF($R$17="Distrato",$I$38-1,0)),IF(AND($L$711=0,$P$708=0),"",$L$711-1),IF($R$17="Distrato",$E889,0))),0,YEARFRAC(MAX($P$708*($B889+IF($R$17="Distrato",$I$38-1,0)),IF(AND($L$711=0,$P$708=0),"",$L$711-1),IF($R$17="Distrato",$E889,0)),MIN(AF$38,$D$19),$P$20))-SUM($P889:AE889)</f>
        <v>#VALUE!</v>
      </c>
      <c r="AG889" s="446" t="e">
        <f>IF(OR($B889="",MIN(AG$38,$D$19)&lt;MAX($P$708*($B889+IF($R$17="Distrato",$I$38-1,0)),IF(AND($L$711=0,$P$708=0),"",$L$711-1),IF($R$17="Distrato",$E889,0))),0,YEARFRAC(MAX($P$708*($B889+IF($R$17="Distrato",$I$38-1,0)),IF(AND($L$711=0,$P$708=0),"",$L$711-1),IF($R$17="Distrato",$E889,0)),MIN(AG$38,$D$19),$P$20))-SUM($P889:AF889)</f>
        <v>#VALUE!</v>
      </c>
      <c r="AH889" s="446" t="e">
        <f>IF(OR($B889="",MIN(AH$38,$D$19)&lt;MAX($P$708*($B889+IF($R$17="Distrato",$I$38-1,0)),IF(AND($L$711=0,$P$708=0),"",$L$711-1),IF($R$17="Distrato",$E889,0))),0,YEARFRAC(MAX($P$708*($B889+IF($R$17="Distrato",$I$38-1,0)),IF(AND($L$711=0,$P$708=0),"",$L$711-1),IF($R$17="Distrato",$E889,0)),MIN(AH$38,$D$19),$P$20))-SUM($P889:AG889)</f>
        <v>#VALUE!</v>
      </c>
      <c r="AI889" s="446" t="e">
        <f>IF(OR($B889="",MIN(AI$38,$D$19)&lt;MAX($P$708*($B889+IF($R$17="Distrato",$I$38-1,0)),IF(AND($L$711=0,$P$708=0),"",$L$711-1),IF($R$17="Distrato",$E889,0))),0,YEARFRAC(MAX($P$708*($B889+IF($R$17="Distrato",$I$38-1,0)),IF(AND($L$711=0,$P$708=0),"",$L$711-1),IF($R$17="Distrato",$E889,0)),MIN(AI$38,$D$19),$P$20))-SUM($P889:AH889)</f>
        <v>#VALUE!</v>
      </c>
      <c r="AJ889" s="446" t="e">
        <f>IF(OR($B889="",MIN(AJ$38,$D$19)&lt;MAX($P$708*($B889+IF($R$17="Distrato",$I$38-1,0)),IF(AND($L$711=0,$P$708=0),"",$L$711-1),IF($R$17="Distrato",$E889,0))),0,YEARFRAC(MAX($P$708*($B889+IF($R$17="Distrato",$I$38-1,0)),IF(AND($L$711=0,$P$708=0),"",$L$711-1),IF($R$17="Distrato",$E889,0)),MIN(AJ$38,$D$19),$P$20))-SUM($P889:AI889)</f>
        <v>#VALUE!</v>
      </c>
      <c r="AK889" s="446" t="e">
        <f>IF(OR($B889="",MIN(AK$38,$D$19)&lt;MAX($P$708*($B889+IF($R$17="Distrato",$I$38-1,0)),IF(AND($L$711=0,$P$708=0),"",$L$711-1),IF($R$17="Distrato",$E889,0))),0,YEARFRAC(MAX($P$708*($B889+IF($R$17="Distrato",$I$38-1,0)),IF(AND($L$711=0,$P$708=0),"",$L$711-1),IF($R$17="Distrato",$E889,0)),MIN(AK$38,$D$19),$P$20))-SUM($P889:AJ889)</f>
        <v>#VALUE!</v>
      </c>
      <c r="AL889" s="446" t="e">
        <f>IF(OR($B889="",MIN(AL$38,$D$19)&lt;MAX($P$708*($B889+IF($R$17="Distrato",$I$38-1,0)),IF(AND($L$711=0,$P$708=0),"",$L$711-1),IF($R$17="Distrato",$E889,0))),0,YEARFRAC(MAX($P$708*($B889+IF($R$17="Distrato",$I$38-1,0)),IF(AND($L$711=0,$P$708=0),"",$L$711-1),IF($R$17="Distrato",$E889,0)),MIN(AL$38,$D$19),$P$20))-SUM($P889:AK889)</f>
        <v>#VALUE!</v>
      </c>
      <c r="AM889" s="446" t="e">
        <f>IF(OR($B889="",MIN(AM$38,$D$19)&lt;MAX($P$708*($B889+IF($R$17="Distrato",$I$38-1,0)),IF(AND($L$711=0,$P$708=0),"",$L$711-1),IF($R$17="Distrato",$E889,0))),0,YEARFRAC(MAX($P$708*($B889+IF($R$17="Distrato",$I$38-1,0)),IF(AND($L$711=0,$P$708=0),"",$L$711-1),IF($R$17="Distrato",$E889,0)),MIN(AM$38,$D$19),$P$20))-SUM($P889:AL889)</f>
        <v>#VALUE!</v>
      </c>
      <c r="AN889" s="446" t="e">
        <f>IF(OR($B889="",MIN(AN$38,$D$19)&lt;MAX($P$708*($B889+IF($R$17="Distrato",$I$38-1,0)),IF(AND($L$711=0,$P$708=0),"",$L$711-1),IF($R$17="Distrato",$E889,0))),0,YEARFRAC(MAX($P$708*($B889+IF($R$17="Distrato",$I$38-1,0)),IF(AND($L$711=0,$P$708=0),"",$L$711-1),IF($R$17="Distrato",$E889,0)),MIN(AN$38,$D$19),$P$20))-SUM($P889:AM889)</f>
        <v>#VALUE!</v>
      </c>
      <c r="AO889" s="446" t="e">
        <f>IF(OR($B889="",MIN(AO$38,$D$19)&lt;MAX($P$708*($B889+IF($R$17="Distrato",$I$38-1,0)),IF(AND($L$711=0,$P$708=0),"",$L$711-1),IF($R$17="Distrato",$E889,0))),0,YEARFRAC(MAX($P$708*($B889+IF($R$17="Distrato",$I$38-1,0)),IF(AND($L$711=0,$P$708=0),"",$L$711-1),IF($R$17="Distrato",$E889,0)),MIN(AO$38,$D$19),$P$20))-SUM($P889:AN889)</f>
        <v>#VALUE!</v>
      </c>
      <c r="AP889" s="446" t="e">
        <f>IF(OR($B889="",MIN(AP$38,$D$19)&lt;MAX($P$708*($B889+IF($R$17="Distrato",$I$38-1,0)),IF(AND($L$711=0,$P$708=0),"",$L$711-1),IF($R$17="Distrato",$E889,0))),0,YEARFRAC(MAX($P$708*($B889+IF($R$17="Distrato",$I$38-1,0)),IF(AND($L$711=0,$P$708=0),"",$L$711-1),IF($R$17="Distrato",$E889,0)),MIN(AP$38,$D$19),$P$20))-SUM($P889:AO889)</f>
        <v>#VALUE!</v>
      </c>
      <c r="AQ889" s="446" t="e">
        <f>IF(OR($B889="",MIN(AQ$38,$D$19)&lt;MAX($P$708*($B889+IF($R$17="Distrato",$I$38-1,0)),IF(AND($L$711=0,$P$708=0),"",$L$711-1),IF($R$17="Distrato",$E889,0))),0,YEARFRAC(MAX($P$708*($B889+IF($R$17="Distrato",$I$38-1,0)),IF(AND($L$711=0,$P$708=0),"",$L$711-1),IF($R$17="Distrato",$E889,0)),MIN(AQ$38,$D$19),$P$20))-SUM($P889:AP889)</f>
        <v>#VALUE!</v>
      </c>
      <c r="AR889" s="446" t="e">
        <f>IF(OR($B889="",MIN(AR$38,$D$19)&lt;MAX($P$708*($B889+IF($R$17="Distrato",$I$38-1,0)),IF(AND($L$711=0,$P$708=0),"",$L$711-1),IF($R$17="Distrato",$E889,0))),0,YEARFRAC(MAX($P$708*($B889+IF($R$17="Distrato",$I$38-1,0)),IF(AND($L$711=0,$P$708=0),"",$L$711-1),IF($R$17="Distrato",$E889,0)),MIN(AR$38,$D$19),$P$20))-SUM($P889:AQ889)</f>
        <v>#VALUE!</v>
      </c>
      <c r="AS889" s="446" t="e">
        <f>IF(OR($B889="",MIN(AS$38,$D$19)&lt;MAX($P$708*($B889+IF($R$17="Distrato",$I$38-1,0)),IF(AND($L$711=0,$P$708=0),"",$L$711-1),IF($R$17="Distrato",$E889,0))),0,YEARFRAC(MAX($P$708*($B889+IF($R$17="Distrato",$I$38-1,0)),IF(AND($L$711=0,$P$708=0),"",$L$711-1),IF($R$17="Distrato",$E889,0)),MIN(AS$38,$D$19),$P$20))-SUM($P889:AR889)</f>
        <v>#VALUE!</v>
      </c>
      <c r="AT889" s="446" t="e">
        <f>IF(OR($B889="",MIN(AT$38,$D$19)&lt;MAX($P$708*($B889+IF($R$17="Distrato",$I$38-1,0)),IF(AND($L$711=0,$P$708=0),"",$L$711-1),IF($R$17="Distrato",$E889,0))),0,YEARFRAC(MAX($P$708*($B889+IF($R$17="Distrato",$I$38-1,0)),IF(AND($L$711=0,$P$708=0),"",$L$711-1),IF($R$17="Distrato",$E889,0)),MIN(AT$38,$D$19),$P$20))-SUM($P889:AS889)</f>
        <v>#VALUE!</v>
      </c>
      <c r="AU889" s="446" t="e">
        <f>IF(OR($B889="",MIN(AU$38,$D$19)&lt;MAX($P$708*($B889+IF($R$17="Distrato",$I$38-1,0)),IF(AND($L$711=0,$P$708=0),"",$L$711-1),IF($R$17="Distrato",$E889,0))),0,YEARFRAC(MAX($P$708*($B889+IF($R$17="Distrato",$I$38-1,0)),IF(AND($L$711=0,$P$708=0),"",$L$711-1),IF($R$17="Distrato",$E889,0)),MIN(AU$38,$D$19),$P$20))-SUM($P889:AT889)</f>
        <v>#VALUE!</v>
      </c>
      <c r="AV889" s="446" t="e">
        <f>IF(OR($B889="",MIN(AV$38,$D$19)&lt;MAX($P$708*($B889+IF($R$17="Distrato",$I$38-1,0)),IF(AND($L$711=0,$P$708=0),"",$L$711-1),IF($R$17="Distrato",$E889,0))),0,YEARFRAC(MAX($P$708*($B889+IF($R$17="Distrato",$I$38-1,0)),IF(AND($L$711=0,$P$708=0),"",$L$711-1),IF($R$17="Distrato",$E889,0)),MIN(AV$38,$D$19),$P$20))-SUM($P889:AU889)</f>
        <v>#VALUE!</v>
      </c>
      <c r="AW889" s="446" t="e">
        <f>IF(OR($B889="",MIN(AW$38,$D$19)&lt;MAX($P$708*($B889+IF($R$17="Distrato",$I$38-1,0)),IF(AND($L$711=0,$P$708=0),"",$L$711-1),IF($R$17="Distrato",$E889,0))),0,YEARFRAC(MAX($P$708*($B889+IF($R$17="Distrato",$I$38-1,0)),IF(AND($L$711=0,$P$708=0),"",$L$711-1),IF($R$17="Distrato",$E889,0)),MIN(AW$38,$D$19),$P$20))-SUM($P889:AV889)</f>
        <v>#VALUE!</v>
      </c>
      <c r="AX889" s="446" t="e">
        <f>IF(OR($B889="",MIN(AX$38,$D$19)&lt;MAX($P$708*($B889+IF($R$17="Distrato",$I$38-1,0)),IF(AND($L$711=0,$P$708=0),"",$L$711-1),IF($R$17="Distrato",$E889,0))),0,YEARFRAC(MAX($P$708*($B889+IF($R$17="Distrato",$I$38-1,0)),IF(AND($L$711=0,$P$708=0),"",$L$711-1),IF($R$17="Distrato",$E889,0)),MIN(AX$38,$D$19),$P$20))-SUM($P889:AW889)</f>
        <v>#VALUE!</v>
      </c>
      <c r="AY889" s="446" t="e">
        <f>IF(OR($B889="",MIN(AY$38,$D$19)&lt;MAX($P$708*($B889+IF($R$17="Distrato",$I$38-1,0)),IF(AND($L$711=0,$P$708=0),"",$L$711-1),IF($R$17="Distrato",$E889,0))),0,YEARFRAC(MAX($P$708*($B889+IF($R$17="Distrato",$I$38-1,0)),IF(AND($L$711=0,$P$708=0),"",$L$711-1),IF($R$17="Distrato",$E889,0)),MIN(AY$38,$D$19),$P$20))-SUM($P889:AX889)</f>
        <v>#VALUE!</v>
      </c>
      <c r="AZ889" s="446" t="e">
        <f>IF(OR($B889="",MIN(AZ$38,$D$19)&lt;MAX($P$708*($B889+IF($R$17="Distrato",$I$38-1,0)),IF(AND($L$711=0,$P$708=0),"",$L$711-1),IF($R$17="Distrato",$E889,0))),0,YEARFRAC(MAX($P$708*($B889+IF($R$17="Distrato",$I$38-1,0)),IF(AND($L$711=0,$P$708=0),"",$L$711-1),IF($R$17="Distrato",$E889,0)),MIN(AZ$38,$D$19),$P$20))-SUM($P889:AY889)</f>
        <v>#VALUE!</v>
      </c>
      <c r="BA889" s="446" t="e">
        <f>IF(OR($B889="",MIN(BA$38,$D$19)&lt;MAX($P$708*($B889+IF($R$17="Distrato",$I$38-1,0)),IF(AND($L$711=0,$P$708=0),"",$L$711-1),IF($R$17="Distrato",$E889,0))),0,YEARFRAC(MAX($P$708*($B889+IF($R$17="Distrato",$I$38-1,0)),IF(AND($L$711=0,$P$708=0),"",$L$711-1),IF($R$17="Distrato",$E889,0)),MIN(BA$38,$D$19),$P$20))-SUM($P889:AZ889)</f>
        <v>#VALUE!</v>
      </c>
      <c r="BB889" s="447"/>
    </row>
    <row r="890" spans="1:54" s="446" customFormat="1" ht="11.25" hidden="1" customHeight="1" x14ac:dyDescent="0.2">
      <c r="A890" s="235"/>
      <c r="B890" s="236"/>
      <c r="C890" s="29" t="str">
        <f>IF(B890="","",IF($L$709=$BL$25,VLOOKUP(DATE(YEAR($D$19),MONTH($D$19)-1,1),ÍNDICES!$A:$DE,HLOOKUP($BL$25,ÍNDICES!$B$3:$T$4,2)+11)-VLOOKUP(B890,ÍNDICES!$A:$DE,HLOOKUP($BL$25,ÍNDICES!$B$3:$T$4,2)+11)+1%,IF(C$712=$W$26,$J$35,IF(ISERROR(IF(B890&gt;$D$19,1,VLOOKUP(DATE(YEAR(B890),MONTH(B890)+IF($C$709=$S$23,1,0),1),ÍNDICES!$A:$DE,$Z$709+1))),"",IF(B890&gt;$D$19,1,VLOOKUP(DATE(YEAR(B890),MONTH(B890)+IF($C$709=$S$23,1,0),1),ÍNDICES!$A:$DE,$Z$709+1))))))</f>
        <v/>
      </c>
      <c r="D890" s="155"/>
      <c r="E890" s="88"/>
      <c r="F890" s="88"/>
      <c r="G890" s="88"/>
      <c r="H890" s="118"/>
      <c r="I890" s="182">
        <f t="shared" si="129"/>
        <v>0</v>
      </c>
      <c r="J890" s="20">
        <f t="shared" ca="1" si="130"/>
        <v>0</v>
      </c>
      <c r="K890" s="5">
        <f t="shared" ca="1" si="131"/>
        <v>0</v>
      </c>
      <c r="L890" s="61">
        <f t="shared" ca="1" si="132"/>
        <v>0</v>
      </c>
      <c r="M890" s="64">
        <f t="shared" si="133"/>
        <v>0</v>
      </c>
      <c r="N890" s="151"/>
      <c r="O890" s="5">
        <f t="shared" ca="1" si="134"/>
        <v>0</v>
      </c>
      <c r="P890" s="446" t="e">
        <f t="shared" si="135"/>
        <v>#VALUE!</v>
      </c>
      <c r="Q890" s="446" t="e">
        <f>IF(OR($B890="",MIN(Q$38,$D$19)&lt;MAX($P$708*($B890+IF($R$17="Distrato",$I$38-1,0)),IF(AND($L$711=0,$P$708=0),"",$L$711-1),IF($R$17="Distrato",$E890,0))),0,YEARFRAC(MAX($P$708*($B890+IF($R$17="Distrato",$I$38-1,0)),IF(AND($L$711=0,$P$708=0),"",$L$711-1),IF($R$17="Distrato",$E890,0)),MIN(Q$38,$D$19),$P$20))-SUM($P890:P890)</f>
        <v>#VALUE!</v>
      </c>
      <c r="R890" s="446" t="e">
        <f>IF(OR($B890="",MIN(R$38,$D$19)&lt;MAX($P$708*($B890+IF($R$17="Distrato",$I$38-1,0)),IF(AND($L$711=0,$P$708=0),"",$L$711-1),IF($R$17="Distrato",$E890,0))),0,YEARFRAC(MAX($P$708*($B890+IF($R$17="Distrato",$I$38-1,0)),IF(AND($L$711=0,$P$708=0),"",$L$711-1),IF($R$17="Distrato",$E890,0)),MIN(R$38,$D$19),$P$20))-SUM($P890:Q890)</f>
        <v>#VALUE!</v>
      </c>
      <c r="S890" s="446" t="e">
        <f>IF(OR($B890="",MIN(S$38,$D$19)&lt;MAX($P$708*($B890+IF($R$17="Distrato",$I$38-1,0)),IF(AND($L$711=0,$P$708=0),"",$L$711-1),IF($R$17="Distrato",$E890,0))),0,YEARFRAC(MAX($P$708*($B890+IF($R$17="Distrato",$I$38-1,0)),IF(AND($L$711=0,$P$708=0),"",$L$711-1),IF($R$17="Distrato",$E890,0)),MIN(S$38,$D$19),$P$20))-SUM($P890:R890)</f>
        <v>#VALUE!</v>
      </c>
      <c r="T890" s="446" t="e">
        <f>IF(OR($B890="",MIN(T$38,$D$19)&lt;MAX($P$708*($B890+IF($R$17="Distrato",$I$38-1,0)),IF(AND($L$711=0,$P$708=0),"",$L$711-1),IF($R$17="Distrato",$E890,0))),0,YEARFRAC(MAX($P$708*($B890+IF($R$17="Distrato",$I$38-1,0)),IF(AND($L$711=0,$P$708=0),"",$L$711-1),IF($R$17="Distrato",$E890,0)),MIN(T$38,$D$19),$P$20))-SUM($P890:S890)</f>
        <v>#VALUE!</v>
      </c>
      <c r="U890" s="446" t="e">
        <f>IF(OR($B890="",MIN(U$38,$D$19)&lt;MAX($P$708*($B890+IF($R$17="Distrato",$I$38-1,0)),IF(AND($L$711=0,$P$708=0),"",$L$711-1),IF($R$17="Distrato",$E890,0))),0,YEARFRAC(MAX($P$708*($B890+IF($R$17="Distrato",$I$38-1,0)),IF(AND($L$711=0,$P$708=0),"",$L$711-1),IF($R$17="Distrato",$E890,0)),MIN(U$38,$D$19),$P$20))-SUM($P890:T890)</f>
        <v>#VALUE!</v>
      </c>
      <c r="V890" s="446" t="e">
        <f>IF(OR($B890="",MIN(V$38,$D$19)&lt;MAX($P$708*($B890+IF($R$17="Distrato",$I$38-1,0)),IF(AND($L$711=0,$P$708=0),"",$L$711-1),IF($R$17="Distrato",$E890,0))),0,YEARFRAC(MAX($P$708*($B890+IF($R$17="Distrato",$I$38-1,0)),IF(AND($L$711=0,$P$708=0),"",$L$711-1),IF($R$17="Distrato",$E890,0)),MIN(V$38,$D$19),$P$20))-SUM($P890:U890)</f>
        <v>#VALUE!</v>
      </c>
      <c r="W890" s="446" t="e">
        <f>IF(OR($B890="",MIN(W$38,$D$19)&lt;MAX($P$708*($B890+IF($R$17="Distrato",$I$38-1,0)),IF(AND($L$711=0,$P$708=0),"",$L$711-1),IF($R$17="Distrato",$E890,0))),0,YEARFRAC(MAX($P$708*($B890+IF($R$17="Distrato",$I$38-1,0)),IF(AND($L$711=0,$P$708=0),"",$L$711-1),IF($R$17="Distrato",$E890,0)),MIN(W$38,$D$19),$P$20))-SUM($P890:V890)</f>
        <v>#VALUE!</v>
      </c>
      <c r="X890" s="446" t="e">
        <f>IF(OR($B890="",MIN(X$38,$D$19)&lt;MAX($P$708*($B890+IF($R$17="Distrato",$I$38-1,0)),IF(AND($L$711=0,$P$708=0),"",$L$711-1),IF($R$17="Distrato",$E890,0))),0,YEARFRAC(MAX($P$708*($B890+IF($R$17="Distrato",$I$38-1,0)),IF(AND($L$711=0,$P$708=0),"",$L$711-1),IF($R$17="Distrato",$E890,0)),MIN(X$38,$D$19),$P$20))-SUM($P890:W890)</f>
        <v>#VALUE!</v>
      </c>
      <c r="Y890" s="446" t="e">
        <f>IF(OR($B890="",MIN(Y$38,$D$19)&lt;MAX($P$708*($B890+IF($R$17="Distrato",$I$38-1,0)),IF(AND($L$711=0,$P$708=0),"",$L$711-1),IF($R$17="Distrato",$E890,0))),0,YEARFRAC(MAX($P$708*($B890+IF($R$17="Distrato",$I$38-1,0)),IF(AND($L$711=0,$P$708=0),"",$L$711-1),IF($R$17="Distrato",$E890,0)),MIN(Y$38,$D$19),$P$20))-SUM($P890:X890)</f>
        <v>#VALUE!</v>
      </c>
      <c r="Z890" s="446" t="e">
        <f>IF(OR($B890="",MIN(Z$38,$D$19)&lt;MAX($P$708*($B890+IF($R$17="Distrato",$I$38-1,0)),IF(AND($L$711=0,$P$708=0),"",$L$711-1),IF($R$17="Distrato",$E890,0))),0,YEARFRAC(MAX($P$708*($B890+IF($R$17="Distrato",$I$38-1,0)),IF(AND($L$711=0,$P$708=0),"",$L$711-1),IF($R$17="Distrato",$E890,0)),MIN(Z$38,$D$19),$P$20))-SUM($P890:Y890)</f>
        <v>#VALUE!</v>
      </c>
      <c r="AA890" s="446" t="e">
        <f>IF(OR($B890="",MIN(AA$38,$D$19)&lt;MAX($P$708*($B890+IF($R$17="Distrato",$I$38-1,0)),IF(AND($L$711=0,$P$708=0),"",$L$711-1),IF($R$17="Distrato",$E890,0))),0,YEARFRAC(MAX($P$708*($B890+IF($R$17="Distrato",$I$38-1,0)),IF(AND($L$711=0,$P$708=0),"",$L$711-1),IF($R$17="Distrato",$E890,0)),MIN(AA$38,$D$19),$P$20))-SUM($P890:Z890)</f>
        <v>#VALUE!</v>
      </c>
      <c r="AB890" s="446" t="e">
        <f>IF(OR($B890="",MIN(AB$38,$D$19)&lt;MAX($P$708*($B890+IF($R$17="Distrato",$I$38-1,0)),IF(AND($L$711=0,$P$708=0),"",$L$711-1),IF($R$17="Distrato",$E890,0))),0,YEARFRAC(MAX($P$708*($B890+IF($R$17="Distrato",$I$38-1,0)),IF(AND($L$711=0,$P$708=0),"",$L$711-1),IF($R$17="Distrato",$E890,0)),MIN(AB$38,$D$19),$P$20))-SUM($P890:AA890)</f>
        <v>#VALUE!</v>
      </c>
      <c r="AC890" s="446" t="e">
        <f>IF(OR($B890="",MIN(AC$38,$D$19)&lt;MAX($P$708*($B890+IF($R$17="Distrato",$I$38-1,0)),IF(AND($L$711=0,$P$708=0),"",$L$711-1),IF($R$17="Distrato",$E890,0))),0,YEARFRAC(MAX($P$708*($B890+IF($R$17="Distrato",$I$38-1,0)),IF(AND($L$711=0,$P$708=0),"",$L$711-1),IF($R$17="Distrato",$E890,0)),MIN(AC$38,$D$19),$P$20))-SUM($P890:AB890)</f>
        <v>#VALUE!</v>
      </c>
      <c r="AD890" s="446" t="e">
        <f>IF(OR($B890="",MIN(AD$38,$D$19)&lt;MAX($P$708*($B890+IF($R$17="Distrato",$I$38-1,0)),IF(AND($L$711=0,$P$708=0),"",$L$711-1),IF($R$17="Distrato",$E890,0))),0,YEARFRAC(MAX($P$708*($B890+IF($R$17="Distrato",$I$38-1,0)),IF(AND($L$711=0,$P$708=0),"",$L$711-1),IF($R$17="Distrato",$E890,0)),MIN(AD$38,$D$19),$P$20))-SUM($P890:AC890)</f>
        <v>#VALUE!</v>
      </c>
      <c r="AE890" s="446" t="e">
        <f>IF(OR($B890="",MIN(AE$38,$D$19)&lt;MAX($P$708*($B890+IF($R$17="Distrato",$I$38-1,0)),IF(AND($L$711=0,$P$708=0),"",$L$711-1),IF($R$17="Distrato",$E890,0))),0,YEARFRAC(MAX($P$708*($B890+IF($R$17="Distrato",$I$38-1,0)),IF(AND($L$711=0,$P$708=0),"",$L$711-1),IF($R$17="Distrato",$E890,0)),MIN(AE$38,$D$19),$P$20))-SUM($P890:AD890)</f>
        <v>#VALUE!</v>
      </c>
      <c r="AF890" s="446" t="e">
        <f>IF(OR($B890="",MIN(AF$38,$D$19)&lt;MAX($P$708*($B890+IF($R$17="Distrato",$I$38-1,0)),IF(AND($L$711=0,$P$708=0),"",$L$711-1),IF($R$17="Distrato",$E890,0))),0,YEARFRAC(MAX($P$708*($B890+IF($R$17="Distrato",$I$38-1,0)),IF(AND($L$711=0,$P$708=0),"",$L$711-1),IF($R$17="Distrato",$E890,0)),MIN(AF$38,$D$19),$P$20))-SUM($P890:AE890)</f>
        <v>#VALUE!</v>
      </c>
      <c r="AG890" s="446" t="e">
        <f>IF(OR($B890="",MIN(AG$38,$D$19)&lt;MAX($P$708*($B890+IF($R$17="Distrato",$I$38-1,0)),IF(AND($L$711=0,$P$708=0),"",$L$711-1),IF($R$17="Distrato",$E890,0))),0,YEARFRAC(MAX($P$708*($B890+IF($R$17="Distrato",$I$38-1,0)),IF(AND($L$711=0,$P$708=0),"",$L$711-1),IF($R$17="Distrato",$E890,0)),MIN(AG$38,$D$19),$P$20))-SUM($P890:AF890)</f>
        <v>#VALUE!</v>
      </c>
      <c r="AH890" s="446" t="e">
        <f>IF(OR($B890="",MIN(AH$38,$D$19)&lt;MAX($P$708*($B890+IF($R$17="Distrato",$I$38-1,0)),IF(AND($L$711=0,$P$708=0),"",$L$711-1),IF($R$17="Distrato",$E890,0))),0,YEARFRAC(MAX($P$708*($B890+IF($R$17="Distrato",$I$38-1,0)),IF(AND($L$711=0,$P$708=0),"",$L$711-1),IF($R$17="Distrato",$E890,0)),MIN(AH$38,$D$19),$P$20))-SUM($P890:AG890)</f>
        <v>#VALUE!</v>
      </c>
      <c r="AI890" s="446" t="e">
        <f>IF(OR($B890="",MIN(AI$38,$D$19)&lt;MAX($P$708*($B890+IF($R$17="Distrato",$I$38-1,0)),IF(AND($L$711=0,$P$708=0),"",$L$711-1),IF($R$17="Distrato",$E890,0))),0,YEARFRAC(MAX($P$708*($B890+IF($R$17="Distrato",$I$38-1,0)),IF(AND($L$711=0,$P$708=0),"",$L$711-1),IF($R$17="Distrato",$E890,0)),MIN(AI$38,$D$19),$P$20))-SUM($P890:AH890)</f>
        <v>#VALUE!</v>
      </c>
      <c r="AJ890" s="446" t="e">
        <f>IF(OR($B890="",MIN(AJ$38,$D$19)&lt;MAX($P$708*($B890+IF($R$17="Distrato",$I$38-1,0)),IF(AND($L$711=0,$P$708=0),"",$L$711-1),IF($R$17="Distrato",$E890,0))),0,YEARFRAC(MAX($P$708*($B890+IF($R$17="Distrato",$I$38-1,0)),IF(AND($L$711=0,$P$708=0),"",$L$711-1),IF($R$17="Distrato",$E890,0)),MIN(AJ$38,$D$19),$P$20))-SUM($P890:AI890)</f>
        <v>#VALUE!</v>
      </c>
      <c r="AK890" s="446" t="e">
        <f>IF(OR($B890="",MIN(AK$38,$D$19)&lt;MAX($P$708*($B890+IF($R$17="Distrato",$I$38-1,0)),IF(AND($L$711=0,$P$708=0),"",$L$711-1),IF($R$17="Distrato",$E890,0))),0,YEARFRAC(MAX($P$708*($B890+IF($R$17="Distrato",$I$38-1,0)),IF(AND($L$711=0,$P$708=0),"",$L$711-1),IF($R$17="Distrato",$E890,0)),MIN(AK$38,$D$19),$P$20))-SUM($P890:AJ890)</f>
        <v>#VALUE!</v>
      </c>
      <c r="AL890" s="446" t="e">
        <f>IF(OR($B890="",MIN(AL$38,$D$19)&lt;MAX($P$708*($B890+IF($R$17="Distrato",$I$38-1,0)),IF(AND($L$711=0,$P$708=0),"",$L$711-1),IF($R$17="Distrato",$E890,0))),0,YEARFRAC(MAX($P$708*($B890+IF($R$17="Distrato",$I$38-1,0)),IF(AND($L$711=0,$P$708=0),"",$L$711-1),IF($R$17="Distrato",$E890,0)),MIN(AL$38,$D$19),$P$20))-SUM($P890:AK890)</f>
        <v>#VALUE!</v>
      </c>
      <c r="AM890" s="446" t="e">
        <f>IF(OR($B890="",MIN(AM$38,$D$19)&lt;MAX($P$708*($B890+IF($R$17="Distrato",$I$38-1,0)),IF(AND($L$711=0,$P$708=0),"",$L$711-1),IF($R$17="Distrato",$E890,0))),0,YEARFRAC(MAX($P$708*($B890+IF($R$17="Distrato",$I$38-1,0)),IF(AND($L$711=0,$P$708=0),"",$L$711-1),IF($R$17="Distrato",$E890,0)),MIN(AM$38,$D$19),$P$20))-SUM($P890:AL890)</f>
        <v>#VALUE!</v>
      </c>
      <c r="AN890" s="446" t="e">
        <f>IF(OR($B890="",MIN(AN$38,$D$19)&lt;MAX($P$708*($B890+IF($R$17="Distrato",$I$38-1,0)),IF(AND($L$711=0,$P$708=0),"",$L$711-1),IF($R$17="Distrato",$E890,0))),0,YEARFRAC(MAX($P$708*($B890+IF($R$17="Distrato",$I$38-1,0)),IF(AND($L$711=0,$P$708=0),"",$L$711-1),IF($R$17="Distrato",$E890,0)),MIN(AN$38,$D$19),$P$20))-SUM($P890:AM890)</f>
        <v>#VALUE!</v>
      </c>
      <c r="AO890" s="446" t="e">
        <f>IF(OR($B890="",MIN(AO$38,$D$19)&lt;MAX($P$708*($B890+IF($R$17="Distrato",$I$38-1,0)),IF(AND($L$711=0,$P$708=0),"",$L$711-1),IF($R$17="Distrato",$E890,0))),0,YEARFRAC(MAX($P$708*($B890+IF($R$17="Distrato",$I$38-1,0)),IF(AND($L$711=0,$P$708=0),"",$L$711-1),IF($R$17="Distrato",$E890,0)),MIN(AO$38,$D$19),$P$20))-SUM($P890:AN890)</f>
        <v>#VALUE!</v>
      </c>
      <c r="AP890" s="446" t="e">
        <f>IF(OR($B890="",MIN(AP$38,$D$19)&lt;MAX($P$708*($B890+IF($R$17="Distrato",$I$38-1,0)),IF(AND($L$711=0,$P$708=0),"",$L$711-1),IF($R$17="Distrato",$E890,0))),0,YEARFRAC(MAX($P$708*($B890+IF($R$17="Distrato",$I$38-1,0)),IF(AND($L$711=0,$P$708=0),"",$L$711-1),IF($R$17="Distrato",$E890,0)),MIN(AP$38,$D$19),$P$20))-SUM($P890:AO890)</f>
        <v>#VALUE!</v>
      </c>
      <c r="AQ890" s="446" t="e">
        <f>IF(OR($B890="",MIN(AQ$38,$D$19)&lt;MAX($P$708*($B890+IF($R$17="Distrato",$I$38-1,0)),IF(AND($L$711=0,$P$708=0),"",$L$711-1),IF($R$17="Distrato",$E890,0))),0,YEARFRAC(MAX($P$708*($B890+IF($R$17="Distrato",$I$38-1,0)),IF(AND($L$711=0,$P$708=0),"",$L$711-1),IF($R$17="Distrato",$E890,0)),MIN(AQ$38,$D$19),$P$20))-SUM($P890:AP890)</f>
        <v>#VALUE!</v>
      </c>
      <c r="AR890" s="446" t="e">
        <f>IF(OR($B890="",MIN(AR$38,$D$19)&lt;MAX($P$708*($B890+IF($R$17="Distrato",$I$38-1,0)),IF(AND($L$711=0,$P$708=0),"",$L$711-1),IF($R$17="Distrato",$E890,0))),0,YEARFRAC(MAX($P$708*($B890+IF($R$17="Distrato",$I$38-1,0)),IF(AND($L$711=0,$P$708=0),"",$L$711-1),IF($R$17="Distrato",$E890,0)),MIN(AR$38,$D$19),$P$20))-SUM($P890:AQ890)</f>
        <v>#VALUE!</v>
      </c>
      <c r="AS890" s="446" t="e">
        <f>IF(OR($B890="",MIN(AS$38,$D$19)&lt;MAX($P$708*($B890+IF($R$17="Distrato",$I$38-1,0)),IF(AND($L$711=0,$P$708=0),"",$L$711-1),IF($R$17="Distrato",$E890,0))),0,YEARFRAC(MAX($P$708*($B890+IF($R$17="Distrato",$I$38-1,0)),IF(AND($L$711=0,$P$708=0),"",$L$711-1),IF($R$17="Distrato",$E890,0)),MIN(AS$38,$D$19),$P$20))-SUM($P890:AR890)</f>
        <v>#VALUE!</v>
      </c>
      <c r="AT890" s="446" t="e">
        <f>IF(OR($B890="",MIN(AT$38,$D$19)&lt;MAX($P$708*($B890+IF($R$17="Distrato",$I$38-1,0)),IF(AND($L$711=0,$P$708=0),"",$L$711-1),IF($R$17="Distrato",$E890,0))),0,YEARFRAC(MAX($P$708*($B890+IF($R$17="Distrato",$I$38-1,0)),IF(AND($L$711=0,$P$708=0),"",$L$711-1),IF($R$17="Distrato",$E890,0)),MIN(AT$38,$D$19),$P$20))-SUM($P890:AS890)</f>
        <v>#VALUE!</v>
      </c>
      <c r="AU890" s="446" t="e">
        <f>IF(OR($B890="",MIN(AU$38,$D$19)&lt;MAX($P$708*($B890+IF($R$17="Distrato",$I$38-1,0)),IF(AND($L$711=0,$P$708=0),"",$L$711-1),IF($R$17="Distrato",$E890,0))),0,YEARFRAC(MAX($P$708*($B890+IF($R$17="Distrato",$I$38-1,0)),IF(AND($L$711=0,$P$708=0),"",$L$711-1),IF($R$17="Distrato",$E890,0)),MIN(AU$38,$D$19),$P$20))-SUM($P890:AT890)</f>
        <v>#VALUE!</v>
      </c>
      <c r="AV890" s="446" t="e">
        <f>IF(OR($B890="",MIN(AV$38,$D$19)&lt;MAX($P$708*($B890+IF($R$17="Distrato",$I$38-1,0)),IF(AND($L$711=0,$P$708=0),"",$L$711-1),IF($R$17="Distrato",$E890,0))),0,YEARFRAC(MAX($P$708*($B890+IF($R$17="Distrato",$I$38-1,0)),IF(AND($L$711=0,$P$708=0),"",$L$711-1),IF($R$17="Distrato",$E890,0)),MIN(AV$38,$D$19),$P$20))-SUM($P890:AU890)</f>
        <v>#VALUE!</v>
      </c>
      <c r="AW890" s="446" t="e">
        <f>IF(OR($B890="",MIN(AW$38,$D$19)&lt;MAX($P$708*($B890+IF($R$17="Distrato",$I$38-1,0)),IF(AND($L$711=0,$P$708=0),"",$L$711-1),IF($R$17="Distrato",$E890,0))),0,YEARFRAC(MAX($P$708*($B890+IF($R$17="Distrato",$I$38-1,0)),IF(AND($L$711=0,$P$708=0),"",$L$711-1),IF($R$17="Distrato",$E890,0)),MIN(AW$38,$D$19),$P$20))-SUM($P890:AV890)</f>
        <v>#VALUE!</v>
      </c>
      <c r="AX890" s="446" t="e">
        <f>IF(OR($B890="",MIN(AX$38,$D$19)&lt;MAX($P$708*($B890+IF($R$17="Distrato",$I$38-1,0)),IF(AND($L$711=0,$P$708=0),"",$L$711-1),IF($R$17="Distrato",$E890,0))),0,YEARFRAC(MAX($P$708*($B890+IF($R$17="Distrato",$I$38-1,0)),IF(AND($L$711=0,$P$708=0),"",$L$711-1),IF($R$17="Distrato",$E890,0)),MIN(AX$38,$D$19),$P$20))-SUM($P890:AW890)</f>
        <v>#VALUE!</v>
      </c>
      <c r="AY890" s="446" t="e">
        <f>IF(OR($B890="",MIN(AY$38,$D$19)&lt;MAX($P$708*($B890+IF($R$17="Distrato",$I$38-1,0)),IF(AND($L$711=0,$P$708=0),"",$L$711-1),IF($R$17="Distrato",$E890,0))),0,YEARFRAC(MAX($P$708*($B890+IF($R$17="Distrato",$I$38-1,0)),IF(AND($L$711=0,$P$708=0),"",$L$711-1),IF($R$17="Distrato",$E890,0)),MIN(AY$38,$D$19),$P$20))-SUM($P890:AX890)</f>
        <v>#VALUE!</v>
      </c>
      <c r="AZ890" s="446" t="e">
        <f>IF(OR($B890="",MIN(AZ$38,$D$19)&lt;MAX($P$708*($B890+IF($R$17="Distrato",$I$38-1,0)),IF(AND($L$711=0,$P$708=0),"",$L$711-1),IF($R$17="Distrato",$E890,0))),0,YEARFRAC(MAX($P$708*($B890+IF($R$17="Distrato",$I$38-1,0)),IF(AND($L$711=0,$P$708=0),"",$L$711-1),IF($R$17="Distrato",$E890,0)),MIN(AZ$38,$D$19),$P$20))-SUM($P890:AY890)</f>
        <v>#VALUE!</v>
      </c>
      <c r="BA890" s="446" t="e">
        <f>IF(OR($B890="",MIN(BA$38,$D$19)&lt;MAX($P$708*($B890+IF($R$17="Distrato",$I$38-1,0)),IF(AND($L$711=0,$P$708=0),"",$L$711-1),IF($R$17="Distrato",$E890,0))),0,YEARFRAC(MAX($P$708*($B890+IF($R$17="Distrato",$I$38-1,0)),IF(AND($L$711=0,$P$708=0),"",$L$711-1),IF($R$17="Distrato",$E890,0)),MIN(BA$38,$D$19),$P$20))-SUM($P890:AZ890)</f>
        <v>#VALUE!</v>
      </c>
      <c r="BB890" s="447"/>
    </row>
    <row r="891" spans="1:54" s="446" customFormat="1" ht="11.25" hidden="1" customHeight="1" x14ac:dyDescent="0.2">
      <c r="A891" s="235"/>
      <c r="B891" s="236"/>
      <c r="C891" s="29" t="str">
        <f>IF(B891="","",IF($L$709=$BL$25,VLOOKUP(DATE(YEAR($D$19),MONTH($D$19)-1,1),ÍNDICES!$A:$DE,HLOOKUP($BL$25,ÍNDICES!$B$3:$T$4,2)+11)-VLOOKUP(B891,ÍNDICES!$A:$DE,HLOOKUP($BL$25,ÍNDICES!$B$3:$T$4,2)+11)+1%,IF(C$712=$W$26,$J$35,IF(ISERROR(IF(B891&gt;$D$19,1,VLOOKUP(DATE(YEAR(B891),MONTH(B891)+IF($C$709=$S$23,1,0),1),ÍNDICES!$A:$DE,$Z$709+1))),"",IF(B891&gt;$D$19,1,VLOOKUP(DATE(YEAR(B891),MONTH(B891)+IF($C$709=$S$23,1,0),1),ÍNDICES!$A:$DE,$Z$709+1))))))</f>
        <v/>
      </c>
      <c r="D891" s="155"/>
      <c r="E891" s="88"/>
      <c r="F891" s="88"/>
      <c r="G891" s="88"/>
      <c r="H891" s="118"/>
      <c r="I891" s="182">
        <f t="shared" si="129"/>
        <v>0</v>
      </c>
      <c r="J891" s="20">
        <f t="shared" ca="1" si="130"/>
        <v>0</v>
      </c>
      <c r="K891" s="5">
        <f t="shared" ca="1" si="131"/>
        <v>0</v>
      </c>
      <c r="L891" s="61">
        <f t="shared" ca="1" si="132"/>
        <v>0</v>
      </c>
      <c r="M891" s="64">
        <f t="shared" si="133"/>
        <v>0</v>
      </c>
      <c r="N891" s="151"/>
      <c r="O891" s="5">
        <f t="shared" ca="1" si="134"/>
        <v>0</v>
      </c>
      <c r="P891" s="446" t="e">
        <f t="shared" si="135"/>
        <v>#VALUE!</v>
      </c>
      <c r="Q891" s="446" t="e">
        <f>IF(OR($B891="",MIN(Q$38,$D$19)&lt;MAX($P$708*($B891+IF($R$17="Distrato",$I$38-1,0)),IF(AND($L$711=0,$P$708=0),"",$L$711-1),IF($R$17="Distrato",$E891,0))),0,YEARFRAC(MAX($P$708*($B891+IF($R$17="Distrato",$I$38-1,0)),IF(AND($L$711=0,$P$708=0),"",$L$711-1),IF($R$17="Distrato",$E891,0)),MIN(Q$38,$D$19),$P$20))-SUM($P891:P891)</f>
        <v>#VALUE!</v>
      </c>
      <c r="R891" s="446" t="e">
        <f>IF(OR($B891="",MIN(R$38,$D$19)&lt;MAX($P$708*($B891+IF($R$17="Distrato",$I$38-1,0)),IF(AND($L$711=0,$P$708=0),"",$L$711-1),IF($R$17="Distrato",$E891,0))),0,YEARFRAC(MAX($P$708*($B891+IF($R$17="Distrato",$I$38-1,0)),IF(AND($L$711=0,$P$708=0),"",$L$711-1),IF($R$17="Distrato",$E891,0)),MIN(R$38,$D$19),$P$20))-SUM($P891:Q891)</f>
        <v>#VALUE!</v>
      </c>
      <c r="S891" s="446" t="e">
        <f>IF(OR($B891="",MIN(S$38,$D$19)&lt;MAX($P$708*($B891+IF($R$17="Distrato",$I$38-1,0)),IF(AND($L$711=0,$P$708=0),"",$L$711-1),IF($R$17="Distrato",$E891,0))),0,YEARFRAC(MAX($P$708*($B891+IF($R$17="Distrato",$I$38-1,0)),IF(AND($L$711=0,$P$708=0),"",$L$711-1),IF($R$17="Distrato",$E891,0)),MIN(S$38,$D$19),$P$20))-SUM($P891:R891)</f>
        <v>#VALUE!</v>
      </c>
      <c r="T891" s="446" t="e">
        <f>IF(OR($B891="",MIN(T$38,$D$19)&lt;MAX($P$708*($B891+IF($R$17="Distrato",$I$38-1,0)),IF(AND($L$711=0,$P$708=0),"",$L$711-1),IF($R$17="Distrato",$E891,0))),0,YEARFRAC(MAX($P$708*($B891+IF($R$17="Distrato",$I$38-1,0)),IF(AND($L$711=0,$P$708=0),"",$L$711-1),IF($R$17="Distrato",$E891,0)),MIN(T$38,$D$19),$P$20))-SUM($P891:S891)</f>
        <v>#VALUE!</v>
      </c>
      <c r="U891" s="446" t="e">
        <f>IF(OR($B891="",MIN(U$38,$D$19)&lt;MAX($P$708*($B891+IF($R$17="Distrato",$I$38-1,0)),IF(AND($L$711=0,$P$708=0),"",$L$711-1),IF($R$17="Distrato",$E891,0))),0,YEARFRAC(MAX($P$708*($B891+IF($R$17="Distrato",$I$38-1,0)),IF(AND($L$711=0,$P$708=0),"",$L$711-1),IF($R$17="Distrato",$E891,0)),MIN(U$38,$D$19),$P$20))-SUM($P891:T891)</f>
        <v>#VALUE!</v>
      </c>
      <c r="V891" s="446" t="e">
        <f>IF(OR($B891="",MIN(V$38,$D$19)&lt;MAX($P$708*($B891+IF($R$17="Distrato",$I$38-1,0)),IF(AND($L$711=0,$P$708=0),"",$L$711-1),IF($R$17="Distrato",$E891,0))),0,YEARFRAC(MAX($P$708*($B891+IF($R$17="Distrato",$I$38-1,0)),IF(AND($L$711=0,$P$708=0),"",$L$711-1),IF($R$17="Distrato",$E891,0)),MIN(V$38,$D$19),$P$20))-SUM($P891:U891)</f>
        <v>#VALUE!</v>
      </c>
      <c r="W891" s="446" t="e">
        <f>IF(OR($B891="",MIN(W$38,$D$19)&lt;MAX($P$708*($B891+IF($R$17="Distrato",$I$38-1,0)),IF(AND($L$711=0,$P$708=0),"",$L$711-1),IF($R$17="Distrato",$E891,0))),0,YEARFRAC(MAX($P$708*($B891+IF($R$17="Distrato",$I$38-1,0)),IF(AND($L$711=0,$P$708=0),"",$L$711-1),IF($R$17="Distrato",$E891,0)),MIN(W$38,$D$19),$P$20))-SUM($P891:V891)</f>
        <v>#VALUE!</v>
      </c>
      <c r="X891" s="446" t="e">
        <f>IF(OR($B891="",MIN(X$38,$D$19)&lt;MAX($P$708*($B891+IF($R$17="Distrato",$I$38-1,0)),IF(AND($L$711=0,$P$708=0),"",$L$711-1),IF($R$17="Distrato",$E891,0))),0,YEARFRAC(MAX($P$708*($B891+IF($R$17="Distrato",$I$38-1,0)),IF(AND($L$711=0,$P$708=0),"",$L$711-1),IF($R$17="Distrato",$E891,0)),MIN(X$38,$D$19),$P$20))-SUM($P891:W891)</f>
        <v>#VALUE!</v>
      </c>
      <c r="Y891" s="446" t="e">
        <f>IF(OR($B891="",MIN(Y$38,$D$19)&lt;MAX($P$708*($B891+IF($R$17="Distrato",$I$38-1,0)),IF(AND($L$711=0,$P$708=0),"",$L$711-1),IF($R$17="Distrato",$E891,0))),0,YEARFRAC(MAX($P$708*($B891+IF($R$17="Distrato",$I$38-1,0)),IF(AND($L$711=0,$P$708=0),"",$L$711-1),IF($R$17="Distrato",$E891,0)),MIN(Y$38,$D$19),$P$20))-SUM($P891:X891)</f>
        <v>#VALUE!</v>
      </c>
      <c r="Z891" s="446" t="e">
        <f>IF(OR($B891="",MIN(Z$38,$D$19)&lt;MAX($P$708*($B891+IF($R$17="Distrato",$I$38-1,0)),IF(AND($L$711=0,$P$708=0),"",$L$711-1),IF($R$17="Distrato",$E891,0))),0,YEARFRAC(MAX($P$708*($B891+IF($R$17="Distrato",$I$38-1,0)),IF(AND($L$711=0,$P$708=0),"",$L$711-1),IF($R$17="Distrato",$E891,0)),MIN(Z$38,$D$19),$P$20))-SUM($P891:Y891)</f>
        <v>#VALUE!</v>
      </c>
      <c r="AA891" s="446" t="e">
        <f>IF(OR($B891="",MIN(AA$38,$D$19)&lt;MAX($P$708*($B891+IF($R$17="Distrato",$I$38-1,0)),IF(AND($L$711=0,$P$708=0),"",$L$711-1),IF($R$17="Distrato",$E891,0))),0,YEARFRAC(MAX($P$708*($B891+IF($R$17="Distrato",$I$38-1,0)),IF(AND($L$711=0,$P$708=0),"",$L$711-1),IF($R$17="Distrato",$E891,0)),MIN(AA$38,$D$19),$P$20))-SUM($P891:Z891)</f>
        <v>#VALUE!</v>
      </c>
      <c r="AB891" s="446" t="e">
        <f>IF(OR($B891="",MIN(AB$38,$D$19)&lt;MAX($P$708*($B891+IF($R$17="Distrato",$I$38-1,0)),IF(AND($L$711=0,$P$708=0),"",$L$711-1),IF($R$17="Distrato",$E891,0))),0,YEARFRAC(MAX($P$708*($B891+IF($R$17="Distrato",$I$38-1,0)),IF(AND($L$711=0,$P$708=0),"",$L$711-1),IF($R$17="Distrato",$E891,0)),MIN(AB$38,$D$19),$P$20))-SUM($P891:AA891)</f>
        <v>#VALUE!</v>
      </c>
      <c r="AC891" s="446" t="e">
        <f>IF(OR($B891="",MIN(AC$38,$D$19)&lt;MAX($P$708*($B891+IF($R$17="Distrato",$I$38-1,0)),IF(AND($L$711=0,$P$708=0),"",$L$711-1),IF($R$17="Distrato",$E891,0))),0,YEARFRAC(MAX($P$708*($B891+IF($R$17="Distrato",$I$38-1,0)),IF(AND($L$711=0,$P$708=0),"",$L$711-1),IF($R$17="Distrato",$E891,0)),MIN(AC$38,$D$19),$P$20))-SUM($P891:AB891)</f>
        <v>#VALUE!</v>
      </c>
      <c r="AD891" s="446" t="e">
        <f>IF(OR($B891="",MIN(AD$38,$D$19)&lt;MAX($P$708*($B891+IF($R$17="Distrato",$I$38-1,0)),IF(AND($L$711=0,$P$708=0),"",$L$711-1),IF($R$17="Distrato",$E891,0))),0,YEARFRAC(MAX($P$708*($B891+IF($R$17="Distrato",$I$38-1,0)),IF(AND($L$711=0,$P$708=0),"",$L$711-1),IF($R$17="Distrato",$E891,0)),MIN(AD$38,$D$19),$P$20))-SUM($P891:AC891)</f>
        <v>#VALUE!</v>
      </c>
      <c r="AE891" s="446" t="e">
        <f>IF(OR($B891="",MIN(AE$38,$D$19)&lt;MAX($P$708*($B891+IF($R$17="Distrato",$I$38-1,0)),IF(AND($L$711=0,$P$708=0),"",$L$711-1),IF($R$17="Distrato",$E891,0))),0,YEARFRAC(MAX($P$708*($B891+IF($R$17="Distrato",$I$38-1,0)),IF(AND($L$711=0,$P$708=0),"",$L$711-1),IF($R$17="Distrato",$E891,0)),MIN(AE$38,$D$19),$P$20))-SUM($P891:AD891)</f>
        <v>#VALUE!</v>
      </c>
      <c r="AF891" s="446" t="e">
        <f>IF(OR($B891="",MIN(AF$38,$D$19)&lt;MAX($P$708*($B891+IF($R$17="Distrato",$I$38-1,0)),IF(AND($L$711=0,$P$708=0),"",$L$711-1),IF($R$17="Distrato",$E891,0))),0,YEARFRAC(MAX($P$708*($B891+IF($R$17="Distrato",$I$38-1,0)),IF(AND($L$711=0,$P$708=0),"",$L$711-1),IF($R$17="Distrato",$E891,0)),MIN(AF$38,$D$19),$P$20))-SUM($P891:AE891)</f>
        <v>#VALUE!</v>
      </c>
      <c r="AG891" s="446" t="e">
        <f>IF(OR($B891="",MIN(AG$38,$D$19)&lt;MAX($P$708*($B891+IF($R$17="Distrato",$I$38-1,0)),IF(AND($L$711=0,$P$708=0),"",$L$711-1),IF($R$17="Distrato",$E891,0))),0,YEARFRAC(MAX($P$708*($B891+IF($R$17="Distrato",$I$38-1,0)),IF(AND($L$711=0,$P$708=0),"",$L$711-1),IF($R$17="Distrato",$E891,0)),MIN(AG$38,$D$19),$P$20))-SUM($P891:AF891)</f>
        <v>#VALUE!</v>
      </c>
      <c r="AH891" s="446" t="e">
        <f>IF(OR($B891="",MIN(AH$38,$D$19)&lt;MAX($P$708*($B891+IF($R$17="Distrato",$I$38-1,0)),IF(AND($L$711=0,$P$708=0),"",$L$711-1),IF($R$17="Distrato",$E891,0))),0,YEARFRAC(MAX($P$708*($B891+IF($R$17="Distrato",$I$38-1,0)),IF(AND($L$711=0,$P$708=0),"",$L$711-1),IF($R$17="Distrato",$E891,0)),MIN(AH$38,$D$19),$P$20))-SUM($P891:AG891)</f>
        <v>#VALUE!</v>
      </c>
      <c r="AI891" s="446" t="e">
        <f>IF(OR($B891="",MIN(AI$38,$D$19)&lt;MAX($P$708*($B891+IF($R$17="Distrato",$I$38-1,0)),IF(AND($L$711=0,$P$708=0),"",$L$711-1),IF($R$17="Distrato",$E891,0))),0,YEARFRAC(MAX($P$708*($B891+IF($R$17="Distrato",$I$38-1,0)),IF(AND($L$711=0,$P$708=0),"",$L$711-1),IF($R$17="Distrato",$E891,0)),MIN(AI$38,$D$19),$P$20))-SUM($P891:AH891)</f>
        <v>#VALUE!</v>
      </c>
      <c r="AJ891" s="446" t="e">
        <f>IF(OR($B891="",MIN(AJ$38,$D$19)&lt;MAX($P$708*($B891+IF($R$17="Distrato",$I$38-1,0)),IF(AND($L$711=0,$P$708=0),"",$L$711-1),IF($R$17="Distrato",$E891,0))),0,YEARFRAC(MAX($P$708*($B891+IF($R$17="Distrato",$I$38-1,0)),IF(AND($L$711=0,$P$708=0),"",$L$711-1),IF($R$17="Distrato",$E891,0)),MIN(AJ$38,$D$19),$P$20))-SUM($P891:AI891)</f>
        <v>#VALUE!</v>
      </c>
      <c r="AK891" s="446" t="e">
        <f>IF(OR($B891="",MIN(AK$38,$D$19)&lt;MAX($P$708*($B891+IF($R$17="Distrato",$I$38-1,0)),IF(AND($L$711=0,$P$708=0),"",$L$711-1),IF($R$17="Distrato",$E891,0))),0,YEARFRAC(MAX($P$708*($B891+IF($R$17="Distrato",$I$38-1,0)),IF(AND($L$711=0,$P$708=0),"",$L$711-1),IF($R$17="Distrato",$E891,0)),MIN(AK$38,$D$19),$P$20))-SUM($P891:AJ891)</f>
        <v>#VALUE!</v>
      </c>
      <c r="AL891" s="446" t="e">
        <f>IF(OR($B891="",MIN(AL$38,$D$19)&lt;MAX($P$708*($B891+IF($R$17="Distrato",$I$38-1,0)),IF(AND($L$711=0,$P$708=0),"",$L$711-1),IF($R$17="Distrato",$E891,0))),0,YEARFRAC(MAX($P$708*($B891+IF($R$17="Distrato",$I$38-1,0)),IF(AND($L$711=0,$P$708=0),"",$L$711-1),IF($R$17="Distrato",$E891,0)),MIN(AL$38,$D$19),$P$20))-SUM($P891:AK891)</f>
        <v>#VALUE!</v>
      </c>
      <c r="AM891" s="446" t="e">
        <f>IF(OR($B891="",MIN(AM$38,$D$19)&lt;MAX($P$708*($B891+IF($R$17="Distrato",$I$38-1,0)),IF(AND($L$711=0,$P$708=0),"",$L$711-1),IF($R$17="Distrato",$E891,0))),0,YEARFRAC(MAX($P$708*($B891+IF($R$17="Distrato",$I$38-1,0)),IF(AND($L$711=0,$P$708=0),"",$L$711-1),IF($R$17="Distrato",$E891,0)),MIN(AM$38,$D$19),$P$20))-SUM($P891:AL891)</f>
        <v>#VALUE!</v>
      </c>
      <c r="AN891" s="446" t="e">
        <f>IF(OR($B891="",MIN(AN$38,$D$19)&lt;MAX($P$708*($B891+IF($R$17="Distrato",$I$38-1,0)),IF(AND($L$711=0,$P$708=0),"",$L$711-1),IF($R$17="Distrato",$E891,0))),0,YEARFRAC(MAX($P$708*($B891+IF($R$17="Distrato",$I$38-1,0)),IF(AND($L$711=0,$P$708=0),"",$L$711-1),IF($R$17="Distrato",$E891,0)),MIN(AN$38,$D$19),$P$20))-SUM($P891:AM891)</f>
        <v>#VALUE!</v>
      </c>
      <c r="AO891" s="446" t="e">
        <f>IF(OR($B891="",MIN(AO$38,$D$19)&lt;MAX($P$708*($B891+IF($R$17="Distrato",$I$38-1,0)),IF(AND($L$711=0,$P$708=0),"",$L$711-1),IF($R$17="Distrato",$E891,0))),0,YEARFRAC(MAX($P$708*($B891+IF($R$17="Distrato",$I$38-1,0)),IF(AND($L$711=0,$P$708=0),"",$L$711-1),IF($R$17="Distrato",$E891,0)),MIN(AO$38,$D$19),$P$20))-SUM($P891:AN891)</f>
        <v>#VALUE!</v>
      </c>
      <c r="AP891" s="446" t="e">
        <f>IF(OR($B891="",MIN(AP$38,$D$19)&lt;MAX($P$708*($B891+IF($R$17="Distrato",$I$38-1,0)),IF(AND($L$711=0,$P$708=0),"",$L$711-1),IF($R$17="Distrato",$E891,0))),0,YEARFRAC(MAX($P$708*($B891+IF($R$17="Distrato",$I$38-1,0)),IF(AND($L$711=0,$P$708=0),"",$L$711-1),IF($R$17="Distrato",$E891,0)),MIN(AP$38,$D$19),$P$20))-SUM($P891:AO891)</f>
        <v>#VALUE!</v>
      </c>
      <c r="AQ891" s="446" t="e">
        <f>IF(OR($B891="",MIN(AQ$38,$D$19)&lt;MAX($P$708*($B891+IF($R$17="Distrato",$I$38-1,0)),IF(AND($L$711=0,$P$708=0),"",$L$711-1),IF($R$17="Distrato",$E891,0))),0,YEARFRAC(MAX($P$708*($B891+IF($R$17="Distrato",$I$38-1,0)),IF(AND($L$711=0,$P$708=0),"",$L$711-1),IF($R$17="Distrato",$E891,0)),MIN(AQ$38,$D$19),$P$20))-SUM($P891:AP891)</f>
        <v>#VALUE!</v>
      </c>
      <c r="AR891" s="446" t="e">
        <f>IF(OR($B891="",MIN(AR$38,$D$19)&lt;MAX($P$708*($B891+IF($R$17="Distrato",$I$38-1,0)),IF(AND($L$711=0,$P$708=0),"",$L$711-1),IF($R$17="Distrato",$E891,0))),0,YEARFRAC(MAX($P$708*($B891+IF($R$17="Distrato",$I$38-1,0)),IF(AND($L$711=0,$P$708=0),"",$L$711-1),IF($R$17="Distrato",$E891,0)),MIN(AR$38,$D$19),$P$20))-SUM($P891:AQ891)</f>
        <v>#VALUE!</v>
      </c>
      <c r="AS891" s="446" t="e">
        <f>IF(OR($B891="",MIN(AS$38,$D$19)&lt;MAX($P$708*($B891+IF($R$17="Distrato",$I$38-1,0)),IF(AND($L$711=0,$P$708=0),"",$L$711-1),IF($R$17="Distrato",$E891,0))),0,YEARFRAC(MAX($P$708*($B891+IF($R$17="Distrato",$I$38-1,0)),IF(AND($L$711=0,$P$708=0),"",$L$711-1),IF($R$17="Distrato",$E891,0)),MIN(AS$38,$D$19),$P$20))-SUM($P891:AR891)</f>
        <v>#VALUE!</v>
      </c>
      <c r="AT891" s="446" t="e">
        <f>IF(OR($B891="",MIN(AT$38,$D$19)&lt;MAX($P$708*($B891+IF($R$17="Distrato",$I$38-1,0)),IF(AND($L$711=0,$P$708=0),"",$L$711-1),IF($R$17="Distrato",$E891,0))),0,YEARFRAC(MAX($P$708*($B891+IF($R$17="Distrato",$I$38-1,0)),IF(AND($L$711=0,$P$708=0),"",$L$711-1),IF($R$17="Distrato",$E891,0)),MIN(AT$38,$D$19),$P$20))-SUM($P891:AS891)</f>
        <v>#VALUE!</v>
      </c>
      <c r="AU891" s="446" t="e">
        <f>IF(OR($B891="",MIN(AU$38,$D$19)&lt;MAX($P$708*($B891+IF($R$17="Distrato",$I$38-1,0)),IF(AND($L$711=0,$P$708=0),"",$L$711-1),IF($R$17="Distrato",$E891,0))),0,YEARFRAC(MAX($P$708*($B891+IF($R$17="Distrato",$I$38-1,0)),IF(AND($L$711=0,$P$708=0),"",$L$711-1),IF($R$17="Distrato",$E891,0)),MIN(AU$38,$D$19),$P$20))-SUM($P891:AT891)</f>
        <v>#VALUE!</v>
      </c>
      <c r="AV891" s="446" t="e">
        <f>IF(OR($B891="",MIN(AV$38,$D$19)&lt;MAX($P$708*($B891+IF($R$17="Distrato",$I$38-1,0)),IF(AND($L$711=0,$P$708=0),"",$L$711-1),IF($R$17="Distrato",$E891,0))),0,YEARFRAC(MAX($P$708*($B891+IF($R$17="Distrato",$I$38-1,0)),IF(AND($L$711=0,$P$708=0),"",$L$711-1),IF($R$17="Distrato",$E891,0)),MIN(AV$38,$D$19),$P$20))-SUM($P891:AU891)</f>
        <v>#VALUE!</v>
      </c>
      <c r="AW891" s="446" t="e">
        <f>IF(OR($B891="",MIN(AW$38,$D$19)&lt;MAX($P$708*($B891+IF($R$17="Distrato",$I$38-1,0)),IF(AND($L$711=0,$P$708=0),"",$L$711-1),IF($R$17="Distrato",$E891,0))),0,YEARFRAC(MAX($P$708*($B891+IF($R$17="Distrato",$I$38-1,0)),IF(AND($L$711=0,$P$708=0),"",$L$711-1),IF($R$17="Distrato",$E891,0)),MIN(AW$38,$D$19),$P$20))-SUM($P891:AV891)</f>
        <v>#VALUE!</v>
      </c>
      <c r="AX891" s="446" t="e">
        <f>IF(OR($B891="",MIN(AX$38,$D$19)&lt;MAX($P$708*($B891+IF($R$17="Distrato",$I$38-1,0)),IF(AND($L$711=0,$P$708=0),"",$L$711-1),IF($R$17="Distrato",$E891,0))),0,YEARFRAC(MAX($P$708*($B891+IF($R$17="Distrato",$I$38-1,0)),IF(AND($L$711=0,$P$708=0),"",$L$711-1),IF($R$17="Distrato",$E891,0)),MIN(AX$38,$D$19),$P$20))-SUM($P891:AW891)</f>
        <v>#VALUE!</v>
      </c>
      <c r="AY891" s="446" t="e">
        <f>IF(OR($B891="",MIN(AY$38,$D$19)&lt;MAX($P$708*($B891+IF($R$17="Distrato",$I$38-1,0)),IF(AND($L$711=0,$P$708=0),"",$L$711-1),IF($R$17="Distrato",$E891,0))),0,YEARFRAC(MAX($P$708*($B891+IF($R$17="Distrato",$I$38-1,0)),IF(AND($L$711=0,$P$708=0),"",$L$711-1),IF($R$17="Distrato",$E891,0)),MIN(AY$38,$D$19),$P$20))-SUM($P891:AX891)</f>
        <v>#VALUE!</v>
      </c>
      <c r="AZ891" s="446" t="e">
        <f>IF(OR($B891="",MIN(AZ$38,$D$19)&lt;MAX($P$708*($B891+IF($R$17="Distrato",$I$38-1,0)),IF(AND($L$711=0,$P$708=0),"",$L$711-1),IF($R$17="Distrato",$E891,0))),0,YEARFRAC(MAX($P$708*($B891+IF($R$17="Distrato",$I$38-1,0)),IF(AND($L$711=0,$P$708=0),"",$L$711-1),IF($R$17="Distrato",$E891,0)),MIN(AZ$38,$D$19),$P$20))-SUM($P891:AY891)</f>
        <v>#VALUE!</v>
      </c>
      <c r="BA891" s="446" t="e">
        <f>IF(OR($B891="",MIN(BA$38,$D$19)&lt;MAX($P$708*($B891+IF($R$17="Distrato",$I$38-1,0)),IF(AND($L$711=0,$P$708=0),"",$L$711-1),IF($R$17="Distrato",$E891,0))),0,YEARFRAC(MAX($P$708*($B891+IF($R$17="Distrato",$I$38-1,0)),IF(AND($L$711=0,$P$708=0),"",$L$711-1),IF($R$17="Distrato",$E891,0)),MIN(BA$38,$D$19),$P$20))-SUM($P891:AZ891)</f>
        <v>#VALUE!</v>
      </c>
      <c r="BB891" s="447"/>
    </row>
    <row r="892" spans="1:54" s="446" customFormat="1" ht="11.25" hidden="1" customHeight="1" x14ac:dyDescent="0.2">
      <c r="A892" s="235"/>
      <c r="B892" s="236"/>
      <c r="C892" s="29" t="str">
        <f>IF(B892="","",IF($L$709=$BL$25,VLOOKUP(DATE(YEAR($D$19),MONTH($D$19)-1,1),ÍNDICES!$A:$DE,HLOOKUP($BL$25,ÍNDICES!$B$3:$T$4,2)+11)-VLOOKUP(B892,ÍNDICES!$A:$DE,HLOOKUP($BL$25,ÍNDICES!$B$3:$T$4,2)+11)+1%,IF(C$712=$W$26,$J$35,IF(ISERROR(IF(B892&gt;$D$19,1,VLOOKUP(DATE(YEAR(B892),MONTH(B892)+IF($C$709=$S$23,1,0),1),ÍNDICES!$A:$DE,$Z$709+1))),"",IF(B892&gt;$D$19,1,VLOOKUP(DATE(YEAR(B892),MONTH(B892)+IF($C$709=$S$23,1,0),1),ÍNDICES!$A:$DE,$Z$709+1))))))</f>
        <v/>
      </c>
      <c r="D892" s="155"/>
      <c r="E892" s="88"/>
      <c r="F892" s="88"/>
      <c r="G892" s="88"/>
      <c r="H892" s="118"/>
      <c r="I892" s="182">
        <f t="shared" si="129"/>
        <v>0</v>
      </c>
      <c r="J892" s="20">
        <f t="shared" ca="1" si="130"/>
        <v>0</v>
      </c>
      <c r="K892" s="5">
        <f t="shared" ca="1" si="131"/>
        <v>0</v>
      </c>
      <c r="L892" s="61">
        <f t="shared" ca="1" si="132"/>
        <v>0</v>
      </c>
      <c r="M892" s="64">
        <f t="shared" si="133"/>
        <v>0</v>
      </c>
      <c r="N892" s="151"/>
      <c r="O892" s="5">
        <f t="shared" ca="1" si="134"/>
        <v>0</v>
      </c>
      <c r="P892" s="446" t="e">
        <f t="shared" si="135"/>
        <v>#VALUE!</v>
      </c>
      <c r="Q892" s="446" t="e">
        <f>IF(OR($B892="",MIN(Q$38,$D$19)&lt;MAX($P$708*($B892+IF($R$17="Distrato",$I$38-1,0)),IF(AND($L$711=0,$P$708=0),"",$L$711-1),IF($R$17="Distrato",$E892,0))),0,YEARFRAC(MAX($P$708*($B892+IF($R$17="Distrato",$I$38-1,0)),IF(AND($L$711=0,$P$708=0),"",$L$711-1),IF($R$17="Distrato",$E892,0)),MIN(Q$38,$D$19),$P$20))-SUM($P892:P892)</f>
        <v>#VALUE!</v>
      </c>
      <c r="R892" s="446" t="e">
        <f>IF(OR($B892="",MIN(R$38,$D$19)&lt;MAX($P$708*($B892+IF($R$17="Distrato",$I$38-1,0)),IF(AND($L$711=0,$P$708=0),"",$L$711-1),IF($R$17="Distrato",$E892,0))),0,YEARFRAC(MAX($P$708*($B892+IF($R$17="Distrato",$I$38-1,0)),IF(AND($L$711=0,$P$708=0),"",$L$711-1),IF($R$17="Distrato",$E892,0)),MIN(R$38,$D$19),$P$20))-SUM($P892:Q892)</f>
        <v>#VALUE!</v>
      </c>
      <c r="S892" s="446" t="e">
        <f>IF(OR($B892="",MIN(S$38,$D$19)&lt;MAX($P$708*($B892+IF($R$17="Distrato",$I$38-1,0)),IF(AND($L$711=0,$P$708=0),"",$L$711-1),IF($R$17="Distrato",$E892,0))),0,YEARFRAC(MAX($P$708*($B892+IF($R$17="Distrato",$I$38-1,0)),IF(AND($L$711=0,$P$708=0),"",$L$711-1),IF($R$17="Distrato",$E892,0)),MIN(S$38,$D$19),$P$20))-SUM($P892:R892)</f>
        <v>#VALUE!</v>
      </c>
      <c r="T892" s="446" t="e">
        <f>IF(OR($B892="",MIN(T$38,$D$19)&lt;MAX($P$708*($B892+IF($R$17="Distrato",$I$38-1,0)),IF(AND($L$711=0,$P$708=0),"",$L$711-1),IF($R$17="Distrato",$E892,0))),0,YEARFRAC(MAX($P$708*($B892+IF($R$17="Distrato",$I$38-1,0)),IF(AND($L$711=0,$P$708=0),"",$L$711-1),IF($R$17="Distrato",$E892,0)),MIN(T$38,$D$19),$P$20))-SUM($P892:S892)</f>
        <v>#VALUE!</v>
      </c>
      <c r="U892" s="446" t="e">
        <f>IF(OR($B892="",MIN(U$38,$D$19)&lt;MAX($P$708*($B892+IF($R$17="Distrato",$I$38-1,0)),IF(AND($L$711=0,$P$708=0),"",$L$711-1),IF($R$17="Distrato",$E892,0))),0,YEARFRAC(MAX($P$708*($B892+IF($R$17="Distrato",$I$38-1,0)),IF(AND($L$711=0,$P$708=0),"",$L$711-1),IF($R$17="Distrato",$E892,0)),MIN(U$38,$D$19),$P$20))-SUM($P892:T892)</f>
        <v>#VALUE!</v>
      </c>
      <c r="V892" s="446" t="e">
        <f>IF(OR($B892="",MIN(V$38,$D$19)&lt;MAX($P$708*($B892+IF($R$17="Distrato",$I$38-1,0)),IF(AND($L$711=0,$P$708=0),"",$L$711-1),IF($R$17="Distrato",$E892,0))),0,YEARFRAC(MAX($P$708*($B892+IF($R$17="Distrato",$I$38-1,0)),IF(AND($L$711=0,$P$708=0),"",$L$711-1),IF($R$17="Distrato",$E892,0)),MIN(V$38,$D$19),$P$20))-SUM($P892:U892)</f>
        <v>#VALUE!</v>
      </c>
      <c r="W892" s="446" t="e">
        <f>IF(OR($B892="",MIN(W$38,$D$19)&lt;MAX($P$708*($B892+IF($R$17="Distrato",$I$38-1,0)),IF(AND($L$711=0,$P$708=0),"",$L$711-1),IF($R$17="Distrato",$E892,0))),0,YEARFRAC(MAX($P$708*($B892+IF($R$17="Distrato",$I$38-1,0)),IF(AND($L$711=0,$P$708=0),"",$L$711-1),IF($R$17="Distrato",$E892,0)),MIN(W$38,$D$19),$P$20))-SUM($P892:V892)</f>
        <v>#VALUE!</v>
      </c>
      <c r="X892" s="446" t="e">
        <f>IF(OR($B892="",MIN(X$38,$D$19)&lt;MAX($P$708*($B892+IF($R$17="Distrato",$I$38-1,0)),IF(AND($L$711=0,$P$708=0),"",$L$711-1),IF($R$17="Distrato",$E892,0))),0,YEARFRAC(MAX($P$708*($B892+IF($R$17="Distrato",$I$38-1,0)),IF(AND($L$711=0,$P$708=0),"",$L$711-1),IF($R$17="Distrato",$E892,0)),MIN(X$38,$D$19),$P$20))-SUM($P892:W892)</f>
        <v>#VALUE!</v>
      </c>
      <c r="Y892" s="446" t="e">
        <f>IF(OR($B892="",MIN(Y$38,$D$19)&lt;MAX($P$708*($B892+IF($R$17="Distrato",$I$38-1,0)),IF(AND($L$711=0,$P$708=0),"",$L$711-1),IF($R$17="Distrato",$E892,0))),0,YEARFRAC(MAX($P$708*($B892+IF($R$17="Distrato",$I$38-1,0)),IF(AND($L$711=0,$P$708=0),"",$L$711-1),IF($R$17="Distrato",$E892,0)),MIN(Y$38,$D$19),$P$20))-SUM($P892:X892)</f>
        <v>#VALUE!</v>
      </c>
      <c r="Z892" s="446" t="e">
        <f>IF(OR($B892="",MIN(Z$38,$D$19)&lt;MAX($P$708*($B892+IF($R$17="Distrato",$I$38-1,0)),IF(AND($L$711=0,$P$708=0),"",$L$711-1),IF($R$17="Distrato",$E892,0))),0,YEARFRAC(MAX($P$708*($B892+IF($R$17="Distrato",$I$38-1,0)),IF(AND($L$711=0,$P$708=0),"",$L$711-1),IF($R$17="Distrato",$E892,0)),MIN(Z$38,$D$19),$P$20))-SUM($P892:Y892)</f>
        <v>#VALUE!</v>
      </c>
      <c r="AA892" s="446" t="e">
        <f>IF(OR($B892="",MIN(AA$38,$D$19)&lt;MAX($P$708*($B892+IF($R$17="Distrato",$I$38-1,0)),IF(AND($L$711=0,$P$708=0),"",$L$711-1),IF($R$17="Distrato",$E892,0))),0,YEARFRAC(MAX($P$708*($B892+IF($R$17="Distrato",$I$38-1,0)),IF(AND($L$711=0,$P$708=0),"",$L$711-1),IF($R$17="Distrato",$E892,0)),MIN(AA$38,$D$19),$P$20))-SUM($P892:Z892)</f>
        <v>#VALUE!</v>
      </c>
      <c r="AB892" s="446" t="e">
        <f>IF(OR($B892="",MIN(AB$38,$D$19)&lt;MAX($P$708*($B892+IF($R$17="Distrato",$I$38-1,0)),IF(AND($L$711=0,$P$708=0),"",$L$711-1),IF($R$17="Distrato",$E892,0))),0,YEARFRAC(MAX($P$708*($B892+IF($R$17="Distrato",$I$38-1,0)),IF(AND($L$711=0,$P$708=0),"",$L$711-1),IF($R$17="Distrato",$E892,0)),MIN(AB$38,$D$19),$P$20))-SUM($P892:AA892)</f>
        <v>#VALUE!</v>
      </c>
      <c r="AC892" s="446" t="e">
        <f>IF(OR($B892="",MIN(AC$38,$D$19)&lt;MAX($P$708*($B892+IF($R$17="Distrato",$I$38-1,0)),IF(AND($L$711=0,$P$708=0),"",$L$711-1),IF($R$17="Distrato",$E892,0))),0,YEARFRAC(MAX($P$708*($B892+IF($R$17="Distrato",$I$38-1,0)),IF(AND($L$711=0,$P$708=0),"",$L$711-1),IF($R$17="Distrato",$E892,0)),MIN(AC$38,$D$19),$P$20))-SUM($P892:AB892)</f>
        <v>#VALUE!</v>
      </c>
      <c r="AD892" s="446" t="e">
        <f>IF(OR($B892="",MIN(AD$38,$D$19)&lt;MAX($P$708*($B892+IF($R$17="Distrato",$I$38-1,0)),IF(AND($L$711=0,$P$708=0),"",$L$711-1),IF($R$17="Distrato",$E892,0))),0,YEARFRAC(MAX($P$708*($B892+IF($R$17="Distrato",$I$38-1,0)),IF(AND($L$711=0,$P$708=0),"",$L$711-1),IF($R$17="Distrato",$E892,0)),MIN(AD$38,$D$19),$P$20))-SUM($P892:AC892)</f>
        <v>#VALUE!</v>
      </c>
      <c r="AE892" s="446" t="e">
        <f>IF(OR($B892="",MIN(AE$38,$D$19)&lt;MAX($P$708*($B892+IF($R$17="Distrato",$I$38-1,0)),IF(AND($L$711=0,$P$708=0),"",$L$711-1),IF($R$17="Distrato",$E892,0))),0,YEARFRAC(MAX($P$708*($B892+IF($R$17="Distrato",$I$38-1,0)),IF(AND($L$711=0,$P$708=0),"",$L$711-1),IF($R$17="Distrato",$E892,0)),MIN(AE$38,$D$19),$P$20))-SUM($P892:AD892)</f>
        <v>#VALUE!</v>
      </c>
      <c r="AF892" s="446" t="e">
        <f>IF(OR($B892="",MIN(AF$38,$D$19)&lt;MAX($P$708*($B892+IF($R$17="Distrato",$I$38-1,0)),IF(AND($L$711=0,$P$708=0),"",$L$711-1),IF($R$17="Distrato",$E892,0))),0,YEARFRAC(MAX($P$708*($B892+IF($R$17="Distrato",$I$38-1,0)),IF(AND($L$711=0,$P$708=0),"",$L$711-1),IF($R$17="Distrato",$E892,0)),MIN(AF$38,$D$19),$P$20))-SUM($P892:AE892)</f>
        <v>#VALUE!</v>
      </c>
      <c r="AG892" s="446" t="e">
        <f>IF(OR($B892="",MIN(AG$38,$D$19)&lt;MAX($P$708*($B892+IF($R$17="Distrato",$I$38-1,0)),IF(AND($L$711=0,$P$708=0),"",$L$711-1),IF($R$17="Distrato",$E892,0))),0,YEARFRAC(MAX($P$708*($B892+IF($R$17="Distrato",$I$38-1,0)),IF(AND($L$711=0,$P$708=0),"",$L$711-1),IF($R$17="Distrato",$E892,0)),MIN(AG$38,$D$19),$P$20))-SUM($P892:AF892)</f>
        <v>#VALUE!</v>
      </c>
      <c r="AH892" s="446" t="e">
        <f>IF(OR($B892="",MIN(AH$38,$D$19)&lt;MAX($P$708*($B892+IF($R$17="Distrato",$I$38-1,0)),IF(AND($L$711=0,$P$708=0),"",$L$711-1),IF($R$17="Distrato",$E892,0))),0,YEARFRAC(MAX($P$708*($B892+IF($R$17="Distrato",$I$38-1,0)),IF(AND($L$711=0,$P$708=0),"",$L$711-1),IF($R$17="Distrato",$E892,0)),MIN(AH$38,$D$19),$P$20))-SUM($P892:AG892)</f>
        <v>#VALUE!</v>
      </c>
      <c r="AI892" s="446" t="e">
        <f>IF(OR($B892="",MIN(AI$38,$D$19)&lt;MAX($P$708*($B892+IF($R$17="Distrato",$I$38-1,0)),IF(AND($L$711=0,$P$708=0),"",$L$711-1),IF($R$17="Distrato",$E892,0))),0,YEARFRAC(MAX($P$708*($B892+IF($R$17="Distrato",$I$38-1,0)),IF(AND($L$711=0,$P$708=0),"",$L$711-1),IF($R$17="Distrato",$E892,0)),MIN(AI$38,$D$19),$P$20))-SUM($P892:AH892)</f>
        <v>#VALUE!</v>
      </c>
      <c r="AJ892" s="446" t="e">
        <f>IF(OR($B892="",MIN(AJ$38,$D$19)&lt;MAX($P$708*($B892+IF($R$17="Distrato",$I$38-1,0)),IF(AND($L$711=0,$P$708=0),"",$L$711-1),IF($R$17="Distrato",$E892,0))),0,YEARFRAC(MAX($P$708*($B892+IF($R$17="Distrato",$I$38-1,0)),IF(AND($L$711=0,$P$708=0),"",$L$711-1),IF($R$17="Distrato",$E892,0)),MIN(AJ$38,$D$19),$P$20))-SUM($P892:AI892)</f>
        <v>#VALUE!</v>
      </c>
      <c r="AK892" s="446" t="e">
        <f>IF(OR($B892="",MIN(AK$38,$D$19)&lt;MAX($P$708*($B892+IF($R$17="Distrato",$I$38-1,0)),IF(AND($L$711=0,$P$708=0),"",$L$711-1),IF($R$17="Distrato",$E892,0))),0,YEARFRAC(MAX($P$708*($B892+IF($R$17="Distrato",$I$38-1,0)),IF(AND($L$711=0,$P$708=0),"",$L$711-1),IF($R$17="Distrato",$E892,0)),MIN(AK$38,$D$19),$P$20))-SUM($P892:AJ892)</f>
        <v>#VALUE!</v>
      </c>
      <c r="AL892" s="446" t="e">
        <f>IF(OR($B892="",MIN(AL$38,$D$19)&lt;MAX($P$708*($B892+IF($R$17="Distrato",$I$38-1,0)),IF(AND($L$711=0,$P$708=0),"",$L$711-1),IF($R$17="Distrato",$E892,0))),0,YEARFRAC(MAX($P$708*($B892+IF($R$17="Distrato",$I$38-1,0)),IF(AND($L$711=0,$P$708=0),"",$L$711-1),IF($R$17="Distrato",$E892,0)),MIN(AL$38,$D$19),$P$20))-SUM($P892:AK892)</f>
        <v>#VALUE!</v>
      </c>
      <c r="AM892" s="446" t="e">
        <f>IF(OR($B892="",MIN(AM$38,$D$19)&lt;MAX($P$708*($B892+IF($R$17="Distrato",$I$38-1,0)),IF(AND($L$711=0,$P$708=0),"",$L$711-1),IF($R$17="Distrato",$E892,0))),0,YEARFRAC(MAX($P$708*($B892+IF($R$17="Distrato",$I$38-1,0)),IF(AND($L$711=0,$P$708=0),"",$L$711-1),IF($R$17="Distrato",$E892,0)),MIN(AM$38,$D$19),$P$20))-SUM($P892:AL892)</f>
        <v>#VALUE!</v>
      </c>
      <c r="AN892" s="446" t="e">
        <f>IF(OR($B892="",MIN(AN$38,$D$19)&lt;MAX($P$708*($B892+IF($R$17="Distrato",$I$38-1,0)),IF(AND($L$711=0,$P$708=0),"",$L$711-1),IF($R$17="Distrato",$E892,0))),0,YEARFRAC(MAX($P$708*($B892+IF($R$17="Distrato",$I$38-1,0)),IF(AND($L$711=0,$P$708=0),"",$L$711-1),IF($R$17="Distrato",$E892,0)),MIN(AN$38,$D$19),$P$20))-SUM($P892:AM892)</f>
        <v>#VALUE!</v>
      </c>
      <c r="AO892" s="446" t="e">
        <f>IF(OR($B892="",MIN(AO$38,$D$19)&lt;MAX($P$708*($B892+IF($R$17="Distrato",$I$38-1,0)),IF(AND($L$711=0,$P$708=0),"",$L$711-1),IF($R$17="Distrato",$E892,0))),0,YEARFRAC(MAX($P$708*($B892+IF($R$17="Distrato",$I$38-1,0)),IF(AND($L$711=0,$P$708=0),"",$L$711-1),IF($R$17="Distrato",$E892,0)),MIN(AO$38,$D$19),$P$20))-SUM($P892:AN892)</f>
        <v>#VALUE!</v>
      </c>
      <c r="AP892" s="446" t="e">
        <f>IF(OR($B892="",MIN(AP$38,$D$19)&lt;MAX($P$708*($B892+IF($R$17="Distrato",$I$38-1,0)),IF(AND($L$711=0,$P$708=0),"",$L$711-1),IF($R$17="Distrato",$E892,0))),0,YEARFRAC(MAX($P$708*($B892+IF($R$17="Distrato",$I$38-1,0)),IF(AND($L$711=0,$P$708=0),"",$L$711-1),IF($R$17="Distrato",$E892,0)),MIN(AP$38,$D$19),$P$20))-SUM($P892:AO892)</f>
        <v>#VALUE!</v>
      </c>
      <c r="AQ892" s="446" t="e">
        <f>IF(OR($B892="",MIN(AQ$38,$D$19)&lt;MAX($P$708*($B892+IF($R$17="Distrato",$I$38-1,0)),IF(AND($L$711=0,$P$708=0),"",$L$711-1),IF($R$17="Distrato",$E892,0))),0,YEARFRAC(MAX($P$708*($B892+IF($R$17="Distrato",$I$38-1,0)),IF(AND($L$711=0,$P$708=0),"",$L$711-1),IF($R$17="Distrato",$E892,0)),MIN(AQ$38,$D$19),$P$20))-SUM($P892:AP892)</f>
        <v>#VALUE!</v>
      </c>
      <c r="AR892" s="446" t="e">
        <f>IF(OR($B892="",MIN(AR$38,$D$19)&lt;MAX($P$708*($B892+IF($R$17="Distrato",$I$38-1,0)),IF(AND($L$711=0,$P$708=0),"",$L$711-1),IF($R$17="Distrato",$E892,0))),0,YEARFRAC(MAX($P$708*($B892+IF($R$17="Distrato",$I$38-1,0)),IF(AND($L$711=0,$P$708=0),"",$L$711-1),IF($R$17="Distrato",$E892,0)),MIN(AR$38,$D$19),$P$20))-SUM($P892:AQ892)</f>
        <v>#VALUE!</v>
      </c>
      <c r="AS892" s="446" t="e">
        <f>IF(OR($B892="",MIN(AS$38,$D$19)&lt;MAX($P$708*($B892+IF($R$17="Distrato",$I$38-1,0)),IF(AND($L$711=0,$P$708=0),"",$L$711-1),IF($R$17="Distrato",$E892,0))),0,YEARFRAC(MAX($P$708*($B892+IF($R$17="Distrato",$I$38-1,0)),IF(AND($L$711=0,$P$708=0),"",$L$711-1),IF($R$17="Distrato",$E892,0)),MIN(AS$38,$D$19),$P$20))-SUM($P892:AR892)</f>
        <v>#VALUE!</v>
      </c>
      <c r="AT892" s="446" t="e">
        <f>IF(OR($B892="",MIN(AT$38,$D$19)&lt;MAX($P$708*($B892+IF($R$17="Distrato",$I$38-1,0)),IF(AND($L$711=0,$P$708=0),"",$L$711-1),IF($R$17="Distrato",$E892,0))),0,YEARFRAC(MAX($P$708*($B892+IF($R$17="Distrato",$I$38-1,0)),IF(AND($L$711=0,$P$708=0),"",$L$711-1),IF($R$17="Distrato",$E892,0)),MIN(AT$38,$D$19),$P$20))-SUM($P892:AS892)</f>
        <v>#VALUE!</v>
      </c>
      <c r="AU892" s="446" t="e">
        <f>IF(OR($B892="",MIN(AU$38,$D$19)&lt;MAX($P$708*($B892+IF($R$17="Distrato",$I$38-1,0)),IF(AND($L$711=0,$P$708=0),"",$L$711-1),IF($R$17="Distrato",$E892,0))),0,YEARFRAC(MAX($P$708*($B892+IF($R$17="Distrato",$I$38-1,0)),IF(AND($L$711=0,$P$708=0),"",$L$711-1),IF($R$17="Distrato",$E892,0)),MIN(AU$38,$D$19),$P$20))-SUM($P892:AT892)</f>
        <v>#VALUE!</v>
      </c>
      <c r="AV892" s="446" t="e">
        <f>IF(OR($B892="",MIN(AV$38,$D$19)&lt;MAX($P$708*($B892+IF($R$17="Distrato",$I$38-1,0)),IF(AND($L$711=0,$P$708=0),"",$L$711-1),IF($R$17="Distrato",$E892,0))),0,YEARFRAC(MAX($P$708*($B892+IF($R$17="Distrato",$I$38-1,0)),IF(AND($L$711=0,$P$708=0),"",$L$711-1),IF($R$17="Distrato",$E892,0)),MIN(AV$38,$D$19),$P$20))-SUM($P892:AU892)</f>
        <v>#VALUE!</v>
      </c>
      <c r="AW892" s="446" t="e">
        <f>IF(OR($B892="",MIN(AW$38,$D$19)&lt;MAX($P$708*($B892+IF($R$17="Distrato",$I$38-1,0)),IF(AND($L$711=0,$P$708=0),"",$L$711-1),IF($R$17="Distrato",$E892,0))),0,YEARFRAC(MAX($P$708*($B892+IF($R$17="Distrato",$I$38-1,0)),IF(AND($L$711=0,$P$708=0),"",$L$711-1),IF($R$17="Distrato",$E892,0)),MIN(AW$38,$D$19),$P$20))-SUM($P892:AV892)</f>
        <v>#VALUE!</v>
      </c>
      <c r="AX892" s="446" t="e">
        <f>IF(OR($B892="",MIN(AX$38,$D$19)&lt;MAX($P$708*($B892+IF($R$17="Distrato",$I$38-1,0)),IF(AND($L$711=0,$P$708=0),"",$L$711-1),IF($R$17="Distrato",$E892,0))),0,YEARFRAC(MAX($P$708*($B892+IF($R$17="Distrato",$I$38-1,0)),IF(AND($L$711=0,$P$708=0),"",$L$711-1),IF($R$17="Distrato",$E892,0)),MIN(AX$38,$D$19),$P$20))-SUM($P892:AW892)</f>
        <v>#VALUE!</v>
      </c>
      <c r="AY892" s="446" t="e">
        <f>IF(OR($B892="",MIN(AY$38,$D$19)&lt;MAX($P$708*($B892+IF($R$17="Distrato",$I$38-1,0)),IF(AND($L$711=0,$P$708=0),"",$L$711-1),IF($R$17="Distrato",$E892,0))),0,YEARFRAC(MAX($P$708*($B892+IF($R$17="Distrato",$I$38-1,0)),IF(AND($L$711=0,$P$708=0),"",$L$711-1),IF($R$17="Distrato",$E892,0)),MIN(AY$38,$D$19),$P$20))-SUM($P892:AX892)</f>
        <v>#VALUE!</v>
      </c>
      <c r="AZ892" s="446" t="e">
        <f>IF(OR($B892="",MIN(AZ$38,$D$19)&lt;MAX($P$708*($B892+IF($R$17="Distrato",$I$38-1,0)),IF(AND($L$711=0,$P$708=0),"",$L$711-1),IF($R$17="Distrato",$E892,0))),0,YEARFRAC(MAX($P$708*($B892+IF($R$17="Distrato",$I$38-1,0)),IF(AND($L$711=0,$P$708=0),"",$L$711-1),IF($R$17="Distrato",$E892,0)),MIN(AZ$38,$D$19),$P$20))-SUM($P892:AY892)</f>
        <v>#VALUE!</v>
      </c>
      <c r="BA892" s="446" t="e">
        <f>IF(OR($B892="",MIN(BA$38,$D$19)&lt;MAX($P$708*($B892+IF($R$17="Distrato",$I$38-1,0)),IF(AND($L$711=0,$P$708=0),"",$L$711-1),IF($R$17="Distrato",$E892,0))),0,YEARFRAC(MAX($P$708*($B892+IF($R$17="Distrato",$I$38-1,0)),IF(AND($L$711=0,$P$708=0),"",$L$711-1),IF($R$17="Distrato",$E892,0)),MIN(BA$38,$D$19),$P$20))-SUM($P892:AZ892)</f>
        <v>#VALUE!</v>
      </c>
      <c r="BB892" s="447"/>
    </row>
    <row r="893" spans="1:54" s="446" customFormat="1" ht="11.25" hidden="1" customHeight="1" x14ac:dyDescent="0.2">
      <c r="A893" s="235"/>
      <c r="B893" s="236"/>
      <c r="C893" s="29" t="str">
        <f>IF(B893="","",IF($L$709=$BL$25,VLOOKUP(DATE(YEAR($D$19),MONTH($D$19)-1,1),ÍNDICES!$A:$DE,HLOOKUP($BL$25,ÍNDICES!$B$3:$T$4,2)+11)-VLOOKUP(B893,ÍNDICES!$A:$DE,HLOOKUP($BL$25,ÍNDICES!$B$3:$T$4,2)+11)+1%,IF(C$712=$W$26,$J$35,IF(ISERROR(IF(B893&gt;$D$19,1,VLOOKUP(DATE(YEAR(B893),MONTH(B893)+IF($C$709=$S$23,1,0),1),ÍNDICES!$A:$DE,$Z$709+1))),"",IF(B893&gt;$D$19,1,VLOOKUP(DATE(YEAR(B893),MONTH(B893)+IF($C$709=$S$23,1,0),1),ÍNDICES!$A:$DE,$Z$709+1))))))</f>
        <v/>
      </c>
      <c r="D893" s="155"/>
      <c r="E893" s="88"/>
      <c r="F893" s="88"/>
      <c r="G893" s="88"/>
      <c r="H893" s="118"/>
      <c r="I893" s="182">
        <f t="shared" si="129"/>
        <v>0</v>
      </c>
      <c r="J893" s="20">
        <f t="shared" ca="1" si="130"/>
        <v>0</v>
      </c>
      <c r="K893" s="5">
        <f t="shared" ca="1" si="131"/>
        <v>0</v>
      </c>
      <c r="L893" s="61">
        <f t="shared" ca="1" si="132"/>
        <v>0</v>
      </c>
      <c r="M893" s="64">
        <f t="shared" si="133"/>
        <v>0</v>
      </c>
      <c r="N893" s="151"/>
      <c r="O893" s="5">
        <f t="shared" ca="1" si="134"/>
        <v>0</v>
      </c>
      <c r="P893" s="446" t="e">
        <f t="shared" si="135"/>
        <v>#VALUE!</v>
      </c>
      <c r="Q893" s="446" t="e">
        <f>IF(OR($B893="",MIN(Q$38,$D$19)&lt;MAX($P$708*($B893+IF($R$17="Distrato",$I$38-1,0)),IF(AND($L$711=0,$P$708=0),"",$L$711-1),IF($R$17="Distrato",$E893,0))),0,YEARFRAC(MAX($P$708*($B893+IF($R$17="Distrato",$I$38-1,0)),IF(AND($L$711=0,$P$708=0),"",$L$711-1),IF($R$17="Distrato",$E893,0)),MIN(Q$38,$D$19),$P$20))-SUM($P893:P893)</f>
        <v>#VALUE!</v>
      </c>
      <c r="R893" s="446" t="e">
        <f>IF(OR($B893="",MIN(R$38,$D$19)&lt;MAX($P$708*($B893+IF($R$17="Distrato",$I$38-1,0)),IF(AND($L$711=0,$P$708=0),"",$L$711-1),IF($R$17="Distrato",$E893,0))),0,YEARFRAC(MAX($P$708*($B893+IF($R$17="Distrato",$I$38-1,0)),IF(AND($L$711=0,$P$708=0),"",$L$711-1),IF($R$17="Distrato",$E893,0)),MIN(R$38,$D$19),$P$20))-SUM($P893:Q893)</f>
        <v>#VALUE!</v>
      </c>
      <c r="S893" s="446" t="e">
        <f>IF(OR($B893="",MIN(S$38,$D$19)&lt;MAX($P$708*($B893+IF($R$17="Distrato",$I$38-1,0)),IF(AND($L$711=0,$P$708=0),"",$L$711-1),IF($R$17="Distrato",$E893,0))),0,YEARFRAC(MAX($P$708*($B893+IF($R$17="Distrato",$I$38-1,0)),IF(AND($L$711=0,$P$708=0),"",$L$711-1),IF($R$17="Distrato",$E893,0)),MIN(S$38,$D$19),$P$20))-SUM($P893:R893)</f>
        <v>#VALUE!</v>
      </c>
      <c r="T893" s="446" t="e">
        <f>IF(OR($B893="",MIN(T$38,$D$19)&lt;MAX($P$708*($B893+IF($R$17="Distrato",$I$38-1,0)),IF(AND($L$711=0,$P$708=0),"",$L$711-1),IF($R$17="Distrato",$E893,0))),0,YEARFRAC(MAX($P$708*($B893+IF($R$17="Distrato",$I$38-1,0)),IF(AND($L$711=0,$P$708=0),"",$L$711-1),IF($R$17="Distrato",$E893,0)),MIN(T$38,$D$19),$P$20))-SUM($P893:S893)</f>
        <v>#VALUE!</v>
      </c>
      <c r="U893" s="446" t="e">
        <f>IF(OR($B893="",MIN(U$38,$D$19)&lt;MAX($P$708*($B893+IF($R$17="Distrato",$I$38-1,0)),IF(AND($L$711=0,$P$708=0),"",$L$711-1),IF($R$17="Distrato",$E893,0))),0,YEARFRAC(MAX($P$708*($B893+IF($R$17="Distrato",$I$38-1,0)),IF(AND($L$711=0,$P$708=0),"",$L$711-1),IF($R$17="Distrato",$E893,0)),MIN(U$38,$D$19),$P$20))-SUM($P893:T893)</f>
        <v>#VALUE!</v>
      </c>
      <c r="V893" s="446" t="e">
        <f>IF(OR($B893="",MIN(V$38,$D$19)&lt;MAX($P$708*($B893+IF($R$17="Distrato",$I$38-1,0)),IF(AND($L$711=0,$P$708=0),"",$L$711-1),IF($R$17="Distrato",$E893,0))),0,YEARFRAC(MAX($P$708*($B893+IF($R$17="Distrato",$I$38-1,0)),IF(AND($L$711=0,$P$708=0),"",$L$711-1),IF($R$17="Distrato",$E893,0)),MIN(V$38,$D$19),$P$20))-SUM($P893:U893)</f>
        <v>#VALUE!</v>
      </c>
      <c r="W893" s="446" t="e">
        <f>IF(OR($B893="",MIN(W$38,$D$19)&lt;MAX($P$708*($B893+IF($R$17="Distrato",$I$38-1,0)),IF(AND($L$711=0,$P$708=0),"",$L$711-1),IF($R$17="Distrato",$E893,0))),0,YEARFRAC(MAX($P$708*($B893+IF($R$17="Distrato",$I$38-1,0)),IF(AND($L$711=0,$P$708=0),"",$L$711-1),IF($R$17="Distrato",$E893,0)),MIN(W$38,$D$19),$P$20))-SUM($P893:V893)</f>
        <v>#VALUE!</v>
      </c>
      <c r="X893" s="446" t="e">
        <f>IF(OR($B893="",MIN(X$38,$D$19)&lt;MAX($P$708*($B893+IF($R$17="Distrato",$I$38-1,0)),IF(AND($L$711=0,$P$708=0),"",$L$711-1),IF($R$17="Distrato",$E893,0))),0,YEARFRAC(MAX($P$708*($B893+IF($R$17="Distrato",$I$38-1,0)),IF(AND($L$711=0,$P$708=0),"",$L$711-1),IF($R$17="Distrato",$E893,0)),MIN(X$38,$D$19),$P$20))-SUM($P893:W893)</f>
        <v>#VALUE!</v>
      </c>
      <c r="Y893" s="446" t="e">
        <f>IF(OR($B893="",MIN(Y$38,$D$19)&lt;MAX($P$708*($B893+IF($R$17="Distrato",$I$38-1,0)),IF(AND($L$711=0,$P$708=0),"",$L$711-1),IF($R$17="Distrato",$E893,0))),0,YEARFRAC(MAX($P$708*($B893+IF($R$17="Distrato",$I$38-1,0)),IF(AND($L$711=0,$P$708=0),"",$L$711-1),IF($R$17="Distrato",$E893,0)),MIN(Y$38,$D$19),$P$20))-SUM($P893:X893)</f>
        <v>#VALUE!</v>
      </c>
      <c r="Z893" s="446" t="e">
        <f>IF(OR($B893="",MIN(Z$38,$D$19)&lt;MAX($P$708*($B893+IF($R$17="Distrato",$I$38-1,0)),IF(AND($L$711=0,$P$708=0),"",$L$711-1),IF($R$17="Distrato",$E893,0))),0,YEARFRAC(MAX($P$708*($B893+IF($R$17="Distrato",$I$38-1,0)),IF(AND($L$711=0,$P$708=0),"",$L$711-1),IF($R$17="Distrato",$E893,0)),MIN(Z$38,$D$19),$P$20))-SUM($P893:Y893)</f>
        <v>#VALUE!</v>
      </c>
      <c r="AA893" s="446" t="e">
        <f>IF(OR($B893="",MIN(AA$38,$D$19)&lt;MAX($P$708*($B893+IF($R$17="Distrato",$I$38-1,0)),IF(AND($L$711=0,$P$708=0),"",$L$711-1),IF($R$17="Distrato",$E893,0))),0,YEARFRAC(MAX($P$708*($B893+IF($R$17="Distrato",$I$38-1,0)),IF(AND($L$711=0,$P$708=0),"",$L$711-1),IF($R$17="Distrato",$E893,0)),MIN(AA$38,$D$19),$P$20))-SUM($P893:Z893)</f>
        <v>#VALUE!</v>
      </c>
      <c r="AB893" s="446" t="e">
        <f>IF(OR($B893="",MIN(AB$38,$D$19)&lt;MAX($P$708*($B893+IF($R$17="Distrato",$I$38-1,0)),IF(AND($L$711=0,$P$708=0),"",$L$711-1),IF($R$17="Distrato",$E893,0))),0,YEARFRAC(MAX($P$708*($B893+IF($R$17="Distrato",$I$38-1,0)),IF(AND($L$711=0,$P$708=0),"",$L$711-1),IF($R$17="Distrato",$E893,0)),MIN(AB$38,$D$19),$P$20))-SUM($P893:AA893)</f>
        <v>#VALUE!</v>
      </c>
      <c r="AC893" s="446" t="e">
        <f>IF(OR($B893="",MIN(AC$38,$D$19)&lt;MAX($P$708*($B893+IF($R$17="Distrato",$I$38-1,0)),IF(AND($L$711=0,$P$708=0),"",$L$711-1),IF($R$17="Distrato",$E893,0))),0,YEARFRAC(MAX($P$708*($B893+IF($R$17="Distrato",$I$38-1,0)),IF(AND($L$711=0,$P$708=0),"",$L$711-1),IF($R$17="Distrato",$E893,0)),MIN(AC$38,$D$19),$P$20))-SUM($P893:AB893)</f>
        <v>#VALUE!</v>
      </c>
      <c r="AD893" s="446" t="e">
        <f>IF(OR($B893="",MIN(AD$38,$D$19)&lt;MAX($P$708*($B893+IF($R$17="Distrato",$I$38-1,0)),IF(AND($L$711=0,$P$708=0),"",$L$711-1),IF($R$17="Distrato",$E893,0))),0,YEARFRAC(MAX($P$708*($B893+IF($R$17="Distrato",$I$38-1,0)),IF(AND($L$711=0,$P$708=0),"",$L$711-1),IF($R$17="Distrato",$E893,0)),MIN(AD$38,$D$19),$P$20))-SUM($P893:AC893)</f>
        <v>#VALUE!</v>
      </c>
      <c r="AE893" s="446" t="e">
        <f>IF(OR($B893="",MIN(AE$38,$D$19)&lt;MAX($P$708*($B893+IF($R$17="Distrato",$I$38-1,0)),IF(AND($L$711=0,$P$708=0),"",$L$711-1),IF($R$17="Distrato",$E893,0))),0,YEARFRAC(MAX($P$708*($B893+IF($R$17="Distrato",$I$38-1,0)),IF(AND($L$711=0,$P$708=0),"",$L$711-1),IF($R$17="Distrato",$E893,0)),MIN(AE$38,$D$19),$P$20))-SUM($P893:AD893)</f>
        <v>#VALUE!</v>
      </c>
      <c r="AF893" s="446" t="e">
        <f>IF(OR($B893="",MIN(AF$38,$D$19)&lt;MAX($P$708*($B893+IF($R$17="Distrato",$I$38-1,0)),IF(AND($L$711=0,$P$708=0),"",$L$711-1),IF($R$17="Distrato",$E893,0))),0,YEARFRAC(MAX($P$708*($B893+IF($R$17="Distrato",$I$38-1,0)),IF(AND($L$711=0,$P$708=0),"",$L$711-1),IF($R$17="Distrato",$E893,0)),MIN(AF$38,$D$19),$P$20))-SUM($P893:AE893)</f>
        <v>#VALUE!</v>
      </c>
      <c r="AG893" s="446" t="e">
        <f>IF(OR($B893="",MIN(AG$38,$D$19)&lt;MAX($P$708*($B893+IF($R$17="Distrato",$I$38-1,0)),IF(AND($L$711=0,$P$708=0),"",$L$711-1),IF($R$17="Distrato",$E893,0))),0,YEARFRAC(MAX($P$708*($B893+IF($R$17="Distrato",$I$38-1,0)),IF(AND($L$711=0,$P$708=0),"",$L$711-1),IF($R$17="Distrato",$E893,0)),MIN(AG$38,$D$19),$P$20))-SUM($P893:AF893)</f>
        <v>#VALUE!</v>
      </c>
      <c r="AH893" s="446" t="e">
        <f>IF(OR($B893="",MIN(AH$38,$D$19)&lt;MAX($P$708*($B893+IF($R$17="Distrato",$I$38-1,0)),IF(AND($L$711=0,$P$708=0),"",$L$711-1),IF($R$17="Distrato",$E893,0))),0,YEARFRAC(MAX($P$708*($B893+IF($R$17="Distrato",$I$38-1,0)),IF(AND($L$711=0,$P$708=0),"",$L$711-1),IF($R$17="Distrato",$E893,0)),MIN(AH$38,$D$19),$P$20))-SUM($P893:AG893)</f>
        <v>#VALUE!</v>
      </c>
      <c r="AI893" s="446" t="e">
        <f>IF(OR($B893="",MIN(AI$38,$D$19)&lt;MAX($P$708*($B893+IF($R$17="Distrato",$I$38-1,0)),IF(AND($L$711=0,$P$708=0),"",$L$711-1),IF($R$17="Distrato",$E893,0))),0,YEARFRAC(MAX($P$708*($B893+IF($R$17="Distrato",$I$38-1,0)),IF(AND($L$711=0,$P$708=0),"",$L$711-1),IF($R$17="Distrato",$E893,0)),MIN(AI$38,$D$19),$P$20))-SUM($P893:AH893)</f>
        <v>#VALUE!</v>
      </c>
      <c r="AJ893" s="446" t="e">
        <f>IF(OR($B893="",MIN(AJ$38,$D$19)&lt;MAX($P$708*($B893+IF($R$17="Distrato",$I$38-1,0)),IF(AND($L$711=0,$P$708=0),"",$L$711-1),IF($R$17="Distrato",$E893,0))),0,YEARFRAC(MAX($P$708*($B893+IF($R$17="Distrato",$I$38-1,0)),IF(AND($L$711=0,$P$708=0),"",$L$711-1),IF($R$17="Distrato",$E893,0)),MIN(AJ$38,$D$19),$P$20))-SUM($P893:AI893)</f>
        <v>#VALUE!</v>
      </c>
      <c r="AK893" s="446" t="e">
        <f>IF(OR($B893="",MIN(AK$38,$D$19)&lt;MAX($P$708*($B893+IF($R$17="Distrato",$I$38-1,0)),IF(AND($L$711=0,$P$708=0),"",$L$711-1),IF($R$17="Distrato",$E893,0))),0,YEARFRAC(MAX($P$708*($B893+IF($R$17="Distrato",$I$38-1,0)),IF(AND($L$711=0,$P$708=0),"",$L$711-1),IF($R$17="Distrato",$E893,0)),MIN(AK$38,$D$19),$P$20))-SUM($P893:AJ893)</f>
        <v>#VALUE!</v>
      </c>
      <c r="AL893" s="446" t="e">
        <f>IF(OR($B893="",MIN(AL$38,$D$19)&lt;MAX($P$708*($B893+IF($R$17="Distrato",$I$38-1,0)),IF(AND($L$711=0,$P$708=0),"",$L$711-1),IF($R$17="Distrato",$E893,0))),0,YEARFRAC(MAX($P$708*($B893+IF($R$17="Distrato",$I$38-1,0)),IF(AND($L$711=0,$P$708=0),"",$L$711-1),IF($R$17="Distrato",$E893,0)),MIN(AL$38,$D$19),$P$20))-SUM($P893:AK893)</f>
        <v>#VALUE!</v>
      </c>
      <c r="AM893" s="446" t="e">
        <f>IF(OR($B893="",MIN(AM$38,$D$19)&lt;MAX($P$708*($B893+IF($R$17="Distrato",$I$38-1,0)),IF(AND($L$711=0,$P$708=0),"",$L$711-1),IF($R$17="Distrato",$E893,0))),0,YEARFRAC(MAX($P$708*($B893+IF($R$17="Distrato",$I$38-1,0)),IF(AND($L$711=0,$P$708=0),"",$L$711-1),IF($R$17="Distrato",$E893,0)),MIN(AM$38,$D$19),$P$20))-SUM($P893:AL893)</f>
        <v>#VALUE!</v>
      </c>
      <c r="AN893" s="446" t="e">
        <f>IF(OR($B893="",MIN(AN$38,$D$19)&lt;MAX($P$708*($B893+IF($R$17="Distrato",$I$38-1,0)),IF(AND($L$711=0,$P$708=0),"",$L$711-1),IF($R$17="Distrato",$E893,0))),0,YEARFRAC(MAX($P$708*($B893+IF($R$17="Distrato",$I$38-1,0)),IF(AND($L$711=0,$P$708=0),"",$L$711-1),IF($R$17="Distrato",$E893,0)),MIN(AN$38,$D$19),$P$20))-SUM($P893:AM893)</f>
        <v>#VALUE!</v>
      </c>
      <c r="AO893" s="446" t="e">
        <f>IF(OR($B893="",MIN(AO$38,$D$19)&lt;MAX($P$708*($B893+IF($R$17="Distrato",$I$38-1,0)),IF(AND($L$711=0,$P$708=0),"",$L$711-1),IF($R$17="Distrato",$E893,0))),0,YEARFRAC(MAX($P$708*($B893+IF($R$17="Distrato",$I$38-1,0)),IF(AND($L$711=0,$P$708=0),"",$L$711-1),IF($R$17="Distrato",$E893,0)),MIN(AO$38,$D$19),$P$20))-SUM($P893:AN893)</f>
        <v>#VALUE!</v>
      </c>
      <c r="AP893" s="446" t="e">
        <f>IF(OR($B893="",MIN(AP$38,$D$19)&lt;MAX($P$708*($B893+IF($R$17="Distrato",$I$38-1,0)),IF(AND($L$711=0,$P$708=0),"",$L$711-1),IF($R$17="Distrato",$E893,0))),0,YEARFRAC(MAX($P$708*($B893+IF($R$17="Distrato",$I$38-1,0)),IF(AND($L$711=0,$P$708=0),"",$L$711-1),IF($R$17="Distrato",$E893,0)),MIN(AP$38,$D$19),$P$20))-SUM($P893:AO893)</f>
        <v>#VALUE!</v>
      </c>
      <c r="AQ893" s="446" t="e">
        <f>IF(OR($B893="",MIN(AQ$38,$D$19)&lt;MAX($P$708*($B893+IF($R$17="Distrato",$I$38-1,0)),IF(AND($L$711=0,$P$708=0),"",$L$711-1),IF($R$17="Distrato",$E893,0))),0,YEARFRAC(MAX($P$708*($B893+IF($R$17="Distrato",$I$38-1,0)),IF(AND($L$711=0,$P$708=0),"",$L$711-1),IF($R$17="Distrato",$E893,0)),MIN(AQ$38,$D$19),$P$20))-SUM($P893:AP893)</f>
        <v>#VALUE!</v>
      </c>
      <c r="AR893" s="446" t="e">
        <f>IF(OR($B893="",MIN(AR$38,$D$19)&lt;MAX($P$708*($B893+IF($R$17="Distrato",$I$38-1,0)),IF(AND($L$711=0,$P$708=0),"",$L$711-1),IF($R$17="Distrato",$E893,0))),0,YEARFRAC(MAX($P$708*($B893+IF($R$17="Distrato",$I$38-1,0)),IF(AND($L$711=0,$P$708=0),"",$L$711-1),IF($R$17="Distrato",$E893,0)),MIN(AR$38,$D$19),$P$20))-SUM($P893:AQ893)</f>
        <v>#VALUE!</v>
      </c>
      <c r="AS893" s="446" t="e">
        <f>IF(OR($B893="",MIN(AS$38,$D$19)&lt;MAX($P$708*($B893+IF($R$17="Distrato",$I$38-1,0)),IF(AND($L$711=0,$P$708=0),"",$L$711-1),IF($R$17="Distrato",$E893,0))),0,YEARFRAC(MAX($P$708*($B893+IF($R$17="Distrato",$I$38-1,0)),IF(AND($L$711=0,$P$708=0),"",$L$711-1),IF($R$17="Distrato",$E893,0)),MIN(AS$38,$D$19),$P$20))-SUM($P893:AR893)</f>
        <v>#VALUE!</v>
      </c>
      <c r="AT893" s="446" t="e">
        <f>IF(OR($B893="",MIN(AT$38,$D$19)&lt;MAX($P$708*($B893+IF($R$17="Distrato",$I$38-1,0)),IF(AND($L$711=0,$P$708=0),"",$L$711-1),IF($R$17="Distrato",$E893,0))),0,YEARFRAC(MAX($P$708*($B893+IF($R$17="Distrato",$I$38-1,0)),IF(AND($L$711=0,$P$708=0),"",$L$711-1),IF($R$17="Distrato",$E893,0)),MIN(AT$38,$D$19),$P$20))-SUM($P893:AS893)</f>
        <v>#VALUE!</v>
      </c>
      <c r="AU893" s="446" t="e">
        <f>IF(OR($B893="",MIN(AU$38,$D$19)&lt;MAX($P$708*($B893+IF($R$17="Distrato",$I$38-1,0)),IF(AND($L$711=0,$P$708=0),"",$L$711-1),IF($R$17="Distrato",$E893,0))),0,YEARFRAC(MAX($P$708*($B893+IF($R$17="Distrato",$I$38-1,0)),IF(AND($L$711=0,$P$708=0),"",$L$711-1),IF($R$17="Distrato",$E893,0)),MIN(AU$38,$D$19),$P$20))-SUM($P893:AT893)</f>
        <v>#VALUE!</v>
      </c>
      <c r="AV893" s="446" t="e">
        <f>IF(OR($B893="",MIN(AV$38,$D$19)&lt;MAX($P$708*($B893+IF($R$17="Distrato",$I$38-1,0)),IF(AND($L$711=0,$P$708=0),"",$L$711-1),IF($R$17="Distrato",$E893,0))),0,YEARFRAC(MAX($P$708*($B893+IF($R$17="Distrato",$I$38-1,0)),IF(AND($L$711=0,$P$708=0),"",$L$711-1),IF($R$17="Distrato",$E893,0)),MIN(AV$38,$D$19),$P$20))-SUM($P893:AU893)</f>
        <v>#VALUE!</v>
      </c>
      <c r="AW893" s="446" t="e">
        <f>IF(OR($B893="",MIN(AW$38,$D$19)&lt;MAX($P$708*($B893+IF($R$17="Distrato",$I$38-1,0)),IF(AND($L$711=0,$P$708=0),"",$L$711-1),IF($R$17="Distrato",$E893,0))),0,YEARFRAC(MAX($P$708*($B893+IF($R$17="Distrato",$I$38-1,0)),IF(AND($L$711=0,$P$708=0),"",$L$711-1),IF($R$17="Distrato",$E893,0)),MIN(AW$38,$D$19),$P$20))-SUM($P893:AV893)</f>
        <v>#VALUE!</v>
      </c>
      <c r="AX893" s="446" t="e">
        <f>IF(OR($B893="",MIN(AX$38,$D$19)&lt;MAX($P$708*($B893+IF($R$17="Distrato",$I$38-1,0)),IF(AND($L$711=0,$P$708=0),"",$L$711-1),IF($R$17="Distrato",$E893,0))),0,YEARFRAC(MAX($P$708*($B893+IF($R$17="Distrato",$I$38-1,0)),IF(AND($L$711=0,$P$708=0),"",$L$711-1),IF($R$17="Distrato",$E893,0)),MIN(AX$38,$D$19),$P$20))-SUM($P893:AW893)</f>
        <v>#VALUE!</v>
      </c>
      <c r="AY893" s="446" t="e">
        <f>IF(OR($B893="",MIN(AY$38,$D$19)&lt;MAX($P$708*($B893+IF($R$17="Distrato",$I$38-1,0)),IF(AND($L$711=0,$P$708=0),"",$L$711-1),IF($R$17="Distrato",$E893,0))),0,YEARFRAC(MAX($P$708*($B893+IF($R$17="Distrato",$I$38-1,0)),IF(AND($L$711=0,$P$708=0),"",$L$711-1),IF($R$17="Distrato",$E893,0)),MIN(AY$38,$D$19),$P$20))-SUM($P893:AX893)</f>
        <v>#VALUE!</v>
      </c>
      <c r="AZ893" s="446" t="e">
        <f>IF(OR($B893="",MIN(AZ$38,$D$19)&lt;MAX($P$708*($B893+IF($R$17="Distrato",$I$38-1,0)),IF(AND($L$711=0,$P$708=0),"",$L$711-1),IF($R$17="Distrato",$E893,0))),0,YEARFRAC(MAX($P$708*($B893+IF($R$17="Distrato",$I$38-1,0)),IF(AND($L$711=0,$P$708=0),"",$L$711-1),IF($R$17="Distrato",$E893,0)),MIN(AZ$38,$D$19),$P$20))-SUM($P893:AY893)</f>
        <v>#VALUE!</v>
      </c>
      <c r="BA893" s="446" t="e">
        <f>IF(OR($B893="",MIN(BA$38,$D$19)&lt;MAX($P$708*($B893+IF($R$17="Distrato",$I$38-1,0)),IF(AND($L$711=0,$P$708=0),"",$L$711-1),IF($R$17="Distrato",$E893,0))),0,YEARFRAC(MAX($P$708*($B893+IF($R$17="Distrato",$I$38-1,0)),IF(AND($L$711=0,$P$708=0),"",$L$711-1),IF($R$17="Distrato",$E893,0)),MIN(BA$38,$D$19),$P$20))-SUM($P893:AZ893)</f>
        <v>#VALUE!</v>
      </c>
      <c r="BB893" s="447"/>
    </row>
    <row r="894" spans="1:54" s="446" customFormat="1" ht="11.25" hidden="1" customHeight="1" x14ac:dyDescent="0.2">
      <c r="A894" s="235"/>
      <c r="B894" s="236"/>
      <c r="C894" s="29" t="str">
        <f>IF(B894="","",IF($L$709=$BL$25,VLOOKUP(DATE(YEAR($D$19),MONTH($D$19)-1,1),ÍNDICES!$A:$DE,HLOOKUP($BL$25,ÍNDICES!$B$3:$T$4,2)+11)-VLOOKUP(B894,ÍNDICES!$A:$DE,HLOOKUP($BL$25,ÍNDICES!$B$3:$T$4,2)+11)+1%,IF(C$712=$W$26,$J$35,IF(ISERROR(IF(B894&gt;$D$19,1,VLOOKUP(DATE(YEAR(B894),MONTH(B894)+IF($C$709=$S$23,1,0),1),ÍNDICES!$A:$DE,$Z$709+1))),"",IF(B894&gt;$D$19,1,VLOOKUP(DATE(YEAR(B894),MONTH(B894)+IF($C$709=$S$23,1,0),1),ÍNDICES!$A:$DE,$Z$709+1))))))</f>
        <v/>
      </c>
      <c r="D894" s="155"/>
      <c r="E894" s="88"/>
      <c r="F894" s="88"/>
      <c r="G894" s="88"/>
      <c r="H894" s="118"/>
      <c r="I894" s="182">
        <f t="shared" si="129"/>
        <v>0</v>
      </c>
      <c r="J894" s="20">
        <f t="shared" ca="1" si="130"/>
        <v>0</v>
      </c>
      <c r="K894" s="5">
        <f t="shared" ca="1" si="131"/>
        <v>0</v>
      </c>
      <c r="L894" s="61">
        <f t="shared" ca="1" si="132"/>
        <v>0</v>
      </c>
      <c r="M894" s="64">
        <f t="shared" si="133"/>
        <v>0</v>
      </c>
      <c r="N894" s="151"/>
      <c r="O894" s="5">
        <f t="shared" ca="1" si="134"/>
        <v>0</v>
      </c>
      <c r="P894" s="446" t="e">
        <f t="shared" si="135"/>
        <v>#VALUE!</v>
      </c>
      <c r="Q894" s="446" t="e">
        <f>IF(OR($B894="",MIN(Q$38,$D$19)&lt;MAX($P$708*($B894+IF($R$17="Distrato",$I$38-1,0)),IF(AND($L$711=0,$P$708=0),"",$L$711-1),IF($R$17="Distrato",$E894,0))),0,YEARFRAC(MAX($P$708*($B894+IF($R$17="Distrato",$I$38-1,0)),IF(AND($L$711=0,$P$708=0),"",$L$711-1),IF($R$17="Distrato",$E894,0)),MIN(Q$38,$D$19),$P$20))-SUM($P894:P894)</f>
        <v>#VALUE!</v>
      </c>
      <c r="R894" s="446" t="e">
        <f>IF(OR($B894="",MIN(R$38,$D$19)&lt;MAX($P$708*($B894+IF($R$17="Distrato",$I$38-1,0)),IF(AND($L$711=0,$P$708=0),"",$L$711-1),IF($R$17="Distrato",$E894,0))),0,YEARFRAC(MAX($P$708*($B894+IF($R$17="Distrato",$I$38-1,0)),IF(AND($L$711=0,$P$708=0),"",$L$711-1),IF($R$17="Distrato",$E894,0)),MIN(R$38,$D$19),$P$20))-SUM($P894:Q894)</f>
        <v>#VALUE!</v>
      </c>
      <c r="S894" s="446" t="e">
        <f>IF(OR($B894="",MIN(S$38,$D$19)&lt;MAX($P$708*($B894+IF($R$17="Distrato",$I$38-1,0)),IF(AND($L$711=0,$P$708=0),"",$L$711-1),IF($R$17="Distrato",$E894,0))),0,YEARFRAC(MAX($P$708*($B894+IF($R$17="Distrato",$I$38-1,0)),IF(AND($L$711=0,$P$708=0),"",$L$711-1),IF($R$17="Distrato",$E894,0)),MIN(S$38,$D$19),$P$20))-SUM($P894:R894)</f>
        <v>#VALUE!</v>
      </c>
      <c r="T894" s="446" t="e">
        <f>IF(OR($B894="",MIN(T$38,$D$19)&lt;MAX($P$708*($B894+IF($R$17="Distrato",$I$38-1,0)),IF(AND($L$711=0,$P$708=0),"",$L$711-1),IF($R$17="Distrato",$E894,0))),0,YEARFRAC(MAX($P$708*($B894+IF($R$17="Distrato",$I$38-1,0)),IF(AND($L$711=0,$P$708=0),"",$L$711-1),IF($R$17="Distrato",$E894,0)),MIN(T$38,$D$19),$P$20))-SUM($P894:S894)</f>
        <v>#VALUE!</v>
      </c>
      <c r="U894" s="446" t="e">
        <f>IF(OR($B894="",MIN(U$38,$D$19)&lt;MAX($P$708*($B894+IF($R$17="Distrato",$I$38-1,0)),IF(AND($L$711=0,$P$708=0),"",$L$711-1),IF($R$17="Distrato",$E894,0))),0,YEARFRAC(MAX($P$708*($B894+IF($R$17="Distrato",$I$38-1,0)),IF(AND($L$711=0,$P$708=0),"",$L$711-1),IF($R$17="Distrato",$E894,0)),MIN(U$38,$D$19),$P$20))-SUM($P894:T894)</f>
        <v>#VALUE!</v>
      </c>
      <c r="V894" s="446" t="e">
        <f>IF(OR($B894="",MIN(V$38,$D$19)&lt;MAX($P$708*($B894+IF($R$17="Distrato",$I$38-1,0)),IF(AND($L$711=0,$P$708=0),"",$L$711-1),IF($R$17="Distrato",$E894,0))),0,YEARFRAC(MAX($P$708*($B894+IF($R$17="Distrato",$I$38-1,0)),IF(AND($L$711=0,$P$708=0),"",$L$711-1),IF($R$17="Distrato",$E894,0)),MIN(V$38,$D$19),$P$20))-SUM($P894:U894)</f>
        <v>#VALUE!</v>
      </c>
      <c r="W894" s="446" t="e">
        <f>IF(OR($B894="",MIN(W$38,$D$19)&lt;MAX($P$708*($B894+IF($R$17="Distrato",$I$38-1,0)),IF(AND($L$711=0,$P$708=0),"",$L$711-1),IF($R$17="Distrato",$E894,0))),0,YEARFRAC(MAX($P$708*($B894+IF($R$17="Distrato",$I$38-1,0)),IF(AND($L$711=0,$P$708=0),"",$L$711-1),IF($R$17="Distrato",$E894,0)),MIN(W$38,$D$19),$P$20))-SUM($P894:V894)</f>
        <v>#VALUE!</v>
      </c>
      <c r="X894" s="446" t="e">
        <f>IF(OR($B894="",MIN(X$38,$D$19)&lt;MAX($P$708*($B894+IF($R$17="Distrato",$I$38-1,0)),IF(AND($L$711=0,$P$708=0),"",$L$711-1),IF($R$17="Distrato",$E894,0))),0,YEARFRAC(MAX($P$708*($B894+IF($R$17="Distrato",$I$38-1,0)),IF(AND($L$711=0,$P$708=0),"",$L$711-1),IF($R$17="Distrato",$E894,0)),MIN(X$38,$D$19),$P$20))-SUM($P894:W894)</f>
        <v>#VALUE!</v>
      </c>
      <c r="Y894" s="446" t="e">
        <f>IF(OR($B894="",MIN(Y$38,$D$19)&lt;MAX($P$708*($B894+IF($R$17="Distrato",$I$38-1,0)),IF(AND($L$711=0,$P$708=0),"",$L$711-1),IF($R$17="Distrato",$E894,0))),0,YEARFRAC(MAX($P$708*($B894+IF($R$17="Distrato",$I$38-1,0)),IF(AND($L$711=0,$P$708=0),"",$L$711-1),IF($R$17="Distrato",$E894,0)),MIN(Y$38,$D$19),$P$20))-SUM($P894:X894)</f>
        <v>#VALUE!</v>
      </c>
      <c r="Z894" s="446" t="e">
        <f>IF(OR($B894="",MIN(Z$38,$D$19)&lt;MAX($P$708*($B894+IF($R$17="Distrato",$I$38-1,0)),IF(AND($L$711=0,$P$708=0),"",$L$711-1),IF($R$17="Distrato",$E894,0))),0,YEARFRAC(MAX($P$708*($B894+IF($R$17="Distrato",$I$38-1,0)),IF(AND($L$711=0,$P$708=0),"",$L$711-1),IF($R$17="Distrato",$E894,0)),MIN(Z$38,$D$19),$P$20))-SUM($P894:Y894)</f>
        <v>#VALUE!</v>
      </c>
      <c r="AA894" s="446" t="e">
        <f>IF(OR($B894="",MIN(AA$38,$D$19)&lt;MAX($P$708*($B894+IF($R$17="Distrato",$I$38-1,0)),IF(AND($L$711=0,$P$708=0),"",$L$711-1),IF($R$17="Distrato",$E894,0))),0,YEARFRAC(MAX($P$708*($B894+IF($R$17="Distrato",$I$38-1,0)),IF(AND($L$711=0,$P$708=0),"",$L$711-1),IF($R$17="Distrato",$E894,0)),MIN(AA$38,$D$19),$P$20))-SUM($P894:Z894)</f>
        <v>#VALUE!</v>
      </c>
      <c r="AB894" s="446" t="e">
        <f>IF(OR($B894="",MIN(AB$38,$D$19)&lt;MAX($P$708*($B894+IF($R$17="Distrato",$I$38-1,0)),IF(AND($L$711=0,$P$708=0),"",$L$711-1),IF($R$17="Distrato",$E894,0))),0,YEARFRAC(MAX($P$708*($B894+IF($R$17="Distrato",$I$38-1,0)),IF(AND($L$711=0,$P$708=0),"",$L$711-1),IF($R$17="Distrato",$E894,0)),MIN(AB$38,$D$19),$P$20))-SUM($P894:AA894)</f>
        <v>#VALUE!</v>
      </c>
      <c r="AC894" s="446" t="e">
        <f>IF(OR($B894="",MIN(AC$38,$D$19)&lt;MAX($P$708*($B894+IF($R$17="Distrato",$I$38-1,0)),IF(AND($L$711=0,$P$708=0),"",$L$711-1),IF($R$17="Distrato",$E894,0))),0,YEARFRAC(MAX($P$708*($B894+IF($R$17="Distrato",$I$38-1,0)),IF(AND($L$711=0,$P$708=0),"",$L$711-1),IF($R$17="Distrato",$E894,0)),MIN(AC$38,$D$19),$P$20))-SUM($P894:AB894)</f>
        <v>#VALUE!</v>
      </c>
      <c r="AD894" s="446" t="e">
        <f>IF(OR($B894="",MIN(AD$38,$D$19)&lt;MAX($P$708*($B894+IF($R$17="Distrato",$I$38-1,0)),IF(AND($L$711=0,$P$708=0),"",$L$711-1),IF($R$17="Distrato",$E894,0))),0,YEARFRAC(MAX($P$708*($B894+IF($R$17="Distrato",$I$38-1,0)),IF(AND($L$711=0,$P$708=0),"",$L$711-1),IF($R$17="Distrato",$E894,0)),MIN(AD$38,$D$19),$P$20))-SUM($P894:AC894)</f>
        <v>#VALUE!</v>
      </c>
      <c r="AE894" s="446" t="e">
        <f>IF(OR($B894="",MIN(AE$38,$D$19)&lt;MAX($P$708*($B894+IF($R$17="Distrato",$I$38-1,0)),IF(AND($L$711=0,$P$708=0),"",$L$711-1),IF($R$17="Distrato",$E894,0))),0,YEARFRAC(MAX($P$708*($B894+IF($R$17="Distrato",$I$38-1,0)),IF(AND($L$711=0,$P$708=0),"",$L$711-1),IF($R$17="Distrato",$E894,0)),MIN(AE$38,$D$19),$P$20))-SUM($P894:AD894)</f>
        <v>#VALUE!</v>
      </c>
      <c r="AF894" s="446" t="e">
        <f>IF(OR($B894="",MIN(AF$38,$D$19)&lt;MAX($P$708*($B894+IF($R$17="Distrato",$I$38-1,0)),IF(AND($L$711=0,$P$708=0),"",$L$711-1),IF($R$17="Distrato",$E894,0))),0,YEARFRAC(MAX($P$708*($B894+IF($R$17="Distrato",$I$38-1,0)),IF(AND($L$711=0,$P$708=0),"",$L$711-1),IF($R$17="Distrato",$E894,0)),MIN(AF$38,$D$19),$P$20))-SUM($P894:AE894)</f>
        <v>#VALUE!</v>
      </c>
      <c r="AG894" s="446" t="e">
        <f>IF(OR($B894="",MIN(AG$38,$D$19)&lt;MAX($P$708*($B894+IF($R$17="Distrato",$I$38-1,0)),IF(AND($L$711=0,$P$708=0),"",$L$711-1),IF($R$17="Distrato",$E894,0))),0,YEARFRAC(MAX($P$708*($B894+IF($R$17="Distrato",$I$38-1,0)),IF(AND($L$711=0,$P$708=0),"",$L$711-1),IF($R$17="Distrato",$E894,0)),MIN(AG$38,$D$19),$P$20))-SUM($P894:AF894)</f>
        <v>#VALUE!</v>
      </c>
      <c r="AH894" s="446" t="e">
        <f>IF(OR($B894="",MIN(AH$38,$D$19)&lt;MAX($P$708*($B894+IF($R$17="Distrato",$I$38-1,0)),IF(AND($L$711=0,$P$708=0),"",$L$711-1),IF($R$17="Distrato",$E894,0))),0,YEARFRAC(MAX($P$708*($B894+IF($R$17="Distrato",$I$38-1,0)),IF(AND($L$711=0,$P$708=0),"",$L$711-1),IF($R$17="Distrato",$E894,0)),MIN(AH$38,$D$19),$P$20))-SUM($P894:AG894)</f>
        <v>#VALUE!</v>
      </c>
      <c r="AI894" s="446" t="e">
        <f>IF(OR($B894="",MIN(AI$38,$D$19)&lt;MAX($P$708*($B894+IF($R$17="Distrato",$I$38-1,0)),IF(AND($L$711=0,$P$708=0),"",$L$711-1),IF($R$17="Distrato",$E894,0))),0,YEARFRAC(MAX($P$708*($B894+IF($R$17="Distrato",$I$38-1,0)),IF(AND($L$711=0,$P$708=0),"",$L$711-1),IF($R$17="Distrato",$E894,0)),MIN(AI$38,$D$19),$P$20))-SUM($P894:AH894)</f>
        <v>#VALUE!</v>
      </c>
      <c r="AJ894" s="446" t="e">
        <f>IF(OR($B894="",MIN(AJ$38,$D$19)&lt;MAX($P$708*($B894+IF($R$17="Distrato",$I$38-1,0)),IF(AND($L$711=0,$P$708=0),"",$L$711-1),IF($R$17="Distrato",$E894,0))),0,YEARFRAC(MAX($P$708*($B894+IF($R$17="Distrato",$I$38-1,0)),IF(AND($L$711=0,$P$708=0),"",$L$711-1),IF($R$17="Distrato",$E894,0)),MIN(AJ$38,$D$19),$P$20))-SUM($P894:AI894)</f>
        <v>#VALUE!</v>
      </c>
      <c r="AK894" s="446" t="e">
        <f>IF(OR($B894="",MIN(AK$38,$D$19)&lt;MAX($P$708*($B894+IF($R$17="Distrato",$I$38-1,0)),IF(AND($L$711=0,$P$708=0),"",$L$711-1),IF($R$17="Distrato",$E894,0))),0,YEARFRAC(MAX($P$708*($B894+IF($R$17="Distrato",$I$38-1,0)),IF(AND($L$711=0,$P$708=0),"",$L$711-1),IF($R$17="Distrato",$E894,0)),MIN(AK$38,$D$19),$P$20))-SUM($P894:AJ894)</f>
        <v>#VALUE!</v>
      </c>
      <c r="AL894" s="446" t="e">
        <f>IF(OR($B894="",MIN(AL$38,$D$19)&lt;MAX($P$708*($B894+IF($R$17="Distrato",$I$38-1,0)),IF(AND($L$711=0,$P$708=0),"",$L$711-1),IF($R$17="Distrato",$E894,0))),0,YEARFRAC(MAX($P$708*($B894+IF($R$17="Distrato",$I$38-1,0)),IF(AND($L$711=0,$P$708=0),"",$L$711-1),IF($R$17="Distrato",$E894,0)),MIN(AL$38,$D$19),$P$20))-SUM($P894:AK894)</f>
        <v>#VALUE!</v>
      </c>
      <c r="AM894" s="446" t="e">
        <f>IF(OR($B894="",MIN(AM$38,$D$19)&lt;MAX($P$708*($B894+IF($R$17="Distrato",$I$38-1,0)),IF(AND($L$711=0,$P$708=0),"",$L$711-1),IF($R$17="Distrato",$E894,0))),0,YEARFRAC(MAX($P$708*($B894+IF($R$17="Distrato",$I$38-1,0)),IF(AND($L$711=0,$P$708=0),"",$L$711-1),IF($R$17="Distrato",$E894,0)),MIN(AM$38,$D$19),$P$20))-SUM($P894:AL894)</f>
        <v>#VALUE!</v>
      </c>
      <c r="AN894" s="446" t="e">
        <f>IF(OR($B894="",MIN(AN$38,$D$19)&lt;MAX($P$708*($B894+IF($R$17="Distrato",$I$38-1,0)),IF(AND($L$711=0,$P$708=0),"",$L$711-1),IF($R$17="Distrato",$E894,0))),0,YEARFRAC(MAX($P$708*($B894+IF($R$17="Distrato",$I$38-1,0)),IF(AND($L$711=0,$P$708=0),"",$L$711-1),IF($R$17="Distrato",$E894,0)),MIN(AN$38,$D$19),$P$20))-SUM($P894:AM894)</f>
        <v>#VALUE!</v>
      </c>
      <c r="AO894" s="446" t="e">
        <f>IF(OR($B894="",MIN(AO$38,$D$19)&lt;MAX($P$708*($B894+IF($R$17="Distrato",$I$38-1,0)),IF(AND($L$711=0,$P$708=0),"",$L$711-1),IF($R$17="Distrato",$E894,0))),0,YEARFRAC(MAX($P$708*($B894+IF($R$17="Distrato",$I$38-1,0)),IF(AND($L$711=0,$P$708=0),"",$L$711-1),IF($R$17="Distrato",$E894,0)),MIN(AO$38,$D$19),$P$20))-SUM($P894:AN894)</f>
        <v>#VALUE!</v>
      </c>
      <c r="AP894" s="446" t="e">
        <f>IF(OR($B894="",MIN(AP$38,$D$19)&lt;MAX($P$708*($B894+IF($R$17="Distrato",$I$38-1,0)),IF(AND($L$711=0,$P$708=0),"",$L$711-1),IF($R$17="Distrato",$E894,0))),0,YEARFRAC(MAX($P$708*($B894+IF($R$17="Distrato",$I$38-1,0)),IF(AND($L$711=0,$P$708=0),"",$L$711-1),IF($R$17="Distrato",$E894,0)),MIN(AP$38,$D$19),$P$20))-SUM($P894:AO894)</f>
        <v>#VALUE!</v>
      </c>
      <c r="AQ894" s="446" t="e">
        <f>IF(OR($B894="",MIN(AQ$38,$D$19)&lt;MAX($P$708*($B894+IF($R$17="Distrato",$I$38-1,0)),IF(AND($L$711=0,$P$708=0),"",$L$711-1),IF($R$17="Distrato",$E894,0))),0,YEARFRAC(MAX($P$708*($B894+IF($R$17="Distrato",$I$38-1,0)),IF(AND($L$711=0,$P$708=0),"",$L$711-1),IF($R$17="Distrato",$E894,0)),MIN(AQ$38,$D$19),$P$20))-SUM($P894:AP894)</f>
        <v>#VALUE!</v>
      </c>
      <c r="AR894" s="446" t="e">
        <f>IF(OR($B894="",MIN(AR$38,$D$19)&lt;MAX($P$708*($B894+IF($R$17="Distrato",$I$38-1,0)),IF(AND($L$711=0,$P$708=0),"",$L$711-1),IF($R$17="Distrato",$E894,0))),0,YEARFRAC(MAX($P$708*($B894+IF($R$17="Distrato",$I$38-1,0)),IF(AND($L$711=0,$P$708=0),"",$L$711-1),IF($R$17="Distrato",$E894,0)),MIN(AR$38,$D$19),$P$20))-SUM($P894:AQ894)</f>
        <v>#VALUE!</v>
      </c>
      <c r="AS894" s="446" t="e">
        <f>IF(OR($B894="",MIN(AS$38,$D$19)&lt;MAX($P$708*($B894+IF($R$17="Distrato",$I$38-1,0)),IF(AND($L$711=0,$P$708=0),"",$L$711-1),IF($R$17="Distrato",$E894,0))),0,YEARFRAC(MAX($P$708*($B894+IF($R$17="Distrato",$I$38-1,0)),IF(AND($L$711=0,$P$708=0),"",$L$711-1),IF($R$17="Distrato",$E894,0)),MIN(AS$38,$D$19),$P$20))-SUM($P894:AR894)</f>
        <v>#VALUE!</v>
      </c>
      <c r="AT894" s="446" t="e">
        <f>IF(OR($B894="",MIN(AT$38,$D$19)&lt;MAX($P$708*($B894+IF($R$17="Distrato",$I$38-1,0)),IF(AND($L$711=0,$P$708=0),"",$L$711-1),IF($R$17="Distrato",$E894,0))),0,YEARFRAC(MAX($P$708*($B894+IF($R$17="Distrato",$I$38-1,0)),IF(AND($L$711=0,$P$708=0),"",$L$711-1),IF($R$17="Distrato",$E894,0)),MIN(AT$38,$D$19),$P$20))-SUM($P894:AS894)</f>
        <v>#VALUE!</v>
      </c>
      <c r="AU894" s="446" t="e">
        <f>IF(OR($B894="",MIN(AU$38,$D$19)&lt;MAX($P$708*($B894+IF($R$17="Distrato",$I$38-1,0)),IF(AND($L$711=0,$P$708=0),"",$L$711-1),IF($R$17="Distrato",$E894,0))),0,YEARFRAC(MAX($P$708*($B894+IF($R$17="Distrato",$I$38-1,0)),IF(AND($L$711=0,$P$708=0),"",$L$711-1),IF($R$17="Distrato",$E894,0)),MIN(AU$38,$D$19),$P$20))-SUM($P894:AT894)</f>
        <v>#VALUE!</v>
      </c>
      <c r="AV894" s="446" t="e">
        <f>IF(OR($B894="",MIN(AV$38,$D$19)&lt;MAX($P$708*($B894+IF($R$17="Distrato",$I$38-1,0)),IF(AND($L$711=0,$P$708=0),"",$L$711-1),IF($R$17="Distrato",$E894,0))),0,YEARFRAC(MAX($P$708*($B894+IF($R$17="Distrato",$I$38-1,0)),IF(AND($L$711=0,$P$708=0),"",$L$711-1),IF($R$17="Distrato",$E894,0)),MIN(AV$38,$D$19),$P$20))-SUM($P894:AU894)</f>
        <v>#VALUE!</v>
      </c>
      <c r="AW894" s="446" t="e">
        <f>IF(OR($B894="",MIN(AW$38,$D$19)&lt;MAX($P$708*($B894+IF($R$17="Distrato",$I$38-1,0)),IF(AND($L$711=0,$P$708=0),"",$L$711-1),IF($R$17="Distrato",$E894,0))),0,YEARFRAC(MAX($P$708*($B894+IF($R$17="Distrato",$I$38-1,0)),IF(AND($L$711=0,$P$708=0),"",$L$711-1),IF($R$17="Distrato",$E894,0)),MIN(AW$38,$D$19),$P$20))-SUM($P894:AV894)</f>
        <v>#VALUE!</v>
      </c>
      <c r="AX894" s="446" t="e">
        <f>IF(OR($B894="",MIN(AX$38,$D$19)&lt;MAX($P$708*($B894+IF($R$17="Distrato",$I$38-1,0)),IF(AND($L$711=0,$P$708=0),"",$L$711-1),IF($R$17="Distrato",$E894,0))),0,YEARFRAC(MAX($P$708*($B894+IF($R$17="Distrato",$I$38-1,0)),IF(AND($L$711=0,$P$708=0),"",$L$711-1),IF($R$17="Distrato",$E894,0)),MIN(AX$38,$D$19),$P$20))-SUM($P894:AW894)</f>
        <v>#VALUE!</v>
      </c>
      <c r="AY894" s="446" t="e">
        <f>IF(OR($B894="",MIN(AY$38,$D$19)&lt;MAX($P$708*($B894+IF($R$17="Distrato",$I$38-1,0)),IF(AND($L$711=0,$P$708=0),"",$L$711-1),IF($R$17="Distrato",$E894,0))),0,YEARFRAC(MAX($P$708*($B894+IF($R$17="Distrato",$I$38-1,0)),IF(AND($L$711=0,$P$708=0),"",$L$711-1),IF($R$17="Distrato",$E894,0)),MIN(AY$38,$D$19),$P$20))-SUM($P894:AX894)</f>
        <v>#VALUE!</v>
      </c>
      <c r="AZ894" s="446" t="e">
        <f>IF(OR($B894="",MIN(AZ$38,$D$19)&lt;MAX($P$708*($B894+IF($R$17="Distrato",$I$38-1,0)),IF(AND($L$711=0,$P$708=0),"",$L$711-1),IF($R$17="Distrato",$E894,0))),0,YEARFRAC(MAX($P$708*($B894+IF($R$17="Distrato",$I$38-1,0)),IF(AND($L$711=0,$P$708=0),"",$L$711-1),IF($R$17="Distrato",$E894,0)),MIN(AZ$38,$D$19),$P$20))-SUM($P894:AY894)</f>
        <v>#VALUE!</v>
      </c>
      <c r="BA894" s="446" t="e">
        <f>IF(OR($B894="",MIN(BA$38,$D$19)&lt;MAX($P$708*($B894+IF($R$17="Distrato",$I$38-1,0)),IF(AND($L$711=0,$P$708=0),"",$L$711-1),IF($R$17="Distrato",$E894,0))),0,YEARFRAC(MAX($P$708*($B894+IF($R$17="Distrato",$I$38-1,0)),IF(AND($L$711=0,$P$708=0),"",$L$711-1),IF($R$17="Distrato",$E894,0)),MIN(BA$38,$D$19),$P$20))-SUM($P894:AZ894)</f>
        <v>#VALUE!</v>
      </c>
      <c r="BB894" s="447"/>
    </row>
    <row r="895" spans="1:54" s="446" customFormat="1" ht="11.25" hidden="1" customHeight="1" x14ac:dyDescent="0.2">
      <c r="A895" s="235"/>
      <c r="B895" s="236"/>
      <c r="C895" s="29" t="str">
        <f>IF(B895="","",IF($L$709=$BL$25,VLOOKUP(DATE(YEAR($D$19),MONTH($D$19)-1,1),ÍNDICES!$A:$DE,HLOOKUP($BL$25,ÍNDICES!$B$3:$T$4,2)+11)-VLOOKUP(B895,ÍNDICES!$A:$DE,HLOOKUP($BL$25,ÍNDICES!$B$3:$T$4,2)+11)+1%,IF(C$712=$W$26,$J$35,IF(ISERROR(IF(B895&gt;$D$19,1,VLOOKUP(DATE(YEAR(B895),MONTH(B895)+IF($C$709=$S$23,1,0),1),ÍNDICES!$A:$DE,$Z$709+1))),"",IF(B895&gt;$D$19,1,VLOOKUP(DATE(YEAR(B895),MONTH(B895)+IF($C$709=$S$23,1,0),1),ÍNDICES!$A:$DE,$Z$709+1))))))</f>
        <v/>
      </c>
      <c r="D895" s="155"/>
      <c r="E895" s="88"/>
      <c r="F895" s="88"/>
      <c r="G895" s="88"/>
      <c r="H895" s="118"/>
      <c r="I895" s="182">
        <f t="shared" si="129"/>
        <v>0</v>
      </c>
      <c r="J895" s="20">
        <f t="shared" ca="1" si="130"/>
        <v>0</v>
      </c>
      <c r="K895" s="5">
        <f t="shared" ca="1" si="131"/>
        <v>0</v>
      </c>
      <c r="L895" s="61">
        <f t="shared" ca="1" si="132"/>
        <v>0</v>
      </c>
      <c r="M895" s="64">
        <f t="shared" si="133"/>
        <v>0</v>
      </c>
      <c r="N895" s="151"/>
      <c r="O895" s="5">
        <f t="shared" ca="1" si="134"/>
        <v>0</v>
      </c>
      <c r="P895" s="446" t="e">
        <f t="shared" si="135"/>
        <v>#VALUE!</v>
      </c>
      <c r="Q895" s="446" t="e">
        <f>IF(OR($B895="",MIN(Q$38,$D$19)&lt;MAX($P$708*($B895+IF($R$17="Distrato",$I$38-1,0)),IF(AND($L$711=0,$P$708=0),"",$L$711-1),IF($R$17="Distrato",$E895,0))),0,YEARFRAC(MAX($P$708*($B895+IF($R$17="Distrato",$I$38-1,0)),IF(AND($L$711=0,$P$708=0),"",$L$711-1),IF($R$17="Distrato",$E895,0)),MIN(Q$38,$D$19),$P$20))-SUM($P895:P895)</f>
        <v>#VALUE!</v>
      </c>
      <c r="R895" s="446" t="e">
        <f>IF(OR($B895="",MIN(R$38,$D$19)&lt;MAX($P$708*($B895+IF($R$17="Distrato",$I$38-1,0)),IF(AND($L$711=0,$P$708=0),"",$L$711-1),IF($R$17="Distrato",$E895,0))),0,YEARFRAC(MAX($P$708*($B895+IF($R$17="Distrato",$I$38-1,0)),IF(AND($L$711=0,$P$708=0),"",$L$711-1),IF($R$17="Distrato",$E895,0)),MIN(R$38,$D$19),$P$20))-SUM($P895:Q895)</f>
        <v>#VALUE!</v>
      </c>
      <c r="S895" s="446" t="e">
        <f>IF(OR($B895="",MIN(S$38,$D$19)&lt;MAX($P$708*($B895+IF($R$17="Distrato",$I$38-1,0)),IF(AND($L$711=0,$P$708=0),"",$L$711-1),IF($R$17="Distrato",$E895,0))),0,YEARFRAC(MAX($P$708*($B895+IF($R$17="Distrato",$I$38-1,0)),IF(AND($L$711=0,$P$708=0),"",$L$711-1),IF($R$17="Distrato",$E895,0)),MIN(S$38,$D$19),$P$20))-SUM($P895:R895)</f>
        <v>#VALUE!</v>
      </c>
      <c r="T895" s="446" t="e">
        <f>IF(OR($B895="",MIN(T$38,$D$19)&lt;MAX($P$708*($B895+IF($R$17="Distrato",$I$38-1,0)),IF(AND($L$711=0,$P$708=0),"",$L$711-1),IF($R$17="Distrato",$E895,0))),0,YEARFRAC(MAX($P$708*($B895+IF($R$17="Distrato",$I$38-1,0)),IF(AND($L$711=0,$P$708=0),"",$L$711-1),IF($R$17="Distrato",$E895,0)),MIN(T$38,$D$19),$P$20))-SUM($P895:S895)</f>
        <v>#VALUE!</v>
      </c>
      <c r="U895" s="446" t="e">
        <f>IF(OR($B895="",MIN(U$38,$D$19)&lt;MAX($P$708*($B895+IF($R$17="Distrato",$I$38-1,0)),IF(AND($L$711=0,$P$708=0),"",$L$711-1),IF($R$17="Distrato",$E895,0))),0,YEARFRAC(MAX($P$708*($B895+IF($R$17="Distrato",$I$38-1,0)),IF(AND($L$711=0,$P$708=0),"",$L$711-1),IF($R$17="Distrato",$E895,0)),MIN(U$38,$D$19),$P$20))-SUM($P895:T895)</f>
        <v>#VALUE!</v>
      </c>
      <c r="V895" s="446" t="e">
        <f>IF(OR($B895="",MIN(V$38,$D$19)&lt;MAX($P$708*($B895+IF($R$17="Distrato",$I$38-1,0)),IF(AND($L$711=0,$P$708=0),"",$L$711-1),IF($R$17="Distrato",$E895,0))),0,YEARFRAC(MAX($P$708*($B895+IF($R$17="Distrato",$I$38-1,0)),IF(AND($L$711=0,$P$708=0),"",$L$711-1),IF($R$17="Distrato",$E895,0)),MIN(V$38,$D$19),$P$20))-SUM($P895:U895)</f>
        <v>#VALUE!</v>
      </c>
      <c r="W895" s="446" t="e">
        <f>IF(OR($B895="",MIN(W$38,$D$19)&lt;MAX($P$708*($B895+IF($R$17="Distrato",$I$38-1,0)),IF(AND($L$711=0,$P$708=0),"",$L$711-1),IF($R$17="Distrato",$E895,0))),0,YEARFRAC(MAX($P$708*($B895+IF($R$17="Distrato",$I$38-1,0)),IF(AND($L$711=0,$P$708=0),"",$L$711-1),IF($R$17="Distrato",$E895,0)),MIN(W$38,$D$19),$P$20))-SUM($P895:V895)</f>
        <v>#VALUE!</v>
      </c>
      <c r="X895" s="446" t="e">
        <f>IF(OR($B895="",MIN(X$38,$D$19)&lt;MAX($P$708*($B895+IF($R$17="Distrato",$I$38-1,0)),IF(AND($L$711=0,$P$708=0),"",$L$711-1),IF($R$17="Distrato",$E895,0))),0,YEARFRAC(MAX($P$708*($B895+IF($R$17="Distrato",$I$38-1,0)),IF(AND($L$711=0,$P$708=0),"",$L$711-1),IF($R$17="Distrato",$E895,0)),MIN(X$38,$D$19),$P$20))-SUM($P895:W895)</f>
        <v>#VALUE!</v>
      </c>
      <c r="Y895" s="446" t="e">
        <f>IF(OR($B895="",MIN(Y$38,$D$19)&lt;MAX($P$708*($B895+IF($R$17="Distrato",$I$38-1,0)),IF(AND($L$711=0,$P$708=0),"",$L$711-1),IF($R$17="Distrato",$E895,0))),0,YEARFRAC(MAX($P$708*($B895+IF($R$17="Distrato",$I$38-1,0)),IF(AND($L$711=0,$P$708=0),"",$L$711-1),IF($R$17="Distrato",$E895,0)),MIN(Y$38,$D$19),$P$20))-SUM($P895:X895)</f>
        <v>#VALUE!</v>
      </c>
      <c r="Z895" s="446" t="e">
        <f>IF(OR($B895="",MIN(Z$38,$D$19)&lt;MAX($P$708*($B895+IF($R$17="Distrato",$I$38-1,0)),IF(AND($L$711=0,$P$708=0),"",$L$711-1),IF($R$17="Distrato",$E895,0))),0,YEARFRAC(MAX($P$708*($B895+IF($R$17="Distrato",$I$38-1,0)),IF(AND($L$711=0,$P$708=0),"",$L$711-1),IF($R$17="Distrato",$E895,0)),MIN(Z$38,$D$19),$P$20))-SUM($P895:Y895)</f>
        <v>#VALUE!</v>
      </c>
      <c r="AA895" s="446" t="e">
        <f>IF(OR($B895="",MIN(AA$38,$D$19)&lt;MAX($P$708*($B895+IF($R$17="Distrato",$I$38-1,0)),IF(AND($L$711=0,$P$708=0),"",$L$711-1),IF($R$17="Distrato",$E895,0))),0,YEARFRAC(MAX($P$708*($B895+IF($R$17="Distrato",$I$38-1,0)),IF(AND($L$711=0,$P$708=0),"",$L$711-1),IF($R$17="Distrato",$E895,0)),MIN(AA$38,$D$19),$P$20))-SUM($P895:Z895)</f>
        <v>#VALUE!</v>
      </c>
      <c r="AB895" s="446" t="e">
        <f>IF(OR($B895="",MIN(AB$38,$D$19)&lt;MAX($P$708*($B895+IF($R$17="Distrato",$I$38-1,0)),IF(AND($L$711=0,$P$708=0),"",$L$711-1),IF($R$17="Distrato",$E895,0))),0,YEARFRAC(MAX($P$708*($B895+IF($R$17="Distrato",$I$38-1,0)),IF(AND($L$711=0,$P$708=0),"",$L$711-1),IF($R$17="Distrato",$E895,0)),MIN(AB$38,$D$19),$P$20))-SUM($P895:AA895)</f>
        <v>#VALUE!</v>
      </c>
      <c r="AC895" s="446" t="e">
        <f>IF(OR($B895="",MIN(AC$38,$D$19)&lt;MAX($P$708*($B895+IF($R$17="Distrato",$I$38-1,0)),IF(AND($L$711=0,$P$708=0),"",$L$711-1),IF($R$17="Distrato",$E895,0))),0,YEARFRAC(MAX($P$708*($B895+IF($R$17="Distrato",$I$38-1,0)),IF(AND($L$711=0,$P$708=0),"",$L$711-1),IF($R$17="Distrato",$E895,0)),MIN(AC$38,$D$19),$P$20))-SUM($P895:AB895)</f>
        <v>#VALUE!</v>
      </c>
      <c r="AD895" s="446" t="e">
        <f>IF(OR($B895="",MIN(AD$38,$D$19)&lt;MAX($P$708*($B895+IF($R$17="Distrato",$I$38-1,0)),IF(AND($L$711=0,$P$708=0),"",$L$711-1),IF($R$17="Distrato",$E895,0))),0,YEARFRAC(MAX($P$708*($B895+IF($R$17="Distrato",$I$38-1,0)),IF(AND($L$711=0,$P$708=0),"",$L$711-1),IF($R$17="Distrato",$E895,0)),MIN(AD$38,$D$19),$P$20))-SUM($P895:AC895)</f>
        <v>#VALUE!</v>
      </c>
      <c r="AE895" s="446" t="e">
        <f>IF(OR($B895="",MIN(AE$38,$D$19)&lt;MAX($P$708*($B895+IF($R$17="Distrato",$I$38-1,0)),IF(AND($L$711=0,$P$708=0),"",$L$711-1),IF($R$17="Distrato",$E895,0))),0,YEARFRAC(MAX($P$708*($B895+IF($R$17="Distrato",$I$38-1,0)),IF(AND($L$711=0,$P$708=0),"",$L$711-1),IF($R$17="Distrato",$E895,0)),MIN(AE$38,$D$19),$P$20))-SUM($P895:AD895)</f>
        <v>#VALUE!</v>
      </c>
      <c r="AF895" s="446" t="e">
        <f>IF(OR($B895="",MIN(AF$38,$D$19)&lt;MAX($P$708*($B895+IF($R$17="Distrato",$I$38-1,0)),IF(AND($L$711=0,$P$708=0),"",$L$711-1),IF($R$17="Distrato",$E895,0))),0,YEARFRAC(MAX($P$708*($B895+IF($R$17="Distrato",$I$38-1,0)),IF(AND($L$711=0,$P$708=0),"",$L$711-1),IF($R$17="Distrato",$E895,0)),MIN(AF$38,$D$19),$P$20))-SUM($P895:AE895)</f>
        <v>#VALUE!</v>
      </c>
      <c r="AG895" s="446" t="e">
        <f>IF(OR($B895="",MIN(AG$38,$D$19)&lt;MAX($P$708*($B895+IF($R$17="Distrato",$I$38-1,0)),IF(AND($L$711=0,$P$708=0),"",$L$711-1),IF($R$17="Distrato",$E895,0))),0,YEARFRAC(MAX($P$708*($B895+IF($R$17="Distrato",$I$38-1,0)),IF(AND($L$711=0,$P$708=0),"",$L$711-1),IF($R$17="Distrato",$E895,0)),MIN(AG$38,$D$19),$P$20))-SUM($P895:AF895)</f>
        <v>#VALUE!</v>
      </c>
      <c r="AH895" s="446" t="e">
        <f>IF(OR($B895="",MIN(AH$38,$D$19)&lt;MAX($P$708*($B895+IF($R$17="Distrato",$I$38-1,0)),IF(AND($L$711=0,$P$708=0),"",$L$711-1),IF($R$17="Distrato",$E895,0))),0,YEARFRAC(MAX($P$708*($B895+IF($R$17="Distrato",$I$38-1,0)),IF(AND($L$711=0,$P$708=0),"",$L$711-1),IF($R$17="Distrato",$E895,0)),MIN(AH$38,$D$19),$P$20))-SUM($P895:AG895)</f>
        <v>#VALUE!</v>
      </c>
      <c r="AI895" s="446" t="e">
        <f>IF(OR($B895="",MIN(AI$38,$D$19)&lt;MAX($P$708*($B895+IF($R$17="Distrato",$I$38-1,0)),IF(AND($L$711=0,$P$708=0),"",$L$711-1),IF($R$17="Distrato",$E895,0))),0,YEARFRAC(MAX($P$708*($B895+IF($R$17="Distrato",$I$38-1,0)),IF(AND($L$711=0,$P$708=0),"",$L$711-1),IF($R$17="Distrato",$E895,0)),MIN(AI$38,$D$19),$P$20))-SUM($P895:AH895)</f>
        <v>#VALUE!</v>
      </c>
      <c r="AJ895" s="446" t="e">
        <f>IF(OR($B895="",MIN(AJ$38,$D$19)&lt;MAX($P$708*($B895+IF($R$17="Distrato",$I$38-1,0)),IF(AND($L$711=0,$P$708=0),"",$L$711-1),IF($R$17="Distrato",$E895,0))),0,YEARFRAC(MAX($P$708*($B895+IF($R$17="Distrato",$I$38-1,0)),IF(AND($L$711=0,$P$708=0),"",$L$711-1),IF($R$17="Distrato",$E895,0)),MIN(AJ$38,$D$19),$P$20))-SUM($P895:AI895)</f>
        <v>#VALUE!</v>
      </c>
      <c r="AK895" s="446" t="e">
        <f>IF(OR($B895="",MIN(AK$38,$D$19)&lt;MAX($P$708*($B895+IF($R$17="Distrato",$I$38-1,0)),IF(AND($L$711=0,$P$708=0),"",$L$711-1),IF($R$17="Distrato",$E895,0))),0,YEARFRAC(MAX($P$708*($B895+IF($R$17="Distrato",$I$38-1,0)),IF(AND($L$711=0,$P$708=0),"",$L$711-1),IF($R$17="Distrato",$E895,0)),MIN(AK$38,$D$19),$P$20))-SUM($P895:AJ895)</f>
        <v>#VALUE!</v>
      </c>
      <c r="AL895" s="446" t="e">
        <f>IF(OR($B895="",MIN(AL$38,$D$19)&lt;MAX($P$708*($B895+IF($R$17="Distrato",$I$38-1,0)),IF(AND($L$711=0,$P$708=0),"",$L$711-1),IF($R$17="Distrato",$E895,0))),0,YEARFRAC(MAX($P$708*($B895+IF($R$17="Distrato",$I$38-1,0)),IF(AND($L$711=0,$P$708=0),"",$L$711-1),IF($R$17="Distrato",$E895,0)),MIN(AL$38,$D$19),$P$20))-SUM($P895:AK895)</f>
        <v>#VALUE!</v>
      </c>
      <c r="AM895" s="446" t="e">
        <f>IF(OR($B895="",MIN(AM$38,$D$19)&lt;MAX($P$708*($B895+IF($R$17="Distrato",$I$38-1,0)),IF(AND($L$711=0,$P$708=0),"",$L$711-1),IF($R$17="Distrato",$E895,0))),0,YEARFRAC(MAX($P$708*($B895+IF($R$17="Distrato",$I$38-1,0)),IF(AND($L$711=0,$P$708=0),"",$L$711-1),IF($R$17="Distrato",$E895,0)),MIN(AM$38,$D$19),$P$20))-SUM($P895:AL895)</f>
        <v>#VALUE!</v>
      </c>
      <c r="AN895" s="446" t="e">
        <f>IF(OR($B895="",MIN(AN$38,$D$19)&lt;MAX($P$708*($B895+IF($R$17="Distrato",$I$38-1,0)),IF(AND($L$711=0,$P$708=0),"",$L$711-1),IF($R$17="Distrato",$E895,0))),0,YEARFRAC(MAX($P$708*($B895+IF($R$17="Distrato",$I$38-1,0)),IF(AND($L$711=0,$P$708=0),"",$L$711-1),IF($R$17="Distrato",$E895,0)),MIN(AN$38,$D$19),$P$20))-SUM($P895:AM895)</f>
        <v>#VALUE!</v>
      </c>
      <c r="AO895" s="446" t="e">
        <f>IF(OR($B895="",MIN(AO$38,$D$19)&lt;MAX($P$708*($B895+IF($R$17="Distrato",$I$38-1,0)),IF(AND($L$711=0,$P$708=0),"",$L$711-1),IF($R$17="Distrato",$E895,0))),0,YEARFRAC(MAX($P$708*($B895+IF($R$17="Distrato",$I$38-1,0)),IF(AND($L$711=0,$P$708=0),"",$L$711-1),IF($R$17="Distrato",$E895,0)),MIN(AO$38,$D$19),$P$20))-SUM($P895:AN895)</f>
        <v>#VALUE!</v>
      </c>
      <c r="AP895" s="446" t="e">
        <f>IF(OR($B895="",MIN(AP$38,$D$19)&lt;MAX($P$708*($B895+IF($R$17="Distrato",$I$38-1,0)),IF(AND($L$711=0,$P$708=0),"",$L$711-1),IF($R$17="Distrato",$E895,0))),0,YEARFRAC(MAX($P$708*($B895+IF($R$17="Distrato",$I$38-1,0)),IF(AND($L$711=0,$P$708=0),"",$L$711-1),IF($R$17="Distrato",$E895,0)),MIN(AP$38,$D$19),$P$20))-SUM($P895:AO895)</f>
        <v>#VALUE!</v>
      </c>
      <c r="AQ895" s="446" t="e">
        <f>IF(OR($B895="",MIN(AQ$38,$D$19)&lt;MAX($P$708*($B895+IF($R$17="Distrato",$I$38-1,0)),IF(AND($L$711=0,$P$708=0),"",$L$711-1),IF($R$17="Distrato",$E895,0))),0,YEARFRAC(MAX($P$708*($B895+IF($R$17="Distrato",$I$38-1,0)),IF(AND($L$711=0,$P$708=0),"",$L$711-1),IF($R$17="Distrato",$E895,0)),MIN(AQ$38,$D$19),$P$20))-SUM($P895:AP895)</f>
        <v>#VALUE!</v>
      </c>
      <c r="AR895" s="446" t="e">
        <f>IF(OR($B895="",MIN(AR$38,$D$19)&lt;MAX($P$708*($B895+IF($R$17="Distrato",$I$38-1,0)),IF(AND($L$711=0,$P$708=0),"",$L$711-1),IF($R$17="Distrato",$E895,0))),0,YEARFRAC(MAX($P$708*($B895+IF($R$17="Distrato",$I$38-1,0)),IF(AND($L$711=0,$P$708=0),"",$L$711-1),IF($R$17="Distrato",$E895,0)),MIN(AR$38,$D$19),$P$20))-SUM($P895:AQ895)</f>
        <v>#VALUE!</v>
      </c>
      <c r="AS895" s="446" t="e">
        <f>IF(OR($B895="",MIN(AS$38,$D$19)&lt;MAX($P$708*($B895+IF($R$17="Distrato",$I$38-1,0)),IF(AND($L$711=0,$P$708=0),"",$L$711-1),IF($R$17="Distrato",$E895,0))),0,YEARFRAC(MAX($P$708*($B895+IF($R$17="Distrato",$I$38-1,0)),IF(AND($L$711=0,$P$708=0),"",$L$711-1),IF($R$17="Distrato",$E895,0)),MIN(AS$38,$D$19),$P$20))-SUM($P895:AR895)</f>
        <v>#VALUE!</v>
      </c>
      <c r="AT895" s="446" t="e">
        <f>IF(OR($B895="",MIN(AT$38,$D$19)&lt;MAX($P$708*($B895+IF($R$17="Distrato",$I$38-1,0)),IF(AND($L$711=0,$P$708=0),"",$L$711-1),IF($R$17="Distrato",$E895,0))),0,YEARFRAC(MAX($P$708*($B895+IF($R$17="Distrato",$I$38-1,0)),IF(AND($L$711=0,$P$708=0),"",$L$711-1),IF($R$17="Distrato",$E895,0)),MIN(AT$38,$D$19),$P$20))-SUM($P895:AS895)</f>
        <v>#VALUE!</v>
      </c>
      <c r="AU895" s="446" t="e">
        <f>IF(OR($B895="",MIN(AU$38,$D$19)&lt;MAX($P$708*($B895+IF($R$17="Distrato",$I$38-1,0)),IF(AND($L$711=0,$P$708=0),"",$L$711-1),IF($R$17="Distrato",$E895,0))),0,YEARFRAC(MAX($P$708*($B895+IF($R$17="Distrato",$I$38-1,0)),IF(AND($L$711=0,$P$708=0),"",$L$711-1),IF($R$17="Distrato",$E895,0)),MIN(AU$38,$D$19),$P$20))-SUM($P895:AT895)</f>
        <v>#VALUE!</v>
      </c>
      <c r="AV895" s="446" t="e">
        <f>IF(OR($B895="",MIN(AV$38,$D$19)&lt;MAX($P$708*($B895+IF($R$17="Distrato",$I$38-1,0)),IF(AND($L$711=0,$P$708=0),"",$L$711-1),IF($R$17="Distrato",$E895,0))),0,YEARFRAC(MAX($P$708*($B895+IF($R$17="Distrato",$I$38-1,0)),IF(AND($L$711=0,$P$708=0),"",$L$711-1),IF($R$17="Distrato",$E895,0)),MIN(AV$38,$D$19),$P$20))-SUM($P895:AU895)</f>
        <v>#VALUE!</v>
      </c>
      <c r="AW895" s="446" t="e">
        <f>IF(OR($B895="",MIN(AW$38,$D$19)&lt;MAX($P$708*($B895+IF($R$17="Distrato",$I$38-1,0)),IF(AND($L$711=0,$P$708=0),"",$L$711-1),IF($R$17="Distrato",$E895,0))),0,YEARFRAC(MAX($P$708*($B895+IF($R$17="Distrato",$I$38-1,0)),IF(AND($L$711=0,$P$708=0),"",$L$711-1),IF($R$17="Distrato",$E895,0)),MIN(AW$38,$D$19),$P$20))-SUM($P895:AV895)</f>
        <v>#VALUE!</v>
      </c>
      <c r="AX895" s="446" t="e">
        <f>IF(OR($B895="",MIN(AX$38,$D$19)&lt;MAX($P$708*($B895+IF($R$17="Distrato",$I$38-1,0)),IF(AND($L$711=0,$P$708=0),"",$L$711-1),IF($R$17="Distrato",$E895,0))),0,YEARFRAC(MAX($P$708*($B895+IF($R$17="Distrato",$I$38-1,0)),IF(AND($L$711=0,$P$708=0),"",$L$711-1),IF($R$17="Distrato",$E895,0)),MIN(AX$38,$D$19),$P$20))-SUM($P895:AW895)</f>
        <v>#VALUE!</v>
      </c>
      <c r="AY895" s="446" t="e">
        <f>IF(OR($B895="",MIN(AY$38,$D$19)&lt;MAX($P$708*($B895+IF($R$17="Distrato",$I$38-1,0)),IF(AND($L$711=0,$P$708=0),"",$L$711-1),IF($R$17="Distrato",$E895,0))),0,YEARFRAC(MAX($P$708*($B895+IF($R$17="Distrato",$I$38-1,0)),IF(AND($L$711=0,$P$708=0),"",$L$711-1),IF($R$17="Distrato",$E895,0)),MIN(AY$38,$D$19),$P$20))-SUM($P895:AX895)</f>
        <v>#VALUE!</v>
      </c>
      <c r="AZ895" s="446" t="e">
        <f>IF(OR($B895="",MIN(AZ$38,$D$19)&lt;MAX($P$708*($B895+IF($R$17="Distrato",$I$38-1,0)),IF(AND($L$711=0,$P$708=0),"",$L$711-1),IF($R$17="Distrato",$E895,0))),0,YEARFRAC(MAX($P$708*($B895+IF($R$17="Distrato",$I$38-1,0)),IF(AND($L$711=0,$P$708=0),"",$L$711-1),IF($R$17="Distrato",$E895,0)),MIN(AZ$38,$D$19),$P$20))-SUM($P895:AY895)</f>
        <v>#VALUE!</v>
      </c>
      <c r="BA895" s="446" t="e">
        <f>IF(OR($B895="",MIN(BA$38,$D$19)&lt;MAX($P$708*($B895+IF($R$17="Distrato",$I$38-1,0)),IF(AND($L$711=0,$P$708=0),"",$L$711-1),IF($R$17="Distrato",$E895,0))),0,YEARFRAC(MAX($P$708*($B895+IF($R$17="Distrato",$I$38-1,0)),IF(AND($L$711=0,$P$708=0),"",$L$711-1),IF($R$17="Distrato",$E895,0)),MIN(BA$38,$D$19),$P$20))-SUM($P895:AZ895)</f>
        <v>#VALUE!</v>
      </c>
      <c r="BB895" s="447"/>
    </row>
    <row r="896" spans="1:54" s="446" customFormat="1" ht="11.25" hidden="1" customHeight="1" x14ac:dyDescent="0.2">
      <c r="A896" s="235"/>
      <c r="B896" s="236"/>
      <c r="C896" s="29" t="str">
        <f>IF(B896="","",IF($L$709=$BL$25,VLOOKUP(DATE(YEAR($D$19),MONTH($D$19)-1,1),ÍNDICES!$A:$DE,HLOOKUP($BL$25,ÍNDICES!$B$3:$T$4,2)+11)-VLOOKUP(B896,ÍNDICES!$A:$DE,HLOOKUP($BL$25,ÍNDICES!$B$3:$T$4,2)+11)+1%,IF(C$712=$W$26,$J$35,IF(ISERROR(IF(B896&gt;$D$19,1,VLOOKUP(DATE(YEAR(B896),MONTH(B896)+IF($C$709=$S$23,1,0),1),ÍNDICES!$A:$DE,$Z$709+1))),"",IF(B896&gt;$D$19,1,VLOOKUP(DATE(YEAR(B896),MONTH(B896)+IF($C$709=$S$23,1,0),1),ÍNDICES!$A:$DE,$Z$709+1))))))</f>
        <v/>
      </c>
      <c r="D896" s="155"/>
      <c r="E896" s="88"/>
      <c r="F896" s="88"/>
      <c r="G896" s="88"/>
      <c r="H896" s="118"/>
      <c r="I896" s="182">
        <f t="shared" si="129"/>
        <v>0</v>
      </c>
      <c r="J896" s="20">
        <f t="shared" ca="1" si="130"/>
        <v>0</v>
      </c>
      <c r="K896" s="5">
        <f t="shared" ca="1" si="131"/>
        <v>0</v>
      </c>
      <c r="L896" s="61">
        <f t="shared" ca="1" si="132"/>
        <v>0</v>
      </c>
      <c r="M896" s="64">
        <f t="shared" si="133"/>
        <v>0</v>
      </c>
      <c r="N896" s="151"/>
      <c r="O896" s="5">
        <f t="shared" ca="1" si="134"/>
        <v>0</v>
      </c>
      <c r="P896" s="446" t="e">
        <f t="shared" si="135"/>
        <v>#VALUE!</v>
      </c>
      <c r="Q896" s="446" t="e">
        <f>IF(OR($B896="",MIN(Q$38,$D$19)&lt;MAX($P$708*($B896+IF($R$17="Distrato",$I$38-1,0)),IF(AND($L$711=0,$P$708=0),"",$L$711-1),IF($R$17="Distrato",$E896,0))),0,YEARFRAC(MAX($P$708*($B896+IF($R$17="Distrato",$I$38-1,0)),IF(AND($L$711=0,$P$708=0),"",$L$711-1),IF($R$17="Distrato",$E896,0)),MIN(Q$38,$D$19),$P$20))-SUM($P896:P896)</f>
        <v>#VALUE!</v>
      </c>
      <c r="R896" s="446" t="e">
        <f>IF(OR($B896="",MIN(R$38,$D$19)&lt;MAX($P$708*($B896+IF($R$17="Distrato",$I$38-1,0)),IF(AND($L$711=0,$P$708=0),"",$L$711-1),IF($R$17="Distrato",$E896,0))),0,YEARFRAC(MAX($P$708*($B896+IF($R$17="Distrato",$I$38-1,0)),IF(AND($L$711=0,$P$708=0),"",$L$711-1),IF($R$17="Distrato",$E896,0)),MIN(R$38,$D$19),$P$20))-SUM($P896:Q896)</f>
        <v>#VALUE!</v>
      </c>
      <c r="S896" s="446" t="e">
        <f>IF(OR($B896="",MIN(S$38,$D$19)&lt;MAX($P$708*($B896+IF($R$17="Distrato",$I$38-1,0)),IF(AND($L$711=0,$P$708=0),"",$L$711-1),IF($R$17="Distrato",$E896,0))),0,YEARFRAC(MAX($P$708*($B896+IF($R$17="Distrato",$I$38-1,0)),IF(AND($L$711=0,$P$708=0),"",$L$711-1),IF($R$17="Distrato",$E896,0)),MIN(S$38,$D$19),$P$20))-SUM($P896:R896)</f>
        <v>#VALUE!</v>
      </c>
      <c r="T896" s="446" t="e">
        <f>IF(OR($B896="",MIN(T$38,$D$19)&lt;MAX($P$708*($B896+IF($R$17="Distrato",$I$38-1,0)),IF(AND($L$711=0,$P$708=0),"",$L$711-1),IF($R$17="Distrato",$E896,0))),0,YEARFRAC(MAX($P$708*($B896+IF($R$17="Distrato",$I$38-1,0)),IF(AND($L$711=0,$P$708=0),"",$L$711-1),IF($R$17="Distrato",$E896,0)),MIN(T$38,$D$19),$P$20))-SUM($P896:S896)</f>
        <v>#VALUE!</v>
      </c>
      <c r="U896" s="446" t="e">
        <f>IF(OR($B896="",MIN(U$38,$D$19)&lt;MAX($P$708*($B896+IF($R$17="Distrato",$I$38-1,0)),IF(AND($L$711=0,$P$708=0),"",$L$711-1),IF($R$17="Distrato",$E896,0))),0,YEARFRAC(MAX($P$708*($B896+IF($R$17="Distrato",$I$38-1,0)),IF(AND($L$711=0,$P$708=0),"",$L$711-1),IF($R$17="Distrato",$E896,0)),MIN(U$38,$D$19),$P$20))-SUM($P896:T896)</f>
        <v>#VALUE!</v>
      </c>
      <c r="V896" s="446" t="e">
        <f>IF(OR($B896="",MIN(V$38,$D$19)&lt;MAX($P$708*($B896+IF($R$17="Distrato",$I$38-1,0)),IF(AND($L$711=0,$P$708=0),"",$L$711-1),IF($R$17="Distrato",$E896,0))),0,YEARFRAC(MAX($P$708*($B896+IF($R$17="Distrato",$I$38-1,0)),IF(AND($L$711=0,$P$708=0),"",$L$711-1),IF($R$17="Distrato",$E896,0)),MIN(V$38,$D$19),$P$20))-SUM($P896:U896)</f>
        <v>#VALUE!</v>
      </c>
      <c r="W896" s="446" t="e">
        <f>IF(OR($B896="",MIN(W$38,$D$19)&lt;MAX($P$708*($B896+IF($R$17="Distrato",$I$38-1,0)),IF(AND($L$711=0,$P$708=0),"",$L$711-1),IF($R$17="Distrato",$E896,0))),0,YEARFRAC(MAX($P$708*($B896+IF($R$17="Distrato",$I$38-1,0)),IF(AND($L$711=0,$P$708=0),"",$L$711-1),IF($R$17="Distrato",$E896,0)),MIN(W$38,$D$19),$P$20))-SUM($P896:V896)</f>
        <v>#VALUE!</v>
      </c>
      <c r="X896" s="446" t="e">
        <f>IF(OR($B896="",MIN(X$38,$D$19)&lt;MAX($P$708*($B896+IF($R$17="Distrato",$I$38-1,0)),IF(AND($L$711=0,$P$708=0),"",$L$711-1),IF($R$17="Distrato",$E896,0))),0,YEARFRAC(MAX($P$708*($B896+IF($R$17="Distrato",$I$38-1,0)),IF(AND($L$711=0,$P$708=0),"",$L$711-1),IF($R$17="Distrato",$E896,0)),MIN(X$38,$D$19),$P$20))-SUM($P896:W896)</f>
        <v>#VALUE!</v>
      </c>
      <c r="Y896" s="446" t="e">
        <f>IF(OR($B896="",MIN(Y$38,$D$19)&lt;MAX($P$708*($B896+IF($R$17="Distrato",$I$38-1,0)),IF(AND($L$711=0,$P$708=0),"",$L$711-1),IF($R$17="Distrato",$E896,0))),0,YEARFRAC(MAX($P$708*($B896+IF($R$17="Distrato",$I$38-1,0)),IF(AND($L$711=0,$P$708=0),"",$L$711-1),IF($R$17="Distrato",$E896,0)),MIN(Y$38,$D$19),$P$20))-SUM($P896:X896)</f>
        <v>#VALUE!</v>
      </c>
      <c r="Z896" s="446" t="e">
        <f>IF(OR($B896="",MIN(Z$38,$D$19)&lt;MAX($P$708*($B896+IF($R$17="Distrato",$I$38-1,0)),IF(AND($L$711=0,$P$708=0),"",$L$711-1),IF($R$17="Distrato",$E896,0))),0,YEARFRAC(MAX($P$708*($B896+IF($R$17="Distrato",$I$38-1,0)),IF(AND($L$711=0,$P$708=0),"",$L$711-1),IF($R$17="Distrato",$E896,0)),MIN(Z$38,$D$19),$P$20))-SUM($P896:Y896)</f>
        <v>#VALUE!</v>
      </c>
      <c r="AA896" s="446" t="e">
        <f>IF(OR($B896="",MIN(AA$38,$D$19)&lt;MAX($P$708*($B896+IF($R$17="Distrato",$I$38-1,0)),IF(AND($L$711=0,$P$708=0),"",$L$711-1),IF($R$17="Distrato",$E896,0))),0,YEARFRAC(MAX($P$708*($B896+IF($R$17="Distrato",$I$38-1,0)),IF(AND($L$711=0,$P$708=0),"",$L$711-1),IF($R$17="Distrato",$E896,0)),MIN(AA$38,$D$19),$P$20))-SUM($P896:Z896)</f>
        <v>#VALUE!</v>
      </c>
      <c r="AB896" s="446" t="e">
        <f>IF(OR($B896="",MIN(AB$38,$D$19)&lt;MAX($P$708*($B896+IF($R$17="Distrato",$I$38-1,0)),IF(AND($L$711=0,$P$708=0),"",$L$711-1),IF($R$17="Distrato",$E896,0))),0,YEARFRAC(MAX($P$708*($B896+IF($R$17="Distrato",$I$38-1,0)),IF(AND($L$711=0,$P$708=0),"",$L$711-1),IF($R$17="Distrato",$E896,0)),MIN(AB$38,$D$19),$P$20))-SUM($P896:AA896)</f>
        <v>#VALUE!</v>
      </c>
      <c r="AC896" s="446" t="e">
        <f>IF(OR($B896="",MIN(AC$38,$D$19)&lt;MAX($P$708*($B896+IF($R$17="Distrato",$I$38-1,0)),IF(AND($L$711=0,$P$708=0),"",$L$711-1),IF($R$17="Distrato",$E896,0))),0,YEARFRAC(MAX($P$708*($B896+IF($R$17="Distrato",$I$38-1,0)),IF(AND($L$711=0,$P$708=0),"",$L$711-1),IF($R$17="Distrato",$E896,0)),MIN(AC$38,$D$19),$P$20))-SUM($P896:AB896)</f>
        <v>#VALUE!</v>
      </c>
      <c r="AD896" s="446" t="e">
        <f>IF(OR($B896="",MIN(AD$38,$D$19)&lt;MAX($P$708*($B896+IF($R$17="Distrato",$I$38-1,0)),IF(AND($L$711=0,$P$708=0),"",$L$711-1),IF($R$17="Distrato",$E896,0))),0,YEARFRAC(MAX($P$708*($B896+IF($R$17="Distrato",$I$38-1,0)),IF(AND($L$711=0,$P$708=0),"",$L$711-1),IF($R$17="Distrato",$E896,0)),MIN(AD$38,$D$19),$P$20))-SUM($P896:AC896)</f>
        <v>#VALUE!</v>
      </c>
      <c r="AE896" s="446" t="e">
        <f>IF(OR($B896="",MIN(AE$38,$D$19)&lt;MAX($P$708*($B896+IF($R$17="Distrato",$I$38-1,0)),IF(AND($L$711=0,$P$708=0),"",$L$711-1),IF($R$17="Distrato",$E896,0))),0,YEARFRAC(MAX($P$708*($B896+IF($R$17="Distrato",$I$38-1,0)),IF(AND($L$711=0,$P$708=0),"",$L$711-1),IF($R$17="Distrato",$E896,0)),MIN(AE$38,$D$19),$P$20))-SUM($P896:AD896)</f>
        <v>#VALUE!</v>
      </c>
      <c r="AF896" s="446" t="e">
        <f>IF(OR($B896="",MIN(AF$38,$D$19)&lt;MAX($P$708*($B896+IF($R$17="Distrato",$I$38-1,0)),IF(AND($L$711=0,$P$708=0),"",$L$711-1),IF($R$17="Distrato",$E896,0))),0,YEARFRAC(MAX($P$708*($B896+IF($R$17="Distrato",$I$38-1,0)),IF(AND($L$711=0,$P$708=0),"",$L$711-1),IF($R$17="Distrato",$E896,0)),MIN(AF$38,$D$19),$P$20))-SUM($P896:AE896)</f>
        <v>#VALUE!</v>
      </c>
      <c r="AG896" s="446" t="e">
        <f>IF(OR($B896="",MIN(AG$38,$D$19)&lt;MAX($P$708*($B896+IF($R$17="Distrato",$I$38-1,0)),IF(AND($L$711=0,$P$708=0),"",$L$711-1),IF($R$17="Distrato",$E896,0))),0,YEARFRAC(MAX($P$708*($B896+IF($R$17="Distrato",$I$38-1,0)),IF(AND($L$711=0,$P$708=0),"",$L$711-1),IF($R$17="Distrato",$E896,0)),MIN(AG$38,$D$19),$P$20))-SUM($P896:AF896)</f>
        <v>#VALUE!</v>
      </c>
      <c r="AH896" s="446" t="e">
        <f>IF(OR($B896="",MIN(AH$38,$D$19)&lt;MAX($P$708*($B896+IF($R$17="Distrato",$I$38-1,0)),IF(AND($L$711=0,$P$708=0),"",$L$711-1),IF($R$17="Distrato",$E896,0))),0,YEARFRAC(MAX($P$708*($B896+IF($R$17="Distrato",$I$38-1,0)),IF(AND($L$711=0,$P$708=0),"",$L$711-1),IF($R$17="Distrato",$E896,0)),MIN(AH$38,$D$19),$P$20))-SUM($P896:AG896)</f>
        <v>#VALUE!</v>
      </c>
      <c r="AI896" s="446" t="e">
        <f>IF(OR($B896="",MIN(AI$38,$D$19)&lt;MAX($P$708*($B896+IF($R$17="Distrato",$I$38-1,0)),IF(AND($L$711=0,$P$708=0),"",$L$711-1),IF($R$17="Distrato",$E896,0))),0,YEARFRAC(MAX($P$708*($B896+IF($R$17="Distrato",$I$38-1,0)),IF(AND($L$711=0,$P$708=0),"",$L$711-1),IF($R$17="Distrato",$E896,0)),MIN(AI$38,$D$19),$P$20))-SUM($P896:AH896)</f>
        <v>#VALUE!</v>
      </c>
      <c r="AJ896" s="446" t="e">
        <f>IF(OR($B896="",MIN(AJ$38,$D$19)&lt;MAX($P$708*($B896+IF($R$17="Distrato",$I$38-1,0)),IF(AND($L$711=0,$P$708=0),"",$L$711-1),IF($R$17="Distrato",$E896,0))),0,YEARFRAC(MAX($P$708*($B896+IF($R$17="Distrato",$I$38-1,0)),IF(AND($L$711=0,$P$708=0),"",$L$711-1),IF($R$17="Distrato",$E896,0)),MIN(AJ$38,$D$19),$P$20))-SUM($P896:AI896)</f>
        <v>#VALUE!</v>
      </c>
      <c r="AK896" s="446" t="e">
        <f>IF(OR($B896="",MIN(AK$38,$D$19)&lt;MAX($P$708*($B896+IF($R$17="Distrato",$I$38-1,0)),IF(AND($L$711=0,$P$708=0),"",$L$711-1),IF($R$17="Distrato",$E896,0))),0,YEARFRAC(MAX($P$708*($B896+IF($R$17="Distrato",$I$38-1,0)),IF(AND($L$711=0,$P$708=0),"",$L$711-1),IF($R$17="Distrato",$E896,0)),MIN(AK$38,$D$19),$P$20))-SUM($P896:AJ896)</f>
        <v>#VALUE!</v>
      </c>
      <c r="AL896" s="446" t="e">
        <f>IF(OR($B896="",MIN(AL$38,$D$19)&lt;MAX($P$708*($B896+IF($R$17="Distrato",$I$38-1,0)),IF(AND($L$711=0,$P$708=0),"",$L$711-1),IF($R$17="Distrato",$E896,0))),0,YEARFRAC(MAX($P$708*($B896+IF($R$17="Distrato",$I$38-1,0)),IF(AND($L$711=0,$P$708=0),"",$L$711-1),IF($R$17="Distrato",$E896,0)),MIN(AL$38,$D$19),$P$20))-SUM($P896:AK896)</f>
        <v>#VALUE!</v>
      </c>
      <c r="AM896" s="446" t="e">
        <f>IF(OR($B896="",MIN(AM$38,$D$19)&lt;MAX($P$708*($B896+IF($R$17="Distrato",$I$38-1,0)),IF(AND($L$711=0,$P$708=0),"",$L$711-1),IF($R$17="Distrato",$E896,0))),0,YEARFRAC(MAX($P$708*($B896+IF($R$17="Distrato",$I$38-1,0)),IF(AND($L$711=0,$P$708=0),"",$L$711-1),IF($R$17="Distrato",$E896,0)),MIN(AM$38,$D$19),$P$20))-SUM($P896:AL896)</f>
        <v>#VALUE!</v>
      </c>
      <c r="AN896" s="446" t="e">
        <f>IF(OR($B896="",MIN(AN$38,$D$19)&lt;MAX($P$708*($B896+IF($R$17="Distrato",$I$38-1,0)),IF(AND($L$711=0,$P$708=0),"",$L$711-1),IF($R$17="Distrato",$E896,0))),0,YEARFRAC(MAX($P$708*($B896+IF($R$17="Distrato",$I$38-1,0)),IF(AND($L$711=0,$P$708=0),"",$L$711-1),IF($R$17="Distrato",$E896,0)),MIN(AN$38,$D$19),$P$20))-SUM($P896:AM896)</f>
        <v>#VALUE!</v>
      </c>
      <c r="AO896" s="446" t="e">
        <f>IF(OR($B896="",MIN(AO$38,$D$19)&lt;MAX($P$708*($B896+IF($R$17="Distrato",$I$38-1,0)),IF(AND($L$711=0,$P$708=0),"",$L$711-1),IF($R$17="Distrato",$E896,0))),0,YEARFRAC(MAX($P$708*($B896+IF($R$17="Distrato",$I$38-1,0)),IF(AND($L$711=0,$P$708=0),"",$L$711-1),IF($R$17="Distrato",$E896,0)),MIN(AO$38,$D$19),$P$20))-SUM($P896:AN896)</f>
        <v>#VALUE!</v>
      </c>
      <c r="AP896" s="446" t="e">
        <f>IF(OR($B896="",MIN(AP$38,$D$19)&lt;MAX($P$708*($B896+IF($R$17="Distrato",$I$38-1,0)),IF(AND($L$711=0,$P$708=0),"",$L$711-1),IF($R$17="Distrato",$E896,0))),0,YEARFRAC(MAX($P$708*($B896+IF($R$17="Distrato",$I$38-1,0)),IF(AND($L$711=0,$P$708=0),"",$L$711-1),IF($R$17="Distrato",$E896,0)),MIN(AP$38,$D$19),$P$20))-SUM($P896:AO896)</f>
        <v>#VALUE!</v>
      </c>
      <c r="AQ896" s="446" t="e">
        <f>IF(OR($B896="",MIN(AQ$38,$D$19)&lt;MAX($P$708*($B896+IF($R$17="Distrato",$I$38-1,0)),IF(AND($L$711=0,$P$708=0),"",$L$711-1),IF($R$17="Distrato",$E896,0))),0,YEARFRAC(MAX($P$708*($B896+IF($R$17="Distrato",$I$38-1,0)),IF(AND($L$711=0,$P$708=0),"",$L$711-1),IF($R$17="Distrato",$E896,0)),MIN(AQ$38,$D$19),$P$20))-SUM($P896:AP896)</f>
        <v>#VALUE!</v>
      </c>
      <c r="AR896" s="446" t="e">
        <f>IF(OR($B896="",MIN(AR$38,$D$19)&lt;MAX($P$708*($B896+IF($R$17="Distrato",$I$38-1,0)),IF(AND($L$711=0,$P$708=0),"",$L$711-1),IF($R$17="Distrato",$E896,0))),0,YEARFRAC(MAX($P$708*($B896+IF($R$17="Distrato",$I$38-1,0)),IF(AND($L$711=0,$P$708=0),"",$L$711-1),IF($R$17="Distrato",$E896,0)),MIN(AR$38,$D$19),$P$20))-SUM($P896:AQ896)</f>
        <v>#VALUE!</v>
      </c>
      <c r="AS896" s="446" t="e">
        <f>IF(OR($B896="",MIN(AS$38,$D$19)&lt;MAX($P$708*($B896+IF($R$17="Distrato",$I$38-1,0)),IF(AND($L$711=0,$P$708=0),"",$L$711-1),IF($R$17="Distrato",$E896,0))),0,YEARFRAC(MAX($P$708*($B896+IF($R$17="Distrato",$I$38-1,0)),IF(AND($L$711=0,$P$708=0),"",$L$711-1),IF($R$17="Distrato",$E896,0)),MIN(AS$38,$D$19),$P$20))-SUM($P896:AR896)</f>
        <v>#VALUE!</v>
      </c>
      <c r="AT896" s="446" t="e">
        <f>IF(OR($B896="",MIN(AT$38,$D$19)&lt;MAX($P$708*($B896+IF($R$17="Distrato",$I$38-1,0)),IF(AND($L$711=0,$P$708=0),"",$L$711-1),IF($R$17="Distrato",$E896,0))),0,YEARFRAC(MAX($P$708*($B896+IF($R$17="Distrato",$I$38-1,0)),IF(AND($L$711=0,$P$708=0),"",$L$711-1),IF($R$17="Distrato",$E896,0)),MIN(AT$38,$D$19),$P$20))-SUM($P896:AS896)</f>
        <v>#VALUE!</v>
      </c>
      <c r="AU896" s="446" t="e">
        <f>IF(OR($B896="",MIN(AU$38,$D$19)&lt;MAX($P$708*($B896+IF($R$17="Distrato",$I$38-1,0)),IF(AND($L$711=0,$P$708=0),"",$L$711-1),IF($R$17="Distrato",$E896,0))),0,YEARFRAC(MAX($P$708*($B896+IF($R$17="Distrato",$I$38-1,0)),IF(AND($L$711=0,$P$708=0),"",$L$711-1),IF($R$17="Distrato",$E896,0)),MIN(AU$38,$D$19),$P$20))-SUM($P896:AT896)</f>
        <v>#VALUE!</v>
      </c>
      <c r="AV896" s="446" t="e">
        <f>IF(OR($B896="",MIN(AV$38,$D$19)&lt;MAX($P$708*($B896+IF($R$17="Distrato",$I$38-1,0)),IF(AND($L$711=0,$P$708=0),"",$L$711-1),IF($R$17="Distrato",$E896,0))),0,YEARFRAC(MAX($P$708*($B896+IF($R$17="Distrato",$I$38-1,0)),IF(AND($L$711=0,$P$708=0),"",$L$711-1),IF($R$17="Distrato",$E896,0)),MIN(AV$38,$D$19),$P$20))-SUM($P896:AU896)</f>
        <v>#VALUE!</v>
      </c>
      <c r="AW896" s="446" t="e">
        <f>IF(OR($B896="",MIN(AW$38,$D$19)&lt;MAX($P$708*($B896+IF($R$17="Distrato",$I$38-1,0)),IF(AND($L$711=0,$P$708=0),"",$L$711-1),IF($R$17="Distrato",$E896,0))),0,YEARFRAC(MAX($P$708*($B896+IF($R$17="Distrato",$I$38-1,0)),IF(AND($L$711=0,$P$708=0),"",$L$711-1),IF($R$17="Distrato",$E896,0)),MIN(AW$38,$D$19),$P$20))-SUM($P896:AV896)</f>
        <v>#VALUE!</v>
      </c>
      <c r="AX896" s="446" t="e">
        <f>IF(OR($B896="",MIN(AX$38,$D$19)&lt;MAX($P$708*($B896+IF($R$17="Distrato",$I$38-1,0)),IF(AND($L$711=0,$P$708=0),"",$L$711-1),IF($R$17="Distrato",$E896,0))),0,YEARFRAC(MAX($P$708*($B896+IF($R$17="Distrato",$I$38-1,0)),IF(AND($L$711=0,$P$708=0),"",$L$711-1),IF($R$17="Distrato",$E896,0)),MIN(AX$38,$D$19),$P$20))-SUM($P896:AW896)</f>
        <v>#VALUE!</v>
      </c>
      <c r="AY896" s="446" t="e">
        <f>IF(OR($B896="",MIN(AY$38,$D$19)&lt;MAX($P$708*($B896+IF($R$17="Distrato",$I$38-1,0)),IF(AND($L$711=0,$P$708=0),"",$L$711-1),IF($R$17="Distrato",$E896,0))),0,YEARFRAC(MAX($P$708*($B896+IF($R$17="Distrato",$I$38-1,0)),IF(AND($L$711=0,$P$708=0),"",$L$711-1),IF($R$17="Distrato",$E896,0)),MIN(AY$38,$D$19),$P$20))-SUM($P896:AX896)</f>
        <v>#VALUE!</v>
      </c>
      <c r="AZ896" s="446" t="e">
        <f>IF(OR($B896="",MIN(AZ$38,$D$19)&lt;MAX($P$708*($B896+IF($R$17="Distrato",$I$38-1,0)),IF(AND($L$711=0,$P$708=0),"",$L$711-1),IF($R$17="Distrato",$E896,0))),0,YEARFRAC(MAX($P$708*($B896+IF($R$17="Distrato",$I$38-1,0)),IF(AND($L$711=0,$P$708=0),"",$L$711-1),IF($R$17="Distrato",$E896,0)),MIN(AZ$38,$D$19),$P$20))-SUM($P896:AY896)</f>
        <v>#VALUE!</v>
      </c>
      <c r="BA896" s="446" t="e">
        <f>IF(OR($B896="",MIN(BA$38,$D$19)&lt;MAX($P$708*($B896+IF($R$17="Distrato",$I$38-1,0)),IF(AND($L$711=0,$P$708=0),"",$L$711-1),IF($R$17="Distrato",$E896,0))),0,YEARFRAC(MAX($P$708*($B896+IF($R$17="Distrato",$I$38-1,0)),IF(AND($L$711=0,$P$708=0),"",$L$711-1),IF($R$17="Distrato",$E896,0)),MIN(BA$38,$D$19),$P$20))-SUM($P896:AZ896)</f>
        <v>#VALUE!</v>
      </c>
      <c r="BB896" s="447"/>
    </row>
    <row r="897" spans="1:54" s="446" customFormat="1" ht="11.25" hidden="1" customHeight="1" x14ac:dyDescent="0.2">
      <c r="A897" s="235"/>
      <c r="B897" s="236"/>
      <c r="C897" s="29" t="str">
        <f>IF(B897="","",IF($L$709=$BL$25,VLOOKUP(DATE(YEAR($D$19),MONTH($D$19)-1,1),ÍNDICES!$A:$DE,HLOOKUP($BL$25,ÍNDICES!$B$3:$T$4,2)+11)-VLOOKUP(B897,ÍNDICES!$A:$DE,HLOOKUP($BL$25,ÍNDICES!$B$3:$T$4,2)+11)+1%,IF(C$712=$W$26,$J$35,IF(ISERROR(IF(B897&gt;$D$19,1,VLOOKUP(DATE(YEAR(B897),MONTH(B897)+IF($C$709=$S$23,1,0),1),ÍNDICES!$A:$DE,$Z$709+1))),"",IF(B897&gt;$D$19,1,VLOOKUP(DATE(YEAR(B897),MONTH(B897)+IF($C$709=$S$23,1,0),1),ÍNDICES!$A:$DE,$Z$709+1))))))</f>
        <v/>
      </c>
      <c r="D897" s="155"/>
      <c r="E897" s="88"/>
      <c r="F897" s="88"/>
      <c r="G897" s="88"/>
      <c r="H897" s="118"/>
      <c r="I897" s="182">
        <f t="shared" si="129"/>
        <v>0</v>
      </c>
      <c r="J897" s="20">
        <f t="shared" ca="1" si="130"/>
        <v>0</v>
      </c>
      <c r="K897" s="5">
        <f t="shared" ca="1" si="131"/>
        <v>0</v>
      </c>
      <c r="L897" s="61">
        <f t="shared" ca="1" si="132"/>
        <v>0</v>
      </c>
      <c r="M897" s="64">
        <f t="shared" si="133"/>
        <v>0</v>
      </c>
      <c r="N897" s="151"/>
      <c r="O897" s="5">
        <f t="shared" ca="1" si="134"/>
        <v>0</v>
      </c>
      <c r="P897" s="446" t="e">
        <f t="shared" si="135"/>
        <v>#VALUE!</v>
      </c>
      <c r="Q897" s="446" t="e">
        <f>IF(OR($B897="",MIN(Q$38,$D$19)&lt;MAX($P$708*($B897+IF($R$17="Distrato",$I$38-1,0)),IF(AND($L$711=0,$P$708=0),"",$L$711-1),IF($R$17="Distrato",$E897,0))),0,YEARFRAC(MAX($P$708*($B897+IF($R$17="Distrato",$I$38-1,0)),IF(AND($L$711=0,$P$708=0),"",$L$711-1),IF($R$17="Distrato",$E897,0)),MIN(Q$38,$D$19),$P$20))-SUM($P897:P897)</f>
        <v>#VALUE!</v>
      </c>
      <c r="R897" s="446" t="e">
        <f>IF(OR($B897="",MIN(R$38,$D$19)&lt;MAX($P$708*($B897+IF($R$17="Distrato",$I$38-1,0)),IF(AND($L$711=0,$P$708=0),"",$L$711-1),IF($R$17="Distrato",$E897,0))),0,YEARFRAC(MAX($P$708*($B897+IF($R$17="Distrato",$I$38-1,0)),IF(AND($L$711=0,$P$708=0),"",$L$711-1),IF($R$17="Distrato",$E897,0)),MIN(R$38,$D$19),$P$20))-SUM($P897:Q897)</f>
        <v>#VALUE!</v>
      </c>
      <c r="S897" s="446" t="e">
        <f>IF(OR($B897="",MIN(S$38,$D$19)&lt;MAX($P$708*($B897+IF($R$17="Distrato",$I$38-1,0)),IF(AND($L$711=0,$P$708=0),"",$L$711-1),IF($R$17="Distrato",$E897,0))),0,YEARFRAC(MAX($P$708*($B897+IF($R$17="Distrato",$I$38-1,0)),IF(AND($L$711=0,$P$708=0),"",$L$711-1),IF($R$17="Distrato",$E897,0)),MIN(S$38,$D$19),$P$20))-SUM($P897:R897)</f>
        <v>#VALUE!</v>
      </c>
      <c r="T897" s="446" t="e">
        <f>IF(OR($B897="",MIN(T$38,$D$19)&lt;MAX($P$708*($B897+IF($R$17="Distrato",$I$38-1,0)),IF(AND($L$711=0,$P$708=0),"",$L$711-1),IF($R$17="Distrato",$E897,0))),0,YEARFRAC(MAX($P$708*($B897+IF($R$17="Distrato",$I$38-1,0)),IF(AND($L$711=0,$P$708=0),"",$L$711-1),IF($R$17="Distrato",$E897,0)),MIN(T$38,$D$19),$P$20))-SUM($P897:S897)</f>
        <v>#VALUE!</v>
      </c>
      <c r="U897" s="446" t="e">
        <f>IF(OR($B897="",MIN(U$38,$D$19)&lt;MAX($P$708*($B897+IF($R$17="Distrato",$I$38-1,0)),IF(AND($L$711=0,$P$708=0),"",$L$711-1),IF($R$17="Distrato",$E897,0))),0,YEARFRAC(MAX($P$708*($B897+IF($R$17="Distrato",$I$38-1,0)),IF(AND($L$711=0,$P$708=0),"",$L$711-1),IF($R$17="Distrato",$E897,0)),MIN(U$38,$D$19),$P$20))-SUM($P897:T897)</f>
        <v>#VALUE!</v>
      </c>
      <c r="V897" s="446" t="e">
        <f>IF(OR($B897="",MIN(V$38,$D$19)&lt;MAX($P$708*($B897+IF($R$17="Distrato",$I$38-1,0)),IF(AND($L$711=0,$P$708=0),"",$L$711-1),IF($R$17="Distrato",$E897,0))),0,YEARFRAC(MAX($P$708*($B897+IF($R$17="Distrato",$I$38-1,0)),IF(AND($L$711=0,$P$708=0),"",$L$711-1),IF($R$17="Distrato",$E897,0)),MIN(V$38,$D$19),$P$20))-SUM($P897:U897)</f>
        <v>#VALUE!</v>
      </c>
      <c r="W897" s="446" t="e">
        <f>IF(OR($B897="",MIN(W$38,$D$19)&lt;MAX($P$708*($B897+IF($R$17="Distrato",$I$38-1,0)),IF(AND($L$711=0,$P$708=0),"",$L$711-1),IF($R$17="Distrato",$E897,0))),0,YEARFRAC(MAX($P$708*($B897+IF($R$17="Distrato",$I$38-1,0)),IF(AND($L$711=0,$P$708=0),"",$L$711-1),IF($R$17="Distrato",$E897,0)),MIN(W$38,$D$19),$P$20))-SUM($P897:V897)</f>
        <v>#VALUE!</v>
      </c>
      <c r="X897" s="446" t="e">
        <f>IF(OR($B897="",MIN(X$38,$D$19)&lt;MAX($P$708*($B897+IF($R$17="Distrato",$I$38-1,0)),IF(AND($L$711=0,$P$708=0),"",$L$711-1),IF($R$17="Distrato",$E897,0))),0,YEARFRAC(MAX($P$708*($B897+IF($R$17="Distrato",$I$38-1,0)),IF(AND($L$711=0,$P$708=0),"",$L$711-1),IF($R$17="Distrato",$E897,0)),MIN(X$38,$D$19),$P$20))-SUM($P897:W897)</f>
        <v>#VALUE!</v>
      </c>
      <c r="Y897" s="446" t="e">
        <f>IF(OR($B897="",MIN(Y$38,$D$19)&lt;MAX($P$708*($B897+IF($R$17="Distrato",$I$38-1,0)),IF(AND($L$711=0,$P$708=0),"",$L$711-1),IF($R$17="Distrato",$E897,0))),0,YEARFRAC(MAX($P$708*($B897+IF($R$17="Distrato",$I$38-1,0)),IF(AND($L$711=0,$P$708=0),"",$L$711-1),IF($R$17="Distrato",$E897,0)),MIN(Y$38,$D$19),$P$20))-SUM($P897:X897)</f>
        <v>#VALUE!</v>
      </c>
      <c r="Z897" s="446" t="e">
        <f>IF(OR($B897="",MIN(Z$38,$D$19)&lt;MAX($P$708*($B897+IF($R$17="Distrato",$I$38-1,0)),IF(AND($L$711=0,$P$708=0),"",$L$711-1),IF($R$17="Distrato",$E897,0))),0,YEARFRAC(MAX($P$708*($B897+IF($R$17="Distrato",$I$38-1,0)),IF(AND($L$711=0,$P$708=0),"",$L$711-1),IF($R$17="Distrato",$E897,0)),MIN(Z$38,$D$19),$P$20))-SUM($P897:Y897)</f>
        <v>#VALUE!</v>
      </c>
      <c r="AA897" s="446" t="e">
        <f>IF(OR($B897="",MIN(AA$38,$D$19)&lt;MAX($P$708*($B897+IF($R$17="Distrato",$I$38-1,0)),IF(AND($L$711=0,$P$708=0),"",$L$711-1),IF($R$17="Distrato",$E897,0))),0,YEARFRAC(MAX($P$708*($B897+IF($R$17="Distrato",$I$38-1,0)),IF(AND($L$711=0,$P$708=0),"",$L$711-1),IF($R$17="Distrato",$E897,0)),MIN(AA$38,$D$19),$P$20))-SUM($P897:Z897)</f>
        <v>#VALUE!</v>
      </c>
      <c r="AB897" s="446" t="e">
        <f>IF(OR($B897="",MIN(AB$38,$D$19)&lt;MAX($P$708*($B897+IF($R$17="Distrato",$I$38-1,0)),IF(AND($L$711=0,$P$708=0),"",$L$711-1),IF($R$17="Distrato",$E897,0))),0,YEARFRAC(MAX($P$708*($B897+IF($R$17="Distrato",$I$38-1,0)),IF(AND($L$711=0,$P$708=0),"",$L$711-1),IF($R$17="Distrato",$E897,0)),MIN(AB$38,$D$19),$P$20))-SUM($P897:AA897)</f>
        <v>#VALUE!</v>
      </c>
      <c r="AC897" s="446" t="e">
        <f>IF(OR($B897="",MIN(AC$38,$D$19)&lt;MAX($P$708*($B897+IF($R$17="Distrato",$I$38-1,0)),IF(AND($L$711=0,$P$708=0),"",$L$711-1),IF($R$17="Distrato",$E897,0))),0,YEARFRAC(MAX($P$708*($B897+IF($R$17="Distrato",$I$38-1,0)),IF(AND($L$711=0,$P$708=0),"",$L$711-1),IF($R$17="Distrato",$E897,0)),MIN(AC$38,$D$19),$P$20))-SUM($P897:AB897)</f>
        <v>#VALUE!</v>
      </c>
      <c r="AD897" s="446" t="e">
        <f>IF(OR($B897="",MIN(AD$38,$D$19)&lt;MAX($P$708*($B897+IF($R$17="Distrato",$I$38-1,0)),IF(AND($L$711=0,$P$708=0),"",$L$711-1),IF($R$17="Distrato",$E897,0))),0,YEARFRAC(MAX($P$708*($B897+IF($R$17="Distrato",$I$38-1,0)),IF(AND($L$711=0,$P$708=0),"",$L$711-1),IF($R$17="Distrato",$E897,0)),MIN(AD$38,$D$19),$P$20))-SUM($P897:AC897)</f>
        <v>#VALUE!</v>
      </c>
      <c r="AE897" s="446" t="e">
        <f>IF(OR($B897="",MIN(AE$38,$D$19)&lt;MAX($P$708*($B897+IF($R$17="Distrato",$I$38-1,0)),IF(AND($L$711=0,$P$708=0),"",$L$711-1),IF($R$17="Distrato",$E897,0))),0,YEARFRAC(MAX($P$708*($B897+IF($R$17="Distrato",$I$38-1,0)),IF(AND($L$711=0,$P$708=0),"",$L$711-1),IF($R$17="Distrato",$E897,0)),MIN(AE$38,$D$19),$P$20))-SUM($P897:AD897)</f>
        <v>#VALUE!</v>
      </c>
      <c r="AF897" s="446" t="e">
        <f>IF(OR($B897="",MIN(AF$38,$D$19)&lt;MAX($P$708*($B897+IF($R$17="Distrato",$I$38-1,0)),IF(AND($L$711=0,$P$708=0),"",$L$711-1),IF($R$17="Distrato",$E897,0))),0,YEARFRAC(MAX($P$708*($B897+IF($R$17="Distrato",$I$38-1,0)),IF(AND($L$711=0,$P$708=0),"",$L$711-1),IF($R$17="Distrato",$E897,0)),MIN(AF$38,$D$19),$P$20))-SUM($P897:AE897)</f>
        <v>#VALUE!</v>
      </c>
      <c r="AG897" s="446" t="e">
        <f>IF(OR($B897="",MIN(AG$38,$D$19)&lt;MAX($P$708*($B897+IF($R$17="Distrato",$I$38-1,0)),IF(AND($L$711=0,$P$708=0),"",$L$711-1),IF($R$17="Distrato",$E897,0))),0,YEARFRAC(MAX($P$708*($B897+IF($R$17="Distrato",$I$38-1,0)),IF(AND($L$711=0,$P$708=0),"",$L$711-1),IF($R$17="Distrato",$E897,0)),MIN(AG$38,$D$19),$P$20))-SUM($P897:AF897)</f>
        <v>#VALUE!</v>
      </c>
      <c r="AH897" s="446" t="e">
        <f>IF(OR($B897="",MIN(AH$38,$D$19)&lt;MAX($P$708*($B897+IF($R$17="Distrato",$I$38-1,0)),IF(AND($L$711=0,$P$708=0),"",$L$711-1),IF($R$17="Distrato",$E897,0))),0,YEARFRAC(MAX($P$708*($B897+IF($R$17="Distrato",$I$38-1,0)),IF(AND($L$711=0,$P$708=0),"",$L$711-1),IF($R$17="Distrato",$E897,0)),MIN(AH$38,$D$19),$P$20))-SUM($P897:AG897)</f>
        <v>#VALUE!</v>
      </c>
      <c r="AI897" s="446" t="e">
        <f>IF(OR($B897="",MIN(AI$38,$D$19)&lt;MAX($P$708*($B897+IF($R$17="Distrato",$I$38-1,0)),IF(AND($L$711=0,$P$708=0),"",$L$711-1),IF($R$17="Distrato",$E897,0))),0,YEARFRAC(MAX($P$708*($B897+IF($R$17="Distrato",$I$38-1,0)),IF(AND($L$711=0,$P$708=0),"",$L$711-1),IF($R$17="Distrato",$E897,0)),MIN(AI$38,$D$19),$P$20))-SUM($P897:AH897)</f>
        <v>#VALUE!</v>
      </c>
      <c r="AJ897" s="446" t="e">
        <f>IF(OR($B897="",MIN(AJ$38,$D$19)&lt;MAX($P$708*($B897+IF($R$17="Distrato",$I$38-1,0)),IF(AND($L$711=0,$P$708=0),"",$L$711-1),IF($R$17="Distrato",$E897,0))),0,YEARFRAC(MAX($P$708*($B897+IF($R$17="Distrato",$I$38-1,0)),IF(AND($L$711=0,$P$708=0),"",$L$711-1),IF($R$17="Distrato",$E897,0)),MIN(AJ$38,$D$19),$P$20))-SUM($P897:AI897)</f>
        <v>#VALUE!</v>
      </c>
      <c r="AK897" s="446" t="e">
        <f>IF(OR($B897="",MIN(AK$38,$D$19)&lt;MAX($P$708*($B897+IF($R$17="Distrato",$I$38-1,0)),IF(AND($L$711=0,$P$708=0),"",$L$711-1),IF($R$17="Distrato",$E897,0))),0,YEARFRAC(MAX($P$708*($B897+IF($R$17="Distrato",$I$38-1,0)),IF(AND($L$711=0,$P$708=0),"",$L$711-1),IF($R$17="Distrato",$E897,0)),MIN(AK$38,$D$19),$P$20))-SUM($P897:AJ897)</f>
        <v>#VALUE!</v>
      </c>
      <c r="AL897" s="446" t="e">
        <f>IF(OR($B897="",MIN(AL$38,$D$19)&lt;MAX($P$708*($B897+IF($R$17="Distrato",$I$38-1,0)),IF(AND($L$711=0,$P$708=0),"",$L$711-1),IF($R$17="Distrato",$E897,0))),0,YEARFRAC(MAX($P$708*($B897+IF($R$17="Distrato",$I$38-1,0)),IF(AND($L$711=0,$P$708=0),"",$L$711-1),IF($R$17="Distrato",$E897,0)),MIN(AL$38,$D$19),$P$20))-SUM($P897:AK897)</f>
        <v>#VALUE!</v>
      </c>
      <c r="AM897" s="446" t="e">
        <f>IF(OR($B897="",MIN(AM$38,$D$19)&lt;MAX($P$708*($B897+IF($R$17="Distrato",$I$38-1,0)),IF(AND($L$711=0,$P$708=0),"",$L$711-1),IF($R$17="Distrato",$E897,0))),0,YEARFRAC(MAX($P$708*($B897+IF($R$17="Distrato",$I$38-1,0)),IF(AND($L$711=0,$P$708=0),"",$L$711-1),IF($R$17="Distrato",$E897,0)),MIN(AM$38,$D$19),$P$20))-SUM($P897:AL897)</f>
        <v>#VALUE!</v>
      </c>
      <c r="AN897" s="446" t="e">
        <f>IF(OR($B897="",MIN(AN$38,$D$19)&lt;MAX($P$708*($B897+IF($R$17="Distrato",$I$38-1,0)),IF(AND($L$711=0,$P$708=0),"",$L$711-1),IF($R$17="Distrato",$E897,0))),0,YEARFRAC(MAX($P$708*($B897+IF($R$17="Distrato",$I$38-1,0)),IF(AND($L$711=0,$P$708=0),"",$L$711-1),IF($R$17="Distrato",$E897,0)),MIN(AN$38,$D$19),$P$20))-SUM($P897:AM897)</f>
        <v>#VALUE!</v>
      </c>
      <c r="AO897" s="446" t="e">
        <f>IF(OR($B897="",MIN(AO$38,$D$19)&lt;MAX($P$708*($B897+IF($R$17="Distrato",$I$38-1,0)),IF(AND($L$711=0,$P$708=0),"",$L$711-1),IF($R$17="Distrato",$E897,0))),0,YEARFRAC(MAX($P$708*($B897+IF($R$17="Distrato",$I$38-1,0)),IF(AND($L$711=0,$P$708=0),"",$L$711-1),IF($R$17="Distrato",$E897,0)),MIN(AO$38,$D$19),$P$20))-SUM($P897:AN897)</f>
        <v>#VALUE!</v>
      </c>
      <c r="AP897" s="446" t="e">
        <f>IF(OR($B897="",MIN(AP$38,$D$19)&lt;MAX($P$708*($B897+IF($R$17="Distrato",$I$38-1,0)),IF(AND($L$711=0,$P$708=0),"",$L$711-1),IF($R$17="Distrato",$E897,0))),0,YEARFRAC(MAX($P$708*($B897+IF($R$17="Distrato",$I$38-1,0)),IF(AND($L$711=0,$P$708=0),"",$L$711-1),IF($R$17="Distrato",$E897,0)),MIN(AP$38,$D$19),$P$20))-SUM($P897:AO897)</f>
        <v>#VALUE!</v>
      </c>
      <c r="AQ897" s="446" t="e">
        <f>IF(OR($B897="",MIN(AQ$38,$D$19)&lt;MAX($P$708*($B897+IF($R$17="Distrato",$I$38-1,0)),IF(AND($L$711=0,$P$708=0),"",$L$711-1),IF($R$17="Distrato",$E897,0))),0,YEARFRAC(MAX($P$708*($B897+IF($R$17="Distrato",$I$38-1,0)),IF(AND($L$711=0,$P$708=0),"",$L$711-1),IF($R$17="Distrato",$E897,0)),MIN(AQ$38,$D$19),$P$20))-SUM($P897:AP897)</f>
        <v>#VALUE!</v>
      </c>
      <c r="AR897" s="446" t="e">
        <f>IF(OR($B897="",MIN(AR$38,$D$19)&lt;MAX($P$708*($B897+IF($R$17="Distrato",$I$38-1,0)),IF(AND($L$711=0,$P$708=0),"",$L$711-1),IF($R$17="Distrato",$E897,0))),0,YEARFRAC(MAX($P$708*($B897+IF($R$17="Distrato",$I$38-1,0)),IF(AND($L$711=0,$P$708=0),"",$L$711-1),IF($R$17="Distrato",$E897,0)),MIN(AR$38,$D$19),$P$20))-SUM($P897:AQ897)</f>
        <v>#VALUE!</v>
      </c>
      <c r="AS897" s="446" t="e">
        <f>IF(OR($B897="",MIN(AS$38,$D$19)&lt;MAX($P$708*($B897+IF($R$17="Distrato",$I$38-1,0)),IF(AND($L$711=0,$P$708=0),"",$L$711-1),IF($R$17="Distrato",$E897,0))),0,YEARFRAC(MAX($P$708*($B897+IF($R$17="Distrato",$I$38-1,0)),IF(AND($L$711=0,$P$708=0),"",$L$711-1),IF($R$17="Distrato",$E897,0)),MIN(AS$38,$D$19),$P$20))-SUM($P897:AR897)</f>
        <v>#VALUE!</v>
      </c>
      <c r="AT897" s="446" t="e">
        <f>IF(OR($B897="",MIN(AT$38,$D$19)&lt;MAX($P$708*($B897+IF($R$17="Distrato",$I$38-1,0)),IF(AND($L$711=0,$P$708=0),"",$L$711-1),IF($R$17="Distrato",$E897,0))),0,YEARFRAC(MAX($P$708*($B897+IF($R$17="Distrato",$I$38-1,0)),IF(AND($L$711=0,$P$708=0),"",$L$711-1),IF($R$17="Distrato",$E897,0)),MIN(AT$38,$D$19),$P$20))-SUM($P897:AS897)</f>
        <v>#VALUE!</v>
      </c>
      <c r="AU897" s="446" t="e">
        <f>IF(OR($B897="",MIN(AU$38,$D$19)&lt;MAX($P$708*($B897+IF($R$17="Distrato",$I$38-1,0)),IF(AND($L$711=0,$P$708=0),"",$L$711-1),IF($R$17="Distrato",$E897,0))),0,YEARFRAC(MAX($P$708*($B897+IF($R$17="Distrato",$I$38-1,0)),IF(AND($L$711=0,$P$708=0),"",$L$711-1),IF($R$17="Distrato",$E897,0)),MIN(AU$38,$D$19),$P$20))-SUM($P897:AT897)</f>
        <v>#VALUE!</v>
      </c>
      <c r="AV897" s="446" t="e">
        <f>IF(OR($B897="",MIN(AV$38,$D$19)&lt;MAX($P$708*($B897+IF($R$17="Distrato",$I$38-1,0)),IF(AND($L$711=0,$P$708=0),"",$L$711-1),IF($R$17="Distrato",$E897,0))),0,YEARFRAC(MAX($P$708*($B897+IF($R$17="Distrato",$I$38-1,0)),IF(AND($L$711=0,$P$708=0),"",$L$711-1),IF($R$17="Distrato",$E897,0)),MIN(AV$38,$D$19),$P$20))-SUM($P897:AU897)</f>
        <v>#VALUE!</v>
      </c>
      <c r="AW897" s="446" t="e">
        <f>IF(OR($B897="",MIN(AW$38,$D$19)&lt;MAX($P$708*($B897+IF($R$17="Distrato",$I$38-1,0)),IF(AND($L$711=0,$P$708=0),"",$L$711-1),IF($R$17="Distrato",$E897,0))),0,YEARFRAC(MAX($P$708*($B897+IF($R$17="Distrato",$I$38-1,0)),IF(AND($L$711=0,$P$708=0),"",$L$711-1),IF($R$17="Distrato",$E897,0)),MIN(AW$38,$D$19),$P$20))-SUM($P897:AV897)</f>
        <v>#VALUE!</v>
      </c>
      <c r="AX897" s="446" t="e">
        <f>IF(OR($B897="",MIN(AX$38,$D$19)&lt;MAX($P$708*($B897+IF($R$17="Distrato",$I$38-1,0)),IF(AND($L$711=0,$P$708=0),"",$L$711-1),IF($R$17="Distrato",$E897,0))),0,YEARFRAC(MAX($P$708*($B897+IF($R$17="Distrato",$I$38-1,0)),IF(AND($L$711=0,$P$708=0),"",$L$711-1),IF($R$17="Distrato",$E897,0)),MIN(AX$38,$D$19),$P$20))-SUM($P897:AW897)</f>
        <v>#VALUE!</v>
      </c>
      <c r="AY897" s="446" t="e">
        <f>IF(OR($B897="",MIN(AY$38,$D$19)&lt;MAX($P$708*($B897+IF($R$17="Distrato",$I$38-1,0)),IF(AND($L$711=0,$P$708=0),"",$L$711-1),IF($R$17="Distrato",$E897,0))),0,YEARFRAC(MAX($P$708*($B897+IF($R$17="Distrato",$I$38-1,0)),IF(AND($L$711=0,$P$708=0),"",$L$711-1),IF($R$17="Distrato",$E897,0)),MIN(AY$38,$D$19),$P$20))-SUM($P897:AX897)</f>
        <v>#VALUE!</v>
      </c>
      <c r="AZ897" s="446" t="e">
        <f>IF(OR($B897="",MIN(AZ$38,$D$19)&lt;MAX($P$708*($B897+IF($R$17="Distrato",$I$38-1,0)),IF(AND($L$711=0,$P$708=0),"",$L$711-1),IF($R$17="Distrato",$E897,0))),0,YEARFRAC(MAX($P$708*($B897+IF($R$17="Distrato",$I$38-1,0)),IF(AND($L$711=0,$P$708=0),"",$L$711-1),IF($R$17="Distrato",$E897,0)),MIN(AZ$38,$D$19),$P$20))-SUM($P897:AY897)</f>
        <v>#VALUE!</v>
      </c>
      <c r="BA897" s="446" t="e">
        <f>IF(OR($B897="",MIN(BA$38,$D$19)&lt;MAX($P$708*($B897+IF($R$17="Distrato",$I$38-1,0)),IF(AND($L$711=0,$P$708=0),"",$L$711-1),IF($R$17="Distrato",$E897,0))),0,YEARFRAC(MAX($P$708*($B897+IF($R$17="Distrato",$I$38-1,0)),IF(AND($L$711=0,$P$708=0),"",$L$711-1),IF($R$17="Distrato",$E897,0)),MIN(BA$38,$D$19),$P$20))-SUM($P897:AZ897)</f>
        <v>#VALUE!</v>
      </c>
      <c r="BB897" s="447"/>
    </row>
    <row r="898" spans="1:54" s="446" customFormat="1" ht="11.25" hidden="1" customHeight="1" x14ac:dyDescent="0.2">
      <c r="A898" s="235"/>
      <c r="B898" s="236"/>
      <c r="C898" s="29" t="str">
        <f>IF(B898="","",IF($L$709=$BL$25,VLOOKUP(DATE(YEAR($D$19),MONTH($D$19)-1,1),ÍNDICES!$A:$DE,HLOOKUP($BL$25,ÍNDICES!$B$3:$T$4,2)+11)-VLOOKUP(B898,ÍNDICES!$A:$DE,HLOOKUP($BL$25,ÍNDICES!$B$3:$T$4,2)+11)+1%,IF(C$712=$W$26,$J$35,IF(ISERROR(IF(B898&gt;$D$19,1,VLOOKUP(DATE(YEAR(B898),MONTH(B898)+IF($C$709=$S$23,1,0),1),ÍNDICES!$A:$DE,$Z$709+1))),"",IF(B898&gt;$D$19,1,VLOOKUP(DATE(YEAR(B898),MONTH(B898)+IF($C$709=$S$23,1,0),1),ÍNDICES!$A:$DE,$Z$709+1))))))</f>
        <v/>
      </c>
      <c r="D898" s="155"/>
      <c r="E898" s="88"/>
      <c r="F898" s="88"/>
      <c r="G898" s="88"/>
      <c r="H898" s="118"/>
      <c r="I898" s="182">
        <f t="shared" si="129"/>
        <v>0</v>
      </c>
      <c r="J898" s="20">
        <f t="shared" ca="1" si="130"/>
        <v>0</v>
      </c>
      <c r="K898" s="5">
        <f t="shared" ca="1" si="131"/>
        <v>0</v>
      </c>
      <c r="L898" s="61">
        <f t="shared" ca="1" si="132"/>
        <v>0</v>
      </c>
      <c r="M898" s="64">
        <f t="shared" si="133"/>
        <v>0</v>
      </c>
      <c r="N898" s="151"/>
      <c r="O898" s="5">
        <f t="shared" ca="1" si="134"/>
        <v>0</v>
      </c>
      <c r="P898" s="446" t="e">
        <f t="shared" si="135"/>
        <v>#VALUE!</v>
      </c>
      <c r="Q898" s="446" t="e">
        <f>IF(OR($B898="",MIN(Q$38,$D$19)&lt;MAX($P$708*($B898+IF($R$17="Distrato",$I$38-1,0)),IF(AND($L$711=0,$P$708=0),"",$L$711-1),IF($R$17="Distrato",$E898,0))),0,YEARFRAC(MAX($P$708*($B898+IF($R$17="Distrato",$I$38-1,0)),IF(AND($L$711=0,$P$708=0),"",$L$711-1),IF($R$17="Distrato",$E898,0)),MIN(Q$38,$D$19),$P$20))-SUM($P898:P898)</f>
        <v>#VALUE!</v>
      </c>
      <c r="R898" s="446" t="e">
        <f>IF(OR($B898="",MIN(R$38,$D$19)&lt;MAX($P$708*($B898+IF($R$17="Distrato",$I$38-1,0)),IF(AND($L$711=0,$P$708=0),"",$L$711-1),IF($R$17="Distrato",$E898,0))),0,YEARFRAC(MAX($P$708*($B898+IF($R$17="Distrato",$I$38-1,0)),IF(AND($L$711=0,$P$708=0),"",$L$711-1),IF($R$17="Distrato",$E898,0)),MIN(R$38,$D$19),$P$20))-SUM($P898:Q898)</f>
        <v>#VALUE!</v>
      </c>
      <c r="S898" s="446" t="e">
        <f>IF(OR($B898="",MIN(S$38,$D$19)&lt;MAX($P$708*($B898+IF($R$17="Distrato",$I$38-1,0)),IF(AND($L$711=0,$P$708=0),"",$L$711-1),IF($R$17="Distrato",$E898,0))),0,YEARFRAC(MAX($P$708*($B898+IF($R$17="Distrato",$I$38-1,0)),IF(AND($L$711=0,$P$708=0),"",$L$711-1),IF($R$17="Distrato",$E898,0)),MIN(S$38,$D$19),$P$20))-SUM($P898:R898)</f>
        <v>#VALUE!</v>
      </c>
      <c r="T898" s="446" t="e">
        <f>IF(OR($B898="",MIN(T$38,$D$19)&lt;MAX($P$708*($B898+IF($R$17="Distrato",$I$38-1,0)),IF(AND($L$711=0,$P$708=0),"",$L$711-1),IF($R$17="Distrato",$E898,0))),0,YEARFRAC(MAX($P$708*($B898+IF($R$17="Distrato",$I$38-1,0)),IF(AND($L$711=0,$P$708=0),"",$L$711-1),IF($R$17="Distrato",$E898,0)),MIN(T$38,$D$19),$P$20))-SUM($P898:S898)</f>
        <v>#VALUE!</v>
      </c>
      <c r="U898" s="446" t="e">
        <f>IF(OR($B898="",MIN(U$38,$D$19)&lt;MAX($P$708*($B898+IF($R$17="Distrato",$I$38-1,0)),IF(AND($L$711=0,$P$708=0),"",$L$711-1),IF($R$17="Distrato",$E898,0))),0,YEARFRAC(MAX($P$708*($B898+IF($R$17="Distrato",$I$38-1,0)),IF(AND($L$711=0,$P$708=0),"",$L$711-1),IF($R$17="Distrato",$E898,0)),MIN(U$38,$D$19),$P$20))-SUM($P898:T898)</f>
        <v>#VALUE!</v>
      </c>
      <c r="V898" s="446" t="e">
        <f>IF(OR($B898="",MIN(V$38,$D$19)&lt;MAX($P$708*($B898+IF($R$17="Distrato",$I$38-1,0)),IF(AND($L$711=0,$P$708=0),"",$L$711-1),IF($R$17="Distrato",$E898,0))),0,YEARFRAC(MAX($P$708*($B898+IF($R$17="Distrato",$I$38-1,0)),IF(AND($L$711=0,$P$708=0),"",$L$711-1),IF($R$17="Distrato",$E898,0)),MIN(V$38,$D$19),$P$20))-SUM($P898:U898)</f>
        <v>#VALUE!</v>
      </c>
      <c r="W898" s="446" t="e">
        <f>IF(OR($B898="",MIN(W$38,$D$19)&lt;MAX($P$708*($B898+IF($R$17="Distrato",$I$38-1,0)),IF(AND($L$711=0,$P$708=0),"",$L$711-1),IF($R$17="Distrato",$E898,0))),0,YEARFRAC(MAX($P$708*($B898+IF($R$17="Distrato",$I$38-1,0)),IF(AND($L$711=0,$P$708=0),"",$L$711-1),IF($R$17="Distrato",$E898,0)),MIN(W$38,$D$19),$P$20))-SUM($P898:V898)</f>
        <v>#VALUE!</v>
      </c>
      <c r="X898" s="446" t="e">
        <f>IF(OR($B898="",MIN(X$38,$D$19)&lt;MAX($P$708*($B898+IF($R$17="Distrato",$I$38-1,0)),IF(AND($L$711=0,$P$708=0),"",$L$711-1),IF($R$17="Distrato",$E898,0))),0,YEARFRAC(MAX($P$708*($B898+IF($R$17="Distrato",$I$38-1,0)),IF(AND($L$711=0,$P$708=0),"",$L$711-1),IF($R$17="Distrato",$E898,0)),MIN(X$38,$D$19),$P$20))-SUM($P898:W898)</f>
        <v>#VALUE!</v>
      </c>
      <c r="Y898" s="446" t="e">
        <f>IF(OR($B898="",MIN(Y$38,$D$19)&lt;MAX($P$708*($B898+IF($R$17="Distrato",$I$38-1,0)),IF(AND($L$711=0,$P$708=0),"",$L$711-1),IF($R$17="Distrato",$E898,0))),0,YEARFRAC(MAX($P$708*($B898+IF($R$17="Distrato",$I$38-1,0)),IF(AND($L$711=0,$P$708=0),"",$L$711-1),IF($R$17="Distrato",$E898,0)),MIN(Y$38,$D$19),$P$20))-SUM($P898:X898)</f>
        <v>#VALUE!</v>
      </c>
      <c r="Z898" s="446" t="e">
        <f>IF(OR($B898="",MIN(Z$38,$D$19)&lt;MAX($P$708*($B898+IF($R$17="Distrato",$I$38-1,0)),IF(AND($L$711=0,$P$708=0),"",$L$711-1),IF($R$17="Distrato",$E898,0))),0,YEARFRAC(MAX($P$708*($B898+IF($R$17="Distrato",$I$38-1,0)),IF(AND($L$711=0,$P$708=0),"",$L$711-1),IF($R$17="Distrato",$E898,0)),MIN(Z$38,$D$19),$P$20))-SUM($P898:Y898)</f>
        <v>#VALUE!</v>
      </c>
      <c r="AA898" s="446" t="e">
        <f>IF(OR($B898="",MIN(AA$38,$D$19)&lt;MAX($P$708*($B898+IF($R$17="Distrato",$I$38-1,0)),IF(AND($L$711=0,$P$708=0),"",$L$711-1),IF($R$17="Distrato",$E898,0))),0,YEARFRAC(MAX($P$708*($B898+IF($R$17="Distrato",$I$38-1,0)),IF(AND($L$711=0,$P$708=0),"",$L$711-1),IF($R$17="Distrato",$E898,0)),MIN(AA$38,$D$19),$P$20))-SUM($P898:Z898)</f>
        <v>#VALUE!</v>
      </c>
      <c r="AB898" s="446" t="e">
        <f>IF(OR($B898="",MIN(AB$38,$D$19)&lt;MAX($P$708*($B898+IF($R$17="Distrato",$I$38-1,0)),IF(AND($L$711=0,$P$708=0),"",$L$711-1),IF($R$17="Distrato",$E898,0))),0,YEARFRAC(MAX($P$708*($B898+IF($R$17="Distrato",$I$38-1,0)),IF(AND($L$711=0,$P$708=0),"",$L$711-1),IF($R$17="Distrato",$E898,0)),MIN(AB$38,$D$19),$P$20))-SUM($P898:AA898)</f>
        <v>#VALUE!</v>
      </c>
      <c r="AC898" s="446" t="e">
        <f>IF(OR($B898="",MIN(AC$38,$D$19)&lt;MAX($P$708*($B898+IF($R$17="Distrato",$I$38-1,0)),IF(AND($L$711=0,$P$708=0),"",$L$711-1),IF($R$17="Distrato",$E898,0))),0,YEARFRAC(MAX($P$708*($B898+IF($R$17="Distrato",$I$38-1,0)),IF(AND($L$711=0,$P$708=0),"",$L$711-1),IF($R$17="Distrato",$E898,0)),MIN(AC$38,$D$19),$P$20))-SUM($P898:AB898)</f>
        <v>#VALUE!</v>
      </c>
      <c r="AD898" s="446" t="e">
        <f>IF(OR($B898="",MIN(AD$38,$D$19)&lt;MAX($P$708*($B898+IF($R$17="Distrato",$I$38-1,0)),IF(AND($L$711=0,$P$708=0),"",$L$711-1),IF($R$17="Distrato",$E898,0))),0,YEARFRAC(MAX($P$708*($B898+IF($R$17="Distrato",$I$38-1,0)),IF(AND($L$711=0,$P$708=0),"",$L$711-1),IF($R$17="Distrato",$E898,0)),MIN(AD$38,$D$19),$P$20))-SUM($P898:AC898)</f>
        <v>#VALUE!</v>
      </c>
      <c r="AE898" s="446" t="e">
        <f>IF(OR($B898="",MIN(AE$38,$D$19)&lt;MAX($P$708*($B898+IF($R$17="Distrato",$I$38-1,0)),IF(AND($L$711=0,$P$708=0),"",$L$711-1),IF($R$17="Distrato",$E898,0))),0,YEARFRAC(MAX($P$708*($B898+IF($R$17="Distrato",$I$38-1,0)),IF(AND($L$711=0,$P$708=0),"",$L$711-1),IF($R$17="Distrato",$E898,0)),MIN(AE$38,$D$19),$P$20))-SUM($P898:AD898)</f>
        <v>#VALUE!</v>
      </c>
      <c r="AF898" s="446" t="e">
        <f>IF(OR($B898="",MIN(AF$38,$D$19)&lt;MAX($P$708*($B898+IF($R$17="Distrato",$I$38-1,0)),IF(AND($L$711=0,$P$708=0),"",$L$711-1),IF($R$17="Distrato",$E898,0))),0,YEARFRAC(MAX($P$708*($B898+IF($R$17="Distrato",$I$38-1,0)),IF(AND($L$711=0,$P$708=0),"",$L$711-1),IF($R$17="Distrato",$E898,0)),MIN(AF$38,$D$19),$P$20))-SUM($P898:AE898)</f>
        <v>#VALUE!</v>
      </c>
      <c r="AG898" s="446" t="e">
        <f>IF(OR($B898="",MIN(AG$38,$D$19)&lt;MAX($P$708*($B898+IF($R$17="Distrato",$I$38-1,0)),IF(AND($L$711=0,$P$708=0),"",$L$711-1),IF($R$17="Distrato",$E898,0))),0,YEARFRAC(MAX($P$708*($B898+IF($R$17="Distrato",$I$38-1,0)),IF(AND($L$711=0,$P$708=0),"",$L$711-1),IF($R$17="Distrato",$E898,0)),MIN(AG$38,$D$19),$P$20))-SUM($P898:AF898)</f>
        <v>#VALUE!</v>
      </c>
      <c r="AH898" s="446" t="e">
        <f>IF(OR($B898="",MIN(AH$38,$D$19)&lt;MAX($P$708*($B898+IF($R$17="Distrato",$I$38-1,0)),IF(AND($L$711=0,$P$708=0),"",$L$711-1),IF($R$17="Distrato",$E898,0))),0,YEARFRAC(MAX($P$708*($B898+IF($R$17="Distrato",$I$38-1,0)),IF(AND($L$711=0,$P$708=0),"",$L$711-1),IF($R$17="Distrato",$E898,0)),MIN(AH$38,$D$19),$P$20))-SUM($P898:AG898)</f>
        <v>#VALUE!</v>
      </c>
      <c r="AI898" s="446" t="e">
        <f>IF(OR($B898="",MIN(AI$38,$D$19)&lt;MAX($P$708*($B898+IF($R$17="Distrato",$I$38-1,0)),IF(AND($L$711=0,$P$708=0),"",$L$711-1),IF($R$17="Distrato",$E898,0))),0,YEARFRAC(MAX($P$708*($B898+IF($R$17="Distrato",$I$38-1,0)),IF(AND($L$711=0,$P$708=0),"",$L$711-1),IF($R$17="Distrato",$E898,0)),MIN(AI$38,$D$19),$P$20))-SUM($P898:AH898)</f>
        <v>#VALUE!</v>
      </c>
      <c r="AJ898" s="446" t="e">
        <f>IF(OR($B898="",MIN(AJ$38,$D$19)&lt;MAX($P$708*($B898+IF($R$17="Distrato",$I$38-1,0)),IF(AND($L$711=0,$P$708=0),"",$L$711-1),IF($R$17="Distrato",$E898,0))),0,YEARFRAC(MAX($P$708*($B898+IF($R$17="Distrato",$I$38-1,0)),IF(AND($L$711=0,$P$708=0),"",$L$711-1),IF($R$17="Distrato",$E898,0)),MIN(AJ$38,$D$19),$P$20))-SUM($P898:AI898)</f>
        <v>#VALUE!</v>
      </c>
      <c r="AK898" s="446" t="e">
        <f>IF(OR($B898="",MIN(AK$38,$D$19)&lt;MAX($P$708*($B898+IF($R$17="Distrato",$I$38-1,0)),IF(AND($L$711=0,$P$708=0),"",$L$711-1),IF($R$17="Distrato",$E898,0))),0,YEARFRAC(MAX($P$708*($B898+IF($R$17="Distrato",$I$38-1,0)),IF(AND($L$711=0,$P$708=0),"",$L$711-1),IF($R$17="Distrato",$E898,0)),MIN(AK$38,$D$19),$P$20))-SUM($P898:AJ898)</f>
        <v>#VALUE!</v>
      </c>
      <c r="AL898" s="446" t="e">
        <f>IF(OR($B898="",MIN(AL$38,$D$19)&lt;MAX($P$708*($B898+IF($R$17="Distrato",$I$38-1,0)),IF(AND($L$711=0,$P$708=0),"",$L$711-1),IF($R$17="Distrato",$E898,0))),0,YEARFRAC(MAX($P$708*($B898+IF($R$17="Distrato",$I$38-1,0)),IF(AND($L$711=0,$P$708=0),"",$L$711-1),IF($R$17="Distrato",$E898,0)),MIN(AL$38,$D$19),$P$20))-SUM($P898:AK898)</f>
        <v>#VALUE!</v>
      </c>
      <c r="AM898" s="446" t="e">
        <f>IF(OR($B898="",MIN(AM$38,$D$19)&lt;MAX($P$708*($B898+IF($R$17="Distrato",$I$38-1,0)),IF(AND($L$711=0,$P$708=0),"",$L$711-1),IF($R$17="Distrato",$E898,0))),0,YEARFRAC(MAX($P$708*($B898+IF($R$17="Distrato",$I$38-1,0)),IF(AND($L$711=0,$P$708=0),"",$L$711-1),IF($R$17="Distrato",$E898,0)),MIN(AM$38,$D$19),$P$20))-SUM($P898:AL898)</f>
        <v>#VALUE!</v>
      </c>
      <c r="AN898" s="446" t="e">
        <f>IF(OR($B898="",MIN(AN$38,$D$19)&lt;MAX($P$708*($B898+IF($R$17="Distrato",$I$38-1,0)),IF(AND($L$711=0,$P$708=0),"",$L$711-1),IF($R$17="Distrato",$E898,0))),0,YEARFRAC(MAX($P$708*($B898+IF($R$17="Distrato",$I$38-1,0)),IF(AND($L$711=0,$P$708=0),"",$L$711-1),IF($R$17="Distrato",$E898,0)),MIN(AN$38,$D$19),$P$20))-SUM($P898:AM898)</f>
        <v>#VALUE!</v>
      </c>
      <c r="AO898" s="446" t="e">
        <f>IF(OR($B898="",MIN(AO$38,$D$19)&lt;MAX($P$708*($B898+IF($R$17="Distrato",$I$38-1,0)),IF(AND($L$711=0,$P$708=0),"",$L$711-1),IF($R$17="Distrato",$E898,0))),0,YEARFRAC(MAX($P$708*($B898+IF($R$17="Distrato",$I$38-1,0)),IF(AND($L$711=0,$P$708=0),"",$L$711-1),IF($R$17="Distrato",$E898,0)),MIN(AO$38,$D$19),$P$20))-SUM($P898:AN898)</f>
        <v>#VALUE!</v>
      </c>
      <c r="AP898" s="446" t="e">
        <f>IF(OR($B898="",MIN(AP$38,$D$19)&lt;MAX($P$708*($B898+IF($R$17="Distrato",$I$38-1,0)),IF(AND($L$711=0,$P$708=0),"",$L$711-1),IF($R$17="Distrato",$E898,0))),0,YEARFRAC(MAX($P$708*($B898+IF($R$17="Distrato",$I$38-1,0)),IF(AND($L$711=0,$P$708=0),"",$L$711-1),IF($R$17="Distrato",$E898,0)),MIN(AP$38,$D$19),$P$20))-SUM($P898:AO898)</f>
        <v>#VALUE!</v>
      </c>
      <c r="AQ898" s="446" t="e">
        <f>IF(OR($B898="",MIN(AQ$38,$D$19)&lt;MAX($P$708*($B898+IF($R$17="Distrato",$I$38-1,0)),IF(AND($L$711=0,$P$708=0),"",$L$711-1),IF($R$17="Distrato",$E898,0))),0,YEARFRAC(MAX($P$708*($B898+IF($R$17="Distrato",$I$38-1,0)),IF(AND($L$711=0,$P$708=0),"",$L$711-1),IF($R$17="Distrato",$E898,0)),MIN(AQ$38,$D$19),$P$20))-SUM($P898:AP898)</f>
        <v>#VALUE!</v>
      </c>
      <c r="AR898" s="446" t="e">
        <f>IF(OR($B898="",MIN(AR$38,$D$19)&lt;MAX($P$708*($B898+IF($R$17="Distrato",$I$38-1,0)),IF(AND($L$711=0,$P$708=0),"",$L$711-1),IF($R$17="Distrato",$E898,0))),0,YEARFRAC(MAX($P$708*($B898+IF($R$17="Distrato",$I$38-1,0)),IF(AND($L$711=0,$P$708=0),"",$L$711-1),IF($R$17="Distrato",$E898,0)),MIN(AR$38,$D$19),$P$20))-SUM($P898:AQ898)</f>
        <v>#VALUE!</v>
      </c>
      <c r="AS898" s="446" t="e">
        <f>IF(OR($B898="",MIN(AS$38,$D$19)&lt;MAX($P$708*($B898+IF($R$17="Distrato",$I$38-1,0)),IF(AND($L$711=0,$P$708=0),"",$L$711-1),IF($R$17="Distrato",$E898,0))),0,YEARFRAC(MAX($P$708*($B898+IF($R$17="Distrato",$I$38-1,0)),IF(AND($L$711=0,$P$708=0),"",$L$711-1),IF($R$17="Distrato",$E898,0)),MIN(AS$38,$D$19),$P$20))-SUM($P898:AR898)</f>
        <v>#VALUE!</v>
      </c>
      <c r="AT898" s="446" t="e">
        <f>IF(OR($B898="",MIN(AT$38,$D$19)&lt;MAX($P$708*($B898+IF($R$17="Distrato",$I$38-1,0)),IF(AND($L$711=0,$P$708=0),"",$L$711-1),IF($R$17="Distrato",$E898,0))),0,YEARFRAC(MAX($P$708*($B898+IF($R$17="Distrato",$I$38-1,0)),IF(AND($L$711=0,$P$708=0),"",$L$711-1),IF($R$17="Distrato",$E898,0)),MIN(AT$38,$D$19),$P$20))-SUM($P898:AS898)</f>
        <v>#VALUE!</v>
      </c>
      <c r="AU898" s="446" t="e">
        <f>IF(OR($B898="",MIN(AU$38,$D$19)&lt;MAX($P$708*($B898+IF($R$17="Distrato",$I$38-1,0)),IF(AND($L$711=0,$P$708=0),"",$L$711-1),IF($R$17="Distrato",$E898,0))),0,YEARFRAC(MAX($P$708*($B898+IF($R$17="Distrato",$I$38-1,0)),IF(AND($L$711=0,$P$708=0),"",$L$711-1),IF($R$17="Distrato",$E898,0)),MIN(AU$38,$D$19),$P$20))-SUM($P898:AT898)</f>
        <v>#VALUE!</v>
      </c>
      <c r="AV898" s="446" t="e">
        <f>IF(OR($B898="",MIN(AV$38,$D$19)&lt;MAX($P$708*($B898+IF($R$17="Distrato",$I$38-1,0)),IF(AND($L$711=0,$P$708=0),"",$L$711-1),IF($R$17="Distrato",$E898,0))),0,YEARFRAC(MAX($P$708*($B898+IF($R$17="Distrato",$I$38-1,0)),IF(AND($L$711=0,$P$708=0),"",$L$711-1),IF($R$17="Distrato",$E898,0)),MIN(AV$38,$D$19),$P$20))-SUM($P898:AU898)</f>
        <v>#VALUE!</v>
      </c>
      <c r="AW898" s="446" t="e">
        <f>IF(OR($B898="",MIN(AW$38,$D$19)&lt;MAX($P$708*($B898+IF($R$17="Distrato",$I$38-1,0)),IF(AND($L$711=0,$P$708=0),"",$L$711-1),IF($R$17="Distrato",$E898,0))),0,YEARFRAC(MAX($P$708*($B898+IF($R$17="Distrato",$I$38-1,0)),IF(AND($L$711=0,$P$708=0),"",$L$711-1),IF($R$17="Distrato",$E898,0)),MIN(AW$38,$D$19),$P$20))-SUM($P898:AV898)</f>
        <v>#VALUE!</v>
      </c>
      <c r="AX898" s="446" t="e">
        <f>IF(OR($B898="",MIN(AX$38,$D$19)&lt;MAX($P$708*($B898+IF($R$17="Distrato",$I$38-1,0)),IF(AND($L$711=0,$P$708=0),"",$L$711-1),IF($R$17="Distrato",$E898,0))),0,YEARFRAC(MAX($P$708*($B898+IF($R$17="Distrato",$I$38-1,0)),IF(AND($L$711=0,$P$708=0),"",$L$711-1),IF($R$17="Distrato",$E898,0)),MIN(AX$38,$D$19),$P$20))-SUM($P898:AW898)</f>
        <v>#VALUE!</v>
      </c>
      <c r="AY898" s="446" t="e">
        <f>IF(OR($B898="",MIN(AY$38,$D$19)&lt;MAX($P$708*($B898+IF($R$17="Distrato",$I$38-1,0)),IF(AND($L$711=0,$P$708=0),"",$L$711-1),IF($R$17="Distrato",$E898,0))),0,YEARFRAC(MAX($P$708*($B898+IF($R$17="Distrato",$I$38-1,0)),IF(AND($L$711=0,$P$708=0),"",$L$711-1),IF($R$17="Distrato",$E898,0)),MIN(AY$38,$D$19),$P$20))-SUM($P898:AX898)</f>
        <v>#VALUE!</v>
      </c>
      <c r="AZ898" s="446" t="e">
        <f>IF(OR($B898="",MIN(AZ$38,$D$19)&lt;MAX($P$708*($B898+IF($R$17="Distrato",$I$38-1,0)),IF(AND($L$711=0,$P$708=0),"",$L$711-1),IF($R$17="Distrato",$E898,0))),0,YEARFRAC(MAX($P$708*($B898+IF($R$17="Distrato",$I$38-1,0)),IF(AND($L$711=0,$P$708=0),"",$L$711-1),IF($R$17="Distrato",$E898,0)),MIN(AZ$38,$D$19),$P$20))-SUM($P898:AY898)</f>
        <v>#VALUE!</v>
      </c>
      <c r="BA898" s="446" t="e">
        <f>IF(OR($B898="",MIN(BA$38,$D$19)&lt;MAX($P$708*($B898+IF($R$17="Distrato",$I$38-1,0)),IF(AND($L$711=0,$P$708=0),"",$L$711-1),IF($R$17="Distrato",$E898,0))),0,YEARFRAC(MAX($P$708*($B898+IF($R$17="Distrato",$I$38-1,0)),IF(AND($L$711=0,$P$708=0),"",$L$711-1),IF($R$17="Distrato",$E898,0)),MIN(BA$38,$D$19),$P$20))-SUM($P898:AZ898)</f>
        <v>#VALUE!</v>
      </c>
      <c r="BB898" s="447"/>
    </row>
    <row r="899" spans="1:54" s="446" customFormat="1" ht="11.25" hidden="1" customHeight="1" x14ac:dyDescent="0.2">
      <c r="A899" s="235"/>
      <c r="B899" s="236"/>
      <c r="C899" s="29" t="str">
        <f>IF(B899="","",IF($L$709=$BL$25,VLOOKUP(DATE(YEAR($D$19),MONTH($D$19)-1,1),ÍNDICES!$A:$DE,HLOOKUP($BL$25,ÍNDICES!$B$3:$T$4,2)+11)-VLOOKUP(B899,ÍNDICES!$A:$DE,HLOOKUP($BL$25,ÍNDICES!$B$3:$T$4,2)+11)+1%,IF(C$712=$W$26,$J$35,IF(ISERROR(IF(B899&gt;$D$19,1,VLOOKUP(DATE(YEAR(B899),MONTH(B899)+IF($C$709=$S$23,1,0),1),ÍNDICES!$A:$DE,$Z$709+1))),"",IF(B899&gt;$D$19,1,VLOOKUP(DATE(YEAR(B899),MONTH(B899)+IF($C$709=$S$23,1,0),1),ÍNDICES!$A:$DE,$Z$709+1))))))</f>
        <v/>
      </c>
      <c r="D899" s="155"/>
      <c r="E899" s="88"/>
      <c r="F899" s="88"/>
      <c r="G899" s="88"/>
      <c r="H899" s="118"/>
      <c r="I899" s="182">
        <f t="shared" si="129"/>
        <v>0</v>
      </c>
      <c r="J899" s="20">
        <f t="shared" ca="1" si="130"/>
        <v>0</v>
      </c>
      <c r="K899" s="5">
        <f t="shared" ca="1" si="131"/>
        <v>0</v>
      </c>
      <c r="L899" s="61">
        <f t="shared" ca="1" si="132"/>
        <v>0</v>
      </c>
      <c r="M899" s="64">
        <f t="shared" si="133"/>
        <v>0</v>
      </c>
      <c r="N899" s="151"/>
      <c r="O899" s="5">
        <f t="shared" ca="1" si="134"/>
        <v>0</v>
      </c>
      <c r="P899" s="446" t="e">
        <f t="shared" si="135"/>
        <v>#VALUE!</v>
      </c>
      <c r="Q899" s="446" t="e">
        <f>IF(OR($B899="",MIN(Q$38,$D$19)&lt;MAX($P$708*($B899+IF($R$17="Distrato",$I$38-1,0)),IF(AND($L$711=0,$P$708=0),"",$L$711-1),IF($R$17="Distrato",$E899,0))),0,YEARFRAC(MAX($P$708*($B899+IF($R$17="Distrato",$I$38-1,0)),IF(AND($L$711=0,$P$708=0),"",$L$711-1),IF($R$17="Distrato",$E899,0)),MIN(Q$38,$D$19),$P$20))-SUM($P899:P899)</f>
        <v>#VALUE!</v>
      </c>
      <c r="R899" s="446" t="e">
        <f>IF(OR($B899="",MIN(R$38,$D$19)&lt;MAX($P$708*($B899+IF($R$17="Distrato",$I$38-1,0)),IF(AND($L$711=0,$P$708=0),"",$L$711-1),IF($R$17="Distrato",$E899,0))),0,YEARFRAC(MAX($P$708*($B899+IF($R$17="Distrato",$I$38-1,0)),IF(AND($L$711=0,$P$708=0),"",$L$711-1),IF($R$17="Distrato",$E899,0)),MIN(R$38,$D$19),$P$20))-SUM($P899:Q899)</f>
        <v>#VALUE!</v>
      </c>
      <c r="S899" s="446" t="e">
        <f>IF(OR($B899="",MIN(S$38,$D$19)&lt;MAX($P$708*($B899+IF($R$17="Distrato",$I$38-1,0)),IF(AND($L$711=0,$P$708=0),"",$L$711-1),IF($R$17="Distrato",$E899,0))),0,YEARFRAC(MAX($P$708*($B899+IF($R$17="Distrato",$I$38-1,0)),IF(AND($L$711=0,$P$708=0),"",$L$711-1),IF($R$17="Distrato",$E899,0)),MIN(S$38,$D$19),$P$20))-SUM($P899:R899)</f>
        <v>#VALUE!</v>
      </c>
      <c r="T899" s="446" t="e">
        <f>IF(OR($B899="",MIN(T$38,$D$19)&lt;MAX($P$708*($B899+IF($R$17="Distrato",$I$38-1,0)),IF(AND($L$711=0,$P$708=0),"",$L$711-1),IF($R$17="Distrato",$E899,0))),0,YEARFRAC(MAX($P$708*($B899+IF($R$17="Distrato",$I$38-1,0)),IF(AND($L$711=0,$P$708=0),"",$L$711-1),IF($R$17="Distrato",$E899,0)),MIN(T$38,$D$19),$P$20))-SUM($P899:S899)</f>
        <v>#VALUE!</v>
      </c>
      <c r="U899" s="446" t="e">
        <f>IF(OR($B899="",MIN(U$38,$D$19)&lt;MAX($P$708*($B899+IF($R$17="Distrato",$I$38-1,0)),IF(AND($L$711=0,$P$708=0),"",$L$711-1),IF($R$17="Distrato",$E899,0))),0,YEARFRAC(MAX($P$708*($B899+IF($R$17="Distrato",$I$38-1,0)),IF(AND($L$711=0,$P$708=0),"",$L$711-1),IF($R$17="Distrato",$E899,0)),MIN(U$38,$D$19),$P$20))-SUM($P899:T899)</f>
        <v>#VALUE!</v>
      </c>
      <c r="V899" s="446" t="e">
        <f>IF(OR($B899="",MIN(V$38,$D$19)&lt;MAX($P$708*($B899+IF($R$17="Distrato",$I$38-1,0)),IF(AND($L$711=0,$P$708=0),"",$L$711-1),IF($R$17="Distrato",$E899,0))),0,YEARFRAC(MAX($P$708*($B899+IF($R$17="Distrato",$I$38-1,0)),IF(AND($L$711=0,$P$708=0),"",$L$711-1),IF($R$17="Distrato",$E899,0)),MIN(V$38,$D$19),$P$20))-SUM($P899:U899)</f>
        <v>#VALUE!</v>
      </c>
      <c r="W899" s="446" t="e">
        <f>IF(OR($B899="",MIN(W$38,$D$19)&lt;MAX($P$708*($B899+IF($R$17="Distrato",$I$38-1,0)),IF(AND($L$711=0,$P$708=0),"",$L$711-1),IF($R$17="Distrato",$E899,0))),0,YEARFRAC(MAX($P$708*($B899+IF($R$17="Distrato",$I$38-1,0)),IF(AND($L$711=0,$P$708=0),"",$L$711-1),IF($R$17="Distrato",$E899,0)),MIN(W$38,$D$19),$P$20))-SUM($P899:V899)</f>
        <v>#VALUE!</v>
      </c>
      <c r="X899" s="446" t="e">
        <f>IF(OR($B899="",MIN(X$38,$D$19)&lt;MAX($P$708*($B899+IF($R$17="Distrato",$I$38-1,0)),IF(AND($L$711=0,$P$708=0),"",$L$711-1),IF($R$17="Distrato",$E899,0))),0,YEARFRAC(MAX($P$708*($B899+IF($R$17="Distrato",$I$38-1,0)),IF(AND($L$711=0,$P$708=0),"",$L$711-1),IF($R$17="Distrato",$E899,0)),MIN(X$38,$D$19),$P$20))-SUM($P899:W899)</f>
        <v>#VALUE!</v>
      </c>
      <c r="Y899" s="446" t="e">
        <f>IF(OR($B899="",MIN(Y$38,$D$19)&lt;MAX($P$708*($B899+IF($R$17="Distrato",$I$38-1,0)),IF(AND($L$711=0,$P$708=0),"",$L$711-1),IF($R$17="Distrato",$E899,0))),0,YEARFRAC(MAX($P$708*($B899+IF($R$17="Distrato",$I$38-1,0)),IF(AND($L$711=0,$P$708=0),"",$L$711-1),IF($R$17="Distrato",$E899,0)),MIN(Y$38,$D$19),$P$20))-SUM($P899:X899)</f>
        <v>#VALUE!</v>
      </c>
      <c r="Z899" s="446" t="e">
        <f>IF(OR($B899="",MIN(Z$38,$D$19)&lt;MAX($P$708*($B899+IF($R$17="Distrato",$I$38-1,0)),IF(AND($L$711=0,$P$708=0),"",$L$711-1),IF($R$17="Distrato",$E899,0))),0,YEARFRAC(MAX($P$708*($B899+IF($R$17="Distrato",$I$38-1,0)),IF(AND($L$711=0,$P$708=0),"",$L$711-1),IF($R$17="Distrato",$E899,0)),MIN(Z$38,$D$19),$P$20))-SUM($P899:Y899)</f>
        <v>#VALUE!</v>
      </c>
      <c r="AA899" s="446" t="e">
        <f>IF(OR($B899="",MIN(AA$38,$D$19)&lt;MAX($P$708*($B899+IF($R$17="Distrato",$I$38-1,0)),IF(AND($L$711=0,$P$708=0),"",$L$711-1),IF($R$17="Distrato",$E899,0))),0,YEARFRAC(MAX($P$708*($B899+IF($R$17="Distrato",$I$38-1,0)),IF(AND($L$711=0,$P$708=0),"",$L$711-1),IF($R$17="Distrato",$E899,0)),MIN(AA$38,$D$19),$P$20))-SUM($P899:Z899)</f>
        <v>#VALUE!</v>
      </c>
      <c r="AB899" s="446" t="e">
        <f>IF(OR($B899="",MIN(AB$38,$D$19)&lt;MAX($P$708*($B899+IF($R$17="Distrato",$I$38-1,0)),IF(AND($L$711=0,$P$708=0),"",$L$711-1),IF($R$17="Distrato",$E899,0))),0,YEARFRAC(MAX($P$708*($B899+IF($R$17="Distrato",$I$38-1,0)),IF(AND($L$711=0,$P$708=0),"",$L$711-1),IF($R$17="Distrato",$E899,0)),MIN(AB$38,$D$19),$P$20))-SUM($P899:AA899)</f>
        <v>#VALUE!</v>
      </c>
      <c r="AC899" s="446" t="e">
        <f>IF(OR($B899="",MIN(AC$38,$D$19)&lt;MAX($P$708*($B899+IF($R$17="Distrato",$I$38-1,0)),IF(AND($L$711=0,$P$708=0),"",$L$711-1),IF($R$17="Distrato",$E899,0))),0,YEARFRAC(MAX($P$708*($B899+IF($R$17="Distrato",$I$38-1,0)),IF(AND($L$711=0,$P$708=0),"",$L$711-1),IF($R$17="Distrato",$E899,0)),MIN(AC$38,$D$19),$P$20))-SUM($P899:AB899)</f>
        <v>#VALUE!</v>
      </c>
      <c r="AD899" s="446" t="e">
        <f>IF(OR($B899="",MIN(AD$38,$D$19)&lt;MAX($P$708*($B899+IF($R$17="Distrato",$I$38-1,0)),IF(AND($L$711=0,$P$708=0),"",$L$711-1),IF($R$17="Distrato",$E899,0))),0,YEARFRAC(MAX($P$708*($B899+IF($R$17="Distrato",$I$38-1,0)),IF(AND($L$711=0,$P$708=0),"",$L$711-1),IF($R$17="Distrato",$E899,0)),MIN(AD$38,$D$19),$P$20))-SUM($P899:AC899)</f>
        <v>#VALUE!</v>
      </c>
      <c r="AE899" s="446" t="e">
        <f>IF(OR($B899="",MIN(AE$38,$D$19)&lt;MAX($P$708*($B899+IF($R$17="Distrato",$I$38-1,0)),IF(AND($L$711=0,$P$708=0),"",$L$711-1),IF($R$17="Distrato",$E899,0))),0,YEARFRAC(MAX($P$708*($B899+IF($R$17="Distrato",$I$38-1,0)),IF(AND($L$711=0,$P$708=0),"",$L$711-1),IF($R$17="Distrato",$E899,0)),MIN(AE$38,$D$19),$P$20))-SUM($P899:AD899)</f>
        <v>#VALUE!</v>
      </c>
      <c r="AF899" s="446" t="e">
        <f>IF(OR($B899="",MIN(AF$38,$D$19)&lt;MAX($P$708*($B899+IF($R$17="Distrato",$I$38-1,0)),IF(AND($L$711=0,$P$708=0),"",$L$711-1),IF($R$17="Distrato",$E899,0))),0,YEARFRAC(MAX($P$708*($B899+IF($R$17="Distrato",$I$38-1,0)),IF(AND($L$711=0,$P$708=0),"",$L$711-1),IF($R$17="Distrato",$E899,0)),MIN(AF$38,$D$19),$P$20))-SUM($P899:AE899)</f>
        <v>#VALUE!</v>
      </c>
      <c r="AG899" s="446" t="e">
        <f>IF(OR($B899="",MIN(AG$38,$D$19)&lt;MAX($P$708*($B899+IF($R$17="Distrato",$I$38-1,0)),IF(AND($L$711=0,$P$708=0),"",$L$711-1),IF($R$17="Distrato",$E899,0))),0,YEARFRAC(MAX($P$708*($B899+IF($R$17="Distrato",$I$38-1,0)),IF(AND($L$711=0,$P$708=0),"",$L$711-1),IF($R$17="Distrato",$E899,0)),MIN(AG$38,$D$19),$P$20))-SUM($P899:AF899)</f>
        <v>#VALUE!</v>
      </c>
      <c r="AH899" s="446" t="e">
        <f>IF(OR($B899="",MIN(AH$38,$D$19)&lt;MAX($P$708*($B899+IF($R$17="Distrato",$I$38-1,0)),IF(AND($L$711=0,$P$708=0),"",$L$711-1),IF($R$17="Distrato",$E899,0))),0,YEARFRAC(MAX($P$708*($B899+IF($R$17="Distrato",$I$38-1,0)),IF(AND($L$711=0,$P$708=0),"",$L$711-1),IF($R$17="Distrato",$E899,0)),MIN(AH$38,$D$19),$P$20))-SUM($P899:AG899)</f>
        <v>#VALUE!</v>
      </c>
      <c r="AI899" s="446" t="e">
        <f>IF(OR($B899="",MIN(AI$38,$D$19)&lt;MAX($P$708*($B899+IF($R$17="Distrato",$I$38-1,0)),IF(AND($L$711=0,$P$708=0),"",$L$711-1),IF($R$17="Distrato",$E899,0))),0,YEARFRAC(MAX($P$708*($B899+IF($R$17="Distrato",$I$38-1,0)),IF(AND($L$711=0,$P$708=0),"",$L$711-1),IF($R$17="Distrato",$E899,0)),MIN(AI$38,$D$19),$P$20))-SUM($P899:AH899)</f>
        <v>#VALUE!</v>
      </c>
      <c r="AJ899" s="446" t="e">
        <f>IF(OR($B899="",MIN(AJ$38,$D$19)&lt;MAX($P$708*($B899+IF($R$17="Distrato",$I$38-1,0)),IF(AND($L$711=0,$P$708=0),"",$L$711-1),IF($R$17="Distrato",$E899,0))),0,YEARFRAC(MAX($P$708*($B899+IF($R$17="Distrato",$I$38-1,0)),IF(AND($L$711=0,$P$708=0),"",$L$711-1),IF($R$17="Distrato",$E899,0)),MIN(AJ$38,$D$19),$P$20))-SUM($P899:AI899)</f>
        <v>#VALUE!</v>
      </c>
      <c r="AK899" s="446" t="e">
        <f>IF(OR($B899="",MIN(AK$38,$D$19)&lt;MAX($P$708*($B899+IF($R$17="Distrato",$I$38-1,0)),IF(AND($L$711=0,$P$708=0),"",$L$711-1),IF($R$17="Distrato",$E899,0))),0,YEARFRAC(MAX($P$708*($B899+IF($R$17="Distrato",$I$38-1,0)),IF(AND($L$711=0,$P$708=0),"",$L$711-1),IF($R$17="Distrato",$E899,0)),MIN(AK$38,$D$19),$P$20))-SUM($P899:AJ899)</f>
        <v>#VALUE!</v>
      </c>
      <c r="AL899" s="446" t="e">
        <f>IF(OR($B899="",MIN(AL$38,$D$19)&lt;MAX($P$708*($B899+IF($R$17="Distrato",$I$38-1,0)),IF(AND($L$711=0,$P$708=0),"",$L$711-1),IF($R$17="Distrato",$E899,0))),0,YEARFRAC(MAX($P$708*($B899+IF($R$17="Distrato",$I$38-1,0)),IF(AND($L$711=0,$P$708=0),"",$L$711-1),IF($R$17="Distrato",$E899,0)),MIN(AL$38,$D$19),$P$20))-SUM($P899:AK899)</f>
        <v>#VALUE!</v>
      </c>
      <c r="AM899" s="446" t="e">
        <f>IF(OR($B899="",MIN(AM$38,$D$19)&lt;MAX($P$708*($B899+IF($R$17="Distrato",$I$38-1,0)),IF(AND($L$711=0,$P$708=0),"",$L$711-1),IF($R$17="Distrato",$E899,0))),0,YEARFRAC(MAX($P$708*($B899+IF($R$17="Distrato",$I$38-1,0)),IF(AND($L$711=0,$P$708=0),"",$L$711-1),IF($R$17="Distrato",$E899,0)),MIN(AM$38,$D$19),$P$20))-SUM($P899:AL899)</f>
        <v>#VALUE!</v>
      </c>
      <c r="AN899" s="446" t="e">
        <f>IF(OR($B899="",MIN(AN$38,$D$19)&lt;MAX($P$708*($B899+IF($R$17="Distrato",$I$38-1,0)),IF(AND($L$711=0,$P$708=0),"",$L$711-1),IF($R$17="Distrato",$E899,0))),0,YEARFRAC(MAX($P$708*($B899+IF($R$17="Distrato",$I$38-1,0)),IF(AND($L$711=0,$P$708=0),"",$L$711-1),IF($R$17="Distrato",$E899,0)),MIN(AN$38,$D$19),$P$20))-SUM($P899:AM899)</f>
        <v>#VALUE!</v>
      </c>
      <c r="AO899" s="446" t="e">
        <f>IF(OR($B899="",MIN(AO$38,$D$19)&lt;MAX($P$708*($B899+IF($R$17="Distrato",$I$38-1,0)),IF(AND($L$711=0,$P$708=0),"",$L$711-1),IF($R$17="Distrato",$E899,0))),0,YEARFRAC(MAX($P$708*($B899+IF($R$17="Distrato",$I$38-1,0)),IF(AND($L$711=0,$P$708=0),"",$L$711-1),IF($R$17="Distrato",$E899,0)),MIN(AO$38,$D$19),$P$20))-SUM($P899:AN899)</f>
        <v>#VALUE!</v>
      </c>
      <c r="AP899" s="446" t="e">
        <f>IF(OR($B899="",MIN(AP$38,$D$19)&lt;MAX($P$708*($B899+IF($R$17="Distrato",$I$38-1,0)),IF(AND($L$711=0,$P$708=0),"",$L$711-1),IF($R$17="Distrato",$E899,0))),0,YEARFRAC(MAX($P$708*($B899+IF($R$17="Distrato",$I$38-1,0)),IF(AND($L$711=0,$P$708=0),"",$L$711-1),IF($R$17="Distrato",$E899,0)),MIN(AP$38,$D$19),$P$20))-SUM($P899:AO899)</f>
        <v>#VALUE!</v>
      </c>
      <c r="AQ899" s="446" t="e">
        <f>IF(OR($B899="",MIN(AQ$38,$D$19)&lt;MAX($P$708*($B899+IF($R$17="Distrato",$I$38-1,0)),IF(AND($L$711=0,$P$708=0),"",$L$711-1),IF($R$17="Distrato",$E899,0))),0,YEARFRAC(MAX($P$708*($B899+IF($R$17="Distrato",$I$38-1,0)),IF(AND($L$711=0,$P$708=0),"",$L$711-1),IF($R$17="Distrato",$E899,0)),MIN(AQ$38,$D$19),$P$20))-SUM($P899:AP899)</f>
        <v>#VALUE!</v>
      </c>
      <c r="AR899" s="446" t="e">
        <f>IF(OR($B899="",MIN(AR$38,$D$19)&lt;MAX($P$708*($B899+IF($R$17="Distrato",$I$38-1,0)),IF(AND($L$711=0,$P$708=0),"",$L$711-1),IF($R$17="Distrato",$E899,0))),0,YEARFRAC(MAX($P$708*($B899+IF($R$17="Distrato",$I$38-1,0)),IF(AND($L$711=0,$P$708=0),"",$L$711-1),IF($R$17="Distrato",$E899,0)),MIN(AR$38,$D$19),$P$20))-SUM($P899:AQ899)</f>
        <v>#VALUE!</v>
      </c>
      <c r="AS899" s="446" t="e">
        <f>IF(OR($B899="",MIN(AS$38,$D$19)&lt;MAX($P$708*($B899+IF($R$17="Distrato",$I$38-1,0)),IF(AND($L$711=0,$P$708=0),"",$L$711-1),IF($R$17="Distrato",$E899,0))),0,YEARFRAC(MAX($P$708*($B899+IF($R$17="Distrato",$I$38-1,0)),IF(AND($L$711=0,$P$708=0),"",$L$711-1),IF($R$17="Distrato",$E899,0)),MIN(AS$38,$D$19),$P$20))-SUM($P899:AR899)</f>
        <v>#VALUE!</v>
      </c>
      <c r="AT899" s="446" t="e">
        <f>IF(OR($B899="",MIN(AT$38,$D$19)&lt;MAX($P$708*($B899+IF($R$17="Distrato",$I$38-1,0)),IF(AND($L$711=0,$P$708=0),"",$L$711-1),IF($R$17="Distrato",$E899,0))),0,YEARFRAC(MAX($P$708*($B899+IF($R$17="Distrato",$I$38-1,0)),IF(AND($L$711=0,$P$708=0),"",$L$711-1),IF($R$17="Distrato",$E899,0)),MIN(AT$38,$D$19),$P$20))-SUM($P899:AS899)</f>
        <v>#VALUE!</v>
      </c>
      <c r="AU899" s="446" t="e">
        <f>IF(OR($B899="",MIN(AU$38,$D$19)&lt;MAX($P$708*($B899+IF($R$17="Distrato",$I$38-1,0)),IF(AND($L$711=0,$P$708=0),"",$L$711-1),IF($R$17="Distrato",$E899,0))),0,YEARFRAC(MAX($P$708*($B899+IF($R$17="Distrato",$I$38-1,0)),IF(AND($L$711=0,$P$708=0),"",$L$711-1),IF($R$17="Distrato",$E899,0)),MIN(AU$38,$D$19),$P$20))-SUM($P899:AT899)</f>
        <v>#VALUE!</v>
      </c>
      <c r="AV899" s="446" t="e">
        <f>IF(OR($B899="",MIN(AV$38,$D$19)&lt;MAX($P$708*($B899+IF($R$17="Distrato",$I$38-1,0)),IF(AND($L$711=0,$P$708=0),"",$L$711-1),IF($R$17="Distrato",$E899,0))),0,YEARFRAC(MAX($P$708*($B899+IF($R$17="Distrato",$I$38-1,0)),IF(AND($L$711=0,$P$708=0),"",$L$711-1),IF($R$17="Distrato",$E899,0)),MIN(AV$38,$D$19),$P$20))-SUM($P899:AU899)</f>
        <v>#VALUE!</v>
      </c>
      <c r="AW899" s="446" t="e">
        <f>IF(OR($B899="",MIN(AW$38,$D$19)&lt;MAX($P$708*($B899+IF($R$17="Distrato",$I$38-1,0)),IF(AND($L$711=0,$P$708=0),"",$L$711-1),IF($R$17="Distrato",$E899,0))),0,YEARFRAC(MAX($P$708*($B899+IF($R$17="Distrato",$I$38-1,0)),IF(AND($L$711=0,$P$708=0),"",$L$711-1),IF($R$17="Distrato",$E899,0)),MIN(AW$38,$D$19),$P$20))-SUM($P899:AV899)</f>
        <v>#VALUE!</v>
      </c>
      <c r="AX899" s="446" t="e">
        <f>IF(OR($B899="",MIN(AX$38,$D$19)&lt;MAX($P$708*($B899+IF($R$17="Distrato",$I$38-1,0)),IF(AND($L$711=0,$P$708=0),"",$L$711-1),IF($R$17="Distrato",$E899,0))),0,YEARFRAC(MAX($P$708*($B899+IF($R$17="Distrato",$I$38-1,0)),IF(AND($L$711=0,$P$708=0),"",$L$711-1),IF($R$17="Distrato",$E899,0)),MIN(AX$38,$D$19),$P$20))-SUM($P899:AW899)</f>
        <v>#VALUE!</v>
      </c>
      <c r="AY899" s="446" t="e">
        <f>IF(OR($B899="",MIN(AY$38,$D$19)&lt;MAX($P$708*($B899+IF($R$17="Distrato",$I$38-1,0)),IF(AND($L$711=0,$P$708=0),"",$L$711-1),IF($R$17="Distrato",$E899,0))),0,YEARFRAC(MAX($P$708*($B899+IF($R$17="Distrato",$I$38-1,0)),IF(AND($L$711=0,$P$708=0),"",$L$711-1),IF($R$17="Distrato",$E899,0)),MIN(AY$38,$D$19),$P$20))-SUM($P899:AX899)</f>
        <v>#VALUE!</v>
      </c>
      <c r="AZ899" s="446" t="e">
        <f>IF(OR($B899="",MIN(AZ$38,$D$19)&lt;MAX($P$708*($B899+IF($R$17="Distrato",$I$38-1,0)),IF(AND($L$711=0,$P$708=0),"",$L$711-1),IF($R$17="Distrato",$E899,0))),0,YEARFRAC(MAX($P$708*($B899+IF($R$17="Distrato",$I$38-1,0)),IF(AND($L$711=0,$P$708=0),"",$L$711-1),IF($R$17="Distrato",$E899,0)),MIN(AZ$38,$D$19),$P$20))-SUM($P899:AY899)</f>
        <v>#VALUE!</v>
      </c>
      <c r="BA899" s="446" t="e">
        <f>IF(OR($B899="",MIN(BA$38,$D$19)&lt;MAX($P$708*($B899+IF($R$17="Distrato",$I$38-1,0)),IF(AND($L$711=0,$P$708=0),"",$L$711-1),IF($R$17="Distrato",$E899,0))),0,YEARFRAC(MAX($P$708*($B899+IF($R$17="Distrato",$I$38-1,0)),IF(AND($L$711=0,$P$708=0),"",$L$711-1),IF($R$17="Distrato",$E899,0)),MIN(BA$38,$D$19),$P$20))-SUM($P899:AZ899)</f>
        <v>#VALUE!</v>
      </c>
      <c r="BB899" s="447"/>
    </row>
    <row r="900" spans="1:54" s="446" customFormat="1" ht="11.25" hidden="1" customHeight="1" x14ac:dyDescent="0.2">
      <c r="A900" s="235"/>
      <c r="B900" s="236"/>
      <c r="C900" s="29" t="str">
        <f>IF(B900="","",IF($L$709=$BL$25,VLOOKUP(DATE(YEAR($D$19),MONTH($D$19)-1,1),ÍNDICES!$A:$DE,HLOOKUP($BL$25,ÍNDICES!$B$3:$T$4,2)+11)-VLOOKUP(B900,ÍNDICES!$A:$DE,HLOOKUP($BL$25,ÍNDICES!$B$3:$T$4,2)+11)+1%,IF(C$712=$W$26,$J$35,IF(ISERROR(IF(B900&gt;$D$19,1,VLOOKUP(DATE(YEAR(B900),MONTH(B900)+IF($C$709=$S$23,1,0),1),ÍNDICES!$A:$DE,$Z$709+1))),"",IF(B900&gt;$D$19,1,VLOOKUP(DATE(YEAR(B900),MONTH(B900)+IF($C$709=$S$23,1,0),1),ÍNDICES!$A:$DE,$Z$709+1))))))</f>
        <v/>
      </c>
      <c r="D900" s="155"/>
      <c r="E900" s="88"/>
      <c r="F900" s="88"/>
      <c r="G900" s="88"/>
      <c r="H900" s="118"/>
      <c r="I900" s="182">
        <f t="shared" si="129"/>
        <v>0</v>
      </c>
      <c r="J900" s="20">
        <f t="shared" ca="1" si="130"/>
        <v>0</v>
      </c>
      <c r="K900" s="5">
        <f t="shared" ca="1" si="131"/>
        <v>0</v>
      </c>
      <c r="L900" s="61">
        <f t="shared" ca="1" si="132"/>
        <v>0</v>
      </c>
      <c r="M900" s="64">
        <f t="shared" si="133"/>
        <v>0</v>
      </c>
      <c r="N900" s="151"/>
      <c r="O900" s="5">
        <f t="shared" ca="1" si="134"/>
        <v>0</v>
      </c>
      <c r="P900" s="446" t="e">
        <f t="shared" si="135"/>
        <v>#VALUE!</v>
      </c>
      <c r="Q900" s="446" t="e">
        <f>IF(OR($B900="",MIN(Q$38,$D$19)&lt;MAX($P$708*($B900+IF($R$17="Distrato",$I$38-1,0)),IF(AND($L$711=0,$P$708=0),"",$L$711-1),IF($R$17="Distrato",$E900,0))),0,YEARFRAC(MAX($P$708*($B900+IF($R$17="Distrato",$I$38-1,0)),IF(AND($L$711=0,$P$708=0),"",$L$711-1),IF($R$17="Distrato",$E900,0)),MIN(Q$38,$D$19),$P$20))-SUM($P900:P900)</f>
        <v>#VALUE!</v>
      </c>
      <c r="R900" s="446" t="e">
        <f>IF(OR($B900="",MIN(R$38,$D$19)&lt;MAX($P$708*($B900+IF($R$17="Distrato",$I$38-1,0)),IF(AND($L$711=0,$P$708=0),"",$L$711-1),IF($R$17="Distrato",$E900,0))),0,YEARFRAC(MAX($P$708*($B900+IF($R$17="Distrato",$I$38-1,0)),IF(AND($L$711=0,$P$708=0),"",$L$711-1),IF($R$17="Distrato",$E900,0)),MIN(R$38,$D$19),$P$20))-SUM($P900:Q900)</f>
        <v>#VALUE!</v>
      </c>
      <c r="S900" s="446" t="e">
        <f>IF(OR($B900="",MIN(S$38,$D$19)&lt;MAX($P$708*($B900+IF($R$17="Distrato",$I$38-1,0)),IF(AND($L$711=0,$P$708=0),"",$L$711-1),IF($R$17="Distrato",$E900,0))),0,YEARFRAC(MAX($P$708*($B900+IF($R$17="Distrato",$I$38-1,0)),IF(AND($L$711=0,$P$708=0),"",$L$711-1),IF($R$17="Distrato",$E900,0)),MIN(S$38,$D$19),$P$20))-SUM($P900:R900)</f>
        <v>#VALUE!</v>
      </c>
      <c r="T900" s="446" t="e">
        <f>IF(OR($B900="",MIN(T$38,$D$19)&lt;MAX($P$708*($B900+IF($R$17="Distrato",$I$38-1,0)),IF(AND($L$711=0,$P$708=0),"",$L$711-1),IF($R$17="Distrato",$E900,0))),0,YEARFRAC(MAX($P$708*($B900+IF($R$17="Distrato",$I$38-1,0)),IF(AND($L$711=0,$P$708=0),"",$L$711-1),IF($R$17="Distrato",$E900,0)),MIN(T$38,$D$19),$P$20))-SUM($P900:S900)</f>
        <v>#VALUE!</v>
      </c>
      <c r="U900" s="446" t="e">
        <f>IF(OR($B900="",MIN(U$38,$D$19)&lt;MAX($P$708*($B900+IF($R$17="Distrato",$I$38-1,0)),IF(AND($L$711=0,$P$708=0),"",$L$711-1),IF($R$17="Distrato",$E900,0))),0,YEARFRAC(MAX($P$708*($B900+IF($R$17="Distrato",$I$38-1,0)),IF(AND($L$711=0,$P$708=0),"",$L$711-1),IF($R$17="Distrato",$E900,0)),MIN(U$38,$D$19),$P$20))-SUM($P900:T900)</f>
        <v>#VALUE!</v>
      </c>
      <c r="V900" s="446" t="e">
        <f>IF(OR($B900="",MIN(V$38,$D$19)&lt;MAX($P$708*($B900+IF($R$17="Distrato",$I$38-1,0)),IF(AND($L$711=0,$P$708=0),"",$L$711-1),IF($R$17="Distrato",$E900,0))),0,YEARFRAC(MAX($P$708*($B900+IF($R$17="Distrato",$I$38-1,0)),IF(AND($L$711=0,$P$708=0),"",$L$711-1),IF($R$17="Distrato",$E900,0)),MIN(V$38,$D$19),$P$20))-SUM($P900:U900)</f>
        <v>#VALUE!</v>
      </c>
      <c r="W900" s="446" t="e">
        <f>IF(OR($B900="",MIN(W$38,$D$19)&lt;MAX($P$708*($B900+IF($R$17="Distrato",$I$38-1,0)),IF(AND($L$711=0,$P$708=0),"",$L$711-1),IF($R$17="Distrato",$E900,0))),0,YEARFRAC(MAX($P$708*($B900+IF($R$17="Distrato",$I$38-1,0)),IF(AND($L$711=0,$P$708=0),"",$L$711-1),IF($R$17="Distrato",$E900,0)),MIN(W$38,$D$19),$P$20))-SUM($P900:V900)</f>
        <v>#VALUE!</v>
      </c>
      <c r="X900" s="446" t="e">
        <f>IF(OR($B900="",MIN(X$38,$D$19)&lt;MAX($P$708*($B900+IF($R$17="Distrato",$I$38-1,0)),IF(AND($L$711=0,$P$708=0),"",$L$711-1),IF($R$17="Distrato",$E900,0))),0,YEARFRAC(MAX($P$708*($B900+IF($R$17="Distrato",$I$38-1,0)),IF(AND($L$711=0,$P$708=0),"",$L$711-1),IF($R$17="Distrato",$E900,0)),MIN(X$38,$D$19),$P$20))-SUM($P900:W900)</f>
        <v>#VALUE!</v>
      </c>
      <c r="Y900" s="446" t="e">
        <f>IF(OR($B900="",MIN(Y$38,$D$19)&lt;MAX($P$708*($B900+IF($R$17="Distrato",$I$38-1,0)),IF(AND($L$711=0,$P$708=0),"",$L$711-1),IF($R$17="Distrato",$E900,0))),0,YEARFRAC(MAX($P$708*($B900+IF($R$17="Distrato",$I$38-1,0)),IF(AND($L$711=0,$P$708=0),"",$L$711-1),IF($R$17="Distrato",$E900,0)),MIN(Y$38,$D$19),$P$20))-SUM($P900:X900)</f>
        <v>#VALUE!</v>
      </c>
      <c r="Z900" s="446" t="e">
        <f>IF(OR($B900="",MIN(Z$38,$D$19)&lt;MAX($P$708*($B900+IF($R$17="Distrato",$I$38-1,0)),IF(AND($L$711=0,$P$708=0),"",$L$711-1),IF($R$17="Distrato",$E900,0))),0,YEARFRAC(MAX($P$708*($B900+IF($R$17="Distrato",$I$38-1,0)),IF(AND($L$711=0,$P$708=0),"",$L$711-1),IF($R$17="Distrato",$E900,0)),MIN(Z$38,$D$19),$P$20))-SUM($P900:Y900)</f>
        <v>#VALUE!</v>
      </c>
      <c r="AA900" s="446" t="e">
        <f>IF(OR($B900="",MIN(AA$38,$D$19)&lt;MAX($P$708*($B900+IF($R$17="Distrato",$I$38-1,0)),IF(AND($L$711=0,$P$708=0),"",$L$711-1),IF($R$17="Distrato",$E900,0))),0,YEARFRAC(MAX($P$708*($B900+IF($R$17="Distrato",$I$38-1,0)),IF(AND($L$711=0,$P$708=0),"",$L$711-1),IF($R$17="Distrato",$E900,0)),MIN(AA$38,$D$19),$P$20))-SUM($P900:Z900)</f>
        <v>#VALUE!</v>
      </c>
      <c r="AB900" s="446" t="e">
        <f>IF(OR($B900="",MIN(AB$38,$D$19)&lt;MAX($P$708*($B900+IF($R$17="Distrato",$I$38-1,0)),IF(AND($L$711=0,$P$708=0),"",$L$711-1),IF($R$17="Distrato",$E900,0))),0,YEARFRAC(MAX($P$708*($B900+IF($R$17="Distrato",$I$38-1,0)),IF(AND($L$711=0,$P$708=0),"",$L$711-1),IF($R$17="Distrato",$E900,0)),MIN(AB$38,$D$19),$P$20))-SUM($P900:AA900)</f>
        <v>#VALUE!</v>
      </c>
      <c r="AC900" s="446" t="e">
        <f>IF(OR($B900="",MIN(AC$38,$D$19)&lt;MAX($P$708*($B900+IF($R$17="Distrato",$I$38-1,0)),IF(AND($L$711=0,$P$708=0),"",$L$711-1),IF($R$17="Distrato",$E900,0))),0,YEARFRAC(MAX($P$708*($B900+IF($R$17="Distrato",$I$38-1,0)),IF(AND($L$711=0,$P$708=0),"",$L$711-1),IF($R$17="Distrato",$E900,0)),MIN(AC$38,$D$19),$P$20))-SUM($P900:AB900)</f>
        <v>#VALUE!</v>
      </c>
      <c r="AD900" s="446" t="e">
        <f>IF(OR($B900="",MIN(AD$38,$D$19)&lt;MAX($P$708*($B900+IF($R$17="Distrato",$I$38-1,0)),IF(AND($L$711=0,$P$708=0),"",$L$711-1),IF($R$17="Distrato",$E900,0))),0,YEARFRAC(MAX($P$708*($B900+IF($R$17="Distrato",$I$38-1,0)),IF(AND($L$711=0,$P$708=0),"",$L$711-1),IF($R$17="Distrato",$E900,0)),MIN(AD$38,$D$19),$P$20))-SUM($P900:AC900)</f>
        <v>#VALUE!</v>
      </c>
      <c r="AE900" s="446" t="e">
        <f>IF(OR($B900="",MIN(AE$38,$D$19)&lt;MAX($P$708*($B900+IF($R$17="Distrato",$I$38-1,0)),IF(AND($L$711=0,$P$708=0),"",$L$711-1),IF($R$17="Distrato",$E900,0))),0,YEARFRAC(MAX($P$708*($B900+IF($R$17="Distrato",$I$38-1,0)),IF(AND($L$711=0,$P$708=0),"",$L$711-1),IF($R$17="Distrato",$E900,0)),MIN(AE$38,$D$19),$P$20))-SUM($P900:AD900)</f>
        <v>#VALUE!</v>
      </c>
      <c r="AF900" s="446" t="e">
        <f>IF(OR($B900="",MIN(AF$38,$D$19)&lt;MAX($P$708*($B900+IF($R$17="Distrato",$I$38-1,0)),IF(AND($L$711=0,$P$708=0),"",$L$711-1),IF($R$17="Distrato",$E900,0))),0,YEARFRAC(MAX($P$708*($B900+IF($R$17="Distrato",$I$38-1,0)),IF(AND($L$711=0,$P$708=0),"",$L$711-1),IF($R$17="Distrato",$E900,0)),MIN(AF$38,$D$19),$P$20))-SUM($P900:AE900)</f>
        <v>#VALUE!</v>
      </c>
      <c r="AG900" s="446" t="e">
        <f>IF(OR($B900="",MIN(AG$38,$D$19)&lt;MAX($P$708*($B900+IF($R$17="Distrato",$I$38-1,0)),IF(AND($L$711=0,$P$708=0),"",$L$711-1),IF($R$17="Distrato",$E900,0))),0,YEARFRAC(MAX($P$708*($B900+IF($R$17="Distrato",$I$38-1,0)),IF(AND($L$711=0,$P$708=0),"",$L$711-1),IF($R$17="Distrato",$E900,0)),MIN(AG$38,$D$19),$P$20))-SUM($P900:AF900)</f>
        <v>#VALUE!</v>
      </c>
      <c r="AH900" s="446" t="e">
        <f>IF(OR($B900="",MIN(AH$38,$D$19)&lt;MAX($P$708*($B900+IF($R$17="Distrato",$I$38-1,0)),IF(AND($L$711=0,$P$708=0),"",$L$711-1),IF($R$17="Distrato",$E900,0))),0,YEARFRAC(MAX($P$708*($B900+IF($R$17="Distrato",$I$38-1,0)),IF(AND($L$711=0,$P$708=0),"",$L$711-1),IF($R$17="Distrato",$E900,0)),MIN(AH$38,$D$19),$P$20))-SUM($P900:AG900)</f>
        <v>#VALUE!</v>
      </c>
      <c r="AI900" s="446" t="e">
        <f>IF(OR($B900="",MIN(AI$38,$D$19)&lt;MAX($P$708*($B900+IF($R$17="Distrato",$I$38-1,0)),IF(AND($L$711=0,$P$708=0),"",$L$711-1),IF($R$17="Distrato",$E900,0))),0,YEARFRAC(MAX($P$708*($B900+IF($R$17="Distrato",$I$38-1,0)),IF(AND($L$711=0,$P$708=0),"",$L$711-1),IF($R$17="Distrato",$E900,0)),MIN(AI$38,$D$19),$P$20))-SUM($P900:AH900)</f>
        <v>#VALUE!</v>
      </c>
      <c r="AJ900" s="446" t="e">
        <f>IF(OR($B900="",MIN(AJ$38,$D$19)&lt;MAX($P$708*($B900+IF($R$17="Distrato",$I$38-1,0)),IF(AND($L$711=0,$P$708=0),"",$L$711-1),IF($R$17="Distrato",$E900,0))),0,YEARFRAC(MAX($P$708*($B900+IF($R$17="Distrato",$I$38-1,0)),IF(AND($L$711=0,$P$708=0),"",$L$711-1),IF($R$17="Distrato",$E900,0)),MIN(AJ$38,$D$19),$P$20))-SUM($P900:AI900)</f>
        <v>#VALUE!</v>
      </c>
      <c r="AK900" s="446" t="e">
        <f>IF(OR($B900="",MIN(AK$38,$D$19)&lt;MAX($P$708*($B900+IF($R$17="Distrato",$I$38-1,0)),IF(AND($L$711=0,$P$708=0),"",$L$711-1),IF($R$17="Distrato",$E900,0))),0,YEARFRAC(MAX($P$708*($B900+IF($R$17="Distrato",$I$38-1,0)),IF(AND($L$711=0,$P$708=0),"",$L$711-1),IF($R$17="Distrato",$E900,0)),MIN(AK$38,$D$19),$P$20))-SUM($P900:AJ900)</f>
        <v>#VALUE!</v>
      </c>
      <c r="AL900" s="446" t="e">
        <f>IF(OR($B900="",MIN(AL$38,$D$19)&lt;MAX($P$708*($B900+IF($R$17="Distrato",$I$38-1,0)),IF(AND($L$711=0,$P$708=0),"",$L$711-1),IF($R$17="Distrato",$E900,0))),0,YEARFRAC(MAX($P$708*($B900+IF($R$17="Distrato",$I$38-1,0)),IF(AND($L$711=0,$P$708=0),"",$L$711-1),IF($R$17="Distrato",$E900,0)),MIN(AL$38,$D$19),$P$20))-SUM($P900:AK900)</f>
        <v>#VALUE!</v>
      </c>
      <c r="AM900" s="446" t="e">
        <f>IF(OR($B900="",MIN(AM$38,$D$19)&lt;MAX($P$708*($B900+IF($R$17="Distrato",$I$38-1,0)),IF(AND($L$711=0,$P$708=0),"",$L$711-1),IF($R$17="Distrato",$E900,0))),0,YEARFRAC(MAX($P$708*($B900+IF($R$17="Distrato",$I$38-1,0)),IF(AND($L$711=0,$P$708=0),"",$L$711-1),IF($R$17="Distrato",$E900,0)),MIN(AM$38,$D$19),$P$20))-SUM($P900:AL900)</f>
        <v>#VALUE!</v>
      </c>
      <c r="AN900" s="446" t="e">
        <f>IF(OR($B900="",MIN(AN$38,$D$19)&lt;MAX($P$708*($B900+IF($R$17="Distrato",$I$38-1,0)),IF(AND($L$711=0,$P$708=0),"",$L$711-1),IF($R$17="Distrato",$E900,0))),0,YEARFRAC(MAX($P$708*($B900+IF($R$17="Distrato",$I$38-1,0)),IF(AND($L$711=0,$P$708=0),"",$L$711-1),IF($R$17="Distrato",$E900,0)),MIN(AN$38,$D$19),$P$20))-SUM($P900:AM900)</f>
        <v>#VALUE!</v>
      </c>
      <c r="AO900" s="446" t="e">
        <f>IF(OR($B900="",MIN(AO$38,$D$19)&lt;MAX($P$708*($B900+IF($R$17="Distrato",$I$38-1,0)),IF(AND($L$711=0,$P$708=0),"",$L$711-1),IF($R$17="Distrato",$E900,0))),0,YEARFRAC(MAX($P$708*($B900+IF($R$17="Distrato",$I$38-1,0)),IF(AND($L$711=0,$P$708=0),"",$L$711-1),IF($R$17="Distrato",$E900,0)),MIN(AO$38,$D$19),$P$20))-SUM($P900:AN900)</f>
        <v>#VALUE!</v>
      </c>
      <c r="AP900" s="446" t="e">
        <f>IF(OR($B900="",MIN(AP$38,$D$19)&lt;MAX($P$708*($B900+IF($R$17="Distrato",$I$38-1,0)),IF(AND($L$711=0,$P$708=0),"",$L$711-1),IF($R$17="Distrato",$E900,0))),0,YEARFRAC(MAX($P$708*($B900+IF($R$17="Distrato",$I$38-1,0)),IF(AND($L$711=0,$P$708=0),"",$L$711-1),IF($R$17="Distrato",$E900,0)),MIN(AP$38,$D$19),$P$20))-SUM($P900:AO900)</f>
        <v>#VALUE!</v>
      </c>
      <c r="AQ900" s="446" t="e">
        <f>IF(OR($B900="",MIN(AQ$38,$D$19)&lt;MAX($P$708*($B900+IF($R$17="Distrato",$I$38-1,0)),IF(AND($L$711=0,$P$708=0),"",$L$711-1),IF($R$17="Distrato",$E900,0))),0,YEARFRAC(MAX($P$708*($B900+IF($R$17="Distrato",$I$38-1,0)),IF(AND($L$711=0,$P$708=0),"",$L$711-1),IF($R$17="Distrato",$E900,0)),MIN(AQ$38,$D$19),$P$20))-SUM($P900:AP900)</f>
        <v>#VALUE!</v>
      </c>
      <c r="AR900" s="446" t="e">
        <f>IF(OR($B900="",MIN(AR$38,$D$19)&lt;MAX($P$708*($B900+IF($R$17="Distrato",$I$38-1,0)),IF(AND($L$711=0,$P$708=0),"",$L$711-1),IF($R$17="Distrato",$E900,0))),0,YEARFRAC(MAX($P$708*($B900+IF($R$17="Distrato",$I$38-1,0)),IF(AND($L$711=0,$P$708=0),"",$L$711-1),IF($R$17="Distrato",$E900,0)),MIN(AR$38,$D$19),$P$20))-SUM($P900:AQ900)</f>
        <v>#VALUE!</v>
      </c>
      <c r="AS900" s="446" t="e">
        <f>IF(OR($B900="",MIN(AS$38,$D$19)&lt;MAX($P$708*($B900+IF($R$17="Distrato",$I$38-1,0)),IF(AND($L$711=0,$P$708=0),"",$L$711-1),IF($R$17="Distrato",$E900,0))),0,YEARFRAC(MAX($P$708*($B900+IF($R$17="Distrato",$I$38-1,0)),IF(AND($L$711=0,$P$708=0),"",$L$711-1),IF($R$17="Distrato",$E900,0)),MIN(AS$38,$D$19),$P$20))-SUM($P900:AR900)</f>
        <v>#VALUE!</v>
      </c>
      <c r="AT900" s="446" t="e">
        <f>IF(OR($B900="",MIN(AT$38,$D$19)&lt;MAX($P$708*($B900+IF($R$17="Distrato",$I$38-1,0)),IF(AND($L$711=0,$P$708=0),"",$L$711-1),IF($R$17="Distrato",$E900,0))),0,YEARFRAC(MAX($P$708*($B900+IF($R$17="Distrato",$I$38-1,0)),IF(AND($L$711=0,$P$708=0),"",$L$711-1),IF($R$17="Distrato",$E900,0)),MIN(AT$38,$D$19),$P$20))-SUM($P900:AS900)</f>
        <v>#VALUE!</v>
      </c>
      <c r="AU900" s="446" t="e">
        <f>IF(OR($B900="",MIN(AU$38,$D$19)&lt;MAX($P$708*($B900+IF($R$17="Distrato",$I$38-1,0)),IF(AND($L$711=0,$P$708=0),"",$L$711-1),IF($R$17="Distrato",$E900,0))),0,YEARFRAC(MAX($P$708*($B900+IF($R$17="Distrato",$I$38-1,0)),IF(AND($L$711=0,$P$708=0),"",$L$711-1),IF($R$17="Distrato",$E900,0)),MIN(AU$38,$D$19),$P$20))-SUM($P900:AT900)</f>
        <v>#VALUE!</v>
      </c>
      <c r="AV900" s="446" t="e">
        <f>IF(OR($B900="",MIN(AV$38,$D$19)&lt;MAX($P$708*($B900+IF($R$17="Distrato",$I$38-1,0)),IF(AND($L$711=0,$P$708=0),"",$L$711-1),IF($R$17="Distrato",$E900,0))),0,YEARFRAC(MAX($P$708*($B900+IF($R$17="Distrato",$I$38-1,0)),IF(AND($L$711=0,$P$708=0),"",$L$711-1),IF($R$17="Distrato",$E900,0)),MIN(AV$38,$D$19),$P$20))-SUM($P900:AU900)</f>
        <v>#VALUE!</v>
      </c>
      <c r="AW900" s="446" t="e">
        <f>IF(OR($B900="",MIN(AW$38,$D$19)&lt;MAX($P$708*($B900+IF($R$17="Distrato",$I$38-1,0)),IF(AND($L$711=0,$P$708=0),"",$L$711-1),IF($R$17="Distrato",$E900,0))),0,YEARFRAC(MAX($P$708*($B900+IF($R$17="Distrato",$I$38-1,0)),IF(AND($L$711=0,$P$708=0),"",$L$711-1),IF($R$17="Distrato",$E900,0)),MIN(AW$38,$D$19),$P$20))-SUM($P900:AV900)</f>
        <v>#VALUE!</v>
      </c>
      <c r="AX900" s="446" t="e">
        <f>IF(OR($B900="",MIN(AX$38,$D$19)&lt;MAX($P$708*($B900+IF($R$17="Distrato",$I$38-1,0)),IF(AND($L$711=0,$P$708=0),"",$L$711-1),IF($R$17="Distrato",$E900,0))),0,YEARFRAC(MAX($P$708*($B900+IF($R$17="Distrato",$I$38-1,0)),IF(AND($L$711=0,$P$708=0),"",$L$711-1),IF($R$17="Distrato",$E900,0)),MIN(AX$38,$D$19),$P$20))-SUM($P900:AW900)</f>
        <v>#VALUE!</v>
      </c>
      <c r="AY900" s="446" t="e">
        <f>IF(OR($B900="",MIN(AY$38,$D$19)&lt;MAX($P$708*($B900+IF($R$17="Distrato",$I$38-1,0)),IF(AND($L$711=0,$P$708=0),"",$L$711-1),IF($R$17="Distrato",$E900,0))),0,YEARFRAC(MAX($P$708*($B900+IF($R$17="Distrato",$I$38-1,0)),IF(AND($L$711=0,$P$708=0),"",$L$711-1),IF($R$17="Distrato",$E900,0)),MIN(AY$38,$D$19),$P$20))-SUM($P900:AX900)</f>
        <v>#VALUE!</v>
      </c>
      <c r="AZ900" s="446" t="e">
        <f>IF(OR($B900="",MIN(AZ$38,$D$19)&lt;MAX($P$708*($B900+IF($R$17="Distrato",$I$38-1,0)),IF(AND($L$711=0,$P$708=0),"",$L$711-1),IF($R$17="Distrato",$E900,0))),0,YEARFRAC(MAX($P$708*($B900+IF($R$17="Distrato",$I$38-1,0)),IF(AND($L$711=0,$P$708=0),"",$L$711-1),IF($R$17="Distrato",$E900,0)),MIN(AZ$38,$D$19),$P$20))-SUM($P900:AY900)</f>
        <v>#VALUE!</v>
      </c>
      <c r="BA900" s="446" t="e">
        <f>IF(OR($B900="",MIN(BA$38,$D$19)&lt;MAX($P$708*($B900+IF($R$17="Distrato",$I$38-1,0)),IF(AND($L$711=0,$P$708=0),"",$L$711-1),IF($R$17="Distrato",$E900,0))),0,YEARFRAC(MAX($P$708*($B900+IF($R$17="Distrato",$I$38-1,0)),IF(AND($L$711=0,$P$708=0),"",$L$711-1),IF($R$17="Distrato",$E900,0)),MIN(BA$38,$D$19),$P$20))-SUM($P900:AZ900)</f>
        <v>#VALUE!</v>
      </c>
      <c r="BB900" s="447"/>
    </row>
    <row r="901" spans="1:54" s="446" customFormat="1" ht="11.25" hidden="1" customHeight="1" x14ac:dyDescent="0.2">
      <c r="A901" s="235"/>
      <c r="B901" s="236"/>
      <c r="C901" s="29" t="str">
        <f>IF(B901="","",IF($L$709=$BL$25,VLOOKUP(DATE(YEAR($D$19),MONTH($D$19)-1,1),ÍNDICES!$A:$DE,HLOOKUP($BL$25,ÍNDICES!$B$3:$T$4,2)+11)-VLOOKUP(B901,ÍNDICES!$A:$DE,HLOOKUP($BL$25,ÍNDICES!$B$3:$T$4,2)+11)+1%,IF(C$712=$W$26,$J$35,IF(ISERROR(IF(B901&gt;$D$19,1,VLOOKUP(DATE(YEAR(B901),MONTH(B901)+IF($C$709=$S$23,1,0),1),ÍNDICES!$A:$DE,$Z$709+1))),"",IF(B901&gt;$D$19,1,VLOOKUP(DATE(YEAR(B901),MONTH(B901)+IF($C$709=$S$23,1,0),1),ÍNDICES!$A:$DE,$Z$709+1))))))</f>
        <v/>
      </c>
      <c r="D901" s="155"/>
      <c r="E901" s="88"/>
      <c r="F901" s="88"/>
      <c r="G901" s="88"/>
      <c r="H901" s="118"/>
      <c r="I901" s="182">
        <f t="shared" si="129"/>
        <v>0</v>
      </c>
      <c r="J901" s="20">
        <f t="shared" ca="1" si="130"/>
        <v>0</v>
      </c>
      <c r="K901" s="5">
        <f t="shared" ca="1" si="131"/>
        <v>0</v>
      </c>
      <c r="L901" s="61">
        <f t="shared" ca="1" si="132"/>
        <v>0</v>
      </c>
      <c r="M901" s="64">
        <f t="shared" si="133"/>
        <v>0</v>
      </c>
      <c r="N901" s="151"/>
      <c r="O901" s="5">
        <f t="shared" ca="1" si="134"/>
        <v>0</v>
      </c>
      <c r="P901" s="446" t="e">
        <f t="shared" si="135"/>
        <v>#VALUE!</v>
      </c>
      <c r="Q901" s="446" t="e">
        <f>IF(OR($B901="",MIN(Q$38,$D$19)&lt;MAX($P$708*($B901+IF($R$17="Distrato",$I$38-1,0)),IF(AND($L$711=0,$P$708=0),"",$L$711-1),IF($R$17="Distrato",$E901,0))),0,YEARFRAC(MAX($P$708*($B901+IF($R$17="Distrato",$I$38-1,0)),IF(AND($L$711=0,$P$708=0),"",$L$711-1),IF($R$17="Distrato",$E901,0)),MIN(Q$38,$D$19),$P$20))-SUM($P901:P901)</f>
        <v>#VALUE!</v>
      </c>
      <c r="R901" s="446" t="e">
        <f>IF(OR($B901="",MIN(R$38,$D$19)&lt;MAX($P$708*($B901+IF($R$17="Distrato",$I$38-1,0)),IF(AND($L$711=0,$P$708=0),"",$L$711-1),IF($R$17="Distrato",$E901,0))),0,YEARFRAC(MAX($P$708*($B901+IF($R$17="Distrato",$I$38-1,0)),IF(AND($L$711=0,$P$708=0),"",$L$711-1),IF($R$17="Distrato",$E901,0)),MIN(R$38,$D$19),$P$20))-SUM($P901:Q901)</f>
        <v>#VALUE!</v>
      </c>
      <c r="S901" s="446" t="e">
        <f>IF(OR($B901="",MIN(S$38,$D$19)&lt;MAX($P$708*($B901+IF($R$17="Distrato",$I$38-1,0)),IF(AND($L$711=0,$P$708=0),"",$L$711-1),IF($R$17="Distrato",$E901,0))),0,YEARFRAC(MAX($P$708*($B901+IF($R$17="Distrato",$I$38-1,0)),IF(AND($L$711=0,$P$708=0),"",$L$711-1),IF($R$17="Distrato",$E901,0)),MIN(S$38,$D$19),$P$20))-SUM($P901:R901)</f>
        <v>#VALUE!</v>
      </c>
      <c r="T901" s="446" t="e">
        <f>IF(OR($B901="",MIN(T$38,$D$19)&lt;MAX($P$708*($B901+IF($R$17="Distrato",$I$38-1,0)),IF(AND($L$711=0,$P$708=0),"",$L$711-1),IF($R$17="Distrato",$E901,0))),0,YEARFRAC(MAX($P$708*($B901+IF($R$17="Distrato",$I$38-1,0)),IF(AND($L$711=0,$P$708=0),"",$L$711-1),IF($R$17="Distrato",$E901,0)),MIN(T$38,$D$19),$P$20))-SUM($P901:S901)</f>
        <v>#VALUE!</v>
      </c>
      <c r="U901" s="446" t="e">
        <f>IF(OR($B901="",MIN(U$38,$D$19)&lt;MAX($P$708*($B901+IF($R$17="Distrato",$I$38-1,0)),IF(AND($L$711=0,$P$708=0),"",$L$711-1),IF($R$17="Distrato",$E901,0))),0,YEARFRAC(MAX($P$708*($B901+IF($R$17="Distrato",$I$38-1,0)),IF(AND($L$711=0,$P$708=0),"",$L$711-1),IF($R$17="Distrato",$E901,0)),MIN(U$38,$D$19),$P$20))-SUM($P901:T901)</f>
        <v>#VALUE!</v>
      </c>
      <c r="V901" s="446" t="e">
        <f>IF(OR($B901="",MIN(V$38,$D$19)&lt;MAX($P$708*($B901+IF($R$17="Distrato",$I$38-1,0)),IF(AND($L$711=0,$P$708=0),"",$L$711-1),IF($R$17="Distrato",$E901,0))),0,YEARFRAC(MAX($P$708*($B901+IF($R$17="Distrato",$I$38-1,0)),IF(AND($L$711=0,$P$708=0),"",$L$711-1),IF($R$17="Distrato",$E901,0)),MIN(V$38,$D$19),$P$20))-SUM($P901:U901)</f>
        <v>#VALUE!</v>
      </c>
      <c r="W901" s="446" t="e">
        <f>IF(OR($B901="",MIN(W$38,$D$19)&lt;MAX($P$708*($B901+IF($R$17="Distrato",$I$38-1,0)),IF(AND($L$711=0,$P$708=0),"",$L$711-1),IF($R$17="Distrato",$E901,0))),0,YEARFRAC(MAX($P$708*($B901+IF($R$17="Distrato",$I$38-1,0)),IF(AND($L$711=0,$P$708=0),"",$L$711-1),IF($R$17="Distrato",$E901,0)),MIN(W$38,$D$19),$P$20))-SUM($P901:V901)</f>
        <v>#VALUE!</v>
      </c>
      <c r="X901" s="446" t="e">
        <f>IF(OR($B901="",MIN(X$38,$D$19)&lt;MAX($P$708*($B901+IF($R$17="Distrato",$I$38-1,0)),IF(AND($L$711=0,$P$708=0),"",$L$711-1),IF($R$17="Distrato",$E901,0))),0,YEARFRAC(MAX($P$708*($B901+IF($R$17="Distrato",$I$38-1,0)),IF(AND($L$711=0,$P$708=0),"",$L$711-1),IF($R$17="Distrato",$E901,0)),MIN(X$38,$D$19),$P$20))-SUM($P901:W901)</f>
        <v>#VALUE!</v>
      </c>
      <c r="Y901" s="446" t="e">
        <f>IF(OR($B901="",MIN(Y$38,$D$19)&lt;MAX($P$708*($B901+IF($R$17="Distrato",$I$38-1,0)),IF(AND($L$711=0,$P$708=0),"",$L$711-1),IF($R$17="Distrato",$E901,0))),0,YEARFRAC(MAX($P$708*($B901+IF($R$17="Distrato",$I$38-1,0)),IF(AND($L$711=0,$P$708=0),"",$L$711-1),IF($R$17="Distrato",$E901,0)),MIN(Y$38,$D$19),$P$20))-SUM($P901:X901)</f>
        <v>#VALUE!</v>
      </c>
      <c r="Z901" s="446" t="e">
        <f>IF(OR($B901="",MIN(Z$38,$D$19)&lt;MAX($P$708*($B901+IF($R$17="Distrato",$I$38-1,0)),IF(AND($L$711=0,$P$708=0),"",$L$711-1),IF($R$17="Distrato",$E901,0))),0,YEARFRAC(MAX($P$708*($B901+IF($R$17="Distrato",$I$38-1,0)),IF(AND($L$711=0,$P$708=0),"",$L$711-1),IF($R$17="Distrato",$E901,0)),MIN(Z$38,$D$19),$P$20))-SUM($P901:Y901)</f>
        <v>#VALUE!</v>
      </c>
      <c r="AA901" s="446" t="e">
        <f>IF(OR($B901="",MIN(AA$38,$D$19)&lt;MAX($P$708*($B901+IF($R$17="Distrato",$I$38-1,0)),IF(AND($L$711=0,$P$708=0),"",$L$711-1),IF($R$17="Distrato",$E901,0))),0,YEARFRAC(MAX($P$708*($B901+IF($R$17="Distrato",$I$38-1,0)),IF(AND($L$711=0,$P$708=0),"",$L$711-1),IF($R$17="Distrato",$E901,0)),MIN(AA$38,$D$19),$P$20))-SUM($P901:Z901)</f>
        <v>#VALUE!</v>
      </c>
      <c r="AB901" s="446" t="e">
        <f>IF(OR($B901="",MIN(AB$38,$D$19)&lt;MAX($P$708*($B901+IF($R$17="Distrato",$I$38-1,0)),IF(AND($L$711=0,$P$708=0),"",$L$711-1),IF($R$17="Distrato",$E901,0))),0,YEARFRAC(MAX($P$708*($B901+IF($R$17="Distrato",$I$38-1,0)),IF(AND($L$711=0,$P$708=0),"",$L$711-1),IF($R$17="Distrato",$E901,0)),MIN(AB$38,$D$19),$P$20))-SUM($P901:AA901)</f>
        <v>#VALUE!</v>
      </c>
      <c r="AC901" s="446" t="e">
        <f>IF(OR($B901="",MIN(AC$38,$D$19)&lt;MAX($P$708*($B901+IF($R$17="Distrato",$I$38-1,0)),IF(AND($L$711=0,$P$708=0),"",$L$711-1),IF($R$17="Distrato",$E901,0))),0,YEARFRAC(MAX($P$708*($B901+IF($R$17="Distrato",$I$38-1,0)),IF(AND($L$711=0,$P$708=0),"",$L$711-1),IF($R$17="Distrato",$E901,0)),MIN(AC$38,$D$19),$P$20))-SUM($P901:AB901)</f>
        <v>#VALUE!</v>
      </c>
      <c r="AD901" s="446" t="e">
        <f>IF(OR($B901="",MIN(AD$38,$D$19)&lt;MAX($P$708*($B901+IF($R$17="Distrato",$I$38-1,0)),IF(AND($L$711=0,$P$708=0),"",$L$711-1),IF($R$17="Distrato",$E901,0))),0,YEARFRAC(MAX($P$708*($B901+IF($R$17="Distrato",$I$38-1,0)),IF(AND($L$711=0,$P$708=0),"",$L$711-1),IF($R$17="Distrato",$E901,0)),MIN(AD$38,$D$19),$P$20))-SUM($P901:AC901)</f>
        <v>#VALUE!</v>
      </c>
      <c r="AE901" s="446" t="e">
        <f>IF(OR($B901="",MIN(AE$38,$D$19)&lt;MAX($P$708*($B901+IF($R$17="Distrato",$I$38-1,0)),IF(AND($L$711=0,$P$708=0),"",$L$711-1),IF($R$17="Distrato",$E901,0))),0,YEARFRAC(MAX($P$708*($B901+IF($R$17="Distrato",$I$38-1,0)),IF(AND($L$711=0,$P$708=0),"",$L$711-1),IF($R$17="Distrato",$E901,0)),MIN(AE$38,$D$19),$P$20))-SUM($P901:AD901)</f>
        <v>#VALUE!</v>
      </c>
      <c r="AF901" s="446" t="e">
        <f>IF(OR($B901="",MIN(AF$38,$D$19)&lt;MAX($P$708*($B901+IF($R$17="Distrato",$I$38-1,0)),IF(AND($L$711=0,$P$708=0),"",$L$711-1),IF($R$17="Distrato",$E901,0))),0,YEARFRAC(MAX($P$708*($B901+IF($R$17="Distrato",$I$38-1,0)),IF(AND($L$711=0,$P$708=0),"",$L$711-1),IF($R$17="Distrato",$E901,0)),MIN(AF$38,$D$19),$P$20))-SUM($P901:AE901)</f>
        <v>#VALUE!</v>
      </c>
      <c r="AG901" s="446" t="e">
        <f>IF(OR($B901="",MIN(AG$38,$D$19)&lt;MAX($P$708*($B901+IF($R$17="Distrato",$I$38-1,0)),IF(AND($L$711=0,$P$708=0),"",$L$711-1),IF($R$17="Distrato",$E901,0))),0,YEARFRAC(MAX($P$708*($B901+IF($R$17="Distrato",$I$38-1,0)),IF(AND($L$711=0,$P$708=0),"",$L$711-1),IF($R$17="Distrato",$E901,0)),MIN(AG$38,$D$19),$P$20))-SUM($P901:AF901)</f>
        <v>#VALUE!</v>
      </c>
      <c r="AH901" s="446" t="e">
        <f>IF(OR($B901="",MIN(AH$38,$D$19)&lt;MAX($P$708*($B901+IF($R$17="Distrato",$I$38-1,0)),IF(AND($L$711=0,$P$708=0),"",$L$711-1),IF($R$17="Distrato",$E901,0))),0,YEARFRAC(MAX($P$708*($B901+IF($R$17="Distrato",$I$38-1,0)),IF(AND($L$711=0,$P$708=0),"",$L$711-1),IF($R$17="Distrato",$E901,0)),MIN(AH$38,$D$19),$P$20))-SUM($P901:AG901)</f>
        <v>#VALUE!</v>
      </c>
      <c r="AI901" s="446" t="e">
        <f>IF(OR($B901="",MIN(AI$38,$D$19)&lt;MAX($P$708*($B901+IF($R$17="Distrato",$I$38-1,0)),IF(AND($L$711=0,$P$708=0),"",$L$711-1),IF($R$17="Distrato",$E901,0))),0,YEARFRAC(MAX($P$708*($B901+IF($R$17="Distrato",$I$38-1,0)),IF(AND($L$711=0,$P$708=0),"",$L$711-1),IF($R$17="Distrato",$E901,0)),MIN(AI$38,$D$19),$P$20))-SUM($P901:AH901)</f>
        <v>#VALUE!</v>
      </c>
      <c r="AJ901" s="446" t="e">
        <f>IF(OR($B901="",MIN(AJ$38,$D$19)&lt;MAX($P$708*($B901+IF($R$17="Distrato",$I$38-1,0)),IF(AND($L$711=0,$P$708=0),"",$L$711-1),IF($R$17="Distrato",$E901,0))),0,YEARFRAC(MAX($P$708*($B901+IF($R$17="Distrato",$I$38-1,0)),IF(AND($L$711=0,$P$708=0),"",$L$711-1),IF($R$17="Distrato",$E901,0)),MIN(AJ$38,$D$19),$P$20))-SUM($P901:AI901)</f>
        <v>#VALUE!</v>
      </c>
      <c r="AK901" s="446" t="e">
        <f>IF(OR($B901="",MIN(AK$38,$D$19)&lt;MAX($P$708*($B901+IF($R$17="Distrato",$I$38-1,0)),IF(AND($L$711=0,$P$708=0),"",$L$711-1),IF($R$17="Distrato",$E901,0))),0,YEARFRAC(MAX($P$708*($B901+IF($R$17="Distrato",$I$38-1,0)),IF(AND($L$711=0,$P$708=0),"",$L$711-1),IF($R$17="Distrato",$E901,0)),MIN(AK$38,$D$19),$P$20))-SUM($P901:AJ901)</f>
        <v>#VALUE!</v>
      </c>
      <c r="AL901" s="446" t="e">
        <f>IF(OR($B901="",MIN(AL$38,$D$19)&lt;MAX($P$708*($B901+IF($R$17="Distrato",$I$38-1,0)),IF(AND($L$711=0,$P$708=0),"",$L$711-1),IF($R$17="Distrato",$E901,0))),0,YEARFRAC(MAX($P$708*($B901+IF($R$17="Distrato",$I$38-1,0)),IF(AND($L$711=0,$P$708=0),"",$L$711-1),IF($R$17="Distrato",$E901,0)),MIN(AL$38,$D$19),$P$20))-SUM($P901:AK901)</f>
        <v>#VALUE!</v>
      </c>
      <c r="AM901" s="446" t="e">
        <f>IF(OR($B901="",MIN(AM$38,$D$19)&lt;MAX($P$708*($B901+IF($R$17="Distrato",$I$38-1,0)),IF(AND($L$711=0,$P$708=0),"",$L$711-1),IF($R$17="Distrato",$E901,0))),0,YEARFRAC(MAX($P$708*($B901+IF($R$17="Distrato",$I$38-1,0)),IF(AND($L$711=0,$P$708=0),"",$L$711-1),IF($R$17="Distrato",$E901,0)),MIN(AM$38,$D$19),$P$20))-SUM($P901:AL901)</f>
        <v>#VALUE!</v>
      </c>
      <c r="AN901" s="446" t="e">
        <f>IF(OR($B901="",MIN(AN$38,$D$19)&lt;MAX($P$708*($B901+IF($R$17="Distrato",$I$38-1,0)),IF(AND($L$711=0,$P$708=0),"",$L$711-1),IF($R$17="Distrato",$E901,0))),0,YEARFRAC(MAX($P$708*($B901+IF($R$17="Distrato",$I$38-1,0)),IF(AND($L$711=0,$P$708=0),"",$L$711-1),IF($R$17="Distrato",$E901,0)),MIN(AN$38,$D$19),$P$20))-SUM($P901:AM901)</f>
        <v>#VALUE!</v>
      </c>
      <c r="AO901" s="446" t="e">
        <f>IF(OR($B901="",MIN(AO$38,$D$19)&lt;MAX($P$708*($B901+IF($R$17="Distrato",$I$38-1,0)),IF(AND($L$711=0,$P$708=0),"",$L$711-1),IF($R$17="Distrato",$E901,0))),0,YEARFRAC(MAX($P$708*($B901+IF($R$17="Distrato",$I$38-1,0)),IF(AND($L$711=0,$P$708=0),"",$L$711-1),IF($R$17="Distrato",$E901,0)),MIN(AO$38,$D$19),$P$20))-SUM($P901:AN901)</f>
        <v>#VALUE!</v>
      </c>
      <c r="AP901" s="446" t="e">
        <f>IF(OR($B901="",MIN(AP$38,$D$19)&lt;MAX($P$708*($B901+IF($R$17="Distrato",$I$38-1,0)),IF(AND($L$711=0,$P$708=0),"",$L$711-1),IF($R$17="Distrato",$E901,0))),0,YEARFRAC(MAX($P$708*($B901+IF($R$17="Distrato",$I$38-1,0)),IF(AND($L$711=0,$P$708=0),"",$L$711-1),IF($R$17="Distrato",$E901,0)),MIN(AP$38,$D$19),$P$20))-SUM($P901:AO901)</f>
        <v>#VALUE!</v>
      </c>
      <c r="AQ901" s="446" t="e">
        <f>IF(OR($B901="",MIN(AQ$38,$D$19)&lt;MAX($P$708*($B901+IF($R$17="Distrato",$I$38-1,0)),IF(AND($L$711=0,$P$708=0),"",$L$711-1),IF($R$17="Distrato",$E901,0))),0,YEARFRAC(MAX($P$708*($B901+IF($R$17="Distrato",$I$38-1,0)),IF(AND($L$711=0,$P$708=0),"",$L$711-1),IF($R$17="Distrato",$E901,0)),MIN(AQ$38,$D$19),$P$20))-SUM($P901:AP901)</f>
        <v>#VALUE!</v>
      </c>
      <c r="AR901" s="446" t="e">
        <f>IF(OR($B901="",MIN(AR$38,$D$19)&lt;MAX($P$708*($B901+IF($R$17="Distrato",$I$38-1,0)),IF(AND($L$711=0,$P$708=0),"",$L$711-1),IF($R$17="Distrato",$E901,0))),0,YEARFRAC(MAX($P$708*($B901+IF($R$17="Distrato",$I$38-1,0)),IF(AND($L$711=0,$P$708=0),"",$L$711-1),IF($R$17="Distrato",$E901,0)),MIN(AR$38,$D$19),$P$20))-SUM($P901:AQ901)</f>
        <v>#VALUE!</v>
      </c>
      <c r="AS901" s="446" t="e">
        <f>IF(OR($B901="",MIN(AS$38,$D$19)&lt;MAX($P$708*($B901+IF($R$17="Distrato",$I$38-1,0)),IF(AND($L$711=0,$P$708=0),"",$L$711-1),IF($R$17="Distrato",$E901,0))),0,YEARFRAC(MAX($P$708*($B901+IF($R$17="Distrato",$I$38-1,0)),IF(AND($L$711=0,$P$708=0),"",$L$711-1),IF($R$17="Distrato",$E901,0)),MIN(AS$38,$D$19),$P$20))-SUM($P901:AR901)</f>
        <v>#VALUE!</v>
      </c>
      <c r="AT901" s="446" t="e">
        <f>IF(OR($B901="",MIN(AT$38,$D$19)&lt;MAX($P$708*($B901+IF($R$17="Distrato",$I$38-1,0)),IF(AND($L$711=0,$P$708=0),"",$L$711-1),IF($R$17="Distrato",$E901,0))),0,YEARFRAC(MAX($P$708*($B901+IF($R$17="Distrato",$I$38-1,0)),IF(AND($L$711=0,$P$708=0),"",$L$711-1),IF($R$17="Distrato",$E901,0)),MIN(AT$38,$D$19),$P$20))-SUM($P901:AS901)</f>
        <v>#VALUE!</v>
      </c>
      <c r="AU901" s="446" t="e">
        <f>IF(OR($B901="",MIN(AU$38,$D$19)&lt;MAX($P$708*($B901+IF($R$17="Distrato",$I$38-1,0)),IF(AND($L$711=0,$P$708=0),"",$L$711-1),IF($R$17="Distrato",$E901,0))),0,YEARFRAC(MAX($P$708*($B901+IF($R$17="Distrato",$I$38-1,0)),IF(AND($L$711=0,$P$708=0),"",$L$711-1),IF($R$17="Distrato",$E901,0)),MIN(AU$38,$D$19),$P$20))-SUM($P901:AT901)</f>
        <v>#VALUE!</v>
      </c>
      <c r="AV901" s="446" t="e">
        <f>IF(OR($B901="",MIN(AV$38,$D$19)&lt;MAX($P$708*($B901+IF($R$17="Distrato",$I$38-1,0)),IF(AND($L$711=0,$P$708=0),"",$L$711-1),IF($R$17="Distrato",$E901,0))),0,YEARFRAC(MAX($P$708*($B901+IF($R$17="Distrato",$I$38-1,0)),IF(AND($L$711=0,$P$708=0),"",$L$711-1),IF($R$17="Distrato",$E901,0)),MIN(AV$38,$D$19),$P$20))-SUM($P901:AU901)</f>
        <v>#VALUE!</v>
      </c>
      <c r="AW901" s="446" t="e">
        <f>IF(OR($B901="",MIN(AW$38,$D$19)&lt;MAX($P$708*($B901+IF($R$17="Distrato",$I$38-1,0)),IF(AND($L$711=0,$P$708=0),"",$L$711-1),IF($R$17="Distrato",$E901,0))),0,YEARFRAC(MAX($P$708*($B901+IF($R$17="Distrato",$I$38-1,0)),IF(AND($L$711=0,$P$708=0),"",$L$711-1),IF($R$17="Distrato",$E901,0)),MIN(AW$38,$D$19),$P$20))-SUM($P901:AV901)</f>
        <v>#VALUE!</v>
      </c>
      <c r="AX901" s="446" t="e">
        <f>IF(OR($B901="",MIN(AX$38,$D$19)&lt;MAX($P$708*($B901+IF($R$17="Distrato",$I$38-1,0)),IF(AND($L$711=0,$P$708=0),"",$L$711-1),IF($R$17="Distrato",$E901,0))),0,YEARFRAC(MAX($P$708*($B901+IF($R$17="Distrato",$I$38-1,0)),IF(AND($L$711=0,$P$708=0),"",$L$711-1),IF($R$17="Distrato",$E901,0)),MIN(AX$38,$D$19),$P$20))-SUM($P901:AW901)</f>
        <v>#VALUE!</v>
      </c>
      <c r="AY901" s="446" t="e">
        <f>IF(OR($B901="",MIN(AY$38,$D$19)&lt;MAX($P$708*($B901+IF($R$17="Distrato",$I$38-1,0)),IF(AND($L$711=0,$P$708=0),"",$L$711-1),IF($R$17="Distrato",$E901,0))),0,YEARFRAC(MAX($P$708*($B901+IF($R$17="Distrato",$I$38-1,0)),IF(AND($L$711=0,$P$708=0),"",$L$711-1),IF($R$17="Distrato",$E901,0)),MIN(AY$38,$D$19),$P$20))-SUM($P901:AX901)</f>
        <v>#VALUE!</v>
      </c>
      <c r="AZ901" s="446" t="e">
        <f>IF(OR($B901="",MIN(AZ$38,$D$19)&lt;MAX($P$708*($B901+IF($R$17="Distrato",$I$38-1,0)),IF(AND($L$711=0,$P$708=0),"",$L$711-1),IF($R$17="Distrato",$E901,0))),0,YEARFRAC(MAX($P$708*($B901+IF($R$17="Distrato",$I$38-1,0)),IF(AND($L$711=0,$P$708=0),"",$L$711-1),IF($R$17="Distrato",$E901,0)),MIN(AZ$38,$D$19),$P$20))-SUM($P901:AY901)</f>
        <v>#VALUE!</v>
      </c>
      <c r="BA901" s="446" t="e">
        <f>IF(OR($B901="",MIN(BA$38,$D$19)&lt;MAX($P$708*($B901+IF($R$17="Distrato",$I$38-1,0)),IF(AND($L$711=0,$P$708=0),"",$L$711-1),IF($R$17="Distrato",$E901,0))),0,YEARFRAC(MAX($P$708*($B901+IF($R$17="Distrato",$I$38-1,0)),IF(AND($L$711=0,$P$708=0),"",$L$711-1),IF($R$17="Distrato",$E901,0)),MIN(BA$38,$D$19),$P$20))-SUM($P901:AZ901)</f>
        <v>#VALUE!</v>
      </c>
      <c r="BB901" s="447"/>
    </row>
    <row r="902" spans="1:54" s="446" customFormat="1" ht="11.25" hidden="1" customHeight="1" x14ac:dyDescent="0.2">
      <c r="A902" s="235"/>
      <c r="B902" s="236"/>
      <c r="C902" s="29" t="str">
        <f>IF(B902="","",IF($L$709=$BL$25,VLOOKUP(DATE(YEAR($D$19),MONTH($D$19)-1,1),ÍNDICES!$A:$DE,HLOOKUP($BL$25,ÍNDICES!$B$3:$T$4,2)+11)-VLOOKUP(B902,ÍNDICES!$A:$DE,HLOOKUP($BL$25,ÍNDICES!$B$3:$T$4,2)+11)+1%,IF(C$712=$W$26,$J$35,IF(ISERROR(IF(B902&gt;$D$19,1,VLOOKUP(DATE(YEAR(B902),MONTH(B902)+IF($C$709=$S$23,1,0),1),ÍNDICES!$A:$DE,$Z$709+1))),"",IF(B902&gt;$D$19,1,VLOOKUP(DATE(YEAR(B902),MONTH(B902)+IF($C$709=$S$23,1,0),1),ÍNDICES!$A:$DE,$Z$709+1))))))</f>
        <v/>
      </c>
      <c r="D902" s="155"/>
      <c r="E902" s="88"/>
      <c r="F902" s="88"/>
      <c r="G902" s="88"/>
      <c r="H902" s="118"/>
      <c r="I902" s="182">
        <f t="shared" si="129"/>
        <v>0</v>
      </c>
      <c r="J902" s="20">
        <f t="shared" ca="1" si="130"/>
        <v>0</v>
      </c>
      <c r="K902" s="5">
        <f t="shared" ca="1" si="131"/>
        <v>0</v>
      </c>
      <c r="L902" s="61">
        <f t="shared" ca="1" si="132"/>
        <v>0</v>
      </c>
      <c r="M902" s="64">
        <f t="shared" si="133"/>
        <v>0</v>
      </c>
      <c r="N902" s="151"/>
      <c r="O902" s="5">
        <f t="shared" ca="1" si="134"/>
        <v>0</v>
      </c>
      <c r="P902" s="446" t="e">
        <f t="shared" si="135"/>
        <v>#VALUE!</v>
      </c>
      <c r="Q902" s="446" t="e">
        <f>IF(OR($B902="",MIN(Q$38,$D$19)&lt;MAX($P$708*($B902+IF($R$17="Distrato",$I$38-1,0)),IF(AND($L$711=0,$P$708=0),"",$L$711-1),IF($R$17="Distrato",$E902,0))),0,YEARFRAC(MAX($P$708*($B902+IF($R$17="Distrato",$I$38-1,0)),IF(AND($L$711=0,$P$708=0),"",$L$711-1),IF($R$17="Distrato",$E902,0)),MIN(Q$38,$D$19),$P$20))-SUM($P902:P902)</f>
        <v>#VALUE!</v>
      </c>
      <c r="R902" s="446" t="e">
        <f>IF(OR($B902="",MIN(R$38,$D$19)&lt;MAX($P$708*($B902+IF($R$17="Distrato",$I$38-1,0)),IF(AND($L$711=0,$P$708=0),"",$L$711-1),IF($R$17="Distrato",$E902,0))),0,YEARFRAC(MAX($P$708*($B902+IF($R$17="Distrato",$I$38-1,0)),IF(AND($L$711=0,$P$708=0),"",$L$711-1),IF($R$17="Distrato",$E902,0)),MIN(R$38,$D$19),$P$20))-SUM($P902:Q902)</f>
        <v>#VALUE!</v>
      </c>
      <c r="S902" s="446" t="e">
        <f>IF(OR($B902="",MIN(S$38,$D$19)&lt;MAX($P$708*($B902+IF($R$17="Distrato",$I$38-1,0)),IF(AND($L$711=0,$P$708=0),"",$L$711-1),IF($R$17="Distrato",$E902,0))),0,YEARFRAC(MAX($P$708*($B902+IF($R$17="Distrato",$I$38-1,0)),IF(AND($L$711=0,$P$708=0),"",$L$711-1),IF($R$17="Distrato",$E902,0)),MIN(S$38,$D$19),$P$20))-SUM($P902:R902)</f>
        <v>#VALUE!</v>
      </c>
      <c r="T902" s="446" t="e">
        <f>IF(OR($B902="",MIN(T$38,$D$19)&lt;MAX($P$708*($B902+IF($R$17="Distrato",$I$38-1,0)),IF(AND($L$711=0,$P$708=0),"",$L$711-1),IF($R$17="Distrato",$E902,0))),0,YEARFRAC(MAX($P$708*($B902+IF($R$17="Distrato",$I$38-1,0)),IF(AND($L$711=0,$P$708=0),"",$L$711-1),IF($R$17="Distrato",$E902,0)),MIN(T$38,$D$19),$P$20))-SUM($P902:S902)</f>
        <v>#VALUE!</v>
      </c>
      <c r="U902" s="446" t="e">
        <f>IF(OR($B902="",MIN(U$38,$D$19)&lt;MAX($P$708*($B902+IF($R$17="Distrato",$I$38-1,0)),IF(AND($L$711=0,$P$708=0),"",$L$711-1),IF($R$17="Distrato",$E902,0))),0,YEARFRAC(MAX($P$708*($B902+IF($R$17="Distrato",$I$38-1,0)),IF(AND($L$711=0,$P$708=0),"",$L$711-1),IF($R$17="Distrato",$E902,0)),MIN(U$38,$D$19),$P$20))-SUM($P902:T902)</f>
        <v>#VALUE!</v>
      </c>
      <c r="V902" s="446" t="e">
        <f>IF(OR($B902="",MIN(V$38,$D$19)&lt;MAX($P$708*($B902+IF($R$17="Distrato",$I$38-1,0)),IF(AND($L$711=0,$P$708=0),"",$L$711-1),IF($R$17="Distrato",$E902,0))),0,YEARFRAC(MAX($P$708*($B902+IF($R$17="Distrato",$I$38-1,0)),IF(AND($L$711=0,$P$708=0),"",$L$711-1),IF($R$17="Distrato",$E902,0)),MIN(V$38,$D$19),$P$20))-SUM($P902:U902)</f>
        <v>#VALUE!</v>
      </c>
      <c r="W902" s="446" t="e">
        <f>IF(OR($B902="",MIN(W$38,$D$19)&lt;MAX($P$708*($B902+IF($R$17="Distrato",$I$38-1,0)),IF(AND($L$711=0,$P$708=0),"",$L$711-1),IF($R$17="Distrato",$E902,0))),0,YEARFRAC(MAX($P$708*($B902+IF($R$17="Distrato",$I$38-1,0)),IF(AND($L$711=0,$P$708=0),"",$L$711-1),IF($R$17="Distrato",$E902,0)),MIN(W$38,$D$19),$P$20))-SUM($P902:V902)</f>
        <v>#VALUE!</v>
      </c>
      <c r="X902" s="446" t="e">
        <f>IF(OR($B902="",MIN(X$38,$D$19)&lt;MAX($P$708*($B902+IF($R$17="Distrato",$I$38-1,0)),IF(AND($L$711=0,$P$708=0),"",$L$711-1),IF($R$17="Distrato",$E902,0))),0,YEARFRAC(MAX($P$708*($B902+IF($R$17="Distrato",$I$38-1,0)),IF(AND($L$711=0,$P$708=0),"",$L$711-1),IF($R$17="Distrato",$E902,0)),MIN(X$38,$D$19),$P$20))-SUM($P902:W902)</f>
        <v>#VALUE!</v>
      </c>
      <c r="Y902" s="446" t="e">
        <f>IF(OR($B902="",MIN(Y$38,$D$19)&lt;MAX($P$708*($B902+IF($R$17="Distrato",$I$38-1,0)),IF(AND($L$711=0,$P$708=0),"",$L$711-1),IF($R$17="Distrato",$E902,0))),0,YEARFRAC(MAX($P$708*($B902+IF($R$17="Distrato",$I$38-1,0)),IF(AND($L$711=0,$P$708=0),"",$L$711-1),IF($R$17="Distrato",$E902,0)),MIN(Y$38,$D$19),$P$20))-SUM($P902:X902)</f>
        <v>#VALUE!</v>
      </c>
      <c r="Z902" s="446" t="e">
        <f>IF(OR($B902="",MIN(Z$38,$D$19)&lt;MAX($P$708*($B902+IF($R$17="Distrato",$I$38-1,0)),IF(AND($L$711=0,$P$708=0),"",$L$711-1),IF($R$17="Distrato",$E902,0))),0,YEARFRAC(MAX($P$708*($B902+IF($R$17="Distrato",$I$38-1,0)),IF(AND($L$711=0,$P$708=0),"",$L$711-1),IF($R$17="Distrato",$E902,0)),MIN(Z$38,$D$19),$P$20))-SUM($P902:Y902)</f>
        <v>#VALUE!</v>
      </c>
      <c r="AA902" s="446" t="e">
        <f>IF(OR($B902="",MIN(AA$38,$D$19)&lt;MAX($P$708*($B902+IF($R$17="Distrato",$I$38-1,0)),IF(AND($L$711=0,$P$708=0),"",$L$711-1),IF($R$17="Distrato",$E902,0))),0,YEARFRAC(MAX($P$708*($B902+IF($R$17="Distrato",$I$38-1,0)),IF(AND($L$711=0,$P$708=0),"",$L$711-1),IF($R$17="Distrato",$E902,0)),MIN(AA$38,$D$19),$P$20))-SUM($P902:Z902)</f>
        <v>#VALUE!</v>
      </c>
      <c r="AB902" s="446" t="e">
        <f>IF(OR($B902="",MIN(AB$38,$D$19)&lt;MAX($P$708*($B902+IF($R$17="Distrato",$I$38-1,0)),IF(AND($L$711=0,$P$708=0),"",$L$711-1),IF($R$17="Distrato",$E902,0))),0,YEARFRAC(MAX($P$708*($B902+IF($R$17="Distrato",$I$38-1,0)),IF(AND($L$711=0,$P$708=0),"",$L$711-1),IF($R$17="Distrato",$E902,0)),MIN(AB$38,$D$19),$P$20))-SUM($P902:AA902)</f>
        <v>#VALUE!</v>
      </c>
      <c r="AC902" s="446" t="e">
        <f>IF(OR($B902="",MIN(AC$38,$D$19)&lt;MAX($P$708*($B902+IF($R$17="Distrato",$I$38-1,0)),IF(AND($L$711=0,$P$708=0),"",$L$711-1),IF($R$17="Distrato",$E902,0))),0,YEARFRAC(MAX($P$708*($B902+IF($R$17="Distrato",$I$38-1,0)),IF(AND($L$711=0,$P$708=0),"",$L$711-1),IF($R$17="Distrato",$E902,0)),MIN(AC$38,$D$19),$P$20))-SUM($P902:AB902)</f>
        <v>#VALUE!</v>
      </c>
      <c r="AD902" s="446" t="e">
        <f>IF(OR($B902="",MIN(AD$38,$D$19)&lt;MAX($P$708*($B902+IF($R$17="Distrato",$I$38-1,0)),IF(AND($L$711=0,$P$708=0),"",$L$711-1),IF($R$17="Distrato",$E902,0))),0,YEARFRAC(MAX($P$708*($B902+IF($R$17="Distrato",$I$38-1,0)),IF(AND($L$711=0,$P$708=0),"",$L$711-1),IF($R$17="Distrato",$E902,0)),MIN(AD$38,$D$19),$P$20))-SUM($P902:AC902)</f>
        <v>#VALUE!</v>
      </c>
      <c r="AE902" s="446" t="e">
        <f>IF(OR($B902="",MIN(AE$38,$D$19)&lt;MAX($P$708*($B902+IF($R$17="Distrato",$I$38-1,0)),IF(AND($L$711=0,$P$708=0),"",$L$711-1),IF($R$17="Distrato",$E902,0))),0,YEARFRAC(MAX($P$708*($B902+IF($R$17="Distrato",$I$38-1,0)),IF(AND($L$711=0,$P$708=0),"",$L$711-1),IF($R$17="Distrato",$E902,0)),MIN(AE$38,$D$19),$P$20))-SUM($P902:AD902)</f>
        <v>#VALUE!</v>
      </c>
      <c r="AF902" s="446" t="e">
        <f>IF(OR($B902="",MIN(AF$38,$D$19)&lt;MAX($P$708*($B902+IF($R$17="Distrato",$I$38-1,0)),IF(AND($L$711=0,$P$708=0),"",$L$711-1),IF($R$17="Distrato",$E902,0))),0,YEARFRAC(MAX($P$708*($B902+IF($R$17="Distrato",$I$38-1,0)),IF(AND($L$711=0,$P$708=0),"",$L$711-1),IF($R$17="Distrato",$E902,0)),MIN(AF$38,$D$19),$P$20))-SUM($P902:AE902)</f>
        <v>#VALUE!</v>
      </c>
      <c r="AG902" s="446" t="e">
        <f>IF(OR($B902="",MIN(AG$38,$D$19)&lt;MAX($P$708*($B902+IF($R$17="Distrato",$I$38-1,0)),IF(AND($L$711=0,$P$708=0),"",$L$711-1),IF($R$17="Distrato",$E902,0))),0,YEARFRAC(MAX($P$708*($B902+IF($R$17="Distrato",$I$38-1,0)),IF(AND($L$711=0,$P$708=0),"",$L$711-1),IF($R$17="Distrato",$E902,0)),MIN(AG$38,$D$19),$P$20))-SUM($P902:AF902)</f>
        <v>#VALUE!</v>
      </c>
      <c r="AH902" s="446" t="e">
        <f>IF(OR($B902="",MIN(AH$38,$D$19)&lt;MAX($P$708*($B902+IF($R$17="Distrato",$I$38-1,0)),IF(AND($L$711=0,$P$708=0),"",$L$711-1),IF($R$17="Distrato",$E902,0))),0,YEARFRAC(MAX($P$708*($B902+IF($R$17="Distrato",$I$38-1,0)),IF(AND($L$711=0,$P$708=0),"",$L$711-1),IF($R$17="Distrato",$E902,0)),MIN(AH$38,$D$19),$P$20))-SUM($P902:AG902)</f>
        <v>#VALUE!</v>
      </c>
      <c r="AI902" s="446" t="e">
        <f>IF(OR($B902="",MIN(AI$38,$D$19)&lt;MAX($P$708*($B902+IF($R$17="Distrato",$I$38-1,0)),IF(AND($L$711=0,$P$708=0),"",$L$711-1),IF($R$17="Distrato",$E902,0))),0,YEARFRAC(MAX($P$708*($B902+IF($R$17="Distrato",$I$38-1,0)),IF(AND($L$711=0,$P$708=0),"",$L$711-1),IF($R$17="Distrato",$E902,0)),MIN(AI$38,$D$19),$P$20))-SUM($P902:AH902)</f>
        <v>#VALUE!</v>
      </c>
      <c r="AJ902" s="446" t="e">
        <f>IF(OR($B902="",MIN(AJ$38,$D$19)&lt;MAX($P$708*($B902+IF($R$17="Distrato",$I$38-1,0)),IF(AND($L$711=0,$P$708=0),"",$L$711-1),IF($R$17="Distrato",$E902,0))),0,YEARFRAC(MAX($P$708*($B902+IF($R$17="Distrato",$I$38-1,0)),IF(AND($L$711=0,$P$708=0),"",$L$711-1),IF($R$17="Distrato",$E902,0)),MIN(AJ$38,$D$19),$P$20))-SUM($P902:AI902)</f>
        <v>#VALUE!</v>
      </c>
      <c r="AK902" s="446" t="e">
        <f>IF(OR($B902="",MIN(AK$38,$D$19)&lt;MAX($P$708*($B902+IF($R$17="Distrato",$I$38-1,0)),IF(AND($L$711=0,$P$708=0),"",$L$711-1),IF($R$17="Distrato",$E902,0))),0,YEARFRAC(MAX($P$708*($B902+IF($R$17="Distrato",$I$38-1,0)),IF(AND($L$711=0,$P$708=0),"",$L$711-1),IF($R$17="Distrato",$E902,0)),MIN(AK$38,$D$19),$P$20))-SUM($P902:AJ902)</f>
        <v>#VALUE!</v>
      </c>
      <c r="AL902" s="446" t="e">
        <f>IF(OR($B902="",MIN(AL$38,$D$19)&lt;MAX($P$708*($B902+IF($R$17="Distrato",$I$38-1,0)),IF(AND($L$711=0,$P$708=0),"",$L$711-1),IF($R$17="Distrato",$E902,0))),0,YEARFRAC(MAX($P$708*($B902+IF($R$17="Distrato",$I$38-1,0)),IF(AND($L$711=0,$P$708=0),"",$L$711-1),IF($R$17="Distrato",$E902,0)),MIN(AL$38,$D$19),$P$20))-SUM($P902:AK902)</f>
        <v>#VALUE!</v>
      </c>
      <c r="AM902" s="446" t="e">
        <f>IF(OR($B902="",MIN(AM$38,$D$19)&lt;MAX($P$708*($B902+IF($R$17="Distrato",$I$38-1,0)),IF(AND($L$711=0,$P$708=0),"",$L$711-1),IF($R$17="Distrato",$E902,0))),0,YEARFRAC(MAX($P$708*($B902+IF($R$17="Distrato",$I$38-1,0)),IF(AND($L$711=0,$P$708=0),"",$L$711-1),IF($R$17="Distrato",$E902,0)),MIN(AM$38,$D$19),$P$20))-SUM($P902:AL902)</f>
        <v>#VALUE!</v>
      </c>
      <c r="AN902" s="446" t="e">
        <f>IF(OR($B902="",MIN(AN$38,$D$19)&lt;MAX($P$708*($B902+IF($R$17="Distrato",$I$38-1,0)),IF(AND($L$711=0,$P$708=0),"",$L$711-1),IF($R$17="Distrato",$E902,0))),0,YEARFRAC(MAX($P$708*($B902+IF($R$17="Distrato",$I$38-1,0)),IF(AND($L$711=0,$P$708=0),"",$L$711-1),IF($R$17="Distrato",$E902,0)),MIN(AN$38,$D$19),$P$20))-SUM($P902:AM902)</f>
        <v>#VALUE!</v>
      </c>
      <c r="AO902" s="446" t="e">
        <f>IF(OR($B902="",MIN(AO$38,$D$19)&lt;MAX($P$708*($B902+IF($R$17="Distrato",$I$38-1,0)),IF(AND($L$711=0,$P$708=0),"",$L$711-1),IF($R$17="Distrato",$E902,0))),0,YEARFRAC(MAX($P$708*($B902+IF($R$17="Distrato",$I$38-1,0)),IF(AND($L$711=0,$P$708=0),"",$L$711-1),IF($R$17="Distrato",$E902,0)),MIN(AO$38,$D$19),$P$20))-SUM($P902:AN902)</f>
        <v>#VALUE!</v>
      </c>
      <c r="AP902" s="446" t="e">
        <f>IF(OR($B902="",MIN(AP$38,$D$19)&lt;MAX($P$708*($B902+IF($R$17="Distrato",$I$38-1,0)),IF(AND($L$711=0,$P$708=0),"",$L$711-1),IF($R$17="Distrato",$E902,0))),0,YEARFRAC(MAX($P$708*($B902+IF($R$17="Distrato",$I$38-1,0)),IF(AND($L$711=0,$P$708=0),"",$L$711-1),IF($R$17="Distrato",$E902,0)),MIN(AP$38,$D$19),$P$20))-SUM($P902:AO902)</f>
        <v>#VALUE!</v>
      </c>
      <c r="AQ902" s="446" t="e">
        <f>IF(OR($B902="",MIN(AQ$38,$D$19)&lt;MAX($P$708*($B902+IF($R$17="Distrato",$I$38-1,0)),IF(AND($L$711=0,$P$708=0),"",$L$711-1),IF($R$17="Distrato",$E902,0))),0,YEARFRAC(MAX($P$708*($B902+IF($R$17="Distrato",$I$38-1,0)),IF(AND($L$711=0,$P$708=0),"",$L$711-1),IF($R$17="Distrato",$E902,0)),MIN(AQ$38,$D$19),$P$20))-SUM($P902:AP902)</f>
        <v>#VALUE!</v>
      </c>
      <c r="AR902" s="446" t="e">
        <f>IF(OR($B902="",MIN(AR$38,$D$19)&lt;MAX($P$708*($B902+IF($R$17="Distrato",$I$38-1,0)),IF(AND($L$711=0,$P$708=0),"",$L$711-1),IF($R$17="Distrato",$E902,0))),0,YEARFRAC(MAX($P$708*($B902+IF($R$17="Distrato",$I$38-1,0)),IF(AND($L$711=0,$P$708=0),"",$L$711-1),IF($R$17="Distrato",$E902,0)),MIN(AR$38,$D$19),$P$20))-SUM($P902:AQ902)</f>
        <v>#VALUE!</v>
      </c>
      <c r="AS902" s="446" t="e">
        <f>IF(OR($B902="",MIN(AS$38,$D$19)&lt;MAX($P$708*($B902+IF($R$17="Distrato",$I$38-1,0)),IF(AND($L$711=0,$P$708=0),"",$L$711-1),IF($R$17="Distrato",$E902,0))),0,YEARFRAC(MAX($P$708*($B902+IF($R$17="Distrato",$I$38-1,0)),IF(AND($L$711=0,$P$708=0),"",$L$711-1),IF($R$17="Distrato",$E902,0)),MIN(AS$38,$D$19),$P$20))-SUM($P902:AR902)</f>
        <v>#VALUE!</v>
      </c>
      <c r="AT902" s="446" t="e">
        <f>IF(OR($B902="",MIN(AT$38,$D$19)&lt;MAX($P$708*($B902+IF($R$17="Distrato",$I$38-1,0)),IF(AND($L$711=0,$P$708=0),"",$L$711-1),IF($R$17="Distrato",$E902,0))),0,YEARFRAC(MAX($P$708*($B902+IF($R$17="Distrato",$I$38-1,0)),IF(AND($L$711=0,$P$708=0),"",$L$711-1),IF($R$17="Distrato",$E902,0)),MIN(AT$38,$D$19),$P$20))-SUM($P902:AS902)</f>
        <v>#VALUE!</v>
      </c>
      <c r="AU902" s="446" t="e">
        <f>IF(OR($B902="",MIN(AU$38,$D$19)&lt;MAX($P$708*($B902+IF($R$17="Distrato",$I$38-1,0)),IF(AND($L$711=0,$P$708=0),"",$L$711-1),IF($R$17="Distrato",$E902,0))),0,YEARFRAC(MAX($P$708*($B902+IF($R$17="Distrato",$I$38-1,0)),IF(AND($L$711=0,$P$708=0),"",$L$711-1),IF($R$17="Distrato",$E902,0)),MIN(AU$38,$D$19),$P$20))-SUM($P902:AT902)</f>
        <v>#VALUE!</v>
      </c>
      <c r="AV902" s="446" t="e">
        <f>IF(OR($B902="",MIN(AV$38,$D$19)&lt;MAX($P$708*($B902+IF($R$17="Distrato",$I$38-1,0)),IF(AND($L$711=0,$P$708=0),"",$L$711-1),IF($R$17="Distrato",$E902,0))),0,YEARFRAC(MAX($P$708*($B902+IF($R$17="Distrato",$I$38-1,0)),IF(AND($L$711=0,$P$708=0),"",$L$711-1),IF($R$17="Distrato",$E902,0)),MIN(AV$38,$D$19),$P$20))-SUM($P902:AU902)</f>
        <v>#VALUE!</v>
      </c>
      <c r="AW902" s="446" t="e">
        <f>IF(OR($B902="",MIN(AW$38,$D$19)&lt;MAX($P$708*($B902+IF($R$17="Distrato",$I$38-1,0)),IF(AND($L$711=0,$P$708=0),"",$L$711-1),IF($R$17="Distrato",$E902,0))),0,YEARFRAC(MAX($P$708*($B902+IF($R$17="Distrato",$I$38-1,0)),IF(AND($L$711=0,$P$708=0),"",$L$711-1),IF($R$17="Distrato",$E902,0)),MIN(AW$38,$D$19),$P$20))-SUM($P902:AV902)</f>
        <v>#VALUE!</v>
      </c>
      <c r="AX902" s="446" t="e">
        <f>IF(OR($B902="",MIN(AX$38,$D$19)&lt;MAX($P$708*($B902+IF($R$17="Distrato",$I$38-1,0)),IF(AND($L$711=0,$P$708=0),"",$L$711-1),IF($R$17="Distrato",$E902,0))),0,YEARFRAC(MAX($P$708*($B902+IF($R$17="Distrato",$I$38-1,0)),IF(AND($L$711=0,$P$708=0),"",$L$711-1),IF($R$17="Distrato",$E902,0)),MIN(AX$38,$D$19),$P$20))-SUM($P902:AW902)</f>
        <v>#VALUE!</v>
      </c>
      <c r="AY902" s="446" t="e">
        <f>IF(OR($B902="",MIN(AY$38,$D$19)&lt;MAX($P$708*($B902+IF($R$17="Distrato",$I$38-1,0)),IF(AND($L$711=0,$P$708=0),"",$L$711-1),IF($R$17="Distrato",$E902,0))),0,YEARFRAC(MAX($P$708*($B902+IF($R$17="Distrato",$I$38-1,0)),IF(AND($L$711=0,$P$708=0),"",$L$711-1),IF($R$17="Distrato",$E902,0)),MIN(AY$38,$D$19),$P$20))-SUM($P902:AX902)</f>
        <v>#VALUE!</v>
      </c>
      <c r="AZ902" s="446" t="e">
        <f>IF(OR($B902="",MIN(AZ$38,$D$19)&lt;MAX($P$708*($B902+IF($R$17="Distrato",$I$38-1,0)),IF(AND($L$711=0,$P$708=0),"",$L$711-1),IF($R$17="Distrato",$E902,0))),0,YEARFRAC(MAX($P$708*($B902+IF($R$17="Distrato",$I$38-1,0)),IF(AND($L$711=0,$P$708=0),"",$L$711-1),IF($R$17="Distrato",$E902,0)),MIN(AZ$38,$D$19),$P$20))-SUM($P902:AY902)</f>
        <v>#VALUE!</v>
      </c>
      <c r="BA902" s="446" t="e">
        <f>IF(OR($B902="",MIN(BA$38,$D$19)&lt;MAX($P$708*($B902+IF($R$17="Distrato",$I$38-1,0)),IF(AND($L$711=0,$P$708=0),"",$L$711-1),IF($R$17="Distrato",$E902,0))),0,YEARFRAC(MAX($P$708*($B902+IF($R$17="Distrato",$I$38-1,0)),IF(AND($L$711=0,$P$708=0),"",$L$711-1),IF($R$17="Distrato",$E902,0)),MIN(BA$38,$D$19),$P$20))-SUM($P902:AZ902)</f>
        <v>#VALUE!</v>
      </c>
      <c r="BB902" s="447"/>
    </row>
    <row r="903" spans="1:54" s="446" customFormat="1" ht="11.25" hidden="1" customHeight="1" x14ac:dyDescent="0.2">
      <c r="A903" s="235"/>
      <c r="B903" s="236"/>
      <c r="C903" s="29" t="str">
        <f>IF(B903="","",IF($L$709=$BL$25,VLOOKUP(DATE(YEAR($D$19),MONTH($D$19)-1,1),ÍNDICES!$A:$DE,HLOOKUP($BL$25,ÍNDICES!$B$3:$T$4,2)+11)-VLOOKUP(B903,ÍNDICES!$A:$DE,HLOOKUP($BL$25,ÍNDICES!$B$3:$T$4,2)+11)+1%,IF(C$712=$W$26,$J$35,IF(ISERROR(IF(B903&gt;$D$19,1,VLOOKUP(DATE(YEAR(B903),MONTH(B903)+IF($C$709=$S$23,1,0),1),ÍNDICES!$A:$DE,$Z$709+1))),"",IF(B903&gt;$D$19,1,VLOOKUP(DATE(YEAR(B903),MONTH(B903)+IF($C$709=$S$23,1,0),1),ÍNDICES!$A:$DE,$Z$709+1))))))</f>
        <v/>
      </c>
      <c r="D903" s="155"/>
      <c r="E903" s="88"/>
      <c r="F903" s="88"/>
      <c r="G903" s="88"/>
      <c r="H903" s="118"/>
      <c r="I903" s="182">
        <f t="shared" si="129"/>
        <v>0</v>
      </c>
      <c r="J903" s="20">
        <f t="shared" ca="1" si="130"/>
        <v>0</v>
      </c>
      <c r="K903" s="5">
        <f t="shared" ca="1" si="131"/>
        <v>0</v>
      </c>
      <c r="L903" s="61">
        <f t="shared" ca="1" si="132"/>
        <v>0</v>
      </c>
      <c r="M903" s="64">
        <f t="shared" si="133"/>
        <v>0</v>
      </c>
      <c r="N903" s="151"/>
      <c r="O903" s="5">
        <f t="shared" ca="1" si="134"/>
        <v>0</v>
      </c>
      <c r="P903" s="446" t="e">
        <f t="shared" si="135"/>
        <v>#VALUE!</v>
      </c>
      <c r="Q903" s="446" t="e">
        <f>IF(OR($B903="",MIN(Q$38,$D$19)&lt;MAX($P$708*($B903+IF($R$17="Distrato",$I$38-1,0)),IF(AND($L$711=0,$P$708=0),"",$L$711-1),IF($R$17="Distrato",$E903,0))),0,YEARFRAC(MAX($P$708*($B903+IF($R$17="Distrato",$I$38-1,0)),IF(AND($L$711=0,$P$708=0),"",$L$711-1),IF($R$17="Distrato",$E903,0)),MIN(Q$38,$D$19),$P$20))-SUM($P903:P903)</f>
        <v>#VALUE!</v>
      </c>
      <c r="R903" s="446" t="e">
        <f>IF(OR($B903="",MIN(R$38,$D$19)&lt;MAX($P$708*($B903+IF($R$17="Distrato",$I$38-1,0)),IF(AND($L$711=0,$P$708=0),"",$L$711-1),IF($R$17="Distrato",$E903,0))),0,YEARFRAC(MAX($P$708*($B903+IF($R$17="Distrato",$I$38-1,0)),IF(AND($L$711=0,$P$708=0),"",$L$711-1),IF($R$17="Distrato",$E903,0)),MIN(R$38,$D$19),$P$20))-SUM($P903:Q903)</f>
        <v>#VALUE!</v>
      </c>
      <c r="S903" s="446" t="e">
        <f>IF(OR($B903="",MIN(S$38,$D$19)&lt;MAX($P$708*($B903+IF($R$17="Distrato",$I$38-1,0)),IF(AND($L$711=0,$P$708=0),"",$L$711-1),IF($R$17="Distrato",$E903,0))),0,YEARFRAC(MAX($P$708*($B903+IF($R$17="Distrato",$I$38-1,0)),IF(AND($L$711=0,$P$708=0),"",$L$711-1),IF($R$17="Distrato",$E903,0)),MIN(S$38,$D$19),$P$20))-SUM($P903:R903)</f>
        <v>#VALUE!</v>
      </c>
      <c r="T903" s="446" t="e">
        <f>IF(OR($B903="",MIN(T$38,$D$19)&lt;MAX($P$708*($B903+IF($R$17="Distrato",$I$38-1,0)),IF(AND($L$711=0,$P$708=0),"",$L$711-1),IF($R$17="Distrato",$E903,0))),0,YEARFRAC(MAX($P$708*($B903+IF($R$17="Distrato",$I$38-1,0)),IF(AND($L$711=0,$P$708=0),"",$L$711-1),IF($R$17="Distrato",$E903,0)),MIN(T$38,$D$19),$P$20))-SUM($P903:S903)</f>
        <v>#VALUE!</v>
      </c>
      <c r="U903" s="446" t="e">
        <f>IF(OR($B903="",MIN(U$38,$D$19)&lt;MAX($P$708*($B903+IF($R$17="Distrato",$I$38-1,0)),IF(AND($L$711=0,$P$708=0),"",$L$711-1),IF($R$17="Distrato",$E903,0))),0,YEARFRAC(MAX($P$708*($B903+IF($R$17="Distrato",$I$38-1,0)),IF(AND($L$711=0,$P$708=0),"",$L$711-1),IF($R$17="Distrato",$E903,0)),MIN(U$38,$D$19),$P$20))-SUM($P903:T903)</f>
        <v>#VALUE!</v>
      </c>
      <c r="V903" s="446" t="e">
        <f>IF(OR($B903="",MIN(V$38,$D$19)&lt;MAX($P$708*($B903+IF($R$17="Distrato",$I$38-1,0)),IF(AND($L$711=0,$P$708=0),"",$L$711-1),IF($R$17="Distrato",$E903,0))),0,YEARFRAC(MAX($P$708*($B903+IF($R$17="Distrato",$I$38-1,0)),IF(AND($L$711=0,$P$708=0),"",$L$711-1),IF($R$17="Distrato",$E903,0)),MIN(V$38,$D$19),$P$20))-SUM($P903:U903)</f>
        <v>#VALUE!</v>
      </c>
      <c r="W903" s="446" t="e">
        <f>IF(OR($B903="",MIN(W$38,$D$19)&lt;MAX($P$708*($B903+IF($R$17="Distrato",$I$38-1,0)),IF(AND($L$711=0,$P$708=0),"",$L$711-1),IF($R$17="Distrato",$E903,0))),0,YEARFRAC(MAX($P$708*($B903+IF($R$17="Distrato",$I$38-1,0)),IF(AND($L$711=0,$P$708=0),"",$L$711-1),IF($R$17="Distrato",$E903,0)),MIN(W$38,$D$19),$P$20))-SUM($P903:V903)</f>
        <v>#VALUE!</v>
      </c>
      <c r="X903" s="446" t="e">
        <f>IF(OR($B903="",MIN(X$38,$D$19)&lt;MAX($P$708*($B903+IF($R$17="Distrato",$I$38-1,0)),IF(AND($L$711=0,$P$708=0),"",$L$711-1),IF($R$17="Distrato",$E903,0))),0,YEARFRAC(MAX($P$708*($B903+IF($R$17="Distrato",$I$38-1,0)),IF(AND($L$711=0,$P$708=0),"",$L$711-1),IF($R$17="Distrato",$E903,0)),MIN(X$38,$D$19),$P$20))-SUM($P903:W903)</f>
        <v>#VALUE!</v>
      </c>
      <c r="Y903" s="446" t="e">
        <f>IF(OR($B903="",MIN(Y$38,$D$19)&lt;MAX($P$708*($B903+IF($R$17="Distrato",$I$38-1,0)),IF(AND($L$711=0,$P$708=0),"",$L$711-1),IF($R$17="Distrato",$E903,0))),0,YEARFRAC(MAX($P$708*($B903+IF($R$17="Distrato",$I$38-1,0)),IF(AND($L$711=0,$P$708=0),"",$L$711-1),IF($R$17="Distrato",$E903,0)),MIN(Y$38,$D$19),$P$20))-SUM($P903:X903)</f>
        <v>#VALUE!</v>
      </c>
      <c r="Z903" s="446" t="e">
        <f>IF(OR($B903="",MIN(Z$38,$D$19)&lt;MAX($P$708*($B903+IF($R$17="Distrato",$I$38-1,0)),IF(AND($L$711=0,$P$708=0),"",$L$711-1),IF($R$17="Distrato",$E903,0))),0,YEARFRAC(MAX($P$708*($B903+IF($R$17="Distrato",$I$38-1,0)),IF(AND($L$711=0,$P$708=0),"",$L$711-1),IF($R$17="Distrato",$E903,0)),MIN(Z$38,$D$19),$P$20))-SUM($P903:Y903)</f>
        <v>#VALUE!</v>
      </c>
      <c r="AA903" s="446" t="e">
        <f>IF(OR($B903="",MIN(AA$38,$D$19)&lt;MAX($P$708*($B903+IF($R$17="Distrato",$I$38-1,0)),IF(AND($L$711=0,$P$708=0),"",$L$711-1),IF($R$17="Distrato",$E903,0))),0,YEARFRAC(MAX($P$708*($B903+IF($R$17="Distrato",$I$38-1,0)),IF(AND($L$711=0,$P$708=0),"",$L$711-1),IF($R$17="Distrato",$E903,0)),MIN(AA$38,$D$19),$P$20))-SUM($P903:Z903)</f>
        <v>#VALUE!</v>
      </c>
      <c r="AB903" s="446" t="e">
        <f>IF(OR($B903="",MIN(AB$38,$D$19)&lt;MAX($P$708*($B903+IF($R$17="Distrato",$I$38-1,0)),IF(AND($L$711=0,$P$708=0),"",$L$711-1),IF($R$17="Distrato",$E903,0))),0,YEARFRAC(MAX($P$708*($B903+IF($R$17="Distrato",$I$38-1,0)),IF(AND($L$711=0,$P$708=0),"",$L$711-1),IF($R$17="Distrato",$E903,0)),MIN(AB$38,$D$19),$P$20))-SUM($P903:AA903)</f>
        <v>#VALUE!</v>
      </c>
      <c r="AC903" s="446" t="e">
        <f>IF(OR($B903="",MIN(AC$38,$D$19)&lt;MAX($P$708*($B903+IF($R$17="Distrato",$I$38-1,0)),IF(AND($L$711=0,$P$708=0),"",$L$711-1),IF($R$17="Distrato",$E903,0))),0,YEARFRAC(MAX($P$708*($B903+IF($R$17="Distrato",$I$38-1,0)),IF(AND($L$711=0,$P$708=0),"",$L$711-1),IF($R$17="Distrato",$E903,0)),MIN(AC$38,$D$19),$P$20))-SUM($P903:AB903)</f>
        <v>#VALUE!</v>
      </c>
      <c r="AD903" s="446" t="e">
        <f>IF(OR($B903="",MIN(AD$38,$D$19)&lt;MAX($P$708*($B903+IF($R$17="Distrato",$I$38-1,0)),IF(AND($L$711=0,$P$708=0),"",$L$711-1),IF($R$17="Distrato",$E903,0))),0,YEARFRAC(MAX($P$708*($B903+IF($R$17="Distrato",$I$38-1,0)),IF(AND($L$711=0,$P$708=0),"",$L$711-1),IF($R$17="Distrato",$E903,0)),MIN(AD$38,$D$19),$P$20))-SUM($P903:AC903)</f>
        <v>#VALUE!</v>
      </c>
      <c r="AE903" s="446" t="e">
        <f>IF(OR($B903="",MIN(AE$38,$D$19)&lt;MAX($P$708*($B903+IF($R$17="Distrato",$I$38-1,0)),IF(AND($L$711=0,$P$708=0),"",$L$711-1),IF($R$17="Distrato",$E903,0))),0,YEARFRAC(MAX($P$708*($B903+IF($R$17="Distrato",$I$38-1,0)),IF(AND($L$711=0,$P$708=0),"",$L$711-1),IF($R$17="Distrato",$E903,0)),MIN(AE$38,$D$19),$P$20))-SUM($P903:AD903)</f>
        <v>#VALUE!</v>
      </c>
      <c r="AF903" s="446" t="e">
        <f>IF(OR($B903="",MIN(AF$38,$D$19)&lt;MAX($P$708*($B903+IF($R$17="Distrato",$I$38-1,0)),IF(AND($L$711=0,$P$708=0),"",$L$711-1),IF($R$17="Distrato",$E903,0))),0,YEARFRAC(MAX($P$708*($B903+IF($R$17="Distrato",$I$38-1,0)),IF(AND($L$711=0,$P$708=0),"",$L$711-1),IF($R$17="Distrato",$E903,0)),MIN(AF$38,$D$19),$P$20))-SUM($P903:AE903)</f>
        <v>#VALUE!</v>
      </c>
      <c r="AG903" s="446" t="e">
        <f>IF(OR($B903="",MIN(AG$38,$D$19)&lt;MAX($P$708*($B903+IF($R$17="Distrato",$I$38-1,0)),IF(AND($L$711=0,$P$708=0),"",$L$711-1),IF($R$17="Distrato",$E903,0))),0,YEARFRAC(MAX($P$708*($B903+IF($R$17="Distrato",$I$38-1,0)),IF(AND($L$711=0,$P$708=0),"",$L$711-1),IF($R$17="Distrato",$E903,0)),MIN(AG$38,$D$19),$P$20))-SUM($P903:AF903)</f>
        <v>#VALUE!</v>
      </c>
      <c r="AH903" s="446" t="e">
        <f>IF(OR($B903="",MIN(AH$38,$D$19)&lt;MAX($P$708*($B903+IF($R$17="Distrato",$I$38-1,0)),IF(AND($L$711=0,$P$708=0),"",$L$711-1),IF($R$17="Distrato",$E903,0))),0,YEARFRAC(MAX($P$708*($B903+IF($R$17="Distrato",$I$38-1,0)),IF(AND($L$711=0,$P$708=0),"",$L$711-1),IF($R$17="Distrato",$E903,0)),MIN(AH$38,$D$19),$P$20))-SUM($P903:AG903)</f>
        <v>#VALUE!</v>
      </c>
      <c r="AI903" s="446" t="e">
        <f>IF(OR($B903="",MIN(AI$38,$D$19)&lt;MAX($P$708*($B903+IF($R$17="Distrato",$I$38-1,0)),IF(AND($L$711=0,$P$708=0),"",$L$711-1),IF($R$17="Distrato",$E903,0))),0,YEARFRAC(MAX($P$708*($B903+IF($R$17="Distrato",$I$38-1,0)),IF(AND($L$711=0,$P$708=0),"",$L$711-1),IF($R$17="Distrato",$E903,0)),MIN(AI$38,$D$19),$P$20))-SUM($P903:AH903)</f>
        <v>#VALUE!</v>
      </c>
      <c r="AJ903" s="446" t="e">
        <f>IF(OR($B903="",MIN(AJ$38,$D$19)&lt;MAX($P$708*($B903+IF($R$17="Distrato",$I$38-1,0)),IF(AND($L$711=0,$P$708=0),"",$L$711-1),IF($R$17="Distrato",$E903,0))),0,YEARFRAC(MAX($P$708*($B903+IF($R$17="Distrato",$I$38-1,0)),IF(AND($L$711=0,$P$708=0),"",$L$711-1),IF($R$17="Distrato",$E903,0)),MIN(AJ$38,$D$19),$P$20))-SUM($P903:AI903)</f>
        <v>#VALUE!</v>
      </c>
      <c r="AK903" s="446" t="e">
        <f>IF(OR($B903="",MIN(AK$38,$D$19)&lt;MAX($P$708*($B903+IF($R$17="Distrato",$I$38-1,0)),IF(AND($L$711=0,$P$708=0),"",$L$711-1),IF($R$17="Distrato",$E903,0))),0,YEARFRAC(MAX($P$708*($B903+IF($R$17="Distrato",$I$38-1,0)),IF(AND($L$711=0,$P$708=0),"",$L$711-1),IF($R$17="Distrato",$E903,0)),MIN(AK$38,$D$19),$P$20))-SUM($P903:AJ903)</f>
        <v>#VALUE!</v>
      </c>
      <c r="AL903" s="446" t="e">
        <f>IF(OR($B903="",MIN(AL$38,$D$19)&lt;MAX($P$708*($B903+IF($R$17="Distrato",$I$38-1,0)),IF(AND($L$711=0,$P$708=0),"",$L$711-1),IF($R$17="Distrato",$E903,0))),0,YEARFRAC(MAX($P$708*($B903+IF($R$17="Distrato",$I$38-1,0)),IF(AND($L$711=0,$P$708=0),"",$L$711-1),IF($R$17="Distrato",$E903,0)),MIN(AL$38,$D$19),$P$20))-SUM($P903:AK903)</f>
        <v>#VALUE!</v>
      </c>
      <c r="AM903" s="446" t="e">
        <f>IF(OR($B903="",MIN(AM$38,$D$19)&lt;MAX($P$708*($B903+IF($R$17="Distrato",$I$38-1,0)),IF(AND($L$711=0,$P$708=0),"",$L$711-1),IF($R$17="Distrato",$E903,0))),0,YEARFRAC(MAX($P$708*($B903+IF($R$17="Distrato",$I$38-1,0)),IF(AND($L$711=0,$P$708=0),"",$L$711-1),IF($R$17="Distrato",$E903,0)),MIN(AM$38,$D$19),$P$20))-SUM($P903:AL903)</f>
        <v>#VALUE!</v>
      </c>
      <c r="AN903" s="446" t="e">
        <f>IF(OR($B903="",MIN(AN$38,$D$19)&lt;MAX($P$708*($B903+IF($R$17="Distrato",$I$38-1,0)),IF(AND($L$711=0,$P$708=0),"",$L$711-1),IF($R$17="Distrato",$E903,0))),0,YEARFRAC(MAX($P$708*($B903+IF($R$17="Distrato",$I$38-1,0)),IF(AND($L$711=0,$P$708=0),"",$L$711-1),IF($R$17="Distrato",$E903,0)),MIN(AN$38,$D$19),$P$20))-SUM($P903:AM903)</f>
        <v>#VALUE!</v>
      </c>
      <c r="AO903" s="446" t="e">
        <f>IF(OR($B903="",MIN(AO$38,$D$19)&lt;MAX($P$708*($B903+IF($R$17="Distrato",$I$38-1,0)),IF(AND($L$711=0,$P$708=0),"",$L$711-1),IF($R$17="Distrato",$E903,0))),0,YEARFRAC(MAX($P$708*($B903+IF($R$17="Distrato",$I$38-1,0)),IF(AND($L$711=0,$P$708=0),"",$L$711-1),IF($R$17="Distrato",$E903,0)),MIN(AO$38,$D$19),$P$20))-SUM($P903:AN903)</f>
        <v>#VALUE!</v>
      </c>
      <c r="AP903" s="446" t="e">
        <f>IF(OR($B903="",MIN(AP$38,$D$19)&lt;MAX($P$708*($B903+IF($R$17="Distrato",$I$38-1,0)),IF(AND($L$711=0,$P$708=0),"",$L$711-1),IF($R$17="Distrato",$E903,0))),0,YEARFRAC(MAX($P$708*($B903+IF($R$17="Distrato",$I$38-1,0)),IF(AND($L$711=0,$P$708=0),"",$L$711-1),IF($R$17="Distrato",$E903,0)),MIN(AP$38,$D$19),$P$20))-SUM($P903:AO903)</f>
        <v>#VALUE!</v>
      </c>
      <c r="AQ903" s="446" t="e">
        <f>IF(OR($B903="",MIN(AQ$38,$D$19)&lt;MAX($P$708*($B903+IF($R$17="Distrato",$I$38-1,0)),IF(AND($L$711=0,$P$708=0),"",$L$711-1),IF($R$17="Distrato",$E903,0))),0,YEARFRAC(MAX($P$708*($B903+IF($R$17="Distrato",$I$38-1,0)),IF(AND($L$711=0,$P$708=0),"",$L$711-1),IF($R$17="Distrato",$E903,0)),MIN(AQ$38,$D$19),$P$20))-SUM($P903:AP903)</f>
        <v>#VALUE!</v>
      </c>
      <c r="AR903" s="446" t="e">
        <f>IF(OR($B903="",MIN(AR$38,$D$19)&lt;MAX($P$708*($B903+IF($R$17="Distrato",$I$38-1,0)),IF(AND($L$711=0,$P$708=0),"",$L$711-1),IF($R$17="Distrato",$E903,0))),0,YEARFRAC(MAX($P$708*($B903+IF($R$17="Distrato",$I$38-1,0)),IF(AND($L$711=0,$P$708=0),"",$L$711-1),IF($R$17="Distrato",$E903,0)),MIN(AR$38,$D$19),$P$20))-SUM($P903:AQ903)</f>
        <v>#VALUE!</v>
      </c>
      <c r="AS903" s="446" t="e">
        <f>IF(OR($B903="",MIN(AS$38,$D$19)&lt;MAX($P$708*($B903+IF($R$17="Distrato",$I$38-1,0)),IF(AND($L$711=0,$P$708=0),"",$L$711-1),IF($R$17="Distrato",$E903,0))),0,YEARFRAC(MAX($P$708*($B903+IF($R$17="Distrato",$I$38-1,0)),IF(AND($L$711=0,$P$708=0),"",$L$711-1),IF($R$17="Distrato",$E903,0)),MIN(AS$38,$D$19),$P$20))-SUM($P903:AR903)</f>
        <v>#VALUE!</v>
      </c>
      <c r="AT903" s="446" t="e">
        <f>IF(OR($B903="",MIN(AT$38,$D$19)&lt;MAX($P$708*($B903+IF($R$17="Distrato",$I$38-1,0)),IF(AND($L$711=0,$P$708=0),"",$L$711-1),IF($R$17="Distrato",$E903,0))),0,YEARFRAC(MAX($P$708*($B903+IF($R$17="Distrato",$I$38-1,0)),IF(AND($L$711=0,$P$708=0),"",$L$711-1),IF($R$17="Distrato",$E903,0)),MIN(AT$38,$D$19),$P$20))-SUM($P903:AS903)</f>
        <v>#VALUE!</v>
      </c>
      <c r="AU903" s="446" t="e">
        <f>IF(OR($B903="",MIN(AU$38,$D$19)&lt;MAX($P$708*($B903+IF($R$17="Distrato",$I$38-1,0)),IF(AND($L$711=0,$P$708=0),"",$L$711-1),IF($R$17="Distrato",$E903,0))),0,YEARFRAC(MAX($P$708*($B903+IF($R$17="Distrato",$I$38-1,0)),IF(AND($L$711=0,$P$708=0),"",$L$711-1),IF($R$17="Distrato",$E903,0)),MIN(AU$38,$D$19),$P$20))-SUM($P903:AT903)</f>
        <v>#VALUE!</v>
      </c>
      <c r="AV903" s="446" t="e">
        <f>IF(OR($B903="",MIN(AV$38,$D$19)&lt;MAX($P$708*($B903+IF($R$17="Distrato",$I$38-1,0)),IF(AND($L$711=0,$P$708=0),"",$L$711-1),IF($R$17="Distrato",$E903,0))),0,YEARFRAC(MAX($P$708*($B903+IF($R$17="Distrato",$I$38-1,0)),IF(AND($L$711=0,$P$708=0),"",$L$711-1),IF($R$17="Distrato",$E903,0)),MIN(AV$38,$D$19),$P$20))-SUM($P903:AU903)</f>
        <v>#VALUE!</v>
      </c>
      <c r="AW903" s="446" t="e">
        <f>IF(OR($B903="",MIN(AW$38,$D$19)&lt;MAX($P$708*($B903+IF($R$17="Distrato",$I$38-1,0)),IF(AND($L$711=0,$P$708=0),"",$L$711-1),IF($R$17="Distrato",$E903,0))),0,YEARFRAC(MAX($P$708*($B903+IF($R$17="Distrato",$I$38-1,0)),IF(AND($L$711=0,$P$708=0),"",$L$711-1),IF($R$17="Distrato",$E903,0)),MIN(AW$38,$D$19),$P$20))-SUM($P903:AV903)</f>
        <v>#VALUE!</v>
      </c>
      <c r="AX903" s="446" t="e">
        <f>IF(OR($B903="",MIN(AX$38,$D$19)&lt;MAX($P$708*($B903+IF($R$17="Distrato",$I$38-1,0)),IF(AND($L$711=0,$P$708=0),"",$L$711-1),IF($R$17="Distrato",$E903,0))),0,YEARFRAC(MAX($P$708*($B903+IF($R$17="Distrato",$I$38-1,0)),IF(AND($L$711=0,$P$708=0),"",$L$711-1),IF($R$17="Distrato",$E903,0)),MIN(AX$38,$D$19),$P$20))-SUM($P903:AW903)</f>
        <v>#VALUE!</v>
      </c>
      <c r="AY903" s="446" t="e">
        <f>IF(OR($B903="",MIN(AY$38,$D$19)&lt;MAX($P$708*($B903+IF($R$17="Distrato",$I$38-1,0)),IF(AND($L$711=0,$P$708=0),"",$L$711-1),IF($R$17="Distrato",$E903,0))),0,YEARFRAC(MAX($P$708*($B903+IF($R$17="Distrato",$I$38-1,0)),IF(AND($L$711=0,$P$708=0),"",$L$711-1),IF($R$17="Distrato",$E903,0)),MIN(AY$38,$D$19),$P$20))-SUM($P903:AX903)</f>
        <v>#VALUE!</v>
      </c>
      <c r="AZ903" s="446" t="e">
        <f>IF(OR($B903="",MIN(AZ$38,$D$19)&lt;MAX($P$708*($B903+IF($R$17="Distrato",$I$38-1,0)),IF(AND($L$711=0,$P$708=0),"",$L$711-1),IF($R$17="Distrato",$E903,0))),0,YEARFRAC(MAX($P$708*($B903+IF($R$17="Distrato",$I$38-1,0)),IF(AND($L$711=0,$P$708=0),"",$L$711-1),IF($R$17="Distrato",$E903,0)),MIN(AZ$38,$D$19),$P$20))-SUM($P903:AY903)</f>
        <v>#VALUE!</v>
      </c>
      <c r="BA903" s="446" t="e">
        <f>IF(OR($B903="",MIN(BA$38,$D$19)&lt;MAX($P$708*($B903+IF($R$17="Distrato",$I$38-1,0)),IF(AND($L$711=0,$P$708=0),"",$L$711-1),IF($R$17="Distrato",$E903,0))),0,YEARFRAC(MAX($P$708*($B903+IF($R$17="Distrato",$I$38-1,0)),IF(AND($L$711=0,$P$708=0),"",$L$711-1),IF($R$17="Distrato",$E903,0)),MIN(BA$38,$D$19),$P$20))-SUM($P903:AZ903)</f>
        <v>#VALUE!</v>
      </c>
      <c r="BB903" s="447"/>
    </row>
    <row r="904" spans="1:54" s="446" customFormat="1" ht="11.25" hidden="1" customHeight="1" x14ac:dyDescent="0.2">
      <c r="A904" s="235"/>
      <c r="B904" s="236"/>
      <c r="C904" s="29" t="str">
        <f>IF(B904="","",IF($L$709=$BL$25,VLOOKUP(DATE(YEAR($D$19),MONTH($D$19)-1,1),ÍNDICES!$A:$DE,HLOOKUP($BL$25,ÍNDICES!$B$3:$T$4,2)+11)-VLOOKUP(B904,ÍNDICES!$A:$DE,HLOOKUP($BL$25,ÍNDICES!$B$3:$T$4,2)+11)+1%,IF(C$712=$W$26,$J$35,IF(ISERROR(IF(B904&gt;$D$19,1,VLOOKUP(DATE(YEAR(B904),MONTH(B904)+IF($C$709=$S$23,1,0),1),ÍNDICES!$A:$DE,$Z$709+1))),"",IF(B904&gt;$D$19,1,VLOOKUP(DATE(YEAR(B904),MONTH(B904)+IF($C$709=$S$23,1,0),1),ÍNDICES!$A:$DE,$Z$709+1))))))</f>
        <v/>
      </c>
      <c r="D904" s="155"/>
      <c r="E904" s="88"/>
      <c r="F904" s="88"/>
      <c r="G904" s="88"/>
      <c r="H904" s="118"/>
      <c r="I904" s="182">
        <f t="shared" si="129"/>
        <v>0</v>
      </c>
      <c r="J904" s="20">
        <f t="shared" ca="1" si="130"/>
        <v>0</v>
      </c>
      <c r="K904" s="5">
        <f t="shared" ca="1" si="131"/>
        <v>0</v>
      </c>
      <c r="L904" s="61">
        <f t="shared" ca="1" si="132"/>
        <v>0</v>
      </c>
      <c r="M904" s="64">
        <f t="shared" si="133"/>
        <v>0</v>
      </c>
      <c r="N904" s="151"/>
      <c r="O904" s="5">
        <f t="shared" ca="1" si="134"/>
        <v>0</v>
      </c>
      <c r="P904" s="446" t="e">
        <f t="shared" si="135"/>
        <v>#VALUE!</v>
      </c>
      <c r="Q904" s="446" t="e">
        <f>IF(OR($B904="",MIN(Q$38,$D$19)&lt;MAX($P$708*($B904+IF($R$17="Distrato",$I$38-1,0)),IF(AND($L$711=0,$P$708=0),"",$L$711-1),IF($R$17="Distrato",$E904,0))),0,YEARFRAC(MAX($P$708*($B904+IF($R$17="Distrato",$I$38-1,0)),IF(AND($L$711=0,$P$708=0),"",$L$711-1),IF($R$17="Distrato",$E904,0)),MIN(Q$38,$D$19),$P$20))-SUM($P904:P904)</f>
        <v>#VALUE!</v>
      </c>
      <c r="R904" s="446" t="e">
        <f>IF(OR($B904="",MIN(R$38,$D$19)&lt;MAX($P$708*($B904+IF($R$17="Distrato",$I$38-1,0)),IF(AND($L$711=0,$P$708=0),"",$L$711-1),IF($R$17="Distrato",$E904,0))),0,YEARFRAC(MAX($P$708*($B904+IF($R$17="Distrato",$I$38-1,0)),IF(AND($L$711=0,$P$708=0),"",$L$711-1),IF($R$17="Distrato",$E904,0)),MIN(R$38,$D$19),$P$20))-SUM($P904:Q904)</f>
        <v>#VALUE!</v>
      </c>
      <c r="S904" s="446" t="e">
        <f>IF(OR($B904="",MIN(S$38,$D$19)&lt;MAX($P$708*($B904+IF($R$17="Distrato",$I$38-1,0)),IF(AND($L$711=0,$P$708=0),"",$L$711-1),IF($R$17="Distrato",$E904,0))),0,YEARFRAC(MAX($P$708*($B904+IF($R$17="Distrato",$I$38-1,0)),IF(AND($L$711=0,$P$708=0),"",$L$711-1),IF($R$17="Distrato",$E904,0)),MIN(S$38,$D$19),$P$20))-SUM($P904:R904)</f>
        <v>#VALUE!</v>
      </c>
      <c r="T904" s="446" t="e">
        <f>IF(OR($B904="",MIN(T$38,$D$19)&lt;MAX($P$708*($B904+IF($R$17="Distrato",$I$38-1,0)),IF(AND($L$711=0,$P$708=0),"",$L$711-1),IF($R$17="Distrato",$E904,0))),0,YEARFRAC(MAX($P$708*($B904+IF($R$17="Distrato",$I$38-1,0)),IF(AND($L$711=0,$P$708=0),"",$L$711-1),IF($R$17="Distrato",$E904,0)),MIN(T$38,$D$19),$P$20))-SUM($P904:S904)</f>
        <v>#VALUE!</v>
      </c>
      <c r="U904" s="446" t="e">
        <f>IF(OR($B904="",MIN(U$38,$D$19)&lt;MAX($P$708*($B904+IF($R$17="Distrato",$I$38-1,0)),IF(AND($L$711=0,$P$708=0),"",$L$711-1),IF($R$17="Distrato",$E904,0))),0,YEARFRAC(MAX($P$708*($B904+IF($R$17="Distrato",$I$38-1,0)),IF(AND($L$711=0,$P$708=0),"",$L$711-1),IF($R$17="Distrato",$E904,0)),MIN(U$38,$D$19),$P$20))-SUM($P904:T904)</f>
        <v>#VALUE!</v>
      </c>
      <c r="V904" s="446" t="e">
        <f>IF(OR($B904="",MIN(V$38,$D$19)&lt;MAX($P$708*($B904+IF($R$17="Distrato",$I$38-1,0)),IF(AND($L$711=0,$P$708=0),"",$L$711-1),IF($R$17="Distrato",$E904,0))),0,YEARFRAC(MAX($P$708*($B904+IF($R$17="Distrato",$I$38-1,0)),IF(AND($L$711=0,$P$708=0),"",$L$711-1),IF($R$17="Distrato",$E904,0)),MIN(V$38,$D$19),$P$20))-SUM($P904:U904)</f>
        <v>#VALUE!</v>
      </c>
      <c r="W904" s="446" t="e">
        <f>IF(OR($B904="",MIN(W$38,$D$19)&lt;MAX($P$708*($B904+IF($R$17="Distrato",$I$38-1,0)),IF(AND($L$711=0,$P$708=0),"",$L$711-1),IF($R$17="Distrato",$E904,0))),0,YEARFRAC(MAX($P$708*($B904+IF($R$17="Distrato",$I$38-1,0)),IF(AND($L$711=0,$P$708=0),"",$L$711-1),IF($R$17="Distrato",$E904,0)),MIN(W$38,$D$19),$P$20))-SUM($P904:V904)</f>
        <v>#VALUE!</v>
      </c>
      <c r="X904" s="446" t="e">
        <f>IF(OR($B904="",MIN(X$38,$D$19)&lt;MAX($P$708*($B904+IF($R$17="Distrato",$I$38-1,0)),IF(AND($L$711=0,$P$708=0),"",$L$711-1),IF($R$17="Distrato",$E904,0))),0,YEARFRAC(MAX($P$708*($B904+IF($R$17="Distrato",$I$38-1,0)),IF(AND($L$711=0,$P$708=0),"",$L$711-1),IF($R$17="Distrato",$E904,0)),MIN(X$38,$D$19),$P$20))-SUM($P904:W904)</f>
        <v>#VALUE!</v>
      </c>
      <c r="Y904" s="446" t="e">
        <f>IF(OR($B904="",MIN(Y$38,$D$19)&lt;MAX($P$708*($B904+IF($R$17="Distrato",$I$38-1,0)),IF(AND($L$711=0,$P$708=0),"",$L$711-1),IF($R$17="Distrato",$E904,0))),0,YEARFRAC(MAX($P$708*($B904+IF($R$17="Distrato",$I$38-1,0)),IF(AND($L$711=0,$P$708=0),"",$L$711-1),IF($R$17="Distrato",$E904,0)),MIN(Y$38,$D$19),$P$20))-SUM($P904:X904)</f>
        <v>#VALUE!</v>
      </c>
      <c r="Z904" s="446" t="e">
        <f>IF(OR($B904="",MIN(Z$38,$D$19)&lt;MAX($P$708*($B904+IF($R$17="Distrato",$I$38-1,0)),IF(AND($L$711=0,$P$708=0),"",$L$711-1),IF($R$17="Distrato",$E904,0))),0,YEARFRAC(MAX($P$708*($B904+IF($R$17="Distrato",$I$38-1,0)),IF(AND($L$711=0,$P$708=0),"",$L$711-1),IF($R$17="Distrato",$E904,0)),MIN(Z$38,$D$19),$P$20))-SUM($P904:Y904)</f>
        <v>#VALUE!</v>
      </c>
      <c r="AA904" s="446" t="e">
        <f>IF(OR($B904="",MIN(AA$38,$D$19)&lt;MAX($P$708*($B904+IF($R$17="Distrato",$I$38-1,0)),IF(AND($L$711=0,$P$708=0),"",$L$711-1),IF($R$17="Distrato",$E904,0))),0,YEARFRAC(MAX($P$708*($B904+IF($R$17="Distrato",$I$38-1,0)),IF(AND($L$711=0,$P$708=0),"",$L$711-1),IF($R$17="Distrato",$E904,0)),MIN(AA$38,$D$19),$P$20))-SUM($P904:Z904)</f>
        <v>#VALUE!</v>
      </c>
      <c r="AB904" s="446" t="e">
        <f>IF(OR($B904="",MIN(AB$38,$D$19)&lt;MAX($P$708*($B904+IF($R$17="Distrato",$I$38-1,0)),IF(AND($L$711=0,$P$708=0),"",$L$711-1),IF($R$17="Distrato",$E904,0))),0,YEARFRAC(MAX($P$708*($B904+IF($R$17="Distrato",$I$38-1,0)),IF(AND($L$711=0,$P$708=0),"",$L$711-1),IF($R$17="Distrato",$E904,0)),MIN(AB$38,$D$19),$P$20))-SUM($P904:AA904)</f>
        <v>#VALUE!</v>
      </c>
      <c r="AC904" s="446" t="e">
        <f>IF(OR($B904="",MIN(AC$38,$D$19)&lt;MAX($P$708*($B904+IF($R$17="Distrato",$I$38-1,0)),IF(AND($L$711=0,$P$708=0),"",$L$711-1),IF($R$17="Distrato",$E904,0))),0,YEARFRAC(MAX($P$708*($B904+IF($R$17="Distrato",$I$38-1,0)),IF(AND($L$711=0,$P$708=0),"",$L$711-1),IF($R$17="Distrato",$E904,0)),MIN(AC$38,$D$19),$P$20))-SUM($P904:AB904)</f>
        <v>#VALUE!</v>
      </c>
      <c r="AD904" s="446" t="e">
        <f>IF(OR($B904="",MIN(AD$38,$D$19)&lt;MAX($P$708*($B904+IF($R$17="Distrato",$I$38-1,0)),IF(AND($L$711=0,$P$708=0),"",$L$711-1),IF($R$17="Distrato",$E904,0))),0,YEARFRAC(MAX($P$708*($B904+IF($R$17="Distrato",$I$38-1,0)),IF(AND($L$711=0,$P$708=0),"",$L$711-1),IF($R$17="Distrato",$E904,0)),MIN(AD$38,$D$19),$P$20))-SUM($P904:AC904)</f>
        <v>#VALUE!</v>
      </c>
      <c r="AE904" s="446" t="e">
        <f>IF(OR($B904="",MIN(AE$38,$D$19)&lt;MAX($P$708*($B904+IF($R$17="Distrato",$I$38-1,0)),IF(AND($L$711=0,$P$708=0),"",$L$711-1),IF($R$17="Distrato",$E904,0))),0,YEARFRAC(MAX($P$708*($B904+IF($R$17="Distrato",$I$38-1,0)),IF(AND($L$711=0,$P$708=0),"",$L$711-1),IF($R$17="Distrato",$E904,0)),MIN(AE$38,$D$19),$P$20))-SUM($P904:AD904)</f>
        <v>#VALUE!</v>
      </c>
      <c r="AF904" s="446" t="e">
        <f>IF(OR($B904="",MIN(AF$38,$D$19)&lt;MAX($P$708*($B904+IF($R$17="Distrato",$I$38-1,0)),IF(AND($L$711=0,$P$708=0),"",$L$711-1),IF($R$17="Distrato",$E904,0))),0,YEARFRAC(MAX($P$708*($B904+IF($R$17="Distrato",$I$38-1,0)),IF(AND($L$711=0,$P$708=0),"",$L$711-1),IF($R$17="Distrato",$E904,0)),MIN(AF$38,$D$19),$P$20))-SUM($P904:AE904)</f>
        <v>#VALUE!</v>
      </c>
      <c r="AG904" s="446" t="e">
        <f>IF(OR($B904="",MIN(AG$38,$D$19)&lt;MAX($P$708*($B904+IF($R$17="Distrato",$I$38-1,0)),IF(AND($L$711=0,$P$708=0),"",$L$711-1),IF($R$17="Distrato",$E904,0))),0,YEARFRAC(MAX($P$708*($B904+IF($R$17="Distrato",$I$38-1,0)),IF(AND($L$711=0,$P$708=0),"",$L$711-1),IF($R$17="Distrato",$E904,0)),MIN(AG$38,$D$19),$P$20))-SUM($P904:AF904)</f>
        <v>#VALUE!</v>
      </c>
      <c r="AH904" s="446" t="e">
        <f>IF(OR($B904="",MIN(AH$38,$D$19)&lt;MAX($P$708*($B904+IF($R$17="Distrato",$I$38-1,0)),IF(AND($L$711=0,$P$708=0),"",$L$711-1),IF($R$17="Distrato",$E904,0))),0,YEARFRAC(MAX($P$708*($B904+IF($R$17="Distrato",$I$38-1,0)),IF(AND($L$711=0,$P$708=0),"",$L$711-1),IF($R$17="Distrato",$E904,0)),MIN(AH$38,$D$19),$P$20))-SUM($P904:AG904)</f>
        <v>#VALUE!</v>
      </c>
      <c r="AI904" s="446" t="e">
        <f>IF(OR($B904="",MIN(AI$38,$D$19)&lt;MAX($P$708*($B904+IF($R$17="Distrato",$I$38-1,0)),IF(AND($L$711=0,$P$708=0),"",$L$711-1),IF($R$17="Distrato",$E904,0))),0,YEARFRAC(MAX($P$708*($B904+IF($R$17="Distrato",$I$38-1,0)),IF(AND($L$711=0,$P$708=0),"",$L$711-1),IF($R$17="Distrato",$E904,0)),MIN(AI$38,$D$19),$P$20))-SUM($P904:AH904)</f>
        <v>#VALUE!</v>
      </c>
      <c r="AJ904" s="446" t="e">
        <f>IF(OR($B904="",MIN(AJ$38,$D$19)&lt;MAX($P$708*($B904+IF($R$17="Distrato",$I$38-1,0)),IF(AND($L$711=0,$P$708=0),"",$L$711-1),IF($R$17="Distrato",$E904,0))),0,YEARFRAC(MAX($P$708*($B904+IF($R$17="Distrato",$I$38-1,0)),IF(AND($L$711=0,$P$708=0),"",$L$711-1),IF($R$17="Distrato",$E904,0)),MIN(AJ$38,$D$19),$P$20))-SUM($P904:AI904)</f>
        <v>#VALUE!</v>
      </c>
      <c r="AK904" s="446" t="e">
        <f>IF(OR($B904="",MIN(AK$38,$D$19)&lt;MAX($P$708*($B904+IF($R$17="Distrato",$I$38-1,0)),IF(AND($L$711=0,$P$708=0),"",$L$711-1),IF($R$17="Distrato",$E904,0))),0,YEARFRAC(MAX($P$708*($B904+IF($R$17="Distrato",$I$38-1,0)),IF(AND($L$711=0,$P$708=0),"",$L$711-1),IF($R$17="Distrato",$E904,0)),MIN(AK$38,$D$19),$P$20))-SUM($P904:AJ904)</f>
        <v>#VALUE!</v>
      </c>
      <c r="AL904" s="446" t="e">
        <f>IF(OR($B904="",MIN(AL$38,$D$19)&lt;MAX($P$708*($B904+IF($R$17="Distrato",$I$38-1,0)),IF(AND($L$711=0,$P$708=0),"",$L$711-1),IF($R$17="Distrato",$E904,0))),0,YEARFRAC(MAX($P$708*($B904+IF($R$17="Distrato",$I$38-1,0)),IF(AND($L$711=0,$P$708=0),"",$L$711-1),IF($R$17="Distrato",$E904,0)),MIN(AL$38,$D$19),$P$20))-SUM($P904:AK904)</f>
        <v>#VALUE!</v>
      </c>
      <c r="AM904" s="446" t="e">
        <f>IF(OR($B904="",MIN(AM$38,$D$19)&lt;MAX($P$708*($B904+IF($R$17="Distrato",$I$38-1,0)),IF(AND($L$711=0,$P$708=0),"",$L$711-1),IF($R$17="Distrato",$E904,0))),0,YEARFRAC(MAX($P$708*($B904+IF($R$17="Distrato",$I$38-1,0)),IF(AND($L$711=0,$P$708=0),"",$L$711-1),IF($R$17="Distrato",$E904,0)),MIN(AM$38,$D$19),$P$20))-SUM($P904:AL904)</f>
        <v>#VALUE!</v>
      </c>
      <c r="AN904" s="446" t="e">
        <f>IF(OR($B904="",MIN(AN$38,$D$19)&lt;MAX($P$708*($B904+IF($R$17="Distrato",$I$38-1,0)),IF(AND($L$711=0,$P$708=0),"",$L$711-1),IF($R$17="Distrato",$E904,0))),0,YEARFRAC(MAX($P$708*($B904+IF($R$17="Distrato",$I$38-1,0)),IF(AND($L$711=0,$P$708=0),"",$L$711-1),IF($R$17="Distrato",$E904,0)),MIN(AN$38,$D$19),$P$20))-SUM($P904:AM904)</f>
        <v>#VALUE!</v>
      </c>
      <c r="AO904" s="446" t="e">
        <f>IF(OR($B904="",MIN(AO$38,$D$19)&lt;MAX($P$708*($B904+IF($R$17="Distrato",$I$38-1,0)),IF(AND($L$711=0,$P$708=0),"",$L$711-1),IF($R$17="Distrato",$E904,0))),0,YEARFRAC(MAX($P$708*($B904+IF($R$17="Distrato",$I$38-1,0)),IF(AND($L$711=0,$P$708=0),"",$L$711-1),IF($R$17="Distrato",$E904,0)),MIN(AO$38,$D$19),$P$20))-SUM($P904:AN904)</f>
        <v>#VALUE!</v>
      </c>
      <c r="AP904" s="446" t="e">
        <f>IF(OR($B904="",MIN(AP$38,$D$19)&lt;MAX($P$708*($B904+IF($R$17="Distrato",$I$38-1,0)),IF(AND($L$711=0,$P$708=0),"",$L$711-1),IF($R$17="Distrato",$E904,0))),0,YEARFRAC(MAX($P$708*($B904+IF($R$17="Distrato",$I$38-1,0)),IF(AND($L$711=0,$P$708=0),"",$L$711-1),IF($R$17="Distrato",$E904,0)),MIN(AP$38,$D$19),$P$20))-SUM($P904:AO904)</f>
        <v>#VALUE!</v>
      </c>
      <c r="AQ904" s="446" t="e">
        <f>IF(OR($B904="",MIN(AQ$38,$D$19)&lt;MAX($P$708*($B904+IF($R$17="Distrato",$I$38-1,0)),IF(AND($L$711=0,$P$708=0),"",$L$711-1),IF($R$17="Distrato",$E904,0))),0,YEARFRAC(MAX($P$708*($B904+IF($R$17="Distrato",$I$38-1,0)),IF(AND($L$711=0,$P$708=0),"",$L$711-1),IF($R$17="Distrato",$E904,0)),MIN(AQ$38,$D$19),$P$20))-SUM($P904:AP904)</f>
        <v>#VALUE!</v>
      </c>
      <c r="AR904" s="446" t="e">
        <f>IF(OR($B904="",MIN(AR$38,$D$19)&lt;MAX($P$708*($B904+IF($R$17="Distrato",$I$38-1,0)),IF(AND($L$711=0,$P$708=0),"",$L$711-1),IF($R$17="Distrato",$E904,0))),0,YEARFRAC(MAX($P$708*($B904+IF($R$17="Distrato",$I$38-1,0)),IF(AND($L$711=0,$P$708=0),"",$L$711-1),IF($R$17="Distrato",$E904,0)),MIN(AR$38,$D$19),$P$20))-SUM($P904:AQ904)</f>
        <v>#VALUE!</v>
      </c>
      <c r="AS904" s="446" t="e">
        <f>IF(OR($B904="",MIN(AS$38,$D$19)&lt;MAX($P$708*($B904+IF($R$17="Distrato",$I$38-1,0)),IF(AND($L$711=0,$P$708=0),"",$L$711-1),IF($R$17="Distrato",$E904,0))),0,YEARFRAC(MAX($P$708*($B904+IF($R$17="Distrato",$I$38-1,0)),IF(AND($L$711=0,$P$708=0),"",$L$711-1),IF($R$17="Distrato",$E904,0)),MIN(AS$38,$D$19),$P$20))-SUM($P904:AR904)</f>
        <v>#VALUE!</v>
      </c>
      <c r="AT904" s="446" t="e">
        <f>IF(OR($B904="",MIN(AT$38,$D$19)&lt;MAX($P$708*($B904+IF($R$17="Distrato",$I$38-1,0)),IF(AND($L$711=0,$P$708=0),"",$L$711-1),IF($R$17="Distrato",$E904,0))),0,YEARFRAC(MAX($P$708*($B904+IF($R$17="Distrato",$I$38-1,0)),IF(AND($L$711=0,$P$708=0),"",$L$711-1),IF($R$17="Distrato",$E904,0)),MIN(AT$38,$D$19),$P$20))-SUM($P904:AS904)</f>
        <v>#VALUE!</v>
      </c>
      <c r="AU904" s="446" t="e">
        <f>IF(OR($B904="",MIN(AU$38,$D$19)&lt;MAX($P$708*($B904+IF($R$17="Distrato",$I$38-1,0)),IF(AND($L$711=0,$P$708=0),"",$L$711-1),IF($R$17="Distrato",$E904,0))),0,YEARFRAC(MAX($P$708*($B904+IF($R$17="Distrato",$I$38-1,0)),IF(AND($L$711=0,$P$708=0),"",$L$711-1),IF($R$17="Distrato",$E904,0)),MIN(AU$38,$D$19),$P$20))-SUM($P904:AT904)</f>
        <v>#VALUE!</v>
      </c>
      <c r="AV904" s="446" t="e">
        <f>IF(OR($B904="",MIN(AV$38,$D$19)&lt;MAX($P$708*($B904+IF($R$17="Distrato",$I$38-1,0)),IF(AND($L$711=0,$P$708=0),"",$L$711-1),IF($R$17="Distrato",$E904,0))),0,YEARFRAC(MAX($P$708*($B904+IF($R$17="Distrato",$I$38-1,0)),IF(AND($L$711=0,$P$708=0),"",$L$711-1),IF($R$17="Distrato",$E904,0)),MIN(AV$38,$D$19),$P$20))-SUM($P904:AU904)</f>
        <v>#VALUE!</v>
      </c>
      <c r="AW904" s="446" t="e">
        <f>IF(OR($B904="",MIN(AW$38,$D$19)&lt;MAX($P$708*($B904+IF($R$17="Distrato",$I$38-1,0)),IF(AND($L$711=0,$P$708=0),"",$L$711-1),IF($R$17="Distrato",$E904,0))),0,YEARFRAC(MAX($P$708*($B904+IF($R$17="Distrato",$I$38-1,0)),IF(AND($L$711=0,$P$708=0),"",$L$711-1),IF($R$17="Distrato",$E904,0)),MIN(AW$38,$D$19),$P$20))-SUM($P904:AV904)</f>
        <v>#VALUE!</v>
      </c>
      <c r="AX904" s="446" t="e">
        <f>IF(OR($B904="",MIN(AX$38,$D$19)&lt;MAX($P$708*($B904+IF($R$17="Distrato",$I$38-1,0)),IF(AND($L$711=0,$P$708=0),"",$L$711-1),IF($R$17="Distrato",$E904,0))),0,YEARFRAC(MAX($P$708*($B904+IF($R$17="Distrato",$I$38-1,0)),IF(AND($L$711=0,$P$708=0),"",$L$711-1),IF($R$17="Distrato",$E904,0)),MIN(AX$38,$D$19),$P$20))-SUM($P904:AW904)</f>
        <v>#VALUE!</v>
      </c>
      <c r="AY904" s="446" t="e">
        <f>IF(OR($B904="",MIN(AY$38,$D$19)&lt;MAX($P$708*($B904+IF($R$17="Distrato",$I$38-1,0)),IF(AND($L$711=0,$P$708=0),"",$L$711-1),IF($R$17="Distrato",$E904,0))),0,YEARFRAC(MAX($P$708*($B904+IF($R$17="Distrato",$I$38-1,0)),IF(AND($L$711=0,$P$708=0),"",$L$711-1),IF($R$17="Distrato",$E904,0)),MIN(AY$38,$D$19),$P$20))-SUM($P904:AX904)</f>
        <v>#VALUE!</v>
      </c>
      <c r="AZ904" s="446" t="e">
        <f>IF(OR($B904="",MIN(AZ$38,$D$19)&lt;MAX($P$708*($B904+IF($R$17="Distrato",$I$38-1,0)),IF(AND($L$711=0,$P$708=0),"",$L$711-1),IF($R$17="Distrato",$E904,0))),0,YEARFRAC(MAX($P$708*($B904+IF($R$17="Distrato",$I$38-1,0)),IF(AND($L$711=0,$P$708=0),"",$L$711-1),IF($R$17="Distrato",$E904,0)),MIN(AZ$38,$D$19),$P$20))-SUM($P904:AY904)</f>
        <v>#VALUE!</v>
      </c>
      <c r="BA904" s="446" t="e">
        <f>IF(OR($B904="",MIN(BA$38,$D$19)&lt;MAX($P$708*($B904+IF($R$17="Distrato",$I$38-1,0)),IF(AND($L$711=0,$P$708=0),"",$L$711-1),IF($R$17="Distrato",$E904,0))),0,YEARFRAC(MAX($P$708*($B904+IF($R$17="Distrato",$I$38-1,0)),IF(AND($L$711=0,$P$708=0),"",$L$711-1),IF($R$17="Distrato",$E904,0)),MIN(BA$38,$D$19),$P$20))-SUM($P904:AZ904)</f>
        <v>#VALUE!</v>
      </c>
      <c r="BB904" s="447"/>
    </row>
    <row r="905" spans="1:54" s="446" customFormat="1" ht="11.25" hidden="1" customHeight="1" x14ac:dyDescent="0.2">
      <c r="A905" s="235"/>
      <c r="B905" s="236"/>
      <c r="C905" s="29" t="str">
        <f>IF(B905="","",IF($L$709=$BL$25,VLOOKUP(DATE(YEAR($D$19),MONTH($D$19)-1,1),ÍNDICES!$A:$DE,HLOOKUP($BL$25,ÍNDICES!$B$3:$T$4,2)+11)-VLOOKUP(B905,ÍNDICES!$A:$DE,HLOOKUP($BL$25,ÍNDICES!$B$3:$T$4,2)+11)+1%,IF(C$712=$W$26,$J$35,IF(ISERROR(IF(B905&gt;$D$19,1,VLOOKUP(DATE(YEAR(B905),MONTH(B905)+IF($C$709=$S$23,1,0),1),ÍNDICES!$A:$DE,$Z$709+1))),"",IF(B905&gt;$D$19,1,VLOOKUP(DATE(YEAR(B905),MONTH(B905)+IF($C$709=$S$23,1,0),1),ÍNDICES!$A:$DE,$Z$709+1))))))</f>
        <v/>
      </c>
      <c r="D905" s="155"/>
      <c r="E905" s="88"/>
      <c r="F905" s="88"/>
      <c r="G905" s="88"/>
      <c r="H905" s="118"/>
      <c r="I905" s="182">
        <f t="shared" si="129"/>
        <v>0</v>
      </c>
      <c r="J905" s="20">
        <f t="shared" ca="1" si="130"/>
        <v>0</v>
      </c>
      <c r="K905" s="5">
        <f t="shared" ca="1" si="131"/>
        <v>0</v>
      </c>
      <c r="L905" s="61">
        <f t="shared" ca="1" si="132"/>
        <v>0</v>
      </c>
      <c r="M905" s="64">
        <f t="shared" si="133"/>
        <v>0</v>
      </c>
      <c r="N905" s="151"/>
      <c r="O905" s="5">
        <f t="shared" ca="1" si="134"/>
        <v>0</v>
      </c>
      <c r="P905" s="446" t="e">
        <f t="shared" si="135"/>
        <v>#VALUE!</v>
      </c>
      <c r="Q905" s="446" t="e">
        <f>IF(OR($B905="",MIN(Q$38,$D$19)&lt;MAX($P$708*($B905+IF($R$17="Distrato",$I$38-1,0)),IF(AND($L$711=0,$P$708=0),"",$L$711-1),IF($R$17="Distrato",$E905,0))),0,YEARFRAC(MAX($P$708*($B905+IF($R$17="Distrato",$I$38-1,0)),IF(AND($L$711=0,$P$708=0),"",$L$711-1),IF($R$17="Distrato",$E905,0)),MIN(Q$38,$D$19),$P$20))-SUM($P905:P905)</f>
        <v>#VALUE!</v>
      </c>
      <c r="R905" s="446" t="e">
        <f>IF(OR($B905="",MIN(R$38,$D$19)&lt;MAX($P$708*($B905+IF($R$17="Distrato",$I$38-1,0)),IF(AND($L$711=0,$P$708=0),"",$L$711-1),IF($R$17="Distrato",$E905,0))),0,YEARFRAC(MAX($P$708*($B905+IF($R$17="Distrato",$I$38-1,0)),IF(AND($L$711=0,$P$708=0),"",$L$711-1),IF($R$17="Distrato",$E905,0)),MIN(R$38,$D$19),$P$20))-SUM($P905:Q905)</f>
        <v>#VALUE!</v>
      </c>
      <c r="S905" s="446" t="e">
        <f>IF(OR($B905="",MIN(S$38,$D$19)&lt;MAX($P$708*($B905+IF($R$17="Distrato",$I$38-1,0)),IF(AND($L$711=0,$P$708=0),"",$L$711-1),IF($R$17="Distrato",$E905,0))),0,YEARFRAC(MAX($P$708*($B905+IF($R$17="Distrato",$I$38-1,0)),IF(AND($L$711=0,$P$708=0),"",$L$711-1),IF($R$17="Distrato",$E905,0)),MIN(S$38,$D$19),$P$20))-SUM($P905:R905)</f>
        <v>#VALUE!</v>
      </c>
      <c r="T905" s="446" t="e">
        <f>IF(OR($B905="",MIN(T$38,$D$19)&lt;MAX($P$708*($B905+IF($R$17="Distrato",$I$38-1,0)),IF(AND($L$711=0,$P$708=0),"",$L$711-1),IF($R$17="Distrato",$E905,0))),0,YEARFRAC(MAX($P$708*($B905+IF($R$17="Distrato",$I$38-1,0)),IF(AND($L$711=0,$P$708=0),"",$L$711-1),IF($R$17="Distrato",$E905,0)),MIN(T$38,$D$19),$P$20))-SUM($P905:S905)</f>
        <v>#VALUE!</v>
      </c>
      <c r="U905" s="446" t="e">
        <f>IF(OR($B905="",MIN(U$38,$D$19)&lt;MAX($P$708*($B905+IF($R$17="Distrato",$I$38-1,0)),IF(AND($L$711=0,$P$708=0),"",$L$711-1),IF($R$17="Distrato",$E905,0))),0,YEARFRAC(MAX($P$708*($B905+IF($R$17="Distrato",$I$38-1,0)),IF(AND($L$711=0,$P$708=0),"",$L$711-1),IF($R$17="Distrato",$E905,0)),MIN(U$38,$D$19),$P$20))-SUM($P905:T905)</f>
        <v>#VALUE!</v>
      </c>
      <c r="V905" s="446" t="e">
        <f>IF(OR($B905="",MIN(V$38,$D$19)&lt;MAX($P$708*($B905+IF($R$17="Distrato",$I$38-1,0)),IF(AND($L$711=0,$P$708=0),"",$L$711-1),IF($R$17="Distrato",$E905,0))),0,YEARFRAC(MAX($P$708*($B905+IF($R$17="Distrato",$I$38-1,0)),IF(AND($L$711=0,$P$708=0),"",$L$711-1),IF($R$17="Distrato",$E905,0)),MIN(V$38,$D$19),$P$20))-SUM($P905:U905)</f>
        <v>#VALUE!</v>
      </c>
      <c r="W905" s="446" t="e">
        <f>IF(OR($B905="",MIN(W$38,$D$19)&lt;MAX($P$708*($B905+IF($R$17="Distrato",$I$38-1,0)),IF(AND($L$711=0,$P$708=0),"",$L$711-1),IF($R$17="Distrato",$E905,0))),0,YEARFRAC(MAX($P$708*($B905+IF($R$17="Distrato",$I$38-1,0)),IF(AND($L$711=0,$P$708=0),"",$L$711-1),IF($R$17="Distrato",$E905,0)),MIN(W$38,$D$19),$P$20))-SUM($P905:V905)</f>
        <v>#VALUE!</v>
      </c>
      <c r="X905" s="446" t="e">
        <f>IF(OR($B905="",MIN(X$38,$D$19)&lt;MAX($P$708*($B905+IF($R$17="Distrato",$I$38-1,0)),IF(AND($L$711=0,$P$708=0),"",$L$711-1),IF($R$17="Distrato",$E905,0))),0,YEARFRAC(MAX($P$708*($B905+IF($R$17="Distrato",$I$38-1,0)),IF(AND($L$711=0,$P$708=0),"",$L$711-1),IF($R$17="Distrato",$E905,0)),MIN(X$38,$D$19),$P$20))-SUM($P905:W905)</f>
        <v>#VALUE!</v>
      </c>
      <c r="Y905" s="446" t="e">
        <f>IF(OR($B905="",MIN(Y$38,$D$19)&lt;MAX($P$708*($B905+IF($R$17="Distrato",$I$38-1,0)),IF(AND($L$711=0,$P$708=0),"",$L$711-1),IF($R$17="Distrato",$E905,0))),0,YEARFRAC(MAX($P$708*($B905+IF($R$17="Distrato",$I$38-1,0)),IF(AND($L$711=0,$P$708=0),"",$L$711-1),IF($R$17="Distrato",$E905,0)),MIN(Y$38,$D$19),$P$20))-SUM($P905:X905)</f>
        <v>#VALUE!</v>
      </c>
      <c r="Z905" s="446" t="e">
        <f>IF(OR($B905="",MIN(Z$38,$D$19)&lt;MAX($P$708*($B905+IF($R$17="Distrato",$I$38-1,0)),IF(AND($L$711=0,$P$708=0),"",$L$711-1),IF($R$17="Distrato",$E905,0))),0,YEARFRAC(MAX($P$708*($B905+IF($R$17="Distrato",$I$38-1,0)),IF(AND($L$711=0,$P$708=0),"",$L$711-1),IF($R$17="Distrato",$E905,0)),MIN(Z$38,$D$19),$P$20))-SUM($P905:Y905)</f>
        <v>#VALUE!</v>
      </c>
      <c r="AA905" s="446" t="e">
        <f>IF(OR($B905="",MIN(AA$38,$D$19)&lt;MAX($P$708*($B905+IF($R$17="Distrato",$I$38-1,0)),IF(AND($L$711=0,$P$708=0),"",$L$711-1),IF($R$17="Distrato",$E905,0))),0,YEARFRAC(MAX($P$708*($B905+IF($R$17="Distrato",$I$38-1,0)),IF(AND($L$711=0,$P$708=0),"",$L$711-1),IF($R$17="Distrato",$E905,0)),MIN(AA$38,$D$19),$P$20))-SUM($P905:Z905)</f>
        <v>#VALUE!</v>
      </c>
      <c r="AB905" s="446" t="e">
        <f>IF(OR($B905="",MIN(AB$38,$D$19)&lt;MAX($P$708*($B905+IF($R$17="Distrato",$I$38-1,0)),IF(AND($L$711=0,$P$708=0),"",$L$711-1),IF($R$17="Distrato",$E905,0))),0,YEARFRAC(MAX($P$708*($B905+IF($R$17="Distrato",$I$38-1,0)),IF(AND($L$711=0,$P$708=0),"",$L$711-1),IF($R$17="Distrato",$E905,0)),MIN(AB$38,$D$19),$P$20))-SUM($P905:AA905)</f>
        <v>#VALUE!</v>
      </c>
      <c r="AC905" s="446" t="e">
        <f>IF(OR($B905="",MIN(AC$38,$D$19)&lt;MAX($P$708*($B905+IF($R$17="Distrato",$I$38-1,0)),IF(AND($L$711=0,$P$708=0),"",$L$711-1),IF($R$17="Distrato",$E905,0))),0,YEARFRAC(MAX($P$708*($B905+IF($R$17="Distrato",$I$38-1,0)),IF(AND($L$711=0,$P$708=0),"",$L$711-1),IF($R$17="Distrato",$E905,0)),MIN(AC$38,$D$19),$P$20))-SUM($P905:AB905)</f>
        <v>#VALUE!</v>
      </c>
      <c r="AD905" s="446" t="e">
        <f>IF(OR($B905="",MIN(AD$38,$D$19)&lt;MAX($P$708*($B905+IF($R$17="Distrato",$I$38-1,0)),IF(AND($L$711=0,$P$708=0),"",$L$711-1),IF($R$17="Distrato",$E905,0))),0,YEARFRAC(MAX($P$708*($B905+IF($R$17="Distrato",$I$38-1,0)),IF(AND($L$711=0,$P$708=0),"",$L$711-1),IF($R$17="Distrato",$E905,0)),MIN(AD$38,$D$19),$P$20))-SUM($P905:AC905)</f>
        <v>#VALUE!</v>
      </c>
      <c r="AE905" s="446" t="e">
        <f>IF(OR($B905="",MIN(AE$38,$D$19)&lt;MAX($P$708*($B905+IF($R$17="Distrato",$I$38-1,0)),IF(AND($L$711=0,$P$708=0),"",$L$711-1),IF($R$17="Distrato",$E905,0))),0,YEARFRAC(MAX($P$708*($B905+IF($R$17="Distrato",$I$38-1,0)),IF(AND($L$711=0,$P$708=0),"",$L$711-1),IF($R$17="Distrato",$E905,0)),MIN(AE$38,$D$19),$P$20))-SUM($P905:AD905)</f>
        <v>#VALUE!</v>
      </c>
      <c r="AF905" s="446" t="e">
        <f>IF(OR($B905="",MIN(AF$38,$D$19)&lt;MAX($P$708*($B905+IF($R$17="Distrato",$I$38-1,0)),IF(AND($L$711=0,$P$708=0),"",$L$711-1),IF($R$17="Distrato",$E905,0))),0,YEARFRAC(MAX($P$708*($B905+IF($R$17="Distrato",$I$38-1,0)),IF(AND($L$711=0,$P$708=0),"",$L$711-1),IF($R$17="Distrato",$E905,0)),MIN(AF$38,$D$19),$P$20))-SUM($P905:AE905)</f>
        <v>#VALUE!</v>
      </c>
      <c r="AG905" s="446" t="e">
        <f>IF(OR($B905="",MIN(AG$38,$D$19)&lt;MAX($P$708*($B905+IF($R$17="Distrato",$I$38-1,0)),IF(AND($L$711=0,$P$708=0),"",$L$711-1),IF($R$17="Distrato",$E905,0))),0,YEARFRAC(MAX($P$708*($B905+IF($R$17="Distrato",$I$38-1,0)),IF(AND($L$711=0,$P$708=0),"",$L$711-1),IF($R$17="Distrato",$E905,0)),MIN(AG$38,$D$19),$P$20))-SUM($P905:AF905)</f>
        <v>#VALUE!</v>
      </c>
      <c r="AH905" s="446" t="e">
        <f>IF(OR($B905="",MIN(AH$38,$D$19)&lt;MAX($P$708*($B905+IF($R$17="Distrato",$I$38-1,0)),IF(AND($L$711=0,$P$708=0),"",$L$711-1),IF($R$17="Distrato",$E905,0))),0,YEARFRAC(MAX($P$708*($B905+IF($R$17="Distrato",$I$38-1,0)),IF(AND($L$711=0,$P$708=0),"",$L$711-1),IF($R$17="Distrato",$E905,0)),MIN(AH$38,$D$19),$P$20))-SUM($P905:AG905)</f>
        <v>#VALUE!</v>
      </c>
      <c r="AI905" s="446" t="e">
        <f>IF(OR($B905="",MIN(AI$38,$D$19)&lt;MAX($P$708*($B905+IF($R$17="Distrato",$I$38-1,0)),IF(AND($L$711=0,$P$708=0),"",$L$711-1),IF($R$17="Distrato",$E905,0))),0,YEARFRAC(MAX($P$708*($B905+IF($R$17="Distrato",$I$38-1,0)),IF(AND($L$711=0,$P$708=0),"",$L$711-1),IF($R$17="Distrato",$E905,0)),MIN(AI$38,$D$19),$P$20))-SUM($P905:AH905)</f>
        <v>#VALUE!</v>
      </c>
      <c r="AJ905" s="446" t="e">
        <f>IF(OR($B905="",MIN(AJ$38,$D$19)&lt;MAX($P$708*($B905+IF($R$17="Distrato",$I$38-1,0)),IF(AND($L$711=0,$P$708=0),"",$L$711-1),IF($R$17="Distrato",$E905,0))),0,YEARFRAC(MAX($P$708*($B905+IF($R$17="Distrato",$I$38-1,0)),IF(AND($L$711=0,$P$708=0),"",$L$711-1),IF($R$17="Distrato",$E905,0)),MIN(AJ$38,$D$19),$P$20))-SUM($P905:AI905)</f>
        <v>#VALUE!</v>
      </c>
      <c r="AK905" s="446" t="e">
        <f>IF(OR($B905="",MIN(AK$38,$D$19)&lt;MAX($P$708*($B905+IF($R$17="Distrato",$I$38-1,0)),IF(AND($L$711=0,$P$708=0),"",$L$711-1),IF($R$17="Distrato",$E905,0))),0,YEARFRAC(MAX($P$708*($B905+IF($R$17="Distrato",$I$38-1,0)),IF(AND($L$711=0,$P$708=0),"",$L$711-1),IF($R$17="Distrato",$E905,0)),MIN(AK$38,$D$19),$P$20))-SUM($P905:AJ905)</f>
        <v>#VALUE!</v>
      </c>
      <c r="AL905" s="446" t="e">
        <f>IF(OR($B905="",MIN(AL$38,$D$19)&lt;MAX($P$708*($B905+IF($R$17="Distrato",$I$38-1,0)),IF(AND($L$711=0,$P$708=0),"",$L$711-1),IF($R$17="Distrato",$E905,0))),0,YEARFRAC(MAX($P$708*($B905+IF($R$17="Distrato",$I$38-1,0)),IF(AND($L$711=0,$P$708=0),"",$L$711-1),IF($R$17="Distrato",$E905,0)),MIN(AL$38,$D$19),$P$20))-SUM($P905:AK905)</f>
        <v>#VALUE!</v>
      </c>
      <c r="AM905" s="446" t="e">
        <f>IF(OR($B905="",MIN(AM$38,$D$19)&lt;MAX($P$708*($B905+IF($R$17="Distrato",$I$38-1,0)),IF(AND($L$711=0,$P$708=0),"",$L$711-1),IF($R$17="Distrato",$E905,0))),0,YEARFRAC(MAX($P$708*($B905+IF($R$17="Distrato",$I$38-1,0)),IF(AND($L$711=0,$P$708=0),"",$L$711-1),IF($R$17="Distrato",$E905,0)),MIN(AM$38,$D$19),$P$20))-SUM($P905:AL905)</f>
        <v>#VALUE!</v>
      </c>
      <c r="AN905" s="446" t="e">
        <f>IF(OR($B905="",MIN(AN$38,$D$19)&lt;MAX($P$708*($B905+IF($R$17="Distrato",$I$38-1,0)),IF(AND($L$711=0,$P$708=0),"",$L$711-1),IF($R$17="Distrato",$E905,0))),0,YEARFRAC(MAX($P$708*($B905+IF($R$17="Distrato",$I$38-1,0)),IF(AND($L$711=0,$P$708=0),"",$L$711-1),IF($R$17="Distrato",$E905,0)),MIN(AN$38,$D$19),$P$20))-SUM($P905:AM905)</f>
        <v>#VALUE!</v>
      </c>
      <c r="AO905" s="446" t="e">
        <f>IF(OR($B905="",MIN(AO$38,$D$19)&lt;MAX($P$708*($B905+IF($R$17="Distrato",$I$38-1,0)),IF(AND($L$711=0,$P$708=0),"",$L$711-1),IF($R$17="Distrato",$E905,0))),0,YEARFRAC(MAX($P$708*($B905+IF($R$17="Distrato",$I$38-1,0)),IF(AND($L$711=0,$P$708=0),"",$L$711-1),IF($R$17="Distrato",$E905,0)),MIN(AO$38,$D$19),$P$20))-SUM($P905:AN905)</f>
        <v>#VALUE!</v>
      </c>
      <c r="AP905" s="446" t="e">
        <f>IF(OR($B905="",MIN(AP$38,$D$19)&lt;MAX($P$708*($B905+IF($R$17="Distrato",$I$38-1,0)),IF(AND($L$711=0,$P$708=0),"",$L$711-1),IF($R$17="Distrato",$E905,0))),0,YEARFRAC(MAX($P$708*($B905+IF($R$17="Distrato",$I$38-1,0)),IF(AND($L$711=0,$P$708=0),"",$L$711-1),IF($R$17="Distrato",$E905,0)),MIN(AP$38,$D$19),$P$20))-SUM($P905:AO905)</f>
        <v>#VALUE!</v>
      </c>
      <c r="AQ905" s="446" t="e">
        <f>IF(OR($B905="",MIN(AQ$38,$D$19)&lt;MAX($P$708*($B905+IF($R$17="Distrato",$I$38-1,0)),IF(AND($L$711=0,$P$708=0),"",$L$711-1),IF($R$17="Distrato",$E905,0))),0,YEARFRAC(MAX($P$708*($B905+IF($R$17="Distrato",$I$38-1,0)),IF(AND($L$711=0,$P$708=0),"",$L$711-1),IF($R$17="Distrato",$E905,0)),MIN(AQ$38,$D$19),$P$20))-SUM($P905:AP905)</f>
        <v>#VALUE!</v>
      </c>
      <c r="AR905" s="446" t="e">
        <f>IF(OR($B905="",MIN(AR$38,$D$19)&lt;MAX($P$708*($B905+IF($R$17="Distrato",$I$38-1,0)),IF(AND($L$711=0,$P$708=0),"",$L$711-1),IF($R$17="Distrato",$E905,0))),0,YEARFRAC(MAX($P$708*($B905+IF($R$17="Distrato",$I$38-1,0)),IF(AND($L$711=0,$P$708=0),"",$L$711-1),IF($R$17="Distrato",$E905,0)),MIN(AR$38,$D$19),$P$20))-SUM($P905:AQ905)</f>
        <v>#VALUE!</v>
      </c>
      <c r="AS905" s="446" t="e">
        <f>IF(OR($B905="",MIN(AS$38,$D$19)&lt;MAX($P$708*($B905+IF($R$17="Distrato",$I$38-1,0)),IF(AND($L$711=0,$P$708=0),"",$L$711-1),IF($R$17="Distrato",$E905,0))),0,YEARFRAC(MAX($P$708*($B905+IF($R$17="Distrato",$I$38-1,0)),IF(AND($L$711=0,$P$708=0),"",$L$711-1),IF($R$17="Distrato",$E905,0)),MIN(AS$38,$D$19),$P$20))-SUM($P905:AR905)</f>
        <v>#VALUE!</v>
      </c>
      <c r="AT905" s="446" t="e">
        <f>IF(OR($B905="",MIN(AT$38,$D$19)&lt;MAX($P$708*($B905+IF($R$17="Distrato",$I$38-1,0)),IF(AND($L$711=0,$P$708=0),"",$L$711-1),IF($R$17="Distrato",$E905,0))),0,YEARFRAC(MAX($P$708*($B905+IF($R$17="Distrato",$I$38-1,0)),IF(AND($L$711=0,$P$708=0),"",$L$711-1),IF($R$17="Distrato",$E905,0)),MIN(AT$38,$D$19),$P$20))-SUM($P905:AS905)</f>
        <v>#VALUE!</v>
      </c>
      <c r="AU905" s="446" t="e">
        <f>IF(OR($B905="",MIN(AU$38,$D$19)&lt;MAX($P$708*($B905+IF($R$17="Distrato",$I$38-1,0)),IF(AND($L$711=0,$P$708=0),"",$L$711-1),IF($R$17="Distrato",$E905,0))),0,YEARFRAC(MAX($P$708*($B905+IF($R$17="Distrato",$I$38-1,0)),IF(AND($L$711=0,$P$708=0),"",$L$711-1),IF($R$17="Distrato",$E905,0)),MIN(AU$38,$D$19),$P$20))-SUM($P905:AT905)</f>
        <v>#VALUE!</v>
      </c>
      <c r="AV905" s="446" t="e">
        <f>IF(OR($B905="",MIN(AV$38,$D$19)&lt;MAX($P$708*($B905+IF($R$17="Distrato",$I$38-1,0)),IF(AND($L$711=0,$P$708=0),"",$L$711-1),IF($R$17="Distrato",$E905,0))),0,YEARFRAC(MAX($P$708*($B905+IF($R$17="Distrato",$I$38-1,0)),IF(AND($L$711=0,$P$708=0),"",$L$711-1),IF($R$17="Distrato",$E905,0)),MIN(AV$38,$D$19),$P$20))-SUM($P905:AU905)</f>
        <v>#VALUE!</v>
      </c>
      <c r="AW905" s="446" t="e">
        <f>IF(OR($B905="",MIN(AW$38,$D$19)&lt;MAX($P$708*($B905+IF($R$17="Distrato",$I$38-1,0)),IF(AND($L$711=0,$P$708=0),"",$L$711-1),IF($R$17="Distrato",$E905,0))),0,YEARFRAC(MAX($P$708*($B905+IF($R$17="Distrato",$I$38-1,0)),IF(AND($L$711=0,$P$708=0),"",$L$711-1),IF($R$17="Distrato",$E905,0)),MIN(AW$38,$D$19),$P$20))-SUM($P905:AV905)</f>
        <v>#VALUE!</v>
      </c>
      <c r="AX905" s="446" t="e">
        <f>IF(OR($B905="",MIN(AX$38,$D$19)&lt;MAX($P$708*($B905+IF($R$17="Distrato",$I$38-1,0)),IF(AND($L$711=0,$P$708=0),"",$L$711-1),IF($R$17="Distrato",$E905,0))),0,YEARFRAC(MAX($P$708*($B905+IF($R$17="Distrato",$I$38-1,0)),IF(AND($L$711=0,$P$708=0),"",$L$711-1),IF($R$17="Distrato",$E905,0)),MIN(AX$38,$D$19),$P$20))-SUM($P905:AW905)</f>
        <v>#VALUE!</v>
      </c>
      <c r="AY905" s="446" t="e">
        <f>IF(OR($B905="",MIN(AY$38,$D$19)&lt;MAX($P$708*($B905+IF($R$17="Distrato",$I$38-1,0)),IF(AND($L$711=0,$P$708=0),"",$L$711-1),IF($R$17="Distrato",$E905,0))),0,YEARFRAC(MAX($P$708*($B905+IF($R$17="Distrato",$I$38-1,0)),IF(AND($L$711=0,$P$708=0),"",$L$711-1),IF($R$17="Distrato",$E905,0)),MIN(AY$38,$D$19),$P$20))-SUM($P905:AX905)</f>
        <v>#VALUE!</v>
      </c>
      <c r="AZ905" s="446" t="e">
        <f>IF(OR($B905="",MIN(AZ$38,$D$19)&lt;MAX($P$708*($B905+IF($R$17="Distrato",$I$38-1,0)),IF(AND($L$711=0,$P$708=0),"",$L$711-1),IF($R$17="Distrato",$E905,0))),0,YEARFRAC(MAX($P$708*($B905+IF($R$17="Distrato",$I$38-1,0)),IF(AND($L$711=0,$P$708=0),"",$L$711-1),IF($R$17="Distrato",$E905,0)),MIN(AZ$38,$D$19),$P$20))-SUM($P905:AY905)</f>
        <v>#VALUE!</v>
      </c>
      <c r="BA905" s="446" t="e">
        <f>IF(OR($B905="",MIN(BA$38,$D$19)&lt;MAX($P$708*($B905+IF($R$17="Distrato",$I$38-1,0)),IF(AND($L$711=0,$P$708=0),"",$L$711-1),IF($R$17="Distrato",$E905,0))),0,YEARFRAC(MAX($P$708*($B905+IF($R$17="Distrato",$I$38-1,0)),IF(AND($L$711=0,$P$708=0),"",$L$711-1),IF($R$17="Distrato",$E905,0)),MIN(BA$38,$D$19),$P$20))-SUM($P905:AZ905)</f>
        <v>#VALUE!</v>
      </c>
      <c r="BB905" s="447"/>
    </row>
    <row r="906" spans="1:54" s="446" customFormat="1" ht="11.25" hidden="1" customHeight="1" x14ac:dyDescent="0.2">
      <c r="A906" s="235"/>
      <c r="B906" s="236"/>
      <c r="C906" s="29" t="str">
        <f>IF(B906="","",IF($L$709=$BL$25,VLOOKUP(DATE(YEAR($D$19),MONTH($D$19)-1,1),ÍNDICES!$A:$DE,HLOOKUP($BL$25,ÍNDICES!$B$3:$T$4,2)+11)-VLOOKUP(B906,ÍNDICES!$A:$DE,HLOOKUP($BL$25,ÍNDICES!$B$3:$T$4,2)+11)+1%,IF(C$712=$W$26,$J$35,IF(ISERROR(IF(B906&gt;$D$19,1,VLOOKUP(DATE(YEAR(B906),MONTH(B906)+IF($C$709=$S$23,1,0),1),ÍNDICES!$A:$DE,$Z$709+1))),"",IF(B906&gt;$D$19,1,VLOOKUP(DATE(YEAR(B906),MONTH(B906)+IF($C$709=$S$23,1,0),1),ÍNDICES!$A:$DE,$Z$709+1))))))</f>
        <v/>
      </c>
      <c r="D906" s="155"/>
      <c r="E906" s="88"/>
      <c r="F906" s="88"/>
      <c r="G906" s="88"/>
      <c r="H906" s="118"/>
      <c r="I906" s="182">
        <f t="shared" ref="I906:I969" si="136">IF(ISERROR(D906-G906),"",D906-G906)</f>
        <v>0</v>
      </c>
      <c r="J906" s="20">
        <f t="shared" ref="J906:J969" ca="1" si="137">IF(ISERROR(IF(I906="","",I906*IF(B906&gt;$D$19,1,$J$709)/C906)),0,IF(I906="","",I906*IF(B906&gt;$D$19,1,$J$709)/C906))</f>
        <v>0</v>
      </c>
      <c r="K906" s="5">
        <f t="shared" ref="K906:K969" ca="1" si="138">IF(ISERROR(J906*K$712),0,J906*K$712)</f>
        <v>0</v>
      </c>
      <c r="L906" s="61">
        <f t="shared" ref="L906:L969" ca="1" si="139">IF(L$709="SELIC - TRIBUTOS",0,IFERROR(K906*SUMPRODUCT($P$37:$BA$37,$P906:$BA906),0))</f>
        <v>0</v>
      </c>
      <c r="M906" s="64">
        <f t="shared" ref="M906:M969" si="140">IFERROR(SUM(P906:BA906),0)</f>
        <v>0</v>
      </c>
      <c r="N906" s="151"/>
      <c r="O906" s="5">
        <f t="shared" ref="O906:O969" ca="1" si="141">IF(ISERROR((K906+L906)*N$712),"",(K906+L906)*N$712)</f>
        <v>0</v>
      </c>
      <c r="P906" s="446" t="e">
        <f t="shared" ref="P906:P969" si="142">IF(OR($B906="",MIN(P$38,$D$19)&lt;MAX($P$708*($B906+IF($R$17="Distrato",$I$38-1,0)),IF(AND($L$711=0,$P$708=0),"",$L$711-1),IF($R$17="Distrato",$E906,0))),0,YEARFRAC(MAX($P$708*($B906+IF($R$17="Distrato",$I$38-1,0)),IF(AND($L$711=0,$P$708=0),"",$L$711-1),IF($R$17="Distrato",$E906,0)),MIN(P$38,$D$19),$P$20))</f>
        <v>#VALUE!</v>
      </c>
      <c r="Q906" s="446" t="e">
        <f>IF(OR($B906="",MIN(Q$38,$D$19)&lt;MAX($P$708*($B906+IF($R$17="Distrato",$I$38-1,0)),IF(AND($L$711=0,$P$708=0),"",$L$711-1),IF($R$17="Distrato",$E906,0))),0,YEARFRAC(MAX($P$708*($B906+IF($R$17="Distrato",$I$38-1,0)),IF(AND($L$711=0,$P$708=0),"",$L$711-1),IF($R$17="Distrato",$E906,0)),MIN(Q$38,$D$19),$P$20))-SUM($P906:P906)</f>
        <v>#VALUE!</v>
      </c>
      <c r="R906" s="446" t="e">
        <f>IF(OR($B906="",MIN(R$38,$D$19)&lt;MAX($P$708*($B906+IF($R$17="Distrato",$I$38-1,0)),IF(AND($L$711=0,$P$708=0),"",$L$711-1),IF($R$17="Distrato",$E906,0))),0,YEARFRAC(MAX($P$708*($B906+IF($R$17="Distrato",$I$38-1,0)),IF(AND($L$711=0,$P$708=0),"",$L$711-1),IF($R$17="Distrato",$E906,0)),MIN(R$38,$D$19),$P$20))-SUM($P906:Q906)</f>
        <v>#VALUE!</v>
      </c>
      <c r="S906" s="446" t="e">
        <f>IF(OR($B906="",MIN(S$38,$D$19)&lt;MAX($P$708*($B906+IF($R$17="Distrato",$I$38-1,0)),IF(AND($L$711=0,$P$708=0),"",$L$711-1),IF($R$17="Distrato",$E906,0))),0,YEARFRAC(MAX($P$708*($B906+IF($R$17="Distrato",$I$38-1,0)),IF(AND($L$711=0,$P$708=0),"",$L$711-1),IF($R$17="Distrato",$E906,0)),MIN(S$38,$D$19),$P$20))-SUM($P906:R906)</f>
        <v>#VALUE!</v>
      </c>
      <c r="T906" s="446" t="e">
        <f>IF(OR($B906="",MIN(T$38,$D$19)&lt;MAX($P$708*($B906+IF($R$17="Distrato",$I$38-1,0)),IF(AND($L$711=0,$P$708=0),"",$L$711-1),IF($R$17="Distrato",$E906,0))),0,YEARFRAC(MAX($P$708*($B906+IF($R$17="Distrato",$I$38-1,0)),IF(AND($L$711=0,$P$708=0),"",$L$711-1),IF($R$17="Distrato",$E906,0)),MIN(T$38,$D$19),$P$20))-SUM($P906:S906)</f>
        <v>#VALUE!</v>
      </c>
      <c r="U906" s="446" t="e">
        <f>IF(OR($B906="",MIN(U$38,$D$19)&lt;MAX($P$708*($B906+IF($R$17="Distrato",$I$38-1,0)),IF(AND($L$711=0,$P$708=0),"",$L$711-1),IF($R$17="Distrato",$E906,0))),0,YEARFRAC(MAX($P$708*($B906+IF($R$17="Distrato",$I$38-1,0)),IF(AND($L$711=0,$P$708=0),"",$L$711-1),IF($R$17="Distrato",$E906,0)),MIN(U$38,$D$19),$P$20))-SUM($P906:T906)</f>
        <v>#VALUE!</v>
      </c>
      <c r="V906" s="446" t="e">
        <f>IF(OR($B906="",MIN(V$38,$D$19)&lt;MAX($P$708*($B906+IF($R$17="Distrato",$I$38-1,0)),IF(AND($L$711=0,$P$708=0),"",$L$711-1),IF($R$17="Distrato",$E906,0))),0,YEARFRAC(MAX($P$708*($B906+IF($R$17="Distrato",$I$38-1,0)),IF(AND($L$711=0,$P$708=0),"",$L$711-1),IF($R$17="Distrato",$E906,0)),MIN(V$38,$D$19),$P$20))-SUM($P906:U906)</f>
        <v>#VALUE!</v>
      </c>
      <c r="W906" s="446" t="e">
        <f>IF(OR($B906="",MIN(W$38,$D$19)&lt;MAX($P$708*($B906+IF($R$17="Distrato",$I$38-1,0)),IF(AND($L$711=0,$P$708=0),"",$L$711-1),IF($R$17="Distrato",$E906,0))),0,YEARFRAC(MAX($P$708*($B906+IF($R$17="Distrato",$I$38-1,0)),IF(AND($L$711=0,$P$708=0),"",$L$711-1),IF($R$17="Distrato",$E906,0)),MIN(W$38,$D$19),$P$20))-SUM($P906:V906)</f>
        <v>#VALUE!</v>
      </c>
      <c r="X906" s="446" t="e">
        <f>IF(OR($B906="",MIN(X$38,$D$19)&lt;MAX($P$708*($B906+IF($R$17="Distrato",$I$38-1,0)),IF(AND($L$711=0,$P$708=0),"",$L$711-1),IF($R$17="Distrato",$E906,0))),0,YEARFRAC(MAX($P$708*($B906+IF($R$17="Distrato",$I$38-1,0)),IF(AND($L$711=0,$P$708=0),"",$L$711-1),IF($R$17="Distrato",$E906,0)),MIN(X$38,$D$19),$P$20))-SUM($P906:W906)</f>
        <v>#VALUE!</v>
      </c>
      <c r="Y906" s="446" t="e">
        <f>IF(OR($B906="",MIN(Y$38,$D$19)&lt;MAX($P$708*($B906+IF($R$17="Distrato",$I$38-1,0)),IF(AND($L$711=0,$P$708=0),"",$L$711-1),IF($R$17="Distrato",$E906,0))),0,YEARFRAC(MAX($P$708*($B906+IF($R$17="Distrato",$I$38-1,0)),IF(AND($L$711=0,$P$708=0),"",$L$711-1),IF($R$17="Distrato",$E906,0)),MIN(Y$38,$D$19),$P$20))-SUM($P906:X906)</f>
        <v>#VALUE!</v>
      </c>
      <c r="Z906" s="446" t="e">
        <f>IF(OR($B906="",MIN(Z$38,$D$19)&lt;MAX($P$708*($B906+IF($R$17="Distrato",$I$38-1,0)),IF(AND($L$711=0,$P$708=0),"",$L$711-1),IF($R$17="Distrato",$E906,0))),0,YEARFRAC(MAX($P$708*($B906+IF($R$17="Distrato",$I$38-1,0)),IF(AND($L$711=0,$P$708=0),"",$L$711-1),IF($R$17="Distrato",$E906,0)),MIN(Z$38,$D$19),$P$20))-SUM($P906:Y906)</f>
        <v>#VALUE!</v>
      </c>
      <c r="AA906" s="446" t="e">
        <f>IF(OR($B906="",MIN(AA$38,$D$19)&lt;MAX($P$708*($B906+IF($R$17="Distrato",$I$38-1,0)),IF(AND($L$711=0,$P$708=0),"",$L$711-1),IF($R$17="Distrato",$E906,0))),0,YEARFRAC(MAX($P$708*($B906+IF($R$17="Distrato",$I$38-1,0)),IF(AND($L$711=0,$P$708=0),"",$L$711-1),IF($R$17="Distrato",$E906,0)),MIN(AA$38,$D$19),$P$20))-SUM($P906:Z906)</f>
        <v>#VALUE!</v>
      </c>
      <c r="AB906" s="446" t="e">
        <f>IF(OR($B906="",MIN(AB$38,$D$19)&lt;MAX($P$708*($B906+IF($R$17="Distrato",$I$38-1,0)),IF(AND($L$711=0,$P$708=0),"",$L$711-1),IF($R$17="Distrato",$E906,0))),0,YEARFRAC(MAX($P$708*($B906+IF($R$17="Distrato",$I$38-1,0)),IF(AND($L$711=0,$P$708=0),"",$L$711-1),IF($R$17="Distrato",$E906,0)),MIN(AB$38,$D$19),$P$20))-SUM($P906:AA906)</f>
        <v>#VALUE!</v>
      </c>
      <c r="AC906" s="446" t="e">
        <f>IF(OR($B906="",MIN(AC$38,$D$19)&lt;MAX($P$708*($B906+IF($R$17="Distrato",$I$38-1,0)),IF(AND($L$711=0,$P$708=0),"",$L$711-1),IF($R$17="Distrato",$E906,0))),0,YEARFRAC(MAX($P$708*($B906+IF($R$17="Distrato",$I$38-1,0)),IF(AND($L$711=0,$P$708=0),"",$L$711-1),IF($R$17="Distrato",$E906,0)),MIN(AC$38,$D$19),$P$20))-SUM($P906:AB906)</f>
        <v>#VALUE!</v>
      </c>
      <c r="AD906" s="446" t="e">
        <f>IF(OR($B906="",MIN(AD$38,$D$19)&lt;MAX($P$708*($B906+IF($R$17="Distrato",$I$38-1,0)),IF(AND($L$711=0,$P$708=0),"",$L$711-1),IF($R$17="Distrato",$E906,0))),0,YEARFRAC(MAX($P$708*($B906+IF($R$17="Distrato",$I$38-1,0)),IF(AND($L$711=0,$P$708=0),"",$L$711-1),IF($R$17="Distrato",$E906,0)),MIN(AD$38,$D$19),$P$20))-SUM($P906:AC906)</f>
        <v>#VALUE!</v>
      </c>
      <c r="AE906" s="446" t="e">
        <f>IF(OR($B906="",MIN(AE$38,$D$19)&lt;MAX($P$708*($B906+IF($R$17="Distrato",$I$38-1,0)),IF(AND($L$711=0,$P$708=0),"",$L$711-1),IF($R$17="Distrato",$E906,0))),0,YEARFRAC(MAX($P$708*($B906+IF($R$17="Distrato",$I$38-1,0)),IF(AND($L$711=0,$P$708=0),"",$L$711-1),IF($R$17="Distrato",$E906,0)),MIN(AE$38,$D$19),$P$20))-SUM($P906:AD906)</f>
        <v>#VALUE!</v>
      </c>
      <c r="AF906" s="446" t="e">
        <f>IF(OR($B906="",MIN(AF$38,$D$19)&lt;MAX($P$708*($B906+IF($R$17="Distrato",$I$38-1,0)),IF(AND($L$711=0,$P$708=0),"",$L$711-1),IF($R$17="Distrato",$E906,0))),0,YEARFRAC(MAX($P$708*($B906+IF($R$17="Distrato",$I$38-1,0)),IF(AND($L$711=0,$P$708=0),"",$L$711-1),IF($R$17="Distrato",$E906,0)),MIN(AF$38,$D$19),$P$20))-SUM($P906:AE906)</f>
        <v>#VALUE!</v>
      </c>
      <c r="AG906" s="446" t="e">
        <f>IF(OR($B906="",MIN(AG$38,$D$19)&lt;MAX($P$708*($B906+IF($R$17="Distrato",$I$38-1,0)),IF(AND($L$711=0,$P$708=0),"",$L$711-1),IF($R$17="Distrato",$E906,0))),0,YEARFRAC(MAX($P$708*($B906+IF($R$17="Distrato",$I$38-1,0)),IF(AND($L$711=0,$P$708=0),"",$L$711-1),IF($R$17="Distrato",$E906,0)),MIN(AG$38,$D$19),$P$20))-SUM($P906:AF906)</f>
        <v>#VALUE!</v>
      </c>
      <c r="AH906" s="446" t="e">
        <f>IF(OR($B906="",MIN(AH$38,$D$19)&lt;MAX($P$708*($B906+IF($R$17="Distrato",$I$38-1,0)),IF(AND($L$711=0,$P$708=0),"",$L$711-1),IF($R$17="Distrato",$E906,0))),0,YEARFRAC(MAX($P$708*($B906+IF($R$17="Distrato",$I$38-1,0)),IF(AND($L$711=0,$P$708=0),"",$L$711-1),IF($R$17="Distrato",$E906,0)),MIN(AH$38,$D$19),$P$20))-SUM($P906:AG906)</f>
        <v>#VALUE!</v>
      </c>
      <c r="AI906" s="446" t="e">
        <f>IF(OR($B906="",MIN(AI$38,$D$19)&lt;MAX($P$708*($B906+IF($R$17="Distrato",$I$38-1,0)),IF(AND($L$711=0,$P$708=0),"",$L$711-1),IF($R$17="Distrato",$E906,0))),0,YEARFRAC(MAX($P$708*($B906+IF($R$17="Distrato",$I$38-1,0)),IF(AND($L$711=0,$P$708=0),"",$L$711-1),IF($R$17="Distrato",$E906,0)),MIN(AI$38,$D$19),$P$20))-SUM($P906:AH906)</f>
        <v>#VALUE!</v>
      </c>
      <c r="AJ906" s="446" t="e">
        <f>IF(OR($B906="",MIN(AJ$38,$D$19)&lt;MAX($P$708*($B906+IF($R$17="Distrato",$I$38-1,0)),IF(AND($L$711=0,$P$708=0),"",$L$711-1),IF($R$17="Distrato",$E906,0))),0,YEARFRAC(MAX($P$708*($B906+IF($R$17="Distrato",$I$38-1,0)),IF(AND($L$711=0,$P$708=0),"",$L$711-1),IF($R$17="Distrato",$E906,0)),MIN(AJ$38,$D$19),$P$20))-SUM($P906:AI906)</f>
        <v>#VALUE!</v>
      </c>
      <c r="AK906" s="446" t="e">
        <f>IF(OR($B906="",MIN(AK$38,$D$19)&lt;MAX($P$708*($B906+IF($R$17="Distrato",$I$38-1,0)),IF(AND($L$711=0,$P$708=0),"",$L$711-1),IF($R$17="Distrato",$E906,0))),0,YEARFRAC(MAX($P$708*($B906+IF($R$17="Distrato",$I$38-1,0)),IF(AND($L$711=0,$P$708=0),"",$L$711-1),IF($R$17="Distrato",$E906,0)),MIN(AK$38,$D$19),$P$20))-SUM($P906:AJ906)</f>
        <v>#VALUE!</v>
      </c>
      <c r="AL906" s="446" t="e">
        <f>IF(OR($B906="",MIN(AL$38,$D$19)&lt;MAX($P$708*($B906+IF($R$17="Distrato",$I$38-1,0)),IF(AND($L$711=0,$P$708=0),"",$L$711-1),IF($R$17="Distrato",$E906,0))),0,YEARFRAC(MAX($P$708*($B906+IF($R$17="Distrato",$I$38-1,0)),IF(AND($L$711=0,$P$708=0),"",$L$711-1),IF($R$17="Distrato",$E906,0)),MIN(AL$38,$D$19),$P$20))-SUM($P906:AK906)</f>
        <v>#VALUE!</v>
      </c>
      <c r="AM906" s="446" t="e">
        <f>IF(OR($B906="",MIN(AM$38,$D$19)&lt;MAX($P$708*($B906+IF($R$17="Distrato",$I$38-1,0)),IF(AND($L$711=0,$P$708=0),"",$L$711-1),IF($R$17="Distrato",$E906,0))),0,YEARFRAC(MAX($P$708*($B906+IF($R$17="Distrato",$I$38-1,0)),IF(AND($L$711=0,$P$708=0),"",$L$711-1),IF($R$17="Distrato",$E906,0)),MIN(AM$38,$D$19),$P$20))-SUM($P906:AL906)</f>
        <v>#VALUE!</v>
      </c>
      <c r="AN906" s="446" t="e">
        <f>IF(OR($B906="",MIN(AN$38,$D$19)&lt;MAX($P$708*($B906+IF($R$17="Distrato",$I$38-1,0)),IF(AND($L$711=0,$P$708=0),"",$L$711-1),IF($R$17="Distrato",$E906,0))),0,YEARFRAC(MAX($P$708*($B906+IF($R$17="Distrato",$I$38-1,0)),IF(AND($L$711=0,$P$708=0),"",$L$711-1),IF($R$17="Distrato",$E906,0)),MIN(AN$38,$D$19),$P$20))-SUM($P906:AM906)</f>
        <v>#VALUE!</v>
      </c>
      <c r="AO906" s="446" t="e">
        <f>IF(OR($B906="",MIN(AO$38,$D$19)&lt;MAX($P$708*($B906+IF($R$17="Distrato",$I$38-1,0)),IF(AND($L$711=0,$P$708=0),"",$L$711-1),IF($R$17="Distrato",$E906,0))),0,YEARFRAC(MAX($P$708*($B906+IF($R$17="Distrato",$I$38-1,0)),IF(AND($L$711=0,$P$708=0),"",$L$711-1),IF($R$17="Distrato",$E906,0)),MIN(AO$38,$D$19),$P$20))-SUM($P906:AN906)</f>
        <v>#VALUE!</v>
      </c>
      <c r="AP906" s="446" t="e">
        <f>IF(OR($B906="",MIN(AP$38,$D$19)&lt;MAX($P$708*($B906+IF($R$17="Distrato",$I$38-1,0)),IF(AND($L$711=0,$P$708=0),"",$L$711-1),IF($R$17="Distrato",$E906,0))),0,YEARFRAC(MAX($P$708*($B906+IF($R$17="Distrato",$I$38-1,0)),IF(AND($L$711=0,$P$708=0),"",$L$711-1),IF($R$17="Distrato",$E906,0)),MIN(AP$38,$D$19),$P$20))-SUM($P906:AO906)</f>
        <v>#VALUE!</v>
      </c>
      <c r="AQ906" s="446" t="e">
        <f>IF(OR($B906="",MIN(AQ$38,$D$19)&lt;MAX($P$708*($B906+IF($R$17="Distrato",$I$38-1,0)),IF(AND($L$711=0,$P$708=0),"",$L$711-1),IF($R$17="Distrato",$E906,0))),0,YEARFRAC(MAX($P$708*($B906+IF($R$17="Distrato",$I$38-1,0)),IF(AND($L$711=0,$P$708=0),"",$L$711-1),IF($R$17="Distrato",$E906,0)),MIN(AQ$38,$D$19),$P$20))-SUM($P906:AP906)</f>
        <v>#VALUE!</v>
      </c>
      <c r="AR906" s="446" t="e">
        <f>IF(OR($B906="",MIN(AR$38,$D$19)&lt;MAX($P$708*($B906+IF($R$17="Distrato",$I$38-1,0)),IF(AND($L$711=0,$P$708=0),"",$L$711-1),IF($R$17="Distrato",$E906,0))),0,YEARFRAC(MAX($P$708*($B906+IF($R$17="Distrato",$I$38-1,0)),IF(AND($L$711=0,$P$708=0),"",$L$711-1),IF($R$17="Distrato",$E906,0)),MIN(AR$38,$D$19),$P$20))-SUM($P906:AQ906)</f>
        <v>#VALUE!</v>
      </c>
      <c r="AS906" s="446" t="e">
        <f>IF(OR($B906="",MIN(AS$38,$D$19)&lt;MAX($P$708*($B906+IF($R$17="Distrato",$I$38-1,0)),IF(AND($L$711=0,$P$708=0),"",$L$711-1),IF($R$17="Distrato",$E906,0))),0,YEARFRAC(MAX($P$708*($B906+IF($R$17="Distrato",$I$38-1,0)),IF(AND($L$711=0,$P$708=0),"",$L$711-1),IF($R$17="Distrato",$E906,0)),MIN(AS$38,$D$19),$P$20))-SUM($P906:AR906)</f>
        <v>#VALUE!</v>
      </c>
      <c r="AT906" s="446" t="e">
        <f>IF(OR($B906="",MIN(AT$38,$D$19)&lt;MAX($P$708*($B906+IF($R$17="Distrato",$I$38-1,0)),IF(AND($L$711=0,$P$708=0),"",$L$711-1),IF($R$17="Distrato",$E906,0))),0,YEARFRAC(MAX($P$708*($B906+IF($R$17="Distrato",$I$38-1,0)),IF(AND($L$711=0,$P$708=0),"",$L$711-1),IF($R$17="Distrato",$E906,0)),MIN(AT$38,$D$19),$P$20))-SUM($P906:AS906)</f>
        <v>#VALUE!</v>
      </c>
      <c r="AU906" s="446" t="e">
        <f>IF(OR($B906="",MIN(AU$38,$D$19)&lt;MAX($P$708*($B906+IF($R$17="Distrato",$I$38-1,0)),IF(AND($L$711=0,$P$708=0),"",$L$711-1),IF($R$17="Distrato",$E906,0))),0,YEARFRAC(MAX($P$708*($B906+IF($R$17="Distrato",$I$38-1,0)),IF(AND($L$711=0,$P$708=0),"",$L$711-1),IF($R$17="Distrato",$E906,0)),MIN(AU$38,$D$19),$P$20))-SUM($P906:AT906)</f>
        <v>#VALUE!</v>
      </c>
      <c r="AV906" s="446" t="e">
        <f>IF(OR($B906="",MIN(AV$38,$D$19)&lt;MAX($P$708*($B906+IF($R$17="Distrato",$I$38-1,0)),IF(AND($L$711=0,$P$708=0),"",$L$711-1),IF($R$17="Distrato",$E906,0))),0,YEARFRAC(MAX($P$708*($B906+IF($R$17="Distrato",$I$38-1,0)),IF(AND($L$711=0,$P$708=0),"",$L$711-1),IF($R$17="Distrato",$E906,0)),MIN(AV$38,$D$19),$P$20))-SUM($P906:AU906)</f>
        <v>#VALUE!</v>
      </c>
      <c r="AW906" s="446" t="e">
        <f>IF(OR($B906="",MIN(AW$38,$D$19)&lt;MAX($P$708*($B906+IF($R$17="Distrato",$I$38-1,0)),IF(AND($L$711=0,$P$708=0),"",$L$711-1),IF($R$17="Distrato",$E906,0))),0,YEARFRAC(MAX($P$708*($B906+IF($R$17="Distrato",$I$38-1,0)),IF(AND($L$711=0,$P$708=0),"",$L$711-1),IF($R$17="Distrato",$E906,0)),MIN(AW$38,$D$19),$P$20))-SUM($P906:AV906)</f>
        <v>#VALUE!</v>
      </c>
      <c r="AX906" s="446" t="e">
        <f>IF(OR($B906="",MIN(AX$38,$D$19)&lt;MAX($P$708*($B906+IF($R$17="Distrato",$I$38-1,0)),IF(AND($L$711=0,$P$708=0),"",$L$711-1),IF($R$17="Distrato",$E906,0))),0,YEARFRAC(MAX($P$708*($B906+IF($R$17="Distrato",$I$38-1,0)),IF(AND($L$711=0,$P$708=0),"",$L$711-1),IF($R$17="Distrato",$E906,0)),MIN(AX$38,$D$19),$P$20))-SUM($P906:AW906)</f>
        <v>#VALUE!</v>
      </c>
      <c r="AY906" s="446" t="e">
        <f>IF(OR($B906="",MIN(AY$38,$D$19)&lt;MAX($P$708*($B906+IF($R$17="Distrato",$I$38-1,0)),IF(AND($L$711=0,$P$708=0),"",$L$711-1),IF($R$17="Distrato",$E906,0))),0,YEARFRAC(MAX($P$708*($B906+IF($R$17="Distrato",$I$38-1,0)),IF(AND($L$711=0,$P$708=0),"",$L$711-1),IF($R$17="Distrato",$E906,0)),MIN(AY$38,$D$19),$P$20))-SUM($P906:AX906)</f>
        <v>#VALUE!</v>
      </c>
      <c r="AZ906" s="446" t="e">
        <f>IF(OR($B906="",MIN(AZ$38,$D$19)&lt;MAX($P$708*($B906+IF($R$17="Distrato",$I$38-1,0)),IF(AND($L$711=0,$P$708=0),"",$L$711-1),IF($R$17="Distrato",$E906,0))),0,YEARFRAC(MAX($P$708*($B906+IF($R$17="Distrato",$I$38-1,0)),IF(AND($L$711=0,$P$708=0),"",$L$711-1),IF($R$17="Distrato",$E906,0)),MIN(AZ$38,$D$19),$P$20))-SUM($P906:AY906)</f>
        <v>#VALUE!</v>
      </c>
      <c r="BA906" s="446" t="e">
        <f>IF(OR($B906="",MIN(BA$38,$D$19)&lt;MAX($P$708*($B906+IF($R$17="Distrato",$I$38-1,0)),IF(AND($L$711=0,$P$708=0),"",$L$711-1),IF($R$17="Distrato",$E906,0))),0,YEARFRAC(MAX($P$708*($B906+IF($R$17="Distrato",$I$38-1,0)),IF(AND($L$711=0,$P$708=0),"",$L$711-1),IF($R$17="Distrato",$E906,0)),MIN(BA$38,$D$19),$P$20))-SUM($P906:AZ906)</f>
        <v>#VALUE!</v>
      </c>
      <c r="BB906" s="447"/>
    </row>
    <row r="907" spans="1:54" s="446" customFormat="1" ht="11.25" hidden="1" customHeight="1" x14ac:dyDescent="0.2">
      <c r="A907" s="235"/>
      <c r="B907" s="236"/>
      <c r="C907" s="29" t="str">
        <f>IF(B907="","",IF($L$709=$BL$25,VLOOKUP(DATE(YEAR($D$19),MONTH($D$19)-1,1),ÍNDICES!$A:$DE,HLOOKUP($BL$25,ÍNDICES!$B$3:$T$4,2)+11)-VLOOKUP(B907,ÍNDICES!$A:$DE,HLOOKUP($BL$25,ÍNDICES!$B$3:$T$4,2)+11)+1%,IF(C$712=$W$26,$J$35,IF(ISERROR(IF(B907&gt;$D$19,1,VLOOKUP(DATE(YEAR(B907),MONTH(B907)+IF($C$709=$S$23,1,0),1),ÍNDICES!$A:$DE,$Z$709+1))),"",IF(B907&gt;$D$19,1,VLOOKUP(DATE(YEAR(B907),MONTH(B907)+IF($C$709=$S$23,1,0),1),ÍNDICES!$A:$DE,$Z$709+1))))))</f>
        <v/>
      </c>
      <c r="D907" s="155"/>
      <c r="E907" s="88"/>
      <c r="F907" s="88"/>
      <c r="G907" s="88"/>
      <c r="H907" s="118"/>
      <c r="I907" s="182">
        <f t="shared" si="136"/>
        <v>0</v>
      </c>
      <c r="J907" s="20">
        <f t="shared" ca="1" si="137"/>
        <v>0</v>
      </c>
      <c r="K907" s="5">
        <f t="shared" ca="1" si="138"/>
        <v>0</v>
      </c>
      <c r="L907" s="61">
        <f t="shared" ca="1" si="139"/>
        <v>0</v>
      </c>
      <c r="M907" s="64">
        <f t="shared" si="140"/>
        <v>0</v>
      </c>
      <c r="N907" s="151"/>
      <c r="O907" s="5">
        <f t="shared" ca="1" si="141"/>
        <v>0</v>
      </c>
      <c r="P907" s="446" t="e">
        <f t="shared" si="142"/>
        <v>#VALUE!</v>
      </c>
      <c r="Q907" s="446" t="e">
        <f>IF(OR($B907="",MIN(Q$38,$D$19)&lt;MAX($P$708*($B907+IF($R$17="Distrato",$I$38-1,0)),IF(AND($L$711=0,$P$708=0),"",$L$711-1),IF($R$17="Distrato",$E907,0))),0,YEARFRAC(MAX($P$708*($B907+IF($R$17="Distrato",$I$38-1,0)),IF(AND($L$711=0,$P$708=0),"",$L$711-1),IF($R$17="Distrato",$E907,0)),MIN(Q$38,$D$19),$P$20))-SUM($P907:P907)</f>
        <v>#VALUE!</v>
      </c>
      <c r="R907" s="446" t="e">
        <f>IF(OR($B907="",MIN(R$38,$D$19)&lt;MAX($P$708*($B907+IF($R$17="Distrato",$I$38-1,0)),IF(AND($L$711=0,$P$708=0),"",$L$711-1),IF($R$17="Distrato",$E907,0))),0,YEARFRAC(MAX($P$708*($B907+IF($R$17="Distrato",$I$38-1,0)),IF(AND($L$711=0,$P$708=0),"",$L$711-1),IF($R$17="Distrato",$E907,0)),MIN(R$38,$D$19),$P$20))-SUM($P907:Q907)</f>
        <v>#VALUE!</v>
      </c>
      <c r="S907" s="446" t="e">
        <f>IF(OR($B907="",MIN(S$38,$D$19)&lt;MAX($P$708*($B907+IF($R$17="Distrato",$I$38-1,0)),IF(AND($L$711=0,$P$708=0),"",$L$711-1),IF($R$17="Distrato",$E907,0))),0,YEARFRAC(MAX($P$708*($B907+IF($R$17="Distrato",$I$38-1,0)),IF(AND($L$711=0,$P$708=0),"",$L$711-1),IF($R$17="Distrato",$E907,0)),MIN(S$38,$D$19),$P$20))-SUM($P907:R907)</f>
        <v>#VALUE!</v>
      </c>
      <c r="T907" s="446" t="e">
        <f>IF(OR($B907="",MIN(T$38,$D$19)&lt;MAX($P$708*($B907+IF($R$17="Distrato",$I$38-1,0)),IF(AND($L$711=0,$P$708=0),"",$L$711-1),IF($R$17="Distrato",$E907,0))),0,YEARFRAC(MAX($P$708*($B907+IF($R$17="Distrato",$I$38-1,0)),IF(AND($L$711=0,$P$708=0),"",$L$711-1),IF($R$17="Distrato",$E907,0)),MIN(T$38,$D$19),$P$20))-SUM($P907:S907)</f>
        <v>#VALUE!</v>
      </c>
      <c r="U907" s="446" t="e">
        <f>IF(OR($B907="",MIN(U$38,$D$19)&lt;MAX($P$708*($B907+IF($R$17="Distrato",$I$38-1,0)),IF(AND($L$711=0,$P$708=0),"",$L$711-1),IF($R$17="Distrato",$E907,0))),0,YEARFRAC(MAX($P$708*($B907+IF($R$17="Distrato",$I$38-1,0)),IF(AND($L$711=0,$P$708=0),"",$L$711-1),IF($R$17="Distrato",$E907,0)),MIN(U$38,$D$19),$P$20))-SUM($P907:T907)</f>
        <v>#VALUE!</v>
      </c>
      <c r="V907" s="446" t="e">
        <f>IF(OR($B907="",MIN(V$38,$D$19)&lt;MAX($P$708*($B907+IF($R$17="Distrato",$I$38-1,0)),IF(AND($L$711=0,$P$708=0),"",$L$711-1),IF($R$17="Distrato",$E907,0))),0,YEARFRAC(MAX($P$708*($B907+IF($R$17="Distrato",$I$38-1,0)),IF(AND($L$711=0,$P$708=0),"",$L$711-1),IF($R$17="Distrato",$E907,0)),MIN(V$38,$D$19),$P$20))-SUM($P907:U907)</f>
        <v>#VALUE!</v>
      </c>
      <c r="W907" s="446" t="e">
        <f>IF(OR($B907="",MIN(W$38,$D$19)&lt;MAX($P$708*($B907+IF($R$17="Distrato",$I$38-1,0)),IF(AND($L$711=0,$P$708=0),"",$L$711-1),IF($R$17="Distrato",$E907,0))),0,YEARFRAC(MAX($P$708*($B907+IF($R$17="Distrato",$I$38-1,0)),IF(AND($L$711=0,$P$708=0),"",$L$711-1),IF($R$17="Distrato",$E907,0)),MIN(W$38,$D$19),$P$20))-SUM($P907:V907)</f>
        <v>#VALUE!</v>
      </c>
      <c r="X907" s="446" t="e">
        <f>IF(OR($B907="",MIN(X$38,$D$19)&lt;MAX($P$708*($B907+IF($R$17="Distrato",$I$38-1,0)),IF(AND($L$711=0,$P$708=0),"",$L$711-1),IF($R$17="Distrato",$E907,0))),0,YEARFRAC(MAX($P$708*($B907+IF($R$17="Distrato",$I$38-1,0)),IF(AND($L$711=0,$P$708=0),"",$L$711-1),IF($R$17="Distrato",$E907,0)),MIN(X$38,$D$19),$P$20))-SUM($P907:W907)</f>
        <v>#VALUE!</v>
      </c>
      <c r="Y907" s="446" t="e">
        <f>IF(OR($B907="",MIN(Y$38,$D$19)&lt;MAX($P$708*($B907+IF($R$17="Distrato",$I$38-1,0)),IF(AND($L$711=0,$P$708=0),"",$L$711-1),IF($R$17="Distrato",$E907,0))),0,YEARFRAC(MAX($P$708*($B907+IF($R$17="Distrato",$I$38-1,0)),IF(AND($L$711=0,$P$708=0),"",$L$711-1),IF($R$17="Distrato",$E907,0)),MIN(Y$38,$D$19),$P$20))-SUM($P907:X907)</f>
        <v>#VALUE!</v>
      </c>
      <c r="Z907" s="446" t="e">
        <f>IF(OR($B907="",MIN(Z$38,$D$19)&lt;MAX($P$708*($B907+IF($R$17="Distrato",$I$38-1,0)),IF(AND($L$711=0,$P$708=0),"",$L$711-1),IF($R$17="Distrato",$E907,0))),0,YEARFRAC(MAX($P$708*($B907+IF($R$17="Distrato",$I$38-1,0)),IF(AND($L$711=0,$P$708=0),"",$L$711-1),IF($R$17="Distrato",$E907,0)),MIN(Z$38,$D$19),$P$20))-SUM($P907:Y907)</f>
        <v>#VALUE!</v>
      </c>
      <c r="AA907" s="446" t="e">
        <f>IF(OR($B907="",MIN(AA$38,$D$19)&lt;MAX($P$708*($B907+IF($R$17="Distrato",$I$38-1,0)),IF(AND($L$711=0,$P$708=0),"",$L$711-1),IF($R$17="Distrato",$E907,0))),0,YEARFRAC(MAX($P$708*($B907+IF($R$17="Distrato",$I$38-1,0)),IF(AND($L$711=0,$P$708=0),"",$L$711-1),IF($R$17="Distrato",$E907,0)),MIN(AA$38,$D$19),$P$20))-SUM($P907:Z907)</f>
        <v>#VALUE!</v>
      </c>
      <c r="AB907" s="446" t="e">
        <f>IF(OR($B907="",MIN(AB$38,$D$19)&lt;MAX($P$708*($B907+IF($R$17="Distrato",$I$38-1,0)),IF(AND($L$711=0,$P$708=0),"",$L$711-1),IF($R$17="Distrato",$E907,0))),0,YEARFRAC(MAX($P$708*($B907+IF($R$17="Distrato",$I$38-1,0)),IF(AND($L$711=0,$P$708=0),"",$L$711-1),IF($R$17="Distrato",$E907,0)),MIN(AB$38,$D$19),$P$20))-SUM($P907:AA907)</f>
        <v>#VALUE!</v>
      </c>
      <c r="AC907" s="446" t="e">
        <f>IF(OR($B907="",MIN(AC$38,$D$19)&lt;MAX($P$708*($B907+IF($R$17="Distrato",$I$38-1,0)),IF(AND($L$711=0,$P$708=0),"",$L$711-1),IF($R$17="Distrato",$E907,0))),0,YEARFRAC(MAX($P$708*($B907+IF($R$17="Distrato",$I$38-1,0)),IF(AND($L$711=0,$P$708=0),"",$L$711-1),IF($R$17="Distrato",$E907,0)),MIN(AC$38,$D$19),$P$20))-SUM($P907:AB907)</f>
        <v>#VALUE!</v>
      </c>
      <c r="AD907" s="446" t="e">
        <f>IF(OR($B907="",MIN(AD$38,$D$19)&lt;MAX($P$708*($B907+IF($R$17="Distrato",$I$38-1,0)),IF(AND($L$711=0,$P$708=0),"",$L$711-1),IF($R$17="Distrato",$E907,0))),0,YEARFRAC(MAX($P$708*($B907+IF($R$17="Distrato",$I$38-1,0)),IF(AND($L$711=0,$P$708=0),"",$L$711-1),IF($R$17="Distrato",$E907,0)),MIN(AD$38,$D$19),$P$20))-SUM($P907:AC907)</f>
        <v>#VALUE!</v>
      </c>
      <c r="AE907" s="446" t="e">
        <f>IF(OR($B907="",MIN(AE$38,$D$19)&lt;MAX($P$708*($B907+IF($R$17="Distrato",$I$38-1,0)),IF(AND($L$711=0,$P$708=0),"",$L$711-1),IF($R$17="Distrato",$E907,0))),0,YEARFRAC(MAX($P$708*($B907+IF($R$17="Distrato",$I$38-1,0)),IF(AND($L$711=0,$P$708=0),"",$L$711-1),IF($R$17="Distrato",$E907,0)),MIN(AE$38,$D$19),$P$20))-SUM($P907:AD907)</f>
        <v>#VALUE!</v>
      </c>
      <c r="AF907" s="446" t="e">
        <f>IF(OR($B907="",MIN(AF$38,$D$19)&lt;MAX($P$708*($B907+IF($R$17="Distrato",$I$38-1,0)),IF(AND($L$711=0,$P$708=0),"",$L$711-1),IF($R$17="Distrato",$E907,0))),0,YEARFRAC(MAX($P$708*($B907+IF($R$17="Distrato",$I$38-1,0)),IF(AND($L$711=0,$P$708=0),"",$L$711-1),IF($R$17="Distrato",$E907,0)),MIN(AF$38,$D$19),$P$20))-SUM($P907:AE907)</f>
        <v>#VALUE!</v>
      </c>
      <c r="AG907" s="446" t="e">
        <f>IF(OR($B907="",MIN(AG$38,$D$19)&lt;MAX($P$708*($B907+IF($R$17="Distrato",$I$38-1,0)),IF(AND($L$711=0,$P$708=0),"",$L$711-1),IF($R$17="Distrato",$E907,0))),0,YEARFRAC(MAX($P$708*($B907+IF($R$17="Distrato",$I$38-1,0)),IF(AND($L$711=0,$P$708=0),"",$L$711-1),IF($R$17="Distrato",$E907,0)),MIN(AG$38,$D$19),$P$20))-SUM($P907:AF907)</f>
        <v>#VALUE!</v>
      </c>
      <c r="AH907" s="446" t="e">
        <f>IF(OR($B907="",MIN(AH$38,$D$19)&lt;MAX($P$708*($B907+IF($R$17="Distrato",$I$38-1,0)),IF(AND($L$711=0,$P$708=0),"",$L$711-1),IF($R$17="Distrato",$E907,0))),0,YEARFRAC(MAX($P$708*($B907+IF($R$17="Distrato",$I$38-1,0)),IF(AND($L$711=0,$P$708=0),"",$L$711-1),IF($R$17="Distrato",$E907,0)),MIN(AH$38,$D$19),$P$20))-SUM($P907:AG907)</f>
        <v>#VALUE!</v>
      </c>
      <c r="AI907" s="446" t="e">
        <f>IF(OR($B907="",MIN(AI$38,$D$19)&lt;MAX($P$708*($B907+IF($R$17="Distrato",$I$38-1,0)),IF(AND($L$711=0,$P$708=0),"",$L$711-1),IF($R$17="Distrato",$E907,0))),0,YEARFRAC(MAX($P$708*($B907+IF($R$17="Distrato",$I$38-1,0)),IF(AND($L$711=0,$P$708=0),"",$L$711-1),IF($R$17="Distrato",$E907,0)),MIN(AI$38,$D$19),$P$20))-SUM($P907:AH907)</f>
        <v>#VALUE!</v>
      </c>
      <c r="AJ907" s="446" t="e">
        <f>IF(OR($B907="",MIN(AJ$38,$D$19)&lt;MAX($P$708*($B907+IF($R$17="Distrato",$I$38-1,0)),IF(AND($L$711=0,$P$708=0),"",$L$711-1),IF($R$17="Distrato",$E907,0))),0,YEARFRAC(MAX($P$708*($B907+IF($R$17="Distrato",$I$38-1,0)),IF(AND($L$711=0,$P$708=0),"",$L$711-1),IF($R$17="Distrato",$E907,0)),MIN(AJ$38,$D$19),$P$20))-SUM($P907:AI907)</f>
        <v>#VALUE!</v>
      </c>
      <c r="AK907" s="446" t="e">
        <f>IF(OR($B907="",MIN(AK$38,$D$19)&lt;MAX($P$708*($B907+IF($R$17="Distrato",$I$38-1,0)),IF(AND($L$711=0,$P$708=0),"",$L$711-1),IF($R$17="Distrato",$E907,0))),0,YEARFRAC(MAX($P$708*($B907+IF($R$17="Distrato",$I$38-1,0)),IF(AND($L$711=0,$P$708=0),"",$L$711-1),IF($R$17="Distrato",$E907,0)),MIN(AK$38,$D$19),$P$20))-SUM($P907:AJ907)</f>
        <v>#VALUE!</v>
      </c>
      <c r="AL907" s="446" t="e">
        <f>IF(OR($B907="",MIN(AL$38,$D$19)&lt;MAX($P$708*($B907+IF($R$17="Distrato",$I$38-1,0)),IF(AND($L$711=0,$P$708=0),"",$L$711-1),IF($R$17="Distrato",$E907,0))),0,YEARFRAC(MAX($P$708*($B907+IF($R$17="Distrato",$I$38-1,0)),IF(AND($L$711=0,$P$708=0),"",$L$711-1),IF($R$17="Distrato",$E907,0)),MIN(AL$38,$D$19),$P$20))-SUM($P907:AK907)</f>
        <v>#VALUE!</v>
      </c>
      <c r="AM907" s="446" t="e">
        <f>IF(OR($B907="",MIN(AM$38,$D$19)&lt;MAX($P$708*($B907+IF($R$17="Distrato",$I$38-1,0)),IF(AND($L$711=0,$P$708=0),"",$L$711-1),IF($R$17="Distrato",$E907,0))),0,YEARFRAC(MAX($P$708*($B907+IF($R$17="Distrato",$I$38-1,0)),IF(AND($L$711=0,$P$708=0),"",$L$711-1),IF($R$17="Distrato",$E907,0)),MIN(AM$38,$D$19),$P$20))-SUM($P907:AL907)</f>
        <v>#VALUE!</v>
      </c>
      <c r="AN907" s="446" t="e">
        <f>IF(OR($B907="",MIN(AN$38,$D$19)&lt;MAX($P$708*($B907+IF($R$17="Distrato",$I$38-1,0)),IF(AND($L$711=0,$P$708=0),"",$L$711-1),IF($R$17="Distrato",$E907,0))),0,YEARFRAC(MAX($P$708*($B907+IF($R$17="Distrato",$I$38-1,0)),IF(AND($L$711=0,$P$708=0),"",$L$711-1),IF($R$17="Distrato",$E907,0)),MIN(AN$38,$D$19),$P$20))-SUM($P907:AM907)</f>
        <v>#VALUE!</v>
      </c>
      <c r="AO907" s="446" t="e">
        <f>IF(OR($B907="",MIN(AO$38,$D$19)&lt;MAX($P$708*($B907+IF($R$17="Distrato",$I$38-1,0)),IF(AND($L$711=0,$P$708=0),"",$L$711-1),IF($R$17="Distrato",$E907,0))),0,YEARFRAC(MAX($P$708*($B907+IF($R$17="Distrato",$I$38-1,0)),IF(AND($L$711=0,$P$708=0),"",$L$711-1),IF($R$17="Distrato",$E907,0)),MIN(AO$38,$D$19),$P$20))-SUM($P907:AN907)</f>
        <v>#VALUE!</v>
      </c>
      <c r="AP907" s="446" t="e">
        <f>IF(OR($B907="",MIN(AP$38,$D$19)&lt;MAX($P$708*($B907+IF($R$17="Distrato",$I$38-1,0)),IF(AND($L$711=0,$P$708=0),"",$L$711-1),IF($R$17="Distrato",$E907,0))),0,YEARFRAC(MAX($P$708*($B907+IF($R$17="Distrato",$I$38-1,0)),IF(AND($L$711=0,$P$708=0),"",$L$711-1),IF($R$17="Distrato",$E907,0)),MIN(AP$38,$D$19),$P$20))-SUM($P907:AO907)</f>
        <v>#VALUE!</v>
      </c>
      <c r="AQ907" s="446" t="e">
        <f>IF(OR($B907="",MIN(AQ$38,$D$19)&lt;MAX($P$708*($B907+IF($R$17="Distrato",$I$38-1,0)),IF(AND($L$711=0,$P$708=0),"",$L$711-1),IF($R$17="Distrato",$E907,0))),0,YEARFRAC(MAX($P$708*($B907+IF($R$17="Distrato",$I$38-1,0)),IF(AND($L$711=0,$P$708=0),"",$L$711-1),IF($R$17="Distrato",$E907,0)),MIN(AQ$38,$D$19),$P$20))-SUM($P907:AP907)</f>
        <v>#VALUE!</v>
      </c>
      <c r="AR907" s="446" t="e">
        <f>IF(OR($B907="",MIN(AR$38,$D$19)&lt;MAX($P$708*($B907+IF($R$17="Distrato",$I$38-1,0)),IF(AND($L$711=0,$P$708=0),"",$L$711-1),IF($R$17="Distrato",$E907,0))),0,YEARFRAC(MAX($P$708*($B907+IF($R$17="Distrato",$I$38-1,0)),IF(AND($L$711=0,$P$708=0),"",$L$711-1),IF($R$17="Distrato",$E907,0)),MIN(AR$38,$D$19),$P$20))-SUM($P907:AQ907)</f>
        <v>#VALUE!</v>
      </c>
      <c r="AS907" s="446" t="e">
        <f>IF(OR($B907="",MIN(AS$38,$D$19)&lt;MAX($P$708*($B907+IF($R$17="Distrato",$I$38-1,0)),IF(AND($L$711=0,$P$708=0),"",$L$711-1),IF($R$17="Distrato",$E907,0))),0,YEARFRAC(MAX($P$708*($B907+IF($R$17="Distrato",$I$38-1,0)),IF(AND($L$711=0,$P$708=0),"",$L$711-1),IF($R$17="Distrato",$E907,0)),MIN(AS$38,$D$19),$P$20))-SUM($P907:AR907)</f>
        <v>#VALUE!</v>
      </c>
      <c r="AT907" s="446" t="e">
        <f>IF(OR($B907="",MIN(AT$38,$D$19)&lt;MAX($P$708*($B907+IF($R$17="Distrato",$I$38-1,0)),IF(AND($L$711=0,$P$708=0),"",$L$711-1),IF($R$17="Distrato",$E907,0))),0,YEARFRAC(MAX($P$708*($B907+IF($R$17="Distrato",$I$38-1,0)),IF(AND($L$711=0,$P$708=0),"",$L$711-1),IF($R$17="Distrato",$E907,0)),MIN(AT$38,$D$19),$P$20))-SUM($P907:AS907)</f>
        <v>#VALUE!</v>
      </c>
      <c r="AU907" s="446" t="e">
        <f>IF(OR($B907="",MIN(AU$38,$D$19)&lt;MAX($P$708*($B907+IF($R$17="Distrato",$I$38-1,0)),IF(AND($L$711=0,$P$708=0),"",$L$711-1),IF($R$17="Distrato",$E907,0))),0,YEARFRAC(MAX($P$708*($B907+IF($R$17="Distrato",$I$38-1,0)),IF(AND($L$711=0,$P$708=0),"",$L$711-1),IF($R$17="Distrato",$E907,0)),MIN(AU$38,$D$19),$P$20))-SUM($P907:AT907)</f>
        <v>#VALUE!</v>
      </c>
      <c r="AV907" s="446" t="e">
        <f>IF(OR($B907="",MIN(AV$38,$D$19)&lt;MAX($P$708*($B907+IF($R$17="Distrato",$I$38-1,0)),IF(AND($L$711=0,$P$708=0),"",$L$711-1),IF($R$17="Distrato",$E907,0))),0,YEARFRAC(MAX($P$708*($B907+IF($R$17="Distrato",$I$38-1,0)),IF(AND($L$711=0,$P$708=0),"",$L$711-1),IF($R$17="Distrato",$E907,0)),MIN(AV$38,$D$19),$P$20))-SUM($P907:AU907)</f>
        <v>#VALUE!</v>
      </c>
      <c r="AW907" s="446" t="e">
        <f>IF(OR($B907="",MIN(AW$38,$D$19)&lt;MAX($P$708*($B907+IF($R$17="Distrato",$I$38-1,0)),IF(AND($L$711=0,$P$708=0),"",$L$711-1),IF($R$17="Distrato",$E907,0))),0,YEARFRAC(MAX($P$708*($B907+IF($R$17="Distrato",$I$38-1,0)),IF(AND($L$711=0,$P$708=0),"",$L$711-1),IF($R$17="Distrato",$E907,0)),MIN(AW$38,$D$19),$P$20))-SUM($P907:AV907)</f>
        <v>#VALUE!</v>
      </c>
      <c r="AX907" s="446" t="e">
        <f>IF(OR($B907="",MIN(AX$38,$D$19)&lt;MAX($P$708*($B907+IF($R$17="Distrato",$I$38-1,0)),IF(AND($L$711=0,$P$708=0),"",$L$711-1),IF($R$17="Distrato",$E907,0))),0,YEARFRAC(MAX($P$708*($B907+IF($R$17="Distrato",$I$38-1,0)),IF(AND($L$711=0,$P$708=0),"",$L$711-1),IF($R$17="Distrato",$E907,0)),MIN(AX$38,$D$19),$P$20))-SUM($P907:AW907)</f>
        <v>#VALUE!</v>
      </c>
      <c r="AY907" s="446" t="e">
        <f>IF(OR($B907="",MIN(AY$38,$D$19)&lt;MAX($P$708*($B907+IF($R$17="Distrato",$I$38-1,0)),IF(AND($L$711=0,$P$708=0),"",$L$711-1),IF($R$17="Distrato",$E907,0))),0,YEARFRAC(MAX($P$708*($B907+IF($R$17="Distrato",$I$38-1,0)),IF(AND($L$711=0,$P$708=0),"",$L$711-1),IF($R$17="Distrato",$E907,0)),MIN(AY$38,$D$19),$P$20))-SUM($P907:AX907)</f>
        <v>#VALUE!</v>
      </c>
      <c r="AZ907" s="446" t="e">
        <f>IF(OR($B907="",MIN(AZ$38,$D$19)&lt;MAX($P$708*($B907+IF($R$17="Distrato",$I$38-1,0)),IF(AND($L$711=0,$P$708=0),"",$L$711-1),IF($R$17="Distrato",$E907,0))),0,YEARFRAC(MAX($P$708*($B907+IF($R$17="Distrato",$I$38-1,0)),IF(AND($L$711=0,$P$708=0),"",$L$711-1),IF($R$17="Distrato",$E907,0)),MIN(AZ$38,$D$19),$P$20))-SUM($P907:AY907)</f>
        <v>#VALUE!</v>
      </c>
      <c r="BA907" s="446" t="e">
        <f>IF(OR($B907="",MIN(BA$38,$D$19)&lt;MAX($P$708*($B907+IF($R$17="Distrato",$I$38-1,0)),IF(AND($L$711=0,$P$708=0),"",$L$711-1),IF($R$17="Distrato",$E907,0))),0,YEARFRAC(MAX($P$708*($B907+IF($R$17="Distrato",$I$38-1,0)),IF(AND($L$711=0,$P$708=0),"",$L$711-1),IF($R$17="Distrato",$E907,0)),MIN(BA$38,$D$19),$P$20))-SUM($P907:AZ907)</f>
        <v>#VALUE!</v>
      </c>
      <c r="BB907" s="447"/>
    </row>
    <row r="908" spans="1:54" s="446" customFormat="1" ht="11.25" hidden="1" customHeight="1" x14ac:dyDescent="0.2">
      <c r="A908" s="235"/>
      <c r="B908" s="236"/>
      <c r="C908" s="29" t="str">
        <f>IF(B908="","",IF($L$709=$BL$25,VLOOKUP(DATE(YEAR($D$19),MONTH($D$19)-1,1),ÍNDICES!$A:$DE,HLOOKUP($BL$25,ÍNDICES!$B$3:$T$4,2)+11)-VLOOKUP(B908,ÍNDICES!$A:$DE,HLOOKUP($BL$25,ÍNDICES!$B$3:$T$4,2)+11)+1%,IF(C$712=$W$26,$J$35,IF(ISERROR(IF(B908&gt;$D$19,1,VLOOKUP(DATE(YEAR(B908),MONTH(B908)+IF($C$709=$S$23,1,0),1),ÍNDICES!$A:$DE,$Z$709+1))),"",IF(B908&gt;$D$19,1,VLOOKUP(DATE(YEAR(B908),MONTH(B908)+IF($C$709=$S$23,1,0),1),ÍNDICES!$A:$DE,$Z$709+1))))))</f>
        <v/>
      </c>
      <c r="D908" s="155"/>
      <c r="E908" s="88"/>
      <c r="F908" s="88"/>
      <c r="G908" s="88"/>
      <c r="H908" s="118"/>
      <c r="I908" s="182">
        <f t="shared" si="136"/>
        <v>0</v>
      </c>
      <c r="J908" s="20">
        <f t="shared" ca="1" si="137"/>
        <v>0</v>
      </c>
      <c r="K908" s="5">
        <f t="shared" ca="1" si="138"/>
        <v>0</v>
      </c>
      <c r="L908" s="61">
        <f t="shared" ca="1" si="139"/>
        <v>0</v>
      </c>
      <c r="M908" s="64">
        <f t="shared" si="140"/>
        <v>0</v>
      </c>
      <c r="N908" s="151"/>
      <c r="O908" s="5">
        <f t="shared" ca="1" si="141"/>
        <v>0</v>
      </c>
      <c r="P908" s="446" t="e">
        <f t="shared" si="142"/>
        <v>#VALUE!</v>
      </c>
      <c r="Q908" s="446" t="e">
        <f>IF(OR($B908="",MIN(Q$38,$D$19)&lt;MAX($P$708*($B908+IF($R$17="Distrato",$I$38-1,0)),IF(AND($L$711=0,$P$708=0),"",$L$711-1),IF($R$17="Distrato",$E908,0))),0,YEARFRAC(MAX($P$708*($B908+IF($R$17="Distrato",$I$38-1,0)),IF(AND($L$711=0,$P$708=0),"",$L$711-1),IF($R$17="Distrato",$E908,0)),MIN(Q$38,$D$19),$P$20))-SUM($P908:P908)</f>
        <v>#VALUE!</v>
      </c>
      <c r="R908" s="446" t="e">
        <f>IF(OR($B908="",MIN(R$38,$D$19)&lt;MAX($P$708*($B908+IF($R$17="Distrato",$I$38-1,0)),IF(AND($L$711=0,$P$708=0),"",$L$711-1),IF($R$17="Distrato",$E908,0))),0,YEARFRAC(MAX($P$708*($B908+IF($R$17="Distrato",$I$38-1,0)),IF(AND($L$711=0,$P$708=0),"",$L$711-1),IF($R$17="Distrato",$E908,0)),MIN(R$38,$D$19),$P$20))-SUM($P908:Q908)</f>
        <v>#VALUE!</v>
      </c>
      <c r="S908" s="446" t="e">
        <f>IF(OR($B908="",MIN(S$38,$D$19)&lt;MAX($P$708*($B908+IF($R$17="Distrato",$I$38-1,0)),IF(AND($L$711=0,$P$708=0),"",$L$711-1),IF($R$17="Distrato",$E908,0))),0,YEARFRAC(MAX($P$708*($B908+IF($R$17="Distrato",$I$38-1,0)),IF(AND($L$711=0,$P$708=0),"",$L$711-1),IF($R$17="Distrato",$E908,0)),MIN(S$38,$D$19),$P$20))-SUM($P908:R908)</f>
        <v>#VALUE!</v>
      </c>
      <c r="T908" s="446" t="e">
        <f>IF(OR($B908="",MIN(T$38,$D$19)&lt;MAX($P$708*($B908+IF($R$17="Distrato",$I$38-1,0)),IF(AND($L$711=0,$P$708=0),"",$L$711-1),IF($R$17="Distrato",$E908,0))),0,YEARFRAC(MAX($P$708*($B908+IF($R$17="Distrato",$I$38-1,0)),IF(AND($L$711=0,$P$708=0),"",$L$711-1),IF($R$17="Distrato",$E908,0)),MIN(T$38,$D$19),$P$20))-SUM($P908:S908)</f>
        <v>#VALUE!</v>
      </c>
      <c r="U908" s="446" t="e">
        <f>IF(OR($B908="",MIN(U$38,$D$19)&lt;MAX($P$708*($B908+IF($R$17="Distrato",$I$38-1,0)),IF(AND($L$711=0,$P$708=0),"",$L$711-1),IF($R$17="Distrato",$E908,0))),0,YEARFRAC(MAX($P$708*($B908+IF($R$17="Distrato",$I$38-1,0)),IF(AND($L$711=0,$P$708=0),"",$L$711-1),IF($R$17="Distrato",$E908,0)),MIN(U$38,$D$19),$P$20))-SUM($P908:T908)</f>
        <v>#VALUE!</v>
      </c>
      <c r="V908" s="446" t="e">
        <f>IF(OR($B908="",MIN(V$38,$D$19)&lt;MAX($P$708*($B908+IF($R$17="Distrato",$I$38-1,0)),IF(AND($L$711=0,$P$708=0),"",$L$711-1),IF($R$17="Distrato",$E908,0))),0,YEARFRAC(MAX($P$708*($B908+IF($R$17="Distrato",$I$38-1,0)),IF(AND($L$711=0,$P$708=0),"",$L$711-1),IF($R$17="Distrato",$E908,0)),MIN(V$38,$D$19),$P$20))-SUM($P908:U908)</f>
        <v>#VALUE!</v>
      </c>
      <c r="W908" s="446" t="e">
        <f>IF(OR($B908="",MIN(W$38,$D$19)&lt;MAX($P$708*($B908+IF($R$17="Distrato",$I$38-1,0)),IF(AND($L$711=0,$P$708=0),"",$L$711-1),IF($R$17="Distrato",$E908,0))),0,YEARFRAC(MAX($P$708*($B908+IF($R$17="Distrato",$I$38-1,0)),IF(AND($L$711=0,$P$708=0),"",$L$711-1),IF($R$17="Distrato",$E908,0)),MIN(W$38,$D$19),$P$20))-SUM($P908:V908)</f>
        <v>#VALUE!</v>
      </c>
      <c r="X908" s="446" t="e">
        <f>IF(OR($B908="",MIN(X$38,$D$19)&lt;MAX($P$708*($B908+IF($R$17="Distrato",$I$38-1,0)),IF(AND($L$711=0,$P$708=0),"",$L$711-1),IF($R$17="Distrato",$E908,0))),0,YEARFRAC(MAX($P$708*($B908+IF($R$17="Distrato",$I$38-1,0)),IF(AND($L$711=0,$P$708=0),"",$L$711-1),IF($R$17="Distrato",$E908,0)),MIN(X$38,$D$19),$P$20))-SUM($P908:W908)</f>
        <v>#VALUE!</v>
      </c>
      <c r="Y908" s="446" t="e">
        <f>IF(OR($B908="",MIN(Y$38,$D$19)&lt;MAX($P$708*($B908+IF($R$17="Distrato",$I$38-1,0)),IF(AND($L$711=0,$P$708=0),"",$L$711-1),IF($R$17="Distrato",$E908,0))),0,YEARFRAC(MAX($P$708*($B908+IF($R$17="Distrato",$I$38-1,0)),IF(AND($L$711=0,$P$708=0),"",$L$711-1),IF($R$17="Distrato",$E908,0)),MIN(Y$38,$D$19),$P$20))-SUM($P908:X908)</f>
        <v>#VALUE!</v>
      </c>
      <c r="Z908" s="446" t="e">
        <f>IF(OR($B908="",MIN(Z$38,$D$19)&lt;MAX($P$708*($B908+IF($R$17="Distrato",$I$38-1,0)),IF(AND($L$711=0,$P$708=0),"",$L$711-1),IF($R$17="Distrato",$E908,0))),0,YEARFRAC(MAX($P$708*($B908+IF($R$17="Distrato",$I$38-1,0)),IF(AND($L$711=0,$P$708=0),"",$L$711-1),IF($R$17="Distrato",$E908,0)),MIN(Z$38,$D$19),$P$20))-SUM($P908:Y908)</f>
        <v>#VALUE!</v>
      </c>
      <c r="AA908" s="446" t="e">
        <f>IF(OR($B908="",MIN(AA$38,$D$19)&lt;MAX($P$708*($B908+IF($R$17="Distrato",$I$38-1,0)),IF(AND($L$711=0,$P$708=0),"",$L$711-1),IF($R$17="Distrato",$E908,0))),0,YEARFRAC(MAX($P$708*($B908+IF($R$17="Distrato",$I$38-1,0)),IF(AND($L$711=0,$P$708=0),"",$L$711-1),IF($R$17="Distrato",$E908,0)),MIN(AA$38,$D$19),$P$20))-SUM($P908:Z908)</f>
        <v>#VALUE!</v>
      </c>
      <c r="AB908" s="446" t="e">
        <f>IF(OR($B908="",MIN(AB$38,$D$19)&lt;MAX($P$708*($B908+IF($R$17="Distrato",$I$38-1,0)),IF(AND($L$711=0,$P$708=0),"",$L$711-1),IF($R$17="Distrato",$E908,0))),0,YEARFRAC(MAX($P$708*($B908+IF($R$17="Distrato",$I$38-1,0)),IF(AND($L$711=0,$P$708=0),"",$L$711-1),IF($R$17="Distrato",$E908,0)),MIN(AB$38,$D$19),$P$20))-SUM($P908:AA908)</f>
        <v>#VALUE!</v>
      </c>
      <c r="AC908" s="446" t="e">
        <f>IF(OR($B908="",MIN(AC$38,$D$19)&lt;MAX($P$708*($B908+IF($R$17="Distrato",$I$38-1,0)),IF(AND($L$711=0,$P$708=0),"",$L$711-1),IF($R$17="Distrato",$E908,0))),0,YEARFRAC(MAX($P$708*($B908+IF($R$17="Distrato",$I$38-1,0)),IF(AND($L$711=0,$P$708=0),"",$L$711-1),IF($R$17="Distrato",$E908,0)),MIN(AC$38,$D$19),$P$20))-SUM($P908:AB908)</f>
        <v>#VALUE!</v>
      </c>
      <c r="AD908" s="446" t="e">
        <f>IF(OR($B908="",MIN(AD$38,$D$19)&lt;MAX($P$708*($B908+IF($R$17="Distrato",$I$38-1,0)),IF(AND($L$711=0,$P$708=0),"",$L$711-1),IF($R$17="Distrato",$E908,0))),0,YEARFRAC(MAX($P$708*($B908+IF($R$17="Distrato",$I$38-1,0)),IF(AND($L$711=0,$P$708=0),"",$L$711-1),IF($R$17="Distrato",$E908,0)),MIN(AD$38,$D$19),$P$20))-SUM($P908:AC908)</f>
        <v>#VALUE!</v>
      </c>
      <c r="AE908" s="446" t="e">
        <f>IF(OR($B908="",MIN(AE$38,$D$19)&lt;MAX($P$708*($B908+IF($R$17="Distrato",$I$38-1,0)),IF(AND($L$711=0,$P$708=0),"",$L$711-1),IF($R$17="Distrato",$E908,0))),0,YEARFRAC(MAX($P$708*($B908+IF($R$17="Distrato",$I$38-1,0)),IF(AND($L$711=0,$P$708=0),"",$L$711-1),IF($R$17="Distrato",$E908,0)),MIN(AE$38,$D$19),$P$20))-SUM($P908:AD908)</f>
        <v>#VALUE!</v>
      </c>
      <c r="AF908" s="446" t="e">
        <f>IF(OR($B908="",MIN(AF$38,$D$19)&lt;MAX($P$708*($B908+IF($R$17="Distrato",$I$38-1,0)),IF(AND($L$711=0,$P$708=0),"",$L$711-1),IF($R$17="Distrato",$E908,0))),0,YEARFRAC(MAX($P$708*($B908+IF($R$17="Distrato",$I$38-1,0)),IF(AND($L$711=0,$P$708=0),"",$L$711-1),IF($R$17="Distrato",$E908,0)),MIN(AF$38,$D$19),$P$20))-SUM($P908:AE908)</f>
        <v>#VALUE!</v>
      </c>
      <c r="AG908" s="446" t="e">
        <f>IF(OR($B908="",MIN(AG$38,$D$19)&lt;MAX($P$708*($B908+IF($R$17="Distrato",$I$38-1,0)),IF(AND($L$711=0,$P$708=0),"",$L$711-1),IF($R$17="Distrato",$E908,0))),0,YEARFRAC(MAX($P$708*($B908+IF($R$17="Distrato",$I$38-1,0)),IF(AND($L$711=0,$P$708=0),"",$L$711-1),IF($R$17="Distrato",$E908,0)),MIN(AG$38,$D$19),$P$20))-SUM($P908:AF908)</f>
        <v>#VALUE!</v>
      </c>
      <c r="AH908" s="446" t="e">
        <f>IF(OR($B908="",MIN(AH$38,$D$19)&lt;MAX($P$708*($B908+IF($R$17="Distrato",$I$38-1,0)),IF(AND($L$711=0,$P$708=0),"",$L$711-1),IF($R$17="Distrato",$E908,0))),0,YEARFRAC(MAX($P$708*($B908+IF($R$17="Distrato",$I$38-1,0)),IF(AND($L$711=0,$P$708=0),"",$L$711-1),IF($R$17="Distrato",$E908,0)),MIN(AH$38,$D$19),$P$20))-SUM($P908:AG908)</f>
        <v>#VALUE!</v>
      </c>
      <c r="AI908" s="446" t="e">
        <f>IF(OR($B908="",MIN(AI$38,$D$19)&lt;MAX($P$708*($B908+IF($R$17="Distrato",$I$38-1,0)),IF(AND($L$711=0,$P$708=0),"",$L$711-1),IF($R$17="Distrato",$E908,0))),0,YEARFRAC(MAX($P$708*($B908+IF($R$17="Distrato",$I$38-1,0)),IF(AND($L$711=0,$P$708=0),"",$L$711-1),IF($R$17="Distrato",$E908,0)),MIN(AI$38,$D$19),$P$20))-SUM($P908:AH908)</f>
        <v>#VALUE!</v>
      </c>
      <c r="AJ908" s="446" t="e">
        <f>IF(OR($B908="",MIN(AJ$38,$D$19)&lt;MAX($P$708*($B908+IF($R$17="Distrato",$I$38-1,0)),IF(AND($L$711=0,$P$708=0),"",$L$711-1),IF($R$17="Distrato",$E908,0))),0,YEARFRAC(MAX($P$708*($B908+IF($R$17="Distrato",$I$38-1,0)),IF(AND($L$711=0,$P$708=0),"",$L$711-1),IF($R$17="Distrato",$E908,0)),MIN(AJ$38,$D$19),$P$20))-SUM($P908:AI908)</f>
        <v>#VALUE!</v>
      </c>
      <c r="AK908" s="446" t="e">
        <f>IF(OR($B908="",MIN(AK$38,$D$19)&lt;MAX($P$708*($B908+IF($R$17="Distrato",$I$38-1,0)),IF(AND($L$711=0,$P$708=0),"",$L$711-1),IF($R$17="Distrato",$E908,0))),0,YEARFRAC(MAX($P$708*($B908+IF($R$17="Distrato",$I$38-1,0)),IF(AND($L$711=0,$P$708=0),"",$L$711-1),IF($R$17="Distrato",$E908,0)),MIN(AK$38,$D$19),$P$20))-SUM($P908:AJ908)</f>
        <v>#VALUE!</v>
      </c>
      <c r="AL908" s="446" t="e">
        <f>IF(OR($B908="",MIN(AL$38,$D$19)&lt;MAX($P$708*($B908+IF($R$17="Distrato",$I$38-1,0)),IF(AND($L$711=0,$P$708=0),"",$L$711-1),IF($R$17="Distrato",$E908,0))),0,YEARFRAC(MAX($P$708*($B908+IF($R$17="Distrato",$I$38-1,0)),IF(AND($L$711=0,$P$708=0),"",$L$711-1),IF($R$17="Distrato",$E908,0)),MIN(AL$38,$D$19),$P$20))-SUM($P908:AK908)</f>
        <v>#VALUE!</v>
      </c>
      <c r="AM908" s="446" t="e">
        <f>IF(OR($B908="",MIN(AM$38,$D$19)&lt;MAX($P$708*($B908+IF($R$17="Distrato",$I$38-1,0)),IF(AND($L$711=0,$P$708=0),"",$L$711-1),IF($R$17="Distrato",$E908,0))),0,YEARFRAC(MAX($P$708*($B908+IF($R$17="Distrato",$I$38-1,0)),IF(AND($L$711=0,$P$708=0),"",$L$711-1),IF($R$17="Distrato",$E908,0)),MIN(AM$38,$D$19),$P$20))-SUM($P908:AL908)</f>
        <v>#VALUE!</v>
      </c>
      <c r="AN908" s="446" t="e">
        <f>IF(OR($B908="",MIN(AN$38,$D$19)&lt;MAX($P$708*($B908+IF($R$17="Distrato",$I$38-1,0)),IF(AND($L$711=0,$P$708=0),"",$L$711-1),IF($R$17="Distrato",$E908,0))),0,YEARFRAC(MAX($P$708*($B908+IF($R$17="Distrato",$I$38-1,0)),IF(AND($L$711=0,$P$708=0),"",$L$711-1),IF($R$17="Distrato",$E908,0)),MIN(AN$38,$D$19),$P$20))-SUM($P908:AM908)</f>
        <v>#VALUE!</v>
      </c>
      <c r="AO908" s="446" t="e">
        <f>IF(OR($B908="",MIN(AO$38,$D$19)&lt;MAX($P$708*($B908+IF($R$17="Distrato",$I$38-1,0)),IF(AND($L$711=0,$P$708=0),"",$L$711-1),IF($R$17="Distrato",$E908,0))),0,YEARFRAC(MAX($P$708*($B908+IF($R$17="Distrato",$I$38-1,0)),IF(AND($L$711=0,$P$708=0),"",$L$711-1),IF($R$17="Distrato",$E908,0)),MIN(AO$38,$D$19),$P$20))-SUM($P908:AN908)</f>
        <v>#VALUE!</v>
      </c>
      <c r="AP908" s="446" t="e">
        <f>IF(OR($B908="",MIN(AP$38,$D$19)&lt;MAX($P$708*($B908+IF($R$17="Distrato",$I$38-1,0)),IF(AND($L$711=0,$P$708=0),"",$L$711-1),IF($R$17="Distrato",$E908,0))),0,YEARFRAC(MAX($P$708*($B908+IF($R$17="Distrato",$I$38-1,0)),IF(AND($L$711=0,$P$708=0),"",$L$711-1),IF($R$17="Distrato",$E908,0)),MIN(AP$38,$D$19),$P$20))-SUM($P908:AO908)</f>
        <v>#VALUE!</v>
      </c>
      <c r="AQ908" s="446" t="e">
        <f>IF(OR($B908="",MIN(AQ$38,$D$19)&lt;MAX($P$708*($B908+IF($R$17="Distrato",$I$38-1,0)),IF(AND($L$711=0,$P$708=0),"",$L$711-1),IF($R$17="Distrato",$E908,0))),0,YEARFRAC(MAX($P$708*($B908+IF($R$17="Distrato",$I$38-1,0)),IF(AND($L$711=0,$P$708=0),"",$L$711-1),IF($R$17="Distrato",$E908,0)),MIN(AQ$38,$D$19),$P$20))-SUM($P908:AP908)</f>
        <v>#VALUE!</v>
      </c>
      <c r="AR908" s="446" t="e">
        <f>IF(OR($B908="",MIN(AR$38,$D$19)&lt;MAX($P$708*($B908+IF($R$17="Distrato",$I$38-1,0)),IF(AND($L$711=0,$P$708=0),"",$L$711-1),IF($R$17="Distrato",$E908,0))),0,YEARFRAC(MAX($P$708*($B908+IF($R$17="Distrato",$I$38-1,0)),IF(AND($L$711=0,$P$708=0),"",$L$711-1),IF($R$17="Distrato",$E908,0)),MIN(AR$38,$D$19),$P$20))-SUM($P908:AQ908)</f>
        <v>#VALUE!</v>
      </c>
      <c r="AS908" s="446" t="e">
        <f>IF(OR($B908="",MIN(AS$38,$D$19)&lt;MAX($P$708*($B908+IF($R$17="Distrato",$I$38-1,0)),IF(AND($L$711=0,$P$708=0),"",$L$711-1),IF($R$17="Distrato",$E908,0))),0,YEARFRAC(MAX($P$708*($B908+IF($R$17="Distrato",$I$38-1,0)),IF(AND($L$711=0,$P$708=0),"",$L$711-1),IF($R$17="Distrato",$E908,0)),MIN(AS$38,$D$19),$P$20))-SUM($P908:AR908)</f>
        <v>#VALUE!</v>
      </c>
      <c r="AT908" s="446" t="e">
        <f>IF(OR($B908="",MIN(AT$38,$D$19)&lt;MAX($P$708*($B908+IF($R$17="Distrato",$I$38-1,0)),IF(AND($L$711=0,$P$708=0),"",$L$711-1),IF($R$17="Distrato",$E908,0))),0,YEARFRAC(MAX($P$708*($B908+IF($R$17="Distrato",$I$38-1,0)),IF(AND($L$711=0,$P$708=0),"",$L$711-1),IF($R$17="Distrato",$E908,0)),MIN(AT$38,$D$19),$P$20))-SUM($P908:AS908)</f>
        <v>#VALUE!</v>
      </c>
      <c r="AU908" s="446" t="e">
        <f>IF(OR($B908="",MIN(AU$38,$D$19)&lt;MAX($P$708*($B908+IF($R$17="Distrato",$I$38-1,0)),IF(AND($L$711=0,$P$708=0),"",$L$711-1),IF($R$17="Distrato",$E908,0))),0,YEARFRAC(MAX($P$708*($B908+IF($R$17="Distrato",$I$38-1,0)),IF(AND($L$711=0,$P$708=0),"",$L$711-1),IF($R$17="Distrato",$E908,0)),MIN(AU$38,$D$19),$P$20))-SUM($P908:AT908)</f>
        <v>#VALUE!</v>
      </c>
      <c r="AV908" s="446" t="e">
        <f>IF(OR($B908="",MIN(AV$38,$D$19)&lt;MAX($P$708*($B908+IF($R$17="Distrato",$I$38-1,0)),IF(AND($L$711=0,$P$708=0),"",$L$711-1),IF($R$17="Distrato",$E908,0))),0,YEARFRAC(MAX($P$708*($B908+IF($R$17="Distrato",$I$38-1,0)),IF(AND($L$711=0,$P$708=0),"",$L$711-1),IF($R$17="Distrato",$E908,0)),MIN(AV$38,$D$19),$P$20))-SUM($P908:AU908)</f>
        <v>#VALUE!</v>
      </c>
      <c r="AW908" s="446" t="e">
        <f>IF(OR($B908="",MIN(AW$38,$D$19)&lt;MAX($P$708*($B908+IF($R$17="Distrato",$I$38-1,0)),IF(AND($L$711=0,$P$708=0),"",$L$711-1),IF($R$17="Distrato",$E908,0))),0,YEARFRAC(MAX($P$708*($B908+IF($R$17="Distrato",$I$38-1,0)),IF(AND($L$711=0,$P$708=0),"",$L$711-1),IF($R$17="Distrato",$E908,0)),MIN(AW$38,$D$19),$P$20))-SUM($P908:AV908)</f>
        <v>#VALUE!</v>
      </c>
      <c r="AX908" s="446" t="e">
        <f>IF(OR($B908="",MIN(AX$38,$D$19)&lt;MAX($P$708*($B908+IF($R$17="Distrato",$I$38-1,0)),IF(AND($L$711=0,$P$708=0),"",$L$711-1),IF($R$17="Distrato",$E908,0))),0,YEARFRAC(MAX($P$708*($B908+IF($R$17="Distrato",$I$38-1,0)),IF(AND($L$711=0,$P$708=0),"",$L$711-1),IF($R$17="Distrato",$E908,0)),MIN(AX$38,$D$19),$P$20))-SUM($P908:AW908)</f>
        <v>#VALUE!</v>
      </c>
      <c r="AY908" s="446" t="e">
        <f>IF(OR($B908="",MIN(AY$38,$D$19)&lt;MAX($P$708*($B908+IF($R$17="Distrato",$I$38-1,0)),IF(AND($L$711=0,$P$708=0),"",$L$711-1),IF($R$17="Distrato",$E908,0))),0,YEARFRAC(MAX($P$708*($B908+IF($R$17="Distrato",$I$38-1,0)),IF(AND($L$711=0,$P$708=0),"",$L$711-1),IF($R$17="Distrato",$E908,0)),MIN(AY$38,$D$19),$P$20))-SUM($P908:AX908)</f>
        <v>#VALUE!</v>
      </c>
      <c r="AZ908" s="446" t="e">
        <f>IF(OR($B908="",MIN(AZ$38,$D$19)&lt;MAX($P$708*($B908+IF($R$17="Distrato",$I$38-1,0)),IF(AND($L$711=0,$P$708=0),"",$L$711-1),IF($R$17="Distrato",$E908,0))),0,YEARFRAC(MAX($P$708*($B908+IF($R$17="Distrato",$I$38-1,0)),IF(AND($L$711=0,$P$708=0),"",$L$711-1),IF($R$17="Distrato",$E908,0)),MIN(AZ$38,$D$19),$P$20))-SUM($P908:AY908)</f>
        <v>#VALUE!</v>
      </c>
      <c r="BA908" s="446" t="e">
        <f>IF(OR($B908="",MIN(BA$38,$D$19)&lt;MAX($P$708*($B908+IF($R$17="Distrato",$I$38-1,0)),IF(AND($L$711=0,$P$708=0),"",$L$711-1),IF($R$17="Distrato",$E908,0))),0,YEARFRAC(MAX($P$708*($B908+IF($R$17="Distrato",$I$38-1,0)),IF(AND($L$711=0,$P$708=0),"",$L$711-1),IF($R$17="Distrato",$E908,0)),MIN(BA$38,$D$19),$P$20))-SUM($P908:AZ908)</f>
        <v>#VALUE!</v>
      </c>
      <c r="BB908" s="447"/>
    </row>
    <row r="909" spans="1:54" s="446" customFormat="1" ht="11.25" hidden="1" customHeight="1" x14ac:dyDescent="0.2">
      <c r="A909" s="235"/>
      <c r="B909" s="236"/>
      <c r="C909" s="29" t="str">
        <f>IF(B909="","",IF($L$709=$BL$25,VLOOKUP(DATE(YEAR($D$19),MONTH($D$19)-1,1),ÍNDICES!$A:$DE,HLOOKUP($BL$25,ÍNDICES!$B$3:$T$4,2)+11)-VLOOKUP(B909,ÍNDICES!$A:$DE,HLOOKUP($BL$25,ÍNDICES!$B$3:$T$4,2)+11)+1%,IF(C$712=$W$26,$J$35,IF(ISERROR(IF(B909&gt;$D$19,1,VLOOKUP(DATE(YEAR(B909),MONTH(B909)+IF($C$709=$S$23,1,0),1),ÍNDICES!$A:$DE,$Z$709+1))),"",IF(B909&gt;$D$19,1,VLOOKUP(DATE(YEAR(B909),MONTH(B909)+IF($C$709=$S$23,1,0),1),ÍNDICES!$A:$DE,$Z$709+1))))))</f>
        <v/>
      </c>
      <c r="D909" s="155"/>
      <c r="E909" s="88"/>
      <c r="F909" s="88"/>
      <c r="G909" s="88"/>
      <c r="H909" s="118"/>
      <c r="I909" s="182">
        <f t="shared" si="136"/>
        <v>0</v>
      </c>
      <c r="J909" s="20">
        <f t="shared" ca="1" si="137"/>
        <v>0</v>
      </c>
      <c r="K909" s="5">
        <f t="shared" ca="1" si="138"/>
        <v>0</v>
      </c>
      <c r="L909" s="61">
        <f t="shared" ca="1" si="139"/>
        <v>0</v>
      </c>
      <c r="M909" s="64">
        <f t="shared" si="140"/>
        <v>0</v>
      </c>
      <c r="N909" s="151"/>
      <c r="O909" s="5">
        <f t="shared" ca="1" si="141"/>
        <v>0</v>
      </c>
      <c r="P909" s="446" t="e">
        <f t="shared" si="142"/>
        <v>#VALUE!</v>
      </c>
      <c r="Q909" s="446" t="e">
        <f>IF(OR($B909="",MIN(Q$38,$D$19)&lt;MAX($P$708*($B909+IF($R$17="Distrato",$I$38-1,0)),IF(AND($L$711=0,$P$708=0),"",$L$711-1),IF($R$17="Distrato",$E909,0))),0,YEARFRAC(MAX($P$708*($B909+IF($R$17="Distrato",$I$38-1,0)),IF(AND($L$711=0,$P$708=0),"",$L$711-1),IF($R$17="Distrato",$E909,0)),MIN(Q$38,$D$19),$P$20))-SUM($P909:P909)</f>
        <v>#VALUE!</v>
      </c>
      <c r="R909" s="446" t="e">
        <f>IF(OR($B909="",MIN(R$38,$D$19)&lt;MAX($P$708*($B909+IF($R$17="Distrato",$I$38-1,0)),IF(AND($L$711=0,$P$708=0),"",$L$711-1),IF($R$17="Distrato",$E909,0))),0,YEARFRAC(MAX($P$708*($B909+IF($R$17="Distrato",$I$38-1,0)),IF(AND($L$711=0,$P$708=0),"",$L$711-1),IF($R$17="Distrato",$E909,0)),MIN(R$38,$D$19),$P$20))-SUM($P909:Q909)</f>
        <v>#VALUE!</v>
      </c>
      <c r="S909" s="446" t="e">
        <f>IF(OR($B909="",MIN(S$38,$D$19)&lt;MAX($P$708*($B909+IF($R$17="Distrato",$I$38-1,0)),IF(AND($L$711=0,$P$708=0),"",$L$711-1),IF($R$17="Distrato",$E909,0))),0,YEARFRAC(MAX($P$708*($B909+IF($R$17="Distrato",$I$38-1,0)),IF(AND($L$711=0,$P$708=0),"",$L$711-1),IF($R$17="Distrato",$E909,0)),MIN(S$38,$D$19),$P$20))-SUM($P909:R909)</f>
        <v>#VALUE!</v>
      </c>
      <c r="T909" s="446" t="e">
        <f>IF(OR($B909="",MIN(T$38,$D$19)&lt;MAX($P$708*($B909+IF($R$17="Distrato",$I$38-1,0)),IF(AND($L$711=0,$P$708=0),"",$L$711-1),IF($R$17="Distrato",$E909,0))),0,YEARFRAC(MAX($P$708*($B909+IF($R$17="Distrato",$I$38-1,0)),IF(AND($L$711=0,$P$708=0),"",$L$711-1),IF($R$17="Distrato",$E909,0)),MIN(T$38,$D$19),$P$20))-SUM($P909:S909)</f>
        <v>#VALUE!</v>
      </c>
      <c r="U909" s="446" t="e">
        <f>IF(OR($B909="",MIN(U$38,$D$19)&lt;MAX($P$708*($B909+IF($R$17="Distrato",$I$38-1,0)),IF(AND($L$711=0,$P$708=0),"",$L$711-1),IF($R$17="Distrato",$E909,0))),0,YEARFRAC(MAX($P$708*($B909+IF($R$17="Distrato",$I$38-1,0)),IF(AND($L$711=0,$P$708=0),"",$L$711-1),IF($R$17="Distrato",$E909,0)),MIN(U$38,$D$19),$P$20))-SUM($P909:T909)</f>
        <v>#VALUE!</v>
      </c>
      <c r="V909" s="446" t="e">
        <f>IF(OR($B909="",MIN(V$38,$D$19)&lt;MAX($P$708*($B909+IF($R$17="Distrato",$I$38-1,0)),IF(AND($L$711=0,$P$708=0),"",$L$711-1),IF($R$17="Distrato",$E909,0))),0,YEARFRAC(MAX($P$708*($B909+IF($R$17="Distrato",$I$38-1,0)),IF(AND($L$711=0,$P$708=0),"",$L$711-1),IF($R$17="Distrato",$E909,0)),MIN(V$38,$D$19),$P$20))-SUM($P909:U909)</f>
        <v>#VALUE!</v>
      </c>
      <c r="W909" s="446" t="e">
        <f>IF(OR($B909="",MIN(W$38,$D$19)&lt;MAX($P$708*($B909+IF($R$17="Distrato",$I$38-1,0)),IF(AND($L$711=0,$P$708=0),"",$L$711-1),IF($R$17="Distrato",$E909,0))),0,YEARFRAC(MAX($P$708*($B909+IF($R$17="Distrato",$I$38-1,0)),IF(AND($L$711=0,$P$708=0),"",$L$711-1),IF($R$17="Distrato",$E909,0)),MIN(W$38,$D$19),$P$20))-SUM($P909:V909)</f>
        <v>#VALUE!</v>
      </c>
      <c r="X909" s="446" t="e">
        <f>IF(OR($B909="",MIN(X$38,$D$19)&lt;MAX($P$708*($B909+IF($R$17="Distrato",$I$38-1,0)),IF(AND($L$711=0,$P$708=0),"",$L$711-1),IF($R$17="Distrato",$E909,0))),0,YEARFRAC(MAX($P$708*($B909+IF($R$17="Distrato",$I$38-1,0)),IF(AND($L$711=0,$P$708=0),"",$L$711-1),IF($R$17="Distrato",$E909,0)),MIN(X$38,$D$19),$P$20))-SUM($P909:W909)</f>
        <v>#VALUE!</v>
      </c>
      <c r="Y909" s="446" t="e">
        <f>IF(OR($B909="",MIN(Y$38,$D$19)&lt;MAX($P$708*($B909+IF($R$17="Distrato",$I$38-1,0)),IF(AND($L$711=0,$P$708=0),"",$L$711-1),IF($R$17="Distrato",$E909,0))),0,YEARFRAC(MAX($P$708*($B909+IF($R$17="Distrato",$I$38-1,0)),IF(AND($L$711=0,$P$708=0),"",$L$711-1),IF($R$17="Distrato",$E909,0)),MIN(Y$38,$D$19),$P$20))-SUM($P909:X909)</f>
        <v>#VALUE!</v>
      </c>
      <c r="Z909" s="446" t="e">
        <f>IF(OR($B909="",MIN(Z$38,$D$19)&lt;MAX($P$708*($B909+IF($R$17="Distrato",$I$38-1,0)),IF(AND($L$711=0,$P$708=0),"",$L$711-1),IF($R$17="Distrato",$E909,0))),0,YEARFRAC(MAX($P$708*($B909+IF($R$17="Distrato",$I$38-1,0)),IF(AND($L$711=0,$P$708=0),"",$L$711-1),IF($R$17="Distrato",$E909,0)),MIN(Z$38,$D$19),$P$20))-SUM($P909:Y909)</f>
        <v>#VALUE!</v>
      </c>
      <c r="AA909" s="446" t="e">
        <f>IF(OR($B909="",MIN(AA$38,$D$19)&lt;MAX($P$708*($B909+IF($R$17="Distrato",$I$38-1,0)),IF(AND($L$711=0,$P$708=0),"",$L$711-1),IF($R$17="Distrato",$E909,0))),0,YEARFRAC(MAX($P$708*($B909+IF($R$17="Distrato",$I$38-1,0)),IF(AND($L$711=0,$P$708=0),"",$L$711-1),IF($R$17="Distrato",$E909,0)),MIN(AA$38,$D$19),$P$20))-SUM($P909:Z909)</f>
        <v>#VALUE!</v>
      </c>
      <c r="AB909" s="446" t="e">
        <f>IF(OR($B909="",MIN(AB$38,$D$19)&lt;MAX($P$708*($B909+IF($R$17="Distrato",$I$38-1,0)),IF(AND($L$711=0,$P$708=0),"",$L$711-1),IF($R$17="Distrato",$E909,0))),0,YEARFRAC(MAX($P$708*($B909+IF($R$17="Distrato",$I$38-1,0)),IF(AND($L$711=0,$P$708=0),"",$L$711-1),IF($R$17="Distrato",$E909,0)),MIN(AB$38,$D$19),$P$20))-SUM($P909:AA909)</f>
        <v>#VALUE!</v>
      </c>
      <c r="AC909" s="446" t="e">
        <f>IF(OR($B909="",MIN(AC$38,$D$19)&lt;MAX($P$708*($B909+IF($R$17="Distrato",$I$38-1,0)),IF(AND($L$711=0,$P$708=0),"",$L$711-1),IF($R$17="Distrato",$E909,0))),0,YEARFRAC(MAX($P$708*($B909+IF($R$17="Distrato",$I$38-1,0)),IF(AND($L$711=0,$P$708=0),"",$L$711-1),IF($R$17="Distrato",$E909,0)),MIN(AC$38,$D$19),$P$20))-SUM($P909:AB909)</f>
        <v>#VALUE!</v>
      </c>
      <c r="AD909" s="446" t="e">
        <f>IF(OR($B909="",MIN(AD$38,$D$19)&lt;MAX($P$708*($B909+IF($R$17="Distrato",$I$38-1,0)),IF(AND($L$711=0,$P$708=0),"",$L$711-1),IF($R$17="Distrato",$E909,0))),0,YEARFRAC(MAX($P$708*($B909+IF($R$17="Distrato",$I$38-1,0)),IF(AND($L$711=0,$P$708=0),"",$L$711-1),IF($R$17="Distrato",$E909,0)),MIN(AD$38,$D$19),$P$20))-SUM($P909:AC909)</f>
        <v>#VALUE!</v>
      </c>
      <c r="AE909" s="446" t="e">
        <f>IF(OR($B909="",MIN(AE$38,$D$19)&lt;MAX($P$708*($B909+IF($R$17="Distrato",$I$38-1,0)),IF(AND($L$711=0,$P$708=0),"",$L$711-1),IF($R$17="Distrato",$E909,0))),0,YEARFRAC(MAX($P$708*($B909+IF($R$17="Distrato",$I$38-1,0)),IF(AND($L$711=0,$P$708=0),"",$L$711-1),IF($R$17="Distrato",$E909,0)),MIN(AE$38,$D$19),$P$20))-SUM($P909:AD909)</f>
        <v>#VALUE!</v>
      </c>
      <c r="AF909" s="446" t="e">
        <f>IF(OR($B909="",MIN(AF$38,$D$19)&lt;MAX($P$708*($B909+IF($R$17="Distrato",$I$38-1,0)),IF(AND($L$711=0,$P$708=0),"",$L$711-1),IF($R$17="Distrato",$E909,0))),0,YEARFRAC(MAX($P$708*($B909+IF($R$17="Distrato",$I$38-1,0)),IF(AND($L$711=0,$P$708=0),"",$L$711-1),IF($R$17="Distrato",$E909,0)),MIN(AF$38,$D$19),$P$20))-SUM($P909:AE909)</f>
        <v>#VALUE!</v>
      </c>
      <c r="AG909" s="446" t="e">
        <f>IF(OR($B909="",MIN(AG$38,$D$19)&lt;MAX($P$708*($B909+IF($R$17="Distrato",$I$38-1,0)),IF(AND($L$711=0,$P$708=0),"",$L$711-1),IF($R$17="Distrato",$E909,0))),0,YEARFRAC(MAX($P$708*($B909+IF($R$17="Distrato",$I$38-1,0)),IF(AND($L$711=0,$P$708=0),"",$L$711-1),IF($R$17="Distrato",$E909,0)),MIN(AG$38,$D$19),$P$20))-SUM($P909:AF909)</f>
        <v>#VALUE!</v>
      </c>
      <c r="AH909" s="446" t="e">
        <f>IF(OR($B909="",MIN(AH$38,$D$19)&lt;MAX($P$708*($B909+IF($R$17="Distrato",$I$38-1,0)),IF(AND($L$711=0,$P$708=0),"",$L$711-1),IF($R$17="Distrato",$E909,0))),0,YEARFRAC(MAX($P$708*($B909+IF($R$17="Distrato",$I$38-1,0)),IF(AND($L$711=0,$P$708=0),"",$L$711-1),IF($R$17="Distrato",$E909,0)),MIN(AH$38,$D$19),$P$20))-SUM($P909:AG909)</f>
        <v>#VALUE!</v>
      </c>
      <c r="AI909" s="446" t="e">
        <f>IF(OR($B909="",MIN(AI$38,$D$19)&lt;MAX($P$708*($B909+IF($R$17="Distrato",$I$38-1,0)),IF(AND($L$711=0,$P$708=0),"",$L$711-1),IF($R$17="Distrato",$E909,0))),0,YEARFRAC(MAX($P$708*($B909+IF($R$17="Distrato",$I$38-1,0)),IF(AND($L$711=0,$P$708=0),"",$L$711-1),IF($R$17="Distrato",$E909,0)),MIN(AI$38,$D$19),$P$20))-SUM($P909:AH909)</f>
        <v>#VALUE!</v>
      </c>
      <c r="AJ909" s="446" t="e">
        <f>IF(OR($B909="",MIN(AJ$38,$D$19)&lt;MAX($P$708*($B909+IF($R$17="Distrato",$I$38-1,0)),IF(AND($L$711=0,$P$708=0),"",$L$711-1),IF($R$17="Distrato",$E909,0))),0,YEARFRAC(MAX($P$708*($B909+IF($R$17="Distrato",$I$38-1,0)),IF(AND($L$711=0,$P$708=0),"",$L$711-1),IF($R$17="Distrato",$E909,0)),MIN(AJ$38,$D$19),$P$20))-SUM($P909:AI909)</f>
        <v>#VALUE!</v>
      </c>
      <c r="AK909" s="446" t="e">
        <f>IF(OR($B909="",MIN(AK$38,$D$19)&lt;MAX($P$708*($B909+IF($R$17="Distrato",$I$38-1,0)),IF(AND($L$711=0,$P$708=0),"",$L$711-1),IF($R$17="Distrato",$E909,0))),0,YEARFRAC(MAX($P$708*($B909+IF($R$17="Distrato",$I$38-1,0)),IF(AND($L$711=0,$P$708=0),"",$L$711-1),IF($R$17="Distrato",$E909,0)),MIN(AK$38,$D$19),$P$20))-SUM($P909:AJ909)</f>
        <v>#VALUE!</v>
      </c>
      <c r="AL909" s="446" t="e">
        <f>IF(OR($B909="",MIN(AL$38,$D$19)&lt;MAX($P$708*($B909+IF($R$17="Distrato",$I$38-1,0)),IF(AND($L$711=0,$P$708=0),"",$L$711-1),IF($R$17="Distrato",$E909,0))),0,YEARFRAC(MAX($P$708*($B909+IF($R$17="Distrato",$I$38-1,0)),IF(AND($L$711=0,$P$708=0),"",$L$711-1),IF($R$17="Distrato",$E909,0)),MIN(AL$38,$D$19),$P$20))-SUM($P909:AK909)</f>
        <v>#VALUE!</v>
      </c>
      <c r="AM909" s="446" t="e">
        <f>IF(OR($B909="",MIN(AM$38,$D$19)&lt;MAX($P$708*($B909+IF($R$17="Distrato",$I$38-1,0)),IF(AND($L$711=0,$P$708=0),"",$L$711-1),IF($R$17="Distrato",$E909,0))),0,YEARFRAC(MAX($P$708*($B909+IF($R$17="Distrato",$I$38-1,0)),IF(AND($L$711=0,$P$708=0),"",$L$711-1),IF($R$17="Distrato",$E909,0)),MIN(AM$38,$D$19),$P$20))-SUM($P909:AL909)</f>
        <v>#VALUE!</v>
      </c>
      <c r="AN909" s="446" t="e">
        <f>IF(OR($B909="",MIN(AN$38,$D$19)&lt;MAX($P$708*($B909+IF($R$17="Distrato",$I$38-1,0)),IF(AND($L$711=0,$P$708=0),"",$L$711-1),IF($R$17="Distrato",$E909,0))),0,YEARFRAC(MAX($P$708*($B909+IF($R$17="Distrato",$I$38-1,0)),IF(AND($L$711=0,$P$708=0),"",$L$711-1),IF($R$17="Distrato",$E909,0)),MIN(AN$38,$D$19),$P$20))-SUM($P909:AM909)</f>
        <v>#VALUE!</v>
      </c>
      <c r="AO909" s="446" t="e">
        <f>IF(OR($B909="",MIN(AO$38,$D$19)&lt;MAX($P$708*($B909+IF($R$17="Distrato",$I$38-1,0)),IF(AND($L$711=0,$P$708=0),"",$L$711-1),IF($R$17="Distrato",$E909,0))),0,YEARFRAC(MAX($P$708*($B909+IF($R$17="Distrato",$I$38-1,0)),IF(AND($L$711=0,$P$708=0),"",$L$711-1),IF($R$17="Distrato",$E909,0)),MIN(AO$38,$D$19),$P$20))-SUM($P909:AN909)</f>
        <v>#VALUE!</v>
      </c>
      <c r="AP909" s="446" t="e">
        <f>IF(OR($B909="",MIN(AP$38,$D$19)&lt;MAX($P$708*($B909+IF($R$17="Distrato",$I$38-1,0)),IF(AND($L$711=0,$P$708=0),"",$L$711-1),IF($R$17="Distrato",$E909,0))),0,YEARFRAC(MAX($P$708*($B909+IF($R$17="Distrato",$I$38-1,0)),IF(AND($L$711=0,$P$708=0),"",$L$711-1),IF($R$17="Distrato",$E909,0)),MIN(AP$38,$D$19),$P$20))-SUM($P909:AO909)</f>
        <v>#VALUE!</v>
      </c>
      <c r="AQ909" s="446" t="e">
        <f>IF(OR($B909="",MIN(AQ$38,$D$19)&lt;MAX($P$708*($B909+IF($R$17="Distrato",$I$38-1,0)),IF(AND($L$711=0,$P$708=0),"",$L$711-1),IF($R$17="Distrato",$E909,0))),0,YEARFRAC(MAX($P$708*($B909+IF($R$17="Distrato",$I$38-1,0)),IF(AND($L$711=0,$P$708=0),"",$L$711-1),IF($R$17="Distrato",$E909,0)),MIN(AQ$38,$D$19),$P$20))-SUM($P909:AP909)</f>
        <v>#VALUE!</v>
      </c>
      <c r="AR909" s="446" t="e">
        <f>IF(OR($B909="",MIN(AR$38,$D$19)&lt;MAX($P$708*($B909+IF($R$17="Distrato",$I$38-1,0)),IF(AND($L$711=0,$P$708=0),"",$L$711-1),IF($R$17="Distrato",$E909,0))),0,YEARFRAC(MAX($P$708*($B909+IF($R$17="Distrato",$I$38-1,0)),IF(AND($L$711=0,$P$708=0),"",$L$711-1),IF($R$17="Distrato",$E909,0)),MIN(AR$38,$D$19),$P$20))-SUM($P909:AQ909)</f>
        <v>#VALUE!</v>
      </c>
      <c r="AS909" s="446" t="e">
        <f>IF(OR($B909="",MIN(AS$38,$D$19)&lt;MAX($P$708*($B909+IF($R$17="Distrato",$I$38-1,0)),IF(AND($L$711=0,$P$708=0),"",$L$711-1),IF($R$17="Distrato",$E909,0))),0,YEARFRAC(MAX($P$708*($B909+IF($R$17="Distrato",$I$38-1,0)),IF(AND($L$711=0,$P$708=0),"",$L$711-1),IF($R$17="Distrato",$E909,0)),MIN(AS$38,$D$19),$P$20))-SUM($P909:AR909)</f>
        <v>#VALUE!</v>
      </c>
      <c r="AT909" s="446" t="e">
        <f>IF(OR($B909="",MIN(AT$38,$D$19)&lt;MAX($P$708*($B909+IF($R$17="Distrato",$I$38-1,0)),IF(AND($L$711=0,$P$708=0),"",$L$711-1),IF($R$17="Distrato",$E909,0))),0,YEARFRAC(MAX($P$708*($B909+IF($R$17="Distrato",$I$38-1,0)),IF(AND($L$711=0,$P$708=0),"",$L$711-1),IF($R$17="Distrato",$E909,0)),MIN(AT$38,$D$19),$P$20))-SUM($P909:AS909)</f>
        <v>#VALUE!</v>
      </c>
      <c r="AU909" s="446" t="e">
        <f>IF(OR($B909="",MIN(AU$38,$D$19)&lt;MAX($P$708*($B909+IF($R$17="Distrato",$I$38-1,0)),IF(AND($L$711=0,$P$708=0),"",$L$711-1),IF($R$17="Distrato",$E909,0))),0,YEARFRAC(MAX($P$708*($B909+IF($R$17="Distrato",$I$38-1,0)),IF(AND($L$711=0,$P$708=0),"",$L$711-1),IF($R$17="Distrato",$E909,0)),MIN(AU$38,$D$19),$P$20))-SUM($P909:AT909)</f>
        <v>#VALUE!</v>
      </c>
      <c r="AV909" s="446" t="e">
        <f>IF(OR($B909="",MIN(AV$38,$D$19)&lt;MAX($P$708*($B909+IF($R$17="Distrato",$I$38-1,0)),IF(AND($L$711=0,$P$708=0),"",$L$711-1),IF($R$17="Distrato",$E909,0))),0,YEARFRAC(MAX($P$708*($B909+IF($R$17="Distrato",$I$38-1,0)),IF(AND($L$711=0,$P$708=0),"",$L$711-1),IF($R$17="Distrato",$E909,0)),MIN(AV$38,$D$19),$P$20))-SUM($P909:AU909)</f>
        <v>#VALUE!</v>
      </c>
      <c r="AW909" s="446" t="e">
        <f>IF(OR($B909="",MIN(AW$38,$D$19)&lt;MAX($P$708*($B909+IF($R$17="Distrato",$I$38-1,0)),IF(AND($L$711=0,$P$708=0),"",$L$711-1),IF($R$17="Distrato",$E909,0))),0,YEARFRAC(MAX($P$708*($B909+IF($R$17="Distrato",$I$38-1,0)),IF(AND($L$711=0,$P$708=0),"",$L$711-1),IF($R$17="Distrato",$E909,0)),MIN(AW$38,$D$19),$P$20))-SUM($P909:AV909)</f>
        <v>#VALUE!</v>
      </c>
      <c r="AX909" s="446" t="e">
        <f>IF(OR($B909="",MIN(AX$38,$D$19)&lt;MAX($P$708*($B909+IF($R$17="Distrato",$I$38-1,0)),IF(AND($L$711=0,$P$708=0),"",$L$711-1),IF($R$17="Distrato",$E909,0))),0,YEARFRAC(MAX($P$708*($B909+IF($R$17="Distrato",$I$38-1,0)),IF(AND($L$711=0,$P$708=0),"",$L$711-1),IF($R$17="Distrato",$E909,0)),MIN(AX$38,$D$19),$P$20))-SUM($P909:AW909)</f>
        <v>#VALUE!</v>
      </c>
      <c r="AY909" s="446" t="e">
        <f>IF(OR($B909="",MIN(AY$38,$D$19)&lt;MAX($P$708*($B909+IF($R$17="Distrato",$I$38-1,0)),IF(AND($L$711=0,$P$708=0),"",$L$711-1),IF($R$17="Distrato",$E909,0))),0,YEARFRAC(MAX($P$708*($B909+IF($R$17="Distrato",$I$38-1,0)),IF(AND($L$711=0,$P$708=0),"",$L$711-1),IF($R$17="Distrato",$E909,0)),MIN(AY$38,$D$19),$P$20))-SUM($P909:AX909)</f>
        <v>#VALUE!</v>
      </c>
      <c r="AZ909" s="446" t="e">
        <f>IF(OR($B909="",MIN(AZ$38,$D$19)&lt;MAX($P$708*($B909+IF($R$17="Distrato",$I$38-1,0)),IF(AND($L$711=0,$P$708=0),"",$L$711-1),IF($R$17="Distrato",$E909,0))),0,YEARFRAC(MAX($P$708*($B909+IF($R$17="Distrato",$I$38-1,0)),IF(AND($L$711=0,$P$708=0),"",$L$711-1),IF($R$17="Distrato",$E909,0)),MIN(AZ$38,$D$19),$P$20))-SUM($P909:AY909)</f>
        <v>#VALUE!</v>
      </c>
      <c r="BA909" s="446" t="e">
        <f>IF(OR($B909="",MIN(BA$38,$D$19)&lt;MAX($P$708*($B909+IF($R$17="Distrato",$I$38-1,0)),IF(AND($L$711=0,$P$708=0),"",$L$711-1),IF($R$17="Distrato",$E909,0))),0,YEARFRAC(MAX($P$708*($B909+IF($R$17="Distrato",$I$38-1,0)),IF(AND($L$711=0,$P$708=0),"",$L$711-1),IF($R$17="Distrato",$E909,0)),MIN(BA$38,$D$19),$P$20))-SUM($P909:AZ909)</f>
        <v>#VALUE!</v>
      </c>
      <c r="BB909" s="447"/>
    </row>
    <row r="910" spans="1:54" s="446" customFormat="1" ht="11.25" hidden="1" customHeight="1" x14ac:dyDescent="0.2">
      <c r="A910" s="235"/>
      <c r="B910" s="236"/>
      <c r="C910" s="29" t="str">
        <f>IF(B910="","",IF($L$709=$BL$25,VLOOKUP(DATE(YEAR($D$19),MONTH($D$19)-1,1),ÍNDICES!$A:$DE,HLOOKUP($BL$25,ÍNDICES!$B$3:$T$4,2)+11)-VLOOKUP(B910,ÍNDICES!$A:$DE,HLOOKUP($BL$25,ÍNDICES!$B$3:$T$4,2)+11)+1%,IF(C$712=$W$26,$J$35,IF(ISERROR(IF(B910&gt;$D$19,1,VLOOKUP(DATE(YEAR(B910),MONTH(B910)+IF($C$709=$S$23,1,0),1),ÍNDICES!$A:$DE,$Z$709+1))),"",IF(B910&gt;$D$19,1,VLOOKUP(DATE(YEAR(B910),MONTH(B910)+IF($C$709=$S$23,1,0),1),ÍNDICES!$A:$DE,$Z$709+1))))))</f>
        <v/>
      </c>
      <c r="D910" s="155"/>
      <c r="E910" s="88"/>
      <c r="F910" s="88"/>
      <c r="G910" s="88"/>
      <c r="H910" s="118"/>
      <c r="I910" s="182">
        <f t="shared" si="136"/>
        <v>0</v>
      </c>
      <c r="J910" s="20">
        <f t="shared" ca="1" si="137"/>
        <v>0</v>
      </c>
      <c r="K910" s="5">
        <f t="shared" ca="1" si="138"/>
        <v>0</v>
      </c>
      <c r="L910" s="61">
        <f t="shared" ca="1" si="139"/>
        <v>0</v>
      </c>
      <c r="M910" s="64">
        <f t="shared" si="140"/>
        <v>0</v>
      </c>
      <c r="N910" s="151"/>
      <c r="O910" s="5">
        <f t="shared" ca="1" si="141"/>
        <v>0</v>
      </c>
      <c r="P910" s="446" t="e">
        <f t="shared" si="142"/>
        <v>#VALUE!</v>
      </c>
      <c r="Q910" s="446" t="e">
        <f>IF(OR($B910="",MIN(Q$38,$D$19)&lt;MAX($P$708*($B910+IF($R$17="Distrato",$I$38-1,0)),IF(AND($L$711=0,$P$708=0),"",$L$711-1),IF($R$17="Distrato",$E910,0))),0,YEARFRAC(MAX($P$708*($B910+IF($R$17="Distrato",$I$38-1,0)),IF(AND($L$711=0,$P$708=0),"",$L$711-1),IF($R$17="Distrato",$E910,0)),MIN(Q$38,$D$19),$P$20))-SUM($P910:P910)</f>
        <v>#VALUE!</v>
      </c>
      <c r="R910" s="446" t="e">
        <f>IF(OR($B910="",MIN(R$38,$D$19)&lt;MAX($P$708*($B910+IF($R$17="Distrato",$I$38-1,0)),IF(AND($L$711=0,$P$708=0),"",$L$711-1),IF($R$17="Distrato",$E910,0))),0,YEARFRAC(MAX($P$708*($B910+IF($R$17="Distrato",$I$38-1,0)),IF(AND($L$711=0,$P$708=0),"",$L$711-1),IF($R$17="Distrato",$E910,0)),MIN(R$38,$D$19),$P$20))-SUM($P910:Q910)</f>
        <v>#VALUE!</v>
      </c>
      <c r="S910" s="446" t="e">
        <f>IF(OR($B910="",MIN(S$38,$D$19)&lt;MAX($P$708*($B910+IF($R$17="Distrato",$I$38-1,0)),IF(AND($L$711=0,$P$708=0),"",$L$711-1),IF($R$17="Distrato",$E910,0))),0,YEARFRAC(MAX($P$708*($B910+IF($R$17="Distrato",$I$38-1,0)),IF(AND($L$711=0,$P$708=0),"",$L$711-1),IF($R$17="Distrato",$E910,0)),MIN(S$38,$D$19),$P$20))-SUM($P910:R910)</f>
        <v>#VALUE!</v>
      </c>
      <c r="T910" s="446" t="e">
        <f>IF(OR($B910="",MIN(T$38,$D$19)&lt;MAX($P$708*($B910+IF($R$17="Distrato",$I$38-1,0)),IF(AND($L$711=0,$P$708=0),"",$L$711-1),IF($R$17="Distrato",$E910,0))),0,YEARFRAC(MAX($P$708*($B910+IF($R$17="Distrato",$I$38-1,0)),IF(AND($L$711=0,$P$708=0),"",$L$711-1),IF($R$17="Distrato",$E910,0)),MIN(T$38,$D$19),$P$20))-SUM($P910:S910)</f>
        <v>#VALUE!</v>
      </c>
      <c r="U910" s="446" t="e">
        <f>IF(OR($B910="",MIN(U$38,$D$19)&lt;MAX($P$708*($B910+IF($R$17="Distrato",$I$38-1,0)),IF(AND($L$711=0,$P$708=0),"",$L$711-1),IF($R$17="Distrato",$E910,0))),0,YEARFRAC(MAX($P$708*($B910+IF($R$17="Distrato",$I$38-1,0)),IF(AND($L$711=0,$P$708=0),"",$L$711-1),IF($R$17="Distrato",$E910,0)),MIN(U$38,$D$19),$P$20))-SUM($P910:T910)</f>
        <v>#VALUE!</v>
      </c>
      <c r="V910" s="446" t="e">
        <f>IF(OR($B910="",MIN(V$38,$D$19)&lt;MAX($P$708*($B910+IF($R$17="Distrato",$I$38-1,0)),IF(AND($L$711=0,$P$708=0),"",$L$711-1),IF($R$17="Distrato",$E910,0))),0,YEARFRAC(MAX($P$708*($B910+IF($R$17="Distrato",$I$38-1,0)),IF(AND($L$711=0,$P$708=0),"",$L$711-1),IF($R$17="Distrato",$E910,0)),MIN(V$38,$D$19),$P$20))-SUM($P910:U910)</f>
        <v>#VALUE!</v>
      </c>
      <c r="W910" s="446" t="e">
        <f>IF(OR($B910="",MIN(W$38,$D$19)&lt;MAX($P$708*($B910+IF($R$17="Distrato",$I$38-1,0)),IF(AND($L$711=0,$P$708=0),"",$L$711-1),IF($R$17="Distrato",$E910,0))),0,YEARFRAC(MAX($P$708*($B910+IF($R$17="Distrato",$I$38-1,0)),IF(AND($L$711=0,$P$708=0),"",$L$711-1),IF($R$17="Distrato",$E910,0)),MIN(W$38,$D$19),$P$20))-SUM($P910:V910)</f>
        <v>#VALUE!</v>
      </c>
      <c r="X910" s="446" t="e">
        <f>IF(OR($B910="",MIN(X$38,$D$19)&lt;MAX($P$708*($B910+IF($R$17="Distrato",$I$38-1,0)),IF(AND($L$711=0,$P$708=0),"",$L$711-1),IF($R$17="Distrato",$E910,0))),0,YEARFRAC(MAX($P$708*($B910+IF($R$17="Distrato",$I$38-1,0)),IF(AND($L$711=0,$P$708=0),"",$L$711-1),IF($R$17="Distrato",$E910,0)),MIN(X$38,$D$19),$P$20))-SUM($P910:W910)</f>
        <v>#VALUE!</v>
      </c>
      <c r="Y910" s="446" t="e">
        <f>IF(OR($B910="",MIN(Y$38,$D$19)&lt;MAX($P$708*($B910+IF($R$17="Distrato",$I$38-1,0)),IF(AND($L$711=0,$P$708=0),"",$L$711-1),IF($R$17="Distrato",$E910,0))),0,YEARFRAC(MAX($P$708*($B910+IF($R$17="Distrato",$I$38-1,0)),IF(AND($L$711=0,$P$708=0),"",$L$711-1),IF($R$17="Distrato",$E910,0)),MIN(Y$38,$D$19),$P$20))-SUM($P910:X910)</f>
        <v>#VALUE!</v>
      </c>
      <c r="Z910" s="446" t="e">
        <f>IF(OR($B910="",MIN(Z$38,$D$19)&lt;MAX($P$708*($B910+IF($R$17="Distrato",$I$38-1,0)),IF(AND($L$711=0,$P$708=0),"",$L$711-1),IF($R$17="Distrato",$E910,0))),0,YEARFRAC(MAX($P$708*($B910+IF($R$17="Distrato",$I$38-1,0)),IF(AND($L$711=0,$P$708=0),"",$L$711-1),IF($R$17="Distrato",$E910,0)),MIN(Z$38,$D$19),$P$20))-SUM($P910:Y910)</f>
        <v>#VALUE!</v>
      </c>
      <c r="AA910" s="446" t="e">
        <f>IF(OR($B910="",MIN(AA$38,$D$19)&lt;MAX($P$708*($B910+IF($R$17="Distrato",$I$38-1,0)),IF(AND($L$711=0,$P$708=0),"",$L$711-1),IF($R$17="Distrato",$E910,0))),0,YEARFRAC(MAX($P$708*($B910+IF($R$17="Distrato",$I$38-1,0)),IF(AND($L$711=0,$P$708=0),"",$L$711-1),IF($R$17="Distrato",$E910,0)),MIN(AA$38,$D$19),$P$20))-SUM($P910:Z910)</f>
        <v>#VALUE!</v>
      </c>
      <c r="AB910" s="446" t="e">
        <f>IF(OR($B910="",MIN(AB$38,$D$19)&lt;MAX($P$708*($B910+IF($R$17="Distrato",$I$38-1,0)),IF(AND($L$711=0,$P$708=0),"",$L$711-1),IF($R$17="Distrato",$E910,0))),0,YEARFRAC(MAX($P$708*($B910+IF($R$17="Distrato",$I$38-1,0)),IF(AND($L$711=0,$P$708=0),"",$L$711-1),IF($R$17="Distrato",$E910,0)),MIN(AB$38,$D$19),$P$20))-SUM($P910:AA910)</f>
        <v>#VALUE!</v>
      </c>
      <c r="AC910" s="446" t="e">
        <f>IF(OR($B910="",MIN(AC$38,$D$19)&lt;MAX($P$708*($B910+IF($R$17="Distrato",$I$38-1,0)),IF(AND($L$711=0,$P$708=0),"",$L$711-1),IF($R$17="Distrato",$E910,0))),0,YEARFRAC(MAX($P$708*($B910+IF($R$17="Distrato",$I$38-1,0)),IF(AND($L$711=0,$P$708=0),"",$L$711-1),IF($R$17="Distrato",$E910,0)),MIN(AC$38,$D$19),$P$20))-SUM($P910:AB910)</f>
        <v>#VALUE!</v>
      </c>
      <c r="AD910" s="446" t="e">
        <f>IF(OR($B910="",MIN(AD$38,$D$19)&lt;MAX($P$708*($B910+IF($R$17="Distrato",$I$38-1,0)),IF(AND($L$711=0,$P$708=0),"",$L$711-1),IF($R$17="Distrato",$E910,0))),0,YEARFRAC(MAX($P$708*($B910+IF($R$17="Distrato",$I$38-1,0)),IF(AND($L$711=0,$P$708=0),"",$L$711-1),IF($R$17="Distrato",$E910,0)),MIN(AD$38,$D$19),$P$20))-SUM($P910:AC910)</f>
        <v>#VALUE!</v>
      </c>
      <c r="AE910" s="446" t="e">
        <f>IF(OR($B910="",MIN(AE$38,$D$19)&lt;MAX($P$708*($B910+IF($R$17="Distrato",$I$38-1,0)),IF(AND($L$711=0,$P$708=0),"",$L$711-1),IF($R$17="Distrato",$E910,0))),0,YEARFRAC(MAX($P$708*($B910+IF($R$17="Distrato",$I$38-1,0)),IF(AND($L$711=0,$P$708=0),"",$L$711-1),IF($R$17="Distrato",$E910,0)),MIN(AE$38,$D$19),$P$20))-SUM($P910:AD910)</f>
        <v>#VALUE!</v>
      </c>
      <c r="AF910" s="446" t="e">
        <f>IF(OR($B910="",MIN(AF$38,$D$19)&lt;MAX($P$708*($B910+IF($R$17="Distrato",$I$38-1,0)),IF(AND($L$711=0,$P$708=0),"",$L$711-1),IF($R$17="Distrato",$E910,0))),0,YEARFRAC(MAX($P$708*($B910+IF($R$17="Distrato",$I$38-1,0)),IF(AND($L$711=0,$P$708=0),"",$L$711-1),IF($R$17="Distrato",$E910,0)),MIN(AF$38,$D$19),$P$20))-SUM($P910:AE910)</f>
        <v>#VALUE!</v>
      </c>
      <c r="AG910" s="446" t="e">
        <f>IF(OR($B910="",MIN(AG$38,$D$19)&lt;MAX($P$708*($B910+IF($R$17="Distrato",$I$38-1,0)),IF(AND($L$711=0,$P$708=0),"",$L$711-1),IF($R$17="Distrato",$E910,0))),0,YEARFRAC(MAX($P$708*($B910+IF($R$17="Distrato",$I$38-1,0)),IF(AND($L$711=0,$P$708=0),"",$L$711-1),IF($R$17="Distrato",$E910,0)),MIN(AG$38,$D$19),$P$20))-SUM($P910:AF910)</f>
        <v>#VALUE!</v>
      </c>
      <c r="AH910" s="446" t="e">
        <f>IF(OR($B910="",MIN(AH$38,$D$19)&lt;MAX($P$708*($B910+IF($R$17="Distrato",$I$38-1,0)),IF(AND($L$711=0,$P$708=0),"",$L$711-1),IF($R$17="Distrato",$E910,0))),0,YEARFRAC(MAX($P$708*($B910+IF($R$17="Distrato",$I$38-1,0)),IF(AND($L$711=0,$P$708=0),"",$L$711-1),IF($R$17="Distrato",$E910,0)),MIN(AH$38,$D$19),$P$20))-SUM($P910:AG910)</f>
        <v>#VALUE!</v>
      </c>
      <c r="AI910" s="446" t="e">
        <f>IF(OR($B910="",MIN(AI$38,$D$19)&lt;MAX($P$708*($B910+IF($R$17="Distrato",$I$38-1,0)),IF(AND($L$711=0,$P$708=0),"",$L$711-1),IF($R$17="Distrato",$E910,0))),0,YEARFRAC(MAX($P$708*($B910+IF($R$17="Distrato",$I$38-1,0)),IF(AND($L$711=0,$P$708=0),"",$L$711-1),IF($R$17="Distrato",$E910,0)),MIN(AI$38,$D$19),$P$20))-SUM($P910:AH910)</f>
        <v>#VALUE!</v>
      </c>
      <c r="AJ910" s="446" t="e">
        <f>IF(OR($B910="",MIN(AJ$38,$D$19)&lt;MAX($P$708*($B910+IF($R$17="Distrato",$I$38-1,0)),IF(AND($L$711=0,$P$708=0),"",$L$711-1),IF($R$17="Distrato",$E910,0))),0,YEARFRAC(MAX($P$708*($B910+IF($R$17="Distrato",$I$38-1,0)),IF(AND($L$711=0,$P$708=0),"",$L$711-1),IF($R$17="Distrato",$E910,0)),MIN(AJ$38,$D$19),$P$20))-SUM($P910:AI910)</f>
        <v>#VALUE!</v>
      </c>
      <c r="AK910" s="446" t="e">
        <f>IF(OR($B910="",MIN(AK$38,$D$19)&lt;MAX($P$708*($B910+IF($R$17="Distrato",$I$38-1,0)),IF(AND($L$711=0,$P$708=0),"",$L$711-1),IF($R$17="Distrato",$E910,0))),0,YEARFRAC(MAX($P$708*($B910+IF($R$17="Distrato",$I$38-1,0)),IF(AND($L$711=0,$P$708=0),"",$L$711-1),IF($R$17="Distrato",$E910,0)),MIN(AK$38,$D$19),$P$20))-SUM($P910:AJ910)</f>
        <v>#VALUE!</v>
      </c>
      <c r="AL910" s="446" t="e">
        <f>IF(OR($B910="",MIN(AL$38,$D$19)&lt;MAX($P$708*($B910+IF($R$17="Distrato",$I$38-1,0)),IF(AND($L$711=0,$P$708=0),"",$L$711-1),IF($R$17="Distrato",$E910,0))),0,YEARFRAC(MAX($P$708*($B910+IF($R$17="Distrato",$I$38-1,0)),IF(AND($L$711=0,$P$708=0),"",$L$711-1),IF($R$17="Distrato",$E910,0)),MIN(AL$38,$D$19),$P$20))-SUM($P910:AK910)</f>
        <v>#VALUE!</v>
      </c>
      <c r="AM910" s="446" t="e">
        <f>IF(OR($B910="",MIN(AM$38,$D$19)&lt;MAX($P$708*($B910+IF($R$17="Distrato",$I$38-1,0)),IF(AND($L$711=0,$P$708=0),"",$L$711-1),IF($R$17="Distrato",$E910,0))),0,YEARFRAC(MAX($P$708*($B910+IF($R$17="Distrato",$I$38-1,0)),IF(AND($L$711=0,$P$708=0),"",$L$711-1),IF($R$17="Distrato",$E910,0)),MIN(AM$38,$D$19),$P$20))-SUM($P910:AL910)</f>
        <v>#VALUE!</v>
      </c>
      <c r="AN910" s="446" t="e">
        <f>IF(OR($B910="",MIN(AN$38,$D$19)&lt;MAX($P$708*($B910+IF($R$17="Distrato",$I$38-1,0)),IF(AND($L$711=0,$P$708=0),"",$L$711-1),IF($R$17="Distrato",$E910,0))),0,YEARFRAC(MAX($P$708*($B910+IF($R$17="Distrato",$I$38-1,0)),IF(AND($L$711=0,$P$708=0),"",$L$711-1),IF($R$17="Distrato",$E910,0)),MIN(AN$38,$D$19),$P$20))-SUM($P910:AM910)</f>
        <v>#VALUE!</v>
      </c>
      <c r="AO910" s="446" t="e">
        <f>IF(OR($B910="",MIN(AO$38,$D$19)&lt;MAX($P$708*($B910+IF($R$17="Distrato",$I$38-1,0)),IF(AND($L$711=0,$P$708=0),"",$L$711-1),IF($R$17="Distrato",$E910,0))),0,YEARFRAC(MAX($P$708*($B910+IF($R$17="Distrato",$I$38-1,0)),IF(AND($L$711=0,$P$708=0),"",$L$711-1),IF($R$17="Distrato",$E910,0)),MIN(AO$38,$D$19),$P$20))-SUM($P910:AN910)</f>
        <v>#VALUE!</v>
      </c>
      <c r="AP910" s="446" t="e">
        <f>IF(OR($B910="",MIN(AP$38,$D$19)&lt;MAX($P$708*($B910+IF($R$17="Distrato",$I$38-1,0)),IF(AND($L$711=0,$P$708=0),"",$L$711-1),IF($R$17="Distrato",$E910,0))),0,YEARFRAC(MAX($P$708*($B910+IF($R$17="Distrato",$I$38-1,0)),IF(AND($L$711=0,$P$708=0),"",$L$711-1),IF($R$17="Distrato",$E910,0)),MIN(AP$38,$D$19),$P$20))-SUM($P910:AO910)</f>
        <v>#VALUE!</v>
      </c>
      <c r="AQ910" s="446" t="e">
        <f>IF(OR($B910="",MIN(AQ$38,$D$19)&lt;MAX($P$708*($B910+IF($R$17="Distrato",$I$38-1,0)),IF(AND($L$711=0,$P$708=0),"",$L$711-1),IF($R$17="Distrato",$E910,0))),0,YEARFRAC(MAX($P$708*($B910+IF($R$17="Distrato",$I$38-1,0)),IF(AND($L$711=0,$P$708=0),"",$L$711-1),IF($R$17="Distrato",$E910,0)),MIN(AQ$38,$D$19),$P$20))-SUM($P910:AP910)</f>
        <v>#VALUE!</v>
      </c>
      <c r="AR910" s="446" t="e">
        <f>IF(OR($B910="",MIN(AR$38,$D$19)&lt;MAX($P$708*($B910+IF($R$17="Distrato",$I$38-1,0)),IF(AND($L$711=0,$P$708=0),"",$L$711-1),IF($R$17="Distrato",$E910,0))),0,YEARFRAC(MAX($P$708*($B910+IF($R$17="Distrato",$I$38-1,0)),IF(AND($L$711=0,$P$708=0),"",$L$711-1),IF($R$17="Distrato",$E910,0)),MIN(AR$38,$D$19),$P$20))-SUM($P910:AQ910)</f>
        <v>#VALUE!</v>
      </c>
      <c r="AS910" s="446" t="e">
        <f>IF(OR($B910="",MIN(AS$38,$D$19)&lt;MAX($P$708*($B910+IF($R$17="Distrato",$I$38-1,0)),IF(AND($L$711=0,$P$708=0),"",$L$711-1),IF($R$17="Distrato",$E910,0))),0,YEARFRAC(MAX($P$708*($B910+IF($R$17="Distrato",$I$38-1,0)),IF(AND($L$711=0,$P$708=0),"",$L$711-1),IF($R$17="Distrato",$E910,0)),MIN(AS$38,$D$19),$P$20))-SUM($P910:AR910)</f>
        <v>#VALUE!</v>
      </c>
      <c r="AT910" s="446" t="e">
        <f>IF(OR($B910="",MIN(AT$38,$D$19)&lt;MAX($P$708*($B910+IF($R$17="Distrato",$I$38-1,0)),IF(AND($L$711=0,$P$708=0),"",$L$711-1),IF($R$17="Distrato",$E910,0))),0,YEARFRAC(MAX($P$708*($B910+IF($R$17="Distrato",$I$38-1,0)),IF(AND($L$711=0,$P$708=0),"",$L$711-1),IF($R$17="Distrato",$E910,0)),MIN(AT$38,$D$19),$P$20))-SUM($P910:AS910)</f>
        <v>#VALUE!</v>
      </c>
      <c r="AU910" s="446" t="e">
        <f>IF(OR($B910="",MIN(AU$38,$D$19)&lt;MAX($P$708*($B910+IF($R$17="Distrato",$I$38-1,0)),IF(AND($L$711=0,$P$708=0),"",$L$711-1),IF($R$17="Distrato",$E910,0))),0,YEARFRAC(MAX($P$708*($B910+IF($R$17="Distrato",$I$38-1,0)),IF(AND($L$711=0,$P$708=0),"",$L$711-1),IF($R$17="Distrato",$E910,0)),MIN(AU$38,$D$19),$P$20))-SUM($P910:AT910)</f>
        <v>#VALUE!</v>
      </c>
      <c r="AV910" s="446" t="e">
        <f>IF(OR($B910="",MIN(AV$38,$D$19)&lt;MAX($P$708*($B910+IF($R$17="Distrato",$I$38-1,0)),IF(AND($L$711=0,$P$708=0),"",$L$711-1),IF($R$17="Distrato",$E910,0))),0,YEARFRAC(MAX($P$708*($B910+IF($R$17="Distrato",$I$38-1,0)),IF(AND($L$711=0,$P$708=0),"",$L$711-1),IF($R$17="Distrato",$E910,0)),MIN(AV$38,$D$19),$P$20))-SUM($P910:AU910)</f>
        <v>#VALUE!</v>
      </c>
      <c r="AW910" s="446" t="e">
        <f>IF(OR($B910="",MIN(AW$38,$D$19)&lt;MAX($P$708*($B910+IF($R$17="Distrato",$I$38-1,0)),IF(AND($L$711=0,$P$708=0),"",$L$711-1),IF($R$17="Distrato",$E910,0))),0,YEARFRAC(MAX($P$708*($B910+IF($R$17="Distrato",$I$38-1,0)),IF(AND($L$711=0,$P$708=0),"",$L$711-1),IF($R$17="Distrato",$E910,0)),MIN(AW$38,$D$19),$P$20))-SUM($P910:AV910)</f>
        <v>#VALUE!</v>
      </c>
      <c r="AX910" s="446" t="e">
        <f>IF(OR($B910="",MIN(AX$38,$D$19)&lt;MAX($P$708*($B910+IF($R$17="Distrato",$I$38-1,0)),IF(AND($L$711=0,$P$708=0),"",$L$711-1),IF($R$17="Distrato",$E910,0))),0,YEARFRAC(MAX($P$708*($B910+IF($R$17="Distrato",$I$38-1,0)),IF(AND($L$711=0,$P$708=0),"",$L$711-1),IF($R$17="Distrato",$E910,0)),MIN(AX$38,$D$19),$P$20))-SUM($P910:AW910)</f>
        <v>#VALUE!</v>
      </c>
      <c r="AY910" s="446" t="e">
        <f>IF(OR($B910="",MIN(AY$38,$D$19)&lt;MAX($P$708*($B910+IF($R$17="Distrato",$I$38-1,0)),IF(AND($L$711=0,$P$708=0),"",$L$711-1),IF($R$17="Distrato",$E910,0))),0,YEARFRAC(MAX($P$708*($B910+IF($R$17="Distrato",$I$38-1,0)),IF(AND($L$711=0,$P$708=0),"",$L$711-1),IF($R$17="Distrato",$E910,0)),MIN(AY$38,$D$19),$P$20))-SUM($P910:AX910)</f>
        <v>#VALUE!</v>
      </c>
      <c r="AZ910" s="446" t="e">
        <f>IF(OR($B910="",MIN(AZ$38,$D$19)&lt;MAX($P$708*($B910+IF($R$17="Distrato",$I$38-1,0)),IF(AND($L$711=0,$P$708=0),"",$L$711-1),IF($R$17="Distrato",$E910,0))),0,YEARFRAC(MAX($P$708*($B910+IF($R$17="Distrato",$I$38-1,0)),IF(AND($L$711=0,$P$708=0),"",$L$711-1),IF($R$17="Distrato",$E910,0)),MIN(AZ$38,$D$19),$P$20))-SUM($P910:AY910)</f>
        <v>#VALUE!</v>
      </c>
      <c r="BA910" s="446" t="e">
        <f>IF(OR($B910="",MIN(BA$38,$D$19)&lt;MAX($P$708*($B910+IF($R$17="Distrato",$I$38-1,0)),IF(AND($L$711=0,$P$708=0),"",$L$711-1),IF($R$17="Distrato",$E910,0))),0,YEARFRAC(MAX($P$708*($B910+IF($R$17="Distrato",$I$38-1,0)),IF(AND($L$711=0,$P$708=0),"",$L$711-1),IF($R$17="Distrato",$E910,0)),MIN(BA$38,$D$19),$P$20))-SUM($P910:AZ910)</f>
        <v>#VALUE!</v>
      </c>
      <c r="BB910" s="447"/>
    </row>
    <row r="911" spans="1:54" s="446" customFormat="1" ht="11.25" hidden="1" customHeight="1" x14ac:dyDescent="0.2">
      <c r="A911" s="235"/>
      <c r="B911" s="236"/>
      <c r="C911" s="29" t="str">
        <f>IF(B911="","",IF($L$709=$BL$25,VLOOKUP(DATE(YEAR($D$19),MONTH($D$19)-1,1),ÍNDICES!$A:$DE,HLOOKUP($BL$25,ÍNDICES!$B$3:$T$4,2)+11)-VLOOKUP(B911,ÍNDICES!$A:$DE,HLOOKUP($BL$25,ÍNDICES!$B$3:$T$4,2)+11)+1%,IF(C$712=$W$26,$J$35,IF(ISERROR(IF(B911&gt;$D$19,1,VLOOKUP(DATE(YEAR(B911),MONTH(B911)+IF($C$709=$S$23,1,0),1),ÍNDICES!$A:$DE,$Z$709+1))),"",IF(B911&gt;$D$19,1,VLOOKUP(DATE(YEAR(B911),MONTH(B911)+IF($C$709=$S$23,1,0),1),ÍNDICES!$A:$DE,$Z$709+1))))))</f>
        <v/>
      </c>
      <c r="D911" s="155"/>
      <c r="E911" s="88"/>
      <c r="F911" s="88"/>
      <c r="G911" s="88"/>
      <c r="H911" s="118"/>
      <c r="I911" s="182">
        <f t="shared" si="136"/>
        <v>0</v>
      </c>
      <c r="J911" s="20">
        <f t="shared" ca="1" si="137"/>
        <v>0</v>
      </c>
      <c r="K911" s="5">
        <f t="shared" ca="1" si="138"/>
        <v>0</v>
      </c>
      <c r="L911" s="61">
        <f t="shared" ca="1" si="139"/>
        <v>0</v>
      </c>
      <c r="M911" s="64">
        <f t="shared" si="140"/>
        <v>0</v>
      </c>
      <c r="N911" s="151"/>
      <c r="O911" s="5">
        <f t="shared" ca="1" si="141"/>
        <v>0</v>
      </c>
      <c r="P911" s="446" t="e">
        <f t="shared" si="142"/>
        <v>#VALUE!</v>
      </c>
      <c r="Q911" s="446" t="e">
        <f>IF(OR($B911="",MIN(Q$38,$D$19)&lt;MAX($P$708*($B911+IF($R$17="Distrato",$I$38-1,0)),IF(AND($L$711=0,$P$708=0),"",$L$711-1),IF($R$17="Distrato",$E911,0))),0,YEARFRAC(MAX($P$708*($B911+IF($R$17="Distrato",$I$38-1,0)),IF(AND($L$711=0,$P$708=0),"",$L$711-1),IF($R$17="Distrato",$E911,0)),MIN(Q$38,$D$19),$P$20))-SUM($P911:P911)</f>
        <v>#VALUE!</v>
      </c>
      <c r="R911" s="446" t="e">
        <f>IF(OR($B911="",MIN(R$38,$D$19)&lt;MAX($P$708*($B911+IF($R$17="Distrato",$I$38-1,0)),IF(AND($L$711=0,$P$708=0),"",$L$711-1),IF($R$17="Distrato",$E911,0))),0,YEARFRAC(MAX($P$708*($B911+IF($R$17="Distrato",$I$38-1,0)),IF(AND($L$711=0,$P$708=0),"",$L$711-1),IF($R$17="Distrato",$E911,0)),MIN(R$38,$D$19),$P$20))-SUM($P911:Q911)</f>
        <v>#VALUE!</v>
      </c>
      <c r="S911" s="446" t="e">
        <f>IF(OR($B911="",MIN(S$38,$D$19)&lt;MAX($P$708*($B911+IF($R$17="Distrato",$I$38-1,0)),IF(AND($L$711=0,$P$708=0),"",$L$711-1),IF($R$17="Distrato",$E911,0))),0,YEARFRAC(MAX($P$708*($B911+IF($R$17="Distrato",$I$38-1,0)),IF(AND($L$711=0,$P$708=0),"",$L$711-1),IF($R$17="Distrato",$E911,0)),MIN(S$38,$D$19),$P$20))-SUM($P911:R911)</f>
        <v>#VALUE!</v>
      </c>
      <c r="T911" s="446" t="e">
        <f>IF(OR($B911="",MIN(T$38,$D$19)&lt;MAX($P$708*($B911+IF($R$17="Distrato",$I$38-1,0)),IF(AND($L$711=0,$P$708=0),"",$L$711-1),IF($R$17="Distrato",$E911,0))),0,YEARFRAC(MAX($P$708*($B911+IF($R$17="Distrato",$I$38-1,0)),IF(AND($L$711=0,$P$708=0),"",$L$711-1),IF($R$17="Distrato",$E911,0)),MIN(T$38,$D$19),$P$20))-SUM($P911:S911)</f>
        <v>#VALUE!</v>
      </c>
      <c r="U911" s="446" t="e">
        <f>IF(OR($B911="",MIN(U$38,$D$19)&lt;MAX($P$708*($B911+IF($R$17="Distrato",$I$38-1,0)),IF(AND($L$711=0,$P$708=0),"",$L$711-1),IF($R$17="Distrato",$E911,0))),0,YEARFRAC(MAX($P$708*($B911+IF($R$17="Distrato",$I$38-1,0)),IF(AND($L$711=0,$P$708=0),"",$L$711-1),IF($R$17="Distrato",$E911,0)),MIN(U$38,$D$19),$P$20))-SUM($P911:T911)</f>
        <v>#VALUE!</v>
      </c>
      <c r="V911" s="446" t="e">
        <f>IF(OR($B911="",MIN(V$38,$D$19)&lt;MAX($P$708*($B911+IF($R$17="Distrato",$I$38-1,0)),IF(AND($L$711=0,$P$708=0),"",$L$711-1),IF($R$17="Distrato",$E911,0))),0,YEARFRAC(MAX($P$708*($B911+IF($R$17="Distrato",$I$38-1,0)),IF(AND($L$711=0,$P$708=0),"",$L$711-1),IF($R$17="Distrato",$E911,0)),MIN(V$38,$D$19),$P$20))-SUM($P911:U911)</f>
        <v>#VALUE!</v>
      </c>
      <c r="W911" s="446" t="e">
        <f>IF(OR($B911="",MIN(W$38,$D$19)&lt;MAX($P$708*($B911+IF($R$17="Distrato",$I$38-1,0)),IF(AND($L$711=0,$P$708=0),"",$L$711-1),IF($R$17="Distrato",$E911,0))),0,YEARFRAC(MAX($P$708*($B911+IF($R$17="Distrato",$I$38-1,0)),IF(AND($L$711=0,$P$708=0),"",$L$711-1),IF($R$17="Distrato",$E911,0)),MIN(W$38,$D$19),$P$20))-SUM($P911:V911)</f>
        <v>#VALUE!</v>
      </c>
      <c r="X911" s="446" t="e">
        <f>IF(OR($B911="",MIN(X$38,$D$19)&lt;MAX($P$708*($B911+IF($R$17="Distrato",$I$38-1,0)),IF(AND($L$711=0,$P$708=0),"",$L$711-1),IF($R$17="Distrato",$E911,0))),0,YEARFRAC(MAX($P$708*($B911+IF($R$17="Distrato",$I$38-1,0)),IF(AND($L$711=0,$P$708=0),"",$L$711-1),IF($R$17="Distrato",$E911,0)),MIN(X$38,$D$19),$P$20))-SUM($P911:W911)</f>
        <v>#VALUE!</v>
      </c>
      <c r="Y911" s="446" t="e">
        <f>IF(OR($B911="",MIN(Y$38,$D$19)&lt;MAX($P$708*($B911+IF($R$17="Distrato",$I$38-1,0)),IF(AND($L$711=0,$P$708=0),"",$L$711-1),IF($R$17="Distrato",$E911,0))),0,YEARFRAC(MAX($P$708*($B911+IF($R$17="Distrato",$I$38-1,0)),IF(AND($L$711=0,$P$708=0),"",$L$711-1),IF($R$17="Distrato",$E911,0)),MIN(Y$38,$D$19),$P$20))-SUM($P911:X911)</f>
        <v>#VALUE!</v>
      </c>
      <c r="Z911" s="446" t="e">
        <f>IF(OR($B911="",MIN(Z$38,$D$19)&lt;MAX($P$708*($B911+IF($R$17="Distrato",$I$38-1,0)),IF(AND($L$711=0,$P$708=0),"",$L$711-1),IF($R$17="Distrato",$E911,0))),0,YEARFRAC(MAX($P$708*($B911+IF($R$17="Distrato",$I$38-1,0)),IF(AND($L$711=0,$P$708=0),"",$L$711-1),IF($R$17="Distrato",$E911,0)),MIN(Z$38,$D$19),$P$20))-SUM($P911:Y911)</f>
        <v>#VALUE!</v>
      </c>
      <c r="AA911" s="446" t="e">
        <f>IF(OR($B911="",MIN(AA$38,$D$19)&lt;MAX($P$708*($B911+IF($R$17="Distrato",$I$38-1,0)),IF(AND($L$711=0,$P$708=0),"",$L$711-1),IF($R$17="Distrato",$E911,0))),0,YEARFRAC(MAX($P$708*($B911+IF($R$17="Distrato",$I$38-1,0)),IF(AND($L$711=0,$P$708=0),"",$L$711-1),IF($R$17="Distrato",$E911,0)),MIN(AA$38,$D$19),$P$20))-SUM($P911:Z911)</f>
        <v>#VALUE!</v>
      </c>
      <c r="AB911" s="446" t="e">
        <f>IF(OR($B911="",MIN(AB$38,$D$19)&lt;MAX($P$708*($B911+IF($R$17="Distrato",$I$38-1,0)),IF(AND($L$711=0,$P$708=0),"",$L$711-1),IF($R$17="Distrato",$E911,0))),0,YEARFRAC(MAX($P$708*($B911+IF($R$17="Distrato",$I$38-1,0)),IF(AND($L$711=0,$P$708=0),"",$L$711-1),IF($R$17="Distrato",$E911,0)),MIN(AB$38,$D$19),$P$20))-SUM($P911:AA911)</f>
        <v>#VALUE!</v>
      </c>
      <c r="AC911" s="446" t="e">
        <f>IF(OR($B911="",MIN(AC$38,$D$19)&lt;MAX($P$708*($B911+IF($R$17="Distrato",$I$38-1,0)),IF(AND($L$711=0,$P$708=0),"",$L$711-1),IF($R$17="Distrato",$E911,0))),0,YEARFRAC(MAX($P$708*($B911+IF($R$17="Distrato",$I$38-1,0)),IF(AND($L$711=0,$P$708=0),"",$L$711-1),IF($R$17="Distrato",$E911,0)),MIN(AC$38,$D$19),$P$20))-SUM($P911:AB911)</f>
        <v>#VALUE!</v>
      </c>
      <c r="AD911" s="446" t="e">
        <f>IF(OR($B911="",MIN(AD$38,$D$19)&lt;MAX($P$708*($B911+IF($R$17="Distrato",$I$38-1,0)),IF(AND($L$711=0,$P$708=0),"",$L$711-1),IF($R$17="Distrato",$E911,0))),0,YEARFRAC(MAX($P$708*($B911+IF($R$17="Distrato",$I$38-1,0)),IF(AND($L$711=0,$P$708=0),"",$L$711-1),IF($R$17="Distrato",$E911,0)),MIN(AD$38,$D$19),$P$20))-SUM($P911:AC911)</f>
        <v>#VALUE!</v>
      </c>
      <c r="AE911" s="446" t="e">
        <f>IF(OR($B911="",MIN(AE$38,$D$19)&lt;MAX($P$708*($B911+IF($R$17="Distrato",$I$38-1,0)),IF(AND($L$711=0,$P$708=0),"",$L$711-1),IF($R$17="Distrato",$E911,0))),0,YEARFRAC(MAX($P$708*($B911+IF($R$17="Distrato",$I$38-1,0)),IF(AND($L$711=0,$P$708=0),"",$L$711-1),IF($R$17="Distrato",$E911,0)),MIN(AE$38,$D$19),$P$20))-SUM($P911:AD911)</f>
        <v>#VALUE!</v>
      </c>
      <c r="AF911" s="446" t="e">
        <f>IF(OR($B911="",MIN(AF$38,$D$19)&lt;MAX($P$708*($B911+IF($R$17="Distrato",$I$38-1,0)),IF(AND($L$711=0,$P$708=0),"",$L$711-1),IF($R$17="Distrato",$E911,0))),0,YEARFRAC(MAX($P$708*($B911+IF($R$17="Distrato",$I$38-1,0)),IF(AND($L$711=0,$P$708=0),"",$L$711-1),IF($R$17="Distrato",$E911,0)),MIN(AF$38,$D$19),$P$20))-SUM($P911:AE911)</f>
        <v>#VALUE!</v>
      </c>
      <c r="AG911" s="446" t="e">
        <f>IF(OR($B911="",MIN(AG$38,$D$19)&lt;MAX($P$708*($B911+IF($R$17="Distrato",$I$38-1,0)),IF(AND($L$711=0,$P$708=0),"",$L$711-1),IF($R$17="Distrato",$E911,0))),0,YEARFRAC(MAX($P$708*($B911+IF($R$17="Distrato",$I$38-1,0)),IF(AND($L$711=0,$P$708=0),"",$L$711-1),IF($R$17="Distrato",$E911,0)),MIN(AG$38,$D$19),$P$20))-SUM($P911:AF911)</f>
        <v>#VALUE!</v>
      </c>
      <c r="AH911" s="446" t="e">
        <f>IF(OR($B911="",MIN(AH$38,$D$19)&lt;MAX($P$708*($B911+IF($R$17="Distrato",$I$38-1,0)),IF(AND($L$711=0,$P$708=0),"",$L$711-1),IF($R$17="Distrato",$E911,0))),0,YEARFRAC(MAX($P$708*($B911+IF($R$17="Distrato",$I$38-1,0)),IF(AND($L$711=0,$P$708=0),"",$L$711-1),IF($R$17="Distrato",$E911,0)),MIN(AH$38,$D$19),$P$20))-SUM($P911:AG911)</f>
        <v>#VALUE!</v>
      </c>
      <c r="AI911" s="446" t="e">
        <f>IF(OR($B911="",MIN(AI$38,$D$19)&lt;MAX($P$708*($B911+IF($R$17="Distrato",$I$38-1,0)),IF(AND($L$711=0,$P$708=0),"",$L$711-1),IF($R$17="Distrato",$E911,0))),0,YEARFRAC(MAX($P$708*($B911+IF($R$17="Distrato",$I$38-1,0)),IF(AND($L$711=0,$P$708=0),"",$L$711-1),IF($R$17="Distrato",$E911,0)),MIN(AI$38,$D$19),$P$20))-SUM($P911:AH911)</f>
        <v>#VALUE!</v>
      </c>
      <c r="AJ911" s="446" t="e">
        <f>IF(OR($B911="",MIN(AJ$38,$D$19)&lt;MAX($P$708*($B911+IF($R$17="Distrato",$I$38-1,0)),IF(AND($L$711=0,$P$708=0),"",$L$711-1),IF($R$17="Distrato",$E911,0))),0,YEARFRAC(MAX($P$708*($B911+IF($R$17="Distrato",$I$38-1,0)),IF(AND($L$711=0,$P$708=0),"",$L$711-1),IF($R$17="Distrato",$E911,0)),MIN(AJ$38,$D$19),$P$20))-SUM($P911:AI911)</f>
        <v>#VALUE!</v>
      </c>
      <c r="AK911" s="446" t="e">
        <f>IF(OR($B911="",MIN(AK$38,$D$19)&lt;MAX($P$708*($B911+IF($R$17="Distrato",$I$38-1,0)),IF(AND($L$711=0,$P$708=0),"",$L$711-1),IF($R$17="Distrato",$E911,0))),0,YEARFRAC(MAX($P$708*($B911+IF($R$17="Distrato",$I$38-1,0)),IF(AND($L$711=0,$P$708=0),"",$L$711-1),IF($R$17="Distrato",$E911,0)),MIN(AK$38,$D$19),$P$20))-SUM($P911:AJ911)</f>
        <v>#VALUE!</v>
      </c>
      <c r="AL911" s="446" t="e">
        <f>IF(OR($B911="",MIN(AL$38,$D$19)&lt;MAX($P$708*($B911+IF($R$17="Distrato",$I$38-1,0)),IF(AND($L$711=0,$P$708=0),"",$L$711-1),IF($R$17="Distrato",$E911,0))),0,YEARFRAC(MAX($P$708*($B911+IF($R$17="Distrato",$I$38-1,0)),IF(AND($L$711=0,$P$708=0),"",$L$711-1),IF($R$17="Distrato",$E911,0)),MIN(AL$38,$D$19),$P$20))-SUM($P911:AK911)</f>
        <v>#VALUE!</v>
      </c>
      <c r="AM911" s="446" t="e">
        <f>IF(OR($B911="",MIN(AM$38,$D$19)&lt;MAX($P$708*($B911+IF($R$17="Distrato",$I$38-1,0)),IF(AND($L$711=0,$P$708=0),"",$L$711-1),IF($R$17="Distrato",$E911,0))),0,YEARFRAC(MAX($P$708*($B911+IF($R$17="Distrato",$I$38-1,0)),IF(AND($L$711=0,$P$708=0),"",$L$711-1),IF($R$17="Distrato",$E911,0)),MIN(AM$38,$D$19),$P$20))-SUM($P911:AL911)</f>
        <v>#VALUE!</v>
      </c>
      <c r="AN911" s="446" t="e">
        <f>IF(OR($B911="",MIN(AN$38,$D$19)&lt;MAX($P$708*($B911+IF($R$17="Distrato",$I$38-1,0)),IF(AND($L$711=0,$P$708=0),"",$L$711-1),IF($R$17="Distrato",$E911,0))),0,YEARFRAC(MAX($P$708*($B911+IF($R$17="Distrato",$I$38-1,0)),IF(AND($L$711=0,$P$708=0),"",$L$711-1),IF($R$17="Distrato",$E911,0)),MIN(AN$38,$D$19),$P$20))-SUM($P911:AM911)</f>
        <v>#VALUE!</v>
      </c>
      <c r="AO911" s="446" t="e">
        <f>IF(OR($B911="",MIN(AO$38,$D$19)&lt;MAX($P$708*($B911+IF($R$17="Distrato",$I$38-1,0)),IF(AND($L$711=0,$P$708=0),"",$L$711-1),IF($R$17="Distrato",$E911,0))),0,YEARFRAC(MAX($P$708*($B911+IF($R$17="Distrato",$I$38-1,0)),IF(AND($L$711=0,$P$708=0),"",$L$711-1),IF($R$17="Distrato",$E911,0)),MIN(AO$38,$D$19),$P$20))-SUM($P911:AN911)</f>
        <v>#VALUE!</v>
      </c>
      <c r="AP911" s="446" t="e">
        <f>IF(OR($B911="",MIN(AP$38,$D$19)&lt;MAX($P$708*($B911+IF($R$17="Distrato",$I$38-1,0)),IF(AND($L$711=0,$P$708=0),"",$L$711-1),IF($R$17="Distrato",$E911,0))),0,YEARFRAC(MAX($P$708*($B911+IF($R$17="Distrato",$I$38-1,0)),IF(AND($L$711=0,$P$708=0),"",$L$711-1),IF($R$17="Distrato",$E911,0)),MIN(AP$38,$D$19),$P$20))-SUM($P911:AO911)</f>
        <v>#VALUE!</v>
      </c>
      <c r="AQ911" s="446" t="e">
        <f>IF(OR($B911="",MIN(AQ$38,$D$19)&lt;MAX($P$708*($B911+IF($R$17="Distrato",$I$38-1,0)),IF(AND($L$711=0,$P$708=0),"",$L$711-1),IF($R$17="Distrato",$E911,0))),0,YEARFRAC(MAX($P$708*($B911+IF($R$17="Distrato",$I$38-1,0)),IF(AND($L$711=0,$P$708=0),"",$L$711-1),IF($R$17="Distrato",$E911,0)),MIN(AQ$38,$D$19),$P$20))-SUM($P911:AP911)</f>
        <v>#VALUE!</v>
      </c>
      <c r="AR911" s="446" t="e">
        <f>IF(OR($B911="",MIN(AR$38,$D$19)&lt;MAX($P$708*($B911+IF($R$17="Distrato",$I$38-1,0)),IF(AND($L$711=0,$P$708=0),"",$L$711-1),IF($R$17="Distrato",$E911,0))),0,YEARFRAC(MAX($P$708*($B911+IF($R$17="Distrato",$I$38-1,0)),IF(AND($L$711=0,$P$708=0),"",$L$711-1),IF($R$17="Distrato",$E911,0)),MIN(AR$38,$D$19),$P$20))-SUM($P911:AQ911)</f>
        <v>#VALUE!</v>
      </c>
      <c r="AS911" s="446" t="e">
        <f>IF(OR($B911="",MIN(AS$38,$D$19)&lt;MAX($P$708*($B911+IF($R$17="Distrato",$I$38-1,0)),IF(AND($L$711=0,$P$708=0),"",$L$711-1),IF($R$17="Distrato",$E911,0))),0,YEARFRAC(MAX($P$708*($B911+IF($R$17="Distrato",$I$38-1,0)),IF(AND($L$711=0,$P$708=0),"",$L$711-1),IF($R$17="Distrato",$E911,0)),MIN(AS$38,$D$19),$P$20))-SUM($P911:AR911)</f>
        <v>#VALUE!</v>
      </c>
      <c r="AT911" s="446" t="e">
        <f>IF(OR($B911="",MIN(AT$38,$D$19)&lt;MAX($P$708*($B911+IF($R$17="Distrato",$I$38-1,0)),IF(AND($L$711=0,$P$708=0),"",$L$711-1),IF($R$17="Distrato",$E911,0))),0,YEARFRAC(MAX($P$708*($B911+IF($R$17="Distrato",$I$38-1,0)),IF(AND($L$711=0,$P$708=0),"",$L$711-1),IF($R$17="Distrato",$E911,0)),MIN(AT$38,$D$19),$P$20))-SUM($P911:AS911)</f>
        <v>#VALUE!</v>
      </c>
      <c r="AU911" s="446" t="e">
        <f>IF(OR($B911="",MIN(AU$38,$D$19)&lt;MAX($P$708*($B911+IF($R$17="Distrato",$I$38-1,0)),IF(AND($L$711=0,$P$708=0),"",$L$711-1),IF($R$17="Distrato",$E911,0))),0,YEARFRAC(MAX($P$708*($B911+IF($R$17="Distrato",$I$38-1,0)),IF(AND($L$711=0,$P$708=0),"",$L$711-1),IF($R$17="Distrato",$E911,0)),MIN(AU$38,$D$19),$P$20))-SUM($P911:AT911)</f>
        <v>#VALUE!</v>
      </c>
      <c r="AV911" s="446" t="e">
        <f>IF(OR($B911="",MIN(AV$38,$D$19)&lt;MAX($P$708*($B911+IF($R$17="Distrato",$I$38-1,0)),IF(AND($L$711=0,$P$708=0),"",$L$711-1),IF($R$17="Distrato",$E911,0))),0,YEARFRAC(MAX($P$708*($B911+IF($R$17="Distrato",$I$38-1,0)),IF(AND($L$711=0,$P$708=0),"",$L$711-1),IF($R$17="Distrato",$E911,0)),MIN(AV$38,$D$19),$P$20))-SUM($P911:AU911)</f>
        <v>#VALUE!</v>
      </c>
      <c r="AW911" s="446" t="e">
        <f>IF(OR($B911="",MIN(AW$38,$D$19)&lt;MAX($P$708*($B911+IF($R$17="Distrato",$I$38-1,0)),IF(AND($L$711=0,$P$708=0),"",$L$711-1),IF($R$17="Distrato",$E911,0))),0,YEARFRAC(MAX($P$708*($B911+IF($R$17="Distrato",$I$38-1,0)),IF(AND($L$711=0,$P$708=0),"",$L$711-1),IF($R$17="Distrato",$E911,0)),MIN(AW$38,$D$19),$P$20))-SUM($P911:AV911)</f>
        <v>#VALUE!</v>
      </c>
      <c r="AX911" s="446" t="e">
        <f>IF(OR($B911="",MIN(AX$38,$D$19)&lt;MAX($P$708*($B911+IF($R$17="Distrato",$I$38-1,0)),IF(AND($L$711=0,$P$708=0),"",$L$711-1),IF($R$17="Distrato",$E911,0))),0,YEARFRAC(MAX($P$708*($B911+IF($R$17="Distrato",$I$38-1,0)),IF(AND($L$711=0,$P$708=0),"",$L$711-1),IF($R$17="Distrato",$E911,0)),MIN(AX$38,$D$19),$P$20))-SUM($P911:AW911)</f>
        <v>#VALUE!</v>
      </c>
      <c r="AY911" s="446" t="e">
        <f>IF(OR($B911="",MIN(AY$38,$D$19)&lt;MAX($P$708*($B911+IF($R$17="Distrato",$I$38-1,0)),IF(AND($L$711=0,$P$708=0),"",$L$711-1),IF($R$17="Distrato",$E911,0))),0,YEARFRAC(MAX($P$708*($B911+IF($R$17="Distrato",$I$38-1,0)),IF(AND($L$711=0,$P$708=0),"",$L$711-1),IF($R$17="Distrato",$E911,0)),MIN(AY$38,$D$19),$P$20))-SUM($P911:AX911)</f>
        <v>#VALUE!</v>
      </c>
      <c r="AZ911" s="446" t="e">
        <f>IF(OR($B911="",MIN(AZ$38,$D$19)&lt;MAX($P$708*($B911+IF($R$17="Distrato",$I$38-1,0)),IF(AND($L$711=0,$P$708=0),"",$L$711-1),IF($R$17="Distrato",$E911,0))),0,YEARFRAC(MAX($P$708*($B911+IF($R$17="Distrato",$I$38-1,0)),IF(AND($L$711=0,$P$708=0),"",$L$711-1),IF($R$17="Distrato",$E911,0)),MIN(AZ$38,$D$19),$P$20))-SUM($P911:AY911)</f>
        <v>#VALUE!</v>
      </c>
      <c r="BA911" s="446" t="e">
        <f>IF(OR($B911="",MIN(BA$38,$D$19)&lt;MAX($P$708*($B911+IF($R$17="Distrato",$I$38-1,0)),IF(AND($L$711=0,$P$708=0),"",$L$711-1),IF($R$17="Distrato",$E911,0))),0,YEARFRAC(MAX($P$708*($B911+IF($R$17="Distrato",$I$38-1,0)),IF(AND($L$711=0,$P$708=0),"",$L$711-1),IF($R$17="Distrato",$E911,0)),MIN(BA$38,$D$19),$P$20))-SUM($P911:AZ911)</f>
        <v>#VALUE!</v>
      </c>
      <c r="BB911" s="447"/>
    </row>
    <row r="912" spans="1:54" s="446" customFormat="1" ht="11.25" hidden="1" customHeight="1" x14ac:dyDescent="0.2">
      <c r="A912" s="235"/>
      <c r="B912" s="236"/>
      <c r="C912" s="29" t="str">
        <f>IF(B912="","",IF($L$709=$BL$25,VLOOKUP(DATE(YEAR($D$19),MONTH($D$19)-1,1),ÍNDICES!$A:$DE,HLOOKUP($BL$25,ÍNDICES!$B$3:$T$4,2)+11)-VLOOKUP(B912,ÍNDICES!$A:$DE,HLOOKUP($BL$25,ÍNDICES!$B$3:$T$4,2)+11)+1%,IF(C$712=$W$26,$J$35,IF(ISERROR(IF(B912&gt;$D$19,1,VLOOKUP(DATE(YEAR(B912),MONTH(B912)+IF($C$709=$S$23,1,0),1),ÍNDICES!$A:$DE,$Z$709+1))),"",IF(B912&gt;$D$19,1,VLOOKUP(DATE(YEAR(B912),MONTH(B912)+IF($C$709=$S$23,1,0),1),ÍNDICES!$A:$DE,$Z$709+1))))))</f>
        <v/>
      </c>
      <c r="D912" s="155"/>
      <c r="E912" s="88"/>
      <c r="F912" s="88"/>
      <c r="G912" s="88"/>
      <c r="H912" s="118"/>
      <c r="I912" s="182">
        <f t="shared" si="136"/>
        <v>0</v>
      </c>
      <c r="J912" s="20">
        <f t="shared" ca="1" si="137"/>
        <v>0</v>
      </c>
      <c r="K912" s="5">
        <f t="shared" ca="1" si="138"/>
        <v>0</v>
      </c>
      <c r="L912" s="61">
        <f t="shared" ca="1" si="139"/>
        <v>0</v>
      </c>
      <c r="M912" s="64">
        <f t="shared" si="140"/>
        <v>0</v>
      </c>
      <c r="N912" s="151"/>
      <c r="O912" s="5">
        <f t="shared" ca="1" si="141"/>
        <v>0</v>
      </c>
      <c r="P912" s="446" t="e">
        <f t="shared" si="142"/>
        <v>#VALUE!</v>
      </c>
      <c r="Q912" s="446" t="e">
        <f>IF(OR($B912="",MIN(Q$38,$D$19)&lt;MAX($P$708*($B912+IF($R$17="Distrato",$I$38-1,0)),IF(AND($L$711=0,$P$708=0),"",$L$711-1),IF($R$17="Distrato",$E912,0))),0,YEARFRAC(MAX($P$708*($B912+IF($R$17="Distrato",$I$38-1,0)),IF(AND($L$711=0,$P$708=0),"",$L$711-1),IF($R$17="Distrato",$E912,0)),MIN(Q$38,$D$19),$P$20))-SUM($P912:P912)</f>
        <v>#VALUE!</v>
      </c>
      <c r="R912" s="446" t="e">
        <f>IF(OR($B912="",MIN(R$38,$D$19)&lt;MAX($P$708*($B912+IF($R$17="Distrato",$I$38-1,0)),IF(AND($L$711=0,$P$708=0),"",$L$711-1),IF($R$17="Distrato",$E912,0))),0,YEARFRAC(MAX($P$708*($B912+IF($R$17="Distrato",$I$38-1,0)),IF(AND($L$711=0,$P$708=0),"",$L$711-1),IF($R$17="Distrato",$E912,0)),MIN(R$38,$D$19),$P$20))-SUM($P912:Q912)</f>
        <v>#VALUE!</v>
      </c>
      <c r="S912" s="446" t="e">
        <f>IF(OR($B912="",MIN(S$38,$D$19)&lt;MAX($P$708*($B912+IF($R$17="Distrato",$I$38-1,0)),IF(AND($L$711=0,$P$708=0),"",$L$711-1),IF($R$17="Distrato",$E912,0))),0,YEARFRAC(MAX($P$708*($B912+IF($R$17="Distrato",$I$38-1,0)),IF(AND($L$711=0,$P$708=0),"",$L$711-1),IF($R$17="Distrato",$E912,0)),MIN(S$38,$D$19),$P$20))-SUM($P912:R912)</f>
        <v>#VALUE!</v>
      </c>
      <c r="T912" s="446" t="e">
        <f>IF(OR($B912="",MIN(T$38,$D$19)&lt;MAX($P$708*($B912+IF($R$17="Distrato",$I$38-1,0)),IF(AND($L$711=0,$P$708=0),"",$L$711-1),IF($R$17="Distrato",$E912,0))),0,YEARFRAC(MAX($P$708*($B912+IF($R$17="Distrato",$I$38-1,0)),IF(AND($L$711=0,$P$708=0),"",$L$711-1),IF($R$17="Distrato",$E912,0)),MIN(T$38,$D$19),$P$20))-SUM($P912:S912)</f>
        <v>#VALUE!</v>
      </c>
      <c r="U912" s="446" t="e">
        <f>IF(OR($B912="",MIN(U$38,$D$19)&lt;MAX($P$708*($B912+IF($R$17="Distrato",$I$38-1,0)),IF(AND($L$711=0,$P$708=0),"",$L$711-1),IF($R$17="Distrato",$E912,0))),0,YEARFRAC(MAX($P$708*($B912+IF($R$17="Distrato",$I$38-1,0)),IF(AND($L$711=0,$P$708=0),"",$L$711-1),IF($R$17="Distrato",$E912,0)),MIN(U$38,$D$19),$P$20))-SUM($P912:T912)</f>
        <v>#VALUE!</v>
      </c>
      <c r="V912" s="446" t="e">
        <f>IF(OR($B912="",MIN(V$38,$D$19)&lt;MAX($P$708*($B912+IF($R$17="Distrato",$I$38-1,0)),IF(AND($L$711=0,$P$708=0),"",$L$711-1),IF($R$17="Distrato",$E912,0))),0,YEARFRAC(MAX($P$708*($B912+IF($R$17="Distrato",$I$38-1,0)),IF(AND($L$711=0,$P$708=0),"",$L$711-1),IF($R$17="Distrato",$E912,0)),MIN(V$38,$D$19),$P$20))-SUM($P912:U912)</f>
        <v>#VALUE!</v>
      </c>
      <c r="W912" s="446" t="e">
        <f>IF(OR($B912="",MIN(W$38,$D$19)&lt;MAX($P$708*($B912+IF($R$17="Distrato",$I$38-1,0)),IF(AND($L$711=0,$P$708=0),"",$L$711-1),IF($R$17="Distrato",$E912,0))),0,YEARFRAC(MAX($P$708*($B912+IF($R$17="Distrato",$I$38-1,0)),IF(AND($L$711=0,$P$708=0),"",$L$711-1),IF($R$17="Distrato",$E912,0)),MIN(W$38,$D$19),$P$20))-SUM($P912:V912)</f>
        <v>#VALUE!</v>
      </c>
      <c r="X912" s="446" t="e">
        <f>IF(OR($B912="",MIN(X$38,$D$19)&lt;MAX($P$708*($B912+IF($R$17="Distrato",$I$38-1,0)),IF(AND($L$711=0,$P$708=0),"",$L$711-1),IF($R$17="Distrato",$E912,0))),0,YEARFRAC(MAX($P$708*($B912+IF($R$17="Distrato",$I$38-1,0)),IF(AND($L$711=0,$P$708=0),"",$L$711-1),IF($R$17="Distrato",$E912,0)),MIN(X$38,$D$19),$P$20))-SUM($P912:W912)</f>
        <v>#VALUE!</v>
      </c>
      <c r="Y912" s="446" t="e">
        <f>IF(OR($B912="",MIN(Y$38,$D$19)&lt;MAX($P$708*($B912+IF($R$17="Distrato",$I$38-1,0)),IF(AND($L$711=0,$P$708=0),"",$L$711-1),IF($R$17="Distrato",$E912,0))),0,YEARFRAC(MAX($P$708*($B912+IF($R$17="Distrato",$I$38-1,0)),IF(AND($L$711=0,$P$708=0),"",$L$711-1),IF($R$17="Distrato",$E912,0)),MIN(Y$38,$D$19),$P$20))-SUM($P912:X912)</f>
        <v>#VALUE!</v>
      </c>
      <c r="Z912" s="446" t="e">
        <f>IF(OR($B912="",MIN(Z$38,$D$19)&lt;MAX($P$708*($B912+IF($R$17="Distrato",$I$38-1,0)),IF(AND($L$711=0,$P$708=0),"",$L$711-1),IF($R$17="Distrato",$E912,0))),0,YEARFRAC(MAX($P$708*($B912+IF($R$17="Distrato",$I$38-1,0)),IF(AND($L$711=0,$P$708=0),"",$L$711-1),IF($R$17="Distrato",$E912,0)),MIN(Z$38,$D$19),$P$20))-SUM($P912:Y912)</f>
        <v>#VALUE!</v>
      </c>
      <c r="AA912" s="446" t="e">
        <f>IF(OR($B912="",MIN(AA$38,$D$19)&lt;MAX($P$708*($B912+IF($R$17="Distrato",$I$38-1,0)),IF(AND($L$711=0,$P$708=0),"",$L$711-1),IF($R$17="Distrato",$E912,0))),0,YEARFRAC(MAX($P$708*($B912+IF($R$17="Distrato",$I$38-1,0)),IF(AND($L$711=0,$P$708=0),"",$L$711-1),IF($R$17="Distrato",$E912,0)),MIN(AA$38,$D$19),$P$20))-SUM($P912:Z912)</f>
        <v>#VALUE!</v>
      </c>
      <c r="AB912" s="446" t="e">
        <f>IF(OR($B912="",MIN(AB$38,$D$19)&lt;MAX($P$708*($B912+IF($R$17="Distrato",$I$38-1,0)),IF(AND($L$711=0,$P$708=0),"",$L$711-1),IF($R$17="Distrato",$E912,0))),0,YEARFRAC(MAX($P$708*($B912+IF($R$17="Distrato",$I$38-1,0)),IF(AND($L$711=0,$P$708=0),"",$L$711-1),IF($R$17="Distrato",$E912,0)),MIN(AB$38,$D$19),$P$20))-SUM($P912:AA912)</f>
        <v>#VALUE!</v>
      </c>
      <c r="AC912" s="446" t="e">
        <f>IF(OR($B912="",MIN(AC$38,$D$19)&lt;MAX($P$708*($B912+IF($R$17="Distrato",$I$38-1,0)),IF(AND($L$711=0,$P$708=0),"",$L$711-1),IF($R$17="Distrato",$E912,0))),0,YEARFRAC(MAX($P$708*($B912+IF($R$17="Distrato",$I$38-1,0)),IF(AND($L$711=0,$P$708=0),"",$L$711-1),IF($R$17="Distrato",$E912,0)),MIN(AC$38,$D$19),$P$20))-SUM($P912:AB912)</f>
        <v>#VALUE!</v>
      </c>
      <c r="AD912" s="446" t="e">
        <f>IF(OR($B912="",MIN(AD$38,$D$19)&lt;MAX($P$708*($B912+IF($R$17="Distrato",$I$38-1,0)),IF(AND($L$711=0,$P$708=0),"",$L$711-1),IF($R$17="Distrato",$E912,0))),0,YEARFRAC(MAX($P$708*($B912+IF($R$17="Distrato",$I$38-1,0)),IF(AND($L$711=0,$P$708=0),"",$L$711-1),IF($R$17="Distrato",$E912,0)),MIN(AD$38,$D$19),$P$20))-SUM($P912:AC912)</f>
        <v>#VALUE!</v>
      </c>
      <c r="AE912" s="446" t="e">
        <f>IF(OR($B912="",MIN(AE$38,$D$19)&lt;MAX($P$708*($B912+IF($R$17="Distrato",$I$38-1,0)),IF(AND($L$711=0,$P$708=0),"",$L$711-1),IF($R$17="Distrato",$E912,0))),0,YEARFRAC(MAX($P$708*($B912+IF($R$17="Distrato",$I$38-1,0)),IF(AND($L$711=0,$P$708=0),"",$L$711-1),IF($R$17="Distrato",$E912,0)),MIN(AE$38,$D$19),$P$20))-SUM($P912:AD912)</f>
        <v>#VALUE!</v>
      </c>
      <c r="AF912" s="446" t="e">
        <f>IF(OR($B912="",MIN(AF$38,$D$19)&lt;MAX($P$708*($B912+IF($R$17="Distrato",$I$38-1,0)),IF(AND($L$711=0,$P$708=0),"",$L$711-1),IF($R$17="Distrato",$E912,0))),0,YEARFRAC(MAX($P$708*($B912+IF($R$17="Distrato",$I$38-1,0)),IF(AND($L$711=0,$P$708=0),"",$L$711-1),IF($R$17="Distrato",$E912,0)),MIN(AF$38,$D$19),$P$20))-SUM($P912:AE912)</f>
        <v>#VALUE!</v>
      </c>
      <c r="AG912" s="446" t="e">
        <f>IF(OR($B912="",MIN(AG$38,$D$19)&lt;MAX($P$708*($B912+IF($R$17="Distrato",$I$38-1,0)),IF(AND($L$711=0,$P$708=0),"",$L$711-1),IF($R$17="Distrato",$E912,0))),0,YEARFRAC(MAX($P$708*($B912+IF($R$17="Distrato",$I$38-1,0)),IF(AND($L$711=0,$P$708=0),"",$L$711-1),IF($R$17="Distrato",$E912,0)),MIN(AG$38,$D$19),$P$20))-SUM($P912:AF912)</f>
        <v>#VALUE!</v>
      </c>
      <c r="AH912" s="446" t="e">
        <f>IF(OR($B912="",MIN(AH$38,$D$19)&lt;MAX($P$708*($B912+IF($R$17="Distrato",$I$38-1,0)),IF(AND($L$711=0,$P$708=0),"",$L$711-1),IF($R$17="Distrato",$E912,0))),0,YEARFRAC(MAX($P$708*($B912+IF($R$17="Distrato",$I$38-1,0)),IF(AND($L$711=0,$P$708=0),"",$L$711-1),IF($R$17="Distrato",$E912,0)),MIN(AH$38,$D$19),$P$20))-SUM($P912:AG912)</f>
        <v>#VALUE!</v>
      </c>
      <c r="AI912" s="446" t="e">
        <f>IF(OR($B912="",MIN(AI$38,$D$19)&lt;MAX($P$708*($B912+IF($R$17="Distrato",$I$38-1,0)),IF(AND($L$711=0,$P$708=0),"",$L$711-1),IF($R$17="Distrato",$E912,0))),0,YEARFRAC(MAX($P$708*($B912+IF($R$17="Distrato",$I$38-1,0)),IF(AND($L$711=0,$P$708=0),"",$L$711-1),IF($R$17="Distrato",$E912,0)),MIN(AI$38,$D$19),$P$20))-SUM($P912:AH912)</f>
        <v>#VALUE!</v>
      </c>
      <c r="AJ912" s="446" t="e">
        <f>IF(OR($B912="",MIN(AJ$38,$D$19)&lt;MAX($P$708*($B912+IF($R$17="Distrato",$I$38-1,0)),IF(AND($L$711=0,$P$708=0),"",$L$711-1),IF($R$17="Distrato",$E912,0))),0,YEARFRAC(MAX($P$708*($B912+IF($R$17="Distrato",$I$38-1,0)),IF(AND($L$711=0,$P$708=0),"",$L$711-1),IF($R$17="Distrato",$E912,0)),MIN(AJ$38,$D$19),$P$20))-SUM($P912:AI912)</f>
        <v>#VALUE!</v>
      </c>
      <c r="AK912" s="446" t="e">
        <f>IF(OR($B912="",MIN(AK$38,$D$19)&lt;MAX($P$708*($B912+IF($R$17="Distrato",$I$38-1,0)),IF(AND($L$711=0,$P$708=0),"",$L$711-1),IF($R$17="Distrato",$E912,0))),0,YEARFRAC(MAX($P$708*($B912+IF($R$17="Distrato",$I$38-1,0)),IF(AND($L$711=0,$P$708=0),"",$L$711-1),IF($R$17="Distrato",$E912,0)),MIN(AK$38,$D$19),$P$20))-SUM($P912:AJ912)</f>
        <v>#VALUE!</v>
      </c>
      <c r="AL912" s="446" t="e">
        <f>IF(OR($B912="",MIN(AL$38,$D$19)&lt;MAX($P$708*($B912+IF($R$17="Distrato",$I$38-1,0)),IF(AND($L$711=0,$P$708=0),"",$L$711-1),IF($R$17="Distrato",$E912,0))),0,YEARFRAC(MAX($P$708*($B912+IF($R$17="Distrato",$I$38-1,0)),IF(AND($L$711=0,$P$708=0),"",$L$711-1),IF($R$17="Distrato",$E912,0)),MIN(AL$38,$D$19),$P$20))-SUM($P912:AK912)</f>
        <v>#VALUE!</v>
      </c>
      <c r="AM912" s="446" t="e">
        <f>IF(OR($B912="",MIN(AM$38,$D$19)&lt;MAX($P$708*($B912+IF($R$17="Distrato",$I$38-1,0)),IF(AND($L$711=0,$P$708=0),"",$L$711-1),IF($R$17="Distrato",$E912,0))),0,YEARFRAC(MAX($P$708*($B912+IF($R$17="Distrato",$I$38-1,0)),IF(AND($L$711=0,$P$708=0),"",$L$711-1),IF($R$17="Distrato",$E912,0)),MIN(AM$38,$D$19),$P$20))-SUM($P912:AL912)</f>
        <v>#VALUE!</v>
      </c>
      <c r="AN912" s="446" t="e">
        <f>IF(OR($B912="",MIN(AN$38,$D$19)&lt;MAX($P$708*($B912+IF($R$17="Distrato",$I$38-1,0)),IF(AND($L$711=0,$P$708=0),"",$L$711-1),IF($R$17="Distrato",$E912,0))),0,YEARFRAC(MAX($P$708*($B912+IF($R$17="Distrato",$I$38-1,0)),IF(AND($L$711=0,$P$708=0),"",$L$711-1),IF($R$17="Distrato",$E912,0)),MIN(AN$38,$D$19),$P$20))-SUM($P912:AM912)</f>
        <v>#VALUE!</v>
      </c>
      <c r="AO912" s="446" t="e">
        <f>IF(OR($B912="",MIN(AO$38,$D$19)&lt;MAX($P$708*($B912+IF($R$17="Distrato",$I$38-1,0)),IF(AND($L$711=0,$P$708=0),"",$L$711-1),IF($R$17="Distrato",$E912,0))),0,YEARFRAC(MAX($P$708*($B912+IF($R$17="Distrato",$I$38-1,0)),IF(AND($L$711=0,$P$708=0),"",$L$711-1),IF($R$17="Distrato",$E912,0)),MIN(AO$38,$D$19),$P$20))-SUM($P912:AN912)</f>
        <v>#VALUE!</v>
      </c>
      <c r="AP912" s="446" t="e">
        <f>IF(OR($B912="",MIN(AP$38,$D$19)&lt;MAX($P$708*($B912+IF($R$17="Distrato",$I$38-1,0)),IF(AND($L$711=0,$P$708=0),"",$L$711-1),IF($R$17="Distrato",$E912,0))),0,YEARFRAC(MAX($P$708*($B912+IF($R$17="Distrato",$I$38-1,0)),IF(AND($L$711=0,$P$708=0),"",$L$711-1),IF($R$17="Distrato",$E912,0)),MIN(AP$38,$D$19),$P$20))-SUM($P912:AO912)</f>
        <v>#VALUE!</v>
      </c>
      <c r="AQ912" s="446" t="e">
        <f>IF(OR($B912="",MIN(AQ$38,$D$19)&lt;MAX($P$708*($B912+IF($R$17="Distrato",$I$38-1,0)),IF(AND($L$711=0,$P$708=0),"",$L$711-1),IF($R$17="Distrato",$E912,0))),0,YEARFRAC(MAX($P$708*($B912+IF($R$17="Distrato",$I$38-1,0)),IF(AND($L$711=0,$P$708=0),"",$L$711-1),IF($R$17="Distrato",$E912,0)),MIN(AQ$38,$D$19),$P$20))-SUM($P912:AP912)</f>
        <v>#VALUE!</v>
      </c>
      <c r="AR912" s="446" t="e">
        <f>IF(OR($B912="",MIN(AR$38,$D$19)&lt;MAX($P$708*($B912+IF($R$17="Distrato",$I$38-1,0)),IF(AND($L$711=0,$P$708=0),"",$L$711-1),IF($R$17="Distrato",$E912,0))),0,YEARFRAC(MAX($P$708*($B912+IF($R$17="Distrato",$I$38-1,0)),IF(AND($L$711=0,$P$708=0),"",$L$711-1),IF($R$17="Distrato",$E912,0)),MIN(AR$38,$D$19),$P$20))-SUM($P912:AQ912)</f>
        <v>#VALUE!</v>
      </c>
      <c r="AS912" s="446" t="e">
        <f>IF(OR($B912="",MIN(AS$38,$D$19)&lt;MAX($P$708*($B912+IF($R$17="Distrato",$I$38-1,0)),IF(AND($L$711=0,$P$708=0),"",$L$711-1),IF($R$17="Distrato",$E912,0))),0,YEARFRAC(MAX($P$708*($B912+IF($R$17="Distrato",$I$38-1,0)),IF(AND($L$711=0,$P$708=0),"",$L$711-1),IF($R$17="Distrato",$E912,0)),MIN(AS$38,$D$19),$P$20))-SUM($P912:AR912)</f>
        <v>#VALUE!</v>
      </c>
      <c r="AT912" s="446" t="e">
        <f>IF(OR($B912="",MIN(AT$38,$D$19)&lt;MAX($P$708*($B912+IF($R$17="Distrato",$I$38-1,0)),IF(AND($L$711=0,$P$708=0),"",$L$711-1),IF($R$17="Distrato",$E912,0))),0,YEARFRAC(MAX($P$708*($B912+IF($R$17="Distrato",$I$38-1,0)),IF(AND($L$711=0,$P$708=0),"",$L$711-1),IF($R$17="Distrato",$E912,0)),MIN(AT$38,$D$19),$P$20))-SUM($P912:AS912)</f>
        <v>#VALUE!</v>
      </c>
      <c r="AU912" s="446" t="e">
        <f>IF(OR($B912="",MIN(AU$38,$D$19)&lt;MAX($P$708*($B912+IF($R$17="Distrato",$I$38-1,0)),IF(AND($L$711=0,$P$708=0),"",$L$711-1),IF($R$17="Distrato",$E912,0))),0,YEARFRAC(MAX($P$708*($B912+IF($R$17="Distrato",$I$38-1,0)),IF(AND($L$711=0,$P$708=0),"",$L$711-1),IF($R$17="Distrato",$E912,0)),MIN(AU$38,$D$19),$P$20))-SUM($P912:AT912)</f>
        <v>#VALUE!</v>
      </c>
      <c r="AV912" s="446" t="e">
        <f>IF(OR($B912="",MIN(AV$38,$D$19)&lt;MAX($P$708*($B912+IF($R$17="Distrato",$I$38-1,0)),IF(AND($L$711=0,$P$708=0),"",$L$711-1),IF($R$17="Distrato",$E912,0))),0,YEARFRAC(MAX($P$708*($B912+IF($R$17="Distrato",$I$38-1,0)),IF(AND($L$711=0,$P$708=0),"",$L$711-1),IF($R$17="Distrato",$E912,0)),MIN(AV$38,$D$19),$P$20))-SUM($P912:AU912)</f>
        <v>#VALUE!</v>
      </c>
      <c r="AW912" s="446" t="e">
        <f>IF(OR($B912="",MIN(AW$38,$D$19)&lt;MAX($P$708*($B912+IF($R$17="Distrato",$I$38-1,0)),IF(AND($L$711=0,$P$708=0),"",$L$711-1),IF($R$17="Distrato",$E912,0))),0,YEARFRAC(MAX($P$708*($B912+IF($R$17="Distrato",$I$38-1,0)),IF(AND($L$711=0,$P$708=0),"",$L$711-1),IF($R$17="Distrato",$E912,0)),MIN(AW$38,$D$19),$P$20))-SUM($P912:AV912)</f>
        <v>#VALUE!</v>
      </c>
      <c r="AX912" s="446" t="e">
        <f>IF(OR($B912="",MIN(AX$38,$D$19)&lt;MAX($P$708*($B912+IF($R$17="Distrato",$I$38-1,0)),IF(AND($L$711=0,$P$708=0),"",$L$711-1),IF($R$17="Distrato",$E912,0))),0,YEARFRAC(MAX($P$708*($B912+IF($R$17="Distrato",$I$38-1,0)),IF(AND($L$711=0,$P$708=0),"",$L$711-1),IF($R$17="Distrato",$E912,0)),MIN(AX$38,$D$19),$P$20))-SUM($P912:AW912)</f>
        <v>#VALUE!</v>
      </c>
      <c r="AY912" s="446" t="e">
        <f>IF(OR($B912="",MIN(AY$38,$D$19)&lt;MAX($P$708*($B912+IF($R$17="Distrato",$I$38-1,0)),IF(AND($L$711=0,$P$708=0),"",$L$711-1),IF($R$17="Distrato",$E912,0))),0,YEARFRAC(MAX($P$708*($B912+IF($R$17="Distrato",$I$38-1,0)),IF(AND($L$711=0,$P$708=0),"",$L$711-1),IF($R$17="Distrato",$E912,0)),MIN(AY$38,$D$19),$P$20))-SUM($P912:AX912)</f>
        <v>#VALUE!</v>
      </c>
      <c r="AZ912" s="446" t="e">
        <f>IF(OR($B912="",MIN(AZ$38,$D$19)&lt;MAX($P$708*($B912+IF($R$17="Distrato",$I$38-1,0)),IF(AND($L$711=0,$P$708=0),"",$L$711-1),IF($R$17="Distrato",$E912,0))),0,YEARFRAC(MAX($P$708*($B912+IF($R$17="Distrato",$I$38-1,0)),IF(AND($L$711=0,$P$708=0),"",$L$711-1),IF($R$17="Distrato",$E912,0)),MIN(AZ$38,$D$19),$P$20))-SUM($P912:AY912)</f>
        <v>#VALUE!</v>
      </c>
      <c r="BA912" s="446" t="e">
        <f>IF(OR($B912="",MIN(BA$38,$D$19)&lt;MAX($P$708*($B912+IF($R$17="Distrato",$I$38-1,0)),IF(AND($L$711=0,$P$708=0),"",$L$711-1),IF($R$17="Distrato",$E912,0))),0,YEARFRAC(MAX($P$708*($B912+IF($R$17="Distrato",$I$38-1,0)),IF(AND($L$711=0,$P$708=0),"",$L$711-1),IF($R$17="Distrato",$E912,0)),MIN(BA$38,$D$19),$P$20))-SUM($P912:AZ912)</f>
        <v>#VALUE!</v>
      </c>
      <c r="BB912" s="447"/>
    </row>
    <row r="913" spans="1:54" s="446" customFormat="1" ht="11.25" hidden="1" customHeight="1" x14ac:dyDescent="0.2">
      <c r="A913" s="235"/>
      <c r="B913" s="236"/>
      <c r="C913" s="29" t="str">
        <f>IF(B913="","",IF($L$709=$BL$25,VLOOKUP(DATE(YEAR($D$19),MONTH($D$19)-1,1),ÍNDICES!$A:$DE,HLOOKUP($BL$25,ÍNDICES!$B$3:$T$4,2)+11)-VLOOKUP(B913,ÍNDICES!$A:$DE,HLOOKUP($BL$25,ÍNDICES!$B$3:$T$4,2)+11)+1%,IF(C$712=$W$26,$J$35,IF(ISERROR(IF(B913&gt;$D$19,1,VLOOKUP(DATE(YEAR(B913),MONTH(B913)+IF($C$709=$S$23,1,0),1),ÍNDICES!$A:$DE,$Z$709+1))),"",IF(B913&gt;$D$19,1,VLOOKUP(DATE(YEAR(B913),MONTH(B913)+IF($C$709=$S$23,1,0),1),ÍNDICES!$A:$DE,$Z$709+1))))))</f>
        <v/>
      </c>
      <c r="D913" s="155"/>
      <c r="E913" s="88"/>
      <c r="F913" s="88"/>
      <c r="G913" s="88"/>
      <c r="H913" s="118"/>
      <c r="I913" s="182">
        <f t="shared" si="136"/>
        <v>0</v>
      </c>
      <c r="J913" s="20">
        <f t="shared" ca="1" si="137"/>
        <v>0</v>
      </c>
      <c r="K913" s="5">
        <f t="shared" ca="1" si="138"/>
        <v>0</v>
      </c>
      <c r="L913" s="61">
        <f t="shared" ca="1" si="139"/>
        <v>0</v>
      </c>
      <c r="M913" s="64">
        <f t="shared" si="140"/>
        <v>0</v>
      </c>
      <c r="N913" s="151"/>
      <c r="O913" s="5">
        <f t="shared" ca="1" si="141"/>
        <v>0</v>
      </c>
      <c r="P913" s="446" t="e">
        <f t="shared" si="142"/>
        <v>#VALUE!</v>
      </c>
      <c r="Q913" s="446" t="e">
        <f>IF(OR($B913="",MIN(Q$38,$D$19)&lt;MAX($P$708*($B913+IF($R$17="Distrato",$I$38-1,0)),IF(AND($L$711=0,$P$708=0),"",$L$711-1),IF($R$17="Distrato",$E913,0))),0,YEARFRAC(MAX($P$708*($B913+IF($R$17="Distrato",$I$38-1,0)),IF(AND($L$711=0,$P$708=0),"",$L$711-1),IF($R$17="Distrato",$E913,0)),MIN(Q$38,$D$19),$P$20))-SUM($P913:P913)</f>
        <v>#VALUE!</v>
      </c>
      <c r="R913" s="446" t="e">
        <f>IF(OR($B913="",MIN(R$38,$D$19)&lt;MAX($P$708*($B913+IF($R$17="Distrato",$I$38-1,0)),IF(AND($L$711=0,$P$708=0),"",$L$711-1),IF($R$17="Distrato",$E913,0))),0,YEARFRAC(MAX($P$708*($B913+IF($R$17="Distrato",$I$38-1,0)),IF(AND($L$711=0,$P$708=0),"",$L$711-1),IF($R$17="Distrato",$E913,0)),MIN(R$38,$D$19),$P$20))-SUM($P913:Q913)</f>
        <v>#VALUE!</v>
      </c>
      <c r="S913" s="446" t="e">
        <f>IF(OR($B913="",MIN(S$38,$D$19)&lt;MAX($P$708*($B913+IF($R$17="Distrato",$I$38-1,0)),IF(AND($L$711=0,$P$708=0),"",$L$711-1),IF($R$17="Distrato",$E913,0))),0,YEARFRAC(MAX($P$708*($B913+IF($R$17="Distrato",$I$38-1,0)),IF(AND($L$711=0,$P$708=0),"",$L$711-1),IF($R$17="Distrato",$E913,0)),MIN(S$38,$D$19),$P$20))-SUM($P913:R913)</f>
        <v>#VALUE!</v>
      </c>
      <c r="T913" s="446" t="e">
        <f>IF(OR($B913="",MIN(T$38,$D$19)&lt;MAX($P$708*($B913+IF($R$17="Distrato",$I$38-1,0)),IF(AND($L$711=0,$P$708=0),"",$L$711-1),IF($R$17="Distrato",$E913,0))),0,YEARFRAC(MAX($P$708*($B913+IF($R$17="Distrato",$I$38-1,0)),IF(AND($L$711=0,$P$708=0),"",$L$711-1),IF($R$17="Distrato",$E913,0)),MIN(T$38,$D$19),$P$20))-SUM($P913:S913)</f>
        <v>#VALUE!</v>
      </c>
      <c r="U913" s="446" t="e">
        <f>IF(OR($B913="",MIN(U$38,$D$19)&lt;MAX($P$708*($B913+IF($R$17="Distrato",$I$38-1,0)),IF(AND($L$711=0,$P$708=0),"",$L$711-1),IF($R$17="Distrato",$E913,0))),0,YEARFRAC(MAX($P$708*($B913+IF($R$17="Distrato",$I$38-1,0)),IF(AND($L$711=0,$P$708=0),"",$L$711-1),IF($R$17="Distrato",$E913,0)),MIN(U$38,$D$19),$P$20))-SUM($P913:T913)</f>
        <v>#VALUE!</v>
      </c>
      <c r="V913" s="446" t="e">
        <f>IF(OR($B913="",MIN(V$38,$D$19)&lt;MAX($P$708*($B913+IF($R$17="Distrato",$I$38-1,0)),IF(AND($L$711=0,$P$708=0),"",$L$711-1),IF($R$17="Distrato",$E913,0))),0,YEARFRAC(MAX($P$708*($B913+IF($R$17="Distrato",$I$38-1,0)),IF(AND($L$711=0,$P$708=0),"",$L$711-1),IF($R$17="Distrato",$E913,0)),MIN(V$38,$D$19),$P$20))-SUM($P913:U913)</f>
        <v>#VALUE!</v>
      </c>
      <c r="W913" s="446" t="e">
        <f>IF(OR($B913="",MIN(W$38,$D$19)&lt;MAX($P$708*($B913+IF($R$17="Distrato",$I$38-1,0)),IF(AND($L$711=0,$P$708=0),"",$L$711-1),IF($R$17="Distrato",$E913,0))),0,YEARFRAC(MAX($P$708*($B913+IF($R$17="Distrato",$I$38-1,0)),IF(AND($L$711=0,$P$708=0),"",$L$711-1),IF($R$17="Distrato",$E913,0)),MIN(W$38,$D$19),$P$20))-SUM($P913:V913)</f>
        <v>#VALUE!</v>
      </c>
      <c r="X913" s="446" t="e">
        <f>IF(OR($B913="",MIN(X$38,$D$19)&lt;MAX($P$708*($B913+IF($R$17="Distrato",$I$38-1,0)),IF(AND($L$711=0,$P$708=0),"",$L$711-1),IF($R$17="Distrato",$E913,0))),0,YEARFRAC(MAX($P$708*($B913+IF($R$17="Distrato",$I$38-1,0)),IF(AND($L$711=0,$P$708=0),"",$L$711-1),IF($R$17="Distrato",$E913,0)),MIN(X$38,$D$19),$P$20))-SUM($P913:W913)</f>
        <v>#VALUE!</v>
      </c>
      <c r="Y913" s="446" t="e">
        <f>IF(OR($B913="",MIN(Y$38,$D$19)&lt;MAX($P$708*($B913+IF($R$17="Distrato",$I$38-1,0)),IF(AND($L$711=0,$P$708=0),"",$L$711-1),IF($R$17="Distrato",$E913,0))),0,YEARFRAC(MAX($P$708*($B913+IF($R$17="Distrato",$I$38-1,0)),IF(AND($L$711=0,$P$708=0),"",$L$711-1),IF($R$17="Distrato",$E913,0)),MIN(Y$38,$D$19),$P$20))-SUM($P913:X913)</f>
        <v>#VALUE!</v>
      </c>
      <c r="Z913" s="446" t="e">
        <f>IF(OR($B913="",MIN(Z$38,$D$19)&lt;MAX($P$708*($B913+IF($R$17="Distrato",$I$38-1,0)),IF(AND($L$711=0,$P$708=0),"",$L$711-1),IF($R$17="Distrato",$E913,0))),0,YEARFRAC(MAX($P$708*($B913+IF($R$17="Distrato",$I$38-1,0)),IF(AND($L$711=0,$P$708=0),"",$L$711-1),IF($R$17="Distrato",$E913,0)),MIN(Z$38,$D$19),$P$20))-SUM($P913:Y913)</f>
        <v>#VALUE!</v>
      </c>
      <c r="AA913" s="446" t="e">
        <f>IF(OR($B913="",MIN(AA$38,$D$19)&lt;MAX($P$708*($B913+IF($R$17="Distrato",$I$38-1,0)),IF(AND($L$711=0,$P$708=0),"",$L$711-1),IF($R$17="Distrato",$E913,0))),0,YEARFRAC(MAX($P$708*($B913+IF($R$17="Distrato",$I$38-1,0)),IF(AND($L$711=0,$P$708=0),"",$L$711-1),IF($R$17="Distrato",$E913,0)),MIN(AA$38,$D$19),$P$20))-SUM($P913:Z913)</f>
        <v>#VALUE!</v>
      </c>
      <c r="AB913" s="446" t="e">
        <f>IF(OR($B913="",MIN(AB$38,$D$19)&lt;MAX($P$708*($B913+IF($R$17="Distrato",$I$38-1,0)),IF(AND($L$711=0,$P$708=0),"",$L$711-1),IF($R$17="Distrato",$E913,0))),0,YEARFRAC(MAX($P$708*($B913+IF($R$17="Distrato",$I$38-1,0)),IF(AND($L$711=0,$P$708=0),"",$L$711-1),IF($R$17="Distrato",$E913,0)),MIN(AB$38,$D$19),$P$20))-SUM($P913:AA913)</f>
        <v>#VALUE!</v>
      </c>
      <c r="AC913" s="446" t="e">
        <f>IF(OR($B913="",MIN(AC$38,$D$19)&lt;MAX($P$708*($B913+IF($R$17="Distrato",$I$38-1,0)),IF(AND($L$711=0,$P$708=0),"",$L$711-1),IF($R$17="Distrato",$E913,0))),0,YEARFRAC(MAX($P$708*($B913+IF($R$17="Distrato",$I$38-1,0)),IF(AND($L$711=0,$P$708=0),"",$L$711-1),IF($R$17="Distrato",$E913,0)),MIN(AC$38,$D$19),$P$20))-SUM($P913:AB913)</f>
        <v>#VALUE!</v>
      </c>
      <c r="AD913" s="446" t="e">
        <f>IF(OR($B913="",MIN(AD$38,$D$19)&lt;MAX($P$708*($B913+IF($R$17="Distrato",$I$38-1,0)),IF(AND($L$711=0,$P$708=0),"",$L$711-1),IF($R$17="Distrato",$E913,0))),0,YEARFRAC(MAX($P$708*($B913+IF($R$17="Distrato",$I$38-1,0)),IF(AND($L$711=0,$P$708=0),"",$L$711-1),IF($R$17="Distrato",$E913,0)),MIN(AD$38,$D$19),$P$20))-SUM($P913:AC913)</f>
        <v>#VALUE!</v>
      </c>
      <c r="AE913" s="446" t="e">
        <f>IF(OR($B913="",MIN(AE$38,$D$19)&lt;MAX($P$708*($B913+IF($R$17="Distrato",$I$38-1,0)),IF(AND($L$711=0,$P$708=0),"",$L$711-1),IF($R$17="Distrato",$E913,0))),0,YEARFRAC(MAX($P$708*($B913+IF($R$17="Distrato",$I$38-1,0)),IF(AND($L$711=0,$P$708=0),"",$L$711-1),IF($R$17="Distrato",$E913,0)),MIN(AE$38,$D$19),$P$20))-SUM($P913:AD913)</f>
        <v>#VALUE!</v>
      </c>
      <c r="AF913" s="446" t="e">
        <f>IF(OR($B913="",MIN(AF$38,$D$19)&lt;MAX($P$708*($B913+IF($R$17="Distrato",$I$38-1,0)),IF(AND($L$711=0,$P$708=0),"",$L$711-1),IF($R$17="Distrato",$E913,0))),0,YEARFRAC(MAX($P$708*($B913+IF($R$17="Distrato",$I$38-1,0)),IF(AND($L$711=0,$P$708=0),"",$L$711-1),IF($R$17="Distrato",$E913,0)),MIN(AF$38,$D$19),$P$20))-SUM($P913:AE913)</f>
        <v>#VALUE!</v>
      </c>
      <c r="AG913" s="446" t="e">
        <f>IF(OR($B913="",MIN(AG$38,$D$19)&lt;MAX($P$708*($B913+IF($R$17="Distrato",$I$38-1,0)),IF(AND($L$711=0,$P$708=0),"",$L$711-1),IF($R$17="Distrato",$E913,0))),0,YEARFRAC(MAX($P$708*($B913+IF($R$17="Distrato",$I$38-1,0)),IF(AND($L$711=0,$P$708=0),"",$L$711-1),IF($R$17="Distrato",$E913,0)),MIN(AG$38,$D$19),$P$20))-SUM($P913:AF913)</f>
        <v>#VALUE!</v>
      </c>
      <c r="AH913" s="446" t="e">
        <f>IF(OR($B913="",MIN(AH$38,$D$19)&lt;MAX($P$708*($B913+IF($R$17="Distrato",$I$38-1,0)),IF(AND($L$711=0,$P$708=0),"",$L$711-1),IF($R$17="Distrato",$E913,0))),0,YEARFRAC(MAX($P$708*($B913+IF($R$17="Distrato",$I$38-1,0)),IF(AND($L$711=0,$P$708=0),"",$L$711-1),IF($R$17="Distrato",$E913,0)),MIN(AH$38,$D$19),$P$20))-SUM($P913:AG913)</f>
        <v>#VALUE!</v>
      </c>
      <c r="AI913" s="446" t="e">
        <f>IF(OR($B913="",MIN(AI$38,$D$19)&lt;MAX($P$708*($B913+IF($R$17="Distrato",$I$38-1,0)),IF(AND($L$711=0,$P$708=0),"",$L$711-1),IF($R$17="Distrato",$E913,0))),0,YEARFRAC(MAX($P$708*($B913+IF($R$17="Distrato",$I$38-1,0)),IF(AND($L$711=0,$P$708=0),"",$L$711-1),IF($R$17="Distrato",$E913,0)),MIN(AI$38,$D$19),$P$20))-SUM($P913:AH913)</f>
        <v>#VALUE!</v>
      </c>
      <c r="AJ913" s="446" t="e">
        <f>IF(OR($B913="",MIN(AJ$38,$D$19)&lt;MAX($P$708*($B913+IF($R$17="Distrato",$I$38-1,0)),IF(AND($L$711=0,$P$708=0),"",$L$711-1),IF($R$17="Distrato",$E913,0))),0,YEARFRAC(MAX($P$708*($B913+IF($R$17="Distrato",$I$38-1,0)),IF(AND($L$711=0,$P$708=0),"",$L$711-1),IF($R$17="Distrato",$E913,0)),MIN(AJ$38,$D$19),$P$20))-SUM($P913:AI913)</f>
        <v>#VALUE!</v>
      </c>
      <c r="AK913" s="446" t="e">
        <f>IF(OR($B913="",MIN(AK$38,$D$19)&lt;MAX($P$708*($B913+IF($R$17="Distrato",$I$38-1,0)),IF(AND($L$711=0,$P$708=0),"",$L$711-1),IF($R$17="Distrato",$E913,0))),0,YEARFRAC(MAX($P$708*($B913+IF($R$17="Distrato",$I$38-1,0)),IF(AND($L$711=0,$P$708=0),"",$L$711-1),IF($R$17="Distrato",$E913,0)),MIN(AK$38,$D$19),$P$20))-SUM($P913:AJ913)</f>
        <v>#VALUE!</v>
      </c>
      <c r="AL913" s="446" t="e">
        <f>IF(OR($B913="",MIN(AL$38,$D$19)&lt;MAX($P$708*($B913+IF($R$17="Distrato",$I$38-1,0)),IF(AND($L$711=0,$P$708=0),"",$L$711-1),IF($R$17="Distrato",$E913,0))),0,YEARFRAC(MAX($P$708*($B913+IF($R$17="Distrato",$I$38-1,0)),IF(AND($L$711=0,$P$708=0),"",$L$711-1),IF($R$17="Distrato",$E913,0)),MIN(AL$38,$D$19),$P$20))-SUM($P913:AK913)</f>
        <v>#VALUE!</v>
      </c>
      <c r="AM913" s="446" t="e">
        <f>IF(OR($B913="",MIN(AM$38,$D$19)&lt;MAX($P$708*($B913+IF($R$17="Distrato",$I$38-1,0)),IF(AND($L$711=0,$P$708=0),"",$L$711-1),IF($R$17="Distrato",$E913,0))),0,YEARFRAC(MAX($P$708*($B913+IF($R$17="Distrato",$I$38-1,0)),IF(AND($L$711=0,$P$708=0),"",$L$711-1),IF($R$17="Distrato",$E913,0)),MIN(AM$38,$D$19),$P$20))-SUM($P913:AL913)</f>
        <v>#VALUE!</v>
      </c>
      <c r="AN913" s="446" t="e">
        <f>IF(OR($B913="",MIN(AN$38,$D$19)&lt;MAX($P$708*($B913+IF($R$17="Distrato",$I$38-1,0)),IF(AND($L$711=0,$P$708=0),"",$L$711-1),IF($R$17="Distrato",$E913,0))),0,YEARFRAC(MAX($P$708*($B913+IF($R$17="Distrato",$I$38-1,0)),IF(AND($L$711=0,$P$708=0),"",$L$711-1),IF($R$17="Distrato",$E913,0)),MIN(AN$38,$D$19),$P$20))-SUM($P913:AM913)</f>
        <v>#VALUE!</v>
      </c>
      <c r="AO913" s="446" t="e">
        <f>IF(OR($B913="",MIN(AO$38,$D$19)&lt;MAX($P$708*($B913+IF($R$17="Distrato",$I$38-1,0)),IF(AND($L$711=0,$P$708=0),"",$L$711-1),IF($R$17="Distrato",$E913,0))),0,YEARFRAC(MAX($P$708*($B913+IF($R$17="Distrato",$I$38-1,0)),IF(AND($L$711=0,$P$708=0),"",$L$711-1),IF($R$17="Distrato",$E913,0)),MIN(AO$38,$D$19),$P$20))-SUM($P913:AN913)</f>
        <v>#VALUE!</v>
      </c>
      <c r="AP913" s="446" t="e">
        <f>IF(OR($B913="",MIN(AP$38,$D$19)&lt;MAX($P$708*($B913+IF($R$17="Distrato",$I$38-1,0)),IF(AND($L$711=0,$P$708=0),"",$L$711-1),IF($R$17="Distrato",$E913,0))),0,YEARFRAC(MAX($P$708*($B913+IF($R$17="Distrato",$I$38-1,0)),IF(AND($L$711=0,$P$708=0),"",$L$711-1),IF($R$17="Distrato",$E913,0)),MIN(AP$38,$D$19),$P$20))-SUM($P913:AO913)</f>
        <v>#VALUE!</v>
      </c>
      <c r="AQ913" s="446" t="e">
        <f>IF(OR($B913="",MIN(AQ$38,$D$19)&lt;MAX($P$708*($B913+IF($R$17="Distrato",$I$38-1,0)),IF(AND($L$711=0,$P$708=0),"",$L$711-1),IF($R$17="Distrato",$E913,0))),0,YEARFRAC(MAX($P$708*($B913+IF($R$17="Distrato",$I$38-1,0)),IF(AND($L$711=0,$P$708=0),"",$L$711-1),IF($R$17="Distrato",$E913,0)),MIN(AQ$38,$D$19),$P$20))-SUM($P913:AP913)</f>
        <v>#VALUE!</v>
      </c>
      <c r="AR913" s="446" t="e">
        <f>IF(OR($B913="",MIN(AR$38,$D$19)&lt;MAX($P$708*($B913+IF($R$17="Distrato",$I$38-1,0)),IF(AND($L$711=0,$P$708=0),"",$L$711-1),IF($R$17="Distrato",$E913,0))),0,YEARFRAC(MAX($P$708*($B913+IF($R$17="Distrato",$I$38-1,0)),IF(AND($L$711=0,$P$708=0),"",$L$711-1),IF($R$17="Distrato",$E913,0)),MIN(AR$38,$D$19),$P$20))-SUM($P913:AQ913)</f>
        <v>#VALUE!</v>
      </c>
      <c r="AS913" s="446" t="e">
        <f>IF(OR($B913="",MIN(AS$38,$D$19)&lt;MAX($P$708*($B913+IF($R$17="Distrato",$I$38-1,0)),IF(AND($L$711=0,$P$708=0),"",$L$711-1),IF($R$17="Distrato",$E913,0))),0,YEARFRAC(MAX($P$708*($B913+IF($R$17="Distrato",$I$38-1,0)),IF(AND($L$711=0,$P$708=0),"",$L$711-1),IF($R$17="Distrato",$E913,0)),MIN(AS$38,$D$19),$P$20))-SUM($P913:AR913)</f>
        <v>#VALUE!</v>
      </c>
      <c r="AT913" s="446" t="e">
        <f>IF(OR($B913="",MIN(AT$38,$D$19)&lt;MAX($P$708*($B913+IF($R$17="Distrato",$I$38-1,0)),IF(AND($L$711=0,$P$708=0),"",$L$711-1),IF($R$17="Distrato",$E913,0))),0,YEARFRAC(MAX($P$708*($B913+IF($R$17="Distrato",$I$38-1,0)),IF(AND($L$711=0,$P$708=0),"",$L$711-1),IF($R$17="Distrato",$E913,0)),MIN(AT$38,$D$19),$P$20))-SUM($P913:AS913)</f>
        <v>#VALUE!</v>
      </c>
      <c r="AU913" s="446" t="e">
        <f>IF(OR($B913="",MIN(AU$38,$D$19)&lt;MAX($P$708*($B913+IF($R$17="Distrato",$I$38-1,0)),IF(AND($L$711=0,$P$708=0),"",$L$711-1),IF($R$17="Distrato",$E913,0))),0,YEARFRAC(MAX($P$708*($B913+IF($R$17="Distrato",$I$38-1,0)),IF(AND($L$711=0,$P$708=0),"",$L$711-1),IF($R$17="Distrato",$E913,0)),MIN(AU$38,$D$19),$P$20))-SUM($P913:AT913)</f>
        <v>#VALUE!</v>
      </c>
      <c r="AV913" s="446" t="e">
        <f>IF(OR($B913="",MIN(AV$38,$D$19)&lt;MAX($P$708*($B913+IF($R$17="Distrato",$I$38-1,0)),IF(AND($L$711=0,$P$708=0),"",$L$711-1),IF($R$17="Distrato",$E913,0))),0,YEARFRAC(MAX($P$708*($B913+IF($R$17="Distrato",$I$38-1,0)),IF(AND($L$711=0,$P$708=0),"",$L$711-1),IF($R$17="Distrato",$E913,0)),MIN(AV$38,$D$19),$P$20))-SUM($P913:AU913)</f>
        <v>#VALUE!</v>
      </c>
      <c r="AW913" s="446" t="e">
        <f>IF(OR($B913="",MIN(AW$38,$D$19)&lt;MAX($P$708*($B913+IF($R$17="Distrato",$I$38-1,0)),IF(AND($L$711=0,$P$708=0),"",$L$711-1),IF($R$17="Distrato",$E913,0))),0,YEARFRAC(MAX($P$708*($B913+IF($R$17="Distrato",$I$38-1,0)),IF(AND($L$711=0,$P$708=0),"",$L$711-1),IF($R$17="Distrato",$E913,0)),MIN(AW$38,$D$19),$P$20))-SUM($P913:AV913)</f>
        <v>#VALUE!</v>
      </c>
      <c r="AX913" s="446" t="e">
        <f>IF(OR($B913="",MIN(AX$38,$D$19)&lt;MAX($P$708*($B913+IF($R$17="Distrato",$I$38-1,0)),IF(AND($L$711=0,$P$708=0),"",$L$711-1),IF($R$17="Distrato",$E913,0))),0,YEARFRAC(MAX($P$708*($B913+IF($R$17="Distrato",$I$38-1,0)),IF(AND($L$711=0,$P$708=0),"",$L$711-1),IF($R$17="Distrato",$E913,0)),MIN(AX$38,$D$19),$P$20))-SUM($P913:AW913)</f>
        <v>#VALUE!</v>
      </c>
      <c r="AY913" s="446" t="e">
        <f>IF(OR($B913="",MIN(AY$38,$D$19)&lt;MAX($P$708*($B913+IF($R$17="Distrato",$I$38-1,0)),IF(AND($L$711=0,$P$708=0),"",$L$711-1),IF($R$17="Distrato",$E913,0))),0,YEARFRAC(MAX($P$708*($B913+IF($R$17="Distrato",$I$38-1,0)),IF(AND($L$711=0,$P$708=0),"",$L$711-1),IF($R$17="Distrato",$E913,0)),MIN(AY$38,$D$19),$P$20))-SUM($P913:AX913)</f>
        <v>#VALUE!</v>
      </c>
      <c r="AZ913" s="446" t="e">
        <f>IF(OR($B913="",MIN(AZ$38,$D$19)&lt;MAX($P$708*($B913+IF($R$17="Distrato",$I$38-1,0)),IF(AND($L$711=0,$P$708=0),"",$L$711-1),IF($R$17="Distrato",$E913,0))),0,YEARFRAC(MAX($P$708*($B913+IF($R$17="Distrato",$I$38-1,0)),IF(AND($L$711=0,$P$708=0),"",$L$711-1),IF($R$17="Distrato",$E913,0)),MIN(AZ$38,$D$19),$P$20))-SUM($P913:AY913)</f>
        <v>#VALUE!</v>
      </c>
      <c r="BA913" s="446" t="e">
        <f>IF(OR($B913="",MIN(BA$38,$D$19)&lt;MAX($P$708*($B913+IF($R$17="Distrato",$I$38-1,0)),IF(AND($L$711=0,$P$708=0),"",$L$711-1),IF($R$17="Distrato",$E913,0))),0,YEARFRAC(MAX($P$708*($B913+IF($R$17="Distrato",$I$38-1,0)),IF(AND($L$711=0,$P$708=0),"",$L$711-1),IF($R$17="Distrato",$E913,0)),MIN(BA$38,$D$19),$P$20))-SUM($P913:AZ913)</f>
        <v>#VALUE!</v>
      </c>
      <c r="BB913" s="447"/>
    </row>
    <row r="914" spans="1:54" s="446" customFormat="1" ht="11.25" hidden="1" customHeight="1" x14ac:dyDescent="0.2">
      <c r="A914" s="235"/>
      <c r="B914" s="236"/>
      <c r="C914" s="29" t="str">
        <f>IF(B914="","",IF($L$709=$BL$25,VLOOKUP(DATE(YEAR($D$19),MONTH($D$19)-1,1),ÍNDICES!$A:$DE,HLOOKUP($BL$25,ÍNDICES!$B$3:$T$4,2)+11)-VLOOKUP(B914,ÍNDICES!$A:$DE,HLOOKUP($BL$25,ÍNDICES!$B$3:$T$4,2)+11)+1%,IF(C$712=$W$26,$J$35,IF(ISERROR(IF(B914&gt;$D$19,1,VLOOKUP(DATE(YEAR(B914),MONTH(B914)+IF($C$709=$S$23,1,0),1),ÍNDICES!$A:$DE,$Z$709+1))),"",IF(B914&gt;$D$19,1,VLOOKUP(DATE(YEAR(B914),MONTH(B914)+IF($C$709=$S$23,1,0),1),ÍNDICES!$A:$DE,$Z$709+1))))))</f>
        <v/>
      </c>
      <c r="D914" s="155"/>
      <c r="E914" s="88"/>
      <c r="F914" s="88"/>
      <c r="G914" s="88"/>
      <c r="H914" s="118"/>
      <c r="I914" s="182">
        <f t="shared" si="136"/>
        <v>0</v>
      </c>
      <c r="J914" s="20">
        <f t="shared" ca="1" si="137"/>
        <v>0</v>
      </c>
      <c r="K914" s="5">
        <f t="shared" ca="1" si="138"/>
        <v>0</v>
      </c>
      <c r="L914" s="61">
        <f t="shared" ca="1" si="139"/>
        <v>0</v>
      </c>
      <c r="M914" s="64">
        <f t="shared" si="140"/>
        <v>0</v>
      </c>
      <c r="N914" s="151"/>
      <c r="O914" s="5">
        <f t="shared" ca="1" si="141"/>
        <v>0</v>
      </c>
      <c r="P914" s="446" t="e">
        <f t="shared" si="142"/>
        <v>#VALUE!</v>
      </c>
      <c r="Q914" s="446" t="e">
        <f>IF(OR($B914="",MIN(Q$38,$D$19)&lt;MAX($P$708*($B914+IF($R$17="Distrato",$I$38-1,0)),IF(AND($L$711=0,$P$708=0),"",$L$711-1),IF($R$17="Distrato",$E914,0))),0,YEARFRAC(MAX($P$708*($B914+IF($R$17="Distrato",$I$38-1,0)),IF(AND($L$711=0,$P$708=0),"",$L$711-1),IF($R$17="Distrato",$E914,0)),MIN(Q$38,$D$19),$P$20))-SUM($P914:P914)</f>
        <v>#VALUE!</v>
      </c>
      <c r="R914" s="446" t="e">
        <f>IF(OR($B914="",MIN(R$38,$D$19)&lt;MAX($P$708*($B914+IF($R$17="Distrato",$I$38-1,0)),IF(AND($L$711=0,$P$708=0),"",$L$711-1),IF($R$17="Distrato",$E914,0))),0,YEARFRAC(MAX($P$708*($B914+IF($R$17="Distrato",$I$38-1,0)),IF(AND($L$711=0,$P$708=0),"",$L$711-1),IF($R$17="Distrato",$E914,0)),MIN(R$38,$D$19),$P$20))-SUM($P914:Q914)</f>
        <v>#VALUE!</v>
      </c>
      <c r="S914" s="446" t="e">
        <f>IF(OR($B914="",MIN(S$38,$D$19)&lt;MAX($P$708*($B914+IF($R$17="Distrato",$I$38-1,0)),IF(AND($L$711=0,$P$708=0),"",$L$711-1),IF($R$17="Distrato",$E914,0))),0,YEARFRAC(MAX($P$708*($B914+IF($R$17="Distrato",$I$38-1,0)),IF(AND($L$711=0,$P$708=0),"",$L$711-1),IF($R$17="Distrato",$E914,0)),MIN(S$38,$D$19),$P$20))-SUM($P914:R914)</f>
        <v>#VALUE!</v>
      </c>
      <c r="T914" s="446" t="e">
        <f>IF(OR($B914="",MIN(T$38,$D$19)&lt;MAX($P$708*($B914+IF($R$17="Distrato",$I$38-1,0)),IF(AND($L$711=0,$P$708=0),"",$L$711-1),IF($R$17="Distrato",$E914,0))),0,YEARFRAC(MAX($P$708*($B914+IF($R$17="Distrato",$I$38-1,0)),IF(AND($L$711=0,$P$708=0),"",$L$711-1),IF($R$17="Distrato",$E914,0)),MIN(T$38,$D$19),$P$20))-SUM($P914:S914)</f>
        <v>#VALUE!</v>
      </c>
      <c r="U914" s="446" t="e">
        <f>IF(OR($B914="",MIN(U$38,$D$19)&lt;MAX($P$708*($B914+IF($R$17="Distrato",$I$38-1,0)),IF(AND($L$711=0,$P$708=0),"",$L$711-1),IF($R$17="Distrato",$E914,0))),0,YEARFRAC(MAX($P$708*($B914+IF($R$17="Distrato",$I$38-1,0)),IF(AND($L$711=0,$P$708=0),"",$L$711-1),IF($R$17="Distrato",$E914,0)),MIN(U$38,$D$19),$P$20))-SUM($P914:T914)</f>
        <v>#VALUE!</v>
      </c>
      <c r="V914" s="446" t="e">
        <f>IF(OR($B914="",MIN(V$38,$D$19)&lt;MAX($P$708*($B914+IF($R$17="Distrato",$I$38-1,0)),IF(AND($L$711=0,$P$708=0),"",$L$711-1),IF($R$17="Distrato",$E914,0))),0,YEARFRAC(MAX($P$708*($B914+IF($R$17="Distrato",$I$38-1,0)),IF(AND($L$711=0,$P$708=0),"",$L$711-1),IF($R$17="Distrato",$E914,0)),MIN(V$38,$D$19),$P$20))-SUM($P914:U914)</f>
        <v>#VALUE!</v>
      </c>
      <c r="W914" s="446" t="e">
        <f>IF(OR($B914="",MIN(W$38,$D$19)&lt;MAX($P$708*($B914+IF($R$17="Distrato",$I$38-1,0)),IF(AND($L$711=0,$P$708=0),"",$L$711-1),IF($R$17="Distrato",$E914,0))),0,YEARFRAC(MAX($P$708*($B914+IF($R$17="Distrato",$I$38-1,0)),IF(AND($L$711=0,$P$708=0),"",$L$711-1),IF($R$17="Distrato",$E914,0)),MIN(W$38,$D$19),$P$20))-SUM($P914:V914)</f>
        <v>#VALUE!</v>
      </c>
      <c r="X914" s="446" t="e">
        <f>IF(OR($B914="",MIN(X$38,$D$19)&lt;MAX($P$708*($B914+IF($R$17="Distrato",$I$38-1,0)),IF(AND($L$711=0,$P$708=0),"",$L$711-1),IF($R$17="Distrato",$E914,0))),0,YEARFRAC(MAX($P$708*($B914+IF($R$17="Distrato",$I$38-1,0)),IF(AND($L$711=0,$P$708=0),"",$L$711-1),IF($R$17="Distrato",$E914,0)),MIN(X$38,$D$19),$P$20))-SUM($P914:W914)</f>
        <v>#VALUE!</v>
      </c>
      <c r="Y914" s="446" t="e">
        <f>IF(OR($B914="",MIN(Y$38,$D$19)&lt;MAX($P$708*($B914+IF($R$17="Distrato",$I$38-1,0)),IF(AND($L$711=0,$P$708=0),"",$L$711-1),IF($R$17="Distrato",$E914,0))),0,YEARFRAC(MAX($P$708*($B914+IF($R$17="Distrato",$I$38-1,0)),IF(AND($L$711=0,$P$708=0),"",$L$711-1),IF($R$17="Distrato",$E914,0)),MIN(Y$38,$D$19),$P$20))-SUM($P914:X914)</f>
        <v>#VALUE!</v>
      </c>
      <c r="Z914" s="446" t="e">
        <f>IF(OR($B914="",MIN(Z$38,$D$19)&lt;MAX($P$708*($B914+IF($R$17="Distrato",$I$38-1,0)),IF(AND($L$711=0,$P$708=0),"",$L$711-1),IF($R$17="Distrato",$E914,0))),0,YEARFRAC(MAX($P$708*($B914+IF($R$17="Distrato",$I$38-1,0)),IF(AND($L$711=0,$P$708=0),"",$L$711-1),IF($R$17="Distrato",$E914,0)),MIN(Z$38,$D$19),$P$20))-SUM($P914:Y914)</f>
        <v>#VALUE!</v>
      </c>
      <c r="AA914" s="446" t="e">
        <f>IF(OR($B914="",MIN(AA$38,$D$19)&lt;MAX($P$708*($B914+IF($R$17="Distrato",$I$38-1,0)),IF(AND($L$711=0,$P$708=0),"",$L$711-1),IF($R$17="Distrato",$E914,0))),0,YEARFRAC(MAX($P$708*($B914+IF($R$17="Distrato",$I$38-1,0)),IF(AND($L$711=0,$P$708=0),"",$L$711-1),IF($R$17="Distrato",$E914,0)),MIN(AA$38,$D$19),$P$20))-SUM($P914:Z914)</f>
        <v>#VALUE!</v>
      </c>
      <c r="AB914" s="446" t="e">
        <f>IF(OR($B914="",MIN(AB$38,$D$19)&lt;MAX($P$708*($B914+IF($R$17="Distrato",$I$38-1,0)),IF(AND($L$711=0,$P$708=0),"",$L$711-1),IF($R$17="Distrato",$E914,0))),0,YEARFRAC(MAX($P$708*($B914+IF($R$17="Distrato",$I$38-1,0)),IF(AND($L$711=0,$P$708=0),"",$L$711-1),IF($R$17="Distrato",$E914,0)),MIN(AB$38,$D$19),$P$20))-SUM($P914:AA914)</f>
        <v>#VALUE!</v>
      </c>
      <c r="AC914" s="446" t="e">
        <f>IF(OR($B914="",MIN(AC$38,$D$19)&lt;MAX($P$708*($B914+IF($R$17="Distrato",$I$38-1,0)),IF(AND($L$711=0,$P$708=0),"",$L$711-1),IF($R$17="Distrato",$E914,0))),0,YEARFRAC(MAX($P$708*($B914+IF($R$17="Distrato",$I$38-1,0)),IF(AND($L$711=0,$P$708=0),"",$L$711-1),IF($R$17="Distrato",$E914,0)),MIN(AC$38,$D$19),$P$20))-SUM($P914:AB914)</f>
        <v>#VALUE!</v>
      </c>
      <c r="AD914" s="446" t="e">
        <f>IF(OR($B914="",MIN(AD$38,$D$19)&lt;MAX($P$708*($B914+IF($R$17="Distrato",$I$38-1,0)),IF(AND($L$711=0,$P$708=0),"",$L$711-1),IF($R$17="Distrato",$E914,0))),0,YEARFRAC(MAX($P$708*($B914+IF($R$17="Distrato",$I$38-1,0)),IF(AND($L$711=0,$P$708=0),"",$L$711-1),IF($R$17="Distrato",$E914,0)),MIN(AD$38,$D$19),$P$20))-SUM($P914:AC914)</f>
        <v>#VALUE!</v>
      </c>
      <c r="AE914" s="446" t="e">
        <f>IF(OR($B914="",MIN(AE$38,$D$19)&lt;MAX($P$708*($B914+IF($R$17="Distrato",$I$38-1,0)),IF(AND($L$711=0,$P$708=0),"",$L$711-1),IF($R$17="Distrato",$E914,0))),0,YEARFRAC(MAX($P$708*($B914+IF($R$17="Distrato",$I$38-1,0)),IF(AND($L$711=0,$P$708=0),"",$L$711-1),IF($R$17="Distrato",$E914,0)),MIN(AE$38,$D$19),$P$20))-SUM($P914:AD914)</f>
        <v>#VALUE!</v>
      </c>
      <c r="AF914" s="446" t="e">
        <f>IF(OR($B914="",MIN(AF$38,$D$19)&lt;MAX($P$708*($B914+IF($R$17="Distrato",$I$38-1,0)),IF(AND($L$711=0,$P$708=0),"",$L$711-1),IF($R$17="Distrato",$E914,0))),0,YEARFRAC(MAX($P$708*($B914+IF($R$17="Distrato",$I$38-1,0)),IF(AND($L$711=0,$P$708=0),"",$L$711-1),IF($R$17="Distrato",$E914,0)),MIN(AF$38,$D$19),$P$20))-SUM($P914:AE914)</f>
        <v>#VALUE!</v>
      </c>
      <c r="AG914" s="446" t="e">
        <f>IF(OR($B914="",MIN(AG$38,$D$19)&lt;MAX($P$708*($B914+IF($R$17="Distrato",$I$38-1,0)),IF(AND($L$711=0,$P$708=0),"",$L$711-1),IF($R$17="Distrato",$E914,0))),0,YEARFRAC(MAX($P$708*($B914+IF($R$17="Distrato",$I$38-1,0)),IF(AND($L$711=0,$P$708=0),"",$L$711-1),IF($R$17="Distrato",$E914,0)),MIN(AG$38,$D$19),$P$20))-SUM($P914:AF914)</f>
        <v>#VALUE!</v>
      </c>
      <c r="AH914" s="446" t="e">
        <f>IF(OR($B914="",MIN(AH$38,$D$19)&lt;MAX($P$708*($B914+IF($R$17="Distrato",$I$38-1,0)),IF(AND($L$711=0,$P$708=0),"",$L$711-1),IF($R$17="Distrato",$E914,0))),0,YEARFRAC(MAX($P$708*($B914+IF($R$17="Distrato",$I$38-1,0)),IF(AND($L$711=0,$P$708=0),"",$L$711-1),IF($R$17="Distrato",$E914,0)),MIN(AH$38,$D$19),$P$20))-SUM($P914:AG914)</f>
        <v>#VALUE!</v>
      </c>
      <c r="AI914" s="446" t="e">
        <f>IF(OR($B914="",MIN(AI$38,$D$19)&lt;MAX($P$708*($B914+IF($R$17="Distrato",$I$38-1,0)),IF(AND($L$711=0,$P$708=0),"",$L$711-1),IF($R$17="Distrato",$E914,0))),0,YEARFRAC(MAX($P$708*($B914+IF($R$17="Distrato",$I$38-1,0)),IF(AND($L$711=0,$P$708=0),"",$L$711-1),IF($R$17="Distrato",$E914,0)),MIN(AI$38,$D$19),$P$20))-SUM($P914:AH914)</f>
        <v>#VALUE!</v>
      </c>
      <c r="AJ914" s="446" t="e">
        <f>IF(OR($B914="",MIN(AJ$38,$D$19)&lt;MAX($P$708*($B914+IF($R$17="Distrato",$I$38-1,0)),IF(AND($L$711=0,$P$708=0),"",$L$711-1),IF($R$17="Distrato",$E914,0))),0,YEARFRAC(MAX($P$708*($B914+IF($R$17="Distrato",$I$38-1,0)),IF(AND($L$711=0,$P$708=0),"",$L$711-1),IF($R$17="Distrato",$E914,0)),MIN(AJ$38,$D$19),$P$20))-SUM($P914:AI914)</f>
        <v>#VALUE!</v>
      </c>
      <c r="AK914" s="446" t="e">
        <f>IF(OR($B914="",MIN(AK$38,$D$19)&lt;MAX($P$708*($B914+IF($R$17="Distrato",$I$38-1,0)),IF(AND($L$711=0,$P$708=0),"",$L$711-1),IF($R$17="Distrato",$E914,0))),0,YEARFRAC(MAX($P$708*($B914+IF($R$17="Distrato",$I$38-1,0)),IF(AND($L$711=0,$P$708=0),"",$L$711-1),IF($R$17="Distrato",$E914,0)),MIN(AK$38,$D$19),$P$20))-SUM($P914:AJ914)</f>
        <v>#VALUE!</v>
      </c>
      <c r="AL914" s="446" t="e">
        <f>IF(OR($B914="",MIN(AL$38,$D$19)&lt;MAX($P$708*($B914+IF($R$17="Distrato",$I$38-1,0)),IF(AND($L$711=0,$P$708=0),"",$L$711-1),IF($R$17="Distrato",$E914,0))),0,YEARFRAC(MAX($P$708*($B914+IF($R$17="Distrato",$I$38-1,0)),IF(AND($L$711=0,$P$708=0),"",$L$711-1),IF($R$17="Distrato",$E914,0)),MIN(AL$38,$D$19),$P$20))-SUM($P914:AK914)</f>
        <v>#VALUE!</v>
      </c>
      <c r="AM914" s="446" t="e">
        <f>IF(OR($B914="",MIN(AM$38,$D$19)&lt;MAX($P$708*($B914+IF($R$17="Distrato",$I$38-1,0)),IF(AND($L$711=0,$P$708=0),"",$L$711-1),IF($R$17="Distrato",$E914,0))),0,YEARFRAC(MAX($P$708*($B914+IF($R$17="Distrato",$I$38-1,0)),IF(AND($L$711=0,$P$708=0),"",$L$711-1),IF($R$17="Distrato",$E914,0)),MIN(AM$38,$D$19),$P$20))-SUM($P914:AL914)</f>
        <v>#VALUE!</v>
      </c>
      <c r="AN914" s="446" t="e">
        <f>IF(OR($B914="",MIN(AN$38,$D$19)&lt;MAX($P$708*($B914+IF($R$17="Distrato",$I$38-1,0)),IF(AND($L$711=0,$P$708=0),"",$L$711-1),IF($R$17="Distrato",$E914,0))),0,YEARFRAC(MAX($P$708*($B914+IF($R$17="Distrato",$I$38-1,0)),IF(AND($L$711=0,$P$708=0),"",$L$711-1),IF($R$17="Distrato",$E914,0)),MIN(AN$38,$D$19),$P$20))-SUM($P914:AM914)</f>
        <v>#VALUE!</v>
      </c>
      <c r="AO914" s="446" t="e">
        <f>IF(OR($B914="",MIN(AO$38,$D$19)&lt;MAX($P$708*($B914+IF($R$17="Distrato",$I$38-1,0)),IF(AND($L$711=0,$P$708=0),"",$L$711-1),IF($R$17="Distrato",$E914,0))),0,YEARFRAC(MAX($P$708*($B914+IF($R$17="Distrato",$I$38-1,0)),IF(AND($L$711=0,$P$708=0),"",$L$711-1),IF($R$17="Distrato",$E914,0)),MIN(AO$38,$D$19),$P$20))-SUM($P914:AN914)</f>
        <v>#VALUE!</v>
      </c>
      <c r="AP914" s="446" t="e">
        <f>IF(OR($B914="",MIN(AP$38,$D$19)&lt;MAX($P$708*($B914+IF($R$17="Distrato",$I$38-1,0)),IF(AND($L$711=0,$P$708=0),"",$L$711-1),IF($R$17="Distrato",$E914,0))),0,YEARFRAC(MAX($P$708*($B914+IF($R$17="Distrato",$I$38-1,0)),IF(AND($L$711=0,$P$708=0),"",$L$711-1),IF($R$17="Distrato",$E914,0)),MIN(AP$38,$D$19),$P$20))-SUM($P914:AO914)</f>
        <v>#VALUE!</v>
      </c>
      <c r="AQ914" s="446" t="e">
        <f>IF(OR($B914="",MIN(AQ$38,$D$19)&lt;MAX($P$708*($B914+IF($R$17="Distrato",$I$38-1,0)),IF(AND($L$711=0,$P$708=0),"",$L$711-1),IF($R$17="Distrato",$E914,0))),0,YEARFRAC(MAX($P$708*($B914+IF($R$17="Distrato",$I$38-1,0)),IF(AND($L$711=0,$P$708=0),"",$L$711-1),IF($R$17="Distrato",$E914,0)),MIN(AQ$38,$D$19),$P$20))-SUM($P914:AP914)</f>
        <v>#VALUE!</v>
      </c>
      <c r="AR914" s="446" t="e">
        <f>IF(OR($B914="",MIN(AR$38,$D$19)&lt;MAX($P$708*($B914+IF($R$17="Distrato",$I$38-1,0)),IF(AND($L$711=0,$P$708=0),"",$L$711-1),IF($R$17="Distrato",$E914,0))),0,YEARFRAC(MAX($P$708*($B914+IF($R$17="Distrato",$I$38-1,0)),IF(AND($L$711=0,$P$708=0),"",$L$711-1),IF($R$17="Distrato",$E914,0)),MIN(AR$38,$D$19),$P$20))-SUM($P914:AQ914)</f>
        <v>#VALUE!</v>
      </c>
      <c r="AS914" s="446" t="e">
        <f>IF(OR($B914="",MIN(AS$38,$D$19)&lt;MAX($P$708*($B914+IF($R$17="Distrato",$I$38-1,0)),IF(AND($L$711=0,$P$708=0),"",$L$711-1),IF($R$17="Distrato",$E914,0))),0,YEARFRAC(MAX($P$708*($B914+IF($R$17="Distrato",$I$38-1,0)),IF(AND($L$711=0,$P$708=0),"",$L$711-1),IF($R$17="Distrato",$E914,0)),MIN(AS$38,$D$19),$P$20))-SUM($P914:AR914)</f>
        <v>#VALUE!</v>
      </c>
      <c r="AT914" s="446" t="e">
        <f>IF(OR($B914="",MIN(AT$38,$D$19)&lt;MAX($P$708*($B914+IF($R$17="Distrato",$I$38-1,0)),IF(AND($L$711=0,$P$708=0),"",$L$711-1),IF($R$17="Distrato",$E914,0))),0,YEARFRAC(MAX($P$708*($B914+IF($R$17="Distrato",$I$38-1,0)),IF(AND($L$711=0,$P$708=0),"",$L$711-1),IF($R$17="Distrato",$E914,0)),MIN(AT$38,$D$19),$P$20))-SUM($P914:AS914)</f>
        <v>#VALUE!</v>
      </c>
      <c r="AU914" s="446" t="e">
        <f>IF(OR($B914="",MIN(AU$38,$D$19)&lt;MAX($P$708*($B914+IF($R$17="Distrato",$I$38-1,0)),IF(AND($L$711=0,$P$708=0),"",$L$711-1),IF($R$17="Distrato",$E914,0))),0,YEARFRAC(MAX($P$708*($B914+IF($R$17="Distrato",$I$38-1,0)),IF(AND($L$711=0,$P$708=0),"",$L$711-1),IF($R$17="Distrato",$E914,0)),MIN(AU$38,$D$19),$P$20))-SUM($P914:AT914)</f>
        <v>#VALUE!</v>
      </c>
      <c r="AV914" s="446" t="e">
        <f>IF(OR($B914="",MIN(AV$38,$D$19)&lt;MAX($P$708*($B914+IF($R$17="Distrato",$I$38-1,0)),IF(AND($L$711=0,$P$708=0),"",$L$711-1),IF($R$17="Distrato",$E914,0))),0,YEARFRAC(MAX($P$708*($B914+IF($R$17="Distrato",$I$38-1,0)),IF(AND($L$711=0,$P$708=0),"",$L$711-1),IF($R$17="Distrato",$E914,0)),MIN(AV$38,$D$19),$P$20))-SUM($P914:AU914)</f>
        <v>#VALUE!</v>
      </c>
      <c r="AW914" s="446" t="e">
        <f>IF(OR($B914="",MIN(AW$38,$D$19)&lt;MAX($P$708*($B914+IF($R$17="Distrato",$I$38-1,0)),IF(AND($L$711=0,$P$708=0),"",$L$711-1),IF($R$17="Distrato",$E914,0))),0,YEARFRAC(MAX($P$708*($B914+IF($R$17="Distrato",$I$38-1,0)),IF(AND($L$711=0,$P$708=0),"",$L$711-1),IF($R$17="Distrato",$E914,0)),MIN(AW$38,$D$19),$P$20))-SUM($P914:AV914)</f>
        <v>#VALUE!</v>
      </c>
      <c r="AX914" s="446" t="e">
        <f>IF(OR($B914="",MIN(AX$38,$D$19)&lt;MAX($P$708*($B914+IF($R$17="Distrato",$I$38-1,0)),IF(AND($L$711=0,$P$708=0),"",$L$711-1),IF($R$17="Distrato",$E914,0))),0,YEARFRAC(MAX($P$708*($B914+IF($R$17="Distrato",$I$38-1,0)),IF(AND($L$711=0,$P$708=0),"",$L$711-1),IF($R$17="Distrato",$E914,0)),MIN(AX$38,$D$19),$P$20))-SUM($P914:AW914)</f>
        <v>#VALUE!</v>
      </c>
      <c r="AY914" s="446" t="e">
        <f>IF(OR($B914="",MIN(AY$38,$D$19)&lt;MAX($P$708*($B914+IF($R$17="Distrato",$I$38-1,0)),IF(AND($L$711=0,$P$708=0),"",$L$711-1),IF($R$17="Distrato",$E914,0))),0,YEARFRAC(MAX($P$708*($B914+IF($R$17="Distrato",$I$38-1,0)),IF(AND($L$711=0,$P$708=0),"",$L$711-1),IF($R$17="Distrato",$E914,0)),MIN(AY$38,$D$19),$P$20))-SUM($P914:AX914)</f>
        <v>#VALUE!</v>
      </c>
      <c r="AZ914" s="446" t="e">
        <f>IF(OR($B914="",MIN(AZ$38,$D$19)&lt;MAX($P$708*($B914+IF($R$17="Distrato",$I$38-1,0)),IF(AND($L$711=0,$P$708=0),"",$L$711-1),IF($R$17="Distrato",$E914,0))),0,YEARFRAC(MAX($P$708*($B914+IF($R$17="Distrato",$I$38-1,0)),IF(AND($L$711=0,$P$708=0),"",$L$711-1),IF($R$17="Distrato",$E914,0)),MIN(AZ$38,$D$19),$P$20))-SUM($P914:AY914)</f>
        <v>#VALUE!</v>
      </c>
      <c r="BA914" s="446" t="e">
        <f>IF(OR($B914="",MIN(BA$38,$D$19)&lt;MAX($P$708*($B914+IF($R$17="Distrato",$I$38-1,0)),IF(AND($L$711=0,$P$708=0),"",$L$711-1),IF($R$17="Distrato",$E914,0))),0,YEARFRAC(MAX($P$708*($B914+IF($R$17="Distrato",$I$38-1,0)),IF(AND($L$711=0,$P$708=0),"",$L$711-1),IF($R$17="Distrato",$E914,0)),MIN(BA$38,$D$19),$P$20))-SUM($P914:AZ914)</f>
        <v>#VALUE!</v>
      </c>
      <c r="BB914" s="447"/>
    </row>
    <row r="915" spans="1:54" s="446" customFormat="1" ht="11.25" hidden="1" customHeight="1" x14ac:dyDescent="0.2">
      <c r="A915" s="235"/>
      <c r="B915" s="236"/>
      <c r="C915" s="29" t="str">
        <f>IF(B915="","",IF($L$709=$BL$25,VLOOKUP(DATE(YEAR($D$19),MONTH($D$19)-1,1),ÍNDICES!$A:$DE,HLOOKUP($BL$25,ÍNDICES!$B$3:$T$4,2)+11)-VLOOKUP(B915,ÍNDICES!$A:$DE,HLOOKUP($BL$25,ÍNDICES!$B$3:$T$4,2)+11)+1%,IF(C$712=$W$26,$J$35,IF(ISERROR(IF(B915&gt;$D$19,1,VLOOKUP(DATE(YEAR(B915),MONTH(B915)+IF($C$709=$S$23,1,0),1),ÍNDICES!$A:$DE,$Z$709+1))),"",IF(B915&gt;$D$19,1,VLOOKUP(DATE(YEAR(B915),MONTH(B915)+IF($C$709=$S$23,1,0),1),ÍNDICES!$A:$DE,$Z$709+1))))))</f>
        <v/>
      </c>
      <c r="D915" s="155"/>
      <c r="E915" s="88"/>
      <c r="F915" s="88"/>
      <c r="G915" s="88"/>
      <c r="H915" s="118"/>
      <c r="I915" s="182">
        <f t="shared" si="136"/>
        <v>0</v>
      </c>
      <c r="J915" s="20">
        <f t="shared" ca="1" si="137"/>
        <v>0</v>
      </c>
      <c r="K915" s="5">
        <f t="shared" ca="1" si="138"/>
        <v>0</v>
      </c>
      <c r="L915" s="61">
        <f t="shared" ca="1" si="139"/>
        <v>0</v>
      </c>
      <c r="M915" s="64">
        <f t="shared" si="140"/>
        <v>0</v>
      </c>
      <c r="N915" s="151"/>
      <c r="O915" s="5">
        <f t="shared" ca="1" si="141"/>
        <v>0</v>
      </c>
      <c r="P915" s="446" t="e">
        <f t="shared" si="142"/>
        <v>#VALUE!</v>
      </c>
      <c r="Q915" s="446" t="e">
        <f>IF(OR($B915="",MIN(Q$38,$D$19)&lt;MAX($P$708*($B915+IF($R$17="Distrato",$I$38-1,0)),IF(AND($L$711=0,$P$708=0),"",$L$711-1),IF($R$17="Distrato",$E915,0))),0,YEARFRAC(MAX($P$708*($B915+IF($R$17="Distrato",$I$38-1,0)),IF(AND($L$711=0,$P$708=0),"",$L$711-1),IF($R$17="Distrato",$E915,0)),MIN(Q$38,$D$19),$P$20))-SUM($P915:P915)</f>
        <v>#VALUE!</v>
      </c>
      <c r="R915" s="446" t="e">
        <f>IF(OR($B915="",MIN(R$38,$D$19)&lt;MAX($P$708*($B915+IF($R$17="Distrato",$I$38-1,0)),IF(AND($L$711=0,$P$708=0),"",$L$711-1),IF($R$17="Distrato",$E915,0))),0,YEARFRAC(MAX($P$708*($B915+IF($R$17="Distrato",$I$38-1,0)),IF(AND($L$711=0,$P$708=0),"",$L$711-1),IF($R$17="Distrato",$E915,0)),MIN(R$38,$D$19),$P$20))-SUM($P915:Q915)</f>
        <v>#VALUE!</v>
      </c>
      <c r="S915" s="446" t="e">
        <f>IF(OR($B915="",MIN(S$38,$D$19)&lt;MAX($P$708*($B915+IF($R$17="Distrato",$I$38-1,0)),IF(AND($L$711=0,$P$708=0),"",$L$711-1),IF($R$17="Distrato",$E915,0))),0,YEARFRAC(MAX($P$708*($B915+IF($R$17="Distrato",$I$38-1,0)),IF(AND($L$711=0,$P$708=0),"",$L$711-1),IF($R$17="Distrato",$E915,0)),MIN(S$38,$D$19),$P$20))-SUM($P915:R915)</f>
        <v>#VALUE!</v>
      </c>
      <c r="T915" s="446" t="e">
        <f>IF(OR($B915="",MIN(T$38,$D$19)&lt;MAX($P$708*($B915+IF($R$17="Distrato",$I$38-1,0)),IF(AND($L$711=0,$P$708=0),"",$L$711-1),IF($R$17="Distrato",$E915,0))),0,YEARFRAC(MAX($P$708*($B915+IF($R$17="Distrato",$I$38-1,0)),IF(AND($L$711=0,$P$708=0),"",$L$711-1),IF($R$17="Distrato",$E915,0)),MIN(T$38,$D$19),$P$20))-SUM($P915:S915)</f>
        <v>#VALUE!</v>
      </c>
      <c r="U915" s="446" t="e">
        <f>IF(OR($B915="",MIN(U$38,$D$19)&lt;MAX($P$708*($B915+IF($R$17="Distrato",$I$38-1,0)),IF(AND($L$711=0,$P$708=0),"",$L$711-1),IF($R$17="Distrato",$E915,0))),0,YEARFRAC(MAX($P$708*($B915+IF($R$17="Distrato",$I$38-1,0)),IF(AND($L$711=0,$P$708=0),"",$L$711-1),IF($R$17="Distrato",$E915,0)),MIN(U$38,$D$19),$P$20))-SUM($P915:T915)</f>
        <v>#VALUE!</v>
      </c>
      <c r="V915" s="446" t="e">
        <f>IF(OR($B915="",MIN(V$38,$D$19)&lt;MAX($P$708*($B915+IF($R$17="Distrato",$I$38-1,0)),IF(AND($L$711=0,$P$708=0),"",$L$711-1),IF($R$17="Distrato",$E915,0))),0,YEARFRAC(MAX($P$708*($B915+IF($R$17="Distrato",$I$38-1,0)),IF(AND($L$711=0,$P$708=0),"",$L$711-1),IF($R$17="Distrato",$E915,0)),MIN(V$38,$D$19),$P$20))-SUM($P915:U915)</f>
        <v>#VALUE!</v>
      </c>
      <c r="W915" s="446" t="e">
        <f>IF(OR($B915="",MIN(W$38,$D$19)&lt;MAX($P$708*($B915+IF($R$17="Distrato",$I$38-1,0)),IF(AND($L$711=0,$P$708=0),"",$L$711-1),IF($R$17="Distrato",$E915,0))),0,YEARFRAC(MAX($P$708*($B915+IF($R$17="Distrato",$I$38-1,0)),IF(AND($L$711=0,$P$708=0),"",$L$711-1),IF($R$17="Distrato",$E915,0)),MIN(W$38,$D$19),$P$20))-SUM($P915:V915)</f>
        <v>#VALUE!</v>
      </c>
      <c r="X915" s="446" t="e">
        <f>IF(OR($B915="",MIN(X$38,$D$19)&lt;MAX($P$708*($B915+IF($R$17="Distrato",$I$38-1,0)),IF(AND($L$711=0,$P$708=0),"",$L$711-1),IF($R$17="Distrato",$E915,0))),0,YEARFRAC(MAX($P$708*($B915+IF($R$17="Distrato",$I$38-1,0)),IF(AND($L$711=0,$P$708=0),"",$L$711-1),IF($R$17="Distrato",$E915,0)),MIN(X$38,$D$19),$P$20))-SUM($P915:W915)</f>
        <v>#VALUE!</v>
      </c>
      <c r="Y915" s="446" t="e">
        <f>IF(OR($B915="",MIN(Y$38,$D$19)&lt;MAX($P$708*($B915+IF($R$17="Distrato",$I$38-1,0)),IF(AND($L$711=0,$P$708=0),"",$L$711-1),IF($R$17="Distrato",$E915,0))),0,YEARFRAC(MAX($P$708*($B915+IF($R$17="Distrato",$I$38-1,0)),IF(AND($L$711=0,$P$708=0),"",$L$711-1),IF($R$17="Distrato",$E915,0)),MIN(Y$38,$D$19),$P$20))-SUM($P915:X915)</f>
        <v>#VALUE!</v>
      </c>
      <c r="Z915" s="446" t="e">
        <f>IF(OR($B915="",MIN(Z$38,$D$19)&lt;MAX($P$708*($B915+IF($R$17="Distrato",$I$38-1,0)),IF(AND($L$711=0,$P$708=0),"",$L$711-1),IF($R$17="Distrato",$E915,0))),0,YEARFRAC(MAX($P$708*($B915+IF($R$17="Distrato",$I$38-1,0)),IF(AND($L$711=0,$P$708=0),"",$L$711-1),IF($R$17="Distrato",$E915,0)),MIN(Z$38,$D$19),$P$20))-SUM($P915:Y915)</f>
        <v>#VALUE!</v>
      </c>
      <c r="AA915" s="446" t="e">
        <f>IF(OR($B915="",MIN(AA$38,$D$19)&lt;MAX($P$708*($B915+IF($R$17="Distrato",$I$38-1,0)),IF(AND($L$711=0,$P$708=0),"",$L$711-1),IF($R$17="Distrato",$E915,0))),0,YEARFRAC(MAX($P$708*($B915+IF($R$17="Distrato",$I$38-1,0)),IF(AND($L$711=0,$P$708=0),"",$L$711-1),IF($R$17="Distrato",$E915,0)),MIN(AA$38,$D$19),$P$20))-SUM($P915:Z915)</f>
        <v>#VALUE!</v>
      </c>
      <c r="AB915" s="446" t="e">
        <f>IF(OR($B915="",MIN(AB$38,$D$19)&lt;MAX($P$708*($B915+IF($R$17="Distrato",$I$38-1,0)),IF(AND($L$711=0,$P$708=0),"",$L$711-1),IF($R$17="Distrato",$E915,0))),0,YEARFRAC(MAX($P$708*($B915+IF($R$17="Distrato",$I$38-1,0)),IF(AND($L$711=0,$P$708=0),"",$L$711-1),IF($R$17="Distrato",$E915,0)),MIN(AB$38,$D$19),$P$20))-SUM($P915:AA915)</f>
        <v>#VALUE!</v>
      </c>
      <c r="AC915" s="446" t="e">
        <f>IF(OR($B915="",MIN(AC$38,$D$19)&lt;MAX($P$708*($B915+IF($R$17="Distrato",$I$38-1,0)),IF(AND($L$711=0,$P$708=0),"",$L$711-1),IF($R$17="Distrato",$E915,0))),0,YEARFRAC(MAX($P$708*($B915+IF($R$17="Distrato",$I$38-1,0)),IF(AND($L$711=0,$P$708=0),"",$L$711-1),IF($R$17="Distrato",$E915,0)),MIN(AC$38,$D$19),$P$20))-SUM($P915:AB915)</f>
        <v>#VALUE!</v>
      </c>
      <c r="AD915" s="446" t="e">
        <f>IF(OR($B915="",MIN(AD$38,$D$19)&lt;MAX($P$708*($B915+IF($R$17="Distrato",$I$38-1,0)),IF(AND($L$711=0,$P$708=0),"",$L$711-1),IF($R$17="Distrato",$E915,0))),0,YEARFRAC(MAX($P$708*($B915+IF($R$17="Distrato",$I$38-1,0)),IF(AND($L$711=0,$P$708=0),"",$L$711-1),IF($R$17="Distrato",$E915,0)),MIN(AD$38,$D$19),$P$20))-SUM($P915:AC915)</f>
        <v>#VALUE!</v>
      </c>
      <c r="AE915" s="446" t="e">
        <f>IF(OR($B915="",MIN(AE$38,$D$19)&lt;MAX($P$708*($B915+IF($R$17="Distrato",$I$38-1,0)),IF(AND($L$711=0,$P$708=0),"",$L$711-1),IF($R$17="Distrato",$E915,0))),0,YEARFRAC(MAX($P$708*($B915+IF($R$17="Distrato",$I$38-1,0)),IF(AND($L$711=0,$P$708=0),"",$L$711-1),IF($R$17="Distrato",$E915,0)),MIN(AE$38,$D$19),$P$20))-SUM($P915:AD915)</f>
        <v>#VALUE!</v>
      </c>
      <c r="AF915" s="446" t="e">
        <f>IF(OR($B915="",MIN(AF$38,$D$19)&lt;MAX($P$708*($B915+IF($R$17="Distrato",$I$38-1,0)),IF(AND($L$711=0,$P$708=0),"",$L$711-1),IF($R$17="Distrato",$E915,0))),0,YEARFRAC(MAX($P$708*($B915+IF($R$17="Distrato",$I$38-1,0)),IF(AND($L$711=0,$P$708=0),"",$L$711-1),IF($R$17="Distrato",$E915,0)),MIN(AF$38,$D$19),$P$20))-SUM($P915:AE915)</f>
        <v>#VALUE!</v>
      </c>
      <c r="AG915" s="446" t="e">
        <f>IF(OR($B915="",MIN(AG$38,$D$19)&lt;MAX($P$708*($B915+IF($R$17="Distrato",$I$38-1,0)),IF(AND($L$711=0,$P$708=0),"",$L$711-1),IF($R$17="Distrato",$E915,0))),0,YEARFRAC(MAX($P$708*($B915+IF($R$17="Distrato",$I$38-1,0)),IF(AND($L$711=0,$P$708=0),"",$L$711-1),IF($R$17="Distrato",$E915,0)),MIN(AG$38,$D$19),$P$20))-SUM($P915:AF915)</f>
        <v>#VALUE!</v>
      </c>
      <c r="AH915" s="446" t="e">
        <f>IF(OR($B915="",MIN(AH$38,$D$19)&lt;MAX($P$708*($B915+IF($R$17="Distrato",$I$38-1,0)),IF(AND($L$711=0,$P$708=0),"",$L$711-1),IF($R$17="Distrato",$E915,0))),0,YEARFRAC(MAX($P$708*($B915+IF($R$17="Distrato",$I$38-1,0)),IF(AND($L$711=0,$P$708=0),"",$L$711-1),IF($R$17="Distrato",$E915,0)),MIN(AH$38,$D$19),$P$20))-SUM($P915:AG915)</f>
        <v>#VALUE!</v>
      </c>
      <c r="AI915" s="446" t="e">
        <f>IF(OR($B915="",MIN(AI$38,$D$19)&lt;MAX($P$708*($B915+IF($R$17="Distrato",$I$38-1,0)),IF(AND($L$711=0,$P$708=0),"",$L$711-1),IF($R$17="Distrato",$E915,0))),0,YEARFRAC(MAX($P$708*($B915+IF($R$17="Distrato",$I$38-1,0)),IF(AND($L$711=0,$P$708=0),"",$L$711-1),IF($R$17="Distrato",$E915,0)),MIN(AI$38,$D$19),$P$20))-SUM($P915:AH915)</f>
        <v>#VALUE!</v>
      </c>
      <c r="AJ915" s="446" t="e">
        <f>IF(OR($B915="",MIN(AJ$38,$D$19)&lt;MAX($P$708*($B915+IF($R$17="Distrato",$I$38-1,0)),IF(AND($L$711=0,$P$708=0),"",$L$711-1),IF($R$17="Distrato",$E915,0))),0,YEARFRAC(MAX($P$708*($B915+IF($R$17="Distrato",$I$38-1,0)),IF(AND($L$711=0,$P$708=0),"",$L$711-1),IF($R$17="Distrato",$E915,0)),MIN(AJ$38,$D$19),$P$20))-SUM($P915:AI915)</f>
        <v>#VALUE!</v>
      </c>
      <c r="AK915" s="446" t="e">
        <f>IF(OR($B915="",MIN(AK$38,$D$19)&lt;MAX($P$708*($B915+IF($R$17="Distrato",$I$38-1,0)),IF(AND($L$711=0,$P$708=0),"",$L$711-1),IF($R$17="Distrato",$E915,0))),0,YEARFRAC(MAX($P$708*($B915+IF($R$17="Distrato",$I$38-1,0)),IF(AND($L$711=0,$P$708=0),"",$L$711-1),IF($R$17="Distrato",$E915,0)),MIN(AK$38,$D$19),$P$20))-SUM($P915:AJ915)</f>
        <v>#VALUE!</v>
      </c>
      <c r="AL915" s="446" t="e">
        <f>IF(OR($B915="",MIN(AL$38,$D$19)&lt;MAX($P$708*($B915+IF($R$17="Distrato",$I$38-1,0)),IF(AND($L$711=0,$P$708=0),"",$L$711-1),IF($R$17="Distrato",$E915,0))),0,YEARFRAC(MAX($P$708*($B915+IF($R$17="Distrato",$I$38-1,0)),IF(AND($L$711=0,$P$708=0),"",$L$711-1),IF($R$17="Distrato",$E915,0)),MIN(AL$38,$D$19),$P$20))-SUM($P915:AK915)</f>
        <v>#VALUE!</v>
      </c>
      <c r="AM915" s="446" t="e">
        <f>IF(OR($B915="",MIN(AM$38,$D$19)&lt;MAX($P$708*($B915+IF($R$17="Distrato",$I$38-1,0)),IF(AND($L$711=0,$P$708=0),"",$L$711-1),IF($R$17="Distrato",$E915,0))),0,YEARFRAC(MAX($P$708*($B915+IF($R$17="Distrato",$I$38-1,0)),IF(AND($L$711=0,$P$708=0),"",$L$711-1),IF($R$17="Distrato",$E915,0)),MIN(AM$38,$D$19),$P$20))-SUM($P915:AL915)</f>
        <v>#VALUE!</v>
      </c>
      <c r="AN915" s="446" t="e">
        <f>IF(OR($B915="",MIN(AN$38,$D$19)&lt;MAX($P$708*($B915+IF($R$17="Distrato",$I$38-1,0)),IF(AND($L$711=0,$P$708=0),"",$L$711-1),IF($R$17="Distrato",$E915,0))),0,YEARFRAC(MAX($P$708*($B915+IF($R$17="Distrato",$I$38-1,0)),IF(AND($L$711=0,$P$708=0),"",$L$711-1),IF($R$17="Distrato",$E915,0)),MIN(AN$38,$D$19),$P$20))-SUM($P915:AM915)</f>
        <v>#VALUE!</v>
      </c>
      <c r="AO915" s="446" t="e">
        <f>IF(OR($B915="",MIN(AO$38,$D$19)&lt;MAX($P$708*($B915+IF($R$17="Distrato",$I$38-1,0)),IF(AND($L$711=0,$P$708=0),"",$L$711-1),IF($R$17="Distrato",$E915,0))),0,YEARFRAC(MAX($P$708*($B915+IF($R$17="Distrato",$I$38-1,0)),IF(AND($L$711=0,$P$708=0),"",$L$711-1),IF($R$17="Distrato",$E915,0)),MIN(AO$38,$D$19),$P$20))-SUM($P915:AN915)</f>
        <v>#VALUE!</v>
      </c>
      <c r="AP915" s="446" t="e">
        <f>IF(OR($B915="",MIN(AP$38,$D$19)&lt;MAX($P$708*($B915+IF($R$17="Distrato",$I$38-1,0)),IF(AND($L$711=0,$P$708=0),"",$L$711-1),IF($R$17="Distrato",$E915,0))),0,YEARFRAC(MAX($P$708*($B915+IF($R$17="Distrato",$I$38-1,0)),IF(AND($L$711=0,$P$708=0),"",$L$711-1),IF($R$17="Distrato",$E915,0)),MIN(AP$38,$D$19),$P$20))-SUM($P915:AO915)</f>
        <v>#VALUE!</v>
      </c>
      <c r="AQ915" s="446" t="e">
        <f>IF(OR($B915="",MIN(AQ$38,$D$19)&lt;MAX($P$708*($B915+IF($R$17="Distrato",$I$38-1,0)),IF(AND($L$711=0,$P$708=0),"",$L$711-1),IF($R$17="Distrato",$E915,0))),0,YEARFRAC(MAX($P$708*($B915+IF($R$17="Distrato",$I$38-1,0)),IF(AND($L$711=0,$P$708=0),"",$L$711-1),IF($R$17="Distrato",$E915,0)),MIN(AQ$38,$D$19),$P$20))-SUM($P915:AP915)</f>
        <v>#VALUE!</v>
      </c>
      <c r="AR915" s="446" t="e">
        <f>IF(OR($B915="",MIN(AR$38,$D$19)&lt;MAX($P$708*($B915+IF($R$17="Distrato",$I$38-1,0)),IF(AND($L$711=0,$P$708=0),"",$L$711-1),IF($R$17="Distrato",$E915,0))),0,YEARFRAC(MAX($P$708*($B915+IF($R$17="Distrato",$I$38-1,0)),IF(AND($L$711=0,$P$708=0),"",$L$711-1),IF($R$17="Distrato",$E915,0)),MIN(AR$38,$D$19),$P$20))-SUM($P915:AQ915)</f>
        <v>#VALUE!</v>
      </c>
      <c r="AS915" s="446" t="e">
        <f>IF(OR($B915="",MIN(AS$38,$D$19)&lt;MAX($P$708*($B915+IF($R$17="Distrato",$I$38-1,0)),IF(AND($L$711=0,$P$708=0),"",$L$711-1),IF($R$17="Distrato",$E915,0))),0,YEARFRAC(MAX($P$708*($B915+IF($R$17="Distrato",$I$38-1,0)),IF(AND($L$711=0,$P$708=0),"",$L$711-1),IF($R$17="Distrato",$E915,0)),MIN(AS$38,$D$19),$P$20))-SUM($P915:AR915)</f>
        <v>#VALUE!</v>
      </c>
      <c r="AT915" s="446" t="e">
        <f>IF(OR($B915="",MIN(AT$38,$D$19)&lt;MAX($P$708*($B915+IF($R$17="Distrato",$I$38-1,0)),IF(AND($L$711=0,$P$708=0),"",$L$711-1),IF($R$17="Distrato",$E915,0))),0,YEARFRAC(MAX($P$708*($B915+IF($R$17="Distrato",$I$38-1,0)),IF(AND($L$711=0,$P$708=0),"",$L$711-1),IF($R$17="Distrato",$E915,0)),MIN(AT$38,$D$19),$P$20))-SUM($P915:AS915)</f>
        <v>#VALUE!</v>
      </c>
      <c r="AU915" s="446" t="e">
        <f>IF(OR($B915="",MIN(AU$38,$D$19)&lt;MAX($P$708*($B915+IF($R$17="Distrato",$I$38-1,0)),IF(AND($L$711=0,$P$708=0),"",$L$711-1),IF($R$17="Distrato",$E915,0))),0,YEARFRAC(MAX($P$708*($B915+IF($R$17="Distrato",$I$38-1,0)),IF(AND($L$711=0,$P$708=0),"",$L$711-1),IF($R$17="Distrato",$E915,0)),MIN(AU$38,$D$19),$P$20))-SUM($P915:AT915)</f>
        <v>#VALUE!</v>
      </c>
      <c r="AV915" s="446" t="e">
        <f>IF(OR($B915="",MIN(AV$38,$D$19)&lt;MAX($P$708*($B915+IF($R$17="Distrato",$I$38-1,0)),IF(AND($L$711=0,$P$708=0),"",$L$711-1),IF($R$17="Distrato",$E915,0))),0,YEARFRAC(MAX($P$708*($B915+IF($R$17="Distrato",$I$38-1,0)),IF(AND($L$711=0,$P$708=0),"",$L$711-1),IF($R$17="Distrato",$E915,0)),MIN(AV$38,$D$19),$P$20))-SUM($P915:AU915)</f>
        <v>#VALUE!</v>
      </c>
      <c r="AW915" s="446" t="e">
        <f>IF(OR($B915="",MIN(AW$38,$D$19)&lt;MAX($P$708*($B915+IF($R$17="Distrato",$I$38-1,0)),IF(AND($L$711=0,$P$708=0),"",$L$711-1),IF($R$17="Distrato",$E915,0))),0,YEARFRAC(MAX($P$708*($B915+IF($R$17="Distrato",$I$38-1,0)),IF(AND($L$711=0,$P$708=0),"",$L$711-1),IF($R$17="Distrato",$E915,0)),MIN(AW$38,$D$19),$P$20))-SUM($P915:AV915)</f>
        <v>#VALUE!</v>
      </c>
      <c r="AX915" s="446" t="e">
        <f>IF(OR($B915="",MIN(AX$38,$D$19)&lt;MAX($P$708*($B915+IF($R$17="Distrato",$I$38-1,0)),IF(AND($L$711=0,$P$708=0),"",$L$711-1),IF($R$17="Distrato",$E915,0))),0,YEARFRAC(MAX($P$708*($B915+IF($R$17="Distrato",$I$38-1,0)),IF(AND($L$711=0,$P$708=0),"",$L$711-1),IF($R$17="Distrato",$E915,0)),MIN(AX$38,$D$19),$P$20))-SUM($P915:AW915)</f>
        <v>#VALUE!</v>
      </c>
      <c r="AY915" s="446" t="e">
        <f>IF(OR($B915="",MIN(AY$38,$D$19)&lt;MAX($P$708*($B915+IF($R$17="Distrato",$I$38-1,0)),IF(AND($L$711=0,$P$708=0),"",$L$711-1),IF($R$17="Distrato",$E915,0))),0,YEARFRAC(MAX($P$708*($B915+IF($R$17="Distrato",$I$38-1,0)),IF(AND($L$711=0,$P$708=0),"",$L$711-1),IF($R$17="Distrato",$E915,0)),MIN(AY$38,$D$19),$P$20))-SUM($P915:AX915)</f>
        <v>#VALUE!</v>
      </c>
      <c r="AZ915" s="446" t="e">
        <f>IF(OR($B915="",MIN(AZ$38,$D$19)&lt;MAX($P$708*($B915+IF($R$17="Distrato",$I$38-1,0)),IF(AND($L$711=0,$P$708=0),"",$L$711-1),IF($R$17="Distrato",$E915,0))),0,YEARFRAC(MAX($P$708*($B915+IF($R$17="Distrato",$I$38-1,0)),IF(AND($L$711=0,$P$708=0),"",$L$711-1),IF($R$17="Distrato",$E915,0)),MIN(AZ$38,$D$19),$P$20))-SUM($P915:AY915)</f>
        <v>#VALUE!</v>
      </c>
      <c r="BA915" s="446" t="e">
        <f>IF(OR($B915="",MIN(BA$38,$D$19)&lt;MAX($P$708*($B915+IF($R$17="Distrato",$I$38-1,0)),IF(AND($L$711=0,$P$708=0),"",$L$711-1),IF($R$17="Distrato",$E915,0))),0,YEARFRAC(MAX($P$708*($B915+IF($R$17="Distrato",$I$38-1,0)),IF(AND($L$711=0,$P$708=0),"",$L$711-1),IF($R$17="Distrato",$E915,0)),MIN(BA$38,$D$19),$P$20))-SUM($P915:AZ915)</f>
        <v>#VALUE!</v>
      </c>
      <c r="BB915" s="447"/>
    </row>
    <row r="916" spans="1:54" s="446" customFormat="1" ht="11.25" hidden="1" customHeight="1" x14ac:dyDescent="0.2">
      <c r="A916" s="235"/>
      <c r="B916" s="236"/>
      <c r="C916" s="29" t="str">
        <f>IF(B916="","",IF($L$709=$BL$25,VLOOKUP(DATE(YEAR($D$19),MONTH($D$19)-1,1),ÍNDICES!$A:$DE,HLOOKUP($BL$25,ÍNDICES!$B$3:$T$4,2)+11)-VLOOKUP(B916,ÍNDICES!$A:$DE,HLOOKUP($BL$25,ÍNDICES!$B$3:$T$4,2)+11)+1%,IF(C$712=$W$26,$J$35,IF(ISERROR(IF(B916&gt;$D$19,1,VLOOKUP(DATE(YEAR(B916),MONTH(B916)+IF($C$709=$S$23,1,0),1),ÍNDICES!$A:$DE,$Z$709+1))),"",IF(B916&gt;$D$19,1,VLOOKUP(DATE(YEAR(B916),MONTH(B916)+IF($C$709=$S$23,1,0),1),ÍNDICES!$A:$DE,$Z$709+1))))))</f>
        <v/>
      </c>
      <c r="D916" s="155"/>
      <c r="E916" s="88"/>
      <c r="F916" s="88"/>
      <c r="G916" s="88"/>
      <c r="H916" s="118"/>
      <c r="I916" s="182">
        <f t="shared" si="136"/>
        <v>0</v>
      </c>
      <c r="J916" s="20">
        <f t="shared" ca="1" si="137"/>
        <v>0</v>
      </c>
      <c r="K916" s="5">
        <f t="shared" ca="1" si="138"/>
        <v>0</v>
      </c>
      <c r="L916" s="61">
        <f t="shared" ca="1" si="139"/>
        <v>0</v>
      </c>
      <c r="M916" s="64">
        <f t="shared" si="140"/>
        <v>0</v>
      </c>
      <c r="N916" s="151"/>
      <c r="O916" s="5">
        <f t="shared" ca="1" si="141"/>
        <v>0</v>
      </c>
      <c r="P916" s="446" t="e">
        <f t="shared" si="142"/>
        <v>#VALUE!</v>
      </c>
      <c r="Q916" s="446" t="e">
        <f>IF(OR($B916="",MIN(Q$38,$D$19)&lt;MAX($P$708*($B916+IF($R$17="Distrato",$I$38-1,0)),IF(AND($L$711=0,$P$708=0),"",$L$711-1),IF($R$17="Distrato",$E916,0))),0,YEARFRAC(MAX($P$708*($B916+IF($R$17="Distrato",$I$38-1,0)),IF(AND($L$711=0,$P$708=0),"",$L$711-1),IF($R$17="Distrato",$E916,0)),MIN(Q$38,$D$19),$P$20))-SUM($P916:P916)</f>
        <v>#VALUE!</v>
      </c>
      <c r="R916" s="446" t="e">
        <f>IF(OR($B916="",MIN(R$38,$D$19)&lt;MAX($P$708*($B916+IF($R$17="Distrato",$I$38-1,0)),IF(AND($L$711=0,$P$708=0),"",$L$711-1),IF($R$17="Distrato",$E916,0))),0,YEARFRAC(MAX($P$708*($B916+IF($R$17="Distrato",$I$38-1,0)),IF(AND($L$711=0,$P$708=0),"",$L$711-1),IF($R$17="Distrato",$E916,0)),MIN(R$38,$D$19),$P$20))-SUM($P916:Q916)</f>
        <v>#VALUE!</v>
      </c>
      <c r="S916" s="446" t="e">
        <f>IF(OR($B916="",MIN(S$38,$D$19)&lt;MAX($P$708*($B916+IF($R$17="Distrato",$I$38-1,0)),IF(AND($L$711=0,$P$708=0),"",$L$711-1),IF($R$17="Distrato",$E916,0))),0,YEARFRAC(MAX($P$708*($B916+IF($R$17="Distrato",$I$38-1,0)),IF(AND($L$711=0,$P$708=0),"",$L$711-1),IF($R$17="Distrato",$E916,0)),MIN(S$38,$D$19),$P$20))-SUM($P916:R916)</f>
        <v>#VALUE!</v>
      </c>
      <c r="T916" s="446" t="e">
        <f>IF(OR($B916="",MIN(T$38,$D$19)&lt;MAX($P$708*($B916+IF($R$17="Distrato",$I$38-1,0)),IF(AND($L$711=0,$P$708=0),"",$L$711-1),IF($R$17="Distrato",$E916,0))),0,YEARFRAC(MAX($P$708*($B916+IF($R$17="Distrato",$I$38-1,0)),IF(AND($L$711=0,$P$708=0),"",$L$711-1),IF($R$17="Distrato",$E916,0)),MIN(T$38,$D$19),$P$20))-SUM($P916:S916)</f>
        <v>#VALUE!</v>
      </c>
      <c r="U916" s="446" t="e">
        <f>IF(OR($B916="",MIN(U$38,$D$19)&lt;MAX($P$708*($B916+IF($R$17="Distrato",$I$38-1,0)),IF(AND($L$711=0,$P$708=0),"",$L$711-1),IF($R$17="Distrato",$E916,0))),0,YEARFRAC(MAX($P$708*($B916+IF($R$17="Distrato",$I$38-1,0)),IF(AND($L$711=0,$P$708=0),"",$L$711-1),IF($R$17="Distrato",$E916,0)),MIN(U$38,$D$19),$P$20))-SUM($P916:T916)</f>
        <v>#VALUE!</v>
      </c>
      <c r="V916" s="446" t="e">
        <f>IF(OR($B916="",MIN(V$38,$D$19)&lt;MAX($P$708*($B916+IF($R$17="Distrato",$I$38-1,0)),IF(AND($L$711=0,$P$708=0),"",$L$711-1),IF($R$17="Distrato",$E916,0))),0,YEARFRAC(MAX($P$708*($B916+IF($R$17="Distrato",$I$38-1,0)),IF(AND($L$711=0,$P$708=0),"",$L$711-1),IF($R$17="Distrato",$E916,0)),MIN(V$38,$D$19),$P$20))-SUM($P916:U916)</f>
        <v>#VALUE!</v>
      </c>
      <c r="W916" s="446" t="e">
        <f>IF(OR($B916="",MIN(W$38,$D$19)&lt;MAX($P$708*($B916+IF($R$17="Distrato",$I$38-1,0)),IF(AND($L$711=0,$P$708=0),"",$L$711-1),IF($R$17="Distrato",$E916,0))),0,YEARFRAC(MAX($P$708*($B916+IF($R$17="Distrato",$I$38-1,0)),IF(AND($L$711=0,$P$708=0),"",$L$711-1),IF($R$17="Distrato",$E916,0)),MIN(W$38,$D$19),$P$20))-SUM($P916:V916)</f>
        <v>#VALUE!</v>
      </c>
      <c r="X916" s="446" t="e">
        <f>IF(OR($B916="",MIN(X$38,$D$19)&lt;MAX($P$708*($B916+IF($R$17="Distrato",$I$38-1,0)),IF(AND($L$711=0,$P$708=0),"",$L$711-1),IF($R$17="Distrato",$E916,0))),0,YEARFRAC(MAX($P$708*($B916+IF($R$17="Distrato",$I$38-1,0)),IF(AND($L$711=0,$P$708=0),"",$L$711-1),IF($R$17="Distrato",$E916,0)),MIN(X$38,$D$19),$P$20))-SUM($P916:W916)</f>
        <v>#VALUE!</v>
      </c>
      <c r="Y916" s="446" t="e">
        <f>IF(OR($B916="",MIN(Y$38,$D$19)&lt;MAX($P$708*($B916+IF($R$17="Distrato",$I$38-1,0)),IF(AND($L$711=0,$P$708=0),"",$L$711-1),IF($R$17="Distrato",$E916,0))),0,YEARFRAC(MAX($P$708*($B916+IF($R$17="Distrato",$I$38-1,0)),IF(AND($L$711=0,$P$708=0),"",$L$711-1),IF($R$17="Distrato",$E916,0)),MIN(Y$38,$D$19),$P$20))-SUM($P916:X916)</f>
        <v>#VALUE!</v>
      </c>
      <c r="Z916" s="446" t="e">
        <f>IF(OR($B916="",MIN(Z$38,$D$19)&lt;MAX($P$708*($B916+IF($R$17="Distrato",$I$38-1,0)),IF(AND($L$711=0,$P$708=0),"",$L$711-1),IF($R$17="Distrato",$E916,0))),0,YEARFRAC(MAX($P$708*($B916+IF($R$17="Distrato",$I$38-1,0)),IF(AND($L$711=0,$P$708=0),"",$L$711-1),IF($R$17="Distrato",$E916,0)),MIN(Z$38,$D$19),$P$20))-SUM($P916:Y916)</f>
        <v>#VALUE!</v>
      </c>
      <c r="AA916" s="446" t="e">
        <f>IF(OR($B916="",MIN(AA$38,$D$19)&lt;MAX($P$708*($B916+IF($R$17="Distrato",$I$38-1,0)),IF(AND($L$711=0,$P$708=0),"",$L$711-1),IF($R$17="Distrato",$E916,0))),0,YEARFRAC(MAX($P$708*($B916+IF($R$17="Distrato",$I$38-1,0)),IF(AND($L$711=0,$P$708=0),"",$L$711-1),IF($R$17="Distrato",$E916,0)),MIN(AA$38,$D$19),$P$20))-SUM($P916:Z916)</f>
        <v>#VALUE!</v>
      </c>
      <c r="AB916" s="446" t="e">
        <f>IF(OR($B916="",MIN(AB$38,$D$19)&lt;MAX($P$708*($B916+IF($R$17="Distrato",$I$38-1,0)),IF(AND($L$711=0,$P$708=0),"",$L$711-1),IF($R$17="Distrato",$E916,0))),0,YEARFRAC(MAX($P$708*($B916+IF($R$17="Distrato",$I$38-1,0)),IF(AND($L$711=0,$P$708=0),"",$L$711-1),IF($R$17="Distrato",$E916,0)),MIN(AB$38,$D$19),$P$20))-SUM($P916:AA916)</f>
        <v>#VALUE!</v>
      </c>
      <c r="AC916" s="446" t="e">
        <f>IF(OR($B916="",MIN(AC$38,$D$19)&lt;MAX($P$708*($B916+IF($R$17="Distrato",$I$38-1,0)),IF(AND($L$711=0,$P$708=0),"",$L$711-1),IF($R$17="Distrato",$E916,0))),0,YEARFRAC(MAX($P$708*($B916+IF($R$17="Distrato",$I$38-1,0)),IF(AND($L$711=0,$P$708=0),"",$L$711-1),IF($R$17="Distrato",$E916,0)),MIN(AC$38,$D$19),$P$20))-SUM($P916:AB916)</f>
        <v>#VALUE!</v>
      </c>
      <c r="AD916" s="446" t="e">
        <f>IF(OR($B916="",MIN(AD$38,$D$19)&lt;MAX($P$708*($B916+IF($R$17="Distrato",$I$38-1,0)),IF(AND($L$711=0,$P$708=0),"",$L$711-1),IF($R$17="Distrato",$E916,0))),0,YEARFRAC(MAX($P$708*($B916+IF($R$17="Distrato",$I$38-1,0)),IF(AND($L$711=0,$P$708=0),"",$L$711-1),IF($R$17="Distrato",$E916,0)),MIN(AD$38,$D$19),$P$20))-SUM($P916:AC916)</f>
        <v>#VALUE!</v>
      </c>
      <c r="AE916" s="446" t="e">
        <f>IF(OR($B916="",MIN(AE$38,$D$19)&lt;MAX($P$708*($B916+IF($R$17="Distrato",$I$38-1,0)),IF(AND($L$711=0,$P$708=0),"",$L$711-1),IF($R$17="Distrato",$E916,0))),0,YEARFRAC(MAX($P$708*($B916+IF($R$17="Distrato",$I$38-1,0)),IF(AND($L$711=0,$P$708=0),"",$L$711-1),IF($R$17="Distrato",$E916,0)),MIN(AE$38,$D$19),$P$20))-SUM($P916:AD916)</f>
        <v>#VALUE!</v>
      </c>
      <c r="AF916" s="446" t="e">
        <f>IF(OR($B916="",MIN(AF$38,$D$19)&lt;MAX($P$708*($B916+IF($R$17="Distrato",$I$38-1,0)),IF(AND($L$711=0,$P$708=0),"",$L$711-1),IF($R$17="Distrato",$E916,0))),0,YEARFRAC(MAX($P$708*($B916+IF($R$17="Distrato",$I$38-1,0)),IF(AND($L$711=0,$P$708=0),"",$L$711-1),IF($R$17="Distrato",$E916,0)),MIN(AF$38,$D$19),$P$20))-SUM($P916:AE916)</f>
        <v>#VALUE!</v>
      </c>
      <c r="AG916" s="446" t="e">
        <f>IF(OR($B916="",MIN(AG$38,$D$19)&lt;MAX($P$708*($B916+IF($R$17="Distrato",$I$38-1,0)),IF(AND($L$711=0,$P$708=0),"",$L$711-1),IF($R$17="Distrato",$E916,0))),0,YEARFRAC(MAX($P$708*($B916+IF($R$17="Distrato",$I$38-1,0)),IF(AND($L$711=0,$P$708=0),"",$L$711-1),IF($R$17="Distrato",$E916,0)),MIN(AG$38,$D$19),$P$20))-SUM($P916:AF916)</f>
        <v>#VALUE!</v>
      </c>
      <c r="AH916" s="446" t="e">
        <f>IF(OR($B916="",MIN(AH$38,$D$19)&lt;MAX($P$708*($B916+IF($R$17="Distrato",$I$38-1,0)),IF(AND($L$711=0,$P$708=0),"",$L$711-1),IF($R$17="Distrato",$E916,0))),0,YEARFRAC(MAX($P$708*($B916+IF($R$17="Distrato",$I$38-1,0)),IF(AND($L$711=0,$P$708=0),"",$L$711-1),IF($R$17="Distrato",$E916,0)),MIN(AH$38,$D$19),$P$20))-SUM($P916:AG916)</f>
        <v>#VALUE!</v>
      </c>
      <c r="AI916" s="446" t="e">
        <f>IF(OR($B916="",MIN(AI$38,$D$19)&lt;MAX($P$708*($B916+IF($R$17="Distrato",$I$38-1,0)),IF(AND($L$711=0,$P$708=0),"",$L$711-1),IF($R$17="Distrato",$E916,0))),0,YEARFRAC(MAX($P$708*($B916+IF($R$17="Distrato",$I$38-1,0)),IF(AND($L$711=0,$P$708=0),"",$L$711-1),IF($R$17="Distrato",$E916,0)),MIN(AI$38,$D$19),$P$20))-SUM($P916:AH916)</f>
        <v>#VALUE!</v>
      </c>
      <c r="AJ916" s="446" t="e">
        <f>IF(OR($B916="",MIN(AJ$38,$D$19)&lt;MAX($P$708*($B916+IF($R$17="Distrato",$I$38-1,0)),IF(AND($L$711=0,$P$708=0),"",$L$711-1),IF($R$17="Distrato",$E916,0))),0,YEARFRAC(MAX($P$708*($B916+IF($R$17="Distrato",$I$38-1,0)),IF(AND($L$711=0,$P$708=0),"",$L$711-1),IF($R$17="Distrato",$E916,0)),MIN(AJ$38,$D$19),$P$20))-SUM($P916:AI916)</f>
        <v>#VALUE!</v>
      </c>
      <c r="AK916" s="446" t="e">
        <f>IF(OR($B916="",MIN(AK$38,$D$19)&lt;MAX($P$708*($B916+IF($R$17="Distrato",$I$38-1,0)),IF(AND($L$711=0,$P$708=0),"",$L$711-1),IF($R$17="Distrato",$E916,0))),0,YEARFRAC(MAX($P$708*($B916+IF($R$17="Distrato",$I$38-1,0)),IF(AND($L$711=0,$P$708=0),"",$L$711-1),IF($R$17="Distrato",$E916,0)),MIN(AK$38,$D$19),$P$20))-SUM($P916:AJ916)</f>
        <v>#VALUE!</v>
      </c>
      <c r="AL916" s="446" t="e">
        <f>IF(OR($B916="",MIN(AL$38,$D$19)&lt;MAX($P$708*($B916+IF($R$17="Distrato",$I$38-1,0)),IF(AND($L$711=0,$P$708=0),"",$L$711-1),IF($R$17="Distrato",$E916,0))),0,YEARFRAC(MAX($P$708*($B916+IF($R$17="Distrato",$I$38-1,0)),IF(AND($L$711=0,$P$708=0),"",$L$711-1),IF($R$17="Distrato",$E916,0)),MIN(AL$38,$D$19),$P$20))-SUM($P916:AK916)</f>
        <v>#VALUE!</v>
      </c>
      <c r="AM916" s="446" t="e">
        <f>IF(OR($B916="",MIN(AM$38,$D$19)&lt;MAX($P$708*($B916+IF($R$17="Distrato",$I$38-1,0)),IF(AND($L$711=0,$P$708=0),"",$L$711-1),IF($R$17="Distrato",$E916,0))),0,YEARFRAC(MAX($P$708*($B916+IF($R$17="Distrato",$I$38-1,0)),IF(AND($L$711=0,$P$708=0),"",$L$711-1),IF($R$17="Distrato",$E916,0)),MIN(AM$38,$D$19),$P$20))-SUM($P916:AL916)</f>
        <v>#VALUE!</v>
      </c>
      <c r="AN916" s="446" t="e">
        <f>IF(OR($B916="",MIN(AN$38,$D$19)&lt;MAX($P$708*($B916+IF($R$17="Distrato",$I$38-1,0)),IF(AND($L$711=0,$P$708=0),"",$L$711-1),IF($R$17="Distrato",$E916,0))),0,YEARFRAC(MAX($P$708*($B916+IF($R$17="Distrato",$I$38-1,0)),IF(AND($L$711=0,$P$708=0),"",$L$711-1),IF($R$17="Distrato",$E916,0)),MIN(AN$38,$D$19),$P$20))-SUM($P916:AM916)</f>
        <v>#VALUE!</v>
      </c>
      <c r="AO916" s="446" t="e">
        <f>IF(OR($B916="",MIN(AO$38,$D$19)&lt;MAX($P$708*($B916+IF($R$17="Distrato",$I$38-1,0)),IF(AND($L$711=0,$P$708=0),"",$L$711-1),IF($R$17="Distrato",$E916,0))),0,YEARFRAC(MAX($P$708*($B916+IF($R$17="Distrato",$I$38-1,0)),IF(AND($L$711=0,$P$708=0),"",$L$711-1),IF($R$17="Distrato",$E916,0)),MIN(AO$38,$D$19),$P$20))-SUM($P916:AN916)</f>
        <v>#VALUE!</v>
      </c>
      <c r="AP916" s="446" t="e">
        <f>IF(OR($B916="",MIN(AP$38,$D$19)&lt;MAX($P$708*($B916+IF($R$17="Distrato",$I$38-1,0)),IF(AND($L$711=0,$P$708=0),"",$L$711-1),IF($R$17="Distrato",$E916,0))),0,YEARFRAC(MAX($P$708*($B916+IF($R$17="Distrato",$I$38-1,0)),IF(AND($L$711=0,$P$708=0),"",$L$711-1),IF($R$17="Distrato",$E916,0)),MIN(AP$38,$D$19),$P$20))-SUM($P916:AO916)</f>
        <v>#VALUE!</v>
      </c>
      <c r="AQ916" s="446" t="e">
        <f>IF(OR($B916="",MIN(AQ$38,$D$19)&lt;MAX($P$708*($B916+IF($R$17="Distrato",$I$38-1,0)),IF(AND($L$711=0,$P$708=0),"",$L$711-1),IF($R$17="Distrato",$E916,0))),0,YEARFRAC(MAX($P$708*($B916+IF($R$17="Distrato",$I$38-1,0)),IF(AND($L$711=0,$P$708=0),"",$L$711-1),IF($R$17="Distrato",$E916,0)),MIN(AQ$38,$D$19),$P$20))-SUM($P916:AP916)</f>
        <v>#VALUE!</v>
      </c>
      <c r="AR916" s="446" t="e">
        <f>IF(OR($B916="",MIN(AR$38,$D$19)&lt;MAX($P$708*($B916+IF($R$17="Distrato",$I$38-1,0)),IF(AND($L$711=0,$P$708=0),"",$L$711-1),IF($R$17="Distrato",$E916,0))),0,YEARFRAC(MAX($P$708*($B916+IF($R$17="Distrato",$I$38-1,0)),IF(AND($L$711=0,$P$708=0),"",$L$711-1),IF($R$17="Distrato",$E916,0)),MIN(AR$38,$D$19),$P$20))-SUM($P916:AQ916)</f>
        <v>#VALUE!</v>
      </c>
      <c r="AS916" s="446" t="e">
        <f>IF(OR($B916="",MIN(AS$38,$D$19)&lt;MAX($P$708*($B916+IF($R$17="Distrato",$I$38-1,0)),IF(AND($L$711=0,$P$708=0),"",$L$711-1),IF($R$17="Distrato",$E916,0))),0,YEARFRAC(MAX($P$708*($B916+IF($R$17="Distrato",$I$38-1,0)),IF(AND($L$711=0,$P$708=0),"",$L$711-1),IF($R$17="Distrato",$E916,0)),MIN(AS$38,$D$19),$P$20))-SUM($P916:AR916)</f>
        <v>#VALUE!</v>
      </c>
      <c r="AT916" s="446" t="e">
        <f>IF(OR($B916="",MIN(AT$38,$D$19)&lt;MAX($P$708*($B916+IF($R$17="Distrato",$I$38-1,0)),IF(AND($L$711=0,$P$708=0),"",$L$711-1),IF($R$17="Distrato",$E916,0))),0,YEARFRAC(MAX($P$708*($B916+IF($R$17="Distrato",$I$38-1,0)),IF(AND($L$711=0,$P$708=0),"",$L$711-1),IF($R$17="Distrato",$E916,0)),MIN(AT$38,$D$19),$P$20))-SUM($P916:AS916)</f>
        <v>#VALUE!</v>
      </c>
      <c r="AU916" s="446" t="e">
        <f>IF(OR($B916="",MIN(AU$38,$D$19)&lt;MAX($P$708*($B916+IF($R$17="Distrato",$I$38-1,0)),IF(AND($L$711=0,$P$708=0),"",$L$711-1),IF($R$17="Distrato",$E916,0))),0,YEARFRAC(MAX($P$708*($B916+IF($R$17="Distrato",$I$38-1,0)),IF(AND($L$711=0,$P$708=0),"",$L$711-1),IF($R$17="Distrato",$E916,0)),MIN(AU$38,$D$19),$P$20))-SUM($P916:AT916)</f>
        <v>#VALUE!</v>
      </c>
      <c r="AV916" s="446" t="e">
        <f>IF(OR($B916="",MIN(AV$38,$D$19)&lt;MAX($P$708*($B916+IF($R$17="Distrato",$I$38-1,0)),IF(AND($L$711=0,$P$708=0),"",$L$711-1),IF($R$17="Distrato",$E916,0))),0,YEARFRAC(MAX($P$708*($B916+IF($R$17="Distrato",$I$38-1,0)),IF(AND($L$711=0,$P$708=0),"",$L$711-1),IF($R$17="Distrato",$E916,0)),MIN(AV$38,$D$19),$P$20))-SUM($P916:AU916)</f>
        <v>#VALUE!</v>
      </c>
      <c r="AW916" s="446" t="e">
        <f>IF(OR($B916="",MIN(AW$38,$D$19)&lt;MAX($P$708*($B916+IF($R$17="Distrato",$I$38-1,0)),IF(AND($L$711=0,$P$708=0),"",$L$711-1),IF($R$17="Distrato",$E916,0))),0,YEARFRAC(MAX($P$708*($B916+IF($R$17="Distrato",$I$38-1,0)),IF(AND($L$711=0,$P$708=0),"",$L$711-1),IF($R$17="Distrato",$E916,0)),MIN(AW$38,$D$19),$P$20))-SUM($P916:AV916)</f>
        <v>#VALUE!</v>
      </c>
      <c r="AX916" s="446" t="e">
        <f>IF(OR($B916="",MIN(AX$38,$D$19)&lt;MAX($P$708*($B916+IF($R$17="Distrato",$I$38-1,0)),IF(AND($L$711=0,$P$708=0),"",$L$711-1),IF($R$17="Distrato",$E916,0))),0,YEARFRAC(MAX($P$708*($B916+IF($R$17="Distrato",$I$38-1,0)),IF(AND($L$711=0,$P$708=0),"",$L$711-1),IF($R$17="Distrato",$E916,0)),MIN(AX$38,$D$19),$P$20))-SUM($P916:AW916)</f>
        <v>#VALUE!</v>
      </c>
      <c r="AY916" s="446" t="e">
        <f>IF(OR($B916="",MIN(AY$38,$D$19)&lt;MAX($P$708*($B916+IF($R$17="Distrato",$I$38-1,0)),IF(AND($L$711=0,$P$708=0),"",$L$711-1),IF($R$17="Distrato",$E916,0))),0,YEARFRAC(MAX($P$708*($B916+IF($R$17="Distrato",$I$38-1,0)),IF(AND($L$711=0,$P$708=0),"",$L$711-1),IF($R$17="Distrato",$E916,0)),MIN(AY$38,$D$19),$P$20))-SUM($P916:AX916)</f>
        <v>#VALUE!</v>
      </c>
      <c r="AZ916" s="446" t="e">
        <f>IF(OR($B916="",MIN(AZ$38,$D$19)&lt;MAX($P$708*($B916+IF($R$17="Distrato",$I$38-1,0)),IF(AND($L$711=0,$P$708=0),"",$L$711-1),IF($R$17="Distrato",$E916,0))),0,YEARFRAC(MAX($P$708*($B916+IF($R$17="Distrato",$I$38-1,0)),IF(AND($L$711=0,$P$708=0),"",$L$711-1),IF($R$17="Distrato",$E916,0)),MIN(AZ$38,$D$19),$P$20))-SUM($P916:AY916)</f>
        <v>#VALUE!</v>
      </c>
      <c r="BA916" s="446" t="e">
        <f>IF(OR($B916="",MIN(BA$38,$D$19)&lt;MAX($P$708*($B916+IF($R$17="Distrato",$I$38-1,0)),IF(AND($L$711=0,$P$708=0),"",$L$711-1),IF($R$17="Distrato",$E916,0))),0,YEARFRAC(MAX($P$708*($B916+IF($R$17="Distrato",$I$38-1,0)),IF(AND($L$711=0,$P$708=0),"",$L$711-1),IF($R$17="Distrato",$E916,0)),MIN(BA$38,$D$19),$P$20))-SUM($P916:AZ916)</f>
        <v>#VALUE!</v>
      </c>
      <c r="BB916" s="447"/>
    </row>
    <row r="917" spans="1:54" s="446" customFormat="1" ht="11.25" hidden="1" customHeight="1" x14ac:dyDescent="0.2">
      <c r="A917" s="235"/>
      <c r="B917" s="236"/>
      <c r="C917" s="29" t="str">
        <f>IF(B917="","",IF($L$709=$BL$25,VLOOKUP(DATE(YEAR($D$19),MONTH($D$19)-1,1),ÍNDICES!$A:$DE,HLOOKUP($BL$25,ÍNDICES!$B$3:$T$4,2)+11)-VLOOKUP(B917,ÍNDICES!$A:$DE,HLOOKUP($BL$25,ÍNDICES!$B$3:$T$4,2)+11)+1%,IF(C$712=$W$26,$J$35,IF(ISERROR(IF(B917&gt;$D$19,1,VLOOKUP(DATE(YEAR(B917),MONTH(B917)+IF($C$709=$S$23,1,0),1),ÍNDICES!$A:$DE,$Z$709+1))),"",IF(B917&gt;$D$19,1,VLOOKUP(DATE(YEAR(B917),MONTH(B917)+IF($C$709=$S$23,1,0),1),ÍNDICES!$A:$DE,$Z$709+1))))))</f>
        <v/>
      </c>
      <c r="D917" s="155"/>
      <c r="E917" s="88"/>
      <c r="F917" s="88"/>
      <c r="G917" s="88"/>
      <c r="H917" s="118"/>
      <c r="I917" s="182">
        <f t="shared" si="136"/>
        <v>0</v>
      </c>
      <c r="J917" s="20">
        <f t="shared" ca="1" si="137"/>
        <v>0</v>
      </c>
      <c r="K917" s="5">
        <f t="shared" ca="1" si="138"/>
        <v>0</v>
      </c>
      <c r="L917" s="61">
        <f t="shared" ca="1" si="139"/>
        <v>0</v>
      </c>
      <c r="M917" s="64">
        <f t="shared" si="140"/>
        <v>0</v>
      </c>
      <c r="N917" s="151"/>
      <c r="O917" s="5">
        <f t="shared" ca="1" si="141"/>
        <v>0</v>
      </c>
      <c r="P917" s="446" t="e">
        <f t="shared" si="142"/>
        <v>#VALUE!</v>
      </c>
      <c r="Q917" s="446" t="e">
        <f>IF(OR($B917="",MIN(Q$38,$D$19)&lt;MAX($P$708*($B917+IF($R$17="Distrato",$I$38-1,0)),IF(AND($L$711=0,$P$708=0),"",$L$711-1),IF($R$17="Distrato",$E917,0))),0,YEARFRAC(MAX($P$708*($B917+IF($R$17="Distrato",$I$38-1,0)),IF(AND($L$711=0,$P$708=0),"",$L$711-1),IF($R$17="Distrato",$E917,0)),MIN(Q$38,$D$19),$P$20))-SUM($P917:P917)</f>
        <v>#VALUE!</v>
      </c>
      <c r="R917" s="446" t="e">
        <f>IF(OR($B917="",MIN(R$38,$D$19)&lt;MAX($P$708*($B917+IF($R$17="Distrato",$I$38-1,0)),IF(AND($L$711=0,$P$708=0),"",$L$711-1),IF($R$17="Distrato",$E917,0))),0,YEARFRAC(MAX($P$708*($B917+IF($R$17="Distrato",$I$38-1,0)),IF(AND($L$711=0,$P$708=0),"",$L$711-1),IF($R$17="Distrato",$E917,0)),MIN(R$38,$D$19),$P$20))-SUM($P917:Q917)</f>
        <v>#VALUE!</v>
      </c>
      <c r="S917" s="446" t="e">
        <f>IF(OR($B917="",MIN(S$38,$D$19)&lt;MAX($P$708*($B917+IF($R$17="Distrato",$I$38-1,0)),IF(AND($L$711=0,$P$708=0),"",$L$711-1),IF($R$17="Distrato",$E917,0))),0,YEARFRAC(MAX($P$708*($B917+IF($R$17="Distrato",$I$38-1,0)),IF(AND($L$711=0,$P$708=0),"",$L$711-1),IF($R$17="Distrato",$E917,0)),MIN(S$38,$D$19),$P$20))-SUM($P917:R917)</f>
        <v>#VALUE!</v>
      </c>
      <c r="T917" s="446" t="e">
        <f>IF(OR($B917="",MIN(T$38,$D$19)&lt;MAX($P$708*($B917+IF($R$17="Distrato",$I$38-1,0)),IF(AND($L$711=0,$P$708=0),"",$L$711-1),IF($R$17="Distrato",$E917,0))),0,YEARFRAC(MAX($P$708*($B917+IF($R$17="Distrato",$I$38-1,0)),IF(AND($L$711=0,$P$708=0),"",$L$711-1),IF($R$17="Distrato",$E917,0)),MIN(T$38,$D$19),$P$20))-SUM($P917:S917)</f>
        <v>#VALUE!</v>
      </c>
      <c r="U917" s="446" t="e">
        <f>IF(OR($B917="",MIN(U$38,$D$19)&lt;MAX($P$708*($B917+IF($R$17="Distrato",$I$38-1,0)),IF(AND($L$711=0,$P$708=0),"",$L$711-1),IF($R$17="Distrato",$E917,0))),0,YEARFRAC(MAX($P$708*($B917+IF($R$17="Distrato",$I$38-1,0)),IF(AND($L$711=0,$P$708=0),"",$L$711-1),IF($R$17="Distrato",$E917,0)),MIN(U$38,$D$19),$P$20))-SUM($P917:T917)</f>
        <v>#VALUE!</v>
      </c>
      <c r="V917" s="446" t="e">
        <f>IF(OR($B917="",MIN(V$38,$D$19)&lt;MAX($P$708*($B917+IF($R$17="Distrato",$I$38-1,0)),IF(AND($L$711=0,$P$708=0),"",$L$711-1),IF($R$17="Distrato",$E917,0))),0,YEARFRAC(MAX($P$708*($B917+IF($R$17="Distrato",$I$38-1,0)),IF(AND($L$711=0,$P$708=0),"",$L$711-1),IF($R$17="Distrato",$E917,0)),MIN(V$38,$D$19),$P$20))-SUM($P917:U917)</f>
        <v>#VALUE!</v>
      </c>
      <c r="W917" s="446" t="e">
        <f>IF(OR($B917="",MIN(W$38,$D$19)&lt;MAX($P$708*($B917+IF($R$17="Distrato",$I$38-1,0)),IF(AND($L$711=0,$P$708=0),"",$L$711-1),IF($R$17="Distrato",$E917,0))),0,YEARFRAC(MAX($P$708*($B917+IF($R$17="Distrato",$I$38-1,0)),IF(AND($L$711=0,$P$708=0),"",$L$711-1),IF($R$17="Distrato",$E917,0)),MIN(W$38,$D$19),$P$20))-SUM($P917:V917)</f>
        <v>#VALUE!</v>
      </c>
      <c r="X917" s="446" t="e">
        <f>IF(OR($B917="",MIN(X$38,$D$19)&lt;MAX($P$708*($B917+IF($R$17="Distrato",$I$38-1,0)),IF(AND($L$711=0,$P$708=0),"",$L$711-1),IF($R$17="Distrato",$E917,0))),0,YEARFRAC(MAX($P$708*($B917+IF($R$17="Distrato",$I$38-1,0)),IF(AND($L$711=0,$P$708=0),"",$L$711-1),IF($R$17="Distrato",$E917,0)),MIN(X$38,$D$19),$P$20))-SUM($P917:W917)</f>
        <v>#VALUE!</v>
      </c>
      <c r="Y917" s="446" t="e">
        <f>IF(OR($B917="",MIN(Y$38,$D$19)&lt;MAX($P$708*($B917+IF($R$17="Distrato",$I$38-1,0)),IF(AND($L$711=0,$P$708=0),"",$L$711-1),IF($R$17="Distrato",$E917,0))),0,YEARFRAC(MAX($P$708*($B917+IF($R$17="Distrato",$I$38-1,0)),IF(AND($L$711=0,$P$708=0),"",$L$711-1),IF($R$17="Distrato",$E917,0)),MIN(Y$38,$D$19),$P$20))-SUM($P917:X917)</f>
        <v>#VALUE!</v>
      </c>
      <c r="Z917" s="446" t="e">
        <f>IF(OR($B917="",MIN(Z$38,$D$19)&lt;MAX($P$708*($B917+IF($R$17="Distrato",$I$38-1,0)),IF(AND($L$711=0,$P$708=0),"",$L$711-1),IF($R$17="Distrato",$E917,0))),0,YEARFRAC(MAX($P$708*($B917+IF($R$17="Distrato",$I$38-1,0)),IF(AND($L$711=0,$P$708=0),"",$L$711-1),IF($R$17="Distrato",$E917,0)),MIN(Z$38,$D$19),$P$20))-SUM($P917:Y917)</f>
        <v>#VALUE!</v>
      </c>
      <c r="AA917" s="446" t="e">
        <f>IF(OR($B917="",MIN(AA$38,$D$19)&lt;MAX($P$708*($B917+IF($R$17="Distrato",$I$38-1,0)),IF(AND($L$711=0,$P$708=0),"",$L$711-1),IF($R$17="Distrato",$E917,0))),0,YEARFRAC(MAX($P$708*($B917+IF($R$17="Distrato",$I$38-1,0)),IF(AND($L$711=0,$P$708=0),"",$L$711-1),IF($R$17="Distrato",$E917,0)),MIN(AA$38,$D$19),$P$20))-SUM($P917:Z917)</f>
        <v>#VALUE!</v>
      </c>
      <c r="AB917" s="446" t="e">
        <f>IF(OR($B917="",MIN(AB$38,$D$19)&lt;MAX($P$708*($B917+IF($R$17="Distrato",$I$38-1,0)),IF(AND($L$711=0,$P$708=0),"",$L$711-1),IF($R$17="Distrato",$E917,0))),0,YEARFRAC(MAX($P$708*($B917+IF($R$17="Distrato",$I$38-1,0)),IF(AND($L$711=0,$P$708=0),"",$L$711-1),IF($R$17="Distrato",$E917,0)),MIN(AB$38,$D$19),$P$20))-SUM($P917:AA917)</f>
        <v>#VALUE!</v>
      </c>
      <c r="AC917" s="446" t="e">
        <f>IF(OR($B917="",MIN(AC$38,$D$19)&lt;MAX($P$708*($B917+IF($R$17="Distrato",$I$38-1,0)),IF(AND($L$711=0,$P$708=0),"",$L$711-1),IF($R$17="Distrato",$E917,0))),0,YEARFRAC(MAX($P$708*($B917+IF($R$17="Distrato",$I$38-1,0)),IF(AND($L$711=0,$P$708=0),"",$L$711-1),IF($R$17="Distrato",$E917,0)),MIN(AC$38,$D$19),$P$20))-SUM($P917:AB917)</f>
        <v>#VALUE!</v>
      </c>
      <c r="AD917" s="446" t="e">
        <f>IF(OR($B917="",MIN(AD$38,$D$19)&lt;MAX($P$708*($B917+IF($R$17="Distrato",$I$38-1,0)),IF(AND($L$711=0,$P$708=0),"",$L$711-1),IF($R$17="Distrato",$E917,0))),0,YEARFRAC(MAX($P$708*($B917+IF($R$17="Distrato",$I$38-1,0)),IF(AND($L$711=0,$P$708=0),"",$L$711-1),IF($R$17="Distrato",$E917,0)),MIN(AD$38,$D$19),$P$20))-SUM($P917:AC917)</f>
        <v>#VALUE!</v>
      </c>
      <c r="AE917" s="446" t="e">
        <f>IF(OR($B917="",MIN(AE$38,$D$19)&lt;MAX($P$708*($B917+IF($R$17="Distrato",$I$38-1,0)),IF(AND($L$711=0,$P$708=0),"",$L$711-1),IF($R$17="Distrato",$E917,0))),0,YEARFRAC(MAX($P$708*($B917+IF($R$17="Distrato",$I$38-1,0)),IF(AND($L$711=0,$P$708=0),"",$L$711-1),IF($R$17="Distrato",$E917,0)),MIN(AE$38,$D$19),$P$20))-SUM($P917:AD917)</f>
        <v>#VALUE!</v>
      </c>
      <c r="AF917" s="446" t="e">
        <f>IF(OR($B917="",MIN(AF$38,$D$19)&lt;MAX($P$708*($B917+IF($R$17="Distrato",$I$38-1,0)),IF(AND($L$711=0,$P$708=0),"",$L$711-1),IF($R$17="Distrato",$E917,0))),0,YEARFRAC(MAX($P$708*($B917+IF($R$17="Distrato",$I$38-1,0)),IF(AND($L$711=0,$P$708=0),"",$L$711-1),IF($R$17="Distrato",$E917,0)),MIN(AF$38,$D$19),$P$20))-SUM($P917:AE917)</f>
        <v>#VALUE!</v>
      </c>
      <c r="AG917" s="446" t="e">
        <f>IF(OR($B917="",MIN(AG$38,$D$19)&lt;MAX($P$708*($B917+IF($R$17="Distrato",$I$38-1,0)),IF(AND($L$711=0,$P$708=0),"",$L$711-1),IF($R$17="Distrato",$E917,0))),0,YEARFRAC(MAX($P$708*($B917+IF($R$17="Distrato",$I$38-1,0)),IF(AND($L$711=0,$P$708=0),"",$L$711-1),IF($R$17="Distrato",$E917,0)),MIN(AG$38,$D$19),$P$20))-SUM($P917:AF917)</f>
        <v>#VALUE!</v>
      </c>
      <c r="AH917" s="446" t="e">
        <f>IF(OR($B917="",MIN(AH$38,$D$19)&lt;MAX($P$708*($B917+IF($R$17="Distrato",$I$38-1,0)),IF(AND($L$711=0,$P$708=0),"",$L$711-1),IF($R$17="Distrato",$E917,0))),0,YEARFRAC(MAX($P$708*($B917+IF($R$17="Distrato",$I$38-1,0)),IF(AND($L$711=0,$P$708=0),"",$L$711-1),IF($R$17="Distrato",$E917,0)),MIN(AH$38,$D$19),$P$20))-SUM($P917:AG917)</f>
        <v>#VALUE!</v>
      </c>
      <c r="AI917" s="446" t="e">
        <f>IF(OR($B917="",MIN(AI$38,$D$19)&lt;MAX($P$708*($B917+IF($R$17="Distrato",$I$38-1,0)),IF(AND($L$711=0,$P$708=0),"",$L$711-1),IF($R$17="Distrato",$E917,0))),0,YEARFRAC(MAX($P$708*($B917+IF($R$17="Distrato",$I$38-1,0)),IF(AND($L$711=0,$P$708=0),"",$L$711-1),IF($R$17="Distrato",$E917,0)),MIN(AI$38,$D$19),$P$20))-SUM($P917:AH917)</f>
        <v>#VALUE!</v>
      </c>
      <c r="AJ917" s="446" t="e">
        <f>IF(OR($B917="",MIN(AJ$38,$D$19)&lt;MAX($P$708*($B917+IF($R$17="Distrato",$I$38-1,0)),IF(AND($L$711=0,$P$708=0),"",$L$711-1),IF($R$17="Distrato",$E917,0))),0,YEARFRAC(MAX($P$708*($B917+IF($R$17="Distrato",$I$38-1,0)),IF(AND($L$711=0,$P$708=0),"",$L$711-1),IF($R$17="Distrato",$E917,0)),MIN(AJ$38,$D$19),$P$20))-SUM($P917:AI917)</f>
        <v>#VALUE!</v>
      </c>
      <c r="AK917" s="446" t="e">
        <f>IF(OR($B917="",MIN(AK$38,$D$19)&lt;MAX($P$708*($B917+IF($R$17="Distrato",$I$38-1,0)),IF(AND($L$711=0,$P$708=0),"",$L$711-1),IF($R$17="Distrato",$E917,0))),0,YEARFRAC(MAX($P$708*($B917+IF($R$17="Distrato",$I$38-1,0)),IF(AND($L$711=0,$P$708=0),"",$L$711-1),IF($R$17="Distrato",$E917,0)),MIN(AK$38,$D$19),$P$20))-SUM($P917:AJ917)</f>
        <v>#VALUE!</v>
      </c>
      <c r="AL917" s="446" t="e">
        <f>IF(OR($B917="",MIN(AL$38,$D$19)&lt;MAX($P$708*($B917+IF($R$17="Distrato",$I$38-1,0)),IF(AND($L$711=0,$P$708=0),"",$L$711-1),IF($R$17="Distrato",$E917,0))),0,YEARFRAC(MAX($P$708*($B917+IF($R$17="Distrato",$I$38-1,0)),IF(AND($L$711=0,$P$708=0),"",$L$711-1),IF($R$17="Distrato",$E917,0)),MIN(AL$38,$D$19),$P$20))-SUM($P917:AK917)</f>
        <v>#VALUE!</v>
      </c>
      <c r="AM917" s="446" t="e">
        <f>IF(OR($B917="",MIN(AM$38,$D$19)&lt;MAX($P$708*($B917+IF($R$17="Distrato",$I$38-1,0)),IF(AND($L$711=0,$P$708=0),"",$L$711-1),IF($R$17="Distrato",$E917,0))),0,YEARFRAC(MAX($P$708*($B917+IF($R$17="Distrato",$I$38-1,0)),IF(AND($L$711=0,$P$708=0),"",$L$711-1),IF($R$17="Distrato",$E917,0)),MIN(AM$38,$D$19),$P$20))-SUM($P917:AL917)</f>
        <v>#VALUE!</v>
      </c>
      <c r="AN917" s="446" t="e">
        <f>IF(OR($B917="",MIN(AN$38,$D$19)&lt;MAX($P$708*($B917+IF($R$17="Distrato",$I$38-1,0)),IF(AND($L$711=0,$P$708=0),"",$L$711-1),IF($R$17="Distrato",$E917,0))),0,YEARFRAC(MAX($P$708*($B917+IF($R$17="Distrato",$I$38-1,0)),IF(AND($L$711=0,$P$708=0),"",$L$711-1),IF($R$17="Distrato",$E917,0)),MIN(AN$38,$D$19),$P$20))-SUM($P917:AM917)</f>
        <v>#VALUE!</v>
      </c>
      <c r="AO917" s="446" t="e">
        <f>IF(OR($B917="",MIN(AO$38,$D$19)&lt;MAX($P$708*($B917+IF($R$17="Distrato",$I$38-1,0)),IF(AND($L$711=0,$P$708=0),"",$L$711-1),IF($R$17="Distrato",$E917,0))),0,YEARFRAC(MAX($P$708*($B917+IF($R$17="Distrato",$I$38-1,0)),IF(AND($L$711=0,$P$708=0),"",$L$711-1),IF($R$17="Distrato",$E917,0)),MIN(AO$38,$D$19),$P$20))-SUM($P917:AN917)</f>
        <v>#VALUE!</v>
      </c>
      <c r="AP917" s="446" t="e">
        <f>IF(OR($B917="",MIN(AP$38,$D$19)&lt;MAX($P$708*($B917+IF($R$17="Distrato",$I$38-1,0)),IF(AND($L$711=0,$P$708=0),"",$L$711-1),IF($R$17="Distrato",$E917,0))),0,YEARFRAC(MAX($P$708*($B917+IF($R$17="Distrato",$I$38-1,0)),IF(AND($L$711=0,$P$708=0),"",$L$711-1),IF($R$17="Distrato",$E917,0)),MIN(AP$38,$D$19),$P$20))-SUM($P917:AO917)</f>
        <v>#VALUE!</v>
      </c>
      <c r="AQ917" s="446" t="e">
        <f>IF(OR($B917="",MIN(AQ$38,$D$19)&lt;MAX($P$708*($B917+IF($R$17="Distrato",$I$38-1,0)),IF(AND($L$711=0,$P$708=0),"",$L$711-1),IF($R$17="Distrato",$E917,0))),0,YEARFRAC(MAX($P$708*($B917+IF($R$17="Distrato",$I$38-1,0)),IF(AND($L$711=0,$P$708=0),"",$L$711-1),IF($R$17="Distrato",$E917,0)),MIN(AQ$38,$D$19),$P$20))-SUM($P917:AP917)</f>
        <v>#VALUE!</v>
      </c>
      <c r="AR917" s="446" t="e">
        <f>IF(OR($B917="",MIN(AR$38,$D$19)&lt;MAX($P$708*($B917+IF($R$17="Distrato",$I$38-1,0)),IF(AND($L$711=0,$P$708=0),"",$L$711-1),IF($R$17="Distrato",$E917,0))),0,YEARFRAC(MAX($P$708*($B917+IF($R$17="Distrato",$I$38-1,0)),IF(AND($L$711=0,$P$708=0),"",$L$711-1),IF($R$17="Distrato",$E917,0)),MIN(AR$38,$D$19),$P$20))-SUM($P917:AQ917)</f>
        <v>#VALUE!</v>
      </c>
      <c r="AS917" s="446" t="e">
        <f>IF(OR($B917="",MIN(AS$38,$D$19)&lt;MAX($P$708*($B917+IF($R$17="Distrato",$I$38-1,0)),IF(AND($L$711=0,$P$708=0),"",$L$711-1),IF($R$17="Distrato",$E917,0))),0,YEARFRAC(MAX($P$708*($B917+IF($R$17="Distrato",$I$38-1,0)),IF(AND($L$711=0,$P$708=0),"",$L$711-1),IF($R$17="Distrato",$E917,0)),MIN(AS$38,$D$19),$P$20))-SUM($P917:AR917)</f>
        <v>#VALUE!</v>
      </c>
      <c r="AT917" s="446" t="e">
        <f>IF(OR($B917="",MIN(AT$38,$D$19)&lt;MAX($P$708*($B917+IF($R$17="Distrato",$I$38-1,0)),IF(AND($L$711=0,$P$708=0),"",$L$711-1),IF($R$17="Distrato",$E917,0))),0,YEARFRAC(MAX($P$708*($B917+IF($R$17="Distrato",$I$38-1,0)),IF(AND($L$711=0,$P$708=0),"",$L$711-1),IF($R$17="Distrato",$E917,0)),MIN(AT$38,$D$19),$P$20))-SUM($P917:AS917)</f>
        <v>#VALUE!</v>
      </c>
      <c r="AU917" s="446" t="e">
        <f>IF(OR($B917="",MIN(AU$38,$D$19)&lt;MAX($P$708*($B917+IF($R$17="Distrato",$I$38-1,0)),IF(AND($L$711=0,$P$708=0),"",$L$711-1),IF($R$17="Distrato",$E917,0))),0,YEARFRAC(MAX($P$708*($B917+IF($R$17="Distrato",$I$38-1,0)),IF(AND($L$711=0,$P$708=0),"",$L$711-1),IF($R$17="Distrato",$E917,0)),MIN(AU$38,$D$19),$P$20))-SUM($P917:AT917)</f>
        <v>#VALUE!</v>
      </c>
      <c r="AV917" s="446" t="e">
        <f>IF(OR($B917="",MIN(AV$38,$D$19)&lt;MAX($P$708*($B917+IF($R$17="Distrato",$I$38-1,0)),IF(AND($L$711=0,$P$708=0),"",$L$711-1),IF($R$17="Distrato",$E917,0))),0,YEARFRAC(MAX($P$708*($B917+IF($R$17="Distrato",$I$38-1,0)),IF(AND($L$711=0,$P$708=0),"",$L$711-1),IF($R$17="Distrato",$E917,0)),MIN(AV$38,$D$19),$P$20))-SUM($P917:AU917)</f>
        <v>#VALUE!</v>
      </c>
      <c r="AW917" s="446" t="e">
        <f>IF(OR($B917="",MIN(AW$38,$D$19)&lt;MAX($P$708*($B917+IF($R$17="Distrato",$I$38-1,0)),IF(AND($L$711=0,$P$708=0),"",$L$711-1),IF($R$17="Distrato",$E917,0))),0,YEARFRAC(MAX($P$708*($B917+IF($R$17="Distrato",$I$38-1,0)),IF(AND($L$711=0,$P$708=0),"",$L$711-1),IF($R$17="Distrato",$E917,0)),MIN(AW$38,$D$19),$P$20))-SUM($P917:AV917)</f>
        <v>#VALUE!</v>
      </c>
      <c r="AX917" s="446" t="e">
        <f>IF(OR($B917="",MIN(AX$38,$D$19)&lt;MAX($P$708*($B917+IF($R$17="Distrato",$I$38-1,0)),IF(AND($L$711=0,$P$708=0),"",$L$711-1),IF($R$17="Distrato",$E917,0))),0,YEARFRAC(MAX($P$708*($B917+IF($R$17="Distrato",$I$38-1,0)),IF(AND($L$711=0,$P$708=0),"",$L$711-1),IF($R$17="Distrato",$E917,0)),MIN(AX$38,$D$19),$P$20))-SUM($P917:AW917)</f>
        <v>#VALUE!</v>
      </c>
      <c r="AY917" s="446" t="e">
        <f>IF(OR($B917="",MIN(AY$38,$D$19)&lt;MAX($P$708*($B917+IF($R$17="Distrato",$I$38-1,0)),IF(AND($L$711=0,$P$708=0),"",$L$711-1),IF($R$17="Distrato",$E917,0))),0,YEARFRAC(MAX($P$708*($B917+IF($R$17="Distrato",$I$38-1,0)),IF(AND($L$711=0,$P$708=0),"",$L$711-1),IF($R$17="Distrato",$E917,0)),MIN(AY$38,$D$19),$P$20))-SUM($P917:AX917)</f>
        <v>#VALUE!</v>
      </c>
      <c r="AZ917" s="446" t="e">
        <f>IF(OR($B917="",MIN(AZ$38,$D$19)&lt;MAX($P$708*($B917+IF($R$17="Distrato",$I$38-1,0)),IF(AND($L$711=0,$P$708=0),"",$L$711-1),IF($R$17="Distrato",$E917,0))),0,YEARFRAC(MAX($P$708*($B917+IF($R$17="Distrato",$I$38-1,0)),IF(AND($L$711=0,$P$708=0),"",$L$711-1),IF($R$17="Distrato",$E917,0)),MIN(AZ$38,$D$19),$P$20))-SUM($P917:AY917)</f>
        <v>#VALUE!</v>
      </c>
      <c r="BA917" s="446" t="e">
        <f>IF(OR($B917="",MIN(BA$38,$D$19)&lt;MAX($P$708*($B917+IF($R$17="Distrato",$I$38-1,0)),IF(AND($L$711=0,$P$708=0),"",$L$711-1),IF($R$17="Distrato",$E917,0))),0,YEARFRAC(MAX($P$708*($B917+IF($R$17="Distrato",$I$38-1,0)),IF(AND($L$711=0,$P$708=0),"",$L$711-1),IF($R$17="Distrato",$E917,0)),MIN(BA$38,$D$19),$P$20))-SUM($P917:AZ917)</f>
        <v>#VALUE!</v>
      </c>
      <c r="BB917" s="447"/>
    </row>
    <row r="918" spans="1:54" s="446" customFormat="1" ht="11.25" hidden="1" customHeight="1" x14ac:dyDescent="0.2">
      <c r="A918" s="235"/>
      <c r="B918" s="236"/>
      <c r="C918" s="29" t="str">
        <f>IF(B918="","",IF($L$709=$BL$25,VLOOKUP(DATE(YEAR($D$19),MONTH($D$19)-1,1),ÍNDICES!$A:$DE,HLOOKUP($BL$25,ÍNDICES!$B$3:$T$4,2)+11)-VLOOKUP(B918,ÍNDICES!$A:$DE,HLOOKUP($BL$25,ÍNDICES!$B$3:$T$4,2)+11)+1%,IF(C$712=$W$26,$J$35,IF(ISERROR(IF(B918&gt;$D$19,1,VLOOKUP(DATE(YEAR(B918),MONTH(B918)+IF($C$709=$S$23,1,0),1),ÍNDICES!$A:$DE,$Z$709+1))),"",IF(B918&gt;$D$19,1,VLOOKUP(DATE(YEAR(B918),MONTH(B918)+IF($C$709=$S$23,1,0),1),ÍNDICES!$A:$DE,$Z$709+1))))))</f>
        <v/>
      </c>
      <c r="D918" s="155"/>
      <c r="E918" s="88"/>
      <c r="F918" s="88"/>
      <c r="G918" s="88"/>
      <c r="H918" s="118"/>
      <c r="I918" s="182">
        <f t="shared" si="136"/>
        <v>0</v>
      </c>
      <c r="J918" s="20">
        <f t="shared" ca="1" si="137"/>
        <v>0</v>
      </c>
      <c r="K918" s="5">
        <f t="shared" ca="1" si="138"/>
        <v>0</v>
      </c>
      <c r="L918" s="61">
        <f t="shared" ca="1" si="139"/>
        <v>0</v>
      </c>
      <c r="M918" s="64">
        <f t="shared" si="140"/>
        <v>0</v>
      </c>
      <c r="N918" s="151"/>
      <c r="O918" s="5">
        <f t="shared" ca="1" si="141"/>
        <v>0</v>
      </c>
      <c r="P918" s="446" t="e">
        <f t="shared" si="142"/>
        <v>#VALUE!</v>
      </c>
      <c r="Q918" s="446" t="e">
        <f>IF(OR($B918="",MIN(Q$38,$D$19)&lt;MAX($P$708*($B918+IF($R$17="Distrato",$I$38-1,0)),IF(AND($L$711=0,$P$708=0),"",$L$711-1),IF($R$17="Distrato",$E918,0))),0,YEARFRAC(MAX($P$708*($B918+IF($R$17="Distrato",$I$38-1,0)),IF(AND($L$711=0,$P$708=0),"",$L$711-1),IF($R$17="Distrato",$E918,0)),MIN(Q$38,$D$19),$P$20))-SUM($P918:P918)</f>
        <v>#VALUE!</v>
      </c>
      <c r="R918" s="446" t="e">
        <f>IF(OR($B918="",MIN(R$38,$D$19)&lt;MAX($P$708*($B918+IF($R$17="Distrato",$I$38-1,0)),IF(AND($L$711=0,$P$708=0),"",$L$711-1),IF($R$17="Distrato",$E918,0))),0,YEARFRAC(MAX($P$708*($B918+IF($R$17="Distrato",$I$38-1,0)),IF(AND($L$711=0,$P$708=0),"",$L$711-1),IF($R$17="Distrato",$E918,0)),MIN(R$38,$D$19),$P$20))-SUM($P918:Q918)</f>
        <v>#VALUE!</v>
      </c>
      <c r="S918" s="446" t="e">
        <f>IF(OR($B918="",MIN(S$38,$D$19)&lt;MAX($P$708*($B918+IF($R$17="Distrato",$I$38-1,0)),IF(AND($L$711=0,$P$708=0),"",$L$711-1),IF($R$17="Distrato",$E918,0))),0,YEARFRAC(MAX($P$708*($B918+IF($R$17="Distrato",$I$38-1,0)),IF(AND($L$711=0,$P$708=0),"",$L$711-1),IF($R$17="Distrato",$E918,0)),MIN(S$38,$D$19),$P$20))-SUM($P918:R918)</f>
        <v>#VALUE!</v>
      </c>
      <c r="T918" s="446" t="e">
        <f>IF(OR($B918="",MIN(T$38,$D$19)&lt;MAX($P$708*($B918+IF($R$17="Distrato",$I$38-1,0)),IF(AND($L$711=0,$P$708=0),"",$L$711-1),IF($R$17="Distrato",$E918,0))),0,YEARFRAC(MAX($P$708*($B918+IF($R$17="Distrato",$I$38-1,0)),IF(AND($L$711=0,$P$708=0),"",$L$711-1),IF($R$17="Distrato",$E918,0)),MIN(T$38,$D$19),$P$20))-SUM($P918:S918)</f>
        <v>#VALUE!</v>
      </c>
      <c r="U918" s="446" t="e">
        <f>IF(OR($B918="",MIN(U$38,$D$19)&lt;MAX($P$708*($B918+IF($R$17="Distrato",$I$38-1,0)),IF(AND($L$711=0,$P$708=0),"",$L$711-1),IF($R$17="Distrato",$E918,0))),0,YEARFRAC(MAX($P$708*($B918+IF($R$17="Distrato",$I$38-1,0)),IF(AND($L$711=0,$P$708=0),"",$L$711-1),IF($R$17="Distrato",$E918,0)),MIN(U$38,$D$19),$P$20))-SUM($P918:T918)</f>
        <v>#VALUE!</v>
      </c>
      <c r="V918" s="446" t="e">
        <f>IF(OR($B918="",MIN(V$38,$D$19)&lt;MAX($P$708*($B918+IF($R$17="Distrato",$I$38-1,0)),IF(AND($L$711=0,$P$708=0),"",$L$711-1),IF($R$17="Distrato",$E918,0))),0,YEARFRAC(MAX($P$708*($B918+IF($R$17="Distrato",$I$38-1,0)),IF(AND($L$711=0,$P$708=0),"",$L$711-1),IF($R$17="Distrato",$E918,0)),MIN(V$38,$D$19),$P$20))-SUM($P918:U918)</f>
        <v>#VALUE!</v>
      </c>
      <c r="W918" s="446" t="e">
        <f>IF(OR($B918="",MIN(W$38,$D$19)&lt;MAX($P$708*($B918+IF($R$17="Distrato",$I$38-1,0)),IF(AND($L$711=0,$P$708=0),"",$L$711-1),IF($R$17="Distrato",$E918,0))),0,YEARFRAC(MAX($P$708*($B918+IF($R$17="Distrato",$I$38-1,0)),IF(AND($L$711=0,$P$708=0),"",$L$711-1),IF($R$17="Distrato",$E918,0)),MIN(W$38,$D$19),$P$20))-SUM($P918:V918)</f>
        <v>#VALUE!</v>
      </c>
      <c r="X918" s="446" t="e">
        <f>IF(OR($B918="",MIN(X$38,$D$19)&lt;MAX($P$708*($B918+IF($R$17="Distrato",$I$38-1,0)),IF(AND($L$711=0,$P$708=0),"",$L$711-1),IF($R$17="Distrato",$E918,0))),0,YEARFRAC(MAX($P$708*($B918+IF($R$17="Distrato",$I$38-1,0)),IF(AND($L$711=0,$P$708=0),"",$L$711-1),IF($R$17="Distrato",$E918,0)),MIN(X$38,$D$19),$P$20))-SUM($P918:W918)</f>
        <v>#VALUE!</v>
      </c>
      <c r="Y918" s="446" t="e">
        <f>IF(OR($B918="",MIN(Y$38,$D$19)&lt;MAX($P$708*($B918+IF($R$17="Distrato",$I$38-1,0)),IF(AND($L$711=0,$P$708=0),"",$L$711-1),IF($R$17="Distrato",$E918,0))),0,YEARFRAC(MAX($P$708*($B918+IF($R$17="Distrato",$I$38-1,0)),IF(AND($L$711=0,$P$708=0),"",$L$711-1),IF($R$17="Distrato",$E918,0)),MIN(Y$38,$D$19),$P$20))-SUM($P918:X918)</f>
        <v>#VALUE!</v>
      </c>
      <c r="Z918" s="446" t="e">
        <f>IF(OR($B918="",MIN(Z$38,$D$19)&lt;MAX($P$708*($B918+IF($R$17="Distrato",$I$38-1,0)),IF(AND($L$711=0,$P$708=0),"",$L$711-1),IF($R$17="Distrato",$E918,0))),0,YEARFRAC(MAX($P$708*($B918+IF($R$17="Distrato",$I$38-1,0)),IF(AND($L$711=0,$P$708=0),"",$L$711-1),IF($R$17="Distrato",$E918,0)),MIN(Z$38,$D$19),$P$20))-SUM($P918:Y918)</f>
        <v>#VALUE!</v>
      </c>
      <c r="AA918" s="446" t="e">
        <f>IF(OR($B918="",MIN(AA$38,$D$19)&lt;MAX($P$708*($B918+IF($R$17="Distrato",$I$38-1,0)),IF(AND($L$711=0,$P$708=0),"",$L$711-1),IF($R$17="Distrato",$E918,0))),0,YEARFRAC(MAX($P$708*($B918+IF($R$17="Distrato",$I$38-1,0)),IF(AND($L$711=0,$P$708=0),"",$L$711-1),IF($R$17="Distrato",$E918,0)),MIN(AA$38,$D$19),$P$20))-SUM($P918:Z918)</f>
        <v>#VALUE!</v>
      </c>
      <c r="AB918" s="446" t="e">
        <f>IF(OR($B918="",MIN(AB$38,$D$19)&lt;MAX($P$708*($B918+IF($R$17="Distrato",$I$38-1,0)),IF(AND($L$711=0,$P$708=0),"",$L$711-1),IF($R$17="Distrato",$E918,0))),0,YEARFRAC(MAX($P$708*($B918+IF($R$17="Distrato",$I$38-1,0)),IF(AND($L$711=0,$P$708=0),"",$L$711-1),IF($R$17="Distrato",$E918,0)),MIN(AB$38,$D$19),$P$20))-SUM($P918:AA918)</f>
        <v>#VALUE!</v>
      </c>
      <c r="AC918" s="446" t="e">
        <f>IF(OR($B918="",MIN(AC$38,$D$19)&lt;MAX($P$708*($B918+IF($R$17="Distrato",$I$38-1,0)),IF(AND($L$711=0,$P$708=0),"",$L$711-1),IF($R$17="Distrato",$E918,0))),0,YEARFRAC(MAX($P$708*($B918+IF($R$17="Distrato",$I$38-1,0)),IF(AND($L$711=0,$P$708=0),"",$L$711-1),IF($R$17="Distrato",$E918,0)),MIN(AC$38,$D$19),$P$20))-SUM($P918:AB918)</f>
        <v>#VALUE!</v>
      </c>
      <c r="AD918" s="446" t="e">
        <f>IF(OR($B918="",MIN(AD$38,$D$19)&lt;MAX($P$708*($B918+IF($R$17="Distrato",$I$38-1,0)),IF(AND($L$711=0,$P$708=0),"",$L$711-1),IF($R$17="Distrato",$E918,0))),0,YEARFRAC(MAX($P$708*($B918+IF($R$17="Distrato",$I$38-1,0)),IF(AND($L$711=0,$P$708=0),"",$L$711-1),IF($R$17="Distrato",$E918,0)),MIN(AD$38,$D$19),$P$20))-SUM($P918:AC918)</f>
        <v>#VALUE!</v>
      </c>
      <c r="AE918" s="446" t="e">
        <f>IF(OR($B918="",MIN(AE$38,$D$19)&lt;MAX($P$708*($B918+IF($R$17="Distrato",$I$38-1,0)),IF(AND($L$711=0,$P$708=0),"",$L$711-1),IF($R$17="Distrato",$E918,0))),0,YEARFRAC(MAX($P$708*($B918+IF($R$17="Distrato",$I$38-1,0)),IF(AND($L$711=0,$P$708=0),"",$L$711-1),IF($R$17="Distrato",$E918,0)),MIN(AE$38,$D$19),$P$20))-SUM($P918:AD918)</f>
        <v>#VALUE!</v>
      </c>
      <c r="AF918" s="446" t="e">
        <f>IF(OR($B918="",MIN(AF$38,$D$19)&lt;MAX($P$708*($B918+IF($R$17="Distrato",$I$38-1,0)),IF(AND($L$711=0,$P$708=0),"",$L$711-1),IF($R$17="Distrato",$E918,0))),0,YEARFRAC(MAX($P$708*($B918+IF($R$17="Distrato",$I$38-1,0)),IF(AND($L$711=0,$P$708=0),"",$L$711-1),IF($R$17="Distrato",$E918,0)),MIN(AF$38,$D$19),$P$20))-SUM($P918:AE918)</f>
        <v>#VALUE!</v>
      </c>
      <c r="AG918" s="446" t="e">
        <f>IF(OR($B918="",MIN(AG$38,$D$19)&lt;MAX($P$708*($B918+IF($R$17="Distrato",$I$38-1,0)),IF(AND($L$711=0,$P$708=0),"",$L$711-1),IF($R$17="Distrato",$E918,0))),0,YEARFRAC(MAX($P$708*($B918+IF($R$17="Distrato",$I$38-1,0)),IF(AND($L$711=0,$P$708=0),"",$L$711-1),IF($R$17="Distrato",$E918,0)),MIN(AG$38,$D$19),$P$20))-SUM($P918:AF918)</f>
        <v>#VALUE!</v>
      </c>
      <c r="AH918" s="446" t="e">
        <f>IF(OR($B918="",MIN(AH$38,$D$19)&lt;MAX($P$708*($B918+IF($R$17="Distrato",$I$38-1,0)),IF(AND($L$711=0,$P$708=0),"",$L$711-1),IF($R$17="Distrato",$E918,0))),0,YEARFRAC(MAX($P$708*($B918+IF($R$17="Distrato",$I$38-1,0)),IF(AND($L$711=0,$P$708=0),"",$L$711-1),IF($R$17="Distrato",$E918,0)),MIN(AH$38,$D$19),$P$20))-SUM($P918:AG918)</f>
        <v>#VALUE!</v>
      </c>
      <c r="AI918" s="446" t="e">
        <f>IF(OR($B918="",MIN(AI$38,$D$19)&lt;MAX($P$708*($B918+IF($R$17="Distrato",$I$38-1,0)),IF(AND($L$711=0,$P$708=0),"",$L$711-1),IF($R$17="Distrato",$E918,0))),0,YEARFRAC(MAX($P$708*($B918+IF($R$17="Distrato",$I$38-1,0)),IF(AND($L$711=0,$P$708=0),"",$L$711-1),IF($R$17="Distrato",$E918,0)),MIN(AI$38,$D$19),$P$20))-SUM($P918:AH918)</f>
        <v>#VALUE!</v>
      </c>
      <c r="AJ918" s="446" t="e">
        <f>IF(OR($B918="",MIN(AJ$38,$D$19)&lt;MAX($P$708*($B918+IF($R$17="Distrato",$I$38-1,0)),IF(AND($L$711=0,$P$708=0),"",$L$711-1),IF($R$17="Distrato",$E918,0))),0,YEARFRAC(MAX($P$708*($B918+IF($R$17="Distrato",$I$38-1,0)),IF(AND($L$711=0,$P$708=0),"",$L$711-1),IF($R$17="Distrato",$E918,0)),MIN(AJ$38,$D$19),$P$20))-SUM($P918:AI918)</f>
        <v>#VALUE!</v>
      </c>
      <c r="AK918" s="446" t="e">
        <f>IF(OR($B918="",MIN(AK$38,$D$19)&lt;MAX($P$708*($B918+IF($R$17="Distrato",$I$38-1,0)),IF(AND($L$711=0,$P$708=0),"",$L$711-1),IF($R$17="Distrato",$E918,0))),0,YEARFRAC(MAX($P$708*($B918+IF($R$17="Distrato",$I$38-1,0)),IF(AND($L$711=0,$P$708=0),"",$L$711-1),IF($R$17="Distrato",$E918,0)),MIN(AK$38,$D$19),$P$20))-SUM($P918:AJ918)</f>
        <v>#VALUE!</v>
      </c>
      <c r="AL918" s="446" t="e">
        <f>IF(OR($B918="",MIN(AL$38,$D$19)&lt;MAX($P$708*($B918+IF($R$17="Distrato",$I$38-1,0)),IF(AND($L$711=0,$P$708=0),"",$L$711-1),IF($R$17="Distrato",$E918,0))),0,YEARFRAC(MAX($P$708*($B918+IF($R$17="Distrato",$I$38-1,0)),IF(AND($L$711=0,$P$708=0),"",$L$711-1),IF($R$17="Distrato",$E918,0)),MIN(AL$38,$D$19),$P$20))-SUM($P918:AK918)</f>
        <v>#VALUE!</v>
      </c>
      <c r="AM918" s="446" t="e">
        <f>IF(OR($B918="",MIN(AM$38,$D$19)&lt;MAX($P$708*($B918+IF($R$17="Distrato",$I$38-1,0)),IF(AND($L$711=0,$P$708=0),"",$L$711-1),IF($R$17="Distrato",$E918,0))),0,YEARFRAC(MAX($P$708*($B918+IF($R$17="Distrato",$I$38-1,0)),IF(AND($L$711=0,$P$708=0),"",$L$711-1),IF($R$17="Distrato",$E918,0)),MIN(AM$38,$D$19),$P$20))-SUM($P918:AL918)</f>
        <v>#VALUE!</v>
      </c>
      <c r="AN918" s="446" t="e">
        <f>IF(OR($B918="",MIN(AN$38,$D$19)&lt;MAX($P$708*($B918+IF($R$17="Distrato",$I$38-1,0)),IF(AND($L$711=0,$P$708=0),"",$L$711-1),IF($R$17="Distrato",$E918,0))),0,YEARFRAC(MAX($P$708*($B918+IF($R$17="Distrato",$I$38-1,0)),IF(AND($L$711=0,$P$708=0),"",$L$711-1),IF($R$17="Distrato",$E918,0)),MIN(AN$38,$D$19),$P$20))-SUM($P918:AM918)</f>
        <v>#VALUE!</v>
      </c>
      <c r="AO918" s="446" t="e">
        <f>IF(OR($B918="",MIN(AO$38,$D$19)&lt;MAX($P$708*($B918+IF($R$17="Distrato",$I$38-1,0)),IF(AND($L$711=0,$P$708=0),"",$L$711-1),IF($R$17="Distrato",$E918,0))),0,YEARFRAC(MAX($P$708*($B918+IF($R$17="Distrato",$I$38-1,0)),IF(AND($L$711=0,$P$708=0),"",$L$711-1),IF($R$17="Distrato",$E918,0)),MIN(AO$38,$D$19),$P$20))-SUM($P918:AN918)</f>
        <v>#VALUE!</v>
      </c>
      <c r="AP918" s="446" t="e">
        <f>IF(OR($B918="",MIN(AP$38,$D$19)&lt;MAX($P$708*($B918+IF($R$17="Distrato",$I$38-1,0)),IF(AND($L$711=0,$P$708=0),"",$L$711-1),IF($R$17="Distrato",$E918,0))),0,YEARFRAC(MAX($P$708*($B918+IF($R$17="Distrato",$I$38-1,0)),IF(AND($L$711=0,$P$708=0),"",$L$711-1),IF($R$17="Distrato",$E918,0)),MIN(AP$38,$D$19),$P$20))-SUM($P918:AO918)</f>
        <v>#VALUE!</v>
      </c>
      <c r="AQ918" s="446" t="e">
        <f>IF(OR($B918="",MIN(AQ$38,$D$19)&lt;MAX($P$708*($B918+IF($R$17="Distrato",$I$38-1,0)),IF(AND($L$711=0,$P$708=0),"",$L$711-1),IF($R$17="Distrato",$E918,0))),0,YEARFRAC(MAX($P$708*($B918+IF($R$17="Distrato",$I$38-1,0)),IF(AND($L$711=0,$P$708=0),"",$L$711-1),IF($R$17="Distrato",$E918,0)),MIN(AQ$38,$D$19),$P$20))-SUM($P918:AP918)</f>
        <v>#VALUE!</v>
      </c>
      <c r="AR918" s="446" t="e">
        <f>IF(OR($B918="",MIN(AR$38,$D$19)&lt;MAX($P$708*($B918+IF($R$17="Distrato",$I$38-1,0)),IF(AND($L$711=0,$P$708=0),"",$L$711-1),IF($R$17="Distrato",$E918,0))),0,YEARFRAC(MAX($P$708*($B918+IF($R$17="Distrato",$I$38-1,0)),IF(AND($L$711=0,$P$708=0),"",$L$711-1),IF($R$17="Distrato",$E918,0)),MIN(AR$38,$D$19),$P$20))-SUM($P918:AQ918)</f>
        <v>#VALUE!</v>
      </c>
      <c r="AS918" s="446" t="e">
        <f>IF(OR($B918="",MIN(AS$38,$D$19)&lt;MAX($P$708*($B918+IF($R$17="Distrato",$I$38-1,0)),IF(AND($L$711=0,$P$708=0),"",$L$711-1),IF($R$17="Distrato",$E918,0))),0,YEARFRAC(MAX($P$708*($B918+IF($R$17="Distrato",$I$38-1,0)),IF(AND($L$711=0,$P$708=0),"",$L$711-1),IF($R$17="Distrato",$E918,0)),MIN(AS$38,$D$19),$P$20))-SUM($P918:AR918)</f>
        <v>#VALUE!</v>
      </c>
      <c r="AT918" s="446" t="e">
        <f>IF(OR($B918="",MIN(AT$38,$D$19)&lt;MAX($P$708*($B918+IF($R$17="Distrato",$I$38-1,0)),IF(AND($L$711=0,$P$708=0),"",$L$711-1),IF($R$17="Distrato",$E918,0))),0,YEARFRAC(MAX($P$708*($B918+IF($R$17="Distrato",$I$38-1,0)),IF(AND($L$711=0,$P$708=0),"",$L$711-1),IF($R$17="Distrato",$E918,0)),MIN(AT$38,$D$19),$P$20))-SUM($P918:AS918)</f>
        <v>#VALUE!</v>
      </c>
      <c r="AU918" s="446" t="e">
        <f>IF(OR($B918="",MIN(AU$38,$D$19)&lt;MAX($P$708*($B918+IF($R$17="Distrato",$I$38-1,0)),IF(AND($L$711=0,$P$708=0),"",$L$711-1),IF($R$17="Distrato",$E918,0))),0,YEARFRAC(MAX($P$708*($B918+IF($R$17="Distrato",$I$38-1,0)),IF(AND($L$711=0,$P$708=0),"",$L$711-1),IF($R$17="Distrato",$E918,0)),MIN(AU$38,$D$19),$P$20))-SUM($P918:AT918)</f>
        <v>#VALUE!</v>
      </c>
      <c r="AV918" s="446" t="e">
        <f>IF(OR($B918="",MIN(AV$38,$D$19)&lt;MAX($P$708*($B918+IF($R$17="Distrato",$I$38-1,0)),IF(AND($L$711=0,$P$708=0),"",$L$711-1),IF($R$17="Distrato",$E918,0))),0,YEARFRAC(MAX($P$708*($B918+IF($R$17="Distrato",$I$38-1,0)),IF(AND($L$711=0,$P$708=0),"",$L$711-1),IF($R$17="Distrato",$E918,0)),MIN(AV$38,$D$19),$P$20))-SUM($P918:AU918)</f>
        <v>#VALUE!</v>
      </c>
      <c r="AW918" s="446" t="e">
        <f>IF(OR($B918="",MIN(AW$38,$D$19)&lt;MAX($P$708*($B918+IF($R$17="Distrato",$I$38-1,0)),IF(AND($L$711=0,$P$708=0),"",$L$711-1),IF($R$17="Distrato",$E918,0))),0,YEARFRAC(MAX($P$708*($B918+IF($R$17="Distrato",$I$38-1,0)),IF(AND($L$711=0,$P$708=0),"",$L$711-1),IF($R$17="Distrato",$E918,0)),MIN(AW$38,$D$19),$P$20))-SUM($P918:AV918)</f>
        <v>#VALUE!</v>
      </c>
      <c r="AX918" s="446" t="e">
        <f>IF(OR($B918="",MIN(AX$38,$D$19)&lt;MAX($P$708*($B918+IF($R$17="Distrato",$I$38-1,0)),IF(AND($L$711=0,$P$708=0),"",$L$711-1),IF($R$17="Distrato",$E918,0))),0,YEARFRAC(MAX($P$708*($B918+IF($R$17="Distrato",$I$38-1,0)),IF(AND($L$711=0,$P$708=0),"",$L$711-1),IF($R$17="Distrato",$E918,0)),MIN(AX$38,$D$19),$P$20))-SUM($P918:AW918)</f>
        <v>#VALUE!</v>
      </c>
      <c r="AY918" s="446" t="e">
        <f>IF(OR($B918="",MIN(AY$38,$D$19)&lt;MAX($P$708*($B918+IF($R$17="Distrato",$I$38-1,0)),IF(AND($L$711=0,$P$708=0),"",$L$711-1),IF($R$17="Distrato",$E918,0))),0,YEARFRAC(MAX($P$708*($B918+IF($R$17="Distrato",$I$38-1,0)),IF(AND($L$711=0,$P$708=0),"",$L$711-1),IF($R$17="Distrato",$E918,0)),MIN(AY$38,$D$19),$P$20))-SUM($P918:AX918)</f>
        <v>#VALUE!</v>
      </c>
      <c r="AZ918" s="446" t="e">
        <f>IF(OR($B918="",MIN(AZ$38,$D$19)&lt;MAX($P$708*($B918+IF($R$17="Distrato",$I$38-1,0)),IF(AND($L$711=0,$P$708=0),"",$L$711-1),IF($R$17="Distrato",$E918,0))),0,YEARFRAC(MAX($P$708*($B918+IF($R$17="Distrato",$I$38-1,0)),IF(AND($L$711=0,$P$708=0),"",$L$711-1),IF($R$17="Distrato",$E918,0)),MIN(AZ$38,$D$19),$P$20))-SUM($P918:AY918)</f>
        <v>#VALUE!</v>
      </c>
      <c r="BA918" s="446" t="e">
        <f>IF(OR($B918="",MIN(BA$38,$D$19)&lt;MAX($P$708*($B918+IF($R$17="Distrato",$I$38-1,0)),IF(AND($L$711=0,$P$708=0),"",$L$711-1),IF($R$17="Distrato",$E918,0))),0,YEARFRAC(MAX($P$708*($B918+IF($R$17="Distrato",$I$38-1,0)),IF(AND($L$711=0,$P$708=0),"",$L$711-1),IF($R$17="Distrato",$E918,0)),MIN(BA$38,$D$19),$P$20))-SUM($P918:AZ918)</f>
        <v>#VALUE!</v>
      </c>
      <c r="BB918" s="447"/>
    </row>
    <row r="919" spans="1:54" s="446" customFormat="1" ht="11.25" hidden="1" customHeight="1" x14ac:dyDescent="0.2">
      <c r="A919" s="235"/>
      <c r="B919" s="236"/>
      <c r="C919" s="29" t="str">
        <f>IF(B919="","",IF($L$709=$BL$25,VLOOKUP(DATE(YEAR($D$19),MONTH($D$19)-1,1),ÍNDICES!$A:$DE,HLOOKUP($BL$25,ÍNDICES!$B$3:$T$4,2)+11)-VLOOKUP(B919,ÍNDICES!$A:$DE,HLOOKUP($BL$25,ÍNDICES!$B$3:$T$4,2)+11)+1%,IF(C$712=$W$26,$J$35,IF(ISERROR(IF(B919&gt;$D$19,1,VLOOKUP(DATE(YEAR(B919),MONTH(B919)+IF($C$709=$S$23,1,0),1),ÍNDICES!$A:$DE,$Z$709+1))),"",IF(B919&gt;$D$19,1,VLOOKUP(DATE(YEAR(B919),MONTH(B919)+IF($C$709=$S$23,1,0),1),ÍNDICES!$A:$DE,$Z$709+1))))))</f>
        <v/>
      </c>
      <c r="D919" s="155"/>
      <c r="E919" s="88"/>
      <c r="F919" s="88"/>
      <c r="G919" s="88"/>
      <c r="H919" s="118"/>
      <c r="I919" s="182">
        <f t="shared" si="136"/>
        <v>0</v>
      </c>
      <c r="J919" s="20">
        <f t="shared" ca="1" si="137"/>
        <v>0</v>
      </c>
      <c r="K919" s="5">
        <f t="shared" ca="1" si="138"/>
        <v>0</v>
      </c>
      <c r="L919" s="61">
        <f t="shared" ca="1" si="139"/>
        <v>0</v>
      </c>
      <c r="M919" s="64">
        <f t="shared" si="140"/>
        <v>0</v>
      </c>
      <c r="N919" s="151"/>
      <c r="O919" s="5">
        <f t="shared" ca="1" si="141"/>
        <v>0</v>
      </c>
      <c r="P919" s="446" t="e">
        <f t="shared" si="142"/>
        <v>#VALUE!</v>
      </c>
      <c r="Q919" s="446" t="e">
        <f>IF(OR($B919="",MIN(Q$38,$D$19)&lt;MAX($P$708*($B919+IF($R$17="Distrato",$I$38-1,0)),IF(AND($L$711=0,$P$708=0),"",$L$711-1),IF($R$17="Distrato",$E919,0))),0,YEARFRAC(MAX($P$708*($B919+IF($R$17="Distrato",$I$38-1,0)),IF(AND($L$711=0,$P$708=0),"",$L$711-1),IF($R$17="Distrato",$E919,0)),MIN(Q$38,$D$19),$P$20))-SUM($P919:P919)</f>
        <v>#VALUE!</v>
      </c>
      <c r="R919" s="446" t="e">
        <f>IF(OR($B919="",MIN(R$38,$D$19)&lt;MAX($P$708*($B919+IF($R$17="Distrato",$I$38-1,0)),IF(AND($L$711=0,$P$708=0),"",$L$711-1),IF($R$17="Distrato",$E919,0))),0,YEARFRAC(MAX($P$708*($B919+IF($R$17="Distrato",$I$38-1,0)),IF(AND($L$711=0,$P$708=0),"",$L$711-1),IF($R$17="Distrato",$E919,0)),MIN(R$38,$D$19),$P$20))-SUM($P919:Q919)</f>
        <v>#VALUE!</v>
      </c>
      <c r="S919" s="446" t="e">
        <f>IF(OR($B919="",MIN(S$38,$D$19)&lt;MAX($P$708*($B919+IF($R$17="Distrato",$I$38-1,0)),IF(AND($L$711=0,$P$708=0),"",$L$711-1),IF($R$17="Distrato",$E919,0))),0,YEARFRAC(MAX($P$708*($B919+IF($R$17="Distrato",$I$38-1,0)),IF(AND($L$711=0,$P$708=0),"",$L$711-1),IF($R$17="Distrato",$E919,0)),MIN(S$38,$D$19),$P$20))-SUM($P919:R919)</f>
        <v>#VALUE!</v>
      </c>
      <c r="T919" s="446" t="e">
        <f>IF(OR($B919="",MIN(T$38,$D$19)&lt;MAX($P$708*($B919+IF($R$17="Distrato",$I$38-1,0)),IF(AND($L$711=0,$P$708=0),"",$L$711-1),IF($R$17="Distrato",$E919,0))),0,YEARFRAC(MAX($P$708*($B919+IF($R$17="Distrato",$I$38-1,0)),IF(AND($L$711=0,$P$708=0),"",$L$711-1),IF($R$17="Distrato",$E919,0)),MIN(T$38,$D$19),$P$20))-SUM($P919:S919)</f>
        <v>#VALUE!</v>
      </c>
      <c r="U919" s="446" t="e">
        <f>IF(OR($B919="",MIN(U$38,$D$19)&lt;MAX($P$708*($B919+IF($R$17="Distrato",$I$38-1,0)),IF(AND($L$711=0,$P$708=0),"",$L$711-1),IF($R$17="Distrato",$E919,0))),0,YEARFRAC(MAX($P$708*($B919+IF($R$17="Distrato",$I$38-1,0)),IF(AND($L$711=0,$P$708=0),"",$L$711-1),IF($R$17="Distrato",$E919,0)),MIN(U$38,$D$19),$P$20))-SUM($P919:T919)</f>
        <v>#VALUE!</v>
      </c>
      <c r="V919" s="446" t="e">
        <f>IF(OR($B919="",MIN(V$38,$D$19)&lt;MAX($P$708*($B919+IF($R$17="Distrato",$I$38-1,0)),IF(AND($L$711=0,$P$708=0),"",$L$711-1),IF($R$17="Distrato",$E919,0))),0,YEARFRAC(MAX($P$708*($B919+IF($R$17="Distrato",$I$38-1,0)),IF(AND($L$711=0,$P$708=0),"",$L$711-1),IF($R$17="Distrato",$E919,0)),MIN(V$38,$D$19),$P$20))-SUM($P919:U919)</f>
        <v>#VALUE!</v>
      </c>
      <c r="W919" s="446" t="e">
        <f>IF(OR($B919="",MIN(W$38,$D$19)&lt;MAX($P$708*($B919+IF($R$17="Distrato",$I$38-1,0)),IF(AND($L$711=0,$P$708=0),"",$L$711-1),IF($R$17="Distrato",$E919,0))),0,YEARFRAC(MAX($P$708*($B919+IF($R$17="Distrato",$I$38-1,0)),IF(AND($L$711=0,$P$708=0),"",$L$711-1),IF($R$17="Distrato",$E919,0)),MIN(W$38,$D$19),$P$20))-SUM($P919:V919)</f>
        <v>#VALUE!</v>
      </c>
      <c r="X919" s="446" t="e">
        <f>IF(OR($B919="",MIN(X$38,$D$19)&lt;MAX($P$708*($B919+IF($R$17="Distrato",$I$38-1,0)),IF(AND($L$711=0,$P$708=0),"",$L$711-1),IF($R$17="Distrato",$E919,0))),0,YEARFRAC(MAX($P$708*($B919+IF($R$17="Distrato",$I$38-1,0)),IF(AND($L$711=0,$P$708=0),"",$L$711-1),IF($R$17="Distrato",$E919,0)),MIN(X$38,$D$19),$P$20))-SUM($P919:W919)</f>
        <v>#VALUE!</v>
      </c>
      <c r="Y919" s="446" t="e">
        <f>IF(OR($B919="",MIN(Y$38,$D$19)&lt;MAX($P$708*($B919+IF($R$17="Distrato",$I$38-1,0)),IF(AND($L$711=0,$P$708=0),"",$L$711-1),IF($R$17="Distrato",$E919,0))),0,YEARFRAC(MAX($P$708*($B919+IF($R$17="Distrato",$I$38-1,0)),IF(AND($L$711=0,$P$708=0),"",$L$711-1),IF($R$17="Distrato",$E919,0)),MIN(Y$38,$D$19),$P$20))-SUM($P919:X919)</f>
        <v>#VALUE!</v>
      </c>
      <c r="Z919" s="446" t="e">
        <f>IF(OR($B919="",MIN(Z$38,$D$19)&lt;MAX($P$708*($B919+IF($R$17="Distrato",$I$38-1,0)),IF(AND($L$711=0,$P$708=0),"",$L$711-1),IF($R$17="Distrato",$E919,0))),0,YEARFRAC(MAX($P$708*($B919+IF($R$17="Distrato",$I$38-1,0)),IF(AND($L$711=0,$P$708=0),"",$L$711-1),IF($R$17="Distrato",$E919,0)),MIN(Z$38,$D$19),$P$20))-SUM($P919:Y919)</f>
        <v>#VALUE!</v>
      </c>
      <c r="AA919" s="446" t="e">
        <f>IF(OR($B919="",MIN(AA$38,$D$19)&lt;MAX($P$708*($B919+IF($R$17="Distrato",$I$38-1,0)),IF(AND($L$711=0,$P$708=0),"",$L$711-1),IF($R$17="Distrato",$E919,0))),0,YEARFRAC(MAX($P$708*($B919+IF($R$17="Distrato",$I$38-1,0)),IF(AND($L$711=0,$P$708=0),"",$L$711-1),IF($R$17="Distrato",$E919,0)),MIN(AA$38,$D$19),$P$20))-SUM($P919:Z919)</f>
        <v>#VALUE!</v>
      </c>
      <c r="AB919" s="446" t="e">
        <f>IF(OR($B919="",MIN(AB$38,$D$19)&lt;MAX($P$708*($B919+IF($R$17="Distrato",$I$38-1,0)),IF(AND($L$711=0,$P$708=0),"",$L$711-1),IF($R$17="Distrato",$E919,0))),0,YEARFRAC(MAX($P$708*($B919+IF($R$17="Distrato",$I$38-1,0)),IF(AND($L$711=0,$P$708=0),"",$L$711-1),IF($R$17="Distrato",$E919,0)),MIN(AB$38,$D$19),$P$20))-SUM($P919:AA919)</f>
        <v>#VALUE!</v>
      </c>
      <c r="AC919" s="446" t="e">
        <f>IF(OR($B919="",MIN(AC$38,$D$19)&lt;MAX($P$708*($B919+IF($R$17="Distrato",$I$38-1,0)),IF(AND($L$711=0,$P$708=0),"",$L$711-1),IF($R$17="Distrato",$E919,0))),0,YEARFRAC(MAX($P$708*($B919+IF($R$17="Distrato",$I$38-1,0)),IF(AND($L$711=0,$P$708=0),"",$L$711-1),IF($R$17="Distrato",$E919,0)),MIN(AC$38,$D$19),$P$20))-SUM($P919:AB919)</f>
        <v>#VALUE!</v>
      </c>
      <c r="AD919" s="446" t="e">
        <f>IF(OR($B919="",MIN(AD$38,$D$19)&lt;MAX($P$708*($B919+IF($R$17="Distrato",$I$38-1,0)),IF(AND($L$711=0,$P$708=0),"",$L$711-1),IF($R$17="Distrato",$E919,0))),0,YEARFRAC(MAX($P$708*($B919+IF($R$17="Distrato",$I$38-1,0)),IF(AND($L$711=0,$P$708=0),"",$L$711-1),IF($R$17="Distrato",$E919,0)),MIN(AD$38,$D$19),$P$20))-SUM($P919:AC919)</f>
        <v>#VALUE!</v>
      </c>
      <c r="AE919" s="446" t="e">
        <f>IF(OR($B919="",MIN(AE$38,$D$19)&lt;MAX($P$708*($B919+IF($R$17="Distrato",$I$38-1,0)),IF(AND($L$711=0,$P$708=0),"",$L$711-1),IF($R$17="Distrato",$E919,0))),0,YEARFRAC(MAX($P$708*($B919+IF($R$17="Distrato",$I$38-1,0)),IF(AND($L$711=0,$P$708=0),"",$L$711-1),IF($R$17="Distrato",$E919,0)),MIN(AE$38,$D$19),$P$20))-SUM($P919:AD919)</f>
        <v>#VALUE!</v>
      </c>
      <c r="AF919" s="446" t="e">
        <f>IF(OR($B919="",MIN(AF$38,$D$19)&lt;MAX($P$708*($B919+IF($R$17="Distrato",$I$38-1,0)),IF(AND($L$711=0,$P$708=0),"",$L$711-1),IF($R$17="Distrato",$E919,0))),0,YEARFRAC(MAX($P$708*($B919+IF($R$17="Distrato",$I$38-1,0)),IF(AND($L$711=0,$P$708=0),"",$L$711-1),IF($R$17="Distrato",$E919,0)),MIN(AF$38,$D$19),$P$20))-SUM($P919:AE919)</f>
        <v>#VALUE!</v>
      </c>
      <c r="AG919" s="446" t="e">
        <f>IF(OR($B919="",MIN(AG$38,$D$19)&lt;MAX($P$708*($B919+IF($R$17="Distrato",$I$38-1,0)),IF(AND($L$711=0,$P$708=0),"",$L$711-1),IF($R$17="Distrato",$E919,0))),0,YEARFRAC(MAX($P$708*($B919+IF($R$17="Distrato",$I$38-1,0)),IF(AND($L$711=0,$P$708=0),"",$L$711-1),IF($R$17="Distrato",$E919,0)),MIN(AG$38,$D$19),$P$20))-SUM($P919:AF919)</f>
        <v>#VALUE!</v>
      </c>
      <c r="AH919" s="446" t="e">
        <f>IF(OR($B919="",MIN(AH$38,$D$19)&lt;MAX($P$708*($B919+IF($R$17="Distrato",$I$38-1,0)),IF(AND($L$711=0,$P$708=0),"",$L$711-1),IF($R$17="Distrato",$E919,0))),0,YEARFRAC(MAX($P$708*($B919+IF($R$17="Distrato",$I$38-1,0)),IF(AND($L$711=0,$P$708=0),"",$L$711-1),IF($R$17="Distrato",$E919,0)),MIN(AH$38,$D$19),$P$20))-SUM($P919:AG919)</f>
        <v>#VALUE!</v>
      </c>
      <c r="AI919" s="446" t="e">
        <f>IF(OR($B919="",MIN(AI$38,$D$19)&lt;MAX($P$708*($B919+IF($R$17="Distrato",$I$38-1,0)),IF(AND($L$711=0,$P$708=0),"",$L$711-1),IF($R$17="Distrato",$E919,0))),0,YEARFRAC(MAX($P$708*($B919+IF($R$17="Distrato",$I$38-1,0)),IF(AND($L$711=0,$P$708=0),"",$L$711-1),IF($R$17="Distrato",$E919,0)),MIN(AI$38,$D$19),$P$20))-SUM($P919:AH919)</f>
        <v>#VALUE!</v>
      </c>
      <c r="AJ919" s="446" t="e">
        <f>IF(OR($B919="",MIN(AJ$38,$D$19)&lt;MAX($P$708*($B919+IF($R$17="Distrato",$I$38-1,0)),IF(AND($L$711=0,$P$708=0),"",$L$711-1),IF($R$17="Distrato",$E919,0))),0,YEARFRAC(MAX($P$708*($B919+IF($R$17="Distrato",$I$38-1,0)),IF(AND($L$711=0,$P$708=0),"",$L$711-1),IF($R$17="Distrato",$E919,0)),MIN(AJ$38,$D$19),$P$20))-SUM($P919:AI919)</f>
        <v>#VALUE!</v>
      </c>
      <c r="AK919" s="446" t="e">
        <f>IF(OR($B919="",MIN(AK$38,$D$19)&lt;MAX($P$708*($B919+IF($R$17="Distrato",$I$38-1,0)),IF(AND($L$711=0,$P$708=0),"",$L$711-1),IF($R$17="Distrato",$E919,0))),0,YEARFRAC(MAX($P$708*($B919+IF($R$17="Distrato",$I$38-1,0)),IF(AND($L$711=0,$P$708=0),"",$L$711-1),IF($R$17="Distrato",$E919,0)),MIN(AK$38,$D$19),$P$20))-SUM($P919:AJ919)</f>
        <v>#VALUE!</v>
      </c>
      <c r="AL919" s="446" t="e">
        <f>IF(OR($B919="",MIN(AL$38,$D$19)&lt;MAX($P$708*($B919+IF($R$17="Distrato",$I$38-1,0)),IF(AND($L$711=0,$P$708=0),"",$L$711-1),IF($R$17="Distrato",$E919,0))),0,YEARFRAC(MAX($P$708*($B919+IF($R$17="Distrato",$I$38-1,0)),IF(AND($L$711=0,$P$708=0),"",$L$711-1),IF($R$17="Distrato",$E919,0)),MIN(AL$38,$D$19),$P$20))-SUM($P919:AK919)</f>
        <v>#VALUE!</v>
      </c>
      <c r="AM919" s="446" t="e">
        <f>IF(OR($B919="",MIN(AM$38,$D$19)&lt;MAX($P$708*($B919+IF($R$17="Distrato",$I$38-1,0)),IF(AND($L$711=0,$P$708=0),"",$L$711-1),IF($R$17="Distrato",$E919,0))),0,YEARFRAC(MAX($P$708*($B919+IF($R$17="Distrato",$I$38-1,0)),IF(AND($L$711=0,$P$708=0),"",$L$711-1),IF($R$17="Distrato",$E919,0)),MIN(AM$38,$D$19),$P$20))-SUM($P919:AL919)</f>
        <v>#VALUE!</v>
      </c>
      <c r="AN919" s="446" t="e">
        <f>IF(OR($B919="",MIN(AN$38,$D$19)&lt;MAX($P$708*($B919+IF($R$17="Distrato",$I$38-1,0)),IF(AND($L$711=0,$P$708=0),"",$L$711-1),IF($R$17="Distrato",$E919,0))),0,YEARFRAC(MAX($P$708*($B919+IF($R$17="Distrato",$I$38-1,0)),IF(AND($L$711=0,$P$708=0),"",$L$711-1),IF($R$17="Distrato",$E919,0)),MIN(AN$38,$D$19),$P$20))-SUM($P919:AM919)</f>
        <v>#VALUE!</v>
      </c>
      <c r="AO919" s="446" t="e">
        <f>IF(OR($B919="",MIN(AO$38,$D$19)&lt;MAX($P$708*($B919+IF($R$17="Distrato",$I$38-1,0)),IF(AND($L$711=0,$P$708=0),"",$L$711-1),IF($R$17="Distrato",$E919,0))),0,YEARFRAC(MAX($P$708*($B919+IF($R$17="Distrato",$I$38-1,0)),IF(AND($L$711=0,$P$708=0),"",$L$711-1),IF($R$17="Distrato",$E919,0)),MIN(AO$38,$D$19),$P$20))-SUM($P919:AN919)</f>
        <v>#VALUE!</v>
      </c>
      <c r="AP919" s="446" t="e">
        <f>IF(OR($B919="",MIN(AP$38,$D$19)&lt;MAX($P$708*($B919+IF($R$17="Distrato",$I$38-1,0)),IF(AND($L$711=0,$P$708=0),"",$L$711-1),IF($R$17="Distrato",$E919,0))),0,YEARFRAC(MAX($P$708*($B919+IF($R$17="Distrato",$I$38-1,0)),IF(AND($L$711=0,$P$708=0),"",$L$711-1),IF($R$17="Distrato",$E919,0)),MIN(AP$38,$D$19),$P$20))-SUM($P919:AO919)</f>
        <v>#VALUE!</v>
      </c>
      <c r="AQ919" s="446" t="e">
        <f>IF(OR($B919="",MIN(AQ$38,$D$19)&lt;MAX($P$708*($B919+IF($R$17="Distrato",$I$38-1,0)),IF(AND($L$711=0,$P$708=0),"",$L$711-1),IF($R$17="Distrato",$E919,0))),0,YEARFRAC(MAX($P$708*($B919+IF($R$17="Distrato",$I$38-1,0)),IF(AND($L$711=0,$P$708=0),"",$L$711-1),IF($R$17="Distrato",$E919,0)),MIN(AQ$38,$D$19),$P$20))-SUM($P919:AP919)</f>
        <v>#VALUE!</v>
      </c>
      <c r="AR919" s="446" t="e">
        <f>IF(OR($B919="",MIN(AR$38,$D$19)&lt;MAX($P$708*($B919+IF($R$17="Distrato",$I$38-1,0)),IF(AND($L$711=0,$P$708=0),"",$L$711-1),IF($R$17="Distrato",$E919,0))),0,YEARFRAC(MAX($P$708*($B919+IF($R$17="Distrato",$I$38-1,0)),IF(AND($L$711=0,$P$708=0),"",$L$711-1),IF($R$17="Distrato",$E919,0)),MIN(AR$38,$D$19),$P$20))-SUM($P919:AQ919)</f>
        <v>#VALUE!</v>
      </c>
      <c r="AS919" s="446" t="e">
        <f>IF(OR($B919="",MIN(AS$38,$D$19)&lt;MAX($P$708*($B919+IF($R$17="Distrato",$I$38-1,0)),IF(AND($L$711=0,$P$708=0),"",$L$711-1),IF($R$17="Distrato",$E919,0))),0,YEARFRAC(MAX($P$708*($B919+IF($R$17="Distrato",$I$38-1,0)),IF(AND($L$711=0,$P$708=0),"",$L$711-1),IF($R$17="Distrato",$E919,0)),MIN(AS$38,$D$19),$P$20))-SUM($P919:AR919)</f>
        <v>#VALUE!</v>
      </c>
      <c r="AT919" s="446" t="e">
        <f>IF(OR($B919="",MIN(AT$38,$D$19)&lt;MAX($P$708*($B919+IF($R$17="Distrato",$I$38-1,0)),IF(AND($L$711=0,$P$708=0),"",$L$711-1),IF($R$17="Distrato",$E919,0))),0,YEARFRAC(MAX($P$708*($B919+IF($R$17="Distrato",$I$38-1,0)),IF(AND($L$711=0,$P$708=0),"",$L$711-1),IF($R$17="Distrato",$E919,0)),MIN(AT$38,$D$19),$P$20))-SUM($P919:AS919)</f>
        <v>#VALUE!</v>
      </c>
      <c r="AU919" s="446" t="e">
        <f>IF(OR($B919="",MIN(AU$38,$D$19)&lt;MAX($P$708*($B919+IF($R$17="Distrato",$I$38-1,0)),IF(AND($L$711=0,$P$708=0),"",$L$711-1),IF($R$17="Distrato",$E919,0))),0,YEARFRAC(MAX($P$708*($B919+IF($R$17="Distrato",$I$38-1,0)),IF(AND($L$711=0,$P$708=0),"",$L$711-1),IF($R$17="Distrato",$E919,0)),MIN(AU$38,$D$19),$P$20))-SUM($P919:AT919)</f>
        <v>#VALUE!</v>
      </c>
      <c r="AV919" s="446" t="e">
        <f>IF(OR($B919="",MIN(AV$38,$D$19)&lt;MAX($P$708*($B919+IF($R$17="Distrato",$I$38-1,0)),IF(AND($L$711=0,$P$708=0),"",$L$711-1),IF($R$17="Distrato",$E919,0))),0,YEARFRAC(MAX($P$708*($B919+IF($R$17="Distrato",$I$38-1,0)),IF(AND($L$711=0,$P$708=0),"",$L$711-1),IF($R$17="Distrato",$E919,0)),MIN(AV$38,$D$19),$P$20))-SUM($P919:AU919)</f>
        <v>#VALUE!</v>
      </c>
      <c r="AW919" s="446" t="e">
        <f>IF(OR($B919="",MIN(AW$38,$D$19)&lt;MAX($P$708*($B919+IF($R$17="Distrato",$I$38-1,0)),IF(AND($L$711=0,$P$708=0),"",$L$711-1),IF($R$17="Distrato",$E919,0))),0,YEARFRAC(MAX($P$708*($B919+IF($R$17="Distrato",$I$38-1,0)),IF(AND($L$711=0,$P$708=0),"",$L$711-1),IF($R$17="Distrato",$E919,0)),MIN(AW$38,$D$19),$P$20))-SUM($P919:AV919)</f>
        <v>#VALUE!</v>
      </c>
      <c r="AX919" s="446" t="e">
        <f>IF(OR($B919="",MIN(AX$38,$D$19)&lt;MAX($P$708*($B919+IF($R$17="Distrato",$I$38-1,0)),IF(AND($L$711=0,$P$708=0),"",$L$711-1),IF($R$17="Distrato",$E919,0))),0,YEARFRAC(MAX($P$708*($B919+IF($R$17="Distrato",$I$38-1,0)),IF(AND($L$711=0,$P$708=0),"",$L$711-1),IF($R$17="Distrato",$E919,0)),MIN(AX$38,$D$19),$P$20))-SUM($P919:AW919)</f>
        <v>#VALUE!</v>
      </c>
      <c r="AY919" s="446" t="e">
        <f>IF(OR($B919="",MIN(AY$38,$D$19)&lt;MAX($P$708*($B919+IF($R$17="Distrato",$I$38-1,0)),IF(AND($L$711=0,$P$708=0),"",$L$711-1),IF($R$17="Distrato",$E919,0))),0,YEARFRAC(MAX($P$708*($B919+IF($R$17="Distrato",$I$38-1,0)),IF(AND($L$711=0,$P$708=0),"",$L$711-1),IF($R$17="Distrato",$E919,0)),MIN(AY$38,$D$19),$P$20))-SUM($P919:AX919)</f>
        <v>#VALUE!</v>
      </c>
      <c r="AZ919" s="446" t="e">
        <f>IF(OR($B919="",MIN(AZ$38,$D$19)&lt;MAX($P$708*($B919+IF($R$17="Distrato",$I$38-1,0)),IF(AND($L$711=0,$P$708=0),"",$L$711-1),IF($R$17="Distrato",$E919,0))),0,YEARFRAC(MAX($P$708*($B919+IF($R$17="Distrato",$I$38-1,0)),IF(AND($L$711=0,$P$708=0),"",$L$711-1),IF($R$17="Distrato",$E919,0)),MIN(AZ$38,$D$19),$P$20))-SUM($P919:AY919)</f>
        <v>#VALUE!</v>
      </c>
      <c r="BA919" s="446" t="e">
        <f>IF(OR($B919="",MIN(BA$38,$D$19)&lt;MAX($P$708*($B919+IF($R$17="Distrato",$I$38-1,0)),IF(AND($L$711=0,$P$708=0),"",$L$711-1),IF($R$17="Distrato",$E919,0))),0,YEARFRAC(MAX($P$708*($B919+IF($R$17="Distrato",$I$38-1,0)),IF(AND($L$711=0,$P$708=0),"",$L$711-1),IF($R$17="Distrato",$E919,0)),MIN(BA$38,$D$19),$P$20))-SUM($P919:AZ919)</f>
        <v>#VALUE!</v>
      </c>
      <c r="BB919" s="447"/>
    </row>
    <row r="920" spans="1:54" s="446" customFormat="1" ht="11.25" hidden="1" customHeight="1" x14ac:dyDescent="0.2">
      <c r="A920" s="235"/>
      <c r="B920" s="236"/>
      <c r="C920" s="29" t="str">
        <f>IF(B920="","",IF($L$709=$BL$25,VLOOKUP(DATE(YEAR($D$19),MONTH($D$19)-1,1),ÍNDICES!$A:$DE,HLOOKUP($BL$25,ÍNDICES!$B$3:$T$4,2)+11)-VLOOKUP(B920,ÍNDICES!$A:$DE,HLOOKUP($BL$25,ÍNDICES!$B$3:$T$4,2)+11)+1%,IF(C$712=$W$26,$J$35,IF(ISERROR(IF(B920&gt;$D$19,1,VLOOKUP(DATE(YEAR(B920),MONTH(B920)+IF($C$709=$S$23,1,0),1),ÍNDICES!$A:$DE,$Z$709+1))),"",IF(B920&gt;$D$19,1,VLOOKUP(DATE(YEAR(B920),MONTH(B920)+IF($C$709=$S$23,1,0),1),ÍNDICES!$A:$DE,$Z$709+1))))))</f>
        <v/>
      </c>
      <c r="D920" s="155"/>
      <c r="E920" s="88"/>
      <c r="F920" s="88"/>
      <c r="G920" s="88"/>
      <c r="H920" s="118"/>
      <c r="I920" s="182">
        <f t="shared" si="136"/>
        <v>0</v>
      </c>
      <c r="J920" s="20">
        <f t="shared" ca="1" si="137"/>
        <v>0</v>
      </c>
      <c r="K920" s="5">
        <f t="shared" ca="1" si="138"/>
        <v>0</v>
      </c>
      <c r="L920" s="61">
        <f t="shared" ca="1" si="139"/>
        <v>0</v>
      </c>
      <c r="M920" s="64">
        <f t="shared" si="140"/>
        <v>0</v>
      </c>
      <c r="N920" s="151"/>
      <c r="O920" s="5">
        <f t="shared" ca="1" si="141"/>
        <v>0</v>
      </c>
      <c r="P920" s="446" t="e">
        <f t="shared" si="142"/>
        <v>#VALUE!</v>
      </c>
      <c r="Q920" s="446" t="e">
        <f>IF(OR($B920="",MIN(Q$38,$D$19)&lt;MAX($P$708*($B920+IF($R$17="Distrato",$I$38-1,0)),IF(AND($L$711=0,$P$708=0),"",$L$711-1),IF($R$17="Distrato",$E920,0))),0,YEARFRAC(MAX($P$708*($B920+IF($R$17="Distrato",$I$38-1,0)),IF(AND($L$711=0,$P$708=0),"",$L$711-1),IF($R$17="Distrato",$E920,0)),MIN(Q$38,$D$19),$P$20))-SUM($P920:P920)</f>
        <v>#VALUE!</v>
      </c>
      <c r="R920" s="446" t="e">
        <f>IF(OR($B920="",MIN(R$38,$D$19)&lt;MAX($P$708*($B920+IF($R$17="Distrato",$I$38-1,0)),IF(AND($L$711=0,$P$708=0),"",$L$711-1),IF($R$17="Distrato",$E920,0))),0,YEARFRAC(MAX($P$708*($B920+IF($R$17="Distrato",$I$38-1,0)),IF(AND($L$711=0,$P$708=0),"",$L$711-1),IF($R$17="Distrato",$E920,0)),MIN(R$38,$D$19),$P$20))-SUM($P920:Q920)</f>
        <v>#VALUE!</v>
      </c>
      <c r="S920" s="446" t="e">
        <f>IF(OR($B920="",MIN(S$38,$D$19)&lt;MAX($P$708*($B920+IF($R$17="Distrato",$I$38-1,0)),IF(AND($L$711=0,$P$708=0),"",$L$711-1),IF($R$17="Distrato",$E920,0))),0,YEARFRAC(MAX($P$708*($B920+IF($R$17="Distrato",$I$38-1,0)),IF(AND($L$711=0,$P$708=0),"",$L$711-1),IF($R$17="Distrato",$E920,0)),MIN(S$38,$D$19),$P$20))-SUM($P920:R920)</f>
        <v>#VALUE!</v>
      </c>
      <c r="T920" s="446" t="e">
        <f>IF(OR($B920="",MIN(T$38,$D$19)&lt;MAX($P$708*($B920+IF($R$17="Distrato",$I$38-1,0)),IF(AND($L$711=0,$P$708=0),"",$L$711-1),IF($R$17="Distrato",$E920,0))),0,YEARFRAC(MAX($P$708*($B920+IF($R$17="Distrato",$I$38-1,0)),IF(AND($L$711=0,$P$708=0),"",$L$711-1),IF($R$17="Distrato",$E920,0)),MIN(T$38,$D$19),$P$20))-SUM($P920:S920)</f>
        <v>#VALUE!</v>
      </c>
      <c r="U920" s="446" t="e">
        <f>IF(OR($B920="",MIN(U$38,$D$19)&lt;MAX($P$708*($B920+IF($R$17="Distrato",$I$38-1,0)),IF(AND($L$711=0,$P$708=0),"",$L$711-1),IF($R$17="Distrato",$E920,0))),0,YEARFRAC(MAX($P$708*($B920+IF($R$17="Distrato",$I$38-1,0)),IF(AND($L$711=0,$P$708=0),"",$L$711-1),IF($R$17="Distrato",$E920,0)),MIN(U$38,$D$19),$P$20))-SUM($P920:T920)</f>
        <v>#VALUE!</v>
      </c>
      <c r="V920" s="446" t="e">
        <f>IF(OR($B920="",MIN(V$38,$D$19)&lt;MAX($P$708*($B920+IF($R$17="Distrato",$I$38-1,0)),IF(AND($L$711=0,$P$708=0),"",$L$711-1),IF($R$17="Distrato",$E920,0))),0,YEARFRAC(MAX($P$708*($B920+IF($R$17="Distrato",$I$38-1,0)),IF(AND($L$711=0,$P$708=0),"",$L$711-1),IF($R$17="Distrato",$E920,0)),MIN(V$38,$D$19),$P$20))-SUM($P920:U920)</f>
        <v>#VALUE!</v>
      </c>
      <c r="W920" s="446" t="e">
        <f>IF(OR($B920="",MIN(W$38,$D$19)&lt;MAX($P$708*($B920+IF($R$17="Distrato",$I$38-1,0)),IF(AND($L$711=0,$P$708=0),"",$L$711-1),IF($R$17="Distrato",$E920,0))),0,YEARFRAC(MAX($P$708*($B920+IF($R$17="Distrato",$I$38-1,0)),IF(AND($L$711=0,$P$708=0),"",$L$711-1),IF($R$17="Distrato",$E920,0)),MIN(W$38,$D$19),$P$20))-SUM($P920:V920)</f>
        <v>#VALUE!</v>
      </c>
      <c r="X920" s="446" t="e">
        <f>IF(OR($B920="",MIN(X$38,$D$19)&lt;MAX($P$708*($B920+IF($R$17="Distrato",$I$38-1,0)),IF(AND($L$711=0,$P$708=0),"",$L$711-1),IF($R$17="Distrato",$E920,0))),0,YEARFRAC(MAX($P$708*($B920+IF($R$17="Distrato",$I$38-1,0)),IF(AND($L$711=0,$P$708=0),"",$L$711-1),IF($R$17="Distrato",$E920,0)),MIN(X$38,$D$19),$P$20))-SUM($P920:W920)</f>
        <v>#VALUE!</v>
      </c>
      <c r="Y920" s="446" t="e">
        <f>IF(OR($B920="",MIN(Y$38,$D$19)&lt;MAX($P$708*($B920+IF($R$17="Distrato",$I$38-1,0)),IF(AND($L$711=0,$P$708=0),"",$L$711-1),IF($R$17="Distrato",$E920,0))),0,YEARFRAC(MAX($P$708*($B920+IF($R$17="Distrato",$I$38-1,0)),IF(AND($L$711=0,$P$708=0),"",$L$711-1),IF($R$17="Distrato",$E920,0)),MIN(Y$38,$D$19),$P$20))-SUM($P920:X920)</f>
        <v>#VALUE!</v>
      </c>
      <c r="Z920" s="446" t="e">
        <f>IF(OR($B920="",MIN(Z$38,$D$19)&lt;MAX($P$708*($B920+IF($R$17="Distrato",$I$38-1,0)),IF(AND($L$711=0,$P$708=0),"",$L$711-1),IF($R$17="Distrato",$E920,0))),0,YEARFRAC(MAX($P$708*($B920+IF($R$17="Distrato",$I$38-1,0)),IF(AND($L$711=0,$P$708=0),"",$L$711-1),IF($R$17="Distrato",$E920,0)),MIN(Z$38,$D$19),$P$20))-SUM($P920:Y920)</f>
        <v>#VALUE!</v>
      </c>
      <c r="AA920" s="446" t="e">
        <f>IF(OR($B920="",MIN(AA$38,$D$19)&lt;MAX($P$708*($B920+IF($R$17="Distrato",$I$38-1,0)),IF(AND($L$711=0,$P$708=0),"",$L$711-1),IF($R$17="Distrato",$E920,0))),0,YEARFRAC(MAX($P$708*($B920+IF($R$17="Distrato",$I$38-1,0)),IF(AND($L$711=0,$P$708=0),"",$L$711-1),IF($R$17="Distrato",$E920,0)),MIN(AA$38,$D$19),$P$20))-SUM($P920:Z920)</f>
        <v>#VALUE!</v>
      </c>
      <c r="AB920" s="446" t="e">
        <f>IF(OR($B920="",MIN(AB$38,$D$19)&lt;MAX($P$708*($B920+IF($R$17="Distrato",$I$38-1,0)),IF(AND($L$711=0,$P$708=0),"",$L$711-1),IF($R$17="Distrato",$E920,0))),0,YEARFRAC(MAX($P$708*($B920+IF($R$17="Distrato",$I$38-1,0)),IF(AND($L$711=0,$P$708=0),"",$L$711-1),IF($R$17="Distrato",$E920,0)),MIN(AB$38,$D$19),$P$20))-SUM($P920:AA920)</f>
        <v>#VALUE!</v>
      </c>
      <c r="AC920" s="446" t="e">
        <f>IF(OR($B920="",MIN(AC$38,$D$19)&lt;MAX($P$708*($B920+IF($R$17="Distrato",$I$38-1,0)),IF(AND($L$711=0,$P$708=0),"",$L$711-1),IF($R$17="Distrato",$E920,0))),0,YEARFRAC(MAX($P$708*($B920+IF($R$17="Distrato",$I$38-1,0)),IF(AND($L$711=0,$P$708=0),"",$L$711-1),IF($R$17="Distrato",$E920,0)),MIN(AC$38,$D$19),$P$20))-SUM($P920:AB920)</f>
        <v>#VALUE!</v>
      </c>
      <c r="AD920" s="446" t="e">
        <f>IF(OR($B920="",MIN(AD$38,$D$19)&lt;MAX($P$708*($B920+IF($R$17="Distrato",$I$38-1,0)),IF(AND($L$711=0,$P$708=0),"",$L$711-1),IF($R$17="Distrato",$E920,0))),0,YEARFRAC(MAX($P$708*($B920+IF($R$17="Distrato",$I$38-1,0)),IF(AND($L$711=0,$P$708=0),"",$L$711-1),IF($R$17="Distrato",$E920,0)),MIN(AD$38,$D$19),$P$20))-SUM($P920:AC920)</f>
        <v>#VALUE!</v>
      </c>
      <c r="AE920" s="446" t="e">
        <f>IF(OR($B920="",MIN(AE$38,$D$19)&lt;MAX($P$708*($B920+IF($R$17="Distrato",$I$38-1,0)),IF(AND($L$711=0,$P$708=0),"",$L$711-1),IF($R$17="Distrato",$E920,0))),0,YEARFRAC(MAX($P$708*($B920+IF($R$17="Distrato",$I$38-1,0)),IF(AND($L$711=0,$P$708=0),"",$L$711-1),IF($R$17="Distrato",$E920,0)),MIN(AE$38,$D$19),$P$20))-SUM($P920:AD920)</f>
        <v>#VALUE!</v>
      </c>
      <c r="AF920" s="446" t="e">
        <f>IF(OR($B920="",MIN(AF$38,$D$19)&lt;MAX($P$708*($B920+IF($R$17="Distrato",$I$38-1,0)),IF(AND($L$711=0,$P$708=0),"",$L$711-1),IF($R$17="Distrato",$E920,0))),0,YEARFRAC(MAX($P$708*($B920+IF($R$17="Distrato",$I$38-1,0)),IF(AND($L$711=0,$P$708=0),"",$L$711-1),IF($R$17="Distrato",$E920,0)),MIN(AF$38,$D$19),$P$20))-SUM($P920:AE920)</f>
        <v>#VALUE!</v>
      </c>
      <c r="AG920" s="446" t="e">
        <f>IF(OR($B920="",MIN(AG$38,$D$19)&lt;MAX($P$708*($B920+IF($R$17="Distrato",$I$38-1,0)),IF(AND($L$711=0,$P$708=0),"",$L$711-1),IF($R$17="Distrato",$E920,0))),0,YEARFRAC(MAX($P$708*($B920+IF($R$17="Distrato",$I$38-1,0)),IF(AND($L$711=0,$P$708=0),"",$L$711-1),IF($R$17="Distrato",$E920,0)),MIN(AG$38,$D$19),$P$20))-SUM($P920:AF920)</f>
        <v>#VALUE!</v>
      </c>
      <c r="AH920" s="446" t="e">
        <f>IF(OR($B920="",MIN(AH$38,$D$19)&lt;MAX($P$708*($B920+IF($R$17="Distrato",$I$38-1,0)),IF(AND($L$711=0,$P$708=0),"",$L$711-1),IF($R$17="Distrato",$E920,0))),0,YEARFRAC(MAX($P$708*($B920+IF($R$17="Distrato",$I$38-1,0)),IF(AND($L$711=0,$P$708=0),"",$L$711-1),IF($R$17="Distrato",$E920,0)),MIN(AH$38,$D$19),$P$20))-SUM($P920:AG920)</f>
        <v>#VALUE!</v>
      </c>
      <c r="AI920" s="446" t="e">
        <f>IF(OR($B920="",MIN(AI$38,$D$19)&lt;MAX($P$708*($B920+IF($R$17="Distrato",$I$38-1,0)),IF(AND($L$711=0,$P$708=0),"",$L$711-1),IF($R$17="Distrato",$E920,0))),0,YEARFRAC(MAX($P$708*($B920+IF($R$17="Distrato",$I$38-1,0)),IF(AND($L$711=0,$P$708=0),"",$L$711-1),IF($R$17="Distrato",$E920,0)),MIN(AI$38,$D$19),$P$20))-SUM($P920:AH920)</f>
        <v>#VALUE!</v>
      </c>
      <c r="AJ920" s="446" t="e">
        <f>IF(OR($B920="",MIN(AJ$38,$D$19)&lt;MAX($P$708*($B920+IF($R$17="Distrato",$I$38-1,0)),IF(AND($L$711=0,$P$708=0),"",$L$711-1),IF($R$17="Distrato",$E920,0))),0,YEARFRAC(MAX($P$708*($B920+IF($R$17="Distrato",$I$38-1,0)),IF(AND($L$711=0,$P$708=0),"",$L$711-1),IF($R$17="Distrato",$E920,0)),MIN(AJ$38,$D$19),$P$20))-SUM($P920:AI920)</f>
        <v>#VALUE!</v>
      </c>
      <c r="AK920" s="446" t="e">
        <f>IF(OR($B920="",MIN(AK$38,$D$19)&lt;MAX($P$708*($B920+IF($R$17="Distrato",$I$38-1,0)),IF(AND($L$711=0,$P$708=0),"",$L$711-1),IF($R$17="Distrato",$E920,0))),0,YEARFRAC(MAX($P$708*($B920+IF($R$17="Distrato",$I$38-1,0)),IF(AND($L$711=0,$P$708=0),"",$L$711-1),IF($R$17="Distrato",$E920,0)),MIN(AK$38,$D$19),$P$20))-SUM($P920:AJ920)</f>
        <v>#VALUE!</v>
      </c>
      <c r="AL920" s="446" t="e">
        <f>IF(OR($B920="",MIN(AL$38,$D$19)&lt;MAX($P$708*($B920+IF($R$17="Distrato",$I$38-1,0)),IF(AND($L$711=0,$P$708=0),"",$L$711-1),IF($R$17="Distrato",$E920,0))),0,YEARFRAC(MAX($P$708*($B920+IF($R$17="Distrato",$I$38-1,0)),IF(AND($L$711=0,$P$708=0),"",$L$711-1),IF($R$17="Distrato",$E920,0)),MIN(AL$38,$D$19),$P$20))-SUM($P920:AK920)</f>
        <v>#VALUE!</v>
      </c>
      <c r="AM920" s="446" t="e">
        <f>IF(OR($B920="",MIN(AM$38,$D$19)&lt;MAX($P$708*($B920+IF($R$17="Distrato",$I$38-1,0)),IF(AND($L$711=0,$P$708=0),"",$L$711-1),IF($R$17="Distrato",$E920,0))),0,YEARFRAC(MAX($P$708*($B920+IF($R$17="Distrato",$I$38-1,0)),IF(AND($L$711=0,$P$708=0),"",$L$711-1),IF($R$17="Distrato",$E920,0)),MIN(AM$38,$D$19),$P$20))-SUM($P920:AL920)</f>
        <v>#VALUE!</v>
      </c>
      <c r="AN920" s="446" t="e">
        <f>IF(OR($B920="",MIN(AN$38,$D$19)&lt;MAX($P$708*($B920+IF($R$17="Distrato",$I$38-1,0)),IF(AND($L$711=0,$P$708=0),"",$L$711-1),IF($R$17="Distrato",$E920,0))),0,YEARFRAC(MAX($P$708*($B920+IF($R$17="Distrato",$I$38-1,0)),IF(AND($L$711=0,$P$708=0),"",$L$711-1),IF($R$17="Distrato",$E920,0)),MIN(AN$38,$D$19),$P$20))-SUM($P920:AM920)</f>
        <v>#VALUE!</v>
      </c>
      <c r="AO920" s="446" t="e">
        <f>IF(OR($B920="",MIN(AO$38,$D$19)&lt;MAX($P$708*($B920+IF($R$17="Distrato",$I$38-1,0)),IF(AND($L$711=0,$P$708=0),"",$L$711-1),IF($R$17="Distrato",$E920,0))),0,YEARFRAC(MAX($P$708*($B920+IF($R$17="Distrato",$I$38-1,0)),IF(AND($L$711=0,$P$708=0),"",$L$711-1),IF($R$17="Distrato",$E920,0)),MIN(AO$38,$D$19),$P$20))-SUM($P920:AN920)</f>
        <v>#VALUE!</v>
      </c>
      <c r="AP920" s="446" t="e">
        <f>IF(OR($B920="",MIN(AP$38,$D$19)&lt;MAX($P$708*($B920+IF($R$17="Distrato",$I$38-1,0)),IF(AND($L$711=0,$P$708=0),"",$L$711-1),IF($R$17="Distrato",$E920,0))),0,YEARFRAC(MAX($P$708*($B920+IF($R$17="Distrato",$I$38-1,0)),IF(AND($L$711=0,$P$708=0),"",$L$711-1),IF($R$17="Distrato",$E920,0)),MIN(AP$38,$D$19),$P$20))-SUM($P920:AO920)</f>
        <v>#VALUE!</v>
      </c>
      <c r="AQ920" s="446" t="e">
        <f>IF(OR($B920="",MIN(AQ$38,$D$19)&lt;MAX($P$708*($B920+IF($R$17="Distrato",$I$38-1,0)),IF(AND($L$711=0,$P$708=0),"",$L$711-1),IF($R$17="Distrato",$E920,0))),0,YEARFRAC(MAX($P$708*($B920+IF($R$17="Distrato",$I$38-1,0)),IF(AND($L$711=0,$P$708=0),"",$L$711-1),IF($R$17="Distrato",$E920,0)),MIN(AQ$38,$D$19),$P$20))-SUM($P920:AP920)</f>
        <v>#VALUE!</v>
      </c>
      <c r="AR920" s="446" t="e">
        <f>IF(OR($B920="",MIN(AR$38,$D$19)&lt;MAX($P$708*($B920+IF($R$17="Distrato",$I$38-1,0)),IF(AND($L$711=0,$P$708=0),"",$L$711-1),IF($R$17="Distrato",$E920,0))),0,YEARFRAC(MAX($P$708*($B920+IF($R$17="Distrato",$I$38-1,0)),IF(AND($L$711=0,$P$708=0),"",$L$711-1),IF($R$17="Distrato",$E920,0)),MIN(AR$38,$D$19),$P$20))-SUM($P920:AQ920)</f>
        <v>#VALUE!</v>
      </c>
      <c r="AS920" s="446" t="e">
        <f>IF(OR($B920="",MIN(AS$38,$D$19)&lt;MAX($P$708*($B920+IF($R$17="Distrato",$I$38-1,0)),IF(AND($L$711=0,$P$708=0),"",$L$711-1),IF($R$17="Distrato",$E920,0))),0,YEARFRAC(MAX($P$708*($B920+IF($R$17="Distrato",$I$38-1,0)),IF(AND($L$711=0,$P$708=0),"",$L$711-1),IF($R$17="Distrato",$E920,0)),MIN(AS$38,$D$19),$P$20))-SUM($P920:AR920)</f>
        <v>#VALUE!</v>
      </c>
      <c r="AT920" s="446" t="e">
        <f>IF(OR($B920="",MIN(AT$38,$D$19)&lt;MAX($P$708*($B920+IF($R$17="Distrato",$I$38-1,0)),IF(AND($L$711=0,$P$708=0),"",$L$711-1),IF($R$17="Distrato",$E920,0))),0,YEARFRAC(MAX($P$708*($B920+IF($R$17="Distrato",$I$38-1,0)),IF(AND($L$711=0,$P$708=0),"",$L$711-1),IF($R$17="Distrato",$E920,0)),MIN(AT$38,$D$19),$P$20))-SUM($P920:AS920)</f>
        <v>#VALUE!</v>
      </c>
      <c r="AU920" s="446" t="e">
        <f>IF(OR($B920="",MIN(AU$38,$D$19)&lt;MAX($P$708*($B920+IF($R$17="Distrato",$I$38-1,0)),IF(AND($L$711=0,$P$708=0),"",$L$711-1),IF($R$17="Distrato",$E920,0))),0,YEARFRAC(MAX($P$708*($B920+IF($R$17="Distrato",$I$38-1,0)),IF(AND($L$711=0,$P$708=0),"",$L$711-1),IF($R$17="Distrato",$E920,0)),MIN(AU$38,$D$19),$P$20))-SUM($P920:AT920)</f>
        <v>#VALUE!</v>
      </c>
      <c r="AV920" s="446" t="e">
        <f>IF(OR($B920="",MIN(AV$38,$D$19)&lt;MAX($P$708*($B920+IF($R$17="Distrato",$I$38-1,0)),IF(AND($L$711=0,$P$708=0),"",$L$711-1),IF($R$17="Distrato",$E920,0))),0,YEARFRAC(MAX($P$708*($B920+IF($R$17="Distrato",$I$38-1,0)),IF(AND($L$711=0,$P$708=0),"",$L$711-1),IF($R$17="Distrato",$E920,0)),MIN(AV$38,$D$19),$P$20))-SUM($P920:AU920)</f>
        <v>#VALUE!</v>
      </c>
      <c r="AW920" s="446" t="e">
        <f>IF(OR($B920="",MIN(AW$38,$D$19)&lt;MAX($P$708*($B920+IF($R$17="Distrato",$I$38-1,0)),IF(AND($L$711=0,$P$708=0),"",$L$711-1),IF($R$17="Distrato",$E920,0))),0,YEARFRAC(MAX($P$708*($B920+IF($R$17="Distrato",$I$38-1,0)),IF(AND($L$711=0,$P$708=0),"",$L$711-1),IF($R$17="Distrato",$E920,0)),MIN(AW$38,$D$19),$P$20))-SUM($P920:AV920)</f>
        <v>#VALUE!</v>
      </c>
      <c r="AX920" s="446" t="e">
        <f>IF(OR($B920="",MIN(AX$38,$D$19)&lt;MAX($P$708*($B920+IF($R$17="Distrato",$I$38-1,0)),IF(AND($L$711=0,$P$708=0),"",$L$711-1),IF($R$17="Distrato",$E920,0))),0,YEARFRAC(MAX($P$708*($B920+IF($R$17="Distrato",$I$38-1,0)),IF(AND($L$711=0,$P$708=0),"",$L$711-1),IF($R$17="Distrato",$E920,0)),MIN(AX$38,$D$19),$P$20))-SUM($P920:AW920)</f>
        <v>#VALUE!</v>
      </c>
      <c r="AY920" s="446" t="e">
        <f>IF(OR($B920="",MIN(AY$38,$D$19)&lt;MAX($P$708*($B920+IF($R$17="Distrato",$I$38-1,0)),IF(AND($L$711=0,$P$708=0),"",$L$711-1),IF($R$17="Distrato",$E920,0))),0,YEARFRAC(MAX($P$708*($B920+IF($R$17="Distrato",$I$38-1,0)),IF(AND($L$711=0,$P$708=0),"",$L$711-1),IF($R$17="Distrato",$E920,0)),MIN(AY$38,$D$19),$P$20))-SUM($P920:AX920)</f>
        <v>#VALUE!</v>
      </c>
      <c r="AZ920" s="446" t="e">
        <f>IF(OR($B920="",MIN(AZ$38,$D$19)&lt;MAX($P$708*($B920+IF($R$17="Distrato",$I$38-1,0)),IF(AND($L$711=0,$P$708=0),"",$L$711-1),IF($R$17="Distrato",$E920,0))),0,YEARFRAC(MAX($P$708*($B920+IF($R$17="Distrato",$I$38-1,0)),IF(AND($L$711=0,$P$708=0),"",$L$711-1),IF($R$17="Distrato",$E920,0)),MIN(AZ$38,$D$19),$P$20))-SUM($P920:AY920)</f>
        <v>#VALUE!</v>
      </c>
      <c r="BA920" s="446" t="e">
        <f>IF(OR($B920="",MIN(BA$38,$D$19)&lt;MAX($P$708*($B920+IF($R$17="Distrato",$I$38-1,0)),IF(AND($L$711=0,$P$708=0),"",$L$711-1),IF($R$17="Distrato",$E920,0))),0,YEARFRAC(MAX($P$708*($B920+IF($R$17="Distrato",$I$38-1,0)),IF(AND($L$711=0,$P$708=0),"",$L$711-1),IF($R$17="Distrato",$E920,0)),MIN(BA$38,$D$19),$P$20))-SUM($P920:AZ920)</f>
        <v>#VALUE!</v>
      </c>
      <c r="BB920" s="447"/>
    </row>
    <row r="921" spans="1:54" s="446" customFormat="1" ht="11.25" hidden="1" customHeight="1" x14ac:dyDescent="0.2">
      <c r="A921" s="235"/>
      <c r="B921" s="236"/>
      <c r="C921" s="29" t="str">
        <f>IF(B921="","",IF($L$709=$BL$25,VLOOKUP(DATE(YEAR($D$19),MONTH($D$19)-1,1),ÍNDICES!$A:$DE,HLOOKUP($BL$25,ÍNDICES!$B$3:$T$4,2)+11)-VLOOKUP(B921,ÍNDICES!$A:$DE,HLOOKUP($BL$25,ÍNDICES!$B$3:$T$4,2)+11)+1%,IF(C$712=$W$26,$J$35,IF(ISERROR(IF(B921&gt;$D$19,1,VLOOKUP(DATE(YEAR(B921),MONTH(B921)+IF($C$709=$S$23,1,0),1),ÍNDICES!$A:$DE,$Z$709+1))),"",IF(B921&gt;$D$19,1,VLOOKUP(DATE(YEAR(B921),MONTH(B921)+IF($C$709=$S$23,1,0),1),ÍNDICES!$A:$DE,$Z$709+1))))))</f>
        <v/>
      </c>
      <c r="D921" s="155"/>
      <c r="E921" s="88"/>
      <c r="F921" s="88"/>
      <c r="G921" s="88"/>
      <c r="H921" s="118"/>
      <c r="I921" s="182">
        <f t="shared" si="136"/>
        <v>0</v>
      </c>
      <c r="J921" s="20">
        <f t="shared" ca="1" si="137"/>
        <v>0</v>
      </c>
      <c r="K921" s="5">
        <f t="shared" ca="1" si="138"/>
        <v>0</v>
      </c>
      <c r="L921" s="61">
        <f t="shared" ca="1" si="139"/>
        <v>0</v>
      </c>
      <c r="M921" s="64">
        <f t="shared" si="140"/>
        <v>0</v>
      </c>
      <c r="N921" s="151"/>
      <c r="O921" s="5">
        <f t="shared" ca="1" si="141"/>
        <v>0</v>
      </c>
      <c r="P921" s="446" t="e">
        <f t="shared" si="142"/>
        <v>#VALUE!</v>
      </c>
      <c r="Q921" s="446" t="e">
        <f>IF(OR($B921="",MIN(Q$38,$D$19)&lt;MAX($P$708*($B921+IF($R$17="Distrato",$I$38-1,0)),IF(AND($L$711=0,$P$708=0),"",$L$711-1),IF($R$17="Distrato",$E921,0))),0,YEARFRAC(MAX($P$708*($B921+IF($R$17="Distrato",$I$38-1,0)),IF(AND($L$711=0,$P$708=0),"",$L$711-1),IF($R$17="Distrato",$E921,0)),MIN(Q$38,$D$19),$P$20))-SUM($P921:P921)</f>
        <v>#VALUE!</v>
      </c>
      <c r="R921" s="446" t="e">
        <f>IF(OR($B921="",MIN(R$38,$D$19)&lt;MAX($P$708*($B921+IF($R$17="Distrato",$I$38-1,0)),IF(AND($L$711=0,$P$708=0),"",$L$711-1),IF($R$17="Distrato",$E921,0))),0,YEARFRAC(MAX($P$708*($B921+IF($R$17="Distrato",$I$38-1,0)),IF(AND($L$711=0,$P$708=0),"",$L$711-1),IF($R$17="Distrato",$E921,0)),MIN(R$38,$D$19),$P$20))-SUM($P921:Q921)</f>
        <v>#VALUE!</v>
      </c>
      <c r="S921" s="446" t="e">
        <f>IF(OR($B921="",MIN(S$38,$D$19)&lt;MAX($P$708*($B921+IF($R$17="Distrato",$I$38-1,0)),IF(AND($L$711=0,$P$708=0),"",$L$711-1),IF($R$17="Distrato",$E921,0))),0,YEARFRAC(MAX($P$708*($B921+IF($R$17="Distrato",$I$38-1,0)),IF(AND($L$711=0,$P$708=0),"",$L$711-1),IF($R$17="Distrato",$E921,0)),MIN(S$38,$D$19),$P$20))-SUM($P921:R921)</f>
        <v>#VALUE!</v>
      </c>
      <c r="T921" s="446" t="e">
        <f>IF(OR($B921="",MIN(T$38,$D$19)&lt;MAX($P$708*($B921+IF($R$17="Distrato",$I$38-1,0)),IF(AND($L$711=0,$P$708=0),"",$L$711-1),IF($R$17="Distrato",$E921,0))),0,YEARFRAC(MAX($P$708*($B921+IF($R$17="Distrato",$I$38-1,0)),IF(AND($L$711=0,$P$708=0),"",$L$711-1),IF($R$17="Distrato",$E921,0)),MIN(T$38,$D$19),$P$20))-SUM($P921:S921)</f>
        <v>#VALUE!</v>
      </c>
      <c r="U921" s="446" t="e">
        <f>IF(OR($B921="",MIN(U$38,$D$19)&lt;MAX($P$708*($B921+IF($R$17="Distrato",$I$38-1,0)),IF(AND($L$711=0,$P$708=0),"",$L$711-1),IF($R$17="Distrato",$E921,0))),0,YEARFRAC(MAX($P$708*($B921+IF($R$17="Distrato",$I$38-1,0)),IF(AND($L$711=0,$P$708=0),"",$L$711-1),IF($R$17="Distrato",$E921,0)),MIN(U$38,$D$19),$P$20))-SUM($P921:T921)</f>
        <v>#VALUE!</v>
      </c>
      <c r="V921" s="446" t="e">
        <f>IF(OR($B921="",MIN(V$38,$D$19)&lt;MAX($P$708*($B921+IF($R$17="Distrato",$I$38-1,0)),IF(AND($L$711=0,$P$708=0),"",$L$711-1),IF($R$17="Distrato",$E921,0))),0,YEARFRAC(MAX($P$708*($B921+IF($R$17="Distrato",$I$38-1,0)),IF(AND($L$711=0,$P$708=0),"",$L$711-1),IF($R$17="Distrato",$E921,0)),MIN(V$38,$D$19),$P$20))-SUM($P921:U921)</f>
        <v>#VALUE!</v>
      </c>
      <c r="W921" s="446" t="e">
        <f>IF(OR($B921="",MIN(W$38,$D$19)&lt;MAX($P$708*($B921+IF($R$17="Distrato",$I$38-1,0)),IF(AND($L$711=0,$P$708=0),"",$L$711-1),IF($R$17="Distrato",$E921,0))),0,YEARFRAC(MAX($P$708*($B921+IF($R$17="Distrato",$I$38-1,0)),IF(AND($L$711=0,$P$708=0),"",$L$711-1),IF($R$17="Distrato",$E921,0)),MIN(W$38,$D$19),$P$20))-SUM($P921:V921)</f>
        <v>#VALUE!</v>
      </c>
      <c r="X921" s="446" t="e">
        <f>IF(OR($B921="",MIN(X$38,$D$19)&lt;MAX($P$708*($B921+IF($R$17="Distrato",$I$38-1,0)),IF(AND($L$711=0,$P$708=0),"",$L$711-1),IF($R$17="Distrato",$E921,0))),0,YEARFRAC(MAX($P$708*($B921+IF($R$17="Distrato",$I$38-1,0)),IF(AND($L$711=0,$P$708=0),"",$L$711-1),IF($R$17="Distrato",$E921,0)),MIN(X$38,$D$19),$P$20))-SUM($P921:W921)</f>
        <v>#VALUE!</v>
      </c>
      <c r="Y921" s="446" t="e">
        <f>IF(OR($B921="",MIN(Y$38,$D$19)&lt;MAX($P$708*($B921+IF($R$17="Distrato",$I$38-1,0)),IF(AND($L$711=0,$P$708=0),"",$L$711-1),IF($R$17="Distrato",$E921,0))),0,YEARFRAC(MAX($P$708*($B921+IF($R$17="Distrato",$I$38-1,0)),IF(AND($L$711=0,$P$708=0),"",$L$711-1),IF($R$17="Distrato",$E921,0)),MIN(Y$38,$D$19),$P$20))-SUM($P921:X921)</f>
        <v>#VALUE!</v>
      </c>
      <c r="Z921" s="446" t="e">
        <f>IF(OR($B921="",MIN(Z$38,$D$19)&lt;MAX($P$708*($B921+IF($R$17="Distrato",$I$38-1,0)),IF(AND($L$711=0,$P$708=0),"",$L$711-1),IF($R$17="Distrato",$E921,0))),0,YEARFRAC(MAX($P$708*($B921+IF($R$17="Distrato",$I$38-1,0)),IF(AND($L$711=0,$P$708=0),"",$L$711-1),IF($R$17="Distrato",$E921,0)),MIN(Z$38,$D$19),$P$20))-SUM($P921:Y921)</f>
        <v>#VALUE!</v>
      </c>
      <c r="AA921" s="446" t="e">
        <f>IF(OR($B921="",MIN(AA$38,$D$19)&lt;MAX($P$708*($B921+IF($R$17="Distrato",$I$38-1,0)),IF(AND($L$711=0,$P$708=0),"",$L$711-1),IF($R$17="Distrato",$E921,0))),0,YEARFRAC(MAX($P$708*($B921+IF($R$17="Distrato",$I$38-1,0)),IF(AND($L$711=0,$P$708=0),"",$L$711-1),IF($R$17="Distrato",$E921,0)),MIN(AA$38,$D$19),$P$20))-SUM($P921:Z921)</f>
        <v>#VALUE!</v>
      </c>
      <c r="AB921" s="446" t="e">
        <f>IF(OR($B921="",MIN(AB$38,$D$19)&lt;MAX($P$708*($B921+IF($R$17="Distrato",$I$38-1,0)),IF(AND($L$711=0,$P$708=0),"",$L$711-1),IF($R$17="Distrato",$E921,0))),0,YEARFRAC(MAX($P$708*($B921+IF($R$17="Distrato",$I$38-1,0)),IF(AND($L$711=0,$P$708=0),"",$L$711-1),IF($R$17="Distrato",$E921,0)),MIN(AB$38,$D$19),$P$20))-SUM($P921:AA921)</f>
        <v>#VALUE!</v>
      </c>
      <c r="AC921" s="446" t="e">
        <f>IF(OR($B921="",MIN(AC$38,$D$19)&lt;MAX($P$708*($B921+IF($R$17="Distrato",$I$38-1,0)),IF(AND($L$711=0,$P$708=0),"",$L$711-1),IF($R$17="Distrato",$E921,0))),0,YEARFRAC(MAX($P$708*($B921+IF($R$17="Distrato",$I$38-1,0)),IF(AND($L$711=0,$P$708=0),"",$L$711-1),IF($R$17="Distrato",$E921,0)),MIN(AC$38,$D$19),$P$20))-SUM($P921:AB921)</f>
        <v>#VALUE!</v>
      </c>
      <c r="AD921" s="446" t="e">
        <f>IF(OR($B921="",MIN(AD$38,$D$19)&lt;MAX($P$708*($B921+IF($R$17="Distrato",$I$38-1,0)),IF(AND($L$711=0,$P$708=0),"",$L$711-1),IF($R$17="Distrato",$E921,0))),0,YEARFRAC(MAX($P$708*($B921+IF($R$17="Distrato",$I$38-1,0)),IF(AND($L$711=0,$P$708=0),"",$L$711-1),IF($R$17="Distrato",$E921,0)),MIN(AD$38,$D$19),$P$20))-SUM($P921:AC921)</f>
        <v>#VALUE!</v>
      </c>
      <c r="AE921" s="446" t="e">
        <f>IF(OR($B921="",MIN(AE$38,$D$19)&lt;MAX($P$708*($B921+IF($R$17="Distrato",$I$38-1,0)),IF(AND($L$711=0,$P$708=0),"",$L$711-1),IF($R$17="Distrato",$E921,0))),0,YEARFRAC(MAX($P$708*($B921+IF($R$17="Distrato",$I$38-1,0)),IF(AND($L$711=0,$P$708=0),"",$L$711-1),IF($R$17="Distrato",$E921,0)),MIN(AE$38,$D$19),$P$20))-SUM($P921:AD921)</f>
        <v>#VALUE!</v>
      </c>
      <c r="AF921" s="446" t="e">
        <f>IF(OR($B921="",MIN(AF$38,$D$19)&lt;MAX($P$708*($B921+IF($R$17="Distrato",$I$38-1,0)),IF(AND($L$711=0,$P$708=0),"",$L$711-1),IF($R$17="Distrato",$E921,0))),0,YEARFRAC(MAX($P$708*($B921+IF($R$17="Distrato",$I$38-1,0)),IF(AND($L$711=0,$P$708=0),"",$L$711-1),IF($R$17="Distrato",$E921,0)),MIN(AF$38,$D$19),$P$20))-SUM($P921:AE921)</f>
        <v>#VALUE!</v>
      </c>
      <c r="AG921" s="446" t="e">
        <f>IF(OR($B921="",MIN(AG$38,$D$19)&lt;MAX($P$708*($B921+IF($R$17="Distrato",$I$38-1,0)),IF(AND($L$711=0,$P$708=0),"",$L$711-1),IF($R$17="Distrato",$E921,0))),0,YEARFRAC(MAX($P$708*($B921+IF($R$17="Distrato",$I$38-1,0)),IF(AND($L$711=0,$P$708=0),"",$L$711-1),IF($R$17="Distrato",$E921,0)),MIN(AG$38,$D$19),$P$20))-SUM($P921:AF921)</f>
        <v>#VALUE!</v>
      </c>
      <c r="AH921" s="446" t="e">
        <f>IF(OR($B921="",MIN(AH$38,$D$19)&lt;MAX($P$708*($B921+IF($R$17="Distrato",$I$38-1,0)),IF(AND($L$711=0,$P$708=0),"",$L$711-1),IF($R$17="Distrato",$E921,0))),0,YEARFRAC(MAX($P$708*($B921+IF($R$17="Distrato",$I$38-1,0)),IF(AND($L$711=0,$P$708=0),"",$L$711-1),IF($R$17="Distrato",$E921,0)),MIN(AH$38,$D$19),$P$20))-SUM($P921:AG921)</f>
        <v>#VALUE!</v>
      </c>
      <c r="AI921" s="446" t="e">
        <f>IF(OR($B921="",MIN(AI$38,$D$19)&lt;MAX($P$708*($B921+IF($R$17="Distrato",$I$38-1,0)),IF(AND($L$711=0,$P$708=0),"",$L$711-1),IF($R$17="Distrato",$E921,0))),0,YEARFRAC(MAX($P$708*($B921+IF($R$17="Distrato",$I$38-1,0)),IF(AND($L$711=0,$P$708=0),"",$L$711-1),IF($R$17="Distrato",$E921,0)),MIN(AI$38,$D$19),$P$20))-SUM($P921:AH921)</f>
        <v>#VALUE!</v>
      </c>
      <c r="AJ921" s="446" t="e">
        <f>IF(OR($B921="",MIN(AJ$38,$D$19)&lt;MAX($P$708*($B921+IF($R$17="Distrato",$I$38-1,0)),IF(AND($L$711=0,$P$708=0),"",$L$711-1),IF($R$17="Distrato",$E921,0))),0,YEARFRAC(MAX($P$708*($B921+IF($R$17="Distrato",$I$38-1,0)),IF(AND($L$711=0,$P$708=0),"",$L$711-1),IF($R$17="Distrato",$E921,0)),MIN(AJ$38,$D$19),$P$20))-SUM($P921:AI921)</f>
        <v>#VALUE!</v>
      </c>
      <c r="AK921" s="446" t="e">
        <f>IF(OR($B921="",MIN(AK$38,$D$19)&lt;MAX($P$708*($B921+IF($R$17="Distrato",$I$38-1,0)),IF(AND($L$711=0,$P$708=0),"",$L$711-1),IF($R$17="Distrato",$E921,0))),0,YEARFRAC(MAX($P$708*($B921+IF($R$17="Distrato",$I$38-1,0)),IF(AND($L$711=0,$P$708=0),"",$L$711-1),IF($R$17="Distrato",$E921,0)),MIN(AK$38,$D$19),$P$20))-SUM($P921:AJ921)</f>
        <v>#VALUE!</v>
      </c>
      <c r="AL921" s="446" t="e">
        <f>IF(OR($B921="",MIN(AL$38,$D$19)&lt;MAX($P$708*($B921+IF($R$17="Distrato",$I$38-1,0)),IF(AND($L$711=0,$P$708=0),"",$L$711-1),IF($R$17="Distrato",$E921,0))),0,YEARFRAC(MAX($P$708*($B921+IF($R$17="Distrato",$I$38-1,0)),IF(AND($L$711=0,$P$708=0),"",$L$711-1),IF($R$17="Distrato",$E921,0)),MIN(AL$38,$D$19),$P$20))-SUM($P921:AK921)</f>
        <v>#VALUE!</v>
      </c>
      <c r="AM921" s="446" t="e">
        <f>IF(OR($B921="",MIN(AM$38,$D$19)&lt;MAX($P$708*($B921+IF($R$17="Distrato",$I$38-1,0)),IF(AND($L$711=0,$P$708=0),"",$L$711-1),IF($R$17="Distrato",$E921,0))),0,YEARFRAC(MAX($P$708*($B921+IF($R$17="Distrato",$I$38-1,0)),IF(AND($L$711=0,$P$708=0),"",$L$711-1),IF($R$17="Distrato",$E921,0)),MIN(AM$38,$D$19),$P$20))-SUM($P921:AL921)</f>
        <v>#VALUE!</v>
      </c>
      <c r="AN921" s="446" t="e">
        <f>IF(OR($B921="",MIN(AN$38,$D$19)&lt;MAX($P$708*($B921+IF($R$17="Distrato",$I$38-1,0)),IF(AND($L$711=0,$P$708=0),"",$L$711-1),IF($R$17="Distrato",$E921,0))),0,YEARFRAC(MAX($P$708*($B921+IF($R$17="Distrato",$I$38-1,0)),IF(AND($L$711=0,$P$708=0),"",$L$711-1),IF($R$17="Distrato",$E921,0)),MIN(AN$38,$D$19),$P$20))-SUM($P921:AM921)</f>
        <v>#VALUE!</v>
      </c>
      <c r="AO921" s="446" t="e">
        <f>IF(OR($B921="",MIN(AO$38,$D$19)&lt;MAX($P$708*($B921+IF($R$17="Distrato",$I$38-1,0)),IF(AND($L$711=0,$P$708=0),"",$L$711-1),IF($R$17="Distrato",$E921,0))),0,YEARFRAC(MAX($P$708*($B921+IF($R$17="Distrato",$I$38-1,0)),IF(AND($L$711=0,$P$708=0),"",$L$711-1),IF($R$17="Distrato",$E921,0)),MIN(AO$38,$D$19),$P$20))-SUM($P921:AN921)</f>
        <v>#VALUE!</v>
      </c>
      <c r="AP921" s="446" t="e">
        <f>IF(OR($B921="",MIN(AP$38,$D$19)&lt;MAX($P$708*($B921+IF($R$17="Distrato",$I$38-1,0)),IF(AND($L$711=0,$P$708=0),"",$L$711-1),IF($R$17="Distrato",$E921,0))),0,YEARFRAC(MAX($P$708*($B921+IF($R$17="Distrato",$I$38-1,0)),IF(AND($L$711=0,$P$708=0),"",$L$711-1),IF($R$17="Distrato",$E921,0)),MIN(AP$38,$D$19),$P$20))-SUM($P921:AO921)</f>
        <v>#VALUE!</v>
      </c>
      <c r="AQ921" s="446" t="e">
        <f>IF(OR($B921="",MIN(AQ$38,$D$19)&lt;MAX($P$708*($B921+IF($R$17="Distrato",$I$38-1,0)),IF(AND($L$711=0,$P$708=0),"",$L$711-1),IF($R$17="Distrato",$E921,0))),0,YEARFRAC(MAX($P$708*($B921+IF($R$17="Distrato",$I$38-1,0)),IF(AND($L$711=0,$P$708=0),"",$L$711-1),IF($R$17="Distrato",$E921,0)),MIN(AQ$38,$D$19),$P$20))-SUM($P921:AP921)</f>
        <v>#VALUE!</v>
      </c>
      <c r="AR921" s="446" t="e">
        <f>IF(OR($B921="",MIN(AR$38,$D$19)&lt;MAX($P$708*($B921+IF($R$17="Distrato",$I$38-1,0)),IF(AND($L$711=0,$P$708=0),"",$L$711-1),IF($R$17="Distrato",$E921,0))),0,YEARFRAC(MAX($P$708*($B921+IF($R$17="Distrato",$I$38-1,0)),IF(AND($L$711=0,$P$708=0),"",$L$711-1),IF($R$17="Distrato",$E921,0)),MIN(AR$38,$D$19),$P$20))-SUM($P921:AQ921)</f>
        <v>#VALUE!</v>
      </c>
      <c r="AS921" s="446" t="e">
        <f>IF(OR($B921="",MIN(AS$38,$D$19)&lt;MAX($P$708*($B921+IF($R$17="Distrato",$I$38-1,0)),IF(AND($L$711=0,$P$708=0),"",$L$711-1),IF($R$17="Distrato",$E921,0))),0,YEARFRAC(MAX($P$708*($B921+IF($R$17="Distrato",$I$38-1,0)),IF(AND($L$711=0,$P$708=0),"",$L$711-1),IF($R$17="Distrato",$E921,0)),MIN(AS$38,$D$19),$P$20))-SUM($P921:AR921)</f>
        <v>#VALUE!</v>
      </c>
      <c r="AT921" s="446" t="e">
        <f>IF(OR($B921="",MIN(AT$38,$D$19)&lt;MAX($P$708*($B921+IF($R$17="Distrato",$I$38-1,0)),IF(AND($L$711=0,$P$708=0),"",$L$711-1),IF($R$17="Distrato",$E921,0))),0,YEARFRAC(MAX($P$708*($B921+IF($R$17="Distrato",$I$38-1,0)),IF(AND($L$711=0,$P$708=0),"",$L$711-1),IF($R$17="Distrato",$E921,0)),MIN(AT$38,$D$19),$P$20))-SUM($P921:AS921)</f>
        <v>#VALUE!</v>
      </c>
      <c r="AU921" s="446" t="e">
        <f>IF(OR($B921="",MIN(AU$38,$D$19)&lt;MAX($P$708*($B921+IF($R$17="Distrato",$I$38-1,0)),IF(AND($L$711=0,$P$708=0),"",$L$711-1),IF($R$17="Distrato",$E921,0))),0,YEARFRAC(MAX($P$708*($B921+IF($R$17="Distrato",$I$38-1,0)),IF(AND($L$711=0,$P$708=0),"",$L$711-1),IF($R$17="Distrato",$E921,0)),MIN(AU$38,$D$19),$P$20))-SUM($P921:AT921)</f>
        <v>#VALUE!</v>
      </c>
      <c r="AV921" s="446" t="e">
        <f>IF(OR($B921="",MIN(AV$38,$D$19)&lt;MAX($P$708*($B921+IF($R$17="Distrato",$I$38-1,0)),IF(AND($L$711=0,$P$708=0),"",$L$711-1),IF($R$17="Distrato",$E921,0))),0,YEARFRAC(MAX($P$708*($B921+IF($R$17="Distrato",$I$38-1,0)),IF(AND($L$711=0,$P$708=0),"",$L$711-1),IF($R$17="Distrato",$E921,0)),MIN(AV$38,$D$19),$P$20))-SUM($P921:AU921)</f>
        <v>#VALUE!</v>
      </c>
      <c r="AW921" s="446" t="e">
        <f>IF(OR($B921="",MIN(AW$38,$D$19)&lt;MAX($P$708*($B921+IF($R$17="Distrato",$I$38-1,0)),IF(AND($L$711=0,$P$708=0),"",$L$711-1),IF($R$17="Distrato",$E921,0))),0,YEARFRAC(MAX($P$708*($B921+IF($R$17="Distrato",$I$38-1,0)),IF(AND($L$711=0,$P$708=0),"",$L$711-1),IF($R$17="Distrato",$E921,0)),MIN(AW$38,$D$19),$P$20))-SUM($P921:AV921)</f>
        <v>#VALUE!</v>
      </c>
      <c r="AX921" s="446" t="e">
        <f>IF(OR($B921="",MIN(AX$38,$D$19)&lt;MAX($P$708*($B921+IF($R$17="Distrato",$I$38-1,0)),IF(AND($L$711=0,$P$708=0),"",$L$711-1),IF($R$17="Distrato",$E921,0))),0,YEARFRAC(MAX($P$708*($B921+IF($R$17="Distrato",$I$38-1,0)),IF(AND($L$711=0,$P$708=0),"",$L$711-1),IF($R$17="Distrato",$E921,0)),MIN(AX$38,$D$19),$P$20))-SUM($P921:AW921)</f>
        <v>#VALUE!</v>
      </c>
      <c r="AY921" s="446" t="e">
        <f>IF(OR($B921="",MIN(AY$38,$D$19)&lt;MAX($P$708*($B921+IF($R$17="Distrato",$I$38-1,0)),IF(AND($L$711=0,$P$708=0),"",$L$711-1),IF($R$17="Distrato",$E921,0))),0,YEARFRAC(MAX($P$708*($B921+IF($R$17="Distrato",$I$38-1,0)),IF(AND($L$711=0,$P$708=0),"",$L$711-1),IF($R$17="Distrato",$E921,0)),MIN(AY$38,$D$19),$P$20))-SUM($P921:AX921)</f>
        <v>#VALUE!</v>
      </c>
      <c r="AZ921" s="446" t="e">
        <f>IF(OR($B921="",MIN(AZ$38,$D$19)&lt;MAX($P$708*($B921+IF($R$17="Distrato",$I$38-1,0)),IF(AND($L$711=0,$P$708=0),"",$L$711-1),IF($R$17="Distrato",$E921,0))),0,YEARFRAC(MAX($P$708*($B921+IF($R$17="Distrato",$I$38-1,0)),IF(AND($L$711=0,$P$708=0),"",$L$711-1),IF($R$17="Distrato",$E921,0)),MIN(AZ$38,$D$19),$P$20))-SUM($P921:AY921)</f>
        <v>#VALUE!</v>
      </c>
      <c r="BA921" s="446" t="e">
        <f>IF(OR($B921="",MIN(BA$38,$D$19)&lt;MAX($P$708*($B921+IF($R$17="Distrato",$I$38-1,0)),IF(AND($L$711=0,$P$708=0),"",$L$711-1),IF($R$17="Distrato",$E921,0))),0,YEARFRAC(MAX($P$708*($B921+IF($R$17="Distrato",$I$38-1,0)),IF(AND($L$711=0,$P$708=0),"",$L$711-1),IF($R$17="Distrato",$E921,0)),MIN(BA$38,$D$19),$P$20))-SUM($P921:AZ921)</f>
        <v>#VALUE!</v>
      </c>
      <c r="BB921" s="447"/>
    </row>
    <row r="922" spans="1:54" s="446" customFormat="1" ht="11.25" hidden="1" customHeight="1" x14ac:dyDescent="0.2">
      <c r="A922" s="235"/>
      <c r="B922" s="236"/>
      <c r="C922" s="29" t="str">
        <f>IF(B922="","",IF($L$709=$BL$25,VLOOKUP(DATE(YEAR($D$19),MONTH($D$19)-1,1),ÍNDICES!$A:$DE,HLOOKUP($BL$25,ÍNDICES!$B$3:$T$4,2)+11)-VLOOKUP(B922,ÍNDICES!$A:$DE,HLOOKUP($BL$25,ÍNDICES!$B$3:$T$4,2)+11)+1%,IF(C$712=$W$26,$J$35,IF(ISERROR(IF(B922&gt;$D$19,1,VLOOKUP(DATE(YEAR(B922),MONTH(B922)+IF($C$709=$S$23,1,0),1),ÍNDICES!$A:$DE,$Z$709+1))),"",IF(B922&gt;$D$19,1,VLOOKUP(DATE(YEAR(B922),MONTH(B922)+IF($C$709=$S$23,1,0),1),ÍNDICES!$A:$DE,$Z$709+1))))))</f>
        <v/>
      </c>
      <c r="D922" s="155"/>
      <c r="E922" s="88"/>
      <c r="F922" s="88"/>
      <c r="G922" s="88"/>
      <c r="H922" s="118"/>
      <c r="I922" s="182">
        <f t="shared" si="136"/>
        <v>0</v>
      </c>
      <c r="J922" s="20">
        <f t="shared" ca="1" si="137"/>
        <v>0</v>
      </c>
      <c r="K922" s="5">
        <f t="shared" ca="1" si="138"/>
        <v>0</v>
      </c>
      <c r="L922" s="61">
        <f t="shared" ca="1" si="139"/>
        <v>0</v>
      </c>
      <c r="M922" s="64">
        <f t="shared" si="140"/>
        <v>0</v>
      </c>
      <c r="N922" s="151"/>
      <c r="O922" s="5">
        <f t="shared" ca="1" si="141"/>
        <v>0</v>
      </c>
      <c r="P922" s="446" t="e">
        <f t="shared" si="142"/>
        <v>#VALUE!</v>
      </c>
      <c r="Q922" s="446" t="e">
        <f>IF(OR($B922="",MIN(Q$38,$D$19)&lt;MAX($P$708*($B922+IF($R$17="Distrato",$I$38-1,0)),IF(AND($L$711=0,$P$708=0),"",$L$711-1),IF($R$17="Distrato",$E922,0))),0,YEARFRAC(MAX($P$708*($B922+IF($R$17="Distrato",$I$38-1,0)),IF(AND($L$711=0,$P$708=0),"",$L$711-1),IF($R$17="Distrato",$E922,0)),MIN(Q$38,$D$19),$P$20))-SUM($P922:P922)</f>
        <v>#VALUE!</v>
      </c>
      <c r="R922" s="446" t="e">
        <f>IF(OR($B922="",MIN(R$38,$D$19)&lt;MAX($P$708*($B922+IF($R$17="Distrato",$I$38-1,0)),IF(AND($L$711=0,$P$708=0),"",$L$711-1),IF($R$17="Distrato",$E922,0))),0,YEARFRAC(MAX($P$708*($B922+IF($R$17="Distrato",$I$38-1,0)),IF(AND($L$711=0,$P$708=0),"",$L$711-1),IF($R$17="Distrato",$E922,0)),MIN(R$38,$D$19),$P$20))-SUM($P922:Q922)</f>
        <v>#VALUE!</v>
      </c>
      <c r="S922" s="446" t="e">
        <f>IF(OR($B922="",MIN(S$38,$D$19)&lt;MAX($P$708*($B922+IF($R$17="Distrato",$I$38-1,0)),IF(AND($L$711=0,$P$708=0),"",$L$711-1),IF($R$17="Distrato",$E922,0))),0,YEARFRAC(MAX($P$708*($B922+IF($R$17="Distrato",$I$38-1,0)),IF(AND($L$711=0,$P$708=0),"",$L$711-1),IF($R$17="Distrato",$E922,0)),MIN(S$38,$D$19),$P$20))-SUM($P922:R922)</f>
        <v>#VALUE!</v>
      </c>
      <c r="T922" s="446" t="e">
        <f>IF(OR($B922="",MIN(T$38,$D$19)&lt;MAX($P$708*($B922+IF($R$17="Distrato",$I$38-1,0)),IF(AND($L$711=0,$P$708=0),"",$L$711-1),IF($R$17="Distrato",$E922,0))),0,YEARFRAC(MAX($P$708*($B922+IF($R$17="Distrato",$I$38-1,0)),IF(AND($L$711=0,$P$708=0),"",$L$711-1),IF($R$17="Distrato",$E922,0)),MIN(T$38,$D$19),$P$20))-SUM($P922:S922)</f>
        <v>#VALUE!</v>
      </c>
      <c r="U922" s="446" t="e">
        <f>IF(OR($B922="",MIN(U$38,$D$19)&lt;MAX($P$708*($B922+IF($R$17="Distrato",$I$38-1,0)),IF(AND($L$711=0,$P$708=0),"",$L$711-1),IF($R$17="Distrato",$E922,0))),0,YEARFRAC(MAX($P$708*($B922+IF($R$17="Distrato",$I$38-1,0)),IF(AND($L$711=0,$P$708=0),"",$L$711-1),IF($R$17="Distrato",$E922,0)),MIN(U$38,$D$19),$P$20))-SUM($P922:T922)</f>
        <v>#VALUE!</v>
      </c>
      <c r="V922" s="446" t="e">
        <f>IF(OR($B922="",MIN(V$38,$D$19)&lt;MAX($P$708*($B922+IF($R$17="Distrato",$I$38-1,0)),IF(AND($L$711=0,$P$708=0),"",$L$711-1),IF($R$17="Distrato",$E922,0))),0,YEARFRAC(MAX($P$708*($B922+IF($R$17="Distrato",$I$38-1,0)),IF(AND($L$711=0,$P$708=0),"",$L$711-1),IF($R$17="Distrato",$E922,0)),MIN(V$38,$D$19),$P$20))-SUM($P922:U922)</f>
        <v>#VALUE!</v>
      </c>
      <c r="W922" s="446" t="e">
        <f>IF(OR($B922="",MIN(W$38,$D$19)&lt;MAX($P$708*($B922+IF($R$17="Distrato",$I$38-1,0)),IF(AND($L$711=0,$P$708=0),"",$L$711-1),IF($R$17="Distrato",$E922,0))),0,YEARFRAC(MAX($P$708*($B922+IF($R$17="Distrato",$I$38-1,0)),IF(AND($L$711=0,$P$708=0),"",$L$711-1),IF($R$17="Distrato",$E922,0)),MIN(W$38,$D$19),$P$20))-SUM($P922:V922)</f>
        <v>#VALUE!</v>
      </c>
      <c r="X922" s="446" t="e">
        <f>IF(OR($B922="",MIN(X$38,$D$19)&lt;MAX($P$708*($B922+IF($R$17="Distrato",$I$38-1,0)),IF(AND($L$711=0,$P$708=0),"",$L$711-1),IF($R$17="Distrato",$E922,0))),0,YEARFRAC(MAX($P$708*($B922+IF($R$17="Distrato",$I$38-1,0)),IF(AND($L$711=0,$P$708=0),"",$L$711-1),IF($R$17="Distrato",$E922,0)),MIN(X$38,$D$19),$P$20))-SUM($P922:W922)</f>
        <v>#VALUE!</v>
      </c>
      <c r="Y922" s="446" t="e">
        <f>IF(OR($B922="",MIN(Y$38,$D$19)&lt;MAX($P$708*($B922+IF($R$17="Distrato",$I$38-1,0)),IF(AND($L$711=0,$P$708=0),"",$L$711-1),IF($R$17="Distrato",$E922,0))),0,YEARFRAC(MAX($P$708*($B922+IF($R$17="Distrato",$I$38-1,0)),IF(AND($L$711=0,$P$708=0),"",$L$711-1),IF($R$17="Distrato",$E922,0)),MIN(Y$38,$D$19),$P$20))-SUM($P922:X922)</f>
        <v>#VALUE!</v>
      </c>
      <c r="Z922" s="446" t="e">
        <f>IF(OR($B922="",MIN(Z$38,$D$19)&lt;MAX($P$708*($B922+IF($R$17="Distrato",$I$38-1,0)),IF(AND($L$711=0,$P$708=0),"",$L$711-1),IF($R$17="Distrato",$E922,0))),0,YEARFRAC(MAX($P$708*($B922+IF($R$17="Distrato",$I$38-1,0)),IF(AND($L$711=0,$P$708=0),"",$L$711-1),IF($R$17="Distrato",$E922,0)),MIN(Z$38,$D$19),$P$20))-SUM($P922:Y922)</f>
        <v>#VALUE!</v>
      </c>
      <c r="AA922" s="446" t="e">
        <f>IF(OR($B922="",MIN(AA$38,$D$19)&lt;MAX($P$708*($B922+IF($R$17="Distrato",$I$38-1,0)),IF(AND($L$711=0,$P$708=0),"",$L$711-1),IF($R$17="Distrato",$E922,0))),0,YEARFRAC(MAX($P$708*($B922+IF($R$17="Distrato",$I$38-1,0)),IF(AND($L$711=0,$P$708=0),"",$L$711-1),IF($R$17="Distrato",$E922,0)),MIN(AA$38,$D$19),$P$20))-SUM($P922:Z922)</f>
        <v>#VALUE!</v>
      </c>
      <c r="AB922" s="446" t="e">
        <f>IF(OR($B922="",MIN(AB$38,$D$19)&lt;MAX($P$708*($B922+IF($R$17="Distrato",$I$38-1,0)),IF(AND($L$711=0,$P$708=0),"",$L$711-1),IF($R$17="Distrato",$E922,0))),0,YEARFRAC(MAX($P$708*($B922+IF($R$17="Distrato",$I$38-1,0)),IF(AND($L$711=0,$P$708=0),"",$L$711-1),IF($R$17="Distrato",$E922,0)),MIN(AB$38,$D$19),$P$20))-SUM($P922:AA922)</f>
        <v>#VALUE!</v>
      </c>
      <c r="AC922" s="446" t="e">
        <f>IF(OR($B922="",MIN(AC$38,$D$19)&lt;MAX($P$708*($B922+IF($R$17="Distrato",$I$38-1,0)),IF(AND($L$711=0,$P$708=0),"",$L$711-1),IF($R$17="Distrato",$E922,0))),0,YEARFRAC(MAX($P$708*($B922+IF($R$17="Distrato",$I$38-1,0)),IF(AND($L$711=0,$P$708=0),"",$L$711-1),IF($R$17="Distrato",$E922,0)),MIN(AC$38,$D$19),$P$20))-SUM($P922:AB922)</f>
        <v>#VALUE!</v>
      </c>
      <c r="AD922" s="446" t="e">
        <f>IF(OR($B922="",MIN(AD$38,$D$19)&lt;MAX($P$708*($B922+IF($R$17="Distrato",$I$38-1,0)),IF(AND($L$711=0,$P$708=0),"",$L$711-1),IF($R$17="Distrato",$E922,0))),0,YEARFRAC(MAX($P$708*($B922+IF($R$17="Distrato",$I$38-1,0)),IF(AND($L$711=0,$P$708=0),"",$L$711-1),IF($R$17="Distrato",$E922,0)),MIN(AD$38,$D$19),$P$20))-SUM($P922:AC922)</f>
        <v>#VALUE!</v>
      </c>
      <c r="AE922" s="446" t="e">
        <f>IF(OR($B922="",MIN(AE$38,$D$19)&lt;MAX($P$708*($B922+IF($R$17="Distrato",$I$38-1,0)),IF(AND($L$711=0,$P$708=0),"",$L$711-1),IF($R$17="Distrato",$E922,0))),0,YEARFRAC(MAX($P$708*($B922+IF($R$17="Distrato",$I$38-1,0)),IF(AND($L$711=0,$P$708=0),"",$L$711-1),IF($R$17="Distrato",$E922,0)),MIN(AE$38,$D$19),$P$20))-SUM($P922:AD922)</f>
        <v>#VALUE!</v>
      </c>
      <c r="AF922" s="446" t="e">
        <f>IF(OR($B922="",MIN(AF$38,$D$19)&lt;MAX($P$708*($B922+IF($R$17="Distrato",$I$38-1,0)),IF(AND($L$711=0,$P$708=0),"",$L$711-1),IF($R$17="Distrato",$E922,0))),0,YEARFRAC(MAX($P$708*($B922+IF($R$17="Distrato",$I$38-1,0)),IF(AND($L$711=0,$P$708=0),"",$L$711-1),IF($R$17="Distrato",$E922,0)),MIN(AF$38,$D$19),$P$20))-SUM($P922:AE922)</f>
        <v>#VALUE!</v>
      </c>
      <c r="AG922" s="446" t="e">
        <f>IF(OR($B922="",MIN(AG$38,$D$19)&lt;MAX($P$708*($B922+IF($R$17="Distrato",$I$38-1,0)),IF(AND($L$711=0,$P$708=0),"",$L$711-1),IF($R$17="Distrato",$E922,0))),0,YEARFRAC(MAX($P$708*($B922+IF($R$17="Distrato",$I$38-1,0)),IF(AND($L$711=0,$P$708=0),"",$L$711-1),IF($R$17="Distrato",$E922,0)),MIN(AG$38,$D$19),$P$20))-SUM($P922:AF922)</f>
        <v>#VALUE!</v>
      </c>
      <c r="AH922" s="446" t="e">
        <f>IF(OR($B922="",MIN(AH$38,$D$19)&lt;MAX($P$708*($B922+IF($R$17="Distrato",$I$38-1,0)),IF(AND($L$711=0,$P$708=0),"",$L$711-1),IF($R$17="Distrato",$E922,0))),0,YEARFRAC(MAX($P$708*($B922+IF($R$17="Distrato",$I$38-1,0)),IF(AND($L$711=0,$P$708=0),"",$L$711-1),IF($R$17="Distrato",$E922,0)),MIN(AH$38,$D$19),$P$20))-SUM($P922:AG922)</f>
        <v>#VALUE!</v>
      </c>
      <c r="AI922" s="446" t="e">
        <f>IF(OR($B922="",MIN(AI$38,$D$19)&lt;MAX($P$708*($B922+IF($R$17="Distrato",$I$38-1,0)),IF(AND($L$711=0,$P$708=0),"",$L$711-1),IF($R$17="Distrato",$E922,0))),0,YEARFRAC(MAX($P$708*($B922+IF($R$17="Distrato",$I$38-1,0)),IF(AND($L$711=0,$P$708=0),"",$L$711-1),IF($R$17="Distrato",$E922,0)),MIN(AI$38,$D$19),$P$20))-SUM($P922:AH922)</f>
        <v>#VALUE!</v>
      </c>
      <c r="AJ922" s="446" t="e">
        <f>IF(OR($B922="",MIN(AJ$38,$D$19)&lt;MAX($P$708*($B922+IF($R$17="Distrato",$I$38-1,0)),IF(AND($L$711=0,$P$708=0),"",$L$711-1),IF($R$17="Distrato",$E922,0))),0,YEARFRAC(MAX($P$708*($B922+IF($R$17="Distrato",$I$38-1,0)),IF(AND($L$711=0,$P$708=0),"",$L$711-1),IF($R$17="Distrato",$E922,0)),MIN(AJ$38,$D$19),$P$20))-SUM($P922:AI922)</f>
        <v>#VALUE!</v>
      </c>
      <c r="AK922" s="446" t="e">
        <f>IF(OR($B922="",MIN(AK$38,$D$19)&lt;MAX($P$708*($B922+IF($R$17="Distrato",$I$38-1,0)),IF(AND($L$711=0,$P$708=0),"",$L$711-1),IF($R$17="Distrato",$E922,0))),0,YEARFRAC(MAX($P$708*($B922+IF($R$17="Distrato",$I$38-1,0)),IF(AND($L$711=0,$P$708=0),"",$L$711-1),IF($R$17="Distrato",$E922,0)),MIN(AK$38,$D$19),$P$20))-SUM($P922:AJ922)</f>
        <v>#VALUE!</v>
      </c>
      <c r="AL922" s="446" t="e">
        <f>IF(OR($B922="",MIN(AL$38,$D$19)&lt;MAX($P$708*($B922+IF($R$17="Distrato",$I$38-1,0)),IF(AND($L$711=0,$P$708=0),"",$L$711-1),IF($R$17="Distrato",$E922,0))),0,YEARFRAC(MAX($P$708*($B922+IF($R$17="Distrato",$I$38-1,0)),IF(AND($L$711=0,$P$708=0),"",$L$711-1),IF($R$17="Distrato",$E922,0)),MIN(AL$38,$D$19),$P$20))-SUM($P922:AK922)</f>
        <v>#VALUE!</v>
      </c>
      <c r="AM922" s="446" t="e">
        <f>IF(OR($B922="",MIN(AM$38,$D$19)&lt;MAX($P$708*($B922+IF($R$17="Distrato",$I$38-1,0)),IF(AND($L$711=0,$P$708=0),"",$L$711-1),IF($R$17="Distrato",$E922,0))),0,YEARFRAC(MAX($P$708*($B922+IF($R$17="Distrato",$I$38-1,0)),IF(AND($L$711=0,$P$708=0),"",$L$711-1),IF($R$17="Distrato",$E922,0)),MIN(AM$38,$D$19),$P$20))-SUM($P922:AL922)</f>
        <v>#VALUE!</v>
      </c>
      <c r="AN922" s="446" t="e">
        <f>IF(OR($B922="",MIN(AN$38,$D$19)&lt;MAX($P$708*($B922+IF($R$17="Distrato",$I$38-1,0)),IF(AND($L$711=0,$P$708=0),"",$L$711-1),IF($R$17="Distrato",$E922,0))),0,YEARFRAC(MAX($P$708*($B922+IF($R$17="Distrato",$I$38-1,0)),IF(AND($L$711=0,$P$708=0),"",$L$711-1),IF($R$17="Distrato",$E922,0)),MIN(AN$38,$D$19),$P$20))-SUM($P922:AM922)</f>
        <v>#VALUE!</v>
      </c>
      <c r="AO922" s="446" t="e">
        <f>IF(OR($B922="",MIN(AO$38,$D$19)&lt;MAX($P$708*($B922+IF($R$17="Distrato",$I$38-1,0)),IF(AND($L$711=0,$P$708=0),"",$L$711-1),IF($R$17="Distrato",$E922,0))),0,YEARFRAC(MAX($P$708*($B922+IF($R$17="Distrato",$I$38-1,0)),IF(AND($L$711=0,$P$708=0),"",$L$711-1),IF($R$17="Distrato",$E922,0)),MIN(AO$38,$D$19),$P$20))-SUM($P922:AN922)</f>
        <v>#VALUE!</v>
      </c>
      <c r="AP922" s="446" t="e">
        <f>IF(OR($B922="",MIN(AP$38,$D$19)&lt;MAX($P$708*($B922+IF($R$17="Distrato",$I$38-1,0)),IF(AND($L$711=0,$P$708=0),"",$L$711-1),IF($R$17="Distrato",$E922,0))),0,YEARFRAC(MAX($P$708*($B922+IF($R$17="Distrato",$I$38-1,0)),IF(AND($L$711=0,$P$708=0),"",$L$711-1),IF($R$17="Distrato",$E922,0)),MIN(AP$38,$D$19),$P$20))-SUM($P922:AO922)</f>
        <v>#VALUE!</v>
      </c>
      <c r="AQ922" s="446" t="e">
        <f>IF(OR($B922="",MIN(AQ$38,$D$19)&lt;MAX($P$708*($B922+IF($R$17="Distrato",$I$38-1,0)),IF(AND($L$711=0,$P$708=0),"",$L$711-1),IF($R$17="Distrato",$E922,0))),0,YEARFRAC(MAX($P$708*($B922+IF($R$17="Distrato",$I$38-1,0)),IF(AND($L$711=0,$P$708=0),"",$L$711-1),IF($R$17="Distrato",$E922,0)),MIN(AQ$38,$D$19),$P$20))-SUM($P922:AP922)</f>
        <v>#VALUE!</v>
      </c>
      <c r="AR922" s="446" t="e">
        <f>IF(OR($B922="",MIN(AR$38,$D$19)&lt;MAX($P$708*($B922+IF($R$17="Distrato",$I$38-1,0)),IF(AND($L$711=0,$P$708=0),"",$L$711-1),IF($R$17="Distrato",$E922,0))),0,YEARFRAC(MAX($P$708*($B922+IF($R$17="Distrato",$I$38-1,0)),IF(AND($L$711=0,$P$708=0),"",$L$711-1),IF($R$17="Distrato",$E922,0)),MIN(AR$38,$D$19),$P$20))-SUM($P922:AQ922)</f>
        <v>#VALUE!</v>
      </c>
      <c r="AS922" s="446" t="e">
        <f>IF(OR($B922="",MIN(AS$38,$D$19)&lt;MAX($P$708*($B922+IF($R$17="Distrato",$I$38-1,0)),IF(AND($L$711=0,$P$708=0),"",$L$711-1),IF($R$17="Distrato",$E922,0))),0,YEARFRAC(MAX($P$708*($B922+IF($R$17="Distrato",$I$38-1,0)),IF(AND($L$711=0,$P$708=0),"",$L$711-1),IF($R$17="Distrato",$E922,0)),MIN(AS$38,$D$19),$P$20))-SUM($P922:AR922)</f>
        <v>#VALUE!</v>
      </c>
      <c r="AT922" s="446" t="e">
        <f>IF(OR($B922="",MIN(AT$38,$D$19)&lt;MAX($P$708*($B922+IF($R$17="Distrato",$I$38-1,0)),IF(AND($L$711=0,$P$708=0),"",$L$711-1),IF($R$17="Distrato",$E922,0))),0,YEARFRAC(MAX($P$708*($B922+IF($R$17="Distrato",$I$38-1,0)),IF(AND($L$711=0,$P$708=0),"",$L$711-1),IF($R$17="Distrato",$E922,0)),MIN(AT$38,$D$19),$P$20))-SUM($P922:AS922)</f>
        <v>#VALUE!</v>
      </c>
      <c r="AU922" s="446" t="e">
        <f>IF(OR($B922="",MIN(AU$38,$D$19)&lt;MAX($P$708*($B922+IF($R$17="Distrato",$I$38-1,0)),IF(AND($L$711=0,$P$708=0),"",$L$711-1),IF($R$17="Distrato",$E922,0))),0,YEARFRAC(MAX($P$708*($B922+IF($R$17="Distrato",$I$38-1,0)),IF(AND($L$711=0,$P$708=0),"",$L$711-1),IF($R$17="Distrato",$E922,0)),MIN(AU$38,$D$19),$P$20))-SUM($P922:AT922)</f>
        <v>#VALUE!</v>
      </c>
      <c r="AV922" s="446" t="e">
        <f>IF(OR($B922="",MIN(AV$38,$D$19)&lt;MAX($P$708*($B922+IF($R$17="Distrato",$I$38-1,0)),IF(AND($L$711=0,$P$708=0),"",$L$711-1),IF($R$17="Distrato",$E922,0))),0,YEARFRAC(MAX($P$708*($B922+IF($R$17="Distrato",$I$38-1,0)),IF(AND($L$711=0,$P$708=0),"",$L$711-1),IF($R$17="Distrato",$E922,0)),MIN(AV$38,$D$19),$P$20))-SUM($P922:AU922)</f>
        <v>#VALUE!</v>
      </c>
      <c r="AW922" s="446" t="e">
        <f>IF(OR($B922="",MIN(AW$38,$D$19)&lt;MAX($P$708*($B922+IF($R$17="Distrato",$I$38-1,0)),IF(AND($L$711=0,$P$708=0),"",$L$711-1),IF($R$17="Distrato",$E922,0))),0,YEARFRAC(MAX($P$708*($B922+IF($R$17="Distrato",$I$38-1,0)),IF(AND($L$711=0,$P$708=0),"",$L$711-1),IF($R$17="Distrato",$E922,0)),MIN(AW$38,$D$19),$P$20))-SUM($P922:AV922)</f>
        <v>#VALUE!</v>
      </c>
      <c r="AX922" s="446" t="e">
        <f>IF(OR($B922="",MIN(AX$38,$D$19)&lt;MAX($P$708*($B922+IF($R$17="Distrato",$I$38-1,0)),IF(AND($L$711=0,$P$708=0),"",$L$711-1),IF($R$17="Distrato",$E922,0))),0,YEARFRAC(MAX($P$708*($B922+IF($R$17="Distrato",$I$38-1,0)),IF(AND($L$711=0,$P$708=0),"",$L$711-1),IF($R$17="Distrato",$E922,0)),MIN(AX$38,$D$19),$P$20))-SUM($P922:AW922)</f>
        <v>#VALUE!</v>
      </c>
      <c r="AY922" s="446" t="e">
        <f>IF(OR($B922="",MIN(AY$38,$D$19)&lt;MAX($P$708*($B922+IF($R$17="Distrato",$I$38-1,0)),IF(AND($L$711=0,$P$708=0),"",$L$711-1),IF($R$17="Distrato",$E922,0))),0,YEARFRAC(MAX($P$708*($B922+IF($R$17="Distrato",$I$38-1,0)),IF(AND($L$711=0,$P$708=0),"",$L$711-1),IF($R$17="Distrato",$E922,0)),MIN(AY$38,$D$19),$P$20))-SUM($P922:AX922)</f>
        <v>#VALUE!</v>
      </c>
      <c r="AZ922" s="446" t="e">
        <f>IF(OR($B922="",MIN(AZ$38,$D$19)&lt;MAX($P$708*($B922+IF($R$17="Distrato",$I$38-1,0)),IF(AND($L$711=0,$P$708=0),"",$L$711-1),IF($R$17="Distrato",$E922,0))),0,YEARFRAC(MAX($P$708*($B922+IF($R$17="Distrato",$I$38-1,0)),IF(AND($L$711=0,$P$708=0),"",$L$711-1),IF($R$17="Distrato",$E922,0)),MIN(AZ$38,$D$19),$P$20))-SUM($P922:AY922)</f>
        <v>#VALUE!</v>
      </c>
      <c r="BA922" s="446" t="e">
        <f>IF(OR($B922="",MIN(BA$38,$D$19)&lt;MAX($P$708*($B922+IF($R$17="Distrato",$I$38-1,0)),IF(AND($L$711=0,$P$708=0),"",$L$711-1),IF($R$17="Distrato",$E922,0))),0,YEARFRAC(MAX($P$708*($B922+IF($R$17="Distrato",$I$38-1,0)),IF(AND($L$711=0,$P$708=0),"",$L$711-1),IF($R$17="Distrato",$E922,0)),MIN(BA$38,$D$19),$P$20))-SUM($P922:AZ922)</f>
        <v>#VALUE!</v>
      </c>
      <c r="BB922" s="447"/>
    </row>
    <row r="923" spans="1:54" s="446" customFormat="1" ht="11.25" hidden="1" customHeight="1" x14ac:dyDescent="0.2">
      <c r="A923" s="235"/>
      <c r="B923" s="236"/>
      <c r="C923" s="29" t="str">
        <f>IF(B923="","",IF($L$709=$BL$25,VLOOKUP(DATE(YEAR($D$19),MONTH($D$19)-1,1),ÍNDICES!$A:$DE,HLOOKUP($BL$25,ÍNDICES!$B$3:$T$4,2)+11)-VLOOKUP(B923,ÍNDICES!$A:$DE,HLOOKUP($BL$25,ÍNDICES!$B$3:$T$4,2)+11)+1%,IF(C$712=$W$26,$J$35,IF(ISERROR(IF(B923&gt;$D$19,1,VLOOKUP(DATE(YEAR(B923),MONTH(B923)+IF($C$709=$S$23,1,0),1),ÍNDICES!$A:$DE,$Z$709+1))),"",IF(B923&gt;$D$19,1,VLOOKUP(DATE(YEAR(B923),MONTH(B923)+IF($C$709=$S$23,1,0),1),ÍNDICES!$A:$DE,$Z$709+1))))))</f>
        <v/>
      </c>
      <c r="D923" s="155"/>
      <c r="E923" s="88"/>
      <c r="F923" s="88"/>
      <c r="G923" s="88"/>
      <c r="H923" s="118"/>
      <c r="I923" s="182">
        <f t="shared" si="136"/>
        <v>0</v>
      </c>
      <c r="J923" s="20">
        <f t="shared" ca="1" si="137"/>
        <v>0</v>
      </c>
      <c r="K923" s="5">
        <f t="shared" ca="1" si="138"/>
        <v>0</v>
      </c>
      <c r="L923" s="61">
        <f t="shared" ca="1" si="139"/>
        <v>0</v>
      </c>
      <c r="M923" s="64">
        <f t="shared" si="140"/>
        <v>0</v>
      </c>
      <c r="N923" s="151"/>
      <c r="O923" s="5">
        <f t="shared" ca="1" si="141"/>
        <v>0</v>
      </c>
      <c r="P923" s="446" t="e">
        <f t="shared" si="142"/>
        <v>#VALUE!</v>
      </c>
      <c r="Q923" s="446" t="e">
        <f>IF(OR($B923="",MIN(Q$38,$D$19)&lt;MAX($P$708*($B923+IF($R$17="Distrato",$I$38-1,0)),IF(AND($L$711=0,$P$708=0),"",$L$711-1),IF($R$17="Distrato",$E923,0))),0,YEARFRAC(MAX($P$708*($B923+IF($R$17="Distrato",$I$38-1,0)),IF(AND($L$711=0,$P$708=0),"",$L$711-1),IF($R$17="Distrato",$E923,0)),MIN(Q$38,$D$19),$P$20))-SUM($P923:P923)</f>
        <v>#VALUE!</v>
      </c>
      <c r="R923" s="446" t="e">
        <f>IF(OR($B923="",MIN(R$38,$D$19)&lt;MAX($P$708*($B923+IF($R$17="Distrato",$I$38-1,0)),IF(AND($L$711=0,$P$708=0),"",$L$711-1),IF($R$17="Distrato",$E923,0))),0,YEARFRAC(MAX($P$708*($B923+IF($R$17="Distrato",$I$38-1,0)),IF(AND($L$711=0,$P$708=0),"",$L$711-1),IF($R$17="Distrato",$E923,0)),MIN(R$38,$D$19),$P$20))-SUM($P923:Q923)</f>
        <v>#VALUE!</v>
      </c>
      <c r="S923" s="446" t="e">
        <f>IF(OR($B923="",MIN(S$38,$D$19)&lt;MAX($P$708*($B923+IF($R$17="Distrato",$I$38-1,0)),IF(AND($L$711=0,$P$708=0),"",$L$711-1),IF($R$17="Distrato",$E923,0))),0,YEARFRAC(MAX($P$708*($B923+IF($R$17="Distrato",$I$38-1,0)),IF(AND($L$711=0,$P$708=0),"",$L$711-1),IF($R$17="Distrato",$E923,0)),MIN(S$38,$D$19),$P$20))-SUM($P923:R923)</f>
        <v>#VALUE!</v>
      </c>
      <c r="T923" s="446" t="e">
        <f>IF(OR($B923="",MIN(T$38,$D$19)&lt;MAX($P$708*($B923+IF($R$17="Distrato",$I$38-1,0)),IF(AND($L$711=0,$P$708=0),"",$L$711-1),IF($R$17="Distrato",$E923,0))),0,YEARFRAC(MAX($P$708*($B923+IF($R$17="Distrato",$I$38-1,0)),IF(AND($L$711=0,$P$708=0),"",$L$711-1),IF($R$17="Distrato",$E923,0)),MIN(T$38,$D$19),$P$20))-SUM($P923:S923)</f>
        <v>#VALUE!</v>
      </c>
      <c r="U923" s="446" t="e">
        <f>IF(OR($B923="",MIN(U$38,$D$19)&lt;MAX($P$708*($B923+IF($R$17="Distrato",$I$38-1,0)),IF(AND($L$711=0,$P$708=0),"",$L$711-1),IF($R$17="Distrato",$E923,0))),0,YEARFRAC(MAX($P$708*($B923+IF($R$17="Distrato",$I$38-1,0)),IF(AND($L$711=0,$P$708=0),"",$L$711-1),IF($R$17="Distrato",$E923,0)),MIN(U$38,$D$19),$P$20))-SUM($P923:T923)</f>
        <v>#VALUE!</v>
      </c>
      <c r="V923" s="446" t="e">
        <f>IF(OR($B923="",MIN(V$38,$D$19)&lt;MAX($P$708*($B923+IF($R$17="Distrato",$I$38-1,0)),IF(AND($L$711=0,$P$708=0),"",$L$711-1),IF($R$17="Distrato",$E923,0))),0,YEARFRAC(MAX($P$708*($B923+IF($R$17="Distrato",$I$38-1,0)),IF(AND($L$711=0,$P$708=0),"",$L$711-1),IF($R$17="Distrato",$E923,0)),MIN(V$38,$D$19),$P$20))-SUM($P923:U923)</f>
        <v>#VALUE!</v>
      </c>
      <c r="W923" s="446" t="e">
        <f>IF(OR($B923="",MIN(W$38,$D$19)&lt;MAX($P$708*($B923+IF($R$17="Distrato",$I$38-1,0)),IF(AND($L$711=0,$P$708=0),"",$L$711-1),IF($R$17="Distrato",$E923,0))),0,YEARFRAC(MAX($P$708*($B923+IF($R$17="Distrato",$I$38-1,0)),IF(AND($L$711=0,$P$708=0),"",$L$711-1),IF($R$17="Distrato",$E923,0)),MIN(W$38,$D$19),$P$20))-SUM($P923:V923)</f>
        <v>#VALUE!</v>
      </c>
      <c r="X923" s="446" t="e">
        <f>IF(OR($B923="",MIN(X$38,$D$19)&lt;MAX($P$708*($B923+IF($R$17="Distrato",$I$38-1,0)),IF(AND($L$711=0,$P$708=0),"",$L$711-1),IF($R$17="Distrato",$E923,0))),0,YEARFRAC(MAX($P$708*($B923+IF($R$17="Distrato",$I$38-1,0)),IF(AND($L$711=0,$P$708=0),"",$L$711-1),IF($R$17="Distrato",$E923,0)),MIN(X$38,$D$19),$P$20))-SUM($P923:W923)</f>
        <v>#VALUE!</v>
      </c>
      <c r="Y923" s="446" t="e">
        <f>IF(OR($B923="",MIN(Y$38,$D$19)&lt;MAX($P$708*($B923+IF($R$17="Distrato",$I$38-1,0)),IF(AND($L$711=0,$P$708=0),"",$L$711-1),IF($R$17="Distrato",$E923,0))),0,YEARFRAC(MAX($P$708*($B923+IF($R$17="Distrato",$I$38-1,0)),IF(AND($L$711=0,$P$708=0),"",$L$711-1),IF($R$17="Distrato",$E923,0)),MIN(Y$38,$D$19),$P$20))-SUM($P923:X923)</f>
        <v>#VALUE!</v>
      </c>
      <c r="Z923" s="446" t="e">
        <f>IF(OR($B923="",MIN(Z$38,$D$19)&lt;MAX($P$708*($B923+IF($R$17="Distrato",$I$38-1,0)),IF(AND($L$711=0,$P$708=0),"",$L$711-1),IF($R$17="Distrato",$E923,0))),0,YEARFRAC(MAX($P$708*($B923+IF($R$17="Distrato",$I$38-1,0)),IF(AND($L$711=0,$P$708=0),"",$L$711-1),IF($R$17="Distrato",$E923,0)),MIN(Z$38,$D$19),$P$20))-SUM($P923:Y923)</f>
        <v>#VALUE!</v>
      </c>
      <c r="AA923" s="446" t="e">
        <f>IF(OR($B923="",MIN(AA$38,$D$19)&lt;MAX($P$708*($B923+IF($R$17="Distrato",$I$38-1,0)),IF(AND($L$711=0,$P$708=0),"",$L$711-1),IF($R$17="Distrato",$E923,0))),0,YEARFRAC(MAX($P$708*($B923+IF($R$17="Distrato",$I$38-1,0)),IF(AND($L$711=0,$P$708=0),"",$L$711-1),IF($R$17="Distrato",$E923,0)),MIN(AA$38,$D$19),$P$20))-SUM($P923:Z923)</f>
        <v>#VALUE!</v>
      </c>
      <c r="AB923" s="446" t="e">
        <f>IF(OR($B923="",MIN(AB$38,$D$19)&lt;MAX($P$708*($B923+IF($R$17="Distrato",$I$38-1,0)),IF(AND($L$711=0,$P$708=0),"",$L$711-1),IF($R$17="Distrato",$E923,0))),0,YEARFRAC(MAX($P$708*($B923+IF($R$17="Distrato",$I$38-1,0)),IF(AND($L$711=0,$P$708=0),"",$L$711-1),IF($R$17="Distrato",$E923,0)),MIN(AB$38,$D$19),$P$20))-SUM($P923:AA923)</f>
        <v>#VALUE!</v>
      </c>
      <c r="AC923" s="446" t="e">
        <f>IF(OR($B923="",MIN(AC$38,$D$19)&lt;MAX($P$708*($B923+IF($R$17="Distrato",$I$38-1,0)),IF(AND($L$711=0,$P$708=0),"",$L$711-1),IF($R$17="Distrato",$E923,0))),0,YEARFRAC(MAX($P$708*($B923+IF($R$17="Distrato",$I$38-1,0)),IF(AND($L$711=0,$P$708=0),"",$L$711-1),IF($R$17="Distrato",$E923,0)),MIN(AC$38,$D$19),$P$20))-SUM($P923:AB923)</f>
        <v>#VALUE!</v>
      </c>
      <c r="AD923" s="446" t="e">
        <f>IF(OR($B923="",MIN(AD$38,$D$19)&lt;MAX($P$708*($B923+IF($R$17="Distrato",$I$38-1,0)),IF(AND($L$711=0,$P$708=0),"",$L$711-1),IF($R$17="Distrato",$E923,0))),0,YEARFRAC(MAX($P$708*($B923+IF($R$17="Distrato",$I$38-1,0)),IF(AND($L$711=0,$P$708=0),"",$L$711-1),IF($R$17="Distrato",$E923,0)),MIN(AD$38,$D$19),$P$20))-SUM($P923:AC923)</f>
        <v>#VALUE!</v>
      </c>
      <c r="AE923" s="446" t="e">
        <f>IF(OR($B923="",MIN(AE$38,$D$19)&lt;MAX($P$708*($B923+IF($R$17="Distrato",$I$38-1,0)),IF(AND($L$711=0,$P$708=0),"",$L$711-1),IF($R$17="Distrato",$E923,0))),0,YEARFRAC(MAX($P$708*($B923+IF($R$17="Distrato",$I$38-1,0)),IF(AND($L$711=0,$P$708=0),"",$L$711-1),IF($R$17="Distrato",$E923,0)),MIN(AE$38,$D$19),$P$20))-SUM($P923:AD923)</f>
        <v>#VALUE!</v>
      </c>
      <c r="AF923" s="446" t="e">
        <f>IF(OR($B923="",MIN(AF$38,$D$19)&lt;MAX($P$708*($B923+IF($R$17="Distrato",$I$38-1,0)),IF(AND($L$711=0,$P$708=0),"",$L$711-1),IF($R$17="Distrato",$E923,0))),0,YEARFRAC(MAX($P$708*($B923+IF($R$17="Distrato",$I$38-1,0)),IF(AND($L$711=0,$P$708=0),"",$L$711-1),IF($R$17="Distrato",$E923,0)),MIN(AF$38,$D$19),$P$20))-SUM($P923:AE923)</f>
        <v>#VALUE!</v>
      </c>
      <c r="AG923" s="446" t="e">
        <f>IF(OR($B923="",MIN(AG$38,$D$19)&lt;MAX($P$708*($B923+IF($R$17="Distrato",$I$38-1,0)),IF(AND($L$711=0,$P$708=0),"",$L$711-1),IF($R$17="Distrato",$E923,0))),0,YEARFRAC(MAX($P$708*($B923+IF($R$17="Distrato",$I$38-1,0)),IF(AND($L$711=0,$P$708=0),"",$L$711-1),IF($R$17="Distrato",$E923,0)),MIN(AG$38,$D$19),$P$20))-SUM($P923:AF923)</f>
        <v>#VALUE!</v>
      </c>
      <c r="AH923" s="446" t="e">
        <f>IF(OR($B923="",MIN(AH$38,$D$19)&lt;MAX($P$708*($B923+IF($R$17="Distrato",$I$38-1,0)),IF(AND($L$711=0,$P$708=0),"",$L$711-1),IF($R$17="Distrato",$E923,0))),0,YEARFRAC(MAX($P$708*($B923+IF($R$17="Distrato",$I$38-1,0)),IF(AND($L$711=0,$P$708=0),"",$L$711-1),IF($R$17="Distrato",$E923,0)),MIN(AH$38,$D$19),$P$20))-SUM($P923:AG923)</f>
        <v>#VALUE!</v>
      </c>
      <c r="AI923" s="446" t="e">
        <f>IF(OR($B923="",MIN(AI$38,$D$19)&lt;MAX($P$708*($B923+IF($R$17="Distrato",$I$38-1,0)),IF(AND($L$711=0,$P$708=0),"",$L$711-1),IF($R$17="Distrato",$E923,0))),0,YEARFRAC(MAX($P$708*($B923+IF($R$17="Distrato",$I$38-1,0)),IF(AND($L$711=0,$P$708=0),"",$L$711-1),IF($R$17="Distrato",$E923,0)),MIN(AI$38,$D$19),$P$20))-SUM($P923:AH923)</f>
        <v>#VALUE!</v>
      </c>
      <c r="AJ923" s="446" t="e">
        <f>IF(OR($B923="",MIN(AJ$38,$D$19)&lt;MAX($P$708*($B923+IF($R$17="Distrato",$I$38-1,0)),IF(AND($L$711=0,$P$708=0),"",$L$711-1),IF($R$17="Distrato",$E923,0))),0,YEARFRAC(MAX($P$708*($B923+IF($R$17="Distrato",$I$38-1,0)),IF(AND($L$711=0,$P$708=0),"",$L$711-1),IF($R$17="Distrato",$E923,0)),MIN(AJ$38,$D$19),$P$20))-SUM($P923:AI923)</f>
        <v>#VALUE!</v>
      </c>
      <c r="AK923" s="446" t="e">
        <f>IF(OR($B923="",MIN(AK$38,$D$19)&lt;MAX($P$708*($B923+IF($R$17="Distrato",$I$38-1,0)),IF(AND($L$711=0,$P$708=0),"",$L$711-1),IF($R$17="Distrato",$E923,0))),0,YEARFRAC(MAX($P$708*($B923+IF($R$17="Distrato",$I$38-1,0)),IF(AND($L$711=0,$P$708=0),"",$L$711-1),IF($R$17="Distrato",$E923,0)),MIN(AK$38,$D$19),$P$20))-SUM($P923:AJ923)</f>
        <v>#VALUE!</v>
      </c>
      <c r="AL923" s="446" t="e">
        <f>IF(OR($B923="",MIN(AL$38,$D$19)&lt;MAX($P$708*($B923+IF($R$17="Distrato",$I$38-1,0)),IF(AND($L$711=0,$P$708=0),"",$L$711-1),IF($R$17="Distrato",$E923,0))),0,YEARFRAC(MAX($P$708*($B923+IF($R$17="Distrato",$I$38-1,0)),IF(AND($L$711=0,$P$708=0),"",$L$711-1),IF($R$17="Distrato",$E923,0)),MIN(AL$38,$D$19),$P$20))-SUM($P923:AK923)</f>
        <v>#VALUE!</v>
      </c>
      <c r="AM923" s="446" t="e">
        <f>IF(OR($B923="",MIN(AM$38,$D$19)&lt;MAX($P$708*($B923+IF($R$17="Distrato",$I$38-1,0)),IF(AND($L$711=0,$P$708=0),"",$L$711-1),IF($R$17="Distrato",$E923,0))),0,YEARFRAC(MAX($P$708*($B923+IF($R$17="Distrato",$I$38-1,0)),IF(AND($L$711=0,$P$708=0),"",$L$711-1),IF($R$17="Distrato",$E923,0)),MIN(AM$38,$D$19),$P$20))-SUM($P923:AL923)</f>
        <v>#VALUE!</v>
      </c>
      <c r="AN923" s="446" t="e">
        <f>IF(OR($B923="",MIN(AN$38,$D$19)&lt;MAX($P$708*($B923+IF($R$17="Distrato",$I$38-1,0)),IF(AND($L$711=0,$P$708=0),"",$L$711-1),IF($R$17="Distrato",$E923,0))),0,YEARFRAC(MAX($P$708*($B923+IF($R$17="Distrato",$I$38-1,0)),IF(AND($L$711=0,$P$708=0),"",$L$711-1),IF($R$17="Distrato",$E923,0)),MIN(AN$38,$D$19),$P$20))-SUM($P923:AM923)</f>
        <v>#VALUE!</v>
      </c>
      <c r="AO923" s="446" t="e">
        <f>IF(OR($B923="",MIN(AO$38,$D$19)&lt;MAX($P$708*($B923+IF($R$17="Distrato",$I$38-1,0)),IF(AND($L$711=0,$P$708=0),"",$L$711-1),IF($R$17="Distrato",$E923,0))),0,YEARFRAC(MAX($P$708*($B923+IF($R$17="Distrato",$I$38-1,0)),IF(AND($L$711=0,$P$708=0),"",$L$711-1),IF($R$17="Distrato",$E923,0)),MIN(AO$38,$D$19),$P$20))-SUM($P923:AN923)</f>
        <v>#VALUE!</v>
      </c>
      <c r="AP923" s="446" t="e">
        <f>IF(OR($B923="",MIN(AP$38,$D$19)&lt;MAX($P$708*($B923+IF($R$17="Distrato",$I$38-1,0)),IF(AND($L$711=0,$P$708=0),"",$L$711-1),IF($R$17="Distrato",$E923,0))),0,YEARFRAC(MAX($P$708*($B923+IF($R$17="Distrato",$I$38-1,0)),IF(AND($L$711=0,$P$708=0),"",$L$711-1),IF($R$17="Distrato",$E923,0)),MIN(AP$38,$D$19),$P$20))-SUM($P923:AO923)</f>
        <v>#VALUE!</v>
      </c>
      <c r="AQ923" s="446" t="e">
        <f>IF(OR($B923="",MIN(AQ$38,$D$19)&lt;MAX($P$708*($B923+IF($R$17="Distrato",$I$38-1,0)),IF(AND($L$711=0,$P$708=0),"",$L$711-1),IF($R$17="Distrato",$E923,0))),0,YEARFRAC(MAX($P$708*($B923+IF($R$17="Distrato",$I$38-1,0)),IF(AND($L$711=0,$P$708=0),"",$L$711-1),IF($R$17="Distrato",$E923,0)),MIN(AQ$38,$D$19),$P$20))-SUM($P923:AP923)</f>
        <v>#VALUE!</v>
      </c>
      <c r="AR923" s="446" t="e">
        <f>IF(OR($B923="",MIN(AR$38,$D$19)&lt;MAX($P$708*($B923+IF($R$17="Distrato",$I$38-1,0)),IF(AND($L$711=0,$P$708=0),"",$L$711-1),IF($R$17="Distrato",$E923,0))),0,YEARFRAC(MAX($P$708*($B923+IF($R$17="Distrato",$I$38-1,0)),IF(AND($L$711=0,$P$708=0),"",$L$711-1),IF($R$17="Distrato",$E923,0)),MIN(AR$38,$D$19),$P$20))-SUM($P923:AQ923)</f>
        <v>#VALUE!</v>
      </c>
      <c r="AS923" s="446" t="e">
        <f>IF(OR($B923="",MIN(AS$38,$D$19)&lt;MAX($P$708*($B923+IF($R$17="Distrato",$I$38-1,0)),IF(AND($L$711=0,$P$708=0),"",$L$711-1),IF($R$17="Distrato",$E923,0))),0,YEARFRAC(MAX($P$708*($B923+IF($R$17="Distrato",$I$38-1,0)),IF(AND($L$711=0,$P$708=0),"",$L$711-1),IF($R$17="Distrato",$E923,0)),MIN(AS$38,$D$19),$P$20))-SUM($P923:AR923)</f>
        <v>#VALUE!</v>
      </c>
      <c r="AT923" s="446" t="e">
        <f>IF(OR($B923="",MIN(AT$38,$D$19)&lt;MAX($P$708*($B923+IF($R$17="Distrato",$I$38-1,0)),IF(AND($L$711=0,$P$708=0),"",$L$711-1),IF($R$17="Distrato",$E923,0))),0,YEARFRAC(MAX($P$708*($B923+IF($R$17="Distrato",$I$38-1,0)),IF(AND($L$711=0,$P$708=0),"",$L$711-1),IF($R$17="Distrato",$E923,0)),MIN(AT$38,$D$19),$P$20))-SUM($P923:AS923)</f>
        <v>#VALUE!</v>
      </c>
      <c r="AU923" s="446" t="e">
        <f>IF(OR($B923="",MIN(AU$38,$D$19)&lt;MAX($P$708*($B923+IF($R$17="Distrato",$I$38-1,0)),IF(AND($L$711=0,$P$708=0),"",$L$711-1),IF($R$17="Distrato",$E923,0))),0,YEARFRAC(MAX($P$708*($B923+IF($R$17="Distrato",$I$38-1,0)),IF(AND($L$711=0,$P$708=0),"",$L$711-1),IF($R$17="Distrato",$E923,0)),MIN(AU$38,$D$19),$P$20))-SUM($P923:AT923)</f>
        <v>#VALUE!</v>
      </c>
      <c r="AV923" s="446" t="e">
        <f>IF(OR($B923="",MIN(AV$38,$D$19)&lt;MAX($P$708*($B923+IF($R$17="Distrato",$I$38-1,0)),IF(AND($L$711=0,$P$708=0),"",$L$711-1),IF($R$17="Distrato",$E923,0))),0,YEARFRAC(MAX($P$708*($B923+IF($R$17="Distrato",$I$38-1,0)),IF(AND($L$711=0,$P$708=0),"",$L$711-1),IF($R$17="Distrato",$E923,0)),MIN(AV$38,$D$19),$P$20))-SUM($P923:AU923)</f>
        <v>#VALUE!</v>
      </c>
      <c r="AW923" s="446" t="e">
        <f>IF(OR($B923="",MIN(AW$38,$D$19)&lt;MAX($P$708*($B923+IF($R$17="Distrato",$I$38-1,0)),IF(AND($L$711=0,$P$708=0),"",$L$711-1),IF($R$17="Distrato",$E923,0))),0,YEARFRAC(MAX($P$708*($B923+IF($R$17="Distrato",$I$38-1,0)),IF(AND($L$711=0,$P$708=0),"",$L$711-1),IF($R$17="Distrato",$E923,0)),MIN(AW$38,$D$19),$P$20))-SUM($P923:AV923)</f>
        <v>#VALUE!</v>
      </c>
      <c r="AX923" s="446" t="e">
        <f>IF(OR($B923="",MIN(AX$38,$D$19)&lt;MAX($P$708*($B923+IF($R$17="Distrato",$I$38-1,0)),IF(AND($L$711=0,$P$708=0),"",$L$711-1),IF($R$17="Distrato",$E923,0))),0,YEARFRAC(MAX($P$708*($B923+IF($R$17="Distrato",$I$38-1,0)),IF(AND($L$711=0,$P$708=0),"",$L$711-1),IF($R$17="Distrato",$E923,0)),MIN(AX$38,$D$19),$P$20))-SUM($P923:AW923)</f>
        <v>#VALUE!</v>
      </c>
      <c r="AY923" s="446" t="e">
        <f>IF(OR($B923="",MIN(AY$38,$D$19)&lt;MAX($P$708*($B923+IF($R$17="Distrato",$I$38-1,0)),IF(AND($L$711=0,$P$708=0),"",$L$711-1),IF($R$17="Distrato",$E923,0))),0,YEARFRAC(MAX($P$708*($B923+IF($R$17="Distrato",$I$38-1,0)),IF(AND($L$711=0,$P$708=0),"",$L$711-1),IF($R$17="Distrato",$E923,0)),MIN(AY$38,$D$19),$P$20))-SUM($P923:AX923)</f>
        <v>#VALUE!</v>
      </c>
      <c r="AZ923" s="446" t="e">
        <f>IF(OR($B923="",MIN(AZ$38,$D$19)&lt;MAX($P$708*($B923+IF($R$17="Distrato",$I$38-1,0)),IF(AND($L$711=0,$P$708=0),"",$L$711-1),IF($R$17="Distrato",$E923,0))),0,YEARFRAC(MAX($P$708*($B923+IF($R$17="Distrato",$I$38-1,0)),IF(AND($L$711=0,$P$708=0),"",$L$711-1),IF($R$17="Distrato",$E923,0)),MIN(AZ$38,$D$19),$P$20))-SUM($P923:AY923)</f>
        <v>#VALUE!</v>
      </c>
      <c r="BA923" s="446" t="e">
        <f>IF(OR($B923="",MIN(BA$38,$D$19)&lt;MAX($P$708*($B923+IF($R$17="Distrato",$I$38-1,0)),IF(AND($L$711=0,$P$708=0),"",$L$711-1),IF($R$17="Distrato",$E923,0))),0,YEARFRAC(MAX($P$708*($B923+IF($R$17="Distrato",$I$38-1,0)),IF(AND($L$711=0,$P$708=0),"",$L$711-1),IF($R$17="Distrato",$E923,0)),MIN(BA$38,$D$19),$P$20))-SUM($P923:AZ923)</f>
        <v>#VALUE!</v>
      </c>
      <c r="BB923" s="447"/>
    </row>
    <row r="924" spans="1:54" s="446" customFormat="1" ht="11.25" hidden="1" customHeight="1" x14ac:dyDescent="0.2">
      <c r="A924" s="235"/>
      <c r="B924" s="236"/>
      <c r="C924" s="29" t="str">
        <f>IF(B924="","",IF($L$709=$BL$25,VLOOKUP(DATE(YEAR($D$19),MONTH($D$19)-1,1),ÍNDICES!$A:$DE,HLOOKUP($BL$25,ÍNDICES!$B$3:$T$4,2)+11)-VLOOKUP(B924,ÍNDICES!$A:$DE,HLOOKUP($BL$25,ÍNDICES!$B$3:$T$4,2)+11)+1%,IF(C$712=$W$26,$J$35,IF(ISERROR(IF(B924&gt;$D$19,1,VLOOKUP(DATE(YEAR(B924),MONTH(B924)+IF($C$709=$S$23,1,0),1),ÍNDICES!$A:$DE,$Z$709+1))),"",IF(B924&gt;$D$19,1,VLOOKUP(DATE(YEAR(B924),MONTH(B924)+IF($C$709=$S$23,1,0),1),ÍNDICES!$A:$DE,$Z$709+1))))))</f>
        <v/>
      </c>
      <c r="D924" s="155"/>
      <c r="E924" s="88"/>
      <c r="F924" s="88"/>
      <c r="G924" s="88"/>
      <c r="H924" s="118"/>
      <c r="I924" s="182">
        <f t="shared" si="136"/>
        <v>0</v>
      </c>
      <c r="J924" s="20">
        <f t="shared" ca="1" si="137"/>
        <v>0</v>
      </c>
      <c r="K924" s="5">
        <f t="shared" ca="1" si="138"/>
        <v>0</v>
      </c>
      <c r="L924" s="61">
        <f t="shared" ca="1" si="139"/>
        <v>0</v>
      </c>
      <c r="M924" s="64">
        <f t="shared" si="140"/>
        <v>0</v>
      </c>
      <c r="N924" s="151"/>
      <c r="O924" s="5">
        <f t="shared" ca="1" si="141"/>
        <v>0</v>
      </c>
      <c r="P924" s="446" t="e">
        <f t="shared" si="142"/>
        <v>#VALUE!</v>
      </c>
      <c r="Q924" s="446" t="e">
        <f>IF(OR($B924="",MIN(Q$38,$D$19)&lt;MAX($P$708*($B924+IF($R$17="Distrato",$I$38-1,0)),IF(AND($L$711=0,$P$708=0),"",$L$711-1),IF($R$17="Distrato",$E924,0))),0,YEARFRAC(MAX($P$708*($B924+IF($R$17="Distrato",$I$38-1,0)),IF(AND($L$711=0,$P$708=0),"",$L$711-1),IF($R$17="Distrato",$E924,0)),MIN(Q$38,$D$19),$P$20))-SUM($P924:P924)</f>
        <v>#VALUE!</v>
      </c>
      <c r="R924" s="446" t="e">
        <f>IF(OR($B924="",MIN(R$38,$D$19)&lt;MAX($P$708*($B924+IF($R$17="Distrato",$I$38-1,0)),IF(AND($L$711=0,$P$708=0),"",$L$711-1),IF($R$17="Distrato",$E924,0))),0,YEARFRAC(MAX($P$708*($B924+IF($R$17="Distrato",$I$38-1,0)),IF(AND($L$711=0,$P$708=0),"",$L$711-1),IF($R$17="Distrato",$E924,0)),MIN(R$38,$D$19),$P$20))-SUM($P924:Q924)</f>
        <v>#VALUE!</v>
      </c>
      <c r="S924" s="446" t="e">
        <f>IF(OR($B924="",MIN(S$38,$D$19)&lt;MAX($P$708*($B924+IF($R$17="Distrato",$I$38-1,0)),IF(AND($L$711=0,$P$708=0),"",$L$711-1),IF($R$17="Distrato",$E924,0))),0,YEARFRAC(MAX($P$708*($B924+IF($R$17="Distrato",$I$38-1,0)),IF(AND($L$711=0,$P$708=0),"",$L$711-1),IF($R$17="Distrato",$E924,0)),MIN(S$38,$D$19),$P$20))-SUM($P924:R924)</f>
        <v>#VALUE!</v>
      </c>
      <c r="T924" s="446" t="e">
        <f>IF(OR($B924="",MIN(T$38,$D$19)&lt;MAX($P$708*($B924+IF($R$17="Distrato",$I$38-1,0)),IF(AND($L$711=0,$P$708=0),"",$L$711-1),IF($R$17="Distrato",$E924,0))),0,YEARFRAC(MAX($P$708*($B924+IF($R$17="Distrato",$I$38-1,0)),IF(AND($L$711=0,$P$708=0),"",$L$711-1),IF($R$17="Distrato",$E924,0)),MIN(T$38,$D$19),$P$20))-SUM($P924:S924)</f>
        <v>#VALUE!</v>
      </c>
      <c r="U924" s="446" t="e">
        <f>IF(OR($B924="",MIN(U$38,$D$19)&lt;MAX($P$708*($B924+IF($R$17="Distrato",$I$38-1,0)),IF(AND($L$711=0,$P$708=0),"",$L$711-1),IF($R$17="Distrato",$E924,0))),0,YEARFRAC(MAX($P$708*($B924+IF($R$17="Distrato",$I$38-1,0)),IF(AND($L$711=0,$P$708=0),"",$L$711-1),IF($R$17="Distrato",$E924,0)),MIN(U$38,$D$19),$P$20))-SUM($P924:T924)</f>
        <v>#VALUE!</v>
      </c>
      <c r="V924" s="446" t="e">
        <f>IF(OR($B924="",MIN(V$38,$D$19)&lt;MAX($P$708*($B924+IF($R$17="Distrato",$I$38-1,0)),IF(AND($L$711=0,$P$708=0),"",$L$711-1),IF($R$17="Distrato",$E924,0))),0,YEARFRAC(MAX($P$708*($B924+IF($R$17="Distrato",$I$38-1,0)),IF(AND($L$711=0,$P$708=0),"",$L$711-1),IF($R$17="Distrato",$E924,0)),MIN(V$38,$D$19),$P$20))-SUM($P924:U924)</f>
        <v>#VALUE!</v>
      </c>
      <c r="W924" s="446" t="e">
        <f>IF(OR($B924="",MIN(W$38,$D$19)&lt;MAX($P$708*($B924+IF($R$17="Distrato",$I$38-1,0)),IF(AND($L$711=0,$P$708=0),"",$L$711-1),IF($R$17="Distrato",$E924,0))),0,YEARFRAC(MAX($P$708*($B924+IF($R$17="Distrato",$I$38-1,0)),IF(AND($L$711=0,$P$708=0),"",$L$711-1),IF($R$17="Distrato",$E924,0)),MIN(W$38,$D$19),$P$20))-SUM($P924:V924)</f>
        <v>#VALUE!</v>
      </c>
      <c r="X924" s="446" t="e">
        <f>IF(OR($B924="",MIN(X$38,$D$19)&lt;MAX($P$708*($B924+IF($R$17="Distrato",$I$38-1,0)),IF(AND($L$711=0,$P$708=0),"",$L$711-1),IF($R$17="Distrato",$E924,0))),0,YEARFRAC(MAX($P$708*($B924+IF($R$17="Distrato",$I$38-1,0)),IF(AND($L$711=0,$P$708=0),"",$L$711-1),IF($R$17="Distrato",$E924,0)),MIN(X$38,$D$19),$P$20))-SUM($P924:W924)</f>
        <v>#VALUE!</v>
      </c>
      <c r="Y924" s="446" t="e">
        <f>IF(OR($B924="",MIN(Y$38,$D$19)&lt;MAX($P$708*($B924+IF($R$17="Distrato",$I$38-1,0)),IF(AND($L$711=0,$P$708=0),"",$L$711-1),IF($R$17="Distrato",$E924,0))),0,YEARFRAC(MAX($P$708*($B924+IF($R$17="Distrato",$I$38-1,0)),IF(AND($L$711=0,$P$708=0),"",$L$711-1),IF($R$17="Distrato",$E924,0)),MIN(Y$38,$D$19),$P$20))-SUM($P924:X924)</f>
        <v>#VALUE!</v>
      </c>
      <c r="Z924" s="446" t="e">
        <f>IF(OR($B924="",MIN(Z$38,$D$19)&lt;MAX($P$708*($B924+IF($R$17="Distrato",$I$38-1,0)),IF(AND($L$711=0,$P$708=0),"",$L$711-1),IF($R$17="Distrato",$E924,0))),0,YEARFRAC(MAX($P$708*($B924+IF($R$17="Distrato",$I$38-1,0)),IF(AND($L$711=0,$P$708=0),"",$L$711-1),IF($R$17="Distrato",$E924,0)),MIN(Z$38,$D$19),$P$20))-SUM($P924:Y924)</f>
        <v>#VALUE!</v>
      </c>
      <c r="AA924" s="446" t="e">
        <f>IF(OR($B924="",MIN(AA$38,$D$19)&lt;MAX($P$708*($B924+IF($R$17="Distrato",$I$38-1,0)),IF(AND($L$711=0,$P$708=0),"",$L$711-1),IF($R$17="Distrato",$E924,0))),0,YEARFRAC(MAX($P$708*($B924+IF($R$17="Distrato",$I$38-1,0)),IF(AND($L$711=0,$P$708=0),"",$L$711-1),IF($R$17="Distrato",$E924,0)),MIN(AA$38,$D$19),$P$20))-SUM($P924:Z924)</f>
        <v>#VALUE!</v>
      </c>
      <c r="AB924" s="446" t="e">
        <f>IF(OR($B924="",MIN(AB$38,$D$19)&lt;MAX($P$708*($B924+IF($R$17="Distrato",$I$38-1,0)),IF(AND($L$711=0,$P$708=0),"",$L$711-1),IF($R$17="Distrato",$E924,0))),0,YEARFRAC(MAX($P$708*($B924+IF($R$17="Distrato",$I$38-1,0)),IF(AND($L$711=0,$P$708=0),"",$L$711-1),IF($R$17="Distrato",$E924,0)),MIN(AB$38,$D$19),$P$20))-SUM($P924:AA924)</f>
        <v>#VALUE!</v>
      </c>
      <c r="AC924" s="446" t="e">
        <f>IF(OR($B924="",MIN(AC$38,$D$19)&lt;MAX($P$708*($B924+IF($R$17="Distrato",$I$38-1,0)),IF(AND($L$711=0,$P$708=0),"",$L$711-1),IF($R$17="Distrato",$E924,0))),0,YEARFRAC(MAX($P$708*($B924+IF($R$17="Distrato",$I$38-1,0)),IF(AND($L$711=0,$P$708=0),"",$L$711-1),IF($R$17="Distrato",$E924,0)),MIN(AC$38,$D$19),$P$20))-SUM($P924:AB924)</f>
        <v>#VALUE!</v>
      </c>
      <c r="AD924" s="446" t="e">
        <f>IF(OR($B924="",MIN(AD$38,$D$19)&lt;MAX($P$708*($B924+IF($R$17="Distrato",$I$38-1,0)),IF(AND($L$711=0,$P$708=0),"",$L$711-1),IF($R$17="Distrato",$E924,0))),0,YEARFRAC(MAX($P$708*($B924+IF($R$17="Distrato",$I$38-1,0)),IF(AND($L$711=0,$P$708=0),"",$L$711-1),IF($R$17="Distrato",$E924,0)),MIN(AD$38,$D$19),$P$20))-SUM($P924:AC924)</f>
        <v>#VALUE!</v>
      </c>
      <c r="AE924" s="446" t="e">
        <f>IF(OR($B924="",MIN(AE$38,$D$19)&lt;MAX($P$708*($B924+IF($R$17="Distrato",$I$38-1,0)),IF(AND($L$711=0,$P$708=0),"",$L$711-1),IF($R$17="Distrato",$E924,0))),0,YEARFRAC(MAX($P$708*($B924+IF($R$17="Distrato",$I$38-1,0)),IF(AND($L$711=0,$P$708=0),"",$L$711-1),IF($R$17="Distrato",$E924,0)),MIN(AE$38,$D$19),$P$20))-SUM($P924:AD924)</f>
        <v>#VALUE!</v>
      </c>
      <c r="AF924" s="446" t="e">
        <f>IF(OR($B924="",MIN(AF$38,$D$19)&lt;MAX($P$708*($B924+IF($R$17="Distrato",$I$38-1,0)),IF(AND($L$711=0,$P$708=0),"",$L$711-1),IF($R$17="Distrato",$E924,0))),0,YEARFRAC(MAX($P$708*($B924+IF($R$17="Distrato",$I$38-1,0)),IF(AND($L$711=0,$P$708=0),"",$L$711-1),IF($R$17="Distrato",$E924,0)),MIN(AF$38,$D$19),$P$20))-SUM($P924:AE924)</f>
        <v>#VALUE!</v>
      </c>
      <c r="AG924" s="446" t="e">
        <f>IF(OR($B924="",MIN(AG$38,$D$19)&lt;MAX($P$708*($B924+IF($R$17="Distrato",$I$38-1,0)),IF(AND($L$711=0,$P$708=0),"",$L$711-1),IF($R$17="Distrato",$E924,0))),0,YEARFRAC(MAX($P$708*($B924+IF($R$17="Distrato",$I$38-1,0)),IF(AND($L$711=0,$P$708=0),"",$L$711-1),IF($R$17="Distrato",$E924,0)),MIN(AG$38,$D$19),$P$20))-SUM($P924:AF924)</f>
        <v>#VALUE!</v>
      </c>
      <c r="AH924" s="446" t="e">
        <f>IF(OR($B924="",MIN(AH$38,$D$19)&lt;MAX($P$708*($B924+IF($R$17="Distrato",$I$38-1,0)),IF(AND($L$711=0,$P$708=0),"",$L$711-1),IF($R$17="Distrato",$E924,0))),0,YEARFRAC(MAX($P$708*($B924+IF($R$17="Distrato",$I$38-1,0)),IF(AND($L$711=0,$P$708=0),"",$L$711-1),IF($R$17="Distrato",$E924,0)),MIN(AH$38,$D$19),$P$20))-SUM($P924:AG924)</f>
        <v>#VALUE!</v>
      </c>
      <c r="AI924" s="446" t="e">
        <f>IF(OR($B924="",MIN(AI$38,$D$19)&lt;MAX($P$708*($B924+IF($R$17="Distrato",$I$38-1,0)),IF(AND($L$711=0,$P$708=0),"",$L$711-1),IF($R$17="Distrato",$E924,0))),0,YEARFRAC(MAX($P$708*($B924+IF($R$17="Distrato",$I$38-1,0)),IF(AND($L$711=0,$P$708=0),"",$L$711-1),IF($R$17="Distrato",$E924,0)),MIN(AI$38,$D$19),$P$20))-SUM($P924:AH924)</f>
        <v>#VALUE!</v>
      </c>
      <c r="AJ924" s="446" t="e">
        <f>IF(OR($B924="",MIN(AJ$38,$D$19)&lt;MAX($P$708*($B924+IF($R$17="Distrato",$I$38-1,0)),IF(AND($L$711=0,$P$708=0),"",$L$711-1),IF($R$17="Distrato",$E924,0))),0,YEARFRAC(MAX($P$708*($B924+IF($R$17="Distrato",$I$38-1,0)),IF(AND($L$711=0,$P$708=0),"",$L$711-1),IF($R$17="Distrato",$E924,0)),MIN(AJ$38,$D$19),$P$20))-SUM($P924:AI924)</f>
        <v>#VALUE!</v>
      </c>
      <c r="AK924" s="446" t="e">
        <f>IF(OR($B924="",MIN(AK$38,$D$19)&lt;MAX($P$708*($B924+IF($R$17="Distrato",$I$38-1,0)),IF(AND($L$711=0,$P$708=0),"",$L$711-1),IF($R$17="Distrato",$E924,0))),0,YEARFRAC(MAX($P$708*($B924+IF($R$17="Distrato",$I$38-1,0)),IF(AND($L$711=0,$P$708=0),"",$L$711-1),IF($R$17="Distrato",$E924,0)),MIN(AK$38,$D$19),$P$20))-SUM($P924:AJ924)</f>
        <v>#VALUE!</v>
      </c>
      <c r="AL924" s="446" t="e">
        <f>IF(OR($B924="",MIN(AL$38,$D$19)&lt;MAX($P$708*($B924+IF($R$17="Distrato",$I$38-1,0)),IF(AND($L$711=0,$P$708=0),"",$L$711-1),IF($R$17="Distrato",$E924,0))),0,YEARFRAC(MAX($P$708*($B924+IF($R$17="Distrato",$I$38-1,0)),IF(AND($L$711=0,$P$708=0),"",$L$711-1),IF($R$17="Distrato",$E924,0)),MIN(AL$38,$D$19),$P$20))-SUM($P924:AK924)</f>
        <v>#VALUE!</v>
      </c>
      <c r="AM924" s="446" t="e">
        <f>IF(OR($B924="",MIN(AM$38,$D$19)&lt;MAX($P$708*($B924+IF($R$17="Distrato",$I$38-1,0)),IF(AND($L$711=0,$P$708=0),"",$L$711-1),IF($R$17="Distrato",$E924,0))),0,YEARFRAC(MAX($P$708*($B924+IF($R$17="Distrato",$I$38-1,0)),IF(AND($L$711=0,$P$708=0),"",$L$711-1),IF($R$17="Distrato",$E924,0)),MIN(AM$38,$D$19),$P$20))-SUM($P924:AL924)</f>
        <v>#VALUE!</v>
      </c>
      <c r="AN924" s="446" t="e">
        <f>IF(OR($B924="",MIN(AN$38,$D$19)&lt;MAX($P$708*($B924+IF($R$17="Distrato",$I$38-1,0)),IF(AND($L$711=0,$P$708=0),"",$L$711-1),IF($R$17="Distrato",$E924,0))),0,YEARFRAC(MAX($P$708*($B924+IF($R$17="Distrato",$I$38-1,0)),IF(AND($L$711=0,$P$708=0),"",$L$711-1),IF($R$17="Distrato",$E924,0)),MIN(AN$38,$D$19),$P$20))-SUM($P924:AM924)</f>
        <v>#VALUE!</v>
      </c>
      <c r="AO924" s="446" t="e">
        <f>IF(OR($B924="",MIN(AO$38,$D$19)&lt;MAX($P$708*($B924+IF($R$17="Distrato",$I$38-1,0)),IF(AND($L$711=0,$P$708=0),"",$L$711-1),IF($R$17="Distrato",$E924,0))),0,YEARFRAC(MAX($P$708*($B924+IF($R$17="Distrato",$I$38-1,0)),IF(AND($L$711=0,$P$708=0),"",$L$711-1),IF($R$17="Distrato",$E924,0)),MIN(AO$38,$D$19),$P$20))-SUM($P924:AN924)</f>
        <v>#VALUE!</v>
      </c>
      <c r="AP924" s="446" t="e">
        <f>IF(OR($B924="",MIN(AP$38,$D$19)&lt;MAX($P$708*($B924+IF($R$17="Distrato",$I$38-1,0)),IF(AND($L$711=0,$P$708=0),"",$L$711-1),IF($R$17="Distrato",$E924,0))),0,YEARFRAC(MAX($P$708*($B924+IF($R$17="Distrato",$I$38-1,0)),IF(AND($L$711=0,$P$708=0),"",$L$711-1),IF($R$17="Distrato",$E924,0)),MIN(AP$38,$D$19),$P$20))-SUM($P924:AO924)</f>
        <v>#VALUE!</v>
      </c>
      <c r="AQ924" s="446" t="e">
        <f>IF(OR($B924="",MIN(AQ$38,$D$19)&lt;MAX($P$708*($B924+IF($R$17="Distrato",$I$38-1,0)),IF(AND($L$711=0,$P$708=0),"",$L$711-1),IF($R$17="Distrato",$E924,0))),0,YEARFRAC(MAX($P$708*($B924+IF($R$17="Distrato",$I$38-1,0)),IF(AND($L$711=0,$P$708=0),"",$L$711-1),IF($R$17="Distrato",$E924,0)),MIN(AQ$38,$D$19),$P$20))-SUM($P924:AP924)</f>
        <v>#VALUE!</v>
      </c>
      <c r="AR924" s="446" t="e">
        <f>IF(OR($B924="",MIN(AR$38,$D$19)&lt;MAX($P$708*($B924+IF($R$17="Distrato",$I$38-1,0)),IF(AND($L$711=0,$P$708=0),"",$L$711-1),IF($R$17="Distrato",$E924,0))),0,YEARFRAC(MAX($P$708*($B924+IF($R$17="Distrato",$I$38-1,0)),IF(AND($L$711=0,$P$708=0),"",$L$711-1),IF($R$17="Distrato",$E924,0)),MIN(AR$38,$D$19),$P$20))-SUM($P924:AQ924)</f>
        <v>#VALUE!</v>
      </c>
      <c r="AS924" s="446" t="e">
        <f>IF(OR($B924="",MIN(AS$38,$D$19)&lt;MAX($P$708*($B924+IF($R$17="Distrato",$I$38-1,0)),IF(AND($L$711=0,$P$708=0),"",$L$711-1),IF($R$17="Distrato",$E924,0))),0,YEARFRAC(MAX($P$708*($B924+IF($R$17="Distrato",$I$38-1,0)),IF(AND($L$711=0,$P$708=0),"",$L$711-1),IF($R$17="Distrato",$E924,0)),MIN(AS$38,$D$19),$P$20))-SUM($P924:AR924)</f>
        <v>#VALUE!</v>
      </c>
      <c r="AT924" s="446" t="e">
        <f>IF(OR($B924="",MIN(AT$38,$D$19)&lt;MAX($P$708*($B924+IF($R$17="Distrato",$I$38-1,0)),IF(AND($L$711=0,$P$708=0),"",$L$711-1),IF($R$17="Distrato",$E924,0))),0,YEARFRAC(MAX($P$708*($B924+IF($R$17="Distrato",$I$38-1,0)),IF(AND($L$711=0,$P$708=0),"",$L$711-1),IF($R$17="Distrato",$E924,0)),MIN(AT$38,$D$19),$P$20))-SUM($P924:AS924)</f>
        <v>#VALUE!</v>
      </c>
      <c r="AU924" s="446" t="e">
        <f>IF(OR($B924="",MIN(AU$38,$D$19)&lt;MAX($P$708*($B924+IF($R$17="Distrato",$I$38-1,0)),IF(AND($L$711=0,$P$708=0),"",$L$711-1),IF($R$17="Distrato",$E924,0))),0,YEARFRAC(MAX($P$708*($B924+IF($R$17="Distrato",$I$38-1,0)),IF(AND($L$711=0,$P$708=0),"",$L$711-1),IF($R$17="Distrato",$E924,0)),MIN(AU$38,$D$19),$P$20))-SUM($P924:AT924)</f>
        <v>#VALUE!</v>
      </c>
      <c r="AV924" s="446" t="e">
        <f>IF(OR($B924="",MIN(AV$38,$D$19)&lt;MAX($P$708*($B924+IF($R$17="Distrato",$I$38-1,0)),IF(AND($L$711=0,$P$708=0),"",$L$711-1),IF($R$17="Distrato",$E924,0))),0,YEARFRAC(MAX($P$708*($B924+IF($R$17="Distrato",$I$38-1,0)),IF(AND($L$711=0,$P$708=0),"",$L$711-1),IF($R$17="Distrato",$E924,0)),MIN(AV$38,$D$19),$P$20))-SUM($P924:AU924)</f>
        <v>#VALUE!</v>
      </c>
      <c r="AW924" s="446" t="e">
        <f>IF(OR($B924="",MIN(AW$38,$D$19)&lt;MAX($P$708*($B924+IF($R$17="Distrato",$I$38-1,0)),IF(AND($L$711=0,$P$708=0),"",$L$711-1),IF($R$17="Distrato",$E924,0))),0,YEARFRAC(MAX($P$708*($B924+IF($R$17="Distrato",$I$38-1,0)),IF(AND($L$711=0,$P$708=0),"",$L$711-1),IF($R$17="Distrato",$E924,0)),MIN(AW$38,$D$19),$P$20))-SUM($P924:AV924)</f>
        <v>#VALUE!</v>
      </c>
      <c r="AX924" s="446" t="e">
        <f>IF(OR($B924="",MIN(AX$38,$D$19)&lt;MAX($P$708*($B924+IF($R$17="Distrato",$I$38-1,0)),IF(AND($L$711=0,$P$708=0),"",$L$711-1),IF($R$17="Distrato",$E924,0))),0,YEARFRAC(MAX($P$708*($B924+IF($R$17="Distrato",$I$38-1,0)),IF(AND($L$711=0,$P$708=0),"",$L$711-1),IF($R$17="Distrato",$E924,0)),MIN(AX$38,$D$19),$P$20))-SUM($P924:AW924)</f>
        <v>#VALUE!</v>
      </c>
      <c r="AY924" s="446" t="e">
        <f>IF(OR($B924="",MIN(AY$38,$D$19)&lt;MAX($P$708*($B924+IF($R$17="Distrato",$I$38-1,0)),IF(AND($L$711=0,$P$708=0),"",$L$711-1),IF($R$17="Distrato",$E924,0))),0,YEARFRAC(MAX($P$708*($B924+IF($R$17="Distrato",$I$38-1,0)),IF(AND($L$711=0,$P$708=0),"",$L$711-1),IF($R$17="Distrato",$E924,0)),MIN(AY$38,$D$19),$P$20))-SUM($P924:AX924)</f>
        <v>#VALUE!</v>
      </c>
      <c r="AZ924" s="446" t="e">
        <f>IF(OR($B924="",MIN(AZ$38,$D$19)&lt;MAX($P$708*($B924+IF($R$17="Distrato",$I$38-1,0)),IF(AND($L$711=0,$P$708=0),"",$L$711-1),IF($R$17="Distrato",$E924,0))),0,YEARFRAC(MAX($P$708*($B924+IF($R$17="Distrato",$I$38-1,0)),IF(AND($L$711=0,$P$708=0),"",$L$711-1),IF($R$17="Distrato",$E924,0)),MIN(AZ$38,$D$19),$P$20))-SUM($P924:AY924)</f>
        <v>#VALUE!</v>
      </c>
      <c r="BA924" s="446" t="e">
        <f>IF(OR($B924="",MIN(BA$38,$D$19)&lt;MAX($P$708*($B924+IF($R$17="Distrato",$I$38-1,0)),IF(AND($L$711=0,$P$708=0),"",$L$711-1),IF($R$17="Distrato",$E924,0))),0,YEARFRAC(MAX($P$708*($B924+IF($R$17="Distrato",$I$38-1,0)),IF(AND($L$711=0,$P$708=0),"",$L$711-1),IF($R$17="Distrato",$E924,0)),MIN(BA$38,$D$19),$P$20))-SUM($P924:AZ924)</f>
        <v>#VALUE!</v>
      </c>
      <c r="BB924" s="447"/>
    </row>
    <row r="925" spans="1:54" s="446" customFormat="1" ht="11.25" hidden="1" customHeight="1" x14ac:dyDescent="0.2">
      <c r="A925" s="235"/>
      <c r="B925" s="236"/>
      <c r="C925" s="29" t="str">
        <f>IF(B925="","",IF($L$709=$BL$25,VLOOKUP(DATE(YEAR($D$19),MONTH($D$19)-1,1),ÍNDICES!$A:$DE,HLOOKUP($BL$25,ÍNDICES!$B$3:$T$4,2)+11)-VLOOKUP(B925,ÍNDICES!$A:$DE,HLOOKUP($BL$25,ÍNDICES!$B$3:$T$4,2)+11)+1%,IF(C$712=$W$26,$J$35,IF(ISERROR(IF(B925&gt;$D$19,1,VLOOKUP(DATE(YEAR(B925),MONTH(B925)+IF($C$709=$S$23,1,0),1),ÍNDICES!$A:$DE,$Z$709+1))),"",IF(B925&gt;$D$19,1,VLOOKUP(DATE(YEAR(B925),MONTH(B925)+IF($C$709=$S$23,1,0),1),ÍNDICES!$A:$DE,$Z$709+1))))))</f>
        <v/>
      </c>
      <c r="D925" s="155"/>
      <c r="E925" s="88"/>
      <c r="F925" s="88"/>
      <c r="G925" s="88"/>
      <c r="H925" s="118"/>
      <c r="I925" s="182">
        <f t="shared" si="136"/>
        <v>0</v>
      </c>
      <c r="J925" s="20">
        <f t="shared" ca="1" si="137"/>
        <v>0</v>
      </c>
      <c r="K925" s="5">
        <f t="shared" ca="1" si="138"/>
        <v>0</v>
      </c>
      <c r="L925" s="61">
        <f t="shared" ca="1" si="139"/>
        <v>0</v>
      </c>
      <c r="M925" s="64">
        <f t="shared" si="140"/>
        <v>0</v>
      </c>
      <c r="N925" s="151"/>
      <c r="O925" s="5">
        <f t="shared" ca="1" si="141"/>
        <v>0</v>
      </c>
      <c r="P925" s="446" t="e">
        <f t="shared" si="142"/>
        <v>#VALUE!</v>
      </c>
      <c r="Q925" s="446" t="e">
        <f>IF(OR($B925="",MIN(Q$38,$D$19)&lt;MAX($P$708*($B925+IF($R$17="Distrato",$I$38-1,0)),IF(AND($L$711=0,$P$708=0),"",$L$711-1),IF($R$17="Distrato",$E925,0))),0,YEARFRAC(MAX($P$708*($B925+IF($R$17="Distrato",$I$38-1,0)),IF(AND($L$711=0,$P$708=0),"",$L$711-1),IF($R$17="Distrato",$E925,0)),MIN(Q$38,$D$19),$P$20))-SUM($P925:P925)</f>
        <v>#VALUE!</v>
      </c>
      <c r="R925" s="446" t="e">
        <f>IF(OR($B925="",MIN(R$38,$D$19)&lt;MAX($P$708*($B925+IF($R$17="Distrato",$I$38-1,0)),IF(AND($L$711=0,$P$708=0),"",$L$711-1),IF($R$17="Distrato",$E925,0))),0,YEARFRAC(MAX($P$708*($B925+IF($R$17="Distrato",$I$38-1,0)),IF(AND($L$711=0,$P$708=0),"",$L$711-1),IF($R$17="Distrato",$E925,0)),MIN(R$38,$D$19),$P$20))-SUM($P925:Q925)</f>
        <v>#VALUE!</v>
      </c>
      <c r="S925" s="446" t="e">
        <f>IF(OR($B925="",MIN(S$38,$D$19)&lt;MAX($P$708*($B925+IF($R$17="Distrato",$I$38-1,0)),IF(AND($L$711=0,$P$708=0),"",$L$711-1),IF($R$17="Distrato",$E925,0))),0,YEARFRAC(MAX($P$708*($B925+IF($R$17="Distrato",$I$38-1,0)),IF(AND($L$711=0,$P$708=0),"",$L$711-1),IF($R$17="Distrato",$E925,0)),MIN(S$38,$D$19),$P$20))-SUM($P925:R925)</f>
        <v>#VALUE!</v>
      </c>
      <c r="T925" s="446" t="e">
        <f>IF(OR($B925="",MIN(T$38,$D$19)&lt;MAX($P$708*($B925+IF($R$17="Distrato",$I$38-1,0)),IF(AND($L$711=0,$P$708=0),"",$L$711-1),IF($R$17="Distrato",$E925,0))),0,YEARFRAC(MAX($P$708*($B925+IF($R$17="Distrato",$I$38-1,0)),IF(AND($L$711=0,$P$708=0),"",$L$711-1),IF($R$17="Distrato",$E925,0)),MIN(T$38,$D$19),$P$20))-SUM($P925:S925)</f>
        <v>#VALUE!</v>
      </c>
      <c r="U925" s="446" t="e">
        <f>IF(OR($B925="",MIN(U$38,$D$19)&lt;MAX($P$708*($B925+IF($R$17="Distrato",$I$38-1,0)),IF(AND($L$711=0,$P$708=0),"",$L$711-1),IF($R$17="Distrato",$E925,0))),0,YEARFRAC(MAX($P$708*($B925+IF($R$17="Distrato",$I$38-1,0)),IF(AND($L$711=0,$P$708=0),"",$L$711-1),IF($R$17="Distrato",$E925,0)),MIN(U$38,$D$19),$P$20))-SUM($P925:T925)</f>
        <v>#VALUE!</v>
      </c>
      <c r="V925" s="446" t="e">
        <f>IF(OR($B925="",MIN(V$38,$D$19)&lt;MAX($P$708*($B925+IF($R$17="Distrato",$I$38-1,0)),IF(AND($L$711=0,$P$708=0),"",$L$711-1),IF($R$17="Distrato",$E925,0))),0,YEARFRAC(MAX($P$708*($B925+IF($R$17="Distrato",$I$38-1,0)),IF(AND($L$711=0,$P$708=0),"",$L$711-1),IF($R$17="Distrato",$E925,0)),MIN(V$38,$D$19),$P$20))-SUM($P925:U925)</f>
        <v>#VALUE!</v>
      </c>
      <c r="W925" s="446" t="e">
        <f>IF(OR($B925="",MIN(W$38,$D$19)&lt;MAX($P$708*($B925+IF($R$17="Distrato",$I$38-1,0)),IF(AND($L$711=0,$P$708=0),"",$L$711-1),IF($R$17="Distrato",$E925,0))),0,YEARFRAC(MAX($P$708*($B925+IF($R$17="Distrato",$I$38-1,0)),IF(AND($L$711=0,$P$708=0),"",$L$711-1),IF($R$17="Distrato",$E925,0)),MIN(W$38,$D$19),$P$20))-SUM($P925:V925)</f>
        <v>#VALUE!</v>
      </c>
      <c r="X925" s="446" t="e">
        <f>IF(OR($B925="",MIN(X$38,$D$19)&lt;MAX($P$708*($B925+IF($R$17="Distrato",$I$38-1,0)),IF(AND($L$711=0,$P$708=0),"",$L$711-1),IF($R$17="Distrato",$E925,0))),0,YEARFRAC(MAX($P$708*($B925+IF($R$17="Distrato",$I$38-1,0)),IF(AND($L$711=0,$P$708=0),"",$L$711-1),IF($R$17="Distrato",$E925,0)),MIN(X$38,$D$19),$P$20))-SUM($P925:W925)</f>
        <v>#VALUE!</v>
      </c>
      <c r="Y925" s="446" t="e">
        <f>IF(OR($B925="",MIN(Y$38,$D$19)&lt;MAX($P$708*($B925+IF($R$17="Distrato",$I$38-1,0)),IF(AND($L$711=0,$P$708=0),"",$L$711-1),IF($R$17="Distrato",$E925,0))),0,YEARFRAC(MAX($P$708*($B925+IF($R$17="Distrato",$I$38-1,0)),IF(AND($L$711=0,$P$708=0),"",$L$711-1),IF($R$17="Distrato",$E925,0)),MIN(Y$38,$D$19),$P$20))-SUM($P925:X925)</f>
        <v>#VALUE!</v>
      </c>
      <c r="Z925" s="446" t="e">
        <f>IF(OR($B925="",MIN(Z$38,$D$19)&lt;MAX($P$708*($B925+IF($R$17="Distrato",$I$38-1,0)),IF(AND($L$711=0,$P$708=0),"",$L$711-1),IF($R$17="Distrato",$E925,0))),0,YEARFRAC(MAX($P$708*($B925+IF($R$17="Distrato",$I$38-1,0)),IF(AND($L$711=0,$P$708=0),"",$L$711-1),IF($R$17="Distrato",$E925,0)),MIN(Z$38,$D$19),$P$20))-SUM($P925:Y925)</f>
        <v>#VALUE!</v>
      </c>
      <c r="AA925" s="446" t="e">
        <f>IF(OR($B925="",MIN(AA$38,$D$19)&lt;MAX($P$708*($B925+IF($R$17="Distrato",$I$38-1,0)),IF(AND($L$711=0,$P$708=0),"",$L$711-1),IF($R$17="Distrato",$E925,0))),0,YEARFRAC(MAX($P$708*($B925+IF($R$17="Distrato",$I$38-1,0)),IF(AND($L$711=0,$P$708=0),"",$L$711-1),IF($R$17="Distrato",$E925,0)),MIN(AA$38,$D$19),$P$20))-SUM($P925:Z925)</f>
        <v>#VALUE!</v>
      </c>
      <c r="AB925" s="446" t="e">
        <f>IF(OR($B925="",MIN(AB$38,$D$19)&lt;MAX($P$708*($B925+IF($R$17="Distrato",$I$38-1,0)),IF(AND($L$711=0,$P$708=0),"",$L$711-1),IF($R$17="Distrato",$E925,0))),0,YEARFRAC(MAX($P$708*($B925+IF($R$17="Distrato",$I$38-1,0)),IF(AND($L$711=0,$P$708=0),"",$L$711-1),IF($R$17="Distrato",$E925,0)),MIN(AB$38,$D$19),$P$20))-SUM($P925:AA925)</f>
        <v>#VALUE!</v>
      </c>
      <c r="AC925" s="446" t="e">
        <f>IF(OR($B925="",MIN(AC$38,$D$19)&lt;MAX($P$708*($B925+IF($R$17="Distrato",$I$38-1,0)),IF(AND($L$711=0,$P$708=0),"",$L$711-1),IF($R$17="Distrato",$E925,0))),0,YEARFRAC(MAX($P$708*($B925+IF($R$17="Distrato",$I$38-1,0)),IF(AND($L$711=0,$P$708=0),"",$L$711-1),IF($R$17="Distrato",$E925,0)),MIN(AC$38,$D$19),$P$20))-SUM($P925:AB925)</f>
        <v>#VALUE!</v>
      </c>
      <c r="AD925" s="446" t="e">
        <f>IF(OR($B925="",MIN(AD$38,$D$19)&lt;MAX($P$708*($B925+IF($R$17="Distrato",$I$38-1,0)),IF(AND($L$711=0,$P$708=0),"",$L$711-1),IF($R$17="Distrato",$E925,0))),0,YEARFRAC(MAX($P$708*($B925+IF($R$17="Distrato",$I$38-1,0)),IF(AND($L$711=0,$P$708=0),"",$L$711-1),IF($R$17="Distrato",$E925,0)),MIN(AD$38,$D$19),$P$20))-SUM($P925:AC925)</f>
        <v>#VALUE!</v>
      </c>
      <c r="AE925" s="446" t="e">
        <f>IF(OR($B925="",MIN(AE$38,$D$19)&lt;MAX($P$708*($B925+IF($R$17="Distrato",$I$38-1,0)),IF(AND($L$711=0,$P$708=0),"",$L$711-1),IF($R$17="Distrato",$E925,0))),0,YEARFRAC(MAX($P$708*($B925+IF($R$17="Distrato",$I$38-1,0)),IF(AND($L$711=0,$P$708=0),"",$L$711-1),IF($R$17="Distrato",$E925,0)),MIN(AE$38,$D$19),$P$20))-SUM($P925:AD925)</f>
        <v>#VALUE!</v>
      </c>
      <c r="AF925" s="446" t="e">
        <f>IF(OR($B925="",MIN(AF$38,$D$19)&lt;MAX($P$708*($B925+IF($R$17="Distrato",$I$38-1,0)),IF(AND($L$711=0,$P$708=0),"",$L$711-1),IF($R$17="Distrato",$E925,0))),0,YEARFRAC(MAX($P$708*($B925+IF($R$17="Distrato",$I$38-1,0)),IF(AND($L$711=0,$P$708=0),"",$L$711-1),IF($R$17="Distrato",$E925,0)),MIN(AF$38,$D$19),$P$20))-SUM($P925:AE925)</f>
        <v>#VALUE!</v>
      </c>
      <c r="AG925" s="446" t="e">
        <f>IF(OR($B925="",MIN(AG$38,$D$19)&lt;MAX($P$708*($B925+IF($R$17="Distrato",$I$38-1,0)),IF(AND($L$711=0,$P$708=0),"",$L$711-1),IF($R$17="Distrato",$E925,0))),0,YEARFRAC(MAX($P$708*($B925+IF($R$17="Distrato",$I$38-1,0)),IF(AND($L$711=0,$P$708=0),"",$L$711-1),IF($R$17="Distrato",$E925,0)),MIN(AG$38,$D$19),$P$20))-SUM($P925:AF925)</f>
        <v>#VALUE!</v>
      </c>
      <c r="AH925" s="446" t="e">
        <f>IF(OR($B925="",MIN(AH$38,$D$19)&lt;MAX($P$708*($B925+IF($R$17="Distrato",$I$38-1,0)),IF(AND($L$711=0,$P$708=0),"",$L$711-1),IF($R$17="Distrato",$E925,0))),0,YEARFRAC(MAX($P$708*($B925+IF($R$17="Distrato",$I$38-1,0)),IF(AND($L$711=0,$P$708=0),"",$L$711-1),IF($R$17="Distrato",$E925,0)),MIN(AH$38,$D$19),$P$20))-SUM($P925:AG925)</f>
        <v>#VALUE!</v>
      </c>
      <c r="AI925" s="446" t="e">
        <f>IF(OR($B925="",MIN(AI$38,$D$19)&lt;MAX($P$708*($B925+IF($R$17="Distrato",$I$38-1,0)),IF(AND($L$711=0,$P$708=0),"",$L$711-1),IF($R$17="Distrato",$E925,0))),0,YEARFRAC(MAX($P$708*($B925+IF($R$17="Distrato",$I$38-1,0)),IF(AND($L$711=0,$P$708=0),"",$L$711-1),IF($R$17="Distrato",$E925,0)),MIN(AI$38,$D$19),$P$20))-SUM($P925:AH925)</f>
        <v>#VALUE!</v>
      </c>
      <c r="AJ925" s="446" t="e">
        <f>IF(OR($B925="",MIN(AJ$38,$D$19)&lt;MAX($P$708*($B925+IF($R$17="Distrato",$I$38-1,0)),IF(AND($L$711=0,$P$708=0),"",$L$711-1),IF($R$17="Distrato",$E925,0))),0,YEARFRAC(MAX($P$708*($B925+IF($R$17="Distrato",$I$38-1,0)),IF(AND($L$711=0,$P$708=0),"",$L$711-1),IF($R$17="Distrato",$E925,0)),MIN(AJ$38,$D$19),$P$20))-SUM($P925:AI925)</f>
        <v>#VALUE!</v>
      </c>
      <c r="AK925" s="446" t="e">
        <f>IF(OR($B925="",MIN(AK$38,$D$19)&lt;MAX($P$708*($B925+IF($R$17="Distrato",$I$38-1,0)),IF(AND($L$711=0,$P$708=0),"",$L$711-1),IF($R$17="Distrato",$E925,0))),0,YEARFRAC(MAX($P$708*($B925+IF($R$17="Distrato",$I$38-1,0)),IF(AND($L$711=0,$P$708=0),"",$L$711-1),IF($R$17="Distrato",$E925,0)),MIN(AK$38,$D$19),$P$20))-SUM($P925:AJ925)</f>
        <v>#VALUE!</v>
      </c>
      <c r="AL925" s="446" t="e">
        <f>IF(OR($B925="",MIN(AL$38,$D$19)&lt;MAX($P$708*($B925+IF($R$17="Distrato",$I$38-1,0)),IF(AND($L$711=0,$P$708=0),"",$L$711-1),IF($R$17="Distrato",$E925,0))),0,YEARFRAC(MAX($P$708*($B925+IF($R$17="Distrato",$I$38-1,0)),IF(AND($L$711=0,$P$708=0),"",$L$711-1),IF($R$17="Distrato",$E925,0)),MIN(AL$38,$D$19),$P$20))-SUM($P925:AK925)</f>
        <v>#VALUE!</v>
      </c>
      <c r="AM925" s="446" t="e">
        <f>IF(OR($B925="",MIN(AM$38,$D$19)&lt;MAX($P$708*($B925+IF($R$17="Distrato",$I$38-1,0)),IF(AND($L$711=0,$P$708=0),"",$L$711-1),IF($R$17="Distrato",$E925,0))),0,YEARFRAC(MAX($P$708*($B925+IF($R$17="Distrato",$I$38-1,0)),IF(AND($L$711=0,$P$708=0),"",$L$711-1),IF($R$17="Distrato",$E925,0)),MIN(AM$38,$D$19),$P$20))-SUM($P925:AL925)</f>
        <v>#VALUE!</v>
      </c>
      <c r="AN925" s="446" t="e">
        <f>IF(OR($B925="",MIN(AN$38,$D$19)&lt;MAX($P$708*($B925+IF($R$17="Distrato",$I$38-1,0)),IF(AND($L$711=0,$P$708=0),"",$L$711-1),IF($R$17="Distrato",$E925,0))),0,YEARFRAC(MAX($P$708*($B925+IF($R$17="Distrato",$I$38-1,0)),IF(AND($L$711=0,$P$708=0),"",$L$711-1),IF($R$17="Distrato",$E925,0)),MIN(AN$38,$D$19),$P$20))-SUM($P925:AM925)</f>
        <v>#VALUE!</v>
      </c>
      <c r="AO925" s="446" t="e">
        <f>IF(OR($B925="",MIN(AO$38,$D$19)&lt;MAX($P$708*($B925+IF($R$17="Distrato",$I$38-1,0)),IF(AND($L$711=0,$P$708=0),"",$L$711-1),IF($R$17="Distrato",$E925,0))),0,YEARFRAC(MAX($P$708*($B925+IF($R$17="Distrato",$I$38-1,0)),IF(AND($L$711=0,$P$708=0),"",$L$711-1),IF($R$17="Distrato",$E925,0)),MIN(AO$38,$D$19),$P$20))-SUM($P925:AN925)</f>
        <v>#VALUE!</v>
      </c>
      <c r="AP925" s="446" t="e">
        <f>IF(OR($B925="",MIN(AP$38,$D$19)&lt;MAX($P$708*($B925+IF($R$17="Distrato",$I$38-1,0)),IF(AND($L$711=0,$P$708=0),"",$L$711-1),IF($R$17="Distrato",$E925,0))),0,YEARFRAC(MAX($P$708*($B925+IF($R$17="Distrato",$I$38-1,0)),IF(AND($L$711=0,$P$708=0),"",$L$711-1),IF($R$17="Distrato",$E925,0)),MIN(AP$38,$D$19),$P$20))-SUM($P925:AO925)</f>
        <v>#VALUE!</v>
      </c>
      <c r="AQ925" s="446" t="e">
        <f>IF(OR($B925="",MIN(AQ$38,$D$19)&lt;MAX($P$708*($B925+IF($R$17="Distrato",$I$38-1,0)),IF(AND($L$711=0,$P$708=0),"",$L$711-1),IF($R$17="Distrato",$E925,0))),0,YEARFRAC(MAX($P$708*($B925+IF($R$17="Distrato",$I$38-1,0)),IF(AND($L$711=0,$P$708=0),"",$L$711-1),IF($R$17="Distrato",$E925,0)),MIN(AQ$38,$D$19),$P$20))-SUM($P925:AP925)</f>
        <v>#VALUE!</v>
      </c>
      <c r="AR925" s="446" t="e">
        <f>IF(OR($B925="",MIN(AR$38,$D$19)&lt;MAX($P$708*($B925+IF($R$17="Distrato",$I$38-1,0)),IF(AND($L$711=0,$P$708=0),"",$L$711-1),IF($R$17="Distrato",$E925,0))),0,YEARFRAC(MAX($P$708*($B925+IF($R$17="Distrato",$I$38-1,0)),IF(AND($L$711=0,$P$708=0),"",$L$711-1),IF($R$17="Distrato",$E925,0)),MIN(AR$38,$D$19),$P$20))-SUM($P925:AQ925)</f>
        <v>#VALUE!</v>
      </c>
      <c r="AS925" s="446" t="e">
        <f>IF(OR($B925="",MIN(AS$38,$D$19)&lt;MAX($P$708*($B925+IF($R$17="Distrato",$I$38-1,0)),IF(AND($L$711=0,$P$708=0),"",$L$711-1),IF($R$17="Distrato",$E925,0))),0,YEARFRAC(MAX($P$708*($B925+IF($R$17="Distrato",$I$38-1,0)),IF(AND($L$711=0,$P$708=0),"",$L$711-1),IF($R$17="Distrato",$E925,0)),MIN(AS$38,$D$19),$P$20))-SUM($P925:AR925)</f>
        <v>#VALUE!</v>
      </c>
      <c r="AT925" s="446" t="e">
        <f>IF(OR($B925="",MIN(AT$38,$D$19)&lt;MAX($P$708*($B925+IF($R$17="Distrato",$I$38-1,0)),IF(AND($L$711=0,$P$708=0),"",$L$711-1),IF($R$17="Distrato",$E925,0))),0,YEARFRAC(MAX($P$708*($B925+IF($R$17="Distrato",$I$38-1,0)),IF(AND($L$711=0,$P$708=0),"",$L$711-1),IF($R$17="Distrato",$E925,0)),MIN(AT$38,$D$19),$P$20))-SUM($P925:AS925)</f>
        <v>#VALUE!</v>
      </c>
      <c r="AU925" s="446" t="e">
        <f>IF(OR($B925="",MIN(AU$38,$D$19)&lt;MAX($P$708*($B925+IF($R$17="Distrato",$I$38-1,0)),IF(AND($L$711=0,$P$708=0),"",$L$711-1),IF($R$17="Distrato",$E925,0))),0,YEARFRAC(MAX($P$708*($B925+IF($R$17="Distrato",$I$38-1,0)),IF(AND($L$711=0,$P$708=0),"",$L$711-1),IF($R$17="Distrato",$E925,0)),MIN(AU$38,$D$19),$P$20))-SUM($P925:AT925)</f>
        <v>#VALUE!</v>
      </c>
      <c r="AV925" s="446" t="e">
        <f>IF(OR($B925="",MIN(AV$38,$D$19)&lt;MAX($P$708*($B925+IF($R$17="Distrato",$I$38-1,0)),IF(AND($L$711=0,$P$708=0),"",$L$711-1),IF($R$17="Distrato",$E925,0))),0,YEARFRAC(MAX($P$708*($B925+IF($R$17="Distrato",$I$38-1,0)),IF(AND($L$711=0,$P$708=0),"",$L$711-1),IF($R$17="Distrato",$E925,0)),MIN(AV$38,$D$19),$P$20))-SUM($P925:AU925)</f>
        <v>#VALUE!</v>
      </c>
      <c r="AW925" s="446" t="e">
        <f>IF(OR($B925="",MIN(AW$38,$D$19)&lt;MAX($P$708*($B925+IF($R$17="Distrato",$I$38-1,0)),IF(AND($L$711=0,$P$708=0),"",$L$711-1),IF($R$17="Distrato",$E925,0))),0,YEARFRAC(MAX($P$708*($B925+IF($R$17="Distrato",$I$38-1,0)),IF(AND($L$711=0,$P$708=0),"",$L$711-1),IF($R$17="Distrato",$E925,0)),MIN(AW$38,$D$19),$P$20))-SUM($P925:AV925)</f>
        <v>#VALUE!</v>
      </c>
      <c r="AX925" s="446" t="e">
        <f>IF(OR($B925="",MIN(AX$38,$D$19)&lt;MAX($P$708*($B925+IF($R$17="Distrato",$I$38-1,0)),IF(AND($L$711=0,$P$708=0),"",$L$711-1),IF($R$17="Distrato",$E925,0))),0,YEARFRAC(MAX($P$708*($B925+IF($R$17="Distrato",$I$38-1,0)),IF(AND($L$711=0,$P$708=0),"",$L$711-1),IF($R$17="Distrato",$E925,0)),MIN(AX$38,$D$19),$P$20))-SUM($P925:AW925)</f>
        <v>#VALUE!</v>
      </c>
      <c r="AY925" s="446" t="e">
        <f>IF(OR($B925="",MIN(AY$38,$D$19)&lt;MAX($P$708*($B925+IF($R$17="Distrato",$I$38-1,0)),IF(AND($L$711=0,$P$708=0),"",$L$711-1),IF($R$17="Distrato",$E925,0))),0,YEARFRAC(MAX($P$708*($B925+IF($R$17="Distrato",$I$38-1,0)),IF(AND($L$711=0,$P$708=0),"",$L$711-1),IF($R$17="Distrato",$E925,0)),MIN(AY$38,$D$19),$P$20))-SUM($P925:AX925)</f>
        <v>#VALUE!</v>
      </c>
      <c r="AZ925" s="446" t="e">
        <f>IF(OR($B925="",MIN(AZ$38,$D$19)&lt;MAX($P$708*($B925+IF($R$17="Distrato",$I$38-1,0)),IF(AND($L$711=0,$P$708=0),"",$L$711-1),IF($R$17="Distrato",$E925,0))),0,YEARFRAC(MAX($P$708*($B925+IF($R$17="Distrato",$I$38-1,0)),IF(AND($L$711=0,$P$708=0),"",$L$711-1),IF($R$17="Distrato",$E925,0)),MIN(AZ$38,$D$19),$P$20))-SUM($P925:AY925)</f>
        <v>#VALUE!</v>
      </c>
      <c r="BA925" s="446" t="e">
        <f>IF(OR($B925="",MIN(BA$38,$D$19)&lt;MAX($P$708*($B925+IF($R$17="Distrato",$I$38-1,0)),IF(AND($L$711=0,$P$708=0),"",$L$711-1),IF($R$17="Distrato",$E925,0))),0,YEARFRAC(MAX($P$708*($B925+IF($R$17="Distrato",$I$38-1,0)),IF(AND($L$711=0,$P$708=0),"",$L$711-1),IF($R$17="Distrato",$E925,0)),MIN(BA$38,$D$19),$P$20))-SUM($P925:AZ925)</f>
        <v>#VALUE!</v>
      </c>
      <c r="BB925" s="447"/>
    </row>
    <row r="926" spans="1:54" s="446" customFormat="1" ht="11.25" hidden="1" customHeight="1" x14ac:dyDescent="0.2">
      <c r="A926" s="235"/>
      <c r="B926" s="236"/>
      <c r="C926" s="29" t="str">
        <f>IF(B926="","",IF($L$709=$BL$25,VLOOKUP(DATE(YEAR($D$19),MONTH($D$19)-1,1),ÍNDICES!$A:$DE,HLOOKUP($BL$25,ÍNDICES!$B$3:$T$4,2)+11)-VLOOKUP(B926,ÍNDICES!$A:$DE,HLOOKUP($BL$25,ÍNDICES!$B$3:$T$4,2)+11)+1%,IF(C$712=$W$26,$J$35,IF(ISERROR(IF(B926&gt;$D$19,1,VLOOKUP(DATE(YEAR(B926),MONTH(B926)+IF($C$709=$S$23,1,0),1),ÍNDICES!$A:$DE,$Z$709+1))),"",IF(B926&gt;$D$19,1,VLOOKUP(DATE(YEAR(B926),MONTH(B926)+IF($C$709=$S$23,1,0),1),ÍNDICES!$A:$DE,$Z$709+1))))))</f>
        <v/>
      </c>
      <c r="D926" s="155"/>
      <c r="E926" s="88"/>
      <c r="F926" s="88"/>
      <c r="G926" s="88"/>
      <c r="H926" s="118"/>
      <c r="I926" s="182">
        <f t="shared" si="136"/>
        <v>0</v>
      </c>
      <c r="J926" s="20">
        <f t="shared" ca="1" si="137"/>
        <v>0</v>
      </c>
      <c r="K926" s="5">
        <f t="shared" ca="1" si="138"/>
        <v>0</v>
      </c>
      <c r="L926" s="61">
        <f t="shared" ca="1" si="139"/>
        <v>0</v>
      </c>
      <c r="M926" s="64">
        <f t="shared" si="140"/>
        <v>0</v>
      </c>
      <c r="N926" s="151"/>
      <c r="O926" s="5">
        <f t="shared" ca="1" si="141"/>
        <v>0</v>
      </c>
      <c r="P926" s="446" t="e">
        <f t="shared" si="142"/>
        <v>#VALUE!</v>
      </c>
      <c r="Q926" s="446" t="e">
        <f>IF(OR($B926="",MIN(Q$38,$D$19)&lt;MAX($P$708*($B926+IF($R$17="Distrato",$I$38-1,0)),IF(AND($L$711=0,$P$708=0),"",$L$711-1),IF($R$17="Distrato",$E926,0))),0,YEARFRAC(MAX($P$708*($B926+IF($R$17="Distrato",$I$38-1,0)),IF(AND($L$711=0,$P$708=0),"",$L$711-1),IF($R$17="Distrato",$E926,0)),MIN(Q$38,$D$19),$P$20))-SUM($P926:P926)</f>
        <v>#VALUE!</v>
      </c>
      <c r="R926" s="446" t="e">
        <f>IF(OR($B926="",MIN(R$38,$D$19)&lt;MAX($P$708*($B926+IF($R$17="Distrato",$I$38-1,0)),IF(AND($L$711=0,$P$708=0),"",$L$711-1),IF($R$17="Distrato",$E926,0))),0,YEARFRAC(MAX($P$708*($B926+IF($R$17="Distrato",$I$38-1,0)),IF(AND($L$711=0,$P$708=0),"",$L$711-1),IF($R$17="Distrato",$E926,0)),MIN(R$38,$D$19),$P$20))-SUM($P926:Q926)</f>
        <v>#VALUE!</v>
      </c>
      <c r="S926" s="446" t="e">
        <f>IF(OR($B926="",MIN(S$38,$D$19)&lt;MAX($P$708*($B926+IF($R$17="Distrato",$I$38-1,0)),IF(AND($L$711=0,$P$708=0),"",$L$711-1),IF($R$17="Distrato",$E926,0))),0,YEARFRAC(MAX($P$708*($B926+IF($R$17="Distrato",$I$38-1,0)),IF(AND($L$711=0,$P$708=0),"",$L$711-1),IF($R$17="Distrato",$E926,0)),MIN(S$38,$D$19),$P$20))-SUM($P926:R926)</f>
        <v>#VALUE!</v>
      </c>
      <c r="T926" s="446" t="e">
        <f>IF(OR($B926="",MIN(T$38,$D$19)&lt;MAX($P$708*($B926+IF($R$17="Distrato",$I$38-1,0)),IF(AND($L$711=0,$P$708=0),"",$L$711-1),IF($R$17="Distrato",$E926,0))),0,YEARFRAC(MAX($P$708*($B926+IF($R$17="Distrato",$I$38-1,0)),IF(AND($L$711=0,$P$708=0),"",$L$711-1),IF($R$17="Distrato",$E926,0)),MIN(T$38,$D$19),$P$20))-SUM($P926:S926)</f>
        <v>#VALUE!</v>
      </c>
      <c r="U926" s="446" t="e">
        <f>IF(OR($B926="",MIN(U$38,$D$19)&lt;MAX($P$708*($B926+IF($R$17="Distrato",$I$38-1,0)),IF(AND($L$711=0,$P$708=0),"",$L$711-1),IF($R$17="Distrato",$E926,0))),0,YEARFRAC(MAX($P$708*($B926+IF($R$17="Distrato",$I$38-1,0)),IF(AND($L$711=0,$P$708=0),"",$L$711-1),IF($R$17="Distrato",$E926,0)),MIN(U$38,$D$19),$P$20))-SUM($P926:T926)</f>
        <v>#VALUE!</v>
      </c>
      <c r="V926" s="446" t="e">
        <f>IF(OR($B926="",MIN(V$38,$D$19)&lt;MAX($P$708*($B926+IF($R$17="Distrato",$I$38-1,0)),IF(AND($L$711=0,$P$708=0),"",$L$711-1),IF($R$17="Distrato",$E926,0))),0,YEARFRAC(MAX($P$708*($B926+IF($R$17="Distrato",$I$38-1,0)),IF(AND($L$711=0,$P$708=0),"",$L$711-1),IF($R$17="Distrato",$E926,0)),MIN(V$38,$D$19),$P$20))-SUM($P926:U926)</f>
        <v>#VALUE!</v>
      </c>
      <c r="W926" s="446" t="e">
        <f>IF(OR($B926="",MIN(W$38,$D$19)&lt;MAX($P$708*($B926+IF($R$17="Distrato",$I$38-1,0)),IF(AND($L$711=0,$P$708=0),"",$L$711-1),IF($R$17="Distrato",$E926,0))),0,YEARFRAC(MAX($P$708*($B926+IF($R$17="Distrato",$I$38-1,0)),IF(AND($L$711=0,$P$708=0),"",$L$711-1),IF($R$17="Distrato",$E926,0)),MIN(W$38,$D$19),$P$20))-SUM($P926:V926)</f>
        <v>#VALUE!</v>
      </c>
      <c r="X926" s="446" t="e">
        <f>IF(OR($B926="",MIN(X$38,$D$19)&lt;MAX($P$708*($B926+IF($R$17="Distrato",$I$38-1,0)),IF(AND($L$711=0,$P$708=0),"",$L$711-1),IF($R$17="Distrato",$E926,0))),0,YEARFRAC(MAX($P$708*($B926+IF($R$17="Distrato",$I$38-1,0)),IF(AND($L$711=0,$P$708=0),"",$L$711-1),IF($R$17="Distrato",$E926,0)),MIN(X$38,$D$19),$P$20))-SUM($P926:W926)</f>
        <v>#VALUE!</v>
      </c>
      <c r="Y926" s="446" t="e">
        <f>IF(OR($B926="",MIN(Y$38,$D$19)&lt;MAX($P$708*($B926+IF($R$17="Distrato",$I$38-1,0)),IF(AND($L$711=0,$P$708=0),"",$L$711-1),IF($R$17="Distrato",$E926,0))),0,YEARFRAC(MAX($P$708*($B926+IF($R$17="Distrato",$I$38-1,0)),IF(AND($L$711=0,$P$708=0),"",$L$711-1),IF($R$17="Distrato",$E926,0)),MIN(Y$38,$D$19),$P$20))-SUM($P926:X926)</f>
        <v>#VALUE!</v>
      </c>
      <c r="Z926" s="446" t="e">
        <f>IF(OR($B926="",MIN(Z$38,$D$19)&lt;MAX($P$708*($B926+IF($R$17="Distrato",$I$38-1,0)),IF(AND($L$711=0,$P$708=0),"",$L$711-1),IF($R$17="Distrato",$E926,0))),0,YEARFRAC(MAX($P$708*($B926+IF($R$17="Distrato",$I$38-1,0)),IF(AND($L$711=0,$P$708=0),"",$L$711-1),IF($R$17="Distrato",$E926,0)),MIN(Z$38,$D$19),$P$20))-SUM($P926:Y926)</f>
        <v>#VALUE!</v>
      </c>
      <c r="AA926" s="446" t="e">
        <f>IF(OR($B926="",MIN(AA$38,$D$19)&lt;MAX($P$708*($B926+IF($R$17="Distrato",$I$38-1,0)),IF(AND($L$711=0,$P$708=0),"",$L$711-1),IF($R$17="Distrato",$E926,0))),0,YEARFRAC(MAX($P$708*($B926+IF($R$17="Distrato",$I$38-1,0)),IF(AND($L$711=0,$P$708=0),"",$L$711-1),IF($R$17="Distrato",$E926,0)),MIN(AA$38,$D$19),$P$20))-SUM($P926:Z926)</f>
        <v>#VALUE!</v>
      </c>
      <c r="AB926" s="446" t="e">
        <f>IF(OR($B926="",MIN(AB$38,$D$19)&lt;MAX($P$708*($B926+IF($R$17="Distrato",$I$38-1,0)),IF(AND($L$711=0,$P$708=0),"",$L$711-1),IF($R$17="Distrato",$E926,0))),0,YEARFRAC(MAX($P$708*($B926+IF($R$17="Distrato",$I$38-1,0)),IF(AND($L$711=0,$P$708=0),"",$L$711-1),IF($R$17="Distrato",$E926,0)),MIN(AB$38,$D$19),$P$20))-SUM($P926:AA926)</f>
        <v>#VALUE!</v>
      </c>
      <c r="AC926" s="446" t="e">
        <f>IF(OR($B926="",MIN(AC$38,$D$19)&lt;MAX($P$708*($B926+IF($R$17="Distrato",$I$38-1,0)),IF(AND($L$711=0,$P$708=0),"",$L$711-1),IF($R$17="Distrato",$E926,0))),0,YEARFRAC(MAX($P$708*($B926+IF($R$17="Distrato",$I$38-1,0)),IF(AND($L$711=0,$P$708=0),"",$L$711-1),IF($R$17="Distrato",$E926,0)),MIN(AC$38,$D$19),$P$20))-SUM($P926:AB926)</f>
        <v>#VALUE!</v>
      </c>
      <c r="AD926" s="446" t="e">
        <f>IF(OR($B926="",MIN(AD$38,$D$19)&lt;MAX($P$708*($B926+IF($R$17="Distrato",$I$38-1,0)),IF(AND($L$711=0,$P$708=0),"",$L$711-1),IF($R$17="Distrato",$E926,0))),0,YEARFRAC(MAX($P$708*($B926+IF($R$17="Distrato",$I$38-1,0)),IF(AND($L$711=0,$P$708=0),"",$L$711-1),IF($R$17="Distrato",$E926,0)),MIN(AD$38,$D$19),$P$20))-SUM($P926:AC926)</f>
        <v>#VALUE!</v>
      </c>
      <c r="AE926" s="446" t="e">
        <f>IF(OR($B926="",MIN(AE$38,$D$19)&lt;MAX($P$708*($B926+IF($R$17="Distrato",$I$38-1,0)),IF(AND($L$711=0,$P$708=0),"",$L$711-1),IF($R$17="Distrato",$E926,0))),0,YEARFRAC(MAX($P$708*($B926+IF($R$17="Distrato",$I$38-1,0)),IF(AND($L$711=0,$P$708=0),"",$L$711-1),IF($R$17="Distrato",$E926,0)),MIN(AE$38,$D$19),$P$20))-SUM($P926:AD926)</f>
        <v>#VALUE!</v>
      </c>
      <c r="AF926" s="446" t="e">
        <f>IF(OR($B926="",MIN(AF$38,$D$19)&lt;MAX($P$708*($B926+IF($R$17="Distrato",$I$38-1,0)),IF(AND($L$711=0,$P$708=0),"",$L$711-1),IF($R$17="Distrato",$E926,0))),0,YEARFRAC(MAX($P$708*($B926+IF($R$17="Distrato",$I$38-1,0)),IF(AND($L$711=0,$P$708=0),"",$L$711-1),IF($R$17="Distrato",$E926,0)),MIN(AF$38,$D$19),$P$20))-SUM($P926:AE926)</f>
        <v>#VALUE!</v>
      </c>
      <c r="AG926" s="446" t="e">
        <f>IF(OR($B926="",MIN(AG$38,$D$19)&lt;MAX($P$708*($B926+IF($R$17="Distrato",$I$38-1,0)),IF(AND($L$711=0,$P$708=0),"",$L$711-1),IF($R$17="Distrato",$E926,0))),0,YEARFRAC(MAX($P$708*($B926+IF($R$17="Distrato",$I$38-1,0)),IF(AND($L$711=0,$P$708=0),"",$L$711-1),IF($R$17="Distrato",$E926,0)),MIN(AG$38,$D$19),$P$20))-SUM($P926:AF926)</f>
        <v>#VALUE!</v>
      </c>
      <c r="AH926" s="446" t="e">
        <f>IF(OR($B926="",MIN(AH$38,$D$19)&lt;MAX($P$708*($B926+IF($R$17="Distrato",$I$38-1,0)),IF(AND($L$711=0,$P$708=0),"",$L$711-1),IF($R$17="Distrato",$E926,0))),0,YEARFRAC(MAX($P$708*($B926+IF($R$17="Distrato",$I$38-1,0)),IF(AND($L$711=0,$P$708=0),"",$L$711-1),IF($R$17="Distrato",$E926,0)),MIN(AH$38,$D$19),$P$20))-SUM($P926:AG926)</f>
        <v>#VALUE!</v>
      </c>
      <c r="AI926" s="446" t="e">
        <f>IF(OR($B926="",MIN(AI$38,$D$19)&lt;MAX($P$708*($B926+IF($R$17="Distrato",$I$38-1,0)),IF(AND($L$711=0,$P$708=0),"",$L$711-1),IF($R$17="Distrato",$E926,0))),0,YEARFRAC(MAX($P$708*($B926+IF($R$17="Distrato",$I$38-1,0)),IF(AND($L$711=0,$P$708=0),"",$L$711-1),IF($R$17="Distrato",$E926,0)),MIN(AI$38,$D$19),$P$20))-SUM($P926:AH926)</f>
        <v>#VALUE!</v>
      </c>
      <c r="AJ926" s="446" t="e">
        <f>IF(OR($B926="",MIN(AJ$38,$D$19)&lt;MAX($P$708*($B926+IF($R$17="Distrato",$I$38-1,0)),IF(AND($L$711=0,$P$708=0),"",$L$711-1),IF($R$17="Distrato",$E926,0))),0,YEARFRAC(MAX($P$708*($B926+IF($R$17="Distrato",$I$38-1,0)),IF(AND($L$711=0,$P$708=0),"",$L$711-1),IF($R$17="Distrato",$E926,0)),MIN(AJ$38,$D$19),$P$20))-SUM($P926:AI926)</f>
        <v>#VALUE!</v>
      </c>
      <c r="AK926" s="446" t="e">
        <f>IF(OR($B926="",MIN(AK$38,$D$19)&lt;MAX($P$708*($B926+IF($R$17="Distrato",$I$38-1,0)),IF(AND($L$711=0,$P$708=0),"",$L$711-1),IF($R$17="Distrato",$E926,0))),0,YEARFRAC(MAX($P$708*($B926+IF($R$17="Distrato",$I$38-1,0)),IF(AND($L$711=0,$P$708=0),"",$L$711-1),IF($R$17="Distrato",$E926,0)),MIN(AK$38,$D$19),$P$20))-SUM($P926:AJ926)</f>
        <v>#VALUE!</v>
      </c>
      <c r="AL926" s="446" t="e">
        <f>IF(OR($B926="",MIN(AL$38,$D$19)&lt;MAX($P$708*($B926+IF($R$17="Distrato",$I$38-1,0)),IF(AND($L$711=0,$P$708=0),"",$L$711-1),IF($R$17="Distrato",$E926,0))),0,YEARFRAC(MAX($P$708*($B926+IF($R$17="Distrato",$I$38-1,0)),IF(AND($L$711=0,$P$708=0),"",$L$711-1),IF($R$17="Distrato",$E926,0)),MIN(AL$38,$D$19),$P$20))-SUM($P926:AK926)</f>
        <v>#VALUE!</v>
      </c>
      <c r="AM926" s="446" t="e">
        <f>IF(OR($B926="",MIN(AM$38,$D$19)&lt;MAX($P$708*($B926+IF($R$17="Distrato",$I$38-1,0)),IF(AND($L$711=0,$P$708=0),"",$L$711-1),IF($R$17="Distrato",$E926,0))),0,YEARFRAC(MAX($P$708*($B926+IF($R$17="Distrato",$I$38-1,0)),IF(AND($L$711=0,$P$708=0),"",$L$711-1),IF($R$17="Distrato",$E926,0)),MIN(AM$38,$D$19),$P$20))-SUM($P926:AL926)</f>
        <v>#VALUE!</v>
      </c>
      <c r="AN926" s="446" t="e">
        <f>IF(OR($B926="",MIN(AN$38,$D$19)&lt;MAX($P$708*($B926+IF($R$17="Distrato",$I$38-1,0)),IF(AND($L$711=0,$P$708=0),"",$L$711-1),IF($R$17="Distrato",$E926,0))),0,YEARFRAC(MAX($P$708*($B926+IF($R$17="Distrato",$I$38-1,0)),IF(AND($L$711=0,$P$708=0),"",$L$711-1),IF($R$17="Distrato",$E926,0)),MIN(AN$38,$D$19),$P$20))-SUM($P926:AM926)</f>
        <v>#VALUE!</v>
      </c>
      <c r="AO926" s="446" t="e">
        <f>IF(OR($B926="",MIN(AO$38,$D$19)&lt;MAX($P$708*($B926+IF($R$17="Distrato",$I$38-1,0)),IF(AND($L$711=0,$P$708=0),"",$L$711-1),IF($R$17="Distrato",$E926,0))),0,YEARFRAC(MAX($P$708*($B926+IF($R$17="Distrato",$I$38-1,0)),IF(AND($L$711=0,$P$708=0),"",$L$711-1),IF($R$17="Distrato",$E926,0)),MIN(AO$38,$D$19),$P$20))-SUM($P926:AN926)</f>
        <v>#VALUE!</v>
      </c>
      <c r="AP926" s="446" t="e">
        <f>IF(OR($B926="",MIN(AP$38,$D$19)&lt;MAX($P$708*($B926+IF($R$17="Distrato",$I$38-1,0)),IF(AND($L$711=0,$P$708=0),"",$L$711-1),IF($R$17="Distrato",$E926,0))),0,YEARFRAC(MAX($P$708*($B926+IF($R$17="Distrato",$I$38-1,0)),IF(AND($L$711=0,$P$708=0),"",$L$711-1),IF($R$17="Distrato",$E926,0)),MIN(AP$38,$D$19),$P$20))-SUM($P926:AO926)</f>
        <v>#VALUE!</v>
      </c>
      <c r="AQ926" s="446" t="e">
        <f>IF(OR($B926="",MIN(AQ$38,$D$19)&lt;MAX($P$708*($B926+IF($R$17="Distrato",$I$38-1,0)),IF(AND($L$711=0,$P$708=0),"",$L$711-1),IF($R$17="Distrato",$E926,0))),0,YEARFRAC(MAX($P$708*($B926+IF($R$17="Distrato",$I$38-1,0)),IF(AND($L$711=0,$P$708=0),"",$L$711-1),IF($R$17="Distrato",$E926,0)),MIN(AQ$38,$D$19),$P$20))-SUM($P926:AP926)</f>
        <v>#VALUE!</v>
      </c>
      <c r="AR926" s="446" t="e">
        <f>IF(OR($B926="",MIN(AR$38,$D$19)&lt;MAX($P$708*($B926+IF($R$17="Distrato",$I$38-1,0)),IF(AND($L$711=0,$P$708=0),"",$L$711-1),IF($R$17="Distrato",$E926,0))),0,YEARFRAC(MAX($P$708*($B926+IF($R$17="Distrato",$I$38-1,0)),IF(AND($L$711=0,$P$708=0),"",$L$711-1),IF($R$17="Distrato",$E926,0)),MIN(AR$38,$D$19),$P$20))-SUM($P926:AQ926)</f>
        <v>#VALUE!</v>
      </c>
      <c r="AS926" s="446" t="e">
        <f>IF(OR($B926="",MIN(AS$38,$D$19)&lt;MAX($P$708*($B926+IF($R$17="Distrato",$I$38-1,0)),IF(AND($L$711=0,$P$708=0),"",$L$711-1),IF($R$17="Distrato",$E926,0))),0,YEARFRAC(MAX($P$708*($B926+IF($R$17="Distrato",$I$38-1,0)),IF(AND($L$711=0,$P$708=0),"",$L$711-1),IF($R$17="Distrato",$E926,0)),MIN(AS$38,$D$19),$P$20))-SUM($P926:AR926)</f>
        <v>#VALUE!</v>
      </c>
      <c r="AT926" s="446" t="e">
        <f>IF(OR($B926="",MIN(AT$38,$D$19)&lt;MAX($P$708*($B926+IF($R$17="Distrato",$I$38-1,0)),IF(AND($L$711=0,$P$708=0),"",$L$711-1),IF($R$17="Distrato",$E926,0))),0,YEARFRAC(MAX($P$708*($B926+IF($R$17="Distrato",$I$38-1,0)),IF(AND($L$711=0,$P$708=0),"",$L$711-1),IF($R$17="Distrato",$E926,0)),MIN(AT$38,$D$19),$P$20))-SUM($P926:AS926)</f>
        <v>#VALUE!</v>
      </c>
      <c r="AU926" s="446" t="e">
        <f>IF(OR($B926="",MIN(AU$38,$D$19)&lt;MAX($P$708*($B926+IF($R$17="Distrato",$I$38-1,0)),IF(AND($L$711=0,$P$708=0),"",$L$711-1),IF($R$17="Distrato",$E926,0))),0,YEARFRAC(MAX($P$708*($B926+IF($R$17="Distrato",$I$38-1,0)),IF(AND($L$711=0,$P$708=0),"",$L$711-1),IF($R$17="Distrato",$E926,0)),MIN(AU$38,$D$19),$P$20))-SUM($P926:AT926)</f>
        <v>#VALUE!</v>
      </c>
      <c r="AV926" s="446" t="e">
        <f>IF(OR($B926="",MIN(AV$38,$D$19)&lt;MAX($P$708*($B926+IF($R$17="Distrato",$I$38-1,0)),IF(AND($L$711=0,$P$708=0),"",$L$711-1),IF($R$17="Distrato",$E926,0))),0,YEARFRAC(MAX($P$708*($B926+IF($R$17="Distrato",$I$38-1,0)),IF(AND($L$711=0,$P$708=0),"",$L$711-1),IF($R$17="Distrato",$E926,0)),MIN(AV$38,$D$19),$P$20))-SUM($P926:AU926)</f>
        <v>#VALUE!</v>
      </c>
      <c r="AW926" s="446" t="e">
        <f>IF(OR($B926="",MIN(AW$38,$D$19)&lt;MAX($P$708*($B926+IF($R$17="Distrato",$I$38-1,0)),IF(AND($L$711=0,$P$708=0),"",$L$711-1),IF($R$17="Distrato",$E926,0))),0,YEARFRAC(MAX($P$708*($B926+IF($R$17="Distrato",$I$38-1,0)),IF(AND($L$711=0,$P$708=0),"",$L$711-1),IF($R$17="Distrato",$E926,0)),MIN(AW$38,$D$19),$P$20))-SUM($P926:AV926)</f>
        <v>#VALUE!</v>
      </c>
      <c r="AX926" s="446" t="e">
        <f>IF(OR($B926="",MIN(AX$38,$D$19)&lt;MAX($P$708*($B926+IF($R$17="Distrato",$I$38-1,0)),IF(AND($L$711=0,$P$708=0),"",$L$711-1),IF($R$17="Distrato",$E926,0))),0,YEARFRAC(MAX($P$708*($B926+IF($R$17="Distrato",$I$38-1,0)),IF(AND($L$711=0,$P$708=0),"",$L$711-1),IF($R$17="Distrato",$E926,0)),MIN(AX$38,$D$19),$P$20))-SUM($P926:AW926)</f>
        <v>#VALUE!</v>
      </c>
      <c r="AY926" s="446" t="e">
        <f>IF(OR($B926="",MIN(AY$38,$D$19)&lt;MAX($P$708*($B926+IF($R$17="Distrato",$I$38-1,0)),IF(AND($L$711=0,$P$708=0),"",$L$711-1),IF($R$17="Distrato",$E926,0))),0,YEARFRAC(MAX($P$708*($B926+IF($R$17="Distrato",$I$38-1,0)),IF(AND($L$711=0,$P$708=0),"",$L$711-1),IF($R$17="Distrato",$E926,0)),MIN(AY$38,$D$19),$P$20))-SUM($P926:AX926)</f>
        <v>#VALUE!</v>
      </c>
      <c r="AZ926" s="446" t="e">
        <f>IF(OR($B926="",MIN(AZ$38,$D$19)&lt;MAX($P$708*($B926+IF($R$17="Distrato",$I$38-1,0)),IF(AND($L$711=0,$P$708=0),"",$L$711-1),IF($R$17="Distrato",$E926,0))),0,YEARFRAC(MAX($P$708*($B926+IF($R$17="Distrato",$I$38-1,0)),IF(AND($L$711=0,$P$708=0),"",$L$711-1),IF($R$17="Distrato",$E926,0)),MIN(AZ$38,$D$19),$P$20))-SUM($P926:AY926)</f>
        <v>#VALUE!</v>
      </c>
      <c r="BA926" s="446" t="e">
        <f>IF(OR($B926="",MIN(BA$38,$D$19)&lt;MAX($P$708*($B926+IF($R$17="Distrato",$I$38-1,0)),IF(AND($L$711=0,$P$708=0),"",$L$711-1),IF($R$17="Distrato",$E926,0))),0,YEARFRAC(MAX($P$708*($B926+IF($R$17="Distrato",$I$38-1,0)),IF(AND($L$711=0,$P$708=0),"",$L$711-1),IF($R$17="Distrato",$E926,0)),MIN(BA$38,$D$19),$P$20))-SUM($P926:AZ926)</f>
        <v>#VALUE!</v>
      </c>
      <c r="BB926" s="447"/>
    </row>
    <row r="927" spans="1:54" s="446" customFormat="1" ht="11.25" hidden="1" customHeight="1" x14ac:dyDescent="0.2">
      <c r="A927" s="235"/>
      <c r="B927" s="236"/>
      <c r="C927" s="29" t="str">
        <f>IF(B927="","",IF($L$709=$BL$25,VLOOKUP(DATE(YEAR($D$19),MONTH($D$19)-1,1),ÍNDICES!$A:$DE,HLOOKUP($BL$25,ÍNDICES!$B$3:$T$4,2)+11)-VLOOKUP(B927,ÍNDICES!$A:$DE,HLOOKUP($BL$25,ÍNDICES!$B$3:$T$4,2)+11)+1%,IF(C$712=$W$26,$J$35,IF(ISERROR(IF(B927&gt;$D$19,1,VLOOKUP(DATE(YEAR(B927),MONTH(B927)+IF($C$709=$S$23,1,0),1),ÍNDICES!$A:$DE,$Z$709+1))),"",IF(B927&gt;$D$19,1,VLOOKUP(DATE(YEAR(B927),MONTH(B927)+IF($C$709=$S$23,1,0),1),ÍNDICES!$A:$DE,$Z$709+1))))))</f>
        <v/>
      </c>
      <c r="D927" s="155"/>
      <c r="E927" s="88"/>
      <c r="F927" s="88"/>
      <c r="G927" s="88"/>
      <c r="H927" s="118"/>
      <c r="I927" s="182">
        <f t="shared" si="136"/>
        <v>0</v>
      </c>
      <c r="J927" s="20">
        <f t="shared" ca="1" si="137"/>
        <v>0</v>
      </c>
      <c r="K927" s="5">
        <f t="shared" ca="1" si="138"/>
        <v>0</v>
      </c>
      <c r="L927" s="61">
        <f t="shared" ca="1" si="139"/>
        <v>0</v>
      </c>
      <c r="M927" s="64">
        <f t="shared" si="140"/>
        <v>0</v>
      </c>
      <c r="N927" s="151"/>
      <c r="O927" s="5">
        <f t="shared" ca="1" si="141"/>
        <v>0</v>
      </c>
      <c r="P927" s="446" t="e">
        <f t="shared" si="142"/>
        <v>#VALUE!</v>
      </c>
      <c r="Q927" s="446" t="e">
        <f>IF(OR($B927="",MIN(Q$38,$D$19)&lt;MAX($P$708*($B927+IF($R$17="Distrato",$I$38-1,0)),IF(AND($L$711=0,$P$708=0),"",$L$711-1),IF($R$17="Distrato",$E927,0))),0,YEARFRAC(MAX($P$708*($B927+IF($R$17="Distrato",$I$38-1,0)),IF(AND($L$711=0,$P$708=0),"",$L$711-1),IF($R$17="Distrato",$E927,0)),MIN(Q$38,$D$19),$P$20))-SUM($P927:P927)</f>
        <v>#VALUE!</v>
      </c>
      <c r="R927" s="446" t="e">
        <f>IF(OR($B927="",MIN(R$38,$D$19)&lt;MAX($P$708*($B927+IF($R$17="Distrato",$I$38-1,0)),IF(AND($L$711=0,$P$708=0),"",$L$711-1),IF($R$17="Distrato",$E927,0))),0,YEARFRAC(MAX($P$708*($B927+IF($R$17="Distrato",$I$38-1,0)),IF(AND($L$711=0,$P$708=0),"",$L$711-1),IF($R$17="Distrato",$E927,0)),MIN(R$38,$D$19),$P$20))-SUM($P927:Q927)</f>
        <v>#VALUE!</v>
      </c>
      <c r="S927" s="446" t="e">
        <f>IF(OR($B927="",MIN(S$38,$D$19)&lt;MAX($P$708*($B927+IF($R$17="Distrato",$I$38-1,0)),IF(AND($L$711=0,$P$708=0),"",$L$711-1),IF($R$17="Distrato",$E927,0))),0,YEARFRAC(MAX($P$708*($B927+IF($R$17="Distrato",$I$38-1,0)),IF(AND($L$711=0,$P$708=0),"",$L$711-1),IF($R$17="Distrato",$E927,0)),MIN(S$38,$D$19),$P$20))-SUM($P927:R927)</f>
        <v>#VALUE!</v>
      </c>
      <c r="T927" s="446" t="e">
        <f>IF(OR($B927="",MIN(T$38,$D$19)&lt;MAX($P$708*($B927+IF($R$17="Distrato",$I$38-1,0)),IF(AND($L$711=0,$P$708=0),"",$L$711-1),IF($R$17="Distrato",$E927,0))),0,YEARFRAC(MAX($P$708*($B927+IF($R$17="Distrato",$I$38-1,0)),IF(AND($L$711=0,$P$708=0),"",$L$711-1),IF($R$17="Distrato",$E927,0)),MIN(T$38,$D$19),$P$20))-SUM($P927:S927)</f>
        <v>#VALUE!</v>
      </c>
      <c r="U927" s="446" t="e">
        <f>IF(OR($B927="",MIN(U$38,$D$19)&lt;MAX($P$708*($B927+IF($R$17="Distrato",$I$38-1,0)),IF(AND($L$711=0,$P$708=0),"",$L$711-1),IF($R$17="Distrato",$E927,0))),0,YEARFRAC(MAX($P$708*($B927+IF($R$17="Distrato",$I$38-1,0)),IF(AND($L$711=0,$P$708=0),"",$L$711-1),IF($R$17="Distrato",$E927,0)),MIN(U$38,$D$19),$P$20))-SUM($P927:T927)</f>
        <v>#VALUE!</v>
      </c>
      <c r="V927" s="446" t="e">
        <f>IF(OR($B927="",MIN(V$38,$D$19)&lt;MAX($P$708*($B927+IF($R$17="Distrato",$I$38-1,0)),IF(AND($L$711=0,$P$708=0),"",$L$711-1),IF($R$17="Distrato",$E927,0))),0,YEARFRAC(MAX($P$708*($B927+IF($R$17="Distrato",$I$38-1,0)),IF(AND($L$711=0,$P$708=0),"",$L$711-1),IF($R$17="Distrato",$E927,0)),MIN(V$38,$D$19),$P$20))-SUM($P927:U927)</f>
        <v>#VALUE!</v>
      </c>
      <c r="W927" s="446" t="e">
        <f>IF(OR($B927="",MIN(W$38,$D$19)&lt;MAX($P$708*($B927+IF($R$17="Distrato",$I$38-1,0)),IF(AND($L$711=0,$P$708=0),"",$L$711-1),IF($R$17="Distrato",$E927,0))),0,YEARFRAC(MAX($P$708*($B927+IF($R$17="Distrato",$I$38-1,0)),IF(AND($L$711=0,$P$708=0),"",$L$711-1),IF($R$17="Distrato",$E927,0)),MIN(W$38,$D$19),$P$20))-SUM($P927:V927)</f>
        <v>#VALUE!</v>
      </c>
      <c r="X927" s="446" t="e">
        <f>IF(OR($B927="",MIN(X$38,$D$19)&lt;MAX($P$708*($B927+IF($R$17="Distrato",$I$38-1,0)),IF(AND($L$711=0,$P$708=0),"",$L$711-1),IF($R$17="Distrato",$E927,0))),0,YEARFRAC(MAX($P$708*($B927+IF($R$17="Distrato",$I$38-1,0)),IF(AND($L$711=0,$P$708=0),"",$L$711-1),IF($R$17="Distrato",$E927,0)),MIN(X$38,$D$19),$P$20))-SUM($P927:W927)</f>
        <v>#VALUE!</v>
      </c>
      <c r="Y927" s="446" t="e">
        <f>IF(OR($B927="",MIN(Y$38,$D$19)&lt;MAX($P$708*($B927+IF($R$17="Distrato",$I$38-1,0)),IF(AND($L$711=0,$P$708=0),"",$L$711-1),IF($R$17="Distrato",$E927,0))),0,YEARFRAC(MAX($P$708*($B927+IF($R$17="Distrato",$I$38-1,0)),IF(AND($L$711=0,$P$708=0),"",$L$711-1),IF($R$17="Distrato",$E927,0)),MIN(Y$38,$D$19),$P$20))-SUM($P927:X927)</f>
        <v>#VALUE!</v>
      </c>
      <c r="Z927" s="446" t="e">
        <f>IF(OR($B927="",MIN(Z$38,$D$19)&lt;MAX($P$708*($B927+IF($R$17="Distrato",$I$38-1,0)),IF(AND($L$711=0,$P$708=0),"",$L$711-1),IF($R$17="Distrato",$E927,0))),0,YEARFRAC(MAX($P$708*($B927+IF($R$17="Distrato",$I$38-1,0)),IF(AND($L$711=0,$P$708=0),"",$L$711-1),IF($R$17="Distrato",$E927,0)),MIN(Z$38,$D$19),$P$20))-SUM($P927:Y927)</f>
        <v>#VALUE!</v>
      </c>
      <c r="AA927" s="446" t="e">
        <f>IF(OR($B927="",MIN(AA$38,$D$19)&lt;MAX($P$708*($B927+IF($R$17="Distrato",$I$38-1,0)),IF(AND($L$711=0,$P$708=0),"",$L$711-1),IF($R$17="Distrato",$E927,0))),0,YEARFRAC(MAX($P$708*($B927+IF($R$17="Distrato",$I$38-1,0)),IF(AND($L$711=0,$P$708=0),"",$L$711-1),IF($R$17="Distrato",$E927,0)),MIN(AA$38,$D$19),$P$20))-SUM($P927:Z927)</f>
        <v>#VALUE!</v>
      </c>
      <c r="AB927" s="446" t="e">
        <f>IF(OR($B927="",MIN(AB$38,$D$19)&lt;MAX($P$708*($B927+IF($R$17="Distrato",$I$38-1,0)),IF(AND($L$711=0,$P$708=0),"",$L$711-1),IF($R$17="Distrato",$E927,0))),0,YEARFRAC(MAX($P$708*($B927+IF($R$17="Distrato",$I$38-1,0)),IF(AND($L$711=0,$P$708=0),"",$L$711-1),IF($R$17="Distrato",$E927,0)),MIN(AB$38,$D$19),$P$20))-SUM($P927:AA927)</f>
        <v>#VALUE!</v>
      </c>
      <c r="AC927" s="446" t="e">
        <f>IF(OR($B927="",MIN(AC$38,$D$19)&lt;MAX($P$708*($B927+IF($R$17="Distrato",$I$38-1,0)),IF(AND($L$711=0,$P$708=0),"",$L$711-1),IF($R$17="Distrato",$E927,0))),0,YEARFRAC(MAX($P$708*($B927+IF($R$17="Distrato",$I$38-1,0)),IF(AND($L$711=0,$P$708=0),"",$L$711-1),IF($R$17="Distrato",$E927,0)),MIN(AC$38,$D$19),$P$20))-SUM($P927:AB927)</f>
        <v>#VALUE!</v>
      </c>
      <c r="AD927" s="446" t="e">
        <f>IF(OR($B927="",MIN(AD$38,$D$19)&lt;MAX($P$708*($B927+IF($R$17="Distrato",$I$38-1,0)),IF(AND($L$711=0,$P$708=0),"",$L$711-1),IF($R$17="Distrato",$E927,0))),0,YEARFRAC(MAX($P$708*($B927+IF($R$17="Distrato",$I$38-1,0)),IF(AND($L$711=0,$P$708=0),"",$L$711-1),IF($R$17="Distrato",$E927,0)),MIN(AD$38,$D$19),$P$20))-SUM($P927:AC927)</f>
        <v>#VALUE!</v>
      </c>
      <c r="AE927" s="446" t="e">
        <f>IF(OR($B927="",MIN(AE$38,$D$19)&lt;MAX($P$708*($B927+IF($R$17="Distrato",$I$38-1,0)),IF(AND($L$711=0,$P$708=0),"",$L$711-1),IF($R$17="Distrato",$E927,0))),0,YEARFRAC(MAX($P$708*($B927+IF($R$17="Distrato",$I$38-1,0)),IF(AND($L$711=0,$P$708=0),"",$L$711-1),IF($R$17="Distrato",$E927,0)),MIN(AE$38,$D$19),$P$20))-SUM($P927:AD927)</f>
        <v>#VALUE!</v>
      </c>
      <c r="AF927" s="446" t="e">
        <f>IF(OR($B927="",MIN(AF$38,$D$19)&lt;MAX($P$708*($B927+IF($R$17="Distrato",$I$38-1,0)),IF(AND($L$711=0,$P$708=0),"",$L$711-1),IF($R$17="Distrato",$E927,0))),0,YEARFRAC(MAX($P$708*($B927+IF($R$17="Distrato",$I$38-1,0)),IF(AND($L$711=0,$P$708=0),"",$L$711-1),IF($R$17="Distrato",$E927,0)),MIN(AF$38,$D$19),$P$20))-SUM($P927:AE927)</f>
        <v>#VALUE!</v>
      </c>
      <c r="AG927" s="446" t="e">
        <f>IF(OR($B927="",MIN(AG$38,$D$19)&lt;MAX($P$708*($B927+IF($R$17="Distrato",$I$38-1,0)),IF(AND($L$711=0,$P$708=0),"",$L$711-1),IF($R$17="Distrato",$E927,0))),0,YEARFRAC(MAX($P$708*($B927+IF($R$17="Distrato",$I$38-1,0)),IF(AND($L$711=0,$P$708=0),"",$L$711-1),IF($R$17="Distrato",$E927,0)),MIN(AG$38,$D$19),$P$20))-SUM($P927:AF927)</f>
        <v>#VALUE!</v>
      </c>
      <c r="AH927" s="446" t="e">
        <f>IF(OR($B927="",MIN(AH$38,$D$19)&lt;MAX($P$708*($B927+IF($R$17="Distrato",$I$38-1,0)),IF(AND($L$711=0,$P$708=0),"",$L$711-1),IF($R$17="Distrato",$E927,0))),0,YEARFRAC(MAX($P$708*($B927+IF($R$17="Distrato",$I$38-1,0)),IF(AND($L$711=0,$P$708=0),"",$L$711-1),IF($R$17="Distrato",$E927,0)),MIN(AH$38,$D$19),$P$20))-SUM($P927:AG927)</f>
        <v>#VALUE!</v>
      </c>
      <c r="AI927" s="446" t="e">
        <f>IF(OR($B927="",MIN(AI$38,$D$19)&lt;MAX($P$708*($B927+IF($R$17="Distrato",$I$38-1,0)),IF(AND($L$711=0,$P$708=0),"",$L$711-1),IF($R$17="Distrato",$E927,0))),0,YEARFRAC(MAX($P$708*($B927+IF($R$17="Distrato",$I$38-1,0)),IF(AND($L$711=0,$P$708=0),"",$L$711-1),IF($R$17="Distrato",$E927,0)),MIN(AI$38,$D$19),$P$20))-SUM($P927:AH927)</f>
        <v>#VALUE!</v>
      </c>
      <c r="AJ927" s="446" t="e">
        <f>IF(OR($B927="",MIN(AJ$38,$D$19)&lt;MAX($P$708*($B927+IF($R$17="Distrato",$I$38-1,0)),IF(AND($L$711=0,$P$708=0),"",$L$711-1),IF($R$17="Distrato",$E927,0))),0,YEARFRAC(MAX($P$708*($B927+IF($R$17="Distrato",$I$38-1,0)),IF(AND($L$711=0,$P$708=0),"",$L$711-1),IF($R$17="Distrato",$E927,0)),MIN(AJ$38,$D$19),$P$20))-SUM($P927:AI927)</f>
        <v>#VALUE!</v>
      </c>
      <c r="AK927" s="446" t="e">
        <f>IF(OR($B927="",MIN(AK$38,$D$19)&lt;MAX($P$708*($B927+IF($R$17="Distrato",$I$38-1,0)),IF(AND($L$711=0,$P$708=0),"",$L$711-1),IF($R$17="Distrato",$E927,0))),0,YEARFRAC(MAX($P$708*($B927+IF($R$17="Distrato",$I$38-1,0)),IF(AND($L$711=0,$P$708=0),"",$L$711-1),IF($R$17="Distrato",$E927,0)),MIN(AK$38,$D$19),$P$20))-SUM($P927:AJ927)</f>
        <v>#VALUE!</v>
      </c>
      <c r="AL927" s="446" t="e">
        <f>IF(OR($B927="",MIN(AL$38,$D$19)&lt;MAX($P$708*($B927+IF($R$17="Distrato",$I$38-1,0)),IF(AND($L$711=0,$P$708=0),"",$L$711-1),IF($R$17="Distrato",$E927,0))),0,YEARFRAC(MAX($P$708*($B927+IF($R$17="Distrato",$I$38-1,0)),IF(AND($L$711=0,$P$708=0),"",$L$711-1),IF($R$17="Distrato",$E927,0)),MIN(AL$38,$D$19),$P$20))-SUM($P927:AK927)</f>
        <v>#VALUE!</v>
      </c>
      <c r="AM927" s="446" t="e">
        <f>IF(OR($B927="",MIN(AM$38,$D$19)&lt;MAX($P$708*($B927+IF($R$17="Distrato",$I$38-1,0)),IF(AND($L$711=0,$P$708=0),"",$L$711-1),IF($R$17="Distrato",$E927,0))),0,YEARFRAC(MAX($P$708*($B927+IF($R$17="Distrato",$I$38-1,0)),IF(AND($L$711=0,$P$708=0),"",$L$711-1),IF($R$17="Distrato",$E927,0)),MIN(AM$38,$D$19),$P$20))-SUM($P927:AL927)</f>
        <v>#VALUE!</v>
      </c>
      <c r="AN927" s="446" t="e">
        <f>IF(OR($B927="",MIN(AN$38,$D$19)&lt;MAX($P$708*($B927+IF($R$17="Distrato",$I$38-1,0)),IF(AND($L$711=0,$P$708=0),"",$L$711-1),IF($R$17="Distrato",$E927,0))),0,YEARFRAC(MAX($P$708*($B927+IF($R$17="Distrato",$I$38-1,0)),IF(AND($L$711=0,$P$708=0),"",$L$711-1),IF($R$17="Distrato",$E927,0)),MIN(AN$38,$D$19),$P$20))-SUM($P927:AM927)</f>
        <v>#VALUE!</v>
      </c>
      <c r="AO927" s="446" t="e">
        <f>IF(OR($B927="",MIN(AO$38,$D$19)&lt;MAX($P$708*($B927+IF($R$17="Distrato",$I$38-1,0)),IF(AND($L$711=0,$P$708=0),"",$L$711-1),IF($R$17="Distrato",$E927,0))),0,YEARFRAC(MAX($P$708*($B927+IF($R$17="Distrato",$I$38-1,0)),IF(AND($L$711=0,$P$708=0),"",$L$711-1),IF($R$17="Distrato",$E927,0)),MIN(AO$38,$D$19),$P$20))-SUM($P927:AN927)</f>
        <v>#VALUE!</v>
      </c>
      <c r="AP927" s="446" t="e">
        <f>IF(OR($B927="",MIN(AP$38,$D$19)&lt;MAX($P$708*($B927+IF($R$17="Distrato",$I$38-1,0)),IF(AND($L$711=0,$P$708=0),"",$L$711-1),IF($R$17="Distrato",$E927,0))),0,YEARFRAC(MAX($P$708*($B927+IF($R$17="Distrato",$I$38-1,0)),IF(AND($L$711=0,$P$708=0),"",$L$711-1),IF($R$17="Distrato",$E927,0)),MIN(AP$38,$D$19),$P$20))-SUM($P927:AO927)</f>
        <v>#VALUE!</v>
      </c>
      <c r="AQ927" s="446" t="e">
        <f>IF(OR($B927="",MIN(AQ$38,$D$19)&lt;MAX($P$708*($B927+IF($R$17="Distrato",$I$38-1,0)),IF(AND($L$711=0,$P$708=0),"",$L$711-1),IF($R$17="Distrato",$E927,0))),0,YEARFRAC(MAX($P$708*($B927+IF($R$17="Distrato",$I$38-1,0)),IF(AND($L$711=0,$P$708=0),"",$L$711-1),IF($R$17="Distrato",$E927,0)),MIN(AQ$38,$D$19),$P$20))-SUM($P927:AP927)</f>
        <v>#VALUE!</v>
      </c>
      <c r="AR927" s="446" t="e">
        <f>IF(OR($B927="",MIN(AR$38,$D$19)&lt;MAX($P$708*($B927+IF($R$17="Distrato",$I$38-1,0)),IF(AND($L$711=0,$P$708=0),"",$L$711-1),IF($R$17="Distrato",$E927,0))),0,YEARFRAC(MAX($P$708*($B927+IF($R$17="Distrato",$I$38-1,0)),IF(AND($L$711=0,$P$708=0),"",$L$711-1),IF($R$17="Distrato",$E927,0)),MIN(AR$38,$D$19),$P$20))-SUM($P927:AQ927)</f>
        <v>#VALUE!</v>
      </c>
      <c r="AS927" s="446" t="e">
        <f>IF(OR($B927="",MIN(AS$38,$D$19)&lt;MAX($P$708*($B927+IF($R$17="Distrato",$I$38-1,0)),IF(AND($L$711=0,$P$708=0),"",$L$711-1),IF($R$17="Distrato",$E927,0))),0,YEARFRAC(MAX($P$708*($B927+IF($R$17="Distrato",$I$38-1,0)),IF(AND($L$711=0,$P$708=0),"",$L$711-1),IF($R$17="Distrato",$E927,0)),MIN(AS$38,$D$19),$P$20))-SUM($P927:AR927)</f>
        <v>#VALUE!</v>
      </c>
      <c r="AT927" s="446" t="e">
        <f>IF(OR($B927="",MIN(AT$38,$D$19)&lt;MAX($P$708*($B927+IF($R$17="Distrato",$I$38-1,0)),IF(AND($L$711=0,$P$708=0),"",$L$711-1),IF($R$17="Distrato",$E927,0))),0,YEARFRAC(MAX($P$708*($B927+IF($R$17="Distrato",$I$38-1,0)),IF(AND($L$711=0,$P$708=0),"",$L$711-1),IF($R$17="Distrato",$E927,0)),MIN(AT$38,$D$19),$P$20))-SUM($P927:AS927)</f>
        <v>#VALUE!</v>
      </c>
      <c r="AU927" s="446" t="e">
        <f>IF(OR($B927="",MIN(AU$38,$D$19)&lt;MAX($P$708*($B927+IF($R$17="Distrato",$I$38-1,0)),IF(AND($L$711=0,$P$708=0),"",$L$711-1),IF($R$17="Distrato",$E927,0))),0,YEARFRAC(MAX($P$708*($B927+IF($R$17="Distrato",$I$38-1,0)),IF(AND($L$711=0,$P$708=0),"",$L$711-1),IF($R$17="Distrato",$E927,0)),MIN(AU$38,$D$19),$P$20))-SUM($P927:AT927)</f>
        <v>#VALUE!</v>
      </c>
      <c r="AV927" s="446" t="e">
        <f>IF(OR($B927="",MIN(AV$38,$D$19)&lt;MAX($P$708*($B927+IF($R$17="Distrato",$I$38-1,0)),IF(AND($L$711=0,$P$708=0),"",$L$711-1),IF($R$17="Distrato",$E927,0))),0,YEARFRAC(MAX($P$708*($B927+IF($R$17="Distrato",$I$38-1,0)),IF(AND($L$711=0,$P$708=0),"",$L$711-1),IF($R$17="Distrato",$E927,0)),MIN(AV$38,$D$19),$P$20))-SUM($P927:AU927)</f>
        <v>#VALUE!</v>
      </c>
      <c r="AW927" s="446" t="e">
        <f>IF(OR($B927="",MIN(AW$38,$D$19)&lt;MAX($P$708*($B927+IF($R$17="Distrato",$I$38-1,0)),IF(AND($L$711=0,$P$708=0),"",$L$711-1),IF($R$17="Distrato",$E927,0))),0,YEARFRAC(MAX($P$708*($B927+IF($R$17="Distrato",$I$38-1,0)),IF(AND($L$711=0,$P$708=0),"",$L$711-1),IF($R$17="Distrato",$E927,0)),MIN(AW$38,$D$19),$P$20))-SUM($P927:AV927)</f>
        <v>#VALUE!</v>
      </c>
      <c r="AX927" s="446" t="e">
        <f>IF(OR($B927="",MIN(AX$38,$D$19)&lt;MAX($P$708*($B927+IF($R$17="Distrato",$I$38-1,0)),IF(AND($L$711=0,$P$708=0),"",$L$711-1),IF($R$17="Distrato",$E927,0))),0,YEARFRAC(MAX($P$708*($B927+IF($R$17="Distrato",$I$38-1,0)),IF(AND($L$711=0,$P$708=0),"",$L$711-1),IF($R$17="Distrato",$E927,0)),MIN(AX$38,$D$19),$P$20))-SUM($P927:AW927)</f>
        <v>#VALUE!</v>
      </c>
      <c r="AY927" s="446" t="e">
        <f>IF(OR($B927="",MIN(AY$38,$D$19)&lt;MAX($P$708*($B927+IF($R$17="Distrato",$I$38-1,0)),IF(AND($L$711=0,$P$708=0),"",$L$711-1),IF($R$17="Distrato",$E927,0))),0,YEARFRAC(MAX($P$708*($B927+IF($R$17="Distrato",$I$38-1,0)),IF(AND($L$711=0,$P$708=0),"",$L$711-1),IF($R$17="Distrato",$E927,0)),MIN(AY$38,$D$19),$P$20))-SUM($P927:AX927)</f>
        <v>#VALUE!</v>
      </c>
      <c r="AZ927" s="446" t="e">
        <f>IF(OR($B927="",MIN(AZ$38,$D$19)&lt;MAX($P$708*($B927+IF($R$17="Distrato",$I$38-1,0)),IF(AND($L$711=0,$P$708=0),"",$L$711-1),IF($R$17="Distrato",$E927,0))),0,YEARFRAC(MAX($P$708*($B927+IF($R$17="Distrato",$I$38-1,0)),IF(AND($L$711=0,$P$708=0),"",$L$711-1),IF($R$17="Distrato",$E927,0)),MIN(AZ$38,$D$19),$P$20))-SUM($P927:AY927)</f>
        <v>#VALUE!</v>
      </c>
      <c r="BA927" s="446" t="e">
        <f>IF(OR($B927="",MIN(BA$38,$D$19)&lt;MAX($P$708*($B927+IF($R$17="Distrato",$I$38-1,0)),IF(AND($L$711=0,$P$708=0),"",$L$711-1),IF($R$17="Distrato",$E927,0))),0,YEARFRAC(MAX($P$708*($B927+IF($R$17="Distrato",$I$38-1,0)),IF(AND($L$711=0,$P$708=0),"",$L$711-1),IF($R$17="Distrato",$E927,0)),MIN(BA$38,$D$19),$P$20))-SUM($P927:AZ927)</f>
        <v>#VALUE!</v>
      </c>
      <c r="BB927" s="447"/>
    </row>
    <row r="928" spans="1:54" s="446" customFormat="1" ht="11.25" hidden="1" customHeight="1" x14ac:dyDescent="0.2">
      <c r="A928" s="235"/>
      <c r="B928" s="236"/>
      <c r="C928" s="29" t="str">
        <f>IF(B928="","",IF($L$709=$BL$25,VLOOKUP(DATE(YEAR($D$19),MONTH($D$19)-1,1),ÍNDICES!$A:$DE,HLOOKUP($BL$25,ÍNDICES!$B$3:$T$4,2)+11)-VLOOKUP(B928,ÍNDICES!$A:$DE,HLOOKUP($BL$25,ÍNDICES!$B$3:$T$4,2)+11)+1%,IF(C$712=$W$26,$J$35,IF(ISERROR(IF(B928&gt;$D$19,1,VLOOKUP(DATE(YEAR(B928),MONTH(B928)+IF($C$709=$S$23,1,0),1),ÍNDICES!$A:$DE,$Z$709+1))),"",IF(B928&gt;$D$19,1,VLOOKUP(DATE(YEAR(B928),MONTH(B928)+IF($C$709=$S$23,1,0),1),ÍNDICES!$A:$DE,$Z$709+1))))))</f>
        <v/>
      </c>
      <c r="D928" s="155"/>
      <c r="E928" s="88"/>
      <c r="F928" s="88"/>
      <c r="G928" s="88"/>
      <c r="H928" s="118"/>
      <c r="I928" s="182">
        <f t="shared" si="136"/>
        <v>0</v>
      </c>
      <c r="J928" s="20">
        <f t="shared" ca="1" si="137"/>
        <v>0</v>
      </c>
      <c r="K928" s="5">
        <f t="shared" ca="1" si="138"/>
        <v>0</v>
      </c>
      <c r="L928" s="61">
        <f t="shared" ca="1" si="139"/>
        <v>0</v>
      </c>
      <c r="M928" s="64">
        <f t="shared" si="140"/>
        <v>0</v>
      </c>
      <c r="N928" s="151"/>
      <c r="O928" s="5">
        <f t="shared" ca="1" si="141"/>
        <v>0</v>
      </c>
      <c r="P928" s="446" t="e">
        <f t="shared" si="142"/>
        <v>#VALUE!</v>
      </c>
      <c r="Q928" s="446" t="e">
        <f>IF(OR($B928="",MIN(Q$38,$D$19)&lt;MAX($P$708*($B928+IF($R$17="Distrato",$I$38-1,0)),IF(AND($L$711=0,$P$708=0),"",$L$711-1),IF($R$17="Distrato",$E928,0))),0,YEARFRAC(MAX($P$708*($B928+IF($R$17="Distrato",$I$38-1,0)),IF(AND($L$711=0,$P$708=0),"",$L$711-1),IF($R$17="Distrato",$E928,0)),MIN(Q$38,$D$19),$P$20))-SUM($P928:P928)</f>
        <v>#VALUE!</v>
      </c>
      <c r="R928" s="446" t="e">
        <f>IF(OR($B928="",MIN(R$38,$D$19)&lt;MAX($P$708*($B928+IF($R$17="Distrato",$I$38-1,0)),IF(AND($L$711=0,$P$708=0),"",$L$711-1),IF($R$17="Distrato",$E928,0))),0,YEARFRAC(MAX($P$708*($B928+IF($R$17="Distrato",$I$38-1,0)),IF(AND($L$711=0,$P$708=0),"",$L$711-1),IF($R$17="Distrato",$E928,0)),MIN(R$38,$D$19),$P$20))-SUM($P928:Q928)</f>
        <v>#VALUE!</v>
      </c>
      <c r="S928" s="446" t="e">
        <f>IF(OR($B928="",MIN(S$38,$D$19)&lt;MAX($P$708*($B928+IF($R$17="Distrato",$I$38-1,0)),IF(AND($L$711=0,$P$708=0),"",$L$711-1),IF($R$17="Distrato",$E928,0))),0,YEARFRAC(MAX($P$708*($B928+IF($R$17="Distrato",$I$38-1,0)),IF(AND($L$711=0,$P$708=0),"",$L$711-1),IF($R$17="Distrato",$E928,0)),MIN(S$38,$D$19),$P$20))-SUM($P928:R928)</f>
        <v>#VALUE!</v>
      </c>
      <c r="T928" s="446" t="e">
        <f>IF(OR($B928="",MIN(T$38,$D$19)&lt;MAX($P$708*($B928+IF($R$17="Distrato",$I$38-1,0)),IF(AND($L$711=0,$P$708=0),"",$L$711-1),IF($R$17="Distrato",$E928,0))),0,YEARFRAC(MAX($P$708*($B928+IF($R$17="Distrato",$I$38-1,0)),IF(AND($L$711=0,$P$708=0),"",$L$711-1),IF($R$17="Distrato",$E928,0)),MIN(T$38,$D$19),$P$20))-SUM($P928:S928)</f>
        <v>#VALUE!</v>
      </c>
      <c r="U928" s="446" t="e">
        <f>IF(OR($B928="",MIN(U$38,$D$19)&lt;MAX($P$708*($B928+IF($R$17="Distrato",$I$38-1,0)),IF(AND($L$711=0,$P$708=0),"",$L$711-1),IF($R$17="Distrato",$E928,0))),0,YEARFRAC(MAX($P$708*($B928+IF($R$17="Distrato",$I$38-1,0)),IF(AND($L$711=0,$P$708=0),"",$L$711-1),IF($R$17="Distrato",$E928,0)),MIN(U$38,$D$19),$P$20))-SUM($P928:T928)</f>
        <v>#VALUE!</v>
      </c>
      <c r="V928" s="446" t="e">
        <f>IF(OR($B928="",MIN(V$38,$D$19)&lt;MAX($P$708*($B928+IF($R$17="Distrato",$I$38-1,0)),IF(AND($L$711=0,$P$708=0),"",$L$711-1),IF($R$17="Distrato",$E928,0))),0,YEARFRAC(MAX($P$708*($B928+IF($R$17="Distrato",$I$38-1,0)),IF(AND($L$711=0,$P$708=0),"",$L$711-1),IF($R$17="Distrato",$E928,0)),MIN(V$38,$D$19),$P$20))-SUM($P928:U928)</f>
        <v>#VALUE!</v>
      </c>
      <c r="W928" s="446" t="e">
        <f>IF(OR($B928="",MIN(W$38,$D$19)&lt;MAX($P$708*($B928+IF($R$17="Distrato",$I$38-1,0)),IF(AND($L$711=0,$P$708=0),"",$L$711-1),IF($R$17="Distrato",$E928,0))),0,YEARFRAC(MAX($P$708*($B928+IF($R$17="Distrato",$I$38-1,0)),IF(AND($L$711=0,$P$708=0),"",$L$711-1),IF($R$17="Distrato",$E928,0)),MIN(W$38,$D$19),$P$20))-SUM($P928:V928)</f>
        <v>#VALUE!</v>
      </c>
      <c r="X928" s="446" t="e">
        <f>IF(OR($B928="",MIN(X$38,$D$19)&lt;MAX($P$708*($B928+IF($R$17="Distrato",$I$38-1,0)),IF(AND($L$711=0,$P$708=0),"",$L$711-1),IF($R$17="Distrato",$E928,0))),0,YEARFRAC(MAX($P$708*($B928+IF($R$17="Distrato",$I$38-1,0)),IF(AND($L$711=0,$P$708=0),"",$L$711-1),IF($R$17="Distrato",$E928,0)),MIN(X$38,$D$19),$P$20))-SUM($P928:W928)</f>
        <v>#VALUE!</v>
      </c>
      <c r="Y928" s="446" t="e">
        <f>IF(OR($B928="",MIN(Y$38,$D$19)&lt;MAX($P$708*($B928+IF($R$17="Distrato",$I$38-1,0)),IF(AND($L$711=0,$P$708=0),"",$L$711-1),IF($R$17="Distrato",$E928,0))),0,YEARFRAC(MAX($P$708*($B928+IF($R$17="Distrato",$I$38-1,0)),IF(AND($L$711=0,$P$708=0),"",$L$711-1),IF($R$17="Distrato",$E928,0)),MIN(Y$38,$D$19),$P$20))-SUM($P928:X928)</f>
        <v>#VALUE!</v>
      </c>
      <c r="Z928" s="446" t="e">
        <f>IF(OR($B928="",MIN(Z$38,$D$19)&lt;MAX($P$708*($B928+IF($R$17="Distrato",$I$38-1,0)),IF(AND($L$711=0,$P$708=0),"",$L$711-1),IF($R$17="Distrato",$E928,0))),0,YEARFRAC(MAX($P$708*($B928+IF($R$17="Distrato",$I$38-1,0)),IF(AND($L$711=0,$P$708=0),"",$L$711-1),IF($R$17="Distrato",$E928,0)),MIN(Z$38,$D$19),$P$20))-SUM($P928:Y928)</f>
        <v>#VALUE!</v>
      </c>
      <c r="AA928" s="446" t="e">
        <f>IF(OR($B928="",MIN(AA$38,$D$19)&lt;MAX($P$708*($B928+IF($R$17="Distrato",$I$38-1,0)),IF(AND($L$711=0,$P$708=0),"",$L$711-1),IF($R$17="Distrato",$E928,0))),0,YEARFRAC(MAX($P$708*($B928+IF($R$17="Distrato",$I$38-1,0)),IF(AND($L$711=0,$P$708=0),"",$L$711-1),IF($R$17="Distrato",$E928,0)),MIN(AA$38,$D$19),$P$20))-SUM($P928:Z928)</f>
        <v>#VALUE!</v>
      </c>
      <c r="AB928" s="446" t="e">
        <f>IF(OR($B928="",MIN(AB$38,$D$19)&lt;MAX($P$708*($B928+IF($R$17="Distrato",$I$38-1,0)),IF(AND($L$711=0,$P$708=0),"",$L$711-1),IF($R$17="Distrato",$E928,0))),0,YEARFRAC(MAX($P$708*($B928+IF($R$17="Distrato",$I$38-1,0)),IF(AND($L$711=0,$P$708=0),"",$L$711-1),IF($R$17="Distrato",$E928,0)),MIN(AB$38,$D$19),$P$20))-SUM($P928:AA928)</f>
        <v>#VALUE!</v>
      </c>
      <c r="AC928" s="446" t="e">
        <f>IF(OR($B928="",MIN(AC$38,$D$19)&lt;MAX($P$708*($B928+IF($R$17="Distrato",$I$38-1,0)),IF(AND($L$711=0,$P$708=0),"",$L$711-1),IF($R$17="Distrato",$E928,0))),0,YEARFRAC(MAX($P$708*($B928+IF($R$17="Distrato",$I$38-1,0)),IF(AND($L$711=0,$P$708=0),"",$L$711-1),IF($R$17="Distrato",$E928,0)),MIN(AC$38,$D$19),$P$20))-SUM($P928:AB928)</f>
        <v>#VALUE!</v>
      </c>
      <c r="AD928" s="446" t="e">
        <f>IF(OR($B928="",MIN(AD$38,$D$19)&lt;MAX($P$708*($B928+IF($R$17="Distrato",$I$38-1,0)),IF(AND($L$711=0,$P$708=0),"",$L$711-1),IF($R$17="Distrato",$E928,0))),0,YEARFRAC(MAX($P$708*($B928+IF($R$17="Distrato",$I$38-1,0)),IF(AND($L$711=0,$P$708=0),"",$L$711-1),IF($R$17="Distrato",$E928,0)),MIN(AD$38,$D$19),$P$20))-SUM($P928:AC928)</f>
        <v>#VALUE!</v>
      </c>
      <c r="AE928" s="446" t="e">
        <f>IF(OR($B928="",MIN(AE$38,$D$19)&lt;MAX($P$708*($B928+IF($R$17="Distrato",$I$38-1,0)),IF(AND($L$711=0,$P$708=0),"",$L$711-1),IF($R$17="Distrato",$E928,0))),0,YEARFRAC(MAX($P$708*($B928+IF($R$17="Distrato",$I$38-1,0)),IF(AND($L$711=0,$P$708=0),"",$L$711-1),IF($R$17="Distrato",$E928,0)),MIN(AE$38,$D$19),$P$20))-SUM($P928:AD928)</f>
        <v>#VALUE!</v>
      </c>
      <c r="AF928" s="446" t="e">
        <f>IF(OR($B928="",MIN(AF$38,$D$19)&lt;MAX($P$708*($B928+IF($R$17="Distrato",$I$38-1,0)),IF(AND($L$711=0,$P$708=0),"",$L$711-1),IF($R$17="Distrato",$E928,0))),0,YEARFRAC(MAX($P$708*($B928+IF($R$17="Distrato",$I$38-1,0)),IF(AND($L$711=0,$P$708=0),"",$L$711-1),IF($R$17="Distrato",$E928,0)),MIN(AF$38,$D$19),$P$20))-SUM($P928:AE928)</f>
        <v>#VALUE!</v>
      </c>
      <c r="AG928" s="446" t="e">
        <f>IF(OR($B928="",MIN(AG$38,$D$19)&lt;MAX($P$708*($B928+IF($R$17="Distrato",$I$38-1,0)),IF(AND($L$711=0,$P$708=0),"",$L$711-1),IF($R$17="Distrato",$E928,0))),0,YEARFRAC(MAX($P$708*($B928+IF($R$17="Distrato",$I$38-1,0)),IF(AND($L$711=0,$P$708=0),"",$L$711-1),IF($R$17="Distrato",$E928,0)),MIN(AG$38,$D$19),$P$20))-SUM($P928:AF928)</f>
        <v>#VALUE!</v>
      </c>
      <c r="AH928" s="446" t="e">
        <f>IF(OR($B928="",MIN(AH$38,$D$19)&lt;MAX($P$708*($B928+IF($R$17="Distrato",$I$38-1,0)),IF(AND($L$711=0,$P$708=0),"",$L$711-1),IF($R$17="Distrato",$E928,0))),0,YEARFRAC(MAX($P$708*($B928+IF($R$17="Distrato",$I$38-1,0)),IF(AND($L$711=0,$P$708=0),"",$L$711-1),IF($R$17="Distrato",$E928,0)),MIN(AH$38,$D$19),$P$20))-SUM($P928:AG928)</f>
        <v>#VALUE!</v>
      </c>
      <c r="AI928" s="446" t="e">
        <f>IF(OR($B928="",MIN(AI$38,$D$19)&lt;MAX($P$708*($B928+IF($R$17="Distrato",$I$38-1,0)),IF(AND($L$711=0,$P$708=0),"",$L$711-1),IF($R$17="Distrato",$E928,0))),0,YEARFRAC(MAX($P$708*($B928+IF($R$17="Distrato",$I$38-1,0)),IF(AND($L$711=0,$P$708=0),"",$L$711-1),IF($R$17="Distrato",$E928,0)),MIN(AI$38,$D$19),$P$20))-SUM($P928:AH928)</f>
        <v>#VALUE!</v>
      </c>
      <c r="AJ928" s="446" t="e">
        <f>IF(OR($B928="",MIN(AJ$38,$D$19)&lt;MAX($P$708*($B928+IF($R$17="Distrato",$I$38-1,0)),IF(AND($L$711=0,$P$708=0),"",$L$711-1),IF($R$17="Distrato",$E928,0))),0,YEARFRAC(MAX($P$708*($B928+IF($R$17="Distrato",$I$38-1,0)),IF(AND($L$711=0,$P$708=0),"",$L$711-1),IF($R$17="Distrato",$E928,0)),MIN(AJ$38,$D$19),$P$20))-SUM($P928:AI928)</f>
        <v>#VALUE!</v>
      </c>
      <c r="AK928" s="446" t="e">
        <f>IF(OR($B928="",MIN(AK$38,$D$19)&lt;MAX($P$708*($B928+IF($R$17="Distrato",$I$38-1,0)),IF(AND($L$711=0,$P$708=0),"",$L$711-1),IF($R$17="Distrato",$E928,0))),0,YEARFRAC(MAX($P$708*($B928+IF($R$17="Distrato",$I$38-1,0)),IF(AND($L$711=0,$P$708=0),"",$L$711-1),IF($R$17="Distrato",$E928,0)),MIN(AK$38,$D$19),$P$20))-SUM($P928:AJ928)</f>
        <v>#VALUE!</v>
      </c>
      <c r="AL928" s="446" t="e">
        <f>IF(OR($B928="",MIN(AL$38,$D$19)&lt;MAX($P$708*($B928+IF($R$17="Distrato",$I$38-1,0)),IF(AND($L$711=0,$P$708=0),"",$L$711-1),IF($R$17="Distrato",$E928,0))),0,YEARFRAC(MAX($P$708*($B928+IF($R$17="Distrato",$I$38-1,0)),IF(AND($L$711=0,$P$708=0),"",$L$711-1),IF($R$17="Distrato",$E928,0)),MIN(AL$38,$D$19),$P$20))-SUM($P928:AK928)</f>
        <v>#VALUE!</v>
      </c>
      <c r="AM928" s="446" t="e">
        <f>IF(OR($B928="",MIN(AM$38,$D$19)&lt;MAX($P$708*($B928+IF($R$17="Distrato",$I$38-1,0)),IF(AND($L$711=0,$P$708=0),"",$L$711-1),IF($R$17="Distrato",$E928,0))),0,YEARFRAC(MAX($P$708*($B928+IF($R$17="Distrato",$I$38-1,0)),IF(AND($L$711=0,$P$708=0),"",$L$711-1),IF($R$17="Distrato",$E928,0)),MIN(AM$38,$D$19),$P$20))-SUM($P928:AL928)</f>
        <v>#VALUE!</v>
      </c>
      <c r="AN928" s="446" t="e">
        <f>IF(OR($B928="",MIN(AN$38,$D$19)&lt;MAX($P$708*($B928+IF($R$17="Distrato",$I$38-1,0)),IF(AND($L$711=0,$P$708=0),"",$L$711-1),IF($R$17="Distrato",$E928,0))),0,YEARFRAC(MAX($P$708*($B928+IF($R$17="Distrato",$I$38-1,0)),IF(AND($L$711=0,$P$708=0),"",$L$711-1),IF($R$17="Distrato",$E928,0)),MIN(AN$38,$D$19),$P$20))-SUM($P928:AM928)</f>
        <v>#VALUE!</v>
      </c>
      <c r="AO928" s="446" t="e">
        <f>IF(OR($B928="",MIN(AO$38,$D$19)&lt;MAX($P$708*($B928+IF($R$17="Distrato",$I$38-1,0)),IF(AND($L$711=0,$P$708=0),"",$L$711-1),IF($R$17="Distrato",$E928,0))),0,YEARFRAC(MAX($P$708*($B928+IF($R$17="Distrato",$I$38-1,0)),IF(AND($L$711=0,$P$708=0),"",$L$711-1),IF($R$17="Distrato",$E928,0)),MIN(AO$38,$D$19),$P$20))-SUM($P928:AN928)</f>
        <v>#VALUE!</v>
      </c>
      <c r="AP928" s="446" t="e">
        <f>IF(OR($B928="",MIN(AP$38,$D$19)&lt;MAX($P$708*($B928+IF($R$17="Distrato",$I$38-1,0)),IF(AND($L$711=0,$P$708=0),"",$L$711-1),IF($R$17="Distrato",$E928,0))),0,YEARFRAC(MAX($P$708*($B928+IF($R$17="Distrato",$I$38-1,0)),IF(AND($L$711=0,$P$708=0),"",$L$711-1),IF($R$17="Distrato",$E928,0)),MIN(AP$38,$D$19),$P$20))-SUM($P928:AO928)</f>
        <v>#VALUE!</v>
      </c>
      <c r="AQ928" s="446" t="e">
        <f>IF(OR($B928="",MIN(AQ$38,$D$19)&lt;MAX($P$708*($B928+IF($R$17="Distrato",$I$38-1,0)),IF(AND($L$711=0,$P$708=0),"",$L$711-1),IF($R$17="Distrato",$E928,0))),0,YEARFRAC(MAX($P$708*($B928+IF($R$17="Distrato",$I$38-1,0)),IF(AND($L$711=0,$P$708=0),"",$L$711-1),IF($R$17="Distrato",$E928,0)),MIN(AQ$38,$D$19),$P$20))-SUM($P928:AP928)</f>
        <v>#VALUE!</v>
      </c>
      <c r="AR928" s="446" t="e">
        <f>IF(OR($B928="",MIN(AR$38,$D$19)&lt;MAX($P$708*($B928+IF($R$17="Distrato",$I$38-1,0)),IF(AND($L$711=0,$P$708=0),"",$L$711-1),IF($R$17="Distrato",$E928,0))),0,YEARFRAC(MAX($P$708*($B928+IF($R$17="Distrato",$I$38-1,0)),IF(AND($L$711=0,$P$708=0),"",$L$711-1),IF($R$17="Distrato",$E928,0)),MIN(AR$38,$D$19),$P$20))-SUM($P928:AQ928)</f>
        <v>#VALUE!</v>
      </c>
      <c r="AS928" s="446" t="e">
        <f>IF(OR($B928="",MIN(AS$38,$D$19)&lt;MAX($P$708*($B928+IF($R$17="Distrato",$I$38-1,0)),IF(AND($L$711=0,$P$708=0),"",$L$711-1),IF($R$17="Distrato",$E928,0))),0,YEARFRAC(MAX($P$708*($B928+IF($R$17="Distrato",$I$38-1,0)),IF(AND($L$711=0,$P$708=0),"",$L$711-1),IF($R$17="Distrato",$E928,0)),MIN(AS$38,$D$19),$P$20))-SUM($P928:AR928)</f>
        <v>#VALUE!</v>
      </c>
      <c r="AT928" s="446" t="e">
        <f>IF(OR($B928="",MIN(AT$38,$D$19)&lt;MAX($P$708*($B928+IF($R$17="Distrato",$I$38-1,0)),IF(AND($L$711=0,$P$708=0),"",$L$711-1),IF($R$17="Distrato",$E928,0))),0,YEARFRAC(MAX($P$708*($B928+IF($R$17="Distrato",$I$38-1,0)),IF(AND($L$711=0,$P$708=0),"",$L$711-1),IF($R$17="Distrato",$E928,0)),MIN(AT$38,$D$19),$P$20))-SUM($P928:AS928)</f>
        <v>#VALUE!</v>
      </c>
      <c r="AU928" s="446" t="e">
        <f>IF(OR($B928="",MIN(AU$38,$D$19)&lt;MAX($P$708*($B928+IF($R$17="Distrato",$I$38-1,0)),IF(AND($L$711=0,$P$708=0),"",$L$711-1),IF($R$17="Distrato",$E928,0))),0,YEARFRAC(MAX($P$708*($B928+IF($R$17="Distrato",$I$38-1,0)),IF(AND($L$711=0,$P$708=0),"",$L$711-1),IF($R$17="Distrato",$E928,0)),MIN(AU$38,$D$19),$P$20))-SUM($P928:AT928)</f>
        <v>#VALUE!</v>
      </c>
      <c r="AV928" s="446" t="e">
        <f>IF(OR($B928="",MIN(AV$38,$D$19)&lt;MAX($P$708*($B928+IF($R$17="Distrato",$I$38-1,0)),IF(AND($L$711=0,$P$708=0),"",$L$711-1),IF($R$17="Distrato",$E928,0))),0,YEARFRAC(MAX($P$708*($B928+IF($R$17="Distrato",$I$38-1,0)),IF(AND($L$711=0,$P$708=0),"",$L$711-1),IF($R$17="Distrato",$E928,0)),MIN(AV$38,$D$19),$P$20))-SUM($P928:AU928)</f>
        <v>#VALUE!</v>
      </c>
      <c r="AW928" s="446" t="e">
        <f>IF(OR($B928="",MIN(AW$38,$D$19)&lt;MAX($P$708*($B928+IF($R$17="Distrato",$I$38-1,0)),IF(AND($L$711=0,$P$708=0),"",$L$711-1),IF($R$17="Distrato",$E928,0))),0,YEARFRAC(MAX($P$708*($B928+IF($R$17="Distrato",$I$38-1,0)),IF(AND($L$711=0,$P$708=0),"",$L$711-1),IF($R$17="Distrato",$E928,0)),MIN(AW$38,$D$19),$P$20))-SUM($P928:AV928)</f>
        <v>#VALUE!</v>
      </c>
      <c r="AX928" s="446" t="e">
        <f>IF(OR($B928="",MIN(AX$38,$D$19)&lt;MAX($P$708*($B928+IF($R$17="Distrato",$I$38-1,0)),IF(AND($L$711=0,$P$708=0),"",$L$711-1),IF($R$17="Distrato",$E928,0))),0,YEARFRAC(MAX($P$708*($B928+IF($R$17="Distrato",$I$38-1,0)),IF(AND($L$711=0,$P$708=0),"",$L$711-1),IF($R$17="Distrato",$E928,0)),MIN(AX$38,$D$19),$P$20))-SUM($P928:AW928)</f>
        <v>#VALUE!</v>
      </c>
      <c r="AY928" s="446" t="e">
        <f>IF(OR($B928="",MIN(AY$38,$D$19)&lt;MAX($P$708*($B928+IF($R$17="Distrato",$I$38-1,0)),IF(AND($L$711=0,$P$708=0),"",$L$711-1),IF($R$17="Distrato",$E928,0))),0,YEARFRAC(MAX($P$708*($B928+IF($R$17="Distrato",$I$38-1,0)),IF(AND($L$711=0,$P$708=0),"",$L$711-1),IF($R$17="Distrato",$E928,0)),MIN(AY$38,$D$19),$P$20))-SUM($P928:AX928)</f>
        <v>#VALUE!</v>
      </c>
      <c r="AZ928" s="446" t="e">
        <f>IF(OR($B928="",MIN(AZ$38,$D$19)&lt;MAX($P$708*($B928+IF($R$17="Distrato",$I$38-1,0)),IF(AND($L$711=0,$P$708=0),"",$L$711-1),IF($R$17="Distrato",$E928,0))),0,YEARFRAC(MAX($P$708*($B928+IF($R$17="Distrato",$I$38-1,0)),IF(AND($L$711=0,$P$708=0),"",$L$711-1),IF($R$17="Distrato",$E928,0)),MIN(AZ$38,$D$19),$P$20))-SUM($P928:AY928)</f>
        <v>#VALUE!</v>
      </c>
      <c r="BA928" s="446" t="e">
        <f>IF(OR($B928="",MIN(BA$38,$D$19)&lt;MAX($P$708*($B928+IF($R$17="Distrato",$I$38-1,0)),IF(AND($L$711=0,$P$708=0),"",$L$711-1),IF($R$17="Distrato",$E928,0))),0,YEARFRAC(MAX($P$708*($B928+IF($R$17="Distrato",$I$38-1,0)),IF(AND($L$711=0,$P$708=0),"",$L$711-1),IF($R$17="Distrato",$E928,0)),MIN(BA$38,$D$19),$P$20))-SUM($P928:AZ928)</f>
        <v>#VALUE!</v>
      </c>
      <c r="BB928" s="447"/>
    </row>
    <row r="929" spans="1:54" s="446" customFormat="1" ht="11.25" hidden="1" customHeight="1" x14ac:dyDescent="0.2">
      <c r="A929" s="235"/>
      <c r="B929" s="236"/>
      <c r="C929" s="29" t="str">
        <f>IF(B929="","",IF($L$709=$BL$25,VLOOKUP(DATE(YEAR($D$19),MONTH($D$19)-1,1),ÍNDICES!$A:$DE,HLOOKUP($BL$25,ÍNDICES!$B$3:$T$4,2)+11)-VLOOKUP(B929,ÍNDICES!$A:$DE,HLOOKUP($BL$25,ÍNDICES!$B$3:$T$4,2)+11)+1%,IF(C$712=$W$26,$J$35,IF(ISERROR(IF(B929&gt;$D$19,1,VLOOKUP(DATE(YEAR(B929),MONTH(B929)+IF($C$709=$S$23,1,0),1),ÍNDICES!$A:$DE,$Z$709+1))),"",IF(B929&gt;$D$19,1,VLOOKUP(DATE(YEAR(B929),MONTH(B929)+IF($C$709=$S$23,1,0),1),ÍNDICES!$A:$DE,$Z$709+1))))))</f>
        <v/>
      </c>
      <c r="D929" s="155"/>
      <c r="E929" s="88"/>
      <c r="F929" s="88"/>
      <c r="G929" s="88"/>
      <c r="H929" s="118"/>
      <c r="I929" s="182">
        <f t="shared" si="136"/>
        <v>0</v>
      </c>
      <c r="J929" s="20">
        <f t="shared" ca="1" si="137"/>
        <v>0</v>
      </c>
      <c r="K929" s="5">
        <f t="shared" ca="1" si="138"/>
        <v>0</v>
      </c>
      <c r="L929" s="61">
        <f t="shared" ca="1" si="139"/>
        <v>0</v>
      </c>
      <c r="M929" s="64">
        <f t="shared" si="140"/>
        <v>0</v>
      </c>
      <c r="N929" s="151"/>
      <c r="O929" s="5">
        <f t="shared" ca="1" si="141"/>
        <v>0</v>
      </c>
      <c r="P929" s="446" t="e">
        <f t="shared" si="142"/>
        <v>#VALUE!</v>
      </c>
      <c r="Q929" s="446" t="e">
        <f>IF(OR($B929="",MIN(Q$38,$D$19)&lt;MAX($P$708*($B929+IF($R$17="Distrato",$I$38-1,0)),IF(AND($L$711=0,$P$708=0),"",$L$711-1),IF($R$17="Distrato",$E929,0))),0,YEARFRAC(MAX($P$708*($B929+IF($R$17="Distrato",$I$38-1,0)),IF(AND($L$711=0,$P$708=0),"",$L$711-1),IF($R$17="Distrato",$E929,0)),MIN(Q$38,$D$19),$P$20))-SUM($P929:P929)</f>
        <v>#VALUE!</v>
      </c>
      <c r="R929" s="446" t="e">
        <f>IF(OR($B929="",MIN(R$38,$D$19)&lt;MAX($P$708*($B929+IF($R$17="Distrato",$I$38-1,0)),IF(AND($L$711=0,$P$708=0),"",$L$711-1),IF($R$17="Distrato",$E929,0))),0,YEARFRAC(MAX($P$708*($B929+IF($R$17="Distrato",$I$38-1,0)),IF(AND($L$711=0,$P$708=0),"",$L$711-1),IF($R$17="Distrato",$E929,0)),MIN(R$38,$D$19),$P$20))-SUM($P929:Q929)</f>
        <v>#VALUE!</v>
      </c>
      <c r="S929" s="446" t="e">
        <f>IF(OR($B929="",MIN(S$38,$D$19)&lt;MAX($P$708*($B929+IF($R$17="Distrato",$I$38-1,0)),IF(AND($L$711=0,$P$708=0),"",$L$711-1),IF($R$17="Distrato",$E929,0))),0,YEARFRAC(MAX($P$708*($B929+IF($R$17="Distrato",$I$38-1,0)),IF(AND($L$711=0,$P$708=0),"",$L$711-1),IF($R$17="Distrato",$E929,0)),MIN(S$38,$D$19),$P$20))-SUM($P929:R929)</f>
        <v>#VALUE!</v>
      </c>
      <c r="T929" s="446" t="e">
        <f>IF(OR($B929="",MIN(T$38,$D$19)&lt;MAX($P$708*($B929+IF($R$17="Distrato",$I$38-1,0)),IF(AND($L$711=0,$P$708=0),"",$L$711-1),IF($R$17="Distrato",$E929,0))),0,YEARFRAC(MAX($P$708*($B929+IF($R$17="Distrato",$I$38-1,0)),IF(AND($L$711=0,$P$708=0),"",$L$711-1),IF($R$17="Distrato",$E929,0)),MIN(T$38,$D$19),$P$20))-SUM($P929:S929)</f>
        <v>#VALUE!</v>
      </c>
      <c r="U929" s="446" t="e">
        <f>IF(OR($B929="",MIN(U$38,$D$19)&lt;MAX($P$708*($B929+IF($R$17="Distrato",$I$38-1,0)),IF(AND($L$711=0,$P$708=0),"",$L$711-1),IF($R$17="Distrato",$E929,0))),0,YEARFRAC(MAX($P$708*($B929+IF($R$17="Distrato",$I$38-1,0)),IF(AND($L$711=0,$P$708=0),"",$L$711-1),IF($R$17="Distrato",$E929,0)),MIN(U$38,$D$19),$P$20))-SUM($P929:T929)</f>
        <v>#VALUE!</v>
      </c>
      <c r="V929" s="446" t="e">
        <f>IF(OR($B929="",MIN(V$38,$D$19)&lt;MAX($P$708*($B929+IF($R$17="Distrato",$I$38-1,0)),IF(AND($L$711=0,$P$708=0),"",$L$711-1),IF($R$17="Distrato",$E929,0))),0,YEARFRAC(MAX($P$708*($B929+IF($R$17="Distrato",$I$38-1,0)),IF(AND($L$711=0,$P$708=0),"",$L$711-1),IF($R$17="Distrato",$E929,0)),MIN(V$38,$D$19),$P$20))-SUM($P929:U929)</f>
        <v>#VALUE!</v>
      </c>
      <c r="W929" s="446" t="e">
        <f>IF(OR($B929="",MIN(W$38,$D$19)&lt;MAX($P$708*($B929+IF($R$17="Distrato",$I$38-1,0)),IF(AND($L$711=0,$P$708=0),"",$L$711-1),IF($R$17="Distrato",$E929,0))),0,YEARFRAC(MAX($P$708*($B929+IF($R$17="Distrato",$I$38-1,0)),IF(AND($L$711=0,$P$708=0),"",$L$711-1),IF($R$17="Distrato",$E929,0)),MIN(W$38,$D$19),$P$20))-SUM($P929:V929)</f>
        <v>#VALUE!</v>
      </c>
      <c r="X929" s="446" t="e">
        <f>IF(OR($B929="",MIN(X$38,$D$19)&lt;MAX($P$708*($B929+IF($R$17="Distrato",$I$38-1,0)),IF(AND($L$711=0,$P$708=0),"",$L$711-1),IF($R$17="Distrato",$E929,0))),0,YEARFRAC(MAX($P$708*($B929+IF($R$17="Distrato",$I$38-1,0)),IF(AND($L$711=0,$P$708=0),"",$L$711-1),IF($R$17="Distrato",$E929,0)),MIN(X$38,$D$19),$P$20))-SUM($P929:W929)</f>
        <v>#VALUE!</v>
      </c>
      <c r="Y929" s="446" t="e">
        <f>IF(OR($B929="",MIN(Y$38,$D$19)&lt;MAX($P$708*($B929+IF($R$17="Distrato",$I$38-1,0)),IF(AND($L$711=0,$P$708=0),"",$L$711-1),IF($R$17="Distrato",$E929,0))),0,YEARFRAC(MAX($P$708*($B929+IF($R$17="Distrato",$I$38-1,0)),IF(AND($L$711=0,$P$708=0),"",$L$711-1),IF($R$17="Distrato",$E929,0)),MIN(Y$38,$D$19),$P$20))-SUM($P929:X929)</f>
        <v>#VALUE!</v>
      </c>
      <c r="Z929" s="446" t="e">
        <f>IF(OR($B929="",MIN(Z$38,$D$19)&lt;MAX($P$708*($B929+IF($R$17="Distrato",$I$38-1,0)),IF(AND($L$711=0,$P$708=0),"",$L$711-1),IF($R$17="Distrato",$E929,0))),0,YEARFRAC(MAX($P$708*($B929+IF($R$17="Distrato",$I$38-1,0)),IF(AND($L$711=0,$P$708=0),"",$L$711-1),IF($R$17="Distrato",$E929,0)),MIN(Z$38,$D$19),$P$20))-SUM($P929:Y929)</f>
        <v>#VALUE!</v>
      </c>
      <c r="AA929" s="446" t="e">
        <f>IF(OR($B929="",MIN(AA$38,$D$19)&lt;MAX($P$708*($B929+IF($R$17="Distrato",$I$38-1,0)),IF(AND($L$711=0,$P$708=0),"",$L$711-1),IF($R$17="Distrato",$E929,0))),0,YEARFRAC(MAX($P$708*($B929+IF($R$17="Distrato",$I$38-1,0)),IF(AND($L$711=0,$P$708=0),"",$L$711-1),IF($R$17="Distrato",$E929,0)),MIN(AA$38,$D$19),$P$20))-SUM($P929:Z929)</f>
        <v>#VALUE!</v>
      </c>
      <c r="AB929" s="446" t="e">
        <f>IF(OR($B929="",MIN(AB$38,$D$19)&lt;MAX($P$708*($B929+IF($R$17="Distrato",$I$38-1,0)),IF(AND($L$711=0,$P$708=0),"",$L$711-1),IF($R$17="Distrato",$E929,0))),0,YEARFRAC(MAX($P$708*($B929+IF($R$17="Distrato",$I$38-1,0)),IF(AND($L$711=0,$P$708=0),"",$L$711-1),IF($R$17="Distrato",$E929,0)),MIN(AB$38,$D$19),$P$20))-SUM($P929:AA929)</f>
        <v>#VALUE!</v>
      </c>
      <c r="AC929" s="446" t="e">
        <f>IF(OR($B929="",MIN(AC$38,$D$19)&lt;MAX($P$708*($B929+IF($R$17="Distrato",$I$38-1,0)),IF(AND($L$711=0,$P$708=0),"",$L$711-1),IF($R$17="Distrato",$E929,0))),0,YEARFRAC(MAX($P$708*($B929+IF($R$17="Distrato",$I$38-1,0)),IF(AND($L$711=0,$P$708=0),"",$L$711-1),IF($R$17="Distrato",$E929,0)),MIN(AC$38,$D$19),$P$20))-SUM($P929:AB929)</f>
        <v>#VALUE!</v>
      </c>
      <c r="AD929" s="446" t="e">
        <f>IF(OR($B929="",MIN(AD$38,$D$19)&lt;MAX($P$708*($B929+IF($R$17="Distrato",$I$38-1,0)),IF(AND($L$711=0,$P$708=0),"",$L$711-1),IF($R$17="Distrato",$E929,0))),0,YEARFRAC(MAX($P$708*($B929+IF($R$17="Distrato",$I$38-1,0)),IF(AND($L$711=0,$P$708=0),"",$L$711-1),IF($R$17="Distrato",$E929,0)),MIN(AD$38,$D$19),$P$20))-SUM($P929:AC929)</f>
        <v>#VALUE!</v>
      </c>
      <c r="AE929" s="446" t="e">
        <f>IF(OR($B929="",MIN(AE$38,$D$19)&lt;MAX($P$708*($B929+IF($R$17="Distrato",$I$38-1,0)),IF(AND($L$711=0,$P$708=0),"",$L$711-1),IF($R$17="Distrato",$E929,0))),0,YEARFRAC(MAX($P$708*($B929+IF($R$17="Distrato",$I$38-1,0)),IF(AND($L$711=0,$P$708=0),"",$L$711-1),IF($R$17="Distrato",$E929,0)),MIN(AE$38,$D$19),$P$20))-SUM($P929:AD929)</f>
        <v>#VALUE!</v>
      </c>
      <c r="AF929" s="446" t="e">
        <f>IF(OR($B929="",MIN(AF$38,$D$19)&lt;MAX($P$708*($B929+IF($R$17="Distrato",$I$38-1,0)),IF(AND($L$711=0,$P$708=0),"",$L$711-1),IF($R$17="Distrato",$E929,0))),0,YEARFRAC(MAX($P$708*($B929+IF($R$17="Distrato",$I$38-1,0)),IF(AND($L$711=0,$P$708=0),"",$L$711-1),IF($R$17="Distrato",$E929,0)),MIN(AF$38,$D$19),$P$20))-SUM($P929:AE929)</f>
        <v>#VALUE!</v>
      </c>
      <c r="AG929" s="446" t="e">
        <f>IF(OR($B929="",MIN(AG$38,$D$19)&lt;MAX($P$708*($B929+IF($R$17="Distrato",$I$38-1,0)),IF(AND($L$711=0,$P$708=0),"",$L$711-1),IF($R$17="Distrato",$E929,0))),0,YEARFRAC(MAX($P$708*($B929+IF($R$17="Distrato",$I$38-1,0)),IF(AND($L$711=0,$P$708=0),"",$L$711-1),IF($R$17="Distrato",$E929,0)),MIN(AG$38,$D$19),$P$20))-SUM($P929:AF929)</f>
        <v>#VALUE!</v>
      </c>
      <c r="AH929" s="446" t="e">
        <f>IF(OR($B929="",MIN(AH$38,$D$19)&lt;MAX($P$708*($B929+IF($R$17="Distrato",$I$38-1,0)),IF(AND($L$711=0,$P$708=0),"",$L$711-1),IF($R$17="Distrato",$E929,0))),0,YEARFRAC(MAX($P$708*($B929+IF($R$17="Distrato",$I$38-1,0)),IF(AND($L$711=0,$P$708=0),"",$L$711-1),IF($R$17="Distrato",$E929,0)),MIN(AH$38,$D$19),$P$20))-SUM($P929:AG929)</f>
        <v>#VALUE!</v>
      </c>
      <c r="AI929" s="446" t="e">
        <f>IF(OR($B929="",MIN(AI$38,$D$19)&lt;MAX($P$708*($B929+IF($R$17="Distrato",$I$38-1,0)),IF(AND($L$711=0,$P$708=0),"",$L$711-1),IF($R$17="Distrato",$E929,0))),0,YEARFRAC(MAX($P$708*($B929+IF($R$17="Distrato",$I$38-1,0)),IF(AND($L$711=0,$P$708=0),"",$L$711-1),IF($R$17="Distrato",$E929,0)),MIN(AI$38,$D$19),$P$20))-SUM($P929:AH929)</f>
        <v>#VALUE!</v>
      </c>
      <c r="AJ929" s="446" t="e">
        <f>IF(OR($B929="",MIN(AJ$38,$D$19)&lt;MAX($P$708*($B929+IF($R$17="Distrato",$I$38-1,0)),IF(AND($L$711=0,$P$708=0),"",$L$711-1),IF($R$17="Distrato",$E929,0))),0,YEARFRAC(MAX($P$708*($B929+IF($R$17="Distrato",$I$38-1,0)),IF(AND($L$711=0,$P$708=0),"",$L$711-1),IF($R$17="Distrato",$E929,0)),MIN(AJ$38,$D$19),$P$20))-SUM($P929:AI929)</f>
        <v>#VALUE!</v>
      </c>
      <c r="AK929" s="446" t="e">
        <f>IF(OR($B929="",MIN(AK$38,$D$19)&lt;MAX($P$708*($B929+IF($R$17="Distrato",$I$38-1,0)),IF(AND($L$711=0,$P$708=0),"",$L$711-1),IF($R$17="Distrato",$E929,0))),0,YEARFRAC(MAX($P$708*($B929+IF($R$17="Distrato",$I$38-1,0)),IF(AND($L$711=0,$P$708=0),"",$L$711-1),IF($R$17="Distrato",$E929,0)),MIN(AK$38,$D$19),$P$20))-SUM($P929:AJ929)</f>
        <v>#VALUE!</v>
      </c>
      <c r="AL929" s="446" t="e">
        <f>IF(OR($B929="",MIN(AL$38,$D$19)&lt;MAX($P$708*($B929+IF($R$17="Distrato",$I$38-1,0)),IF(AND($L$711=0,$P$708=0),"",$L$711-1),IF($R$17="Distrato",$E929,0))),0,YEARFRAC(MAX($P$708*($B929+IF($R$17="Distrato",$I$38-1,0)),IF(AND($L$711=0,$P$708=0),"",$L$711-1),IF($R$17="Distrato",$E929,0)),MIN(AL$38,$D$19),$P$20))-SUM($P929:AK929)</f>
        <v>#VALUE!</v>
      </c>
      <c r="AM929" s="446" t="e">
        <f>IF(OR($B929="",MIN(AM$38,$D$19)&lt;MAX($P$708*($B929+IF($R$17="Distrato",$I$38-1,0)),IF(AND($L$711=0,$P$708=0),"",$L$711-1),IF($R$17="Distrato",$E929,0))),0,YEARFRAC(MAX($P$708*($B929+IF($R$17="Distrato",$I$38-1,0)),IF(AND($L$711=0,$P$708=0),"",$L$711-1),IF($R$17="Distrato",$E929,0)),MIN(AM$38,$D$19),$P$20))-SUM($P929:AL929)</f>
        <v>#VALUE!</v>
      </c>
      <c r="AN929" s="446" t="e">
        <f>IF(OR($B929="",MIN(AN$38,$D$19)&lt;MAX($P$708*($B929+IF($R$17="Distrato",$I$38-1,0)),IF(AND($L$711=0,$P$708=0),"",$L$711-1),IF($R$17="Distrato",$E929,0))),0,YEARFRAC(MAX($P$708*($B929+IF($R$17="Distrato",$I$38-1,0)),IF(AND($L$711=0,$P$708=0),"",$L$711-1),IF($R$17="Distrato",$E929,0)),MIN(AN$38,$D$19),$P$20))-SUM($P929:AM929)</f>
        <v>#VALUE!</v>
      </c>
      <c r="AO929" s="446" t="e">
        <f>IF(OR($B929="",MIN(AO$38,$D$19)&lt;MAX($P$708*($B929+IF($R$17="Distrato",$I$38-1,0)),IF(AND($L$711=0,$P$708=0),"",$L$711-1),IF($R$17="Distrato",$E929,0))),0,YEARFRAC(MAX($P$708*($B929+IF($R$17="Distrato",$I$38-1,0)),IF(AND($L$711=0,$P$708=0),"",$L$711-1),IF($R$17="Distrato",$E929,0)),MIN(AO$38,$D$19),$P$20))-SUM($P929:AN929)</f>
        <v>#VALUE!</v>
      </c>
      <c r="AP929" s="446" t="e">
        <f>IF(OR($B929="",MIN(AP$38,$D$19)&lt;MAX($P$708*($B929+IF($R$17="Distrato",$I$38-1,0)),IF(AND($L$711=0,$P$708=0),"",$L$711-1),IF($R$17="Distrato",$E929,0))),0,YEARFRAC(MAX($P$708*($B929+IF($R$17="Distrato",$I$38-1,0)),IF(AND($L$711=0,$P$708=0),"",$L$711-1),IF($R$17="Distrato",$E929,0)),MIN(AP$38,$D$19),$P$20))-SUM($P929:AO929)</f>
        <v>#VALUE!</v>
      </c>
      <c r="AQ929" s="446" t="e">
        <f>IF(OR($B929="",MIN(AQ$38,$D$19)&lt;MAX($P$708*($B929+IF($R$17="Distrato",$I$38-1,0)),IF(AND($L$711=0,$P$708=0),"",$L$711-1),IF($R$17="Distrato",$E929,0))),0,YEARFRAC(MAX($P$708*($B929+IF($R$17="Distrato",$I$38-1,0)),IF(AND($L$711=0,$P$708=0),"",$L$711-1),IF($R$17="Distrato",$E929,0)),MIN(AQ$38,$D$19),$P$20))-SUM($P929:AP929)</f>
        <v>#VALUE!</v>
      </c>
      <c r="AR929" s="446" t="e">
        <f>IF(OR($B929="",MIN(AR$38,$D$19)&lt;MAX($P$708*($B929+IF($R$17="Distrato",$I$38-1,0)),IF(AND($L$711=0,$P$708=0),"",$L$711-1),IF($R$17="Distrato",$E929,0))),0,YEARFRAC(MAX($P$708*($B929+IF($R$17="Distrato",$I$38-1,0)),IF(AND($L$711=0,$P$708=0),"",$L$711-1),IF($R$17="Distrato",$E929,0)),MIN(AR$38,$D$19),$P$20))-SUM($P929:AQ929)</f>
        <v>#VALUE!</v>
      </c>
      <c r="AS929" s="446" t="e">
        <f>IF(OR($B929="",MIN(AS$38,$D$19)&lt;MAX($P$708*($B929+IF($R$17="Distrato",$I$38-1,0)),IF(AND($L$711=0,$P$708=0),"",$L$711-1),IF($R$17="Distrato",$E929,0))),0,YEARFRAC(MAX($P$708*($B929+IF($R$17="Distrato",$I$38-1,0)),IF(AND($L$711=0,$P$708=0),"",$L$711-1),IF($R$17="Distrato",$E929,0)),MIN(AS$38,$D$19),$P$20))-SUM($P929:AR929)</f>
        <v>#VALUE!</v>
      </c>
      <c r="AT929" s="446" t="e">
        <f>IF(OR($B929="",MIN(AT$38,$D$19)&lt;MAX($P$708*($B929+IF($R$17="Distrato",$I$38-1,0)),IF(AND($L$711=0,$P$708=0),"",$L$711-1),IF($R$17="Distrato",$E929,0))),0,YEARFRAC(MAX($P$708*($B929+IF($R$17="Distrato",$I$38-1,0)),IF(AND($L$711=0,$P$708=0),"",$L$711-1),IF($R$17="Distrato",$E929,0)),MIN(AT$38,$D$19),$P$20))-SUM($P929:AS929)</f>
        <v>#VALUE!</v>
      </c>
      <c r="AU929" s="446" t="e">
        <f>IF(OR($B929="",MIN(AU$38,$D$19)&lt;MAX($P$708*($B929+IF($R$17="Distrato",$I$38-1,0)),IF(AND($L$711=0,$P$708=0),"",$L$711-1),IF($R$17="Distrato",$E929,0))),0,YEARFRAC(MAX($P$708*($B929+IF($R$17="Distrato",$I$38-1,0)),IF(AND($L$711=0,$P$708=0),"",$L$711-1),IF($R$17="Distrato",$E929,0)),MIN(AU$38,$D$19),$P$20))-SUM($P929:AT929)</f>
        <v>#VALUE!</v>
      </c>
      <c r="AV929" s="446" t="e">
        <f>IF(OR($B929="",MIN(AV$38,$D$19)&lt;MAX($P$708*($B929+IF($R$17="Distrato",$I$38-1,0)),IF(AND($L$711=0,$P$708=0),"",$L$711-1),IF($R$17="Distrato",$E929,0))),0,YEARFRAC(MAX($P$708*($B929+IF($R$17="Distrato",$I$38-1,0)),IF(AND($L$711=0,$P$708=0),"",$L$711-1),IF($R$17="Distrato",$E929,0)),MIN(AV$38,$D$19),$P$20))-SUM($P929:AU929)</f>
        <v>#VALUE!</v>
      </c>
      <c r="AW929" s="446" t="e">
        <f>IF(OR($B929="",MIN(AW$38,$D$19)&lt;MAX($P$708*($B929+IF($R$17="Distrato",$I$38-1,0)),IF(AND($L$711=0,$P$708=0),"",$L$711-1),IF($R$17="Distrato",$E929,0))),0,YEARFRAC(MAX($P$708*($B929+IF($R$17="Distrato",$I$38-1,0)),IF(AND($L$711=0,$P$708=0),"",$L$711-1),IF($R$17="Distrato",$E929,0)),MIN(AW$38,$D$19),$P$20))-SUM($P929:AV929)</f>
        <v>#VALUE!</v>
      </c>
      <c r="AX929" s="446" t="e">
        <f>IF(OR($B929="",MIN(AX$38,$D$19)&lt;MAX($P$708*($B929+IF($R$17="Distrato",$I$38-1,0)),IF(AND($L$711=0,$P$708=0),"",$L$711-1),IF($R$17="Distrato",$E929,0))),0,YEARFRAC(MAX($P$708*($B929+IF($R$17="Distrato",$I$38-1,0)),IF(AND($L$711=0,$P$708=0),"",$L$711-1),IF($R$17="Distrato",$E929,0)),MIN(AX$38,$D$19),$P$20))-SUM($P929:AW929)</f>
        <v>#VALUE!</v>
      </c>
      <c r="AY929" s="446" t="e">
        <f>IF(OR($B929="",MIN(AY$38,$D$19)&lt;MAX($P$708*($B929+IF($R$17="Distrato",$I$38-1,0)),IF(AND($L$711=0,$P$708=0),"",$L$711-1),IF($R$17="Distrato",$E929,0))),0,YEARFRAC(MAX($P$708*($B929+IF($R$17="Distrato",$I$38-1,0)),IF(AND($L$711=0,$P$708=0),"",$L$711-1),IF($R$17="Distrato",$E929,0)),MIN(AY$38,$D$19),$P$20))-SUM($P929:AX929)</f>
        <v>#VALUE!</v>
      </c>
      <c r="AZ929" s="446" t="e">
        <f>IF(OR($B929="",MIN(AZ$38,$D$19)&lt;MAX($P$708*($B929+IF($R$17="Distrato",$I$38-1,0)),IF(AND($L$711=0,$P$708=0),"",$L$711-1),IF($R$17="Distrato",$E929,0))),0,YEARFRAC(MAX($P$708*($B929+IF($R$17="Distrato",$I$38-1,0)),IF(AND($L$711=0,$P$708=0),"",$L$711-1),IF($R$17="Distrato",$E929,0)),MIN(AZ$38,$D$19),$P$20))-SUM($P929:AY929)</f>
        <v>#VALUE!</v>
      </c>
      <c r="BA929" s="446" t="e">
        <f>IF(OR($B929="",MIN(BA$38,$D$19)&lt;MAX($P$708*($B929+IF($R$17="Distrato",$I$38-1,0)),IF(AND($L$711=0,$P$708=0),"",$L$711-1),IF($R$17="Distrato",$E929,0))),0,YEARFRAC(MAX($P$708*($B929+IF($R$17="Distrato",$I$38-1,0)),IF(AND($L$711=0,$P$708=0),"",$L$711-1),IF($R$17="Distrato",$E929,0)),MIN(BA$38,$D$19),$P$20))-SUM($P929:AZ929)</f>
        <v>#VALUE!</v>
      </c>
      <c r="BB929" s="447"/>
    </row>
    <row r="930" spans="1:54" s="446" customFormat="1" ht="11.25" hidden="1" customHeight="1" x14ac:dyDescent="0.2">
      <c r="A930" s="235"/>
      <c r="B930" s="236"/>
      <c r="C930" s="29" t="str">
        <f>IF(B930="","",IF($L$709=$BL$25,VLOOKUP(DATE(YEAR($D$19),MONTH($D$19)-1,1),ÍNDICES!$A:$DE,HLOOKUP($BL$25,ÍNDICES!$B$3:$T$4,2)+11)-VLOOKUP(B930,ÍNDICES!$A:$DE,HLOOKUP($BL$25,ÍNDICES!$B$3:$T$4,2)+11)+1%,IF(C$712=$W$26,$J$35,IF(ISERROR(IF(B930&gt;$D$19,1,VLOOKUP(DATE(YEAR(B930),MONTH(B930)+IF($C$709=$S$23,1,0),1),ÍNDICES!$A:$DE,$Z$709+1))),"",IF(B930&gt;$D$19,1,VLOOKUP(DATE(YEAR(B930),MONTH(B930)+IF($C$709=$S$23,1,0),1),ÍNDICES!$A:$DE,$Z$709+1))))))</f>
        <v/>
      </c>
      <c r="D930" s="155"/>
      <c r="E930" s="88"/>
      <c r="F930" s="88"/>
      <c r="G930" s="88"/>
      <c r="H930" s="118"/>
      <c r="I930" s="182">
        <f t="shared" si="136"/>
        <v>0</v>
      </c>
      <c r="J930" s="20">
        <f t="shared" ca="1" si="137"/>
        <v>0</v>
      </c>
      <c r="K930" s="5">
        <f t="shared" ca="1" si="138"/>
        <v>0</v>
      </c>
      <c r="L930" s="61">
        <f t="shared" ca="1" si="139"/>
        <v>0</v>
      </c>
      <c r="M930" s="64">
        <f t="shared" si="140"/>
        <v>0</v>
      </c>
      <c r="N930" s="151"/>
      <c r="O930" s="5">
        <f t="shared" ca="1" si="141"/>
        <v>0</v>
      </c>
      <c r="P930" s="446" t="e">
        <f t="shared" si="142"/>
        <v>#VALUE!</v>
      </c>
      <c r="Q930" s="446" t="e">
        <f>IF(OR($B930="",MIN(Q$38,$D$19)&lt;MAX($P$708*($B930+IF($R$17="Distrato",$I$38-1,0)),IF(AND($L$711=0,$P$708=0),"",$L$711-1),IF($R$17="Distrato",$E930,0))),0,YEARFRAC(MAX($P$708*($B930+IF($R$17="Distrato",$I$38-1,0)),IF(AND($L$711=0,$P$708=0),"",$L$711-1),IF($R$17="Distrato",$E930,0)),MIN(Q$38,$D$19),$P$20))-SUM($P930:P930)</f>
        <v>#VALUE!</v>
      </c>
      <c r="R930" s="446" t="e">
        <f>IF(OR($B930="",MIN(R$38,$D$19)&lt;MAX($P$708*($B930+IF($R$17="Distrato",$I$38-1,0)),IF(AND($L$711=0,$P$708=0),"",$L$711-1),IF($R$17="Distrato",$E930,0))),0,YEARFRAC(MAX($P$708*($B930+IF($R$17="Distrato",$I$38-1,0)),IF(AND($L$711=0,$P$708=0),"",$L$711-1),IF($R$17="Distrato",$E930,0)),MIN(R$38,$D$19),$P$20))-SUM($P930:Q930)</f>
        <v>#VALUE!</v>
      </c>
      <c r="S930" s="446" t="e">
        <f>IF(OR($B930="",MIN(S$38,$D$19)&lt;MAX($P$708*($B930+IF($R$17="Distrato",$I$38-1,0)),IF(AND($L$711=0,$P$708=0),"",$L$711-1),IF($R$17="Distrato",$E930,0))),0,YEARFRAC(MAX($P$708*($B930+IF($R$17="Distrato",$I$38-1,0)),IF(AND($L$711=0,$P$708=0),"",$L$711-1),IF($R$17="Distrato",$E930,0)),MIN(S$38,$D$19),$P$20))-SUM($P930:R930)</f>
        <v>#VALUE!</v>
      </c>
      <c r="T930" s="446" t="e">
        <f>IF(OR($B930="",MIN(T$38,$D$19)&lt;MAX($P$708*($B930+IF($R$17="Distrato",$I$38-1,0)),IF(AND($L$711=0,$P$708=0),"",$L$711-1),IF($R$17="Distrato",$E930,0))),0,YEARFRAC(MAX($P$708*($B930+IF($R$17="Distrato",$I$38-1,0)),IF(AND($L$711=0,$P$708=0),"",$L$711-1),IF($R$17="Distrato",$E930,0)),MIN(T$38,$D$19),$P$20))-SUM($P930:S930)</f>
        <v>#VALUE!</v>
      </c>
      <c r="U930" s="446" t="e">
        <f>IF(OR($B930="",MIN(U$38,$D$19)&lt;MAX($P$708*($B930+IF($R$17="Distrato",$I$38-1,0)),IF(AND($L$711=0,$P$708=0),"",$L$711-1),IF($R$17="Distrato",$E930,0))),0,YEARFRAC(MAX($P$708*($B930+IF($R$17="Distrato",$I$38-1,0)),IF(AND($L$711=0,$P$708=0),"",$L$711-1),IF($R$17="Distrato",$E930,0)),MIN(U$38,$D$19),$P$20))-SUM($P930:T930)</f>
        <v>#VALUE!</v>
      </c>
      <c r="V930" s="446" t="e">
        <f>IF(OR($B930="",MIN(V$38,$D$19)&lt;MAX($P$708*($B930+IF($R$17="Distrato",$I$38-1,0)),IF(AND($L$711=0,$P$708=0),"",$L$711-1),IF($R$17="Distrato",$E930,0))),0,YEARFRAC(MAX($P$708*($B930+IF($R$17="Distrato",$I$38-1,0)),IF(AND($L$711=0,$P$708=0),"",$L$711-1),IF($R$17="Distrato",$E930,0)),MIN(V$38,$D$19),$P$20))-SUM($P930:U930)</f>
        <v>#VALUE!</v>
      </c>
      <c r="W930" s="446" t="e">
        <f>IF(OR($B930="",MIN(W$38,$D$19)&lt;MAX($P$708*($B930+IF($R$17="Distrato",$I$38-1,0)),IF(AND($L$711=0,$P$708=0),"",$L$711-1),IF($R$17="Distrato",$E930,0))),0,YEARFRAC(MAX($P$708*($B930+IF($R$17="Distrato",$I$38-1,0)),IF(AND($L$711=0,$P$708=0),"",$L$711-1),IF($R$17="Distrato",$E930,0)),MIN(W$38,$D$19),$P$20))-SUM($P930:V930)</f>
        <v>#VALUE!</v>
      </c>
      <c r="X930" s="446" t="e">
        <f>IF(OR($B930="",MIN(X$38,$D$19)&lt;MAX($P$708*($B930+IF($R$17="Distrato",$I$38-1,0)),IF(AND($L$711=0,$P$708=0),"",$L$711-1),IF($R$17="Distrato",$E930,0))),0,YEARFRAC(MAX($P$708*($B930+IF($R$17="Distrato",$I$38-1,0)),IF(AND($L$711=0,$P$708=0),"",$L$711-1),IF($R$17="Distrato",$E930,0)),MIN(X$38,$D$19),$P$20))-SUM($P930:W930)</f>
        <v>#VALUE!</v>
      </c>
      <c r="Y930" s="446" t="e">
        <f>IF(OR($B930="",MIN(Y$38,$D$19)&lt;MAX($P$708*($B930+IF($R$17="Distrato",$I$38-1,0)),IF(AND($L$711=0,$P$708=0),"",$L$711-1),IF($R$17="Distrato",$E930,0))),0,YEARFRAC(MAX($P$708*($B930+IF($R$17="Distrato",$I$38-1,0)),IF(AND($L$711=0,$P$708=0),"",$L$711-1),IF($R$17="Distrato",$E930,0)),MIN(Y$38,$D$19),$P$20))-SUM($P930:X930)</f>
        <v>#VALUE!</v>
      </c>
      <c r="Z930" s="446" t="e">
        <f>IF(OR($B930="",MIN(Z$38,$D$19)&lt;MAX($P$708*($B930+IF($R$17="Distrato",$I$38-1,0)),IF(AND($L$711=0,$P$708=0),"",$L$711-1),IF($R$17="Distrato",$E930,0))),0,YEARFRAC(MAX($P$708*($B930+IF($R$17="Distrato",$I$38-1,0)),IF(AND($L$711=0,$P$708=0),"",$L$711-1),IF($R$17="Distrato",$E930,0)),MIN(Z$38,$D$19),$P$20))-SUM($P930:Y930)</f>
        <v>#VALUE!</v>
      </c>
      <c r="AA930" s="446" t="e">
        <f>IF(OR($B930="",MIN(AA$38,$D$19)&lt;MAX($P$708*($B930+IF($R$17="Distrato",$I$38-1,0)),IF(AND($L$711=0,$P$708=0),"",$L$711-1),IF($R$17="Distrato",$E930,0))),0,YEARFRAC(MAX($P$708*($B930+IF($R$17="Distrato",$I$38-1,0)),IF(AND($L$711=0,$P$708=0),"",$L$711-1),IF($R$17="Distrato",$E930,0)),MIN(AA$38,$D$19),$P$20))-SUM($P930:Z930)</f>
        <v>#VALUE!</v>
      </c>
      <c r="AB930" s="446" t="e">
        <f>IF(OR($B930="",MIN(AB$38,$D$19)&lt;MAX($P$708*($B930+IF($R$17="Distrato",$I$38-1,0)),IF(AND($L$711=0,$P$708=0),"",$L$711-1),IF($R$17="Distrato",$E930,0))),0,YEARFRAC(MAX($P$708*($B930+IF($R$17="Distrato",$I$38-1,0)),IF(AND($L$711=0,$P$708=0),"",$L$711-1),IF($R$17="Distrato",$E930,0)),MIN(AB$38,$D$19),$P$20))-SUM($P930:AA930)</f>
        <v>#VALUE!</v>
      </c>
      <c r="AC930" s="446" t="e">
        <f>IF(OR($B930="",MIN(AC$38,$D$19)&lt;MAX($P$708*($B930+IF($R$17="Distrato",$I$38-1,0)),IF(AND($L$711=0,$P$708=0),"",$L$711-1),IF($R$17="Distrato",$E930,0))),0,YEARFRAC(MAX($P$708*($B930+IF($R$17="Distrato",$I$38-1,0)),IF(AND($L$711=0,$P$708=0),"",$L$711-1),IF($R$17="Distrato",$E930,0)),MIN(AC$38,$D$19),$P$20))-SUM($P930:AB930)</f>
        <v>#VALUE!</v>
      </c>
      <c r="AD930" s="446" t="e">
        <f>IF(OR($B930="",MIN(AD$38,$D$19)&lt;MAX($P$708*($B930+IF($R$17="Distrato",$I$38-1,0)),IF(AND($L$711=0,$P$708=0),"",$L$711-1),IF($R$17="Distrato",$E930,0))),0,YEARFRAC(MAX($P$708*($B930+IF($R$17="Distrato",$I$38-1,0)),IF(AND($L$711=0,$P$708=0),"",$L$711-1),IF($R$17="Distrato",$E930,0)),MIN(AD$38,$D$19),$P$20))-SUM($P930:AC930)</f>
        <v>#VALUE!</v>
      </c>
      <c r="AE930" s="446" t="e">
        <f>IF(OR($B930="",MIN(AE$38,$D$19)&lt;MAX($P$708*($B930+IF($R$17="Distrato",$I$38-1,0)),IF(AND($L$711=0,$P$708=0),"",$L$711-1),IF($R$17="Distrato",$E930,0))),0,YEARFRAC(MAX($P$708*($B930+IF($R$17="Distrato",$I$38-1,0)),IF(AND($L$711=0,$P$708=0),"",$L$711-1),IF($R$17="Distrato",$E930,0)),MIN(AE$38,$D$19),$P$20))-SUM($P930:AD930)</f>
        <v>#VALUE!</v>
      </c>
      <c r="AF930" s="446" t="e">
        <f>IF(OR($B930="",MIN(AF$38,$D$19)&lt;MAX($P$708*($B930+IF($R$17="Distrato",$I$38-1,0)),IF(AND($L$711=0,$P$708=0),"",$L$711-1),IF($R$17="Distrato",$E930,0))),0,YEARFRAC(MAX($P$708*($B930+IF($R$17="Distrato",$I$38-1,0)),IF(AND($L$711=0,$P$708=0),"",$L$711-1),IF($R$17="Distrato",$E930,0)),MIN(AF$38,$D$19),$P$20))-SUM($P930:AE930)</f>
        <v>#VALUE!</v>
      </c>
      <c r="AG930" s="446" t="e">
        <f>IF(OR($B930="",MIN(AG$38,$D$19)&lt;MAX($P$708*($B930+IF($R$17="Distrato",$I$38-1,0)),IF(AND($L$711=0,$P$708=0),"",$L$711-1),IF($R$17="Distrato",$E930,0))),0,YEARFRAC(MAX($P$708*($B930+IF($R$17="Distrato",$I$38-1,0)),IF(AND($L$711=0,$P$708=0),"",$L$711-1),IF($R$17="Distrato",$E930,0)),MIN(AG$38,$D$19),$P$20))-SUM($P930:AF930)</f>
        <v>#VALUE!</v>
      </c>
      <c r="AH930" s="446" t="e">
        <f>IF(OR($B930="",MIN(AH$38,$D$19)&lt;MAX($P$708*($B930+IF($R$17="Distrato",$I$38-1,0)),IF(AND($L$711=0,$P$708=0),"",$L$711-1),IF($R$17="Distrato",$E930,0))),0,YEARFRAC(MAX($P$708*($B930+IF($R$17="Distrato",$I$38-1,0)),IF(AND($L$711=0,$P$708=0),"",$L$711-1),IF($R$17="Distrato",$E930,0)),MIN(AH$38,$D$19),$P$20))-SUM($P930:AG930)</f>
        <v>#VALUE!</v>
      </c>
      <c r="AI930" s="446" t="e">
        <f>IF(OR($B930="",MIN(AI$38,$D$19)&lt;MAX($P$708*($B930+IF($R$17="Distrato",$I$38-1,0)),IF(AND($L$711=0,$P$708=0),"",$L$711-1),IF($R$17="Distrato",$E930,0))),0,YEARFRAC(MAX($P$708*($B930+IF($R$17="Distrato",$I$38-1,0)),IF(AND($L$711=0,$P$708=0),"",$L$711-1),IF($R$17="Distrato",$E930,0)),MIN(AI$38,$D$19),$P$20))-SUM($P930:AH930)</f>
        <v>#VALUE!</v>
      </c>
      <c r="AJ930" s="446" t="e">
        <f>IF(OR($B930="",MIN(AJ$38,$D$19)&lt;MAX($P$708*($B930+IF($R$17="Distrato",$I$38-1,0)),IF(AND($L$711=0,$P$708=0),"",$L$711-1),IF($R$17="Distrato",$E930,0))),0,YEARFRAC(MAX($P$708*($B930+IF($R$17="Distrato",$I$38-1,0)),IF(AND($L$711=0,$P$708=0),"",$L$711-1),IF($R$17="Distrato",$E930,0)),MIN(AJ$38,$D$19),$P$20))-SUM($P930:AI930)</f>
        <v>#VALUE!</v>
      </c>
      <c r="AK930" s="446" t="e">
        <f>IF(OR($B930="",MIN(AK$38,$D$19)&lt;MAX($P$708*($B930+IF($R$17="Distrato",$I$38-1,0)),IF(AND($L$711=0,$P$708=0),"",$L$711-1),IF($R$17="Distrato",$E930,0))),0,YEARFRAC(MAX($P$708*($B930+IF($R$17="Distrato",$I$38-1,0)),IF(AND($L$711=0,$P$708=0),"",$L$711-1),IF($R$17="Distrato",$E930,0)),MIN(AK$38,$D$19),$P$20))-SUM($P930:AJ930)</f>
        <v>#VALUE!</v>
      </c>
      <c r="AL930" s="446" t="e">
        <f>IF(OR($B930="",MIN(AL$38,$D$19)&lt;MAX($P$708*($B930+IF($R$17="Distrato",$I$38-1,0)),IF(AND($L$711=0,$P$708=0),"",$L$711-1),IF($R$17="Distrato",$E930,0))),0,YEARFRAC(MAX($P$708*($B930+IF($R$17="Distrato",$I$38-1,0)),IF(AND($L$711=0,$P$708=0),"",$L$711-1),IF($R$17="Distrato",$E930,0)),MIN(AL$38,$D$19),$P$20))-SUM($P930:AK930)</f>
        <v>#VALUE!</v>
      </c>
      <c r="AM930" s="446" t="e">
        <f>IF(OR($B930="",MIN(AM$38,$D$19)&lt;MAX($P$708*($B930+IF($R$17="Distrato",$I$38-1,0)),IF(AND($L$711=0,$P$708=0),"",$L$711-1),IF($R$17="Distrato",$E930,0))),0,YEARFRAC(MAX($P$708*($B930+IF($R$17="Distrato",$I$38-1,0)),IF(AND($L$711=0,$P$708=0),"",$L$711-1),IF($R$17="Distrato",$E930,0)),MIN(AM$38,$D$19),$P$20))-SUM($P930:AL930)</f>
        <v>#VALUE!</v>
      </c>
      <c r="AN930" s="446" t="e">
        <f>IF(OR($B930="",MIN(AN$38,$D$19)&lt;MAX($P$708*($B930+IF($R$17="Distrato",$I$38-1,0)),IF(AND($L$711=0,$P$708=0),"",$L$711-1),IF($R$17="Distrato",$E930,0))),0,YEARFRAC(MAX($P$708*($B930+IF($R$17="Distrato",$I$38-1,0)),IF(AND($L$711=0,$P$708=0),"",$L$711-1),IF($R$17="Distrato",$E930,0)),MIN(AN$38,$D$19),$P$20))-SUM($P930:AM930)</f>
        <v>#VALUE!</v>
      </c>
      <c r="AO930" s="446" t="e">
        <f>IF(OR($B930="",MIN(AO$38,$D$19)&lt;MAX($P$708*($B930+IF($R$17="Distrato",$I$38-1,0)),IF(AND($L$711=0,$P$708=0),"",$L$711-1),IF($R$17="Distrato",$E930,0))),0,YEARFRAC(MAX($P$708*($B930+IF($R$17="Distrato",$I$38-1,0)),IF(AND($L$711=0,$P$708=0),"",$L$711-1),IF($R$17="Distrato",$E930,0)),MIN(AO$38,$D$19),$P$20))-SUM($P930:AN930)</f>
        <v>#VALUE!</v>
      </c>
      <c r="AP930" s="446" t="e">
        <f>IF(OR($B930="",MIN(AP$38,$D$19)&lt;MAX($P$708*($B930+IF($R$17="Distrato",$I$38-1,0)),IF(AND($L$711=0,$P$708=0),"",$L$711-1),IF($R$17="Distrato",$E930,0))),0,YEARFRAC(MAX($P$708*($B930+IF($R$17="Distrato",$I$38-1,0)),IF(AND($L$711=0,$P$708=0),"",$L$711-1),IF($R$17="Distrato",$E930,0)),MIN(AP$38,$D$19),$P$20))-SUM($P930:AO930)</f>
        <v>#VALUE!</v>
      </c>
      <c r="AQ930" s="446" t="e">
        <f>IF(OR($B930="",MIN(AQ$38,$D$19)&lt;MAX($P$708*($B930+IF($R$17="Distrato",$I$38-1,0)),IF(AND($L$711=0,$P$708=0),"",$L$711-1),IF($R$17="Distrato",$E930,0))),0,YEARFRAC(MAX($P$708*($B930+IF($R$17="Distrato",$I$38-1,0)),IF(AND($L$711=0,$P$708=0),"",$L$711-1),IF($R$17="Distrato",$E930,0)),MIN(AQ$38,$D$19),$P$20))-SUM($P930:AP930)</f>
        <v>#VALUE!</v>
      </c>
      <c r="AR930" s="446" t="e">
        <f>IF(OR($B930="",MIN(AR$38,$D$19)&lt;MAX($P$708*($B930+IF($R$17="Distrato",$I$38-1,0)),IF(AND($L$711=0,$P$708=0),"",$L$711-1),IF($R$17="Distrato",$E930,0))),0,YEARFRAC(MAX($P$708*($B930+IF($R$17="Distrato",$I$38-1,0)),IF(AND($L$711=0,$P$708=0),"",$L$711-1),IF($R$17="Distrato",$E930,0)),MIN(AR$38,$D$19),$P$20))-SUM($P930:AQ930)</f>
        <v>#VALUE!</v>
      </c>
      <c r="AS930" s="446" t="e">
        <f>IF(OR($B930="",MIN(AS$38,$D$19)&lt;MAX($P$708*($B930+IF($R$17="Distrato",$I$38-1,0)),IF(AND($L$711=0,$P$708=0),"",$L$711-1),IF($R$17="Distrato",$E930,0))),0,YEARFRAC(MAX($P$708*($B930+IF($R$17="Distrato",$I$38-1,0)),IF(AND($L$711=0,$P$708=0),"",$L$711-1),IF($R$17="Distrato",$E930,0)),MIN(AS$38,$D$19),$P$20))-SUM($P930:AR930)</f>
        <v>#VALUE!</v>
      </c>
      <c r="AT930" s="446" t="e">
        <f>IF(OR($B930="",MIN(AT$38,$D$19)&lt;MAX($P$708*($B930+IF($R$17="Distrato",$I$38-1,0)),IF(AND($L$711=0,$P$708=0),"",$L$711-1),IF($R$17="Distrato",$E930,0))),0,YEARFRAC(MAX($P$708*($B930+IF($R$17="Distrato",$I$38-1,0)),IF(AND($L$711=0,$P$708=0),"",$L$711-1),IF($R$17="Distrato",$E930,0)),MIN(AT$38,$D$19),$P$20))-SUM($P930:AS930)</f>
        <v>#VALUE!</v>
      </c>
      <c r="AU930" s="446" t="e">
        <f>IF(OR($B930="",MIN(AU$38,$D$19)&lt;MAX($P$708*($B930+IF($R$17="Distrato",$I$38-1,0)),IF(AND($L$711=0,$P$708=0),"",$L$711-1),IF($R$17="Distrato",$E930,0))),0,YEARFRAC(MAX($P$708*($B930+IF($R$17="Distrato",$I$38-1,0)),IF(AND($L$711=0,$P$708=0),"",$L$711-1),IF($R$17="Distrato",$E930,0)),MIN(AU$38,$D$19),$P$20))-SUM($P930:AT930)</f>
        <v>#VALUE!</v>
      </c>
      <c r="AV930" s="446" t="e">
        <f>IF(OR($B930="",MIN(AV$38,$D$19)&lt;MAX($P$708*($B930+IF($R$17="Distrato",$I$38-1,0)),IF(AND($L$711=0,$P$708=0),"",$L$711-1),IF($R$17="Distrato",$E930,0))),0,YEARFRAC(MAX($P$708*($B930+IF($R$17="Distrato",$I$38-1,0)),IF(AND($L$711=0,$P$708=0),"",$L$711-1),IF($R$17="Distrato",$E930,0)),MIN(AV$38,$D$19),$P$20))-SUM($P930:AU930)</f>
        <v>#VALUE!</v>
      </c>
      <c r="AW930" s="446" t="e">
        <f>IF(OR($B930="",MIN(AW$38,$D$19)&lt;MAX($P$708*($B930+IF($R$17="Distrato",$I$38-1,0)),IF(AND($L$711=0,$P$708=0),"",$L$711-1),IF($R$17="Distrato",$E930,0))),0,YEARFRAC(MAX($P$708*($B930+IF($R$17="Distrato",$I$38-1,0)),IF(AND($L$711=0,$P$708=0),"",$L$711-1),IF($R$17="Distrato",$E930,0)),MIN(AW$38,$D$19),$P$20))-SUM($P930:AV930)</f>
        <v>#VALUE!</v>
      </c>
      <c r="AX930" s="446" t="e">
        <f>IF(OR($B930="",MIN(AX$38,$D$19)&lt;MAX($P$708*($B930+IF($R$17="Distrato",$I$38-1,0)),IF(AND($L$711=0,$P$708=0),"",$L$711-1),IF($R$17="Distrato",$E930,0))),0,YEARFRAC(MAX($P$708*($B930+IF($R$17="Distrato",$I$38-1,0)),IF(AND($L$711=0,$P$708=0),"",$L$711-1),IF($R$17="Distrato",$E930,0)),MIN(AX$38,$D$19),$P$20))-SUM($P930:AW930)</f>
        <v>#VALUE!</v>
      </c>
      <c r="AY930" s="446" t="e">
        <f>IF(OR($B930="",MIN(AY$38,$D$19)&lt;MAX($P$708*($B930+IF($R$17="Distrato",$I$38-1,0)),IF(AND($L$711=0,$P$708=0),"",$L$711-1),IF($R$17="Distrato",$E930,0))),0,YEARFRAC(MAX($P$708*($B930+IF($R$17="Distrato",$I$38-1,0)),IF(AND($L$711=0,$P$708=0),"",$L$711-1),IF($R$17="Distrato",$E930,0)),MIN(AY$38,$D$19),$P$20))-SUM($P930:AX930)</f>
        <v>#VALUE!</v>
      </c>
      <c r="AZ930" s="446" t="e">
        <f>IF(OR($B930="",MIN(AZ$38,$D$19)&lt;MAX($P$708*($B930+IF($R$17="Distrato",$I$38-1,0)),IF(AND($L$711=0,$P$708=0),"",$L$711-1),IF($R$17="Distrato",$E930,0))),0,YEARFRAC(MAX($P$708*($B930+IF($R$17="Distrato",$I$38-1,0)),IF(AND($L$711=0,$P$708=0),"",$L$711-1),IF($R$17="Distrato",$E930,0)),MIN(AZ$38,$D$19),$P$20))-SUM($P930:AY930)</f>
        <v>#VALUE!</v>
      </c>
      <c r="BA930" s="446" t="e">
        <f>IF(OR($B930="",MIN(BA$38,$D$19)&lt;MAX($P$708*($B930+IF($R$17="Distrato",$I$38-1,0)),IF(AND($L$711=0,$P$708=0),"",$L$711-1),IF($R$17="Distrato",$E930,0))),0,YEARFRAC(MAX($P$708*($B930+IF($R$17="Distrato",$I$38-1,0)),IF(AND($L$711=0,$P$708=0),"",$L$711-1),IF($R$17="Distrato",$E930,0)),MIN(BA$38,$D$19),$P$20))-SUM($P930:AZ930)</f>
        <v>#VALUE!</v>
      </c>
      <c r="BB930" s="447"/>
    </row>
    <row r="931" spans="1:54" s="446" customFormat="1" ht="11.25" hidden="1" customHeight="1" x14ac:dyDescent="0.2">
      <c r="A931" s="235"/>
      <c r="B931" s="236"/>
      <c r="C931" s="29" t="str">
        <f>IF(B931="","",IF($L$709=$BL$25,VLOOKUP(DATE(YEAR($D$19),MONTH($D$19)-1,1),ÍNDICES!$A:$DE,HLOOKUP($BL$25,ÍNDICES!$B$3:$T$4,2)+11)-VLOOKUP(B931,ÍNDICES!$A:$DE,HLOOKUP($BL$25,ÍNDICES!$B$3:$T$4,2)+11)+1%,IF(C$712=$W$26,$J$35,IF(ISERROR(IF(B931&gt;$D$19,1,VLOOKUP(DATE(YEAR(B931),MONTH(B931)+IF($C$709=$S$23,1,0),1),ÍNDICES!$A:$DE,$Z$709+1))),"",IF(B931&gt;$D$19,1,VLOOKUP(DATE(YEAR(B931),MONTH(B931)+IF($C$709=$S$23,1,0),1),ÍNDICES!$A:$DE,$Z$709+1))))))</f>
        <v/>
      </c>
      <c r="D931" s="155"/>
      <c r="E931" s="88"/>
      <c r="F931" s="88"/>
      <c r="G931" s="88"/>
      <c r="H931" s="118"/>
      <c r="I931" s="182">
        <f t="shared" si="136"/>
        <v>0</v>
      </c>
      <c r="J931" s="20">
        <f t="shared" ca="1" si="137"/>
        <v>0</v>
      </c>
      <c r="K931" s="5">
        <f t="shared" ca="1" si="138"/>
        <v>0</v>
      </c>
      <c r="L931" s="61">
        <f t="shared" ca="1" si="139"/>
        <v>0</v>
      </c>
      <c r="M931" s="64">
        <f t="shared" si="140"/>
        <v>0</v>
      </c>
      <c r="N931" s="151"/>
      <c r="O931" s="5">
        <f t="shared" ca="1" si="141"/>
        <v>0</v>
      </c>
      <c r="P931" s="446" t="e">
        <f t="shared" si="142"/>
        <v>#VALUE!</v>
      </c>
      <c r="Q931" s="446" t="e">
        <f>IF(OR($B931="",MIN(Q$38,$D$19)&lt;MAX($P$708*($B931+IF($R$17="Distrato",$I$38-1,0)),IF(AND($L$711=0,$P$708=0),"",$L$711-1),IF($R$17="Distrato",$E931,0))),0,YEARFRAC(MAX($P$708*($B931+IF($R$17="Distrato",$I$38-1,0)),IF(AND($L$711=0,$P$708=0),"",$L$711-1),IF($R$17="Distrato",$E931,0)),MIN(Q$38,$D$19),$P$20))-SUM($P931:P931)</f>
        <v>#VALUE!</v>
      </c>
      <c r="R931" s="446" t="e">
        <f>IF(OR($B931="",MIN(R$38,$D$19)&lt;MAX($P$708*($B931+IF($R$17="Distrato",$I$38-1,0)),IF(AND($L$711=0,$P$708=0),"",$L$711-1),IF($R$17="Distrato",$E931,0))),0,YEARFRAC(MAX($P$708*($B931+IF($R$17="Distrato",$I$38-1,0)),IF(AND($L$711=0,$P$708=0),"",$L$711-1),IF($R$17="Distrato",$E931,0)),MIN(R$38,$D$19),$P$20))-SUM($P931:Q931)</f>
        <v>#VALUE!</v>
      </c>
      <c r="S931" s="446" t="e">
        <f>IF(OR($B931="",MIN(S$38,$D$19)&lt;MAX($P$708*($B931+IF($R$17="Distrato",$I$38-1,0)),IF(AND($L$711=0,$P$708=0),"",$L$711-1),IF($R$17="Distrato",$E931,0))),0,YEARFRAC(MAX($P$708*($B931+IF($R$17="Distrato",$I$38-1,0)),IF(AND($L$711=0,$P$708=0),"",$L$711-1),IF($R$17="Distrato",$E931,0)),MIN(S$38,$D$19),$P$20))-SUM($P931:R931)</f>
        <v>#VALUE!</v>
      </c>
      <c r="T931" s="446" t="e">
        <f>IF(OR($B931="",MIN(T$38,$D$19)&lt;MAX($P$708*($B931+IF($R$17="Distrato",$I$38-1,0)),IF(AND($L$711=0,$P$708=0),"",$L$711-1),IF($R$17="Distrato",$E931,0))),0,YEARFRAC(MAX($P$708*($B931+IF($R$17="Distrato",$I$38-1,0)),IF(AND($L$711=0,$P$708=0),"",$L$711-1),IF($R$17="Distrato",$E931,0)),MIN(T$38,$D$19),$P$20))-SUM($P931:S931)</f>
        <v>#VALUE!</v>
      </c>
      <c r="U931" s="446" t="e">
        <f>IF(OR($B931="",MIN(U$38,$D$19)&lt;MAX($P$708*($B931+IF($R$17="Distrato",$I$38-1,0)),IF(AND($L$711=0,$P$708=0),"",$L$711-1),IF($R$17="Distrato",$E931,0))),0,YEARFRAC(MAX($P$708*($B931+IF($R$17="Distrato",$I$38-1,0)),IF(AND($L$711=0,$P$708=0),"",$L$711-1),IF($R$17="Distrato",$E931,0)),MIN(U$38,$D$19),$P$20))-SUM($P931:T931)</f>
        <v>#VALUE!</v>
      </c>
      <c r="V931" s="446" t="e">
        <f>IF(OR($B931="",MIN(V$38,$D$19)&lt;MAX($P$708*($B931+IF($R$17="Distrato",$I$38-1,0)),IF(AND($L$711=0,$P$708=0),"",$L$711-1),IF($R$17="Distrato",$E931,0))),0,YEARFRAC(MAX($P$708*($B931+IF($R$17="Distrato",$I$38-1,0)),IF(AND($L$711=0,$P$708=0),"",$L$711-1),IF($R$17="Distrato",$E931,0)),MIN(V$38,$D$19),$P$20))-SUM($P931:U931)</f>
        <v>#VALUE!</v>
      </c>
      <c r="W931" s="446" t="e">
        <f>IF(OR($B931="",MIN(W$38,$D$19)&lt;MAX($P$708*($B931+IF($R$17="Distrato",$I$38-1,0)),IF(AND($L$711=0,$P$708=0),"",$L$711-1),IF($R$17="Distrato",$E931,0))),0,YEARFRAC(MAX($P$708*($B931+IF($R$17="Distrato",$I$38-1,0)),IF(AND($L$711=0,$P$708=0),"",$L$711-1),IF($R$17="Distrato",$E931,0)),MIN(W$38,$D$19),$P$20))-SUM($P931:V931)</f>
        <v>#VALUE!</v>
      </c>
      <c r="X931" s="446" t="e">
        <f>IF(OR($B931="",MIN(X$38,$D$19)&lt;MAX($P$708*($B931+IF($R$17="Distrato",$I$38-1,0)),IF(AND($L$711=0,$P$708=0),"",$L$711-1),IF($R$17="Distrato",$E931,0))),0,YEARFRAC(MAX($P$708*($B931+IF($R$17="Distrato",$I$38-1,0)),IF(AND($L$711=0,$P$708=0),"",$L$711-1),IF($R$17="Distrato",$E931,0)),MIN(X$38,$D$19),$P$20))-SUM($P931:W931)</f>
        <v>#VALUE!</v>
      </c>
      <c r="Y931" s="446" t="e">
        <f>IF(OR($B931="",MIN(Y$38,$D$19)&lt;MAX($P$708*($B931+IF($R$17="Distrato",$I$38-1,0)),IF(AND($L$711=0,$P$708=0),"",$L$711-1),IF($R$17="Distrato",$E931,0))),0,YEARFRAC(MAX($P$708*($B931+IF($R$17="Distrato",$I$38-1,0)),IF(AND($L$711=0,$P$708=0),"",$L$711-1),IF($R$17="Distrato",$E931,0)),MIN(Y$38,$D$19),$P$20))-SUM($P931:X931)</f>
        <v>#VALUE!</v>
      </c>
      <c r="Z931" s="446" t="e">
        <f>IF(OR($B931="",MIN(Z$38,$D$19)&lt;MAX($P$708*($B931+IF($R$17="Distrato",$I$38-1,0)),IF(AND($L$711=0,$P$708=0),"",$L$711-1),IF($R$17="Distrato",$E931,0))),0,YEARFRAC(MAX($P$708*($B931+IF($R$17="Distrato",$I$38-1,0)),IF(AND($L$711=0,$P$708=0),"",$L$711-1),IF($R$17="Distrato",$E931,0)),MIN(Z$38,$D$19),$P$20))-SUM($P931:Y931)</f>
        <v>#VALUE!</v>
      </c>
      <c r="AA931" s="446" t="e">
        <f>IF(OR($B931="",MIN(AA$38,$D$19)&lt;MAX($P$708*($B931+IF($R$17="Distrato",$I$38-1,0)),IF(AND($L$711=0,$P$708=0),"",$L$711-1),IF($R$17="Distrato",$E931,0))),0,YEARFRAC(MAX($P$708*($B931+IF($R$17="Distrato",$I$38-1,0)),IF(AND($L$711=0,$P$708=0),"",$L$711-1),IF($R$17="Distrato",$E931,0)),MIN(AA$38,$D$19),$P$20))-SUM($P931:Z931)</f>
        <v>#VALUE!</v>
      </c>
      <c r="AB931" s="446" t="e">
        <f>IF(OR($B931="",MIN(AB$38,$D$19)&lt;MAX($P$708*($B931+IF($R$17="Distrato",$I$38-1,0)),IF(AND($L$711=0,$P$708=0),"",$L$711-1),IF($R$17="Distrato",$E931,0))),0,YEARFRAC(MAX($P$708*($B931+IF($R$17="Distrato",$I$38-1,0)),IF(AND($L$711=0,$P$708=0),"",$L$711-1),IF($R$17="Distrato",$E931,0)),MIN(AB$38,$D$19),$P$20))-SUM($P931:AA931)</f>
        <v>#VALUE!</v>
      </c>
      <c r="AC931" s="446" t="e">
        <f>IF(OR($B931="",MIN(AC$38,$D$19)&lt;MAX($P$708*($B931+IF($R$17="Distrato",$I$38-1,0)),IF(AND($L$711=0,$P$708=0),"",$L$711-1),IF($R$17="Distrato",$E931,0))),0,YEARFRAC(MAX($P$708*($B931+IF($R$17="Distrato",$I$38-1,0)),IF(AND($L$711=0,$P$708=0),"",$L$711-1),IF($R$17="Distrato",$E931,0)),MIN(AC$38,$D$19),$P$20))-SUM($P931:AB931)</f>
        <v>#VALUE!</v>
      </c>
      <c r="AD931" s="446" t="e">
        <f>IF(OR($B931="",MIN(AD$38,$D$19)&lt;MAX($P$708*($B931+IF($R$17="Distrato",$I$38-1,0)),IF(AND($L$711=0,$P$708=0),"",$L$711-1),IF($R$17="Distrato",$E931,0))),0,YEARFRAC(MAX($P$708*($B931+IF($R$17="Distrato",$I$38-1,0)),IF(AND($L$711=0,$P$708=0),"",$L$711-1),IF($R$17="Distrato",$E931,0)),MIN(AD$38,$D$19),$P$20))-SUM($P931:AC931)</f>
        <v>#VALUE!</v>
      </c>
      <c r="AE931" s="446" t="e">
        <f>IF(OR($B931="",MIN(AE$38,$D$19)&lt;MAX($P$708*($B931+IF($R$17="Distrato",$I$38-1,0)),IF(AND($L$711=0,$P$708=0),"",$L$711-1),IF($R$17="Distrato",$E931,0))),0,YEARFRAC(MAX($P$708*($B931+IF($R$17="Distrato",$I$38-1,0)),IF(AND($L$711=0,$P$708=0),"",$L$711-1),IF($R$17="Distrato",$E931,0)),MIN(AE$38,$D$19),$P$20))-SUM($P931:AD931)</f>
        <v>#VALUE!</v>
      </c>
      <c r="AF931" s="446" t="e">
        <f>IF(OR($B931="",MIN(AF$38,$D$19)&lt;MAX($P$708*($B931+IF($R$17="Distrato",$I$38-1,0)),IF(AND($L$711=0,$P$708=0),"",$L$711-1),IF($R$17="Distrato",$E931,0))),0,YEARFRAC(MAX($P$708*($B931+IF($R$17="Distrato",$I$38-1,0)),IF(AND($L$711=0,$P$708=0),"",$L$711-1),IF($R$17="Distrato",$E931,0)),MIN(AF$38,$D$19),$P$20))-SUM($P931:AE931)</f>
        <v>#VALUE!</v>
      </c>
      <c r="AG931" s="446" t="e">
        <f>IF(OR($B931="",MIN(AG$38,$D$19)&lt;MAX($P$708*($B931+IF($R$17="Distrato",$I$38-1,0)),IF(AND($L$711=0,$P$708=0),"",$L$711-1),IF($R$17="Distrato",$E931,0))),0,YEARFRAC(MAX($P$708*($B931+IF($R$17="Distrato",$I$38-1,0)),IF(AND($L$711=0,$P$708=0),"",$L$711-1),IF($R$17="Distrato",$E931,0)),MIN(AG$38,$D$19),$P$20))-SUM($P931:AF931)</f>
        <v>#VALUE!</v>
      </c>
      <c r="AH931" s="446" t="e">
        <f>IF(OR($B931="",MIN(AH$38,$D$19)&lt;MAX($P$708*($B931+IF($R$17="Distrato",$I$38-1,0)),IF(AND($L$711=0,$P$708=0),"",$L$711-1),IF($R$17="Distrato",$E931,0))),0,YEARFRAC(MAX($P$708*($B931+IF($R$17="Distrato",$I$38-1,0)),IF(AND($L$711=0,$P$708=0),"",$L$711-1),IF($R$17="Distrato",$E931,0)),MIN(AH$38,$D$19),$P$20))-SUM($P931:AG931)</f>
        <v>#VALUE!</v>
      </c>
      <c r="AI931" s="446" t="e">
        <f>IF(OR($B931="",MIN(AI$38,$D$19)&lt;MAX($P$708*($B931+IF($R$17="Distrato",$I$38-1,0)),IF(AND($L$711=0,$P$708=0),"",$L$711-1),IF($R$17="Distrato",$E931,0))),0,YEARFRAC(MAX($P$708*($B931+IF($R$17="Distrato",$I$38-1,0)),IF(AND($L$711=0,$P$708=0),"",$L$711-1),IF($R$17="Distrato",$E931,0)),MIN(AI$38,$D$19),$P$20))-SUM($P931:AH931)</f>
        <v>#VALUE!</v>
      </c>
      <c r="AJ931" s="446" t="e">
        <f>IF(OR($B931="",MIN(AJ$38,$D$19)&lt;MAX($P$708*($B931+IF($R$17="Distrato",$I$38-1,0)),IF(AND($L$711=0,$P$708=0),"",$L$711-1),IF($R$17="Distrato",$E931,0))),0,YEARFRAC(MAX($P$708*($B931+IF($R$17="Distrato",$I$38-1,0)),IF(AND($L$711=0,$P$708=0),"",$L$711-1),IF($R$17="Distrato",$E931,0)),MIN(AJ$38,$D$19),$P$20))-SUM($P931:AI931)</f>
        <v>#VALUE!</v>
      </c>
      <c r="AK931" s="446" t="e">
        <f>IF(OR($B931="",MIN(AK$38,$D$19)&lt;MAX($P$708*($B931+IF($R$17="Distrato",$I$38-1,0)),IF(AND($L$711=0,$P$708=0),"",$L$711-1),IF($R$17="Distrato",$E931,0))),0,YEARFRAC(MAX($P$708*($B931+IF($R$17="Distrato",$I$38-1,0)),IF(AND($L$711=0,$P$708=0),"",$L$711-1),IF($R$17="Distrato",$E931,0)),MIN(AK$38,$D$19),$P$20))-SUM($P931:AJ931)</f>
        <v>#VALUE!</v>
      </c>
      <c r="AL931" s="446" t="e">
        <f>IF(OR($B931="",MIN(AL$38,$D$19)&lt;MAX($P$708*($B931+IF($R$17="Distrato",$I$38-1,0)),IF(AND($L$711=0,$P$708=0),"",$L$711-1),IF($R$17="Distrato",$E931,0))),0,YEARFRAC(MAX($P$708*($B931+IF($R$17="Distrato",$I$38-1,0)),IF(AND($L$711=0,$P$708=0),"",$L$711-1),IF($R$17="Distrato",$E931,0)),MIN(AL$38,$D$19),$P$20))-SUM($P931:AK931)</f>
        <v>#VALUE!</v>
      </c>
      <c r="AM931" s="446" t="e">
        <f>IF(OR($B931="",MIN(AM$38,$D$19)&lt;MAX($P$708*($B931+IF($R$17="Distrato",$I$38-1,0)),IF(AND($L$711=0,$P$708=0),"",$L$711-1),IF($R$17="Distrato",$E931,0))),0,YEARFRAC(MAX($P$708*($B931+IF($R$17="Distrato",$I$38-1,0)),IF(AND($L$711=0,$P$708=0),"",$L$711-1),IF($R$17="Distrato",$E931,0)),MIN(AM$38,$D$19),$P$20))-SUM($P931:AL931)</f>
        <v>#VALUE!</v>
      </c>
      <c r="AN931" s="446" t="e">
        <f>IF(OR($B931="",MIN(AN$38,$D$19)&lt;MAX($P$708*($B931+IF($R$17="Distrato",$I$38-1,0)),IF(AND($L$711=0,$P$708=0),"",$L$711-1),IF($R$17="Distrato",$E931,0))),0,YEARFRAC(MAX($P$708*($B931+IF($R$17="Distrato",$I$38-1,0)),IF(AND($L$711=0,$P$708=0),"",$L$711-1),IF($R$17="Distrato",$E931,0)),MIN(AN$38,$D$19),$P$20))-SUM($P931:AM931)</f>
        <v>#VALUE!</v>
      </c>
      <c r="AO931" s="446" t="e">
        <f>IF(OR($B931="",MIN(AO$38,$D$19)&lt;MAX($P$708*($B931+IF($R$17="Distrato",$I$38-1,0)),IF(AND($L$711=0,$P$708=0),"",$L$711-1),IF($R$17="Distrato",$E931,0))),0,YEARFRAC(MAX($P$708*($B931+IF($R$17="Distrato",$I$38-1,0)),IF(AND($L$711=0,$P$708=0),"",$L$711-1),IF($R$17="Distrato",$E931,0)),MIN(AO$38,$D$19),$P$20))-SUM($P931:AN931)</f>
        <v>#VALUE!</v>
      </c>
      <c r="AP931" s="446" t="e">
        <f>IF(OR($B931="",MIN(AP$38,$D$19)&lt;MAX($P$708*($B931+IF($R$17="Distrato",$I$38-1,0)),IF(AND($L$711=0,$P$708=0),"",$L$711-1),IF($R$17="Distrato",$E931,0))),0,YEARFRAC(MAX($P$708*($B931+IF($R$17="Distrato",$I$38-1,0)),IF(AND($L$711=0,$P$708=0),"",$L$711-1),IF($R$17="Distrato",$E931,0)),MIN(AP$38,$D$19),$P$20))-SUM($P931:AO931)</f>
        <v>#VALUE!</v>
      </c>
      <c r="AQ931" s="446" t="e">
        <f>IF(OR($B931="",MIN(AQ$38,$D$19)&lt;MAX($P$708*($B931+IF($R$17="Distrato",$I$38-1,0)),IF(AND($L$711=0,$P$708=0),"",$L$711-1),IF($R$17="Distrato",$E931,0))),0,YEARFRAC(MAX($P$708*($B931+IF($R$17="Distrato",$I$38-1,0)),IF(AND($L$711=0,$P$708=0),"",$L$711-1),IF($R$17="Distrato",$E931,0)),MIN(AQ$38,$D$19),$P$20))-SUM($P931:AP931)</f>
        <v>#VALUE!</v>
      </c>
      <c r="AR931" s="446" t="e">
        <f>IF(OR($B931="",MIN(AR$38,$D$19)&lt;MAX($P$708*($B931+IF($R$17="Distrato",$I$38-1,0)),IF(AND($L$711=0,$P$708=0),"",$L$711-1),IF($R$17="Distrato",$E931,0))),0,YEARFRAC(MAX($P$708*($B931+IF($R$17="Distrato",$I$38-1,0)),IF(AND($L$711=0,$P$708=0),"",$L$711-1),IF($R$17="Distrato",$E931,0)),MIN(AR$38,$D$19),$P$20))-SUM($P931:AQ931)</f>
        <v>#VALUE!</v>
      </c>
      <c r="AS931" s="446" t="e">
        <f>IF(OR($B931="",MIN(AS$38,$D$19)&lt;MAX($P$708*($B931+IF($R$17="Distrato",$I$38-1,0)),IF(AND($L$711=0,$P$708=0),"",$L$711-1),IF($R$17="Distrato",$E931,0))),0,YEARFRAC(MAX($P$708*($B931+IF($R$17="Distrato",$I$38-1,0)),IF(AND($L$711=0,$P$708=0),"",$L$711-1),IF($R$17="Distrato",$E931,0)),MIN(AS$38,$D$19),$P$20))-SUM($P931:AR931)</f>
        <v>#VALUE!</v>
      </c>
      <c r="AT931" s="446" t="e">
        <f>IF(OR($B931="",MIN(AT$38,$D$19)&lt;MAX($P$708*($B931+IF($R$17="Distrato",$I$38-1,0)),IF(AND($L$711=0,$P$708=0),"",$L$711-1),IF($R$17="Distrato",$E931,0))),0,YEARFRAC(MAX($P$708*($B931+IF($R$17="Distrato",$I$38-1,0)),IF(AND($L$711=0,$P$708=0),"",$L$711-1),IF($R$17="Distrato",$E931,0)),MIN(AT$38,$D$19),$P$20))-SUM($P931:AS931)</f>
        <v>#VALUE!</v>
      </c>
      <c r="AU931" s="446" t="e">
        <f>IF(OR($B931="",MIN(AU$38,$D$19)&lt;MAX($P$708*($B931+IF($R$17="Distrato",$I$38-1,0)),IF(AND($L$711=0,$P$708=0),"",$L$711-1),IF($R$17="Distrato",$E931,0))),0,YEARFRAC(MAX($P$708*($B931+IF($R$17="Distrato",$I$38-1,0)),IF(AND($L$711=0,$P$708=0),"",$L$711-1),IF($R$17="Distrato",$E931,0)),MIN(AU$38,$D$19),$P$20))-SUM($P931:AT931)</f>
        <v>#VALUE!</v>
      </c>
      <c r="AV931" s="446" t="e">
        <f>IF(OR($B931="",MIN(AV$38,$D$19)&lt;MAX($P$708*($B931+IF($R$17="Distrato",$I$38-1,0)),IF(AND($L$711=0,$P$708=0),"",$L$711-1),IF($R$17="Distrato",$E931,0))),0,YEARFRAC(MAX($P$708*($B931+IF($R$17="Distrato",$I$38-1,0)),IF(AND($L$711=0,$P$708=0),"",$L$711-1),IF($R$17="Distrato",$E931,0)),MIN(AV$38,$D$19),$P$20))-SUM($P931:AU931)</f>
        <v>#VALUE!</v>
      </c>
      <c r="AW931" s="446" t="e">
        <f>IF(OR($B931="",MIN(AW$38,$D$19)&lt;MAX($P$708*($B931+IF($R$17="Distrato",$I$38-1,0)),IF(AND($L$711=0,$P$708=0),"",$L$711-1),IF($R$17="Distrato",$E931,0))),0,YEARFRAC(MAX($P$708*($B931+IF($R$17="Distrato",$I$38-1,0)),IF(AND($L$711=0,$P$708=0),"",$L$711-1),IF($R$17="Distrato",$E931,0)),MIN(AW$38,$D$19),$P$20))-SUM($P931:AV931)</f>
        <v>#VALUE!</v>
      </c>
      <c r="AX931" s="446" t="e">
        <f>IF(OR($B931="",MIN(AX$38,$D$19)&lt;MAX($P$708*($B931+IF($R$17="Distrato",$I$38-1,0)),IF(AND($L$711=0,$P$708=0),"",$L$711-1),IF($R$17="Distrato",$E931,0))),0,YEARFRAC(MAX($P$708*($B931+IF($R$17="Distrato",$I$38-1,0)),IF(AND($L$711=0,$P$708=0),"",$L$711-1),IF($R$17="Distrato",$E931,0)),MIN(AX$38,$D$19),$P$20))-SUM($P931:AW931)</f>
        <v>#VALUE!</v>
      </c>
      <c r="AY931" s="446" t="e">
        <f>IF(OR($B931="",MIN(AY$38,$D$19)&lt;MAX($P$708*($B931+IF($R$17="Distrato",$I$38-1,0)),IF(AND($L$711=0,$P$708=0),"",$L$711-1),IF($R$17="Distrato",$E931,0))),0,YEARFRAC(MAX($P$708*($B931+IF($R$17="Distrato",$I$38-1,0)),IF(AND($L$711=0,$P$708=0),"",$L$711-1),IF($R$17="Distrato",$E931,0)),MIN(AY$38,$D$19),$P$20))-SUM($P931:AX931)</f>
        <v>#VALUE!</v>
      </c>
      <c r="AZ931" s="446" t="e">
        <f>IF(OR($B931="",MIN(AZ$38,$D$19)&lt;MAX($P$708*($B931+IF($R$17="Distrato",$I$38-1,0)),IF(AND($L$711=0,$P$708=0),"",$L$711-1),IF($R$17="Distrato",$E931,0))),0,YEARFRAC(MAX($P$708*($B931+IF($R$17="Distrato",$I$38-1,0)),IF(AND($L$711=0,$P$708=0),"",$L$711-1),IF($R$17="Distrato",$E931,0)),MIN(AZ$38,$D$19),$P$20))-SUM($P931:AY931)</f>
        <v>#VALUE!</v>
      </c>
      <c r="BA931" s="446" t="e">
        <f>IF(OR($B931="",MIN(BA$38,$D$19)&lt;MAX($P$708*($B931+IF($R$17="Distrato",$I$38-1,0)),IF(AND($L$711=0,$P$708=0),"",$L$711-1),IF($R$17="Distrato",$E931,0))),0,YEARFRAC(MAX($P$708*($B931+IF($R$17="Distrato",$I$38-1,0)),IF(AND($L$711=0,$P$708=0),"",$L$711-1),IF($R$17="Distrato",$E931,0)),MIN(BA$38,$D$19),$P$20))-SUM($P931:AZ931)</f>
        <v>#VALUE!</v>
      </c>
      <c r="BB931" s="447"/>
    </row>
    <row r="932" spans="1:54" s="446" customFormat="1" ht="11.25" hidden="1" customHeight="1" x14ac:dyDescent="0.2">
      <c r="A932" s="235"/>
      <c r="B932" s="236"/>
      <c r="C932" s="29" t="str">
        <f>IF(B932="","",IF($L$709=$BL$25,VLOOKUP(DATE(YEAR($D$19),MONTH($D$19)-1,1),ÍNDICES!$A:$DE,HLOOKUP($BL$25,ÍNDICES!$B$3:$T$4,2)+11)-VLOOKUP(B932,ÍNDICES!$A:$DE,HLOOKUP($BL$25,ÍNDICES!$B$3:$T$4,2)+11)+1%,IF(C$712=$W$26,$J$35,IF(ISERROR(IF(B932&gt;$D$19,1,VLOOKUP(DATE(YEAR(B932),MONTH(B932)+IF($C$709=$S$23,1,0),1),ÍNDICES!$A:$DE,$Z$709+1))),"",IF(B932&gt;$D$19,1,VLOOKUP(DATE(YEAR(B932),MONTH(B932)+IF($C$709=$S$23,1,0),1),ÍNDICES!$A:$DE,$Z$709+1))))))</f>
        <v/>
      </c>
      <c r="D932" s="155"/>
      <c r="E932" s="88"/>
      <c r="F932" s="88"/>
      <c r="G932" s="88"/>
      <c r="H932" s="118"/>
      <c r="I932" s="182">
        <f t="shared" si="136"/>
        <v>0</v>
      </c>
      <c r="J932" s="20">
        <f t="shared" ca="1" si="137"/>
        <v>0</v>
      </c>
      <c r="K932" s="5">
        <f t="shared" ca="1" si="138"/>
        <v>0</v>
      </c>
      <c r="L932" s="61">
        <f t="shared" ca="1" si="139"/>
        <v>0</v>
      </c>
      <c r="M932" s="64">
        <f t="shared" si="140"/>
        <v>0</v>
      </c>
      <c r="N932" s="151"/>
      <c r="O932" s="5">
        <f t="shared" ca="1" si="141"/>
        <v>0</v>
      </c>
      <c r="P932" s="446" t="e">
        <f t="shared" si="142"/>
        <v>#VALUE!</v>
      </c>
      <c r="Q932" s="446" t="e">
        <f>IF(OR($B932="",MIN(Q$38,$D$19)&lt;MAX($P$708*($B932+IF($R$17="Distrato",$I$38-1,0)),IF(AND($L$711=0,$P$708=0),"",$L$711-1),IF($R$17="Distrato",$E932,0))),0,YEARFRAC(MAX($P$708*($B932+IF($R$17="Distrato",$I$38-1,0)),IF(AND($L$711=0,$P$708=0),"",$L$711-1),IF($R$17="Distrato",$E932,0)),MIN(Q$38,$D$19),$P$20))-SUM($P932:P932)</f>
        <v>#VALUE!</v>
      </c>
      <c r="R932" s="446" t="e">
        <f>IF(OR($B932="",MIN(R$38,$D$19)&lt;MAX($P$708*($B932+IF($R$17="Distrato",$I$38-1,0)),IF(AND($L$711=0,$P$708=0),"",$L$711-1),IF($R$17="Distrato",$E932,0))),0,YEARFRAC(MAX($P$708*($B932+IF($R$17="Distrato",$I$38-1,0)),IF(AND($L$711=0,$P$708=0),"",$L$711-1),IF($R$17="Distrato",$E932,0)),MIN(R$38,$D$19),$P$20))-SUM($P932:Q932)</f>
        <v>#VALUE!</v>
      </c>
      <c r="S932" s="446" t="e">
        <f>IF(OR($B932="",MIN(S$38,$D$19)&lt;MAX($P$708*($B932+IF($R$17="Distrato",$I$38-1,0)),IF(AND($L$711=0,$P$708=0),"",$L$711-1),IF($R$17="Distrato",$E932,0))),0,YEARFRAC(MAX($P$708*($B932+IF($R$17="Distrato",$I$38-1,0)),IF(AND($L$711=0,$P$708=0),"",$L$711-1),IF($R$17="Distrato",$E932,0)),MIN(S$38,$D$19),$P$20))-SUM($P932:R932)</f>
        <v>#VALUE!</v>
      </c>
      <c r="T932" s="446" t="e">
        <f>IF(OR($B932="",MIN(T$38,$D$19)&lt;MAX($P$708*($B932+IF($R$17="Distrato",$I$38-1,0)),IF(AND($L$711=0,$P$708=0),"",$L$711-1),IF($R$17="Distrato",$E932,0))),0,YEARFRAC(MAX($P$708*($B932+IF($R$17="Distrato",$I$38-1,0)),IF(AND($L$711=0,$P$708=0),"",$L$711-1),IF($R$17="Distrato",$E932,0)),MIN(T$38,$D$19),$P$20))-SUM($P932:S932)</f>
        <v>#VALUE!</v>
      </c>
      <c r="U932" s="446" t="e">
        <f>IF(OR($B932="",MIN(U$38,$D$19)&lt;MAX($P$708*($B932+IF($R$17="Distrato",$I$38-1,0)),IF(AND($L$711=0,$P$708=0),"",$L$711-1),IF($R$17="Distrato",$E932,0))),0,YEARFRAC(MAX($P$708*($B932+IF($R$17="Distrato",$I$38-1,0)),IF(AND($L$711=0,$P$708=0),"",$L$711-1),IF($R$17="Distrato",$E932,0)),MIN(U$38,$D$19),$P$20))-SUM($P932:T932)</f>
        <v>#VALUE!</v>
      </c>
      <c r="V932" s="446" t="e">
        <f>IF(OR($B932="",MIN(V$38,$D$19)&lt;MAX($P$708*($B932+IF($R$17="Distrato",$I$38-1,0)),IF(AND($L$711=0,$P$708=0),"",$L$711-1),IF($R$17="Distrato",$E932,0))),0,YEARFRAC(MAX($P$708*($B932+IF($R$17="Distrato",$I$38-1,0)),IF(AND($L$711=0,$P$708=0),"",$L$711-1),IF($R$17="Distrato",$E932,0)),MIN(V$38,$D$19),$P$20))-SUM($P932:U932)</f>
        <v>#VALUE!</v>
      </c>
      <c r="W932" s="446" t="e">
        <f>IF(OR($B932="",MIN(W$38,$D$19)&lt;MAX($P$708*($B932+IF($R$17="Distrato",$I$38-1,0)),IF(AND($L$711=0,$P$708=0),"",$L$711-1),IF($R$17="Distrato",$E932,0))),0,YEARFRAC(MAX($P$708*($B932+IF($R$17="Distrato",$I$38-1,0)),IF(AND($L$711=0,$P$708=0),"",$L$711-1),IF($R$17="Distrato",$E932,0)),MIN(W$38,$D$19),$P$20))-SUM($P932:V932)</f>
        <v>#VALUE!</v>
      </c>
      <c r="X932" s="446" t="e">
        <f>IF(OR($B932="",MIN(X$38,$D$19)&lt;MAX($P$708*($B932+IF($R$17="Distrato",$I$38-1,0)),IF(AND($L$711=0,$P$708=0),"",$L$711-1),IF($R$17="Distrato",$E932,0))),0,YEARFRAC(MAX($P$708*($B932+IF($R$17="Distrato",$I$38-1,0)),IF(AND($L$711=0,$P$708=0),"",$L$711-1),IF($R$17="Distrato",$E932,0)),MIN(X$38,$D$19),$P$20))-SUM($P932:W932)</f>
        <v>#VALUE!</v>
      </c>
      <c r="Y932" s="446" t="e">
        <f>IF(OR($B932="",MIN(Y$38,$D$19)&lt;MAX($P$708*($B932+IF($R$17="Distrato",$I$38-1,0)),IF(AND($L$711=0,$P$708=0),"",$L$711-1),IF($R$17="Distrato",$E932,0))),0,YEARFRAC(MAX($P$708*($B932+IF($R$17="Distrato",$I$38-1,0)),IF(AND($L$711=0,$P$708=0),"",$L$711-1),IF($R$17="Distrato",$E932,0)),MIN(Y$38,$D$19),$P$20))-SUM($P932:X932)</f>
        <v>#VALUE!</v>
      </c>
      <c r="Z932" s="446" t="e">
        <f>IF(OR($B932="",MIN(Z$38,$D$19)&lt;MAX($P$708*($B932+IF($R$17="Distrato",$I$38-1,0)),IF(AND($L$711=0,$P$708=0),"",$L$711-1),IF($R$17="Distrato",$E932,0))),0,YEARFRAC(MAX($P$708*($B932+IF($R$17="Distrato",$I$38-1,0)),IF(AND($L$711=0,$P$708=0),"",$L$711-1),IF($R$17="Distrato",$E932,0)),MIN(Z$38,$D$19),$P$20))-SUM($P932:Y932)</f>
        <v>#VALUE!</v>
      </c>
      <c r="AA932" s="446" t="e">
        <f>IF(OR($B932="",MIN(AA$38,$D$19)&lt;MAX($P$708*($B932+IF($R$17="Distrato",$I$38-1,0)),IF(AND($L$711=0,$P$708=0),"",$L$711-1),IF($R$17="Distrato",$E932,0))),0,YEARFRAC(MAX($P$708*($B932+IF($R$17="Distrato",$I$38-1,0)),IF(AND($L$711=0,$P$708=0),"",$L$711-1),IF($R$17="Distrato",$E932,0)),MIN(AA$38,$D$19),$P$20))-SUM($P932:Z932)</f>
        <v>#VALUE!</v>
      </c>
      <c r="AB932" s="446" t="e">
        <f>IF(OR($B932="",MIN(AB$38,$D$19)&lt;MAX($P$708*($B932+IF($R$17="Distrato",$I$38-1,0)),IF(AND($L$711=0,$P$708=0),"",$L$711-1),IF($R$17="Distrato",$E932,0))),0,YEARFRAC(MAX($P$708*($B932+IF($R$17="Distrato",$I$38-1,0)),IF(AND($L$711=0,$P$708=0),"",$L$711-1),IF($R$17="Distrato",$E932,0)),MIN(AB$38,$D$19),$P$20))-SUM($P932:AA932)</f>
        <v>#VALUE!</v>
      </c>
      <c r="AC932" s="446" t="e">
        <f>IF(OR($B932="",MIN(AC$38,$D$19)&lt;MAX($P$708*($B932+IF($R$17="Distrato",$I$38-1,0)),IF(AND($L$711=0,$P$708=0),"",$L$711-1),IF($R$17="Distrato",$E932,0))),0,YEARFRAC(MAX($P$708*($B932+IF($R$17="Distrato",$I$38-1,0)),IF(AND($L$711=0,$P$708=0),"",$L$711-1),IF($R$17="Distrato",$E932,0)),MIN(AC$38,$D$19),$P$20))-SUM($P932:AB932)</f>
        <v>#VALUE!</v>
      </c>
      <c r="AD932" s="446" t="e">
        <f>IF(OR($B932="",MIN(AD$38,$D$19)&lt;MAX($P$708*($B932+IF($R$17="Distrato",$I$38-1,0)),IF(AND($L$711=0,$P$708=0),"",$L$711-1),IF($R$17="Distrato",$E932,0))),0,YEARFRAC(MAX($P$708*($B932+IF($R$17="Distrato",$I$38-1,0)),IF(AND($L$711=0,$P$708=0),"",$L$711-1),IF($R$17="Distrato",$E932,0)),MIN(AD$38,$D$19),$P$20))-SUM($P932:AC932)</f>
        <v>#VALUE!</v>
      </c>
      <c r="AE932" s="446" t="e">
        <f>IF(OR($B932="",MIN(AE$38,$D$19)&lt;MAX($P$708*($B932+IF($R$17="Distrato",$I$38-1,0)),IF(AND($L$711=0,$P$708=0),"",$L$711-1),IF($R$17="Distrato",$E932,0))),0,YEARFRAC(MAX($P$708*($B932+IF($R$17="Distrato",$I$38-1,0)),IF(AND($L$711=0,$P$708=0),"",$L$711-1),IF($R$17="Distrato",$E932,0)),MIN(AE$38,$D$19),$P$20))-SUM($P932:AD932)</f>
        <v>#VALUE!</v>
      </c>
      <c r="AF932" s="446" t="e">
        <f>IF(OR($B932="",MIN(AF$38,$D$19)&lt;MAX($P$708*($B932+IF($R$17="Distrato",$I$38-1,0)),IF(AND($L$711=0,$P$708=0),"",$L$711-1),IF($R$17="Distrato",$E932,0))),0,YEARFRAC(MAX($P$708*($B932+IF($R$17="Distrato",$I$38-1,0)),IF(AND($L$711=0,$P$708=0),"",$L$711-1),IF($R$17="Distrato",$E932,0)),MIN(AF$38,$D$19),$P$20))-SUM($P932:AE932)</f>
        <v>#VALUE!</v>
      </c>
      <c r="AG932" s="446" t="e">
        <f>IF(OR($B932="",MIN(AG$38,$D$19)&lt;MAX($P$708*($B932+IF($R$17="Distrato",$I$38-1,0)),IF(AND($L$711=0,$P$708=0),"",$L$711-1),IF($R$17="Distrato",$E932,0))),0,YEARFRAC(MAX($P$708*($B932+IF($R$17="Distrato",$I$38-1,0)),IF(AND($L$711=0,$P$708=0),"",$L$711-1),IF($R$17="Distrato",$E932,0)),MIN(AG$38,$D$19),$P$20))-SUM($P932:AF932)</f>
        <v>#VALUE!</v>
      </c>
      <c r="AH932" s="446" t="e">
        <f>IF(OR($B932="",MIN(AH$38,$D$19)&lt;MAX($P$708*($B932+IF($R$17="Distrato",$I$38-1,0)),IF(AND($L$711=0,$P$708=0),"",$L$711-1),IF($R$17="Distrato",$E932,0))),0,YEARFRAC(MAX($P$708*($B932+IF($R$17="Distrato",$I$38-1,0)),IF(AND($L$711=0,$P$708=0),"",$L$711-1),IF($R$17="Distrato",$E932,0)),MIN(AH$38,$D$19),$P$20))-SUM($P932:AG932)</f>
        <v>#VALUE!</v>
      </c>
      <c r="AI932" s="446" t="e">
        <f>IF(OR($B932="",MIN(AI$38,$D$19)&lt;MAX($P$708*($B932+IF($R$17="Distrato",$I$38-1,0)),IF(AND($L$711=0,$P$708=0),"",$L$711-1),IF($R$17="Distrato",$E932,0))),0,YEARFRAC(MAX($P$708*($B932+IF($R$17="Distrato",$I$38-1,0)),IF(AND($L$711=0,$P$708=0),"",$L$711-1),IF($R$17="Distrato",$E932,0)),MIN(AI$38,$D$19),$P$20))-SUM($P932:AH932)</f>
        <v>#VALUE!</v>
      </c>
      <c r="AJ932" s="446" t="e">
        <f>IF(OR($B932="",MIN(AJ$38,$D$19)&lt;MAX($P$708*($B932+IF($R$17="Distrato",$I$38-1,0)),IF(AND($L$711=0,$P$708=0),"",$L$711-1),IF($R$17="Distrato",$E932,0))),0,YEARFRAC(MAX($P$708*($B932+IF($R$17="Distrato",$I$38-1,0)),IF(AND($L$711=0,$P$708=0),"",$L$711-1),IF($R$17="Distrato",$E932,0)),MIN(AJ$38,$D$19),$P$20))-SUM($P932:AI932)</f>
        <v>#VALUE!</v>
      </c>
      <c r="AK932" s="446" t="e">
        <f>IF(OR($B932="",MIN(AK$38,$D$19)&lt;MAX($P$708*($B932+IF($R$17="Distrato",$I$38-1,0)),IF(AND($L$711=0,$P$708=0),"",$L$711-1),IF($R$17="Distrato",$E932,0))),0,YEARFRAC(MAX($P$708*($B932+IF($R$17="Distrato",$I$38-1,0)),IF(AND($L$711=0,$P$708=0),"",$L$711-1),IF($R$17="Distrato",$E932,0)),MIN(AK$38,$D$19),$P$20))-SUM($P932:AJ932)</f>
        <v>#VALUE!</v>
      </c>
      <c r="AL932" s="446" t="e">
        <f>IF(OR($B932="",MIN(AL$38,$D$19)&lt;MAX($P$708*($B932+IF($R$17="Distrato",$I$38-1,0)),IF(AND($L$711=0,$P$708=0),"",$L$711-1),IF($R$17="Distrato",$E932,0))),0,YEARFRAC(MAX($P$708*($B932+IF($R$17="Distrato",$I$38-1,0)),IF(AND($L$711=0,$P$708=0),"",$L$711-1),IF($R$17="Distrato",$E932,0)),MIN(AL$38,$D$19),$P$20))-SUM($P932:AK932)</f>
        <v>#VALUE!</v>
      </c>
      <c r="AM932" s="446" t="e">
        <f>IF(OR($B932="",MIN(AM$38,$D$19)&lt;MAX($P$708*($B932+IF($R$17="Distrato",$I$38-1,0)),IF(AND($L$711=0,$P$708=0),"",$L$711-1),IF($R$17="Distrato",$E932,0))),0,YEARFRAC(MAX($P$708*($B932+IF($R$17="Distrato",$I$38-1,0)),IF(AND($L$711=0,$P$708=0),"",$L$711-1),IF($R$17="Distrato",$E932,0)),MIN(AM$38,$D$19),$P$20))-SUM($P932:AL932)</f>
        <v>#VALUE!</v>
      </c>
      <c r="AN932" s="446" t="e">
        <f>IF(OR($B932="",MIN(AN$38,$D$19)&lt;MAX($P$708*($B932+IF($R$17="Distrato",$I$38-1,0)),IF(AND($L$711=0,$P$708=0),"",$L$711-1),IF($R$17="Distrato",$E932,0))),0,YEARFRAC(MAX($P$708*($B932+IF($R$17="Distrato",$I$38-1,0)),IF(AND($L$711=0,$P$708=0),"",$L$711-1),IF($R$17="Distrato",$E932,0)),MIN(AN$38,$D$19),$P$20))-SUM($P932:AM932)</f>
        <v>#VALUE!</v>
      </c>
      <c r="AO932" s="446" t="e">
        <f>IF(OR($B932="",MIN(AO$38,$D$19)&lt;MAX($P$708*($B932+IF($R$17="Distrato",$I$38-1,0)),IF(AND($L$711=0,$P$708=0),"",$L$711-1),IF($R$17="Distrato",$E932,0))),0,YEARFRAC(MAX($P$708*($B932+IF($R$17="Distrato",$I$38-1,0)),IF(AND($L$711=0,$P$708=0),"",$L$711-1),IF($R$17="Distrato",$E932,0)),MIN(AO$38,$D$19),$P$20))-SUM($P932:AN932)</f>
        <v>#VALUE!</v>
      </c>
      <c r="AP932" s="446" t="e">
        <f>IF(OR($B932="",MIN(AP$38,$D$19)&lt;MAX($P$708*($B932+IF($R$17="Distrato",$I$38-1,0)),IF(AND($L$711=0,$P$708=0),"",$L$711-1),IF($R$17="Distrato",$E932,0))),0,YEARFRAC(MAX($P$708*($B932+IF($R$17="Distrato",$I$38-1,0)),IF(AND($L$711=0,$P$708=0),"",$L$711-1),IF($R$17="Distrato",$E932,0)),MIN(AP$38,$D$19),$P$20))-SUM($P932:AO932)</f>
        <v>#VALUE!</v>
      </c>
      <c r="AQ932" s="446" t="e">
        <f>IF(OR($B932="",MIN(AQ$38,$D$19)&lt;MAX($P$708*($B932+IF($R$17="Distrato",$I$38-1,0)),IF(AND($L$711=0,$P$708=0),"",$L$711-1),IF($R$17="Distrato",$E932,0))),0,YEARFRAC(MAX($P$708*($B932+IF($R$17="Distrato",$I$38-1,0)),IF(AND($L$711=0,$P$708=0),"",$L$711-1),IF($R$17="Distrato",$E932,0)),MIN(AQ$38,$D$19),$P$20))-SUM($P932:AP932)</f>
        <v>#VALUE!</v>
      </c>
      <c r="AR932" s="446" t="e">
        <f>IF(OR($B932="",MIN(AR$38,$D$19)&lt;MAX($P$708*($B932+IF($R$17="Distrato",$I$38-1,0)),IF(AND($L$711=0,$P$708=0),"",$L$711-1),IF($R$17="Distrato",$E932,0))),0,YEARFRAC(MAX($P$708*($B932+IF($R$17="Distrato",$I$38-1,0)),IF(AND($L$711=0,$P$708=0),"",$L$711-1),IF($R$17="Distrato",$E932,0)),MIN(AR$38,$D$19),$P$20))-SUM($P932:AQ932)</f>
        <v>#VALUE!</v>
      </c>
      <c r="AS932" s="446" t="e">
        <f>IF(OR($B932="",MIN(AS$38,$D$19)&lt;MAX($P$708*($B932+IF($R$17="Distrato",$I$38-1,0)),IF(AND($L$711=0,$P$708=0),"",$L$711-1),IF($R$17="Distrato",$E932,0))),0,YEARFRAC(MAX($P$708*($B932+IF($R$17="Distrato",$I$38-1,0)),IF(AND($L$711=0,$P$708=0),"",$L$711-1),IF($R$17="Distrato",$E932,0)),MIN(AS$38,$D$19),$P$20))-SUM($P932:AR932)</f>
        <v>#VALUE!</v>
      </c>
      <c r="AT932" s="446" t="e">
        <f>IF(OR($B932="",MIN(AT$38,$D$19)&lt;MAX($P$708*($B932+IF($R$17="Distrato",$I$38-1,0)),IF(AND($L$711=0,$P$708=0),"",$L$711-1),IF($R$17="Distrato",$E932,0))),0,YEARFRAC(MAX($P$708*($B932+IF($R$17="Distrato",$I$38-1,0)),IF(AND($L$711=0,$P$708=0),"",$L$711-1),IF($R$17="Distrato",$E932,0)),MIN(AT$38,$D$19),$P$20))-SUM($P932:AS932)</f>
        <v>#VALUE!</v>
      </c>
      <c r="AU932" s="446" t="e">
        <f>IF(OR($B932="",MIN(AU$38,$D$19)&lt;MAX($P$708*($B932+IF($R$17="Distrato",$I$38-1,0)),IF(AND($L$711=0,$P$708=0),"",$L$711-1),IF($R$17="Distrato",$E932,0))),0,YEARFRAC(MAX($P$708*($B932+IF($R$17="Distrato",$I$38-1,0)),IF(AND($L$711=0,$P$708=0),"",$L$711-1),IF($R$17="Distrato",$E932,0)),MIN(AU$38,$D$19),$P$20))-SUM($P932:AT932)</f>
        <v>#VALUE!</v>
      </c>
      <c r="AV932" s="446" t="e">
        <f>IF(OR($B932="",MIN(AV$38,$D$19)&lt;MAX($P$708*($B932+IF($R$17="Distrato",$I$38-1,0)),IF(AND($L$711=0,$P$708=0),"",$L$711-1),IF($R$17="Distrato",$E932,0))),0,YEARFRAC(MAX($P$708*($B932+IF($R$17="Distrato",$I$38-1,0)),IF(AND($L$711=0,$P$708=0),"",$L$711-1),IF($R$17="Distrato",$E932,0)),MIN(AV$38,$D$19),$P$20))-SUM($P932:AU932)</f>
        <v>#VALUE!</v>
      </c>
      <c r="AW932" s="446" t="e">
        <f>IF(OR($B932="",MIN(AW$38,$D$19)&lt;MAX($P$708*($B932+IF($R$17="Distrato",$I$38-1,0)),IF(AND($L$711=0,$P$708=0),"",$L$711-1),IF($R$17="Distrato",$E932,0))),0,YEARFRAC(MAX($P$708*($B932+IF($R$17="Distrato",$I$38-1,0)),IF(AND($L$711=0,$P$708=0),"",$L$711-1),IF($R$17="Distrato",$E932,0)),MIN(AW$38,$D$19),$P$20))-SUM($P932:AV932)</f>
        <v>#VALUE!</v>
      </c>
      <c r="AX932" s="446" t="e">
        <f>IF(OR($B932="",MIN(AX$38,$D$19)&lt;MAX($P$708*($B932+IF($R$17="Distrato",$I$38-1,0)),IF(AND($L$711=0,$P$708=0),"",$L$711-1),IF($R$17="Distrato",$E932,0))),0,YEARFRAC(MAX($P$708*($B932+IF($R$17="Distrato",$I$38-1,0)),IF(AND($L$711=0,$P$708=0),"",$L$711-1),IF($R$17="Distrato",$E932,0)),MIN(AX$38,$D$19),$P$20))-SUM($P932:AW932)</f>
        <v>#VALUE!</v>
      </c>
      <c r="AY932" s="446" t="e">
        <f>IF(OR($B932="",MIN(AY$38,$D$19)&lt;MAX($P$708*($B932+IF($R$17="Distrato",$I$38-1,0)),IF(AND($L$711=0,$P$708=0),"",$L$711-1),IF($R$17="Distrato",$E932,0))),0,YEARFRAC(MAX($P$708*($B932+IF($R$17="Distrato",$I$38-1,0)),IF(AND($L$711=0,$P$708=0),"",$L$711-1),IF($R$17="Distrato",$E932,0)),MIN(AY$38,$D$19),$P$20))-SUM($P932:AX932)</f>
        <v>#VALUE!</v>
      </c>
      <c r="AZ932" s="446" t="e">
        <f>IF(OR($B932="",MIN(AZ$38,$D$19)&lt;MAX($P$708*($B932+IF($R$17="Distrato",$I$38-1,0)),IF(AND($L$711=0,$P$708=0),"",$L$711-1),IF($R$17="Distrato",$E932,0))),0,YEARFRAC(MAX($P$708*($B932+IF($R$17="Distrato",$I$38-1,0)),IF(AND($L$711=0,$P$708=0),"",$L$711-1),IF($R$17="Distrato",$E932,0)),MIN(AZ$38,$D$19),$P$20))-SUM($P932:AY932)</f>
        <v>#VALUE!</v>
      </c>
      <c r="BA932" s="446" t="e">
        <f>IF(OR($B932="",MIN(BA$38,$D$19)&lt;MAX($P$708*($B932+IF($R$17="Distrato",$I$38-1,0)),IF(AND($L$711=0,$P$708=0),"",$L$711-1),IF($R$17="Distrato",$E932,0))),0,YEARFRAC(MAX($P$708*($B932+IF($R$17="Distrato",$I$38-1,0)),IF(AND($L$711=0,$P$708=0),"",$L$711-1),IF($R$17="Distrato",$E932,0)),MIN(BA$38,$D$19),$P$20))-SUM($P932:AZ932)</f>
        <v>#VALUE!</v>
      </c>
      <c r="BB932" s="447"/>
    </row>
    <row r="933" spans="1:54" s="446" customFormat="1" ht="11.25" hidden="1" customHeight="1" x14ac:dyDescent="0.2">
      <c r="A933" s="235"/>
      <c r="B933" s="236"/>
      <c r="C933" s="29" t="str">
        <f>IF(B933="","",IF($L$709=$BL$25,VLOOKUP(DATE(YEAR($D$19),MONTH($D$19)-1,1),ÍNDICES!$A:$DE,HLOOKUP($BL$25,ÍNDICES!$B$3:$T$4,2)+11)-VLOOKUP(B933,ÍNDICES!$A:$DE,HLOOKUP($BL$25,ÍNDICES!$B$3:$T$4,2)+11)+1%,IF(C$712=$W$26,$J$35,IF(ISERROR(IF(B933&gt;$D$19,1,VLOOKUP(DATE(YEAR(B933),MONTH(B933)+IF($C$709=$S$23,1,0),1),ÍNDICES!$A:$DE,$Z$709+1))),"",IF(B933&gt;$D$19,1,VLOOKUP(DATE(YEAR(B933),MONTH(B933)+IF($C$709=$S$23,1,0),1),ÍNDICES!$A:$DE,$Z$709+1))))))</f>
        <v/>
      </c>
      <c r="D933" s="155"/>
      <c r="E933" s="88"/>
      <c r="F933" s="88"/>
      <c r="G933" s="88"/>
      <c r="H933" s="118"/>
      <c r="I933" s="182">
        <f t="shared" si="136"/>
        <v>0</v>
      </c>
      <c r="J933" s="20">
        <f t="shared" ca="1" si="137"/>
        <v>0</v>
      </c>
      <c r="K933" s="5">
        <f t="shared" ca="1" si="138"/>
        <v>0</v>
      </c>
      <c r="L933" s="61">
        <f t="shared" ca="1" si="139"/>
        <v>0</v>
      </c>
      <c r="M933" s="64">
        <f t="shared" si="140"/>
        <v>0</v>
      </c>
      <c r="N933" s="151"/>
      <c r="O933" s="5">
        <f t="shared" ca="1" si="141"/>
        <v>0</v>
      </c>
      <c r="P933" s="446" t="e">
        <f t="shared" si="142"/>
        <v>#VALUE!</v>
      </c>
      <c r="Q933" s="446" t="e">
        <f>IF(OR($B933="",MIN(Q$38,$D$19)&lt;MAX($P$708*($B933+IF($R$17="Distrato",$I$38-1,0)),IF(AND($L$711=0,$P$708=0),"",$L$711-1),IF($R$17="Distrato",$E933,0))),0,YEARFRAC(MAX($P$708*($B933+IF($R$17="Distrato",$I$38-1,0)),IF(AND($L$711=0,$P$708=0),"",$L$711-1),IF($R$17="Distrato",$E933,0)),MIN(Q$38,$D$19),$P$20))-SUM($P933:P933)</f>
        <v>#VALUE!</v>
      </c>
      <c r="R933" s="446" t="e">
        <f>IF(OR($B933="",MIN(R$38,$D$19)&lt;MAX($P$708*($B933+IF($R$17="Distrato",$I$38-1,0)),IF(AND($L$711=0,$P$708=0),"",$L$711-1),IF($R$17="Distrato",$E933,0))),0,YEARFRAC(MAX($P$708*($B933+IF($R$17="Distrato",$I$38-1,0)),IF(AND($L$711=0,$P$708=0),"",$L$711-1),IF($R$17="Distrato",$E933,0)),MIN(R$38,$D$19),$P$20))-SUM($P933:Q933)</f>
        <v>#VALUE!</v>
      </c>
      <c r="S933" s="446" t="e">
        <f>IF(OR($B933="",MIN(S$38,$D$19)&lt;MAX($P$708*($B933+IF($R$17="Distrato",$I$38-1,0)),IF(AND($L$711=0,$P$708=0),"",$L$711-1),IF($R$17="Distrato",$E933,0))),0,YEARFRAC(MAX($P$708*($B933+IF($R$17="Distrato",$I$38-1,0)),IF(AND($L$711=0,$P$708=0),"",$L$711-1),IF($R$17="Distrato",$E933,0)),MIN(S$38,$D$19),$P$20))-SUM($P933:R933)</f>
        <v>#VALUE!</v>
      </c>
      <c r="T933" s="446" t="e">
        <f>IF(OR($B933="",MIN(T$38,$D$19)&lt;MAX($P$708*($B933+IF($R$17="Distrato",$I$38-1,0)),IF(AND($L$711=0,$P$708=0),"",$L$711-1),IF($R$17="Distrato",$E933,0))),0,YEARFRAC(MAX($P$708*($B933+IF($R$17="Distrato",$I$38-1,0)),IF(AND($L$711=0,$P$708=0),"",$L$711-1),IF($R$17="Distrato",$E933,0)),MIN(T$38,$D$19),$P$20))-SUM($P933:S933)</f>
        <v>#VALUE!</v>
      </c>
      <c r="U933" s="446" t="e">
        <f>IF(OR($B933="",MIN(U$38,$D$19)&lt;MAX($P$708*($B933+IF($R$17="Distrato",$I$38-1,0)),IF(AND($L$711=0,$P$708=0),"",$L$711-1),IF($R$17="Distrato",$E933,0))),0,YEARFRAC(MAX($P$708*($B933+IF($R$17="Distrato",$I$38-1,0)),IF(AND($L$711=0,$P$708=0),"",$L$711-1),IF($R$17="Distrato",$E933,0)),MIN(U$38,$D$19),$P$20))-SUM($P933:T933)</f>
        <v>#VALUE!</v>
      </c>
      <c r="V933" s="446" t="e">
        <f>IF(OR($B933="",MIN(V$38,$D$19)&lt;MAX($P$708*($B933+IF($R$17="Distrato",$I$38-1,0)),IF(AND($L$711=0,$P$708=0),"",$L$711-1),IF($R$17="Distrato",$E933,0))),0,YEARFRAC(MAX($P$708*($B933+IF($R$17="Distrato",$I$38-1,0)),IF(AND($L$711=0,$P$708=0),"",$L$711-1),IF($R$17="Distrato",$E933,0)),MIN(V$38,$D$19),$P$20))-SUM($P933:U933)</f>
        <v>#VALUE!</v>
      </c>
      <c r="W933" s="446" t="e">
        <f>IF(OR($B933="",MIN(W$38,$D$19)&lt;MAX($P$708*($B933+IF($R$17="Distrato",$I$38-1,0)),IF(AND($L$711=0,$P$708=0),"",$L$711-1),IF($R$17="Distrato",$E933,0))),0,YEARFRAC(MAX($P$708*($B933+IF($R$17="Distrato",$I$38-1,0)),IF(AND($L$711=0,$P$708=0),"",$L$711-1),IF($R$17="Distrato",$E933,0)),MIN(W$38,$D$19),$P$20))-SUM($P933:V933)</f>
        <v>#VALUE!</v>
      </c>
      <c r="X933" s="446" t="e">
        <f>IF(OR($B933="",MIN(X$38,$D$19)&lt;MAX($P$708*($B933+IF($R$17="Distrato",$I$38-1,0)),IF(AND($L$711=0,$P$708=0),"",$L$711-1),IF($R$17="Distrato",$E933,0))),0,YEARFRAC(MAX($P$708*($B933+IF($R$17="Distrato",$I$38-1,0)),IF(AND($L$711=0,$P$708=0),"",$L$711-1),IF($R$17="Distrato",$E933,0)),MIN(X$38,$D$19),$P$20))-SUM($P933:W933)</f>
        <v>#VALUE!</v>
      </c>
      <c r="Y933" s="446" t="e">
        <f>IF(OR($B933="",MIN(Y$38,$D$19)&lt;MAX($P$708*($B933+IF($R$17="Distrato",$I$38-1,0)),IF(AND($L$711=0,$P$708=0),"",$L$711-1),IF($R$17="Distrato",$E933,0))),0,YEARFRAC(MAX($P$708*($B933+IF($R$17="Distrato",$I$38-1,0)),IF(AND($L$711=0,$P$708=0),"",$L$711-1),IF($R$17="Distrato",$E933,0)),MIN(Y$38,$D$19),$P$20))-SUM($P933:X933)</f>
        <v>#VALUE!</v>
      </c>
      <c r="Z933" s="446" t="e">
        <f>IF(OR($B933="",MIN(Z$38,$D$19)&lt;MAX($P$708*($B933+IF($R$17="Distrato",$I$38-1,0)),IF(AND($L$711=0,$P$708=0),"",$L$711-1),IF($R$17="Distrato",$E933,0))),0,YEARFRAC(MAX($P$708*($B933+IF($R$17="Distrato",$I$38-1,0)),IF(AND($L$711=0,$P$708=0),"",$L$711-1),IF($R$17="Distrato",$E933,0)),MIN(Z$38,$D$19),$P$20))-SUM($P933:Y933)</f>
        <v>#VALUE!</v>
      </c>
      <c r="AA933" s="446" t="e">
        <f>IF(OR($B933="",MIN(AA$38,$D$19)&lt;MAX($P$708*($B933+IF($R$17="Distrato",$I$38-1,0)),IF(AND($L$711=0,$P$708=0),"",$L$711-1),IF($R$17="Distrato",$E933,0))),0,YEARFRAC(MAX($P$708*($B933+IF($R$17="Distrato",$I$38-1,0)),IF(AND($L$711=0,$P$708=0),"",$L$711-1),IF($R$17="Distrato",$E933,0)),MIN(AA$38,$D$19),$P$20))-SUM($P933:Z933)</f>
        <v>#VALUE!</v>
      </c>
      <c r="AB933" s="446" t="e">
        <f>IF(OR($B933="",MIN(AB$38,$D$19)&lt;MAX($P$708*($B933+IF($R$17="Distrato",$I$38-1,0)),IF(AND($L$711=0,$P$708=0),"",$L$711-1),IF($R$17="Distrato",$E933,0))),0,YEARFRAC(MAX($P$708*($B933+IF($R$17="Distrato",$I$38-1,0)),IF(AND($L$711=0,$P$708=0),"",$L$711-1),IF($R$17="Distrato",$E933,0)),MIN(AB$38,$D$19),$P$20))-SUM($P933:AA933)</f>
        <v>#VALUE!</v>
      </c>
      <c r="AC933" s="446" t="e">
        <f>IF(OR($B933="",MIN(AC$38,$D$19)&lt;MAX($P$708*($B933+IF($R$17="Distrato",$I$38-1,0)),IF(AND($L$711=0,$P$708=0),"",$L$711-1),IF($R$17="Distrato",$E933,0))),0,YEARFRAC(MAX($P$708*($B933+IF($R$17="Distrato",$I$38-1,0)),IF(AND($L$711=0,$P$708=0),"",$L$711-1),IF($R$17="Distrato",$E933,0)),MIN(AC$38,$D$19),$P$20))-SUM($P933:AB933)</f>
        <v>#VALUE!</v>
      </c>
      <c r="AD933" s="446" t="e">
        <f>IF(OR($B933="",MIN(AD$38,$D$19)&lt;MAX($P$708*($B933+IF($R$17="Distrato",$I$38-1,0)),IF(AND($L$711=0,$P$708=0),"",$L$711-1),IF($R$17="Distrato",$E933,0))),0,YEARFRAC(MAX($P$708*($B933+IF($R$17="Distrato",$I$38-1,0)),IF(AND($L$711=0,$P$708=0),"",$L$711-1),IF($R$17="Distrato",$E933,0)),MIN(AD$38,$D$19),$P$20))-SUM($P933:AC933)</f>
        <v>#VALUE!</v>
      </c>
      <c r="AE933" s="446" t="e">
        <f>IF(OR($B933="",MIN(AE$38,$D$19)&lt;MAX($P$708*($B933+IF($R$17="Distrato",$I$38-1,0)),IF(AND($L$711=0,$P$708=0),"",$L$711-1),IF($R$17="Distrato",$E933,0))),0,YEARFRAC(MAX($P$708*($B933+IF($R$17="Distrato",$I$38-1,0)),IF(AND($L$711=0,$P$708=0),"",$L$711-1),IF($R$17="Distrato",$E933,0)),MIN(AE$38,$D$19),$P$20))-SUM($P933:AD933)</f>
        <v>#VALUE!</v>
      </c>
      <c r="AF933" s="446" t="e">
        <f>IF(OR($B933="",MIN(AF$38,$D$19)&lt;MAX($P$708*($B933+IF($R$17="Distrato",$I$38-1,0)),IF(AND($L$711=0,$P$708=0),"",$L$711-1),IF($R$17="Distrato",$E933,0))),0,YEARFRAC(MAX($P$708*($B933+IF($R$17="Distrato",$I$38-1,0)),IF(AND($L$711=0,$P$708=0),"",$L$711-1),IF($R$17="Distrato",$E933,0)),MIN(AF$38,$D$19),$P$20))-SUM($P933:AE933)</f>
        <v>#VALUE!</v>
      </c>
      <c r="AG933" s="446" t="e">
        <f>IF(OR($B933="",MIN(AG$38,$D$19)&lt;MAX($P$708*($B933+IF($R$17="Distrato",$I$38-1,0)),IF(AND($L$711=0,$P$708=0),"",$L$711-1),IF($R$17="Distrato",$E933,0))),0,YEARFRAC(MAX($P$708*($B933+IF($R$17="Distrato",$I$38-1,0)),IF(AND($L$711=0,$P$708=0),"",$L$711-1),IF($R$17="Distrato",$E933,0)),MIN(AG$38,$D$19),$P$20))-SUM($P933:AF933)</f>
        <v>#VALUE!</v>
      </c>
      <c r="AH933" s="446" t="e">
        <f>IF(OR($B933="",MIN(AH$38,$D$19)&lt;MAX($P$708*($B933+IF($R$17="Distrato",$I$38-1,0)),IF(AND($L$711=0,$P$708=0),"",$L$711-1),IF($R$17="Distrato",$E933,0))),0,YEARFRAC(MAX($P$708*($B933+IF($R$17="Distrato",$I$38-1,0)),IF(AND($L$711=0,$P$708=0),"",$L$711-1),IF($R$17="Distrato",$E933,0)),MIN(AH$38,$D$19),$P$20))-SUM($P933:AG933)</f>
        <v>#VALUE!</v>
      </c>
      <c r="AI933" s="446" t="e">
        <f>IF(OR($B933="",MIN(AI$38,$D$19)&lt;MAX($P$708*($B933+IF($R$17="Distrato",$I$38-1,0)),IF(AND($L$711=0,$P$708=0),"",$L$711-1),IF($R$17="Distrato",$E933,0))),0,YEARFRAC(MAX($P$708*($B933+IF($R$17="Distrato",$I$38-1,0)),IF(AND($L$711=0,$P$708=0),"",$L$711-1),IF($R$17="Distrato",$E933,0)),MIN(AI$38,$D$19),$P$20))-SUM($P933:AH933)</f>
        <v>#VALUE!</v>
      </c>
      <c r="AJ933" s="446" t="e">
        <f>IF(OR($B933="",MIN(AJ$38,$D$19)&lt;MAX($P$708*($B933+IF($R$17="Distrato",$I$38-1,0)),IF(AND($L$711=0,$P$708=0),"",$L$711-1),IF($R$17="Distrato",$E933,0))),0,YEARFRAC(MAX($P$708*($B933+IF($R$17="Distrato",$I$38-1,0)),IF(AND($L$711=0,$P$708=0),"",$L$711-1),IF($R$17="Distrato",$E933,0)),MIN(AJ$38,$D$19),$P$20))-SUM($P933:AI933)</f>
        <v>#VALUE!</v>
      </c>
      <c r="AK933" s="446" t="e">
        <f>IF(OR($B933="",MIN(AK$38,$D$19)&lt;MAX($P$708*($B933+IF($R$17="Distrato",$I$38-1,0)),IF(AND($L$711=0,$P$708=0),"",$L$711-1),IF($R$17="Distrato",$E933,0))),0,YEARFRAC(MAX($P$708*($B933+IF($R$17="Distrato",$I$38-1,0)),IF(AND($L$711=0,$P$708=0),"",$L$711-1),IF($R$17="Distrato",$E933,0)),MIN(AK$38,$D$19),$P$20))-SUM($P933:AJ933)</f>
        <v>#VALUE!</v>
      </c>
      <c r="AL933" s="446" t="e">
        <f>IF(OR($B933="",MIN(AL$38,$D$19)&lt;MAX($P$708*($B933+IF($R$17="Distrato",$I$38-1,0)),IF(AND($L$711=0,$P$708=0),"",$L$711-1),IF($R$17="Distrato",$E933,0))),0,YEARFRAC(MAX($P$708*($B933+IF($R$17="Distrato",$I$38-1,0)),IF(AND($L$711=0,$P$708=0),"",$L$711-1),IF($R$17="Distrato",$E933,0)),MIN(AL$38,$D$19),$P$20))-SUM($P933:AK933)</f>
        <v>#VALUE!</v>
      </c>
      <c r="AM933" s="446" t="e">
        <f>IF(OR($B933="",MIN(AM$38,$D$19)&lt;MAX($P$708*($B933+IF($R$17="Distrato",$I$38-1,0)),IF(AND($L$711=0,$P$708=0),"",$L$711-1),IF($R$17="Distrato",$E933,0))),0,YEARFRAC(MAX($P$708*($B933+IF($R$17="Distrato",$I$38-1,0)),IF(AND($L$711=0,$P$708=0),"",$L$711-1),IF($R$17="Distrato",$E933,0)),MIN(AM$38,$D$19),$P$20))-SUM($P933:AL933)</f>
        <v>#VALUE!</v>
      </c>
      <c r="AN933" s="446" t="e">
        <f>IF(OR($B933="",MIN(AN$38,$D$19)&lt;MAX($P$708*($B933+IF($R$17="Distrato",$I$38-1,0)),IF(AND($L$711=0,$P$708=0),"",$L$711-1),IF($R$17="Distrato",$E933,0))),0,YEARFRAC(MAX($P$708*($B933+IF($R$17="Distrato",$I$38-1,0)),IF(AND($L$711=0,$P$708=0),"",$L$711-1),IF($R$17="Distrato",$E933,0)),MIN(AN$38,$D$19),$P$20))-SUM($P933:AM933)</f>
        <v>#VALUE!</v>
      </c>
      <c r="AO933" s="446" t="e">
        <f>IF(OR($B933="",MIN(AO$38,$D$19)&lt;MAX($P$708*($B933+IF($R$17="Distrato",$I$38-1,0)),IF(AND($L$711=0,$P$708=0),"",$L$711-1),IF($R$17="Distrato",$E933,0))),0,YEARFRAC(MAX($P$708*($B933+IF($R$17="Distrato",$I$38-1,0)),IF(AND($L$711=0,$P$708=0),"",$L$711-1),IF($R$17="Distrato",$E933,0)),MIN(AO$38,$D$19),$P$20))-SUM($P933:AN933)</f>
        <v>#VALUE!</v>
      </c>
      <c r="AP933" s="446" t="e">
        <f>IF(OR($B933="",MIN(AP$38,$D$19)&lt;MAX($P$708*($B933+IF($R$17="Distrato",$I$38-1,0)),IF(AND($L$711=0,$P$708=0),"",$L$711-1),IF($R$17="Distrato",$E933,0))),0,YEARFRAC(MAX($P$708*($B933+IF($R$17="Distrato",$I$38-1,0)),IF(AND($L$711=0,$P$708=0),"",$L$711-1),IF($R$17="Distrato",$E933,0)),MIN(AP$38,$D$19),$P$20))-SUM($P933:AO933)</f>
        <v>#VALUE!</v>
      </c>
      <c r="AQ933" s="446" t="e">
        <f>IF(OR($B933="",MIN(AQ$38,$D$19)&lt;MAX($P$708*($B933+IF($R$17="Distrato",$I$38-1,0)),IF(AND($L$711=0,$P$708=0),"",$L$711-1),IF($R$17="Distrato",$E933,0))),0,YEARFRAC(MAX($P$708*($B933+IF($R$17="Distrato",$I$38-1,0)),IF(AND($L$711=0,$P$708=0),"",$L$711-1),IF($R$17="Distrato",$E933,0)),MIN(AQ$38,$D$19),$P$20))-SUM($P933:AP933)</f>
        <v>#VALUE!</v>
      </c>
      <c r="AR933" s="446" t="e">
        <f>IF(OR($B933="",MIN(AR$38,$D$19)&lt;MAX($P$708*($B933+IF($R$17="Distrato",$I$38-1,0)),IF(AND($L$711=0,$P$708=0),"",$L$711-1),IF($R$17="Distrato",$E933,0))),0,YEARFRAC(MAX($P$708*($B933+IF($R$17="Distrato",$I$38-1,0)),IF(AND($L$711=0,$P$708=0),"",$L$711-1),IF($R$17="Distrato",$E933,0)),MIN(AR$38,$D$19),$P$20))-SUM($P933:AQ933)</f>
        <v>#VALUE!</v>
      </c>
      <c r="AS933" s="446" t="e">
        <f>IF(OR($B933="",MIN(AS$38,$D$19)&lt;MAX($P$708*($B933+IF($R$17="Distrato",$I$38-1,0)),IF(AND($L$711=0,$P$708=0),"",$L$711-1),IF($R$17="Distrato",$E933,0))),0,YEARFRAC(MAX($P$708*($B933+IF($R$17="Distrato",$I$38-1,0)),IF(AND($L$711=0,$P$708=0),"",$L$711-1),IF($R$17="Distrato",$E933,0)),MIN(AS$38,$D$19),$P$20))-SUM($P933:AR933)</f>
        <v>#VALUE!</v>
      </c>
      <c r="AT933" s="446" t="e">
        <f>IF(OR($B933="",MIN(AT$38,$D$19)&lt;MAX($P$708*($B933+IF($R$17="Distrato",$I$38-1,0)),IF(AND($L$711=0,$P$708=0),"",$L$711-1),IF($R$17="Distrato",$E933,0))),0,YEARFRAC(MAX($P$708*($B933+IF($R$17="Distrato",$I$38-1,0)),IF(AND($L$711=0,$P$708=0),"",$L$711-1),IF($R$17="Distrato",$E933,0)),MIN(AT$38,$D$19),$P$20))-SUM($P933:AS933)</f>
        <v>#VALUE!</v>
      </c>
      <c r="AU933" s="446" t="e">
        <f>IF(OR($B933="",MIN(AU$38,$D$19)&lt;MAX($P$708*($B933+IF($R$17="Distrato",$I$38-1,0)),IF(AND($L$711=0,$P$708=0),"",$L$711-1),IF($R$17="Distrato",$E933,0))),0,YEARFRAC(MAX($P$708*($B933+IF($R$17="Distrato",$I$38-1,0)),IF(AND($L$711=0,$P$708=0),"",$L$711-1),IF($R$17="Distrato",$E933,0)),MIN(AU$38,$D$19),$P$20))-SUM($P933:AT933)</f>
        <v>#VALUE!</v>
      </c>
      <c r="AV933" s="446" t="e">
        <f>IF(OR($B933="",MIN(AV$38,$D$19)&lt;MAX($P$708*($B933+IF($R$17="Distrato",$I$38-1,0)),IF(AND($L$711=0,$P$708=0),"",$L$711-1),IF($R$17="Distrato",$E933,0))),0,YEARFRAC(MAX($P$708*($B933+IF($R$17="Distrato",$I$38-1,0)),IF(AND($L$711=0,$P$708=0),"",$L$711-1),IF($R$17="Distrato",$E933,0)),MIN(AV$38,$D$19),$P$20))-SUM($P933:AU933)</f>
        <v>#VALUE!</v>
      </c>
      <c r="AW933" s="446" t="e">
        <f>IF(OR($B933="",MIN(AW$38,$D$19)&lt;MAX($P$708*($B933+IF($R$17="Distrato",$I$38-1,0)),IF(AND($L$711=0,$P$708=0),"",$L$711-1),IF($R$17="Distrato",$E933,0))),0,YEARFRAC(MAX($P$708*($B933+IF($R$17="Distrato",$I$38-1,0)),IF(AND($L$711=0,$P$708=0),"",$L$711-1),IF($R$17="Distrato",$E933,0)),MIN(AW$38,$D$19),$P$20))-SUM($P933:AV933)</f>
        <v>#VALUE!</v>
      </c>
      <c r="AX933" s="446" t="e">
        <f>IF(OR($B933="",MIN(AX$38,$D$19)&lt;MAX($P$708*($B933+IF($R$17="Distrato",$I$38-1,0)),IF(AND($L$711=0,$P$708=0),"",$L$711-1),IF($R$17="Distrato",$E933,0))),0,YEARFRAC(MAX($P$708*($B933+IF($R$17="Distrato",$I$38-1,0)),IF(AND($L$711=0,$P$708=0),"",$L$711-1),IF($R$17="Distrato",$E933,0)),MIN(AX$38,$D$19),$P$20))-SUM($P933:AW933)</f>
        <v>#VALUE!</v>
      </c>
      <c r="AY933" s="446" t="e">
        <f>IF(OR($B933="",MIN(AY$38,$D$19)&lt;MAX($P$708*($B933+IF($R$17="Distrato",$I$38-1,0)),IF(AND($L$711=0,$P$708=0),"",$L$711-1),IF($R$17="Distrato",$E933,0))),0,YEARFRAC(MAX($P$708*($B933+IF($R$17="Distrato",$I$38-1,0)),IF(AND($L$711=0,$P$708=0),"",$L$711-1),IF($R$17="Distrato",$E933,0)),MIN(AY$38,$D$19),$P$20))-SUM($P933:AX933)</f>
        <v>#VALUE!</v>
      </c>
      <c r="AZ933" s="446" t="e">
        <f>IF(OR($B933="",MIN(AZ$38,$D$19)&lt;MAX($P$708*($B933+IF($R$17="Distrato",$I$38-1,0)),IF(AND($L$711=0,$P$708=0),"",$L$711-1),IF($R$17="Distrato",$E933,0))),0,YEARFRAC(MAX($P$708*($B933+IF($R$17="Distrato",$I$38-1,0)),IF(AND($L$711=0,$P$708=0),"",$L$711-1),IF($R$17="Distrato",$E933,0)),MIN(AZ$38,$D$19),$P$20))-SUM($P933:AY933)</f>
        <v>#VALUE!</v>
      </c>
      <c r="BA933" s="446" t="e">
        <f>IF(OR($B933="",MIN(BA$38,$D$19)&lt;MAX($P$708*($B933+IF($R$17="Distrato",$I$38-1,0)),IF(AND($L$711=0,$P$708=0),"",$L$711-1),IF($R$17="Distrato",$E933,0))),0,YEARFRAC(MAX($P$708*($B933+IF($R$17="Distrato",$I$38-1,0)),IF(AND($L$711=0,$P$708=0),"",$L$711-1),IF($R$17="Distrato",$E933,0)),MIN(BA$38,$D$19),$P$20))-SUM($P933:AZ933)</f>
        <v>#VALUE!</v>
      </c>
      <c r="BB933" s="447"/>
    </row>
    <row r="934" spans="1:54" s="446" customFormat="1" ht="11.25" hidden="1" customHeight="1" x14ac:dyDescent="0.2">
      <c r="A934" s="235"/>
      <c r="B934" s="236"/>
      <c r="C934" s="29" t="str">
        <f>IF(B934="","",IF($L$709=$BL$25,VLOOKUP(DATE(YEAR($D$19),MONTH($D$19)-1,1),ÍNDICES!$A:$DE,HLOOKUP($BL$25,ÍNDICES!$B$3:$T$4,2)+11)-VLOOKUP(B934,ÍNDICES!$A:$DE,HLOOKUP($BL$25,ÍNDICES!$B$3:$T$4,2)+11)+1%,IF(C$712=$W$26,$J$35,IF(ISERROR(IF(B934&gt;$D$19,1,VLOOKUP(DATE(YEAR(B934),MONTH(B934)+IF($C$709=$S$23,1,0),1),ÍNDICES!$A:$DE,$Z$709+1))),"",IF(B934&gt;$D$19,1,VLOOKUP(DATE(YEAR(B934),MONTH(B934)+IF($C$709=$S$23,1,0),1),ÍNDICES!$A:$DE,$Z$709+1))))))</f>
        <v/>
      </c>
      <c r="D934" s="155"/>
      <c r="E934" s="88"/>
      <c r="F934" s="88"/>
      <c r="G934" s="88"/>
      <c r="H934" s="118"/>
      <c r="I934" s="182">
        <f t="shared" si="136"/>
        <v>0</v>
      </c>
      <c r="J934" s="20">
        <f t="shared" ca="1" si="137"/>
        <v>0</v>
      </c>
      <c r="K934" s="5">
        <f t="shared" ca="1" si="138"/>
        <v>0</v>
      </c>
      <c r="L934" s="61">
        <f t="shared" ca="1" si="139"/>
        <v>0</v>
      </c>
      <c r="M934" s="64">
        <f t="shared" si="140"/>
        <v>0</v>
      </c>
      <c r="N934" s="151"/>
      <c r="O934" s="5">
        <f t="shared" ca="1" si="141"/>
        <v>0</v>
      </c>
      <c r="P934" s="446" t="e">
        <f t="shared" si="142"/>
        <v>#VALUE!</v>
      </c>
      <c r="Q934" s="446" t="e">
        <f>IF(OR($B934="",MIN(Q$38,$D$19)&lt;MAX($P$708*($B934+IF($R$17="Distrato",$I$38-1,0)),IF(AND($L$711=0,$P$708=0),"",$L$711-1),IF($R$17="Distrato",$E934,0))),0,YEARFRAC(MAX($P$708*($B934+IF($R$17="Distrato",$I$38-1,0)),IF(AND($L$711=0,$P$708=0),"",$L$711-1),IF($R$17="Distrato",$E934,0)),MIN(Q$38,$D$19),$P$20))-SUM($P934:P934)</f>
        <v>#VALUE!</v>
      </c>
      <c r="R934" s="446" t="e">
        <f>IF(OR($B934="",MIN(R$38,$D$19)&lt;MAX($P$708*($B934+IF($R$17="Distrato",$I$38-1,0)),IF(AND($L$711=0,$P$708=0),"",$L$711-1),IF($R$17="Distrato",$E934,0))),0,YEARFRAC(MAX($P$708*($B934+IF($R$17="Distrato",$I$38-1,0)),IF(AND($L$711=0,$P$708=0),"",$L$711-1),IF($R$17="Distrato",$E934,0)),MIN(R$38,$D$19),$P$20))-SUM($P934:Q934)</f>
        <v>#VALUE!</v>
      </c>
      <c r="S934" s="446" t="e">
        <f>IF(OR($B934="",MIN(S$38,$D$19)&lt;MAX($P$708*($B934+IF($R$17="Distrato",$I$38-1,0)),IF(AND($L$711=0,$P$708=0),"",$L$711-1),IF($R$17="Distrato",$E934,0))),0,YEARFRAC(MAX($P$708*($B934+IF($R$17="Distrato",$I$38-1,0)),IF(AND($L$711=0,$P$708=0),"",$L$711-1),IF($R$17="Distrato",$E934,0)),MIN(S$38,$D$19),$P$20))-SUM($P934:R934)</f>
        <v>#VALUE!</v>
      </c>
      <c r="T934" s="446" t="e">
        <f>IF(OR($B934="",MIN(T$38,$D$19)&lt;MAX($P$708*($B934+IF($R$17="Distrato",$I$38-1,0)),IF(AND($L$711=0,$P$708=0),"",$L$711-1),IF($R$17="Distrato",$E934,0))),0,YEARFRAC(MAX($P$708*($B934+IF($R$17="Distrato",$I$38-1,0)),IF(AND($L$711=0,$P$708=0),"",$L$711-1),IF($R$17="Distrato",$E934,0)),MIN(T$38,$D$19),$P$20))-SUM($P934:S934)</f>
        <v>#VALUE!</v>
      </c>
      <c r="U934" s="446" t="e">
        <f>IF(OR($B934="",MIN(U$38,$D$19)&lt;MAX($P$708*($B934+IF($R$17="Distrato",$I$38-1,0)),IF(AND($L$711=0,$P$708=0),"",$L$711-1),IF($R$17="Distrato",$E934,0))),0,YEARFRAC(MAX($P$708*($B934+IF($R$17="Distrato",$I$38-1,0)),IF(AND($L$711=0,$P$708=0),"",$L$711-1),IF($R$17="Distrato",$E934,0)),MIN(U$38,$D$19),$P$20))-SUM($P934:T934)</f>
        <v>#VALUE!</v>
      </c>
      <c r="V934" s="446" t="e">
        <f>IF(OR($B934="",MIN(V$38,$D$19)&lt;MAX($P$708*($B934+IF($R$17="Distrato",$I$38-1,0)),IF(AND($L$711=0,$P$708=0),"",$L$711-1),IF($R$17="Distrato",$E934,0))),0,YEARFRAC(MAX($P$708*($B934+IF($R$17="Distrato",$I$38-1,0)),IF(AND($L$711=0,$P$708=0),"",$L$711-1),IF($R$17="Distrato",$E934,0)),MIN(V$38,$D$19),$P$20))-SUM($P934:U934)</f>
        <v>#VALUE!</v>
      </c>
      <c r="W934" s="446" t="e">
        <f>IF(OR($B934="",MIN(W$38,$D$19)&lt;MAX($P$708*($B934+IF($R$17="Distrato",$I$38-1,0)),IF(AND($L$711=0,$P$708=0),"",$L$711-1),IF($R$17="Distrato",$E934,0))),0,YEARFRAC(MAX($P$708*($B934+IF($R$17="Distrato",$I$38-1,0)),IF(AND($L$711=0,$P$708=0),"",$L$711-1),IF($R$17="Distrato",$E934,0)),MIN(W$38,$D$19),$P$20))-SUM($P934:V934)</f>
        <v>#VALUE!</v>
      </c>
      <c r="X934" s="446" t="e">
        <f>IF(OR($B934="",MIN(X$38,$D$19)&lt;MAX($P$708*($B934+IF($R$17="Distrato",$I$38-1,0)),IF(AND($L$711=0,$P$708=0),"",$L$711-1),IF($R$17="Distrato",$E934,0))),0,YEARFRAC(MAX($P$708*($B934+IF($R$17="Distrato",$I$38-1,0)),IF(AND($L$711=0,$P$708=0),"",$L$711-1),IF($R$17="Distrato",$E934,0)),MIN(X$38,$D$19),$P$20))-SUM($P934:W934)</f>
        <v>#VALUE!</v>
      </c>
      <c r="Y934" s="446" t="e">
        <f>IF(OR($B934="",MIN(Y$38,$D$19)&lt;MAX($P$708*($B934+IF($R$17="Distrato",$I$38-1,0)),IF(AND($L$711=0,$P$708=0),"",$L$711-1),IF($R$17="Distrato",$E934,0))),0,YEARFRAC(MAX($P$708*($B934+IF($R$17="Distrato",$I$38-1,0)),IF(AND($L$711=0,$P$708=0),"",$L$711-1),IF($R$17="Distrato",$E934,0)),MIN(Y$38,$D$19),$P$20))-SUM($P934:X934)</f>
        <v>#VALUE!</v>
      </c>
      <c r="Z934" s="446" t="e">
        <f>IF(OR($B934="",MIN(Z$38,$D$19)&lt;MAX($P$708*($B934+IF($R$17="Distrato",$I$38-1,0)),IF(AND($L$711=0,$P$708=0),"",$L$711-1),IF($R$17="Distrato",$E934,0))),0,YEARFRAC(MAX($P$708*($B934+IF($R$17="Distrato",$I$38-1,0)),IF(AND($L$711=0,$P$708=0),"",$L$711-1),IF($R$17="Distrato",$E934,0)),MIN(Z$38,$D$19),$P$20))-SUM($P934:Y934)</f>
        <v>#VALUE!</v>
      </c>
      <c r="AA934" s="446" t="e">
        <f>IF(OR($B934="",MIN(AA$38,$D$19)&lt;MAX($P$708*($B934+IF($R$17="Distrato",$I$38-1,0)),IF(AND($L$711=0,$P$708=0),"",$L$711-1),IF($R$17="Distrato",$E934,0))),0,YEARFRAC(MAX($P$708*($B934+IF($R$17="Distrato",$I$38-1,0)),IF(AND($L$711=0,$P$708=0),"",$L$711-1),IF($R$17="Distrato",$E934,0)),MIN(AA$38,$D$19),$P$20))-SUM($P934:Z934)</f>
        <v>#VALUE!</v>
      </c>
      <c r="AB934" s="446" t="e">
        <f>IF(OR($B934="",MIN(AB$38,$D$19)&lt;MAX($P$708*($B934+IF($R$17="Distrato",$I$38-1,0)),IF(AND($L$711=0,$P$708=0),"",$L$711-1),IF($R$17="Distrato",$E934,0))),0,YEARFRAC(MAX($P$708*($B934+IF($R$17="Distrato",$I$38-1,0)),IF(AND($L$711=0,$P$708=0),"",$L$711-1),IF($R$17="Distrato",$E934,0)),MIN(AB$38,$D$19),$P$20))-SUM($P934:AA934)</f>
        <v>#VALUE!</v>
      </c>
      <c r="AC934" s="446" t="e">
        <f>IF(OR($B934="",MIN(AC$38,$D$19)&lt;MAX($P$708*($B934+IF($R$17="Distrato",$I$38-1,0)),IF(AND($L$711=0,$P$708=0),"",$L$711-1),IF($R$17="Distrato",$E934,0))),0,YEARFRAC(MAX($P$708*($B934+IF($R$17="Distrato",$I$38-1,0)),IF(AND($L$711=0,$P$708=0),"",$L$711-1),IF($R$17="Distrato",$E934,0)),MIN(AC$38,$D$19),$P$20))-SUM($P934:AB934)</f>
        <v>#VALUE!</v>
      </c>
      <c r="AD934" s="446" t="e">
        <f>IF(OR($B934="",MIN(AD$38,$D$19)&lt;MAX($P$708*($B934+IF($R$17="Distrato",$I$38-1,0)),IF(AND($L$711=0,$P$708=0),"",$L$711-1),IF($R$17="Distrato",$E934,0))),0,YEARFRAC(MAX($P$708*($B934+IF($R$17="Distrato",$I$38-1,0)),IF(AND($L$711=0,$P$708=0),"",$L$711-1),IF($R$17="Distrato",$E934,0)),MIN(AD$38,$D$19),$P$20))-SUM($P934:AC934)</f>
        <v>#VALUE!</v>
      </c>
      <c r="AE934" s="446" t="e">
        <f>IF(OR($B934="",MIN(AE$38,$D$19)&lt;MAX($P$708*($B934+IF($R$17="Distrato",$I$38-1,0)),IF(AND($L$711=0,$P$708=0),"",$L$711-1),IF($R$17="Distrato",$E934,0))),0,YEARFRAC(MAX($P$708*($B934+IF($R$17="Distrato",$I$38-1,0)),IF(AND($L$711=0,$P$708=0),"",$L$711-1),IF($R$17="Distrato",$E934,0)),MIN(AE$38,$D$19),$P$20))-SUM($P934:AD934)</f>
        <v>#VALUE!</v>
      </c>
      <c r="AF934" s="446" t="e">
        <f>IF(OR($B934="",MIN(AF$38,$D$19)&lt;MAX($P$708*($B934+IF($R$17="Distrato",$I$38-1,0)),IF(AND($L$711=0,$P$708=0),"",$L$711-1),IF($R$17="Distrato",$E934,0))),0,YEARFRAC(MAX($P$708*($B934+IF($R$17="Distrato",$I$38-1,0)),IF(AND($L$711=0,$P$708=0),"",$L$711-1),IF($R$17="Distrato",$E934,0)),MIN(AF$38,$D$19),$P$20))-SUM($P934:AE934)</f>
        <v>#VALUE!</v>
      </c>
      <c r="AG934" s="446" t="e">
        <f>IF(OR($B934="",MIN(AG$38,$D$19)&lt;MAX($P$708*($B934+IF($R$17="Distrato",$I$38-1,0)),IF(AND($L$711=0,$P$708=0),"",$L$711-1),IF($R$17="Distrato",$E934,0))),0,YEARFRAC(MAX($P$708*($B934+IF($R$17="Distrato",$I$38-1,0)),IF(AND($L$711=0,$P$708=0),"",$L$711-1),IF($R$17="Distrato",$E934,0)),MIN(AG$38,$D$19),$P$20))-SUM($P934:AF934)</f>
        <v>#VALUE!</v>
      </c>
      <c r="AH934" s="446" t="e">
        <f>IF(OR($B934="",MIN(AH$38,$D$19)&lt;MAX($P$708*($B934+IF($R$17="Distrato",$I$38-1,0)),IF(AND($L$711=0,$P$708=0),"",$L$711-1),IF($R$17="Distrato",$E934,0))),0,YEARFRAC(MAX($P$708*($B934+IF($R$17="Distrato",$I$38-1,0)),IF(AND($L$711=0,$P$708=0),"",$L$711-1),IF($R$17="Distrato",$E934,0)),MIN(AH$38,$D$19),$P$20))-SUM($P934:AG934)</f>
        <v>#VALUE!</v>
      </c>
      <c r="AI934" s="446" t="e">
        <f>IF(OR($B934="",MIN(AI$38,$D$19)&lt;MAX($P$708*($B934+IF($R$17="Distrato",$I$38-1,0)),IF(AND($L$711=0,$P$708=0),"",$L$711-1),IF($R$17="Distrato",$E934,0))),0,YEARFRAC(MAX($P$708*($B934+IF($R$17="Distrato",$I$38-1,0)),IF(AND($L$711=0,$P$708=0),"",$L$711-1),IF($R$17="Distrato",$E934,0)),MIN(AI$38,$D$19),$P$20))-SUM($P934:AH934)</f>
        <v>#VALUE!</v>
      </c>
      <c r="AJ934" s="446" t="e">
        <f>IF(OR($B934="",MIN(AJ$38,$D$19)&lt;MAX($P$708*($B934+IF($R$17="Distrato",$I$38-1,0)),IF(AND($L$711=0,$P$708=0),"",$L$711-1),IF($R$17="Distrato",$E934,0))),0,YEARFRAC(MAX($P$708*($B934+IF($R$17="Distrato",$I$38-1,0)),IF(AND($L$711=0,$P$708=0),"",$L$711-1),IF($R$17="Distrato",$E934,0)),MIN(AJ$38,$D$19),$P$20))-SUM($P934:AI934)</f>
        <v>#VALUE!</v>
      </c>
      <c r="AK934" s="446" t="e">
        <f>IF(OR($B934="",MIN(AK$38,$D$19)&lt;MAX($P$708*($B934+IF($R$17="Distrato",$I$38-1,0)),IF(AND($L$711=0,$P$708=0),"",$L$711-1),IF($R$17="Distrato",$E934,0))),0,YEARFRAC(MAX($P$708*($B934+IF($R$17="Distrato",$I$38-1,0)),IF(AND($L$711=0,$P$708=0),"",$L$711-1),IF($R$17="Distrato",$E934,0)),MIN(AK$38,$D$19),$P$20))-SUM($P934:AJ934)</f>
        <v>#VALUE!</v>
      </c>
      <c r="AL934" s="446" t="e">
        <f>IF(OR($B934="",MIN(AL$38,$D$19)&lt;MAX($P$708*($B934+IF($R$17="Distrato",$I$38-1,0)),IF(AND($L$711=0,$P$708=0),"",$L$711-1),IF($R$17="Distrato",$E934,0))),0,YEARFRAC(MAX($P$708*($B934+IF($R$17="Distrato",$I$38-1,0)),IF(AND($L$711=0,$P$708=0),"",$L$711-1),IF($R$17="Distrato",$E934,0)),MIN(AL$38,$D$19),$P$20))-SUM($P934:AK934)</f>
        <v>#VALUE!</v>
      </c>
      <c r="AM934" s="446" t="e">
        <f>IF(OR($B934="",MIN(AM$38,$D$19)&lt;MAX($P$708*($B934+IF($R$17="Distrato",$I$38-1,0)),IF(AND($L$711=0,$P$708=0),"",$L$711-1),IF($R$17="Distrato",$E934,0))),0,YEARFRAC(MAX($P$708*($B934+IF($R$17="Distrato",$I$38-1,0)),IF(AND($L$711=0,$P$708=0),"",$L$711-1),IF($R$17="Distrato",$E934,0)),MIN(AM$38,$D$19),$P$20))-SUM($P934:AL934)</f>
        <v>#VALUE!</v>
      </c>
      <c r="AN934" s="446" t="e">
        <f>IF(OR($B934="",MIN(AN$38,$D$19)&lt;MAX($P$708*($B934+IF($R$17="Distrato",$I$38-1,0)),IF(AND($L$711=0,$P$708=0),"",$L$711-1),IF($R$17="Distrato",$E934,0))),0,YEARFRAC(MAX($P$708*($B934+IF($R$17="Distrato",$I$38-1,0)),IF(AND($L$711=0,$P$708=0),"",$L$711-1),IF($R$17="Distrato",$E934,0)),MIN(AN$38,$D$19),$P$20))-SUM($P934:AM934)</f>
        <v>#VALUE!</v>
      </c>
      <c r="AO934" s="446" t="e">
        <f>IF(OR($B934="",MIN(AO$38,$D$19)&lt;MAX($P$708*($B934+IF($R$17="Distrato",$I$38-1,0)),IF(AND($L$711=0,$P$708=0),"",$L$711-1),IF($R$17="Distrato",$E934,0))),0,YEARFRAC(MAX($P$708*($B934+IF($R$17="Distrato",$I$38-1,0)),IF(AND($L$711=0,$P$708=0),"",$L$711-1),IF($R$17="Distrato",$E934,0)),MIN(AO$38,$D$19),$P$20))-SUM($P934:AN934)</f>
        <v>#VALUE!</v>
      </c>
      <c r="AP934" s="446" t="e">
        <f>IF(OR($B934="",MIN(AP$38,$D$19)&lt;MAX($P$708*($B934+IF($R$17="Distrato",$I$38-1,0)),IF(AND($L$711=0,$P$708=0),"",$L$711-1),IF($R$17="Distrato",$E934,0))),0,YEARFRAC(MAX($P$708*($B934+IF($R$17="Distrato",$I$38-1,0)),IF(AND($L$711=0,$P$708=0),"",$L$711-1),IF($R$17="Distrato",$E934,0)),MIN(AP$38,$D$19),$P$20))-SUM($P934:AO934)</f>
        <v>#VALUE!</v>
      </c>
      <c r="AQ934" s="446" t="e">
        <f>IF(OR($B934="",MIN(AQ$38,$D$19)&lt;MAX($P$708*($B934+IF($R$17="Distrato",$I$38-1,0)),IF(AND($L$711=0,$P$708=0),"",$L$711-1),IF($R$17="Distrato",$E934,0))),0,YEARFRAC(MAX($P$708*($B934+IF($R$17="Distrato",$I$38-1,0)),IF(AND($L$711=0,$P$708=0),"",$L$711-1),IF($R$17="Distrato",$E934,0)),MIN(AQ$38,$D$19),$P$20))-SUM($P934:AP934)</f>
        <v>#VALUE!</v>
      </c>
      <c r="AR934" s="446" t="e">
        <f>IF(OR($B934="",MIN(AR$38,$D$19)&lt;MAX($P$708*($B934+IF($R$17="Distrato",$I$38-1,0)),IF(AND($L$711=0,$P$708=0),"",$L$711-1),IF($R$17="Distrato",$E934,0))),0,YEARFRAC(MAX($P$708*($B934+IF($R$17="Distrato",$I$38-1,0)),IF(AND($L$711=0,$P$708=0),"",$L$711-1),IF($R$17="Distrato",$E934,0)),MIN(AR$38,$D$19),$P$20))-SUM($P934:AQ934)</f>
        <v>#VALUE!</v>
      </c>
      <c r="AS934" s="446" t="e">
        <f>IF(OR($B934="",MIN(AS$38,$D$19)&lt;MAX($P$708*($B934+IF($R$17="Distrato",$I$38-1,0)),IF(AND($L$711=0,$P$708=0),"",$L$711-1),IF($R$17="Distrato",$E934,0))),0,YEARFRAC(MAX($P$708*($B934+IF($R$17="Distrato",$I$38-1,0)),IF(AND($L$711=0,$P$708=0),"",$L$711-1),IF($R$17="Distrato",$E934,0)),MIN(AS$38,$D$19),$P$20))-SUM($P934:AR934)</f>
        <v>#VALUE!</v>
      </c>
      <c r="AT934" s="446" t="e">
        <f>IF(OR($B934="",MIN(AT$38,$D$19)&lt;MAX($P$708*($B934+IF($R$17="Distrato",$I$38-1,0)),IF(AND($L$711=0,$P$708=0),"",$L$711-1),IF($R$17="Distrato",$E934,0))),0,YEARFRAC(MAX($P$708*($B934+IF($R$17="Distrato",$I$38-1,0)),IF(AND($L$711=0,$P$708=0),"",$L$711-1),IF($R$17="Distrato",$E934,0)),MIN(AT$38,$D$19),$P$20))-SUM($P934:AS934)</f>
        <v>#VALUE!</v>
      </c>
      <c r="AU934" s="446" t="e">
        <f>IF(OR($B934="",MIN(AU$38,$D$19)&lt;MAX($P$708*($B934+IF($R$17="Distrato",$I$38-1,0)),IF(AND($L$711=0,$P$708=0),"",$L$711-1),IF($R$17="Distrato",$E934,0))),0,YEARFRAC(MAX($P$708*($B934+IF($R$17="Distrato",$I$38-1,0)),IF(AND($L$711=0,$P$708=0),"",$L$711-1),IF($R$17="Distrato",$E934,0)),MIN(AU$38,$D$19),$P$20))-SUM($P934:AT934)</f>
        <v>#VALUE!</v>
      </c>
      <c r="AV934" s="446" t="e">
        <f>IF(OR($B934="",MIN(AV$38,$D$19)&lt;MAX($P$708*($B934+IF($R$17="Distrato",$I$38-1,0)),IF(AND($L$711=0,$P$708=0),"",$L$711-1),IF($R$17="Distrato",$E934,0))),0,YEARFRAC(MAX($P$708*($B934+IF($R$17="Distrato",$I$38-1,0)),IF(AND($L$711=0,$P$708=0),"",$L$711-1),IF($R$17="Distrato",$E934,0)),MIN(AV$38,$D$19),$P$20))-SUM($P934:AU934)</f>
        <v>#VALUE!</v>
      </c>
      <c r="AW934" s="446" t="e">
        <f>IF(OR($B934="",MIN(AW$38,$D$19)&lt;MAX($P$708*($B934+IF($R$17="Distrato",$I$38-1,0)),IF(AND($L$711=0,$P$708=0),"",$L$711-1),IF($R$17="Distrato",$E934,0))),0,YEARFRAC(MAX($P$708*($B934+IF($R$17="Distrato",$I$38-1,0)),IF(AND($L$711=0,$P$708=0),"",$L$711-1),IF($R$17="Distrato",$E934,0)),MIN(AW$38,$D$19),$P$20))-SUM($P934:AV934)</f>
        <v>#VALUE!</v>
      </c>
      <c r="AX934" s="446" t="e">
        <f>IF(OR($B934="",MIN(AX$38,$D$19)&lt;MAX($P$708*($B934+IF($R$17="Distrato",$I$38-1,0)),IF(AND($L$711=0,$P$708=0),"",$L$711-1),IF($R$17="Distrato",$E934,0))),0,YEARFRAC(MAX($P$708*($B934+IF($R$17="Distrato",$I$38-1,0)),IF(AND($L$711=0,$P$708=0),"",$L$711-1),IF($R$17="Distrato",$E934,0)),MIN(AX$38,$D$19),$P$20))-SUM($P934:AW934)</f>
        <v>#VALUE!</v>
      </c>
      <c r="AY934" s="446" t="e">
        <f>IF(OR($B934="",MIN(AY$38,$D$19)&lt;MAX($P$708*($B934+IF($R$17="Distrato",$I$38-1,0)),IF(AND($L$711=0,$P$708=0),"",$L$711-1),IF($R$17="Distrato",$E934,0))),0,YEARFRAC(MAX($P$708*($B934+IF($R$17="Distrato",$I$38-1,0)),IF(AND($L$711=0,$P$708=0),"",$L$711-1),IF($R$17="Distrato",$E934,0)),MIN(AY$38,$D$19),$P$20))-SUM($P934:AX934)</f>
        <v>#VALUE!</v>
      </c>
      <c r="AZ934" s="446" t="e">
        <f>IF(OR($B934="",MIN(AZ$38,$D$19)&lt;MAX($P$708*($B934+IF($R$17="Distrato",$I$38-1,0)),IF(AND($L$711=0,$P$708=0),"",$L$711-1),IF($R$17="Distrato",$E934,0))),0,YEARFRAC(MAX($P$708*($B934+IF($R$17="Distrato",$I$38-1,0)),IF(AND($L$711=0,$P$708=0),"",$L$711-1),IF($R$17="Distrato",$E934,0)),MIN(AZ$38,$D$19),$P$20))-SUM($P934:AY934)</f>
        <v>#VALUE!</v>
      </c>
      <c r="BA934" s="446" t="e">
        <f>IF(OR($B934="",MIN(BA$38,$D$19)&lt;MAX($P$708*($B934+IF($R$17="Distrato",$I$38-1,0)),IF(AND($L$711=0,$P$708=0),"",$L$711-1),IF($R$17="Distrato",$E934,0))),0,YEARFRAC(MAX($P$708*($B934+IF($R$17="Distrato",$I$38-1,0)),IF(AND($L$711=0,$P$708=0),"",$L$711-1),IF($R$17="Distrato",$E934,0)),MIN(BA$38,$D$19),$P$20))-SUM($P934:AZ934)</f>
        <v>#VALUE!</v>
      </c>
      <c r="BB934" s="447"/>
    </row>
    <row r="935" spans="1:54" s="446" customFormat="1" ht="11.25" hidden="1" customHeight="1" x14ac:dyDescent="0.2">
      <c r="A935" s="235"/>
      <c r="B935" s="236"/>
      <c r="C935" s="29" t="str">
        <f>IF(B935="","",IF($L$709=$BL$25,VLOOKUP(DATE(YEAR($D$19),MONTH($D$19)-1,1),ÍNDICES!$A:$DE,HLOOKUP($BL$25,ÍNDICES!$B$3:$T$4,2)+11)-VLOOKUP(B935,ÍNDICES!$A:$DE,HLOOKUP($BL$25,ÍNDICES!$B$3:$T$4,2)+11)+1%,IF(C$712=$W$26,$J$35,IF(ISERROR(IF(B935&gt;$D$19,1,VLOOKUP(DATE(YEAR(B935),MONTH(B935)+IF($C$709=$S$23,1,0),1),ÍNDICES!$A:$DE,$Z$709+1))),"",IF(B935&gt;$D$19,1,VLOOKUP(DATE(YEAR(B935),MONTH(B935)+IF($C$709=$S$23,1,0),1),ÍNDICES!$A:$DE,$Z$709+1))))))</f>
        <v/>
      </c>
      <c r="D935" s="155"/>
      <c r="E935" s="88"/>
      <c r="F935" s="88"/>
      <c r="G935" s="88"/>
      <c r="H935" s="118"/>
      <c r="I935" s="182">
        <f t="shared" si="136"/>
        <v>0</v>
      </c>
      <c r="J935" s="20">
        <f t="shared" ca="1" si="137"/>
        <v>0</v>
      </c>
      <c r="K935" s="5">
        <f t="shared" ca="1" si="138"/>
        <v>0</v>
      </c>
      <c r="L935" s="61">
        <f t="shared" ca="1" si="139"/>
        <v>0</v>
      </c>
      <c r="M935" s="64">
        <f t="shared" si="140"/>
        <v>0</v>
      </c>
      <c r="N935" s="151"/>
      <c r="O935" s="5">
        <f t="shared" ca="1" si="141"/>
        <v>0</v>
      </c>
      <c r="P935" s="446" t="e">
        <f t="shared" si="142"/>
        <v>#VALUE!</v>
      </c>
      <c r="Q935" s="446" t="e">
        <f>IF(OR($B935="",MIN(Q$38,$D$19)&lt;MAX($P$708*($B935+IF($R$17="Distrato",$I$38-1,0)),IF(AND($L$711=0,$P$708=0),"",$L$711-1),IF($R$17="Distrato",$E935,0))),0,YEARFRAC(MAX($P$708*($B935+IF($R$17="Distrato",$I$38-1,0)),IF(AND($L$711=0,$P$708=0),"",$L$711-1),IF($R$17="Distrato",$E935,0)),MIN(Q$38,$D$19),$P$20))-SUM($P935:P935)</f>
        <v>#VALUE!</v>
      </c>
      <c r="R935" s="446" t="e">
        <f>IF(OR($B935="",MIN(R$38,$D$19)&lt;MAX($P$708*($B935+IF($R$17="Distrato",$I$38-1,0)),IF(AND($L$711=0,$P$708=0),"",$L$711-1),IF($R$17="Distrato",$E935,0))),0,YEARFRAC(MAX($P$708*($B935+IF($R$17="Distrato",$I$38-1,0)),IF(AND($L$711=0,$P$708=0),"",$L$711-1),IF($R$17="Distrato",$E935,0)),MIN(R$38,$D$19),$P$20))-SUM($P935:Q935)</f>
        <v>#VALUE!</v>
      </c>
      <c r="S935" s="446" t="e">
        <f>IF(OR($B935="",MIN(S$38,$D$19)&lt;MAX($P$708*($B935+IF($R$17="Distrato",$I$38-1,0)),IF(AND($L$711=0,$P$708=0),"",$L$711-1),IF($R$17="Distrato",$E935,0))),0,YEARFRAC(MAX($P$708*($B935+IF($R$17="Distrato",$I$38-1,0)),IF(AND($L$711=0,$P$708=0),"",$L$711-1),IF($R$17="Distrato",$E935,0)),MIN(S$38,$D$19),$P$20))-SUM($P935:R935)</f>
        <v>#VALUE!</v>
      </c>
      <c r="T935" s="446" t="e">
        <f>IF(OR($B935="",MIN(T$38,$D$19)&lt;MAX($P$708*($B935+IF($R$17="Distrato",$I$38-1,0)),IF(AND($L$711=0,$P$708=0),"",$L$711-1),IF($R$17="Distrato",$E935,0))),0,YEARFRAC(MAX($P$708*($B935+IF($R$17="Distrato",$I$38-1,0)),IF(AND($L$711=0,$P$708=0),"",$L$711-1),IF($R$17="Distrato",$E935,0)),MIN(T$38,$D$19),$P$20))-SUM($P935:S935)</f>
        <v>#VALUE!</v>
      </c>
      <c r="U935" s="446" t="e">
        <f>IF(OR($B935="",MIN(U$38,$D$19)&lt;MAX($P$708*($B935+IF($R$17="Distrato",$I$38-1,0)),IF(AND($L$711=0,$P$708=0),"",$L$711-1),IF($R$17="Distrato",$E935,0))),0,YEARFRAC(MAX($P$708*($B935+IF($R$17="Distrato",$I$38-1,0)),IF(AND($L$711=0,$P$708=0),"",$L$711-1),IF($R$17="Distrato",$E935,0)),MIN(U$38,$D$19),$P$20))-SUM($P935:T935)</f>
        <v>#VALUE!</v>
      </c>
      <c r="V935" s="446" t="e">
        <f>IF(OR($B935="",MIN(V$38,$D$19)&lt;MAX($P$708*($B935+IF($R$17="Distrato",$I$38-1,0)),IF(AND($L$711=0,$P$708=0),"",$L$711-1),IF($R$17="Distrato",$E935,0))),0,YEARFRAC(MAX($P$708*($B935+IF($R$17="Distrato",$I$38-1,0)),IF(AND($L$711=0,$P$708=0),"",$L$711-1),IF($R$17="Distrato",$E935,0)),MIN(V$38,$D$19),$P$20))-SUM($P935:U935)</f>
        <v>#VALUE!</v>
      </c>
      <c r="W935" s="446" t="e">
        <f>IF(OR($B935="",MIN(W$38,$D$19)&lt;MAX($P$708*($B935+IF($R$17="Distrato",$I$38-1,0)),IF(AND($L$711=0,$P$708=0),"",$L$711-1),IF($R$17="Distrato",$E935,0))),0,YEARFRAC(MAX($P$708*($B935+IF($R$17="Distrato",$I$38-1,0)),IF(AND($L$711=0,$P$708=0),"",$L$711-1),IF($R$17="Distrato",$E935,0)),MIN(W$38,$D$19),$P$20))-SUM($P935:V935)</f>
        <v>#VALUE!</v>
      </c>
      <c r="X935" s="446" t="e">
        <f>IF(OR($B935="",MIN(X$38,$D$19)&lt;MAX($P$708*($B935+IF($R$17="Distrato",$I$38-1,0)),IF(AND($L$711=0,$P$708=0),"",$L$711-1),IF($R$17="Distrato",$E935,0))),0,YEARFRAC(MAX($P$708*($B935+IF($R$17="Distrato",$I$38-1,0)),IF(AND($L$711=0,$P$708=0),"",$L$711-1),IF($R$17="Distrato",$E935,0)),MIN(X$38,$D$19),$P$20))-SUM($P935:W935)</f>
        <v>#VALUE!</v>
      </c>
      <c r="Y935" s="446" t="e">
        <f>IF(OR($B935="",MIN(Y$38,$D$19)&lt;MAX($P$708*($B935+IF($R$17="Distrato",$I$38-1,0)),IF(AND($L$711=0,$P$708=0),"",$L$711-1),IF($R$17="Distrato",$E935,0))),0,YEARFRAC(MAX($P$708*($B935+IF($R$17="Distrato",$I$38-1,0)),IF(AND($L$711=0,$P$708=0),"",$L$711-1),IF($R$17="Distrato",$E935,0)),MIN(Y$38,$D$19),$P$20))-SUM($P935:X935)</f>
        <v>#VALUE!</v>
      </c>
      <c r="Z935" s="446" t="e">
        <f>IF(OR($B935="",MIN(Z$38,$D$19)&lt;MAX($P$708*($B935+IF($R$17="Distrato",$I$38-1,0)),IF(AND($L$711=0,$P$708=0),"",$L$711-1),IF($R$17="Distrato",$E935,0))),0,YEARFRAC(MAX($P$708*($B935+IF($R$17="Distrato",$I$38-1,0)),IF(AND($L$711=0,$P$708=0),"",$L$711-1),IF($R$17="Distrato",$E935,0)),MIN(Z$38,$D$19),$P$20))-SUM($P935:Y935)</f>
        <v>#VALUE!</v>
      </c>
      <c r="AA935" s="446" t="e">
        <f>IF(OR($B935="",MIN(AA$38,$D$19)&lt;MAX($P$708*($B935+IF($R$17="Distrato",$I$38-1,0)),IF(AND($L$711=0,$P$708=0),"",$L$711-1),IF($R$17="Distrato",$E935,0))),0,YEARFRAC(MAX($P$708*($B935+IF($R$17="Distrato",$I$38-1,0)),IF(AND($L$711=0,$P$708=0),"",$L$711-1),IF($R$17="Distrato",$E935,0)),MIN(AA$38,$D$19),$P$20))-SUM($P935:Z935)</f>
        <v>#VALUE!</v>
      </c>
      <c r="AB935" s="446" t="e">
        <f>IF(OR($B935="",MIN(AB$38,$D$19)&lt;MAX($P$708*($B935+IF($R$17="Distrato",$I$38-1,0)),IF(AND($L$711=0,$P$708=0),"",$L$711-1),IF($R$17="Distrato",$E935,0))),0,YEARFRAC(MAX($P$708*($B935+IF($R$17="Distrato",$I$38-1,0)),IF(AND($L$711=0,$P$708=0),"",$L$711-1),IF($R$17="Distrato",$E935,0)),MIN(AB$38,$D$19),$P$20))-SUM($P935:AA935)</f>
        <v>#VALUE!</v>
      </c>
      <c r="AC935" s="446" t="e">
        <f>IF(OR($B935="",MIN(AC$38,$D$19)&lt;MAX($P$708*($B935+IF($R$17="Distrato",$I$38-1,0)),IF(AND($L$711=0,$P$708=0),"",$L$711-1),IF($R$17="Distrato",$E935,0))),0,YEARFRAC(MAX($P$708*($B935+IF($R$17="Distrato",$I$38-1,0)),IF(AND($L$711=0,$P$708=0),"",$L$711-1),IF($R$17="Distrato",$E935,0)),MIN(AC$38,$D$19),$P$20))-SUM($P935:AB935)</f>
        <v>#VALUE!</v>
      </c>
      <c r="AD935" s="446" t="e">
        <f>IF(OR($B935="",MIN(AD$38,$D$19)&lt;MAX($P$708*($B935+IF($R$17="Distrato",$I$38-1,0)),IF(AND($L$711=0,$P$708=0),"",$L$711-1),IF($R$17="Distrato",$E935,0))),0,YEARFRAC(MAX($P$708*($B935+IF($R$17="Distrato",$I$38-1,0)),IF(AND($L$711=0,$P$708=0),"",$L$711-1),IF($R$17="Distrato",$E935,0)),MIN(AD$38,$D$19),$P$20))-SUM($P935:AC935)</f>
        <v>#VALUE!</v>
      </c>
      <c r="AE935" s="446" t="e">
        <f>IF(OR($B935="",MIN(AE$38,$D$19)&lt;MAX($P$708*($B935+IF($R$17="Distrato",$I$38-1,0)),IF(AND($L$711=0,$P$708=0),"",$L$711-1),IF($R$17="Distrato",$E935,0))),0,YEARFRAC(MAX($P$708*($B935+IF($R$17="Distrato",$I$38-1,0)),IF(AND($L$711=0,$P$708=0),"",$L$711-1),IF($R$17="Distrato",$E935,0)),MIN(AE$38,$D$19),$P$20))-SUM($P935:AD935)</f>
        <v>#VALUE!</v>
      </c>
      <c r="AF935" s="446" t="e">
        <f>IF(OR($B935="",MIN(AF$38,$D$19)&lt;MAX($P$708*($B935+IF($R$17="Distrato",$I$38-1,0)),IF(AND($L$711=0,$P$708=0),"",$L$711-1),IF($R$17="Distrato",$E935,0))),0,YEARFRAC(MAX($P$708*($B935+IF($R$17="Distrato",$I$38-1,0)),IF(AND($L$711=0,$P$708=0),"",$L$711-1),IF($R$17="Distrato",$E935,0)),MIN(AF$38,$D$19),$P$20))-SUM($P935:AE935)</f>
        <v>#VALUE!</v>
      </c>
      <c r="AG935" s="446" t="e">
        <f>IF(OR($B935="",MIN(AG$38,$D$19)&lt;MAX($P$708*($B935+IF($R$17="Distrato",$I$38-1,0)),IF(AND($L$711=0,$P$708=0),"",$L$711-1),IF($R$17="Distrato",$E935,0))),0,YEARFRAC(MAX($P$708*($B935+IF($R$17="Distrato",$I$38-1,0)),IF(AND($L$711=0,$P$708=0),"",$L$711-1),IF($R$17="Distrato",$E935,0)),MIN(AG$38,$D$19),$P$20))-SUM($P935:AF935)</f>
        <v>#VALUE!</v>
      </c>
      <c r="AH935" s="446" t="e">
        <f>IF(OR($B935="",MIN(AH$38,$D$19)&lt;MAX($P$708*($B935+IF($R$17="Distrato",$I$38-1,0)),IF(AND($L$711=0,$P$708=0),"",$L$711-1),IF($R$17="Distrato",$E935,0))),0,YEARFRAC(MAX($P$708*($B935+IF($R$17="Distrato",$I$38-1,0)),IF(AND($L$711=0,$P$708=0),"",$L$711-1),IF($R$17="Distrato",$E935,0)),MIN(AH$38,$D$19),$P$20))-SUM($P935:AG935)</f>
        <v>#VALUE!</v>
      </c>
      <c r="AI935" s="446" t="e">
        <f>IF(OR($B935="",MIN(AI$38,$D$19)&lt;MAX($P$708*($B935+IF($R$17="Distrato",$I$38-1,0)),IF(AND($L$711=0,$P$708=0),"",$L$711-1),IF($R$17="Distrato",$E935,0))),0,YEARFRAC(MAX($P$708*($B935+IF($R$17="Distrato",$I$38-1,0)),IF(AND($L$711=0,$P$708=0),"",$L$711-1),IF($R$17="Distrato",$E935,0)),MIN(AI$38,$D$19),$P$20))-SUM($P935:AH935)</f>
        <v>#VALUE!</v>
      </c>
      <c r="AJ935" s="446" t="e">
        <f>IF(OR($B935="",MIN(AJ$38,$D$19)&lt;MAX($P$708*($B935+IF($R$17="Distrato",$I$38-1,0)),IF(AND($L$711=0,$P$708=0),"",$L$711-1),IF($R$17="Distrato",$E935,0))),0,YEARFRAC(MAX($P$708*($B935+IF($R$17="Distrato",$I$38-1,0)),IF(AND($L$711=0,$P$708=0),"",$L$711-1),IF($R$17="Distrato",$E935,0)),MIN(AJ$38,$D$19),$P$20))-SUM($P935:AI935)</f>
        <v>#VALUE!</v>
      </c>
      <c r="AK935" s="446" t="e">
        <f>IF(OR($B935="",MIN(AK$38,$D$19)&lt;MAX($P$708*($B935+IF($R$17="Distrato",$I$38-1,0)),IF(AND($L$711=0,$P$708=0),"",$L$711-1),IF($R$17="Distrato",$E935,0))),0,YEARFRAC(MAX($P$708*($B935+IF($R$17="Distrato",$I$38-1,0)),IF(AND($L$711=0,$P$708=0),"",$L$711-1),IF($R$17="Distrato",$E935,0)),MIN(AK$38,$D$19),$P$20))-SUM($P935:AJ935)</f>
        <v>#VALUE!</v>
      </c>
      <c r="AL935" s="446" t="e">
        <f>IF(OR($B935="",MIN(AL$38,$D$19)&lt;MAX($P$708*($B935+IF($R$17="Distrato",$I$38-1,0)),IF(AND($L$711=0,$P$708=0),"",$L$711-1),IF($R$17="Distrato",$E935,0))),0,YEARFRAC(MAX($P$708*($B935+IF($R$17="Distrato",$I$38-1,0)),IF(AND($L$711=0,$P$708=0),"",$L$711-1),IF($R$17="Distrato",$E935,0)),MIN(AL$38,$D$19),$P$20))-SUM($P935:AK935)</f>
        <v>#VALUE!</v>
      </c>
      <c r="AM935" s="446" t="e">
        <f>IF(OR($B935="",MIN(AM$38,$D$19)&lt;MAX($P$708*($B935+IF($R$17="Distrato",$I$38-1,0)),IF(AND($L$711=0,$P$708=0),"",$L$711-1),IF($R$17="Distrato",$E935,0))),0,YEARFRAC(MAX($P$708*($B935+IF($R$17="Distrato",$I$38-1,0)),IF(AND($L$711=0,$P$708=0),"",$L$711-1),IF($R$17="Distrato",$E935,0)),MIN(AM$38,$D$19),$P$20))-SUM($P935:AL935)</f>
        <v>#VALUE!</v>
      </c>
      <c r="AN935" s="446" t="e">
        <f>IF(OR($B935="",MIN(AN$38,$D$19)&lt;MAX($P$708*($B935+IF($R$17="Distrato",$I$38-1,0)),IF(AND($L$711=0,$P$708=0),"",$L$711-1),IF($R$17="Distrato",$E935,0))),0,YEARFRAC(MAX($P$708*($B935+IF($R$17="Distrato",$I$38-1,0)),IF(AND($L$711=0,$P$708=0),"",$L$711-1),IF($R$17="Distrato",$E935,0)),MIN(AN$38,$D$19),$P$20))-SUM($P935:AM935)</f>
        <v>#VALUE!</v>
      </c>
      <c r="AO935" s="446" t="e">
        <f>IF(OR($B935="",MIN(AO$38,$D$19)&lt;MAX($P$708*($B935+IF($R$17="Distrato",$I$38-1,0)),IF(AND($L$711=0,$P$708=0),"",$L$711-1),IF($R$17="Distrato",$E935,0))),0,YEARFRAC(MAX($P$708*($B935+IF($R$17="Distrato",$I$38-1,0)),IF(AND($L$711=0,$P$708=0),"",$L$711-1),IF($R$17="Distrato",$E935,0)),MIN(AO$38,$D$19),$P$20))-SUM($P935:AN935)</f>
        <v>#VALUE!</v>
      </c>
      <c r="AP935" s="446" t="e">
        <f>IF(OR($B935="",MIN(AP$38,$D$19)&lt;MAX($P$708*($B935+IF($R$17="Distrato",$I$38-1,0)),IF(AND($L$711=0,$P$708=0),"",$L$711-1),IF($R$17="Distrato",$E935,0))),0,YEARFRAC(MAX($P$708*($B935+IF($R$17="Distrato",$I$38-1,0)),IF(AND($L$711=0,$P$708=0),"",$L$711-1),IF($R$17="Distrato",$E935,0)),MIN(AP$38,$D$19),$P$20))-SUM($P935:AO935)</f>
        <v>#VALUE!</v>
      </c>
      <c r="AQ935" s="446" t="e">
        <f>IF(OR($B935="",MIN(AQ$38,$D$19)&lt;MAX($P$708*($B935+IF($R$17="Distrato",$I$38-1,0)),IF(AND($L$711=0,$P$708=0),"",$L$711-1),IF($R$17="Distrato",$E935,0))),0,YEARFRAC(MAX($P$708*($B935+IF($R$17="Distrato",$I$38-1,0)),IF(AND($L$711=0,$P$708=0),"",$L$711-1),IF($R$17="Distrato",$E935,0)),MIN(AQ$38,$D$19),$P$20))-SUM($P935:AP935)</f>
        <v>#VALUE!</v>
      </c>
      <c r="AR935" s="446" t="e">
        <f>IF(OR($B935="",MIN(AR$38,$D$19)&lt;MAX($P$708*($B935+IF($R$17="Distrato",$I$38-1,0)),IF(AND($L$711=0,$P$708=0),"",$L$711-1),IF($R$17="Distrato",$E935,0))),0,YEARFRAC(MAX($P$708*($B935+IF($R$17="Distrato",$I$38-1,0)),IF(AND($L$711=0,$P$708=0),"",$L$711-1),IF($R$17="Distrato",$E935,0)),MIN(AR$38,$D$19),$P$20))-SUM($P935:AQ935)</f>
        <v>#VALUE!</v>
      </c>
      <c r="AS935" s="446" t="e">
        <f>IF(OR($B935="",MIN(AS$38,$D$19)&lt;MAX($P$708*($B935+IF($R$17="Distrato",$I$38-1,0)),IF(AND($L$711=0,$P$708=0),"",$L$711-1),IF($R$17="Distrato",$E935,0))),0,YEARFRAC(MAX($P$708*($B935+IF($R$17="Distrato",$I$38-1,0)),IF(AND($L$711=0,$P$708=0),"",$L$711-1),IF($R$17="Distrato",$E935,0)),MIN(AS$38,$D$19),$P$20))-SUM($P935:AR935)</f>
        <v>#VALUE!</v>
      </c>
      <c r="AT935" s="446" t="e">
        <f>IF(OR($B935="",MIN(AT$38,$D$19)&lt;MAX($P$708*($B935+IF($R$17="Distrato",$I$38-1,0)),IF(AND($L$711=0,$P$708=0),"",$L$711-1),IF($R$17="Distrato",$E935,0))),0,YEARFRAC(MAX($P$708*($B935+IF($R$17="Distrato",$I$38-1,0)),IF(AND($L$711=0,$P$708=0),"",$L$711-1),IF($R$17="Distrato",$E935,0)),MIN(AT$38,$D$19),$P$20))-SUM($P935:AS935)</f>
        <v>#VALUE!</v>
      </c>
      <c r="AU935" s="446" t="e">
        <f>IF(OR($B935="",MIN(AU$38,$D$19)&lt;MAX($P$708*($B935+IF($R$17="Distrato",$I$38-1,0)),IF(AND($L$711=0,$P$708=0),"",$L$711-1),IF($R$17="Distrato",$E935,0))),0,YEARFRAC(MAX($P$708*($B935+IF($R$17="Distrato",$I$38-1,0)),IF(AND($L$711=0,$P$708=0),"",$L$711-1),IF($R$17="Distrato",$E935,0)),MIN(AU$38,$D$19),$P$20))-SUM($P935:AT935)</f>
        <v>#VALUE!</v>
      </c>
      <c r="AV935" s="446" t="e">
        <f>IF(OR($B935="",MIN(AV$38,$D$19)&lt;MAX($P$708*($B935+IF($R$17="Distrato",$I$38-1,0)),IF(AND($L$711=0,$P$708=0),"",$L$711-1),IF($R$17="Distrato",$E935,0))),0,YEARFRAC(MAX($P$708*($B935+IF($R$17="Distrato",$I$38-1,0)),IF(AND($L$711=0,$P$708=0),"",$L$711-1),IF($R$17="Distrato",$E935,0)),MIN(AV$38,$D$19),$P$20))-SUM($P935:AU935)</f>
        <v>#VALUE!</v>
      </c>
      <c r="AW935" s="446" t="e">
        <f>IF(OR($B935="",MIN(AW$38,$D$19)&lt;MAX($P$708*($B935+IF($R$17="Distrato",$I$38-1,0)),IF(AND($L$711=0,$P$708=0),"",$L$711-1),IF($R$17="Distrato",$E935,0))),0,YEARFRAC(MAX($P$708*($B935+IF($R$17="Distrato",$I$38-1,0)),IF(AND($L$711=0,$P$708=0),"",$L$711-1),IF($R$17="Distrato",$E935,0)),MIN(AW$38,$D$19),$P$20))-SUM($P935:AV935)</f>
        <v>#VALUE!</v>
      </c>
      <c r="AX935" s="446" t="e">
        <f>IF(OR($B935="",MIN(AX$38,$D$19)&lt;MAX($P$708*($B935+IF($R$17="Distrato",$I$38-1,0)),IF(AND($L$711=0,$P$708=0),"",$L$711-1),IF($R$17="Distrato",$E935,0))),0,YEARFRAC(MAX($P$708*($B935+IF($R$17="Distrato",$I$38-1,0)),IF(AND($L$711=0,$P$708=0),"",$L$711-1),IF($R$17="Distrato",$E935,0)),MIN(AX$38,$D$19),$P$20))-SUM($P935:AW935)</f>
        <v>#VALUE!</v>
      </c>
      <c r="AY935" s="446" t="e">
        <f>IF(OR($B935="",MIN(AY$38,$D$19)&lt;MAX($P$708*($B935+IF($R$17="Distrato",$I$38-1,0)),IF(AND($L$711=0,$P$708=0),"",$L$711-1),IF($R$17="Distrato",$E935,0))),0,YEARFRAC(MAX($P$708*($B935+IF($R$17="Distrato",$I$38-1,0)),IF(AND($L$711=0,$P$708=0),"",$L$711-1),IF($R$17="Distrato",$E935,0)),MIN(AY$38,$D$19),$P$20))-SUM($P935:AX935)</f>
        <v>#VALUE!</v>
      </c>
      <c r="AZ935" s="446" t="e">
        <f>IF(OR($B935="",MIN(AZ$38,$D$19)&lt;MAX($P$708*($B935+IF($R$17="Distrato",$I$38-1,0)),IF(AND($L$711=0,$P$708=0),"",$L$711-1),IF($R$17="Distrato",$E935,0))),0,YEARFRAC(MAX($P$708*($B935+IF($R$17="Distrato",$I$38-1,0)),IF(AND($L$711=0,$P$708=0),"",$L$711-1),IF($R$17="Distrato",$E935,0)),MIN(AZ$38,$D$19),$P$20))-SUM($P935:AY935)</f>
        <v>#VALUE!</v>
      </c>
      <c r="BA935" s="446" t="e">
        <f>IF(OR($B935="",MIN(BA$38,$D$19)&lt;MAX($P$708*($B935+IF($R$17="Distrato",$I$38-1,0)),IF(AND($L$711=0,$P$708=0),"",$L$711-1),IF($R$17="Distrato",$E935,0))),0,YEARFRAC(MAX($P$708*($B935+IF($R$17="Distrato",$I$38-1,0)),IF(AND($L$711=0,$P$708=0),"",$L$711-1),IF($R$17="Distrato",$E935,0)),MIN(BA$38,$D$19),$P$20))-SUM($P935:AZ935)</f>
        <v>#VALUE!</v>
      </c>
      <c r="BB935" s="447"/>
    </row>
    <row r="936" spans="1:54" s="446" customFormat="1" ht="11.25" hidden="1" customHeight="1" x14ac:dyDescent="0.2">
      <c r="A936" s="235"/>
      <c r="B936" s="236"/>
      <c r="C936" s="29" t="str">
        <f>IF(B936="","",IF($L$709=$BL$25,VLOOKUP(DATE(YEAR($D$19),MONTH($D$19)-1,1),ÍNDICES!$A:$DE,HLOOKUP($BL$25,ÍNDICES!$B$3:$T$4,2)+11)-VLOOKUP(B936,ÍNDICES!$A:$DE,HLOOKUP($BL$25,ÍNDICES!$B$3:$T$4,2)+11)+1%,IF(C$712=$W$26,$J$35,IF(ISERROR(IF(B936&gt;$D$19,1,VLOOKUP(DATE(YEAR(B936),MONTH(B936)+IF($C$709=$S$23,1,0),1),ÍNDICES!$A:$DE,$Z$709+1))),"",IF(B936&gt;$D$19,1,VLOOKUP(DATE(YEAR(B936),MONTH(B936)+IF($C$709=$S$23,1,0),1),ÍNDICES!$A:$DE,$Z$709+1))))))</f>
        <v/>
      </c>
      <c r="D936" s="155"/>
      <c r="E936" s="88"/>
      <c r="F936" s="88"/>
      <c r="G936" s="88"/>
      <c r="H936" s="118"/>
      <c r="I936" s="182">
        <f t="shared" si="136"/>
        <v>0</v>
      </c>
      <c r="J936" s="20">
        <f t="shared" ca="1" si="137"/>
        <v>0</v>
      </c>
      <c r="K936" s="5">
        <f t="shared" ca="1" si="138"/>
        <v>0</v>
      </c>
      <c r="L936" s="61">
        <f t="shared" ca="1" si="139"/>
        <v>0</v>
      </c>
      <c r="M936" s="64">
        <f t="shared" si="140"/>
        <v>0</v>
      </c>
      <c r="N936" s="151"/>
      <c r="O936" s="5">
        <f t="shared" ca="1" si="141"/>
        <v>0</v>
      </c>
      <c r="P936" s="446" t="e">
        <f t="shared" si="142"/>
        <v>#VALUE!</v>
      </c>
      <c r="Q936" s="446" t="e">
        <f>IF(OR($B936="",MIN(Q$38,$D$19)&lt;MAX($P$708*($B936+IF($R$17="Distrato",$I$38-1,0)),IF(AND($L$711=0,$P$708=0),"",$L$711-1),IF($R$17="Distrato",$E936,0))),0,YEARFRAC(MAX($P$708*($B936+IF($R$17="Distrato",$I$38-1,0)),IF(AND($L$711=0,$P$708=0),"",$L$711-1),IF($R$17="Distrato",$E936,0)),MIN(Q$38,$D$19),$P$20))-SUM($P936:P936)</f>
        <v>#VALUE!</v>
      </c>
      <c r="R936" s="446" t="e">
        <f>IF(OR($B936="",MIN(R$38,$D$19)&lt;MAX($P$708*($B936+IF($R$17="Distrato",$I$38-1,0)),IF(AND($L$711=0,$P$708=0),"",$L$711-1),IF($R$17="Distrato",$E936,0))),0,YEARFRAC(MAX($P$708*($B936+IF($R$17="Distrato",$I$38-1,0)),IF(AND($L$711=0,$P$708=0),"",$L$711-1),IF($R$17="Distrato",$E936,0)),MIN(R$38,$D$19),$P$20))-SUM($P936:Q936)</f>
        <v>#VALUE!</v>
      </c>
      <c r="S936" s="446" t="e">
        <f>IF(OR($B936="",MIN(S$38,$D$19)&lt;MAX($P$708*($B936+IF($R$17="Distrato",$I$38-1,0)),IF(AND($L$711=0,$P$708=0),"",$L$711-1),IF($R$17="Distrato",$E936,0))),0,YEARFRAC(MAX($P$708*($B936+IF($R$17="Distrato",$I$38-1,0)),IF(AND($L$711=0,$P$708=0),"",$L$711-1),IF($R$17="Distrato",$E936,0)),MIN(S$38,$D$19),$P$20))-SUM($P936:R936)</f>
        <v>#VALUE!</v>
      </c>
      <c r="T936" s="446" t="e">
        <f>IF(OR($B936="",MIN(T$38,$D$19)&lt;MAX($P$708*($B936+IF($R$17="Distrato",$I$38-1,0)),IF(AND($L$711=0,$P$708=0),"",$L$711-1),IF($R$17="Distrato",$E936,0))),0,YEARFRAC(MAX($P$708*($B936+IF($R$17="Distrato",$I$38-1,0)),IF(AND($L$711=0,$P$708=0),"",$L$711-1),IF($R$17="Distrato",$E936,0)),MIN(T$38,$D$19),$P$20))-SUM($P936:S936)</f>
        <v>#VALUE!</v>
      </c>
      <c r="U936" s="446" t="e">
        <f>IF(OR($B936="",MIN(U$38,$D$19)&lt;MAX($P$708*($B936+IF($R$17="Distrato",$I$38-1,0)),IF(AND($L$711=0,$P$708=0),"",$L$711-1),IF($R$17="Distrato",$E936,0))),0,YEARFRAC(MAX($P$708*($B936+IF($R$17="Distrato",$I$38-1,0)),IF(AND($L$711=0,$P$708=0),"",$L$711-1),IF($R$17="Distrato",$E936,0)),MIN(U$38,$D$19),$P$20))-SUM($P936:T936)</f>
        <v>#VALUE!</v>
      </c>
      <c r="V936" s="446" t="e">
        <f>IF(OR($B936="",MIN(V$38,$D$19)&lt;MAX($P$708*($B936+IF($R$17="Distrato",$I$38-1,0)),IF(AND($L$711=0,$P$708=0),"",$L$711-1),IF($R$17="Distrato",$E936,0))),0,YEARFRAC(MAX($P$708*($B936+IF($R$17="Distrato",$I$38-1,0)),IF(AND($L$711=0,$P$708=0),"",$L$711-1),IF($R$17="Distrato",$E936,0)),MIN(V$38,$D$19),$P$20))-SUM($P936:U936)</f>
        <v>#VALUE!</v>
      </c>
      <c r="W936" s="446" t="e">
        <f>IF(OR($B936="",MIN(W$38,$D$19)&lt;MAX($P$708*($B936+IF($R$17="Distrato",$I$38-1,0)),IF(AND($L$711=0,$P$708=0),"",$L$711-1),IF($R$17="Distrato",$E936,0))),0,YEARFRAC(MAX($P$708*($B936+IF($R$17="Distrato",$I$38-1,0)),IF(AND($L$711=0,$P$708=0),"",$L$711-1),IF($R$17="Distrato",$E936,0)),MIN(W$38,$D$19),$P$20))-SUM($P936:V936)</f>
        <v>#VALUE!</v>
      </c>
      <c r="X936" s="446" t="e">
        <f>IF(OR($B936="",MIN(X$38,$D$19)&lt;MAX($P$708*($B936+IF($R$17="Distrato",$I$38-1,0)),IF(AND($L$711=0,$P$708=0),"",$L$711-1),IF($R$17="Distrato",$E936,0))),0,YEARFRAC(MAX($P$708*($B936+IF($R$17="Distrato",$I$38-1,0)),IF(AND($L$711=0,$P$708=0),"",$L$711-1),IF($R$17="Distrato",$E936,0)),MIN(X$38,$D$19),$P$20))-SUM($P936:W936)</f>
        <v>#VALUE!</v>
      </c>
      <c r="Y936" s="446" t="e">
        <f>IF(OR($B936="",MIN(Y$38,$D$19)&lt;MAX($P$708*($B936+IF($R$17="Distrato",$I$38-1,0)),IF(AND($L$711=0,$P$708=0),"",$L$711-1),IF($R$17="Distrato",$E936,0))),0,YEARFRAC(MAX($P$708*($B936+IF($R$17="Distrato",$I$38-1,0)),IF(AND($L$711=0,$P$708=0),"",$L$711-1),IF($R$17="Distrato",$E936,0)),MIN(Y$38,$D$19),$P$20))-SUM($P936:X936)</f>
        <v>#VALUE!</v>
      </c>
      <c r="Z936" s="446" t="e">
        <f>IF(OR($B936="",MIN(Z$38,$D$19)&lt;MAX($P$708*($B936+IF($R$17="Distrato",$I$38-1,0)),IF(AND($L$711=0,$P$708=0),"",$L$711-1),IF($R$17="Distrato",$E936,0))),0,YEARFRAC(MAX($P$708*($B936+IF($R$17="Distrato",$I$38-1,0)),IF(AND($L$711=0,$P$708=0),"",$L$711-1),IF($R$17="Distrato",$E936,0)),MIN(Z$38,$D$19),$P$20))-SUM($P936:Y936)</f>
        <v>#VALUE!</v>
      </c>
      <c r="AA936" s="446" t="e">
        <f>IF(OR($B936="",MIN(AA$38,$D$19)&lt;MAX($P$708*($B936+IF($R$17="Distrato",$I$38-1,0)),IF(AND($L$711=0,$P$708=0),"",$L$711-1),IF($R$17="Distrato",$E936,0))),0,YEARFRAC(MAX($P$708*($B936+IF($R$17="Distrato",$I$38-1,0)),IF(AND($L$711=0,$P$708=0),"",$L$711-1),IF($R$17="Distrato",$E936,0)),MIN(AA$38,$D$19),$P$20))-SUM($P936:Z936)</f>
        <v>#VALUE!</v>
      </c>
      <c r="AB936" s="446" t="e">
        <f>IF(OR($B936="",MIN(AB$38,$D$19)&lt;MAX($P$708*($B936+IF($R$17="Distrato",$I$38-1,0)),IF(AND($L$711=0,$P$708=0),"",$L$711-1),IF($R$17="Distrato",$E936,0))),0,YEARFRAC(MAX($P$708*($B936+IF($R$17="Distrato",$I$38-1,0)),IF(AND($L$711=0,$P$708=0),"",$L$711-1),IF($R$17="Distrato",$E936,0)),MIN(AB$38,$D$19),$P$20))-SUM($P936:AA936)</f>
        <v>#VALUE!</v>
      </c>
      <c r="AC936" s="446" t="e">
        <f>IF(OR($B936="",MIN(AC$38,$D$19)&lt;MAX($P$708*($B936+IF($R$17="Distrato",$I$38-1,0)),IF(AND($L$711=0,$P$708=0),"",$L$711-1),IF($R$17="Distrato",$E936,0))),0,YEARFRAC(MAX($P$708*($B936+IF($R$17="Distrato",$I$38-1,0)),IF(AND($L$711=0,$P$708=0),"",$L$711-1),IF($R$17="Distrato",$E936,0)),MIN(AC$38,$D$19),$P$20))-SUM($P936:AB936)</f>
        <v>#VALUE!</v>
      </c>
      <c r="AD936" s="446" t="e">
        <f>IF(OR($B936="",MIN(AD$38,$D$19)&lt;MAX($P$708*($B936+IF($R$17="Distrato",$I$38-1,0)),IF(AND($L$711=0,$P$708=0),"",$L$711-1),IF($R$17="Distrato",$E936,0))),0,YEARFRAC(MAX($P$708*($B936+IF($R$17="Distrato",$I$38-1,0)),IF(AND($L$711=0,$P$708=0),"",$L$711-1),IF($R$17="Distrato",$E936,0)),MIN(AD$38,$D$19),$P$20))-SUM($P936:AC936)</f>
        <v>#VALUE!</v>
      </c>
      <c r="AE936" s="446" t="e">
        <f>IF(OR($B936="",MIN(AE$38,$D$19)&lt;MAX($P$708*($B936+IF($R$17="Distrato",$I$38-1,0)),IF(AND($L$711=0,$P$708=0),"",$L$711-1),IF($R$17="Distrato",$E936,0))),0,YEARFRAC(MAX($P$708*($B936+IF($R$17="Distrato",$I$38-1,0)),IF(AND($L$711=0,$P$708=0),"",$L$711-1),IF($R$17="Distrato",$E936,0)),MIN(AE$38,$D$19),$P$20))-SUM($P936:AD936)</f>
        <v>#VALUE!</v>
      </c>
      <c r="AF936" s="446" t="e">
        <f>IF(OR($B936="",MIN(AF$38,$D$19)&lt;MAX($P$708*($B936+IF($R$17="Distrato",$I$38-1,0)),IF(AND($L$711=0,$P$708=0),"",$L$711-1),IF($R$17="Distrato",$E936,0))),0,YEARFRAC(MAX($P$708*($B936+IF($R$17="Distrato",$I$38-1,0)),IF(AND($L$711=0,$P$708=0),"",$L$711-1),IF($R$17="Distrato",$E936,0)),MIN(AF$38,$D$19),$P$20))-SUM($P936:AE936)</f>
        <v>#VALUE!</v>
      </c>
      <c r="AG936" s="446" t="e">
        <f>IF(OR($B936="",MIN(AG$38,$D$19)&lt;MAX($P$708*($B936+IF($R$17="Distrato",$I$38-1,0)),IF(AND($L$711=0,$P$708=0),"",$L$711-1),IF($R$17="Distrato",$E936,0))),0,YEARFRAC(MAX($P$708*($B936+IF($R$17="Distrato",$I$38-1,0)),IF(AND($L$711=0,$P$708=0),"",$L$711-1),IF($R$17="Distrato",$E936,0)),MIN(AG$38,$D$19),$P$20))-SUM($P936:AF936)</f>
        <v>#VALUE!</v>
      </c>
      <c r="AH936" s="446" t="e">
        <f>IF(OR($B936="",MIN(AH$38,$D$19)&lt;MAX($P$708*($B936+IF($R$17="Distrato",$I$38-1,0)),IF(AND($L$711=0,$P$708=0),"",$L$711-1),IF($R$17="Distrato",$E936,0))),0,YEARFRAC(MAX($P$708*($B936+IF($R$17="Distrato",$I$38-1,0)),IF(AND($L$711=0,$P$708=0),"",$L$711-1),IF($R$17="Distrato",$E936,0)),MIN(AH$38,$D$19),$P$20))-SUM($P936:AG936)</f>
        <v>#VALUE!</v>
      </c>
      <c r="AI936" s="446" t="e">
        <f>IF(OR($B936="",MIN(AI$38,$D$19)&lt;MAX($P$708*($B936+IF($R$17="Distrato",$I$38-1,0)),IF(AND($L$711=0,$P$708=0),"",$L$711-1),IF($R$17="Distrato",$E936,0))),0,YEARFRAC(MAX($P$708*($B936+IF($R$17="Distrato",$I$38-1,0)),IF(AND($L$711=0,$P$708=0),"",$L$711-1),IF($R$17="Distrato",$E936,0)),MIN(AI$38,$D$19),$P$20))-SUM($P936:AH936)</f>
        <v>#VALUE!</v>
      </c>
      <c r="AJ936" s="446" t="e">
        <f>IF(OR($B936="",MIN(AJ$38,$D$19)&lt;MAX($P$708*($B936+IF($R$17="Distrato",$I$38-1,0)),IF(AND($L$711=0,$P$708=0),"",$L$711-1),IF($R$17="Distrato",$E936,0))),0,YEARFRAC(MAX($P$708*($B936+IF($R$17="Distrato",$I$38-1,0)),IF(AND($L$711=0,$P$708=0),"",$L$711-1),IF($R$17="Distrato",$E936,0)),MIN(AJ$38,$D$19),$P$20))-SUM($P936:AI936)</f>
        <v>#VALUE!</v>
      </c>
      <c r="AK936" s="446" t="e">
        <f>IF(OR($B936="",MIN(AK$38,$D$19)&lt;MAX($P$708*($B936+IF($R$17="Distrato",$I$38-1,0)),IF(AND($L$711=0,$P$708=0),"",$L$711-1),IF($R$17="Distrato",$E936,0))),0,YEARFRAC(MAX($P$708*($B936+IF($R$17="Distrato",$I$38-1,0)),IF(AND($L$711=0,$P$708=0),"",$L$711-1),IF($R$17="Distrato",$E936,0)),MIN(AK$38,$D$19),$P$20))-SUM($P936:AJ936)</f>
        <v>#VALUE!</v>
      </c>
      <c r="AL936" s="446" t="e">
        <f>IF(OR($B936="",MIN(AL$38,$D$19)&lt;MAX($P$708*($B936+IF($R$17="Distrato",$I$38-1,0)),IF(AND($L$711=0,$P$708=0),"",$L$711-1),IF($R$17="Distrato",$E936,0))),0,YEARFRAC(MAX($P$708*($B936+IF($R$17="Distrato",$I$38-1,0)),IF(AND($L$711=0,$P$708=0),"",$L$711-1),IF($R$17="Distrato",$E936,0)),MIN(AL$38,$D$19),$P$20))-SUM($P936:AK936)</f>
        <v>#VALUE!</v>
      </c>
      <c r="AM936" s="446" t="e">
        <f>IF(OR($B936="",MIN(AM$38,$D$19)&lt;MAX($P$708*($B936+IF($R$17="Distrato",$I$38-1,0)),IF(AND($L$711=0,$P$708=0),"",$L$711-1),IF($R$17="Distrato",$E936,0))),0,YEARFRAC(MAX($P$708*($B936+IF($R$17="Distrato",$I$38-1,0)),IF(AND($L$711=0,$P$708=0),"",$L$711-1),IF($R$17="Distrato",$E936,0)),MIN(AM$38,$D$19),$P$20))-SUM($P936:AL936)</f>
        <v>#VALUE!</v>
      </c>
      <c r="AN936" s="446" t="e">
        <f>IF(OR($B936="",MIN(AN$38,$D$19)&lt;MAX($P$708*($B936+IF($R$17="Distrato",$I$38-1,0)),IF(AND($L$711=0,$P$708=0),"",$L$711-1),IF($R$17="Distrato",$E936,0))),0,YEARFRAC(MAX($P$708*($B936+IF($R$17="Distrato",$I$38-1,0)),IF(AND($L$711=0,$P$708=0),"",$L$711-1),IF($R$17="Distrato",$E936,0)),MIN(AN$38,$D$19),$P$20))-SUM($P936:AM936)</f>
        <v>#VALUE!</v>
      </c>
      <c r="AO936" s="446" t="e">
        <f>IF(OR($B936="",MIN(AO$38,$D$19)&lt;MAX($P$708*($B936+IF($R$17="Distrato",$I$38-1,0)),IF(AND($L$711=0,$P$708=0),"",$L$711-1),IF($R$17="Distrato",$E936,0))),0,YEARFRAC(MAX($P$708*($B936+IF($R$17="Distrato",$I$38-1,0)),IF(AND($L$711=0,$P$708=0),"",$L$711-1),IF($R$17="Distrato",$E936,0)),MIN(AO$38,$D$19),$P$20))-SUM($P936:AN936)</f>
        <v>#VALUE!</v>
      </c>
      <c r="AP936" s="446" t="e">
        <f>IF(OR($B936="",MIN(AP$38,$D$19)&lt;MAX($P$708*($B936+IF($R$17="Distrato",$I$38-1,0)),IF(AND($L$711=0,$P$708=0),"",$L$711-1),IF($R$17="Distrato",$E936,0))),0,YEARFRAC(MAX($P$708*($B936+IF($R$17="Distrato",$I$38-1,0)),IF(AND($L$711=0,$P$708=0),"",$L$711-1),IF($R$17="Distrato",$E936,0)),MIN(AP$38,$D$19),$P$20))-SUM($P936:AO936)</f>
        <v>#VALUE!</v>
      </c>
      <c r="AQ936" s="446" t="e">
        <f>IF(OR($B936="",MIN(AQ$38,$D$19)&lt;MAX($P$708*($B936+IF($R$17="Distrato",$I$38-1,0)),IF(AND($L$711=0,$P$708=0),"",$L$711-1),IF($R$17="Distrato",$E936,0))),0,YEARFRAC(MAX($P$708*($B936+IF($R$17="Distrato",$I$38-1,0)),IF(AND($L$711=0,$P$708=0),"",$L$711-1),IF($R$17="Distrato",$E936,0)),MIN(AQ$38,$D$19),$P$20))-SUM($P936:AP936)</f>
        <v>#VALUE!</v>
      </c>
      <c r="AR936" s="446" t="e">
        <f>IF(OR($B936="",MIN(AR$38,$D$19)&lt;MAX($P$708*($B936+IF($R$17="Distrato",$I$38-1,0)),IF(AND($L$711=0,$P$708=0),"",$L$711-1),IF($R$17="Distrato",$E936,0))),0,YEARFRAC(MAX($P$708*($B936+IF($R$17="Distrato",$I$38-1,0)),IF(AND($L$711=0,$P$708=0),"",$L$711-1),IF($R$17="Distrato",$E936,0)),MIN(AR$38,$D$19),$P$20))-SUM($P936:AQ936)</f>
        <v>#VALUE!</v>
      </c>
      <c r="AS936" s="446" t="e">
        <f>IF(OR($B936="",MIN(AS$38,$D$19)&lt;MAX($P$708*($B936+IF($R$17="Distrato",$I$38-1,0)),IF(AND($L$711=0,$P$708=0),"",$L$711-1),IF($R$17="Distrato",$E936,0))),0,YEARFRAC(MAX($P$708*($B936+IF($R$17="Distrato",$I$38-1,0)),IF(AND($L$711=0,$P$708=0),"",$L$711-1),IF($R$17="Distrato",$E936,0)),MIN(AS$38,$D$19),$P$20))-SUM($P936:AR936)</f>
        <v>#VALUE!</v>
      </c>
      <c r="AT936" s="446" t="e">
        <f>IF(OR($B936="",MIN(AT$38,$D$19)&lt;MAX($P$708*($B936+IF($R$17="Distrato",$I$38-1,0)),IF(AND($L$711=0,$P$708=0),"",$L$711-1),IF($R$17="Distrato",$E936,0))),0,YEARFRAC(MAX($P$708*($B936+IF($R$17="Distrato",$I$38-1,0)),IF(AND($L$711=0,$P$708=0),"",$L$711-1),IF($R$17="Distrato",$E936,0)),MIN(AT$38,$D$19),$P$20))-SUM($P936:AS936)</f>
        <v>#VALUE!</v>
      </c>
      <c r="AU936" s="446" t="e">
        <f>IF(OR($B936="",MIN(AU$38,$D$19)&lt;MAX($P$708*($B936+IF($R$17="Distrato",$I$38-1,0)),IF(AND($L$711=0,$P$708=0),"",$L$711-1),IF($R$17="Distrato",$E936,0))),0,YEARFRAC(MAX($P$708*($B936+IF($R$17="Distrato",$I$38-1,0)),IF(AND($L$711=0,$P$708=0),"",$L$711-1),IF($R$17="Distrato",$E936,0)),MIN(AU$38,$D$19),$P$20))-SUM($P936:AT936)</f>
        <v>#VALUE!</v>
      </c>
      <c r="AV936" s="446" t="e">
        <f>IF(OR($B936="",MIN(AV$38,$D$19)&lt;MAX($P$708*($B936+IF($R$17="Distrato",$I$38-1,0)),IF(AND($L$711=0,$P$708=0),"",$L$711-1),IF($R$17="Distrato",$E936,0))),0,YEARFRAC(MAX($P$708*($B936+IF($R$17="Distrato",$I$38-1,0)),IF(AND($L$711=0,$P$708=0),"",$L$711-1),IF($R$17="Distrato",$E936,0)),MIN(AV$38,$D$19),$P$20))-SUM($P936:AU936)</f>
        <v>#VALUE!</v>
      </c>
      <c r="AW936" s="446" t="e">
        <f>IF(OR($B936="",MIN(AW$38,$D$19)&lt;MAX($P$708*($B936+IF($R$17="Distrato",$I$38-1,0)),IF(AND($L$711=0,$P$708=0),"",$L$711-1),IF($R$17="Distrato",$E936,0))),0,YEARFRAC(MAX($P$708*($B936+IF($R$17="Distrato",$I$38-1,0)),IF(AND($L$711=0,$P$708=0),"",$L$711-1),IF($R$17="Distrato",$E936,0)),MIN(AW$38,$D$19),$P$20))-SUM($P936:AV936)</f>
        <v>#VALUE!</v>
      </c>
      <c r="AX936" s="446" t="e">
        <f>IF(OR($B936="",MIN(AX$38,$D$19)&lt;MAX($P$708*($B936+IF($R$17="Distrato",$I$38-1,0)),IF(AND($L$711=0,$P$708=0),"",$L$711-1),IF($R$17="Distrato",$E936,0))),0,YEARFRAC(MAX($P$708*($B936+IF($R$17="Distrato",$I$38-1,0)),IF(AND($L$711=0,$P$708=0),"",$L$711-1),IF($R$17="Distrato",$E936,0)),MIN(AX$38,$D$19),$P$20))-SUM($P936:AW936)</f>
        <v>#VALUE!</v>
      </c>
      <c r="AY936" s="446" t="e">
        <f>IF(OR($B936="",MIN(AY$38,$D$19)&lt;MAX($P$708*($B936+IF($R$17="Distrato",$I$38-1,0)),IF(AND($L$711=0,$P$708=0),"",$L$711-1),IF($R$17="Distrato",$E936,0))),0,YEARFRAC(MAX($P$708*($B936+IF($R$17="Distrato",$I$38-1,0)),IF(AND($L$711=0,$P$708=0),"",$L$711-1),IF($R$17="Distrato",$E936,0)),MIN(AY$38,$D$19),$P$20))-SUM($P936:AX936)</f>
        <v>#VALUE!</v>
      </c>
      <c r="AZ936" s="446" t="e">
        <f>IF(OR($B936="",MIN(AZ$38,$D$19)&lt;MAX($P$708*($B936+IF($R$17="Distrato",$I$38-1,0)),IF(AND($L$711=0,$P$708=0),"",$L$711-1),IF($R$17="Distrato",$E936,0))),0,YEARFRAC(MAX($P$708*($B936+IF($R$17="Distrato",$I$38-1,0)),IF(AND($L$711=0,$P$708=0),"",$L$711-1),IF($R$17="Distrato",$E936,0)),MIN(AZ$38,$D$19),$P$20))-SUM($P936:AY936)</f>
        <v>#VALUE!</v>
      </c>
      <c r="BA936" s="446" t="e">
        <f>IF(OR($B936="",MIN(BA$38,$D$19)&lt;MAX($P$708*($B936+IF($R$17="Distrato",$I$38-1,0)),IF(AND($L$711=0,$P$708=0),"",$L$711-1),IF($R$17="Distrato",$E936,0))),0,YEARFRAC(MAX($P$708*($B936+IF($R$17="Distrato",$I$38-1,0)),IF(AND($L$711=0,$P$708=0),"",$L$711-1),IF($R$17="Distrato",$E936,0)),MIN(BA$38,$D$19),$P$20))-SUM($P936:AZ936)</f>
        <v>#VALUE!</v>
      </c>
      <c r="BB936" s="447"/>
    </row>
    <row r="937" spans="1:54" s="446" customFormat="1" ht="11.25" hidden="1" customHeight="1" x14ac:dyDescent="0.2">
      <c r="A937" s="235"/>
      <c r="B937" s="236"/>
      <c r="C937" s="29" t="str">
        <f>IF(B937="","",IF($L$709=$BL$25,VLOOKUP(DATE(YEAR($D$19),MONTH($D$19)-1,1),ÍNDICES!$A:$DE,HLOOKUP($BL$25,ÍNDICES!$B$3:$T$4,2)+11)-VLOOKUP(B937,ÍNDICES!$A:$DE,HLOOKUP($BL$25,ÍNDICES!$B$3:$T$4,2)+11)+1%,IF(C$712=$W$26,$J$35,IF(ISERROR(IF(B937&gt;$D$19,1,VLOOKUP(DATE(YEAR(B937),MONTH(B937)+IF($C$709=$S$23,1,0),1),ÍNDICES!$A:$DE,$Z$709+1))),"",IF(B937&gt;$D$19,1,VLOOKUP(DATE(YEAR(B937),MONTH(B937)+IF($C$709=$S$23,1,0),1),ÍNDICES!$A:$DE,$Z$709+1))))))</f>
        <v/>
      </c>
      <c r="D937" s="155"/>
      <c r="E937" s="88"/>
      <c r="F937" s="88"/>
      <c r="G937" s="88"/>
      <c r="H937" s="118"/>
      <c r="I937" s="182">
        <f t="shared" si="136"/>
        <v>0</v>
      </c>
      <c r="J937" s="20">
        <f t="shared" ca="1" si="137"/>
        <v>0</v>
      </c>
      <c r="K937" s="5">
        <f t="shared" ca="1" si="138"/>
        <v>0</v>
      </c>
      <c r="L937" s="61">
        <f t="shared" ca="1" si="139"/>
        <v>0</v>
      </c>
      <c r="M937" s="64">
        <f t="shared" si="140"/>
        <v>0</v>
      </c>
      <c r="N937" s="151"/>
      <c r="O937" s="5">
        <f t="shared" ca="1" si="141"/>
        <v>0</v>
      </c>
      <c r="P937" s="446" t="e">
        <f t="shared" si="142"/>
        <v>#VALUE!</v>
      </c>
      <c r="Q937" s="446" t="e">
        <f>IF(OR($B937="",MIN(Q$38,$D$19)&lt;MAX($P$708*($B937+IF($R$17="Distrato",$I$38-1,0)),IF(AND($L$711=0,$P$708=0),"",$L$711-1),IF($R$17="Distrato",$E937,0))),0,YEARFRAC(MAX($P$708*($B937+IF($R$17="Distrato",$I$38-1,0)),IF(AND($L$711=0,$P$708=0),"",$L$711-1),IF($R$17="Distrato",$E937,0)),MIN(Q$38,$D$19),$P$20))-SUM($P937:P937)</f>
        <v>#VALUE!</v>
      </c>
      <c r="R937" s="446" t="e">
        <f>IF(OR($B937="",MIN(R$38,$D$19)&lt;MAX($P$708*($B937+IF($R$17="Distrato",$I$38-1,0)),IF(AND($L$711=0,$P$708=0),"",$L$711-1),IF($R$17="Distrato",$E937,0))),0,YEARFRAC(MAX($P$708*($B937+IF($R$17="Distrato",$I$38-1,0)),IF(AND($L$711=0,$P$708=0),"",$L$711-1),IF($R$17="Distrato",$E937,0)),MIN(R$38,$D$19),$P$20))-SUM($P937:Q937)</f>
        <v>#VALUE!</v>
      </c>
      <c r="S937" s="446" t="e">
        <f>IF(OR($B937="",MIN(S$38,$D$19)&lt;MAX($P$708*($B937+IF($R$17="Distrato",$I$38-1,0)),IF(AND($L$711=0,$P$708=0),"",$L$711-1),IF($R$17="Distrato",$E937,0))),0,YEARFRAC(MAX($P$708*($B937+IF($R$17="Distrato",$I$38-1,0)),IF(AND($L$711=0,$P$708=0),"",$L$711-1),IF($R$17="Distrato",$E937,0)),MIN(S$38,$D$19),$P$20))-SUM($P937:R937)</f>
        <v>#VALUE!</v>
      </c>
      <c r="T937" s="446" t="e">
        <f>IF(OR($B937="",MIN(T$38,$D$19)&lt;MAX($P$708*($B937+IF($R$17="Distrato",$I$38-1,0)),IF(AND($L$711=0,$P$708=0),"",$L$711-1),IF($R$17="Distrato",$E937,0))),0,YEARFRAC(MAX($P$708*($B937+IF($R$17="Distrato",$I$38-1,0)),IF(AND($L$711=0,$P$708=0),"",$L$711-1),IF($R$17="Distrato",$E937,0)),MIN(T$38,$D$19),$P$20))-SUM($P937:S937)</f>
        <v>#VALUE!</v>
      </c>
      <c r="U937" s="446" t="e">
        <f>IF(OR($B937="",MIN(U$38,$D$19)&lt;MAX($P$708*($B937+IF($R$17="Distrato",$I$38-1,0)),IF(AND($L$711=0,$P$708=0),"",$L$711-1),IF($R$17="Distrato",$E937,0))),0,YEARFRAC(MAX($P$708*($B937+IF($R$17="Distrato",$I$38-1,0)),IF(AND($L$711=0,$P$708=0),"",$L$711-1),IF($R$17="Distrato",$E937,0)),MIN(U$38,$D$19),$P$20))-SUM($P937:T937)</f>
        <v>#VALUE!</v>
      </c>
      <c r="V937" s="446" t="e">
        <f>IF(OR($B937="",MIN(V$38,$D$19)&lt;MAX($P$708*($B937+IF($R$17="Distrato",$I$38-1,0)),IF(AND($L$711=0,$P$708=0),"",$L$711-1),IF($R$17="Distrato",$E937,0))),0,YEARFRAC(MAX($P$708*($B937+IF($R$17="Distrato",$I$38-1,0)),IF(AND($L$711=0,$P$708=0),"",$L$711-1),IF($R$17="Distrato",$E937,0)),MIN(V$38,$D$19),$P$20))-SUM($P937:U937)</f>
        <v>#VALUE!</v>
      </c>
      <c r="W937" s="446" t="e">
        <f>IF(OR($B937="",MIN(W$38,$D$19)&lt;MAX($P$708*($B937+IF($R$17="Distrato",$I$38-1,0)),IF(AND($L$711=0,$P$708=0),"",$L$711-1),IF($R$17="Distrato",$E937,0))),0,YEARFRAC(MAX($P$708*($B937+IF($R$17="Distrato",$I$38-1,0)),IF(AND($L$711=0,$P$708=0),"",$L$711-1),IF($R$17="Distrato",$E937,0)),MIN(W$38,$D$19),$P$20))-SUM($P937:V937)</f>
        <v>#VALUE!</v>
      </c>
      <c r="X937" s="446" t="e">
        <f>IF(OR($B937="",MIN(X$38,$D$19)&lt;MAX($P$708*($B937+IF($R$17="Distrato",$I$38-1,0)),IF(AND($L$711=0,$P$708=0),"",$L$711-1),IF($R$17="Distrato",$E937,0))),0,YEARFRAC(MAX($P$708*($B937+IF($R$17="Distrato",$I$38-1,0)),IF(AND($L$711=0,$P$708=0),"",$L$711-1),IF($R$17="Distrato",$E937,0)),MIN(X$38,$D$19),$P$20))-SUM($P937:W937)</f>
        <v>#VALUE!</v>
      </c>
      <c r="Y937" s="446" t="e">
        <f>IF(OR($B937="",MIN(Y$38,$D$19)&lt;MAX($P$708*($B937+IF($R$17="Distrato",$I$38-1,0)),IF(AND($L$711=0,$P$708=0),"",$L$711-1),IF($R$17="Distrato",$E937,0))),0,YEARFRAC(MAX($P$708*($B937+IF($R$17="Distrato",$I$38-1,0)),IF(AND($L$711=0,$P$708=0),"",$L$711-1),IF($R$17="Distrato",$E937,0)),MIN(Y$38,$D$19),$P$20))-SUM($P937:X937)</f>
        <v>#VALUE!</v>
      </c>
      <c r="Z937" s="446" t="e">
        <f>IF(OR($B937="",MIN(Z$38,$D$19)&lt;MAX($P$708*($B937+IF($R$17="Distrato",$I$38-1,0)),IF(AND($L$711=0,$P$708=0),"",$L$711-1),IF($R$17="Distrato",$E937,0))),0,YEARFRAC(MAX($P$708*($B937+IF($R$17="Distrato",$I$38-1,0)),IF(AND($L$711=0,$P$708=0),"",$L$711-1),IF($R$17="Distrato",$E937,0)),MIN(Z$38,$D$19),$P$20))-SUM($P937:Y937)</f>
        <v>#VALUE!</v>
      </c>
      <c r="AA937" s="446" t="e">
        <f>IF(OR($B937="",MIN(AA$38,$D$19)&lt;MAX($P$708*($B937+IF($R$17="Distrato",$I$38-1,0)),IF(AND($L$711=0,$P$708=0),"",$L$711-1),IF($R$17="Distrato",$E937,0))),0,YEARFRAC(MAX($P$708*($B937+IF($R$17="Distrato",$I$38-1,0)),IF(AND($L$711=0,$P$708=0),"",$L$711-1),IF($R$17="Distrato",$E937,0)),MIN(AA$38,$D$19),$P$20))-SUM($P937:Z937)</f>
        <v>#VALUE!</v>
      </c>
      <c r="AB937" s="446" t="e">
        <f>IF(OR($B937="",MIN(AB$38,$D$19)&lt;MAX($P$708*($B937+IF($R$17="Distrato",$I$38-1,0)),IF(AND($L$711=0,$P$708=0),"",$L$711-1),IF($R$17="Distrato",$E937,0))),0,YEARFRAC(MAX($P$708*($B937+IF($R$17="Distrato",$I$38-1,0)),IF(AND($L$711=0,$P$708=0),"",$L$711-1),IF($R$17="Distrato",$E937,0)),MIN(AB$38,$D$19),$P$20))-SUM($P937:AA937)</f>
        <v>#VALUE!</v>
      </c>
      <c r="AC937" s="446" t="e">
        <f>IF(OR($B937="",MIN(AC$38,$D$19)&lt;MAX($P$708*($B937+IF($R$17="Distrato",$I$38-1,0)),IF(AND($L$711=0,$P$708=0),"",$L$711-1),IF($R$17="Distrato",$E937,0))),0,YEARFRAC(MAX($P$708*($B937+IF($R$17="Distrato",$I$38-1,0)),IF(AND($L$711=0,$P$708=0),"",$L$711-1),IF($R$17="Distrato",$E937,0)),MIN(AC$38,$D$19),$P$20))-SUM($P937:AB937)</f>
        <v>#VALUE!</v>
      </c>
      <c r="AD937" s="446" t="e">
        <f>IF(OR($B937="",MIN(AD$38,$D$19)&lt;MAX($P$708*($B937+IF($R$17="Distrato",$I$38-1,0)),IF(AND($L$711=0,$P$708=0),"",$L$711-1),IF($R$17="Distrato",$E937,0))),0,YEARFRAC(MAX($P$708*($B937+IF($R$17="Distrato",$I$38-1,0)),IF(AND($L$711=0,$P$708=0),"",$L$711-1),IF($R$17="Distrato",$E937,0)),MIN(AD$38,$D$19),$P$20))-SUM($P937:AC937)</f>
        <v>#VALUE!</v>
      </c>
      <c r="AE937" s="446" t="e">
        <f>IF(OR($B937="",MIN(AE$38,$D$19)&lt;MAX($P$708*($B937+IF($R$17="Distrato",$I$38-1,0)),IF(AND($L$711=0,$P$708=0),"",$L$711-1),IF($R$17="Distrato",$E937,0))),0,YEARFRAC(MAX($P$708*($B937+IF($R$17="Distrato",$I$38-1,0)),IF(AND($L$711=0,$P$708=0),"",$L$711-1),IF($R$17="Distrato",$E937,0)),MIN(AE$38,$D$19),$P$20))-SUM($P937:AD937)</f>
        <v>#VALUE!</v>
      </c>
      <c r="AF937" s="446" t="e">
        <f>IF(OR($B937="",MIN(AF$38,$D$19)&lt;MAX($P$708*($B937+IF($R$17="Distrato",$I$38-1,0)),IF(AND($L$711=0,$P$708=0),"",$L$711-1),IF($R$17="Distrato",$E937,0))),0,YEARFRAC(MAX($P$708*($B937+IF($R$17="Distrato",$I$38-1,0)),IF(AND($L$711=0,$P$708=0),"",$L$711-1),IF($R$17="Distrato",$E937,0)),MIN(AF$38,$D$19),$P$20))-SUM($P937:AE937)</f>
        <v>#VALUE!</v>
      </c>
      <c r="AG937" s="446" t="e">
        <f>IF(OR($B937="",MIN(AG$38,$D$19)&lt;MAX($P$708*($B937+IF($R$17="Distrato",$I$38-1,0)),IF(AND($L$711=0,$P$708=0),"",$L$711-1),IF($R$17="Distrato",$E937,0))),0,YEARFRAC(MAX($P$708*($B937+IF($R$17="Distrato",$I$38-1,0)),IF(AND($L$711=0,$P$708=0),"",$L$711-1),IF($R$17="Distrato",$E937,0)),MIN(AG$38,$D$19),$P$20))-SUM($P937:AF937)</f>
        <v>#VALUE!</v>
      </c>
      <c r="AH937" s="446" t="e">
        <f>IF(OR($B937="",MIN(AH$38,$D$19)&lt;MAX($P$708*($B937+IF($R$17="Distrato",$I$38-1,0)),IF(AND($L$711=0,$P$708=0),"",$L$711-1),IF($R$17="Distrato",$E937,0))),0,YEARFRAC(MAX($P$708*($B937+IF($R$17="Distrato",$I$38-1,0)),IF(AND($L$711=0,$P$708=0),"",$L$711-1),IF($R$17="Distrato",$E937,0)),MIN(AH$38,$D$19),$P$20))-SUM($P937:AG937)</f>
        <v>#VALUE!</v>
      </c>
      <c r="AI937" s="446" t="e">
        <f>IF(OR($B937="",MIN(AI$38,$D$19)&lt;MAX($P$708*($B937+IF($R$17="Distrato",$I$38-1,0)),IF(AND($L$711=0,$P$708=0),"",$L$711-1),IF($R$17="Distrato",$E937,0))),0,YEARFRAC(MAX($P$708*($B937+IF($R$17="Distrato",$I$38-1,0)),IF(AND($L$711=0,$P$708=0),"",$L$711-1),IF($R$17="Distrato",$E937,0)),MIN(AI$38,$D$19),$P$20))-SUM($P937:AH937)</f>
        <v>#VALUE!</v>
      </c>
      <c r="AJ937" s="446" t="e">
        <f>IF(OR($B937="",MIN(AJ$38,$D$19)&lt;MAX($P$708*($B937+IF($R$17="Distrato",$I$38-1,0)),IF(AND($L$711=0,$P$708=0),"",$L$711-1),IF($R$17="Distrato",$E937,0))),0,YEARFRAC(MAX($P$708*($B937+IF($R$17="Distrato",$I$38-1,0)),IF(AND($L$711=0,$P$708=0),"",$L$711-1),IF($R$17="Distrato",$E937,0)),MIN(AJ$38,$D$19),$P$20))-SUM($P937:AI937)</f>
        <v>#VALUE!</v>
      </c>
      <c r="AK937" s="446" t="e">
        <f>IF(OR($B937="",MIN(AK$38,$D$19)&lt;MAX($P$708*($B937+IF($R$17="Distrato",$I$38-1,0)),IF(AND($L$711=0,$P$708=0),"",$L$711-1),IF($R$17="Distrato",$E937,0))),0,YEARFRAC(MAX($P$708*($B937+IF($R$17="Distrato",$I$38-1,0)),IF(AND($L$711=0,$P$708=0),"",$L$711-1),IF($R$17="Distrato",$E937,0)),MIN(AK$38,$D$19),$P$20))-SUM($P937:AJ937)</f>
        <v>#VALUE!</v>
      </c>
      <c r="AL937" s="446" t="e">
        <f>IF(OR($B937="",MIN(AL$38,$D$19)&lt;MAX($P$708*($B937+IF($R$17="Distrato",$I$38-1,0)),IF(AND($L$711=0,$P$708=0),"",$L$711-1),IF($R$17="Distrato",$E937,0))),0,YEARFRAC(MAX($P$708*($B937+IF($R$17="Distrato",$I$38-1,0)),IF(AND($L$711=0,$P$708=0),"",$L$711-1),IF($R$17="Distrato",$E937,0)),MIN(AL$38,$D$19),$P$20))-SUM($P937:AK937)</f>
        <v>#VALUE!</v>
      </c>
      <c r="AM937" s="446" t="e">
        <f>IF(OR($B937="",MIN(AM$38,$D$19)&lt;MAX($P$708*($B937+IF($R$17="Distrato",$I$38-1,0)),IF(AND($L$711=0,$P$708=0),"",$L$711-1),IF($R$17="Distrato",$E937,0))),0,YEARFRAC(MAX($P$708*($B937+IF($R$17="Distrato",$I$38-1,0)),IF(AND($L$711=0,$P$708=0),"",$L$711-1),IF($R$17="Distrato",$E937,0)),MIN(AM$38,$D$19),$P$20))-SUM($P937:AL937)</f>
        <v>#VALUE!</v>
      </c>
      <c r="AN937" s="446" t="e">
        <f>IF(OR($B937="",MIN(AN$38,$D$19)&lt;MAX($P$708*($B937+IF($R$17="Distrato",$I$38-1,0)),IF(AND($L$711=0,$P$708=0),"",$L$711-1),IF($R$17="Distrato",$E937,0))),0,YEARFRAC(MAX($P$708*($B937+IF($R$17="Distrato",$I$38-1,0)),IF(AND($L$711=0,$P$708=0),"",$L$711-1),IF($R$17="Distrato",$E937,0)),MIN(AN$38,$D$19),$P$20))-SUM($P937:AM937)</f>
        <v>#VALUE!</v>
      </c>
      <c r="AO937" s="446" t="e">
        <f>IF(OR($B937="",MIN(AO$38,$D$19)&lt;MAX($P$708*($B937+IF($R$17="Distrato",$I$38-1,0)),IF(AND($L$711=0,$P$708=0),"",$L$711-1),IF($R$17="Distrato",$E937,0))),0,YEARFRAC(MAX($P$708*($B937+IF($R$17="Distrato",$I$38-1,0)),IF(AND($L$711=0,$P$708=0),"",$L$711-1),IF($R$17="Distrato",$E937,0)),MIN(AO$38,$D$19),$P$20))-SUM($P937:AN937)</f>
        <v>#VALUE!</v>
      </c>
      <c r="AP937" s="446" t="e">
        <f>IF(OR($B937="",MIN(AP$38,$D$19)&lt;MAX($P$708*($B937+IF($R$17="Distrato",$I$38-1,0)),IF(AND($L$711=0,$P$708=0),"",$L$711-1),IF($R$17="Distrato",$E937,0))),0,YEARFRAC(MAX($P$708*($B937+IF($R$17="Distrato",$I$38-1,0)),IF(AND($L$711=0,$P$708=0),"",$L$711-1),IF($R$17="Distrato",$E937,0)),MIN(AP$38,$D$19),$P$20))-SUM($P937:AO937)</f>
        <v>#VALUE!</v>
      </c>
      <c r="AQ937" s="446" t="e">
        <f>IF(OR($B937="",MIN(AQ$38,$D$19)&lt;MAX($P$708*($B937+IF($R$17="Distrato",$I$38-1,0)),IF(AND($L$711=0,$P$708=0),"",$L$711-1),IF($R$17="Distrato",$E937,0))),0,YEARFRAC(MAX($P$708*($B937+IF($R$17="Distrato",$I$38-1,0)),IF(AND($L$711=0,$P$708=0),"",$L$711-1),IF($R$17="Distrato",$E937,0)),MIN(AQ$38,$D$19),$P$20))-SUM($P937:AP937)</f>
        <v>#VALUE!</v>
      </c>
      <c r="AR937" s="446" t="e">
        <f>IF(OR($B937="",MIN(AR$38,$D$19)&lt;MAX($P$708*($B937+IF($R$17="Distrato",$I$38-1,0)),IF(AND($L$711=0,$P$708=0),"",$L$711-1),IF($R$17="Distrato",$E937,0))),0,YEARFRAC(MAX($P$708*($B937+IF($R$17="Distrato",$I$38-1,0)),IF(AND($L$711=0,$P$708=0),"",$L$711-1),IF($R$17="Distrato",$E937,0)),MIN(AR$38,$D$19),$P$20))-SUM($P937:AQ937)</f>
        <v>#VALUE!</v>
      </c>
      <c r="AS937" s="446" t="e">
        <f>IF(OR($B937="",MIN(AS$38,$D$19)&lt;MAX($P$708*($B937+IF($R$17="Distrato",$I$38-1,0)),IF(AND($L$711=0,$P$708=0),"",$L$711-1),IF($R$17="Distrato",$E937,0))),0,YEARFRAC(MAX($P$708*($B937+IF($R$17="Distrato",$I$38-1,0)),IF(AND($L$711=0,$P$708=0),"",$L$711-1),IF($R$17="Distrato",$E937,0)),MIN(AS$38,$D$19),$P$20))-SUM($P937:AR937)</f>
        <v>#VALUE!</v>
      </c>
      <c r="AT937" s="446" t="e">
        <f>IF(OR($B937="",MIN(AT$38,$D$19)&lt;MAX($P$708*($B937+IF($R$17="Distrato",$I$38-1,0)),IF(AND($L$711=0,$P$708=0),"",$L$711-1),IF($R$17="Distrato",$E937,0))),0,YEARFRAC(MAX($P$708*($B937+IF($R$17="Distrato",$I$38-1,0)),IF(AND($L$711=0,$P$708=0),"",$L$711-1),IF($R$17="Distrato",$E937,0)),MIN(AT$38,$D$19),$P$20))-SUM($P937:AS937)</f>
        <v>#VALUE!</v>
      </c>
      <c r="AU937" s="446" t="e">
        <f>IF(OR($B937="",MIN(AU$38,$D$19)&lt;MAX($P$708*($B937+IF($R$17="Distrato",$I$38-1,0)),IF(AND($L$711=0,$P$708=0),"",$L$711-1),IF($R$17="Distrato",$E937,0))),0,YEARFRAC(MAX($P$708*($B937+IF($R$17="Distrato",$I$38-1,0)),IF(AND($L$711=0,$P$708=0),"",$L$711-1),IF($R$17="Distrato",$E937,0)),MIN(AU$38,$D$19),$P$20))-SUM($P937:AT937)</f>
        <v>#VALUE!</v>
      </c>
      <c r="AV937" s="446" t="e">
        <f>IF(OR($B937="",MIN(AV$38,$D$19)&lt;MAX($P$708*($B937+IF($R$17="Distrato",$I$38-1,0)),IF(AND($L$711=0,$P$708=0),"",$L$711-1),IF($R$17="Distrato",$E937,0))),0,YEARFRAC(MAX($P$708*($B937+IF($R$17="Distrato",$I$38-1,0)),IF(AND($L$711=0,$P$708=0),"",$L$711-1),IF($R$17="Distrato",$E937,0)),MIN(AV$38,$D$19),$P$20))-SUM($P937:AU937)</f>
        <v>#VALUE!</v>
      </c>
      <c r="AW937" s="446" t="e">
        <f>IF(OR($B937="",MIN(AW$38,$D$19)&lt;MAX($P$708*($B937+IF($R$17="Distrato",$I$38-1,0)),IF(AND($L$711=0,$P$708=0),"",$L$711-1),IF($R$17="Distrato",$E937,0))),0,YEARFRAC(MAX($P$708*($B937+IF($R$17="Distrato",$I$38-1,0)),IF(AND($L$711=0,$P$708=0),"",$L$711-1),IF($R$17="Distrato",$E937,0)),MIN(AW$38,$D$19),$P$20))-SUM($P937:AV937)</f>
        <v>#VALUE!</v>
      </c>
      <c r="AX937" s="446" t="e">
        <f>IF(OR($B937="",MIN(AX$38,$D$19)&lt;MAX($P$708*($B937+IF($R$17="Distrato",$I$38-1,0)),IF(AND($L$711=0,$P$708=0),"",$L$711-1),IF($R$17="Distrato",$E937,0))),0,YEARFRAC(MAX($P$708*($B937+IF($R$17="Distrato",$I$38-1,0)),IF(AND($L$711=0,$P$708=0),"",$L$711-1),IF($R$17="Distrato",$E937,0)),MIN(AX$38,$D$19),$P$20))-SUM($P937:AW937)</f>
        <v>#VALUE!</v>
      </c>
      <c r="AY937" s="446" t="e">
        <f>IF(OR($B937="",MIN(AY$38,$D$19)&lt;MAX($P$708*($B937+IF($R$17="Distrato",$I$38-1,0)),IF(AND($L$711=0,$P$708=0),"",$L$711-1),IF($R$17="Distrato",$E937,0))),0,YEARFRAC(MAX($P$708*($B937+IF($R$17="Distrato",$I$38-1,0)),IF(AND($L$711=0,$P$708=0),"",$L$711-1),IF($R$17="Distrato",$E937,0)),MIN(AY$38,$D$19),$P$20))-SUM($P937:AX937)</f>
        <v>#VALUE!</v>
      </c>
      <c r="AZ937" s="446" t="e">
        <f>IF(OR($B937="",MIN(AZ$38,$D$19)&lt;MAX($P$708*($B937+IF($R$17="Distrato",$I$38-1,0)),IF(AND($L$711=0,$P$708=0),"",$L$711-1),IF($R$17="Distrato",$E937,0))),0,YEARFRAC(MAX($P$708*($B937+IF($R$17="Distrato",$I$38-1,0)),IF(AND($L$711=0,$P$708=0),"",$L$711-1),IF($R$17="Distrato",$E937,0)),MIN(AZ$38,$D$19),$P$20))-SUM($P937:AY937)</f>
        <v>#VALUE!</v>
      </c>
      <c r="BA937" s="446" t="e">
        <f>IF(OR($B937="",MIN(BA$38,$D$19)&lt;MAX($P$708*($B937+IF($R$17="Distrato",$I$38-1,0)),IF(AND($L$711=0,$P$708=0),"",$L$711-1),IF($R$17="Distrato",$E937,0))),0,YEARFRAC(MAX($P$708*($B937+IF($R$17="Distrato",$I$38-1,0)),IF(AND($L$711=0,$P$708=0),"",$L$711-1),IF($R$17="Distrato",$E937,0)),MIN(BA$38,$D$19),$P$20))-SUM($P937:AZ937)</f>
        <v>#VALUE!</v>
      </c>
      <c r="BB937" s="447"/>
    </row>
    <row r="938" spans="1:54" s="446" customFormat="1" ht="11.25" hidden="1" customHeight="1" x14ac:dyDescent="0.2">
      <c r="A938" s="235"/>
      <c r="B938" s="236"/>
      <c r="C938" s="29" t="str">
        <f>IF(B938="","",IF($L$709=$BL$25,VLOOKUP(DATE(YEAR($D$19),MONTH($D$19)-1,1),ÍNDICES!$A:$DE,HLOOKUP($BL$25,ÍNDICES!$B$3:$T$4,2)+11)-VLOOKUP(B938,ÍNDICES!$A:$DE,HLOOKUP($BL$25,ÍNDICES!$B$3:$T$4,2)+11)+1%,IF(C$712=$W$26,$J$35,IF(ISERROR(IF(B938&gt;$D$19,1,VLOOKUP(DATE(YEAR(B938),MONTH(B938)+IF($C$709=$S$23,1,0),1),ÍNDICES!$A:$DE,$Z$709+1))),"",IF(B938&gt;$D$19,1,VLOOKUP(DATE(YEAR(B938),MONTH(B938)+IF($C$709=$S$23,1,0),1),ÍNDICES!$A:$DE,$Z$709+1))))))</f>
        <v/>
      </c>
      <c r="D938" s="155"/>
      <c r="E938" s="88"/>
      <c r="F938" s="88"/>
      <c r="G938" s="88"/>
      <c r="H938" s="118"/>
      <c r="I938" s="182">
        <f t="shared" si="136"/>
        <v>0</v>
      </c>
      <c r="J938" s="20">
        <f t="shared" ca="1" si="137"/>
        <v>0</v>
      </c>
      <c r="K938" s="5">
        <f t="shared" ca="1" si="138"/>
        <v>0</v>
      </c>
      <c r="L938" s="61">
        <f t="shared" ca="1" si="139"/>
        <v>0</v>
      </c>
      <c r="M938" s="64">
        <f t="shared" si="140"/>
        <v>0</v>
      </c>
      <c r="N938" s="151"/>
      <c r="O938" s="5">
        <f t="shared" ca="1" si="141"/>
        <v>0</v>
      </c>
      <c r="P938" s="446" t="e">
        <f t="shared" si="142"/>
        <v>#VALUE!</v>
      </c>
      <c r="Q938" s="446" t="e">
        <f>IF(OR($B938="",MIN(Q$38,$D$19)&lt;MAX($P$708*($B938+IF($R$17="Distrato",$I$38-1,0)),IF(AND($L$711=0,$P$708=0),"",$L$711-1),IF($R$17="Distrato",$E938,0))),0,YEARFRAC(MAX($P$708*($B938+IF($R$17="Distrato",$I$38-1,0)),IF(AND($L$711=0,$P$708=0),"",$L$711-1),IF($R$17="Distrato",$E938,0)),MIN(Q$38,$D$19),$P$20))-SUM($P938:P938)</f>
        <v>#VALUE!</v>
      </c>
      <c r="R938" s="446" t="e">
        <f>IF(OR($B938="",MIN(R$38,$D$19)&lt;MAX($P$708*($B938+IF($R$17="Distrato",$I$38-1,0)),IF(AND($L$711=0,$P$708=0),"",$L$711-1),IF($R$17="Distrato",$E938,0))),0,YEARFRAC(MAX($P$708*($B938+IF($R$17="Distrato",$I$38-1,0)),IF(AND($L$711=0,$P$708=0),"",$L$711-1),IF($R$17="Distrato",$E938,0)),MIN(R$38,$D$19),$P$20))-SUM($P938:Q938)</f>
        <v>#VALUE!</v>
      </c>
      <c r="S938" s="446" t="e">
        <f>IF(OR($B938="",MIN(S$38,$D$19)&lt;MAX($P$708*($B938+IF($R$17="Distrato",$I$38-1,0)),IF(AND($L$711=0,$P$708=0),"",$L$711-1),IF($R$17="Distrato",$E938,0))),0,YEARFRAC(MAX($P$708*($B938+IF($R$17="Distrato",$I$38-1,0)),IF(AND($L$711=0,$P$708=0),"",$L$711-1),IF($R$17="Distrato",$E938,0)),MIN(S$38,$D$19),$P$20))-SUM($P938:R938)</f>
        <v>#VALUE!</v>
      </c>
      <c r="T938" s="446" t="e">
        <f>IF(OR($B938="",MIN(T$38,$D$19)&lt;MAX($P$708*($B938+IF($R$17="Distrato",$I$38-1,0)),IF(AND($L$711=0,$P$708=0),"",$L$711-1),IF($R$17="Distrato",$E938,0))),0,YEARFRAC(MAX($P$708*($B938+IF($R$17="Distrato",$I$38-1,0)),IF(AND($L$711=0,$P$708=0),"",$L$711-1),IF($R$17="Distrato",$E938,0)),MIN(T$38,$D$19),$P$20))-SUM($P938:S938)</f>
        <v>#VALUE!</v>
      </c>
      <c r="U938" s="446" t="e">
        <f>IF(OR($B938="",MIN(U$38,$D$19)&lt;MAX($P$708*($B938+IF($R$17="Distrato",$I$38-1,0)),IF(AND($L$711=0,$P$708=0),"",$L$711-1),IF($R$17="Distrato",$E938,0))),0,YEARFRAC(MAX($P$708*($B938+IF($R$17="Distrato",$I$38-1,0)),IF(AND($L$711=0,$P$708=0),"",$L$711-1),IF($R$17="Distrato",$E938,0)),MIN(U$38,$D$19),$P$20))-SUM($P938:T938)</f>
        <v>#VALUE!</v>
      </c>
      <c r="V938" s="446" t="e">
        <f>IF(OR($B938="",MIN(V$38,$D$19)&lt;MAX($P$708*($B938+IF($R$17="Distrato",$I$38-1,0)),IF(AND($L$711=0,$P$708=0),"",$L$711-1),IF($R$17="Distrato",$E938,0))),0,YEARFRAC(MAX($P$708*($B938+IF($R$17="Distrato",$I$38-1,0)),IF(AND($L$711=0,$P$708=0),"",$L$711-1),IF($R$17="Distrato",$E938,0)),MIN(V$38,$D$19),$P$20))-SUM($P938:U938)</f>
        <v>#VALUE!</v>
      </c>
      <c r="W938" s="446" t="e">
        <f>IF(OR($B938="",MIN(W$38,$D$19)&lt;MAX($P$708*($B938+IF($R$17="Distrato",$I$38-1,0)),IF(AND($L$711=0,$P$708=0),"",$L$711-1),IF($R$17="Distrato",$E938,0))),0,YEARFRAC(MAX($P$708*($B938+IF($R$17="Distrato",$I$38-1,0)),IF(AND($L$711=0,$P$708=0),"",$L$711-1),IF($R$17="Distrato",$E938,0)),MIN(W$38,$D$19),$P$20))-SUM($P938:V938)</f>
        <v>#VALUE!</v>
      </c>
      <c r="X938" s="446" t="e">
        <f>IF(OR($B938="",MIN(X$38,$D$19)&lt;MAX($P$708*($B938+IF($R$17="Distrato",$I$38-1,0)),IF(AND($L$711=0,$P$708=0),"",$L$711-1),IF($R$17="Distrato",$E938,0))),0,YEARFRAC(MAX($P$708*($B938+IF($R$17="Distrato",$I$38-1,0)),IF(AND($L$711=0,$P$708=0),"",$L$711-1),IF($R$17="Distrato",$E938,0)),MIN(X$38,$D$19),$P$20))-SUM($P938:W938)</f>
        <v>#VALUE!</v>
      </c>
      <c r="Y938" s="446" t="e">
        <f>IF(OR($B938="",MIN(Y$38,$D$19)&lt;MAX($P$708*($B938+IF($R$17="Distrato",$I$38-1,0)),IF(AND($L$711=0,$P$708=0),"",$L$711-1),IF($R$17="Distrato",$E938,0))),0,YEARFRAC(MAX($P$708*($B938+IF($R$17="Distrato",$I$38-1,0)),IF(AND($L$711=0,$P$708=0),"",$L$711-1),IF($R$17="Distrato",$E938,0)),MIN(Y$38,$D$19),$P$20))-SUM($P938:X938)</f>
        <v>#VALUE!</v>
      </c>
      <c r="Z938" s="446" t="e">
        <f>IF(OR($B938="",MIN(Z$38,$D$19)&lt;MAX($P$708*($B938+IF($R$17="Distrato",$I$38-1,0)),IF(AND($L$711=0,$P$708=0),"",$L$711-1),IF($R$17="Distrato",$E938,0))),0,YEARFRAC(MAX($P$708*($B938+IF($R$17="Distrato",$I$38-1,0)),IF(AND($L$711=0,$P$708=0),"",$L$711-1),IF($R$17="Distrato",$E938,0)),MIN(Z$38,$D$19),$P$20))-SUM($P938:Y938)</f>
        <v>#VALUE!</v>
      </c>
      <c r="AA938" s="446" t="e">
        <f>IF(OR($B938="",MIN(AA$38,$D$19)&lt;MAX($P$708*($B938+IF($R$17="Distrato",$I$38-1,0)),IF(AND($L$711=0,$P$708=0),"",$L$711-1),IF($R$17="Distrato",$E938,0))),0,YEARFRAC(MAX($P$708*($B938+IF($R$17="Distrato",$I$38-1,0)),IF(AND($L$711=0,$P$708=0),"",$L$711-1),IF($R$17="Distrato",$E938,0)),MIN(AA$38,$D$19),$P$20))-SUM($P938:Z938)</f>
        <v>#VALUE!</v>
      </c>
      <c r="AB938" s="446" t="e">
        <f>IF(OR($B938="",MIN(AB$38,$D$19)&lt;MAX($P$708*($B938+IF($R$17="Distrato",$I$38-1,0)),IF(AND($L$711=0,$P$708=0),"",$L$711-1),IF($R$17="Distrato",$E938,0))),0,YEARFRAC(MAX($P$708*($B938+IF($R$17="Distrato",$I$38-1,0)),IF(AND($L$711=0,$P$708=0),"",$L$711-1),IF($R$17="Distrato",$E938,0)),MIN(AB$38,$D$19),$P$20))-SUM($P938:AA938)</f>
        <v>#VALUE!</v>
      </c>
      <c r="AC938" s="446" t="e">
        <f>IF(OR($B938="",MIN(AC$38,$D$19)&lt;MAX($P$708*($B938+IF($R$17="Distrato",$I$38-1,0)),IF(AND($L$711=0,$P$708=0),"",$L$711-1),IF($R$17="Distrato",$E938,0))),0,YEARFRAC(MAX($P$708*($B938+IF($R$17="Distrato",$I$38-1,0)),IF(AND($L$711=0,$P$708=0),"",$L$711-1),IF($R$17="Distrato",$E938,0)),MIN(AC$38,$D$19),$P$20))-SUM($P938:AB938)</f>
        <v>#VALUE!</v>
      </c>
      <c r="AD938" s="446" t="e">
        <f>IF(OR($B938="",MIN(AD$38,$D$19)&lt;MAX($P$708*($B938+IF($R$17="Distrato",$I$38-1,0)),IF(AND($L$711=0,$P$708=0),"",$L$711-1),IF($R$17="Distrato",$E938,0))),0,YEARFRAC(MAX($P$708*($B938+IF($R$17="Distrato",$I$38-1,0)),IF(AND($L$711=0,$P$708=0),"",$L$711-1),IF($R$17="Distrato",$E938,0)),MIN(AD$38,$D$19),$P$20))-SUM($P938:AC938)</f>
        <v>#VALUE!</v>
      </c>
      <c r="AE938" s="446" t="e">
        <f>IF(OR($B938="",MIN(AE$38,$D$19)&lt;MAX($P$708*($B938+IF($R$17="Distrato",$I$38-1,0)),IF(AND($L$711=0,$P$708=0),"",$L$711-1),IF($R$17="Distrato",$E938,0))),0,YEARFRAC(MAX($P$708*($B938+IF($R$17="Distrato",$I$38-1,0)),IF(AND($L$711=0,$P$708=0),"",$L$711-1),IF($R$17="Distrato",$E938,0)),MIN(AE$38,$D$19),$P$20))-SUM($P938:AD938)</f>
        <v>#VALUE!</v>
      </c>
      <c r="AF938" s="446" t="e">
        <f>IF(OR($B938="",MIN(AF$38,$D$19)&lt;MAX($P$708*($B938+IF($R$17="Distrato",$I$38-1,0)),IF(AND($L$711=0,$P$708=0),"",$L$711-1),IF($R$17="Distrato",$E938,0))),0,YEARFRAC(MAX($P$708*($B938+IF($R$17="Distrato",$I$38-1,0)),IF(AND($L$711=0,$P$708=0),"",$L$711-1),IF($R$17="Distrato",$E938,0)),MIN(AF$38,$D$19),$P$20))-SUM($P938:AE938)</f>
        <v>#VALUE!</v>
      </c>
      <c r="AG938" s="446" t="e">
        <f>IF(OR($B938="",MIN(AG$38,$D$19)&lt;MAX($P$708*($B938+IF($R$17="Distrato",$I$38-1,0)),IF(AND($L$711=0,$P$708=0),"",$L$711-1),IF($R$17="Distrato",$E938,0))),0,YEARFRAC(MAX($P$708*($B938+IF($R$17="Distrato",$I$38-1,0)),IF(AND($L$711=0,$P$708=0),"",$L$711-1),IF($R$17="Distrato",$E938,0)),MIN(AG$38,$D$19),$P$20))-SUM($P938:AF938)</f>
        <v>#VALUE!</v>
      </c>
      <c r="AH938" s="446" t="e">
        <f>IF(OR($B938="",MIN(AH$38,$D$19)&lt;MAX($P$708*($B938+IF($R$17="Distrato",$I$38-1,0)),IF(AND($L$711=0,$P$708=0),"",$L$711-1),IF($R$17="Distrato",$E938,0))),0,YEARFRAC(MAX($P$708*($B938+IF($R$17="Distrato",$I$38-1,0)),IF(AND($L$711=0,$P$708=0),"",$L$711-1),IF($R$17="Distrato",$E938,0)),MIN(AH$38,$D$19),$P$20))-SUM($P938:AG938)</f>
        <v>#VALUE!</v>
      </c>
      <c r="AI938" s="446" t="e">
        <f>IF(OR($B938="",MIN(AI$38,$D$19)&lt;MAX($P$708*($B938+IF($R$17="Distrato",$I$38-1,0)),IF(AND($L$711=0,$P$708=0),"",$L$711-1),IF($R$17="Distrato",$E938,0))),0,YEARFRAC(MAX($P$708*($B938+IF($R$17="Distrato",$I$38-1,0)),IF(AND($L$711=0,$P$708=0),"",$L$711-1),IF($R$17="Distrato",$E938,0)),MIN(AI$38,$D$19),$P$20))-SUM($P938:AH938)</f>
        <v>#VALUE!</v>
      </c>
      <c r="AJ938" s="446" t="e">
        <f>IF(OR($B938="",MIN(AJ$38,$D$19)&lt;MAX($P$708*($B938+IF($R$17="Distrato",$I$38-1,0)),IF(AND($L$711=0,$P$708=0),"",$L$711-1),IF($R$17="Distrato",$E938,0))),0,YEARFRAC(MAX($P$708*($B938+IF($R$17="Distrato",$I$38-1,0)),IF(AND($L$711=0,$P$708=0),"",$L$711-1),IF($R$17="Distrato",$E938,0)),MIN(AJ$38,$D$19),$P$20))-SUM($P938:AI938)</f>
        <v>#VALUE!</v>
      </c>
      <c r="AK938" s="446" t="e">
        <f>IF(OR($B938="",MIN(AK$38,$D$19)&lt;MAX($P$708*($B938+IF($R$17="Distrato",$I$38-1,0)),IF(AND($L$711=0,$P$708=0),"",$L$711-1),IF($R$17="Distrato",$E938,0))),0,YEARFRAC(MAX($P$708*($B938+IF($R$17="Distrato",$I$38-1,0)),IF(AND($L$711=0,$P$708=0),"",$L$711-1),IF($R$17="Distrato",$E938,0)),MIN(AK$38,$D$19),$P$20))-SUM($P938:AJ938)</f>
        <v>#VALUE!</v>
      </c>
      <c r="AL938" s="446" t="e">
        <f>IF(OR($B938="",MIN(AL$38,$D$19)&lt;MAX($P$708*($B938+IF($R$17="Distrato",$I$38-1,0)),IF(AND($L$711=0,$P$708=0),"",$L$711-1),IF($R$17="Distrato",$E938,0))),0,YEARFRAC(MAX($P$708*($B938+IF($R$17="Distrato",$I$38-1,0)),IF(AND($L$711=0,$P$708=0),"",$L$711-1),IF($R$17="Distrato",$E938,0)),MIN(AL$38,$D$19),$P$20))-SUM($P938:AK938)</f>
        <v>#VALUE!</v>
      </c>
      <c r="AM938" s="446" t="e">
        <f>IF(OR($B938="",MIN(AM$38,$D$19)&lt;MAX($P$708*($B938+IF($R$17="Distrato",$I$38-1,0)),IF(AND($L$711=0,$P$708=0),"",$L$711-1),IF($R$17="Distrato",$E938,0))),0,YEARFRAC(MAX($P$708*($B938+IF($R$17="Distrato",$I$38-1,0)),IF(AND($L$711=0,$P$708=0),"",$L$711-1),IF($R$17="Distrato",$E938,0)),MIN(AM$38,$D$19),$P$20))-SUM($P938:AL938)</f>
        <v>#VALUE!</v>
      </c>
      <c r="AN938" s="446" t="e">
        <f>IF(OR($B938="",MIN(AN$38,$D$19)&lt;MAX($P$708*($B938+IF($R$17="Distrato",$I$38-1,0)),IF(AND($L$711=0,$P$708=0),"",$L$711-1),IF($R$17="Distrato",$E938,0))),0,YEARFRAC(MAX($P$708*($B938+IF($R$17="Distrato",$I$38-1,0)),IF(AND($L$711=0,$P$708=0),"",$L$711-1),IF($R$17="Distrato",$E938,0)),MIN(AN$38,$D$19),$P$20))-SUM($P938:AM938)</f>
        <v>#VALUE!</v>
      </c>
      <c r="AO938" s="446" t="e">
        <f>IF(OR($B938="",MIN(AO$38,$D$19)&lt;MAX($P$708*($B938+IF($R$17="Distrato",$I$38-1,0)),IF(AND($L$711=0,$P$708=0),"",$L$711-1),IF($R$17="Distrato",$E938,0))),0,YEARFRAC(MAX($P$708*($B938+IF($R$17="Distrato",$I$38-1,0)),IF(AND($L$711=0,$P$708=0),"",$L$711-1),IF($R$17="Distrato",$E938,0)),MIN(AO$38,$D$19),$P$20))-SUM($P938:AN938)</f>
        <v>#VALUE!</v>
      </c>
      <c r="AP938" s="446" t="e">
        <f>IF(OR($B938="",MIN(AP$38,$D$19)&lt;MAX($P$708*($B938+IF($R$17="Distrato",$I$38-1,0)),IF(AND($L$711=0,$P$708=0),"",$L$711-1),IF($R$17="Distrato",$E938,0))),0,YEARFRAC(MAX($P$708*($B938+IF($R$17="Distrato",$I$38-1,0)),IF(AND($L$711=0,$P$708=0),"",$L$711-1),IF($R$17="Distrato",$E938,0)),MIN(AP$38,$D$19),$P$20))-SUM($P938:AO938)</f>
        <v>#VALUE!</v>
      </c>
      <c r="AQ938" s="446" t="e">
        <f>IF(OR($B938="",MIN(AQ$38,$D$19)&lt;MAX($P$708*($B938+IF($R$17="Distrato",$I$38-1,0)),IF(AND($L$711=0,$P$708=0),"",$L$711-1),IF($R$17="Distrato",$E938,0))),0,YEARFRAC(MAX($P$708*($B938+IF($R$17="Distrato",$I$38-1,0)),IF(AND($L$711=0,$P$708=0),"",$L$711-1),IF($R$17="Distrato",$E938,0)),MIN(AQ$38,$D$19),$P$20))-SUM($P938:AP938)</f>
        <v>#VALUE!</v>
      </c>
      <c r="AR938" s="446" t="e">
        <f>IF(OR($B938="",MIN(AR$38,$D$19)&lt;MAX($P$708*($B938+IF($R$17="Distrato",$I$38-1,0)),IF(AND($L$711=0,$P$708=0),"",$L$711-1),IF($R$17="Distrato",$E938,0))),0,YEARFRAC(MAX($P$708*($B938+IF($R$17="Distrato",$I$38-1,0)),IF(AND($L$711=0,$P$708=0),"",$L$711-1),IF($R$17="Distrato",$E938,0)),MIN(AR$38,$D$19),$P$20))-SUM($P938:AQ938)</f>
        <v>#VALUE!</v>
      </c>
      <c r="AS938" s="446" t="e">
        <f>IF(OR($B938="",MIN(AS$38,$D$19)&lt;MAX($P$708*($B938+IF($R$17="Distrato",$I$38-1,0)),IF(AND($L$711=0,$P$708=0),"",$L$711-1),IF($R$17="Distrato",$E938,0))),0,YEARFRAC(MAX($P$708*($B938+IF($R$17="Distrato",$I$38-1,0)),IF(AND($L$711=0,$P$708=0),"",$L$711-1),IF($R$17="Distrato",$E938,0)),MIN(AS$38,$D$19),$P$20))-SUM($P938:AR938)</f>
        <v>#VALUE!</v>
      </c>
      <c r="AT938" s="446" t="e">
        <f>IF(OR($B938="",MIN(AT$38,$D$19)&lt;MAX($P$708*($B938+IF($R$17="Distrato",$I$38-1,0)),IF(AND($L$711=0,$P$708=0),"",$L$711-1),IF($R$17="Distrato",$E938,0))),0,YEARFRAC(MAX($P$708*($B938+IF($R$17="Distrato",$I$38-1,0)),IF(AND($L$711=0,$P$708=0),"",$L$711-1),IF($R$17="Distrato",$E938,0)),MIN(AT$38,$D$19),$P$20))-SUM($P938:AS938)</f>
        <v>#VALUE!</v>
      </c>
      <c r="AU938" s="446" t="e">
        <f>IF(OR($B938="",MIN(AU$38,$D$19)&lt;MAX($P$708*($B938+IF($R$17="Distrato",$I$38-1,0)),IF(AND($L$711=0,$P$708=0),"",$L$711-1),IF($R$17="Distrato",$E938,0))),0,YEARFRAC(MAX($P$708*($B938+IF($R$17="Distrato",$I$38-1,0)),IF(AND($L$711=0,$P$708=0),"",$L$711-1),IF($R$17="Distrato",$E938,0)),MIN(AU$38,$D$19),$P$20))-SUM($P938:AT938)</f>
        <v>#VALUE!</v>
      </c>
      <c r="AV938" s="446" t="e">
        <f>IF(OR($B938="",MIN(AV$38,$D$19)&lt;MAX($P$708*($B938+IF($R$17="Distrato",$I$38-1,0)),IF(AND($L$711=0,$P$708=0),"",$L$711-1),IF($R$17="Distrato",$E938,0))),0,YEARFRAC(MAX($P$708*($B938+IF($R$17="Distrato",$I$38-1,0)),IF(AND($L$711=0,$P$708=0),"",$L$711-1),IF($R$17="Distrato",$E938,0)),MIN(AV$38,$D$19),$P$20))-SUM($P938:AU938)</f>
        <v>#VALUE!</v>
      </c>
      <c r="AW938" s="446" t="e">
        <f>IF(OR($B938="",MIN(AW$38,$D$19)&lt;MAX($P$708*($B938+IF($R$17="Distrato",$I$38-1,0)),IF(AND($L$711=0,$P$708=0),"",$L$711-1),IF($R$17="Distrato",$E938,0))),0,YEARFRAC(MAX($P$708*($B938+IF($R$17="Distrato",$I$38-1,0)),IF(AND($L$711=0,$P$708=0),"",$L$711-1),IF($R$17="Distrato",$E938,0)),MIN(AW$38,$D$19),$P$20))-SUM($P938:AV938)</f>
        <v>#VALUE!</v>
      </c>
      <c r="AX938" s="446" t="e">
        <f>IF(OR($B938="",MIN(AX$38,$D$19)&lt;MAX($P$708*($B938+IF($R$17="Distrato",$I$38-1,0)),IF(AND($L$711=0,$P$708=0),"",$L$711-1),IF($R$17="Distrato",$E938,0))),0,YEARFRAC(MAX($P$708*($B938+IF($R$17="Distrato",$I$38-1,0)),IF(AND($L$711=0,$P$708=0),"",$L$711-1),IF($R$17="Distrato",$E938,0)),MIN(AX$38,$D$19),$P$20))-SUM($P938:AW938)</f>
        <v>#VALUE!</v>
      </c>
      <c r="AY938" s="446" t="e">
        <f>IF(OR($B938="",MIN(AY$38,$D$19)&lt;MAX($P$708*($B938+IF($R$17="Distrato",$I$38-1,0)),IF(AND($L$711=0,$P$708=0),"",$L$711-1),IF($R$17="Distrato",$E938,0))),0,YEARFRAC(MAX($P$708*($B938+IF($R$17="Distrato",$I$38-1,0)),IF(AND($L$711=0,$P$708=0),"",$L$711-1),IF($R$17="Distrato",$E938,0)),MIN(AY$38,$D$19),$P$20))-SUM($P938:AX938)</f>
        <v>#VALUE!</v>
      </c>
      <c r="AZ938" s="446" t="e">
        <f>IF(OR($B938="",MIN(AZ$38,$D$19)&lt;MAX($P$708*($B938+IF($R$17="Distrato",$I$38-1,0)),IF(AND($L$711=0,$P$708=0),"",$L$711-1),IF($R$17="Distrato",$E938,0))),0,YEARFRAC(MAX($P$708*($B938+IF($R$17="Distrato",$I$38-1,0)),IF(AND($L$711=0,$P$708=0),"",$L$711-1),IF($R$17="Distrato",$E938,0)),MIN(AZ$38,$D$19),$P$20))-SUM($P938:AY938)</f>
        <v>#VALUE!</v>
      </c>
      <c r="BA938" s="446" t="e">
        <f>IF(OR($B938="",MIN(BA$38,$D$19)&lt;MAX($P$708*($B938+IF($R$17="Distrato",$I$38-1,0)),IF(AND($L$711=0,$P$708=0),"",$L$711-1),IF($R$17="Distrato",$E938,0))),0,YEARFRAC(MAX($P$708*($B938+IF($R$17="Distrato",$I$38-1,0)),IF(AND($L$711=0,$P$708=0),"",$L$711-1),IF($R$17="Distrato",$E938,0)),MIN(BA$38,$D$19),$P$20))-SUM($P938:AZ938)</f>
        <v>#VALUE!</v>
      </c>
      <c r="BB938" s="447"/>
    </row>
    <row r="939" spans="1:54" s="446" customFormat="1" ht="11.25" hidden="1" customHeight="1" x14ac:dyDescent="0.2">
      <c r="A939" s="235"/>
      <c r="B939" s="236"/>
      <c r="C939" s="29" t="str">
        <f>IF(B939="","",IF($L$709=$BL$25,VLOOKUP(DATE(YEAR($D$19),MONTH($D$19)-1,1),ÍNDICES!$A:$DE,HLOOKUP($BL$25,ÍNDICES!$B$3:$T$4,2)+11)-VLOOKUP(B939,ÍNDICES!$A:$DE,HLOOKUP($BL$25,ÍNDICES!$B$3:$T$4,2)+11)+1%,IF(C$712=$W$26,$J$35,IF(ISERROR(IF(B939&gt;$D$19,1,VLOOKUP(DATE(YEAR(B939),MONTH(B939)+IF($C$709=$S$23,1,0),1),ÍNDICES!$A:$DE,$Z$709+1))),"",IF(B939&gt;$D$19,1,VLOOKUP(DATE(YEAR(B939),MONTH(B939)+IF($C$709=$S$23,1,0),1),ÍNDICES!$A:$DE,$Z$709+1))))))</f>
        <v/>
      </c>
      <c r="D939" s="155"/>
      <c r="E939" s="88"/>
      <c r="F939" s="88"/>
      <c r="G939" s="88"/>
      <c r="H939" s="118"/>
      <c r="I939" s="182">
        <f t="shared" si="136"/>
        <v>0</v>
      </c>
      <c r="J939" s="20">
        <f t="shared" ca="1" si="137"/>
        <v>0</v>
      </c>
      <c r="K939" s="5">
        <f t="shared" ca="1" si="138"/>
        <v>0</v>
      </c>
      <c r="L939" s="61">
        <f t="shared" ca="1" si="139"/>
        <v>0</v>
      </c>
      <c r="M939" s="64">
        <f t="shared" si="140"/>
        <v>0</v>
      </c>
      <c r="N939" s="151"/>
      <c r="O939" s="5">
        <f t="shared" ca="1" si="141"/>
        <v>0</v>
      </c>
      <c r="P939" s="446" t="e">
        <f t="shared" si="142"/>
        <v>#VALUE!</v>
      </c>
      <c r="Q939" s="446" t="e">
        <f>IF(OR($B939="",MIN(Q$38,$D$19)&lt;MAX($P$708*($B939+IF($R$17="Distrato",$I$38-1,0)),IF(AND($L$711=0,$P$708=0),"",$L$711-1),IF($R$17="Distrato",$E939,0))),0,YEARFRAC(MAX($P$708*($B939+IF($R$17="Distrato",$I$38-1,0)),IF(AND($L$711=0,$P$708=0),"",$L$711-1),IF($R$17="Distrato",$E939,0)),MIN(Q$38,$D$19),$P$20))-SUM($P939:P939)</f>
        <v>#VALUE!</v>
      </c>
      <c r="R939" s="446" t="e">
        <f>IF(OR($B939="",MIN(R$38,$D$19)&lt;MAX($P$708*($B939+IF($R$17="Distrato",$I$38-1,0)),IF(AND($L$711=0,$P$708=0),"",$L$711-1),IF($R$17="Distrato",$E939,0))),0,YEARFRAC(MAX($P$708*($B939+IF($R$17="Distrato",$I$38-1,0)),IF(AND($L$711=0,$P$708=0),"",$L$711-1),IF($R$17="Distrato",$E939,0)),MIN(R$38,$D$19),$P$20))-SUM($P939:Q939)</f>
        <v>#VALUE!</v>
      </c>
      <c r="S939" s="446" t="e">
        <f>IF(OR($B939="",MIN(S$38,$D$19)&lt;MAX($P$708*($B939+IF($R$17="Distrato",$I$38-1,0)),IF(AND($L$711=0,$P$708=0),"",$L$711-1),IF($R$17="Distrato",$E939,0))),0,YEARFRAC(MAX($P$708*($B939+IF($R$17="Distrato",$I$38-1,0)),IF(AND($L$711=0,$P$708=0),"",$L$711-1),IF($R$17="Distrato",$E939,0)),MIN(S$38,$D$19),$P$20))-SUM($P939:R939)</f>
        <v>#VALUE!</v>
      </c>
      <c r="T939" s="446" t="e">
        <f>IF(OR($B939="",MIN(T$38,$D$19)&lt;MAX($P$708*($B939+IF($R$17="Distrato",$I$38-1,0)),IF(AND($L$711=0,$P$708=0),"",$L$711-1),IF($R$17="Distrato",$E939,0))),0,YEARFRAC(MAX($P$708*($B939+IF($R$17="Distrato",$I$38-1,0)),IF(AND($L$711=0,$P$708=0),"",$L$711-1),IF($R$17="Distrato",$E939,0)),MIN(T$38,$D$19),$P$20))-SUM($P939:S939)</f>
        <v>#VALUE!</v>
      </c>
      <c r="U939" s="446" t="e">
        <f>IF(OR($B939="",MIN(U$38,$D$19)&lt;MAX($P$708*($B939+IF($R$17="Distrato",$I$38-1,0)),IF(AND($L$711=0,$P$708=0),"",$L$711-1),IF($R$17="Distrato",$E939,0))),0,YEARFRAC(MAX($P$708*($B939+IF($R$17="Distrato",$I$38-1,0)),IF(AND($L$711=0,$P$708=0),"",$L$711-1),IF($R$17="Distrato",$E939,0)),MIN(U$38,$D$19),$P$20))-SUM($P939:T939)</f>
        <v>#VALUE!</v>
      </c>
      <c r="V939" s="446" t="e">
        <f>IF(OR($B939="",MIN(V$38,$D$19)&lt;MAX($P$708*($B939+IF($R$17="Distrato",$I$38-1,0)),IF(AND($L$711=0,$P$708=0),"",$L$711-1),IF($R$17="Distrato",$E939,0))),0,YEARFRAC(MAX($P$708*($B939+IF($R$17="Distrato",$I$38-1,0)),IF(AND($L$711=0,$P$708=0),"",$L$711-1),IF($R$17="Distrato",$E939,0)),MIN(V$38,$D$19),$P$20))-SUM($P939:U939)</f>
        <v>#VALUE!</v>
      </c>
      <c r="W939" s="446" t="e">
        <f>IF(OR($B939="",MIN(W$38,$D$19)&lt;MAX($P$708*($B939+IF($R$17="Distrato",$I$38-1,0)),IF(AND($L$711=0,$P$708=0),"",$L$711-1),IF($R$17="Distrato",$E939,0))),0,YEARFRAC(MAX($P$708*($B939+IF($R$17="Distrato",$I$38-1,0)),IF(AND($L$711=0,$P$708=0),"",$L$711-1),IF($R$17="Distrato",$E939,0)),MIN(W$38,$D$19),$P$20))-SUM($P939:V939)</f>
        <v>#VALUE!</v>
      </c>
      <c r="X939" s="446" t="e">
        <f>IF(OR($B939="",MIN(X$38,$D$19)&lt;MAX($P$708*($B939+IF($R$17="Distrato",$I$38-1,0)),IF(AND($L$711=0,$P$708=0),"",$L$711-1),IF($R$17="Distrato",$E939,0))),0,YEARFRAC(MAX($P$708*($B939+IF($R$17="Distrato",$I$38-1,0)),IF(AND($L$711=0,$P$708=0),"",$L$711-1),IF($R$17="Distrato",$E939,0)),MIN(X$38,$D$19),$P$20))-SUM($P939:W939)</f>
        <v>#VALUE!</v>
      </c>
      <c r="Y939" s="446" t="e">
        <f>IF(OR($B939="",MIN(Y$38,$D$19)&lt;MAX($P$708*($B939+IF($R$17="Distrato",$I$38-1,0)),IF(AND($L$711=0,$P$708=0),"",$L$711-1),IF($R$17="Distrato",$E939,0))),0,YEARFRAC(MAX($P$708*($B939+IF($R$17="Distrato",$I$38-1,0)),IF(AND($L$711=0,$P$708=0),"",$L$711-1),IF($R$17="Distrato",$E939,0)),MIN(Y$38,$D$19),$P$20))-SUM($P939:X939)</f>
        <v>#VALUE!</v>
      </c>
      <c r="Z939" s="446" t="e">
        <f>IF(OR($B939="",MIN(Z$38,$D$19)&lt;MAX($P$708*($B939+IF($R$17="Distrato",$I$38-1,0)),IF(AND($L$711=0,$P$708=0),"",$L$711-1),IF($R$17="Distrato",$E939,0))),0,YEARFRAC(MAX($P$708*($B939+IF($R$17="Distrato",$I$38-1,0)),IF(AND($L$711=0,$P$708=0),"",$L$711-1),IF($R$17="Distrato",$E939,0)),MIN(Z$38,$D$19),$P$20))-SUM($P939:Y939)</f>
        <v>#VALUE!</v>
      </c>
      <c r="AA939" s="446" t="e">
        <f>IF(OR($B939="",MIN(AA$38,$D$19)&lt;MAX($P$708*($B939+IF($R$17="Distrato",$I$38-1,0)),IF(AND($L$711=0,$P$708=0),"",$L$711-1),IF($R$17="Distrato",$E939,0))),0,YEARFRAC(MAX($P$708*($B939+IF($R$17="Distrato",$I$38-1,0)),IF(AND($L$711=0,$P$708=0),"",$L$711-1),IF($R$17="Distrato",$E939,0)),MIN(AA$38,$D$19),$P$20))-SUM($P939:Z939)</f>
        <v>#VALUE!</v>
      </c>
      <c r="AB939" s="446" t="e">
        <f>IF(OR($B939="",MIN(AB$38,$D$19)&lt;MAX($P$708*($B939+IF($R$17="Distrato",$I$38-1,0)),IF(AND($L$711=0,$P$708=0),"",$L$711-1),IF($R$17="Distrato",$E939,0))),0,YEARFRAC(MAX($P$708*($B939+IF($R$17="Distrato",$I$38-1,0)),IF(AND($L$711=0,$P$708=0),"",$L$711-1),IF($R$17="Distrato",$E939,0)),MIN(AB$38,$D$19),$P$20))-SUM($P939:AA939)</f>
        <v>#VALUE!</v>
      </c>
      <c r="AC939" s="446" t="e">
        <f>IF(OR($B939="",MIN(AC$38,$D$19)&lt;MAX($P$708*($B939+IF($R$17="Distrato",$I$38-1,0)),IF(AND($L$711=0,$P$708=0),"",$L$711-1),IF($R$17="Distrato",$E939,0))),0,YEARFRAC(MAX($P$708*($B939+IF($R$17="Distrato",$I$38-1,0)),IF(AND($L$711=0,$P$708=0),"",$L$711-1),IF($R$17="Distrato",$E939,0)),MIN(AC$38,$D$19),$P$20))-SUM($P939:AB939)</f>
        <v>#VALUE!</v>
      </c>
      <c r="AD939" s="446" t="e">
        <f>IF(OR($B939="",MIN(AD$38,$D$19)&lt;MAX($P$708*($B939+IF($R$17="Distrato",$I$38-1,0)),IF(AND($L$711=0,$P$708=0),"",$L$711-1),IF($R$17="Distrato",$E939,0))),0,YEARFRAC(MAX($P$708*($B939+IF($R$17="Distrato",$I$38-1,0)),IF(AND($L$711=0,$P$708=0),"",$L$711-1),IF($R$17="Distrato",$E939,0)),MIN(AD$38,$D$19),$P$20))-SUM($P939:AC939)</f>
        <v>#VALUE!</v>
      </c>
      <c r="AE939" s="446" t="e">
        <f>IF(OR($B939="",MIN(AE$38,$D$19)&lt;MAX($P$708*($B939+IF($R$17="Distrato",$I$38-1,0)),IF(AND($L$711=0,$P$708=0),"",$L$711-1),IF($R$17="Distrato",$E939,0))),0,YEARFRAC(MAX($P$708*($B939+IF($R$17="Distrato",$I$38-1,0)),IF(AND($L$711=0,$P$708=0),"",$L$711-1),IF($R$17="Distrato",$E939,0)),MIN(AE$38,$D$19),$P$20))-SUM($P939:AD939)</f>
        <v>#VALUE!</v>
      </c>
      <c r="AF939" s="446" t="e">
        <f>IF(OR($B939="",MIN(AF$38,$D$19)&lt;MAX($P$708*($B939+IF($R$17="Distrato",$I$38-1,0)),IF(AND($L$711=0,$P$708=0),"",$L$711-1),IF($R$17="Distrato",$E939,0))),0,YEARFRAC(MAX($P$708*($B939+IF($R$17="Distrato",$I$38-1,0)),IF(AND($L$711=0,$P$708=0),"",$L$711-1),IF($R$17="Distrato",$E939,0)),MIN(AF$38,$D$19),$P$20))-SUM($P939:AE939)</f>
        <v>#VALUE!</v>
      </c>
      <c r="AG939" s="446" t="e">
        <f>IF(OR($B939="",MIN(AG$38,$D$19)&lt;MAX($P$708*($B939+IF($R$17="Distrato",$I$38-1,0)),IF(AND($L$711=0,$P$708=0),"",$L$711-1),IF($R$17="Distrato",$E939,0))),0,YEARFRAC(MAX($P$708*($B939+IF($R$17="Distrato",$I$38-1,0)),IF(AND($L$711=0,$P$708=0),"",$L$711-1),IF($R$17="Distrato",$E939,0)),MIN(AG$38,$D$19),$P$20))-SUM($P939:AF939)</f>
        <v>#VALUE!</v>
      </c>
      <c r="AH939" s="446" t="e">
        <f>IF(OR($B939="",MIN(AH$38,$D$19)&lt;MAX($P$708*($B939+IF($R$17="Distrato",$I$38-1,0)),IF(AND($L$711=0,$P$708=0),"",$L$711-1),IF($R$17="Distrato",$E939,0))),0,YEARFRAC(MAX($P$708*($B939+IF($R$17="Distrato",$I$38-1,0)),IF(AND($L$711=0,$P$708=0),"",$L$711-1),IF($R$17="Distrato",$E939,0)),MIN(AH$38,$D$19),$P$20))-SUM($P939:AG939)</f>
        <v>#VALUE!</v>
      </c>
      <c r="AI939" s="446" t="e">
        <f>IF(OR($B939="",MIN(AI$38,$D$19)&lt;MAX($P$708*($B939+IF($R$17="Distrato",$I$38-1,0)),IF(AND($L$711=0,$P$708=0),"",$L$711-1),IF($R$17="Distrato",$E939,0))),0,YEARFRAC(MAX($P$708*($B939+IF($R$17="Distrato",$I$38-1,0)),IF(AND($L$711=0,$P$708=0),"",$L$711-1),IF($R$17="Distrato",$E939,0)),MIN(AI$38,$D$19),$P$20))-SUM($P939:AH939)</f>
        <v>#VALUE!</v>
      </c>
      <c r="AJ939" s="446" t="e">
        <f>IF(OR($B939="",MIN(AJ$38,$D$19)&lt;MAX($P$708*($B939+IF($R$17="Distrato",$I$38-1,0)),IF(AND($L$711=0,$P$708=0),"",$L$711-1),IF($R$17="Distrato",$E939,0))),0,YEARFRAC(MAX($P$708*($B939+IF($R$17="Distrato",$I$38-1,0)),IF(AND($L$711=0,$P$708=0),"",$L$711-1),IF($R$17="Distrato",$E939,0)),MIN(AJ$38,$D$19),$P$20))-SUM($P939:AI939)</f>
        <v>#VALUE!</v>
      </c>
      <c r="AK939" s="446" t="e">
        <f>IF(OR($B939="",MIN(AK$38,$D$19)&lt;MAX($P$708*($B939+IF($R$17="Distrato",$I$38-1,0)),IF(AND($L$711=0,$P$708=0),"",$L$711-1),IF($R$17="Distrato",$E939,0))),0,YEARFRAC(MAX($P$708*($B939+IF($R$17="Distrato",$I$38-1,0)),IF(AND($L$711=0,$P$708=0),"",$L$711-1),IF($R$17="Distrato",$E939,0)),MIN(AK$38,$D$19),$P$20))-SUM($P939:AJ939)</f>
        <v>#VALUE!</v>
      </c>
      <c r="AL939" s="446" t="e">
        <f>IF(OR($B939="",MIN(AL$38,$D$19)&lt;MAX($P$708*($B939+IF($R$17="Distrato",$I$38-1,0)),IF(AND($L$711=0,$P$708=0),"",$L$711-1),IF($R$17="Distrato",$E939,0))),0,YEARFRAC(MAX($P$708*($B939+IF($R$17="Distrato",$I$38-1,0)),IF(AND($L$711=0,$P$708=0),"",$L$711-1),IF($R$17="Distrato",$E939,0)),MIN(AL$38,$D$19),$P$20))-SUM($P939:AK939)</f>
        <v>#VALUE!</v>
      </c>
      <c r="AM939" s="446" t="e">
        <f>IF(OR($B939="",MIN(AM$38,$D$19)&lt;MAX($P$708*($B939+IF($R$17="Distrato",$I$38-1,0)),IF(AND($L$711=0,$P$708=0),"",$L$711-1),IF($R$17="Distrato",$E939,0))),0,YEARFRAC(MAX($P$708*($B939+IF($R$17="Distrato",$I$38-1,0)),IF(AND($L$711=0,$P$708=0),"",$L$711-1),IF($R$17="Distrato",$E939,0)),MIN(AM$38,$D$19),$P$20))-SUM($P939:AL939)</f>
        <v>#VALUE!</v>
      </c>
      <c r="AN939" s="446" t="e">
        <f>IF(OR($B939="",MIN(AN$38,$D$19)&lt;MAX($P$708*($B939+IF($R$17="Distrato",$I$38-1,0)),IF(AND($L$711=0,$P$708=0),"",$L$711-1),IF($R$17="Distrato",$E939,0))),0,YEARFRAC(MAX($P$708*($B939+IF($R$17="Distrato",$I$38-1,0)),IF(AND($L$711=0,$P$708=0),"",$L$711-1),IF($R$17="Distrato",$E939,0)),MIN(AN$38,$D$19),$P$20))-SUM($P939:AM939)</f>
        <v>#VALUE!</v>
      </c>
      <c r="AO939" s="446" t="e">
        <f>IF(OR($B939="",MIN(AO$38,$D$19)&lt;MAX($P$708*($B939+IF($R$17="Distrato",$I$38-1,0)),IF(AND($L$711=0,$P$708=0),"",$L$711-1),IF($R$17="Distrato",$E939,0))),0,YEARFRAC(MAX($P$708*($B939+IF($R$17="Distrato",$I$38-1,0)),IF(AND($L$711=0,$P$708=0),"",$L$711-1),IF($R$17="Distrato",$E939,0)),MIN(AO$38,$D$19),$P$20))-SUM($P939:AN939)</f>
        <v>#VALUE!</v>
      </c>
      <c r="AP939" s="446" t="e">
        <f>IF(OR($B939="",MIN(AP$38,$D$19)&lt;MAX($P$708*($B939+IF($R$17="Distrato",$I$38-1,0)),IF(AND($L$711=0,$P$708=0),"",$L$711-1),IF($R$17="Distrato",$E939,0))),0,YEARFRAC(MAX($P$708*($B939+IF($R$17="Distrato",$I$38-1,0)),IF(AND($L$711=0,$P$708=0),"",$L$711-1),IF($R$17="Distrato",$E939,0)),MIN(AP$38,$D$19),$P$20))-SUM($P939:AO939)</f>
        <v>#VALUE!</v>
      </c>
      <c r="AQ939" s="446" t="e">
        <f>IF(OR($B939="",MIN(AQ$38,$D$19)&lt;MAX($P$708*($B939+IF($R$17="Distrato",$I$38-1,0)),IF(AND($L$711=0,$P$708=0),"",$L$711-1),IF($R$17="Distrato",$E939,0))),0,YEARFRAC(MAX($P$708*($B939+IF($R$17="Distrato",$I$38-1,0)),IF(AND($L$711=0,$P$708=0),"",$L$711-1),IF($R$17="Distrato",$E939,0)),MIN(AQ$38,$D$19),$P$20))-SUM($P939:AP939)</f>
        <v>#VALUE!</v>
      </c>
      <c r="AR939" s="446" t="e">
        <f>IF(OR($B939="",MIN(AR$38,$D$19)&lt;MAX($P$708*($B939+IF($R$17="Distrato",$I$38-1,0)),IF(AND($L$711=0,$P$708=0),"",$L$711-1),IF($R$17="Distrato",$E939,0))),0,YEARFRAC(MAX($P$708*($B939+IF($R$17="Distrato",$I$38-1,0)),IF(AND($L$711=0,$P$708=0),"",$L$711-1),IF($R$17="Distrato",$E939,0)),MIN(AR$38,$D$19),$P$20))-SUM($P939:AQ939)</f>
        <v>#VALUE!</v>
      </c>
      <c r="AS939" s="446" t="e">
        <f>IF(OR($B939="",MIN(AS$38,$D$19)&lt;MAX($P$708*($B939+IF($R$17="Distrato",$I$38-1,0)),IF(AND($L$711=0,$P$708=0),"",$L$711-1),IF($R$17="Distrato",$E939,0))),0,YEARFRAC(MAX($P$708*($B939+IF($R$17="Distrato",$I$38-1,0)),IF(AND($L$711=0,$P$708=0),"",$L$711-1),IF($R$17="Distrato",$E939,0)),MIN(AS$38,$D$19),$P$20))-SUM($P939:AR939)</f>
        <v>#VALUE!</v>
      </c>
      <c r="AT939" s="446" t="e">
        <f>IF(OR($B939="",MIN(AT$38,$D$19)&lt;MAX($P$708*($B939+IF($R$17="Distrato",$I$38-1,0)),IF(AND($L$711=0,$P$708=0),"",$L$711-1),IF($R$17="Distrato",$E939,0))),0,YEARFRAC(MAX($P$708*($B939+IF($R$17="Distrato",$I$38-1,0)),IF(AND($L$711=0,$P$708=0),"",$L$711-1),IF($R$17="Distrato",$E939,0)),MIN(AT$38,$D$19),$P$20))-SUM($P939:AS939)</f>
        <v>#VALUE!</v>
      </c>
      <c r="AU939" s="446" t="e">
        <f>IF(OR($B939="",MIN(AU$38,$D$19)&lt;MAX($P$708*($B939+IF($R$17="Distrato",$I$38-1,0)),IF(AND($L$711=0,$P$708=0),"",$L$711-1),IF($R$17="Distrato",$E939,0))),0,YEARFRAC(MAX($P$708*($B939+IF($R$17="Distrato",$I$38-1,0)),IF(AND($L$711=0,$P$708=0),"",$L$711-1),IF($R$17="Distrato",$E939,0)),MIN(AU$38,$D$19),$P$20))-SUM($P939:AT939)</f>
        <v>#VALUE!</v>
      </c>
      <c r="AV939" s="446" t="e">
        <f>IF(OR($B939="",MIN(AV$38,$D$19)&lt;MAX($P$708*($B939+IF($R$17="Distrato",$I$38-1,0)),IF(AND($L$711=0,$P$708=0),"",$L$711-1),IF($R$17="Distrato",$E939,0))),0,YEARFRAC(MAX($P$708*($B939+IF($R$17="Distrato",$I$38-1,0)),IF(AND($L$711=0,$P$708=0),"",$L$711-1),IF($R$17="Distrato",$E939,0)),MIN(AV$38,$D$19),$P$20))-SUM($P939:AU939)</f>
        <v>#VALUE!</v>
      </c>
      <c r="AW939" s="446" t="e">
        <f>IF(OR($B939="",MIN(AW$38,$D$19)&lt;MAX($P$708*($B939+IF($R$17="Distrato",$I$38-1,0)),IF(AND($L$711=0,$P$708=0),"",$L$711-1),IF($R$17="Distrato",$E939,0))),0,YEARFRAC(MAX($P$708*($B939+IF($R$17="Distrato",$I$38-1,0)),IF(AND($L$711=0,$P$708=0),"",$L$711-1),IF($R$17="Distrato",$E939,0)),MIN(AW$38,$D$19),$P$20))-SUM($P939:AV939)</f>
        <v>#VALUE!</v>
      </c>
      <c r="AX939" s="446" t="e">
        <f>IF(OR($B939="",MIN(AX$38,$D$19)&lt;MAX($P$708*($B939+IF($R$17="Distrato",$I$38-1,0)),IF(AND($L$711=0,$P$708=0),"",$L$711-1),IF($R$17="Distrato",$E939,0))),0,YEARFRAC(MAX($P$708*($B939+IF($R$17="Distrato",$I$38-1,0)),IF(AND($L$711=0,$P$708=0),"",$L$711-1),IF($R$17="Distrato",$E939,0)),MIN(AX$38,$D$19),$P$20))-SUM($P939:AW939)</f>
        <v>#VALUE!</v>
      </c>
      <c r="AY939" s="446" t="e">
        <f>IF(OR($B939="",MIN(AY$38,$D$19)&lt;MAX($P$708*($B939+IF($R$17="Distrato",$I$38-1,0)),IF(AND($L$711=0,$P$708=0),"",$L$711-1),IF($R$17="Distrato",$E939,0))),0,YEARFRAC(MAX($P$708*($B939+IF($R$17="Distrato",$I$38-1,0)),IF(AND($L$711=0,$P$708=0),"",$L$711-1),IF($R$17="Distrato",$E939,0)),MIN(AY$38,$D$19),$P$20))-SUM($P939:AX939)</f>
        <v>#VALUE!</v>
      </c>
      <c r="AZ939" s="446" t="e">
        <f>IF(OR($B939="",MIN(AZ$38,$D$19)&lt;MAX($P$708*($B939+IF($R$17="Distrato",$I$38-1,0)),IF(AND($L$711=0,$P$708=0),"",$L$711-1),IF($R$17="Distrato",$E939,0))),0,YEARFRAC(MAX($P$708*($B939+IF($R$17="Distrato",$I$38-1,0)),IF(AND($L$711=0,$P$708=0),"",$L$711-1),IF($R$17="Distrato",$E939,0)),MIN(AZ$38,$D$19),$P$20))-SUM($P939:AY939)</f>
        <v>#VALUE!</v>
      </c>
      <c r="BA939" s="446" t="e">
        <f>IF(OR($B939="",MIN(BA$38,$D$19)&lt;MAX($P$708*($B939+IF($R$17="Distrato",$I$38-1,0)),IF(AND($L$711=0,$P$708=0),"",$L$711-1),IF($R$17="Distrato",$E939,0))),0,YEARFRAC(MAX($P$708*($B939+IF($R$17="Distrato",$I$38-1,0)),IF(AND($L$711=0,$P$708=0),"",$L$711-1),IF($R$17="Distrato",$E939,0)),MIN(BA$38,$D$19),$P$20))-SUM($P939:AZ939)</f>
        <v>#VALUE!</v>
      </c>
      <c r="BB939" s="447"/>
    </row>
    <row r="940" spans="1:54" s="446" customFormat="1" ht="11.25" hidden="1" customHeight="1" x14ac:dyDescent="0.2">
      <c r="A940" s="235"/>
      <c r="B940" s="236"/>
      <c r="C940" s="29" t="str">
        <f>IF(B940="","",IF($L$709=$BL$25,VLOOKUP(DATE(YEAR($D$19),MONTH($D$19)-1,1),ÍNDICES!$A:$DE,HLOOKUP($BL$25,ÍNDICES!$B$3:$T$4,2)+11)-VLOOKUP(B940,ÍNDICES!$A:$DE,HLOOKUP($BL$25,ÍNDICES!$B$3:$T$4,2)+11)+1%,IF(C$712=$W$26,$J$35,IF(ISERROR(IF(B940&gt;$D$19,1,VLOOKUP(DATE(YEAR(B940),MONTH(B940)+IF($C$709=$S$23,1,0),1),ÍNDICES!$A:$DE,$Z$709+1))),"",IF(B940&gt;$D$19,1,VLOOKUP(DATE(YEAR(B940),MONTH(B940)+IF($C$709=$S$23,1,0),1),ÍNDICES!$A:$DE,$Z$709+1))))))</f>
        <v/>
      </c>
      <c r="D940" s="155"/>
      <c r="E940" s="88"/>
      <c r="F940" s="88"/>
      <c r="G940" s="88"/>
      <c r="H940" s="118"/>
      <c r="I940" s="182">
        <f t="shared" si="136"/>
        <v>0</v>
      </c>
      <c r="J940" s="20">
        <f t="shared" ca="1" si="137"/>
        <v>0</v>
      </c>
      <c r="K940" s="5">
        <f t="shared" ca="1" si="138"/>
        <v>0</v>
      </c>
      <c r="L940" s="61">
        <f t="shared" ca="1" si="139"/>
        <v>0</v>
      </c>
      <c r="M940" s="64">
        <f t="shared" si="140"/>
        <v>0</v>
      </c>
      <c r="N940" s="151"/>
      <c r="O940" s="5">
        <f t="shared" ca="1" si="141"/>
        <v>0</v>
      </c>
      <c r="P940" s="446" t="e">
        <f t="shared" si="142"/>
        <v>#VALUE!</v>
      </c>
      <c r="Q940" s="446" t="e">
        <f>IF(OR($B940="",MIN(Q$38,$D$19)&lt;MAX($P$708*($B940+IF($R$17="Distrato",$I$38-1,0)),IF(AND($L$711=0,$P$708=0),"",$L$711-1),IF($R$17="Distrato",$E940,0))),0,YEARFRAC(MAX($P$708*($B940+IF($R$17="Distrato",$I$38-1,0)),IF(AND($L$711=0,$P$708=0),"",$L$711-1),IF($R$17="Distrato",$E940,0)),MIN(Q$38,$D$19),$P$20))-SUM($P940:P940)</f>
        <v>#VALUE!</v>
      </c>
      <c r="R940" s="446" t="e">
        <f>IF(OR($B940="",MIN(R$38,$D$19)&lt;MAX($P$708*($B940+IF($R$17="Distrato",$I$38-1,0)),IF(AND($L$711=0,$P$708=0),"",$L$711-1),IF($R$17="Distrato",$E940,0))),0,YEARFRAC(MAX($P$708*($B940+IF($R$17="Distrato",$I$38-1,0)),IF(AND($L$711=0,$P$708=0),"",$L$711-1),IF($R$17="Distrato",$E940,0)),MIN(R$38,$D$19),$P$20))-SUM($P940:Q940)</f>
        <v>#VALUE!</v>
      </c>
      <c r="S940" s="446" t="e">
        <f>IF(OR($B940="",MIN(S$38,$D$19)&lt;MAX($P$708*($B940+IF($R$17="Distrato",$I$38-1,0)),IF(AND($L$711=0,$P$708=0),"",$L$711-1),IF($R$17="Distrato",$E940,0))),0,YEARFRAC(MAX($P$708*($B940+IF($R$17="Distrato",$I$38-1,0)),IF(AND($L$711=0,$P$708=0),"",$L$711-1),IF($R$17="Distrato",$E940,0)),MIN(S$38,$D$19),$P$20))-SUM($P940:R940)</f>
        <v>#VALUE!</v>
      </c>
      <c r="T940" s="446" t="e">
        <f>IF(OR($B940="",MIN(T$38,$D$19)&lt;MAX($P$708*($B940+IF($R$17="Distrato",$I$38-1,0)),IF(AND($L$711=0,$P$708=0),"",$L$711-1),IF($R$17="Distrato",$E940,0))),0,YEARFRAC(MAX($P$708*($B940+IF($R$17="Distrato",$I$38-1,0)),IF(AND($L$711=0,$P$708=0),"",$L$711-1),IF($R$17="Distrato",$E940,0)),MIN(T$38,$D$19),$P$20))-SUM($P940:S940)</f>
        <v>#VALUE!</v>
      </c>
      <c r="U940" s="446" t="e">
        <f>IF(OR($B940="",MIN(U$38,$D$19)&lt;MAX($P$708*($B940+IF($R$17="Distrato",$I$38-1,0)),IF(AND($L$711=0,$P$708=0),"",$L$711-1),IF($R$17="Distrato",$E940,0))),0,YEARFRAC(MAX($P$708*($B940+IF($R$17="Distrato",$I$38-1,0)),IF(AND($L$711=0,$P$708=0),"",$L$711-1),IF($R$17="Distrato",$E940,0)),MIN(U$38,$D$19),$P$20))-SUM($P940:T940)</f>
        <v>#VALUE!</v>
      </c>
      <c r="V940" s="446" t="e">
        <f>IF(OR($B940="",MIN(V$38,$D$19)&lt;MAX($P$708*($B940+IF($R$17="Distrato",$I$38-1,0)),IF(AND($L$711=0,$P$708=0),"",$L$711-1),IF($R$17="Distrato",$E940,0))),0,YEARFRAC(MAX($P$708*($B940+IF($R$17="Distrato",$I$38-1,0)),IF(AND($L$711=0,$P$708=0),"",$L$711-1),IF($R$17="Distrato",$E940,0)),MIN(V$38,$D$19),$P$20))-SUM($P940:U940)</f>
        <v>#VALUE!</v>
      </c>
      <c r="W940" s="446" t="e">
        <f>IF(OR($B940="",MIN(W$38,$D$19)&lt;MAX($P$708*($B940+IF($R$17="Distrato",$I$38-1,0)),IF(AND($L$711=0,$P$708=0),"",$L$711-1),IF($R$17="Distrato",$E940,0))),0,YEARFRAC(MAX($P$708*($B940+IF($R$17="Distrato",$I$38-1,0)),IF(AND($L$711=0,$P$708=0),"",$L$711-1),IF($R$17="Distrato",$E940,0)),MIN(W$38,$D$19),$P$20))-SUM($P940:V940)</f>
        <v>#VALUE!</v>
      </c>
      <c r="X940" s="446" t="e">
        <f>IF(OR($B940="",MIN(X$38,$D$19)&lt;MAX($P$708*($B940+IF($R$17="Distrato",$I$38-1,0)),IF(AND($L$711=0,$P$708=0),"",$L$711-1),IF($R$17="Distrato",$E940,0))),0,YEARFRAC(MAX($P$708*($B940+IF($R$17="Distrato",$I$38-1,0)),IF(AND($L$711=0,$P$708=0),"",$L$711-1),IF($R$17="Distrato",$E940,0)),MIN(X$38,$D$19),$P$20))-SUM($P940:W940)</f>
        <v>#VALUE!</v>
      </c>
      <c r="Y940" s="446" t="e">
        <f>IF(OR($B940="",MIN(Y$38,$D$19)&lt;MAX($P$708*($B940+IF($R$17="Distrato",$I$38-1,0)),IF(AND($L$711=0,$P$708=0),"",$L$711-1),IF($R$17="Distrato",$E940,0))),0,YEARFRAC(MAX($P$708*($B940+IF($R$17="Distrato",$I$38-1,0)),IF(AND($L$711=0,$P$708=0),"",$L$711-1),IF($R$17="Distrato",$E940,0)),MIN(Y$38,$D$19),$P$20))-SUM($P940:X940)</f>
        <v>#VALUE!</v>
      </c>
      <c r="Z940" s="446" t="e">
        <f>IF(OR($B940="",MIN(Z$38,$D$19)&lt;MAX($P$708*($B940+IF($R$17="Distrato",$I$38-1,0)),IF(AND($L$711=0,$P$708=0),"",$L$711-1),IF($R$17="Distrato",$E940,0))),0,YEARFRAC(MAX($P$708*($B940+IF($R$17="Distrato",$I$38-1,0)),IF(AND($L$711=0,$P$708=0),"",$L$711-1),IF($R$17="Distrato",$E940,0)),MIN(Z$38,$D$19),$P$20))-SUM($P940:Y940)</f>
        <v>#VALUE!</v>
      </c>
      <c r="AA940" s="446" t="e">
        <f>IF(OR($B940="",MIN(AA$38,$D$19)&lt;MAX($P$708*($B940+IF($R$17="Distrato",$I$38-1,0)),IF(AND($L$711=0,$P$708=0),"",$L$711-1),IF($R$17="Distrato",$E940,0))),0,YEARFRAC(MAX($P$708*($B940+IF($R$17="Distrato",$I$38-1,0)),IF(AND($L$711=0,$P$708=0),"",$L$711-1),IF($R$17="Distrato",$E940,0)),MIN(AA$38,$D$19),$P$20))-SUM($P940:Z940)</f>
        <v>#VALUE!</v>
      </c>
      <c r="AB940" s="446" t="e">
        <f>IF(OR($B940="",MIN(AB$38,$D$19)&lt;MAX($P$708*($B940+IF($R$17="Distrato",$I$38-1,0)),IF(AND($L$711=0,$P$708=0),"",$L$711-1),IF($R$17="Distrato",$E940,0))),0,YEARFRAC(MAX($P$708*($B940+IF($R$17="Distrato",$I$38-1,0)),IF(AND($L$711=0,$P$708=0),"",$L$711-1),IF($R$17="Distrato",$E940,0)),MIN(AB$38,$D$19),$P$20))-SUM($P940:AA940)</f>
        <v>#VALUE!</v>
      </c>
      <c r="AC940" s="446" t="e">
        <f>IF(OR($B940="",MIN(AC$38,$D$19)&lt;MAX($P$708*($B940+IF($R$17="Distrato",$I$38-1,0)),IF(AND($L$711=0,$P$708=0),"",$L$711-1),IF($R$17="Distrato",$E940,0))),0,YEARFRAC(MAX($P$708*($B940+IF($R$17="Distrato",$I$38-1,0)),IF(AND($L$711=0,$P$708=0),"",$L$711-1),IF($R$17="Distrato",$E940,0)),MIN(AC$38,$D$19),$P$20))-SUM($P940:AB940)</f>
        <v>#VALUE!</v>
      </c>
      <c r="AD940" s="446" t="e">
        <f>IF(OR($B940="",MIN(AD$38,$D$19)&lt;MAX($P$708*($B940+IF($R$17="Distrato",$I$38-1,0)),IF(AND($L$711=0,$P$708=0),"",$L$711-1),IF($R$17="Distrato",$E940,0))),0,YEARFRAC(MAX($P$708*($B940+IF($R$17="Distrato",$I$38-1,0)),IF(AND($L$711=0,$P$708=0),"",$L$711-1),IF($R$17="Distrato",$E940,0)),MIN(AD$38,$D$19),$P$20))-SUM($P940:AC940)</f>
        <v>#VALUE!</v>
      </c>
      <c r="AE940" s="446" t="e">
        <f>IF(OR($B940="",MIN(AE$38,$D$19)&lt;MAX($P$708*($B940+IF($R$17="Distrato",$I$38-1,0)),IF(AND($L$711=0,$P$708=0),"",$L$711-1),IF($R$17="Distrato",$E940,0))),0,YEARFRAC(MAX($P$708*($B940+IF($R$17="Distrato",$I$38-1,0)),IF(AND($L$711=0,$P$708=0),"",$L$711-1),IF($R$17="Distrato",$E940,0)),MIN(AE$38,$D$19),$P$20))-SUM($P940:AD940)</f>
        <v>#VALUE!</v>
      </c>
      <c r="AF940" s="446" t="e">
        <f>IF(OR($B940="",MIN(AF$38,$D$19)&lt;MAX($P$708*($B940+IF($R$17="Distrato",$I$38-1,0)),IF(AND($L$711=0,$P$708=0),"",$L$711-1),IF($R$17="Distrato",$E940,0))),0,YEARFRAC(MAX($P$708*($B940+IF($R$17="Distrato",$I$38-1,0)),IF(AND($L$711=0,$P$708=0),"",$L$711-1),IF($R$17="Distrato",$E940,0)),MIN(AF$38,$D$19),$P$20))-SUM($P940:AE940)</f>
        <v>#VALUE!</v>
      </c>
      <c r="AG940" s="446" t="e">
        <f>IF(OR($B940="",MIN(AG$38,$D$19)&lt;MAX($P$708*($B940+IF($R$17="Distrato",$I$38-1,0)),IF(AND($L$711=0,$P$708=0),"",$L$711-1),IF($R$17="Distrato",$E940,0))),0,YEARFRAC(MAX($P$708*($B940+IF($R$17="Distrato",$I$38-1,0)),IF(AND($L$711=0,$P$708=0),"",$L$711-1),IF($R$17="Distrato",$E940,0)),MIN(AG$38,$D$19),$P$20))-SUM($P940:AF940)</f>
        <v>#VALUE!</v>
      </c>
      <c r="AH940" s="446" t="e">
        <f>IF(OR($B940="",MIN(AH$38,$D$19)&lt;MAX($P$708*($B940+IF($R$17="Distrato",$I$38-1,0)),IF(AND($L$711=0,$P$708=0),"",$L$711-1),IF($R$17="Distrato",$E940,0))),0,YEARFRAC(MAX($P$708*($B940+IF($R$17="Distrato",$I$38-1,0)),IF(AND($L$711=0,$P$708=0),"",$L$711-1),IF($R$17="Distrato",$E940,0)),MIN(AH$38,$D$19),$P$20))-SUM($P940:AG940)</f>
        <v>#VALUE!</v>
      </c>
      <c r="AI940" s="446" t="e">
        <f>IF(OR($B940="",MIN(AI$38,$D$19)&lt;MAX($P$708*($B940+IF($R$17="Distrato",$I$38-1,0)),IF(AND($L$711=0,$P$708=0),"",$L$711-1),IF($R$17="Distrato",$E940,0))),0,YEARFRAC(MAX($P$708*($B940+IF($R$17="Distrato",$I$38-1,0)),IF(AND($L$711=0,$P$708=0),"",$L$711-1),IF($R$17="Distrato",$E940,0)),MIN(AI$38,$D$19),$P$20))-SUM($P940:AH940)</f>
        <v>#VALUE!</v>
      </c>
      <c r="AJ940" s="446" t="e">
        <f>IF(OR($B940="",MIN(AJ$38,$D$19)&lt;MAX($P$708*($B940+IF($R$17="Distrato",$I$38-1,0)),IF(AND($L$711=0,$P$708=0),"",$L$711-1),IF($R$17="Distrato",$E940,0))),0,YEARFRAC(MAX($P$708*($B940+IF($R$17="Distrato",$I$38-1,0)),IF(AND($L$711=0,$P$708=0),"",$L$711-1),IF($R$17="Distrato",$E940,0)),MIN(AJ$38,$D$19),$P$20))-SUM($P940:AI940)</f>
        <v>#VALUE!</v>
      </c>
      <c r="AK940" s="446" t="e">
        <f>IF(OR($B940="",MIN(AK$38,$D$19)&lt;MAX($P$708*($B940+IF($R$17="Distrato",$I$38-1,0)),IF(AND($L$711=0,$P$708=0),"",$L$711-1),IF($R$17="Distrato",$E940,0))),0,YEARFRAC(MAX($P$708*($B940+IF($R$17="Distrato",$I$38-1,0)),IF(AND($L$711=0,$P$708=0),"",$L$711-1),IF($R$17="Distrato",$E940,0)),MIN(AK$38,$D$19),$P$20))-SUM($P940:AJ940)</f>
        <v>#VALUE!</v>
      </c>
      <c r="AL940" s="446" t="e">
        <f>IF(OR($B940="",MIN(AL$38,$D$19)&lt;MAX($P$708*($B940+IF($R$17="Distrato",$I$38-1,0)),IF(AND($L$711=0,$P$708=0),"",$L$711-1),IF($R$17="Distrato",$E940,0))),0,YEARFRAC(MAX($P$708*($B940+IF($R$17="Distrato",$I$38-1,0)),IF(AND($L$711=0,$P$708=0),"",$L$711-1),IF($R$17="Distrato",$E940,0)),MIN(AL$38,$D$19),$P$20))-SUM($P940:AK940)</f>
        <v>#VALUE!</v>
      </c>
      <c r="AM940" s="446" t="e">
        <f>IF(OR($B940="",MIN(AM$38,$D$19)&lt;MAX($P$708*($B940+IF($R$17="Distrato",$I$38-1,0)),IF(AND($L$711=0,$P$708=0),"",$L$711-1),IF($R$17="Distrato",$E940,0))),0,YEARFRAC(MAX($P$708*($B940+IF($R$17="Distrato",$I$38-1,0)),IF(AND($L$711=0,$P$708=0),"",$L$711-1),IF($R$17="Distrato",$E940,0)),MIN(AM$38,$D$19),$P$20))-SUM($P940:AL940)</f>
        <v>#VALUE!</v>
      </c>
      <c r="AN940" s="446" t="e">
        <f>IF(OR($B940="",MIN(AN$38,$D$19)&lt;MAX($P$708*($B940+IF($R$17="Distrato",$I$38-1,0)),IF(AND($L$711=0,$P$708=0),"",$L$711-1),IF($R$17="Distrato",$E940,0))),0,YEARFRAC(MAX($P$708*($B940+IF($R$17="Distrato",$I$38-1,0)),IF(AND($L$711=0,$P$708=0),"",$L$711-1),IF($R$17="Distrato",$E940,0)),MIN(AN$38,$D$19),$P$20))-SUM($P940:AM940)</f>
        <v>#VALUE!</v>
      </c>
      <c r="AO940" s="446" t="e">
        <f>IF(OR($B940="",MIN(AO$38,$D$19)&lt;MAX($P$708*($B940+IF($R$17="Distrato",$I$38-1,0)),IF(AND($L$711=0,$P$708=0),"",$L$711-1),IF($R$17="Distrato",$E940,0))),0,YEARFRAC(MAX($P$708*($B940+IF($R$17="Distrato",$I$38-1,0)),IF(AND($L$711=0,$P$708=0),"",$L$711-1),IF($R$17="Distrato",$E940,0)),MIN(AO$38,$D$19),$P$20))-SUM($P940:AN940)</f>
        <v>#VALUE!</v>
      </c>
      <c r="AP940" s="446" t="e">
        <f>IF(OR($B940="",MIN(AP$38,$D$19)&lt;MAX($P$708*($B940+IF($R$17="Distrato",$I$38-1,0)),IF(AND($L$711=0,$P$708=0),"",$L$711-1),IF($R$17="Distrato",$E940,0))),0,YEARFRAC(MAX($P$708*($B940+IF($R$17="Distrato",$I$38-1,0)),IF(AND($L$711=0,$P$708=0),"",$L$711-1),IF($R$17="Distrato",$E940,0)),MIN(AP$38,$D$19),$P$20))-SUM($P940:AO940)</f>
        <v>#VALUE!</v>
      </c>
      <c r="AQ940" s="446" t="e">
        <f>IF(OR($B940="",MIN(AQ$38,$D$19)&lt;MAX($P$708*($B940+IF($R$17="Distrato",$I$38-1,0)),IF(AND($L$711=0,$P$708=0),"",$L$711-1),IF($R$17="Distrato",$E940,0))),0,YEARFRAC(MAX($P$708*($B940+IF($R$17="Distrato",$I$38-1,0)),IF(AND($L$711=0,$P$708=0),"",$L$711-1),IF($R$17="Distrato",$E940,0)),MIN(AQ$38,$D$19),$P$20))-SUM($P940:AP940)</f>
        <v>#VALUE!</v>
      </c>
      <c r="AR940" s="446" t="e">
        <f>IF(OR($B940="",MIN(AR$38,$D$19)&lt;MAX($P$708*($B940+IF($R$17="Distrato",$I$38-1,0)),IF(AND($L$711=0,$P$708=0),"",$L$711-1),IF($R$17="Distrato",$E940,0))),0,YEARFRAC(MAX($P$708*($B940+IF($R$17="Distrato",$I$38-1,0)),IF(AND($L$711=0,$P$708=0),"",$L$711-1),IF($R$17="Distrato",$E940,0)),MIN(AR$38,$D$19),$P$20))-SUM($P940:AQ940)</f>
        <v>#VALUE!</v>
      </c>
      <c r="AS940" s="446" t="e">
        <f>IF(OR($B940="",MIN(AS$38,$D$19)&lt;MAX($P$708*($B940+IF($R$17="Distrato",$I$38-1,0)),IF(AND($L$711=0,$P$708=0),"",$L$711-1),IF($R$17="Distrato",$E940,0))),0,YEARFRAC(MAX($P$708*($B940+IF($R$17="Distrato",$I$38-1,0)),IF(AND($L$711=0,$P$708=0),"",$L$711-1),IF($R$17="Distrato",$E940,0)),MIN(AS$38,$D$19),$P$20))-SUM($P940:AR940)</f>
        <v>#VALUE!</v>
      </c>
      <c r="AT940" s="446" t="e">
        <f>IF(OR($B940="",MIN(AT$38,$D$19)&lt;MAX($P$708*($B940+IF($R$17="Distrato",$I$38-1,0)),IF(AND($L$711=0,$P$708=0),"",$L$711-1),IF($R$17="Distrato",$E940,0))),0,YEARFRAC(MAX($P$708*($B940+IF($R$17="Distrato",$I$38-1,0)),IF(AND($L$711=0,$P$708=0),"",$L$711-1),IF($R$17="Distrato",$E940,0)),MIN(AT$38,$D$19),$P$20))-SUM($P940:AS940)</f>
        <v>#VALUE!</v>
      </c>
      <c r="AU940" s="446" t="e">
        <f>IF(OR($B940="",MIN(AU$38,$D$19)&lt;MAX($P$708*($B940+IF($R$17="Distrato",$I$38-1,0)),IF(AND($L$711=0,$P$708=0),"",$L$711-1),IF($R$17="Distrato",$E940,0))),0,YEARFRAC(MAX($P$708*($B940+IF($R$17="Distrato",$I$38-1,0)),IF(AND($L$711=0,$P$708=0),"",$L$711-1),IF($R$17="Distrato",$E940,0)),MIN(AU$38,$D$19),$P$20))-SUM($P940:AT940)</f>
        <v>#VALUE!</v>
      </c>
      <c r="AV940" s="446" t="e">
        <f>IF(OR($B940="",MIN(AV$38,$D$19)&lt;MAX($P$708*($B940+IF($R$17="Distrato",$I$38-1,0)),IF(AND($L$711=0,$P$708=0),"",$L$711-1),IF($R$17="Distrato",$E940,0))),0,YEARFRAC(MAX($P$708*($B940+IF($R$17="Distrato",$I$38-1,0)),IF(AND($L$711=0,$P$708=0),"",$L$711-1),IF($R$17="Distrato",$E940,0)),MIN(AV$38,$D$19),$P$20))-SUM($P940:AU940)</f>
        <v>#VALUE!</v>
      </c>
      <c r="AW940" s="446" t="e">
        <f>IF(OR($B940="",MIN(AW$38,$D$19)&lt;MAX($P$708*($B940+IF($R$17="Distrato",$I$38-1,0)),IF(AND($L$711=0,$P$708=0),"",$L$711-1),IF($R$17="Distrato",$E940,0))),0,YEARFRAC(MAX($P$708*($B940+IF($R$17="Distrato",$I$38-1,0)),IF(AND($L$711=0,$P$708=0),"",$L$711-1),IF($R$17="Distrato",$E940,0)),MIN(AW$38,$D$19),$P$20))-SUM($P940:AV940)</f>
        <v>#VALUE!</v>
      </c>
      <c r="AX940" s="446" t="e">
        <f>IF(OR($B940="",MIN(AX$38,$D$19)&lt;MAX($P$708*($B940+IF($R$17="Distrato",$I$38-1,0)),IF(AND($L$711=0,$P$708=0),"",$L$711-1),IF($R$17="Distrato",$E940,0))),0,YEARFRAC(MAX($P$708*($B940+IF($R$17="Distrato",$I$38-1,0)),IF(AND($L$711=0,$P$708=0),"",$L$711-1),IF($R$17="Distrato",$E940,0)),MIN(AX$38,$D$19),$P$20))-SUM($P940:AW940)</f>
        <v>#VALUE!</v>
      </c>
      <c r="AY940" s="446" t="e">
        <f>IF(OR($B940="",MIN(AY$38,$D$19)&lt;MAX($P$708*($B940+IF($R$17="Distrato",$I$38-1,0)),IF(AND($L$711=0,$P$708=0),"",$L$711-1),IF($R$17="Distrato",$E940,0))),0,YEARFRAC(MAX($P$708*($B940+IF($R$17="Distrato",$I$38-1,0)),IF(AND($L$711=0,$P$708=0),"",$L$711-1),IF($R$17="Distrato",$E940,0)),MIN(AY$38,$D$19),$P$20))-SUM($P940:AX940)</f>
        <v>#VALUE!</v>
      </c>
      <c r="AZ940" s="446" t="e">
        <f>IF(OR($B940="",MIN(AZ$38,$D$19)&lt;MAX($P$708*($B940+IF($R$17="Distrato",$I$38-1,0)),IF(AND($L$711=0,$P$708=0),"",$L$711-1),IF($R$17="Distrato",$E940,0))),0,YEARFRAC(MAX($P$708*($B940+IF($R$17="Distrato",$I$38-1,0)),IF(AND($L$711=0,$P$708=0),"",$L$711-1),IF($R$17="Distrato",$E940,0)),MIN(AZ$38,$D$19),$P$20))-SUM($P940:AY940)</f>
        <v>#VALUE!</v>
      </c>
      <c r="BA940" s="446" t="e">
        <f>IF(OR($B940="",MIN(BA$38,$D$19)&lt;MAX($P$708*($B940+IF($R$17="Distrato",$I$38-1,0)),IF(AND($L$711=0,$P$708=0),"",$L$711-1),IF($R$17="Distrato",$E940,0))),0,YEARFRAC(MAX($P$708*($B940+IF($R$17="Distrato",$I$38-1,0)),IF(AND($L$711=0,$P$708=0),"",$L$711-1),IF($R$17="Distrato",$E940,0)),MIN(BA$38,$D$19),$P$20))-SUM($P940:AZ940)</f>
        <v>#VALUE!</v>
      </c>
      <c r="BB940" s="447"/>
    </row>
    <row r="941" spans="1:54" s="446" customFormat="1" ht="11.25" hidden="1" customHeight="1" x14ac:dyDescent="0.2">
      <c r="A941" s="235"/>
      <c r="B941" s="236"/>
      <c r="C941" s="29" t="str">
        <f>IF(B941="","",IF($L$709=$BL$25,VLOOKUP(DATE(YEAR($D$19),MONTH($D$19)-1,1),ÍNDICES!$A:$DE,HLOOKUP($BL$25,ÍNDICES!$B$3:$T$4,2)+11)-VLOOKUP(B941,ÍNDICES!$A:$DE,HLOOKUP($BL$25,ÍNDICES!$B$3:$T$4,2)+11)+1%,IF(C$712=$W$26,$J$35,IF(ISERROR(IF(B941&gt;$D$19,1,VLOOKUP(DATE(YEAR(B941),MONTH(B941)+IF($C$709=$S$23,1,0),1),ÍNDICES!$A:$DE,$Z$709+1))),"",IF(B941&gt;$D$19,1,VLOOKUP(DATE(YEAR(B941),MONTH(B941)+IF($C$709=$S$23,1,0),1),ÍNDICES!$A:$DE,$Z$709+1))))))</f>
        <v/>
      </c>
      <c r="D941" s="155"/>
      <c r="E941" s="88"/>
      <c r="F941" s="88"/>
      <c r="G941" s="88"/>
      <c r="H941" s="118"/>
      <c r="I941" s="182">
        <f t="shared" si="136"/>
        <v>0</v>
      </c>
      <c r="J941" s="20">
        <f t="shared" ca="1" si="137"/>
        <v>0</v>
      </c>
      <c r="K941" s="5">
        <f t="shared" ca="1" si="138"/>
        <v>0</v>
      </c>
      <c r="L941" s="61">
        <f t="shared" ca="1" si="139"/>
        <v>0</v>
      </c>
      <c r="M941" s="64">
        <f t="shared" si="140"/>
        <v>0</v>
      </c>
      <c r="N941" s="151"/>
      <c r="O941" s="5">
        <f t="shared" ca="1" si="141"/>
        <v>0</v>
      </c>
      <c r="P941" s="446" t="e">
        <f t="shared" si="142"/>
        <v>#VALUE!</v>
      </c>
      <c r="Q941" s="446" t="e">
        <f>IF(OR($B941="",MIN(Q$38,$D$19)&lt;MAX($P$708*($B941+IF($R$17="Distrato",$I$38-1,0)),IF(AND($L$711=0,$P$708=0),"",$L$711-1),IF($R$17="Distrato",$E941,0))),0,YEARFRAC(MAX($P$708*($B941+IF($R$17="Distrato",$I$38-1,0)),IF(AND($L$711=0,$P$708=0),"",$L$711-1),IF($R$17="Distrato",$E941,0)),MIN(Q$38,$D$19),$P$20))-SUM($P941:P941)</f>
        <v>#VALUE!</v>
      </c>
      <c r="R941" s="446" t="e">
        <f>IF(OR($B941="",MIN(R$38,$D$19)&lt;MAX($P$708*($B941+IF($R$17="Distrato",$I$38-1,0)),IF(AND($L$711=0,$P$708=0),"",$L$711-1),IF($R$17="Distrato",$E941,0))),0,YEARFRAC(MAX($P$708*($B941+IF($R$17="Distrato",$I$38-1,0)),IF(AND($L$711=0,$P$708=0),"",$L$711-1),IF($R$17="Distrato",$E941,0)),MIN(R$38,$D$19),$P$20))-SUM($P941:Q941)</f>
        <v>#VALUE!</v>
      </c>
      <c r="S941" s="446" t="e">
        <f>IF(OR($B941="",MIN(S$38,$D$19)&lt;MAX($P$708*($B941+IF($R$17="Distrato",$I$38-1,0)),IF(AND($L$711=0,$P$708=0),"",$L$711-1),IF($R$17="Distrato",$E941,0))),0,YEARFRAC(MAX($P$708*($B941+IF($R$17="Distrato",$I$38-1,0)),IF(AND($L$711=0,$P$708=0),"",$L$711-1),IF($R$17="Distrato",$E941,0)),MIN(S$38,$D$19),$P$20))-SUM($P941:R941)</f>
        <v>#VALUE!</v>
      </c>
      <c r="T941" s="446" t="e">
        <f>IF(OR($B941="",MIN(T$38,$D$19)&lt;MAX($P$708*($B941+IF($R$17="Distrato",$I$38-1,0)),IF(AND($L$711=0,$P$708=0),"",$L$711-1),IF($R$17="Distrato",$E941,0))),0,YEARFRAC(MAX($P$708*($B941+IF($R$17="Distrato",$I$38-1,0)),IF(AND($L$711=0,$P$708=0),"",$L$711-1),IF($R$17="Distrato",$E941,0)),MIN(T$38,$D$19),$P$20))-SUM($P941:S941)</f>
        <v>#VALUE!</v>
      </c>
      <c r="U941" s="446" t="e">
        <f>IF(OR($B941="",MIN(U$38,$D$19)&lt;MAX($P$708*($B941+IF($R$17="Distrato",$I$38-1,0)),IF(AND($L$711=0,$P$708=0),"",$L$711-1),IF($R$17="Distrato",$E941,0))),0,YEARFRAC(MAX($P$708*($B941+IF($R$17="Distrato",$I$38-1,0)),IF(AND($L$711=0,$P$708=0),"",$L$711-1),IF($R$17="Distrato",$E941,0)),MIN(U$38,$D$19),$P$20))-SUM($P941:T941)</f>
        <v>#VALUE!</v>
      </c>
      <c r="V941" s="446" t="e">
        <f>IF(OR($B941="",MIN(V$38,$D$19)&lt;MAX($P$708*($B941+IF($R$17="Distrato",$I$38-1,0)),IF(AND($L$711=0,$P$708=0),"",$L$711-1),IF($R$17="Distrato",$E941,0))),0,YEARFRAC(MAX($P$708*($B941+IF($R$17="Distrato",$I$38-1,0)),IF(AND($L$711=0,$P$708=0),"",$L$711-1),IF($R$17="Distrato",$E941,0)),MIN(V$38,$D$19),$P$20))-SUM($P941:U941)</f>
        <v>#VALUE!</v>
      </c>
      <c r="W941" s="446" t="e">
        <f>IF(OR($B941="",MIN(W$38,$D$19)&lt;MAX($P$708*($B941+IF($R$17="Distrato",$I$38-1,0)),IF(AND($L$711=0,$P$708=0),"",$L$711-1),IF($R$17="Distrato",$E941,0))),0,YEARFRAC(MAX($P$708*($B941+IF($R$17="Distrato",$I$38-1,0)),IF(AND($L$711=0,$P$708=0),"",$L$711-1),IF($R$17="Distrato",$E941,0)),MIN(W$38,$D$19),$P$20))-SUM($P941:V941)</f>
        <v>#VALUE!</v>
      </c>
      <c r="X941" s="446" t="e">
        <f>IF(OR($B941="",MIN(X$38,$D$19)&lt;MAX($P$708*($B941+IF($R$17="Distrato",$I$38-1,0)),IF(AND($L$711=0,$P$708=0),"",$L$711-1),IF($R$17="Distrato",$E941,0))),0,YEARFRAC(MAX($P$708*($B941+IF($R$17="Distrato",$I$38-1,0)),IF(AND($L$711=0,$P$708=0),"",$L$711-1),IF($R$17="Distrato",$E941,0)),MIN(X$38,$D$19),$P$20))-SUM($P941:W941)</f>
        <v>#VALUE!</v>
      </c>
      <c r="Y941" s="446" t="e">
        <f>IF(OR($B941="",MIN(Y$38,$D$19)&lt;MAX($P$708*($B941+IF($R$17="Distrato",$I$38-1,0)),IF(AND($L$711=0,$P$708=0),"",$L$711-1),IF($R$17="Distrato",$E941,0))),0,YEARFRAC(MAX($P$708*($B941+IF($R$17="Distrato",$I$38-1,0)),IF(AND($L$711=0,$P$708=0),"",$L$711-1),IF($R$17="Distrato",$E941,0)),MIN(Y$38,$D$19),$P$20))-SUM($P941:X941)</f>
        <v>#VALUE!</v>
      </c>
      <c r="Z941" s="446" t="e">
        <f>IF(OR($B941="",MIN(Z$38,$D$19)&lt;MAX($P$708*($B941+IF($R$17="Distrato",$I$38-1,0)),IF(AND($L$711=0,$P$708=0),"",$L$711-1),IF($R$17="Distrato",$E941,0))),0,YEARFRAC(MAX($P$708*($B941+IF($R$17="Distrato",$I$38-1,0)),IF(AND($L$711=0,$P$708=0),"",$L$711-1),IF($R$17="Distrato",$E941,0)),MIN(Z$38,$D$19),$P$20))-SUM($P941:Y941)</f>
        <v>#VALUE!</v>
      </c>
      <c r="AA941" s="446" t="e">
        <f>IF(OR($B941="",MIN(AA$38,$D$19)&lt;MAX($P$708*($B941+IF($R$17="Distrato",$I$38-1,0)),IF(AND($L$711=0,$P$708=0),"",$L$711-1),IF($R$17="Distrato",$E941,0))),0,YEARFRAC(MAX($P$708*($B941+IF($R$17="Distrato",$I$38-1,0)),IF(AND($L$711=0,$P$708=0),"",$L$711-1),IF($R$17="Distrato",$E941,0)),MIN(AA$38,$D$19),$P$20))-SUM($P941:Z941)</f>
        <v>#VALUE!</v>
      </c>
      <c r="AB941" s="446" t="e">
        <f>IF(OR($B941="",MIN(AB$38,$D$19)&lt;MAX($P$708*($B941+IF($R$17="Distrato",$I$38-1,0)),IF(AND($L$711=0,$P$708=0),"",$L$711-1),IF($R$17="Distrato",$E941,0))),0,YEARFRAC(MAX($P$708*($B941+IF($R$17="Distrato",$I$38-1,0)),IF(AND($L$711=0,$P$708=0),"",$L$711-1),IF($R$17="Distrato",$E941,0)),MIN(AB$38,$D$19),$P$20))-SUM($P941:AA941)</f>
        <v>#VALUE!</v>
      </c>
      <c r="AC941" s="446" t="e">
        <f>IF(OR($B941="",MIN(AC$38,$D$19)&lt;MAX($P$708*($B941+IF($R$17="Distrato",$I$38-1,0)),IF(AND($L$711=0,$P$708=0),"",$L$711-1),IF($R$17="Distrato",$E941,0))),0,YEARFRAC(MAX($P$708*($B941+IF($R$17="Distrato",$I$38-1,0)),IF(AND($L$711=0,$P$708=0),"",$L$711-1),IF($R$17="Distrato",$E941,0)),MIN(AC$38,$D$19),$P$20))-SUM($P941:AB941)</f>
        <v>#VALUE!</v>
      </c>
      <c r="AD941" s="446" t="e">
        <f>IF(OR($B941="",MIN(AD$38,$D$19)&lt;MAX($P$708*($B941+IF($R$17="Distrato",$I$38-1,0)),IF(AND($L$711=0,$P$708=0),"",$L$711-1),IF($R$17="Distrato",$E941,0))),0,YEARFRAC(MAX($P$708*($B941+IF($R$17="Distrato",$I$38-1,0)),IF(AND($L$711=0,$P$708=0),"",$L$711-1),IF($R$17="Distrato",$E941,0)),MIN(AD$38,$D$19),$P$20))-SUM($P941:AC941)</f>
        <v>#VALUE!</v>
      </c>
      <c r="AE941" s="446" t="e">
        <f>IF(OR($B941="",MIN(AE$38,$D$19)&lt;MAX($P$708*($B941+IF($R$17="Distrato",$I$38-1,0)),IF(AND($L$711=0,$P$708=0),"",$L$711-1),IF($R$17="Distrato",$E941,0))),0,YEARFRAC(MAX($P$708*($B941+IF($R$17="Distrato",$I$38-1,0)),IF(AND($L$711=0,$P$708=0),"",$L$711-1),IF($R$17="Distrato",$E941,0)),MIN(AE$38,$D$19),$P$20))-SUM($P941:AD941)</f>
        <v>#VALUE!</v>
      </c>
      <c r="AF941" s="446" t="e">
        <f>IF(OR($B941="",MIN(AF$38,$D$19)&lt;MAX($P$708*($B941+IF($R$17="Distrato",$I$38-1,0)),IF(AND($L$711=0,$P$708=0),"",$L$711-1),IF($R$17="Distrato",$E941,0))),0,YEARFRAC(MAX($P$708*($B941+IF($R$17="Distrato",$I$38-1,0)),IF(AND($L$711=0,$P$708=0),"",$L$711-1),IF($R$17="Distrato",$E941,0)),MIN(AF$38,$D$19),$P$20))-SUM($P941:AE941)</f>
        <v>#VALUE!</v>
      </c>
      <c r="AG941" s="446" t="e">
        <f>IF(OR($B941="",MIN(AG$38,$D$19)&lt;MAX($P$708*($B941+IF($R$17="Distrato",$I$38-1,0)),IF(AND($L$711=0,$P$708=0),"",$L$711-1),IF($R$17="Distrato",$E941,0))),0,YEARFRAC(MAX($P$708*($B941+IF($R$17="Distrato",$I$38-1,0)),IF(AND($L$711=0,$P$708=0),"",$L$711-1),IF($R$17="Distrato",$E941,0)),MIN(AG$38,$D$19),$P$20))-SUM($P941:AF941)</f>
        <v>#VALUE!</v>
      </c>
      <c r="AH941" s="446" t="e">
        <f>IF(OR($B941="",MIN(AH$38,$D$19)&lt;MAX($P$708*($B941+IF($R$17="Distrato",$I$38-1,0)),IF(AND($L$711=0,$P$708=0),"",$L$711-1),IF($R$17="Distrato",$E941,0))),0,YEARFRAC(MAX($P$708*($B941+IF($R$17="Distrato",$I$38-1,0)),IF(AND($L$711=0,$P$708=0),"",$L$711-1),IF($R$17="Distrato",$E941,0)),MIN(AH$38,$D$19),$P$20))-SUM($P941:AG941)</f>
        <v>#VALUE!</v>
      </c>
      <c r="AI941" s="446" t="e">
        <f>IF(OR($B941="",MIN(AI$38,$D$19)&lt;MAX($P$708*($B941+IF($R$17="Distrato",$I$38-1,0)),IF(AND($L$711=0,$P$708=0),"",$L$711-1),IF($R$17="Distrato",$E941,0))),0,YEARFRAC(MAX($P$708*($B941+IF($R$17="Distrato",$I$38-1,0)),IF(AND($L$711=0,$P$708=0),"",$L$711-1),IF($R$17="Distrato",$E941,0)),MIN(AI$38,$D$19),$P$20))-SUM($P941:AH941)</f>
        <v>#VALUE!</v>
      </c>
      <c r="AJ941" s="446" t="e">
        <f>IF(OR($B941="",MIN(AJ$38,$D$19)&lt;MAX($P$708*($B941+IF($R$17="Distrato",$I$38-1,0)),IF(AND($L$711=0,$P$708=0),"",$L$711-1),IF($R$17="Distrato",$E941,0))),0,YEARFRAC(MAX($P$708*($B941+IF($R$17="Distrato",$I$38-1,0)),IF(AND($L$711=0,$P$708=0),"",$L$711-1),IF($R$17="Distrato",$E941,0)),MIN(AJ$38,$D$19),$P$20))-SUM($P941:AI941)</f>
        <v>#VALUE!</v>
      </c>
      <c r="AK941" s="446" t="e">
        <f>IF(OR($B941="",MIN(AK$38,$D$19)&lt;MAX($P$708*($B941+IF($R$17="Distrato",$I$38-1,0)),IF(AND($L$711=0,$P$708=0),"",$L$711-1),IF($R$17="Distrato",$E941,0))),0,YEARFRAC(MAX($P$708*($B941+IF($R$17="Distrato",$I$38-1,0)),IF(AND($L$711=0,$P$708=0),"",$L$711-1),IF($R$17="Distrato",$E941,0)),MIN(AK$38,$D$19),$P$20))-SUM($P941:AJ941)</f>
        <v>#VALUE!</v>
      </c>
      <c r="AL941" s="446" t="e">
        <f>IF(OR($B941="",MIN(AL$38,$D$19)&lt;MAX($P$708*($B941+IF($R$17="Distrato",$I$38-1,0)),IF(AND($L$711=0,$P$708=0),"",$L$711-1),IF($R$17="Distrato",$E941,0))),0,YEARFRAC(MAX($P$708*($B941+IF($R$17="Distrato",$I$38-1,0)),IF(AND($L$711=0,$P$708=0),"",$L$711-1),IF($R$17="Distrato",$E941,0)),MIN(AL$38,$D$19),$P$20))-SUM($P941:AK941)</f>
        <v>#VALUE!</v>
      </c>
      <c r="AM941" s="446" t="e">
        <f>IF(OR($B941="",MIN(AM$38,$D$19)&lt;MAX($P$708*($B941+IF($R$17="Distrato",$I$38-1,0)),IF(AND($L$711=0,$P$708=0),"",$L$711-1),IF($R$17="Distrato",$E941,0))),0,YEARFRAC(MAX($P$708*($B941+IF($R$17="Distrato",$I$38-1,0)),IF(AND($L$711=0,$P$708=0),"",$L$711-1),IF($R$17="Distrato",$E941,0)),MIN(AM$38,$D$19),$P$20))-SUM($P941:AL941)</f>
        <v>#VALUE!</v>
      </c>
      <c r="AN941" s="446" t="e">
        <f>IF(OR($B941="",MIN(AN$38,$D$19)&lt;MAX($P$708*($B941+IF($R$17="Distrato",$I$38-1,0)),IF(AND($L$711=0,$P$708=0),"",$L$711-1),IF($R$17="Distrato",$E941,0))),0,YEARFRAC(MAX($P$708*($B941+IF($R$17="Distrato",$I$38-1,0)),IF(AND($L$711=0,$P$708=0),"",$L$711-1),IF($R$17="Distrato",$E941,0)),MIN(AN$38,$D$19),$P$20))-SUM($P941:AM941)</f>
        <v>#VALUE!</v>
      </c>
      <c r="AO941" s="446" t="e">
        <f>IF(OR($B941="",MIN(AO$38,$D$19)&lt;MAX($P$708*($B941+IF($R$17="Distrato",$I$38-1,0)),IF(AND($L$711=0,$P$708=0),"",$L$711-1),IF($R$17="Distrato",$E941,0))),0,YEARFRAC(MAX($P$708*($B941+IF($R$17="Distrato",$I$38-1,0)),IF(AND($L$711=0,$P$708=0),"",$L$711-1),IF($R$17="Distrato",$E941,0)),MIN(AO$38,$D$19),$P$20))-SUM($P941:AN941)</f>
        <v>#VALUE!</v>
      </c>
      <c r="AP941" s="446" t="e">
        <f>IF(OR($B941="",MIN(AP$38,$D$19)&lt;MAX($P$708*($B941+IF($R$17="Distrato",$I$38-1,0)),IF(AND($L$711=0,$P$708=0),"",$L$711-1),IF($R$17="Distrato",$E941,0))),0,YEARFRAC(MAX($P$708*($B941+IF($R$17="Distrato",$I$38-1,0)),IF(AND($L$711=0,$P$708=0),"",$L$711-1),IF($R$17="Distrato",$E941,0)),MIN(AP$38,$D$19),$P$20))-SUM($P941:AO941)</f>
        <v>#VALUE!</v>
      </c>
      <c r="AQ941" s="446" t="e">
        <f>IF(OR($B941="",MIN(AQ$38,$D$19)&lt;MAX($P$708*($B941+IF($R$17="Distrato",$I$38-1,0)),IF(AND($L$711=0,$P$708=0),"",$L$711-1),IF($R$17="Distrato",$E941,0))),0,YEARFRAC(MAX($P$708*($B941+IF($R$17="Distrato",$I$38-1,0)),IF(AND($L$711=0,$P$708=0),"",$L$711-1),IF($R$17="Distrato",$E941,0)),MIN(AQ$38,$D$19),$P$20))-SUM($P941:AP941)</f>
        <v>#VALUE!</v>
      </c>
      <c r="AR941" s="446" t="e">
        <f>IF(OR($B941="",MIN(AR$38,$D$19)&lt;MAX($P$708*($B941+IF($R$17="Distrato",$I$38-1,0)),IF(AND($L$711=0,$P$708=0),"",$L$711-1),IF($R$17="Distrato",$E941,0))),0,YEARFRAC(MAX($P$708*($B941+IF($R$17="Distrato",$I$38-1,0)),IF(AND($L$711=0,$P$708=0),"",$L$711-1),IF($R$17="Distrato",$E941,0)),MIN(AR$38,$D$19),$P$20))-SUM($P941:AQ941)</f>
        <v>#VALUE!</v>
      </c>
      <c r="AS941" s="446" t="e">
        <f>IF(OR($B941="",MIN(AS$38,$D$19)&lt;MAX($P$708*($B941+IF($R$17="Distrato",$I$38-1,0)),IF(AND($L$711=0,$P$708=0),"",$L$711-1),IF($R$17="Distrato",$E941,0))),0,YEARFRAC(MAX($P$708*($B941+IF($R$17="Distrato",$I$38-1,0)),IF(AND($L$711=0,$P$708=0),"",$L$711-1),IF($R$17="Distrato",$E941,0)),MIN(AS$38,$D$19),$P$20))-SUM($P941:AR941)</f>
        <v>#VALUE!</v>
      </c>
      <c r="AT941" s="446" t="e">
        <f>IF(OR($B941="",MIN(AT$38,$D$19)&lt;MAX($P$708*($B941+IF($R$17="Distrato",$I$38-1,0)),IF(AND($L$711=0,$P$708=0),"",$L$711-1),IF($R$17="Distrato",$E941,0))),0,YEARFRAC(MAX($P$708*($B941+IF($R$17="Distrato",$I$38-1,0)),IF(AND($L$711=0,$P$708=0),"",$L$711-1),IF($R$17="Distrato",$E941,0)),MIN(AT$38,$D$19),$P$20))-SUM($P941:AS941)</f>
        <v>#VALUE!</v>
      </c>
      <c r="AU941" s="446" t="e">
        <f>IF(OR($B941="",MIN(AU$38,$D$19)&lt;MAX($P$708*($B941+IF($R$17="Distrato",$I$38-1,0)),IF(AND($L$711=0,$P$708=0),"",$L$711-1),IF($R$17="Distrato",$E941,0))),0,YEARFRAC(MAX($P$708*($B941+IF($R$17="Distrato",$I$38-1,0)),IF(AND($L$711=0,$P$708=0),"",$L$711-1),IF($R$17="Distrato",$E941,0)),MIN(AU$38,$D$19),$P$20))-SUM($P941:AT941)</f>
        <v>#VALUE!</v>
      </c>
      <c r="AV941" s="446" t="e">
        <f>IF(OR($B941="",MIN(AV$38,$D$19)&lt;MAX($P$708*($B941+IF($R$17="Distrato",$I$38-1,0)),IF(AND($L$711=0,$P$708=0),"",$L$711-1),IF($R$17="Distrato",$E941,0))),0,YEARFRAC(MAX($P$708*($B941+IF($R$17="Distrato",$I$38-1,0)),IF(AND($L$711=0,$P$708=0),"",$L$711-1),IF($R$17="Distrato",$E941,0)),MIN(AV$38,$D$19),$P$20))-SUM($P941:AU941)</f>
        <v>#VALUE!</v>
      </c>
      <c r="AW941" s="446" t="e">
        <f>IF(OR($B941="",MIN(AW$38,$D$19)&lt;MAX($P$708*($B941+IF($R$17="Distrato",$I$38-1,0)),IF(AND($L$711=0,$P$708=0),"",$L$711-1),IF($R$17="Distrato",$E941,0))),0,YEARFRAC(MAX($P$708*($B941+IF($R$17="Distrato",$I$38-1,0)),IF(AND($L$711=0,$P$708=0),"",$L$711-1),IF($R$17="Distrato",$E941,0)),MIN(AW$38,$D$19),$P$20))-SUM($P941:AV941)</f>
        <v>#VALUE!</v>
      </c>
      <c r="AX941" s="446" t="e">
        <f>IF(OR($B941="",MIN(AX$38,$D$19)&lt;MAX($P$708*($B941+IF($R$17="Distrato",$I$38-1,0)),IF(AND($L$711=0,$P$708=0),"",$L$711-1),IF($R$17="Distrato",$E941,0))),0,YEARFRAC(MAX($P$708*($B941+IF($R$17="Distrato",$I$38-1,0)),IF(AND($L$711=0,$P$708=0),"",$L$711-1),IF($R$17="Distrato",$E941,0)),MIN(AX$38,$D$19),$P$20))-SUM($P941:AW941)</f>
        <v>#VALUE!</v>
      </c>
      <c r="AY941" s="446" t="e">
        <f>IF(OR($B941="",MIN(AY$38,$D$19)&lt;MAX($P$708*($B941+IF($R$17="Distrato",$I$38-1,0)),IF(AND($L$711=0,$P$708=0),"",$L$711-1),IF($R$17="Distrato",$E941,0))),0,YEARFRAC(MAX($P$708*($B941+IF($R$17="Distrato",$I$38-1,0)),IF(AND($L$711=0,$P$708=0),"",$L$711-1),IF($R$17="Distrato",$E941,0)),MIN(AY$38,$D$19),$P$20))-SUM($P941:AX941)</f>
        <v>#VALUE!</v>
      </c>
      <c r="AZ941" s="446" t="e">
        <f>IF(OR($B941="",MIN(AZ$38,$D$19)&lt;MAX($P$708*($B941+IF($R$17="Distrato",$I$38-1,0)),IF(AND($L$711=0,$P$708=0),"",$L$711-1),IF($R$17="Distrato",$E941,0))),0,YEARFRAC(MAX($P$708*($B941+IF($R$17="Distrato",$I$38-1,0)),IF(AND($L$711=0,$P$708=0),"",$L$711-1),IF($R$17="Distrato",$E941,0)),MIN(AZ$38,$D$19),$P$20))-SUM($P941:AY941)</f>
        <v>#VALUE!</v>
      </c>
      <c r="BA941" s="446" t="e">
        <f>IF(OR($B941="",MIN(BA$38,$D$19)&lt;MAX($P$708*($B941+IF($R$17="Distrato",$I$38-1,0)),IF(AND($L$711=0,$P$708=0),"",$L$711-1),IF($R$17="Distrato",$E941,0))),0,YEARFRAC(MAX($P$708*($B941+IF($R$17="Distrato",$I$38-1,0)),IF(AND($L$711=0,$P$708=0),"",$L$711-1),IF($R$17="Distrato",$E941,0)),MIN(BA$38,$D$19),$P$20))-SUM($P941:AZ941)</f>
        <v>#VALUE!</v>
      </c>
      <c r="BB941" s="447"/>
    </row>
    <row r="942" spans="1:54" s="446" customFormat="1" ht="11.25" hidden="1" customHeight="1" x14ac:dyDescent="0.2">
      <c r="A942" s="235"/>
      <c r="B942" s="236"/>
      <c r="C942" s="29" t="str">
        <f>IF(B942="","",IF($L$709=$BL$25,VLOOKUP(DATE(YEAR($D$19),MONTH($D$19)-1,1),ÍNDICES!$A:$DE,HLOOKUP($BL$25,ÍNDICES!$B$3:$T$4,2)+11)-VLOOKUP(B942,ÍNDICES!$A:$DE,HLOOKUP($BL$25,ÍNDICES!$B$3:$T$4,2)+11)+1%,IF(C$712=$W$26,$J$35,IF(ISERROR(IF(B942&gt;$D$19,1,VLOOKUP(DATE(YEAR(B942),MONTH(B942)+IF($C$709=$S$23,1,0),1),ÍNDICES!$A:$DE,$Z$709+1))),"",IF(B942&gt;$D$19,1,VLOOKUP(DATE(YEAR(B942),MONTH(B942)+IF($C$709=$S$23,1,0),1),ÍNDICES!$A:$DE,$Z$709+1))))))</f>
        <v/>
      </c>
      <c r="D942" s="155"/>
      <c r="E942" s="88"/>
      <c r="F942" s="88"/>
      <c r="G942" s="88"/>
      <c r="H942" s="118"/>
      <c r="I942" s="182">
        <f t="shared" si="136"/>
        <v>0</v>
      </c>
      <c r="J942" s="20">
        <f t="shared" ca="1" si="137"/>
        <v>0</v>
      </c>
      <c r="K942" s="5">
        <f t="shared" ca="1" si="138"/>
        <v>0</v>
      </c>
      <c r="L942" s="61">
        <f t="shared" ca="1" si="139"/>
        <v>0</v>
      </c>
      <c r="M942" s="64">
        <f t="shared" si="140"/>
        <v>0</v>
      </c>
      <c r="N942" s="151"/>
      <c r="O942" s="5">
        <f t="shared" ca="1" si="141"/>
        <v>0</v>
      </c>
      <c r="P942" s="446" t="e">
        <f t="shared" si="142"/>
        <v>#VALUE!</v>
      </c>
      <c r="Q942" s="446" t="e">
        <f>IF(OR($B942="",MIN(Q$38,$D$19)&lt;MAX($P$708*($B942+IF($R$17="Distrato",$I$38-1,0)),IF(AND($L$711=0,$P$708=0),"",$L$711-1),IF($R$17="Distrato",$E942,0))),0,YEARFRAC(MAX($P$708*($B942+IF($R$17="Distrato",$I$38-1,0)),IF(AND($L$711=0,$P$708=0),"",$L$711-1),IF($R$17="Distrato",$E942,0)),MIN(Q$38,$D$19),$P$20))-SUM($P942:P942)</f>
        <v>#VALUE!</v>
      </c>
      <c r="R942" s="446" t="e">
        <f>IF(OR($B942="",MIN(R$38,$D$19)&lt;MAX($P$708*($B942+IF($R$17="Distrato",$I$38-1,0)),IF(AND($L$711=0,$P$708=0),"",$L$711-1),IF($R$17="Distrato",$E942,0))),0,YEARFRAC(MAX($P$708*($B942+IF($R$17="Distrato",$I$38-1,0)),IF(AND($L$711=0,$P$708=0),"",$L$711-1),IF($R$17="Distrato",$E942,0)),MIN(R$38,$D$19),$P$20))-SUM($P942:Q942)</f>
        <v>#VALUE!</v>
      </c>
      <c r="S942" s="446" t="e">
        <f>IF(OR($B942="",MIN(S$38,$D$19)&lt;MAX($P$708*($B942+IF($R$17="Distrato",$I$38-1,0)),IF(AND($L$711=0,$P$708=0),"",$L$711-1),IF($R$17="Distrato",$E942,0))),0,YEARFRAC(MAX($P$708*($B942+IF($R$17="Distrato",$I$38-1,0)),IF(AND($L$711=0,$P$708=0),"",$L$711-1),IF($R$17="Distrato",$E942,0)),MIN(S$38,$D$19),$P$20))-SUM($P942:R942)</f>
        <v>#VALUE!</v>
      </c>
      <c r="T942" s="446" t="e">
        <f>IF(OR($B942="",MIN(T$38,$D$19)&lt;MAX($P$708*($B942+IF($R$17="Distrato",$I$38-1,0)),IF(AND($L$711=0,$P$708=0),"",$L$711-1),IF($R$17="Distrato",$E942,0))),0,YEARFRAC(MAX($P$708*($B942+IF($R$17="Distrato",$I$38-1,0)),IF(AND($L$711=0,$P$708=0),"",$L$711-1),IF($R$17="Distrato",$E942,0)),MIN(T$38,$D$19),$P$20))-SUM($P942:S942)</f>
        <v>#VALUE!</v>
      </c>
      <c r="U942" s="446" t="e">
        <f>IF(OR($B942="",MIN(U$38,$D$19)&lt;MAX($P$708*($B942+IF($R$17="Distrato",$I$38-1,0)),IF(AND($L$711=0,$P$708=0),"",$L$711-1),IF($R$17="Distrato",$E942,0))),0,YEARFRAC(MAX($P$708*($B942+IF($R$17="Distrato",$I$38-1,0)),IF(AND($L$711=0,$P$708=0),"",$L$711-1),IF($R$17="Distrato",$E942,0)),MIN(U$38,$D$19),$P$20))-SUM($P942:T942)</f>
        <v>#VALUE!</v>
      </c>
      <c r="V942" s="446" t="e">
        <f>IF(OR($B942="",MIN(V$38,$D$19)&lt;MAX($P$708*($B942+IF($R$17="Distrato",$I$38-1,0)),IF(AND($L$711=0,$P$708=0),"",$L$711-1),IF($R$17="Distrato",$E942,0))),0,YEARFRAC(MAX($P$708*($B942+IF($R$17="Distrato",$I$38-1,0)),IF(AND($L$711=0,$P$708=0),"",$L$711-1),IF($R$17="Distrato",$E942,0)),MIN(V$38,$D$19),$P$20))-SUM($P942:U942)</f>
        <v>#VALUE!</v>
      </c>
      <c r="W942" s="446" t="e">
        <f>IF(OR($B942="",MIN(W$38,$D$19)&lt;MAX($P$708*($B942+IF($R$17="Distrato",$I$38-1,0)),IF(AND($L$711=0,$P$708=0),"",$L$711-1),IF($R$17="Distrato",$E942,0))),0,YEARFRAC(MAX($P$708*($B942+IF($R$17="Distrato",$I$38-1,0)),IF(AND($L$711=0,$P$708=0),"",$L$711-1),IF($R$17="Distrato",$E942,0)),MIN(W$38,$D$19),$P$20))-SUM($P942:V942)</f>
        <v>#VALUE!</v>
      </c>
      <c r="X942" s="446" t="e">
        <f>IF(OR($B942="",MIN(X$38,$D$19)&lt;MAX($P$708*($B942+IF($R$17="Distrato",$I$38-1,0)),IF(AND($L$711=0,$P$708=0),"",$L$711-1),IF($R$17="Distrato",$E942,0))),0,YEARFRAC(MAX($P$708*($B942+IF($R$17="Distrato",$I$38-1,0)),IF(AND($L$711=0,$P$708=0),"",$L$711-1),IF($R$17="Distrato",$E942,0)),MIN(X$38,$D$19),$P$20))-SUM($P942:W942)</f>
        <v>#VALUE!</v>
      </c>
      <c r="Y942" s="446" t="e">
        <f>IF(OR($B942="",MIN(Y$38,$D$19)&lt;MAX($P$708*($B942+IF($R$17="Distrato",$I$38-1,0)),IF(AND($L$711=0,$P$708=0),"",$L$711-1),IF($R$17="Distrato",$E942,0))),0,YEARFRAC(MAX($P$708*($B942+IF($R$17="Distrato",$I$38-1,0)),IF(AND($L$711=0,$P$708=0),"",$L$711-1),IF($R$17="Distrato",$E942,0)),MIN(Y$38,$D$19),$P$20))-SUM($P942:X942)</f>
        <v>#VALUE!</v>
      </c>
      <c r="Z942" s="446" t="e">
        <f>IF(OR($B942="",MIN(Z$38,$D$19)&lt;MAX($P$708*($B942+IF($R$17="Distrato",$I$38-1,0)),IF(AND($L$711=0,$P$708=0),"",$L$711-1),IF($R$17="Distrato",$E942,0))),0,YEARFRAC(MAX($P$708*($B942+IF($R$17="Distrato",$I$38-1,0)),IF(AND($L$711=0,$P$708=0),"",$L$711-1),IF($R$17="Distrato",$E942,0)),MIN(Z$38,$D$19),$P$20))-SUM($P942:Y942)</f>
        <v>#VALUE!</v>
      </c>
      <c r="AA942" s="446" t="e">
        <f>IF(OR($B942="",MIN(AA$38,$D$19)&lt;MAX($P$708*($B942+IF($R$17="Distrato",$I$38-1,0)),IF(AND($L$711=0,$P$708=0),"",$L$711-1),IF($R$17="Distrato",$E942,0))),0,YEARFRAC(MAX($P$708*($B942+IF($R$17="Distrato",$I$38-1,0)),IF(AND($L$711=0,$P$708=0),"",$L$711-1),IF($R$17="Distrato",$E942,0)),MIN(AA$38,$D$19),$P$20))-SUM($P942:Z942)</f>
        <v>#VALUE!</v>
      </c>
      <c r="AB942" s="446" t="e">
        <f>IF(OR($B942="",MIN(AB$38,$D$19)&lt;MAX($P$708*($B942+IF($R$17="Distrato",$I$38-1,0)),IF(AND($L$711=0,$P$708=0),"",$L$711-1),IF($R$17="Distrato",$E942,0))),0,YEARFRAC(MAX($P$708*($B942+IF($R$17="Distrato",$I$38-1,0)),IF(AND($L$711=0,$P$708=0),"",$L$711-1),IF($R$17="Distrato",$E942,0)),MIN(AB$38,$D$19),$P$20))-SUM($P942:AA942)</f>
        <v>#VALUE!</v>
      </c>
      <c r="AC942" s="446" t="e">
        <f>IF(OR($B942="",MIN(AC$38,$D$19)&lt;MAX($P$708*($B942+IF($R$17="Distrato",$I$38-1,0)),IF(AND($L$711=0,$P$708=0),"",$L$711-1),IF($R$17="Distrato",$E942,0))),0,YEARFRAC(MAX($P$708*($B942+IF($R$17="Distrato",$I$38-1,0)),IF(AND($L$711=0,$P$708=0),"",$L$711-1),IF($R$17="Distrato",$E942,0)),MIN(AC$38,$D$19),$P$20))-SUM($P942:AB942)</f>
        <v>#VALUE!</v>
      </c>
      <c r="AD942" s="446" t="e">
        <f>IF(OR($B942="",MIN(AD$38,$D$19)&lt;MAX($P$708*($B942+IF($R$17="Distrato",$I$38-1,0)),IF(AND($L$711=0,$P$708=0),"",$L$711-1),IF($R$17="Distrato",$E942,0))),0,YEARFRAC(MAX($P$708*($B942+IF($R$17="Distrato",$I$38-1,0)),IF(AND($L$711=0,$P$708=0),"",$L$711-1),IF($R$17="Distrato",$E942,0)),MIN(AD$38,$D$19),$P$20))-SUM($P942:AC942)</f>
        <v>#VALUE!</v>
      </c>
      <c r="AE942" s="446" t="e">
        <f>IF(OR($B942="",MIN(AE$38,$D$19)&lt;MAX($P$708*($B942+IF($R$17="Distrato",$I$38-1,0)),IF(AND($L$711=0,$P$708=0),"",$L$711-1),IF($R$17="Distrato",$E942,0))),0,YEARFRAC(MAX($P$708*($B942+IF($R$17="Distrato",$I$38-1,0)),IF(AND($L$711=0,$P$708=0),"",$L$711-1),IF($R$17="Distrato",$E942,0)),MIN(AE$38,$D$19),$P$20))-SUM($P942:AD942)</f>
        <v>#VALUE!</v>
      </c>
      <c r="AF942" s="446" t="e">
        <f>IF(OR($B942="",MIN(AF$38,$D$19)&lt;MAX($P$708*($B942+IF($R$17="Distrato",$I$38-1,0)),IF(AND($L$711=0,$P$708=0),"",$L$711-1),IF($R$17="Distrato",$E942,0))),0,YEARFRAC(MAX($P$708*($B942+IF($R$17="Distrato",$I$38-1,0)),IF(AND($L$711=0,$P$708=0),"",$L$711-1),IF($R$17="Distrato",$E942,0)),MIN(AF$38,$D$19),$P$20))-SUM($P942:AE942)</f>
        <v>#VALUE!</v>
      </c>
      <c r="AG942" s="446" t="e">
        <f>IF(OR($B942="",MIN(AG$38,$D$19)&lt;MAX($P$708*($B942+IF($R$17="Distrato",$I$38-1,0)),IF(AND($L$711=0,$P$708=0),"",$L$711-1),IF($R$17="Distrato",$E942,0))),0,YEARFRAC(MAX($P$708*($B942+IF($R$17="Distrato",$I$38-1,0)),IF(AND($L$711=0,$P$708=0),"",$L$711-1),IF($R$17="Distrato",$E942,0)),MIN(AG$38,$D$19),$P$20))-SUM($P942:AF942)</f>
        <v>#VALUE!</v>
      </c>
      <c r="AH942" s="446" t="e">
        <f>IF(OR($B942="",MIN(AH$38,$D$19)&lt;MAX($P$708*($B942+IF($R$17="Distrato",$I$38-1,0)),IF(AND($L$711=0,$P$708=0),"",$L$711-1),IF($R$17="Distrato",$E942,0))),0,YEARFRAC(MAX($P$708*($B942+IF($R$17="Distrato",$I$38-1,0)),IF(AND($L$711=0,$P$708=0),"",$L$711-1),IF($R$17="Distrato",$E942,0)),MIN(AH$38,$D$19),$P$20))-SUM($P942:AG942)</f>
        <v>#VALUE!</v>
      </c>
      <c r="AI942" s="446" t="e">
        <f>IF(OR($B942="",MIN(AI$38,$D$19)&lt;MAX($P$708*($B942+IF($R$17="Distrato",$I$38-1,0)),IF(AND($L$711=0,$P$708=0),"",$L$711-1),IF($R$17="Distrato",$E942,0))),0,YEARFRAC(MAX($P$708*($B942+IF($R$17="Distrato",$I$38-1,0)),IF(AND($L$711=0,$P$708=0),"",$L$711-1),IF($R$17="Distrato",$E942,0)),MIN(AI$38,$D$19),$P$20))-SUM($P942:AH942)</f>
        <v>#VALUE!</v>
      </c>
      <c r="AJ942" s="446" t="e">
        <f>IF(OR($B942="",MIN(AJ$38,$D$19)&lt;MAX($P$708*($B942+IF($R$17="Distrato",$I$38-1,0)),IF(AND($L$711=0,$P$708=0),"",$L$711-1),IF($R$17="Distrato",$E942,0))),0,YEARFRAC(MAX($P$708*($B942+IF($R$17="Distrato",$I$38-1,0)),IF(AND($L$711=0,$P$708=0),"",$L$711-1),IF($R$17="Distrato",$E942,0)),MIN(AJ$38,$D$19),$P$20))-SUM($P942:AI942)</f>
        <v>#VALUE!</v>
      </c>
      <c r="AK942" s="446" t="e">
        <f>IF(OR($B942="",MIN(AK$38,$D$19)&lt;MAX($P$708*($B942+IF($R$17="Distrato",$I$38-1,0)),IF(AND($L$711=0,$P$708=0),"",$L$711-1),IF($R$17="Distrato",$E942,0))),0,YEARFRAC(MAX($P$708*($B942+IF($R$17="Distrato",$I$38-1,0)),IF(AND($L$711=0,$P$708=0),"",$L$711-1),IF($R$17="Distrato",$E942,0)),MIN(AK$38,$D$19),$P$20))-SUM($P942:AJ942)</f>
        <v>#VALUE!</v>
      </c>
      <c r="AL942" s="446" t="e">
        <f>IF(OR($B942="",MIN(AL$38,$D$19)&lt;MAX($P$708*($B942+IF($R$17="Distrato",$I$38-1,0)),IF(AND($L$711=0,$P$708=0),"",$L$711-1),IF($R$17="Distrato",$E942,0))),0,YEARFRAC(MAX($P$708*($B942+IF($R$17="Distrato",$I$38-1,0)),IF(AND($L$711=0,$P$708=0),"",$L$711-1),IF($R$17="Distrato",$E942,0)),MIN(AL$38,$D$19),$P$20))-SUM($P942:AK942)</f>
        <v>#VALUE!</v>
      </c>
      <c r="AM942" s="446" t="e">
        <f>IF(OR($B942="",MIN(AM$38,$D$19)&lt;MAX($P$708*($B942+IF($R$17="Distrato",$I$38-1,0)),IF(AND($L$711=0,$P$708=0),"",$L$711-1),IF($R$17="Distrato",$E942,0))),0,YEARFRAC(MAX($P$708*($B942+IF($R$17="Distrato",$I$38-1,0)),IF(AND($L$711=0,$P$708=0),"",$L$711-1),IF($R$17="Distrato",$E942,0)),MIN(AM$38,$D$19),$P$20))-SUM($P942:AL942)</f>
        <v>#VALUE!</v>
      </c>
      <c r="AN942" s="446" t="e">
        <f>IF(OR($B942="",MIN(AN$38,$D$19)&lt;MAX($P$708*($B942+IF($R$17="Distrato",$I$38-1,0)),IF(AND($L$711=0,$P$708=0),"",$L$711-1),IF($R$17="Distrato",$E942,0))),0,YEARFRAC(MAX($P$708*($B942+IF($R$17="Distrato",$I$38-1,0)),IF(AND($L$711=0,$P$708=0),"",$L$711-1),IF($R$17="Distrato",$E942,0)),MIN(AN$38,$D$19),$P$20))-SUM($P942:AM942)</f>
        <v>#VALUE!</v>
      </c>
      <c r="AO942" s="446" t="e">
        <f>IF(OR($B942="",MIN(AO$38,$D$19)&lt;MAX($P$708*($B942+IF($R$17="Distrato",$I$38-1,0)),IF(AND($L$711=0,$P$708=0),"",$L$711-1),IF($R$17="Distrato",$E942,0))),0,YEARFRAC(MAX($P$708*($B942+IF($R$17="Distrato",$I$38-1,0)),IF(AND($L$711=0,$P$708=0),"",$L$711-1),IF($R$17="Distrato",$E942,0)),MIN(AO$38,$D$19),$P$20))-SUM($P942:AN942)</f>
        <v>#VALUE!</v>
      </c>
      <c r="AP942" s="446" t="e">
        <f>IF(OR($B942="",MIN(AP$38,$D$19)&lt;MAX($P$708*($B942+IF($R$17="Distrato",$I$38-1,0)),IF(AND($L$711=0,$P$708=0),"",$L$711-1),IF($R$17="Distrato",$E942,0))),0,YEARFRAC(MAX($P$708*($B942+IF($R$17="Distrato",$I$38-1,0)),IF(AND($L$711=0,$P$708=0),"",$L$711-1),IF($R$17="Distrato",$E942,0)),MIN(AP$38,$D$19),$P$20))-SUM($P942:AO942)</f>
        <v>#VALUE!</v>
      </c>
      <c r="AQ942" s="446" t="e">
        <f>IF(OR($B942="",MIN(AQ$38,$D$19)&lt;MAX($P$708*($B942+IF($R$17="Distrato",$I$38-1,0)),IF(AND($L$711=0,$P$708=0),"",$L$711-1),IF($R$17="Distrato",$E942,0))),0,YEARFRAC(MAX($P$708*($B942+IF($R$17="Distrato",$I$38-1,0)),IF(AND($L$711=0,$P$708=0),"",$L$711-1),IF($R$17="Distrato",$E942,0)),MIN(AQ$38,$D$19),$P$20))-SUM($P942:AP942)</f>
        <v>#VALUE!</v>
      </c>
      <c r="AR942" s="446" t="e">
        <f>IF(OR($B942="",MIN(AR$38,$D$19)&lt;MAX($P$708*($B942+IF($R$17="Distrato",$I$38-1,0)),IF(AND($L$711=0,$P$708=0),"",$L$711-1),IF($R$17="Distrato",$E942,0))),0,YEARFRAC(MAX($P$708*($B942+IF($R$17="Distrato",$I$38-1,0)),IF(AND($L$711=0,$P$708=0),"",$L$711-1),IF($R$17="Distrato",$E942,0)),MIN(AR$38,$D$19),$P$20))-SUM($P942:AQ942)</f>
        <v>#VALUE!</v>
      </c>
      <c r="AS942" s="446" t="e">
        <f>IF(OR($B942="",MIN(AS$38,$D$19)&lt;MAX($P$708*($B942+IF($R$17="Distrato",$I$38-1,0)),IF(AND($L$711=0,$P$708=0),"",$L$711-1),IF($R$17="Distrato",$E942,0))),0,YEARFRAC(MAX($P$708*($B942+IF($R$17="Distrato",$I$38-1,0)),IF(AND($L$711=0,$P$708=0),"",$L$711-1),IF($R$17="Distrato",$E942,0)),MIN(AS$38,$D$19),$P$20))-SUM($P942:AR942)</f>
        <v>#VALUE!</v>
      </c>
      <c r="AT942" s="446" t="e">
        <f>IF(OR($B942="",MIN(AT$38,$D$19)&lt;MAX($P$708*($B942+IF($R$17="Distrato",$I$38-1,0)),IF(AND($L$711=0,$P$708=0),"",$L$711-1),IF($R$17="Distrato",$E942,0))),0,YEARFRAC(MAX($P$708*($B942+IF($R$17="Distrato",$I$38-1,0)),IF(AND($L$711=0,$P$708=0),"",$L$711-1),IF($R$17="Distrato",$E942,0)),MIN(AT$38,$D$19),$P$20))-SUM($P942:AS942)</f>
        <v>#VALUE!</v>
      </c>
      <c r="AU942" s="446" t="e">
        <f>IF(OR($B942="",MIN(AU$38,$D$19)&lt;MAX($P$708*($B942+IF($R$17="Distrato",$I$38-1,0)),IF(AND($L$711=0,$P$708=0),"",$L$711-1),IF($R$17="Distrato",$E942,0))),0,YEARFRAC(MAX($P$708*($B942+IF($R$17="Distrato",$I$38-1,0)),IF(AND($L$711=0,$P$708=0),"",$L$711-1),IF($R$17="Distrato",$E942,0)),MIN(AU$38,$D$19),$P$20))-SUM($P942:AT942)</f>
        <v>#VALUE!</v>
      </c>
      <c r="AV942" s="446" t="e">
        <f>IF(OR($B942="",MIN(AV$38,$D$19)&lt;MAX($P$708*($B942+IF($R$17="Distrato",$I$38-1,0)),IF(AND($L$711=0,$P$708=0),"",$L$711-1),IF($R$17="Distrato",$E942,0))),0,YEARFRAC(MAX($P$708*($B942+IF($R$17="Distrato",$I$38-1,0)),IF(AND($L$711=0,$P$708=0),"",$L$711-1),IF($R$17="Distrato",$E942,0)),MIN(AV$38,$D$19),$P$20))-SUM($P942:AU942)</f>
        <v>#VALUE!</v>
      </c>
      <c r="AW942" s="446" t="e">
        <f>IF(OR($B942="",MIN(AW$38,$D$19)&lt;MAX($P$708*($B942+IF($R$17="Distrato",$I$38-1,0)),IF(AND($L$711=0,$P$708=0),"",$L$711-1),IF($R$17="Distrato",$E942,0))),0,YEARFRAC(MAX($P$708*($B942+IF($R$17="Distrato",$I$38-1,0)),IF(AND($L$711=0,$P$708=0),"",$L$711-1),IF($R$17="Distrato",$E942,0)),MIN(AW$38,$D$19),$P$20))-SUM($P942:AV942)</f>
        <v>#VALUE!</v>
      </c>
      <c r="AX942" s="446" t="e">
        <f>IF(OR($B942="",MIN(AX$38,$D$19)&lt;MAX($P$708*($B942+IF($R$17="Distrato",$I$38-1,0)),IF(AND($L$711=0,$P$708=0),"",$L$711-1),IF($R$17="Distrato",$E942,0))),0,YEARFRAC(MAX($P$708*($B942+IF($R$17="Distrato",$I$38-1,0)),IF(AND($L$711=0,$P$708=0),"",$L$711-1),IF($R$17="Distrato",$E942,0)),MIN(AX$38,$D$19),$P$20))-SUM($P942:AW942)</f>
        <v>#VALUE!</v>
      </c>
      <c r="AY942" s="446" t="e">
        <f>IF(OR($B942="",MIN(AY$38,$D$19)&lt;MAX($P$708*($B942+IF($R$17="Distrato",$I$38-1,0)),IF(AND($L$711=0,$P$708=0),"",$L$711-1),IF($R$17="Distrato",$E942,0))),0,YEARFRAC(MAX($P$708*($B942+IF($R$17="Distrato",$I$38-1,0)),IF(AND($L$711=0,$P$708=0),"",$L$711-1),IF($R$17="Distrato",$E942,0)),MIN(AY$38,$D$19),$P$20))-SUM($P942:AX942)</f>
        <v>#VALUE!</v>
      </c>
      <c r="AZ942" s="446" t="e">
        <f>IF(OR($B942="",MIN(AZ$38,$D$19)&lt;MAX($P$708*($B942+IF($R$17="Distrato",$I$38-1,0)),IF(AND($L$711=0,$P$708=0),"",$L$711-1),IF($R$17="Distrato",$E942,0))),0,YEARFRAC(MAX($P$708*($B942+IF($R$17="Distrato",$I$38-1,0)),IF(AND($L$711=0,$P$708=0),"",$L$711-1),IF($R$17="Distrato",$E942,0)),MIN(AZ$38,$D$19),$P$20))-SUM($P942:AY942)</f>
        <v>#VALUE!</v>
      </c>
      <c r="BA942" s="446" t="e">
        <f>IF(OR($B942="",MIN(BA$38,$D$19)&lt;MAX($P$708*($B942+IF($R$17="Distrato",$I$38-1,0)),IF(AND($L$711=0,$P$708=0),"",$L$711-1),IF($R$17="Distrato",$E942,0))),0,YEARFRAC(MAX($P$708*($B942+IF($R$17="Distrato",$I$38-1,0)),IF(AND($L$711=0,$P$708=0),"",$L$711-1),IF($R$17="Distrato",$E942,0)),MIN(BA$38,$D$19),$P$20))-SUM($P942:AZ942)</f>
        <v>#VALUE!</v>
      </c>
      <c r="BB942" s="447"/>
    </row>
    <row r="943" spans="1:54" s="446" customFormat="1" ht="11.25" hidden="1" customHeight="1" x14ac:dyDescent="0.2">
      <c r="A943" s="235"/>
      <c r="B943" s="236"/>
      <c r="C943" s="29" t="str">
        <f>IF(B943="","",IF($L$709=$BL$25,VLOOKUP(DATE(YEAR($D$19),MONTH($D$19)-1,1),ÍNDICES!$A:$DE,HLOOKUP($BL$25,ÍNDICES!$B$3:$T$4,2)+11)-VLOOKUP(B943,ÍNDICES!$A:$DE,HLOOKUP($BL$25,ÍNDICES!$B$3:$T$4,2)+11)+1%,IF(C$712=$W$26,$J$35,IF(ISERROR(IF(B943&gt;$D$19,1,VLOOKUP(DATE(YEAR(B943),MONTH(B943)+IF($C$709=$S$23,1,0),1),ÍNDICES!$A:$DE,$Z$709+1))),"",IF(B943&gt;$D$19,1,VLOOKUP(DATE(YEAR(B943),MONTH(B943)+IF($C$709=$S$23,1,0),1),ÍNDICES!$A:$DE,$Z$709+1))))))</f>
        <v/>
      </c>
      <c r="D943" s="155"/>
      <c r="E943" s="88"/>
      <c r="F943" s="88"/>
      <c r="G943" s="88"/>
      <c r="H943" s="118"/>
      <c r="I943" s="182">
        <f t="shared" si="136"/>
        <v>0</v>
      </c>
      <c r="J943" s="20">
        <f t="shared" ca="1" si="137"/>
        <v>0</v>
      </c>
      <c r="K943" s="5">
        <f t="shared" ca="1" si="138"/>
        <v>0</v>
      </c>
      <c r="L943" s="61">
        <f t="shared" ca="1" si="139"/>
        <v>0</v>
      </c>
      <c r="M943" s="64">
        <f t="shared" si="140"/>
        <v>0</v>
      </c>
      <c r="N943" s="151"/>
      <c r="O943" s="5">
        <f t="shared" ca="1" si="141"/>
        <v>0</v>
      </c>
      <c r="P943" s="446" t="e">
        <f t="shared" si="142"/>
        <v>#VALUE!</v>
      </c>
      <c r="Q943" s="446" t="e">
        <f>IF(OR($B943="",MIN(Q$38,$D$19)&lt;MAX($P$708*($B943+IF($R$17="Distrato",$I$38-1,0)),IF(AND($L$711=0,$P$708=0),"",$L$711-1),IF($R$17="Distrato",$E943,0))),0,YEARFRAC(MAX($P$708*($B943+IF($R$17="Distrato",$I$38-1,0)),IF(AND($L$711=0,$P$708=0),"",$L$711-1),IF($R$17="Distrato",$E943,0)),MIN(Q$38,$D$19),$P$20))-SUM($P943:P943)</f>
        <v>#VALUE!</v>
      </c>
      <c r="R943" s="446" t="e">
        <f>IF(OR($B943="",MIN(R$38,$D$19)&lt;MAX($P$708*($B943+IF($R$17="Distrato",$I$38-1,0)),IF(AND($L$711=0,$P$708=0),"",$L$711-1),IF($R$17="Distrato",$E943,0))),0,YEARFRAC(MAX($P$708*($B943+IF($R$17="Distrato",$I$38-1,0)),IF(AND($L$711=0,$P$708=0),"",$L$711-1),IF($R$17="Distrato",$E943,0)),MIN(R$38,$D$19),$P$20))-SUM($P943:Q943)</f>
        <v>#VALUE!</v>
      </c>
      <c r="S943" s="446" t="e">
        <f>IF(OR($B943="",MIN(S$38,$D$19)&lt;MAX($P$708*($B943+IF($R$17="Distrato",$I$38-1,0)),IF(AND($L$711=0,$P$708=0),"",$L$711-1),IF($R$17="Distrato",$E943,0))),0,YEARFRAC(MAX($P$708*($B943+IF($R$17="Distrato",$I$38-1,0)),IF(AND($L$711=0,$P$708=0),"",$L$711-1),IF($R$17="Distrato",$E943,0)),MIN(S$38,$D$19),$P$20))-SUM($P943:R943)</f>
        <v>#VALUE!</v>
      </c>
      <c r="T943" s="446" t="e">
        <f>IF(OR($B943="",MIN(T$38,$D$19)&lt;MAX($P$708*($B943+IF($R$17="Distrato",$I$38-1,0)),IF(AND($L$711=0,$P$708=0),"",$L$711-1),IF($R$17="Distrato",$E943,0))),0,YEARFRAC(MAX($P$708*($B943+IF($R$17="Distrato",$I$38-1,0)),IF(AND($L$711=0,$P$708=0),"",$L$711-1),IF($R$17="Distrato",$E943,0)),MIN(T$38,$D$19),$P$20))-SUM($P943:S943)</f>
        <v>#VALUE!</v>
      </c>
      <c r="U943" s="446" t="e">
        <f>IF(OR($B943="",MIN(U$38,$D$19)&lt;MAX($P$708*($B943+IF($R$17="Distrato",$I$38-1,0)),IF(AND($L$711=0,$P$708=0),"",$L$711-1),IF($R$17="Distrato",$E943,0))),0,YEARFRAC(MAX($P$708*($B943+IF($R$17="Distrato",$I$38-1,0)),IF(AND($L$711=0,$P$708=0),"",$L$711-1),IF($R$17="Distrato",$E943,0)),MIN(U$38,$D$19),$P$20))-SUM($P943:T943)</f>
        <v>#VALUE!</v>
      </c>
      <c r="V943" s="446" t="e">
        <f>IF(OR($B943="",MIN(V$38,$D$19)&lt;MAX($P$708*($B943+IF($R$17="Distrato",$I$38-1,0)),IF(AND($L$711=0,$P$708=0),"",$L$711-1),IF($R$17="Distrato",$E943,0))),0,YEARFRAC(MAX($P$708*($B943+IF($R$17="Distrato",$I$38-1,0)),IF(AND($L$711=0,$P$708=0),"",$L$711-1),IF($R$17="Distrato",$E943,0)),MIN(V$38,$D$19),$P$20))-SUM($P943:U943)</f>
        <v>#VALUE!</v>
      </c>
      <c r="W943" s="446" t="e">
        <f>IF(OR($B943="",MIN(W$38,$D$19)&lt;MAX($P$708*($B943+IF($R$17="Distrato",$I$38-1,0)),IF(AND($L$711=0,$P$708=0),"",$L$711-1),IF($R$17="Distrato",$E943,0))),0,YEARFRAC(MAX($P$708*($B943+IF($R$17="Distrato",$I$38-1,0)),IF(AND($L$711=0,$P$708=0),"",$L$711-1),IF($R$17="Distrato",$E943,0)),MIN(W$38,$D$19),$P$20))-SUM($P943:V943)</f>
        <v>#VALUE!</v>
      </c>
      <c r="X943" s="446" t="e">
        <f>IF(OR($B943="",MIN(X$38,$D$19)&lt;MAX($P$708*($B943+IF($R$17="Distrato",$I$38-1,0)),IF(AND($L$711=0,$P$708=0),"",$L$711-1),IF($R$17="Distrato",$E943,0))),0,YEARFRAC(MAX($P$708*($B943+IF($R$17="Distrato",$I$38-1,0)),IF(AND($L$711=0,$P$708=0),"",$L$711-1),IF($R$17="Distrato",$E943,0)),MIN(X$38,$D$19),$P$20))-SUM($P943:W943)</f>
        <v>#VALUE!</v>
      </c>
      <c r="Y943" s="446" t="e">
        <f>IF(OR($B943="",MIN(Y$38,$D$19)&lt;MAX($P$708*($B943+IF($R$17="Distrato",$I$38-1,0)),IF(AND($L$711=0,$P$708=0),"",$L$711-1),IF($R$17="Distrato",$E943,0))),0,YEARFRAC(MAX($P$708*($B943+IF($R$17="Distrato",$I$38-1,0)),IF(AND($L$711=0,$P$708=0),"",$L$711-1),IF($R$17="Distrato",$E943,0)),MIN(Y$38,$D$19),$P$20))-SUM($P943:X943)</f>
        <v>#VALUE!</v>
      </c>
      <c r="Z943" s="446" t="e">
        <f>IF(OR($B943="",MIN(Z$38,$D$19)&lt;MAX($P$708*($B943+IF($R$17="Distrato",$I$38-1,0)),IF(AND($L$711=0,$P$708=0),"",$L$711-1),IF($R$17="Distrato",$E943,0))),0,YEARFRAC(MAX($P$708*($B943+IF($R$17="Distrato",$I$38-1,0)),IF(AND($L$711=0,$P$708=0),"",$L$711-1),IF($R$17="Distrato",$E943,0)),MIN(Z$38,$D$19),$P$20))-SUM($P943:Y943)</f>
        <v>#VALUE!</v>
      </c>
      <c r="AA943" s="446" t="e">
        <f>IF(OR($B943="",MIN(AA$38,$D$19)&lt;MAX($P$708*($B943+IF($R$17="Distrato",$I$38-1,0)),IF(AND($L$711=0,$P$708=0),"",$L$711-1),IF($R$17="Distrato",$E943,0))),0,YEARFRAC(MAX($P$708*($B943+IF($R$17="Distrato",$I$38-1,0)),IF(AND($L$711=0,$P$708=0),"",$L$711-1),IF($R$17="Distrato",$E943,0)),MIN(AA$38,$D$19),$P$20))-SUM($P943:Z943)</f>
        <v>#VALUE!</v>
      </c>
      <c r="AB943" s="446" t="e">
        <f>IF(OR($B943="",MIN(AB$38,$D$19)&lt;MAX($P$708*($B943+IF($R$17="Distrato",$I$38-1,0)),IF(AND($L$711=0,$P$708=0),"",$L$711-1),IF($R$17="Distrato",$E943,0))),0,YEARFRAC(MAX($P$708*($B943+IF($R$17="Distrato",$I$38-1,0)),IF(AND($L$711=0,$P$708=0),"",$L$711-1),IF($R$17="Distrato",$E943,0)),MIN(AB$38,$D$19),$P$20))-SUM($P943:AA943)</f>
        <v>#VALUE!</v>
      </c>
      <c r="AC943" s="446" t="e">
        <f>IF(OR($B943="",MIN(AC$38,$D$19)&lt;MAX($P$708*($B943+IF($R$17="Distrato",$I$38-1,0)),IF(AND($L$711=0,$P$708=0),"",$L$711-1),IF($R$17="Distrato",$E943,0))),0,YEARFRAC(MAX($P$708*($B943+IF($R$17="Distrato",$I$38-1,0)),IF(AND($L$711=0,$P$708=0),"",$L$711-1),IF($R$17="Distrato",$E943,0)),MIN(AC$38,$D$19),$P$20))-SUM($P943:AB943)</f>
        <v>#VALUE!</v>
      </c>
      <c r="AD943" s="446" t="e">
        <f>IF(OR($B943="",MIN(AD$38,$D$19)&lt;MAX($P$708*($B943+IF($R$17="Distrato",$I$38-1,0)),IF(AND($L$711=0,$P$708=0),"",$L$711-1),IF($R$17="Distrato",$E943,0))),0,YEARFRAC(MAX($P$708*($B943+IF($R$17="Distrato",$I$38-1,0)),IF(AND($L$711=0,$P$708=0),"",$L$711-1),IF($R$17="Distrato",$E943,0)),MIN(AD$38,$D$19),$P$20))-SUM($P943:AC943)</f>
        <v>#VALUE!</v>
      </c>
      <c r="AE943" s="446" t="e">
        <f>IF(OR($B943="",MIN(AE$38,$D$19)&lt;MAX($P$708*($B943+IF($R$17="Distrato",$I$38-1,0)),IF(AND($L$711=0,$P$708=0),"",$L$711-1),IF($R$17="Distrato",$E943,0))),0,YEARFRAC(MAX($P$708*($B943+IF($R$17="Distrato",$I$38-1,0)),IF(AND($L$711=0,$P$708=0),"",$L$711-1),IF($R$17="Distrato",$E943,0)),MIN(AE$38,$D$19),$P$20))-SUM($P943:AD943)</f>
        <v>#VALUE!</v>
      </c>
      <c r="AF943" s="446" t="e">
        <f>IF(OR($B943="",MIN(AF$38,$D$19)&lt;MAX($P$708*($B943+IF($R$17="Distrato",$I$38-1,0)),IF(AND($L$711=0,$P$708=0),"",$L$711-1),IF($R$17="Distrato",$E943,0))),0,YEARFRAC(MAX($P$708*($B943+IF($R$17="Distrato",$I$38-1,0)),IF(AND($L$711=0,$P$708=0),"",$L$711-1),IF($R$17="Distrato",$E943,0)),MIN(AF$38,$D$19),$P$20))-SUM($P943:AE943)</f>
        <v>#VALUE!</v>
      </c>
      <c r="AG943" s="446" t="e">
        <f>IF(OR($B943="",MIN(AG$38,$D$19)&lt;MAX($P$708*($B943+IF($R$17="Distrato",$I$38-1,0)),IF(AND($L$711=0,$P$708=0),"",$L$711-1),IF($R$17="Distrato",$E943,0))),0,YEARFRAC(MAX($P$708*($B943+IF($R$17="Distrato",$I$38-1,0)),IF(AND($L$711=0,$P$708=0),"",$L$711-1),IF($R$17="Distrato",$E943,0)),MIN(AG$38,$D$19),$P$20))-SUM($P943:AF943)</f>
        <v>#VALUE!</v>
      </c>
      <c r="AH943" s="446" t="e">
        <f>IF(OR($B943="",MIN(AH$38,$D$19)&lt;MAX($P$708*($B943+IF($R$17="Distrato",$I$38-1,0)),IF(AND($L$711=0,$P$708=0),"",$L$711-1),IF($R$17="Distrato",$E943,0))),0,YEARFRAC(MAX($P$708*($B943+IF($R$17="Distrato",$I$38-1,0)),IF(AND($L$711=0,$P$708=0),"",$L$711-1),IF($R$17="Distrato",$E943,0)),MIN(AH$38,$D$19),$P$20))-SUM($P943:AG943)</f>
        <v>#VALUE!</v>
      </c>
      <c r="AI943" s="446" t="e">
        <f>IF(OR($B943="",MIN(AI$38,$D$19)&lt;MAX($P$708*($B943+IF($R$17="Distrato",$I$38-1,0)),IF(AND($L$711=0,$P$708=0),"",$L$711-1),IF($R$17="Distrato",$E943,0))),0,YEARFRAC(MAX($P$708*($B943+IF($R$17="Distrato",$I$38-1,0)),IF(AND($L$711=0,$P$708=0),"",$L$711-1),IF($R$17="Distrato",$E943,0)),MIN(AI$38,$D$19),$P$20))-SUM($P943:AH943)</f>
        <v>#VALUE!</v>
      </c>
      <c r="AJ943" s="446" t="e">
        <f>IF(OR($B943="",MIN(AJ$38,$D$19)&lt;MAX($P$708*($B943+IF($R$17="Distrato",$I$38-1,0)),IF(AND($L$711=0,$P$708=0),"",$L$711-1),IF($R$17="Distrato",$E943,0))),0,YEARFRAC(MAX($P$708*($B943+IF($R$17="Distrato",$I$38-1,0)),IF(AND($L$711=0,$P$708=0),"",$L$711-1),IF($R$17="Distrato",$E943,0)),MIN(AJ$38,$D$19),$P$20))-SUM($P943:AI943)</f>
        <v>#VALUE!</v>
      </c>
      <c r="AK943" s="446" t="e">
        <f>IF(OR($B943="",MIN(AK$38,$D$19)&lt;MAX($P$708*($B943+IF($R$17="Distrato",$I$38-1,0)),IF(AND($L$711=0,$P$708=0),"",$L$711-1),IF($R$17="Distrato",$E943,0))),0,YEARFRAC(MAX($P$708*($B943+IF($R$17="Distrato",$I$38-1,0)),IF(AND($L$711=0,$P$708=0),"",$L$711-1),IF($R$17="Distrato",$E943,0)),MIN(AK$38,$D$19),$P$20))-SUM($P943:AJ943)</f>
        <v>#VALUE!</v>
      </c>
      <c r="AL943" s="446" t="e">
        <f>IF(OR($B943="",MIN(AL$38,$D$19)&lt;MAX($P$708*($B943+IF($R$17="Distrato",$I$38-1,0)),IF(AND($L$711=0,$P$708=0),"",$L$711-1),IF($R$17="Distrato",$E943,0))),0,YEARFRAC(MAX($P$708*($B943+IF($R$17="Distrato",$I$38-1,0)),IF(AND($L$711=0,$P$708=0),"",$L$711-1),IF($R$17="Distrato",$E943,0)),MIN(AL$38,$D$19),$P$20))-SUM($P943:AK943)</f>
        <v>#VALUE!</v>
      </c>
      <c r="AM943" s="446" t="e">
        <f>IF(OR($B943="",MIN(AM$38,$D$19)&lt;MAX($P$708*($B943+IF($R$17="Distrato",$I$38-1,0)),IF(AND($L$711=0,$P$708=0),"",$L$711-1),IF($R$17="Distrato",$E943,0))),0,YEARFRAC(MAX($P$708*($B943+IF($R$17="Distrato",$I$38-1,0)),IF(AND($L$711=0,$P$708=0),"",$L$711-1),IF($R$17="Distrato",$E943,0)),MIN(AM$38,$D$19),$P$20))-SUM($P943:AL943)</f>
        <v>#VALUE!</v>
      </c>
      <c r="AN943" s="446" t="e">
        <f>IF(OR($B943="",MIN(AN$38,$D$19)&lt;MAX($P$708*($B943+IF($R$17="Distrato",$I$38-1,0)),IF(AND($L$711=0,$P$708=0),"",$L$711-1),IF($R$17="Distrato",$E943,0))),0,YEARFRAC(MAX($P$708*($B943+IF($R$17="Distrato",$I$38-1,0)),IF(AND($L$711=0,$P$708=0),"",$L$711-1),IF($R$17="Distrato",$E943,0)),MIN(AN$38,$D$19),$P$20))-SUM($P943:AM943)</f>
        <v>#VALUE!</v>
      </c>
      <c r="AO943" s="446" t="e">
        <f>IF(OR($B943="",MIN(AO$38,$D$19)&lt;MAX($P$708*($B943+IF($R$17="Distrato",$I$38-1,0)),IF(AND($L$711=0,$P$708=0),"",$L$711-1),IF($R$17="Distrato",$E943,0))),0,YEARFRAC(MAX($P$708*($B943+IF($R$17="Distrato",$I$38-1,0)),IF(AND($L$711=0,$P$708=0),"",$L$711-1),IF($R$17="Distrato",$E943,0)),MIN(AO$38,$D$19),$P$20))-SUM($P943:AN943)</f>
        <v>#VALUE!</v>
      </c>
      <c r="AP943" s="446" t="e">
        <f>IF(OR($B943="",MIN(AP$38,$D$19)&lt;MAX($P$708*($B943+IF($R$17="Distrato",$I$38-1,0)),IF(AND($L$711=0,$P$708=0),"",$L$711-1),IF($R$17="Distrato",$E943,0))),0,YEARFRAC(MAX($P$708*($B943+IF($R$17="Distrato",$I$38-1,0)),IF(AND($L$711=0,$P$708=0),"",$L$711-1),IF($R$17="Distrato",$E943,0)),MIN(AP$38,$D$19),$P$20))-SUM($P943:AO943)</f>
        <v>#VALUE!</v>
      </c>
      <c r="AQ943" s="446" t="e">
        <f>IF(OR($B943="",MIN(AQ$38,$D$19)&lt;MAX($P$708*($B943+IF($R$17="Distrato",$I$38-1,0)),IF(AND($L$711=0,$P$708=0),"",$L$711-1),IF($R$17="Distrato",$E943,0))),0,YEARFRAC(MAX($P$708*($B943+IF($R$17="Distrato",$I$38-1,0)),IF(AND($L$711=0,$P$708=0),"",$L$711-1),IF($R$17="Distrato",$E943,0)),MIN(AQ$38,$D$19),$P$20))-SUM($P943:AP943)</f>
        <v>#VALUE!</v>
      </c>
      <c r="AR943" s="446" t="e">
        <f>IF(OR($B943="",MIN(AR$38,$D$19)&lt;MAX($P$708*($B943+IF($R$17="Distrato",$I$38-1,0)),IF(AND($L$711=0,$P$708=0),"",$L$711-1),IF($R$17="Distrato",$E943,0))),0,YEARFRAC(MAX($P$708*($B943+IF($R$17="Distrato",$I$38-1,0)),IF(AND($L$711=0,$P$708=0),"",$L$711-1),IF($R$17="Distrato",$E943,0)),MIN(AR$38,$D$19),$P$20))-SUM($P943:AQ943)</f>
        <v>#VALUE!</v>
      </c>
      <c r="AS943" s="446" t="e">
        <f>IF(OR($B943="",MIN(AS$38,$D$19)&lt;MAX($P$708*($B943+IF($R$17="Distrato",$I$38-1,0)),IF(AND($L$711=0,$P$708=0),"",$L$711-1),IF($R$17="Distrato",$E943,0))),0,YEARFRAC(MAX($P$708*($B943+IF($R$17="Distrato",$I$38-1,0)),IF(AND($L$711=0,$P$708=0),"",$L$711-1),IF($R$17="Distrato",$E943,0)),MIN(AS$38,$D$19),$P$20))-SUM($P943:AR943)</f>
        <v>#VALUE!</v>
      </c>
      <c r="AT943" s="446" t="e">
        <f>IF(OR($B943="",MIN(AT$38,$D$19)&lt;MAX($P$708*($B943+IF($R$17="Distrato",$I$38-1,0)),IF(AND($L$711=0,$P$708=0),"",$L$711-1),IF($R$17="Distrato",$E943,0))),0,YEARFRAC(MAX($P$708*($B943+IF($R$17="Distrato",$I$38-1,0)),IF(AND($L$711=0,$P$708=0),"",$L$711-1),IF($R$17="Distrato",$E943,0)),MIN(AT$38,$D$19),$P$20))-SUM($P943:AS943)</f>
        <v>#VALUE!</v>
      </c>
      <c r="AU943" s="446" t="e">
        <f>IF(OR($B943="",MIN(AU$38,$D$19)&lt;MAX($P$708*($B943+IF($R$17="Distrato",$I$38-1,0)),IF(AND($L$711=0,$P$708=0),"",$L$711-1),IF($R$17="Distrato",$E943,0))),0,YEARFRAC(MAX($P$708*($B943+IF($R$17="Distrato",$I$38-1,0)),IF(AND($L$711=0,$P$708=0),"",$L$711-1),IF($R$17="Distrato",$E943,0)),MIN(AU$38,$D$19),$P$20))-SUM($P943:AT943)</f>
        <v>#VALUE!</v>
      </c>
      <c r="AV943" s="446" t="e">
        <f>IF(OR($B943="",MIN(AV$38,$D$19)&lt;MAX($P$708*($B943+IF($R$17="Distrato",$I$38-1,0)),IF(AND($L$711=0,$P$708=0),"",$L$711-1),IF($R$17="Distrato",$E943,0))),0,YEARFRAC(MAX($P$708*($B943+IF($R$17="Distrato",$I$38-1,0)),IF(AND($L$711=0,$P$708=0),"",$L$711-1),IF($R$17="Distrato",$E943,0)),MIN(AV$38,$D$19),$P$20))-SUM($P943:AU943)</f>
        <v>#VALUE!</v>
      </c>
      <c r="AW943" s="446" t="e">
        <f>IF(OR($B943="",MIN(AW$38,$D$19)&lt;MAX($P$708*($B943+IF($R$17="Distrato",$I$38-1,0)),IF(AND($L$711=0,$P$708=0),"",$L$711-1),IF($R$17="Distrato",$E943,0))),0,YEARFRAC(MAX($P$708*($B943+IF($R$17="Distrato",$I$38-1,0)),IF(AND($L$711=0,$P$708=0),"",$L$711-1),IF($R$17="Distrato",$E943,0)),MIN(AW$38,$D$19),$P$20))-SUM($P943:AV943)</f>
        <v>#VALUE!</v>
      </c>
      <c r="AX943" s="446" t="e">
        <f>IF(OR($B943="",MIN(AX$38,$D$19)&lt;MAX($P$708*($B943+IF($R$17="Distrato",$I$38-1,0)),IF(AND($L$711=0,$P$708=0),"",$L$711-1),IF($R$17="Distrato",$E943,0))),0,YEARFRAC(MAX($P$708*($B943+IF($R$17="Distrato",$I$38-1,0)),IF(AND($L$711=0,$P$708=0),"",$L$711-1),IF($R$17="Distrato",$E943,0)),MIN(AX$38,$D$19),$P$20))-SUM($P943:AW943)</f>
        <v>#VALUE!</v>
      </c>
      <c r="AY943" s="446" t="e">
        <f>IF(OR($B943="",MIN(AY$38,$D$19)&lt;MAX($P$708*($B943+IF($R$17="Distrato",$I$38-1,0)),IF(AND($L$711=0,$P$708=0),"",$L$711-1),IF($R$17="Distrato",$E943,0))),0,YEARFRAC(MAX($P$708*($B943+IF($R$17="Distrato",$I$38-1,0)),IF(AND($L$711=0,$P$708=0),"",$L$711-1),IF($R$17="Distrato",$E943,0)),MIN(AY$38,$D$19),$P$20))-SUM($P943:AX943)</f>
        <v>#VALUE!</v>
      </c>
      <c r="AZ943" s="446" t="e">
        <f>IF(OR($B943="",MIN(AZ$38,$D$19)&lt;MAX($P$708*($B943+IF($R$17="Distrato",$I$38-1,0)),IF(AND($L$711=0,$P$708=0),"",$L$711-1),IF($R$17="Distrato",$E943,0))),0,YEARFRAC(MAX($P$708*($B943+IF($R$17="Distrato",$I$38-1,0)),IF(AND($L$711=0,$P$708=0),"",$L$711-1),IF($R$17="Distrato",$E943,0)),MIN(AZ$38,$D$19),$P$20))-SUM($P943:AY943)</f>
        <v>#VALUE!</v>
      </c>
      <c r="BA943" s="446" t="e">
        <f>IF(OR($B943="",MIN(BA$38,$D$19)&lt;MAX($P$708*($B943+IF($R$17="Distrato",$I$38-1,0)),IF(AND($L$711=0,$P$708=0),"",$L$711-1),IF($R$17="Distrato",$E943,0))),0,YEARFRAC(MAX($P$708*($B943+IF($R$17="Distrato",$I$38-1,0)),IF(AND($L$711=0,$P$708=0),"",$L$711-1),IF($R$17="Distrato",$E943,0)),MIN(BA$38,$D$19),$P$20))-SUM($P943:AZ943)</f>
        <v>#VALUE!</v>
      </c>
      <c r="BB943" s="447"/>
    </row>
    <row r="944" spans="1:54" s="446" customFormat="1" ht="11.25" hidden="1" customHeight="1" x14ac:dyDescent="0.2">
      <c r="A944" s="235"/>
      <c r="B944" s="236"/>
      <c r="C944" s="29" t="str">
        <f>IF(B944="","",IF($L$709=$BL$25,VLOOKUP(DATE(YEAR($D$19),MONTH($D$19)-1,1),ÍNDICES!$A:$DE,HLOOKUP($BL$25,ÍNDICES!$B$3:$T$4,2)+11)-VLOOKUP(B944,ÍNDICES!$A:$DE,HLOOKUP($BL$25,ÍNDICES!$B$3:$T$4,2)+11)+1%,IF(C$712=$W$26,$J$35,IF(ISERROR(IF(B944&gt;$D$19,1,VLOOKUP(DATE(YEAR(B944),MONTH(B944)+IF($C$709=$S$23,1,0),1),ÍNDICES!$A:$DE,$Z$709+1))),"",IF(B944&gt;$D$19,1,VLOOKUP(DATE(YEAR(B944),MONTH(B944)+IF($C$709=$S$23,1,0),1),ÍNDICES!$A:$DE,$Z$709+1))))))</f>
        <v/>
      </c>
      <c r="D944" s="155"/>
      <c r="E944" s="88"/>
      <c r="F944" s="88"/>
      <c r="G944" s="88"/>
      <c r="H944" s="118"/>
      <c r="I944" s="182">
        <f t="shared" si="136"/>
        <v>0</v>
      </c>
      <c r="J944" s="20">
        <f t="shared" ca="1" si="137"/>
        <v>0</v>
      </c>
      <c r="K944" s="5">
        <f t="shared" ca="1" si="138"/>
        <v>0</v>
      </c>
      <c r="L944" s="61">
        <f t="shared" ca="1" si="139"/>
        <v>0</v>
      </c>
      <c r="M944" s="64">
        <f t="shared" si="140"/>
        <v>0</v>
      </c>
      <c r="N944" s="151"/>
      <c r="O944" s="5">
        <f t="shared" ca="1" si="141"/>
        <v>0</v>
      </c>
      <c r="P944" s="446" t="e">
        <f t="shared" si="142"/>
        <v>#VALUE!</v>
      </c>
      <c r="Q944" s="446" t="e">
        <f>IF(OR($B944="",MIN(Q$38,$D$19)&lt;MAX($P$708*($B944+IF($R$17="Distrato",$I$38-1,0)),IF(AND($L$711=0,$P$708=0),"",$L$711-1),IF($R$17="Distrato",$E944,0))),0,YEARFRAC(MAX($P$708*($B944+IF($R$17="Distrato",$I$38-1,0)),IF(AND($L$711=0,$P$708=0),"",$L$711-1),IF($R$17="Distrato",$E944,0)),MIN(Q$38,$D$19),$P$20))-SUM($P944:P944)</f>
        <v>#VALUE!</v>
      </c>
      <c r="R944" s="446" t="e">
        <f>IF(OR($B944="",MIN(R$38,$D$19)&lt;MAX($P$708*($B944+IF($R$17="Distrato",$I$38-1,0)),IF(AND($L$711=0,$P$708=0),"",$L$711-1),IF($R$17="Distrato",$E944,0))),0,YEARFRAC(MAX($P$708*($B944+IF($R$17="Distrato",$I$38-1,0)),IF(AND($L$711=0,$P$708=0),"",$L$711-1),IF($R$17="Distrato",$E944,0)),MIN(R$38,$D$19),$P$20))-SUM($P944:Q944)</f>
        <v>#VALUE!</v>
      </c>
      <c r="S944" s="446" t="e">
        <f>IF(OR($B944="",MIN(S$38,$D$19)&lt;MAX($P$708*($B944+IF($R$17="Distrato",$I$38-1,0)),IF(AND($L$711=0,$P$708=0),"",$L$711-1),IF($R$17="Distrato",$E944,0))),0,YEARFRAC(MAX($P$708*($B944+IF($R$17="Distrato",$I$38-1,0)),IF(AND($L$711=0,$P$708=0),"",$L$711-1),IF($R$17="Distrato",$E944,0)),MIN(S$38,$D$19),$P$20))-SUM($P944:R944)</f>
        <v>#VALUE!</v>
      </c>
      <c r="T944" s="446" t="e">
        <f>IF(OR($B944="",MIN(T$38,$D$19)&lt;MAX($P$708*($B944+IF($R$17="Distrato",$I$38-1,0)),IF(AND($L$711=0,$P$708=0),"",$L$711-1),IF($R$17="Distrato",$E944,0))),0,YEARFRAC(MAX($P$708*($B944+IF($R$17="Distrato",$I$38-1,0)),IF(AND($L$711=0,$P$708=0),"",$L$711-1),IF($R$17="Distrato",$E944,0)),MIN(T$38,$D$19),$P$20))-SUM($P944:S944)</f>
        <v>#VALUE!</v>
      </c>
      <c r="U944" s="446" t="e">
        <f>IF(OR($B944="",MIN(U$38,$D$19)&lt;MAX($P$708*($B944+IF($R$17="Distrato",$I$38-1,0)),IF(AND($L$711=0,$P$708=0),"",$L$711-1),IF($R$17="Distrato",$E944,0))),0,YEARFRAC(MAX($P$708*($B944+IF($R$17="Distrato",$I$38-1,0)),IF(AND($L$711=0,$P$708=0),"",$L$711-1),IF($R$17="Distrato",$E944,0)),MIN(U$38,$D$19),$P$20))-SUM($P944:T944)</f>
        <v>#VALUE!</v>
      </c>
      <c r="V944" s="446" t="e">
        <f>IF(OR($B944="",MIN(V$38,$D$19)&lt;MAX($P$708*($B944+IF($R$17="Distrato",$I$38-1,0)),IF(AND($L$711=0,$P$708=0),"",$L$711-1),IF($R$17="Distrato",$E944,0))),0,YEARFRAC(MAX($P$708*($B944+IF($R$17="Distrato",$I$38-1,0)),IF(AND($L$711=0,$P$708=0),"",$L$711-1),IF($R$17="Distrato",$E944,0)),MIN(V$38,$D$19),$P$20))-SUM($P944:U944)</f>
        <v>#VALUE!</v>
      </c>
      <c r="W944" s="446" t="e">
        <f>IF(OR($B944="",MIN(W$38,$D$19)&lt;MAX($P$708*($B944+IF($R$17="Distrato",$I$38-1,0)),IF(AND($L$711=0,$P$708=0),"",$L$711-1),IF($R$17="Distrato",$E944,0))),0,YEARFRAC(MAX($P$708*($B944+IF($R$17="Distrato",$I$38-1,0)),IF(AND($L$711=0,$P$708=0),"",$L$711-1),IF($R$17="Distrato",$E944,0)),MIN(W$38,$D$19),$P$20))-SUM($P944:V944)</f>
        <v>#VALUE!</v>
      </c>
      <c r="X944" s="446" t="e">
        <f>IF(OR($B944="",MIN(X$38,$D$19)&lt;MAX($P$708*($B944+IF($R$17="Distrato",$I$38-1,0)),IF(AND($L$711=0,$P$708=0),"",$L$711-1),IF($R$17="Distrato",$E944,0))),0,YEARFRAC(MAX($P$708*($B944+IF($R$17="Distrato",$I$38-1,0)),IF(AND($L$711=0,$P$708=0),"",$L$711-1),IF($R$17="Distrato",$E944,0)),MIN(X$38,$D$19),$P$20))-SUM($P944:W944)</f>
        <v>#VALUE!</v>
      </c>
      <c r="Y944" s="446" t="e">
        <f>IF(OR($B944="",MIN(Y$38,$D$19)&lt;MAX($P$708*($B944+IF($R$17="Distrato",$I$38-1,0)),IF(AND($L$711=0,$P$708=0),"",$L$711-1),IF($R$17="Distrato",$E944,0))),0,YEARFRAC(MAX($P$708*($B944+IF($R$17="Distrato",$I$38-1,0)),IF(AND($L$711=0,$P$708=0),"",$L$711-1),IF($R$17="Distrato",$E944,0)),MIN(Y$38,$D$19),$P$20))-SUM($P944:X944)</f>
        <v>#VALUE!</v>
      </c>
      <c r="Z944" s="446" t="e">
        <f>IF(OR($B944="",MIN(Z$38,$D$19)&lt;MAX($P$708*($B944+IF($R$17="Distrato",$I$38-1,0)),IF(AND($L$711=0,$P$708=0),"",$L$711-1),IF($R$17="Distrato",$E944,0))),0,YEARFRAC(MAX($P$708*($B944+IF($R$17="Distrato",$I$38-1,0)),IF(AND($L$711=0,$P$708=0),"",$L$711-1),IF($R$17="Distrato",$E944,0)),MIN(Z$38,$D$19),$P$20))-SUM($P944:Y944)</f>
        <v>#VALUE!</v>
      </c>
      <c r="AA944" s="446" t="e">
        <f>IF(OR($B944="",MIN(AA$38,$D$19)&lt;MAX($P$708*($B944+IF($R$17="Distrato",$I$38-1,0)),IF(AND($L$711=0,$P$708=0),"",$L$711-1),IF($R$17="Distrato",$E944,0))),0,YEARFRAC(MAX($P$708*($B944+IF($R$17="Distrato",$I$38-1,0)),IF(AND($L$711=0,$P$708=0),"",$L$711-1),IF($R$17="Distrato",$E944,0)),MIN(AA$38,$D$19),$P$20))-SUM($P944:Z944)</f>
        <v>#VALUE!</v>
      </c>
      <c r="AB944" s="446" t="e">
        <f>IF(OR($B944="",MIN(AB$38,$D$19)&lt;MAX($P$708*($B944+IF($R$17="Distrato",$I$38-1,0)),IF(AND($L$711=0,$P$708=0),"",$L$711-1),IF($R$17="Distrato",$E944,0))),0,YEARFRAC(MAX($P$708*($B944+IF($R$17="Distrato",$I$38-1,0)),IF(AND($L$711=0,$P$708=0),"",$L$711-1),IF($R$17="Distrato",$E944,0)),MIN(AB$38,$D$19),$P$20))-SUM($P944:AA944)</f>
        <v>#VALUE!</v>
      </c>
      <c r="AC944" s="446" t="e">
        <f>IF(OR($B944="",MIN(AC$38,$D$19)&lt;MAX($P$708*($B944+IF($R$17="Distrato",$I$38-1,0)),IF(AND($L$711=0,$P$708=0),"",$L$711-1),IF($R$17="Distrato",$E944,0))),0,YEARFRAC(MAX($P$708*($B944+IF($R$17="Distrato",$I$38-1,0)),IF(AND($L$711=0,$P$708=0),"",$L$711-1),IF($R$17="Distrato",$E944,0)),MIN(AC$38,$D$19),$P$20))-SUM($P944:AB944)</f>
        <v>#VALUE!</v>
      </c>
      <c r="AD944" s="446" t="e">
        <f>IF(OR($B944="",MIN(AD$38,$D$19)&lt;MAX($P$708*($B944+IF($R$17="Distrato",$I$38-1,0)),IF(AND($L$711=0,$P$708=0),"",$L$711-1),IF($R$17="Distrato",$E944,0))),0,YEARFRAC(MAX($P$708*($B944+IF($R$17="Distrato",$I$38-1,0)),IF(AND($L$711=0,$P$708=0),"",$L$711-1),IF($R$17="Distrato",$E944,0)),MIN(AD$38,$D$19),$P$20))-SUM($P944:AC944)</f>
        <v>#VALUE!</v>
      </c>
      <c r="AE944" s="446" t="e">
        <f>IF(OR($B944="",MIN(AE$38,$D$19)&lt;MAX($P$708*($B944+IF($R$17="Distrato",$I$38-1,0)),IF(AND($L$711=0,$P$708=0),"",$L$711-1),IF($R$17="Distrato",$E944,0))),0,YEARFRAC(MAX($P$708*($B944+IF($R$17="Distrato",$I$38-1,0)),IF(AND($L$711=0,$P$708=0),"",$L$711-1),IF($R$17="Distrato",$E944,0)),MIN(AE$38,$D$19),$P$20))-SUM($P944:AD944)</f>
        <v>#VALUE!</v>
      </c>
      <c r="AF944" s="446" t="e">
        <f>IF(OR($B944="",MIN(AF$38,$D$19)&lt;MAX($P$708*($B944+IF($R$17="Distrato",$I$38-1,0)),IF(AND($L$711=0,$P$708=0),"",$L$711-1),IF($R$17="Distrato",$E944,0))),0,YEARFRAC(MAX($P$708*($B944+IF($R$17="Distrato",$I$38-1,0)),IF(AND($L$711=0,$P$708=0),"",$L$711-1),IF($R$17="Distrato",$E944,0)),MIN(AF$38,$D$19),$P$20))-SUM($P944:AE944)</f>
        <v>#VALUE!</v>
      </c>
      <c r="AG944" s="446" t="e">
        <f>IF(OR($B944="",MIN(AG$38,$D$19)&lt;MAX($P$708*($B944+IF($R$17="Distrato",$I$38-1,0)),IF(AND($L$711=0,$P$708=0),"",$L$711-1),IF($R$17="Distrato",$E944,0))),0,YEARFRAC(MAX($P$708*($B944+IF($R$17="Distrato",$I$38-1,0)),IF(AND($L$711=0,$P$708=0),"",$L$711-1),IF($R$17="Distrato",$E944,0)),MIN(AG$38,$D$19),$P$20))-SUM($P944:AF944)</f>
        <v>#VALUE!</v>
      </c>
      <c r="AH944" s="446" t="e">
        <f>IF(OR($B944="",MIN(AH$38,$D$19)&lt;MAX($P$708*($B944+IF($R$17="Distrato",$I$38-1,0)),IF(AND($L$711=0,$P$708=0),"",$L$711-1),IF($R$17="Distrato",$E944,0))),0,YEARFRAC(MAX($P$708*($B944+IF($R$17="Distrato",$I$38-1,0)),IF(AND($L$711=0,$P$708=0),"",$L$711-1),IF($R$17="Distrato",$E944,0)),MIN(AH$38,$D$19),$P$20))-SUM($P944:AG944)</f>
        <v>#VALUE!</v>
      </c>
      <c r="AI944" s="446" t="e">
        <f>IF(OR($B944="",MIN(AI$38,$D$19)&lt;MAX($P$708*($B944+IF($R$17="Distrato",$I$38-1,0)),IF(AND($L$711=0,$P$708=0),"",$L$711-1),IF($R$17="Distrato",$E944,0))),0,YEARFRAC(MAX($P$708*($B944+IF($R$17="Distrato",$I$38-1,0)),IF(AND($L$711=0,$P$708=0),"",$L$711-1),IF($R$17="Distrato",$E944,0)),MIN(AI$38,$D$19),$P$20))-SUM($P944:AH944)</f>
        <v>#VALUE!</v>
      </c>
      <c r="AJ944" s="446" t="e">
        <f>IF(OR($B944="",MIN(AJ$38,$D$19)&lt;MAX($P$708*($B944+IF($R$17="Distrato",$I$38-1,0)),IF(AND($L$711=0,$P$708=0),"",$L$711-1),IF($R$17="Distrato",$E944,0))),0,YEARFRAC(MAX($P$708*($B944+IF($R$17="Distrato",$I$38-1,0)),IF(AND($L$711=0,$P$708=0),"",$L$711-1),IF($R$17="Distrato",$E944,0)),MIN(AJ$38,$D$19),$P$20))-SUM($P944:AI944)</f>
        <v>#VALUE!</v>
      </c>
      <c r="AK944" s="446" t="e">
        <f>IF(OR($B944="",MIN(AK$38,$D$19)&lt;MAX($P$708*($B944+IF($R$17="Distrato",$I$38-1,0)),IF(AND($L$711=0,$P$708=0),"",$L$711-1),IF($R$17="Distrato",$E944,0))),0,YEARFRAC(MAX($P$708*($B944+IF($R$17="Distrato",$I$38-1,0)),IF(AND($L$711=0,$P$708=0),"",$L$711-1),IF($R$17="Distrato",$E944,0)),MIN(AK$38,$D$19),$P$20))-SUM($P944:AJ944)</f>
        <v>#VALUE!</v>
      </c>
      <c r="AL944" s="446" t="e">
        <f>IF(OR($B944="",MIN(AL$38,$D$19)&lt;MAX($P$708*($B944+IF($R$17="Distrato",$I$38-1,0)),IF(AND($L$711=0,$P$708=0),"",$L$711-1),IF($R$17="Distrato",$E944,0))),0,YEARFRAC(MAX($P$708*($B944+IF($R$17="Distrato",$I$38-1,0)),IF(AND($L$711=0,$P$708=0),"",$L$711-1),IF($R$17="Distrato",$E944,0)),MIN(AL$38,$D$19),$P$20))-SUM($P944:AK944)</f>
        <v>#VALUE!</v>
      </c>
      <c r="AM944" s="446" t="e">
        <f>IF(OR($B944="",MIN(AM$38,$D$19)&lt;MAX($P$708*($B944+IF($R$17="Distrato",$I$38-1,0)),IF(AND($L$711=0,$P$708=0),"",$L$711-1),IF($R$17="Distrato",$E944,0))),0,YEARFRAC(MAX($P$708*($B944+IF($R$17="Distrato",$I$38-1,0)),IF(AND($L$711=0,$P$708=0),"",$L$711-1),IF($R$17="Distrato",$E944,0)),MIN(AM$38,$D$19),$P$20))-SUM($P944:AL944)</f>
        <v>#VALUE!</v>
      </c>
      <c r="AN944" s="446" t="e">
        <f>IF(OR($B944="",MIN(AN$38,$D$19)&lt;MAX($P$708*($B944+IF($R$17="Distrato",$I$38-1,0)),IF(AND($L$711=0,$P$708=0),"",$L$711-1),IF($R$17="Distrato",$E944,0))),0,YEARFRAC(MAX($P$708*($B944+IF($R$17="Distrato",$I$38-1,0)),IF(AND($L$711=0,$P$708=0),"",$L$711-1),IF($R$17="Distrato",$E944,0)),MIN(AN$38,$D$19),$P$20))-SUM($P944:AM944)</f>
        <v>#VALUE!</v>
      </c>
      <c r="AO944" s="446" t="e">
        <f>IF(OR($B944="",MIN(AO$38,$D$19)&lt;MAX($P$708*($B944+IF($R$17="Distrato",$I$38-1,0)),IF(AND($L$711=0,$P$708=0),"",$L$711-1),IF($R$17="Distrato",$E944,0))),0,YEARFRAC(MAX($P$708*($B944+IF($R$17="Distrato",$I$38-1,0)),IF(AND($L$711=0,$P$708=0),"",$L$711-1),IF($R$17="Distrato",$E944,0)),MIN(AO$38,$D$19),$P$20))-SUM($P944:AN944)</f>
        <v>#VALUE!</v>
      </c>
      <c r="AP944" s="446" t="e">
        <f>IF(OR($B944="",MIN(AP$38,$D$19)&lt;MAX($P$708*($B944+IF($R$17="Distrato",$I$38-1,0)),IF(AND($L$711=0,$P$708=0),"",$L$711-1),IF($R$17="Distrato",$E944,0))),0,YEARFRAC(MAX($P$708*($B944+IF($R$17="Distrato",$I$38-1,0)),IF(AND($L$711=0,$P$708=0),"",$L$711-1),IF($R$17="Distrato",$E944,0)),MIN(AP$38,$D$19),$P$20))-SUM($P944:AO944)</f>
        <v>#VALUE!</v>
      </c>
      <c r="AQ944" s="446" t="e">
        <f>IF(OR($B944="",MIN(AQ$38,$D$19)&lt;MAX($P$708*($B944+IF($R$17="Distrato",$I$38-1,0)),IF(AND($L$711=0,$P$708=0),"",$L$711-1),IF($R$17="Distrato",$E944,0))),0,YEARFRAC(MAX($P$708*($B944+IF($R$17="Distrato",$I$38-1,0)),IF(AND($L$711=0,$P$708=0),"",$L$711-1),IF($R$17="Distrato",$E944,0)),MIN(AQ$38,$D$19),$P$20))-SUM($P944:AP944)</f>
        <v>#VALUE!</v>
      </c>
      <c r="AR944" s="446" t="e">
        <f>IF(OR($B944="",MIN(AR$38,$D$19)&lt;MAX($P$708*($B944+IF($R$17="Distrato",$I$38-1,0)),IF(AND($L$711=0,$P$708=0),"",$L$711-1),IF($R$17="Distrato",$E944,0))),0,YEARFRAC(MAX($P$708*($B944+IF($R$17="Distrato",$I$38-1,0)),IF(AND($L$711=0,$P$708=0),"",$L$711-1),IF($R$17="Distrato",$E944,0)),MIN(AR$38,$D$19),$P$20))-SUM($P944:AQ944)</f>
        <v>#VALUE!</v>
      </c>
      <c r="AS944" s="446" t="e">
        <f>IF(OR($B944="",MIN(AS$38,$D$19)&lt;MAX($P$708*($B944+IF($R$17="Distrato",$I$38-1,0)),IF(AND($L$711=0,$P$708=0),"",$L$711-1),IF($R$17="Distrato",$E944,0))),0,YEARFRAC(MAX($P$708*($B944+IF($R$17="Distrato",$I$38-1,0)),IF(AND($L$711=0,$P$708=0),"",$L$711-1),IF($R$17="Distrato",$E944,0)),MIN(AS$38,$D$19),$P$20))-SUM($P944:AR944)</f>
        <v>#VALUE!</v>
      </c>
      <c r="AT944" s="446" t="e">
        <f>IF(OR($B944="",MIN(AT$38,$D$19)&lt;MAX($P$708*($B944+IF($R$17="Distrato",$I$38-1,0)),IF(AND($L$711=0,$P$708=0),"",$L$711-1),IF($R$17="Distrato",$E944,0))),0,YEARFRAC(MAX($P$708*($B944+IF($R$17="Distrato",$I$38-1,0)),IF(AND($L$711=0,$P$708=0),"",$L$711-1),IF($R$17="Distrato",$E944,0)),MIN(AT$38,$D$19),$P$20))-SUM($P944:AS944)</f>
        <v>#VALUE!</v>
      </c>
      <c r="AU944" s="446" t="e">
        <f>IF(OR($B944="",MIN(AU$38,$D$19)&lt;MAX($P$708*($B944+IF($R$17="Distrato",$I$38-1,0)),IF(AND($L$711=0,$P$708=0),"",$L$711-1),IF($R$17="Distrato",$E944,0))),0,YEARFRAC(MAX($P$708*($B944+IF($R$17="Distrato",$I$38-1,0)),IF(AND($L$711=0,$P$708=0),"",$L$711-1),IF($R$17="Distrato",$E944,0)),MIN(AU$38,$D$19),$P$20))-SUM($P944:AT944)</f>
        <v>#VALUE!</v>
      </c>
      <c r="AV944" s="446" t="e">
        <f>IF(OR($B944="",MIN(AV$38,$D$19)&lt;MAX($P$708*($B944+IF($R$17="Distrato",$I$38-1,0)),IF(AND($L$711=0,$P$708=0),"",$L$711-1),IF($R$17="Distrato",$E944,0))),0,YEARFRAC(MAX($P$708*($B944+IF($R$17="Distrato",$I$38-1,0)),IF(AND($L$711=0,$P$708=0),"",$L$711-1),IF($R$17="Distrato",$E944,0)),MIN(AV$38,$D$19),$P$20))-SUM($P944:AU944)</f>
        <v>#VALUE!</v>
      </c>
      <c r="AW944" s="446" t="e">
        <f>IF(OR($B944="",MIN(AW$38,$D$19)&lt;MAX($P$708*($B944+IF($R$17="Distrato",$I$38-1,0)),IF(AND($L$711=0,$P$708=0),"",$L$711-1),IF($R$17="Distrato",$E944,0))),0,YEARFRAC(MAX($P$708*($B944+IF($R$17="Distrato",$I$38-1,0)),IF(AND($L$711=0,$P$708=0),"",$L$711-1),IF($R$17="Distrato",$E944,0)),MIN(AW$38,$D$19),$P$20))-SUM($P944:AV944)</f>
        <v>#VALUE!</v>
      </c>
      <c r="AX944" s="446" t="e">
        <f>IF(OR($B944="",MIN(AX$38,$D$19)&lt;MAX($P$708*($B944+IF($R$17="Distrato",$I$38-1,0)),IF(AND($L$711=0,$P$708=0),"",$L$711-1),IF($R$17="Distrato",$E944,0))),0,YEARFRAC(MAX($P$708*($B944+IF($R$17="Distrato",$I$38-1,0)),IF(AND($L$711=0,$P$708=0),"",$L$711-1),IF($R$17="Distrato",$E944,0)),MIN(AX$38,$D$19),$P$20))-SUM($P944:AW944)</f>
        <v>#VALUE!</v>
      </c>
      <c r="AY944" s="446" t="e">
        <f>IF(OR($B944="",MIN(AY$38,$D$19)&lt;MAX($P$708*($B944+IF($R$17="Distrato",$I$38-1,0)),IF(AND($L$711=0,$P$708=0),"",$L$711-1),IF($R$17="Distrato",$E944,0))),0,YEARFRAC(MAX($P$708*($B944+IF($R$17="Distrato",$I$38-1,0)),IF(AND($L$711=0,$P$708=0),"",$L$711-1),IF($R$17="Distrato",$E944,0)),MIN(AY$38,$D$19),$P$20))-SUM($P944:AX944)</f>
        <v>#VALUE!</v>
      </c>
      <c r="AZ944" s="446" t="e">
        <f>IF(OR($B944="",MIN(AZ$38,$D$19)&lt;MAX($P$708*($B944+IF($R$17="Distrato",$I$38-1,0)),IF(AND($L$711=0,$P$708=0),"",$L$711-1),IF($R$17="Distrato",$E944,0))),0,YEARFRAC(MAX($P$708*($B944+IF($R$17="Distrato",$I$38-1,0)),IF(AND($L$711=0,$P$708=0),"",$L$711-1),IF($R$17="Distrato",$E944,0)),MIN(AZ$38,$D$19),$P$20))-SUM($P944:AY944)</f>
        <v>#VALUE!</v>
      </c>
      <c r="BA944" s="446" t="e">
        <f>IF(OR($B944="",MIN(BA$38,$D$19)&lt;MAX($P$708*($B944+IF($R$17="Distrato",$I$38-1,0)),IF(AND($L$711=0,$P$708=0),"",$L$711-1),IF($R$17="Distrato",$E944,0))),0,YEARFRAC(MAX($P$708*($B944+IF($R$17="Distrato",$I$38-1,0)),IF(AND($L$711=0,$P$708=0),"",$L$711-1),IF($R$17="Distrato",$E944,0)),MIN(BA$38,$D$19),$P$20))-SUM($P944:AZ944)</f>
        <v>#VALUE!</v>
      </c>
      <c r="BB944" s="447"/>
    </row>
    <row r="945" spans="1:54" s="446" customFormat="1" ht="11.25" hidden="1" customHeight="1" x14ac:dyDescent="0.2">
      <c r="A945" s="235"/>
      <c r="B945" s="236"/>
      <c r="C945" s="29" t="str">
        <f>IF(B945="","",IF($L$709=$BL$25,VLOOKUP(DATE(YEAR($D$19),MONTH($D$19)-1,1),ÍNDICES!$A:$DE,HLOOKUP($BL$25,ÍNDICES!$B$3:$T$4,2)+11)-VLOOKUP(B945,ÍNDICES!$A:$DE,HLOOKUP($BL$25,ÍNDICES!$B$3:$T$4,2)+11)+1%,IF(C$712=$W$26,$J$35,IF(ISERROR(IF(B945&gt;$D$19,1,VLOOKUP(DATE(YEAR(B945),MONTH(B945)+IF($C$709=$S$23,1,0),1),ÍNDICES!$A:$DE,$Z$709+1))),"",IF(B945&gt;$D$19,1,VLOOKUP(DATE(YEAR(B945),MONTH(B945)+IF($C$709=$S$23,1,0),1),ÍNDICES!$A:$DE,$Z$709+1))))))</f>
        <v/>
      </c>
      <c r="D945" s="155"/>
      <c r="E945" s="88"/>
      <c r="F945" s="88"/>
      <c r="G945" s="88"/>
      <c r="H945" s="118"/>
      <c r="I945" s="182">
        <f t="shared" si="136"/>
        <v>0</v>
      </c>
      <c r="J945" s="20">
        <f t="shared" ca="1" si="137"/>
        <v>0</v>
      </c>
      <c r="K945" s="5">
        <f t="shared" ca="1" si="138"/>
        <v>0</v>
      </c>
      <c r="L945" s="61">
        <f t="shared" ca="1" si="139"/>
        <v>0</v>
      </c>
      <c r="M945" s="64">
        <f t="shared" si="140"/>
        <v>0</v>
      </c>
      <c r="N945" s="151"/>
      <c r="O945" s="5">
        <f t="shared" ca="1" si="141"/>
        <v>0</v>
      </c>
      <c r="P945" s="446" t="e">
        <f t="shared" si="142"/>
        <v>#VALUE!</v>
      </c>
      <c r="Q945" s="446" t="e">
        <f>IF(OR($B945="",MIN(Q$38,$D$19)&lt;MAX($P$708*($B945+IF($R$17="Distrato",$I$38-1,0)),IF(AND($L$711=0,$P$708=0),"",$L$711-1),IF($R$17="Distrato",$E945,0))),0,YEARFRAC(MAX($P$708*($B945+IF($R$17="Distrato",$I$38-1,0)),IF(AND($L$711=0,$P$708=0),"",$L$711-1),IF($R$17="Distrato",$E945,0)),MIN(Q$38,$D$19),$P$20))-SUM($P945:P945)</f>
        <v>#VALUE!</v>
      </c>
      <c r="R945" s="446" t="e">
        <f>IF(OR($B945="",MIN(R$38,$D$19)&lt;MAX($P$708*($B945+IF($R$17="Distrato",$I$38-1,0)),IF(AND($L$711=0,$P$708=0),"",$L$711-1),IF($R$17="Distrato",$E945,0))),0,YEARFRAC(MAX($P$708*($B945+IF($R$17="Distrato",$I$38-1,0)),IF(AND($L$711=0,$P$708=0),"",$L$711-1),IF($R$17="Distrato",$E945,0)),MIN(R$38,$D$19),$P$20))-SUM($P945:Q945)</f>
        <v>#VALUE!</v>
      </c>
      <c r="S945" s="446" t="e">
        <f>IF(OR($B945="",MIN(S$38,$D$19)&lt;MAX($P$708*($B945+IF($R$17="Distrato",$I$38-1,0)),IF(AND($L$711=0,$P$708=0),"",$L$711-1),IF($R$17="Distrato",$E945,0))),0,YEARFRAC(MAX($P$708*($B945+IF($R$17="Distrato",$I$38-1,0)),IF(AND($L$711=0,$P$708=0),"",$L$711-1),IF($R$17="Distrato",$E945,0)),MIN(S$38,$D$19),$P$20))-SUM($P945:R945)</f>
        <v>#VALUE!</v>
      </c>
      <c r="T945" s="446" t="e">
        <f>IF(OR($B945="",MIN(T$38,$D$19)&lt;MAX($P$708*($B945+IF($R$17="Distrato",$I$38-1,0)),IF(AND($L$711=0,$P$708=0),"",$L$711-1),IF($R$17="Distrato",$E945,0))),0,YEARFRAC(MAX($P$708*($B945+IF($R$17="Distrato",$I$38-1,0)),IF(AND($L$711=0,$P$708=0),"",$L$711-1),IF($R$17="Distrato",$E945,0)),MIN(T$38,$D$19),$P$20))-SUM($P945:S945)</f>
        <v>#VALUE!</v>
      </c>
      <c r="U945" s="446" t="e">
        <f>IF(OR($B945="",MIN(U$38,$D$19)&lt;MAX($P$708*($B945+IF($R$17="Distrato",$I$38-1,0)),IF(AND($L$711=0,$P$708=0),"",$L$711-1),IF($R$17="Distrato",$E945,0))),0,YEARFRAC(MAX($P$708*($B945+IF($R$17="Distrato",$I$38-1,0)),IF(AND($L$711=0,$P$708=0),"",$L$711-1),IF($R$17="Distrato",$E945,0)),MIN(U$38,$D$19),$P$20))-SUM($P945:T945)</f>
        <v>#VALUE!</v>
      </c>
      <c r="V945" s="446" t="e">
        <f>IF(OR($B945="",MIN(V$38,$D$19)&lt;MAX($P$708*($B945+IF($R$17="Distrato",$I$38-1,0)),IF(AND($L$711=0,$P$708=0),"",$L$711-1),IF($R$17="Distrato",$E945,0))),0,YEARFRAC(MAX($P$708*($B945+IF($R$17="Distrato",$I$38-1,0)),IF(AND($L$711=0,$P$708=0),"",$L$711-1),IF($R$17="Distrato",$E945,0)),MIN(V$38,$D$19),$P$20))-SUM($P945:U945)</f>
        <v>#VALUE!</v>
      </c>
      <c r="W945" s="446" t="e">
        <f>IF(OR($B945="",MIN(W$38,$D$19)&lt;MAX($P$708*($B945+IF($R$17="Distrato",$I$38-1,0)),IF(AND($L$711=0,$P$708=0),"",$L$711-1),IF($R$17="Distrato",$E945,0))),0,YEARFRAC(MAX($P$708*($B945+IF($R$17="Distrato",$I$38-1,0)),IF(AND($L$711=0,$P$708=0),"",$L$711-1),IF($R$17="Distrato",$E945,0)),MIN(W$38,$D$19),$P$20))-SUM($P945:V945)</f>
        <v>#VALUE!</v>
      </c>
      <c r="X945" s="446" t="e">
        <f>IF(OR($B945="",MIN(X$38,$D$19)&lt;MAX($P$708*($B945+IF($R$17="Distrato",$I$38-1,0)),IF(AND($L$711=0,$P$708=0),"",$L$711-1),IF($R$17="Distrato",$E945,0))),0,YEARFRAC(MAX($P$708*($B945+IF($R$17="Distrato",$I$38-1,0)),IF(AND($L$711=0,$P$708=0),"",$L$711-1),IF($R$17="Distrato",$E945,0)),MIN(X$38,$D$19),$P$20))-SUM($P945:W945)</f>
        <v>#VALUE!</v>
      </c>
      <c r="Y945" s="446" t="e">
        <f>IF(OR($B945="",MIN(Y$38,$D$19)&lt;MAX($P$708*($B945+IF($R$17="Distrato",$I$38-1,0)),IF(AND($L$711=0,$P$708=0),"",$L$711-1),IF($R$17="Distrato",$E945,0))),0,YEARFRAC(MAX($P$708*($B945+IF($R$17="Distrato",$I$38-1,0)),IF(AND($L$711=0,$P$708=0),"",$L$711-1),IF($R$17="Distrato",$E945,0)),MIN(Y$38,$D$19),$P$20))-SUM($P945:X945)</f>
        <v>#VALUE!</v>
      </c>
      <c r="Z945" s="446" t="e">
        <f>IF(OR($B945="",MIN(Z$38,$D$19)&lt;MAX($P$708*($B945+IF($R$17="Distrato",$I$38-1,0)),IF(AND($L$711=0,$P$708=0),"",$L$711-1),IF($R$17="Distrato",$E945,0))),0,YEARFRAC(MAX($P$708*($B945+IF($R$17="Distrato",$I$38-1,0)),IF(AND($L$711=0,$P$708=0),"",$L$711-1),IF($R$17="Distrato",$E945,0)),MIN(Z$38,$D$19),$P$20))-SUM($P945:Y945)</f>
        <v>#VALUE!</v>
      </c>
      <c r="AA945" s="446" t="e">
        <f>IF(OR($B945="",MIN(AA$38,$D$19)&lt;MAX($P$708*($B945+IF($R$17="Distrato",$I$38-1,0)),IF(AND($L$711=0,$P$708=0),"",$L$711-1),IF($R$17="Distrato",$E945,0))),0,YEARFRAC(MAX($P$708*($B945+IF($R$17="Distrato",$I$38-1,0)),IF(AND($L$711=0,$P$708=0),"",$L$711-1),IF($R$17="Distrato",$E945,0)),MIN(AA$38,$D$19),$P$20))-SUM($P945:Z945)</f>
        <v>#VALUE!</v>
      </c>
      <c r="AB945" s="446" t="e">
        <f>IF(OR($B945="",MIN(AB$38,$D$19)&lt;MAX($P$708*($B945+IF($R$17="Distrato",$I$38-1,0)),IF(AND($L$711=0,$P$708=0),"",$L$711-1),IF($R$17="Distrato",$E945,0))),0,YEARFRAC(MAX($P$708*($B945+IF($R$17="Distrato",$I$38-1,0)),IF(AND($L$711=0,$P$708=0),"",$L$711-1),IF($R$17="Distrato",$E945,0)),MIN(AB$38,$D$19),$P$20))-SUM($P945:AA945)</f>
        <v>#VALUE!</v>
      </c>
      <c r="AC945" s="446" t="e">
        <f>IF(OR($B945="",MIN(AC$38,$D$19)&lt;MAX($P$708*($B945+IF($R$17="Distrato",$I$38-1,0)),IF(AND($L$711=0,$P$708=0),"",$L$711-1),IF($R$17="Distrato",$E945,0))),0,YEARFRAC(MAX($P$708*($B945+IF($R$17="Distrato",$I$38-1,0)),IF(AND($L$711=0,$P$708=0),"",$L$711-1),IF($R$17="Distrato",$E945,0)),MIN(AC$38,$D$19),$P$20))-SUM($P945:AB945)</f>
        <v>#VALUE!</v>
      </c>
      <c r="AD945" s="446" t="e">
        <f>IF(OR($B945="",MIN(AD$38,$D$19)&lt;MAX($P$708*($B945+IF($R$17="Distrato",$I$38-1,0)),IF(AND($L$711=0,$P$708=0),"",$L$711-1),IF($R$17="Distrato",$E945,0))),0,YEARFRAC(MAX($P$708*($B945+IF($R$17="Distrato",$I$38-1,0)),IF(AND($L$711=0,$P$708=0),"",$L$711-1),IF($R$17="Distrato",$E945,0)),MIN(AD$38,$D$19),$P$20))-SUM($P945:AC945)</f>
        <v>#VALUE!</v>
      </c>
      <c r="AE945" s="446" t="e">
        <f>IF(OR($B945="",MIN(AE$38,$D$19)&lt;MAX($P$708*($B945+IF($R$17="Distrato",$I$38-1,0)),IF(AND($L$711=0,$P$708=0),"",$L$711-1),IF($R$17="Distrato",$E945,0))),0,YEARFRAC(MAX($P$708*($B945+IF($R$17="Distrato",$I$38-1,0)),IF(AND($L$711=0,$P$708=0),"",$L$711-1),IF($R$17="Distrato",$E945,0)),MIN(AE$38,$D$19),$P$20))-SUM($P945:AD945)</f>
        <v>#VALUE!</v>
      </c>
      <c r="AF945" s="446" t="e">
        <f>IF(OR($B945="",MIN(AF$38,$D$19)&lt;MAX($P$708*($B945+IF($R$17="Distrato",$I$38-1,0)),IF(AND($L$711=0,$P$708=0),"",$L$711-1),IF($R$17="Distrato",$E945,0))),0,YEARFRAC(MAX($P$708*($B945+IF($R$17="Distrato",$I$38-1,0)),IF(AND($L$711=0,$P$708=0),"",$L$711-1),IF($R$17="Distrato",$E945,0)),MIN(AF$38,$D$19),$P$20))-SUM($P945:AE945)</f>
        <v>#VALUE!</v>
      </c>
      <c r="AG945" s="446" t="e">
        <f>IF(OR($B945="",MIN(AG$38,$D$19)&lt;MAX($P$708*($B945+IF($R$17="Distrato",$I$38-1,0)),IF(AND($L$711=0,$P$708=0),"",$L$711-1),IF($R$17="Distrato",$E945,0))),0,YEARFRAC(MAX($P$708*($B945+IF($R$17="Distrato",$I$38-1,0)),IF(AND($L$711=0,$P$708=0),"",$L$711-1),IF($R$17="Distrato",$E945,0)),MIN(AG$38,$D$19),$P$20))-SUM($P945:AF945)</f>
        <v>#VALUE!</v>
      </c>
      <c r="AH945" s="446" t="e">
        <f>IF(OR($B945="",MIN(AH$38,$D$19)&lt;MAX($P$708*($B945+IF($R$17="Distrato",$I$38-1,0)),IF(AND($L$711=0,$P$708=0),"",$L$711-1),IF($R$17="Distrato",$E945,0))),0,YEARFRAC(MAX($P$708*($B945+IF($R$17="Distrato",$I$38-1,0)),IF(AND($L$711=0,$P$708=0),"",$L$711-1),IF($R$17="Distrato",$E945,0)),MIN(AH$38,$D$19),$P$20))-SUM($P945:AG945)</f>
        <v>#VALUE!</v>
      </c>
      <c r="AI945" s="446" t="e">
        <f>IF(OR($B945="",MIN(AI$38,$D$19)&lt;MAX($P$708*($B945+IF($R$17="Distrato",$I$38-1,0)),IF(AND($L$711=0,$P$708=0),"",$L$711-1),IF($R$17="Distrato",$E945,0))),0,YEARFRAC(MAX($P$708*($B945+IF($R$17="Distrato",$I$38-1,0)),IF(AND($L$711=0,$P$708=0),"",$L$711-1),IF($R$17="Distrato",$E945,0)),MIN(AI$38,$D$19),$P$20))-SUM($P945:AH945)</f>
        <v>#VALUE!</v>
      </c>
      <c r="AJ945" s="446" t="e">
        <f>IF(OR($B945="",MIN(AJ$38,$D$19)&lt;MAX($P$708*($B945+IF($R$17="Distrato",$I$38-1,0)),IF(AND($L$711=0,$P$708=0),"",$L$711-1),IF($R$17="Distrato",$E945,0))),0,YEARFRAC(MAX($P$708*($B945+IF($R$17="Distrato",$I$38-1,0)),IF(AND($L$711=0,$P$708=0),"",$L$711-1),IF($R$17="Distrato",$E945,0)),MIN(AJ$38,$D$19),$P$20))-SUM($P945:AI945)</f>
        <v>#VALUE!</v>
      </c>
      <c r="AK945" s="446" t="e">
        <f>IF(OR($B945="",MIN(AK$38,$D$19)&lt;MAX($P$708*($B945+IF($R$17="Distrato",$I$38-1,0)),IF(AND($L$711=0,$P$708=0),"",$L$711-1),IF($R$17="Distrato",$E945,0))),0,YEARFRAC(MAX($P$708*($B945+IF($R$17="Distrato",$I$38-1,0)),IF(AND($L$711=0,$P$708=0),"",$L$711-1),IF($R$17="Distrato",$E945,0)),MIN(AK$38,$D$19),$P$20))-SUM($P945:AJ945)</f>
        <v>#VALUE!</v>
      </c>
      <c r="AL945" s="446" t="e">
        <f>IF(OR($B945="",MIN(AL$38,$D$19)&lt;MAX($P$708*($B945+IF($R$17="Distrato",$I$38-1,0)),IF(AND($L$711=0,$P$708=0),"",$L$711-1),IF($R$17="Distrato",$E945,0))),0,YEARFRAC(MAX($P$708*($B945+IF($R$17="Distrato",$I$38-1,0)),IF(AND($L$711=0,$P$708=0),"",$L$711-1),IF($R$17="Distrato",$E945,0)),MIN(AL$38,$D$19),$P$20))-SUM($P945:AK945)</f>
        <v>#VALUE!</v>
      </c>
      <c r="AM945" s="446" t="e">
        <f>IF(OR($B945="",MIN(AM$38,$D$19)&lt;MAX($P$708*($B945+IF($R$17="Distrato",$I$38-1,0)),IF(AND($L$711=0,$P$708=0),"",$L$711-1),IF($R$17="Distrato",$E945,0))),0,YEARFRAC(MAX($P$708*($B945+IF($R$17="Distrato",$I$38-1,0)),IF(AND($L$711=0,$P$708=0),"",$L$711-1),IF($R$17="Distrato",$E945,0)),MIN(AM$38,$D$19),$P$20))-SUM($P945:AL945)</f>
        <v>#VALUE!</v>
      </c>
      <c r="AN945" s="446" t="e">
        <f>IF(OR($B945="",MIN(AN$38,$D$19)&lt;MAX($P$708*($B945+IF($R$17="Distrato",$I$38-1,0)),IF(AND($L$711=0,$P$708=0),"",$L$711-1),IF($R$17="Distrato",$E945,0))),0,YEARFRAC(MAX($P$708*($B945+IF($R$17="Distrato",$I$38-1,0)),IF(AND($L$711=0,$P$708=0),"",$L$711-1),IF($R$17="Distrato",$E945,0)),MIN(AN$38,$D$19),$P$20))-SUM($P945:AM945)</f>
        <v>#VALUE!</v>
      </c>
      <c r="AO945" s="446" t="e">
        <f>IF(OR($B945="",MIN(AO$38,$D$19)&lt;MAX($P$708*($B945+IF($R$17="Distrato",$I$38-1,0)),IF(AND($L$711=0,$P$708=0),"",$L$711-1),IF($R$17="Distrato",$E945,0))),0,YEARFRAC(MAX($P$708*($B945+IF($R$17="Distrato",$I$38-1,0)),IF(AND($L$711=0,$P$708=0),"",$L$711-1),IF($R$17="Distrato",$E945,0)),MIN(AO$38,$D$19),$P$20))-SUM($P945:AN945)</f>
        <v>#VALUE!</v>
      </c>
      <c r="AP945" s="446" t="e">
        <f>IF(OR($B945="",MIN(AP$38,$D$19)&lt;MAX($P$708*($B945+IF($R$17="Distrato",$I$38-1,0)),IF(AND($L$711=0,$P$708=0),"",$L$711-1),IF($R$17="Distrato",$E945,0))),0,YEARFRAC(MAX($P$708*($B945+IF($R$17="Distrato",$I$38-1,0)),IF(AND($L$711=0,$P$708=0),"",$L$711-1),IF($R$17="Distrato",$E945,0)),MIN(AP$38,$D$19),$P$20))-SUM($P945:AO945)</f>
        <v>#VALUE!</v>
      </c>
      <c r="AQ945" s="446" t="e">
        <f>IF(OR($B945="",MIN(AQ$38,$D$19)&lt;MAX($P$708*($B945+IF($R$17="Distrato",$I$38-1,0)),IF(AND($L$711=0,$P$708=0),"",$L$711-1),IF($R$17="Distrato",$E945,0))),0,YEARFRAC(MAX($P$708*($B945+IF($R$17="Distrato",$I$38-1,0)),IF(AND($L$711=0,$P$708=0),"",$L$711-1),IF($R$17="Distrato",$E945,0)),MIN(AQ$38,$D$19),$P$20))-SUM($P945:AP945)</f>
        <v>#VALUE!</v>
      </c>
      <c r="AR945" s="446" t="e">
        <f>IF(OR($B945="",MIN(AR$38,$D$19)&lt;MAX($P$708*($B945+IF($R$17="Distrato",$I$38-1,0)),IF(AND($L$711=0,$P$708=0),"",$L$711-1),IF($R$17="Distrato",$E945,0))),0,YEARFRAC(MAX($P$708*($B945+IF($R$17="Distrato",$I$38-1,0)),IF(AND($L$711=0,$P$708=0),"",$L$711-1),IF($R$17="Distrato",$E945,0)),MIN(AR$38,$D$19),$P$20))-SUM($P945:AQ945)</f>
        <v>#VALUE!</v>
      </c>
      <c r="AS945" s="446" t="e">
        <f>IF(OR($B945="",MIN(AS$38,$D$19)&lt;MAX($P$708*($B945+IF($R$17="Distrato",$I$38-1,0)),IF(AND($L$711=0,$P$708=0),"",$L$711-1),IF($R$17="Distrato",$E945,0))),0,YEARFRAC(MAX($P$708*($B945+IF($R$17="Distrato",$I$38-1,0)),IF(AND($L$711=0,$P$708=0),"",$L$711-1),IF($R$17="Distrato",$E945,0)),MIN(AS$38,$D$19),$P$20))-SUM($P945:AR945)</f>
        <v>#VALUE!</v>
      </c>
      <c r="AT945" s="446" t="e">
        <f>IF(OR($B945="",MIN(AT$38,$D$19)&lt;MAX($P$708*($B945+IF($R$17="Distrato",$I$38-1,0)),IF(AND($L$711=0,$P$708=0),"",$L$711-1),IF($R$17="Distrato",$E945,0))),0,YEARFRAC(MAX($P$708*($B945+IF($R$17="Distrato",$I$38-1,0)),IF(AND($L$711=0,$P$708=0),"",$L$711-1),IF($R$17="Distrato",$E945,0)),MIN(AT$38,$D$19),$P$20))-SUM($P945:AS945)</f>
        <v>#VALUE!</v>
      </c>
      <c r="AU945" s="446" t="e">
        <f>IF(OR($B945="",MIN(AU$38,$D$19)&lt;MAX($P$708*($B945+IF($R$17="Distrato",$I$38-1,0)),IF(AND($L$711=0,$P$708=0),"",$L$711-1),IF($R$17="Distrato",$E945,0))),0,YEARFRAC(MAX($P$708*($B945+IF($R$17="Distrato",$I$38-1,0)),IF(AND($L$711=0,$P$708=0),"",$L$711-1),IF($R$17="Distrato",$E945,0)),MIN(AU$38,$D$19),$P$20))-SUM($P945:AT945)</f>
        <v>#VALUE!</v>
      </c>
      <c r="AV945" s="446" t="e">
        <f>IF(OR($B945="",MIN(AV$38,$D$19)&lt;MAX($P$708*($B945+IF($R$17="Distrato",$I$38-1,0)),IF(AND($L$711=0,$P$708=0),"",$L$711-1),IF($R$17="Distrato",$E945,0))),0,YEARFRAC(MAX($P$708*($B945+IF($R$17="Distrato",$I$38-1,0)),IF(AND($L$711=0,$P$708=0),"",$L$711-1),IF($R$17="Distrato",$E945,0)),MIN(AV$38,$D$19),$P$20))-SUM($P945:AU945)</f>
        <v>#VALUE!</v>
      </c>
      <c r="AW945" s="446" t="e">
        <f>IF(OR($B945="",MIN(AW$38,$D$19)&lt;MAX($P$708*($B945+IF($R$17="Distrato",$I$38-1,0)),IF(AND($L$711=0,$P$708=0),"",$L$711-1),IF($R$17="Distrato",$E945,0))),0,YEARFRAC(MAX($P$708*($B945+IF($R$17="Distrato",$I$38-1,0)),IF(AND($L$711=0,$P$708=0),"",$L$711-1),IF($R$17="Distrato",$E945,0)),MIN(AW$38,$D$19),$P$20))-SUM($P945:AV945)</f>
        <v>#VALUE!</v>
      </c>
      <c r="AX945" s="446" t="e">
        <f>IF(OR($B945="",MIN(AX$38,$D$19)&lt;MAX($P$708*($B945+IF($R$17="Distrato",$I$38-1,0)),IF(AND($L$711=0,$P$708=0),"",$L$711-1),IF($R$17="Distrato",$E945,0))),0,YEARFRAC(MAX($P$708*($B945+IF($R$17="Distrato",$I$38-1,0)),IF(AND($L$711=0,$P$708=0),"",$L$711-1),IF($R$17="Distrato",$E945,0)),MIN(AX$38,$D$19),$P$20))-SUM($P945:AW945)</f>
        <v>#VALUE!</v>
      </c>
      <c r="AY945" s="446" t="e">
        <f>IF(OR($B945="",MIN(AY$38,$D$19)&lt;MAX($P$708*($B945+IF($R$17="Distrato",$I$38-1,0)),IF(AND($L$711=0,$P$708=0),"",$L$711-1),IF($R$17="Distrato",$E945,0))),0,YEARFRAC(MAX($P$708*($B945+IF($R$17="Distrato",$I$38-1,0)),IF(AND($L$711=0,$P$708=0),"",$L$711-1),IF($R$17="Distrato",$E945,0)),MIN(AY$38,$D$19),$P$20))-SUM($P945:AX945)</f>
        <v>#VALUE!</v>
      </c>
      <c r="AZ945" s="446" t="e">
        <f>IF(OR($B945="",MIN(AZ$38,$D$19)&lt;MAX($P$708*($B945+IF($R$17="Distrato",$I$38-1,0)),IF(AND($L$711=0,$P$708=0),"",$L$711-1),IF($R$17="Distrato",$E945,0))),0,YEARFRAC(MAX($P$708*($B945+IF($R$17="Distrato",$I$38-1,0)),IF(AND($L$711=0,$P$708=0),"",$L$711-1),IF($R$17="Distrato",$E945,0)),MIN(AZ$38,$D$19),$P$20))-SUM($P945:AY945)</f>
        <v>#VALUE!</v>
      </c>
      <c r="BA945" s="446" t="e">
        <f>IF(OR($B945="",MIN(BA$38,$D$19)&lt;MAX($P$708*($B945+IF($R$17="Distrato",$I$38-1,0)),IF(AND($L$711=0,$P$708=0),"",$L$711-1),IF($R$17="Distrato",$E945,0))),0,YEARFRAC(MAX($P$708*($B945+IF($R$17="Distrato",$I$38-1,0)),IF(AND($L$711=0,$P$708=0),"",$L$711-1),IF($R$17="Distrato",$E945,0)),MIN(BA$38,$D$19),$P$20))-SUM($P945:AZ945)</f>
        <v>#VALUE!</v>
      </c>
      <c r="BB945" s="447"/>
    </row>
    <row r="946" spans="1:54" s="446" customFormat="1" ht="11.25" hidden="1" customHeight="1" x14ac:dyDescent="0.2">
      <c r="A946" s="235"/>
      <c r="B946" s="236"/>
      <c r="C946" s="29" t="str">
        <f>IF(B946="","",IF($L$709=$BL$25,VLOOKUP(DATE(YEAR($D$19),MONTH($D$19)-1,1),ÍNDICES!$A:$DE,HLOOKUP($BL$25,ÍNDICES!$B$3:$T$4,2)+11)-VLOOKUP(B946,ÍNDICES!$A:$DE,HLOOKUP($BL$25,ÍNDICES!$B$3:$T$4,2)+11)+1%,IF(C$712=$W$26,$J$35,IF(ISERROR(IF(B946&gt;$D$19,1,VLOOKUP(DATE(YEAR(B946),MONTH(B946)+IF($C$709=$S$23,1,0),1),ÍNDICES!$A:$DE,$Z$709+1))),"",IF(B946&gt;$D$19,1,VLOOKUP(DATE(YEAR(B946),MONTH(B946)+IF($C$709=$S$23,1,0),1),ÍNDICES!$A:$DE,$Z$709+1))))))</f>
        <v/>
      </c>
      <c r="D946" s="155"/>
      <c r="E946" s="88"/>
      <c r="F946" s="88"/>
      <c r="G946" s="88"/>
      <c r="H946" s="118"/>
      <c r="I946" s="182">
        <f t="shared" si="136"/>
        <v>0</v>
      </c>
      <c r="J946" s="20">
        <f t="shared" ca="1" si="137"/>
        <v>0</v>
      </c>
      <c r="K946" s="5">
        <f t="shared" ca="1" si="138"/>
        <v>0</v>
      </c>
      <c r="L946" s="61">
        <f t="shared" ca="1" si="139"/>
        <v>0</v>
      </c>
      <c r="M946" s="64">
        <f t="shared" si="140"/>
        <v>0</v>
      </c>
      <c r="N946" s="151"/>
      <c r="O946" s="5">
        <f t="shared" ca="1" si="141"/>
        <v>0</v>
      </c>
      <c r="P946" s="446" t="e">
        <f t="shared" si="142"/>
        <v>#VALUE!</v>
      </c>
      <c r="Q946" s="446" t="e">
        <f>IF(OR($B946="",MIN(Q$38,$D$19)&lt;MAX($P$708*($B946+IF($R$17="Distrato",$I$38-1,0)),IF(AND($L$711=0,$P$708=0),"",$L$711-1),IF($R$17="Distrato",$E946,0))),0,YEARFRAC(MAX($P$708*($B946+IF($R$17="Distrato",$I$38-1,0)),IF(AND($L$711=0,$P$708=0),"",$L$711-1),IF($R$17="Distrato",$E946,0)),MIN(Q$38,$D$19),$P$20))-SUM($P946:P946)</f>
        <v>#VALUE!</v>
      </c>
      <c r="R946" s="446" t="e">
        <f>IF(OR($B946="",MIN(R$38,$D$19)&lt;MAX($P$708*($B946+IF($R$17="Distrato",$I$38-1,0)),IF(AND($L$711=0,$P$708=0),"",$L$711-1),IF($R$17="Distrato",$E946,0))),0,YEARFRAC(MAX($P$708*($B946+IF($R$17="Distrato",$I$38-1,0)),IF(AND($L$711=0,$P$708=0),"",$L$711-1),IF($R$17="Distrato",$E946,0)),MIN(R$38,$D$19),$P$20))-SUM($P946:Q946)</f>
        <v>#VALUE!</v>
      </c>
      <c r="S946" s="446" t="e">
        <f>IF(OR($B946="",MIN(S$38,$D$19)&lt;MAX($P$708*($B946+IF($R$17="Distrato",$I$38-1,0)),IF(AND($L$711=0,$P$708=0),"",$L$711-1),IF($R$17="Distrato",$E946,0))),0,YEARFRAC(MAX($P$708*($B946+IF($R$17="Distrato",$I$38-1,0)),IF(AND($L$711=0,$P$708=0),"",$L$711-1),IF($R$17="Distrato",$E946,0)),MIN(S$38,$D$19),$P$20))-SUM($P946:R946)</f>
        <v>#VALUE!</v>
      </c>
      <c r="T946" s="446" t="e">
        <f>IF(OR($B946="",MIN(T$38,$D$19)&lt;MAX($P$708*($B946+IF($R$17="Distrato",$I$38-1,0)),IF(AND($L$711=0,$P$708=0),"",$L$711-1),IF($R$17="Distrato",$E946,0))),0,YEARFRAC(MAX($P$708*($B946+IF($R$17="Distrato",$I$38-1,0)),IF(AND($L$711=0,$P$708=0),"",$L$711-1),IF($R$17="Distrato",$E946,0)),MIN(T$38,$D$19),$P$20))-SUM($P946:S946)</f>
        <v>#VALUE!</v>
      </c>
      <c r="U946" s="446" t="e">
        <f>IF(OR($B946="",MIN(U$38,$D$19)&lt;MAX($P$708*($B946+IF($R$17="Distrato",$I$38-1,0)),IF(AND($L$711=0,$P$708=0),"",$L$711-1),IF($R$17="Distrato",$E946,0))),0,YEARFRAC(MAX($P$708*($B946+IF($R$17="Distrato",$I$38-1,0)),IF(AND($L$711=0,$P$708=0),"",$L$711-1),IF($R$17="Distrato",$E946,0)),MIN(U$38,$D$19),$P$20))-SUM($P946:T946)</f>
        <v>#VALUE!</v>
      </c>
      <c r="V946" s="446" t="e">
        <f>IF(OR($B946="",MIN(V$38,$D$19)&lt;MAX($P$708*($B946+IF($R$17="Distrato",$I$38-1,0)),IF(AND($L$711=0,$P$708=0),"",$L$711-1),IF($R$17="Distrato",$E946,0))),0,YEARFRAC(MAX($P$708*($B946+IF($R$17="Distrato",$I$38-1,0)),IF(AND($L$711=0,$P$708=0),"",$L$711-1),IF($R$17="Distrato",$E946,0)),MIN(V$38,$D$19),$P$20))-SUM($P946:U946)</f>
        <v>#VALUE!</v>
      </c>
      <c r="W946" s="446" t="e">
        <f>IF(OR($B946="",MIN(W$38,$D$19)&lt;MAX($P$708*($B946+IF($R$17="Distrato",$I$38-1,0)),IF(AND($L$711=0,$P$708=0),"",$L$711-1),IF($R$17="Distrato",$E946,0))),0,YEARFRAC(MAX($P$708*($B946+IF($R$17="Distrato",$I$38-1,0)),IF(AND($L$711=0,$P$708=0),"",$L$711-1),IF($R$17="Distrato",$E946,0)),MIN(W$38,$D$19),$P$20))-SUM($P946:V946)</f>
        <v>#VALUE!</v>
      </c>
      <c r="X946" s="446" t="e">
        <f>IF(OR($B946="",MIN(X$38,$D$19)&lt;MAX($P$708*($B946+IF($R$17="Distrato",$I$38-1,0)),IF(AND($L$711=0,$P$708=0),"",$L$711-1),IF($R$17="Distrato",$E946,0))),0,YEARFRAC(MAX($P$708*($B946+IF($R$17="Distrato",$I$38-1,0)),IF(AND($L$711=0,$P$708=0),"",$L$711-1),IF($R$17="Distrato",$E946,0)),MIN(X$38,$D$19),$P$20))-SUM($P946:W946)</f>
        <v>#VALUE!</v>
      </c>
      <c r="Y946" s="446" t="e">
        <f>IF(OR($B946="",MIN(Y$38,$D$19)&lt;MAX($P$708*($B946+IF($R$17="Distrato",$I$38-1,0)),IF(AND($L$711=0,$P$708=0),"",$L$711-1),IF($R$17="Distrato",$E946,0))),0,YEARFRAC(MAX($P$708*($B946+IF($R$17="Distrato",$I$38-1,0)),IF(AND($L$711=0,$P$708=0),"",$L$711-1),IF($R$17="Distrato",$E946,0)),MIN(Y$38,$D$19),$P$20))-SUM($P946:X946)</f>
        <v>#VALUE!</v>
      </c>
      <c r="Z946" s="446" t="e">
        <f>IF(OR($B946="",MIN(Z$38,$D$19)&lt;MAX($P$708*($B946+IF($R$17="Distrato",$I$38-1,0)),IF(AND($L$711=0,$P$708=0),"",$L$711-1),IF($R$17="Distrato",$E946,0))),0,YEARFRAC(MAX($P$708*($B946+IF($R$17="Distrato",$I$38-1,0)),IF(AND($L$711=0,$P$708=0),"",$L$711-1),IF($R$17="Distrato",$E946,0)),MIN(Z$38,$D$19),$P$20))-SUM($P946:Y946)</f>
        <v>#VALUE!</v>
      </c>
      <c r="AA946" s="446" t="e">
        <f>IF(OR($B946="",MIN(AA$38,$D$19)&lt;MAX($P$708*($B946+IF($R$17="Distrato",$I$38-1,0)),IF(AND($L$711=0,$P$708=0),"",$L$711-1),IF($R$17="Distrato",$E946,0))),0,YEARFRAC(MAX($P$708*($B946+IF($R$17="Distrato",$I$38-1,0)),IF(AND($L$711=0,$P$708=0),"",$L$711-1),IF($R$17="Distrato",$E946,0)),MIN(AA$38,$D$19),$P$20))-SUM($P946:Z946)</f>
        <v>#VALUE!</v>
      </c>
      <c r="AB946" s="446" t="e">
        <f>IF(OR($B946="",MIN(AB$38,$D$19)&lt;MAX($P$708*($B946+IF($R$17="Distrato",$I$38-1,0)),IF(AND($L$711=0,$P$708=0),"",$L$711-1),IF($R$17="Distrato",$E946,0))),0,YEARFRAC(MAX($P$708*($B946+IF($R$17="Distrato",$I$38-1,0)),IF(AND($L$711=0,$P$708=0),"",$L$711-1),IF($R$17="Distrato",$E946,0)),MIN(AB$38,$D$19),$P$20))-SUM($P946:AA946)</f>
        <v>#VALUE!</v>
      </c>
      <c r="AC946" s="446" t="e">
        <f>IF(OR($B946="",MIN(AC$38,$D$19)&lt;MAX($P$708*($B946+IF($R$17="Distrato",$I$38-1,0)),IF(AND($L$711=0,$P$708=0),"",$L$711-1),IF($R$17="Distrato",$E946,0))),0,YEARFRAC(MAX($P$708*($B946+IF($R$17="Distrato",$I$38-1,0)),IF(AND($L$711=0,$P$708=0),"",$L$711-1),IF($R$17="Distrato",$E946,0)),MIN(AC$38,$D$19),$P$20))-SUM($P946:AB946)</f>
        <v>#VALUE!</v>
      </c>
      <c r="AD946" s="446" t="e">
        <f>IF(OR($B946="",MIN(AD$38,$D$19)&lt;MAX($P$708*($B946+IF($R$17="Distrato",$I$38-1,0)),IF(AND($L$711=0,$P$708=0),"",$L$711-1),IF($R$17="Distrato",$E946,0))),0,YEARFRAC(MAX($P$708*($B946+IF($R$17="Distrato",$I$38-1,0)),IF(AND($L$711=0,$P$708=0),"",$L$711-1),IF($R$17="Distrato",$E946,0)),MIN(AD$38,$D$19),$P$20))-SUM($P946:AC946)</f>
        <v>#VALUE!</v>
      </c>
      <c r="AE946" s="446" t="e">
        <f>IF(OR($B946="",MIN(AE$38,$D$19)&lt;MAX($P$708*($B946+IF($R$17="Distrato",$I$38-1,0)),IF(AND($L$711=0,$P$708=0),"",$L$711-1),IF($R$17="Distrato",$E946,0))),0,YEARFRAC(MAX($P$708*($B946+IF($R$17="Distrato",$I$38-1,0)),IF(AND($L$711=0,$P$708=0),"",$L$711-1),IF($R$17="Distrato",$E946,0)),MIN(AE$38,$D$19),$P$20))-SUM($P946:AD946)</f>
        <v>#VALUE!</v>
      </c>
      <c r="AF946" s="446" t="e">
        <f>IF(OR($B946="",MIN(AF$38,$D$19)&lt;MAX($P$708*($B946+IF($R$17="Distrato",$I$38-1,0)),IF(AND($L$711=0,$P$708=0),"",$L$711-1),IF($R$17="Distrato",$E946,0))),0,YEARFRAC(MAX($P$708*($B946+IF($R$17="Distrato",$I$38-1,0)),IF(AND($L$711=0,$P$708=0),"",$L$711-1),IF($R$17="Distrato",$E946,0)),MIN(AF$38,$D$19),$P$20))-SUM($P946:AE946)</f>
        <v>#VALUE!</v>
      </c>
      <c r="AG946" s="446" t="e">
        <f>IF(OR($B946="",MIN(AG$38,$D$19)&lt;MAX($P$708*($B946+IF($R$17="Distrato",$I$38-1,0)),IF(AND($L$711=0,$P$708=0),"",$L$711-1),IF($R$17="Distrato",$E946,0))),0,YEARFRAC(MAX($P$708*($B946+IF($R$17="Distrato",$I$38-1,0)),IF(AND($L$711=0,$P$708=0),"",$L$711-1),IF($R$17="Distrato",$E946,0)),MIN(AG$38,$D$19),$P$20))-SUM($P946:AF946)</f>
        <v>#VALUE!</v>
      </c>
      <c r="AH946" s="446" t="e">
        <f>IF(OR($B946="",MIN(AH$38,$D$19)&lt;MAX($P$708*($B946+IF($R$17="Distrato",$I$38-1,0)),IF(AND($L$711=0,$P$708=0),"",$L$711-1),IF($R$17="Distrato",$E946,0))),0,YEARFRAC(MAX($P$708*($B946+IF($R$17="Distrato",$I$38-1,0)),IF(AND($L$711=0,$P$708=0),"",$L$711-1),IF($R$17="Distrato",$E946,0)),MIN(AH$38,$D$19),$P$20))-SUM($P946:AG946)</f>
        <v>#VALUE!</v>
      </c>
      <c r="AI946" s="446" t="e">
        <f>IF(OR($B946="",MIN(AI$38,$D$19)&lt;MAX($P$708*($B946+IF($R$17="Distrato",$I$38-1,0)),IF(AND($L$711=0,$P$708=0),"",$L$711-1),IF($R$17="Distrato",$E946,0))),0,YEARFRAC(MAX($P$708*($B946+IF($R$17="Distrato",$I$38-1,0)),IF(AND($L$711=0,$P$708=0),"",$L$711-1),IF($R$17="Distrato",$E946,0)),MIN(AI$38,$D$19),$P$20))-SUM($P946:AH946)</f>
        <v>#VALUE!</v>
      </c>
      <c r="AJ946" s="446" t="e">
        <f>IF(OR($B946="",MIN(AJ$38,$D$19)&lt;MAX($P$708*($B946+IF($R$17="Distrato",$I$38-1,0)),IF(AND($L$711=0,$P$708=0),"",$L$711-1),IF($R$17="Distrato",$E946,0))),0,YEARFRAC(MAX($P$708*($B946+IF($R$17="Distrato",$I$38-1,0)),IF(AND($L$711=0,$P$708=0),"",$L$711-1),IF($R$17="Distrato",$E946,0)),MIN(AJ$38,$D$19),$P$20))-SUM($P946:AI946)</f>
        <v>#VALUE!</v>
      </c>
      <c r="AK946" s="446" t="e">
        <f>IF(OR($B946="",MIN(AK$38,$D$19)&lt;MAX($P$708*($B946+IF($R$17="Distrato",$I$38-1,0)),IF(AND($L$711=0,$P$708=0),"",$L$711-1),IF($R$17="Distrato",$E946,0))),0,YEARFRAC(MAX($P$708*($B946+IF($R$17="Distrato",$I$38-1,0)),IF(AND($L$711=0,$P$708=0),"",$L$711-1),IF($R$17="Distrato",$E946,0)),MIN(AK$38,$D$19),$P$20))-SUM($P946:AJ946)</f>
        <v>#VALUE!</v>
      </c>
      <c r="AL946" s="446" t="e">
        <f>IF(OR($B946="",MIN(AL$38,$D$19)&lt;MAX($P$708*($B946+IF($R$17="Distrato",$I$38-1,0)),IF(AND($L$711=0,$P$708=0),"",$L$711-1),IF($R$17="Distrato",$E946,0))),0,YEARFRAC(MAX($P$708*($B946+IF($R$17="Distrato",$I$38-1,0)),IF(AND($L$711=0,$P$708=0),"",$L$711-1),IF($R$17="Distrato",$E946,0)),MIN(AL$38,$D$19),$P$20))-SUM($P946:AK946)</f>
        <v>#VALUE!</v>
      </c>
      <c r="AM946" s="446" t="e">
        <f>IF(OR($B946="",MIN(AM$38,$D$19)&lt;MAX($P$708*($B946+IF($R$17="Distrato",$I$38-1,0)),IF(AND($L$711=0,$P$708=0),"",$L$711-1),IF($R$17="Distrato",$E946,0))),0,YEARFRAC(MAX($P$708*($B946+IF($R$17="Distrato",$I$38-1,0)),IF(AND($L$711=0,$P$708=0),"",$L$711-1),IF($R$17="Distrato",$E946,0)),MIN(AM$38,$D$19),$P$20))-SUM($P946:AL946)</f>
        <v>#VALUE!</v>
      </c>
      <c r="AN946" s="446" t="e">
        <f>IF(OR($B946="",MIN(AN$38,$D$19)&lt;MAX($P$708*($B946+IF($R$17="Distrato",$I$38-1,0)),IF(AND($L$711=0,$P$708=0),"",$L$711-1),IF($R$17="Distrato",$E946,0))),0,YEARFRAC(MAX($P$708*($B946+IF($R$17="Distrato",$I$38-1,0)),IF(AND($L$711=0,$P$708=0),"",$L$711-1),IF($R$17="Distrato",$E946,0)),MIN(AN$38,$D$19),$P$20))-SUM($P946:AM946)</f>
        <v>#VALUE!</v>
      </c>
      <c r="AO946" s="446" t="e">
        <f>IF(OR($B946="",MIN(AO$38,$D$19)&lt;MAX($P$708*($B946+IF($R$17="Distrato",$I$38-1,0)),IF(AND($L$711=0,$P$708=0),"",$L$711-1),IF($R$17="Distrato",$E946,0))),0,YEARFRAC(MAX($P$708*($B946+IF($R$17="Distrato",$I$38-1,0)),IF(AND($L$711=0,$P$708=0),"",$L$711-1),IF($R$17="Distrato",$E946,0)),MIN(AO$38,$D$19),$P$20))-SUM($P946:AN946)</f>
        <v>#VALUE!</v>
      </c>
      <c r="AP946" s="446" t="e">
        <f>IF(OR($B946="",MIN(AP$38,$D$19)&lt;MAX($P$708*($B946+IF($R$17="Distrato",$I$38-1,0)),IF(AND($L$711=0,$P$708=0),"",$L$711-1),IF($R$17="Distrato",$E946,0))),0,YEARFRAC(MAX($P$708*($B946+IF($R$17="Distrato",$I$38-1,0)),IF(AND($L$711=0,$P$708=0),"",$L$711-1),IF($R$17="Distrato",$E946,0)),MIN(AP$38,$D$19),$P$20))-SUM($P946:AO946)</f>
        <v>#VALUE!</v>
      </c>
      <c r="AQ946" s="446" t="e">
        <f>IF(OR($B946="",MIN(AQ$38,$D$19)&lt;MAX($P$708*($B946+IF($R$17="Distrato",$I$38-1,0)),IF(AND($L$711=0,$P$708=0),"",$L$711-1),IF($R$17="Distrato",$E946,0))),0,YEARFRAC(MAX($P$708*($B946+IF($R$17="Distrato",$I$38-1,0)),IF(AND($L$711=0,$P$708=0),"",$L$711-1),IF($R$17="Distrato",$E946,0)),MIN(AQ$38,$D$19),$P$20))-SUM($P946:AP946)</f>
        <v>#VALUE!</v>
      </c>
      <c r="AR946" s="446" t="e">
        <f>IF(OR($B946="",MIN(AR$38,$D$19)&lt;MAX($P$708*($B946+IF($R$17="Distrato",$I$38-1,0)),IF(AND($L$711=0,$P$708=0),"",$L$711-1),IF($R$17="Distrato",$E946,0))),0,YEARFRAC(MAX($P$708*($B946+IF($R$17="Distrato",$I$38-1,0)),IF(AND($L$711=0,$P$708=0),"",$L$711-1),IF($R$17="Distrato",$E946,0)),MIN(AR$38,$D$19),$P$20))-SUM($P946:AQ946)</f>
        <v>#VALUE!</v>
      </c>
      <c r="AS946" s="446" t="e">
        <f>IF(OR($B946="",MIN(AS$38,$D$19)&lt;MAX($P$708*($B946+IF($R$17="Distrato",$I$38-1,0)),IF(AND($L$711=0,$P$708=0),"",$L$711-1),IF($R$17="Distrato",$E946,0))),0,YEARFRAC(MAX($P$708*($B946+IF($R$17="Distrato",$I$38-1,0)),IF(AND($L$711=0,$P$708=0),"",$L$711-1),IF($R$17="Distrato",$E946,0)),MIN(AS$38,$D$19),$P$20))-SUM($P946:AR946)</f>
        <v>#VALUE!</v>
      </c>
      <c r="AT946" s="446" t="e">
        <f>IF(OR($B946="",MIN(AT$38,$D$19)&lt;MAX($P$708*($B946+IF($R$17="Distrato",$I$38-1,0)),IF(AND($L$711=0,$P$708=0),"",$L$711-1),IF($R$17="Distrato",$E946,0))),0,YEARFRAC(MAX($P$708*($B946+IF($R$17="Distrato",$I$38-1,0)),IF(AND($L$711=0,$P$708=0),"",$L$711-1),IF($R$17="Distrato",$E946,0)),MIN(AT$38,$D$19),$P$20))-SUM($P946:AS946)</f>
        <v>#VALUE!</v>
      </c>
      <c r="AU946" s="446" t="e">
        <f>IF(OR($B946="",MIN(AU$38,$D$19)&lt;MAX($P$708*($B946+IF($R$17="Distrato",$I$38-1,0)),IF(AND($L$711=0,$P$708=0),"",$L$711-1),IF($R$17="Distrato",$E946,0))),0,YEARFRAC(MAX($P$708*($B946+IF($R$17="Distrato",$I$38-1,0)),IF(AND($L$711=0,$P$708=0),"",$L$711-1),IF($R$17="Distrato",$E946,0)),MIN(AU$38,$D$19),$P$20))-SUM($P946:AT946)</f>
        <v>#VALUE!</v>
      </c>
      <c r="AV946" s="446" t="e">
        <f>IF(OR($B946="",MIN(AV$38,$D$19)&lt;MAX($P$708*($B946+IF($R$17="Distrato",$I$38-1,0)),IF(AND($L$711=0,$P$708=0),"",$L$711-1),IF($R$17="Distrato",$E946,0))),0,YEARFRAC(MAX($P$708*($B946+IF($R$17="Distrato",$I$38-1,0)),IF(AND($L$711=0,$P$708=0),"",$L$711-1),IF($R$17="Distrato",$E946,0)),MIN(AV$38,$D$19),$P$20))-SUM($P946:AU946)</f>
        <v>#VALUE!</v>
      </c>
      <c r="AW946" s="446" t="e">
        <f>IF(OR($B946="",MIN(AW$38,$D$19)&lt;MAX($P$708*($B946+IF($R$17="Distrato",$I$38-1,0)),IF(AND($L$711=0,$P$708=0),"",$L$711-1),IF($R$17="Distrato",$E946,0))),0,YEARFRAC(MAX($P$708*($B946+IF($R$17="Distrato",$I$38-1,0)),IF(AND($L$711=0,$P$708=0),"",$L$711-1),IF($R$17="Distrato",$E946,0)),MIN(AW$38,$D$19),$P$20))-SUM($P946:AV946)</f>
        <v>#VALUE!</v>
      </c>
      <c r="AX946" s="446" t="e">
        <f>IF(OR($B946="",MIN(AX$38,$D$19)&lt;MAX($P$708*($B946+IF($R$17="Distrato",$I$38-1,0)),IF(AND($L$711=0,$P$708=0),"",$L$711-1),IF($R$17="Distrato",$E946,0))),0,YEARFRAC(MAX($P$708*($B946+IF($R$17="Distrato",$I$38-1,0)),IF(AND($L$711=0,$P$708=0),"",$L$711-1),IF($R$17="Distrato",$E946,0)),MIN(AX$38,$D$19),$P$20))-SUM($P946:AW946)</f>
        <v>#VALUE!</v>
      </c>
      <c r="AY946" s="446" t="e">
        <f>IF(OR($B946="",MIN(AY$38,$D$19)&lt;MAX($P$708*($B946+IF($R$17="Distrato",$I$38-1,0)),IF(AND($L$711=0,$P$708=0),"",$L$711-1),IF($R$17="Distrato",$E946,0))),0,YEARFRAC(MAX($P$708*($B946+IF($R$17="Distrato",$I$38-1,0)),IF(AND($L$711=0,$P$708=0),"",$L$711-1),IF($R$17="Distrato",$E946,0)),MIN(AY$38,$D$19),$P$20))-SUM($P946:AX946)</f>
        <v>#VALUE!</v>
      </c>
      <c r="AZ946" s="446" t="e">
        <f>IF(OR($B946="",MIN(AZ$38,$D$19)&lt;MAX($P$708*($B946+IF($R$17="Distrato",$I$38-1,0)),IF(AND($L$711=0,$P$708=0),"",$L$711-1),IF($R$17="Distrato",$E946,0))),0,YEARFRAC(MAX($P$708*($B946+IF($R$17="Distrato",$I$38-1,0)),IF(AND($L$711=0,$P$708=0),"",$L$711-1),IF($R$17="Distrato",$E946,0)),MIN(AZ$38,$D$19),$P$20))-SUM($P946:AY946)</f>
        <v>#VALUE!</v>
      </c>
      <c r="BA946" s="446" t="e">
        <f>IF(OR($B946="",MIN(BA$38,$D$19)&lt;MAX($P$708*($B946+IF($R$17="Distrato",$I$38-1,0)),IF(AND($L$711=0,$P$708=0),"",$L$711-1),IF($R$17="Distrato",$E946,0))),0,YEARFRAC(MAX($P$708*($B946+IF($R$17="Distrato",$I$38-1,0)),IF(AND($L$711=0,$P$708=0),"",$L$711-1),IF($R$17="Distrato",$E946,0)),MIN(BA$38,$D$19),$P$20))-SUM($P946:AZ946)</f>
        <v>#VALUE!</v>
      </c>
      <c r="BB946" s="447"/>
    </row>
    <row r="947" spans="1:54" s="446" customFormat="1" ht="11.25" hidden="1" customHeight="1" x14ac:dyDescent="0.2">
      <c r="A947" s="235"/>
      <c r="B947" s="236"/>
      <c r="C947" s="29" t="str">
        <f>IF(B947="","",IF($L$709=$BL$25,VLOOKUP(DATE(YEAR($D$19),MONTH($D$19)-1,1),ÍNDICES!$A:$DE,HLOOKUP($BL$25,ÍNDICES!$B$3:$T$4,2)+11)-VLOOKUP(B947,ÍNDICES!$A:$DE,HLOOKUP($BL$25,ÍNDICES!$B$3:$T$4,2)+11)+1%,IF(C$712=$W$26,$J$35,IF(ISERROR(IF(B947&gt;$D$19,1,VLOOKUP(DATE(YEAR(B947),MONTH(B947)+IF($C$709=$S$23,1,0),1),ÍNDICES!$A:$DE,$Z$709+1))),"",IF(B947&gt;$D$19,1,VLOOKUP(DATE(YEAR(B947),MONTH(B947)+IF($C$709=$S$23,1,0),1),ÍNDICES!$A:$DE,$Z$709+1))))))</f>
        <v/>
      </c>
      <c r="D947" s="155"/>
      <c r="E947" s="88"/>
      <c r="F947" s="88"/>
      <c r="G947" s="88"/>
      <c r="H947" s="118"/>
      <c r="I947" s="182">
        <f t="shared" si="136"/>
        <v>0</v>
      </c>
      <c r="J947" s="20">
        <f t="shared" ca="1" si="137"/>
        <v>0</v>
      </c>
      <c r="K947" s="5">
        <f t="shared" ca="1" si="138"/>
        <v>0</v>
      </c>
      <c r="L947" s="61">
        <f t="shared" ca="1" si="139"/>
        <v>0</v>
      </c>
      <c r="M947" s="64">
        <f t="shared" si="140"/>
        <v>0</v>
      </c>
      <c r="N947" s="151"/>
      <c r="O947" s="5">
        <f t="shared" ca="1" si="141"/>
        <v>0</v>
      </c>
      <c r="P947" s="446" t="e">
        <f t="shared" si="142"/>
        <v>#VALUE!</v>
      </c>
      <c r="Q947" s="446" t="e">
        <f>IF(OR($B947="",MIN(Q$38,$D$19)&lt;MAX($P$708*($B947+IF($R$17="Distrato",$I$38-1,0)),IF(AND($L$711=0,$P$708=0),"",$L$711-1),IF($R$17="Distrato",$E947,0))),0,YEARFRAC(MAX($P$708*($B947+IF($R$17="Distrato",$I$38-1,0)),IF(AND($L$711=0,$P$708=0),"",$L$711-1),IF($R$17="Distrato",$E947,0)),MIN(Q$38,$D$19),$P$20))-SUM($P947:P947)</f>
        <v>#VALUE!</v>
      </c>
      <c r="R947" s="446" t="e">
        <f>IF(OR($B947="",MIN(R$38,$D$19)&lt;MAX($P$708*($B947+IF($R$17="Distrato",$I$38-1,0)),IF(AND($L$711=0,$P$708=0),"",$L$711-1),IF($R$17="Distrato",$E947,0))),0,YEARFRAC(MAX($P$708*($B947+IF($R$17="Distrato",$I$38-1,0)),IF(AND($L$711=0,$P$708=0),"",$L$711-1),IF($R$17="Distrato",$E947,0)),MIN(R$38,$D$19),$P$20))-SUM($P947:Q947)</f>
        <v>#VALUE!</v>
      </c>
      <c r="S947" s="446" t="e">
        <f>IF(OR($B947="",MIN(S$38,$D$19)&lt;MAX($P$708*($B947+IF($R$17="Distrato",$I$38-1,0)),IF(AND($L$711=0,$P$708=0),"",$L$711-1),IF($R$17="Distrato",$E947,0))),0,YEARFRAC(MAX($P$708*($B947+IF($R$17="Distrato",$I$38-1,0)),IF(AND($L$711=0,$P$708=0),"",$L$711-1),IF($R$17="Distrato",$E947,0)),MIN(S$38,$D$19),$P$20))-SUM($P947:R947)</f>
        <v>#VALUE!</v>
      </c>
      <c r="T947" s="446" t="e">
        <f>IF(OR($B947="",MIN(T$38,$D$19)&lt;MAX($P$708*($B947+IF($R$17="Distrato",$I$38-1,0)),IF(AND($L$711=0,$P$708=0),"",$L$711-1),IF($R$17="Distrato",$E947,0))),0,YEARFRAC(MAX($P$708*($B947+IF($R$17="Distrato",$I$38-1,0)),IF(AND($L$711=0,$P$708=0),"",$L$711-1),IF($R$17="Distrato",$E947,0)),MIN(T$38,$D$19),$P$20))-SUM($P947:S947)</f>
        <v>#VALUE!</v>
      </c>
      <c r="U947" s="446" t="e">
        <f>IF(OR($B947="",MIN(U$38,$D$19)&lt;MAX($P$708*($B947+IF($R$17="Distrato",$I$38-1,0)),IF(AND($L$711=0,$P$708=0),"",$L$711-1),IF($R$17="Distrato",$E947,0))),0,YEARFRAC(MAX($P$708*($B947+IF($R$17="Distrato",$I$38-1,0)),IF(AND($L$711=0,$P$708=0),"",$L$711-1),IF($R$17="Distrato",$E947,0)),MIN(U$38,$D$19),$P$20))-SUM($P947:T947)</f>
        <v>#VALUE!</v>
      </c>
      <c r="V947" s="446" t="e">
        <f>IF(OR($B947="",MIN(V$38,$D$19)&lt;MAX($P$708*($B947+IF($R$17="Distrato",$I$38-1,0)),IF(AND($L$711=0,$P$708=0),"",$L$711-1),IF($R$17="Distrato",$E947,0))),0,YEARFRAC(MAX($P$708*($B947+IF($R$17="Distrato",$I$38-1,0)),IF(AND($L$711=0,$P$708=0),"",$L$711-1),IF($R$17="Distrato",$E947,0)),MIN(V$38,$D$19),$P$20))-SUM($P947:U947)</f>
        <v>#VALUE!</v>
      </c>
      <c r="W947" s="446" t="e">
        <f>IF(OR($B947="",MIN(W$38,$D$19)&lt;MAX($P$708*($B947+IF($R$17="Distrato",$I$38-1,0)),IF(AND($L$711=0,$P$708=0),"",$L$711-1),IF($R$17="Distrato",$E947,0))),0,YEARFRAC(MAX($P$708*($B947+IF($R$17="Distrato",$I$38-1,0)),IF(AND($L$711=0,$P$708=0),"",$L$711-1),IF($R$17="Distrato",$E947,0)),MIN(W$38,$D$19),$P$20))-SUM($P947:V947)</f>
        <v>#VALUE!</v>
      </c>
      <c r="X947" s="446" t="e">
        <f>IF(OR($B947="",MIN(X$38,$D$19)&lt;MAX($P$708*($B947+IF($R$17="Distrato",$I$38-1,0)),IF(AND($L$711=0,$P$708=0),"",$L$711-1),IF($R$17="Distrato",$E947,0))),0,YEARFRAC(MAX($P$708*($B947+IF($R$17="Distrato",$I$38-1,0)),IF(AND($L$711=0,$P$708=0),"",$L$711-1),IF($R$17="Distrato",$E947,0)),MIN(X$38,$D$19),$P$20))-SUM($P947:W947)</f>
        <v>#VALUE!</v>
      </c>
      <c r="Y947" s="446" t="e">
        <f>IF(OR($B947="",MIN(Y$38,$D$19)&lt;MAX($P$708*($B947+IF($R$17="Distrato",$I$38-1,0)),IF(AND($L$711=0,$P$708=0),"",$L$711-1),IF($R$17="Distrato",$E947,0))),0,YEARFRAC(MAX($P$708*($B947+IF($R$17="Distrato",$I$38-1,0)),IF(AND($L$711=0,$P$708=0),"",$L$711-1),IF($R$17="Distrato",$E947,0)),MIN(Y$38,$D$19),$P$20))-SUM($P947:X947)</f>
        <v>#VALUE!</v>
      </c>
      <c r="Z947" s="446" t="e">
        <f>IF(OR($B947="",MIN(Z$38,$D$19)&lt;MAX($P$708*($B947+IF($R$17="Distrato",$I$38-1,0)),IF(AND($L$711=0,$P$708=0),"",$L$711-1),IF($R$17="Distrato",$E947,0))),0,YEARFRAC(MAX($P$708*($B947+IF($R$17="Distrato",$I$38-1,0)),IF(AND($L$711=0,$P$708=0),"",$L$711-1),IF($R$17="Distrato",$E947,0)),MIN(Z$38,$D$19),$P$20))-SUM($P947:Y947)</f>
        <v>#VALUE!</v>
      </c>
      <c r="AA947" s="446" t="e">
        <f>IF(OR($B947="",MIN(AA$38,$D$19)&lt;MAX($P$708*($B947+IF($R$17="Distrato",$I$38-1,0)),IF(AND($L$711=0,$P$708=0),"",$L$711-1),IF($R$17="Distrato",$E947,0))),0,YEARFRAC(MAX($P$708*($B947+IF($R$17="Distrato",$I$38-1,0)),IF(AND($L$711=0,$P$708=0),"",$L$711-1),IF($R$17="Distrato",$E947,0)),MIN(AA$38,$D$19),$P$20))-SUM($P947:Z947)</f>
        <v>#VALUE!</v>
      </c>
      <c r="AB947" s="446" t="e">
        <f>IF(OR($B947="",MIN(AB$38,$D$19)&lt;MAX($P$708*($B947+IF($R$17="Distrato",$I$38-1,0)),IF(AND($L$711=0,$P$708=0),"",$L$711-1),IF($R$17="Distrato",$E947,0))),0,YEARFRAC(MAX($P$708*($B947+IF($R$17="Distrato",$I$38-1,0)),IF(AND($L$711=0,$P$708=0),"",$L$711-1),IF($R$17="Distrato",$E947,0)),MIN(AB$38,$D$19),$P$20))-SUM($P947:AA947)</f>
        <v>#VALUE!</v>
      </c>
      <c r="AC947" s="446" t="e">
        <f>IF(OR($B947="",MIN(AC$38,$D$19)&lt;MAX($P$708*($B947+IF($R$17="Distrato",$I$38-1,0)),IF(AND($L$711=0,$P$708=0),"",$L$711-1),IF($R$17="Distrato",$E947,0))),0,YEARFRAC(MAX($P$708*($B947+IF($R$17="Distrato",$I$38-1,0)),IF(AND($L$711=0,$P$708=0),"",$L$711-1),IF($R$17="Distrato",$E947,0)),MIN(AC$38,$D$19),$P$20))-SUM($P947:AB947)</f>
        <v>#VALUE!</v>
      </c>
      <c r="AD947" s="446" t="e">
        <f>IF(OR($B947="",MIN(AD$38,$D$19)&lt;MAX($P$708*($B947+IF($R$17="Distrato",$I$38-1,0)),IF(AND($L$711=0,$P$708=0),"",$L$711-1),IF($R$17="Distrato",$E947,0))),0,YEARFRAC(MAX($P$708*($B947+IF($R$17="Distrato",$I$38-1,0)),IF(AND($L$711=0,$P$708=0),"",$L$711-1),IF($R$17="Distrato",$E947,0)),MIN(AD$38,$D$19),$P$20))-SUM($P947:AC947)</f>
        <v>#VALUE!</v>
      </c>
      <c r="AE947" s="446" t="e">
        <f>IF(OR($B947="",MIN(AE$38,$D$19)&lt;MAX($P$708*($B947+IF($R$17="Distrato",$I$38-1,0)),IF(AND($L$711=0,$P$708=0),"",$L$711-1),IF($R$17="Distrato",$E947,0))),0,YEARFRAC(MAX($P$708*($B947+IF($R$17="Distrato",$I$38-1,0)),IF(AND($L$711=0,$P$708=0),"",$L$711-1),IF($R$17="Distrato",$E947,0)),MIN(AE$38,$D$19),$P$20))-SUM($P947:AD947)</f>
        <v>#VALUE!</v>
      </c>
      <c r="AF947" s="446" t="e">
        <f>IF(OR($B947="",MIN(AF$38,$D$19)&lt;MAX($P$708*($B947+IF($R$17="Distrato",$I$38-1,0)),IF(AND($L$711=0,$P$708=0),"",$L$711-1),IF($R$17="Distrato",$E947,0))),0,YEARFRAC(MAX($P$708*($B947+IF($R$17="Distrato",$I$38-1,0)),IF(AND($L$711=0,$P$708=0),"",$L$711-1),IF($R$17="Distrato",$E947,0)),MIN(AF$38,$D$19),$P$20))-SUM($P947:AE947)</f>
        <v>#VALUE!</v>
      </c>
      <c r="AG947" s="446" t="e">
        <f>IF(OR($B947="",MIN(AG$38,$D$19)&lt;MAX($P$708*($B947+IF($R$17="Distrato",$I$38-1,0)),IF(AND($L$711=0,$P$708=0),"",$L$711-1),IF($R$17="Distrato",$E947,0))),0,YEARFRAC(MAX($P$708*($B947+IF($R$17="Distrato",$I$38-1,0)),IF(AND($L$711=0,$P$708=0),"",$L$711-1),IF($R$17="Distrato",$E947,0)),MIN(AG$38,$D$19),$P$20))-SUM($P947:AF947)</f>
        <v>#VALUE!</v>
      </c>
      <c r="AH947" s="446" t="e">
        <f>IF(OR($B947="",MIN(AH$38,$D$19)&lt;MAX($P$708*($B947+IF($R$17="Distrato",$I$38-1,0)),IF(AND($L$711=0,$P$708=0),"",$L$711-1),IF($R$17="Distrato",$E947,0))),0,YEARFRAC(MAX($P$708*($B947+IF($R$17="Distrato",$I$38-1,0)),IF(AND($L$711=0,$P$708=0),"",$L$711-1),IF($R$17="Distrato",$E947,0)),MIN(AH$38,$D$19),$P$20))-SUM($P947:AG947)</f>
        <v>#VALUE!</v>
      </c>
      <c r="AI947" s="446" t="e">
        <f>IF(OR($B947="",MIN(AI$38,$D$19)&lt;MAX($P$708*($B947+IF($R$17="Distrato",$I$38-1,0)),IF(AND($L$711=0,$P$708=0),"",$L$711-1),IF($R$17="Distrato",$E947,0))),0,YEARFRAC(MAX($P$708*($B947+IF($R$17="Distrato",$I$38-1,0)),IF(AND($L$711=0,$P$708=0),"",$L$711-1),IF($R$17="Distrato",$E947,0)),MIN(AI$38,$D$19),$P$20))-SUM($P947:AH947)</f>
        <v>#VALUE!</v>
      </c>
      <c r="AJ947" s="446" t="e">
        <f>IF(OR($B947="",MIN(AJ$38,$D$19)&lt;MAX($P$708*($B947+IF($R$17="Distrato",$I$38-1,0)),IF(AND($L$711=0,$P$708=0),"",$L$711-1),IF($R$17="Distrato",$E947,0))),0,YEARFRAC(MAX($P$708*($B947+IF($R$17="Distrato",$I$38-1,0)),IF(AND($L$711=0,$P$708=0),"",$L$711-1),IF($R$17="Distrato",$E947,0)),MIN(AJ$38,$D$19),$P$20))-SUM($P947:AI947)</f>
        <v>#VALUE!</v>
      </c>
      <c r="AK947" s="446" t="e">
        <f>IF(OR($B947="",MIN(AK$38,$D$19)&lt;MAX($P$708*($B947+IF($R$17="Distrato",$I$38-1,0)),IF(AND($L$711=0,$P$708=0),"",$L$711-1),IF($R$17="Distrato",$E947,0))),0,YEARFRAC(MAX($P$708*($B947+IF($R$17="Distrato",$I$38-1,0)),IF(AND($L$711=0,$P$708=0),"",$L$711-1),IF($R$17="Distrato",$E947,0)),MIN(AK$38,$D$19),$P$20))-SUM($P947:AJ947)</f>
        <v>#VALUE!</v>
      </c>
      <c r="AL947" s="446" t="e">
        <f>IF(OR($B947="",MIN(AL$38,$D$19)&lt;MAX($P$708*($B947+IF($R$17="Distrato",$I$38-1,0)),IF(AND($L$711=0,$P$708=0),"",$L$711-1),IF($R$17="Distrato",$E947,0))),0,YEARFRAC(MAX($P$708*($B947+IF($R$17="Distrato",$I$38-1,0)),IF(AND($L$711=0,$P$708=0),"",$L$711-1),IF($R$17="Distrato",$E947,0)),MIN(AL$38,$D$19),$P$20))-SUM($P947:AK947)</f>
        <v>#VALUE!</v>
      </c>
      <c r="AM947" s="446" t="e">
        <f>IF(OR($B947="",MIN(AM$38,$D$19)&lt;MAX($P$708*($B947+IF($R$17="Distrato",$I$38-1,0)),IF(AND($L$711=0,$P$708=0),"",$L$711-1),IF($R$17="Distrato",$E947,0))),0,YEARFRAC(MAX($P$708*($B947+IF($R$17="Distrato",$I$38-1,0)),IF(AND($L$711=0,$P$708=0),"",$L$711-1),IF($R$17="Distrato",$E947,0)),MIN(AM$38,$D$19),$P$20))-SUM($P947:AL947)</f>
        <v>#VALUE!</v>
      </c>
      <c r="AN947" s="446" t="e">
        <f>IF(OR($B947="",MIN(AN$38,$D$19)&lt;MAX($P$708*($B947+IF($R$17="Distrato",$I$38-1,0)),IF(AND($L$711=0,$P$708=0),"",$L$711-1),IF($R$17="Distrato",$E947,0))),0,YEARFRAC(MAX($P$708*($B947+IF($R$17="Distrato",$I$38-1,0)),IF(AND($L$711=0,$P$708=0),"",$L$711-1),IF($R$17="Distrato",$E947,0)),MIN(AN$38,$D$19),$P$20))-SUM($P947:AM947)</f>
        <v>#VALUE!</v>
      </c>
      <c r="AO947" s="446" t="e">
        <f>IF(OR($B947="",MIN(AO$38,$D$19)&lt;MAX($P$708*($B947+IF($R$17="Distrato",$I$38-1,0)),IF(AND($L$711=0,$P$708=0),"",$L$711-1),IF($R$17="Distrato",$E947,0))),0,YEARFRAC(MAX($P$708*($B947+IF($R$17="Distrato",$I$38-1,0)),IF(AND($L$711=0,$P$708=0),"",$L$711-1),IF($R$17="Distrato",$E947,0)),MIN(AO$38,$D$19),$P$20))-SUM($P947:AN947)</f>
        <v>#VALUE!</v>
      </c>
      <c r="AP947" s="446" t="e">
        <f>IF(OR($B947="",MIN(AP$38,$D$19)&lt;MAX($P$708*($B947+IF($R$17="Distrato",$I$38-1,0)),IF(AND($L$711=0,$P$708=0),"",$L$711-1),IF($R$17="Distrato",$E947,0))),0,YEARFRAC(MAX($P$708*($B947+IF($R$17="Distrato",$I$38-1,0)),IF(AND($L$711=0,$P$708=0),"",$L$711-1),IF($R$17="Distrato",$E947,0)),MIN(AP$38,$D$19),$P$20))-SUM($P947:AO947)</f>
        <v>#VALUE!</v>
      </c>
      <c r="AQ947" s="446" t="e">
        <f>IF(OR($B947="",MIN(AQ$38,$D$19)&lt;MAX($P$708*($B947+IF($R$17="Distrato",$I$38-1,0)),IF(AND($L$711=0,$P$708=0),"",$L$711-1),IF($R$17="Distrato",$E947,0))),0,YEARFRAC(MAX($P$708*($B947+IF($R$17="Distrato",$I$38-1,0)),IF(AND($L$711=0,$P$708=0),"",$L$711-1),IF($R$17="Distrato",$E947,0)),MIN(AQ$38,$D$19),$P$20))-SUM($P947:AP947)</f>
        <v>#VALUE!</v>
      </c>
      <c r="AR947" s="446" t="e">
        <f>IF(OR($B947="",MIN(AR$38,$D$19)&lt;MAX($P$708*($B947+IF($R$17="Distrato",$I$38-1,0)),IF(AND($L$711=0,$P$708=0),"",$L$711-1),IF($R$17="Distrato",$E947,0))),0,YEARFRAC(MAX($P$708*($B947+IF($R$17="Distrato",$I$38-1,0)),IF(AND($L$711=0,$P$708=0),"",$L$711-1),IF($R$17="Distrato",$E947,0)),MIN(AR$38,$D$19),$P$20))-SUM($P947:AQ947)</f>
        <v>#VALUE!</v>
      </c>
      <c r="AS947" s="446" t="e">
        <f>IF(OR($B947="",MIN(AS$38,$D$19)&lt;MAX($P$708*($B947+IF($R$17="Distrato",$I$38-1,0)),IF(AND($L$711=0,$P$708=0),"",$L$711-1),IF($R$17="Distrato",$E947,0))),0,YEARFRAC(MAX($P$708*($B947+IF($R$17="Distrato",$I$38-1,0)),IF(AND($L$711=0,$P$708=0),"",$L$711-1),IF($R$17="Distrato",$E947,0)),MIN(AS$38,$D$19),$P$20))-SUM($P947:AR947)</f>
        <v>#VALUE!</v>
      </c>
      <c r="AT947" s="446" t="e">
        <f>IF(OR($B947="",MIN(AT$38,$D$19)&lt;MAX($P$708*($B947+IF($R$17="Distrato",$I$38-1,0)),IF(AND($L$711=0,$P$708=0),"",$L$711-1),IF($R$17="Distrato",$E947,0))),0,YEARFRAC(MAX($P$708*($B947+IF($R$17="Distrato",$I$38-1,0)),IF(AND($L$711=0,$P$708=0),"",$L$711-1),IF($R$17="Distrato",$E947,0)),MIN(AT$38,$D$19),$P$20))-SUM($P947:AS947)</f>
        <v>#VALUE!</v>
      </c>
      <c r="AU947" s="446" t="e">
        <f>IF(OR($B947="",MIN(AU$38,$D$19)&lt;MAX($P$708*($B947+IF($R$17="Distrato",$I$38-1,0)),IF(AND($L$711=0,$P$708=0),"",$L$711-1),IF($R$17="Distrato",$E947,0))),0,YEARFRAC(MAX($P$708*($B947+IF($R$17="Distrato",$I$38-1,0)),IF(AND($L$711=0,$P$708=0),"",$L$711-1),IF($R$17="Distrato",$E947,0)),MIN(AU$38,$D$19),$P$20))-SUM($P947:AT947)</f>
        <v>#VALUE!</v>
      </c>
      <c r="AV947" s="446" t="e">
        <f>IF(OR($B947="",MIN(AV$38,$D$19)&lt;MAX($P$708*($B947+IF($R$17="Distrato",$I$38-1,0)),IF(AND($L$711=0,$P$708=0),"",$L$711-1),IF($R$17="Distrato",$E947,0))),0,YEARFRAC(MAX($P$708*($B947+IF($R$17="Distrato",$I$38-1,0)),IF(AND($L$711=0,$P$708=0),"",$L$711-1),IF($R$17="Distrato",$E947,0)),MIN(AV$38,$D$19),$P$20))-SUM($P947:AU947)</f>
        <v>#VALUE!</v>
      </c>
      <c r="AW947" s="446" t="e">
        <f>IF(OR($B947="",MIN(AW$38,$D$19)&lt;MAX($P$708*($B947+IF($R$17="Distrato",$I$38-1,0)),IF(AND($L$711=0,$P$708=0),"",$L$711-1),IF($R$17="Distrato",$E947,0))),0,YEARFRAC(MAX($P$708*($B947+IF($R$17="Distrato",$I$38-1,0)),IF(AND($L$711=0,$P$708=0),"",$L$711-1),IF($R$17="Distrato",$E947,0)),MIN(AW$38,$D$19),$P$20))-SUM($P947:AV947)</f>
        <v>#VALUE!</v>
      </c>
      <c r="AX947" s="446" t="e">
        <f>IF(OR($B947="",MIN(AX$38,$D$19)&lt;MAX($P$708*($B947+IF($R$17="Distrato",$I$38-1,0)),IF(AND($L$711=0,$P$708=0),"",$L$711-1),IF($R$17="Distrato",$E947,0))),0,YEARFRAC(MAX($P$708*($B947+IF($R$17="Distrato",$I$38-1,0)),IF(AND($L$711=0,$P$708=0),"",$L$711-1),IF($R$17="Distrato",$E947,0)),MIN(AX$38,$D$19),$P$20))-SUM($P947:AW947)</f>
        <v>#VALUE!</v>
      </c>
      <c r="AY947" s="446" t="e">
        <f>IF(OR($B947="",MIN(AY$38,$D$19)&lt;MAX($P$708*($B947+IF($R$17="Distrato",$I$38-1,0)),IF(AND($L$711=0,$P$708=0),"",$L$711-1),IF($R$17="Distrato",$E947,0))),0,YEARFRAC(MAX($P$708*($B947+IF($R$17="Distrato",$I$38-1,0)),IF(AND($L$711=0,$P$708=0),"",$L$711-1),IF($R$17="Distrato",$E947,0)),MIN(AY$38,$D$19),$P$20))-SUM($P947:AX947)</f>
        <v>#VALUE!</v>
      </c>
      <c r="AZ947" s="446" t="e">
        <f>IF(OR($B947="",MIN(AZ$38,$D$19)&lt;MAX($P$708*($B947+IF($R$17="Distrato",$I$38-1,0)),IF(AND($L$711=0,$P$708=0),"",$L$711-1),IF($R$17="Distrato",$E947,0))),0,YEARFRAC(MAX($P$708*($B947+IF($R$17="Distrato",$I$38-1,0)),IF(AND($L$711=0,$P$708=0),"",$L$711-1),IF($R$17="Distrato",$E947,0)),MIN(AZ$38,$D$19),$P$20))-SUM($P947:AY947)</f>
        <v>#VALUE!</v>
      </c>
      <c r="BA947" s="446" t="e">
        <f>IF(OR($B947="",MIN(BA$38,$D$19)&lt;MAX($P$708*($B947+IF($R$17="Distrato",$I$38-1,0)),IF(AND($L$711=0,$P$708=0),"",$L$711-1),IF($R$17="Distrato",$E947,0))),0,YEARFRAC(MAX($P$708*($B947+IF($R$17="Distrato",$I$38-1,0)),IF(AND($L$711=0,$P$708=0),"",$L$711-1),IF($R$17="Distrato",$E947,0)),MIN(BA$38,$D$19),$P$20))-SUM($P947:AZ947)</f>
        <v>#VALUE!</v>
      </c>
      <c r="BB947" s="447"/>
    </row>
    <row r="948" spans="1:54" s="446" customFormat="1" ht="11.25" hidden="1" customHeight="1" x14ac:dyDescent="0.2">
      <c r="A948" s="235"/>
      <c r="B948" s="236"/>
      <c r="C948" s="29" t="str">
        <f>IF(B948="","",IF($L$709=$BL$25,VLOOKUP(DATE(YEAR($D$19),MONTH($D$19)-1,1),ÍNDICES!$A:$DE,HLOOKUP($BL$25,ÍNDICES!$B$3:$T$4,2)+11)-VLOOKUP(B948,ÍNDICES!$A:$DE,HLOOKUP($BL$25,ÍNDICES!$B$3:$T$4,2)+11)+1%,IF(C$712=$W$26,$J$35,IF(ISERROR(IF(B948&gt;$D$19,1,VLOOKUP(DATE(YEAR(B948),MONTH(B948)+IF($C$709=$S$23,1,0),1),ÍNDICES!$A:$DE,$Z$709+1))),"",IF(B948&gt;$D$19,1,VLOOKUP(DATE(YEAR(B948),MONTH(B948)+IF($C$709=$S$23,1,0),1),ÍNDICES!$A:$DE,$Z$709+1))))))</f>
        <v/>
      </c>
      <c r="D948" s="155"/>
      <c r="E948" s="88"/>
      <c r="F948" s="88"/>
      <c r="G948" s="88"/>
      <c r="H948" s="118"/>
      <c r="I948" s="182">
        <f t="shared" si="136"/>
        <v>0</v>
      </c>
      <c r="J948" s="20">
        <f t="shared" ca="1" si="137"/>
        <v>0</v>
      </c>
      <c r="K948" s="5">
        <f t="shared" ca="1" si="138"/>
        <v>0</v>
      </c>
      <c r="L948" s="61">
        <f t="shared" ca="1" si="139"/>
        <v>0</v>
      </c>
      <c r="M948" s="64">
        <f t="shared" si="140"/>
        <v>0</v>
      </c>
      <c r="N948" s="151"/>
      <c r="O948" s="5">
        <f t="shared" ca="1" si="141"/>
        <v>0</v>
      </c>
      <c r="P948" s="446" t="e">
        <f t="shared" si="142"/>
        <v>#VALUE!</v>
      </c>
      <c r="Q948" s="446" t="e">
        <f>IF(OR($B948="",MIN(Q$38,$D$19)&lt;MAX($P$708*($B948+IF($R$17="Distrato",$I$38-1,0)),IF(AND($L$711=0,$P$708=0),"",$L$711-1),IF($R$17="Distrato",$E948,0))),0,YEARFRAC(MAX($P$708*($B948+IF($R$17="Distrato",$I$38-1,0)),IF(AND($L$711=0,$P$708=0),"",$L$711-1),IF($R$17="Distrato",$E948,0)),MIN(Q$38,$D$19),$P$20))-SUM($P948:P948)</f>
        <v>#VALUE!</v>
      </c>
      <c r="R948" s="446" t="e">
        <f>IF(OR($B948="",MIN(R$38,$D$19)&lt;MAX($P$708*($B948+IF($R$17="Distrato",$I$38-1,0)),IF(AND($L$711=0,$P$708=0),"",$L$711-1),IF($R$17="Distrato",$E948,0))),0,YEARFRAC(MAX($P$708*($B948+IF($R$17="Distrato",$I$38-1,0)),IF(AND($L$711=0,$P$708=0),"",$L$711-1),IF($R$17="Distrato",$E948,0)),MIN(R$38,$D$19),$P$20))-SUM($P948:Q948)</f>
        <v>#VALUE!</v>
      </c>
      <c r="S948" s="446" t="e">
        <f>IF(OR($B948="",MIN(S$38,$D$19)&lt;MAX($P$708*($B948+IF($R$17="Distrato",$I$38-1,0)),IF(AND($L$711=0,$P$708=0),"",$L$711-1),IF($R$17="Distrato",$E948,0))),0,YEARFRAC(MAX($P$708*($B948+IF($R$17="Distrato",$I$38-1,0)),IF(AND($L$711=0,$P$708=0),"",$L$711-1),IF($R$17="Distrato",$E948,0)),MIN(S$38,$D$19),$P$20))-SUM($P948:R948)</f>
        <v>#VALUE!</v>
      </c>
      <c r="T948" s="446" t="e">
        <f>IF(OR($B948="",MIN(T$38,$D$19)&lt;MAX($P$708*($B948+IF($R$17="Distrato",$I$38-1,0)),IF(AND($L$711=0,$P$708=0),"",$L$711-1),IF($R$17="Distrato",$E948,0))),0,YEARFRAC(MAX($P$708*($B948+IF($R$17="Distrato",$I$38-1,0)),IF(AND($L$711=0,$P$708=0),"",$L$711-1),IF($R$17="Distrato",$E948,0)),MIN(T$38,$D$19),$P$20))-SUM($P948:S948)</f>
        <v>#VALUE!</v>
      </c>
      <c r="U948" s="446" t="e">
        <f>IF(OR($B948="",MIN(U$38,$D$19)&lt;MAX($P$708*($B948+IF($R$17="Distrato",$I$38-1,0)),IF(AND($L$711=0,$P$708=0),"",$L$711-1),IF($R$17="Distrato",$E948,0))),0,YEARFRAC(MAX($P$708*($B948+IF($R$17="Distrato",$I$38-1,0)),IF(AND($L$711=0,$P$708=0),"",$L$711-1),IF($R$17="Distrato",$E948,0)),MIN(U$38,$D$19),$P$20))-SUM($P948:T948)</f>
        <v>#VALUE!</v>
      </c>
      <c r="V948" s="446" t="e">
        <f>IF(OR($B948="",MIN(V$38,$D$19)&lt;MAX($P$708*($B948+IF($R$17="Distrato",$I$38-1,0)),IF(AND($L$711=0,$P$708=0),"",$L$711-1),IF($R$17="Distrato",$E948,0))),0,YEARFRAC(MAX($P$708*($B948+IF($R$17="Distrato",$I$38-1,0)),IF(AND($L$711=0,$P$708=0),"",$L$711-1),IF($R$17="Distrato",$E948,0)),MIN(V$38,$D$19),$P$20))-SUM($P948:U948)</f>
        <v>#VALUE!</v>
      </c>
      <c r="W948" s="446" t="e">
        <f>IF(OR($B948="",MIN(W$38,$D$19)&lt;MAX($P$708*($B948+IF($R$17="Distrato",$I$38-1,0)),IF(AND($L$711=0,$P$708=0),"",$L$711-1),IF($R$17="Distrato",$E948,0))),0,YEARFRAC(MAX($P$708*($B948+IF($R$17="Distrato",$I$38-1,0)),IF(AND($L$711=0,$P$708=0),"",$L$711-1),IF($R$17="Distrato",$E948,0)),MIN(W$38,$D$19),$P$20))-SUM($P948:V948)</f>
        <v>#VALUE!</v>
      </c>
      <c r="X948" s="446" t="e">
        <f>IF(OR($B948="",MIN(X$38,$D$19)&lt;MAX($P$708*($B948+IF($R$17="Distrato",$I$38-1,0)),IF(AND($L$711=0,$P$708=0),"",$L$711-1),IF($R$17="Distrato",$E948,0))),0,YEARFRAC(MAX($P$708*($B948+IF($R$17="Distrato",$I$38-1,0)),IF(AND($L$711=0,$P$708=0),"",$L$711-1),IF($R$17="Distrato",$E948,0)),MIN(X$38,$D$19),$P$20))-SUM($P948:W948)</f>
        <v>#VALUE!</v>
      </c>
      <c r="Y948" s="446" t="e">
        <f>IF(OR($B948="",MIN(Y$38,$D$19)&lt;MAX($P$708*($B948+IF($R$17="Distrato",$I$38-1,0)),IF(AND($L$711=0,$P$708=0),"",$L$711-1),IF($R$17="Distrato",$E948,0))),0,YEARFRAC(MAX($P$708*($B948+IF($R$17="Distrato",$I$38-1,0)),IF(AND($L$711=0,$P$708=0),"",$L$711-1),IF($R$17="Distrato",$E948,0)),MIN(Y$38,$D$19),$P$20))-SUM($P948:X948)</f>
        <v>#VALUE!</v>
      </c>
      <c r="Z948" s="446" t="e">
        <f>IF(OR($B948="",MIN(Z$38,$D$19)&lt;MAX($P$708*($B948+IF($R$17="Distrato",$I$38-1,0)),IF(AND($L$711=0,$P$708=0),"",$L$711-1),IF($R$17="Distrato",$E948,0))),0,YEARFRAC(MAX($P$708*($B948+IF($R$17="Distrato",$I$38-1,0)),IF(AND($L$711=0,$P$708=0),"",$L$711-1),IF($R$17="Distrato",$E948,0)),MIN(Z$38,$D$19),$P$20))-SUM($P948:Y948)</f>
        <v>#VALUE!</v>
      </c>
      <c r="AA948" s="446" t="e">
        <f>IF(OR($B948="",MIN(AA$38,$D$19)&lt;MAX($P$708*($B948+IF($R$17="Distrato",$I$38-1,0)),IF(AND($L$711=0,$P$708=0),"",$L$711-1),IF($R$17="Distrato",$E948,0))),0,YEARFRAC(MAX($P$708*($B948+IF($R$17="Distrato",$I$38-1,0)),IF(AND($L$711=0,$P$708=0),"",$L$711-1),IF($R$17="Distrato",$E948,0)),MIN(AA$38,$D$19),$P$20))-SUM($P948:Z948)</f>
        <v>#VALUE!</v>
      </c>
      <c r="AB948" s="446" t="e">
        <f>IF(OR($B948="",MIN(AB$38,$D$19)&lt;MAX($P$708*($B948+IF($R$17="Distrato",$I$38-1,0)),IF(AND($L$711=0,$P$708=0),"",$L$711-1),IF($R$17="Distrato",$E948,0))),0,YEARFRAC(MAX($P$708*($B948+IF($R$17="Distrato",$I$38-1,0)),IF(AND($L$711=0,$P$708=0),"",$L$711-1),IF($R$17="Distrato",$E948,0)),MIN(AB$38,$D$19),$P$20))-SUM($P948:AA948)</f>
        <v>#VALUE!</v>
      </c>
      <c r="AC948" s="446" t="e">
        <f>IF(OR($B948="",MIN(AC$38,$D$19)&lt;MAX($P$708*($B948+IF($R$17="Distrato",$I$38-1,0)),IF(AND($L$711=0,$P$708=0),"",$L$711-1),IF($R$17="Distrato",$E948,0))),0,YEARFRAC(MAX($P$708*($B948+IF($R$17="Distrato",$I$38-1,0)),IF(AND($L$711=0,$P$708=0),"",$L$711-1),IF($R$17="Distrato",$E948,0)),MIN(AC$38,$D$19),$P$20))-SUM($P948:AB948)</f>
        <v>#VALUE!</v>
      </c>
      <c r="AD948" s="446" t="e">
        <f>IF(OR($B948="",MIN(AD$38,$D$19)&lt;MAX($P$708*($B948+IF($R$17="Distrato",$I$38-1,0)),IF(AND($L$711=0,$P$708=0),"",$L$711-1),IF($R$17="Distrato",$E948,0))),0,YEARFRAC(MAX($P$708*($B948+IF($R$17="Distrato",$I$38-1,0)),IF(AND($L$711=0,$P$708=0),"",$L$711-1),IF($R$17="Distrato",$E948,0)),MIN(AD$38,$D$19),$P$20))-SUM($P948:AC948)</f>
        <v>#VALUE!</v>
      </c>
      <c r="AE948" s="446" t="e">
        <f>IF(OR($B948="",MIN(AE$38,$D$19)&lt;MAX($P$708*($B948+IF($R$17="Distrato",$I$38-1,0)),IF(AND($L$711=0,$P$708=0),"",$L$711-1),IF($R$17="Distrato",$E948,0))),0,YEARFRAC(MAX($P$708*($B948+IF($R$17="Distrato",$I$38-1,0)),IF(AND($L$711=0,$P$708=0),"",$L$711-1),IF($R$17="Distrato",$E948,0)),MIN(AE$38,$D$19),$P$20))-SUM($P948:AD948)</f>
        <v>#VALUE!</v>
      </c>
      <c r="AF948" s="446" t="e">
        <f>IF(OR($B948="",MIN(AF$38,$D$19)&lt;MAX($P$708*($B948+IF($R$17="Distrato",$I$38-1,0)),IF(AND($L$711=0,$P$708=0),"",$L$711-1),IF($R$17="Distrato",$E948,0))),0,YEARFRAC(MAX($P$708*($B948+IF($R$17="Distrato",$I$38-1,0)),IF(AND($L$711=0,$P$708=0),"",$L$711-1),IF($R$17="Distrato",$E948,0)),MIN(AF$38,$D$19),$P$20))-SUM($P948:AE948)</f>
        <v>#VALUE!</v>
      </c>
      <c r="AG948" s="446" t="e">
        <f>IF(OR($B948="",MIN(AG$38,$D$19)&lt;MAX($P$708*($B948+IF($R$17="Distrato",$I$38-1,0)),IF(AND($L$711=0,$P$708=0),"",$L$711-1),IF($R$17="Distrato",$E948,0))),0,YEARFRAC(MAX($P$708*($B948+IF($R$17="Distrato",$I$38-1,0)),IF(AND($L$711=0,$P$708=0),"",$L$711-1),IF($R$17="Distrato",$E948,0)),MIN(AG$38,$D$19),$P$20))-SUM($P948:AF948)</f>
        <v>#VALUE!</v>
      </c>
      <c r="AH948" s="446" t="e">
        <f>IF(OR($B948="",MIN(AH$38,$D$19)&lt;MAX($P$708*($B948+IF($R$17="Distrato",$I$38-1,0)),IF(AND($L$711=0,$P$708=0),"",$L$711-1),IF($R$17="Distrato",$E948,0))),0,YEARFRAC(MAX($P$708*($B948+IF($R$17="Distrato",$I$38-1,0)),IF(AND($L$711=0,$P$708=0),"",$L$711-1),IF($R$17="Distrato",$E948,0)),MIN(AH$38,$D$19),$P$20))-SUM($P948:AG948)</f>
        <v>#VALUE!</v>
      </c>
      <c r="AI948" s="446" t="e">
        <f>IF(OR($B948="",MIN(AI$38,$D$19)&lt;MAX($P$708*($B948+IF($R$17="Distrato",$I$38-1,0)),IF(AND($L$711=0,$P$708=0),"",$L$711-1),IF($R$17="Distrato",$E948,0))),0,YEARFRAC(MAX($P$708*($B948+IF($R$17="Distrato",$I$38-1,0)),IF(AND($L$711=0,$P$708=0),"",$L$711-1),IF($R$17="Distrato",$E948,0)),MIN(AI$38,$D$19),$P$20))-SUM($P948:AH948)</f>
        <v>#VALUE!</v>
      </c>
      <c r="AJ948" s="446" t="e">
        <f>IF(OR($B948="",MIN(AJ$38,$D$19)&lt;MAX($P$708*($B948+IF($R$17="Distrato",$I$38-1,0)),IF(AND($L$711=0,$P$708=0),"",$L$711-1),IF($R$17="Distrato",$E948,0))),0,YEARFRAC(MAX($P$708*($B948+IF($R$17="Distrato",$I$38-1,0)),IF(AND($L$711=0,$P$708=0),"",$L$711-1),IF($R$17="Distrato",$E948,0)),MIN(AJ$38,$D$19),$P$20))-SUM($P948:AI948)</f>
        <v>#VALUE!</v>
      </c>
      <c r="AK948" s="446" t="e">
        <f>IF(OR($B948="",MIN(AK$38,$D$19)&lt;MAX($P$708*($B948+IF($R$17="Distrato",$I$38-1,0)),IF(AND($L$711=0,$P$708=0),"",$L$711-1),IF($R$17="Distrato",$E948,0))),0,YEARFRAC(MAX($P$708*($B948+IF($R$17="Distrato",$I$38-1,0)),IF(AND($L$711=0,$P$708=0),"",$L$711-1),IF($R$17="Distrato",$E948,0)),MIN(AK$38,$D$19),$P$20))-SUM($P948:AJ948)</f>
        <v>#VALUE!</v>
      </c>
      <c r="AL948" s="446" t="e">
        <f>IF(OR($B948="",MIN(AL$38,$D$19)&lt;MAX($P$708*($B948+IF($R$17="Distrato",$I$38-1,0)),IF(AND($L$711=0,$P$708=0),"",$L$711-1),IF($R$17="Distrato",$E948,0))),0,YEARFRAC(MAX($P$708*($B948+IF($R$17="Distrato",$I$38-1,0)),IF(AND($L$711=0,$P$708=0),"",$L$711-1),IF($R$17="Distrato",$E948,0)),MIN(AL$38,$D$19),$P$20))-SUM($P948:AK948)</f>
        <v>#VALUE!</v>
      </c>
      <c r="AM948" s="446" t="e">
        <f>IF(OR($B948="",MIN(AM$38,$D$19)&lt;MAX($P$708*($B948+IF($R$17="Distrato",$I$38-1,0)),IF(AND($L$711=0,$P$708=0),"",$L$711-1),IF($R$17="Distrato",$E948,0))),0,YEARFRAC(MAX($P$708*($B948+IF($R$17="Distrato",$I$38-1,0)),IF(AND($L$711=0,$P$708=0),"",$L$711-1),IF($R$17="Distrato",$E948,0)),MIN(AM$38,$D$19),$P$20))-SUM($P948:AL948)</f>
        <v>#VALUE!</v>
      </c>
      <c r="AN948" s="446" t="e">
        <f>IF(OR($B948="",MIN(AN$38,$D$19)&lt;MAX($P$708*($B948+IF($R$17="Distrato",$I$38-1,0)),IF(AND($L$711=0,$P$708=0),"",$L$711-1),IF($R$17="Distrato",$E948,0))),0,YEARFRAC(MAX($P$708*($B948+IF($R$17="Distrato",$I$38-1,0)),IF(AND($L$711=0,$P$708=0),"",$L$711-1),IF($R$17="Distrato",$E948,0)),MIN(AN$38,$D$19),$P$20))-SUM($P948:AM948)</f>
        <v>#VALUE!</v>
      </c>
      <c r="AO948" s="446" t="e">
        <f>IF(OR($B948="",MIN(AO$38,$D$19)&lt;MAX($P$708*($B948+IF($R$17="Distrato",$I$38-1,0)),IF(AND($L$711=0,$P$708=0),"",$L$711-1),IF($R$17="Distrato",$E948,0))),0,YEARFRAC(MAX($P$708*($B948+IF($R$17="Distrato",$I$38-1,0)),IF(AND($L$711=0,$P$708=0),"",$L$711-1),IF($R$17="Distrato",$E948,0)),MIN(AO$38,$D$19),$P$20))-SUM($P948:AN948)</f>
        <v>#VALUE!</v>
      </c>
      <c r="AP948" s="446" t="e">
        <f>IF(OR($B948="",MIN(AP$38,$D$19)&lt;MAX($P$708*($B948+IF($R$17="Distrato",$I$38-1,0)),IF(AND($L$711=0,$P$708=0),"",$L$711-1),IF($R$17="Distrato",$E948,0))),0,YEARFRAC(MAX($P$708*($B948+IF($R$17="Distrato",$I$38-1,0)),IF(AND($L$711=0,$P$708=0),"",$L$711-1),IF($R$17="Distrato",$E948,0)),MIN(AP$38,$D$19),$P$20))-SUM($P948:AO948)</f>
        <v>#VALUE!</v>
      </c>
      <c r="AQ948" s="446" t="e">
        <f>IF(OR($B948="",MIN(AQ$38,$D$19)&lt;MAX($P$708*($B948+IF($R$17="Distrato",$I$38-1,0)),IF(AND($L$711=0,$P$708=0),"",$L$711-1),IF($R$17="Distrato",$E948,0))),0,YEARFRAC(MAX($P$708*($B948+IF($R$17="Distrato",$I$38-1,0)),IF(AND($L$711=0,$P$708=0),"",$L$711-1),IF($R$17="Distrato",$E948,0)),MIN(AQ$38,$D$19),$P$20))-SUM($P948:AP948)</f>
        <v>#VALUE!</v>
      </c>
      <c r="AR948" s="446" t="e">
        <f>IF(OR($B948="",MIN(AR$38,$D$19)&lt;MAX($P$708*($B948+IF($R$17="Distrato",$I$38-1,0)),IF(AND($L$711=0,$P$708=0),"",$L$711-1),IF($R$17="Distrato",$E948,0))),0,YEARFRAC(MAX($P$708*($B948+IF($R$17="Distrato",$I$38-1,0)),IF(AND($L$711=0,$P$708=0),"",$L$711-1),IF($R$17="Distrato",$E948,0)),MIN(AR$38,$D$19),$P$20))-SUM($P948:AQ948)</f>
        <v>#VALUE!</v>
      </c>
      <c r="AS948" s="446" t="e">
        <f>IF(OR($B948="",MIN(AS$38,$D$19)&lt;MAX($P$708*($B948+IF($R$17="Distrato",$I$38-1,0)),IF(AND($L$711=0,$P$708=0),"",$L$711-1),IF($R$17="Distrato",$E948,0))),0,YEARFRAC(MAX($P$708*($B948+IF($R$17="Distrato",$I$38-1,0)),IF(AND($L$711=0,$P$708=0),"",$L$711-1),IF($R$17="Distrato",$E948,0)),MIN(AS$38,$D$19),$P$20))-SUM($P948:AR948)</f>
        <v>#VALUE!</v>
      </c>
      <c r="AT948" s="446" t="e">
        <f>IF(OR($B948="",MIN(AT$38,$D$19)&lt;MAX($P$708*($B948+IF($R$17="Distrato",$I$38-1,0)),IF(AND($L$711=0,$P$708=0),"",$L$711-1),IF($R$17="Distrato",$E948,0))),0,YEARFRAC(MAX($P$708*($B948+IF($R$17="Distrato",$I$38-1,0)),IF(AND($L$711=0,$P$708=0),"",$L$711-1),IF($R$17="Distrato",$E948,0)),MIN(AT$38,$D$19),$P$20))-SUM($P948:AS948)</f>
        <v>#VALUE!</v>
      </c>
      <c r="AU948" s="446" t="e">
        <f>IF(OR($B948="",MIN(AU$38,$D$19)&lt;MAX($P$708*($B948+IF($R$17="Distrato",$I$38-1,0)),IF(AND($L$711=0,$P$708=0),"",$L$711-1),IF($R$17="Distrato",$E948,0))),0,YEARFRAC(MAX($P$708*($B948+IF($R$17="Distrato",$I$38-1,0)),IF(AND($L$711=0,$P$708=0),"",$L$711-1),IF($R$17="Distrato",$E948,0)),MIN(AU$38,$D$19),$P$20))-SUM($P948:AT948)</f>
        <v>#VALUE!</v>
      </c>
      <c r="AV948" s="446" t="e">
        <f>IF(OR($B948="",MIN(AV$38,$D$19)&lt;MAX($P$708*($B948+IF($R$17="Distrato",$I$38-1,0)),IF(AND($L$711=0,$P$708=0),"",$L$711-1),IF($R$17="Distrato",$E948,0))),0,YEARFRAC(MAX($P$708*($B948+IF($R$17="Distrato",$I$38-1,0)),IF(AND($L$711=0,$P$708=0),"",$L$711-1),IF($R$17="Distrato",$E948,0)),MIN(AV$38,$D$19),$P$20))-SUM($P948:AU948)</f>
        <v>#VALUE!</v>
      </c>
      <c r="AW948" s="446" t="e">
        <f>IF(OR($B948="",MIN(AW$38,$D$19)&lt;MAX($P$708*($B948+IF($R$17="Distrato",$I$38-1,0)),IF(AND($L$711=0,$P$708=0),"",$L$711-1),IF($R$17="Distrato",$E948,0))),0,YEARFRAC(MAX($P$708*($B948+IF($R$17="Distrato",$I$38-1,0)),IF(AND($L$711=0,$P$708=0),"",$L$711-1),IF($R$17="Distrato",$E948,0)),MIN(AW$38,$D$19),$P$20))-SUM($P948:AV948)</f>
        <v>#VALUE!</v>
      </c>
      <c r="AX948" s="446" t="e">
        <f>IF(OR($B948="",MIN(AX$38,$D$19)&lt;MAX($P$708*($B948+IF($R$17="Distrato",$I$38-1,0)),IF(AND($L$711=0,$P$708=0),"",$L$711-1),IF($R$17="Distrato",$E948,0))),0,YEARFRAC(MAX($P$708*($B948+IF($R$17="Distrato",$I$38-1,0)),IF(AND($L$711=0,$P$708=0),"",$L$711-1),IF($R$17="Distrato",$E948,0)),MIN(AX$38,$D$19),$P$20))-SUM($P948:AW948)</f>
        <v>#VALUE!</v>
      </c>
      <c r="AY948" s="446" t="e">
        <f>IF(OR($B948="",MIN(AY$38,$D$19)&lt;MAX($P$708*($B948+IF($R$17="Distrato",$I$38-1,0)),IF(AND($L$711=0,$P$708=0),"",$L$711-1),IF($R$17="Distrato",$E948,0))),0,YEARFRAC(MAX($P$708*($B948+IF($R$17="Distrato",$I$38-1,0)),IF(AND($L$711=0,$P$708=0),"",$L$711-1),IF($R$17="Distrato",$E948,0)),MIN(AY$38,$D$19),$P$20))-SUM($P948:AX948)</f>
        <v>#VALUE!</v>
      </c>
      <c r="AZ948" s="446" t="e">
        <f>IF(OR($B948="",MIN(AZ$38,$D$19)&lt;MAX($P$708*($B948+IF($R$17="Distrato",$I$38-1,0)),IF(AND($L$711=0,$P$708=0),"",$L$711-1),IF($R$17="Distrato",$E948,0))),0,YEARFRAC(MAX($P$708*($B948+IF($R$17="Distrato",$I$38-1,0)),IF(AND($L$711=0,$P$708=0),"",$L$711-1),IF($R$17="Distrato",$E948,0)),MIN(AZ$38,$D$19),$P$20))-SUM($P948:AY948)</f>
        <v>#VALUE!</v>
      </c>
      <c r="BA948" s="446" t="e">
        <f>IF(OR($B948="",MIN(BA$38,$D$19)&lt;MAX($P$708*($B948+IF($R$17="Distrato",$I$38-1,0)),IF(AND($L$711=0,$P$708=0),"",$L$711-1),IF($R$17="Distrato",$E948,0))),0,YEARFRAC(MAX($P$708*($B948+IF($R$17="Distrato",$I$38-1,0)),IF(AND($L$711=0,$P$708=0),"",$L$711-1),IF($R$17="Distrato",$E948,0)),MIN(BA$38,$D$19),$P$20))-SUM($P948:AZ948)</f>
        <v>#VALUE!</v>
      </c>
      <c r="BB948" s="447"/>
    </row>
    <row r="949" spans="1:54" s="446" customFormat="1" ht="11.25" hidden="1" customHeight="1" x14ac:dyDescent="0.2">
      <c r="A949" s="235"/>
      <c r="B949" s="236"/>
      <c r="C949" s="29" t="str">
        <f>IF(B949="","",IF($L$709=$BL$25,VLOOKUP(DATE(YEAR($D$19),MONTH($D$19)-1,1),ÍNDICES!$A:$DE,HLOOKUP($BL$25,ÍNDICES!$B$3:$T$4,2)+11)-VLOOKUP(B949,ÍNDICES!$A:$DE,HLOOKUP($BL$25,ÍNDICES!$B$3:$T$4,2)+11)+1%,IF(C$712=$W$26,$J$35,IF(ISERROR(IF(B949&gt;$D$19,1,VLOOKUP(DATE(YEAR(B949),MONTH(B949)+IF($C$709=$S$23,1,0),1),ÍNDICES!$A:$DE,$Z$709+1))),"",IF(B949&gt;$D$19,1,VLOOKUP(DATE(YEAR(B949),MONTH(B949)+IF($C$709=$S$23,1,0),1),ÍNDICES!$A:$DE,$Z$709+1))))))</f>
        <v/>
      </c>
      <c r="D949" s="155"/>
      <c r="E949" s="88"/>
      <c r="F949" s="88"/>
      <c r="G949" s="88"/>
      <c r="H949" s="118"/>
      <c r="I949" s="182">
        <f t="shared" si="136"/>
        <v>0</v>
      </c>
      <c r="J949" s="20">
        <f t="shared" ca="1" si="137"/>
        <v>0</v>
      </c>
      <c r="K949" s="5">
        <f t="shared" ca="1" si="138"/>
        <v>0</v>
      </c>
      <c r="L949" s="61">
        <f t="shared" ca="1" si="139"/>
        <v>0</v>
      </c>
      <c r="M949" s="64">
        <f t="shared" si="140"/>
        <v>0</v>
      </c>
      <c r="N949" s="151"/>
      <c r="O949" s="5">
        <f t="shared" ca="1" si="141"/>
        <v>0</v>
      </c>
      <c r="P949" s="446" t="e">
        <f t="shared" si="142"/>
        <v>#VALUE!</v>
      </c>
      <c r="Q949" s="446" t="e">
        <f>IF(OR($B949="",MIN(Q$38,$D$19)&lt;MAX($P$708*($B949+IF($R$17="Distrato",$I$38-1,0)),IF(AND($L$711=0,$P$708=0),"",$L$711-1),IF($R$17="Distrato",$E949,0))),0,YEARFRAC(MAX($P$708*($B949+IF($R$17="Distrato",$I$38-1,0)),IF(AND($L$711=0,$P$708=0),"",$L$711-1),IF($R$17="Distrato",$E949,0)),MIN(Q$38,$D$19),$P$20))-SUM($P949:P949)</f>
        <v>#VALUE!</v>
      </c>
      <c r="R949" s="446" t="e">
        <f>IF(OR($B949="",MIN(R$38,$D$19)&lt;MAX($P$708*($B949+IF($R$17="Distrato",$I$38-1,0)),IF(AND($L$711=0,$P$708=0),"",$L$711-1),IF($R$17="Distrato",$E949,0))),0,YEARFRAC(MAX($P$708*($B949+IF($R$17="Distrato",$I$38-1,0)),IF(AND($L$711=0,$P$708=0),"",$L$711-1),IF($R$17="Distrato",$E949,0)),MIN(R$38,$D$19),$P$20))-SUM($P949:Q949)</f>
        <v>#VALUE!</v>
      </c>
      <c r="S949" s="446" t="e">
        <f>IF(OR($B949="",MIN(S$38,$D$19)&lt;MAX($P$708*($B949+IF($R$17="Distrato",$I$38-1,0)),IF(AND($L$711=0,$P$708=0),"",$L$711-1),IF($R$17="Distrato",$E949,0))),0,YEARFRAC(MAX($P$708*($B949+IF($R$17="Distrato",$I$38-1,0)),IF(AND($L$711=0,$P$708=0),"",$L$711-1),IF($R$17="Distrato",$E949,0)),MIN(S$38,$D$19),$P$20))-SUM($P949:R949)</f>
        <v>#VALUE!</v>
      </c>
      <c r="T949" s="446" t="e">
        <f>IF(OR($B949="",MIN(T$38,$D$19)&lt;MAX($P$708*($B949+IF($R$17="Distrato",$I$38-1,0)),IF(AND($L$711=0,$P$708=0),"",$L$711-1),IF($R$17="Distrato",$E949,0))),0,YEARFRAC(MAX($P$708*($B949+IF($R$17="Distrato",$I$38-1,0)),IF(AND($L$711=0,$P$708=0),"",$L$711-1),IF($R$17="Distrato",$E949,0)),MIN(T$38,$D$19),$P$20))-SUM($P949:S949)</f>
        <v>#VALUE!</v>
      </c>
      <c r="U949" s="446" t="e">
        <f>IF(OR($B949="",MIN(U$38,$D$19)&lt;MAX($P$708*($B949+IF($R$17="Distrato",$I$38-1,0)),IF(AND($L$711=0,$P$708=0),"",$L$711-1),IF($R$17="Distrato",$E949,0))),0,YEARFRAC(MAX($P$708*($B949+IF($R$17="Distrato",$I$38-1,0)),IF(AND($L$711=0,$P$708=0),"",$L$711-1),IF($R$17="Distrato",$E949,0)),MIN(U$38,$D$19),$P$20))-SUM($P949:T949)</f>
        <v>#VALUE!</v>
      </c>
      <c r="V949" s="446" t="e">
        <f>IF(OR($B949="",MIN(V$38,$D$19)&lt;MAX($P$708*($B949+IF($R$17="Distrato",$I$38-1,0)),IF(AND($L$711=0,$P$708=0),"",$L$711-1),IF($R$17="Distrato",$E949,0))),0,YEARFRAC(MAX($P$708*($B949+IF($R$17="Distrato",$I$38-1,0)),IF(AND($L$711=0,$P$708=0),"",$L$711-1),IF($R$17="Distrato",$E949,0)),MIN(V$38,$D$19),$P$20))-SUM($P949:U949)</f>
        <v>#VALUE!</v>
      </c>
      <c r="W949" s="446" t="e">
        <f>IF(OR($B949="",MIN(W$38,$D$19)&lt;MAX($P$708*($B949+IF($R$17="Distrato",$I$38-1,0)),IF(AND($L$711=0,$P$708=0),"",$L$711-1),IF($R$17="Distrato",$E949,0))),0,YEARFRAC(MAX($P$708*($B949+IF($R$17="Distrato",$I$38-1,0)),IF(AND($L$711=0,$P$708=0),"",$L$711-1),IF($R$17="Distrato",$E949,0)),MIN(W$38,$D$19),$P$20))-SUM($P949:V949)</f>
        <v>#VALUE!</v>
      </c>
      <c r="X949" s="446" t="e">
        <f>IF(OR($B949="",MIN(X$38,$D$19)&lt;MAX($P$708*($B949+IF($R$17="Distrato",$I$38-1,0)),IF(AND($L$711=0,$P$708=0),"",$L$711-1),IF($R$17="Distrato",$E949,0))),0,YEARFRAC(MAX($P$708*($B949+IF($R$17="Distrato",$I$38-1,0)),IF(AND($L$711=0,$P$708=0),"",$L$711-1),IF($R$17="Distrato",$E949,0)),MIN(X$38,$D$19),$P$20))-SUM($P949:W949)</f>
        <v>#VALUE!</v>
      </c>
      <c r="Y949" s="446" t="e">
        <f>IF(OR($B949="",MIN(Y$38,$D$19)&lt;MAX($P$708*($B949+IF($R$17="Distrato",$I$38-1,0)),IF(AND($L$711=0,$P$708=0),"",$L$711-1),IF($R$17="Distrato",$E949,0))),0,YEARFRAC(MAX($P$708*($B949+IF($R$17="Distrato",$I$38-1,0)),IF(AND($L$711=0,$P$708=0),"",$L$711-1),IF($R$17="Distrato",$E949,0)),MIN(Y$38,$D$19),$P$20))-SUM($P949:X949)</f>
        <v>#VALUE!</v>
      </c>
      <c r="Z949" s="446" t="e">
        <f>IF(OR($B949="",MIN(Z$38,$D$19)&lt;MAX($P$708*($B949+IF($R$17="Distrato",$I$38-1,0)),IF(AND($L$711=0,$P$708=0),"",$L$711-1),IF($R$17="Distrato",$E949,0))),0,YEARFRAC(MAX($P$708*($B949+IF($R$17="Distrato",$I$38-1,0)),IF(AND($L$711=0,$P$708=0),"",$L$711-1),IF($R$17="Distrato",$E949,0)),MIN(Z$38,$D$19),$P$20))-SUM($P949:Y949)</f>
        <v>#VALUE!</v>
      </c>
      <c r="AA949" s="446" t="e">
        <f>IF(OR($B949="",MIN(AA$38,$D$19)&lt;MAX($P$708*($B949+IF($R$17="Distrato",$I$38-1,0)),IF(AND($L$711=0,$P$708=0),"",$L$711-1),IF($R$17="Distrato",$E949,0))),0,YEARFRAC(MAX($P$708*($B949+IF($R$17="Distrato",$I$38-1,0)),IF(AND($L$711=0,$P$708=0),"",$L$711-1),IF($R$17="Distrato",$E949,0)),MIN(AA$38,$D$19),$P$20))-SUM($P949:Z949)</f>
        <v>#VALUE!</v>
      </c>
      <c r="AB949" s="446" t="e">
        <f>IF(OR($B949="",MIN(AB$38,$D$19)&lt;MAX($P$708*($B949+IF($R$17="Distrato",$I$38-1,0)),IF(AND($L$711=0,$P$708=0),"",$L$711-1),IF($R$17="Distrato",$E949,0))),0,YEARFRAC(MAX($P$708*($B949+IF($R$17="Distrato",$I$38-1,0)),IF(AND($L$711=0,$P$708=0),"",$L$711-1),IF($R$17="Distrato",$E949,0)),MIN(AB$38,$D$19),$P$20))-SUM($P949:AA949)</f>
        <v>#VALUE!</v>
      </c>
      <c r="AC949" s="446" t="e">
        <f>IF(OR($B949="",MIN(AC$38,$D$19)&lt;MAX($P$708*($B949+IF($R$17="Distrato",$I$38-1,0)),IF(AND($L$711=0,$P$708=0),"",$L$711-1),IF($R$17="Distrato",$E949,0))),0,YEARFRAC(MAX($P$708*($B949+IF($R$17="Distrato",$I$38-1,0)),IF(AND($L$711=0,$P$708=0),"",$L$711-1),IF($R$17="Distrato",$E949,0)),MIN(AC$38,$D$19),$P$20))-SUM($P949:AB949)</f>
        <v>#VALUE!</v>
      </c>
      <c r="AD949" s="446" t="e">
        <f>IF(OR($B949="",MIN(AD$38,$D$19)&lt;MAX($P$708*($B949+IF($R$17="Distrato",$I$38-1,0)),IF(AND($L$711=0,$P$708=0),"",$L$711-1),IF($R$17="Distrato",$E949,0))),0,YEARFRAC(MAX($P$708*($B949+IF($R$17="Distrato",$I$38-1,0)),IF(AND($L$711=0,$P$708=0),"",$L$711-1),IF($R$17="Distrato",$E949,0)),MIN(AD$38,$D$19),$P$20))-SUM($P949:AC949)</f>
        <v>#VALUE!</v>
      </c>
      <c r="AE949" s="446" t="e">
        <f>IF(OR($B949="",MIN(AE$38,$D$19)&lt;MAX($P$708*($B949+IF($R$17="Distrato",$I$38-1,0)),IF(AND($L$711=0,$P$708=0),"",$L$711-1),IF($R$17="Distrato",$E949,0))),0,YEARFRAC(MAX($P$708*($B949+IF($R$17="Distrato",$I$38-1,0)),IF(AND($L$711=0,$P$708=0),"",$L$711-1),IF($R$17="Distrato",$E949,0)),MIN(AE$38,$D$19),$P$20))-SUM($P949:AD949)</f>
        <v>#VALUE!</v>
      </c>
      <c r="AF949" s="446" t="e">
        <f>IF(OR($B949="",MIN(AF$38,$D$19)&lt;MAX($P$708*($B949+IF($R$17="Distrato",$I$38-1,0)),IF(AND($L$711=0,$P$708=0),"",$L$711-1),IF($R$17="Distrato",$E949,0))),0,YEARFRAC(MAX($P$708*($B949+IF($R$17="Distrato",$I$38-1,0)),IF(AND($L$711=0,$P$708=0),"",$L$711-1),IF($R$17="Distrato",$E949,0)),MIN(AF$38,$D$19),$P$20))-SUM($P949:AE949)</f>
        <v>#VALUE!</v>
      </c>
      <c r="AG949" s="446" t="e">
        <f>IF(OR($B949="",MIN(AG$38,$D$19)&lt;MAX($P$708*($B949+IF($R$17="Distrato",$I$38-1,0)),IF(AND($L$711=0,$P$708=0),"",$L$711-1),IF($R$17="Distrato",$E949,0))),0,YEARFRAC(MAX($P$708*($B949+IF($R$17="Distrato",$I$38-1,0)),IF(AND($L$711=0,$P$708=0),"",$L$711-1),IF($R$17="Distrato",$E949,0)),MIN(AG$38,$D$19),$P$20))-SUM($P949:AF949)</f>
        <v>#VALUE!</v>
      </c>
      <c r="AH949" s="446" t="e">
        <f>IF(OR($B949="",MIN(AH$38,$D$19)&lt;MAX($P$708*($B949+IF($R$17="Distrato",$I$38-1,0)),IF(AND($L$711=0,$P$708=0),"",$L$711-1),IF($R$17="Distrato",$E949,0))),0,YEARFRAC(MAX($P$708*($B949+IF($R$17="Distrato",$I$38-1,0)),IF(AND($L$711=0,$P$708=0),"",$L$711-1),IF($R$17="Distrato",$E949,0)),MIN(AH$38,$D$19),$P$20))-SUM($P949:AG949)</f>
        <v>#VALUE!</v>
      </c>
      <c r="AI949" s="446" t="e">
        <f>IF(OR($B949="",MIN(AI$38,$D$19)&lt;MAX($P$708*($B949+IF($R$17="Distrato",$I$38-1,0)),IF(AND($L$711=0,$P$708=0),"",$L$711-1),IF($R$17="Distrato",$E949,0))),0,YEARFRAC(MAX($P$708*($B949+IF($R$17="Distrato",$I$38-1,0)),IF(AND($L$711=0,$P$708=0),"",$L$711-1),IF($R$17="Distrato",$E949,0)),MIN(AI$38,$D$19),$P$20))-SUM($P949:AH949)</f>
        <v>#VALUE!</v>
      </c>
      <c r="AJ949" s="446" t="e">
        <f>IF(OR($B949="",MIN(AJ$38,$D$19)&lt;MAX($P$708*($B949+IF($R$17="Distrato",$I$38-1,0)),IF(AND($L$711=0,$P$708=0),"",$L$711-1),IF($R$17="Distrato",$E949,0))),0,YEARFRAC(MAX($P$708*($B949+IF($R$17="Distrato",$I$38-1,0)),IF(AND($L$711=0,$P$708=0),"",$L$711-1),IF($R$17="Distrato",$E949,0)),MIN(AJ$38,$D$19),$P$20))-SUM($P949:AI949)</f>
        <v>#VALUE!</v>
      </c>
      <c r="AK949" s="446" t="e">
        <f>IF(OR($B949="",MIN(AK$38,$D$19)&lt;MAX($P$708*($B949+IF($R$17="Distrato",$I$38-1,0)),IF(AND($L$711=0,$P$708=0),"",$L$711-1),IF($R$17="Distrato",$E949,0))),0,YEARFRAC(MAX($P$708*($B949+IF($R$17="Distrato",$I$38-1,0)),IF(AND($L$711=0,$P$708=0),"",$L$711-1),IF($R$17="Distrato",$E949,0)),MIN(AK$38,$D$19),$P$20))-SUM($P949:AJ949)</f>
        <v>#VALUE!</v>
      </c>
      <c r="AL949" s="446" t="e">
        <f>IF(OR($B949="",MIN(AL$38,$D$19)&lt;MAX($P$708*($B949+IF($R$17="Distrato",$I$38-1,0)),IF(AND($L$711=0,$P$708=0),"",$L$711-1),IF($R$17="Distrato",$E949,0))),0,YEARFRAC(MAX($P$708*($B949+IF($R$17="Distrato",$I$38-1,0)),IF(AND($L$711=0,$P$708=0),"",$L$711-1),IF($R$17="Distrato",$E949,0)),MIN(AL$38,$D$19),$P$20))-SUM($P949:AK949)</f>
        <v>#VALUE!</v>
      </c>
      <c r="AM949" s="446" t="e">
        <f>IF(OR($B949="",MIN(AM$38,$D$19)&lt;MAX($P$708*($B949+IF($R$17="Distrato",$I$38-1,0)),IF(AND($L$711=0,$P$708=0),"",$L$711-1),IF($R$17="Distrato",$E949,0))),0,YEARFRAC(MAX($P$708*($B949+IF($R$17="Distrato",$I$38-1,0)),IF(AND($L$711=0,$P$708=0),"",$L$711-1),IF($R$17="Distrato",$E949,0)),MIN(AM$38,$D$19),$P$20))-SUM($P949:AL949)</f>
        <v>#VALUE!</v>
      </c>
      <c r="AN949" s="446" t="e">
        <f>IF(OR($B949="",MIN(AN$38,$D$19)&lt;MAX($P$708*($B949+IF($R$17="Distrato",$I$38-1,0)),IF(AND($L$711=0,$P$708=0),"",$L$711-1),IF($R$17="Distrato",$E949,0))),0,YEARFRAC(MAX($P$708*($B949+IF($R$17="Distrato",$I$38-1,0)),IF(AND($L$711=0,$P$708=0),"",$L$711-1),IF($R$17="Distrato",$E949,0)),MIN(AN$38,$D$19),$P$20))-SUM($P949:AM949)</f>
        <v>#VALUE!</v>
      </c>
      <c r="AO949" s="446" t="e">
        <f>IF(OR($B949="",MIN(AO$38,$D$19)&lt;MAX($P$708*($B949+IF($R$17="Distrato",$I$38-1,0)),IF(AND($L$711=0,$P$708=0),"",$L$711-1),IF($R$17="Distrato",$E949,0))),0,YEARFRAC(MAX($P$708*($B949+IF($R$17="Distrato",$I$38-1,0)),IF(AND($L$711=0,$P$708=0),"",$L$711-1),IF($R$17="Distrato",$E949,0)),MIN(AO$38,$D$19),$P$20))-SUM($P949:AN949)</f>
        <v>#VALUE!</v>
      </c>
      <c r="AP949" s="446" t="e">
        <f>IF(OR($B949="",MIN(AP$38,$D$19)&lt;MAX($P$708*($B949+IF($R$17="Distrato",$I$38-1,0)),IF(AND($L$711=0,$P$708=0),"",$L$711-1),IF($R$17="Distrato",$E949,0))),0,YEARFRAC(MAX($P$708*($B949+IF($R$17="Distrato",$I$38-1,0)),IF(AND($L$711=0,$P$708=0),"",$L$711-1),IF($R$17="Distrato",$E949,0)),MIN(AP$38,$D$19),$P$20))-SUM($P949:AO949)</f>
        <v>#VALUE!</v>
      </c>
      <c r="AQ949" s="446" t="e">
        <f>IF(OR($B949="",MIN(AQ$38,$D$19)&lt;MAX($P$708*($B949+IF($R$17="Distrato",$I$38-1,0)),IF(AND($L$711=0,$P$708=0),"",$L$711-1),IF($R$17="Distrato",$E949,0))),0,YEARFRAC(MAX($P$708*($B949+IF($R$17="Distrato",$I$38-1,0)),IF(AND($L$711=0,$P$708=0),"",$L$711-1),IF($R$17="Distrato",$E949,0)),MIN(AQ$38,$D$19),$P$20))-SUM($P949:AP949)</f>
        <v>#VALUE!</v>
      </c>
      <c r="AR949" s="446" t="e">
        <f>IF(OR($B949="",MIN(AR$38,$D$19)&lt;MAX($P$708*($B949+IF($R$17="Distrato",$I$38-1,0)),IF(AND($L$711=0,$P$708=0),"",$L$711-1),IF($R$17="Distrato",$E949,0))),0,YEARFRAC(MAX($P$708*($B949+IF($R$17="Distrato",$I$38-1,0)),IF(AND($L$711=0,$P$708=0),"",$L$711-1),IF($R$17="Distrato",$E949,0)),MIN(AR$38,$D$19),$P$20))-SUM($P949:AQ949)</f>
        <v>#VALUE!</v>
      </c>
      <c r="AS949" s="446" t="e">
        <f>IF(OR($B949="",MIN(AS$38,$D$19)&lt;MAX($P$708*($B949+IF($R$17="Distrato",$I$38-1,0)),IF(AND($L$711=0,$P$708=0),"",$L$711-1),IF($R$17="Distrato",$E949,0))),0,YEARFRAC(MAX($P$708*($B949+IF($R$17="Distrato",$I$38-1,0)),IF(AND($L$711=0,$P$708=0),"",$L$711-1),IF($R$17="Distrato",$E949,0)),MIN(AS$38,$D$19),$P$20))-SUM($P949:AR949)</f>
        <v>#VALUE!</v>
      </c>
      <c r="AT949" s="446" t="e">
        <f>IF(OR($B949="",MIN(AT$38,$D$19)&lt;MAX($P$708*($B949+IF($R$17="Distrato",$I$38-1,0)),IF(AND($L$711=0,$P$708=0),"",$L$711-1),IF($R$17="Distrato",$E949,0))),0,YEARFRAC(MAX($P$708*($B949+IF($R$17="Distrato",$I$38-1,0)),IF(AND($L$711=0,$P$708=0),"",$L$711-1),IF($R$17="Distrato",$E949,0)),MIN(AT$38,$D$19),$P$20))-SUM($P949:AS949)</f>
        <v>#VALUE!</v>
      </c>
      <c r="AU949" s="446" t="e">
        <f>IF(OR($B949="",MIN(AU$38,$D$19)&lt;MAX($P$708*($B949+IF($R$17="Distrato",$I$38-1,0)),IF(AND($L$711=0,$P$708=0),"",$L$711-1),IF($R$17="Distrato",$E949,0))),0,YEARFRAC(MAX($P$708*($B949+IF($R$17="Distrato",$I$38-1,0)),IF(AND($L$711=0,$P$708=0),"",$L$711-1),IF($R$17="Distrato",$E949,0)),MIN(AU$38,$D$19),$P$20))-SUM($P949:AT949)</f>
        <v>#VALUE!</v>
      </c>
      <c r="AV949" s="446" t="e">
        <f>IF(OR($B949="",MIN(AV$38,$D$19)&lt;MAX($P$708*($B949+IF($R$17="Distrato",$I$38-1,0)),IF(AND($L$711=0,$P$708=0),"",$L$711-1),IF($R$17="Distrato",$E949,0))),0,YEARFRAC(MAX($P$708*($B949+IF($R$17="Distrato",$I$38-1,0)),IF(AND($L$711=0,$P$708=0),"",$L$711-1),IF($R$17="Distrato",$E949,0)),MIN(AV$38,$D$19),$P$20))-SUM($P949:AU949)</f>
        <v>#VALUE!</v>
      </c>
      <c r="AW949" s="446" t="e">
        <f>IF(OR($B949="",MIN(AW$38,$D$19)&lt;MAX($P$708*($B949+IF($R$17="Distrato",$I$38-1,0)),IF(AND($L$711=0,$P$708=0),"",$L$711-1),IF($R$17="Distrato",$E949,0))),0,YEARFRAC(MAX($P$708*($B949+IF($R$17="Distrato",$I$38-1,0)),IF(AND($L$711=0,$P$708=0),"",$L$711-1),IF($R$17="Distrato",$E949,0)),MIN(AW$38,$D$19),$P$20))-SUM($P949:AV949)</f>
        <v>#VALUE!</v>
      </c>
      <c r="AX949" s="446" t="e">
        <f>IF(OR($B949="",MIN(AX$38,$D$19)&lt;MAX($P$708*($B949+IF($R$17="Distrato",$I$38-1,0)),IF(AND($L$711=0,$P$708=0),"",$L$711-1),IF($R$17="Distrato",$E949,0))),0,YEARFRAC(MAX($P$708*($B949+IF($R$17="Distrato",$I$38-1,0)),IF(AND($L$711=0,$P$708=0),"",$L$711-1),IF($R$17="Distrato",$E949,0)),MIN(AX$38,$D$19),$P$20))-SUM($P949:AW949)</f>
        <v>#VALUE!</v>
      </c>
      <c r="AY949" s="446" t="e">
        <f>IF(OR($B949="",MIN(AY$38,$D$19)&lt;MAX($P$708*($B949+IF($R$17="Distrato",$I$38-1,0)),IF(AND($L$711=0,$P$708=0),"",$L$711-1),IF($R$17="Distrato",$E949,0))),0,YEARFRAC(MAX($P$708*($B949+IF($R$17="Distrato",$I$38-1,0)),IF(AND($L$711=0,$P$708=0),"",$L$711-1),IF($R$17="Distrato",$E949,0)),MIN(AY$38,$D$19),$P$20))-SUM($P949:AX949)</f>
        <v>#VALUE!</v>
      </c>
      <c r="AZ949" s="446" t="e">
        <f>IF(OR($B949="",MIN(AZ$38,$D$19)&lt;MAX($P$708*($B949+IF($R$17="Distrato",$I$38-1,0)),IF(AND($L$711=0,$P$708=0),"",$L$711-1),IF($R$17="Distrato",$E949,0))),0,YEARFRAC(MAX($P$708*($B949+IF($R$17="Distrato",$I$38-1,0)),IF(AND($L$711=0,$P$708=0),"",$L$711-1),IF($R$17="Distrato",$E949,0)),MIN(AZ$38,$D$19),$P$20))-SUM($P949:AY949)</f>
        <v>#VALUE!</v>
      </c>
      <c r="BA949" s="446" t="e">
        <f>IF(OR($B949="",MIN(BA$38,$D$19)&lt;MAX($P$708*($B949+IF($R$17="Distrato",$I$38-1,0)),IF(AND($L$711=0,$P$708=0),"",$L$711-1),IF($R$17="Distrato",$E949,0))),0,YEARFRAC(MAX($P$708*($B949+IF($R$17="Distrato",$I$38-1,0)),IF(AND($L$711=0,$P$708=0),"",$L$711-1),IF($R$17="Distrato",$E949,0)),MIN(BA$38,$D$19),$P$20))-SUM($P949:AZ949)</f>
        <v>#VALUE!</v>
      </c>
      <c r="BB949" s="447"/>
    </row>
    <row r="950" spans="1:54" s="446" customFormat="1" ht="11.25" hidden="1" customHeight="1" x14ac:dyDescent="0.2">
      <c r="A950" s="235"/>
      <c r="B950" s="236"/>
      <c r="C950" s="29" t="str">
        <f>IF(B950="","",IF($L$709=$BL$25,VLOOKUP(DATE(YEAR($D$19),MONTH($D$19)-1,1),ÍNDICES!$A:$DE,HLOOKUP($BL$25,ÍNDICES!$B$3:$T$4,2)+11)-VLOOKUP(B950,ÍNDICES!$A:$DE,HLOOKUP($BL$25,ÍNDICES!$B$3:$T$4,2)+11)+1%,IF(C$712=$W$26,$J$35,IF(ISERROR(IF(B950&gt;$D$19,1,VLOOKUP(DATE(YEAR(B950),MONTH(B950)+IF($C$709=$S$23,1,0),1),ÍNDICES!$A:$DE,$Z$709+1))),"",IF(B950&gt;$D$19,1,VLOOKUP(DATE(YEAR(B950),MONTH(B950)+IF($C$709=$S$23,1,0),1),ÍNDICES!$A:$DE,$Z$709+1))))))</f>
        <v/>
      </c>
      <c r="D950" s="155"/>
      <c r="E950" s="88"/>
      <c r="F950" s="88"/>
      <c r="G950" s="88"/>
      <c r="H950" s="118"/>
      <c r="I950" s="182">
        <f t="shared" si="136"/>
        <v>0</v>
      </c>
      <c r="J950" s="20">
        <f t="shared" ca="1" si="137"/>
        <v>0</v>
      </c>
      <c r="K950" s="5">
        <f t="shared" ca="1" si="138"/>
        <v>0</v>
      </c>
      <c r="L950" s="61">
        <f t="shared" ca="1" si="139"/>
        <v>0</v>
      </c>
      <c r="M950" s="64">
        <f t="shared" si="140"/>
        <v>0</v>
      </c>
      <c r="N950" s="151"/>
      <c r="O950" s="5">
        <f t="shared" ca="1" si="141"/>
        <v>0</v>
      </c>
      <c r="P950" s="446" t="e">
        <f t="shared" si="142"/>
        <v>#VALUE!</v>
      </c>
      <c r="Q950" s="446" t="e">
        <f>IF(OR($B950="",MIN(Q$38,$D$19)&lt;MAX($P$708*($B950+IF($R$17="Distrato",$I$38-1,0)),IF(AND($L$711=0,$P$708=0),"",$L$711-1),IF($R$17="Distrato",$E950,0))),0,YEARFRAC(MAX($P$708*($B950+IF($R$17="Distrato",$I$38-1,0)),IF(AND($L$711=0,$P$708=0),"",$L$711-1),IF($R$17="Distrato",$E950,0)),MIN(Q$38,$D$19),$P$20))-SUM($P950:P950)</f>
        <v>#VALUE!</v>
      </c>
      <c r="R950" s="446" t="e">
        <f>IF(OR($B950="",MIN(R$38,$D$19)&lt;MAX($P$708*($B950+IF($R$17="Distrato",$I$38-1,0)),IF(AND($L$711=0,$P$708=0),"",$L$711-1),IF($R$17="Distrato",$E950,0))),0,YEARFRAC(MAX($P$708*($B950+IF($R$17="Distrato",$I$38-1,0)),IF(AND($L$711=0,$P$708=0),"",$L$711-1),IF($R$17="Distrato",$E950,0)),MIN(R$38,$D$19),$P$20))-SUM($P950:Q950)</f>
        <v>#VALUE!</v>
      </c>
      <c r="S950" s="446" t="e">
        <f>IF(OR($B950="",MIN(S$38,$D$19)&lt;MAX($P$708*($B950+IF($R$17="Distrato",$I$38-1,0)),IF(AND($L$711=0,$P$708=0),"",$L$711-1),IF($R$17="Distrato",$E950,0))),0,YEARFRAC(MAX($P$708*($B950+IF($R$17="Distrato",$I$38-1,0)),IF(AND($L$711=0,$P$708=0),"",$L$711-1),IF($R$17="Distrato",$E950,0)),MIN(S$38,$D$19),$P$20))-SUM($P950:R950)</f>
        <v>#VALUE!</v>
      </c>
      <c r="T950" s="446" t="e">
        <f>IF(OR($B950="",MIN(T$38,$D$19)&lt;MAX($P$708*($B950+IF($R$17="Distrato",$I$38-1,0)),IF(AND($L$711=0,$P$708=0),"",$L$711-1),IF($R$17="Distrato",$E950,0))),0,YEARFRAC(MAX($P$708*($B950+IF($R$17="Distrato",$I$38-1,0)),IF(AND($L$711=0,$P$708=0),"",$L$711-1),IF($R$17="Distrato",$E950,0)),MIN(T$38,$D$19),$P$20))-SUM($P950:S950)</f>
        <v>#VALUE!</v>
      </c>
      <c r="U950" s="446" t="e">
        <f>IF(OR($B950="",MIN(U$38,$D$19)&lt;MAX($P$708*($B950+IF($R$17="Distrato",$I$38-1,0)),IF(AND($L$711=0,$P$708=0),"",$L$711-1),IF($R$17="Distrato",$E950,0))),0,YEARFRAC(MAX($P$708*($B950+IF($R$17="Distrato",$I$38-1,0)),IF(AND($L$711=0,$P$708=0),"",$L$711-1),IF($R$17="Distrato",$E950,0)),MIN(U$38,$D$19),$P$20))-SUM($P950:T950)</f>
        <v>#VALUE!</v>
      </c>
      <c r="V950" s="446" t="e">
        <f>IF(OR($B950="",MIN(V$38,$D$19)&lt;MAX($P$708*($B950+IF($R$17="Distrato",$I$38-1,0)),IF(AND($L$711=0,$P$708=0),"",$L$711-1),IF($R$17="Distrato",$E950,0))),0,YEARFRAC(MAX($P$708*($B950+IF($R$17="Distrato",$I$38-1,0)),IF(AND($L$711=0,$P$708=0),"",$L$711-1),IF($R$17="Distrato",$E950,0)),MIN(V$38,$D$19),$P$20))-SUM($P950:U950)</f>
        <v>#VALUE!</v>
      </c>
      <c r="W950" s="446" t="e">
        <f>IF(OR($B950="",MIN(W$38,$D$19)&lt;MAX($P$708*($B950+IF($R$17="Distrato",$I$38-1,0)),IF(AND($L$711=0,$P$708=0),"",$L$711-1),IF($R$17="Distrato",$E950,0))),0,YEARFRAC(MAX($P$708*($B950+IF($R$17="Distrato",$I$38-1,0)),IF(AND($L$711=0,$P$708=0),"",$L$711-1),IF($R$17="Distrato",$E950,0)),MIN(W$38,$D$19),$P$20))-SUM($P950:V950)</f>
        <v>#VALUE!</v>
      </c>
      <c r="X950" s="446" t="e">
        <f>IF(OR($B950="",MIN(X$38,$D$19)&lt;MAX($P$708*($B950+IF($R$17="Distrato",$I$38-1,0)),IF(AND($L$711=0,$P$708=0),"",$L$711-1),IF($R$17="Distrato",$E950,0))),0,YEARFRAC(MAX($P$708*($B950+IF($R$17="Distrato",$I$38-1,0)),IF(AND($L$711=0,$P$708=0),"",$L$711-1),IF($R$17="Distrato",$E950,0)),MIN(X$38,$D$19),$P$20))-SUM($P950:W950)</f>
        <v>#VALUE!</v>
      </c>
      <c r="Y950" s="446" t="e">
        <f>IF(OR($B950="",MIN(Y$38,$D$19)&lt;MAX($P$708*($B950+IF($R$17="Distrato",$I$38-1,0)),IF(AND($L$711=0,$P$708=0),"",$L$711-1),IF($R$17="Distrato",$E950,0))),0,YEARFRAC(MAX($P$708*($B950+IF($R$17="Distrato",$I$38-1,0)),IF(AND($L$711=0,$P$708=0),"",$L$711-1),IF($R$17="Distrato",$E950,0)),MIN(Y$38,$D$19),$P$20))-SUM($P950:X950)</f>
        <v>#VALUE!</v>
      </c>
      <c r="Z950" s="446" t="e">
        <f>IF(OR($B950="",MIN(Z$38,$D$19)&lt;MAX($P$708*($B950+IF($R$17="Distrato",$I$38-1,0)),IF(AND($L$711=0,$P$708=0),"",$L$711-1),IF($R$17="Distrato",$E950,0))),0,YEARFRAC(MAX($P$708*($B950+IF($R$17="Distrato",$I$38-1,0)),IF(AND($L$711=0,$P$708=0),"",$L$711-1),IF($R$17="Distrato",$E950,0)),MIN(Z$38,$D$19),$P$20))-SUM($P950:Y950)</f>
        <v>#VALUE!</v>
      </c>
      <c r="AA950" s="446" t="e">
        <f>IF(OR($B950="",MIN(AA$38,$D$19)&lt;MAX($P$708*($B950+IF($R$17="Distrato",$I$38-1,0)),IF(AND($L$711=0,$P$708=0),"",$L$711-1),IF($R$17="Distrato",$E950,0))),0,YEARFRAC(MAX($P$708*($B950+IF($R$17="Distrato",$I$38-1,0)),IF(AND($L$711=0,$P$708=0),"",$L$711-1),IF($R$17="Distrato",$E950,0)),MIN(AA$38,$D$19),$P$20))-SUM($P950:Z950)</f>
        <v>#VALUE!</v>
      </c>
      <c r="AB950" s="446" t="e">
        <f>IF(OR($B950="",MIN(AB$38,$D$19)&lt;MAX($P$708*($B950+IF($R$17="Distrato",$I$38-1,0)),IF(AND($L$711=0,$P$708=0),"",$L$711-1),IF($R$17="Distrato",$E950,0))),0,YEARFRAC(MAX($P$708*($B950+IF($R$17="Distrato",$I$38-1,0)),IF(AND($L$711=0,$P$708=0),"",$L$711-1),IF($R$17="Distrato",$E950,0)),MIN(AB$38,$D$19),$P$20))-SUM($P950:AA950)</f>
        <v>#VALUE!</v>
      </c>
      <c r="AC950" s="446" t="e">
        <f>IF(OR($B950="",MIN(AC$38,$D$19)&lt;MAX($P$708*($B950+IF($R$17="Distrato",$I$38-1,0)),IF(AND($L$711=0,$P$708=0),"",$L$711-1),IF($R$17="Distrato",$E950,0))),0,YEARFRAC(MAX($P$708*($B950+IF($R$17="Distrato",$I$38-1,0)),IF(AND($L$711=0,$P$708=0),"",$L$711-1),IF($R$17="Distrato",$E950,0)),MIN(AC$38,$D$19),$P$20))-SUM($P950:AB950)</f>
        <v>#VALUE!</v>
      </c>
      <c r="AD950" s="446" t="e">
        <f>IF(OR($B950="",MIN(AD$38,$D$19)&lt;MAX($P$708*($B950+IF($R$17="Distrato",$I$38-1,0)),IF(AND($L$711=0,$P$708=0),"",$L$711-1),IF($R$17="Distrato",$E950,0))),0,YEARFRAC(MAX($P$708*($B950+IF($R$17="Distrato",$I$38-1,0)),IF(AND($L$711=0,$P$708=0),"",$L$711-1),IF($R$17="Distrato",$E950,0)),MIN(AD$38,$D$19),$P$20))-SUM($P950:AC950)</f>
        <v>#VALUE!</v>
      </c>
      <c r="AE950" s="446" t="e">
        <f>IF(OR($B950="",MIN(AE$38,$D$19)&lt;MAX($P$708*($B950+IF($R$17="Distrato",$I$38-1,0)),IF(AND($L$711=0,$P$708=0),"",$L$711-1),IF($R$17="Distrato",$E950,0))),0,YEARFRAC(MAX($P$708*($B950+IF($R$17="Distrato",$I$38-1,0)),IF(AND($L$711=0,$P$708=0),"",$L$711-1),IF($R$17="Distrato",$E950,0)),MIN(AE$38,$D$19),$P$20))-SUM($P950:AD950)</f>
        <v>#VALUE!</v>
      </c>
      <c r="AF950" s="446" t="e">
        <f>IF(OR($B950="",MIN(AF$38,$D$19)&lt;MAX($P$708*($B950+IF($R$17="Distrato",$I$38-1,0)),IF(AND($L$711=0,$P$708=0),"",$L$711-1),IF($R$17="Distrato",$E950,0))),0,YEARFRAC(MAX($P$708*($B950+IF($R$17="Distrato",$I$38-1,0)),IF(AND($L$711=0,$P$708=0),"",$L$711-1),IF($R$17="Distrato",$E950,0)),MIN(AF$38,$D$19),$P$20))-SUM($P950:AE950)</f>
        <v>#VALUE!</v>
      </c>
      <c r="AG950" s="446" t="e">
        <f>IF(OR($B950="",MIN(AG$38,$D$19)&lt;MAX($P$708*($B950+IF($R$17="Distrato",$I$38-1,0)),IF(AND($L$711=0,$P$708=0),"",$L$711-1),IF($R$17="Distrato",$E950,0))),0,YEARFRAC(MAX($P$708*($B950+IF($R$17="Distrato",$I$38-1,0)),IF(AND($L$711=0,$P$708=0),"",$L$711-1),IF($R$17="Distrato",$E950,0)),MIN(AG$38,$D$19),$P$20))-SUM($P950:AF950)</f>
        <v>#VALUE!</v>
      </c>
      <c r="AH950" s="446" t="e">
        <f>IF(OR($B950="",MIN(AH$38,$D$19)&lt;MAX($P$708*($B950+IF($R$17="Distrato",$I$38-1,0)),IF(AND($L$711=0,$P$708=0),"",$L$711-1),IF($R$17="Distrato",$E950,0))),0,YEARFRAC(MAX($P$708*($B950+IF($R$17="Distrato",$I$38-1,0)),IF(AND($L$711=0,$P$708=0),"",$L$711-1),IF($R$17="Distrato",$E950,0)),MIN(AH$38,$D$19),$P$20))-SUM($P950:AG950)</f>
        <v>#VALUE!</v>
      </c>
      <c r="AI950" s="446" t="e">
        <f>IF(OR($B950="",MIN(AI$38,$D$19)&lt;MAX($P$708*($B950+IF($R$17="Distrato",$I$38-1,0)),IF(AND($L$711=0,$P$708=0),"",$L$711-1),IF($R$17="Distrato",$E950,0))),0,YEARFRAC(MAX($P$708*($B950+IF($R$17="Distrato",$I$38-1,0)),IF(AND($L$711=0,$P$708=0),"",$L$711-1),IF($R$17="Distrato",$E950,0)),MIN(AI$38,$D$19),$P$20))-SUM($P950:AH950)</f>
        <v>#VALUE!</v>
      </c>
      <c r="AJ950" s="446" t="e">
        <f>IF(OR($B950="",MIN(AJ$38,$D$19)&lt;MAX($P$708*($B950+IF($R$17="Distrato",$I$38-1,0)),IF(AND($L$711=0,$P$708=0),"",$L$711-1),IF($R$17="Distrato",$E950,0))),0,YEARFRAC(MAX($P$708*($B950+IF($R$17="Distrato",$I$38-1,0)),IF(AND($L$711=0,$P$708=0),"",$L$711-1),IF($R$17="Distrato",$E950,0)),MIN(AJ$38,$D$19),$P$20))-SUM($P950:AI950)</f>
        <v>#VALUE!</v>
      </c>
      <c r="AK950" s="446" t="e">
        <f>IF(OR($B950="",MIN(AK$38,$D$19)&lt;MAX($P$708*($B950+IF($R$17="Distrato",$I$38-1,0)),IF(AND($L$711=0,$P$708=0),"",$L$711-1),IF($R$17="Distrato",$E950,0))),0,YEARFRAC(MAX($P$708*($B950+IF($R$17="Distrato",$I$38-1,0)),IF(AND($L$711=0,$P$708=0),"",$L$711-1),IF($R$17="Distrato",$E950,0)),MIN(AK$38,$D$19),$P$20))-SUM($P950:AJ950)</f>
        <v>#VALUE!</v>
      </c>
      <c r="AL950" s="446" t="e">
        <f>IF(OR($B950="",MIN(AL$38,$D$19)&lt;MAX($P$708*($B950+IF($R$17="Distrato",$I$38-1,0)),IF(AND($L$711=0,$P$708=0),"",$L$711-1),IF($R$17="Distrato",$E950,0))),0,YEARFRAC(MAX($P$708*($B950+IF($R$17="Distrato",$I$38-1,0)),IF(AND($L$711=0,$P$708=0),"",$L$711-1),IF($R$17="Distrato",$E950,0)),MIN(AL$38,$D$19),$P$20))-SUM($P950:AK950)</f>
        <v>#VALUE!</v>
      </c>
      <c r="AM950" s="446" t="e">
        <f>IF(OR($B950="",MIN(AM$38,$D$19)&lt;MAX($P$708*($B950+IF($R$17="Distrato",$I$38-1,0)),IF(AND($L$711=0,$P$708=0),"",$L$711-1),IF($R$17="Distrato",$E950,0))),0,YEARFRAC(MAX($P$708*($B950+IF($R$17="Distrato",$I$38-1,0)),IF(AND($L$711=0,$P$708=0),"",$L$711-1),IF($R$17="Distrato",$E950,0)),MIN(AM$38,$D$19),$P$20))-SUM($P950:AL950)</f>
        <v>#VALUE!</v>
      </c>
      <c r="AN950" s="446" t="e">
        <f>IF(OR($B950="",MIN(AN$38,$D$19)&lt;MAX($P$708*($B950+IF($R$17="Distrato",$I$38-1,0)),IF(AND($L$711=0,$P$708=0),"",$L$711-1),IF($R$17="Distrato",$E950,0))),0,YEARFRAC(MAX($P$708*($B950+IF($R$17="Distrato",$I$38-1,0)),IF(AND($L$711=0,$P$708=0),"",$L$711-1),IF($R$17="Distrato",$E950,0)),MIN(AN$38,$D$19),$P$20))-SUM($P950:AM950)</f>
        <v>#VALUE!</v>
      </c>
      <c r="AO950" s="446" t="e">
        <f>IF(OR($B950="",MIN(AO$38,$D$19)&lt;MAX($P$708*($B950+IF($R$17="Distrato",$I$38-1,0)),IF(AND($L$711=0,$P$708=0),"",$L$711-1),IF($R$17="Distrato",$E950,0))),0,YEARFRAC(MAX($P$708*($B950+IF($R$17="Distrato",$I$38-1,0)),IF(AND($L$711=0,$P$708=0),"",$L$711-1),IF($R$17="Distrato",$E950,0)),MIN(AO$38,$D$19),$P$20))-SUM($P950:AN950)</f>
        <v>#VALUE!</v>
      </c>
      <c r="AP950" s="446" t="e">
        <f>IF(OR($B950="",MIN(AP$38,$D$19)&lt;MAX($P$708*($B950+IF($R$17="Distrato",$I$38-1,0)),IF(AND($L$711=0,$P$708=0),"",$L$711-1),IF($R$17="Distrato",$E950,0))),0,YEARFRAC(MAX($P$708*($B950+IF($R$17="Distrato",$I$38-1,0)),IF(AND($L$711=0,$P$708=0),"",$L$711-1),IF($R$17="Distrato",$E950,0)),MIN(AP$38,$D$19),$P$20))-SUM($P950:AO950)</f>
        <v>#VALUE!</v>
      </c>
      <c r="AQ950" s="446" t="e">
        <f>IF(OR($B950="",MIN(AQ$38,$D$19)&lt;MAX($P$708*($B950+IF($R$17="Distrato",$I$38-1,0)),IF(AND($L$711=0,$P$708=0),"",$L$711-1),IF($R$17="Distrato",$E950,0))),0,YEARFRAC(MAX($P$708*($B950+IF($R$17="Distrato",$I$38-1,0)),IF(AND($L$711=0,$P$708=0),"",$L$711-1),IF($R$17="Distrato",$E950,0)),MIN(AQ$38,$D$19),$P$20))-SUM($P950:AP950)</f>
        <v>#VALUE!</v>
      </c>
      <c r="AR950" s="446" t="e">
        <f>IF(OR($B950="",MIN(AR$38,$D$19)&lt;MAX($P$708*($B950+IF($R$17="Distrato",$I$38-1,0)),IF(AND($L$711=0,$P$708=0),"",$L$711-1),IF($R$17="Distrato",$E950,0))),0,YEARFRAC(MAX($P$708*($B950+IF($R$17="Distrato",$I$38-1,0)),IF(AND($L$711=0,$P$708=0),"",$L$711-1),IF($R$17="Distrato",$E950,0)),MIN(AR$38,$D$19),$P$20))-SUM($P950:AQ950)</f>
        <v>#VALUE!</v>
      </c>
      <c r="AS950" s="446" t="e">
        <f>IF(OR($B950="",MIN(AS$38,$D$19)&lt;MAX($P$708*($B950+IF($R$17="Distrato",$I$38-1,0)),IF(AND($L$711=0,$P$708=0),"",$L$711-1),IF($R$17="Distrato",$E950,0))),0,YEARFRAC(MAX($P$708*($B950+IF($R$17="Distrato",$I$38-1,0)),IF(AND($L$711=0,$P$708=0),"",$L$711-1),IF($R$17="Distrato",$E950,0)),MIN(AS$38,$D$19),$P$20))-SUM($P950:AR950)</f>
        <v>#VALUE!</v>
      </c>
      <c r="AT950" s="446" t="e">
        <f>IF(OR($B950="",MIN(AT$38,$D$19)&lt;MAX($P$708*($B950+IF($R$17="Distrato",$I$38-1,0)),IF(AND($L$711=0,$P$708=0),"",$L$711-1),IF($R$17="Distrato",$E950,0))),0,YEARFRAC(MAX($P$708*($B950+IF($R$17="Distrato",$I$38-1,0)),IF(AND($L$711=0,$P$708=0),"",$L$711-1),IF($R$17="Distrato",$E950,0)),MIN(AT$38,$D$19),$P$20))-SUM($P950:AS950)</f>
        <v>#VALUE!</v>
      </c>
      <c r="AU950" s="446" t="e">
        <f>IF(OR($B950="",MIN(AU$38,$D$19)&lt;MAX($P$708*($B950+IF($R$17="Distrato",$I$38-1,0)),IF(AND($L$711=0,$P$708=0),"",$L$711-1),IF($R$17="Distrato",$E950,0))),0,YEARFRAC(MAX($P$708*($B950+IF($R$17="Distrato",$I$38-1,0)),IF(AND($L$711=0,$P$708=0),"",$L$711-1),IF($R$17="Distrato",$E950,0)),MIN(AU$38,$D$19),$P$20))-SUM($P950:AT950)</f>
        <v>#VALUE!</v>
      </c>
      <c r="AV950" s="446" t="e">
        <f>IF(OR($B950="",MIN(AV$38,$D$19)&lt;MAX($P$708*($B950+IF($R$17="Distrato",$I$38-1,0)),IF(AND($L$711=0,$P$708=0),"",$L$711-1),IF($R$17="Distrato",$E950,0))),0,YEARFRAC(MAX($P$708*($B950+IF($R$17="Distrato",$I$38-1,0)),IF(AND($L$711=0,$P$708=0),"",$L$711-1),IF($R$17="Distrato",$E950,0)),MIN(AV$38,$D$19),$P$20))-SUM($P950:AU950)</f>
        <v>#VALUE!</v>
      </c>
      <c r="AW950" s="446" t="e">
        <f>IF(OR($B950="",MIN(AW$38,$D$19)&lt;MAX($P$708*($B950+IF($R$17="Distrato",$I$38-1,0)),IF(AND($L$711=0,$P$708=0),"",$L$711-1),IF($R$17="Distrato",$E950,0))),0,YEARFRAC(MAX($P$708*($B950+IF($R$17="Distrato",$I$38-1,0)),IF(AND($L$711=0,$P$708=0),"",$L$711-1),IF($R$17="Distrato",$E950,0)),MIN(AW$38,$D$19),$P$20))-SUM($P950:AV950)</f>
        <v>#VALUE!</v>
      </c>
      <c r="AX950" s="446" t="e">
        <f>IF(OR($B950="",MIN(AX$38,$D$19)&lt;MAX($P$708*($B950+IF($R$17="Distrato",$I$38-1,0)),IF(AND($L$711=0,$P$708=0),"",$L$711-1),IF($R$17="Distrato",$E950,0))),0,YEARFRAC(MAX($P$708*($B950+IF($R$17="Distrato",$I$38-1,0)),IF(AND($L$711=0,$P$708=0),"",$L$711-1),IF($R$17="Distrato",$E950,0)),MIN(AX$38,$D$19),$P$20))-SUM($P950:AW950)</f>
        <v>#VALUE!</v>
      </c>
      <c r="AY950" s="446" t="e">
        <f>IF(OR($B950="",MIN(AY$38,$D$19)&lt;MAX($P$708*($B950+IF($R$17="Distrato",$I$38-1,0)),IF(AND($L$711=0,$P$708=0),"",$L$711-1),IF($R$17="Distrato",$E950,0))),0,YEARFRAC(MAX($P$708*($B950+IF($R$17="Distrato",$I$38-1,0)),IF(AND($L$711=0,$P$708=0),"",$L$711-1),IF($R$17="Distrato",$E950,0)),MIN(AY$38,$D$19),$P$20))-SUM($P950:AX950)</f>
        <v>#VALUE!</v>
      </c>
      <c r="AZ950" s="446" t="e">
        <f>IF(OR($B950="",MIN(AZ$38,$D$19)&lt;MAX($P$708*($B950+IF($R$17="Distrato",$I$38-1,0)),IF(AND($L$711=0,$P$708=0),"",$L$711-1),IF($R$17="Distrato",$E950,0))),0,YEARFRAC(MAX($P$708*($B950+IF($R$17="Distrato",$I$38-1,0)),IF(AND($L$711=0,$P$708=0),"",$L$711-1),IF($R$17="Distrato",$E950,0)),MIN(AZ$38,$D$19),$P$20))-SUM($P950:AY950)</f>
        <v>#VALUE!</v>
      </c>
      <c r="BA950" s="446" t="e">
        <f>IF(OR($B950="",MIN(BA$38,$D$19)&lt;MAX($P$708*($B950+IF($R$17="Distrato",$I$38-1,0)),IF(AND($L$711=0,$P$708=0),"",$L$711-1),IF($R$17="Distrato",$E950,0))),0,YEARFRAC(MAX($P$708*($B950+IF($R$17="Distrato",$I$38-1,0)),IF(AND($L$711=0,$P$708=0),"",$L$711-1),IF($R$17="Distrato",$E950,0)),MIN(BA$38,$D$19),$P$20))-SUM($P950:AZ950)</f>
        <v>#VALUE!</v>
      </c>
      <c r="BB950" s="447"/>
    </row>
    <row r="951" spans="1:54" s="446" customFormat="1" ht="11.25" hidden="1" customHeight="1" x14ac:dyDescent="0.2">
      <c r="A951" s="235"/>
      <c r="B951" s="236"/>
      <c r="C951" s="29" t="str">
        <f>IF(B951="","",IF($L$709=$BL$25,VLOOKUP(DATE(YEAR($D$19),MONTH($D$19)-1,1),ÍNDICES!$A:$DE,HLOOKUP($BL$25,ÍNDICES!$B$3:$T$4,2)+11)-VLOOKUP(B951,ÍNDICES!$A:$DE,HLOOKUP($BL$25,ÍNDICES!$B$3:$T$4,2)+11)+1%,IF(C$712=$W$26,$J$35,IF(ISERROR(IF(B951&gt;$D$19,1,VLOOKUP(DATE(YEAR(B951),MONTH(B951)+IF($C$709=$S$23,1,0),1),ÍNDICES!$A:$DE,$Z$709+1))),"",IF(B951&gt;$D$19,1,VLOOKUP(DATE(YEAR(B951),MONTH(B951)+IF($C$709=$S$23,1,0),1),ÍNDICES!$A:$DE,$Z$709+1))))))</f>
        <v/>
      </c>
      <c r="D951" s="155"/>
      <c r="E951" s="88"/>
      <c r="F951" s="88"/>
      <c r="G951" s="88"/>
      <c r="H951" s="118"/>
      <c r="I951" s="182">
        <f t="shared" si="136"/>
        <v>0</v>
      </c>
      <c r="J951" s="20">
        <f t="shared" ca="1" si="137"/>
        <v>0</v>
      </c>
      <c r="K951" s="5">
        <f t="shared" ca="1" si="138"/>
        <v>0</v>
      </c>
      <c r="L951" s="61">
        <f t="shared" ca="1" si="139"/>
        <v>0</v>
      </c>
      <c r="M951" s="64">
        <f t="shared" si="140"/>
        <v>0</v>
      </c>
      <c r="N951" s="151"/>
      <c r="O951" s="5">
        <f t="shared" ca="1" si="141"/>
        <v>0</v>
      </c>
      <c r="P951" s="446" t="e">
        <f t="shared" si="142"/>
        <v>#VALUE!</v>
      </c>
      <c r="Q951" s="446" t="e">
        <f>IF(OR($B951="",MIN(Q$38,$D$19)&lt;MAX($P$708*($B951+IF($R$17="Distrato",$I$38-1,0)),IF(AND($L$711=0,$P$708=0),"",$L$711-1),IF($R$17="Distrato",$E951,0))),0,YEARFRAC(MAX($P$708*($B951+IF($R$17="Distrato",$I$38-1,0)),IF(AND($L$711=0,$P$708=0),"",$L$711-1),IF($R$17="Distrato",$E951,0)),MIN(Q$38,$D$19),$P$20))-SUM($P951:P951)</f>
        <v>#VALUE!</v>
      </c>
      <c r="R951" s="446" t="e">
        <f>IF(OR($B951="",MIN(R$38,$D$19)&lt;MAX($P$708*($B951+IF($R$17="Distrato",$I$38-1,0)),IF(AND($L$711=0,$P$708=0),"",$L$711-1),IF($R$17="Distrato",$E951,0))),0,YEARFRAC(MAX($P$708*($B951+IF($R$17="Distrato",$I$38-1,0)),IF(AND($L$711=0,$P$708=0),"",$L$711-1),IF($R$17="Distrato",$E951,0)),MIN(R$38,$D$19),$P$20))-SUM($P951:Q951)</f>
        <v>#VALUE!</v>
      </c>
      <c r="S951" s="446" t="e">
        <f>IF(OR($B951="",MIN(S$38,$D$19)&lt;MAX($P$708*($B951+IF($R$17="Distrato",$I$38-1,0)),IF(AND($L$711=0,$P$708=0),"",$L$711-1),IF($R$17="Distrato",$E951,0))),0,YEARFRAC(MAX($P$708*($B951+IF($R$17="Distrato",$I$38-1,0)),IF(AND($L$711=0,$P$708=0),"",$L$711-1),IF($R$17="Distrato",$E951,0)),MIN(S$38,$D$19),$P$20))-SUM($P951:R951)</f>
        <v>#VALUE!</v>
      </c>
      <c r="T951" s="446" t="e">
        <f>IF(OR($B951="",MIN(T$38,$D$19)&lt;MAX($P$708*($B951+IF($R$17="Distrato",$I$38-1,0)),IF(AND($L$711=0,$P$708=0),"",$L$711-1),IF($R$17="Distrato",$E951,0))),0,YEARFRAC(MAX($P$708*($B951+IF($R$17="Distrato",$I$38-1,0)),IF(AND($L$711=0,$P$708=0),"",$L$711-1),IF($R$17="Distrato",$E951,0)),MIN(T$38,$D$19),$P$20))-SUM($P951:S951)</f>
        <v>#VALUE!</v>
      </c>
      <c r="U951" s="446" t="e">
        <f>IF(OR($B951="",MIN(U$38,$D$19)&lt;MAX($P$708*($B951+IF($R$17="Distrato",$I$38-1,0)),IF(AND($L$711=0,$P$708=0),"",$L$711-1),IF($R$17="Distrato",$E951,0))),0,YEARFRAC(MAX($P$708*($B951+IF($R$17="Distrato",$I$38-1,0)),IF(AND($L$711=0,$P$708=0),"",$L$711-1),IF($R$17="Distrato",$E951,0)),MIN(U$38,$D$19),$P$20))-SUM($P951:T951)</f>
        <v>#VALUE!</v>
      </c>
      <c r="V951" s="446" t="e">
        <f>IF(OR($B951="",MIN(V$38,$D$19)&lt;MAX($P$708*($B951+IF($R$17="Distrato",$I$38-1,0)),IF(AND($L$711=0,$P$708=0),"",$L$711-1),IF($R$17="Distrato",$E951,0))),0,YEARFRAC(MAX($P$708*($B951+IF($R$17="Distrato",$I$38-1,0)),IF(AND($L$711=0,$P$708=0),"",$L$711-1),IF($R$17="Distrato",$E951,0)),MIN(V$38,$D$19),$P$20))-SUM($P951:U951)</f>
        <v>#VALUE!</v>
      </c>
      <c r="W951" s="446" t="e">
        <f>IF(OR($B951="",MIN(W$38,$D$19)&lt;MAX($P$708*($B951+IF($R$17="Distrato",$I$38-1,0)),IF(AND($L$711=0,$P$708=0),"",$L$711-1),IF($R$17="Distrato",$E951,0))),0,YEARFRAC(MAX($P$708*($B951+IF($R$17="Distrato",$I$38-1,0)),IF(AND($L$711=0,$P$708=0),"",$L$711-1),IF($R$17="Distrato",$E951,0)),MIN(W$38,$D$19),$P$20))-SUM($P951:V951)</f>
        <v>#VALUE!</v>
      </c>
      <c r="X951" s="446" t="e">
        <f>IF(OR($B951="",MIN(X$38,$D$19)&lt;MAX($P$708*($B951+IF($R$17="Distrato",$I$38-1,0)),IF(AND($L$711=0,$P$708=0),"",$L$711-1),IF($R$17="Distrato",$E951,0))),0,YEARFRAC(MAX($P$708*($B951+IF($R$17="Distrato",$I$38-1,0)),IF(AND($L$711=0,$P$708=0),"",$L$711-1),IF($R$17="Distrato",$E951,0)),MIN(X$38,$D$19),$P$20))-SUM($P951:W951)</f>
        <v>#VALUE!</v>
      </c>
      <c r="Y951" s="446" t="e">
        <f>IF(OR($B951="",MIN(Y$38,$D$19)&lt;MAX($P$708*($B951+IF($R$17="Distrato",$I$38-1,0)),IF(AND($L$711=0,$P$708=0),"",$L$711-1),IF($R$17="Distrato",$E951,0))),0,YEARFRAC(MAX($P$708*($B951+IF($R$17="Distrato",$I$38-1,0)),IF(AND($L$711=0,$P$708=0),"",$L$711-1),IF($R$17="Distrato",$E951,0)),MIN(Y$38,$D$19),$P$20))-SUM($P951:X951)</f>
        <v>#VALUE!</v>
      </c>
      <c r="Z951" s="446" t="e">
        <f>IF(OR($B951="",MIN(Z$38,$D$19)&lt;MAX($P$708*($B951+IF($R$17="Distrato",$I$38-1,0)),IF(AND($L$711=0,$P$708=0),"",$L$711-1),IF($R$17="Distrato",$E951,0))),0,YEARFRAC(MAX($P$708*($B951+IF($R$17="Distrato",$I$38-1,0)),IF(AND($L$711=0,$P$708=0),"",$L$711-1),IF($R$17="Distrato",$E951,0)),MIN(Z$38,$D$19),$P$20))-SUM($P951:Y951)</f>
        <v>#VALUE!</v>
      </c>
      <c r="AA951" s="446" t="e">
        <f>IF(OR($B951="",MIN(AA$38,$D$19)&lt;MAX($P$708*($B951+IF($R$17="Distrato",$I$38-1,0)),IF(AND($L$711=0,$P$708=0),"",$L$711-1),IF($R$17="Distrato",$E951,0))),0,YEARFRAC(MAX($P$708*($B951+IF($R$17="Distrato",$I$38-1,0)),IF(AND($L$711=0,$P$708=0),"",$L$711-1),IF($R$17="Distrato",$E951,0)),MIN(AA$38,$D$19),$P$20))-SUM($P951:Z951)</f>
        <v>#VALUE!</v>
      </c>
      <c r="AB951" s="446" t="e">
        <f>IF(OR($B951="",MIN(AB$38,$D$19)&lt;MAX($P$708*($B951+IF($R$17="Distrato",$I$38-1,0)),IF(AND($L$711=0,$P$708=0),"",$L$711-1),IF($R$17="Distrato",$E951,0))),0,YEARFRAC(MAX($P$708*($B951+IF($R$17="Distrato",$I$38-1,0)),IF(AND($L$711=0,$P$708=0),"",$L$711-1),IF($R$17="Distrato",$E951,0)),MIN(AB$38,$D$19),$P$20))-SUM($P951:AA951)</f>
        <v>#VALUE!</v>
      </c>
      <c r="AC951" s="446" t="e">
        <f>IF(OR($B951="",MIN(AC$38,$D$19)&lt;MAX($P$708*($B951+IF($R$17="Distrato",$I$38-1,0)),IF(AND($L$711=0,$P$708=0),"",$L$711-1),IF($R$17="Distrato",$E951,0))),0,YEARFRAC(MAX($P$708*($B951+IF($R$17="Distrato",$I$38-1,0)),IF(AND($L$711=0,$P$708=0),"",$L$711-1),IF($R$17="Distrato",$E951,0)),MIN(AC$38,$D$19),$P$20))-SUM($P951:AB951)</f>
        <v>#VALUE!</v>
      </c>
      <c r="AD951" s="446" t="e">
        <f>IF(OR($B951="",MIN(AD$38,$D$19)&lt;MAX($P$708*($B951+IF($R$17="Distrato",$I$38-1,0)),IF(AND($L$711=0,$P$708=0),"",$L$711-1),IF($R$17="Distrato",$E951,0))),0,YEARFRAC(MAX($P$708*($B951+IF($R$17="Distrato",$I$38-1,0)),IF(AND($L$711=0,$P$708=0),"",$L$711-1),IF($R$17="Distrato",$E951,0)),MIN(AD$38,$D$19),$P$20))-SUM($P951:AC951)</f>
        <v>#VALUE!</v>
      </c>
      <c r="AE951" s="446" t="e">
        <f>IF(OR($B951="",MIN(AE$38,$D$19)&lt;MAX($P$708*($B951+IF($R$17="Distrato",$I$38-1,0)),IF(AND($L$711=0,$P$708=0),"",$L$711-1),IF($R$17="Distrato",$E951,0))),0,YEARFRAC(MAX($P$708*($B951+IF($R$17="Distrato",$I$38-1,0)),IF(AND($L$711=0,$P$708=0),"",$L$711-1),IF($R$17="Distrato",$E951,0)),MIN(AE$38,$D$19),$P$20))-SUM($P951:AD951)</f>
        <v>#VALUE!</v>
      </c>
      <c r="AF951" s="446" t="e">
        <f>IF(OR($B951="",MIN(AF$38,$D$19)&lt;MAX($P$708*($B951+IF($R$17="Distrato",$I$38-1,0)),IF(AND($L$711=0,$P$708=0),"",$L$711-1),IF($R$17="Distrato",$E951,0))),0,YEARFRAC(MAX($P$708*($B951+IF($R$17="Distrato",$I$38-1,0)),IF(AND($L$711=0,$P$708=0),"",$L$711-1),IF($R$17="Distrato",$E951,0)),MIN(AF$38,$D$19),$P$20))-SUM($P951:AE951)</f>
        <v>#VALUE!</v>
      </c>
      <c r="AG951" s="446" t="e">
        <f>IF(OR($B951="",MIN(AG$38,$D$19)&lt;MAX($P$708*($B951+IF($R$17="Distrato",$I$38-1,0)),IF(AND($L$711=0,$P$708=0),"",$L$711-1),IF($R$17="Distrato",$E951,0))),0,YEARFRAC(MAX($P$708*($B951+IF($R$17="Distrato",$I$38-1,0)),IF(AND($L$711=0,$P$708=0),"",$L$711-1),IF($R$17="Distrato",$E951,0)),MIN(AG$38,$D$19),$P$20))-SUM($P951:AF951)</f>
        <v>#VALUE!</v>
      </c>
      <c r="AH951" s="446" t="e">
        <f>IF(OR($B951="",MIN(AH$38,$D$19)&lt;MAX($P$708*($B951+IF($R$17="Distrato",$I$38-1,0)),IF(AND($L$711=0,$P$708=0),"",$L$711-1),IF($R$17="Distrato",$E951,0))),0,YEARFRAC(MAX($P$708*($B951+IF($R$17="Distrato",$I$38-1,0)),IF(AND($L$711=0,$P$708=0),"",$L$711-1),IF($R$17="Distrato",$E951,0)),MIN(AH$38,$D$19),$P$20))-SUM($P951:AG951)</f>
        <v>#VALUE!</v>
      </c>
      <c r="AI951" s="446" t="e">
        <f>IF(OR($B951="",MIN(AI$38,$D$19)&lt;MAX($P$708*($B951+IF($R$17="Distrato",$I$38-1,0)),IF(AND($L$711=0,$P$708=0),"",$L$711-1),IF($R$17="Distrato",$E951,0))),0,YEARFRAC(MAX($P$708*($B951+IF($R$17="Distrato",$I$38-1,0)),IF(AND($L$711=0,$P$708=0),"",$L$711-1),IF($R$17="Distrato",$E951,0)),MIN(AI$38,$D$19),$P$20))-SUM($P951:AH951)</f>
        <v>#VALUE!</v>
      </c>
      <c r="AJ951" s="446" t="e">
        <f>IF(OR($B951="",MIN(AJ$38,$D$19)&lt;MAX($P$708*($B951+IF($R$17="Distrato",$I$38-1,0)),IF(AND($L$711=0,$P$708=0),"",$L$711-1),IF($R$17="Distrato",$E951,0))),0,YEARFRAC(MAX($P$708*($B951+IF($R$17="Distrato",$I$38-1,0)),IF(AND($L$711=0,$P$708=0),"",$L$711-1),IF($R$17="Distrato",$E951,0)),MIN(AJ$38,$D$19),$P$20))-SUM($P951:AI951)</f>
        <v>#VALUE!</v>
      </c>
      <c r="AK951" s="446" t="e">
        <f>IF(OR($B951="",MIN(AK$38,$D$19)&lt;MAX($P$708*($B951+IF($R$17="Distrato",$I$38-1,0)),IF(AND($L$711=0,$P$708=0),"",$L$711-1),IF($R$17="Distrato",$E951,0))),0,YEARFRAC(MAX($P$708*($B951+IF($R$17="Distrato",$I$38-1,0)),IF(AND($L$711=0,$P$708=0),"",$L$711-1),IF($R$17="Distrato",$E951,0)),MIN(AK$38,$D$19),$P$20))-SUM($P951:AJ951)</f>
        <v>#VALUE!</v>
      </c>
      <c r="AL951" s="446" t="e">
        <f>IF(OR($B951="",MIN(AL$38,$D$19)&lt;MAX($P$708*($B951+IF($R$17="Distrato",$I$38-1,0)),IF(AND($L$711=0,$P$708=0),"",$L$711-1),IF($R$17="Distrato",$E951,0))),0,YEARFRAC(MAX($P$708*($B951+IF($R$17="Distrato",$I$38-1,0)),IF(AND($L$711=0,$P$708=0),"",$L$711-1),IF($R$17="Distrato",$E951,0)),MIN(AL$38,$D$19),$P$20))-SUM($P951:AK951)</f>
        <v>#VALUE!</v>
      </c>
      <c r="AM951" s="446" t="e">
        <f>IF(OR($B951="",MIN(AM$38,$D$19)&lt;MAX($P$708*($B951+IF($R$17="Distrato",$I$38-1,0)),IF(AND($L$711=0,$P$708=0),"",$L$711-1),IF($R$17="Distrato",$E951,0))),0,YEARFRAC(MAX($P$708*($B951+IF($R$17="Distrato",$I$38-1,0)),IF(AND($L$711=0,$P$708=0),"",$L$711-1),IF($R$17="Distrato",$E951,0)),MIN(AM$38,$D$19),$P$20))-SUM($P951:AL951)</f>
        <v>#VALUE!</v>
      </c>
      <c r="AN951" s="446" t="e">
        <f>IF(OR($B951="",MIN(AN$38,$D$19)&lt;MAX($P$708*($B951+IF($R$17="Distrato",$I$38-1,0)),IF(AND($L$711=0,$P$708=0),"",$L$711-1),IF($R$17="Distrato",$E951,0))),0,YEARFRAC(MAX($P$708*($B951+IF($R$17="Distrato",$I$38-1,0)),IF(AND($L$711=0,$P$708=0),"",$L$711-1),IF($R$17="Distrato",$E951,0)),MIN(AN$38,$D$19),$P$20))-SUM($P951:AM951)</f>
        <v>#VALUE!</v>
      </c>
      <c r="AO951" s="446" t="e">
        <f>IF(OR($B951="",MIN(AO$38,$D$19)&lt;MAX($P$708*($B951+IF($R$17="Distrato",$I$38-1,0)),IF(AND($L$711=0,$P$708=0),"",$L$711-1),IF($R$17="Distrato",$E951,0))),0,YEARFRAC(MAX($P$708*($B951+IF($R$17="Distrato",$I$38-1,0)),IF(AND($L$711=0,$P$708=0),"",$L$711-1),IF($R$17="Distrato",$E951,0)),MIN(AO$38,$D$19),$P$20))-SUM($P951:AN951)</f>
        <v>#VALUE!</v>
      </c>
      <c r="AP951" s="446" t="e">
        <f>IF(OR($B951="",MIN(AP$38,$D$19)&lt;MAX($P$708*($B951+IF($R$17="Distrato",$I$38-1,0)),IF(AND($L$711=0,$P$708=0),"",$L$711-1),IF($R$17="Distrato",$E951,0))),0,YEARFRAC(MAX($P$708*($B951+IF($R$17="Distrato",$I$38-1,0)),IF(AND($L$711=0,$P$708=0),"",$L$711-1),IF($R$17="Distrato",$E951,0)),MIN(AP$38,$D$19),$P$20))-SUM($P951:AO951)</f>
        <v>#VALUE!</v>
      </c>
      <c r="AQ951" s="446" t="e">
        <f>IF(OR($B951="",MIN(AQ$38,$D$19)&lt;MAX($P$708*($B951+IF($R$17="Distrato",$I$38-1,0)),IF(AND($L$711=0,$P$708=0),"",$L$711-1),IF($R$17="Distrato",$E951,0))),0,YEARFRAC(MAX($P$708*($B951+IF($R$17="Distrato",$I$38-1,0)),IF(AND($L$711=0,$P$708=0),"",$L$711-1),IF($R$17="Distrato",$E951,0)),MIN(AQ$38,$D$19),$P$20))-SUM($P951:AP951)</f>
        <v>#VALUE!</v>
      </c>
      <c r="AR951" s="446" t="e">
        <f>IF(OR($B951="",MIN(AR$38,$D$19)&lt;MAX($P$708*($B951+IF($R$17="Distrato",$I$38-1,0)),IF(AND($L$711=0,$P$708=0),"",$L$711-1),IF($R$17="Distrato",$E951,0))),0,YEARFRAC(MAX($P$708*($B951+IF($R$17="Distrato",$I$38-1,0)),IF(AND($L$711=0,$P$708=0),"",$L$711-1),IF($R$17="Distrato",$E951,0)),MIN(AR$38,$D$19),$P$20))-SUM($P951:AQ951)</f>
        <v>#VALUE!</v>
      </c>
      <c r="AS951" s="446" t="e">
        <f>IF(OR($B951="",MIN(AS$38,$D$19)&lt;MAX($P$708*($B951+IF($R$17="Distrato",$I$38-1,0)),IF(AND($L$711=0,$P$708=0),"",$L$711-1),IF($R$17="Distrato",$E951,0))),0,YEARFRAC(MAX($P$708*($B951+IF($R$17="Distrato",$I$38-1,0)),IF(AND($L$711=0,$P$708=0),"",$L$711-1),IF($R$17="Distrato",$E951,0)),MIN(AS$38,$D$19),$P$20))-SUM($P951:AR951)</f>
        <v>#VALUE!</v>
      </c>
      <c r="AT951" s="446" t="e">
        <f>IF(OR($B951="",MIN(AT$38,$D$19)&lt;MAX($P$708*($B951+IF($R$17="Distrato",$I$38-1,0)),IF(AND($L$711=0,$P$708=0),"",$L$711-1),IF($R$17="Distrato",$E951,0))),0,YEARFRAC(MAX($P$708*($B951+IF($R$17="Distrato",$I$38-1,0)),IF(AND($L$711=0,$P$708=0),"",$L$711-1),IF($R$17="Distrato",$E951,0)),MIN(AT$38,$D$19),$P$20))-SUM($P951:AS951)</f>
        <v>#VALUE!</v>
      </c>
      <c r="AU951" s="446" t="e">
        <f>IF(OR($B951="",MIN(AU$38,$D$19)&lt;MAX($P$708*($B951+IF($R$17="Distrato",$I$38-1,0)),IF(AND($L$711=0,$P$708=0),"",$L$711-1),IF($R$17="Distrato",$E951,0))),0,YEARFRAC(MAX($P$708*($B951+IF($R$17="Distrato",$I$38-1,0)),IF(AND($L$711=0,$P$708=0),"",$L$711-1),IF($R$17="Distrato",$E951,0)),MIN(AU$38,$D$19),$P$20))-SUM($P951:AT951)</f>
        <v>#VALUE!</v>
      </c>
      <c r="AV951" s="446" t="e">
        <f>IF(OR($B951="",MIN(AV$38,$D$19)&lt;MAX($P$708*($B951+IF($R$17="Distrato",$I$38-1,0)),IF(AND($L$711=0,$P$708=0),"",$L$711-1),IF($R$17="Distrato",$E951,0))),0,YEARFRAC(MAX($P$708*($B951+IF($R$17="Distrato",$I$38-1,0)),IF(AND($L$711=0,$P$708=0),"",$L$711-1),IF($R$17="Distrato",$E951,0)),MIN(AV$38,$D$19),$P$20))-SUM($P951:AU951)</f>
        <v>#VALUE!</v>
      </c>
      <c r="AW951" s="446" t="e">
        <f>IF(OR($B951="",MIN(AW$38,$D$19)&lt;MAX($P$708*($B951+IF($R$17="Distrato",$I$38-1,0)),IF(AND($L$711=0,$P$708=0),"",$L$711-1),IF($R$17="Distrato",$E951,0))),0,YEARFRAC(MAX($P$708*($B951+IF($R$17="Distrato",$I$38-1,0)),IF(AND($L$711=0,$P$708=0),"",$L$711-1),IF($R$17="Distrato",$E951,0)),MIN(AW$38,$D$19),$P$20))-SUM($P951:AV951)</f>
        <v>#VALUE!</v>
      </c>
      <c r="AX951" s="446" t="e">
        <f>IF(OR($B951="",MIN(AX$38,$D$19)&lt;MAX($P$708*($B951+IF($R$17="Distrato",$I$38-1,0)),IF(AND($L$711=0,$P$708=0),"",$L$711-1),IF($R$17="Distrato",$E951,0))),0,YEARFRAC(MAX($P$708*($B951+IF($R$17="Distrato",$I$38-1,0)),IF(AND($L$711=0,$P$708=0),"",$L$711-1),IF($R$17="Distrato",$E951,0)),MIN(AX$38,$D$19),$P$20))-SUM($P951:AW951)</f>
        <v>#VALUE!</v>
      </c>
      <c r="AY951" s="446" t="e">
        <f>IF(OR($B951="",MIN(AY$38,$D$19)&lt;MAX($P$708*($B951+IF($R$17="Distrato",$I$38-1,0)),IF(AND($L$711=0,$P$708=0),"",$L$711-1),IF($R$17="Distrato",$E951,0))),0,YEARFRAC(MAX($P$708*($B951+IF($R$17="Distrato",$I$38-1,0)),IF(AND($L$711=0,$P$708=0),"",$L$711-1),IF($R$17="Distrato",$E951,0)),MIN(AY$38,$D$19),$P$20))-SUM($P951:AX951)</f>
        <v>#VALUE!</v>
      </c>
      <c r="AZ951" s="446" t="e">
        <f>IF(OR($B951="",MIN(AZ$38,$D$19)&lt;MAX($P$708*($B951+IF($R$17="Distrato",$I$38-1,0)),IF(AND($L$711=0,$P$708=0),"",$L$711-1),IF($R$17="Distrato",$E951,0))),0,YEARFRAC(MAX($P$708*($B951+IF($R$17="Distrato",$I$38-1,0)),IF(AND($L$711=0,$P$708=0),"",$L$711-1),IF($R$17="Distrato",$E951,0)),MIN(AZ$38,$D$19),$P$20))-SUM($P951:AY951)</f>
        <v>#VALUE!</v>
      </c>
      <c r="BA951" s="446" t="e">
        <f>IF(OR($B951="",MIN(BA$38,$D$19)&lt;MAX($P$708*($B951+IF($R$17="Distrato",$I$38-1,0)),IF(AND($L$711=0,$P$708=0),"",$L$711-1),IF($R$17="Distrato",$E951,0))),0,YEARFRAC(MAX($P$708*($B951+IF($R$17="Distrato",$I$38-1,0)),IF(AND($L$711=0,$P$708=0),"",$L$711-1),IF($R$17="Distrato",$E951,0)),MIN(BA$38,$D$19),$P$20))-SUM($P951:AZ951)</f>
        <v>#VALUE!</v>
      </c>
      <c r="BB951" s="447"/>
    </row>
    <row r="952" spans="1:54" s="446" customFormat="1" ht="11.25" hidden="1" customHeight="1" x14ac:dyDescent="0.2">
      <c r="A952" s="235"/>
      <c r="B952" s="236"/>
      <c r="C952" s="29" t="str">
        <f>IF(B952="","",IF($L$709=$BL$25,VLOOKUP(DATE(YEAR($D$19),MONTH($D$19)-1,1),ÍNDICES!$A:$DE,HLOOKUP($BL$25,ÍNDICES!$B$3:$T$4,2)+11)-VLOOKUP(B952,ÍNDICES!$A:$DE,HLOOKUP($BL$25,ÍNDICES!$B$3:$T$4,2)+11)+1%,IF(C$712=$W$26,$J$35,IF(ISERROR(IF(B952&gt;$D$19,1,VLOOKUP(DATE(YEAR(B952),MONTH(B952)+IF($C$709=$S$23,1,0),1),ÍNDICES!$A:$DE,$Z$709+1))),"",IF(B952&gt;$D$19,1,VLOOKUP(DATE(YEAR(B952),MONTH(B952)+IF($C$709=$S$23,1,0),1),ÍNDICES!$A:$DE,$Z$709+1))))))</f>
        <v/>
      </c>
      <c r="D952" s="155"/>
      <c r="E952" s="88"/>
      <c r="F952" s="88"/>
      <c r="G952" s="88"/>
      <c r="H952" s="118"/>
      <c r="I952" s="182">
        <f t="shared" si="136"/>
        <v>0</v>
      </c>
      <c r="J952" s="20">
        <f t="shared" ca="1" si="137"/>
        <v>0</v>
      </c>
      <c r="K952" s="5">
        <f t="shared" ca="1" si="138"/>
        <v>0</v>
      </c>
      <c r="L952" s="61">
        <f t="shared" ca="1" si="139"/>
        <v>0</v>
      </c>
      <c r="M952" s="64">
        <f t="shared" si="140"/>
        <v>0</v>
      </c>
      <c r="N952" s="151"/>
      <c r="O952" s="5">
        <f t="shared" ca="1" si="141"/>
        <v>0</v>
      </c>
      <c r="P952" s="446" t="e">
        <f t="shared" si="142"/>
        <v>#VALUE!</v>
      </c>
      <c r="Q952" s="446" t="e">
        <f>IF(OR($B952="",MIN(Q$38,$D$19)&lt;MAX($P$708*($B952+IF($R$17="Distrato",$I$38-1,0)),IF(AND($L$711=0,$P$708=0),"",$L$711-1),IF($R$17="Distrato",$E952,0))),0,YEARFRAC(MAX($P$708*($B952+IF($R$17="Distrato",$I$38-1,0)),IF(AND($L$711=0,$P$708=0),"",$L$711-1),IF($R$17="Distrato",$E952,0)),MIN(Q$38,$D$19),$P$20))-SUM($P952:P952)</f>
        <v>#VALUE!</v>
      </c>
      <c r="R952" s="446" t="e">
        <f>IF(OR($B952="",MIN(R$38,$D$19)&lt;MAX($P$708*($B952+IF($R$17="Distrato",$I$38-1,0)),IF(AND($L$711=0,$P$708=0),"",$L$711-1),IF($R$17="Distrato",$E952,0))),0,YEARFRAC(MAX($P$708*($B952+IF($R$17="Distrato",$I$38-1,0)),IF(AND($L$711=0,$P$708=0),"",$L$711-1),IF($R$17="Distrato",$E952,0)),MIN(R$38,$D$19),$P$20))-SUM($P952:Q952)</f>
        <v>#VALUE!</v>
      </c>
      <c r="S952" s="446" t="e">
        <f>IF(OR($B952="",MIN(S$38,$D$19)&lt;MAX($P$708*($B952+IF($R$17="Distrato",$I$38-1,0)),IF(AND($L$711=0,$P$708=0),"",$L$711-1),IF($R$17="Distrato",$E952,0))),0,YEARFRAC(MAX($P$708*($B952+IF($R$17="Distrato",$I$38-1,0)),IF(AND($L$711=0,$P$708=0),"",$L$711-1),IF($R$17="Distrato",$E952,0)),MIN(S$38,$D$19),$P$20))-SUM($P952:R952)</f>
        <v>#VALUE!</v>
      </c>
      <c r="T952" s="446" t="e">
        <f>IF(OR($B952="",MIN(T$38,$D$19)&lt;MAX($P$708*($B952+IF($R$17="Distrato",$I$38-1,0)),IF(AND($L$711=0,$P$708=0),"",$L$711-1),IF($R$17="Distrato",$E952,0))),0,YEARFRAC(MAX($P$708*($B952+IF($R$17="Distrato",$I$38-1,0)),IF(AND($L$711=0,$P$708=0),"",$L$711-1),IF($R$17="Distrato",$E952,0)),MIN(T$38,$D$19),$P$20))-SUM($P952:S952)</f>
        <v>#VALUE!</v>
      </c>
      <c r="U952" s="446" t="e">
        <f>IF(OR($B952="",MIN(U$38,$D$19)&lt;MAX($P$708*($B952+IF($R$17="Distrato",$I$38-1,0)),IF(AND($L$711=0,$P$708=0),"",$L$711-1),IF($R$17="Distrato",$E952,0))),0,YEARFRAC(MAX($P$708*($B952+IF($R$17="Distrato",$I$38-1,0)),IF(AND($L$711=0,$P$708=0),"",$L$711-1),IF($R$17="Distrato",$E952,0)),MIN(U$38,$D$19),$P$20))-SUM($P952:T952)</f>
        <v>#VALUE!</v>
      </c>
      <c r="V952" s="446" t="e">
        <f>IF(OR($B952="",MIN(V$38,$D$19)&lt;MAX($P$708*($B952+IF($R$17="Distrato",$I$38-1,0)),IF(AND($L$711=0,$P$708=0),"",$L$711-1),IF($R$17="Distrato",$E952,0))),0,YEARFRAC(MAX($P$708*($B952+IF($R$17="Distrato",$I$38-1,0)),IF(AND($L$711=0,$P$708=0),"",$L$711-1),IF($R$17="Distrato",$E952,0)),MIN(V$38,$D$19),$P$20))-SUM($P952:U952)</f>
        <v>#VALUE!</v>
      </c>
      <c r="W952" s="446" t="e">
        <f>IF(OR($B952="",MIN(W$38,$D$19)&lt;MAX($P$708*($B952+IF($R$17="Distrato",$I$38-1,0)),IF(AND($L$711=0,$P$708=0),"",$L$711-1),IF($R$17="Distrato",$E952,0))),0,YEARFRAC(MAX($P$708*($B952+IF($R$17="Distrato",$I$38-1,0)),IF(AND($L$711=0,$P$708=0),"",$L$711-1),IF($R$17="Distrato",$E952,0)),MIN(W$38,$D$19),$P$20))-SUM($P952:V952)</f>
        <v>#VALUE!</v>
      </c>
      <c r="X952" s="446" t="e">
        <f>IF(OR($B952="",MIN(X$38,$D$19)&lt;MAX($P$708*($B952+IF($R$17="Distrato",$I$38-1,0)),IF(AND($L$711=0,$P$708=0),"",$L$711-1),IF($R$17="Distrato",$E952,0))),0,YEARFRAC(MAX($P$708*($B952+IF($R$17="Distrato",$I$38-1,0)),IF(AND($L$711=0,$P$708=0),"",$L$711-1),IF($R$17="Distrato",$E952,0)),MIN(X$38,$D$19),$P$20))-SUM($P952:W952)</f>
        <v>#VALUE!</v>
      </c>
      <c r="Y952" s="446" t="e">
        <f>IF(OR($B952="",MIN(Y$38,$D$19)&lt;MAX($P$708*($B952+IF($R$17="Distrato",$I$38-1,0)),IF(AND($L$711=0,$P$708=0),"",$L$711-1),IF($R$17="Distrato",$E952,0))),0,YEARFRAC(MAX($P$708*($B952+IF($R$17="Distrato",$I$38-1,0)),IF(AND($L$711=0,$P$708=0),"",$L$711-1),IF($R$17="Distrato",$E952,0)),MIN(Y$38,$D$19),$P$20))-SUM($P952:X952)</f>
        <v>#VALUE!</v>
      </c>
      <c r="Z952" s="446" t="e">
        <f>IF(OR($B952="",MIN(Z$38,$D$19)&lt;MAX($P$708*($B952+IF($R$17="Distrato",$I$38-1,0)),IF(AND($L$711=0,$P$708=0),"",$L$711-1),IF($R$17="Distrato",$E952,0))),0,YEARFRAC(MAX($P$708*($B952+IF($R$17="Distrato",$I$38-1,0)),IF(AND($L$711=0,$P$708=0),"",$L$711-1),IF($R$17="Distrato",$E952,0)),MIN(Z$38,$D$19),$P$20))-SUM($P952:Y952)</f>
        <v>#VALUE!</v>
      </c>
      <c r="AA952" s="446" t="e">
        <f>IF(OR($B952="",MIN(AA$38,$D$19)&lt;MAX($P$708*($B952+IF($R$17="Distrato",$I$38-1,0)),IF(AND($L$711=0,$P$708=0),"",$L$711-1),IF($R$17="Distrato",$E952,0))),0,YEARFRAC(MAX($P$708*($B952+IF($R$17="Distrato",$I$38-1,0)),IF(AND($L$711=0,$P$708=0),"",$L$711-1),IF($R$17="Distrato",$E952,0)),MIN(AA$38,$D$19),$P$20))-SUM($P952:Z952)</f>
        <v>#VALUE!</v>
      </c>
      <c r="AB952" s="446" t="e">
        <f>IF(OR($B952="",MIN(AB$38,$D$19)&lt;MAX($P$708*($B952+IF($R$17="Distrato",$I$38-1,0)),IF(AND($L$711=0,$P$708=0),"",$L$711-1),IF($R$17="Distrato",$E952,0))),0,YEARFRAC(MAX($P$708*($B952+IF($R$17="Distrato",$I$38-1,0)),IF(AND($L$711=0,$P$708=0),"",$L$711-1),IF($R$17="Distrato",$E952,0)),MIN(AB$38,$D$19),$P$20))-SUM($P952:AA952)</f>
        <v>#VALUE!</v>
      </c>
      <c r="AC952" s="446" t="e">
        <f>IF(OR($B952="",MIN(AC$38,$D$19)&lt;MAX($P$708*($B952+IF($R$17="Distrato",$I$38-1,0)),IF(AND($L$711=0,$P$708=0),"",$L$711-1),IF($R$17="Distrato",$E952,0))),0,YEARFRAC(MAX($P$708*($B952+IF($R$17="Distrato",$I$38-1,0)),IF(AND($L$711=0,$P$708=0),"",$L$711-1),IF($R$17="Distrato",$E952,0)),MIN(AC$38,$D$19),$P$20))-SUM($P952:AB952)</f>
        <v>#VALUE!</v>
      </c>
      <c r="AD952" s="446" t="e">
        <f>IF(OR($B952="",MIN(AD$38,$D$19)&lt;MAX($P$708*($B952+IF($R$17="Distrato",$I$38-1,0)),IF(AND($L$711=0,$P$708=0),"",$L$711-1),IF($R$17="Distrato",$E952,0))),0,YEARFRAC(MAX($P$708*($B952+IF($R$17="Distrato",$I$38-1,0)),IF(AND($L$711=0,$P$708=0),"",$L$711-1),IF($R$17="Distrato",$E952,0)),MIN(AD$38,$D$19),$P$20))-SUM($P952:AC952)</f>
        <v>#VALUE!</v>
      </c>
      <c r="AE952" s="446" t="e">
        <f>IF(OR($B952="",MIN(AE$38,$D$19)&lt;MAX($P$708*($B952+IF($R$17="Distrato",$I$38-1,0)),IF(AND($L$711=0,$P$708=0),"",$L$711-1),IF($R$17="Distrato",$E952,0))),0,YEARFRAC(MAX($P$708*($B952+IF($R$17="Distrato",$I$38-1,0)),IF(AND($L$711=0,$P$708=0),"",$L$711-1),IF($R$17="Distrato",$E952,0)),MIN(AE$38,$D$19),$P$20))-SUM($P952:AD952)</f>
        <v>#VALUE!</v>
      </c>
      <c r="AF952" s="446" t="e">
        <f>IF(OR($B952="",MIN(AF$38,$D$19)&lt;MAX($P$708*($B952+IF($R$17="Distrato",$I$38-1,0)),IF(AND($L$711=0,$P$708=0),"",$L$711-1),IF($R$17="Distrato",$E952,0))),0,YEARFRAC(MAX($P$708*($B952+IF($R$17="Distrato",$I$38-1,0)),IF(AND($L$711=0,$P$708=0),"",$L$711-1),IF($R$17="Distrato",$E952,0)),MIN(AF$38,$D$19),$P$20))-SUM($P952:AE952)</f>
        <v>#VALUE!</v>
      </c>
      <c r="AG952" s="446" t="e">
        <f>IF(OR($B952="",MIN(AG$38,$D$19)&lt;MAX($P$708*($B952+IF($R$17="Distrato",$I$38-1,0)),IF(AND($L$711=0,$P$708=0),"",$L$711-1),IF($R$17="Distrato",$E952,0))),0,YEARFRAC(MAX($P$708*($B952+IF($R$17="Distrato",$I$38-1,0)),IF(AND($L$711=0,$P$708=0),"",$L$711-1),IF($R$17="Distrato",$E952,0)),MIN(AG$38,$D$19),$P$20))-SUM($P952:AF952)</f>
        <v>#VALUE!</v>
      </c>
      <c r="AH952" s="446" t="e">
        <f>IF(OR($B952="",MIN(AH$38,$D$19)&lt;MAX($P$708*($B952+IF($R$17="Distrato",$I$38-1,0)),IF(AND($L$711=0,$P$708=0),"",$L$711-1),IF($R$17="Distrato",$E952,0))),0,YEARFRAC(MAX($P$708*($B952+IF($R$17="Distrato",$I$38-1,0)),IF(AND($L$711=0,$P$708=0),"",$L$711-1),IF($R$17="Distrato",$E952,0)),MIN(AH$38,$D$19),$P$20))-SUM($P952:AG952)</f>
        <v>#VALUE!</v>
      </c>
      <c r="AI952" s="446" t="e">
        <f>IF(OR($B952="",MIN(AI$38,$D$19)&lt;MAX($P$708*($B952+IF($R$17="Distrato",$I$38-1,0)),IF(AND($L$711=0,$P$708=0),"",$L$711-1),IF($R$17="Distrato",$E952,0))),0,YEARFRAC(MAX($P$708*($B952+IF($R$17="Distrato",$I$38-1,0)),IF(AND($L$711=0,$P$708=0),"",$L$711-1),IF($R$17="Distrato",$E952,0)),MIN(AI$38,$D$19),$P$20))-SUM($P952:AH952)</f>
        <v>#VALUE!</v>
      </c>
      <c r="AJ952" s="446" t="e">
        <f>IF(OR($B952="",MIN(AJ$38,$D$19)&lt;MAX($P$708*($B952+IF($R$17="Distrato",$I$38-1,0)),IF(AND($L$711=0,$P$708=0),"",$L$711-1),IF($R$17="Distrato",$E952,0))),0,YEARFRAC(MAX($P$708*($B952+IF($R$17="Distrato",$I$38-1,0)),IF(AND($L$711=0,$P$708=0),"",$L$711-1),IF($R$17="Distrato",$E952,0)),MIN(AJ$38,$D$19),$P$20))-SUM($P952:AI952)</f>
        <v>#VALUE!</v>
      </c>
      <c r="AK952" s="446" t="e">
        <f>IF(OR($B952="",MIN(AK$38,$D$19)&lt;MAX($P$708*($B952+IF($R$17="Distrato",$I$38-1,0)),IF(AND($L$711=0,$P$708=0),"",$L$711-1),IF($R$17="Distrato",$E952,0))),0,YEARFRAC(MAX($P$708*($B952+IF($R$17="Distrato",$I$38-1,0)),IF(AND($L$711=0,$P$708=0),"",$L$711-1),IF($R$17="Distrato",$E952,0)),MIN(AK$38,$D$19),$P$20))-SUM($P952:AJ952)</f>
        <v>#VALUE!</v>
      </c>
      <c r="AL952" s="446" t="e">
        <f>IF(OR($B952="",MIN(AL$38,$D$19)&lt;MAX($P$708*($B952+IF($R$17="Distrato",$I$38-1,0)),IF(AND($L$711=0,$P$708=0),"",$L$711-1),IF($R$17="Distrato",$E952,0))),0,YEARFRAC(MAX($P$708*($B952+IF($R$17="Distrato",$I$38-1,0)),IF(AND($L$711=0,$P$708=0),"",$L$711-1),IF($R$17="Distrato",$E952,0)),MIN(AL$38,$D$19),$P$20))-SUM($P952:AK952)</f>
        <v>#VALUE!</v>
      </c>
      <c r="AM952" s="446" t="e">
        <f>IF(OR($B952="",MIN(AM$38,$D$19)&lt;MAX($P$708*($B952+IF($R$17="Distrato",$I$38-1,0)),IF(AND($L$711=0,$P$708=0),"",$L$711-1),IF($R$17="Distrato",$E952,0))),0,YEARFRAC(MAX($P$708*($B952+IF($R$17="Distrato",$I$38-1,0)),IF(AND($L$711=0,$P$708=0),"",$L$711-1),IF($R$17="Distrato",$E952,0)),MIN(AM$38,$D$19),$P$20))-SUM($P952:AL952)</f>
        <v>#VALUE!</v>
      </c>
      <c r="AN952" s="446" t="e">
        <f>IF(OR($B952="",MIN(AN$38,$D$19)&lt;MAX($P$708*($B952+IF($R$17="Distrato",$I$38-1,0)),IF(AND($L$711=0,$P$708=0),"",$L$711-1),IF($R$17="Distrato",$E952,0))),0,YEARFRAC(MAX($P$708*($B952+IF($R$17="Distrato",$I$38-1,0)),IF(AND($L$711=0,$P$708=0),"",$L$711-1),IF($R$17="Distrato",$E952,0)),MIN(AN$38,$D$19),$P$20))-SUM($P952:AM952)</f>
        <v>#VALUE!</v>
      </c>
      <c r="AO952" s="446" t="e">
        <f>IF(OR($B952="",MIN(AO$38,$D$19)&lt;MAX($P$708*($B952+IF($R$17="Distrato",$I$38-1,0)),IF(AND($L$711=0,$P$708=0),"",$L$711-1),IF($R$17="Distrato",$E952,0))),0,YEARFRAC(MAX($P$708*($B952+IF($R$17="Distrato",$I$38-1,0)),IF(AND($L$711=0,$P$708=0),"",$L$711-1),IF($R$17="Distrato",$E952,0)),MIN(AO$38,$D$19),$P$20))-SUM($P952:AN952)</f>
        <v>#VALUE!</v>
      </c>
      <c r="AP952" s="446" t="e">
        <f>IF(OR($B952="",MIN(AP$38,$D$19)&lt;MAX($P$708*($B952+IF($R$17="Distrato",$I$38-1,0)),IF(AND($L$711=0,$P$708=0),"",$L$711-1),IF($R$17="Distrato",$E952,0))),0,YEARFRAC(MAX($P$708*($B952+IF($R$17="Distrato",$I$38-1,0)),IF(AND($L$711=0,$P$708=0),"",$L$711-1),IF($R$17="Distrato",$E952,0)),MIN(AP$38,$D$19),$P$20))-SUM($P952:AO952)</f>
        <v>#VALUE!</v>
      </c>
      <c r="AQ952" s="446" t="e">
        <f>IF(OR($B952="",MIN(AQ$38,$D$19)&lt;MAX($P$708*($B952+IF($R$17="Distrato",$I$38-1,0)),IF(AND($L$711=0,$P$708=0),"",$L$711-1),IF($R$17="Distrato",$E952,0))),0,YEARFRAC(MAX($P$708*($B952+IF($R$17="Distrato",$I$38-1,0)),IF(AND($L$711=0,$P$708=0),"",$L$711-1),IF($R$17="Distrato",$E952,0)),MIN(AQ$38,$D$19),$P$20))-SUM($P952:AP952)</f>
        <v>#VALUE!</v>
      </c>
      <c r="AR952" s="446" t="e">
        <f>IF(OR($B952="",MIN(AR$38,$D$19)&lt;MAX($P$708*($B952+IF($R$17="Distrato",$I$38-1,0)),IF(AND($L$711=0,$P$708=0),"",$L$711-1),IF($R$17="Distrato",$E952,0))),0,YEARFRAC(MAX($P$708*($B952+IF($R$17="Distrato",$I$38-1,0)),IF(AND($L$711=0,$P$708=0),"",$L$711-1),IF($R$17="Distrato",$E952,0)),MIN(AR$38,$D$19),$P$20))-SUM($P952:AQ952)</f>
        <v>#VALUE!</v>
      </c>
      <c r="AS952" s="446" t="e">
        <f>IF(OR($B952="",MIN(AS$38,$D$19)&lt;MAX($P$708*($B952+IF($R$17="Distrato",$I$38-1,0)),IF(AND($L$711=0,$P$708=0),"",$L$711-1),IF($R$17="Distrato",$E952,0))),0,YEARFRAC(MAX($P$708*($B952+IF($R$17="Distrato",$I$38-1,0)),IF(AND($L$711=0,$P$708=0),"",$L$711-1),IF($R$17="Distrato",$E952,0)),MIN(AS$38,$D$19),$P$20))-SUM($P952:AR952)</f>
        <v>#VALUE!</v>
      </c>
      <c r="AT952" s="446" t="e">
        <f>IF(OR($B952="",MIN(AT$38,$D$19)&lt;MAX($P$708*($B952+IF($R$17="Distrato",$I$38-1,0)),IF(AND($L$711=0,$P$708=0),"",$L$711-1),IF($R$17="Distrato",$E952,0))),0,YEARFRAC(MAX($P$708*($B952+IF($R$17="Distrato",$I$38-1,0)),IF(AND($L$711=0,$P$708=0),"",$L$711-1),IF($R$17="Distrato",$E952,0)),MIN(AT$38,$D$19),$P$20))-SUM($P952:AS952)</f>
        <v>#VALUE!</v>
      </c>
      <c r="AU952" s="446" t="e">
        <f>IF(OR($B952="",MIN(AU$38,$D$19)&lt;MAX($P$708*($B952+IF($R$17="Distrato",$I$38-1,0)),IF(AND($L$711=0,$P$708=0),"",$L$711-1),IF($R$17="Distrato",$E952,0))),0,YEARFRAC(MAX($P$708*($B952+IF($R$17="Distrato",$I$38-1,0)),IF(AND($L$711=0,$P$708=0),"",$L$711-1),IF($R$17="Distrato",$E952,0)),MIN(AU$38,$D$19),$P$20))-SUM($P952:AT952)</f>
        <v>#VALUE!</v>
      </c>
      <c r="AV952" s="446" t="e">
        <f>IF(OR($B952="",MIN(AV$38,$D$19)&lt;MAX($P$708*($B952+IF($R$17="Distrato",$I$38-1,0)),IF(AND($L$711=0,$P$708=0),"",$L$711-1),IF($R$17="Distrato",$E952,0))),0,YEARFRAC(MAX($P$708*($B952+IF($R$17="Distrato",$I$38-1,0)),IF(AND($L$711=0,$P$708=0),"",$L$711-1),IF($R$17="Distrato",$E952,0)),MIN(AV$38,$D$19),$P$20))-SUM($P952:AU952)</f>
        <v>#VALUE!</v>
      </c>
      <c r="AW952" s="446" t="e">
        <f>IF(OR($B952="",MIN(AW$38,$D$19)&lt;MAX($P$708*($B952+IF($R$17="Distrato",$I$38-1,0)),IF(AND($L$711=0,$P$708=0),"",$L$711-1),IF($R$17="Distrato",$E952,0))),0,YEARFRAC(MAX($P$708*($B952+IF($R$17="Distrato",$I$38-1,0)),IF(AND($L$711=0,$P$708=0),"",$L$711-1),IF($R$17="Distrato",$E952,0)),MIN(AW$38,$D$19),$P$20))-SUM($P952:AV952)</f>
        <v>#VALUE!</v>
      </c>
      <c r="AX952" s="446" t="e">
        <f>IF(OR($B952="",MIN(AX$38,$D$19)&lt;MAX($P$708*($B952+IF($R$17="Distrato",$I$38-1,0)),IF(AND($L$711=0,$P$708=0),"",$L$711-1),IF($R$17="Distrato",$E952,0))),0,YEARFRAC(MAX($P$708*($B952+IF($R$17="Distrato",$I$38-1,0)),IF(AND($L$711=0,$P$708=0),"",$L$711-1),IF($R$17="Distrato",$E952,0)),MIN(AX$38,$D$19),$P$20))-SUM($P952:AW952)</f>
        <v>#VALUE!</v>
      </c>
      <c r="AY952" s="446" t="e">
        <f>IF(OR($B952="",MIN(AY$38,$D$19)&lt;MAX($P$708*($B952+IF($R$17="Distrato",$I$38-1,0)),IF(AND($L$711=0,$P$708=0),"",$L$711-1),IF($R$17="Distrato",$E952,0))),0,YEARFRAC(MAX($P$708*($B952+IF($R$17="Distrato",$I$38-1,0)),IF(AND($L$711=0,$P$708=0),"",$L$711-1),IF($R$17="Distrato",$E952,0)),MIN(AY$38,$D$19),$P$20))-SUM($P952:AX952)</f>
        <v>#VALUE!</v>
      </c>
      <c r="AZ952" s="446" t="e">
        <f>IF(OR($B952="",MIN(AZ$38,$D$19)&lt;MAX($P$708*($B952+IF($R$17="Distrato",$I$38-1,0)),IF(AND($L$711=0,$P$708=0),"",$L$711-1),IF($R$17="Distrato",$E952,0))),0,YEARFRAC(MAX($P$708*($B952+IF($R$17="Distrato",$I$38-1,0)),IF(AND($L$711=0,$P$708=0),"",$L$711-1),IF($R$17="Distrato",$E952,0)),MIN(AZ$38,$D$19),$P$20))-SUM($P952:AY952)</f>
        <v>#VALUE!</v>
      </c>
      <c r="BA952" s="446" t="e">
        <f>IF(OR($B952="",MIN(BA$38,$D$19)&lt;MAX($P$708*($B952+IF($R$17="Distrato",$I$38-1,0)),IF(AND($L$711=0,$P$708=0),"",$L$711-1),IF($R$17="Distrato",$E952,0))),0,YEARFRAC(MAX($P$708*($B952+IF($R$17="Distrato",$I$38-1,0)),IF(AND($L$711=0,$P$708=0),"",$L$711-1),IF($R$17="Distrato",$E952,0)),MIN(BA$38,$D$19),$P$20))-SUM($P952:AZ952)</f>
        <v>#VALUE!</v>
      </c>
      <c r="BB952" s="447"/>
    </row>
    <row r="953" spans="1:54" s="446" customFormat="1" ht="11.25" hidden="1" customHeight="1" x14ac:dyDescent="0.2">
      <c r="A953" s="235"/>
      <c r="B953" s="236"/>
      <c r="C953" s="29" t="str">
        <f>IF(B953="","",IF($L$709=$BL$25,VLOOKUP(DATE(YEAR($D$19),MONTH($D$19)-1,1),ÍNDICES!$A:$DE,HLOOKUP($BL$25,ÍNDICES!$B$3:$T$4,2)+11)-VLOOKUP(B953,ÍNDICES!$A:$DE,HLOOKUP($BL$25,ÍNDICES!$B$3:$T$4,2)+11)+1%,IF(C$712=$W$26,$J$35,IF(ISERROR(IF(B953&gt;$D$19,1,VLOOKUP(DATE(YEAR(B953),MONTH(B953)+IF($C$709=$S$23,1,0),1),ÍNDICES!$A:$DE,$Z$709+1))),"",IF(B953&gt;$D$19,1,VLOOKUP(DATE(YEAR(B953),MONTH(B953)+IF($C$709=$S$23,1,0),1),ÍNDICES!$A:$DE,$Z$709+1))))))</f>
        <v/>
      </c>
      <c r="D953" s="155"/>
      <c r="E953" s="88"/>
      <c r="F953" s="88"/>
      <c r="G953" s="88"/>
      <c r="H953" s="118"/>
      <c r="I953" s="182">
        <f t="shared" si="136"/>
        <v>0</v>
      </c>
      <c r="J953" s="20">
        <f t="shared" ca="1" si="137"/>
        <v>0</v>
      </c>
      <c r="K953" s="5">
        <f t="shared" ca="1" si="138"/>
        <v>0</v>
      </c>
      <c r="L953" s="61">
        <f t="shared" ca="1" si="139"/>
        <v>0</v>
      </c>
      <c r="M953" s="64">
        <f t="shared" si="140"/>
        <v>0</v>
      </c>
      <c r="N953" s="151"/>
      <c r="O953" s="5">
        <f t="shared" ca="1" si="141"/>
        <v>0</v>
      </c>
      <c r="P953" s="446" t="e">
        <f t="shared" si="142"/>
        <v>#VALUE!</v>
      </c>
      <c r="Q953" s="446" t="e">
        <f>IF(OR($B953="",MIN(Q$38,$D$19)&lt;MAX($P$708*($B953+IF($R$17="Distrato",$I$38-1,0)),IF(AND($L$711=0,$P$708=0),"",$L$711-1),IF($R$17="Distrato",$E953,0))),0,YEARFRAC(MAX($P$708*($B953+IF($R$17="Distrato",$I$38-1,0)),IF(AND($L$711=0,$P$708=0),"",$L$711-1),IF($R$17="Distrato",$E953,0)),MIN(Q$38,$D$19),$P$20))-SUM($P953:P953)</f>
        <v>#VALUE!</v>
      </c>
      <c r="R953" s="446" t="e">
        <f>IF(OR($B953="",MIN(R$38,$D$19)&lt;MAX($P$708*($B953+IF($R$17="Distrato",$I$38-1,0)),IF(AND($L$711=0,$P$708=0),"",$L$711-1),IF($R$17="Distrato",$E953,0))),0,YEARFRAC(MAX($P$708*($B953+IF($R$17="Distrato",$I$38-1,0)),IF(AND($L$711=0,$P$708=0),"",$L$711-1),IF($R$17="Distrato",$E953,0)),MIN(R$38,$D$19),$P$20))-SUM($P953:Q953)</f>
        <v>#VALUE!</v>
      </c>
      <c r="S953" s="446" t="e">
        <f>IF(OR($B953="",MIN(S$38,$D$19)&lt;MAX($P$708*($B953+IF($R$17="Distrato",$I$38-1,0)),IF(AND($L$711=0,$P$708=0),"",$L$711-1),IF($R$17="Distrato",$E953,0))),0,YEARFRAC(MAX($P$708*($B953+IF($R$17="Distrato",$I$38-1,0)),IF(AND($L$711=0,$P$708=0),"",$L$711-1),IF($R$17="Distrato",$E953,0)),MIN(S$38,$D$19),$P$20))-SUM($P953:R953)</f>
        <v>#VALUE!</v>
      </c>
      <c r="T953" s="446" t="e">
        <f>IF(OR($B953="",MIN(T$38,$D$19)&lt;MAX($P$708*($B953+IF($R$17="Distrato",$I$38-1,0)),IF(AND($L$711=0,$P$708=0),"",$L$711-1),IF($R$17="Distrato",$E953,0))),0,YEARFRAC(MAX($P$708*($B953+IF($R$17="Distrato",$I$38-1,0)),IF(AND($L$711=0,$P$708=0),"",$L$711-1),IF($R$17="Distrato",$E953,0)),MIN(T$38,$D$19),$P$20))-SUM($P953:S953)</f>
        <v>#VALUE!</v>
      </c>
      <c r="U953" s="446" t="e">
        <f>IF(OR($B953="",MIN(U$38,$D$19)&lt;MAX($P$708*($B953+IF($R$17="Distrato",$I$38-1,0)),IF(AND($L$711=0,$P$708=0),"",$L$711-1),IF($R$17="Distrato",$E953,0))),0,YEARFRAC(MAX($P$708*($B953+IF($R$17="Distrato",$I$38-1,0)),IF(AND($L$711=0,$P$708=0),"",$L$711-1),IF($R$17="Distrato",$E953,0)),MIN(U$38,$D$19),$P$20))-SUM($P953:T953)</f>
        <v>#VALUE!</v>
      </c>
      <c r="V953" s="446" t="e">
        <f>IF(OR($B953="",MIN(V$38,$D$19)&lt;MAX($P$708*($B953+IF($R$17="Distrato",$I$38-1,0)),IF(AND($L$711=0,$P$708=0),"",$L$711-1),IF($R$17="Distrato",$E953,0))),0,YEARFRAC(MAX($P$708*($B953+IF($R$17="Distrato",$I$38-1,0)),IF(AND($L$711=0,$P$708=0),"",$L$711-1),IF($R$17="Distrato",$E953,0)),MIN(V$38,$D$19),$P$20))-SUM($P953:U953)</f>
        <v>#VALUE!</v>
      </c>
      <c r="W953" s="446" t="e">
        <f>IF(OR($B953="",MIN(W$38,$D$19)&lt;MAX($P$708*($B953+IF($R$17="Distrato",$I$38-1,0)),IF(AND($L$711=0,$P$708=0),"",$L$711-1),IF($R$17="Distrato",$E953,0))),0,YEARFRAC(MAX($P$708*($B953+IF($R$17="Distrato",$I$38-1,0)),IF(AND($L$711=0,$P$708=0),"",$L$711-1),IF($R$17="Distrato",$E953,0)),MIN(W$38,$D$19),$P$20))-SUM($P953:V953)</f>
        <v>#VALUE!</v>
      </c>
      <c r="X953" s="446" t="e">
        <f>IF(OR($B953="",MIN(X$38,$D$19)&lt;MAX($P$708*($B953+IF($R$17="Distrato",$I$38-1,0)),IF(AND($L$711=0,$P$708=0),"",$L$711-1),IF($R$17="Distrato",$E953,0))),0,YEARFRAC(MAX($P$708*($B953+IF($R$17="Distrato",$I$38-1,0)),IF(AND($L$711=0,$P$708=0),"",$L$711-1),IF($R$17="Distrato",$E953,0)),MIN(X$38,$D$19),$P$20))-SUM($P953:W953)</f>
        <v>#VALUE!</v>
      </c>
      <c r="Y953" s="446" t="e">
        <f>IF(OR($B953="",MIN(Y$38,$D$19)&lt;MAX($P$708*($B953+IF($R$17="Distrato",$I$38-1,0)),IF(AND($L$711=0,$P$708=0),"",$L$711-1),IF($R$17="Distrato",$E953,0))),0,YEARFRAC(MAX($P$708*($B953+IF($R$17="Distrato",$I$38-1,0)),IF(AND($L$711=0,$P$708=0),"",$L$711-1),IF($R$17="Distrato",$E953,0)),MIN(Y$38,$D$19),$P$20))-SUM($P953:X953)</f>
        <v>#VALUE!</v>
      </c>
      <c r="Z953" s="446" t="e">
        <f>IF(OR($B953="",MIN(Z$38,$D$19)&lt;MAX($P$708*($B953+IF($R$17="Distrato",$I$38-1,0)),IF(AND($L$711=0,$P$708=0),"",$L$711-1),IF($R$17="Distrato",$E953,0))),0,YEARFRAC(MAX($P$708*($B953+IF($R$17="Distrato",$I$38-1,0)),IF(AND($L$711=0,$P$708=0),"",$L$711-1),IF($R$17="Distrato",$E953,0)),MIN(Z$38,$D$19),$P$20))-SUM($P953:Y953)</f>
        <v>#VALUE!</v>
      </c>
      <c r="AA953" s="446" t="e">
        <f>IF(OR($B953="",MIN(AA$38,$D$19)&lt;MAX($P$708*($B953+IF($R$17="Distrato",$I$38-1,0)),IF(AND($L$711=0,$P$708=0),"",$L$711-1),IF($R$17="Distrato",$E953,0))),0,YEARFRAC(MAX($P$708*($B953+IF($R$17="Distrato",$I$38-1,0)),IF(AND($L$711=0,$P$708=0),"",$L$711-1),IF($R$17="Distrato",$E953,0)),MIN(AA$38,$D$19),$P$20))-SUM($P953:Z953)</f>
        <v>#VALUE!</v>
      </c>
      <c r="AB953" s="446" t="e">
        <f>IF(OR($B953="",MIN(AB$38,$D$19)&lt;MAX($P$708*($B953+IF($R$17="Distrato",$I$38-1,0)),IF(AND($L$711=0,$P$708=0),"",$L$711-1),IF($R$17="Distrato",$E953,0))),0,YEARFRAC(MAX($P$708*($B953+IF($R$17="Distrato",$I$38-1,0)),IF(AND($L$711=0,$P$708=0),"",$L$711-1),IF($R$17="Distrato",$E953,0)),MIN(AB$38,$D$19),$P$20))-SUM($P953:AA953)</f>
        <v>#VALUE!</v>
      </c>
      <c r="AC953" s="446" t="e">
        <f>IF(OR($B953="",MIN(AC$38,$D$19)&lt;MAX($P$708*($B953+IF($R$17="Distrato",$I$38-1,0)),IF(AND($L$711=0,$P$708=0),"",$L$711-1),IF($R$17="Distrato",$E953,0))),0,YEARFRAC(MAX($P$708*($B953+IF($R$17="Distrato",$I$38-1,0)),IF(AND($L$711=0,$P$708=0),"",$L$711-1),IF($R$17="Distrato",$E953,0)),MIN(AC$38,$D$19),$P$20))-SUM($P953:AB953)</f>
        <v>#VALUE!</v>
      </c>
      <c r="AD953" s="446" t="e">
        <f>IF(OR($B953="",MIN(AD$38,$D$19)&lt;MAX($P$708*($B953+IF($R$17="Distrato",$I$38-1,0)),IF(AND($L$711=0,$P$708=0),"",$L$711-1),IF($R$17="Distrato",$E953,0))),0,YEARFRAC(MAX($P$708*($B953+IF($R$17="Distrato",$I$38-1,0)),IF(AND($L$711=0,$P$708=0),"",$L$711-1),IF($R$17="Distrato",$E953,0)),MIN(AD$38,$D$19),$P$20))-SUM($P953:AC953)</f>
        <v>#VALUE!</v>
      </c>
      <c r="AE953" s="446" t="e">
        <f>IF(OR($B953="",MIN(AE$38,$D$19)&lt;MAX($P$708*($B953+IF($R$17="Distrato",$I$38-1,0)),IF(AND($L$711=0,$P$708=0),"",$L$711-1),IF($R$17="Distrato",$E953,0))),0,YEARFRAC(MAX($P$708*($B953+IF($R$17="Distrato",$I$38-1,0)),IF(AND($L$711=0,$P$708=0),"",$L$711-1),IF($R$17="Distrato",$E953,0)),MIN(AE$38,$D$19),$P$20))-SUM($P953:AD953)</f>
        <v>#VALUE!</v>
      </c>
      <c r="AF953" s="446" t="e">
        <f>IF(OR($B953="",MIN(AF$38,$D$19)&lt;MAX($P$708*($B953+IF($R$17="Distrato",$I$38-1,0)),IF(AND($L$711=0,$P$708=0),"",$L$711-1),IF($R$17="Distrato",$E953,0))),0,YEARFRAC(MAX($P$708*($B953+IF($R$17="Distrato",$I$38-1,0)),IF(AND($L$711=0,$P$708=0),"",$L$711-1),IF($R$17="Distrato",$E953,0)),MIN(AF$38,$D$19),$P$20))-SUM($P953:AE953)</f>
        <v>#VALUE!</v>
      </c>
      <c r="AG953" s="446" t="e">
        <f>IF(OR($B953="",MIN(AG$38,$D$19)&lt;MAX($P$708*($B953+IF($R$17="Distrato",$I$38-1,0)),IF(AND($L$711=0,$P$708=0),"",$L$711-1),IF($R$17="Distrato",$E953,0))),0,YEARFRAC(MAX($P$708*($B953+IF($R$17="Distrato",$I$38-1,0)),IF(AND($L$711=0,$P$708=0),"",$L$711-1),IF($R$17="Distrato",$E953,0)),MIN(AG$38,$D$19),$P$20))-SUM($P953:AF953)</f>
        <v>#VALUE!</v>
      </c>
      <c r="AH953" s="446" t="e">
        <f>IF(OR($B953="",MIN(AH$38,$D$19)&lt;MAX($P$708*($B953+IF($R$17="Distrato",$I$38-1,0)),IF(AND($L$711=0,$P$708=0),"",$L$711-1),IF($R$17="Distrato",$E953,0))),0,YEARFRAC(MAX($P$708*($B953+IF($R$17="Distrato",$I$38-1,0)),IF(AND($L$711=0,$P$708=0),"",$L$711-1),IF($R$17="Distrato",$E953,0)),MIN(AH$38,$D$19),$P$20))-SUM($P953:AG953)</f>
        <v>#VALUE!</v>
      </c>
      <c r="AI953" s="446" t="e">
        <f>IF(OR($B953="",MIN(AI$38,$D$19)&lt;MAX($P$708*($B953+IF($R$17="Distrato",$I$38-1,0)),IF(AND($L$711=0,$P$708=0),"",$L$711-1),IF($R$17="Distrato",$E953,0))),0,YEARFRAC(MAX($P$708*($B953+IF($R$17="Distrato",$I$38-1,0)),IF(AND($L$711=0,$P$708=0),"",$L$711-1),IF($R$17="Distrato",$E953,0)),MIN(AI$38,$D$19),$P$20))-SUM($P953:AH953)</f>
        <v>#VALUE!</v>
      </c>
      <c r="AJ953" s="446" t="e">
        <f>IF(OR($B953="",MIN(AJ$38,$D$19)&lt;MAX($P$708*($B953+IF($R$17="Distrato",$I$38-1,0)),IF(AND($L$711=0,$P$708=0),"",$L$711-1),IF($R$17="Distrato",$E953,0))),0,YEARFRAC(MAX($P$708*($B953+IF($R$17="Distrato",$I$38-1,0)),IF(AND($L$711=0,$P$708=0),"",$L$711-1),IF($R$17="Distrato",$E953,0)),MIN(AJ$38,$D$19),$P$20))-SUM($P953:AI953)</f>
        <v>#VALUE!</v>
      </c>
      <c r="AK953" s="446" t="e">
        <f>IF(OR($B953="",MIN(AK$38,$D$19)&lt;MAX($P$708*($B953+IF($R$17="Distrato",$I$38-1,0)),IF(AND($L$711=0,$P$708=0),"",$L$711-1),IF($R$17="Distrato",$E953,0))),0,YEARFRAC(MAX($P$708*($B953+IF($R$17="Distrato",$I$38-1,0)),IF(AND($L$711=0,$P$708=0),"",$L$711-1),IF($R$17="Distrato",$E953,0)),MIN(AK$38,$D$19),$P$20))-SUM($P953:AJ953)</f>
        <v>#VALUE!</v>
      </c>
      <c r="AL953" s="446" t="e">
        <f>IF(OR($B953="",MIN(AL$38,$D$19)&lt;MAX($P$708*($B953+IF($R$17="Distrato",$I$38-1,0)),IF(AND($L$711=0,$P$708=0),"",$L$711-1),IF($R$17="Distrato",$E953,0))),0,YEARFRAC(MAX($P$708*($B953+IF($R$17="Distrato",$I$38-1,0)),IF(AND($L$711=0,$P$708=0),"",$L$711-1),IF($R$17="Distrato",$E953,0)),MIN(AL$38,$D$19),$P$20))-SUM($P953:AK953)</f>
        <v>#VALUE!</v>
      </c>
      <c r="AM953" s="446" t="e">
        <f>IF(OR($B953="",MIN(AM$38,$D$19)&lt;MAX($P$708*($B953+IF($R$17="Distrato",$I$38-1,0)),IF(AND($L$711=0,$P$708=0),"",$L$711-1),IF($R$17="Distrato",$E953,0))),0,YEARFRAC(MAX($P$708*($B953+IF($R$17="Distrato",$I$38-1,0)),IF(AND($L$711=0,$P$708=0),"",$L$711-1),IF($R$17="Distrato",$E953,0)),MIN(AM$38,$D$19),$P$20))-SUM($P953:AL953)</f>
        <v>#VALUE!</v>
      </c>
      <c r="AN953" s="446" t="e">
        <f>IF(OR($B953="",MIN(AN$38,$D$19)&lt;MAX($P$708*($B953+IF($R$17="Distrato",$I$38-1,0)),IF(AND($L$711=0,$P$708=0),"",$L$711-1),IF($R$17="Distrato",$E953,0))),0,YEARFRAC(MAX($P$708*($B953+IF($R$17="Distrato",$I$38-1,0)),IF(AND($L$711=0,$P$708=0),"",$L$711-1),IF($R$17="Distrato",$E953,0)),MIN(AN$38,$D$19),$P$20))-SUM($P953:AM953)</f>
        <v>#VALUE!</v>
      </c>
      <c r="AO953" s="446" t="e">
        <f>IF(OR($B953="",MIN(AO$38,$D$19)&lt;MAX($P$708*($B953+IF($R$17="Distrato",$I$38-1,0)),IF(AND($L$711=0,$P$708=0),"",$L$711-1),IF($R$17="Distrato",$E953,0))),0,YEARFRAC(MAX($P$708*($B953+IF($R$17="Distrato",$I$38-1,0)),IF(AND($L$711=0,$P$708=0),"",$L$711-1),IF($R$17="Distrato",$E953,0)),MIN(AO$38,$D$19),$P$20))-SUM($P953:AN953)</f>
        <v>#VALUE!</v>
      </c>
      <c r="AP953" s="446" t="e">
        <f>IF(OR($B953="",MIN(AP$38,$D$19)&lt;MAX($P$708*($B953+IF($R$17="Distrato",$I$38-1,0)),IF(AND($L$711=0,$P$708=0),"",$L$711-1),IF($R$17="Distrato",$E953,0))),0,YEARFRAC(MAX($P$708*($B953+IF($R$17="Distrato",$I$38-1,0)),IF(AND($L$711=0,$P$708=0),"",$L$711-1),IF($R$17="Distrato",$E953,0)),MIN(AP$38,$D$19),$P$20))-SUM($P953:AO953)</f>
        <v>#VALUE!</v>
      </c>
      <c r="AQ953" s="446" t="e">
        <f>IF(OR($B953="",MIN(AQ$38,$D$19)&lt;MAX($P$708*($B953+IF($R$17="Distrato",$I$38-1,0)),IF(AND($L$711=0,$P$708=0),"",$L$711-1),IF($R$17="Distrato",$E953,0))),0,YEARFRAC(MAX($P$708*($B953+IF($R$17="Distrato",$I$38-1,0)),IF(AND($L$711=0,$P$708=0),"",$L$711-1),IF($R$17="Distrato",$E953,0)),MIN(AQ$38,$D$19),$P$20))-SUM($P953:AP953)</f>
        <v>#VALUE!</v>
      </c>
      <c r="AR953" s="446" t="e">
        <f>IF(OR($B953="",MIN(AR$38,$D$19)&lt;MAX($P$708*($B953+IF($R$17="Distrato",$I$38-1,0)),IF(AND($L$711=0,$P$708=0),"",$L$711-1),IF($R$17="Distrato",$E953,0))),0,YEARFRAC(MAX($P$708*($B953+IF($R$17="Distrato",$I$38-1,0)),IF(AND($L$711=0,$P$708=0),"",$L$711-1),IF($R$17="Distrato",$E953,0)),MIN(AR$38,$D$19),$P$20))-SUM($P953:AQ953)</f>
        <v>#VALUE!</v>
      </c>
      <c r="AS953" s="446" t="e">
        <f>IF(OR($B953="",MIN(AS$38,$D$19)&lt;MAX($P$708*($B953+IF($R$17="Distrato",$I$38-1,0)),IF(AND($L$711=0,$P$708=0),"",$L$711-1),IF($R$17="Distrato",$E953,0))),0,YEARFRAC(MAX($P$708*($B953+IF($R$17="Distrato",$I$38-1,0)),IF(AND($L$711=0,$P$708=0),"",$L$711-1),IF($R$17="Distrato",$E953,0)),MIN(AS$38,$D$19),$P$20))-SUM($P953:AR953)</f>
        <v>#VALUE!</v>
      </c>
      <c r="AT953" s="446" t="e">
        <f>IF(OR($B953="",MIN(AT$38,$D$19)&lt;MAX($P$708*($B953+IF($R$17="Distrato",$I$38-1,0)),IF(AND($L$711=0,$P$708=0),"",$L$711-1),IF($R$17="Distrato",$E953,0))),0,YEARFRAC(MAX($P$708*($B953+IF($R$17="Distrato",$I$38-1,0)),IF(AND($L$711=0,$P$708=0),"",$L$711-1),IF($R$17="Distrato",$E953,0)),MIN(AT$38,$D$19),$P$20))-SUM($P953:AS953)</f>
        <v>#VALUE!</v>
      </c>
      <c r="AU953" s="446" t="e">
        <f>IF(OR($B953="",MIN(AU$38,$D$19)&lt;MAX($P$708*($B953+IF($R$17="Distrato",$I$38-1,0)),IF(AND($L$711=0,$P$708=0),"",$L$711-1),IF($R$17="Distrato",$E953,0))),0,YEARFRAC(MAX($P$708*($B953+IF($R$17="Distrato",$I$38-1,0)),IF(AND($L$711=0,$P$708=0),"",$L$711-1),IF($R$17="Distrato",$E953,0)),MIN(AU$38,$D$19),$P$20))-SUM($P953:AT953)</f>
        <v>#VALUE!</v>
      </c>
      <c r="AV953" s="446" t="e">
        <f>IF(OR($B953="",MIN(AV$38,$D$19)&lt;MAX($P$708*($B953+IF($R$17="Distrato",$I$38-1,0)),IF(AND($L$711=0,$P$708=0),"",$L$711-1),IF($R$17="Distrato",$E953,0))),0,YEARFRAC(MAX($P$708*($B953+IF($R$17="Distrato",$I$38-1,0)),IF(AND($L$711=0,$P$708=0),"",$L$711-1),IF($R$17="Distrato",$E953,0)),MIN(AV$38,$D$19),$P$20))-SUM($P953:AU953)</f>
        <v>#VALUE!</v>
      </c>
      <c r="AW953" s="446" t="e">
        <f>IF(OR($B953="",MIN(AW$38,$D$19)&lt;MAX($P$708*($B953+IF($R$17="Distrato",$I$38-1,0)),IF(AND($L$711=0,$P$708=0),"",$L$711-1),IF($R$17="Distrato",$E953,0))),0,YEARFRAC(MAX($P$708*($B953+IF($R$17="Distrato",$I$38-1,0)),IF(AND($L$711=0,$P$708=0),"",$L$711-1),IF($R$17="Distrato",$E953,0)),MIN(AW$38,$D$19),$P$20))-SUM($P953:AV953)</f>
        <v>#VALUE!</v>
      </c>
      <c r="AX953" s="446" t="e">
        <f>IF(OR($B953="",MIN(AX$38,$D$19)&lt;MAX($P$708*($B953+IF($R$17="Distrato",$I$38-1,0)),IF(AND($L$711=0,$P$708=0),"",$L$711-1),IF($R$17="Distrato",$E953,0))),0,YEARFRAC(MAX($P$708*($B953+IF($R$17="Distrato",$I$38-1,0)),IF(AND($L$711=0,$P$708=0),"",$L$711-1),IF($R$17="Distrato",$E953,0)),MIN(AX$38,$D$19),$P$20))-SUM($P953:AW953)</f>
        <v>#VALUE!</v>
      </c>
      <c r="AY953" s="446" t="e">
        <f>IF(OR($B953="",MIN(AY$38,$D$19)&lt;MAX($P$708*($B953+IF($R$17="Distrato",$I$38-1,0)),IF(AND($L$711=0,$P$708=0),"",$L$711-1),IF($R$17="Distrato",$E953,0))),0,YEARFRAC(MAX($P$708*($B953+IF($R$17="Distrato",$I$38-1,0)),IF(AND($L$711=0,$P$708=0),"",$L$711-1),IF($R$17="Distrato",$E953,0)),MIN(AY$38,$D$19),$P$20))-SUM($P953:AX953)</f>
        <v>#VALUE!</v>
      </c>
      <c r="AZ953" s="446" t="e">
        <f>IF(OR($B953="",MIN(AZ$38,$D$19)&lt;MAX($P$708*($B953+IF($R$17="Distrato",$I$38-1,0)),IF(AND($L$711=0,$P$708=0),"",$L$711-1),IF($R$17="Distrato",$E953,0))),0,YEARFRAC(MAX($P$708*($B953+IF($R$17="Distrato",$I$38-1,0)),IF(AND($L$711=0,$P$708=0),"",$L$711-1),IF($R$17="Distrato",$E953,0)),MIN(AZ$38,$D$19),$P$20))-SUM($P953:AY953)</f>
        <v>#VALUE!</v>
      </c>
      <c r="BA953" s="446" t="e">
        <f>IF(OR($B953="",MIN(BA$38,$D$19)&lt;MAX($P$708*($B953+IF($R$17="Distrato",$I$38-1,0)),IF(AND($L$711=0,$P$708=0),"",$L$711-1),IF($R$17="Distrato",$E953,0))),0,YEARFRAC(MAX($P$708*($B953+IF($R$17="Distrato",$I$38-1,0)),IF(AND($L$711=0,$P$708=0),"",$L$711-1),IF($R$17="Distrato",$E953,0)),MIN(BA$38,$D$19),$P$20))-SUM($P953:AZ953)</f>
        <v>#VALUE!</v>
      </c>
      <c r="BB953" s="447"/>
    </row>
    <row r="954" spans="1:54" s="446" customFormat="1" ht="11.25" hidden="1" customHeight="1" x14ac:dyDescent="0.2">
      <c r="A954" s="235"/>
      <c r="B954" s="236"/>
      <c r="C954" s="29" t="str">
        <f>IF(B954="","",IF($L$709=$BL$25,VLOOKUP(DATE(YEAR($D$19),MONTH($D$19)-1,1),ÍNDICES!$A:$DE,HLOOKUP($BL$25,ÍNDICES!$B$3:$T$4,2)+11)-VLOOKUP(B954,ÍNDICES!$A:$DE,HLOOKUP($BL$25,ÍNDICES!$B$3:$T$4,2)+11)+1%,IF(C$712=$W$26,$J$35,IF(ISERROR(IF(B954&gt;$D$19,1,VLOOKUP(DATE(YEAR(B954),MONTH(B954)+IF($C$709=$S$23,1,0),1),ÍNDICES!$A:$DE,$Z$709+1))),"",IF(B954&gt;$D$19,1,VLOOKUP(DATE(YEAR(B954),MONTH(B954)+IF($C$709=$S$23,1,0),1),ÍNDICES!$A:$DE,$Z$709+1))))))</f>
        <v/>
      </c>
      <c r="D954" s="155"/>
      <c r="E954" s="88"/>
      <c r="F954" s="88"/>
      <c r="G954" s="88"/>
      <c r="H954" s="118"/>
      <c r="I954" s="182">
        <f t="shared" si="136"/>
        <v>0</v>
      </c>
      <c r="J954" s="20">
        <f t="shared" ca="1" si="137"/>
        <v>0</v>
      </c>
      <c r="K954" s="5">
        <f t="shared" ca="1" si="138"/>
        <v>0</v>
      </c>
      <c r="L954" s="61">
        <f t="shared" ca="1" si="139"/>
        <v>0</v>
      </c>
      <c r="M954" s="64">
        <f t="shared" si="140"/>
        <v>0</v>
      </c>
      <c r="N954" s="151"/>
      <c r="O954" s="5">
        <f t="shared" ca="1" si="141"/>
        <v>0</v>
      </c>
      <c r="P954" s="446" t="e">
        <f t="shared" si="142"/>
        <v>#VALUE!</v>
      </c>
      <c r="Q954" s="446" t="e">
        <f>IF(OR($B954="",MIN(Q$38,$D$19)&lt;MAX($P$708*($B954+IF($R$17="Distrato",$I$38-1,0)),IF(AND($L$711=0,$P$708=0),"",$L$711-1),IF($R$17="Distrato",$E954,0))),0,YEARFRAC(MAX($P$708*($B954+IF($R$17="Distrato",$I$38-1,0)),IF(AND($L$711=0,$P$708=0),"",$L$711-1),IF($R$17="Distrato",$E954,0)),MIN(Q$38,$D$19),$P$20))-SUM($P954:P954)</f>
        <v>#VALUE!</v>
      </c>
      <c r="R954" s="446" t="e">
        <f>IF(OR($B954="",MIN(R$38,$D$19)&lt;MAX($P$708*($B954+IF($R$17="Distrato",$I$38-1,0)),IF(AND($L$711=0,$P$708=0),"",$L$711-1),IF($R$17="Distrato",$E954,0))),0,YEARFRAC(MAX($P$708*($B954+IF($R$17="Distrato",$I$38-1,0)),IF(AND($L$711=0,$P$708=0),"",$L$711-1),IF($R$17="Distrato",$E954,0)),MIN(R$38,$D$19),$P$20))-SUM($P954:Q954)</f>
        <v>#VALUE!</v>
      </c>
      <c r="S954" s="446" t="e">
        <f>IF(OR($B954="",MIN(S$38,$D$19)&lt;MAX($P$708*($B954+IF($R$17="Distrato",$I$38-1,0)),IF(AND($L$711=0,$P$708=0),"",$L$711-1),IF($R$17="Distrato",$E954,0))),0,YEARFRAC(MAX($P$708*($B954+IF($R$17="Distrato",$I$38-1,0)),IF(AND($L$711=0,$P$708=0),"",$L$711-1),IF($R$17="Distrato",$E954,0)),MIN(S$38,$D$19),$P$20))-SUM($P954:R954)</f>
        <v>#VALUE!</v>
      </c>
      <c r="T954" s="446" t="e">
        <f>IF(OR($B954="",MIN(T$38,$D$19)&lt;MAX($P$708*($B954+IF($R$17="Distrato",$I$38-1,0)),IF(AND($L$711=0,$P$708=0),"",$L$711-1),IF($R$17="Distrato",$E954,0))),0,YEARFRAC(MAX($P$708*($B954+IF($R$17="Distrato",$I$38-1,0)),IF(AND($L$711=0,$P$708=0),"",$L$711-1),IF($R$17="Distrato",$E954,0)),MIN(T$38,$D$19),$P$20))-SUM($P954:S954)</f>
        <v>#VALUE!</v>
      </c>
      <c r="U954" s="446" t="e">
        <f>IF(OR($B954="",MIN(U$38,$D$19)&lt;MAX($P$708*($B954+IF($R$17="Distrato",$I$38-1,0)),IF(AND($L$711=0,$P$708=0),"",$L$711-1),IF($R$17="Distrato",$E954,0))),0,YEARFRAC(MAX($P$708*($B954+IF($R$17="Distrato",$I$38-1,0)),IF(AND($L$711=0,$P$708=0),"",$L$711-1),IF($R$17="Distrato",$E954,0)),MIN(U$38,$D$19),$P$20))-SUM($P954:T954)</f>
        <v>#VALUE!</v>
      </c>
      <c r="V954" s="446" t="e">
        <f>IF(OR($B954="",MIN(V$38,$D$19)&lt;MAX($P$708*($B954+IF($R$17="Distrato",$I$38-1,0)),IF(AND($L$711=0,$P$708=0),"",$L$711-1),IF($R$17="Distrato",$E954,0))),0,YEARFRAC(MAX($P$708*($B954+IF($R$17="Distrato",$I$38-1,0)),IF(AND($L$711=0,$P$708=0),"",$L$711-1),IF($R$17="Distrato",$E954,0)),MIN(V$38,$D$19),$P$20))-SUM($P954:U954)</f>
        <v>#VALUE!</v>
      </c>
      <c r="W954" s="446" t="e">
        <f>IF(OR($B954="",MIN(W$38,$D$19)&lt;MAX($P$708*($B954+IF($R$17="Distrato",$I$38-1,0)),IF(AND($L$711=0,$P$708=0),"",$L$711-1),IF($R$17="Distrato",$E954,0))),0,YEARFRAC(MAX($P$708*($B954+IF($R$17="Distrato",$I$38-1,0)),IF(AND($L$711=0,$P$708=0),"",$L$711-1),IF($R$17="Distrato",$E954,0)),MIN(W$38,$D$19),$P$20))-SUM($P954:V954)</f>
        <v>#VALUE!</v>
      </c>
      <c r="X954" s="446" t="e">
        <f>IF(OR($B954="",MIN(X$38,$D$19)&lt;MAX($P$708*($B954+IF($R$17="Distrato",$I$38-1,0)),IF(AND($L$711=0,$P$708=0),"",$L$711-1),IF($R$17="Distrato",$E954,0))),0,YEARFRAC(MAX($P$708*($B954+IF($R$17="Distrato",$I$38-1,0)),IF(AND($L$711=0,$P$708=0),"",$L$711-1),IF($R$17="Distrato",$E954,0)),MIN(X$38,$D$19),$P$20))-SUM($P954:W954)</f>
        <v>#VALUE!</v>
      </c>
      <c r="Y954" s="446" t="e">
        <f>IF(OR($B954="",MIN(Y$38,$D$19)&lt;MAX($P$708*($B954+IF($R$17="Distrato",$I$38-1,0)),IF(AND($L$711=0,$P$708=0),"",$L$711-1),IF($R$17="Distrato",$E954,0))),0,YEARFRAC(MAX($P$708*($B954+IF($R$17="Distrato",$I$38-1,0)),IF(AND($L$711=0,$P$708=0),"",$L$711-1),IF($R$17="Distrato",$E954,0)),MIN(Y$38,$D$19),$P$20))-SUM($P954:X954)</f>
        <v>#VALUE!</v>
      </c>
      <c r="Z954" s="446" t="e">
        <f>IF(OR($B954="",MIN(Z$38,$D$19)&lt;MAX($P$708*($B954+IF($R$17="Distrato",$I$38-1,0)),IF(AND($L$711=0,$P$708=0),"",$L$711-1),IF($R$17="Distrato",$E954,0))),0,YEARFRAC(MAX($P$708*($B954+IF($R$17="Distrato",$I$38-1,0)),IF(AND($L$711=0,$P$708=0),"",$L$711-1),IF($R$17="Distrato",$E954,0)),MIN(Z$38,$D$19),$P$20))-SUM($P954:Y954)</f>
        <v>#VALUE!</v>
      </c>
      <c r="AA954" s="446" t="e">
        <f>IF(OR($B954="",MIN(AA$38,$D$19)&lt;MAX($P$708*($B954+IF($R$17="Distrato",$I$38-1,0)),IF(AND($L$711=0,$P$708=0),"",$L$711-1),IF($R$17="Distrato",$E954,0))),0,YEARFRAC(MAX($P$708*($B954+IF($R$17="Distrato",$I$38-1,0)),IF(AND($L$711=0,$P$708=0),"",$L$711-1),IF($R$17="Distrato",$E954,0)),MIN(AA$38,$D$19),$P$20))-SUM($P954:Z954)</f>
        <v>#VALUE!</v>
      </c>
      <c r="AB954" s="446" t="e">
        <f>IF(OR($B954="",MIN(AB$38,$D$19)&lt;MAX($P$708*($B954+IF($R$17="Distrato",$I$38-1,0)),IF(AND($L$711=0,$P$708=0),"",$L$711-1),IF($R$17="Distrato",$E954,0))),0,YEARFRAC(MAX($P$708*($B954+IF($R$17="Distrato",$I$38-1,0)),IF(AND($L$711=0,$P$708=0),"",$L$711-1),IF($R$17="Distrato",$E954,0)),MIN(AB$38,$D$19),$P$20))-SUM($P954:AA954)</f>
        <v>#VALUE!</v>
      </c>
      <c r="AC954" s="446" t="e">
        <f>IF(OR($B954="",MIN(AC$38,$D$19)&lt;MAX($P$708*($B954+IF($R$17="Distrato",$I$38-1,0)),IF(AND($L$711=0,$P$708=0),"",$L$711-1),IF($R$17="Distrato",$E954,0))),0,YEARFRAC(MAX($P$708*($B954+IF($R$17="Distrato",$I$38-1,0)),IF(AND($L$711=0,$P$708=0),"",$L$711-1),IF($R$17="Distrato",$E954,0)),MIN(AC$38,$D$19),$P$20))-SUM($P954:AB954)</f>
        <v>#VALUE!</v>
      </c>
      <c r="AD954" s="446" t="e">
        <f>IF(OR($B954="",MIN(AD$38,$D$19)&lt;MAX($P$708*($B954+IF($R$17="Distrato",$I$38-1,0)),IF(AND($L$711=0,$P$708=0),"",$L$711-1),IF($R$17="Distrato",$E954,0))),0,YEARFRAC(MAX($P$708*($B954+IF($R$17="Distrato",$I$38-1,0)),IF(AND($L$711=0,$P$708=0),"",$L$711-1),IF($R$17="Distrato",$E954,0)),MIN(AD$38,$D$19),$P$20))-SUM($P954:AC954)</f>
        <v>#VALUE!</v>
      </c>
      <c r="AE954" s="446" t="e">
        <f>IF(OR($B954="",MIN(AE$38,$D$19)&lt;MAX($P$708*($B954+IF($R$17="Distrato",$I$38-1,0)),IF(AND($L$711=0,$P$708=0),"",$L$711-1),IF($R$17="Distrato",$E954,0))),0,YEARFRAC(MAX($P$708*($B954+IF($R$17="Distrato",$I$38-1,0)),IF(AND($L$711=0,$P$708=0),"",$L$711-1),IF($R$17="Distrato",$E954,0)),MIN(AE$38,$D$19),$P$20))-SUM($P954:AD954)</f>
        <v>#VALUE!</v>
      </c>
      <c r="AF954" s="446" t="e">
        <f>IF(OR($B954="",MIN(AF$38,$D$19)&lt;MAX($P$708*($B954+IF($R$17="Distrato",$I$38-1,0)),IF(AND($L$711=0,$P$708=0),"",$L$711-1),IF($R$17="Distrato",$E954,0))),0,YEARFRAC(MAX($P$708*($B954+IF($R$17="Distrato",$I$38-1,0)),IF(AND($L$711=0,$P$708=0),"",$L$711-1),IF($R$17="Distrato",$E954,0)),MIN(AF$38,$D$19),$P$20))-SUM($P954:AE954)</f>
        <v>#VALUE!</v>
      </c>
      <c r="AG954" s="446" t="e">
        <f>IF(OR($B954="",MIN(AG$38,$D$19)&lt;MAX($P$708*($B954+IF($R$17="Distrato",$I$38-1,0)),IF(AND($L$711=0,$P$708=0),"",$L$711-1),IF($R$17="Distrato",$E954,0))),0,YEARFRAC(MAX($P$708*($B954+IF($R$17="Distrato",$I$38-1,0)),IF(AND($L$711=0,$P$708=0),"",$L$711-1),IF($R$17="Distrato",$E954,0)),MIN(AG$38,$D$19),$P$20))-SUM($P954:AF954)</f>
        <v>#VALUE!</v>
      </c>
      <c r="AH954" s="446" t="e">
        <f>IF(OR($B954="",MIN(AH$38,$D$19)&lt;MAX($P$708*($B954+IF($R$17="Distrato",$I$38-1,0)),IF(AND($L$711=0,$P$708=0),"",$L$711-1),IF($R$17="Distrato",$E954,0))),0,YEARFRAC(MAX($P$708*($B954+IF($R$17="Distrato",$I$38-1,0)),IF(AND($L$711=0,$P$708=0),"",$L$711-1),IF($R$17="Distrato",$E954,0)),MIN(AH$38,$D$19),$P$20))-SUM($P954:AG954)</f>
        <v>#VALUE!</v>
      </c>
      <c r="AI954" s="446" t="e">
        <f>IF(OR($B954="",MIN(AI$38,$D$19)&lt;MAX($P$708*($B954+IF($R$17="Distrato",$I$38-1,0)),IF(AND($L$711=0,$P$708=0),"",$L$711-1),IF($R$17="Distrato",$E954,0))),0,YEARFRAC(MAX($P$708*($B954+IF($R$17="Distrato",$I$38-1,0)),IF(AND($L$711=0,$P$708=0),"",$L$711-1),IF($R$17="Distrato",$E954,0)),MIN(AI$38,$D$19),$P$20))-SUM($P954:AH954)</f>
        <v>#VALUE!</v>
      </c>
      <c r="AJ954" s="446" t="e">
        <f>IF(OR($B954="",MIN(AJ$38,$D$19)&lt;MAX($P$708*($B954+IF($R$17="Distrato",$I$38-1,0)),IF(AND($L$711=0,$P$708=0),"",$L$711-1),IF($R$17="Distrato",$E954,0))),0,YEARFRAC(MAX($P$708*($B954+IF($R$17="Distrato",$I$38-1,0)),IF(AND($L$711=0,$P$708=0),"",$L$711-1),IF($R$17="Distrato",$E954,0)),MIN(AJ$38,$D$19),$P$20))-SUM($P954:AI954)</f>
        <v>#VALUE!</v>
      </c>
      <c r="AK954" s="446" t="e">
        <f>IF(OR($B954="",MIN(AK$38,$D$19)&lt;MAX($P$708*($B954+IF($R$17="Distrato",$I$38-1,0)),IF(AND($L$711=0,$P$708=0),"",$L$711-1),IF($R$17="Distrato",$E954,0))),0,YEARFRAC(MAX($P$708*($B954+IF($R$17="Distrato",$I$38-1,0)),IF(AND($L$711=0,$P$708=0),"",$L$711-1),IF($R$17="Distrato",$E954,0)),MIN(AK$38,$D$19),$P$20))-SUM($P954:AJ954)</f>
        <v>#VALUE!</v>
      </c>
      <c r="AL954" s="446" t="e">
        <f>IF(OR($B954="",MIN(AL$38,$D$19)&lt;MAX($P$708*($B954+IF($R$17="Distrato",$I$38-1,0)),IF(AND($L$711=0,$P$708=0),"",$L$711-1),IF($R$17="Distrato",$E954,0))),0,YEARFRAC(MAX($P$708*($B954+IF($R$17="Distrato",$I$38-1,0)),IF(AND($L$711=0,$P$708=0),"",$L$711-1),IF($R$17="Distrato",$E954,0)),MIN(AL$38,$D$19),$P$20))-SUM($P954:AK954)</f>
        <v>#VALUE!</v>
      </c>
      <c r="AM954" s="446" t="e">
        <f>IF(OR($B954="",MIN(AM$38,$D$19)&lt;MAX($P$708*($B954+IF($R$17="Distrato",$I$38-1,0)),IF(AND($L$711=0,$P$708=0),"",$L$711-1),IF($R$17="Distrato",$E954,0))),0,YEARFRAC(MAX($P$708*($B954+IF($R$17="Distrato",$I$38-1,0)),IF(AND($L$711=0,$P$708=0),"",$L$711-1),IF($R$17="Distrato",$E954,0)),MIN(AM$38,$D$19),$P$20))-SUM($P954:AL954)</f>
        <v>#VALUE!</v>
      </c>
      <c r="AN954" s="446" t="e">
        <f>IF(OR($B954="",MIN(AN$38,$D$19)&lt;MAX($P$708*($B954+IF($R$17="Distrato",$I$38-1,0)),IF(AND($L$711=0,$P$708=0),"",$L$711-1),IF($R$17="Distrato",$E954,0))),0,YEARFRAC(MAX($P$708*($B954+IF($R$17="Distrato",$I$38-1,0)),IF(AND($L$711=0,$P$708=0),"",$L$711-1),IF($R$17="Distrato",$E954,0)),MIN(AN$38,$D$19),$P$20))-SUM($P954:AM954)</f>
        <v>#VALUE!</v>
      </c>
      <c r="AO954" s="446" t="e">
        <f>IF(OR($B954="",MIN(AO$38,$D$19)&lt;MAX($P$708*($B954+IF($R$17="Distrato",$I$38-1,0)),IF(AND($L$711=0,$P$708=0),"",$L$711-1),IF($R$17="Distrato",$E954,0))),0,YEARFRAC(MAX($P$708*($B954+IF($R$17="Distrato",$I$38-1,0)),IF(AND($L$711=0,$P$708=0),"",$L$711-1),IF($R$17="Distrato",$E954,0)),MIN(AO$38,$D$19),$P$20))-SUM($P954:AN954)</f>
        <v>#VALUE!</v>
      </c>
      <c r="AP954" s="446" t="e">
        <f>IF(OR($B954="",MIN(AP$38,$D$19)&lt;MAX($P$708*($B954+IF($R$17="Distrato",$I$38-1,0)),IF(AND($L$711=0,$P$708=0),"",$L$711-1),IF($R$17="Distrato",$E954,0))),0,YEARFRAC(MAX($P$708*($B954+IF($R$17="Distrato",$I$38-1,0)),IF(AND($L$711=0,$P$708=0),"",$L$711-1),IF($R$17="Distrato",$E954,0)),MIN(AP$38,$D$19),$P$20))-SUM($P954:AO954)</f>
        <v>#VALUE!</v>
      </c>
      <c r="AQ954" s="446" t="e">
        <f>IF(OR($B954="",MIN(AQ$38,$D$19)&lt;MAX($P$708*($B954+IF($R$17="Distrato",$I$38-1,0)),IF(AND($L$711=0,$P$708=0),"",$L$711-1),IF($R$17="Distrato",$E954,0))),0,YEARFRAC(MAX($P$708*($B954+IF($R$17="Distrato",$I$38-1,0)),IF(AND($L$711=0,$P$708=0),"",$L$711-1),IF($R$17="Distrato",$E954,0)),MIN(AQ$38,$D$19),$P$20))-SUM($P954:AP954)</f>
        <v>#VALUE!</v>
      </c>
      <c r="AR954" s="446" t="e">
        <f>IF(OR($B954="",MIN(AR$38,$D$19)&lt;MAX($P$708*($B954+IF($R$17="Distrato",$I$38-1,0)),IF(AND($L$711=0,$P$708=0),"",$L$711-1),IF($R$17="Distrato",$E954,0))),0,YEARFRAC(MAX($P$708*($B954+IF($R$17="Distrato",$I$38-1,0)),IF(AND($L$711=0,$P$708=0),"",$L$711-1),IF($R$17="Distrato",$E954,0)),MIN(AR$38,$D$19),$P$20))-SUM($P954:AQ954)</f>
        <v>#VALUE!</v>
      </c>
      <c r="AS954" s="446" t="e">
        <f>IF(OR($B954="",MIN(AS$38,$D$19)&lt;MAX($P$708*($B954+IF($R$17="Distrato",$I$38-1,0)),IF(AND($L$711=0,$P$708=0),"",$L$711-1),IF($R$17="Distrato",$E954,0))),0,YEARFRAC(MAX($P$708*($B954+IF($R$17="Distrato",$I$38-1,0)),IF(AND($L$711=0,$P$708=0),"",$L$711-1),IF($R$17="Distrato",$E954,0)),MIN(AS$38,$D$19),$P$20))-SUM($P954:AR954)</f>
        <v>#VALUE!</v>
      </c>
      <c r="AT954" s="446" t="e">
        <f>IF(OR($B954="",MIN(AT$38,$D$19)&lt;MAX($P$708*($B954+IF($R$17="Distrato",$I$38-1,0)),IF(AND($L$711=0,$P$708=0),"",$L$711-1),IF($R$17="Distrato",$E954,0))),0,YEARFRAC(MAX($P$708*($B954+IF($R$17="Distrato",$I$38-1,0)),IF(AND($L$711=0,$P$708=0),"",$L$711-1),IF($R$17="Distrato",$E954,0)),MIN(AT$38,$D$19),$P$20))-SUM($P954:AS954)</f>
        <v>#VALUE!</v>
      </c>
      <c r="AU954" s="446" t="e">
        <f>IF(OR($B954="",MIN(AU$38,$D$19)&lt;MAX($P$708*($B954+IF($R$17="Distrato",$I$38-1,0)),IF(AND($L$711=0,$P$708=0),"",$L$711-1),IF($R$17="Distrato",$E954,0))),0,YEARFRAC(MAX($P$708*($B954+IF($R$17="Distrato",$I$38-1,0)),IF(AND($L$711=0,$P$708=0),"",$L$711-1),IF($R$17="Distrato",$E954,0)),MIN(AU$38,$D$19),$P$20))-SUM($P954:AT954)</f>
        <v>#VALUE!</v>
      </c>
      <c r="AV954" s="446" t="e">
        <f>IF(OR($B954="",MIN(AV$38,$D$19)&lt;MAX($P$708*($B954+IF($R$17="Distrato",$I$38-1,0)),IF(AND($L$711=0,$P$708=0),"",$L$711-1),IF($R$17="Distrato",$E954,0))),0,YEARFRAC(MAX($P$708*($B954+IF($R$17="Distrato",$I$38-1,0)),IF(AND($L$711=0,$P$708=0),"",$L$711-1),IF($R$17="Distrato",$E954,0)),MIN(AV$38,$D$19),$P$20))-SUM($P954:AU954)</f>
        <v>#VALUE!</v>
      </c>
      <c r="AW954" s="446" t="e">
        <f>IF(OR($B954="",MIN(AW$38,$D$19)&lt;MAX($P$708*($B954+IF($R$17="Distrato",$I$38-1,0)),IF(AND($L$711=0,$P$708=0),"",$L$711-1),IF($R$17="Distrato",$E954,0))),0,YEARFRAC(MAX($P$708*($B954+IF($R$17="Distrato",$I$38-1,0)),IF(AND($L$711=0,$P$708=0),"",$L$711-1),IF($R$17="Distrato",$E954,0)),MIN(AW$38,$D$19),$P$20))-SUM($P954:AV954)</f>
        <v>#VALUE!</v>
      </c>
      <c r="AX954" s="446" t="e">
        <f>IF(OR($B954="",MIN(AX$38,$D$19)&lt;MAX($P$708*($B954+IF($R$17="Distrato",$I$38-1,0)),IF(AND($L$711=0,$P$708=0),"",$L$711-1),IF($R$17="Distrato",$E954,0))),0,YEARFRAC(MAX($P$708*($B954+IF($R$17="Distrato",$I$38-1,0)),IF(AND($L$711=0,$P$708=0),"",$L$711-1),IF($R$17="Distrato",$E954,0)),MIN(AX$38,$D$19),$P$20))-SUM($P954:AW954)</f>
        <v>#VALUE!</v>
      </c>
      <c r="AY954" s="446" t="e">
        <f>IF(OR($B954="",MIN(AY$38,$D$19)&lt;MAX($P$708*($B954+IF($R$17="Distrato",$I$38-1,0)),IF(AND($L$711=0,$P$708=0),"",$L$711-1),IF($R$17="Distrato",$E954,0))),0,YEARFRAC(MAX($P$708*($B954+IF($R$17="Distrato",$I$38-1,0)),IF(AND($L$711=0,$P$708=0),"",$L$711-1),IF($R$17="Distrato",$E954,0)),MIN(AY$38,$D$19),$P$20))-SUM($P954:AX954)</f>
        <v>#VALUE!</v>
      </c>
      <c r="AZ954" s="446" t="e">
        <f>IF(OR($B954="",MIN(AZ$38,$D$19)&lt;MAX($P$708*($B954+IF($R$17="Distrato",$I$38-1,0)),IF(AND($L$711=0,$P$708=0),"",$L$711-1),IF($R$17="Distrato",$E954,0))),0,YEARFRAC(MAX($P$708*($B954+IF($R$17="Distrato",$I$38-1,0)),IF(AND($L$711=0,$P$708=0),"",$L$711-1),IF($R$17="Distrato",$E954,0)),MIN(AZ$38,$D$19),$P$20))-SUM($P954:AY954)</f>
        <v>#VALUE!</v>
      </c>
      <c r="BA954" s="446" t="e">
        <f>IF(OR($B954="",MIN(BA$38,$D$19)&lt;MAX($P$708*($B954+IF($R$17="Distrato",$I$38-1,0)),IF(AND($L$711=0,$P$708=0),"",$L$711-1),IF($R$17="Distrato",$E954,0))),0,YEARFRAC(MAX($P$708*($B954+IF($R$17="Distrato",$I$38-1,0)),IF(AND($L$711=0,$P$708=0),"",$L$711-1),IF($R$17="Distrato",$E954,0)),MIN(BA$38,$D$19),$P$20))-SUM($P954:AZ954)</f>
        <v>#VALUE!</v>
      </c>
      <c r="BB954" s="447"/>
    </row>
    <row r="955" spans="1:54" s="446" customFormat="1" ht="11.25" hidden="1" customHeight="1" x14ac:dyDescent="0.2">
      <c r="A955" s="235"/>
      <c r="B955" s="236"/>
      <c r="C955" s="29" t="str">
        <f>IF(B955="","",IF($L$709=$BL$25,VLOOKUP(DATE(YEAR($D$19),MONTH($D$19)-1,1),ÍNDICES!$A:$DE,HLOOKUP($BL$25,ÍNDICES!$B$3:$T$4,2)+11)-VLOOKUP(B955,ÍNDICES!$A:$DE,HLOOKUP($BL$25,ÍNDICES!$B$3:$T$4,2)+11)+1%,IF(C$712=$W$26,$J$35,IF(ISERROR(IF(B955&gt;$D$19,1,VLOOKUP(DATE(YEAR(B955),MONTH(B955)+IF($C$709=$S$23,1,0),1),ÍNDICES!$A:$DE,$Z$709+1))),"",IF(B955&gt;$D$19,1,VLOOKUP(DATE(YEAR(B955),MONTH(B955)+IF($C$709=$S$23,1,0),1),ÍNDICES!$A:$DE,$Z$709+1))))))</f>
        <v/>
      </c>
      <c r="D955" s="155"/>
      <c r="E955" s="88"/>
      <c r="F955" s="88"/>
      <c r="G955" s="88"/>
      <c r="H955" s="118"/>
      <c r="I955" s="182">
        <f t="shared" si="136"/>
        <v>0</v>
      </c>
      <c r="J955" s="20">
        <f t="shared" ca="1" si="137"/>
        <v>0</v>
      </c>
      <c r="K955" s="5">
        <f t="shared" ca="1" si="138"/>
        <v>0</v>
      </c>
      <c r="L955" s="61">
        <f t="shared" ca="1" si="139"/>
        <v>0</v>
      </c>
      <c r="M955" s="64">
        <f t="shared" si="140"/>
        <v>0</v>
      </c>
      <c r="N955" s="151"/>
      <c r="O955" s="5">
        <f t="shared" ca="1" si="141"/>
        <v>0</v>
      </c>
      <c r="P955" s="446" t="e">
        <f t="shared" si="142"/>
        <v>#VALUE!</v>
      </c>
      <c r="Q955" s="446" t="e">
        <f>IF(OR($B955="",MIN(Q$38,$D$19)&lt;MAX($P$708*($B955+IF($R$17="Distrato",$I$38-1,0)),IF(AND($L$711=0,$P$708=0),"",$L$711-1),IF($R$17="Distrato",$E955,0))),0,YEARFRAC(MAX($P$708*($B955+IF($R$17="Distrato",$I$38-1,0)),IF(AND($L$711=0,$P$708=0),"",$L$711-1),IF($R$17="Distrato",$E955,0)),MIN(Q$38,$D$19),$P$20))-SUM($P955:P955)</f>
        <v>#VALUE!</v>
      </c>
      <c r="R955" s="446" t="e">
        <f>IF(OR($B955="",MIN(R$38,$D$19)&lt;MAX($P$708*($B955+IF($R$17="Distrato",$I$38-1,0)),IF(AND($L$711=0,$P$708=0),"",$L$711-1),IF($R$17="Distrato",$E955,0))),0,YEARFRAC(MAX($P$708*($B955+IF($R$17="Distrato",$I$38-1,0)),IF(AND($L$711=0,$P$708=0),"",$L$711-1),IF($R$17="Distrato",$E955,0)),MIN(R$38,$D$19),$P$20))-SUM($P955:Q955)</f>
        <v>#VALUE!</v>
      </c>
      <c r="S955" s="446" t="e">
        <f>IF(OR($B955="",MIN(S$38,$D$19)&lt;MAX($P$708*($B955+IF($R$17="Distrato",$I$38-1,0)),IF(AND($L$711=0,$P$708=0),"",$L$711-1),IF($R$17="Distrato",$E955,0))),0,YEARFRAC(MAX($P$708*($B955+IF($R$17="Distrato",$I$38-1,0)),IF(AND($L$711=0,$P$708=0),"",$L$711-1),IF($R$17="Distrato",$E955,0)),MIN(S$38,$D$19),$P$20))-SUM($P955:R955)</f>
        <v>#VALUE!</v>
      </c>
      <c r="T955" s="446" t="e">
        <f>IF(OR($B955="",MIN(T$38,$D$19)&lt;MAX($P$708*($B955+IF($R$17="Distrato",$I$38-1,0)),IF(AND($L$711=0,$P$708=0),"",$L$711-1),IF($R$17="Distrato",$E955,0))),0,YEARFRAC(MAX($P$708*($B955+IF($R$17="Distrato",$I$38-1,0)),IF(AND($L$711=0,$P$708=0),"",$L$711-1),IF($R$17="Distrato",$E955,0)),MIN(T$38,$D$19),$P$20))-SUM($P955:S955)</f>
        <v>#VALUE!</v>
      </c>
      <c r="U955" s="446" t="e">
        <f>IF(OR($B955="",MIN(U$38,$D$19)&lt;MAX($P$708*($B955+IF($R$17="Distrato",$I$38-1,0)),IF(AND($L$711=0,$P$708=0),"",$L$711-1),IF($R$17="Distrato",$E955,0))),0,YEARFRAC(MAX($P$708*($B955+IF($R$17="Distrato",$I$38-1,0)),IF(AND($L$711=0,$P$708=0),"",$L$711-1),IF($R$17="Distrato",$E955,0)),MIN(U$38,$D$19),$P$20))-SUM($P955:T955)</f>
        <v>#VALUE!</v>
      </c>
      <c r="V955" s="446" t="e">
        <f>IF(OR($B955="",MIN(V$38,$D$19)&lt;MAX($P$708*($B955+IF($R$17="Distrato",$I$38-1,0)),IF(AND($L$711=0,$P$708=0),"",$L$711-1),IF($R$17="Distrato",$E955,0))),0,YEARFRAC(MAX($P$708*($B955+IF($R$17="Distrato",$I$38-1,0)),IF(AND($L$711=0,$P$708=0),"",$L$711-1),IF($R$17="Distrato",$E955,0)),MIN(V$38,$D$19),$P$20))-SUM($P955:U955)</f>
        <v>#VALUE!</v>
      </c>
      <c r="W955" s="446" t="e">
        <f>IF(OR($B955="",MIN(W$38,$D$19)&lt;MAX($P$708*($B955+IF($R$17="Distrato",$I$38-1,0)),IF(AND($L$711=0,$P$708=0),"",$L$711-1),IF($R$17="Distrato",$E955,0))),0,YEARFRAC(MAX($P$708*($B955+IF($R$17="Distrato",$I$38-1,0)),IF(AND($L$711=0,$P$708=0),"",$L$711-1),IF($R$17="Distrato",$E955,0)),MIN(W$38,$D$19),$P$20))-SUM($P955:V955)</f>
        <v>#VALUE!</v>
      </c>
      <c r="X955" s="446" t="e">
        <f>IF(OR($B955="",MIN(X$38,$D$19)&lt;MAX($P$708*($B955+IF($R$17="Distrato",$I$38-1,0)),IF(AND($L$711=0,$P$708=0),"",$L$711-1),IF($R$17="Distrato",$E955,0))),0,YEARFRAC(MAX($P$708*($B955+IF($R$17="Distrato",$I$38-1,0)),IF(AND($L$711=0,$P$708=0),"",$L$711-1),IF($R$17="Distrato",$E955,0)),MIN(X$38,$D$19),$P$20))-SUM($P955:W955)</f>
        <v>#VALUE!</v>
      </c>
      <c r="Y955" s="446" t="e">
        <f>IF(OR($B955="",MIN(Y$38,$D$19)&lt;MAX($P$708*($B955+IF($R$17="Distrato",$I$38-1,0)),IF(AND($L$711=0,$P$708=0),"",$L$711-1),IF($R$17="Distrato",$E955,0))),0,YEARFRAC(MAX($P$708*($B955+IF($R$17="Distrato",$I$38-1,0)),IF(AND($L$711=0,$P$708=0),"",$L$711-1),IF($R$17="Distrato",$E955,0)),MIN(Y$38,$D$19),$P$20))-SUM($P955:X955)</f>
        <v>#VALUE!</v>
      </c>
      <c r="Z955" s="446" t="e">
        <f>IF(OR($B955="",MIN(Z$38,$D$19)&lt;MAX($P$708*($B955+IF($R$17="Distrato",$I$38-1,0)),IF(AND($L$711=0,$P$708=0),"",$L$711-1),IF($R$17="Distrato",$E955,0))),0,YEARFRAC(MAX($P$708*($B955+IF($R$17="Distrato",$I$38-1,0)),IF(AND($L$711=0,$P$708=0),"",$L$711-1),IF($R$17="Distrato",$E955,0)),MIN(Z$38,$D$19),$P$20))-SUM($P955:Y955)</f>
        <v>#VALUE!</v>
      </c>
      <c r="AA955" s="446" t="e">
        <f>IF(OR($B955="",MIN(AA$38,$D$19)&lt;MAX($P$708*($B955+IF($R$17="Distrato",$I$38-1,0)),IF(AND($L$711=0,$P$708=0),"",$L$711-1),IF($R$17="Distrato",$E955,0))),0,YEARFRAC(MAX($P$708*($B955+IF($R$17="Distrato",$I$38-1,0)),IF(AND($L$711=0,$P$708=0),"",$L$711-1),IF($R$17="Distrato",$E955,0)),MIN(AA$38,$D$19),$P$20))-SUM($P955:Z955)</f>
        <v>#VALUE!</v>
      </c>
      <c r="AB955" s="446" t="e">
        <f>IF(OR($B955="",MIN(AB$38,$D$19)&lt;MAX($P$708*($B955+IF($R$17="Distrato",$I$38-1,0)),IF(AND($L$711=0,$P$708=0),"",$L$711-1),IF($R$17="Distrato",$E955,0))),0,YEARFRAC(MAX($P$708*($B955+IF($R$17="Distrato",$I$38-1,0)),IF(AND($L$711=0,$P$708=0),"",$L$711-1),IF($R$17="Distrato",$E955,0)),MIN(AB$38,$D$19),$P$20))-SUM($P955:AA955)</f>
        <v>#VALUE!</v>
      </c>
      <c r="AC955" s="446" t="e">
        <f>IF(OR($B955="",MIN(AC$38,$D$19)&lt;MAX($P$708*($B955+IF($R$17="Distrato",$I$38-1,0)),IF(AND($L$711=0,$P$708=0),"",$L$711-1),IF($R$17="Distrato",$E955,0))),0,YEARFRAC(MAX($P$708*($B955+IF($R$17="Distrato",$I$38-1,0)),IF(AND($L$711=0,$P$708=0),"",$L$711-1),IF($R$17="Distrato",$E955,0)),MIN(AC$38,$D$19),$P$20))-SUM($P955:AB955)</f>
        <v>#VALUE!</v>
      </c>
      <c r="AD955" s="446" t="e">
        <f>IF(OR($B955="",MIN(AD$38,$D$19)&lt;MAX($P$708*($B955+IF($R$17="Distrato",$I$38-1,0)),IF(AND($L$711=0,$P$708=0),"",$L$711-1),IF($R$17="Distrato",$E955,0))),0,YEARFRAC(MAX($P$708*($B955+IF($R$17="Distrato",$I$38-1,0)),IF(AND($L$711=0,$P$708=0),"",$L$711-1),IF($R$17="Distrato",$E955,0)),MIN(AD$38,$D$19),$P$20))-SUM($P955:AC955)</f>
        <v>#VALUE!</v>
      </c>
      <c r="AE955" s="446" t="e">
        <f>IF(OR($B955="",MIN(AE$38,$D$19)&lt;MAX($P$708*($B955+IF($R$17="Distrato",$I$38-1,0)),IF(AND($L$711=0,$P$708=0),"",$L$711-1),IF($R$17="Distrato",$E955,0))),0,YEARFRAC(MAX($P$708*($B955+IF($R$17="Distrato",$I$38-1,0)),IF(AND($L$711=0,$P$708=0),"",$L$711-1),IF($R$17="Distrato",$E955,0)),MIN(AE$38,$D$19),$P$20))-SUM($P955:AD955)</f>
        <v>#VALUE!</v>
      </c>
      <c r="AF955" s="446" t="e">
        <f>IF(OR($B955="",MIN(AF$38,$D$19)&lt;MAX($P$708*($B955+IF($R$17="Distrato",$I$38-1,0)),IF(AND($L$711=0,$P$708=0),"",$L$711-1),IF($R$17="Distrato",$E955,0))),0,YEARFRAC(MAX($P$708*($B955+IF($R$17="Distrato",$I$38-1,0)),IF(AND($L$711=0,$P$708=0),"",$L$711-1),IF($R$17="Distrato",$E955,0)),MIN(AF$38,$D$19),$P$20))-SUM($P955:AE955)</f>
        <v>#VALUE!</v>
      </c>
      <c r="AG955" s="446" t="e">
        <f>IF(OR($B955="",MIN(AG$38,$D$19)&lt;MAX($P$708*($B955+IF($R$17="Distrato",$I$38-1,0)),IF(AND($L$711=0,$P$708=0),"",$L$711-1),IF($R$17="Distrato",$E955,0))),0,YEARFRAC(MAX($P$708*($B955+IF($R$17="Distrato",$I$38-1,0)),IF(AND($L$711=0,$P$708=0),"",$L$711-1),IF($R$17="Distrato",$E955,0)),MIN(AG$38,$D$19),$P$20))-SUM($P955:AF955)</f>
        <v>#VALUE!</v>
      </c>
      <c r="AH955" s="446" t="e">
        <f>IF(OR($B955="",MIN(AH$38,$D$19)&lt;MAX($P$708*($B955+IF($R$17="Distrato",$I$38-1,0)),IF(AND($L$711=0,$P$708=0),"",$L$711-1),IF($R$17="Distrato",$E955,0))),0,YEARFRAC(MAX($P$708*($B955+IF($R$17="Distrato",$I$38-1,0)),IF(AND($L$711=0,$P$708=0),"",$L$711-1),IF($R$17="Distrato",$E955,0)),MIN(AH$38,$D$19),$P$20))-SUM($P955:AG955)</f>
        <v>#VALUE!</v>
      </c>
      <c r="AI955" s="446" t="e">
        <f>IF(OR($B955="",MIN(AI$38,$D$19)&lt;MAX($P$708*($B955+IF($R$17="Distrato",$I$38-1,0)),IF(AND($L$711=0,$P$708=0),"",$L$711-1),IF($R$17="Distrato",$E955,0))),0,YEARFRAC(MAX($P$708*($B955+IF($R$17="Distrato",$I$38-1,0)),IF(AND($L$711=0,$P$708=0),"",$L$711-1),IF($R$17="Distrato",$E955,0)),MIN(AI$38,$D$19),$P$20))-SUM($P955:AH955)</f>
        <v>#VALUE!</v>
      </c>
      <c r="AJ955" s="446" t="e">
        <f>IF(OR($B955="",MIN(AJ$38,$D$19)&lt;MAX($P$708*($B955+IF($R$17="Distrato",$I$38-1,0)),IF(AND($L$711=0,$P$708=0),"",$L$711-1),IF($R$17="Distrato",$E955,0))),0,YEARFRAC(MAX($P$708*($B955+IF($R$17="Distrato",$I$38-1,0)),IF(AND($L$711=0,$P$708=0),"",$L$711-1),IF($R$17="Distrato",$E955,0)),MIN(AJ$38,$D$19),$P$20))-SUM($P955:AI955)</f>
        <v>#VALUE!</v>
      </c>
      <c r="AK955" s="446" t="e">
        <f>IF(OR($B955="",MIN(AK$38,$D$19)&lt;MAX($P$708*($B955+IF($R$17="Distrato",$I$38-1,0)),IF(AND($L$711=0,$P$708=0),"",$L$711-1),IF($R$17="Distrato",$E955,0))),0,YEARFRAC(MAX($P$708*($B955+IF($R$17="Distrato",$I$38-1,0)),IF(AND($L$711=0,$P$708=0),"",$L$711-1),IF($R$17="Distrato",$E955,0)),MIN(AK$38,$D$19),$P$20))-SUM($P955:AJ955)</f>
        <v>#VALUE!</v>
      </c>
      <c r="AL955" s="446" t="e">
        <f>IF(OR($B955="",MIN(AL$38,$D$19)&lt;MAX($P$708*($B955+IF($R$17="Distrato",$I$38-1,0)),IF(AND($L$711=0,$P$708=0),"",$L$711-1),IF($R$17="Distrato",$E955,0))),0,YEARFRAC(MAX($P$708*($B955+IF($R$17="Distrato",$I$38-1,0)),IF(AND($L$711=0,$P$708=0),"",$L$711-1),IF($R$17="Distrato",$E955,0)),MIN(AL$38,$D$19),$P$20))-SUM($P955:AK955)</f>
        <v>#VALUE!</v>
      </c>
      <c r="AM955" s="446" t="e">
        <f>IF(OR($B955="",MIN(AM$38,$D$19)&lt;MAX($P$708*($B955+IF($R$17="Distrato",$I$38-1,0)),IF(AND($L$711=0,$P$708=0),"",$L$711-1),IF($R$17="Distrato",$E955,0))),0,YEARFRAC(MAX($P$708*($B955+IF($R$17="Distrato",$I$38-1,0)),IF(AND($L$711=0,$P$708=0),"",$L$711-1),IF($R$17="Distrato",$E955,0)),MIN(AM$38,$D$19),$P$20))-SUM($P955:AL955)</f>
        <v>#VALUE!</v>
      </c>
      <c r="AN955" s="446" t="e">
        <f>IF(OR($B955="",MIN(AN$38,$D$19)&lt;MAX($P$708*($B955+IF($R$17="Distrato",$I$38-1,0)),IF(AND($L$711=0,$P$708=0),"",$L$711-1),IF($R$17="Distrato",$E955,0))),0,YEARFRAC(MAX($P$708*($B955+IF($R$17="Distrato",$I$38-1,0)),IF(AND($L$711=0,$P$708=0),"",$L$711-1),IF($R$17="Distrato",$E955,0)),MIN(AN$38,$D$19),$P$20))-SUM($P955:AM955)</f>
        <v>#VALUE!</v>
      </c>
      <c r="AO955" s="446" t="e">
        <f>IF(OR($B955="",MIN(AO$38,$D$19)&lt;MAX($P$708*($B955+IF($R$17="Distrato",$I$38-1,0)),IF(AND($L$711=0,$P$708=0),"",$L$711-1),IF($R$17="Distrato",$E955,0))),0,YEARFRAC(MAX($P$708*($B955+IF($R$17="Distrato",$I$38-1,0)),IF(AND($L$711=0,$P$708=0),"",$L$711-1),IF($R$17="Distrato",$E955,0)),MIN(AO$38,$D$19),$P$20))-SUM($P955:AN955)</f>
        <v>#VALUE!</v>
      </c>
      <c r="AP955" s="446" t="e">
        <f>IF(OR($B955="",MIN(AP$38,$D$19)&lt;MAX($P$708*($B955+IF($R$17="Distrato",$I$38-1,0)),IF(AND($L$711=0,$P$708=0),"",$L$711-1),IF($R$17="Distrato",$E955,0))),0,YEARFRAC(MAX($P$708*($B955+IF($R$17="Distrato",$I$38-1,0)),IF(AND($L$711=0,$P$708=0),"",$L$711-1),IF($R$17="Distrato",$E955,0)),MIN(AP$38,$D$19),$P$20))-SUM($P955:AO955)</f>
        <v>#VALUE!</v>
      </c>
      <c r="AQ955" s="446" t="e">
        <f>IF(OR($B955="",MIN(AQ$38,$D$19)&lt;MAX($P$708*($B955+IF($R$17="Distrato",$I$38-1,0)),IF(AND($L$711=0,$P$708=0),"",$L$711-1),IF($R$17="Distrato",$E955,0))),0,YEARFRAC(MAX($P$708*($B955+IF($R$17="Distrato",$I$38-1,0)),IF(AND($L$711=0,$P$708=0),"",$L$711-1),IF($R$17="Distrato",$E955,0)),MIN(AQ$38,$D$19),$P$20))-SUM($P955:AP955)</f>
        <v>#VALUE!</v>
      </c>
      <c r="AR955" s="446" t="e">
        <f>IF(OR($B955="",MIN(AR$38,$D$19)&lt;MAX($P$708*($B955+IF($R$17="Distrato",$I$38-1,0)),IF(AND($L$711=0,$P$708=0),"",$L$711-1),IF($R$17="Distrato",$E955,0))),0,YEARFRAC(MAX($P$708*($B955+IF($R$17="Distrato",$I$38-1,0)),IF(AND($L$711=0,$P$708=0),"",$L$711-1),IF($R$17="Distrato",$E955,0)),MIN(AR$38,$D$19),$P$20))-SUM($P955:AQ955)</f>
        <v>#VALUE!</v>
      </c>
      <c r="AS955" s="446" t="e">
        <f>IF(OR($B955="",MIN(AS$38,$D$19)&lt;MAX($P$708*($B955+IF($R$17="Distrato",$I$38-1,0)),IF(AND($L$711=0,$P$708=0),"",$L$711-1),IF($R$17="Distrato",$E955,0))),0,YEARFRAC(MAX($P$708*($B955+IF($R$17="Distrato",$I$38-1,0)),IF(AND($L$711=0,$P$708=0),"",$L$711-1),IF($R$17="Distrato",$E955,0)),MIN(AS$38,$D$19),$P$20))-SUM($P955:AR955)</f>
        <v>#VALUE!</v>
      </c>
      <c r="AT955" s="446" t="e">
        <f>IF(OR($B955="",MIN(AT$38,$D$19)&lt;MAX($P$708*($B955+IF($R$17="Distrato",$I$38-1,0)),IF(AND($L$711=0,$P$708=0),"",$L$711-1),IF($R$17="Distrato",$E955,0))),0,YEARFRAC(MAX($P$708*($B955+IF($R$17="Distrato",$I$38-1,0)),IF(AND($L$711=0,$P$708=0),"",$L$711-1),IF($R$17="Distrato",$E955,0)),MIN(AT$38,$D$19),$P$20))-SUM($P955:AS955)</f>
        <v>#VALUE!</v>
      </c>
      <c r="AU955" s="446" t="e">
        <f>IF(OR($B955="",MIN(AU$38,$D$19)&lt;MAX($P$708*($B955+IF($R$17="Distrato",$I$38-1,0)),IF(AND($L$711=0,$P$708=0),"",$L$711-1),IF($R$17="Distrato",$E955,0))),0,YEARFRAC(MAX($P$708*($B955+IF($R$17="Distrato",$I$38-1,0)),IF(AND($L$711=0,$P$708=0),"",$L$711-1),IF($R$17="Distrato",$E955,0)),MIN(AU$38,$D$19),$P$20))-SUM($P955:AT955)</f>
        <v>#VALUE!</v>
      </c>
      <c r="AV955" s="446" t="e">
        <f>IF(OR($B955="",MIN(AV$38,$D$19)&lt;MAX($P$708*($B955+IF($R$17="Distrato",$I$38-1,0)),IF(AND($L$711=0,$P$708=0),"",$L$711-1),IF($R$17="Distrato",$E955,0))),0,YEARFRAC(MAX($P$708*($B955+IF($R$17="Distrato",$I$38-1,0)),IF(AND($L$711=0,$P$708=0),"",$L$711-1),IF($R$17="Distrato",$E955,0)),MIN(AV$38,$D$19),$P$20))-SUM($P955:AU955)</f>
        <v>#VALUE!</v>
      </c>
      <c r="AW955" s="446" t="e">
        <f>IF(OR($B955="",MIN(AW$38,$D$19)&lt;MAX($P$708*($B955+IF($R$17="Distrato",$I$38-1,0)),IF(AND($L$711=0,$P$708=0),"",$L$711-1),IF($R$17="Distrato",$E955,0))),0,YEARFRAC(MAX($P$708*($B955+IF($R$17="Distrato",$I$38-1,0)),IF(AND($L$711=0,$P$708=0),"",$L$711-1),IF($R$17="Distrato",$E955,0)),MIN(AW$38,$D$19),$P$20))-SUM($P955:AV955)</f>
        <v>#VALUE!</v>
      </c>
      <c r="AX955" s="446" t="e">
        <f>IF(OR($B955="",MIN(AX$38,$D$19)&lt;MAX($P$708*($B955+IF($R$17="Distrato",$I$38-1,0)),IF(AND($L$711=0,$P$708=0),"",$L$711-1),IF($R$17="Distrato",$E955,0))),0,YEARFRAC(MAX($P$708*($B955+IF($R$17="Distrato",$I$38-1,0)),IF(AND($L$711=0,$P$708=0),"",$L$711-1),IF($R$17="Distrato",$E955,0)),MIN(AX$38,$D$19),$P$20))-SUM($P955:AW955)</f>
        <v>#VALUE!</v>
      </c>
      <c r="AY955" s="446" t="e">
        <f>IF(OR($B955="",MIN(AY$38,$D$19)&lt;MAX($P$708*($B955+IF($R$17="Distrato",$I$38-1,0)),IF(AND($L$711=0,$P$708=0),"",$L$711-1),IF($R$17="Distrato",$E955,0))),0,YEARFRAC(MAX($P$708*($B955+IF($R$17="Distrato",$I$38-1,0)),IF(AND($L$711=0,$P$708=0),"",$L$711-1),IF($R$17="Distrato",$E955,0)),MIN(AY$38,$D$19),$P$20))-SUM($P955:AX955)</f>
        <v>#VALUE!</v>
      </c>
      <c r="AZ955" s="446" t="e">
        <f>IF(OR($B955="",MIN(AZ$38,$D$19)&lt;MAX($P$708*($B955+IF($R$17="Distrato",$I$38-1,0)),IF(AND($L$711=0,$P$708=0),"",$L$711-1),IF($R$17="Distrato",$E955,0))),0,YEARFRAC(MAX($P$708*($B955+IF($R$17="Distrato",$I$38-1,0)),IF(AND($L$711=0,$P$708=0),"",$L$711-1),IF($R$17="Distrato",$E955,0)),MIN(AZ$38,$D$19),$P$20))-SUM($P955:AY955)</f>
        <v>#VALUE!</v>
      </c>
      <c r="BA955" s="446" t="e">
        <f>IF(OR($B955="",MIN(BA$38,$D$19)&lt;MAX($P$708*($B955+IF($R$17="Distrato",$I$38-1,0)),IF(AND($L$711=0,$P$708=0),"",$L$711-1),IF($R$17="Distrato",$E955,0))),0,YEARFRAC(MAX($P$708*($B955+IF($R$17="Distrato",$I$38-1,0)),IF(AND($L$711=0,$P$708=0),"",$L$711-1),IF($R$17="Distrato",$E955,0)),MIN(BA$38,$D$19),$P$20))-SUM($P955:AZ955)</f>
        <v>#VALUE!</v>
      </c>
      <c r="BB955" s="447"/>
    </row>
    <row r="956" spans="1:54" s="446" customFormat="1" ht="11.25" hidden="1" customHeight="1" x14ac:dyDescent="0.2">
      <c r="A956" s="235"/>
      <c r="B956" s="236"/>
      <c r="C956" s="29" t="str">
        <f>IF(B956="","",IF($L$709=$BL$25,VLOOKUP(DATE(YEAR($D$19),MONTH($D$19)-1,1),ÍNDICES!$A:$DE,HLOOKUP($BL$25,ÍNDICES!$B$3:$T$4,2)+11)-VLOOKUP(B956,ÍNDICES!$A:$DE,HLOOKUP($BL$25,ÍNDICES!$B$3:$T$4,2)+11)+1%,IF(C$712=$W$26,$J$35,IF(ISERROR(IF(B956&gt;$D$19,1,VLOOKUP(DATE(YEAR(B956),MONTH(B956)+IF($C$709=$S$23,1,0),1),ÍNDICES!$A:$DE,$Z$709+1))),"",IF(B956&gt;$D$19,1,VLOOKUP(DATE(YEAR(B956),MONTH(B956)+IF($C$709=$S$23,1,0),1),ÍNDICES!$A:$DE,$Z$709+1))))))</f>
        <v/>
      </c>
      <c r="D956" s="155"/>
      <c r="E956" s="88"/>
      <c r="F956" s="88"/>
      <c r="G956" s="88"/>
      <c r="H956" s="118"/>
      <c r="I956" s="182">
        <f t="shared" si="136"/>
        <v>0</v>
      </c>
      <c r="J956" s="20">
        <f t="shared" ca="1" si="137"/>
        <v>0</v>
      </c>
      <c r="K956" s="5">
        <f t="shared" ca="1" si="138"/>
        <v>0</v>
      </c>
      <c r="L956" s="61">
        <f t="shared" ca="1" si="139"/>
        <v>0</v>
      </c>
      <c r="M956" s="64">
        <f t="shared" si="140"/>
        <v>0</v>
      </c>
      <c r="N956" s="151"/>
      <c r="O956" s="5">
        <f t="shared" ca="1" si="141"/>
        <v>0</v>
      </c>
      <c r="P956" s="446" t="e">
        <f t="shared" si="142"/>
        <v>#VALUE!</v>
      </c>
      <c r="Q956" s="446" t="e">
        <f>IF(OR($B956="",MIN(Q$38,$D$19)&lt;MAX($P$708*($B956+IF($R$17="Distrato",$I$38-1,0)),IF(AND($L$711=0,$P$708=0),"",$L$711-1),IF($R$17="Distrato",$E956,0))),0,YEARFRAC(MAX($P$708*($B956+IF($R$17="Distrato",$I$38-1,0)),IF(AND($L$711=0,$P$708=0),"",$L$711-1),IF($R$17="Distrato",$E956,0)),MIN(Q$38,$D$19),$P$20))-SUM($P956:P956)</f>
        <v>#VALUE!</v>
      </c>
      <c r="R956" s="446" t="e">
        <f>IF(OR($B956="",MIN(R$38,$D$19)&lt;MAX($P$708*($B956+IF($R$17="Distrato",$I$38-1,0)),IF(AND($L$711=0,$P$708=0),"",$L$711-1),IF($R$17="Distrato",$E956,0))),0,YEARFRAC(MAX($P$708*($B956+IF($R$17="Distrato",$I$38-1,0)),IF(AND($L$711=0,$P$708=0),"",$L$711-1),IF($R$17="Distrato",$E956,0)),MIN(R$38,$D$19),$P$20))-SUM($P956:Q956)</f>
        <v>#VALUE!</v>
      </c>
      <c r="S956" s="446" t="e">
        <f>IF(OR($B956="",MIN(S$38,$D$19)&lt;MAX($P$708*($B956+IF($R$17="Distrato",$I$38-1,0)),IF(AND($L$711=0,$P$708=0),"",$L$711-1),IF($R$17="Distrato",$E956,0))),0,YEARFRAC(MAX($P$708*($B956+IF($R$17="Distrato",$I$38-1,0)),IF(AND($L$711=0,$P$708=0),"",$L$711-1),IF($R$17="Distrato",$E956,0)),MIN(S$38,$D$19),$P$20))-SUM($P956:R956)</f>
        <v>#VALUE!</v>
      </c>
      <c r="T956" s="446" t="e">
        <f>IF(OR($B956="",MIN(T$38,$D$19)&lt;MAX($P$708*($B956+IF($R$17="Distrato",$I$38-1,0)),IF(AND($L$711=0,$P$708=0),"",$L$711-1),IF($R$17="Distrato",$E956,0))),0,YEARFRAC(MAX($P$708*($B956+IF($R$17="Distrato",$I$38-1,0)),IF(AND($L$711=0,$P$708=0),"",$L$711-1),IF($R$17="Distrato",$E956,0)),MIN(T$38,$D$19),$P$20))-SUM($P956:S956)</f>
        <v>#VALUE!</v>
      </c>
      <c r="U956" s="446" t="e">
        <f>IF(OR($B956="",MIN(U$38,$D$19)&lt;MAX($P$708*($B956+IF($R$17="Distrato",$I$38-1,0)),IF(AND($L$711=0,$P$708=0),"",$L$711-1),IF($R$17="Distrato",$E956,0))),0,YEARFRAC(MAX($P$708*($B956+IF($R$17="Distrato",$I$38-1,0)),IF(AND($L$711=0,$P$708=0),"",$L$711-1),IF($R$17="Distrato",$E956,0)),MIN(U$38,$D$19),$P$20))-SUM($P956:T956)</f>
        <v>#VALUE!</v>
      </c>
      <c r="V956" s="446" t="e">
        <f>IF(OR($B956="",MIN(V$38,$D$19)&lt;MAX($P$708*($B956+IF($R$17="Distrato",$I$38-1,0)),IF(AND($L$711=0,$P$708=0),"",$L$711-1),IF($R$17="Distrato",$E956,0))),0,YEARFRAC(MAX($P$708*($B956+IF($R$17="Distrato",$I$38-1,0)),IF(AND($L$711=0,$P$708=0),"",$L$711-1),IF($R$17="Distrato",$E956,0)),MIN(V$38,$D$19),$P$20))-SUM($P956:U956)</f>
        <v>#VALUE!</v>
      </c>
      <c r="W956" s="446" t="e">
        <f>IF(OR($B956="",MIN(W$38,$D$19)&lt;MAX($P$708*($B956+IF($R$17="Distrato",$I$38-1,0)),IF(AND($L$711=0,$P$708=0),"",$L$711-1),IF($R$17="Distrato",$E956,0))),0,YEARFRAC(MAX($P$708*($B956+IF($R$17="Distrato",$I$38-1,0)),IF(AND($L$711=0,$P$708=0),"",$L$711-1),IF($R$17="Distrato",$E956,0)),MIN(W$38,$D$19),$P$20))-SUM($P956:V956)</f>
        <v>#VALUE!</v>
      </c>
      <c r="X956" s="446" t="e">
        <f>IF(OR($B956="",MIN(X$38,$D$19)&lt;MAX($P$708*($B956+IF($R$17="Distrato",$I$38-1,0)),IF(AND($L$711=0,$P$708=0),"",$L$711-1),IF($R$17="Distrato",$E956,0))),0,YEARFRAC(MAX($P$708*($B956+IF($R$17="Distrato",$I$38-1,0)),IF(AND($L$711=0,$P$708=0),"",$L$711-1),IF($R$17="Distrato",$E956,0)),MIN(X$38,$D$19),$P$20))-SUM($P956:W956)</f>
        <v>#VALUE!</v>
      </c>
      <c r="Y956" s="446" t="e">
        <f>IF(OR($B956="",MIN(Y$38,$D$19)&lt;MAX($P$708*($B956+IF($R$17="Distrato",$I$38-1,0)),IF(AND($L$711=0,$P$708=0),"",$L$711-1),IF($R$17="Distrato",$E956,0))),0,YEARFRAC(MAX($P$708*($B956+IF($R$17="Distrato",$I$38-1,0)),IF(AND($L$711=0,$P$708=0),"",$L$711-1),IF($R$17="Distrato",$E956,0)),MIN(Y$38,$D$19),$P$20))-SUM($P956:X956)</f>
        <v>#VALUE!</v>
      </c>
      <c r="Z956" s="446" t="e">
        <f>IF(OR($B956="",MIN(Z$38,$D$19)&lt;MAX($P$708*($B956+IF($R$17="Distrato",$I$38-1,0)),IF(AND($L$711=0,$P$708=0),"",$L$711-1),IF($R$17="Distrato",$E956,0))),0,YEARFRAC(MAX($P$708*($B956+IF($R$17="Distrato",$I$38-1,0)),IF(AND($L$711=0,$P$708=0),"",$L$711-1),IF($R$17="Distrato",$E956,0)),MIN(Z$38,$D$19),$P$20))-SUM($P956:Y956)</f>
        <v>#VALUE!</v>
      </c>
      <c r="AA956" s="446" t="e">
        <f>IF(OR($B956="",MIN(AA$38,$D$19)&lt;MAX($P$708*($B956+IF($R$17="Distrato",$I$38-1,0)),IF(AND($L$711=0,$P$708=0),"",$L$711-1),IF($R$17="Distrato",$E956,0))),0,YEARFRAC(MAX($P$708*($B956+IF($R$17="Distrato",$I$38-1,0)),IF(AND($L$711=0,$P$708=0),"",$L$711-1),IF($R$17="Distrato",$E956,0)),MIN(AA$38,$D$19),$P$20))-SUM($P956:Z956)</f>
        <v>#VALUE!</v>
      </c>
      <c r="AB956" s="446" t="e">
        <f>IF(OR($B956="",MIN(AB$38,$D$19)&lt;MAX($P$708*($B956+IF($R$17="Distrato",$I$38-1,0)),IF(AND($L$711=0,$P$708=0),"",$L$711-1),IF($R$17="Distrato",$E956,0))),0,YEARFRAC(MAX($P$708*($B956+IF($R$17="Distrato",$I$38-1,0)),IF(AND($L$711=0,$P$708=0),"",$L$711-1),IF($R$17="Distrato",$E956,0)),MIN(AB$38,$D$19),$P$20))-SUM($P956:AA956)</f>
        <v>#VALUE!</v>
      </c>
      <c r="AC956" s="446" t="e">
        <f>IF(OR($B956="",MIN(AC$38,$D$19)&lt;MAX($P$708*($B956+IF($R$17="Distrato",$I$38-1,0)),IF(AND($L$711=0,$P$708=0),"",$L$711-1),IF($R$17="Distrato",$E956,0))),0,YEARFRAC(MAX($P$708*($B956+IF($R$17="Distrato",$I$38-1,0)),IF(AND($L$711=0,$P$708=0),"",$L$711-1),IF($R$17="Distrato",$E956,0)),MIN(AC$38,$D$19),$P$20))-SUM($P956:AB956)</f>
        <v>#VALUE!</v>
      </c>
      <c r="AD956" s="446" t="e">
        <f>IF(OR($B956="",MIN(AD$38,$D$19)&lt;MAX($P$708*($B956+IF($R$17="Distrato",$I$38-1,0)),IF(AND($L$711=0,$P$708=0),"",$L$711-1),IF($R$17="Distrato",$E956,0))),0,YEARFRAC(MAX($P$708*($B956+IF($R$17="Distrato",$I$38-1,0)),IF(AND($L$711=0,$P$708=0),"",$L$711-1),IF($R$17="Distrato",$E956,0)),MIN(AD$38,$D$19),$P$20))-SUM($P956:AC956)</f>
        <v>#VALUE!</v>
      </c>
      <c r="AE956" s="446" t="e">
        <f>IF(OR($B956="",MIN(AE$38,$D$19)&lt;MAX($P$708*($B956+IF($R$17="Distrato",$I$38-1,0)),IF(AND($L$711=0,$P$708=0),"",$L$711-1),IF($R$17="Distrato",$E956,0))),0,YEARFRAC(MAX($P$708*($B956+IF($R$17="Distrato",$I$38-1,0)),IF(AND($L$711=0,$P$708=0),"",$L$711-1),IF($R$17="Distrato",$E956,0)),MIN(AE$38,$D$19),$P$20))-SUM($P956:AD956)</f>
        <v>#VALUE!</v>
      </c>
      <c r="AF956" s="446" t="e">
        <f>IF(OR($B956="",MIN(AF$38,$D$19)&lt;MAX($P$708*($B956+IF($R$17="Distrato",$I$38-1,0)),IF(AND($L$711=0,$P$708=0),"",$L$711-1),IF($R$17="Distrato",$E956,0))),0,YEARFRAC(MAX($P$708*($B956+IF($R$17="Distrato",$I$38-1,0)),IF(AND($L$711=0,$P$708=0),"",$L$711-1),IF($R$17="Distrato",$E956,0)),MIN(AF$38,$D$19),$P$20))-SUM($P956:AE956)</f>
        <v>#VALUE!</v>
      </c>
      <c r="AG956" s="446" t="e">
        <f>IF(OR($B956="",MIN(AG$38,$D$19)&lt;MAX($P$708*($B956+IF($R$17="Distrato",$I$38-1,0)),IF(AND($L$711=0,$P$708=0),"",$L$711-1),IF($R$17="Distrato",$E956,0))),0,YEARFRAC(MAX($P$708*($B956+IF($R$17="Distrato",$I$38-1,0)),IF(AND($L$711=0,$P$708=0),"",$L$711-1),IF($R$17="Distrato",$E956,0)),MIN(AG$38,$D$19),$P$20))-SUM($P956:AF956)</f>
        <v>#VALUE!</v>
      </c>
      <c r="AH956" s="446" t="e">
        <f>IF(OR($B956="",MIN(AH$38,$D$19)&lt;MAX($P$708*($B956+IF($R$17="Distrato",$I$38-1,0)),IF(AND($L$711=0,$P$708=0),"",$L$711-1),IF($R$17="Distrato",$E956,0))),0,YEARFRAC(MAX($P$708*($B956+IF($R$17="Distrato",$I$38-1,0)),IF(AND($L$711=0,$P$708=0),"",$L$711-1),IF($R$17="Distrato",$E956,0)),MIN(AH$38,$D$19),$P$20))-SUM($P956:AG956)</f>
        <v>#VALUE!</v>
      </c>
      <c r="AI956" s="446" t="e">
        <f>IF(OR($B956="",MIN(AI$38,$D$19)&lt;MAX($P$708*($B956+IF($R$17="Distrato",$I$38-1,0)),IF(AND($L$711=0,$P$708=0),"",$L$711-1),IF($R$17="Distrato",$E956,0))),0,YEARFRAC(MAX($P$708*($B956+IF($R$17="Distrato",$I$38-1,0)),IF(AND($L$711=0,$P$708=0),"",$L$711-1),IF($R$17="Distrato",$E956,0)),MIN(AI$38,$D$19),$P$20))-SUM($P956:AH956)</f>
        <v>#VALUE!</v>
      </c>
      <c r="AJ956" s="446" t="e">
        <f>IF(OR($B956="",MIN(AJ$38,$D$19)&lt;MAX($P$708*($B956+IF($R$17="Distrato",$I$38-1,0)),IF(AND($L$711=0,$P$708=0),"",$L$711-1),IF($R$17="Distrato",$E956,0))),0,YEARFRAC(MAX($P$708*($B956+IF($R$17="Distrato",$I$38-1,0)),IF(AND($L$711=0,$P$708=0),"",$L$711-1),IF($R$17="Distrato",$E956,0)),MIN(AJ$38,$D$19),$P$20))-SUM($P956:AI956)</f>
        <v>#VALUE!</v>
      </c>
      <c r="AK956" s="446" t="e">
        <f>IF(OR($B956="",MIN(AK$38,$D$19)&lt;MAX($P$708*($B956+IF($R$17="Distrato",$I$38-1,0)),IF(AND($L$711=0,$P$708=0),"",$L$711-1),IF($R$17="Distrato",$E956,0))),0,YEARFRAC(MAX($P$708*($B956+IF($R$17="Distrato",$I$38-1,0)),IF(AND($L$711=0,$P$708=0),"",$L$711-1),IF($R$17="Distrato",$E956,0)),MIN(AK$38,$D$19),$P$20))-SUM($P956:AJ956)</f>
        <v>#VALUE!</v>
      </c>
      <c r="AL956" s="446" t="e">
        <f>IF(OR($B956="",MIN(AL$38,$D$19)&lt;MAX($P$708*($B956+IF($R$17="Distrato",$I$38-1,0)),IF(AND($L$711=0,$P$708=0),"",$L$711-1),IF($R$17="Distrato",$E956,0))),0,YEARFRAC(MAX($P$708*($B956+IF($R$17="Distrato",$I$38-1,0)),IF(AND($L$711=0,$P$708=0),"",$L$711-1),IF($R$17="Distrato",$E956,0)),MIN(AL$38,$D$19),$P$20))-SUM($P956:AK956)</f>
        <v>#VALUE!</v>
      </c>
      <c r="AM956" s="446" t="e">
        <f>IF(OR($B956="",MIN(AM$38,$D$19)&lt;MAX($P$708*($B956+IF($R$17="Distrato",$I$38-1,0)),IF(AND($L$711=0,$P$708=0),"",$L$711-1),IF($R$17="Distrato",$E956,0))),0,YEARFRAC(MAX($P$708*($B956+IF($R$17="Distrato",$I$38-1,0)),IF(AND($L$711=0,$P$708=0),"",$L$711-1),IF($R$17="Distrato",$E956,0)),MIN(AM$38,$D$19),$P$20))-SUM($P956:AL956)</f>
        <v>#VALUE!</v>
      </c>
      <c r="AN956" s="446" t="e">
        <f>IF(OR($B956="",MIN(AN$38,$D$19)&lt;MAX($P$708*($B956+IF($R$17="Distrato",$I$38-1,0)),IF(AND($L$711=0,$P$708=0),"",$L$711-1),IF($R$17="Distrato",$E956,0))),0,YEARFRAC(MAX($P$708*($B956+IF($R$17="Distrato",$I$38-1,0)),IF(AND($L$711=0,$P$708=0),"",$L$711-1),IF($R$17="Distrato",$E956,0)),MIN(AN$38,$D$19),$P$20))-SUM($P956:AM956)</f>
        <v>#VALUE!</v>
      </c>
      <c r="AO956" s="446" t="e">
        <f>IF(OR($B956="",MIN(AO$38,$D$19)&lt;MAX($P$708*($B956+IF($R$17="Distrato",$I$38-1,0)),IF(AND($L$711=0,$P$708=0),"",$L$711-1),IF($R$17="Distrato",$E956,0))),0,YEARFRAC(MAX($P$708*($B956+IF($R$17="Distrato",$I$38-1,0)),IF(AND($L$711=0,$P$708=0),"",$L$711-1),IF($R$17="Distrato",$E956,0)),MIN(AO$38,$D$19),$P$20))-SUM($P956:AN956)</f>
        <v>#VALUE!</v>
      </c>
      <c r="AP956" s="446" t="e">
        <f>IF(OR($B956="",MIN(AP$38,$D$19)&lt;MAX($P$708*($B956+IF($R$17="Distrato",$I$38-1,0)),IF(AND($L$711=0,$P$708=0),"",$L$711-1),IF($R$17="Distrato",$E956,0))),0,YEARFRAC(MAX($P$708*($B956+IF($R$17="Distrato",$I$38-1,0)),IF(AND($L$711=0,$P$708=0),"",$L$711-1),IF($R$17="Distrato",$E956,0)),MIN(AP$38,$D$19),$P$20))-SUM($P956:AO956)</f>
        <v>#VALUE!</v>
      </c>
      <c r="AQ956" s="446" t="e">
        <f>IF(OR($B956="",MIN(AQ$38,$D$19)&lt;MAX($P$708*($B956+IF($R$17="Distrato",$I$38-1,0)),IF(AND($L$711=0,$P$708=0),"",$L$711-1),IF($R$17="Distrato",$E956,0))),0,YEARFRAC(MAX($P$708*($B956+IF($R$17="Distrato",$I$38-1,0)),IF(AND($L$711=0,$P$708=0),"",$L$711-1),IF($R$17="Distrato",$E956,0)),MIN(AQ$38,$D$19),$P$20))-SUM($P956:AP956)</f>
        <v>#VALUE!</v>
      </c>
      <c r="AR956" s="446" t="e">
        <f>IF(OR($B956="",MIN(AR$38,$D$19)&lt;MAX($P$708*($B956+IF($R$17="Distrato",$I$38-1,0)),IF(AND($L$711=0,$P$708=0),"",$L$711-1),IF($R$17="Distrato",$E956,0))),0,YEARFRAC(MAX($P$708*($B956+IF($R$17="Distrato",$I$38-1,0)),IF(AND($L$711=0,$P$708=0),"",$L$711-1),IF($R$17="Distrato",$E956,0)),MIN(AR$38,$D$19),$P$20))-SUM($P956:AQ956)</f>
        <v>#VALUE!</v>
      </c>
      <c r="AS956" s="446" t="e">
        <f>IF(OR($B956="",MIN(AS$38,$D$19)&lt;MAX($P$708*($B956+IF($R$17="Distrato",$I$38-1,0)),IF(AND($L$711=0,$P$708=0),"",$L$711-1),IF($R$17="Distrato",$E956,0))),0,YEARFRAC(MAX($P$708*($B956+IF($R$17="Distrato",$I$38-1,0)),IF(AND($L$711=0,$P$708=0),"",$L$711-1),IF($R$17="Distrato",$E956,0)),MIN(AS$38,$D$19),$P$20))-SUM($P956:AR956)</f>
        <v>#VALUE!</v>
      </c>
      <c r="AT956" s="446" t="e">
        <f>IF(OR($B956="",MIN(AT$38,$D$19)&lt;MAX($P$708*($B956+IF($R$17="Distrato",$I$38-1,0)),IF(AND($L$711=0,$P$708=0),"",$L$711-1),IF($R$17="Distrato",$E956,0))),0,YEARFRAC(MAX($P$708*($B956+IF($R$17="Distrato",$I$38-1,0)),IF(AND($L$711=0,$P$708=0),"",$L$711-1),IF($R$17="Distrato",$E956,0)),MIN(AT$38,$D$19),$P$20))-SUM($P956:AS956)</f>
        <v>#VALUE!</v>
      </c>
      <c r="AU956" s="446" t="e">
        <f>IF(OR($B956="",MIN(AU$38,$D$19)&lt;MAX($P$708*($B956+IF($R$17="Distrato",$I$38-1,0)),IF(AND($L$711=0,$P$708=0),"",$L$711-1),IF($R$17="Distrato",$E956,0))),0,YEARFRAC(MAX($P$708*($B956+IF($R$17="Distrato",$I$38-1,0)),IF(AND($L$711=0,$P$708=0),"",$L$711-1),IF($R$17="Distrato",$E956,0)),MIN(AU$38,$D$19),$P$20))-SUM($P956:AT956)</f>
        <v>#VALUE!</v>
      </c>
      <c r="AV956" s="446" t="e">
        <f>IF(OR($B956="",MIN(AV$38,$D$19)&lt;MAX($P$708*($B956+IF($R$17="Distrato",$I$38-1,0)),IF(AND($L$711=0,$P$708=0),"",$L$711-1),IF($R$17="Distrato",$E956,0))),0,YEARFRAC(MAX($P$708*($B956+IF($R$17="Distrato",$I$38-1,0)),IF(AND($L$711=0,$P$708=0),"",$L$711-1),IF($R$17="Distrato",$E956,0)),MIN(AV$38,$D$19),$P$20))-SUM($P956:AU956)</f>
        <v>#VALUE!</v>
      </c>
      <c r="AW956" s="446" t="e">
        <f>IF(OR($B956="",MIN(AW$38,$D$19)&lt;MAX($P$708*($B956+IF($R$17="Distrato",$I$38-1,0)),IF(AND($L$711=0,$P$708=0),"",$L$711-1),IF($R$17="Distrato",$E956,0))),0,YEARFRAC(MAX($P$708*($B956+IF($R$17="Distrato",$I$38-1,0)),IF(AND($L$711=0,$P$708=0),"",$L$711-1),IF($R$17="Distrato",$E956,0)),MIN(AW$38,$D$19),$P$20))-SUM($P956:AV956)</f>
        <v>#VALUE!</v>
      </c>
      <c r="AX956" s="446" t="e">
        <f>IF(OR($B956="",MIN(AX$38,$D$19)&lt;MAX($P$708*($B956+IF($R$17="Distrato",$I$38-1,0)),IF(AND($L$711=0,$P$708=0),"",$L$711-1),IF($R$17="Distrato",$E956,0))),0,YEARFRAC(MAX($P$708*($B956+IF($R$17="Distrato",$I$38-1,0)),IF(AND($L$711=0,$P$708=0),"",$L$711-1),IF($R$17="Distrato",$E956,0)),MIN(AX$38,$D$19),$P$20))-SUM($P956:AW956)</f>
        <v>#VALUE!</v>
      </c>
      <c r="AY956" s="446" t="e">
        <f>IF(OR($B956="",MIN(AY$38,$D$19)&lt;MAX($P$708*($B956+IF($R$17="Distrato",$I$38-1,0)),IF(AND($L$711=0,$P$708=0),"",$L$711-1),IF($R$17="Distrato",$E956,0))),0,YEARFRAC(MAX($P$708*($B956+IF($R$17="Distrato",$I$38-1,0)),IF(AND($L$711=0,$P$708=0),"",$L$711-1),IF($R$17="Distrato",$E956,0)),MIN(AY$38,$D$19),$P$20))-SUM($P956:AX956)</f>
        <v>#VALUE!</v>
      </c>
      <c r="AZ956" s="446" t="e">
        <f>IF(OR($B956="",MIN(AZ$38,$D$19)&lt;MAX($P$708*($B956+IF($R$17="Distrato",$I$38-1,0)),IF(AND($L$711=0,$P$708=0),"",$L$711-1),IF($R$17="Distrato",$E956,0))),0,YEARFRAC(MAX($P$708*($B956+IF($R$17="Distrato",$I$38-1,0)),IF(AND($L$711=0,$P$708=0),"",$L$711-1),IF($R$17="Distrato",$E956,0)),MIN(AZ$38,$D$19),$P$20))-SUM($P956:AY956)</f>
        <v>#VALUE!</v>
      </c>
      <c r="BA956" s="446" t="e">
        <f>IF(OR($B956="",MIN(BA$38,$D$19)&lt;MAX($P$708*($B956+IF($R$17="Distrato",$I$38-1,0)),IF(AND($L$711=0,$P$708=0),"",$L$711-1),IF($R$17="Distrato",$E956,0))),0,YEARFRAC(MAX($P$708*($B956+IF($R$17="Distrato",$I$38-1,0)),IF(AND($L$711=0,$P$708=0),"",$L$711-1),IF($R$17="Distrato",$E956,0)),MIN(BA$38,$D$19),$P$20))-SUM($P956:AZ956)</f>
        <v>#VALUE!</v>
      </c>
      <c r="BB956" s="447"/>
    </row>
    <row r="957" spans="1:54" s="446" customFormat="1" ht="11.25" hidden="1" customHeight="1" x14ac:dyDescent="0.2">
      <c r="A957" s="235"/>
      <c r="B957" s="236"/>
      <c r="C957" s="29" t="str">
        <f>IF(B957="","",IF($L$709=$BL$25,VLOOKUP(DATE(YEAR($D$19),MONTH($D$19)-1,1),ÍNDICES!$A:$DE,HLOOKUP($BL$25,ÍNDICES!$B$3:$T$4,2)+11)-VLOOKUP(B957,ÍNDICES!$A:$DE,HLOOKUP($BL$25,ÍNDICES!$B$3:$T$4,2)+11)+1%,IF(C$712=$W$26,$J$35,IF(ISERROR(IF(B957&gt;$D$19,1,VLOOKUP(DATE(YEAR(B957),MONTH(B957)+IF($C$709=$S$23,1,0),1),ÍNDICES!$A:$DE,$Z$709+1))),"",IF(B957&gt;$D$19,1,VLOOKUP(DATE(YEAR(B957),MONTH(B957)+IF($C$709=$S$23,1,0),1),ÍNDICES!$A:$DE,$Z$709+1))))))</f>
        <v/>
      </c>
      <c r="D957" s="155"/>
      <c r="E957" s="88"/>
      <c r="F957" s="88"/>
      <c r="G957" s="88"/>
      <c r="H957" s="118"/>
      <c r="I957" s="182">
        <f t="shared" si="136"/>
        <v>0</v>
      </c>
      <c r="J957" s="20">
        <f t="shared" ca="1" si="137"/>
        <v>0</v>
      </c>
      <c r="K957" s="5">
        <f t="shared" ca="1" si="138"/>
        <v>0</v>
      </c>
      <c r="L957" s="61">
        <f t="shared" ca="1" si="139"/>
        <v>0</v>
      </c>
      <c r="M957" s="64">
        <f t="shared" si="140"/>
        <v>0</v>
      </c>
      <c r="N957" s="151"/>
      <c r="O957" s="5">
        <f t="shared" ca="1" si="141"/>
        <v>0</v>
      </c>
      <c r="P957" s="446" t="e">
        <f t="shared" si="142"/>
        <v>#VALUE!</v>
      </c>
      <c r="Q957" s="446" t="e">
        <f>IF(OR($B957="",MIN(Q$38,$D$19)&lt;MAX($P$708*($B957+IF($R$17="Distrato",$I$38-1,0)),IF(AND($L$711=0,$P$708=0),"",$L$711-1),IF($R$17="Distrato",$E957,0))),0,YEARFRAC(MAX($P$708*($B957+IF($R$17="Distrato",$I$38-1,0)),IF(AND($L$711=0,$P$708=0),"",$L$711-1),IF($R$17="Distrato",$E957,0)),MIN(Q$38,$D$19),$P$20))-SUM($P957:P957)</f>
        <v>#VALUE!</v>
      </c>
      <c r="R957" s="446" t="e">
        <f>IF(OR($B957="",MIN(R$38,$D$19)&lt;MAX($P$708*($B957+IF($R$17="Distrato",$I$38-1,0)),IF(AND($L$711=0,$P$708=0),"",$L$711-1),IF($R$17="Distrato",$E957,0))),0,YEARFRAC(MAX($P$708*($B957+IF($R$17="Distrato",$I$38-1,0)),IF(AND($L$711=0,$P$708=0),"",$L$711-1),IF($R$17="Distrato",$E957,0)),MIN(R$38,$D$19),$P$20))-SUM($P957:Q957)</f>
        <v>#VALUE!</v>
      </c>
      <c r="S957" s="446" t="e">
        <f>IF(OR($B957="",MIN(S$38,$D$19)&lt;MAX($P$708*($B957+IF($R$17="Distrato",$I$38-1,0)),IF(AND($L$711=0,$P$708=0),"",$L$711-1),IF($R$17="Distrato",$E957,0))),0,YEARFRAC(MAX($P$708*($B957+IF($R$17="Distrato",$I$38-1,0)),IF(AND($L$711=0,$P$708=0),"",$L$711-1),IF($R$17="Distrato",$E957,0)),MIN(S$38,$D$19),$P$20))-SUM($P957:R957)</f>
        <v>#VALUE!</v>
      </c>
      <c r="T957" s="446" t="e">
        <f>IF(OR($B957="",MIN(T$38,$D$19)&lt;MAX($P$708*($B957+IF($R$17="Distrato",$I$38-1,0)),IF(AND($L$711=0,$P$708=0),"",$L$711-1),IF($R$17="Distrato",$E957,0))),0,YEARFRAC(MAX($P$708*($B957+IF($R$17="Distrato",$I$38-1,0)),IF(AND($L$711=0,$P$708=0),"",$L$711-1),IF($R$17="Distrato",$E957,0)),MIN(T$38,$D$19),$P$20))-SUM($P957:S957)</f>
        <v>#VALUE!</v>
      </c>
      <c r="U957" s="446" t="e">
        <f>IF(OR($B957="",MIN(U$38,$D$19)&lt;MAX($P$708*($B957+IF($R$17="Distrato",$I$38-1,0)),IF(AND($L$711=0,$P$708=0),"",$L$711-1),IF($R$17="Distrato",$E957,0))),0,YEARFRAC(MAX($P$708*($B957+IF($R$17="Distrato",$I$38-1,0)),IF(AND($L$711=0,$P$708=0),"",$L$711-1),IF($R$17="Distrato",$E957,0)),MIN(U$38,$D$19),$P$20))-SUM($P957:T957)</f>
        <v>#VALUE!</v>
      </c>
      <c r="V957" s="446" t="e">
        <f>IF(OR($B957="",MIN(V$38,$D$19)&lt;MAX($P$708*($B957+IF($R$17="Distrato",$I$38-1,0)),IF(AND($L$711=0,$P$708=0),"",$L$711-1),IF($R$17="Distrato",$E957,0))),0,YEARFRAC(MAX($P$708*($B957+IF($R$17="Distrato",$I$38-1,0)),IF(AND($L$711=0,$P$708=0),"",$L$711-1),IF($R$17="Distrato",$E957,0)),MIN(V$38,$D$19),$P$20))-SUM($P957:U957)</f>
        <v>#VALUE!</v>
      </c>
      <c r="W957" s="446" t="e">
        <f>IF(OR($B957="",MIN(W$38,$D$19)&lt;MAX($P$708*($B957+IF($R$17="Distrato",$I$38-1,0)),IF(AND($L$711=0,$P$708=0),"",$L$711-1),IF($R$17="Distrato",$E957,0))),0,YEARFRAC(MAX($P$708*($B957+IF($R$17="Distrato",$I$38-1,0)),IF(AND($L$711=0,$P$708=0),"",$L$711-1),IF($R$17="Distrato",$E957,0)),MIN(W$38,$D$19),$P$20))-SUM($P957:V957)</f>
        <v>#VALUE!</v>
      </c>
      <c r="X957" s="446" t="e">
        <f>IF(OR($B957="",MIN(X$38,$D$19)&lt;MAX($P$708*($B957+IF($R$17="Distrato",$I$38-1,0)),IF(AND($L$711=0,$P$708=0),"",$L$711-1),IF($R$17="Distrato",$E957,0))),0,YEARFRAC(MAX($P$708*($B957+IF($R$17="Distrato",$I$38-1,0)),IF(AND($L$711=0,$P$708=0),"",$L$711-1),IF($R$17="Distrato",$E957,0)),MIN(X$38,$D$19),$P$20))-SUM($P957:W957)</f>
        <v>#VALUE!</v>
      </c>
      <c r="Y957" s="446" t="e">
        <f>IF(OR($B957="",MIN(Y$38,$D$19)&lt;MAX($P$708*($B957+IF($R$17="Distrato",$I$38-1,0)),IF(AND($L$711=0,$P$708=0),"",$L$711-1),IF($R$17="Distrato",$E957,0))),0,YEARFRAC(MAX($P$708*($B957+IF($R$17="Distrato",$I$38-1,0)),IF(AND($L$711=0,$P$708=0),"",$L$711-1),IF($R$17="Distrato",$E957,0)),MIN(Y$38,$D$19),$P$20))-SUM($P957:X957)</f>
        <v>#VALUE!</v>
      </c>
      <c r="Z957" s="446" t="e">
        <f>IF(OR($B957="",MIN(Z$38,$D$19)&lt;MAX($P$708*($B957+IF($R$17="Distrato",$I$38-1,0)),IF(AND($L$711=0,$P$708=0),"",$L$711-1),IF($R$17="Distrato",$E957,0))),0,YEARFRAC(MAX($P$708*($B957+IF($R$17="Distrato",$I$38-1,0)),IF(AND($L$711=0,$P$708=0),"",$L$711-1),IF($R$17="Distrato",$E957,0)),MIN(Z$38,$D$19),$P$20))-SUM($P957:Y957)</f>
        <v>#VALUE!</v>
      </c>
      <c r="AA957" s="446" t="e">
        <f>IF(OR($B957="",MIN(AA$38,$D$19)&lt;MAX($P$708*($B957+IF($R$17="Distrato",$I$38-1,0)),IF(AND($L$711=0,$P$708=0),"",$L$711-1),IF($R$17="Distrato",$E957,0))),0,YEARFRAC(MAX($P$708*($B957+IF($R$17="Distrato",$I$38-1,0)),IF(AND($L$711=0,$P$708=0),"",$L$711-1),IF($R$17="Distrato",$E957,0)),MIN(AA$38,$D$19),$P$20))-SUM($P957:Z957)</f>
        <v>#VALUE!</v>
      </c>
      <c r="AB957" s="446" t="e">
        <f>IF(OR($B957="",MIN(AB$38,$D$19)&lt;MAX($P$708*($B957+IF($R$17="Distrato",$I$38-1,0)),IF(AND($L$711=0,$P$708=0),"",$L$711-1),IF($R$17="Distrato",$E957,0))),0,YEARFRAC(MAX($P$708*($B957+IF($R$17="Distrato",$I$38-1,0)),IF(AND($L$711=0,$P$708=0),"",$L$711-1),IF($R$17="Distrato",$E957,0)),MIN(AB$38,$D$19),$P$20))-SUM($P957:AA957)</f>
        <v>#VALUE!</v>
      </c>
      <c r="AC957" s="446" t="e">
        <f>IF(OR($B957="",MIN(AC$38,$D$19)&lt;MAX($P$708*($B957+IF($R$17="Distrato",$I$38-1,0)),IF(AND($L$711=0,$P$708=0),"",$L$711-1),IF($R$17="Distrato",$E957,0))),0,YEARFRAC(MAX($P$708*($B957+IF($R$17="Distrato",$I$38-1,0)),IF(AND($L$711=0,$P$708=0),"",$L$711-1),IF($R$17="Distrato",$E957,0)),MIN(AC$38,$D$19),$P$20))-SUM($P957:AB957)</f>
        <v>#VALUE!</v>
      </c>
      <c r="AD957" s="446" t="e">
        <f>IF(OR($B957="",MIN(AD$38,$D$19)&lt;MAX($P$708*($B957+IF($R$17="Distrato",$I$38-1,0)),IF(AND($L$711=0,$P$708=0),"",$L$711-1),IF($R$17="Distrato",$E957,0))),0,YEARFRAC(MAX($P$708*($B957+IF($R$17="Distrato",$I$38-1,0)),IF(AND($L$711=0,$P$708=0),"",$L$711-1),IF($R$17="Distrato",$E957,0)),MIN(AD$38,$D$19),$P$20))-SUM($P957:AC957)</f>
        <v>#VALUE!</v>
      </c>
      <c r="AE957" s="446" t="e">
        <f>IF(OR($B957="",MIN(AE$38,$D$19)&lt;MAX($P$708*($B957+IF($R$17="Distrato",$I$38-1,0)),IF(AND($L$711=0,$P$708=0),"",$L$711-1),IF($R$17="Distrato",$E957,0))),0,YEARFRAC(MAX($P$708*($B957+IF($R$17="Distrato",$I$38-1,0)),IF(AND($L$711=0,$P$708=0),"",$L$711-1),IF($R$17="Distrato",$E957,0)),MIN(AE$38,$D$19),$P$20))-SUM($P957:AD957)</f>
        <v>#VALUE!</v>
      </c>
      <c r="AF957" s="446" t="e">
        <f>IF(OR($B957="",MIN(AF$38,$D$19)&lt;MAX($P$708*($B957+IF($R$17="Distrato",$I$38-1,0)),IF(AND($L$711=0,$P$708=0),"",$L$711-1),IF($R$17="Distrato",$E957,0))),0,YEARFRAC(MAX($P$708*($B957+IF($R$17="Distrato",$I$38-1,0)),IF(AND($L$711=0,$P$708=0),"",$L$711-1),IF($R$17="Distrato",$E957,0)),MIN(AF$38,$D$19),$P$20))-SUM($P957:AE957)</f>
        <v>#VALUE!</v>
      </c>
      <c r="AG957" s="446" t="e">
        <f>IF(OR($B957="",MIN(AG$38,$D$19)&lt;MAX($P$708*($B957+IF($R$17="Distrato",$I$38-1,0)),IF(AND($L$711=0,$P$708=0),"",$L$711-1),IF($R$17="Distrato",$E957,0))),0,YEARFRAC(MAX($P$708*($B957+IF($R$17="Distrato",$I$38-1,0)),IF(AND($L$711=0,$P$708=0),"",$L$711-1),IF($R$17="Distrato",$E957,0)),MIN(AG$38,$D$19),$P$20))-SUM($P957:AF957)</f>
        <v>#VALUE!</v>
      </c>
      <c r="AH957" s="446" t="e">
        <f>IF(OR($B957="",MIN(AH$38,$D$19)&lt;MAX($P$708*($B957+IF($R$17="Distrato",$I$38-1,0)),IF(AND($L$711=0,$P$708=0),"",$L$711-1),IF($R$17="Distrato",$E957,0))),0,YEARFRAC(MAX($P$708*($B957+IF($R$17="Distrato",$I$38-1,0)),IF(AND($L$711=0,$P$708=0),"",$L$711-1),IF($R$17="Distrato",$E957,0)),MIN(AH$38,$D$19),$P$20))-SUM($P957:AG957)</f>
        <v>#VALUE!</v>
      </c>
      <c r="AI957" s="446" t="e">
        <f>IF(OR($B957="",MIN(AI$38,$D$19)&lt;MAX($P$708*($B957+IF($R$17="Distrato",$I$38-1,0)),IF(AND($L$711=0,$P$708=0),"",$L$711-1),IF($R$17="Distrato",$E957,0))),0,YEARFRAC(MAX($P$708*($B957+IF($R$17="Distrato",$I$38-1,0)),IF(AND($L$711=0,$P$708=0),"",$L$711-1),IF($R$17="Distrato",$E957,0)),MIN(AI$38,$D$19),$P$20))-SUM($P957:AH957)</f>
        <v>#VALUE!</v>
      </c>
      <c r="AJ957" s="446" t="e">
        <f>IF(OR($B957="",MIN(AJ$38,$D$19)&lt;MAX($P$708*($B957+IF($R$17="Distrato",$I$38-1,0)),IF(AND($L$711=0,$P$708=0),"",$L$711-1),IF($R$17="Distrato",$E957,0))),0,YEARFRAC(MAX($P$708*($B957+IF($R$17="Distrato",$I$38-1,0)),IF(AND($L$711=0,$P$708=0),"",$L$711-1),IF($R$17="Distrato",$E957,0)),MIN(AJ$38,$D$19),$P$20))-SUM($P957:AI957)</f>
        <v>#VALUE!</v>
      </c>
      <c r="AK957" s="446" t="e">
        <f>IF(OR($B957="",MIN(AK$38,$D$19)&lt;MAX($P$708*($B957+IF($R$17="Distrato",$I$38-1,0)),IF(AND($L$711=0,$P$708=0),"",$L$711-1),IF($R$17="Distrato",$E957,0))),0,YEARFRAC(MAX($P$708*($B957+IF($R$17="Distrato",$I$38-1,0)),IF(AND($L$711=0,$P$708=0),"",$L$711-1),IF($R$17="Distrato",$E957,0)),MIN(AK$38,$D$19),$P$20))-SUM($P957:AJ957)</f>
        <v>#VALUE!</v>
      </c>
      <c r="AL957" s="446" t="e">
        <f>IF(OR($B957="",MIN(AL$38,$D$19)&lt;MAX($P$708*($B957+IF($R$17="Distrato",$I$38-1,0)),IF(AND($L$711=0,$P$708=0),"",$L$711-1),IF($R$17="Distrato",$E957,0))),0,YEARFRAC(MAX($P$708*($B957+IF($R$17="Distrato",$I$38-1,0)),IF(AND($L$711=0,$P$708=0),"",$L$711-1),IF($R$17="Distrato",$E957,0)),MIN(AL$38,$D$19),$P$20))-SUM($P957:AK957)</f>
        <v>#VALUE!</v>
      </c>
      <c r="AM957" s="446" t="e">
        <f>IF(OR($B957="",MIN(AM$38,$D$19)&lt;MAX($P$708*($B957+IF($R$17="Distrato",$I$38-1,0)),IF(AND($L$711=0,$P$708=0),"",$L$711-1),IF($R$17="Distrato",$E957,0))),0,YEARFRAC(MAX($P$708*($B957+IF($R$17="Distrato",$I$38-1,0)),IF(AND($L$711=0,$P$708=0),"",$L$711-1),IF($R$17="Distrato",$E957,0)),MIN(AM$38,$D$19),$P$20))-SUM($P957:AL957)</f>
        <v>#VALUE!</v>
      </c>
      <c r="AN957" s="446" t="e">
        <f>IF(OR($B957="",MIN(AN$38,$D$19)&lt;MAX($P$708*($B957+IF($R$17="Distrato",$I$38-1,0)),IF(AND($L$711=0,$P$708=0),"",$L$711-1),IF($R$17="Distrato",$E957,0))),0,YEARFRAC(MAX($P$708*($B957+IF($R$17="Distrato",$I$38-1,0)),IF(AND($L$711=0,$P$708=0),"",$L$711-1),IF($R$17="Distrato",$E957,0)),MIN(AN$38,$D$19),$P$20))-SUM($P957:AM957)</f>
        <v>#VALUE!</v>
      </c>
      <c r="AO957" s="446" t="e">
        <f>IF(OR($B957="",MIN(AO$38,$D$19)&lt;MAX($P$708*($B957+IF($R$17="Distrato",$I$38-1,0)),IF(AND($L$711=0,$P$708=0),"",$L$711-1),IF($R$17="Distrato",$E957,0))),0,YEARFRAC(MAX($P$708*($B957+IF($R$17="Distrato",$I$38-1,0)),IF(AND($L$711=0,$P$708=0),"",$L$711-1),IF($R$17="Distrato",$E957,0)),MIN(AO$38,$D$19),$P$20))-SUM($P957:AN957)</f>
        <v>#VALUE!</v>
      </c>
      <c r="AP957" s="446" t="e">
        <f>IF(OR($B957="",MIN(AP$38,$D$19)&lt;MAX($P$708*($B957+IF($R$17="Distrato",$I$38-1,0)),IF(AND($L$711=0,$P$708=0),"",$L$711-1),IF($R$17="Distrato",$E957,0))),0,YEARFRAC(MAX($P$708*($B957+IF($R$17="Distrato",$I$38-1,0)),IF(AND($L$711=0,$P$708=0),"",$L$711-1),IF($R$17="Distrato",$E957,0)),MIN(AP$38,$D$19),$P$20))-SUM($P957:AO957)</f>
        <v>#VALUE!</v>
      </c>
      <c r="AQ957" s="446" t="e">
        <f>IF(OR($B957="",MIN(AQ$38,$D$19)&lt;MAX($P$708*($B957+IF($R$17="Distrato",$I$38-1,0)),IF(AND($L$711=0,$P$708=0),"",$L$711-1),IF($R$17="Distrato",$E957,0))),0,YEARFRAC(MAX($P$708*($B957+IF($R$17="Distrato",$I$38-1,0)),IF(AND($L$711=0,$P$708=0),"",$L$711-1),IF($R$17="Distrato",$E957,0)),MIN(AQ$38,$D$19),$P$20))-SUM($P957:AP957)</f>
        <v>#VALUE!</v>
      </c>
      <c r="AR957" s="446" t="e">
        <f>IF(OR($B957="",MIN(AR$38,$D$19)&lt;MAX($P$708*($B957+IF($R$17="Distrato",$I$38-1,0)),IF(AND($L$711=0,$P$708=0),"",$L$711-1),IF($R$17="Distrato",$E957,0))),0,YEARFRAC(MAX($P$708*($B957+IF($R$17="Distrato",$I$38-1,0)),IF(AND($L$711=0,$P$708=0),"",$L$711-1),IF($R$17="Distrato",$E957,0)),MIN(AR$38,$D$19),$P$20))-SUM($P957:AQ957)</f>
        <v>#VALUE!</v>
      </c>
      <c r="AS957" s="446" t="e">
        <f>IF(OR($B957="",MIN(AS$38,$D$19)&lt;MAX($P$708*($B957+IF($R$17="Distrato",$I$38-1,0)),IF(AND($L$711=0,$P$708=0),"",$L$711-1),IF($R$17="Distrato",$E957,0))),0,YEARFRAC(MAX($P$708*($B957+IF($R$17="Distrato",$I$38-1,0)),IF(AND($L$711=0,$P$708=0),"",$L$711-1),IF($R$17="Distrato",$E957,0)),MIN(AS$38,$D$19),$P$20))-SUM($P957:AR957)</f>
        <v>#VALUE!</v>
      </c>
      <c r="AT957" s="446" t="e">
        <f>IF(OR($B957="",MIN(AT$38,$D$19)&lt;MAX($P$708*($B957+IF($R$17="Distrato",$I$38-1,0)),IF(AND($L$711=0,$P$708=0),"",$L$711-1),IF($R$17="Distrato",$E957,0))),0,YEARFRAC(MAX($P$708*($B957+IF($R$17="Distrato",$I$38-1,0)),IF(AND($L$711=0,$P$708=0),"",$L$711-1),IF($R$17="Distrato",$E957,0)),MIN(AT$38,$D$19),$P$20))-SUM($P957:AS957)</f>
        <v>#VALUE!</v>
      </c>
      <c r="AU957" s="446" t="e">
        <f>IF(OR($B957="",MIN(AU$38,$D$19)&lt;MAX($P$708*($B957+IF($R$17="Distrato",$I$38-1,0)),IF(AND($L$711=0,$P$708=0),"",$L$711-1),IF($R$17="Distrato",$E957,0))),0,YEARFRAC(MAX($P$708*($B957+IF($R$17="Distrato",$I$38-1,0)),IF(AND($L$711=0,$P$708=0),"",$L$711-1),IF($R$17="Distrato",$E957,0)),MIN(AU$38,$D$19),$P$20))-SUM($P957:AT957)</f>
        <v>#VALUE!</v>
      </c>
      <c r="AV957" s="446" t="e">
        <f>IF(OR($B957="",MIN(AV$38,$D$19)&lt;MAX($P$708*($B957+IF($R$17="Distrato",$I$38-1,0)),IF(AND($L$711=0,$P$708=0),"",$L$711-1),IF($R$17="Distrato",$E957,0))),0,YEARFRAC(MAX($P$708*($B957+IF($R$17="Distrato",$I$38-1,0)),IF(AND($L$711=0,$P$708=0),"",$L$711-1),IF($R$17="Distrato",$E957,0)),MIN(AV$38,$D$19),$P$20))-SUM($P957:AU957)</f>
        <v>#VALUE!</v>
      </c>
      <c r="AW957" s="446" t="e">
        <f>IF(OR($B957="",MIN(AW$38,$D$19)&lt;MAX($P$708*($B957+IF($R$17="Distrato",$I$38-1,0)),IF(AND($L$711=0,$P$708=0),"",$L$711-1),IF($R$17="Distrato",$E957,0))),0,YEARFRAC(MAX($P$708*($B957+IF($R$17="Distrato",$I$38-1,0)),IF(AND($L$711=0,$P$708=0),"",$L$711-1),IF($R$17="Distrato",$E957,0)),MIN(AW$38,$D$19),$P$20))-SUM($P957:AV957)</f>
        <v>#VALUE!</v>
      </c>
      <c r="AX957" s="446" t="e">
        <f>IF(OR($B957="",MIN(AX$38,$D$19)&lt;MAX($P$708*($B957+IF($R$17="Distrato",$I$38-1,0)),IF(AND($L$711=0,$P$708=0),"",$L$711-1),IF($R$17="Distrato",$E957,0))),0,YEARFRAC(MAX($P$708*($B957+IF($R$17="Distrato",$I$38-1,0)),IF(AND($L$711=0,$P$708=0),"",$L$711-1),IF($R$17="Distrato",$E957,0)),MIN(AX$38,$D$19),$P$20))-SUM($P957:AW957)</f>
        <v>#VALUE!</v>
      </c>
      <c r="AY957" s="446" t="e">
        <f>IF(OR($B957="",MIN(AY$38,$D$19)&lt;MAX($P$708*($B957+IF($R$17="Distrato",$I$38-1,0)),IF(AND($L$711=0,$P$708=0),"",$L$711-1),IF($R$17="Distrato",$E957,0))),0,YEARFRAC(MAX($P$708*($B957+IF($R$17="Distrato",$I$38-1,0)),IF(AND($L$711=0,$P$708=0),"",$L$711-1),IF($R$17="Distrato",$E957,0)),MIN(AY$38,$D$19),$P$20))-SUM($P957:AX957)</f>
        <v>#VALUE!</v>
      </c>
      <c r="AZ957" s="446" t="e">
        <f>IF(OR($B957="",MIN(AZ$38,$D$19)&lt;MAX($P$708*($B957+IF($R$17="Distrato",$I$38-1,0)),IF(AND($L$711=0,$P$708=0),"",$L$711-1),IF($R$17="Distrato",$E957,0))),0,YEARFRAC(MAX($P$708*($B957+IF($R$17="Distrato",$I$38-1,0)),IF(AND($L$711=0,$P$708=0),"",$L$711-1),IF($R$17="Distrato",$E957,0)),MIN(AZ$38,$D$19),$P$20))-SUM($P957:AY957)</f>
        <v>#VALUE!</v>
      </c>
      <c r="BA957" s="446" t="e">
        <f>IF(OR($B957="",MIN(BA$38,$D$19)&lt;MAX($P$708*($B957+IF($R$17="Distrato",$I$38-1,0)),IF(AND($L$711=0,$P$708=0),"",$L$711-1),IF($R$17="Distrato",$E957,0))),0,YEARFRAC(MAX($P$708*($B957+IF($R$17="Distrato",$I$38-1,0)),IF(AND($L$711=0,$P$708=0),"",$L$711-1),IF($R$17="Distrato",$E957,0)),MIN(BA$38,$D$19),$P$20))-SUM($P957:AZ957)</f>
        <v>#VALUE!</v>
      </c>
      <c r="BB957" s="447"/>
    </row>
    <row r="958" spans="1:54" s="446" customFormat="1" ht="11.25" hidden="1" customHeight="1" x14ac:dyDescent="0.2">
      <c r="A958" s="235"/>
      <c r="B958" s="236"/>
      <c r="C958" s="29" t="str">
        <f>IF(B958="","",IF($L$709=$BL$25,VLOOKUP(DATE(YEAR($D$19),MONTH($D$19)-1,1),ÍNDICES!$A:$DE,HLOOKUP($BL$25,ÍNDICES!$B$3:$T$4,2)+11)-VLOOKUP(B958,ÍNDICES!$A:$DE,HLOOKUP($BL$25,ÍNDICES!$B$3:$T$4,2)+11)+1%,IF(C$712=$W$26,$J$35,IF(ISERROR(IF(B958&gt;$D$19,1,VLOOKUP(DATE(YEAR(B958),MONTH(B958)+IF($C$709=$S$23,1,0),1),ÍNDICES!$A:$DE,$Z$709+1))),"",IF(B958&gt;$D$19,1,VLOOKUP(DATE(YEAR(B958),MONTH(B958)+IF($C$709=$S$23,1,0),1),ÍNDICES!$A:$DE,$Z$709+1))))))</f>
        <v/>
      </c>
      <c r="D958" s="155"/>
      <c r="E958" s="88"/>
      <c r="F958" s="88"/>
      <c r="G958" s="88"/>
      <c r="H958" s="118"/>
      <c r="I958" s="182">
        <f t="shared" si="136"/>
        <v>0</v>
      </c>
      <c r="J958" s="20">
        <f t="shared" ca="1" si="137"/>
        <v>0</v>
      </c>
      <c r="K958" s="5">
        <f t="shared" ca="1" si="138"/>
        <v>0</v>
      </c>
      <c r="L958" s="61">
        <f t="shared" ca="1" si="139"/>
        <v>0</v>
      </c>
      <c r="M958" s="64">
        <f t="shared" si="140"/>
        <v>0</v>
      </c>
      <c r="N958" s="151"/>
      <c r="O958" s="5">
        <f t="shared" ca="1" si="141"/>
        <v>0</v>
      </c>
      <c r="P958" s="446" t="e">
        <f t="shared" si="142"/>
        <v>#VALUE!</v>
      </c>
      <c r="Q958" s="446" t="e">
        <f>IF(OR($B958="",MIN(Q$38,$D$19)&lt;MAX($P$708*($B958+IF($R$17="Distrato",$I$38-1,0)),IF(AND($L$711=0,$P$708=0),"",$L$711-1),IF($R$17="Distrato",$E958,0))),0,YEARFRAC(MAX($P$708*($B958+IF($R$17="Distrato",$I$38-1,0)),IF(AND($L$711=0,$P$708=0),"",$L$711-1),IF($R$17="Distrato",$E958,0)),MIN(Q$38,$D$19),$P$20))-SUM($P958:P958)</f>
        <v>#VALUE!</v>
      </c>
      <c r="R958" s="446" t="e">
        <f>IF(OR($B958="",MIN(R$38,$D$19)&lt;MAX($P$708*($B958+IF($R$17="Distrato",$I$38-1,0)),IF(AND($L$711=0,$P$708=0),"",$L$711-1),IF($R$17="Distrato",$E958,0))),0,YEARFRAC(MAX($P$708*($B958+IF($R$17="Distrato",$I$38-1,0)),IF(AND($L$711=0,$P$708=0),"",$L$711-1),IF($R$17="Distrato",$E958,0)),MIN(R$38,$D$19),$P$20))-SUM($P958:Q958)</f>
        <v>#VALUE!</v>
      </c>
      <c r="S958" s="446" t="e">
        <f>IF(OR($B958="",MIN(S$38,$D$19)&lt;MAX($P$708*($B958+IF($R$17="Distrato",$I$38-1,0)),IF(AND($L$711=0,$P$708=0),"",$L$711-1),IF($R$17="Distrato",$E958,0))),0,YEARFRAC(MAX($P$708*($B958+IF($R$17="Distrato",$I$38-1,0)),IF(AND($L$711=0,$P$708=0),"",$L$711-1),IF($R$17="Distrato",$E958,0)),MIN(S$38,$D$19),$P$20))-SUM($P958:R958)</f>
        <v>#VALUE!</v>
      </c>
      <c r="T958" s="446" t="e">
        <f>IF(OR($B958="",MIN(T$38,$D$19)&lt;MAX($P$708*($B958+IF($R$17="Distrato",$I$38-1,0)),IF(AND($L$711=0,$P$708=0),"",$L$711-1),IF($R$17="Distrato",$E958,0))),0,YEARFRAC(MAX($P$708*($B958+IF($R$17="Distrato",$I$38-1,0)),IF(AND($L$711=0,$P$708=0),"",$L$711-1),IF($R$17="Distrato",$E958,0)),MIN(T$38,$D$19),$P$20))-SUM($P958:S958)</f>
        <v>#VALUE!</v>
      </c>
      <c r="U958" s="446" t="e">
        <f>IF(OR($B958="",MIN(U$38,$D$19)&lt;MAX($P$708*($B958+IF($R$17="Distrato",$I$38-1,0)),IF(AND($L$711=0,$P$708=0),"",$L$711-1),IF($R$17="Distrato",$E958,0))),0,YEARFRAC(MAX($P$708*($B958+IF($R$17="Distrato",$I$38-1,0)),IF(AND($L$711=0,$P$708=0),"",$L$711-1),IF($R$17="Distrato",$E958,0)),MIN(U$38,$D$19),$P$20))-SUM($P958:T958)</f>
        <v>#VALUE!</v>
      </c>
      <c r="V958" s="446" t="e">
        <f>IF(OR($B958="",MIN(V$38,$D$19)&lt;MAX($P$708*($B958+IF($R$17="Distrato",$I$38-1,0)),IF(AND($L$711=0,$P$708=0),"",$L$711-1),IF($R$17="Distrato",$E958,0))),0,YEARFRAC(MAX($P$708*($B958+IF($R$17="Distrato",$I$38-1,0)),IF(AND($L$711=0,$P$708=0),"",$L$711-1),IF($R$17="Distrato",$E958,0)),MIN(V$38,$D$19),$P$20))-SUM($P958:U958)</f>
        <v>#VALUE!</v>
      </c>
      <c r="W958" s="446" t="e">
        <f>IF(OR($B958="",MIN(W$38,$D$19)&lt;MAX($P$708*($B958+IF($R$17="Distrato",$I$38-1,0)),IF(AND($L$711=0,$P$708=0),"",$L$711-1),IF($R$17="Distrato",$E958,0))),0,YEARFRAC(MAX($P$708*($B958+IF($R$17="Distrato",$I$38-1,0)),IF(AND($L$711=0,$P$708=0),"",$L$711-1),IF($R$17="Distrato",$E958,0)),MIN(W$38,$D$19),$P$20))-SUM($P958:V958)</f>
        <v>#VALUE!</v>
      </c>
      <c r="X958" s="446" t="e">
        <f>IF(OR($B958="",MIN(X$38,$D$19)&lt;MAX($P$708*($B958+IF($R$17="Distrato",$I$38-1,0)),IF(AND($L$711=0,$P$708=0),"",$L$711-1),IF($R$17="Distrato",$E958,0))),0,YEARFRAC(MAX($P$708*($B958+IF($R$17="Distrato",$I$38-1,0)),IF(AND($L$711=0,$P$708=0),"",$L$711-1),IF($R$17="Distrato",$E958,0)),MIN(X$38,$D$19),$P$20))-SUM($P958:W958)</f>
        <v>#VALUE!</v>
      </c>
      <c r="Y958" s="446" t="e">
        <f>IF(OR($B958="",MIN(Y$38,$D$19)&lt;MAX($P$708*($B958+IF($R$17="Distrato",$I$38-1,0)),IF(AND($L$711=0,$P$708=0),"",$L$711-1),IF($R$17="Distrato",$E958,0))),0,YEARFRAC(MAX($P$708*($B958+IF($R$17="Distrato",$I$38-1,0)),IF(AND($L$711=0,$P$708=0),"",$L$711-1),IF($R$17="Distrato",$E958,0)),MIN(Y$38,$D$19),$P$20))-SUM($P958:X958)</f>
        <v>#VALUE!</v>
      </c>
      <c r="Z958" s="446" t="e">
        <f>IF(OR($B958="",MIN(Z$38,$D$19)&lt;MAX($P$708*($B958+IF($R$17="Distrato",$I$38-1,0)),IF(AND($L$711=0,$P$708=0),"",$L$711-1),IF($R$17="Distrato",$E958,0))),0,YEARFRAC(MAX($P$708*($B958+IF($R$17="Distrato",$I$38-1,0)),IF(AND($L$711=0,$P$708=0),"",$L$711-1),IF($R$17="Distrato",$E958,0)),MIN(Z$38,$D$19),$P$20))-SUM($P958:Y958)</f>
        <v>#VALUE!</v>
      </c>
      <c r="AA958" s="446" t="e">
        <f>IF(OR($B958="",MIN(AA$38,$D$19)&lt;MAX($P$708*($B958+IF($R$17="Distrato",$I$38-1,0)),IF(AND($L$711=0,$P$708=0),"",$L$711-1),IF($R$17="Distrato",$E958,0))),0,YEARFRAC(MAX($P$708*($B958+IF($R$17="Distrato",$I$38-1,0)),IF(AND($L$711=0,$P$708=0),"",$L$711-1),IF($R$17="Distrato",$E958,0)),MIN(AA$38,$D$19),$P$20))-SUM($P958:Z958)</f>
        <v>#VALUE!</v>
      </c>
      <c r="AB958" s="446" t="e">
        <f>IF(OR($B958="",MIN(AB$38,$D$19)&lt;MAX($P$708*($B958+IF($R$17="Distrato",$I$38-1,0)),IF(AND($L$711=0,$P$708=0),"",$L$711-1),IF($R$17="Distrato",$E958,0))),0,YEARFRAC(MAX($P$708*($B958+IF($R$17="Distrato",$I$38-1,0)),IF(AND($L$711=0,$P$708=0),"",$L$711-1),IF($R$17="Distrato",$E958,0)),MIN(AB$38,$D$19),$P$20))-SUM($P958:AA958)</f>
        <v>#VALUE!</v>
      </c>
      <c r="AC958" s="446" t="e">
        <f>IF(OR($B958="",MIN(AC$38,$D$19)&lt;MAX($P$708*($B958+IF($R$17="Distrato",$I$38-1,0)),IF(AND($L$711=0,$P$708=0),"",$L$711-1),IF($R$17="Distrato",$E958,0))),0,YEARFRAC(MAX($P$708*($B958+IF($R$17="Distrato",$I$38-1,0)),IF(AND($L$711=0,$P$708=0),"",$L$711-1),IF($R$17="Distrato",$E958,0)),MIN(AC$38,$D$19),$P$20))-SUM($P958:AB958)</f>
        <v>#VALUE!</v>
      </c>
      <c r="AD958" s="446" t="e">
        <f>IF(OR($B958="",MIN(AD$38,$D$19)&lt;MAX($P$708*($B958+IF($R$17="Distrato",$I$38-1,0)),IF(AND($L$711=0,$P$708=0),"",$L$711-1),IF($R$17="Distrato",$E958,0))),0,YEARFRAC(MAX($P$708*($B958+IF($R$17="Distrato",$I$38-1,0)),IF(AND($L$711=0,$P$708=0),"",$L$711-1),IF($R$17="Distrato",$E958,0)),MIN(AD$38,$D$19),$P$20))-SUM($P958:AC958)</f>
        <v>#VALUE!</v>
      </c>
      <c r="AE958" s="446" t="e">
        <f>IF(OR($B958="",MIN(AE$38,$D$19)&lt;MAX($P$708*($B958+IF($R$17="Distrato",$I$38-1,0)),IF(AND($L$711=0,$P$708=0),"",$L$711-1),IF($R$17="Distrato",$E958,0))),0,YEARFRAC(MAX($P$708*($B958+IF($R$17="Distrato",$I$38-1,0)),IF(AND($L$711=0,$P$708=0),"",$L$711-1),IF($R$17="Distrato",$E958,0)),MIN(AE$38,$D$19),$P$20))-SUM($P958:AD958)</f>
        <v>#VALUE!</v>
      </c>
      <c r="AF958" s="446" t="e">
        <f>IF(OR($B958="",MIN(AF$38,$D$19)&lt;MAX($P$708*($B958+IF($R$17="Distrato",$I$38-1,0)),IF(AND($L$711=0,$P$708=0),"",$L$711-1),IF($R$17="Distrato",$E958,0))),0,YEARFRAC(MAX($P$708*($B958+IF($R$17="Distrato",$I$38-1,0)),IF(AND($L$711=0,$P$708=0),"",$L$711-1),IF($R$17="Distrato",$E958,0)),MIN(AF$38,$D$19),$P$20))-SUM($P958:AE958)</f>
        <v>#VALUE!</v>
      </c>
      <c r="AG958" s="446" t="e">
        <f>IF(OR($B958="",MIN(AG$38,$D$19)&lt;MAX($P$708*($B958+IF($R$17="Distrato",$I$38-1,0)),IF(AND($L$711=0,$P$708=0),"",$L$711-1),IF($R$17="Distrato",$E958,0))),0,YEARFRAC(MAX($P$708*($B958+IF($R$17="Distrato",$I$38-1,0)),IF(AND($L$711=0,$P$708=0),"",$L$711-1),IF($R$17="Distrato",$E958,0)),MIN(AG$38,$D$19),$P$20))-SUM($P958:AF958)</f>
        <v>#VALUE!</v>
      </c>
      <c r="AH958" s="446" t="e">
        <f>IF(OR($B958="",MIN(AH$38,$D$19)&lt;MAX($P$708*($B958+IF($R$17="Distrato",$I$38-1,0)),IF(AND($L$711=0,$P$708=0),"",$L$711-1),IF($R$17="Distrato",$E958,0))),0,YEARFRAC(MAX($P$708*($B958+IF($R$17="Distrato",$I$38-1,0)),IF(AND($L$711=0,$P$708=0),"",$L$711-1),IF($R$17="Distrato",$E958,0)),MIN(AH$38,$D$19),$P$20))-SUM($P958:AG958)</f>
        <v>#VALUE!</v>
      </c>
      <c r="AI958" s="446" t="e">
        <f>IF(OR($B958="",MIN(AI$38,$D$19)&lt;MAX($P$708*($B958+IF($R$17="Distrato",$I$38-1,0)),IF(AND($L$711=0,$P$708=0),"",$L$711-1),IF($R$17="Distrato",$E958,0))),0,YEARFRAC(MAX($P$708*($B958+IF($R$17="Distrato",$I$38-1,0)),IF(AND($L$711=0,$P$708=0),"",$L$711-1),IF($R$17="Distrato",$E958,0)),MIN(AI$38,$D$19),$P$20))-SUM($P958:AH958)</f>
        <v>#VALUE!</v>
      </c>
      <c r="AJ958" s="446" t="e">
        <f>IF(OR($B958="",MIN(AJ$38,$D$19)&lt;MAX($P$708*($B958+IF($R$17="Distrato",$I$38-1,0)),IF(AND($L$711=0,$P$708=0),"",$L$711-1),IF($R$17="Distrato",$E958,0))),0,YEARFRAC(MAX($P$708*($B958+IF($R$17="Distrato",$I$38-1,0)),IF(AND($L$711=0,$P$708=0),"",$L$711-1),IF($R$17="Distrato",$E958,0)),MIN(AJ$38,$D$19),$P$20))-SUM($P958:AI958)</f>
        <v>#VALUE!</v>
      </c>
      <c r="AK958" s="446" t="e">
        <f>IF(OR($B958="",MIN(AK$38,$D$19)&lt;MAX($P$708*($B958+IF($R$17="Distrato",$I$38-1,0)),IF(AND($L$711=0,$P$708=0),"",$L$711-1),IF($R$17="Distrato",$E958,0))),0,YEARFRAC(MAX($P$708*($B958+IF($R$17="Distrato",$I$38-1,0)),IF(AND($L$711=0,$P$708=0),"",$L$711-1),IF($R$17="Distrato",$E958,0)),MIN(AK$38,$D$19),$P$20))-SUM($P958:AJ958)</f>
        <v>#VALUE!</v>
      </c>
      <c r="AL958" s="446" t="e">
        <f>IF(OR($B958="",MIN(AL$38,$D$19)&lt;MAX($P$708*($B958+IF($R$17="Distrato",$I$38-1,0)),IF(AND($L$711=0,$P$708=0),"",$L$711-1),IF($R$17="Distrato",$E958,0))),0,YEARFRAC(MAX($P$708*($B958+IF($R$17="Distrato",$I$38-1,0)),IF(AND($L$711=0,$P$708=0),"",$L$711-1),IF($R$17="Distrato",$E958,0)),MIN(AL$38,$D$19),$P$20))-SUM($P958:AK958)</f>
        <v>#VALUE!</v>
      </c>
      <c r="AM958" s="446" t="e">
        <f>IF(OR($B958="",MIN(AM$38,$D$19)&lt;MAX($P$708*($B958+IF($R$17="Distrato",$I$38-1,0)),IF(AND($L$711=0,$P$708=0),"",$L$711-1),IF($R$17="Distrato",$E958,0))),0,YEARFRAC(MAX($P$708*($B958+IF($R$17="Distrato",$I$38-1,0)),IF(AND($L$711=0,$P$708=0),"",$L$711-1),IF($R$17="Distrato",$E958,0)),MIN(AM$38,$D$19),$P$20))-SUM($P958:AL958)</f>
        <v>#VALUE!</v>
      </c>
      <c r="AN958" s="446" t="e">
        <f>IF(OR($B958="",MIN(AN$38,$D$19)&lt;MAX($P$708*($B958+IF($R$17="Distrato",$I$38-1,0)),IF(AND($L$711=0,$P$708=0),"",$L$711-1),IF($R$17="Distrato",$E958,0))),0,YEARFRAC(MAX($P$708*($B958+IF($R$17="Distrato",$I$38-1,0)),IF(AND($L$711=0,$P$708=0),"",$L$711-1),IF($R$17="Distrato",$E958,0)),MIN(AN$38,$D$19),$P$20))-SUM($P958:AM958)</f>
        <v>#VALUE!</v>
      </c>
      <c r="AO958" s="446" t="e">
        <f>IF(OR($B958="",MIN(AO$38,$D$19)&lt;MAX($P$708*($B958+IF($R$17="Distrato",$I$38-1,0)),IF(AND($L$711=0,$P$708=0),"",$L$711-1),IF($R$17="Distrato",$E958,0))),0,YEARFRAC(MAX($P$708*($B958+IF($R$17="Distrato",$I$38-1,0)),IF(AND($L$711=0,$P$708=0),"",$L$711-1),IF($R$17="Distrato",$E958,0)),MIN(AO$38,$D$19),$P$20))-SUM($P958:AN958)</f>
        <v>#VALUE!</v>
      </c>
      <c r="AP958" s="446" t="e">
        <f>IF(OR($B958="",MIN(AP$38,$D$19)&lt;MAX($P$708*($B958+IF($R$17="Distrato",$I$38-1,0)),IF(AND($L$711=0,$P$708=0),"",$L$711-1),IF($R$17="Distrato",$E958,0))),0,YEARFRAC(MAX($P$708*($B958+IF($R$17="Distrato",$I$38-1,0)),IF(AND($L$711=0,$P$708=0),"",$L$711-1),IF($R$17="Distrato",$E958,0)),MIN(AP$38,$D$19),$P$20))-SUM($P958:AO958)</f>
        <v>#VALUE!</v>
      </c>
      <c r="AQ958" s="446" t="e">
        <f>IF(OR($B958="",MIN(AQ$38,$D$19)&lt;MAX($P$708*($B958+IF($R$17="Distrato",$I$38-1,0)),IF(AND($L$711=0,$P$708=0),"",$L$711-1),IF($R$17="Distrato",$E958,0))),0,YEARFRAC(MAX($P$708*($B958+IF($R$17="Distrato",$I$38-1,0)),IF(AND($L$711=0,$P$708=0),"",$L$711-1),IF($R$17="Distrato",$E958,0)),MIN(AQ$38,$D$19),$P$20))-SUM($P958:AP958)</f>
        <v>#VALUE!</v>
      </c>
      <c r="AR958" s="446" t="e">
        <f>IF(OR($B958="",MIN(AR$38,$D$19)&lt;MAX($P$708*($B958+IF($R$17="Distrato",$I$38-1,0)),IF(AND($L$711=0,$P$708=0),"",$L$711-1),IF($R$17="Distrato",$E958,0))),0,YEARFRAC(MAX($P$708*($B958+IF($R$17="Distrato",$I$38-1,0)),IF(AND($L$711=0,$P$708=0),"",$L$711-1),IF($R$17="Distrato",$E958,0)),MIN(AR$38,$D$19),$P$20))-SUM($P958:AQ958)</f>
        <v>#VALUE!</v>
      </c>
      <c r="AS958" s="446" t="e">
        <f>IF(OR($B958="",MIN(AS$38,$D$19)&lt;MAX($P$708*($B958+IF($R$17="Distrato",$I$38-1,0)),IF(AND($L$711=0,$P$708=0),"",$L$711-1),IF($R$17="Distrato",$E958,0))),0,YEARFRAC(MAX($P$708*($B958+IF($R$17="Distrato",$I$38-1,0)),IF(AND($L$711=0,$P$708=0),"",$L$711-1),IF($R$17="Distrato",$E958,0)),MIN(AS$38,$D$19),$P$20))-SUM($P958:AR958)</f>
        <v>#VALUE!</v>
      </c>
      <c r="AT958" s="446" t="e">
        <f>IF(OR($B958="",MIN(AT$38,$D$19)&lt;MAX($P$708*($B958+IF($R$17="Distrato",$I$38-1,0)),IF(AND($L$711=0,$P$708=0),"",$L$711-1),IF($R$17="Distrato",$E958,0))),0,YEARFRAC(MAX($P$708*($B958+IF($R$17="Distrato",$I$38-1,0)),IF(AND($L$711=0,$P$708=0),"",$L$711-1),IF($R$17="Distrato",$E958,0)),MIN(AT$38,$D$19),$P$20))-SUM($P958:AS958)</f>
        <v>#VALUE!</v>
      </c>
      <c r="AU958" s="446" t="e">
        <f>IF(OR($B958="",MIN(AU$38,$D$19)&lt;MAX($P$708*($B958+IF($R$17="Distrato",$I$38-1,0)),IF(AND($L$711=0,$P$708=0),"",$L$711-1),IF($R$17="Distrato",$E958,0))),0,YEARFRAC(MAX($P$708*($B958+IF($R$17="Distrato",$I$38-1,0)),IF(AND($L$711=0,$P$708=0),"",$L$711-1),IF($R$17="Distrato",$E958,0)),MIN(AU$38,$D$19),$P$20))-SUM($P958:AT958)</f>
        <v>#VALUE!</v>
      </c>
      <c r="AV958" s="446" t="e">
        <f>IF(OR($B958="",MIN(AV$38,$D$19)&lt;MAX($P$708*($B958+IF($R$17="Distrato",$I$38-1,0)),IF(AND($L$711=0,$P$708=0),"",$L$711-1),IF($R$17="Distrato",$E958,0))),0,YEARFRAC(MAX($P$708*($B958+IF($R$17="Distrato",$I$38-1,0)),IF(AND($L$711=0,$P$708=0),"",$L$711-1),IF($R$17="Distrato",$E958,0)),MIN(AV$38,$D$19),$P$20))-SUM($P958:AU958)</f>
        <v>#VALUE!</v>
      </c>
      <c r="AW958" s="446" t="e">
        <f>IF(OR($B958="",MIN(AW$38,$D$19)&lt;MAX($P$708*($B958+IF($R$17="Distrato",$I$38-1,0)),IF(AND($L$711=0,$P$708=0),"",$L$711-1),IF($R$17="Distrato",$E958,0))),0,YEARFRAC(MAX($P$708*($B958+IF($R$17="Distrato",$I$38-1,0)),IF(AND($L$711=0,$P$708=0),"",$L$711-1),IF($R$17="Distrato",$E958,0)),MIN(AW$38,$D$19),$P$20))-SUM($P958:AV958)</f>
        <v>#VALUE!</v>
      </c>
      <c r="AX958" s="446" t="e">
        <f>IF(OR($B958="",MIN(AX$38,$D$19)&lt;MAX($P$708*($B958+IF($R$17="Distrato",$I$38-1,0)),IF(AND($L$711=0,$P$708=0),"",$L$711-1),IF($R$17="Distrato",$E958,0))),0,YEARFRAC(MAX($P$708*($B958+IF($R$17="Distrato",$I$38-1,0)),IF(AND($L$711=0,$P$708=0),"",$L$711-1),IF($R$17="Distrato",$E958,0)),MIN(AX$38,$D$19),$P$20))-SUM($P958:AW958)</f>
        <v>#VALUE!</v>
      </c>
      <c r="AY958" s="446" t="e">
        <f>IF(OR($B958="",MIN(AY$38,$D$19)&lt;MAX($P$708*($B958+IF($R$17="Distrato",$I$38-1,0)),IF(AND($L$711=0,$P$708=0),"",$L$711-1),IF($R$17="Distrato",$E958,0))),0,YEARFRAC(MAX($P$708*($B958+IF($R$17="Distrato",$I$38-1,0)),IF(AND($L$711=0,$P$708=0),"",$L$711-1),IF($R$17="Distrato",$E958,0)),MIN(AY$38,$D$19),$P$20))-SUM($P958:AX958)</f>
        <v>#VALUE!</v>
      </c>
      <c r="AZ958" s="446" t="e">
        <f>IF(OR($B958="",MIN(AZ$38,$D$19)&lt;MAX($P$708*($B958+IF($R$17="Distrato",$I$38-1,0)),IF(AND($L$711=0,$P$708=0),"",$L$711-1),IF($R$17="Distrato",$E958,0))),0,YEARFRAC(MAX($P$708*($B958+IF($R$17="Distrato",$I$38-1,0)),IF(AND($L$711=0,$P$708=0),"",$L$711-1),IF($R$17="Distrato",$E958,0)),MIN(AZ$38,$D$19),$P$20))-SUM($P958:AY958)</f>
        <v>#VALUE!</v>
      </c>
      <c r="BA958" s="446" t="e">
        <f>IF(OR($B958="",MIN(BA$38,$D$19)&lt;MAX($P$708*($B958+IF($R$17="Distrato",$I$38-1,0)),IF(AND($L$711=0,$P$708=0),"",$L$711-1),IF($R$17="Distrato",$E958,0))),0,YEARFRAC(MAX($P$708*($B958+IF($R$17="Distrato",$I$38-1,0)),IF(AND($L$711=0,$P$708=0),"",$L$711-1),IF($R$17="Distrato",$E958,0)),MIN(BA$38,$D$19),$P$20))-SUM($P958:AZ958)</f>
        <v>#VALUE!</v>
      </c>
      <c r="BB958" s="447"/>
    </row>
    <row r="959" spans="1:54" s="446" customFormat="1" ht="11.25" hidden="1" customHeight="1" x14ac:dyDescent="0.2">
      <c r="A959" s="235"/>
      <c r="B959" s="236"/>
      <c r="C959" s="29" t="str">
        <f>IF(B959="","",IF($L$709=$BL$25,VLOOKUP(DATE(YEAR($D$19),MONTH($D$19)-1,1),ÍNDICES!$A:$DE,HLOOKUP($BL$25,ÍNDICES!$B$3:$T$4,2)+11)-VLOOKUP(B959,ÍNDICES!$A:$DE,HLOOKUP($BL$25,ÍNDICES!$B$3:$T$4,2)+11)+1%,IF(C$712=$W$26,$J$35,IF(ISERROR(IF(B959&gt;$D$19,1,VLOOKUP(DATE(YEAR(B959),MONTH(B959)+IF($C$709=$S$23,1,0),1),ÍNDICES!$A:$DE,$Z$709+1))),"",IF(B959&gt;$D$19,1,VLOOKUP(DATE(YEAR(B959),MONTH(B959)+IF($C$709=$S$23,1,0),1),ÍNDICES!$A:$DE,$Z$709+1))))))</f>
        <v/>
      </c>
      <c r="D959" s="155"/>
      <c r="E959" s="88"/>
      <c r="F959" s="88"/>
      <c r="G959" s="88"/>
      <c r="H959" s="118"/>
      <c r="I959" s="182">
        <f t="shared" si="136"/>
        <v>0</v>
      </c>
      <c r="J959" s="20">
        <f t="shared" ca="1" si="137"/>
        <v>0</v>
      </c>
      <c r="K959" s="5">
        <f t="shared" ca="1" si="138"/>
        <v>0</v>
      </c>
      <c r="L959" s="61">
        <f t="shared" ca="1" si="139"/>
        <v>0</v>
      </c>
      <c r="M959" s="64">
        <f t="shared" si="140"/>
        <v>0</v>
      </c>
      <c r="N959" s="151"/>
      <c r="O959" s="5">
        <f t="shared" ca="1" si="141"/>
        <v>0</v>
      </c>
      <c r="P959" s="446" t="e">
        <f t="shared" si="142"/>
        <v>#VALUE!</v>
      </c>
      <c r="Q959" s="446" t="e">
        <f>IF(OR($B959="",MIN(Q$38,$D$19)&lt;MAX($P$708*($B959+IF($R$17="Distrato",$I$38-1,0)),IF(AND($L$711=0,$P$708=0),"",$L$711-1),IF($R$17="Distrato",$E959,0))),0,YEARFRAC(MAX($P$708*($B959+IF($R$17="Distrato",$I$38-1,0)),IF(AND($L$711=0,$P$708=0),"",$L$711-1),IF($R$17="Distrato",$E959,0)),MIN(Q$38,$D$19),$P$20))-SUM($P959:P959)</f>
        <v>#VALUE!</v>
      </c>
      <c r="R959" s="446" t="e">
        <f>IF(OR($B959="",MIN(R$38,$D$19)&lt;MAX($P$708*($B959+IF($R$17="Distrato",$I$38-1,0)),IF(AND($L$711=0,$P$708=0),"",$L$711-1),IF($R$17="Distrato",$E959,0))),0,YEARFRAC(MAX($P$708*($B959+IF($R$17="Distrato",$I$38-1,0)),IF(AND($L$711=0,$P$708=0),"",$L$711-1),IF($R$17="Distrato",$E959,0)),MIN(R$38,$D$19),$P$20))-SUM($P959:Q959)</f>
        <v>#VALUE!</v>
      </c>
      <c r="S959" s="446" t="e">
        <f>IF(OR($B959="",MIN(S$38,$D$19)&lt;MAX($P$708*($B959+IF($R$17="Distrato",$I$38-1,0)),IF(AND($L$711=0,$P$708=0),"",$L$711-1),IF($R$17="Distrato",$E959,0))),0,YEARFRAC(MAX($P$708*($B959+IF($R$17="Distrato",$I$38-1,0)),IF(AND($L$711=0,$P$708=0),"",$L$711-1),IF($R$17="Distrato",$E959,0)),MIN(S$38,$D$19),$P$20))-SUM($P959:R959)</f>
        <v>#VALUE!</v>
      </c>
      <c r="T959" s="446" t="e">
        <f>IF(OR($B959="",MIN(T$38,$D$19)&lt;MAX($P$708*($B959+IF($R$17="Distrato",$I$38-1,0)),IF(AND($L$711=0,$P$708=0),"",$L$711-1),IF($R$17="Distrato",$E959,0))),0,YEARFRAC(MAX($P$708*($B959+IF($R$17="Distrato",$I$38-1,0)),IF(AND($L$711=0,$P$708=0),"",$L$711-1),IF($R$17="Distrato",$E959,0)),MIN(T$38,$D$19),$P$20))-SUM($P959:S959)</f>
        <v>#VALUE!</v>
      </c>
      <c r="U959" s="446" t="e">
        <f>IF(OR($B959="",MIN(U$38,$D$19)&lt;MAX($P$708*($B959+IF($R$17="Distrato",$I$38-1,0)),IF(AND($L$711=0,$P$708=0),"",$L$711-1),IF($R$17="Distrato",$E959,0))),0,YEARFRAC(MAX($P$708*($B959+IF($R$17="Distrato",$I$38-1,0)),IF(AND($L$711=0,$P$708=0),"",$L$711-1),IF($R$17="Distrato",$E959,0)),MIN(U$38,$D$19),$P$20))-SUM($P959:T959)</f>
        <v>#VALUE!</v>
      </c>
      <c r="V959" s="446" t="e">
        <f>IF(OR($B959="",MIN(V$38,$D$19)&lt;MAX($P$708*($B959+IF($R$17="Distrato",$I$38-1,0)),IF(AND($L$711=0,$P$708=0),"",$L$711-1),IF($R$17="Distrato",$E959,0))),0,YEARFRAC(MAX($P$708*($B959+IF($R$17="Distrato",$I$38-1,0)),IF(AND($L$711=0,$P$708=0),"",$L$711-1),IF($R$17="Distrato",$E959,0)),MIN(V$38,$D$19),$P$20))-SUM($P959:U959)</f>
        <v>#VALUE!</v>
      </c>
      <c r="W959" s="446" t="e">
        <f>IF(OR($B959="",MIN(W$38,$D$19)&lt;MAX($P$708*($B959+IF($R$17="Distrato",$I$38-1,0)),IF(AND($L$711=0,$P$708=0),"",$L$711-1),IF($R$17="Distrato",$E959,0))),0,YEARFRAC(MAX($P$708*($B959+IF($R$17="Distrato",$I$38-1,0)),IF(AND($L$711=0,$P$708=0),"",$L$711-1),IF($R$17="Distrato",$E959,0)),MIN(W$38,$D$19),$P$20))-SUM($P959:V959)</f>
        <v>#VALUE!</v>
      </c>
      <c r="X959" s="446" t="e">
        <f>IF(OR($B959="",MIN(X$38,$D$19)&lt;MAX($P$708*($B959+IF($R$17="Distrato",$I$38-1,0)),IF(AND($L$711=0,$P$708=0),"",$L$711-1),IF($R$17="Distrato",$E959,0))),0,YEARFRAC(MAX($P$708*($B959+IF($R$17="Distrato",$I$38-1,0)),IF(AND($L$711=0,$P$708=0),"",$L$711-1),IF($R$17="Distrato",$E959,0)),MIN(X$38,$D$19),$P$20))-SUM($P959:W959)</f>
        <v>#VALUE!</v>
      </c>
      <c r="Y959" s="446" t="e">
        <f>IF(OR($B959="",MIN(Y$38,$D$19)&lt;MAX($P$708*($B959+IF($R$17="Distrato",$I$38-1,0)),IF(AND($L$711=0,$P$708=0),"",$L$711-1),IF($R$17="Distrato",$E959,0))),0,YEARFRAC(MAX($P$708*($B959+IF($R$17="Distrato",$I$38-1,0)),IF(AND($L$711=0,$P$708=0),"",$L$711-1),IF($R$17="Distrato",$E959,0)),MIN(Y$38,$D$19),$P$20))-SUM($P959:X959)</f>
        <v>#VALUE!</v>
      </c>
      <c r="Z959" s="446" t="e">
        <f>IF(OR($B959="",MIN(Z$38,$D$19)&lt;MAX($P$708*($B959+IF($R$17="Distrato",$I$38-1,0)),IF(AND($L$711=0,$P$708=0),"",$L$711-1),IF($R$17="Distrato",$E959,0))),0,YEARFRAC(MAX($P$708*($B959+IF($R$17="Distrato",$I$38-1,0)),IF(AND($L$711=0,$P$708=0),"",$L$711-1),IF($R$17="Distrato",$E959,0)),MIN(Z$38,$D$19),$P$20))-SUM($P959:Y959)</f>
        <v>#VALUE!</v>
      </c>
      <c r="AA959" s="446" t="e">
        <f>IF(OR($B959="",MIN(AA$38,$D$19)&lt;MAX($P$708*($B959+IF($R$17="Distrato",$I$38-1,0)),IF(AND($L$711=0,$P$708=0),"",$L$711-1),IF($R$17="Distrato",$E959,0))),0,YEARFRAC(MAX($P$708*($B959+IF($R$17="Distrato",$I$38-1,0)),IF(AND($L$711=0,$P$708=0),"",$L$711-1),IF($R$17="Distrato",$E959,0)),MIN(AA$38,$D$19),$P$20))-SUM($P959:Z959)</f>
        <v>#VALUE!</v>
      </c>
      <c r="AB959" s="446" t="e">
        <f>IF(OR($B959="",MIN(AB$38,$D$19)&lt;MAX($P$708*($B959+IF($R$17="Distrato",$I$38-1,0)),IF(AND($L$711=0,$P$708=0),"",$L$711-1),IF($R$17="Distrato",$E959,0))),0,YEARFRAC(MAX($P$708*($B959+IF($R$17="Distrato",$I$38-1,0)),IF(AND($L$711=0,$P$708=0),"",$L$711-1),IF($R$17="Distrato",$E959,0)),MIN(AB$38,$D$19),$P$20))-SUM($P959:AA959)</f>
        <v>#VALUE!</v>
      </c>
      <c r="AC959" s="446" t="e">
        <f>IF(OR($B959="",MIN(AC$38,$D$19)&lt;MAX($P$708*($B959+IF($R$17="Distrato",$I$38-1,0)),IF(AND($L$711=0,$P$708=0),"",$L$711-1),IF($R$17="Distrato",$E959,0))),0,YEARFRAC(MAX($P$708*($B959+IF($R$17="Distrato",$I$38-1,0)),IF(AND($L$711=0,$P$708=0),"",$L$711-1),IF($R$17="Distrato",$E959,0)),MIN(AC$38,$D$19),$P$20))-SUM($P959:AB959)</f>
        <v>#VALUE!</v>
      </c>
      <c r="AD959" s="446" t="e">
        <f>IF(OR($B959="",MIN(AD$38,$D$19)&lt;MAX($P$708*($B959+IF($R$17="Distrato",$I$38-1,0)),IF(AND($L$711=0,$P$708=0),"",$L$711-1),IF($R$17="Distrato",$E959,0))),0,YEARFRAC(MAX($P$708*($B959+IF($R$17="Distrato",$I$38-1,0)),IF(AND($L$711=0,$P$708=0),"",$L$711-1),IF($R$17="Distrato",$E959,0)),MIN(AD$38,$D$19),$P$20))-SUM($P959:AC959)</f>
        <v>#VALUE!</v>
      </c>
      <c r="AE959" s="446" t="e">
        <f>IF(OR($B959="",MIN(AE$38,$D$19)&lt;MAX($P$708*($B959+IF($R$17="Distrato",$I$38-1,0)),IF(AND($L$711=0,$P$708=0),"",$L$711-1),IF($R$17="Distrato",$E959,0))),0,YEARFRAC(MAX($P$708*($B959+IF($R$17="Distrato",$I$38-1,0)),IF(AND($L$711=0,$P$708=0),"",$L$711-1),IF($R$17="Distrato",$E959,0)),MIN(AE$38,$D$19),$P$20))-SUM($P959:AD959)</f>
        <v>#VALUE!</v>
      </c>
      <c r="AF959" s="446" t="e">
        <f>IF(OR($B959="",MIN(AF$38,$D$19)&lt;MAX($P$708*($B959+IF($R$17="Distrato",$I$38-1,0)),IF(AND($L$711=0,$P$708=0),"",$L$711-1),IF($R$17="Distrato",$E959,0))),0,YEARFRAC(MAX($P$708*($B959+IF($R$17="Distrato",$I$38-1,0)),IF(AND($L$711=0,$P$708=0),"",$L$711-1),IF($R$17="Distrato",$E959,0)),MIN(AF$38,$D$19),$P$20))-SUM($P959:AE959)</f>
        <v>#VALUE!</v>
      </c>
      <c r="AG959" s="446" t="e">
        <f>IF(OR($B959="",MIN(AG$38,$D$19)&lt;MAX($P$708*($B959+IF($R$17="Distrato",$I$38-1,0)),IF(AND($L$711=0,$P$708=0),"",$L$711-1),IF($R$17="Distrato",$E959,0))),0,YEARFRAC(MAX($P$708*($B959+IF($R$17="Distrato",$I$38-1,0)),IF(AND($L$711=0,$P$708=0),"",$L$711-1),IF($R$17="Distrato",$E959,0)),MIN(AG$38,$D$19),$P$20))-SUM($P959:AF959)</f>
        <v>#VALUE!</v>
      </c>
      <c r="AH959" s="446" t="e">
        <f>IF(OR($B959="",MIN(AH$38,$D$19)&lt;MAX($P$708*($B959+IF($R$17="Distrato",$I$38-1,0)),IF(AND($L$711=0,$P$708=0),"",$L$711-1),IF($R$17="Distrato",$E959,0))),0,YEARFRAC(MAX($P$708*($B959+IF($R$17="Distrato",$I$38-1,0)),IF(AND($L$711=0,$P$708=0),"",$L$711-1),IF($R$17="Distrato",$E959,0)),MIN(AH$38,$D$19),$P$20))-SUM($P959:AG959)</f>
        <v>#VALUE!</v>
      </c>
      <c r="AI959" s="446" t="e">
        <f>IF(OR($B959="",MIN(AI$38,$D$19)&lt;MAX($P$708*($B959+IF($R$17="Distrato",$I$38-1,0)),IF(AND($L$711=0,$P$708=0),"",$L$711-1),IF($R$17="Distrato",$E959,0))),0,YEARFRAC(MAX($P$708*($B959+IF($R$17="Distrato",$I$38-1,0)),IF(AND($L$711=0,$P$708=0),"",$L$711-1),IF($R$17="Distrato",$E959,0)),MIN(AI$38,$D$19),$P$20))-SUM($P959:AH959)</f>
        <v>#VALUE!</v>
      </c>
      <c r="AJ959" s="446" t="e">
        <f>IF(OR($B959="",MIN(AJ$38,$D$19)&lt;MAX($P$708*($B959+IF($R$17="Distrato",$I$38-1,0)),IF(AND($L$711=0,$P$708=0),"",$L$711-1),IF($R$17="Distrato",$E959,0))),0,YEARFRAC(MAX($P$708*($B959+IF($R$17="Distrato",$I$38-1,0)),IF(AND($L$711=0,$P$708=0),"",$L$711-1),IF($R$17="Distrato",$E959,0)),MIN(AJ$38,$D$19),$P$20))-SUM($P959:AI959)</f>
        <v>#VALUE!</v>
      </c>
      <c r="AK959" s="446" t="e">
        <f>IF(OR($B959="",MIN(AK$38,$D$19)&lt;MAX($P$708*($B959+IF($R$17="Distrato",$I$38-1,0)),IF(AND($L$711=0,$P$708=0),"",$L$711-1),IF($R$17="Distrato",$E959,0))),0,YEARFRAC(MAX($P$708*($B959+IF($R$17="Distrato",$I$38-1,0)),IF(AND($L$711=0,$P$708=0),"",$L$711-1),IF($R$17="Distrato",$E959,0)),MIN(AK$38,$D$19),$P$20))-SUM($P959:AJ959)</f>
        <v>#VALUE!</v>
      </c>
      <c r="AL959" s="446" t="e">
        <f>IF(OR($B959="",MIN(AL$38,$D$19)&lt;MAX($P$708*($B959+IF($R$17="Distrato",$I$38-1,0)),IF(AND($L$711=0,$P$708=0),"",$L$711-1),IF($R$17="Distrato",$E959,0))),0,YEARFRAC(MAX($P$708*($B959+IF($R$17="Distrato",$I$38-1,0)),IF(AND($L$711=0,$P$708=0),"",$L$711-1),IF($R$17="Distrato",$E959,0)),MIN(AL$38,$D$19),$P$20))-SUM($P959:AK959)</f>
        <v>#VALUE!</v>
      </c>
      <c r="AM959" s="446" t="e">
        <f>IF(OR($B959="",MIN(AM$38,$D$19)&lt;MAX($P$708*($B959+IF($R$17="Distrato",$I$38-1,0)),IF(AND($L$711=0,$P$708=0),"",$L$711-1),IF($R$17="Distrato",$E959,0))),0,YEARFRAC(MAX($P$708*($B959+IF($R$17="Distrato",$I$38-1,0)),IF(AND($L$711=0,$P$708=0),"",$L$711-1),IF($R$17="Distrato",$E959,0)),MIN(AM$38,$D$19),$P$20))-SUM($P959:AL959)</f>
        <v>#VALUE!</v>
      </c>
      <c r="AN959" s="446" t="e">
        <f>IF(OR($B959="",MIN(AN$38,$D$19)&lt;MAX($P$708*($B959+IF($R$17="Distrato",$I$38-1,0)),IF(AND($L$711=0,$P$708=0),"",$L$711-1),IF($R$17="Distrato",$E959,0))),0,YEARFRAC(MAX($P$708*($B959+IF($R$17="Distrato",$I$38-1,0)),IF(AND($L$711=0,$P$708=0),"",$L$711-1),IF($R$17="Distrato",$E959,0)),MIN(AN$38,$D$19),$P$20))-SUM($P959:AM959)</f>
        <v>#VALUE!</v>
      </c>
      <c r="AO959" s="446" t="e">
        <f>IF(OR($B959="",MIN(AO$38,$D$19)&lt;MAX($P$708*($B959+IF($R$17="Distrato",$I$38-1,0)),IF(AND($L$711=0,$P$708=0),"",$L$711-1),IF($R$17="Distrato",$E959,0))),0,YEARFRAC(MAX($P$708*($B959+IF($R$17="Distrato",$I$38-1,0)),IF(AND($L$711=0,$P$708=0),"",$L$711-1),IF($R$17="Distrato",$E959,0)),MIN(AO$38,$D$19),$P$20))-SUM($P959:AN959)</f>
        <v>#VALUE!</v>
      </c>
      <c r="AP959" s="446" t="e">
        <f>IF(OR($B959="",MIN(AP$38,$D$19)&lt;MAX($P$708*($B959+IF($R$17="Distrato",$I$38-1,0)),IF(AND($L$711=0,$P$708=0),"",$L$711-1),IF($R$17="Distrato",$E959,0))),0,YEARFRAC(MAX($P$708*($B959+IF($R$17="Distrato",$I$38-1,0)),IF(AND($L$711=0,$P$708=0),"",$L$711-1),IF($R$17="Distrato",$E959,0)),MIN(AP$38,$D$19),$P$20))-SUM($P959:AO959)</f>
        <v>#VALUE!</v>
      </c>
      <c r="AQ959" s="446" t="e">
        <f>IF(OR($B959="",MIN(AQ$38,$D$19)&lt;MAX($P$708*($B959+IF($R$17="Distrato",$I$38-1,0)),IF(AND($L$711=0,$P$708=0),"",$L$711-1),IF($R$17="Distrato",$E959,0))),0,YEARFRAC(MAX($P$708*($B959+IF($R$17="Distrato",$I$38-1,0)),IF(AND($L$711=0,$P$708=0),"",$L$711-1),IF($R$17="Distrato",$E959,0)),MIN(AQ$38,$D$19),$P$20))-SUM($P959:AP959)</f>
        <v>#VALUE!</v>
      </c>
      <c r="AR959" s="446" t="e">
        <f>IF(OR($B959="",MIN(AR$38,$D$19)&lt;MAX($P$708*($B959+IF($R$17="Distrato",$I$38-1,0)),IF(AND($L$711=0,$P$708=0),"",$L$711-1),IF($R$17="Distrato",$E959,0))),0,YEARFRAC(MAX($P$708*($B959+IF($R$17="Distrato",$I$38-1,0)),IF(AND($L$711=0,$P$708=0),"",$L$711-1),IF($R$17="Distrato",$E959,0)),MIN(AR$38,$D$19),$P$20))-SUM($P959:AQ959)</f>
        <v>#VALUE!</v>
      </c>
      <c r="AS959" s="446" t="e">
        <f>IF(OR($B959="",MIN(AS$38,$D$19)&lt;MAX($P$708*($B959+IF($R$17="Distrato",$I$38-1,0)),IF(AND($L$711=0,$P$708=0),"",$L$711-1),IF($R$17="Distrato",$E959,0))),0,YEARFRAC(MAX($P$708*($B959+IF($R$17="Distrato",$I$38-1,0)),IF(AND($L$711=0,$P$708=0),"",$L$711-1),IF($R$17="Distrato",$E959,0)),MIN(AS$38,$D$19),$P$20))-SUM($P959:AR959)</f>
        <v>#VALUE!</v>
      </c>
      <c r="AT959" s="446" t="e">
        <f>IF(OR($B959="",MIN(AT$38,$D$19)&lt;MAX($P$708*($B959+IF($R$17="Distrato",$I$38-1,0)),IF(AND($L$711=0,$P$708=0),"",$L$711-1),IF($R$17="Distrato",$E959,0))),0,YEARFRAC(MAX($P$708*($B959+IF($R$17="Distrato",$I$38-1,0)),IF(AND($L$711=0,$P$708=0),"",$L$711-1),IF($R$17="Distrato",$E959,0)),MIN(AT$38,$D$19),$P$20))-SUM($P959:AS959)</f>
        <v>#VALUE!</v>
      </c>
      <c r="AU959" s="446" t="e">
        <f>IF(OR($B959="",MIN(AU$38,$D$19)&lt;MAX($P$708*($B959+IF($R$17="Distrato",$I$38-1,0)),IF(AND($L$711=0,$P$708=0),"",$L$711-1),IF($R$17="Distrato",$E959,0))),0,YEARFRAC(MAX($P$708*($B959+IF($R$17="Distrato",$I$38-1,0)),IF(AND($L$711=0,$P$708=0),"",$L$711-1),IF($R$17="Distrato",$E959,0)),MIN(AU$38,$D$19),$P$20))-SUM($P959:AT959)</f>
        <v>#VALUE!</v>
      </c>
      <c r="AV959" s="446" t="e">
        <f>IF(OR($B959="",MIN(AV$38,$D$19)&lt;MAX($P$708*($B959+IF($R$17="Distrato",$I$38-1,0)),IF(AND($L$711=0,$P$708=0),"",$L$711-1),IF($R$17="Distrato",$E959,0))),0,YEARFRAC(MAX($P$708*($B959+IF($R$17="Distrato",$I$38-1,0)),IF(AND($L$711=0,$P$708=0),"",$L$711-1),IF($R$17="Distrato",$E959,0)),MIN(AV$38,$D$19),$P$20))-SUM($P959:AU959)</f>
        <v>#VALUE!</v>
      </c>
      <c r="AW959" s="446" t="e">
        <f>IF(OR($B959="",MIN(AW$38,$D$19)&lt;MAX($P$708*($B959+IF($R$17="Distrato",$I$38-1,0)),IF(AND($L$711=0,$P$708=0),"",$L$711-1),IF($R$17="Distrato",$E959,0))),0,YEARFRAC(MAX($P$708*($B959+IF($R$17="Distrato",$I$38-1,0)),IF(AND($L$711=0,$P$708=0),"",$L$711-1),IF($R$17="Distrato",$E959,0)),MIN(AW$38,$D$19),$P$20))-SUM($P959:AV959)</f>
        <v>#VALUE!</v>
      </c>
      <c r="AX959" s="446" t="e">
        <f>IF(OR($B959="",MIN(AX$38,$D$19)&lt;MAX($P$708*($B959+IF($R$17="Distrato",$I$38-1,0)),IF(AND($L$711=0,$P$708=0),"",$L$711-1),IF($R$17="Distrato",$E959,0))),0,YEARFRAC(MAX($P$708*($B959+IF($R$17="Distrato",$I$38-1,0)),IF(AND($L$711=0,$P$708=0),"",$L$711-1),IF($R$17="Distrato",$E959,0)),MIN(AX$38,$D$19),$P$20))-SUM($P959:AW959)</f>
        <v>#VALUE!</v>
      </c>
      <c r="AY959" s="446" t="e">
        <f>IF(OR($B959="",MIN(AY$38,$D$19)&lt;MAX($P$708*($B959+IF($R$17="Distrato",$I$38-1,0)),IF(AND($L$711=0,$P$708=0),"",$L$711-1),IF($R$17="Distrato",$E959,0))),0,YEARFRAC(MAX($P$708*($B959+IF($R$17="Distrato",$I$38-1,0)),IF(AND($L$711=0,$P$708=0),"",$L$711-1),IF($R$17="Distrato",$E959,0)),MIN(AY$38,$D$19),$P$20))-SUM($P959:AX959)</f>
        <v>#VALUE!</v>
      </c>
      <c r="AZ959" s="446" t="e">
        <f>IF(OR($B959="",MIN(AZ$38,$D$19)&lt;MAX($P$708*($B959+IF($R$17="Distrato",$I$38-1,0)),IF(AND($L$711=0,$P$708=0),"",$L$711-1),IF($R$17="Distrato",$E959,0))),0,YEARFRAC(MAX($P$708*($B959+IF($R$17="Distrato",$I$38-1,0)),IF(AND($L$711=0,$P$708=0),"",$L$711-1),IF($R$17="Distrato",$E959,0)),MIN(AZ$38,$D$19),$P$20))-SUM($P959:AY959)</f>
        <v>#VALUE!</v>
      </c>
      <c r="BA959" s="446" t="e">
        <f>IF(OR($B959="",MIN(BA$38,$D$19)&lt;MAX($P$708*($B959+IF($R$17="Distrato",$I$38-1,0)),IF(AND($L$711=0,$P$708=0),"",$L$711-1),IF($R$17="Distrato",$E959,0))),0,YEARFRAC(MAX($P$708*($B959+IF($R$17="Distrato",$I$38-1,0)),IF(AND($L$711=0,$P$708=0),"",$L$711-1),IF($R$17="Distrato",$E959,0)),MIN(BA$38,$D$19),$P$20))-SUM($P959:AZ959)</f>
        <v>#VALUE!</v>
      </c>
      <c r="BB959" s="447"/>
    </row>
    <row r="960" spans="1:54" s="446" customFormat="1" ht="11.25" hidden="1" customHeight="1" x14ac:dyDescent="0.2">
      <c r="A960" s="235"/>
      <c r="B960" s="236"/>
      <c r="C960" s="29" t="str">
        <f>IF(B960="","",IF($L$709=$BL$25,VLOOKUP(DATE(YEAR($D$19),MONTH($D$19)-1,1),ÍNDICES!$A:$DE,HLOOKUP($BL$25,ÍNDICES!$B$3:$T$4,2)+11)-VLOOKUP(B960,ÍNDICES!$A:$DE,HLOOKUP($BL$25,ÍNDICES!$B$3:$T$4,2)+11)+1%,IF(C$712=$W$26,$J$35,IF(ISERROR(IF(B960&gt;$D$19,1,VLOOKUP(DATE(YEAR(B960),MONTH(B960)+IF($C$709=$S$23,1,0),1),ÍNDICES!$A:$DE,$Z$709+1))),"",IF(B960&gt;$D$19,1,VLOOKUP(DATE(YEAR(B960),MONTH(B960)+IF($C$709=$S$23,1,0),1),ÍNDICES!$A:$DE,$Z$709+1))))))</f>
        <v/>
      </c>
      <c r="D960" s="155"/>
      <c r="E960" s="88"/>
      <c r="F960" s="88"/>
      <c r="G960" s="88"/>
      <c r="H960" s="118"/>
      <c r="I960" s="182">
        <f t="shared" si="136"/>
        <v>0</v>
      </c>
      <c r="J960" s="20">
        <f t="shared" ca="1" si="137"/>
        <v>0</v>
      </c>
      <c r="K960" s="5">
        <f t="shared" ca="1" si="138"/>
        <v>0</v>
      </c>
      <c r="L960" s="61">
        <f t="shared" ca="1" si="139"/>
        <v>0</v>
      </c>
      <c r="M960" s="64">
        <f t="shared" si="140"/>
        <v>0</v>
      </c>
      <c r="N960" s="151"/>
      <c r="O960" s="5">
        <f t="shared" ca="1" si="141"/>
        <v>0</v>
      </c>
      <c r="P960" s="446" t="e">
        <f t="shared" si="142"/>
        <v>#VALUE!</v>
      </c>
      <c r="Q960" s="446" t="e">
        <f>IF(OR($B960="",MIN(Q$38,$D$19)&lt;MAX($P$708*($B960+IF($R$17="Distrato",$I$38-1,0)),IF(AND($L$711=0,$P$708=0),"",$L$711-1),IF($R$17="Distrato",$E960,0))),0,YEARFRAC(MAX($P$708*($B960+IF($R$17="Distrato",$I$38-1,0)),IF(AND($L$711=0,$P$708=0),"",$L$711-1),IF($R$17="Distrato",$E960,0)),MIN(Q$38,$D$19),$P$20))-SUM($P960:P960)</f>
        <v>#VALUE!</v>
      </c>
      <c r="R960" s="446" t="e">
        <f>IF(OR($B960="",MIN(R$38,$D$19)&lt;MAX($P$708*($B960+IF($R$17="Distrato",$I$38-1,0)),IF(AND($L$711=0,$P$708=0),"",$L$711-1),IF($R$17="Distrato",$E960,0))),0,YEARFRAC(MAX($P$708*($B960+IF($R$17="Distrato",$I$38-1,0)),IF(AND($L$711=0,$P$708=0),"",$L$711-1),IF($R$17="Distrato",$E960,0)),MIN(R$38,$D$19),$P$20))-SUM($P960:Q960)</f>
        <v>#VALUE!</v>
      </c>
      <c r="S960" s="446" t="e">
        <f>IF(OR($B960="",MIN(S$38,$D$19)&lt;MAX($P$708*($B960+IF($R$17="Distrato",$I$38-1,0)),IF(AND($L$711=0,$P$708=0),"",$L$711-1),IF($R$17="Distrato",$E960,0))),0,YEARFRAC(MAX($P$708*($B960+IF($R$17="Distrato",$I$38-1,0)),IF(AND($L$711=0,$P$708=0),"",$L$711-1),IF($R$17="Distrato",$E960,0)),MIN(S$38,$D$19),$P$20))-SUM($P960:R960)</f>
        <v>#VALUE!</v>
      </c>
      <c r="T960" s="446" t="e">
        <f>IF(OR($B960="",MIN(T$38,$D$19)&lt;MAX($P$708*($B960+IF($R$17="Distrato",$I$38-1,0)),IF(AND($L$711=0,$P$708=0),"",$L$711-1),IF($R$17="Distrato",$E960,0))),0,YEARFRAC(MAX($P$708*($B960+IF($R$17="Distrato",$I$38-1,0)),IF(AND($L$711=0,$P$708=0),"",$L$711-1),IF($R$17="Distrato",$E960,0)),MIN(T$38,$D$19),$P$20))-SUM($P960:S960)</f>
        <v>#VALUE!</v>
      </c>
      <c r="U960" s="446" t="e">
        <f>IF(OR($B960="",MIN(U$38,$D$19)&lt;MAX($P$708*($B960+IF($R$17="Distrato",$I$38-1,0)),IF(AND($L$711=0,$P$708=0),"",$L$711-1),IF($R$17="Distrato",$E960,0))),0,YEARFRAC(MAX($P$708*($B960+IF($R$17="Distrato",$I$38-1,0)),IF(AND($L$711=0,$P$708=0),"",$L$711-1),IF($R$17="Distrato",$E960,0)),MIN(U$38,$D$19),$P$20))-SUM($P960:T960)</f>
        <v>#VALUE!</v>
      </c>
      <c r="V960" s="446" t="e">
        <f>IF(OR($B960="",MIN(V$38,$D$19)&lt;MAX($P$708*($B960+IF($R$17="Distrato",$I$38-1,0)),IF(AND($L$711=0,$P$708=0),"",$L$711-1),IF($R$17="Distrato",$E960,0))),0,YEARFRAC(MAX($P$708*($B960+IF($R$17="Distrato",$I$38-1,0)),IF(AND($L$711=0,$P$708=0),"",$L$711-1),IF($R$17="Distrato",$E960,0)),MIN(V$38,$D$19),$P$20))-SUM($P960:U960)</f>
        <v>#VALUE!</v>
      </c>
      <c r="W960" s="446" t="e">
        <f>IF(OR($B960="",MIN(W$38,$D$19)&lt;MAX($P$708*($B960+IF($R$17="Distrato",$I$38-1,0)),IF(AND($L$711=0,$P$708=0),"",$L$711-1),IF($R$17="Distrato",$E960,0))),0,YEARFRAC(MAX($P$708*($B960+IF($R$17="Distrato",$I$38-1,0)),IF(AND($L$711=0,$P$708=0),"",$L$711-1),IF($R$17="Distrato",$E960,0)),MIN(W$38,$D$19),$P$20))-SUM($P960:V960)</f>
        <v>#VALUE!</v>
      </c>
      <c r="X960" s="446" t="e">
        <f>IF(OR($B960="",MIN(X$38,$D$19)&lt;MAX($P$708*($B960+IF($R$17="Distrato",$I$38-1,0)),IF(AND($L$711=0,$P$708=0),"",$L$711-1),IF($R$17="Distrato",$E960,0))),0,YEARFRAC(MAX($P$708*($B960+IF($R$17="Distrato",$I$38-1,0)),IF(AND($L$711=0,$P$708=0),"",$L$711-1),IF($R$17="Distrato",$E960,0)),MIN(X$38,$D$19),$P$20))-SUM($P960:W960)</f>
        <v>#VALUE!</v>
      </c>
      <c r="Y960" s="446" t="e">
        <f>IF(OR($B960="",MIN(Y$38,$D$19)&lt;MAX($P$708*($B960+IF($R$17="Distrato",$I$38-1,0)),IF(AND($L$711=0,$P$708=0),"",$L$711-1),IF($R$17="Distrato",$E960,0))),0,YEARFRAC(MAX($P$708*($B960+IF($R$17="Distrato",$I$38-1,0)),IF(AND($L$711=0,$P$708=0),"",$L$711-1),IF($R$17="Distrato",$E960,0)),MIN(Y$38,$D$19),$P$20))-SUM($P960:X960)</f>
        <v>#VALUE!</v>
      </c>
      <c r="Z960" s="446" t="e">
        <f>IF(OR($B960="",MIN(Z$38,$D$19)&lt;MAX($P$708*($B960+IF($R$17="Distrato",$I$38-1,0)),IF(AND($L$711=0,$P$708=0),"",$L$711-1),IF($R$17="Distrato",$E960,0))),0,YEARFRAC(MAX($P$708*($B960+IF($R$17="Distrato",$I$38-1,0)),IF(AND($L$711=0,$P$708=0),"",$L$711-1),IF($R$17="Distrato",$E960,0)),MIN(Z$38,$D$19),$P$20))-SUM($P960:Y960)</f>
        <v>#VALUE!</v>
      </c>
      <c r="AA960" s="446" t="e">
        <f>IF(OR($B960="",MIN(AA$38,$D$19)&lt;MAX($P$708*($B960+IF($R$17="Distrato",$I$38-1,0)),IF(AND($L$711=0,$P$708=0),"",$L$711-1),IF($R$17="Distrato",$E960,0))),0,YEARFRAC(MAX($P$708*($B960+IF($R$17="Distrato",$I$38-1,0)),IF(AND($L$711=0,$P$708=0),"",$L$711-1),IF($R$17="Distrato",$E960,0)),MIN(AA$38,$D$19),$P$20))-SUM($P960:Z960)</f>
        <v>#VALUE!</v>
      </c>
      <c r="AB960" s="446" t="e">
        <f>IF(OR($B960="",MIN(AB$38,$D$19)&lt;MAX($P$708*($B960+IF($R$17="Distrato",$I$38-1,0)),IF(AND($L$711=0,$P$708=0),"",$L$711-1),IF($R$17="Distrato",$E960,0))),0,YEARFRAC(MAX($P$708*($B960+IF($R$17="Distrato",$I$38-1,0)),IF(AND($L$711=0,$P$708=0),"",$L$711-1),IF($R$17="Distrato",$E960,0)),MIN(AB$38,$D$19),$P$20))-SUM($P960:AA960)</f>
        <v>#VALUE!</v>
      </c>
      <c r="AC960" s="446" t="e">
        <f>IF(OR($B960="",MIN(AC$38,$D$19)&lt;MAX($P$708*($B960+IF($R$17="Distrato",$I$38-1,0)),IF(AND($L$711=0,$P$708=0),"",$L$711-1),IF($R$17="Distrato",$E960,0))),0,YEARFRAC(MAX($P$708*($B960+IF($R$17="Distrato",$I$38-1,0)),IF(AND($L$711=0,$P$708=0),"",$L$711-1),IF($R$17="Distrato",$E960,0)),MIN(AC$38,$D$19),$P$20))-SUM($P960:AB960)</f>
        <v>#VALUE!</v>
      </c>
      <c r="AD960" s="446" t="e">
        <f>IF(OR($B960="",MIN(AD$38,$D$19)&lt;MAX($P$708*($B960+IF($R$17="Distrato",$I$38-1,0)),IF(AND($L$711=0,$P$708=0),"",$L$711-1),IF($R$17="Distrato",$E960,0))),0,YEARFRAC(MAX($P$708*($B960+IF($R$17="Distrato",$I$38-1,0)),IF(AND($L$711=0,$P$708=0),"",$L$711-1),IF($R$17="Distrato",$E960,0)),MIN(AD$38,$D$19),$P$20))-SUM($P960:AC960)</f>
        <v>#VALUE!</v>
      </c>
      <c r="AE960" s="446" t="e">
        <f>IF(OR($B960="",MIN(AE$38,$D$19)&lt;MAX($P$708*($B960+IF($R$17="Distrato",$I$38-1,0)),IF(AND($L$711=0,$P$708=0),"",$L$711-1),IF($R$17="Distrato",$E960,0))),0,YEARFRAC(MAX($P$708*($B960+IF($R$17="Distrato",$I$38-1,0)),IF(AND($L$711=0,$P$708=0),"",$L$711-1),IF($R$17="Distrato",$E960,0)),MIN(AE$38,$D$19),$P$20))-SUM($P960:AD960)</f>
        <v>#VALUE!</v>
      </c>
      <c r="AF960" s="446" t="e">
        <f>IF(OR($B960="",MIN(AF$38,$D$19)&lt;MAX($P$708*($B960+IF($R$17="Distrato",$I$38-1,0)),IF(AND($L$711=0,$P$708=0),"",$L$711-1),IF($R$17="Distrato",$E960,0))),0,YEARFRAC(MAX($P$708*($B960+IF($R$17="Distrato",$I$38-1,0)),IF(AND($L$711=0,$P$708=0),"",$L$711-1),IF($R$17="Distrato",$E960,0)),MIN(AF$38,$D$19),$P$20))-SUM($P960:AE960)</f>
        <v>#VALUE!</v>
      </c>
      <c r="AG960" s="446" t="e">
        <f>IF(OR($B960="",MIN(AG$38,$D$19)&lt;MAX($P$708*($B960+IF($R$17="Distrato",$I$38-1,0)),IF(AND($L$711=0,$P$708=0),"",$L$711-1),IF($R$17="Distrato",$E960,0))),0,YEARFRAC(MAX($P$708*($B960+IF($R$17="Distrato",$I$38-1,0)),IF(AND($L$711=0,$P$708=0),"",$L$711-1),IF($R$17="Distrato",$E960,0)),MIN(AG$38,$D$19),$P$20))-SUM($P960:AF960)</f>
        <v>#VALUE!</v>
      </c>
      <c r="AH960" s="446" t="e">
        <f>IF(OR($B960="",MIN(AH$38,$D$19)&lt;MAX($P$708*($B960+IF($R$17="Distrato",$I$38-1,0)),IF(AND($L$711=0,$P$708=0),"",$L$711-1),IF($R$17="Distrato",$E960,0))),0,YEARFRAC(MAX($P$708*($B960+IF($R$17="Distrato",$I$38-1,0)),IF(AND($L$711=0,$P$708=0),"",$L$711-1),IF($R$17="Distrato",$E960,0)),MIN(AH$38,$D$19),$P$20))-SUM($P960:AG960)</f>
        <v>#VALUE!</v>
      </c>
      <c r="AI960" s="446" t="e">
        <f>IF(OR($B960="",MIN(AI$38,$D$19)&lt;MAX($P$708*($B960+IF($R$17="Distrato",$I$38-1,0)),IF(AND($L$711=0,$P$708=0),"",$L$711-1),IF($R$17="Distrato",$E960,0))),0,YEARFRAC(MAX($P$708*($B960+IF($R$17="Distrato",$I$38-1,0)),IF(AND($L$711=0,$P$708=0),"",$L$711-1),IF($R$17="Distrato",$E960,0)),MIN(AI$38,$D$19),$P$20))-SUM($P960:AH960)</f>
        <v>#VALUE!</v>
      </c>
      <c r="AJ960" s="446" t="e">
        <f>IF(OR($B960="",MIN(AJ$38,$D$19)&lt;MAX($P$708*($B960+IF($R$17="Distrato",$I$38-1,0)),IF(AND($L$711=0,$P$708=0),"",$L$711-1),IF($R$17="Distrato",$E960,0))),0,YEARFRAC(MAX($P$708*($B960+IF($R$17="Distrato",$I$38-1,0)),IF(AND($L$711=0,$P$708=0),"",$L$711-1),IF($R$17="Distrato",$E960,0)),MIN(AJ$38,$D$19),$P$20))-SUM($P960:AI960)</f>
        <v>#VALUE!</v>
      </c>
      <c r="AK960" s="446" t="e">
        <f>IF(OR($B960="",MIN(AK$38,$D$19)&lt;MAX($P$708*($B960+IF($R$17="Distrato",$I$38-1,0)),IF(AND($L$711=0,$P$708=0),"",$L$711-1),IF($R$17="Distrato",$E960,0))),0,YEARFRAC(MAX($P$708*($B960+IF($R$17="Distrato",$I$38-1,0)),IF(AND($L$711=0,$P$708=0),"",$L$711-1),IF($R$17="Distrato",$E960,0)),MIN(AK$38,$D$19),$P$20))-SUM($P960:AJ960)</f>
        <v>#VALUE!</v>
      </c>
      <c r="AL960" s="446" t="e">
        <f>IF(OR($B960="",MIN(AL$38,$D$19)&lt;MAX($P$708*($B960+IF($R$17="Distrato",$I$38-1,0)),IF(AND($L$711=0,$P$708=0),"",$L$711-1),IF($R$17="Distrato",$E960,0))),0,YEARFRAC(MAX($P$708*($B960+IF($R$17="Distrato",$I$38-1,0)),IF(AND($L$711=0,$P$708=0),"",$L$711-1),IF($R$17="Distrato",$E960,0)),MIN(AL$38,$D$19),$P$20))-SUM($P960:AK960)</f>
        <v>#VALUE!</v>
      </c>
      <c r="AM960" s="446" t="e">
        <f>IF(OR($B960="",MIN(AM$38,$D$19)&lt;MAX($P$708*($B960+IF($R$17="Distrato",$I$38-1,0)),IF(AND($L$711=0,$P$708=0),"",$L$711-1),IF($R$17="Distrato",$E960,0))),0,YEARFRAC(MAX($P$708*($B960+IF($R$17="Distrato",$I$38-1,0)),IF(AND($L$711=0,$P$708=0),"",$L$711-1),IF($R$17="Distrato",$E960,0)),MIN(AM$38,$D$19),$P$20))-SUM($P960:AL960)</f>
        <v>#VALUE!</v>
      </c>
      <c r="AN960" s="446" t="e">
        <f>IF(OR($B960="",MIN(AN$38,$D$19)&lt;MAX($P$708*($B960+IF($R$17="Distrato",$I$38-1,0)),IF(AND($L$711=0,$P$708=0),"",$L$711-1),IF($R$17="Distrato",$E960,0))),0,YEARFRAC(MAX($P$708*($B960+IF($R$17="Distrato",$I$38-1,0)),IF(AND($L$711=0,$P$708=0),"",$L$711-1),IF($R$17="Distrato",$E960,0)),MIN(AN$38,$D$19),$P$20))-SUM($P960:AM960)</f>
        <v>#VALUE!</v>
      </c>
      <c r="AO960" s="446" t="e">
        <f>IF(OR($B960="",MIN(AO$38,$D$19)&lt;MAX($P$708*($B960+IF($R$17="Distrato",$I$38-1,0)),IF(AND($L$711=0,$P$708=0),"",$L$711-1),IF($R$17="Distrato",$E960,0))),0,YEARFRAC(MAX($P$708*($B960+IF($R$17="Distrato",$I$38-1,0)),IF(AND($L$711=0,$P$708=0),"",$L$711-1),IF($R$17="Distrato",$E960,0)),MIN(AO$38,$D$19),$P$20))-SUM($P960:AN960)</f>
        <v>#VALUE!</v>
      </c>
      <c r="AP960" s="446" t="e">
        <f>IF(OR($B960="",MIN(AP$38,$D$19)&lt;MAX($P$708*($B960+IF($R$17="Distrato",$I$38-1,0)),IF(AND($L$711=0,$P$708=0),"",$L$711-1),IF($R$17="Distrato",$E960,0))),0,YEARFRAC(MAX($P$708*($B960+IF($R$17="Distrato",$I$38-1,0)),IF(AND($L$711=0,$P$708=0),"",$L$711-1),IF($R$17="Distrato",$E960,0)),MIN(AP$38,$D$19),$P$20))-SUM($P960:AO960)</f>
        <v>#VALUE!</v>
      </c>
      <c r="AQ960" s="446" t="e">
        <f>IF(OR($B960="",MIN(AQ$38,$D$19)&lt;MAX($P$708*($B960+IF($R$17="Distrato",$I$38-1,0)),IF(AND($L$711=0,$P$708=0),"",$L$711-1),IF($R$17="Distrato",$E960,0))),0,YEARFRAC(MAX($P$708*($B960+IF($R$17="Distrato",$I$38-1,0)),IF(AND($L$711=0,$P$708=0),"",$L$711-1),IF($R$17="Distrato",$E960,0)),MIN(AQ$38,$D$19),$P$20))-SUM($P960:AP960)</f>
        <v>#VALUE!</v>
      </c>
      <c r="AR960" s="446" t="e">
        <f>IF(OR($B960="",MIN(AR$38,$D$19)&lt;MAX($P$708*($B960+IF($R$17="Distrato",$I$38-1,0)),IF(AND($L$711=0,$P$708=0),"",$L$711-1),IF($R$17="Distrato",$E960,0))),0,YEARFRAC(MAX($P$708*($B960+IF($R$17="Distrato",$I$38-1,0)),IF(AND($L$711=0,$P$708=0),"",$L$711-1),IF($R$17="Distrato",$E960,0)),MIN(AR$38,$D$19),$P$20))-SUM($P960:AQ960)</f>
        <v>#VALUE!</v>
      </c>
      <c r="AS960" s="446" t="e">
        <f>IF(OR($B960="",MIN(AS$38,$D$19)&lt;MAX($P$708*($B960+IF($R$17="Distrato",$I$38-1,0)),IF(AND($L$711=0,$P$708=0),"",$L$711-1),IF($R$17="Distrato",$E960,0))),0,YEARFRAC(MAX($P$708*($B960+IF($R$17="Distrato",$I$38-1,0)),IF(AND($L$711=0,$P$708=0),"",$L$711-1),IF($R$17="Distrato",$E960,0)),MIN(AS$38,$D$19),$P$20))-SUM($P960:AR960)</f>
        <v>#VALUE!</v>
      </c>
      <c r="AT960" s="446" t="e">
        <f>IF(OR($B960="",MIN(AT$38,$D$19)&lt;MAX($P$708*($B960+IF($R$17="Distrato",$I$38-1,0)),IF(AND($L$711=0,$P$708=0),"",$L$711-1),IF($R$17="Distrato",$E960,0))),0,YEARFRAC(MAX($P$708*($B960+IF($R$17="Distrato",$I$38-1,0)),IF(AND($L$711=0,$P$708=0),"",$L$711-1),IF($R$17="Distrato",$E960,0)),MIN(AT$38,$D$19),$P$20))-SUM($P960:AS960)</f>
        <v>#VALUE!</v>
      </c>
      <c r="AU960" s="446" t="e">
        <f>IF(OR($B960="",MIN(AU$38,$D$19)&lt;MAX($P$708*($B960+IF($R$17="Distrato",$I$38-1,0)),IF(AND($L$711=0,$P$708=0),"",$L$711-1),IF($R$17="Distrato",$E960,0))),0,YEARFRAC(MAX($P$708*($B960+IF($R$17="Distrato",$I$38-1,0)),IF(AND($L$711=0,$P$708=0),"",$L$711-1),IF($R$17="Distrato",$E960,0)),MIN(AU$38,$D$19),$P$20))-SUM($P960:AT960)</f>
        <v>#VALUE!</v>
      </c>
      <c r="AV960" s="446" t="e">
        <f>IF(OR($B960="",MIN(AV$38,$D$19)&lt;MAX($P$708*($B960+IF($R$17="Distrato",$I$38-1,0)),IF(AND($L$711=0,$P$708=0),"",$L$711-1),IF($R$17="Distrato",$E960,0))),0,YEARFRAC(MAX($P$708*($B960+IF($R$17="Distrato",$I$38-1,0)),IF(AND($L$711=0,$P$708=0),"",$L$711-1),IF($R$17="Distrato",$E960,0)),MIN(AV$38,$D$19),$P$20))-SUM($P960:AU960)</f>
        <v>#VALUE!</v>
      </c>
      <c r="AW960" s="446" t="e">
        <f>IF(OR($B960="",MIN(AW$38,$D$19)&lt;MAX($P$708*($B960+IF($R$17="Distrato",$I$38-1,0)),IF(AND($L$711=0,$P$708=0),"",$L$711-1),IF($R$17="Distrato",$E960,0))),0,YEARFRAC(MAX($P$708*($B960+IF($R$17="Distrato",$I$38-1,0)),IF(AND($L$711=0,$P$708=0),"",$L$711-1),IF($R$17="Distrato",$E960,0)),MIN(AW$38,$D$19),$P$20))-SUM($P960:AV960)</f>
        <v>#VALUE!</v>
      </c>
      <c r="AX960" s="446" t="e">
        <f>IF(OR($B960="",MIN(AX$38,$D$19)&lt;MAX($P$708*($B960+IF($R$17="Distrato",$I$38-1,0)),IF(AND($L$711=0,$P$708=0),"",$L$711-1),IF($R$17="Distrato",$E960,0))),0,YEARFRAC(MAX($P$708*($B960+IF($R$17="Distrato",$I$38-1,0)),IF(AND($L$711=0,$P$708=0),"",$L$711-1),IF($R$17="Distrato",$E960,0)),MIN(AX$38,$D$19),$P$20))-SUM($P960:AW960)</f>
        <v>#VALUE!</v>
      </c>
      <c r="AY960" s="446" t="e">
        <f>IF(OR($B960="",MIN(AY$38,$D$19)&lt;MAX($P$708*($B960+IF($R$17="Distrato",$I$38-1,0)),IF(AND($L$711=0,$P$708=0),"",$L$711-1),IF($R$17="Distrato",$E960,0))),0,YEARFRAC(MAX($P$708*($B960+IF($R$17="Distrato",$I$38-1,0)),IF(AND($L$711=0,$P$708=0),"",$L$711-1),IF($R$17="Distrato",$E960,0)),MIN(AY$38,$D$19),$P$20))-SUM($P960:AX960)</f>
        <v>#VALUE!</v>
      </c>
      <c r="AZ960" s="446" t="e">
        <f>IF(OR($B960="",MIN(AZ$38,$D$19)&lt;MAX($P$708*($B960+IF($R$17="Distrato",$I$38-1,0)),IF(AND($L$711=0,$P$708=0),"",$L$711-1),IF($R$17="Distrato",$E960,0))),0,YEARFRAC(MAX($P$708*($B960+IF($R$17="Distrato",$I$38-1,0)),IF(AND($L$711=0,$P$708=0),"",$L$711-1),IF($R$17="Distrato",$E960,0)),MIN(AZ$38,$D$19),$P$20))-SUM($P960:AY960)</f>
        <v>#VALUE!</v>
      </c>
      <c r="BA960" s="446" t="e">
        <f>IF(OR($B960="",MIN(BA$38,$D$19)&lt;MAX($P$708*($B960+IF($R$17="Distrato",$I$38-1,0)),IF(AND($L$711=0,$P$708=0),"",$L$711-1),IF($R$17="Distrato",$E960,0))),0,YEARFRAC(MAX($P$708*($B960+IF($R$17="Distrato",$I$38-1,0)),IF(AND($L$711=0,$P$708=0),"",$L$711-1),IF($R$17="Distrato",$E960,0)),MIN(BA$38,$D$19),$P$20))-SUM($P960:AZ960)</f>
        <v>#VALUE!</v>
      </c>
      <c r="BB960" s="447"/>
    </row>
    <row r="961" spans="1:54" s="446" customFormat="1" ht="11.25" hidden="1" customHeight="1" x14ac:dyDescent="0.2">
      <c r="A961" s="235"/>
      <c r="B961" s="236"/>
      <c r="C961" s="29" t="str">
        <f>IF(B961="","",IF($L$709=$BL$25,VLOOKUP(DATE(YEAR($D$19),MONTH($D$19)-1,1),ÍNDICES!$A:$DE,HLOOKUP($BL$25,ÍNDICES!$B$3:$T$4,2)+11)-VLOOKUP(B961,ÍNDICES!$A:$DE,HLOOKUP($BL$25,ÍNDICES!$B$3:$T$4,2)+11)+1%,IF(C$712=$W$26,$J$35,IF(ISERROR(IF(B961&gt;$D$19,1,VLOOKUP(DATE(YEAR(B961),MONTH(B961)+IF($C$709=$S$23,1,0),1),ÍNDICES!$A:$DE,$Z$709+1))),"",IF(B961&gt;$D$19,1,VLOOKUP(DATE(YEAR(B961),MONTH(B961)+IF($C$709=$S$23,1,0),1),ÍNDICES!$A:$DE,$Z$709+1))))))</f>
        <v/>
      </c>
      <c r="D961" s="155"/>
      <c r="E961" s="88"/>
      <c r="F961" s="88"/>
      <c r="G961" s="88"/>
      <c r="H961" s="118"/>
      <c r="I961" s="182">
        <f t="shared" si="136"/>
        <v>0</v>
      </c>
      <c r="J961" s="20">
        <f t="shared" ca="1" si="137"/>
        <v>0</v>
      </c>
      <c r="K961" s="5">
        <f t="shared" ca="1" si="138"/>
        <v>0</v>
      </c>
      <c r="L961" s="61">
        <f t="shared" ca="1" si="139"/>
        <v>0</v>
      </c>
      <c r="M961" s="64">
        <f t="shared" si="140"/>
        <v>0</v>
      </c>
      <c r="N961" s="151"/>
      <c r="O961" s="5">
        <f t="shared" ca="1" si="141"/>
        <v>0</v>
      </c>
      <c r="P961" s="446" t="e">
        <f t="shared" si="142"/>
        <v>#VALUE!</v>
      </c>
      <c r="Q961" s="446" t="e">
        <f>IF(OR($B961="",MIN(Q$38,$D$19)&lt;MAX($P$708*($B961+IF($R$17="Distrato",$I$38-1,0)),IF(AND($L$711=0,$P$708=0),"",$L$711-1),IF($R$17="Distrato",$E961,0))),0,YEARFRAC(MAX($P$708*($B961+IF($R$17="Distrato",$I$38-1,0)),IF(AND($L$711=0,$P$708=0),"",$L$711-1),IF($R$17="Distrato",$E961,0)),MIN(Q$38,$D$19),$P$20))-SUM($P961:P961)</f>
        <v>#VALUE!</v>
      </c>
      <c r="R961" s="446" t="e">
        <f>IF(OR($B961="",MIN(R$38,$D$19)&lt;MAX($P$708*($B961+IF($R$17="Distrato",$I$38-1,0)),IF(AND($L$711=0,$P$708=0),"",$L$711-1),IF($R$17="Distrato",$E961,0))),0,YEARFRAC(MAX($P$708*($B961+IF($R$17="Distrato",$I$38-1,0)),IF(AND($L$711=0,$P$708=0),"",$L$711-1),IF($R$17="Distrato",$E961,0)),MIN(R$38,$D$19),$P$20))-SUM($P961:Q961)</f>
        <v>#VALUE!</v>
      </c>
      <c r="S961" s="446" t="e">
        <f>IF(OR($B961="",MIN(S$38,$D$19)&lt;MAX($P$708*($B961+IF($R$17="Distrato",$I$38-1,0)),IF(AND($L$711=0,$P$708=0),"",$L$711-1),IF($R$17="Distrato",$E961,0))),0,YEARFRAC(MAX($P$708*($B961+IF($R$17="Distrato",$I$38-1,0)),IF(AND($L$711=0,$P$708=0),"",$L$711-1),IF($R$17="Distrato",$E961,0)),MIN(S$38,$D$19),$P$20))-SUM($P961:R961)</f>
        <v>#VALUE!</v>
      </c>
      <c r="T961" s="446" t="e">
        <f>IF(OR($B961="",MIN(T$38,$D$19)&lt;MAX($P$708*($B961+IF($R$17="Distrato",$I$38-1,0)),IF(AND($L$711=0,$P$708=0),"",$L$711-1),IF($R$17="Distrato",$E961,0))),0,YEARFRAC(MAX($P$708*($B961+IF($R$17="Distrato",$I$38-1,0)),IF(AND($L$711=0,$P$708=0),"",$L$711-1),IF($R$17="Distrato",$E961,0)),MIN(T$38,$D$19),$P$20))-SUM($P961:S961)</f>
        <v>#VALUE!</v>
      </c>
      <c r="U961" s="446" t="e">
        <f>IF(OR($B961="",MIN(U$38,$D$19)&lt;MAX($P$708*($B961+IF($R$17="Distrato",$I$38-1,0)),IF(AND($L$711=0,$P$708=0),"",$L$711-1),IF($R$17="Distrato",$E961,0))),0,YEARFRAC(MAX($P$708*($B961+IF($R$17="Distrato",$I$38-1,0)),IF(AND($L$711=0,$P$708=0),"",$L$711-1),IF($R$17="Distrato",$E961,0)),MIN(U$38,$D$19),$P$20))-SUM($P961:T961)</f>
        <v>#VALUE!</v>
      </c>
      <c r="V961" s="446" t="e">
        <f>IF(OR($B961="",MIN(V$38,$D$19)&lt;MAX($P$708*($B961+IF($R$17="Distrato",$I$38-1,0)),IF(AND($L$711=0,$P$708=0),"",$L$711-1),IF($R$17="Distrato",$E961,0))),0,YEARFRAC(MAX($P$708*($B961+IF($R$17="Distrato",$I$38-1,0)),IF(AND($L$711=0,$P$708=0),"",$L$711-1),IF($R$17="Distrato",$E961,0)),MIN(V$38,$D$19),$P$20))-SUM($P961:U961)</f>
        <v>#VALUE!</v>
      </c>
      <c r="W961" s="446" t="e">
        <f>IF(OR($B961="",MIN(W$38,$D$19)&lt;MAX($P$708*($B961+IF($R$17="Distrato",$I$38-1,0)),IF(AND($L$711=0,$P$708=0),"",$L$711-1),IF($R$17="Distrato",$E961,0))),0,YEARFRAC(MAX($P$708*($B961+IF($R$17="Distrato",$I$38-1,0)),IF(AND($L$711=0,$P$708=0),"",$L$711-1),IF($R$17="Distrato",$E961,0)),MIN(W$38,$D$19),$P$20))-SUM($P961:V961)</f>
        <v>#VALUE!</v>
      </c>
      <c r="X961" s="446" t="e">
        <f>IF(OR($B961="",MIN(X$38,$D$19)&lt;MAX($P$708*($B961+IF($R$17="Distrato",$I$38-1,0)),IF(AND($L$711=0,$P$708=0),"",$L$711-1),IF($R$17="Distrato",$E961,0))),0,YEARFRAC(MAX($P$708*($B961+IF($R$17="Distrato",$I$38-1,0)),IF(AND($L$711=0,$P$708=0),"",$L$711-1),IF($R$17="Distrato",$E961,0)),MIN(X$38,$D$19),$P$20))-SUM($P961:W961)</f>
        <v>#VALUE!</v>
      </c>
      <c r="Y961" s="446" t="e">
        <f>IF(OR($B961="",MIN(Y$38,$D$19)&lt;MAX($P$708*($B961+IF($R$17="Distrato",$I$38-1,0)),IF(AND($L$711=0,$P$708=0),"",$L$711-1),IF($R$17="Distrato",$E961,0))),0,YEARFRAC(MAX($P$708*($B961+IF($R$17="Distrato",$I$38-1,0)),IF(AND($L$711=0,$P$708=0),"",$L$711-1),IF($R$17="Distrato",$E961,0)),MIN(Y$38,$D$19),$P$20))-SUM($P961:X961)</f>
        <v>#VALUE!</v>
      </c>
      <c r="Z961" s="446" t="e">
        <f>IF(OR($B961="",MIN(Z$38,$D$19)&lt;MAX($P$708*($B961+IF($R$17="Distrato",$I$38-1,0)),IF(AND($L$711=0,$P$708=0),"",$L$711-1),IF($R$17="Distrato",$E961,0))),0,YEARFRAC(MAX($P$708*($B961+IF($R$17="Distrato",$I$38-1,0)),IF(AND($L$711=0,$P$708=0),"",$L$711-1),IF($R$17="Distrato",$E961,0)),MIN(Z$38,$D$19),$P$20))-SUM($P961:Y961)</f>
        <v>#VALUE!</v>
      </c>
      <c r="AA961" s="446" t="e">
        <f>IF(OR($B961="",MIN(AA$38,$D$19)&lt;MAX($P$708*($B961+IF($R$17="Distrato",$I$38-1,0)),IF(AND($L$711=0,$P$708=0),"",$L$711-1),IF($R$17="Distrato",$E961,0))),0,YEARFRAC(MAX($P$708*($B961+IF($R$17="Distrato",$I$38-1,0)),IF(AND($L$711=0,$P$708=0),"",$L$711-1),IF($R$17="Distrato",$E961,0)),MIN(AA$38,$D$19),$P$20))-SUM($P961:Z961)</f>
        <v>#VALUE!</v>
      </c>
      <c r="AB961" s="446" t="e">
        <f>IF(OR($B961="",MIN(AB$38,$D$19)&lt;MAX($P$708*($B961+IF($R$17="Distrato",$I$38-1,0)),IF(AND($L$711=0,$P$708=0),"",$L$711-1),IF($R$17="Distrato",$E961,0))),0,YEARFRAC(MAX($P$708*($B961+IF($R$17="Distrato",$I$38-1,0)),IF(AND($L$711=0,$P$708=0),"",$L$711-1),IF($R$17="Distrato",$E961,0)),MIN(AB$38,$D$19),$P$20))-SUM($P961:AA961)</f>
        <v>#VALUE!</v>
      </c>
      <c r="AC961" s="446" t="e">
        <f>IF(OR($B961="",MIN(AC$38,$D$19)&lt;MAX($P$708*($B961+IF($R$17="Distrato",$I$38-1,0)),IF(AND($L$711=0,$P$708=0),"",$L$711-1),IF($R$17="Distrato",$E961,0))),0,YEARFRAC(MAX($P$708*($B961+IF($R$17="Distrato",$I$38-1,0)),IF(AND($L$711=0,$P$708=0),"",$L$711-1),IF($R$17="Distrato",$E961,0)),MIN(AC$38,$D$19),$P$20))-SUM($P961:AB961)</f>
        <v>#VALUE!</v>
      </c>
      <c r="AD961" s="446" t="e">
        <f>IF(OR($B961="",MIN(AD$38,$D$19)&lt;MAX($P$708*($B961+IF($R$17="Distrato",$I$38-1,0)),IF(AND($L$711=0,$P$708=0),"",$L$711-1),IF($R$17="Distrato",$E961,0))),0,YEARFRAC(MAX($P$708*($B961+IF($R$17="Distrato",$I$38-1,0)),IF(AND($L$711=0,$P$708=0),"",$L$711-1),IF($R$17="Distrato",$E961,0)),MIN(AD$38,$D$19),$P$20))-SUM($P961:AC961)</f>
        <v>#VALUE!</v>
      </c>
      <c r="AE961" s="446" t="e">
        <f>IF(OR($B961="",MIN(AE$38,$D$19)&lt;MAX($P$708*($B961+IF($R$17="Distrato",$I$38-1,0)),IF(AND($L$711=0,$P$708=0),"",$L$711-1),IF($R$17="Distrato",$E961,0))),0,YEARFRAC(MAX($P$708*($B961+IF($R$17="Distrato",$I$38-1,0)),IF(AND($L$711=0,$P$708=0),"",$L$711-1),IF($R$17="Distrato",$E961,0)),MIN(AE$38,$D$19),$P$20))-SUM($P961:AD961)</f>
        <v>#VALUE!</v>
      </c>
      <c r="AF961" s="446" t="e">
        <f>IF(OR($B961="",MIN(AF$38,$D$19)&lt;MAX($P$708*($B961+IF($R$17="Distrato",$I$38-1,0)),IF(AND($L$711=0,$P$708=0),"",$L$711-1),IF($R$17="Distrato",$E961,0))),0,YEARFRAC(MAX($P$708*($B961+IF($R$17="Distrato",$I$38-1,0)),IF(AND($L$711=0,$P$708=0),"",$L$711-1),IF($R$17="Distrato",$E961,0)),MIN(AF$38,$D$19),$P$20))-SUM($P961:AE961)</f>
        <v>#VALUE!</v>
      </c>
      <c r="AG961" s="446" t="e">
        <f>IF(OR($B961="",MIN(AG$38,$D$19)&lt;MAX($P$708*($B961+IF($R$17="Distrato",$I$38-1,0)),IF(AND($L$711=0,$P$708=0),"",$L$711-1),IF($R$17="Distrato",$E961,0))),0,YEARFRAC(MAX($P$708*($B961+IF($R$17="Distrato",$I$38-1,0)),IF(AND($L$711=0,$P$708=0),"",$L$711-1),IF($R$17="Distrato",$E961,0)),MIN(AG$38,$D$19),$P$20))-SUM($P961:AF961)</f>
        <v>#VALUE!</v>
      </c>
      <c r="AH961" s="446" t="e">
        <f>IF(OR($B961="",MIN(AH$38,$D$19)&lt;MAX($P$708*($B961+IF($R$17="Distrato",$I$38-1,0)),IF(AND($L$711=0,$P$708=0),"",$L$711-1),IF($R$17="Distrato",$E961,0))),0,YEARFRAC(MAX($P$708*($B961+IF($R$17="Distrato",$I$38-1,0)),IF(AND($L$711=0,$P$708=0),"",$L$711-1),IF($R$17="Distrato",$E961,0)),MIN(AH$38,$D$19),$P$20))-SUM($P961:AG961)</f>
        <v>#VALUE!</v>
      </c>
      <c r="AI961" s="446" t="e">
        <f>IF(OR($B961="",MIN(AI$38,$D$19)&lt;MAX($P$708*($B961+IF($R$17="Distrato",$I$38-1,0)),IF(AND($L$711=0,$P$708=0),"",$L$711-1),IF($R$17="Distrato",$E961,0))),0,YEARFRAC(MAX($P$708*($B961+IF($R$17="Distrato",$I$38-1,0)),IF(AND($L$711=0,$P$708=0),"",$L$711-1),IF($R$17="Distrato",$E961,0)),MIN(AI$38,$D$19),$P$20))-SUM($P961:AH961)</f>
        <v>#VALUE!</v>
      </c>
      <c r="AJ961" s="446" t="e">
        <f>IF(OR($B961="",MIN(AJ$38,$D$19)&lt;MAX($P$708*($B961+IF($R$17="Distrato",$I$38-1,0)),IF(AND($L$711=0,$P$708=0),"",$L$711-1),IF($R$17="Distrato",$E961,0))),0,YEARFRAC(MAX($P$708*($B961+IF($R$17="Distrato",$I$38-1,0)),IF(AND($L$711=0,$P$708=0),"",$L$711-1),IF($R$17="Distrato",$E961,0)),MIN(AJ$38,$D$19),$P$20))-SUM($P961:AI961)</f>
        <v>#VALUE!</v>
      </c>
      <c r="AK961" s="446" t="e">
        <f>IF(OR($B961="",MIN(AK$38,$D$19)&lt;MAX($P$708*($B961+IF($R$17="Distrato",$I$38-1,0)),IF(AND($L$711=0,$P$708=0),"",$L$711-1),IF($R$17="Distrato",$E961,0))),0,YEARFRAC(MAX($P$708*($B961+IF($R$17="Distrato",$I$38-1,0)),IF(AND($L$711=0,$P$708=0),"",$L$711-1),IF($R$17="Distrato",$E961,0)),MIN(AK$38,$D$19),$P$20))-SUM($P961:AJ961)</f>
        <v>#VALUE!</v>
      </c>
      <c r="AL961" s="446" t="e">
        <f>IF(OR($B961="",MIN(AL$38,$D$19)&lt;MAX($P$708*($B961+IF($R$17="Distrato",$I$38-1,0)),IF(AND($L$711=0,$P$708=0),"",$L$711-1),IF($R$17="Distrato",$E961,0))),0,YEARFRAC(MAX($P$708*($B961+IF($R$17="Distrato",$I$38-1,0)),IF(AND($L$711=0,$P$708=0),"",$L$711-1),IF($R$17="Distrato",$E961,0)),MIN(AL$38,$D$19),$P$20))-SUM($P961:AK961)</f>
        <v>#VALUE!</v>
      </c>
      <c r="AM961" s="446" t="e">
        <f>IF(OR($B961="",MIN(AM$38,$D$19)&lt;MAX($P$708*($B961+IF($R$17="Distrato",$I$38-1,0)),IF(AND($L$711=0,$P$708=0),"",$L$711-1),IF($R$17="Distrato",$E961,0))),0,YEARFRAC(MAX($P$708*($B961+IF($R$17="Distrato",$I$38-1,0)),IF(AND($L$711=0,$P$708=0),"",$L$711-1),IF($R$17="Distrato",$E961,0)),MIN(AM$38,$D$19),$P$20))-SUM($P961:AL961)</f>
        <v>#VALUE!</v>
      </c>
      <c r="AN961" s="446" t="e">
        <f>IF(OR($B961="",MIN(AN$38,$D$19)&lt;MAX($P$708*($B961+IF($R$17="Distrato",$I$38-1,0)),IF(AND($L$711=0,$P$708=0),"",$L$711-1),IF($R$17="Distrato",$E961,0))),0,YEARFRAC(MAX($P$708*($B961+IF($R$17="Distrato",$I$38-1,0)),IF(AND($L$711=0,$P$708=0),"",$L$711-1),IF($R$17="Distrato",$E961,0)),MIN(AN$38,$D$19),$P$20))-SUM($P961:AM961)</f>
        <v>#VALUE!</v>
      </c>
      <c r="AO961" s="446" t="e">
        <f>IF(OR($B961="",MIN(AO$38,$D$19)&lt;MAX($P$708*($B961+IF($R$17="Distrato",$I$38-1,0)),IF(AND($L$711=0,$P$708=0),"",$L$711-1),IF($R$17="Distrato",$E961,0))),0,YEARFRAC(MAX($P$708*($B961+IF($R$17="Distrato",$I$38-1,0)),IF(AND($L$711=0,$P$708=0),"",$L$711-1),IF($R$17="Distrato",$E961,0)),MIN(AO$38,$D$19),$P$20))-SUM($P961:AN961)</f>
        <v>#VALUE!</v>
      </c>
      <c r="AP961" s="446" t="e">
        <f>IF(OR($B961="",MIN(AP$38,$D$19)&lt;MAX($P$708*($B961+IF($R$17="Distrato",$I$38-1,0)),IF(AND($L$711=0,$P$708=0),"",$L$711-1),IF($R$17="Distrato",$E961,0))),0,YEARFRAC(MAX($P$708*($B961+IF($R$17="Distrato",$I$38-1,0)),IF(AND($L$711=0,$P$708=0),"",$L$711-1),IF($R$17="Distrato",$E961,0)),MIN(AP$38,$D$19),$P$20))-SUM($P961:AO961)</f>
        <v>#VALUE!</v>
      </c>
      <c r="AQ961" s="446" t="e">
        <f>IF(OR($B961="",MIN(AQ$38,$D$19)&lt;MAX($P$708*($B961+IF($R$17="Distrato",$I$38-1,0)),IF(AND($L$711=0,$P$708=0),"",$L$711-1),IF($R$17="Distrato",$E961,0))),0,YEARFRAC(MAX($P$708*($B961+IF($R$17="Distrato",$I$38-1,0)),IF(AND($L$711=0,$P$708=0),"",$L$711-1),IF($R$17="Distrato",$E961,0)),MIN(AQ$38,$D$19),$P$20))-SUM($P961:AP961)</f>
        <v>#VALUE!</v>
      </c>
      <c r="AR961" s="446" t="e">
        <f>IF(OR($B961="",MIN(AR$38,$D$19)&lt;MAX($P$708*($B961+IF($R$17="Distrato",$I$38-1,0)),IF(AND($L$711=0,$P$708=0),"",$L$711-1),IF($R$17="Distrato",$E961,0))),0,YEARFRAC(MAX($P$708*($B961+IF($R$17="Distrato",$I$38-1,0)),IF(AND($L$711=0,$P$708=0),"",$L$711-1),IF($R$17="Distrato",$E961,0)),MIN(AR$38,$D$19),$P$20))-SUM($P961:AQ961)</f>
        <v>#VALUE!</v>
      </c>
      <c r="AS961" s="446" t="e">
        <f>IF(OR($B961="",MIN(AS$38,$D$19)&lt;MAX($P$708*($B961+IF($R$17="Distrato",$I$38-1,0)),IF(AND($L$711=0,$P$708=0),"",$L$711-1),IF($R$17="Distrato",$E961,0))),0,YEARFRAC(MAX($P$708*($B961+IF($R$17="Distrato",$I$38-1,0)),IF(AND($L$711=0,$P$708=0),"",$L$711-1),IF($R$17="Distrato",$E961,0)),MIN(AS$38,$D$19),$P$20))-SUM($P961:AR961)</f>
        <v>#VALUE!</v>
      </c>
      <c r="AT961" s="446" t="e">
        <f>IF(OR($B961="",MIN(AT$38,$D$19)&lt;MAX($P$708*($B961+IF($R$17="Distrato",$I$38-1,0)),IF(AND($L$711=0,$P$708=0),"",$L$711-1),IF($R$17="Distrato",$E961,0))),0,YEARFRAC(MAX($P$708*($B961+IF($R$17="Distrato",$I$38-1,0)),IF(AND($L$711=0,$P$708=0),"",$L$711-1),IF($R$17="Distrato",$E961,0)),MIN(AT$38,$D$19),$P$20))-SUM($P961:AS961)</f>
        <v>#VALUE!</v>
      </c>
      <c r="AU961" s="446" t="e">
        <f>IF(OR($B961="",MIN(AU$38,$D$19)&lt;MAX($P$708*($B961+IF($R$17="Distrato",$I$38-1,0)),IF(AND($L$711=0,$P$708=0),"",$L$711-1),IF($R$17="Distrato",$E961,0))),0,YEARFRAC(MAX($P$708*($B961+IF($R$17="Distrato",$I$38-1,0)),IF(AND($L$711=0,$P$708=0),"",$L$711-1),IF($R$17="Distrato",$E961,0)),MIN(AU$38,$D$19),$P$20))-SUM($P961:AT961)</f>
        <v>#VALUE!</v>
      </c>
      <c r="AV961" s="446" t="e">
        <f>IF(OR($B961="",MIN(AV$38,$D$19)&lt;MAX($P$708*($B961+IF($R$17="Distrato",$I$38-1,0)),IF(AND($L$711=0,$P$708=0),"",$L$711-1),IF($R$17="Distrato",$E961,0))),0,YEARFRAC(MAX($P$708*($B961+IF($R$17="Distrato",$I$38-1,0)),IF(AND($L$711=0,$P$708=0),"",$L$711-1),IF($R$17="Distrato",$E961,0)),MIN(AV$38,$D$19),$P$20))-SUM($P961:AU961)</f>
        <v>#VALUE!</v>
      </c>
      <c r="AW961" s="446" t="e">
        <f>IF(OR($B961="",MIN(AW$38,$D$19)&lt;MAX($P$708*($B961+IF($R$17="Distrato",$I$38-1,0)),IF(AND($L$711=0,$P$708=0),"",$L$711-1),IF($R$17="Distrato",$E961,0))),0,YEARFRAC(MAX($P$708*($B961+IF($R$17="Distrato",$I$38-1,0)),IF(AND($L$711=0,$P$708=0),"",$L$711-1),IF($R$17="Distrato",$E961,0)),MIN(AW$38,$D$19),$P$20))-SUM($P961:AV961)</f>
        <v>#VALUE!</v>
      </c>
      <c r="AX961" s="446" t="e">
        <f>IF(OR($B961="",MIN(AX$38,$D$19)&lt;MAX($P$708*($B961+IF($R$17="Distrato",$I$38-1,0)),IF(AND($L$711=0,$P$708=0),"",$L$711-1),IF($R$17="Distrato",$E961,0))),0,YEARFRAC(MAX($P$708*($B961+IF($R$17="Distrato",$I$38-1,0)),IF(AND($L$711=0,$P$708=0),"",$L$711-1),IF($R$17="Distrato",$E961,0)),MIN(AX$38,$D$19),$P$20))-SUM($P961:AW961)</f>
        <v>#VALUE!</v>
      </c>
      <c r="AY961" s="446" t="e">
        <f>IF(OR($B961="",MIN(AY$38,$D$19)&lt;MAX($P$708*($B961+IF($R$17="Distrato",$I$38-1,0)),IF(AND($L$711=0,$P$708=0),"",$L$711-1),IF($R$17="Distrato",$E961,0))),0,YEARFRAC(MAX($P$708*($B961+IF($R$17="Distrato",$I$38-1,0)),IF(AND($L$711=0,$P$708=0),"",$L$711-1),IF($R$17="Distrato",$E961,0)),MIN(AY$38,$D$19),$P$20))-SUM($P961:AX961)</f>
        <v>#VALUE!</v>
      </c>
      <c r="AZ961" s="446" t="e">
        <f>IF(OR($B961="",MIN(AZ$38,$D$19)&lt;MAX($P$708*($B961+IF($R$17="Distrato",$I$38-1,0)),IF(AND($L$711=0,$P$708=0),"",$L$711-1),IF($R$17="Distrato",$E961,0))),0,YEARFRAC(MAX($P$708*($B961+IF($R$17="Distrato",$I$38-1,0)),IF(AND($L$711=0,$P$708=0),"",$L$711-1),IF($R$17="Distrato",$E961,0)),MIN(AZ$38,$D$19),$P$20))-SUM($P961:AY961)</f>
        <v>#VALUE!</v>
      </c>
      <c r="BA961" s="446" t="e">
        <f>IF(OR($B961="",MIN(BA$38,$D$19)&lt;MAX($P$708*($B961+IF($R$17="Distrato",$I$38-1,0)),IF(AND($L$711=0,$P$708=0),"",$L$711-1),IF($R$17="Distrato",$E961,0))),0,YEARFRAC(MAX($P$708*($B961+IF($R$17="Distrato",$I$38-1,0)),IF(AND($L$711=0,$P$708=0),"",$L$711-1),IF($R$17="Distrato",$E961,0)),MIN(BA$38,$D$19),$P$20))-SUM($P961:AZ961)</f>
        <v>#VALUE!</v>
      </c>
      <c r="BB961" s="447"/>
    </row>
    <row r="962" spans="1:54" s="446" customFormat="1" ht="11.25" hidden="1" customHeight="1" x14ac:dyDescent="0.2">
      <c r="A962" s="235"/>
      <c r="B962" s="236"/>
      <c r="C962" s="29" t="str">
        <f>IF(B962="","",IF($L$709=$BL$25,VLOOKUP(DATE(YEAR($D$19),MONTH($D$19)-1,1),ÍNDICES!$A:$DE,HLOOKUP($BL$25,ÍNDICES!$B$3:$T$4,2)+11)-VLOOKUP(B962,ÍNDICES!$A:$DE,HLOOKUP($BL$25,ÍNDICES!$B$3:$T$4,2)+11)+1%,IF(C$712=$W$26,$J$35,IF(ISERROR(IF(B962&gt;$D$19,1,VLOOKUP(DATE(YEAR(B962),MONTH(B962)+IF($C$709=$S$23,1,0),1),ÍNDICES!$A:$DE,$Z$709+1))),"",IF(B962&gt;$D$19,1,VLOOKUP(DATE(YEAR(B962),MONTH(B962)+IF($C$709=$S$23,1,0),1),ÍNDICES!$A:$DE,$Z$709+1))))))</f>
        <v/>
      </c>
      <c r="D962" s="155"/>
      <c r="E962" s="88"/>
      <c r="F962" s="88"/>
      <c r="G962" s="88"/>
      <c r="H962" s="118"/>
      <c r="I962" s="182">
        <f t="shared" si="136"/>
        <v>0</v>
      </c>
      <c r="J962" s="20">
        <f t="shared" ca="1" si="137"/>
        <v>0</v>
      </c>
      <c r="K962" s="5">
        <f t="shared" ca="1" si="138"/>
        <v>0</v>
      </c>
      <c r="L962" s="61">
        <f t="shared" ca="1" si="139"/>
        <v>0</v>
      </c>
      <c r="M962" s="64">
        <f t="shared" si="140"/>
        <v>0</v>
      </c>
      <c r="N962" s="151"/>
      <c r="O962" s="5">
        <f t="shared" ca="1" si="141"/>
        <v>0</v>
      </c>
      <c r="P962" s="446" t="e">
        <f t="shared" si="142"/>
        <v>#VALUE!</v>
      </c>
      <c r="Q962" s="446" t="e">
        <f>IF(OR($B962="",MIN(Q$38,$D$19)&lt;MAX($P$708*($B962+IF($R$17="Distrato",$I$38-1,0)),IF(AND($L$711=0,$P$708=0),"",$L$711-1),IF($R$17="Distrato",$E962,0))),0,YEARFRAC(MAX($P$708*($B962+IF($R$17="Distrato",$I$38-1,0)),IF(AND($L$711=0,$P$708=0),"",$L$711-1),IF($R$17="Distrato",$E962,0)),MIN(Q$38,$D$19),$P$20))-SUM($P962:P962)</f>
        <v>#VALUE!</v>
      </c>
      <c r="R962" s="446" t="e">
        <f>IF(OR($B962="",MIN(R$38,$D$19)&lt;MAX($P$708*($B962+IF($R$17="Distrato",$I$38-1,0)),IF(AND($L$711=0,$P$708=0),"",$L$711-1),IF($R$17="Distrato",$E962,0))),0,YEARFRAC(MAX($P$708*($B962+IF($R$17="Distrato",$I$38-1,0)),IF(AND($L$711=0,$P$708=0),"",$L$711-1),IF($R$17="Distrato",$E962,0)),MIN(R$38,$D$19),$P$20))-SUM($P962:Q962)</f>
        <v>#VALUE!</v>
      </c>
      <c r="S962" s="446" t="e">
        <f>IF(OR($B962="",MIN(S$38,$D$19)&lt;MAX($P$708*($B962+IF($R$17="Distrato",$I$38-1,0)),IF(AND($L$711=0,$P$708=0),"",$L$711-1),IF($R$17="Distrato",$E962,0))),0,YEARFRAC(MAX($P$708*($B962+IF($R$17="Distrato",$I$38-1,0)),IF(AND($L$711=0,$P$708=0),"",$L$711-1),IF($R$17="Distrato",$E962,0)),MIN(S$38,$D$19),$P$20))-SUM($P962:R962)</f>
        <v>#VALUE!</v>
      </c>
      <c r="T962" s="446" t="e">
        <f>IF(OR($B962="",MIN(T$38,$D$19)&lt;MAX($P$708*($B962+IF($R$17="Distrato",$I$38-1,0)),IF(AND($L$711=0,$P$708=0),"",$L$711-1),IF($R$17="Distrato",$E962,0))),0,YEARFRAC(MAX($P$708*($B962+IF($R$17="Distrato",$I$38-1,0)),IF(AND($L$711=0,$P$708=0),"",$L$711-1),IF($R$17="Distrato",$E962,0)),MIN(T$38,$D$19),$P$20))-SUM($P962:S962)</f>
        <v>#VALUE!</v>
      </c>
      <c r="U962" s="446" t="e">
        <f>IF(OR($B962="",MIN(U$38,$D$19)&lt;MAX($P$708*($B962+IF($R$17="Distrato",$I$38-1,0)),IF(AND($L$711=0,$P$708=0),"",$L$711-1),IF($R$17="Distrato",$E962,0))),0,YEARFRAC(MAX($P$708*($B962+IF($R$17="Distrato",$I$38-1,0)),IF(AND($L$711=0,$P$708=0),"",$L$711-1),IF($R$17="Distrato",$E962,0)),MIN(U$38,$D$19),$P$20))-SUM($P962:T962)</f>
        <v>#VALUE!</v>
      </c>
      <c r="V962" s="446" t="e">
        <f>IF(OR($B962="",MIN(V$38,$D$19)&lt;MAX($P$708*($B962+IF($R$17="Distrato",$I$38-1,0)),IF(AND($L$711=0,$P$708=0),"",$L$711-1),IF($R$17="Distrato",$E962,0))),0,YEARFRAC(MAX($P$708*($B962+IF($R$17="Distrato",$I$38-1,0)),IF(AND($L$711=0,$P$708=0),"",$L$711-1),IF($R$17="Distrato",$E962,0)),MIN(V$38,$D$19),$P$20))-SUM($P962:U962)</f>
        <v>#VALUE!</v>
      </c>
      <c r="W962" s="446" t="e">
        <f>IF(OR($B962="",MIN(W$38,$D$19)&lt;MAX($P$708*($B962+IF($R$17="Distrato",$I$38-1,0)),IF(AND($L$711=0,$P$708=0),"",$L$711-1),IF($R$17="Distrato",$E962,0))),0,YEARFRAC(MAX($P$708*($B962+IF($R$17="Distrato",$I$38-1,0)),IF(AND($L$711=0,$P$708=0),"",$L$711-1),IF($R$17="Distrato",$E962,0)),MIN(W$38,$D$19),$P$20))-SUM($P962:V962)</f>
        <v>#VALUE!</v>
      </c>
      <c r="X962" s="446" t="e">
        <f>IF(OR($B962="",MIN(X$38,$D$19)&lt;MAX($P$708*($B962+IF($R$17="Distrato",$I$38-1,0)),IF(AND($L$711=0,$P$708=0),"",$L$711-1),IF($R$17="Distrato",$E962,0))),0,YEARFRAC(MAX($P$708*($B962+IF($R$17="Distrato",$I$38-1,0)),IF(AND($L$711=0,$P$708=0),"",$L$711-1),IF($R$17="Distrato",$E962,0)),MIN(X$38,$D$19),$P$20))-SUM($P962:W962)</f>
        <v>#VALUE!</v>
      </c>
      <c r="Y962" s="446" t="e">
        <f>IF(OR($B962="",MIN(Y$38,$D$19)&lt;MAX($P$708*($B962+IF($R$17="Distrato",$I$38-1,0)),IF(AND($L$711=0,$P$708=0),"",$L$711-1),IF($R$17="Distrato",$E962,0))),0,YEARFRAC(MAX($P$708*($B962+IF($R$17="Distrato",$I$38-1,0)),IF(AND($L$711=0,$P$708=0),"",$L$711-1),IF($R$17="Distrato",$E962,0)),MIN(Y$38,$D$19),$P$20))-SUM($P962:X962)</f>
        <v>#VALUE!</v>
      </c>
      <c r="Z962" s="446" t="e">
        <f>IF(OR($B962="",MIN(Z$38,$D$19)&lt;MAX($P$708*($B962+IF($R$17="Distrato",$I$38-1,0)),IF(AND($L$711=0,$P$708=0),"",$L$711-1),IF($R$17="Distrato",$E962,0))),0,YEARFRAC(MAX($P$708*($B962+IF($R$17="Distrato",$I$38-1,0)),IF(AND($L$711=0,$P$708=0),"",$L$711-1),IF($R$17="Distrato",$E962,0)),MIN(Z$38,$D$19),$P$20))-SUM($P962:Y962)</f>
        <v>#VALUE!</v>
      </c>
      <c r="AA962" s="446" t="e">
        <f>IF(OR($B962="",MIN(AA$38,$D$19)&lt;MAX($P$708*($B962+IF($R$17="Distrato",$I$38-1,0)),IF(AND($L$711=0,$P$708=0),"",$L$711-1),IF($R$17="Distrato",$E962,0))),0,YEARFRAC(MAX($P$708*($B962+IF($R$17="Distrato",$I$38-1,0)),IF(AND($L$711=0,$P$708=0),"",$L$711-1),IF($R$17="Distrato",$E962,0)),MIN(AA$38,$D$19),$P$20))-SUM($P962:Z962)</f>
        <v>#VALUE!</v>
      </c>
      <c r="AB962" s="446" t="e">
        <f>IF(OR($B962="",MIN(AB$38,$D$19)&lt;MAX($P$708*($B962+IF($R$17="Distrato",$I$38-1,0)),IF(AND($L$711=0,$P$708=0),"",$L$711-1),IF($R$17="Distrato",$E962,0))),0,YEARFRAC(MAX($P$708*($B962+IF($R$17="Distrato",$I$38-1,0)),IF(AND($L$711=0,$P$708=0),"",$L$711-1),IF($R$17="Distrato",$E962,0)),MIN(AB$38,$D$19),$P$20))-SUM($P962:AA962)</f>
        <v>#VALUE!</v>
      </c>
      <c r="AC962" s="446" t="e">
        <f>IF(OR($B962="",MIN(AC$38,$D$19)&lt;MAX($P$708*($B962+IF($R$17="Distrato",$I$38-1,0)),IF(AND($L$711=0,$P$708=0),"",$L$711-1),IF($R$17="Distrato",$E962,0))),0,YEARFRAC(MAX($P$708*($B962+IF($R$17="Distrato",$I$38-1,0)),IF(AND($L$711=0,$P$708=0),"",$L$711-1),IF($R$17="Distrato",$E962,0)),MIN(AC$38,$D$19),$P$20))-SUM($P962:AB962)</f>
        <v>#VALUE!</v>
      </c>
      <c r="AD962" s="446" t="e">
        <f>IF(OR($B962="",MIN(AD$38,$D$19)&lt;MAX($P$708*($B962+IF($R$17="Distrato",$I$38-1,0)),IF(AND($L$711=0,$P$708=0),"",$L$711-1),IF($R$17="Distrato",$E962,0))),0,YEARFRAC(MAX($P$708*($B962+IF($R$17="Distrato",$I$38-1,0)),IF(AND($L$711=0,$P$708=0),"",$L$711-1),IF($R$17="Distrato",$E962,0)),MIN(AD$38,$D$19),$P$20))-SUM($P962:AC962)</f>
        <v>#VALUE!</v>
      </c>
      <c r="AE962" s="446" t="e">
        <f>IF(OR($B962="",MIN(AE$38,$D$19)&lt;MAX($P$708*($B962+IF($R$17="Distrato",$I$38-1,0)),IF(AND($L$711=0,$P$708=0),"",$L$711-1),IF($R$17="Distrato",$E962,0))),0,YEARFRAC(MAX($P$708*($B962+IF($R$17="Distrato",$I$38-1,0)),IF(AND($L$711=0,$P$708=0),"",$L$711-1),IF($R$17="Distrato",$E962,0)),MIN(AE$38,$D$19),$P$20))-SUM($P962:AD962)</f>
        <v>#VALUE!</v>
      </c>
      <c r="AF962" s="446" t="e">
        <f>IF(OR($B962="",MIN(AF$38,$D$19)&lt;MAX($P$708*($B962+IF($R$17="Distrato",$I$38-1,0)),IF(AND($L$711=0,$P$708=0),"",$L$711-1),IF($R$17="Distrato",$E962,0))),0,YEARFRAC(MAX($P$708*($B962+IF($R$17="Distrato",$I$38-1,0)),IF(AND($L$711=0,$P$708=0),"",$L$711-1),IF($R$17="Distrato",$E962,0)),MIN(AF$38,$D$19),$P$20))-SUM($P962:AE962)</f>
        <v>#VALUE!</v>
      </c>
      <c r="AG962" s="446" t="e">
        <f>IF(OR($B962="",MIN(AG$38,$D$19)&lt;MAX($P$708*($B962+IF($R$17="Distrato",$I$38-1,0)),IF(AND($L$711=0,$P$708=0),"",$L$711-1),IF($R$17="Distrato",$E962,0))),0,YEARFRAC(MAX($P$708*($B962+IF($R$17="Distrato",$I$38-1,0)),IF(AND($L$711=0,$P$708=0),"",$L$711-1),IF($R$17="Distrato",$E962,0)),MIN(AG$38,$D$19),$P$20))-SUM($P962:AF962)</f>
        <v>#VALUE!</v>
      </c>
      <c r="AH962" s="446" t="e">
        <f>IF(OR($B962="",MIN(AH$38,$D$19)&lt;MAX($P$708*($B962+IF($R$17="Distrato",$I$38-1,0)),IF(AND($L$711=0,$P$708=0),"",$L$711-1),IF($R$17="Distrato",$E962,0))),0,YEARFRAC(MAX($P$708*($B962+IF($R$17="Distrato",$I$38-1,0)),IF(AND($L$711=0,$P$708=0),"",$L$711-1),IF($R$17="Distrato",$E962,0)),MIN(AH$38,$D$19),$P$20))-SUM($P962:AG962)</f>
        <v>#VALUE!</v>
      </c>
      <c r="AI962" s="446" t="e">
        <f>IF(OR($B962="",MIN(AI$38,$D$19)&lt;MAX($P$708*($B962+IF($R$17="Distrato",$I$38-1,0)),IF(AND($L$711=0,$P$708=0),"",$L$711-1),IF($R$17="Distrato",$E962,0))),0,YEARFRAC(MAX($P$708*($B962+IF($R$17="Distrato",$I$38-1,0)),IF(AND($L$711=0,$P$708=0),"",$L$711-1),IF($R$17="Distrato",$E962,0)),MIN(AI$38,$D$19),$P$20))-SUM($P962:AH962)</f>
        <v>#VALUE!</v>
      </c>
      <c r="AJ962" s="446" t="e">
        <f>IF(OR($B962="",MIN(AJ$38,$D$19)&lt;MAX($P$708*($B962+IF($R$17="Distrato",$I$38-1,0)),IF(AND($L$711=0,$P$708=0),"",$L$711-1),IF($R$17="Distrato",$E962,0))),0,YEARFRAC(MAX($P$708*($B962+IF($R$17="Distrato",$I$38-1,0)),IF(AND($L$711=0,$P$708=0),"",$L$711-1),IF($R$17="Distrato",$E962,0)),MIN(AJ$38,$D$19),$P$20))-SUM($P962:AI962)</f>
        <v>#VALUE!</v>
      </c>
      <c r="AK962" s="446" t="e">
        <f>IF(OR($B962="",MIN(AK$38,$D$19)&lt;MAX($P$708*($B962+IF($R$17="Distrato",$I$38-1,0)),IF(AND($L$711=0,$P$708=0),"",$L$711-1),IF($R$17="Distrato",$E962,0))),0,YEARFRAC(MAX($P$708*($B962+IF($R$17="Distrato",$I$38-1,0)),IF(AND($L$711=0,$P$708=0),"",$L$711-1),IF($R$17="Distrato",$E962,0)),MIN(AK$38,$D$19),$P$20))-SUM($P962:AJ962)</f>
        <v>#VALUE!</v>
      </c>
      <c r="AL962" s="446" t="e">
        <f>IF(OR($B962="",MIN(AL$38,$D$19)&lt;MAX($P$708*($B962+IF($R$17="Distrato",$I$38-1,0)),IF(AND($L$711=0,$P$708=0),"",$L$711-1),IF($R$17="Distrato",$E962,0))),0,YEARFRAC(MAX($P$708*($B962+IF($R$17="Distrato",$I$38-1,0)),IF(AND($L$711=0,$P$708=0),"",$L$711-1),IF($R$17="Distrato",$E962,0)),MIN(AL$38,$D$19),$P$20))-SUM($P962:AK962)</f>
        <v>#VALUE!</v>
      </c>
      <c r="AM962" s="446" t="e">
        <f>IF(OR($B962="",MIN(AM$38,$D$19)&lt;MAX($P$708*($B962+IF($R$17="Distrato",$I$38-1,0)),IF(AND($L$711=0,$P$708=0),"",$L$711-1),IF($R$17="Distrato",$E962,0))),0,YEARFRAC(MAX($P$708*($B962+IF($R$17="Distrato",$I$38-1,0)),IF(AND($L$711=0,$P$708=0),"",$L$711-1),IF($R$17="Distrato",$E962,0)),MIN(AM$38,$D$19),$P$20))-SUM($P962:AL962)</f>
        <v>#VALUE!</v>
      </c>
      <c r="AN962" s="446" t="e">
        <f>IF(OR($B962="",MIN(AN$38,$D$19)&lt;MAX($P$708*($B962+IF($R$17="Distrato",$I$38-1,0)),IF(AND($L$711=0,$P$708=0),"",$L$711-1),IF($R$17="Distrato",$E962,0))),0,YEARFRAC(MAX($P$708*($B962+IF($R$17="Distrato",$I$38-1,0)),IF(AND($L$711=0,$P$708=0),"",$L$711-1),IF($R$17="Distrato",$E962,0)),MIN(AN$38,$D$19),$P$20))-SUM($P962:AM962)</f>
        <v>#VALUE!</v>
      </c>
      <c r="AO962" s="446" t="e">
        <f>IF(OR($B962="",MIN(AO$38,$D$19)&lt;MAX($P$708*($B962+IF($R$17="Distrato",$I$38-1,0)),IF(AND($L$711=0,$P$708=0),"",$L$711-1),IF($R$17="Distrato",$E962,0))),0,YEARFRAC(MAX($P$708*($B962+IF($R$17="Distrato",$I$38-1,0)),IF(AND($L$711=0,$P$708=0),"",$L$711-1),IF($R$17="Distrato",$E962,0)),MIN(AO$38,$D$19),$P$20))-SUM($P962:AN962)</f>
        <v>#VALUE!</v>
      </c>
      <c r="AP962" s="446" t="e">
        <f>IF(OR($B962="",MIN(AP$38,$D$19)&lt;MAX($P$708*($B962+IF($R$17="Distrato",$I$38-1,0)),IF(AND($L$711=0,$P$708=0),"",$L$711-1),IF($R$17="Distrato",$E962,0))),0,YEARFRAC(MAX($P$708*($B962+IF($R$17="Distrato",$I$38-1,0)),IF(AND($L$711=0,$P$708=0),"",$L$711-1),IF($R$17="Distrato",$E962,0)),MIN(AP$38,$D$19),$P$20))-SUM($P962:AO962)</f>
        <v>#VALUE!</v>
      </c>
      <c r="AQ962" s="446" t="e">
        <f>IF(OR($B962="",MIN(AQ$38,$D$19)&lt;MAX($P$708*($B962+IF($R$17="Distrato",$I$38-1,0)),IF(AND($L$711=0,$P$708=0),"",$L$711-1),IF($R$17="Distrato",$E962,0))),0,YEARFRAC(MAX($P$708*($B962+IF($R$17="Distrato",$I$38-1,0)),IF(AND($L$711=0,$P$708=0),"",$L$711-1),IF($R$17="Distrato",$E962,0)),MIN(AQ$38,$D$19),$P$20))-SUM($P962:AP962)</f>
        <v>#VALUE!</v>
      </c>
      <c r="AR962" s="446" t="e">
        <f>IF(OR($B962="",MIN(AR$38,$D$19)&lt;MAX($P$708*($B962+IF($R$17="Distrato",$I$38-1,0)),IF(AND($L$711=0,$P$708=0),"",$L$711-1),IF($R$17="Distrato",$E962,0))),0,YEARFRAC(MAX($P$708*($B962+IF($R$17="Distrato",$I$38-1,0)),IF(AND($L$711=0,$P$708=0),"",$L$711-1),IF($R$17="Distrato",$E962,0)),MIN(AR$38,$D$19),$P$20))-SUM($P962:AQ962)</f>
        <v>#VALUE!</v>
      </c>
      <c r="AS962" s="446" t="e">
        <f>IF(OR($B962="",MIN(AS$38,$D$19)&lt;MAX($P$708*($B962+IF($R$17="Distrato",$I$38-1,0)),IF(AND($L$711=0,$P$708=0),"",$L$711-1),IF($R$17="Distrato",$E962,0))),0,YEARFRAC(MAX($P$708*($B962+IF($R$17="Distrato",$I$38-1,0)),IF(AND($L$711=0,$P$708=0),"",$L$711-1),IF($R$17="Distrato",$E962,0)),MIN(AS$38,$D$19),$P$20))-SUM($P962:AR962)</f>
        <v>#VALUE!</v>
      </c>
      <c r="AT962" s="446" t="e">
        <f>IF(OR($B962="",MIN(AT$38,$D$19)&lt;MAX($P$708*($B962+IF($R$17="Distrato",$I$38-1,0)),IF(AND($L$711=0,$P$708=0),"",$L$711-1),IF($R$17="Distrato",$E962,0))),0,YEARFRAC(MAX($P$708*($B962+IF($R$17="Distrato",$I$38-1,0)),IF(AND($L$711=0,$P$708=0),"",$L$711-1),IF($R$17="Distrato",$E962,0)),MIN(AT$38,$D$19),$P$20))-SUM($P962:AS962)</f>
        <v>#VALUE!</v>
      </c>
      <c r="AU962" s="446" t="e">
        <f>IF(OR($B962="",MIN(AU$38,$D$19)&lt;MAX($P$708*($B962+IF($R$17="Distrato",$I$38-1,0)),IF(AND($L$711=0,$P$708=0),"",$L$711-1),IF($R$17="Distrato",$E962,0))),0,YEARFRAC(MAX($P$708*($B962+IF($R$17="Distrato",$I$38-1,0)),IF(AND($L$711=0,$P$708=0),"",$L$711-1),IF($R$17="Distrato",$E962,0)),MIN(AU$38,$D$19),$P$20))-SUM($P962:AT962)</f>
        <v>#VALUE!</v>
      </c>
      <c r="AV962" s="446" t="e">
        <f>IF(OR($B962="",MIN(AV$38,$D$19)&lt;MAX($P$708*($B962+IF($R$17="Distrato",$I$38-1,0)),IF(AND($L$711=0,$P$708=0),"",$L$711-1),IF($R$17="Distrato",$E962,0))),0,YEARFRAC(MAX($P$708*($B962+IF($R$17="Distrato",$I$38-1,0)),IF(AND($L$711=0,$P$708=0),"",$L$711-1),IF($R$17="Distrato",$E962,0)),MIN(AV$38,$D$19),$P$20))-SUM($P962:AU962)</f>
        <v>#VALUE!</v>
      </c>
      <c r="AW962" s="446" t="e">
        <f>IF(OR($B962="",MIN(AW$38,$D$19)&lt;MAX($P$708*($B962+IF($R$17="Distrato",$I$38-1,0)),IF(AND($L$711=0,$P$708=0),"",$L$711-1),IF($R$17="Distrato",$E962,0))),0,YEARFRAC(MAX($P$708*($B962+IF($R$17="Distrato",$I$38-1,0)),IF(AND($L$711=0,$P$708=0),"",$L$711-1),IF($R$17="Distrato",$E962,0)),MIN(AW$38,$D$19),$P$20))-SUM($P962:AV962)</f>
        <v>#VALUE!</v>
      </c>
      <c r="AX962" s="446" t="e">
        <f>IF(OR($B962="",MIN(AX$38,$D$19)&lt;MAX($P$708*($B962+IF($R$17="Distrato",$I$38-1,0)),IF(AND($L$711=0,$P$708=0),"",$L$711-1),IF($R$17="Distrato",$E962,0))),0,YEARFRAC(MAX($P$708*($B962+IF($R$17="Distrato",$I$38-1,0)),IF(AND($L$711=0,$P$708=0),"",$L$711-1),IF($R$17="Distrato",$E962,0)),MIN(AX$38,$D$19),$P$20))-SUM($P962:AW962)</f>
        <v>#VALUE!</v>
      </c>
      <c r="AY962" s="446" t="e">
        <f>IF(OR($B962="",MIN(AY$38,$D$19)&lt;MAX($P$708*($B962+IF($R$17="Distrato",$I$38-1,0)),IF(AND($L$711=0,$P$708=0),"",$L$711-1),IF($R$17="Distrato",$E962,0))),0,YEARFRAC(MAX($P$708*($B962+IF($R$17="Distrato",$I$38-1,0)),IF(AND($L$711=0,$P$708=0),"",$L$711-1),IF($R$17="Distrato",$E962,0)),MIN(AY$38,$D$19),$P$20))-SUM($P962:AX962)</f>
        <v>#VALUE!</v>
      </c>
      <c r="AZ962" s="446" t="e">
        <f>IF(OR($B962="",MIN(AZ$38,$D$19)&lt;MAX($P$708*($B962+IF($R$17="Distrato",$I$38-1,0)),IF(AND($L$711=0,$P$708=0),"",$L$711-1),IF($R$17="Distrato",$E962,0))),0,YEARFRAC(MAX($P$708*($B962+IF($R$17="Distrato",$I$38-1,0)),IF(AND($L$711=0,$P$708=0),"",$L$711-1),IF($R$17="Distrato",$E962,0)),MIN(AZ$38,$D$19),$P$20))-SUM($P962:AY962)</f>
        <v>#VALUE!</v>
      </c>
      <c r="BA962" s="446" t="e">
        <f>IF(OR($B962="",MIN(BA$38,$D$19)&lt;MAX($P$708*($B962+IF($R$17="Distrato",$I$38-1,0)),IF(AND($L$711=0,$P$708=0),"",$L$711-1),IF($R$17="Distrato",$E962,0))),0,YEARFRAC(MAX($P$708*($B962+IF($R$17="Distrato",$I$38-1,0)),IF(AND($L$711=0,$P$708=0),"",$L$711-1),IF($R$17="Distrato",$E962,0)),MIN(BA$38,$D$19),$P$20))-SUM($P962:AZ962)</f>
        <v>#VALUE!</v>
      </c>
      <c r="BB962" s="447"/>
    </row>
    <row r="963" spans="1:54" s="446" customFormat="1" ht="11.25" hidden="1" customHeight="1" x14ac:dyDescent="0.2">
      <c r="A963" s="235"/>
      <c r="B963" s="236"/>
      <c r="C963" s="29" t="str">
        <f>IF(B963="","",IF($L$709=$BL$25,VLOOKUP(DATE(YEAR($D$19),MONTH($D$19)-1,1),ÍNDICES!$A:$DE,HLOOKUP($BL$25,ÍNDICES!$B$3:$T$4,2)+11)-VLOOKUP(B963,ÍNDICES!$A:$DE,HLOOKUP($BL$25,ÍNDICES!$B$3:$T$4,2)+11)+1%,IF(C$712=$W$26,$J$35,IF(ISERROR(IF(B963&gt;$D$19,1,VLOOKUP(DATE(YEAR(B963),MONTH(B963)+IF($C$709=$S$23,1,0),1),ÍNDICES!$A:$DE,$Z$709+1))),"",IF(B963&gt;$D$19,1,VLOOKUP(DATE(YEAR(B963),MONTH(B963)+IF($C$709=$S$23,1,0),1),ÍNDICES!$A:$DE,$Z$709+1))))))</f>
        <v/>
      </c>
      <c r="D963" s="155"/>
      <c r="E963" s="88"/>
      <c r="F963" s="88"/>
      <c r="G963" s="88"/>
      <c r="H963" s="118"/>
      <c r="I963" s="182">
        <f t="shared" si="136"/>
        <v>0</v>
      </c>
      <c r="J963" s="20">
        <f t="shared" ca="1" si="137"/>
        <v>0</v>
      </c>
      <c r="K963" s="5">
        <f t="shared" ca="1" si="138"/>
        <v>0</v>
      </c>
      <c r="L963" s="61">
        <f t="shared" ca="1" si="139"/>
        <v>0</v>
      </c>
      <c r="M963" s="64">
        <f t="shared" si="140"/>
        <v>0</v>
      </c>
      <c r="N963" s="151"/>
      <c r="O963" s="5">
        <f t="shared" ca="1" si="141"/>
        <v>0</v>
      </c>
      <c r="P963" s="446" t="e">
        <f t="shared" si="142"/>
        <v>#VALUE!</v>
      </c>
      <c r="Q963" s="446" t="e">
        <f>IF(OR($B963="",MIN(Q$38,$D$19)&lt;MAX($P$708*($B963+IF($R$17="Distrato",$I$38-1,0)),IF(AND($L$711=0,$P$708=0),"",$L$711-1),IF($R$17="Distrato",$E963,0))),0,YEARFRAC(MAX($P$708*($B963+IF($R$17="Distrato",$I$38-1,0)),IF(AND($L$711=0,$P$708=0),"",$L$711-1),IF($R$17="Distrato",$E963,0)),MIN(Q$38,$D$19),$P$20))-SUM($P963:P963)</f>
        <v>#VALUE!</v>
      </c>
      <c r="R963" s="446" t="e">
        <f>IF(OR($B963="",MIN(R$38,$D$19)&lt;MAX($P$708*($B963+IF($R$17="Distrato",$I$38-1,0)),IF(AND($L$711=0,$P$708=0),"",$L$711-1),IF($R$17="Distrato",$E963,0))),0,YEARFRAC(MAX($P$708*($B963+IF($R$17="Distrato",$I$38-1,0)),IF(AND($L$711=0,$P$708=0),"",$L$711-1),IF($R$17="Distrato",$E963,0)),MIN(R$38,$D$19),$P$20))-SUM($P963:Q963)</f>
        <v>#VALUE!</v>
      </c>
      <c r="S963" s="446" t="e">
        <f>IF(OR($B963="",MIN(S$38,$D$19)&lt;MAX($P$708*($B963+IF($R$17="Distrato",$I$38-1,0)),IF(AND($L$711=0,$P$708=0),"",$L$711-1),IF($R$17="Distrato",$E963,0))),0,YEARFRAC(MAX($P$708*($B963+IF($R$17="Distrato",$I$38-1,0)),IF(AND($L$711=0,$P$708=0),"",$L$711-1),IF($R$17="Distrato",$E963,0)),MIN(S$38,$D$19),$P$20))-SUM($P963:R963)</f>
        <v>#VALUE!</v>
      </c>
      <c r="T963" s="446" t="e">
        <f>IF(OR($B963="",MIN(T$38,$D$19)&lt;MAX($P$708*($B963+IF($R$17="Distrato",$I$38-1,0)),IF(AND($L$711=0,$P$708=0),"",$L$711-1),IF($R$17="Distrato",$E963,0))),0,YEARFRAC(MAX($P$708*($B963+IF($R$17="Distrato",$I$38-1,0)),IF(AND($L$711=0,$P$708=0),"",$L$711-1),IF($R$17="Distrato",$E963,0)),MIN(T$38,$D$19),$P$20))-SUM($P963:S963)</f>
        <v>#VALUE!</v>
      </c>
      <c r="U963" s="446" t="e">
        <f>IF(OR($B963="",MIN(U$38,$D$19)&lt;MAX($P$708*($B963+IF($R$17="Distrato",$I$38-1,0)),IF(AND($L$711=0,$P$708=0),"",$L$711-1),IF($R$17="Distrato",$E963,0))),0,YEARFRAC(MAX($P$708*($B963+IF($R$17="Distrato",$I$38-1,0)),IF(AND($L$711=0,$P$708=0),"",$L$711-1),IF($R$17="Distrato",$E963,0)),MIN(U$38,$D$19),$P$20))-SUM($P963:T963)</f>
        <v>#VALUE!</v>
      </c>
      <c r="V963" s="446" t="e">
        <f>IF(OR($B963="",MIN(V$38,$D$19)&lt;MAX($P$708*($B963+IF($R$17="Distrato",$I$38-1,0)),IF(AND($L$711=0,$P$708=0),"",$L$711-1),IF($R$17="Distrato",$E963,0))),0,YEARFRAC(MAX($P$708*($B963+IF($R$17="Distrato",$I$38-1,0)),IF(AND($L$711=0,$P$708=0),"",$L$711-1),IF($R$17="Distrato",$E963,0)),MIN(V$38,$D$19),$P$20))-SUM($P963:U963)</f>
        <v>#VALUE!</v>
      </c>
      <c r="W963" s="446" t="e">
        <f>IF(OR($B963="",MIN(W$38,$D$19)&lt;MAX($P$708*($B963+IF($R$17="Distrato",$I$38-1,0)),IF(AND($L$711=0,$P$708=0),"",$L$711-1),IF($R$17="Distrato",$E963,0))),0,YEARFRAC(MAX($P$708*($B963+IF($R$17="Distrato",$I$38-1,0)),IF(AND($L$711=0,$P$708=0),"",$L$711-1),IF($R$17="Distrato",$E963,0)),MIN(W$38,$D$19),$P$20))-SUM($P963:V963)</f>
        <v>#VALUE!</v>
      </c>
      <c r="X963" s="446" t="e">
        <f>IF(OR($B963="",MIN(X$38,$D$19)&lt;MAX($P$708*($B963+IF($R$17="Distrato",$I$38-1,0)),IF(AND($L$711=0,$P$708=0),"",$L$711-1),IF($R$17="Distrato",$E963,0))),0,YEARFRAC(MAX($P$708*($B963+IF($R$17="Distrato",$I$38-1,0)),IF(AND($L$711=0,$P$708=0),"",$L$711-1),IF($R$17="Distrato",$E963,0)),MIN(X$38,$D$19),$P$20))-SUM($P963:W963)</f>
        <v>#VALUE!</v>
      </c>
      <c r="Y963" s="446" t="e">
        <f>IF(OR($B963="",MIN(Y$38,$D$19)&lt;MAX($P$708*($B963+IF($R$17="Distrato",$I$38-1,0)),IF(AND($L$711=0,$P$708=0),"",$L$711-1),IF($R$17="Distrato",$E963,0))),0,YEARFRAC(MAX($P$708*($B963+IF($R$17="Distrato",$I$38-1,0)),IF(AND($L$711=0,$P$708=0),"",$L$711-1),IF($R$17="Distrato",$E963,0)),MIN(Y$38,$D$19),$P$20))-SUM($P963:X963)</f>
        <v>#VALUE!</v>
      </c>
      <c r="Z963" s="446" t="e">
        <f>IF(OR($B963="",MIN(Z$38,$D$19)&lt;MAX($P$708*($B963+IF($R$17="Distrato",$I$38-1,0)),IF(AND($L$711=0,$P$708=0),"",$L$711-1),IF($R$17="Distrato",$E963,0))),0,YEARFRAC(MAX($P$708*($B963+IF($R$17="Distrato",$I$38-1,0)),IF(AND($L$711=0,$P$708=0),"",$L$711-1),IF($R$17="Distrato",$E963,0)),MIN(Z$38,$D$19),$P$20))-SUM($P963:Y963)</f>
        <v>#VALUE!</v>
      </c>
      <c r="AA963" s="446" t="e">
        <f>IF(OR($B963="",MIN(AA$38,$D$19)&lt;MAX($P$708*($B963+IF($R$17="Distrato",$I$38-1,0)),IF(AND($L$711=0,$P$708=0),"",$L$711-1),IF($R$17="Distrato",$E963,0))),0,YEARFRAC(MAX($P$708*($B963+IF($R$17="Distrato",$I$38-1,0)),IF(AND($L$711=0,$P$708=0),"",$L$711-1),IF($R$17="Distrato",$E963,0)),MIN(AA$38,$D$19),$P$20))-SUM($P963:Z963)</f>
        <v>#VALUE!</v>
      </c>
      <c r="AB963" s="446" t="e">
        <f>IF(OR($B963="",MIN(AB$38,$D$19)&lt;MAX($P$708*($B963+IF($R$17="Distrato",$I$38-1,0)),IF(AND($L$711=0,$P$708=0),"",$L$711-1),IF($R$17="Distrato",$E963,0))),0,YEARFRAC(MAX($P$708*($B963+IF($R$17="Distrato",$I$38-1,0)),IF(AND($L$711=0,$P$708=0),"",$L$711-1),IF($R$17="Distrato",$E963,0)),MIN(AB$38,$D$19),$P$20))-SUM($P963:AA963)</f>
        <v>#VALUE!</v>
      </c>
      <c r="AC963" s="446" t="e">
        <f>IF(OR($B963="",MIN(AC$38,$D$19)&lt;MAX($P$708*($B963+IF($R$17="Distrato",$I$38-1,0)),IF(AND($L$711=0,$P$708=0),"",$L$711-1),IF($R$17="Distrato",$E963,0))),0,YEARFRAC(MAX($P$708*($B963+IF($R$17="Distrato",$I$38-1,0)),IF(AND($L$711=0,$P$708=0),"",$L$711-1),IF($R$17="Distrato",$E963,0)),MIN(AC$38,$D$19),$P$20))-SUM($P963:AB963)</f>
        <v>#VALUE!</v>
      </c>
      <c r="AD963" s="446" t="e">
        <f>IF(OR($B963="",MIN(AD$38,$D$19)&lt;MAX($P$708*($B963+IF($R$17="Distrato",$I$38-1,0)),IF(AND($L$711=0,$P$708=0),"",$L$711-1),IF($R$17="Distrato",$E963,0))),0,YEARFRAC(MAX($P$708*($B963+IF($R$17="Distrato",$I$38-1,0)),IF(AND($L$711=0,$P$708=0),"",$L$711-1),IF($R$17="Distrato",$E963,0)),MIN(AD$38,$D$19),$P$20))-SUM($P963:AC963)</f>
        <v>#VALUE!</v>
      </c>
      <c r="AE963" s="446" t="e">
        <f>IF(OR($B963="",MIN(AE$38,$D$19)&lt;MAX($P$708*($B963+IF($R$17="Distrato",$I$38-1,0)),IF(AND($L$711=0,$P$708=0),"",$L$711-1),IF($R$17="Distrato",$E963,0))),0,YEARFRAC(MAX($P$708*($B963+IF($R$17="Distrato",$I$38-1,0)),IF(AND($L$711=0,$P$708=0),"",$L$711-1),IF($R$17="Distrato",$E963,0)),MIN(AE$38,$D$19),$P$20))-SUM($P963:AD963)</f>
        <v>#VALUE!</v>
      </c>
      <c r="AF963" s="446" t="e">
        <f>IF(OR($B963="",MIN(AF$38,$D$19)&lt;MAX($P$708*($B963+IF($R$17="Distrato",$I$38-1,0)),IF(AND($L$711=0,$P$708=0),"",$L$711-1),IF($R$17="Distrato",$E963,0))),0,YEARFRAC(MAX($P$708*($B963+IF($R$17="Distrato",$I$38-1,0)),IF(AND($L$711=0,$P$708=0),"",$L$711-1),IF($R$17="Distrato",$E963,0)),MIN(AF$38,$D$19),$P$20))-SUM($P963:AE963)</f>
        <v>#VALUE!</v>
      </c>
      <c r="AG963" s="446" t="e">
        <f>IF(OR($B963="",MIN(AG$38,$D$19)&lt;MAX($P$708*($B963+IF($R$17="Distrato",$I$38-1,0)),IF(AND($L$711=0,$P$708=0),"",$L$711-1),IF($R$17="Distrato",$E963,0))),0,YEARFRAC(MAX($P$708*($B963+IF($R$17="Distrato",$I$38-1,0)),IF(AND($L$711=0,$P$708=0),"",$L$711-1),IF($R$17="Distrato",$E963,0)),MIN(AG$38,$D$19),$P$20))-SUM($P963:AF963)</f>
        <v>#VALUE!</v>
      </c>
      <c r="AH963" s="446" t="e">
        <f>IF(OR($B963="",MIN(AH$38,$D$19)&lt;MAX($P$708*($B963+IF($R$17="Distrato",$I$38-1,0)),IF(AND($L$711=0,$P$708=0),"",$L$711-1),IF($R$17="Distrato",$E963,0))),0,YEARFRAC(MAX($P$708*($B963+IF($R$17="Distrato",$I$38-1,0)),IF(AND($L$711=0,$P$708=0),"",$L$711-1),IF($R$17="Distrato",$E963,0)),MIN(AH$38,$D$19),$P$20))-SUM($P963:AG963)</f>
        <v>#VALUE!</v>
      </c>
      <c r="AI963" s="446" t="e">
        <f>IF(OR($B963="",MIN(AI$38,$D$19)&lt;MAX($P$708*($B963+IF($R$17="Distrato",$I$38-1,0)),IF(AND($L$711=0,$P$708=0),"",$L$711-1),IF($R$17="Distrato",$E963,0))),0,YEARFRAC(MAX($P$708*($B963+IF($R$17="Distrato",$I$38-1,0)),IF(AND($L$711=0,$P$708=0),"",$L$711-1),IF($R$17="Distrato",$E963,0)),MIN(AI$38,$D$19),$P$20))-SUM($P963:AH963)</f>
        <v>#VALUE!</v>
      </c>
      <c r="AJ963" s="446" t="e">
        <f>IF(OR($B963="",MIN(AJ$38,$D$19)&lt;MAX($P$708*($B963+IF($R$17="Distrato",$I$38-1,0)),IF(AND($L$711=0,$P$708=0),"",$L$711-1),IF($R$17="Distrato",$E963,0))),0,YEARFRAC(MAX($P$708*($B963+IF($R$17="Distrato",$I$38-1,0)),IF(AND($L$711=0,$P$708=0),"",$L$711-1),IF($R$17="Distrato",$E963,0)),MIN(AJ$38,$D$19),$P$20))-SUM($P963:AI963)</f>
        <v>#VALUE!</v>
      </c>
      <c r="AK963" s="446" t="e">
        <f>IF(OR($B963="",MIN(AK$38,$D$19)&lt;MAX($P$708*($B963+IF($R$17="Distrato",$I$38-1,0)),IF(AND($L$711=0,$P$708=0),"",$L$711-1),IF($R$17="Distrato",$E963,0))),0,YEARFRAC(MAX($P$708*($B963+IF($R$17="Distrato",$I$38-1,0)),IF(AND($L$711=0,$P$708=0),"",$L$711-1),IF($R$17="Distrato",$E963,0)),MIN(AK$38,$D$19),$P$20))-SUM($P963:AJ963)</f>
        <v>#VALUE!</v>
      </c>
      <c r="AL963" s="446" t="e">
        <f>IF(OR($B963="",MIN(AL$38,$D$19)&lt;MAX($P$708*($B963+IF($R$17="Distrato",$I$38-1,0)),IF(AND($L$711=0,$P$708=0),"",$L$711-1),IF($R$17="Distrato",$E963,0))),0,YEARFRAC(MAX($P$708*($B963+IF($R$17="Distrato",$I$38-1,0)),IF(AND($L$711=0,$P$708=0),"",$L$711-1),IF($R$17="Distrato",$E963,0)),MIN(AL$38,$D$19),$P$20))-SUM($P963:AK963)</f>
        <v>#VALUE!</v>
      </c>
      <c r="AM963" s="446" t="e">
        <f>IF(OR($B963="",MIN(AM$38,$D$19)&lt;MAX($P$708*($B963+IF($R$17="Distrato",$I$38-1,0)),IF(AND($L$711=0,$P$708=0),"",$L$711-1),IF($R$17="Distrato",$E963,0))),0,YEARFRAC(MAX($P$708*($B963+IF($R$17="Distrato",$I$38-1,0)),IF(AND($L$711=0,$P$708=0),"",$L$711-1),IF($R$17="Distrato",$E963,0)),MIN(AM$38,$D$19),$P$20))-SUM($P963:AL963)</f>
        <v>#VALUE!</v>
      </c>
      <c r="AN963" s="446" t="e">
        <f>IF(OR($B963="",MIN(AN$38,$D$19)&lt;MAX($P$708*($B963+IF($R$17="Distrato",$I$38-1,0)),IF(AND($L$711=0,$P$708=0),"",$L$711-1),IF($R$17="Distrato",$E963,0))),0,YEARFRAC(MAX($P$708*($B963+IF($R$17="Distrato",$I$38-1,0)),IF(AND($L$711=0,$P$708=0),"",$L$711-1),IF($R$17="Distrato",$E963,0)),MIN(AN$38,$D$19),$P$20))-SUM($P963:AM963)</f>
        <v>#VALUE!</v>
      </c>
      <c r="AO963" s="446" t="e">
        <f>IF(OR($B963="",MIN(AO$38,$D$19)&lt;MAX($P$708*($B963+IF($R$17="Distrato",$I$38-1,0)),IF(AND($L$711=0,$P$708=0),"",$L$711-1),IF($R$17="Distrato",$E963,0))),0,YEARFRAC(MAX($P$708*($B963+IF($R$17="Distrato",$I$38-1,0)),IF(AND($L$711=0,$P$708=0),"",$L$711-1),IF($R$17="Distrato",$E963,0)),MIN(AO$38,$D$19),$P$20))-SUM($P963:AN963)</f>
        <v>#VALUE!</v>
      </c>
      <c r="AP963" s="446" t="e">
        <f>IF(OR($B963="",MIN(AP$38,$D$19)&lt;MAX($P$708*($B963+IF($R$17="Distrato",$I$38-1,0)),IF(AND($L$711=0,$P$708=0),"",$L$711-1),IF($R$17="Distrato",$E963,0))),0,YEARFRAC(MAX($P$708*($B963+IF($R$17="Distrato",$I$38-1,0)),IF(AND($L$711=0,$P$708=0),"",$L$711-1),IF($R$17="Distrato",$E963,0)),MIN(AP$38,$D$19),$P$20))-SUM($P963:AO963)</f>
        <v>#VALUE!</v>
      </c>
      <c r="AQ963" s="446" t="e">
        <f>IF(OR($B963="",MIN(AQ$38,$D$19)&lt;MAX($P$708*($B963+IF($R$17="Distrato",$I$38-1,0)),IF(AND($L$711=0,$P$708=0),"",$L$711-1),IF($R$17="Distrato",$E963,0))),0,YEARFRAC(MAX($P$708*($B963+IF($R$17="Distrato",$I$38-1,0)),IF(AND($L$711=0,$P$708=0),"",$L$711-1),IF($R$17="Distrato",$E963,0)),MIN(AQ$38,$D$19),$P$20))-SUM($P963:AP963)</f>
        <v>#VALUE!</v>
      </c>
      <c r="AR963" s="446" t="e">
        <f>IF(OR($B963="",MIN(AR$38,$D$19)&lt;MAX($P$708*($B963+IF($R$17="Distrato",$I$38-1,0)),IF(AND($L$711=0,$P$708=0),"",$L$711-1),IF($R$17="Distrato",$E963,0))),0,YEARFRAC(MAX($P$708*($B963+IF($R$17="Distrato",$I$38-1,0)),IF(AND($L$711=0,$P$708=0),"",$L$711-1),IF($R$17="Distrato",$E963,0)),MIN(AR$38,$D$19),$P$20))-SUM($P963:AQ963)</f>
        <v>#VALUE!</v>
      </c>
      <c r="AS963" s="446" t="e">
        <f>IF(OR($B963="",MIN(AS$38,$D$19)&lt;MAX($P$708*($B963+IF($R$17="Distrato",$I$38-1,0)),IF(AND($L$711=0,$P$708=0),"",$L$711-1),IF($R$17="Distrato",$E963,0))),0,YEARFRAC(MAX($P$708*($B963+IF($R$17="Distrato",$I$38-1,0)),IF(AND($L$711=0,$P$708=0),"",$L$711-1),IF($R$17="Distrato",$E963,0)),MIN(AS$38,$D$19),$P$20))-SUM($P963:AR963)</f>
        <v>#VALUE!</v>
      </c>
      <c r="AT963" s="446" t="e">
        <f>IF(OR($B963="",MIN(AT$38,$D$19)&lt;MAX($P$708*($B963+IF($R$17="Distrato",$I$38-1,0)),IF(AND($L$711=0,$P$708=0),"",$L$711-1),IF($R$17="Distrato",$E963,0))),0,YEARFRAC(MAX($P$708*($B963+IF($R$17="Distrato",$I$38-1,0)),IF(AND($L$711=0,$P$708=0),"",$L$711-1),IF($R$17="Distrato",$E963,0)),MIN(AT$38,$D$19),$P$20))-SUM($P963:AS963)</f>
        <v>#VALUE!</v>
      </c>
      <c r="AU963" s="446" t="e">
        <f>IF(OR($B963="",MIN(AU$38,$D$19)&lt;MAX($P$708*($B963+IF($R$17="Distrato",$I$38-1,0)),IF(AND($L$711=0,$P$708=0),"",$L$711-1),IF($R$17="Distrato",$E963,0))),0,YEARFRAC(MAX($P$708*($B963+IF($R$17="Distrato",$I$38-1,0)),IF(AND($L$711=0,$P$708=0),"",$L$711-1),IF($R$17="Distrato",$E963,0)),MIN(AU$38,$D$19),$P$20))-SUM($P963:AT963)</f>
        <v>#VALUE!</v>
      </c>
      <c r="AV963" s="446" t="e">
        <f>IF(OR($B963="",MIN(AV$38,$D$19)&lt;MAX($P$708*($B963+IF($R$17="Distrato",$I$38-1,0)),IF(AND($L$711=0,$P$708=0),"",$L$711-1),IF($R$17="Distrato",$E963,0))),0,YEARFRAC(MAX($P$708*($B963+IF($R$17="Distrato",$I$38-1,0)),IF(AND($L$711=0,$P$708=0),"",$L$711-1),IF($R$17="Distrato",$E963,0)),MIN(AV$38,$D$19),$P$20))-SUM($P963:AU963)</f>
        <v>#VALUE!</v>
      </c>
      <c r="AW963" s="446" t="e">
        <f>IF(OR($B963="",MIN(AW$38,$D$19)&lt;MAX($P$708*($B963+IF($R$17="Distrato",$I$38-1,0)),IF(AND($L$711=0,$P$708=0),"",$L$711-1),IF($R$17="Distrato",$E963,0))),0,YEARFRAC(MAX($P$708*($B963+IF($R$17="Distrato",$I$38-1,0)),IF(AND($L$711=0,$P$708=0),"",$L$711-1),IF($R$17="Distrato",$E963,0)),MIN(AW$38,$D$19),$P$20))-SUM($P963:AV963)</f>
        <v>#VALUE!</v>
      </c>
      <c r="AX963" s="446" t="e">
        <f>IF(OR($B963="",MIN(AX$38,$D$19)&lt;MAX($P$708*($B963+IF($R$17="Distrato",$I$38-1,0)),IF(AND($L$711=0,$P$708=0),"",$L$711-1),IF($R$17="Distrato",$E963,0))),0,YEARFRAC(MAX($P$708*($B963+IF($R$17="Distrato",$I$38-1,0)),IF(AND($L$711=0,$P$708=0),"",$L$711-1),IF($R$17="Distrato",$E963,0)),MIN(AX$38,$D$19),$P$20))-SUM($P963:AW963)</f>
        <v>#VALUE!</v>
      </c>
      <c r="AY963" s="446" t="e">
        <f>IF(OR($B963="",MIN(AY$38,$D$19)&lt;MAX($P$708*($B963+IF($R$17="Distrato",$I$38-1,0)),IF(AND($L$711=0,$P$708=0),"",$L$711-1),IF($R$17="Distrato",$E963,0))),0,YEARFRAC(MAX($P$708*($B963+IF($R$17="Distrato",$I$38-1,0)),IF(AND($L$711=0,$P$708=0),"",$L$711-1),IF($R$17="Distrato",$E963,0)),MIN(AY$38,$D$19),$P$20))-SUM($P963:AX963)</f>
        <v>#VALUE!</v>
      </c>
      <c r="AZ963" s="446" t="e">
        <f>IF(OR($B963="",MIN(AZ$38,$D$19)&lt;MAX($P$708*($B963+IF($R$17="Distrato",$I$38-1,0)),IF(AND($L$711=0,$P$708=0),"",$L$711-1),IF($R$17="Distrato",$E963,0))),0,YEARFRAC(MAX($P$708*($B963+IF($R$17="Distrato",$I$38-1,0)),IF(AND($L$711=0,$P$708=0),"",$L$711-1),IF($R$17="Distrato",$E963,0)),MIN(AZ$38,$D$19),$P$20))-SUM($P963:AY963)</f>
        <v>#VALUE!</v>
      </c>
      <c r="BA963" s="446" t="e">
        <f>IF(OR($B963="",MIN(BA$38,$D$19)&lt;MAX($P$708*($B963+IF($R$17="Distrato",$I$38-1,0)),IF(AND($L$711=0,$P$708=0),"",$L$711-1),IF($R$17="Distrato",$E963,0))),0,YEARFRAC(MAX($P$708*($B963+IF($R$17="Distrato",$I$38-1,0)),IF(AND($L$711=0,$P$708=0),"",$L$711-1),IF($R$17="Distrato",$E963,0)),MIN(BA$38,$D$19),$P$20))-SUM($P963:AZ963)</f>
        <v>#VALUE!</v>
      </c>
      <c r="BB963" s="447"/>
    </row>
    <row r="964" spans="1:54" s="446" customFormat="1" ht="11.25" hidden="1" customHeight="1" x14ac:dyDescent="0.2">
      <c r="A964" s="235"/>
      <c r="B964" s="236"/>
      <c r="C964" s="29" t="str">
        <f>IF(B964="","",IF($L$709=$BL$25,VLOOKUP(DATE(YEAR($D$19),MONTH($D$19)-1,1),ÍNDICES!$A:$DE,HLOOKUP($BL$25,ÍNDICES!$B$3:$T$4,2)+11)-VLOOKUP(B964,ÍNDICES!$A:$DE,HLOOKUP($BL$25,ÍNDICES!$B$3:$T$4,2)+11)+1%,IF(C$712=$W$26,$J$35,IF(ISERROR(IF(B964&gt;$D$19,1,VLOOKUP(DATE(YEAR(B964),MONTH(B964)+IF($C$709=$S$23,1,0),1),ÍNDICES!$A:$DE,$Z$709+1))),"",IF(B964&gt;$D$19,1,VLOOKUP(DATE(YEAR(B964),MONTH(B964)+IF($C$709=$S$23,1,0),1),ÍNDICES!$A:$DE,$Z$709+1))))))</f>
        <v/>
      </c>
      <c r="D964" s="155"/>
      <c r="E964" s="88"/>
      <c r="F964" s="88"/>
      <c r="G964" s="88"/>
      <c r="H964" s="118"/>
      <c r="I964" s="182">
        <f t="shared" si="136"/>
        <v>0</v>
      </c>
      <c r="J964" s="20">
        <f t="shared" ca="1" si="137"/>
        <v>0</v>
      </c>
      <c r="K964" s="5">
        <f t="shared" ca="1" si="138"/>
        <v>0</v>
      </c>
      <c r="L964" s="61">
        <f t="shared" ca="1" si="139"/>
        <v>0</v>
      </c>
      <c r="M964" s="64">
        <f t="shared" si="140"/>
        <v>0</v>
      </c>
      <c r="N964" s="151"/>
      <c r="O964" s="5">
        <f t="shared" ca="1" si="141"/>
        <v>0</v>
      </c>
      <c r="P964" s="446" t="e">
        <f t="shared" si="142"/>
        <v>#VALUE!</v>
      </c>
      <c r="Q964" s="446" t="e">
        <f>IF(OR($B964="",MIN(Q$38,$D$19)&lt;MAX($P$708*($B964+IF($R$17="Distrato",$I$38-1,0)),IF(AND($L$711=0,$P$708=0),"",$L$711-1),IF($R$17="Distrato",$E964,0))),0,YEARFRAC(MAX($P$708*($B964+IF($R$17="Distrato",$I$38-1,0)),IF(AND($L$711=0,$P$708=0),"",$L$711-1),IF($R$17="Distrato",$E964,0)),MIN(Q$38,$D$19),$P$20))-SUM($P964:P964)</f>
        <v>#VALUE!</v>
      </c>
      <c r="R964" s="446" t="e">
        <f>IF(OR($B964="",MIN(R$38,$D$19)&lt;MAX($P$708*($B964+IF($R$17="Distrato",$I$38-1,0)),IF(AND($L$711=0,$P$708=0),"",$L$711-1),IF($R$17="Distrato",$E964,0))),0,YEARFRAC(MAX($P$708*($B964+IF($R$17="Distrato",$I$38-1,0)),IF(AND($L$711=0,$P$708=0),"",$L$711-1),IF($R$17="Distrato",$E964,0)),MIN(R$38,$D$19),$P$20))-SUM($P964:Q964)</f>
        <v>#VALUE!</v>
      </c>
      <c r="S964" s="446" t="e">
        <f>IF(OR($B964="",MIN(S$38,$D$19)&lt;MAX($P$708*($B964+IF($R$17="Distrato",$I$38-1,0)),IF(AND($L$711=0,$P$708=0),"",$L$711-1),IF($R$17="Distrato",$E964,0))),0,YEARFRAC(MAX($P$708*($B964+IF($R$17="Distrato",$I$38-1,0)),IF(AND($L$711=0,$P$708=0),"",$L$711-1),IF($R$17="Distrato",$E964,0)),MIN(S$38,$D$19),$P$20))-SUM($P964:R964)</f>
        <v>#VALUE!</v>
      </c>
      <c r="T964" s="446" t="e">
        <f>IF(OR($B964="",MIN(T$38,$D$19)&lt;MAX($P$708*($B964+IF($R$17="Distrato",$I$38-1,0)),IF(AND($L$711=0,$P$708=0),"",$L$711-1),IF($R$17="Distrato",$E964,0))),0,YEARFRAC(MAX($P$708*($B964+IF($R$17="Distrato",$I$38-1,0)),IF(AND($L$711=0,$P$708=0),"",$L$711-1),IF($R$17="Distrato",$E964,0)),MIN(T$38,$D$19),$P$20))-SUM($P964:S964)</f>
        <v>#VALUE!</v>
      </c>
      <c r="U964" s="446" t="e">
        <f>IF(OR($B964="",MIN(U$38,$D$19)&lt;MAX($P$708*($B964+IF($R$17="Distrato",$I$38-1,0)),IF(AND($L$711=0,$P$708=0),"",$L$711-1),IF($R$17="Distrato",$E964,0))),0,YEARFRAC(MAX($P$708*($B964+IF($R$17="Distrato",$I$38-1,0)),IF(AND($L$711=0,$P$708=0),"",$L$711-1),IF($R$17="Distrato",$E964,0)),MIN(U$38,$D$19),$P$20))-SUM($P964:T964)</f>
        <v>#VALUE!</v>
      </c>
      <c r="V964" s="446" t="e">
        <f>IF(OR($B964="",MIN(V$38,$D$19)&lt;MAX($P$708*($B964+IF($R$17="Distrato",$I$38-1,0)),IF(AND($L$711=0,$P$708=0),"",$L$711-1),IF($R$17="Distrato",$E964,0))),0,YEARFRAC(MAX($P$708*($B964+IF($R$17="Distrato",$I$38-1,0)),IF(AND($L$711=0,$P$708=0),"",$L$711-1),IF($R$17="Distrato",$E964,0)),MIN(V$38,$D$19),$P$20))-SUM($P964:U964)</f>
        <v>#VALUE!</v>
      </c>
      <c r="W964" s="446" t="e">
        <f>IF(OR($B964="",MIN(W$38,$D$19)&lt;MAX($P$708*($B964+IF($R$17="Distrato",$I$38-1,0)),IF(AND($L$711=0,$P$708=0),"",$L$711-1),IF($R$17="Distrato",$E964,0))),0,YEARFRAC(MAX($P$708*($B964+IF($R$17="Distrato",$I$38-1,0)),IF(AND($L$711=0,$P$708=0),"",$L$711-1),IF($R$17="Distrato",$E964,0)),MIN(W$38,$D$19),$P$20))-SUM($P964:V964)</f>
        <v>#VALUE!</v>
      </c>
      <c r="X964" s="446" t="e">
        <f>IF(OR($B964="",MIN(X$38,$D$19)&lt;MAX($P$708*($B964+IF($R$17="Distrato",$I$38-1,0)),IF(AND($L$711=0,$P$708=0),"",$L$711-1),IF($R$17="Distrato",$E964,0))),0,YEARFRAC(MAX($P$708*($B964+IF($R$17="Distrato",$I$38-1,0)),IF(AND($L$711=0,$P$708=0),"",$L$711-1),IF($R$17="Distrato",$E964,0)),MIN(X$38,$D$19),$P$20))-SUM($P964:W964)</f>
        <v>#VALUE!</v>
      </c>
      <c r="Y964" s="446" t="e">
        <f>IF(OR($B964="",MIN(Y$38,$D$19)&lt;MAX($P$708*($B964+IF($R$17="Distrato",$I$38-1,0)),IF(AND($L$711=0,$P$708=0),"",$L$711-1),IF($R$17="Distrato",$E964,0))),0,YEARFRAC(MAX($P$708*($B964+IF($R$17="Distrato",$I$38-1,0)),IF(AND($L$711=0,$P$708=0),"",$L$711-1),IF($R$17="Distrato",$E964,0)),MIN(Y$38,$D$19),$P$20))-SUM($P964:X964)</f>
        <v>#VALUE!</v>
      </c>
      <c r="Z964" s="446" t="e">
        <f>IF(OR($B964="",MIN(Z$38,$D$19)&lt;MAX($P$708*($B964+IF($R$17="Distrato",$I$38-1,0)),IF(AND($L$711=0,$P$708=0),"",$L$711-1),IF($R$17="Distrato",$E964,0))),0,YEARFRAC(MAX($P$708*($B964+IF($R$17="Distrato",$I$38-1,0)),IF(AND($L$711=0,$P$708=0),"",$L$711-1),IF($R$17="Distrato",$E964,0)),MIN(Z$38,$D$19),$P$20))-SUM($P964:Y964)</f>
        <v>#VALUE!</v>
      </c>
      <c r="AA964" s="446" t="e">
        <f>IF(OR($B964="",MIN(AA$38,$D$19)&lt;MAX($P$708*($B964+IF($R$17="Distrato",$I$38-1,0)),IF(AND($L$711=0,$P$708=0),"",$L$711-1),IF($R$17="Distrato",$E964,0))),0,YEARFRAC(MAX($P$708*($B964+IF($R$17="Distrato",$I$38-1,0)),IF(AND($L$711=0,$P$708=0),"",$L$711-1),IF($R$17="Distrato",$E964,0)),MIN(AA$38,$D$19),$P$20))-SUM($P964:Z964)</f>
        <v>#VALUE!</v>
      </c>
      <c r="AB964" s="446" t="e">
        <f>IF(OR($B964="",MIN(AB$38,$D$19)&lt;MAX($P$708*($B964+IF($R$17="Distrato",$I$38-1,0)),IF(AND($L$711=0,$P$708=0),"",$L$711-1),IF($R$17="Distrato",$E964,0))),0,YEARFRAC(MAX($P$708*($B964+IF($R$17="Distrato",$I$38-1,0)),IF(AND($L$711=0,$P$708=0),"",$L$711-1),IF($R$17="Distrato",$E964,0)),MIN(AB$38,$D$19),$P$20))-SUM($P964:AA964)</f>
        <v>#VALUE!</v>
      </c>
      <c r="AC964" s="446" t="e">
        <f>IF(OR($B964="",MIN(AC$38,$D$19)&lt;MAX($P$708*($B964+IF($R$17="Distrato",$I$38-1,0)),IF(AND($L$711=0,$P$708=0),"",$L$711-1),IF($R$17="Distrato",$E964,0))),0,YEARFRAC(MAX($P$708*($B964+IF($R$17="Distrato",$I$38-1,0)),IF(AND($L$711=0,$P$708=0),"",$L$711-1),IF($R$17="Distrato",$E964,0)),MIN(AC$38,$D$19),$P$20))-SUM($P964:AB964)</f>
        <v>#VALUE!</v>
      </c>
      <c r="AD964" s="446" t="e">
        <f>IF(OR($B964="",MIN(AD$38,$D$19)&lt;MAX($P$708*($B964+IF($R$17="Distrato",$I$38-1,0)),IF(AND($L$711=0,$P$708=0),"",$L$711-1),IF($R$17="Distrato",$E964,0))),0,YEARFRAC(MAX($P$708*($B964+IF($R$17="Distrato",$I$38-1,0)),IF(AND($L$711=0,$P$708=0),"",$L$711-1),IF($R$17="Distrato",$E964,0)),MIN(AD$38,$D$19),$P$20))-SUM($P964:AC964)</f>
        <v>#VALUE!</v>
      </c>
      <c r="AE964" s="446" t="e">
        <f>IF(OR($B964="",MIN(AE$38,$D$19)&lt;MAX($P$708*($B964+IF($R$17="Distrato",$I$38-1,0)),IF(AND($L$711=0,$P$708=0),"",$L$711-1),IF($R$17="Distrato",$E964,0))),0,YEARFRAC(MAX($P$708*($B964+IF($R$17="Distrato",$I$38-1,0)),IF(AND($L$711=0,$P$708=0),"",$L$711-1),IF($R$17="Distrato",$E964,0)),MIN(AE$38,$D$19),$P$20))-SUM($P964:AD964)</f>
        <v>#VALUE!</v>
      </c>
      <c r="AF964" s="446" t="e">
        <f>IF(OR($B964="",MIN(AF$38,$D$19)&lt;MAX($P$708*($B964+IF($R$17="Distrato",$I$38-1,0)),IF(AND($L$711=0,$P$708=0),"",$L$711-1),IF($R$17="Distrato",$E964,0))),0,YEARFRAC(MAX($P$708*($B964+IF($R$17="Distrato",$I$38-1,0)),IF(AND($L$711=0,$P$708=0),"",$L$711-1),IF($R$17="Distrato",$E964,0)),MIN(AF$38,$D$19),$P$20))-SUM($P964:AE964)</f>
        <v>#VALUE!</v>
      </c>
      <c r="AG964" s="446" t="e">
        <f>IF(OR($B964="",MIN(AG$38,$D$19)&lt;MAX($P$708*($B964+IF($R$17="Distrato",$I$38-1,0)),IF(AND($L$711=0,$P$708=0),"",$L$711-1),IF($R$17="Distrato",$E964,0))),0,YEARFRAC(MAX($P$708*($B964+IF($R$17="Distrato",$I$38-1,0)),IF(AND($L$711=0,$P$708=0),"",$L$711-1),IF($R$17="Distrato",$E964,0)),MIN(AG$38,$D$19),$P$20))-SUM($P964:AF964)</f>
        <v>#VALUE!</v>
      </c>
      <c r="AH964" s="446" t="e">
        <f>IF(OR($B964="",MIN(AH$38,$D$19)&lt;MAX($P$708*($B964+IF($R$17="Distrato",$I$38-1,0)),IF(AND($L$711=0,$P$708=0),"",$L$711-1),IF($R$17="Distrato",$E964,0))),0,YEARFRAC(MAX($P$708*($B964+IF($R$17="Distrato",$I$38-1,0)),IF(AND($L$711=0,$P$708=0),"",$L$711-1),IF($R$17="Distrato",$E964,0)),MIN(AH$38,$D$19),$P$20))-SUM($P964:AG964)</f>
        <v>#VALUE!</v>
      </c>
      <c r="AI964" s="446" t="e">
        <f>IF(OR($B964="",MIN(AI$38,$D$19)&lt;MAX($P$708*($B964+IF($R$17="Distrato",$I$38-1,0)),IF(AND($L$711=0,$P$708=0),"",$L$711-1),IF($R$17="Distrato",$E964,0))),0,YEARFRAC(MAX($P$708*($B964+IF($R$17="Distrato",$I$38-1,0)),IF(AND($L$711=0,$P$708=0),"",$L$711-1),IF($R$17="Distrato",$E964,0)),MIN(AI$38,$D$19),$P$20))-SUM($P964:AH964)</f>
        <v>#VALUE!</v>
      </c>
      <c r="AJ964" s="446" t="e">
        <f>IF(OR($B964="",MIN(AJ$38,$D$19)&lt;MAX($P$708*($B964+IF($R$17="Distrato",$I$38-1,0)),IF(AND($L$711=0,$P$708=0),"",$L$711-1),IF($R$17="Distrato",$E964,0))),0,YEARFRAC(MAX($P$708*($B964+IF($R$17="Distrato",$I$38-1,0)),IF(AND($L$711=0,$P$708=0),"",$L$711-1),IF($R$17="Distrato",$E964,0)),MIN(AJ$38,$D$19),$P$20))-SUM($P964:AI964)</f>
        <v>#VALUE!</v>
      </c>
      <c r="AK964" s="446" t="e">
        <f>IF(OR($B964="",MIN(AK$38,$D$19)&lt;MAX($P$708*($B964+IF($R$17="Distrato",$I$38-1,0)),IF(AND($L$711=0,$P$708=0),"",$L$711-1),IF($R$17="Distrato",$E964,0))),0,YEARFRAC(MAX($P$708*($B964+IF($R$17="Distrato",$I$38-1,0)),IF(AND($L$711=0,$P$708=0),"",$L$711-1),IF($R$17="Distrato",$E964,0)),MIN(AK$38,$D$19),$P$20))-SUM($P964:AJ964)</f>
        <v>#VALUE!</v>
      </c>
      <c r="AL964" s="446" t="e">
        <f>IF(OR($B964="",MIN(AL$38,$D$19)&lt;MAX($P$708*($B964+IF($R$17="Distrato",$I$38-1,0)),IF(AND($L$711=0,$P$708=0),"",$L$711-1),IF($R$17="Distrato",$E964,0))),0,YEARFRAC(MAX($P$708*($B964+IF($R$17="Distrato",$I$38-1,0)),IF(AND($L$711=0,$P$708=0),"",$L$711-1),IF($R$17="Distrato",$E964,0)),MIN(AL$38,$D$19),$P$20))-SUM($P964:AK964)</f>
        <v>#VALUE!</v>
      </c>
      <c r="AM964" s="446" t="e">
        <f>IF(OR($B964="",MIN(AM$38,$D$19)&lt;MAX($P$708*($B964+IF($R$17="Distrato",$I$38-1,0)),IF(AND($L$711=0,$P$708=0),"",$L$711-1),IF($R$17="Distrato",$E964,0))),0,YEARFRAC(MAX($P$708*($B964+IF($R$17="Distrato",$I$38-1,0)),IF(AND($L$711=0,$P$708=0),"",$L$711-1),IF($R$17="Distrato",$E964,0)),MIN(AM$38,$D$19),$P$20))-SUM($P964:AL964)</f>
        <v>#VALUE!</v>
      </c>
      <c r="AN964" s="446" t="e">
        <f>IF(OR($B964="",MIN(AN$38,$D$19)&lt;MAX($P$708*($B964+IF($R$17="Distrato",$I$38-1,0)),IF(AND($L$711=0,$P$708=0),"",$L$711-1),IF($R$17="Distrato",$E964,0))),0,YEARFRAC(MAX($P$708*($B964+IF($R$17="Distrato",$I$38-1,0)),IF(AND($L$711=0,$P$708=0),"",$L$711-1),IF($R$17="Distrato",$E964,0)),MIN(AN$38,$D$19),$P$20))-SUM($P964:AM964)</f>
        <v>#VALUE!</v>
      </c>
      <c r="AO964" s="446" t="e">
        <f>IF(OR($B964="",MIN(AO$38,$D$19)&lt;MAX($P$708*($B964+IF($R$17="Distrato",$I$38-1,0)),IF(AND($L$711=0,$P$708=0),"",$L$711-1),IF($R$17="Distrato",$E964,0))),0,YEARFRAC(MAX($P$708*($B964+IF($R$17="Distrato",$I$38-1,0)),IF(AND($L$711=0,$P$708=0),"",$L$711-1),IF($R$17="Distrato",$E964,0)),MIN(AO$38,$D$19),$P$20))-SUM($P964:AN964)</f>
        <v>#VALUE!</v>
      </c>
      <c r="AP964" s="446" t="e">
        <f>IF(OR($B964="",MIN(AP$38,$D$19)&lt;MAX($P$708*($B964+IF($R$17="Distrato",$I$38-1,0)),IF(AND($L$711=0,$P$708=0),"",$L$711-1),IF($R$17="Distrato",$E964,0))),0,YEARFRAC(MAX($P$708*($B964+IF($R$17="Distrato",$I$38-1,0)),IF(AND($L$711=0,$P$708=0),"",$L$711-1),IF($R$17="Distrato",$E964,0)),MIN(AP$38,$D$19),$P$20))-SUM($P964:AO964)</f>
        <v>#VALUE!</v>
      </c>
      <c r="AQ964" s="446" t="e">
        <f>IF(OR($B964="",MIN(AQ$38,$D$19)&lt;MAX($P$708*($B964+IF($R$17="Distrato",$I$38-1,0)),IF(AND($L$711=0,$P$708=0),"",$L$711-1),IF($R$17="Distrato",$E964,0))),0,YEARFRAC(MAX($P$708*($B964+IF($R$17="Distrato",$I$38-1,0)),IF(AND($L$711=0,$P$708=0),"",$L$711-1),IF($R$17="Distrato",$E964,0)),MIN(AQ$38,$D$19),$P$20))-SUM($P964:AP964)</f>
        <v>#VALUE!</v>
      </c>
      <c r="AR964" s="446" t="e">
        <f>IF(OR($B964="",MIN(AR$38,$D$19)&lt;MAX($P$708*($B964+IF($R$17="Distrato",$I$38-1,0)),IF(AND($L$711=0,$P$708=0),"",$L$711-1),IF($R$17="Distrato",$E964,0))),0,YEARFRAC(MAX($P$708*($B964+IF($R$17="Distrato",$I$38-1,0)),IF(AND($L$711=0,$P$708=0),"",$L$711-1),IF($R$17="Distrato",$E964,0)),MIN(AR$38,$D$19),$P$20))-SUM($P964:AQ964)</f>
        <v>#VALUE!</v>
      </c>
      <c r="AS964" s="446" t="e">
        <f>IF(OR($B964="",MIN(AS$38,$D$19)&lt;MAX($P$708*($B964+IF($R$17="Distrato",$I$38-1,0)),IF(AND($L$711=0,$P$708=0),"",$L$711-1),IF($R$17="Distrato",$E964,0))),0,YEARFRAC(MAX($P$708*($B964+IF($R$17="Distrato",$I$38-1,0)),IF(AND($L$711=0,$P$708=0),"",$L$711-1),IF($R$17="Distrato",$E964,0)),MIN(AS$38,$D$19),$P$20))-SUM($P964:AR964)</f>
        <v>#VALUE!</v>
      </c>
      <c r="AT964" s="446" t="e">
        <f>IF(OR($B964="",MIN(AT$38,$D$19)&lt;MAX($P$708*($B964+IF($R$17="Distrato",$I$38-1,0)),IF(AND($L$711=0,$P$708=0),"",$L$711-1),IF($R$17="Distrato",$E964,0))),0,YEARFRAC(MAX($P$708*($B964+IF($R$17="Distrato",$I$38-1,0)),IF(AND($L$711=0,$P$708=0),"",$L$711-1),IF($R$17="Distrato",$E964,0)),MIN(AT$38,$D$19),$P$20))-SUM($P964:AS964)</f>
        <v>#VALUE!</v>
      </c>
      <c r="AU964" s="446" t="e">
        <f>IF(OR($B964="",MIN(AU$38,$D$19)&lt;MAX($P$708*($B964+IF($R$17="Distrato",$I$38-1,0)),IF(AND($L$711=0,$P$708=0),"",$L$711-1),IF($R$17="Distrato",$E964,0))),0,YEARFRAC(MAX($P$708*($B964+IF($R$17="Distrato",$I$38-1,0)),IF(AND($L$711=0,$P$708=0),"",$L$711-1),IF($R$17="Distrato",$E964,0)),MIN(AU$38,$D$19),$P$20))-SUM($P964:AT964)</f>
        <v>#VALUE!</v>
      </c>
      <c r="AV964" s="446" t="e">
        <f>IF(OR($B964="",MIN(AV$38,$D$19)&lt;MAX($P$708*($B964+IF($R$17="Distrato",$I$38-1,0)),IF(AND($L$711=0,$P$708=0),"",$L$711-1),IF($R$17="Distrato",$E964,0))),0,YEARFRAC(MAX($P$708*($B964+IF($R$17="Distrato",$I$38-1,0)),IF(AND($L$711=0,$P$708=0),"",$L$711-1),IF($R$17="Distrato",$E964,0)),MIN(AV$38,$D$19),$P$20))-SUM($P964:AU964)</f>
        <v>#VALUE!</v>
      </c>
      <c r="AW964" s="446" t="e">
        <f>IF(OR($B964="",MIN(AW$38,$D$19)&lt;MAX($P$708*($B964+IF($R$17="Distrato",$I$38-1,0)),IF(AND($L$711=0,$P$708=0),"",$L$711-1),IF($R$17="Distrato",$E964,0))),0,YEARFRAC(MAX($P$708*($B964+IF($R$17="Distrato",$I$38-1,0)),IF(AND($L$711=0,$P$708=0),"",$L$711-1),IF($R$17="Distrato",$E964,0)),MIN(AW$38,$D$19),$P$20))-SUM($P964:AV964)</f>
        <v>#VALUE!</v>
      </c>
      <c r="AX964" s="446" t="e">
        <f>IF(OR($B964="",MIN(AX$38,$D$19)&lt;MAX($P$708*($B964+IF($R$17="Distrato",$I$38-1,0)),IF(AND($L$711=0,$P$708=0),"",$L$711-1),IF($R$17="Distrato",$E964,0))),0,YEARFRAC(MAX($P$708*($B964+IF($R$17="Distrato",$I$38-1,0)),IF(AND($L$711=0,$P$708=0),"",$L$711-1),IF($R$17="Distrato",$E964,0)),MIN(AX$38,$D$19),$P$20))-SUM($P964:AW964)</f>
        <v>#VALUE!</v>
      </c>
      <c r="AY964" s="446" t="e">
        <f>IF(OR($B964="",MIN(AY$38,$D$19)&lt;MAX($P$708*($B964+IF($R$17="Distrato",$I$38-1,0)),IF(AND($L$711=0,$P$708=0),"",$L$711-1),IF($R$17="Distrato",$E964,0))),0,YEARFRAC(MAX($P$708*($B964+IF($R$17="Distrato",$I$38-1,0)),IF(AND($L$711=0,$P$708=0),"",$L$711-1),IF($R$17="Distrato",$E964,0)),MIN(AY$38,$D$19),$P$20))-SUM($P964:AX964)</f>
        <v>#VALUE!</v>
      </c>
      <c r="AZ964" s="446" t="e">
        <f>IF(OR($B964="",MIN(AZ$38,$D$19)&lt;MAX($P$708*($B964+IF($R$17="Distrato",$I$38-1,0)),IF(AND($L$711=0,$P$708=0),"",$L$711-1),IF($R$17="Distrato",$E964,0))),0,YEARFRAC(MAX($P$708*($B964+IF($R$17="Distrato",$I$38-1,0)),IF(AND($L$711=0,$P$708=0),"",$L$711-1),IF($R$17="Distrato",$E964,0)),MIN(AZ$38,$D$19),$P$20))-SUM($P964:AY964)</f>
        <v>#VALUE!</v>
      </c>
      <c r="BA964" s="446" t="e">
        <f>IF(OR($B964="",MIN(BA$38,$D$19)&lt;MAX($P$708*($B964+IF($R$17="Distrato",$I$38-1,0)),IF(AND($L$711=0,$P$708=0),"",$L$711-1),IF($R$17="Distrato",$E964,0))),0,YEARFRAC(MAX($P$708*($B964+IF($R$17="Distrato",$I$38-1,0)),IF(AND($L$711=0,$P$708=0),"",$L$711-1),IF($R$17="Distrato",$E964,0)),MIN(BA$38,$D$19),$P$20))-SUM($P964:AZ964)</f>
        <v>#VALUE!</v>
      </c>
      <c r="BB964" s="447"/>
    </row>
    <row r="965" spans="1:54" s="446" customFormat="1" ht="11.25" hidden="1" customHeight="1" x14ac:dyDescent="0.2">
      <c r="A965" s="235"/>
      <c r="B965" s="236"/>
      <c r="C965" s="29" t="str">
        <f>IF(B965="","",IF($L$709=$BL$25,VLOOKUP(DATE(YEAR($D$19),MONTH($D$19)-1,1),ÍNDICES!$A:$DE,HLOOKUP($BL$25,ÍNDICES!$B$3:$T$4,2)+11)-VLOOKUP(B965,ÍNDICES!$A:$DE,HLOOKUP($BL$25,ÍNDICES!$B$3:$T$4,2)+11)+1%,IF(C$712=$W$26,$J$35,IF(ISERROR(IF(B965&gt;$D$19,1,VLOOKUP(DATE(YEAR(B965),MONTH(B965)+IF($C$709=$S$23,1,0),1),ÍNDICES!$A:$DE,$Z$709+1))),"",IF(B965&gt;$D$19,1,VLOOKUP(DATE(YEAR(B965),MONTH(B965)+IF($C$709=$S$23,1,0),1),ÍNDICES!$A:$DE,$Z$709+1))))))</f>
        <v/>
      </c>
      <c r="D965" s="155"/>
      <c r="E965" s="88"/>
      <c r="F965" s="88"/>
      <c r="G965" s="88"/>
      <c r="H965" s="118"/>
      <c r="I965" s="182">
        <f t="shared" si="136"/>
        <v>0</v>
      </c>
      <c r="J965" s="20">
        <f t="shared" ca="1" si="137"/>
        <v>0</v>
      </c>
      <c r="K965" s="5">
        <f t="shared" ca="1" si="138"/>
        <v>0</v>
      </c>
      <c r="L965" s="61">
        <f t="shared" ca="1" si="139"/>
        <v>0</v>
      </c>
      <c r="M965" s="64">
        <f t="shared" si="140"/>
        <v>0</v>
      </c>
      <c r="N965" s="151"/>
      <c r="O965" s="5">
        <f t="shared" ca="1" si="141"/>
        <v>0</v>
      </c>
      <c r="P965" s="446" t="e">
        <f t="shared" si="142"/>
        <v>#VALUE!</v>
      </c>
      <c r="Q965" s="446" t="e">
        <f>IF(OR($B965="",MIN(Q$38,$D$19)&lt;MAX($P$708*($B965+IF($R$17="Distrato",$I$38-1,0)),IF(AND($L$711=0,$P$708=0),"",$L$711-1),IF($R$17="Distrato",$E965,0))),0,YEARFRAC(MAX($P$708*($B965+IF($R$17="Distrato",$I$38-1,0)),IF(AND($L$711=0,$P$708=0),"",$L$711-1),IF($R$17="Distrato",$E965,0)),MIN(Q$38,$D$19),$P$20))-SUM($P965:P965)</f>
        <v>#VALUE!</v>
      </c>
      <c r="R965" s="446" t="e">
        <f>IF(OR($B965="",MIN(R$38,$D$19)&lt;MAX($P$708*($B965+IF($R$17="Distrato",$I$38-1,0)),IF(AND($L$711=0,$P$708=0),"",$L$711-1),IF($R$17="Distrato",$E965,0))),0,YEARFRAC(MAX($P$708*($B965+IF($R$17="Distrato",$I$38-1,0)),IF(AND($L$711=0,$P$708=0),"",$L$711-1),IF($R$17="Distrato",$E965,0)),MIN(R$38,$D$19),$P$20))-SUM($P965:Q965)</f>
        <v>#VALUE!</v>
      </c>
      <c r="S965" s="446" t="e">
        <f>IF(OR($B965="",MIN(S$38,$D$19)&lt;MAX($P$708*($B965+IF($R$17="Distrato",$I$38-1,0)),IF(AND($L$711=0,$P$708=0),"",$L$711-1),IF($R$17="Distrato",$E965,0))),0,YEARFRAC(MAX($P$708*($B965+IF($R$17="Distrato",$I$38-1,0)),IF(AND($L$711=0,$P$708=0),"",$L$711-1),IF($R$17="Distrato",$E965,0)),MIN(S$38,$D$19),$P$20))-SUM($P965:R965)</f>
        <v>#VALUE!</v>
      </c>
      <c r="T965" s="446" t="e">
        <f>IF(OR($B965="",MIN(T$38,$D$19)&lt;MAX($P$708*($B965+IF($R$17="Distrato",$I$38-1,0)),IF(AND($L$711=0,$P$708=0),"",$L$711-1),IF($R$17="Distrato",$E965,0))),0,YEARFRAC(MAX($P$708*($B965+IF($R$17="Distrato",$I$38-1,0)),IF(AND($L$711=0,$P$708=0),"",$L$711-1),IF($R$17="Distrato",$E965,0)),MIN(T$38,$D$19),$P$20))-SUM($P965:S965)</f>
        <v>#VALUE!</v>
      </c>
      <c r="U965" s="446" t="e">
        <f>IF(OR($B965="",MIN(U$38,$D$19)&lt;MAX($P$708*($B965+IF($R$17="Distrato",$I$38-1,0)),IF(AND($L$711=0,$P$708=0),"",$L$711-1),IF($R$17="Distrato",$E965,0))),0,YEARFRAC(MAX($P$708*($B965+IF($R$17="Distrato",$I$38-1,0)),IF(AND($L$711=0,$P$708=0),"",$L$711-1),IF($R$17="Distrato",$E965,0)),MIN(U$38,$D$19),$P$20))-SUM($P965:T965)</f>
        <v>#VALUE!</v>
      </c>
      <c r="V965" s="446" t="e">
        <f>IF(OR($B965="",MIN(V$38,$D$19)&lt;MAX($P$708*($B965+IF($R$17="Distrato",$I$38-1,0)),IF(AND($L$711=0,$P$708=0),"",$L$711-1),IF($R$17="Distrato",$E965,0))),0,YEARFRAC(MAX($P$708*($B965+IF($R$17="Distrato",$I$38-1,0)),IF(AND($L$711=0,$P$708=0),"",$L$711-1),IF($R$17="Distrato",$E965,0)),MIN(V$38,$D$19),$P$20))-SUM($P965:U965)</f>
        <v>#VALUE!</v>
      </c>
      <c r="W965" s="446" t="e">
        <f>IF(OR($B965="",MIN(W$38,$D$19)&lt;MAX($P$708*($B965+IF($R$17="Distrato",$I$38-1,0)),IF(AND($L$711=0,$P$708=0),"",$L$711-1),IF($R$17="Distrato",$E965,0))),0,YEARFRAC(MAX($P$708*($B965+IF($R$17="Distrato",$I$38-1,0)),IF(AND($L$711=0,$P$708=0),"",$L$711-1),IF($R$17="Distrato",$E965,0)),MIN(W$38,$D$19),$P$20))-SUM($P965:V965)</f>
        <v>#VALUE!</v>
      </c>
      <c r="X965" s="446" t="e">
        <f>IF(OR($B965="",MIN(X$38,$D$19)&lt;MAX($P$708*($B965+IF($R$17="Distrato",$I$38-1,0)),IF(AND($L$711=0,$P$708=0),"",$L$711-1),IF($R$17="Distrato",$E965,0))),0,YEARFRAC(MAX($P$708*($B965+IF($R$17="Distrato",$I$38-1,0)),IF(AND($L$711=0,$P$708=0),"",$L$711-1),IF($R$17="Distrato",$E965,0)),MIN(X$38,$D$19),$P$20))-SUM($P965:W965)</f>
        <v>#VALUE!</v>
      </c>
      <c r="Y965" s="446" t="e">
        <f>IF(OR($B965="",MIN(Y$38,$D$19)&lt;MAX($P$708*($B965+IF($R$17="Distrato",$I$38-1,0)),IF(AND($L$711=0,$P$708=0),"",$L$711-1),IF($R$17="Distrato",$E965,0))),0,YEARFRAC(MAX($P$708*($B965+IF($R$17="Distrato",$I$38-1,0)),IF(AND($L$711=0,$P$708=0),"",$L$711-1),IF($R$17="Distrato",$E965,0)),MIN(Y$38,$D$19),$P$20))-SUM($P965:X965)</f>
        <v>#VALUE!</v>
      </c>
      <c r="Z965" s="446" t="e">
        <f>IF(OR($B965="",MIN(Z$38,$D$19)&lt;MAX($P$708*($B965+IF($R$17="Distrato",$I$38-1,0)),IF(AND($L$711=0,$P$708=0),"",$L$711-1),IF($R$17="Distrato",$E965,0))),0,YEARFRAC(MAX($P$708*($B965+IF($R$17="Distrato",$I$38-1,0)),IF(AND($L$711=0,$P$708=0),"",$L$711-1),IF($R$17="Distrato",$E965,0)),MIN(Z$38,$D$19),$P$20))-SUM($P965:Y965)</f>
        <v>#VALUE!</v>
      </c>
      <c r="AA965" s="446" t="e">
        <f>IF(OR($B965="",MIN(AA$38,$D$19)&lt;MAX($P$708*($B965+IF($R$17="Distrato",$I$38-1,0)),IF(AND($L$711=0,$P$708=0),"",$L$711-1),IF($R$17="Distrato",$E965,0))),0,YEARFRAC(MAX($P$708*($B965+IF($R$17="Distrato",$I$38-1,0)),IF(AND($L$711=0,$P$708=0),"",$L$711-1),IF($R$17="Distrato",$E965,0)),MIN(AA$38,$D$19),$P$20))-SUM($P965:Z965)</f>
        <v>#VALUE!</v>
      </c>
      <c r="AB965" s="446" t="e">
        <f>IF(OR($B965="",MIN(AB$38,$D$19)&lt;MAX($P$708*($B965+IF($R$17="Distrato",$I$38-1,0)),IF(AND($L$711=0,$P$708=0),"",$L$711-1),IF($R$17="Distrato",$E965,0))),0,YEARFRAC(MAX($P$708*($B965+IF($R$17="Distrato",$I$38-1,0)),IF(AND($L$711=0,$P$708=0),"",$L$711-1),IF($R$17="Distrato",$E965,0)),MIN(AB$38,$D$19),$P$20))-SUM($P965:AA965)</f>
        <v>#VALUE!</v>
      </c>
      <c r="AC965" s="446" t="e">
        <f>IF(OR($B965="",MIN(AC$38,$D$19)&lt;MAX($P$708*($B965+IF($R$17="Distrato",$I$38-1,0)),IF(AND($L$711=0,$P$708=0),"",$L$711-1),IF($R$17="Distrato",$E965,0))),0,YEARFRAC(MAX($P$708*($B965+IF($R$17="Distrato",$I$38-1,0)),IF(AND($L$711=0,$P$708=0),"",$L$711-1),IF($R$17="Distrato",$E965,0)),MIN(AC$38,$D$19),$P$20))-SUM($P965:AB965)</f>
        <v>#VALUE!</v>
      </c>
      <c r="AD965" s="446" t="e">
        <f>IF(OR($B965="",MIN(AD$38,$D$19)&lt;MAX($P$708*($B965+IF($R$17="Distrato",$I$38-1,0)),IF(AND($L$711=0,$P$708=0),"",$L$711-1),IF($R$17="Distrato",$E965,0))),0,YEARFRAC(MAX($P$708*($B965+IF($R$17="Distrato",$I$38-1,0)),IF(AND($L$711=0,$P$708=0),"",$L$711-1),IF($R$17="Distrato",$E965,0)),MIN(AD$38,$D$19),$P$20))-SUM($P965:AC965)</f>
        <v>#VALUE!</v>
      </c>
      <c r="AE965" s="446" t="e">
        <f>IF(OR($B965="",MIN(AE$38,$D$19)&lt;MAX($P$708*($B965+IF($R$17="Distrato",$I$38-1,0)),IF(AND($L$711=0,$P$708=0),"",$L$711-1),IF($R$17="Distrato",$E965,0))),0,YEARFRAC(MAX($P$708*($B965+IF($R$17="Distrato",$I$38-1,0)),IF(AND($L$711=0,$P$708=0),"",$L$711-1),IF($R$17="Distrato",$E965,0)),MIN(AE$38,$D$19),$P$20))-SUM($P965:AD965)</f>
        <v>#VALUE!</v>
      </c>
      <c r="AF965" s="446" t="e">
        <f>IF(OR($B965="",MIN(AF$38,$D$19)&lt;MAX($P$708*($B965+IF($R$17="Distrato",$I$38-1,0)),IF(AND($L$711=0,$P$708=0),"",$L$711-1),IF($R$17="Distrato",$E965,0))),0,YEARFRAC(MAX($P$708*($B965+IF($R$17="Distrato",$I$38-1,0)),IF(AND($L$711=0,$P$708=0),"",$L$711-1),IF($R$17="Distrato",$E965,0)),MIN(AF$38,$D$19),$P$20))-SUM($P965:AE965)</f>
        <v>#VALUE!</v>
      </c>
      <c r="AG965" s="446" t="e">
        <f>IF(OR($B965="",MIN(AG$38,$D$19)&lt;MAX($P$708*($B965+IF($R$17="Distrato",$I$38-1,0)),IF(AND($L$711=0,$P$708=0),"",$L$711-1),IF($R$17="Distrato",$E965,0))),0,YEARFRAC(MAX($P$708*($B965+IF($R$17="Distrato",$I$38-1,0)),IF(AND($L$711=0,$P$708=0),"",$L$711-1),IF($R$17="Distrato",$E965,0)),MIN(AG$38,$D$19),$P$20))-SUM($P965:AF965)</f>
        <v>#VALUE!</v>
      </c>
      <c r="AH965" s="446" t="e">
        <f>IF(OR($B965="",MIN(AH$38,$D$19)&lt;MAX($P$708*($B965+IF($R$17="Distrato",$I$38-1,0)),IF(AND($L$711=0,$P$708=0),"",$L$711-1),IF($R$17="Distrato",$E965,0))),0,YEARFRAC(MAX($P$708*($B965+IF($R$17="Distrato",$I$38-1,0)),IF(AND($L$711=0,$P$708=0),"",$L$711-1),IF($R$17="Distrato",$E965,0)),MIN(AH$38,$D$19),$P$20))-SUM($P965:AG965)</f>
        <v>#VALUE!</v>
      </c>
      <c r="AI965" s="446" t="e">
        <f>IF(OR($B965="",MIN(AI$38,$D$19)&lt;MAX($P$708*($B965+IF($R$17="Distrato",$I$38-1,0)),IF(AND($L$711=0,$P$708=0),"",$L$711-1),IF($R$17="Distrato",$E965,0))),0,YEARFRAC(MAX($P$708*($B965+IF($R$17="Distrato",$I$38-1,0)),IF(AND($L$711=0,$P$708=0),"",$L$711-1),IF($R$17="Distrato",$E965,0)),MIN(AI$38,$D$19),$P$20))-SUM($P965:AH965)</f>
        <v>#VALUE!</v>
      </c>
      <c r="AJ965" s="446" t="e">
        <f>IF(OR($B965="",MIN(AJ$38,$D$19)&lt;MAX($P$708*($B965+IF($R$17="Distrato",$I$38-1,0)),IF(AND($L$711=0,$P$708=0),"",$L$711-1),IF($R$17="Distrato",$E965,0))),0,YEARFRAC(MAX($P$708*($B965+IF($R$17="Distrato",$I$38-1,0)),IF(AND($L$711=0,$P$708=0),"",$L$711-1),IF($R$17="Distrato",$E965,0)),MIN(AJ$38,$D$19),$P$20))-SUM($P965:AI965)</f>
        <v>#VALUE!</v>
      </c>
      <c r="AK965" s="446" t="e">
        <f>IF(OR($B965="",MIN(AK$38,$D$19)&lt;MAX($P$708*($B965+IF($R$17="Distrato",$I$38-1,0)),IF(AND($L$711=0,$P$708=0),"",$L$711-1),IF($R$17="Distrato",$E965,0))),0,YEARFRAC(MAX($P$708*($B965+IF($R$17="Distrato",$I$38-1,0)),IF(AND($L$711=0,$P$708=0),"",$L$711-1),IF($R$17="Distrato",$E965,0)),MIN(AK$38,$D$19),$P$20))-SUM($P965:AJ965)</f>
        <v>#VALUE!</v>
      </c>
      <c r="AL965" s="446" t="e">
        <f>IF(OR($B965="",MIN(AL$38,$D$19)&lt;MAX($P$708*($B965+IF($R$17="Distrato",$I$38-1,0)),IF(AND($L$711=0,$P$708=0),"",$L$711-1),IF($R$17="Distrato",$E965,0))),0,YEARFRAC(MAX($P$708*($B965+IF($R$17="Distrato",$I$38-1,0)),IF(AND($L$711=0,$P$708=0),"",$L$711-1),IF($R$17="Distrato",$E965,0)),MIN(AL$38,$D$19),$P$20))-SUM($P965:AK965)</f>
        <v>#VALUE!</v>
      </c>
      <c r="AM965" s="446" t="e">
        <f>IF(OR($B965="",MIN(AM$38,$D$19)&lt;MAX($P$708*($B965+IF($R$17="Distrato",$I$38-1,0)),IF(AND($L$711=0,$P$708=0),"",$L$711-1),IF($R$17="Distrato",$E965,0))),0,YEARFRAC(MAX($P$708*($B965+IF($R$17="Distrato",$I$38-1,0)),IF(AND($L$711=0,$P$708=0),"",$L$711-1),IF($R$17="Distrato",$E965,0)),MIN(AM$38,$D$19),$P$20))-SUM($P965:AL965)</f>
        <v>#VALUE!</v>
      </c>
      <c r="AN965" s="446" t="e">
        <f>IF(OR($B965="",MIN(AN$38,$D$19)&lt;MAX($P$708*($B965+IF($R$17="Distrato",$I$38-1,0)),IF(AND($L$711=0,$P$708=0),"",$L$711-1),IF($R$17="Distrato",$E965,0))),0,YEARFRAC(MAX($P$708*($B965+IF($R$17="Distrato",$I$38-1,0)),IF(AND($L$711=0,$P$708=0),"",$L$711-1),IF($R$17="Distrato",$E965,0)),MIN(AN$38,$D$19),$P$20))-SUM($P965:AM965)</f>
        <v>#VALUE!</v>
      </c>
      <c r="AO965" s="446" t="e">
        <f>IF(OR($B965="",MIN(AO$38,$D$19)&lt;MAX($P$708*($B965+IF($R$17="Distrato",$I$38-1,0)),IF(AND($L$711=0,$P$708=0),"",$L$711-1),IF($R$17="Distrato",$E965,0))),0,YEARFRAC(MAX($P$708*($B965+IF($R$17="Distrato",$I$38-1,0)),IF(AND($L$711=0,$P$708=0),"",$L$711-1),IF($R$17="Distrato",$E965,0)),MIN(AO$38,$D$19),$P$20))-SUM($P965:AN965)</f>
        <v>#VALUE!</v>
      </c>
      <c r="AP965" s="446" t="e">
        <f>IF(OR($B965="",MIN(AP$38,$D$19)&lt;MAX($P$708*($B965+IF($R$17="Distrato",$I$38-1,0)),IF(AND($L$711=0,$P$708=0),"",$L$711-1),IF($R$17="Distrato",$E965,0))),0,YEARFRAC(MAX($P$708*($B965+IF($R$17="Distrato",$I$38-1,0)),IF(AND($L$711=0,$P$708=0),"",$L$711-1),IF($R$17="Distrato",$E965,0)),MIN(AP$38,$D$19),$P$20))-SUM($P965:AO965)</f>
        <v>#VALUE!</v>
      </c>
      <c r="AQ965" s="446" t="e">
        <f>IF(OR($B965="",MIN(AQ$38,$D$19)&lt;MAX($P$708*($B965+IF($R$17="Distrato",$I$38-1,0)),IF(AND($L$711=0,$P$708=0),"",$L$711-1),IF($R$17="Distrato",$E965,0))),0,YEARFRAC(MAX($P$708*($B965+IF($R$17="Distrato",$I$38-1,0)),IF(AND($L$711=0,$P$708=0),"",$L$711-1),IF($R$17="Distrato",$E965,0)),MIN(AQ$38,$D$19),$P$20))-SUM($P965:AP965)</f>
        <v>#VALUE!</v>
      </c>
      <c r="AR965" s="446" t="e">
        <f>IF(OR($B965="",MIN(AR$38,$D$19)&lt;MAX($P$708*($B965+IF($R$17="Distrato",$I$38-1,0)),IF(AND($L$711=0,$P$708=0),"",$L$711-1),IF($R$17="Distrato",$E965,0))),0,YEARFRAC(MAX($P$708*($B965+IF($R$17="Distrato",$I$38-1,0)),IF(AND($L$711=0,$P$708=0),"",$L$711-1),IF($R$17="Distrato",$E965,0)),MIN(AR$38,$D$19),$P$20))-SUM($P965:AQ965)</f>
        <v>#VALUE!</v>
      </c>
      <c r="AS965" s="446" t="e">
        <f>IF(OR($B965="",MIN(AS$38,$D$19)&lt;MAX($P$708*($B965+IF($R$17="Distrato",$I$38-1,0)),IF(AND($L$711=0,$P$708=0),"",$L$711-1),IF($R$17="Distrato",$E965,0))),0,YEARFRAC(MAX($P$708*($B965+IF($R$17="Distrato",$I$38-1,0)),IF(AND($L$711=0,$P$708=0),"",$L$711-1),IF($R$17="Distrato",$E965,0)),MIN(AS$38,$D$19),$P$20))-SUM($P965:AR965)</f>
        <v>#VALUE!</v>
      </c>
      <c r="AT965" s="446" t="e">
        <f>IF(OR($B965="",MIN(AT$38,$D$19)&lt;MAX($P$708*($B965+IF($R$17="Distrato",$I$38-1,0)),IF(AND($L$711=0,$P$708=0),"",$L$711-1),IF($R$17="Distrato",$E965,0))),0,YEARFRAC(MAX($P$708*($B965+IF($R$17="Distrato",$I$38-1,0)),IF(AND($L$711=0,$P$708=0),"",$L$711-1),IF($R$17="Distrato",$E965,0)),MIN(AT$38,$D$19),$P$20))-SUM($P965:AS965)</f>
        <v>#VALUE!</v>
      </c>
      <c r="AU965" s="446" t="e">
        <f>IF(OR($B965="",MIN(AU$38,$D$19)&lt;MAX($P$708*($B965+IF($R$17="Distrato",$I$38-1,0)),IF(AND($L$711=0,$P$708=0),"",$L$711-1),IF($R$17="Distrato",$E965,0))),0,YEARFRAC(MAX($P$708*($B965+IF($R$17="Distrato",$I$38-1,0)),IF(AND($L$711=0,$P$708=0),"",$L$711-1),IF($R$17="Distrato",$E965,0)),MIN(AU$38,$D$19),$P$20))-SUM($P965:AT965)</f>
        <v>#VALUE!</v>
      </c>
      <c r="AV965" s="446" t="e">
        <f>IF(OR($B965="",MIN(AV$38,$D$19)&lt;MAX($P$708*($B965+IF($R$17="Distrato",$I$38-1,0)),IF(AND($L$711=0,$P$708=0),"",$L$711-1),IF($R$17="Distrato",$E965,0))),0,YEARFRAC(MAX($P$708*($B965+IF($R$17="Distrato",$I$38-1,0)),IF(AND($L$711=0,$P$708=0),"",$L$711-1),IF($R$17="Distrato",$E965,0)),MIN(AV$38,$D$19),$P$20))-SUM($P965:AU965)</f>
        <v>#VALUE!</v>
      </c>
      <c r="AW965" s="446" t="e">
        <f>IF(OR($B965="",MIN(AW$38,$D$19)&lt;MAX($P$708*($B965+IF($R$17="Distrato",$I$38-1,0)),IF(AND($L$711=0,$P$708=0),"",$L$711-1),IF($R$17="Distrato",$E965,0))),0,YEARFRAC(MAX($P$708*($B965+IF($R$17="Distrato",$I$38-1,0)),IF(AND($L$711=0,$P$708=0),"",$L$711-1),IF($R$17="Distrato",$E965,0)),MIN(AW$38,$D$19),$P$20))-SUM($P965:AV965)</f>
        <v>#VALUE!</v>
      </c>
      <c r="AX965" s="446" t="e">
        <f>IF(OR($B965="",MIN(AX$38,$D$19)&lt;MAX($P$708*($B965+IF($R$17="Distrato",$I$38-1,0)),IF(AND($L$711=0,$P$708=0),"",$L$711-1),IF($R$17="Distrato",$E965,0))),0,YEARFRAC(MAX($P$708*($B965+IF($R$17="Distrato",$I$38-1,0)),IF(AND($L$711=0,$P$708=0),"",$L$711-1),IF($R$17="Distrato",$E965,0)),MIN(AX$38,$D$19),$P$20))-SUM($P965:AW965)</f>
        <v>#VALUE!</v>
      </c>
      <c r="AY965" s="446" t="e">
        <f>IF(OR($B965="",MIN(AY$38,$D$19)&lt;MAX($P$708*($B965+IF($R$17="Distrato",$I$38-1,0)),IF(AND($L$711=0,$P$708=0),"",$L$711-1),IF($R$17="Distrato",$E965,0))),0,YEARFRAC(MAX($P$708*($B965+IF($R$17="Distrato",$I$38-1,0)),IF(AND($L$711=0,$P$708=0),"",$L$711-1),IF($R$17="Distrato",$E965,0)),MIN(AY$38,$D$19),$P$20))-SUM($P965:AX965)</f>
        <v>#VALUE!</v>
      </c>
      <c r="AZ965" s="446" t="e">
        <f>IF(OR($B965="",MIN(AZ$38,$D$19)&lt;MAX($P$708*($B965+IF($R$17="Distrato",$I$38-1,0)),IF(AND($L$711=0,$P$708=0),"",$L$711-1),IF($R$17="Distrato",$E965,0))),0,YEARFRAC(MAX($P$708*($B965+IF($R$17="Distrato",$I$38-1,0)),IF(AND($L$711=0,$P$708=0),"",$L$711-1),IF($R$17="Distrato",$E965,0)),MIN(AZ$38,$D$19),$P$20))-SUM($P965:AY965)</f>
        <v>#VALUE!</v>
      </c>
      <c r="BA965" s="446" t="e">
        <f>IF(OR($B965="",MIN(BA$38,$D$19)&lt;MAX($P$708*($B965+IF($R$17="Distrato",$I$38-1,0)),IF(AND($L$711=0,$P$708=0),"",$L$711-1),IF($R$17="Distrato",$E965,0))),0,YEARFRAC(MAX($P$708*($B965+IF($R$17="Distrato",$I$38-1,0)),IF(AND($L$711=0,$P$708=0),"",$L$711-1),IF($R$17="Distrato",$E965,0)),MIN(BA$38,$D$19),$P$20))-SUM($P965:AZ965)</f>
        <v>#VALUE!</v>
      </c>
      <c r="BB965" s="447"/>
    </row>
    <row r="966" spans="1:54" s="446" customFormat="1" ht="11.25" hidden="1" customHeight="1" x14ac:dyDescent="0.2">
      <c r="A966" s="235"/>
      <c r="B966" s="236"/>
      <c r="C966" s="29" t="str">
        <f>IF(B966="","",IF($L$709=$BL$25,VLOOKUP(DATE(YEAR($D$19),MONTH($D$19)-1,1),ÍNDICES!$A:$DE,HLOOKUP($BL$25,ÍNDICES!$B$3:$T$4,2)+11)-VLOOKUP(B966,ÍNDICES!$A:$DE,HLOOKUP($BL$25,ÍNDICES!$B$3:$T$4,2)+11)+1%,IF(C$712=$W$26,$J$35,IF(ISERROR(IF(B966&gt;$D$19,1,VLOOKUP(DATE(YEAR(B966),MONTH(B966)+IF($C$709=$S$23,1,0),1),ÍNDICES!$A:$DE,$Z$709+1))),"",IF(B966&gt;$D$19,1,VLOOKUP(DATE(YEAR(B966),MONTH(B966)+IF($C$709=$S$23,1,0),1),ÍNDICES!$A:$DE,$Z$709+1))))))</f>
        <v/>
      </c>
      <c r="D966" s="155"/>
      <c r="E966" s="88"/>
      <c r="F966" s="88"/>
      <c r="G966" s="88"/>
      <c r="H966" s="118"/>
      <c r="I966" s="182">
        <f t="shared" si="136"/>
        <v>0</v>
      </c>
      <c r="J966" s="20">
        <f t="shared" ca="1" si="137"/>
        <v>0</v>
      </c>
      <c r="K966" s="5">
        <f t="shared" ca="1" si="138"/>
        <v>0</v>
      </c>
      <c r="L966" s="61">
        <f t="shared" ca="1" si="139"/>
        <v>0</v>
      </c>
      <c r="M966" s="64">
        <f t="shared" si="140"/>
        <v>0</v>
      </c>
      <c r="N966" s="151"/>
      <c r="O966" s="5">
        <f t="shared" ca="1" si="141"/>
        <v>0</v>
      </c>
      <c r="P966" s="446" t="e">
        <f t="shared" si="142"/>
        <v>#VALUE!</v>
      </c>
      <c r="Q966" s="446" t="e">
        <f>IF(OR($B966="",MIN(Q$38,$D$19)&lt;MAX($P$708*($B966+IF($R$17="Distrato",$I$38-1,0)),IF(AND($L$711=0,$P$708=0),"",$L$711-1),IF($R$17="Distrato",$E966,0))),0,YEARFRAC(MAX($P$708*($B966+IF($R$17="Distrato",$I$38-1,0)),IF(AND($L$711=0,$P$708=0),"",$L$711-1),IF($R$17="Distrato",$E966,0)),MIN(Q$38,$D$19),$P$20))-SUM($P966:P966)</f>
        <v>#VALUE!</v>
      </c>
      <c r="R966" s="446" t="e">
        <f>IF(OR($B966="",MIN(R$38,$D$19)&lt;MAX($P$708*($B966+IF($R$17="Distrato",$I$38-1,0)),IF(AND($L$711=0,$P$708=0),"",$L$711-1),IF($R$17="Distrato",$E966,0))),0,YEARFRAC(MAX($P$708*($B966+IF($R$17="Distrato",$I$38-1,0)),IF(AND($L$711=0,$P$708=0),"",$L$711-1),IF($R$17="Distrato",$E966,0)),MIN(R$38,$D$19),$P$20))-SUM($P966:Q966)</f>
        <v>#VALUE!</v>
      </c>
      <c r="S966" s="446" t="e">
        <f>IF(OR($B966="",MIN(S$38,$D$19)&lt;MAX($P$708*($B966+IF($R$17="Distrato",$I$38-1,0)),IF(AND($L$711=0,$P$708=0),"",$L$711-1),IF($R$17="Distrato",$E966,0))),0,YEARFRAC(MAX($P$708*($B966+IF($R$17="Distrato",$I$38-1,0)),IF(AND($L$711=0,$P$708=0),"",$L$711-1),IF($R$17="Distrato",$E966,0)),MIN(S$38,$D$19),$P$20))-SUM($P966:R966)</f>
        <v>#VALUE!</v>
      </c>
      <c r="T966" s="446" t="e">
        <f>IF(OR($B966="",MIN(T$38,$D$19)&lt;MAX($P$708*($B966+IF($R$17="Distrato",$I$38-1,0)),IF(AND($L$711=0,$P$708=0),"",$L$711-1),IF($R$17="Distrato",$E966,0))),0,YEARFRAC(MAX($P$708*($B966+IF($R$17="Distrato",$I$38-1,0)),IF(AND($L$711=0,$P$708=0),"",$L$711-1),IF($R$17="Distrato",$E966,0)),MIN(T$38,$D$19),$P$20))-SUM($P966:S966)</f>
        <v>#VALUE!</v>
      </c>
      <c r="U966" s="446" t="e">
        <f>IF(OR($B966="",MIN(U$38,$D$19)&lt;MAX($P$708*($B966+IF($R$17="Distrato",$I$38-1,0)),IF(AND($L$711=0,$P$708=0),"",$L$711-1),IF($R$17="Distrato",$E966,0))),0,YEARFRAC(MAX($P$708*($B966+IF($R$17="Distrato",$I$38-1,0)),IF(AND($L$711=0,$P$708=0),"",$L$711-1),IF($R$17="Distrato",$E966,0)),MIN(U$38,$D$19),$P$20))-SUM($P966:T966)</f>
        <v>#VALUE!</v>
      </c>
      <c r="V966" s="446" t="e">
        <f>IF(OR($B966="",MIN(V$38,$D$19)&lt;MAX($P$708*($B966+IF($R$17="Distrato",$I$38-1,0)),IF(AND($L$711=0,$P$708=0),"",$L$711-1),IF($R$17="Distrato",$E966,0))),0,YEARFRAC(MAX($P$708*($B966+IF($R$17="Distrato",$I$38-1,0)),IF(AND($L$711=0,$P$708=0),"",$L$711-1),IF($R$17="Distrato",$E966,0)),MIN(V$38,$D$19),$P$20))-SUM($P966:U966)</f>
        <v>#VALUE!</v>
      </c>
      <c r="W966" s="446" t="e">
        <f>IF(OR($B966="",MIN(W$38,$D$19)&lt;MAX($P$708*($B966+IF($R$17="Distrato",$I$38-1,0)),IF(AND($L$711=0,$P$708=0),"",$L$711-1),IF($R$17="Distrato",$E966,0))),0,YEARFRAC(MAX($P$708*($B966+IF($R$17="Distrato",$I$38-1,0)),IF(AND($L$711=0,$P$708=0),"",$L$711-1),IF($R$17="Distrato",$E966,0)),MIN(W$38,$D$19),$P$20))-SUM($P966:V966)</f>
        <v>#VALUE!</v>
      </c>
      <c r="X966" s="446" t="e">
        <f>IF(OR($B966="",MIN(X$38,$D$19)&lt;MAX($P$708*($B966+IF($R$17="Distrato",$I$38-1,0)),IF(AND($L$711=0,$P$708=0),"",$L$711-1),IF($R$17="Distrato",$E966,0))),0,YEARFRAC(MAX($P$708*($B966+IF($R$17="Distrato",$I$38-1,0)),IF(AND($L$711=0,$P$708=0),"",$L$711-1),IF($R$17="Distrato",$E966,0)),MIN(X$38,$D$19),$P$20))-SUM($P966:W966)</f>
        <v>#VALUE!</v>
      </c>
      <c r="Y966" s="446" t="e">
        <f>IF(OR($B966="",MIN(Y$38,$D$19)&lt;MAX($P$708*($B966+IF($R$17="Distrato",$I$38-1,0)),IF(AND($L$711=0,$P$708=0),"",$L$711-1),IF($R$17="Distrato",$E966,0))),0,YEARFRAC(MAX($P$708*($B966+IF($R$17="Distrato",$I$38-1,0)),IF(AND($L$711=0,$P$708=0),"",$L$711-1),IF($R$17="Distrato",$E966,0)),MIN(Y$38,$D$19),$P$20))-SUM($P966:X966)</f>
        <v>#VALUE!</v>
      </c>
      <c r="Z966" s="446" t="e">
        <f>IF(OR($B966="",MIN(Z$38,$D$19)&lt;MAX($P$708*($B966+IF($R$17="Distrato",$I$38-1,0)),IF(AND($L$711=0,$P$708=0),"",$L$711-1),IF($R$17="Distrato",$E966,0))),0,YEARFRAC(MAX($P$708*($B966+IF($R$17="Distrato",$I$38-1,0)),IF(AND($L$711=0,$P$708=0),"",$L$711-1),IF($R$17="Distrato",$E966,0)),MIN(Z$38,$D$19),$P$20))-SUM($P966:Y966)</f>
        <v>#VALUE!</v>
      </c>
      <c r="AA966" s="446" t="e">
        <f>IF(OR($B966="",MIN(AA$38,$D$19)&lt;MAX($P$708*($B966+IF($R$17="Distrato",$I$38-1,0)),IF(AND($L$711=0,$P$708=0),"",$L$711-1),IF($R$17="Distrato",$E966,0))),0,YEARFRAC(MAX($P$708*($B966+IF($R$17="Distrato",$I$38-1,0)),IF(AND($L$711=0,$P$708=0),"",$L$711-1),IF($R$17="Distrato",$E966,0)),MIN(AA$38,$D$19),$P$20))-SUM($P966:Z966)</f>
        <v>#VALUE!</v>
      </c>
      <c r="AB966" s="446" t="e">
        <f>IF(OR($B966="",MIN(AB$38,$D$19)&lt;MAX($P$708*($B966+IF($R$17="Distrato",$I$38-1,0)),IF(AND($L$711=0,$P$708=0),"",$L$711-1),IF($R$17="Distrato",$E966,0))),0,YEARFRAC(MAX($P$708*($B966+IF($R$17="Distrato",$I$38-1,0)),IF(AND($L$711=0,$P$708=0),"",$L$711-1),IF($R$17="Distrato",$E966,0)),MIN(AB$38,$D$19),$P$20))-SUM($P966:AA966)</f>
        <v>#VALUE!</v>
      </c>
      <c r="AC966" s="446" t="e">
        <f>IF(OR($B966="",MIN(AC$38,$D$19)&lt;MAX($P$708*($B966+IF($R$17="Distrato",$I$38-1,0)),IF(AND($L$711=0,$P$708=0),"",$L$711-1),IF($R$17="Distrato",$E966,0))),0,YEARFRAC(MAX($P$708*($B966+IF($R$17="Distrato",$I$38-1,0)),IF(AND($L$711=0,$P$708=0),"",$L$711-1),IF($R$17="Distrato",$E966,0)),MIN(AC$38,$D$19),$P$20))-SUM($P966:AB966)</f>
        <v>#VALUE!</v>
      </c>
      <c r="AD966" s="446" t="e">
        <f>IF(OR($B966="",MIN(AD$38,$D$19)&lt;MAX($P$708*($B966+IF($R$17="Distrato",$I$38-1,0)),IF(AND($L$711=0,$P$708=0),"",$L$711-1),IF($R$17="Distrato",$E966,0))),0,YEARFRAC(MAX($P$708*($B966+IF($R$17="Distrato",$I$38-1,0)),IF(AND($L$711=0,$P$708=0),"",$L$711-1),IF($R$17="Distrato",$E966,0)),MIN(AD$38,$D$19),$P$20))-SUM($P966:AC966)</f>
        <v>#VALUE!</v>
      </c>
      <c r="AE966" s="446" t="e">
        <f>IF(OR($B966="",MIN(AE$38,$D$19)&lt;MAX($P$708*($B966+IF($R$17="Distrato",$I$38-1,0)),IF(AND($L$711=0,$P$708=0),"",$L$711-1),IF($R$17="Distrato",$E966,0))),0,YEARFRAC(MAX($P$708*($B966+IF($R$17="Distrato",$I$38-1,0)),IF(AND($L$711=0,$P$708=0),"",$L$711-1),IF($R$17="Distrato",$E966,0)),MIN(AE$38,$D$19),$P$20))-SUM($P966:AD966)</f>
        <v>#VALUE!</v>
      </c>
      <c r="AF966" s="446" t="e">
        <f>IF(OR($B966="",MIN(AF$38,$D$19)&lt;MAX($P$708*($B966+IF($R$17="Distrato",$I$38-1,0)),IF(AND($L$711=0,$P$708=0),"",$L$711-1),IF($R$17="Distrato",$E966,0))),0,YEARFRAC(MAX($P$708*($B966+IF($R$17="Distrato",$I$38-1,0)),IF(AND($L$711=0,$P$708=0),"",$L$711-1),IF($R$17="Distrato",$E966,0)),MIN(AF$38,$D$19),$P$20))-SUM($P966:AE966)</f>
        <v>#VALUE!</v>
      </c>
      <c r="AG966" s="446" t="e">
        <f>IF(OR($B966="",MIN(AG$38,$D$19)&lt;MAX($P$708*($B966+IF($R$17="Distrato",$I$38-1,0)),IF(AND($L$711=0,$P$708=0),"",$L$711-1),IF($R$17="Distrato",$E966,0))),0,YEARFRAC(MAX($P$708*($B966+IF($R$17="Distrato",$I$38-1,0)),IF(AND($L$711=0,$P$708=0),"",$L$711-1),IF($R$17="Distrato",$E966,0)),MIN(AG$38,$D$19),$P$20))-SUM($P966:AF966)</f>
        <v>#VALUE!</v>
      </c>
      <c r="AH966" s="446" t="e">
        <f>IF(OR($B966="",MIN(AH$38,$D$19)&lt;MAX($P$708*($B966+IF($R$17="Distrato",$I$38-1,0)),IF(AND($L$711=0,$P$708=0),"",$L$711-1),IF($R$17="Distrato",$E966,0))),0,YEARFRAC(MAX($P$708*($B966+IF($R$17="Distrato",$I$38-1,0)),IF(AND($L$711=0,$P$708=0),"",$L$711-1),IF($R$17="Distrato",$E966,0)),MIN(AH$38,$D$19),$P$20))-SUM($P966:AG966)</f>
        <v>#VALUE!</v>
      </c>
      <c r="AI966" s="446" t="e">
        <f>IF(OR($B966="",MIN(AI$38,$D$19)&lt;MAX($P$708*($B966+IF($R$17="Distrato",$I$38-1,0)),IF(AND($L$711=0,$P$708=0),"",$L$711-1),IF($R$17="Distrato",$E966,0))),0,YEARFRAC(MAX($P$708*($B966+IF($R$17="Distrato",$I$38-1,0)),IF(AND($L$711=0,$P$708=0),"",$L$711-1),IF($R$17="Distrato",$E966,0)),MIN(AI$38,$D$19),$P$20))-SUM($P966:AH966)</f>
        <v>#VALUE!</v>
      </c>
      <c r="AJ966" s="446" t="e">
        <f>IF(OR($B966="",MIN(AJ$38,$D$19)&lt;MAX($P$708*($B966+IF($R$17="Distrato",$I$38-1,0)),IF(AND($L$711=0,$P$708=0),"",$L$711-1),IF($R$17="Distrato",$E966,0))),0,YEARFRAC(MAX($P$708*($B966+IF($R$17="Distrato",$I$38-1,0)),IF(AND($L$711=0,$P$708=0),"",$L$711-1),IF($R$17="Distrato",$E966,0)),MIN(AJ$38,$D$19),$P$20))-SUM($P966:AI966)</f>
        <v>#VALUE!</v>
      </c>
      <c r="AK966" s="446" t="e">
        <f>IF(OR($B966="",MIN(AK$38,$D$19)&lt;MAX($P$708*($B966+IF($R$17="Distrato",$I$38-1,0)),IF(AND($L$711=0,$P$708=0),"",$L$711-1),IF($R$17="Distrato",$E966,0))),0,YEARFRAC(MAX($P$708*($B966+IF($R$17="Distrato",$I$38-1,0)),IF(AND($L$711=0,$P$708=0),"",$L$711-1),IF($R$17="Distrato",$E966,0)),MIN(AK$38,$D$19),$P$20))-SUM($P966:AJ966)</f>
        <v>#VALUE!</v>
      </c>
      <c r="AL966" s="446" t="e">
        <f>IF(OR($B966="",MIN(AL$38,$D$19)&lt;MAX($P$708*($B966+IF($R$17="Distrato",$I$38-1,0)),IF(AND($L$711=0,$P$708=0),"",$L$711-1),IF($R$17="Distrato",$E966,0))),0,YEARFRAC(MAX($P$708*($B966+IF($R$17="Distrato",$I$38-1,0)),IF(AND($L$711=0,$P$708=0),"",$L$711-1),IF($R$17="Distrato",$E966,0)),MIN(AL$38,$D$19),$P$20))-SUM($P966:AK966)</f>
        <v>#VALUE!</v>
      </c>
      <c r="AM966" s="446" t="e">
        <f>IF(OR($B966="",MIN(AM$38,$D$19)&lt;MAX($P$708*($B966+IF($R$17="Distrato",$I$38-1,0)),IF(AND($L$711=0,$P$708=0),"",$L$711-1),IF($R$17="Distrato",$E966,0))),0,YEARFRAC(MAX($P$708*($B966+IF($R$17="Distrato",$I$38-1,0)),IF(AND($L$711=0,$P$708=0),"",$L$711-1),IF($R$17="Distrato",$E966,0)),MIN(AM$38,$D$19),$P$20))-SUM($P966:AL966)</f>
        <v>#VALUE!</v>
      </c>
      <c r="AN966" s="446" t="e">
        <f>IF(OR($B966="",MIN(AN$38,$D$19)&lt;MAX($P$708*($B966+IF($R$17="Distrato",$I$38-1,0)),IF(AND($L$711=0,$P$708=0),"",$L$711-1),IF($R$17="Distrato",$E966,0))),0,YEARFRAC(MAX($P$708*($B966+IF($R$17="Distrato",$I$38-1,0)),IF(AND($L$711=0,$P$708=0),"",$L$711-1),IF($R$17="Distrato",$E966,0)),MIN(AN$38,$D$19),$P$20))-SUM($P966:AM966)</f>
        <v>#VALUE!</v>
      </c>
      <c r="AO966" s="446" t="e">
        <f>IF(OR($B966="",MIN(AO$38,$D$19)&lt;MAX($P$708*($B966+IF($R$17="Distrato",$I$38-1,0)),IF(AND($L$711=0,$P$708=0),"",$L$711-1),IF($R$17="Distrato",$E966,0))),0,YEARFRAC(MAX($P$708*($B966+IF($R$17="Distrato",$I$38-1,0)),IF(AND($L$711=0,$P$708=0),"",$L$711-1),IF($R$17="Distrato",$E966,0)),MIN(AO$38,$D$19),$P$20))-SUM($P966:AN966)</f>
        <v>#VALUE!</v>
      </c>
      <c r="AP966" s="446" t="e">
        <f>IF(OR($B966="",MIN(AP$38,$D$19)&lt;MAX($P$708*($B966+IF($R$17="Distrato",$I$38-1,0)),IF(AND($L$711=0,$P$708=0),"",$L$711-1),IF($R$17="Distrato",$E966,0))),0,YEARFRAC(MAX($P$708*($B966+IF($R$17="Distrato",$I$38-1,0)),IF(AND($L$711=0,$P$708=0),"",$L$711-1),IF($R$17="Distrato",$E966,0)),MIN(AP$38,$D$19),$P$20))-SUM($P966:AO966)</f>
        <v>#VALUE!</v>
      </c>
      <c r="AQ966" s="446" t="e">
        <f>IF(OR($B966="",MIN(AQ$38,$D$19)&lt;MAX($P$708*($B966+IF($R$17="Distrato",$I$38-1,0)),IF(AND($L$711=0,$P$708=0),"",$L$711-1),IF($R$17="Distrato",$E966,0))),0,YEARFRAC(MAX($P$708*($B966+IF($R$17="Distrato",$I$38-1,0)),IF(AND($L$711=0,$P$708=0),"",$L$711-1),IF($R$17="Distrato",$E966,0)),MIN(AQ$38,$D$19),$P$20))-SUM($P966:AP966)</f>
        <v>#VALUE!</v>
      </c>
      <c r="AR966" s="446" t="e">
        <f>IF(OR($B966="",MIN(AR$38,$D$19)&lt;MAX($P$708*($B966+IF($R$17="Distrato",$I$38-1,0)),IF(AND($L$711=0,$P$708=0),"",$L$711-1),IF($R$17="Distrato",$E966,0))),0,YEARFRAC(MAX($P$708*($B966+IF($R$17="Distrato",$I$38-1,0)),IF(AND($L$711=0,$P$708=0),"",$L$711-1),IF($R$17="Distrato",$E966,0)),MIN(AR$38,$D$19),$P$20))-SUM($P966:AQ966)</f>
        <v>#VALUE!</v>
      </c>
      <c r="AS966" s="446" t="e">
        <f>IF(OR($B966="",MIN(AS$38,$D$19)&lt;MAX($P$708*($B966+IF($R$17="Distrato",$I$38-1,0)),IF(AND($L$711=0,$P$708=0),"",$L$711-1),IF($R$17="Distrato",$E966,0))),0,YEARFRAC(MAX($P$708*($B966+IF($R$17="Distrato",$I$38-1,0)),IF(AND($L$711=0,$P$708=0),"",$L$711-1),IF($R$17="Distrato",$E966,0)),MIN(AS$38,$D$19),$P$20))-SUM($P966:AR966)</f>
        <v>#VALUE!</v>
      </c>
      <c r="AT966" s="446" t="e">
        <f>IF(OR($B966="",MIN(AT$38,$D$19)&lt;MAX($P$708*($B966+IF($R$17="Distrato",$I$38-1,0)),IF(AND($L$711=0,$P$708=0),"",$L$711-1),IF($R$17="Distrato",$E966,0))),0,YEARFRAC(MAX($P$708*($B966+IF($R$17="Distrato",$I$38-1,0)),IF(AND($L$711=0,$P$708=0),"",$L$711-1),IF($R$17="Distrato",$E966,0)),MIN(AT$38,$D$19),$P$20))-SUM($P966:AS966)</f>
        <v>#VALUE!</v>
      </c>
      <c r="AU966" s="446" t="e">
        <f>IF(OR($B966="",MIN(AU$38,$D$19)&lt;MAX($P$708*($B966+IF($R$17="Distrato",$I$38-1,0)),IF(AND($L$711=0,$P$708=0),"",$L$711-1),IF($R$17="Distrato",$E966,0))),0,YEARFRAC(MAX($P$708*($B966+IF($R$17="Distrato",$I$38-1,0)),IF(AND($L$711=0,$P$708=0),"",$L$711-1),IF($R$17="Distrato",$E966,0)),MIN(AU$38,$D$19),$P$20))-SUM($P966:AT966)</f>
        <v>#VALUE!</v>
      </c>
      <c r="AV966" s="446" t="e">
        <f>IF(OR($B966="",MIN(AV$38,$D$19)&lt;MAX($P$708*($B966+IF($R$17="Distrato",$I$38-1,0)),IF(AND($L$711=0,$P$708=0),"",$L$711-1),IF($R$17="Distrato",$E966,0))),0,YEARFRAC(MAX($P$708*($B966+IF($R$17="Distrato",$I$38-1,0)),IF(AND($L$711=0,$P$708=0),"",$L$711-1),IF($R$17="Distrato",$E966,0)),MIN(AV$38,$D$19),$P$20))-SUM($P966:AU966)</f>
        <v>#VALUE!</v>
      </c>
      <c r="AW966" s="446" t="e">
        <f>IF(OR($B966="",MIN(AW$38,$D$19)&lt;MAX($P$708*($B966+IF($R$17="Distrato",$I$38-1,0)),IF(AND($L$711=0,$P$708=0),"",$L$711-1),IF($R$17="Distrato",$E966,0))),0,YEARFRAC(MAX($P$708*($B966+IF($R$17="Distrato",$I$38-1,0)),IF(AND($L$711=0,$P$708=0),"",$L$711-1),IF($R$17="Distrato",$E966,0)),MIN(AW$38,$D$19),$P$20))-SUM($P966:AV966)</f>
        <v>#VALUE!</v>
      </c>
      <c r="AX966" s="446" t="e">
        <f>IF(OR($B966="",MIN(AX$38,$D$19)&lt;MAX($P$708*($B966+IF($R$17="Distrato",$I$38-1,0)),IF(AND($L$711=0,$P$708=0),"",$L$711-1),IF($R$17="Distrato",$E966,0))),0,YEARFRAC(MAX($P$708*($B966+IF($R$17="Distrato",$I$38-1,0)),IF(AND($L$711=0,$P$708=0),"",$L$711-1),IF($R$17="Distrato",$E966,0)),MIN(AX$38,$D$19),$P$20))-SUM($P966:AW966)</f>
        <v>#VALUE!</v>
      </c>
      <c r="AY966" s="446" t="e">
        <f>IF(OR($B966="",MIN(AY$38,$D$19)&lt;MAX($P$708*($B966+IF($R$17="Distrato",$I$38-1,0)),IF(AND($L$711=0,$P$708=0),"",$L$711-1),IF($R$17="Distrato",$E966,0))),0,YEARFRAC(MAX($P$708*($B966+IF($R$17="Distrato",$I$38-1,0)),IF(AND($L$711=0,$P$708=0),"",$L$711-1),IF($R$17="Distrato",$E966,0)),MIN(AY$38,$D$19),$P$20))-SUM($P966:AX966)</f>
        <v>#VALUE!</v>
      </c>
      <c r="AZ966" s="446" t="e">
        <f>IF(OR($B966="",MIN(AZ$38,$D$19)&lt;MAX($P$708*($B966+IF($R$17="Distrato",$I$38-1,0)),IF(AND($L$711=0,$P$708=0),"",$L$711-1),IF($R$17="Distrato",$E966,0))),0,YEARFRAC(MAX($P$708*($B966+IF($R$17="Distrato",$I$38-1,0)),IF(AND($L$711=0,$P$708=0),"",$L$711-1),IF($R$17="Distrato",$E966,0)),MIN(AZ$38,$D$19),$P$20))-SUM($P966:AY966)</f>
        <v>#VALUE!</v>
      </c>
      <c r="BA966" s="446" t="e">
        <f>IF(OR($B966="",MIN(BA$38,$D$19)&lt;MAX($P$708*($B966+IF($R$17="Distrato",$I$38-1,0)),IF(AND($L$711=0,$P$708=0),"",$L$711-1),IF($R$17="Distrato",$E966,0))),0,YEARFRAC(MAX($P$708*($B966+IF($R$17="Distrato",$I$38-1,0)),IF(AND($L$711=0,$P$708=0),"",$L$711-1),IF($R$17="Distrato",$E966,0)),MIN(BA$38,$D$19),$P$20))-SUM($P966:AZ966)</f>
        <v>#VALUE!</v>
      </c>
      <c r="BB966" s="447"/>
    </row>
    <row r="967" spans="1:54" s="446" customFormat="1" ht="11.25" hidden="1" customHeight="1" x14ac:dyDescent="0.2">
      <c r="A967" s="235"/>
      <c r="B967" s="236"/>
      <c r="C967" s="29" t="str">
        <f>IF(B967="","",IF($L$709=$BL$25,VLOOKUP(DATE(YEAR($D$19),MONTH($D$19)-1,1),ÍNDICES!$A:$DE,HLOOKUP($BL$25,ÍNDICES!$B$3:$T$4,2)+11)-VLOOKUP(B967,ÍNDICES!$A:$DE,HLOOKUP($BL$25,ÍNDICES!$B$3:$T$4,2)+11)+1%,IF(C$712=$W$26,$J$35,IF(ISERROR(IF(B967&gt;$D$19,1,VLOOKUP(DATE(YEAR(B967),MONTH(B967)+IF($C$709=$S$23,1,0),1),ÍNDICES!$A:$DE,$Z$709+1))),"",IF(B967&gt;$D$19,1,VLOOKUP(DATE(YEAR(B967),MONTH(B967)+IF($C$709=$S$23,1,0),1),ÍNDICES!$A:$DE,$Z$709+1))))))</f>
        <v/>
      </c>
      <c r="D967" s="155"/>
      <c r="E967" s="88"/>
      <c r="F967" s="88"/>
      <c r="G967" s="88"/>
      <c r="H967" s="118"/>
      <c r="I967" s="182">
        <f t="shared" si="136"/>
        <v>0</v>
      </c>
      <c r="J967" s="20">
        <f t="shared" ca="1" si="137"/>
        <v>0</v>
      </c>
      <c r="K967" s="5">
        <f t="shared" ca="1" si="138"/>
        <v>0</v>
      </c>
      <c r="L967" s="61">
        <f t="shared" ca="1" si="139"/>
        <v>0</v>
      </c>
      <c r="M967" s="64">
        <f t="shared" si="140"/>
        <v>0</v>
      </c>
      <c r="N967" s="151"/>
      <c r="O967" s="5">
        <f t="shared" ca="1" si="141"/>
        <v>0</v>
      </c>
      <c r="P967" s="446" t="e">
        <f t="shared" si="142"/>
        <v>#VALUE!</v>
      </c>
      <c r="Q967" s="446" t="e">
        <f>IF(OR($B967="",MIN(Q$38,$D$19)&lt;MAX($P$708*($B967+IF($R$17="Distrato",$I$38-1,0)),IF(AND($L$711=0,$P$708=0),"",$L$711-1),IF($R$17="Distrato",$E967,0))),0,YEARFRAC(MAX($P$708*($B967+IF($R$17="Distrato",$I$38-1,0)),IF(AND($L$711=0,$P$708=0),"",$L$711-1),IF($R$17="Distrato",$E967,0)),MIN(Q$38,$D$19),$P$20))-SUM($P967:P967)</f>
        <v>#VALUE!</v>
      </c>
      <c r="R967" s="446" t="e">
        <f>IF(OR($B967="",MIN(R$38,$D$19)&lt;MAX($P$708*($B967+IF($R$17="Distrato",$I$38-1,0)),IF(AND($L$711=0,$P$708=0),"",$L$711-1),IF($R$17="Distrato",$E967,0))),0,YEARFRAC(MAX($P$708*($B967+IF($R$17="Distrato",$I$38-1,0)),IF(AND($L$711=0,$P$708=0),"",$L$711-1),IF($R$17="Distrato",$E967,0)),MIN(R$38,$D$19),$P$20))-SUM($P967:Q967)</f>
        <v>#VALUE!</v>
      </c>
      <c r="S967" s="446" t="e">
        <f>IF(OR($B967="",MIN(S$38,$D$19)&lt;MAX($P$708*($B967+IF($R$17="Distrato",$I$38-1,0)),IF(AND($L$711=0,$P$708=0),"",$L$711-1),IF($R$17="Distrato",$E967,0))),0,YEARFRAC(MAX($P$708*($B967+IF($R$17="Distrato",$I$38-1,0)),IF(AND($L$711=0,$P$708=0),"",$L$711-1),IF($R$17="Distrato",$E967,0)),MIN(S$38,$D$19),$P$20))-SUM($P967:R967)</f>
        <v>#VALUE!</v>
      </c>
      <c r="T967" s="446" t="e">
        <f>IF(OR($B967="",MIN(T$38,$D$19)&lt;MAX($P$708*($B967+IF($R$17="Distrato",$I$38-1,0)),IF(AND($L$711=0,$P$708=0),"",$L$711-1),IF($R$17="Distrato",$E967,0))),0,YEARFRAC(MAX($P$708*($B967+IF($R$17="Distrato",$I$38-1,0)),IF(AND($L$711=0,$P$708=0),"",$L$711-1),IF($R$17="Distrato",$E967,0)),MIN(T$38,$D$19),$P$20))-SUM($P967:S967)</f>
        <v>#VALUE!</v>
      </c>
      <c r="U967" s="446" t="e">
        <f>IF(OR($B967="",MIN(U$38,$D$19)&lt;MAX($P$708*($B967+IF($R$17="Distrato",$I$38-1,0)),IF(AND($L$711=0,$P$708=0),"",$L$711-1),IF($R$17="Distrato",$E967,0))),0,YEARFRAC(MAX($P$708*($B967+IF($R$17="Distrato",$I$38-1,0)),IF(AND($L$711=0,$P$708=0),"",$L$711-1),IF($R$17="Distrato",$E967,0)),MIN(U$38,$D$19),$P$20))-SUM($P967:T967)</f>
        <v>#VALUE!</v>
      </c>
      <c r="V967" s="446" t="e">
        <f>IF(OR($B967="",MIN(V$38,$D$19)&lt;MAX($P$708*($B967+IF($R$17="Distrato",$I$38-1,0)),IF(AND($L$711=0,$P$708=0),"",$L$711-1),IF($R$17="Distrato",$E967,0))),0,YEARFRAC(MAX($P$708*($B967+IF($R$17="Distrato",$I$38-1,0)),IF(AND($L$711=0,$P$708=0),"",$L$711-1),IF($R$17="Distrato",$E967,0)),MIN(V$38,$D$19),$P$20))-SUM($P967:U967)</f>
        <v>#VALUE!</v>
      </c>
      <c r="W967" s="446" t="e">
        <f>IF(OR($B967="",MIN(W$38,$D$19)&lt;MAX($P$708*($B967+IF($R$17="Distrato",$I$38-1,0)),IF(AND($L$711=0,$P$708=0),"",$L$711-1),IF($R$17="Distrato",$E967,0))),0,YEARFRAC(MAX($P$708*($B967+IF($R$17="Distrato",$I$38-1,0)),IF(AND($L$711=0,$P$708=0),"",$L$711-1),IF($R$17="Distrato",$E967,0)),MIN(W$38,$D$19),$P$20))-SUM($P967:V967)</f>
        <v>#VALUE!</v>
      </c>
      <c r="X967" s="446" t="e">
        <f>IF(OR($B967="",MIN(X$38,$D$19)&lt;MAX($P$708*($B967+IF($R$17="Distrato",$I$38-1,0)),IF(AND($L$711=0,$P$708=0),"",$L$711-1),IF($R$17="Distrato",$E967,0))),0,YEARFRAC(MAX($P$708*($B967+IF($R$17="Distrato",$I$38-1,0)),IF(AND($L$711=0,$P$708=0),"",$L$711-1),IF($R$17="Distrato",$E967,0)),MIN(X$38,$D$19),$P$20))-SUM($P967:W967)</f>
        <v>#VALUE!</v>
      </c>
      <c r="Y967" s="446" t="e">
        <f>IF(OR($B967="",MIN(Y$38,$D$19)&lt;MAX($P$708*($B967+IF($R$17="Distrato",$I$38-1,0)),IF(AND($L$711=0,$P$708=0),"",$L$711-1),IF($R$17="Distrato",$E967,0))),0,YEARFRAC(MAX($P$708*($B967+IF($R$17="Distrato",$I$38-1,0)),IF(AND($L$711=0,$P$708=0),"",$L$711-1),IF($R$17="Distrato",$E967,0)),MIN(Y$38,$D$19),$P$20))-SUM($P967:X967)</f>
        <v>#VALUE!</v>
      </c>
      <c r="Z967" s="446" t="e">
        <f>IF(OR($B967="",MIN(Z$38,$D$19)&lt;MAX($P$708*($B967+IF($R$17="Distrato",$I$38-1,0)),IF(AND($L$711=0,$P$708=0),"",$L$711-1),IF($R$17="Distrato",$E967,0))),0,YEARFRAC(MAX($P$708*($B967+IF($R$17="Distrato",$I$38-1,0)),IF(AND($L$711=0,$P$708=0),"",$L$711-1),IF($R$17="Distrato",$E967,0)),MIN(Z$38,$D$19),$P$20))-SUM($P967:Y967)</f>
        <v>#VALUE!</v>
      </c>
      <c r="AA967" s="446" t="e">
        <f>IF(OR($B967="",MIN(AA$38,$D$19)&lt;MAX($P$708*($B967+IF($R$17="Distrato",$I$38-1,0)),IF(AND($L$711=0,$P$708=0),"",$L$711-1),IF($R$17="Distrato",$E967,0))),0,YEARFRAC(MAX($P$708*($B967+IF($R$17="Distrato",$I$38-1,0)),IF(AND($L$711=0,$P$708=0),"",$L$711-1),IF($R$17="Distrato",$E967,0)),MIN(AA$38,$D$19),$P$20))-SUM($P967:Z967)</f>
        <v>#VALUE!</v>
      </c>
      <c r="AB967" s="446" t="e">
        <f>IF(OR($B967="",MIN(AB$38,$D$19)&lt;MAX($P$708*($B967+IF($R$17="Distrato",$I$38-1,0)),IF(AND($L$711=0,$P$708=0),"",$L$711-1),IF($R$17="Distrato",$E967,0))),0,YEARFRAC(MAX($P$708*($B967+IF($R$17="Distrato",$I$38-1,0)),IF(AND($L$711=0,$P$708=0),"",$L$711-1),IF($R$17="Distrato",$E967,0)),MIN(AB$38,$D$19),$P$20))-SUM($P967:AA967)</f>
        <v>#VALUE!</v>
      </c>
      <c r="AC967" s="446" t="e">
        <f>IF(OR($B967="",MIN(AC$38,$D$19)&lt;MAX($P$708*($B967+IF($R$17="Distrato",$I$38-1,0)),IF(AND($L$711=0,$P$708=0),"",$L$711-1),IF($R$17="Distrato",$E967,0))),0,YEARFRAC(MAX($P$708*($B967+IF($R$17="Distrato",$I$38-1,0)),IF(AND($L$711=0,$P$708=0),"",$L$711-1),IF($R$17="Distrato",$E967,0)),MIN(AC$38,$D$19),$P$20))-SUM($P967:AB967)</f>
        <v>#VALUE!</v>
      </c>
      <c r="AD967" s="446" t="e">
        <f>IF(OR($B967="",MIN(AD$38,$D$19)&lt;MAX($P$708*($B967+IF($R$17="Distrato",$I$38-1,0)),IF(AND($L$711=0,$P$708=0),"",$L$711-1),IF($R$17="Distrato",$E967,0))),0,YEARFRAC(MAX($P$708*($B967+IF($R$17="Distrato",$I$38-1,0)),IF(AND($L$711=0,$P$708=0),"",$L$711-1),IF($R$17="Distrato",$E967,0)),MIN(AD$38,$D$19),$P$20))-SUM($P967:AC967)</f>
        <v>#VALUE!</v>
      </c>
      <c r="AE967" s="446" t="e">
        <f>IF(OR($B967="",MIN(AE$38,$D$19)&lt;MAX($P$708*($B967+IF($R$17="Distrato",$I$38-1,0)),IF(AND($L$711=0,$P$708=0),"",$L$711-1),IF($R$17="Distrato",$E967,0))),0,YEARFRAC(MAX($P$708*($B967+IF($R$17="Distrato",$I$38-1,0)),IF(AND($L$711=0,$P$708=0),"",$L$711-1),IF($R$17="Distrato",$E967,0)),MIN(AE$38,$D$19),$P$20))-SUM($P967:AD967)</f>
        <v>#VALUE!</v>
      </c>
      <c r="AF967" s="446" t="e">
        <f>IF(OR($B967="",MIN(AF$38,$D$19)&lt;MAX($P$708*($B967+IF($R$17="Distrato",$I$38-1,0)),IF(AND($L$711=0,$P$708=0),"",$L$711-1),IF($R$17="Distrato",$E967,0))),0,YEARFRAC(MAX($P$708*($B967+IF($R$17="Distrato",$I$38-1,0)),IF(AND($L$711=0,$P$708=0),"",$L$711-1),IF($R$17="Distrato",$E967,0)),MIN(AF$38,$D$19),$P$20))-SUM($P967:AE967)</f>
        <v>#VALUE!</v>
      </c>
      <c r="AG967" s="446" t="e">
        <f>IF(OR($B967="",MIN(AG$38,$D$19)&lt;MAX($P$708*($B967+IF($R$17="Distrato",$I$38-1,0)),IF(AND($L$711=0,$P$708=0),"",$L$711-1),IF($R$17="Distrato",$E967,0))),0,YEARFRAC(MAX($P$708*($B967+IF($R$17="Distrato",$I$38-1,0)),IF(AND($L$711=0,$P$708=0),"",$L$711-1),IF($R$17="Distrato",$E967,0)),MIN(AG$38,$D$19),$P$20))-SUM($P967:AF967)</f>
        <v>#VALUE!</v>
      </c>
      <c r="AH967" s="446" t="e">
        <f>IF(OR($B967="",MIN(AH$38,$D$19)&lt;MAX($P$708*($B967+IF($R$17="Distrato",$I$38-1,0)),IF(AND($L$711=0,$P$708=0),"",$L$711-1),IF($R$17="Distrato",$E967,0))),0,YEARFRAC(MAX($P$708*($B967+IF($R$17="Distrato",$I$38-1,0)),IF(AND($L$711=0,$P$708=0),"",$L$711-1),IF($R$17="Distrato",$E967,0)),MIN(AH$38,$D$19),$P$20))-SUM($P967:AG967)</f>
        <v>#VALUE!</v>
      </c>
      <c r="AI967" s="446" t="e">
        <f>IF(OR($B967="",MIN(AI$38,$D$19)&lt;MAX($P$708*($B967+IF($R$17="Distrato",$I$38-1,0)),IF(AND($L$711=0,$P$708=0),"",$L$711-1),IF($R$17="Distrato",$E967,0))),0,YEARFRAC(MAX($P$708*($B967+IF($R$17="Distrato",$I$38-1,0)),IF(AND($L$711=0,$P$708=0),"",$L$711-1),IF($R$17="Distrato",$E967,0)),MIN(AI$38,$D$19),$P$20))-SUM($P967:AH967)</f>
        <v>#VALUE!</v>
      </c>
      <c r="AJ967" s="446" t="e">
        <f>IF(OR($B967="",MIN(AJ$38,$D$19)&lt;MAX($P$708*($B967+IF($R$17="Distrato",$I$38-1,0)),IF(AND($L$711=0,$P$708=0),"",$L$711-1),IF($R$17="Distrato",$E967,0))),0,YEARFRAC(MAX($P$708*($B967+IF($R$17="Distrato",$I$38-1,0)),IF(AND($L$711=0,$P$708=0),"",$L$711-1),IF($R$17="Distrato",$E967,0)),MIN(AJ$38,$D$19),$P$20))-SUM($P967:AI967)</f>
        <v>#VALUE!</v>
      </c>
      <c r="AK967" s="446" t="e">
        <f>IF(OR($B967="",MIN(AK$38,$D$19)&lt;MAX($P$708*($B967+IF($R$17="Distrato",$I$38-1,0)),IF(AND($L$711=0,$P$708=0),"",$L$711-1),IF($R$17="Distrato",$E967,0))),0,YEARFRAC(MAX($P$708*($B967+IF($R$17="Distrato",$I$38-1,0)),IF(AND($L$711=0,$P$708=0),"",$L$711-1),IF($R$17="Distrato",$E967,0)),MIN(AK$38,$D$19),$P$20))-SUM($P967:AJ967)</f>
        <v>#VALUE!</v>
      </c>
      <c r="AL967" s="446" t="e">
        <f>IF(OR($B967="",MIN(AL$38,$D$19)&lt;MAX($P$708*($B967+IF($R$17="Distrato",$I$38-1,0)),IF(AND($L$711=0,$P$708=0),"",$L$711-1),IF($R$17="Distrato",$E967,0))),0,YEARFRAC(MAX($P$708*($B967+IF($R$17="Distrato",$I$38-1,0)),IF(AND($L$711=0,$P$708=0),"",$L$711-1),IF($R$17="Distrato",$E967,0)),MIN(AL$38,$D$19),$P$20))-SUM($P967:AK967)</f>
        <v>#VALUE!</v>
      </c>
      <c r="AM967" s="446" t="e">
        <f>IF(OR($B967="",MIN(AM$38,$D$19)&lt;MAX($P$708*($B967+IF($R$17="Distrato",$I$38-1,0)),IF(AND($L$711=0,$P$708=0),"",$L$711-1),IF($R$17="Distrato",$E967,0))),0,YEARFRAC(MAX($P$708*($B967+IF($R$17="Distrato",$I$38-1,0)),IF(AND($L$711=0,$P$708=0),"",$L$711-1),IF($R$17="Distrato",$E967,0)),MIN(AM$38,$D$19),$P$20))-SUM($P967:AL967)</f>
        <v>#VALUE!</v>
      </c>
      <c r="AN967" s="446" t="e">
        <f>IF(OR($B967="",MIN(AN$38,$D$19)&lt;MAX($P$708*($B967+IF($R$17="Distrato",$I$38-1,0)),IF(AND($L$711=0,$P$708=0),"",$L$711-1),IF($R$17="Distrato",$E967,0))),0,YEARFRAC(MAX($P$708*($B967+IF($R$17="Distrato",$I$38-1,0)),IF(AND($L$711=0,$P$708=0),"",$L$711-1),IF($R$17="Distrato",$E967,0)),MIN(AN$38,$D$19),$P$20))-SUM($P967:AM967)</f>
        <v>#VALUE!</v>
      </c>
      <c r="AO967" s="446" t="e">
        <f>IF(OR($B967="",MIN(AO$38,$D$19)&lt;MAX($P$708*($B967+IF($R$17="Distrato",$I$38-1,0)),IF(AND($L$711=0,$P$708=0),"",$L$711-1),IF($R$17="Distrato",$E967,0))),0,YEARFRAC(MAX($P$708*($B967+IF($R$17="Distrato",$I$38-1,0)),IF(AND($L$711=0,$P$708=0),"",$L$711-1),IF($R$17="Distrato",$E967,0)),MIN(AO$38,$D$19),$P$20))-SUM($P967:AN967)</f>
        <v>#VALUE!</v>
      </c>
      <c r="AP967" s="446" t="e">
        <f>IF(OR($B967="",MIN(AP$38,$D$19)&lt;MAX($P$708*($B967+IF($R$17="Distrato",$I$38-1,0)),IF(AND($L$711=0,$P$708=0),"",$L$711-1),IF($R$17="Distrato",$E967,0))),0,YEARFRAC(MAX($P$708*($B967+IF($R$17="Distrato",$I$38-1,0)),IF(AND($L$711=0,$P$708=0),"",$L$711-1),IF($R$17="Distrato",$E967,0)),MIN(AP$38,$D$19),$P$20))-SUM($P967:AO967)</f>
        <v>#VALUE!</v>
      </c>
      <c r="AQ967" s="446" t="e">
        <f>IF(OR($B967="",MIN(AQ$38,$D$19)&lt;MAX($P$708*($B967+IF($R$17="Distrato",$I$38-1,0)),IF(AND($L$711=0,$P$708=0),"",$L$711-1),IF($R$17="Distrato",$E967,0))),0,YEARFRAC(MAX($P$708*($B967+IF($R$17="Distrato",$I$38-1,0)),IF(AND($L$711=0,$P$708=0),"",$L$711-1),IF($R$17="Distrato",$E967,0)),MIN(AQ$38,$D$19),$P$20))-SUM($P967:AP967)</f>
        <v>#VALUE!</v>
      </c>
      <c r="AR967" s="446" t="e">
        <f>IF(OR($B967="",MIN(AR$38,$D$19)&lt;MAX($P$708*($B967+IF($R$17="Distrato",$I$38-1,0)),IF(AND($L$711=0,$P$708=0),"",$L$711-1),IF($R$17="Distrato",$E967,0))),0,YEARFRAC(MAX($P$708*($B967+IF($R$17="Distrato",$I$38-1,0)),IF(AND($L$711=0,$P$708=0),"",$L$711-1),IF($R$17="Distrato",$E967,0)),MIN(AR$38,$D$19),$P$20))-SUM($P967:AQ967)</f>
        <v>#VALUE!</v>
      </c>
      <c r="AS967" s="446" t="e">
        <f>IF(OR($B967="",MIN(AS$38,$D$19)&lt;MAX($P$708*($B967+IF($R$17="Distrato",$I$38-1,0)),IF(AND($L$711=0,$P$708=0),"",$L$711-1),IF($R$17="Distrato",$E967,0))),0,YEARFRAC(MAX($P$708*($B967+IF($R$17="Distrato",$I$38-1,0)),IF(AND($L$711=0,$P$708=0),"",$L$711-1),IF($R$17="Distrato",$E967,0)),MIN(AS$38,$D$19),$P$20))-SUM($P967:AR967)</f>
        <v>#VALUE!</v>
      </c>
      <c r="AT967" s="446" t="e">
        <f>IF(OR($B967="",MIN(AT$38,$D$19)&lt;MAX($P$708*($B967+IF($R$17="Distrato",$I$38-1,0)),IF(AND($L$711=0,$P$708=0),"",$L$711-1),IF($R$17="Distrato",$E967,0))),0,YEARFRAC(MAX($P$708*($B967+IF($R$17="Distrato",$I$38-1,0)),IF(AND($L$711=0,$P$708=0),"",$L$711-1),IF($R$17="Distrato",$E967,0)),MIN(AT$38,$D$19),$P$20))-SUM($P967:AS967)</f>
        <v>#VALUE!</v>
      </c>
      <c r="AU967" s="446" t="e">
        <f>IF(OR($B967="",MIN(AU$38,$D$19)&lt;MAX($P$708*($B967+IF($R$17="Distrato",$I$38-1,0)),IF(AND($L$711=0,$P$708=0),"",$L$711-1),IF($R$17="Distrato",$E967,0))),0,YEARFRAC(MAX($P$708*($B967+IF($R$17="Distrato",$I$38-1,0)),IF(AND($L$711=0,$P$708=0),"",$L$711-1),IF($R$17="Distrato",$E967,0)),MIN(AU$38,$D$19),$P$20))-SUM($P967:AT967)</f>
        <v>#VALUE!</v>
      </c>
      <c r="AV967" s="446" t="e">
        <f>IF(OR($B967="",MIN(AV$38,$D$19)&lt;MAX($P$708*($B967+IF($R$17="Distrato",$I$38-1,0)),IF(AND($L$711=0,$P$708=0),"",$L$711-1),IF($R$17="Distrato",$E967,0))),0,YEARFRAC(MAX($P$708*($B967+IF($R$17="Distrato",$I$38-1,0)),IF(AND($L$711=0,$P$708=0),"",$L$711-1),IF($R$17="Distrato",$E967,0)),MIN(AV$38,$D$19),$P$20))-SUM($P967:AU967)</f>
        <v>#VALUE!</v>
      </c>
      <c r="AW967" s="446" t="e">
        <f>IF(OR($B967="",MIN(AW$38,$D$19)&lt;MAX($P$708*($B967+IF($R$17="Distrato",$I$38-1,0)),IF(AND($L$711=0,$P$708=0),"",$L$711-1),IF($R$17="Distrato",$E967,0))),0,YEARFRAC(MAX($P$708*($B967+IF($R$17="Distrato",$I$38-1,0)),IF(AND($L$711=0,$P$708=0),"",$L$711-1),IF($R$17="Distrato",$E967,0)),MIN(AW$38,$D$19),$P$20))-SUM($P967:AV967)</f>
        <v>#VALUE!</v>
      </c>
      <c r="AX967" s="446" t="e">
        <f>IF(OR($B967="",MIN(AX$38,$D$19)&lt;MAX($P$708*($B967+IF($R$17="Distrato",$I$38-1,0)),IF(AND($L$711=0,$P$708=0),"",$L$711-1),IF($R$17="Distrato",$E967,0))),0,YEARFRAC(MAX($P$708*($B967+IF($R$17="Distrato",$I$38-1,0)),IF(AND($L$711=0,$P$708=0),"",$L$711-1),IF($R$17="Distrato",$E967,0)),MIN(AX$38,$D$19),$P$20))-SUM($P967:AW967)</f>
        <v>#VALUE!</v>
      </c>
      <c r="AY967" s="446" t="e">
        <f>IF(OR($B967="",MIN(AY$38,$D$19)&lt;MAX($P$708*($B967+IF($R$17="Distrato",$I$38-1,0)),IF(AND($L$711=0,$P$708=0),"",$L$711-1),IF($R$17="Distrato",$E967,0))),0,YEARFRAC(MAX($P$708*($B967+IF($R$17="Distrato",$I$38-1,0)),IF(AND($L$711=0,$P$708=0),"",$L$711-1),IF($R$17="Distrato",$E967,0)),MIN(AY$38,$D$19),$P$20))-SUM($P967:AX967)</f>
        <v>#VALUE!</v>
      </c>
      <c r="AZ967" s="446" t="e">
        <f>IF(OR($B967="",MIN(AZ$38,$D$19)&lt;MAX($P$708*($B967+IF($R$17="Distrato",$I$38-1,0)),IF(AND($L$711=0,$P$708=0),"",$L$711-1),IF($R$17="Distrato",$E967,0))),0,YEARFRAC(MAX($P$708*($B967+IF($R$17="Distrato",$I$38-1,0)),IF(AND($L$711=0,$P$708=0),"",$L$711-1),IF($R$17="Distrato",$E967,0)),MIN(AZ$38,$D$19),$P$20))-SUM($P967:AY967)</f>
        <v>#VALUE!</v>
      </c>
      <c r="BA967" s="446" t="e">
        <f>IF(OR($B967="",MIN(BA$38,$D$19)&lt;MAX($P$708*($B967+IF($R$17="Distrato",$I$38-1,0)),IF(AND($L$711=0,$P$708=0),"",$L$711-1),IF($R$17="Distrato",$E967,0))),0,YEARFRAC(MAX($P$708*($B967+IF($R$17="Distrato",$I$38-1,0)),IF(AND($L$711=0,$P$708=0),"",$L$711-1),IF($R$17="Distrato",$E967,0)),MIN(BA$38,$D$19),$P$20))-SUM($P967:AZ967)</f>
        <v>#VALUE!</v>
      </c>
      <c r="BB967" s="447"/>
    </row>
    <row r="968" spans="1:54" s="446" customFormat="1" ht="11.25" hidden="1" customHeight="1" x14ac:dyDescent="0.2">
      <c r="A968" s="235"/>
      <c r="B968" s="236"/>
      <c r="C968" s="29" t="str">
        <f>IF(B968="","",IF($L$709=$BL$25,VLOOKUP(DATE(YEAR($D$19),MONTH($D$19)-1,1),ÍNDICES!$A:$DE,HLOOKUP($BL$25,ÍNDICES!$B$3:$T$4,2)+11)-VLOOKUP(B968,ÍNDICES!$A:$DE,HLOOKUP($BL$25,ÍNDICES!$B$3:$T$4,2)+11)+1%,IF(C$712=$W$26,$J$35,IF(ISERROR(IF(B968&gt;$D$19,1,VLOOKUP(DATE(YEAR(B968),MONTH(B968)+IF($C$709=$S$23,1,0),1),ÍNDICES!$A:$DE,$Z$709+1))),"",IF(B968&gt;$D$19,1,VLOOKUP(DATE(YEAR(B968),MONTH(B968)+IF($C$709=$S$23,1,0),1),ÍNDICES!$A:$DE,$Z$709+1))))))</f>
        <v/>
      </c>
      <c r="D968" s="155"/>
      <c r="E968" s="88"/>
      <c r="F968" s="88"/>
      <c r="G968" s="88"/>
      <c r="H968" s="118"/>
      <c r="I968" s="182">
        <f t="shared" si="136"/>
        <v>0</v>
      </c>
      <c r="J968" s="20">
        <f t="shared" ca="1" si="137"/>
        <v>0</v>
      </c>
      <c r="K968" s="5">
        <f t="shared" ca="1" si="138"/>
        <v>0</v>
      </c>
      <c r="L968" s="61">
        <f t="shared" ca="1" si="139"/>
        <v>0</v>
      </c>
      <c r="M968" s="64">
        <f t="shared" si="140"/>
        <v>0</v>
      </c>
      <c r="N968" s="151"/>
      <c r="O968" s="5">
        <f t="shared" ca="1" si="141"/>
        <v>0</v>
      </c>
      <c r="P968" s="446" t="e">
        <f t="shared" si="142"/>
        <v>#VALUE!</v>
      </c>
      <c r="Q968" s="446" t="e">
        <f>IF(OR($B968="",MIN(Q$38,$D$19)&lt;MAX($P$708*($B968+IF($R$17="Distrato",$I$38-1,0)),IF(AND($L$711=0,$P$708=0),"",$L$711-1),IF($R$17="Distrato",$E968,0))),0,YEARFRAC(MAX($P$708*($B968+IF($R$17="Distrato",$I$38-1,0)),IF(AND($L$711=0,$P$708=0),"",$L$711-1),IF($R$17="Distrato",$E968,0)),MIN(Q$38,$D$19),$P$20))-SUM($P968:P968)</f>
        <v>#VALUE!</v>
      </c>
      <c r="R968" s="446" t="e">
        <f>IF(OR($B968="",MIN(R$38,$D$19)&lt;MAX($P$708*($B968+IF($R$17="Distrato",$I$38-1,0)),IF(AND($L$711=0,$P$708=0),"",$L$711-1),IF($R$17="Distrato",$E968,0))),0,YEARFRAC(MAX($P$708*($B968+IF($R$17="Distrato",$I$38-1,0)),IF(AND($L$711=0,$P$708=0),"",$L$711-1),IF($R$17="Distrato",$E968,0)),MIN(R$38,$D$19),$P$20))-SUM($P968:Q968)</f>
        <v>#VALUE!</v>
      </c>
      <c r="S968" s="446" t="e">
        <f>IF(OR($B968="",MIN(S$38,$D$19)&lt;MAX($P$708*($B968+IF($R$17="Distrato",$I$38-1,0)),IF(AND($L$711=0,$P$708=0),"",$L$711-1),IF($R$17="Distrato",$E968,0))),0,YEARFRAC(MAX($P$708*($B968+IF($R$17="Distrato",$I$38-1,0)),IF(AND($L$711=0,$P$708=0),"",$L$711-1),IF($R$17="Distrato",$E968,0)),MIN(S$38,$D$19),$P$20))-SUM($P968:R968)</f>
        <v>#VALUE!</v>
      </c>
      <c r="T968" s="446" t="e">
        <f>IF(OR($B968="",MIN(T$38,$D$19)&lt;MAX($P$708*($B968+IF($R$17="Distrato",$I$38-1,0)),IF(AND($L$711=0,$P$708=0),"",$L$711-1),IF($R$17="Distrato",$E968,0))),0,YEARFRAC(MAX($P$708*($B968+IF($R$17="Distrato",$I$38-1,0)),IF(AND($L$711=0,$P$708=0),"",$L$711-1),IF($R$17="Distrato",$E968,0)),MIN(T$38,$D$19),$P$20))-SUM($P968:S968)</f>
        <v>#VALUE!</v>
      </c>
      <c r="U968" s="446" t="e">
        <f>IF(OR($B968="",MIN(U$38,$D$19)&lt;MAX($P$708*($B968+IF($R$17="Distrato",$I$38-1,0)),IF(AND($L$711=0,$P$708=0),"",$L$711-1),IF($R$17="Distrato",$E968,0))),0,YEARFRAC(MAX($P$708*($B968+IF($R$17="Distrato",$I$38-1,0)),IF(AND($L$711=0,$P$708=0),"",$L$711-1),IF($R$17="Distrato",$E968,0)),MIN(U$38,$D$19),$P$20))-SUM($P968:T968)</f>
        <v>#VALUE!</v>
      </c>
      <c r="V968" s="446" t="e">
        <f>IF(OR($B968="",MIN(V$38,$D$19)&lt;MAX($P$708*($B968+IF($R$17="Distrato",$I$38-1,0)),IF(AND($L$711=0,$P$708=0),"",$L$711-1),IF($R$17="Distrato",$E968,0))),0,YEARFRAC(MAX($P$708*($B968+IF($R$17="Distrato",$I$38-1,0)),IF(AND($L$711=0,$P$708=0),"",$L$711-1),IF($R$17="Distrato",$E968,0)),MIN(V$38,$D$19),$P$20))-SUM($P968:U968)</f>
        <v>#VALUE!</v>
      </c>
      <c r="W968" s="446" t="e">
        <f>IF(OR($B968="",MIN(W$38,$D$19)&lt;MAX($P$708*($B968+IF($R$17="Distrato",$I$38-1,0)),IF(AND($L$711=0,$P$708=0),"",$L$711-1),IF($R$17="Distrato",$E968,0))),0,YEARFRAC(MAX($P$708*($B968+IF($R$17="Distrato",$I$38-1,0)),IF(AND($L$711=0,$P$708=0),"",$L$711-1),IF($R$17="Distrato",$E968,0)),MIN(W$38,$D$19),$P$20))-SUM($P968:V968)</f>
        <v>#VALUE!</v>
      </c>
      <c r="X968" s="446" t="e">
        <f>IF(OR($B968="",MIN(X$38,$D$19)&lt;MAX($P$708*($B968+IF($R$17="Distrato",$I$38-1,0)),IF(AND($L$711=0,$P$708=0),"",$L$711-1),IF($R$17="Distrato",$E968,0))),0,YEARFRAC(MAX($P$708*($B968+IF($R$17="Distrato",$I$38-1,0)),IF(AND($L$711=0,$P$708=0),"",$L$711-1),IF($R$17="Distrato",$E968,0)),MIN(X$38,$D$19),$P$20))-SUM($P968:W968)</f>
        <v>#VALUE!</v>
      </c>
      <c r="Y968" s="446" t="e">
        <f>IF(OR($B968="",MIN(Y$38,$D$19)&lt;MAX($P$708*($B968+IF($R$17="Distrato",$I$38-1,0)),IF(AND($L$711=0,$P$708=0),"",$L$711-1),IF($R$17="Distrato",$E968,0))),0,YEARFRAC(MAX($P$708*($B968+IF($R$17="Distrato",$I$38-1,0)),IF(AND($L$711=0,$P$708=0),"",$L$711-1),IF($R$17="Distrato",$E968,0)),MIN(Y$38,$D$19),$P$20))-SUM($P968:X968)</f>
        <v>#VALUE!</v>
      </c>
      <c r="Z968" s="446" t="e">
        <f>IF(OR($B968="",MIN(Z$38,$D$19)&lt;MAX($P$708*($B968+IF($R$17="Distrato",$I$38-1,0)),IF(AND($L$711=0,$P$708=0),"",$L$711-1),IF($R$17="Distrato",$E968,0))),0,YEARFRAC(MAX($P$708*($B968+IF($R$17="Distrato",$I$38-1,0)),IF(AND($L$711=0,$P$708=0),"",$L$711-1),IF($R$17="Distrato",$E968,0)),MIN(Z$38,$D$19),$P$20))-SUM($P968:Y968)</f>
        <v>#VALUE!</v>
      </c>
      <c r="AA968" s="446" t="e">
        <f>IF(OR($B968="",MIN(AA$38,$D$19)&lt;MAX($P$708*($B968+IF($R$17="Distrato",$I$38-1,0)),IF(AND($L$711=0,$P$708=0),"",$L$711-1),IF($R$17="Distrato",$E968,0))),0,YEARFRAC(MAX($P$708*($B968+IF($R$17="Distrato",$I$38-1,0)),IF(AND($L$711=0,$P$708=0),"",$L$711-1),IF($R$17="Distrato",$E968,0)),MIN(AA$38,$D$19),$P$20))-SUM($P968:Z968)</f>
        <v>#VALUE!</v>
      </c>
      <c r="AB968" s="446" t="e">
        <f>IF(OR($B968="",MIN(AB$38,$D$19)&lt;MAX($P$708*($B968+IF($R$17="Distrato",$I$38-1,0)),IF(AND($L$711=0,$P$708=0),"",$L$711-1),IF($R$17="Distrato",$E968,0))),0,YEARFRAC(MAX($P$708*($B968+IF($R$17="Distrato",$I$38-1,0)),IF(AND($L$711=0,$P$708=0),"",$L$711-1),IF($R$17="Distrato",$E968,0)),MIN(AB$38,$D$19),$P$20))-SUM($P968:AA968)</f>
        <v>#VALUE!</v>
      </c>
      <c r="AC968" s="446" t="e">
        <f>IF(OR($B968="",MIN(AC$38,$D$19)&lt;MAX($P$708*($B968+IF($R$17="Distrato",$I$38-1,0)),IF(AND($L$711=0,$P$708=0),"",$L$711-1),IF($R$17="Distrato",$E968,0))),0,YEARFRAC(MAX($P$708*($B968+IF($R$17="Distrato",$I$38-1,0)),IF(AND($L$711=0,$P$708=0),"",$L$711-1),IF($R$17="Distrato",$E968,0)),MIN(AC$38,$D$19),$P$20))-SUM($P968:AB968)</f>
        <v>#VALUE!</v>
      </c>
      <c r="AD968" s="446" t="e">
        <f>IF(OR($B968="",MIN(AD$38,$D$19)&lt;MAX($P$708*($B968+IF($R$17="Distrato",$I$38-1,0)),IF(AND($L$711=0,$P$708=0),"",$L$711-1),IF($R$17="Distrato",$E968,0))),0,YEARFRAC(MAX($P$708*($B968+IF($R$17="Distrato",$I$38-1,0)),IF(AND($L$711=0,$P$708=0),"",$L$711-1),IF($R$17="Distrato",$E968,0)),MIN(AD$38,$D$19),$P$20))-SUM($P968:AC968)</f>
        <v>#VALUE!</v>
      </c>
      <c r="AE968" s="446" t="e">
        <f>IF(OR($B968="",MIN(AE$38,$D$19)&lt;MAX($P$708*($B968+IF($R$17="Distrato",$I$38-1,0)),IF(AND($L$711=0,$P$708=0),"",$L$711-1),IF($R$17="Distrato",$E968,0))),0,YEARFRAC(MAX($P$708*($B968+IF($R$17="Distrato",$I$38-1,0)),IF(AND($L$711=0,$P$708=0),"",$L$711-1),IF($R$17="Distrato",$E968,0)),MIN(AE$38,$D$19),$P$20))-SUM($P968:AD968)</f>
        <v>#VALUE!</v>
      </c>
      <c r="AF968" s="446" t="e">
        <f>IF(OR($B968="",MIN(AF$38,$D$19)&lt;MAX($P$708*($B968+IF($R$17="Distrato",$I$38-1,0)),IF(AND($L$711=0,$P$708=0),"",$L$711-1),IF($R$17="Distrato",$E968,0))),0,YEARFRAC(MAX($P$708*($B968+IF($R$17="Distrato",$I$38-1,0)),IF(AND($L$711=0,$P$708=0),"",$L$711-1),IF($R$17="Distrato",$E968,0)),MIN(AF$38,$D$19),$P$20))-SUM($P968:AE968)</f>
        <v>#VALUE!</v>
      </c>
      <c r="AG968" s="446" t="e">
        <f>IF(OR($B968="",MIN(AG$38,$D$19)&lt;MAX($P$708*($B968+IF($R$17="Distrato",$I$38-1,0)),IF(AND($L$711=0,$P$708=0),"",$L$711-1),IF($R$17="Distrato",$E968,0))),0,YEARFRAC(MAX($P$708*($B968+IF($R$17="Distrato",$I$38-1,0)),IF(AND($L$711=0,$P$708=0),"",$L$711-1),IF($R$17="Distrato",$E968,0)),MIN(AG$38,$D$19),$P$20))-SUM($P968:AF968)</f>
        <v>#VALUE!</v>
      </c>
      <c r="AH968" s="446" t="e">
        <f>IF(OR($B968="",MIN(AH$38,$D$19)&lt;MAX($P$708*($B968+IF($R$17="Distrato",$I$38-1,0)),IF(AND($L$711=0,$P$708=0),"",$L$711-1),IF($R$17="Distrato",$E968,0))),0,YEARFRAC(MAX($P$708*($B968+IF($R$17="Distrato",$I$38-1,0)),IF(AND($L$711=0,$P$708=0),"",$L$711-1),IF($R$17="Distrato",$E968,0)),MIN(AH$38,$D$19),$P$20))-SUM($P968:AG968)</f>
        <v>#VALUE!</v>
      </c>
      <c r="AI968" s="446" t="e">
        <f>IF(OR($B968="",MIN(AI$38,$D$19)&lt;MAX($P$708*($B968+IF($R$17="Distrato",$I$38-1,0)),IF(AND($L$711=0,$P$708=0),"",$L$711-1),IF($R$17="Distrato",$E968,0))),0,YEARFRAC(MAX($P$708*($B968+IF($R$17="Distrato",$I$38-1,0)),IF(AND($L$711=0,$P$708=0),"",$L$711-1),IF($R$17="Distrato",$E968,0)),MIN(AI$38,$D$19),$P$20))-SUM($P968:AH968)</f>
        <v>#VALUE!</v>
      </c>
      <c r="AJ968" s="446" t="e">
        <f>IF(OR($B968="",MIN(AJ$38,$D$19)&lt;MAX($P$708*($B968+IF($R$17="Distrato",$I$38-1,0)),IF(AND($L$711=0,$P$708=0),"",$L$711-1),IF($R$17="Distrato",$E968,0))),0,YEARFRAC(MAX($P$708*($B968+IF($R$17="Distrato",$I$38-1,0)),IF(AND($L$711=0,$P$708=0),"",$L$711-1),IF($R$17="Distrato",$E968,0)),MIN(AJ$38,$D$19),$P$20))-SUM($P968:AI968)</f>
        <v>#VALUE!</v>
      </c>
      <c r="AK968" s="446" t="e">
        <f>IF(OR($B968="",MIN(AK$38,$D$19)&lt;MAX($P$708*($B968+IF($R$17="Distrato",$I$38-1,0)),IF(AND($L$711=0,$P$708=0),"",$L$711-1),IF($R$17="Distrato",$E968,0))),0,YEARFRAC(MAX($P$708*($B968+IF($R$17="Distrato",$I$38-1,0)),IF(AND($L$711=0,$P$708=0),"",$L$711-1),IF($R$17="Distrato",$E968,0)),MIN(AK$38,$D$19),$P$20))-SUM($P968:AJ968)</f>
        <v>#VALUE!</v>
      </c>
      <c r="AL968" s="446" t="e">
        <f>IF(OR($B968="",MIN(AL$38,$D$19)&lt;MAX($P$708*($B968+IF($R$17="Distrato",$I$38-1,0)),IF(AND($L$711=0,$P$708=0),"",$L$711-1),IF($R$17="Distrato",$E968,0))),0,YEARFRAC(MAX($P$708*($B968+IF($R$17="Distrato",$I$38-1,0)),IF(AND($L$711=0,$P$708=0),"",$L$711-1),IF($R$17="Distrato",$E968,0)),MIN(AL$38,$D$19),$P$20))-SUM($P968:AK968)</f>
        <v>#VALUE!</v>
      </c>
      <c r="AM968" s="446" t="e">
        <f>IF(OR($B968="",MIN(AM$38,$D$19)&lt;MAX($P$708*($B968+IF($R$17="Distrato",$I$38-1,0)),IF(AND($L$711=0,$P$708=0),"",$L$711-1),IF($R$17="Distrato",$E968,0))),0,YEARFRAC(MAX($P$708*($B968+IF($R$17="Distrato",$I$38-1,0)),IF(AND($L$711=0,$P$708=0),"",$L$711-1),IF($R$17="Distrato",$E968,0)),MIN(AM$38,$D$19),$P$20))-SUM($P968:AL968)</f>
        <v>#VALUE!</v>
      </c>
      <c r="AN968" s="446" t="e">
        <f>IF(OR($B968="",MIN(AN$38,$D$19)&lt;MAX($P$708*($B968+IF($R$17="Distrato",$I$38-1,0)),IF(AND($L$711=0,$P$708=0),"",$L$711-1),IF($R$17="Distrato",$E968,0))),0,YEARFRAC(MAX($P$708*($B968+IF($R$17="Distrato",$I$38-1,0)),IF(AND($L$711=0,$P$708=0),"",$L$711-1),IF($R$17="Distrato",$E968,0)),MIN(AN$38,$D$19),$P$20))-SUM($P968:AM968)</f>
        <v>#VALUE!</v>
      </c>
      <c r="AO968" s="446" t="e">
        <f>IF(OR($B968="",MIN(AO$38,$D$19)&lt;MAX($P$708*($B968+IF($R$17="Distrato",$I$38-1,0)),IF(AND($L$711=0,$P$708=0),"",$L$711-1),IF($R$17="Distrato",$E968,0))),0,YEARFRAC(MAX($P$708*($B968+IF($R$17="Distrato",$I$38-1,0)),IF(AND($L$711=0,$P$708=0),"",$L$711-1),IF($R$17="Distrato",$E968,0)),MIN(AO$38,$D$19),$P$20))-SUM($P968:AN968)</f>
        <v>#VALUE!</v>
      </c>
      <c r="AP968" s="446" t="e">
        <f>IF(OR($B968="",MIN(AP$38,$D$19)&lt;MAX($P$708*($B968+IF($R$17="Distrato",$I$38-1,0)),IF(AND($L$711=0,$P$708=0),"",$L$711-1),IF($R$17="Distrato",$E968,0))),0,YEARFRAC(MAX($P$708*($B968+IF($R$17="Distrato",$I$38-1,0)),IF(AND($L$711=0,$P$708=0),"",$L$711-1),IF($R$17="Distrato",$E968,0)),MIN(AP$38,$D$19),$P$20))-SUM($P968:AO968)</f>
        <v>#VALUE!</v>
      </c>
      <c r="AQ968" s="446" t="e">
        <f>IF(OR($B968="",MIN(AQ$38,$D$19)&lt;MAX($P$708*($B968+IF($R$17="Distrato",$I$38-1,0)),IF(AND($L$711=0,$P$708=0),"",$L$711-1),IF($R$17="Distrato",$E968,0))),0,YEARFRAC(MAX($P$708*($B968+IF($R$17="Distrato",$I$38-1,0)),IF(AND($L$711=0,$P$708=0),"",$L$711-1),IF($R$17="Distrato",$E968,0)),MIN(AQ$38,$D$19),$P$20))-SUM($P968:AP968)</f>
        <v>#VALUE!</v>
      </c>
      <c r="AR968" s="446" t="e">
        <f>IF(OR($B968="",MIN(AR$38,$D$19)&lt;MAX($P$708*($B968+IF($R$17="Distrato",$I$38-1,0)),IF(AND($L$711=0,$P$708=0),"",$L$711-1),IF($R$17="Distrato",$E968,0))),0,YEARFRAC(MAX($P$708*($B968+IF($R$17="Distrato",$I$38-1,0)),IF(AND($L$711=0,$P$708=0),"",$L$711-1),IF($R$17="Distrato",$E968,0)),MIN(AR$38,$D$19),$P$20))-SUM($P968:AQ968)</f>
        <v>#VALUE!</v>
      </c>
      <c r="AS968" s="446" t="e">
        <f>IF(OR($B968="",MIN(AS$38,$D$19)&lt;MAX($P$708*($B968+IF($R$17="Distrato",$I$38-1,0)),IF(AND($L$711=0,$P$708=0),"",$L$711-1),IF($R$17="Distrato",$E968,0))),0,YEARFRAC(MAX($P$708*($B968+IF($R$17="Distrato",$I$38-1,0)),IF(AND($L$711=0,$P$708=0),"",$L$711-1),IF($R$17="Distrato",$E968,0)),MIN(AS$38,$D$19),$P$20))-SUM($P968:AR968)</f>
        <v>#VALUE!</v>
      </c>
      <c r="AT968" s="446" t="e">
        <f>IF(OR($B968="",MIN(AT$38,$D$19)&lt;MAX($P$708*($B968+IF($R$17="Distrato",$I$38-1,0)),IF(AND($L$711=0,$P$708=0),"",$L$711-1),IF($R$17="Distrato",$E968,0))),0,YEARFRAC(MAX($P$708*($B968+IF($R$17="Distrato",$I$38-1,0)),IF(AND($L$711=0,$P$708=0),"",$L$711-1),IF($R$17="Distrato",$E968,0)),MIN(AT$38,$D$19),$P$20))-SUM($P968:AS968)</f>
        <v>#VALUE!</v>
      </c>
      <c r="AU968" s="446" t="e">
        <f>IF(OR($B968="",MIN(AU$38,$D$19)&lt;MAX($P$708*($B968+IF($R$17="Distrato",$I$38-1,0)),IF(AND($L$711=0,$P$708=0),"",$L$711-1),IF($R$17="Distrato",$E968,0))),0,YEARFRAC(MAX($P$708*($B968+IF($R$17="Distrato",$I$38-1,0)),IF(AND($L$711=0,$P$708=0),"",$L$711-1),IF($R$17="Distrato",$E968,0)),MIN(AU$38,$D$19),$P$20))-SUM($P968:AT968)</f>
        <v>#VALUE!</v>
      </c>
      <c r="AV968" s="446" t="e">
        <f>IF(OR($B968="",MIN(AV$38,$D$19)&lt;MAX($P$708*($B968+IF($R$17="Distrato",$I$38-1,0)),IF(AND($L$711=0,$P$708=0),"",$L$711-1),IF($R$17="Distrato",$E968,0))),0,YEARFRAC(MAX($P$708*($B968+IF($R$17="Distrato",$I$38-1,0)),IF(AND($L$711=0,$P$708=0),"",$L$711-1),IF($R$17="Distrato",$E968,0)),MIN(AV$38,$D$19),$P$20))-SUM($P968:AU968)</f>
        <v>#VALUE!</v>
      </c>
      <c r="AW968" s="446" t="e">
        <f>IF(OR($B968="",MIN(AW$38,$D$19)&lt;MAX($P$708*($B968+IF($R$17="Distrato",$I$38-1,0)),IF(AND($L$711=0,$P$708=0),"",$L$711-1),IF($R$17="Distrato",$E968,0))),0,YEARFRAC(MAX($P$708*($B968+IF($R$17="Distrato",$I$38-1,0)),IF(AND($L$711=0,$P$708=0),"",$L$711-1),IF($R$17="Distrato",$E968,0)),MIN(AW$38,$D$19),$P$20))-SUM($P968:AV968)</f>
        <v>#VALUE!</v>
      </c>
      <c r="AX968" s="446" t="e">
        <f>IF(OR($B968="",MIN(AX$38,$D$19)&lt;MAX($P$708*($B968+IF($R$17="Distrato",$I$38-1,0)),IF(AND($L$711=0,$P$708=0),"",$L$711-1),IF($R$17="Distrato",$E968,0))),0,YEARFRAC(MAX($P$708*($B968+IF($R$17="Distrato",$I$38-1,0)),IF(AND($L$711=0,$P$708=0),"",$L$711-1),IF($R$17="Distrato",$E968,0)),MIN(AX$38,$D$19),$P$20))-SUM($P968:AW968)</f>
        <v>#VALUE!</v>
      </c>
      <c r="AY968" s="446" t="e">
        <f>IF(OR($B968="",MIN(AY$38,$D$19)&lt;MAX($P$708*($B968+IF($R$17="Distrato",$I$38-1,0)),IF(AND($L$711=0,$P$708=0),"",$L$711-1),IF($R$17="Distrato",$E968,0))),0,YEARFRAC(MAX($P$708*($B968+IF($R$17="Distrato",$I$38-1,0)),IF(AND($L$711=0,$P$708=0),"",$L$711-1),IF($R$17="Distrato",$E968,0)),MIN(AY$38,$D$19),$P$20))-SUM($P968:AX968)</f>
        <v>#VALUE!</v>
      </c>
      <c r="AZ968" s="446" t="e">
        <f>IF(OR($B968="",MIN(AZ$38,$D$19)&lt;MAX($P$708*($B968+IF($R$17="Distrato",$I$38-1,0)),IF(AND($L$711=0,$P$708=0),"",$L$711-1),IF($R$17="Distrato",$E968,0))),0,YEARFRAC(MAX($P$708*($B968+IF($R$17="Distrato",$I$38-1,0)),IF(AND($L$711=0,$P$708=0),"",$L$711-1),IF($R$17="Distrato",$E968,0)),MIN(AZ$38,$D$19),$P$20))-SUM($P968:AY968)</f>
        <v>#VALUE!</v>
      </c>
      <c r="BA968" s="446" t="e">
        <f>IF(OR($B968="",MIN(BA$38,$D$19)&lt;MAX($P$708*($B968+IF($R$17="Distrato",$I$38-1,0)),IF(AND($L$711=0,$P$708=0),"",$L$711-1),IF($R$17="Distrato",$E968,0))),0,YEARFRAC(MAX($P$708*($B968+IF($R$17="Distrato",$I$38-1,0)),IF(AND($L$711=0,$P$708=0),"",$L$711-1),IF($R$17="Distrato",$E968,0)),MIN(BA$38,$D$19),$P$20))-SUM($P968:AZ968)</f>
        <v>#VALUE!</v>
      </c>
      <c r="BB968" s="447"/>
    </row>
    <row r="969" spans="1:54" s="446" customFormat="1" ht="11.25" hidden="1" customHeight="1" x14ac:dyDescent="0.2">
      <c r="A969" s="235"/>
      <c r="B969" s="236"/>
      <c r="C969" s="29" t="str">
        <f>IF(B969="","",IF($L$709=$BL$25,VLOOKUP(DATE(YEAR($D$19),MONTH($D$19)-1,1),ÍNDICES!$A:$DE,HLOOKUP($BL$25,ÍNDICES!$B$3:$T$4,2)+11)-VLOOKUP(B969,ÍNDICES!$A:$DE,HLOOKUP($BL$25,ÍNDICES!$B$3:$T$4,2)+11)+1%,IF(C$712=$W$26,$J$35,IF(ISERROR(IF(B969&gt;$D$19,1,VLOOKUP(DATE(YEAR(B969),MONTH(B969)+IF($C$709=$S$23,1,0),1),ÍNDICES!$A:$DE,$Z$709+1))),"",IF(B969&gt;$D$19,1,VLOOKUP(DATE(YEAR(B969),MONTH(B969)+IF($C$709=$S$23,1,0),1),ÍNDICES!$A:$DE,$Z$709+1))))))</f>
        <v/>
      </c>
      <c r="D969" s="155"/>
      <c r="E969" s="88"/>
      <c r="F969" s="88"/>
      <c r="G969" s="88"/>
      <c r="H969" s="118"/>
      <c r="I969" s="182">
        <f t="shared" si="136"/>
        <v>0</v>
      </c>
      <c r="J969" s="20">
        <f t="shared" ca="1" si="137"/>
        <v>0</v>
      </c>
      <c r="K969" s="5">
        <f t="shared" ca="1" si="138"/>
        <v>0</v>
      </c>
      <c r="L969" s="61">
        <f t="shared" ca="1" si="139"/>
        <v>0</v>
      </c>
      <c r="M969" s="64">
        <f t="shared" si="140"/>
        <v>0</v>
      </c>
      <c r="N969" s="151"/>
      <c r="O969" s="5">
        <f t="shared" ca="1" si="141"/>
        <v>0</v>
      </c>
      <c r="P969" s="446" t="e">
        <f t="shared" si="142"/>
        <v>#VALUE!</v>
      </c>
      <c r="Q969" s="446" t="e">
        <f>IF(OR($B969="",MIN(Q$38,$D$19)&lt;MAX($P$708*($B969+IF($R$17="Distrato",$I$38-1,0)),IF(AND($L$711=0,$P$708=0),"",$L$711-1),IF($R$17="Distrato",$E969,0))),0,YEARFRAC(MAX($P$708*($B969+IF($R$17="Distrato",$I$38-1,0)),IF(AND($L$711=0,$P$708=0),"",$L$711-1),IF($R$17="Distrato",$E969,0)),MIN(Q$38,$D$19),$P$20))-SUM($P969:P969)</f>
        <v>#VALUE!</v>
      </c>
      <c r="R969" s="446" t="e">
        <f>IF(OR($B969="",MIN(R$38,$D$19)&lt;MAX($P$708*($B969+IF($R$17="Distrato",$I$38-1,0)),IF(AND($L$711=0,$P$708=0),"",$L$711-1),IF($R$17="Distrato",$E969,0))),0,YEARFRAC(MAX($P$708*($B969+IF($R$17="Distrato",$I$38-1,0)),IF(AND($L$711=0,$P$708=0),"",$L$711-1),IF($R$17="Distrato",$E969,0)),MIN(R$38,$D$19),$P$20))-SUM($P969:Q969)</f>
        <v>#VALUE!</v>
      </c>
      <c r="S969" s="446" t="e">
        <f>IF(OR($B969="",MIN(S$38,$D$19)&lt;MAX($P$708*($B969+IF($R$17="Distrato",$I$38-1,0)),IF(AND($L$711=0,$P$708=0),"",$L$711-1),IF($R$17="Distrato",$E969,0))),0,YEARFRAC(MAX($P$708*($B969+IF($R$17="Distrato",$I$38-1,0)),IF(AND($L$711=0,$P$708=0),"",$L$711-1),IF($R$17="Distrato",$E969,0)),MIN(S$38,$D$19),$P$20))-SUM($P969:R969)</f>
        <v>#VALUE!</v>
      </c>
      <c r="T969" s="446" t="e">
        <f>IF(OR($B969="",MIN(T$38,$D$19)&lt;MAX($P$708*($B969+IF($R$17="Distrato",$I$38-1,0)),IF(AND($L$711=0,$P$708=0),"",$L$711-1),IF($R$17="Distrato",$E969,0))),0,YEARFRAC(MAX($P$708*($B969+IF($R$17="Distrato",$I$38-1,0)),IF(AND($L$711=0,$P$708=0),"",$L$711-1),IF($R$17="Distrato",$E969,0)),MIN(T$38,$D$19),$P$20))-SUM($P969:S969)</f>
        <v>#VALUE!</v>
      </c>
      <c r="U969" s="446" t="e">
        <f>IF(OR($B969="",MIN(U$38,$D$19)&lt;MAX($P$708*($B969+IF($R$17="Distrato",$I$38-1,0)),IF(AND($L$711=0,$P$708=0),"",$L$711-1),IF($R$17="Distrato",$E969,0))),0,YEARFRAC(MAX($P$708*($B969+IF($R$17="Distrato",$I$38-1,0)),IF(AND($L$711=0,$P$708=0),"",$L$711-1),IF($R$17="Distrato",$E969,0)),MIN(U$38,$D$19),$P$20))-SUM($P969:T969)</f>
        <v>#VALUE!</v>
      </c>
      <c r="V969" s="446" t="e">
        <f>IF(OR($B969="",MIN(V$38,$D$19)&lt;MAX($P$708*($B969+IF($R$17="Distrato",$I$38-1,0)),IF(AND($L$711=0,$P$708=0),"",$L$711-1),IF($R$17="Distrato",$E969,0))),0,YEARFRAC(MAX($P$708*($B969+IF($R$17="Distrato",$I$38-1,0)),IF(AND($L$711=0,$P$708=0),"",$L$711-1),IF($R$17="Distrato",$E969,0)),MIN(V$38,$D$19),$P$20))-SUM($P969:U969)</f>
        <v>#VALUE!</v>
      </c>
      <c r="W969" s="446" t="e">
        <f>IF(OR($B969="",MIN(W$38,$D$19)&lt;MAX($P$708*($B969+IF($R$17="Distrato",$I$38-1,0)),IF(AND($L$711=0,$P$708=0),"",$L$711-1),IF($R$17="Distrato",$E969,0))),0,YEARFRAC(MAX($P$708*($B969+IF($R$17="Distrato",$I$38-1,0)),IF(AND($L$711=0,$P$708=0),"",$L$711-1),IF($R$17="Distrato",$E969,0)),MIN(W$38,$D$19),$P$20))-SUM($P969:V969)</f>
        <v>#VALUE!</v>
      </c>
      <c r="X969" s="446" t="e">
        <f>IF(OR($B969="",MIN(X$38,$D$19)&lt;MAX($P$708*($B969+IF($R$17="Distrato",$I$38-1,0)),IF(AND($L$711=0,$P$708=0),"",$L$711-1),IF($R$17="Distrato",$E969,0))),0,YEARFRAC(MAX($P$708*($B969+IF($R$17="Distrato",$I$38-1,0)),IF(AND($L$711=0,$P$708=0),"",$L$711-1),IF($R$17="Distrato",$E969,0)),MIN(X$38,$D$19),$P$20))-SUM($P969:W969)</f>
        <v>#VALUE!</v>
      </c>
      <c r="Y969" s="446" t="e">
        <f>IF(OR($B969="",MIN(Y$38,$D$19)&lt;MAX($P$708*($B969+IF($R$17="Distrato",$I$38-1,0)),IF(AND($L$711=0,$P$708=0),"",$L$711-1),IF($R$17="Distrato",$E969,0))),0,YEARFRAC(MAX($P$708*($B969+IF($R$17="Distrato",$I$38-1,0)),IF(AND($L$711=0,$P$708=0),"",$L$711-1),IF($R$17="Distrato",$E969,0)),MIN(Y$38,$D$19),$P$20))-SUM($P969:X969)</f>
        <v>#VALUE!</v>
      </c>
      <c r="Z969" s="446" t="e">
        <f>IF(OR($B969="",MIN(Z$38,$D$19)&lt;MAX($P$708*($B969+IF($R$17="Distrato",$I$38-1,0)),IF(AND($L$711=0,$P$708=0),"",$L$711-1),IF($R$17="Distrato",$E969,0))),0,YEARFRAC(MAX($P$708*($B969+IF($R$17="Distrato",$I$38-1,0)),IF(AND($L$711=0,$P$708=0),"",$L$711-1),IF($R$17="Distrato",$E969,0)),MIN(Z$38,$D$19),$P$20))-SUM($P969:Y969)</f>
        <v>#VALUE!</v>
      </c>
      <c r="AA969" s="446" t="e">
        <f>IF(OR($B969="",MIN(AA$38,$D$19)&lt;MAX($P$708*($B969+IF($R$17="Distrato",$I$38-1,0)),IF(AND($L$711=0,$P$708=0),"",$L$711-1),IF($R$17="Distrato",$E969,0))),0,YEARFRAC(MAX($P$708*($B969+IF($R$17="Distrato",$I$38-1,0)),IF(AND($L$711=0,$P$708=0),"",$L$711-1),IF($R$17="Distrato",$E969,0)),MIN(AA$38,$D$19),$P$20))-SUM($P969:Z969)</f>
        <v>#VALUE!</v>
      </c>
      <c r="AB969" s="446" t="e">
        <f>IF(OR($B969="",MIN(AB$38,$D$19)&lt;MAX($P$708*($B969+IF($R$17="Distrato",$I$38-1,0)),IF(AND($L$711=0,$P$708=0),"",$L$711-1),IF($R$17="Distrato",$E969,0))),0,YEARFRAC(MAX($P$708*($B969+IF($R$17="Distrato",$I$38-1,0)),IF(AND($L$711=0,$P$708=0),"",$L$711-1),IF($R$17="Distrato",$E969,0)),MIN(AB$38,$D$19),$P$20))-SUM($P969:AA969)</f>
        <v>#VALUE!</v>
      </c>
      <c r="AC969" s="446" t="e">
        <f>IF(OR($B969="",MIN(AC$38,$D$19)&lt;MAX($P$708*($B969+IF($R$17="Distrato",$I$38-1,0)),IF(AND($L$711=0,$P$708=0),"",$L$711-1),IF($R$17="Distrato",$E969,0))),0,YEARFRAC(MAX($P$708*($B969+IF($R$17="Distrato",$I$38-1,0)),IF(AND($L$711=0,$P$708=0),"",$L$711-1),IF($R$17="Distrato",$E969,0)),MIN(AC$38,$D$19),$P$20))-SUM($P969:AB969)</f>
        <v>#VALUE!</v>
      </c>
      <c r="AD969" s="446" t="e">
        <f>IF(OR($B969="",MIN(AD$38,$D$19)&lt;MAX($P$708*($B969+IF($R$17="Distrato",$I$38-1,0)),IF(AND($L$711=0,$P$708=0),"",$L$711-1),IF($R$17="Distrato",$E969,0))),0,YEARFRAC(MAX($P$708*($B969+IF($R$17="Distrato",$I$38-1,0)),IF(AND($L$711=0,$P$708=0),"",$L$711-1),IF($R$17="Distrato",$E969,0)),MIN(AD$38,$D$19),$P$20))-SUM($P969:AC969)</f>
        <v>#VALUE!</v>
      </c>
      <c r="AE969" s="446" t="e">
        <f>IF(OR($B969="",MIN(AE$38,$D$19)&lt;MAX($P$708*($B969+IF($R$17="Distrato",$I$38-1,0)),IF(AND($L$711=0,$P$708=0),"",$L$711-1),IF($R$17="Distrato",$E969,0))),0,YEARFRAC(MAX($P$708*($B969+IF($R$17="Distrato",$I$38-1,0)),IF(AND($L$711=0,$P$708=0),"",$L$711-1),IF($R$17="Distrato",$E969,0)),MIN(AE$38,$D$19),$P$20))-SUM($P969:AD969)</f>
        <v>#VALUE!</v>
      </c>
      <c r="AF969" s="446" t="e">
        <f>IF(OR($B969="",MIN(AF$38,$D$19)&lt;MAX($P$708*($B969+IF($R$17="Distrato",$I$38-1,0)),IF(AND($L$711=0,$P$708=0),"",$L$711-1),IF($R$17="Distrato",$E969,0))),0,YEARFRAC(MAX($P$708*($B969+IF($R$17="Distrato",$I$38-1,0)),IF(AND($L$711=0,$P$708=0),"",$L$711-1),IF($R$17="Distrato",$E969,0)),MIN(AF$38,$D$19),$P$20))-SUM($P969:AE969)</f>
        <v>#VALUE!</v>
      </c>
      <c r="AG969" s="446" t="e">
        <f>IF(OR($B969="",MIN(AG$38,$D$19)&lt;MAX($P$708*($B969+IF($R$17="Distrato",$I$38-1,0)),IF(AND($L$711=0,$P$708=0),"",$L$711-1),IF($R$17="Distrato",$E969,0))),0,YEARFRAC(MAX($P$708*($B969+IF($R$17="Distrato",$I$38-1,0)),IF(AND($L$711=0,$P$708=0),"",$L$711-1),IF($R$17="Distrato",$E969,0)),MIN(AG$38,$D$19),$P$20))-SUM($P969:AF969)</f>
        <v>#VALUE!</v>
      </c>
      <c r="AH969" s="446" t="e">
        <f>IF(OR($B969="",MIN(AH$38,$D$19)&lt;MAX($P$708*($B969+IF($R$17="Distrato",$I$38-1,0)),IF(AND($L$711=0,$P$708=0),"",$L$711-1),IF($R$17="Distrato",$E969,0))),0,YEARFRAC(MAX($P$708*($B969+IF($R$17="Distrato",$I$38-1,0)),IF(AND($L$711=0,$P$708=0),"",$L$711-1),IF($R$17="Distrato",$E969,0)),MIN(AH$38,$D$19),$P$20))-SUM($P969:AG969)</f>
        <v>#VALUE!</v>
      </c>
      <c r="AI969" s="446" t="e">
        <f>IF(OR($B969="",MIN(AI$38,$D$19)&lt;MAX($P$708*($B969+IF($R$17="Distrato",$I$38-1,0)),IF(AND($L$711=0,$P$708=0),"",$L$711-1),IF($R$17="Distrato",$E969,0))),0,YEARFRAC(MAX($P$708*($B969+IF($R$17="Distrato",$I$38-1,0)),IF(AND($L$711=0,$P$708=0),"",$L$711-1),IF($R$17="Distrato",$E969,0)),MIN(AI$38,$D$19),$P$20))-SUM($P969:AH969)</f>
        <v>#VALUE!</v>
      </c>
      <c r="AJ969" s="446" t="e">
        <f>IF(OR($B969="",MIN(AJ$38,$D$19)&lt;MAX($P$708*($B969+IF($R$17="Distrato",$I$38-1,0)),IF(AND($L$711=0,$P$708=0),"",$L$711-1),IF($R$17="Distrato",$E969,0))),0,YEARFRAC(MAX($P$708*($B969+IF($R$17="Distrato",$I$38-1,0)),IF(AND($L$711=0,$P$708=0),"",$L$711-1),IF($R$17="Distrato",$E969,0)),MIN(AJ$38,$D$19),$P$20))-SUM($P969:AI969)</f>
        <v>#VALUE!</v>
      </c>
      <c r="AK969" s="446" t="e">
        <f>IF(OR($B969="",MIN(AK$38,$D$19)&lt;MAX($P$708*($B969+IF($R$17="Distrato",$I$38-1,0)),IF(AND($L$711=0,$P$708=0),"",$L$711-1),IF($R$17="Distrato",$E969,0))),0,YEARFRAC(MAX($P$708*($B969+IF($R$17="Distrato",$I$38-1,0)),IF(AND($L$711=0,$P$708=0),"",$L$711-1),IF($R$17="Distrato",$E969,0)),MIN(AK$38,$D$19),$P$20))-SUM($P969:AJ969)</f>
        <v>#VALUE!</v>
      </c>
      <c r="AL969" s="446" t="e">
        <f>IF(OR($B969="",MIN(AL$38,$D$19)&lt;MAX($P$708*($B969+IF($R$17="Distrato",$I$38-1,0)),IF(AND($L$711=0,$P$708=0),"",$L$711-1),IF($R$17="Distrato",$E969,0))),0,YEARFRAC(MAX($P$708*($B969+IF($R$17="Distrato",$I$38-1,0)),IF(AND($L$711=0,$P$708=0),"",$L$711-1),IF($R$17="Distrato",$E969,0)),MIN(AL$38,$D$19),$P$20))-SUM($P969:AK969)</f>
        <v>#VALUE!</v>
      </c>
      <c r="AM969" s="446" t="e">
        <f>IF(OR($B969="",MIN(AM$38,$D$19)&lt;MAX($P$708*($B969+IF($R$17="Distrato",$I$38-1,0)),IF(AND($L$711=0,$P$708=0),"",$L$711-1),IF($R$17="Distrato",$E969,0))),0,YEARFRAC(MAX($P$708*($B969+IF($R$17="Distrato",$I$38-1,0)),IF(AND($L$711=0,$P$708=0),"",$L$711-1),IF($R$17="Distrato",$E969,0)),MIN(AM$38,$D$19),$P$20))-SUM($P969:AL969)</f>
        <v>#VALUE!</v>
      </c>
      <c r="AN969" s="446" t="e">
        <f>IF(OR($B969="",MIN(AN$38,$D$19)&lt;MAX($P$708*($B969+IF($R$17="Distrato",$I$38-1,0)),IF(AND($L$711=0,$P$708=0),"",$L$711-1),IF($R$17="Distrato",$E969,0))),0,YEARFRAC(MAX($P$708*($B969+IF($R$17="Distrato",$I$38-1,0)),IF(AND($L$711=0,$P$708=0),"",$L$711-1),IF($R$17="Distrato",$E969,0)),MIN(AN$38,$D$19),$P$20))-SUM($P969:AM969)</f>
        <v>#VALUE!</v>
      </c>
      <c r="AO969" s="446" t="e">
        <f>IF(OR($B969="",MIN(AO$38,$D$19)&lt;MAX($P$708*($B969+IF($R$17="Distrato",$I$38-1,0)),IF(AND($L$711=0,$P$708=0),"",$L$711-1),IF($R$17="Distrato",$E969,0))),0,YEARFRAC(MAX($P$708*($B969+IF($R$17="Distrato",$I$38-1,0)),IF(AND($L$711=0,$P$708=0),"",$L$711-1),IF($R$17="Distrato",$E969,0)),MIN(AO$38,$D$19),$P$20))-SUM($P969:AN969)</f>
        <v>#VALUE!</v>
      </c>
      <c r="AP969" s="446" t="e">
        <f>IF(OR($B969="",MIN(AP$38,$D$19)&lt;MAX($P$708*($B969+IF($R$17="Distrato",$I$38-1,0)),IF(AND($L$711=0,$P$708=0),"",$L$711-1),IF($R$17="Distrato",$E969,0))),0,YEARFRAC(MAX($P$708*($B969+IF($R$17="Distrato",$I$38-1,0)),IF(AND($L$711=0,$P$708=0),"",$L$711-1),IF($R$17="Distrato",$E969,0)),MIN(AP$38,$D$19),$P$20))-SUM($P969:AO969)</f>
        <v>#VALUE!</v>
      </c>
      <c r="AQ969" s="446" t="e">
        <f>IF(OR($B969="",MIN(AQ$38,$D$19)&lt;MAX($P$708*($B969+IF($R$17="Distrato",$I$38-1,0)),IF(AND($L$711=0,$P$708=0),"",$L$711-1),IF($R$17="Distrato",$E969,0))),0,YEARFRAC(MAX($P$708*($B969+IF($R$17="Distrato",$I$38-1,0)),IF(AND($L$711=0,$P$708=0),"",$L$711-1),IF($R$17="Distrato",$E969,0)),MIN(AQ$38,$D$19),$P$20))-SUM($P969:AP969)</f>
        <v>#VALUE!</v>
      </c>
      <c r="AR969" s="446" t="e">
        <f>IF(OR($B969="",MIN(AR$38,$D$19)&lt;MAX($P$708*($B969+IF($R$17="Distrato",$I$38-1,0)),IF(AND($L$711=0,$P$708=0),"",$L$711-1),IF($R$17="Distrato",$E969,0))),0,YEARFRAC(MAX($P$708*($B969+IF($R$17="Distrato",$I$38-1,0)),IF(AND($L$711=0,$P$708=0),"",$L$711-1),IF($R$17="Distrato",$E969,0)),MIN(AR$38,$D$19),$P$20))-SUM($P969:AQ969)</f>
        <v>#VALUE!</v>
      </c>
      <c r="AS969" s="446" t="e">
        <f>IF(OR($B969="",MIN(AS$38,$D$19)&lt;MAX($P$708*($B969+IF($R$17="Distrato",$I$38-1,0)),IF(AND($L$711=0,$P$708=0),"",$L$711-1),IF($R$17="Distrato",$E969,0))),0,YEARFRAC(MAX($P$708*($B969+IF($R$17="Distrato",$I$38-1,0)),IF(AND($L$711=0,$P$708=0),"",$L$711-1),IF($R$17="Distrato",$E969,0)),MIN(AS$38,$D$19),$P$20))-SUM($P969:AR969)</f>
        <v>#VALUE!</v>
      </c>
      <c r="AT969" s="446" t="e">
        <f>IF(OR($B969="",MIN(AT$38,$D$19)&lt;MAX($P$708*($B969+IF($R$17="Distrato",$I$38-1,0)),IF(AND($L$711=0,$P$708=0),"",$L$711-1),IF($R$17="Distrato",$E969,0))),0,YEARFRAC(MAX($P$708*($B969+IF($R$17="Distrato",$I$38-1,0)),IF(AND($L$711=0,$P$708=0),"",$L$711-1),IF($R$17="Distrato",$E969,0)),MIN(AT$38,$D$19),$P$20))-SUM($P969:AS969)</f>
        <v>#VALUE!</v>
      </c>
      <c r="AU969" s="446" t="e">
        <f>IF(OR($B969="",MIN(AU$38,$D$19)&lt;MAX($P$708*($B969+IF($R$17="Distrato",$I$38-1,0)),IF(AND($L$711=0,$P$708=0),"",$L$711-1),IF($R$17="Distrato",$E969,0))),0,YEARFRAC(MAX($P$708*($B969+IF($R$17="Distrato",$I$38-1,0)),IF(AND($L$711=0,$P$708=0),"",$L$711-1),IF($R$17="Distrato",$E969,0)),MIN(AU$38,$D$19),$P$20))-SUM($P969:AT969)</f>
        <v>#VALUE!</v>
      </c>
      <c r="AV969" s="446" t="e">
        <f>IF(OR($B969="",MIN(AV$38,$D$19)&lt;MAX($P$708*($B969+IF($R$17="Distrato",$I$38-1,0)),IF(AND($L$711=0,$P$708=0),"",$L$711-1),IF($R$17="Distrato",$E969,0))),0,YEARFRAC(MAX($P$708*($B969+IF($R$17="Distrato",$I$38-1,0)),IF(AND($L$711=0,$P$708=0),"",$L$711-1),IF($R$17="Distrato",$E969,0)),MIN(AV$38,$D$19),$P$20))-SUM($P969:AU969)</f>
        <v>#VALUE!</v>
      </c>
      <c r="AW969" s="446" t="e">
        <f>IF(OR($B969="",MIN(AW$38,$D$19)&lt;MAX($P$708*($B969+IF($R$17="Distrato",$I$38-1,0)),IF(AND($L$711=0,$P$708=0),"",$L$711-1),IF($R$17="Distrato",$E969,0))),0,YEARFRAC(MAX($P$708*($B969+IF($R$17="Distrato",$I$38-1,0)),IF(AND($L$711=0,$P$708=0),"",$L$711-1),IF($R$17="Distrato",$E969,0)),MIN(AW$38,$D$19),$P$20))-SUM($P969:AV969)</f>
        <v>#VALUE!</v>
      </c>
      <c r="AX969" s="446" t="e">
        <f>IF(OR($B969="",MIN(AX$38,$D$19)&lt;MAX($P$708*($B969+IF($R$17="Distrato",$I$38-1,0)),IF(AND($L$711=0,$P$708=0),"",$L$711-1),IF($R$17="Distrato",$E969,0))),0,YEARFRAC(MAX($P$708*($B969+IF($R$17="Distrato",$I$38-1,0)),IF(AND($L$711=0,$P$708=0),"",$L$711-1),IF($R$17="Distrato",$E969,0)),MIN(AX$38,$D$19),$P$20))-SUM($P969:AW969)</f>
        <v>#VALUE!</v>
      </c>
      <c r="AY969" s="446" t="e">
        <f>IF(OR($B969="",MIN(AY$38,$D$19)&lt;MAX($P$708*($B969+IF($R$17="Distrato",$I$38-1,0)),IF(AND($L$711=0,$P$708=0),"",$L$711-1),IF($R$17="Distrato",$E969,0))),0,YEARFRAC(MAX($P$708*($B969+IF($R$17="Distrato",$I$38-1,0)),IF(AND($L$711=0,$P$708=0),"",$L$711-1),IF($R$17="Distrato",$E969,0)),MIN(AY$38,$D$19),$P$20))-SUM($P969:AX969)</f>
        <v>#VALUE!</v>
      </c>
      <c r="AZ969" s="446" t="e">
        <f>IF(OR($B969="",MIN(AZ$38,$D$19)&lt;MAX($P$708*($B969+IF($R$17="Distrato",$I$38-1,0)),IF(AND($L$711=0,$P$708=0),"",$L$711-1),IF($R$17="Distrato",$E969,0))),0,YEARFRAC(MAX($P$708*($B969+IF($R$17="Distrato",$I$38-1,0)),IF(AND($L$711=0,$P$708=0),"",$L$711-1),IF($R$17="Distrato",$E969,0)),MIN(AZ$38,$D$19),$P$20))-SUM($P969:AY969)</f>
        <v>#VALUE!</v>
      </c>
      <c r="BA969" s="446" t="e">
        <f>IF(OR($B969="",MIN(BA$38,$D$19)&lt;MAX($P$708*($B969+IF($R$17="Distrato",$I$38-1,0)),IF(AND($L$711=0,$P$708=0),"",$L$711-1),IF($R$17="Distrato",$E969,0))),0,YEARFRAC(MAX($P$708*($B969+IF($R$17="Distrato",$I$38-1,0)),IF(AND($L$711=0,$P$708=0),"",$L$711-1),IF($R$17="Distrato",$E969,0)),MIN(BA$38,$D$19),$P$20))-SUM($P969:AZ969)</f>
        <v>#VALUE!</v>
      </c>
      <c r="BB969" s="447"/>
    </row>
    <row r="970" spans="1:54" s="446" customFormat="1" ht="11.25" hidden="1" customHeight="1" x14ac:dyDescent="0.2">
      <c r="A970" s="235"/>
      <c r="B970" s="236"/>
      <c r="C970" s="29" t="str">
        <f>IF(B970="","",IF($L$709=$BL$25,VLOOKUP(DATE(YEAR($D$19),MONTH($D$19)-1,1),ÍNDICES!$A:$DE,HLOOKUP($BL$25,ÍNDICES!$B$3:$T$4,2)+11)-VLOOKUP(B970,ÍNDICES!$A:$DE,HLOOKUP($BL$25,ÍNDICES!$B$3:$T$4,2)+11)+1%,IF(C$712=$W$26,$J$35,IF(ISERROR(IF(B970&gt;$D$19,1,VLOOKUP(DATE(YEAR(B970),MONTH(B970)+IF($C$709=$S$23,1,0),1),ÍNDICES!$A:$DE,$Z$709+1))),"",IF(B970&gt;$D$19,1,VLOOKUP(DATE(YEAR(B970),MONTH(B970)+IF($C$709=$S$23,1,0),1),ÍNDICES!$A:$DE,$Z$709+1))))))</f>
        <v/>
      </c>
      <c r="D970" s="155"/>
      <c r="E970" s="88"/>
      <c r="F970" s="88"/>
      <c r="G970" s="88"/>
      <c r="H970" s="118"/>
      <c r="I970" s="182">
        <f t="shared" ref="I970:I1033" si="143">IF(ISERROR(D970-G970),"",D970-G970)</f>
        <v>0</v>
      </c>
      <c r="J970" s="20">
        <f t="shared" ref="J970:J1033" ca="1" si="144">IF(ISERROR(IF(I970="","",I970*IF(B970&gt;$D$19,1,$J$709)/C970)),0,IF(I970="","",I970*IF(B970&gt;$D$19,1,$J$709)/C970))</f>
        <v>0</v>
      </c>
      <c r="K970" s="5">
        <f t="shared" ref="K970:K1033" ca="1" si="145">IF(ISERROR(J970*K$712),0,J970*K$712)</f>
        <v>0</v>
      </c>
      <c r="L970" s="61">
        <f t="shared" ref="L970:L1033" ca="1" si="146">IF(L$709="SELIC - TRIBUTOS",0,IFERROR(K970*SUMPRODUCT($P$37:$BA$37,$P970:$BA970),0))</f>
        <v>0</v>
      </c>
      <c r="M970" s="64">
        <f t="shared" ref="M970:M1033" si="147">IFERROR(SUM(P970:BA970),0)</f>
        <v>0</v>
      </c>
      <c r="N970" s="151"/>
      <c r="O970" s="5">
        <f t="shared" ref="O970:O1033" ca="1" si="148">IF(ISERROR((K970+L970)*N$712),"",(K970+L970)*N$712)</f>
        <v>0</v>
      </c>
      <c r="P970" s="446" t="e">
        <f t="shared" ref="P970:P1033" si="149">IF(OR($B970="",MIN(P$38,$D$19)&lt;MAX($P$708*($B970+IF($R$17="Distrato",$I$38-1,0)),IF(AND($L$711=0,$P$708=0),"",$L$711-1),IF($R$17="Distrato",$E970,0))),0,YEARFRAC(MAX($P$708*($B970+IF($R$17="Distrato",$I$38-1,0)),IF(AND($L$711=0,$P$708=0),"",$L$711-1),IF($R$17="Distrato",$E970,0)),MIN(P$38,$D$19),$P$20))</f>
        <v>#VALUE!</v>
      </c>
      <c r="Q970" s="446" t="e">
        <f>IF(OR($B970="",MIN(Q$38,$D$19)&lt;MAX($P$708*($B970+IF($R$17="Distrato",$I$38-1,0)),IF(AND($L$711=0,$P$708=0),"",$L$711-1),IF($R$17="Distrato",$E970,0))),0,YEARFRAC(MAX($P$708*($B970+IF($R$17="Distrato",$I$38-1,0)),IF(AND($L$711=0,$P$708=0),"",$L$711-1),IF($R$17="Distrato",$E970,0)),MIN(Q$38,$D$19),$P$20))-SUM($P970:P970)</f>
        <v>#VALUE!</v>
      </c>
      <c r="R970" s="446" t="e">
        <f>IF(OR($B970="",MIN(R$38,$D$19)&lt;MAX($P$708*($B970+IF($R$17="Distrato",$I$38-1,0)),IF(AND($L$711=0,$P$708=0),"",$L$711-1),IF($R$17="Distrato",$E970,0))),0,YEARFRAC(MAX($P$708*($B970+IF($R$17="Distrato",$I$38-1,0)),IF(AND($L$711=0,$P$708=0),"",$L$711-1),IF($R$17="Distrato",$E970,0)),MIN(R$38,$D$19),$P$20))-SUM($P970:Q970)</f>
        <v>#VALUE!</v>
      </c>
      <c r="S970" s="446" t="e">
        <f>IF(OR($B970="",MIN(S$38,$D$19)&lt;MAX($P$708*($B970+IF($R$17="Distrato",$I$38-1,0)),IF(AND($L$711=0,$P$708=0),"",$L$711-1),IF($R$17="Distrato",$E970,0))),0,YEARFRAC(MAX($P$708*($B970+IF($R$17="Distrato",$I$38-1,0)),IF(AND($L$711=0,$P$708=0),"",$L$711-1),IF($R$17="Distrato",$E970,0)),MIN(S$38,$D$19),$P$20))-SUM($P970:R970)</f>
        <v>#VALUE!</v>
      </c>
      <c r="T970" s="446" t="e">
        <f>IF(OR($B970="",MIN(T$38,$D$19)&lt;MAX($P$708*($B970+IF($R$17="Distrato",$I$38-1,0)),IF(AND($L$711=0,$P$708=0),"",$L$711-1),IF($R$17="Distrato",$E970,0))),0,YEARFRAC(MAX($P$708*($B970+IF($R$17="Distrato",$I$38-1,0)),IF(AND($L$711=0,$P$708=0),"",$L$711-1),IF($R$17="Distrato",$E970,0)),MIN(T$38,$D$19),$P$20))-SUM($P970:S970)</f>
        <v>#VALUE!</v>
      </c>
      <c r="U970" s="446" t="e">
        <f>IF(OR($B970="",MIN(U$38,$D$19)&lt;MAX($P$708*($B970+IF($R$17="Distrato",$I$38-1,0)),IF(AND($L$711=0,$P$708=0),"",$L$711-1),IF($R$17="Distrato",$E970,0))),0,YEARFRAC(MAX($P$708*($B970+IF($R$17="Distrato",$I$38-1,0)),IF(AND($L$711=0,$P$708=0),"",$L$711-1),IF($R$17="Distrato",$E970,0)),MIN(U$38,$D$19),$P$20))-SUM($P970:T970)</f>
        <v>#VALUE!</v>
      </c>
      <c r="V970" s="446" t="e">
        <f>IF(OR($B970="",MIN(V$38,$D$19)&lt;MAX($P$708*($B970+IF($R$17="Distrato",$I$38-1,0)),IF(AND($L$711=0,$P$708=0),"",$L$711-1),IF($R$17="Distrato",$E970,0))),0,YEARFRAC(MAX($P$708*($B970+IF($R$17="Distrato",$I$38-1,0)),IF(AND($L$711=0,$P$708=0),"",$L$711-1),IF($R$17="Distrato",$E970,0)),MIN(V$38,$D$19),$P$20))-SUM($P970:U970)</f>
        <v>#VALUE!</v>
      </c>
      <c r="W970" s="446" t="e">
        <f>IF(OR($B970="",MIN(W$38,$D$19)&lt;MAX($P$708*($B970+IF($R$17="Distrato",$I$38-1,0)),IF(AND($L$711=0,$P$708=0),"",$L$711-1),IF($R$17="Distrato",$E970,0))),0,YEARFRAC(MAX($P$708*($B970+IF($R$17="Distrato",$I$38-1,0)),IF(AND($L$711=0,$P$708=0),"",$L$711-1),IF($R$17="Distrato",$E970,0)),MIN(W$38,$D$19),$P$20))-SUM($P970:V970)</f>
        <v>#VALUE!</v>
      </c>
      <c r="X970" s="446" t="e">
        <f>IF(OR($B970="",MIN(X$38,$D$19)&lt;MAX($P$708*($B970+IF($R$17="Distrato",$I$38-1,0)),IF(AND($L$711=0,$P$708=0),"",$L$711-1),IF($R$17="Distrato",$E970,0))),0,YEARFRAC(MAX($P$708*($B970+IF($R$17="Distrato",$I$38-1,0)),IF(AND($L$711=0,$P$708=0),"",$L$711-1),IF($R$17="Distrato",$E970,0)),MIN(X$38,$D$19),$P$20))-SUM($P970:W970)</f>
        <v>#VALUE!</v>
      </c>
      <c r="Y970" s="446" t="e">
        <f>IF(OR($B970="",MIN(Y$38,$D$19)&lt;MAX($P$708*($B970+IF($R$17="Distrato",$I$38-1,0)),IF(AND($L$711=0,$P$708=0),"",$L$711-1),IF($R$17="Distrato",$E970,0))),0,YEARFRAC(MAX($P$708*($B970+IF($R$17="Distrato",$I$38-1,0)),IF(AND($L$711=0,$P$708=0),"",$L$711-1),IF($R$17="Distrato",$E970,0)),MIN(Y$38,$D$19),$P$20))-SUM($P970:X970)</f>
        <v>#VALUE!</v>
      </c>
      <c r="Z970" s="446" t="e">
        <f>IF(OR($B970="",MIN(Z$38,$D$19)&lt;MAX($P$708*($B970+IF($R$17="Distrato",$I$38-1,0)),IF(AND($L$711=0,$P$708=0),"",$L$711-1),IF($R$17="Distrato",$E970,0))),0,YEARFRAC(MAX($P$708*($B970+IF($R$17="Distrato",$I$38-1,0)),IF(AND($L$711=0,$P$708=0),"",$L$711-1),IF($R$17="Distrato",$E970,0)),MIN(Z$38,$D$19),$P$20))-SUM($P970:Y970)</f>
        <v>#VALUE!</v>
      </c>
      <c r="AA970" s="446" t="e">
        <f>IF(OR($B970="",MIN(AA$38,$D$19)&lt;MAX($P$708*($B970+IF($R$17="Distrato",$I$38-1,0)),IF(AND($L$711=0,$P$708=0),"",$L$711-1),IF($R$17="Distrato",$E970,0))),0,YEARFRAC(MAX($P$708*($B970+IF($R$17="Distrato",$I$38-1,0)),IF(AND($L$711=0,$P$708=0),"",$L$711-1),IF($R$17="Distrato",$E970,0)),MIN(AA$38,$D$19),$P$20))-SUM($P970:Z970)</f>
        <v>#VALUE!</v>
      </c>
      <c r="AB970" s="446" t="e">
        <f>IF(OR($B970="",MIN(AB$38,$D$19)&lt;MAX($P$708*($B970+IF($R$17="Distrato",$I$38-1,0)),IF(AND($L$711=0,$P$708=0),"",$L$711-1),IF($R$17="Distrato",$E970,0))),0,YEARFRAC(MAX($P$708*($B970+IF($R$17="Distrato",$I$38-1,0)),IF(AND($L$711=0,$P$708=0),"",$L$711-1),IF($R$17="Distrato",$E970,0)),MIN(AB$38,$D$19),$P$20))-SUM($P970:AA970)</f>
        <v>#VALUE!</v>
      </c>
      <c r="AC970" s="446" t="e">
        <f>IF(OR($B970="",MIN(AC$38,$D$19)&lt;MAX($P$708*($B970+IF($R$17="Distrato",$I$38-1,0)),IF(AND($L$711=0,$P$708=0),"",$L$711-1),IF($R$17="Distrato",$E970,0))),0,YEARFRAC(MAX($P$708*($B970+IF($R$17="Distrato",$I$38-1,0)),IF(AND($L$711=0,$P$708=0),"",$L$711-1),IF($R$17="Distrato",$E970,0)),MIN(AC$38,$D$19),$P$20))-SUM($P970:AB970)</f>
        <v>#VALUE!</v>
      </c>
      <c r="AD970" s="446" t="e">
        <f>IF(OR($B970="",MIN(AD$38,$D$19)&lt;MAX($P$708*($B970+IF($R$17="Distrato",$I$38-1,0)),IF(AND($L$711=0,$P$708=0),"",$L$711-1),IF($R$17="Distrato",$E970,0))),0,YEARFRAC(MAX($P$708*($B970+IF($R$17="Distrato",$I$38-1,0)),IF(AND($L$711=0,$P$708=0),"",$L$711-1),IF($R$17="Distrato",$E970,0)),MIN(AD$38,$D$19),$P$20))-SUM($P970:AC970)</f>
        <v>#VALUE!</v>
      </c>
      <c r="AE970" s="446" t="e">
        <f>IF(OR($B970="",MIN(AE$38,$D$19)&lt;MAX($P$708*($B970+IF($R$17="Distrato",$I$38-1,0)),IF(AND($L$711=0,$P$708=0),"",$L$711-1),IF($R$17="Distrato",$E970,0))),0,YEARFRAC(MAX($P$708*($B970+IF($R$17="Distrato",$I$38-1,0)),IF(AND($L$711=0,$P$708=0),"",$L$711-1),IF($R$17="Distrato",$E970,0)),MIN(AE$38,$D$19),$P$20))-SUM($P970:AD970)</f>
        <v>#VALUE!</v>
      </c>
      <c r="AF970" s="446" t="e">
        <f>IF(OR($B970="",MIN(AF$38,$D$19)&lt;MAX($P$708*($B970+IF($R$17="Distrato",$I$38-1,0)),IF(AND($L$711=0,$P$708=0),"",$L$711-1),IF($R$17="Distrato",$E970,0))),0,YEARFRAC(MAX($P$708*($B970+IF($R$17="Distrato",$I$38-1,0)),IF(AND($L$711=0,$P$708=0),"",$L$711-1),IF($R$17="Distrato",$E970,0)),MIN(AF$38,$D$19),$P$20))-SUM($P970:AE970)</f>
        <v>#VALUE!</v>
      </c>
      <c r="AG970" s="446" t="e">
        <f>IF(OR($B970="",MIN(AG$38,$D$19)&lt;MAX($P$708*($B970+IF($R$17="Distrato",$I$38-1,0)),IF(AND($L$711=0,$P$708=0),"",$L$711-1),IF($R$17="Distrato",$E970,0))),0,YEARFRAC(MAX($P$708*($B970+IF($R$17="Distrato",$I$38-1,0)),IF(AND($L$711=0,$P$708=0),"",$L$711-1),IF($R$17="Distrato",$E970,0)),MIN(AG$38,$D$19),$P$20))-SUM($P970:AF970)</f>
        <v>#VALUE!</v>
      </c>
      <c r="AH970" s="446" t="e">
        <f>IF(OR($B970="",MIN(AH$38,$D$19)&lt;MAX($P$708*($B970+IF($R$17="Distrato",$I$38-1,0)),IF(AND($L$711=0,$P$708=0),"",$L$711-1),IF($R$17="Distrato",$E970,0))),0,YEARFRAC(MAX($P$708*($B970+IF($R$17="Distrato",$I$38-1,0)),IF(AND($L$711=0,$P$708=0),"",$L$711-1),IF($R$17="Distrato",$E970,0)),MIN(AH$38,$D$19),$P$20))-SUM($P970:AG970)</f>
        <v>#VALUE!</v>
      </c>
      <c r="AI970" s="446" t="e">
        <f>IF(OR($B970="",MIN(AI$38,$D$19)&lt;MAX($P$708*($B970+IF($R$17="Distrato",$I$38-1,0)),IF(AND($L$711=0,$P$708=0),"",$L$711-1),IF($R$17="Distrato",$E970,0))),0,YEARFRAC(MAX($P$708*($B970+IF($R$17="Distrato",$I$38-1,0)),IF(AND($L$711=0,$P$708=0),"",$L$711-1),IF($R$17="Distrato",$E970,0)),MIN(AI$38,$D$19),$P$20))-SUM($P970:AH970)</f>
        <v>#VALUE!</v>
      </c>
      <c r="AJ970" s="446" t="e">
        <f>IF(OR($B970="",MIN(AJ$38,$D$19)&lt;MAX($P$708*($B970+IF($R$17="Distrato",$I$38-1,0)),IF(AND($L$711=0,$P$708=0),"",$L$711-1),IF($R$17="Distrato",$E970,0))),0,YEARFRAC(MAX($P$708*($B970+IF($R$17="Distrato",$I$38-1,0)),IF(AND($L$711=0,$P$708=0),"",$L$711-1),IF($R$17="Distrato",$E970,0)),MIN(AJ$38,$D$19),$P$20))-SUM($P970:AI970)</f>
        <v>#VALUE!</v>
      </c>
      <c r="AK970" s="446" t="e">
        <f>IF(OR($B970="",MIN(AK$38,$D$19)&lt;MAX($P$708*($B970+IF($R$17="Distrato",$I$38-1,0)),IF(AND($L$711=0,$P$708=0),"",$L$711-1),IF($R$17="Distrato",$E970,0))),0,YEARFRAC(MAX($P$708*($B970+IF($R$17="Distrato",$I$38-1,0)),IF(AND($L$711=0,$P$708=0),"",$L$711-1),IF($R$17="Distrato",$E970,0)),MIN(AK$38,$D$19),$P$20))-SUM($P970:AJ970)</f>
        <v>#VALUE!</v>
      </c>
      <c r="AL970" s="446" t="e">
        <f>IF(OR($B970="",MIN(AL$38,$D$19)&lt;MAX($P$708*($B970+IF($R$17="Distrato",$I$38-1,0)),IF(AND($L$711=0,$P$708=0),"",$L$711-1),IF($R$17="Distrato",$E970,0))),0,YEARFRAC(MAX($P$708*($B970+IF($R$17="Distrato",$I$38-1,0)),IF(AND($L$711=0,$P$708=0),"",$L$711-1),IF($R$17="Distrato",$E970,0)),MIN(AL$38,$D$19),$P$20))-SUM($P970:AK970)</f>
        <v>#VALUE!</v>
      </c>
      <c r="AM970" s="446" t="e">
        <f>IF(OR($B970="",MIN(AM$38,$D$19)&lt;MAX($P$708*($B970+IF($R$17="Distrato",$I$38-1,0)),IF(AND($L$711=0,$P$708=0),"",$L$711-1),IF($R$17="Distrato",$E970,0))),0,YEARFRAC(MAX($P$708*($B970+IF($R$17="Distrato",$I$38-1,0)),IF(AND($L$711=0,$P$708=0),"",$L$711-1),IF($R$17="Distrato",$E970,0)),MIN(AM$38,$D$19),$P$20))-SUM($P970:AL970)</f>
        <v>#VALUE!</v>
      </c>
      <c r="AN970" s="446" t="e">
        <f>IF(OR($B970="",MIN(AN$38,$D$19)&lt;MAX($P$708*($B970+IF($R$17="Distrato",$I$38-1,0)),IF(AND($L$711=0,$P$708=0),"",$L$711-1),IF($R$17="Distrato",$E970,0))),0,YEARFRAC(MAX($P$708*($B970+IF($R$17="Distrato",$I$38-1,0)),IF(AND($L$711=0,$P$708=0),"",$L$711-1),IF($R$17="Distrato",$E970,0)),MIN(AN$38,$D$19),$P$20))-SUM($P970:AM970)</f>
        <v>#VALUE!</v>
      </c>
      <c r="AO970" s="446" t="e">
        <f>IF(OR($B970="",MIN(AO$38,$D$19)&lt;MAX($P$708*($B970+IF($R$17="Distrato",$I$38-1,0)),IF(AND($L$711=0,$P$708=0),"",$L$711-1),IF($R$17="Distrato",$E970,0))),0,YEARFRAC(MAX($P$708*($B970+IF($R$17="Distrato",$I$38-1,0)),IF(AND($L$711=0,$P$708=0),"",$L$711-1),IF($R$17="Distrato",$E970,0)),MIN(AO$38,$D$19),$P$20))-SUM($P970:AN970)</f>
        <v>#VALUE!</v>
      </c>
      <c r="AP970" s="446" t="e">
        <f>IF(OR($B970="",MIN(AP$38,$D$19)&lt;MAX($P$708*($B970+IF($R$17="Distrato",$I$38-1,0)),IF(AND($L$711=0,$P$708=0),"",$L$711-1),IF($R$17="Distrato",$E970,0))),0,YEARFRAC(MAX($P$708*($B970+IF($R$17="Distrato",$I$38-1,0)),IF(AND($L$711=0,$P$708=0),"",$L$711-1),IF($R$17="Distrato",$E970,0)),MIN(AP$38,$D$19),$P$20))-SUM($P970:AO970)</f>
        <v>#VALUE!</v>
      </c>
      <c r="AQ970" s="446" t="e">
        <f>IF(OR($B970="",MIN(AQ$38,$D$19)&lt;MAX($P$708*($B970+IF($R$17="Distrato",$I$38-1,0)),IF(AND($L$711=0,$P$708=0),"",$L$711-1),IF($R$17="Distrato",$E970,0))),0,YEARFRAC(MAX($P$708*($B970+IF($R$17="Distrato",$I$38-1,0)),IF(AND($L$711=0,$P$708=0),"",$L$711-1),IF($R$17="Distrato",$E970,0)),MIN(AQ$38,$D$19),$P$20))-SUM($P970:AP970)</f>
        <v>#VALUE!</v>
      </c>
      <c r="AR970" s="446" t="e">
        <f>IF(OR($B970="",MIN(AR$38,$D$19)&lt;MAX($P$708*($B970+IF($R$17="Distrato",$I$38-1,0)),IF(AND($L$711=0,$P$708=0),"",$L$711-1),IF($R$17="Distrato",$E970,0))),0,YEARFRAC(MAX($P$708*($B970+IF($R$17="Distrato",$I$38-1,0)),IF(AND($L$711=0,$P$708=0),"",$L$711-1),IF($R$17="Distrato",$E970,0)),MIN(AR$38,$D$19),$P$20))-SUM($P970:AQ970)</f>
        <v>#VALUE!</v>
      </c>
      <c r="AS970" s="446" t="e">
        <f>IF(OR($B970="",MIN(AS$38,$D$19)&lt;MAX($P$708*($B970+IF($R$17="Distrato",$I$38-1,0)),IF(AND($L$711=0,$P$708=0),"",$L$711-1),IF($R$17="Distrato",$E970,0))),0,YEARFRAC(MAX($P$708*($B970+IF($R$17="Distrato",$I$38-1,0)),IF(AND($L$711=0,$P$708=0),"",$L$711-1),IF($R$17="Distrato",$E970,0)),MIN(AS$38,$D$19),$P$20))-SUM($P970:AR970)</f>
        <v>#VALUE!</v>
      </c>
      <c r="AT970" s="446" t="e">
        <f>IF(OR($B970="",MIN(AT$38,$D$19)&lt;MAX($P$708*($B970+IF($R$17="Distrato",$I$38-1,0)),IF(AND($L$711=0,$P$708=0),"",$L$711-1),IF($R$17="Distrato",$E970,0))),0,YEARFRAC(MAX($P$708*($B970+IF($R$17="Distrato",$I$38-1,0)),IF(AND($L$711=0,$P$708=0),"",$L$711-1),IF($R$17="Distrato",$E970,0)),MIN(AT$38,$D$19),$P$20))-SUM($P970:AS970)</f>
        <v>#VALUE!</v>
      </c>
      <c r="AU970" s="446" t="e">
        <f>IF(OR($B970="",MIN(AU$38,$D$19)&lt;MAX($P$708*($B970+IF($R$17="Distrato",$I$38-1,0)),IF(AND($L$711=0,$P$708=0),"",$L$711-1),IF($R$17="Distrato",$E970,0))),0,YEARFRAC(MAX($P$708*($B970+IF($R$17="Distrato",$I$38-1,0)),IF(AND($L$711=0,$P$708=0),"",$L$711-1),IF($R$17="Distrato",$E970,0)),MIN(AU$38,$D$19),$P$20))-SUM($P970:AT970)</f>
        <v>#VALUE!</v>
      </c>
      <c r="AV970" s="446" t="e">
        <f>IF(OR($B970="",MIN(AV$38,$D$19)&lt;MAX($P$708*($B970+IF($R$17="Distrato",$I$38-1,0)),IF(AND($L$711=0,$P$708=0),"",$L$711-1),IF($R$17="Distrato",$E970,0))),0,YEARFRAC(MAX($P$708*($B970+IF($R$17="Distrato",$I$38-1,0)),IF(AND($L$711=0,$P$708=0),"",$L$711-1),IF($R$17="Distrato",$E970,0)),MIN(AV$38,$D$19),$P$20))-SUM($P970:AU970)</f>
        <v>#VALUE!</v>
      </c>
      <c r="AW970" s="446" t="e">
        <f>IF(OR($B970="",MIN(AW$38,$D$19)&lt;MAX($P$708*($B970+IF($R$17="Distrato",$I$38-1,0)),IF(AND($L$711=0,$P$708=0),"",$L$711-1),IF($R$17="Distrato",$E970,0))),0,YEARFRAC(MAX($P$708*($B970+IF($R$17="Distrato",$I$38-1,0)),IF(AND($L$711=0,$P$708=0),"",$L$711-1),IF($R$17="Distrato",$E970,0)),MIN(AW$38,$D$19),$P$20))-SUM($P970:AV970)</f>
        <v>#VALUE!</v>
      </c>
      <c r="AX970" s="446" t="e">
        <f>IF(OR($B970="",MIN(AX$38,$D$19)&lt;MAX($P$708*($B970+IF($R$17="Distrato",$I$38-1,0)),IF(AND($L$711=0,$P$708=0),"",$L$711-1),IF($R$17="Distrato",$E970,0))),0,YEARFRAC(MAX($P$708*($B970+IF($R$17="Distrato",$I$38-1,0)),IF(AND($L$711=0,$P$708=0),"",$L$711-1),IF($R$17="Distrato",$E970,0)),MIN(AX$38,$D$19),$P$20))-SUM($P970:AW970)</f>
        <v>#VALUE!</v>
      </c>
      <c r="AY970" s="446" t="e">
        <f>IF(OR($B970="",MIN(AY$38,$D$19)&lt;MAX($P$708*($B970+IF($R$17="Distrato",$I$38-1,0)),IF(AND($L$711=0,$P$708=0),"",$L$711-1),IF($R$17="Distrato",$E970,0))),0,YEARFRAC(MAX($P$708*($B970+IF($R$17="Distrato",$I$38-1,0)),IF(AND($L$711=0,$P$708=0),"",$L$711-1),IF($R$17="Distrato",$E970,0)),MIN(AY$38,$D$19),$P$20))-SUM($P970:AX970)</f>
        <v>#VALUE!</v>
      </c>
      <c r="AZ970" s="446" t="e">
        <f>IF(OR($B970="",MIN(AZ$38,$D$19)&lt;MAX($P$708*($B970+IF($R$17="Distrato",$I$38-1,0)),IF(AND($L$711=0,$P$708=0),"",$L$711-1),IF($R$17="Distrato",$E970,0))),0,YEARFRAC(MAX($P$708*($B970+IF($R$17="Distrato",$I$38-1,0)),IF(AND($L$711=0,$P$708=0),"",$L$711-1),IF($R$17="Distrato",$E970,0)),MIN(AZ$38,$D$19),$P$20))-SUM($P970:AY970)</f>
        <v>#VALUE!</v>
      </c>
      <c r="BA970" s="446" t="e">
        <f>IF(OR($B970="",MIN(BA$38,$D$19)&lt;MAX($P$708*($B970+IF($R$17="Distrato",$I$38-1,0)),IF(AND($L$711=0,$P$708=0),"",$L$711-1),IF($R$17="Distrato",$E970,0))),0,YEARFRAC(MAX($P$708*($B970+IF($R$17="Distrato",$I$38-1,0)),IF(AND($L$711=0,$P$708=0),"",$L$711-1),IF($R$17="Distrato",$E970,0)),MIN(BA$38,$D$19),$P$20))-SUM($P970:AZ970)</f>
        <v>#VALUE!</v>
      </c>
      <c r="BB970" s="447"/>
    </row>
    <row r="971" spans="1:54" s="446" customFormat="1" ht="11.25" hidden="1" customHeight="1" x14ac:dyDescent="0.2">
      <c r="A971" s="235"/>
      <c r="B971" s="236"/>
      <c r="C971" s="29" t="str">
        <f>IF(B971="","",IF($L$709=$BL$25,VLOOKUP(DATE(YEAR($D$19),MONTH($D$19)-1,1),ÍNDICES!$A:$DE,HLOOKUP($BL$25,ÍNDICES!$B$3:$T$4,2)+11)-VLOOKUP(B971,ÍNDICES!$A:$DE,HLOOKUP($BL$25,ÍNDICES!$B$3:$T$4,2)+11)+1%,IF(C$712=$W$26,$J$35,IF(ISERROR(IF(B971&gt;$D$19,1,VLOOKUP(DATE(YEAR(B971),MONTH(B971)+IF($C$709=$S$23,1,0),1),ÍNDICES!$A:$DE,$Z$709+1))),"",IF(B971&gt;$D$19,1,VLOOKUP(DATE(YEAR(B971),MONTH(B971)+IF($C$709=$S$23,1,0),1),ÍNDICES!$A:$DE,$Z$709+1))))))</f>
        <v/>
      </c>
      <c r="D971" s="155"/>
      <c r="E971" s="88"/>
      <c r="F971" s="88"/>
      <c r="G971" s="88"/>
      <c r="H971" s="118"/>
      <c r="I971" s="182">
        <f t="shared" si="143"/>
        <v>0</v>
      </c>
      <c r="J971" s="20">
        <f t="shared" ca="1" si="144"/>
        <v>0</v>
      </c>
      <c r="K971" s="5">
        <f t="shared" ca="1" si="145"/>
        <v>0</v>
      </c>
      <c r="L971" s="61">
        <f t="shared" ca="1" si="146"/>
        <v>0</v>
      </c>
      <c r="M971" s="64">
        <f t="shared" si="147"/>
        <v>0</v>
      </c>
      <c r="N971" s="151"/>
      <c r="O971" s="5">
        <f t="shared" ca="1" si="148"/>
        <v>0</v>
      </c>
      <c r="P971" s="446" t="e">
        <f t="shared" si="149"/>
        <v>#VALUE!</v>
      </c>
      <c r="Q971" s="446" t="e">
        <f>IF(OR($B971="",MIN(Q$38,$D$19)&lt;MAX($P$708*($B971+IF($R$17="Distrato",$I$38-1,0)),IF(AND($L$711=0,$P$708=0),"",$L$711-1),IF($R$17="Distrato",$E971,0))),0,YEARFRAC(MAX($P$708*($B971+IF($R$17="Distrato",$I$38-1,0)),IF(AND($L$711=0,$P$708=0),"",$L$711-1),IF($R$17="Distrato",$E971,0)),MIN(Q$38,$D$19),$P$20))-SUM($P971:P971)</f>
        <v>#VALUE!</v>
      </c>
      <c r="R971" s="446" t="e">
        <f>IF(OR($B971="",MIN(R$38,$D$19)&lt;MAX($P$708*($B971+IF($R$17="Distrato",$I$38-1,0)),IF(AND($L$711=0,$P$708=0),"",$L$711-1),IF($R$17="Distrato",$E971,0))),0,YEARFRAC(MAX($P$708*($B971+IF($R$17="Distrato",$I$38-1,0)),IF(AND($L$711=0,$P$708=0),"",$L$711-1),IF($R$17="Distrato",$E971,0)),MIN(R$38,$D$19),$P$20))-SUM($P971:Q971)</f>
        <v>#VALUE!</v>
      </c>
      <c r="S971" s="446" t="e">
        <f>IF(OR($B971="",MIN(S$38,$D$19)&lt;MAX($P$708*($B971+IF($R$17="Distrato",$I$38-1,0)),IF(AND($L$711=0,$P$708=0),"",$L$711-1),IF($R$17="Distrato",$E971,0))),0,YEARFRAC(MAX($P$708*($B971+IF($R$17="Distrato",$I$38-1,0)),IF(AND($L$711=0,$P$708=0),"",$L$711-1),IF($R$17="Distrato",$E971,0)),MIN(S$38,$D$19),$P$20))-SUM($P971:R971)</f>
        <v>#VALUE!</v>
      </c>
      <c r="T971" s="446" t="e">
        <f>IF(OR($B971="",MIN(T$38,$D$19)&lt;MAX($P$708*($B971+IF($R$17="Distrato",$I$38-1,0)),IF(AND($L$711=0,$P$708=0),"",$L$711-1),IF($R$17="Distrato",$E971,0))),0,YEARFRAC(MAX($P$708*($B971+IF($R$17="Distrato",$I$38-1,0)),IF(AND($L$711=0,$P$708=0),"",$L$711-1),IF($R$17="Distrato",$E971,0)),MIN(T$38,$D$19),$P$20))-SUM($P971:S971)</f>
        <v>#VALUE!</v>
      </c>
      <c r="U971" s="446" t="e">
        <f>IF(OR($B971="",MIN(U$38,$D$19)&lt;MAX($P$708*($B971+IF($R$17="Distrato",$I$38-1,0)),IF(AND($L$711=0,$P$708=0),"",$L$711-1),IF($R$17="Distrato",$E971,0))),0,YEARFRAC(MAX($P$708*($B971+IF($R$17="Distrato",$I$38-1,0)),IF(AND($L$711=0,$P$708=0),"",$L$711-1),IF($R$17="Distrato",$E971,0)),MIN(U$38,$D$19),$P$20))-SUM($P971:T971)</f>
        <v>#VALUE!</v>
      </c>
      <c r="V971" s="446" t="e">
        <f>IF(OR($B971="",MIN(V$38,$D$19)&lt;MAX($P$708*($B971+IF($R$17="Distrato",$I$38-1,0)),IF(AND($L$711=0,$P$708=0),"",$L$711-1),IF($R$17="Distrato",$E971,0))),0,YEARFRAC(MAX($P$708*($B971+IF($R$17="Distrato",$I$38-1,0)),IF(AND($L$711=0,$P$708=0),"",$L$711-1),IF($R$17="Distrato",$E971,0)),MIN(V$38,$D$19),$P$20))-SUM($P971:U971)</f>
        <v>#VALUE!</v>
      </c>
      <c r="W971" s="446" t="e">
        <f>IF(OR($B971="",MIN(W$38,$D$19)&lt;MAX($P$708*($B971+IF($R$17="Distrato",$I$38-1,0)),IF(AND($L$711=0,$P$708=0),"",$L$711-1),IF($R$17="Distrato",$E971,0))),0,YEARFRAC(MAX($P$708*($B971+IF($R$17="Distrato",$I$38-1,0)),IF(AND($L$711=0,$P$708=0),"",$L$711-1),IF($R$17="Distrato",$E971,0)),MIN(W$38,$D$19),$P$20))-SUM($P971:V971)</f>
        <v>#VALUE!</v>
      </c>
      <c r="X971" s="446" t="e">
        <f>IF(OR($B971="",MIN(X$38,$D$19)&lt;MAX($P$708*($B971+IF($R$17="Distrato",$I$38-1,0)),IF(AND($L$711=0,$P$708=0),"",$L$711-1),IF($R$17="Distrato",$E971,0))),0,YEARFRAC(MAX($P$708*($B971+IF($R$17="Distrato",$I$38-1,0)),IF(AND($L$711=0,$P$708=0),"",$L$711-1),IF($R$17="Distrato",$E971,0)),MIN(X$38,$D$19),$P$20))-SUM($P971:W971)</f>
        <v>#VALUE!</v>
      </c>
      <c r="Y971" s="446" t="e">
        <f>IF(OR($B971="",MIN(Y$38,$D$19)&lt;MAX($P$708*($B971+IF($R$17="Distrato",$I$38-1,0)),IF(AND($L$711=0,$P$708=0),"",$L$711-1),IF($R$17="Distrato",$E971,0))),0,YEARFRAC(MAX($P$708*($B971+IF($R$17="Distrato",$I$38-1,0)),IF(AND($L$711=0,$P$708=0),"",$L$711-1),IF($R$17="Distrato",$E971,0)),MIN(Y$38,$D$19),$P$20))-SUM($P971:X971)</f>
        <v>#VALUE!</v>
      </c>
      <c r="Z971" s="446" t="e">
        <f>IF(OR($B971="",MIN(Z$38,$D$19)&lt;MAX($P$708*($B971+IF($R$17="Distrato",$I$38-1,0)),IF(AND($L$711=0,$P$708=0),"",$L$711-1),IF($R$17="Distrato",$E971,0))),0,YEARFRAC(MAX($P$708*($B971+IF($R$17="Distrato",$I$38-1,0)),IF(AND($L$711=0,$P$708=0),"",$L$711-1),IF($R$17="Distrato",$E971,0)),MIN(Z$38,$D$19),$P$20))-SUM($P971:Y971)</f>
        <v>#VALUE!</v>
      </c>
      <c r="AA971" s="446" t="e">
        <f>IF(OR($B971="",MIN(AA$38,$D$19)&lt;MAX($P$708*($B971+IF($R$17="Distrato",$I$38-1,0)),IF(AND($L$711=0,$P$708=0),"",$L$711-1),IF($R$17="Distrato",$E971,0))),0,YEARFRAC(MAX($P$708*($B971+IF($R$17="Distrato",$I$38-1,0)),IF(AND($L$711=0,$P$708=0),"",$L$711-1),IF($R$17="Distrato",$E971,0)),MIN(AA$38,$D$19),$P$20))-SUM($P971:Z971)</f>
        <v>#VALUE!</v>
      </c>
      <c r="AB971" s="446" t="e">
        <f>IF(OR($B971="",MIN(AB$38,$D$19)&lt;MAX($P$708*($B971+IF($R$17="Distrato",$I$38-1,0)),IF(AND($L$711=0,$P$708=0),"",$L$711-1),IF($R$17="Distrato",$E971,0))),0,YEARFRAC(MAX($P$708*($B971+IF($R$17="Distrato",$I$38-1,0)),IF(AND($L$711=0,$P$708=0),"",$L$711-1),IF($R$17="Distrato",$E971,0)),MIN(AB$38,$D$19),$P$20))-SUM($P971:AA971)</f>
        <v>#VALUE!</v>
      </c>
      <c r="AC971" s="446" t="e">
        <f>IF(OR($B971="",MIN(AC$38,$D$19)&lt;MAX($P$708*($B971+IF($R$17="Distrato",$I$38-1,0)),IF(AND($L$711=0,$P$708=0),"",$L$711-1),IF($R$17="Distrato",$E971,0))),0,YEARFRAC(MAX($P$708*($B971+IF($R$17="Distrato",$I$38-1,0)),IF(AND($L$711=0,$P$708=0),"",$L$711-1),IF($R$17="Distrato",$E971,0)),MIN(AC$38,$D$19),$P$20))-SUM($P971:AB971)</f>
        <v>#VALUE!</v>
      </c>
      <c r="AD971" s="446" t="e">
        <f>IF(OR($B971="",MIN(AD$38,$D$19)&lt;MAX($P$708*($B971+IF($R$17="Distrato",$I$38-1,0)),IF(AND($L$711=0,$P$708=0),"",$L$711-1),IF($R$17="Distrato",$E971,0))),0,YEARFRAC(MAX($P$708*($B971+IF($R$17="Distrato",$I$38-1,0)),IF(AND($L$711=0,$P$708=0),"",$L$711-1),IF($R$17="Distrato",$E971,0)),MIN(AD$38,$D$19),$P$20))-SUM($P971:AC971)</f>
        <v>#VALUE!</v>
      </c>
      <c r="AE971" s="446" t="e">
        <f>IF(OR($B971="",MIN(AE$38,$D$19)&lt;MAX($P$708*($B971+IF($R$17="Distrato",$I$38-1,0)),IF(AND($L$711=0,$P$708=0),"",$L$711-1),IF($R$17="Distrato",$E971,0))),0,YEARFRAC(MAX($P$708*($B971+IF($R$17="Distrato",$I$38-1,0)),IF(AND($L$711=0,$P$708=0),"",$L$711-1),IF($R$17="Distrato",$E971,0)),MIN(AE$38,$D$19),$P$20))-SUM($P971:AD971)</f>
        <v>#VALUE!</v>
      </c>
      <c r="AF971" s="446" t="e">
        <f>IF(OR($B971="",MIN(AF$38,$D$19)&lt;MAX($P$708*($B971+IF($R$17="Distrato",$I$38-1,0)),IF(AND($L$711=0,$P$708=0),"",$L$711-1),IF($R$17="Distrato",$E971,0))),0,YEARFRAC(MAX($P$708*($B971+IF($R$17="Distrato",$I$38-1,0)),IF(AND($L$711=0,$P$708=0),"",$L$711-1),IF($R$17="Distrato",$E971,0)),MIN(AF$38,$D$19),$P$20))-SUM($P971:AE971)</f>
        <v>#VALUE!</v>
      </c>
      <c r="AG971" s="446" t="e">
        <f>IF(OR($B971="",MIN(AG$38,$D$19)&lt;MAX($P$708*($B971+IF($R$17="Distrato",$I$38-1,0)),IF(AND($L$711=0,$P$708=0),"",$L$711-1),IF($R$17="Distrato",$E971,0))),0,YEARFRAC(MAX($P$708*($B971+IF($R$17="Distrato",$I$38-1,0)),IF(AND($L$711=0,$P$708=0),"",$L$711-1),IF($R$17="Distrato",$E971,0)),MIN(AG$38,$D$19),$P$20))-SUM($P971:AF971)</f>
        <v>#VALUE!</v>
      </c>
      <c r="AH971" s="446" t="e">
        <f>IF(OR($B971="",MIN(AH$38,$D$19)&lt;MAX($P$708*($B971+IF($R$17="Distrato",$I$38-1,0)),IF(AND($L$711=0,$P$708=0),"",$L$711-1),IF($R$17="Distrato",$E971,0))),0,YEARFRAC(MAX($P$708*($B971+IF($R$17="Distrato",$I$38-1,0)),IF(AND($L$711=0,$P$708=0),"",$L$711-1),IF($R$17="Distrato",$E971,0)),MIN(AH$38,$D$19),$P$20))-SUM($P971:AG971)</f>
        <v>#VALUE!</v>
      </c>
      <c r="AI971" s="446" t="e">
        <f>IF(OR($B971="",MIN(AI$38,$D$19)&lt;MAX($P$708*($B971+IF($R$17="Distrato",$I$38-1,0)),IF(AND($L$711=0,$P$708=0),"",$L$711-1),IF($R$17="Distrato",$E971,0))),0,YEARFRAC(MAX($P$708*($B971+IF($R$17="Distrato",$I$38-1,0)),IF(AND($L$711=0,$P$708=0),"",$L$711-1),IF($R$17="Distrato",$E971,0)),MIN(AI$38,$D$19),$P$20))-SUM($P971:AH971)</f>
        <v>#VALUE!</v>
      </c>
      <c r="AJ971" s="446" t="e">
        <f>IF(OR($B971="",MIN(AJ$38,$D$19)&lt;MAX($P$708*($B971+IF($R$17="Distrato",$I$38-1,0)),IF(AND($L$711=0,$P$708=0),"",$L$711-1),IF($R$17="Distrato",$E971,0))),0,YEARFRAC(MAX($P$708*($B971+IF($R$17="Distrato",$I$38-1,0)),IF(AND($L$711=0,$P$708=0),"",$L$711-1),IF($R$17="Distrato",$E971,0)),MIN(AJ$38,$D$19),$P$20))-SUM($P971:AI971)</f>
        <v>#VALUE!</v>
      </c>
      <c r="AK971" s="446" t="e">
        <f>IF(OR($B971="",MIN(AK$38,$D$19)&lt;MAX($P$708*($B971+IF($R$17="Distrato",$I$38-1,0)),IF(AND($L$711=0,$P$708=0),"",$L$711-1),IF($R$17="Distrato",$E971,0))),0,YEARFRAC(MAX($P$708*($B971+IF($R$17="Distrato",$I$38-1,0)),IF(AND($L$711=0,$P$708=0),"",$L$711-1),IF($R$17="Distrato",$E971,0)),MIN(AK$38,$D$19),$P$20))-SUM($P971:AJ971)</f>
        <v>#VALUE!</v>
      </c>
      <c r="AL971" s="446" t="e">
        <f>IF(OR($B971="",MIN(AL$38,$D$19)&lt;MAX($P$708*($B971+IF($R$17="Distrato",$I$38-1,0)),IF(AND($L$711=0,$P$708=0),"",$L$711-1),IF($R$17="Distrato",$E971,0))),0,YEARFRAC(MAX($P$708*($B971+IF($R$17="Distrato",$I$38-1,0)),IF(AND($L$711=0,$P$708=0),"",$L$711-1),IF($R$17="Distrato",$E971,0)),MIN(AL$38,$D$19),$P$20))-SUM($P971:AK971)</f>
        <v>#VALUE!</v>
      </c>
      <c r="AM971" s="446" t="e">
        <f>IF(OR($B971="",MIN(AM$38,$D$19)&lt;MAX($P$708*($B971+IF($R$17="Distrato",$I$38-1,0)),IF(AND($L$711=0,$P$708=0),"",$L$711-1),IF($R$17="Distrato",$E971,0))),0,YEARFRAC(MAX($P$708*($B971+IF($R$17="Distrato",$I$38-1,0)),IF(AND($L$711=0,$P$708=0),"",$L$711-1),IF($R$17="Distrato",$E971,0)),MIN(AM$38,$D$19),$P$20))-SUM($P971:AL971)</f>
        <v>#VALUE!</v>
      </c>
      <c r="AN971" s="446" t="e">
        <f>IF(OR($B971="",MIN(AN$38,$D$19)&lt;MAX($P$708*($B971+IF($R$17="Distrato",$I$38-1,0)),IF(AND($L$711=0,$P$708=0),"",$L$711-1),IF($R$17="Distrato",$E971,0))),0,YEARFRAC(MAX($P$708*($B971+IF($R$17="Distrato",$I$38-1,0)),IF(AND($L$711=0,$P$708=0),"",$L$711-1),IF($R$17="Distrato",$E971,0)),MIN(AN$38,$D$19),$P$20))-SUM($P971:AM971)</f>
        <v>#VALUE!</v>
      </c>
      <c r="AO971" s="446" t="e">
        <f>IF(OR($B971="",MIN(AO$38,$D$19)&lt;MAX($P$708*($B971+IF($R$17="Distrato",$I$38-1,0)),IF(AND($L$711=0,$P$708=0),"",$L$711-1),IF($R$17="Distrato",$E971,0))),0,YEARFRAC(MAX($P$708*($B971+IF($R$17="Distrato",$I$38-1,0)),IF(AND($L$711=0,$P$708=0),"",$L$711-1),IF($R$17="Distrato",$E971,0)),MIN(AO$38,$D$19),$P$20))-SUM($P971:AN971)</f>
        <v>#VALUE!</v>
      </c>
      <c r="AP971" s="446" t="e">
        <f>IF(OR($B971="",MIN(AP$38,$D$19)&lt;MAX($P$708*($B971+IF($R$17="Distrato",$I$38-1,0)),IF(AND($L$711=0,$P$708=0),"",$L$711-1),IF($R$17="Distrato",$E971,0))),0,YEARFRAC(MAX($P$708*($B971+IF($R$17="Distrato",$I$38-1,0)),IF(AND($L$711=0,$P$708=0),"",$L$711-1),IF($R$17="Distrato",$E971,0)),MIN(AP$38,$D$19),$P$20))-SUM($P971:AO971)</f>
        <v>#VALUE!</v>
      </c>
      <c r="AQ971" s="446" t="e">
        <f>IF(OR($B971="",MIN(AQ$38,$D$19)&lt;MAX($P$708*($B971+IF($R$17="Distrato",$I$38-1,0)),IF(AND($L$711=0,$P$708=0),"",$L$711-1),IF($R$17="Distrato",$E971,0))),0,YEARFRAC(MAX($P$708*($B971+IF($R$17="Distrato",$I$38-1,0)),IF(AND($L$711=0,$P$708=0),"",$L$711-1),IF($R$17="Distrato",$E971,0)),MIN(AQ$38,$D$19),$P$20))-SUM($P971:AP971)</f>
        <v>#VALUE!</v>
      </c>
      <c r="AR971" s="446" t="e">
        <f>IF(OR($B971="",MIN(AR$38,$D$19)&lt;MAX($P$708*($B971+IF($R$17="Distrato",$I$38-1,0)),IF(AND($L$711=0,$P$708=0),"",$L$711-1),IF($R$17="Distrato",$E971,0))),0,YEARFRAC(MAX($P$708*($B971+IF($R$17="Distrato",$I$38-1,0)),IF(AND($L$711=0,$P$708=0),"",$L$711-1),IF($R$17="Distrato",$E971,0)),MIN(AR$38,$D$19),$P$20))-SUM($P971:AQ971)</f>
        <v>#VALUE!</v>
      </c>
      <c r="AS971" s="446" t="e">
        <f>IF(OR($B971="",MIN(AS$38,$D$19)&lt;MAX($P$708*($B971+IF($R$17="Distrato",$I$38-1,0)),IF(AND($L$711=0,$P$708=0),"",$L$711-1),IF($R$17="Distrato",$E971,0))),0,YEARFRAC(MAX($P$708*($B971+IF($R$17="Distrato",$I$38-1,0)),IF(AND($L$711=0,$P$708=0),"",$L$711-1),IF($R$17="Distrato",$E971,0)),MIN(AS$38,$D$19),$P$20))-SUM($P971:AR971)</f>
        <v>#VALUE!</v>
      </c>
      <c r="AT971" s="446" t="e">
        <f>IF(OR($B971="",MIN(AT$38,$D$19)&lt;MAX($P$708*($B971+IF($R$17="Distrato",$I$38-1,0)),IF(AND($L$711=0,$P$708=0),"",$L$711-1),IF($R$17="Distrato",$E971,0))),0,YEARFRAC(MAX($P$708*($B971+IF($R$17="Distrato",$I$38-1,0)),IF(AND($L$711=0,$P$708=0),"",$L$711-1),IF($R$17="Distrato",$E971,0)),MIN(AT$38,$D$19),$P$20))-SUM($P971:AS971)</f>
        <v>#VALUE!</v>
      </c>
      <c r="AU971" s="446" t="e">
        <f>IF(OR($B971="",MIN(AU$38,$D$19)&lt;MAX($P$708*($B971+IF($R$17="Distrato",$I$38-1,0)),IF(AND($L$711=0,$P$708=0),"",$L$711-1),IF($R$17="Distrato",$E971,0))),0,YEARFRAC(MAX($P$708*($B971+IF($R$17="Distrato",$I$38-1,0)),IF(AND($L$711=0,$P$708=0),"",$L$711-1),IF($R$17="Distrato",$E971,0)),MIN(AU$38,$D$19),$P$20))-SUM($P971:AT971)</f>
        <v>#VALUE!</v>
      </c>
      <c r="AV971" s="446" t="e">
        <f>IF(OR($B971="",MIN(AV$38,$D$19)&lt;MAX($P$708*($B971+IF($R$17="Distrato",$I$38-1,0)),IF(AND($L$711=0,$P$708=0),"",$L$711-1),IF($R$17="Distrato",$E971,0))),0,YEARFRAC(MAX($P$708*($B971+IF($R$17="Distrato",$I$38-1,0)),IF(AND($L$711=0,$P$708=0),"",$L$711-1),IF($R$17="Distrato",$E971,0)),MIN(AV$38,$D$19),$P$20))-SUM($P971:AU971)</f>
        <v>#VALUE!</v>
      </c>
      <c r="AW971" s="446" t="e">
        <f>IF(OR($B971="",MIN(AW$38,$D$19)&lt;MAX($P$708*($B971+IF($R$17="Distrato",$I$38-1,0)),IF(AND($L$711=0,$P$708=0),"",$L$711-1),IF($R$17="Distrato",$E971,0))),0,YEARFRAC(MAX($P$708*($B971+IF($R$17="Distrato",$I$38-1,0)),IF(AND($L$711=0,$P$708=0),"",$L$711-1),IF($R$17="Distrato",$E971,0)),MIN(AW$38,$D$19),$P$20))-SUM($P971:AV971)</f>
        <v>#VALUE!</v>
      </c>
      <c r="AX971" s="446" t="e">
        <f>IF(OR($B971="",MIN(AX$38,$D$19)&lt;MAX($P$708*($B971+IF($R$17="Distrato",$I$38-1,0)),IF(AND($L$711=0,$P$708=0),"",$L$711-1),IF($R$17="Distrato",$E971,0))),0,YEARFRAC(MAX($P$708*($B971+IF($R$17="Distrato",$I$38-1,0)),IF(AND($L$711=0,$P$708=0),"",$L$711-1),IF($R$17="Distrato",$E971,0)),MIN(AX$38,$D$19),$P$20))-SUM($P971:AW971)</f>
        <v>#VALUE!</v>
      </c>
      <c r="AY971" s="446" t="e">
        <f>IF(OR($B971="",MIN(AY$38,$D$19)&lt;MAX($P$708*($B971+IF($R$17="Distrato",$I$38-1,0)),IF(AND($L$711=0,$P$708=0),"",$L$711-1),IF($R$17="Distrato",$E971,0))),0,YEARFRAC(MAX($P$708*($B971+IF($R$17="Distrato",$I$38-1,0)),IF(AND($L$711=0,$P$708=0),"",$L$711-1),IF($R$17="Distrato",$E971,0)),MIN(AY$38,$D$19),$P$20))-SUM($P971:AX971)</f>
        <v>#VALUE!</v>
      </c>
      <c r="AZ971" s="446" t="e">
        <f>IF(OR($B971="",MIN(AZ$38,$D$19)&lt;MAX($P$708*($B971+IF($R$17="Distrato",$I$38-1,0)),IF(AND($L$711=0,$P$708=0),"",$L$711-1),IF($R$17="Distrato",$E971,0))),0,YEARFRAC(MAX($P$708*($B971+IF($R$17="Distrato",$I$38-1,0)),IF(AND($L$711=0,$P$708=0),"",$L$711-1),IF($R$17="Distrato",$E971,0)),MIN(AZ$38,$D$19),$P$20))-SUM($P971:AY971)</f>
        <v>#VALUE!</v>
      </c>
      <c r="BA971" s="446" t="e">
        <f>IF(OR($B971="",MIN(BA$38,$D$19)&lt;MAX($P$708*($B971+IF($R$17="Distrato",$I$38-1,0)),IF(AND($L$711=0,$P$708=0),"",$L$711-1),IF($R$17="Distrato",$E971,0))),0,YEARFRAC(MAX($P$708*($B971+IF($R$17="Distrato",$I$38-1,0)),IF(AND($L$711=0,$P$708=0),"",$L$711-1),IF($R$17="Distrato",$E971,0)),MIN(BA$38,$D$19),$P$20))-SUM($P971:AZ971)</f>
        <v>#VALUE!</v>
      </c>
      <c r="BB971" s="447"/>
    </row>
    <row r="972" spans="1:54" s="446" customFormat="1" ht="11.25" hidden="1" customHeight="1" x14ac:dyDescent="0.2">
      <c r="A972" s="235"/>
      <c r="B972" s="236"/>
      <c r="C972" s="29" t="str">
        <f>IF(B972="","",IF($L$709=$BL$25,VLOOKUP(DATE(YEAR($D$19),MONTH($D$19)-1,1),ÍNDICES!$A:$DE,HLOOKUP($BL$25,ÍNDICES!$B$3:$T$4,2)+11)-VLOOKUP(B972,ÍNDICES!$A:$DE,HLOOKUP($BL$25,ÍNDICES!$B$3:$T$4,2)+11)+1%,IF(C$712=$W$26,$J$35,IF(ISERROR(IF(B972&gt;$D$19,1,VLOOKUP(DATE(YEAR(B972),MONTH(B972)+IF($C$709=$S$23,1,0),1),ÍNDICES!$A:$DE,$Z$709+1))),"",IF(B972&gt;$D$19,1,VLOOKUP(DATE(YEAR(B972),MONTH(B972)+IF($C$709=$S$23,1,0),1),ÍNDICES!$A:$DE,$Z$709+1))))))</f>
        <v/>
      </c>
      <c r="D972" s="155"/>
      <c r="E972" s="88"/>
      <c r="F972" s="88"/>
      <c r="G972" s="88"/>
      <c r="H972" s="118"/>
      <c r="I972" s="182">
        <f t="shared" si="143"/>
        <v>0</v>
      </c>
      <c r="J972" s="20">
        <f t="shared" ca="1" si="144"/>
        <v>0</v>
      </c>
      <c r="K972" s="5">
        <f t="shared" ca="1" si="145"/>
        <v>0</v>
      </c>
      <c r="L972" s="61">
        <f t="shared" ca="1" si="146"/>
        <v>0</v>
      </c>
      <c r="M972" s="64">
        <f t="shared" si="147"/>
        <v>0</v>
      </c>
      <c r="N972" s="151"/>
      <c r="O972" s="5">
        <f t="shared" ca="1" si="148"/>
        <v>0</v>
      </c>
      <c r="P972" s="446" t="e">
        <f t="shared" si="149"/>
        <v>#VALUE!</v>
      </c>
      <c r="Q972" s="446" t="e">
        <f>IF(OR($B972="",MIN(Q$38,$D$19)&lt;MAX($P$708*($B972+IF($R$17="Distrato",$I$38-1,0)),IF(AND($L$711=0,$P$708=0),"",$L$711-1),IF($R$17="Distrato",$E972,0))),0,YEARFRAC(MAX($P$708*($B972+IF($R$17="Distrato",$I$38-1,0)),IF(AND($L$711=0,$P$708=0),"",$L$711-1),IF($R$17="Distrato",$E972,0)),MIN(Q$38,$D$19),$P$20))-SUM($P972:P972)</f>
        <v>#VALUE!</v>
      </c>
      <c r="R972" s="446" t="e">
        <f>IF(OR($B972="",MIN(R$38,$D$19)&lt;MAX($P$708*($B972+IF($R$17="Distrato",$I$38-1,0)),IF(AND($L$711=0,$P$708=0),"",$L$711-1),IF($R$17="Distrato",$E972,0))),0,YEARFRAC(MAX($P$708*($B972+IF($R$17="Distrato",$I$38-1,0)),IF(AND($L$711=0,$P$708=0),"",$L$711-1),IF($R$17="Distrato",$E972,0)),MIN(R$38,$D$19),$P$20))-SUM($P972:Q972)</f>
        <v>#VALUE!</v>
      </c>
      <c r="S972" s="446" t="e">
        <f>IF(OR($B972="",MIN(S$38,$D$19)&lt;MAX($P$708*($B972+IF($R$17="Distrato",$I$38-1,0)),IF(AND($L$711=0,$P$708=0),"",$L$711-1),IF($R$17="Distrato",$E972,0))),0,YEARFRAC(MAX($P$708*($B972+IF($R$17="Distrato",$I$38-1,0)),IF(AND($L$711=0,$P$708=0),"",$L$711-1),IF($R$17="Distrato",$E972,0)),MIN(S$38,$D$19),$P$20))-SUM($P972:R972)</f>
        <v>#VALUE!</v>
      </c>
      <c r="T972" s="446" t="e">
        <f>IF(OR($B972="",MIN(T$38,$D$19)&lt;MAX($P$708*($B972+IF($R$17="Distrato",$I$38-1,0)),IF(AND($L$711=0,$P$708=0),"",$L$711-1),IF($R$17="Distrato",$E972,0))),0,YEARFRAC(MAX($P$708*($B972+IF($R$17="Distrato",$I$38-1,0)),IF(AND($L$711=0,$P$708=0),"",$L$711-1),IF($R$17="Distrato",$E972,0)),MIN(T$38,$D$19),$P$20))-SUM($P972:S972)</f>
        <v>#VALUE!</v>
      </c>
      <c r="U972" s="446" t="e">
        <f>IF(OR($B972="",MIN(U$38,$D$19)&lt;MAX($P$708*($B972+IF($R$17="Distrato",$I$38-1,0)),IF(AND($L$711=0,$P$708=0),"",$L$711-1),IF($R$17="Distrato",$E972,0))),0,YEARFRAC(MAX($P$708*($B972+IF($R$17="Distrato",$I$38-1,0)),IF(AND($L$711=0,$P$708=0),"",$L$711-1),IF($R$17="Distrato",$E972,0)),MIN(U$38,$D$19),$P$20))-SUM($P972:T972)</f>
        <v>#VALUE!</v>
      </c>
      <c r="V972" s="446" t="e">
        <f>IF(OR($B972="",MIN(V$38,$D$19)&lt;MAX($P$708*($B972+IF($R$17="Distrato",$I$38-1,0)),IF(AND($L$711=0,$P$708=0),"",$L$711-1),IF($R$17="Distrato",$E972,0))),0,YEARFRAC(MAX($P$708*($B972+IF($R$17="Distrato",$I$38-1,0)),IF(AND($L$711=0,$P$708=0),"",$L$711-1),IF($R$17="Distrato",$E972,0)),MIN(V$38,$D$19),$P$20))-SUM($P972:U972)</f>
        <v>#VALUE!</v>
      </c>
      <c r="W972" s="446" t="e">
        <f>IF(OR($B972="",MIN(W$38,$D$19)&lt;MAX($P$708*($B972+IF($R$17="Distrato",$I$38-1,0)),IF(AND($L$711=0,$P$708=0),"",$L$711-1),IF($R$17="Distrato",$E972,0))),0,YEARFRAC(MAX($P$708*($B972+IF($R$17="Distrato",$I$38-1,0)),IF(AND($L$711=0,$P$708=0),"",$L$711-1),IF($R$17="Distrato",$E972,0)),MIN(W$38,$D$19),$P$20))-SUM($P972:V972)</f>
        <v>#VALUE!</v>
      </c>
      <c r="X972" s="446" t="e">
        <f>IF(OR($B972="",MIN(X$38,$D$19)&lt;MAX($P$708*($B972+IF($R$17="Distrato",$I$38-1,0)),IF(AND($L$711=0,$P$708=0),"",$L$711-1),IF($R$17="Distrato",$E972,0))),0,YEARFRAC(MAX($P$708*($B972+IF($R$17="Distrato",$I$38-1,0)),IF(AND($L$711=0,$P$708=0),"",$L$711-1),IF($R$17="Distrato",$E972,0)),MIN(X$38,$D$19),$P$20))-SUM($P972:W972)</f>
        <v>#VALUE!</v>
      </c>
      <c r="Y972" s="446" t="e">
        <f>IF(OR($B972="",MIN(Y$38,$D$19)&lt;MAX($P$708*($B972+IF($R$17="Distrato",$I$38-1,0)),IF(AND($L$711=0,$P$708=0),"",$L$711-1),IF($R$17="Distrato",$E972,0))),0,YEARFRAC(MAX($P$708*($B972+IF($R$17="Distrato",$I$38-1,0)),IF(AND($L$711=0,$P$708=0),"",$L$711-1),IF($R$17="Distrato",$E972,0)),MIN(Y$38,$D$19),$P$20))-SUM($P972:X972)</f>
        <v>#VALUE!</v>
      </c>
      <c r="Z972" s="446" t="e">
        <f>IF(OR($B972="",MIN(Z$38,$D$19)&lt;MAX($P$708*($B972+IF($R$17="Distrato",$I$38-1,0)),IF(AND($L$711=0,$P$708=0),"",$L$711-1),IF($R$17="Distrato",$E972,0))),0,YEARFRAC(MAX($P$708*($B972+IF($R$17="Distrato",$I$38-1,0)),IF(AND($L$711=0,$P$708=0),"",$L$711-1),IF($R$17="Distrato",$E972,0)),MIN(Z$38,$D$19),$P$20))-SUM($P972:Y972)</f>
        <v>#VALUE!</v>
      </c>
      <c r="AA972" s="446" t="e">
        <f>IF(OR($B972="",MIN(AA$38,$D$19)&lt;MAX($P$708*($B972+IF($R$17="Distrato",$I$38-1,0)),IF(AND($L$711=0,$P$708=0),"",$L$711-1),IF($R$17="Distrato",$E972,0))),0,YEARFRAC(MAX($P$708*($B972+IF($R$17="Distrato",$I$38-1,0)),IF(AND($L$711=0,$P$708=0),"",$L$711-1),IF($R$17="Distrato",$E972,0)),MIN(AA$38,$D$19),$P$20))-SUM($P972:Z972)</f>
        <v>#VALUE!</v>
      </c>
      <c r="AB972" s="446" t="e">
        <f>IF(OR($B972="",MIN(AB$38,$D$19)&lt;MAX($P$708*($B972+IF($R$17="Distrato",$I$38-1,0)),IF(AND($L$711=0,$P$708=0),"",$L$711-1),IF($R$17="Distrato",$E972,0))),0,YEARFRAC(MAX($P$708*($B972+IF($R$17="Distrato",$I$38-1,0)),IF(AND($L$711=0,$P$708=0),"",$L$711-1),IF($R$17="Distrato",$E972,0)),MIN(AB$38,$D$19),$P$20))-SUM($P972:AA972)</f>
        <v>#VALUE!</v>
      </c>
      <c r="AC972" s="446" t="e">
        <f>IF(OR($B972="",MIN(AC$38,$D$19)&lt;MAX($P$708*($B972+IF($R$17="Distrato",$I$38-1,0)),IF(AND($L$711=0,$P$708=0),"",$L$711-1),IF($R$17="Distrato",$E972,0))),0,YEARFRAC(MAX($P$708*($B972+IF($R$17="Distrato",$I$38-1,0)),IF(AND($L$711=0,$P$708=0),"",$L$711-1),IF($R$17="Distrato",$E972,0)),MIN(AC$38,$D$19),$P$20))-SUM($P972:AB972)</f>
        <v>#VALUE!</v>
      </c>
      <c r="AD972" s="446" t="e">
        <f>IF(OR($B972="",MIN(AD$38,$D$19)&lt;MAX($P$708*($B972+IF($R$17="Distrato",$I$38-1,0)),IF(AND($L$711=0,$P$708=0),"",$L$711-1),IF($R$17="Distrato",$E972,0))),0,YEARFRAC(MAX($P$708*($B972+IF($R$17="Distrato",$I$38-1,0)),IF(AND($L$711=0,$P$708=0),"",$L$711-1),IF($R$17="Distrato",$E972,0)),MIN(AD$38,$D$19),$P$20))-SUM($P972:AC972)</f>
        <v>#VALUE!</v>
      </c>
      <c r="AE972" s="446" t="e">
        <f>IF(OR($B972="",MIN(AE$38,$D$19)&lt;MAX($P$708*($B972+IF($R$17="Distrato",$I$38-1,0)),IF(AND($L$711=0,$P$708=0),"",$L$711-1),IF($R$17="Distrato",$E972,0))),0,YEARFRAC(MAX($P$708*($B972+IF($R$17="Distrato",$I$38-1,0)),IF(AND($L$711=0,$P$708=0),"",$L$711-1),IF($R$17="Distrato",$E972,0)),MIN(AE$38,$D$19),$P$20))-SUM($P972:AD972)</f>
        <v>#VALUE!</v>
      </c>
      <c r="AF972" s="446" t="e">
        <f>IF(OR($B972="",MIN(AF$38,$D$19)&lt;MAX($P$708*($B972+IF($R$17="Distrato",$I$38-1,0)),IF(AND($L$711=0,$P$708=0),"",$L$711-1),IF($R$17="Distrato",$E972,0))),0,YEARFRAC(MAX($P$708*($B972+IF($R$17="Distrato",$I$38-1,0)),IF(AND($L$711=0,$P$708=0),"",$L$711-1),IF($R$17="Distrato",$E972,0)),MIN(AF$38,$D$19),$P$20))-SUM($P972:AE972)</f>
        <v>#VALUE!</v>
      </c>
      <c r="AG972" s="446" t="e">
        <f>IF(OR($B972="",MIN(AG$38,$D$19)&lt;MAX($P$708*($B972+IF($R$17="Distrato",$I$38-1,0)),IF(AND($L$711=0,$P$708=0),"",$L$711-1),IF($R$17="Distrato",$E972,0))),0,YEARFRAC(MAX($P$708*($B972+IF($R$17="Distrato",$I$38-1,0)),IF(AND($L$711=0,$P$708=0),"",$L$711-1),IF($R$17="Distrato",$E972,0)),MIN(AG$38,$D$19),$P$20))-SUM($P972:AF972)</f>
        <v>#VALUE!</v>
      </c>
      <c r="AH972" s="446" t="e">
        <f>IF(OR($B972="",MIN(AH$38,$D$19)&lt;MAX($P$708*($B972+IF($R$17="Distrato",$I$38-1,0)),IF(AND($L$711=0,$P$708=0),"",$L$711-1),IF($R$17="Distrato",$E972,0))),0,YEARFRAC(MAX($P$708*($B972+IF($R$17="Distrato",$I$38-1,0)),IF(AND($L$711=0,$P$708=0),"",$L$711-1),IF($R$17="Distrato",$E972,0)),MIN(AH$38,$D$19),$P$20))-SUM($P972:AG972)</f>
        <v>#VALUE!</v>
      </c>
      <c r="AI972" s="446" t="e">
        <f>IF(OR($B972="",MIN(AI$38,$D$19)&lt;MAX($P$708*($B972+IF($R$17="Distrato",$I$38-1,0)),IF(AND($L$711=0,$P$708=0),"",$L$711-1),IF($R$17="Distrato",$E972,0))),0,YEARFRAC(MAX($P$708*($B972+IF($R$17="Distrato",$I$38-1,0)),IF(AND($L$711=0,$P$708=0),"",$L$711-1),IF($R$17="Distrato",$E972,0)),MIN(AI$38,$D$19),$P$20))-SUM($P972:AH972)</f>
        <v>#VALUE!</v>
      </c>
      <c r="AJ972" s="446" t="e">
        <f>IF(OR($B972="",MIN(AJ$38,$D$19)&lt;MAX($P$708*($B972+IF($R$17="Distrato",$I$38-1,0)),IF(AND($L$711=0,$P$708=0),"",$L$711-1),IF($R$17="Distrato",$E972,0))),0,YEARFRAC(MAX($P$708*($B972+IF($R$17="Distrato",$I$38-1,0)),IF(AND($L$711=0,$P$708=0),"",$L$711-1),IF($R$17="Distrato",$E972,0)),MIN(AJ$38,$D$19),$P$20))-SUM($P972:AI972)</f>
        <v>#VALUE!</v>
      </c>
      <c r="AK972" s="446" t="e">
        <f>IF(OR($B972="",MIN(AK$38,$D$19)&lt;MAX($P$708*($B972+IF($R$17="Distrato",$I$38-1,0)),IF(AND($L$711=0,$P$708=0),"",$L$711-1),IF($R$17="Distrato",$E972,0))),0,YEARFRAC(MAX($P$708*($B972+IF($R$17="Distrato",$I$38-1,0)),IF(AND($L$711=0,$P$708=0),"",$L$711-1),IF($R$17="Distrato",$E972,0)),MIN(AK$38,$D$19),$P$20))-SUM($P972:AJ972)</f>
        <v>#VALUE!</v>
      </c>
      <c r="AL972" s="446" t="e">
        <f>IF(OR($B972="",MIN(AL$38,$D$19)&lt;MAX($P$708*($B972+IF($R$17="Distrato",$I$38-1,0)),IF(AND($L$711=0,$P$708=0),"",$L$711-1),IF($R$17="Distrato",$E972,0))),0,YEARFRAC(MAX($P$708*($B972+IF($R$17="Distrato",$I$38-1,0)),IF(AND($L$711=0,$P$708=0),"",$L$711-1),IF($R$17="Distrato",$E972,0)),MIN(AL$38,$D$19),$P$20))-SUM($P972:AK972)</f>
        <v>#VALUE!</v>
      </c>
      <c r="AM972" s="446" t="e">
        <f>IF(OR($B972="",MIN(AM$38,$D$19)&lt;MAX($P$708*($B972+IF($R$17="Distrato",$I$38-1,0)),IF(AND($L$711=0,$P$708=0),"",$L$711-1),IF($R$17="Distrato",$E972,0))),0,YEARFRAC(MAX($P$708*($B972+IF($R$17="Distrato",$I$38-1,0)),IF(AND($L$711=0,$P$708=0),"",$L$711-1),IF($R$17="Distrato",$E972,0)),MIN(AM$38,$D$19),$P$20))-SUM($P972:AL972)</f>
        <v>#VALUE!</v>
      </c>
      <c r="AN972" s="446" t="e">
        <f>IF(OR($B972="",MIN(AN$38,$D$19)&lt;MAX($P$708*($B972+IF($R$17="Distrato",$I$38-1,0)),IF(AND($L$711=0,$P$708=0),"",$L$711-1),IF($R$17="Distrato",$E972,0))),0,YEARFRAC(MAX($P$708*($B972+IF($R$17="Distrato",$I$38-1,0)),IF(AND($L$711=0,$P$708=0),"",$L$711-1),IF($R$17="Distrato",$E972,0)),MIN(AN$38,$D$19),$P$20))-SUM($P972:AM972)</f>
        <v>#VALUE!</v>
      </c>
      <c r="AO972" s="446" t="e">
        <f>IF(OR($B972="",MIN(AO$38,$D$19)&lt;MAX($P$708*($B972+IF($R$17="Distrato",$I$38-1,0)),IF(AND($L$711=0,$P$708=0),"",$L$711-1),IF($R$17="Distrato",$E972,0))),0,YEARFRAC(MAX($P$708*($B972+IF($R$17="Distrato",$I$38-1,0)),IF(AND($L$711=0,$P$708=0),"",$L$711-1),IF($R$17="Distrato",$E972,0)),MIN(AO$38,$D$19),$P$20))-SUM($P972:AN972)</f>
        <v>#VALUE!</v>
      </c>
      <c r="AP972" s="446" t="e">
        <f>IF(OR($B972="",MIN(AP$38,$D$19)&lt;MAX($P$708*($B972+IF($R$17="Distrato",$I$38-1,0)),IF(AND($L$711=0,$P$708=0),"",$L$711-1),IF($R$17="Distrato",$E972,0))),0,YEARFRAC(MAX($P$708*($B972+IF($R$17="Distrato",$I$38-1,0)),IF(AND($L$711=0,$P$708=0),"",$L$711-1),IF($R$17="Distrato",$E972,0)),MIN(AP$38,$D$19),$P$20))-SUM($P972:AO972)</f>
        <v>#VALUE!</v>
      </c>
      <c r="AQ972" s="446" t="e">
        <f>IF(OR($B972="",MIN(AQ$38,$D$19)&lt;MAX($P$708*($B972+IF($R$17="Distrato",$I$38-1,0)),IF(AND($L$711=0,$P$708=0),"",$L$711-1),IF($R$17="Distrato",$E972,0))),0,YEARFRAC(MAX($P$708*($B972+IF($R$17="Distrato",$I$38-1,0)),IF(AND($L$711=0,$P$708=0),"",$L$711-1),IF($R$17="Distrato",$E972,0)),MIN(AQ$38,$D$19),$P$20))-SUM($P972:AP972)</f>
        <v>#VALUE!</v>
      </c>
      <c r="AR972" s="446" t="e">
        <f>IF(OR($B972="",MIN(AR$38,$D$19)&lt;MAX($P$708*($B972+IF($R$17="Distrato",$I$38-1,0)),IF(AND($L$711=0,$P$708=0),"",$L$711-1),IF($R$17="Distrato",$E972,0))),0,YEARFRAC(MAX($P$708*($B972+IF($R$17="Distrato",$I$38-1,0)),IF(AND($L$711=0,$P$708=0),"",$L$711-1),IF($R$17="Distrato",$E972,0)),MIN(AR$38,$D$19),$P$20))-SUM($P972:AQ972)</f>
        <v>#VALUE!</v>
      </c>
      <c r="AS972" s="446" t="e">
        <f>IF(OR($B972="",MIN(AS$38,$D$19)&lt;MAX($P$708*($B972+IF($R$17="Distrato",$I$38-1,0)),IF(AND($L$711=0,$P$708=0),"",$L$711-1),IF($R$17="Distrato",$E972,0))),0,YEARFRAC(MAX($P$708*($B972+IF($R$17="Distrato",$I$38-1,0)),IF(AND($L$711=0,$P$708=0),"",$L$711-1),IF($R$17="Distrato",$E972,0)),MIN(AS$38,$D$19),$P$20))-SUM($P972:AR972)</f>
        <v>#VALUE!</v>
      </c>
      <c r="AT972" s="446" t="e">
        <f>IF(OR($B972="",MIN(AT$38,$D$19)&lt;MAX($P$708*($B972+IF($R$17="Distrato",$I$38-1,0)),IF(AND($L$711=0,$P$708=0),"",$L$711-1),IF($R$17="Distrato",$E972,0))),0,YEARFRAC(MAX($P$708*($B972+IF($R$17="Distrato",$I$38-1,0)),IF(AND($L$711=0,$P$708=0),"",$L$711-1),IF($R$17="Distrato",$E972,0)),MIN(AT$38,$D$19),$P$20))-SUM($P972:AS972)</f>
        <v>#VALUE!</v>
      </c>
      <c r="AU972" s="446" t="e">
        <f>IF(OR($B972="",MIN(AU$38,$D$19)&lt;MAX($P$708*($B972+IF($R$17="Distrato",$I$38-1,0)),IF(AND($L$711=0,$P$708=0),"",$L$711-1),IF($R$17="Distrato",$E972,0))),0,YEARFRAC(MAX($P$708*($B972+IF($R$17="Distrato",$I$38-1,0)),IF(AND($L$711=0,$P$708=0),"",$L$711-1),IF($R$17="Distrato",$E972,0)),MIN(AU$38,$D$19),$P$20))-SUM($P972:AT972)</f>
        <v>#VALUE!</v>
      </c>
      <c r="AV972" s="446" t="e">
        <f>IF(OR($B972="",MIN(AV$38,$D$19)&lt;MAX($P$708*($B972+IF($R$17="Distrato",$I$38-1,0)),IF(AND($L$711=0,$P$708=0),"",$L$711-1),IF($R$17="Distrato",$E972,0))),0,YEARFRAC(MAX($P$708*($B972+IF($R$17="Distrato",$I$38-1,0)),IF(AND($L$711=0,$P$708=0),"",$L$711-1),IF($R$17="Distrato",$E972,0)),MIN(AV$38,$D$19),$P$20))-SUM($P972:AU972)</f>
        <v>#VALUE!</v>
      </c>
      <c r="AW972" s="446" t="e">
        <f>IF(OR($B972="",MIN(AW$38,$D$19)&lt;MAX($P$708*($B972+IF($R$17="Distrato",$I$38-1,0)),IF(AND($L$711=0,$P$708=0),"",$L$711-1),IF($R$17="Distrato",$E972,0))),0,YEARFRAC(MAX($P$708*($B972+IF($R$17="Distrato",$I$38-1,0)),IF(AND($L$711=0,$P$708=0),"",$L$711-1),IF($R$17="Distrato",$E972,0)),MIN(AW$38,$D$19),$P$20))-SUM($P972:AV972)</f>
        <v>#VALUE!</v>
      </c>
      <c r="AX972" s="446" t="e">
        <f>IF(OR($B972="",MIN(AX$38,$D$19)&lt;MAX($P$708*($B972+IF($R$17="Distrato",$I$38-1,0)),IF(AND($L$711=0,$P$708=0),"",$L$711-1),IF($R$17="Distrato",$E972,0))),0,YEARFRAC(MAX($P$708*($B972+IF($R$17="Distrato",$I$38-1,0)),IF(AND($L$711=0,$P$708=0),"",$L$711-1),IF($R$17="Distrato",$E972,0)),MIN(AX$38,$D$19),$P$20))-SUM($P972:AW972)</f>
        <v>#VALUE!</v>
      </c>
      <c r="AY972" s="446" t="e">
        <f>IF(OR($B972="",MIN(AY$38,$D$19)&lt;MAX($P$708*($B972+IF($R$17="Distrato",$I$38-1,0)),IF(AND($L$711=0,$P$708=0),"",$L$711-1),IF($R$17="Distrato",$E972,0))),0,YEARFRAC(MAX($P$708*($B972+IF($R$17="Distrato",$I$38-1,0)),IF(AND($L$711=0,$P$708=0),"",$L$711-1),IF($R$17="Distrato",$E972,0)),MIN(AY$38,$D$19),$P$20))-SUM($P972:AX972)</f>
        <v>#VALUE!</v>
      </c>
      <c r="AZ972" s="446" t="e">
        <f>IF(OR($B972="",MIN(AZ$38,$D$19)&lt;MAX($P$708*($B972+IF($R$17="Distrato",$I$38-1,0)),IF(AND($L$711=0,$P$708=0),"",$L$711-1),IF($R$17="Distrato",$E972,0))),0,YEARFRAC(MAX($P$708*($B972+IF($R$17="Distrato",$I$38-1,0)),IF(AND($L$711=0,$P$708=0),"",$L$711-1),IF($R$17="Distrato",$E972,0)),MIN(AZ$38,$D$19),$P$20))-SUM($P972:AY972)</f>
        <v>#VALUE!</v>
      </c>
      <c r="BA972" s="446" t="e">
        <f>IF(OR($B972="",MIN(BA$38,$D$19)&lt;MAX($P$708*($B972+IF($R$17="Distrato",$I$38-1,0)),IF(AND($L$711=0,$P$708=0),"",$L$711-1),IF($R$17="Distrato",$E972,0))),0,YEARFRAC(MAX($P$708*($B972+IF($R$17="Distrato",$I$38-1,0)),IF(AND($L$711=0,$P$708=0),"",$L$711-1),IF($R$17="Distrato",$E972,0)),MIN(BA$38,$D$19),$P$20))-SUM($P972:AZ972)</f>
        <v>#VALUE!</v>
      </c>
      <c r="BB972" s="447"/>
    </row>
    <row r="973" spans="1:54" s="446" customFormat="1" ht="11.25" hidden="1" customHeight="1" x14ac:dyDescent="0.2">
      <c r="A973" s="235"/>
      <c r="B973" s="236"/>
      <c r="C973" s="29" t="str">
        <f>IF(B973="","",IF($L$709=$BL$25,VLOOKUP(DATE(YEAR($D$19),MONTH($D$19)-1,1),ÍNDICES!$A:$DE,HLOOKUP($BL$25,ÍNDICES!$B$3:$T$4,2)+11)-VLOOKUP(B973,ÍNDICES!$A:$DE,HLOOKUP($BL$25,ÍNDICES!$B$3:$T$4,2)+11)+1%,IF(C$712=$W$26,$J$35,IF(ISERROR(IF(B973&gt;$D$19,1,VLOOKUP(DATE(YEAR(B973),MONTH(B973)+IF($C$709=$S$23,1,0),1),ÍNDICES!$A:$DE,$Z$709+1))),"",IF(B973&gt;$D$19,1,VLOOKUP(DATE(YEAR(B973),MONTH(B973)+IF($C$709=$S$23,1,0),1),ÍNDICES!$A:$DE,$Z$709+1))))))</f>
        <v/>
      </c>
      <c r="D973" s="155"/>
      <c r="E973" s="88"/>
      <c r="F973" s="88"/>
      <c r="G973" s="88"/>
      <c r="H973" s="118"/>
      <c r="I973" s="182">
        <f t="shared" si="143"/>
        <v>0</v>
      </c>
      <c r="J973" s="20">
        <f t="shared" ca="1" si="144"/>
        <v>0</v>
      </c>
      <c r="K973" s="5">
        <f t="shared" ca="1" si="145"/>
        <v>0</v>
      </c>
      <c r="L973" s="61">
        <f t="shared" ca="1" si="146"/>
        <v>0</v>
      </c>
      <c r="M973" s="64">
        <f t="shared" si="147"/>
        <v>0</v>
      </c>
      <c r="N973" s="151"/>
      <c r="O973" s="5">
        <f t="shared" ca="1" si="148"/>
        <v>0</v>
      </c>
      <c r="P973" s="446" t="e">
        <f t="shared" si="149"/>
        <v>#VALUE!</v>
      </c>
      <c r="Q973" s="446" t="e">
        <f>IF(OR($B973="",MIN(Q$38,$D$19)&lt;MAX($P$708*($B973+IF($R$17="Distrato",$I$38-1,0)),IF(AND($L$711=0,$P$708=0),"",$L$711-1),IF($R$17="Distrato",$E973,0))),0,YEARFRAC(MAX($P$708*($B973+IF($R$17="Distrato",$I$38-1,0)),IF(AND($L$711=0,$P$708=0),"",$L$711-1),IF($R$17="Distrato",$E973,0)),MIN(Q$38,$D$19),$P$20))-SUM($P973:P973)</f>
        <v>#VALUE!</v>
      </c>
      <c r="R973" s="446" t="e">
        <f>IF(OR($B973="",MIN(R$38,$D$19)&lt;MAX($P$708*($B973+IF($R$17="Distrato",$I$38-1,0)),IF(AND($L$711=0,$P$708=0),"",$L$711-1),IF($R$17="Distrato",$E973,0))),0,YEARFRAC(MAX($P$708*($B973+IF($R$17="Distrato",$I$38-1,0)),IF(AND($L$711=0,$P$708=0),"",$L$711-1),IF($R$17="Distrato",$E973,0)),MIN(R$38,$D$19),$P$20))-SUM($P973:Q973)</f>
        <v>#VALUE!</v>
      </c>
      <c r="S973" s="446" t="e">
        <f>IF(OR($B973="",MIN(S$38,$D$19)&lt;MAX($P$708*($B973+IF($R$17="Distrato",$I$38-1,0)),IF(AND($L$711=0,$P$708=0),"",$L$711-1),IF($R$17="Distrato",$E973,0))),0,YEARFRAC(MAX($P$708*($B973+IF($R$17="Distrato",$I$38-1,0)),IF(AND($L$711=0,$P$708=0),"",$L$711-1),IF($R$17="Distrato",$E973,0)),MIN(S$38,$D$19),$P$20))-SUM($P973:R973)</f>
        <v>#VALUE!</v>
      </c>
      <c r="T973" s="446" t="e">
        <f>IF(OR($B973="",MIN(T$38,$D$19)&lt;MAX($P$708*($B973+IF($R$17="Distrato",$I$38-1,0)),IF(AND($L$711=0,$P$708=0),"",$L$711-1),IF($R$17="Distrato",$E973,0))),0,YEARFRAC(MAX($P$708*($B973+IF($R$17="Distrato",$I$38-1,0)),IF(AND($L$711=0,$P$708=0),"",$L$711-1),IF($R$17="Distrato",$E973,0)),MIN(T$38,$D$19),$P$20))-SUM($P973:S973)</f>
        <v>#VALUE!</v>
      </c>
      <c r="U973" s="446" t="e">
        <f>IF(OR($B973="",MIN(U$38,$D$19)&lt;MAX($P$708*($B973+IF($R$17="Distrato",$I$38-1,0)),IF(AND($L$711=0,$P$708=0),"",$L$711-1),IF($R$17="Distrato",$E973,0))),0,YEARFRAC(MAX($P$708*($B973+IF($R$17="Distrato",$I$38-1,0)),IF(AND($L$711=0,$P$708=0),"",$L$711-1),IF($R$17="Distrato",$E973,0)),MIN(U$38,$D$19),$P$20))-SUM($P973:T973)</f>
        <v>#VALUE!</v>
      </c>
      <c r="V973" s="446" t="e">
        <f>IF(OR($B973="",MIN(V$38,$D$19)&lt;MAX($P$708*($B973+IF($R$17="Distrato",$I$38-1,0)),IF(AND($L$711=0,$P$708=0),"",$L$711-1),IF($R$17="Distrato",$E973,0))),0,YEARFRAC(MAX($P$708*($B973+IF($R$17="Distrato",$I$38-1,0)),IF(AND($L$711=0,$P$708=0),"",$L$711-1),IF($R$17="Distrato",$E973,0)),MIN(V$38,$D$19),$P$20))-SUM($P973:U973)</f>
        <v>#VALUE!</v>
      </c>
      <c r="W973" s="446" t="e">
        <f>IF(OR($B973="",MIN(W$38,$D$19)&lt;MAX($P$708*($B973+IF($R$17="Distrato",$I$38-1,0)),IF(AND($L$711=0,$P$708=0),"",$L$711-1),IF($R$17="Distrato",$E973,0))),0,YEARFRAC(MAX($P$708*($B973+IF($R$17="Distrato",$I$38-1,0)),IF(AND($L$711=0,$P$708=0),"",$L$711-1),IF($R$17="Distrato",$E973,0)),MIN(W$38,$D$19),$P$20))-SUM($P973:V973)</f>
        <v>#VALUE!</v>
      </c>
      <c r="X973" s="446" t="e">
        <f>IF(OR($B973="",MIN(X$38,$D$19)&lt;MAX($P$708*($B973+IF($R$17="Distrato",$I$38-1,0)),IF(AND($L$711=0,$P$708=0),"",$L$711-1),IF($R$17="Distrato",$E973,0))),0,YEARFRAC(MAX($P$708*($B973+IF($R$17="Distrato",$I$38-1,0)),IF(AND($L$711=0,$P$708=0),"",$L$711-1),IF($R$17="Distrato",$E973,0)),MIN(X$38,$D$19),$P$20))-SUM($P973:W973)</f>
        <v>#VALUE!</v>
      </c>
      <c r="Y973" s="446" t="e">
        <f>IF(OR($B973="",MIN(Y$38,$D$19)&lt;MAX($P$708*($B973+IF($R$17="Distrato",$I$38-1,0)),IF(AND($L$711=0,$P$708=0),"",$L$711-1),IF($R$17="Distrato",$E973,0))),0,YEARFRAC(MAX($P$708*($B973+IF($R$17="Distrato",$I$38-1,0)),IF(AND($L$711=0,$P$708=0),"",$L$711-1),IF($R$17="Distrato",$E973,0)),MIN(Y$38,$D$19),$P$20))-SUM($P973:X973)</f>
        <v>#VALUE!</v>
      </c>
      <c r="Z973" s="446" t="e">
        <f>IF(OR($B973="",MIN(Z$38,$D$19)&lt;MAX($P$708*($B973+IF($R$17="Distrato",$I$38-1,0)),IF(AND($L$711=0,$P$708=0),"",$L$711-1),IF($R$17="Distrato",$E973,0))),0,YEARFRAC(MAX($P$708*($B973+IF($R$17="Distrato",$I$38-1,0)),IF(AND($L$711=0,$P$708=0),"",$L$711-1),IF($R$17="Distrato",$E973,0)),MIN(Z$38,$D$19),$P$20))-SUM($P973:Y973)</f>
        <v>#VALUE!</v>
      </c>
      <c r="AA973" s="446" t="e">
        <f>IF(OR($B973="",MIN(AA$38,$D$19)&lt;MAX($P$708*($B973+IF($R$17="Distrato",$I$38-1,0)),IF(AND($L$711=0,$P$708=0),"",$L$711-1),IF($R$17="Distrato",$E973,0))),0,YEARFRAC(MAX($P$708*($B973+IF($R$17="Distrato",$I$38-1,0)),IF(AND($L$711=0,$P$708=0),"",$L$711-1),IF($R$17="Distrato",$E973,0)),MIN(AA$38,$D$19),$P$20))-SUM($P973:Z973)</f>
        <v>#VALUE!</v>
      </c>
      <c r="AB973" s="446" t="e">
        <f>IF(OR($B973="",MIN(AB$38,$D$19)&lt;MAX($P$708*($B973+IF($R$17="Distrato",$I$38-1,0)),IF(AND($L$711=0,$P$708=0),"",$L$711-1),IF($R$17="Distrato",$E973,0))),0,YEARFRAC(MAX($P$708*($B973+IF($R$17="Distrato",$I$38-1,0)),IF(AND($L$711=0,$P$708=0),"",$L$711-1),IF($R$17="Distrato",$E973,0)),MIN(AB$38,$D$19),$P$20))-SUM($P973:AA973)</f>
        <v>#VALUE!</v>
      </c>
      <c r="AC973" s="446" t="e">
        <f>IF(OR($B973="",MIN(AC$38,$D$19)&lt;MAX($P$708*($B973+IF($R$17="Distrato",$I$38-1,0)),IF(AND($L$711=0,$P$708=0),"",$L$711-1),IF($R$17="Distrato",$E973,0))),0,YEARFRAC(MAX($P$708*($B973+IF($R$17="Distrato",$I$38-1,0)),IF(AND($L$711=0,$P$708=0),"",$L$711-1),IF($R$17="Distrato",$E973,0)),MIN(AC$38,$D$19),$P$20))-SUM($P973:AB973)</f>
        <v>#VALUE!</v>
      </c>
      <c r="AD973" s="446" t="e">
        <f>IF(OR($B973="",MIN(AD$38,$D$19)&lt;MAX($P$708*($B973+IF($R$17="Distrato",$I$38-1,0)),IF(AND($L$711=0,$P$708=0),"",$L$711-1),IF($R$17="Distrato",$E973,0))),0,YEARFRAC(MAX($P$708*($B973+IF($R$17="Distrato",$I$38-1,0)),IF(AND($L$711=0,$P$708=0),"",$L$711-1),IF($R$17="Distrato",$E973,0)),MIN(AD$38,$D$19),$P$20))-SUM($P973:AC973)</f>
        <v>#VALUE!</v>
      </c>
      <c r="AE973" s="446" t="e">
        <f>IF(OR($B973="",MIN(AE$38,$D$19)&lt;MAX($P$708*($B973+IF($R$17="Distrato",$I$38-1,0)),IF(AND($L$711=0,$P$708=0),"",$L$711-1),IF($R$17="Distrato",$E973,0))),0,YEARFRAC(MAX($P$708*($B973+IF($R$17="Distrato",$I$38-1,0)),IF(AND($L$711=0,$P$708=0),"",$L$711-1),IF($R$17="Distrato",$E973,0)),MIN(AE$38,$D$19),$P$20))-SUM($P973:AD973)</f>
        <v>#VALUE!</v>
      </c>
      <c r="AF973" s="446" t="e">
        <f>IF(OR($B973="",MIN(AF$38,$D$19)&lt;MAX($P$708*($B973+IF($R$17="Distrato",$I$38-1,0)),IF(AND($L$711=0,$P$708=0),"",$L$711-1),IF($R$17="Distrato",$E973,0))),0,YEARFRAC(MAX($P$708*($B973+IF($R$17="Distrato",$I$38-1,0)),IF(AND($L$711=0,$P$708=0),"",$L$711-1),IF($R$17="Distrato",$E973,0)),MIN(AF$38,$D$19),$P$20))-SUM($P973:AE973)</f>
        <v>#VALUE!</v>
      </c>
      <c r="AG973" s="446" t="e">
        <f>IF(OR($B973="",MIN(AG$38,$D$19)&lt;MAX($P$708*($B973+IF($R$17="Distrato",$I$38-1,0)),IF(AND($L$711=0,$P$708=0),"",$L$711-1),IF($R$17="Distrato",$E973,0))),0,YEARFRAC(MAX($P$708*($B973+IF($R$17="Distrato",$I$38-1,0)),IF(AND($L$711=0,$P$708=0),"",$L$711-1),IF($R$17="Distrato",$E973,0)),MIN(AG$38,$D$19),$P$20))-SUM($P973:AF973)</f>
        <v>#VALUE!</v>
      </c>
      <c r="AH973" s="446" t="e">
        <f>IF(OR($B973="",MIN(AH$38,$D$19)&lt;MAX($P$708*($B973+IF($R$17="Distrato",$I$38-1,0)),IF(AND($L$711=0,$P$708=0),"",$L$711-1),IF($R$17="Distrato",$E973,0))),0,YEARFRAC(MAX($P$708*($B973+IF($R$17="Distrato",$I$38-1,0)),IF(AND($L$711=0,$P$708=0),"",$L$711-1),IF($R$17="Distrato",$E973,0)),MIN(AH$38,$D$19),$P$20))-SUM($P973:AG973)</f>
        <v>#VALUE!</v>
      </c>
      <c r="AI973" s="446" t="e">
        <f>IF(OR($B973="",MIN(AI$38,$D$19)&lt;MAX($P$708*($B973+IF($R$17="Distrato",$I$38-1,0)),IF(AND($L$711=0,$P$708=0),"",$L$711-1),IF($R$17="Distrato",$E973,0))),0,YEARFRAC(MAX($P$708*($B973+IF($R$17="Distrato",$I$38-1,0)),IF(AND($L$711=0,$P$708=0),"",$L$711-1),IF($R$17="Distrato",$E973,0)),MIN(AI$38,$D$19),$P$20))-SUM($P973:AH973)</f>
        <v>#VALUE!</v>
      </c>
      <c r="AJ973" s="446" t="e">
        <f>IF(OR($B973="",MIN(AJ$38,$D$19)&lt;MAX($P$708*($B973+IF($R$17="Distrato",$I$38-1,0)),IF(AND($L$711=0,$P$708=0),"",$L$711-1),IF($R$17="Distrato",$E973,0))),0,YEARFRAC(MAX($P$708*($B973+IF($R$17="Distrato",$I$38-1,0)),IF(AND($L$711=0,$P$708=0),"",$L$711-1),IF($R$17="Distrato",$E973,0)),MIN(AJ$38,$D$19),$P$20))-SUM($P973:AI973)</f>
        <v>#VALUE!</v>
      </c>
      <c r="AK973" s="446" t="e">
        <f>IF(OR($B973="",MIN(AK$38,$D$19)&lt;MAX($P$708*($B973+IF($R$17="Distrato",$I$38-1,0)),IF(AND($L$711=0,$P$708=0),"",$L$711-1),IF($R$17="Distrato",$E973,0))),0,YEARFRAC(MAX($P$708*($B973+IF($R$17="Distrato",$I$38-1,0)),IF(AND($L$711=0,$P$708=0),"",$L$711-1),IF($R$17="Distrato",$E973,0)),MIN(AK$38,$D$19),$P$20))-SUM($P973:AJ973)</f>
        <v>#VALUE!</v>
      </c>
      <c r="AL973" s="446" t="e">
        <f>IF(OR($B973="",MIN(AL$38,$D$19)&lt;MAX($P$708*($B973+IF($R$17="Distrato",$I$38-1,0)),IF(AND($L$711=0,$P$708=0),"",$L$711-1),IF($R$17="Distrato",$E973,0))),0,YEARFRAC(MAX($P$708*($B973+IF($R$17="Distrato",$I$38-1,0)),IF(AND($L$711=0,$P$708=0),"",$L$711-1),IF($R$17="Distrato",$E973,0)),MIN(AL$38,$D$19),$P$20))-SUM($P973:AK973)</f>
        <v>#VALUE!</v>
      </c>
      <c r="AM973" s="446" t="e">
        <f>IF(OR($B973="",MIN(AM$38,$D$19)&lt;MAX($P$708*($B973+IF($R$17="Distrato",$I$38-1,0)),IF(AND($L$711=0,$P$708=0),"",$L$711-1),IF($R$17="Distrato",$E973,0))),0,YEARFRAC(MAX($P$708*($B973+IF($R$17="Distrato",$I$38-1,0)),IF(AND($L$711=0,$P$708=0),"",$L$711-1),IF($R$17="Distrato",$E973,0)),MIN(AM$38,$D$19),$P$20))-SUM($P973:AL973)</f>
        <v>#VALUE!</v>
      </c>
      <c r="AN973" s="446" t="e">
        <f>IF(OR($B973="",MIN(AN$38,$D$19)&lt;MAX($P$708*($B973+IF($R$17="Distrato",$I$38-1,0)),IF(AND($L$711=0,$P$708=0),"",$L$711-1),IF($R$17="Distrato",$E973,0))),0,YEARFRAC(MAX($P$708*($B973+IF($R$17="Distrato",$I$38-1,0)),IF(AND($L$711=0,$P$708=0),"",$L$711-1),IF($R$17="Distrato",$E973,0)),MIN(AN$38,$D$19),$P$20))-SUM($P973:AM973)</f>
        <v>#VALUE!</v>
      </c>
      <c r="AO973" s="446" t="e">
        <f>IF(OR($B973="",MIN(AO$38,$D$19)&lt;MAX($P$708*($B973+IF($R$17="Distrato",$I$38-1,0)),IF(AND($L$711=0,$P$708=0),"",$L$711-1),IF($R$17="Distrato",$E973,0))),0,YEARFRAC(MAX($P$708*($B973+IF($R$17="Distrato",$I$38-1,0)),IF(AND($L$711=0,$P$708=0),"",$L$711-1),IF($R$17="Distrato",$E973,0)),MIN(AO$38,$D$19),$P$20))-SUM($P973:AN973)</f>
        <v>#VALUE!</v>
      </c>
      <c r="AP973" s="446" t="e">
        <f>IF(OR($B973="",MIN(AP$38,$D$19)&lt;MAX($P$708*($B973+IF($R$17="Distrato",$I$38-1,0)),IF(AND($L$711=0,$P$708=0),"",$L$711-1),IF($R$17="Distrato",$E973,0))),0,YEARFRAC(MAX($P$708*($B973+IF($R$17="Distrato",$I$38-1,0)),IF(AND($L$711=0,$P$708=0),"",$L$711-1),IF($R$17="Distrato",$E973,0)),MIN(AP$38,$D$19),$P$20))-SUM($P973:AO973)</f>
        <v>#VALUE!</v>
      </c>
      <c r="AQ973" s="446" t="e">
        <f>IF(OR($B973="",MIN(AQ$38,$D$19)&lt;MAX($P$708*($B973+IF($R$17="Distrato",$I$38-1,0)),IF(AND($L$711=0,$P$708=0),"",$L$711-1),IF($R$17="Distrato",$E973,0))),0,YEARFRAC(MAX($P$708*($B973+IF($R$17="Distrato",$I$38-1,0)),IF(AND($L$711=0,$P$708=0),"",$L$711-1),IF($R$17="Distrato",$E973,0)),MIN(AQ$38,$D$19),$P$20))-SUM($P973:AP973)</f>
        <v>#VALUE!</v>
      </c>
      <c r="AR973" s="446" t="e">
        <f>IF(OR($B973="",MIN(AR$38,$D$19)&lt;MAX($P$708*($B973+IF($R$17="Distrato",$I$38-1,0)),IF(AND($L$711=0,$P$708=0),"",$L$711-1),IF($R$17="Distrato",$E973,0))),0,YEARFRAC(MAX($P$708*($B973+IF($R$17="Distrato",$I$38-1,0)),IF(AND($L$711=0,$P$708=0),"",$L$711-1),IF($R$17="Distrato",$E973,0)),MIN(AR$38,$D$19),$P$20))-SUM($P973:AQ973)</f>
        <v>#VALUE!</v>
      </c>
      <c r="AS973" s="446" t="e">
        <f>IF(OR($B973="",MIN(AS$38,$D$19)&lt;MAX($P$708*($B973+IF($R$17="Distrato",$I$38-1,0)),IF(AND($L$711=0,$P$708=0),"",$L$711-1),IF($R$17="Distrato",$E973,0))),0,YEARFRAC(MAX($P$708*($B973+IF($R$17="Distrato",$I$38-1,0)),IF(AND($L$711=0,$P$708=0),"",$L$711-1),IF($R$17="Distrato",$E973,0)),MIN(AS$38,$D$19),$P$20))-SUM($P973:AR973)</f>
        <v>#VALUE!</v>
      </c>
      <c r="AT973" s="446" t="e">
        <f>IF(OR($B973="",MIN(AT$38,$D$19)&lt;MAX($P$708*($B973+IF($R$17="Distrato",$I$38-1,0)),IF(AND($L$711=0,$P$708=0),"",$L$711-1),IF($R$17="Distrato",$E973,0))),0,YEARFRAC(MAX($P$708*($B973+IF($R$17="Distrato",$I$38-1,0)),IF(AND($L$711=0,$P$708=0),"",$L$711-1),IF($R$17="Distrato",$E973,0)),MIN(AT$38,$D$19),$P$20))-SUM($P973:AS973)</f>
        <v>#VALUE!</v>
      </c>
      <c r="AU973" s="446" t="e">
        <f>IF(OR($B973="",MIN(AU$38,$D$19)&lt;MAX($P$708*($B973+IF($R$17="Distrato",$I$38-1,0)),IF(AND($L$711=0,$P$708=0),"",$L$711-1),IF($R$17="Distrato",$E973,0))),0,YEARFRAC(MAX($P$708*($B973+IF($R$17="Distrato",$I$38-1,0)),IF(AND($L$711=0,$P$708=0),"",$L$711-1),IF($R$17="Distrato",$E973,0)),MIN(AU$38,$D$19),$P$20))-SUM($P973:AT973)</f>
        <v>#VALUE!</v>
      </c>
      <c r="AV973" s="446" t="e">
        <f>IF(OR($B973="",MIN(AV$38,$D$19)&lt;MAX($P$708*($B973+IF($R$17="Distrato",$I$38-1,0)),IF(AND($L$711=0,$P$708=0),"",$L$711-1),IF($R$17="Distrato",$E973,0))),0,YEARFRAC(MAX($P$708*($B973+IF($R$17="Distrato",$I$38-1,0)),IF(AND($L$711=0,$P$708=0),"",$L$711-1),IF($R$17="Distrato",$E973,0)),MIN(AV$38,$D$19),$P$20))-SUM($P973:AU973)</f>
        <v>#VALUE!</v>
      </c>
      <c r="AW973" s="446" t="e">
        <f>IF(OR($B973="",MIN(AW$38,$D$19)&lt;MAX($P$708*($B973+IF($R$17="Distrato",$I$38-1,0)),IF(AND($L$711=0,$P$708=0),"",$L$711-1),IF($R$17="Distrato",$E973,0))),0,YEARFRAC(MAX($P$708*($B973+IF($R$17="Distrato",$I$38-1,0)),IF(AND($L$711=0,$P$708=0),"",$L$711-1),IF($R$17="Distrato",$E973,0)),MIN(AW$38,$D$19),$P$20))-SUM($P973:AV973)</f>
        <v>#VALUE!</v>
      </c>
      <c r="AX973" s="446" t="e">
        <f>IF(OR($B973="",MIN(AX$38,$D$19)&lt;MAX($P$708*($B973+IF($R$17="Distrato",$I$38-1,0)),IF(AND($L$711=0,$P$708=0),"",$L$711-1),IF($R$17="Distrato",$E973,0))),0,YEARFRAC(MAX($P$708*($B973+IF($R$17="Distrato",$I$38-1,0)),IF(AND($L$711=0,$P$708=0),"",$L$711-1),IF($R$17="Distrato",$E973,0)),MIN(AX$38,$D$19),$P$20))-SUM($P973:AW973)</f>
        <v>#VALUE!</v>
      </c>
      <c r="AY973" s="446" t="e">
        <f>IF(OR($B973="",MIN(AY$38,$D$19)&lt;MAX($P$708*($B973+IF($R$17="Distrato",$I$38-1,0)),IF(AND($L$711=0,$P$708=0),"",$L$711-1),IF($R$17="Distrato",$E973,0))),0,YEARFRAC(MAX($P$708*($B973+IF($R$17="Distrato",$I$38-1,0)),IF(AND($L$711=0,$P$708=0),"",$L$711-1),IF($R$17="Distrato",$E973,0)),MIN(AY$38,$D$19),$P$20))-SUM($P973:AX973)</f>
        <v>#VALUE!</v>
      </c>
      <c r="AZ973" s="446" t="e">
        <f>IF(OR($B973="",MIN(AZ$38,$D$19)&lt;MAX($P$708*($B973+IF($R$17="Distrato",$I$38-1,0)),IF(AND($L$711=0,$P$708=0),"",$L$711-1),IF($R$17="Distrato",$E973,0))),0,YEARFRAC(MAX($P$708*($B973+IF($R$17="Distrato",$I$38-1,0)),IF(AND($L$711=0,$P$708=0),"",$L$711-1),IF($R$17="Distrato",$E973,0)),MIN(AZ$38,$D$19),$P$20))-SUM($P973:AY973)</f>
        <v>#VALUE!</v>
      </c>
      <c r="BA973" s="446" t="e">
        <f>IF(OR($B973="",MIN(BA$38,$D$19)&lt;MAX($P$708*($B973+IF($R$17="Distrato",$I$38-1,0)),IF(AND($L$711=0,$P$708=0),"",$L$711-1),IF($R$17="Distrato",$E973,0))),0,YEARFRAC(MAX($P$708*($B973+IF($R$17="Distrato",$I$38-1,0)),IF(AND($L$711=0,$P$708=0),"",$L$711-1),IF($R$17="Distrato",$E973,0)),MIN(BA$38,$D$19),$P$20))-SUM($P973:AZ973)</f>
        <v>#VALUE!</v>
      </c>
      <c r="BB973" s="447"/>
    </row>
    <row r="974" spans="1:54" s="446" customFormat="1" ht="11.25" hidden="1" customHeight="1" x14ac:dyDescent="0.2">
      <c r="A974" s="235"/>
      <c r="B974" s="236"/>
      <c r="C974" s="29" t="str">
        <f>IF(B974="","",IF($L$709=$BL$25,VLOOKUP(DATE(YEAR($D$19),MONTH($D$19)-1,1),ÍNDICES!$A:$DE,HLOOKUP($BL$25,ÍNDICES!$B$3:$T$4,2)+11)-VLOOKUP(B974,ÍNDICES!$A:$DE,HLOOKUP($BL$25,ÍNDICES!$B$3:$T$4,2)+11)+1%,IF(C$712=$W$26,$J$35,IF(ISERROR(IF(B974&gt;$D$19,1,VLOOKUP(DATE(YEAR(B974),MONTH(B974)+IF($C$709=$S$23,1,0),1),ÍNDICES!$A:$DE,$Z$709+1))),"",IF(B974&gt;$D$19,1,VLOOKUP(DATE(YEAR(B974),MONTH(B974)+IF($C$709=$S$23,1,0),1),ÍNDICES!$A:$DE,$Z$709+1))))))</f>
        <v/>
      </c>
      <c r="D974" s="155"/>
      <c r="E974" s="88"/>
      <c r="F974" s="88"/>
      <c r="G974" s="88"/>
      <c r="H974" s="118"/>
      <c r="I974" s="182">
        <f t="shared" si="143"/>
        <v>0</v>
      </c>
      <c r="J974" s="20">
        <f t="shared" ca="1" si="144"/>
        <v>0</v>
      </c>
      <c r="K974" s="5">
        <f t="shared" ca="1" si="145"/>
        <v>0</v>
      </c>
      <c r="L974" s="61">
        <f t="shared" ca="1" si="146"/>
        <v>0</v>
      </c>
      <c r="M974" s="64">
        <f t="shared" si="147"/>
        <v>0</v>
      </c>
      <c r="N974" s="151"/>
      <c r="O974" s="5">
        <f t="shared" ca="1" si="148"/>
        <v>0</v>
      </c>
      <c r="P974" s="446" t="e">
        <f t="shared" si="149"/>
        <v>#VALUE!</v>
      </c>
      <c r="Q974" s="446" t="e">
        <f>IF(OR($B974="",MIN(Q$38,$D$19)&lt;MAX($P$708*($B974+IF($R$17="Distrato",$I$38-1,0)),IF(AND($L$711=0,$P$708=0),"",$L$711-1),IF($R$17="Distrato",$E974,0))),0,YEARFRAC(MAX($P$708*($B974+IF($R$17="Distrato",$I$38-1,0)),IF(AND($L$711=0,$P$708=0),"",$L$711-1),IF($R$17="Distrato",$E974,0)),MIN(Q$38,$D$19),$P$20))-SUM($P974:P974)</f>
        <v>#VALUE!</v>
      </c>
      <c r="R974" s="446" t="e">
        <f>IF(OR($B974="",MIN(R$38,$D$19)&lt;MAX($P$708*($B974+IF($R$17="Distrato",$I$38-1,0)),IF(AND($L$711=0,$P$708=0),"",$L$711-1),IF($R$17="Distrato",$E974,0))),0,YEARFRAC(MAX($P$708*($B974+IF($R$17="Distrato",$I$38-1,0)),IF(AND($L$711=0,$P$708=0),"",$L$711-1),IF($R$17="Distrato",$E974,0)),MIN(R$38,$D$19),$P$20))-SUM($P974:Q974)</f>
        <v>#VALUE!</v>
      </c>
      <c r="S974" s="446" t="e">
        <f>IF(OR($B974="",MIN(S$38,$D$19)&lt;MAX($P$708*($B974+IF($R$17="Distrato",$I$38-1,0)),IF(AND($L$711=0,$P$708=0),"",$L$711-1),IF($R$17="Distrato",$E974,0))),0,YEARFRAC(MAX($P$708*($B974+IF($R$17="Distrato",$I$38-1,0)),IF(AND($L$711=0,$P$708=0),"",$L$711-1),IF($R$17="Distrato",$E974,0)),MIN(S$38,$D$19),$P$20))-SUM($P974:R974)</f>
        <v>#VALUE!</v>
      </c>
      <c r="T974" s="446" t="e">
        <f>IF(OR($B974="",MIN(T$38,$D$19)&lt;MAX($P$708*($B974+IF($R$17="Distrato",$I$38-1,0)),IF(AND($L$711=0,$P$708=0),"",$L$711-1),IF($R$17="Distrato",$E974,0))),0,YEARFRAC(MAX($P$708*($B974+IF($R$17="Distrato",$I$38-1,0)),IF(AND($L$711=0,$P$708=0),"",$L$711-1),IF($R$17="Distrato",$E974,0)),MIN(T$38,$D$19),$P$20))-SUM($P974:S974)</f>
        <v>#VALUE!</v>
      </c>
      <c r="U974" s="446" t="e">
        <f>IF(OR($B974="",MIN(U$38,$D$19)&lt;MAX($P$708*($B974+IF($R$17="Distrato",$I$38-1,0)),IF(AND($L$711=0,$P$708=0),"",$L$711-1),IF($R$17="Distrato",$E974,0))),0,YEARFRAC(MAX($P$708*($B974+IF($R$17="Distrato",$I$38-1,0)),IF(AND($L$711=0,$P$708=0),"",$L$711-1),IF($R$17="Distrato",$E974,0)),MIN(U$38,$D$19),$P$20))-SUM($P974:T974)</f>
        <v>#VALUE!</v>
      </c>
      <c r="V974" s="446" t="e">
        <f>IF(OR($B974="",MIN(V$38,$D$19)&lt;MAX($P$708*($B974+IF($R$17="Distrato",$I$38-1,0)),IF(AND($L$711=0,$P$708=0),"",$L$711-1),IF($R$17="Distrato",$E974,0))),0,YEARFRAC(MAX($P$708*($B974+IF($R$17="Distrato",$I$38-1,0)),IF(AND($L$711=0,$P$708=0),"",$L$711-1),IF($R$17="Distrato",$E974,0)),MIN(V$38,$D$19),$P$20))-SUM($P974:U974)</f>
        <v>#VALUE!</v>
      </c>
      <c r="W974" s="446" t="e">
        <f>IF(OR($B974="",MIN(W$38,$D$19)&lt;MAX($P$708*($B974+IF($R$17="Distrato",$I$38-1,0)),IF(AND($L$711=0,$P$708=0),"",$L$711-1),IF($R$17="Distrato",$E974,0))),0,YEARFRAC(MAX($P$708*($B974+IF($R$17="Distrato",$I$38-1,0)),IF(AND($L$711=0,$P$708=0),"",$L$711-1),IF($R$17="Distrato",$E974,0)),MIN(W$38,$D$19),$P$20))-SUM($P974:V974)</f>
        <v>#VALUE!</v>
      </c>
      <c r="X974" s="446" t="e">
        <f>IF(OR($B974="",MIN(X$38,$D$19)&lt;MAX($P$708*($B974+IF($R$17="Distrato",$I$38-1,0)),IF(AND($L$711=0,$P$708=0),"",$L$711-1),IF($R$17="Distrato",$E974,0))),0,YEARFRAC(MAX($P$708*($B974+IF($R$17="Distrato",$I$38-1,0)),IF(AND($L$711=0,$P$708=0),"",$L$711-1),IF($R$17="Distrato",$E974,0)),MIN(X$38,$D$19),$P$20))-SUM($P974:W974)</f>
        <v>#VALUE!</v>
      </c>
      <c r="Y974" s="446" t="e">
        <f>IF(OR($B974="",MIN(Y$38,$D$19)&lt;MAX($P$708*($B974+IF($R$17="Distrato",$I$38-1,0)),IF(AND($L$711=0,$P$708=0),"",$L$711-1),IF($R$17="Distrato",$E974,0))),0,YEARFRAC(MAX($P$708*($B974+IF($R$17="Distrato",$I$38-1,0)),IF(AND($L$711=0,$P$708=0),"",$L$711-1),IF($R$17="Distrato",$E974,0)),MIN(Y$38,$D$19),$P$20))-SUM($P974:X974)</f>
        <v>#VALUE!</v>
      </c>
      <c r="Z974" s="446" t="e">
        <f>IF(OR($B974="",MIN(Z$38,$D$19)&lt;MAX($P$708*($B974+IF($R$17="Distrato",$I$38-1,0)),IF(AND($L$711=0,$P$708=0),"",$L$711-1),IF($R$17="Distrato",$E974,0))),0,YEARFRAC(MAX($P$708*($B974+IF($R$17="Distrato",$I$38-1,0)),IF(AND($L$711=0,$P$708=0),"",$L$711-1),IF($R$17="Distrato",$E974,0)),MIN(Z$38,$D$19),$P$20))-SUM($P974:Y974)</f>
        <v>#VALUE!</v>
      </c>
      <c r="AA974" s="446" t="e">
        <f>IF(OR($B974="",MIN(AA$38,$D$19)&lt;MAX($P$708*($B974+IF($R$17="Distrato",$I$38-1,0)),IF(AND($L$711=0,$P$708=0),"",$L$711-1),IF($R$17="Distrato",$E974,0))),0,YEARFRAC(MAX($P$708*($B974+IF($R$17="Distrato",$I$38-1,0)),IF(AND($L$711=0,$P$708=0),"",$L$711-1),IF($R$17="Distrato",$E974,0)),MIN(AA$38,$D$19),$P$20))-SUM($P974:Z974)</f>
        <v>#VALUE!</v>
      </c>
      <c r="AB974" s="446" t="e">
        <f>IF(OR($B974="",MIN(AB$38,$D$19)&lt;MAX($P$708*($B974+IF($R$17="Distrato",$I$38-1,0)),IF(AND($L$711=0,$P$708=0),"",$L$711-1),IF($R$17="Distrato",$E974,0))),0,YEARFRAC(MAX($P$708*($B974+IF($R$17="Distrato",$I$38-1,0)),IF(AND($L$711=0,$P$708=0),"",$L$711-1),IF($R$17="Distrato",$E974,0)),MIN(AB$38,$D$19),$P$20))-SUM($P974:AA974)</f>
        <v>#VALUE!</v>
      </c>
      <c r="AC974" s="446" t="e">
        <f>IF(OR($B974="",MIN(AC$38,$D$19)&lt;MAX($P$708*($B974+IF($R$17="Distrato",$I$38-1,0)),IF(AND($L$711=0,$P$708=0),"",$L$711-1),IF($R$17="Distrato",$E974,0))),0,YEARFRAC(MAX($P$708*($B974+IF($R$17="Distrato",$I$38-1,0)),IF(AND($L$711=0,$P$708=0),"",$L$711-1),IF($R$17="Distrato",$E974,0)),MIN(AC$38,$D$19),$P$20))-SUM($P974:AB974)</f>
        <v>#VALUE!</v>
      </c>
      <c r="AD974" s="446" t="e">
        <f>IF(OR($B974="",MIN(AD$38,$D$19)&lt;MAX($P$708*($B974+IF($R$17="Distrato",$I$38-1,0)),IF(AND($L$711=0,$P$708=0),"",$L$711-1),IF($R$17="Distrato",$E974,0))),0,YEARFRAC(MAX($P$708*($B974+IF($R$17="Distrato",$I$38-1,0)),IF(AND($L$711=0,$P$708=0),"",$L$711-1),IF($R$17="Distrato",$E974,0)),MIN(AD$38,$D$19),$P$20))-SUM($P974:AC974)</f>
        <v>#VALUE!</v>
      </c>
      <c r="AE974" s="446" t="e">
        <f>IF(OR($B974="",MIN(AE$38,$D$19)&lt;MAX($P$708*($B974+IF($R$17="Distrato",$I$38-1,0)),IF(AND($L$711=0,$P$708=0),"",$L$711-1),IF($R$17="Distrato",$E974,0))),0,YEARFRAC(MAX($P$708*($B974+IF($R$17="Distrato",$I$38-1,0)),IF(AND($L$711=0,$P$708=0),"",$L$711-1),IF($R$17="Distrato",$E974,0)),MIN(AE$38,$D$19),$P$20))-SUM($P974:AD974)</f>
        <v>#VALUE!</v>
      </c>
      <c r="AF974" s="446" t="e">
        <f>IF(OR($B974="",MIN(AF$38,$D$19)&lt;MAX($P$708*($B974+IF($R$17="Distrato",$I$38-1,0)),IF(AND($L$711=0,$P$708=0),"",$L$711-1),IF($R$17="Distrato",$E974,0))),0,YEARFRAC(MAX($P$708*($B974+IF($R$17="Distrato",$I$38-1,0)),IF(AND($L$711=0,$P$708=0),"",$L$711-1),IF($R$17="Distrato",$E974,0)),MIN(AF$38,$D$19),$P$20))-SUM($P974:AE974)</f>
        <v>#VALUE!</v>
      </c>
      <c r="AG974" s="446" t="e">
        <f>IF(OR($B974="",MIN(AG$38,$D$19)&lt;MAX($P$708*($B974+IF($R$17="Distrato",$I$38-1,0)),IF(AND($L$711=0,$P$708=0),"",$L$711-1),IF($R$17="Distrato",$E974,0))),0,YEARFRAC(MAX($P$708*($B974+IF($R$17="Distrato",$I$38-1,0)),IF(AND($L$711=0,$P$708=0),"",$L$711-1),IF($R$17="Distrato",$E974,0)),MIN(AG$38,$D$19),$P$20))-SUM($P974:AF974)</f>
        <v>#VALUE!</v>
      </c>
      <c r="AH974" s="446" t="e">
        <f>IF(OR($B974="",MIN(AH$38,$D$19)&lt;MAX($P$708*($B974+IF($R$17="Distrato",$I$38-1,0)),IF(AND($L$711=0,$P$708=0),"",$L$711-1),IF($R$17="Distrato",$E974,0))),0,YEARFRAC(MAX($P$708*($B974+IF($R$17="Distrato",$I$38-1,0)),IF(AND($L$711=0,$P$708=0),"",$L$711-1),IF($R$17="Distrato",$E974,0)),MIN(AH$38,$D$19),$P$20))-SUM($P974:AG974)</f>
        <v>#VALUE!</v>
      </c>
      <c r="AI974" s="446" t="e">
        <f>IF(OR($B974="",MIN(AI$38,$D$19)&lt;MAX($P$708*($B974+IF($R$17="Distrato",$I$38-1,0)),IF(AND($L$711=0,$P$708=0),"",$L$711-1),IF($R$17="Distrato",$E974,0))),0,YEARFRAC(MAX($P$708*($B974+IF($R$17="Distrato",$I$38-1,0)),IF(AND($L$711=0,$P$708=0),"",$L$711-1),IF($R$17="Distrato",$E974,0)),MIN(AI$38,$D$19),$P$20))-SUM($P974:AH974)</f>
        <v>#VALUE!</v>
      </c>
      <c r="AJ974" s="446" t="e">
        <f>IF(OR($B974="",MIN(AJ$38,$D$19)&lt;MAX($P$708*($B974+IF($R$17="Distrato",$I$38-1,0)),IF(AND($L$711=0,$P$708=0),"",$L$711-1),IF($R$17="Distrato",$E974,0))),0,YEARFRAC(MAX($P$708*($B974+IF($R$17="Distrato",$I$38-1,0)),IF(AND($L$711=0,$P$708=0),"",$L$711-1),IF($R$17="Distrato",$E974,0)),MIN(AJ$38,$D$19),$P$20))-SUM($P974:AI974)</f>
        <v>#VALUE!</v>
      </c>
      <c r="AK974" s="446" t="e">
        <f>IF(OR($B974="",MIN(AK$38,$D$19)&lt;MAX($P$708*($B974+IF($R$17="Distrato",$I$38-1,0)),IF(AND($L$711=0,$P$708=0),"",$L$711-1),IF($R$17="Distrato",$E974,0))),0,YEARFRAC(MAX($P$708*($B974+IF($R$17="Distrato",$I$38-1,0)),IF(AND($L$711=0,$P$708=0),"",$L$711-1),IF($R$17="Distrato",$E974,0)),MIN(AK$38,$D$19),$P$20))-SUM($P974:AJ974)</f>
        <v>#VALUE!</v>
      </c>
      <c r="AL974" s="446" t="e">
        <f>IF(OR($B974="",MIN(AL$38,$D$19)&lt;MAX($P$708*($B974+IF($R$17="Distrato",$I$38-1,0)),IF(AND($L$711=0,$P$708=0),"",$L$711-1),IF($R$17="Distrato",$E974,0))),0,YEARFRAC(MAX($P$708*($B974+IF($R$17="Distrato",$I$38-1,0)),IF(AND($L$711=0,$P$708=0),"",$L$711-1),IF($R$17="Distrato",$E974,0)),MIN(AL$38,$D$19),$P$20))-SUM($P974:AK974)</f>
        <v>#VALUE!</v>
      </c>
      <c r="AM974" s="446" t="e">
        <f>IF(OR($B974="",MIN(AM$38,$D$19)&lt;MAX($P$708*($B974+IF($R$17="Distrato",$I$38-1,0)),IF(AND($L$711=0,$P$708=0),"",$L$711-1),IF($R$17="Distrato",$E974,0))),0,YEARFRAC(MAX($P$708*($B974+IF($R$17="Distrato",$I$38-1,0)),IF(AND($L$711=0,$P$708=0),"",$L$711-1),IF($R$17="Distrato",$E974,0)),MIN(AM$38,$D$19),$P$20))-SUM($P974:AL974)</f>
        <v>#VALUE!</v>
      </c>
      <c r="AN974" s="446" t="e">
        <f>IF(OR($B974="",MIN(AN$38,$D$19)&lt;MAX($P$708*($B974+IF($R$17="Distrato",$I$38-1,0)),IF(AND($L$711=0,$P$708=0),"",$L$711-1),IF($R$17="Distrato",$E974,0))),0,YEARFRAC(MAX($P$708*($B974+IF($R$17="Distrato",$I$38-1,0)),IF(AND($L$711=0,$P$708=0),"",$L$711-1),IF($R$17="Distrato",$E974,0)),MIN(AN$38,$D$19),$P$20))-SUM($P974:AM974)</f>
        <v>#VALUE!</v>
      </c>
      <c r="AO974" s="446" t="e">
        <f>IF(OR($B974="",MIN(AO$38,$D$19)&lt;MAX($P$708*($B974+IF($R$17="Distrato",$I$38-1,0)),IF(AND($L$711=0,$P$708=0),"",$L$711-1),IF($R$17="Distrato",$E974,0))),0,YEARFRAC(MAX($P$708*($B974+IF($R$17="Distrato",$I$38-1,0)),IF(AND($L$711=0,$P$708=0),"",$L$711-1),IF($R$17="Distrato",$E974,0)),MIN(AO$38,$D$19),$P$20))-SUM($P974:AN974)</f>
        <v>#VALUE!</v>
      </c>
      <c r="AP974" s="446" t="e">
        <f>IF(OR($B974="",MIN(AP$38,$D$19)&lt;MAX($P$708*($B974+IF($R$17="Distrato",$I$38-1,0)),IF(AND($L$711=0,$P$708=0),"",$L$711-1),IF($R$17="Distrato",$E974,0))),0,YEARFRAC(MAX($P$708*($B974+IF($R$17="Distrato",$I$38-1,0)),IF(AND($L$711=0,$P$708=0),"",$L$711-1),IF($R$17="Distrato",$E974,0)),MIN(AP$38,$D$19),$P$20))-SUM($P974:AO974)</f>
        <v>#VALUE!</v>
      </c>
      <c r="AQ974" s="446" t="e">
        <f>IF(OR($B974="",MIN(AQ$38,$D$19)&lt;MAX($P$708*($B974+IF($R$17="Distrato",$I$38-1,0)),IF(AND($L$711=0,$P$708=0),"",$L$711-1),IF($R$17="Distrato",$E974,0))),0,YEARFRAC(MAX($P$708*($B974+IF($R$17="Distrato",$I$38-1,0)),IF(AND($L$711=0,$P$708=0),"",$L$711-1),IF($R$17="Distrato",$E974,0)),MIN(AQ$38,$D$19),$P$20))-SUM($P974:AP974)</f>
        <v>#VALUE!</v>
      </c>
      <c r="AR974" s="446" t="e">
        <f>IF(OR($B974="",MIN(AR$38,$D$19)&lt;MAX($P$708*($B974+IF($R$17="Distrato",$I$38-1,0)),IF(AND($L$711=0,$P$708=0),"",$L$711-1),IF($R$17="Distrato",$E974,0))),0,YEARFRAC(MAX($P$708*($B974+IF($R$17="Distrato",$I$38-1,0)),IF(AND($L$711=0,$P$708=0),"",$L$711-1),IF($R$17="Distrato",$E974,0)),MIN(AR$38,$D$19),$P$20))-SUM($P974:AQ974)</f>
        <v>#VALUE!</v>
      </c>
      <c r="AS974" s="446" t="e">
        <f>IF(OR($B974="",MIN(AS$38,$D$19)&lt;MAX($P$708*($B974+IF($R$17="Distrato",$I$38-1,0)),IF(AND($L$711=0,$P$708=0),"",$L$711-1),IF($R$17="Distrato",$E974,0))),0,YEARFRAC(MAX($P$708*($B974+IF($R$17="Distrato",$I$38-1,0)),IF(AND($L$711=0,$P$708=0),"",$L$711-1),IF($R$17="Distrato",$E974,0)),MIN(AS$38,$D$19),$P$20))-SUM($P974:AR974)</f>
        <v>#VALUE!</v>
      </c>
      <c r="AT974" s="446" t="e">
        <f>IF(OR($B974="",MIN(AT$38,$D$19)&lt;MAX($P$708*($B974+IF($R$17="Distrato",$I$38-1,0)),IF(AND($L$711=0,$P$708=0),"",$L$711-1),IF($R$17="Distrato",$E974,0))),0,YEARFRAC(MAX($P$708*($B974+IF($R$17="Distrato",$I$38-1,0)),IF(AND($L$711=0,$P$708=0),"",$L$711-1),IF($R$17="Distrato",$E974,0)),MIN(AT$38,$D$19),$P$20))-SUM($P974:AS974)</f>
        <v>#VALUE!</v>
      </c>
      <c r="AU974" s="446" t="e">
        <f>IF(OR($B974="",MIN(AU$38,$D$19)&lt;MAX($P$708*($B974+IF($R$17="Distrato",$I$38-1,0)),IF(AND($L$711=0,$P$708=0),"",$L$711-1),IF($R$17="Distrato",$E974,0))),0,YEARFRAC(MAX($P$708*($B974+IF($R$17="Distrato",$I$38-1,0)),IF(AND($L$711=0,$P$708=0),"",$L$711-1),IF($R$17="Distrato",$E974,0)),MIN(AU$38,$D$19),$P$20))-SUM($P974:AT974)</f>
        <v>#VALUE!</v>
      </c>
      <c r="AV974" s="446" t="e">
        <f>IF(OR($B974="",MIN(AV$38,$D$19)&lt;MAX($P$708*($B974+IF($R$17="Distrato",$I$38-1,0)),IF(AND($L$711=0,$P$708=0),"",$L$711-1),IF($R$17="Distrato",$E974,0))),0,YEARFRAC(MAX($P$708*($B974+IF($R$17="Distrato",$I$38-1,0)),IF(AND($L$711=0,$P$708=0),"",$L$711-1),IF($R$17="Distrato",$E974,0)),MIN(AV$38,$D$19),$P$20))-SUM($P974:AU974)</f>
        <v>#VALUE!</v>
      </c>
      <c r="AW974" s="446" t="e">
        <f>IF(OR($B974="",MIN(AW$38,$D$19)&lt;MAX($P$708*($B974+IF($R$17="Distrato",$I$38-1,0)),IF(AND($L$711=0,$P$708=0),"",$L$711-1),IF($R$17="Distrato",$E974,0))),0,YEARFRAC(MAX($P$708*($B974+IF($R$17="Distrato",$I$38-1,0)),IF(AND($L$711=0,$P$708=0),"",$L$711-1),IF($R$17="Distrato",$E974,0)),MIN(AW$38,$D$19),$P$20))-SUM($P974:AV974)</f>
        <v>#VALUE!</v>
      </c>
      <c r="AX974" s="446" t="e">
        <f>IF(OR($B974="",MIN(AX$38,$D$19)&lt;MAX($P$708*($B974+IF($R$17="Distrato",$I$38-1,0)),IF(AND($L$711=0,$P$708=0),"",$L$711-1),IF($R$17="Distrato",$E974,0))),0,YEARFRAC(MAX($P$708*($B974+IF($R$17="Distrato",$I$38-1,0)),IF(AND($L$711=0,$P$708=0),"",$L$711-1),IF($R$17="Distrato",$E974,0)),MIN(AX$38,$D$19),$P$20))-SUM($P974:AW974)</f>
        <v>#VALUE!</v>
      </c>
      <c r="AY974" s="446" t="e">
        <f>IF(OR($B974="",MIN(AY$38,$D$19)&lt;MAX($P$708*($B974+IF($R$17="Distrato",$I$38-1,0)),IF(AND($L$711=0,$P$708=0),"",$L$711-1),IF($R$17="Distrato",$E974,0))),0,YEARFRAC(MAX($P$708*($B974+IF($R$17="Distrato",$I$38-1,0)),IF(AND($L$711=0,$P$708=0),"",$L$711-1),IF($R$17="Distrato",$E974,0)),MIN(AY$38,$D$19),$P$20))-SUM($P974:AX974)</f>
        <v>#VALUE!</v>
      </c>
      <c r="AZ974" s="446" t="e">
        <f>IF(OR($B974="",MIN(AZ$38,$D$19)&lt;MAX($P$708*($B974+IF($R$17="Distrato",$I$38-1,0)),IF(AND($L$711=0,$P$708=0),"",$L$711-1),IF($R$17="Distrato",$E974,0))),0,YEARFRAC(MAX($P$708*($B974+IF($R$17="Distrato",$I$38-1,0)),IF(AND($L$711=0,$P$708=0),"",$L$711-1),IF($R$17="Distrato",$E974,0)),MIN(AZ$38,$D$19),$P$20))-SUM($P974:AY974)</f>
        <v>#VALUE!</v>
      </c>
      <c r="BA974" s="446" t="e">
        <f>IF(OR($B974="",MIN(BA$38,$D$19)&lt;MAX($P$708*($B974+IF($R$17="Distrato",$I$38-1,0)),IF(AND($L$711=0,$P$708=0),"",$L$711-1),IF($R$17="Distrato",$E974,0))),0,YEARFRAC(MAX($P$708*($B974+IF($R$17="Distrato",$I$38-1,0)),IF(AND($L$711=0,$P$708=0),"",$L$711-1),IF($R$17="Distrato",$E974,0)),MIN(BA$38,$D$19),$P$20))-SUM($P974:AZ974)</f>
        <v>#VALUE!</v>
      </c>
      <c r="BB974" s="447"/>
    </row>
    <row r="975" spans="1:54" s="446" customFormat="1" ht="11.25" hidden="1" customHeight="1" x14ac:dyDescent="0.2">
      <c r="A975" s="235"/>
      <c r="B975" s="236"/>
      <c r="C975" s="29" t="str">
        <f>IF(B975="","",IF($L$709=$BL$25,VLOOKUP(DATE(YEAR($D$19),MONTH($D$19)-1,1),ÍNDICES!$A:$DE,HLOOKUP($BL$25,ÍNDICES!$B$3:$T$4,2)+11)-VLOOKUP(B975,ÍNDICES!$A:$DE,HLOOKUP($BL$25,ÍNDICES!$B$3:$T$4,2)+11)+1%,IF(C$712=$W$26,$J$35,IF(ISERROR(IF(B975&gt;$D$19,1,VLOOKUP(DATE(YEAR(B975),MONTH(B975)+IF($C$709=$S$23,1,0),1),ÍNDICES!$A:$DE,$Z$709+1))),"",IF(B975&gt;$D$19,1,VLOOKUP(DATE(YEAR(B975),MONTH(B975)+IF($C$709=$S$23,1,0),1),ÍNDICES!$A:$DE,$Z$709+1))))))</f>
        <v/>
      </c>
      <c r="D975" s="155"/>
      <c r="E975" s="88"/>
      <c r="F975" s="88"/>
      <c r="G975" s="88"/>
      <c r="H975" s="118"/>
      <c r="I975" s="182">
        <f t="shared" si="143"/>
        <v>0</v>
      </c>
      <c r="J975" s="20">
        <f t="shared" ca="1" si="144"/>
        <v>0</v>
      </c>
      <c r="K975" s="5">
        <f t="shared" ca="1" si="145"/>
        <v>0</v>
      </c>
      <c r="L975" s="61">
        <f t="shared" ca="1" si="146"/>
        <v>0</v>
      </c>
      <c r="M975" s="64">
        <f t="shared" si="147"/>
        <v>0</v>
      </c>
      <c r="N975" s="151"/>
      <c r="O975" s="5">
        <f t="shared" ca="1" si="148"/>
        <v>0</v>
      </c>
      <c r="P975" s="446" t="e">
        <f t="shared" si="149"/>
        <v>#VALUE!</v>
      </c>
      <c r="Q975" s="446" t="e">
        <f>IF(OR($B975="",MIN(Q$38,$D$19)&lt;MAX($P$708*($B975+IF($R$17="Distrato",$I$38-1,0)),IF(AND($L$711=0,$P$708=0),"",$L$711-1),IF($R$17="Distrato",$E975,0))),0,YEARFRAC(MAX($P$708*($B975+IF($R$17="Distrato",$I$38-1,0)),IF(AND($L$711=0,$P$708=0),"",$L$711-1),IF($R$17="Distrato",$E975,0)),MIN(Q$38,$D$19),$P$20))-SUM($P975:P975)</f>
        <v>#VALUE!</v>
      </c>
      <c r="R975" s="446" t="e">
        <f>IF(OR($B975="",MIN(R$38,$D$19)&lt;MAX($P$708*($B975+IF($R$17="Distrato",$I$38-1,0)),IF(AND($L$711=0,$P$708=0),"",$L$711-1),IF($R$17="Distrato",$E975,0))),0,YEARFRAC(MAX($P$708*($B975+IF($R$17="Distrato",$I$38-1,0)),IF(AND($L$711=0,$P$708=0),"",$L$711-1),IF($R$17="Distrato",$E975,0)),MIN(R$38,$D$19),$P$20))-SUM($P975:Q975)</f>
        <v>#VALUE!</v>
      </c>
      <c r="S975" s="446" t="e">
        <f>IF(OR($B975="",MIN(S$38,$D$19)&lt;MAX($P$708*($B975+IF($R$17="Distrato",$I$38-1,0)),IF(AND($L$711=0,$P$708=0),"",$L$711-1),IF($R$17="Distrato",$E975,0))),0,YEARFRAC(MAX($P$708*($B975+IF($R$17="Distrato",$I$38-1,0)),IF(AND($L$711=0,$P$708=0),"",$L$711-1),IF($R$17="Distrato",$E975,0)),MIN(S$38,$D$19),$P$20))-SUM($P975:R975)</f>
        <v>#VALUE!</v>
      </c>
      <c r="T975" s="446" t="e">
        <f>IF(OR($B975="",MIN(T$38,$D$19)&lt;MAX($P$708*($B975+IF($R$17="Distrato",$I$38-1,0)),IF(AND($L$711=0,$P$708=0),"",$L$711-1),IF($R$17="Distrato",$E975,0))),0,YEARFRAC(MAX($P$708*($B975+IF($R$17="Distrato",$I$38-1,0)),IF(AND($L$711=0,$P$708=0),"",$L$711-1),IF($R$17="Distrato",$E975,0)),MIN(T$38,$D$19),$P$20))-SUM($P975:S975)</f>
        <v>#VALUE!</v>
      </c>
      <c r="U975" s="446" t="e">
        <f>IF(OR($B975="",MIN(U$38,$D$19)&lt;MAX($P$708*($B975+IF($R$17="Distrato",$I$38-1,0)),IF(AND($L$711=0,$P$708=0),"",$L$711-1),IF($R$17="Distrato",$E975,0))),0,YEARFRAC(MAX($P$708*($B975+IF($R$17="Distrato",$I$38-1,0)),IF(AND($L$711=0,$P$708=0),"",$L$711-1),IF($R$17="Distrato",$E975,0)),MIN(U$38,$D$19),$P$20))-SUM($P975:T975)</f>
        <v>#VALUE!</v>
      </c>
      <c r="V975" s="446" t="e">
        <f>IF(OR($B975="",MIN(V$38,$D$19)&lt;MAX($P$708*($B975+IF($R$17="Distrato",$I$38-1,0)),IF(AND($L$711=0,$P$708=0),"",$L$711-1),IF($R$17="Distrato",$E975,0))),0,YEARFRAC(MAX($P$708*($B975+IF($R$17="Distrato",$I$38-1,0)),IF(AND($L$711=0,$P$708=0),"",$L$711-1),IF($R$17="Distrato",$E975,0)),MIN(V$38,$D$19),$P$20))-SUM($P975:U975)</f>
        <v>#VALUE!</v>
      </c>
      <c r="W975" s="446" t="e">
        <f>IF(OR($B975="",MIN(W$38,$D$19)&lt;MAX($P$708*($B975+IF($R$17="Distrato",$I$38-1,0)),IF(AND($L$711=0,$P$708=0),"",$L$711-1),IF($R$17="Distrato",$E975,0))),0,YEARFRAC(MAX($P$708*($B975+IF($R$17="Distrato",$I$38-1,0)),IF(AND($L$711=0,$P$708=0),"",$L$711-1),IF($R$17="Distrato",$E975,0)),MIN(W$38,$D$19),$P$20))-SUM($P975:V975)</f>
        <v>#VALUE!</v>
      </c>
      <c r="X975" s="446" t="e">
        <f>IF(OR($B975="",MIN(X$38,$D$19)&lt;MAX($P$708*($B975+IF($R$17="Distrato",$I$38-1,0)),IF(AND($L$711=0,$P$708=0),"",$L$711-1),IF($R$17="Distrato",$E975,0))),0,YEARFRAC(MAX($P$708*($B975+IF($R$17="Distrato",$I$38-1,0)),IF(AND($L$711=0,$P$708=0),"",$L$711-1),IF($R$17="Distrato",$E975,0)),MIN(X$38,$D$19),$P$20))-SUM($P975:W975)</f>
        <v>#VALUE!</v>
      </c>
      <c r="Y975" s="446" t="e">
        <f>IF(OR($B975="",MIN(Y$38,$D$19)&lt;MAX($P$708*($B975+IF($R$17="Distrato",$I$38-1,0)),IF(AND($L$711=0,$P$708=0),"",$L$711-1),IF($R$17="Distrato",$E975,0))),0,YEARFRAC(MAX($P$708*($B975+IF($R$17="Distrato",$I$38-1,0)),IF(AND($L$711=0,$P$708=0),"",$L$711-1),IF($R$17="Distrato",$E975,0)),MIN(Y$38,$D$19),$P$20))-SUM($P975:X975)</f>
        <v>#VALUE!</v>
      </c>
      <c r="Z975" s="446" t="e">
        <f>IF(OR($B975="",MIN(Z$38,$D$19)&lt;MAX($P$708*($B975+IF($R$17="Distrato",$I$38-1,0)),IF(AND($L$711=0,$P$708=0),"",$L$711-1),IF($R$17="Distrato",$E975,0))),0,YEARFRAC(MAX($P$708*($B975+IF($R$17="Distrato",$I$38-1,0)),IF(AND($L$711=0,$P$708=0),"",$L$711-1),IF($R$17="Distrato",$E975,0)),MIN(Z$38,$D$19),$P$20))-SUM($P975:Y975)</f>
        <v>#VALUE!</v>
      </c>
      <c r="AA975" s="446" t="e">
        <f>IF(OR($B975="",MIN(AA$38,$D$19)&lt;MAX($P$708*($B975+IF($R$17="Distrato",$I$38-1,0)),IF(AND($L$711=0,$P$708=0),"",$L$711-1),IF($R$17="Distrato",$E975,0))),0,YEARFRAC(MAX($P$708*($B975+IF($R$17="Distrato",$I$38-1,0)),IF(AND($L$711=0,$P$708=0),"",$L$711-1),IF($R$17="Distrato",$E975,0)),MIN(AA$38,$D$19),$P$20))-SUM($P975:Z975)</f>
        <v>#VALUE!</v>
      </c>
      <c r="AB975" s="446" t="e">
        <f>IF(OR($B975="",MIN(AB$38,$D$19)&lt;MAX($P$708*($B975+IF($R$17="Distrato",$I$38-1,0)),IF(AND($L$711=0,$P$708=0),"",$L$711-1),IF($R$17="Distrato",$E975,0))),0,YEARFRAC(MAX($P$708*($B975+IF($R$17="Distrato",$I$38-1,0)),IF(AND($L$711=0,$P$708=0),"",$L$711-1),IF($R$17="Distrato",$E975,0)),MIN(AB$38,$D$19),$P$20))-SUM($P975:AA975)</f>
        <v>#VALUE!</v>
      </c>
      <c r="AC975" s="446" t="e">
        <f>IF(OR($B975="",MIN(AC$38,$D$19)&lt;MAX($P$708*($B975+IF($R$17="Distrato",$I$38-1,0)),IF(AND($L$711=0,$P$708=0),"",$L$711-1),IF($R$17="Distrato",$E975,0))),0,YEARFRAC(MAX($P$708*($B975+IF($R$17="Distrato",$I$38-1,0)),IF(AND($L$711=0,$P$708=0),"",$L$711-1),IF($R$17="Distrato",$E975,0)),MIN(AC$38,$D$19),$P$20))-SUM($P975:AB975)</f>
        <v>#VALUE!</v>
      </c>
      <c r="AD975" s="446" t="e">
        <f>IF(OR($B975="",MIN(AD$38,$D$19)&lt;MAX($P$708*($B975+IF($R$17="Distrato",$I$38-1,0)),IF(AND($L$711=0,$P$708=0),"",$L$711-1),IF($R$17="Distrato",$E975,0))),0,YEARFRAC(MAX($P$708*($B975+IF($R$17="Distrato",$I$38-1,0)),IF(AND($L$711=0,$P$708=0),"",$L$711-1),IF($R$17="Distrato",$E975,0)),MIN(AD$38,$D$19),$P$20))-SUM($P975:AC975)</f>
        <v>#VALUE!</v>
      </c>
      <c r="AE975" s="446" t="e">
        <f>IF(OR($B975="",MIN(AE$38,$D$19)&lt;MAX($P$708*($B975+IF($R$17="Distrato",$I$38-1,0)),IF(AND($L$711=0,$P$708=0),"",$L$711-1),IF($R$17="Distrato",$E975,0))),0,YEARFRAC(MAX($P$708*($B975+IF($R$17="Distrato",$I$38-1,0)),IF(AND($L$711=0,$P$708=0),"",$L$711-1),IF($R$17="Distrato",$E975,0)),MIN(AE$38,$D$19),$P$20))-SUM($P975:AD975)</f>
        <v>#VALUE!</v>
      </c>
      <c r="AF975" s="446" t="e">
        <f>IF(OR($B975="",MIN(AF$38,$D$19)&lt;MAX($P$708*($B975+IF($R$17="Distrato",$I$38-1,0)),IF(AND($L$711=0,$P$708=0),"",$L$711-1),IF($R$17="Distrato",$E975,0))),0,YEARFRAC(MAX($P$708*($B975+IF($R$17="Distrato",$I$38-1,0)),IF(AND($L$711=0,$P$708=0),"",$L$711-1),IF($R$17="Distrato",$E975,0)),MIN(AF$38,$D$19),$P$20))-SUM($P975:AE975)</f>
        <v>#VALUE!</v>
      </c>
      <c r="AG975" s="446" t="e">
        <f>IF(OR($B975="",MIN(AG$38,$D$19)&lt;MAX($P$708*($B975+IF($R$17="Distrato",$I$38-1,0)),IF(AND($L$711=0,$P$708=0),"",$L$711-1),IF($R$17="Distrato",$E975,0))),0,YEARFRAC(MAX($P$708*($B975+IF($R$17="Distrato",$I$38-1,0)),IF(AND($L$711=0,$P$708=0),"",$L$711-1),IF($R$17="Distrato",$E975,0)),MIN(AG$38,$D$19),$P$20))-SUM($P975:AF975)</f>
        <v>#VALUE!</v>
      </c>
      <c r="AH975" s="446" t="e">
        <f>IF(OR($B975="",MIN(AH$38,$D$19)&lt;MAX($P$708*($B975+IF($R$17="Distrato",$I$38-1,0)),IF(AND($L$711=0,$P$708=0),"",$L$711-1),IF($R$17="Distrato",$E975,0))),0,YEARFRAC(MAX($P$708*($B975+IF($R$17="Distrato",$I$38-1,0)),IF(AND($L$711=0,$P$708=0),"",$L$711-1),IF($R$17="Distrato",$E975,0)),MIN(AH$38,$D$19),$P$20))-SUM($P975:AG975)</f>
        <v>#VALUE!</v>
      </c>
      <c r="AI975" s="446" t="e">
        <f>IF(OR($B975="",MIN(AI$38,$D$19)&lt;MAX($P$708*($B975+IF($R$17="Distrato",$I$38-1,0)),IF(AND($L$711=0,$P$708=0),"",$L$711-1),IF($R$17="Distrato",$E975,0))),0,YEARFRAC(MAX($P$708*($B975+IF($R$17="Distrato",$I$38-1,0)),IF(AND($L$711=0,$P$708=0),"",$L$711-1),IF($R$17="Distrato",$E975,0)),MIN(AI$38,$D$19),$P$20))-SUM($P975:AH975)</f>
        <v>#VALUE!</v>
      </c>
      <c r="AJ975" s="446" t="e">
        <f>IF(OR($B975="",MIN(AJ$38,$D$19)&lt;MAX($P$708*($B975+IF($R$17="Distrato",$I$38-1,0)),IF(AND($L$711=0,$P$708=0),"",$L$711-1),IF($R$17="Distrato",$E975,0))),0,YEARFRAC(MAX($P$708*($B975+IF($R$17="Distrato",$I$38-1,0)),IF(AND($L$711=0,$P$708=0),"",$L$711-1),IF($R$17="Distrato",$E975,0)),MIN(AJ$38,$D$19),$P$20))-SUM($P975:AI975)</f>
        <v>#VALUE!</v>
      </c>
      <c r="AK975" s="446" t="e">
        <f>IF(OR($B975="",MIN(AK$38,$D$19)&lt;MAX($P$708*($B975+IF($R$17="Distrato",$I$38-1,0)),IF(AND($L$711=0,$P$708=0),"",$L$711-1),IF($R$17="Distrato",$E975,0))),0,YEARFRAC(MAX($P$708*($B975+IF($R$17="Distrato",$I$38-1,0)),IF(AND($L$711=0,$P$708=0),"",$L$711-1),IF($R$17="Distrato",$E975,0)),MIN(AK$38,$D$19),$P$20))-SUM($P975:AJ975)</f>
        <v>#VALUE!</v>
      </c>
      <c r="AL975" s="446" t="e">
        <f>IF(OR($B975="",MIN(AL$38,$D$19)&lt;MAX($P$708*($B975+IF($R$17="Distrato",$I$38-1,0)),IF(AND($L$711=0,$P$708=0),"",$L$711-1),IF($R$17="Distrato",$E975,0))),0,YEARFRAC(MAX($P$708*($B975+IF($R$17="Distrato",$I$38-1,0)),IF(AND($L$711=0,$P$708=0),"",$L$711-1),IF($R$17="Distrato",$E975,0)),MIN(AL$38,$D$19),$P$20))-SUM($P975:AK975)</f>
        <v>#VALUE!</v>
      </c>
      <c r="AM975" s="446" t="e">
        <f>IF(OR($B975="",MIN(AM$38,$D$19)&lt;MAX($P$708*($B975+IF($R$17="Distrato",$I$38-1,0)),IF(AND($L$711=0,$P$708=0),"",$L$711-1),IF($R$17="Distrato",$E975,0))),0,YEARFRAC(MAX($P$708*($B975+IF($R$17="Distrato",$I$38-1,0)),IF(AND($L$711=0,$P$708=0),"",$L$711-1),IF($R$17="Distrato",$E975,0)),MIN(AM$38,$D$19),$P$20))-SUM($P975:AL975)</f>
        <v>#VALUE!</v>
      </c>
      <c r="AN975" s="446" t="e">
        <f>IF(OR($B975="",MIN(AN$38,$D$19)&lt;MAX($P$708*($B975+IF($R$17="Distrato",$I$38-1,0)),IF(AND($L$711=0,$P$708=0),"",$L$711-1),IF($R$17="Distrato",$E975,0))),0,YEARFRAC(MAX($P$708*($B975+IF($R$17="Distrato",$I$38-1,0)),IF(AND($L$711=0,$P$708=0),"",$L$711-1),IF($R$17="Distrato",$E975,0)),MIN(AN$38,$D$19),$P$20))-SUM($P975:AM975)</f>
        <v>#VALUE!</v>
      </c>
      <c r="AO975" s="446" t="e">
        <f>IF(OR($B975="",MIN(AO$38,$D$19)&lt;MAX($P$708*($B975+IF($R$17="Distrato",$I$38-1,0)),IF(AND($L$711=0,$P$708=0),"",$L$711-1),IF($R$17="Distrato",$E975,0))),0,YEARFRAC(MAX($P$708*($B975+IF($R$17="Distrato",$I$38-1,0)),IF(AND($L$711=0,$P$708=0),"",$L$711-1),IF($R$17="Distrato",$E975,0)),MIN(AO$38,$D$19),$P$20))-SUM($P975:AN975)</f>
        <v>#VALUE!</v>
      </c>
      <c r="AP975" s="446" t="e">
        <f>IF(OR($B975="",MIN(AP$38,$D$19)&lt;MAX($P$708*($B975+IF($R$17="Distrato",$I$38-1,0)),IF(AND($L$711=0,$P$708=0),"",$L$711-1),IF($R$17="Distrato",$E975,0))),0,YEARFRAC(MAX($P$708*($B975+IF($R$17="Distrato",$I$38-1,0)),IF(AND($L$711=0,$P$708=0),"",$L$711-1),IF($R$17="Distrato",$E975,0)),MIN(AP$38,$D$19),$P$20))-SUM($P975:AO975)</f>
        <v>#VALUE!</v>
      </c>
      <c r="AQ975" s="446" t="e">
        <f>IF(OR($B975="",MIN(AQ$38,$D$19)&lt;MAX($P$708*($B975+IF($R$17="Distrato",$I$38-1,0)),IF(AND($L$711=0,$P$708=0),"",$L$711-1),IF($R$17="Distrato",$E975,0))),0,YEARFRAC(MAX($P$708*($B975+IF($R$17="Distrato",$I$38-1,0)),IF(AND($L$711=0,$P$708=0),"",$L$711-1),IF($R$17="Distrato",$E975,0)),MIN(AQ$38,$D$19),$P$20))-SUM($P975:AP975)</f>
        <v>#VALUE!</v>
      </c>
      <c r="AR975" s="446" t="e">
        <f>IF(OR($B975="",MIN(AR$38,$D$19)&lt;MAX($P$708*($B975+IF($R$17="Distrato",$I$38-1,0)),IF(AND($L$711=0,$P$708=0),"",$L$711-1),IF($R$17="Distrato",$E975,0))),0,YEARFRAC(MAX($P$708*($B975+IF($R$17="Distrato",$I$38-1,0)),IF(AND($L$711=0,$P$708=0),"",$L$711-1),IF($R$17="Distrato",$E975,0)),MIN(AR$38,$D$19),$P$20))-SUM($P975:AQ975)</f>
        <v>#VALUE!</v>
      </c>
      <c r="AS975" s="446" t="e">
        <f>IF(OR($B975="",MIN(AS$38,$D$19)&lt;MAX($P$708*($B975+IF($R$17="Distrato",$I$38-1,0)),IF(AND($L$711=0,$P$708=0),"",$L$711-1),IF($R$17="Distrato",$E975,0))),0,YEARFRAC(MAX($P$708*($B975+IF($R$17="Distrato",$I$38-1,0)),IF(AND($L$711=0,$P$708=0),"",$L$711-1),IF($R$17="Distrato",$E975,0)),MIN(AS$38,$D$19),$P$20))-SUM($P975:AR975)</f>
        <v>#VALUE!</v>
      </c>
      <c r="AT975" s="446" t="e">
        <f>IF(OR($B975="",MIN(AT$38,$D$19)&lt;MAX($P$708*($B975+IF($R$17="Distrato",$I$38-1,0)),IF(AND($L$711=0,$P$708=0),"",$L$711-1),IF($R$17="Distrato",$E975,0))),0,YEARFRAC(MAX($P$708*($B975+IF($R$17="Distrato",$I$38-1,0)),IF(AND($L$711=0,$P$708=0),"",$L$711-1),IF($R$17="Distrato",$E975,0)),MIN(AT$38,$D$19),$P$20))-SUM($P975:AS975)</f>
        <v>#VALUE!</v>
      </c>
      <c r="AU975" s="446" t="e">
        <f>IF(OR($B975="",MIN(AU$38,$D$19)&lt;MAX($P$708*($B975+IF($R$17="Distrato",$I$38-1,0)),IF(AND($L$711=0,$P$708=0),"",$L$711-1),IF($R$17="Distrato",$E975,0))),0,YEARFRAC(MAX($P$708*($B975+IF($R$17="Distrato",$I$38-1,0)),IF(AND($L$711=0,$P$708=0),"",$L$711-1),IF($R$17="Distrato",$E975,0)),MIN(AU$38,$D$19),$P$20))-SUM($P975:AT975)</f>
        <v>#VALUE!</v>
      </c>
      <c r="AV975" s="446" t="e">
        <f>IF(OR($B975="",MIN(AV$38,$D$19)&lt;MAX($P$708*($B975+IF($R$17="Distrato",$I$38-1,0)),IF(AND($L$711=0,$P$708=0),"",$L$711-1),IF($R$17="Distrato",$E975,0))),0,YEARFRAC(MAX($P$708*($B975+IF($R$17="Distrato",$I$38-1,0)),IF(AND($L$711=0,$P$708=0),"",$L$711-1),IF($R$17="Distrato",$E975,0)),MIN(AV$38,$D$19),$P$20))-SUM($P975:AU975)</f>
        <v>#VALUE!</v>
      </c>
      <c r="AW975" s="446" t="e">
        <f>IF(OR($B975="",MIN(AW$38,$D$19)&lt;MAX($P$708*($B975+IF($R$17="Distrato",$I$38-1,0)),IF(AND($L$711=0,$P$708=0),"",$L$711-1),IF($R$17="Distrato",$E975,0))),0,YEARFRAC(MAX($P$708*($B975+IF($R$17="Distrato",$I$38-1,0)),IF(AND($L$711=0,$P$708=0),"",$L$711-1),IF($R$17="Distrato",$E975,0)),MIN(AW$38,$D$19),$P$20))-SUM($P975:AV975)</f>
        <v>#VALUE!</v>
      </c>
      <c r="AX975" s="446" t="e">
        <f>IF(OR($B975="",MIN(AX$38,$D$19)&lt;MAX($P$708*($B975+IF($R$17="Distrato",$I$38-1,0)),IF(AND($L$711=0,$P$708=0),"",$L$711-1),IF($R$17="Distrato",$E975,0))),0,YEARFRAC(MAX($P$708*($B975+IF($R$17="Distrato",$I$38-1,0)),IF(AND($L$711=0,$P$708=0),"",$L$711-1),IF($R$17="Distrato",$E975,0)),MIN(AX$38,$D$19),$P$20))-SUM($P975:AW975)</f>
        <v>#VALUE!</v>
      </c>
      <c r="AY975" s="446" t="e">
        <f>IF(OR($B975="",MIN(AY$38,$D$19)&lt;MAX($P$708*($B975+IF($R$17="Distrato",$I$38-1,0)),IF(AND($L$711=0,$P$708=0),"",$L$711-1),IF($R$17="Distrato",$E975,0))),0,YEARFRAC(MAX($P$708*($B975+IF($R$17="Distrato",$I$38-1,0)),IF(AND($L$711=0,$P$708=0),"",$L$711-1),IF($R$17="Distrato",$E975,0)),MIN(AY$38,$D$19),$P$20))-SUM($P975:AX975)</f>
        <v>#VALUE!</v>
      </c>
      <c r="AZ975" s="446" t="e">
        <f>IF(OR($B975="",MIN(AZ$38,$D$19)&lt;MAX($P$708*($B975+IF($R$17="Distrato",$I$38-1,0)),IF(AND($L$711=0,$P$708=0),"",$L$711-1),IF($R$17="Distrato",$E975,0))),0,YEARFRAC(MAX($P$708*($B975+IF($R$17="Distrato",$I$38-1,0)),IF(AND($L$711=0,$P$708=0),"",$L$711-1),IF($R$17="Distrato",$E975,0)),MIN(AZ$38,$D$19),$P$20))-SUM($P975:AY975)</f>
        <v>#VALUE!</v>
      </c>
      <c r="BA975" s="446" t="e">
        <f>IF(OR($B975="",MIN(BA$38,$D$19)&lt;MAX($P$708*($B975+IF($R$17="Distrato",$I$38-1,0)),IF(AND($L$711=0,$P$708=0),"",$L$711-1),IF($R$17="Distrato",$E975,0))),0,YEARFRAC(MAX($P$708*($B975+IF($R$17="Distrato",$I$38-1,0)),IF(AND($L$711=0,$P$708=0),"",$L$711-1),IF($R$17="Distrato",$E975,0)),MIN(BA$38,$D$19),$P$20))-SUM($P975:AZ975)</f>
        <v>#VALUE!</v>
      </c>
      <c r="BB975" s="447"/>
    </row>
    <row r="976" spans="1:54" s="446" customFormat="1" ht="11.25" hidden="1" customHeight="1" x14ac:dyDescent="0.2">
      <c r="A976" s="235"/>
      <c r="B976" s="236"/>
      <c r="C976" s="29" t="str">
        <f>IF(B976="","",IF($L$709=$BL$25,VLOOKUP(DATE(YEAR($D$19),MONTH($D$19)-1,1),ÍNDICES!$A:$DE,HLOOKUP($BL$25,ÍNDICES!$B$3:$T$4,2)+11)-VLOOKUP(B976,ÍNDICES!$A:$DE,HLOOKUP($BL$25,ÍNDICES!$B$3:$T$4,2)+11)+1%,IF(C$712=$W$26,$J$35,IF(ISERROR(IF(B976&gt;$D$19,1,VLOOKUP(DATE(YEAR(B976),MONTH(B976)+IF($C$709=$S$23,1,0),1),ÍNDICES!$A:$DE,$Z$709+1))),"",IF(B976&gt;$D$19,1,VLOOKUP(DATE(YEAR(B976),MONTH(B976)+IF($C$709=$S$23,1,0),1),ÍNDICES!$A:$DE,$Z$709+1))))))</f>
        <v/>
      </c>
      <c r="D976" s="155"/>
      <c r="E976" s="88"/>
      <c r="F976" s="88"/>
      <c r="G976" s="88"/>
      <c r="H976" s="118"/>
      <c r="I976" s="182">
        <f t="shared" si="143"/>
        <v>0</v>
      </c>
      <c r="J976" s="20">
        <f t="shared" ca="1" si="144"/>
        <v>0</v>
      </c>
      <c r="K976" s="5">
        <f t="shared" ca="1" si="145"/>
        <v>0</v>
      </c>
      <c r="L976" s="61">
        <f t="shared" ca="1" si="146"/>
        <v>0</v>
      </c>
      <c r="M976" s="64">
        <f t="shared" si="147"/>
        <v>0</v>
      </c>
      <c r="N976" s="151"/>
      <c r="O976" s="5">
        <f t="shared" ca="1" si="148"/>
        <v>0</v>
      </c>
      <c r="P976" s="446" t="e">
        <f t="shared" si="149"/>
        <v>#VALUE!</v>
      </c>
      <c r="Q976" s="446" t="e">
        <f>IF(OR($B976="",MIN(Q$38,$D$19)&lt;MAX($P$708*($B976+IF($R$17="Distrato",$I$38-1,0)),IF(AND($L$711=0,$P$708=0),"",$L$711-1),IF($R$17="Distrato",$E976,0))),0,YEARFRAC(MAX($P$708*($B976+IF($R$17="Distrato",$I$38-1,0)),IF(AND($L$711=0,$P$708=0),"",$L$711-1),IF($R$17="Distrato",$E976,0)),MIN(Q$38,$D$19),$P$20))-SUM($P976:P976)</f>
        <v>#VALUE!</v>
      </c>
      <c r="R976" s="446" t="e">
        <f>IF(OR($B976="",MIN(R$38,$D$19)&lt;MAX($P$708*($B976+IF($R$17="Distrato",$I$38-1,0)),IF(AND($L$711=0,$P$708=0),"",$L$711-1),IF($R$17="Distrato",$E976,0))),0,YEARFRAC(MAX($P$708*($B976+IF($R$17="Distrato",$I$38-1,0)),IF(AND($L$711=0,$P$708=0),"",$L$711-1),IF($R$17="Distrato",$E976,0)),MIN(R$38,$D$19),$P$20))-SUM($P976:Q976)</f>
        <v>#VALUE!</v>
      </c>
      <c r="S976" s="446" t="e">
        <f>IF(OR($B976="",MIN(S$38,$D$19)&lt;MAX($P$708*($B976+IF($R$17="Distrato",$I$38-1,0)),IF(AND($L$711=0,$P$708=0),"",$L$711-1),IF($R$17="Distrato",$E976,0))),0,YEARFRAC(MAX($P$708*($B976+IF($R$17="Distrato",$I$38-1,0)),IF(AND($L$711=0,$P$708=0),"",$L$711-1),IF($R$17="Distrato",$E976,0)),MIN(S$38,$D$19),$P$20))-SUM($P976:R976)</f>
        <v>#VALUE!</v>
      </c>
      <c r="T976" s="446" t="e">
        <f>IF(OR($B976="",MIN(T$38,$D$19)&lt;MAX($P$708*($B976+IF($R$17="Distrato",$I$38-1,0)),IF(AND($L$711=0,$P$708=0),"",$L$711-1),IF($R$17="Distrato",$E976,0))),0,YEARFRAC(MAX($P$708*($B976+IF($R$17="Distrato",$I$38-1,0)),IF(AND($L$711=0,$P$708=0),"",$L$711-1),IF($R$17="Distrato",$E976,0)),MIN(T$38,$D$19),$P$20))-SUM($P976:S976)</f>
        <v>#VALUE!</v>
      </c>
      <c r="U976" s="446" t="e">
        <f>IF(OR($B976="",MIN(U$38,$D$19)&lt;MAX($P$708*($B976+IF($R$17="Distrato",$I$38-1,0)),IF(AND($L$711=0,$P$708=0),"",$L$711-1),IF($R$17="Distrato",$E976,0))),0,YEARFRAC(MAX($P$708*($B976+IF($R$17="Distrato",$I$38-1,0)),IF(AND($L$711=0,$P$708=0),"",$L$711-1),IF($R$17="Distrato",$E976,0)),MIN(U$38,$D$19),$P$20))-SUM($P976:T976)</f>
        <v>#VALUE!</v>
      </c>
      <c r="V976" s="446" t="e">
        <f>IF(OR($B976="",MIN(V$38,$D$19)&lt;MAX($P$708*($B976+IF($R$17="Distrato",$I$38-1,0)),IF(AND($L$711=0,$P$708=0),"",$L$711-1),IF($R$17="Distrato",$E976,0))),0,YEARFRAC(MAX($P$708*($B976+IF($R$17="Distrato",$I$38-1,0)),IF(AND($L$711=0,$P$708=0),"",$L$711-1),IF($R$17="Distrato",$E976,0)),MIN(V$38,$D$19),$P$20))-SUM($P976:U976)</f>
        <v>#VALUE!</v>
      </c>
      <c r="W976" s="446" t="e">
        <f>IF(OR($B976="",MIN(W$38,$D$19)&lt;MAX($P$708*($B976+IF($R$17="Distrato",$I$38-1,0)),IF(AND($L$711=0,$P$708=0),"",$L$711-1),IF($R$17="Distrato",$E976,0))),0,YEARFRAC(MAX($P$708*($B976+IF($R$17="Distrato",$I$38-1,0)),IF(AND($L$711=0,$P$708=0),"",$L$711-1),IF($R$17="Distrato",$E976,0)),MIN(W$38,$D$19),$P$20))-SUM($P976:V976)</f>
        <v>#VALUE!</v>
      </c>
      <c r="X976" s="446" t="e">
        <f>IF(OR($B976="",MIN(X$38,$D$19)&lt;MAX($P$708*($B976+IF($R$17="Distrato",$I$38-1,0)),IF(AND($L$711=0,$P$708=0),"",$L$711-1),IF($R$17="Distrato",$E976,0))),0,YEARFRAC(MAX($P$708*($B976+IF($R$17="Distrato",$I$38-1,0)),IF(AND($L$711=0,$P$708=0),"",$L$711-1),IF($R$17="Distrato",$E976,0)),MIN(X$38,$D$19),$P$20))-SUM($P976:W976)</f>
        <v>#VALUE!</v>
      </c>
      <c r="Y976" s="446" t="e">
        <f>IF(OR($B976="",MIN(Y$38,$D$19)&lt;MAX($P$708*($B976+IF($R$17="Distrato",$I$38-1,0)),IF(AND($L$711=0,$P$708=0),"",$L$711-1),IF($R$17="Distrato",$E976,0))),0,YEARFRAC(MAX($P$708*($B976+IF($R$17="Distrato",$I$38-1,0)),IF(AND($L$711=0,$P$708=0),"",$L$711-1),IF($R$17="Distrato",$E976,0)),MIN(Y$38,$D$19),$P$20))-SUM($P976:X976)</f>
        <v>#VALUE!</v>
      </c>
      <c r="Z976" s="446" t="e">
        <f>IF(OR($B976="",MIN(Z$38,$D$19)&lt;MAX($P$708*($B976+IF($R$17="Distrato",$I$38-1,0)),IF(AND($L$711=0,$P$708=0),"",$L$711-1),IF($R$17="Distrato",$E976,0))),0,YEARFRAC(MAX($P$708*($B976+IF($R$17="Distrato",$I$38-1,0)),IF(AND($L$711=0,$P$708=0),"",$L$711-1),IF($R$17="Distrato",$E976,0)),MIN(Z$38,$D$19),$P$20))-SUM($P976:Y976)</f>
        <v>#VALUE!</v>
      </c>
      <c r="AA976" s="446" t="e">
        <f>IF(OR($B976="",MIN(AA$38,$D$19)&lt;MAX($P$708*($B976+IF($R$17="Distrato",$I$38-1,0)),IF(AND($L$711=0,$P$708=0),"",$L$711-1),IF($R$17="Distrato",$E976,0))),0,YEARFRAC(MAX($P$708*($B976+IF($R$17="Distrato",$I$38-1,0)),IF(AND($L$711=0,$P$708=0),"",$L$711-1),IF($R$17="Distrato",$E976,0)),MIN(AA$38,$D$19),$P$20))-SUM($P976:Z976)</f>
        <v>#VALUE!</v>
      </c>
      <c r="AB976" s="446" t="e">
        <f>IF(OR($B976="",MIN(AB$38,$D$19)&lt;MAX($P$708*($B976+IF($R$17="Distrato",$I$38-1,0)),IF(AND($L$711=0,$P$708=0),"",$L$711-1),IF($R$17="Distrato",$E976,0))),0,YEARFRAC(MAX($P$708*($B976+IF($R$17="Distrato",$I$38-1,0)),IF(AND($L$711=0,$P$708=0),"",$L$711-1),IF($R$17="Distrato",$E976,0)),MIN(AB$38,$D$19),$P$20))-SUM($P976:AA976)</f>
        <v>#VALUE!</v>
      </c>
      <c r="AC976" s="446" t="e">
        <f>IF(OR($B976="",MIN(AC$38,$D$19)&lt;MAX($P$708*($B976+IF($R$17="Distrato",$I$38-1,0)),IF(AND($L$711=0,$P$708=0),"",$L$711-1),IF($R$17="Distrato",$E976,0))),0,YEARFRAC(MAX($P$708*($B976+IF($R$17="Distrato",$I$38-1,0)),IF(AND($L$711=0,$P$708=0),"",$L$711-1),IF($R$17="Distrato",$E976,0)),MIN(AC$38,$D$19),$P$20))-SUM($P976:AB976)</f>
        <v>#VALUE!</v>
      </c>
      <c r="AD976" s="446" t="e">
        <f>IF(OR($B976="",MIN(AD$38,$D$19)&lt;MAX($P$708*($B976+IF($R$17="Distrato",$I$38-1,0)),IF(AND($L$711=0,$P$708=0),"",$L$711-1),IF($R$17="Distrato",$E976,0))),0,YEARFRAC(MAX($P$708*($B976+IF($R$17="Distrato",$I$38-1,0)),IF(AND($L$711=0,$P$708=0),"",$L$711-1),IF($R$17="Distrato",$E976,0)),MIN(AD$38,$D$19),$P$20))-SUM($P976:AC976)</f>
        <v>#VALUE!</v>
      </c>
      <c r="AE976" s="446" t="e">
        <f>IF(OR($B976="",MIN(AE$38,$D$19)&lt;MAX($P$708*($B976+IF($R$17="Distrato",$I$38-1,0)),IF(AND($L$711=0,$P$708=0),"",$L$711-1),IF($R$17="Distrato",$E976,0))),0,YEARFRAC(MAX($P$708*($B976+IF($R$17="Distrato",$I$38-1,0)),IF(AND($L$711=0,$P$708=0),"",$L$711-1),IF($R$17="Distrato",$E976,0)),MIN(AE$38,$D$19),$P$20))-SUM($P976:AD976)</f>
        <v>#VALUE!</v>
      </c>
      <c r="AF976" s="446" t="e">
        <f>IF(OR($B976="",MIN(AF$38,$D$19)&lt;MAX($P$708*($B976+IF($R$17="Distrato",$I$38-1,0)),IF(AND($L$711=0,$P$708=0),"",$L$711-1),IF($R$17="Distrato",$E976,0))),0,YEARFRAC(MAX($P$708*($B976+IF($R$17="Distrato",$I$38-1,0)),IF(AND($L$711=0,$P$708=0),"",$L$711-1),IF($R$17="Distrato",$E976,0)),MIN(AF$38,$D$19),$P$20))-SUM($P976:AE976)</f>
        <v>#VALUE!</v>
      </c>
      <c r="AG976" s="446" t="e">
        <f>IF(OR($B976="",MIN(AG$38,$D$19)&lt;MAX($P$708*($B976+IF($R$17="Distrato",$I$38-1,0)),IF(AND($L$711=0,$P$708=0),"",$L$711-1),IF($R$17="Distrato",$E976,0))),0,YEARFRAC(MAX($P$708*($B976+IF($R$17="Distrato",$I$38-1,0)),IF(AND($L$711=0,$P$708=0),"",$L$711-1),IF($R$17="Distrato",$E976,0)),MIN(AG$38,$D$19),$P$20))-SUM($P976:AF976)</f>
        <v>#VALUE!</v>
      </c>
      <c r="AH976" s="446" t="e">
        <f>IF(OR($B976="",MIN(AH$38,$D$19)&lt;MAX($P$708*($B976+IF($R$17="Distrato",$I$38-1,0)),IF(AND($L$711=0,$P$708=0),"",$L$711-1),IF($R$17="Distrato",$E976,0))),0,YEARFRAC(MAX($P$708*($B976+IF($R$17="Distrato",$I$38-1,0)),IF(AND($L$711=0,$P$708=0),"",$L$711-1),IF($R$17="Distrato",$E976,0)),MIN(AH$38,$D$19),$P$20))-SUM($P976:AG976)</f>
        <v>#VALUE!</v>
      </c>
      <c r="AI976" s="446" t="e">
        <f>IF(OR($B976="",MIN(AI$38,$D$19)&lt;MAX($P$708*($B976+IF($R$17="Distrato",$I$38-1,0)),IF(AND($L$711=0,$P$708=0),"",$L$711-1),IF($R$17="Distrato",$E976,0))),0,YEARFRAC(MAX($P$708*($B976+IF($R$17="Distrato",$I$38-1,0)),IF(AND($L$711=0,$P$708=0),"",$L$711-1),IF($R$17="Distrato",$E976,0)),MIN(AI$38,$D$19),$P$20))-SUM($P976:AH976)</f>
        <v>#VALUE!</v>
      </c>
      <c r="AJ976" s="446" t="e">
        <f>IF(OR($B976="",MIN(AJ$38,$D$19)&lt;MAX($P$708*($B976+IF($R$17="Distrato",$I$38-1,0)),IF(AND($L$711=0,$P$708=0),"",$L$711-1),IF($R$17="Distrato",$E976,0))),0,YEARFRAC(MAX($P$708*($B976+IF($R$17="Distrato",$I$38-1,0)),IF(AND($L$711=0,$P$708=0),"",$L$711-1),IF($R$17="Distrato",$E976,0)),MIN(AJ$38,$D$19),$P$20))-SUM($P976:AI976)</f>
        <v>#VALUE!</v>
      </c>
      <c r="AK976" s="446" t="e">
        <f>IF(OR($B976="",MIN(AK$38,$D$19)&lt;MAX($P$708*($B976+IF($R$17="Distrato",$I$38-1,0)),IF(AND($L$711=0,$P$708=0),"",$L$711-1),IF($R$17="Distrato",$E976,0))),0,YEARFRAC(MAX($P$708*($B976+IF($R$17="Distrato",$I$38-1,0)),IF(AND($L$711=0,$P$708=0),"",$L$711-1),IF($R$17="Distrato",$E976,0)),MIN(AK$38,$D$19),$P$20))-SUM($P976:AJ976)</f>
        <v>#VALUE!</v>
      </c>
      <c r="AL976" s="446" t="e">
        <f>IF(OR($B976="",MIN(AL$38,$D$19)&lt;MAX($P$708*($B976+IF($R$17="Distrato",$I$38-1,0)),IF(AND($L$711=0,$P$708=0),"",$L$711-1),IF($R$17="Distrato",$E976,0))),0,YEARFRAC(MAX($P$708*($B976+IF($R$17="Distrato",$I$38-1,0)),IF(AND($L$711=0,$P$708=0),"",$L$711-1),IF($R$17="Distrato",$E976,0)),MIN(AL$38,$D$19),$P$20))-SUM($P976:AK976)</f>
        <v>#VALUE!</v>
      </c>
      <c r="AM976" s="446" t="e">
        <f>IF(OR($B976="",MIN(AM$38,$D$19)&lt;MAX($P$708*($B976+IF($R$17="Distrato",$I$38-1,0)),IF(AND($L$711=0,$P$708=0),"",$L$711-1),IF($R$17="Distrato",$E976,0))),0,YEARFRAC(MAX($P$708*($B976+IF($R$17="Distrato",$I$38-1,0)),IF(AND($L$711=0,$P$708=0),"",$L$711-1),IF($R$17="Distrato",$E976,0)),MIN(AM$38,$D$19),$P$20))-SUM($P976:AL976)</f>
        <v>#VALUE!</v>
      </c>
      <c r="AN976" s="446" t="e">
        <f>IF(OR($B976="",MIN(AN$38,$D$19)&lt;MAX($P$708*($B976+IF($R$17="Distrato",$I$38-1,0)),IF(AND($L$711=0,$P$708=0),"",$L$711-1),IF($R$17="Distrato",$E976,0))),0,YEARFRAC(MAX($P$708*($B976+IF($R$17="Distrato",$I$38-1,0)),IF(AND($L$711=0,$P$708=0),"",$L$711-1),IF($R$17="Distrato",$E976,0)),MIN(AN$38,$D$19),$P$20))-SUM($P976:AM976)</f>
        <v>#VALUE!</v>
      </c>
      <c r="AO976" s="446" t="e">
        <f>IF(OR($B976="",MIN(AO$38,$D$19)&lt;MAX($P$708*($B976+IF($R$17="Distrato",$I$38-1,0)),IF(AND($L$711=0,$P$708=0),"",$L$711-1),IF($R$17="Distrato",$E976,0))),0,YEARFRAC(MAX($P$708*($B976+IF($R$17="Distrato",$I$38-1,0)),IF(AND($L$711=0,$P$708=0),"",$L$711-1),IF($R$17="Distrato",$E976,0)),MIN(AO$38,$D$19),$P$20))-SUM($P976:AN976)</f>
        <v>#VALUE!</v>
      </c>
      <c r="AP976" s="446" t="e">
        <f>IF(OR($B976="",MIN(AP$38,$D$19)&lt;MAX($P$708*($B976+IF($R$17="Distrato",$I$38-1,0)),IF(AND($L$711=0,$P$708=0),"",$L$711-1),IF($R$17="Distrato",$E976,0))),0,YEARFRAC(MAX($P$708*($B976+IF($R$17="Distrato",$I$38-1,0)),IF(AND($L$711=0,$P$708=0),"",$L$711-1),IF($R$17="Distrato",$E976,0)),MIN(AP$38,$D$19),$P$20))-SUM($P976:AO976)</f>
        <v>#VALUE!</v>
      </c>
      <c r="AQ976" s="446" t="e">
        <f>IF(OR($B976="",MIN(AQ$38,$D$19)&lt;MAX($P$708*($B976+IF($R$17="Distrato",$I$38-1,0)),IF(AND($L$711=0,$P$708=0),"",$L$711-1),IF($R$17="Distrato",$E976,0))),0,YEARFRAC(MAX($P$708*($B976+IF($R$17="Distrato",$I$38-1,0)),IF(AND($L$711=0,$P$708=0),"",$L$711-1),IF($R$17="Distrato",$E976,0)),MIN(AQ$38,$D$19),$P$20))-SUM($P976:AP976)</f>
        <v>#VALUE!</v>
      </c>
      <c r="AR976" s="446" t="e">
        <f>IF(OR($B976="",MIN(AR$38,$D$19)&lt;MAX($P$708*($B976+IF($R$17="Distrato",$I$38-1,0)),IF(AND($L$711=0,$P$708=0),"",$L$711-1),IF($R$17="Distrato",$E976,0))),0,YEARFRAC(MAX($P$708*($B976+IF($R$17="Distrato",$I$38-1,0)),IF(AND($L$711=0,$P$708=0),"",$L$711-1),IF($R$17="Distrato",$E976,0)),MIN(AR$38,$D$19),$P$20))-SUM($P976:AQ976)</f>
        <v>#VALUE!</v>
      </c>
      <c r="AS976" s="446" t="e">
        <f>IF(OR($B976="",MIN(AS$38,$D$19)&lt;MAX($P$708*($B976+IF($R$17="Distrato",$I$38-1,0)),IF(AND($L$711=0,$P$708=0),"",$L$711-1),IF($R$17="Distrato",$E976,0))),0,YEARFRAC(MAX($P$708*($B976+IF($R$17="Distrato",$I$38-1,0)),IF(AND($L$711=0,$P$708=0),"",$L$711-1),IF($R$17="Distrato",$E976,0)),MIN(AS$38,$D$19),$P$20))-SUM($P976:AR976)</f>
        <v>#VALUE!</v>
      </c>
      <c r="AT976" s="446" t="e">
        <f>IF(OR($B976="",MIN(AT$38,$D$19)&lt;MAX($P$708*($B976+IF($R$17="Distrato",$I$38-1,0)),IF(AND($L$711=0,$P$708=0),"",$L$711-1),IF($R$17="Distrato",$E976,0))),0,YEARFRAC(MAX($P$708*($B976+IF($R$17="Distrato",$I$38-1,0)),IF(AND($L$711=0,$P$708=0),"",$L$711-1),IF($R$17="Distrato",$E976,0)),MIN(AT$38,$D$19),$P$20))-SUM($P976:AS976)</f>
        <v>#VALUE!</v>
      </c>
      <c r="AU976" s="446" t="e">
        <f>IF(OR($B976="",MIN(AU$38,$D$19)&lt;MAX($P$708*($B976+IF($R$17="Distrato",$I$38-1,0)),IF(AND($L$711=0,$P$708=0),"",$L$711-1),IF($R$17="Distrato",$E976,0))),0,YEARFRAC(MAX($P$708*($B976+IF($R$17="Distrato",$I$38-1,0)),IF(AND($L$711=0,$P$708=0),"",$L$711-1),IF($R$17="Distrato",$E976,0)),MIN(AU$38,$D$19),$P$20))-SUM($P976:AT976)</f>
        <v>#VALUE!</v>
      </c>
      <c r="AV976" s="446" t="e">
        <f>IF(OR($B976="",MIN(AV$38,$D$19)&lt;MAX($P$708*($B976+IF($R$17="Distrato",$I$38-1,0)),IF(AND($L$711=0,$P$708=0),"",$L$711-1),IF($R$17="Distrato",$E976,0))),0,YEARFRAC(MAX($P$708*($B976+IF($R$17="Distrato",$I$38-1,0)),IF(AND($L$711=0,$P$708=0),"",$L$711-1),IF($R$17="Distrato",$E976,0)),MIN(AV$38,$D$19),$P$20))-SUM($P976:AU976)</f>
        <v>#VALUE!</v>
      </c>
      <c r="AW976" s="446" t="e">
        <f>IF(OR($B976="",MIN(AW$38,$D$19)&lt;MAX($P$708*($B976+IF($R$17="Distrato",$I$38-1,0)),IF(AND($L$711=0,$P$708=0),"",$L$711-1),IF($R$17="Distrato",$E976,0))),0,YEARFRAC(MAX($P$708*($B976+IF($R$17="Distrato",$I$38-1,0)),IF(AND($L$711=0,$P$708=0),"",$L$711-1),IF($R$17="Distrato",$E976,0)),MIN(AW$38,$D$19),$P$20))-SUM($P976:AV976)</f>
        <v>#VALUE!</v>
      </c>
      <c r="AX976" s="446" t="e">
        <f>IF(OR($B976="",MIN(AX$38,$D$19)&lt;MAX($P$708*($B976+IF($R$17="Distrato",$I$38-1,0)),IF(AND($L$711=0,$P$708=0),"",$L$711-1),IF($R$17="Distrato",$E976,0))),0,YEARFRAC(MAX($P$708*($B976+IF($R$17="Distrato",$I$38-1,0)),IF(AND($L$711=0,$P$708=0),"",$L$711-1),IF($R$17="Distrato",$E976,0)),MIN(AX$38,$D$19),$P$20))-SUM($P976:AW976)</f>
        <v>#VALUE!</v>
      </c>
      <c r="AY976" s="446" t="e">
        <f>IF(OR($B976="",MIN(AY$38,$D$19)&lt;MAX($P$708*($B976+IF($R$17="Distrato",$I$38-1,0)),IF(AND($L$711=0,$P$708=0),"",$L$711-1),IF($R$17="Distrato",$E976,0))),0,YEARFRAC(MAX($P$708*($B976+IF($R$17="Distrato",$I$38-1,0)),IF(AND($L$711=0,$P$708=0),"",$L$711-1),IF($R$17="Distrato",$E976,0)),MIN(AY$38,$D$19),$P$20))-SUM($P976:AX976)</f>
        <v>#VALUE!</v>
      </c>
      <c r="AZ976" s="446" t="e">
        <f>IF(OR($B976="",MIN(AZ$38,$D$19)&lt;MAX($P$708*($B976+IF($R$17="Distrato",$I$38-1,0)),IF(AND($L$711=0,$P$708=0),"",$L$711-1),IF($R$17="Distrato",$E976,0))),0,YEARFRAC(MAX($P$708*($B976+IF($R$17="Distrato",$I$38-1,0)),IF(AND($L$711=0,$P$708=0),"",$L$711-1),IF($R$17="Distrato",$E976,0)),MIN(AZ$38,$D$19),$P$20))-SUM($P976:AY976)</f>
        <v>#VALUE!</v>
      </c>
      <c r="BA976" s="446" t="e">
        <f>IF(OR($B976="",MIN(BA$38,$D$19)&lt;MAX($P$708*($B976+IF($R$17="Distrato",$I$38-1,0)),IF(AND($L$711=0,$P$708=0),"",$L$711-1),IF($R$17="Distrato",$E976,0))),0,YEARFRAC(MAX($P$708*($B976+IF($R$17="Distrato",$I$38-1,0)),IF(AND($L$711=0,$P$708=0),"",$L$711-1),IF($R$17="Distrato",$E976,0)),MIN(BA$38,$D$19),$P$20))-SUM($P976:AZ976)</f>
        <v>#VALUE!</v>
      </c>
      <c r="BB976" s="447"/>
    </row>
    <row r="977" spans="1:54" s="446" customFormat="1" ht="11.25" hidden="1" customHeight="1" x14ac:dyDescent="0.2">
      <c r="A977" s="235"/>
      <c r="B977" s="236"/>
      <c r="C977" s="29" t="str">
        <f>IF(B977="","",IF($L$709=$BL$25,VLOOKUP(DATE(YEAR($D$19),MONTH($D$19)-1,1),ÍNDICES!$A:$DE,HLOOKUP($BL$25,ÍNDICES!$B$3:$T$4,2)+11)-VLOOKUP(B977,ÍNDICES!$A:$DE,HLOOKUP($BL$25,ÍNDICES!$B$3:$T$4,2)+11)+1%,IF(C$712=$W$26,$J$35,IF(ISERROR(IF(B977&gt;$D$19,1,VLOOKUP(DATE(YEAR(B977),MONTH(B977)+IF($C$709=$S$23,1,0),1),ÍNDICES!$A:$DE,$Z$709+1))),"",IF(B977&gt;$D$19,1,VLOOKUP(DATE(YEAR(B977),MONTH(B977)+IF($C$709=$S$23,1,0),1),ÍNDICES!$A:$DE,$Z$709+1))))))</f>
        <v/>
      </c>
      <c r="D977" s="155"/>
      <c r="E977" s="88"/>
      <c r="F977" s="88"/>
      <c r="G977" s="88"/>
      <c r="H977" s="118"/>
      <c r="I977" s="182">
        <f t="shared" si="143"/>
        <v>0</v>
      </c>
      <c r="J977" s="20">
        <f t="shared" ca="1" si="144"/>
        <v>0</v>
      </c>
      <c r="K977" s="5">
        <f t="shared" ca="1" si="145"/>
        <v>0</v>
      </c>
      <c r="L977" s="61">
        <f t="shared" ca="1" si="146"/>
        <v>0</v>
      </c>
      <c r="M977" s="64">
        <f t="shared" si="147"/>
        <v>0</v>
      </c>
      <c r="N977" s="151"/>
      <c r="O977" s="5">
        <f t="shared" ca="1" si="148"/>
        <v>0</v>
      </c>
      <c r="P977" s="446" t="e">
        <f t="shared" si="149"/>
        <v>#VALUE!</v>
      </c>
      <c r="Q977" s="446" t="e">
        <f>IF(OR($B977="",MIN(Q$38,$D$19)&lt;MAX($P$708*($B977+IF($R$17="Distrato",$I$38-1,0)),IF(AND($L$711=0,$P$708=0),"",$L$711-1),IF($R$17="Distrato",$E977,0))),0,YEARFRAC(MAX($P$708*($B977+IF($R$17="Distrato",$I$38-1,0)),IF(AND($L$711=0,$P$708=0),"",$L$711-1),IF($R$17="Distrato",$E977,0)),MIN(Q$38,$D$19),$P$20))-SUM($P977:P977)</f>
        <v>#VALUE!</v>
      </c>
      <c r="R977" s="446" t="e">
        <f>IF(OR($B977="",MIN(R$38,$D$19)&lt;MAX($P$708*($B977+IF($R$17="Distrato",$I$38-1,0)),IF(AND($L$711=0,$P$708=0),"",$L$711-1),IF($R$17="Distrato",$E977,0))),0,YEARFRAC(MAX($P$708*($B977+IF($R$17="Distrato",$I$38-1,0)),IF(AND($L$711=0,$P$708=0),"",$L$711-1),IF($R$17="Distrato",$E977,0)),MIN(R$38,$D$19),$P$20))-SUM($P977:Q977)</f>
        <v>#VALUE!</v>
      </c>
      <c r="S977" s="446" t="e">
        <f>IF(OR($B977="",MIN(S$38,$D$19)&lt;MAX($P$708*($B977+IF($R$17="Distrato",$I$38-1,0)),IF(AND($L$711=0,$P$708=0),"",$L$711-1),IF($R$17="Distrato",$E977,0))),0,YEARFRAC(MAX($P$708*($B977+IF($R$17="Distrato",$I$38-1,0)),IF(AND($L$711=0,$P$708=0),"",$L$711-1),IF($R$17="Distrato",$E977,0)),MIN(S$38,$D$19),$P$20))-SUM($P977:R977)</f>
        <v>#VALUE!</v>
      </c>
      <c r="T977" s="446" t="e">
        <f>IF(OR($B977="",MIN(T$38,$D$19)&lt;MAX($P$708*($B977+IF($R$17="Distrato",$I$38-1,0)),IF(AND($L$711=0,$P$708=0),"",$L$711-1),IF($R$17="Distrato",$E977,0))),0,YEARFRAC(MAX($P$708*($B977+IF($R$17="Distrato",$I$38-1,0)),IF(AND($L$711=0,$P$708=0),"",$L$711-1),IF($R$17="Distrato",$E977,0)),MIN(T$38,$D$19),$P$20))-SUM($P977:S977)</f>
        <v>#VALUE!</v>
      </c>
      <c r="U977" s="446" t="e">
        <f>IF(OR($B977="",MIN(U$38,$D$19)&lt;MAX($P$708*($B977+IF($R$17="Distrato",$I$38-1,0)),IF(AND($L$711=0,$P$708=0),"",$L$711-1),IF($R$17="Distrato",$E977,0))),0,YEARFRAC(MAX($P$708*($B977+IF($R$17="Distrato",$I$38-1,0)),IF(AND($L$711=0,$P$708=0),"",$L$711-1),IF($R$17="Distrato",$E977,0)),MIN(U$38,$D$19),$P$20))-SUM($P977:T977)</f>
        <v>#VALUE!</v>
      </c>
      <c r="V977" s="446" t="e">
        <f>IF(OR($B977="",MIN(V$38,$D$19)&lt;MAX($P$708*($B977+IF($R$17="Distrato",$I$38-1,0)),IF(AND($L$711=0,$P$708=0),"",$L$711-1),IF($R$17="Distrato",$E977,0))),0,YEARFRAC(MAX($P$708*($B977+IF($R$17="Distrato",$I$38-1,0)),IF(AND($L$711=0,$P$708=0),"",$L$711-1),IF($R$17="Distrato",$E977,0)),MIN(V$38,$D$19),$P$20))-SUM($P977:U977)</f>
        <v>#VALUE!</v>
      </c>
      <c r="W977" s="446" t="e">
        <f>IF(OR($B977="",MIN(W$38,$D$19)&lt;MAX($P$708*($B977+IF($R$17="Distrato",$I$38-1,0)),IF(AND($L$711=0,$P$708=0),"",$L$711-1),IF($R$17="Distrato",$E977,0))),0,YEARFRAC(MAX($P$708*($B977+IF($R$17="Distrato",$I$38-1,0)),IF(AND($L$711=0,$P$708=0),"",$L$711-1),IF($R$17="Distrato",$E977,0)),MIN(W$38,$D$19),$P$20))-SUM($P977:V977)</f>
        <v>#VALUE!</v>
      </c>
      <c r="X977" s="446" t="e">
        <f>IF(OR($B977="",MIN(X$38,$D$19)&lt;MAX($P$708*($B977+IF($R$17="Distrato",$I$38-1,0)),IF(AND($L$711=0,$P$708=0),"",$L$711-1),IF($R$17="Distrato",$E977,0))),0,YEARFRAC(MAX($P$708*($B977+IF($R$17="Distrato",$I$38-1,0)),IF(AND($L$711=0,$P$708=0),"",$L$711-1),IF($R$17="Distrato",$E977,0)),MIN(X$38,$D$19),$P$20))-SUM($P977:W977)</f>
        <v>#VALUE!</v>
      </c>
      <c r="Y977" s="446" t="e">
        <f>IF(OR($B977="",MIN(Y$38,$D$19)&lt;MAX($P$708*($B977+IF($R$17="Distrato",$I$38-1,0)),IF(AND($L$711=0,$P$708=0),"",$L$711-1),IF($R$17="Distrato",$E977,0))),0,YEARFRAC(MAX($P$708*($B977+IF($R$17="Distrato",$I$38-1,0)),IF(AND($L$711=0,$P$708=0),"",$L$711-1),IF($R$17="Distrato",$E977,0)),MIN(Y$38,$D$19),$P$20))-SUM($P977:X977)</f>
        <v>#VALUE!</v>
      </c>
      <c r="Z977" s="446" t="e">
        <f>IF(OR($B977="",MIN(Z$38,$D$19)&lt;MAX($P$708*($B977+IF($R$17="Distrato",$I$38-1,0)),IF(AND($L$711=0,$P$708=0),"",$L$711-1),IF($R$17="Distrato",$E977,0))),0,YEARFRAC(MAX($P$708*($B977+IF($R$17="Distrato",$I$38-1,0)),IF(AND($L$711=0,$P$708=0),"",$L$711-1),IF($R$17="Distrato",$E977,0)),MIN(Z$38,$D$19),$P$20))-SUM($P977:Y977)</f>
        <v>#VALUE!</v>
      </c>
      <c r="AA977" s="446" t="e">
        <f>IF(OR($B977="",MIN(AA$38,$D$19)&lt;MAX($P$708*($B977+IF($R$17="Distrato",$I$38-1,0)),IF(AND($L$711=0,$P$708=0),"",$L$711-1),IF($R$17="Distrato",$E977,0))),0,YEARFRAC(MAX($P$708*($B977+IF($R$17="Distrato",$I$38-1,0)),IF(AND($L$711=0,$P$708=0),"",$L$711-1),IF($R$17="Distrato",$E977,0)),MIN(AA$38,$D$19),$P$20))-SUM($P977:Z977)</f>
        <v>#VALUE!</v>
      </c>
      <c r="AB977" s="446" t="e">
        <f>IF(OR($B977="",MIN(AB$38,$D$19)&lt;MAX($P$708*($B977+IF($R$17="Distrato",$I$38-1,0)),IF(AND($L$711=0,$P$708=0),"",$L$711-1),IF($R$17="Distrato",$E977,0))),0,YEARFRAC(MAX($P$708*($B977+IF($R$17="Distrato",$I$38-1,0)),IF(AND($L$711=0,$P$708=0),"",$L$711-1),IF($R$17="Distrato",$E977,0)),MIN(AB$38,$D$19),$P$20))-SUM($P977:AA977)</f>
        <v>#VALUE!</v>
      </c>
      <c r="AC977" s="446" t="e">
        <f>IF(OR($B977="",MIN(AC$38,$D$19)&lt;MAX($P$708*($B977+IF($R$17="Distrato",$I$38-1,0)),IF(AND($L$711=0,$P$708=0),"",$L$711-1),IF($R$17="Distrato",$E977,0))),0,YEARFRAC(MAX($P$708*($B977+IF($R$17="Distrato",$I$38-1,0)),IF(AND($L$711=0,$P$708=0),"",$L$711-1),IF($R$17="Distrato",$E977,0)),MIN(AC$38,$D$19),$P$20))-SUM($P977:AB977)</f>
        <v>#VALUE!</v>
      </c>
      <c r="AD977" s="446" t="e">
        <f>IF(OR($B977="",MIN(AD$38,$D$19)&lt;MAX($P$708*($B977+IF($R$17="Distrato",$I$38-1,0)),IF(AND($L$711=0,$P$708=0),"",$L$711-1),IF($R$17="Distrato",$E977,0))),0,YEARFRAC(MAX($P$708*($B977+IF($R$17="Distrato",$I$38-1,0)),IF(AND($L$711=0,$P$708=0),"",$L$711-1),IF($R$17="Distrato",$E977,0)),MIN(AD$38,$D$19),$P$20))-SUM($P977:AC977)</f>
        <v>#VALUE!</v>
      </c>
      <c r="AE977" s="446" t="e">
        <f>IF(OR($B977="",MIN(AE$38,$D$19)&lt;MAX($P$708*($B977+IF($R$17="Distrato",$I$38-1,0)),IF(AND($L$711=0,$P$708=0),"",$L$711-1),IF($R$17="Distrato",$E977,0))),0,YEARFRAC(MAX($P$708*($B977+IF($R$17="Distrato",$I$38-1,0)),IF(AND($L$711=0,$P$708=0),"",$L$711-1),IF($R$17="Distrato",$E977,0)),MIN(AE$38,$D$19),$P$20))-SUM($P977:AD977)</f>
        <v>#VALUE!</v>
      </c>
      <c r="AF977" s="446" t="e">
        <f>IF(OR($B977="",MIN(AF$38,$D$19)&lt;MAX($P$708*($B977+IF($R$17="Distrato",$I$38-1,0)),IF(AND($L$711=0,$P$708=0),"",$L$711-1),IF($R$17="Distrato",$E977,0))),0,YEARFRAC(MAX($P$708*($B977+IF($R$17="Distrato",$I$38-1,0)),IF(AND($L$711=0,$P$708=0),"",$L$711-1),IF($R$17="Distrato",$E977,0)),MIN(AF$38,$D$19),$P$20))-SUM($P977:AE977)</f>
        <v>#VALUE!</v>
      </c>
      <c r="AG977" s="446" t="e">
        <f>IF(OR($B977="",MIN(AG$38,$D$19)&lt;MAX($P$708*($B977+IF($R$17="Distrato",$I$38-1,0)),IF(AND($L$711=0,$P$708=0),"",$L$711-1),IF($R$17="Distrato",$E977,0))),0,YEARFRAC(MAX($P$708*($B977+IF($R$17="Distrato",$I$38-1,0)),IF(AND($L$711=0,$P$708=0),"",$L$711-1),IF($R$17="Distrato",$E977,0)),MIN(AG$38,$D$19),$P$20))-SUM($P977:AF977)</f>
        <v>#VALUE!</v>
      </c>
      <c r="AH977" s="446" t="e">
        <f>IF(OR($B977="",MIN(AH$38,$D$19)&lt;MAX($P$708*($B977+IF($R$17="Distrato",$I$38-1,0)),IF(AND($L$711=0,$P$708=0),"",$L$711-1),IF($R$17="Distrato",$E977,0))),0,YEARFRAC(MAX($P$708*($B977+IF($R$17="Distrato",$I$38-1,0)),IF(AND($L$711=0,$P$708=0),"",$L$711-1),IF($R$17="Distrato",$E977,0)),MIN(AH$38,$D$19),$P$20))-SUM($P977:AG977)</f>
        <v>#VALUE!</v>
      </c>
      <c r="AI977" s="446" t="e">
        <f>IF(OR($B977="",MIN(AI$38,$D$19)&lt;MAX($P$708*($B977+IF($R$17="Distrato",$I$38-1,0)),IF(AND($L$711=0,$P$708=0),"",$L$711-1),IF($R$17="Distrato",$E977,0))),0,YEARFRAC(MAX($P$708*($B977+IF($R$17="Distrato",$I$38-1,0)),IF(AND($L$711=0,$P$708=0),"",$L$711-1),IF($R$17="Distrato",$E977,0)),MIN(AI$38,$D$19),$P$20))-SUM($P977:AH977)</f>
        <v>#VALUE!</v>
      </c>
      <c r="AJ977" s="446" t="e">
        <f>IF(OR($B977="",MIN(AJ$38,$D$19)&lt;MAX($P$708*($B977+IF($R$17="Distrato",$I$38-1,0)),IF(AND($L$711=0,$P$708=0),"",$L$711-1),IF($R$17="Distrato",$E977,0))),0,YEARFRAC(MAX($P$708*($B977+IF($R$17="Distrato",$I$38-1,0)),IF(AND($L$711=0,$P$708=0),"",$L$711-1),IF($R$17="Distrato",$E977,0)),MIN(AJ$38,$D$19),$P$20))-SUM($P977:AI977)</f>
        <v>#VALUE!</v>
      </c>
      <c r="AK977" s="446" t="e">
        <f>IF(OR($B977="",MIN(AK$38,$D$19)&lt;MAX($P$708*($B977+IF($R$17="Distrato",$I$38-1,0)),IF(AND($L$711=0,$P$708=0),"",$L$711-1),IF($R$17="Distrato",$E977,0))),0,YEARFRAC(MAX($P$708*($B977+IF($R$17="Distrato",$I$38-1,0)),IF(AND($L$711=0,$P$708=0),"",$L$711-1),IF($R$17="Distrato",$E977,0)),MIN(AK$38,$D$19),$P$20))-SUM($P977:AJ977)</f>
        <v>#VALUE!</v>
      </c>
      <c r="AL977" s="446" t="e">
        <f>IF(OR($B977="",MIN(AL$38,$D$19)&lt;MAX($P$708*($B977+IF($R$17="Distrato",$I$38-1,0)),IF(AND($L$711=0,$P$708=0),"",$L$711-1),IF($R$17="Distrato",$E977,0))),0,YEARFRAC(MAX($P$708*($B977+IF($R$17="Distrato",$I$38-1,0)),IF(AND($L$711=0,$P$708=0),"",$L$711-1),IF($R$17="Distrato",$E977,0)),MIN(AL$38,$D$19),$P$20))-SUM($P977:AK977)</f>
        <v>#VALUE!</v>
      </c>
      <c r="AM977" s="446" t="e">
        <f>IF(OR($B977="",MIN(AM$38,$D$19)&lt;MAX($P$708*($B977+IF($R$17="Distrato",$I$38-1,0)),IF(AND($L$711=0,$P$708=0),"",$L$711-1),IF($R$17="Distrato",$E977,0))),0,YEARFRAC(MAX($P$708*($B977+IF($R$17="Distrato",$I$38-1,0)),IF(AND($L$711=0,$P$708=0),"",$L$711-1),IF($R$17="Distrato",$E977,0)),MIN(AM$38,$D$19),$P$20))-SUM($P977:AL977)</f>
        <v>#VALUE!</v>
      </c>
      <c r="AN977" s="446" t="e">
        <f>IF(OR($B977="",MIN(AN$38,$D$19)&lt;MAX($P$708*($B977+IF($R$17="Distrato",$I$38-1,0)),IF(AND($L$711=0,$P$708=0),"",$L$711-1),IF($R$17="Distrato",$E977,0))),0,YEARFRAC(MAX($P$708*($B977+IF($R$17="Distrato",$I$38-1,0)),IF(AND($L$711=0,$P$708=0),"",$L$711-1),IF($R$17="Distrato",$E977,0)),MIN(AN$38,$D$19),$P$20))-SUM($P977:AM977)</f>
        <v>#VALUE!</v>
      </c>
      <c r="AO977" s="446" t="e">
        <f>IF(OR($B977="",MIN(AO$38,$D$19)&lt;MAX($P$708*($B977+IF($R$17="Distrato",$I$38-1,0)),IF(AND($L$711=0,$P$708=0),"",$L$711-1),IF($R$17="Distrato",$E977,0))),0,YEARFRAC(MAX($P$708*($B977+IF($R$17="Distrato",$I$38-1,0)),IF(AND($L$711=0,$P$708=0),"",$L$711-1),IF($R$17="Distrato",$E977,0)),MIN(AO$38,$D$19),$P$20))-SUM($P977:AN977)</f>
        <v>#VALUE!</v>
      </c>
      <c r="AP977" s="446" t="e">
        <f>IF(OR($B977="",MIN(AP$38,$D$19)&lt;MAX($P$708*($B977+IF($R$17="Distrato",$I$38-1,0)),IF(AND($L$711=0,$P$708=0),"",$L$711-1),IF($R$17="Distrato",$E977,0))),0,YEARFRAC(MAX($P$708*($B977+IF($R$17="Distrato",$I$38-1,0)),IF(AND($L$711=0,$P$708=0),"",$L$711-1),IF($R$17="Distrato",$E977,0)),MIN(AP$38,$D$19),$P$20))-SUM($P977:AO977)</f>
        <v>#VALUE!</v>
      </c>
      <c r="AQ977" s="446" t="e">
        <f>IF(OR($B977="",MIN(AQ$38,$D$19)&lt;MAX($P$708*($B977+IF($R$17="Distrato",$I$38-1,0)),IF(AND($L$711=0,$P$708=0),"",$L$711-1),IF($R$17="Distrato",$E977,0))),0,YEARFRAC(MAX($P$708*($B977+IF($R$17="Distrato",$I$38-1,0)),IF(AND($L$711=0,$P$708=0),"",$L$711-1),IF($R$17="Distrato",$E977,0)),MIN(AQ$38,$D$19),$P$20))-SUM($P977:AP977)</f>
        <v>#VALUE!</v>
      </c>
      <c r="AR977" s="446" t="e">
        <f>IF(OR($B977="",MIN(AR$38,$D$19)&lt;MAX($P$708*($B977+IF($R$17="Distrato",$I$38-1,0)),IF(AND($L$711=0,$P$708=0),"",$L$711-1),IF($R$17="Distrato",$E977,0))),0,YEARFRAC(MAX($P$708*($B977+IF($R$17="Distrato",$I$38-1,0)),IF(AND($L$711=0,$P$708=0),"",$L$711-1),IF($R$17="Distrato",$E977,0)),MIN(AR$38,$D$19),$P$20))-SUM($P977:AQ977)</f>
        <v>#VALUE!</v>
      </c>
      <c r="AS977" s="446" t="e">
        <f>IF(OR($B977="",MIN(AS$38,$D$19)&lt;MAX($P$708*($B977+IF($R$17="Distrato",$I$38-1,0)),IF(AND($L$711=0,$P$708=0),"",$L$711-1),IF($R$17="Distrato",$E977,0))),0,YEARFRAC(MAX($P$708*($B977+IF($R$17="Distrato",$I$38-1,0)),IF(AND($L$711=0,$P$708=0),"",$L$711-1),IF($R$17="Distrato",$E977,0)),MIN(AS$38,$D$19),$P$20))-SUM($P977:AR977)</f>
        <v>#VALUE!</v>
      </c>
      <c r="AT977" s="446" t="e">
        <f>IF(OR($B977="",MIN(AT$38,$D$19)&lt;MAX($P$708*($B977+IF($R$17="Distrato",$I$38-1,0)),IF(AND($L$711=0,$P$708=0),"",$L$711-1),IF($R$17="Distrato",$E977,0))),0,YEARFRAC(MAX($P$708*($B977+IF($R$17="Distrato",$I$38-1,0)),IF(AND($L$711=0,$P$708=0),"",$L$711-1),IF($R$17="Distrato",$E977,0)),MIN(AT$38,$D$19),$P$20))-SUM($P977:AS977)</f>
        <v>#VALUE!</v>
      </c>
      <c r="AU977" s="446" t="e">
        <f>IF(OR($B977="",MIN(AU$38,$D$19)&lt;MAX($P$708*($B977+IF($R$17="Distrato",$I$38-1,0)),IF(AND($L$711=0,$P$708=0),"",$L$711-1),IF($R$17="Distrato",$E977,0))),0,YEARFRAC(MAX($P$708*($B977+IF($R$17="Distrato",$I$38-1,0)),IF(AND($L$711=0,$P$708=0),"",$L$711-1),IF($R$17="Distrato",$E977,0)),MIN(AU$38,$D$19),$P$20))-SUM($P977:AT977)</f>
        <v>#VALUE!</v>
      </c>
      <c r="AV977" s="446" t="e">
        <f>IF(OR($B977="",MIN(AV$38,$D$19)&lt;MAX($P$708*($B977+IF($R$17="Distrato",$I$38-1,0)),IF(AND($L$711=0,$P$708=0),"",$L$711-1),IF($R$17="Distrato",$E977,0))),0,YEARFRAC(MAX($P$708*($B977+IF($R$17="Distrato",$I$38-1,0)),IF(AND($L$711=0,$P$708=0),"",$L$711-1),IF($R$17="Distrato",$E977,0)),MIN(AV$38,$D$19),$P$20))-SUM($P977:AU977)</f>
        <v>#VALUE!</v>
      </c>
      <c r="AW977" s="446" t="e">
        <f>IF(OR($B977="",MIN(AW$38,$D$19)&lt;MAX($P$708*($B977+IF($R$17="Distrato",$I$38-1,0)),IF(AND($L$711=0,$P$708=0),"",$L$711-1),IF($R$17="Distrato",$E977,0))),0,YEARFRAC(MAX($P$708*($B977+IF($R$17="Distrato",$I$38-1,0)),IF(AND($L$711=0,$P$708=0),"",$L$711-1),IF($R$17="Distrato",$E977,0)),MIN(AW$38,$D$19),$P$20))-SUM($P977:AV977)</f>
        <v>#VALUE!</v>
      </c>
      <c r="AX977" s="446" t="e">
        <f>IF(OR($B977="",MIN(AX$38,$D$19)&lt;MAX($P$708*($B977+IF($R$17="Distrato",$I$38-1,0)),IF(AND($L$711=0,$P$708=0),"",$L$711-1),IF($R$17="Distrato",$E977,0))),0,YEARFRAC(MAX($P$708*($B977+IF($R$17="Distrato",$I$38-1,0)),IF(AND($L$711=0,$P$708=0),"",$L$711-1),IF($R$17="Distrato",$E977,0)),MIN(AX$38,$D$19),$P$20))-SUM($P977:AW977)</f>
        <v>#VALUE!</v>
      </c>
      <c r="AY977" s="446" t="e">
        <f>IF(OR($B977="",MIN(AY$38,$D$19)&lt;MAX($P$708*($B977+IF($R$17="Distrato",$I$38-1,0)),IF(AND($L$711=0,$P$708=0),"",$L$711-1),IF($R$17="Distrato",$E977,0))),0,YEARFRAC(MAX($P$708*($B977+IF($R$17="Distrato",$I$38-1,0)),IF(AND($L$711=0,$P$708=0),"",$L$711-1),IF($R$17="Distrato",$E977,0)),MIN(AY$38,$D$19),$P$20))-SUM($P977:AX977)</f>
        <v>#VALUE!</v>
      </c>
      <c r="AZ977" s="446" t="e">
        <f>IF(OR($B977="",MIN(AZ$38,$D$19)&lt;MAX($P$708*($B977+IF($R$17="Distrato",$I$38-1,0)),IF(AND($L$711=0,$P$708=0),"",$L$711-1),IF($R$17="Distrato",$E977,0))),0,YEARFRAC(MAX($P$708*($B977+IF($R$17="Distrato",$I$38-1,0)),IF(AND($L$711=0,$P$708=0),"",$L$711-1),IF($R$17="Distrato",$E977,0)),MIN(AZ$38,$D$19),$P$20))-SUM($P977:AY977)</f>
        <v>#VALUE!</v>
      </c>
      <c r="BA977" s="446" t="e">
        <f>IF(OR($B977="",MIN(BA$38,$D$19)&lt;MAX($P$708*($B977+IF($R$17="Distrato",$I$38-1,0)),IF(AND($L$711=0,$P$708=0),"",$L$711-1),IF($R$17="Distrato",$E977,0))),0,YEARFRAC(MAX($P$708*($B977+IF($R$17="Distrato",$I$38-1,0)),IF(AND($L$711=0,$P$708=0),"",$L$711-1),IF($R$17="Distrato",$E977,0)),MIN(BA$38,$D$19),$P$20))-SUM($P977:AZ977)</f>
        <v>#VALUE!</v>
      </c>
      <c r="BB977" s="447"/>
    </row>
    <row r="978" spans="1:54" s="446" customFormat="1" ht="11.25" hidden="1" customHeight="1" x14ac:dyDescent="0.2">
      <c r="A978" s="235"/>
      <c r="B978" s="236"/>
      <c r="C978" s="29" t="str">
        <f>IF(B978="","",IF($L$709=$BL$25,VLOOKUP(DATE(YEAR($D$19),MONTH($D$19)-1,1),ÍNDICES!$A:$DE,HLOOKUP($BL$25,ÍNDICES!$B$3:$T$4,2)+11)-VLOOKUP(B978,ÍNDICES!$A:$DE,HLOOKUP($BL$25,ÍNDICES!$B$3:$T$4,2)+11)+1%,IF(C$712=$W$26,$J$35,IF(ISERROR(IF(B978&gt;$D$19,1,VLOOKUP(DATE(YEAR(B978),MONTH(B978)+IF($C$709=$S$23,1,0),1),ÍNDICES!$A:$DE,$Z$709+1))),"",IF(B978&gt;$D$19,1,VLOOKUP(DATE(YEAR(B978),MONTH(B978)+IF($C$709=$S$23,1,0),1),ÍNDICES!$A:$DE,$Z$709+1))))))</f>
        <v/>
      </c>
      <c r="D978" s="155"/>
      <c r="E978" s="88"/>
      <c r="F978" s="88"/>
      <c r="G978" s="88"/>
      <c r="H978" s="118"/>
      <c r="I978" s="182">
        <f t="shared" si="143"/>
        <v>0</v>
      </c>
      <c r="J978" s="20">
        <f t="shared" ca="1" si="144"/>
        <v>0</v>
      </c>
      <c r="K978" s="5">
        <f t="shared" ca="1" si="145"/>
        <v>0</v>
      </c>
      <c r="L978" s="61">
        <f t="shared" ca="1" si="146"/>
        <v>0</v>
      </c>
      <c r="M978" s="64">
        <f t="shared" si="147"/>
        <v>0</v>
      </c>
      <c r="N978" s="151"/>
      <c r="O978" s="5">
        <f t="shared" ca="1" si="148"/>
        <v>0</v>
      </c>
      <c r="P978" s="446" t="e">
        <f t="shared" si="149"/>
        <v>#VALUE!</v>
      </c>
      <c r="Q978" s="446" t="e">
        <f>IF(OR($B978="",MIN(Q$38,$D$19)&lt;MAX($P$708*($B978+IF($R$17="Distrato",$I$38-1,0)),IF(AND($L$711=0,$P$708=0),"",$L$711-1),IF($R$17="Distrato",$E978,0))),0,YEARFRAC(MAX($P$708*($B978+IF($R$17="Distrato",$I$38-1,0)),IF(AND($L$711=0,$P$708=0),"",$L$711-1),IF($R$17="Distrato",$E978,0)),MIN(Q$38,$D$19),$P$20))-SUM($P978:P978)</f>
        <v>#VALUE!</v>
      </c>
      <c r="R978" s="446" t="e">
        <f>IF(OR($B978="",MIN(R$38,$D$19)&lt;MAX($P$708*($B978+IF($R$17="Distrato",$I$38-1,0)),IF(AND($L$711=0,$P$708=0),"",$L$711-1),IF($R$17="Distrato",$E978,0))),0,YEARFRAC(MAX($P$708*($B978+IF($R$17="Distrato",$I$38-1,0)),IF(AND($L$711=0,$P$708=0),"",$L$711-1),IF($R$17="Distrato",$E978,0)),MIN(R$38,$D$19),$P$20))-SUM($P978:Q978)</f>
        <v>#VALUE!</v>
      </c>
      <c r="S978" s="446" t="e">
        <f>IF(OR($B978="",MIN(S$38,$D$19)&lt;MAX($P$708*($B978+IF($R$17="Distrato",$I$38-1,0)),IF(AND($L$711=0,$P$708=0),"",$L$711-1),IF($R$17="Distrato",$E978,0))),0,YEARFRAC(MAX($P$708*($B978+IF($R$17="Distrato",$I$38-1,0)),IF(AND($L$711=0,$P$708=0),"",$L$711-1),IF($R$17="Distrato",$E978,0)),MIN(S$38,$D$19),$P$20))-SUM($P978:R978)</f>
        <v>#VALUE!</v>
      </c>
      <c r="T978" s="446" t="e">
        <f>IF(OR($B978="",MIN(T$38,$D$19)&lt;MAX($P$708*($B978+IF($R$17="Distrato",$I$38-1,0)),IF(AND($L$711=0,$P$708=0),"",$L$711-1),IF($R$17="Distrato",$E978,0))),0,YEARFRAC(MAX($P$708*($B978+IF($R$17="Distrato",$I$38-1,0)),IF(AND($L$711=0,$P$708=0),"",$L$711-1),IF($R$17="Distrato",$E978,0)),MIN(T$38,$D$19),$P$20))-SUM($P978:S978)</f>
        <v>#VALUE!</v>
      </c>
      <c r="U978" s="446" t="e">
        <f>IF(OR($B978="",MIN(U$38,$D$19)&lt;MAX($P$708*($B978+IF($R$17="Distrato",$I$38-1,0)),IF(AND($L$711=0,$P$708=0),"",$L$711-1),IF($R$17="Distrato",$E978,0))),0,YEARFRAC(MAX($P$708*($B978+IF($R$17="Distrato",$I$38-1,0)),IF(AND($L$711=0,$P$708=0),"",$L$711-1),IF($R$17="Distrato",$E978,0)),MIN(U$38,$D$19),$P$20))-SUM($P978:T978)</f>
        <v>#VALUE!</v>
      </c>
      <c r="V978" s="446" t="e">
        <f>IF(OR($B978="",MIN(V$38,$D$19)&lt;MAX($P$708*($B978+IF($R$17="Distrato",$I$38-1,0)),IF(AND($L$711=0,$P$708=0),"",$L$711-1),IF($R$17="Distrato",$E978,0))),0,YEARFRAC(MAX($P$708*($B978+IF($R$17="Distrato",$I$38-1,0)),IF(AND($L$711=0,$P$708=0),"",$L$711-1),IF($R$17="Distrato",$E978,0)),MIN(V$38,$D$19),$P$20))-SUM($P978:U978)</f>
        <v>#VALUE!</v>
      </c>
      <c r="W978" s="446" t="e">
        <f>IF(OR($B978="",MIN(W$38,$D$19)&lt;MAX($P$708*($B978+IF($R$17="Distrato",$I$38-1,0)),IF(AND($L$711=0,$P$708=0),"",$L$711-1),IF($R$17="Distrato",$E978,0))),0,YEARFRAC(MAX($P$708*($B978+IF($R$17="Distrato",$I$38-1,0)),IF(AND($L$711=0,$P$708=0),"",$L$711-1),IF($R$17="Distrato",$E978,0)),MIN(W$38,$D$19),$P$20))-SUM($P978:V978)</f>
        <v>#VALUE!</v>
      </c>
      <c r="X978" s="446" t="e">
        <f>IF(OR($B978="",MIN(X$38,$D$19)&lt;MAX($P$708*($B978+IF($R$17="Distrato",$I$38-1,0)),IF(AND($L$711=0,$P$708=0),"",$L$711-1),IF($R$17="Distrato",$E978,0))),0,YEARFRAC(MAX($P$708*($B978+IF($R$17="Distrato",$I$38-1,0)),IF(AND($L$711=0,$P$708=0),"",$L$711-1),IF($R$17="Distrato",$E978,0)),MIN(X$38,$D$19),$P$20))-SUM($P978:W978)</f>
        <v>#VALUE!</v>
      </c>
      <c r="Y978" s="446" t="e">
        <f>IF(OR($B978="",MIN(Y$38,$D$19)&lt;MAX($P$708*($B978+IF($R$17="Distrato",$I$38-1,0)),IF(AND($L$711=0,$P$708=0),"",$L$711-1),IF($R$17="Distrato",$E978,0))),0,YEARFRAC(MAX($P$708*($B978+IF($R$17="Distrato",$I$38-1,0)),IF(AND($L$711=0,$P$708=0),"",$L$711-1),IF($R$17="Distrato",$E978,0)),MIN(Y$38,$D$19),$P$20))-SUM($P978:X978)</f>
        <v>#VALUE!</v>
      </c>
      <c r="Z978" s="446" t="e">
        <f>IF(OR($B978="",MIN(Z$38,$D$19)&lt;MAX($P$708*($B978+IF($R$17="Distrato",$I$38-1,0)),IF(AND($L$711=0,$P$708=0),"",$L$711-1),IF($R$17="Distrato",$E978,0))),0,YEARFRAC(MAX($P$708*($B978+IF($R$17="Distrato",$I$38-1,0)),IF(AND($L$711=0,$P$708=0),"",$L$711-1),IF($R$17="Distrato",$E978,0)),MIN(Z$38,$D$19),$P$20))-SUM($P978:Y978)</f>
        <v>#VALUE!</v>
      </c>
      <c r="AA978" s="446" t="e">
        <f>IF(OR($B978="",MIN(AA$38,$D$19)&lt;MAX($P$708*($B978+IF($R$17="Distrato",$I$38-1,0)),IF(AND($L$711=0,$P$708=0),"",$L$711-1),IF($R$17="Distrato",$E978,0))),0,YEARFRAC(MAX($P$708*($B978+IF($R$17="Distrato",$I$38-1,0)),IF(AND($L$711=0,$P$708=0),"",$L$711-1),IF($R$17="Distrato",$E978,0)),MIN(AA$38,$D$19),$P$20))-SUM($P978:Z978)</f>
        <v>#VALUE!</v>
      </c>
      <c r="AB978" s="446" t="e">
        <f>IF(OR($B978="",MIN(AB$38,$D$19)&lt;MAX($P$708*($B978+IF($R$17="Distrato",$I$38-1,0)),IF(AND($L$711=0,$P$708=0),"",$L$711-1),IF($R$17="Distrato",$E978,0))),0,YEARFRAC(MAX($P$708*($B978+IF($R$17="Distrato",$I$38-1,0)),IF(AND($L$711=0,$P$708=0),"",$L$711-1),IF($R$17="Distrato",$E978,0)),MIN(AB$38,$D$19),$P$20))-SUM($P978:AA978)</f>
        <v>#VALUE!</v>
      </c>
      <c r="AC978" s="446" t="e">
        <f>IF(OR($B978="",MIN(AC$38,$D$19)&lt;MAX($P$708*($B978+IF($R$17="Distrato",$I$38-1,0)),IF(AND($L$711=0,$P$708=0),"",$L$711-1),IF($R$17="Distrato",$E978,0))),0,YEARFRAC(MAX($P$708*($B978+IF($R$17="Distrato",$I$38-1,0)),IF(AND($L$711=0,$P$708=0),"",$L$711-1),IF($R$17="Distrato",$E978,0)),MIN(AC$38,$D$19),$P$20))-SUM($P978:AB978)</f>
        <v>#VALUE!</v>
      </c>
      <c r="AD978" s="446" t="e">
        <f>IF(OR($B978="",MIN(AD$38,$D$19)&lt;MAX($P$708*($B978+IF($R$17="Distrato",$I$38-1,0)),IF(AND($L$711=0,$P$708=0),"",$L$711-1),IF($R$17="Distrato",$E978,0))),0,YEARFRAC(MAX($P$708*($B978+IF($R$17="Distrato",$I$38-1,0)),IF(AND($L$711=0,$P$708=0),"",$L$711-1),IF($R$17="Distrato",$E978,0)),MIN(AD$38,$D$19),$P$20))-SUM($P978:AC978)</f>
        <v>#VALUE!</v>
      </c>
      <c r="AE978" s="446" t="e">
        <f>IF(OR($B978="",MIN(AE$38,$D$19)&lt;MAX($P$708*($B978+IF($R$17="Distrato",$I$38-1,0)),IF(AND($L$711=0,$P$708=0),"",$L$711-1),IF($R$17="Distrato",$E978,0))),0,YEARFRAC(MAX($P$708*($B978+IF($R$17="Distrato",$I$38-1,0)),IF(AND($L$711=0,$P$708=0),"",$L$711-1),IF($R$17="Distrato",$E978,0)),MIN(AE$38,$D$19),$P$20))-SUM($P978:AD978)</f>
        <v>#VALUE!</v>
      </c>
      <c r="AF978" s="446" t="e">
        <f>IF(OR($B978="",MIN(AF$38,$D$19)&lt;MAX($P$708*($B978+IF($R$17="Distrato",$I$38-1,0)),IF(AND($L$711=0,$P$708=0),"",$L$711-1),IF($R$17="Distrato",$E978,0))),0,YEARFRAC(MAX($P$708*($B978+IF($R$17="Distrato",$I$38-1,0)),IF(AND($L$711=0,$P$708=0),"",$L$711-1),IF($R$17="Distrato",$E978,0)),MIN(AF$38,$D$19),$P$20))-SUM($P978:AE978)</f>
        <v>#VALUE!</v>
      </c>
      <c r="AG978" s="446" t="e">
        <f>IF(OR($B978="",MIN(AG$38,$D$19)&lt;MAX($P$708*($B978+IF($R$17="Distrato",$I$38-1,0)),IF(AND($L$711=0,$P$708=0),"",$L$711-1),IF($R$17="Distrato",$E978,0))),0,YEARFRAC(MAX($P$708*($B978+IF($R$17="Distrato",$I$38-1,0)),IF(AND($L$711=0,$P$708=0),"",$L$711-1),IF($R$17="Distrato",$E978,0)),MIN(AG$38,$D$19),$P$20))-SUM($P978:AF978)</f>
        <v>#VALUE!</v>
      </c>
      <c r="AH978" s="446" t="e">
        <f>IF(OR($B978="",MIN(AH$38,$D$19)&lt;MAX($P$708*($B978+IF($R$17="Distrato",$I$38-1,0)),IF(AND($L$711=0,$P$708=0),"",$L$711-1),IF($R$17="Distrato",$E978,0))),0,YEARFRAC(MAX($P$708*($B978+IF($R$17="Distrato",$I$38-1,0)),IF(AND($L$711=0,$P$708=0),"",$L$711-1),IF($R$17="Distrato",$E978,0)),MIN(AH$38,$D$19),$P$20))-SUM($P978:AG978)</f>
        <v>#VALUE!</v>
      </c>
      <c r="AI978" s="446" t="e">
        <f>IF(OR($B978="",MIN(AI$38,$D$19)&lt;MAX($P$708*($B978+IF($R$17="Distrato",$I$38-1,0)),IF(AND($L$711=0,$P$708=0),"",$L$711-1),IF($R$17="Distrato",$E978,0))),0,YEARFRAC(MAX($P$708*($B978+IF($R$17="Distrato",$I$38-1,0)),IF(AND($L$711=0,$P$708=0),"",$L$711-1),IF($R$17="Distrato",$E978,0)),MIN(AI$38,$D$19),$P$20))-SUM($P978:AH978)</f>
        <v>#VALUE!</v>
      </c>
      <c r="AJ978" s="446" t="e">
        <f>IF(OR($B978="",MIN(AJ$38,$D$19)&lt;MAX($P$708*($B978+IF($R$17="Distrato",$I$38-1,0)),IF(AND($L$711=0,$P$708=0),"",$L$711-1),IF($R$17="Distrato",$E978,0))),0,YEARFRAC(MAX($P$708*($B978+IF($R$17="Distrato",$I$38-1,0)),IF(AND($L$711=0,$P$708=0),"",$L$711-1),IF($R$17="Distrato",$E978,0)),MIN(AJ$38,$D$19),$P$20))-SUM($P978:AI978)</f>
        <v>#VALUE!</v>
      </c>
      <c r="AK978" s="446" t="e">
        <f>IF(OR($B978="",MIN(AK$38,$D$19)&lt;MAX($P$708*($B978+IF($R$17="Distrato",$I$38-1,0)),IF(AND($L$711=0,$P$708=0),"",$L$711-1),IF($R$17="Distrato",$E978,0))),0,YEARFRAC(MAX($P$708*($B978+IF($R$17="Distrato",$I$38-1,0)),IF(AND($L$711=0,$P$708=0),"",$L$711-1),IF($R$17="Distrato",$E978,0)),MIN(AK$38,$D$19),$P$20))-SUM($P978:AJ978)</f>
        <v>#VALUE!</v>
      </c>
      <c r="AL978" s="446" t="e">
        <f>IF(OR($B978="",MIN(AL$38,$D$19)&lt;MAX($P$708*($B978+IF($R$17="Distrato",$I$38-1,0)),IF(AND($L$711=0,$P$708=0),"",$L$711-1),IF($R$17="Distrato",$E978,0))),0,YEARFRAC(MAX($P$708*($B978+IF($R$17="Distrato",$I$38-1,0)),IF(AND($L$711=0,$P$708=0),"",$L$711-1),IF($R$17="Distrato",$E978,0)),MIN(AL$38,$D$19),$P$20))-SUM($P978:AK978)</f>
        <v>#VALUE!</v>
      </c>
      <c r="AM978" s="446" t="e">
        <f>IF(OR($B978="",MIN(AM$38,$D$19)&lt;MAX($P$708*($B978+IF($R$17="Distrato",$I$38-1,0)),IF(AND($L$711=0,$P$708=0),"",$L$711-1),IF($R$17="Distrato",$E978,0))),0,YEARFRAC(MAX($P$708*($B978+IF($R$17="Distrato",$I$38-1,0)),IF(AND($L$711=0,$P$708=0),"",$L$711-1),IF($R$17="Distrato",$E978,0)),MIN(AM$38,$D$19),$P$20))-SUM($P978:AL978)</f>
        <v>#VALUE!</v>
      </c>
      <c r="AN978" s="446" t="e">
        <f>IF(OR($B978="",MIN(AN$38,$D$19)&lt;MAX($P$708*($B978+IF($R$17="Distrato",$I$38-1,0)),IF(AND($L$711=0,$P$708=0),"",$L$711-1),IF($R$17="Distrato",$E978,0))),0,YEARFRAC(MAX($P$708*($B978+IF($R$17="Distrato",$I$38-1,0)),IF(AND($L$711=0,$P$708=0),"",$L$711-1),IF($R$17="Distrato",$E978,0)),MIN(AN$38,$D$19),$P$20))-SUM($P978:AM978)</f>
        <v>#VALUE!</v>
      </c>
      <c r="AO978" s="446" t="e">
        <f>IF(OR($B978="",MIN(AO$38,$D$19)&lt;MAX($P$708*($B978+IF($R$17="Distrato",$I$38-1,0)),IF(AND($L$711=0,$P$708=0),"",$L$711-1),IF($R$17="Distrato",$E978,0))),0,YEARFRAC(MAX($P$708*($B978+IF($R$17="Distrato",$I$38-1,0)),IF(AND($L$711=0,$P$708=0),"",$L$711-1),IF($R$17="Distrato",$E978,0)),MIN(AO$38,$D$19),$P$20))-SUM($P978:AN978)</f>
        <v>#VALUE!</v>
      </c>
      <c r="AP978" s="446" t="e">
        <f>IF(OR($B978="",MIN(AP$38,$D$19)&lt;MAX($P$708*($B978+IF($R$17="Distrato",$I$38-1,0)),IF(AND($L$711=0,$P$708=0),"",$L$711-1),IF($R$17="Distrato",$E978,0))),0,YEARFRAC(MAX($P$708*($B978+IF($R$17="Distrato",$I$38-1,0)),IF(AND($L$711=0,$P$708=0),"",$L$711-1),IF($R$17="Distrato",$E978,0)),MIN(AP$38,$D$19),$P$20))-SUM($P978:AO978)</f>
        <v>#VALUE!</v>
      </c>
      <c r="AQ978" s="446" t="e">
        <f>IF(OR($B978="",MIN(AQ$38,$D$19)&lt;MAX($P$708*($B978+IF($R$17="Distrato",$I$38-1,0)),IF(AND($L$711=0,$P$708=0),"",$L$711-1),IF($R$17="Distrato",$E978,0))),0,YEARFRAC(MAX($P$708*($B978+IF($R$17="Distrato",$I$38-1,0)),IF(AND($L$711=0,$P$708=0),"",$L$711-1),IF($R$17="Distrato",$E978,0)),MIN(AQ$38,$D$19),$P$20))-SUM($P978:AP978)</f>
        <v>#VALUE!</v>
      </c>
      <c r="AR978" s="446" t="e">
        <f>IF(OR($B978="",MIN(AR$38,$D$19)&lt;MAX($P$708*($B978+IF($R$17="Distrato",$I$38-1,0)),IF(AND($L$711=0,$P$708=0),"",$L$711-1),IF($R$17="Distrato",$E978,0))),0,YEARFRAC(MAX($P$708*($B978+IF($R$17="Distrato",$I$38-1,0)),IF(AND($L$711=0,$P$708=0),"",$L$711-1),IF($R$17="Distrato",$E978,0)),MIN(AR$38,$D$19),$P$20))-SUM($P978:AQ978)</f>
        <v>#VALUE!</v>
      </c>
      <c r="AS978" s="446" t="e">
        <f>IF(OR($B978="",MIN(AS$38,$D$19)&lt;MAX($P$708*($B978+IF($R$17="Distrato",$I$38-1,0)),IF(AND($L$711=0,$P$708=0),"",$L$711-1),IF($R$17="Distrato",$E978,0))),0,YEARFRAC(MAX($P$708*($B978+IF($R$17="Distrato",$I$38-1,0)),IF(AND($L$711=0,$P$708=0),"",$L$711-1),IF($R$17="Distrato",$E978,0)),MIN(AS$38,$D$19),$P$20))-SUM($P978:AR978)</f>
        <v>#VALUE!</v>
      </c>
      <c r="AT978" s="446" t="e">
        <f>IF(OR($B978="",MIN(AT$38,$D$19)&lt;MAX($P$708*($B978+IF($R$17="Distrato",$I$38-1,0)),IF(AND($L$711=0,$P$708=0),"",$L$711-1),IF($R$17="Distrato",$E978,0))),0,YEARFRAC(MAX($P$708*($B978+IF($R$17="Distrato",$I$38-1,0)),IF(AND($L$711=0,$P$708=0),"",$L$711-1),IF($R$17="Distrato",$E978,0)),MIN(AT$38,$D$19),$P$20))-SUM($P978:AS978)</f>
        <v>#VALUE!</v>
      </c>
      <c r="AU978" s="446" t="e">
        <f>IF(OR($B978="",MIN(AU$38,$D$19)&lt;MAX($P$708*($B978+IF($R$17="Distrato",$I$38-1,0)),IF(AND($L$711=0,$P$708=0),"",$L$711-1),IF($R$17="Distrato",$E978,0))),0,YEARFRAC(MAX($P$708*($B978+IF($R$17="Distrato",$I$38-1,0)),IF(AND($L$711=0,$P$708=0),"",$L$711-1),IF($R$17="Distrato",$E978,0)),MIN(AU$38,$D$19),$P$20))-SUM($P978:AT978)</f>
        <v>#VALUE!</v>
      </c>
      <c r="AV978" s="446" t="e">
        <f>IF(OR($B978="",MIN(AV$38,$D$19)&lt;MAX($P$708*($B978+IF($R$17="Distrato",$I$38-1,0)),IF(AND($L$711=0,$P$708=0),"",$L$711-1),IF($R$17="Distrato",$E978,0))),0,YEARFRAC(MAX($P$708*($B978+IF($R$17="Distrato",$I$38-1,0)),IF(AND($L$711=0,$P$708=0),"",$L$711-1),IF($R$17="Distrato",$E978,0)),MIN(AV$38,$D$19),$P$20))-SUM($P978:AU978)</f>
        <v>#VALUE!</v>
      </c>
      <c r="AW978" s="446" t="e">
        <f>IF(OR($B978="",MIN(AW$38,$D$19)&lt;MAX($P$708*($B978+IF($R$17="Distrato",$I$38-1,0)),IF(AND($L$711=0,$P$708=0),"",$L$711-1),IF($R$17="Distrato",$E978,0))),0,YEARFRAC(MAX($P$708*($B978+IF($R$17="Distrato",$I$38-1,0)),IF(AND($L$711=0,$P$708=0),"",$L$711-1),IF($R$17="Distrato",$E978,0)),MIN(AW$38,$D$19),$P$20))-SUM($P978:AV978)</f>
        <v>#VALUE!</v>
      </c>
      <c r="AX978" s="446" t="e">
        <f>IF(OR($B978="",MIN(AX$38,$D$19)&lt;MAX($P$708*($B978+IF($R$17="Distrato",$I$38-1,0)),IF(AND($L$711=0,$P$708=0),"",$L$711-1),IF($R$17="Distrato",$E978,0))),0,YEARFRAC(MAX($P$708*($B978+IF($R$17="Distrato",$I$38-1,0)),IF(AND($L$711=0,$P$708=0),"",$L$711-1),IF($R$17="Distrato",$E978,0)),MIN(AX$38,$D$19),$P$20))-SUM($P978:AW978)</f>
        <v>#VALUE!</v>
      </c>
      <c r="AY978" s="446" t="e">
        <f>IF(OR($B978="",MIN(AY$38,$D$19)&lt;MAX($P$708*($B978+IF($R$17="Distrato",$I$38-1,0)),IF(AND($L$711=0,$P$708=0),"",$L$711-1),IF($R$17="Distrato",$E978,0))),0,YEARFRAC(MAX($P$708*($B978+IF($R$17="Distrato",$I$38-1,0)),IF(AND($L$711=0,$P$708=0),"",$L$711-1),IF($R$17="Distrato",$E978,0)),MIN(AY$38,$D$19),$P$20))-SUM($P978:AX978)</f>
        <v>#VALUE!</v>
      </c>
      <c r="AZ978" s="446" t="e">
        <f>IF(OR($B978="",MIN(AZ$38,$D$19)&lt;MAX($P$708*($B978+IF($R$17="Distrato",$I$38-1,0)),IF(AND($L$711=0,$P$708=0),"",$L$711-1),IF($R$17="Distrato",$E978,0))),0,YEARFRAC(MAX($P$708*($B978+IF($R$17="Distrato",$I$38-1,0)),IF(AND($L$711=0,$P$708=0),"",$L$711-1),IF($R$17="Distrato",$E978,0)),MIN(AZ$38,$D$19),$P$20))-SUM($P978:AY978)</f>
        <v>#VALUE!</v>
      </c>
      <c r="BA978" s="446" t="e">
        <f>IF(OR($B978="",MIN(BA$38,$D$19)&lt;MAX($P$708*($B978+IF($R$17="Distrato",$I$38-1,0)),IF(AND($L$711=0,$P$708=0),"",$L$711-1),IF($R$17="Distrato",$E978,0))),0,YEARFRAC(MAX($P$708*($B978+IF($R$17="Distrato",$I$38-1,0)),IF(AND($L$711=0,$P$708=0),"",$L$711-1),IF($R$17="Distrato",$E978,0)),MIN(BA$38,$D$19),$P$20))-SUM($P978:AZ978)</f>
        <v>#VALUE!</v>
      </c>
      <c r="BB978" s="447"/>
    </row>
    <row r="979" spans="1:54" s="446" customFormat="1" ht="11.25" hidden="1" customHeight="1" x14ac:dyDescent="0.2">
      <c r="A979" s="235"/>
      <c r="B979" s="236"/>
      <c r="C979" s="29" t="str">
        <f>IF(B979="","",IF($L$709=$BL$25,VLOOKUP(DATE(YEAR($D$19),MONTH($D$19)-1,1),ÍNDICES!$A:$DE,HLOOKUP($BL$25,ÍNDICES!$B$3:$T$4,2)+11)-VLOOKUP(B979,ÍNDICES!$A:$DE,HLOOKUP($BL$25,ÍNDICES!$B$3:$T$4,2)+11)+1%,IF(C$712=$W$26,$J$35,IF(ISERROR(IF(B979&gt;$D$19,1,VLOOKUP(DATE(YEAR(B979),MONTH(B979)+IF($C$709=$S$23,1,0),1),ÍNDICES!$A:$DE,$Z$709+1))),"",IF(B979&gt;$D$19,1,VLOOKUP(DATE(YEAR(B979),MONTH(B979)+IF($C$709=$S$23,1,0),1),ÍNDICES!$A:$DE,$Z$709+1))))))</f>
        <v/>
      </c>
      <c r="D979" s="155"/>
      <c r="E979" s="88"/>
      <c r="F979" s="88"/>
      <c r="G979" s="88"/>
      <c r="H979" s="118"/>
      <c r="I979" s="182">
        <f t="shared" si="143"/>
        <v>0</v>
      </c>
      <c r="J979" s="20">
        <f t="shared" ca="1" si="144"/>
        <v>0</v>
      </c>
      <c r="K979" s="5">
        <f t="shared" ca="1" si="145"/>
        <v>0</v>
      </c>
      <c r="L979" s="61">
        <f t="shared" ca="1" si="146"/>
        <v>0</v>
      </c>
      <c r="M979" s="64">
        <f t="shared" si="147"/>
        <v>0</v>
      </c>
      <c r="N979" s="151"/>
      <c r="O979" s="5">
        <f t="shared" ca="1" si="148"/>
        <v>0</v>
      </c>
      <c r="P979" s="446" t="e">
        <f t="shared" si="149"/>
        <v>#VALUE!</v>
      </c>
      <c r="Q979" s="446" t="e">
        <f>IF(OR($B979="",MIN(Q$38,$D$19)&lt;MAX($P$708*($B979+IF($R$17="Distrato",$I$38-1,0)),IF(AND($L$711=0,$P$708=0),"",$L$711-1),IF($R$17="Distrato",$E979,0))),0,YEARFRAC(MAX($P$708*($B979+IF($R$17="Distrato",$I$38-1,0)),IF(AND($L$711=0,$P$708=0),"",$L$711-1),IF($R$17="Distrato",$E979,0)),MIN(Q$38,$D$19),$P$20))-SUM($P979:P979)</f>
        <v>#VALUE!</v>
      </c>
      <c r="R979" s="446" t="e">
        <f>IF(OR($B979="",MIN(R$38,$D$19)&lt;MAX($P$708*($B979+IF($R$17="Distrato",$I$38-1,0)),IF(AND($L$711=0,$P$708=0),"",$L$711-1),IF($R$17="Distrato",$E979,0))),0,YEARFRAC(MAX($P$708*($B979+IF($R$17="Distrato",$I$38-1,0)),IF(AND($L$711=0,$P$708=0),"",$L$711-1),IF($R$17="Distrato",$E979,0)),MIN(R$38,$D$19),$P$20))-SUM($P979:Q979)</f>
        <v>#VALUE!</v>
      </c>
      <c r="S979" s="446" t="e">
        <f>IF(OR($B979="",MIN(S$38,$D$19)&lt;MAX($P$708*($B979+IF($R$17="Distrato",$I$38-1,0)),IF(AND($L$711=0,$P$708=0),"",$L$711-1),IF($R$17="Distrato",$E979,0))),0,YEARFRAC(MAX($P$708*($B979+IF($R$17="Distrato",$I$38-1,0)),IF(AND($L$711=0,$P$708=0),"",$L$711-1),IF($R$17="Distrato",$E979,0)),MIN(S$38,$D$19),$P$20))-SUM($P979:R979)</f>
        <v>#VALUE!</v>
      </c>
      <c r="T979" s="446" t="e">
        <f>IF(OR($B979="",MIN(T$38,$D$19)&lt;MAX($P$708*($B979+IF($R$17="Distrato",$I$38-1,0)),IF(AND($L$711=0,$P$708=0),"",$L$711-1),IF($R$17="Distrato",$E979,0))),0,YEARFRAC(MAX($P$708*($B979+IF($R$17="Distrato",$I$38-1,0)),IF(AND($L$711=0,$P$708=0),"",$L$711-1),IF($R$17="Distrato",$E979,0)),MIN(T$38,$D$19),$P$20))-SUM($P979:S979)</f>
        <v>#VALUE!</v>
      </c>
      <c r="U979" s="446" t="e">
        <f>IF(OR($B979="",MIN(U$38,$D$19)&lt;MAX($P$708*($B979+IF($R$17="Distrato",$I$38-1,0)),IF(AND($L$711=0,$P$708=0),"",$L$711-1),IF($R$17="Distrato",$E979,0))),0,YEARFRAC(MAX($P$708*($B979+IF($R$17="Distrato",$I$38-1,0)),IF(AND($L$711=0,$P$708=0),"",$L$711-1),IF($R$17="Distrato",$E979,0)),MIN(U$38,$D$19),$P$20))-SUM($P979:T979)</f>
        <v>#VALUE!</v>
      </c>
      <c r="V979" s="446" t="e">
        <f>IF(OR($B979="",MIN(V$38,$D$19)&lt;MAX($P$708*($B979+IF($R$17="Distrato",$I$38-1,0)),IF(AND($L$711=0,$P$708=0),"",$L$711-1),IF($R$17="Distrato",$E979,0))),0,YEARFRAC(MAX($P$708*($B979+IF($R$17="Distrato",$I$38-1,0)),IF(AND($L$711=0,$P$708=0),"",$L$711-1),IF($R$17="Distrato",$E979,0)),MIN(V$38,$D$19),$P$20))-SUM($P979:U979)</f>
        <v>#VALUE!</v>
      </c>
      <c r="W979" s="446" t="e">
        <f>IF(OR($B979="",MIN(W$38,$D$19)&lt;MAX($P$708*($B979+IF($R$17="Distrato",$I$38-1,0)),IF(AND($L$711=0,$P$708=0),"",$L$711-1),IF($R$17="Distrato",$E979,0))),0,YEARFRAC(MAX($P$708*($B979+IF($R$17="Distrato",$I$38-1,0)),IF(AND($L$711=0,$P$708=0),"",$L$711-1),IF($R$17="Distrato",$E979,0)),MIN(W$38,$D$19),$P$20))-SUM($P979:V979)</f>
        <v>#VALUE!</v>
      </c>
      <c r="X979" s="446" t="e">
        <f>IF(OR($B979="",MIN(X$38,$D$19)&lt;MAX($P$708*($B979+IF($R$17="Distrato",$I$38-1,0)),IF(AND($L$711=0,$P$708=0),"",$L$711-1),IF($R$17="Distrato",$E979,0))),0,YEARFRAC(MAX($P$708*($B979+IF($R$17="Distrato",$I$38-1,0)),IF(AND($L$711=0,$P$708=0),"",$L$711-1),IF($R$17="Distrato",$E979,0)),MIN(X$38,$D$19),$P$20))-SUM($P979:W979)</f>
        <v>#VALUE!</v>
      </c>
      <c r="Y979" s="446" t="e">
        <f>IF(OR($B979="",MIN(Y$38,$D$19)&lt;MAX($P$708*($B979+IF($R$17="Distrato",$I$38-1,0)),IF(AND($L$711=0,$P$708=0),"",$L$711-1),IF($R$17="Distrato",$E979,0))),0,YEARFRAC(MAX($P$708*($B979+IF($R$17="Distrato",$I$38-1,0)),IF(AND($L$711=0,$P$708=0),"",$L$711-1),IF($R$17="Distrato",$E979,0)),MIN(Y$38,$D$19),$P$20))-SUM($P979:X979)</f>
        <v>#VALUE!</v>
      </c>
      <c r="Z979" s="446" t="e">
        <f>IF(OR($B979="",MIN(Z$38,$D$19)&lt;MAX($P$708*($B979+IF($R$17="Distrato",$I$38-1,0)),IF(AND($L$711=0,$P$708=0),"",$L$711-1),IF($R$17="Distrato",$E979,0))),0,YEARFRAC(MAX($P$708*($B979+IF($R$17="Distrato",$I$38-1,0)),IF(AND($L$711=0,$P$708=0),"",$L$711-1),IF($R$17="Distrato",$E979,0)),MIN(Z$38,$D$19),$P$20))-SUM($P979:Y979)</f>
        <v>#VALUE!</v>
      </c>
      <c r="AA979" s="446" t="e">
        <f>IF(OR($B979="",MIN(AA$38,$D$19)&lt;MAX($P$708*($B979+IF($R$17="Distrato",$I$38-1,0)),IF(AND($L$711=0,$P$708=0),"",$L$711-1),IF($R$17="Distrato",$E979,0))),0,YEARFRAC(MAX($P$708*($B979+IF($R$17="Distrato",$I$38-1,0)),IF(AND($L$711=0,$P$708=0),"",$L$711-1),IF($R$17="Distrato",$E979,0)),MIN(AA$38,$D$19),$P$20))-SUM($P979:Z979)</f>
        <v>#VALUE!</v>
      </c>
      <c r="AB979" s="446" t="e">
        <f>IF(OR($B979="",MIN(AB$38,$D$19)&lt;MAX($P$708*($B979+IF($R$17="Distrato",$I$38-1,0)),IF(AND($L$711=0,$P$708=0),"",$L$711-1),IF($R$17="Distrato",$E979,0))),0,YEARFRAC(MAX($P$708*($B979+IF($R$17="Distrato",$I$38-1,0)),IF(AND($L$711=0,$P$708=0),"",$L$711-1),IF($R$17="Distrato",$E979,0)),MIN(AB$38,$D$19),$P$20))-SUM($P979:AA979)</f>
        <v>#VALUE!</v>
      </c>
      <c r="AC979" s="446" t="e">
        <f>IF(OR($B979="",MIN(AC$38,$D$19)&lt;MAX($P$708*($B979+IF($R$17="Distrato",$I$38-1,0)),IF(AND($L$711=0,$P$708=0),"",$L$711-1),IF($R$17="Distrato",$E979,0))),0,YEARFRAC(MAX($P$708*($B979+IF($R$17="Distrato",$I$38-1,0)),IF(AND($L$711=0,$P$708=0),"",$L$711-1),IF($R$17="Distrato",$E979,0)),MIN(AC$38,$D$19),$P$20))-SUM($P979:AB979)</f>
        <v>#VALUE!</v>
      </c>
      <c r="AD979" s="446" t="e">
        <f>IF(OR($B979="",MIN(AD$38,$D$19)&lt;MAX($P$708*($B979+IF($R$17="Distrato",$I$38-1,0)),IF(AND($L$711=0,$P$708=0),"",$L$711-1),IF($R$17="Distrato",$E979,0))),0,YEARFRAC(MAX($P$708*($B979+IF($R$17="Distrato",$I$38-1,0)),IF(AND($L$711=0,$P$708=0),"",$L$711-1),IF($R$17="Distrato",$E979,0)),MIN(AD$38,$D$19),$P$20))-SUM($P979:AC979)</f>
        <v>#VALUE!</v>
      </c>
      <c r="AE979" s="446" t="e">
        <f>IF(OR($B979="",MIN(AE$38,$D$19)&lt;MAX($P$708*($B979+IF($R$17="Distrato",$I$38-1,0)),IF(AND($L$711=0,$P$708=0),"",$L$711-1),IF($R$17="Distrato",$E979,0))),0,YEARFRAC(MAX($P$708*($B979+IF($R$17="Distrato",$I$38-1,0)),IF(AND($L$711=0,$P$708=0),"",$L$711-1),IF($R$17="Distrato",$E979,0)),MIN(AE$38,$D$19),$P$20))-SUM($P979:AD979)</f>
        <v>#VALUE!</v>
      </c>
      <c r="AF979" s="446" t="e">
        <f>IF(OR($B979="",MIN(AF$38,$D$19)&lt;MAX($P$708*($B979+IF($R$17="Distrato",$I$38-1,0)),IF(AND($L$711=0,$P$708=0),"",$L$711-1),IF($R$17="Distrato",$E979,0))),0,YEARFRAC(MAX($P$708*($B979+IF($R$17="Distrato",$I$38-1,0)),IF(AND($L$711=0,$P$708=0),"",$L$711-1),IF($R$17="Distrato",$E979,0)),MIN(AF$38,$D$19),$P$20))-SUM($P979:AE979)</f>
        <v>#VALUE!</v>
      </c>
      <c r="AG979" s="446" t="e">
        <f>IF(OR($B979="",MIN(AG$38,$D$19)&lt;MAX($P$708*($B979+IF($R$17="Distrato",$I$38-1,0)),IF(AND($L$711=0,$P$708=0),"",$L$711-1),IF($R$17="Distrato",$E979,0))),0,YEARFRAC(MAX($P$708*($B979+IF($R$17="Distrato",$I$38-1,0)),IF(AND($L$711=0,$P$708=0),"",$L$711-1),IF($R$17="Distrato",$E979,0)),MIN(AG$38,$D$19),$P$20))-SUM($P979:AF979)</f>
        <v>#VALUE!</v>
      </c>
      <c r="AH979" s="446" t="e">
        <f>IF(OR($B979="",MIN(AH$38,$D$19)&lt;MAX($P$708*($B979+IF($R$17="Distrato",$I$38-1,0)),IF(AND($L$711=0,$P$708=0),"",$L$711-1),IF($R$17="Distrato",$E979,0))),0,YEARFRAC(MAX($P$708*($B979+IF($R$17="Distrato",$I$38-1,0)),IF(AND($L$711=0,$P$708=0),"",$L$711-1),IF($R$17="Distrato",$E979,0)),MIN(AH$38,$D$19),$P$20))-SUM($P979:AG979)</f>
        <v>#VALUE!</v>
      </c>
      <c r="AI979" s="446" t="e">
        <f>IF(OR($B979="",MIN(AI$38,$D$19)&lt;MAX($P$708*($B979+IF($R$17="Distrato",$I$38-1,0)),IF(AND($L$711=0,$P$708=0),"",$L$711-1),IF($R$17="Distrato",$E979,0))),0,YEARFRAC(MAX($P$708*($B979+IF($R$17="Distrato",$I$38-1,0)),IF(AND($L$711=0,$P$708=0),"",$L$711-1),IF($R$17="Distrato",$E979,0)),MIN(AI$38,$D$19),$P$20))-SUM($P979:AH979)</f>
        <v>#VALUE!</v>
      </c>
      <c r="AJ979" s="446" t="e">
        <f>IF(OR($B979="",MIN(AJ$38,$D$19)&lt;MAX($P$708*($B979+IF($R$17="Distrato",$I$38-1,0)),IF(AND($L$711=0,$P$708=0),"",$L$711-1),IF($R$17="Distrato",$E979,0))),0,YEARFRAC(MAX($P$708*($B979+IF($R$17="Distrato",$I$38-1,0)),IF(AND($L$711=0,$P$708=0),"",$L$711-1),IF($R$17="Distrato",$E979,0)),MIN(AJ$38,$D$19),$P$20))-SUM($P979:AI979)</f>
        <v>#VALUE!</v>
      </c>
      <c r="AK979" s="446" t="e">
        <f>IF(OR($B979="",MIN(AK$38,$D$19)&lt;MAX($P$708*($B979+IF($R$17="Distrato",$I$38-1,0)),IF(AND($L$711=0,$P$708=0),"",$L$711-1),IF($R$17="Distrato",$E979,0))),0,YEARFRAC(MAX($P$708*($B979+IF($R$17="Distrato",$I$38-1,0)),IF(AND($L$711=0,$P$708=0),"",$L$711-1),IF($R$17="Distrato",$E979,0)),MIN(AK$38,$D$19),$P$20))-SUM($P979:AJ979)</f>
        <v>#VALUE!</v>
      </c>
      <c r="AL979" s="446" t="e">
        <f>IF(OR($B979="",MIN(AL$38,$D$19)&lt;MAX($P$708*($B979+IF($R$17="Distrato",$I$38-1,0)),IF(AND($L$711=0,$P$708=0),"",$L$711-1),IF($R$17="Distrato",$E979,0))),0,YEARFRAC(MAX($P$708*($B979+IF($R$17="Distrato",$I$38-1,0)),IF(AND($L$711=0,$P$708=0),"",$L$711-1),IF($R$17="Distrato",$E979,0)),MIN(AL$38,$D$19),$P$20))-SUM($P979:AK979)</f>
        <v>#VALUE!</v>
      </c>
      <c r="AM979" s="446" t="e">
        <f>IF(OR($B979="",MIN(AM$38,$D$19)&lt;MAX($P$708*($B979+IF($R$17="Distrato",$I$38-1,0)),IF(AND($L$711=0,$P$708=0),"",$L$711-1),IF($R$17="Distrato",$E979,0))),0,YEARFRAC(MAX($P$708*($B979+IF($R$17="Distrato",$I$38-1,0)),IF(AND($L$711=0,$P$708=0),"",$L$711-1),IF($R$17="Distrato",$E979,0)),MIN(AM$38,$D$19),$P$20))-SUM($P979:AL979)</f>
        <v>#VALUE!</v>
      </c>
      <c r="AN979" s="446" t="e">
        <f>IF(OR($B979="",MIN(AN$38,$D$19)&lt;MAX($P$708*($B979+IF($R$17="Distrato",$I$38-1,0)),IF(AND($L$711=0,$P$708=0),"",$L$711-1),IF($R$17="Distrato",$E979,0))),0,YEARFRAC(MAX($P$708*($B979+IF($R$17="Distrato",$I$38-1,0)),IF(AND($L$711=0,$P$708=0),"",$L$711-1),IF($R$17="Distrato",$E979,0)),MIN(AN$38,$D$19),$P$20))-SUM($P979:AM979)</f>
        <v>#VALUE!</v>
      </c>
      <c r="AO979" s="446" t="e">
        <f>IF(OR($B979="",MIN(AO$38,$D$19)&lt;MAX($P$708*($B979+IF($R$17="Distrato",$I$38-1,0)),IF(AND($L$711=0,$P$708=0),"",$L$711-1),IF($R$17="Distrato",$E979,0))),0,YEARFRAC(MAX($P$708*($B979+IF($R$17="Distrato",$I$38-1,0)),IF(AND($L$711=0,$P$708=0),"",$L$711-1),IF($R$17="Distrato",$E979,0)),MIN(AO$38,$D$19),$P$20))-SUM($P979:AN979)</f>
        <v>#VALUE!</v>
      </c>
      <c r="AP979" s="446" t="e">
        <f>IF(OR($B979="",MIN(AP$38,$D$19)&lt;MAX($P$708*($B979+IF($R$17="Distrato",$I$38-1,0)),IF(AND($L$711=0,$P$708=0),"",$L$711-1),IF($R$17="Distrato",$E979,0))),0,YEARFRAC(MAX($P$708*($B979+IF($R$17="Distrato",$I$38-1,0)),IF(AND($L$711=0,$P$708=0),"",$L$711-1),IF($R$17="Distrato",$E979,0)),MIN(AP$38,$D$19),$P$20))-SUM($P979:AO979)</f>
        <v>#VALUE!</v>
      </c>
      <c r="AQ979" s="446" t="e">
        <f>IF(OR($B979="",MIN(AQ$38,$D$19)&lt;MAX($P$708*($B979+IF($R$17="Distrato",$I$38-1,0)),IF(AND($L$711=0,$P$708=0),"",$L$711-1),IF($R$17="Distrato",$E979,0))),0,YEARFRAC(MAX($P$708*($B979+IF($R$17="Distrato",$I$38-1,0)),IF(AND($L$711=0,$P$708=0),"",$L$711-1),IF($R$17="Distrato",$E979,0)),MIN(AQ$38,$D$19),$P$20))-SUM($P979:AP979)</f>
        <v>#VALUE!</v>
      </c>
      <c r="AR979" s="446" t="e">
        <f>IF(OR($B979="",MIN(AR$38,$D$19)&lt;MAX($P$708*($B979+IF($R$17="Distrato",$I$38-1,0)),IF(AND($L$711=0,$P$708=0),"",$L$711-1),IF($R$17="Distrato",$E979,0))),0,YEARFRAC(MAX($P$708*($B979+IF($R$17="Distrato",$I$38-1,0)),IF(AND($L$711=0,$P$708=0),"",$L$711-1),IF($R$17="Distrato",$E979,0)),MIN(AR$38,$D$19),$P$20))-SUM($P979:AQ979)</f>
        <v>#VALUE!</v>
      </c>
      <c r="AS979" s="446" t="e">
        <f>IF(OR($B979="",MIN(AS$38,$D$19)&lt;MAX($P$708*($B979+IF($R$17="Distrato",$I$38-1,0)),IF(AND($L$711=0,$P$708=0),"",$L$711-1),IF($R$17="Distrato",$E979,0))),0,YEARFRAC(MAX($P$708*($B979+IF($R$17="Distrato",$I$38-1,0)),IF(AND($L$711=0,$P$708=0),"",$L$711-1),IF($R$17="Distrato",$E979,0)),MIN(AS$38,$D$19),$P$20))-SUM($P979:AR979)</f>
        <v>#VALUE!</v>
      </c>
      <c r="AT979" s="446" t="e">
        <f>IF(OR($B979="",MIN(AT$38,$D$19)&lt;MAX($P$708*($B979+IF($R$17="Distrato",$I$38-1,0)),IF(AND($L$711=0,$P$708=0),"",$L$711-1),IF($R$17="Distrato",$E979,0))),0,YEARFRAC(MAX($P$708*($B979+IF($R$17="Distrato",$I$38-1,0)),IF(AND($L$711=0,$P$708=0),"",$L$711-1),IF($R$17="Distrato",$E979,0)),MIN(AT$38,$D$19),$P$20))-SUM($P979:AS979)</f>
        <v>#VALUE!</v>
      </c>
      <c r="AU979" s="446" t="e">
        <f>IF(OR($B979="",MIN(AU$38,$D$19)&lt;MAX($P$708*($B979+IF($R$17="Distrato",$I$38-1,0)),IF(AND($L$711=0,$P$708=0),"",$L$711-1),IF($R$17="Distrato",$E979,0))),0,YEARFRAC(MAX($P$708*($B979+IF($R$17="Distrato",$I$38-1,0)),IF(AND($L$711=0,$P$708=0),"",$L$711-1),IF($R$17="Distrato",$E979,0)),MIN(AU$38,$D$19),$P$20))-SUM($P979:AT979)</f>
        <v>#VALUE!</v>
      </c>
      <c r="AV979" s="446" t="e">
        <f>IF(OR($B979="",MIN(AV$38,$D$19)&lt;MAX($P$708*($B979+IF($R$17="Distrato",$I$38-1,0)),IF(AND($L$711=0,$P$708=0),"",$L$711-1),IF($R$17="Distrato",$E979,0))),0,YEARFRAC(MAX($P$708*($B979+IF($R$17="Distrato",$I$38-1,0)),IF(AND($L$711=0,$P$708=0),"",$L$711-1),IF($R$17="Distrato",$E979,0)),MIN(AV$38,$D$19),$P$20))-SUM($P979:AU979)</f>
        <v>#VALUE!</v>
      </c>
      <c r="AW979" s="446" t="e">
        <f>IF(OR($B979="",MIN(AW$38,$D$19)&lt;MAX($P$708*($B979+IF($R$17="Distrato",$I$38-1,0)),IF(AND($L$711=0,$P$708=0),"",$L$711-1),IF($R$17="Distrato",$E979,0))),0,YEARFRAC(MAX($P$708*($B979+IF($R$17="Distrato",$I$38-1,0)),IF(AND($L$711=0,$P$708=0),"",$L$711-1),IF($R$17="Distrato",$E979,0)),MIN(AW$38,$D$19),$P$20))-SUM($P979:AV979)</f>
        <v>#VALUE!</v>
      </c>
      <c r="AX979" s="446" t="e">
        <f>IF(OR($B979="",MIN(AX$38,$D$19)&lt;MAX($P$708*($B979+IF($R$17="Distrato",$I$38-1,0)),IF(AND($L$711=0,$P$708=0),"",$L$711-1),IF($R$17="Distrato",$E979,0))),0,YEARFRAC(MAX($P$708*($B979+IF($R$17="Distrato",$I$38-1,0)),IF(AND($L$711=0,$P$708=0),"",$L$711-1),IF($R$17="Distrato",$E979,0)),MIN(AX$38,$D$19),$P$20))-SUM($P979:AW979)</f>
        <v>#VALUE!</v>
      </c>
      <c r="AY979" s="446" t="e">
        <f>IF(OR($B979="",MIN(AY$38,$D$19)&lt;MAX($P$708*($B979+IF($R$17="Distrato",$I$38-1,0)),IF(AND($L$711=0,$P$708=0),"",$L$711-1),IF($R$17="Distrato",$E979,0))),0,YEARFRAC(MAX($P$708*($B979+IF($R$17="Distrato",$I$38-1,0)),IF(AND($L$711=0,$P$708=0),"",$L$711-1),IF($R$17="Distrato",$E979,0)),MIN(AY$38,$D$19),$P$20))-SUM($P979:AX979)</f>
        <v>#VALUE!</v>
      </c>
      <c r="AZ979" s="446" t="e">
        <f>IF(OR($B979="",MIN(AZ$38,$D$19)&lt;MAX($P$708*($B979+IF($R$17="Distrato",$I$38-1,0)),IF(AND($L$711=0,$P$708=0),"",$L$711-1),IF($R$17="Distrato",$E979,0))),0,YEARFRAC(MAX($P$708*($B979+IF($R$17="Distrato",$I$38-1,0)),IF(AND($L$711=0,$P$708=0),"",$L$711-1),IF($R$17="Distrato",$E979,0)),MIN(AZ$38,$D$19),$P$20))-SUM($P979:AY979)</f>
        <v>#VALUE!</v>
      </c>
      <c r="BA979" s="446" t="e">
        <f>IF(OR($B979="",MIN(BA$38,$D$19)&lt;MAX($P$708*($B979+IF($R$17="Distrato",$I$38-1,0)),IF(AND($L$711=0,$P$708=0),"",$L$711-1),IF($R$17="Distrato",$E979,0))),0,YEARFRAC(MAX($P$708*($B979+IF($R$17="Distrato",$I$38-1,0)),IF(AND($L$711=0,$P$708=0),"",$L$711-1),IF($R$17="Distrato",$E979,0)),MIN(BA$38,$D$19),$P$20))-SUM($P979:AZ979)</f>
        <v>#VALUE!</v>
      </c>
      <c r="BB979" s="447"/>
    </row>
    <row r="980" spans="1:54" s="446" customFormat="1" ht="11.25" hidden="1" customHeight="1" x14ac:dyDescent="0.2">
      <c r="A980" s="235"/>
      <c r="B980" s="236"/>
      <c r="C980" s="29" t="str">
        <f>IF(B980="","",IF($L$709=$BL$25,VLOOKUP(DATE(YEAR($D$19),MONTH($D$19)-1,1),ÍNDICES!$A:$DE,HLOOKUP($BL$25,ÍNDICES!$B$3:$T$4,2)+11)-VLOOKUP(B980,ÍNDICES!$A:$DE,HLOOKUP($BL$25,ÍNDICES!$B$3:$T$4,2)+11)+1%,IF(C$712=$W$26,$J$35,IF(ISERROR(IF(B980&gt;$D$19,1,VLOOKUP(DATE(YEAR(B980),MONTH(B980)+IF($C$709=$S$23,1,0),1),ÍNDICES!$A:$DE,$Z$709+1))),"",IF(B980&gt;$D$19,1,VLOOKUP(DATE(YEAR(B980),MONTH(B980)+IF($C$709=$S$23,1,0),1),ÍNDICES!$A:$DE,$Z$709+1))))))</f>
        <v/>
      </c>
      <c r="D980" s="155"/>
      <c r="E980" s="88"/>
      <c r="F980" s="88"/>
      <c r="G980" s="88"/>
      <c r="H980" s="118"/>
      <c r="I980" s="182">
        <f t="shared" si="143"/>
        <v>0</v>
      </c>
      <c r="J980" s="20">
        <f t="shared" ca="1" si="144"/>
        <v>0</v>
      </c>
      <c r="K980" s="5">
        <f t="shared" ca="1" si="145"/>
        <v>0</v>
      </c>
      <c r="L980" s="61">
        <f t="shared" ca="1" si="146"/>
        <v>0</v>
      </c>
      <c r="M980" s="64">
        <f t="shared" si="147"/>
        <v>0</v>
      </c>
      <c r="N980" s="151"/>
      <c r="O980" s="5">
        <f t="shared" ca="1" si="148"/>
        <v>0</v>
      </c>
      <c r="P980" s="446" t="e">
        <f t="shared" si="149"/>
        <v>#VALUE!</v>
      </c>
      <c r="Q980" s="446" t="e">
        <f>IF(OR($B980="",MIN(Q$38,$D$19)&lt;MAX($P$708*($B980+IF($R$17="Distrato",$I$38-1,0)),IF(AND($L$711=0,$P$708=0),"",$L$711-1),IF($R$17="Distrato",$E980,0))),0,YEARFRAC(MAX($P$708*($B980+IF($R$17="Distrato",$I$38-1,0)),IF(AND($L$711=0,$P$708=0),"",$L$711-1),IF($R$17="Distrato",$E980,0)),MIN(Q$38,$D$19),$P$20))-SUM($P980:P980)</f>
        <v>#VALUE!</v>
      </c>
      <c r="R980" s="446" t="e">
        <f>IF(OR($B980="",MIN(R$38,$D$19)&lt;MAX($P$708*($B980+IF($R$17="Distrato",$I$38-1,0)),IF(AND($L$711=0,$P$708=0),"",$L$711-1),IF($R$17="Distrato",$E980,0))),0,YEARFRAC(MAX($P$708*($B980+IF($R$17="Distrato",$I$38-1,0)),IF(AND($L$711=0,$P$708=0),"",$L$711-1),IF($R$17="Distrato",$E980,0)),MIN(R$38,$D$19),$P$20))-SUM($P980:Q980)</f>
        <v>#VALUE!</v>
      </c>
      <c r="S980" s="446" t="e">
        <f>IF(OR($B980="",MIN(S$38,$D$19)&lt;MAX($P$708*($B980+IF($R$17="Distrato",$I$38-1,0)),IF(AND($L$711=0,$P$708=0),"",$L$711-1),IF($R$17="Distrato",$E980,0))),0,YEARFRAC(MAX($P$708*($B980+IF($R$17="Distrato",$I$38-1,0)),IF(AND($L$711=0,$P$708=0),"",$L$711-1),IF($R$17="Distrato",$E980,0)),MIN(S$38,$D$19),$P$20))-SUM($P980:R980)</f>
        <v>#VALUE!</v>
      </c>
      <c r="T980" s="446" t="e">
        <f>IF(OR($B980="",MIN(T$38,$D$19)&lt;MAX($P$708*($B980+IF($R$17="Distrato",$I$38-1,0)),IF(AND($L$711=0,$P$708=0),"",$L$711-1),IF($R$17="Distrato",$E980,0))),0,YEARFRAC(MAX($P$708*($B980+IF($R$17="Distrato",$I$38-1,0)),IF(AND($L$711=0,$P$708=0),"",$L$711-1),IF($R$17="Distrato",$E980,0)),MIN(T$38,$D$19),$P$20))-SUM($P980:S980)</f>
        <v>#VALUE!</v>
      </c>
      <c r="U980" s="446" t="e">
        <f>IF(OR($B980="",MIN(U$38,$D$19)&lt;MAX($P$708*($B980+IF($R$17="Distrato",$I$38-1,0)),IF(AND($L$711=0,$P$708=0),"",$L$711-1),IF($R$17="Distrato",$E980,0))),0,YEARFRAC(MAX($P$708*($B980+IF($R$17="Distrato",$I$38-1,0)),IF(AND($L$711=0,$P$708=0),"",$L$711-1),IF($R$17="Distrato",$E980,0)),MIN(U$38,$D$19),$P$20))-SUM($P980:T980)</f>
        <v>#VALUE!</v>
      </c>
      <c r="V980" s="446" t="e">
        <f>IF(OR($B980="",MIN(V$38,$D$19)&lt;MAX($P$708*($B980+IF($R$17="Distrato",$I$38-1,0)),IF(AND($L$711=0,$P$708=0),"",$L$711-1),IF($R$17="Distrato",$E980,0))),0,YEARFRAC(MAX($P$708*($B980+IF($R$17="Distrato",$I$38-1,0)),IF(AND($L$711=0,$P$708=0),"",$L$711-1),IF($R$17="Distrato",$E980,0)),MIN(V$38,$D$19),$P$20))-SUM($P980:U980)</f>
        <v>#VALUE!</v>
      </c>
      <c r="W980" s="446" t="e">
        <f>IF(OR($B980="",MIN(W$38,$D$19)&lt;MAX($P$708*($B980+IF($R$17="Distrato",$I$38-1,0)),IF(AND($L$711=0,$P$708=0),"",$L$711-1),IF($R$17="Distrato",$E980,0))),0,YEARFRAC(MAX($P$708*($B980+IF($R$17="Distrato",$I$38-1,0)),IF(AND($L$711=0,$P$708=0),"",$L$711-1),IF($R$17="Distrato",$E980,0)),MIN(W$38,$D$19),$P$20))-SUM($P980:V980)</f>
        <v>#VALUE!</v>
      </c>
      <c r="X980" s="446" t="e">
        <f>IF(OR($B980="",MIN(X$38,$D$19)&lt;MAX($P$708*($B980+IF($R$17="Distrato",$I$38-1,0)),IF(AND($L$711=0,$P$708=0),"",$L$711-1),IF($R$17="Distrato",$E980,0))),0,YEARFRAC(MAX($P$708*($B980+IF($R$17="Distrato",$I$38-1,0)),IF(AND($L$711=0,$P$708=0),"",$L$711-1),IF($R$17="Distrato",$E980,0)),MIN(X$38,$D$19),$P$20))-SUM($P980:W980)</f>
        <v>#VALUE!</v>
      </c>
      <c r="Y980" s="446" t="e">
        <f>IF(OR($B980="",MIN(Y$38,$D$19)&lt;MAX($P$708*($B980+IF($R$17="Distrato",$I$38-1,0)),IF(AND($L$711=0,$P$708=0),"",$L$711-1),IF($R$17="Distrato",$E980,0))),0,YEARFRAC(MAX($P$708*($B980+IF($R$17="Distrato",$I$38-1,0)),IF(AND($L$711=0,$P$708=0),"",$L$711-1),IF($R$17="Distrato",$E980,0)),MIN(Y$38,$D$19),$P$20))-SUM($P980:X980)</f>
        <v>#VALUE!</v>
      </c>
      <c r="Z980" s="446" t="e">
        <f>IF(OR($B980="",MIN(Z$38,$D$19)&lt;MAX($P$708*($B980+IF($R$17="Distrato",$I$38-1,0)),IF(AND($L$711=0,$P$708=0),"",$L$711-1),IF($R$17="Distrato",$E980,0))),0,YEARFRAC(MAX($P$708*($B980+IF($R$17="Distrato",$I$38-1,0)),IF(AND($L$711=0,$P$708=0),"",$L$711-1),IF($R$17="Distrato",$E980,0)),MIN(Z$38,$D$19),$P$20))-SUM($P980:Y980)</f>
        <v>#VALUE!</v>
      </c>
      <c r="AA980" s="446" t="e">
        <f>IF(OR($B980="",MIN(AA$38,$D$19)&lt;MAX($P$708*($B980+IF($R$17="Distrato",$I$38-1,0)),IF(AND($L$711=0,$P$708=0),"",$L$711-1),IF($R$17="Distrato",$E980,0))),0,YEARFRAC(MAX($P$708*($B980+IF($R$17="Distrato",$I$38-1,0)),IF(AND($L$711=0,$P$708=0),"",$L$711-1),IF($R$17="Distrato",$E980,0)),MIN(AA$38,$D$19),$P$20))-SUM($P980:Z980)</f>
        <v>#VALUE!</v>
      </c>
      <c r="AB980" s="446" t="e">
        <f>IF(OR($B980="",MIN(AB$38,$D$19)&lt;MAX($P$708*($B980+IF($R$17="Distrato",$I$38-1,0)),IF(AND($L$711=0,$P$708=0),"",$L$711-1),IF($R$17="Distrato",$E980,0))),0,YEARFRAC(MAX($P$708*($B980+IF($R$17="Distrato",$I$38-1,0)),IF(AND($L$711=0,$P$708=0),"",$L$711-1),IF($R$17="Distrato",$E980,0)),MIN(AB$38,$D$19),$P$20))-SUM($P980:AA980)</f>
        <v>#VALUE!</v>
      </c>
      <c r="AC980" s="446" t="e">
        <f>IF(OR($B980="",MIN(AC$38,$D$19)&lt;MAX($P$708*($B980+IF($R$17="Distrato",$I$38-1,0)),IF(AND($L$711=0,$P$708=0),"",$L$711-1),IF($R$17="Distrato",$E980,0))),0,YEARFRAC(MAX($P$708*($B980+IF($R$17="Distrato",$I$38-1,0)),IF(AND($L$711=0,$P$708=0),"",$L$711-1),IF($R$17="Distrato",$E980,0)),MIN(AC$38,$D$19),$P$20))-SUM($P980:AB980)</f>
        <v>#VALUE!</v>
      </c>
      <c r="AD980" s="446" t="e">
        <f>IF(OR($B980="",MIN(AD$38,$D$19)&lt;MAX($P$708*($B980+IF($R$17="Distrato",$I$38-1,0)),IF(AND($L$711=0,$P$708=0),"",$L$711-1),IF($R$17="Distrato",$E980,0))),0,YEARFRAC(MAX($P$708*($B980+IF($R$17="Distrato",$I$38-1,0)),IF(AND($L$711=0,$P$708=0),"",$L$711-1),IF($R$17="Distrato",$E980,0)),MIN(AD$38,$D$19),$P$20))-SUM($P980:AC980)</f>
        <v>#VALUE!</v>
      </c>
      <c r="AE980" s="446" t="e">
        <f>IF(OR($B980="",MIN(AE$38,$D$19)&lt;MAX($P$708*($B980+IF($R$17="Distrato",$I$38-1,0)),IF(AND($L$711=0,$P$708=0),"",$L$711-1),IF($R$17="Distrato",$E980,0))),0,YEARFRAC(MAX($P$708*($B980+IF($R$17="Distrato",$I$38-1,0)),IF(AND($L$711=0,$P$708=0),"",$L$711-1),IF($R$17="Distrato",$E980,0)),MIN(AE$38,$D$19),$P$20))-SUM($P980:AD980)</f>
        <v>#VALUE!</v>
      </c>
      <c r="AF980" s="446" t="e">
        <f>IF(OR($B980="",MIN(AF$38,$D$19)&lt;MAX($P$708*($B980+IF($R$17="Distrato",$I$38-1,0)),IF(AND($L$711=0,$P$708=0),"",$L$711-1),IF($R$17="Distrato",$E980,0))),0,YEARFRAC(MAX($P$708*($B980+IF($R$17="Distrato",$I$38-1,0)),IF(AND($L$711=0,$P$708=0),"",$L$711-1),IF($R$17="Distrato",$E980,0)),MIN(AF$38,$D$19),$P$20))-SUM($P980:AE980)</f>
        <v>#VALUE!</v>
      </c>
      <c r="AG980" s="446" t="e">
        <f>IF(OR($B980="",MIN(AG$38,$D$19)&lt;MAX($P$708*($B980+IF($R$17="Distrato",$I$38-1,0)),IF(AND($L$711=0,$P$708=0),"",$L$711-1),IF($R$17="Distrato",$E980,0))),0,YEARFRAC(MAX($P$708*($B980+IF($R$17="Distrato",$I$38-1,0)),IF(AND($L$711=0,$P$708=0),"",$L$711-1),IF($R$17="Distrato",$E980,0)),MIN(AG$38,$D$19),$P$20))-SUM($P980:AF980)</f>
        <v>#VALUE!</v>
      </c>
      <c r="AH980" s="446" t="e">
        <f>IF(OR($B980="",MIN(AH$38,$D$19)&lt;MAX($P$708*($B980+IF($R$17="Distrato",$I$38-1,0)),IF(AND($L$711=0,$P$708=0),"",$L$711-1),IF($R$17="Distrato",$E980,0))),0,YEARFRAC(MAX($P$708*($B980+IF($R$17="Distrato",$I$38-1,0)),IF(AND($L$711=0,$P$708=0),"",$L$711-1),IF($R$17="Distrato",$E980,0)),MIN(AH$38,$D$19),$P$20))-SUM($P980:AG980)</f>
        <v>#VALUE!</v>
      </c>
      <c r="AI980" s="446" t="e">
        <f>IF(OR($B980="",MIN(AI$38,$D$19)&lt;MAX($P$708*($B980+IF($R$17="Distrato",$I$38-1,0)),IF(AND($L$711=0,$P$708=0),"",$L$711-1),IF($R$17="Distrato",$E980,0))),0,YEARFRAC(MAX($P$708*($B980+IF($R$17="Distrato",$I$38-1,0)),IF(AND($L$711=0,$P$708=0),"",$L$711-1),IF($R$17="Distrato",$E980,0)),MIN(AI$38,$D$19),$P$20))-SUM($P980:AH980)</f>
        <v>#VALUE!</v>
      </c>
      <c r="AJ980" s="446" t="e">
        <f>IF(OR($B980="",MIN(AJ$38,$D$19)&lt;MAX($P$708*($B980+IF($R$17="Distrato",$I$38-1,0)),IF(AND($L$711=0,$P$708=0),"",$L$711-1),IF($R$17="Distrato",$E980,0))),0,YEARFRAC(MAX($P$708*($B980+IF($R$17="Distrato",$I$38-1,0)),IF(AND($L$711=0,$P$708=0),"",$L$711-1),IF($R$17="Distrato",$E980,0)),MIN(AJ$38,$D$19),$P$20))-SUM($P980:AI980)</f>
        <v>#VALUE!</v>
      </c>
      <c r="AK980" s="446" t="e">
        <f>IF(OR($B980="",MIN(AK$38,$D$19)&lt;MAX($P$708*($B980+IF($R$17="Distrato",$I$38-1,0)),IF(AND($L$711=0,$P$708=0),"",$L$711-1),IF($R$17="Distrato",$E980,0))),0,YEARFRAC(MAX($P$708*($B980+IF($R$17="Distrato",$I$38-1,0)),IF(AND($L$711=0,$P$708=0),"",$L$711-1),IF($R$17="Distrato",$E980,0)),MIN(AK$38,$D$19),$P$20))-SUM($P980:AJ980)</f>
        <v>#VALUE!</v>
      </c>
      <c r="AL980" s="446" t="e">
        <f>IF(OR($B980="",MIN(AL$38,$D$19)&lt;MAX($P$708*($B980+IF($R$17="Distrato",$I$38-1,0)),IF(AND($L$711=0,$P$708=0),"",$L$711-1),IF($R$17="Distrato",$E980,0))),0,YEARFRAC(MAX($P$708*($B980+IF($R$17="Distrato",$I$38-1,0)),IF(AND($L$711=0,$P$708=0),"",$L$711-1),IF($R$17="Distrato",$E980,0)),MIN(AL$38,$D$19),$P$20))-SUM($P980:AK980)</f>
        <v>#VALUE!</v>
      </c>
      <c r="AM980" s="446" t="e">
        <f>IF(OR($B980="",MIN(AM$38,$D$19)&lt;MAX($P$708*($B980+IF($R$17="Distrato",$I$38-1,0)),IF(AND($L$711=0,$P$708=0),"",$L$711-1),IF($R$17="Distrato",$E980,0))),0,YEARFRAC(MAX($P$708*($B980+IF($R$17="Distrato",$I$38-1,0)),IF(AND($L$711=0,$P$708=0),"",$L$711-1),IF($R$17="Distrato",$E980,0)),MIN(AM$38,$D$19),$P$20))-SUM($P980:AL980)</f>
        <v>#VALUE!</v>
      </c>
      <c r="AN980" s="446" t="e">
        <f>IF(OR($B980="",MIN(AN$38,$D$19)&lt;MAX($P$708*($B980+IF($R$17="Distrato",$I$38-1,0)),IF(AND($L$711=0,$P$708=0),"",$L$711-1),IF($R$17="Distrato",$E980,0))),0,YEARFRAC(MAX($P$708*($B980+IF($R$17="Distrato",$I$38-1,0)),IF(AND($L$711=0,$P$708=0),"",$L$711-1),IF($R$17="Distrato",$E980,0)),MIN(AN$38,$D$19),$P$20))-SUM($P980:AM980)</f>
        <v>#VALUE!</v>
      </c>
      <c r="AO980" s="446" t="e">
        <f>IF(OR($B980="",MIN(AO$38,$D$19)&lt;MAX($P$708*($B980+IF($R$17="Distrato",$I$38-1,0)),IF(AND($L$711=0,$P$708=0),"",$L$711-1),IF($R$17="Distrato",$E980,0))),0,YEARFRAC(MAX($P$708*($B980+IF($R$17="Distrato",$I$38-1,0)),IF(AND($L$711=0,$P$708=0),"",$L$711-1),IF($R$17="Distrato",$E980,0)),MIN(AO$38,$D$19),$P$20))-SUM($P980:AN980)</f>
        <v>#VALUE!</v>
      </c>
      <c r="AP980" s="446" t="e">
        <f>IF(OR($B980="",MIN(AP$38,$D$19)&lt;MAX($P$708*($B980+IF($R$17="Distrato",$I$38-1,0)),IF(AND($L$711=0,$P$708=0),"",$L$711-1),IF($R$17="Distrato",$E980,0))),0,YEARFRAC(MAX($P$708*($B980+IF($R$17="Distrato",$I$38-1,0)),IF(AND($L$711=0,$P$708=0),"",$L$711-1),IF($R$17="Distrato",$E980,0)),MIN(AP$38,$D$19),$P$20))-SUM($P980:AO980)</f>
        <v>#VALUE!</v>
      </c>
      <c r="AQ980" s="446" t="e">
        <f>IF(OR($B980="",MIN(AQ$38,$D$19)&lt;MAX($P$708*($B980+IF($R$17="Distrato",$I$38-1,0)),IF(AND($L$711=0,$P$708=0),"",$L$711-1),IF($R$17="Distrato",$E980,0))),0,YEARFRAC(MAX($P$708*($B980+IF($R$17="Distrato",$I$38-1,0)),IF(AND($L$711=0,$P$708=0),"",$L$711-1),IF($R$17="Distrato",$E980,0)),MIN(AQ$38,$D$19),$P$20))-SUM($P980:AP980)</f>
        <v>#VALUE!</v>
      </c>
      <c r="AR980" s="446" t="e">
        <f>IF(OR($B980="",MIN(AR$38,$D$19)&lt;MAX($P$708*($B980+IF($R$17="Distrato",$I$38-1,0)),IF(AND($L$711=0,$P$708=0),"",$L$711-1),IF($R$17="Distrato",$E980,0))),0,YEARFRAC(MAX($P$708*($B980+IF($R$17="Distrato",$I$38-1,0)),IF(AND($L$711=0,$P$708=0),"",$L$711-1),IF($R$17="Distrato",$E980,0)),MIN(AR$38,$D$19),$P$20))-SUM($P980:AQ980)</f>
        <v>#VALUE!</v>
      </c>
      <c r="AS980" s="446" t="e">
        <f>IF(OR($B980="",MIN(AS$38,$D$19)&lt;MAX($P$708*($B980+IF($R$17="Distrato",$I$38-1,0)),IF(AND($L$711=0,$P$708=0),"",$L$711-1),IF($R$17="Distrato",$E980,0))),0,YEARFRAC(MAX($P$708*($B980+IF($R$17="Distrato",$I$38-1,0)),IF(AND($L$711=0,$P$708=0),"",$L$711-1),IF($R$17="Distrato",$E980,0)),MIN(AS$38,$D$19),$P$20))-SUM($P980:AR980)</f>
        <v>#VALUE!</v>
      </c>
      <c r="AT980" s="446" t="e">
        <f>IF(OR($B980="",MIN(AT$38,$D$19)&lt;MAX($P$708*($B980+IF($R$17="Distrato",$I$38-1,0)),IF(AND($L$711=0,$P$708=0),"",$L$711-1),IF($R$17="Distrato",$E980,0))),0,YEARFRAC(MAX($P$708*($B980+IF($R$17="Distrato",$I$38-1,0)),IF(AND($L$711=0,$P$708=0),"",$L$711-1),IF($R$17="Distrato",$E980,0)),MIN(AT$38,$D$19),$P$20))-SUM($P980:AS980)</f>
        <v>#VALUE!</v>
      </c>
      <c r="AU980" s="446" t="e">
        <f>IF(OR($B980="",MIN(AU$38,$D$19)&lt;MAX($P$708*($B980+IF($R$17="Distrato",$I$38-1,0)),IF(AND($L$711=0,$P$708=0),"",$L$711-1),IF($R$17="Distrato",$E980,0))),0,YEARFRAC(MAX($P$708*($B980+IF($R$17="Distrato",$I$38-1,0)),IF(AND($L$711=0,$P$708=0),"",$L$711-1),IF($R$17="Distrato",$E980,0)),MIN(AU$38,$D$19),$P$20))-SUM($P980:AT980)</f>
        <v>#VALUE!</v>
      </c>
      <c r="AV980" s="446" t="e">
        <f>IF(OR($B980="",MIN(AV$38,$D$19)&lt;MAX($P$708*($B980+IF($R$17="Distrato",$I$38-1,0)),IF(AND($L$711=0,$P$708=0),"",$L$711-1),IF($R$17="Distrato",$E980,0))),0,YEARFRAC(MAX($P$708*($B980+IF($R$17="Distrato",$I$38-1,0)),IF(AND($L$711=0,$P$708=0),"",$L$711-1),IF($R$17="Distrato",$E980,0)),MIN(AV$38,$D$19),$P$20))-SUM($P980:AU980)</f>
        <v>#VALUE!</v>
      </c>
      <c r="AW980" s="446" t="e">
        <f>IF(OR($B980="",MIN(AW$38,$D$19)&lt;MAX($P$708*($B980+IF($R$17="Distrato",$I$38-1,0)),IF(AND($L$711=0,$P$708=0),"",$L$711-1),IF($R$17="Distrato",$E980,0))),0,YEARFRAC(MAX($P$708*($B980+IF($R$17="Distrato",$I$38-1,0)),IF(AND($L$711=0,$P$708=0),"",$L$711-1),IF($R$17="Distrato",$E980,0)),MIN(AW$38,$D$19),$P$20))-SUM($P980:AV980)</f>
        <v>#VALUE!</v>
      </c>
      <c r="AX980" s="446" t="e">
        <f>IF(OR($B980="",MIN(AX$38,$D$19)&lt;MAX($P$708*($B980+IF($R$17="Distrato",$I$38-1,0)),IF(AND($L$711=0,$P$708=0),"",$L$711-1),IF($R$17="Distrato",$E980,0))),0,YEARFRAC(MAX($P$708*($B980+IF($R$17="Distrato",$I$38-1,0)),IF(AND($L$711=0,$P$708=0),"",$L$711-1),IF($R$17="Distrato",$E980,0)),MIN(AX$38,$D$19),$P$20))-SUM($P980:AW980)</f>
        <v>#VALUE!</v>
      </c>
      <c r="AY980" s="446" t="e">
        <f>IF(OR($B980="",MIN(AY$38,$D$19)&lt;MAX($P$708*($B980+IF($R$17="Distrato",$I$38-1,0)),IF(AND($L$711=0,$P$708=0),"",$L$711-1),IF($R$17="Distrato",$E980,0))),0,YEARFRAC(MAX($P$708*($B980+IF($R$17="Distrato",$I$38-1,0)),IF(AND($L$711=0,$P$708=0),"",$L$711-1),IF($R$17="Distrato",$E980,0)),MIN(AY$38,$D$19),$P$20))-SUM($P980:AX980)</f>
        <v>#VALUE!</v>
      </c>
      <c r="AZ980" s="446" t="e">
        <f>IF(OR($B980="",MIN(AZ$38,$D$19)&lt;MAX($P$708*($B980+IF($R$17="Distrato",$I$38-1,0)),IF(AND($L$711=0,$P$708=0),"",$L$711-1),IF($R$17="Distrato",$E980,0))),0,YEARFRAC(MAX($P$708*($B980+IF($R$17="Distrato",$I$38-1,0)),IF(AND($L$711=0,$P$708=0),"",$L$711-1),IF($R$17="Distrato",$E980,0)),MIN(AZ$38,$D$19),$P$20))-SUM($P980:AY980)</f>
        <v>#VALUE!</v>
      </c>
      <c r="BA980" s="446" t="e">
        <f>IF(OR($B980="",MIN(BA$38,$D$19)&lt;MAX($P$708*($B980+IF($R$17="Distrato",$I$38-1,0)),IF(AND($L$711=0,$P$708=0),"",$L$711-1),IF($R$17="Distrato",$E980,0))),0,YEARFRAC(MAX($P$708*($B980+IF($R$17="Distrato",$I$38-1,0)),IF(AND($L$711=0,$P$708=0),"",$L$711-1),IF($R$17="Distrato",$E980,0)),MIN(BA$38,$D$19),$P$20))-SUM($P980:AZ980)</f>
        <v>#VALUE!</v>
      </c>
      <c r="BB980" s="447"/>
    </row>
    <row r="981" spans="1:54" s="446" customFormat="1" ht="11.25" hidden="1" customHeight="1" x14ac:dyDescent="0.2">
      <c r="A981" s="235"/>
      <c r="B981" s="236"/>
      <c r="C981" s="29" t="str">
        <f>IF(B981="","",IF($L$709=$BL$25,VLOOKUP(DATE(YEAR($D$19),MONTH($D$19)-1,1),ÍNDICES!$A:$DE,HLOOKUP($BL$25,ÍNDICES!$B$3:$T$4,2)+11)-VLOOKUP(B981,ÍNDICES!$A:$DE,HLOOKUP($BL$25,ÍNDICES!$B$3:$T$4,2)+11)+1%,IF(C$712=$W$26,$J$35,IF(ISERROR(IF(B981&gt;$D$19,1,VLOOKUP(DATE(YEAR(B981),MONTH(B981)+IF($C$709=$S$23,1,0),1),ÍNDICES!$A:$DE,$Z$709+1))),"",IF(B981&gt;$D$19,1,VLOOKUP(DATE(YEAR(B981),MONTH(B981)+IF($C$709=$S$23,1,0),1),ÍNDICES!$A:$DE,$Z$709+1))))))</f>
        <v/>
      </c>
      <c r="D981" s="155"/>
      <c r="E981" s="88"/>
      <c r="F981" s="88"/>
      <c r="G981" s="88"/>
      <c r="H981" s="118"/>
      <c r="I981" s="182">
        <f t="shared" si="143"/>
        <v>0</v>
      </c>
      <c r="J981" s="20">
        <f t="shared" ca="1" si="144"/>
        <v>0</v>
      </c>
      <c r="K981" s="5">
        <f t="shared" ca="1" si="145"/>
        <v>0</v>
      </c>
      <c r="L981" s="61">
        <f t="shared" ca="1" si="146"/>
        <v>0</v>
      </c>
      <c r="M981" s="64">
        <f t="shared" si="147"/>
        <v>0</v>
      </c>
      <c r="N981" s="151"/>
      <c r="O981" s="5">
        <f t="shared" ca="1" si="148"/>
        <v>0</v>
      </c>
      <c r="P981" s="446" t="e">
        <f t="shared" si="149"/>
        <v>#VALUE!</v>
      </c>
      <c r="Q981" s="446" t="e">
        <f>IF(OR($B981="",MIN(Q$38,$D$19)&lt;MAX($P$708*($B981+IF($R$17="Distrato",$I$38-1,0)),IF(AND($L$711=0,$P$708=0),"",$L$711-1),IF($R$17="Distrato",$E981,0))),0,YEARFRAC(MAX($P$708*($B981+IF($R$17="Distrato",$I$38-1,0)),IF(AND($L$711=0,$P$708=0),"",$L$711-1),IF($R$17="Distrato",$E981,0)),MIN(Q$38,$D$19),$P$20))-SUM($P981:P981)</f>
        <v>#VALUE!</v>
      </c>
      <c r="R981" s="446" t="e">
        <f>IF(OR($B981="",MIN(R$38,$D$19)&lt;MAX($P$708*($B981+IF($R$17="Distrato",$I$38-1,0)),IF(AND($L$711=0,$P$708=0),"",$L$711-1),IF($R$17="Distrato",$E981,0))),0,YEARFRAC(MAX($P$708*($B981+IF($R$17="Distrato",$I$38-1,0)),IF(AND($L$711=0,$P$708=0),"",$L$711-1),IF($R$17="Distrato",$E981,0)),MIN(R$38,$D$19),$P$20))-SUM($P981:Q981)</f>
        <v>#VALUE!</v>
      </c>
      <c r="S981" s="446" t="e">
        <f>IF(OR($B981="",MIN(S$38,$D$19)&lt;MAX($P$708*($B981+IF($R$17="Distrato",$I$38-1,0)),IF(AND($L$711=0,$P$708=0),"",$L$711-1),IF($R$17="Distrato",$E981,0))),0,YEARFRAC(MAX($P$708*($B981+IF($R$17="Distrato",$I$38-1,0)),IF(AND($L$711=0,$P$708=0),"",$L$711-1),IF($R$17="Distrato",$E981,0)),MIN(S$38,$D$19),$P$20))-SUM($P981:R981)</f>
        <v>#VALUE!</v>
      </c>
      <c r="T981" s="446" t="e">
        <f>IF(OR($B981="",MIN(T$38,$D$19)&lt;MAX($P$708*($B981+IF($R$17="Distrato",$I$38-1,0)),IF(AND($L$711=0,$P$708=0),"",$L$711-1),IF($R$17="Distrato",$E981,0))),0,YEARFRAC(MAX($P$708*($B981+IF($R$17="Distrato",$I$38-1,0)),IF(AND($L$711=0,$P$708=0),"",$L$711-1),IF($R$17="Distrato",$E981,0)),MIN(T$38,$D$19),$P$20))-SUM($P981:S981)</f>
        <v>#VALUE!</v>
      </c>
      <c r="U981" s="446" t="e">
        <f>IF(OR($B981="",MIN(U$38,$D$19)&lt;MAX($P$708*($B981+IF($R$17="Distrato",$I$38-1,0)),IF(AND($L$711=0,$P$708=0),"",$L$711-1),IF($R$17="Distrato",$E981,0))),0,YEARFRAC(MAX($P$708*($B981+IF($R$17="Distrato",$I$38-1,0)),IF(AND($L$711=0,$P$708=0),"",$L$711-1),IF($R$17="Distrato",$E981,0)),MIN(U$38,$D$19),$P$20))-SUM($P981:T981)</f>
        <v>#VALUE!</v>
      </c>
      <c r="V981" s="446" t="e">
        <f>IF(OR($B981="",MIN(V$38,$D$19)&lt;MAX($P$708*($B981+IF($R$17="Distrato",$I$38-1,0)),IF(AND($L$711=0,$P$708=0),"",$L$711-1),IF($R$17="Distrato",$E981,0))),0,YEARFRAC(MAX($P$708*($B981+IF($R$17="Distrato",$I$38-1,0)),IF(AND($L$711=0,$P$708=0),"",$L$711-1),IF($R$17="Distrato",$E981,0)),MIN(V$38,$D$19),$P$20))-SUM($P981:U981)</f>
        <v>#VALUE!</v>
      </c>
      <c r="W981" s="446" t="e">
        <f>IF(OR($B981="",MIN(W$38,$D$19)&lt;MAX($P$708*($B981+IF($R$17="Distrato",$I$38-1,0)),IF(AND($L$711=0,$P$708=0),"",$L$711-1),IF($R$17="Distrato",$E981,0))),0,YEARFRAC(MAX($P$708*($B981+IF($R$17="Distrato",$I$38-1,0)),IF(AND($L$711=0,$P$708=0),"",$L$711-1),IF($R$17="Distrato",$E981,0)),MIN(W$38,$D$19),$P$20))-SUM($P981:V981)</f>
        <v>#VALUE!</v>
      </c>
      <c r="X981" s="446" t="e">
        <f>IF(OR($B981="",MIN(X$38,$D$19)&lt;MAX($P$708*($B981+IF($R$17="Distrato",$I$38-1,0)),IF(AND($L$711=0,$P$708=0),"",$L$711-1),IF($R$17="Distrato",$E981,0))),0,YEARFRAC(MAX($P$708*($B981+IF($R$17="Distrato",$I$38-1,0)),IF(AND($L$711=0,$P$708=0),"",$L$711-1),IF($R$17="Distrato",$E981,0)),MIN(X$38,$D$19),$P$20))-SUM($P981:W981)</f>
        <v>#VALUE!</v>
      </c>
      <c r="Y981" s="446" t="e">
        <f>IF(OR($B981="",MIN(Y$38,$D$19)&lt;MAX($P$708*($B981+IF($R$17="Distrato",$I$38-1,0)),IF(AND($L$711=0,$P$708=0),"",$L$711-1),IF($R$17="Distrato",$E981,0))),0,YEARFRAC(MAX($P$708*($B981+IF($R$17="Distrato",$I$38-1,0)),IF(AND($L$711=0,$P$708=0),"",$L$711-1),IF($R$17="Distrato",$E981,0)),MIN(Y$38,$D$19),$P$20))-SUM($P981:X981)</f>
        <v>#VALUE!</v>
      </c>
      <c r="Z981" s="446" t="e">
        <f>IF(OR($B981="",MIN(Z$38,$D$19)&lt;MAX($P$708*($B981+IF($R$17="Distrato",$I$38-1,0)),IF(AND($L$711=0,$P$708=0),"",$L$711-1),IF($R$17="Distrato",$E981,0))),0,YEARFRAC(MAX($P$708*($B981+IF($R$17="Distrato",$I$38-1,0)),IF(AND($L$711=0,$P$708=0),"",$L$711-1),IF($R$17="Distrato",$E981,0)),MIN(Z$38,$D$19),$P$20))-SUM($P981:Y981)</f>
        <v>#VALUE!</v>
      </c>
      <c r="AA981" s="446" t="e">
        <f>IF(OR($B981="",MIN(AA$38,$D$19)&lt;MAX($P$708*($B981+IF($R$17="Distrato",$I$38-1,0)),IF(AND($L$711=0,$P$708=0),"",$L$711-1),IF($R$17="Distrato",$E981,0))),0,YEARFRAC(MAX($P$708*($B981+IF($R$17="Distrato",$I$38-1,0)),IF(AND($L$711=0,$P$708=0),"",$L$711-1),IF($R$17="Distrato",$E981,0)),MIN(AA$38,$D$19),$P$20))-SUM($P981:Z981)</f>
        <v>#VALUE!</v>
      </c>
      <c r="AB981" s="446" t="e">
        <f>IF(OR($B981="",MIN(AB$38,$D$19)&lt;MAX($P$708*($B981+IF($R$17="Distrato",$I$38-1,0)),IF(AND($L$711=0,$P$708=0),"",$L$711-1),IF($R$17="Distrato",$E981,0))),0,YEARFRAC(MAX($P$708*($B981+IF($R$17="Distrato",$I$38-1,0)),IF(AND($L$711=0,$P$708=0),"",$L$711-1),IF($R$17="Distrato",$E981,0)),MIN(AB$38,$D$19),$P$20))-SUM($P981:AA981)</f>
        <v>#VALUE!</v>
      </c>
      <c r="AC981" s="446" t="e">
        <f>IF(OR($B981="",MIN(AC$38,$D$19)&lt;MAX($P$708*($B981+IF($R$17="Distrato",$I$38-1,0)),IF(AND($L$711=0,$P$708=0),"",$L$711-1),IF($R$17="Distrato",$E981,0))),0,YEARFRAC(MAX($P$708*($B981+IF($R$17="Distrato",$I$38-1,0)),IF(AND($L$711=0,$P$708=0),"",$L$711-1),IF($R$17="Distrato",$E981,0)),MIN(AC$38,$D$19),$P$20))-SUM($P981:AB981)</f>
        <v>#VALUE!</v>
      </c>
      <c r="AD981" s="446" t="e">
        <f>IF(OR($B981="",MIN(AD$38,$D$19)&lt;MAX($P$708*($B981+IF($R$17="Distrato",$I$38-1,0)),IF(AND($L$711=0,$P$708=0),"",$L$711-1),IF($R$17="Distrato",$E981,0))),0,YEARFRAC(MAX($P$708*($B981+IF($R$17="Distrato",$I$38-1,0)),IF(AND($L$711=0,$P$708=0),"",$L$711-1),IF($R$17="Distrato",$E981,0)),MIN(AD$38,$D$19),$P$20))-SUM($P981:AC981)</f>
        <v>#VALUE!</v>
      </c>
      <c r="AE981" s="446" t="e">
        <f>IF(OR($B981="",MIN(AE$38,$D$19)&lt;MAX($P$708*($B981+IF($R$17="Distrato",$I$38-1,0)),IF(AND($L$711=0,$P$708=0),"",$L$711-1),IF($R$17="Distrato",$E981,0))),0,YEARFRAC(MAX($P$708*($B981+IF($R$17="Distrato",$I$38-1,0)),IF(AND($L$711=0,$P$708=0),"",$L$711-1),IF($R$17="Distrato",$E981,0)),MIN(AE$38,$D$19),$P$20))-SUM($P981:AD981)</f>
        <v>#VALUE!</v>
      </c>
      <c r="AF981" s="446" t="e">
        <f>IF(OR($B981="",MIN(AF$38,$D$19)&lt;MAX($P$708*($B981+IF($R$17="Distrato",$I$38-1,0)),IF(AND($L$711=0,$P$708=0),"",$L$711-1),IF($R$17="Distrato",$E981,0))),0,YEARFRAC(MAX($P$708*($B981+IF($R$17="Distrato",$I$38-1,0)),IF(AND($L$711=0,$P$708=0),"",$L$711-1),IF($R$17="Distrato",$E981,0)),MIN(AF$38,$D$19),$P$20))-SUM($P981:AE981)</f>
        <v>#VALUE!</v>
      </c>
      <c r="AG981" s="446" t="e">
        <f>IF(OR($B981="",MIN(AG$38,$D$19)&lt;MAX($P$708*($B981+IF($R$17="Distrato",$I$38-1,0)),IF(AND($L$711=0,$P$708=0),"",$L$711-1),IF($R$17="Distrato",$E981,0))),0,YEARFRAC(MAX($P$708*($B981+IF($R$17="Distrato",$I$38-1,0)),IF(AND($L$711=0,$P$708=0),"",$L$711-1),IF($R$17="Distrato",$E981,0)),MIN(AG$38,$D$19),$P$20))-SUM($P981:AF981)</f>
        <v>#VALUE!</v>
      </c>
      <c r="AH981" s="446" t="e">
        <f>IF(OR($B981="",MIN(AH$38,$D$19)&lt;MAX($P$708*($B981+IF($R$17="Distrato",$I$38-1,0)),IF(AND($L$711=0,$P$708=0),"",$L$711-1),IF($R$17="Distrato",$E981,0))),0,YEARFRAC(MAX($P$708*($B981+IF($R$17="Distrato",$I$38-1,0)),IF(AND($L$711=0,$P$708=0),"",$L$711-1),IF($R$17="Distrato",$E981,0)),MIN(AH$38,$D$19),$P$20))-SUM($P981:AG981)</f>
        <v>#VALUE!</v>
      </c>
      <c r="AI981" s="446" t="e">
        <f>IF(OR($B981="",MIN(AI$38,$D$19)&lt;MAX($P$708*($B981+IF($R$17="Distrato",$I$38-1,0)),IF(AND($L$711=0,$P$708=0),"",$L$711-1),IF($R$17="Distrato",$E981,0))),0,YEARFRAC(MAX($P$708*($B981+IF($R$17="Distrato",$I$38-1,0)),IF(AND($L$711=0,$P$708=0),"",$L$711-1),IF($R$17="Distrato",$E981,0)),MIN(AI$38,$D$19),$P$20))-SUM($P981:AH981)</f>
        <v>#VALUE!</v>
      </c>
      <c r="AJ981" s="446" t="e">
        <f>IF(OR($B981="",MIN(AJ$38,$D$19)&lt;MAX($P$708*($B981+IF($R$17="Distrato",$I$38-1,0)),IF(AND($L$711=0,$P$708=0),"",$L$711-1),IF($R$17="Distrato",$E981,0))),0,YEARFRAC(MAX($P$708*($B981+IF($R$17="Distrato",$I$38-1,0)),IF(AND($L$711=0,$P$708=0),"",$L$711-1),IF($R$17="Distrato",$E981,0)),MIN(AJ$38,$D$19),$P$20))-SUM($P981:AI981)</f>
        <v>#VALUE!</v>
      </c>
      <c r="AK981" s="446" t="e">
        <f>IF(OR($B981="",MIN(AK$38,$D$19)&lt;MAX($P$708*($B981+IF($R$17="Distrato",$I$38-1,0)),IF(AND($L$711=0,$P$708=0),"",$L$711-1),IF($R$17="Distrato",$E981,0))),0,YEARFRAC(MAX($P$708*($B981+IF($R$17="Distrato",$I$38-1,0)),IF(AND($L$711=0,$P$708=0),"",$L$711-1),IF($R$17="Distrato",$E981,0)),MIN(AK$38,$D$19),$P$20))-SUM($P981:AJ981)</f>
        <v>#VALUE!</v>
      </c>
      <c r="AL981" s="446" t="e">
        <f>IF(OR($B981="",MIN(AL$38,$D$19)&lt;MAX($P$708*($B981+IF($R$17="Distrato",$I$38-1,0)),IF(AND($L$711=0,$P$708=0),"",$L$711-1),IF($R$17="Distrato",$E981,0))),0,YEARFRAC(MAX($P$708*($B981+IF($R$17="Distrato",$I$38-1,0)),IF(AND($L$711=0,$P$708=0),"",$L$711-1),IF($R$17="Distrato",$E981,0)),MIN(AL$38,$D$19),$P$20))-SUM($P981:AK981)</f>
        <v>#VALUE!</v>
      </c>
      <c r="AM981" s="446" t="e">
        <f>IF(OR($B981="",MIN(AM$38,$D$19)&lt;MAX($P$708*($B981+IF($R$17="Distrato",$I$38-1,0)),IF(AND($L$711=0,$P$708=0),"",$L$711-1),IF($R$17="Distrato",$E981,0))),0,YEARFRAC(MAX($P$708*($B981+IF($R$17="Distrato",$I$38-1,0)),IF(AND($L$711=0,$P$708=0),"",$L$711-1),IF($R$17="Distrato",$E981,0)),MIN(AM$38,$D$19),$P$20))-SUM($P981:AL981)</f>
        <v>#VALUE!</v>
      </c>
      <c r="AN981" s="446" t="e">
        <f>IF(OR($B981="",MIN(AN$38,$D$19)&lt;MAX($P$708*($B981+IF($R$17="Distrato",$I$38-1,0)),IF(AND($L$711=0,$P$708=0),"",$L$711-1),IF($R$17="Distrato",$E981,0))),0,YEARFRAC(MAX($P$708*($B981+IF($R$17="Distrato",$I$38-1,0)),IF(AND($L$711=0,$P$708=0),"",$L$711-1),IF($R$17="Distrato",$E981,0)),MIN(AN$38,$D$19),$P$20))-SUM($P981:AM981)</f>
        <v>#VALUE!</v>
      </c>
      <c r="AO981" s="446" t="e">
        <f>IF(OR($B981="",MIN(AO$38,$D$19)&lt;MAX($P$708*($B981+IF($R$17="Distrato",$I$38-1,0)),IF(AND($L$711=0,$P$708=0),"",$L$711-1),IF($R$17="Distrato",$E981,0))),0,YEARFRAC(MAX($P$708*($B981+IF($R$17="Distrato",$I$38-1,0)),IF(AND($L$711=0,$P$708=0),"",$L$711-1),IF($R$17="Distrato",$E981,0)),MIN(AO$38,$D$19),$P$20))-SUM($P981:AN981)</f>
        <v>#VALUE!</v>
      </c>
      <c r="AP981" s="446" t="e">
        <f>IF(OR($B981="",MIN(AP$38,$D$19)&lt;MAX($P$708*($B981+IF($R$17="Distrato",$I$38-1,0)),IF(AND($L$711=0,$P$708=0),"",$L$711-1),IF($R$17="Distrato",$E981,0))),0,YEARFRAC(MAX($P$708*($B981+IF($R$17="Distrato",$I$38-1,0)),IF(AND($L$711=0,$P$708=0),"",$L$711-1),IF($R$17="Distrato",$E981,0)),MIN(AP$38,$D$19),$P$20))-SUM($P981:AO981)</f>
        <v>#VALUE!</v>
      </c>
      <c r="AQ981" s="446" t="e">
        <f>IF(OR($B981="",MIN(AQ$38,$D$19)&lt;MAX($P$708*($B981+IF($R$17="Distrato",$I$38-1,0)),IF(AND($L$711=0,$P$708=0),"",$L$711-1),IF($R$17="Distrato",$E981,0))),0,YEARFRAC(MAX($P$708*($B981+IF($R$17="Distrato",$I$38-1,0)),IF(AND($L$711=0,$P$708=0),"",$L$711-1),IF($R$17="Distrato",$E981,0)),MIN(AQ$38,$D$19),$P$20))-SUM($P981:AP981)</f>
        <v>#VALUE!</v>
      </c>
      <c r="AR981" s="446" t="e">
        <f>IF(OR($B981="",MIN(AR$38,$D$19)&lt;MAX($P$708*($B981+IF($R$17="Distrato",$I$38-1,0)),IF(AND($L$711=0,$P$708=0),"",$L$711-1),IF($R$17="Distrato",$E981,0))),0,YEARFRAC(MAX($P$708*($B981+IF($R$17="Distrato",$I$38-1,0)),IF(AND($L$711=0,$P$708=0),"",$L$711-1),IF($R$17="Distrato",$E981,0)),MIN(AR$38,$D$19),$P$20))-SUM($P981:AQ981)</f>
        <v>#VALUE!</v>
      </c>
      <c r="AS981" s="446" t="e">
        <f>IF(OR($B981="",MIN(AS$38,$D$19)&lt;MAX($P$708*($B981+IF($R$17="Distrato",$I$38-1,0)),IF(AND($L$711=0,$P$708=0),"",$L$711-1),IF($R$17="Distrato",$E981,0))),0,YEARFRAC(MAX($P$708*($B981+IF($R$17="Distrato",$I$38-1,0)),IF(AND($L$711=0,$P$708=0),"",$L$711-1),IF($R$17="Distrato",$E981,0)),MIN(AS$38,$D$19),$P$20))-SUM($P981:AR981)</f>
        <v>#VALUE!</v>
      </c>
      <c r="AT981" s="446" t="e">
        <f>IF(OR($B981="",MIN(AT$38,$D$19)&lt;MAX($P$708*($B981+IF($R$17="Distrato",$I$38-1,0)),IF(AND($L$711=0,$P$708=0),"",$L$711-1),IF($R$17="Distrato",$E981,0))),0,YEARFRAC(MAX($P$708*($B981+IF($R$17="Distrato",$I$38-1,0)),IF(AND($L$711=0,$P$708=0),"",$L$711-1),IF($R$17="Distrato",$E981,0)),MIN(AT$38,$D$19),$P$20))-SUM($P981:AS981)</f>
        <v>#VALUE!</v>
      </c>
      <c r="AU981" s="446" t="e">
        <f>IF(OR($B981="",MIN(AU$38,$D$19)&lt;MAX($P$708*($B981+IF($R$17="Distrato",$I$38-1,0)),IF(AND($L$711=0,$P$708=0),"",$L$711-1),IF($R$17="Distrato",$E981,0))),0,YEARFRAC(MAX($P$708*($B981+IF($R$17="Distrato",$I$38-1,0)),IF(AND($L$711=0,$P$708=0),"",$L$711-1),IF($R$17="Distrato",$E981,0)),MIN(AU$38,$D$19),$P$20))-SUM($P981:AT981)</f>
        <v>#VALUE!</v>
      </c>
      <c r="AV981" s="446" t="e">
        <f>IF(OR($B981="",MIN(AV$38,$D$19)&lt;MAX($P$708*($B981+IF($R$17="Distrato",$I$38-1,0)),IF(AND($L$711=0,$P$708=0),"",$L$711-1),IF($R$17="Distrato",$E981,0))),0,YEARFRAC(MAX($P$708*($B981+IF($R$17="Distrato",$I$38-1,0)),IF(AND($L$711=0,$P$708=0),"",$L$711-1),IF($R$17="Distrato",$E981,0)),MIN(AV$38,$D$19),$P$20))-SUM($P981:AU981)</f>
        <v>#VALUE!</v>
      </c>
      <c r="AW981" s="446" t="e">
        <f>IF(OR($B981="",MIN(AW$38,$D$19)&lt;MAX($P$708*($B981+IF($R$17="Distrato",$I$38-1,0)),IF(AND($L$711=0,$P$708=0),"",$L$711-1),IF($R$17="Distrato",$E981,0))),0,YEARFRAC(MAX($P$708*($B981+IF($R$17="Distrato",$I$38-1,0)),IF(AND($L$711=0,$P$708=0),"",$L$711-1),IF($R$17="Distrato",$E981,0)),MIN(AW$38,$D$19),$P$20))-SUM($P981:AV981)</f>
        <v>#VALUE!</v>
      </c>
      <c r="AX981" s="446" t="e">
        <f>IF(OR($B981="",MIN(AX$38,$D$19)&lt;MAX($P$708*($B981+IF($R$17="Distrato",$I$38-1,0)),IF(AND($L$711=0,$P$708=0),"",$L$711-1),IF($R$17="Distrato",$E981,0))),0,YEARFRAC(MAX($P$708*($B981+IF($R$17="Distrato",$I$38-1,0)),IF(AND($L$711=0,$P$708=0),"",$L$711-1),IF($R$17="Distrato",$E981,0)),MIN(AX$38,$D$19),$P$20))-SUM($P981:AW981)</f>
        <v>#VALUE!</v>
      </c>
      <c r="AY981" s="446" t="e">
        <f>IF(OR($B981="",MIN(AY$38,$D$19)&lt;MAX($P$708*($B981+IF($R$17="Distrato",$I$38-1,0)),IF(AND($L$711=0,$P$708=0),"",$L$711-1),IF($R$17="Distrato",$E981,0))),0,YEARFRAC(MAX($P$708*($B981+IF($R$17="Distrato",$I$38-1,0)),IF(AND($L$711=0,$P$708=0),"",$L$711-1),IF($R$17="Distrato",$E981,0)),MIN(AY$38,$D$19),$P$20))-SUM($P981:AX981)</f>
        <v>#VALUE!</v>
      </c>
      <c r="AZ981" s="446" t="e">
        <f>IF(OR($B981="",MIN(AZ$38,$D$19)&lt;MAX($P$708*($B981+IF($R$17="Distrato",$I$38-1,0)),IF(AND($L$711=0,$P$708=0),"",$L$711-1),IF($R$17="Distrato",$E981,0))),0,YEARFRAC(MAX($P$708*($B981+IF($R$17="Distrato",$I$38-1,0)),IF(AND($L$711=0,$P$708=0),"",$L$711-1),IF($R$17="Distrato",$E981,0)),MIN(AZ$38,$D$19),$P$20))-SUM($P981:AY981)</f>
        <v>#VALUE!</v>
      </c>
      <c r="BA981" s="446" t="e">
        <f>IF(OR($B981="",MIN(BA$38,$D$19)&lt;MAX($P$708*($B981+IF($R$17="Distrato",$I$38-1,0)),IF(AND($L$711=0,$P$708=0),"",$L$711-1),IF($R$17="Distrato",$E981,0))),0,YEARFRAC(MAX($P$708*($B981+IF($R$17="Distrato",$I$38-1,0)),IF(AND($L$711=0,$P$708=0),"",$L$711-1),IF($R$17="Distrato",$E981,0)),MIN(BA$38,$D$19),$P$20))-SUM($P981:AZ981)</f>
        <v>#VALUE!</v>
      </c>
      <c r="BB981" s="447"/>
    </row>
    <row r="982" spans="1:54" s="446" customFormat="1" ht="11.25" hidden="1" customHeight="1" x14ac:dyDescent="0.2">
      <c r="A982" s="235"/>
      <c r="B982" s="236"/>
      <c r="C982" s="29" t="str">
        <f>IF(B982="","",IF($L$709=$BL$25,VLOOKUP(DATE(YEAR($D$19),MONTH($D$19)-1,1),ÍNDICES!$A:$DE,HLOOKUP($BL$25,ÍNDICES!$B$3:$T$4,2)+11)-VLOOKUP(B982,ÍNDICES!$A:$DE,HLOOKUP($BL$25,ÍNDICES!$B$3:$T$4,2)+11)+1%,IF(C$712=$W$26,$J$35,IF(ISERROR(IF(B982&gt;$D$19,1,VLOOKUP(DATE(YEAR(B982),MONTH(B982)+IF($C$709=$S$23,1,0),1),ÍNDICES!$A:$DE,$Z$709+1))),"",IF(B982&gt;$D$19,1,VLOOKUP(DATE(YEAR(B982),MONTH(B982)+IF($C$709=$S$23,1,0),1),ÍNDICES!$A:$DE,$Z$709+1))))))</f>
        <v/>
      </c>
      <c r="D982" s="155"/>
      <c r="E982" s="88"/>
      <c r="F982" s="88"/>
      <c r="G982" s="88"/>
      <c r="H982" s="118"/>
      <c r="I982" s="182">
        <f t="shared" si="143"/>
        <v>0</v>
      </c>
      <c r="J982" s="20">
        <f t="shared" ca="1" si="144"/>
        <v>0</v>
      </c>
      <c r="K982" s="5">
        <f t="shared" ca="1" si="145"/>
        <v>0</v>
      </c>
      <c r="L982" s="61">
        <f t="shared" ca="1" si="146"/>
        <v>0</v>
      </c>
      <c r="M982" s="64">
        <f t="shared" si="147"/>
        <v>0</v>
      </c>
      <c r="N982" s="151"/>
      <c r="O982" s="5">
        <f t="shared" ca="1" si="148"/>
        <v>0</v>
      </c>
      <c r="P982" s="446" t="e">
        <f t="shared" si="149"/>
        <v>#VALUE!</v>
      </c>
      <c r="Q982" s="446" t="e">
        <f>IF(OR($B982="",MIN(Q$38,$D$19)&lt;MAX($P$708*($B982+IF($R$17="Distrato",$I$38-1,0)),IF(AND($L$711=0,$P$708=0),"",$L$711-1),IF($R$17="Distrato",$E982,0))),0,YEARFRAC(MAX($P$708*($B982+IF($R$17="Distrato",$I$38-1,0)),IF(AND($L$711=0,$P$708=0),"",$L$711-1),IF($R$17="Distrato",$E982,0)),MIN(Q$38,$D$19),$P$20))-SUM($P982:P982)</f>
        <v>#VALUE!</v>
      </c>
      <c r="R982" s="446" t="e">
        <f>IF(OR($B982="",MIN(R$38,$D$19)&lt;MAX($P$708*($B982+IF($R$17="Distrato",$I$38-1,0)),IF(AND($L$711=0,$P$708=0),"",$L$711-1),IF($R$17="Distrato",$E982,0))),0,YEARFRAC(MAX($P$708*($B982+IF($R$17="Distrato",$I$38-1,0)),IF(AND($L$711=0,$P$708=0),"",$L$711-1),IF($R$17="Distrato",$E982,0)),MIN(R$38,$D$19),$P$20))-SUM($P982:Q982)</f>
        <v>#VALUE!</v>
      </c>
      <c r="S982" s="446" t="e">
        <f>IF(OR($B982="",MIN(S$38,$D$19)&lt;MAX($P$708*($B982+IF($R$17="Distrato",$I$38-1,0)),IF(AND($L$711=0,$P$708=0),"",$L$711-1),IF($R$17="Distrato",$E982,0))),0,YEARFRAC(MAX($P$708*($B982+IF($R$17="Distrato",$I$38-1,0)),IF(AND($L$711=0,$P$708=0),"",$L$711-1),IF($R$17="Distrato",$E982,0)),MIN(S$38,$D$19),$P$20))-SUM($P982:R982)</f>
        <v>#VALUE!</v>
      </c>
      <c r="T982" s="446" t="e">
        <f>IF(OR($B982="",MIN(T$38,$D$19)&lt;MAX($P$708*($B982+IF($R$17="Distrato",$I$38-1,0)),IF(AND($L$711=0,$P$708=0),"",$L$711-1),IF($R$17="Distrato",$E982,0))),0,YEARFRAC(MAX($P$708*($B982+IF($R$17="Distrato",$I$38-1,0)),IF(AND($L$711=0,$P$708=0),"",$L$711-1),IF($R$17="Distrato",$E982,0)),MIN(T$38,$D$19),$P$20))-SUM($P982:S982)</f>
        <v>#VALUE!</v>
      </c>
      <c r="U982" s="446" t="e">
        <f>IF(OR($B982="",MIN(U$38,$D$19)&lt;MAX($P$708*($B982+IF($R$17="Distrato",$I$38-1,0)),IF(AND($L$711=0,$P$708=0),"",$L$711-1),IF($R$17="Distrato",$E982,0))),0,YEARFRAC(MAX($P$708*($B982+IF($R$17="Distrato",$I$38-1,0)),IF(AND($L$711=0,$P$708=0),"",$L$711-1),IF($R$17="Distrato",$E982,0)),MIN(U$38,$D$19),$P$20))-SUM($P982:T982)</f>
        <v>#VALUE!</v>
      </c>
      <c r="V982" s="446" t="e">
        <f>IF(OR($B982="",MIN(V$38,$D$19)&lt;MAX($P$708*($B982+IF($R$17="Distrato",$I$38-1,0)),IF(AND($L$711=0,$P$708=0),"",$L$711-1),IF($R$17="Distrato",$E982,0))),0,YEARFRAC(MAX($P$708*($B982+IF($R$17="Distrato",$I$38-1,0)),IF(AND($L$711=0,$P$708=0),"",$L$711-1),IF($R$17="Distrato",$E982,0)),MIN(V$38,$D$19),$P$20))-SUM($P982:U982)</f>
        <v>#VALUE!</v>
      </c>
      <c r="W982" s="446" t="e">
        <f>IF(OR($B982="",MIN(W$38,$D$19)&lt;MAX($P$708*($B982+IF($R$17="Distrato",$I$38-1,0)),IF(AND($L$711=0,$P$708=0),"",$L$711-1),IF($R$17="Distrato",$E982,0))),0,YEARFRAC(MAX($P$708*($B982+IF($R$17="Distrato",$I$38-1,0)),IF(AND($L$711=0,$P$708=0),"",$L$711-1),IF($R$17="Distrato",$E982,0)),MIN(W$38,$D$19),$P$20))-SUM($P982:V982)</f>
        <v>#VALUE!</v>
      </c>
      <c r="X982" s="446" t="e">
        <f>IF(OR($B982="",MIN(X$38,$D$19)&lt;MAX($P$708*($B982+IF($R$17="Distrato",$I$38-1,0)),IF(AND($L$711=0,$P$708=0),"",$L$711-1),IF($R$17="Distrato",$E982,0))),0,YEARFRAC(MAX($P$708*($B982+IF($R$17="Distrato",$I$38-1,0)),IF(AND($L$711=0,$P$708=0),"",$L$711-1),IF($R$17="Distrato",$E982,0)),MIN(X$38,$D$19),$P$20))-SUM($P982:W982)</f>
        <v>#VALUE!</v>
      </c>
      <c r="Y982" s="446" t="e">
        <f>IF(OR($B982="",MIN(Y$38,$D$19)&lt;MAX($P$708*($B982+IF($R$17="Distrato",$I$38-1,0)),IF(AND($L$711=0,$P$708=0),"",$L$711-1),IF($R$17="Distrato",$E982,0))),0,YEARFRAC(MAX($P$708*($B982+IF($R$17="Distrato",$I$38-1,0)),IF(AND($L$711=0,$P$708=0),"",$L$711-1),IF($R$17="Distrato",$E982,0)),MIN(Y$38,$D$19),$P$20))-SUM($P982:X982)</f>
        <v>#VALUE!</v>
      </c>
      <c r="Z982" s="446" t="e">
        <f>IF(OR($B982="",MIN(Z$38,$D$19)&lt;MAX($P$708*($B982+IF($R$17="Distrato",$I$38-1,0)),IF(AND($L$711=0,$P$708=0),"",$L$711-1),IF($R$17="Distrato",$E982,0))),0,YEARFRAC(MAX($P$708*($B982+IF($R$17="Distrato",$I$38-1,0)),IF(AND($L$711=0,$P$708=0),"",$L$711-1),IF($R$17="Distrato",$E982,0)),MIN(Z$38,$D$19),$P$20))-SUM($P982:Y982)</f>
        <v>#VALUE!</v>
      </c>
      <c r="AA982" s="446" t="e">
        <f>IF(OR($B982="",MIN(AA$38,$D$19)&lt;MAX($P$708*($B982+IF($R$17="Distrato",$I$38-1,0)),IF(AND($L$711=0,$P$708=0),"",$L$711-1),IF($R$17="Distrato",$E982,0))),0,YEARFRAC(MAX($P$708*($B982+IF($R$17="Distrato",$I$38-1,0)),IF(AND($L$711=0,$P$708=0),"",$L$711-1),IF($R$17="Distrato",$E982,0)),MIN(AA$38,$D$19),$P$20))-SUM($P982:Z982)</f>
        <v>#VALUE!</v>
      </c>
      <c r="AB982" s="446" t="e">
        <f>IF(OR($B982="",MIN(AB$38,$D$19)&lt;MAX($P$708*($B982+IF($R$17="Distrato",$I$38-1,0)),IF(AND($L$711=0,$P$708=0),"",$L$711-1),IF($R$17="Distrato",$E982,0))),0,YEARFRAC(MAX($P$708*($B982+IF($R$17="Distrato",$I$38-1,0)),IF(AND($L$711=0,$P$708=0),"",$L$711-1),IF($R$17="Distrato",$E982,0)),MIN(AB$38,$D$19),$P$20))-SUM($P982:AA982)</f>
        <v>#VALUE!</v>
      </c>
      <c r="AC982" s="446" t="e">
        <f>IF(OR($B982="",MIN(AC$38,$D$19)&lt;MAX($P$708*($B982+IF($R$17="Distrato",$I$38-1,0)),IF(AND($L$711=0,$P$708=0),"",$L$711-1),IF($R$17="Distrato",$E982,0))),0,YEARFRAC(MAX($P$708*($B982+IF($R$17="Distrato",$I$38-1,0)),IF(AND($L$711=0,$P$708=0),"",$L$711-1),IF($R$17="Distrato",$E982,0)),MIN(AC$38,$D$19),$P$20))-SUM($P982:AB982)</f>
        <v>#VALUE!</v>
      </c>
      <c r="AD982" s="446" t="e">
        <f>IF(OR($B982="",MIN(AD$38,$D$19)&lt;MAX($P$708*($B982+IF($R$17="Distrato",$I$38-1,0)),IF(AND($L$711=0,$P$708=0),"",$L$711-1),IF($R$17="Distrato",$E982,0))),0,YEARFRAC(MAX($P$708*($B982+IF($R$17="Distrato",$I$38-1,0)),IF(AND($L$711=0,$P$708=0),"",$L$711-1),IF($R$17="Distrato",$E982,0)),MIN(AD$38,$D$19),$P$20))-SUM($P982:AC982)</f>
        <v>#VALUE!</v>
      </c>
      <c r="AE982" s="446" t="e">
        <f>IF(OR($B982="",MIN(AE$38,$D$19)&lt;MAX($P$708*($B982+IF($R$17="Distrato",$I$38-1,0)),IF(AND($L$711=0,$P$708=0),"",$L$711-1),IF($R$17="Distrato",$E982,0))),0,YEARFRAC(MAX($P$708*($B982+IF($R$17="Distrato",$I$38-1,0)),IF(AND($L$711=0,$P$708=0),"",$L$711-1),IF($R$17="Distrato",$E982,0)),MIN(AE$38,$D$19),$P$20))-SUM($P982:AD982)</f>
        <v>#VALUE!</v>
      </c>
      <c r="AF982" s="446" t="e">
        <f>IF(OR($B982="",MIN(AF$38,$D$19)&lt;MAX($P$708*($B982+IF($R$17="Distrato",$I$38-1,0)),IF(AND($L$711=0,$P$708=0),"",$L$711-1),IF($R$17="Distrato",$E982,0))),0,YEARFRAC(MAX($P$708*($B982+IF($R$17="Distrato",$I$38-1,0)),IF(AND($L$711=0,$P$708=0),"",$L$711-1),IF($R$17="Distrato",$E982,0)),MIN(AF$38,$D$19),$P$20))-SUM($P982:AE982)</f>
        <v>#VALUE!</v>
      </c>
      <c r="AG982" s="446" t="e">
        <f>IF(OR($B982="",MIN(AG$38,$D$19)&lt;MAX($P$708*($B982+IF($R$17="Distrato",$I$38-1,0)),IF(AND($L$711=0,$P$708=0),"",$L$711-1),IF($R$17="Distrato",$E982,0))),0,YEARFRAC(MAX($P$708*($B982+IF($R$17="Distrato",$I$38-1,0)),IF(AND($L$711=0,$P$708=0),"",$L$711-1),IF($R$17="Distrato",$E982,0)),MIN(AG$38,$D$19),$P$20))-SUM($P982:AF982)</f>
        <v>#VALUE!</v>
      </c>
      <c r="AH982" s="446" t="e">
        <f>IF(OR($B982="",MIN(AH$38,$D$19)&lt;MAX($P$708*($B982+IF($R$17="Distrato",$I$38-1,0)),IF(AND($L$711=0,$P$708=0),"",$L$711-1),IF($R$17="Distrato",$E982,0))),0,YEARFRAC(MAX($P$708*($B982+IF($R$17="Distrato",$I$38-1,0)),IF(AND($L$711=0,$P$708=0),"",$L$711-1),IF($R$17="Distrato",$E982,0)),MIN(AH$38,$D$19),$P$20))-SUM($P982:AG982)</f>
        <v>#VALUE!</v>
      </c>
      <c r="AI982" s="446" t="e">
        <f>IF(OR($B982="",MIN(AI$38,$D$19)&lt;MAX($P$708*($B982+IF($R$17="Distrato",$I$38-1,0)),IF(AND($L$711=0,$P$708=0),"",$L$711-1),IF($R$17="Distrato",$E982,0))),0,YEARFRAC(MAX($P$708*($B982+IF($R$17="Distrato",$I$38-1,0)),IF(AND($L$711=0,$P$708=0),"",$L$711-1),IF($R$17="Distrato",$E982,0)),MIN(AI$38,$D$19),$P$20))-SUM($P982:AH982)</f>
        <v>#VALUE!</v>
      </c>
      <c r="AJ982" s="446" t="e">
        <f>IF(OR($B982="",MIN(AJ$38,$D$19)&lt;MAX($P$708*($B982+IF($R$17="Distrato",$I$38-1,0)),IF(AND($L$711=0,$P$708=0),"",$L$711-1),IF($R$17="Distrato",$E982,0))),0,YEARFRAC(MAX($P$708*($B982+IF($R$17="Distrato",$I$38-1,0)),IF(AND($L$711=0,$P$708=0),"",$L$711-1),IF($R$17="Distrato",$E982,0)),MIN(AJ$38,$D$19),$P$20))-SUM($P982:AI982)</f>
        <v>#VALUE!</v>
      </c>
      <c r="AK982" s="446" t="e">
        <f>IF(OR($B982="",MIN(AK$38,$D$19)&lt;MAX($P$708*($B982+IF($R$17="Distrato",$I$38-1,0)),IF(AND($L$711=0,$P$708=0),"",$L$711-1),IF($R$17="Distrato",$E982,0))),0,YEARFRAC(MAX($P$708*($B982+IF($R$17="Distrato",$I$38-1,0)),IF(AND($L$711=0,$P$708=0),"",$L$711-1),IF($R$17="Distrato",$E982,0)),MIN(AK$38,$D$19),$P$20))-SUM($P982:AJ982)</f>
        <v>#VALUE!</v>
      </c>
      <c r="AL982" s="446" t="e">
        <f>IF(OR($B982="",MIN(AL$38,$D$19)&lt;MAX($P$708*($B982+IF($R$17="Distrato",$I$38-1,0)),IF(AND($L$711=0,$P$708=0),"",$L$711-1),IF($R$17="Distrato",$E982,0))),0,YEARFRAC(MAX($P$708*($B982+IF($R$17="Distrato",$I$38-1,0)),IF(AND($L$711=0,$P$708=0),"",$L$711-1),IF($R$17="Distrato",$E982,0)),MIN(AL$38,$D$19),$P$20))-SUM($P982:AK982)</f>
        <v>#VALUE!</v>
      </c>
      <c r="AM982" s="446" t="e">
        <f>IF(OR($B982="",MIN(AM$38,$D$19)&lt;MAX($P$708*($B982+IF($R$17="Distrato",$I$38-1,0)),IF(AND($L$711=0,$P$708=0),"",$L$711-1),IF($R$17="Distrato",$E982,0))),0,YEARFRAC(MAX($P$708*($B982+IF($R$17="Distrato",$I$38-1,0)),IF(AND($L$711=0,$P$708=0),"",$L$711-1),IF($R$17="Distrato",$E982,0)),MIN(AM$38,$D$19),$P$20))-SUM($P982:AL982)</f>
        <v>#VALUE!</v>
      </c>
      <c r="AN982" s="446" t="e">
        <f>IF(OR($B982="",MIN(AN$38,$D$19)&lt;MAX($P$708*($B982+IF($R$17="Distrato",$I$38-1,0)),IF(AND($L$711=0,$P$708=0),"",$L$711-1),IF($R$17="Distrato",$E982,0))),0,YEARFRAC(MAX($P$708*($B982+IF($R$17="Distrato",$I$38-1,0)),IF(AND($L$711=0,$P$708=0),"",$L$711-1),IF($R$17="Distrato",$E982,0)),MIN(AN$38,$D$19),$P$20))-SUM($P982:AM982)</f>
        <v>#VALUE!</v>
      </c>
      <c r="AO982" s="446" t="e">
        <f>IF(OR($B982="",MIN(AO$38,$D$19)&lt;MAX($P$708*($B982+IF($R$17="Distrato",$I$38-1,0)),IF(AND($L$711=0,$P$708=0),"",$L$711-1),IF($R$17="Distrato",$E982,0))),0,YEARFRAC(MAX($P$708*($B982+IF($R$17="Distrato",$I$38-1,0)),IF(AND($L$711=0,$P$708=0),"",$L$711-1),IF($R$17="Distrato",$E982,0)),MIN(AO$38,$D$19),$P$20))-SUM($P982:AN982)</f>
        <v>#VALUE!</v>
      </c>
      <c r="AP982" s="446" t="e">
        <f>IF(OR($B982="",MIN(AP$38,$D$19)&lt;MAX($P$708*($B982+IF($R$17="Distrato",$I$38-1,0)),IF(AND($L$711=0,$P$708=0),"",$L$711-1),IF($R$17="Distrato",$E982,0))),0,YEARFRAC(MAX($P$708*($B982+IF($R$17="Distrato",$I$38-1,0)),IF(AND($L$711=0,$P$708=0),"",$L$711-1),IF($R$17="Distrato",$E982,0)),MIN(AP$38,$D$19),$P$20))-SUM($P982:AO982)</f>
        <v>#VALUE!</v>
      </c>
      <c r="AQ982" s="446" t="e">
        <f>IF(OR($B982="",MIN(AQ$38,$D$19)&lt;MAX($P$708*($B982+IF($R$17="Distrato",$I$38-1,0)),IF(AND($L$711=0,$P$708=0),"",$L$711-1),IF($R$17="Distrato",$E982,0))),0,YEARFRAC(MAX($P$708*($B982+IF($R$17="Distrato",$I$38-1,0)),IF(AND($L$711=0,$P$708=0),"",$L$711-1),IF($R$17="Distrato",$E982,0)),MIN(AQ$38,$D$19),$P$20))-SUM($P982:AP982)</f>
        <v>#VALUE!</v>
      </c>
      <c r="AR982" s="446" t="e">
        <f>IF(OR($B982="",MIN(AR$38,$D$19)&lt;MAX($P$708*($B982+IF($R$17="Distrato",$I$38-1,0)),IF(AND($L$711=0,$P$708=0),"",$L$711-1),IF($R$17="Distrato",$E982,0))),0,YEARFRAC(MAX($P$708*($B982+IF($R$17="Distrato",$I$38-1,0)),IF(AND($L$711=0,$P$708=0),"",$L$711-1),IF($R$17="Distrato",$E982,0)),MIN(AR$38,$D$19),$P$20))-SUM($P982:AQ982)</f>
        <v>#VALUE!</v>
      </c>
      <c r="AS982" s="446" t="e">
        <f>IF(OR($B982="",MIN(AS$38,$D$19)&lt;MAX($P$708*($B982+IF($R$17="Distrato",$I$38-1,0)),IF(AND($L$711=0,$P$708=0),"",$L$711-1),IF($R$17="Distrato",$E982,0))),0,YEARFRAC(MAX($P$708*($B982+IF($R$17="Distrato",$I$38-1,0)),IF(AND($L$711=0,$P$708=0),"",$L$711-1),IF($R$17="Distrato",$E982,0)),MIN(AS$38,$D$19),$P$20))-SUM($P982:AR982)</f>
        <v>#VALUE!</v>
      </c>
      <c r="AT982" s="446" t="e">
        <f>IF(OR($B982="",MIN(AT$38,$D$19)&lt;MAX($P$708*($B982+IF($R$17="Distrato",$I$38-1,0)),IF(AND($L$711=0,$P$708=0),"",$L$711-1),IF($R$17="Distrato",$E982,0))),0,YEARFRAC(MAX($P$708*($B982+IF($R$17="Distrato",$I$38-1,0)),IF(AND($L$711=0,$P$708=0),"",$L$711-1),IF($R$17="Distrato",$E982,0)),MIN(AT$38,$D$19),$P$20))-SUM($P982:AS982)</f>
        <v>#VALUE!</v>
      </c>
      <c r="AU982" s="446" t="e">
        <f>IF(OR($B982="",MIN(AU$38,$D$19)&lt;MAX($P$708*($B982+IF($R$17="Distrato",$I$38-1,0)),IF(AND($L$711=0,$P$708=0),"",$L$711-1),IF($R$17="Distrato",$E982,0))),0,YEARFRAC(MAX($P$708*($B982+IF($R$17="Distrato",$I$38-1,0)),IF(AND($L$711=0,$P$708=0),"",$L$711-1),IF($R$17="Distrato",$E982,0)),MIN(AU$38,$D$19),$P$20))-SUM($P982:AT982)</f>
        <v>#VALUE!</v>
      </c>
      <c r="AV982" s="446" t="e">
        <f>IF(OR($B982="",MIN(AV$38,$D$19)&lt;MAX($P$708*($B982+IF($R$17="Distrato",$I$38-1,0)),IF(AND($L$711=0,$P$708=0),"",$L$711-1),IF($R$17="Distrato",$E982,0))),0,YEARFRAC(MAX($P$708*($B982+IF($R$17="Distrato",$I$38-1,0)),IF(AND($L$711=0,$P$708=0),"",$L$711-1),IF($R$17="Distrato",$E982,0)),MIN(AV$38,$D$19),$P$20))-SUM($P982:AU982)</f>
        <v>#VALUE!</v>
      </c>
      <c r="AW982" s="446" t="e">
        <f>IF(OR($B982="",MIN(AW$38,$D$19)&lt;MAX($P$708*($B982+IF($R$17="Distrato",$I$38-1,0)),IF(AND($L$711=0,$P$708=0),"",$L$711-1),IF($R$17="Distrato",$E982,0))),0,YEARFRAC(MAX($P$708*($B982+IF($R$17="Distrato",$I$38-1,0)),IF(AND($L$711=0,$P$708=0),"",$L$711-1),IF($R$17="Distrato",$E982,0)),MIN(AW$38,$D$19),$P$20))-SUM($P982:AV982)</f>
        <v>#VALUE!</v>
      </c>
      <c r="AX982" s="446" t="e">
        <f>IF(OR($B982="",MIN(AX$38,$D$19)&lt;MAX($P$708*($B982+IF($R$17="Distrato",$I$38-1,0)),IF(AND($L$711=0,$P$708=0),"",$L$711-1),IF($R$17="Distrato",$E982,0))),0,YEARFRAC(MAX($P$708*($B982+IF($R$17="Distrato",$I$38-1,0)),IF(AND($L$711=0,$P$708=0),"",$L$711-1),IF($R$17="Distrato",$E982,0)),MIN(AX$38,$D$19),$P$20))-SUM($P982:AW982)</f>
        <v>#VALUE!</v>
      </c>
      <c r="AY982" s="446" t="e">
        <f>IF(OR($B982="",MIN(AY$38,$D$19)&lt;MAX($P$708*($B982+IF($R$17="Distrato",$I$38-1,0)),IF(AND($L$711=0,$P$708=0),"",$L$711-1),IF($R$17="Distrato",$E982,0))),0,YEARFRAC(MAX($P$708*($B982+IF($R$17="Distrato",$I$38-1,0)),IF(AND($L$711=0,$P$708=0),"",$L$711-1),IF($R$17="Distrato",$E982,0)),MIN(AY$38,$D$19),$P$20))-SUM($P982:AX982)</f>
        <v>#VALUE!</v>
      </c>
      <c r="AZ982" s="446" t="e">
        <f>IF(OR($B982="",MIN(AZ$38,$D$19)&lt;MAX($P$708*($B982+IF($R$17="Distrato",$I$38-1,0)),IF(AND($L$711=0,$P$708=0),"",$L$711-1),IF($R$17="Distrato",$E982,0))),0,YEARFRAC(MAX($P$708*($B982+IF($R$17="Distrato",$I$38-1,0)),IF(AND($L$711=0,$P$708=0),"",$L$711-1),IF($R$17="Distrato",$E982,0)),MIN(AZ$38,$D$19),$P$20))-SUM($P982:AY982)</f>
        <v>#VALUE!</v>
      </c>
      <c r="BA982" s="446" t="e">
        <f>IF(OR($B982="",MIN(BA$38,$D$19)&lt;MAX($P$708*($B982+IF($R$17="Distrato",$I$38-1,0)),IF(AND($L$711=0,$P$708=0),"",$L$711-1),IF($R$17="Distrato",$E982,0))),0,YEARFRAC(MAX($P$708*($B982+IF($R$17="Distrato",$I$38-1,0)),IF(AND($L$711=0,$P$708=0),"",$L$711-1),IF($R$17="Distrato",$E982,0)),MIN(BA$38,$D$19),$P$20))-SUM($P982:AZ982)</f>
        <v>#VALUE!</v>
      </c>
      <c r="BB982" s="447"/>
    </row>
    <row r="983" spans="1:54" s="446" customFormat="1" ht="11.25" hidden="1" customHeight="1" x14ac:dyDescent="0.2">
      <c r="A983" s="235"/>
      <c r="B983" s="236"/>
      <c r="C983" s="29" t="str">
        <f>IF(B983="","",IF($L$709=$BL$25,VLOOKUP(DATE(YEAR($D$19),MONTH($D$19)-1,1),ÍNDICES!$A:$DE,HLOOKUP($BL$25,ÍNDICES!$B$3:$T$4,2)+11)-VLOOKUP(B983,ÍNDICES!$A:$DE,HLOOKUP($BL$25,ÍNDICES!$B$3:$T$4,2)+11)+1%,IF(C$712=$W$26,$J$35,IF(ISERROR(IF(B983&gt;$D$19,1,VLOOKUP(DATE(YEAR(B983),MONTH(B983)+IF($C$709=$S$23,1,0),1),ÍNDICES!$A:$DE,$Z$709+1))),"",IF(B983&gt;$D$19,1,VLOOKUP(DATE(YEAR(B983),MONTH(B983)+IF($C$709=$S$23,1,0),1),ÍNDICES!$A:$DE,$Z$709+1))))))</f>
        <v/>
      </c>
      <c r="D983" s="155"/>
      <c r="E983" s="88"/>
      <c r="F983" s="88"/>
      <c r="G983" s="88"/>
      <c r="H983" s="118"/>
      <c r="I983" s="182">
        <f t="shared" si="143"/>
        <v>0</v>
      </c>
      <c r="J983" s="20">
        <f t="shared" ca="1" si="144"/>
        <v>0</v>
      </c>
      <c r="K983" s="5">
        <f t="shared" ca="1" si="145"/>
        <v>0</v>
      </c>
      <c r="L983" s="61">
        <f t="shared" ca="1" si="146"/>
        <v>0</v>
      </c>
      <c r="M983" s="64">
        <f t="shared" si="147"/>
        <v>0</v>
      </c>
      <c r="N983" s="151"/>
      <c r="O983" s="5">
        <f t="shared" ca="1" si="148"/>
        <v>0</v>
      </c>
      <c r="P983" s="446" t="e">
        <f t="shared" si="149"/>
        <v>#VALUE!</v>
      </c>
      <c r="Q983" s="446" t="e">
        <f>IF(OR($B983="",MIN(Q$38,$D$19)&lt;MAX($P$708*($B983+IF($R$17="Distrato",$I$38-1,0)),IF(AND($L$711=0,$P$708=0),"",$L$711-1),IF($R$17="Distrato",$E983,0))),0,YEARFRAC(MAX($P$708*($B983+IF($R$17="Distrato",$I$38-1,0)),IF(AND($L$711=0,$P$708=0),"",$L$711-1),IF($R$17="Distrato",$E983,0)),MIN(Q$38,$D$19),$P$20))-SUM($P983:P983)</f>
        <v>#VALUE!</v>
      </c>
      <c r="R983" s="446" t="e">
        <f>IF(OR($B983="",MIN(R$38,$D$19)&lt;MAX($P$708*($B983+IF($R$17="Distrato",$I$38-1,0)),IF(AND($L$711=0,$P$708=0),"",$L$711-1),IF($R$17="Distrato",$E983,0))),0,YEARFRAC(MAX($P$708*($B983+IF($R$17="Distrato",$I$38-1,0)),IF(AND($L$711=0,$P$708=0),"",$L$711-1),IF($R$17="Distrato",$E983,0)),MIN(R$38,$D$19),$P$20))-SUM($P983:Q983)</f>
        <v>#VALUE!</v>
      </c>
      <c r="S983" s="446" t="e">
        <f>IF(OR($B983="",MIN(S$38,$D$19)&lt;MAX($P$708*($B983+IF($R$17="Distrato",$I$38-1,0)),IF(AND($L$711=0,$P$708=0),"",$L$711-1),IF($R$17="Distrato",$E983,0))),0,YEARFRAC(MAX($P$708*($B983+IF($R$17="Distrato",$I$38-1,0)),IF(AND($L$711=0,$P$708=0),"",$L$711-1),IF($R$17="Distrato",$E983,0)),MIN(S$38,$D$19),$P$20))-SUM($P983:R983)</f>
        <v>#VALUE!</v>
      </c>
      <c r="T983" s="446" t="e">
        <f>IF(OR($B983="",MIN(T$38,$D$19)&lt;MAX($P$708*($B983+IF($R$17="Distrato",$I$38-1,0)),IF(AND($L$711=0,$P$708=0),"",$L$711-1),IF($R$17="Distrato",$E983,0))),0,YEARFRAC(MAX($P$708*($B983+IF($R$17="Distrato",$I$38-1,0)),IF(AND($L$711=0,$P$708=0),"",$L$711-1),IF($R$17="Distrato",$E983,0)),MIN(T$38,$D$19),$P$20))-SUM($P983:S983)</f>
        <v>#VALUE!</v>
      </c>
      <c r="U983" s="446" t="e">
        <f>IF(OR($B983="",MIN(U$38,$D$19)&lt;MAX($P$708*($B983+IF($R$17="Distrato",$I$38-1,0)),IF(AND($L$711=0,$P$708=0),"",$L$711-1),IF($R$17="Distrato",$E983,0))),0,YEARFRAC(MAX($P$708*($B983+IF($R$17="Distrato",$I$38-1,0)),IF(AND($L$711=0,$P$708=0),"",$L$711-1),IF($R$17="Distrato",$E983,0)),MIN(U$38,$D$19),$P$20))-SUM($P983:T983)</f>
        <v>#VALUE!</v>
      </c>
      <c r="V983" s="446" t="e">
        <f>IF(OR($B983="",MIN(V$38,$D$19)&lt;MAX($P$708*($B983+IF($R$17="Distrato",$I$38-1,0)),IF(AND($L$711=0,$P$708=0),"",$L$711-1),IF($R$17="Distrato",$E983,0))),0,YEARFRAC(MAX($P$708*($B983+IF($R$17="Distrato",$I$38-1,0)),IF(AND($L$711=0,$P$708=0),"",$L$711-1),IF($R$17="Distrato",$E983,0)),MIN(V$38,$D$19),$P$20))-SUM($P983:U983)</f>
        <v>#VALUE!</v>
      </c>
      <c r="W983" s="446" t="e">
        <f>IF(OR($B983="",MIN(W$38,$D$19)&lt;MAX($P$708*($B983+IF($R$17="Distrato",$I$38-1,0)),IF(AND($L$711=0,$P$708=0),"",$L$711-1),IF($R$17="Distrato",$E983,0))),0,YEARFRAC(MAX($P$708*($B983+IF($R$17="Distrato",$I$38-1,0)),IF(AND($L$711=0,$P$708=0),"",$L$711-1),IF($R$17="Distrato",$E983,0)),MIN(W$38,$D$19),$P$20))-SUM($P983:V983)</f>
        <v>#VALUE!</v>
      </c>
      <c r="X983" s="446" t="e">
        <f>IF(OR($B983="",MIN(X$38,$D$19)&lt;MAX($P$708*($B983+IF($R$17="Distrato",$I$38-1,0)),IF(AND($L$711=0,$P$708=0),"",$L$711-1),IF($R$17="Distrato",$E983,0))),0,YEARFRAC(MAX($P$708*($B983+IF($R$17="Distrato",$I$38-1,0)),IF(AND($L$711=0,$P$708=0),"",$L$711-1),IF($R$17="Distrato",$E983,0)),MIN(X$38,$D$19),$P$20))-SUM($P983:W983)</f>
        <v>#VALUE!</v>
      </c>
      <c r="Y983" s="446" t="e">
        <f>IF(OR($B983="",MIN(Y$38,$D$19)&lt;MAX($P$708*($B983+IF($R$17="Distrato",$I$38-1,0)),IF(AND($L$711=0,$P$708=0),"",$L$711-1),IF($R$17="Distrato",$E983,0))),0,YEARFRAC(MAX($P$708*($B983+IF($R$17="Distrato",$I$38-1,0)),IF(AND($L$711=0,$P$708=0),"",$L$711-1),IF($R$17="Distrato",$E983,0)),MIN(Y$38,$D$19),$P$20))-SUM($P983:X983)</f>
        <v>#VALUE!</v>
      </c>
      <c r="Z983" s="446" t="e">
        <f>IF(OR($B983="",MIN(Z$38,$D$19)&lt;MAX($P$708*($B983+IF($R$17="Distrato",$I$38-1,0)),IF(AND($L$711=0,$P$708=0),"",$L$711-1),IF($R$17="Distrato",$E983,0))),0,YEARFRAC(MAX($P$708*($B983+IF($R$17="Distrato",$I$38-1,0)),IF(AND($L$711=0,$P$708=0),"",$L$711-1),IF($R$17="Distrato",$E983,0)),MIN(Z$38,$D$19),$P$20))-SUM($P983:Y983)</f>
        <v>#VALUE!</v>
      </c>
      <c r="AA983" s="446" t="e">
        <f>IF(OR($B983="",MIN(AA$38,$D$19)&lt;MAX($P$708*($B983+IF($R$17="Distrato",$I$38-1,0)),IF(AND($L$711=0,$P$708=0),"",$L$711-1),IF($R$17="Distrato",$E983,0))),0,YEARFRAC(MAX($P$708*($B983+IF($R$17="Distrato",$I$38-1,0)),IF(AND($L$711=0,$P$708=0),"",$L$711-1),IF($R$17="Distrato",$E983,0)),MIN(AA$38,$D$19),$P$20))-SUM($P983:Z983)</f>
        <v>#VALUE!</v>
      </c>
      <c r="AB983" s="446" t="e">
        <f>IF(OR($B983="",MIN(AB$38,$D$19)&lt;MAX($P$708*($B983+IF($R$17="Distrato",$I$38-1,0)),IF(AND($L$711=0,$P$708=0),"",$L$711-1),IF($R$17="Distrato",$E983,0))),0,YEARFRAC(MAX($P$708*($B983+IF($R$17="Distrato",$I$38-1,0)),IF(AND($L$711=0,$P$708=0),"",$L$711-1),IF($R$17="Distrato",$E983,0)),MIN(AB$38,$D$19),$P$20))-SUM($P983:AA983)</f>
        <v>#VALUE!</v>
      </c>
      <c r="AC983" s="446" t="e">
        <f>IF(OR($B983="",MIN(AC$38,$D$19)&lt;MAX($P$708*($B983+IF($R$17="Distrato",$I$38-1,0)),IF(AND($L$711=0,$P$708=0),"",$L$711-1),IF($R$17="Distrato",$E983,0))),0,YEARFRAC(MAX($P$708*($B983+IF($R$17="Distrato",$I$38-1,0)),IF(AND($L$711=0,$P$708=0),"",$L$711-1),IF($R$17="Distrato",$E983,0)),MIN(AC$38,$D$19),$P$20))-SUM($P983:AB983)</f>
        <v>#VALUE!</v>
      </c>
      <c r="AD983" s="446" t="e">
        <f>IF(OR($B983="",MIN(AD$38,$D$19)&lt;MAX($P$708*($B983+IF($R$17="Distrato",$I$38-1,0)),IF(AND($L$711=0,$P$708=0),"",$L$711-1),IF($R$17="Distrato",$E983,0))),0,YEARFRAC(MAX($P$708*($B983+IF($R$17="Distrato",$I$38-1,0)),IF(AND($L$711=0,$P$708=0),"",$L$711-1),IF($R$17="Distrato",$E983,0)),MIN(AD$38,$D$19),$P$20))-SUM($P983:AC983)</f>
        <v>#VALUE!</v>
      </c>
      <c r="AE983" s="446" t="e">
        <f>IF(OR($B983="",MIN(AE$38,$D$19)&lt;MAX($P$708*($B983+IF($R$17="Distrato",$I$38-1,0)),IF(AND($L$711=0,$P$708=0),"",$L$711-1),IF($R$17="Distrato",$E983,0))),0,YEARFRAC(MAX($P$708*($B983+IF($R$17="Distrato",$I$38-1,0)),IF(AND($L$711=0,$P$708=0),"",$L$711-1),IF($R$17="Distrato",$E983,0)),MIN(AE$38,$D$19),$P$20))-SUM($P983:AD983)</f>
        <v>#VALUE!</v>
      </c>
      <c r="AF983" s="446" t="e">
        <f>IF(OR($B983="",MIN(AF$38,$D$19)&lt;MAX($P$708*($B983+IF($R$17="Distrato",$I$38-1,0)),IF(AND($L$711=0,$P$708=0),"",$L$711-1),IF($R$17="Distrato",$E983,0))),0,YEARFRAC(MAX($P$708*($B983+IF($R$17="Distrato",$I$38-1,0)),IF(AND($L$711=0,$P$708=0),"",$L$711-1),IF($R$17="Distrato",$E983,0)),MIN(AF$38,$D$19),$P$20))-SUM($P983:AE983)</f>
        <v>#VALUE!</v>
      </c>
      <c r="AG983" s="446" t="e">
        <f>IF(OR($B983="",MIN(AG$38,$D$19)&lt;MAX($P$708*($B983+IF($R$17="Distrato",$I$38-1,0)),IF(AND($L$711=0,$P$708=0),"",$L$711-1),IF($R$17="Distrato",$E983,0))),0,YEARFRAC(MAX($P$708*($B983+IF($R$17="Distrato",$I$38-1,0)),IF(AND($L$711=0,$P$708=0),"",$L$711-1),IF($R$17="Distrato",$E983,0)),MIN(AG$38,$D$19),$P$20))-SUM($P983:AF983)</f>
        <v>#VALUE!</v>
      </c>
      <c r="AH983" s="446" t="e">
        <f>IF(OR($B983="",MIN(AH$38,$D$19)&lt;MAX($P$708*($B983+IF($R$17="Distrato",$I$38-1,0)),IF(AND($L$711=0,$P$708=0),"",$L$711-1),IF($R$17="Distrato",$E983,0))),0,YEARFRAC(MAX($P$708*($B983+IF($R$17="Distrato",$I$38-1,0)),IF(AND($L$711=0,$P$708=0),"",$L$711-1),IF($R$17="Distrato",$E983,0)),MIN(AH$38,$D$19),$P$20))-SUM($P983:AG983)</f>
        <v>#VALUE!</v>
      </c>
      <c r="AI983" s="446" t="e">
        <f>IF(OR($B983="",MIN(AI$38,$D$19)&lt;MAX($P$708*($B983+IF($R$17="Distrato",$I$38-1,0)),IF(AND($L$711=0,$P$708=0),"",$L$711-1),IF($R$17="Distrato",$E983,0))),0,YEARFRAC(MAX($P$708*($B983+IF($R$17="Distrato",$I$38-1,0)),IF(AND($L$711=0,$P$708=0),"",$L$711-1),IF($R$17="Distrato",$E983,0)),MIN(AI$38,$D$19),$P$20))-SUM($P983:AH983)</f>
        <v>#VALUE!</v>
      </c>
      <c r="AJ983" s="446" t="e">
        <f>IF(OR($B983="",MIN(AJ$38,$D$19)&lt;MAX($P$708*($B983+IF($R$17="Distrato",$I$38-1,0)),IF(AND($L$711=0,$P$708=0),"",$L$711-1),IF($R$17="Distrato",$E983,0))),0,YEARFRAC(MAX($P$708*($B983+IF($R$17="Distrato",$I$38-1,0)),IF(AND($L$711=0,$P$708=0),"",$L$711-1),IF($R$17="Distrato",$E983,0)),MIN(AJ$38,$D$19),$P$20))-SUM($P983:AI983)</f>
        <v>#VALUE!</v>
      </c>
      <c r="AK983" s="446" t="e">
        <f>IF(OR($B983="",MIN(AK$38,$D$19)&lt;MAX($P$708*($B983+IF($R$17="Distrato",$I$38-1,0)),IF(AND($L$711=0,$P$708=0),"",$L$711-1),IF($R$17="Distrato",$E983,0))),0,YEARFRAC(MAX($P$708*($B983+IF($R$17="Distrato",$I$38-1,0)),IF(AND($L$711=0,$P$708=0),"",$L$711-1),IF($R$17="Distrato",$E983,0)),MIN(AK$38,$D$19),$P$20))-SUM($P983:AJ983)</f>
        <v>#VALUE!</v>
      </c>
      <c r="AL983" s="446" t="e">
        <f>IF(OR($B983="",MIN(AL$38,$D$19)&lt;MAX($P$708*($B983+IF($R$17="Distrato",$I$38-1,0)),IF(AND($L$711=0,$P$708=0),"",$L$711-1),IF($R$17="Distrato",$E983,0))),0,YEARFRAC(MAX($P$708*($B983+IF($R$17="Distrato",$I$38-1,0)),IF(AND($L$711=0,$P$708=0),"",$L$711-1),IF($R$17="Distrato",$E983,0)),MIN(AL$38,$D$19),$P$20))-SUM($P983:AK983)</f>
        <v>#VALUE!</v>
      </c>
      <c r="AM983" s="446" t="e">
        <f>IF(OR($B983="",MIN(AM$38,$D$19)&lt;MAX($P$708*($B983+IF($R$17="Distrato",$I$38-1,0)),IF(AND($L$711=0,$P$708=0),"",$L$711-1),IF($R$17="Distrato",$E983,0))),0,YEARFRAC(MAX($P$708*($B983+IF($R$17="Distrato",$I$38-1,0)),IF(AND($L$711=0,$P$708=0),"",$L$711-1),IF($R$17="Distrato",$E983,0)),MIN(AM$38,$D$19),$P$20))-SUM($P983:AL983)</f>
        <v>#VALUE!</v>
      </c>
      <c r="AN983" s="446" t="e">
        <f>IF(OR($B983="",MIN(AN$38,$D$19)&lt;MAX($P$708*($B983+IF($R$17="Distrato",$I$38-1,0)),IF(AND($L$711=0,$P$708=0),"",$L$711-1),IF($R$17="Distrato",$E983,0))),0,YEARFRAC(MAX($P$708*($B983+IF($R$17="Distrato",$I$38-1,0)),IF(AND($L$711=0,$P$708=0),"",$L$711-1),IF($R$17="Distrato",$E983,0)),MIN(AN$38,$D$19),$P$20))-SUM($P983:AM983)</f>
        <v>#VALUE!</v>
      </c>
      <c r="AO983" s="446" t="e">
        <f>IF(OR($B983="",MIN(AO$38,$D$19)&lt;MAX($P$708*($B983+IF($R$17="Distrato",$I$38-1,0)),IF(AND($L$711=0,$P$708=0),"",$L$711-1),IF($R$17="Distrato",$E983,0))),0,YEARFRAC(MAX($P$708*($B983+IF($R$17="Distrato",$I$38-1,0)),IF(AND($L$711=0,$P$708=0),"",$L$711-1),IF($R$17="Distrato",$E983,0)),MIN(AO$38,$D$19),$P$20))-SUM($P983:AN983)</f>
        <v>#VALUE!</v>
      </c>
      <c r="AP983" s="446" t="e">
        <f>IF(OR($B983="",MIN(AP$38,$D$19)&lt;MAX($P$708*($B983+IF($R$17="Distrato",$I$38-1,0)),IF(AND($L$711=0,$P$708=0),"",$L$711-1),IF($R$17="Distrato",$E983,0))),0,YEARFRAC(MAX($P$708*($B983+IF($R$17="Distrato",$I$38-1,0)),IF(AND($L$711=0,$P$708=0),"",$L$711-1),IF($R$17="Distrato",$E983,0)),MIN(AP$38,$D$19),$P$20))-SUM($P983:AO983)</f>
        <v>#VALUE!</v>
      </c>
      <c r="AQ983" s="446" t="e">
        <f>IF(OR($B983="",MIN(AQ$38,$D$19)&lt;MAX($P$708*($B983+IF($R$17="Distrato",$I$38-1,0)),IF(AND($L$711=0,$P$708=0),"",$L$711-1),IF($R$17="Distrato",$E983,0))),0,YEARFRAC(MAX($P$708*($B983+IF($R$17="Distrato",$I$38-1,0)),IF(AND($L$711=0,$P$708=0),"",$L$711-1),IF($R$17="Distrato",$E983,0)),MIN(AQ$38,$D$19),$P$20))-SUM($P983:AP983)</f>
        <v>#VALUE!</v>
      </c>
      <c r="AR983" s="446" t="e">
        <f>IF(OR($B983="",MIN(AR$38,$D$19)&lt;MAX($P$708*($B983+IF($R$17="Distrato",$I$38-1,0)),IF(AND($L$711=0,$P$708=0),"",$L$711-1),IF($R$17="Distrato",$E983,0))),0,YEARFRAC(MAX($P$708*($B983+IF($R$17="Distrato",$I$38-1,0)),IF(AND($L$711=0,$P$708=0),"",$L$711-1),IF($R$17="Distrato",$E983,0)),MIN(AR$38,$D$19),$P$20))-SUM($P983:AQ983)</f>
        <v>#VALUE!</v>
      </c>
      <c r="AS983" s="446" t="e">
        <f>IF(OR($B983="",MIN(AS$38,$D$19)&lt;MAX($P$708*($B983+IF($R$17="Distrato",$I$38-1,0)),IF(AND($L$711=0,$P$708=0),"",$L$711-1),IF($R$17="Distrato",$E983,0))),0,YEARFRAC(MAX($P$708*($B983+IF($R$17="Distrato",$I$38-1,0)),IF(AND($L$711=0,$P$708=0),"",$L$711-1),IF($R$17="Distrato",$E983,0)),MIN(AS$38,$D$19),$P$20))-SUM($P983:AR983)</f>
        <v>#VALUE!</v>
      </c>
      <c r="AT983" s="446" t="e">
        <f>IF(OR($B983="",MIN(AT$38,$D$19)&lt;MAX($P$708*($B983+IF($R$17="Distrato",$I$38-1,0)),IF(AND($L$711=0,$P$708=0),"",$L$711-1),IF($R$17="Distrato",$E983,0))),0,YEARFRAC(MAX($P$708*($B983+IF($R$17="Distrato",$I$38-1,0)),IF(AND($L$711=0,$P$708=0),"",$L$711-1),IF($R$17="Distrato",$E983,0)),MIN(AT$38,$D$19),$P$20))-SUM($P983:AS983)</f>
        <v>#VALUE!</v>
      </c>
      <c r="AU983" s="446" t="e">
        <f>IF(OR($B983="",MIN(AU$38,$D$19)&lt;MAX($P$708*($B983+IF($R$17="Distrato",$I$38-1,0)),IF(AND($L$711=0,$P$708=0),"",$L$711-1),IF($R$17="Distrato",$E983,0))),0,YEARFRAC(MAX($P$708*($B983+IF($R$17="Distrato",$I$38-1,0)),IF(AND($L$711=0,$P$708=0),"",$L$711-1),IF($R$17="Distrato",$E983,0)),MIN(AU$38,$D$19),$P$20))-SUM($P983:AT983)</f>
        <v>#VALUE!</v>
      </c>
      <c r="AV983" s="446" t="e">
        <f>IF(OR($B983="",MIN(AV$38,$D$19)&lt;MAX($P$708*($B983+IF($R$17="Distrato",$I$38-1,0)),IF(AND($L$711=0,$P$708=0),"",$L$711-1),IF($R$17="Distrato",$E983,0))),0,YEARFRAC(MAX($P$708*($B983+IF($R$17="Distrato",$I$38-1,0)),IF(AND($L$711=0,$P$708=0),"",$L$711-1),IF($R$17="Distrato",$E983,0)),MIN(AV$38,$D$19),$P$20))-SUM($P983:AU983)</f>
        <v>#VALUE!</v>
      </c>
      <c r="AW983" s="446" t="e">
        <f>IF(OR($B983="",MIN(AW$38,$D$19)&lt;MAX($P$708*($B983+IF($R$17="Distrato",$I$38-1,0)),IF(AND($L$711=0,$P$708=0),"",$L$711-1),IF($R$17="Distrato",$E983,0))),0,YEARFRAC(MAX($P$708*($B983+IF($R$17="Distrato",$I$38-1,0)),IF(AND($L$711=0,$P$708=0),"",$L$711-1),IF($R$17="Distrato",$E983,0)),MIN(AW$38,$D$19),$P$20))-SUM($P983:AV983)</f>
        <v>#VALUE!</v>
      </c>
      <c r="AX983" s="446" t="e">
        <f>IF(OR($B983="",MIN(AX$38,$D$19)&lt;MAX($P$708*($B983+IF($R$17="Distrato",$I$38-1,0)),IF(AND($L$711=0,$P$708=0),"",$L$711-1),IF($R$17="Distrato",$E983,0))),0,YEARFRAC(MAX($P$708*($B983+IF($R$17="Distrato",$I$38-1,0)),IF(AND($L$711=0,$P$708=0),"",$L$711-1),IF($R$17="Distrato",$E983,0)),MIN(AX$38,$D$19),$P$20))-SUM($P983:AW983)</f>
        <v>#VALUE!</v>
      </c>
      <c r="AY983" s="446" t="e">
        <f>IF(OR($B983="",MIN(AY$38,$D$19)&lt;MAX($P$708*($B983+IF($R$17="Distrato",$I$38-1,0)),IF(AND($L$711=0,$P$708=0),"",$L$711-1),IF($R$17="Distrato",$E983,0))),0,YEARFRAC(MAX($P$708*($B983+IF($R$17="Distrato",$I$38-1,0)),IF(AND($L$711=0,$P$708=0),"",$L$711-1),IF($R$17="Distrato",$E983,0)),MIN(AY$38,$D$19),$P$20))-SUM($P983:AX983)</f>
        <v>#VALUE!</v>
      </c>
      <c r="AZ983" s="446" t="e">
        <f>IF(OR($B983="",MIN(AZ$38,$D$19)&lt;MAX($P$708*($B983+IF($R$17="Distrato",$I$38-1,0)),IF(AND($L$711=0,$P$708=0),"",$L$711-1),IF($R$17="Distrato",$E983,0))),0,YEARFRAC(MAX($P$708*($B983+IF($R$17="Distrato",$I$38-1,0)),IF(AND($L$711=0,$P$708=0),"",$L$711-1),IF($R$17="Distrato",$E983,0)),MIN(AZ$38,$D$19),$P$20))-SUM($P983:AY983)</f>
        <v>#VALUE!</v>
      </c>
      <c r="BA983" s="446" t="e">
        <f>IF(OR($B983="",MIN(BA$38,$D$19)&lt;MAX($P$708*($B983+IF($R$17="Distrato",$I$38-1,0)),IF(AND($L$711=0,$P$708=0),"",$L$711-1),IF($R$17="Distrato",$E983,0))),0,YEARFRAC(MAX($P$708*($B983+IF($R$17="Distrato",$I$38-1,0)),IF(AND($L$711=0,$P$708=0),"",$L$711-1),IF($R$17="Distrato",$E983,0)),MIN(BA$38,$D$19),$P$20))-SUM($P983:AZ983)</f>
        <v>#VALUE!</v>
      </c>
      <c r="BB983" s="447"/>
    </row>
    <row r="984" spans="1:54" s="446" customFormat="1" ht="11.25" hidden="1" customHeight="1" x14ac:dyDescent="0.2">
      <c r="A984" s="235"/>
      <c r="B984" s="236"/>
      <c r="C984" s="29" t="str">
        <f>IF(B984="","",IF($L$709=$BL$25,VLOOKUP(DATE(YEAR($D$19),MONTH($D$19)-1,1),ÍNDICES!$A:$DE,HLOOKUP($BL$25,ÍNDICES!$B$3:$T$4,2)+11)-VLOOKUP(B984,ÍNDICES!$A:$DE,HLOOKUP($BL$25,ÍNDICES!$B$3:$T$4,2)+11)+1%,IF(C$712=$W$26,$J$35,IF(ISERROR(IF(B984&gt;$D$19,1,VLOOKUP(DATE(YEAR(B984),MONTH(B984)+IF($C$709=$S$23,1,0),1),ÍNDICES!$A:$DE,$Z$709+1))),"",IF(B984&gt;$D$19,1,VLOOKUP(DATE(YEAR(B984),MONTH(B984)+IF($C$709=$S$23,1,0),1),ÍNDICES!$A:$DE,$Z$709+1))))))</f>
        <v/>
      </c>
      <c r="D984" s="155"/>
      <c r="E984" s="88"/>
      <c r="F984" s="88"/>
      <c r="G984" s="88"/>
      <c r="H984" s="118"/>
      <c r="I984" s="182">
        <f t="shared" si="143"/>
        <v>0</v>
      </c>
      <c r="J984" s="20">
        <f t="shared" ca="1" si="144"/>
        <v>0</v>
      </c>
      <c r="K984" s="5">
        <f t="shared" ca="1" si="145"/>
        <v>0</v>
      </c>
      <c r="L984" s="61">
        <f t="shared" ca="1" si="146"/>
        <v>0</v>
      </c>
      <c r="M984" s="64">
        <f t="shared" si="147"/>
        <v>0</v>
      </c>
      <c r="N984" s="151"/>
      <c r="O984" s="5">
        <f t="shared" ca="1" si="148"/>
        <v>0</v>
      </c>
      <c r="P984" s="446" t="e">
        <f t="shared" si="149"/>
        <v>#VALUE!</v>
      </c>
      <c r="Q984" s="446" t="e">
        <f>IF(OR($B984="",MIN(Q$38,$D$19)&lt;MAX($P$708*($B984+IF($R$17="Distrato",$I$38-1,0)),IF(AND($L$711=0,$P$708=0),"",$L$711-1),IF($R$17="Distrato",$E984,0))),0,YEARFRAC(MAX($P$708*($B984+IF($R$17="Distrato",$I$38-1,0)),IF(AND($L$711=0,$P$708=0),"",$L$711-1),IF($R$17="Distrato",$E984,0)),MIN(Q$38,$D$19),$P$20))-SUM($P984:P984)</f>
        <v>#VALUE!</v>
      </c>
      <c r="R984" s="446" t="e">
        <f>IF(OR($B984="",MIN(R$38,$D$19)&lt;MAX($P$708*($B984+IF($R$17="Distrato",$I$38-1,0)),IF(AND($L$711=0,$P$708=0),"",$L$711-1),IF($R$17="Distrato",$E984,0))),0,YEARFRAC(MAX($P$708*($B984+IF($R$17="Distrato",$I$38-1,0)),IF(AND($L$711=0,$P$708=0),"",$L$711-1),IF($R$17="Distrato",$E984,0)),MIN(R$38,$D$19),$P$20))-SUM($P984:Q984)</f>
        <v>#VALUE!</v>
      </c>
      <c r="S984" s="446" t="e">
        <f>IF(OR($B984="",MIN(S$38,$D$19)&lt;MAX($P$708*($B984+IF($R$17="Distrato",$I$38-1,0)),IF(AND($L$711=0,$P$708=0),"",$L$711-1),IF($R$17="Distrato",$E984,0))),0,YEARFRAC(MAX($P$708*($B984+IF($R$17="Distrato",$I$38-1,0)),IF(AND($L$711=0,$P$708=0),"",$L$711-1),IF($R$17="Distrato",$E984,0)),MIN(S$38,$D$19),$P$20))-SUM($P984:R984)</f>
        <v>#VALUE!</v>
      </c>
      <c r="T984" s="446" t="e">
        <f>IF(OR($B984="",MIN(T$38,$D$19)&lt;MAX($P$708*($B984+IF($R$17="Distrato",$I$38-1,0)),IF(AND($L$711=0,$P$708=0),"",$L$711-1),IF($R$17="Distrato",$E984,0))),0,YEARFRAC(MAX($P$708*($B984+IF($R$17="Distrato",$I$38-1,0)),IF(AND($L$711=0,$P$708=0),"",$L$711-1),IF($R$17="Distrato",$E984,0)),MIN(T$38,$D$19),$P$20))-SUM($P984:S984)</f>
        <v>#VALUE!</v>
      </c>
      <c r="U984" s="446" t="e">
        <f>IF(OR($B984="",MIN(U$38,$D$19)&lt;MAX($P$708*($B984+IF($R$17="Distrato",$I$38-1,0)),IF(AND($L$711=0,$P$708=0),"",$L$711-1),IF($R$17="Distrato",$E984,0))),0,YEARFRAC(MAX($P$708*($B984+IF($R$17="Distrato",$I$38-1,0)),IF(AND($L$711=0,$P$708=0),"",$L$711-1),IF($R$17="Distrato",$E984,0)),MIN(U$38,$D$19),$P$20))-SUM($P984:T984)</f>
        <v>#VALUE!</v>
      </c>
      <c r="V984" s="446" t="e">
        <f>IF(OR($B984="",MIN(V$38,$D$19)&lt;MAX($P$708*($B984+IF($R$17="Distrato",$I$38-1,0)),IF(AND($L$711=0,$P$708=0),"",$L$711-1),IF($R$17="Distrato",$E984,0))),0,YEARFRAC(MAX($P$708*($B984+IF($R$17="Distrato",$I$38-1,0)),IF(AND($L$711=0,$P$708=0),"",$L$711-1),IF($R$17="Distrato",$E984,0)),MIN(V$38,$D$19),$P$20))-SUM($P984:U984)</f>
        <v>#VALUE!</v>
      </c>
      <c r="W984" s="446" t="e">
        <f>IF(OR($B984="",MIN(W$38,$D$19)&lt;MAX($P$708*($B984+IF($R$17="Distrato",$I$38-1,0)),IF(AND($L$711=0,$P$708=0),"",$L$711-1),IF($R$17="Distrato",$E984,0))),0,YEARFRAC(MAX($P$708*($B984+IF($R$17="Distrato",$I$38-1,0)),IF(AND($L$711=0,$P$708=0),"",$L$711-1),IF($R$17="Distrato",$E984,0)),MIN(W$38,$D$19),$P$20))-SUM($P984:V984)</f>
        <v>#VALUE!</v>
      </c>
      <c r="X984" s="446" t="e">
        <f>IF(OR($B984="",MIN(X$38,$D$19)&lt;MAX($P$708*($B984+IF($R$17="Distrato",$I$38-1,0)),IF(AND($L$711=0,$P$708=0),"",$L$711-1),IF($R$17="Distrato",$E984,0))),0,YEARFRAC(MAX($P$708*($B984+IF($R$17="Distrato",$I$38-1,0)),IF(AND($L$711=0,$P$708=0),"",$L$711-1),IF($R$17="Distrato",$E984,0)),MIN(X$38,$D$19),$P$20))-SUM($P984:W984)</f>
        <v>#VALUE!</v>
      </c>
      <c r="Y984" s="446" t="e">
        <f>IF(OR($B984="",MIN(Y$38,$D$19)&lt;MAX($P$708*($B984+IF($R$17="Distrato",$I$38-1,0)),IF(AND($L$711=0,$P$708=0),"",$L$711-1),IF($R$17="Distrato",$E984,0))),0,YEARFRAC(MAX($P$708*($B984+IF($R$17="Distrato",$I$38-1,0)),IF(AND($L$711=0,$P$708=0),"",$L$711-1),IF($R$17="Distrato",$E984,0)),MIN(Y$38,$D$19),$P$20))-SUM($P984:X984)</f>
        <v>#VALUE!</v>
      </c>
      <c r="Z984" s="446" t="e">
        <f>IF(OR($B984="",MIN(Z$38,$D$19)&lt;MAX($P$708*($B984+IF($R$17="Distrato",$I$38-1,0)),IF(AND($L$711=0,$P$708=0),"",$L$711-1),IF($R$17="Distrato",$E984,0))),0,YEARFRAC(MAX($P$708*($B984+IF($R$17="Distrato",$I$38-1,0)),IF(AND($L$711=0,$P$708=0),"",$L$711-1),IF($R$17="Distrato",$E984,0)),MIN(Z$38,$D$19),$P$20))-SUM($P984:Y984)</f>
        <v>#VALUE!</v>
      </c>
      <c r="AA984" s="446" t="e">
        <f>IF(OR($B984="",MIN(AA$38,$D$19)&lt;MAX($P$708*($B984+IF($R$17="Distrato",$I$38-1,0)),IF(AND($L$711=0,$P$708=0),"",$L$711-1),IF($R$17="Distrato",$E984,0))),0,YEARFRAC(MAX($P$708*($B984+IF($R$17="Distrato",$I$38-1,0)),IF(AND($L$711=0,$P$708=0),"",$L$711-1),IF($R$17="Distrato",$E984,0)),MIN(AA$38,$D$19),$P$20))-SUM($P984:Z984)</f>
        <v>#VALUE!</v>
      </c>
      <c r="AB984" s="446" t="e">
        <f>IF(OR($B984="",MIN(AB$38,$D$19)&lt;MAX($P$708*($B984+IF($R$17="Distrato",$I$38-1,0)),IF(AND($L$711=0,$P$708=0),"",$L$711-1),IF($R$17="Distrato",$E984,0))),0,YEARFRAC(MAX($P$708*($B984+IF($R$17="Distrato",$I$38-1,0)),IF(AND($L$711=0,$P$708=0),"",$L$711-1),IF($R$17="Distrato",$E984,0)),MIN(AB$38,$D$19),$P$20))-SUM($P984:AA984)</f>
        <v>#VALUE!</v>
      </c>
      <c r="AC984" s="446" t="e">
        <f>IF(OR($B984="",MIN(AC$38,$D$19)&lt;MAX($P$708*($B984+IF($R$17="Distrato",$I$38-1,0)),IF(AND($L$711=0,$P$708=0),"",$L$711-1),IF($R$17="Distrato",$E984,0))),0,YEARFRAC(MAX($P$708*($B984+IF($R$17="Distrato",$I$38-1,0)),IF(AND($L$711=0,$P$708=0),"",$L$711-1),IF($R$17="Distrato",$E984,0)),MIN(AC$38,$D$19),$P$20))-SUM($P984:AB984)</f>
        <v>#VALUE!</v>
      </c>
      <c r="AD984" s="446" t="e">
        <f>IF(OR($B984="",MIN(AD$38,$D$19)&lt;MAX($P$708*($B984+IF($R$17="Distrato",$I$38-1,0)),IF(AND($L$711=0,$P$708=0),"",$L$711-1),IF($R$17="Distrato",$E984,0))),0,YEARFRAC(MAX($P$708*($B984+IF($R$17="Distrato",$I$38-1,0)),IF(AND($L$711=0,$P$708=0),"",$L$711-1),IF($R$17="Distrato",$E984,0)),MIN(AD$38,$D$19),$P$20))-SUM($P984:AC984)</f>
        <v>#VALUE!</v>
      </c>
      <c r="AE984" s="446" t="e">
        <f>IF(OR($B984="",MIN(AE$38,$D$19)&lt;MAX($P$708*($B984+IF($R$17="Distrato",$I$38-1,0)),IF(AND($L$711=0,$P$708=0),"",$L$711-1),IF($R$17="Distrato",$E984,0))),0,YEARFRAC(MAX($P$708*($B984+IF($R$17="Distrato",$I$38-1,0)),IF(AND($L$711=0,$P$708=0),"",$L$711-1),IF($R$17="Distrato",$E984,0)),MIN(AE$38,$D$19),$P$20))-SUM($P984:AD984)</f>
        <v>#VALUE!</v>
      </c>
      <c r="AF984" s="446" t="e">
        <f>IF(OR($B984="",MIN(AF$38,$D$19)&lt;MAX($P$708*($B984+IF($R$17="Distrato",$I$38-1,0)),IF(AND($L$711=0,$P$708=0),"",$L$711-1),IF($R$17="Distrato",$E984,0))),0,YEARFRAC(MAX($P$708*($B984+IF($R$17="Distrato",$I$38-1,0)),IF(AND($L$711=0,$P$708=0),"",$L$711-1),IF($R$17="Distrato",$E984,0)),MIN(AF$38,$D$19),$P$20))-SUM($P984:AE984)</f>
        <v>#VALUE!</v>
      </c>
      <c r="AG984" s="446" t="e">
        <f>IF(OR($B984="",MIN(AG$38,$D$19)&lt;MAX($P$708*($B984+IF($R$17="Distrato",$I$38-1,0)),IF(AND($L$711=0,$P$708=0),"",$L$711-1),IF($R$17="Distrato",$E984,0))),0,YEARFRAC(MAX($P$708*($B984+IF($R$17="Distrato",$I$38-1,0)),IF(AND($L$711=0,$P$708=0),"",$L$711-1),IF($R$17="Distrato",$E984,0)),MIN(AG$38,$D$19),$P$20))-SUM($P984:AF984)</f>
        <v>#VALUE!</v>
      </c>
      <c r="AH984" s="446" t="e">
        <f>IF(OR($B984="",MIN(AH$38,$D$19)&lt;MAX($P$708*($B984+IF($R$17="Distrato",$I$38-1,0)),IF(AND($L$711=0,$P$708=0),"",$L$711-1),IF($R$17="Distrato",$E984,0))),0,YEARFRAC(MAX($P$708*($B984+IF($R$17="Distrato",$I$38-1,0)),IF(AND($L$711=0,$P$708=0),"",$L$711-1),IF($R$17="Distrato",$E984,0)),MIN(AH$38,$D$19),$P$20))-SUM($P984:AG984)</f>
        <v>#VALUE!</v>
      </c>
      <c r="AI984" s="446" t="e">
        <f>IF(OR($B984="",MIN(AI$38,$D$19)&lt;MAX($P$708*($B984+IF($R$17="Distrato",$I$38-1,0)),IF(AND($L$711=0,$P$708=0),"",$L$711-1),IF($R$17="Distrato",$E984,0))),0,YEARFRAC(MAX($P$708*($B984+IF($R$17="Distrato",$I$38-1,0)),IF(AND($L$711=0,$P$708=0),"",$L$711-1),IF($R$17="Distrato",$E984,0)),MIN(AI$38,$D$19),$P$20))-SUM($P984:AH984)</f>
        <v>#VALUE!</v>
      </c>
      <c r="AJ984" s="446" t="e">
        <f>IF(OR($B984="",MIN(AJ$38,$D$19)&lt;MAX($P$708*($B984+IF($R$17="Distrato",$I$38-1,0)),IF(AND($L$711=0,$P$708=0),"",$L$711-1),IF($R$17="Distrato",$E984,0))),0,YEARFRAC(MAX($P$708*($B984+IF($R$17="Distrato",$I$38-1,0)),IF(AND($L$711=0,$P$708=0),"",$L$711-1),IF($R$17="Distrato",$E984,0)),MIN(AJ$38,$D$19),$P$20))-SUM($P984:AI984)</f>
        <v>#VALUE!</v>
      </c>
      <c r="AK984" s="446" t="e">
        <f>IF(OR($B984="",MIN(AK$38,$D$19)&lt;MAX($P$708*($B984+IF($R$17="Distrato",$I$38-1,0)),IF(AND($L$711=0,$P$708=0),"",$L$711-1),IF($R$17="Distrato",$E984,0))),0,YEARFRAC(MAX($P$708*($B984+IF($R$17="Distrato",$I$38-1,0)),IF(AND($L$711=0,$P$708=0),"",$L$711-1),IF($R$17="Distrato",$E984,0)),MIN(AK$38,$D$19),$P$20))-SUM($P984:AJ984)</f>
        <v>#VALUE!</v>
      </c>
      <c r="AL984" s="446" t="e">
        <f>IF(OR($B984="",MIN(AL$38,$D$19)&lt;MAX($P$708*($B984+IF($R$17="Distrato",$I$38-1,0)),IF(AND($L$711=0,$P$708=0),"",$L$711-1),IF($R$17="Distrato",$E984,0))),0,YEARFRAC(MAX($P$708*($B984+IF($R$17="Distrato",$I$38-1,0)),IF(AND($L$711=0,$P$708=0),"",$L$711-1),IF($R$17="Distrato",$E984,0)),MIN(AL$38,$D$19),$P$20))-SUM($P984:AK984)</f>
        <v>#VALUE!</v>
      </c>
      <c r="AM984" s="446" t="e">
        <f>IF(OR($B984="",MIN(AM$38,$D$19)&lt;MAX($P$708*($B984+IF($R$17="Distrato",$I$38-1,0)),IF(AND($L$711=0,$P$708=0),"",$L$711-1),IF($R$17="Distrato",$E984,0))),0,YEARFRAC(MAX($P$708*($B984+IF($R$17="Distrato",$I$38-1,0)),IF(AND($L$711=0,$P$708=0),"",$L$711-1),IF($R$17="Distrato",$E984,0)),MIN(AM$38,$D$19),$P$20))-SUM($P984:AL984)</f>
        <v>#VALUE!</v>
      </c>
      <c r="AN984" s="446" t="e">
        <f>IF(OR($B984="",MIN(AN$38,$D$19)&lt;MAX($P$708*($B984+IF($R$17="Distrato",$I$38-1,0)),IF(AND($L$711=0,$P$708=0),"",$L$711-1),IF($R$17="Distrato",$E984,0))),0,YEARFRAC(MAX($P$708*($B984+IF($R$17="Distrato",$I$38-1,0)),IF(AND($L$711=0,$P$708=0),"",$L$711-1),IF($R$17="Distrato",$E984,0)),MIN(AN$38,$D$19),$P$20))-SUM($P984:AM984)</f>
        <v>#VALUE!</v>
      </c>
      <c r="AO984" s="446" t="e">
        <f>IF(OR($B984="",MIN(AO$38,$D$19)&lt;MAX($P$708*($B984+IF($R$17="Distrato",$I$38-1,0)),IF(AND($L$711=0,$P$708=0),"",$L$711-1),IF($R$17="Distrato",$E984,0))),0,YEARFRAC(MAX($P$708*($B984+IF($R$17="Distrato",$I$38-1,0)),IF(AND($L$711=0,$P$708=0),"",$L$711-1),IF($R$17="Distrato",$E984,0)),MIN(AO$38,$D$19),$P$20))-SUM($P984:AN984)</f>
        <v>#VALUE!</v>
      </c>
      <c r="AP984" s="446" t="e">
        <f>IF(OR($B984="",MIN(AP$38,$D$19)&lt;MAX($P$708*($B984+IF($R$17="Distrato",$I$38-1,0)),IF(AND($L$711=0,$P$708=0),"",$L$711-1),IF($R$17="Distrato",$E984,0))),0,YEARFRAC(MAX($P$708*($B984+IF($R$17="Distrato",$I$38-1,0)),IF(AND($L$711=0,$P$708=0),"",$L$711-1),IF($R$17="Distrato",$E984,0)),MIN(AP$38,$D$19),$P$20))-SUM($P984:AO984)</f>
        <v>#VALUE!</v>
      </c>
      <c r="AQ984" s="446" t="e">
        <f>IF(OR($B984="",MIN(AQ$38,$D$19)&lt;MAX($P$708*($B984+IF($R$17="Distrato",$I$38-1,0)),IF(AND($L$711=0,$P$708=0),"",$L$711-1),IF($R$17="Distrato",$E984,0))),0,YEARFRAC(MAX($P$708*($B984+IF($R$17="Distrato",$I$38-1,0)),IF(AND($L$711=0,$P$708=0),"",$L$711-1),IF($R$17="Distrato",$E984,0)),MIN(AQ$38,$D$19),$P$20))-SUM($P984:AP984)</f>
        <v>#VALUE!</v>
      </c>
      <c r="AR984" s="446" t="e">
        <f>IF(OR($B984="",MIN(AR$38,$D$19)&lt;MAX($P$708*($B984+IF($R$17="Distrato",$I$38-1,0)),IF(AND($L$711=0,$P$708=0),"",$L$711-1),IF($R$17="Distrato",$E984,0))),0,YEARFRAC(MAX($P$708*($B984+IF($R$17="Distrato",$I$38-1,0)),IF(AND($L$711=0,$P$708=0),"",$L$711-1),IF($R$17="Distrato",$E984,0)),MIN(AR$38,$D$19),$P$20))-SUM($P984:AQ984)</f>
        <v>#VALUE!</v>
      </c>
      <c r="AS984" s="446" t="e">
        <f>IF(OR($B984="",MIN(AS$38,$D$19)&lt;MAX($P$708*($B984+IF($R$17="Distrato",$I$38-1,0)),IF(AND($L$711=0,$P$708=0),"",$L$711-1),IF($R$17="Distrato",$E984,0))),0,YEARFRAC(MAX($P$708*($B984+IF($R$17="Distrato",$I$38-1,0)),IF(AND($L$711=0,$P$708=0),"",$L$711-1),IF($R$17="Distrato",$E984,0)),MIN(AS$38,$D$19),$P$20))-SUM($P984:AR984)</f>
        <v>#VALUE!</v>
      </c>
      <c r="AT984" s="446" t="e">
        <f>IF(OR($B984="",MIN(AT$38,$D$19)&lt;MAX($P$708*($B984+IF($R$17="Distrato",$I$38-1,0)),IF(AND($L$711=0,$P$708=0),"",$L$711-1),IF($R$17="Distrato",$E984,0))),0,YEARFRAC(MAX($P$708*($B984+IF($R$17="Distrato",$I$38-1,0)),IF(AND($L$711=0,$P$708=0),"",$L$711-1),IF($R$17="Distrato",$E984,0)),MIN(AT$38,$D$19),$P$20))-SUM($P984:AS984)</f>
        <v>#VALUE!</v>
      </c>
      <c r="AU984" s="446" t="e">
        <f>IF(OR($B984="",MIN(AU$38,$D$19)&lt;MAX($P$708*($B984+IF($R$17="Distrato",$I$38-1,0)),IF(AND($L$711=0,$P$708=0),"",$L$711-1),IF($R$17="Distrato",$E984,0))),0,YEARFRAC(MAX($P$708*($B984+IF($R$17="Distrato",$I$38-1,0)),IF(AND($L$711=0,$P$708=0),"",$L$711-1),IF($R$17="Distrato",$E984,0)),MIN(AU$38,$D$19),$P$20))-SUM($P984:AT984)</f>
        <v>#VALUE!</v>
      </c>
      <c r="AV984" s="446" t="e">
        <f>IF(OR($B984="",MIN(AV$38,$D$19)&lt;MAX($P$708*($B984+IF($R$17="Distrato",$I$38-1,0)),IF(AND($L$711=0,$P$708=0),"",$L$711-1),IF($R$17="Distrato",$E984,0))),0,YEARFRAC(MAX($P$708*($B984+IF($R$17="Distrato",$I$38-1,0)),IF(AND($L$711=0,$P$708=0),"",$L$711-1),IF($R$17="Distrato",$E984,0)),MIN(AV$38,$D$19),$P$20))-SUM($P984:AU984)</f>
        <v>#VALUE!</v>
      </c>
      <c r="AW984" s="446" t="e">
        <f>IF(OR($B984="",MIN(AW$38,$D$19)&lt;MAX($P$708*($B984+IF($R$17="Distrato",$I$38-1,0)),IF(AND($L$711=0,$P$708=0),"",$L$711-1),IF($R$17="Distrato",$E984,0))),0,YEARFRAC(MAX($P$708*($B984+IF($R$17="Distrato",$I$38-1,0)),IF(AND($L$711=0,$P$708=0),"",$L$711-1),IF($R$17="Distrato",$E984,0)),MIN(AW$38,$D$19),$P$20))-SUM($P984:AV984)</f>
        <v>#VALUE!</v>
      </c>
      <c r="AX984" s="446" t="e">
        <f>IF(OR($B984="",MIN(AX$38,$D$19)&lt;MAX($P$708*($B984+IF($R$17="Distrato",$I$38-1,0)),IF(AND($L$711=0,$P$708=0),"",$L$711-1),IF($R$17="Distrato",$E984,0))),0,YEARFRAC(MAX($P$708*($B984+IF($R$17="Distrato",$I$38-1,0)),IF(AND($L$711=0,$P$708=0),"",$L$711-1),IF($R$17="Distrato",$E984,0)),MIN(AX$38,$D$19),$P$20))-SUM($P984:AW984)</f>
        <v>#VALUE!</v>
      </c>
      <c r="AY984" s="446" t="e">
        <f>IF(OR($B984="",MIN(AY$38,$D$19)&lt;MAX($P$708*($B984+IF($R$17="Distrato",$I$38-1,0)),IF(AND($L$711=0,$P$708=0),"",$L$711-1),IF($R$17="Distrato",$E984,0))),0,YEARFRAC(MAX($P$708*($B984+IF($R$17="Distrato",$I$38-1,0)),IF(AND($L$711=0,$P$708=0),"",$L$711-1),IF($R$17="Distrato",$E984,0)),MIN(AY$38,$D$19),$P$20))-SUM($P984:AX984)</f>
        <v>#VALUE!</v>
      </c>
      <c r="AZ984" s="446" t="e">
        <f>IF(OR($B984="",MIN(AZ$38,$D$19)&lt;MAX($P$708*($B984+IF($R$17="Distrato",$I$38-1,0)),IF(AND($L$711=0,$P$708=0),"",$L$711-1),IF($R$17="Distrato",$E984,0))),0,YEARFRAC(MAX($P$708*($B984+IF($R$17="Distrato",$I$38-1,0)),IF(AND($L$711=0,$P$708=0),"",$L$711-1),IF($R$17="Distrato",$E984,0)),MIN(AZ$38,$D$19),$P$20))-SUM($P984:AY984)</f>
        <v>#VALUE!</v>
      </c>
      <c r="BA984" s="446" t="e">
        <f>IF(OR($B984="",MIN(BA$38,$D$19)&lt;MAX($P$708*($B984+IF($R$17="Distrato",$I$38-1,0)),IF(AND($L$711=0,$P$708=0),"",$L$711-1),IF($R$17="Distrato",$E984,0))),0,YEARFRAC(MAX($P$708*($B984+IF($R$17="Distrato",$I$38-1,0)),IF(AND($L$711=0,$P$708=0),"",$L$711-1),IF($R$17="Distrato",$E984,0)),MIN(BA$38,$D$19),$P$20))-SUM($P984:AZ984)</f>
        <v>#VALUE!</v>
      </c>
      <c r="BB984" s="447"/>
    </row>
    <row r="985" spans="1:54" s="446" customFormat="1" ht="11.25" hidden="1" customHeight="1" x14ac:dyDescent="0.2">
      <c r="A985" s="235"/>
      <c r="B985" s="236"/>
      <c r="C985" s="29" t="str">
        <f>IF(B985="","",IF($L$709=$BL$25,VLOOKUP(DATE(YEAR($D$19),MONTH($D$19)-1,1),ÍNDICES!$A:$DE,HLOOKUP($BL$25,ÍNDICES!$B$3:$T$4,2)+11)-VLOOKUP(B985,ÍNDICES!$A:$DE,HLOOKUP($BL$25,ÍNDICES!$B$3:$T$4,2)+11)+1%,IF(C$712=$W$26,$J$35,IF(ISERROR(IF(B985&gt;$D$19,1,VLOOKUP(DATE(YEAR(B985),MONTH(B985)+IF($C$709=$S$23,1,0),1),ÍNDICES!$A:$DE,$Z$709+1))),"",IF(B985&gt;$D$19,1,VLOOKUP(DATE(YEAR(B985),MONTH(B985)+IF($C$709=$S$23,1,0),1),ÍNDICES!$A:$DE,$Z$709+1))))))</f>
        <v/>
      </c>
      <c r="D985" s="155"/>
      <c r="E985" s="88"/>
      <c r="F985" s="88"/>
      <c r="G985" s="88"/>
      <c r="H985" s="118"/>
      <c r="I985" s="182">
        <f t="shared" si="143"/>
        <v>0</v>
      </c>
      <c r="J985" s="20">
        <f t="shared" ca="1" si="144"/>
        <v>0</v>
      </c>
      <c r="K985" s="5">
        <f t="shared" ca="1" si="145"/>
        <v>0</v>
      </c>
      <c r="L985" s="61">
        <f t="shared" ca="1" si="146"/>
        <v>0</v>
      </c>
      <c r="M985" s="64">
        <f t="shared" si="147"/>
        <v>0</v>
      </c>
      <c r="N985" s="151"/>
      <c r="O985" s="5">
        <f t="shared" ca="1" si="148"/>
        <v>0</v>
      </c>
      <c r="P985" s="446" t="e">
        <f t="shared" si="149"/>
        <v>#VALUE!</v>
      </c>
      <c r="Q985" s="446" t="e">
        <f>IF(OR($B985="",MIN(Q$38,$D$19)&lt;MAX($P$708*($B985+IF($R$17="Distrato",$I$38-1,0)),IF(AND($L$711=0,$P$708=0),"",$L$711-1),IF($R$17="Distrato",$E985,0))),0,YEARFRAC(MAX($P$708*($B985+IF($R$17="Distrato",$I$38-1,0)),IF(AND($L$711=0,$P$708=0),"",$L$711-1),IF($R$17="Distrato",$E985,0)),MIN(Q$38,$D$19),$P$20))-SUM($P985:P985)</f>
        <v>#VALUE!</v>
      </c>
      <c r="R985" s="446" t="e">
        <f>IF(OR($B985="",MIN(R$38,$D$19)&lt;MAX($P$708*($B985+IF($R$17="Distrato",$I$38-1,0)),IF(AND($L$711=0,$P$708=0),"",$L$711-1),IF($R$17="Distrato",$E985,0))),0,YEARFRAC(MAX($P$708*($B985+IF($R$17="Distrato",$I$38-1,0)),IF(AND($L$711=0,$P$708=0),"",$L$711-1),IF($R$17="Distrato",$E985,0)),MIN(R$38,$D$19),$P$20))-SUM($P985:Q985)</f>
        <v>#VALUE!</v>
      </c>
      <c r="S985" s="446" t="e">
        <f>IF(OR($B985="",MIN(S$38,$D$19)&lt;MAX($P$708*($B985+IF($R$17="Distrato",$I$38-1,0)),IF(AND($L$711=0,$P$708=0),"",$L$711-1),IF($R$17="Distrato",$E985,0))),0,YEARFRAC(MAX($P$708*($B985+IF($R$17="Distrato",$I$38-1,0)),IF(AND($L$711=0,$P$708=0),"",$L$711-1),IF($R$17="Distrato",$E985,0)),MIN(S$38,$D$19),$P$20))-SUM($P985:R985)</f>
        <v>#VALUE!</v>
      </c>
      <c r="T985" s="446" t="e">
        <f>IF(OR($B985="",MIN(T$38,$D$19)&lt;MAX($P$708*($B985+IF($R$17="Distrato",$I$38-1,0)),IF(AND($L$711=0,$P$708=0),"",$L$711-1),IF($R$17="Distrato",$E985,0))),0,YEARFRAC(MAX($P$708*($B985+IF($R$17="Distrato",$I$38-1,0)),IF(AND($L$711=0,$P$708=0),"",$L$711-1),IF($R$17="Distrato",$E985,0)),MIN(T$38,$D$19),$P$20))-SUM($P985:S985)</f>
        <v>#VALUE!</v>
      </c>
      <c r="U985" s="446" t="e">
        <f>IF(OR($B985="",MIN(U$38,$D$19)&lt;MAX($P$708*($B985+IF($R$17="Distrato",$I$38-1,0)),IF(AND($L$711=0,$P$708=0),"",$L$711-1),IF($R$17="Distrato",$E985,0))),0,YEARFRAC(MAX($P$708*($B985+IF($R$17="Distrato",$I$38-1,0)),IF(AND($L$711=0,$P$708=0),"",$L$711-1),IF($R$17="Distrato",$E985,0)),MIN(U$38,$D$19),$P$20))-SUM($P985:T985)</f>
        <v>#VALUE!</v>
      </c>
      <c r="V985" s="446" t="e">
        <f>IF(OR($B985="",MIN(V$38,$D$19)&lt;MAX($P$708*($B985+IF($R$17="Distrato",$I$38-1,0)),IF(AND($L$711=0,$P$708=0),"",$L$711-1),IF($R$17="Distrato",$E985,0))),0,YEARFRAC(MAX($P$708*($B985+IF($R$17="Distrato",$I$38-1,0)),IF(AND($L$711=0,$P$708=0),"",$L$711-1),IF($R$17="Distrato",$E985,0)),MIN(V$38,$D$19),$P$20))-SUM($P985:U985)</f>
        <v>#VALUE!</v>
      </c>
      <c r="W985" s="446" t="e">
        <f>IF(OR($B985="",MIN(W$38,$D$19)&lt;MAX($P$708*($B985+IF($R$17="Distrato",$I$38-1,0)),IF(AND($L$711=0,$P$708=0),"",$L$711-1),IF($R$17="Distrato",$E985,0))),0,YEARFRAC(MAX($P$708*($B985+IF($R$17="Distrato",$I$38-1,0)),IF(AND($L$711=0,$P$708=0),"",$L$711-1),IF($R$17="Distrato",$E985,0)),MIN(W$38,$D$19),$P$20))-SUM($P985:V985)</f>
        <v>#VALUE!</v>
      </c>
      <c r="X985" s="446" t="e">
        <f>IF(OR($B985="",MIN(X$38,$D$19)&lt;MAX($P$708*($B985+IF($R$17="Distrato",$I$38-1,0)),IF(AND($L$711=0,$P$708=0),"",$L$711-1),IF($R$17="Distrato",$E985,0))),0,YEARFRAC(MAX($P$708*($B985+IF($R$17="Distrato",$I$38-1,0)),IF(AND($L$711=0,$P$708=0),"",$L$711-1),IF($R$17="Distrato",$E985,0)),MIN(X$38,$D$19),$P$20))-SUM($P985:W985)</f>
        <v>#VALUE!</v>
      </c>
      <c r="Y985" s="446" t="e">
        <f>IF(OR($B985="",MIN(Y$38,$D$19)&lt;MAX($P$708*($B985+IF($R$17="Distrato",$I$38-1,0)),IF(AND($L$711=0,$P$708=0),"",$L$711-1),IF($R$17="Distrato",$E985,0))),0,YEARFRAC(MAX($P$708*($B985+IF($R$17="Distrato",$I$38-1,0)),IF(AND($L$711=0,$P$708=0),"",$L$711-1),IF($R$17="Distrato",$E985,0)),MIN(Y$38,$D$19),$P$20))-SUM($P985:X985)</f>
        <v>#VALUE!</v>
      </c>
      <c r="Z985" s="446" t="e">
        <f>IF(OR($B985="",MIN(Z$38,$D$19)&lt;MAX($P$708*($B985+IF($R$17="Distrato",$I$38-1,0)),IF(AND($L$711=0,$P$708=0),"",$L$711-1),IF($R$17="Distrato",$E985,0))),0,YEARFRAC(MAX($P$708*($B985+IF($R$17="Distrato",$I$38-1,0)),IF(AND($L$711=0,$P$708=0),"",$L$711-1),IF($R$17="Distrato",$E985,0)),MIN(Z$38,$D$19),$P$20))-SUM($P985:Y985)</f>
        <v>#VALUE!</v>
      </c>
      <c r="AA985" s="446" t="e">
        <f>IF(OR($B985="",MIN(AA$38,$D$19)&lt;MAX($P$708*($B985+IF($R$17="Distrato",$I$38-1,0)),IF(AND($L$711=0,$P$708=0),"",$L$711-1),IF($R$17="Distrato",$E985,0))),0,YEARFRAC(MAX($P$708*($B985+IF($R$17="Distrato",$I$38-1,0)),IF(AND($L$711=0,$P$708=0),"",$L$711-1),IF($R$17="Distrato",$E985,0)),MIN(AA$38,$D$19),$P$20))-SUM($P985:Z985)</f>
        <v>#VALUE!</v>
      </c>
      <c r="AB985" s="446" t="e">
        <f>IF(OR($B985="",MIN(AB$38,$D$19)&lt;MAX($P$708*($B985+IF($R$17="Distrato",$I$38-1,0)),IF(AND($L$711=0,$P$708=0),"",$L$711-1),IF($R$17="Distrato",$E985,0))),0,YEARFRAC(MAX($P$708*($B985+IF($R$17="Distrato",$I$38-1,0)),IF(AND($L$711=0,$P$708=0),"",$L$711-1),IF($R$17="Distrato",$E985,0)),MIN(AB$38,$D$19),$P$20))-SUM($P985:AA985)</f>
        <v>#VALUE!</v>
      </c>
      <c r="AC985" s="446" t="e">
        <f>IF(OR($B985="",MIN(AC$38,$D$19)&lt;MAX($P$708*($B985+IF($R$17="Distrato",$I$38-1,0)),IF(AND($L$711=0,$P$708=0),"",$L$711-1),IF($R$17="Distrato",$E985,0))),0,YEARFRAC(MAX($P$708*($B985+IF($R$17="Distrato",$I$38-1,0)),IF(AND($L$711=0,$P$708=0),"",$L$711-1),IF($R$17="Distrato",$E985,0)),MIN(AC$38,$D$19),$P$20))-SUM($P985:AB985)</f>
        <v>#VALUE!</v>
      </c>
      <c r="AD985" s="446" t="e">
        <f>IF(OR($B985="",MIN(AD$38,$D$19)&lt;MAX($P$708*($B985+IF($R$17="Distrato",$I$38-1,0)),IF(AND($L$711=0,$P$708=0),"",$L$711-1),IF($R$17="Distrato",$E985,0))),0,YEARFRAC(MAX($P$708*($B985+IF($R$17="Distrato",$I$38-1,0)),IF(AND($L$711=0,$P$708=0),"",$L$711-1),IF($R$17="Distrato",$E985,0)),MIN(AD$38,$D$19),$P$20))-SUM($P985:AC985)</f>
        <v>#VALUE!</v>
      </c>
      <c r="AE985" s="446" t="e">
        <f>IF(OR($B985="",MIN(AE$38,$D$19)&lt;MAX($P$708*($B985+IF($R$17="Distrato",$I$38-1,0)),IF(AND($L$711=0,$P$708=0),"",$L$711-1),IF($R$17="Distrato",$E985,0))),0,YEARFRAC(MAX($P$708*($B985+IF($R$17="Distrato",$I$38-1,0)),IF(AND($L$711=0,$P$708=0),"",$L$711-1),IF($R$17="Distrato",$E985,0)),MIN(AE$38,$D$19),$P$20))-SUM($P985:AD985)</f>
        <v>#VALUE!</v>
      </c>
      <c r="AF985" s="446" t="e">
        <f>IF(OR($B985="",MIN(AF$38,$D$19)&lt;MAX($P$708*($B985+IF($R$17="Distrato",$I$38-1,0)),IF(AND($L$711=0,$P$708=0),"",$L$711-1),IF($R$17="Distrato",$E985,0))),0,YEARFRAC(MAX($P$708*($B985+IF($R$17="Distrato",$I$38-1,0)),IF(AND($L$711=0,$P$708=0),"",$L$711-1),IF($R$17="Distrato",$E985,0)),MIN(AF$38,$D$19),$P$20))-SUM($P985:AE985)</f>
        <v>#VALUE!</v>
      </c>
      <c r="AG985" s="446" t="e">
        <f>IF(OR($B985="",MIN(AG$38,$D$19)&lt;MAX($P$708*($B985+IF($R$17="Distrato",$I$38-1,0)),IF(AND($L$711=0,$P$708=0),"",$L$711-1),IF($R$17="Distrato",$E985,0))),0,YEARFRAC(MAX($P$708*($B985+IF($R$17="Distrato",$I$38-1,0)),IF(AND($L$711=0,$P$708=0),"",$L$711-1),IF($R$17="Distrato",$E985,0)),MIN(AG$38,$D$19),$P$20))-SUM($P985:AF985)</f>
        <v>#VALUE!</v>
      </c>
      <c r="AH985" s="446" t="e">
        <f>IF(OR($B985="",MIN(AH$38,$D$19)&lt;MAX($P$708*($B985+IF($R$17="Distrato",$I$38-1,0)),IF(AND($L$711=0,$P$708=0),"",$L$711-1),IF($R$17="Distrato",$E985,0))),0,YEARFRAC(MAX($P$708*($B985+IF($R$17="Distrato",$I$38-1,0)),IF(AND($L$711=0,$P$708=0),"",$L$711-1),IF($R$17="Distrato",$E985,0)),MIN(AH$38,$D$19),$P$20))-SUM($P985:AG985)</f>
        <v>#VALUE!</v>
      </c>
      <c r="AI985" s="446" t="e">
        <f>IF(OR($B985="",MIN(AI$38,$D$19)&lt;MAX($P$708*($B985+IF($R$17="Distrato",$I$38-1,0)),IF(AND($L$711=0,$P$708=0),"",$L$711-1),IF($R$17="Distrato",$E985,0))),0,YEARFRAC(MAX($P$708*($B985+IF($R$17="Distrato",$I$38-1,0)),IF(AND($L$711=0,$P$708=0),"",$L$711-1),IF($R$17="Distrato",$E985,0)),MIN(AI$38,$D$19),$P$20))-SUM($P985:AH985)</f>
        <v>#VALUE!</v>
      </c>
      <c r="AJ985" s="446" t="e">
        <f>IF(OR($B985="",MIN(AJ$38,$D$19)&lt;MAX($P$708*($B985+IF($R$17="Distrato",$I$38-1,0)),IF(AND($L$711=0,$P$708=0),"",$L$711-1),IF($R$17="Distrato",$E985,0))),0,YEARFRAC(MAX($P$708*($B985+IF($R$17="Distrato",$I$38-1,0)),IF(AND($L$711=0,$P$708=0),"",$L$711-1),IF($R$17="Distrato",$E985,0)),MIN(AJ$38,$D$19),$P$20))-SUM($P985:AI985)</f>
        <v>#VALUE!</v>
      </c>
      <c r="AK985" s="446" t="e">
        <f>IF(OR($B985="",MIN(AK$38,$D$19)&lt;MAX($P$708*($B985+IF($R$17="Distrato",$I$38-1,0)),IF(AND($L$711=0,$P$708=0),"",$L$711-1),IF($R$17="Distrato",$E985,0))),0,YEARFRAC(MAX($P$708*($B985+IF($R$17="Distrato",$I$38-1,0)),IF(AND($L$711=0,$P$708=0),"",$L$711-1),IF($R$17="Distrato",$E985,0)),MIN(AK$38,$D$19),$P$20))-SUM($P985:AJ985)</f>
        <v>#VALUE!</v>
      </c>
      <c r="AL985" s="446" t="e">
        <f>IF(OR($B985="",MIN(AL$38,$D$19)&lt;MAX($P$708*($B985+IF($R$17="Distrato",$I$38-1,0)),IF(AND($L$711=0,$P$708=0),"",$L$711-1),IF($R$17="Distrato",$E985,0))),0,YEARFRAC(MAX($P$708*($B985+IF($R$17="Distrato",$I$38-1,0)),IF(AND($L$711=0,$P$708=0),"",$L$711-1),IF($R$17="Distrato",$E985,0)),MIN(AL$38,$D$19),$P$20))-SUM($P985:AK985)</f>
        <v>#VALUE!</v>
      </c>
      <c r="AM985" s="446" t="e">
        <f>IF(OR($B985="",MIN(AM$38,$D$19)&lt;MAX($P$708*($B985+IF($R$17="Distrato",$I$38-1,0)),IF(AND($L$711=0,$P$708=0),"",$L$711-1),IF($R$17="Distrato",$E985,0))),0,YEARFRAC(MAX($P$708*($B985+IF($R$17="Distrato",$I$38-1,0)),IF(AND($L$711=0,$P$708=0),"",$L$711-1),IF($R$17="Distrato",$E985,0)),MIN(AM$38,$D$19),$P$20))-SUM($P985:AL985)</f>
        <v>#VALUE!</v>
      </c>
      <c r="AN985" s="446" t="e">
        <f>IF(OR($B985="",MIN(AN$38,$D$19)&lt;MAX($P$708*($B985+IF($R$17="Distrato",$I$38-1,0)),IF(AND($L$711=0,$P$708=0),"",$L$711-1),IF($R$17="Distrato",$E985,0))),0,YEARFRAC(MAX($P$708*($B985+IF($R$17="Distrato",$I$38-1,0)),IF(AND($L$711=0,$P$708=0),"",$L$711-1),IF($R$17="Distrato",$E985,0)),MIN(AN$38,$D$19),$P$20))-SUM($P985:AM985)</f>
        <v>#VALUE!</v>
      </c>
      <c r="AO985" s="446" t="e">
        <f>IF(OR($B985="",MIN(AO$38,$D$19)&lt;MAX($P$708*($B985+IF($R$17="Distrato",$I$38-1,0)),IF(AND($L$711=0,$P$708=0),"",$L$711-1),IF($R$17="Distrato",$E985,0))),0,YEARFRAC(MAX($P$708*($B985+IF($R$17="Distrato",$I$38-1,0)),IF(AND($L$711=0,$P$708=0),"",$L$711-1),IF($R$17="Distrato",$E985,0)),MIN(AO$38,$D$19),$P$20))-SUM($P985:AN985)</f>
        <v>#VALUE!</v>
      </c>
      <c r="AP985" s="446" t="e">
        <f>IF(OR($B985="",MIN(AP$38,$D$19)&lt;MAX($P$708*($B985+IF($R$17="Distrato",$I$38-1,0)),IF(AND($L$711=0,$P$708=0),"",$L$711-1),IF($R$17="Distrato",$E985,0))),0,YEARFRAC(MAX($P$708*($B985+IF($R$17="Distrato",$I$38-1,0)),IF(AND($L$711=0,$P$708=0),"",$L$711-1),IF($R$17="Distrato",$E985,0)),MIN(AP$38,$D$19),$P$20))-SUM($P985:AO985)</f>
        <v>#VALUE!</v>
      </c>
      <c r="AQ985" s="446" t="e">
        <f>IF(OR($B985="",MIN(AQ$38,$D$19)&lt;MAX($P$708*($B985+IF($R$17="Distrato",$I$38-1,0)),IF(AND($L$711=0,$P$708=0),"",$L$711-1),IF($R$17="Distrato",$E985,0))),0,YEARFRAC(MAX($P$708*($B985+IF($R$17="Distrato",$I$38-1,0)),IF(AND($L$711=0,$P$708=0),"",$L$711-1),IF($R$17="Distrato",$E985,0)),MIN(AQ$38,$D$19),$P$20))-SUM($P985:AP985)</f>
        <v>#VALUE!</v>
      </c>
      <c r="AR985" s="446" t="e">
        <f>IF(OR($B985="",MIN(AR$38,$D$19)&lt;MAX($P$708*($B985+IF($R$17="Distrato",$I$38-1,0)),IF(AND($L$711=0,$P$708=0),"",$L$711-1),IF($R$17="Distrato",$E985,0))),0,YEARFRAC(MAX($P$708*($B985+IF($R$17="Distrato",$I$38-1,0)),IF(AND($L$711=0,$P$708=0),"",$L$711-1),IF($R$17="Distrato",$E985,0)),MIN(AR$38,$D$19),$P$20))-SUM($P985:AQ985)</f>
        <v>#VALUE!</v>
      </c>
      <c r="AS985" s="446" t="e">
        <f>IF(OR($B985="",MIN(AS$38,$D$19)&lt;MAX($P$708*($B985+IF($R$17="Distrato",$I$38-1,0)),IF(AND($L$711=0,$P$708=0),"",$L$711-1),IF($R$17="Distrato",$E985,0))),0,YEARFRAC(MAX($P$708*($B985+IF($R$17="Distrato",$I$38-1,0)),IF(AND($L$711=0,$P$708=0),"",$L$711-1),IF($R$17="Distrato",$E985,0)),MIN(AS$38,$D$19),$P$20))-SUM($P985:AR985)</f>
        <v>#VALUE!</v>
      </c>
      <c r="AT985" s="446" t="e">
        <f>IF(OR($B985="",MIN(AT$38,$D$19)&lt;MAX($P$708*($B985+IF($R$17="Distrato",$I$38-1,0)),IF(AND($L$711=0,$P$708=0),"",$L$711-1),IF($R$17="Distrato",$E985,0))),0,YEARFRAC(MAX($P$708*($B985+IF($R$17="Distrato",$I$38-1,0)),IF(AND($L$711=0,$P$708=0),"",$L$711-1),IF($R$17="Distrato",$E985,0)),MIN(AT$38,$D$19),$P$20))-SUM($P985:AS985)</f>
        <v>#VALUE!</v>
      </c>
      <c r="AU985" s="446" t="e">
        <f>IF(OR($B985="",MIN(AU$38,$D$19)&lt;MAX($P$708*($B985+IF($R$17="Distrato",$I$38-1,0)),IF(AND($L$711=0,$P$708=0),"",$L$711-1),IF($R$17="Distrato",$E985,0))),0,YEARFRAC(MAX($P$708*($B985+IF($R$17="Distrato",$I$38-1,0)),IF(AND($L$711=0,$P$708=0),"",$L$711-1),IF($R$17="Distrato",$E985,0)),MIN(AU$38,$D$19),$P$20))-SUM($P985:AT985)</f>
        <v>#VALUE!</v>
      </c>
      <c r="AV985" s="446" t="e">
        <f>IF(OR($B985="",MIN(AV$38,$D$19)&lt;MAX($P$708*($B985+IF($R$17="Distrato",$I$38-1,0)),IF(AND($L$711=0,$P$708=0),"",$L$711-1),IF($R$17="Distrato",$E985,0))),0,YEARFRAC(MAX($P$708*($B985+IF($R$17="Distrato",$I$38-1,0)),IF(AND($L$711=0,$P$708=0),"",$L$711-1),IF($R$17="Distrato",$E985,0)),MIN(AV$38,$D$19),$P$20))-SUM($P985:AU985)</f>
        <v>#VALUE!</v>
      </c>
      <c r="AW985" s="446" t="e">
        <f>IF(OR($B985="",MIN(AW$38,$D$19)&lt;MAX($P$708*($B985+IF($R$17="Distrato",$I$38-1,0)),IF(AND($L$711=0,$P$708=0),"",$L$711-1),IF($R$17="Distrato",$E985,0))),0,YEARFRAC(MAX($P$708*($B985+IF($R$17="Distrato",$I$38-1,0)),IF(AND($L$711=0,$P$708=0),"",$L$711-1),IF($R$17="Distrato",$E985,0)),MIN(AW$38,$D$19),$P$20))-SUM($P985:AV985)</f>
        <v>#VALUE!</v>
      </c>
      <c r="AX985" s="446" t="e">
        <f>IF(OR($B985="",MIN(AX$38,$D$19)&lt;MAX($P$708*($B985+IF($R$17="Distrato",$I$38-1,0)),IF(AND($L$711=0,$P$708=0),"",$L$711-1),IF($R$17="Distrato",$E985,0))),0,YEARFRAC(MAX($P$708*($B985+IF($R$17="Distrato",$I$38-1,0)),IF(AND($L$711=0,$P$708=0),"",$L$711-1),IF($R$17="Distrato",$E985,0)),MIN(AX$38,$D$19),$P$20))-SUM($P985:AW985)</f>
        <v>#VALUE!</v>
      </c>
      <c r="AY985" s="446" t="e">
        <f>IF(OR($B985="",MIN(AY$38,$D$19)&lt;MAX($P$708*($B985+IF($R$17="Distrato",$I$38-1,0)),IF(AND($L$711=0,$P$708=0),"",$L$711-1),IF($R$17="Distrato",$E985,0))),0,YEARFRAC(MAX($P$708*($B985+IF($R$17="Distrato",$I$38-1,0)),IF(AND($L$711=0,$P$708=0),"",$L$711-1),IF($R$17="Distrato",$E985,0)),MIN(AY$38,$D$19),$P$20))-SUM($P985:AX985)</f>
        <v>#VALUE!</v>
      </c>
      <c r="AZ985" s="446" t="e">
        <f>IF(OR($B985="",MIN(AZ$38,$D$19)&lt;MAX($P$708*($B985+IF($R$17="Distrato",$I$38-1,0)),IF(AND($L$711=0,$P$708=0),"",$L$711-1),IF($R$17="Distrato",$E985,0))),0,YEARFRAC(MAX($P$708*($B985+IF($R$17="Distrato",$I$38-1,0)),IF(AND($L$711=0,$P$708=0),"",$L$711-1),IF($R$17="Distrato",$E985,0)),MIN(AZ$38,$D$19),$P$20))-SUM($P985:AY985)</f>
        <v>#VALUE!</v>
      </c>
      <c r="BA985" s="446" t="e">
        <f>IF(OR($B985="",MIN(BA$38,$D$19)&lt;MAX($P$708*($B985+IF($R$17="Distrato",$I$38-1,0)),IF(AND($L$711=0,$P$708=0),"",$L$711-1),IF($R$17="Distrato",$E985,0))),0,YEARFRAC(MAX($P$708*($B985+IF($R$17="Distrato",$I$38-1,0)),IF(AND($L$711=0,$P$708=0),"",$L$711-1),IF($R$17="Distrato",$E985,0)),MIN(BA$38,$D$19),$P$20))-SUM($P985:AZ985)</f>
        <v>#VALUE!</v>
      </c>
      <c r="BB985" s="447"/>
    </row>
    <row r="986" spans="1:54" s="446" customFormat="1" ht="11.25" hidden="1" customHeight="1" x14ac:dyDescent="0.2">
      <c r="A986" s="235"/>
      <c r="B986" s="236"/>
      <c r="C986" s="29" t="str">
        <f>IF(B986="","",IF($L$709=$BL$25,VLOOKUP(DATE(YEAR($D$19),MONTH($D$19)-1,1),ÍNDICES!$A:$DE,HLOOKUP($BL$25,ÍNDICES!$B$3:$T$4,2)+11)-VLOOKUP(B986,ÍNDICES!$A:$DE,HLOOKUP($BL$25,ÍNDICES!$B$3:$T$4,2)+11)+1%,IF(C$712=$W$26,$J$35,IF(ISERROR(IF(B986&gt;$D$19,1,VLOOKUP(DATE(YEAR(B986),MONTH(B986)+IF($C$709=$S$23,1,0),1),ÍNDICES!$A:$DE,$Z$709+1))),"",IF(B986&gt;$D$19,1,VLOOKUP(DATE(YEAR(B986),MONTH(B986)+IF($C$709=$S$23,1,0),1),ÍNDICES!$A:$DE,$Z$709+1))))))</f>
        <v/>
      </c>
      <c r="D986" s="155"/>
      <c r="E986" s="88"/>
      <c r="F986" s="88"/>
      <c r="G986" s="88"/>
      <c r="H986" s="118"/>
      <c r="I986" s="182">
        <f t="shared" si="143"/>
        <v>0</v>
      </c>
      <c r="J986" s="20">
        <f t="shared" ca="1" si="144"/>
        <v>0</v>
      </c>
      <c r="K986" s="5">
        <f t="shared" ca="1" si="145"/>
        <v>0</v>
      </c>
      <c r="L986" s="61">
        <f t="shared" ca="1" si="146"/>
        <v>0</v>
      </c>
      <c r="M986" s="64">
        <f t="shared" si="147"/>
        <v>0</v>
      </c>
      <c r="N986" s="151"/>
      <c r="O986" s="5">
        <f t="shared" ca="1" si="148"/>
        <v>0</v>
      </c>
      <c r="P986" s="446" t="e">
        <f t="shared" si="149"/>
        <v>#VALUE!</v>
      </c>
      <c r="Q986" s="446" t="e">
        <f>IF(OR($B986="",MIN(Q$38,$D$19)&lt;MAX($P$708*($B986+IF($R$17="Distrato",$I$38-1,0)),IF(AND($L$711=0,$P$708=0),"",$L$711-1),IF($R$17="Distrato",$E986,0))),0,YEARFRAC(MAX($P$708*($B986+IF($R$17="Distrato",$I$38-1,0)),IF(AND($L$711=0,$P$708=0),"",$L$711-1),IF($R$17="Distrato",$E986,0)),MIN(Q$38,$D$19),$P$20))-SUM($P986:P986)</f>
        <v>#VALUE!</v>
      </c>
      <c r="R986" s="446" t="e">
        <f>IF(OR($B986="",MIN(R$38,$D$19)&lt;MAX($P$708*($B986+IF($R$17="Distrato",$I$38-1,0)),IF(AND($L$711=0,$P$708=0),"",$L$711-1),IF($R$17="Distrato",$E986,0))),0,YEARFRAC(MAX($P$708*($B986+IF($R$17="Distrato",$I$38-1,0)),IF(AND($L$711=0,$P$708=0),"",$L$711-1),IF($R$17="Distrato",$E986,0)),MIN(R$38,$D$19),$P$20))-SUM($P986:Q986)</f>
        <v>#VALUE!</v>
      </c>
      <c r="S986" s="446" t="e">
        <f>IF(OR($B986="",MIN(S$38,$D$19)&lt;MAX($P$708*($B986+IF($R$17="Distrato",$I$38-1,0)),IF(AND($L$711=0,$P$708=0),"",$L$711-1),IF($R$17="Distrato",$E986,0))),0,YEARFRAC(MAX($P$708*($B986+IF($R$17="Distrato",$I$38-1,0)),IF(AND($L$711=0,$P$708=0),"",$L$711-1),IF($R$17="Distrato",$E986,0)),MIN(S$38,$D$19),$P$20))-SUM($P986:R986)</f>
        <v>#VALUE!</v>
      </c>
      <c r="T986" s="446" t="e">
        <f>IF(OR($B986="",MIN(T$38,$D$19)&lt;MAX($P$708*($B986+IF($R$17="Distrato",$I$38-1,0)),IF(AND($L$711=0,$P$708=0),"",$L$711-1),IF($R$17="Distrato",$E986,0))),0,YEARFRAC(MAX($P$708*($B986+IF($R$17="Distrato",$I$38-1,0)),IF(AND($L$711=0,$P$708=0),"",$L$711-1),IF($R$17="Distrato",$E986,0)),MIN(T$38,$D$19),$P$20))-SUM($P986:S986)</f>
        <v>#VALUE!</v>
      </c>
      <c r="U986" s="446" t="e">
        <f>IF(OR($B986="",MIN(U$38,$D$19)&lt;MAX($P$708*($B986+IF($R$17="Distrato",$I$38-1,0)),IF(AND($L$711=0,$P$708=0),"",$L$711-1),IF($R$17="Distrato",$E986,0))),0,YEARFRAC(MAX($P$708*($B986+IF($R$17="Distrato",$I$38-1,0)),IF(AND($L$711=0,$P$708=0),"",$L$711-1),IF($R$17="Distrato",$E986,0)),MIN(U$38,$D$19),$P$20))-SUM($P986:T986)</f>
        <v>#VALUE!</v>
      </c>
      <c r="V986" s="446" t="e">
        <f>IF(OR($B986="",MIN(V$38,$D$19)&lt;MAX($P$708*($B986+IF($R$17="Distrato",$I$38-1,0)),IF(AND($L$711=0,$P$708=0),"",$L$711-1),IF($R$17="Distrato",$E986,0))),0,YEARFRAC(MAX($P$708*($B986+IF($R$17="Distrato",$I$38-1,0)),IF(AND($L$711=0,$P$708=0),"",$L$711-1),IF($R$17="Distrato",$E986,0)),MIN(V$38,$D$19),$P$20))-SUM($P986:U986)</f>
        <v>#VALUE!</v>
      </c>
      <c r="W986" s="446" t="e">
        <f>IF(OR($B986="",MIN(W$38,$D$19)&lt;MAX($P$708*($B986+IF($R$17="Distrato",$I$38-1,0)),IF(AND($L$711=0,$P$708=0),"",$L$711-1),IF($R$17="Distrato",$E986,0))),0,YEARFRAC(MAX($P$708*($B986+IF($R$17="Distrato",$I$38-1,0)),IF(AND($L$711=0,$P$708=0),"",$L$711-1),IF($R$17="Distrato",$E986,0)),MIN(W$38,$D$19),$P$20))-SUM($P986:V986)</f>
        <v>#VALUE!</v>
      </c>
      <c r="X986" s="446" t="e">
        <f>IF(OR($B986="",MIN(X$38,$D$19)&lt;MAX($P$708*($B986+IF($R$17="Distrato",$I$38-1,0)),IF(AND($L$711=0,$P$708=0),"",$L$711-1),IF($R$17="Distrato",$E986,0))),0,YEARFRAC(MAX($P$708*($B986+IF($R$17="Distrato",$I$38-1,0)),IF(AND($L$711=0,$P$708=0),"",$L$711-1),IF($R$17="Distrato",$E986,0)),MIN(X$38,$D$19),$P$20))-SUM($P986:W986)</f>
        <v>#VALUE!</v>
      </c>
      <c r="Y986" s="446" t="e">
        <f>IF(OR($B986="",MIN(Y$38,$D$19)&lt;MAX($P$708*($B986+IF($R$17="Distrato",$I$38-1,0)),IF(AND($L$711=0,$P$708=0),"",$L$711-1),IF($R$17="Distrato",$E986,0))),0,YEARFRAC(MAX($P$708*($B986+IF($R$17="Distrato",$I$38-1,0)),IF(AND($L$711=0,$P$708=0),"",$L$711-1),IF($R$17="Distrato",$E986,0)),MIN(Y$38,$D$19),$P$20))-SUM($P986:X986)</f>
        <v>#VALUE!</v>
      </c>
      <c r="Z986" s="446" t="e">
        <f>IF(OR($B986="",MIN(Z$38,$D$19)&lt;MAX($P$708*($B986+IF($R$17="Distrato",$I$38-1,0)),IF(AND($L$711=0,$P$708=0),"",$L$711-1),IF($R$17="Distrato",$E986,0))),0,YEARFRAC(MAX($P$708*($B986+IF($R$17="Distrato",$I$38-1,0)),IF(AND($L$711=0,$P$708=0),"",$L$711-1),IF($R$17="Distrato",$E986,0)),MIN(Z$38,$D$19),$P$20))-SUM($P986:Y986)</f>
        <v>#VALUE!</v>
      </c>
      <c r="AA986" s="446" t="e">
        <f>IF(OR($B986="",MIN(AA$38,$D$19)&lt;MAX($P$708*($B986+IF($R$17="Distrato",$I$38-1,0)),IF(AND($L$711=0,$P$708=0),"",$L$711-1),IF($R$17="Distrato",$E986,0))),0,YEARFRAC(MAX($P$708*($B986+IF($R$17="Distrato",$I$38-1,0)),IF(AND($L$711=0,$P$708=0),"",$L$711-1),IF($R$17="Distrato",$E986,0)),MIN(AA$38,$D$19),$P$20))-SUM($P986:Z986)</f>
        <v>#VALUE!</v>
      </c>
      <c r="AB986" s="446" t="e">
        <f>IF(OR($B986="",MIN(AB$38,$D$19)&lt;MAX($P$708*($B986+IF($R$17="Distrato",$I$38-1,0)),IF(AND($L$711=0,$P$708=0),"",$L$711-1),IF($R$17="Distrato",$E986,0))),0,YEARFRAC(MAX($P$708*($B986+IF($R$17="Distrato",$I$38-1,0)),IF(AND($L$711=0,$P$708=0),"",$L$711-1),IF($R$17="Distrato",$E986,0)),MIN(AB$38,$D$19),$P$20))-SUM($P986:AA986)</f>
        <v>#VALUE!</v>
      </c>
      <c r="AC986" s="446" t="e">
        <f>IF(OR($B986="",MIN(AC$38,$D$19)&lt;MAX($P$708*($B986+IF($R$17="Distrato",$I$38-1,0)),IF(AND($L$711=0,$P$708=0),"",$L$711-1),IF($R$17="Distrato",$E986,0))),0,YEARFRAC(MAX($P$708*($B986+IF($R$17="Distrato",$I$38-1,0)),IF(AND($L$711=0,$P$708=0),"",$L$711-1),IF($R$17="Distrato",$E986,0)),MIN(AC$38,$D$19),$P$20))-SUM($P986:AB986)</f>
        <v>#VALUE!</v>
      </c>
      <c r="AD986" s="446" t="e">
        <f>IF(OR($B986="",MIN(AD$38,$D$19)&lt;MAX($P$708*($B986+IF($R$17="Distrato",$I$38-1,0)),IF(AND($L$711=0,$P$708=0),"",$L$711-1),IF($R$17="Distrato",$E986,0))),0,YEARFRAC(MAX($P$708*($B986+IF($R$17="Distrato",$I$38-1,0)),IF(AND($L$711=0,$P$708=0),"",$L$711-1),IF($R$17="Distrato",$E986,0)),MIN(AD$38,$D$19),$P$20))-SUM($P986:AC986)</f>
        <v>#VALUE!</v>
      </c>
      <c r="AE986" s="446" t="e">
        <f>IF(OR($B986="",MIN(AE$38,$D$19)&lt;MAX($P$708*($B986+IF($R$17="Distrato",$I$38-1,0)),IF(AND($L$711=0,$P$708=0),"",$L$711-1),IF($R$17="Distrato",$E986,0))),0,YEARFRAC(MAX($P$708*($B986+IF($R$17="Distrato",$I$38-1,0)),IF(AND($L$711=0,$P$708=0),"",$L$711-1),IF($R$17="Distrato",$E986,0)),MIN(AE$38,$D$19),$P$20))-SUM($P986:AD986)</f>
        <v>#VALUE!</v>
      </c>
      <c r="AF986" s="446" t="e">
        <f>IF(OR($B986="",MIN(AF$38,$D$19)&lt;MAX($P$708*($B986+IF($R$17="Distrato",$I$38-1,0)),IF(AND($L$711=0,$P$708=0),"",$L$711-1),IF($R$17="Distrato",$E986,0))),0,YEARFRAC(MAX($P$708*($B986+IF($R$17="Distrato",$I$38-1,0)),IF(AND($L$711=0,$P$708=0),"",$L$711-1),IF($R$17="Distrato",$E986,0)),MIN(AF$38,$D$19),$P$20))-SUM($P986:AE986)</f>
        <v>#VALUE!</v>
      </c>
      <c r="AG986" s="446" t="e">
        <f>IF(OR($B986="",MIN(AG$38,$D$19)&lt;MAX($P$708*($B986+IF($R$17="Distrato",$I$38-1,0)),IF(AND($L$711=0,$P$708=0),"",$L$711-1),IF($R$17="Distrato",$E986,0))),0,YEARFRAC(MAX($P$708*($B986+IF($R$17="Distrato",$I$38-1,0)),IF(AND($L$711=0,$P$708=0),"",$L$711-1),IF($R$17="Distrato",$E986,0)),MIN(AG$38,$D$19),$P$20))-SUM($P986:AF986)</f>
        <v>#VALUE!</v>
      </c>
      <c r="AH986" s="446" t="e">
        <f>IF(OR($B986="",MIN(AH$38,$D$19)&lt;MAX($P$708*($B986+IF($R$17="Distrato",$I$38-1,0)),IF(AND($L$711=0,$P$708=0),"",$L$711-1),IF($R$17="Distrato",$E986,0))),0,YEARFRAC(MAX($P$708*($B986+IF($R$17="Distrato",$I$38-1,0)),IF(AND($L$711=0,$P$708=0),"",$L$711-1),IF($R$17="Distrato",$E986,0)),MIN(AH$38,$D$19),$P$20))-SUM($P986:AG986)</f>
        <v>#VALUE!</v>
      </c>
      <c r="AI986" s="446" t="e">
        <f>IF(OR($B986="",MIN(AI$38,$D$19)&lt;MAX($P$708*($B986+IF($R$17="Distrato",$I$38-1,0)),IF(AND($L$711=0,$P$708=0),"",$L$711-1),IF($R$17="Distrato",$E986,0))),0,YEARFRAC(MAX($P$708*($B986+IF($R$17="Distrato",$I$38-1,0)),IF(AND($L$711=0,$P$708=0),"",$L$711-1),IF($R$17="Distrato",$E986,0)),MIN(AI$38,$D$19),$P$20))-SUM($P986:AH986)</f>
        <v>#VALUE!</v>
      </c>
      <c r="AJ986" s="446" t="e">
        <f>IF(OR($B986="",MIN(AJ$38,$D$19)&lt;MAX($P$708*($B986+IF($R$17="Distrato",$I$38-1,0)),IF(AND($L$711=0,$P$708=0),"",$L$711-1),IF($R$17="Distrato",$E986,0))),0,YEARFRAC(MAX($P$708*($B986+IF($R$17="Distrato",$I$38-1,0)),IF(AND($L$711=0,$P$708=0),"",$L$711-1),IF($R$17="Distrato",$E986,0)),MIN(AJ$38,$D$19),$P$20))-SUM($P986:AI986)</f>
        <v>#VALUE!</v>
      </c>
      <c r="AK986" s="446" t="e">
        <f>IF(OR($B986="",MIN(AK$38,$D$19)&lt;MAX($P$708*($B986+IF($R$17="Distrato",$I$38-1,0)),IF(AND($L$711=0,$P$708=0),"",$L$711-1),IF($R$17="Distrato",$E986,0))),0,YEARFRAC(MAX($P$708*($B986+IF($R$17="Distrato",$I$38-1,0)),IF(AND($L$711=0,$P$708=0),"",$L$711-1),IF($R$17="Distrato",$E986,0)),MIN(AK$38,$D$19),$P$20))-SUM($P986:AJ986)</f>
        <v>#VALUE!</v>
      </c>
      <c r="AL986" s="446" t="e">
        <f>IF(OR($B986="",MIN(AL$38,$D$19)&lt;MAX($P$708*($B986+IF($R$17="Distrato",$I$38-1,0)),IF(AND($L$711=0,$P$708=0),"",$L$711-1),IF($R$17="Distrato",$E986,0))),0,YEARFRAC(MAX($P$708*($B986+IF($R$17="Distrato",$I$38-1,0)),IF(AND($L$711=0,$P$708=0),"",$L$711-1),IF($R$17="Distrato",$E986,0)),MIN(AL$38,$D$19),$P$20))-SUM($P986:AK986)</f>
        <v>#VALUE!</v>
      </c>
      <c r="AM986" s="446" t="e">
        <f>IF(OR($B986="",MIN(AM$38,$D$19)&lt;MAX($P$708*($B986+IF($R$17="Distrato",$I$38-1,0)),IF(AND($L$711=0,$P$708=0),"",$L$711-1),IF($R$17="Distrato",$E986,0))),0,YEARFRAC(MAX($P$708*($B986+IF($R$17="Distrato",$I$38-1,0)),IF(AND($L$711=0,$P$708=0),"",$L$711-1),IF($R$17="Distrato",$E986,0)),MIN(AM$38,$D$19),$P$20))-SUM($P986:AL986)</f>
        <v>#VALUE!</v>
      </c>
      <c r="AN986" s="446" t="e">
        <f>IF(OR($B986="",MIN(AN$38,$D$19)&lt;MAX($P$708*($B986+IF($R$17="Distrato",$I$38-1,0)),IF(AND($L$711=0,$P$708=0),"",$L$711-1),IF($R$17="Distrato",$E986,0))),0,YEARFRAC(MAX($P$708*($B986+IF($R$17="Distrato",$I$38-1,0)),IF(AND($L$711=0,$P$708=0),"",$L$711-1),IF($R$17="Distrato",$E986,0)),MIN(AN$38,$D$19),$P$20))-SUM($P986:AM986)</f>
        <v>#VALUE!</v>
      </c>
      <c r="AO986" s="446" t="e">
        <f>IF(OR($B986="",MIN(AO$38,$D$19)&lt;MAX($P$708*($B986+IF($R$17="Distrato",$I$38-1,0)),IF(AND($L$711=0,$P$708=0),"",$L$711-1),IF($R$17="Distrato",$E986,0))),0,YEARFRAC(MAX($P$708*($B986+IF($R$17="Distrato",$I$38-1,0)),IF(AND($L$711=0,$P$708=0),"",$L$711-1),IF($R$17="Distrato",$E986,0)),MIN(AO$38,$D$19),$P$20))-SUM($P986:AN986)</f>
        <v>#VALUE!</v>
      </c>
      <c r="AP986" s="446" t="e">
        <f>IF(OR($B986="",MIN(AP$38,$D$19)&lt;MAX($P$708*($B986+IF($R$17="Distrato",$I$38-1,0)),IF(AND($L$711=0,$P$708=0),"",$L$711-1),IF($R$17="Distrato",$E986,0))),0,YEARFRAC(MAX($P$708*($B986+IF($R$17="Distrato",$I$38-1,0)),IF(AND($L$711=0,$P$708=0),"",$L$711-1),IF($R$17="Distrato",$E986,0)),MIN(AP$38,$D$19),$P$20))-SUM($P986:AO986)</f>
        <v>#VALUE!</v>
      </c>
      <c r="AQ986" s="446" t="e">
        <f>IF(OR($B986="",MIN(AQ$38,$D$19)&lt;MAX($P$708*($B986+IF($R$17="Distrato",$I$38-1,0)),IF(AND($L$711=0,$P$708=0),"",$L$711-1),IF($R$17="Distrato",$E986,0))),0,YEARFRAC(MAX($P$708*($B986+IF($R$17="Distrato",$I$38-1,0)),IF(AND($L$711=0,$P$708=0),"",$L$711-1),IF($R$17="Distrato",$E986,0)),MIN(AQ$38,$D$19),$P$20))-SUM($P986:AP986)</f>
        <v>#VALUE!</v>
      </c>
      <c r="AR986" s="446" t="e">
        <f>IF(OR($B986="",MIN(AR$38,$D$19)&lt;MAX($P$708*($B986+IF($R$17="Distrato",$I$38-1,0)),IF(AND($L$711=0,$P$708=0),"",$L$711-1),IF($R$17="Distrato",$E986,0))),0,YEARFRAC(MAX($P$708*($B986+IF($R$17="Distrato",$I$38-1,0)),IF(AND($L$711=0,$P$708=0),"",$L$711-1),IF($R$17="Distrato",$E986,0)),MIN(AR$38,$D$19),$P$20))-SUM($P986:AQ986)</f>
        <v>#VALUE!</v>
      </c>
      <c r="AS986" s="446" t="e">
        <f>IF(OR($B986="",MIN(AS$38,$D$19)&lt;MAX($P$708*($B986+IF($R$17="Distrato",$I$38-1,0)),IF(AND($L$711=0,$P$708=0),"",$L$711-1),IF($R$17="Distrato",$E986,0))),0,YEARFRAC(MAX($P$708*($B986+IF($R$17="Distrato",$I$38-1,0)),IF(AND($L$711=0,$P$708=0),"",$L$711-1),IF($R$17="Distrato",$E986,0)),MIN(AS$38,$D$19),$P$20))-SUM($P986:AR986)</f>
        <v>#VALUE!</v>
      </c>
      <c r="AT986" s="446" t="e">
        <f>IF(OR($B986="",MIN(AT$38,$D$19)&lt;MAX($P$708*($B986+IF($R$17="Distrato",$I$38-1,0)),IF(AND($L$711=0,$P$708=0),"",$L$711-1),IF($R$17="Distrato",$E986,0))),0,YEARFRAC(MAX($P$708*($B986+IF($R$17="Distrato",$I$38-1,0)),IF(AND($L$711=0,$P$708=0),"",$L$711-1),IF($R$17="Distrato",$E986,0)),MIN(AT$38,$D$19),$P$20))-SUM($P986:AS986)</f>
        <v>#VALUE!</v>
      </c>
      <c r="AU986" s="446" t="e">
        <f>IF(OR($B986="",MIN(AU$38,$D$19)&lt;MAX($P$708*($B986+IF($R$17="Distrato",$I$38-1,0)),IF(AND($L$711=0,$P$708=0),"",$L$711-1),IF($R$17="Distrato",$E986,0))),0,YEARFRAC(MAX($P$708*($B986+IF($R$17="Distrato",$I$38-1,0)),IF(AND($L$711=0,$P$708=0),"",$L$711-1),IF($R$17="Distrato",$E986,0)),MIN(AU$38,$D$19),$P$20))-SUM($P986:AT986)</f>
        <v>#VALUE!</v>
      </c>
      <c r="AV986" s="446" t="e">
        <f>IF(OR($B986="",MIN(AV$38,$D$19)&lt;MAX($P$708*($B986+IF($R$17="Distrato",$I$38-1,0)),IF(AND($L$711=0,$P$708=0),"",$L$711-1),IF($R$17="Distrato",$E986,0))),0,YEARFRAC(MAX($P$708*($B986+IF($R$17="Distrato",$I$38-1,0)),IF(AND($L$711=0,$P$708=0),"",$L$711-1),IF($R$17="Distrato",$E986,0)),MIN(AV$38,$D$19),$P$20))-SUM($P986:AU986)</f>
        <v>#VALUE!</v>
      </c>
      <c r="AW986" s="446" t="e">
        <f>IF(OR($B986="",MIN(AW$38,$D$19)&lt;MAX($P$708*($B986+IF($R$17="Distrato",$I$38-1,0)),IF(AND($L$711=0,$P$708=0),"",$L$711-1),IF($R$17="Distrato",$E986,0))),0,YEARFRAC(MAX($P$708*($B986+IF($R$17="Distrato",$I$38-1,0)),IF(AND($L$711=0,$P$708=0),"",$L$711-1),IF($R$17="Distrato",$E986,0)),MIN(AW$38,$D$19),$P$20))-SUM($P986:AV986)</f>
        <v>#VALUE!</v>
      </c>
      <c r="AX986" s="446" t="e">
        <f>IF(OR($B986="",MIN(AX$38,$D$19)&lt;MAX($P$708*($B986+IF($R$17="Distrato",$I$38-1,0)),IF(AND($L$711=0,$P$708=0),"",$L$711-1),IF($R$17="Distrato",$E986,0))),0,YEARFRAC(MAX($P$708*($B986+IF($R$17="Distrato",$I$38-1,0)),IF(AND($L$711=0,$P$708=0),"",$L$711-1),IF($R$17="Distrato",$E986,0)),MIN(AX$38,$D$19),$P$20))-SUM($P986:AW986)</f>
        <v>#VALUE!</v>
      </c>
      <c r="AY986" s="446" t="e">
        <f>IF(OR($B986="",MIN(AY$38,$D$19)&lt;MAX($P$708*($B986+IF($R$17="Distrato",$I$38-1,0)),IF(AND($L$711=0,$P$708=0),"",$L$711-1),IF($R$17="Distrato",$E986,0))),0,YEARFRAC(MAX($P$708*($B986+IF($R$17="Distrato",$I$38-1,0)),IF(AND($L$711=0,$P$708=0),"",$L$711-1),IF($R$17="Distrato",$E986,0)),MIN(AY$38,$D$19),$P$20))-SUM($P986:AX986)</f>
        <v>#VALUE!</v>
      </c>
      <c r="AZ986" s="446" t="e">
        <f>IF(OR($B986="",MIN(AZ$38,$D$19)&lt;MAX($P$708*($B986+IF($R$17="Distrato",$I$38-1,0)),IF(AND($L$711=0,$P$708=0),"",$L$711-1),IF($R$17="Distrato",$E986,0))),0,YEARFRAC(MAX($P$708*($B986+IF($R$17="Distrato",$I$38-1,0)),IF(AND($L$711=0,$P$708=0),"",$L$711-1),IF($R$17="Distrato",$E986,0)),MIN(AZ$38,$D$19),$P$20))-SUM($P986:AY986)</f>
        <v>#VALUE!</v>
      </c>
      <c r="BA986" s="446" t="e">
        <f>IF(OR($B986="",MIN(BA$38,$D$19)&lt;MAX($P$708*($B986+IF($R$17="Distrato",$I$38-1,0)),IF(AND($L$711=0,$P$708=0),"",$L$711-1),IF($R$17="Distrato",$E986,0))),0,YEARFRAC(MAX($P$708*($B986+IF($R$17="Distrato",$I$38-1,0)),IF(AND($L$711=0,$P$708=0),"",$L$711-1),IF($R$17="Distrato",$E986,0)),MIN(BA$38,$D$19),$P$20))-SUM($P986:AZ986)</f>
        <v>#VALUE!</v>
      </c>
      <c r="BB986" s="447"/>
    </row>
    <row r="987" spans="1:54" s="446" customFormat="1" ht="11.25" hidden="1" customHeight="1" x14ac:dyDescent="0.2">
      <c r="A987" s="235"/>
      <c r="B987" s="236"/>
      <c r="C987" s="29" t="str">
        <f>IF(B987="","",IF($L$709=$BL$25,VLOOKUP(DATE(YEAR($D$19),MONTH($D$19)-1,1),ÍNDICES!$A:$DE,HLOOKUP($BL$25,ÍNDICES!$B$3:$T$4,2)+11)-VLOOKUP(B987,ÍNDICES!$A:$DE,HLOOKUP($BL$25,ÍNDICES!$B$3:$T$4,2)+11)+1%,IF(C$712=$W$26,$J$35,IF(ISERROR(IF(B987&gt;$D$19,1,VLOOKUP(DATE(YEAR(B987),MONTH(B987)+IF($C$709=$S$23,1,0),1),ÍNDICES!$A:$DE,$Z$709+1))),"",IF(B987&gt;$D$19,1,VLOOKUP(DATE(YEAR(B987),MONTH(B987)+IF($C$709=$S$23,1,0),1),ÍNDICES!$A:$DE,$Z$709+1))))))</f>
        <v/>
      </c>
      <c r="D987" s="155"/>
      <c r="E987" s="88"/>
      <c r="F987" s="88"/>
      <c r="G987" s="88"/>
      <c r="H987" s="118"/>
      <c r="I987" s="182">
        <f t="shared" si="143"/>
        <v>0</v>
      </c>
      <c r="J987" s="20">
        <f t="shared" ca="1" si="144"/>
        <v>0</v>
      </c>
      <c r="K987" s="5">
        <f t="shared" ca="1" si="145"/>
        <v>0</v>
      </c>
      <c r="L987" s="61">
        <f t="shared" ca="1" si="146"/>
        <v>0</v>
      </c>
      <c r="M987" s="64">
        <f t="shared" si="147"/>
        <v>0</v>
      </c>
      <c r="N987" s="151"/>
      <c r="O987" s="5">
        <f t="shared" ca="1" si="148"/>
        <v>0</v>
      </c>
      <c r="P987" s="446" t="e">
        <f t="shared" si="149"/>
        <v>#VALUE!</v>
      </c>
      <c r="Q987" s="446" t="e">
        <f>IF(OR($B987="",MIN(Q$38,$D$19)&lt;MAX($P$708*($B987+IF($R$17="Distrato",$I$38-1,0)),IF(AND($L$711=0,$P$708=0),"",$L$711-1),IF($R$17="Distrato",$E987,0))),0,YEARFRAC(MAX($P$708*($B987+IF($R$17="Distrato",$I$38-1,0)),IF(AND($L$711=0,$P$708=0),"",$L$711-1),IF($R$17="Distrato",$E987,0)),MIN(Q$38,$D$19),$P$20))-SUM($P987:P987)</f>
        <v>#VALUE!</v>
      </c>
      <c r="R987" s="446" t="e">
        <f>IF(OR($B987="",MIN(R$38,$D$19)&lt;MAX($P$708*($B987+IF($R$17="Distrato",$I$38-1,0)),IF(AND($L$711=0,$P$708=0),"",$L$711-1),IF($R$17="Distrato",$E987,0))),0,YEARFRAC(MAX($P$708*($B987+IF($R$17="Distrato",$I$38-1,0)),IF(AND($L$711=0,$P$708=0),"",$L$711-1),IF($R$17="Distrato",$E987,0)),MIN(R$38,$D$19),$P$20))-SUM($P987:Q987)</f>
        <v>#VALUE!</v>
      </c>
      <c r="S987" s="446" t="e">
        <f>IF(OR($B987="",MIN(S$38,$D$19)&lt;MAX($P$708*($B987+IF($R$17="Distrato",$I$38-1,0)),IF(AND($L$711=0,$P$708=0),"",$L$711-1),IF($R$17="Distrato",$E987,0))),0,YEARFRAC(MAX($P$708*($B987+IF($R$17="Distrato",$I$38-1,0)),IF(AND($L$711=0,$P$708=0),"",$L$711-1),IF($R$17="Distrato",$E987,0)),MIN(S$38,$D$19),$P$20))-SUM($P987:R987)</f>
        <v>#VALUE!</v>
      </c>
      <c r="T987" s="446" t="e">
        <f>IF(OR($B987="",MIN(T$38,$D$19)&lt;MAX($P$708*($B987+IF($R$17="Distrato",$I$38-1,0)),IF(AND($L$711=0,$P$708=0),"",$L$711-1),IF($R$17="Distrato",$E987,0))),0,YEARFRAC(MAX($P$708*($B987+IF($R$17="Distrato",$I$38-1,0)),IF(AND($L$711=0,$P$708=0),"",$L$711-1),IF($R$17="Distrato",$E987,0)),MIN(T$38,$D$19),$P$20))-SUM($P987:S987)</f>
        <v>#VALUE!</v>
      </c>
      <c r="U987" s="446" t="e">
        <f>IF(OR($B987="",MIN(U$38,$D$19)&lt;MAX($P$708*($B987+IF($R$17="Distrato",$I$38-1,0)),IF(AND($L$711=0,$P$708=0),"",$L$711-1),IF($R$17="Distrato",$E987,0))),0,YEARFRAC(MAX($P$708*($B987+IF($R$17="Distrato",$I$38-1,0)),IF(AND($L$711=0,$P$708=0),"",$L$711-1),IF($R$17="Distrato",$E987,0)),MIN(U$38,$D$19),$P$20))-SUM($P987:T987)</f>
        <v>#VALUE!</v>
      </c>
      <c r="V987" s="446" t="e">
        <f>IF(OR($B987="",MIN(V$38,$D$19)&lt;MAX($P$708*($B987+IF($R$17="Distrato",$I$38-1,0)),IF(AND($L$711=0,$P$708=0),"",$L$711-1),IF($R$17="Distrato",$E987,0))),0,YEARFRAC(MAX($P$708*($B987+IF($R$17="Distrato",$I$38-1,0)),IF(AND($L$711=0,$P$708=0),"",$L$711-1),IF($R$17="Distrato",$E987,0)),MIN(V$38,$D$19),$P$20))-SUM($P987:U987)</f>
        <v>#VALUE!</v>
      </c>
      <c r="W987" s="446" t="e">
        <f>IF(OR($B987="",MIN(W$38,$D$19)&lt;MAX($P$708*($B987+IF($R$17="Distrato",$I$38-1,0)),IF(AND($L$711=0,$P$708=0),"",$L$711-1),IF($R$17="Distrato",$E987,0))),0,YEARFRAC(MAX($P$708*($B987+IF($R$17="Distrato",$I$38-1,0)),IF(AND($L$711=0,$P$708=0),"",$L$711-1),IF($R$17="Distrato",$E987,0)),MIN(W$38,$D$19),$P$20))-SUM($P987:V987)</f>
        <v>#VALUE!</v>
      </c>
      <c r="X987" s="446" t="e">
        <f>IF(OR($B987="",MIN(X$38,$D$19)&lt;MAX($P$708*($B987+IF($R$17="Distrato",$I$38-1,0)),IF(AND($L$711=0,$P$708=0),"",$L$711-1),IF($R$17="Distrato",$E987,0))),0,YEARFRAC(MAX($P$708*($B987+IF($R$17="Distrato",$I$38-1,0)),IF(AND($L$711=0,$P$708=0),"",$L$711-1),IF($R$17="Distrato",$E987,0)),MIN(X$38,$D$19),$P$20))-SUM($P987:W987)</f>
        <v>#VALUE!</v>
      </c>
      <c r="Y987" s="446" t="e">
        <f>IF(OR($B987="",MIN(Y$38,$D$19)&lt;MAX($P$708*($B987+IF($R$17="Distrato",$I$38-1,0)),IF(AND($L$711=0,$P$708=0),"",$L$711-1),IF($R$17="Distrato",$E987,0))),0,YEARFRAC(MAX($P$708*($B987+IF($R$17="Distrato",$I$38-1,0)),IF(AND($L$711=0,$P$708=0),"",$L$711-1),IF($R$17="Distrato",$E987,0)),MIN(Y$38,$D$19),$P$20))-SUM($P987:X987)</f>
        <v>#VALUE!</v>
      </c>
      <c r="Z987" s="446" t="e">
        <f>IF(OR($B987="",MIN(Z$38,$D$19)&lt;MAX($P$708*($B987+IF($R$17="Distrato",$I$38-1,0)),IF(AND($L$711=0,$P$708=0),"",$L$711-1),IF($R$17="Distrato",$E987,0))),0,YEARFRAC(MAX($P$708*($B987+IF($R$17="Distrato",$I$38-1,0)),IF(AND($L$711=0,$P$708=0),"",$L$711-1),IF($R$17="Distrato",$E987,0)),MIN(Z$38,$D$19),$P$20))-SUM($P987:Y987)</f>
        <v>#VALUE!</v>
      </c>
      <c r="AA987" s="446" t="e">
        <f>IF(OR($B987="",MIN(AA$38,$D$19)&lt;MAX($P$708*($B987+IF($R$17="Distrato",$I$38-1,0)),IF(AND($L$711=0,$P$708=0),"",$L$711-1),IF($R$17="Distrato",$E987,0))),0,YEARFRAC(MAX($P$708*($B987+IF($R$17="Distrato",$I$38-1,0)),IF(AND($L$711=0,$P$708=0),"",$L$711-1),IF($R$17="Distrato",$E987,0)),MIN(AA$38,$D$19),$P$20))-SUM($P987:Z987)</f>
        <v>#VALUE!</v>
      </c>
      <c r="AB987" s="446" t="e">
        <f>IF(OR($B987="",MIN(AB$38,$D$19)&lt;MAX($P$708*($B987+IF($R$17="Distrato",$I$38-1,0)),IF(AND($L$711=0,$P$708=0),"",$L$711-1),IF($R$17="Distrato",$E987,0))),0,YEARFRAC(MAX($P$708*($B987+IF($R$17="Distrato",$I$38-1,0)),IF(AND($L$711=0,$P$708=0),"",$L$711-1),IF($R$17="Distrato",$E987,0)),MIN(AB$38,$D$19),$P$20))-SUM($P987:AA987)</f>
        <v>#VALUE!</v>
      </c>
      <c r="AC987" s="446" t="e">
        <f>IF(OR($B987="",MIN(AC$38,$D$19)&lt;MAX($P$708*($B987+IF($R$17="Distrato",$I$38-1,0)),IF(AND($L$711=0,$P$708=0),"",$L$711-1),IF($R$17="Distrato",$E987,0))),0,YEARFRAC(MAX($P$708*($B987+IF($R$17="Distrato",$I$38-1,0)),IF(AND($L$711=0,$P$708=0),"",$L$711-1),IF($R$17="Distrato",$E987,0)),MIN(AC$38,$D$19),$P$20))-SUM($P987:AB987)</f>
        <v>#VALUE!</v>
      </c>
      <c r="AD987" s="446" t="e">
        <f>IF(OR($B987="",MIN(AD$38,$D$19)&lt;MAX($P$708*($B987+IF($R$17="Distrato",$I$38-1,0)),IF(AND($L$711=0,$P$708=0),"",$L$711-1),IF($R$17="Distrato",$E987,0))),0,YEARFRAC(MAX($P$708*($B987+IF($R$17="Distrato",$I$38-1,0)),IF(AND($L$711=0,$P$708=0),"",$L$711-1),IF($R$17="Distrato",$E987,0)),MIN(AD$38,$D$19),$P$20))-SUM($P987:AC987)</f>
        <v>#VALUE!</v>
      </c>
      <c r="AE987" s="446" t="e">
        <f>IF(OR($B987="",MIN(AE$38,$D$19)&lt;MAX($P$708*($B987+IF($R$17="Distrato",$I$38-1,0)),IF(AND($L$711=0,$P$708=0),"",$L$711-1),IF($R$17="Distrato",$E987,0))),0,YEARFRAC(MAX($P$708*($B987+IF($R$17="Distrato",$I$38-1,0)),IF(AND($L$711=0,$P$708=0),"",$L$711-1),IF($R$17="Distrato",$E987,0)),MIN(AE$38,$D$19),$P$20))-SUM($P987:AD987)</f>
        <v>#VALUE!</v>
      </c>
      <c r="AF987" s="446" t="e">
        <f>IF(OR($B987="",MIN(AF$38,$D$19)&lt;MAX($P$708*($B987+IF($R$17="Distrato",$I$38-1,0)),IF(AND($L$711=0,$P$708=0),"",$L$711-1),IF($R$17="Distrato",$E987,0))),0,YEARFRAC(MAX($P$708*($B987+IF($R$17="Distrato",$I$38-1,0)),IF(AND($L$711=0,$P$708=0),"",$L$711-1),IF($R$17="Distrato",$E987,0)),MIN(AF$38,$D$19),$P$20))-SUM($P987:AE987)</f>
        <v>#VALUE!</v>
      </c>
      <c r="AG987" s="446" t="e">
        <f>IF(OR($B987="",MIN(AG$38,$D$19)&lt;MAX($P$708*($B987+IF($R$17="Distrato",$I$38-1,0)),IF(AND($L$711=0,$P$708=0),"",$L$711-1),IF($R$17="Distrato",$E987,0))),0,YEARFRAC(MAX($P$708*($B987+IF($R$17="Distrato",$I$38-1,0)),IF(AND($L$711=0,$P$708=0),"",$L$711-1),IF($R$17="Distrato",$E987,0)),MIN(AG$38,$D$19),$P$20))-SUM($P987:AF987)</f>
        <v>#VALUE!</v>
      </c>
      <c r="AH987" s="446" t="e">
        <f>IF(OR($B987="",MIN(AH$38,$D$19)&lt;MAX($P$708*($B987+IF($R$17="Distrato",$I$38-1,0)),IF(AND($L$711=0,$P$708=0),"",$L$711-1),IF($R$17="Distrato",$E987,0))),0,YEARFRAC(MAX($P$708*($B987+IF($R$17="Distrato",$I$38-1,0)),IF(AND($L$711=0,$P$708=0),"",$L$711-1),IF($R$17="Distrato",$E987,0)),MIN(AH$38,$D$19),$P$20))-SUM($P987:AG987)</f>
        <v>#VALUE!</v>
      </c>
      <c r="AI987" s="446" t="e">
        <f>IF(OR($B987="",MIN(AI$38,$D$19)&lt;MAX($P$708*($B987+IF($R$17="Distrato",$I$38-1,0)),IF(AND($L$711=0,$P$708=0),"",$L$711-1),IF($R$17="Distrato",$E987,0))),0,YEARFRAC(MAX($P$708*($B987+IF($R$17="Distrato",$I$38-1,0)),IF(AND($L$711=0,$P$708=0),"",$L$711-1),IF($R$17="Distrato",$E987,0)),MIN(AI$38,$D$19),$P$20))-SUM($P987:AH987)</f>
        <v>#VALUE!</v>
      </c>
      <c r="AJ987" s="446" t="e">
        <f>IF(OR($B987="",MIN(AJ$38,$D$19)&lt;MAX($P$708*($B987+IF($R$17="Distrato",$I$38-1,0)),IF(AND($L$711=0,$P$708=0),"",$L$711-1),IF($R$17="Distrato",$E987,0))),0,YEARFRAC(MAX($P$708*($B987+IF($R$17="Distrato",$I$38-1,0)),IF(AND($L$711=0,$P$708=0),"",$L$711-1),IF($R$17="Distrato",$E987,0)),MIN(AJ$38,$D$19),$P$20))-SUM($P987:AI987)</f>
        <v>#VALUE!</v>
      </c>
      <c r="AK987" s="446" t="e">
        <f>IF(OR($B987="",MIN(AK$38,$D$19)&lt;MAX($P$708*($B987+IF($R$17="Distrato",$I$38-1,0)),IF(AND($L$711=0,$P$708=0),"",$L$711-1),IF($R$17="Distrato",$E987,0))),0,YEARFRAC(MAX($P$708*($B987+IF($R$17="Distrato",$I$38-1,0)),IF(AND($L$711=0,$P$708=0),"",$L$711-1),IF($R$17="Distrato",$E987,0)),MIN(AK$38,$D$19),$P$20))-SUM($P987:AJ987)</f>
        <v>#VALUE!</v>
      </c>
      <c r="AL987" s="446" t="e">
        <f>IF(OR($B987="",MIN(AL$38,$D$19)&lt;MAX($P$708*($B987+IF($R$17="Distrato",$I$38-1,0)),IF(AND($L$711=0,$P$708=0),"",$L$711-1),IF($R$17="Distrato",$E987,0))),0,YEARFRAC(MAX($P$708*($B987+IF($R$17="Distrato",$I$38-1,0)),IF(AND($L$711=0,$P$708=0),"",$L$711-1),IF($R$17="Distrato",$E987,0)),MIN(AL$38,$D$19),$P$20))-SUM($P987:AK987)</f>
        <v>#VALUE!</v>
      </c>
      <c r="AM987" s="446" t="e">
        <f>IF(OR($B987="",MIN(AM$38,$D$19)&lt;MAX($P$708*($B987+IF($R$17="Distrato",$I$38-1,0)),IF(AND($L$711=0,$P$708=0),"",$L$711-1),IF($R$17="Distrato",$E987,0))),0,YEARFRAC(MAX($P$708*($B987+IF($R$17="Distrato",$I$38-1,0)),IF(AND($L$711=0,$P$708=0),"",$L$711-1),IF($R$17="Distrato",$E987,0)),MIN(AM$38,$D$19),$P$20))-SUM($P987:AL987)</f>
        <v>#VALUE!</v>
      </c>
      <c r="AN987" s="446" t="e">
        <f>IF(OR($B987="",MIN(AN$38,$D$19)&lt;MAX($P$708*($B987+IF($R$17="Distrato",$I$38-1,0)),IF(AND($L$711=0,$P$708=0),"",$L$711-1),IF($R$17="Distrato",$E987,0))),0,YEARFRAC(MAX($P$708*($B987+IF($R$17="Distrato",$I$38-1,0)),IF(AND($L$711=0,$P$708=0),"",$L$711-1),IF($R$17="Distrato",$E987,0)),MIN(AN$38,$D$19),$P$20))-SUM($P987:AM987)</f>
        <v>#VALUE!</v>
      </c>
      <c r="AO987" s="446" t="e">
        <f>IF(OR($B987="",MIN(AO$38,$D$19)&lt;MAX($P$708*($B987+IF($R$17="Distrato",$I$38-1,0)),IF(AND($L$711=0,$P$708=0),"",$L$711-1),IF($R$17="Distrato",$E987,0))),0,YEARFRAC(MAX($P$708*($B987+IF($R$17="Distrato",$I$38-1,0)),IF(AND($L$711=0,$P$708=0),"",$L$711-1),IF($R$17="Distrato",$E987,0)),MIN(AO$38,$D$19),$P$20))-SUM($P987:AN987)</f>
        <v>#VALUE!</v>
      </c>
      <c r="AP987" s="446" t="e">
        <f>IF(OR($B987="",MIN(AP$38,$D$19)&lt;MAX($P$708*($B987+IF($R$17="Distrato",$I$38-1,0)),IF(AND($L$711=0,$P$708=0),"",$L$711-1),IF($R$17="Distrato",$E987,0))),0,YEARFRAC(MAX($P$708*($B987+IF($R$17="Distrato",$I$38-1,0)),IF(AND($L$711=0,$P$708=0),"",$L$711-1),IF($R$17="Distrato",$E987,0)),MIN(AP$38,$D$19),$P$20))-SUM($P987:AO987)</f>
        <v>#VALUE!</v>
      </c>
      <c r="AQ987" s="446" t="e">
        <f>IF(OR($B987="",MIN(AQ$38,$D$19)&lt;MAX($P$708*($B987+IF($R$17="Distrato",$I$38-1,0)),IF(AND($L$711=0,$P$708=0),"",$L$711-1),IF($R$17="Distrato",$E987,0))),0,YEARFRAC(MAX($P$708*($B987+IF($R$17="Distrato",$I$38-1,0)),IF(AND($L$711=0,$P$708=0),"",$L$711-1),IF($R$17="Distrato",$E987,0)),MIN(AQ$38,$D$19),$P$20))-SUM($P987:AP987)</f>
        <v>#VALUE!</v>
      </c>
      <c r="AR987" s="446" t="e">
        <f>IF(OR($B987="",MIN(AR$38,$D$19)&lt;MAX($P$708*($B987+IF($R$17="Distrato",$I$38-1,0)),IF(AND($L$711=0,$P$708=0),"",$L$711-1),IF($R$17="Distrato",$E987,0))),0,YEARFRAC(MAX($P$708*($B987+IF($R$17="Distrato",$I$38-1,0)),IF(AND($L$711=0,$P$708=0),"",$L$711-1),IF($R$17="Distrato",$E987,0)),MIN(AR$38,$D$19),$P$20))-SUM($P987:AQ987)</f>
        <v>#VALUE!</v>
      </c>
      <c r="AS987" s="446" t="e">
        <f>IF(OR($B987="",MIN(AS$38,$D$19)&lt;MAX($P$708*($B987+IF($R$17="Distrato",$I$38-1,0)),IF(AND($L$711=0,$P$708=0),"",$L$711-1),IF($R$17="Distrato",$E987,0))),0,YEARFRAC(MAX($P$708*($B987+IF($R$17="Distrato",$I$38-1,0)),IF(AND($L$711=0,$P$708=0),"",$L$711-1),IF($R$17="Distrato",$E987,0)),MIN(AS$38,$D$19),$P$20))-SUM($P987:AR987)</f>
        <v>#VALUE!</v>
      </c>
      <c r="AT987" s="446" t="e">
        <f>IF(OR($B987="",MIN(AT$38,$D$19)&lt;MAX($P$708*($B987+IF($R$17="Distrato",$I$38-1,0)),IF(AND($L$711=0,$P$708=0),"",$L$711-1),IF($R$17="Distrato",$E987,0))),0,YEARFRAC(MAX($P$708*($B987+IF($R$17="Distrato",$I$38-1,0)),IF(AND($L$711=0,$P$708=0),"",$L$711-1),IF($R$17="Distrato",$E987,0)),MIN(AT$38,$D$19),$P$20))-SUM($P987:AS987)</f>
        <v>#VALUE!</v>
      </c>
      <c r="AU987" s="446" t="e">
        <f>IF(OR($B987="",MIN(AU$38,$D$19)&lt;MAX($P$708*($B987+IF($R$17="Distrato",$I$38-1,0)),IF(AND($L$711=0,$P$708=0),"",$L$711-1),IF($R$17="Distrato",$E987,0))),0,YEARFRAC(MAX($P$708*($B987+IF($R$17="Distrato",$I$38-1,0)),IF(AND($L$711=0,$P$708=0),"",$L$711-1),IF($R$17="Distrato",$E987,0)),MIN(AU$38,$D$19),$P$20))-SUM($P987:AT987)</f>
        <v>#VALUE!</v>
      </c>
      <c r="AV987" s="446" t="e">
        <f>IF(OR($B987="",MIN(AV$38,$D$19)&lt;MAX($P$708*($B987+IF($R$17="Distrato",$I$38-1,0)),IF(AND($L$711=0,$P$708=0),"",$L$711-1),IF($R$17="Distrato",$E987,0))),0,YEARFRAC(MAX($P$708*($B987+IF($R$17="Distrato",$I$38-1,0)),IF(AND($L$711=0,$P$708=0),"",$L$711-1),IF($R$17="Distrato",$E987,0)),MIN(AV$38,$D$19),$P$20))-SUM($P987:AU987)</f>
        <v>#VALUE!</v>
      </c>
      <c r="AW987" s="446" t="e">
        <f>IF(OR($B987="",MIN(AW$38,$D$19)&lt;MAX($P$708*($B987+IF($R$17="Distrato",$I$38-1,0)),IF(AND($L$711=0,$P$708=0),"",$L$711-1),IF($R$17="Distrato",$E987,0))),0,YEARFRAC(MAX($P$708*($B987+IF($R$17="Distrato",$I$38-1,0)),IF(AND($L$711=0,$P$708=0),"",$L$711-1),IF($R$17="Distrato",$E987,0)),MIN(AW$38,$D$19),$P$20))-SUM($P987:AV987)</f>
        <v>#VALUE!</v>
      </c>
      <c r="AX987" s="446" t="e">
        <f>IF(OR($B987="",MIN(AX$38,$D$19)&lt;MAX($P$708*($B987+IF($R$17="Distrato",$I$38-1,0)),IF(AND($L$711=0,$P$708=0),"",$L$711-1),IF($R$17="Distrato",$E987,0))),0,YEARFRAC(MAX($P$708*($B987+IF($R$17="Distrato",$I$38-1,0)),IF(AND($L$711=0,$P$708=0),"",$L$711-1),IF($R$17="Distrato",$E987,0)),MIN(AX$38,$D$19),$P$20))-SUM($P987:AW987)</f>
        <v>#VALUE!</v>
      </c>
      <c r="AY987" s="446" t="e">
        <f>IF(OR($B987="",MIN(AY$38,$D$19)&lt;MAX($P$708*($B987+IF($R$17="Distrato",$I$38-1,0)),IF(AND($L$711=0,$P$708=0),"",$L$711-1),IF($R$17="Distrato",$E987,0))),0,YEARFRAC(MAX($P$708*($B987+IF($R$17="Distrato",$I$38-1,0)),IF(AND($L$711=0,$P$708=0),"",$L$711-1),IF($R$17="Distrato",$E987,0)),MIN(AY$38,$D$19),$P$20))-SUM($P987:AX987)</f>
        <v>#VALUE!</v>
      </c>
      <c r="AZ987" s="446" t="e">
        <f>IF(OR($B987="",MIN(AZ$38,$D$19)&lt;MAX($P$708*($B987+IF($R$17="Distrato",$I$38-1,0)),IF(AND($L$711=0,$P$708=0),"",$L$711-1),IF($R$17="Distrato",$E987,0))),0,YEARFRAC(MAX($P$708*($B987+IF($R$17="Distrato",$I$38-1,0)),IF(AND($L$711=0,$P$708=0),"",$L$711-1),IF($R$17="Distrato",$E987,0)),MIN(AZ$38,$D$19),$P$20))-SUM($P987:AY987)</f>
        <v>#VALUE!</v>
      </c>
      <c r="BA987" s="446" t="e">
        <f>IF(OR($B987="",MIN(BA$38,$D$19)&lt;MAX($P$708*($B987+IF($R$17="Distrato",$I$38-1,0)),IF(AND($L$711=0,$P$708=0),"",$L$711-1),IF($R$17="Distrato",$E987,0))),0,YEARFRAC(MAX($P$708*($B987+IF($R$17="Distrato",$I$38-1,0)),IF(AND($L$711=0,$P$708=0),"",$L$711-1),IF($R$17="Distrato",$E987,0)),MIN(BA$38,$D$19),$P$20))-SUM($P987:AZ987)</f>
        <v>#VALUE!</v>
      </c>
      <c r="BB987" s="447"/>
    </row>
    <row r="988" spans="1:54" s="446" customFormat="1" ht="11.25" hidden="1" customHeight="1" x14ac:dyDescent="0.2">
      <c r="A988" s="235"/>
      <c r="B988" s="236"/>
      <c r="C988" s="29" t="str">
        <f>IF(B988="","",IF($L$709=$BL$25,VLOOKUP(DATE(YEAR($D$19),MONTH($D$19)-1,1),ÍNDICES!$A:$DE,HLOOKUP($BL$25,ÍNDICES!$B$3:$T$4,2)+11)-VLOOKUP(B988,ÍNDICES!$A:$DE,HLOOKUP($BL$25,ÍNDICES!$B$3:$T$4,2)+11)+1%,IF(C$712=$W$26,$J$35,IF(ISERROR(IF(B988&gt;$D$19,1,VLOOKUP(DATE(YEAR(B988),MONTH(B988)+IF($C$709=$S$23,1,0),1),ÍNDICES!$A:$DE,$Z$709+1))),"",IF(B988&gt;$D$19,1,VLOOKUP(DATE(YEAR(B988),MONTH(B988)+IF($C$709=$S$23,1,0),1),ÍNDICES!$A:$DE,$Z$709+1))))))</f>
        <v/>
      </c>
      <c r="D988" s="155"/>
      <c r="E988" s="88"/>
      <c r="F988" s="88"/>
      <c r="G988" s="88"/>
      <c r="H988" s="118"/>
      <c r="I988" s="182">
        <f t="shared" si="143"/>
        <v>0</v>
      </c>
      <c r="J988" s="20">
        <f t="shared" ca="1" si="144"/>
        <v>0</v>
      </c>
      <c r="K988" s="5">
        <f t="shared" ca="1" si="145"/>
        <v>0</v>
      </c>
      <c r="L988" s="61">
        <f t="shared" ca="1" si="146"/>
        <v>0</v>
      </c>
      <c r="M988" s="64">
        <f t="shared" si="147"/>
        <v>0</v>
      </c>
      <c r="N988" s="151"/>
      <c r="O988" s="5">
        <f t="shared" ca="1" si="148"/>
        <v>0</v>
      </c>
      <c r="P988" s="446" t="e">
        <f t="shared" si="149"/>
        <v>#VALUE!</v>
      </c>
      <c r="Q988" s="446" t="e">
        <f>IF(OR($B988="",MIN(Q$38,$D$19)&lt;MAX($P$708*($B988+IF($R$17="Distrato",$I$38-1,0)),IF(AND($L$711=0,$P$708=0),"",$L$711-1),IF($R$17="Distrato",$E988,0))),0,YEARFRAC(MAX($P$708*($B988+IF($R$17="Distrato",$I$38-1,0)),IF(AND($L$711=0,$P$708=0),"",$L$711-1),IF($R$17="Distrato",$E988,0)),MIN(Q$38,$D$19),$P$20))-SUM($P988:P988)</f>
        <v>#VALUE!</v>
      </c>
      <c r="R988" s="446" t="e">
        <f>IF(OR($B988="",MIN(R$38,$D$19)&lt;MAX($P$708*($B988+IF($R$17="Distrato",$I$38-1,0)),IF(AND($L$711=0,$P$708=0),"",$L$711-1),IF($R$17="Distrato",$E988,0))),0,YEARFRAC(MAX($P$708*($B988+IF($R$17="Distrato",$I$38-1,0)),IF(AND($L$711=0,$P$708=0),"",$L$711-1),IF($R$17="Distrato",$E988,0)),MIN(R$38,$D$19),$P$20))-SUM($P988:Q988)</f>
        <v>#VALUE!</v>
      </c>
      <c r="S988" s="446" t="e">
        <f>IF(OR($B988="",MIN(S$38,$D$19)&lt;MAX($P$708*($B988+IF($R$17="Distrato",$I$38-1,0)),IF(AND($L$711=0,$P$708=0),"",$L$711-1),IF($R$17="Distrato",$E988,0))),0,YEARFRAC(MAX($P$708*($B988+IF($R$17="Distrato",$I$38-1,0)),IF(AND($L$711=0,$P$708=0),"",$L$711-1),IF($R$17="Distrato",$E988,0)),MIN(S$38,$D$19),$P$20))-SUM($P988:R988)</f>
        <v>#VALUE!</v>
      </c>
      <c r="T988" s="446" t="e">
        <f>IF(OR($B988="",MIN(T$38,$D$19)&lt;MAX($P$708*($B988+IF($R$17="Distrato",$I$38-1,0)),IF(AND($L$711=0,$P$708=0),"",$L$711-1),IF($R$17="Distrato",$E988,0))),0,YEARFRAC(MAX($P$708*($B988+IF($R$17="Distrato",$I$38-1,0)),IF(AND($L$711=0,$P$708=0),"",$L$711-1),IF($R$17="Distrato",$E988,0)),MIN(T$38,$D$19),$P$20))-SUM($P988:S988)</f>
        <v>#VALUE!</v>
      </c>
      <c r="U988" s="446" t="e">
        <f>IF(OR($B988="",MIN(U$38,$D$19)&lt;MAX($P$708*($B988+IF($R$17="Distrato",$I$38-1,0)),IF(AND($L$711=0,$P$708=0),"",$L$711-1),IF($R$17="Distrato",$E988,0))),0,YEARFRAC(MAX($P$708*($B988+IF($R$17="Distrato",$I$38-1,0)),IF(AND($L$711=0,$P$708=0),"",$L$711-1),IF($R$17="Distrato",$E988,0)),MIN(U$38,$D$19),$P$20))-SUM($P988:T988)</f>
        <v>#VALUE!</v>
      </c>
      <c r="V988" s="446" t="e">
        <f>IF(OR($B988="",MIN(V$38,$D$19)&lt;MAX($P$708*($B988+IF($R$17="Distrato",$I$38-1,0)),IF(AND($L$711=0,$P$708=0),"",$L$711-1),IF($R$17="Distrato",$E988,0))),0,YEARFRAC(MAX($P$708*($B988+IF($R$17="Distrato",$I$38-1,0)),IF(AND($L$711=0,$P$708=0),"",$L$711-1),IF($R$17="Distrato",$E988,0)),MIN(V$38,$D$19),$P$20))-SUM($P988:U988)</f>
        <v>#VALUE!</v>
      </c>
      <c r="W988" s="446" t="e">
        <f>IF(OR($B988="",MIN(W$38,$D$19)&lt;MAX($P$708*($B988+IF($R$17="Distrato",$I$38-1,0)),IF(AND($L$711=0,$P$708=0),"",$L$711-1),IF($R$17="Distrato",$E988,0))),0,YEARFRAC(MAX($P$708*($B988+IF($R$17="Distrato",$I$38-1,0)),IF(AND($L$711=0,$P$708=0),"",$L$711-1),IF($R$17="Distrato",$E988,0)),MIN(W$38,$D$19),$P$20))-SUM($P988:V988)</f>
        <v>#VALUE!</v>
      </c>
      <c r="X988" s="446" t="e">
        <f>IF(OR($B988="",MIN(X$38,$D$19)&lt;MAX($P$708*($B988+IF($R$17="Distrato",$I$38-1,0)),IF(AND($L$711=0,$P$708=0),"",$L$711-1),IF($R$17="Distrato",$E988,0))),0,YEARFRAC(MAX($P$708*($B988+IF($R$17="Distrato",$I$38-1,0)),IF(AND($L$711=0,$P$708=0),"",$L$711-1),IF($R$17="Distrato",$E988,0)),MIN(X$38,$D$19),$P$20))-SUM($P988:W988)</f>
        <v>#VALUE!</v>
      </c>
      <c r="Y988" s="446" t="e">
        <f>IF(OR($B988="",MIN(Y$38,$D$19)&lt;MAX($P$708*($B988+IF($R$17="Distrato",$I$38-1,0)),IF(AND($L$711=0,$P$708=0),"",$L$711-1),IF($R$17="Distrato",$E988,0))),0,YEARFRAC(MAX($P$708*($B988+IF($R$17="Distrato",$I$38-1,0)),IF(AND($L$711=0,$P$708=0),"",$L$711-1),IF($R$17="Distrato",$E988,0)),MIN(Y$38,$D$19),$P$20))-SUM($P988:X988)</f>
        <v>#VALUE!</v>
      </c>
      <c r="Z988" s="446" t="e">
        <f>IF(OR($B988="",MIN(Z$38,$D$19)&lt;MAX($P$708*($B988+IF($R$17="Distrato",$I$38-1,0)),IF(AND($L$711=0,$P$708=0),"",$L$711-1),IF($R$17="Distrato",$E988,0))),0,YEARFRAC(MAX($P$708*($B988+IF($R$17="Distrato",$I$38-1,0)),IF(AND($L$711=0,$P$708=0),"",$L$711-1),IF($R$17="Distrato",$E988,0)),MIN(Z$38,$D$19),$P$20))-SUM($P988:Y988)</f>
        <v>#VALUE!</v>
      </c>
      <c r="AA988" s="446" t="e">
        <f>IF(OR($B988="",MIN(AA$38,$D$19)&lt;MAX($P$708*($B988+IF($R$17="Distrato",$I$38-1,0)),IF(AND($L$711=0,$P$708=0),"",$L$711-1),IF($R$17="Distrato",$E988,0))),0,YEARFRAC(MAX($P$708*($B988+IF($R$17="Distrato",$I$38-1,0)),IF(AND($L$711=0,$P$708=0),"",$L$711-1),IF($R$17="Distrato",$E988,0)),MIN(AA$38,$D$19),$P$20))-SUM($P988:Z988)</f>
        <v>#VALUE!</v>
      </c>
      <c r="AB988" s="446" t="e">
        <f>IF(OR($B988="",MIN(AB$38,$D$19)&lt;MAX($P$708*($B988+IF($R$17="Distrato",$I$38-1,0)),IF(AND($L$711=0,$P$708=0),"",$L$711-1),IF($R$17="Distrato",$E988,0))),0,YEARFRAC(MAX($P$708*($B988+IF($R$17="Distrato",$I$38-1,0)),IF(AND($L$711=0,$P$708=0),"",$L$711-1),IF($R$17="Distrato",$E988,0)),MIN(AB$38,$D$19),$P$20))-SUM($P988:AA988)</f>
        <v>#VALUE!</v>
      </c>
      <c r="AC988" s="446" t="e">
        <f>IF(OR($B988="",MIN(AC$38,$D$19)&lt;MAX($P$708*($B988+IF($R$17="Distrato",$I$38-1,0)),IF(AND($L$711=0,$P$708=0),"",$L$711-1),IF($R$17="Distrato",$E988,0))),0,YEARFRAC(MAX($P$708*($B988+IF($R$17="Distrato",$I$38-1,0)),IF(AND($L$711=0,$P$708=0),"",$L$711-1),IF($R$17="Distrato",$E988,0)),MIN(AC$38,$D$19),$P$20))-SUM($P988:AB988)</f>
        <v>#VALUE!</v>
      </c>
      <c r="AD988" s="446" t="e">
        <f>IF(OR($B988="",MIN(AD$38,$D$19)&lt;MAX($P$708*($B988+IF($R$17="Distrato",$I$38-1,0)),IF(AND($L$711=0,$P$708=0),"",$L$711-1),IF($R$17="Distrato",$E988,0))),0,YEARFRAC(MAX($P$708*($B988+IF($R$17="Distrato",$I$38-1,0)),IF(AND($L$711=0,$P$708=0),"",$L$711-1),IF($R$17="Distrato",$E988,0)),MIN(AD$38,$D$19),$P$20))-SUM($P988:AC988)</f>
        <v>#VALUE!</v>
      </c>
      <c r="AE988" s="446" t="e">
        <f>IF(OR($B988="",MIN(AE$38,$D$19)&lt;MAX($P$708*($B988+IF($R$17="Distrato",$I$38-1,0)),IF(AND($L$711=0,$P$708=0),"",$L$711-1),IF($R$17="Distrato",$E988,0))),0,YEARFRAC(MAX($P$708*($B988+IF($R$17="Distrato",$I$38-1,0)),IF(AND($L$711=0,$P$708=0),"",$L$711-1),IF($R$17="Distrato",$E988,0)),MIN(AE$38,$D$19),$P$20))-SUM($P988:AD988)</f>
        <v>#VALUE!</v>
      </c>
      <c r="AF988" s="446" t="e">
        <f>IF(OR($B988="",MIN(AF$38,$D$19)&lt;MAX($P$708*($B988+IF($R$17="Distrato",$I$38-1,0)),IF(AND($L$711=0,$P$708=0),"",$L$711-1),IF($R$17="Distrato",$E988,0))),0,YEARFRAC(MAX($P$708*($B988+IF($R$17="Distrato",$I$38-1,0)),IF(AND($L$711=0,$P$708=0),"",$L$711-1),IF($R$17="Distrato",$E988,0)),MIN(AF$38,$D$19),$P$20))-SUM($P988:AE988)</f>
        <v>#VALUE!</v>
      </c>
      <c r="AG988" s="446" t="e">
        <f>IF(OR($B988="",MIN(AG$38,$D$19)&lt;MAX($P$708*($B988+IF($R$17="Distrato",$I$38-1,0)),IF(AND($L$711=0,$P$708=0),"",$L$711-1),IF($R$17="Distrato",$E988,0))),0,YEARFRAC(MAX($P$708*($B988+IF($R$17="Distrato",$I$38-1,0)),IF(AND($L$711=0,$P$708=0),"",$L$711-1),IF($R$17="Distrato",$E988,0)),MIN(AG$38,$D$19),$P$20))-SUM($P988:AF988)</f>
        <v>#VALUE!</v>
      </c>
      <c r="AH988" s="446" t="e">
        <f>IF(OR($B988="",MIN(AH$38,$D$19)&lt;MAX($P$708*($B988+IF($R$17="Distrato",$I$38-1,0)),IF(AND($L$711=0,$P$708=0),"",$L$711-1),IF($R$17="Distrato",$E988,0))),0,YEARFRAC(MAX($P$708*($B988+IF($R$17="Distrato",$I$38-1,0)),IF(AND($L$711=0,$P$708=0),"",$L$711-1),IF($R$17="Distrato",$E988,0)),MIN(AH$38,$D$19),$P$20))-SUM($P988:AG988)</f>
        <v>#VALUE!</v>
      </c>
      <c r="AI988" s="446" t="e">
        <f>IF(OR($B988="",MIN(AI$38,$D$19)&lt;MAX($P$708*($B988+IF($R$17="Distrato",$I$38-1,0)),IF(AND($L$711=0,$P$708=0),"",$L$711-1),IF($R$17="Distrato",$E988,0))),0,YEARFRAC(MAX($P$708*($B988+IF($R$17="Distrato",$I$38-1,0)),IF(AND($L$711=0,$P$708=0),"",$L$711-1),IF($R$17="Distrato",$E988,0)),MIN(AI$38,$D$19),$P$20))-SUM($P988:AH988)</f>
        <v>#VALUE!</v>
      </c>
      <c r="AJ988" s="446" t="e">
        <f>IF(OR($B988="",MIN(AJ$38,$D$19)&lt;MAX($P$708*($B988+IF($R$17="Distrato",$I$38-1,0)),IF(AND($L$711=0,$P$708=0),"",$L$711-1),IF($R$17="Distrato",$E988,0))),0,YEARFRAC(MAX($P$708*($B988+IF($R$17="Distrato",$I$38-1,0)),IF(AND($L$711=0,$P$708=0),"",$L$711-1),IF($R$17="Distrato",$E988,0)),MIN(AJ$38,$D$19),$P$20))-SUM($P988:AI988)</f>
        <v>#VALUE!</v>
      </c>
      <c r="AK988" s="446" t="e">
        <f>IF(OR($B988="",MIN(AK$38,$D$19)&lt;MAX($P$708*($B988+IF($R$17="Distrato",$I$38-1,0)),IF(AND($L$711=0,$P$708=0),"",$L$711-1),IF($R$17="Distrato",$E988,0))),0,YEARFRAC(MAX($P$708*($B988+IF($R$17="Distrato",$I$38-1,0)),IF(AND($L$711=0,$P$708=0),"",$L$711-1),IF($R$17="Distrato",$E988,0)),MIN(AK$38,$D$19),$P$20))-SUM($P988:AJ988)</f>
        <v>#VALUE!</v>
      </c>
      <c r="AL988" s="446" t="e">
        <f>IF(OR($B988="",MIN(AL$38,$D$19)&lt;MAX($P$708*($B988+IF($R$17="Distrato",$I$38-1,0)),IF(AND($L$711=0,$P$708=0),"",$L$711-1),IF($R$17="Distrato",$E988,0))),0,YEARFRAC(MAX($P$708*($B988+IF($R$17="Distrato",$I$38-1,0)),IF(AND($L$711=0,$P$708=0),"",$L$711-1),IF($R$17="Distrato",$E988,0)),MIN(AL$38,$D$19),$P$20))-SUM($P988:AK988)</f>
        <v>#VALUE!</v>
      </c>
      <c r="AM988" s="446" t="e">
        <f>IF(OR($B988="",MIN(AM$38,$D$19)&lt;MAX($P$708*($B988+IF($R$17="Distrato",$I$38-1,0)),IF(AND($L$711=0,$P$708=0),"",$L$711-1),IF($R$17="Distrato",$E988,0))),0,YEARFRAC(MAX($P$708*($B988+IF($R$17="Distrato",$I$38-1,0)),IF(AND($L$711=0,$P$708=0),"",$L$711-1),IF($R$17="Distrato",$E988,0)),MIN(AM$38,$D$19),$P$20))-SUM($P988:AL988)</f>
        <v>#VALUE!</v>
      </c>
      <c r="AN988" s="446" t="e">
        <f>IF(OR($B988="",MIN(AN$38,$D$19)&lt;MAX($P$708*($B988+IF($R$17="Distrato",$I$38-1,0)),IF(AND($L$711=0,$P$708=0),"",$L$711-1),IF($R$17="Distrato",$E988,0))),0,YEARFRAC(MAX($P$708*($B988+IF($R$17="Distrato",$I$38-1,0)),IF(AND($L$711=0,$P$708=0),"",$L$711-1),IF($R$17="Distrato",$E988,0)),MIN(AN$38,$D$19),$P$20))-SUM($P988:AM988)</f>
        <v>#VALUE!</v>
      </c>
      <c r="AO988" s="446" t="e">
        <f>IF(OR($B988="",MIN(AO$38,$D$19)&lt;MAX($P$708*($B988+IF($R$17="Distrato",$I$38-1,0)),IF(AND($L$711=0,$P$708=0),"",$L$711-1),IF($R$17="Distrato",$E988,0))),0,YEARFRAC(MAX($P$708*($B988+IF($R$17="Distrato",$I$38-1,0)),IF(AND($L$711=0,$P$708=0),"",$L$711-1),IF($R$17="Distrato",$E988,0)),MIN(AO$38,$D$19),$P$20))-SUM($P988:AN988)</f>
        <v>#VALUE!</v>
      </c>
      <c r="AP988" s="446" t="e">
        <f>IF(OR($B988="",MIN(AP$38,$D$19)&lt;MAX($P$708*($B988+IF($R$17="Distrato",$I$38-1,0)),IF(AND($L$711=0,$P$708=0),"",$L$711-1),IF($R$17="Distrato",$E988,0))),0,YEARFRAC(MAX($P$708*($B988+IF($R$17="Distrato",$I$38-1,0)),IF(AND($L$711=0,$P$708=0),"",$L$711-1),IF($R$17="Distrato",$E988,0)),MIN(AP$38,$D$19),$P$20))-SUM($P988:AO988)</f>
        <v>#VALUE!</v>
      </c>
      <c r="AQ988" s="446" t="e">
        <f>IF(OR($B988="",MIN(AQ$38,$D$19)&lt;MAX($P$708*($B988+IF($R$17="Distrato",$I$38-1,0)),IF(AND($L$711=0,$P$708=0),"",$L$711-1),IF($R$17="Distrato",$E988,0))),0,YEARFRAC(MAX($P$708*($B988+IF($R$17="Distrato",$I$38-1,0)),IF(AND($L$711=0,$P$708=0),"",$L$711-1),IF($R$17="Distrato",$E988,0)),MIN(AQ$38,$D$19),$P$20))-SUM($P988:AP988)</f>
        <v>#VALUE!</v>
      </c>
      <c r="AR988" s="446" t="e">
        <f>IF(OR($B988="",MIN(AR$38,$D$19)&lt;MAX($P$708*($B988+IF($R$17="Distrato",$I$38-1,0)),IF(AND($L$711=0,$P$708=0),"",$L$711-1),IF($R$17="Distrato",$E988,0))),0,YEARFRAC(MAX($P$708*($B988+IF($R$17="Distrato",$I$38-1,0)),IF(AND($L$711=0,$P$708=0),"",$L$711-1),IF($R$17="Distrato",$E988,0)),MIN(AR$38,$D$19),$P$20))-SUM($P988:AQ988)</f>
        <v>#VALUE!</v>
      </c>
      <c r="AS988" s="446" t="e">
        <f>IF(OR($B988="",MIN(AS$38,$D$19)&lt;MAX($P$708*($B988+IF($R$17="Distrato",$I$38-1,0)),IF(AND($L$711=0,$P$708=0),"",$L$711-1),IF($R$17="Distrato",$E988,0))),0,YEARFRAC(MAX($P$708*($B988+IF($R$17="Distrato",$I$38-1,0)),IF(AND($L$711=0,$P$708=0),"",$L$711-1),IF($R$17="Distrato",$E988,0)),MIN(AS$38,$D$19),$P$20))-SUM($P988:AR988)</f>
        <v>#VALUE!</v>
      </c>
      <c r="AT988" s="446" t="e">
        <f>IF(OR($B988="",MIN(AT$38,$D$19)&lt;MAX($P$708*($B988+IF($R$17="Distrato",$I$38-1,0)),IF(AND($L$711=0,$P$708=0),"",$L$711-1),IF($R$17="Distrato",$E988,0))),0,YEARFRAC(MAX($P$708*($B988+IF($R$17="Distrato",$I$38-1,0)),IF(AND($L$711=0,$P$708=0),"",$L$711-1),IF($R$17="Distrato",$E988,0)),MIN(AT$38,$D$19),$P$20))-SUM($P988:AS988)</f>
        <v>#VALUE!</v>
      </c>
      <c r="AU988" s="446" t="e">
        <f>IF(OR($B988="",MIN(AU$38,$D$19)&lt;MAX($P$708*($B988+IF($R$17="Distrato",$I$38-1,0)),IF(AND($L$711=0,$P$708=0),"",$L$711-1),IF($R$17="Distrato",$E988,0))),0,YEARFRAC(MAX($P$708*($B988+IF($R$17="Distrato",$I$38-1,0)),IF(AND($L$711=0,$P$708=0),"",$L$711-1),IF($R$17="Distrato",$E988,0)),MIN(AU$38,$D$19),$P$20))-SUM($P988:AT988)</f>
        <v>#VALUE!</v>
      </c>
      <c r="AV988" s="446" t="e">
        <f>IF(OR($B988="",MIN(AV$38,$D$19)&lt;MAX($P$708*($B988+IF($R$17="Distrato",$I$38-1,0)),IF(AND($L$711=0,$P$708=0),"",$L$711-1),IF($R$17="Distrato",$E988,0))),0,YEARFRAC(MAX($P$708*($B988+IF($R$17="Distrato",$I$38-1,0)),IF(AND($L$711=0,$P$708=0),"",$L$711-1),IF($R$17="Distrato",$E988,0)),MIN(AV$38,$D$19),$P$20))-SUM($P988:AU988)</f>
        <v>#VALUE!</v>
      </c>
      <c r="AW988" s="446" t="e">
        <f>IF(OR($B988="",MIN(AW$38,$D$19)&lt;MAX($P$708*($B988+IF($R$17="Distrato",$I$38-1,0)),IF(AND($L$711=0,$P$708=0),"",$L$711-1),IF($R$17="Distrato",$E988,0))),0,YEARFRAC(MAX($P$708*($B988+IF($R$17="Distrato",$I$38-1,0)),IF(AND($L$711=0,$P$708=0),"",$L$711-1),IF($R$17="Distrato",$E988,0)),MIN(AW$38,$D$19),$P$20))-SUM($P988:AV988)</f>
        <v>#VALUE!</v>
      </c>
      <c r="AX988" s="446" t="e">
        <f>IF(OR($B988="",MIN(AX$38,$D$19)&lt;MAX($P$708*($B988+IF($R$17="Distrato",$I$38-1,0)),IF(AND($L$711=0,$P$708=0),"",$L$711-1),IF($R$17="Distrato",$E988,0))),0,YEARFRAC(MAX($P$708*($B988+IF($R$17="Distrato",$I$38-1,0)),IF(AND($L$711=0,$P$708=0),"",$L$711-1),IF($R$17="Distrato",$E988,0)),MIN(AX$38,$D$19),$P$20))-SUM($P988:AW988)</f>
        <v>#VALUE!</v>
      </c>
      <c r="AY988" s="446" t="e">
        <f>IF(OR($B988="",MIN(AY$38,$D$19)&lt;MAX($P$708*($B988+IF($R$17="Distrato",$I$38-1,0)),IF(AND($L$711=0,$P$708=0),"",$L$711-1),IF($R$17="Distrato",$E988,0))),0,YEARFRAC(MAX($P$708*($B988+IF($R$17="Distrato",$I$38-1,0)),IF(AND($L$711=0,$P$708=0),"",$L$711-1),IF($R$17="Distrato",$E988,0)),MIN(AY$38,$D$19),$P$20))-SUM($P988:AX988)</f>
        <v>#VALUE!</v>
      </c>
      <c r="AZ988" s="446" t="e">
        <f>IF(OR($B988="",MIN(AZ$38,$D$19)&lt;MAX($P$708*($B988+IF($R$17="Distrato",$I$38-1,0)),IF(AND($L$711=0,$P$708=0),"",$L$711-1),IF($R$17="Distrato",$E988,0))),0,YEARFRAC(MAX($P$708*($B988+IF($R$17="Distrato",$I$38-1,0)),IF(AND($L$711=0,$P$708=0),"",$L$711-1),IF($R$17="Distrato",$E988,0)),MIN(AZ$38,$D$19),$P$20))-SUM($P988:AY988)</f>
        <v>#VALUE!</v>
      </c>
      <c r="BA988" s="446" t="e">
        <f>IF(OR($B988="",MIN(BA$38,$D$19)&lt;MAX($P$708*($B988+IF($R$17="Distrato",$I$38-1,0)),IF(AND($L$711=0,$P$708=0),"",$L$711-1),IF($R$17="Distrato",$E988,0))),0,YEARFRAC(MAX($P$708*($B988+IF($R$17="Distrato",$I$38-1,0)),IF(AND($L$711=0,$P$708=0),"",$L$711-1),IF($R$17="Distrato",$E988,0)),MIN(BA$38,$D$19),$P$20))-SUM($P988:AZ988)</f>
        <v>#VALUE!</v>
      </c>
      <c r="BB988" s="447"/>
    </row>
    <row r="989" spans="1:54" s="446" customFormat="1" ht="11.25" hidden="1" customHeight="1" x14ac:dyDescent="0.2">
      <c r="A989" s="235"/>
      <c r="B989" s="236"/>
      <c r="C989" s="29" t="str">
        <f>IF(B989="","",IF($L$709=$BL$25,VLOOKUP(DATE(YEAR($D$19),MONTH($D$19)-1,1),ÍNDICES!$A:$DE,HLOOKUP($BL$25,ÍNDICES!$B$3:$T$4,2)+11)-VLOOKUP(B989,ÍNDICES!$A:$DE,HLOOKUP($BL$25,ÍNDICES!$B$3:$T$4,2)+11)+1%,IF(C$712=$W$26,$J$35,IF(ISERROR(IF(B989&gt;$D$19,1,VLOOKUP(DATE(YEAR(B989),MONTH(B989)+IF($C$709=$S$23,1,0),1),ÍNDICES!$A:$DE,$Z$709+1))),"",IF(B989&gt;$D$19,1,VLOOKUP(DATE(YEAR(B989),MONTH(B989)+IF($C$709=$S$23,1,0),1),ÍNDICES!$A:$DE,$Z$709+1))))))</f>
        <v/>
      </c>
      <c r="D989" s="155"/>
      <c r="E989" s="88"/>
      <c r="F989" s="88"/>
      <c r="G989" s="88"/>
      <c r="H989" s="118"/>
      <c r="I989" s="182">
        <f t="shared" si="143"/>
        <v>0</v>
      </c>
      <c r="J989" s="20">
        <f t="shared" ca="1" si="144"/>
        <v>0</v>
      </c>
      <c r="K989" s="5">
        <f t="shared" ca="1" si="145"/>
        <v>0</v>
      </c>
      <c r="L989" s="61">
        <f t="shared" ca="1" si="146"/>
        <v>0</v>
      </c>
      <c r="M989" s="64">
        <f t="shared" si="147"/>
        <v>0</v>
      </c>
      <c r="N989" s="151"/>
      <c r="O989" s="5">
        <f t="shared" ca="1" si="148"/>
        <v>0</v>
      </c>
      <c r="P989" s="446" t="e">
        <f t="shared" si="149"/>
        <v>#VALUE!</v>
      </c>
      <c r="Q989" s="446" t="e">
        <f>IF(OR($B989="",MIN(Q$38,$D$19)&lt;MAX($P$708*($B989+IF($R$17="Distrato",$I$38-1,0)),IF(AND($L$711=0,$P$708=0),"",$L$711-1),IF($R$17="Distrato",$E989,0))),0,YEARFRAC(MAX($P$708*($B989+IF($R$17="Distrato",$I$38-1,0)),IF(AND($L$711=0,$P$708=0),"",$L$711-1),IF($R$17="Distrato",$E989,0)),MIN(Q$38,$D$19),$P$20))-SUM($P989:P989)</f>
        <v>#VALUE!</v>
      </c>
      <c r="R989" s="446" t="e">
        <f>IF(OR($B989="",MIN(R$38,$D$19)&lt;MAX($P$708*($B989+IF($R$17="Distrato",$I$38-1,0)),IF(AND($L$711=0,$P$708=0),"",$L$711-1),IF($R$17="Distrato",$E989,0))),0,YEARFRAC(MAX($P$708*($B989+IF($R$17="Distrato",$I$38-1,0)),IF(AND($L$711=0,$P$708=0),"",$L$711-1),IF($R$17="Distrato",$E989,0)),MIN(R$38,$D$19),$P$20))-SUM($P989:Q989)</f>
        <v>#VALUE!</v>
      </c>
      <c r="S989" s="446" t="e">
        <f>IF(OR($B989="",MIN(S$38,$D$19)&lt;MAX($P$708*($B989+IF($R$17="Distrato",$I$38-1,0)),IF(AND($L$711=0,$P$708=0),"",$L$711-1),IF($R$17="Distrato",$E989,0))),0,YEARFRAC(MAX($P$708*($B989+IF($R$17="Distrato",$I$38-1,0)),IF(AND($L$711=0,$P$708=0),"",$L$711-1),IF($R$17="Distrato",$E989,0)),MIN(S$38,$D$19),$P$20))-SUM($P989:R989)</f>
        <v>#VALUE!</v>
      </c>
      <c r="T989" s="446" t="e">
        <f>IF(OR($B989="",MIN(T$38,$D$19)&lt;MAX($P$708*($B989+IF($R$17="Distrato",$I$38-1,0)),IF(AND($L$711=0,$P$708=0),"",$L$711-1),IF($R$17="Distrato",$E989,0))),0,YEARFRAC(MAX($P$708*($B989+IF($R$17="Distrato",$I$38-1,0)),IF(AND($L$711=0,$P$708=0),"",$L$711-1),IF($R$17="Distrato",$E989,0)),MIN(T$38,$D$19),$P$20))-SUM($P989:S989)</f>
        <v>#VALUE!</v>
      </c>
      <c r="U989" s="446" t="e">
        <f>IF(OR($B989="",MIN(U$38,$D$19)&lt;MAX($P$708*($B989+IF($R$17="Distrato",$I$38-1,0)),IF(AND($L$711=0,$P$708=0),"",$L$711-1),IF($R$17="Distrato",$E989,0))),0,YEARFRAC(MAX($P$708*($B989+IF($R$17="Distrato",$I$38-1,0)),IF(AND($L$711=0,$P$708=0),"",$L$711-1),IF($R$17="Distrato",$E989,0)),MIN(U$38,$D$19),$P$20))-SUM($P989:T989)</f>
        <v>#VALUE!</v>
      </c>
      <c r="V989" s="446" t="e">
        <f>IF(OR($B989="",MIN(V$38,$D$19)&lt;MAX($P$708*($B989+IF($R$17="Distrato",$I$38-1,0)),IF(AND($L$711=0,$P$708=0),"",$L$711-1),IF($R$17="Distrato",$E989,0))),0,YEARFRAC(MAX($P$708*($B989+IF($R$17="Distrato",$I$38-1,0)),IF(AND($L$711=0,$P$708=0),"",$L$711-1),IF($R$17="Distrato",$E989,0)),MIN(V$38,$D$19),$P$20))-SUM($P989:U989)</f>
        <v>#VALUE!</v>
      </c>
      <c r="W989" s="446" t="e">
        <f>IF(OR($B989="",MIN(W$38,$D$19)&lt;MAX($P$708*($B989+IF($R$17="Distrato",$I$38-1,0)),IF(AND($L$711=0,$P$708=0),"",$L$711-1),IF($R$17="Distrato",$E989,0))),0,YEARFRAC(MAX($P$708*($B989+IF($R$17="Distrato",$I$38-1,0)),IF(AND($L$711=0,$P$708=0),"",$L$711-1),IF($R$17="Distrato",$E989,0)),MIN(W$38,$D$19),$P$20))-SUM($P989:V989)</f>
        <v>#VALUE!</v>
      </c>
      <c r="X989" s="446" t="e">
        <f>IF(OR($B989="",MIN(X$38,$D$19)&lt;MAX($P$708*($B989+IF($R$17="Distrato",$I$38-1,0)),IF(AND($L$711=0,$P$708=0),"",$L$711-1),IF($R$17="Distrato",$E989,0))),0,YEARFRAC(MAX($P$708*($B989+IF($R$17="Distrato",$I$38-1,0)),IF(AND($L$711=0,$P$708=0),"",$L$711-1),IF($R$17="Distrato",$E989,0)),MIN(X$38,$D$19),$P$20))-SUM($P989:W989)</f>
        <v>#VALUE!</v>
      </c>
      <c r="Y989" s="446" t="e">
        <f>IF(OR($B989="",MIN(Y$38,$D$19)&lt;MAX($P$708*($B989+IF($R$17="Distrato",$I$38-1,0)),IF(AND($L$711=0,$P$708=0),"",$L$711-1),IF($R$17="Distrato",$E989,0))),0,YEARFRAC(MAX($P$708*($B989+IF($R$17="Distrato",$I$38-1,0)),IF(AND($L$711=0,$P$708=0),"",$L$711-1),IF($R$17="Distrato",$E989,0)),MIN(Y$38,$D$19),$P$20))-SUM($P989:X989)</f>
        <v>#VALUE!</v>
      </c>
      <c r="Z989" s="446" t="e">
        <f>IF(OR($B989="",MIN(Z$38,$D$19)&lt;MAX($P$708*($B989+IF($R$17="Distrato",$I$38-1,0)),IF(AND($L$711=0,$P$708=0),"",$L$711-1),IF($R$17="Distrato",$E989,0))),0,YEARFRAC(MAX($P$708*($B989+IF($R$17="Distrato",$I$38-1,0)),IF(AND($L$711=0,$P$708=0),"",$L$711-1),IF($R$17="Distrato",$E989,0)),MIN(Z$38,$D$19),$P$20))-SUM($P989:Y989)</f>
        <v>#VALUE!</v>
      </c>
      <c r="AA989" s="446" t="e">
        <f>IF(OR($B989="",MIN(AA$38,$D$19)&lt;MAX($P$708*($B989+IF($R$17="Distrato",$I$38-1,0)),IF(AND($L$711=0,$P$708=0),"",$L$711-1),IF($R$17="Distrato",$E989,0))),0,YEARFRAC(MAX($P$708*($B989+IF($R$17="Distrato",$I$38-1,0)),IF(AND($L$711=0,$P$708=0),"",$L$711-1),IF($R$17="Distrato",$E989,0)),MIN(AA$38,$D$19),$P$20))-SUM($P989:Z989)</f>
        <v>#VALUE!</v>
      </c>
      <c r="AB989" s="446" t="e">
        <f>IF(OR($B989="",MIN(AB$38,$D$19)&lt;MAX($P$708*($B989+IF($R$17="Distrato",$I$38-1,0)),IF(AND($L$711=0,$P$708=0),"",$L$711-1),IF($R$17="Distrato",$E989,0))),0,YEARFRAC(MAX($P$708*($B989+IF($R$17="Distrato",$I$38-1,0)),IF(AND($L$711=0,$P$708=0),"",$L$711-1),IF($R$17="Distrato",$E989,0)),MIN(AB$38,$D$19),$P$20))-SUM($P989:AA989)</f>
        <v>#VALUE!</v>
      </c>
      <c r="AC989" s="446" t="e">
        <f>IF(OR($B989="",MIN(AC$38,$D$19)&lt;MAX($P$708*($B989+IF($R$17="Distrato",$I$38-1,0)),IF(AND($L$711=0,$P$708=0),"",$L$711-1),IF($R$17="Distrato",$E989,0))),0,YEARFRAC(MAX($P$708*($B989+IF($R$17="Distrato",$I$38-1,0)),IF(AND($L$711=0,$P$708=0),"",$L$711-1),IF($R$17="Distrato",$E989,0)),MIN(AC$38,$D$19),$P$20))-SUM($P989:AB989)</f>
        <v>#VALUE!</v>
      </c>
      <c r="AD989" s="446" t="e">
        <f>IF(OR($B989="",MIN(AD$38,$D$19)&lt;MAX($P$708*($B989+IF($R$17="Distrato",$I$38-1,0)),IF(AND($L$711=0,$P$708=0),"",$L$711-1),IF($R$17="Distrato",$E989,0))),0,YEARFRAC(MAX($P$708*($B989+IF($R$17="Distrato",$I$38-1,0)),IF(AND($L$711=0,$P$708=0),"",$L$711-1),IF($R$17="Distrato",$E989,0)),MIN(AD$38,$D$19),$P$20))-SUM($P989:AC989)</f>
        <v>#VALUE!</v>
      </c>
      <c r="AE989" s="446" t="e">
        <f>IF(OR($B989="",MIN(AE$38,$D$19)&lt;MAX($P$708*($B989+IF($R$17="Distrato",$I$38-1,0)),IF(AND($L$711=0,$P$708=0),"",$L$711-1),IF($R$17="Distrato",$E989,0))),0,YEARFRAC(MAX($P$708*($B989+IF($R$17="Distrato",$I$38-1,0)),IF(AND($L$711=0,$P$708=0),"",$L$711-1),IF($R$17="Distrato",$E989,0)),MIN(AE$38,$D$19),$P$20))-SUM($P989:AD989)</f>
        <v>#VALUE!</v>
      </c>
      <c r="AF989" s="446" t="e">
        <f>IF(OR($B989="",MIN(AF$38,$D$19)&lt;MAX($P$708*($B989+IF($R$17="Distrato",$I$38-1,0)),IF(AND($L$711=0,$P$708=0),"",$L$711-1),IF($R$17="Distrato",$E989,0))),0,YEARFRAC(MAX($P$708*($B989+IF($R$17="Distrato",$I$38-1,0)),IF(AND($L$711=0,$P$708=0),"",$L$711-1),IF($R$17="Distrato",$E989,0)),MIN(AF$38,$D$19),$P$20))-SUM($P989:AE989)</f>
        <v>#VALUE!</v>
      </c>
      <c r="AG989" s="446" t="e">
        <f>IF(OR($B989="",MIN(AG$38,$D$19)&lt;MAX($P$708*($B989+IF($R$17="Distrato",$I$38-1,0)),IF(AND($L$711=0,$P$708=0),"",$L$711-1),IF($R$17="Distrato",$E989,0))),0,YEARFRAC(MAX($P$708*($B989+IF($R$17="Distrato",$I$38-1,0)),IF(AND($L$711=0,$P$708=0),"",$L$711-1),IF($R$17="Distrato",$E989,0)),MIN(AG$38,$D$19),$P$20))-SUM($P989:AF989)</f>
        <v>#VALUE!</v>
      </c>
      <c r="AH989" s="446" t="e">
        <f>IF(OR($B989="",MIN(AH$38,$D$19)&lt;MAX($P$708*($B989+IF($R$17="Distrato",$I$38-1,0)),IF(AND($L$711=0,$P$708=0),"",$L$711-1),IF($R$17="Distrato",$E989,0))),0,YEARFRAC(MAX($P$708*($B989+IF($R$17="Distrato",$I$38-1,0)),IF(AND($L$711=0,$P$708=0),"",$L$711-1),IF($R$17="Distrato",$E989,0)),MIN(AH$38,$D$19),$P$20))-SUM($P989:AG989)</f>
        <v>#VALUE!</v>
      </c>
      <c r="AI989" s="446" t="e">
        <f>IF(OR($B989="",MIN(AI$38,$D$19)&lt;MAX($P$708*($B989+IF($R$17="Distrato",$I$38-1,0)),IF(AND($L$711=0,$P$708=0),"",$L$711-1),IF($R$17="Distrato",$E989,0))),0,YEARFRAC(MAX($P$708*($B989+IF($R$17="Distrato",$I$38-1,0)),IF(AND($L$711=0,$P$708=0),"",$L$711-1),IF($R$17="Distrato",$E989,0)),MIN(AI$38,$D$19),$P$20))-SUM($P989:AH989)</f>
        <v>#VALUE!</v>
      </c>
      <c r="AJ989" s="446" t="e">
        <f>IF(OR($B989="",MIN(AJ$38,$D$19)&lt;MAX($P$708*($B989+IF($R$17="Distrato",$I$38-1,0)),IF(AND($L$711=0,$P$708=0),"",$L$711-1),IF($R$17="Distrato",$E989,0))),0,YEARFRAC(MAX($P$708*($B989+IF($R$17="Distrato",$I$38-1,0)),IF(AND($L$711=0,$P$708=0),"",$L$711-1),IF($R$17="Distrato",$E989,0)),MIN(AJ$38,$D$19),$P$20))-SUM($P989:AI989)</f>
        <v>#VALUE!</v>
      </c>
      <c r="AK989" s="446" t="e">
        <f>IF(OR($B989="",MIN(AK$38,$D$19)&lt;MAX($P$708*($B989+IF($R$17="Distrato",$I$38-1,0)),IF(AND($L$711=0,$P$708=0),"",$L$711-1),IF($R$17="Distrato",$E989,0))),0,YEARFRAC(MAX($P$708*($B989+IF($R$17="Distrato",$I$38-1,0)),IF(AND($L$711=0,$P$708=0),"",$L$711-1),IF($R$17="Distrato",$E989,0)),MIN(AK$38,$D$19),$P$20))-SUM($P989:AJ989)</f>
        <v>#VALUE!</v>
      </c>
      <c r="AL989" s="446" t="e">
        <f>IF(OR($B989="",MIN(AL$38,$D$19)&lt;MAX($P$708*($B989+IF($R$17="Distrato",$I$38-1,0)),IF(AND($L$711=0,$P$708=0),"",$L$711-1),IF($R$17="Distrato",$E989,0))),0,YEARFRAC(MAX($P$708*($B989+IF($R$17="Distrato",$I$38-1,0)),IF(AND($L$711=0,$P$708=0),"",$L$711-1),IF($R$17="Distrato",$E989,0)),MIN(AL$38,$D$19),$P$20))-SUM($P989:AK989)</f>
        <v>#VALUE!</v>
      </c>
      <c r="AM989" s="446" t="e">
        <f>IF(OR($B989="",MIN(AM$38,$D$19)&lt;MAX($P$708*($B989+IF($R$17="Distrato",$I$38-1,0)),IF(AND($L$711=0,$P$708=0),"",$L$711-1),IF($R$17="Distrato",$E989,0))),0,YEARFRAC(MAX($P$708*($B989+IF($R$17="Distrato",$I$38-1,0)),IF(AND($L$711=0,$P$708=0),"",$L$711-1),IF($R$17="Distrato",$E989,0)),MIN(AM$38,$D$19),$P$20))-SUM($P989:AL989)</f>
        <v>#VALUE!</v>
      </c>
      <c r="AN989" s="446" t="e">
        <f>IF(OR($B989="",MIN(AN$38,$D$19)&lt;MAX($P$708*($B989+IF($R$17="Distrato",$I$38-1,0)),IF(AND($L$711=0,$P$708=0),"",$L$711-1),IF($R$17="Distrato",$E989,0))),0,YEARFRAC(MAX($P$708*($B989+IF($R$17="Distrato",$I$38-1,0)),IF(AND($L$711=0,$P$708=0),"",$L$711-1),IF($R$17="Distrato",$E989,0)),MIN(AN$38,$D$19),$P$20))-SUM($P989:AM989)</f>
        <v>#VALUE!</v>
      </c>
      <c r="AO989" s="446" t="e">
        <f>IF(OR($B989="",MIN(AO$38,$D$19)&lt;MAX($P$708*($B989+IF($R$17="Distrato",$I$38-1,0)),IF(AND($L$711=0,$P$708=0),"",$L$711-1),IF($R$17="Distrato",$E989,0))),0,YEARFRAC(MAX($P$708*($B989+IF($R$17="Distrato",$I$38-1,0)),IF(AND($L$711=0,$P$708=0),"",$L$711-1),IF($R$17="Distrato",$E989,0)),MIN(AO$38,$D$19),$P$20))-SUM($P989:AN989)</f>
        <v>#VALUE!</v>
      </c>
      <c r="AP989" s="446" t="e">
        <f>IF(OR($B989="",MIN(AP$38,$D$19)&lt;MAX($P$708*($B989+IF($R$17="Distrato",$I$38-1,0)),IF(AND($L$711=0,$P$708=0),"",$L$711-1),IF($R$17="Distrato",$E989,0))),0,YEARFRAC(MAX($P$708*($B989+IF($R$17="Distrato",$I$38-1,0)),IF(AND($L$711=0,$P$708=0),"",$L$711-1),IF($R$17="Distrato",$E989,0)),MIN(AP$38,$D$19),$P$20))-SUM($P989:AO989)</f>
        <v>#VALUE!</v>
      </c>
      <c r="AQ989" s="446" t="e">
        <f>IF(OR($B989="",MIN(AQ$38,$D$19)&lt;MAX($P$708*($B989+IF($R$17="Distrato",$I$38-1,0)),IF(AND($L$711=0,$P$708=0),"",$L$711-1),IF($R$17="Distrato",$E989,0))),0,YEARFRAC(MAX($P$708*($B989+IF($R$17="Distrato",$I$38-1,0)),IF(AND($L$711=0,$P$708=0),"",$L$711-1),IF($R$17="Distrato",$E989,0)),MIN(AQ$38,$D$19),$P$20))-SUM($P989:AP989)</f>
        <v>#VALUE!</v>
      </c>
      <c r="AR989" s="446" t="e">
        <f>IF(OR($B989="",MIN(AR$38,$D$19)&lt;MAX($P$708*($B989+IF($R$17="Distrato",$I$38-1,0)),IF(AND($L$711=0,$P$708=0),"",$L$711-1),IF($R$17="Distrato",$E989,0))),0,YEARFRAC(MAX($P$708*($B989+IF($R$17="Distrato",$I$38-1,0)),IF(AND($L$711=0,$P$708=0),"",$L$711-1),IF($R$17="Distrato",$E989,0)),MIN(AR$38,$D$19),$P$20))-SUM($P989:AQ989)</f>
        <v>#VALUE!</v>
      </c>
      <c r="AS989" s="446" t="e">
        <f>IF(OR($B989="",MIN(AS$38,$D$19)&lt;MAX($P$708*($B989+IF($R$17="Distrato",$I$38-1,0)),IF(AND($L$711=0,$P$708=0),"",$L$711-1),IF($R$17="Distrato",$E989,0))),0,YEARFRAC(MAX($P$708*($B989+IF($R$17="Distrato",$I$38-1,0)),IF(AND($L$711=0,$P$708=0),"",$L$711-1),IF($R$17="Distrato",$E989,0)),MIN(AS$38,$D$19),$P$20))-SUM($P989:AR989)</f>
        <v>#VALUE!</v>
      </c>
      <c r="AT989" s="446" t="e">
        <f>IF(OR($B989="",MIN(AT$38,$D$19)&lt;MAX($P$708*($B989+IF($R$17="Distrato",$I$38-1,0)),IF(AND($L$711=0,$P$708=0),"",$L$711-1),IF($R$17="Distrato",$E989,0))),0,YEARFRAC(MAX($P$708*($B989+IF($R$17="Distrato",$I$38-1,0)),IF(AND($L$711=0,$P$708=0),"",$L$711-1),IF($R$17="Distrato",$E989,0)),MIN(AT$38,$D$19),$P$20))-SUM($P989:AS989)</f>
        <v>#VALUE!</v>
      </c>
      <c r="AU989" s="446" t="e">
        <f>IF(OR($B989="",MIN(AU$38,$D$19)&lt;MAX($P$708*($B989+IF($R$17="Distrato",$I$38-1,0)),IF(AND($L$711=0,$P$708=0),"",$L$711-1),IF($R$17="Distrato",$E989,0))),0,YEARFRAC(MAX($P$708*($B989+IF($R$17="Distrato",$I$38-1,0)),IF(AND($L$711=0,$P$708=0),"",$L$711-1),IF($R$17="Distrato",$E989,0)),MIN(AU$38,$D$19),$P$20))-SUM($P989:AT989)</f>
        <v>#VALUE!</v>
      </c>
      <c r="AV989" s="446" t="e">
        <f>IF(OR($B989="",MIN(AV$38,$D$19)&lt;MAX($P$708*($B989+IF($R$17="Distrato",$I$38-1,0)),IF(AND($L$711=0,$P$708=0),"",$L$711-1),IF($R$17="Distrato",$E989,0))),0,YEARFRAC(MAX($P$708*($B989+IF($R$17="Distrato",$I$38-1,0)),IF(AND($L$711=0,$P$708=0),"",$L$711-1),IF($R$17="Distrato",$E989,0)),MIN(AV$38,$D$19),$P$20))-SUM($P989:AU989)</f>
        <v>#VALUE!</v>
      </c>
      <c r="AW989" s="446" t="e">
        <f>IF(OR($B989="",MIN(AW$38,$D$19)&lt;MAX($P$708*($B989+IF($R$17="Distrato",$I$38-1,0)),IF(AND($L$711=0,$P$708=0),"",$L$711-1),IF($R$17="Distrato",$E989,0))),0,YEARFRAC(MAX($P$708*($B989+IF($R$17="Distrato",$I$38-1,0)),IF(AND($L$711=0,$P$708=0),"",$L$711-1),IF($R$17="Distrato",$E989,0)),MIN(AW$38,$D$19),$P$20))-SUM($P989:AV989)</f>
        <v>#VALUE!</v>
      </c>
      <c r="AX989" s="446" t="e">
        <f>IF(OR($B989="",MIN(AX$38,$D$19)&lt;MAX($P$708*($B989+IF($R$17="Distrato",$I$38-1,0)),IF(AND($L$711=0,$P$708=0),"",$L$711-1),IF($R$17="Distrato",$E989,0))),0,YEARFRAC(MAX($P$708*($B989+IF($R$17="Distrato",$I$38-1,0)),IF(AND($L$711=0,$P$708=0),"",$L$711-1),IF($R$17="Distrato",$E989,0)),MIN(AX$38,$D$19),$P$20))-SUM($P989:AW989)</f>
        <v>#VALUE!</v>
      </c>
      <c r="AY989" s="446" t="e">
        <f>IF(OR($B989="",MIN(AY$38,$D$19)&lt;MAX($P$708*($B989+IF($R$17="Distrato",$I$38-1,0)),IF(AND($L$711=0,$P$708=0),"",$L$711-1),IF($R$17="Distrato",$E989,0))),0,YEARFRAC(MAX($P$708*($B989+IF($R$17="Distrato",$I$38-1,0)),IF(AND($L$711=0,$P$708=0),"",$L$711-1),IF($R$17="Distrato",$E989,0)),MIN(AY$38,$D$19),$P$20))-SUM($P989:AX989)</f>
        <v>#VALUE!</v>
      </c>
      <c r="AZ989" s="446" t="e">
        <f>IF(OR($B989="",MIN(AZ$38,$D$19)&lt;MAX($P$708*($B989+IF($R$17="Distrato",$I$38-1,0)),IF(AND($L$711=0,$P$708=0),"",$L$711-1),IF($R$17="Distrato",$E989,0))),0,YEARFRAC(MAX($P$708*($B989+IF($R$17="Distrato",$I$38-1,0)),IF(AND($L$711=0,$P$708=0),"",$L$711-1),IF($R$17="Distrato",$E989,0)),MIN(AZ$38,$D$19),$P$20))-SUM($P989:AY989)</f>
        <v>#VALUE!</v>
      </c>
      <c r="BA989" s="446" t="e">
        <f>IF(OR($B989="",MIN(BA$38,$D$19)&lt;MAX($P$708*($B989+IF($R$17="Distrato",$I$38-1,0)),IF(AND($L$711=0,$P$708=0),"",$L$711-1),IF($R$17="Distrato",$E989,0))),0,YEARFRAC(MAX($P$708*($B989+IF($R$17="Distrato",$I$38-1,0)),IF(AND($L$711=0,$P$708=0),"",$L$711-1),IF($R$17="Distrato",$E989,0)),MIN(BA$38,$D$19),$P$20))-SUM($P989:AZ989)</f>
        <v>#VALUE!</v>
      </c>
      <c r="BB989" s="447"/>
    </row>
    <row r="990" spans="1:54" s="446" customFormat="1" ht="11.25" hidden="1" customHeight="1" x14ac:dyDescent="0.2">
      <c r="A990" s="235"/>
      <c r="B990" s="236"/>
      <c r="C990" s="29" t="str">
        <f>IF(B990="","",IF($L$709=$BL$25,VLOOKUP(DATE(YEAR($D$19),MONTH($D$19)-1,1),ÍNDICES!$A:$DE,HLOOKUP($BL$25,ÍNDICES!$B$3:$T$4,2)+11)-VLOOKUP(B990,ÍNDICES!$A:$DE,HLOOKUP($BL$25,ÍNDICES!$B$3:$T$4,2)+11)+1%,IF(C$712=$W$26,$J$35,IF(ISERROR(IF(B990&gt;$D$19,1,VLOOKUP(DATE(YEAR(B990),MONTH(B990)+IF($C$709=$S$23,1,0),1),ÍNDICES!$A:$DE,$Z$709+1))),"",IF(B990&gt;$D$19,1,VLOOKUP(DATE(YEAR(B990),MONTH(B990)+IF($C$709=$S$23,1,0),1),ÍNDICES!$A:$DE,$Z$709+1))))))</f>
        <v/>
      </c>
      <c r="D990" s="155"/>
      <c r="E990" s="88"/>
      <c r="F990" s="88"/>
      <c r="G990" s="88"/>
      <c r="H990" s="118"/>
      <c r="I990" s="182">
        <f t="shared" si="143"/>
        <v>0</v>
      </c>
      <c r="J990" s="20">
        <f t="shared" ca="1" si="144"/>
        <v>0</v>
      </c>
      <c r="K990" s="5">
        <f t="shared" ca="1" si="145"/>
        <v>0</v>
      </c>
      <c r="L990" s="61">
        <f t="shared" ca="1" si="146"/>
        <v>0</v>
      </c>
      <c r="M990" s="64">
        <f t="shared" si="147"/>
        <v>0</v>
      </c>
      <c r="N990" s="151"/>
      <c r="O990" s="5">
        <f t="shared" ca="1" si="148"/>
        <v>0</v>
      </c>
      <c r="P990" s="446" t="e">
        <f t="shared" si="149"/>
        <v>#VALUE!</v>
      </c>
      <c r="Q990" s="446" t="e">
        <f>IF(OR($B990="",MIN(Q$38,$D$19)&lt;MAX($P$708*($B990+IF($R$17="Distrato",$I$38-1,0)),IF(AND($L$711=0,$P$708=0),"",$L$711-1),IF($R$17="Distrato",$E990,0))),0,YEARFRAC(MAX($P$708*($B990+IF($R$17="Distrato",$I$38-1,0)),IF(AND($L$711=0,$P$708=0),"",$L$711-1),IF($R$17="Distrato",$E990,0)),MIN(Q$38,$D$19),$P$20))-SUM($P990:P990)</f>
        <v>#VALUE!</v>
      </c>
      <c r="R990" s="446" t="e">
        <f>IF(OR($B990="",MIN(R$38,$D$19)&lt;MAX($P$708*($B990+IF($R$17="Distrato",$I$38-1,0)),IF(AND($L$711=0,$P$708=0),"",$L$711-1),IF($R$17="Distrato",$E990,0))),0,YEARFRAC(MAX($P$708*($B990+IF($R$17="Distrato",$I$38-1,0)),IF(AND($L$711=0,$P$708=0),"",$L$711-1),IF($R$17="Distrato",$E990,0)),MIN(R$38,$D$19),$P$20))-SUM($P990:Q990)</f>
        <v>#VALUE!</v>
      </c>
      <c r="S990" s="446" t="e">
        <f>IF(OR($B990="",MIN(S$38,$D$19)&lt;MAX($P$708*($B990+IF($R$17="Distrato",$I$38-1,0)),IF(AND($L$711=0,$P$708=0),"",$L$711-1),IF($R$17="Distrato",$E990,0))),0,YEARFRAC(MAX($P$708*($B990+IF($R$17="Distrato",$I$38-1,0)),IF(AND($L$711=0,$P$708=0),"",$L$711-1),IF($R$17="Distrato",$E990,0)),MIN(S$38,$D$19),$P$20))-SUM($P990:R990)</f>
        <v>#VALUE!</v>
      </c>
      <c r="T990" s="446" t="e">
        <f>IF(OR($B990="",MIN(T$38,$D$19)&lt;MAX($P$708*($B990+IF($R$17="Distrato",$I$38-1,0)),IF(AND($L$711=0,$P$708=0),"",$L$711-1),IF($R$17="Distrato",$E990,0))),0,YEARFRAC(MAX($P$708*($B990+IF($R$17="Distrato",$I$38-1,0)),IF(AND($L$711=0,$P$708=0),"",$L$711-1),IF($R$17="Distrato",$E990,0)),MIN(T$38,$D$19),$P$20))-SUM($P990:S990)</f>
        <v>#VALUE!</v>
      </c>
      <c r="U990" s="446" t="e">
        <f>IF(OR($B990="",MIN(U$38,$D$19)&lt;MAX($P$708*($B990+IF($R$17="Distrato",$I$38-1,0)),IF(AND($L$711=0,$P$708=0),"",$L$711-1),IF($R$17="Distrato",$E990,0))),0,YEARFRAC(MAX($P$708*($B990+IF($R$17="Distrato",$I$38-1,0)),IF(AND($L$711=0,$P$708=0),"",$L$711-1),IF($R$17="Distrato",$E990,0)),MIN(U$38,$D$19),$P$20))-SUM($P990:T990)</f>
        <v>#VALUE!</v>
      </c>
      <c r="V990" s="446" t="e">
        <f>IF(OR($B990="",MIN(V$38,$D$19)&lt;MAX($P$708*($B990+IF($R$17="Distrato",$I$38-1,0)),IF(AND($L$711=0,$P$708=0),"",$L$711-1),IF($R$17="Distrato",$E990,0))),0,YEARFRAC(MAX($P$708*($B990+IF($R$17="Distrato",$I$38-1,0)),IF(AND($L$711=0,$P$708=0),"",$L$711-1),IF($R$17="Distrato",$E990,0)),MIN(V$38,$D$19),$P$20))-SUM($P990:U990)</f>
        <v>#VALUE!</v>
      </c>
      <c r="W990" s="446" t="e">
        <f>IF(OR($B990="",MIN(W$38,$D$19)&lt;MAX($P$708*($B990+IF($R$17="Distrato",$I$38-1,0)),IF(AND($L$711=0,$P$708=0),"",$L$711-1),IF($R$17="Distrato",$E990,0))),0,YEARFRAC(MAX($P$708*($B990+IF($R$17="Distrato",$I$38-1,0)),IF(AND($L$711=0,$P$708=0),"",$L$711-1),IF($R$17="Distrato",$E990,0)),MIN(W$38,$D$19),$P$20))-SUM($P990:V990)</f>
        <v>#VALUE!</v>
      </c>
      <c r="X990" s="446" t="e">
        <f>IF(OR($B990="",MIN(X$38,$D$19)&lt;MAX($P$708*($B990+IF($R$17="Distrato",$I$38-1,0)),IF(AND($L$711=0,$P$708=0),"",$L$711-1),IF($R$17="Distrato",$E990,0))),0,YEARFRAC(MAX($P$708*($B990+IF($R$17="Distrato",$I$38-1,0)),IF(AND($L$711=0,$P$708=0),"",$L$711-1),IF($R$17="Distrato",$E990,0)),MIN(X$38,$D$19),$P$20))-SUM($P990:W990)</f>
        <v>#VALUE!</v>
      </c>
      <c r="Y990" s="446" t="e">
        <f>IF(OR($B990="",MIN(Y$38,$D$19)&lt;MAX($P$708*($B990+IF($R$17="Distrato",$I$38-1,0)),IF(AND($L$711=0,$P$708=0),"",$L$711-1),IF($R$17="Distrato",$E990,0))),0,YEARFRAC(MAX($P$708*($B990+IF($R$17="Distrato",$I$38-1,0)),IF(AND($L$711=0,$P$708=0),"",$L$711-1),IF($R$17="Distrato",$E990,0)),MIN(Y$38,$D$19),$P$20))-SUM($P990:X990)</f>
        <v>#VALUE!</v>
      </c>
      <c r="Z990" s="446" t="e">
        <f>IF(OR($B990="",MIN(Z$38,$D$19)&lt;MAX($P$708*($B990+IF($R$17="Distrato",$I$38-1,0)),IF(AND($L$711=0,$P$708=0),"",$L$711-1),IF($R$17="Distrato",$E990,0))),0,YEARFRAC(MAX($P$708*($B990+IF($R$17="Distrato",$I$38-1,0)),IF(AND($L$711=0,$P$708=0),"",$L$711-1),IF($R$17="Distrato",$E990,0)),MIN(Z$38,$D$19),$P$20))-SUM($P990:Y990)</f>
        <v>#VALUE!</v>
      </c>
      <c r="AA990" s="446" t="e">
        <f>IF(OR($B990="",MIN(AA$38,$D$19)&lt;MAX($P$708*($B990+IF($R$17="Distrato",$I$38-1,0)),IF(AND($L$711=0,$P$708=0),"",$L$711-1),IF($R$17="Distrato",$E990,0))),0,YEARFRAC(MAX($P$708*($B990+IF($R$17="Distrato",$I$38-1,0)),IF(AND($L$711=0,$P$708=0),"",$L$711-1),IF($R$17="Distrato",$E990,0)),MIN(AA$38,$D$19),$P$20))-SUM($P990:Z990)</f>
        <v>#VALUE!</v>
      </c>
      <c r="AB990" s="446" t="e">
        <f>IF(OR($B990="",MIN(AB$38,$D$19)&lt;MAX($P$708*($B990+IF($R$17="Distrato",$I$38-1,0)),IF(AND($L$711=0,$P$708=0),"",$L$711-1),IF($R$17="Distrato",$E990,0))),0,YEARFRAC(MAX($P$708*($B990+IF($R$17="Distrato",$I$38-1,0)),IF(AND($L$711=0,$P$708=0),"",$L$711-1),IF($R$17="Distrato",$E990,0)),MIN(AB$38,$D$19),$P$20))-SUM($P990:AA990)</f>
        <v>#VALUE!</v>
      </c>
      <c r="AC990" s="446" t="e">
        <f>IF(OR($B990="",MIN(AC$38,$D$19)&lt;MAX($P$708*($B990+IF($R$17="Distrato",$I$38-1,0)),IF(AND($L$711=0,$P$708=0),"",$L$711-1),IF($R$17="Distrato",$E990,0))),0,YEARFRAC(MAX($P$708*($B990+IF($R$17="Distrato",$I$38-1,0)),IF(AND($L$711=0,$P$708=0),"",$L$711-1),IF($R$17="Distrato",$E990,0)),MIN(AC$38,$D$19),$P$20))-SUM($P990:AB990)</f>
        <v>#VALUE!</v>
      </c>
      <c r="AD990" s="446" t="e">
        <f>IF(OR($B990="",MIN(AD$38,$D$19)&lt;MAX($P$708*($B990+IF($R$17="Distrato",$I$38-1,0)),IF(AND($L$711=0,$P$708=0),"",$L$711-1),IF($R$17="Distrato",$E990,0))),0,YEARFRAC(MAX($P$708*($B990+IF($R$17="Distrato",$I$38-1,0)),IF(AND($L$711=0,$P$708=0),"",$L$711-1),IF($R$17="Distrato",$E990,0)),MIN(AD$38,$D$19),$P$20))-SUM($P990:AC990)</f>
        <v>#VALUE!</v>
      </c>
      <c r="AE990" s="446" t="e">
        <f>IF(OR($B990="",MIN(AE$38,$D$19)&lt;MAX($P$708*($B990+IF($R$17="Distrato",$I$38-1,0)),IF(AND($L$711=0,$P$708=0),"",$L$711-1),IF($R$17="Distrato",$E990,0))),0,YEARFRAC(MAX($P$708*($B990+IF($R$17="Distrato",$I$38-1,0)),IF(AND($L$711=0,$P$708=0),"",$L$711-1),IF($R$17="Distrato",$E990,0)),MIN(AE$38,$D$19),$P$20))-SUM($P990:AD990)</f>
        <v>#VALUE!</v>
      </c>
      <c r="AF990" s="446" t="e">
        <f>IF(OR($B990="",MIN(AF$38,$D$19)&lt;MAX($P$708*($B990+IF($R$17="Distrato",$I$38-1,0)),IF(AND($L$711=0,$P$708=0),"",$L$711-1),IF($R$17="Distrato",$E990,0))),0,YEARFRAC(MAX($P$708*($B990+IF($R$17="Distrato",$I$38-1,0)),IF(AND($L$711=0,$P$708=0),"",$L$711-1),IF($R$17="Distrato",$E990,0)),MIN(AF$38,$D$19),$P$20))-SUM($P990:AE990)</f>
        <v>#VALUE!</v>
      </c>
      <c r="AG990" s="446" t="e">
        <f>IF(OR($B990="",MIN(AG$38,$D$19)&lt;MAX($P$708*($B990+IF($R$17="Distrato",$I$38-1,0)),IF(AND($L$711=0,$P$708=0),"",$L$711-1),IF($R$17="Distrato",$E990,0))),0,YEARFRAC(MAX($P$708*($B990+IF($R$17="Distrato",$I$38-1,0)),IF(AND($L$711=0,$P$708=0),"",$L$711-1),IF($R$17="Distrato",$E990,0)),MIN(AG$38,$D$19),$P$20))-SUM($P990:AF990)</f>
        <v>#VALUE!</v>
      </c>
      <c r="AH990" s="446" t="e">
        <f>IF(OR($B990="",MIN(AH$38,$D$19)&lt;MAX($P$708*($B990+IF($R$17="Distrato",$I$38-1,0)),IF(AND($L$711=0,$P$708=0),"",$L$711-1),IF($R$17="Distrato",$E990,0))),0,YEARFRAC(MAX($P$708*($B990+IF($R$17="Distrato",$I$38-1,0)),IF(AND($L$711=0,$P$708=0),"",$L$711-1),IF($R$17="Distrato",$E990,0)),MIN(AH$38,$D$19),$P$20))-SUM($P990:AG990)</f>
        <v>#VALUE!</v>
      </c>
      <c r="AI990" s="446" t="e">
        <f>IF(OR($B990="",MIN(AI$38,$D$19)&lt;MAX($P$708*($B990+IF($R$17="Distrato",$I$38-1,0)),IF(AND($L$711=0,$P$708=0),"",$L$711-1),IF($R$17="Distrato",$E990,0))),0,YEARFRAC(MAX($P$708*($B990+IF($R$17="Distrato",$I$38-1,0)),IF(AND($L$711=0,$P$708=0),"",$L$711-1),IF($R$17="Distrato",$E990,0)),MIN(AI$38,$D$19),$P$20))-SUM($P990:AH990)</f>
        <v>#VALUE!</v>
      </c>
      <c r="AJ990" s="446" t="e">
        <f>IF(OR($B990="",MIN(AJ$38,$D$19)&lt;MAX($P$708*($B990+IF($R$17="Distrato",$I$38-1,0)),IF(AND($L$711=0,$P$708=0),"",$L$711-1),IF($R$17="Distrato",$E990,0))),0,YEARFRAC(MAX($P$708*($B990+IF($R$17="Distrato",$I$38-1,0)),IF(AND($L$711=0,$P$708=0),"",$L$711-1),IF($R$17="Distrato",$E990,0)),MIN(AJ$38,$D$19),$P$20))-SUM($P990:AI990)</f>
        <v>#VALUE!</v>
      </c>
      <c r="AK990" s="446" t="e">
        <f>IF(OR($B990="",MIN(AK$38,$D$19)&lt;MAX($P$708*($B990+IF($R$17="Distrato",$I$38-1,0)),IF(AND($L$711=0,$P$708=0),"",$L$711-1),IF($R$17="Distrato",$E990,0))),0,YEARFRAC(MAX($P$708*($B990+IF($R$17="Distrato",$I$38-1,0)),IF(AND($L$711=0,$P$708=0),"",$L$711-1),IF($R$17="Distrato",$E990,0)),MIN(AK$38,$D$19),$P$20))-SUM($P990:AJ990)</f>
        <v>#VALUE!</v>
      </c>
      <c r="AL990" s="446" t="e">
        <f>IF(OR($B990="",MIN(AL$38,$D$19)&lt;MAX($P$708*($B990+IF($R$17="Distrato",$I$38-1,0)),IF(AND($L$711=0,$P$708=0),"",$L$711-1),IF($R$17="Distrato",$E990,0))),0,YEARFRAC(MAX($P$708*($B990+IF($R$17="Distrato",$I$38-1,0)),IF(AND($L$711=0,$P$708=0),"",$L$711-1),IF($R$17="Distrato",$E990,0)),MIN(AL$38,$D$19),$P$20))-SUM($P990:AK990)</f>
        <v>#VALUE!</v>
      </c>
      <c r="AM990" s="446" t="e">
        <f>IF(OR($B990="",MIN(AM$38,$D$19)&lt;MAX($P$708*($B990+IF($R$17="Distrato",$I$38-1,0)),IF(AND($L$711=0,$P$708=0),"",$L$711-1),IF($R$17="Distrato",$E990,0))),0,YEARFRAC(MAX($P$708*($B990+IF($R$17="Distrato",$I$38-1,0)),IF(AND($L$711=0,$P$708=0),"",$L$711-1),IF($R$17="Distrato",$E990,0)),MIN(AM$38,$D$19),$P$20))-SUM($P990:AL990)</f>
        <v>#VALUE!</v>
      </c>
      <c r="AN990" s="446" t="e">
        <f>IF(OR($B990="",MIN(AN$38,$D$19)&lt;MAX($P$708*($B990+IF($R$17="Distrato",$I$38-1,0)),IF(AND($L$711=0,$P$708=0),"",$L$711-1),IF($R$17="Distrato",$E990,0))),0,YEARFRAC(MAX($P$708*($B990+IF($R$17="Distrato",$I$38-1,0)),IF(AND($L$711=0,$P$708=0),"",$L$711-1),IF($R$17="Distrato",$E990,0)),MIN(AN$38,$D$19),$P$20))-SUM($P990:AM990)</f>
        <v>#VALUE!</v>
      </c>
      <c r="AO990" s="446" t="e">
        <f>IF(OR($B990="",MIN(AO$38,$D$19)&lt;MAX($P$708*($B990+IF($R$17="Distrato",$I$38-1,0)),IF(AND($L$711=0,$P$708=0),"",$L$711-1),IF($R$17="Distrato",$E990,0))),0,YEARFRAC(MAX($P$708*($B990+IF($R$17="Distrato",$I$38-1,0)),IF(AND($L$711=0,$P$708=0),"",$L$711-1),IF($R$17="Distrato",$E990,0)),MIN(AO$38,$D$19),$P$20))-SUM($P990:AN990)</f>
        <v>#VALUE!</v>
      </c>
      <c r="AP990" s="446" t="e">
        <f>IF(OR($B990="",MIN(AP$38,$D$19)&lt;MAX($P$708*($B990+IF($R$17="Distrato",$I$38-1,0)),IF(AND($L$711=0,$P$708=0),"",$L$711-1),IF($R$17="Distrato",$E990,0))),0,YEARFRAC(MAX($P$708*($B990+IF($R$17="Distrato",$I$38-1,0)),IF(AND($L$711=0,$P$708=0),"",$L$711-1),IF($R$17="Distrato",$E990,0)),MIN(AP$38,$D$19),$P$20))-SUM($P990:AO990)</f>
        <v>#VALUE!</v>
      </c>
      <c r="AQ990" s="446" t="e">
        <f>IF(OR($B990="",MIN(AQ$38,$D$19)&lt;MAX($P$708*($B990+IF($R$17="Distrato",$I$38-1,0)),IF(AND($L$711=0,$P$708=0),"",$L$711-1),IF($R$17="Distrato",$E990,0))),0,YEARFRAC(MAX($P$708*($B990+IF($R$17="Distrato",$I$38-1,0)),IF(AND($L$711=0,$P$708=0),"",$L$711-1),IF($R$17="Distrato",$E990,0)),MIN(AQ$38,$D$19),$P$20))-SUM($P990:AP990)</f>
        <v>#VALUE!</v>
      </c>
      <c r="AR990" s="446" t="e">
        <f>IF(OR($B990="",MIN(AR$38,$D$19)&lt;MAX($P$708*($B990+IF($R$17="Distrato",$I$38-1,0)),IF(AND($L$711=0,$P$708=0),"",$L$711-1),IF($R$17="Distrato",$E990,0))),0,YEARFRAC(MAX($P$708*($B990+IF($R$17="Distrato",$I$38-1,0)),IF(AND($L$711=0,$P$708=0),"",$L$711-1),IF($R$17="Distrato",$E990,0)),MIN(AR$38,$D$19),$P$20))-SUM($P990:AQ990)</f>
        <v>#VALUE!</v>
      </c>
      <c r="AS990" s="446" t="e">
        <f>IF(OR($B990="",MIN(AS$38,$D$19)&lt;MAX($P$708*($B990+IF($R$17="Distrato",$I$38-1,0)),IF(AND($L$711=0,$P$708=0),"",$L$711-1),IF($R$17="Distrato",$E990,0))),0,YEARFRAC(MAX($P$708*($B990+IF($R$17="Distrato",$I$38-1,0)),IF(AND($L$711=0,$P$708=0),"",$L$711-1),IF($R$17="Distrato",$E990,0)),MIN(AS$38,$D$19),$P$20))-SUM($P990:AR990)</f>
        <v>#VALUE!</v>
      </c>
      <c r="AT990" s="446" t="e">
        <f>IF(OR($B990="",MIN(AT$38,$D$19)&lt;MAX($P$708*($B990+IF($R$17="Distrato",$I$38-1,0)),IF(AND($L$711=0,$P$708=0),"",$L$711-1),IF($R$17="Distrato",$E990,0))),0,YEARFRAC(MAX($P$708*($B990+IF($R$17="Distrato",$I$38-1,0)),IF(AND($L$711=0,$P$708=0),"",$L$711-1),IF($R$17="Distrato",$E990,0)),MIN(AT$38,$D$19),$P$20))-SUM($P990:AS990)</f>
        <v>#VALUE!</v>
      </c>
      <c r="AU990" s="446" t="e">
        <f>IF(OR($B990="",MIN(AU$38,$D$19)&lt;MAX($P$708*($B990+IF($R$17="Distrato",$I$38-1,0)),IF(AND($L$711=0,$P$708=0),"",$L$711-1),IF($R$17="Distrato",$E990,0))),0,YEARFRAC(MAX($P$708*($B990+IF($R$17="Distrato",$I$38-1,0)),IF(AND($L$711=0,$P$708=0),"",$L$711-1),IF($R$17="Distrato",$E990,0)),MIN(AU$38,$D$19),$P$20))-SUM($P990:AT990)</f>
        <v>#VALUE!</v>
      </c>
      <c r="AV990" s="446" t="e">
        <f>IF(OR($B990="",MIN(AV$38,$D$19)&lt;MAX($P$708*($B990+IF($R$17="Distrato",$I$38-1,0)),IF(AND($L$711=0,$P$708=0),"",$L$711-1),IF($R$17="Distrato",$E990,0))),0,YEARFRAC(MAX($P$708*($B990+IF($R$17="Distrato",$I$38-1,0)),IF(AND($L$711=0,$P$708=0),"",$L$711-1),IF($R$17="Distrato",$E990,0)),MIN(AV$38,$D$19),$P$20))-SUM($P990:AU990)</f>
        <v>#VALUE!</v>
      </c>
      <c r="AW990" s="446" t="e">
        <f>IF(OR($B990="",MIN(AW$38,$D$19)&lt;MAX($P$708*($B990+IF($R$17="Distrato",$I$38-1,0)),IF(AND($L$711=0,$P$708=0),"",$L$711-1),IF($R$17="Distrato",$E990,0))),0,YEARFRAC(MAX($P$708*($B990+IF($R$17="Distrato",$I$38-1,0)),IF(AND($L$711=0,$P$708=0),"",$L$711-1),IF($R$17="Distrato",$E990,0)),MIN(AW$38,$D$19),$P$20))-SUM($P990:AV990)</f>
        <v>#VALUE!</v>
      </c>
      <c r="AX990" s="446" t="e">
        <f>IF(OR($B990="",MIN(AX$38,$D$19)&lt;MAX($P$708*($B990+IF($R$17="Distrato",$I$38-1,0)),IF(AND($L$711=0,$P$708=0),"",$L$711-1),IF($R$17="Distrato",$E990,0))),0,YEARFRAC(MAX($P$708*($B990+IF($R$17="Distrato",$I$38-1,0)),IF(AND($L$711=0,$P$708=0),"",$L$711-1),IF($R$17="Distrato",$E990,0)),MIN(AX$38,$D$19),$P$20))-SUM($P990:AW990)</f>
        <v>#VALUE!</v>
      </c>
      <c r="AY990" s="446" t="e">
        <f>IF(OR($B990="",MIN(AY$38,$D$19)&lt;MAX($P$708*($B990+IF($R$17="Distrato",$I$38-1,0)),IF(AND($L$711=0,$P$708=0),"",$L$711-1),IF($R$17="Distrato",$E990,0))),0,YEARFRAC(MAX($P$708*($B990+IF($R$17="Distrato",$I$38-1,0)),IF(AND($L$711=0,$P$708=0),"",$L$711-1),IF($R$17="Distrato",$E990,0)),MIN(AY$38,$D$19),$P$20))-SUM($P990:AX990)</f>
        <v>#VALUE!</v>
      </c>
      <c r="AZ990" s="446" t="e">
        <f>IF(OR($B990="",MIN(AZ$38,$D$19)&lt;MAX($P$708*($B990+IF($R$17="Distrato",$I$38-1,0)),IF(AND($L$711=0,$P$708=0),"",$L$711-1),IF($R$17="Distrato",$E990,0))),0,YEARFRAC(MAX($P$708*($B990+IF($R$17="Distrato",$I$38-1,0)),IF(AND($L$711=0,$P$708=0),"",$L$711-1),IF($R$17="Distrato",$E990,0)),MIN(AZ$38,$D$19),$P$20))-SUM($P990:AY990)</f>
        <v>#VALUE!</v>
      </c>
      <c r="BA990" s="446" t="e">
        <f>IF(OR($B990="",MIN(BA$38,$D$19)&lt;MAX($P$708*($B990+IF($R$17="Distrato",$I$38-1,0)),IF(AND($L$711=0,$P$708=0),"",$L$711-1),IF($R$17="Distrato",$E990,0))),0,YEARFRAC(MAX($P$708*($B990+IF($R$17="Distrato",$I$38-1,0)),IF(AND($L$711=0,$P$708=0),"",$L$711-1),IF($R$17="Distrato",$E990,0)),MIN(BA$38,$D$19),$P$20))-SUM($P990:AZ990)</f>
        <v>#VALUE!</v>
      </c>
      <c r="BB990" s="447"/>
    </row>
    <row r="991" spans="1:54" s="446" customFormat="1" ht="11.25" hidden="1" customHeight="1" x14ac:dyDescent="0.2">
      <c r="A991" s="235"/>
      <c r="B991" s="236"/>
      <c r="C991" s="29" t="str">
        <f>IF(B991="","",IF($L$709=$BL$25,VLOOKUP(DATE(YEAR($D$19),MONTH($D$19)-1,1),ÍNDICES!$A:$DE,HLOOKUP($BL$25,ÍNDICES!$B$3:$T$4,2)+11)-VLOOKUP(B991,ÍNDICES!$A:$DE,HLOOKUP($BL$25,ÍNDICES!$B$3:$T$4,2)+11)+1%,IF(C$712=$W$26,$J$35,IF(ISERROR(IF(B991&gt;$D$19,1,VLOOKUP(DATE(YEAR(B991),MONTH(B991)+IF($C$709=$S$23,1,0),1),ÍNDICES!$A:$DE,$Z$709+1))),"",IF(B991&gt;$D$19,1,VLOOKUP(DATE(YEAR(B991),MONTH(B991)+IF($C$709=$S$23,1,0),1),ÍNDICES!$A:$DE,$Z$709+1))))))</f>
        <v/>
      </c>
      <c r="D991" s="155"/>
      <c r="E991" s="88"/>
      <c r="F991" s="88"/>
      <c r="G991" s="88"/>
      <c r="H991" s="118"/>
      <c r="I991" s="182">
        <f t="shared" si="143"/>
        <v>0</v>
      </c>
      <c r="J991" s="20">
        <f t="shared" ca="1" si="144"/>
        <v>0</v>
      </c>
      <c r="K991" s="5">
        <f t="shared" ca="1" si="145"/>
        <v>0</v>
      </c>
      <c r="L991" s="61">
        <f t="shared" ca="1" si="146"/>
        <v>0</v>
      </c>
      <c r="M991" s="64">
        <f t="shared" si="147"/>
        <v>0</v>
      </c>
      <c r="N991" s="151"/>
      <c r="O991" s="5">
        <f t="shared" ca="1" si="148"/>
        <v>0</v>
      </c>
      <c r="P991" s="446" t="e">
        <f t="shared" si="149"/>
        <v>#VALUE!</v>
      </c>
      <c r="Q991" s="446" t="e">
        <f>IF(OR($B991="",MIN(Q$38,$D$19)&lt;MAX($P$708*($B991+IF($R$17="Distrato",$I$38-1,0)),IF(AND($L$711=0,$P$708=0),"",$L$711-1),IF($R$17="Distrato",$E991,0))),0,YEARFRAC(MAX($P$708*($B991+IF($R$17="Distrato",$I$38-1,0)),IF(AND($L$711=0,$P$708=0),"",$L$711-1),IF($R$17="Distrato",$E991,0)),MIN(Q$38,$D$19),$P$20))-SUM($P991:P991)</f>
        <v>#VALUE!</v>
      </c>
      <c r="R991" s="446" t="e">
        <f>IF(OR($B991="",MIN(R$38,$D$19)&lt;MAX($P$708*($B991+IF($R$17="Distrato",$I$38-1,0)),IF(AND($L$711=0,$P$708=0),"",$L$711-1),IF($R$17="Distrato",$E991,0))),0,YEARFRAC(MAX($P$708*($B991+IF($R$17="Distrato",$I$38-1,0)),IF(AND($L$711=0,$P$708=0),"",$L$711-1),IF($R$17="Distrato",$E991,0)),MIN(R$38,$D$19),$P$20))-SUM($P991:Q991)</f>
        <v>#VALUE!</v>
      </c>
      <c r="S991" s="446" t="e">
        <f>IF(OR($B991="",MIN(S$38,$D$19)&lt;MAX($P$708*($B991+IF($R$17="Distrato",$I$38-1,0)),IF(AND($L$711=0,$P$708=0),"",$L$711-1),IF($R$17="Distrato",$E991,0))),0,YEARFRAC(MAX($P$708*($B991+IF($R$17="Distrato",$I$38-1,0)),IF(AND($L$711=0,$P$708=0),"",$L$711-1),IF($R$17="Distrato",$E991,0)),MIN(S$38,$D$19),$P$20))-SUM($P991:R991)</f>
        <v>#VALUE!</v>
      </c>
      <c r="T991" s="446" t="e">
        <f>IF(OR($B991="",MIN(T$38,$D$19)&lt;MAX($P$708*($B991+IF($R$17="Distrato",$I$38-1,0)),IF(AND($L$711=0,$P$708=0),"",$L$711-1),IF($R$17="Distrato",$E991,0))),0,YEARFRAC(MAX($P$708*($B991+IF($R$17="Distrato",$I$38-1,0)),IF(AND($L$711=0,$P$708=0),"",$L$711-1),IF($R$17="Distrato",$E991,0)),MIN(T$38,$D$19),$P$20))-SUM($P991:S991)</f>
        <v>#VALUE!</v>
      </c>
      <c r="U991" s="446" t="e">
        <f>IF(OR($B991="",MIN(U$38,$D$19)&lt;MAX($P$708*($B991+IF($R$17="Distrato",$I$38-1,0)),IF(AND($L$711=0,$P$708=0),"",$L$711-1),IF($R$17="Distrato",$E991,0))),0,YEARFRAC(MAX($P$708*($B991+IF($R$17="Distrato",$I$38-1,0)),IF(AND($L$711=0,$P$708=0),"",$L$711-1),IF($R$17="Distrato",$E991,0)),MIN(U$38,$D$19),$P$20))-SUM($P991:T991)</f>
        <v>#VALUE!</v>
      </c>
      <c r="V991" s="446" t="e">
        <f>IF(OR($B991="",MIN(V$38,$D$19)&lt;MAX($P$708*($B991+IF($R$17="Distrato",$I$38-1,0)),IF(AND($L$711=0,$P$708=0),"",$L$711-1),IF($R$17="Distrato",$E991,0))),0,YEARFRAC(MAX($P$708*($B991+IF($R$17="Distrato",$I$38-1,0)),IF(AND($L$711=0,$P$708=0),"",$L$711-1),IF($R$17="Distrato",$E991,0)),MIN(V$38,$D$19),$P$20))-SUM($P991:U991)</f>
        <v>#VALUE!</v>
      </c>
      <c r="W991" s="446" t="e">
        <f>IF(OR($B991="",MIN(W$38,$D$19)&lt;MAX($P$708*($B991+IF($R$17="Distrato",$I$38-1,0)),IF(AND($L$711=0,$P$708=0),"",$L$711-1),IF($R$17="Distrato",$E991,0))),0,YEARFRAC(MAX($P$708*($B991+IF($R$17="Distrato",$I$38-1,0)),IF(AND($L$711=0,$P$708=0),"",$L$711-1),IF($R$17="Distrato",$E991,0)),MIN(W$38,$D$19),$P$20))-SUM($P991:V991)</f>
        <v>#VALUE!</v>
      </c>
      <c r="X991" s="446" t="e">
        <f>IF(OR($B991="",MIN(X$38,$D$19)&lt;MAX($P$708*($B991+IF($R$17="Distrato",$I$38-1,0)),IF(AND($L$711=0,$P$708=0),"",$L$711-1),IF($R$17="Distrato",$E991,0))),0,YEARFRAC(MAX($P$708*($B991+IF($R$17="Distrato",$I$38-1,0)),IF(AND($L$711=0,$P$708=0),"",$L$711-1),IF($R$17="Distrato",$E991,0)),MIN(X$38,$D$19),$P$20))-SUM($P991:W991)</f>
        <v>#VALUE!</v>
      </c>
      <c r="Y991" s="446" t="e">
        <f>IF(OR($B991="",MIN(Y$38,$D$19)&lt;MAX($P$708*($B991+IF($R$17="Distrato",$I$38-1,0)),IF(AND($L$711=0,$P$708=0),"",$L$711-1),IF($R$17="Distrato",$E991,0))),0,YEARFRAC(MAX($P$708*($B991+IF($R$17="Distrato",$I$38-1,0)),IF(AND($L$711=0,$P$708=0),"",$L$711-1),IF($R$17="Distrato",$E991,0)),MIN(Y$38,$D$19),$P$20))-SUM($P991:X991)</f>
        <v>#VALUE!</v>
      </c>
      <c r="Z991" s="446" t="e">
        <f>IF(OR($B991="",MIN(Z$38,$D$19)&lt;MAX($P$708*($B991+IF($R$17="Distrato",$I$38-1,0)),IF(AND($L$711=0,$P$708=0),"",$L$711-1),IF($R$17="Distrato",$E991,0))),0,YEARFRAC(MAX($P$708*($B991+IF($R$17="Distrato",$I$38-1,0)),IF(AND($L$711=0,$P$708=0),"",$L$711-1),IF($R$17="Distrato",$E991,0)),MIN(Z$38,$D$19),$P$20))-SUM($P991:Y991)</f>
        <v>#VALUE!</v>
      </c>
      <c r="AA991" s="446" t="e">
        <f>IF(OR($B991="",MIN(AA$38,$D$19)&lt;MAX($P$708*($B991+IF($R$17="Distrato",$I$38-1,0)),IF(AND($L$711=0,$P$708=0),"",$L$711-1),IF($R$17="Distrato",$E991,0))),0,YEARFRAC(MAX($P$708*($B991+IF($R$17="Distrato",$I$38-1,0)),IF(AND($L$711=0,$P$708=0),"",$L$711-1),IF($R$17="Distrato",$E991,0)),MIN(AA$38,$D$19),$P$20))-SUM($P991:Z991)</f>
        <v>#VALUE!</v>
      </c>
      <c r="AB991" s="446" t="e">
        <f>IF(OR($B991="",MIN(AB$38,$D$19)&lt;MAX($P$708*($B991+IF($R$17="Distrato",$I$38-1,0)),IF(AND($L$711=0,$P$708=0),"",$L$711-1),IF($R$17="Distrato",$E991,0))),0,YEARFRAC(MAX($P$708*($B991+IF($R$17="Distrato",$I$38-1,0)),IF(AND($L$711=0,$P$708=0),"",$L$711-1),IF($R$17="Distrato",$E991,0)),MIN(AB$38,$D$19),$P$20))-SUM($P991:AA991)</f>
        <v>#VALUE!</v>
      </c>
      <c r="AC991" s="446" t="e">
        <f>IF(OR($B991="",MIN(AC$38,$D$19)&lt;MAX($P$708*($B991+IF($R$17="Distrato",$I$38-1,0)),IF(AND($L$711=0,$P$708=0),"",$L$711-1),IF($R$17="Distrato",$E991,0))),0,YEARFRAC(MAX($P$708*($B991+IF($R$17="Distrato",$I$38-1,0)),IF(AND($L$711=0,$P$708=0),"",$L$711-1),IF($R$17="Distrato",$E991,0)),MIN(AC$38,$D$19),$P$20))-SUM($P991:AB991)</f>
        <v>#VALUE!</v>
      </c>
      <c r="AD991" s="446" t="e">
        <f>IF(OR($B991="",MIN(AD$38,$D$19)&lt;MAX($P$708*($B991+IF($R$17="Distrato",$I$38-1,0)),IF(AND($L$711=0,$P$708=0),"",$L$711-1),IF($R$17="Distrato",$E991,0))),0,YEARFRAC(MAX($P$708*($B991+IF($R$17="Distrato",$I$38-1,0)),IF(AND($L$711=0,$P$708=0),"",$L$711-1),IF($R$17="Distrato",$E991,0)),MIN(AD$38,$D$19),$P$20))-SUM($P991:AC991)</f>
        <v>#VALUE!</v>
      </c>
      <c r="AE991" s="446" t="e">
        <f>IF(OR($B991="",MIN(AE$38,$D$19)&lt;MAX($P$708*($B991+IF($R$17="Distrato",$I$38-1,0)),IF(AND($L$711=0,$P$708=0),"",$L$711-1),IF($R$17="Distrato",$E991,0))),0,YEARFRAC(MAX($P$708*($B991+IF($R$17="Distrato",$I$38-1,0)),IF(AND($L$711=0,$P$708=0),"",$L$711-1),IF($R$17="Distrato",$E991,0)),MIN(AE$38,$D$19),$P$20))-SUM($P991:AD991)</f>
        <v>#VALUE!</v>
      </c>
      <c r="AF991" s="446" t="e">
        <f>IF(OR($B991="",MIN(AF$38,$D$19)&lt;MAX($P$708*($B991+IF($R$17="Distrato",$I$38-1,0)),IF(AND($L$711=0,$P$708=0),"",$L$711-1),IF($R$17="Distrato",$E991,0))),0,YEARFRAC(MAX($P$708*($B991+IF($R$17="Distrato",$I$38-1,0)),IF(AND($L$711=0,$P$708=0),"",$L$711-1),IF($R$17="Distrato",$E991,0)),MIN(AF$38,$D$19),$P$20))-SUM($P991:AE991)</f>
        <v>#VALUE!</v>
      </c>
      <c r="AG991" s="446" t="e">
        <f>IF(OR($B991="",MIN(AG$38,$D$19)&lt;MAX($P$708*($B991+IF($R$17="Distrato",$I$38-1,0)),IF(AND($L$711=0,$P$708=0),"",$L$711-1),IF($R$17="Distrato",$E991,0))),0,YEARFRAC(MAX($P$708*($B991+IF($R$17="Distrato",$I$38-1,0)),IF(AND($L$711=0,$P$708=0),"",$L$711-1),IF($R$17="Distrato",$E991,0)),MIN(AG$38,$D$19),$P$20))-SUM($P991:AF991)</f>
        <v>#VALUE!</v>
      </c>
      <c r="AH991" s="446" t="e">
        <f>IF(OR($B991="",MIN(AH$38,$D$19)&lt;MAX($P$708*($B991+IF($R$17="Distrato",$I$38-1,0)),IF(AND($L$711=0,$P$708=0),"",$L$711-1),IF($R$17="Distrato",$E991,0))),0,YEARFRAC(MAX($P$708*($B991+IF($R$17="Distrato",$I$38-1,0)),IF(AND($L$711=0,$P$708=0),"",$L$711-1),IF($R$17="Distrato",$E991,0)),MIN(AH$38,$D$19),$P$20))-SUM($P991:AG991)</f>
        <v>#VALUE!</v>
      </c>
      <c r="AI991" s="446" t="e">
        <f>IF(OR($B991="",MIN(AI$38,$D$19)&lt;MAX($P$708*($B991+IF($R$17="Distrato",$I$38-1,0)),IF(AND($L$711=0,$P$708=0),"",$L$711-1),IF($R$17="Distrato",$E991,0))),0,YEARFRAC(MAX($P$708*($B991+IF($R$17="Distrato",$I$38-1,0)),IF(AND($L$711=0,$P$708=0),"",$L$711-1),IF($R$17="Distrato",$E991,0)),MIN(AI$38,$D$19),$P$20))-SUM($P991:AH991)</f>
        <v>#VALUE!</v>
      </c>
      <c r="AJ991" s="446" t="e">
        <f>IF(OR($B991="",MIN(AJ$38,$D$19)&lt;MAX($P$708*($B991+IF($R$17="Distrato",$I$38-1,0)),IF(AND($L$711=0,$P$708=0),"",$L$711-1),IF($R$17="Distrato",$E991,0))),0,YEARFRAC(MAX($P$708*($B991+IF($R$17="Distrato",$I$38-1,0)),IF(AND($L$711=0,$P$708=0),"",$L$711-1),IF($R$17="Distrato",$E991,0)),MIN(AJ$38,$D$19),$P$20))-SUM($P991:AI991)</f>
        <v>#VALUE!</v>
      </c>
      <c r="AK991" s="446" t="e">
        <f>IF(OR($B991="",MIN(AK$38,$D$19)&lt;MAX($P$708*($B991+IF($R$17="Distrato",$I$38-1,0)),IF(AND($L$711=0,$P$708=0),"",$L$711-1),IF($R$17="Distrato",$E991,0))),0,YEARFRAC(MAX($P$708*($B991+IF($R$17="Distrato",$I$38-1,0)),IF(AND($L$711=0,$P$708=0),"",$L$711-1),IF($R$17="Distrato",$E991,0)),MIN(AK$38,$D$19),$P$20))-SUM($P991:AJ991)</f>
        <v>#VALUE!</v>
      </c>
      <c r="AL991" s="446" t="e">
        <f>IF(OR($B991="",MIN(AL$38,$D$19)&lt;MAX($P$708*($B991+IF($R$17="Distrato",$I$38-1,0)),IF(AND($L$711=0,$P$708=0),"",$L$711-1),IF($R$17="Distrato",$E991,0))),0,YEARFRAC(MAX($P$708*($B991+IF($R$17="Distrato",$I$38-1,0)),IF(AND($L$711=0,$P$708=0),"",$L$711-1),IF($R$17="Distrato",$E991,0)),MIN(AL$38,$D$19),$P$20))-SUM($P991:AK991)</f>
        <v>#VALUE!</v>
      </c>
      <c r="AM991" s="446" t="e">
        <f>IF(OR($B991="",MIN(AM$38,$D$19)&lt;MAX($P$708*($B991+IF($R$17="Distrato",$I$38-1,0)),IF(AND($L$711=0,$P$708=0),"",$L$711-1),IF($R$17="Distrato",$E991,0))),0,YEARFRAC(MAX($P$708*($B991+IF($R$17="Distrato",$I$38-1,0)),IF(AND($L$711=0,$P$708=0),"",$L$711-1),IF($R$17="Distrato",$E991,0)),MIN(AM$38,$D$19),$P$20))-SUM($P991:AL991)</f>
        <v>#VALUE!</v>
      </c>
      <c r="AN991" s="446" t="e">
        <f>IF(OR($B991="",MIN(AN$38,$D$19)&lt;MAX($P$708*($B991+IF($R$17="Distrato",$I$38-1,0)),IF(AND($L$711=0,$P$708=0),"",$L$711-1),IF($R$17="Distrato",$E991,0))),0,YEARFRAC(MAX($P$708*($B991+IF($R$17="Distrato",$I$38-1,0)),IF(AND($L$711=0,$P$708=0),"",$L$711-1),IF($R$17="Distrato",$E991,0)),MIN(AN$38,$D$19),$P$20))-SUM($P991:AM991)</f>
        <v>#VALUE!</v>
      </c>
      <c r="AO991" s="446" t="e">
        <f>IF(OR($B991="",MIN(AO$38,$D$19)&lt;MAX($P$708*($B991+IF($R$17="Distrato",$I$38-1,0)),IF(AND($L$711=0,$P$708=0),"",$L$711-1),IF($R$17="Distrato",$E991,0))),0,YEARFRAC(MAX($P$708*($B991+IF($R$17="Distrato",$I$38-1,0)),IF(AND($L$711=0,$P$708=0),"",$L$711-1),IF($R$17="Distrato",$E991,0)),MIN(AO$38,$D$19),$P$20))-SUM($P991:AN991)</f>
        <v>#VALUE!</v>
      </c>
      <c r="AP991" s="446" t="e">
        <f>IF(OR($B991="",MIN(AP$38,$D$19)&lt;MAX($P$708*($B991+IF($R$17="Distrato",$I$38-1,0)),IF(AND($L$711=0,$P$708=0),"",$L$711-1),IF($R$17="Distrato",$E991,0))),0,YEARFRAC(MAX($P$708*($B991+IF($R$17="Distrato",$I$38-1,0)),IF(AND($L$711=0,$P$708=0),"",$L$711-1),IF($R$17="Distrato",$E991,0)),MIN(AP$38,$D$19),$P$20))-SUM($P991:AO991)</f>
        <v>#VALUE!</v>
      </c>
      <c r="AQ991" s="446" t="e">
        <f>IF(OR($B991="",MIN(AQ$38,$D$19)&lt;MAX($P$708*($B991+IF($R$17="Distrato",$I$38-1,0)),IF(AND($L$711=0,$P$708=0),"",$L$711-1),IF($R$17="Distrato",$E991,0))),0,YEARFRAC(MAX($P$708*($B991+IF($R$17="Distrato",$I$38-1,0)),IF(AND($L$711=0,$P$708=0),"",$L$711-1),IF($R$17="Distrato",$E991,0)),MIN(AQ$38,$D$19),$P$20))-SUM($P991:AP991)</f>
        <v>#VALUE!</v>
      </c>
      <c r="AR991" s="446" t="e">
        <f>IF(OR($B991="",MIN(AR$38,$D$19)&lt;MAX($P$708*($B991+IF($R$17="Distrato",$I$38-1,0)),IF(AND($L$711=0,$P$708=0),"",$L$711-1),IF($R$17="Distrato",$E991,0))),0,YEARFRAC(MAX($P$708*($B991+IF($R$17="Distrato",$I$38-1,0)),IF(AND($L$711=0,$P$708=0),"",$L$711-1),IF($R$17="Distrato",$E991,0)),MIN(AR$38,$D$19),$P$20))-SUM($P991:AQ991)</f>
        <v>#VALUE!</v>
      </c>
      <c r="AS991" s="446" t="e">
        <f>IF(OR($B991="",MIN(AS$38,$D$19)&lt;MAX($P$708*($B991+IF($R$17="Distrato",$I$38-1,0)),IF(AND($L$711=0,$P$708=0),"",$L$711-1),IF($R$17="Distrato",$E991,0))),0,YEARFRAC(MAX($P$708*($B991+IF($R$17="Distrato",$I$38-1,0)),IF(AND($L$711=0,$P$708=0),"",$L$711-1),IF($R$17="Distrato",$E991,0)),MIN(AS$38,$D$19),$P$20))-SUM($P991:AR991)</f>
        <v>#VALUE!</v>
      </c>
      <c r="AT991" s="446" t="e">
        <f>IF(OR($B991="",MIN(AT$38,$D$19)&lt;MAX($P$708*($B991+IF($R$17="Distrato",$I$38-1,0)),IF(AND($L$711=0,$P$708=0),"",$L$711-1),IF($R$17="Distrato",$E991,0))),0,YEARFRAC(MAX($P$708*($B991+IF($R$17="Distrato",$I$38-1,0)),IF(AND($L$711=0,$P$708=0),"",$L$711-1),IF($R$17="Distrato",$E991,0)),MIN(AT$38,$D$19),$P$20))-SUM($P991:AS991)</f>
        <v>#VALUE!</v>
      </c>
      <c r="AU991" s="446" t="e">
        <f>IF(OR($B991="",MIN(AU$38,$D$19)&lt;MAX($P$708*($B991+IF($R$17="Distrato",$I$38-1,0)),IF(AND($L$711=0,$P$708=0),"",$L$711-1),IF($R$17="Distrato",$E991,0))),0,YEARFRAC(MAX($P$708*($B991+IF($R$17="Distrato",$I$38-1,0)),IF(AND($L$711=0,$P$708=0),"",$L$711-1),IF($R$17="Distrato",$E991,0)),MIN(AU$38,$D$19),$P$20))-SUM($P991:AT991)</f>
        <v>#VALUE!</v>
      </c>
      <c r="AV991" s="446" t="e">
        <f>IF(OR($B991="",MIN(AV$38,$D$19)&lt;MAX($P$708*($B991+IF($R$17="Distrato",$I$38-1,0)),IF(AND($L$711=0,$P$708=0),"",$L$711-1),IF($R$17="Distrato",$E991,0))),0,YEARFRAC(MAX($P$708*($B991+IF($R$17="Distrato",$I$38-1,0)),IF(AND($L$711=0,$P$708=0),"",$L$711-1),IF($R$17="Distrato",$E991,0)),MIN(AV$38,$D$19),$P$20))-SUM($P991:AU991)</f>
        <v>#VALUE!</v>
      </c>
      <c r="AW991" s="446" t="e">
        <f>IF(OR($B991="",MIN(AW$38,$D$19)&lt;MAX($P$708*($B991+IF($R$17="Distrato",$I$38-1,0)),IF(AND($L$711=0,$P$708=0),"",$L$711-1),IF($R$17="Distrato",$E991,0))),0,YEARFRAC(MAX($P$708*($B991+IF($R$17="Distrato",$I$38-1,0)),IF(AND($L$711=0,$P$708=0),"",$L$711-1),IF($R$17="Distrato",$E991,0)),MIN(AW$38,$D$19),$P$20))-SUM($P991:AV991)</f>
        <v>#VALUE!</v>
      </c>
      <c r="AX991" s="446" t="e">
        <f>IF(OR($B991="",MIN(AX$38,$D$19)&lt;MAX($P$708*($B991+IF($R$17="Distrato",$I$38-1,0)),IF(AND($L$711=0,$P$708=0),"",$L$711-1),IF($R$17="Distrato",$E991,0))),0,YEARFRAC(MAX($P$708*($B991+IF($R$17="Distrato",$I$38-1,0)),IF(AND($L$711=0,$P$708=0),"",$L$711-1),IF($R$17="Distrato",$E991,0)),MIN(AX$38,$D$19),$P$20))-SUM($P991:AW991)</f>
        <v>#VALUE!</v>
      </c>
      <c r="AY991" s="446" t="e">
        <f>IF(OR($B991="",MIN(AY$38,$D$19)&lt;MAX($P$708*($B991+IF($R$17="Distrato",$I$38-1,0)),IF(AND($L$711=0,$P$708=0),"",$L$711-1),IF($R$17="Distrato",$E991,0))),0,YEARFRAC(MAX($P$708*($B991+IF($R$17="Distrato",$I$38-1,0)),IF(AND($L$711=0,$P$708=0),"",$L$711-1),IF($R$17="Distrato",$E991,0)),MIN(AY$38,$D$19),$P$20))-SUM($P991:AX991)</f>
        <v>#VALUE!</v>
      </c>
      <c r="AZ991" s="446" t="e">
        <f>IF(OR($B991="",MIN(AZ$38,$D$19)&lt;MAX($P$708*($B991+IF($R$17="Distrato",$I$38-1,0)),IF(AND($L$711=0,$P$708=0),"",$L$711-1),IF($R$17="Distrato",$E991,0))),0,YEARFRAC(MAX($P$708*($B991+IF($R$17="Distrato",$I$38-1,0)),IF(AND($L$711=0,$P$708=0),"",$L$711-1),IF($R$17="Distrato",$E991,0)),MIN(AZ$38,$D$19),$P$20))-SUM($P991:AY991)</f>
        <v>#VALUE!</v>
      </c>
      <c r="BA991" s="446" t="e">
        <f>IF(OR($B991="",MIN(BA$38,$D$19)&lt;MAX($P$708*($B991+IF($R$17="Distrato",$I$38-1,0)),IF(AND($L$711=0,$P$708=0),"",$L$711-1),IF($R$17="Distrato",$E991,0))),0,YEARFRAC(MAX($P$708*($B991+IF($R$17="Distrato",$I$38-1,0)),IF(AND($L$711=0,$P$708=0),"",$L$711-1),IF($R$17="Distrato",$E991,0)),MIN(BA$38,$D$19),$P$20))-SUM($P991:AZ991)</f>
        <v>#VALUE!</v>
      </c>
      <c r="BB991" s="447"/>
    </row>
    <row r="992" spans="1:54" s="446" customFormat="1" ht="11.25" hidden="1" customHeight="1" x14ac:dyDescent="0.2">
      <c r="A992" s="235"/>
      <c r="B992" s="236"/>
      <c r="C992" s="29" t="str">
        <f>IF(B992="","",IF($L$709=$BL$25,VLOOKUP(DATE(YEAR($D$19),MONTH($D$19)-1,1),ÍNDICES!$A:$DE,HLOOKUP($BL$25,ÍNDICES!$B$3:$T$4,2)+11)-VLOOKUP(B992,ÍNDICES!$A:$DE,HLOOKUP($BL$25,ÍNDICES!$B$3:$T$4,2)+11)+1%,IF(C$712=$W$26,$J$35,IF(ISERROR(IF(B992&gt;$D$19,1,VLOOKUP(DATE(YEAR(B992),MONTH(B992)+IF($C$709=$S$23,1,0),1),ÍNDICES!$A:$DE,$Z$709+1))),"",IF(B992&gt;$D$19,1,VLOOKUP(DATE(YEAR(B992),MONTH(B992)+IF($C$709=$S$23,1,0),1),ÍNDICES!$A:$DE,$Z$709+1))))))</f>
        <v/>
      </c>
      <c r="D992" s="155"/>
      <c r="E992" s="88"/>
      <c r="F992" s="88"/>
      <c r="G992" s="88"/>
      <c r="H992" s="118"/>
      <c r="I992" s="182">
        <f t="shared" si="143"/>
        <v>0</v>
      </c>
      <c r="J992" s="20">
        <f t="shared" ca="1" si="144"/>
        <v>0</v>
      </c>
      <c r="K992" s="5">
        <f t="shared" ca="1" si="145"/>
        <v>0</v>
      </c>
      <c r="L992" s="61">
        <f t="shared" ca="1" si="146"/>
        <v>0</v>
      </c>
      <c r="M992" s="64">
        <f t="shared" si="147"/>
        <v>0</v>
      </c>
      <c r="N992" s="151"/>
      <c r="O992" s="5">
        <f t="shared" ca="1" si="148"/>
        <v>0</v>
      </c>
      <c r="P992" s="446" t="e">
        <f t="shared" si="149"/>
        <v>#VALUE!</v>
      </c>
      <c r="Q992" s="446" t="e">
        <f>IF(OR($B992="",MIN(Q$38,$D$19)&lt;MAX($P$708*($B992+IF($R$17="Distrato",$I$38-1,0)),IF(AND($L$711=0,$P$708=0),"",$L$711-1),IF($R$17="Distrato",$E992,0))),0,YEARFRAC(MAX($P$708*($B992+IF($R$17="Distrato",$I$38-1,0)),IF(AND($L$711=0,$P$708=0),"",$L$711-1),IF($R$17="Distrato",$E992,0)),MIN(Q$38,$D$19),$P$20))-SUM($P992:P992)</f>
        <v>#VALUE!</v>
      </c>
      <c r="R992" s="446" t="e">
        <f>IF(OR($B992="",MIN(R$38,$D$19)&lt;MAX($P$708*($B992+IF($R$17="Distrato",$I$38-1,0)),IF(AND($L$711=0,$P$708=0),"",$L$711-1),IF($R$17="Distrato",$E992,0))),0,YEARFRAC(MAX($P$708*($B992+IF($R$17="Distrato",$I$38-1,0)),IF(AND($L$711=0,$P$708=0),"",$L$711-1),IF($R$17="Distrato",$E992,0)),MIN(R$38,$D$19),$P$20))-SUM($P992:Q992)</f>
        <v>#VALUE!</v>
      </c>
      <c r="S992" s="446" t="e">
        <f>IF(OR($B992="",MIN(S$38,$D$19)&lt;MAX($P$708*($B992+IF($R$17="Distrato",$I$38-1,0)),IF(AND($L$711=0,$P$708=0),"",$L$711-1),IF($R$17="Distrato",$E992,0))),0,YEARFRAC(MAX($P$708*($B992+IF($R$17="Distrato",$I$38-1,0)),IF(AND($L$711=0,$P$708=0),"",$L$711-1),IF($R$17="Distrato",$E992,0)),MIN(S$38,$D$19),$P$20))-SUM($P992:R992)</f>
        <v>#VALUE!</v>
      </c>
      <c r="T992" s="446" t="e">
        <f>IF(OR($B992="",MIN(T$38,$D$19)&lt;MAX($P$708*($B992+IF($R$17="Distrato",$I$38-1,0)),IF(AND($L$711=0,$P$708=0),"",$L$711-1),IF($R$17="Distrato",$E992,0))),0,YEARFRAC(MAX($P$708*($B992+IF($R$17="Distrato",$I$38-1,0)),IF(AND($L$711=0,$P$708=0),"",$L$711-1),IF($R$17="Distrato",$E992,0)),MIN(T$38,$D$19),$P$20))-SUM($P992:S992)</f>
        <v>#VALUE!</v>
      </c>
      <c r="U992" s="446" t="e">
        <f>IF(OR($B992="",MIN(U$38,$D$19)&lt;MAX($P$708*($B992+IF($R$17="Distrato",$I$38-1,0)),IF(AND($L$711=0,$P$708=0),"",$L$711-1),IF($R$17="Distrato",$E992,0))),0,YEARFRAC(MAX($P$708*($B992+IF($R$17="Distrato",$I$38-1,0)),IF(AND($L$711=0,$P$708=0),"",$L$711-1),IF($R$17="Distrato",$E992,0)),MIN(U$38,$D$19),$P$20))-SUM($P992:T992)</f>
        <v>#VALUE!</v>
      </c>
      <c r="V992" s="446" t="e">
        <f>IF(OR($B992="",MIN(V$38,$D$19)&lt;MAX($P$708*($B992+IF($R$17="Distrato",$I$38-1,0)),IF(AND($L$711=0,$P$708=0),"",$L$711-1),IF($R$17="Distrato",$E992,0))),0,YEARFRAC(MAX($P$708*($B992+IF($R$17="Distrato",$I$38-1,0)),IF(AND($L$711=0,$P$708=0),"",$L$711-1),IF($R$17="Distrato",$E992,0)),MIN(V$38,$D$19),$P$20))-SUM($P992:U992)</f>
        <v>#VALUE!</v>
      </c>
      <c r="W992" s="446" t="e">
        <f>IF(OR($B992="",MIN(W$38,$D$19)&lt;MAX($P$708*($B992+IF($R$17="Distrato",$I$38-1,0)),IF(AND($L$711=0,$P$708=0),"",$L$711-1),IF($R$17="Distrato",$E992,0))),0,YEARFRAC(MAX($P$708*($B992+IF($R$17="Distrato",$I$38-1,0)),IF(AND($L$711=0,$P$708=0),"",$L$711-1),IF($R$17="Distrato",$E992,0)),MIN(W$38,$D$19),$P$20))-SUM($P992:V992)</f>
        <v>#VALUE!</v>
      </c>
      <c r="X992" s="446" t="e">
        <f>IF(OR($B992="",MIN(X$38,$D$19)&lt;MAX($P$708*($B992+IF($R$17="Distrato",$I$38-1,0)),IF(AND($L$711=0,$P$708=0),"",$L$711-1),IF($R$17="Distrato",$E992,0))),0,YEARFRAC(MAX($P$708*($B992+IF($R$17="Distrato",$I$38-1,0)),IF(AND($L$711=0,$P$708=0),"",$L$711-1),IF($R$17="Distrato",$E992,0)),MIN(X$38,$D$19),$P$20))-SUM($P992:W992)</f>
        <v>#VALUE!</v>
      </c>
      <c r="Y992" s="446" t="e">
        <f>IF(OR($B992="",MIN(Y$38,$D$19)&lt;MAX($P$708*($B992+IF($R$17="Distrato",$I$38-1,0)),IF(AND($L$711=0,$P$708=0),"",$L$711-1),IF($R$17="Distrato",$E992,0))),0,YEARFRAC(MAX($P$708*($B992+IF($R$17="Distrato",$I$38-1,0)),IF(AND($L$711=0,$P$708=0),"",$L$711-1),IF($R$17="Distrato",$E992,0)),MIN(Y$38,$D$19),$P$20))-SUM($P992:X992)</f>
        <v>#VALUE!</v>
      </c>
      <c r="Z992" s="446" t="e">
        <f>IF(OR($B992="",MIN(Z$38,$D$19)&lt;MAX($P$708*($B992+IF($R$17="Distrato",$I$38-1,0)),IF(AND($L$711=0,$P$708=0),"",$L$711-1),IF($R$17="Distrato",$E992,0))),0,YEARFRAC(MAX($P$708*($B992+IF($R$17="Distrato",$I$38-1,0)),IF(AND($L$711=0,$P$708=0),"",$L$711-1),IF($R$17="Distrato",$E992,0)),MIN(Z$38,$D$19),$P$20))-SUM($P992:Y992)</f>
        <v>#VALUE!</v>
      </c>
      <c r="AA992" s="446" t="e">
        <f>IF(OR($B992="",MIN(AA$38,$D$19)&lt;MAX($P$708*($B992+IF($R$17="Distrato",$I$38-1,0)),IF(AND($L$711=0,$P$708=0),"",$L$711-1),IF($R$17="Distrato",$E992,0))),0,YEARFRAC(MAX($P$708*($B992+IF($R$17="Distrato",$I$38-1,0)),IF(AND($L$711=0,$P$708=0),"",$L$711-1),IF($R$17="Distrato",$E992,0)),MIN(AA$38,$D$19),$P$20))-SUM($P992:Z992)</f>
        <v>#VALUE!</v>
      </c>
      <c r="AB992" s="446" t="e">
        <f>IF(OR($B992="",MIN(AB$38,$D$19)&lt;MAX($P$708*($B992+IF($R$17="Distrato",$I$38-1,0)),IF(AND($L$711=0,$P$708=0),"",$L$711-1),IF($R$17="Distrato",$E992,0))),0,YEARFRAC(MAX($P$708*($B992+IF($R$17="Distrato",$I$38-1,0)),IF(AND($L$711=0,$P$708=0),"",$L$711-1),IF($R$17="Distrato",$E992,0)),MIN(AB$38,$D$19),$P$20))-SUM($P992:AA992)</f>
        <v>#VALUE!</v>
      </c>
      <c r="AC992" s="446" t="e">
        <f>IF(OR($B992="",MIN(AC$38,$D$19)&lt;MAX($P$708*($B992+IF($R$17="Distrato",$I$38-1,0)),IF(AND($L$711=0,$P$708=0),"",$L$711-1),IF($R$17="Distrato",$E992,0))),0,YEARFRAC(MAX($P$708*($B992+IF($R$17="Distrato",$I$38-1,0)),IF(AND($L$711=0,$P$708=0),"",$L$711-1),IF($R$17="Distrato",$E992,0)),MIN(AC$38,$D$19),$P$20))-SUM($P992:AB992)</f>
        <v>#VALUE!</v>
      </c>
      <c r="AD992" s="446" t="e">
        <f>IF(OR($B992="",MIN(AD$38,$D$19)&lt;MAX($P$708*($B992+IF($R$17="Distrato",$I$38-1,0)),IF(AND($L$711=0,$P$708=0),"",$L$711-1),IF($R$17="Distrato",$E992,0))),0,YEARFRAC(MAX($P$708*($B992+IF($R$17="Distrato",$I$38-1,0)),IF(AND($L$711=0,$P$708=0),"",$L$711-1),IF($R$17="Distrato",$E992,0)),MIN(AD$38,$D$19),$P$20))-SUM($P992:AC992)</f>
        <v>#VALUE!</v>
      </c>
      <c r="AE992" s="446" t="e">
        <f>IF(OR($B992="",MIN(AE$38,$D$19)&lt;MAX($P$708*($B992+IF($R$17="Distrato",$I$38-1,0)),IF(AND($L$711=0,$P$708=0),"",$L$711-1),IF($R$17="Distrato",$E992,0))),0,YEARFRAC(MAX($P$708*($B992+IF($R$17="Distrato",$I$38-1,0)),IF(AND($L$711=0,$P$708=0),"",$L$711-1),IF($R$17="Distrato",$E992,0)),MIN(AE$38,$D$19),$P$20))-SUM($P992:AD992)</f>
        <v>#VALUE!</v>
      </c>
      <c r="AF992" s="446" t="e">
        <f>IF(OR($B992="",MIN(AF$38,$D$19)&lt;MAX($P$708*($B992+IF($R$17="Distrato",$I$38-1,0)),IF(AND($L$711=0,$P$708=0),"",$L$711-1),IF($R$17="Distrato",$E992,0))),0,YEARFRAC(MAX($P$708*($B992+IF($R$17="Distrato",$I$38-1,0)),IF(AND($L$711=0,$P$708=0),"",$L$711-1),IF($R$17="Distrato",$E992,0)),MIN(AF$38,$D$19),$P$20))-SUM($P992:AE992)</f>
        <v>#VALUE!</v>
      </c>
      <c r="AG992" s="446" t="e">
        <f>IF(OR($B992="",MIN(AG$38,$D$19)&lt;MAX($P$708*($B992+IF($R$17="Distrato",$I$38-1,0)),IF(AND($L$711=0,$P$708=0),"",$L$711-1),IF($R$17="Distrato",$E992,0))),0,YEARFRAC(MAX($P$708*($B992+IF($R$17="Distrato",$I$38-1,0)),IF(AND($L$711=0,$P$708=0),"",$L$711-1),IF($R$17="Distrato",$E992,0)),MIN(AG$38,$D$19),$P$20))-SUM($P992:AF992)</f>
        <v>#VALUE!</v>
      </c>
      <c r="AH992" s="446" t="e">
        <f>IF(OR($B992="",MIN(AH$38,$D$19)&lt;MAX($P$708*($B992+IF($R$17="Distrato",$I$38-1,0)),IF(AND($L$711=0,$P$708=0),"",$L$711-1),IF($R$17="Distrato",$E992,0))),0,YEARFRAC(MAX($P$708*($B992+IF($R$17="Distrato",$I$38-1,0)),IF(AND($L$711=0,$P$708=0),"",$L$711-1),IF($R$17="Distrato",$E992,0)),MIN(AH$38,$D$19),$P$20))-SUM($P992:AG992)</f>
        <v>#VALUE!</v>
      </c>
      <c r="AI992" s="446" t="e">
        <f>IF(OR($B992="",MIN(AI$38,$D$19)&lt;MAX($P$708*($B992+IF($R$17="Distrato",$I$38-1,0)),IF(AND($L$711=0,$P$708=0),"",$L$711-1),IF($R$17="Distrato",$E992,0))),0,YEARFRAC(MAX($P$708*($B992+IF($R$17="Distrato",$I$38-1,0)),IF(AND($L$711=0,$P$708=0),"",$L$711-1),IF($R$17="Distrato",$E992,0)),MIN(AI$38,$D$19),$P$20))-SUM($P992:AH992)</f>
        <v>#VALUE!</v>
      </c>
      <c r="AJ992" s="446" t="e">
        <f>IF(OR($B992="",MIN(AJ$38,$D$19)&lt;MAX($P$708*($B992+IF($R$17="Distrato",$I$38-1,0)),IF(AND($L$711=0,$P$708=0),"",$L$711-1),IF($R$17="Distrato",$E992,0))),0,YEARFRAC(MAX($P$708*($B992+IF($R$17="Distrato",$I$38-1,0)),IF(AND($L$711=0,$P$708=0),"",$L$711-1),IF($R$17="Distrato",$E992,0)),MIN(AJ$38,$D$19),$P$20))-SUM($P992:AI992)</f>
        <v>#VALUE!</v>
      </c>
      <c r="AK992" s="446" t="e">
        <f>IF(OR($B992="",MIN(AK$38,$D$19)&lt;MAX($P$708*($B992+IF($R$17="Distrato",$I$38-1,0)),IF(AND($L$711=0,$P$708=0),"",$L$711-1),IF($R$17="Distrato",$E992,0))),0,YEARFRAC(MAX($P$708*($B992+IF($R$17="Distrato",$I$38-1,0)),IF(AND($L$711=0,$P$708=0),"",$L$711-1),IF($R$17="Distrato",$E992,0)),MIN(AK$38,$D$19),$P$20))-SUM($P992:AJ992)</f>
        <v>#VALUE!</v>
      </c>
      <c r="AL992" s="446" t="e">
        <f>IF(OR($B992="",MIN(AL$38,$D$19)&lt;MAX($P$708*($B992+IF($R$17="Distrato",$I$38-1,0)),IF(AND($L$711=0,$P$708=0),"",$L$711-1),IF($R$17="Distrato",$E992,0))),0,YEARFRAC(MAX($P$708*($B992+IF($R$17="Distrato",$I$38-1,0)),IF(AND($L$711=0,$P$708=0),"",$L$711-1),IF($R$17="Distrato",$E992,0)),MIN(AL$38,$D$19),$P$20))-SUM($P992:AK992)</f>
        <v>#VALUE!</v>
      </c>
      <c r="AM992" s="446" t="e">
        <f>IF(OR($B992="",MIN(AM$38,$D$19)&lt;MAX($P$708*($B992+IF($R$17="Distrato",$I$38-1,0)),IF(AND($L$711=0,$P$708=0),"",$L$711-1),IF($R$17="Distrato",$E992,0))),0,YEARFRAC(MAX($P$708*($B992+IF($R$17="Distrato",$I$38-1,0)),IF(AND($L$711=0,$P$708=0),"",$L$711-1),IF($R$17="Distrato",$E992,0)),MIN(AM$38,$D$19),$P$20))-SUM($P992:AL992)</f>
        <v>#VALUE!</v>
      </c>
      <c r="AN992" s="446" t="e">
        <f>IF(OR($B992="",MIN(AN$38,$D$19)&lt;MAX($P$708*($B992+IF($R$17="Distrato",$I$38-1,0)),IF(AND($L$711=0,$P$708=0),"",$L$711-1),IF($R$17="Distrato",$E992,0))),0,YEARFRAC(MAX($P$708*($B992+IF($R$17="Distrato",$I$38-1,0)),IF(AND($L$711=0,$P$708=0),"",$L$711-1),IF($R$17="Distrato",$E992,0)),MIN(AN$38,$D$19),$P$20))-SUM($P992:AM992)</f>
        <v>#VALUE!</v>
      </c>
      <c r="AO992" s="446" t="e">
        <f>IF(OR($B992="",MIN(AO$38,$D$19)&lt;MAX($P$708*($B992+IF($R$17="Distrato",$I$38-1,0)),IF(AND($L$711=0,$P$708=0),"",$L$711-1),IF($R$17="Distrato",$E992,0))),0,YEARFRAC(MAX($P$708*($B992+IF($R$17="Distrato",$I$38-1,0)),IF(AND($L$711=0,$P$708=0),"",$L$711-1),IF($R$17="Distrato",$E992,0)),MIN(AO$38,$D$19),$P$20))-SUM($P992:AN992)</f>
        <v>#VALUE!</v>
      </c>
      <c r="AP992" s="446" t="e">
        <f>IF(OR($B992="",MIN(AP$38,$D$19)&lt;MAX($P$708*($B992+IF($R$17="Distrato",$I$38-1,0)),IF(AND($L$711=0,$P$708=0),"",$L$711-1),IF($R$17="Distrato",$E992,0))),0,YEARFRAC(MAX($P$708*($B992+IF($R$17="Distrato",$I$38-1,0)),IF(AND($L$711=0,$P$708=0),"",$L$711-1),IF($R$17="Distrato",$E992,0)),MIN(AP$38,$D$19),$P$20))-SUM($P992:AO992)</f>
        <v>#VALUE!</v>
      </c>
      <c r="AQ992" s="446" t="e">
        <f>IF(OR($B992="",MIN(AQ$38,$D$19)&lt;MAX($P$708*($B992+IF($R$17="Distrato",$I$38-1,0)),IF(AND($L$711=0,$P$708=0),"",$L$711-1),IF($R$17="Distrato",$E992,0))),0,YEARFRAC(MAX($P$708*($B992+IF($R$17="Distrato",$I$38-1,0)),IF(AND($L$711=0,$P$708=0),"",$L$711-1),IF($R$17="Distrato",$E992,0)),MIN(AQ$38,$D$19),$P$20))-SUM($P992:AP992)</f>
        <v>#VALUE!</v>
      </c>
      <c r="AR992" s="446" t="e">
        <f>IF(OR($B992="",MIN(AR$38,$D$19)&lt;MAX($P$708*($B992+IF($R$17="Distrato",$I$38-1,0)),IF(AND($L$711=0,$P$708=0),"",$L$711-1),IF($R$17="Distrato",$E992,0))),0,YEARFRAC(MAX($P$708*($B992+IF($R$17="Distrato",$I$38-1,0)),IF(AND($L$711=0,$P$708=0),"",$L$711-1),IF($R$17="Distrato",$E992,0)),MIN(AR$38,$D$19),$P$20))-SUM($P992:AQ992)</f>
        <v>#VALUE!</v>
      </c>
      <c r="AS992" s="446" t="e">
        <f>IF(OR($B992="",MIN(AS$38,$D$19)&lt;MAX($P$708*($B992+IF($R$17="Distrato",$I$38-1,0)),IF(AND($L$711=0,$P$708=0),"",$L$711-1),IF($R$17="Distrato",$E992,0))),0,YEARFRAC(MAX($P$708*($B992+IF($R$17="Distrato",$I$38-1,0)),IF(AND($L$711=0,$P$708=0),"",$L$711-1),IF($R$17="Distrato",$E992,0)),MIN(AS$38,$D$19),$P$20))-SUM($P992:AR992)</f>
        <v>#VALUE!</v>
      </c>
      <c r="AT992" s="446" t="e">
        <f>IF(OR($B992="",MIN(AT$38,$D$19)&lt;MAX($P$708*($B992+IF($R$17="Distrato",$I$38-1,0)),IF(AND($L$711=0,$P$708=0),"",$L$711-1),IF($R$17="Distrato",$E992,0))),0,YEARFRAC(MAX($P$708*($B992+IF($R$17="Distrato",$I$38-1,0)),IF(AND($L$711=0,$P$708=0),"",$L$711-1),IF($R$17="Distrato",$E992,0)),MIN(AT$38,$D$19),$P$20))-SUM($P992:AS992)</f>
        <v>#VALUE!</v>
      </c>
      <c r="AU992" s="446" t="e">
        <f>IF(OR($B992="",MIN(AU$38,$D$19)&lt;MAX($P$708*($B992+IF($R$17="Distrato",$I$38-1,0)),IF(AND($L$711=0,$P$708=0),"",$L$711-1),IF($R$17="Distrato",$E992,0))),0,YEARFRAC(MAX($P$708*($B992+IF($R$17="Distrato",$I$38-1,0)),IF(AND($L$711=0,$P$708=0),"",$L$711-1),IF($R$17="Distrato",$E992,0)),MIN(AU$38,$D$19),$P$20))-SUM($P992:AT992)</f>
        <v>#VALUE!</v>
      </c>
      <c r="AV992" s="446" t="e">
        <f>IF(OR($B992="",MIN(AV$38,$D$19)&lt;MAX($P$708*($B992+IF($R$17="Distrato",$I$38-1,0)),IF(AND($L$711=0,$P$708=0),"",$L$711-1),IF($R$17="Distrato",$E992,0))),0,YEARFRAC(MAX($P$708*($B992+IF($R$17="Distrato",$I$38-1,0)),IF(AND($L$711=0,$P$708=0),"",$L$711-1),IF($R$17="Distrato",$E992,0)),MIN(AV$38,$D$19),$P$20))-SUM($P992:AU992)</f>
        <v>#VALUE!</v>
      </c>
      <c r="AW992" s="446" t="e">
        <f>IF(OR($B992="",MIN(AW$38,$D$19)&lt;MAX($P$708*($B992+IF($R$17="Distrato",$I$38-1,0)),IF(AND($L$711=0,$P$708=0),"",$L$711-1),IF($R$17="Distrato",$E992,0))),0,YEARFRAC(MAX($P$708*($B992+IF($R$17="Distrato",$I$38-1,0)),IF(AND($L$711=0,$P$708=0),"",$L$711-1),IF($R$17="Distrato",$E992,0)),MIN(AW$38,$D$19),$P$20))-SUM($P992:AV992)</f>
        <v>#VALUE!</v>
      </c>
      <c r="AX992" s="446" t="e">
        <f>IF(OR($B992="",MIN(AX$38,$D$19)&lt;MAX($P$708*($B992+IF($R$17="Distrato",$I$38-1,0)),IF(AND($L$711=0,$P$708=0),"",$L$711-1),IF($R$17="Distrato",$E992,0))),0,YEARFRAC(MAX($P$708*($B992+IF($R$17="Distrato",$I$38-1,0)),IF(AND($L$711=0,$P$708=0),"",$L$711-1),IF($R$17="Distrato",$E992,0)),MIN(AX$38,$D$19),$P$20))-SUM($P992:AW992)</f>
        <v>#VALUE!</v>
      </c>
      <c r="AY992" s="446" t="e">
        <f>IF(OR($B992="",MIN(AY$38,$D$19)&lt;MAX($P$708*($B992+IF($R$17="Distrato",$I$38-1,0)),IF(AND($L$711=0,$P$708=0),"",$L$711-1),IF($R$17="Distrato",$E992,0))),0,YEARFRAC(MAX($P$708*($B992+IF($R$17="Distrato",$I$38-1,0)),IF(AND($L$711=0,$P$708=0),"",$L$711-1),IF($R$17="Distrato",$E992,0)),MIN(AY$38,$D$19),$P$20))-SUM($P992:AX992)</f>
        <v>#VALUE!</v>
      </c>
      <c r="AZ992" s="446" t="e">
        <f>IF(OR($B992="",MIN(AZ$38,$D$19)&lt;MAX($P$708*($B992+IF($R$17="Distrato",$I$38-1,0)),IF(AND($L$711=0,$P$708=0),"",$L$711-1),IF($R$17="Distrato",$E992,0))),0,YEARFRAC(MAX($P$708*($B992+IF($R$17="Distrato",$I$38-1,0)),IF(AND($L$711=0,$P$708=0),"",$L$711-1),IF($R$17="Distrato",$E992,0)),MIN(AZ$38,$D$19),$P$20))-SUM($P992:AY992)</f>
        <v>#VALUE!</v>
      </c>
      <c r="BA992" s="446" t="e">
        <f>IF(OR($B992="",MIN(BA$38,$D$19)&lt;MAX($P$708*($B992+IF($R$17="Distrato",$I$38-1,0)),IF(AND($L$711=0,$P$708=0),"",$L$711-1),IF($R$17="Distrato",$E992,0))),0,YEARFRAC(MAX($P$708*($B992+IF($R$17="Distrato",$I$38-1,0)),IF(AND($L$711=0,$P$708=0),"",$L$711-1),IF($R$17="Distrato",$E992,0)),MIN(BA$38,$D$19),$P$20))-SUM($P992:AZ992)</f>
        <v>#VALUE!</v>
      </c>
      <c r="BB992" s="447"/>
    </row>
    <row r="993" spans="1:54" s="446" customFormat="1" ht="11.25" hidden="1" customHeight="1" x14ac:dyDescent="0.2">
      <c r="A993" s="235"/>
      <c r="B993" s="236"/>
      <c r="C993" s="29" t="str">
        <f>IF(B993="","",IF($L$709=$BL$25,VLOOKUP(DATE(YEAR($D$19),MONTH($D$19)-1,1),ÍNDICES!$A:$DE,HLOOKUP($BL$25,ÍNDICES!$B$3:$T$4,2)+11)-VLOOKUP(B993,ÍNDICES!$A:$DE,HLOOKUP($BL$25,ÍNDICES!$B$3:$T$4,2)+11)+1%,IF(C$712=$W$26,$J$35,IF(ISERROR(IF(B993&gt;$D$19,1,VLOOKUP(DATE(YEAR(B993),MONTH(B993)+IF($C$709=$S$23,1,0),1),ÍNDICES!$A:$DE,$Z$709+1))),"",IF(B993&gt;$D$19,1,VLOOKUP(DATE(YEAR(B993),MONTH(B993)+IF($C$709=$S$23,1,0),1),ÍNDICES!$A:$DE,$Z$709+1))))))</f>
        <v/>
      </c>
      <c r="D993" s="155"/>
      <c r="E993" s="88"/>
      <c r="F993" s="88"/>
      <c r="G993" s="88"/>
      <c r="H993" s="118"/>
      <c r="I993" s="182">
        <f t="shared" si="143"/>
        <v>0</v>
      </c>
      <c r="J993" s="20">
        <f t="shared" ca="1" si="144"/>
        <v>0</v>
      </c>
      <c r="K993" s="5">
        <f t="shared" ca="1" si="145"/>
        <v>0</v>
      </c>
      <c r="L993" s="61">
        <f t="shared" ca="1" si="146"/>
        <v>0</v>
      </c>
      <c r="M993" s="64">
        <f t="shared" si="147"/>
        <v>0</v>
      </c>
      <c r="N993" s="151"/>
      <c r="O993" s="5">
        <f t="shared" ca="1" si="148"/>
        <v>0</v>
      </c>
      <c r="P993" s="446" t="e">
        <f t="shared" si="149"/>
        <v>#VALUE!</v>
      </c>
      <c r="Q993" s="446" t="e">
        <f>IF(OR($B993="",MIN(Q$38,$D$19)&lt;MAX($P$708*($B993+IF($R$17="Distrato",$I$38-1,0)),IF(AND($L$711=0,$P$708=0),"",$L$711-1),IF($R$17="Distrato",$E993,0))),0,YEARFRAC(MAX($P$708*($B993+IF($R$17="Distrato",$I$38-1,0)),IF(AND($L$711=0,$P$708=0),"",$L$711-1),IF($R$17="Distrato",$E993,0)),MIN(Q$38,$D$19),$P$20))-SUM($P993:P993)</f>
        <v>#VALUE!</v>
      </c>
      <c r="R993" s="446" t="e">
        <f>IF(OR($B993="",MIN(R$38,$D$19)&lt;MAX($P$708*($B993+IF($R$17="Distrato",$I$38-1,0)),IF(AND($L$711=0,$P$708=0),"",$L$711-1),IF($R$17="Distrato",$E993,0))),0,YEARFRAC(MAX($P$708*($B993+IF($R$17="Distrato",$I$38-1,0)),IF(AND($L$711=0,$P$708=0),"",$L$711-1),IF($R$17="Distrato",$E993,0)),MIN(R$38,$D$19),$P$20))-SUM($P993:Q993)</f>
        <v>#VALUE!</v>
      </c>
      <c r="S993" s="446" t="e">
        <f>IF(OR($B993="",MIN(S$38,$D$19)&lt;MAX($P$708*($B993+IF($R$17="Distrato",$I$38-1,0)),IF(AND($L$711=0,$P$708=0),"",$L$711-1),IF($R$17="Distrato",$E993,0))),0,YEARFRAC(MAX($P$708*($B993+IF($R$17="Distrato",$I$38-1,0)),IF(AND($L$711=0,$P$708=0),"",$L$711-1),IF($R$17="Distrato",$E993,0)),MIN(S$38,$D$19),$P$20))-SUM($P993:R993)</f>
        <v>#VALUE!</v>
      </c>
      <c r="T993" s="446" t="e">
        <f>IF(OR($B993="",MIN(T$38,$D$19)&lt;MAX($P$708*($B993+IF($R$17="Distrato",$I$38-1,0)),IF(AND($L$711=0,$P$708=0),"",$L$711-1),IF($R$17="Distrato",$E993,0))),0,YEARFRAC(MAX($P$708*($B993+IF($R$17="Distrato",$I$38-1,0)),IF(AND($L$711=0,$P$708=0),"",$L$711-1),IF($R$17="Distrato",$E993,0)),MIN(T$38,$D$19),$P$20))-SUM($P993:S993)</f>
        <v>#VALUE!</v>
      </c>
      <c r="U993" s="446" t="e">
        <f>IF(OR($B993="",MIN(U$38,$D$19)&lt;MAX($P$708*($B993+IF($R$17="Distrato",$I$38-1,0)),IF(AND($L$711=0,$P$708=0),"",$L$711-1),IF($R$17="Distrato",$E993,0))),0,YEARFRAC(MAX($P$708*($B993+IF($R$17="Distrato",$I$38-1,0)),IF(AND($L$711=0,$P$708=0),"",$L$711-1),IF($R$17="Distrato",$E993,0)),MIN(U$38,$D$19),$P$20))-SUM($P993:T993)</f>
        <v>#VALUE!</v>
      </c>
      <c r="V993" s="446" t="e">
        <f>IF(OR($B993="",MIN(V$38,$D$19)&lt;MAX($P$708*($B993+IF($R$17="Distrato",$I$38-1,0)),IF(AND($L$711=0,$P$708=0),"",$L$711-1),IF($R$17="Distrato",$E993,0))),0,YEARFRAC(MAX($P$708*($B993+IF($R$17="Distrato",$I$38-1,0)),IF(AND($L$711=0,$P$708=0),"",$L$711-1),IF($R$17="Distrato",$E993,0)),MIN(V$38,$D$19),$P$20))-SUM($P993:U993)</f>
        <v>#VALUE!</v>
      </c>
      <c r="W993" s="446" t="e">
        <f>IF(OR($B993="",MIN(W$38,$D$19)&lt;MAX($P$708*($B993+IF($R$17="Distrato",$I$38-1,0)),IF(AND($L$711=0,$P$708=0),"",$L$711-1),IF($R$17="Distrato",$E993,0))),0,YEARFRAC(MAX($P$708*($B993+IF($R$17="Distrato",$I$38-1,0)),IF(AND($L$711=0,$P$708=0),"",$L$711-1),IF($R$17="Distrato",$E993,0)),MIN(W$38,$D$19),$P$20))-SUM($P993:V993)</f>
        <v>#VALUE!</v>
      </c>
      <c r="X993" s="446" t="e">
        <f>IF(OR($B993="",MIN(X$38,$D$19)&lt;MAX($P$708*($B993+IF($R$17="Distrato",$I$38-1,0)),IF(AND($L$711=0,$P$708=0),"",$L$711-1),IF($R$17="Distrato",$E993,0))),0,YEARFRAC(MAX($P$708*($B993+IF($R$17="Distrato",$I$38-1,0)),IF(AND($L$711=0,$P$708=0),"",$L$711-1),IF($R$17="Distrato",$E993,0)),MIN(X$38,$D$19),$P$20))-SUM($P993:W993)</f>
        <v>#VALUE!</v>
      </c>
      <c r="Y993" s="446" t="e">
        <f>IF(OR($B993="",MIN(Y$38,$D$19)&lt;MAX($P$708*($B993+IF($R$17="Distrato",$I$38-1,0)),IF(AND($L$711=0,$P$708=0),"",$L$711-1),IF($R$17="Distrato",$E993,0))),0,YEARFRAC(MAX($P$708*($B993+IF($R$17="Distrato",$I$38-1,0)),IF(AND($L$711=0,$P$708=0),"",$L$711-1),IF($R$17="Distrato",$E993,0)),MIN(Y$38,$D$19),$P$20))-SUM($P993:X993)</f>
        <v>#VALUE!</v>
      </c>
      <c r="Z993" s="446" t="e">
        <f>IF(OR($B993="",MIN(Z$38,$D$19)&lt;MAX($P$708*($B993+IF($R$17="Distrato",$I$38-1,0)),IF(AND($L$711=0,$P$708=0),"",$L$711-1),IF($R$17="Distrato",$E993,0))),0,YEARFRAC(MAX($P$708*($B993+IF($R$17="Distrato",$I$38-1,0)),IF(AND($L$711=0,$P$708=0),"",$L$711-1),IF($R$17="Distrato",$E993,0)),MIN(Z$38,$D$19),$P$20))-SUM($P993:Y993)</f>
        <v>#VALUE!</v>
      </c>
      <c r="AA993" s="446" t="e">
        <f>IF(OR($B993="",MIN(AA$38,$D$19)&lt;MAX($P$708*($B993+IF($R$17="Distrato",$I$38-1,0)),IF(AND($L$711=0,$P$708=0),"",$L$711-1),IF($R$17="Distrato",$E993,0))),0,YEARFRAC(MAX($P$708*($B993+IF($R$17="Distrato",$I$38-1,0)),IF(AND($L$711=0,$P$708=0),"",$L$711-1),IF($R$17="Distrato",$E993,0)),MIN(AA$38,$D$19),$P$20))-SUM($P993:Z993)</f>
        <v>#VALUE!</v>
      </c>
      <c r="AB993" s="446" t="e">
        <f>IF(OR($B993="",MIN(AB$38,$D$19)&lt;MAX($P$708*($B993+IF($R$17="Distrato",$I$38-1,0)),IF(AND($L$711=0,$P$708=0),"",$L$711-1),IF($R$17="Distrato",$E993,0))),0,YEARFRAC(MAX($P$708*($B993+IF($R$17="Distrato",$I$38-1,0)),IF(AND($L$711=0,$P$708=0),"",$L$711-1),IF($R$17="Distrato",$E993,0)),MIN(AB$38,$D$19),$P$20))-SUM($P993:AA993)</f>
        <v>#VALUE!</v>
      </c>
      <c r="AC993" s="446" t="e">
        <f>IF(OR($B993="",MIN(AC$38,$D$19)&lt;MAX($P$708*($B993+IF($R$17="Distrato",$I$38-1,0)),IF(AND($L$711=0,$P$708=0),"",$L$711-1),IF($R$17="Distrato",$E993,0))),0,YEARFRAC(MAX($P$708*($B993+IF($R$17="Distrato",$I$38-1,0)),IF(AND($L$711=0,$P$708=0),"",$L$711-1),IF($R$17="Distrato",$E993,0)),MIN(AC$38,$D$19),$P$20))-SUM($P993:AB993)</f>
        <v>#VALUE!</v>
      </c>
      <c r="AD993" s="446" t="e">
        <f>IF(OR($B993="",MIN(AD$38,$D$19)&lt;MAX($P$708*($B993+IF($R$17="Distrato",$I$38-1,0)),IF(AND($L$711=0,$P$708=0),"",$L$711-1),IF($R$17="Distrato",$E993,0))),0,YEARFRAC(MAX($P$708*($B993+IF($R$17="Distrato",$I$38-1,0)),IF(AND($L$711=0,$P$708=0),"",$L$711-1),IF($R$17="Distrato",$E993,0)),MIN(AD$38,$D$19),$P$20))-SUM($P993:AC993)</f>
        <v>#VALUE!</v>
      </c>
      <c r="AE993" s="446" t="e">
        <f>IF(OR($B993="",MIN(AE$38,$D$19)&lt;MAX($P$708*($B993+IF($R$17="Distrato",$I$38-1,0)),IF(AND($L$711=0,$P$708=0),"",$L$711-1),IF($R$17="Distrato",$E993,0))),0,YEARFRAC(MAX($P$708*($B993+IF($R$17="Distrato",$I$38-1,0)),IF(AND($L$711=0,$P$708=0),"",$L$711-1),IF($R$17="Distrato",$E993,0)),MIN(AE$38,$D$19),$P$20))-SUM($P993:AD993)</f>
        <v>#VALUE!</v>
      </c>
      <c r="AF993" s="446" t="e">
        <f>IF(OR($B993="",MIN(AF$38,$D$19)&lt;MAX($P$708*($B993+IF($R$17="Distrato",$I$38-1,0)),IF(AND($L$711=0,$P$708=0),"",$L$711-1),IF($R$17="Distrato",$E993,0))),0,YEARFRAC(MAX($P$708*($B993+IF($R$17="Distrato",$I$38-1,0)),IF(AND($L$711=0,$P$708=0),"",$L$711-1),IF($R$17="Distrato",$E993,0)),MIN(AF$38,$D$19),$P$20))-SUM($P993:AE993)</f>
        <v>#VALUE!</v>
      </c>
      <c r="AG993" s="446" t="e">
        <f>IF(OR($B993="",MIN(AG$38,$D$19)&lt;MAX($P$708*($B993+IF($R$17="Distrato",$I$38-1,0)),IF(AND($L$711=0,$P$708=0),"",$L$711-1),IF($R$17="Distrato",$E993,0))),0,YEARFRAC(MAX($P$708*($B993+IF($R$17="Distrato",$I$38-1,0)),IF(AND($L$711=0,$P$708=0),"",$L$711-1),IF($R$17="Distrato",$E993,0)),MIN(AG$38,$D$19),$P$20))-SUM($P993:AF993)</f>
        <v>#VALUE!</v>
      </c>
      <c r="AH993" s="446" t="e">
        <f>IF(OR($B993="",MIN(AH$38,$D$19)&lt;MAX($P$708*($B993+IF($R$17="Distrato",$I$38-1,0)),IF(AND($L$711=0,$P$708=0),"",$L$711-1),IF($R$17="Distrato",$E993,0))),0,YEARFRAC(MAX($P$708*($B993+IF($R$17="Distrato",$I$38-1,0)),IF(AND($L$711=0,$P$708=0),"",$L$711-1),IF($R$17="Distrato",$E993,0)),MIN(AH$38,$D$19),$P$20))-SUM($P993:AG993)</f>
        <v>#VALUE!</v>
      </c>
      <c r="AI993" s="446" t="e">
        <f>IF(OR($B993="",MIN(AI$38,$D$19)&lt;MAX($P$708*($B993+IF($R$17="Distrato",$I$38-1,0)),IF(AND($L$711=0,$P$708=0),"",$L$711-1),IF($R$17="Distrato",$E993,0))),0,YEARFRAC(MAX($P$708*($B993+IF($R$17="Distrato",$I$38-1,0)),IF(AND($L$711=0,$P$708=0),"",$L$711-1),IF($R$17="Distrato",$E993,0)),MIN(AI$38,$D$19),$P$20))-SUM($P993:AH993)</f>
        <v>#VALUE!</v>
      </c>
      <c r="AJ993" s="446" t="e">
        <f>IF(OR($B993="",MIN(AJ$38,$D$19)&lt;MAX($P$708*($B993+IF($R$17="Distrato",$I$38-1,0)),IF(AND($L$711=0,$P$708=0),"",$L$711-1),IF($R$17="Distrato",$E993,0))),0,YEARFRAC(MAX($P$708*($B993+IF($R$17="Distrato",$I$38-1,0)),IF(AND($L$711=0,$P$708=0),"",$L$711-1),IF($R$17="Distrato",$E993,0)),MIN(AJ$38,$D$19),$P$20))-SUM($P993:AI993)</f>
        <v>#VALUE!</v>
      </c>
      <c r="AK993" s="446" t="e">
        <f>IF(OR($B993="",MIN(AK$38,$D$19)&lt;MAX($P$708*($B993+IF($R$17="Distrato",$I$38-1,0)),IF(AND($L$711=0,$P$708=0),"",$L$711-1),IF($R$17="Distrato",$E993,0))),0,YEARFRAC(MAX($P$708*($B993+IF($R$17="Distrato",$I$38-1,0)),IF(AND($L$711=0,$P$708=0),"",$L$711-1),IF($R$17="Distrato",$E993,0)),MIN(AK$38,$D$19),$P$20))-SUM($P993:AJ993)</f>
        <v>#VALUE!</v>
      </c>
      <c r="AL993" s="446" t="e">
        <f>IF(OR($B993="",MIN(AL$38,$D$19)&lt;MAX($P$708*($B993+IF($R$17="Distrato",$I$38-1,0)),IF(AND($L$711=0,$P$708=0),"",$L$711-1),IF($R$17="Distrato",$E993,0))),0,YEARFRAC(MAX($P$708*($B993+IF($R$17="Distrato",$I$38-1,0)),IF(AND($L$711=0,$P$708=0),"",$L$711-1),IF($R$17="Distrato",$E993,0)),MIN(AL$38,$D$19),$P$20))-SUM($P993:AK993)</f>
        <v>#VALUE!</v>
      </c>
      <c r="AM993" s="446" t="e">
        <f>IF(OR($B993="",MIN(AM$38,$D$19)&lt;MAX($P$708*($B993+IF($R$17="Distrato",$I$38-1,0)),IF(AND($L$711=0,$P$708=0),"",$L$711-1),IF($R$17="Distrato",$E993,0))),0,YEARFRAC(MAX($P$708*($B993+IF($R$17="Distrato",$I$38-1,0)),IF(AND($L$711=0,$P$708=0),"",$L$711-1),IF($R$17="Distrato",$E993,0)),MIN(AM$38,$D$19),$P$20))-SUM($P993:AL993)</f>
        <v>#VALUE!</v>
      </c>
      <c r="AN993" s="446" t="e">
        <f>IF(OR($B993="",MIN(AN$38,$D$19)&lt;MAX($P$708*($B993+IF($R$17="Distrato",$I$38-1,0)),IF(AND($L$711=0,$P$708=0),"",$L$711-1),IF($R$17="Distrato",$E993,0))),0,YEARFRAC(MAX($P$708*($B993+IF($R$17="Distrato",$I$38-1,0)),IF(AND($L$711=0,$P$708=0),"",$L$711-1),IF($R$17="Distrato",$E993,0)),MIN(AN$38,$D$19),$P$20))-SUM($P993:AM993)</f>
        <v>#VALUE!</v>
      </c>
      <c r="AO993" s="446" t="e">
        <f>IF(OR($B993="",MIN(AO$38,$D$19)&lt;MAX($P$708*($B993+IF($R$17="Distrato",$I$38-1,0)),IF(AND($L$711=0,$P$708=0),"",$L$711-1),IF($R$17="Distrato",$E993,0))),0,YEARFRAC(MAX($P$708*($B993+IF($R$17="Distrato",$I$38-1,0)),IF(AND($L$711=0,$P$708=0),"",$L$711-1),IF($R$17="Distrato",$E993,0)),MIN(AO$38,$D$19),$P$20))-SUM($P993:AN993)</f>
        <v>#VALUE!</v>
      </c>
      <c r="AP993" s="446" t="e">
        <f>IF(OR($B993="",MIN(AP$38,$D$19)&lt;MAX($P$708*($B993+IF($R$17="Distrato",$I$38-1,0)),IF(AND($L$711=0,$P$708=0),"",$L$711-1),IF($R$17="Distrato",$E993,0))),0,YEARFRAC(MAX($P$708*($B993+IF($R$17="Distrato",$I$38-1,0)),IF(AND($L$711=0,$P$708=0),"",$L$711-1),IF($R$17="Distrato",$E993,0)),MIN(AP$38,$D$19),$P$20))-SUM($P993:AO993)</f>
        <v>#VALUE!</v>
      </c>
      <c r="AQ993" s="446" t="e">
        <f>IF(OR($B993="",MIN(AQ$38,$D$19)&lt;MAX($P$708*($B993+IF($R$17="Distrato",$I$38-1,0)),IF(AND($L$711=0,$P$708=0),"",$L$711-1),IF($R$17="Distrato",$E993,0))),0,YEARFRAC(MAX($P$708*($B993+IF($R$17="Distrato",$I$38-1,0)),IF(AND($L$711=0,$P$708=0),"",$L$711-1),IF($R$17="Distrato",$E993,0)),MIN(AQ$38,$D$19),$P$20))-SUM($P993:AP993)</f>
        <v>#VALUE!</v>
      </c>
      <c r="AR993" s="446" t="e">
        <f>IF(OR($B993="",MIN(AR$38,$D$19)&lt;MAX($P$708*($B993+IF($R$17="Distrato",$I$38-1,0)),IF(AND($L$711=0,$P$708=0),"",$L$711-1),IF($R$17="Distrato",$E993,0))),0,YEARFRAC(MAX($P$708*($B993+IF($R$17="Distrato",$I$38-1,0)),IF(AND($L$711=0,$P$708=0),"",$L$711-1),IF($R$17="Distrato",$E993,0)),MIN(AR$38,$D$19),$P$20))-SUM($P993:AQ993)</f>
        <v>#VALUE!</v>
      </c>
      <c r="AS993" s="446" t="e">
        <f>IF(OR($B993="",MIN(AS$38,$D$19)&lt;MAX($P$708*($B993+IF($R$17="Distrato",$I$38-1,0)),IF(AND($L$711=0,$P$708=0),"",$L$711-1),IF($R$17="Distrato",$E993,0))),0,YEARFRAC(MAX($P$708*($B993+IF($R$17="Distrato",$I$38-1,0)),IF(AND($L$711=0,$P$708=0),"",$L$711-1),IF($R$17="Distrato",$E993,0)),MIN(AS$38,$D$19),$P$20))-SUM($P993:AR993)</f>
        <v>#VALUE!</v>
      </c>
      <c r="AT993" s="446" t="e">
        <f>IF(OR($B993="",MIN(AT$38,$D$19)&lt;MAX($P$708*($B993+IF($R$17="Distrato",$I$38-1,0)),IF(AND($L$711=0,$P$708=0),"",$L$711-1),IF($R$17="Distrato",$E993,0))),0,YEARFRAC(MAX($P$708*($B993+IF($R$17="Distrato",$I$38-1,0)),IF(AND($L$711=0,$P$708=0),"",$L$711-1),IF($R$17="Distrato",$E993,0)),MIN(AT$38,$D$19),$P$20))-SUM($P993:AS993)</f>
        <v>#VALUE!</v>
      </c>
      <c r="AU993" s="446" t="e">
        <f>IF(OR($B993="",MIN(AU$38,$D$19)&lt;MAX($P$708*($B993+IF($R$17="Distrato",$I$38-1,0)),IF(AND($L$711=0,$P$708=0),"",$L$711-1),IF($R$17="Distrato",$E993,0))),0,YEARFRAC(MAX($P$708*($B993+IF($R$17="Distrato",$I$38-1,0)),IF(AND($L$711=0,$P$708=0),"",$L$711-1),IF($R$17="Distrato",$E993,0)),MIN(AU$38,$D$19),$P$20))-SUM($P993:AT993)</f>
        <v>#VALUE!</v>
      </c>
      <c r="AV993" s="446" t="e">
        <f>IF(OR($B993="",MIN(AV$38,$D$19)&lt;MAX($P$708*($B993+IF($R$17="Distrato",$I$38-1,0)),IF(AND($L$711=0,$P$708=0),"",$L$711-1),IF($R$17="Distrato",$E993,0))),0,YEARFRAC(MAX($P$708*($B993+IF($R$17="Distrato",$I$38-1,0)),IF(AND($L$711=0,$P$708=0),"",$L$711-1),IF($R$17="Distrato",$E993,0)),MIN(AV$38,$D$19),$P$20))-SUM($P993:AU993)</f>
        <v>#VALUE!</v>
      </c>
      <c r="AW993" s="446" t="e">
        <f>IF(OR($B993="",MIN(AW$38,$D$19)&lt;MAX($P$708*($B993+IF($R$17="Distrato",$I$38-1,0)),IF(AND($L$711=0,$P$708=0),"",$L$711-1),IF($R$17="Distrato",$E993,0))),0,YEARFRAC(MAX($P$708*($B993+IF($R$17="Distrato",$I$38-1,0)),IF(AND($L$711=0,$P$708=0),"",$L$711-1),IF($R$17="Distrato",$E993,0)),MIN(AW$38,$D$19),$P$20))-SUM($P993:AV993)</f>
        <v>#VALUE!</v>
      </c>
      <c r="AX993" s="446" t="e">
        <f>IF(OR($B993="",MIN(AX$38,$D$19)&lt;MAX($P$708*($B993+IF($R$17="Distrato",$I$38-1,0)),IF(AND($L$711=0,$P$708=0),"",$L$711-1),IF($R$17="Distrato",$E993,0))),0,YEARFRAC(MAX($P$708*($B993+IF($R$17="Distrato",$I$38-1,0)),IF(AND($L$711=0,$P$708=0),"",$L$711-1),IF($R$17="Distrato",$E993,0)),MIN(AX$38,$D$19),$P$20))-SUM($P993:AW993)</f>
        <v>#VALUE!</v>
      </c>
      <c r="AY993" s="446" t="e">
        <f>IF(OR($B993="",MIN(AY$38,$D$19)&lt;MAX($P$708*($B993+IF($R$17="Distrato",$I$38-1,0)),IF(AND($L$711=0,$P$708=0),"",$L$711-1),IF($R$17="Distrato",$E993,0))),0,YEARFRAC(MAX($P$708*($B993+IF($R$17="Distrato",$I$38-1,0)),IF(AND($L$711=0,$P$708=0),"",$L$711-1),IF($R$17="Distrato",$E993,0)),MIN(AY$38,$D$19),$P$20))-SUM($P993:AX993)</f>
        <v>#VALUE!</v>
      </c>
      <c r="AZ993" s="446" t="e">
        <f>IF(OR($B993="",MIN(AZ$38,$D$19)&lt;MAX($P$708*($B993+IF($R$17="Distrato",$I$38-1,0)),IF(AND($L$711=0,$P$708=0),"",$L$711-1),IF($R$17="Distrato",$E993,0))),0,YEARFRAC(MAX($P$708*($B993+IF($R$17="Distrato",$I$38-1,0)),IF(AND($L$711=0,$P$708=0),"",$L$711-1),IF($R$17="Distrato",$E993,0)),MIN(AZ$38,$D$19),$P$20))-SUM($P993:AY993)</f>
        <v>#VALUE!</v>
      </c>
      <c r="BA993" s="446" t="e">
        <f>IF(OR($B993="",MIN(BA$38,$D$19)&lt;MAX($P$708*($B993+IF($R$17="Distrato",$I$38-1,0)),IF(AND($L$711=0,$P$708=0),"",$L$711-1),IF($R$17="Distrato",$E993,0))),0,YEARFRAC(MAX($P$708*($B993+IF($R$17="Distrato",$I$38-1,0)),IF(AND($L$711=0,$P$708=0),"",$L$711-1),IF($R$17="Distrato",$E993,0)),MIN(BA$38,$D$19),$P$20))-SUM($P993:AZ993)</f>
        <v>#VALUE!</v>
      </c>
      <c r="BB993" s="447"/>
    </row>
    <row r="994" spans="1:54" s="446" customFormat="1" ht="11.25" hidden="1" customHeight="1" x14ac:dyDescent="0.2">
      <c r="A994" s="235"/>
      <c r="B994" s="236"/>
      <c r="C994" s="29" t="str">
        <f>IF(B994="","",IF($L$709=$BL$25,VLOOKUP(DATE(YEAR($D$19),MONTH($D$19)-1,1),ÍNDICES!$A:$DE,HLOOKUP($BL$25,ÍNDICES!$B$3:$T$4,2)+11)-VLOOKUP(B994,ÍNDICES!$A:$DE,HLOOKUP($BL$25,ÍNDICES!$B$3:$T$4,2)+11)+1%,IF(C$712=$W$26,$J$35,IF(ISERROR(IF(B994&gt;$D$19,1,VLOOKUP(DATE(YEAR(B994),MONTH(B994)+IF($C$709=$S$23,1,0),1),ÍNDICES!$A:$DE,$Z$709+1))),"",IF(B994&gt;$D$19,1,VLOOKUP(DATE(YEAR(B994),MONTH(B994)+IF($C$709=$S$23,1,0),1),ÍNDICES!$A:$DE,$Z$709+1))))))</f>
        <v/>
      </c>
      <c r="D994" s="155"/>
      <c r="E994" s="88"/>
      <c r="F994" s="88"/>
      <c r="G994" s="88"/>
      <c r="H994" s="118"/>
      <c r="I994" s="182">
        <f t="shared" si="143"/>
        <v>0</v>
      </c>
      <c r="J994" s="20">
        <f t="shared" ca="1" si="144"/>
        <v>0</v>
      </c>
      <c r="K994" s="5">
        <f t="shared" ca="1" si="145"/>
        <v>0</v>
      </c>
      <c r="L994" s="61">
        <f t="shared" ca="1" si="146"/>
        <v>0</v>
      </c>
      <c r="M994" s="64">
        <f t="shared" si="147"/>
        <v>0</v>
      </c>
      <c r="N994" s="151"/>
      <c r="O994" s="5">
        <f t="shared" ca="1" si="148"/>
        <v>0</v>
      </c>
      <c r="P994" s="446" t="e">
        <f t="shared" si="149"/>
        <v>#VALUE!</v>
      </c>
      <c r="Q994" s="446" t="e">
        <f>IF(OR($B994="",MIN(Q$38,$D$19)&lt;MAX($P$708*($B994+IF($R$17="Distrato",$I$38-1,0)),IF(AND($L$711=0,$P$708=0),"",$L$711-1),IF($R$17="Distrato",$E994,0))),0,YEARFRAC(MAX($P$708*($B994+IF($R$17="Distrato",$I$38-1,0)),IF(AND($L$711=0,$P$708=0),"",$L$711-1),IF($R$17="Distrato",$E994,0)),MIN(Q$38,$D$19),$P$20))-SUM($P994:P994)</f>
        <v>#VALUE!</v>
      </c>
      <c r="R994" s="446" t="e">
        <f>IF(OR($B994="",MIN(R$38,$D$19)&lt;MAX($P$708*($B994+IF($R$17="Distrato",$I$38-1,0)),IF(AND($L$711=0,$P$708=0),"",$L$711-1),IF($R$17="Distrato",$E994,0))),0,YEARFRAC(MAX($P$708*($B994+IF($R$17="Distrato",$I$38-1,0)),IF(AND($L$711=0,$P$708=0),"",$L$711-1),IF($R$17="Distrato",$E994,0)),MIN(R$38,$D$19),$P$20))-SUM($P994:Q994)</f>
        <v>#VALUE!</v>
      </c>
      <c r="S994" s="446" t="e">
        <f>IF(OR($B994="",MIN(S$38,$D$19)&lt;MAX($P$708*($B994+IF($R$17="Distrato",$I$38-1,0)),IF(AND($L$711=0,$P$708=0),"",$L$711-1),IF($R$17="Distrato",$E994,0))),0,YEARFRAC(MAX($P$708*($B994+IF($R$17="Distrato",$I$38-1,0)),IF(AND($L$711=0,$P$708=0),"",$L$711-1),IF($R$17="Distrato",$E994,0)),MIN(S$38,$D$19),$P$20))-SUM($P994:R994)</f>
        <v>#VALUE!</v>
      </c>
      <c r="T994" s="446" t="e">
        <f>IF(OR($B994="",MIN(T$38,$D$19)&lt;MAX($P$708*($B994+IF($R$17="Distrato",$I$38-1,0)),IF(AND($L$711=0,$P$708=0),"",$L$711-1),IF($R$17="Distrato",$E994,0))),0,YEARFRAC(MAX($P$708*($B994+IF($R$17="Distrato",$I$38-1,0)),IF(AND($L$711=0,$P$708=0),"",$L$711-1),IF($R$17="Distrato",$E994,0)),MIN(T$38,$D$19),$P$20))-SUM($P994:S994)</f>
        <v>#VALUE!</v>
      </c>
      <c r="U994" s="446" t="e">
        <f>IF(OR($B994="",MIN(U$38,$D$19)&lt;MAX($P$708*($B994+IF($R$17="Distrato",$I$38-1,0)),IF(AND($L$711=0,$P$708=0),"",$L$711-1),IF($R$17="Distrato",$E994,0))),0,YEARFRAC(MAX($P$708*($B994+IF($R$17="Distrato",$I$38-1,0)),IF(AND($L$711=0,$P$708=0),"",$L$711-1),IF($R$17="Distrato",$E994,0)),MIN(U$38,$D$19),$P$20))-SUM($P994:T994)</f>
        <v>#VALUE!</v>
      </c>
      <c r="V994" s="446" t="e">
        <f>IF(OR($B994="",MIN(V$38,$D$19)&lt;MAX($P$708*($B994+IF($R$17="Distrato",$I$38-1,0)),IF(AND($L$711=0,$P$708=0),"",$L$711-1),IF($R$17="Distrato",$E994,0))),0,YEARFRAC(MAX($P$708*($B994+IF($R$17="Distrato",$I$38-1,0)),IF(AND($L$711=0,$P$708=0),"",$L$711-1),IF($R$17="Distrato",$E994,0)),MIN(V$38,$D$19),$P$20))-SUM($P994:U994)</f>
        <v>#VALUE!</v>
      </c>
      <c r="W994" s="446" t="e">
        <f>IF(OR($B994="",MIN(W$38,$D$19)&lt;MAX($P$708*($B994+IF($R$17="Distrato",$I$38-1,0)),IF(AND($L$711=0,$P$708=0),"",$L$711-1),IF($R$17="Distrato",$E994,0))),0,YEARFRAC(MAX($P$708*($B994+IF($R$17="Distrato",$I$38-1,0)),IF(AND($L$711=0,$P$708=0),"",$L$711-1),IF($R$17="Distrato",$E994,0)),MIN(W$38,$D$19),$P$20))-SUM($P994:V994)</f>
        <v>#VALUE!</v>
      </c>
      <c r="X994" s="446" t="e">
        <f>IF(OR($B994="",MIN(X$38,$D$19)&lt;MAX($P$708*($B994+IF($R$17="Distrato",$I$38-1,0)),IF(AND($L$711=0,$P$708=0),"",$L$711-1),IF($R$17="Distrato",$E994,0))),0,YEARFRAC(MAX($P$708*($B994+IF($R$17="Distrato",$I$38-1,0)),IF(AND($L$711=0,$P$708=0),"",$L$711-1),IF($R$17="Distrato",$E994,0)),MIN(X$38,$D$19),$P$20))-SUM($P994:W994)</f>
        <v>#VALUE!</v>
      </c>
      <c r="Y994" s="446" t="e">
        <f>IF(OR($B994="",MIN(Y$38,$D$19)&lt;MAX($P$708*($B994+IF($R$17="Distrato",$I$38-1,0)),IF(AND($L$711=0,$P$708=0),"",$L$711-1),IF($R$17="Distrato",$E994,0))),0,YEARFRAC(MAX($P$708*($B994+IF($R$17="Distrato",$I$38-1,0)),IF(AND($L$711=0,$P$708=0),"",$L$711-1),IF($R$17="Distrato",$E994,0)),MIN(Y$38,$D$19),$P$20))-SUM($P994:X994)</f>
        <v>#VALUE!</v>
      </c>
      <c r="Z994" s="446" t="e">
        <f>IF(OR($B994="",MIN(Z$38,$D$19)&lt;MAX($P$708*($B994+IF($R$17="Distrato",$I$38-1,0)),IF(AND($L$711=0,$P$708=0),"",$L$711-1),IF($R$17="Distrato",$E994,0))),0,YEARFRAC(MAX($P$708*($B994+IF($R$17="Distrato",$I$38-1,0)),IF(AND($L$711=0,$P$708=0),"",$L$711-1),IF($R$17="Distrato",$E994,0)),MIN(Z$38,$D$19),$P$20))-SUM($P994:Y994)</f>
        <v>#VALUE!</v>
      </c>
      <c r="AA994" s="446" t="e">
        <f>IF(OR($B994="",MIN(AA$38,$D$19)&lt;MAX($P$708*($B994+IF($R$17="Distrato",$I$38-1,0)),IF(AND($L$711=0,$P$708=0),"",$L$711-1),IF($R$17="Distrato",$E994,0))),0,YEARFRAC(MAX($P$708*($B994+IF($R$17="Distrato",$I$38-1,0)),IF(AND($L$711=0,$P$708=0),"",$L$711-1),IF($R$17="Distrato",$E994,0)),MIN(AA$38,$D$19),$P$20))-SUM($P994:Z994)</f>
        <v>#VALUE!</v>
      </c>
      <c r="AB994" s="446" t="e">
        <f>IF(OR($B994="",MIN(AB$38,$D$19)&lt;MAX($P$708*($B994+IF($R$17="Distrato",$I$38-1,0)),IF(AND($L$711=0,$P$708=0),"",$L$711-1),IF($R$17="Distrato",$E994,0))),0,YEARFRAC(MAX($P$708*($B994+IF($R$17="Distrato",$I$38-1,0)),IF(AND($L$711=0,$P$708=0),"",$L$711-1),IF($R$17="Distrato",$E994,0)),MIN(AB$38,$D$19),$P$20))-SUM($P994:AA994)</f>
        <v>#VALUE!</v>
      </c>
      <c r="AC994" s="446" t="e">
        <f>IF(OR($B994="",MIN(AC$38,$D$19)&lt;MAX($P$708*($B994+IF($R$17="Distrato",$I$38-1,0)),IF(AND($L$711=0,$P$708=0),"",$L$711-1),IF($R$17="Distrato",$E994,0))),0,YEARFRAC(MAX($P$708*($B994+IF($R$17="Distrato",$I$38-1,0)),IF(AND($L$711=0,$P$708=0),"",$L$711-1),IF($R$17="Distrato",$E994,0)),MIN(AC$38,$D$19),$P$20))-SUM($P994:AB994)</f>
        <v>#VALUE!</v>
      </c>
      <c r="AD994" s="446" t="e">
        <f>IF(OR($B994="",MIN(AD$38,$D$19)&lt;MAX($P$708*($B994+IF($R$17="Distrato",$I$38-1,0)),IF(AND($L$711=0,$P$708=0),"",$L$711-1),IF($R$17="Distrato",$E994,0))),0,YEARFRAC(MAX($P$708*($B994+IF($R$17="Distrato",$I$38-1,0)),IF(AND($L$711=0,$P$708=0),"",$L$711-1),IF($R$17="Distrato",$E994,0)),MIN(AD$38,$D$19),$P$20))-SUM($P994:AC994)</f>
        <v>#VALUE!</v>
      </c>
      <c r="AE994" s="446" t="e">
        <f>IF(OR($B994="",MIN(AE$38,$D$19)&lt;MAX($P$708*($B994+IF($R$17="Distrato",$I$38-1,0)),IF(AND($L$711=0,$P$708=0),"",$L$711-1),IF($R$17="Distrato",$E994,0))),0,YEARFRAC(MAX($P$708*($B994+IF($R$17="Distrato",$I$38-1,0)),IF(AND($L$711=0,$P$708=0),"",$L$711-1),IF($R$17="Distrato",$E994,0)),MIN(AE$38,$D$19),$P$20))-SUM($P994:AD994)</f>
        <v>#VALUE!</v>
      </c>
      <c r="AF994" s="446" t="e">
        <f>IF(OR($B994="",MIN(AF$38,$D$19)&lt;MAX($P$708*($B994+IF($R$17="Distrato",$I$38-1,0)),IF(AND($L$711=0,$P$708=0),"",$L$711-1),IF($R$17="Distrato",$E994,0))),0,YEARFRAC(MAX($P$708*($B994+IF($R$17="Distrato",$I$38-1,0)),IF(AND($L$711=0,$P$708=0),"",$L$711-1),IF($R$17="Distrato",$E994,0)),MIN(AF$38,$D$19),$P$20))-SUM($P994:AE994)</f>
        <v>#VALUE!</v>
      </c>
      <c r="AG994" s="446" t="e">
        <f>IF(OR($B994="",MIN(AG$38,$D$19)&lt;MAX($P$708*($B994+IF($R$17="Distrato",$I$38-1,0)),IF(AND($L$711=0,$P$708=0),"",$L$711-1),IF($R$17="Distrato",$E994,0))),0,YEARFRAC(MAX($P$708*($B994+IF($R$17="Distrato",$I$38-1,0)),IF(AND($L$711=0,$P$708=0),"",$L$711-1),IF($R$17="Distrato",$E994,0)),MIN(AG$38,$D$19),$P$20))-SUM($P994:AF994)</f>
        <v>#VALUE!</v>
      </c>
      <c r="AH994" s="446" t="e">
        <f>IF(OR($B994="",MIN(AH$38,$D$19)&lt;MAX($P$708*($B994+IF($R$17="Distrato",$I$38-1,0)),IF(AND($L$711=0,$P$708=0),"",$L$711-1),IF($R$17="Distrato",$E994,0))),0,YEARFRAC(MAX($P$708*($B994+IF($R$17="Distrato",$I$38-1,0)),IF(AND($L$711=0,$P$708=0),"",$L$711-1),IF($R$17="Distrato",$E994,0)),MIN(AH$38,$D$19),$P$20))-SUM($P994:AG994)</f>
        <v>#VALUE!</v>
      </c>
      <c r="AI994" s="446" t="e">
        <f>IF(OR($B994="",MIN(AI$38,$D$19)&lt;MAX($P$708*($B994+IF($R$17="Distrato",$I$38-1,0)),IF(AND($L$711=0,$P$708=0),"",$L$711-1),IF($R$17="Distrato",$E994,0))),0,YEARFRAC(MAX($P$708*($B994+IF($R$17="Distrato",$I$38-1,0)),IF(AND($L$711=0,$P$708=0),"",$L$711-1),IF($R$17="Distrato",$E994,0)),MIN(AI$38,$D$19),$P$20))-SUM($P994:AH994)</f>
        <v>#VALUE!</v>
      </c>
      <c r="AJ994" s="446" t="e">
        <f>IF(OR($B994="",MIN(AJ$38,$D$19)&lt;MAX($P$708*($B994+IF($R$17="Distrato",$I$38-1,0)),IF(AND($L$711=0,$P$708=0),"",$L$711-1),IF($R$17="Distrato",$E994,0))),0,YEARFRAC(MAX($P$708*($B994+IF($R$17="Distrato",$I$38-1,0)),IF(AND($L$711=0,$P$708=0),"",$L$711-1),IF($R$17="Distrato",$E994,0)),MIN(AJ$38,$D$19),$P$20))-SUM($P994:AI994)</f>
        <v>#VALUE!</v>
      </c>
      <c r="AK994" s="446" t="e">
        <f>IF(OR($B994="",MIN(AK$38,$D$19)&lt;MAX($P$708*($B994+IF($R$17="Distrato",$I$38-1,0)),IF(AND($L$711=0,$P$708=0),"",$L$711-1),IF($R$17="Distrato",$E994,0))),0,YEARFRAC(MAX($P$708*($B994+IF($R$17="Distrato",$I$38-1,0)),IF(AND($L$711=0,$P$708=0),"",$L$711-1),IF($R$17="Distrato",$E994,0)),MIN(AK$38,$D$19),$P$20))-SUM($P994:AJ994)</f>
        <v>#VALUE!</v>
      </c>
      <c r="AL994" s="446" t="e">
        <f>IF(OR($B994="",MIN(AL$38,$D$19)&lt;MAX($P$708*($B994+IF($R$17="Distrato",$I$38-1,0)),IF(AND($L$711=0,$P$708=0),"",$L$711-1),IF($R$17="Distrato",$E994,0))),0,YEARFRAC(MAX($P$708*($B994+IF($R$17="Distrato",$I$38-1,0)),IF(AND($L$711=0,$P$708=0),"",$L$711-1),IF($R$17="Distrato",$E994,0)),MIN(AL$38,$D$19),$P$20))-SUM($P994:AK994)</f>
        <v>#VALUE!</v>
      </c>
      <c r="AM994" s="446" t="e">
        <f>IF(OR($B994="",MIN(AM$38,$D$19)&lt;MAX($P$708*($B994+IF($R$17="Distrato",$I$38-1,0)),IF(AND($L$711=0,$P$708=0),"",$L$711-1),IF($R$17="Distrato",$E994,0))),0,YEARFRAC(MAX($P$708*($B994+IF($R$17="Distrato",$I$38-1,0)),IF(AND($L$711=0,$P$708=0),"",$L$711-1),IF($R$17="Distrato",$E994,0)),MIN(AM$38,$D$19),$P$20))-SUM($P994:AL994)</f>
        <v>#VALUE!</v>
      </c>
      <c r="AN994" s="446" t="e">
        <f>IF(OR($B994="",MIN(AN$38,$D$19)&lt;MAX($P$708*($B994+IF($R$17="Distrato",$I$38-1,0)),IF(AND($L$711=0,$P$708=0),"",$L$711-1),IF($R$17="Distrato",$E994,0))),0,YEARFRAC(MAX($P$708*($B994+IF($R$17="Distrato",$I$38-1,0)),IF(AND($L$711=0,$P$708=0),"",$L$711-1),IF($R$17="Distrato",$E994,0)),MIN(AN$38,$D$19),$P$20))-SUM($P994:AM994)</f>
        <v>#VALUE!</v>
      </c>
      <c r="AO994" s="446" t="e">
        <f>IF(OR($B994="",MIN(AO$38,$D$19)&lt;MAX($P$708*($B994+IF($R$17="Distrato",$I$38-1,0)),IF(AND($L$711=0,$P$708=0),"",$L$711-1),IF($R$17="Distrato",$E994,0))),0,YEARFRAC(MAX($P$708*($B994+IF($R$17="Distrato",$I$38-1,0)),IF(AND($L$711=0,$P$708=0),"",$L$711-1),IF($R$17="Distrato",$E994,0)),MIN(AO$38,$D$19),$P$20))-SUM($P994:AN994)</f>
        <v>#VALUE!</v>
      </c>
      <c r="AP994" s="446" t="e">
        <f>IF(OR($B994="",MIN(AP$38,$D$19)&lt;MAX($P$708*($B994+IF($R$17="Distrato",$I$38-1,0)),IF(AND($L$711=0,$P$708=0),"",$L$711-1),IF($R$17="Distrato",$E994,0))),0,YEARFRAC(MAX($P$708*($B994+IF($R$17="Distrato",$I$38-1,0)),IF(AND($L$711=0,$P$708=0),"",$L$711-1),IF($R$17="Distrato",$E994,0)),MIN(AP$38,$D$19),$P$20))-SUM($P994:AO994)</f>
        <v>#VALUE!</v>
      </c>
      <c r="AQ994" s="446" t="e">
        <f>IF(OR($B994="",MIN(AQ$38,$D$19)&lt;MAX($P$708*($B994+IF($R$17="Distrato",$I$38-1,0)),IF(AND($L$711=0,$P$708=0),"",$L$711-1),IF($R$17="Distrato",$E994,0))),0,YEARFRAC(MAX($P$708*($B994+IF($R$17="Distrato",$I$38-1,0)),IF(AND($L$711=0,$P$708=0),"",$L$711-1),IF($R$17="Distrato",$E994,0)),MIN(AQ$38,$D$19),$P$20))-SUM($P994:AP994)</f>
        <v>#VALUE!</v>
      </c>
      <c r="AR994" s="446" t="e">
        <f>IF(OR($B994="",MIN(AR$38,$D$19)&lt;MAX($P$708*($B994+IF($R$17="Distrato",$I$38-1,0)),IF(AND($L$711=0,$P$708=0),"",$L$711-1),IF($R$17="Distrato",$E994,0))),0,YEARFRAC(MAX($P$708*($B994+IF($R$17="Distrato",$I$38-1,0)),IF(AND($L$711=0,$P$708=0),"",$L$711-1),IF($R$17="Distrato",$E994,0)),MIN(AR$38,$D$19),$P$20))-SUM($P994:AQ994)</f>
        <v>#VALUE!</v>
      </c>
      <c r="AS994" s="446" t="e">
        <f>IF(OR($B994="",MIN(AS$38,$D$19)&lt;MAX($P$708*($B994+IF($R$17="Distrato",$I$38-1,0)),IF(AND($L$711=0,$P$708=0),"",$L$711-1),IF($R$17="Distrato",$E994,0))),0,YEARFRAC(MAX($P$708*($B994+IF($R$17="Distrato",$I$38-1,0)),IF(AND($L$711=0,$P$708=0),"",$L$711-1),IF($R$17="Distrato",$E994,0)),MIN(AS$38,$D$19),$P$20))-SUM($P994:AR994)</f>
        <v>#VALUE!</v>
      </c>
      <c r="AT994" s="446" t="e">
        <f>IF(OR($B994="",MIN(AT$38,$D$19)&lt;MAX($P$708*($B994+IF($R$17="Distrato",$I$38-1,0)),IF(AND($L$711=0,$P$708=0),"",$L$711-1),IF($R$17="Distrato",$E994,0))),0,YEARFRAC(MAX($P$708*($B994+IF($R$17="Distrato",$I$38-1,0)),IF(AND($L$711=0,$P$708=0),"",$L$711-1),IF($R$17="Distrato",$E994,0)),MIN(AT$38,$D$19),$P$20))-SUM($P994:AS994)</f>
        <v>#VALUE!</v>
      </c>
      <c r="AU994" s="446" t="e">
        <f>IF(OR($B994="",MIN(AU$38,$D$19)&lt;MAX($P$708*($B994+IF($R$17="Distrato",$I$38-1,0)),IF(AND($L$711=0,$P$708=0),"",$L$711-1),IF($R$17="Distrato",$E994,0))),0,YEARFRAC(MAX($P$708*($B994+IF($R$17="Distrato",$I$38-1,0)),IF(AND($L$711=0,$P$708=0),"",$L$711-1),IF($R$17="Distrato",$E994,0)),MIN(AU$38,$D$19),$P$20))-SUM($P994:AT994)</f>
        <v>#VALUE!</v>
      </c>
      <c r="AV994" s="446" t="e">
        <f>IF(OR($B994="",MIN(AV$38,$D$19)&lt;MAX($P$708*($B994+IF($R$17="Distrato",$I$38-1,0)),IF(AND($L$711=0,$P$708=0),"",$L$711-1),IF($R$17="Distrato",$E994,0))),0,YEARFRAC(MAX($P$708*($B994+IF($R$17="Distrato",$I$38-1,0)),IF(AND($L$711=0,$P$708=0),"",$L$711-1),IF($R$17="Distrato",$E994,0)),MIN(AV$38,$D$19),$P$20))-SUM($P994:AU994)</f>
        <v>#VALUE!</v>
      </c>
      <c r="AW994" s="446" t="e">
        <f>IF(OR($B994="",MIN(AW$38,$D$19)&lt;MAX($P$708*($B994+IF($R$17="Distrato",$I$38-1,0)),IF(AND($L$711=0,$P$708=0),"",$L$711-1),IF($R$17="Distrato",$E994,0))),0,YEARFRAC(MAX($P$708*($B994+IF($R$17="Distrato",$I$38-1,0)),IF(AND($L$711=0,$P$708=0),"",$L$711-1),IF($R$17="Distrato",$E994,0)),MIN(AW$38,$D$19),$P$20))-SUM($P994:AV994)</f>
        <v>#VALUE!</v>
      </c>
      <c r="AX994" s="446" t="e">
        <f>IF(OR($B994="",MIN(AX$38,$D$19)&lt;MAX($P$708*($B994+IF($R$17="Distrato",$I$38-1,0)),IF(AND($L$711=0,$P$708=0),"",$L$711-1),IF($R$17="Distrato",$E994,0))),0,YEARFRAC(MAX($P$708*($B994+IF($R$17="Distrato",$I$38-1,0)),IF(AND($L$711=0,$P$708=0),"",$L$711-1),IF($R$17="Distrato",$E994,0)),MIN(AX$38,$D$19),$P$20))-SUM($P994:AW994)</f>
        <v>#VALUE!</v>
      </c>
      <c r="AY994" s="446" t="e">
        <f>IF(OR($B994="",MIN(AY$38,$D$19)&lt;MAX($P$708*($B994+IF($R$17="Distrato",$I$38-1,0)),IF(AND($L$711=0,$P$708=0),"",$L$711-1),IF($R$17="Distrato",$E994,0))),0,YEARFRAC(MAX($P$708*($B994+IF($R$17="Distrato",$I$38-1,0)),IF(AND($L$711=0,$P$708=0),"",$L$711-1),IF($R$17="Distrato",$E994,0)),MIN(AY$38,$D$19),$P$20))-SUM($P994:AX994)</f>
        <v>#VALUE!</v>
      </c>
      <c r="AZ994" s="446" t="e">
        <f>IF(OR($B994="",MIN(AZ$38,$D$19)&lt;MAX($P$708*($B994+IF($R$17="Distrato",$I$38-1,0)),IF(AND($L$711=0,$P$708=0),"",$L$711-1),IF($R$17="Distrato",$E994,0))),0,YEARFRAC(MAX($P$708*($B994+IF($R$17="Distrato",$I$38-1,0)),IF(AND($L$711=0,$P$708=0),"",$L$711-1),IF($R$17="Distrato",$E994,0)),MIN(AZ$38,$D$19),$P$20))-SUM($P994:AY994)</f>
        <v>#VALUE!</v>
      </c>
      <c r="BA994" s="446" t="e">
        <f>IF(OR($B994="",MIN(BA$38,$D$19)&lt;MAX($P$708*($B994+IF($R$17="Distrato",$I$38-1,0)),IF(AND($L$711=0,$P$708=0),"",$L$711-1),IF($R$17="Distrato",$E994,0))),0,YEARFRAC(MAX($P$708*($B994+IF($R$17="Distrato",$I$38-1,0)),IF(AND($L$711=0,$P$708=0),"",$L$711-1),IF($R$17="Distrato",$E994,0)),MIN(BA$38,$D$19),$P$20))-SUM($P994:AZ994)</f>
        <v>#VALUE!</v>
      </c>
      <c r="BB994" s="447"/>
    </row>
    <row r="995" spans="1:54" s="446" customFormat="1" ht="11.25" hidden="1" customHeight="1" x14ac:dyDescent="0.2">
      <c r="A995" s="235"/>
      <c r="B995" s="236"/>
      <c r="C995" s="29" t="str">
        <f>IF(B995="","",IF($L$709=$BL$25,VLOOKUP(DATE(YEAR($D$19),MONTH($D$19)-1,1),ÍNDICES!$A:$DE,HLOOKUP($BL$25,ÍNDICES!$B$3:$T$4,2)+11)-VLOOKUP(B995,ÍNDICES!$A:$DE,HLOOKUP($BL$25,ÍNDICES!$B$3:$T$4,2)+11)+1%,IF(C$712=$W$26,$J$35,IF(ISERROR(IF(B995&gt;$D$19,1,VLOOKUP(DATE(YEAR(B995),MONTH(B995)+IF($C$709=$S$23,1,0),1),ÍNDICES!$A:$DE,$Z$709+1))),"",IF(B995&gt;$D$19,1,VLOOKUP(DATE(YEAR(B995),MONTH(B995)+IF($C$709=$S$23,1,0),1),ÍNDICES!$A:$DE,$Z$709+1))))))</f>
        <v/>
      </c>
      <c r="D995" s="155"/>
      <c r="E995" s="88"/>
      <c r="F995" s="88"/>
      <c r="G995" s="88"/>
      <c r="H995" s="118"/>
      <c r="I995" s="182">
        <f t="shared" si="143"/>
        <v>0</v>
      </c>
      <c r="J995" s="20">
        <f t="shared" ca="1" si="144"/>
        <v>0</v>
      </c>
      <c r="K995" s="5">
        <f t="shared" ca="1" si="145"/>
        <v>0</v>
      </c>
      <c r="L995" s="61">
        <f t="shared" ca="1" si="146"/>
        <v>0</v>
      </c>
      <c r="M995" s="64">
        <f t="shared" si="147"/>
        <v>0</v>
      </c>
      <c r="N995" s="151"/>
      <c r="O995" s="5">
        <f t="shared" ca="1" si="148"/>
        <v>0</v>
      </c>
      <c r="P995" s="446" t="e">
        <f t="shared" si="149"/>
        <v>#VALUE!</v>
      </c>
      <c r="Q995" s="446" t="e">
        <f>IF(OR($B995="",MIN(Q$38,$D$19)&lt;MAX($P$708*($B995+IF($R$17="Distrato",$I$38-1,0)),IF(AND($L$711=0,$P$708=0),"",$L$711-1),IF($R$17="Distrato",$E995,0))),0,YEARFRAC(MAX($P$708*($B995+IF($R$17="Distrato",$I$38-1,0)),IF(AND($L$711=0,$P$708=0),"",$L$711-1),IF($R$17="Distrato",$E995,0)),MIN(Q$38,$D$19),$P$20))-SUM($P995:P995)</f>
        <v>#VALUE!</v>
      </c>
      <c r="R995" s="446" t="e">
        <f>IF(OR($B995="",MIN(R$38,$D$19)&lt;MAX($P$708*($B995+IF($R$17="Distrato",$I$38-1,0)),IF(AND($L$711=0,$P$708=0),"",$L$711-1),IF($R$17="Distrato",$E995,0))),0,YEARFRAC(MAX($P$708*($B995+IF($R$17="Distrato",$I$38-1,0)),IF(AND($L$711=0,$P$708=0),"",$L$711-1),IF($R$17="Distrato",$E995,0)),MIN(R$38,$D$19),$P$20))-SUM($P995:Q995)</f>
        <v>#VALUE!</v>
      </c>
      <c r="S995" s="446" t="e">
        <f>IF(OR($B995="",MIN(S$38,$D$19)&lt;MAX($P$708*($B995+IF($R$17="Distrato",$I$38-1,0)),IF(AND($L$711=0,$P$708=0),"",$L$711-1),IF($R$17="Distrato",$E995,0))),0,YEARFRAC(MAX($P$708*($B995+IF($R$17="Distrato",$I$38-1,0)),IF(AND($L$711=0,$P$708=0),"",$L$711-1),IF($R$17="Distrato",$E995,0)),MIN(S$38,$D$19),$P$20))-SUM($P995:R995)</f>
        <v>#VALUE!</v>
      </c>
      <c r="T995" s="446" t="e">
        <f>IF(OR($B995="",MIN(T$38,$D$19)&lt;MAX($P$708*($B995+IF($R$17="Distrato",$I$38-1,0)),IF(AND($L$711=0,$P$708=0),"",$L$711-1),IF($R$17="Distrato",$E995,0))),0,YEARFRAC(MAX($P$708*($B995+IF($R$17="Distrato",$I$38-1,0)),IF(AND($L$711=0,$P$708=0),"",$L$711-1),IF($R$17="Distrato",$E995,0)),MIN(T$38,$D$19),$P$20))-SUM($P995:S995)</f>
        <v>#VALUE!</v>
      </c>
      <c r="U995" s="446" t="e">
        <f>IF(OR($B995="",MIN(U$38,$D$19)&lt;MAX($P$708*($B995+IF($R$17="Distrato",$I$38-1,0)),IF(AND($L$711=0,$P$708=0),"",$L$711-1),IF($R$17="Distrato",$E995,0))),0,YEARFRAC(MAX($P$708*($B995+IF($R$17="Distrato",$I$38-1,0)),IF(AND($L$711=0,$P$708=0),"",$L$711-1),IF($R$17="Distrato",$E995,0)),MIN(U$38,$D$19),$P$20))-SUM($P995:T995)</f>
        <v>#VALUE!</v>
      </c>
      <c r="V995" s="446" t="e">
        <f>IF(OR($B995="",MIN(V$38,$D$19)&lt;MAX($P$708*($B995+IF($R$17="Distrato",$I$38-1,0)),IF(AND($L$711=0,$P$708=0),"",$L$711-1),IF($R$17="Distrato",$E995,0))),0,YEARFRAC(MAX($P$708*($B995+IF($R$17="Distrato",$I$38-1,0)),IF(AND($L$711=0,$P$708=0),"",$L$711-1),IF($R$17="Distrato",$E995,0)),MIN(V$38,$D$19),$P$20))-SUM($P995:U995)</f>
        <v>#VALUE!</v>
      </c>
      <c r="W995" s="446" t="e">
        <f>IF(OR($B995="",MIN(W$38,$D$19)&lt;MAX($P$708*($B995+IF($R$17="Distrato",$I$38-1,0)),IF(AND($L$711=0,$P$708=0),"",$L$711-1),IF($R$17="Distrato",$E995,0))),0,YEARFRAC(MAX($P$708*($B995+IF($R$17="Distrato",$I$38-1,0)),IF(AND($L$711=0,$P$708=0),"",$L$711-1),IF($R$17="Distrato",$E995,0)),MIN(W$38,$D$19),$P$20))-SUM($P995:V995)</f>
        <v>#VALUE!</v>
      </c>
      <c r="X995" s="446" t="e">
        <f>IF(OR($B995="",MIN(X$38,$D$19)&lt;MAX($P$708*($B995+IF($R$17="Distrato",$I$38-1,0)),IF(AND($L$711=0,$P$708=0),"",$L$711-1),IF($R$17="Distrato",$E995,0))),0,YEARFRAC(MAX($P$708*($B995+IF($R$17="Distrato",$I$38-1,0)),IF(AND($L$711=0,$P$708=0),"",$L$711-1),IF($R$17="Distrato",$E995,0)),MIN(X$38,$D$19),$P$20))-SUM($P995:W995)</f>
        <v>#VALUE!</v>
      </c>
      <c r="Y995" s="446" t="e">
        <f>IF(OR($B995="",MIN(Y$38,$D$19)&lt;MAX($P$708*($B995+IF($R$17="Distrato",$I$38-1,0)),IF(AND($L$711=0,$P$708=0),"",$L$711-1),IF($R$17="Distrato",$E995,0))),0,YEARFRAC(MAX($P$708*($B995+IF($R$17="Distrato",$I$38-1,0)),IF(AND($L$711=0,$P$708=0),"",$L$711-1),IF($R$17="Distrato",$E995,0)),MIN(Y$38,$D$19),$P$20))-SUM($P995:X995)</f>
        <v>#VALUE!</v>
      </c>
      <c r="Z995" s="446" t="e">
        <f>IF(OR($B995="",MIN(Z$38,$D$19)&lt;MAX($P$708*($B995+IF($R$17="Distrato",$I$38-1,0)),IF(AND($L$711=0,$P$708=0),"",$L$711-1),IF($R$17="Distrato",$E995,0))),0,YEARFRAC(MAX($P$708*($B995+IF($R$17="Distrato",$I$38-1,0)),IF(AND($L$711=0,$P$708=0),"",$L$711-1),IF($R$17="Distrato",$E995,0)),MIN(Z$38,$D$19),$P$20))-SUM($P995:Y995)</f>
        <v>#VALUE!</v>
      </c>
      <c r="AA995" s="446" t="e">
        <f>IF(OR($B995="",MIN(AA$38,$D$19)&lt;MAX($P$708*($B995+IF($R$17="Distrato",$I$38-1,0)),IF(AND($L$711=0,$P$708=0),"",$L$711-1),IF($R$17="Distrato",$E995,0))),0,YEARFRAC(MAX($P$708*($B995+IF($R$17="Distrato",$I$38-1,0)),IF(AND($L$711=0,$P$708=0),"",$L$711-1),IF($R$17="Distrato",$E995,0)),MIN(AA$38,$D$19),$P$20))-SUM($P995:Z995)</f>
        <v>#VALUE!</v>
      </c>
      <c r="AB995" s="446" t="e">
        <f>IF(OR($B995="",MIN(AB$38,$D$19)&lt;MAX($P$708*($B995+IF($R$17="Distrato",$I$38-1,0)),IF(AND($L$711=0,$P$708=0),"",$L$711-1),IF($R$17="Distrato",$E995,0))),0,YEARFRAC(MAX($P$708*($B995+IF($R$17="Distrato",$I$38-1,0)),IF(AND($L$711=0,$P$708=0),"",$L$711-1),IF($R$17="Distrato",$E995,0)),MIN(AB$38,$D$19),$P$20))-SUM($P995:AA995)</f>
        <v>#VALUE!</v>
      </c>
      <c r="AC995" s="446" t="e">
        <f>IF(OR($B995="",MIN(AC$38,$D$19)&lt;MAX($P$708*($B995+IF($R$17="Distrato",$I$38-1,0)),IF(AND($L$711=0,$P$708=0),"",$L$711-1),IF($R$17="Distrato",$E995,0))),0,YEARFRAC(MAX($P$708*($B995+IF($R$17="Distrato",$I$38-1,0)),IF(AND($L$711=0,$P$708=0),"",$L$711-1),IF($R$17="Distrato",$E995,0)),MIN(AC$38,$D$19),$P$20))-SUM($P995:AB995)</f>
        <v>#VALUE!</v>
      </c>
      <c r="AD995" s="446" t="e">
        <f>IF(OR($B995="",MIN(AD$38,$D$19)&lt;MAX($P$708*($B995+IF($R$17="Distrato",$I$38-1,0)),IF(AND($L$711=0,$P$708=0),"",$L$711-1),IF($R$17="Distrato",$E995,0))),0,YEARFRAC(MAX($P$708*($B995+IF($R$17="Distrato",$I$38-1,0)),IF(AND($L$711=0,$P$708=0),"",$L$711-1),IF($R$17="Distrato",$E995,0)),MIN(AD$38,$D$19),$P$20))-SUM($P995:AC995)</f>
        <v>#VALUE!</v>
      </c>
      <c r="AE995" s="446" t="e">
        <f>IF(OR($B995="",MIN(AE$38,$D$19)&lt;MAX($P$708*($B995+IF($R$17="Distrato",$I$38-1,0)),IF(AND($L$711=0,$P$708=0),"",$L$711-1),IF($R$17="Distrato",$E995,0))),0,YEARFRAC(MAX($P$708*($B995+IF($R$17="Distrato",$I$38-1,0)),IF(AND($L$711=0,$P$708=0),"",$L$711-1),IF($R$17="Distrato",$E995,0)),MIN(AE$38,$D$19),$P$20))-SUM($P995:AD995)</f>
        <v>#VALUE!</v>
      </c>
      <c r="AF995" s="446" t="e">
        <f>IF(OR($B995="",MIN(AF$38,$D$19)&lt;MAX($P$708*($B995+IF($R$17="Distrato",$I$38-1,0)),IF(AND($L$711=0,$P$708=0),"",$L$711-1),IF($R$17="Distrato",$E995,0))),0,YEARFRAC(MAX($P$708*($B995+IF($R$17="Distrato",$I$38-1,0)),IF(AND($L$711=0,$P$708=0),"",$L$711-1),IF($R$17="Distrato",$E995,0)),MIN(AF$38,$D$19),$P$20))-SUM($P995:AE995)</f>
        <v>#VALUE!</v>
      </c>
      <c r="AG995" s="446" t="e">
        <f>IF(OR($B995="",MIN(AG$38,$D$19)&lt;MAX($P$708*($B995+IF($R$17="Distrato",$I$38-1,0)),IF(AND($L$711=0,$P$708=0),"",$L$711-1),IF($R$17="Distrato",$E995,0))),0,YEARFRAC(MAX($P$708*($B995+IF($R$17="Distrato",$I$38-1,0)),IF(AND($L$711=0,$P$708=0),"",$L$711-1),IF($R$17="Distrato",$E995,0)),MIN(AG$38,$D$19),$P$20))-SUM($P995:AF995)</f>
        <v>#VALUE!</v>
      </c>
      <c r="AH995" s="446" t="e">
        <f>IF(OR($B995="",MIN(AH$38,$D$19)&lt;MAX($P$708*($B995+IF($R$17="Distrato",$I$38-1,0)),IF(AND($L$711=0,$P$708=0),"",$L$711-1),IF($R$17="Distrato",$E995,0))),0,YEARFRAC(MAX($P$708*($B995+IF($R$17="Distrato",$I$38-1,0)),IF(AND($L$711=0,$P$708=0),"",$L$711-1),IF($R$17="Distrato",$E995,0)),MIN(AH$38,$D$19),$P$20))-SUM($P995:AG995)</f>
        <v>#VALUE!</v>
      </c>
      <c r="AI995" s="446" t="e">
        <f>IF(OR($B995="",MIN(AI$38,$D$19)&lt;MAX($P$708*($B995+IF($R$17="Distrato",$I$38-1,0)),IF(AND($L$711=0,$P$708=0),"",$L$711-1),IF($R$17="Distrato",$E995,0))),0,YEARFRAC(MAX($P$708*($B995+IF($R$17="Distrato",$I$38-1,0)),IF(AND($L$711=0,$P$708=0),"",$L$711-1),IF($R$17="Distrato",$E995,0)),MIN(AI$38,$D$19),$P$20))-SUM($P995:AH995)</f>
        <v>#VALUE!</v>
      </c>
      <c r="AJ995" s="446" t="e">
        <f>IF(OR($B995="",MIN(AJ$38,$D$19)&lt;MAX($P$708*($B995+IF($R$17="Distrato",$I$38-1,0)),IF(AND($L$711=0,$P$708=0),"",$L$711-1),IF($R$17="Distrato",$E995,0))),0,YEARFRAC(MAX($P$708*($B995+IF($R$17="Distrato",$I$38-1,0)),IF(AND($L$711=0,$P$708=0),"",$L$711-1),IF($R$17="Distrato",$E995,0)),MIN(AJ$38,$D$19),$P$20))-SUM($P995:AI995)</f>
        <v>#VALUE!</v>
      </c>
      <c r="AK995" s="446" t="e">
        <f>IF(OR($B995="",MIN(AK$38,$D$19)&lt;MAX($P$708*($B995+IF($R$17="Distrato",$I$38-1,0)),IF(AND($L$711=0,$P$708=0),"",$L$711-1),IF($R$17="Distrato",$E995,0))),0,YEARFRAC(MAX($P$708*($B995+IF($R$17="Distrato",$I$38-1,0)),IF(AND($L$711=0,$P$708=0),"",$L$711-1),IF($R$17="Distrato",$E995,0)),MIN(AK$38,$D$19),$P$20))-SUM($P995:AJ995)</f>
        <v>#VALUE!</v>
      </c>
      <c r="AL995" s="446" t="e">
        <f>IF(OR($B995="",MIN(AL$38,$D$19)&lt;MAX($P$708*($B995+IF($R$17="Distrato",$I$38-1,0)),IF(AND($L$711=0,$P$708=0),"",$L$711-1),IF($R$17="Distrato",$E995,0))),0,YEARFRAC(MAX($P$708*($B995+IF($R$17="Distrato",$I$38-1,0)),IF(AND($L$711=0,$P$708=0),"",$L$711-1),IF($R$17="Distrato",$E995,0)),MIN(AL$38,$D$19),$P$20))-SUM($P995:AK995)</f>
        <v>#VALUE!</v>
      </c>
      <c r="AM995" s="446" t="e">
        <f>IF(OR($B995="",MIN(AM$38,$D$19)&lt;MAX($P$708*($B995+IF($R$17="Distrato",$I$38-1,0)),IF(AND($L$711=0,$P$708=0),"",$L$711-1),IF($R$17="Distrato",$E995,0))),0,YEARFRAC(MAX($P$708*($B995+IF($R$17="Distrato",$I$38-1,0)),IF(AND($L$711=0,$P$708=0),"",$L$711-1),IF($R$17="Distrato",$E995,0)),MIN(AM$38,$D$19),$P$20))-SUM($P995:AL995)</f>
        <v>#VALUE!</v>
      </c>
      <c r="AN995" s="446" t="e">
        <f>IF(OR($B995="",MIN(AN$38,$D$19)&lt;MAX($P$708*($B995+IF($R$17="Distrato",$I$38-1,0)),IF(AND($L$711=0,$P$708=0),"",$L$711-1),IF($R$17="Distrato",$E995,0))),0,YEARFRAC(MAX($P$708*($B995+IF($R$17="Distrato",$I$38-1,0)),IF(AND($L$711=0,$P$708=0),"",$L$711-1),IF($R$17="Distrato",$E995,0)),MIN(AN$38,$D$19),$P$20))-SUM($P995:AM995)</f>
        <v>#VALUE!</v>
      </c>
      <c r="AO995" s="446" t="e">
        <f>IF(OR($B995="",MIN(AO$38,$D$19)&lt;MAX($P$708*($B995+IF($R$17="Distrato",$I$38-1,0)),IF(AND($L$711=0,$P$708=0),"",$L$711-1),IF($R$17="Distrato",$E995,0))),0,YEARFRAC(MAX($P$708*($B995+IF($R$17="Distrato",$I$38-1,0)),IF(AND($L$711=0,$P$708=0),"",$L$711-1),IF($R$17="Distrato",$E995,0)),MIN(AO$38,$D$19),$P$20))-SUM($P995:AN995)</f>
        <v>#VALUE!</v>
      </c>
      <c r="AP995" s="446" t="e">
        <f>IF(OR($B995="",MIN(AP$38,$D$19)&lt;MAX($P$708*($B995+IF($R$17="Distrato",$I$38-1,0)),IF(AND($L$711=0,$P$708=0),"",$L$711-1),IF($R$17="Distrato",$E995,0))),0,YEARFRAC(MAX($P$708*($B995+IF($R$17="Distrato",$I$38-1,0)),IF(AND($L$711=0,$P$708=0),"",$L$711-1),IF($R$17="Distrato",$E995,0)),MIN(AP$38,$D$19),$P$20))-SUM($P995:AO995)</f>
        <v>#VALUE!</v>
      </c>
      <c r="AQ995" s="446" t="e">
        <f>IF(OR($B995="",MIN(AQ$38,$D$19)&lt;MAX($P$708*($B995+IF($R$17="Distrato",$I$38-1,0)),IF(AND($L$711=0,$P$708=0),"",$L$711-1),IF($R$17="Distrato",$E995,0))),0,YEARFRAC(MAX($P$708*($B995+IF($R$17="Distrato",$I$38-1,0)),IF(AND($L$711=0,$P$708=0),"",$L$711-1),IF($R$17="Distrato",$E995,0)),MIN(AQ$38,$D$19),$P$20))-SUM($P995:AP995)</f>
        <v>#VALUE!</v>
      </c>
      <c r="AR995" s="446" t="e">
        <f>IF(OR($B995="",MIN(AR$38,$D$19)&lt;MAX($P$708*($B995+IF($R$17="Distrato",$I$38-1,0)),IF(AND($L$711=0,$P$708=0),"",$L$711-1),IF($R$17="Distrato",$E995,0))),0,YEARFRAC(MAX($P$708*($B995+IF($R$17="Distrato",$I$38-1,0)),IF(AND($L$711=0,$P$708=0),"",$L$711-1),IF($R$17="Distrato",$E995,0)),MIN(AR$38,$D$19),$P$20))-SUM($P995:AQ995)</f>
        <v>#VALUE!</v>
      </c>
      <c r="AS995" s="446" t="e">
        <f>IF(OR($B995="",MIN(AS$38,$D$19)&lt;MAX($P$708*($B995+IF($R$17="Distrato",$I$38-1,0)),IF(AND($L$711=0,$P$708=0),"",$L$711-1),IF($R$17="Distrato",$E995,0))),0,YEARFRAC(MAX($P$708*($B995+IF($R$17="Distrato",$I$38-1,0)),IF(AND($L$711=0,$P$708=0),"",$L$711-1),IF($R$17="Distrato",$E995,0)),MIN(AS$38,$D$19),$P$20))-SUM($P995:AR995)</f>
        <v>#VALUE!</v>
      </c>
      <c r="AT995" s="446" t="e">
        <f>IF(OR($B995="",MIN(AT$38,$D$19)&lt;MAX($P$708*($B995+IF($R$17="Distrato",$I$38-1,0)),IF(AND($L$711=0,$P$708=0),"",$L$711-1),IF($R$17="Distrato",$E995,0))),0,YEARFRAC(MAX($P$708*($B995+IF($R$17="Distrato",$I$38-1,0)),IF(AND($L$711=0,$P$708=0),"",$L$711-1),IF($R$17="Distrato",$E995,0)),MIN(AT$38,$D$19),$P$20))-SUM($P995:AS995)</f>
        <v>#VALUE!</v>
      </c>
      <c r="AU995" s="446" t="e">
        <f>IF(OR($B995="",MIN(AU$38,$D$19)&lt;MAX($P$708*($B995+IF($R$17="Distrato",$I$38-1,0)),IF(AND($L$711=0,$P$708=0),"",$L$711-1),IF($R$17="Distrato",$E995,0))),0,YEARFRAC(MAX($P$708*($B995+IF($R$17="Distrato",$I$38-1,0)),IF(AND($L$711=0,$P$708=0),"",$L$711-1),IF($R$17="Distrato",$E995,0)),MIN(AU$38,$D$19),$P$20))-SUM($P995:AT995)</f>
        <v>#VALUE!</v>
      </c>
      <c r="AV995" s="446" t="e">
        <f>IF(OR($B995="",MIN(AV$38,$D$19)&lt;MAX($P$708*($B995+IF($R$17="Distrato",$I$38-1,0)),IF(AND($L$711=0,$P$708=0),"",$L$711-1),IF($R$17="Distrato",$E995,0))),0,YEARFRAC(MAX($P$708*($B995+IF($R$17="Distrato",$I$38-1,0)),IF(AND($L$711=0,$P$708=0),"",$L$711-1),IF($R$17="Distrato",$E995,0)),MIN(AV$38,$D$19),$P$20))-SUM($P995:AU995)</f>
        <v>#VALUE!</v>
      </c>
      <c r="AW995" s="446" t="e">
        <f>IF(OR($B995="",MIN(AW$38,$D$19)&lt;MAX($P$708*($B995+IF($R$17="Distrato",$I$38-1,0)),IF(AND($L$711=0,$P$708=0),"",$L$711-1),IF($R$17="Distrato",$E995,0))),0,YEARFRAC(MAX($P$708*($B995+IF($R$17="Distrato",$I$38-1,0)),IF(AND($L$711=0,$P$708=0),"",$L$711-1),IF($R$17="Distrato",$E995,0)),MIN(AW$38,$D$19),$P$20))-SUM($P995:AV995)</f>
        <v>#VALUE!</v>
      </c>
      <c r="AX995" s="446" t="e">
        <f>IF(OR($B995="",MIN(AX$38,$D$19)&lt;MAX($P$708*($B995+IF($R$17="Distrato",$I$38-1,0)),IF(AND($L$711=0,$P$708=0),"",$L$711-1),IF($R$17="Distrato",$E995,0))),0,YEARFRAC(MAX($P$708*($B995+IF($R$17="Distrato",$I$38-1,0)),IF(AND($L$711=0,$P$708=0),"",$L$711-1),IF($R$17="Distrato",$E995,0)),MIN(AX$38,$D$19),$P$20))-SUM($P995:AW995)</f>
        <v>#VALUE!</v>
      </c>
      <c r="AY995" s="446" t="e">
        <f>IF(OR($B995="",MIN(AY$38,$D$19)&lt;MAX($P$708*($B995+IF($R$17="Distrato",$I$38-1,0)),IF(AND($L$711=0,$P$708=0),"",$L$711-1),IF($R$17="Distrato",$E995,0))),0,YEARFRAC(MAX($P$708*($B995+IF($R$17="Distrato",$I$38-1,0)),IF(AND($L$711=0,$P$708=0),"",$L$711-1),IF($R$17="Distrato",$E995,0)),MIN(AY$38,$D$19),$P$20))-SUM($P995:AX995)</f>
        <v>#VALUE!</v>
      </c>
      <c r="AZ995" s="446" t="e">
        <f>IF(OR($B995="",MIN(AZ$38,$D$19)&lt;MAX($P$708*($B995+IF($R$17="Distrato",$I$38-1,0)),IF(AND($L$711=0,$P$708=0),"",$L$711-1),IF($R$17="Distrato",$E995,0))),0,YEARFRAC(MAX($P$708*($B995+IF($R$17="Distrato",$I$38-1,0)),IF(AND($L$711=0,$P$708=0),"",$L$711-1),IF($R$17="Distrato",$E995,0)),MIN(AZ$38,$D$19),$P$20))-SUM($P995:AY995)</f>
        <v>#VALUE!</v>
      </c>
      <c r="BA995" s="446" t="e">
        <f>IF(OR($B995="",MIN(BA$38,$D$19)&lt;MAX($P$708*($B995+IF($R$17="Distrato",$I$38-1,0)),IF(AND($L$711=0,$P$708=0),"",$L$711-1),IF($R$17="Distrato",$E995,0))),0,YEARFRAC(MAX($P$708*($B995+IF($R$17="Distrato",$I$38-1,0)),IF(AND($L$711=0,$P$708=0),"",$L$711-1),IF($R$17="Distrato",$E995,0)),MIN(BA$38,$D$19),$P$20))-SUM($P995:AZ995)</f>
        <v>#VALUE!</v>
      </c>
      <c r="BB995" s="447"/>
    </row>
    <row r="996" spans="1:54" s="446" customFormat="1" ht="11.25" hidden="1" customHeight="1" x14ac:dyDescent="0.2">
      <c r="A996" s="235"/>
      <c r="B996" s="236"/>
      <c r="C996" s="29" t="str">
        <f>IF(B996="","",IF($L$709=$BL$25,VLOOKUP(DATE(YEAR($D$19),MONTH($D$19)-1,1),ÍNDICES!$A:$DE,HLOOKUP($BL$25,ÍNDICES!$B$3:$T$4,2)+11)-VLOOKUP(B996,ÍNDICES!$A:$DE,HLOOKUP($BL$25,ÍNDICES!$B$3:$T$4,2)+11)+1%,IF(C$712=$W$26,$J$35,IF(ISERROR(IF(B996&gt;$D$19,1,VLOOKUP(DATE(YEAR(B996),MONTH(B996)+IF($C$709=$S$23,1,0),1),ÍNDICES!$A:$DE,$Z$709+1))),"",IF(B996&gt;$D$19,1,VLOOKUP(DATE(YEAR(B996),MONTH(B996)+IF($C$709=$S$23,1,0),1),ÍNDICES!$A:$DE,$Z$709+1))))))</f>
        <v/>
      </c>
      <c r="D996" s="155"/>
      <c r="E996" s="88"/>
      <c r="F996" s="88"/>
      <c r="G996" s="88"/>
      <c r="H996" s="118"/>
      <c r="I996" s="182">
        <f t="shared" si="143"/>
        <v>0</v>
      </c>
      <c r="J996" s="20">
        <f t="shared" ca="1" si="144"/>
        <v>0</v>
      </c>
      <c r="K996" s="5">
        <f t="shared" ca="1" si="145"/>
        <v>0</v>
      </c>
      <c r="L996" s="61">
        <f t="shared" ca="1" si="146"/>
        <v>0</v>
      </c>
      <c r="M996" s="64">
        <f t="shared" si="147"/>
        <v>0</v>
      </c>
      <c r="N996" s="151"/>
      <c r="O996" s="5">
        <f t="shared" ca="1" si="148"/>
        <v>0</v>
      </c>
      <c r="P996" s="446" t="e">
        <f t="shared" si="149"/>
        <v>#VALUE!</v>
      </c>
      <c r="Q996" s="446" t="e">
        <f>IF(OR($B996="",MIN(Q$38,$D$19)&lt;MAX($P$708*($B996+IF($R$17="Distrato",$I$38-1,0)),IF(AND($L$711=0,$P$708=0),"",$L$711-1),IF($R$17="Distrato",$E996,0))),0,YEARFRAC(MAX($P$708*($B996+IF($R$17="Distrato",$I$38-1,0)),IF(AND($L$711=0,$P$708=0),"",$L$711-1),IF($R$17="Distrato",$E996,0)),MIN(Q$38,$D$19),$P$20))-SUM($P996:P996)</f>
        <v>#VALUE!</v>
      </c>
      <c r="R996" s="446" t="e">
        <f>IF(OR($B996="",MIN(R$38,$D$19)&lt;MAX($P$708*($B996+IF($R$17="Distrato",$I$38-1,0)),IF(AND($L$711=0,$P$708=0),"",$L$711-1),IF($R$17="Distrato",$E996,0))),0,YEARFRAC(MAX($P$708*($B996+IF($R$17="Distrato",$I$38-1,0)),IF(AND($L$711=0,$P$708=0),"",$L$711-1),IF($R$17="Distrato",$E996,0)),MIN(R$38,$D$19),$P$20))-SUM($P996:Q996)</f>
        <v>#VALUE!</v>
      </c>
      <c r="S996" s="446" t="e">
        <f>IF(OR($B996="",MIN(S$38,$D$19)&lt;MAX($P$708*($B996+IF($R$17="Distrato",$I$38-1,0)),IF(AND($L$711=0,$P$708=0),"",$L$711-1),IF($R$17="Distrato",$E996,0))),0,YEARFRAC(MAX($P$708*($B996+IF($R$17="Distrato",$I$38-1,0)),IF(AND($L$711=0,$P$708=0),"",$L$711-1),IF($R$17="Distrato",$E996,0)),MIN(S$38,$D$19),$P$20))-SUM($P996:R996)</f>
        <v>#VALUE!</v>
      </c>
      <c r="T996" s="446" t="e">
        <f>IF(OR($B996="",MIN(T$38,$D$19)&lt;MAX($P$708*($B996+IF($R$17="Distrato",$I$38-1,0)),IF(AND($L$711=0,$P$708=0),"",$L$711-1),IF($R$17="Distrato",$E996,0))),0,YEARFRAC(MAX($P$708*($B996+IF($R$17="Distrato",$I$38-1,0)),IF(AND($L$711=0,$P$708=0),"",$L$711-1),IF($R$17="Distrato",$E996,0)),MIN(T$38,$D$19),$P$20))-SUM($P996:S996)</f>
        <v>#VALUE!</v>
      </c>
      <c r="U996" s="446" t="e">
        <f>IF(OR($B996="",MIN(U$38,$D$19)&lt;MAX($P$708*($B996+IF($R$17="Distrato",$I$38-1,0)),IF(AND($L$711=0,$P$708=0),"",$L$711-1),IF($R$17="Distrato",$E996,0))),0,YEARFRAC(MAX($P$708*($B996+IF($R$17="Distrato",$I$38-1,0)),IF(AND($L$711=0,$P$708=0),"",$L$711-1),IF($R$17="Distrato",$E996,0)),MIN(U$38,$D$19),$P$20))-SUM($P996:T996)</f>
        <v>#VALUE!</v>
      </c>
      <c r="V996" s="446" t="e">
        <f>IF(OR($B996="",MIN(V$38,$D$19)&lt;MAX($P$708*($B996+IF($R$17="Distrato",$I$38-1,0)),IF(AND($L$711=0,$P$708=0),"",$L$711-1),IF($R$17="Distrato",$E996,0))),0,YEARFRAC(MAX($P$708*($B996+IF($R$17="Distrato",$I$38-1,0)),IF(AND($L$711=0,$P$708=0),"",$L$711-1),IF($R$17="Distrato",$E996,0)),MIN(V$38,$D$19),$P$20))-SUM($P996:U996)</f>
        <v>#VALUE!</v>
      </c>
      <c r="W996" s="446" t="e">
        <f>IF(OR($B996="",MIN(W$38,$D$19)&lt;MAX($P$708*($B996+IF($R$17="Distrato",$I$38-1,0)),IF(AND($L$711=0,$P$708=0),"",$L$711-1),IF($R$17="Distrato",$E996,0))),0,YEARFRAC(MAX($P$708*($B996+IF($R$17="Distrato",$I$38-1,0)),IF(AND($L$711=0,$P$708=0),"",$L$711-1),IF($R$17="Distrato",$E996,0)),MIN(W$38,$D$19),$P$20))-SUM($P996:V996)</f>
        <v>#VALUE!</v>
      </c>
      <c r="X996" s="446" t="e">
        <f>IF(OR($B996="",MIN(X$38,$D$19)&lt;MAX($P$708*($B996+IF($R$17="Distrato",$I$38-1,0)),IF(AND($L$711=0,$P$708=0),"",$L$711-1),IF($R$17="Distrato",$E996,0))),0,YEARFRAC(MAX($P$708*($B996+IF($R$17="Distrato",$I$38-1,0)),IF(AND($L$711=0,$P$708=0),"",$L$711-1),IF($R$17="Distrato",$E996,0)),MIN(X$38,$D$19),$P$20))-SUM($P996:W996)</f>
        <v>#VALUE!</v>
      </c>
      <c r="Y996" s="446" t="e">
        <f>IF(OR($B996="",MIN(Y$38,$D$19)&lt;MAX($P$708*($B996+IF($R$17="Distrato",$I$38-1,0)),IF(AND($L$711=0,$P$708=0),"",$L$711-1),IF($R$17="Distrato",$E996,0))),0,YEARFRAC(MAX($P$708*($B996+IF($R$17="Distrato",$I$38-1,0)),IF(AND($L$711=0,$P$708=0),"",$L$711-1),IF($R$17="Distrato",$E996,0)),MIN(Y$38,$D$19),$P$20))-SUM($P996:X996)</f>
        <v>#VALUE!</v>
      </c>
      <c r="Z996" s="446" t="e">
        <f>IF(OR($B996="",MIN(Z$38,$D$19)&lt;MAX($P$708*($B996+IF($R$17="Distrato",$I$38-1,0)),IF(AND($L$711=0,$P$708=0),"",$L$711-1),IF($R$17="Distrato",$E996,0))),0,YEARFRAC(MAX($P$708*($B996+IF($R$17="Distrato",$I$38-1,0)),IF(AND($L$711=0,$P$708=0),"",$L$711-1),IF($R$17="Distrato",$E996,0)),MIN(Z$38,$D$19),$P$20))-SUM($P996:Y996)</f>
        <v>#VALUE!</v>
      </c>
      <c r="AA996" s="446" t="e">
        <f>IF(OR($B996="",MIN(AA$38,$D$19)&lt;MAX($P$708*($B996+IF($R$17="Distrato",$I$38-1,0)),IF(AND($L$711=0,$P$708=0),"",$L$711-1),IF($R$17="Distrato",$E996,0))),0,YEARFRAC(MAX($P$708*($B996+IF($R$17="Distrato",$I$38-1,0)),IF(AND($L$711=0,$P$708=0),"",$L$711-1),IF($R$17="Distrato",$E996,0)),MIN(AA$38,$D$19),$P$20))-SUM($P996:Z996)</f>
        <v>#VALUE!</v>
      </c>
      <c r="AB996" s="446" t="e">
        <f>IF(OR($B996="",MIN(AB$38,$D$19)&lt;MAX($P$708*($B996+IF($R$17="Distrato",$I$38-1,0)),IF(AND($L$711=0,$P$708=0),"",$L$711-1),IF($R$17="Distrato",$E996,0))),0,YEARFRAC(MAX($P$708*($B996+IF($R$17="Distrato",$I$38-1,0)),IF(AND($L$711=0,$P$708=0),"",$L$711-1),IF($R$17="Distrato",$E996,0)),MIN(AB$38,$D$19),$P$20))-SUM($P996:AA996)</f>
        <v>#VALUE!</v>
      </c>
      <c r="AC996" s="446" t="e">
        <f>IF(OR($B996="",MIN(AC$38,$D$19)&lt;MAX($P$708*($B996+IF($R$17="Distrato",$I$38-1,0)),IF(AND($L$711=0,$P$708=0),"",$L$711-1),IF($R$17="Distrato",$E996,0))),0,YEARFRAC(MAX($P$708*($B996+IF($R$17="Distrato",$I$38-1,0)),IF(AND($L$711=0,$P$708=0),"",$L$711-1),IF($R$17="Distrato",$E996,0)),MIN(AC$38,$D$19),$P$20))-SUM($P996:AB996)</f>
        <v>#VALUE!</v>
      </c>
      <c r="AD996" s="446" t="e">
        <f>IF(OR($B996="",MIN(AD$38,$D$19)&lt;MAX($P$708*($B996+IF($R$17="Distrato",$I$38-1,0)),IF(AND($L$711=0,$P$708=0),"",$L$711-1),IF($R$17="Distrato",$E996,0))),0,YEARFRAC(MAX($P$708*($B996+IF($R$17="Distrato",$I$38-1,0)),IF(AND($L$711=0,$P$708=0),"",$L$711-1),IF($R$17="Distrato",$E996,0)),MIN(AD$38,$D$19),$P$20))-SUM($P996:AC996)</f>
        <v>#VALUE!</v>
      </c>
      <c r="AE996" s="446" t="e">
        <f>IF(OR($B996="",MIN(AE$38,$D$19)&lt;MAX($P$708*($B996+IF($R$17="Distrato",$I$38-1,0)),IF(AND($L$711=0,$P$708=0),"",$L$711-1),IF($R$17="Distrato",$E996,0))),0,YEARFRAC(MAX($P$708*($B996+IF($R$17="Distrato",$I$38-1,0)),IF(AND($L$711=0,$P$708=0),"",$L$711-1),IF($R$17="Distrato",$E996,0)),MIN(AE$38,$D$19),$P$20))-SUM($P996:AD996)</f>
        <v>#VALUE!</v>
      </c>
      <c r="AF996" s="446" t="e">
        <f>IF(OR($B996="",MIN(AF$38,$D$19)&lt;MAX($P$708*($B996+IF($R$17="Distrato",$I$38-1,0)),IF(AND($L$711=0,$P$708=0),"",$L$711-1),IF($R$17="Distrato",$E996,0))),0,YEARFRAC(MAX($P$708*($B996+IF($R$17="Distrato",$I$38-1,0)),IF(AND($L$711=0,$P$708=0),"",$L$711-1),IF($R$17="Distrato",$E996,0)),MIN(AF$38,$D$19),$P$20))-SUM($P996:AE996)</f>
        <v>#VALUE!</v>
      </c>
      <c r="AG996" s="446" t="e">
        <f>IF(OR($B996="",MIN(AG$38,$D$19)&lt;MAX($P$708*($B996+IF($R$17="Distrato",$I$38-1,0)),IF(AND($L$711=0,$P$708=0),"",$L$711-1),IF($R$17="Distrato",$E996,0))),0,YEARFRAC(MAX($P$708*($B996+IF($R$17="Distrato",$I$38-1,0)),IF(AND($L$711=0,$P$708=0),"",$L$711-1),IF($R$17="Distrato",$E996,0)),MIN(AG$38,$D$19),$P$20))-SUM($P996:AF996)</f>
        <v>#VALUE!</v>
      </c>
      <c r="AH996" s="446" t="e">
        <f>IF(OR($B996="",MIN(AH$38,$D$19)&lt;MAX($P$708*($B996+IF($R$17="Distrato",$I$38-1,0)),IF(AND($L$711=0,$P$708=0),"",$L$711-1),IF($R$17="Distrato",$E996,0))),0,YEARFRAC(MAX($P$708*($B996+IF($R$17="Distrato",$I$38-1,0)),IF(AND($L$711=0,$P$708=0),"",$L$711-1),IF($R$17="Distrato",$E996,0)),MIN(AH$38,$D$19),$P$20))-SUM($P996:AG996)</f>
        <v>#VALUE!</v>
      </c>
      <c r="AI996" s="446" t="e">
        <f>IF(OR($B996="",MIN(AI$38,$D$19)&lt;MAX($P$708*($B996+IF($R$17="Distrato",$I$38-1,0)),IF(AND($L$711=0,$P$708=0),"",$L$711-1),IF($R$17="Distrato",$E996,0))),0,YEARFRAC(MAX($P$708*($B996+IF($R$17="Distrato",$I$38-1,0)),IF(AND($L$711=0,$P$708=0),"",$L$711-1),IF($R$17="Distrato",$E996,0)),MIN(AI$38,$D$19),$P$20))-SUM($P996:AH996)</f>
        <v>#VALUE!</v>
      </c>
      <c r="AJ996" s="446" t="e">
        <f>IF(OR($B996="",MIN(AJ$38,$D$19)&lt;MAX($P$708*($B996+IF($R$17="Distrato",$I$38-1,0)),IF(AND($L$711=0,$P$708=0),"",$L$711-1),IF($R$17="Distrato",$E996,0))),0,YEARFRAC(MAX($P$708*($B996+IF($R$17="Distrato",$I$38-1,0)),IF(AND($L$711=0,$P$708=0),"",$L$711-1),IF($R$17="Distrato",$E996,0)),MIN(AJ$38,$D$19),$P$20))-SUM($P996:AI996)</f>
        <v>#VALUE!</v>
      </c>
      <c r="AK996" s="446" t="e">
        <f>IF(OR($B996="",MIN(AK$38,$D$19)&lt;MAX($P$708*($B996+IF($R$17="Distrato",$I$38-1,0)),IF(AND($L$711=0,$P$708=0),"",$L$711-1),IF($R$17="Distrato",$E996,0))),0,YEARFRAC(MAX($P$708*($B996+IF($R$17="Distrato",$I$38-1,0)),IF(AND($L$711=0,$P$708=0),"",$L$711-1),IF($R$17="Distrato",$E996,0)),MIN(AK$38,$D$19),$P$20))-SUM($P996:AJ996)</f>
        <v>#VALUE!</v>
      </c>
      <c r="AL996" s="446" t="e">
        <f>IF(OR($B996="",MIN(AL$38,$D$19)&lt;MAX($P$708*($B996+IF($R$17="Distrato",$I$38-1,0)),IF(AND($L$711=0,$P$708=0),"",$L$711-1),IF($R$17="Distrato",$E996,0))),0,YEARFRAC(MAX($P$708*($B996+IF($R$17="Distrato",$I$38-1,0)),IF(AND($L$711=0,$P$708=0),"",$L$711-1),IF($R$17="Distrato",$E996,0)),MIN(AL$38,$D$19),$P$20))-SUM($P996:AK996)</f>
        <v>#VALUE!</v>
      </c>
      <c r="AM996" s="446" t="e">
        <f>IF(OR($B996="",MIN(AM$38,$D$19)&lt;MAX($P$708*($B996+IF($R$17="Distrato",$I$38-1,0)),IF(AND($L$711=0,$P$708=0),"",$L$711-1),IF($R$17="Distrato",$E996,0))),0,YEARFRAC(MAX($P$708*($B996+IF($R$17="Distrato",$I$38-1,0)),IF(AND($L$711=0,$P$708=0),"",$L$711-1),IF($R$17="Distrato",$E996,0)),MIN(AM$38,$D$19),$P$20))-SUM($P996:AL996)</f>
        <v>#VALUE!</v>
      </c>
      <c r="AN996" s="446" t="e">
        <f>IF(OR($B996="",MIN(AN$38,$D$19)&lt;MAX($P$708*($B996+IF($R$17="Distrato",$I$38-1,0)),IF(AND($L$711=0,$P$708=0),"",$L$711-1),IF($R$17="Distrato",$E996,0))),0,YEARFRAC(MAX($P$708*($B996+IF($R$17="Distrato",$I$38-1,0)),IF(AND($L$711=0,$P$708=0),"",$L$711-1),IF($R$17="Distrato",$E996,0)),MIN(AN$38,$D$19),$P$20))-SUM($P996:AM996)</f>
        <v>#VALUE!</v>
      </c>
      <c r="AO996" s="446" t="e">
        <f>IF(OR($B996="",MIN(AO$38,$D$19)&lt;MAX($P$708*($B996+IF($R$17="Distrato",$I$38-1,0)),IF(AND($L$711=0,$P$708=0),"",$L$711-1),IF($R$17="Distrato",$E996,0))),0,YEARFRAC(MAX($P$708*($B996+IF($R$17="Distrato",$I$38-1,0)),IF(AND($L$711=0,$P$708=0),"",$L$711-1),IF($R$17="Distrato",$E996,0)),MIN(AO$38,$D$19),$P$20))-SUM($P996:AN996)</f>
        <v>#VALUE!</v>
      </c>
      <c r="AP996" s="446" t="e">
        <f>IF(OR($B996="",MIN(AP$38,$D$19)&lt;MAX($P$708*($B996+IF($R$17="Distrato",$I$38-1,0)),IF(AND($L$711=0,$P$708=0),"",$L$711-1),IF($R$17="Distrato",$E996,0))),0,YEARFRAC(MAX($P$708*($B996+IF($R$17="Distrato",$I$38-1,0)),IF(AND($L$711=0,$P$708=0),"",$L$711-1),IF($R$17="Distrato",$E996,0)),MIN(AP$38,$D$19),$P$20))-SUM($P996:AO996)</f>
        <v>#VALUE!</v>
      </c>
      <c r="AQ996" s="446" t="e">
        <f>IF(OR($B996="",MIN(AQ$38,$D$19)&lt;MAX($P$708*($B996+IF($R$17="Distrato",$I$38-1,0)),IF(AND($L$711=0,$P$708=0),"",$L$711-1),IF($R$17="Distrato",$E996,0))),0,YEARFRAC(MAX($P$708*($B996+IF($R$17="Distrato",$I$38-1,0)),IF(AND($L$711=0,$P$708=0),"",$L$711-1),IF($R$17="Distrato",$E996,0)),MIN(AQ$38,$D$19),$P$20))-SUM($P996:AP996)</f>
        <v>#VALUE!</v>
      </c>
      <c r="AR996" s="446" t="e">
        <f>IF(OR($B996="",MIN(AR$38,$D$19)&lt;MAX($P$708*($B996+IF($R$17="Distrato",$I$38-1,0)),IF(AND($L$711=0,$P$708=0),"",$L$711-1),IF($R$17="Distrato",$E996,0))),0,YEARFRAC(MAX($P$708*($B996+IF($R$17="Distrato",$I$38-1,0)),IF(AND($L$711=0,$P$708=0),"",$L$711-1),IF($R$17="Distrato",$E996,0)),MIN(AR$38,$D$19),$P$20))-SUM($P996:AQ996)</f>
        <v>#VALUE!</v>
      </c>
      <c r="AS996" s="446" t="e">
        <f>IF(OR($B996="",MIN(AS$38,$D$19)&lt;MAX($P$708*($B996+IF($R$17="Distrato",$I$38-1,0)),IF(AND($L$711=0,$P$708=0),"",$L$711-1),IF($R$17="Distrato",$E996,0))),0,YEARFRAC(MAX($P$708*($B996+IF($R$17="Distrato",$I$38-1,0)),IF(AND($L$711=0,$P$708=0),"",$L$711-1),IF($R$17="Distrato",$E996,0)),MIN(AS$38,$D$19),$P$20))-SUM($P996:AR996)</f>
        <v>#VALUE!</v>
      </c>
      <c r="AT996" s="446" t="e">
        <f>IF(OR($B996="",MIN(AT$38,$D$19)&lt;MAX($P$708*($B996+IF($R$17="Distrato",$I$38-1,0)),IF(AND($L$711=0,$P$708=0),"",$L$711-1),IF($R$17="Distrato",$E996,0))),0,YEARFRAC(MAX($P$708*($B996+IF($R$17="Distrato",$I$38-1,0)),IF(AND($L$711=0,$P$708=0),"",$L$711-1),IF($R$17="Distrato",$E996,0)),MIN(AT$38,$D$19),$P$20))-SUM($P996:AS996)</f>
        <v>#VALUE!</v>
      </c>
      <c r="AU996" s="446" t="e">
        <f>IF(OR($B996="",MIN(AU$38,$D$19)&lt;MAX($P$708*($B996+IF($R$17="Distrato",$I$38-1,0)),IF(AND($L$711=0,$P$708=0),"",$L$711-1),IF($R$17="Distrato",$E996,0))),0,YEARFRAC(MAX($P$708*($B996+IF($R$17="Distrato",$I$38-1,0)),IF(AND($L$711=0,$P$708=0),"",$L$711-1),IF($R$17="Distrato",$E996,0)),MIN(AU$38,$D$19),$P$20))-SUM($P996:AT996)</f>
        <v>#VALUE!</v>
      </c>
      <c r="AV996" s="446" t="e">
        <f>IF(OR($B996="",MIN(AV$38,$D$19)&lt;MAX($P$708*($B996+IF($R$17="Distrato",$I$38-1,0)),IF(AND($L$711=0,$P$708=0),"",$L$711-1),IF($R$17="Distrato",$E996,0))),0,YEARFRAC(MAX($P$708*($B996+IF($R$17="Distrato",$I$38-1,0)),IF(AND($L$711=0,$P$708=0),"",$L$711-1),IF($R$17="Distrato",$E996,0)),MIN(AV$38,$D$19),$P$20))-SUM($P996:AU996)</f>
        <v>#VALUE!</v>
      </c>
      <c r="AW996" s="446" t="e">
        <f>IF(OR($B996="",MIN(AW$38,$D$19)&lt;MAX($P$708*($B996+IF($R$17="Distrato",$I$38-1,0)),IF(AND($L$711=0,$P$708=0),"",$L$711-1),IF($R$17="Distrato",$E996,0))),0,YEARFRAC(MAX($P$708*($B996+IF($R$17="Distrato",$I$38-1,0)),IF(AND($L$711=0,$P$708=0),"",$L$711-1),IF($R$17="Distrato",$E996,0)),MIN(AW$38,$D$19),$P$20))-SUM($P996:AV996)</f>
        <v>#VALUE!</v>
      </c>
      <c r="AX996" s="446" t="e">
        <f>IF(OR($B996="",MIN(AX$38,$D$19)&lt;MAX($P$708*($B996+IF($R$17="Distrato",$I$38-1,0)),IF(AND($L$711=0,$P$708=0),"",$L$711-1),IF($R$17="Distrato",$E996,0))),0,YEARFRAC(MAX($P$708*($B996+IF($R$17="Distrato",$I$38-1,0)),IF(AND($L$711=0,$P$708=0),"",$L$711-1),IF($R$17="Distrato",$E996,0)),MIN(AX$38,$D$19),$P$20))-SUM($P996:AW996)</f>
        <v>#VALUE!</v>
      </c>
      <c r="AY996" s="446" t="e">
        <f>IF(OR($B996="",MIN(AY$38,$D$19)&lt;MAX($P$708*($B996+IF($R$17="Distrato",$I$38-1,0)),IF(AND($L$711=0,$P$708=0),"",$L$711-1),IF($R$17="Distrato",$E996,0))),0,YEARFRAC(MAX($P$708*($B996+IF($R$17="Distrato",$I$38-1,0)),IF(AND($L$711=0,$P$708=0),"",$L$711-1),IF($R$17="Distrato",$E996,0)),MIN(AY$38,$D$19),$P$20))-SUM($P996:AX996)</f>
        <v>#VALUE!</v>
      </c>
      <c r="AZ996" s="446" t="e">
        <f>IF(OR($B996="",MIN(AZ$38,$D$19)&lt;MAX($P$708*($B996+IF($R$17="Distrato",$I$38-1,0)),IF(AND($L$711=0,$P$708=0),"",$L$711-1),IF($R$17="Distrato",$E996,0))),0,YEARFRAC(MAX($P$708*($B996+IF($R$17="Distrato",$I$38-1,0)),IF(AND($L$711=0,$P$708=0),"",$L$711-1),IF($R$17="Distrato",$E996,0)),MIN(AZ$38,$D$19),$P$20))-SUM($P996:AY996)</f>
        <v>#VALUE!</v>
      </c>
      <c r="BA996" s="446" t="e">
        <f>IF(OR($B996="",MIN(BA$38,$D$19)&lt;MAX($P$708*($B996+IF($R$17="Distrato",$I$38-1,0)),IF(AND($L$711=0,$P$708=0),"",$L$711-1),IF($R$17="Distrato",$E996,0))),0,YEARFRAC(MAX($P$708*($B996+IF($R$17="Distrato",$I$38-1,0)),IF(AND($L$711=0,$P$708=0),"",$L$711-1),IF($R$17="Distrato",$E996,0)),MIN(BA$38,$D$19),$P$20))-SUM($P996:AZ996)</f>
        <v>#VALUE!</v>
      </c>
      <c r="BB996" s="447"/>
    </row>
    <row r="997" spans="1:54" s="446" customFormat="1" ht="11.25" hidden="1" customHeight="1" x14ac:dyDescent="0.2">
      <c r="A997" s="235"/>
      <c r="B997" s="236"/>
      <c r="C997" s="29" t="str">
        <f>IF(B997="","",IF($L$709=$BL$25,VLOOKUP(DATE(YEAR($D$19),MONTH($D$19)-1,1),ÍNDICES!$A:$DE,HLOOKUP($BL$25,ÍNDICES!$B$3:$T$4,2)+11)-VLOOKUP(B997,ÍNDICES!$A:$DE,HLOOKUP($BL$25,ÍNDICES!$B$3:$T$4,2)+11)+1%,IF(C$712=$W$26,$J$35,IF(ISERROR(IF(B997&gt;$D$19,1,VLOOKUP(DATE(YEAR(B997),MONTH(B997)+IF($C$709=$S$23,1,0),1),ÍNDICES!$A:$DE,$Z$709+1))),"",IF(B997&gt;$D$19,1,VLOOKUP(DATE(YEAR(B997),MONTH(B997)+IF($C$709=$S$23,1,0),1),ÍNDICES!$A:$DE,$Z$709+1))))))</f>
        <v/>
      </c>
      <c r="D997" s="155"/>
      <c r="E997" s="88"/>
      <c r="F997" s="88"/>
      <c r="G997" s="88"/>
      <c r="H997" s="118"/>
      <c r="I997" s="182">
        <f t="shared" si="143"/>
        <v>0</v>
      </c>
      <c r="J997" s="20">
        <f t="shared" ca="1" si="144"/>
        <v>0</v>
      </c>
      <c r="K997" s="5">
        <f t="shared" ca="1" si="145"/>
        <v>0</v>
      </c>
      <c r="L997" s="61">
        <f t="shared" ca="1" si="146"/>
        <v>0</v>
      </c>
      <c r="M997" s="64">
        <f t="shared" si="147"/>
        <v>0</v>
      </c>
      <c r="N997" s="151"/>
      <c r="O997" s="5">
        <f t="shared" ca="1" si="148"/>
        <v>0</v>
      </c>
      <c r="P997" s="446" t="e">
        <f t="shared" si="149"/>
        <v>#VALUE!</v>
      </c>
      <c r="Q997" s="446" t="e">
        <f>IF(OR($B997="",MIN(Q$38,$D$19)&lt;MAX($P$708*($B997+IF($R$17="Distrato",$I$38-1,0)),IF(AND($L$711=0,$P$708=0),"",$L$711-1),IF($R$17="Distrato",$E997,0))),0,YEARFRAC(MAX($P$708*($B997+IF($R$17="Distrato",$I$38-1,0)),IF(AND($L$711=0,$P$708=0),"",$L$711-1),IF($R$17="Distrato",$E997,0)),MIN(Q$38,$D$19),$P$20))-SUM($P997:P997)</f>
        <v>#VALUE!</v>
      </c>
      <c r="R997" s="446" t="e">
        <f>IF(OR($B997="",MIN(R$38,$D$19)&lt;MAX($P$708*($B997+IF($R$17="Distrato",$I$38-1,0)),IF(AND($L$711=0,$P$708=0),"",$L$711-1),IF($R$17="Distrato",$E997,0))),0,YEARFRAC(MAX($P$708*($B997+IF($R$17="Distrato",$I$38-1,0)),IF(AND($L$711=0,$P$708=0),"",$L$711-1),IF($R$17="Distrato",$E997,0)),MIN(R$38,$D$19),$P$20))-SUM($P997:Q997)</f>
        <v>#VALUE!</v>
      </c>
      <c r="S997" s="446" t="e">
        <f>IF(OR($B997="",MIN(S$38,$D$19)&lt;MAX($P$708*($B997+IF($R$17="Distrato",$I$38-1,0)),IF(AND($L$711=0,$P$708=0),"",$L$711-1),IF($R$17="Distrato",$E997,0))),0,YEARFRAC(MAX($P$708*($B997+IF($R$17="Distrato",$I$38-1,0)),IF(AND($L$711=0,$P$708=0),"",$L$711-1),IF($R$17="Distrato",$E997,0)),MIN(S$38,$D$19),$P$20))-SUM($P997:R997)</f>
        <v>#VALUE!</v>
      </c>
      <c r="T997" s="446" t="e">
        <f>IF(OR($B997="",MIN(T$38,$D$19)&lt;MAX($P$708*($B997+IF($R$17="Distrato",$I$38-1,0)),IF(AND($L$711=0,$P$708=0),"",$L$711-1),IF($R$17="Distrato",$E997,0))),0,YEARFRAC(MAX($P$708*($B997+IF($R$17="Distrato",$I$38-1,0)),IF(AND($L$711=0,$P$708=0),"",$L$711-1),IF($R$17="Distrato",$E997,0)),MIN(T$38,$D$19),$P$20))-SUM($P997:S997)</f>
        <v>#VALUE!</v>
      </c>
      <c r="U997" s="446" t="e">
        <f>IF(OR($B997="",MIN(U$38,$D$19)&lt;MAX($P$708*($B997+IF($R$17="Distrato",$I$38-1,0)),IF(AND($L$711=0,$P$708=0),"",$L$711-1),IF($R$17="Distrato",$E997,0))),0,YEARFRAC(MAX($P$708*($B997+IF($R$17="Distrato",$I$38-1,0)),IF(AND($L$711=0,$P$708=0),"",$L$711-1),IF($R$17="Distrato",$E997,0)),MIN(U$38,$D$19),$P$20))-SUM($P997:T997)</f>
        <v>#VALUE!</v>
      </c>
      <c r="V997" s="446" t="e">
        <f>IF(OR($B997="",MIN(V$38,$D$19)&lt;MAX($P$708*($B997+IF($R$17="Distrato",$I$38-1,0)),IF(AND($L$711=0,$P$708=0),"",$L$711-1),IF($R$17="Distrato",$E997,0))),0,YEARFRAC(MAX($P$708*($B997+IF($R$17="Distrato",$I$38-1,0)),IF(AND($L$711=0,$P$708=0),"",$L$711-1),IF($R$17="Distrato",$E997,0)),MIN(V$38,$D$19),$P$20))-SUM($P997:U997)</f>
        <v>#VALUE!</v>
      </c>
      <c r="W997" s="446" t="e">
        <f>IF(OR($B997="",MIN(W$38,$D$19)&lt;MAX($P$708*($B997+IF($R$17="Distrato",$I$38-1,0)),IF(AND($L$711=0,$P$708=0),"",$L$711-1),IF($R$17="Distrato",$E997,0))),0,YEARFRAC(MAX($P$708*($B997+IF($R$17="Distrato",$I$38-1,0)),IF(AND($L$711=0,$P$708=0),"",$L$711-1),IF($R$17="Distrato",$E997,0)),MIN(W$38,$D$19),$P$20))-SUM($P997:V997)</f>
        <v>#VALUE!</v>
      </c>
      <c r="X997" s="446" t="e">
        <f>IF(OR($B997="",MIN(X$38,$D$19)&lt;MAX($P$708*($B997+IF($R$17="Distrato",$I$38-1,0)),IF(AND($L$711=0,$P$708=0),"",$L$711-1),IF($R$17="Distrato",$E997,0))),0,YEARFRAC(MAX($P$708*($B997+IF($R$17="Distrato",$I$38-1,0)),IF(AND($L$711=0,$P$708=0),"",$L$711-1),IF($R$17="Distrato",$E997,0)),MIN(X$38,$D$19),$P$20))-SUM($P997:W997)</f>
        <v>#VALUE!</v>
      </c>
      <c r="Y997" s="446" t="e">
        <f>IF(OR($B997="",MIN(Y$38,$D$19)&lt;MAX($P$708*($B997+IF($R$17="Distrato",$I$38-1,0)),IF(AND($L$711=0,$P$708=0),"",$L$711-1),IF($R$17="Distrato",$E997,0))),0,YEARFRAC(MAX($P$708*($B997+IF($R$17="Distrato",$I$38-1,0)),IF(AND($L$711=0,$P$708=0),"",$L$711-1),IF($R$17="Distrato",$E997,0)),MIN(Y$38,$D$19),$P$20))-SUM($P997:X997)</f>
        <v>#VALUE!</v>
      </c>
      <c r="Z997" s="446" t="e">
        <f>IF(OR($B997="",MIN(Z$38,$D$19)&lt;MAX($P$708*($B997+IF($R$17="Distrato",$I$38-1,0)),IF(AND($L$711=0,$P$708=0),"",$L$711-1),IF($R$17="Distrato",$E997,0))),0,YEARFRAC(MAX($P$708*($B997+IF($R$17="Distrato",$I$38-1,0)),IF(AND($L$711=0,$P$708=0),"",$L$711-1),IF($R$17="Distrato",$E997,0)),MIN(Z$38,$D$19),$P$20))-SUM($P997:Y997)</f>
        <v>#VALUE!</v>
      </c>
      <c r="AA997" s="446" t="e">
        <f>IF(OR($B997="",MIN(AA$38,$D$19)&lt;MAX($P$708*($B997+IF($R$17="Distrato",$I$38-1,0)),IF(AND($L$711=0,$P$708=0),"",$L$711-1),IF($R$17="Distrato",$E997,0))),0,YEARFRAC(MAX($P$708*($B997+IF($R$17="Distrato",$I$38-1,0)),IF(AND($L$711=0,$P$708=0),"",$L$711-1),IF($R$17="Distrato",$E997,0)),MIN(AA$38,$D$19),$P$20))-SUM($P997:Z997)</f>
        <v>#VALUE!</v>
      </c>
      <c r="AB997" s="446" t="e">
        <f>IF(OR($B997="",MIN(AB$38,$D$19)&lt;MAX($P$708*($B997+IF($R$17="Distrato",$I$38-1,0)),IF(AND($L$711=0,$P$708=0),"",$L$711-1),IF($R$17="Distrato",$E997,0))),0,YEARFRAC(MAX($P$708*($B997+IF($R$17="Distrato",$I$38-1,0)),IF(AND($L$711=0,$P$708=0),"",$L$711-1),IF($R$17="Distrato",$E997,0)),MIN(AB$38,$D$19),$P$20))-SUM($P997:AA997)</f>
        <v>#VALUE!</v>
      </c>
      <c r="AC997" s="446" t="e">
        <f>IF(OR($B997="",MIN(AC$38,$D$19)&lt;MAX($P$708*($B997+IF($R$17="Distrato",$I$38-1,0)),IF(AND($L$711=0,$P$708=0),"",$L$711-1),IF($R$17="Distrato",$E997,0))),0,YEARFRAC(MAX($P$708*($B997+IF($R$17="Distrato",$I$38-1,0)),IF(AND($L$711=0,$P$708=0),"",$L$711-1),IF($R$17="Distrato",$E997,0)),MIN(AC$38,$D$19),$P$20))-SUM($P997:AB997)</f>
        <v>#VALUE!</v>
      </c>
      <c r="AD997" s="446" t="e">
        <f>IF(OR($B997="",MIN(AD$38,$D$19)&lt;MAX($P$708*($B997+IF($R$17="Distrato",$I$38-1,0)),IF(AND($L$711=0,$P$708=0),"",$L$711-1),IF($R$17="Distrato",$E997,0))),0,YEARFRAC(MAX($P$708*($B997+IF($R$17="Distrato",$I$38-1,0)),IF(AND($L$711=0,$P$708=0),"",$L$711-1),IF($R$17="Distrato",$E997,0)),MIN(AD$38,$D$19),$P$20))-SUM($P997:AC997)</f>
        <v>#VALUE!</v>
      </c>
      <c r="AE997" s="446" t="e">
        <f>IF(OR($B997="",MIN(AE$38,$D$19)&lt;MAX($P$708*($B997+IF($R$17="Distrato",$I$38-1,0)),IF(AND($L$711=0,$P$708=0),"",$L$711-1),IF($R$17="Distrato",$E997,0))),0,YEARFRAC(MAX($P$708*($B997+IF($R$17="Distrato",$I$38-1,0)),IF(AND($L$711=0,$P$708=0),"",$L$711-1),IF($R$17="Distrato",$E997,0)),MIN(AE$38,$D$19),$P$20))-SUM($P997:AD997)</f>
        <v>#VALUE!</v>
      </c>
      <c r="AF997" s="446" t="e">
        <f>IF(OR($B997="",MIN(AF$38,$D$19)&lt;MAX($P$708*($B997+IF($R$17="Distrato",$I$38-1,0)),IF(AND($L$711=0,$P$708=0),"",$L$711-1),IF($R$17="Distrato",$E997,0))),0,YEARFRAC(MAX($P$708*($B997+IF($R$17="Distrato",$I$38-1,0)),IF(AND($L$711=0,$P$708=0),"",$L$711-1),IF($R$17="Distrato",$E997,0)),MIN(AF$38,$D$19),$P$20))-SUM($P997:AE997)</f>
        <v>#VALUE!</v>
      </c>
      <c r="AG997" s="446" t="e">
        <f>IF(OR($B997="",MIN(AG$38,$D$19)&lt;MAX($P$708*($B997+IF($R$17="Distrato",$I$38-1,0)),IF(AND($L$711=0,$P$708=0),"",$L$711-1),IF($R$17="Distrato",$E997,0))),0,YEARFRAC(MAX($P$708*($B997+IF($R$17="Distrato",$I$38-1,0)),IF(AND($L$711=0,$P$708=0),"",$L$711-1),IF($R$17="Distrato",$E997,0)),MIN(AG$38,$D$19),$P$20))-SUM($P997:AF997)</f>
        <v>#VALUE!</v>
      </c>
      <c r="AH997" s="446" t="e">
        <f>IF(OR($B997="",MIN(AH$38,$D$19)&lt;MAX($P$708*($B997+IF($R$17="Distrato",$I$38-1,0)),IF(AND($L$711=0,$P$708=0),"",$L$711-1),IF($R$17="Distrato",$E997,0))),0,YEARFRAC(MAX($P$708*($B997+IF($R$17="Distrato",$I$38-1,0)),IF(AND($L$711=0,$P$708=0),"",$L$711-1),IF($R$17="Distrato",$E997,0)),MIN(AH$38,$D$19),$P$20))-SUM($P997:AG997)</f>
        <v>#VALUE!</v>
      </c>
      <c r="AI997" s="446" t="e">
        <f>IF(OR($B997="",MIN(AI$38,$D$19)&lt;MAX($P$708*($B997+IF($R$17="Distrato",$I$38-1,0)),IF(AND($L$711=0,$P$708=0),"",$L$711-1),IF($R$17="Distrato",$E997,0))),0,YEARFRAC(MAX($P$708*($B997+IF($R$17="Distrato",$I$38-1,0)),IF(AND($L$711=0,$P$708=0),"",$L$711-1),IF($R$17="Distrato",$E997,0)),MIN(AI$38,$D$19),$P$20))-SUM($P997:AH997)</f>
        <v>#VALUE!</v>
      </c>
      <c r="AJ997" s="446" t="e">
        <f>IF(OR($B997="",MIN(AJ$38,$D$19)&lt;MAX($P$708*($B997+IF($R$17="Distrato",$I$38-1,0)),IF(AND($L$711=0,$P$708=0),"",$L$711-1),IF($R$17="Distrato",$E997,0))),0,YEARFRAC(MAX($P$708*($B997+IF($R$17="Distrato",$I$38-1,0)),IF(AND($L$711=0,$P$708=0),"",$L$711-1),IF($R$17="Distrato",$E997,0)),MIN(AJ$38,$D$19),$P$20))-SUM($P997:AI997)</f>
        <v>#VALUE!</v>
      </c>
      <c r="AK997" s="446" t="e">
        <f>IF(OR($B997="",MIN(AK$38,$D$19)&lt;MAX($P$708*($B997+IF($R$17="Distrato",$I$38-1,0)),IF(AND($L$711=0,$P$708=0),"",$L$711-1),IF($R$17="Distrato",$E997,0))),0,YEARFRAC(MAX($P$708*($B997+IF($R$17="Distrato",$I$38-1,0)),IF(AND($L$711=0,$P$708=0),"",$L$711-1),IF($R$17="Distrato",$E997,0)),MIN(AK$38,$D$19),$P$20))-SUM($P997:AJ997)</f>
        <v>#VALUE!</v>
      </c>
      <c r="AL997" s="446" t="e">
        <f>IF(OR($B997="",MIN(AL$38,$D$19)&lt;MAX($P$708*($B997+IF($R$17="Distrato",$I$38-1,0)),IF(AND($L$711=0,$P$708=0),"",$L$711-1),IF($R$17="Distrato",$E997,0))),0,YEARFRAC(MAX($P$708*($B997+IF($R$17="Distrato",$I$38-1,0)),IF(AND($L$711=0,$P$708=0),"",$L$711-1),IF($R$17="Distrato",$E997,0)),MIN(AL$38,$D$19),$P$20))-SUM($P997:AK997)</f>
        <v>#VALUE!</v>
      </c>
      <c r="AM997" s="446" t="e">
        <f>IF(OR($B997="",MIN(AM$38,$D$19)&lt;MAX($P$708*($B997+IF($R$17="Distrato",$I$38-1,0)),IF(AND($L$711=0,$P$708=0),"",$L$711-1),IF($R$17="Distrato",$E997,0))),0,YEARFRAC(MAX($P$708*($B997+IF($R$17="Distrato",$I$38-1,0)),IF(AND($L$711=0,$P$708=0),"",$L$711-1),IF($R$17="Distrato",$E997,0)),MIN(AM$38,$D$19),$P$20))-SUM($P997:AL997)</f>
        <v>#VALUE!</v>
      </c>
      <c r="AN997" s="446" t="e">
        <f>IF(OR($B997="",MIN(AN$38,$D$19)&lt;MAX($P$708*($B997+IF($R$17="Distrato",$I$38-1,0)),IF(AND($L$711=0,$P$708=0),"",$L$711-1),IF($R$17="Distrato",$E997,0))),0,YEARFRAC(MAX($P$708*($B997+IF($R$17="Distrato",$I$38-1,0)),IF(AND($L$711=0,$P$708=0),"",$L$711-1),IF($R$17="Distrato",$E997,0)),MIN(AN$38,$D$19),$P$20))-SUM($P997:AM997)</f>
        <v>#VALUE!</v>
      </c>
      <c r="AO997" s="446" t="e">
        <f>IF(OR($B997="",MIN(AO$38,$D$19)&lt;MAX($P$708*($B997+IF($R$17="Distrato",$I$38-1,0)),IF(AND($L$711=0,$P$708=0),"",$L$711-1),IF($R$17="Distrato",$E997,0))),0,YEARFRAC(MAX($P$708*($B997+IF($R$17="Distrato",$I$38-1,0)),IF(AND($L$711=0,$P$708=0),"",$L$711-1),IF($R$17="Distrato",$E997,0)),MIN(AO$38,$D$19),$P$20))-SUM($P997:AN997)</f>
        <v>#VALUE!</v>
      </c>
      <c r="AP997" s="446" t="e">
        <f>IF(OR($B997="",MIN(AP$38,$D$19)&lt;MAX($P$708*($B997+IF($R$17="Distrato",$I$38-1,0)),IF(AND($L$711=0,$P$708=0),"",$L$711-1),IF($R$17="Distrato",$E997,0))),0,YEARFRAC(MAX($P$708*($B997+IF($R$17="Distrato",$I$38-1,0)),IF(AND($L$711=0,$P$708=0),"",$L$711-1),IF($R$17="Distrato",$E997,0)),MIN(AP$38,$D$19),$P$20))-SUM($P997:AO997)</f>
        <v>#VALUE!</v>
      </c>
      <c r="AQ997" s="446" t="e">
        <f>IF(OR($B997="",MIN(AQ$38,$D$19)&lt;MAX($P$708*($B997+IF($R$17="Distrato",$I$38-1,0)),IF(AND($L$711=0,$P$708=0),"",$L$711-1),IF($R$17="Distrato",$E997,0))),0,YEARFRAC(MAX($P$708*($B997+IF($R$17="Distrato",$I$38-1,0)),IF(AND($L$711=0,$P$708=0),"",$L$711-1),IF($R$17="Distrato",$E997,0)),MIN(AQ$38,$D$19),$P$20))-SUM($P997:AP997)</f>
        <v>#VALUE!</v>
      </c>
      <c r="AR997" s="446" t="e">
        <f>IF(OR($B997="",MIN(AR$38,$D$19)&lt;MAX($P$708*($B997+IF($R$17="Distrato",$I$38-1,0)),IF(AND($L$711=0,$P$708=0),"",$L$711-1),IF($R$17="Distrato",$E997,0))),0,YEARFRAC(MAX($P$708*($B997+IF($R$17="Distrato",$I$38-1,0)),IF(AND($L$711=0,$P$708=0),"",$L$711-1),IF($R$17="Distrato",$E997,0)),MIN(AR$38,$D$19),$P$20))-SUM($P997:AQ997)</f>
        <v>#VALUE!</v>
      </c>
      <c r="AS997" s="446" t="e">
        <f>IF(OR($B997="",MIN(AS$38,$D$19)&lt;MAX($P$708*($B997+IF($R$17="Distrato",$I$38-1,0)),IF(AND($L$711=0,$P$708=0),"",$L$711-1),IF($R$17="Distrato",$E997,0))),0,YEARFRAC(MAX($P$708*($B997+IF($R$17="Distrato",$I$38-1,0)),IF(AND($L$711=0,$P$708=0),"",$L$711-1),IF($R$17="Distrato",$E997,0)),MIN(AS$38,$D$19),$P$20))-SUM($P997:AR997)</f>
        <v>#VALUE!</v>
      </c>
      <c r="AT997" s="446" t="e">
        <f>IF(OR($B997="",MIN(AT$38,$D$19)&lt;MAX($P$708*($B997+IF($R$17="Distrato",$I$38-1,0)),IF(AND($L$711=0,$P$708=0),"",$L$711-1),IF($R$17="Distrato",$E997,0))),0,YEARFRAC(MAX($P$708*($B997+IF($R$17="Distrato",$I$38-1,0)),IF(AND($L$711=0,$P$708=0),"",$L$711-1),IF($R$17="Distrato",$E997,0)),MIN(AT$38,$D$19),$P$20))-SUM($P997:AS997)</f>
        <v>#VALUE!</v>
      </c>
      <c r="AU997" s="446" t="e">
        <f>IF(OR($B997="",MIN(AU$38,$D$19)&lt;MAX($P$708*($B997+IF($R$17="Distrato",$I$38-1,0)),IF(AND($L$711=0,$P$708=0),"",$L$711-1),IF($R$17="Distrato",$E997,0))),0,YEARFRAC(MAX($P$708*($B997+IF($R$17="Distrato",$I$38-1,0)),IF(AND($L$711=0,$P$708=0),"",$L$711-1),IF($R$17="Distrato",$E997,0)),MIN(AU$38,$D$19),$P$20))-SUM($P997:AT997)</f>
        <v>#VALUE!</v>
      </c>
      <c r="AV997" s="446" t="e">
        <f>IF(OR($B997="",MIN(AV$38,$D$19)&lt;MAX($P$708*($B997+IF($R$17="Distrato",$I$38-1,0)),IF(AND($L$711=0,$P$708=0),"",$L$711-1),IF($R$17="Distrato",$E997,0))),0,YEARFRAC(MAX($P$708*($B997+IF($R$17="Distrato",$I$38-1,0)),IF(AND($L$711=0,$P$708=0),"",$L$711-1),IF($R$17="Distrato",$E997,0)),MIN(AV$38,$D$19),$P$20))-SUM($P997:AU997)</f>
        <v>#VALUE!</v>
      </c>
      <c r="AW997" s="446" t="e">
        <f>IF(OR($B997="",MIN(AW$38,$D$19)&lt;MAX($P$708*($B997+IF($R$17="Distrato",$I$38-1,0)),IF(AND($L$711=0,$P$708=0),"",$L$711-1),IF($R$17="Distrato",$E997,0))),0,YEARFRAC(MAX($P$708*($B997+IF($R$17="Distrato",$I$38-1,0)),IF(AND($L$711=0,$P$708=0),"",$L$711-1),IF($R$17="Distrato",$E997,0)),MIN(AW$38,$D$19),$P$20))-SUM($P997:AV997)</f>
        <v>#VALUE!</v>
      </c>
      <c r="AX997" s="446" t="e">
        <f>IF(OR($B997="",MIN(AX$38,$D$19)&lt;MAX($P$708*($B997+IF($R$17="Distrato",$I$38-1,0)),IF(AND($L$711=0,$P$708=0),"",$L$711-1),IF($R$17="Distrato",$E997,0))),0,YEARFRAC(MAX($P$708*($B997+IF($R$17="Distrato",$I$38-1,0)),IF(AND($L$711=0,$P$708=0),"",$L$711-1),IF($R$17="Distrato",$E997,0)),MIN(AX$38,$D$19),$P$20))-SUM($P997:AW997)</f>
        <v>#VALUE!</v>
      </c>
      <c r="AY997" s="446" t="e">
        <f>IF(OR($B997="",MIN(AY$38,$D$19)&lt;MAX($P$708*($B997+IF($R$17="Distrato",$I$38-1,0)),IF(AND($L$711=0,$P$708=0),"",$L$711-1),IF($R$17="Distrato",$E997,0))),0,YEARFRAC(MAX($P$708*($B997+IF($R$17="Distrato",$I$38-1,0)),IF(AND($L$711=0,$P$708=0),"",$L$711-1),IF($R$17="Distrato",$E997,0)),MIN(AY$38,$D$19),$P$20))-SUM($P997:AX997)</f>
        <v>#VALUE!</v>
      </c>
      <c r="AZ997" s="446" t="e">
        <f>IF(OR($B997="",MIN(AZ$38,$D$19)&lt;MAX($P$708*($B997+IF($R$17="Distrato",$I$38-1,0)),IF(AND($L$711=0,$P$708=0),"",$L$711-1),IF($R$17="Distrato",$E997,0))),0,YEARFRAC(MAX($P$708*($B997+IF($R$17="Distrato",$I$38-1,0)),IF(AND($L$711=0,$P$708=0),"",$L$711-1),IF($R$17="Distrato",$E997,0)),MIN(AZ$38,$D$19),$P$20))-SUM($P997:AY997)</f>
        <v>#VALUE!</v>
      </c>
      <c r="BA997" s="446" t="e">
        <f>IF(OR($B997="",MIN(BA$38,$D$19)&lt;MAX($P$708*($B997+IF($R$17="Distrato",$I$38-1,0)),IF(AND($L$711=0,$P$708=0),"",$L$711-1),IF($R$17="Distrato",$E997,0))),0,YEARFRAC(MAX($P$708*($B997+IF($R$17="Distrato",$I$38-1,0)),IF(AND($L$711=0,$P$708=0),"",$L$711-1),IF($R$17="Distrato",$E997,0)),MIN(BA$38,$D$19),$P$20))-SUM($P997:AZ997)</f>
        <v>#VALUE!</v>
      </c>
      <c r="BB997" s="447"/>
    </row>
    <row r="998" spans="1:54" s="446" customFormat="1" ht="11.25" hidden="1" customHeight="1" x14ac:dyDescent="0.2">
      <c r="A998" s="235"/>
      <c r="B998" s="236"/>
      <c r="C998" s="29" t="str">
        <f>IF(B998="","",IF($L$709=$BL$25,VLOOKUP(DATE(YEAR($D$19),MONTH($D$19)-1,1),ÍNDICES!$A:$DE,HLOOKUP($BL$25,ÍNDICES!$B$3:$T$4,2)+11)-VLOOKUP(B998,ÍNDICES!$A:$DE,HLOOKUP($BL$25,ÍNDICES!$B$3:$T$4,2)+11)+1%,IF(C$712=$W$26,$J$35,IF(ISERROR(IF(B998&gt;$D$19,1,VLOOKUP(DATE(YEAR(B998),MONTH(B998)+IF($C$709=$S$23,1,0),1),ÍNDICES!$A:$DE,$Z$709+1))),"",IF(B998&gt;$D$19,1,VLOOKUP(DATE(YEAR(B998),MONTH(B998)+IF($C$709=$S$23,1,0),1),ÍNDICES!$A:$DE,$Z$709+1))))))</f>
        <v/>
      </c>
      <c r="D998" s="155"/>
      <c r="E998" s="88"/>
      <c r="F998" s="88"/>
      <c r="G998" s="88"/>
      <c r="H998" s="118"/>
      <c r="I998" s="182">
        <f t="shared" si="143"/>
        <v>0</v>
      </c>
      <c r="J998" s="20">
        <f t="shared" ca="1" si="144"/>
        <v>0</v>
      </c>
      <c r="K998" s="5">
        <f t="shared" ca="1" si="145"/>
        <v>0</v>
      </c>
      <c r="L998" s="61">
        <f t="shared" ca="1" si="146"/>
        <v>0</v>
      </c>
      <c r="M998" s="64">
        <f t="shared" si="147"/>
        <v>0</v>
      </c>
      <c r="N998" s="151"/>
      <c r="O998" s="5">
        <f t="shared" ca="1" si="148"/>
        <v>0</v>
      </c>
      <c r="P998" s="446" t="e">
        <f t="shared" si="149"/>
        <v>#VALUE!</v>
      </c>
      <c r="Q998" s="446" t="e">
        <f>IF(OR($B998="",MIN(Q$38,$D$19)&lt;MAX($P$708*($B998+IF($R$17="Distrato",$I$38-1,0)),IF(AND($L$711=0,$P$708=0),"",$L$711-1),IF($R$17="Distrato",$E998,0))),0,YEARFRAC(MAX($P$708*($B998+IF($R$17="Distrato",$I$38-1,0)),IF(AND($L$711=0,$P$708=0),"",$L$711-1),IF($R$17="Distrato",$E998,0)),MIN(Q$38,$D$19),$P$20))-SUM($P998:P998)</f>
        <v>#VALUE!</v>
      </c>
      <c r="R998" s="446" t="e">
        <f>IF(OR($B998="",MIN(R$38,$D$19)&lt;MAX($P$708*($B998+IF($R$17="Distrato",$I$38-1,0)),IF(AND($L$711=0,$P$708=0),"",$L$711-1),IF($R$17="Distrato",$E998,0))),0,YEARFRAC(MAX($P$708*($B998+IF($R$17="Distrato",$I$38-1,0)),IF(AND($L$711=0,$P$708=0),"",$L$711-1),IF($R$17="Distrato",$E998,0)),MIN(R$38,$D$19),$P$20))-SUM($P998:Q998)</f>
        <v>#VALUE!</v>
      </c>
      <c r="S998" s="446" t="e">
        <f>IF(OR($B998="",MIN(S$38,$D$19)&lt;MAX($P$708*($B998+IF($R$17="Distrato",$I$38-1,0)),IF(AND($L$711=0,$P$708=0),"",$L$711-1),IF($R$17="Distrato",$E998,0))),0,YEARFRAC(MAX($P$708*($B998+IF($R$17="Distrato",$I$38-1,0)),IF(AND($L$711=0,$P$708=0),"",$L$711-1),IF($R$17="Distrato",$E998,0)),MIN(S$38,$D$19),$P$20))-SUM($P998:R998)</f>
        <v>#VALUE!</v>
      </c>
      <c r="T998" s="446" t="e">
        <f>IF(OR($B998="",MIN(T$38,$D$19)&lt;MAX($P$708*($B998+IF($R$17="Distrato",$I$38-1,0)),IF(AND($L$711=0,$P$708=0),"",$L$711-1),IF($R$17="Distrato",$E998,0))),0,YEARFRAC(MAX($P$708*($B998+IF($R$17="Distrato",$I$38-1,0)),IF(AND($L$711=0,$P$708=0),"",$L$711-1),IF($R$17="Distrato",$E998,0)),MIN(T$38,$D$19),$P$20))-SUM($P998:S998)</f>
        <v>#VALUE!</v>
      </c>
      <c r="U998" s="446" t="e">
        <f>IF(OR($B998="",MIN(U$38,$D$19)&lt;MAX($P$708*($B998+IF($R$17="Distrato",$I$38-1,0)),IF(AND($L$711=0,$P$708=0),"",$L$711-1),IF($R$17="Distrato",$E998,0))),0,YEARFRAC(MAX($P$708*($B998+IF($R$17="Distrato",$I$38-1,0)),IF(AND($L$711=0,$P$708=0),"",$L$711-1),IF($R$17="Distrato",$E998,0)),MIN(U$38,$D$19),$P$20))-SUM($P998:T998)</f>
        <v>#VALUE!</v>
      </c>
      <c r="V998" s="446" t="e">
        <f>IF(OR($B998="",MIN(V$38,$D$19)&lt;MAX($P$708*($B998+IF($R$17="Distrato",$I$38-1,0)),IF(AND($L$711=0,$P$708=0),"",$L$711-1),IF($R$17="Distrato",$E998,0))),0,YEARFRAC(MAX($P$708*($B998+IF($R$17="Distrato",$I$38-1,0)),IF(AND($L$711=0,$P$708=0),"",$L$711-1),IF($R$17="Distrato",$E998,0)),MIN(V$38,$D$19),$P$20))-SUM($P998:U998)</f>
        <v>#VALUE!</v>
      </c>
      <c r="W998" s="446" t="e">
        <f>IF(OR($B998="",MIN(W$38,$D$19)&lt;MAX($P$708*($B998+IF($R$17="Distrato",$I$38-1,0)),IF(AND($L$711=0,$P$708=0),"",$L$711-1),IF($R$17="Distrato",$E998,0))),0,YEARFRAC(MAX($P$708*($B998+IF($R$17="Distrato",$I$38-1,0)),IF(AND($L$711=0,$P$708=0),"",$L$711-1),IF($R$17="Distrato",$E998,0)),MIN(W$38,$D$19),$P$20))-SUM($P998:V998)</f>
        <v>#VALUE!</v>
      </c>
      <c r="X998" s="446" t="e">
        <f>IF(OR($B998="",MIN(X$38,$D$19)&lt;MAX($P$708*($B998+IF($R$17="Distrato",$I$38-1,0)),IF(AND($L$711=0,$P$708=0),"",$L$711-1),IF($R$17="Distrato",$E998,0))),0,YEARFRAC(MAX($P$708*($B998+IF($R$17="Distrato",$I$38-1,0)),IF(AND($L$711=0,$P$708=0),"",$L$711-1),IF($R$17="Distrato",$E998,0)),MIN(X$38,$D$19),$P$20))-SUM($P998:W998)</f>
        <v>#VALUE!</v>
      </c>
      <c r="Y998" s="446" t="e">
        <f>IF(OR($B998="",MIN(Y$38,$D$19)&lt;MAX($P$708*($B998+IF($R$17="Distrato",$I$38-1,0)),IF(AND($L$711=0,$P$708=0),"",$L$711-1),IF($R$17="Distrato",$E998,0))),0,YEARFRAC(MAX($P$708*($B998+IF($R$17="Distrato",$I$38-1,0)),IF(AND($L$711=0,$P$708=0),"",$L$711-1),IF($R$17="Distrato",$E998,0)),MIN(Y$38,$D$19),$P$20))-SUM($P998:X998)</f>
        <v>#VALUE!</v>
      </c>
      <c r="Z998" s="446" t="e">
        <f>IF(OR($B998="",MIN(Z$38,$D$19)&lt;MAX($P$708*($B998+IF($R$17="Distrato",$I$38-1,0)),IF(AND($L$711=0,$P$708=0),"",$L$711-1),IF($R$17="Distrato",$E998,0))),0,YEARFRAC(MAX($P$708*($B998+IF($R$17="Distrato",$I$38-1,0)),IF(AND($L$711=0,$P$708=0),"",$L$711-1),IF($R$17="Distrato",$E998,0)),MIN(Z$38,$D$19),$P$20))-SUM($P998:Y998)</f>
        <v>#VALUE!</v>
      </c>
      <c r="AA998" s="446" t="e">
        <f>IF(OR($B998="",MIN(AA$38,$D$19)&lt;MAX($P$708*($B998+IF($R$17="Distrato",$I$38-1,0)),IF(AND($L$711=0,$P$708=0),"",$L$711-1),IF($R$17="Distrato",$E998,0))),0,YEARFRAC(MAX($P$708*($B998+IF($R$17="Distrato",$I$38-1,0)),IF(AND($L$711=0,$P$708=0),"",$L$711-1),IF($R$17="Distrato",$E998,0)),MIN(AA$38,$D$19),$P$20))-SUM($P998:Z998)</f>
        <v>#VALUE!</v>
      </c>
      <c r="AB998" s="446" t="e">
        <f>IF(OR($B998="",MIN(AB$38,$D$19)&lt;MAX($P$708*($B998+IF($R$17="Distrato",$I$38-1,0)),IF(AND($L$711=0,$P$708=0),"",$L$711-1),IF($R$17="Distrato",$E998,0))),0,YEARFRAC(MAX($P$708*($B998+IF($R$17="Distrato",$I$38-1,0)),IF(AND($L$711=0,$P$708=0),"",$L$711-1),IF($R$17="Distrato",$E998,0)),MIN(AB$38,$D$19),$P$20))-SUM($P998:AA998)</f>
        <v>#VALUE!</v>
      </c>
      <c r="AC998" s="446" t="e">
        <f>IF(OR($B998="",MIN(AC$38,$D$19)&lt;MAX($P$708*($B998+IF($R$17="Distrato",$I$38-1,0)),IF(AND($L$711=0,$P$708=0),"",$L$711-1),IF($R$17="Distrato",$E998,0))),0,YEARFRAC(MAX($P$708*($B998+IF($R$17="Distrato",$I$38-1,0)),IF(AND($L$711=0,$P$708=0),"",$L$711-1),IF($R$17="Distrato",$E998,0)),MIN(AC$38,$D$19),$P$20))-SUM($P998:AB998)</f>
        <v>#VALUE!</v>
      </c>
      <c r="AD998" s="446" t="e">
        <f>IF(OR($B998="",MIN(AD$38,$D$19)&lt;MAX($P$708*($B998+IF($R$17="Distrato",$I$38-1,0)),IF(AND($L$711=0,$P$708=0),"",$L$711-1),IF($R$17="Distrato",$E998,0))),0,YEARFRAC(MAX($P$708*($B998+IF($R$17="Distrato",$I$38-1,0)),IF(AND($L$711=0,$P$708=0),"",$L$711-1),IF($R$17="Distrato",$E998,0)),MIN(AD$38,$D$19),$P$20))-SUM($P998:AC998)</f>
        <v>#VALUE!</v>
      </c>
      <c r="AE998" s="446" t="e">
        <f>IF(OR($B998="",MIN(AE$38,$D$19)&lt;MAX($P$708*($B998+IF($R$17="Distrato",$I$38-1,0)),IF(AND($L$711=0,$P$708=0),"",$L$711-1),IF($R$17="Distrato",$E998,0))),0,YEARFRAC(MAX($P$708*($B998+IF($R$17="Distrato",$I$38-1,0)),IF(AND($L$711=0,$P$708=0),"",$L$711-1),IF($R$17="Distrato",$E998,0)),MIN(AE$38,$D$19),$P$20))-SUM($P998:AD998)</f>
        <v>#VALUE!</v>
      </c>
      <c r="AF998" s="446" t="e">
        <f>IF(OR($B998="",MIN(AF$38,$D$19)&lt;MAX($P$708*($B998+IF($R$17="Distrato",$I$38-1,0)),IF(AND($L$711=0,$P$708=0),"",$L$711-1),IF($R$17="Distrato",$E998,0))),0,YEARFRAC(MAX($P$708*($B998+IF($R$17="Distrato",$I$38-1,0)),IF(AND($L$711=0,$P$708=0),"",$L$711-1),IF($R$17="Distrato",$E998,0)),MIN(AF$38,$D$19),$P$20))-SUM($P998:AE998)</f>
        <v>#VALUE!</v>
      </c>
      <c r="AG998" s="446" t="e">
        <f>IF(OR($B998="",MIN(AG$38,$D$19)&lt;MAX($P$708*($B998+IF($R$17="Distrato",$I$38-1,0)),IF(AND($L$711=0,$P$708=0),"",$L$711-1),IF($R$17="Distrato",$E998,0))),0,YEARFRAC(MAX($P$708*($B998+IF($R$17="Distrato",$I$38-1,0)),IF(AND($L$711=0,$P$708=0),"",$L$711-1),IF($R$17="Distrato",$E998,0)),MIN(AG$38,$D$19),$P$20))-SUM($P998:AF998)</f>
        <v>#VALUE!</v>
      </c>
      <c r="AH998" s="446" t="e">
        <f>IF(OR($B998="",MIN(AH$38,$D$19)&lt;MAX($P$708*($B998+IF($R$17="Distrato",$I$38-1,0)),IF(AND($L$711=0,$P$708=0),"",$L$711-1),IF($R$17="Distrato",$E998,0))),0,YEARFRAC(MAX($P$708*($B998+IF($R$17="Distrato",$I$38-1,0)),IF(AND($L$711=0,$P$708=0),"",$L$711-1),IF($R$17="Distrato",$E998,0)),MIN(AH$38,$D$19),$P$20))-SUM($P998:AG998)</f>
        <v>#VALUE!</v>
      </c>
      <c r="AI998" s="446" t="e">
        <f>IF(OR($B998="",MIN(AI$38,$D$19)&lt;MAX($P$708*($B998+IF($R$17="Distrato",$I$38-1,0)),IF(AND($L$711=0,$P$708=0),"",$L$711-1),IF($R$17="Distrato",$E998,0))),0,YEARFRAC(MAX($P$708*($B998+IF($R$17="Distrato",$I$38-1,0)),IF(AND($L$711=0,$P$708=0),"",$L$711-1),IF($R$17="Distrato",$E998,0)),MIN(AI$38,$D$19),$P$20))-SUM($P998:AH998)</f>
        <v>#VALUE!</v>
      </c>
      <c r="AJ998" s="446" t="e">
        <f>IF(OR($B998="",MIN(AJ$38,$D$19)&lt;MAX($P$708*($B998+IF($R$17="Distrato",$I$38-1,0)),IF(AND($L$711=0,$P$708=0),"",$L$711-1),IF($R$17="Distrato",$E998,0))),0,YEARFRAC(MAX($P$708*($B998+IF($R$17="Distrato",$I$38-1,0)),IF(AND($L$711=0,$P$708=0),"",$L$711-1),IF($R$17="Distrato",$E998,0)),MIN(AJ$38,$D$19),$P$20))-SUM($P998:AI998)</f>
        <v>#VALUE!</v>
      </c>
      <c r="AK998" s="446" t="e">
        <f>IF(OR($B998="",MIN(AK$38,$D$19)&lt;MAX($P$708*($B998+IF($R$17="Distrato",$I$38-1,0)),IF(AND($L$711=0,$P$708=0),"",$L$711-1),IF($R$17="Distrato",$E998,0))),0,YEARFRAC(MAX($P$708*($B998+IF($R$17="Distrato",$I$38-1,0)),IF(AND($L$711=0,$P$708=0),"",$L$711-1),IF($R$17="Distrato",$E998,0)),MIN(AK$38,$D$19),$P$20))-SUM($P998:AJ998)</f>
        <v>#VALUE!</v>
      </c>
      <c r="AL998" s="446" t="e">
        <f>IF(OR($B998="",MIN(AL$38,$D$19)&lt;MAX($P$708*($B998+IF($R$17="Distrato",$I$38-1,0)),IF(AND($L$711=0,$P$708=0),"",$L$711-1),IF($R$17="Distrato",$E998,0))),0,YEARFRAC(MAX($P$708*($B998+IF($R$17="Distrato",$I$38-1,0)),IF(AND($L$711=0,$P$708=0),"",$L$711-1),IF($R$17="Distrato",$E998,0)),MIN(AL$38,$D$19),$P$20))-SUM($P998:AK998)</f>
        <v>#VALUE!</v>
      </c>
      <c r="AM998" s="446" t="e">
        <f>IF(OR($B998="",MIN(AM$38,$D$19)&lt;MAX($P$708*($B998+IF($R$17="Distrato",$I$38-1,0)),IF(AND($L$711=0,$P$708=0),"",$L$711-1),IF($R$17="Distrato",$E998,0))),0,YEARFRAC(MAX($P$708*($B998+IF($R$17="Distrato",$I$38-1,0)),IF(AND($L$711=0,$P$708=0),"",$L$711-1),IF($R$17="Distrato",$E998,0)),MIN(AM$38,$D$19),$P$20))-SUM($P998:AL998)</f>
        <v>#VALUE!</v>
      </c>
      <c r="AN998" s="446" t="e">
        <f>IF(OR($B998="",MIN(AN$38,$D$19)&lt;MAX($P$708*($B998+IF($R$17="Distrato",$I$38-1,0)),IF(AND($L$711=0,$P$708=0),"",$L$711-1),IF($R$17="Distrato",$E998,0))),0,YEARFRAC(MAX($P$708*($B998+IF($R$17="Distrato",$I$38-1,0)),IF(AND($L$711=0,$P$708=0),"",$L$711-1),IF($R$17="Distrato",$E998,0)),MIN(AN$38,$D$19),$P$20))-SUM($P998:AM998)</f>
        <v>#VALUE!</v>
      </c>
      <c r="AO998" s="446" t="e">
        <f>IF(OR($B998="",MIN(AO$38,$D$19)&lt;MAX($P$708*($B998+IF($R$17="Distrato",$I$38-1,0)),IF(AND($L$711=0,$P$708=0),"",$L$711-1),IF($R$17="Distrato",$E998,0))),0,YEARFRAC(MAX($P$708*($B998+IF($R$17="Distrato",$I$38-1,0)),IF(AND($L$711=0,$P$708=0),"",$L$711-1),IF($R$17="Distrato",$E998,0)),MIN(AO$38,$D$19),$P$20))-SUM($P998:AN998)</f>
        <v>#VALUE!</v>
      </c>
      <c r="AP998" s="446" t="e">
        <f>IF(OR($B998="",MIN(AP$38,$D$19)&lt;MAX($P$708*($B998+IF($R$17="Distrato",$I$38-1,0)),IF(AND($L$711=0,$P$708=0),"",$L$711-1),IF($R$17="Distrato",$E998,0))),0,YEARFRAC(MAX($P$708*($B998+IF($R$17="Distrato",$I$38-1,0)),IF(AND($L$711=0,$P$708=0),"",$L$711-1),IF($R$17="Distrato",$E998,0)),MIN(AP$38,$D$19),$P$20))-SUM($P998:AO998)</f>
        <v>#VALUE!</v>
      </c>
      <c r="AQ998" s="446" t="e">
        <f>IF(OR($B998="",MIN(AQ$38,$D$19)&lt;MAX($P$708*($B998+IF($R$17="Distrato",$I$38-1,0)),IF(AND($L$711=0,$P$708=0),"",$L$711-1),IF($R$17="Distrato",$E998,0))),0,YEARFRAC(MAX($P$708*($B998+IF($R$17="Distrato",$I$38-1,0)),IF(AND($L$711=0,$P$708=0),"",$L$711-1),IF($R$17="Distrato",$E998,0)),MIN(AQ$38,$D$19),$P$20))-SUM($P998:AP998)</f>
        <v>#VALUE!</v>
      </c>
      <c r="AR998" s="446" t="e">
        <f>IF(OR($B998="",MIN(AR$38,$D$19)&lt;MAX($P$708*($B998+IF($R$17="Distrato",$I$38-1,0)),IF(AND($L$711=0,$P$708=0),"",$L$711-1),IF($R$17="Distrato",$E998,0))),0,YEARFRAC(MAX($P$708*($B998+IF($R$17="Distrato",$I$38-1,0)),IF(AND($L$711=0,$P$708=0),"",$L$711-1),IF($R$17="Distrato",$E998,0)),MIN(AR$38,$D$19),$P$20))-SUM($P998:AQ998)</f>
        <v>#VALUE!</v>
      </c>
      <c r="AS998" s="446" t="e">
        <f>IF(OR($B998="",MIN(AS$38,$D$19)&lt;MAX($P$708*($B998+IF($R$17="Distrato",$I$38-1,0)),IF(AND($L$711=0,$P$708=0),"",$L$711-1),IF($R$17="Distrato",$E998,0))),0,YEARFRAC(MAX($P$708*($B998+IF($R$17="Distrato",$I$38-1,0)),IF(AND($L$711=0,$P$708=0),"",$L$711-1),IF($R$17="Distrato",$E998,0)),MIN(AS$38,$D$19),$P$20))-SUM($P998:AR998)</f>
        <v>#VALUE!</v>
      </c>
      <c r="AT998" s="446" t="e">
        <f>IF(OR($B998="",MIN(AT$38,$D$19)&lt;MAX($P$708*($B998+IF($R$17="Distrato",$I$38-1,0)),IF(AND($L$711=0,$P$708=0),"",$L$711-1),IF($R$17="Distrato",$E998,0))),0,YEARFRAC(MAX($P$708*($B998+IF($R$17="Distrato",$I$38-1,0)),IF(AND($L$711=0,$P$708=0),"",$L$711-1),IF($R$17="Distrato",$E998,0)),MIN(AT$38,$D$19),$P$20))-SUM($P998:AS998)</f>
        <v>#VALUE!</v>
      </c>
      <c r="AU998" s="446" t="e">
        <f>IF(OR($B998="",MIN(AU$38,$D$19)&lt;MAX($P$708*($B998+IF($R$17="Distrato",$I$38-1,0)),IF(AND($L$711=0,$P$708=0),"",$L$711-1),IF($R$17="Distrato",$E998,0))),0,YEARFRAC(MAX($P$708*($B998+IF($R$17="Distrato",$I$38-1,0)),IF(AND($L$711=0,$P$708=0),"",$L$711-1),IF($R$17="Distrato",$E998,0)),MIN(AU$38,$D$19),$P$20))-SUM($P998:AT998)</f>
        <v>#VALUE!</v>
      </c>
      <c r="AV998" s="446" t="e">
        <f>IF(OR($B998="",MIN(AV$38,$D$19)&lt;MAX($P$708*($B998+IF($R$17="Distrato",$I$38-1,0)),IF(AND($L$711=0,$P$708=0),"",$L$711-1),IF($R$17="Distrato",$E998,0))),0,YEARFRAC(MAX($P$708*($B998+IF($R$17="Distrato",$I$38-1,0)),IF(AND($L$711=0,$P$708=0),"",$L$711-1),IF($R$17="Distrato",$E998,0)),MIN(AV$38,$D$19),$P$20))-SUM($P998:AU998)</f>
        <v>#VALUE!</v>
      </c>
      <c r="AW998" s="446" t="e">
        <f>IF(OR($B998="",MIN(AW$38,$D$19)&lt;MAX($P$708*($B998+IF($R$17="Distrato",$I$38-1,0)),IF(AND($L$711=0,$P$708=0),"",$L$711-1),IF($R$17="Distrato",$E998,0))),0,YEARFRAC(MAX($P$708*($B998+IF($R$17="Distrato",$I$38-1,0)),IF(AND($L$711=0,$P$708=0),"",$L$711-1),IF($R$17="Distrato",$E998,0)),MIN(AW$38,$D$19),$P$20))-SUM($P998:AV998)</f>
        <v>#VALUE!</v>
      </c>
      <c r="AX998" s="446" t="e">
        <f>IF(OR($B998="",MIN(AX$38,$D$19)&lt;MAX($P$708*($B998+IF($R$17="Distrato",$I$38-1,0)),IF(AND($L$711=0,$P$708=0),"",$L$711-1),IF($R$17="Distrato",$E998,0))),0,YEARFRAC(MAX($P$708*($B998+IF($R$17="Distrato",$I$38-1,0)),IF(AND($L$711=0,$P$708=0),"",$L$711-1),IF($R$17="Distrato",$E998,0)),MIN(AX$38,$D$19),$P$20))-SUM($P998:AW998)</f>
        <v>#VALUE!</v>
      </c>
      <c r="AY998" s="446" t="e">
        <f>IF(OR($B998="",MIN(AY$38,$D$19)&lt;MAX($P$708*($B998+IF($R$17="Distrato",$I$38-1,0)),IF(AND($L$711=0,$P$708=0),"",$L$711-1),IF($R$17="Distrato",$E998,0))),0,YEARFRAC(MAX($P$708*($B998+IF($R$17="Distrato",$I$38-1,0)),IF(AND($L$711=0,$P$708=0),"",$L$711-1),IF($R$17="Distrato",$E998,0)),MIN(AY$38,$D$19),$P$20))-SUM($P998:AX998)</f>
        <v>#VALUE!</v>
      </c>
      <c r="AZ998" s="446" t="e">
        <f>IF(OR($B998="",MIN(AZ$38,$D$19)&lt;MAX($P$708*($B998+IF($R$17="Distrato",$I$38-1,0)),IF(AND($L$711=0,$P$708=0),"",$L$711-1),IF($R$17="Distrato",$E998,0))),0,YEARFRAC(MAX($P$708*($B998+IF($R$17="Distrato",$I$38-1,0)),IF(AND($L$711=0,$P$708=0),"",$L$711-1),IF($R$17="Distrato",$E998,0)),MIN(AZ$38,$D$19),$P$20))-SUM($P998:AY998)</f>
        <v>#VALUE!</v>
      </c>
      <c r="BA998" s="446" t="e">
        <f>IF(OR($B998="",MIN(BA$38,$D$19)&lt;MAX($P$708*($B998+IF($R$17="Distrato",$I$38-1,0)),IF(AND($L$711=0,$P$708=0),"",$L$711-1),IF($R$17="Distrato",$E998,0))),0,YEARFRAC(MAX($P$708*($B998+IF($R$17="Distrato",$I$38-1,0)),IF(AND($L$711=0,$P$708=0),"",$L$711-1),IF($R$17="Distrato",$E998,0)),MIN(BA$38,$D$19),$P$20))-SUM($P998:AZ998)</f>
        <v>#VALUE!</v>
      </c>
      <c r="BB998" s="447"/>
    </row>
    <row r="999" spans="1:54" s="446" customFormat="1" ht="11.25" hidden="1" customHeight="1" x14ac:dyDescent="0.2">
      <c r="A999" s="235"/>
      <c r="B999" s="236"/>
      <c r="C999" s="29" t="str">
        <f>IF(B999="","",IF($L$709=$BL$25,VLOOKUP(DATE(YEAR($D$19),MONTH($D$19)-1,1),ÍNDICES!$A:$DE,HLOOKUP($BL$25,ÍNDICES!$B$3:$T$4,2)+11)-VLOOKUP(B999,ÍNDICES!$A:$DE,HLOOKUP($BL$25,ÍNDICES!$B$3:$T$4,2)+11)+1%,IF(C$712=$W$26,$J$35,IF(ISERROR(IF(B999&gt;$D$19,1,VLOOKUP(DATE(YEAR(B999),MONTH(B999)+IF($C$709=$S$23,1,0),1),ÍNDICES!$A:$DE,$Z$709+1))),"",IF(B999&gt;$D$19,1,VLOOKUP(DATE(YEAR(B999),MONTH(B999)+IF($C$709=$S$23,1,0),1),ÍNDICES!$A:$DE,$Z$709+1))))))</f>
        <v/>
      </c>
      <c r="D999" s="155"/>
      <c r="E999" s="88"/>
      <c r="F999" s="88"/>
      <c r="G999" s="88"/>
      <c r="H999" s="118"/>
      <c r="I999" s="182">
        <f t="shared" si="143"/>
        <v>0</v>
      </c>
      <c r="J999" s="20">
        <f t="shared" ca="1" si="144"/>
        <v>0</v>
      </c>
      <c r="K999" s="5">
        <f t="shared" ca="1" si="145"/>
        <v>0</v>
      </c>
      <c r="L999" s="61">
        <f t="shared" ca="1" si="146"/>
        <v>0</v>
      </c>
      <c r="M999" s="64">
        <f t="shared" si="147"/>
        <v>0</v>
      </c>
      <c r="N999" s="151"/>
      <c r="O999" s="5">
        <f t="shared" ca="1" si="148"/>
        <v>0</v>
      </c>
      <c r="P999" s="446" t="e">
        <f t="shared" si="149"/>
        <v>#VALUE!</v>
      </c>
      <c r="Q999" s="446" t="e">
        <f>IF(OR($B999="",MIN(Q$38,$D$19)&lt;MAX($P$708*($B999+IF($R$17="Distrato",$I$38-1,0)),IF(AND($L$711=0,$P$708=0),"",$L$711-1),IF($R$17="Distrato",$E999,0))),0,YEARFRAC(MAX($P$708*($B999+IF($R$17="Distrato",$I$38-1,0)),IF(AND($L$711=0,$P$708=0),"",$L$711-1),IF($R$17="Distrato",$E999,0)),MIN(Q$38,$D$19),$P$20))-SUM($P999:P999)</f>
        <v>#VALUE!</v>
      </c>
      <c r="R999" s="446" t="e">
        <f>IF(OR($B999="",MIN(R$38,$D$19)&lt;MAX($P$708*($B999+IF($R$17="Distrato",$I$38-1,0)),IF(AND($L$711=0,$P$708=0),"",$L$711-1),IF($R$17="Distrato",$E999,0))),0,YEARFRAC(MAX($P$708*($B999+IF($R$17="Distrato",$I$38-1,0)),IF(AND($L$711=0,$P$708=0),"",$L$711-1),IF($R$17="Distrato",$E999,0)),MIN(R$38,$D$19),$P$20))-SUM($P999:Q999)</f>
        <v>#VALUE!</v>
      </c>
      <c r="S999" s="446" t="e">
        <f>IF(OR($B999="",MIN(S$38,$D$19)&lt;MAX($P$708*($B999+IF($R$17="Distrato",$I$38-1,0)),IF(AND($L$711=0,$P$708=0),"",$L$711-1),IF($R$17="Distrato",$E999,0))),0,YEARFRAC(MAX($P$708*($B999+IF($R$17="Distrato",$I$38-1,0)),IF(AND($L$711=0,$P$708=0),"",$L$711-1),IF($R$17="Distrato",$E999,0)),MIN(S$38,$D$19),$P$20))-SUM($P999:R999)</f>
        <v>#VALUE!</v>
      </c>
      <c r="T999" s="446" t="e">
        <f>IF(OR($B999="",MIN(T$38,$D$19)&lt;MAX($P$708*($B999+IF($R$17="Distrato",$I$38-1,0)),IF(AND($L$711=0,$P$708=0),"",$L$711-1),IF($R$17="Distrato",$E999,0))),0,YEARFRAC(MAX($P$708*($B999+IF($R$17="Distrato",$I$38-1,0)),IF(AND($L$711=0,$P$708=0),"",$L$711-1),IF($R$17="Distrato",$E999,0)),MIN(T$38,$D$19),$P$20))-SUM($P999:S999)</f>
        <v>#VALUE!</v>
      </c>
      <c r="U999" s="446" t="e">
        <f>IF(OR($B999="",MIN(U$38,$D$19)&lt;MAX($P$708*($B999+IF($R$17="Distrato",$I$38-1,0)),IF(AND($L$711=0,$P$708=0),"",$L$711-1),IF($R$17="Distrato",$E999,0))),0,YEARFRAC(MAX($P$708*($B999+IF($R$17="Distrato",$I$38-1,0)),IF(AND($L$711=0,$P$708=0),"",$L$711-1),IF($R$17="Distrato",$E999,0)),MIN(U$38,$D$19),$P$20))-SUM($P999:T999)</f>
        <v>#VALUE!</v>
      </c>
      <c r="V999" s="446" t="e">
        <f>IF(OR($B999="",MIN(V$38,$D$19)&lt;MAX($P$708*($B999+IF($R$17="Distrato",$I$38-1,0)),IF(AND($L$711=0,$P$708=0),"",$L$711-1),IF($R$17="Distrato",$E999,0))),0,YEARFRAC(MAX($P$708*($B999+IF($R$17="Distrato",$I$38-1,0)),IF(AND($L$711=0,$P$708=0),"",$L$711-1),IF($R$17="Distrato",$E999,0)),MIN(V$38,$D$19),$P$20))-SUM($P999:U999)</f>
        <v>#VALUE!</v>
      </c>
      <c r="W999" s="446" t="e">
        <f>IF(OR($B999="",MIN(W$38,$D$19)&lt;MAX($P$708*($B999+IF($R$17="Distrato",$I$38-1,0)),IF(AND($L$711=0,$P$708=0),"",$L$711-1),IF($R$17="Distrato",$E999,0))),0,YEARFRAC(MAX($P$708*($B999+IF($R$17="Distrato",$I$38-1,0)),IF(AND($L$711=0,$P$708=0),"",$L$711-1),IF($R$17="Distrato",$E999,0)),MIN(W$38,$D$19),$P$20))-SUM($P999:V999)</f>
        <v>#VALUE!</v>
      </c>
      <c r="X999" s="446" t="e">
        <f>IF(OR($B999="",MIN(X$38,$D$19)&lt;MAX($P$708*($B999+IF($R$17="Distrato",$I$38-1,0)),IF(AND($L$711=0,$P$708=0),"",$L$711-1),IF($R$17="Distrato",$E999,0))),0,YEARFRAC(MAX($P$708*($B999+IF($R$17="Distrato",$I$38-1,0)),IF(AND($L$711=0,$P$708=0),"",$L$711-1),IF($R$17="Distrato",$E999,0)),MIN(X$38,$D$19),$P$20))-SUM($P999:W999)</f>
        <v>#VALUE!</v>
      </c>
      <c r="Y999" s="446" t="e">
        <f>IF(OR($B999="",MIN(Y$38,$D$19)&lt;MAX($P$708*($B999+IF($R$17="Distrato",$I$38-1,0)),IF(AND($L$711=0,$P$708=0),"",$L$711-1),IF($R$17="Distrato",$E999,0))),0,YEARFRAC(MAX($P$708*($B999+IF($R$17="Distrato",$I$38-1,0)),IF(AND($L$711=0,$P$708=0),"",$L$711-1),IF($R$17="Distrato",$E999,0)),MIN(Y$38,$D$19),$P$20))-SUM($P999:X999)</f>
        <v>#VALUE!</v>
      </c>
      <c r="Z999" s="446" t="e">
        <f>IF(OR($B999="",MIN(Z$38,$D$19)&lt;MAX($P$708*($B999+IF($R$17="Distrato",$I$38-1,0)),IF(AND($L$711=0,$P$708=0),"",$L$711-1),IF($R$17="Distrato",$E999,0))),0,YEARFRAC(MAX($P$708*($B999+IF($R$17="Distrato",$I$38-1,0)),IF(AND($L$711=0,$P$708=0),"",$L$711-1),IF($R$17="Distrato",$E999,0)),MIN(Z$38,$D$19),$P$20))-SUM($P999:Y999)</f>
        <v>#VALUE!</v>
      </c>
      <c r="AA999" s="446" t="e">
        <f>IF(OR($B999="",MIN(AA$38,$D$19)&lt;MAX($P$708*($B999+IF($R$17="Distrato",$I$38-1,0)),IF(AND($L$711=0,$P$708=0),"",$L$711-1),IF($R$17="Distrato",$E999,0))),0,YEARFRAC(MAX($P$708*($B999+IF($R$17="Distrato",$I$38-1,0)),IF(AND($L$711=0,$P$708=0),"",$L$711-1),IF($R$17="Distrato",$E999,0)),MIN(AA$38,$D$19),$P$20))-SUM($P999:Z999)</f>
        <v>#VALUE!</v>
      </c>
      <c r="AB999" s="446" t="e">
        <f>IF(OR($B999="",MIN(AB$38,$D$19)&lt;MAX($P$708*($B999+IF($R$17="Distrato",$I$38-1,0)),IF(AND($L$711=0,$P$708=0),"",$L$711-1),IF($R$17="Distrato",$E999,0))),0,YEARFRAC(MAX($P$708*($B999+IF($R$17="Distrato",$I$38-1,0)),IF(AND($L$711=0,$P$708=0),"",$L$711-1),IF($R$17="Distrato",$E999,0)),MIN(AB$38,$D$19),$P$20))-SUM($P999:AA999)</f>
        <v>#VALUE!</v>
      </c>
      <c r="AC999" s="446" t="e">
        <f>IF(OR($B999="",MIN(AC$38,$D$19)&lt;MAX($P$708*($B999+IF($R$17="Distrato",$I$38-1,0)),IF(AND($L$711=0,$P$708=0),"",$L$711-1),IF($R$17="Distrato",$E999,0))),0,YEARFRAC(MAX($P$708*($B999+IF($R$17="Distrato",$I$38-1,0)),IF(AND($L$711=0,$P$708=0),"",$L$711-1),IF($R$17="Distrato",$E999,0)),MIN(AC$38,$D$19),$P$20))-SUM($P999:AB999)</f>
        <v>#VALUE!</v>
      </c>
      <c r="AD999" s="446" t="e">
        <f>IF(OR($B999="",MIN(AD$38,$D$19)&lt;MAX($P$708*($B999+IF($R$17="Distrato",$I$38-1,0)),IF(AND($L$711=0,$P$708=0),"",$L$711-1),IF($R$17="Distrato",$E999,0))),0,YEARFRAC(MAX($P$708*($B999+IF($R$17="Distrato",$I$38-1,0)),IF(AND($L$711=0,$P$708=0),"",$L$711-1),IF($R$17="Distrato",$E999,0)),MIN(AD$38,$D$19),$P$20))-SUM($P999:AC999)</f>
        <v>#VALUE!</v>
      </c>
      <c r="AE999" s="446" t="e">
        <f>IF(OR($B999="",MIN(AE$38,$D$19)&lt;MAX($P$708*($B999+IF($R$17="Distrato",$I$38-1,0)),IF(AND($L$711=0,$P$708=0),"",$L$711-1),IF($R$17="Distrato",$E999,0))),0,YEARFRAC(MAX($P$708*($B999+IF($R$17="Distrato",$I$38-1,0)),IF(AND($L$711=0,$P$708=0),"",$L$711-1),IF($R$17="Distrato",$E999,0)),MIN(AE$38,$D$19),$P$20))-SUM($P999:AD999)</f>
        <v>#VALUE!</v>
      </c>
      <c r="AF999" s="446" t="e">
        <f>IF(OR($B999="",MIN(AF$38,$D$19)&lt;MAX($P$708*($B999+IF($R$17="Distrato",$I$38-1,0)),IF(AND($L$711=0,$P$708=0),"",$L$711-1),IF($R$17="Distrato",$E999,0))),0,YEARFRAC(MAX($P$708*($B999+IF($R$17="Distrato",$I$38-1,0)),IF(AND($L$711=0,$P$708=0),"",$L$711-1),IF($R$17="Distrato",$E999,0)),MIN(AF$38,$D$19),$P$20))-SUM($P999:AE999)</f>
        <v>#VALUE!</v>
      </c>
      <c r="AG999" s="446" t="e">
        <f>IF(OR($B999="",MIN(AG$38,$D$19)&lt;MAX($P$708*($B999+IF($R$17="Distrato",$I$38-1,0)),IF(AND($L$711=0,$P$708=0),"",$L$711-1),IF($R$17="Distrato",$E999,0))),0,YEARFRAC(MAX($P$708*($B999+IF($R$17="Distrato",$I$38-1,0)),IF(AND($L$711=0,$P$708=0),"",$L$711-1),IF($R$17="Distrato",$E999,0)),MIN(AG$38,$D$19),$P$20))-SUM($P999:AF999)</f>
        <v>#VALUE!</v>
      </c>
      <c r="AH999" s="446" t="e">
        <f>IF(OR($B999="",MIN(AH$38,$D$19)&lt;MAX($P$708*($B999+IF($R$17="Distrato",$I$38-1,0)),IF(AND($L$711=0,$P$708=0),"",$L$711-1),IF($R$17="Distrato",$E999,0))),0,YEARFRAC(MAX($P$708*($B999+IF($R$17="Distrato",$I$38-1,0)),IF(AND($L$711=0,$P$708=0),"",$L$711-1),IF($R$17="Distrato",$E999,0)),MIN(AH$38,$D$19),$P$20))-SUM($P999:AG999)</f>
        <v>#VALUE!</v>
      </c>
      <c r="AI999" s="446" t="e">
        <f>IF(OR($B999="",MIN(AI$38,$D$19)&lt;MAX($P$708*($B999+IF($R$17="Distrato",$I$38-1,0)),IF(AND($L$711=0,$P$708=0),"",$L$711-1),IF($R$17="Distrato",$E999,0))),0,YEARFRAC(MAX($P$708*($B999+IF($R$17="Distrato",$I$38-1,0)),IF(AND($L$711=0,$P$708=0),"",$L$711-1),IF($R$17="Distrato",$E999,0)),MIN(AI$38,$D$19),$P$20))-SUM($P999:AH999)</f>
        <v>#VALUE!</v>
      </c>
      <c r="AJ999" s="446" t="e">
        <f>IF(OR($B999="",MIN(AJ$38,$D$19)&lt;MAX($P$708*($B999+IF($R$17="Distrato",$I$38-1,0)),IF(AND($L$711=0,$P$708=0),"",$L$711-1),IF($R$17="Distrato",$E999,0))),0,YEARFRAC(MAX($P$708*($B999+IF($R$17="Distrato",$I$38-1,0)),IF(AND($L$711=0,$P$708=0),"",$L$711-1),IF($R$17="Distrato",$E999,0)),MIN(AJ$38,$D$19),$P$20))-SUM($P999:AI999)</f>
        <v>#VALUE!</v>
      </c>
      <c r="AK999" s="446" t="e">
        <f>IF(OR($B999="",MIN(AK$38,$D$19)&lt;MAX($P$708*($B999+IF($R$17="Distrato",$I$38-1,0)),IF(AND($L$711=0,$P$708=0),"",$L$711-1),IF($R$17="Distrato",$E999,0))),0,YEARFRAC(MAX($P$708*($B999+IF($R$17="Distrato",$I$38-1,0)),IF(AND($L$711=0,$P$708=0),"",$L$711-1),IF($R$17="Distrato",$E999,0)),MIN(AK$38,$D$19),$P$20))-SUM($P999:AJ999)</f>
        <v>#VALUE!</v>
      </c>
      <c r="AL999" s="446" t="e">
        <f>IF(OR($B999="",MIN(AL$38,$D$19)&lt;MAX($P$708*($B999+IF($R$17="Distrato",$I$38-1,0)),IF(AND($L$711=0,$P$708=0),"",$L$711-1),IF($R$17="Distrato",$E999,0))),0,YEARFRAC(MAX($P$708*($B999+IF($R$17="Distrato",$I$38-1,0)),IF(AND($L$711=0,$P$708=0),"",$L$711-1),IF($R$17="Distrato",$E999,0)),MIN(AL$38,$D$19),$P$20))-SUM($P999:AK999)</f>
        <v>#VALUE!</v>
      </c>
      <c r="AM999" s="446" t="e">
        <f>IF(OR($B999="",MIN(AM$38,$D$19)&lt;MAX($P$708*($B999+IF($R$17="Distrato",$I$38-1,0)),IF(AND($L$711=0,$P$708=0),"",$L$711-1),IF($R$17="Distrato",$E999,0))),0,YEARFRAC(MAX($P$708*($B999+IF($R$17="Distrato",$I$38-1,0)),IF(AND($L$711=0,$P$708=0),"",$L$711-1),IF($R$17="Distrato",$E999,0)),MIN(AM$38,$D$19),$P$20))-SUM($P999:AL999)</f>
        <v>#VALUE!</v>
      </c>
      <c r="AN999" s="446" t="e">
        <f>IF(OR($B999="",MIN(AN$38,$D$19)&lt;MAX($P$708*($B999+IF($R$17="Distrato",$I$38-1,0)),IF(AND($L$711=0,$P$708=0),"",$L$711-1),IF($R$17="Distrato",$E999,0))),0,YEARFRAC(MAX($P$708*($B999+IF($R$17="Distrato",$I$38-1,0)),IF(AND($L$711=0,$P$708=0),"",$L$711-1),IF($R$17="Distrato",$E999,0)),MIN(AN$38,$D$19),$P$20))-SUM($P999:AM999)</f>
        <v>#VALUE!</v>
      </c>
      <c r="AO999" s="446" t="e">
        <f>IF(OR($B999="",MIN(AO$38,$D$19)&lt;MAX($P$708*($B999+IF($R$17="Distrato",$I$38-1,0)),IF(AND($L$711=0,$P$708=0),"",$L$711-1),IF($R$17="Distrato",$E999,0))),0,YEARFRAC(MAX($P$708*($B999+IF($R$17="Distrato",$I$38-1,0)),IF(AND($L$711=0,$P$708=0),"",$L$711-1),IF($R$17="Distrato",$E999,0)),MIN(AO$38,$D$19),$P$20))-SUM($P999:AN999)</f>
        <v>#VALUE!</v>
      </c>
      <c r="AP999" s="446" t="e">
        <f>IF(OR($B999="",MIN(AP$38,$D$19)&lt;MAX($P$708*($B999+IF($R$17="Distrato",$I$38-1,0)),IF(AND($L$711=0,$P$708=0),"",$L$711-1),IF($R$17="Distrato",$E999,0))),0,YEARFRAC(MAX($P$708*($B999+IF($R$17="Distrato",$I$38-1,0)),IF(AND($L$711=0,$P$708=0),"",$L$711-1),IF($R$17="Distrato",$E999,0)),MIN(AP$38,$D$19),$P$20))-SUM($P999:AO999)</f>
        <v>#VALUE!</v>
      </c>
      <c r="AQ999" s="446" t="e">
        <f>IF(OR($B999="",MIN(AQ$38,$D$19)&lt;MAX($P$708*($B999+IF($R$17="Distrato",$I$38-1,0)),IF(AND($L$711=0,$P$708=0),"",$L$711-1),IF($R$17="Distrato",$E999,0))),0,YEARFRAC(MAX($P$708*($B999+IF($R$17="Distrato",$I$38-1,0)),IF(AND($L$711=0,$P$708=0),"",$L$711-1),IF($R$17="Distrato",$E999,0)),MIN(AQ$38,$D$19),$P$20))-SUM($P999:AP999)</f>
        <v>#VALUE!</v>
      </c>
      <c r="AR999" s="446" t="e">
        <f>IF(OR($B999="",MIN(AR$38,$D$19)&lt;MAX($P$708*($B999+IF($R$17="Distrato",$I$38-1,0)),IF(AND($L$711=0,$P$708=0),"",$L$711-1),IF($R$17="Distrato",$E999,0))),0,YEARFRAC(MAX($P$708*($B999+IF($R$17="Distrato",$I$38-1,0)),IF(AND($L$711=0,$P$708=0),"",$L$711-1),IF($R$17="Distrato",$E999,0)),MIN(AR$38,$D$19),$P$20))-SUM($P999:AQ999)</f>
        <v>#VALUE!</v>
      </c>
      <c r="AS999" s="446" t="e">
        <f>IF(OR($B999="",MIN(AS$38,$D$19)&lt;MAX($P$708*($B999+IF($R$17="Distrato",$I$38-1,0)),IF(AND($L$711=0,$P$708=0),"",$L$711-1),IF($R$17="Distrato",$E999,0))),0,YEARFRAC(MAX($P$708*($B999+IF($R$17="Distrato",$I$38-1,0)),IF(AND($L$711=0,$P$708=0),"",$L$711-1),IF($R$17="Distrato",$E999,0)),MIN(AS$38,$D$19),$P$20))-SUM($P999:AR999)</f>
        <v>#VALUE!</v>
      </c>
      <c r="AT999" s="446" t="e">
        <f>IF(OR($B999="",MIN(AT$38,$D$19)&lt;MAX($P$708*($B999+IF($R$17="Distrato",$I$38-1,0)),IF(AND($L$711=0,$P$708=0),"",$L$711-1),IF($R$17="Distrato",$E999,0))),0,YEARFRAC(MAX($P$708*($B999+IF($R$17="Distrato",$I$38-1,0)),IF(AND($L$711=0,$P$708=0),"",$L$711-1),IF($R$17="Distrato",$E999,0)),MIN(AT$38,$D$19),$P$20))-SUM($P999:AS999)</f>
        <v>#VALUE!</v>
      </c>
      <c r="AU999" s="446" t="e">
        <f>IF(OR($B999="",MIN(AU$38,$D$19)&lt;MAX($P$708*($B999+IF($R$17="Distrato",$I$38-1,0)),IF(AND($L$711=0,$P$708=0),"",$L$711-1),IF($R$17="Distrato",$E999,0))),0,YEARFRAC(MAX($P$708*($B999+IF($R$17="Distrato",$I$38-1,0)),IF(AND($L$711=0,$P$708=0),"",$L$711-1),IF($R$17="Distrato",$E999,0)),MIN(AU$38,$D$19),$P$20))-SUM($P999:AT999)</f>
        <v>#VALUE!</v>
      </c>
      <c r="AV999" s="446" t="e">
        <f>IF(OR($B999="",MIN(AV$38,$D$19)&lt;MAX($P$708*($B999+IF($R$17="Distrato",$I$38-1,0)),IF(AND($L$711=0,$P$708=0),"",$L$711-1),IF($R$17="Distrato",$E999,0))),0,YEARFRAC(MAX($P$708*($B999+IF($R$17="Distrato",$I$38-1,0)),IF(AND($L$711=0,$P$708=0),"",$L$711-1),IF($R$17="Distrato",$E999,0)),MIN(AV$38,$D$19),$P$20))-SUM($P999:AU999)</f>
        <v>#VALUE!</v>
      </c>
      <c r="AW999" s="446" t="e">
        <f>IF(OR($B999="",MIN(AW$38,$D$19)&lt;MAX($P$708*($B999+IF($R$17="Distrato",$I$38-1,0)),IF(AND($L$711=0,$P$708=0),"",$L$711-1),IF($R$17="Distrato",$E999,0))),0,YEARFRAC(MAX($P$708*($B999+IF($R$17="Distrato",$I$38-1,0)),IF(AND($L$711=0,$P$708=0),"",$L$711-1),IF($R$17="Distrato",$E999,0)),MIN(AW$38,$D$19),$P$20))-SUM($P999:AV999)</f>
        <v>#VALUE!</v>
      </c>
      <c r="AX999" s="446" t="e">
        <f>IF(OR($B999="",MIN(AX$38,$D$19)&lt;MAX($P$708*($B999+IF($R$17="Distrato",$I$38-1,0)),IF(AND($L$711=0,$P$708=0),"",$L$711-1),IF($R$17="Distrato",$E999,0))),0,YEARFRAC(MAX($P$708*($B999+IF($R$17="Distrato",$I$38-1,0)),IF(AND($L$711=0,$P$708=0),"",$L$711-1),IF($R$17="Distrato",$E999,0)),MIN(AX$38,$D$19),$P$20))-SUM($P999:AW999)</f>
        <v>#VALUE!</v>
      </c>
      <c r="AY999" s="446" t="e">
        <f>IF(OR($B999="",MIN(AY$38,$D$19)&lt;MAX($P$708*($B999+IF($R$17="Distrato",$I$38-1,0)),IF(AND($L$711=0,$P$708=0),"",$L$711-1),IF($R$17="Distrato",$E999,0))),0,YEARFRAC(MAX($P$708*($B999+IF($R$17="Distrato",$I$38-1,0)),IF(AND($L$711=0,$P$708=0),"",$L$711-1),IF($R$17="Distrato",$E999,0)),MIN(AY$38,$D$19),$P$20))-SUM($P999:AX999)</f>
        <v>#VALUE!</v>
      </c>
      <c r="AZ999" s="446" t="e">
        <f>IF(OR($B999="",MIN(AZ$38,$D$19)&lt;MAX($P$708*($B999+IF($R$17="Distrato",$I$38-1,0)),IF(AND($L$711=0,$P$708=0),"",$L$711-1),IF($R$17="Distrato",$E999,0))),0,YEARFRAC(MAX($P$708*($B999+IF($R$17="Distrato",$I$38-1,0)),IF(AND($L$711=0,$P$708=0),"",$L$711-1),IF($R$17="Distrato",$E999,0)),MIN(AZ$38,$D$19),$P$20))-SUM($P999:AY999)</f>
        <v>#VALUE!</v>
      </c>
      <c r="BA999" s="446" t="e">
        <f>IF(OR($B999="",MIN(BA$38,$D$19)&lt;MAX($P$708*($B999+IF($R$17="Distrato",$I$38-1,0)),IF(AND($L$711=0,$P$708=0),"",$L$711-1),IF($R$17="Distrato",$E999,0))),0,YEARFRAC(MAX($P$708*($B999+IF($R$17="Distrato",$I$38-1,0)),IF(AND($L$711=0,$P$708=0),"",$L$711-1),IF($R$17="Distrato",$E999,0)),MIN(BA$38,$D$19),$P$20))-SUM($P999:AZ999)</f>
        <v>#VALUE!</v>
      </c>
      <c r="BB999" s="447"/>
    </row>
    <row r="1000" spans="1:54" s="446" customFormat="1" ht="11.25" hidden="1" customHeight="1" x14ac:dyDescent="0.2">
      <c r="A1000" s="235"/>
      <c r="B1000" s="236"/>
      <c r="C1000" s="29" t="str">
        <f>IF(B1000="","",IF($L$709=$BL$25,VLOOKUP(DATE(YEAR($D$19),MONTH($D$19)-1,1),ÍNDICES!$A:$DE,HLOOKUP($BL$25,ÍNDICES!$B$3:$T$4,2)+11)-VLOOKUP(B1000,ÍNDICES!$A:$DE,HLOOKUP($BL$25,ÍNDICES!$B$3:$T$4,2)+11)+1%,IF(C$712=$W$26,$J$35,IF(ISERROR(IF(B1000&gt;$D$19,1,VLOOKUP(DATE(YEAR(B1000),MONTH(B1000)+IF($C$709=$S$23,1,0),1),ÍNDICES!$A:$DE,$Z$709+1))),"",IF(B1000&gt;$D$19,1,VLOOKUP(DATE(YEAR(B1000),MONTH(B1000)+IF($C$709=$S$23,1,0),1),ÍNDICES!$A:$DE,$Z$709+1))))))</f>
        <v/>
      </c>
      <c r="D1000" s="155"/>
      <c r="E1000" s="88"/>
      <c r="F1000" s="88"/>
      <c r="G1000" s="88"/>
      <c r="H1000" s="118"/>
      <c r="I1000" s="182">
        <f t="shared" si="143"/>
        <v>0</v>
      </c>
      <c r="J1000" s="20">
        <f t="shared" ca="1" si="144"/>
        <v>0</v>
      </c>
      <c r="K1000" s="5">
        <f t="shared" ca="1" si="145"/>
        <v>0</v>
      </c>
      <c r="L1000" s="61">
        <f t="shared" ca="1" si="146"/>
        <v>0</v>
      </c>
      <c r="M1000" s="64">
        <f t="shared" si="147"/>
        <v>0</v>
      </c>
      <c r="N1000" s="151"/>
      <c r="O1000" s="5">
        <f t="shared" ca="1" si="148"/>
        <v>0</v>
      </c>
      <c r="P1000" s="446" t="e">
        <f t="shared" si="149"/>
        <v>#VALUE!</v>
      </c>
      <c r="Q1000" s="446" t="e">
        <f>IF(OR($B1000="",MIN(Q$38,$D$19)&lt;MAX($P$708*($B1000+IF($R$17="Distrato",$I$38-1,0)),IF(AND($L$711=0,$P$708=0),"",$L$711-1),IF($R$17="Distrato",$E1000,0))),0,YEARFRAC(MAX($P$708*($B1000+IF($R$17="Distrato",$I$38-1,0)),IF(AND($L$711=0,$P$708=0),"",$L$711-1),IF($R$17="Distrato",$E1000,0)),MIN(Q$38,$D$19),$P$20))-SUM($P1000:P1000)</f>
        <v>#VALUE!</v>
      </c>
      <c r="R1000" s="446" t="e">
        <f>IF(OR($B1000="",MIN(R$38,$D$19)&lt;MAX($P$708*($B1000+IF($R$17="Distrato",$I$38-1,0)),IF(AND($L$711=0,$P$708=0),"",$L$711-1),IF($R$17="Distrato",$E1000,0))),0,YEARFRAC(MAX($P$708*($B1000+IF($R$17="Distrato",$I$38-1,0)),IF(AND($L$711=0,$P$708=0),"",$L$711-1),IF($R$17="Distrato",$E1000,0)),MIN(R$38,$D$19),$P$20))-SUM($P1000:Q1000)</f>
        <v>#VALUE!</v>
      </c>
      <c r="S1000" s="446" t="e">
        <f>IF(OR($B1000="",MIN(S$38,$D$19)&lt;MAX($P$708*($B1000+IF($R$17="Distrato",$I$38-1,0)),IF(AND($L$711=0,$P$708=0),"",$L$711-1),IF($R$17="Distrato",$E1000,0))),0,YEARFRAC(MAX($P$708*($B1000+IF($R$17="Distrato",$I$38-1,0)),IF(AND($L$711=0,$P$708=0),"",$L$711-1),IF($R$17="Distrato",$E1000,0)),MIN(S$38,$D$19),$P$20))-SUM($P1000:R1000)</f>
        <v>#VALUE!</v>
      </c>
      <c r="T1000" s="446" t="e">
        <f>IF(OR($B1000="",MIN(T$38,$D$19)&lt;MAX($P$708*($B1000+IF($R$17="Distrato",$I$38-1,0)),IF(AND($L$711=0,$P$708=0),"",$L$711-1),IF($R$17="Distrato",$E1000,0))),0,YEARFRAC(MAX($P$708*($B1000+IF($R$17="Distrato",$I$38-1,0)),IF(AND($L$711=0,$P$708=0),"",$L$711-1),IF($R$17="Distrato",$E1000,0)),MIN(T$38,$D$19),$P$20))-SUM($P1000:S1000)</f>
        <v>#VALUE!</v>
      </c>
      <c r="U1000" s="446" t="e">
        <f>IF(OR($B1000="",MIN(U$38,$D$19)&lt;MAX($P$708*($B1000+IF($R$17="Distrato",$I$38-1,0)),IF(AND($L$711=0,$P$708=0),"",$L$711-1),IF($R$17="Distrato",$E1000,0))),0,YEARFRAC(MAX($P$708*($B1000+IF($R$17="Distrato",$I$38-1,0)),IF(AND($L$711=0,$P$708=0),"",$L$711-1),IF($R$17="Distrato",$E1000,0)),MIN(U$38,$D$19),$P$20))-SUM($P1000:T1000)</f>
        <v>#VALUE!</v>
      </c>
      <c r="V1000" s="446" t="e">
        <f>IF(OR($B1000="",MIN(V$38,$D$19)&lt;MAX($P$708*($B1000+IF($R$17="Distrato",$I$38-1,0)),IF(AND($L$711=0,$P$708=0),"",$L$711-1),IF($R$17="Distrato",$E1000,0))),0,YEARFRAC(MAX($P$708*($B1000+IF($R$17="Distrato",$I$38-1,0)),IF(AND($L$711=0,$P$708=0),"",$L$711-1),IF($R$17="Distrato",$E1000,0)),MIN(V$38,$D$19),$P$20))-SUM($P1000:U1000)</f>
        <v>#VALUE!</v>
      </c>
      <c r="W1000" s="446" t="e">
        <f>IF(OR($B1000="",MIN(W$38,$D$19)&lt;MAX($P$708*($B1000+IF($R$17="Distrato",$I$38-1,0)),IF(AND($L$711=0,$P$708=0),"",$L$711-1),IF($R$17="Distrato",$E1000,0))),0,YEARFRAC(MAX($P$708*($B1000+IF($R$17="Distrato",$I$38-1,0)),IF(AND($L$711=0,$P$708=0),"",$L$711-1),IF($R$17="Distrato",$E1000,0)),MIN(W$38,$D$19),$P$20))-SUM($P1000:V1000)</f>
        <v>#VALUE!</v>
      </c>
      <c r="X1000" s="446" t="e">
        <f>IF(OR($B1000="",MIN(X$38,$D$19)&lt;MAX($P$708*($B1000+IF($R$17="Distrato",$I$38-1,0)),IF(AND($L$711=0,$P$708=0),"",$L$711-1),IF($R$17="Distrato",$E1000,0))),0,YEARFRAC(MAX($P$708*($B1000+IF($R$17="Distrato",$I$38-1,0)),IF(AND($L$711=0,$P$708=0),"",$L$711-1),IF($R$17="Distrato",$E1000,0)),MIN(X$38,$D$19),$P$20))-SUM($P1000:W1000)</f>
        <v>#VALUE!</v>
      </c>
      <c r="Y1000" s="446" t="e">
        <f>IF(OR($B1000="",MIN(Y$38,$D$19)&lt;MAX($P$708*($B1000+IF($R$17="Distrato",$I$38-1,0)),IF(AND($L$711=0,$P$708=0),"",$L$711-1),IF($R$17="Distrato",$E1000,0))),0,YEARFRAC(MAX($P$708*($B1000+IF($R$17="Distrato",$I$38-1,0)),IF(AND($L$711=0,$P$708=0),"",$L$711-1),IF($R$17="Distrato",$E1000,0)),MIN(Y$38,$D$19),$P$20))-SUM($P1000:X1000)</f>
        <v>#VALUE!</v>
      </c>
      <c r="Z1000" s="446" t="e">
        <f>IF(OR($B1000="",MIN(Z$38,$D$19)&lt;MAX($P$708*($B1000+IF($R$17="Distrato",$I$38-1,0)),IF(AND($L$711=0,$P$708=0),"",$L$711-1),IF($R$17="Distrato",$E1000,0))),0,YEARFRAC(MAX($P$708*($B1000+IF($R$17="Distrato",$I$38-1,0)),IF(AND($L$711=0,$P$708=0),"",$L$711-1),IF($R$17="Distrato",$E1000,0)),MIN(Z$38,$D$19),$P$20))-SUM($P1000:Y1000)</f>
        <v>#VALUE!</v>
      </c>
      <c r="AA1000" s="446" t="e">
        <f>IF(OR($B1000="",MIN(AA$38,$D$19)&lt;MAX($P$708*($B1000+IF($R$17="Distrato",$I$38-1,0)),IF(AND($L$711=0,$P$708=0),"",$L$711-1),IF($R$17="Distrato",$E1000,0))),0,YEARFRAC(MAX($P$708*($B1000+IF($R$17="Distrato",$I$38-1,0)),IF(AND($L$711=0,$P$708=0),"",$L$711-1),IF($R$17="Distrato",$E1000,0)),MIN(AA$38,$D$19),$P$20))-SUM($P1000:Z1000)</f>
        <v>#VALUE!</v>
      </c>
      <c r="AB1000" s="446" t="e">
        <f>IF(OR($B1000="",MIN(AB$38,$D$19)&lt;MAX($P$708*($B1000+IF($R$17="Distrato",$I$38-1,0)),IF(AND($L$711=0,$P$708=0),"",$L$711-1),IF($R$17="Distrato",$E1000,0))),0,YEARFRAC(MAX($P$708*($B1000+IF($R$17="Distrato",$I$38-1,0)),IF(AND($L$711=0,$P$708=0),"",$L$711-1),IF($R$17="Distrato",$E1000,0)),MIN(AB$38,$D$19),$P$20))-SUM($P1000:AA1000)</f>
        <v>#VALUE!</v>
      </c>
      <c r="AC1000" s="446" t="e">
        <f>IF(OR($B1000="",MIN(AC$38,$D$19)&lt;MAX($P$708*($B1000+IF($R$17="Distrato",$I$38-1,0)),IF(AND($L$711=0,$P$708=0),"",$L$711-1),IF($R$17="Distrato",$E1000,0))),0,YEARFRAC(MAX($P$708*($B1000+IF($R$17="Distrato",$I$38-1,0)),IF(AND($L$711=0,$P$708=0),"",$L$711-1),IF($R$17="Distrato",$E1000,0)),MIN(AC$38,$D$19),$P$20))-SUM($P1000:AB1000)</f>
        <v>#VALUE!</v>
      </c>
      <c r="AD1000" s="446" t="e">
        <f>IF(OR($B1000="",MIN(AD$38,$D$19)&lt;MAX($P$708*($B1000+IF($R$17="Distrato",$I$38-1,0)),IF(AND($L$711=0,$P$708=0),"",$L$711-1),IF($R$17="Distrato",$E1000,0))),0,YEARFRAC(MAX($P$708*($B1000+IF($R$17="Distrato",$I$38-1,0)),IF(AND($L$711=0,$P$708=0),"",$L$711-1),IF($R$17="Distrato",$E1000,0)),MIN(AD$38,$D$19),$P$20))-SUM($P1000:AC1000)</f>
        <v>#VALUE!</v>
      </c>
      <c r="AE1000" s="446" t="e">
        <f>IF(OR($B1000="",MIN(AE$38,$D$19)&lt;MAX($P$708*($B1000+IF($R$17="Distrato",$I$38-1,0)),IF(AND($L$711=0,$P$708=0),"",$L$711-1),IF($R$17="Distrato",$E1000,0))),0,YEARFRAC(MAX($P$708*($B1000+IF($R$17="Distrato",$I$38-1,0)),IF(AND($L$711=0,$P$708=0),"",$L$711-1),IF($R$17="Distrato",$E1000,0)),MIN(AE$38,$D$19),$P$20))-SUM($P1000:AD1000)</f>
        <v>#VALUE!</v>
      </c>
      <c r="AF1000" s="446" t="e">
        <f>IF(OR($B1000="",MIN(AF$38,$D$19)&lt;MAX($P$708*($B1000+IF($R$17="Distrato",$I$38-1,0)),IF(AND($L$711=0,$P$708=0),"",$L$711-1),IF($R$17="Distrato",$E1000,0))),0,YEARFRAC(MAX($P$708*($B1000+IF($R$17="Distrato",$I$38-1,0)),IF(AND($L$711=0,$P$708=0),"",$L$711-1),IF($R$17="Distrato",$E1000,0)),MIN(AF$38,$D$19),$P$20))-SUM($P1000:AE1000)</f>
        <v>#VALUE!</v>
      </c>
      <c r="AG1000" s="446" t="e">
        <f>IF(OR($B1000="",MIN(AG$38,$D$19)&lt;MAX($P$708*($B1000+IF($R$17="Distrato",$I$38-1,0)),IF(AND($L$711=0,$P$708=0),"",$L$711-1),IF($R$17="Distrato",$E1000,0))),0,YEARFRAC(MAX($P$708*($B1000+IF($R$17="Distrato",$I$38-1,0)),IF(AND($L$711=0,$P$708=0),"",$L$711-1),IF($R$17="Distrato",$E1000,0)),MIN(AG$38,$D$19),$P$20))-SUM($P1000:AF1000)</f>
        <v>#VALUE!</v>
      </c>
      <c r="AH1000" s="446" t="e">
        <f>IF(OR($B1000="",MIN(AH$38,$D$19)&lt;MAX($P$708*($B1000+IF($R$17="Distrato",$I$38-1,0)),IF(AND($L$711=0,$P$708=0),"",$L$711-1),IF($R$17="Distrato",$E1000,0))),0,YEARFRAC(MAX($P$708*($B1000+IF($R$17="Distrato",$I$38-1,0)),IF(AND($L$711=0,$P$708=0),"",$L$711-1),IF($R$17="Distrato",$E1000,0)),MIN(AH$38,$D$19),$P$20))-SUM($P1000:AG1000)</f>
        <v>#VALUE!</v>
      </c>
      <c r="AI1000" s="446" t="e">
        <f>IF(OR($B1000="",MIN(AI$38,$D$19)&lt;MAX($P$708*($B1000+IF($R$17="Distrato",$I$38-1,0)),IF(AND($L$711=0,$P$708=0),"",$L$711-1),IF($R$17="Distrato",$E1000,0))),0,YEARFRAC(MAX($P$708*($B1000+IF($R$17="Distrato",$I$38-1,0)),IF(AND($L$711=0,$P$708=0),"",$L$711-1),IF($R$17="Distrato",$E1000,0)),MIN(AI$38,$D$19),$P$20))-SUM($P1000:AH1000)</f>
        <v>#VALUE!</v>
      </c>
      <c r="AJ1000" s="446" t="e">
        <f>IF(OR($B1000="",MIN(AJ$38,$D$19)&lt;MAX($P$708*($B1000+IF($R$17="Distrato",$I$38-1,0)),IF(AND($L$711=0,$P$708=0),"",$L$711-1),IF($R$17="Distrato",$E1000,0))),0,YEARFRAC(MAX($P$708*($B1000+IF($R$17="Distrato",$I$38-1,0)),IF(AND($L$711=0,$P$708=0),"",$L$711-1),IF($R$17="Distrato",$E1000,0)),MIN(AJ$38,$D$19),$P$20))-SUM($P1000:AI1000)</f>
        <v>#VALUE!</v>
      </c>
      <c r="AK1000" s="446" t="e">
        <f>IF(OR($B1000="",MIN(AK$38,$D$19)&lt;MAX($P$708*($B1000+IF($R$17="Distrato",$I$38-1,0)),IF(AND($L$711=0,$P$708=0),"",$L$711-1),IF($R$17="Distrato",$E1000,0))),0,YEARFRAC(MAX($P$708*($B1000+IF($R$17="Distrato",$I$38-1,0)),IF(AND($L$711=0,$P$708=0),"",$L$711-1),IF($R$17="Distrato",$E1000,0)),MIN(AK$38,$D$19),$P$20))-SUM($P1000:AJ1000)</f>
        <v>#VALUE!</v>
      </c>
      <c r="AL1000" s="446" t="e">
        <f>IF(OR($B1000="",MIN(AL$38,$D$19)&lt;MAX($P$708*($B1000+IF($R$17="Distrato",$I$38-1,0)),IF(AND($L$711=0,$P$708=0),"",$L$711-1),IF($R$17="Distrato",$E1000,0))),0,YEARFRAC(MAX($P$708*($B1000+IF($R$17="Distrato",$I$38-1,0)),IF(AND($L$711=0,$P$708=0),"",$L$711-1),IF($R$17="Distrato",$E1000,0)),MIN(AL$38,$D$19),$P$20))-SUM($P1000:AK1000)</f>
        <v>#VALUE!</v>
      </c>
      <c r="AM1000" s="446" t="e">
        <f>IF(OR($B1000="",MIN(AM$38,$D$19)&lt;MAX($P$708*($B1000+IF($R$17="Distrato",$I$38-1,0)),IF(AND($L$711=0,$P$708=0),"",$L$711-1),IF($R$17="Distrato",$E1000,0))),0,YEARFRAC(MAX($P$708*($B1000+IF($R$17="Distrato",$I$38-1,0)),IF(AND($L$711=0,$P$708=0),"",$L$711-1),IF($R$17="Distrato",$E1000,0)),MIN(AM$38,$D$19),$P$20))-SUM($P1000:AL1000)</f>
        <v>#VALUE!</v>
      </c>
      <c r="AN1000" s="446" t="e">
        <f>IF(OR($B1000="",MIN(AN$38,$D$19)&lt;MAX($P$708*($B1000+IF($R$17="Distrato",$I$38-1,0)),IF(AND($L$711=0,$P$708=0),"",$L$711-1),IF($R$17="Distrato",$E1000,0))),0,YEARFRAC(MAX($P$708*($B1000+IF($R$17="Distrato",$I$38-1,0)),IF(AND($L$711=0,$P$708=0),"",$L$711-1),IF($R$17="Distrato",$E1000,0)),MIN(AN$38,$D$19),$P$20))-SUM($P1000:AM1000)</f>
        <v>#VALUE!</v>
      </c>
      <c r="AO1000" s="446" t="e">
        <f>IF(OR($B1000="",MIN(AO$38,$D$19)&lt;MAX($P$708*($B1000+IF($R$17="Distrato",$I$38-1,0)),IF(AND($L$711=0,$P$708=0),"",$L$711-1),IF($R$17="Distrato",$E1000,0))),0,YEARFRAC(MAX($P$708*($B1000+IF($R$17="Distrato",$I$38-1,0)),IF(AND($L$711=0,$P$708=0),"",$L$711-1),IF($R$17="Distrato",$E1000,0)),MIN(AO$38,$D$19),$P$20))-SUM($P1000:AN1000)</f>
        <v>#VALUE!</v>
      </c>
      <c r="AP1000" s="446" t="e">
        <f>IF(OR($B1000="",MIN(AP$38,$D$19)&lt;MAX($P$708*($B1000+IF($R$17="Distrato",$I$38-1,0)),IF(AND($L$711=0,$P$708=0),"",$L$711-1),IF($R$17="Distrato",$E1000,0))),0,YEARFRAC(MAX($P$708*($B1000+IF($R$17="Distrato",$I$38-1,0)),IF(AND($L$711=0,$P$708=0),"",$L$711-1),IF($R$17="Distrato",$E1000,0)),MIN(AP$38,$D$19),$P$20))-SUM($P1000:AO1000)</f>
        <v>#VALUE!</v>
      </c>
      <c r="AQ1000" s="446" t="e">
        <f>IF(OR($B1000="",MIN(AQ$38,$D$19)&lt;MAX($P$708*($B1000+IF($R$17="Distrato",$I$38-1,0)),IF(AND($L$711=0,$P$708=0),"",$L$711-1),IF($R$17="Distrato",$E1000,0))),0,YEARFRAC(MAX($P$708*($B1000+IF($R$17="Distrato",$I$38-1,0)),IF(AND($L$711=0,$P$708=0),"",$L$711-1),IF($R$17="Distrato",$E1000,0)),MIN(AQ$38,$D$19),$P$20))-SUM($P1000:AP1000)</f>
        <v>#VALUE!</v>
      </c>
      <c r="AR1000" s="446" t="e">
        <f>IF(OR($B1000="",MIN(AR$38,$D$19)&lt;MAX($P$708*($B1000+IF($R$17="Distrato",$I$38-1,0)),IF(AND($L$711=0,$P$708=0),"",$L$711-1),IF($R$17="Distrato",$E1000,0))),0,YEARFRAC(MAX($P$708*($B1000+IF($R$17="Distrato",$I$38-1,0)),IF(AND($L$711=0,$P$708=0),"",$L$711-1),IF($R$17="Distrato",$E1000,0)),MIN(AR$38,$D$19),$P$20))-SUM($P1000:AQ1000)</f>
        <v>#VALUE!</v>
      </c>
      <c r="AS1000" s="446" t="e">
        <f>IF(OR($B1000="",MIN(AS$38,$D$19)&lt;MAX($P$708*($B1000+IF($R$17="Distrato",$I$38-1,0)),IF(AND($L$711=0,$P$708=0),"",$L$711-1),IF($R$17="Distrato",$E1000,0))),0,YEARFRAC(MAX($P$708*($B1000+IF($R$17="Distrato",$I$38-1,0)),IF(AND($L$711=0,$P$708=0),"",$L$711-1),IF($R$17="Distrato",$E1000,0)),MIN(AS$38,$D$19),$P$20))-SUM($P1000:AR1000)</f>
        <v>#VALUE!</v>
      </c>
      <c r="AT1000" s="446" t="e">
        <f>IF(OR($B1000="",MIN(AT$38,$D$19)&lt;MAX($P$708*($B1000+IF($R$17="Distrato",$I$38-1,0)),IF(AND($L$711=0,$P$708=0),"",$L$711-1),IF($R$17="Distrato",$E1000,0))),0,YEARFRAC(MAX($P$708*($B1000+IF($R$17="Distrato",$I$38-1,0)),IF(AND($L$711=0,$P$708=0),"",$L$711-1),IF($R$17="Distrato",$E1000,0)),MIN(AT$38,$D$19),$P$20))-SUM($P1000:AS1000)</f>
        <v>#VALUE!</v>
      </c>
      <c r="AU1000" s="446" t="e">
        <f>IF(OR($B1000="",MIN(AU$38,$D$19)&lt;MAX($P$708*($B1000+IF($R$17="Distrato",$I$38-1,0)),IF(AND($L$711=0,$P$708=0),"",$L$711-1),IF($R$17="Distrato",$E1000,0))),0,YEARFRAC(MAX($P$708*($B1000+IF($R$17="Distrato",$I$38-1,0)),IF(AND($L$711=0,$P$708=0),"",$L$711-1),IF($R$17="Distrato",$E1000,0)),MIN(AU$38,$D$19),$P$20))-SUM($P1000:AT1000)</f>
        <v>#VALUE!</v>
      </c>
      <c r="AV1000" s="446" t="e">
        <f>IF(OR($B1000="",MIN(AV$38,$D$19)&lt;MAX($P$708*($B1000+IF($R$17="Distrato",$I$38-1,0)),IF(AND($L$711=0,$P$708=0),"",$L$711-1),IF($R$17="Distrato",$E1000,0))),0,YEARFRAC(MAX($P$708*($B1000+IF($R$17="Distrato",$I$38-1,0)),IF(AND($L$711=0,$P$708=0),"",$L$711-1),IF($R$17="Distrato",$E1000,0)),MIN(AV$38,$D$19),$P$20))-SUM($P1000:AU1000)</f>
        <v>#VALUE!</v>
      </c>
      <c r="AW1000" s="446" t="e">
        <f>IF(OR($B1000="",MIN(AW$38,$D$19)&lt;MAX($P$708*($B1000+IF($R$17="Distrato",$I$38-1,0)),IF(AND($L$711=0,$P$708=0),"",$L$711-1),IF($R$17="Distrato",$E1000,0))),0,YEARFRAC(MAX($P$708*($B1000+IF($R$17="Distrato",$I$38-1,0)),IF(AND($L$711=0,$P$708=0),"",$L$711-1),IF($R$17="Distrato",$E1000,0)),MIN(AW$38,$D$19),$P$20))-SUM($P1000:AV1000)</f>
        <v>#VALUE!</v>
      </c>
      <c r="AX1000" s="446" t="e">
        <f>IF(OR($B1000="",MIN(AX$38,$D$19)&lt;MAX($P$708*($B1000+IF($R$17="Distrato",$I$38-1,0)),IF(AND($L$711=0,$P$708=0),"",$L$711-1),IF($R$17="Distrato",$E1000,0))),0,YEARFRAC(MAX($P$708*($B1000+IF($R$17="Distrato",$I$38-1,0)),IF(AND($L$711=0,$P$708=0),"",$L$711-1),IF($R$17="Distrato",$E1000,0)),MIN(AX$38,$D$19),$P$20))-SUM($P1000:AW1000)</f>
        <v>#VALUE!</v>
      </c>
      <c r="AY1000" s="446" t="e">
        <f>IF(OR($B1000="",MIN(AY$38,$D$19)&lt;MAX($P$708*($B1000+IF($R$17="Distrato",$I$38-1,0)),IF(AND($L$711=0,$P$708=0),"",$L$711-1),IF($R$17="Distrato",$E1000,0))),0,YEARFRAC(MAX($P$708*($B1000+IF($R$17="Distrato",$I$38-1,0)),IF(AND($L$711=0,$P$708=0),"",$L$711-1),IF($R$17="Distrato",$E1000,0)),MIN(AY$38,$D$19),$P$20))-SUM($P1000:AX1000)</f>
        <v>#VALUE!</v>
      </c>
      <c r="AZ1000" s="446" t="e">
        <f>IF(OR($B1000="",MIN(AZ$38,$D$19)&lt;MAX($P$708*($B1000+IF($R$17="Distrato",$I$38-1,0)),IF(AND($L$711=0,$P$708=0),"",$L$711-1),IF($R$17="Distrato",$E1000,0))),0,YEARFRAC(MAX($P$708*($B1000+IF($R$17="Distrato",$I$38-1,0)),IF(AND($L$711=0,$P$708=0),"",$L$711-1),IF($R$17="Distrato",$E1000,0)),MIN(AZ$38,$D$19),$P$20))-SUM($P1000:AY1000)</f>
        <v>#VALUE!</v>
      </c>
      <c r="BA1000" s="446" t="e">
        <f>IF(OR($B1000="",MIN(BA$38,$D$19)&lt;MAX($P$708*($B1000+IF($R$17="Distrato",$I$38-1,0)),IF(AND($L$711=0,$P$708=0),"",$L$711-1),IF($R$17="Distrato",$E1000,0))),0,YEARFRAC(MAX($P$708*($B1000+IF($R$17="Distrato",$I$38-1,0)),IF(AND($L$711=0,$P$708=0),"",$L$711-1),IF($R$17="Distrato",$E1000,0)),MIN(BA$38,$D$19),$P$20))-SUM($P1000:AZ1000)</f>
        <v>#VALUE!</v>
      </c>
      <c r="BB1000" s="447"/>
    </row>
    <row r="1001" spans="1:54" s="446" customFormat="1" ht="11.25" hidden="1" customHeight="1" x14ac:dyDescent="0.2">
      <c r="A1001" s="235"/>
      <c r="B1001" s="236"/>
      <c r="C1001" s="29" t="str">
        <f>IF(B1001="","",IF($L$709=$BL$25,VLOOKUP(DATE(YEAR($D$19),MONTH($D$19)-1,1),ÍNDICES!$A:$DE,HLOOKUP($BL$25,ÍNDICES!$B$3:$T$4,2)+11)-VLOOKUP(B1001,ÍNDICES!$A:$DE,HLOOKUP($BL$25,ÍNDICES!$B$3:$T$4,2)+11)+1%,IF(C$712=$W$26,$J$35,IF(ISERROR(IF(B1001&gt;$D$19,1,VLOOKUP(DATE(YEAR(B1001),MONTH(B1001)+IF($C$709=$S$23,1,0),1),ÍNDICES!$A:$DE,$Z$709+1))),"",IF(B1001&gt;$D$19,1,VLOOKUP(DATE(YEAR(B1001),MONTH(B1001)+IF($C$709=$S$23,1,0),1),ÍNDICES!$A:$DE,$Z$709+1))))))</f>
        <v/>
      </c>
      <c r="D1001" s="155"/>
      <c r="E1001" s="88"/>
      <c r="F1001" s="88"/>
      <c r="G1001" s="88"/>
      <c r="H1001" s="118"/>
      <c r="I1001" s="182">
        <f t="shared" si="143"/>
        <v>0</v>
      </c>
      <c r="J1001" s="20">
        <f t="shared" ca="1" si="144"/>
        <v>0</v>
      </c>
      <c r="K1001" s="5">
        <f t="shared" ca="1" si="145"/>
        <v>0</v>
      </c>
      <c r="L1001" s="61">
        <f t="shared" ca="1" si="146"/>
        <v>0</v>
      </c>
      <c r="M1001" s="64">
        <f t="shared" si="147"/>
        <v>0</v>
      </c>
      <c r="N1001" s="151"/>
      <c r="O1001" s="5">
        <f t="shared" ca="1" si="148"/>
        <v>0</v>
      </c>
      <c r="P1001" s="446" t="e">
        <f t="shared" si="149"/>
        <v>#VALUE!</v>
      </c>
      <c r="Q1001" s="446" t="e">
        <f>IF(OR($B1001="",MIN(Q$38,$D$19)&lt;MAX($P$708*($B1001+IF($R$17="Distrato",$I$38-1,0)),IF(AND($L$711=0,$P$708=0),"",$L$711-1),IF($R$17="Distrato",$E1001,0))),0,YEARFRAC(MAX($P$708*($B1001+IF($R$17="Distrato",$I$38-1,0)),IF(AND($L$711=0,$P$708=0),"",$L$711-1),IF($R$17="Distrato",$E1001,0)),MIN(Q$38,$D$19),$P$20))-SUM($P1001:P1001)</f>
        <v>#VALUE!</v>
      </c>
      <c r="R1001" s="446" t="e">
        <f>IF(OR($B1001="",MIN(R$38,$D$19)&lt;MAX($P$708*($B1001+IF($R$17="Distrato",$I$38-1,0)),IF(AND($L$711=0,$P$708=0),"",$L$711-1),IF($R$17="Distrato",$E1001,0))),0,YEARFRAC(MAX($P$708*($B1001+IF($R$17="Distrato",$I$38-1,0)),IF(AND($L$711=0,$P$708=0),"",$L$711-1),IF($R$17="Distrato",$E1001,0)),MIN(R$38,$D$19),$P$20))-SUM($P1001:Q1001)</f>
        <v>#VALUE!</v>
      </c>
      <c r="S1001" s="446" t="e">
        <f>IF(OR($B1001="",MIN(S$38,$D$19)&lt;MAX($P$708*($B1001+IF($R$17="Distrato",$I$38-1,0)),IF(AND($L$711=0,$P$708=0),"",$L$711-1),IF($R$17="Distrato",$E1001,0))),0,YEARFRAC(MAX($P$708*($B1001+IF($R$17="Distrato",$I$38-1,0)),IF(AND($L$711=0,$P$708=0),"",$L$711-1),IF($R$17="Distrato",$E1001,0)),MIN(S$38,$D$19),$P$20))-SUM($P1001:R1001)</f>
        <v>#VALUE!</v>
      </c>
      <c r="T1001" s="446" t="e">
        <f>IF(OR($B1001="",MIN(T$38,$D$19)&lt;MAX($P$708*($B1001+IF($R$17="Distrato",$I$38-1,0)),IF(AND($L$711=0,$P$708=0),"",$L$711-1),IF($R$17="Distrato",$E1001,0))),0,YEARFRAC(MAX($P$708*($B1001+IF($R$17="Distrato",$I$38-1,0)),IF(AND($L$711=0,$P$708=0),"",$L$711-1),IF($R$17="Distrato",$E1001,0)),MIN(T$38,$D$19),$P$20))-SUM($P1001:S1001)</f>
        <v>#VALUE!</v>
      </c>
      <c r="U1001" s="446" t="e">
        <f>IF(OR($B1001="",MIN(U$38,$D$19)&lt;MAX($P$708*($B1001+IF($R$17="Distrato",$I$38-1,0)),IF(AND($L$711=0,$P$708=0),"",$L$711-1),IF($R$17="Distrato",$E1001,0))),0,YEARFRAC(MAX($P$708*($B1001+IF($R$17="Distrato",$I$38-1,0)),IF(AND($L$711=0,$P$708=0),"",$L$711-1),IF($R$17="Distrato",$E1001,0)),MIN(U$38,$D$19),$P$20))-SUM($P1001:T1001)</f>
        <v>#VALUE!</v>
      </c>
      <c r="V1001" s="446" t="e">
        <f>IF(OR($B1001="",MIN(V$38,$D$19)&lt;MAX($P$708*($B1001+IF($R$17="Distrato",$I$38-1,0)),IF(AND($L$711=0,$P$708=0),"",$L$711-1),IF($R$17="Distrato",$E1001,0))),0,YEARFRAC(MAX($P$708*($B1001+IF($R$17="Distrato",$I$38-1,0)),IF(AND($L$711=0,$P$708=0),"",$L$711-1),IF($R$17="Distrato",$E1001,0)),MIN(V$38,$D$19),$P$20))-SUM($P1001:U1001)</f>
        <v>#VALUE!</v>
      </c>
      <c r="W1001" s="446" t="e">
        <f>IF(OR($B1001="",MIN(W$38,$D$19)&lt;MAX($P$708*($B1001+IF($R$17="Distrato",$I$38-1,0)),IF(AND($L$711=0,$P$708=0),"",$L$711-1),IF($R$17="Distrato",$E1001,0))),0,YEARFRAC(MAX($P$708*($B1001+IF($R$17="Distrato",$I$38-1,0)),IF(AND($L$711=0,$P$708=0),"",$L$711-1),IF($R$17="Distrato",$E1001,0)),MIN(W$38,$D$19),$P$20))-SUM($P1001:V1001)</f>
        <v>#VALUE!</v>
      </c>
      <c r="X1001" s="446" t="e">
        <f>IF(OR($B1001="",MIN(X$38,$D$19)&lt;MAX($P$708*($B1001+IF($R$17="Distrato",$I$38-1,0)),IF(AND($L$711=0,$P$708=0),"",$L$711-1),IF($R$17="Distrato",$E1001,0))),0,YEARFRAC(MAX($P$708*($B1001+IF($R$17="Distrato",$I$38-1,0)),IF(AND($L$711=0,$P$708=0),"",$L$711-1),IF($R$17="Distrato",$E1001,0)),MIN(X$38,$D$19),$P$20))-SUM($P1001:W1001)</f>
        <v>#VALUE!</v>
      </c>
      <c r="Y1001" s="446" t="e">
        <f>IF(OR($B1001="",MIN(Y$38,$D$19)&lt;MAX($P$708*($B1001+IF($R$17="Distrato",$I$38-1,0)),IF(AND($L$711=0,$P$708=0),"",$L$711-1),IF($R$17="Distrato",$E1001,0))),0,YEARFRAC(MAX($P$708*($B1001+IF($R$17="Distrato",$I$38-1,0)),IF(AND($L$711=0,$P$708=0),"",$L$711-1),IF($R$17="Distrato",$E1001,0)),MIN(Y$38,$D$19),$P$20))-SUM($P1001:X1001)</f>
        <v>#VALUE!</v>
      </c>
      <c r="Z1001" s="446" t="e">
        <f>IF(OR($B1001="",MIN(Z$38,$D$19)&lt;MAX($P$708*($B1001+IF($R$17="Distrato",$I$38-1,0)),IF(AND($L$711=0,$P$708=0),"",$L$711-1),IF($R$17="Distrato",$E1001,0))),0,YEARFRAC(MAX($P$708*($B1001+IF($R$17="Distrato",$I$38-1,0)),IF(AND($L$711=0,$P$708=0),"",$L$711-1),IF($R$17="Distrato",$E1001,0)),MIN(Z$38,$D$19),$P$20))-SUM($P1001:Y1001)</f>
        <v>#VALUE!</v>
      </c>
      <c r="AA1001" s="446" t="e">
        <f>IF(OR($B1001="",MIN(AA$38,$D$19)&lt;MAX($P$708*($B1001+IF($R$17="Distrato",$I$38-1,0)),IF(AND($L$711=0,$P$708=0),"",$L$711-1),IF($R$17="Distrato",$E1001,0))),0,YEARFRAC(MAX($P$708*($B1001+IF($R$17="Distrato",$I$38-1,0)),IF(AND($L$711=0,$P$708=0),"",$L$711-1),IF($R$17="Distrato",$E1001,0)),MIN(AA$38,$D$19),$P$20))-SUM($P1001:Z1001)</f>
        <v>#VALUE!</v>
      </c>
      <c r="AB1001" s="446" t="e">
        <f>IF(OR($B1001="",MIN(AB$38,$D$19)&lt;MAX($P$708*($B1001+IF($R$17="Distrato",$I$38-1,0)),IF(AND($L$711=0,$P$708=0),"",$L$711-1),IF($R$17="Distrato",$E1001,0))),0,YEARFRAC(MAX($P$708*($B1001+IF($R$17="Distrato",$I$38-1,0)),IF(AND($L$711=0,$P$708=0),"",$L$711-1),IF($R$17="Distrato",$E1001,0)),MIN(AB$38,$D$19),$P$20))-SUM($P1001:AA1001)</f>
        <v>#VALUE!</v>
      </c>
      <c r="AC1001" s="446" t="e">
        <f>IF(OR($B1001="",MIN(AC$38,$D$19)&lt;MAX($P$708*($B1001+IF($R$17="Distrato",$I$38-1,0)),IF(AND($L$711=0,$P$708=0),"",$L$711-1),IF($R$17="Distrato",$E1001,0))),0,YEARFRAC(MAX($P$708*($B1001+IF($R$17="Distrato",$I$38-1,0)),IF(AND($L$711=0,$P$708=0),"",$L$711-1),IF($R$17="Distrato",$E1001,0)),MIN(AC$38,$D$19),$P$20))-SUM($P1001:AB1001)</f>
        <v>#VALUE!</v>
      </c>
      <c r="AD1001" s="446" t="e">
        <f>IF(OR($B1001="",MIN(AD$38,$D$19)&lt;MAX($P$708*($B1001+IF($R$17="Distrato",$I$38-1,0)),IF(AND($L$711=0,$P$708=0),"",$L$711-1),IF($R$17="Distrato",$E1001,0))),0,YEARFRAC(MAX($P$708*($B1001+IF($R$17="Distrato",$I$38-1,0)),IF(AND($L$711=0,$P$708=0),"",$L$711-1),IF($R$17="Distrato",$E1001,0)),MIN(AD$38,$D$19),$P$20))-SUM($P1001:AC1001)</f>
        <v>#VALUE!</v>
      </c>
      <c r="AE1001" s="446" t="e">
        <f>IF(OR($B1001="",MIN(AE$38,$D$19)&lt;MAX($P$708*($B1001+IF($R$17="Distrato",$I$38-1,0)),IF(AND($L$711=0,$P$708=0),"",$L$711-1),IF($R$17="Distrato",$E1001,0))),0,YEARFRAC(MAX($P$708*($B1001+IF($R$17="Distrato",$I$38-1,0)),IF(AND($L$711=0,$P$708=0),"",$L$711-1),IF($R$17="Distrato",$E1001,0)),MIN(AE$38,$D$19),$P$20))-SUM($P1001:AD1001)</f>
        <v>#VALUE!</v>
      </c>
      <c r="AF1001" s="446" t="e">
        <f>IF(OR($B1001="",MIN(AF$38,$D$19)&lt;MAX($P$708*($B1001+IF($R$17="Distrato",$I$38-1,0)),IF(AND($L$711=0,$P$708=0),"",$L$711-1),IF($R$17="Distrato",$E1001,0))),0,YEARFRAC(MAX($P$708*($B1001+IF($R$17="Distrato",$I$38-1,0)),IF(AND($L$711=0,$P$708=0),"",$L$711-1),IF($R$17="Distrato",$E1001,0)),MIN(AF$38,$D$19),$P$20))-SUM($P1001:AE1001)</f>
        <v>#VALUE!</v>
      </c>
      <c r="AG1001" s="446" t="e">
        <f>IF(OR($B1001="",MIN(AG$38,$D$19)&lt;MAX($P$708*($B1001+IF($R$17="Distrato",$I$38-1,0)),IF(AND($L$711=0,$P$708=0),"",$L$711-1),IF($R$17="Distrato",$E1001,0))),0,YEARFRAC(MAX($P$708*($B1001+IF($R$17="Distrato",$I$38-1,0)),IF(AND($L$711=0,$P$708=0),"",$L$711-1),IF($R$17="Distrato",$E1001,0)),MIN(AG$38,$D$19),$P$20))-SUM($P1001:AF1001)</f>
        <v>#VALUE!</v>
      </c>
      <c r="AH1001" s="446" t="e">
        <f>IF(OR($B1001="",MIN(AH$38,$D$19)&lt;MAX($P$708*($B1001+IF($R$17="Distrato",$I$38-1,0)),IF(AND($L$711=0,$P$708=0),"",$L$711-1),IF($R$17="Distrato",$E1001,0))),0,YEARFRAC(MAX($P$708*($B1001+IF($R$17="Distrato",$I$38-1,0)),IF(AND($L$711=0,$P$708=0),"",$L$711-1),IF($R$17="Distrato",$E1001,0)),MIN(AH$38,$D$19),$P$20))-SUM($P1001:AG1001)</f>
        <v>#VALUE!</v>
      </c>
      <c r="AI1001" s="446" t="e">
        <f>IF(OR($B1001="",MIN(AI$38,$D$19)&lt;MAX($P$708*($B1001+IF($R$17="Distrato",$I$38-1,0)),IF(AND($L$711=0,$P$708=0),"",$L$711-1),IF($R$17="Distrato",$E1001,0))),0,YEARFRAC(MAX($P$708*($B1001+IF($R$17="Distrato",$I$38-1,0)),IF(AND($L$711=0,$P$708=0),"",$L$711-1),IF($R$17="Distrato",$E1001,0)),MIN(AI$38,$D$19),$P$20))-SUM($P1001:AH1001)</f>
        <v>#VALUE!</v>
      </c>
      <c r="AJ1001" s="446" t="e">
        <f>IF(OR($B1001="",MIN(AJ$38,$D$19)&lt;MAX($P$708*($B1001+IF($R$17="Distrato",$I$38-1,0)),IF(AND($L$711=0,$P$708=0),"",$L$711-1),IF($R$17="Distrato",$E1001,0))),0,YEARFRAC(MAX($P$708*($B1001+IF($R$17="Distrato",$I$38-1,0)),IF(AND($L$711=0,$P$708=0),"",$L$711-1),IF($R$17="Distrato",$E1001,0)),MIN(AJ$38,$D$19),$P$20))-SUM($P1001:AI1001)</f>
        <v>#VALUE!</v>
      </c>
      <c r="AK1001" s="446" t="e">
        <f>IF(OR($B1001="",MIN(AK$38,$D$19)&lt;MAX($P$708*($B1001+IF($R$17="Distrato",$I$38-1,0)),IF(AND($L$711=0,$P$708=0),"",$L$711-1),IF($R$17="Distrato",$E1001,0))),0,YEARFRAC(MAX($P$708*($B1001+IF($R$17="Distrato",$I$38-1,0)),IF(AND($L$711=0,$P$708=0),"",$L$711-1),IF($R$17="Distrato",$E1001,0)),MIN(AK$38,$D$19),$P$20))-SUM($P1001:AJ1001)</f>
        <v>#VALUE!</v>
      </c>
      <c r="AL1001" s="446" t="e">
        <f>IF(OR($B1001="",MIN(AL$38,$D$19)&lt;MAX($P$708*($B1001+IF($R$17="Distrato",$I$38-1,0)),IF(AND($L$711=0,$P$708=0),"",$L$711-1),IF($R$17="Distrato",$E1001,0))),0,YEARFRAC(MAX($P$708*($B1001+IF($R$17="Distrato",$I$38-1,0)),IF(AND($L$711=0,$P$708=0),"",$L$711-1),IF($R$17="Distrato",$E1001,0)),MIN(AL$38,$D$19),$P$20))-SUM($P1001:AK1001)</f>
        <v>#VALUE!</v>
      </c>
      <c r="AM1001" s="446" t="e">
        <f>IF(OR($B1001="",MIN(AM$38,$D$19)&lt;MAX($P$708*($B1001+IF($R$17="Distrato",$I$38-1,0)),IF(AND($L$711=0,$P$708=0),"",$L$711-1),IF($R$17="Distrato",$E1001,0))),0,YEARFRAC(MAX($P$708*($B1001+IF($R$17="Distrato",$I$38-1,0)),IF(AND($L$711=0,$P$708=0),"",$L$711-1),IF($R$17="Distrato",$E1001,0)),MIN(AM$38,$D$19),$P$20))-SUM($P1001:AL1001)</f>
        <v>#VALUE!</v>
      </c>
      <c r="AN1001" s="446" t="e">
        <f>IF(OR($B1001="",MIN(AN$38,$D$19)&lt;MAX($P$708*($B1001+IF($R$17="Distrato",$I$38-1,0)),IF(AND($L$711=0,$P$708=0),"",$L$711-1),IF($R$17="Distrato",$E1001,0))),0,YEARFRAC(MAX($P$708*($B1001+IF($R$17="Distrato",$I$38-1,0)),IF(AND($L$711=0,$P$708=0),"",$L$711-1),IF($R$17="Distrato",$E1001,0)),MIN(AN$38,$D$19),$P$20))-SUM($P1001:AM1001)</f>
        <v>#VALUE!</v>
      </c>
      <c r="AO1001" s="446" t="e">
        <f>IF(OR($B1001="",MIN(AO$38,$D$19)&lt;MAX($P$708*($B1001+IF($R$17="Distrato",$I$38-1,0)),IF(AND($L$711=0,$P$708=0),"",$L$711-1),IF($R$17="Distrato",$E1001,0))),0,YEARFRAC(MAX($P$708*($B1001+IF($R$17="Distrato",$I$38-1,0)),IF(AND($L$711=0,$P$708=0),"",$L$711-1),IF($R$17="Distrato",$E1001,0)),MIN(AO$38,$D$19),$P$20))-SUM($P1001:AN1001)</f>
        <v>#VALUE!</v>
      </c>
      <c r="AP1001" s="446" t="e">
        <f>IF(OR($B1001="",MIN(AP$38,$D$19)&lt;MAX($P$708*($B1001+IF($R$17="Distrato",$I$38-1,0)),IF(AND($L$711=0,$P$708=0),"",$L$711-1),IF($R$17="Distrato",$E1001,0))),0,YEARFRAC(MAX($P$708*($B1001+IF($R$17="Distrato",$I$38-1,0)),IF(AND($L$711=0,$P$708=0),"",$L$711-1),IF($R$17="Distrato",$E1001,0)),MIN(AP$38,$D$19),$P$20))-SUM($P1001:AO1001)</f>
        <v>#VALUE!</v>
      </c>
      <c r="AQ1001" s="446" t="e">
        <f>IF(OR($B1001="",MIN(AQ$38,$D$19)&lt;MAX($P$708*($B1001+IF($R$17="Distrato",$I$38-1,0)),IF(AND($L$711=0,$P$708=0),"",$L$711-1),IF($R$17="Distrato",$E1001,0))),0,YEARFRAC(MAX($P$708*($B1001+IF($R$17="Distrato",$I$38-1,0)),IF(AND($L$711=0,$P$708=0),"",$L$711-1),IF($R$17="Distrato",$E1001,0)),MIN(AQ$38,$D$19),$P$20))-SUM($P1001:AP1001)</f>
        <v>#VALUE!</v>
      </c>
      <c r="AR1001" s="446" t="e">
        <f>IF(OR($B1001="",MIN(AR$38,$D$19)&lt;MAX($P$708*($B1001+IF($R$17="Distrato",$I$38-1,0)),IF(AND($L$711=0,$P$708=0),"",$L$711-1),IF($R$17="Distrato",$E1001,0))),0,YEARFRAC(MAX($P$708*($B1001+IF($R$17="Distrato",$I$38-1,0)),IF(AND($L$711=0,$P$708=0),"",$L$711-1),IF($R$17="Distrato",$E1001,0)),MIN(AR$38,$D$19),$P$20))-SUM($P1001:AQ1001)</f>
        <v>#VALUE!</v>
      </c>
      <c r="AS1001" s="446" t="e">
        <f>IF(OR($B1001="",MIN(AS$38,$D$19)&lt;MAX($P$708*($B1001+IF($R$17="Distrato",$I$38-1,0)),IF(AND($L$711=0,$P$708=0),"",$L$711-1),IF($R$17="Distrato",$E1001,0))),0,YEARFRAC(MAX($P$708*($B1001+IF($R$17="Distrato",$I$38-1,0)),IF(AND($L$711=0,$P$708=0),"",$L$711-1),IF($R$17="Distrato",$E1001,0)),MIN(AS$38,$D$19),$P$20))-SUM($P1001:AR1001)</f>
        <v>#VALUE!</v>
      </c>
      <c r="AT1001" s="446" t="e">
        <f>IF(OR($B1001="",MIN(AT$38,$D$19)&lt;MAX($P$708*($B1001+IF($R$17="Distrato",$I$38-1,0)),IF(AND($L$711=0,$P$708=0),"",$L$711-1),IF($R$17="Distrato",$E1001,0))),0,YEARFRAC(MAX($P$708*($B1001+IF($R$17="Distrato",$I$38-1,0)),IF(AND($L$711=0,$P$708=0),"",$L$711-1),IF($R$17="Distrato",$E1001,0)),MIN(AT$38,$D$19),$P$20))-SUM($P1001:AS1001)</f>
        <v>#VALUE!</v>
      </c>
      <c r="AU1001" s="446" t="e">
        <f>IF(OR($B1001="",MIN(AU$38,$D$19)&lt;MAX($P$708*($B1001+IF($R$17="Distrato",$I$38-1,0)),IF(AND($L$711=0,$P$708=0),"",$L$711-1),IF($R$17="Distrato",$E1001,0))),0,YEARFRAC(MAX($P$708*($B1001+IF($R$17="Distrato",$I$38-1,0)),IF(AND($L$711=0,$P$708=0),"",$L$711-1),IF($R$17="Distrato",$E1001,0)),MIN(AU$38,$D$19),$P$20))-SUM($P1001:AT1001)</f>
        <v>#VALUE!</v>
      </c>
      <c r="AV1001" s="446" t="e">
        <f>IF(OR($B1001="",MIN(AV$38,$D$19)&lt;MAX($P$708*($B1001+IF($R$17="Distrato",$I$38-1,0)),IF(AND($L$711=0,$P$708=0),"",$L$711-1),IF($R$17="Distrato",$E1001,0))),0,YEARFRAC(MAX($P$708*($B1001+IF($R$17="Distrato",$I$38-1,0)),IF(AND($L$711=0,$P$708=0),"",$L$711-1),IF($R$17="Distrato",$E1001,0)),MIN(AV$38,$D$19),$P$20))-SUM($P1001:AU1001)</f>
        <v>#VALUE!</v>
      </c>
      <c r="AW1001" s="446" t="e">
        <f>IF(OR($B1001="",MIN(AW$38,$D$19)&lt;MAX($P$708*($B1001+IF($R$17="Distrato",$I$38-1,0)),IF(AND($L$711=0,$P$708=0),"",$L$711-1),IF($R$17="Distrato",$E1001,0))),0,YEARFRAC(MAX($P$708*($B1001+IF($R$17="Distrato",$I$38-1,0)),IF(AND($L$711=0,$P$708=0),"",$L$711-1),IF($R$17="Distrato",$E1001,0)),MIN(AW$38,$D$19),$P$20))-SUM($P1001:AV1001)</f>
        <v>#VALUE!</v>
      </c>
      <c r="AX1001" s="446" t="e">
        <f>IF(OR($B1001="",MIN(AX$38,$D$19)&lt;MAX($P$708*($B1001+IF($R$17="Distrato",$I$38-1,0)),IF(AND($L$711=0,$P$708=0),"",$L$711-1),IF($R$17="Distrato",$E1001,0))),0,YEARFRAC(MAX($P$708*($B1001+IF($R$17="Distrato",$I$38-1,0)),IF(AND($L$711=0,$P$708=0),"",$L$711-1),IF($R$17="Distrato",$E1001,0)),MIN(AX$38,$D$19),$P$20))-SUM($P1001:AW1001)</f>
        <v>#VALUE!</v>
      </c>
      <c r="AY1001" s="446" t="e">
        <f>IF(OR($B1001="",MIN(AY$38,$D$19)&lt;MAX($P$708*($B1001+IF($R$17="Distrato",$I$38-1,0)),IF(AND($L$711=0,$P$708=0),"",$L$711-1),IF($R$17="Distrato",$E1001,0))),0,YEARFRAC(MAX($P$708*($B1001+IF($R$17="Distrato",$I$38-1,0)),IF(AND($L$711=0,$P$708=0),"",$L$711-1),IF($R$17="Distrato",$E1001,0)),MIN(AY$38,$D$19),$P$20))-SUM($P1001:AX1001)</f>
        <v>#VALUE!</v>
      </c>
      <c r="AZ1001" s="446" t="e">
        <f>IF(OR($B1001="",MIN(AZ$38,$D$19)&lt;MAX($P$708*($B1001+IF($R$17="Distrato",$I$38-1,0)),IF(AND($L$711=0,$P$708=0),"",$L$711-1),IF($R$17="Distrato",$E1001,0))),0,YEARFRAC(MAX($P$708*($B1001+IF($R$17="Distrato",$I$38-1,0)),IF(AND($L$711=0,$P$708=0),"",$L$711-1),IF($R$17="Distrato",$E1001,0)),MIN(AZ$38,$D$19),$P$20))-SUM($P1001:AY1001)</f>
        <v>#VALUE!</v>
      </c>
      <c r="BA1001" s="446" t="e">
        <f>IF(OR($B1001="",MIN(BA$38,$D$19)&lt;MAX($P$708*($B1001+IF($R$17="Distrato",$I$38-1,0)),IF(AND($L$711=0,$P$708=0),"",$L$711-1),IF($R$17="Distrato",$E1001,0))),0,YEARFRAC(MAX($P$708*($B1001+IF($R$17="Distrato",$I$38-1,0)),IF(AND($L$711=0,$P$708=0),"",$L$711-1),IF($R$17="Distrato",$E1001,0)),MIN(BA$38,$D$19),$P$20))-SUM($P1001:AZ1001)</f>
        <v>#VALUE!</v>
      </c>
      <c r="BB1001" s="447"/>
    </row>
    <row r="1002" spans="1:54" s="446" customFormat="1" ht="11.25" hidden="1" customHeight="1" x14ac:dyDescent="0.2">
      <c r="A1002" s="235"/>
      <c r="B1002" s="236"/>
      <c r="C1002" s="29" t="str">
        <f>IF(B1002="","",IF($L$709=$BL$25,VLOOKUP(DATE(YEAR($D$19),MONTH($D$19)-1,1),ÍNDICES!$A:$DE,HLOOKUP($BL$25,ÍNDICES!$B$3:$T$4,2)+11)-VLOOKUP(B1002,ÍNDICES!$A:$DE,HLOOKUP($BL$25,ÍNDICES!$B$3:$T$4,2)+11)+1%,IF(C$712=$W$26,$J$35,IF(ISERROR(IF(B1002&gt;$D$19,1,VLOOKUP(DATE(YEAR(B1002),MONTH(B1002)+IF($C$709=$S$23,1,0),1),ÍNDICES!$A:$DE,$Z$709+1))),"",IF(B1002&gt;$D$19,1,VLOOKUP(DATE(YEAR(B1002),MONTH(B1002)+IF($C$709=$S$23,1,0),1),ÍNDICES!$A:$DE,$Z$709+1))))))</f>
        <v/>
      </c>
      <c r="D1002" s="155"/>
      <c r="E1002" s="88"/>
      <c r="F1002" s="88"/>
      <c r="G1002" s="88"/>
      <c r="H1002" s="118"/>
      <c r="I1002" s="182">
        <f t="shared" si="143"/>
        <v>0</v>
      </c>
      <c r="J1002" s="20">
        <f t="shared" ca="1" si="144"/>
        <v>0</v>
      </c>
      <c r="K1002" s="5">
        <f t="shared" ca="1" si="145"/>
        <v>0</v>
      </c>
      <c r="L1002" s="61">
        <f t="shared" ca="1" si="146"/>
        <v>0</v>
      </c>
      <c r="M1002" s="64">
        <f t="shared" si="147"/>
        <v>0</v>
      </c>
      <c r="N1002" s="151"/>
      <c r="O1002" s="5">
        <f t="shared" ca="1" si="148"/>
        <v>0</v>
      </c>
      <c r="P1002" s="446" t="e">
        <f t="shared" si="149"/>
        <v>#VALUE!</v>
      </c>
      <c r="Q1002" s="446" t="e">
        <f>IF(OR($B1002="",MIN(Q$38,$D$19)&lt;MAX($P$708*($B1002+IF($R$17="Distrato",$I$38-1,0)),IF(AND($L$711=0,$P$708=0),"",$L$711-1),IF($R$17="Distrato",$E1002,0))),0,YEARFRAC(MAX($P$708*($B1002+IF($R$17="Distrato",$I$38-1,0)),IF(AND($L$711=0,$P$708=0),"",$L$711-1),IF($R$17="Distrato",$E1002,0)),MIN(Q$38,$D$19),$P$20))-SUM($P1002:P1002)</f>
        <v>#VALUE!</v>
      </c>
      <c r="R1002" s="446" t="e">
        <f>IF(OR($B1002="",MIN(R$38,$D$19)&lt;MAX($P$708*($B1002+IF($R$17="Distrato",$I$38-1,0)),IF(AND($L$711=0,$P$708=0),"",$L$711-1),IF($R$17="Distrato",$E1002,0))),0,YEARFRAC(MAX($P$708*($B1002+IF($R$17="Distrato",$I$38-1,0)),IF(AND($L$711=0,$P$708=0),"",$L$711-1),IF($R$17="Distrato",$E1002,0)),MIN(R$38,$D$19),$P$20))-SUM($P1002:Q1002)</f>
        <v>#VALUE!</v>
      </c>
      <c r="S1002" s="446" t="e">
        <f>IF(OR($B1002="",MIN(S$38,$D$19)&lt;MAX($P$708*($B1002+IF($R$17="Distrato",$I$38-1,0)),IF(AND($L$711=0,$P$708=0),"",$L$711-1),IF($R$17="Distrato",$E1002,0))),0,YEARFRAC(MAX($P$708*($B1002+IF($R$17="Distrato",$I$38-1,0)),IF(AND($L$711=0,$P$708=0),"",$L$711-1),IF($R$17="Distrato",$E1002,0)),MIN(S$38,$D$19),$P$20))-SUM($P1002:R1002)</f>
        <v>#VALUE!</v>
      </c>
      <c r="T1002" s="446" t="e">
        <f>IF(OR($B1002="",MIN(T$38,$D$19)&lt;MAX($P$708*($B1002+IF($R$17="Distrato",$I$38-1,0)),IF(AND($L$711=0,$P$708=0),"",$L$711-1),IF($R$17="Distrato",$E1002,0))),0,YEARFRAC(MAX($P$708*($B1002+IF($R$17="Distrato",$I$38-1,0)),IF(AND($L$711=0,$P$708=0),"",$L$711-1),IF($R$17="Distrato",$E1002,0)),MIN(T$38,$D$19),$P$20))-SUM($P1002:S1002)</f>
        <v>#VALUE!</v>
      </c>
      <c r="U1002" s="446" t="e">
        <f>IF(OR($B1002="",MIN(U$38,$D$19)&lt;MAX($P$708*($B1002+IF($R$17="Distrato",$I$38-1,0)),IF(AND($L$711=0,$P$708=0),"",$L$711-1),IF($R$17="Distrato",$E1002,0))),0,YEARFRAC(MAX($P$708*($B1002+IF($R$17="Distrato",$I$38-1,0)),IF(AND($L$711=0,$P$708=0),"",$L$711-1),IF($R$17="Distrato",$E1002,0)),MIN(U$38,$D$19),$P$20))-SUM($P1002:T1002)</f>
        <v>#VALUE!</v>
      </c>
      <c r="V1002" s="446" t="e">
        <f>IF(OR($B1002="",MIN(V$38,$D$19)&lt;MAX($P$708*($B1002+IF($R$17="Distrato",$I$38-1,0)),IF(AND($L$711=0,$P$708=0),"",$L$711-1),IF($R$17="Distrato",$E1002,0))),0,YEARFRAC(MAX($P$708*($B1002+IF($R$17="Distrato",$I$38-1,0)),IF(AND($L$711=0,$P$708=0),"",$L$711-1),IF($R$17="Distrato",$E1002,0)),MIN(V$38,$D$19),$P$20))-SUM($P1002:U1002)</f>
        <v>#VALUE!</v>
      </c>
      <c r="W1002" s="446" t="e">
        <f>IF(OR($B1002="",MIN(W$38,$D$19)&lt;MAX($P$708*($B1002+IF($R$17="Distrato",$I$38-1,0)),IF(AND($L$711=0,$P$708=0),"",$L$711-1),IF($R$17="Distrato",$E1002,0))),0,YEARFRAC(MAX($P$708*($B1002+IF($R$17="Distrato",$I$38-1,0)),IF(AND($L$711=0,$P$708=0),"",$L$711-1),IF($R$17="Distrato",$E1002,0)),MIN(W$38,$D$19),$P$20))-SUM($P1002:V1002)</f>
        <v>#VALUE!</v>
      </c>
      <c r="X1002" s="446" t="e">
        <f>IF(OR($B1002="",MIN(X$38,$D$19)&lt;MAX($P$708*($B1002+IF($R$17="Distrato",$I$38-1,0)),IF(AND($L$711=0,$P$708=0),"",$L$711-1),IF($R$17="Distrato",$E1002,0))),0,YEARFRAC(MAX($P$708*($B1002+IF($R$17="Distrato",$I$38-1,0)),IF(AND($L$711=0,$P$708=0),"",$L$711-1),IF($R$17="Distrato",$E1002,0)),MIN(X$38,$D$19),$P$20))-SUM($P1002:W1002)</f>
        <v>#VALUE!</v>
      </c>
      <c r="Y1002" s="446" t="e">
        <f>IF(OR($B1002="",MIN(Y$38,$D$19)&lt;MAX($P$708*($B1002+IF($R$17="Distrato",$I$38-1,0)),IF(AND($L$711=0,$P$708=0),"",$L$711-1),IF($R$17="Distrato",$E1002,0))),0,YEARFRAC(MAX($P$708*($B1002+IF($R$17="Distrato",$I$38-1,0)),IF(AND($L$711=0,$P$708=0),"",$L$711-1),IF($R$17="Distrato",$E1002,0)),MIN(Y$38,$D$19),$P$20))-SUM($P1002:X1002)</f>
        <v>#VALUE!</v>
      </c>
      <c r="Z1002" s="446" t="e">
        <f>IF(OR($B1002="",MIN(Z$38,$D$19)&lt;MAX($P$708*($B1002+IF($R$17="Distrato",$I$38-1,0)),IF(AND($L$711=0,$P$708=0),"",$L$711-1),IF($R$17="Distrato",$E1002,0))),0,YEARFRAC(MAX($P$708*($B1002+IF($R$17="Distrato",$I$38-1,0)),IF(AND($L$711=0,$P$708=0),"",$L$711-1),IF($R$17="Distrato",$E1002,0)),MIN(Z$38,$D$19),$P$20))-SUM($P1002:Y1002)</f>
        <v>#VALUE!</v>
      </c>
      <c r="AA1002" s="446" t="e">
        <f>IF(OR($B1002="",MIN(AA$38,$D$19)&lt;MAX($P$708*($B1002+IF($R$17="Distrato",$I$38-1,0)),IF(AND($L$711=0,$P$708=0),"",$L$711-1),IF($R$17="Distrato",$E1002,0))),0,YEARFRAC(MAX($P$708*($B1002+IF($R$17="Distrato",$I$38-1,0)),IF(AND($L$711=0,$P$708=0),"",$L$711-1),IF($R$17="Distrato",$E1002,0)),MIN(AA$38,$D$19),$P$20))-SUM($P1002:Z1002)</f>
        <v>#VALUE!</v>
      </c>
      <c r="AB1002" s="446" t="e">
        <f>IF(OR($B1002="",MIN(AB$38,$D$19)&lt;MAX($P$708*($B1002+IF($R$17="Distrato",$I$38-1,0)),IF(AND($L$711=0,$P$708=0),"",$L$711-1),IF($R$17="Distrato",$E1002,0))),0,YEARFRAC(MAX($P$708*($B1002+IF($R$17="Distrato",$I$38-1,0)),IF(AND($L$711=0,$P$708=0),"",$L$711-1),IF($R$17="Distrato",$E1002,0)),MIN(AB$38,$D$19),$P$20))-SUM($P1002:AA1002)</f>
        <v>#VALUE!</v>
      </c>
      <c r="AC1002" s="446" t="e">
        <f>IF(OR($B1002="",MIN(AC$38,$D$19)&lt;MAX($P$708*($B1002+IF($R$17="Distrato",$I$38-1,0)),IF(AND($L$711=0,$P$708=0),"",$L$711-1),IF($R$17="Distrato",$E1002,0))),0,YEARFRAC(MAX($P$708*($B1002+IF($R$17="Distrato",$I$38-1,0)),IF(AND($L$711=0,$P$708=0),"",$L$711-1),IF($R$17="Distrato",$E1002,0)),MIN(AC$38,$D$19),$P$20))-SUM($P1002:AB1002)</f>
        <v>#VALUE!</v>
      </c>
      <c r="AD1002" s="446" t="e">
        <f>IF(OR($B1002="",MIN(AD$38,$D$19)&lt;MAX($P$708*($B1002+IF($R$17="Distrato",$I$38-1,0)),IF(AND($L$711=0,$P$708=0),"",$L$711-1),IF($R$17="Distrato",$E1002,0))),0,YEARFRAC(MAX($P$708*($B1002+IF($R$17="Distrato",$I$38-1,0)),IF(AND($L$711=0,$P$708=0),"",$L$711-1),IF($R$17="Distrato",$E1002,0)),MIN(AD$38,$D$19),$P$20))-SUM($P1002:AC1002)</f>
        <v>#VALUE!</v>
      </c>
      <c r="AE1002" s="446" t="e">
        <f>IF(OR($B1002="",MIN(AE$38,$D$19)&lt;MAX($P$708*($B1002+IF($R$17="Distrato",$I$38-1,0)),IF(AND($L$711=0,$P$708=0),"",$L$711-1),IF($R$17="Distrato",$E1002,0))),0,YEARFRAC(MAX($P$708*($B1002+IF($R$17="Distrato",$I$38-1,0)),IF(AND($L$711=0,$P$708=0),"",$L$711-1),IF($R$17="Distrato",$E1002,0)),MIN(AE$38,$D$19),$P$20))-SUM($P1002:AD1002)</f>
        <v>#VALUE!</v>
      </c>
      <c r="AF1002" s="446" t="e">
        <f>IF(OR($B1002="",MIN(AF$38,$D$19)&lt;MAX($P$708*($B1002+IF($R$17="Distrato",$I$38-1,0)),IF(AND($L$711=0,$P$708=0),"",$L$711-1),IF($R$17="Distrato",$E1002,0))),0,YEARFRAC(MAX($P$708*($B1002+IF($R$17="Distrato",$I$38-1,0)),IF(AND($L$711=0,$P$708=0),"",$L$711-1),IF($R$17="Distrato",$E1002,0)),MIN(AF$38,$D$19),$P$20))-SUM($P1002:AE1002)</f>
        <v>#VALUE!</v>
      </c>
      <c r="AG1002" s="446" t="e">
        <f>IF(OR($B1002="",MIN(AG$38,$D$19)&lt;MAX($P$708*($B1002+IF($R$17="Distrato",$I$38-1,0)),IF(AND($L$711=0,$P$708=0),"",$L$711-1),IF($R$17="Distrato",$E1002,0))),0,YEARFRAC(MAX($P$708*($B1002+IF($R$17="Distrato",$I$38-1,0)),IF(AND($L$711=0,$P$708=0),"",$L$711-1),IF($R$17="Distrato",$E1002,0)),MIN(AG$38,$D$19),$P$20))-SUM($P1002:AF1002)</f>
        <v>#VALUE!</v>
      </c>
      <c r="AH1002" s="446" t="e">
        <f>IF(OR($B1002="",MIN(AH$38,$D$19)&lt;MAX($P$708*($B1002+IF($R$17="Distrato",$I$38-1,0)),IF(AND($L$711=0,$P$708=0),"",$L$711-1),IF($R$17="Distrato",$E1002,0))),0,YEARFRAC(MAX($P$708*($B1002+IF($R$17="Distrato",$I$38-1,0)),IF(AND($L$711=0,$P$708=0),"",$L$711-1),IF($R$17="Distrato",$E1002,0)),MIN(AH$38,$D$19),$P$20))-SUM($P1002:AG1002)</f>
        <v>#VALUE!</v>
      </c>
      <c r="AI1002" s="446" t="e">
        <f>IF(OR($B1002="",MIN(AI$38,$D$19)&lt;MAX($P$708*($B1002+IF($R$17="Distrato",$I$38-1,0)),IF(AND($L$711=0,$P$708=0),"",$L$711-1),IF($R$17="Distrato",$E1002,0))),0,YEARFRAC(MAX($P$708*($B1002+IF($R$17="Distrato",$I$38-1,0)),IF(AND($L$711=0,$P$708=0),"",$L$711-1),IF($R$17="Distrato",$E1002,0)),MIN(AI$38,$D$19),$P$20))-SUM($P1002:AH1002)</f>
        <v>#VALUE!</v>
      </c>
      <c r="AJ1002" s="446" t="e">
        <f>IF(OR($B1002="",MIN(AJ$38,$D$19)&lt;MAX($P$708*($B1002+IF($R$17="Distrato",$I$38-1,0)),IF(AND($L$711=0,$P$708=0),"",$L$711-1),IF($R$17="Distrato",$E1002,0))),0,YEARFRAC(MAX($P$708*($B1002+IF($R$17="Distrato",$I$38-1,0)),IF(AND($L$711=0,$P$708=0),"",$L$711-1),IF($R$17="Distrato",$E1002,0)),MIN(AJ$38,$D$19),$P$20))-SUM($P1002:AI1002)</f>
        <v>#VALUE!</v>
      </c>
      <c r="AK1002" s="446" t="e">
        <f>IF(OR($B1002="",MIN(AK$38,$D$19)&lt;MAX($P$708*($B1002+IF($R$17="Distrato",$I$38-1,0)),IF(AND($L$711=0,$P$708=0),"",$L$711-1),IF($R$17="Distrato",$E1002,0))),0,YEARFRAC(MAX($P$708*($B1002+IF($R$17="Distrato",$I$38-1,0)),IF(AND($L$711=0,$P$708=0),"",$L$711-1),IF($R$17="Distrato",$E1002,0)),MIN(AK$38,$D$19),$P$20))-SUM($P1002:AJ1002)</f>
        <v>#VALUE!</v>
      </c>
      <c r="AL1002" s="446" t="e">
        <f>IF(OR($B1002="",MIN(AL$38,$D$19)&lt;MAX($P$708*($B1002+IF($R$17="Distrato",$I$38-1,0)),IF(AND($L$711=0,$P$708=0),"",$L$711-1),IF($R$17="Distrato",$E1002,0))),0,YEARFRAC(MAX($P$708*($B1002+IF($R$17="Distrato",$I$38-1,0)),IF(AND($L$711=0,$P$708=0),"",$L$711-1),IF($R$17="Distrato",$E1002,0)),MIN(AL$38,$D$19),$P$20))-SUM($P1002:AK1002)</f>
        <v>#VALUE!</v>
      </c>
      <c r="AM1002" s="446" t="e">
        <f>IF(OR($B1002="",MIN(AM$38,$D$19)&lt;MAX($P$708*($B1002+IF($R$17="Distrato",$I$38-1,0)),IF(AND($L$711=0,$P$708=0),"",$L$711-1),IF($R$17="Distrato",$E1002,0))),0,YEARFRAC(MAX($P$708*($B1002+IF($R$17="Distrato",$I$38-1,0)),IF(AND($L$711=0,$P$708=0),"",$L$711-1),IF($R$17="Distrato",$E1002,0)),MIN(AM$38,$D$19),$P$20))-SUM($P1002:AL1002)</f>
        <v>#VALUE!</v>
      </c>
      <c r="AN1002" s="446" t="e">
        <f>IF(OR($B1002="",MIN(AN$38,$D$19)&lt;MAX($P$708*($B1002+IF($R$17="Distrato",$I$38-1,0)),IF(AND($L$711=0,$P$708=0),"",$L$711-1),IF($R$17="Distrato",$E1002,0))),0,YEARFRAC(MAX($P$708*($B1002+IF($R$17="Distrato",$I$38-1,0)),IF(AND($L$711=0,$P$708=0),"",$L$711-1),IF($R$17="Distrato",$E1002,0)),MIN(AN$38,$D$19),$P$20))-SUM($P1002:AM1002)</f>
        <v>#VALUE!</v>
      </c>
      <c r="AO1002" s="446" t="e">
        <f>IF(OR($B1002="",MIN(AO$38,$D$19)&lt;MAX($P$708*($B1002+IF($R$17="Distrato",$I$38-1,0)),IF(AND($L$711=0,$P$708=0),"",$L$711-1),IF($R$17="Distrato",$E1002,0))),0,YEARFRAC(MAX($P$708*($B1002+IF($R$17="Distrato",$I$38-1,0)),IF(AND($L$711=0,$P$708=0),"",$L$711-1),IF($R$17="Distrato",$E1002,0)),MIN(AO$38,$D$19),$P$20))-SUM($P1002:AN1002)</f>
        <v>#VALUE!</v>
      </c>
      <c r="AP1002" s="446" t="e">
        <f>IF(OR($B1002="",MIN(AP$38,$D$19)&lt;MAX($P$708*($B1002+IF($R$17="Distrato",$I$38-1,0)),IF(AND($L$711=0,$P$708=0),"",$L$711-1),IF($R$17="Distrato",$E1002,0))),0,YEARFRAC(MAX($P$708*($B1002+IF($R$17="Distrato",$I$38-1,0)),IF(AND($L$711=0,$P$708=0),"",$L$711-1),IF($R$17="Distrato",$E1002,0)),MIN(AP$38,$D$19),$P$20))-SUM($P1002:AO1002)</f>
        <v>#VALUE!</v>
      </c>
      <c r="AQ1002" s="446" t="e">
        <f>IF(OR($B1002="",MIN(AQ$38,$D$19)&lt;MAX($P$708*($B1002+IF($R$17="Distrato",$I$38-1,0)),IF(AND($L$711=0,$P$708=0),"",$L$711-1),IF($R$17="Distrato",$E1002,0))),0,YEARFRAC(MAX($P$708*($B1002+IF($R$17="Distrato",$I$38-1,0)),IF(AND($L$711=0,$P$708=0),"",$L$711-1),IF($R$17="Distrato",$E1002,0)),MIN(AQ$38,$D$19),$P$20))-SUM($P1002:AP1002)</f>
        <v>#VALUE!</v>
      </c>
      <c r="AR1002" s="446" t="e">
        <f>IF(OR($B1002="",MIN(AR$38,$D$19)&lt;MAX($P$708*($B1002+IF($R$17="Distrato",$I$38-1,0)),IF(AND($L$711=0,$P$708=0),"",$L$711-1),IF($R$17="Distrato",$E1002,0))),0,YEARFRAC(MAX($P$708*($B1002+IF($R$17="Distrato",$I$38-1,0)),IF(AND($L$711=0,$P$708=0),"",$L$711-1),IF($R$17="Distrato",$E1002,0)),MIN(AR$38,$D$19),$P$20))-SUM($P1002:AQ1002)</f>
        <v>#VALUE!</v>
      </c>
      <c r="AS1002" s="446" t="e">
        <f>IF(OR($B1002="",MIN(AS$38,$D$19)&lt;MAX($P$708*($B1002+IF($R$17="Distrato",$I$38-1,0)),IF(AND($L$711=0,$P$708=0),"",$L$711-1),IF($R$17="Distrato",$E1002,0))),0,YEARFRAC(MAX($P$708*($B1002+IF($R$17="Distrato",$I$38-1,0)),IF(AND($L$711=0,$P$708=0),"",$L$711-1),IF($R$17="Distrato",$E1002,0)),MIN(AS$38,$D$19),$P$20))-SUM($P1002:AR1002)</f>
        <v>#VALUE!</v>
      </c>
      <c r="AT1002" s="446" t="e">
        <f>IF(OR($B1002="",MIN(AT$38,$D$19)&lt;MAX($P$708*($B1002+IF($R$17="Distrato",$I$38-1,0)),IF(AND($L$711=0,$P$708=0),"",$L$711-1),IF($R$17="Distrato",$E1002,0))),0,YEARFRAC(MAX($P$708*($B1002+IF($R$17="Distrato",$I$38-1,0)),IF(AND($L$711=0,$P$708=0),"",$L$711-1),IF($R$17="Distrato",$E1002,0)),MIN(AT$38,$D$19),$P$20))-SUM($P1002:AS1002)</f>
        <v>#VALUE!</v>
      </c>
      <c r="AU1002" s="446" t="e">
        <f>IF(OR($B1002="",MIN(AU$38,$D$19)&lt;MAX($P$708*($B1002+IF($R$17="Distrato",$I$38-1,0)),IF(AND($L$711=0,$P$708=0),"",$L$711-1),IF($R$17="Distrato",$E1002,0))),0,YEARFRAC(MAX($P$708*($B1002+IF($R$17="Distrato",$I$38-1,0)),IF(AND($L$711=0,$P$708=0),"",$L$711-1),IF($R$17="Distrato",$E1002,0)),MIN(AU$38,$D$19),$P$20))-SUM($P1002:AT1002)</f>
        <v>#VALUE!</v>
      </c>
      <c r="AV1002" s="446" t="e">
        <f>IF(OR($B1002="",MIN(AV$38,$D$19)&lt;MAX($P$708*($B1002+IF($R$17="Distrato",$I$38-1,0)),IF(AND($L$711=0,$P$708=0),"",$L$711-1),IF($R$17="Distrato",$E1002,0))),0,YEARFRAC(MAX($P$708*($B1002+IF($R$17="Distrato",$I$38-1,0)),IF(AND($L$711=0,$P$708=0),"",$L$711-1),IF($R$17="Distrato",$E1002,0)),MIN(AV$38,$D$19),$P$20))-SUM($P1002:AU1002)</f>
        <v>#VALUE!</v>
      </c>
      <c r="AW1002" s="446" t="e">
        <f>IF(OR($B1002="",MIN(AW$38,$D$19)&lt;MAX($P$708*($B1002+IF($R$17="Distrato",$I$38-1,0)),IF(AND($L$711=0,$P$708=0),"",$L$711-1),IF($R$17="Distrato",$E1002,0))),0,YEARFRAC(MAX($P$708*($B1002+IF($R$17="Distrato",$I$38-1,0)),IF(AND($L$711=0,$P$708=0),"",$L$711-1),IF($R$17="Distrato",$E1002,0)),MIN(AW$38,$D$19),$P$20))-SUM($P1002:AV1002)</f>
        <v>#VALUE!</v>
      </c>
      <c r="AX1002" s="446" t="e">
        <f>IF(OR($B1002="",MIN(AX$38,$D$19)&lt;MAX($P$708*($B1002+IF($R$17="Distrato",$I$38-1,0)),IF(AND($L$711=0,$P$708=0),"",$L$711-1),IF($R$17="Distrato",$E1002,0))),0,YEARFRAC(MAX($P$708*($B1002+IF($R$17="Distrato",$I$38-1,0)),IF(AND($L$711=0,$P$708=0),"",$L$711-1),IF($R$17="Distrato",$E1002,0)),MIN(AX$38,$D$19),$P$20))-SUM($P1002:AW1002)</f>
        <v>#VALUE!</v>
      </c>
      <c r="AY1002" s="446" t="e">
        <f>IF(OR($B1002="",MIN(AY$38,$D$19)&lt;MAX($P$708*($B1002+IF($R$17="Distrato",$I$38-1,0)),IF(AND($L$711=0,$P$708=0),"",$L$711-1),IF($R$17="Distrato",$E1002,0))),0,YEARFRAC(MAX($P$708*($B1002+IF($R$17="Distrato",$I$38-1,0)),IF(AND($L$711=0,$P$708=0),"",$L$711-1),IF($R$17="Distrato",$E1002,0)),MIN(AY$38,$D$19),$P$20))-SUM($P1002:AX1002)</f>
        <v>#VALUE!</v>
      </c>
      <c r="AZ1002" s="446" t="e">
        <f>IF(OR($B1002="",MIN(AZ$38,$D$19)&lt;MAX($P$708*($B1002+IF($R$17="Distrato",$I$38-1,0)),IF(AND($L$711=0,$P$708=0),"",$L$711-1),IF($R$17="Distrato",$E1002,0))),0,YEARFRAC(MAX($P$708*($B1002+IF($R$17="Distrato",$I$38-1,0)),IF(AND($L$711=0,$P$708=0),"",$L$711-1),IF($R$17="Distrato",$E1002,0)),MIN(AZ$38,$D$19),$P$20))-SUM($P1002:AY1002)</f>
        <v>#VALUE!</v>
      </c>
      <c r="BA1002" s="446" t="e">
        <f>IF(OR($B1002="",MIN(BA$38,$D$19)&lt;MAX($P$708*($B1002+IF($R$17="Distrato",$I$38-1,0)),IF(AND($L$711=0,$P$708=0),"",$L$711-1),IF($R$17="Distrato",$E1002,0))),0,YEARFRAC(MAX($P$708*($B1002+IF($R$17="Distrato",$I$38-1,0)),IF(AND($L$711=0,$P$708=0),"",$L$711-1),IF($R$17="Distrato",$E1002,0)),MIN(BA$38,$D$19),$P$20))-SUM($P1002:AZ1002)</f>
        <v>#VALUE!</v>
      </c>
      <c r="BB1002" s="447"/>
    </row>
    <row r="1003" spans="1:54" s="446" customFormat="1" ht="11.25" hidden="1" customHeight="1" x14ac:dyDescent="0.2">
      <c r="A1003" s="235"/>
      <c r="B1003" s="236"/>
      <c r="C1003" s="29" t="str">
        <f>IF(B1003="","",IF($L$709=$BL$25,VLOOKUP(DATE(YEAR($D$19),MONTH($D$19)-1,1),ÍNDICES!$A:$DE,HLOOKUP($BL$25,ÍNDICES!$B$3:$T$4,2)+11)-VLOOKUP(B1003,ÍNDICES!$A:$DE,HLOOKUP($BL$25,ÍNDICES!$B$3:$T$4,2)+11)+1%,IF(C$712=$W$26,$J$35,IF(ISERROR(IF(B1003&gt;$D$19,1,VLOOKUP(DATE(YEAR(B1003),MONTH(B1003)+IF($C$709=$S$23,1,0),1),ÍNDICES!$A:$DE,$Z$709+1))),"",IF(B1003&gt;$D$19,1,VLOOKUP(DATE(YEAR(B1003),MONTH(B1003)+IF($C$709=$S$23,1,0),1),ÍNDICES!$A:$DE,$Z$709+1))))))</f>
        <v/>
      </c>
      <c r="D1003" s="155"/>
      <c r="E1003" s="88"/>
      <c r="F1003" s="88"/>
      <c r="G1003" s="88"/>
      <c r="H1003" s="118"/>
      <c r="I1003" s="182">
        <f t="shared" si="143"/>
        <v>0</v>
      </c>
      <c r="J1003" s="20">
        <f t="shared" ca="1" si="144"/>
        <v>0</v>
      </c>
      <c r="K1003" s="5">
        <f t="shared" ca="1" si="145"/>
        <v>0</v>
      </c>
      <c r="L1003" s="61">
        <f t="shared" ca="1" si="146"/>
        <v>0</v>
      </c>
      <c r="M1003" s="64">
        <f t="shared" si="147"/>
        <v>0</v>
      </c>
      <c r="N1003" s="151"/>
      <c r="O1003" s="5">
        <f t="shared" ca="1" si="148"/>
        <v>0</v>
      </c>
      <c r="P1003" s="446" t="e">
        <f t="shared" si="149"/>
        <v>#VALUE!</v>
      </c>
      <c r="Q1003" s="446" t="e">
        <f>IF(OR($B1003="",MIN(Q$38,$D$19)&lt;MAX($P$708*($B1003+IF($R$17="Distrato",$I$38-1,0)),IF(AND($L$711=0,$P$708=0),"",$L$711-1),IF($R$17="Distrato",$E1003,0))),0,YEARFRAC(MAX($P$708*($B1003+IF($R$17="Distrato",$I$38-1,0)),IF(AND($L$711=0,$P$708=0),"",$L$711-1),IF($R$17="Distrato",$E1003,0)),MIN(Q$38,$D$19),$P$20))-SUM($P1003:P1003)</f>
        <v>#VALUE!</v>
      </c>
      <c r="R1003" s="446" t="e">
        <f>IF(OR($B1003="",MIN(R$38,$D$19)&lt;MAX($P$708*($B1003+IF($R$17="Distrato",$I$38-1,0)),IF(AND($L$711=0,$P$708=0),"",$L$711-1),IF($R$17="Distrato",$E1003,0))),0,YEARFRAC(MAX($P$708*($B1003+IF($R$17="Distrato",$I$38-1,0)),IF(AND($L$711=0,$P$708=0),"",$L$711-1),IF($R$17="Distrato",$E1003,0)),MIN(R$38,$D$19),$P$20))-SUM($P1003:Q1003)</f>
        <v>#VALUE!</v>
      </c>
      <c r="S1003" s="446" t="e">
        <f>IF(OR($B1003="",MIN(S$38,$D$19)&lt;MAX($P$708*($B1003+IF($R$17="Distrato",$I$38-1,0)),IF(AND($L$711=0,$P$708=0),"",$L$711-1),IF($R$17="Distrato",$E1003,0))),0,YEARFRAC(MAX($P$708*($B1003+IF($R$17="Distrato",$I$38-1,0)),IF(AND($L$711=0,$P$708=0),"",$L$711-1),IF($R$17="Distrato",$E1003,0)),MIN(S$38,$D$19),$P$20))-SUM($P1003:R1003)</f>
        <v>#VALUE!</v>
      </c>
      <c r="T1003" s="446" t="e">
        <f>IF(OR($B1003="",MIN(T$38,$D$19)&lt;MAX($P$708*($B1003+IF($R$17="Distrato",$I$38-1,0)),IF(AND($L$711=0,$P$708=0),"",$L$711-1),IF($R$17="Distrato",$E1003,0))),0,YEARFRAC(MAX($P$708*($B1003+IF($R$17="Distrato",$I$38-1,0)),IF(AND($L$711=0,$P$708=0),"",$L$711-1),IF($R$17="Distrato",$E1003,0)),MIN(T$38,$D$19),$P$20))-SUM($P1003:S1003)</f>
        <v>#VALUE!</v>
      </c>
      <c r="U1003" s="446" t="e">
        <f>IF(OR($B1003="",MIN(U$38,$D$19)&lt;MAX($P$708*($B1003+IF($R$17="Distrato",$I$38-1,0)),IF(AND($L$711=0,$P$708=0),"",$L$711-1),IF($R$17="Distrato",$E1003,0))),0,YEARFRAC(MAX($P$708*($B1003+IF($R$17="Distrato",$I$38-1,0)),IF(AND($L$711=0,$P$708=0),"",$L$711-1),IF($R$17="Distrato",$E1003,0)),MIN(U$38,$D$19),$P$20))-SUM($P1003:T1003)</f>
        <v>#VALUE!</v>
      </c>
      <c r="V1003" s="446" t="e">
        <f>IF(OR($B1003="",MIN(V$38,$D$19)&lt;MAX($P$708*($B1003+IF($R$17="Distrato",$I$38-1,0)),IF(AND($L$711=0,$P$708=0),"",$L$711-1),IF($R$17="Distrato",$E1003,0))),0,YEARFRAC(MAX($P$708*($B1003+IF($R$17="Distrato",$I$38-1,0)),IF(AND($L$711=0,$P$708=0),"",$L$711-1),IF($R$17="Distrato",$E1003,0)),MIN(V$38,$D$19),$P$20))-SUM($P1003:U1003)</f>
        <v>#VALUE!</v>
      </c>
      <c r="W1003" s="446" t="e">
        <f>IF(OR($B1003="",MIN(W$38,$D$19)&lt;MAX($P$708*($B1003+IF($R$17="Distrato",$I$38-1,0)),IF(AND($L$711=0,$P$708=0),"",$L$711-1),IF($R$17="Distrato",$E1003,0))),0,YEARFRAC(MAX($P$708*($B1003+IF($R$17="Distrato",$I$38-1,0)),IF(AND($L$711=0,$P$708=0),"",$L$711-1),IF($R$17="Distrato",$E1003,0)),MIN(W$38,$D$19),$P$20))-SUM($P1003:V1003)</f>
        <v>#VALUE!</v>
      </c>
      <c r="X1003" s="446" t="e">
        <f>IF(OR($B1003="",MIN(X$38,$D$19)&lt;MAX($P$708*($B1003+IF($R$17="Distrato",$I$38-1,0)),IF(AND($L$711=0,$P$708=0),"",$L$711-1),IF($R$17="Distrato",$E1003,0))),0,YEARFRAC(MAX($P$708*($B1003+IF($R$17="Distrato",$I$38-1,0)),IF(AND($L$711=0,$P$708=0),"",$L$711-1),IF($R$17="Distrato",$E1003,0)),MIN(X$38,$D$19),$P$20))-SUM($P1003:W1003)</f>
        <v>#VALUE!</v>
      </c>
      <c r="Y1003" s="446" t="e">
        <f>IF(OR($B1003="",MIN(Y$38,$D$19)&lt;MAX($P$708*($B1003+IF($R$17="Distrato",$I$38-1,0)),IF(AND($L$711=0,$P$708=0),"",$L$711-1),IF($R$17="Distrato",$E1003,0))),0,YEARFRAC(MAX($P$708*($B1003+IF($R$17="Distrato",$I$38-1,0)),IF(AND($L$711=0,$P$708=0),"",$L$711-1),IF($R$17="Distrato",$E1003,0)),MIN(Y$38,$D$19),$P$20))-SUM($P1003:X1003)</f>
        <v>#VALUE!</v>
      </c>
      <c r="Z1003" s="446" t="e">
        <f>IF(OR($B1003="",MIN(Z$38,$D$19)&lt;MAX($P$708*($B1003+IF($R$17="Distrato",$I$38-1,0)),IF(AND($L$711=0,$P$708=0),"",$L$711-1),IF($R$17="Distrato",$E1003,0))),0,YEARFRAC(MAX($P$708*($B1003+IF($R$17="Distrato",$I$38-1,0)),IF(AND($L$711=0,$P$708=0),"",$L$711-1),IF($R$17="Distrato",$E1003,0)),MIN(Z$38,$D$19),$P$20))-SUM($P1003:Y1003)</f>
        <v>#VALUE!</v>
      </c>
      <c r="AA1003" s="446" t="e">
        <f>IF(OR($B1003="",MIN(AA$38,$D$19)&lt;MAX($P$708*($B1003+IF($R$17="Distrato",$I$38-1,0)),IF(AND($L$711=0,$P$708=0),"",$L$711-1),IF($R$17="Distrato",$E1003,0))),0,YEARFRAC(MAX($P$708*($B1003+IF($R$17="Distrato",$I$38-1,0)),IF(AND($L$711=0,$P$708=0),"",$L$711-1),IF($R$17="Distrato",$E1003,0)),MIN(AA$38,$D$19),$P$20))-SUM($P1003:Z1003)</f>
        <v>#VALUE!</v>
      </c>
      <c r="AB1003" s="446" t="e">
        <f>IF(OR($B1003="",MIN(AB$38,$D$19)&lt;MAX($P$708*($B1003+IF($R$17="Distrato",$I$38-1,0)),IF(AND($L$711=0,$P$708=0),"",$L$711-1),IF($R$17="Distrato",$E1003,0))),0,YEARFRAC(MAX($P$708*($B1003+IF($R$17="Distrato",$I$38-1,0)),IF(AND($L$711=0,$P$708=0),"",$L$711-1),IF($R$17="Distrato",$E1003,0)),MIN(AB$38,$D$19),$P$20))-SUM($P1003:AA1003)</f>
        <v>#VALUE!</v>
      </c>
      <c r="AC1003" s="446" t="e">
        <f>IF(OR($B1003="",MIN(AC$38,$D$19)&lt;MAX($P$708*($B1003+IF($R$17="Distrato",$I$38-1,0)),IF(AND($L$711=0,$P$708=0),"",$L$711-1),IF($R$17="Distrato",$E1003,0))),0,YEARFRAC(MAX($P$708*($B1003+IF($R$17="Distrato",$I$38-1,0)),IF(AND($L$711=0,$P$708=0),"",$L$711-1),IF($R$17="Distrato",$E1003,0)),MIN(AC$38,$D$19),$P$20))-SUM($P1003:AB1003)</f>
        <v>#VALUE!</v>
      </c>
      <c r="AD1003" s="446" t="e">
        <f>IF(OR($B1003="",MIN(AD$38,$D$19)&lt;MAX($P$708*($B1003+IF($R$17="Distrato",$I$38-1,0)),IF(AND($L$711=0,$P$708=0),"",$L$711-1),IF($R$17="Distrato",$E1003,0))),0,YEARFRAC(MAX($P$708*($B1003+IF($R$17="Distrato",$I$38-1,0)),IF(AND($L$711=0,$P$708=0),"",$L$711-1),IF($R$17="Distrato",$E1003,0)),MIN(AD$38,$D$19),$P$20))-SUM($P1003:AC1003)</f>
        <v>#VALUE!</v>
      </c>
      <c r="AE1003" s="446" t="e">
        <f>IF(OR($B1003="",MIN(AE$38,$D$19)&lt;MAX($P$708*($B1003+IF($R$17="Distrato",$I$38-1,0)),IF(AND($L$711=0,$P$708=0),"",$L$711-1),IF($R$17="Distrato",$E1003,0))),0,YEARFRAC(MAX($P$708*($B1003+IF($R$17="Distrato",$I$38-1,0)),IF(AND($L$711=0,$P$708=0),"",$L$711-1),IF($R$17="Distrato",$E1003,0)),MIN(AE$38,$D$19),$P$20))-SUM($P1003:AD1003)</f>
        <v>#VALUE!</v>
      </c>
      <c r="AF1003" s="446" t="e">
        <f>IF(OR($B1003="",MIN(AF$38,$D$19)&lt;MAX($P$708*($B1003+IF($R$17="Distrato",$I$38-1,0)),IF(AND($L$711=0,$P$708=0),"",$L$711-1),IF($R$17="Distrato",$E1003,0))),0,YEARFRAC(MAX($P$708*($B1003+IF($R$17="Distrato",$I$38-1,0)),IF(AND($L$711=0,$P$708=0),"",$L$711-1),IF($R$17="Distrato",$E1003,0)),MIN(AF$38,$D$19),$P$20))-SUM($P1003:AE1003)</f>
        <v>#VALUE!</v>
      </c>
      <c r="AG1003" s="446" t="e">
        <f>IF(OR($B1003="",MIN(AG$38,$D$19)&lt;MAX($P$708*($B1003+IF($R$17="Distrato",$I$38-1,0)),IF(AND($L$711=0,$P$708=0),"",$L$711-1),IF($R$17="Distrato",$E1003,0))),0,YEARFRAC(MAX($P$708*($B1003+IF($R$17="Distrato",$I$38-1,0)),IF(AND($L$711=0,$P$708=0),"",$L$711-1),IF($R$17="Distrato",$E1003,0)),MIN(AG$38,$D$19),$P$20))-SUM($P1003:AF1003)</f>
        <v>#VALUE!</v>
      </c>
      <c r="AH1003" s="446" t="e">
        <f>IF(OR($B1003="",MIN(AH$38,$D$19)&lt;MAX($P$708*($B1003+IF($R$17="Distrato",$I$38-1,0)),IF(AND($L$711=0,$P$708=0),"",$L$711-1),IF($R$17="Distrato",$E1003,0))),0,YEARFRAC(MAX($P$708*($B1003+IF($R$17="Distrato",$I$38-1,0)),IF(AND($L$711=0,$P$708=0),"",$L$711-1),IF($R$17="Distrato",$E1003,0)),MIN(AH$38,$D$19),$P$20))-SUM($P1003:AG1003)</f>
        <v>#VALUE!</v>
      </c>
      <c r="AI1003" s="446" t="e">
        <f>IF(OR($B1003="",MIN(AI$38,$D$19)&lt;MAX($P$708*($B1003+IF($R$17="Distrato",$I$38-1,0)),IF(AND($L$711=0,$P$708=0),"",$L$711-1),IF($R$17="Distrato",$E1003,0))),0,YEARFRAC(MAX($P$708*($B1003+IF($R$17="Distrato",$I$38-1,0)),IF(AND($L$711=0,$P$708=0),"",$L$711-1),IF($R$17="Distrato",$E1003,0)),MIN(AI$38,$D$19),$P$20))-SUM($P1003:AH1003)</f>
        <v>#VALUE!</v>
      </c>
      <c r="AJ1003" s="446" t="e">
        <f>IF(OR($B1003="",MIN(AJ$38,$D$19)&lt;MAX($P$708*($B1003+IF($R$17="Distrato",$I$38-1,0)),IF(AND($L$711=0,$P$708=0),"",$L$711-1),IF($R$17="Distrato",$E1003,0))),0,YEARFRAC(MAX($P$708*($B1003+IF($R$17="Distrato",$I$38-1,0)),IF(AND($L$711=0,$P$708=0),"",$L$711-1),IF($R$17="Distrato",$E1003,0)),MIN(AJ$38,$D$19),$P$20))-SUM($P1003:AI1003)</f>
        <v>#VALUE!</v>
      </c>
      <c r="AK1003" s="446" t="e">
        <f>IF(OR($B1003="",MIN(AK$38,$D$19)&lt;MAX($P$708*($B1003+IF($R$17="Distrato",$I$38-1,0)),IF(AND($L$711=0,$P$708=0),"",$L$711-1),IF($R$17="Distrato",$E1003,0))),0,YEARFRAC(MAX($P$708*($B1003+IF($R$17="Distrato",$I$38-1,0)),IF(AND($L$711=0,$P$708=0),"",$L$711-1),IF($R$17="Distrato",$E1003,0)),MIN(AK$38,$D$19),$P$20))-SUM($P1003:AJ1003)</f>
        <v>#VALUE!</v>
      </c>
      <c r="AL1003" s="446" t="e">
        <f>IF(OR($B1003="",MIN(AL$38,$D$19)&lt;MAX($P$708*($B1003+IF($R$17="Distrato",$I$38-1,0)),IF(AND($L$711=0,$P$708=0),"",$L$711-1),IF($R$17="Distrato",$E1003,0))),0,YEARFRAC(MAX($P$708*($B1003+IF($R$17="Distrato",$I$38-1,0)),IF(AND($L$711=0,$P$708=0),"",$L$711-1),IF($R$17="Distrato",$E1003,0)),MIN(AL$38,$D$19),$P$20))-SUM($P1003:AK1003)</f>
        <v>#VALUE!</v>
      </c>
      <c r="AM1003" s="446" t="e">
        <f>IF(OR($B1003="",MIN(AM$38,$D$19)&lt;MAX($P$708*($B1003+IF($R$17="Distrato",$I$38-1,0)),IF(AND($L$711=0,$P$708=0),"",$L$711-1),IF($R$17="Distrato",$E1003,0))),0,YEARFRAC(MAX($P$708*($B1003+IF($R$17="Distrato",$I$38-1,0)),IF(AND($L$711=0,$P$708=0),"",$L$711-1),IF($R$17="Distrato",$E1003,0)),MIN(AM$38,$D$19),$P$20))-SUM($P1003:AL1003)</f>
        <v>#VALUE!</v>
      </c>
      <c r="AN1003" s="446" t="e">
        <f>IF(OR($B1003="",MIN(AN$38,$D$19)&lt;MAX($P$708*($B1003+IF($R$17="Distrato",$I$38-1,0)),IF(AND($L$711=0,$P$708=0),"",$L$711-1),IF($R$17="Distrato",$E1003,0))),0,YEARFRAC(MAX($P$708*($B1003+IF($R$17="Distrato",$I$38-1,0)),IF(AND($L$711=0,$P$708=0),"",$L$711-1),IF($R$17="Distrato",$E1003,0)),MIN(AN$38,$D$19),$P$20))-SUM($P1003:AM1003)</f>
        <v>#VALUE!</v>
      </c>
      <c r="AO1003" s="446" t="e">
        <f>IF(OR($B1003="",MIN(AO$38,$D$19)&lt;MAX($P$708*($B1003+IF($R$17="Distrato",$I$38-1,0)),IF(AND($L$711=0,$P$708=0),"",$L$711-1),IF($R$17="Distrato",$E1003,0))),0,YEARFRAC(MAX($P$708*($B1003+IF($R$17="Distrato",$I$38-1,0)),IF(AND($L$711=0,$P$708=0),"",$L$711-1),IF($R$17="Distrato",$E1003,0)),MIN(AO$38,$D$19),$P$20))-SUM($P1003:AN1003)</f>
        <v>#VALUE!</v>
      </c>
      <c r="AP1003" s="446" t="e">
        <f>IF(OR($B1003="",MIN(AP$38,$D$19)&lt;MAX($P$708*($B1003+IF($R$17="Distrato",$I$38-1,0)),IF(AND($L$711=0,$P$708=0),"",$L$711-1),IF($R$17="Distrato",$E1003,0))),0,YEARFRAC(MAX($P$708*($B1003+IF($R$17="Distrato",$I$38-1,0)),IF(AND($L$711=0,$P$708=0),"",$L$711-1),IF($R$17="Distrato",$E1003,0)),MIN(AP$38,$D$19),$P$20))-SUM($P1003:AO1003)</f>
        <v>#VALUE!</v>
      </c>
      <c r="AQ1003" s="446" t="e">
        <f>IF(OR($B1003="",MIN(AQ$38,$D$19)&lt;MAX($P$708*($B1003+IF($R$17="Distrato",$I$38-1,0)),IF(AND($L$711=0,$P$708=0),"",$L$711-1),IF($R$17="Distrato",$E1003,0))),0,YEARFRAC(MAX($P$708*($B1003+IF($R$17="Distrato",$I$38-1,0)),IF(AND($L$711=0,$P$708=0),"",$L$711-1),IF($R$17="Distrato",$E1003,0)),MIN(AQ$38,$D$19),$P$20))-SUM($P1003:AP1003)</f>
        <v>#VALUE!</v>
      </c>
      <c r="AR1003" s="446" t="e">
        <f>IF(OR($B1003="",MIN(AR$38,$D$19)&lt;MAX($P$708*($B1003+IF($R$17="Distrato",$I$38-1,0)),IF(AND($L$711=0,$P$708=0),"",$L$711-1),IF($R$17="Distrato",$E1003,0))),0,YEARFRAC(MAX($P$708*($B1003+IF($R$17="Distrato",$I$38-1,0)),IF(AND($L$711=0,$P$708=0),"",$L$711-1),IF($R$17="Distrato",$E1003,0)),MIN(AR$38,$D$19),$P$20))-SUM($P1003:AQ1003)</f>
        <v>#VALUE!</v>
      </c>
      <c r="AS1003" s="446" t="e">
        <f>IF(OR($B1003="",MIN(AS$38,$D$19)&lt;MAX($P$708*($B1003+IF($R$17="Distrato",$I$38-1,0)),IF(AND($L$711=0,$P$708=0),"",$L$711-1),IF($R$17="Distrato",$E1003,0))),0,YEARFRAC(MAX($P$708*($B1003+IF($R$17="Distrato",$I$38-1,0)),IF(AND($L$711=0,$P$708=0),"",$L$711-1),IF($R$17="Distrato",$E1003,0)),MIN(AS$38,$D$19),$P$20))-SUM($P1003:AR1003)</f>
        <v>#VALUE!</v>
      </c>
      <c r="AT1003" s="446" t="e">
        <f>IF(OR($B1003="",MIN(AT$38,$D$19)&lt;MAX($P$708*($B1003+IF($R$17="Distrato",$I$38-1,0)),IF(AND($L$711=0,$P$708=0),"",$L$711-1),IF($R$17="Distrato",$E1003,0))),0,YEARFRAC(MAX($P$708*($B1003+IF($R$17="Distrato",$I$38-1,0)),IF(AND($L$711=0,$P$708=0),"",$L$711-1),IF($R$17="Distrato",$E1003,0)),MIN(AT$38,$D$19),$P$20))-SUM($P1003:AS1003)</f>
        <v>#VALUE!</v>
      </c>
      <c r="AU1003" s="446" t="e">
        <f>IF(OR($B1003="",MIN(AU$38,$D$19)&lt;MAX($P$708*($B1003+IF($R$17="Distrato",$I$38-1,0)),IF(AND($L$711=0,$P$708=0),"",$L$711-1),IF($R$17="Distrato",$E1003,0))),0,YEARFRAC(MAX($P$708*($B1003+IF($R$17="Distrato",$I$38-1,0)),IF(AND($L$711=0,$P$708=0),"",$L$711-1),IF($R$17="Distrato",$E1003,0)),MIN(AU$38,$D$19),$P$20))-SUM($P1003:AT1003)</f>
        <v>#VALUE!</v>
      </c>
      <c r="AV1003" s="446" t="e">
        <f>IF(OR($B1003="",MIN(AV$38,$D$19)&lt;MAX($P$708*($B1003+IF($R$17="Distrato",$I$38-1,0)),IF(AND($L$711=0,$P$708=0),"",$L$711-1),IF($R$17="Distrato",$E1003,0))),0,YEARFRAC(MAX($P$708*($B1003+IF($R$17="Distrato",$I$38-1,0)),IF(AND($L$711=0,$P$708=0),"",$L$711-1),IF($R$17="Distrato",$E1003,0)),MIN(AV$38,$D$19),$P$20))-SUM($P1003:AU1003)</f>
        <v>#VALUE!</v>
      </c>
      <c r="AW1003" s="446" t="e">
        <f>IF(OR($B1003="",MIN(AW$38,$D$19)&lt;MAX($P$708*($B1003+IF($R$17="Distrato",$I$38-1,0)),IF(AND($L$711=0,$P$708=0),"",$L$711-1),IF($R$17="Distrato",$E1003,0))),0,YEARFRAC(MAX($P$708*($B1003+IF($R$17="Distrato",$I$38-1,0)),IF(AND($L$711=0,$P$708=0),"",$L$711-1),IF($R$17="Distrato",$E1003,0)),MIN(AW$38,$D$19),$P$20))-SUM($P1003:AV1003)</f>
        <v>#VALUE!</v>
      </c>
      <c r="AX1003" s="446" t="e">
        <f>IF(OR($B1003="",MIN(AX$38,$D$19)&lt;MAX($P$708*($B1003+IF($R$17="Distrato",$I$38-1,0)),IF(AND($L$711=0,$P$708=0),"",$L$711-1),IF($R$17="Distrato",$E1003,0))),0,YEARFRAC(MAX($P$708*($B1003+IF($R$17="Distrato",$I$38-1,0)),IF(AND($L$711=0,$P$708=0),"",$L$711-1),IF($R$17="Distrato",$E1003,0)),MIN(AX$38,$D$19),$P$20))-SUM($P1003:AW1003)</f>
        <v>#VALUE!</v>
      </c>
      <c r="AY1003" s="446" t="e">
        <f>IF(OR($B1003="",MIN(AY$38,$D$19)&lt;MAX($P$708*($B1003+IF($R$17="Distrato",$I$38-1,0)),IF(AND($L$711=0,$P$708=0),"",$L$711-1),IF($R$17="Distrato",$E1003,0))),0,YEARFRAC(MAX($P$708*($B1003+IF($R$17="Distrato",$I$38-1,0)),IF(AND($L$711=0,$P$708=0),"",$L$711-1),IF($R$17="Distrato",$E1003,0)),MIN(AY$38,$D$19),$P$20))-SUM($P1003:AX1003)</f>
        <v>#VALUE!</v>
      </c>
      <c r="AZ1003" s="446" t="e">
        <f>IF(OR($B1003="",MIN(AZ$38,$D$19)&lt;MAX($P$708*($B1003+IF($R$17="Distrato",$I$38-1,0)),IF(AND($L$711=0,$P$708=0),"",$L$711-1),IF($R$17="Distrato",$E1003,0))),0,YEARFRAC(MAX($P$708*($B1003+IF($R$17="Distrato",$I$38-1,0)),IF(AND($L$711=0,$P$708=0),"",$L$711-1),IF($R$17="Distrato",$E1003,0)),MIN(AZ$38,$D$19),$P$20))-SUM($P1003:AY1003)</f>
        <v>#VALUE!</v>
      </c>
      <c r="BA1003" s="446" t="e">
        <f>IF(OR($B1003="",MIN(BA$38,$D$19)&lt;MAX($P$708*($B1003+IF($R$17="Distrato",$I$38-1,0)),IF(AND($L$711=0,$P$708=0),"",$L$711-1),IF($R$17="Distrato",$E1003,0))),0,YEARFRAC(MAX($P$708*($B1003+IF($R$17="Distrato",$I$38-1,0)),IF(AND($L$711=0,$P$708=0),"",$L$711-1),IF($R$17="Distrato",$E1003,0)),MIN(BA$38,$D$19),$P$20))-SUM($P1003:AZ1003)</f>
        <v>#VALUE!</v>
      </c>
      <c r="BB1003" s="447"/>
    </row>
    <row r="1004" spans="1:54" s="446" customFormat="1" ht="11.25" hidden="1" customHeight="1" x14ac:dyDescent="0.2">
      <c r="A1004" s="235"/>
      <c r="B1004" s="236"/>
      <c r="C1004" s="29" t="str">
        <f>IF(B1004="","",IF($L$709=$BL$25,VLOOKUP(DATE(YEAR($D$19),MONTH($D$19)-1,1),ÍNDICES!$A:$DE,HLOOKUP($BL$25,ÍNDICES!$B$3:$T$4,2)+11)-VLOOKUP(B1004,ÍNDICES!$A:$DE,HLOOKUP($BL$25,ÍNDICES!$B$3:$T$4,2)+11)+1%,IF(C$712=$W$26,$J$35,IF(ISERROR(IF(B1004&gt;$D$19,1,VLOOKUP(DATE(YEAR(B1004),MONTH(B1004)+IF($C$709=$S$23,1,0),1),ÍNDICES!$A:$DE,$Z$709+1))),"",IF(B1004&gt;$D$19,1,VLOOKUP(DATE(YEAR(B1004),MONTH(B1004)+IF($C$709=$S$23,1,0),1),ÍNDICES!$A:$DE,$Z$709+1))))))</f>
        <v/>
      </c>
      <c r="D1004" s="155"/>
      <c r="E1004" s="88"/>
      <c r="F1004" s="88"/>
      <c r="G1004" s="88"/>
      <c r="H1004" s="118"/>
      <c r="I1004" s="182">
        <f t="shared" si="143"/>
        <v>0</v>
      </c>
      <c r="J1004" s="20">
        <f t="shared" ca="1" si="144"/>
        <v>0</v>
      </c>
      <c r="K1004" s="5">
        <f t="shared" ca="1" si="145"/>
        <v>0</v>
      </c>
      <c r="L1004" s="61">
        <f t="shared" ca="1" si="146"/>
        <v>0</v>
      </c>
      <c r="M1004" s="64">
        <f t="shared" si="147"/>
        <v>0</v>
      </c>
      <c r="N1004" s="151"/>
      <c r="O1004" s="5">
        <f t="shared" ca="1" si="148"/>
        <v>0</v>
      </c>
      <c r="P1004" s="446" t="e">
        <f t="shared" si="149"/>
        <v>#VALUE!</v>
      </c>
      <c r="Q1004" s="446" t="e">
        <f>IF(OR($B1004="",MIN(Q$38,$D$19)&lt;MAX($P$708*($B1004+IF($R$17="Distrato",$I$38-1,0)),IF(AND($L$711=0,$P$708=0),"",$L$711-1),IF($R$17="Distrato",$E1004,0))),0,YEARFRAC(MAX($P$708*($B1004+IF($R$17="Distrato",$I$38-1,0)),IF(AND($L$711=0,$P$708=0),"",$L$711-1),IF($R$17="Distrato",$E1004,0)),MIN(Q$38,$D$19),$P$20))-SUM($P1004:P1004)</f>
        <v>#VALUE!</v>
      </c>
      <c r="R1004" s="446" t="e">
        <f>IF(OR($B1004="",MIN(R$38,$D$19)&lt;MAX($P$708*($B1004+IF($R$17="Distrato",$I$38-1,0)),IF(AND($L$711=0,$P$708=0),"",$L$711-1),IF($R$17="Distrato",$E1004,0))),0,YEARFRAC(MAX($P$708*($B1004+IF($R$17="Distrato",$I$38-1,0)),IF(AND($L$711=0,$P$708=0),"",$L$711-1),IF($R$17="Distrato",$E1004,0)),MIN(R$38,$D$19),$P$20))-SUM($P1004:Q1004)</f>
        <v>#VALUE!</v>
      </c>
      <c r="S1004" s="446" t="e">
        <f>IF(OR($B1004="",MIN(S$38,$D$19)&lt;MAX($P$708*($B1004+IF($R$17="Distrato",$I$38-1,0)),IF(AND($L$711=0,$P$708=0),"",$L$711-1),IF($R$17="Distrato",$E1004,0))),0,YEARFRAC(MAX($P$708*($B1004+IF($R$17="Distrato",$I$38-1,0)),IF(AND($L$711=0,$P$708=0),"",$L$711-1),IF($R$17="Distrato",$E1004,0)),MIN(S$38,$D$19),$P$20))-SUM($P1004:R1004)</f>
        <v>#VALUE!</v>
      </c>
      <c r="T1004" s="446" t="e">
        <f>IF(OR($B1004="",MIN(T$38,$D$19)&lt;MAX($P$708*($B1004+IF($R$17="Distrato",$I$38-1,0)),IF(AND($L$711=0,$P$708=0),"",$L$711-1),IF($R$17="Distrato",$E1004,0))),0,YEARFRAC(MAX($P$708*($B1004+IF($R$17="Distrato",$I$38-1,0)),IF(AND($L$711=0,$P$708=0),"",$L$711-1),IF($R$17="Distrato",$E1004,0)),MIN(T$38,$D$19),$P$20))-SUM($P1004:S1004)</f>
        <v>#VALUE!</v>
      </c>
      <c r="U1004" s="446" t="e">
        <f>IF(OR($B1004="",MIN(U$38,$D$19)&lt;MAX($P$708*($B1004+IF($R$17="Distrato",$I$38-1,0)),IF(AND($L$711=0,$P$708=0),"",$L$711-1),IF($R$17="Distrato",$E1004,0))),0,YEARFRAC(MAX($P$708*($B1004+IF($R$17="Distrato",$I$38-1,0)),IF(AND($L$711=0,$P$708=0),"",$L$711-1),IF($R$17="Distrato",$E1004,0)),MIN(U$38,$D$19),$P$20))-SUM($P1004:T1004)</f>
        <v>#VALUE!</v>
      </c>
      <c r="V1004" s="446" t="e">
        <f>IF(OR($B1004="",MIN(V$38,$D$19)&lt;MAX($P$708*($B1004+IF($R$17="Distrato",$I$38-1,0)),IF(AND($L$711=0,$P$708=0),"",$L$711-1),IF($R$17="Distrato",$E1004,0))),0,YEARFRAC(MAX($P$708*($B1004+IF($R$17="Distrato",$I$38-1,0)),IF(AND($L$711=0,$P$708=0),"",$L$711-1),IF($R$17="Distrato",$E1004,0)),MIN(V$38,$D$19),$P$20))-SUM($P1004:U1004)</f>
        <v>#VALUE!</v>
      </c>
      <c r="W1004" s="446" t="e">
        <f>IF(OR($B1004="",MIN(W$38,$D$19)&lt;MAX($P$708*($B1004+IF($R$17="Distrato",$I$38-1,0)),IF(AND($L$711=0,$P$708=0),"",$L$711-1),IF($R$17="Distrato",$E1004,0))),0,YEARFRAC(MAX($P$708*($B1004+IF($R$17="Distrato",$I$38-1,0)),IF(AND($L$711=0,$P$708=0),"",$L$711-1),IF($R$17="Distrato",$E1004,0)),MIN(W$38,$D$19),$P$20))-SUM($P1004:V1004)</f>
        <v>#VALUE!</v>
      </c>
      <c r="X1004" s="446" t="e">
        <f>IF(OR($B1004="",MIN(X$38,$D$19)&lt;MAX($P$708*($B1004+IF($R$17="Distrato",$I$38-1,0)),IF(AND($L$711=0,$P$708=0),"",$L$711-1),IF($R$17="Distrato",$E1004,0))),0,YEARFRAC(MAX($P$708*($B1004+IF($R$17="Distrato",$I$38-1,0)),IF(AND($L$711=0,$P$708=0),"",$L$711-1),IF($R$17="Distrato",$E1004,0)),MIN(X$38,$D$19),$P$20))-SUM($P1004:W1004)</f>
        <v>#VALUE!</v>
      </c>
      <c r="Y1004" s="446" t="e">
        <f>IF(OR($B1004="",MIN(Y$38,$D$19)&lt;MAX($P$708*($B1004+IF($R$17="Distrato",$I$38-1,0)),IF(AND($L$711=0,$P$708=0),"",$L$711-1),IF($R$17="Distrato",$E1004,0))),0,YEARFRAC(MAX($P$708*($B1004+IF($R$17="Distrato",$I$38-1,0)),IF(AND($L$711=0,$P$708=0),"",$L$711-1),IF($R$17="Distrato",$E1004,0)),MIN(Y$38,$D$19),$P$20))-SUM($P1004:X1004)</f>
        <v>#VALUE!</v>
      </c>
      <c r="Z1004" s="446" t="e">
        <f>IF(OR($B1004="",MIN(Z$38,$D$19)&lt;MAX($P$708*($B1004+IF($R$17="Distrato",$I$38-1,0)),IF(AND($L$711=0,$P$708=0),"",$L$711-1),IF($R$17="Distrato",$E1004,0))),0,YEARFRAC(MAX($P$708*($B1004+IF($R$17="Distrato",$I$38-1,0)),IF(AND($L$711=0,$P$708=0),"",$L$711-1),IF($R$17="Distrato",$E1004,0)),MIN(Z$38,$D$19),$P$20))-SUM($P1004:Y1004)</f>
        <v>#VALUE!</v>
      </c>
      <c r="AA1004" s="446" t="e">
        <f>IF(OR($B1004="",MIN(AA$38,$D$19)&lt;MAX($P$708*($B1004+IF($R$17="Distrato",$I$38-1,0)),IF(AND($L$711=0,$P$708=0),"",$L$711-1),IF($R$17="Distrato",$E1004,0))),0,YEARFRAC(MAX($P$708*($B1004+IF($R$17="Distrato",$I$38-1,0)),IF(AND($L$711=0,$P$708=0),"",$L$711-1),IF($R$17="Distrato",$E1004,0)),MIN(AA$38,$D$19),$P$20))-SUM($P1004:Z1004)</f>
        <v>#VALUE!</v>
      </c>
      <c r="AB1004" s="446" t="e">
        <f>IF(OR($B1004="",MIN(AB$38,$D$19)&lt;MAX($P$708*($B1004+IF($R$17="Distrato",$I$38-1,0)),IF(AND($L$711=0,$P$708=0),"",$L$711-1),IF($R$17="Distrato",$E1004,0))),0,YEARFRAC(MAX($P$708*($B1004+IF($R$17="Distrato",$I$38-1,0)),IF(AND($L$711=0,$P$708=0),"",$L$711-1),IF($R$17="Distrato",$E1004,0)),MIN(AB$38,$D$19),$P$20))-SUM($P1004:AA1004)</f>
        <v>#VALUE!</v>
      </c>
      <c r="AC1004" s="446" t="e">
        <f>IF(OR($B1004="",MIN(AC$38,$D$19)&lt;MAX($P$708*($B1004+IF($R$17="Distrato",$I$38-1,0)),IF(AND($L$711=0,$P$708=0),"",$L$711-1),IF($R$17="Distrato",$E1004,0))),0,YEARFRAC(MAX($P$708*($B1004+IF($R$17="Distrato",$I$38-1,0)),IF(AND($L$711=0,$P$708=0),"",$L$711-1),IF($R$17="Distrato",$E1004,0)),MIN(AC$38,$D$19),$P$20))-SUM($P1004:AB1004)</f>
        <v>#VALUE!</v>
      </c>
      <c r="AD1004" s="446" t="e">
        <f>IF(OR($B1004="",MIN(AD$38,$D$19)&lt;MAX($P$708*($B1004+IF($R$17="Distrato",$I$38-1,0)),IF(AND($L$711=0,$P$708=0),"",$L$711-1),IF($R$17="Distrato",$E1004,0))),0,YEARFRAC(MAX($P$708*($B1004+IF($R$17="Distrato",$I$38-1,0)),IF(AND($L$711=0,$P$708=0),"",$L$711-1),IF($R$17="Distrato",$E1004,0)),MIN(AD$38,$D$19),$P$20))-SUM($P1004:AC1004)</f>
        <v>#VALUE!</v>
      </c>
      <c r="AE1004" s="446" t="e">
        <f>IF(OR($B1004="",MIN(AE$38,$D$19)&lt;MAX($P$708*($B1004+IF($R$17="Distrato",$I$38-1,0)),IF(AND($L$711=0,$P$708=0),"",$L$711-1),IF($R$17="Distrato",$E1004,0))),0,YEARFRAC(MAX($P$708*($B1004+IF($R$17="Distrato",$I$38-1,0)),IF(AND($L$711=0,$P$708=0),"",$L$711-1),IF($R$17="Distrato",$E1004,0)),MIN(AE$38,$D$19),$P$20))-SUM($P1004:AD1004)</f>
        <v>#VALUE!</v>
      </c>
      <c r="AF1004" s="446" t="e">
        <f>IF(OR($B1004="",MIN(AF$38,$D$19)&lt;MAX($P$708*($B1004+IF($R$17="Distrato",$I$38-1,0)),IF(AND($L$711=0,$P$708=0),"",$L$711-1),IF($R$17="Distrato",$E1004,0))),0,YEARFRAC(MAX($P$708*($B1004+IF($R$17="Distrato",$I$38-1,0)),IF(AND($L$711=0,$P$708=0),"",$L$711-1),IF($R$17="Distrato",$E1004,0)),MIN(AF$38,$D$19),$P$20))-SUM($P1004:AE1004)</f>
        <v>#VALUE!</v>
      </c>
      <c r="AG1004" s="446" t="e">
        <f>IF(OR($B1004="",MIN(AG$38,$D$19)&lt;MAX($P$708*($B1004+IF($R$17="Distrato",$I$38-1,0)),IF(AND($L$711=0,$P$708=0),"",$L$711-1),IF($R$17="Distrato",$E1004,0))),0,YEARFRAC(MAX($P$708*($B1004+IF($R$17="Distrato",$I$38-1,0)),IF(AND($L$711=0,$P$708=0),"",$L$711-1),IF($R$17="Distrato",$E1004,0)),MIN(AG$38,$D$19),$P$20))-SUM($P1004:AF1004)</f>
        <v>#VALUE!</v>
      </c>
      <c r="AH1004" s="446" t="e">
        <f>IF(OR($B1004="",MIN(AH$38,$D$19)&lt;MAX($P$708*($B1004+IF($R$17="Distrato",$I$38-1,0)),IF(AND($L$711=0,$P$708=0),"",$L$711-1),IF($R$17="Distrato",$E1004,0))),0,YEARFRAC(MAX($P$708*($B1004+IF($R$17="Distrato",$I$38-1,0)),IF(AND($L$711=0,$P$708=0),"",$L$711-1),IF($R$17="Distrato",$E1004,0)),MIN(AH$38,$D$19),$P$20))-SUM($P1004:AG1004)</f>
        <v>#VALUE!</v>
      </c>
      <c r="AI1004" s="446" t="e">
        <f>IF(OR($B1004="",MIN(AI$38,$D$19)&lt;MAX($P$708*($B1004+IF($R$17="Distrato",$I$38-1,0)),IF(AND($L$711=0,$P$708=0),"",$L$711-1),IF($R$17="Distrato",$E1004,0))),0,YEARFRAC(MAX($P$708*($B1004+IF($R$17="Distrato",$I$38-1,0)),IF(AND($L$711=0,$P$708=0),"",$L$711-1),IF($R$17="Distrato",$E1004,0)),MIN(AI$38,$D$19),$P$20))-SUM($P1004:AH1004)</f>
        <v>#VALUE!</v>
      </c>
      <c r="AJ1004" s="446" t="e">
        <f>IF(OR($B1004="",MIN(AJ$38,$D$19)&lt;MAX($P$708*($B1004+IF($R$17="Distrato",$I$38-1,0)),IF(AND($L$711=0,$P$708=0),"",$L$711-1),IF($R$17="Distrato",$E1004,0))),0,YEARFRAC(MAX($P$708*($B1004+IF($R$17="Distrato",$I$38-1,0)),IF(AND($L$711=0,$P$708=0),"",$L$711-1),IF($R$17="Distrato",$E1004,0)),MIN(AJ$38,$D$19),$P$20))-SUM($P1004:AI1004)</f>
        <v>#VALUE!</v>
      </c>
      <c r="AK1004" s="446" t="e">
        <f>IF(OR($B1004="",MIN(AK$38,$D$19)&lt;MAX($P$708*($B1004+IF($R$17="Distrato",$I$38-1,0)),IF(AND($L$711=0,$P$708=0),"",$L$711-1),IF($R$17="Distrato",$E1004,0))),0,YEARFRAC(MAX($P$708*($B1004+IF($R$17="Distrato",$I$38-1,0)),IF(AND($L$711=0,$P$708=0),"",$L$711-1),IF($R$17="Distrato",$E1004,0)),MIN(AK$38,$D$19),$P$20))-SUM($P1004:AJ1004)</f>
        <v>#VALUE!</v>
      </c>
      <c r="AL1004" s="446" t="e">
        <f>IF(OR($B1004="",MIN(AL$38,$D$19)&lt;MAX($P$708*($B1004+IF($R$17="Distrato",$I$38-1,0)),IF(AND($L$711=0,$P$708=0),"",$L$711-1),IF($R$17="Distrato",$E1004,0))),0,YEARFRAC(MAX($P$708*($B1004+IF($R$17="Distrato",$I$38-1,0)),IF(AND($L$711=0,$P$708=0),"",$L$711-1),IF($R$17="Distrato",$E1004,0)),MIN(AL$38,$D$19),$P$20))-SUM($P1004:AK1004)</f>
        <v>#VALUE!</v>
      </c>
      <c r="AM1004" s="446" t="e">
        <f>IF(OR($B1004="",MIN(AM$38,$D$19)&lt;MAX($P$708*($B1004+IF($R$17="Distrato",$I$38-1,0)),IF(AND($L$711=0,$P$708=0),"",$L$711-1),IF($R$17="Distrato",$E1004,0))),0,YEARFRAC(MAX($P$708*($B1004+IF($R$17="Distrato",$I$38-1,0)),IF(AND($L$711=0,$P$708=0),"",$L$711-1),IF($R$17="Distrato",$E1004,0)),MIN(AM$38,$D$19),$P$20))-SUM($P1004:AL1004)</f>
        <v>#VALUE!</v>
      </c>
      <c r="AN1004" s="446" t="e">
        <f>IF(OR($B1004="",MIN(AN$38,$D$19)&lt;MAX($P$708*($B1004+IF($R$17="Distrato",$I$38-1,0)),IF(AND($L$711=0,$P$708=0),"",$L$711-1),IF($R$17="Distrato",$E1004,0))),0,YEARFRAC(MAX($P$708*($B1004+IF($R$17="Distrato",$I$38-1,0)),IF(AND($L$711=0,$P$708=0),"",$L$711-1),IF($R$17="Distrato",$E1004,0)),MIN(AN$38,$D$19),$P$20))-SUM($P1004:AM1004)</f>
        <v>#VALUE!</v>
      </c>
      <c r="AO1004" s="446" t="e">
        <f>IF(OR($B1004="",MIN(AO$38,$D$19)&lt;MAX($P$708*($B1004+IF($R$17="Distrato",$I$38-1,0)),IF(AND($L$711=0,$P$708=0),"",$L$711-1),IF($R$17="Distrato",$E1004,0))),0,YEARFRAC(MAX($P$708*($B1004+IF($R$17="Distrato",$I$38-1,0)),IF(AND($L$711=0,$P$708=0),"",$L$711-1),IF($R$17="Distrato",$E1004,0)),MIN(AO$38,$D$19),$P$20))-SUM($P1004:AN1004)</f>
        <v>#VALUE!</v>
      </c>
      <c r="AP1004" s="446" t="e">
        <f>IF(OR($B1004="",MIN(AP$38,$D$19)&lt;MAX($P$708*($B1004+IF($R$17="Distrato",$I$38-1,0)),IF(AND($L$711=0,$P$708=0),"",$L$711-1),IF($R$17="Distrato",$E1004,0))),0,YEARFRAC(MAX($P$708*($B1004+IF($R$17="Distrato",$I$38-1,0)),IF(AND($L$711=0,$P$708=0),"",$L$711-1),IF($R$17="Distrato",$E1004,0)),MIN(AP$38,$D$19),$P$20))-SUM($P1004:AO1004)</f>
        <v>#VALUE!</v>
      </c>
      <c r="AQ1004" s="446" t="e">
        <f>IF(OR($B1004="",MIN(AQ$38,$D$19)&lt;MAX($P$708*($B1004+IF($R$17="Distrato",$I$38-1,0)),IF(AND($L$711=0,$P$708=0),"",$L$711-1),IF($R$17="Distrato",$E1004,0))),0,YEARFRAC(MAX($P$708*($B1004+IF($R$17="Distrato",$I$38-1,0)),IF(AND($L$711=0,$P$708=0),"",$L$711-1),IF($R$17="Distrato",$E1004,0)),MIN(AQ$38,$D$19),$P$20))-SUM($P1004:AP1004)</f>
        <v>#VALUE!</v>
      </c>
      <c r="AR1004" s="446" t="e">
        <f>IF(OR($B1004="",MIN(AR$38,$D$19)&lt;MAX($P$708*($B1004+IF($R$17="Distrato",$I$38-1,0)),IF(AND($L$711=0,$P$708=0),"",$L$711-1),IF($R$17="Distrato",$E1004,0))),0,YEARFRAC(MAX($P$708*($B1004+IF($R$17="Distrato",$I$38-1,0)),IF(AND($L$711=0,$P$708=0),"",$L$711-1),IF($R$17="Distrato",$E1004,0)),MIN(AR$38,$D$19),$P$20))-SUM($P1004:AQ1004)</f>
        <v>#VALUE!</v>
      </c>
      <c r="AS1004" s="446" t="e">
        <f>IF(OR($B1004="",MIN(AS$38,$D$19)&lt;MAX($P$708*($B1004+IF($R$17="Distrato",$I$38-1,0)),IF(AND($L$711=0,$P$708=0),"",$L$711-1),IF($R$17="Distrato",$E1004,0))),0,YEARFRAC(MAX($P$708*($B1004+IF($R$17="Distrato",$I$38-1,0)),IF(AND($L$711=0,$P$708=0),"",$L$711-1),IF($R$17="Distrato",$E1004,0)),MIN(AS$38,$D$19),$P$20))-SUM($P1004:AR1004)</f>
        <v>#VALUE!</v>
      </c>
      <c r="AT1004" s="446" t="e">
        <f>IF(OR($B1004="",MIN(AT$38,$D$19)&lt;MAX($P$708*($B1004+IF($R$17="Distrato",$I$38-1,0)),IF(AND($L$711=0,$P$708=0),"",$L$711-1),IF($R$17="Distrato",$E1004,0))),0,YEARFRAC(MAX($P$708*($B1004+IF($R$17="Distrato",$I$38-1,0)),IF(AND($L$711=0,$P$708=0),"",$L$711-1),IF($R$17="Distrato",$E1004,0)),MIN(AT$38,$D$19),$P$20))-SUM($P1004:AS1004)</f>
        <v>#VALUE!</v>
      </c>
      <c r="AU1004" s="446" t="e">
        <f>IF(OR($B1004="",MIN(AU$38,$D$19)&lt;MAX($P$708*($B1004+IF($R$17="Distrato",$I$38-1,0)),IF(AND($L$711=0,$P$708=0),"",$L$711-1),IF($R$17="Distrato",$E1004,0))),0,YEARFRAC(MAX($P$708*($B1004+IF($R$17="Distrato",$I$38-1,0)),IF(AND($L$711=0,$P$708=0),"",$L$711-1),IF($R$17="Distrato",$E1004,0)),MIN(AU$38,$D$19),$P$20))-SUM($P1004:AT1004)</f>
        <v>#VALUE!</v>
      </c>
      <c r="AV1004" s="446" t="e">
        <f>IF(OR($B1004="",MIN(AV$38,$D$19)&lt;MAX($P$708*($B1004+IF($R$17="Distrato",$I$38-1,0)),IF(AND($L$711=0,$P$708=0),"",$L$711-1),IF($R$17="Distrato",$E1004,0))),0,YEARFRAC(MAX($P$708*($B1004+IF($R$17="Distrato",$I$38-1,0)),IF(AND($L$711=0,$P$708=0),"",$L$711-1),IF($R$17="Distrato",$E1004,0)),MIN(AV$38,$D$19),$P$20))-SUM($P1004:AU1004)</f>
        <v>#VALUE!</v>
      </c>
      <c r="AW1004" s="446" t="e">
        <f>IF(OR($B1004="",MIN(AW$38,$D$19)&lt;MAX($P$708*($B1004+IF($R$17="Distrato",$I$38-1,0)),IF(AND($L$711=0,$P$708=0),"",$L$711-1),IF($R$17="Distrato",$E1004,0))),0,YEARFRAC(MAX($P$708*($B1004+IF($R$17="Distrato",$I$38-1,0)),IF(AND($L$711=0,$P$708=0),"",$L$711-1),IF($R$17="Distrato",$E1004,0)),MIN(AW$38,$D$19),$P$20))-SUM($P1004:AV1004)</f>
        <v>#VALUE!</v>
      </c>
      <c r="AX1004" s="446" t="e">
        <f>IF(OR($B1004="",MIN(AX$38,$D$19)&lt;MAX($P$708*($B1004+IF($R$17="Distrato",$I$38-1,0)),IF(AND($L$711=0,$P$708=0),"",$L$711-1),IF($R$17="Distrato",$E1004,0))),0,YEARFRAC(MAX($P$708*($B1004+IF($R$17="Distrato",$I$38-1,0)),IF(AND($L$711=0,$P$708=0),"",$L$711-1),IF($R$17="Distrato",$E1004,0)),MIN(AX$38,$D$19),$P$20))-SUM($P1004:AW1004)</f>
        <v>#VALUE!</v>
      </c>
      <c r="AY1004" s="446" t="e">
        <f>IF(OR($B1004="",MIN(AY$38,$D$19)&lt;MAX($P$708*($B1004+IF($R$17="Distrato",$I$38-1,0)),IF(AND($L$711=0,$P$708=0),"",$L$711-1),IF($R$17="Distrato",$E1004,0))),0,YEARFRAC(MAX($P$708*($B1004+IF($R$17="Distrato",$I$38-1,0)),IF(AND($L$711=0,$P$708=0),"",$L$711-1),IF($R$17="Distrato",$E1004,0)),MIN(AY$38,$D$19),$P$20))-SUM($P1004:AX1004)</f>
        <v>#VALUE!</v>
      </c>
      <c r="AZ1004" s="446" t="e">
        <f>IF(OR($B1004="",MIN(AZ$38,$D$19)&lt;MAX($P$708*($B1004+IF($R$17="Distrato",$I$38-1,0)),IF(AND($L$711=0,$P$708=0),"",$L$711-1),IF($R$17="Distrato",$E1004,0))),0,YEARFRAC(MAX($P$708*($B1004+IF($R$17="Distrato",$I$38-1,0)),IF(AND($L$711=0,$P$708=0),"",$L$711-1),IF($R$17="Distrato",$E1004,0)),MIN(AZ$38,$D$19),$P$20))-SUM($P1004:AY1004)</f>
        <v>#VALUE!</v>
      </c>
      <c r="BA1004" s="446" t="e">
        <f>IF(OR($B1004="",MIN(BA$38,$D$19)&lt;MAX($P$708*($B1004+IF($R$17="Distrato",$I$38-1,0)),IF(AND($L$711=0,$P$708=0),"",$L$711-1),IF($R$17="Distrato",$E1004,0))),0,YEARFRAC(MAX($P$708*($B1004+IF($R$17="Distrato",$I$38-1,0)),IF(AND($L$711=0,$P$708=0),"",$L$711-1),IF($R$17="Distrato",$E1004,0)),MIN(BA$38,$D$19),$P$20))-SUM($P1004:AZ1004)</f>
        <v>#VALUE!</v>
      </c>
      <c r="BB1004" s="447"/>
    </row>
    <row r="1005" spans="1:54" s="446" customFormat="1" ht="11.25" hidden="1" customHeight="1" x14ac:dyDescent="0.2">
      <c r="A1005" s="235"/>
      <c r="B1005" s="236"/>
      <c r="C1005" s="29" t="str">
        <f>IF(B1005="","",IF($L$709=$BL$25,VLOOKUP(DATE(YEAR($D$19),MONTH($D$19)-1,1),ÍNDICES!$A:$DE,HLOOKUP($BL$25,ÍNDICES!$B$3:$T$4,2)+11)-VLOOKUP(B1005,ÍNDICES!$A:$DE,HLOOKUP($BL$25,ÍNDICES!$B$3:$T$4,2)+11)+1%,IF(C$712=$W$26,$J$35,IF(ISERROR(IF(B1005&gt;$D$19,1,VLOOKUP(DATE(YEAR(B1005),MONTH(B1005)+IF($C$709=$S$23,1,0),1),ÍNDICES!$A:$DE,$Z$709+1))),"",IF(B1005&gt;$D$19,1,VLOOKUP(DATE(YEAR(B1005),MONTH(B1005)+IF($C$709=$S$23,1,0),1),ÍNDICES!$A:$DE,$Z$709+1))))))</f>
        <v/>
      </c>
      <c r="D1005" s="155"/>
      <c r="E1005" s="88"/>
      <c r="F1005" s="88"/>
      <c r="G1005" s="88"/>
      <c r="H1005" s="118"/>
      <c r="I1005" s="182">
        <f t="shared" si="143"/>
        <v>0</v>
      </c>
      <c r="J1005" s="20">
        <f t="shared" ca="1" si="144"/>
        <v>0</v>
      </c>
      <c r="K1005" s="5">
        <f t="shared" ca="1" si="145"/>
        <v>0</v>
      </c>
      <c r="L1005" s="61">
        <f t="shared" ca="1" si="146"/>
        <v>0</v>
      </c>
      <c r="M1005" s="64">
        <f t="shared" si="147"/>
        <v>0</v>
      </c>
      <c r="N1005" s="151"/>
      <c r="O1005" s="5">
        <f t="shared" ca="1" si="148"/>
        <v>0</v>
      </c>
      <c r="P1005" s="446" t="e">
        <f t="shared" si="149"/>
        <v>#VALUE!</v>
      </c>
      <c r="Q1005" s="446" t="e">
        <f>IF(OR($B1005="",MIN(Q$38,$D$19)&lt;MAX($P$708*($B1005+IF($R$17="Distrato",$I$38-1,0)),IF(AND($L$711=0,$P$708=0),"",$L$711-1),IF($R$17="Distrato",$E1005,0))),0,YEARFRAC(MAX($P$708*($B1005+IF($R$17="Distrato",$I$38-1,0)),IF(AND($L$711=0,$P$708=0),"",$L$711-1),IF($R$17="Distrato",$E1005,0)),MIN(Q$38,$D$19),$P$20))-SUM($P1005:P1005)</f>
        <v>#VALUE!</v>
      </c>
      <c r="R1005" s="446" t="e">
        <f>IF(OR($B1005="",MIN(R$38,$D$19)&lt;MAX($P$708*($B1005+IF($R$17="Distrato",$I$38-1,0)),IF(AND($L$711=0,$P$708=0),"",$L$711-1),IF($R$17="Distrato",$E1005,0))),0,YEARFRAC(MAX($P$708*($B1005+IF($R$17="Distrato",$I$38-1,0)),IF(AND($L$711=0,$P$708=0),"",$L$711-1),IF($R$17="Distrato",$E1005,0)),MIN(R$38,$D$19),$P$20))-SUM($P1005:Q1005)</f>
        <v>#VALUE!</v>
      </c>
      <c r="S1005" s="446" t="e">
        <f>IF(OR($B1005="",MIN(S$38,$D$19)&lt;MAX($P$708*($B1005+IF($R$17="Distrato",$I$38-1,0)),IF(AND($L$711=0,$P$708=0),"",$L$711-1),IF($R$17="Distrato",$E1005,0))),0,YEARFRAC(MAX($P$708*($B1005+IF($R$17="Distrato",$I$38-1,0)),IF(AND($L$711=0,$P$708=0),"",$L$711-1),IF($R$17="Distrato",$E1005,0)),MIN(S$38,$D$19),$P$20))-SUM($P1005:R1005)</f>
        <v>#VALUE!</v>
      </c>
      <c r="T1005" s="446" t="e">
        <f>IF(OR($B1005="",MIN(T$38,$D$19)&lt;MAX($P$708*($B1005+IF($R$17="Distrato",$I$38-1,0)),IF(AND($L$711=0,$P$708=0),"",$L$711-1),IF($R$17="Distrato",$E1005,0))),0,YEARFRAC(MAX($P$708*($B1005+IF($R$17="Distrato",$I$38-1,0)),IF(AND($L$711=0,$P$708=0),"",$L$711-1),IF($R$17="Distrato",$E1005,0)),MIN(T$38,$D$19),$P$20))-SUM($P1005:S1005)</f>
        <v>#VALUE!</v>
      </c>
      <c r="U1005" s="446" t="e">
        <f>IF(OR($B1005="",MIN(U$38,$D$19)&lt;MAX($P$708*($B1005+IF($R$17="Distrato",$I$38-1,0)),IF(AND($L$711=0,$P$708=0),"",$L$711-1),IF($R$17="Distrato",$E1005,0))),0,YEARFRAC(MAX($P$708*($B1005+IF($R$17="Distrato",$I$38-1,0)),IF(AND($L$711=0,$P$708=0),"",$L$711-1),IF($R$17="Distrato",$E1005,0)),MIN(U$38,$D$19),$P$20))-SUM($P1005:T1005)</f>
        <v>#VALUE!</v>
      </c>
      <c r="V1005" s="446" t="e">
        <f>IF(OR($B1005="",MIN(V$38,$D$19)&lt;MAX($P$708*($B1005+IF($R$17="Distrato",$I$38-1,0)),IF(AND($L$711=0,$P$708=0),"",$L$711-1),IF($R$17="Distrato",$E1005,0))),0,YEARFRAC(MAX($P$708*($B1005+IF($R$17="Distrato",$I$38-1,0)),IF(AND($L$711=0,$P$708=0),"",$L$711-1),IF($R$17="Distrato",$E1005,0)),MIN(V$38,$D$19),$P$20))-SUM($P1005:U1005)</f>
        <v>#VALUE!</v>
      </c>
      <c r="W1005" s="446" t="e">
        <f>IF(OR($B1005="",MIN(W$38,$D$19)&lt;MAX($P$708*($B1005+IF($R$17="Distrato",$I$38-1,0)),IF(AND($L$711=0,$P$708=0),"",$L$711-1),IF($R$17="Distrato",$E1005,0))),0,YEARFRAC(MAX($P$708*($B1005+IF($R$17="Distrato",$I$38-1,0)),IF(AND($L$711=0,$P$708=0),"",$L$711-1),IF($R$17="Distrato",$E1005,0)),MIN(W$38,$D$19),$P$20))-SUM($P1005:V1005)</f>
        <v>#VALUE!</v>
      </c>
      <c r="X1005" s="446" t="e">
        <f>IF(OR($B1005="",MIN(X$38,$D$19)&lt;MAX($P$708*($B1005+IF($R$17="Distrato",$I$38-1,0)),IF(AND($L$711=0,$P$708=0),"",$L$711-1),IF($R$17="Distrato",$E1005,0))),0,YEARFRAC(MAX($P$708*($B1005+IF($R$17="Distrato",$I$38-1,0)),IF(AND($L$711=0,$P$708=0),"",$L$711-1),IF($R$17="Distrato",$E1005,0)),MIN(X$38,$D$19),$P$20))-SUM($P1005:W1005)</f>
        <v>#VALUE!</v>
      </c>
      <c r="Y1005" s="446" t="e">
        <f>IF(OR($B1005="",MIN(Y$38,$D$19)&lt;MAX($P$708*($B1005+IF($R$17="Distrato",$I$38-1,0)),IF(AND($L$711=0,$P$708=0),"",$L$711-1),IF($R$17="Distrato",$E1005,0))),0,YEARFRAC(MAX($P$708*($B1005+IF($R$17="Distrato",$I$38-1,0)),IF(AND($L$711=0,$P$708=0),"",$L$711-1),IF($R$17="Distrato",$E1005,0)),MIN(Y$38,$D$19),$P$20))-SUM($P1005:X1005)</f>
        <v>#VALUE!</v>
      </c>
      <c r="Z1005" s="446" t="e">
        <f>IF(OR($B1005="",MIN(Z$38,$D$19)&lt;MAX($P$708*($B1005+IF($R$17="Distrato",$I$38-1,0)),IF(AND($L$711=0,$P$708=0),"",$L$711-1),IF($R$17="Distrato",$E1005,0))),0,YEARFRAC(MAX($P$708*($B1005+IF($R$17="Distrato",$I$38-1,0)),IF(AND($L$711=0,$P$708=0),"",$L$711-1),IF($R$17="Distrato",$E1005,0)),MIN(Z$38,$D$19),$P$20))-SUM($P1005:Y1005)</f>
        <v>#VALUE!</v>
      </c>
      <c r="AA1005" s="446" t="e">
        <f>IF(OR($B1005="",MIN(AA$38,$D$19)&lt;MAX($P$708*($B1005+IF($R$17="Distrato",$I$38-1,0)),IF(AND($L$711=0,$P$708=0),"",$L$711-1),IF($R$17="Distrato",$E1005,0))),0,YEARFRAC(MAX($P$708*($B1005+IF($R$17="Distrato",$I$38-1,0)),IF(AND($L$711=0,$P$708=0),"",$L$711-1),IF($R$17="Distrato",$E1005,0)),MIN(AA$38,$D$19),$P$20))-SUM($P1005:Z1005)</f>
        <v>#VALUE!</v>
      </c>
      <c r="AB1005" s="446" t="e">
        <f>IF(OR($B1005="",MIN(AB$38,$D$19)&lt;MAX($P$708*($B1005+IF($R$17="Distrato",$I$38-1,0)),IF(AND($L$711=0,$P$708=0),"",$L$711-1),IF($R$17="Distrato",$E1005,0))),0,YEARFRAC(MAX($P$708*($B1005+IF($R$17="Distrato",$I$38-1,0)),IF(AND($L$711=0,$P$708=0),"",$L$711-1),IF($R$17="Distrato",$E1005,0)),MIN(AB$38,$D$19),$P$20))-SUM($P1005:AA1005)</f>
        <v>#VALUE!</v>
      </c>
      <c r="AC1005" s="446" t="e">
        <f>IF(OR($B1005="",MIN(AC$38,$D$19)&lt;MAX($P$708*($B1005+IF($R$17="Distrato",$I$38-1,0)),IF(AND($L$711=0,$P$708=0),"",$L$711-1),IF($R$17="Distrato",$E1005,0))),0,YEARFRAC(MAX($P$708*($B1005+IF($R$17="Distrato",$I$38-1,0)),IF(AND($L$711=0,$P$708=0),"",$L$711-1),IF($R$17="Distrato",$E1005,0)),MIN(AC$38,$D$19),$P$20))-SUM($P1005:AB1005)</f>
        <v>#VALUE!</v>
      </c>
      <c r="AD1005" s="446" t="e">
        <f>IF(OR($B1005="",MIN(AD$38,$D$19)&lt;MAX($P$708*($B1005+IF($R$17="Distrato",$I$38-1,0)),IF(AND($L$711=0,$P$708=0),"",$L$711-1),IF($R$17="Distrato",$E1005,0))),0,YEARFRAC(MAX($P$708*($B1005+IF($R$17="Distrato",$I$38-1,0)),IF(AND($L$711=0,$P$708=0),"",$L$711-1),IF($R$17="Distrato",$E1005,0)),MIN(AD$38,$D$19),$P$20))-SUM($P1005:AC1005)</f>
        <v>#VALUE!</v>
      </c>
      <c r="AE1005" s="446" t="e">
        <f>IF(OR($B1005="",MIN(AE$38,$D$19)&lt;MAX($P$708*($B1005+IF($R$17="Distrato",$I$38-1,0)),IF(AND($L$711=0,$P$708=0),"",$L$711-1),IF($R$17="Distrato",$E1005,0))),0,YEARFRAC(MAX($P$708*($B1005+IF($R$17="Distrato",$I$38-1,0)),IF(AND($L$711=0,$P$708=0),"",$L$711-1),IF($R$17="Distrato",$E1005,0)),MIN(AE$38,$D$19),$P$20))-SUM($P1005:AD1005)</f>
        <v>#VALUE!</v>
      </c>
      <c r="AF1005" s="446" t="e">
        <f>IF(OR($B1005="",MIN(AF$38,$D$19)&lt;MAX($P$708*($B1005+IF($R$17="Distrato",$I$38-1,0)),IF(AND($L$711=0,$P$708=0),"",$L$711-1),IF($R$17="Distrato",$E1005,0))),0,YEARFRAC(MAX($P$708*($B1005+IF($R$17="Distrato",$I$38-1,0)),IF(AND($L$711=0,$P$708=0),"",$L$711-1),IF($R$17="Distrato",$E1005,0)),MIN(AF$38,$D$19),$P$20))-SUM($P1005:AE1005)</f>
        <v>#VALUE!</v>
      </c>
      <c r="AG1005" s="446" t="e">
        <f>IF(OR($B1005="",MIN(AG$38,$D$19)&lt;MAX($P$708*($B1005+IF($R$17="Distrato",$I$38-1,0)),IF(AND($L$711=0,$P$708=0),"",$L$711-1),IF($R$17="Distrato",$E1005,0))),0,YEARFRAC(MAX($P$708*($B1005+IF($R$17="Distrato",$I$38-1,0)),IF(AND($L$711=0,$P$708=0),"",$L$711-1),IF($R$17="Distrato",$E1005,0)),MIN(AG$38,$D$19),$P$20))-SUM($P1005:AF1005)</f>
        <v>#VALUE!</v>
      </c>
      <c r="AH1005" s="446" t="e">
        <f>IF(OR($B1005="",MIN(AH$38,$D$19)&lt;MAX($P$708*($B1005+IF($R$17="Distrato",$I$38-1,0)),IF(AND($L$711=0,$P$708=0),"",$L$711-1),IF($R$17="Distrato",$E1005,0))),0,YEARFRAC(MAX($P$708*($B1005+IF($R$17="Distrato",$I$38-1,0)),IF(AND($L$711=0,$P$708=0),"",$L$711-1),IF($R$17="Distrato",$E1005,0)),MIN(AH$38,$D$19),$P$20))-SUM($P1005:AG1005)</f>
        <v>#VALUE!</v>
      </c>
      <c r="AI1005" s="446" t="e">
        <f>IF(OR($B1005="",MIN(AI$38,$D$19)&lt;MAX($P$708*($B1005+IF($R$17="Distrato",$I$38-1,0)),IF(AND($L$711=0,$P$708=0),"",$L$711-1),IF($R$17="Distrato",$E1005,0))),0,YEARFRAC(MAX($P$708*($B1005+IF($R$17="Distrato",$I$38-1,0)),IF(AND($L$711=0,$P$708=0),"",$L$711-1),IF($R$17="Distrato",$E1005,0)),MIN(AI$38,$D$19),$P$20))-SUM($P1005:AH1005)</f>
        <v>#VALUE!</v>
      </c>
      <c r="AJ1005" s="446" t="e">
        <f>IF(OR($B1005="",MIN(AJ$38,$D$19)&lt;MAX($P$708*($B1005+IF($R$17="Distrato",$I$38-1,0)),IF(AND($L$711=0,$P$708=0),"",$L$711-1),IF($R$17="Distrato",$E1005,0))),0,YEARFRAC(MAX($P$708*($B1005+IF($R$17="Distrato",$I$38-1,0)),IF(AND($L$711=0,$P$708=0),"",$L$711-1),IF($R$17="Distrato",$E1005,0)),MIN(AJ$38,$D$19),$P$20))-SUM($P1005:AI1005)</f>
        <v>#VALUE!</v>
      </c>
      <c r="AK1005" s="446" t="e">
        <f>IF(OR($B1005="",MIN(AK$38,$D$19)&lt;MAX($P$708*($B1005+IF($R$17="Distrato",$I$38-1,0)),IF(AND($L$711=0,$P$708=0),"",$L$711-1),IF($R$17="Distrato",$E1005,0))),0,YEARFRAC(MAX($P$708*($B1005+IF($R$17="Distrato",$I$38-1,0)),IF(AND($L$711=0,$P$708=0),"",$L$711-1),IF($R$17="Distrato",$E1005,0)),MIN(AK$38,$D$19),$P$20))-SUM($P1005:AJ1005)</f>
        <v>#VALUE!</v>
      </c>
      <c r="AL1005" s="446" t="e">
        <f>IF(OR($B1005="",MIN(AL$38,$D$19)&lt;MAX($P$708*($B1005+IF($R$17="Distrato",$I$38-1,0)),IF(AND($L$711=0,$P$708=0),"",$L$711-1),IF($R$17="Distrato",$E1005,0))),0,YEARFRAC(MAX($P$708*($B1005+IF($R$17="Distrato",$I$38-1,0)),IF(AND($L$711=0,$P$708=0),"",$L$711-1),IF($R$17="Distrato",$E1005,0)),MIN(AL$38,$D$19),$P$20))-SUM($P1005:AK1005)</f>
        <v>#VALUE!</v>
      </c>
      <c r="AM1005" s="446" t="e">
        <f>IF(OR($B1005="",MIN(AM$38,$D$19)&lt;MAX($P$708*($B1005+IF($R$17="Distrato",$I$38-1,0)),IF(AND($L$711=0,$P$708=0),"",$L$711-1),IF($R$17="Distrato",$E1005,0))),0,YEARFRAC(MAX($P$708*($B1005+IF($R$17="Distrato",$I$38-1,0)),IF(AND($L$711=0,$P$708=0),"",$L$711-1),IF($R$17="Distrato",$E1005,0)),MIN(AM$38,$D$19),$P$20))-SUM($P1005:AL1005)</f>
        <v>#VALUE!</v>
      </c>
      <c r="AN1005" s="446" t="e">
        <f>IF(OR($B1005="",MIN(AN$38,$D$19)&lt;MAX($P$708*($B1005+IF($R$17="Distrato",$I$38-1,0)),IF(AND($L$711=0,$P$708=0),"",$L$711-1),IF($R$17="Distrato",$E1005,0))),0,YEARFRAC(MAX($P$708*($B1005+IF($R$17="Distrato",$I$38-1,0)),IF(AND($L$711=0,$P$708=0),"",$L$711-1),IF($R$17="Distrato",$E1005,0)),MIN(AN$38,$D$19),$P$20))-SUM($P1005:AM1005)</f>
        <v>#VALUE!</v>
      </c>
      <c r="AO1005" s="446" t="e">
        <f>IF(OR($B1005="",MIN(AO$38,$D$19)&lt;MAX($P$708*($B1005+IF($R$17="Distrato",$I$38-1,0)),IF(AND($L$711=0,$P$708=0),"",$L$711-1),IF($R$17="Distrato",$E1005,0))),0,YEARFRAC(MAX($P$708*($B1005+IF($R$17="Distrato",$I$38-1,0)),IF(AND($L$711=0,$P$708=0),"",$L$711-1),IF($R$17="Distrato",$E1005,0)),MIN(AO$38,$D$19),$P$20))-SUM($P1005:AN1005)</f>
        <v>#VALUE!</v>
      </c>
      <c r="AP1005" s="446" t="e">
        <f>IF(OR($B1005="",MIN(AP$38,$D$19)&lt;MAX($P$708*($B1005+IF($R$17="Distrato",$I$38-1,0)),IF(AND($L$711=0,$P$708=0),"",$L$711-1),IF($R$17="Distrato",$E1005,0))),0,YEARFRAC(MAX($P$708*($B1005+IF($R$17="Distrato",$I$38-1,0)),IF(AND($L$711=0,$P$708=0),"",$L$711-1),IF($R$17="Distrato",$E1005,0)),MIN(AP$38,$D$19),$P$20))-SUM($P1005:AO1005)</f>
        <v>#VALUE!</v>
      </c>
      <c r="AQ1005" s="446" t="e">
        <f>IF(OR($B1005="",MIN(AQ$38,$D$19)&lt;MAX($P$708*($B1005+IF($R$17="Distrato",$I$38-1,0)),IF(AND($L$711=0,$P$708=0),"",$L$711-1),IF($R$17="Distrato",$E1005,0))),0,YEARFRAC(MAX($P$708*($B1005+IF($R$17="Distrato",$I$38-1,0)),IF(AND($L$711=0,$P$708=0),"",$L$711-1),IF($R$17="Distrato",$E1005,0)),MIN(AQ$38,$D$19),$P$20))-SUM($P1005:AP1005)</f>
        <v>#VALUE!</v>
      </c>
      <c r="AR1005" s="446" t="e">
        <f>IF(OR($B1005="",MIN(AR$38,$D$19)&lt;MAX($P$708*($B1005+IF($R$17="Distrato",$I$38-1,0)),IF(AND($L$711=0,$P$708=0),"",$L$711-1),IF($R$17="Distrato",$E1005,0))),0,YEARFRAC(MAX($P$708*($B1005+IF($R$17="Distrato",$I$38-1,0)),IF(AND($L$711=0,$P$708=0),"",$L$711-1),IF($R$17="Distrato",$E1005,0)),MIN(AR$38,$D$19),$P$20))-SUM($P1005:AQ1005)</f>
        <v>#VALUE!</v>
      </c>
      <c r="AS1005" s="446" t="e">
        <f>IF(OR($B1005="",MIN(AS$38,$D$19)&lt;MAX($P$708*($B1005+IF($R$17="Distrato",$I$38-1,0)),IF(AND($L$711=0,$P$708=0),"",$L$711-1),IF($R$17="Distrato",$E1005,0))),0,YEARFRAC(MAX($P$708*($B1005+IF($R$17="Distrato",$I$38-1,0)),IF(AND($L$711=0,$P$708=0),"",$L$711-1),IF($R$17="Distrato",$E1005,0)),MIN(AS$38,$D$19),$P$20))-SUM($P1005:AR1005)</f>
        <v>#VALUE!</v>
      </c>
      <c r="AT1005" s="446" t="e">
        <f>IF(OR($B1005="",MIN(AT$38,$D$19)&lt;MAX($P$708*($B1005+IF($R$17="Distrato",$I$38-1,0)),IF(AND($L$711=0,$P$708=0),"",$L$711-1),IF($R$17="Distrato",$E1005,0))),0,YEARFRAC(MAX($P$708*($B1005+IF($R$17="Distrato",$I$38-1,0)),IF(AND($L$711=0,$P$708=0),"",$L$711-1),IF($R$17="Distrato",$E1005,0)),MIN(AT$38,$D$19),$P$20))-SUM($P1005:AS1005)</f>
        <v>#VALUE!</v>
      </c>
      <c r="AU1005" s="446" t="e">
        <f>IF(OR($B1005="",MIN(AU$38,$D$19)&lt;MAX($P$708*($B1005+IF($R$17="Distrato",$I$38-1,0)),IF(AND($L$711=0,$P$708=0),"",$L$711-1),IF($R$17="Distrato",$E1005,0))),0,YEARFRAC(MAX($P$708*($B1005+IF($R$17="Distrato",$I$38-1,0)),IF(AND($L$711=0,$P$708=0),"",$L$711-1),IF($R$17="Distrato",$E1005,0)),MIN(AU$38,$D$19),$P$20))-SUM($P1005:AT1005)</f>
        <v>#VALUE!</v>
      </c>
      <c r="AV1005" s="446" t="e">
        <f>IF(OR($B1005="",MIN(AV$38,$D$19)&lt;MAX($P$708*($B1005+IF($R$17="Distrato",$I$38-1,0)),IF(AND($L$711=0,$P$708=0),"",$L$711-1),IF($R$17="Distrato",$E1005,0))),0,YEARFRAC(MAX($P$708*($B1005+IF($R$17="Distrato",$I$38-1,0)),IF(AND($L$711=0,$P$708=0),"",$L$711-1),IF($R$17="Distrato",$E1005,0)),MIN(AV$38,$D$19),$P$20))-SUM($P1005:AU1005)</f>
        <v>#VALUE!</v>
      </c>
      <c r="AW1005" s="446" t="e">
        <f>IF(OR($B1005="",MIN(AW$38,$D$19)&lt;MAX($P$708*($B1005+IF($R$17="Distrato",$I$38-1,0)),IF(AND($L$711=0,$P$708=0),"",$L$711-1),IF($R$17="Distrato",$E1005,0))),0,YEARFRAC(MAX($P$708*($B1005+IF($R$17="Distrato",$I$38-1,0)),IF(AND($L$711=0,$P$708=0),"",$L$711-1),IF($R$17="Distrato",$E1005,0)),MIN(AW$38,$D$19),$P$20))-SUM($P1005:AV1005)</f>
        <v>#VALUE!</v>
      </c>
      <c r="AX1005" s="446" t="e">
        <f>IF(OR($B1005="",MIN(AX$38,$D$19)&lt;MAX($P$708*($B1005+IF($R$17="Distrato",$I$38-1,0)),IF(AND($L$711=0,$P$708=0),"",$L$711-1),IF($R$17="Distrato",$E1005,0))),0,YEARFRAC(MAX($P$708*($B1005+IF($R$17="Distrato",$I$38-1,0)),IF(AND($L$711=0,$P$708=0),"",$L$711-1),IF($R$17="Distrato",$E1005,0)),MIN(AX$38,$D$19),$P$20))-SUM($P1005:AW1005)</f>
        <v>#VALUE!</v>
      </c>
      <c r="AY1005" s="446" t="e">
        <f>IF(OR($B1005="",MIN(AY$38,$D$19)&lt;MAX($P$708*($B1005+IF($R$17="Distrato",$I$38-1,0)),IF(AND($L$711=0,$P$708=0),"",$L$711-1),IF($R$17="Distrato",$E1005,0))),0,YEARFRAC(MAX($P$708*($B1005+IF($R$17="Distrato",$I$38-1,0)),IF(AND($L$711=0,$P$708=0),"",$L$711-1),IF($R$17="Distrato",$E1005,0)),MIN(AY$38,$D$19),$P$20))-SUM($P1005:AX1005)</f>
        <v>#VALUE!</v>
      </c>
      <c r="AZ1005" s="446" t="e">
        <f>IF(OR($B1005="",MIN(AZ$38,$D$19)&lt;MAX($P$708*($B1005+IF($R$17="Distrato",$I$38-1,0)),IF(AND($L$711=0,$P$708=0),"",$L$711-1),IF($R$17="Distrato",$E1005,0))),0,YEARFRAC(MAX($P$708*($B1005+IF($R$17="Distrato",$I$38-1,0)),IF(AND($L$711=0,$P$708=0),"",$L$711-1),IF($R$17="Distrato",$E1005,0)),MIN(AZ$38,$D$19),$P$20))-SUM($P1005:AY1005)</f>
        <v>#VALUE!</v>
      </c>
      <c r="BA1005" s="446" t="e">
        <f>IF(OR($B1005="",MIN(BA$38,$D$19)&lt;MAX($P$708*($B1005+IF($R$17="Distrato",$I$38-1,0)),IF(AND($L$711=0,$P$708=0),"",$L$711-1),IF($R$17="Distrato",$E1005,0))),0,YEARFRAC(MAX($P$708*($B1005+IF($R$17="Distrato",$I$38-1,0)),IF(AND($L$711=0,$P$708=0),"",$L$711-1),IF($R$17="Distrato",$E1005,0)),MIN(BA$38,$D$19),$P$20))-SUM($P1005:AZ1005)</f>
        <v>#VALUE!</v>
      </c>
      <c r="BB1005" s="447"/>
    </row>
    <row r="1006" spans="1:54" s="446" customFormat="1" ht="11.25" hidden="1" customHeight="1" x14ac:dyDescent="0.2">
      <c r="A1006" s="235"/>
      <c r="B1006" s="236"/>
      <c r="C1006" s="29" t="str">
        <f>IF(B1006="","",IF($L$709=$BL$25,VLOOKUP(DATE(YEAR($D$19),MONTH($D$19)-1,1),ÍNDICES!$A:$DE,HLOOKUP($BL$25,ÍNDICES!$B$3:$T$4,2)+11)-VLOOKUP(B1006,ÍNDICES!$A:$DE,HLOOKUP($BL$25,ÍNDICES!$B$3:$T$4,2)+11)+1%,IF(C$712=$W$26,$J$35,IF(ISERROR(IF(B1006&gt;$D$19,1,VLOOKUP(DATE(YEAR(B1006),MONTH(B1006)+IF($C$709=$S$23,1,0),1),ÍNDICES!$A:$DE,$Z$709+1))),"",IF(B1006&gt;$D$19,1,VLOOKUP(DATE(YEAR(B1006),MONTH(B1006)+IF($C$709=$S$23,1,0),1),ÍNDICES!$A:$DE,$Z$709+1))))))</f>
        <v/>
      </c>
      <c r="D1006" s="155"/>
      <c r="E1006" s="88"/>
      <c r="F1006" s="88"/>
      <c r="G1006" s="88"/>
      <c r="H1006" s="118"/>
      <c r="I1006" s="182">
        <f t="shared" si="143"/>
        <v>0</v>
      </c>
      <c r="J1006" s="20">
        <f t="shared" ca="1" si="144"/>
        <v>0</v>
      </c>
      <c r="K1006" s="5">
        <f t="shared" ca="1" si="145"/>
        <v>0</v>
      </c>
      <c r="L1006" s="61">
        <f t="shared" ca="1" si="146"/>
        <v>0</v>
      </c>
      <c r="M1006" s="64">
        <f t="shared" si="147"/>
        <v>0</v>
      </c>
      <c r="N1006" s="151"/>
      <c r="O1006" s="5">
        <f t="shared" ca="1" si="148"/>
        <v>0</v>
      </c>
      <c r="P1006" s="446" t="e">
        <f t="shared" si="149"/>
        <v>#VALUE!</v>
      </c>
      <c r="Q1006" s="446" t="e">
        <f>IF(OR($B1006="",MIN(Q$38,$D$19)&lt;MAX($P$708*($B1006+IF($R$17="Distrato",$I$38-1,0)),IF(AND($L$711=0,$P$708=0),"",$L$711-1),IF($R$17="Distrato",$E1006,0))),0,YEARFRAC(MAX($P$708*($B1006+IF($R$17="Distrato",$I$38-1,0)),IF(AND($L$711=0,$P$708=0),"",$L$711-1),IF($R$17="Distrato",$E1006,0)),MIN(Q$38,$D$19),$P$20))-SUM($P1006:P1006)</f>
        <v>#VALUE!</v>
      </c>
      <c r="R1006" s="446" t="e">
        <f>IF(OR($B1006="",MIN(R$38,$D$19)&lt;MAX($P$708*($B1006+IF($R$17="Distrato",$I$38-1,0)),IF(AND($L$711=0,$P$708=0),"",$L$711-1),IF($R$17="Distrato",$E1006,0))),0,YEARFRAC(MAX($P$708*($B1006+IF($R$17="Distrato",$I$38-1,0)),IF(AND($L$711=0,$P$708=0),"",$L$711-1),IF($R$17="Distrato",$E1006,0)),MIN(R$38,$D$19),$P$20))-SUM($P1006:Q1006)</f>
        <v>#VALUE!</v>
      </c>
      <c r="S1006" s="446" t="e">
        <f>IF(OR($B1006="",MIN(S$38,$D$19)&lt;MAX($P$708*($B1006+IF($R$17="Distrato",$I$38-1,0)),IF(AND($L$711=0,$P$708=0),"",$L$711-1),IF($R$17="Distrato",$E1006,0))),0,YEARFRAC(MAX($P$708*($B1006+IF($R$17="Distrato",$I$38-1,0)),IF(AND($L$711=0,$P$708=0),"",$L$711-1),IF($R$17="Distrato",$E1006,0)),MIN(S$38,$D$19),$P$20))-SUM($P1006:R1006)</f>
        <v>#VALUE!</v>
      </c>
      <c r="T1006" s="446" t="e">
        <f>IF(OR($B1006="",MIN(T$38,$D$19)&lt;MAX($P$708*($B1006+IF($R$17="Distrato",$I$38-1,0)),IF(AND($L$711=0,$P$708=0),"",$L$711-1),IF($R$17="Distrato",$E1006,0))),0,YEARFRAC(MAX($P$708*($B1006+IF($R$17="Distrato",$I$38-1,0)),IF(AND($L$711=0,$P$708=0),"",$L$711-1),IF($R$17="Distrato",$E1006,0)),MIN(T$38,$D$19),$P$20))-SUM($P1006:S1006)</f>
        <v>#VALUE!</v>
      </c>
      <c r="U1006" s="446" t="e">
        <f>IF(OR($B1006="",MIN(U$38,$D$19)&lt;MAX($P$708*($B1006+IF($R$17="Distrato",$I$38-1,0)),IF(AND($L$711=0,$P$708=0),"",$L$711-1),IF($R$17="Distrato",$E1006,0))),0,YEARFRAC(MAX($P$708*($B1006+IF($R$17="Distrato",$I$38-1,0)),IF(AND($L$711=0,$P$708=0),"",$L$711-1),IF($R$17="Distrato",$E1006,0)),MIN(U$38,$D$19),$P$20))-SUM($P1006:T1006)</f>
        <v>#VALUE!</v>
      </c>
      <c r="V1006" s="446" t="e">
        <f>IF(OR($B1006="",MIN(V$38,$D$19)&lt;MAX($P$708*($B1006+IF($R$17="Distrato",$I$38-1,0)),IF(AND($L$711=0,$P$708=0),"",$L$711-1),IF($R$17="Distrato",$E1006,0))),0,YEARFRAC(MAX($P$708*($B1006+IF($R$17="Distrato",$I$38-1,0)),IF(AND($L$711=0,$P$708=0),"",$L$711-1),IF($R$17="Distrato",$E1006,0)),MIN(V$38,$D$19),$P$20))-SUM($P1006:U1006)</f>
        <v>#VALUE!</v>
      </c>
      <c r="W1006" s="446" t="e">
        <f>IF(OR($B1006="",MIN(W$38,$D$19)&lt;MAX($P$708*($B1006+IF($R$17="Distrato",$I$38-1,0)),IF(AND($L$711=0,$P$708=0),"",$L$711-1),IF($R$17="Distrato",$E1006,0))),0,YEARFRAC(MAX($P$708*($B1006+IF($R$17="Distrato",$I$38-1,0)),IF(AND($L$711=0,$P$708=0),"",$L$711-1),IF($R$17="Distrato",$E1006,0)),MIN(W$38,$D$19),$P$20))-SUM($P1006:V1006)</f>
        <v>#VALUE!</v>
      </c>
      <c r="X1006" s="446" t="e">
        <f>IF(OR($B1006="",MIN(X$38,$D$19)&lt;MAX($P$708*($B1006+IF($R$17="Distrato",$I$38-1,0)),IF(AND($L$711=0,$P$708=0),"",$L$711-1),IF($R$17="Distrato",$E1006,0))),0,YEARFRAC(MAX($P$708*($B1006+IF($R$17="Distrato",$I$38-1,0)),IF(AND($L$711=0,$P$708=0),"",$L$711-1),IF($R$17="Distrato",$E1006,0)),MIN(X$38,$D$19),$P$20))-SUM($P1006:W1006)</f>
        <v>#VALUE!</v>
      </c>
      <c r="Y1006" s="446" t="e">
        <f>IF(OR($B1006="",MIN(Y$38,$D$19)&lt;MAX($P$708*($B1006+IF($R$17="Distrato",$I$38-1,0)),IF(AND($L$711=0,$P$708=0),"",$L$711-1),IF($R$17="Distrato",$E1006,0))),0,YEARFRAC(MAX($P$708*($B1006+IF($R$17="Distrato",$I$38-1,0)),IF(AND($L$711=0,$P$708=0),"",$L$711-1),IF($R$17="Distrato",$E1006,0)),MIN(Y$38,$D$19),$P$20))-SUM($P1006:X1006)</f>
        <v>#VALUE!</v>
      </c>
      <c r="Z1006" s="446" t="e">
        <f>IF(OR($B1006="",MIN(Z$38,$D$19)&lt;MAX($P$708*($B1006+IF($R$17="Distrato",$I$38-1,0)),IF(AND($L$711=0,$P$708=0),"",$L$711-1),IF($R$17="Distrato",$E1006,0))),0,YEARFRAC(MAX($P$708*($B1006+IF($R$17="Distrato",$I$38-1,0)),IF(AND($L$711=0,$P$708=0),"",$L$711-1),IF($R$17="Distrato",$E1006,0)),MIN(Z$38,$D$19),$P$20))-SUM($P1006:Y1006)</f>
        <v>#VALUE!</v>
      </c>
      <c r="AA1006" s="446" t="e">
        <f>IF(OR($B1006="",MIN(AA$38,$D$19)&lt;MAX($P$708*($B1006+IF($R$17="Distrato",$I$38-1,0)),IF(AND($L$711=0,$P$708=0),"",$L$711-1),IF($R$17="Distrato",$E1006,0))),0,YEARFRAC(MAX($P$708*($B1006+IF($R$17="Distrato",$I$38-1,0)),IF(AND($L$711=0,$P$708=0),"",$L$711-1),IF($R$17="Distrato",$E1006,0)),MIN(AA$38,$D$19),$P$20))-SUM($P1006:Z1006)</f>
        <v>#VALUE!</v>
      </c>
      <c r="AB1006" s="446" t="e">
        <f>IF(OR($B1006="",MIN(AB$38,$D$19)&lt;MAX($P$708*($B1006+IF($R$17="Distrato",$I$38-1,0)),IF(AND($L$711=0,$P$708=0),"",$L$711-1),IF($R$17="Distrato",$E1006,0))),0,YEARFRAC(MAX($P$708*($B1006+IF($R$17="Distrato",$I$38-1,0)),IF(AND($L$711=0,$P$708=0),"",$L$711-1),IF($R$17="Distrato",$E1006,0)),MIN(AB$38,$D$19),$P$20))-SUM($P1006:AA1006)</f>
        <v>#VALUE!</v>
      </c>
      <c r="AC1006" s="446" t="e">
        <f>IF(OR($B1006="",MIN(AC$38,$D$19)&lt;MAX($P$708*($B1006+IF($R$17="Distrato",$I$38-1,0)),IF(AND($L$711=0,$P$708=0),"",$L$711-1),IF($R$17="Distrato",$E1006,0))),0,YEARFRAC(MAX($P$708*($B1006+IF($R$17="Distrato",$I$38-1,0)),IF(AND($L$711=0,$P$708=0),"",$L$711-1),IF($R$17="Distrato",$E1006,0)),MIN(AC$38,$D$19),$P$20))-SUM($P1006:AB1006)</f>
        <v>#VALUE!</v>
      </c>
      <c r="AD1006" s="446" t="e">
        <f>IF(OR($B1006="",MIN(AD$38,$D$19)&lt;MAX($P$708*($B1006+IF($R$17="Distrato",$I$38-1,0)),IF(AND($L$711=0,$P$708=0),"",$L$711-1),IF($R$17="Distrato",$E1006,0))),0,YEARFRAC(MAX($P$708*($B1006+IF($R$17="Distrato",$I$38-1,0)),IF(AND($L$711=0,$P$708=0),"",$L$711-1),IF($R$17="Distrato",$E1006,0)),MIN(AD$38,$D$19),$P$20))-SUM($P1006:AC1006)</f>
        <v>#VALUE!</v>
      </c>
      <c r="AE1006" s="446" t="e">
        <f>IF(OR($B1006="",MIN(AE$38,$D$19)&lt;MAX($P$708*($B1006+IF($R$17="Distrato",$I$38-1,0)),IF(AND($L$711=0,$P$708=0),"",$L$711-1),IF($R$17="Distrato",$E1006,0))),0,YEARFRAC(MAX($P$708*($B1006+IF($R$17="Distrato",$I$38-1,0)),IF(AND($L$711=0,$P$708=0),"",$L$711-1),IF($R$17="Distrato",$E1006,0)),MIN(AE$38,$D$19),$P$20))-SUM($P1006:AD1006)</f>
        <v>#VALUE!</v>
      </c>
      <c r="AF1006" s="446" t="e">
        <f>IF(OR($B1006="",MIN(AF$38,$D$19)&lt;MAX($P$708*($B1006+IF($R$17="Distrato",$I$38-1,0)),IF(AND($L$711=0,$P$708=0),"",$L$711-1),IF($R$17="Distrato",$E1006,0))),0,YEARFRAC(MAX($P$708*($B1006+IF($R$17="Distrato",$I$38-1,0)),IF(AND($L$711=0,$P$708=0),"",$L$711-1),IF($R$17="Distrato",$E1006,0)),MIN(AF$38,$D$19),$P$20))-SUM($P1006:AE1006)</f>
        <v>#VALUE!</v>
      </c>
      <c r="AG1006" s="446" t="e">
        <f>IF(OR($B1006="",MIN(AG$38,$D$19)&lt;MAX($P$708*($B1006+IF($R$17="Distrato",$I$38-1,0)),IF(AND($L$711=0,$P$708=0),"",$L$711-1),IF($R$17="Distrato",$E1006,0))),0,YEARFRAC(MAX($P$708*($B1006+IF($R$17="Distrato",$I$38-1,0)),IF(AND($L$711=0,$P$708=0),"",$L$711-1),IF($R$17="Distrato",$E1006,0)),MIN(AG$38,$D$19),$P$20))-SUM($P1006:AF1006)</f>
        <v>#VALUE!</v>
      </c>
      <c r="AH1006" s="446" t="e">
        <f>IF(OR($B1006="",MIN(AH$38,$D$19)&lt;MAX($P$708*($B1006+IF($R$17="Distrato",$I$38-1,0)),IF(AND($L$711=0,$P$708=0),"",$L$711-1),IF($R$17="Distrato",$E1006,0))),0,YEARFRAC(MAX($P$708*($B1006+IF($R$17="Distrato",$I$38-1,0)),IF(AND($L$711=0,$P$708=0),"",$L$711-1),IF($R$17="Distrato",$E1006,0)),MIN(AH$38,$D$19),$P$20))-SUM($P1006:AG1006)</f>
        <v>#VALUE!</v>
      </c>
      <c r="AI1006" s="446" t="e">
        <f>IF(OR($B1006="",MIN(AI$38,$D$19)&lt;MAX($P$708*($B1006+IF($R$17="Distrato",$I$38-1,0)),IF(AND($L$711=0,$P$708=0),"",$L$711-1),IF($R$17="Distrato",$E1006,0))),0,YEARFRAC(MAX($P$708*($B1006+IF($R$17="Distrato",$I$38-1,0)),IF(AND($L$711=0,$P$708=0),"",$L$711-1),IF($R$17="Distrato",$E1006,0)),MIN(AI$38,$D$19),$P$20))-SUM($P1006:AH1006)</f>
        <v>#VALUE!</v>
      </c>
      <c r="AJ1006" s="446" t="e">
        <f>IF(OR($B1006="",MIN(AJ$38,$D$19)&lt;MAX($P$708*($B1006+IF($R$17="Distrato",$I$38-1,0)),IF(AND($L$711=0,$P$708=0),"",$L$711-1),IF($R$17="Distrato",$E1006,0))),0,YEARFRAC(MAX($P$708*($B1006+IF($R$17="Distrato",$I$38-1,0)),IF(AND($L$711=0,$P$708=0),"",$L$711-1),IF($R$17="Distrato",$E1006,0)),MIN(AJ$38,$D$19),$P$20))-SUM($P1006:AI1006)</f>
        <v>#VALUE!</v>
      </c>
      <c r="AK1006" s="446" t="e">
        <f>IF(OR($B1006="",MIN(AK$38,$D$19)&lt;MAX($P$708*($B1006+IF($R$17="Distrato",$I$38-1,0)),IF(AND($L$711=0,$P$708=0),"",$L$711-1),IF($R$17="Distrato",$E1006,0))),0,YEARFRAC(MAX($P$708*($B1006+IF($R$17="Distrato",$I$38-1,0)),IF(AND($L$711=0,$P$708=0),"",$L$711-1),IF($R$17="Distrato",$E1006,0)),MIN(AK$38,$D$19),$P$20))-SUM($P1006:AJ1006)</f>
        <v>#VALUE!</v>
      </c>
      <c r="AL1006" s="446" t="e">
        <f>IF(OR($B1006="",MIN(AL$38,$D$19)&lt;MAX($P$708*($B1006+IF($R$17="Distrato",$I$38-1,0)),IF(AND($L$711=0,$P$708=0),"",$L$711-1),IF($R$17="Distrato",$E1006,0))),0,YEARFRAC(MAX($P$708*($B1006+IF($R$17="Distrato",$I$38-1,0)),IF(AND($L$711=0,$P$708=0),"",$L$711-1),IF($R$17="Distrato",$E1006,0)),MIN(AL$38,$D$19),$P$20))-SUM($P1006:AK1006)</f>
        <v>#VALUE!</v>
      </c>
      <c r="AM1006" s="446" t="e">
        <f>IF(OR($B1006="",MIN(AM$38,$D$19)&lt;MAX($P$708*($B1006+IF($R$17="Distrato",$I$38-1,0)),IF(AND($L$711=0,$P$708=0),"",$L$711-1),IF($R$17="Distrato",$E1006,0))),0,YEARFRAC(MAX($P$708*($B1006+IF($R$17="Distrato",$I$38-1,0)),IF(AND($L$711=0,$P$708=0),"",$L$711-1),IF($R$17="Distrato",$E1006,0)),MIN(AM$38,$D$19),$P$20))-SUM($P1006:AL1006)</f>
        <v>#VALUE!</v>
      </c>
      <c r="AN1006" s="446" t="e">
        <f>IF(OR($B1006="",MIN(AN$38,$D$19)&lt;MAX($P$708*($B1006+IF($R$17="Distrato",$I$38-1,0)),IF(AND($L$711=0,$P$708=0),"",$L$711-1),IF($R$17="Distrato",$E1006,0))),0,YEARFRAC(MAX($P$708*($B1006+IF($R$17="Distrato",$I$38-1,0)),IF(AND($L$711=0,$P$708=0),"",$L$711-1),IF($R$17="Distrato",$E1006,0)),MIN(AN$38,$D$19),$P$20))-SUM($P1006:AM1006)</f>
        <v>#VALUE!</v>
      </c>
      <c r="AO1006" s="446" t="e">
        <f>IF(OR($B1006="",MIN(AO$38,$D$19)&lt;MAX($P$708*($B1006+IF($R$17="Distrato",$I$38-1,0)),IF(AND($L$711=0,$P$708=0),"",$L$711-1),IF($R$17="Distrato",$E1006,0))),0,YEARFRAC(MAX($P$708*($B1006+IF($R$17="Distrato",$I$38-1,0)),IF(AND($L$711=0,$P$708=0),"",$L$711-1),IF($R$17="Distrato",$E1006,0)),MIN(AO$38,$D$19),$P$20))-SUM($P1006:AN1006)</f>
        <v>#VALUE!</v>
      </c>
      <c r="AP1006" s="446" t="e">
        <f>IF(OR($B1006="",MIN(AP$38,$D$19)&lt;MAX($P$708*($B1006+IF($R$17="Distrato",$I$38-1,0)),IF(AND($L$711=0,$P$708=0),"",$L$711-1),IF($R$17="Distrato",$E1006,0))),0,YEARFRAC(MAX($P$708*($B1006+IF($R$17="Distrato",$I$38-1,0)),IF(AND($L$711=0,$P$708=0),"",$L$711-1),IF($R$17="Distrato",$E1006,0)),MIN(AP$38,$D$19),$P$20))-SUM($P1006:AO1006)</f>
        <v>#VALUE!</v>
      </c>
      <c r="AQ1006" s="446" t="e">
        <f>IF(OR($B1006="",MIN(AQ$38,$D$19)&lt;MAX($P$708*($B1006+IF($R$17="Distrato",$I$38-1,0)),IF(AND($L$711=0,$P$708=0),"",$L$711-1),IF($R$17="Distrato",$E1006,0))),0,YEARFRAC(MAX($P$708*($B1006+IF($R$17="Distrato",$I$38-1,0)),IF(AND($L$711=0,$P$708=0),"",$L$711-1),IF($R$17="Distrato",$E1006,0)),MIN(AQ$38,$D$19),$P$20))-SUM($P1006:AP1006)</f>
        <v>#VALUE!</v>
      </c>
      <c r="AR1006" s="446" t="e">
        <f>IF(OR($B1006="",MIN(AR$38,$D$19)&lt;MAX($P$708*($B1006+IF($R$17="Distrato",$I$38-1,0)),IF(AND($L$711=0,$P$708=0),"",$L$711-1),IF($R$17="Distrato",$E1006,0))),0,YEARFRAC(MAX($P$708*($B1006+IF($R$17="Distrato",$I$38-1,0)),IF(AND($L$711=0,$P$708=0),"",$L$711-1),IF($R$17="Distrato",$E1006,0)),MIN(AR$38,$D$19),$P$20))-SUM($P1006:AQ1006)</f>
        <v>#VALUE!</v>
      </c>
      <c r="AS1006" s="446" t="e">
        <f>IF(OR($B1006="",MIN(AS$38,$D$19)&lt;MAX($P$708*($B1006+IF($R$17="Distrato",$I$38-1,0)),IF(AND($L$711=0,$P$708=0),"",$L$711-1),IF($R$17="Distrato",$E1006,0))),0,YEARFRAC(MAX($P$708*($B1006+IF($R$17="Distrato",$I$38-1,0)),IF(AND($L$711=0,$P$708=0),"",$L$711-1),IF($R$17="Distrato",$E1006,0)),MIN(AS$38,$D$19),$P$20))-SUM($P1006:AR1006)</f>
        <v>#VALUE!</v>
      </c>
      <c r="AT1006" s="446" t="e">
        <f>IF(OR($B1006="",MIN(AT$38,$D$19)&lt;MAX($P$708*($B1006+IF($R$17="Distrato",$I$38-1,0)),IF(AND($L$711=0,$P$708=0),"",$L$711-1),IF($R$17="Distrato",$E1006,0))),0,YEARFRAC(MAX($P$708*($B1006+IF($R$17="Distrato",$I$38-1,0)),IF(AND($L$711=0,$P$708=0),"",$L$711-1),IF($R$17="Distrato",$E1006,0)),MIN(AT$38,$D$19),$P$20))-SUM($P1006:AS1006)</f>
        <v>#VALUE!</v>
      </c>
      <c r="AU1006" s="446" t="e">
        <f>IF(OR($B1006="",MIN(AU$38,$D$19)&lt;MAX($P$708*($B1006+IF($R$17="Distrato",$I$38-1,0)),IF(AND($L$711=0,$P$708=0),"",$L$711-1),IF($R$17="Distrato",$E1006,0))),0,YEARFRAC(MAX($P$708*($B1006+IF($R$17="Distrato",$I$38-1,0)),IF(AND($L$711=0,$P$708=0),"",$L$711-1),IF($R$17="Distrato",$E1006,0)),MIN(AU$38,$D$19),$P$20))-SUM($P1006:AT1006)</f>
        <v>#VALUE!</v>
      </c>
      <c r="AV1006" s="446" t="e">
        <f>IF(OR($B1006="",MIN(AV$38,$D$19)&lt;MAX($P$708*($B1006+IF($R$17="Distrato",$I$38-1,0)),IF(AND($L$711=0,$P$708=0),"",$L$711-1),IF($R$17="Distrato",$E1006,0))),0,YEARFRAC(MAX($P$708*($B1006+IF($R$17="Distrato",$I$38-1,0)),IF(AND($L$711=0,$P$708=0),"",$L$711-1),IF($R$17="Distrato",$E1006,0)),MIN(AV$38,$D$19),$P$20))-SUM($P1006:AU1006)</f>
        <v>#VALUE!</v>
      </c>
      <c r="AW1006" s="446" t="e">
        <f>IF(OR($B1006="",MIN(AW$38,$D$19)&lt;MAX($P$708*($B1006+IF($R$17="Distrato",$I$38-1,0)),IF(AND($L$711=0,$P$708=0),"",$L$711-1),IF($R$17="Distrato",$E1006,0))),0,YEARFRAC(MAX($P$708*($B1006+IF($R$17="Distrato",$I$38-1,0)),IF(AND($L$711=0,$P$708=0),"",$L$711-1),IF($R$17="Distrato",$E1006,0)),MIN(AW$38,$D$19),$P$20))-SUM($P1006:AV1006)</f>
        <v>#VALUE!</v>
      </c>
      <c r="AX1006" s="446" t="e">
        <f>IF(OR($B1006="",MIN(AX$38,$D$19)&lt;MAX($P$708*($B1006+IF($R$17="Distrato",$I$38-1,0)),IF(AND($L$711=0,$P$708=0),"",$L$711-1),IF($R$17="Distrato",$E1006,0))),0,YEARFRAC(MAX($P$708*($B1006+IF($R$17="Distrato",$I$38-1,0)),IF(AND($L$711=0,$P$708=0),"",$L$711-1),IF($R$17="Distrato",$E1006,0)),MIN(AX$38,$D$19),$P$20))-SUM($P1006:AW1006)</f>
        <v>#VALUE!</v>
      </c>
      <c r="AY1006" s="446" t="e">
        <f>IF(OR($B1006="",MIN(AY$38,$D$19)&lt;MAX($P$708*($B1006+IF($R$17="Distrato",$I$38-1,0)),IF(AND($L$711=0,$P$708=0),"",$L$711-1),IF($R$17="Distrato",$E1006,0))),0,YEARFRAC(MAX($P$708*($B1006+IF($R$17="Distrato",$I$38-1,0)),IF(AND($L$711=0,$P$708=0),"",$L$711-1),IF($R$17="Distrato",$E1006,0)),MIN(AY$38,$D$19),$P$20))-SUM($P1006:AX1006)</f>
        <v>#VALUE!</v>
      </c>
      <c r="AZ1006" s="446" t="e">
        <f>IF(OR($B1006="",MIN(AZ$38,$D$19)&lt;MAX($P$708*($B1006+IF($R$17="Distrato",$I$38-1,0)),IF(AND($L$711=0,$P$708=0),"",$L$711-1),IF($R$17="Distrato",$E1006,0))),0,YEARFRAC(MAX($P$708*($B1006+IF($R$17="Distrato",$I$38-1,0)),IF(AND($L$711=0,$P$708=0),"",$L$711-1),IF($R$17="Distrato",$E1006,0)),MIN(AZ$38,$D$19),$P$20))-SUM($P1006:AY1006)</f>
        <v>#VALUE!</v>
      </c>
      <c r="BA1006" s="446" t="e">
        <f>IF(OR($B1006="",MIN(BA$38,$D$19)&lt;MAX($P$708*($B1006+IF($R$17="Distrato",$I$38-1,0)),IF(AND($L$711=0,$P$708=0),"",$L$711-1),IF($R$17="Distrato",$E1006,0))),0,YEARFRAC(MAX($P$708*($B1006+IF($R$17="Distrato",$I$38-1,0)),IF(AND($L$711=0,$P$708=0),"",$L$711-1),IF($R$17="Distrato",$E1006,0)),MIN(BA$38,$D$19),$P$20))-SUM($P1006:AZ1006)</f>
        <v>#VALUE!</v>
      </c>
      <c r="BB1006" s="447"/>
    </row>
    <row r="1007" spans="1:54" s="446" customFormat="1" ht="11.25" hidden="1" customHeight="1" x14ac:dyDescent="0.2">
      <c r="A1007" s="235"/>
      <c r="B1007" s="236"/>
      <c r="C1007" s="29" t="str">
        <f>IF(B1007="","",IF($L$709=$BL$25,VLOOKUP(DATE(YEAR($D$19),MONTH($D$19)-1,1),ÍNDICES!$A:$DE,HLOOKUP($BL$25,ÍNDICES!$B$3:$T$4,2)+11)-VLOOKUP(B1007,ÍNDICES!$A:$DE,HLOOKUP($BL$25,ÍNDICES!$B$3:$T$4,2)+11)+1%,IF(C$712=$W$26,$J$35,IF(ISERROR(IF(B1007&gt;$D$19,1,VLOOKUP(DATE(YEAR(B1007),MONTH(B1007)+IF($C$709=$S$23,1,0),1),ÍNDICES!$A:$DE,$Z$709+1))),"",IF(B1007&gt;$D$19,1,VLOOKUP(DATE(YEAR(B1007),MONTH(B1007)+IF($C$709=$S$23,1,0),1),ÍNDICES!$A:$DE,$Z$709+1))))))</f>
        <v/>
      </c>
      <c r="D1007" s="155"/>
      <c r="E1007" s="88"/>
      <c r="F1007" s="88"/>
      <c r="G1007" s="88"/>
      <c r="H1007" s="118"/>
      <c r="I1007" s="182">
        <f t="shared" si="143"/>
        <v>0</v>
      </c>
      <c r="J1007" s="20">
        <f t="shared" ca="1" si="144"/>
        <v>0</v>
      </c>
      <c r="K1007" s="5">
        <f t="shared" ca="1" si="145"/>
        <v>0</v>
      </c>
      <c r="L1007" s="61">
        <f t="shared" ca="1" si="146"/>
        <v>0</v>
      </c>
      <c r="M1007" s="64">
        <f t="shared" si="147"/>
        <v>0</v>
      </c>
      <c r="N1007" s="151"/>
      <c r="O1007" s="5">
        <f t="shared" ca="1" si="148"/>
        <v>0</v>
      </c>
      <c r="P1007" s="446" t="e">
        <f t="shared" si="149"/>
        <v>#VALUE!</v>
      </c>
      <c r="Q1007" s="446" t="e">
        <f>IF(OR($B1007="",MIN(Q$38,$D$19)&lt;MAX($P$708*($B1007+IF($R$17="Distrato",$I$38-1,0)),IF(AND($L$711=0,$P$708=0),"",$L$711-1),IF($R$17="Distrato",$E1007,0))),0,YEARFRAC(MAX($P$708*($B1007+IF($R$17="Distrato",$I$38-1,0)),IF(AND($L$711=0,$P$708=0),"",$L$711-1),IF($R$17="Distrato",$E1007,0)),MIN(Q$38,$D$19),$P$20))-SUM($P1007:P1007)</f>
        <v>#VALUE!</v>
      </c>
      <c r="R1007" s="446" t="e">
        <f>IF(OR($B1007="",MIN(R$38,$D$19)&lt;MAX($P$708*($B1007+IF($R$17="Distrato",$I$38-1,0)),IF(AND($L$711=0,$P$708=0),"",$L$711-1),IF($R$17="Distrato",$E1007,0))),0,YEARFRAC(MAX($P$708*($B1007+IF($R$17="Distrato",$I$38-1,0)),IF(AND($L$711=0,$P$708=0),"",$L$711-1),IF($R$17="Distrato",$E1007,0)),MIN(R$38,$D$19),$P$20))-SUM($P1007:Q1007)</f>
        <v>#VALUE!</v>
      </c>
      <c r="S1007" s="446" t="e">
        <f>IF(OR($B1007="",MIN(S$38,$D$19)&lt;MAX($P$708*($B1007+IF($R$17="Distrato",$I$38-1,0)),IF(AND($L$711=0,$P$708=0),"",$L$711-1),IF($R$17="Distrato",$E1007,0))),0,YEARFRAC(MAX($P$708*($B1007+IF($R$17="Distrato",$I$38-1,0)),IF(AND($L$711=0,$P$708=0),"",$L$711-1),IF($R$17="Distrato",$E1007,0)),MIN(S$38,$D$19),$P$20))-SUM($P1007:R1007)</f>
        <v>#VALUE!</v>
      </c>
      <c r="T1007" s="446" t="e">
        <f>IF(OR($B1007="",MIN(T$38,$D$19)&lt;MAX($P$708*($B1007+IF($R$17="Distrato",$I$38-1,0)),IF(AND($L$711=0,$P$708=0),"",$L$711-1),IF($R$17="Distrato",$E1007,0))),0,YEARFRAC(MAX($P$708*($B1007+IF($R$17="Distrato",$I$38-1,0)),IF(AND($L$711=0,$P$708=0),"",$L$711-1),IF($R$17="Distrato",$E1007,0)),MIN(T$38,$D$19),$P$20))-SUM($P1007:S1007)</f>
        <v>#VALUE!</v>
      </c>
      <c r="U1007" s="446" t="e">
        <f>IF(OR($B1007="",MIN(U$38,$D$19)&lt;MAX($P$708*($B1007+IF($R$17="Distrato",$I$38-1,0)),IF(AND($L$711=0,$P$708=0),"",$L$711-1),IF($R$17="Distrato",$E1007,0))),0,YEARFRAC(MAX($P$708*($B1007+IF($R$17="Distrato",$I$38-1,0)),IF(AND($L$711=0,$P$708=0),"",$L$711-1),IF($R$17="Distrato",$E1007,0)),MIN(U$38,$D$19),$P$20))-SUM($P1007:T1007)</f>
        <v>#VALUE!</v>
      </c>
      <c r="V1007" s="446" t="e">
        <f>IF(OR($B1007="",MIN(V$38,$D$19)&lt;MAX($P$708*($B1007+IF($R$17="Distrato",$I$38-1,0)),IF(AND($L$711=0,$P$708=0),"",$L$711-1),IF($R$17="Distrato",$E1007,0))),0,YEARFRAC(MAX($P$708*($B1007+IF($R$17="Distrato",$I$38-1,0)),IF(AND($L$711=0,$P$708=0),"",$L$711-1),IF($R$17="Distrato",$E1007,0)),MIN(V$38,$D$19),$P$20))-SUM($P1007:U1007)</f>
        <v>#VALUE!</v>
      </c>
      <c r="W1007" s="446" t="e">
        <f>IF(OR($B1007="",MIN(W$38,$D$19)&lt;MAX($P$708*($B1007+IF($R$17="Distrato",$I$38-1,0)),IF(AND($L$711=0,$P$708=0),"",$L$711-1),IF($R$17="Distrato",$E1007,0))),0,YEARFRAC(MAX($P$708*($B1007+IF($R$17="Distrato",$I$38-1,0)),IF(AND($L$711=0,$P$708=0),"",$L$711-1),IF($R$17="Distrato",$E1007,0)),MIN(W$38,$D$19),$P$20))-SUM($P1007:V1007)</f>
        <v>#VALUE!</v>
      </c>
      <c r="X1007" s="446" t="e">
        <f>IF(OR($B1007="",MIN(X$38,$D$19)&lt;MAX($P$708*($B1007+IF($R$17="Distrato",$I$38-1,0)),IF(AND($L$711=0,$P$708=0),"",$L$711-1),IF($R$17="Distrato",$E1007,0))),0,YEARFRAC(MAX($P$708*($B1007+IF($R$17="Distrato",$I$38-1,0)),IF(AND($L$711=0,$P$708=0),"",$L$711-1),IF($R$17="Distrato",$E1007,0)),MIN(X$38,$D$19),$P$20))-SUM($P1007:W1007)</f>
        <v>#VALUE!</v>
      </c>
      <c r="Y1007" s="446" t="e">
        <f>IF(OR($B1007="",MIN(Y$38,$D$19)&lt;MAX($P$708*($B1007+IF($R$17="Distrato",$I$38-1,0)),IF(AND($L$711=0,$P$708=0),"",$L$711-1),IF($R$17="Distrato",$E1007,0))),0,YEARFRAC(MAX($P$708*($B1007+IF($R$17="Distrato",$I$38-1,0)),IF(AND($L$711=0,$P$708=0),"",$L$711-1),IF($R$17="Distrato",$E1007,0)),MIN(Y$38,$D$19),$P$20))-SUM($P1007:X1007)</f>
        <v>#VALUE!</v>
      </c>
      <c r="Z1007" s="446" t="e">
        <f>IF(OR($B1007="",MIN(Z$38,$D$19)&lt;MAX($P$708*($B1007+IF($R$17="Distrato",$I$38-1,0)),IF(AND($L$711=0,$P$708=0),"",$L$711-1),IF($R$17="Distrato",$E1007,0))),0,YEARFRAC(MAX($P$708*($B1007+IF($R$17="Distrato",$I$38-1,0)),IF(AND($L$711=0,$P$708=0),"",$L$711-1),IF($R$17="Distrato",$E1007,0)),MIN(Z$38,$D$19),$P$20))-SUM($P1007:Y1007)</f>
        <v>#VALUE!</v>
      </c>
      <c r="AA1007" s="446" t="e">
        <f>IF(OR($B1007="",MIN(AA$38,$D$19)&lt;MAX($P$708*($B1007+IF($R$17="Distrato",$I$38-1,0)),IF(AND($L$711=0,$P$708=0),"",$L$711-1),IF($R$17="Distrato",$E1007,0))),0,YEARFRAC(MAX($P$708*($B1007+IF($R$17="Distrato",$I$38-1,0)),IF(AND($L$711=0,$P$708=0),"",$L$711-1),IF($R$17="Distrato",$E1007,0)),MIN(AA$38,$D$19),$P$20))-SUM($P1007:Z1007)</f>
        <v>#VALUE!</v>
      </c>
      <c r="AB1007" s="446" t="e">
        <f>IF(OR($B1007="",MIN(AB$38,$D$19)&lt;MAX($P$708*($B1007+IF($R$17="Distrato",$I$38-1,0)),IF(AND($L$711=0,$P$708=0),"",$L$711-1),IF($R$17="Distrato",$E1007,0))),0,YEARFRAC(MAX($P$708*($B1007+IF($R$17="Distrato",$I$38-1,0)),IF(AND($L$711=0,$P$708=0),"",$L$711-1),IF($R$17="Distrato",$E1007,0)),MIN(AB$38,$D$19),$P$20))-SUM($P1007:AA1007)</f>
        <v>#VALUE!</v>
      </c>
      <c r="AC1007" s="446" t="e">
        <f>IF(OR($B1007="",MIN(AC$38,$D$19)&lt;MAX($P$708*($B1007+IF($R$17="Distrato",$I$38-1,0)),IF(AND($L$711=0,$P$708=0),"",$L$711-1),IF($R$17="Distrato",$E1007,0))),0,YEARFRAC(MAX($P$708*($B1007+IF($R$17="Distrato",$I$38-1,0)),IF(AND($L$711=0,$P$708=0),"",$L$711-1),IF($R$17="Distrato",$E1007,0)),MIN(AC$38,$D$19),$P$20))-SUM($P1007:AB1007)</f>
        <v>#VALUE!</v>
      </c>
      <c r="AD1007" s="446" t="e">
        <f>IF(OR($B1007="",MIN(AD$38,$D$19)&lt;MAX($P$708*($B1007+IF($R$17="Distrato",$I$38-1,0)),IF(AND($L$711=0,$P$708=0),"",$L$711-1),IF($R$17="Distrato",$E1007,0))),0,YEARFRAC(MAX($P$708*($B1007+IF($R$17="Distrato",$I$38-1,0)),IF(AND($L$711=0,$P$708=0),"",$L$711-1),IF($R$17="Distrato",$E1007,0)),MIN(AD$38,$D$19),$P$20))-SUM($P1007:AC1007)</f>
        <v>#VALUE!</v>
      </c>
      <c r="AE1007" s="446" t="e">
        <f>IF(OR($B1007="",MIN(AE$38,$D$19)&lt;MAX($P$708*($B1007+IF($R$17="Distrato",$I$38-1,0)),IF(AND($L$711=0,$P$708=0),"",$L$711-1),IF($R$17="Distrato",$E1007,0))),0,YEARFRAC(MAX($P$708*($B1007+IF($R$17="Distrato",$I$38-1,0)),IF(AND($L$711=0,$P$708=0),"",$L$711-1),IF($R$17="Distrato",$E1007,0)),MIN(AE$38,$D$19),$P$20))-SUM($P1007:AD1007)</f>
        <v>#VALUE!</v>
      </c>
      <c r="AF1007" s="446" t="e">
        <f>IF(OR($B1007="",MIN(AF$38,$D$19)&lt;MAX($P$708*($B1007+IF($R$17="Distrato",$I$38-1,0)),IF(AND($L$711=0,$P$708=0),"",$L$711-1),IF($R$17="Distrato",$E1007,0))),0,YEARFRAC(MAX($P$708*($B1007+IF($R$17="Distrato",$I$38-1,0)),IF(AND($L$711=0,$P$708=0),"",$L$711-1),IF($R$17="Distrato",$E1007,0)),MIN(AF$38,$D$19),$P$20))-SUM($P1007:AE1007)</f>
        <v>#VALUE!</v>
      </c>
      <c r="AG1007" s="446" t="e">
        <f>IF(OR($B1007="",MIN(AG$38,$D$19)&lt;MAX($P$708*($B1007+IF($R$17="Distrato",$I$38-1,0)),IF(AND($L$711=0,$P$708=0),"",$L$711-1),IF($R$17="Distrato",$E1007,0))),0,YEARFRAC(MAX($P$708*($B1007+IF($R$17="Distrato",$I$38-1,0)),IF(AND($L$711=0,$P$708=0),"",$L$711-1),IF($R$17="Distrato",$E1007,0)),MIN(AG$38,$D$19),$P$20))-SUM($P1007:AF1007)</f>
        <v>#VALUE!</v>
      </c>
      <c r="AH1007" s="446" t="e">
        <f>IF(OR($B1007="",MIN(AH$38,$D$19)&lt;MAX($P$708*($B1007+IF($R$17="Distrato",$I$38-1,0)),IF(AND($L$711=0,$P$708=0),"",$L$711-1),IF($R$17="Distrato",$E1007,0))),0,YEARFRAC(MAX($P$708*($B1007+IF($R$17="Distrato",$I$38-1,0)),IF(AND($L$711=0,$P$708=0),"",$L$711-1),IF($R$17="Distrato",$E1007,0)),MIN(AH$38,$D$19),$P$20))-SUM($P1007:AG1007)</f>
        <v>#VALUE!</v>
      </c>
      <c r="AI1007" s="446" t="e">
        <f>IF(OR($B1007="",MIN(AI$38,$D$19)&lt;MAX($P$708*($B1007+IF($R$17="Distrato",$I$38-1,0)),IF(AND($L$711=0,$P$708=0),"",$L$711-1),IF($R$17="Distrato",$E1007,0))),0,YEARFRAC(MAX($P$708*($B1007+IF($R$17="Distrato",$I$38-1,0)),IF(AND($L$711=0,$P$708=0),"",$L$711-1),IF($R$17="Distrato",$E1007,0)),MIN(AI$38,$D$19),$P$20))-SUM($P1007:AH1007)</f>
        <v>#VALUE!</v>
      </c>
      <c r="AJ1007" s="446" t="e">
        <f>IF(OR($B1007="",MIN(AJ$38,$D$19)&lt;MAX($P$708*($B1007+IF($R$17="Distrato",$I$38-1,0)),IF(AND($L$711=0,$P$708=0),"",$L$711-1),IF($R$17="Distrato",$E1007,0))),0,YEARFRAC(MAX($P$708*($B1007+IF($R$17="Distrato",$I$38-1,0)),IF(AND($L$711=0,$P$708=0),"",$L$711-1),IF($R$17="Distrato",$E1007,0)),MIN(AJ$38,$D$19),$P$20))-SUM($P1007:AI1007)</f>
        <v>#VALUE!</v>
      </c>
      <c r="AK1007" s="446" t="e">
        <f>IF(OR($B1007="",MIN(AK$38,$D$19)&lt;MAX($P$708*($B1007+IF($R$17="Distrato",$I$38-1,0)),IF(AND($L$711=0,$P$708=0),"",$L$711-1),IF($R$17="Distrato",$E1007,0))),0,YEARFRAC(MAX($P$708*($B1007+IF($R$17="Distrato",$I$38-1,0)),IF(AND($L$711=0,$P$708=0),"",$L$711-1),IF($R$17="Distrato",$E1007,0)),MIN(AK$38,$D$19),$P$20))-SUM($P1007:AJ1007)</f>
        <v>#VALUE!</v>
      </c>
      <c r="AL1007" s="446" t="e">
        <f>IF(OR($B1007="",MIN(AL$38,$D$19)&lt;MAX($P$708*($B1007+IF($R$17="Distrato",$I$38-1,0)),IF(AND($L$711=0,$P$708=0),"",$L$711-1),IF($R$17="Distrato",$E1007,0))),0,YEARFRAC(MAX($P$708*($B1007+IF($R$17="Distrato",$I$38-1,0)),IF(AND($L$711=0,$P$708=0),"",$L$711-1),IF($R$17="Distrato",$E1007,0)),MIN(AL$38,$D$19),$P$20))-SUM($P1007:AK1007)</f>
        <v>#VALUE!</v>
      </c>
      <c r="AM1007" s="446" t="e">
        <f>IF(OR($B1007="",MIN(AM$38,$D$19)&lt;MAX($P$708*($B1007+IF($R$17="Distrato",$I$38-1,0)),IF(AND($L$711=0,$P$708=0),"",$L$711-1),IF($R$17="Distrato",$E1007,0))),0,YEARFRAC(MAX($P$708*($B1007+IF($R$17="Distrato",$I$38-1,0)),IF(AND($L$711=0,$P$708=0),"",$L$711-1),IF($R$17="Distrato",$E1007,0)),MIN(AM$38,$D$19),$P$20))-SUM($P1007:AL1007)</f>
        <v>#VALUE!</v>
      </c>
      <c r="AN1007" s="446" t="e">
        <f>IF(OR($B1007="",MIN(AN$38,$D$19)&lt;MAX($P$708*($B1007+IF($R$17="Distrato",$I$38-1,0)),IF(AND($L$711=0,$P$708=0),"",$L$711-1),IF($R$17="Distrato",$E1007,0))),0,YEARFRAC(MAX($P$708*($B1007+IF($R$17="Distrato",$I$38-1,0)),IF(AND($L$711=0,$P$708=0),"",$L$711-1),IF($R$17="Distrato",$E1007,0)),MIN(AN$38,$D$19),$P$20))-SUM($P1007:AM1007)</f>
        <v>#VALUE!</v>
      </c>
      <c r="AO1007" s="446" t="e">
        <f>IF(OR($B1007="",MIN(AO$38,$D$19)&lt;MAX($P$708*($B1007+IF($R$17="Distrato",$I$38-1,0)),IF(AND($L$711=0,$P$708=0),"",$L$711-1),IF($R$17="Distrato",$E1007,0))),0,YEARFRAC(MAX($P$708*($B1007+IF($R$17="Distrato",$I$38-1,0)),IF(AND($L$711=0,$P$708=0),"",$L$711-1),IF($R$17="Distrato",$E1007,0)),MIN(AO$38,$D$19),$P$20))-SUM($P1007:AN1007)</f>
        <v>#VALUE!</v>
      </c>
      <c r="AP1007" s="446" t="e">
        <f>IF(OR($B1007="",MIN(AP$38,$D$19)&lt;MAX($P$708*($B1007+IF($R$17="Distrato",$I$38-1,0)),IF(AND($L$711=0,$P$708=0),"",$L$711-1),IF($R$17="Distrato",$E1007,0))),0,YEARFRAC(MAX($P$708*($B1007+IF($R$17="Distrato",$I$38-1,0)),IF(AND($L$711=0,$P$708=0),"",$L$711-1),IF($R$17="Distrato",$E1007,0)),MIN(AP$38,$D$19),$P$20))-SUM($P1007:AO1007)</f>
        <v>#VALUE!</v>
      </c>
      <c r="AQ1007" s="446" t="e">
        <f>IF(OR($B1007="",MIN(AQ$38,$D$19)&lt;MAX($P$708*($B1007+IF($R$17="Distrato",$I$38-1,0)),IF(AND($L$711=0,$P$708=0),"",$L$711-1),IF($R$17="Distrato",$E1007,0))),0,YEARFRAC(MAX($P$708*($B1007+IF($R$17="Distrato",$I$38-1,0)),IF(AND($L$711=0,$P$708=0),"",$L$711-1),IF($R$17="Distrato",$E1007,0)),MIN(AQ$38,$D$19),$P$20))-SUM($P1007:AP1007)</f>
        <v>#VALUE!</v>
      </c>
      <c r="AR1007" s="446" t="e">
        <f>IF(OR($B1007="",MIN(AR$38,$D$19)&lt;MAX($P$708*($B1007+IF($R$17="Distrato",$I$38-1,0)),IF(AND($L$711=0,$P$708=0),"",$L$711-1),IF($R$17="Distrato",$E1007,0))),0,YEARFRAC(MAX($P$708*($B1007+IF($R$17="Distrato",$I$38-1,0)),IF(AND($L$711=0,$P$708=0),"",$L$711-1),IF($R$17="Distrato",$E1007,0)),MIN(AR$38,$D$19),$P$20))-SUM($P1007:AQ1007)</f>
        <v>#VALUE!</v>
      </c>
      <c r="AS1007" s="446" t="e">
        <f>IF(OR($B1007="",MIN(AS$38,$D$19)&lt;MAX($P$708*($B1007+IF($R$17="Distrato",$I$38-1,0)),IF(AND($L$711=0,$P$708=0),"",$L$711-1),IF($R$17="Distrato",$E1007,0))),0,YEARFRAC(MAX($P$708*($B1007+IF($R$17="Distrato",$I$38-1,0)),IF(AND($L$711=0,$P$708=0),"",$L$711-1),IF($R$17="Distrato",$E1007,0)),MIN(AS$38,$D$19),$P$20))-SUM($P1007:AR1007)</f>
        <v>#VALUE!</v>
      </c>
      <c r="AT1007" s="446" t="e">
        <f>IF(OR($B1007="",MIN(AT$38,$D$19)&lt;MAX($P$708*($B1007+IF($R$17="Distrato",$I$38-1,0)),IF(AND($L$711=0,$P$708=0),"",$L$711-1),IF($R$17="Distrato",$E1007,0))),0,YEARFRAC(MAX($P$708*($B1007+IF($R$17="Distrato",$I$38-1,0)),IF(AND($L$711=0,$P$708=0),"",$L$711-1),IF($R$17="Distrato",$E1007,0)),MIN(AT$38,$D$19),$P$20))-SUM($P1007:AS1007)</f>
        <v>#VALUE!</v>
      </c>
      <c r="AU1007" s="446" t="e">
        <f>IF(OR($B1007="",MIN(AU$38,$D$19)&lt;MAX($P$708*($B1007+IF($R$17="Distrato",$I$38-1,0)),IF(AND($L$711=0,$P$708=0),"",$L$711-1),IF($R$17="Distrato",$E1007,0))),0,YEARFRAC(MAX($P$708*($B1007+IF($R$17="Distrato",$I$38-1,0)),IF(AND($L$711=0,$P$708=0),"",$L$711-1),IF($R$17="Distrato",$E1007,0)),MIN(AU$38,$D$19),$P$20))-SUM($P1007:AT1007)</f>
        <v>#VALUE!</v>
      </c>
      <c r="AV1007" s="446" t="e">
        <f>IF(OR($B1007="",MIN(AV$38,$D$19)&lt;MAX($P$708*($B1007+IF($R$17="Distrato",$I$38-1,0)),IF(AND($L$711=0,$P$708=0),"",$L$711-1),IF($R$17="Distrato",$E1007,0))),0,YEARFRAC(MAX($P$708*($B1007+IF($R$17="Distrato",$I$38-1,0)),IF(AND($L$711=0,$P$708=0),"",$L$711-1),IF($R$17="Distrato",$E1007,0)),MIN(AV$38,$D$19),$P$20))-SUM($P1007:AU1007)</f>
        <v>#VALUE!</v>
      </c>
      <c r="AW1007" s="446" t="e">
        <f>IF(OR($B1007="",MIN(AW$38,$D$19)&lt;MAX($P$708*($B1007+IF($R$17="Distrato",$I$38-1,0)),IF(AND($L$711=0,$P$708=0),"",$L$711-1),IF($R$17="Distrato",$E1007,0))),0,YEARFRAC(MAX($P$708*($B1007+IF($R$17="Distrato",$I$38-1,0)),IF(AND($L$711=0,$P$708=0),"",$L$711-1),IF($R$17="Distrato",$E1007,0)),MIN(AW$38,$D$19),$P$20))-SUM($P1007:AV1007)</f>
        <v>#VALUE!</v>
      </c>
      <c r="AX1007" s="446" t="e">
        <f>IF(OR($B1007="",MIN(AX$38,$D$19)&lt;MAX($P$708*($B1007+IF($R$17="Distrato",$I$38-1,0)),IF(AND($L$711=0,$P$708=0),"",$L$711-1),IF($R$17="Distrato",$E1007,0))),0,YEARFRAC(MAX($P$708*($B1007+IF($R$17="Distrato",$I$38-1,0)),IF(AND($L$711=0,$P$708=0),"",$L$711-1),IF($R$17="Distrato",$E1007,0)),MIN(AX$38,$D$19),$P$20))-SUM($P1007:AW1007)</f>
        <v>#VALUE!</v>
      </c>
      <c r="AY1007" s="446" t="e">
        <f>IF(OR($B1007="",MIN(AY$38,$D$19)&lt;MAX($P$708*($B1007+IF($R$17="Distrato",$I$38-1,0)),IF(AND($L$711=0,$P$708=0),"",$L$711-1),IF($R$17="Distrato",$E1007,0))),0,YEARFRAC(MAX($P$708*($B1007+IF($R$17="Distrato",$I$38-1,0)),IF(AND($L$711=0,$P$708=0),"",$L$711-1),IF($R$17="Distrato",$E1007,0)),MIN(AY$38,$D$19),$P$20))-SUM($P1007:AX1007)</f>
        <v>#VALUE!</v>
      </c>
      <c r="AZ1007" s="446" t="e">
        <f>IF(OR($B1007="",MIN(AZ$38,$D$19)&lt;MAX($P$708*($B1007+IF($R$17="Distrato",$I$38-1,0)),IF(AND($L$711=0,$P$708=0),"",$L$711-1),IF($R$17="Distrato",$E1007,0))),0,YEARFRAC(MAX($P$708*($B1007+IF($R$17="Distrato",$I$38-1,0)),IF(AND($L$711=0,$P$708=0),"",$L$711-1),IF($R$17="Distrato",$E1007,0)),MIN(AZ$38,$D$19),$P$20))-SUM($P1007:AY1007)</f>
        <v>#VALUE!</v>
      </c>
      <c r="BA1007" s="446" t="e">
        <f>IF(OR($B1007="",MIN(BA$38,$D$19)&lt;MAX($P$708*($B1007+IF($R$17="Distrato",$I$38-1,0)),IF(AND($L$711=0,$P$708=0),"",$L$711-1),IF($R$17="Distrato",$E1007,0))),0,YEARFRAC(MAX($P$708*($B1007+IF($R$17="Distrato",$I$38-1,0)),IF(AND($L$711=0,$P$708=0),"",$L$711-1),IF($R$17="Distrato",$E1007,0)),MIN(BA$38,$D$19),$P$20))-SUM($P1007:AZ1007)</f>
        <v>#VALUE!</v>
      </c>
      <c r="BB1007" s="447"/>
    </row>
    <row r="1008" spans="1:54" s="446" customFormat="1" ht="11.25" hidden="1" customHeight="1" x14ac:dyDescent="0.2">
      <c r="A1008" s="235"/>
      <c r="B1008" s="236"/>
      <c r="C1008" s="29" t="str">
        <f>IF(B1008="","",IF($L$709=$BL$25,VLOOKUP(DATE(YEAR($D$19),MONTH($D$19)-1,1),ÍNDICES!$A:$DE,HLOOKUP($BL$25,ÍNDICES!$B$3:$T$4,2)+11)-VLOOKUP(B1008,ÍNDICES!$A:$DE,HLOOKUP($BL$25,ÍNDICES!$B$3:$T$4,2)+11)+1%,IF(C$712=$W$26,$J$35,IF(ISERROR(IF(B1008&gt;$D$19,1,VLOOKUP(DATE(YEAR(B1008),MONTH(B1008)+IF($C$709=$S$23,1,0),1),ÍNDICES!$A:$DE,$Z$709+1))),"",IF(B1008&gt;$D$19,1,VLOOKUP(DATE(YEAR(B1008),MONTH(B1008)+IF($C$709=$S$23,1,0),1),ÍNDICES!$A:$DE,$Z$709+1))))))</f>
        <v/>
      </c>
      <c r="D1008" s="155"/>
      <c r="E1008" s="88"/>
      <c r="F1008" s="88"/>
      <c r="G1008" s="88"/>
      <c r="H1008" s="118"/>
      <c r="I1008" s="182">
        <f t="shared" si="143"/>
        <v>0</v>
      </c>
      <c r="J1008" s="20">
        <f t="shared" ca="1" si="144"/>
        <v>0</v>
      </c>
      <c r="K1008" s="5">
        <f t="shared" ca="1" si="145"/>
        <v>0</v>
      </c>
      <c r="L1008" s="61">
        <f t="shared" ca="1" si="146"/>
        <v>0</v>
      </c>
      <c r="M1008" s="64">
        <f t="shared" si="147"/>
        <v>0</v>
      </c>
      <c r="N1008" s="151"/>
      <c r="O1008" s="5">
        <f t="shared" ca="1" si="148"/>
        <v>0</v>
      </c>
      <c r="P1008" s="446" t="e">
        <f t="shared" si="149"/>
        <v>#VALUE!</v>
      </c>
      <c r="Q1008" s="446" t="e">
        <f>IF(OR($B1008="",MIN(Q$38,$D$19)&lt;MAX($P$708*($B1008+IF($R$17="Distrato",$I$38-1,0)),IF(AND($L$711=0,$P$708=0),"",$L$711-1),IF($R$17="Distrato",$E1008,0))),0,YEARFRAC(MAX($P$708*($B1008+IF($R$17="Distrato",$I$38-1,0)),IF(AND($L$711=0,$P$708=0),"",$L$711-1),IF($R$17="Distrato",$E1008,0)),MIN(Q$38,$D$19),$P$20))-SUM($P1008:P1008)</f>
        <v>#VALUE!</v>
      </c>
      <c r="R1008" s="446" t="e">
        <f>IF(OR($B1008="",MIN(R$38,$D$19)&lt;MAX($P$708*($B1008+IF($R$17="Distrato",$I$38-1,0)),IF(AND($L$711=0,$P$708=0),"",$L$711-1),IF($R$17="Distrato",$E1008,0))),0,YEARFRAC(MAX($P$708*($B1008+IF($R$17="Distrato",$I$38-1,0)),IF(AND($L$711=0,$P$708=0),"",$L$711-1),IF($R$17="Distrato",$E1008,0)),MIN(R$38,$D$19),$P$20))-SUM($P1008:Q1008)</f>
        <v>#VALUE!</v>
      </c>
      <c r="S1008" s="446" t="e">
        <f>IF(OR($B1008="",MIN(S$38,$D$19)&lt;MAX($P$708*($B1008+IF($R$17="Distrato",$I$38-1,0)),IF(AND($L$711=0,$P$708=0),"",$L$711-1),IF($R$17="Distrato",$E1008,0))),0,YEARFRAC(MAX($P$708*($B1008+IF($R$17="Distrato",$I$38-1,0)),IF(AND($L$711=0,$P$708=0),"",$L$711-1),IF($R$17="Distrato",$E1008,0)),MIN(S$38,$D$19),$P$20))-SUM($P1008:R1008)</f>
        <v>#VALUE!</v>
      </c>
      <c r="T1008" s="446" t="e">
        <f>IF(OR($B1008="",MIN(T$38,$D$19)&lt;MAX($P$708*($B1008+IF($R$17="Distrato",$I$38-1,0)),IF(AND($L$711=0,$P$708=0),"",$L$711-1),IF($R$17="Distrato",$E1008,0))),0,YEARFRAC(MAX($P$708*($B1008+IF($R$17="Distrato",$I$38-1,0)),IF(AND($L$711=0,$P$708=0),"",$L$711-1),IF($R$17="Distrato",$E1008,0)),MIN(T$38,$D$19),$P$20))-SUM($P1008:S1008)</f>
        <v>#VALUE!</v>
      </c>
      <c r="U1008" s="446" t="e">
        <f>IF(OR($B1008="",MIN(U$38,$D$19)&lt;MAX($P$708*($B1008+IF($R$17="Distrato",$I$38-1,0)),IF(AND($L$711=0,$P$708=0),"",$L$711-1),IF($R$17="Distrato",$E1008,0))),0,YEARFRAC(MAX($P$708*($B1008+IF($R$17="Distrato",$I$38-1,0)),IF(AND($L$711=0,$P$708=0),"",$L$711-1),IF($R$17="Distrato",$E1008,0)),MIN(U$38,$D$19),$P$20))-SUM($P1008:T1008)</f>
        <v>#VALUE!</v>
      </c>
      <c r="V1008" s="446" t="e">
        <f>IF(OR($B1008="",MIN(V$38,$D$19)&lt;MAX($P$708*($B1008+IF($R$17="Distrato",$I$38-1,0)),IF(AND($L$711=0,$P$708=0),"",$L$711-1),IF($R$17="Distrato",$E1008,0))),0,YEARFRAC(MAX($P$708*($B1008+IF($R$17="Distrato",$I$38-1,0)),IF(AND($L$711=0,$P$708=0),"",$L$711-1),IF($R$17="Distrato",$E1008,0)),MIN(V$38,$D$19),$P$20))-SUM($P1008:U1008)</f>
        <v>#VALUE!</v>
      </c>
      <c r="W1008" s="446" t="e">
        <f>IF(OR($B1008="",MIN(W$38,$D$19)&lt;MAX($P$708*($B1008+IF($R$17="Distrato",$I$38-1,0)),IF(AND($L$711=0,$P$708=0),"",$L$711-1),IF($R$17="Distrato",$E1008,0))),0,YEARFRAC(MAX($P$708*($B1008+IF($R$17="Distrato",$I$38-1,0)),IF(AND($L$711=0,$P$708=0),"",$L$711-1),IF($R$17="Distrato",$E1008,0)),MIN(W$38,$D$19),$P$20))-SUM($P1008:V1008)</f>
        <v>#VALUE!</v>
      </c>
      <c r="X1008" s="446" t="e">
        <f>IF(OR($B1008="",MIN(X$38,$D$19)&lt;MAX($P$708*($B1008+IF($R$17="Distrato",$I$38-1,0)),IF(AND($L$711=0,$P$708=0),"",$L$711-1),IF($R$17="Distrato",$E1008,0))),0,YEARFRAC(MAX($P$708*($B1008+IF($R$17="Distrato",$I$38-1,0)),IF(AND($L$711=0,$P$708=0),"",$L$711-1),IF($R$17="Distrato",$E1008,0)),MIN(X$38,$D$19),$P$20))-SUM($P1008:W1008)</f>
        <v>#VALUE!</v>
      </c>
      <c r="Y1008" s="446" t="e">
        <f>IF(OR($B1008="",MIN(Y$38,$D$19)&lt;MAX($P$708*($B1008+IF($R$17="Distrato",$I$38-1,0)),IF(AND($L$711=0,$P$708=0),"",$L$711-1),IF($R$17="Distrato",$E1008,0))),0,YEARFRAC(MAX($P$708*($B1008+IF($R$17="Distrato",$I$38-1,0)),IF(AND($L$711=0,$P$708=0),"",$L$711-1),IF($R$17="Distrato",$E1008,0)),MIN(Y$38,$D$19),$P$20))-SUM($P1008:X1008)</f>
        <v>#VALUE!</v>
      </c>
      <c r="Z1008" s="446" t="e">
        <f>IF(OR($B1008="",MIN(Z$38,$D$19)&lt;MAX($P$708*($B1008+IF($R$17="Distrato",$I$38-1,0)),IF(AND($L$711=0,$P$708=0),"",$L$711-1),IF($R$17="Distrato",$E1008,0))),0,YEARFRAC(MAX($P$708*($B1008+IF($R$17="Distrato",$I$38-1,0)),IF(AND($L$711=0,$P$708=0),"",$L$711-1),IF($R$17="Distrato",$E1008,0)),MIN(Z$38,$D$19),$P$20))-SUM($P1008:Y1008)</f>
        <v>#VALUE!</v>
      </c>
      <c r="AA1008" s="446" t="e">
        <f>IF(OR($B1008="",MIN(AA$38,$D$19)&lt;MAX($P$708*($B1008+IF($R$17="Distrato",$I$38-1,0)),IF(AND($L$711=0,$P$708=0),"",$L$711-1),IF($R$17="Distrato",$E1008,0))),0,YEARFRAC(MAX($P$708*($B1008+IF($R$17="Distrato",$I$38-1,0)),IF(AND($L$711=0,$P$708=0),"",$L$711-1),IF($R$17="Distrato",$E1008,0)),MIN(AA$38,$D$19),$P$20))-SUM($P1008:Z1008)</f>
        <v>#VALUE!</v>
      </c>
      <c r="AB1008" s="446" t="e">
        <f>IF(OR($B1008="",MIN(AB$38,$D$19)&lt;MAX($P$708*($B1008+IF($R$17="Distrato",$I$38-1,0)),IF(AND($L$711=0,$P$708=0),"",$L$711-1),IF($R$17="Distrato",$E1008,0))),0,YEARFRAC(MAX($P$708*($B1008+IF($R$17="Distrato",$I$38-1,0)),IF(AND($L$711=0,$P$708=0),"",$L$711-1),IF($R$17="Distrato",$E1008,0)),MIN(AB$38,$D$19),$P$20))-SUM($P1008:AA1008)</f>
        <v>#VALUE!</v>
      </c>
      <c r="AC1008" s="446" t="e">
        <f>IF(OR($B1008="",MIN(AC$38,$D$19)&lt;MAX($P$708*($B1008+IF($R$17="Distrato",$I$38-1,0)),IF(AND($L$711=0,$P$708=0),"",$L$711-1),IF($R$17="Distrato",$E1008,0))),0,YEARFRAC(MAX($P$708*($B1008+IF($R$17="Distrato",$I$38-1,0)),IF(AND($L$711=0,$P$708=0),"",$L$711-1),IF($R$17="Distrato",$E1008,0)),MIN(AC$38,$D$19),$P$20))-SUM($P1008:AB1008)</f>
        <v>#VALUE!</v>
      </c>
      <c r="AD1008" s="446" t="e">
        <f>IF(OR($B1008="",MIN(AD$38,$D$19)&lt;MAX($P$708*($B1008+IF($R$17="Distrato",$I$38-1,0)),IF(AND($L$711=0,$P$708=0),"",$L$711-1),IF($R$17="Distrato",$E1008,0))),0,YEARFRAC(MAX($P$708*($B1008+IF($R$17="Distrato",$I$38-1,0)),IF(AND($L$711=0,$P$708=0),"",$L$711-1),IF($R$17="Distrato",$E1008,0)),MIN(AD$38,$D$19),$P$20))-SUM($P1008:AC1008)</f>
        <v>#VALUE!</v>
      </c>
      <c r="AE1008" s="446" t="e">
        <f>IF(OR($B1008="",MIN(AE$38,$D$19)&lt;MAX($P$708*($B1008+IF($R$17="Distrato",$I$38-1,0)),IF(AND($L$711=0,$P$708=0),"",$L$711-1),IF($R$17="Distrato",$E1008,0))),0,YEARFRAC(MAX($P$708*($B1008+IF($R$17="Distrato",$I$38-1,0)),IF(AND($L$711=0,$P$708=0),"",$L$711-1),IF($R$17="Distrato",$E1008,0)),MIN(AE$38,$D$19),$P$20))-SUM($P1008:AD1008)</f>
        <v>#VALUE!</v>
      </c>
      <c r="AF1008" s="446" t="e">
        <f>IF(OR($B1008="",MIN(AF$38,$D$19)&lt;MAX($P$708*($B1008+IF($R$17="Distrato",$I$38-1,0)),IF(AND($L$711=0,$P$708=0),"",$L$711-1),IF($R$17="Distrato",$E1008,0))),0,YEARFRAC(MAX($P$708*($B1008+IF($R$17="Distrato",$I$38-1,0)),IF(AND($L$711=0,$P$708=0),"",$L$711-1),IF($R$17="Distrato",$E1008,0)),MIN(AF$38,$D$19),$P$20))-SUM($P1008:AE1008)</f>
        <v>#VALUE!</v>
      </c>
      <c r="AG1008" s="446" t="e">
        <f>IF(OR($B1008="",MIN(AG$38,$D$19)&lt;MAX($P$708*($B1008+IF($R$17="Distrato",$I$38-1,0)),IF(AND($L$711=0,$P$708=0),"",$L$711-1),IF($R$17="Distrato",$E1008,0))),0,YEARFRAC(MAX($P$708*($B1008+IF($R$17="Distrato",$I$38-1,0)),IF(AND($L$711=0,$P$708=0),"",$L$711-1),IF($R$17="Distrato",$E1008,0)),MIN(AG$38,$D$19),$P$20))-SUM($P1008:AF1008)</f>
        <v>#VALUE!</v>
      </c>
      <c r="AH1008" s="446" t="e">
        <f>IF(OR($B1008="",MIN(AH$38,$D$19)&lt;MAX($P$708*($B1008+IF($R$17="Distrato",$I$38-1,0)),IF(AND($L$711=0,$P$708=0),"",$L$711-1),IF($R$17="Distrato",$E1008,0))),0,YEARFRAC(MAX($P$708*($B1008+IF($R$17="Distrato",$I$38-1,0)),IF(AND($L$711=0,$P$708=0),"",$L$711-1),IF($R$17="Distrato",$E1008,0)),MIN(AH$38,$D$19),$P$20))-SUM($P1008:AG1008)</f>
        <v>#VALUE!</v>
      </c>
      <c r="AI1008" s="446" t="e">
        <f>IF(OR($B1008="",MIN(AI$38,$D$19)&lt;MAX($P$708*($B1008+IF($R$17="Distrato",$I$38-1,0)),IF(AND($L$711=0,$P$708=0),"",$L$711-1),IF($R$17="Distrato",$E1008,0))),0,YEARFRAC(MAX($P$708*($B1008+IF($R$17="Distrato",$I$38-1,0)),IF(AND($L$711=0,$P$708=0),"",$L$711-1),IF($R$17="Distrato",$E1008,0)),MIN(AI$38,$D$19),$P$20))-SUM($P1008:AH1008)</f>
        <v>#VALUE!</v>
      </c>
      <c r="AJ1008" s="446" t="e">
        <f>IF(OR($B1008="",MIN(AJ$38,$D$19)&lt;MAX($P$708*($B1008+IF($R$17="Distrato",$I$38-1,0)),IF(AND($L$711=0,$P$708=0),"",$L$711-1),IF($R$17="Distrato",$E1008,0))),0,YEARFRAC(MAX($P$708*($B1008+IF($R$17="Distrato",$I$38-1,0)),IF(AND($L$711=0,$P$708=0),"",$L$711-1),IF($R$17="Distrato",$E1008,0)),MIN(AJ$38,$D$19),$P$20))-SUM($P1008:AI1008)</f>
        <v>#VALUE!</v>
      </c>
      <c r="AK1008" s="446" t="e">
        <f>IF(OR($B1008="",MIN(AK$38,$D$19)&lt;MAX($P$708*($B1008+IF($R$17="Distrato",$I$38-1,0)),IF(AND($L$711=0,$P$708=0),"",$L$711-1),IF($R$17="Distrato",$E1008,0))),0,YEARFRAC(MAX($P$708*($B1008+IF($R$17="Distrato",$I$38-1,0)),IF(AND($L$711=0,$P$708=0),"",$L$711-1),IF($R$17="Distrato",$E1008,0)),MIN(AK$38,$D$19),$P$20))-SUM($P1008:AJ1008)</f>
        <v>#VALUE!</v>
      </c>
      <c r="AL1008" s="446" t="e">
        <f>IF(OR($B1008="",MIN(AL$38,$D$19)&lt;MAX($P$708*($B1008+IF($R$17="Distrato",$I$38-1,0)),IF(AND($L$711=0,$P$708=0),"",$L$711-1),IF($R$17="Distrato",$E1008,0))),0,YEARFRAC(MAX($P$708*($B1008+IF($R$17="Distrato",$I$38-1,0)),IF(AND($L$711=0,$P$708=0),"",$L$711-1),IF($R$17="Distrato",$E1008,0)),MIN(AL$38,$D$19),$P$20))-SUM($P1008:AK1008)</f>
        <v>#VALUE!</v>
      </c>
      <c r="AM1008" s="446" t="e">
        <f>IF(OR($B1008="",MIN(AM$38,$D$19)&lt;MAX($P$708*($B1008+IF($R$17="Distrato",$I$38-1,0)),IF(AND($L$711=0,$P$708=0),"",$L$711-1),IF($R$17="Distrato",$E1008,0))),0,YEARFRAC(MAX($P$708*($B1008+IF($R$17="Distrato",$I$38-1,0)),IF(AND($L$711=0,$P$708=0),"",$L$711-1),IF($R$17="Distrato",$E1008,0)),MIN(AM$38,$D$19),$P$20))-SUM($P1008:AL1008)</f>
        <v>#VALUE!</v>
      </c>
      <c r="AN1008" s="446" t="e">
        <f>IF(OR($B1008="",MIN(AN$38,$D$19)&lt;MAX($P$708*($B1008+IF($R$17="Distrato",$I$38-1,0)),IF(AND($L$711=0,$P$708=0),"",$L$711-1),IF($R$17="Distrato",$E1008,0))),0,YEARFRAC(MAX($P$708*($B1008+IF($R$17="Distrato",$I$38-1,0)),IF(AND($L$711=0,$P$708=0),"",$L$711-1),IF($R$17="Distrato",$E1008,0)),MIN(AN$38,$D$19),$P$20))-SUM($P1008:AM1008)</f>
        <v>#VALUE!</v>
      </c>
      <c r="AO1008" s="446" t="e">
        <f>IF(OR($B1008="",MIN(AO$38,$D$19)&lt;MAX($P$708*($B1008+IF($R$17="Distrato",$I$38-1,0)),IF(AND($L$711=0,$P$708=0),"",$L$711-1),IF($R$17="Distrato",$E1008,0))),0,YEARFRAC(MAX($P$708*($B1008+IF($R$17="Distrato",$I$38-1,0)),IF(AND($L$711=0,$P$708=0),"",$L$711-1),IF($R$17="Distrato",$E1008,0)),MIN(AO$38,$D$19),$P$20))-SUM($P1008:AN1008)</f>
        <v>#VALUE!</v>
      </c>
      <c r="AP1008" s="446" t="e">
        <f>IF(OR($B1008="",MIN(AP$38,$D$19)&lt;MAX($P$708*($B1008+IF($R$17="Distrato",$I$38-1,0)),IF(AND($L$711=0,$P$708=0),"",$L$711-1),IF($R$17="Distrato",$E1008,0))),0,YEARFRAC(MAX($P$708*($B1008+IF($R$17="Distrato",$I$38-1,0)),IF(AND($L$711=0,$P$708=0),"",$L$711-1),IF($R$17="Distrato",$E1008,0)),MIN(AP$38,$D$19),$P$20))-SUM($P1008:AO1008)</f>
        <v>#VALUE!</v>
      </c>
      <c r="AQ1008" s="446" t="e">
        <f>IF(OR($B1008="",MIN(AQ$38,$D$19)&lt;MAX($P$708*($B1008+IF($R$17="Distrato",$I$38-1,0)),IF(AND($L$711=0,$P$708=0),"",$L$711-1),IF($R$17="Distrato",$E1008,0))),0,YEARFRAC(MAX($P$708*($B1008+IF($R$17="Distrato",$I$38-1,0)),IF(AND($L$711=0,$P$708=0),"",$L$711-1),IF($R$17="Distrato",$E1008,0)),MIN(AQ$38,$D$19),$P$20))-SUM($P1008:AP1008)</f>
        <v>#VALUE!</v>
      </c>
      <c r="AR1008" s="446" t="e">
        <f>IF(OR($B1008="",MIN(AR$38,$D$19)&lt;MAX($P$708*($B1008+IF($R$17="Distrato",$I$38-1,0)),IF(AND($L$711=0,$P$708=0),"",$L$711-1),IF($R$17="Distrato",$E1008,0))),0,YEARFRAC(MAX($P$708*($B1008+IF($R$17="Distrato",$I$38-1,0)),IF(AND($L$711=0,$P$708=0),"",$L$711-1),IF($R$17="Distrato",$E1008,0)),MIN(AR$38,$D$19),$P$20))-SUM($P1008:AQ1008)</f>
        <v>#VALUE!</v>
      </c>
      <c r="AS1008" s="446" t="e">
        <f>IF(OR($B1008="",MIN(AS$38,$D$19)&lt;MAX($P$708*($B1008+IF($R$17="Distrato",$I$38-1,0)),IF(AND($L$711=0,$P$708=0),"",$L$711-1),IF($R$17="Distrato",$E1008,0))),0,YEARFRAC(MAX($P$708*($B1008+IF($R$17="Distrato",$I$38-1,0)),IF(AND($L$711=0,$P$708=0),"",$L$711-1),IF($R$17="Distrato",$E1008,0)),MIN(AS$38,$D$19),$P$20))-SUM($P1008:AR1008)</f>
        <v>#VALUE!</v>
      </c>
      <c r="AT1008" s="446" t="e">
        <f>IF(OR($B1008="",MIN(AT$38,$D$19)&lt;MAX($P$708*($B1008+IF($R$17="Distrato",$I$38-1,0)),IF(AND($L$711=0,$P$708=0),"",$L$711-1),IF($R$17="Distrato",$E1008,0))),0,YEARFRAC(MAX($P$708*($B1008+IF($R$17="Distrato",$I$38-1,0)),IF(AND($L$711=0,$P$708=0),"",$L$711-1),IF($R$17="Distrato",$E1008,0)),MIN(AT$38,$D$19),$P$20))-SUM($P1008:AS1008)</f>
        <v>#VALUE!</v>
      </c>
      <c r="AU1008" s="446" t="e">
        <f>IF(OR($B1008="",MIN(AU$38,$D$19)&lt;MAX($P$708*($B1008+IF($R$17="Distrato",$I$38-1,0)),IF(AND($L$711=0,$P$708=0),"",$L$711-1),IF($R$17="Distrato",$E1008,0))),0,YEARFRAC(MAX($P$708*($B1008+IF($R$17="Distrato",$I$38-1,0)),IF(AND($L$711=0,$P$708=0),"",$L$711-1),IF($R$17="Distrato",$E1008,0)),MIN(AU$38,$D$19),$P$20))-SUM($P1008:AT1008)</f>
        <v>#VALUE!</v>
      </c>
      <c r="AV1008" s="446" t="e">
        <f>IF(OR($B1008="",MIN(AV$38,$D$19)&lt;MAX($P$708*($B1008+IF($R$17="Distrato",$I$38-1,0)),IF(AND($L$711=0,$P$708=0),"",$L$711-1),IF($R$17="Distrato",$E1008,0))),0,YEARFRAC(MAX($P$708*($B1008+IF($R$17="Distrato",$I$38-1,0)),IF(AND($L$711=0,$P$708=0),"",$L$711-1),IF($R$17="Distrato",$E1008,0)),MIN(AV$38,$D$19),$P$20))-SUM($P1008:AU1008)</f>
        <v>#VALUE!</v>
      </c>
      <c r="AW1008" s="446" t="e">
        <f>IF(OR($B1008="",MIN(AW$38,$D$19)&lt;MAX($P$708*($B1008+IF($R$17="Distrato",$I$38-1,0)),IF(AND($L$711=0,$P$708=0),"",$L$711-1),IF($R$17="Distrato",$E1008,0))),0,YEARFRAC(MAX($P$708*($B1008+IF($R$17="Distrato",$I$38-1,0)),IF(AND($L$711=0,$P$708=0),"",$L$711-1),IF($R$17="Distrato",$E1008,0)),MIN(AW$38,$D$19),$P$20))-SUM($P1008:AV1008)</f>
        <v>#VALUE!</v>
      </c>
      <c r="AX1008" s="446" t="e">
        <f>IF(OR($B1008="",MIN(AX$38,$D$19)&lt;MAX($P$708*($B1008+IF($R$17="Distrato",$I$38-1,0)),IF(AND($L$711=0,$P$708=0),"",$L$711-1),IF($R$17="Distrato",$E1008,0))),0,YEARFRAC(MAX($P$708*($B1008+IF($R$17="Distrato",$I$38-1,0)),IF(AND($L$711=0,$P$708=0),"",$L$711-1),IF($R$17="Distrato",$E1008,0)),MIN(AX$38,$D$19),$P$20))-SUM($P1008:AW1008)</f>
        <v>#VALUE!</v>
      </c>
      <c r="AY1008" s="446" t="e">
        <f>IF(OR($B1008="",MIN(AY$38,$D$19)&lt;MAX($P$708*($B1008+IF($R$17="Distrato",$I$38-1,0)),IF(AND($L$711=0,$P$708=0),"",$L$711-1),IF($R$17="Distrato",$E1008,0))),0,YEARFRAC(MAX($P$708*($B1008+IF($R$17="Distrato",$I$38-1,0)),IF(AND($L$711=0,$P$708=0),"",$L$711-1),IF($R$17="Distrato",$E1008,0)),MIN(AY$38,$D$19),$P$20))-SUM($P1008:AX1008)</f>
        <v>#VALUE!</v>
      </c>
      <c r="AZ1008" s="446" t="e">
        <f>IF(OR($B1008="",MIN(AZ$38,$D$19)&lt;MAX($P$708*($B1008+IF($R$17="Distrato",$I$38-1,0)),IF(AND($L$711=0,$P$708=0),"",$L$711-1),IF($R$17="Distrato",$E1008,0))),0,YEARFRAC(MAX($P$708*($B1008+IF($R$17="Distrato",$I$38-1,0)),IF(AND($L$711=0,$P$708=0),"",$L$711-1),IF($R$17="Distrato",$E1008,0)),MIN(AZ$38,$D$19),$P$20))-SUM($P1008:AY1008)</f>
        <v>#VALUE!</v>
      </c>
      <c r="BA1008" s="446" t="e">
        <f>IF(OR($B1008="",MIN(BA$38,$D$19)&lt;MAX($P$708*($B1008+IF($R$17="Distrato",$I$38-1,0)),IF(AND($L$711=0,$P$708=0),"",$L$711-1),IF($R$17="Distrato",$E1008,0))),0,YEARFRAC(MAX($P$708*($B1008+IF($R$17="Distrato",$I$38-1,0)),IF(AND($L$711=0,$P$708=0),"",$L$711-1),IF($R$17="Distrato",$E1008,0)),MIN(BA$38,$D$19),$P$20))-SUM($P1008:AZ1008)</f>
        <v>#VALUE!</v>
      </c>
      <c r="BB1008" s="447"/>
    </row>
    <row r="1009" spans="1:54" s="446" customFormat="1" ht="11.25" hidden="1" customHeight="1" x14ac:dyDescent="0.2">
      <c r="A1009" s="235"/>
      <c r="B1009" s="236"/>
      <c r="C1009" s="29" t="str">
        <f>IF(B1009="","",IF($L$709=$BL$25,VLOOKUP(DATE(YEAR($D$19),MONTH($D$19)-1,1),ÍNDICES!$A:$DE,HLOOKUP($BL$25,ÍNDICES!$B$3:$T$4,2)+11)-VLOOKUP(B1009,ÍNDICES!$A:$DE,HLOOKUP($BL$25,ÍNDICES!$B$3:$T$4,2)+11)+1%,IF(C$712=$W$26,$J$35,IF(ISERROR(IF(B1009&gt;$D$19,1,VLOOKUP(DATE(YEAR(B1009),MONTH(B1009)+IF($C$709=$S$23,1,0),1),ÍNDICES!$A:$DE,$Z$709+1))),"",IF(B1009&gt;$D$19,1,VLOOKUP(DATE(YEAR(B1009),MONTH(B1009)+IF($C$709=$S$23,1,0),1),ÍNDICES!$A:$DE,$Z$709+1))))))</f>
        <v/>
      </c>
      <c r="D1009" s="155"/>
      <c r="E1009" s="88"/>
      <c r="F1009" s="88"/>
      <c r="G1009" s="88"/>
      <c r="H1009" s="118"/>
      <c r="I1009" s="182">
        <f t="shared" si="143"/>
        <v>0</v>
      </c>
      <c r="J1009" s="20">
        <f t="shared" ca="1" si="144"/>
        <v>0</v>
      </c>
      <c r="K1009" s="5">
        <f t="shared" ca="1" si="145"/>
        <v>0</v>
      </c>
      <c r="L1009" s="61">
        <f t="shared" ca="1" si="146"/>
        <v>0</v>
      </c>
      <c r="M1009" s="64">
        <f t="shared" si="147"/>
        <v>0</v>
      </c>
      <c r="N1009" s="151"/>
      <c r="O1009" s="5">
        <f t="shared" ca="1" si="148"/>
        <v>0</v>
      </c>
      <c r="P1009" s="446" t="e">
        <f t="shared" si="149"/>
        <v>#VALUE!</v>
      </c>
      <c r="Q1009" s="446" t="e">
        <f>IF(OR($B1009="",MIN(Q$38,$D$19)&lt;MAX($P$708*($B1009+IF($R$17="Distrato",$I$38-1,0)),IF(AND($L$711=0,$P$708=0),"",$L$711-1),IF($R$17="Distrato",$E1009,0))),0,YEARFRAC(MAX($P$708*($B1009+IF($R$17="Distrato",$I$38-1,0)),IF(AND($L$711=0,$P$708=0),"",$L$711-1),IF($R$17="Distrato",$E1009,0)),MIN(Q$38,$D$19),$P$20))-SUM($P1009:P1009)</f>
        <v>#VALUE!</v>
      </c>
      <c r="R1009" s="446" t="e">
        <f>IF(OR($B1009="",MIN(R$38,$D$19)&lt;MAX($P$708*($B1009+IF($R$17="Distrato",$I$38-1,0)),IF(AND($L$711=0,$P$708=0),"",$L$711-1),IF($R$17="Distrato",$E1009,0))),0,YEARFRAC(MAX($P$708*($B1009+IF($R$17="Distrato",$I$38-1,0)),IF(AND($L$711=0,$P$708=0),"",$L$711-1),IF($R$17="Distrato",$E1009,0)),MIN(R$38,$D$19),$P$20))-SUM($P1009:Q1009)</f>
        <v>#VALUE!</v>
      </c>
      <c r="S1009" s="446" t="e">
        <f>IF(OR($B1009="",MIN(S$38,$D$19)&lt;MAX($P$708*($B1009+IF($R$17="Distrato",$I$38-1,0)),IF(AND($L$711=0,$P$708=0),"",$L$711-1),IF($R$17="Distrato",$E1009,0))),0,YEARFRAC(MAX($P$708*($B1009+IF($R$17="Distrato",$I$38-1,0)),IF(AND($L$711=0,$P$708=0),"",$L$711-1),IF($R$17="Distrato",$E1009,0)),MIN(S$38,$D$19),$P$20))-SUM($P1009:R1009)</f>
        <v>#VALUE!</v>
      </c>
      <c r="T1009" s="446" t="e">
        <f>IF(OR($B1009="",MIN(T$38,$D$19)&lt;MAX($P$708*($B1009+IF($R$17="Distrato",$I$38-1,0)),IF(AND($L$711=0,$P$708=0),"",$L$711-1),IF($R$17="Distrato",$E1009,0))),0,YEARFRAC(MAX($P$708*($B1009+IF($R$17="Distrato",$I$38-1,0)),IF(AND($L$711=0,$P$708=0),"",$L$711-1),IF($R$17="Distrato",$E1009,0)),MIN(T$38,$D$19),$P$20))-SUM($P1009:S1009)</f>
        <v>#VALUE!</v>
      </c>
      <c r="U1009" s="446" t="e">
        <f>IF(OR($B1009="",MIN(U$38,$D$19)&lt;MAX($P$708*($B1009+IF($R$17="Distrato",$I$38-1,0)),IF(AND($L$711=0,$P$708=0),"",$L$711-1),IF($R$17="Distrato",$E1009,0))),0,YEARFRAC(MAX($P$708*($B1009+IF($R$17="Distrato",$I$38-1,0)),IF(AND($L$711=0,$P$708=0),"",$L$711-1),IF($R$17="Distrato",$E1009,0)),MIN(U$38,$D$19),$P$20))-SUM($P1009:T1009)</f>
        <v>#VALUE!</v>
      </c>
      <c r="V1009" s="446" t="e">
        <f>IF(OR($B1009="",MIN(V$38,$D$19)&lt;MAX($P$708*($B1009+IF($R$17="Distrato",$I$38-1,0)),IF(AND($L$711=0,$P$708=0),"",$L$711-1),IF($R$17="Distrato",$E1009,0))),0,YEARFRAC(MAX($P$708*($B1009+IF($R$17="Distrato",$I$38-1,0)),IF(AND($L$711=0,$P$708=0),"",$L$711-1),IF($R$17="Distrato",$E1009,0)),MIN(V$38,$D$19),$P$20))-SUM($P1009:U1009)</f>
        <v>#VALUE!</v>
      </c>
      <c r="W1009" s="446" t="e">
        <f>IF(OR($B1009="",MIN(W$38,$D$19)&lt;MAX($P$708*($B1009+IF($R$17="Distrato",$I$38-1,0)),IF(AND($L$711=0,$P$708=0),"",$L$711-1),IF($R$17="Distrato",$E1009,0))),0,YEARFRAC(MAX($P$708*($B1009+IF($R$17="Distrato",$I$38-1,0)),IF(AND($L$711=0,$P$708=0),"",$L$711-1),IF($R$17="Distrato",$E1009,0)),MIN(W$38,$D$19),$P$20))-SUM($P1009:V1009)</f>
        <v>#VALUE!</v>
      </c>
      <c r="X1009" s="446" t="e">
        <f>IF(OR($B1009="",MIN(X$38,$D$19)&lt;MAX($P$708*($B1009+IF($R$17="Distrato",$I$38-1,0)),IF(AND($L$711=0,$P$708=0),"",$L$711-1),IF($R$17="Distrato",$E1009,0))),0,YEARFRAC(MAX($P$708*($B1009+IF($R$17="Distrato",$I$38-1,0)),IF(AND($L$711=0,$P$708=0),"",$L$711-1),IF($R$17="Distrato",$E1009,0)),MIN(X$38,$D$19),$P$20))-SUM($P1009:W1009)</f>
        <v>#VALUE!</v>
      </c>
      <c r="Y1009" s="446" t="e">
        <f>IF(OR($B1009="",MIN(Y$38,$D$19)&lt;MAX($P$708*($B1009+IF($R$17="Distrato",$I$38-1,0)),IF(AND($L$711=0,$P$708=0),"",$L$711-1),IF($R$17="Distrato",$E1009,0))),0,YEARFRAC(MAX($P$708*($B1009+IF($R$17="Distrato",$I$38-1,0)),IF(AND($L$711=0,$P$708=0),"",$L$711-1),IF($R$17="Distrato",$E1009,0)),MIN(Y$38,$D$19),$P$20))-SUM($P1009:X1009)</f>
        <v>#VALUE!</v>
      </c>
      <c r="Z1009" s="446" t="e">
        <f>IF(OR($B1009="",MIN(Z$38,$D$19)&lt;MAX($P$708*($B1009+IF($R$17="Distrato",$I$38-1,0)),IF(AND($L$711=0,$P$708=0),"",$L$711-1),IF($R$17="Distrato",$E1009,0))),0,YEARFRAC(MAX($P$708*($B1009+IF($R$17="Distrato",$I$38-1,0)),IF(AND($L$711=0,$P$708=0),"",$L$711-1),IF($R$17="Distrato",$E1009,0)),MIN(Z$38,$D$19),$P$20))-SUM($P1009:Y1009)</f>
        <v>#VALUE!</v>
      </c>
      <c r="AA1009" s="446" t="e">
        <f>IF(OR($B1009="",MIN(AA$38,$D$19)&lt;MAX($P$708*($B1009+IF($R$17="Distrato",$I$38-1,0)),IF(AND($L$711=0,$P$708=0),"",$L$711-1),IF($R$17="Distrato",$E1009,0))),0,YEARFRAC(MAX($P$708*($B1009+IF($R$17="Distrato",$I$38-1,0)),IF(AND($L$711=0,$P$708=0),"",$L$711-1),IF($R$17="Distrato",$E1009,0)),MIN(AA$38,$D$19),$P$20))-SUM($P1009:Z1009)</f>
        <v>#VALUE!</v>
      </c>
      <c r="AB1009" s="446" t="e">
        <f>IF(OR($B1009="",MIN(AB$38,$D$19)&lt;MAX($P$708*($B1009+IF($R$17="Distrato",$I$38-1,0)),IF(AND($L$711=0,$P$708=0),"",$L$711-1),IF($R$17="Distrato",$E1009,0))),0,YEARFRAC(MAX($P$708*($B1009+IF($R$17="Distrato",$I$38-1,0)),IF(AND($L$711=0,$P$708=0),"",$L$711-1),IF($R$17="Distrato",$E1009,0)),MIN(AB$38,$D$19),$P$20))-SUM($P1009:AA1009)</f>
        <v>#VALUE!</v>
      </c>
      <c r="AC1009" s="446" t="e">
        <f>IF(OR($B1009="",MIN(AC$38,$D$19)&lt;MAX($P$708*($B1009+IF($R$17="Distrato",$I$38-1,0)),IF(AND($L$711=0,$P$708=0),"",$L$711-1),IF($R$17="Distrato",$E1009,0))),0,YEARFRAC(MAX($P$708*($B1009+IF($R$17="Distrato",$I$38-1,0)),IF(AND($L$711=0,$P$708=0),"",$L$711-1),IF($R$17="Distrato",$E1009,0)),MIN(AC$38,$D$19),$P$20))-SUM($P1009:AB1009)</f>
        <v>#VALUE!</v>
      </c>
      <c r="AD1009" s="446" t="e">
        <f>IF(OR($B1009="",MIN(AD$38,$D$19)&lt;MAX($P$708*($B1009+IF($R$17="Distrato",$I$38-1,0)),IF(AND($L$711=0,$P$708=0),"",$L$711-1),IF($R$17="Distrato",$E1009,0))),0,YEARFRAC(MAX($P$708*($B1009+IF($R$17="Distrato",$I$38-1,0)),IF(AND($L$711=0,$P$708=0),"",$L$711-1),IF($R$17="Distrato",$E1009,0)),MIN(AD$38,$D$19),$P$20))-SUM($P1009:AC1009)</f>
        <v>#VALUE!</v>
      </c>
      <c r="AE1009" s="446" t="e">
        <f>IF(OR($B1009="",MIN(AE$38,$D$19)&lt;MAX($P$708*($B1009+IF($R$17="Distrato",$I$38-1,0)),IF(AND($L$711=0,$P$708=0),"",$L$711-1),IF($R$17="Distrato",$E1009,0))),0,YEARFRAC(MAX($P$708*($B1009+IF($R$17="Distrato",$I$38-1,0)),IF(AND($L$711=0,$P$708=0),"",$L$711-1),IF($R$17="Distrato",$E1009,0)),MIN(AE$38,$D$19),$P$20))-SUM($P1009:AD1009)</f>
        <v>#VALUE!</v>
      </c>
      <c r="AF1009" s="446" t="e">
        <f>IF(OR($B1009="",MIN(AF$38,$D$19)&lt;MAX($P$708*($B1009+IF($R$17="Distrato",$I$38-1,0)),IF(AND($L$711=0,$P$708=0),"",$L$711-1),IF($R$17="Distrato",$E1009,0))),0,YEARFRAC(MAX($P$708*($B1009+IF($R$17="Distrato",$I$38-1,0)),IF(AND($L$711=0,$P$708=0),"",$L$711-1),IF($R$17="Distrato",$E1009,0)),MIN(AF$38,$D$19),$P$20))-SUM($P1009:AE1009)</f>
        <v>#VALUE!</v>
      </c>
      <c r="AG1009" s="446" t="e">
        <f>IF(OR($B1009="",MIN(AG$38,$D$19)&lt;MAX($P$708*($B1009+IF($R$17="Distrato",$I$38-1,0)),IF(AND($L$711=0,$P$708=0),"",$L$711-1),IF($R$17="Distrato",$E1009,0))),0,YEARFRAC(MAX($P$708*($B1009+IF($R$17="Distrato",$I$38-1,0)),IF(AND($L$711=0,$P$708=0),"",$L$711-1),IF($R$17="Distrato",$E1009,0)),MIN(AG$38,$D$19),$P$20))-SUM($P1009:AF1009)</f>
        <v>#VALUE!</v>
      </c>
      <c r="AH1009" s="446" t="e">
        <f>IF(OR($B1009="",MIN(AH$38,$D$19)&lt;MAX($P$708*($B1009+IF($R$17="Distrato",$I$38-1,0)),IF(AND($L$711=0,$P$708=0),"",$L$711-1),IF($R$17="Distrato",$E1009,0))),0,YEARFRAC(MAX($P$708*($B1009+IF($R$17="Distrato",$I$38-1,0)),IF(AND($L$711=0,$P$708=0),"",$L$711-1),IF($R$17="Distrato",$E1009,0)),MIN(AH$38,$D$19),$P$20))-SUM($P1009:AG1009)</f>
        <v>#VALUE!</v>
      </c>
      <c r="AI1009" s="446" t="e">
        <f>IF(OR($B1009="",MIN(AI$38,$D$19)&lt;MAX($P$708*($B1009+IF($R$17="Distrato",$I$38-1,0)),IF(AND($L$711=0,$P$708=0),"",$L$711-1),IF($R$17="Distrato",$E1009,0))),0,YEARFRAC(MAX($P$708*($B1009+IF($R$17="Distrato",$I$38-1,0)),IF(AND($L$711=0,$P$708=0),"",$L$711-1),IF($R$17="Distrato",$E1009,0)),MIN(AI$38,$D$19),$P$20))-SUM($P1009:AH1009)</f>
        <v>#VALUE!</v>
      </c>
      <c r="AJ1009" s="446" t="e">
        <f>IF(OR($B1009="",MIN(AJ$38,$D$19)&lt;MAX($P$708*($B1009+IF($R$17="Distrato",$I$38-1,0)),IF(AND($L$711=0,$P$708=0),"",$L$711-1),IF($R$17="Distrato",$E1009,0))),0,YEARFRAC(MAX($P$708*($B1009+IF($R$17="Distrato",$I$38-1,0)),IF(AND($L$711=0,$P$708=0),"",$L$711-1),IF($R$17="Distrato",$E1009,0)),MIN(AJ$38,$D$19),$P$20))-SUM($P1009:AI1009)</f>
        <v>#VALUE!</v>
      </c>
      <c r="AK1009" s="446" t="e">
        <f>IF(OR($B1009="",MIN(AK$38,$D$19)&lt;MAX($P$708*($B1009+IF($R$17="Distrato",$I$38-1,0)),IF(AND($L$711=0,$P$708=0),"",$L$711-1),IF($R$17="Distrato",$E1009,0))),0,YEARFRAC(MAX($P$708*($B1009+IF($R$17="Distrato",$I$38-1,0)),IF(AND($L$711=0,$P$708=0),"",$L$711-1),IF($R$17="Distrato",$E1009,0)),MIN(AK$38,$D$19),$P$20))-SUM($P1009:AJ1009)</f>
        <v>#VALUE!</v>
      </c>
      <c r="AL1009" s="446" t="e">
        <f>IF(OR($B1009="",MIN(AL$38,$D$19)&lt;MAX($P$708*($B1009+IF($R$17="Distrato",$I$38-1,0)),IF(AND($L$711=0,$P$708=0),"",$L$711-1),IF($R$17="Distrato",$E1009,0))),0,YEARFRAC(MAX($P$708*($B1009+IF($R$17="Distrato",$I$38-1,0)),IF(AND($L$711=0,$P$708=0),"",$L$711-1),IF($R$17="Distrato",$E1009,0)),MIN(AL$38,$D$19),$P$20))-SUM($P1009:AK1009)</f>
        <v>#VALUE!</v>
      </c>
      <c r="AM1009" s="446" t="e">
        <f>IF(OR($B1009="",MIN(AM$38,$D$19)&lt;MAX($P$708*($B1009+IF($R$17="Distrato",$I$38-1,0)),IF(AND($L$711=0,$P$708=0),"",$L$711-1),IF($R$17="Distrato",$E1009,0))),0,YEARFRAC(MAX($P$708*($B1009+IF($R$17="Distrato",$I$38-1,0)),IF(AND($L$711=0,$P$708=0),"",$L$711-1),IF($R$17="Distrato",$E1009,0)),MIN(AM$38,$D$19),$P$20))-SUM($P1009:AL1009)</f>
        <v>#VALUE!</v>
      </c>
      <c r="AN1009" s="446" t="e">
        <f>IF(OR($B1009="",MIN(AN$38,$D$19)&lt;MAX($P$708*($B1009+IF($R$17="Distrato",$I$38-1,0)),IF(AND($L$711=0,$P$708=0),"",$L$711-1),IF($R$17="Distrato",$E1009,0))),0,YEARFRAC(MAX($P$708*($B1009+IF($R$17="Distrato",$I$38-1,0)),IF(AND($L$711=0,$P$708=0),"",$L$711-1),IF($R$17="Distrato",$E1009,0)),MIN(AN$38,$D$19),$P$20))-SUM($P1009:AM1009)</f>
        <v>#VALUE!</v>
      </c>
      <c r="AO1009" s="446" t="e">
        <f>IF(OR($B1009="",MIN(AO$38,$D$19)&lt;MAX($P$708*($B1009+IF($R$17="Distrato",$I$38-1,0)),IF(AND($L$711=0,$P$708=0),"",$L$711-1),IF($R$17="Distrato",$E1009,0))),0,YEARFRAC(MAX($P$708*($B1009+IF($R$17="Distrato",$I$38-1,0)),IF(AND($L$711=0,$P$708=0),"",$L$711-1),IF($R$17="Distrato",$E1009,0)),MIN(AO$38,$D$19),$P$20))-SUM($P1009:AN1009)</f>
        <v>#VALUE!</v>
      </c>
      <c r="AP1009" s="446" t="e">
        <f>IF(OR($B1009="",MIN(AP$38,$D$19)&lt;MAX($P$708*($B1009+IF($R$17="Distrato",$I$38-1,0)),IF(AND($L$711=0,$P$708=0),"",$L$711-1),IF($R$17="Distrato",$E1009,0))),0,YEARFRAC(MAX($P$708*($B1009+IF($R$17="Distrato",$I$38-1,0)),IF(AND($L$711=0,$P$708=0),"",$L$711-1),IF($R$17="Distrato",$E1009,0)),MIN(AP$38,$D$19),$P$20))-SUM($P1009:AO1009)</f>
        <v>#VALUE!</v>
      </c>
      <c r="AQ1009" s="446" t="e">
        <f>IF(OR($B1009="",MIN(AQ$38,$D$19)&lt;MAX($P$708*($B1009+IF($R$17="Distrato",$I$38-1,0)),IF(AND($L$711=0,$P$708=0),"",$L$711-1),IF($R$17="Distrato",$E1009,0))),0,YEARFRAC(MAX($P$708*($B1009+IF($R$17="Distrato",$I$38-1,0)),IF(AND($L$711=0,$P$708=0),"",$L$711-1),IF($R$17="Distrato",$E1009,0)),MIN(AQ$38,$D$19),$P$20))-SUM($P1009:AP1009)</f>
        <v>#VALUE!</v>
      </c>
      <c r="AR1009" s="446" t="e">
        <f>IF(OR($B1009="",MIN(AR$38,$D$19)&lt;MAX($P$708*($B1009+IF($R$17="Distrato",$I$38-1,0)),IF(AND($L$711=0,$P$708=0),"",$L$711-1),IF($R$17="Distrato",$E1009,0))),0,YEARFRAC(MAX($P$708*($B1009+IF($R$17="Distrato",$I$38-1,0)),IF(AND($L$711=0,$P$708=0),"",$L$711-1),IF($R$17="Distrato",$E1009,0)),MIN(AR$38,$D$19),$P$20))-SUM($P1009:AQ1009)</f>
        <v>#VALUE!</v>
      </c>
      <c r="AS1009" s="446" t="e">
        <f>IF(OR($B1009="",MIN(AS$38,$D$19)&lt;MAX($P$708*($B1009+IF($R$17="Distrato",$I$38-1,0)),IF(AND($L$711=0,$P$708=0),"",$L$711-1),IF($R$17="Distrato",$E1009,0))),0,YEARFRAC(MAX($P$708*($B1009+IF($R$17="Distrato",$I$38-1,0)),IF(AND($L$711=0,$P$708=0),"",$L$711-1),IF($R$17="Distrato",$E1009,0)),MIN(AS$38,$D$19),$P$20))-SUM($P1009:AR1009)</f>
        <v>#VALUE!</v>
      </c>
      <c r="AT1009" s="446" t="e">
        <f>IF(OR($B1009="",MIN(AT$38,$D$19)&lt;MAX($P$708*($B1009+IF($R$17="Distrato",$I$38-1,0)),IF(AND($L$711=0,$P$708=0),"",$L$711-1),IF($R$17="Distrato",$E1009,0))),0,YEARFRAC(MAX($P$708*($B1009+IF($R$17="Distrato",$I$38-1,0)),IF(AND($L$711=0,$P$708=0),"",$L$711-1),IF($R$17="Distrato",$E1009,0)),MIN(AT$38,$D$19),$P$20))-SUM($P1009:AS1009)</f>
        <v>#VALUE!</v>
      </c>
      <c r="AU1009" s="446" t="e">
        <f>IF(OR($B1009="",MIN(AU$38,$D$19)&lt;MAX($P$708*($B1009+IF($R$17="Distrato",$I$38-1,0)),IF(AND($L$711=0,$P$708=0),"",$L$711-1),IF($R$17="Distrato",$E1009,0))),0,YEARFRAC(MAX($P$708*($B1009+IF($R$17="Distrato",$I$38-1,0)),IF(AND($L$711=0,$P$708=0),"",$L$711-1),IF($R$17="Distrato",$E1009,0)),MIN(AU$38,$D$19),$P$20))-SUM($P1009:AT1009)</f>
        <v>#VALUE!</v>
      </c>
      <c r="AV1009" s="446" t="e">
        <f>IF(OR($B1009="",MIN(AV$38,$D$19)&lt;MAX($P$708*($B1009+IF($R$17="Distrato",$I$38-1,0)),IF(AND($L$711=0,$P$708=0),"",$L$711-1),IF($R$17="Distrato",$E1009,0))),0,YEARFRAC(MAX($P$708*($B1009+IF($R$17="Distrato",$I$38-1,0)),IF(AND($L$711=0,$P$708=0),"",$L$711-1),IF($R$17="Distrato",$E1009,0)),MIN(AV$38,$D$19),$P$20))-SUM($P1009:AU1009)</f>
        <v>#VALUE!</v>
      </c>
      <c r="AW1009" s="446" t="e">
        <f>IF(OR($B1009="",MIN(AW$38,$D$19)&lt;MAX($P$708*($B1009+IF($R$17="Distrato",$I$38-1,0)),IF(AND($L$711=0,$P$708=0),"",$L$711-1),IF($R$17="Distrato",$E1009,0))),0,YEARFRAC(MAX($P$708*($B1009+IF($R$17="Distrato",$I$38-1,0)),IF(AND($L$711=0,$P$708=0),"",$L$711-1),IF($R$17="Distrato",$E1009,0)),MIN(AW$38,$D$19),$P$20))-SUM($P1009:AV1009)</f>
        <v>#VALUE!</v>
      </c>
      <c r="AX1009" s="446" t="e">
        <f>IF(OR($B1009="",MIN(AX$38,$D$19)&lt;MAX($P$708*($B1009+IF($R$17="Distrato",$I$38-1,0)),IF(AND($L$711=0,$P$708=0),"",$L$711-1),IF($R$17="Distrato",$E1009,0))),0,YEARFRAC(MAX($P$708*($B1009+IF($R$17="Distrato",$I$38-1,0)),IF(AND($L$711=0,$P$708=0),"",$L$711-1),IF($R$17="Distrato",$E1009,0)),MIN(AX$38,$D$19),$P$20))-SUM($P1009:AW1009)</f>
        <v>#VALUE!</v>
      </c>
      <c r="AY1009" s="446" t="e">
        <f>IF(OR($B1009="",MIN(AY$38,$D$19)&lt;MAX($P$708*($B1009+IF($R$17="Distrato",$I$38-1,0)),IF(AND($L$711=0,$P$708=0),"",$L$711-1),IF($R$17="Distrato",$E1009,0))),0,YEARFRAC(MAX($P$708*($B1009+IF($R$17="Distrato",$I$38-1,0)),IF(AND($L$711=0,$P$708=0),"",$L$711-1),IF($R$17="Distrato",$E1009,0)),MIN(AY$38,$D$19),$P$20))-SUM($P1009:AX1009)</f>
        <v>#VALUE!</v>
      </c>
      <c r="AZ1009" s="446" t="e">
        <f>IF(OR($B1009="",MIN(AZ$38,$D$19)&lt;MAX($P$708*($B1009+IF($R$17="Distrato",$I$38-1,0)),IF(AND($L$711=0,$P$708=0),"",$L$711-1),IF($R$17="Distrato",$E1009,0))),0,YEARFRAC(MAX($P$708*($B1009+IF($R$17="Distrato",$I$38-1,0)),IF(AND($L$711=0,$P$708=0),"",$L$711-1),IF($R$17="Distrato",$E1009,0)),MIN(AZ$38,$D$19),$P$20))-SUM($P1009:AY1009)</f>
        <v>#VALUE!</v>
      </c>
      <c r="BA1009" s="446" t="e">
        <f>IF(OR($B1009="",MIN(BA$38,$D$19)&lt;MAX($P$708*($B1009+IF($R$17="Distrato",$I$38-1,0)),IF(AND($L$711=0,$P$708=0),"",$L$711-1),IF($R$17="Distrato",$E1009,0))),0,YEARFRAC(MAX($P$708*($B1009+IF($R$17="Distrato",$I$38-1,0)),IF(AND($L$711=0,$P$708=0),"",$L$711-1),IF($R$17="Distrato",$E1009,0)),MIN(BA$38,$D$19),$P$20))-SUM($P1009:AZ1009)</f>
        <v>#VALUE!</v>
      </c>
      <c r="BB1009" s="447"/>
    </row>
    <row r="1010" spans="1:54" s="446" customFormat="1" ht="11.25" hidden="1" customHeight="1" x14ac:dyDescent="0.2">
      <c r="A1010" s="235"/>
      <c r="B1010" s="236"/>
      <c r="C1010" s="29" t="str">
        <f>IF(B1010="","",IF($L$709=$BL$25,VLOOKUP(DATE(YEAR($D$19),MONTH($D$19)-1,1),ÍNDICES!$A:$DE,HLOOKUP($BL$25,ÍNDICES!$B$3:$T$4,2)+11)-VLOOKUP(B1010,ÍNDICES!$A:$DE,HLOOKUP($BL$25,ÍNDICES!$B$3:$T$4,2)+11)+1%,IF(C$712=$W$26,$J$35,IF(ISERROR(IF(B1010&gt;$D$19,1,VLOOKUP(DATE(YEAR(B1010),MONTH(B1010)+IF($C$709=$S$23,1,0),1),ÍNDICES!$A:$DE,$Z$709+1))),"",IF(B1010&gt;$D$19,1,VLOOKUP(DATE(YEAR(B1010),MONTH(B1010)+IF($C$709=$S$23,1,0),1),ÍNDICES!$A:$DE,$Z$709+1))))))</f>
        <v/>
      </c>
      <c r="D1010" s="155"/>
      <c r="E1010" s="88"/>
      <c r="F1010" s="88"/>
      <c r="G1010" s="88"/>
      <c r="H1010" s="118"/>
      <c r="I1010" s="182">
        <f t="shared" si="143"/>
        <v>0</v>
      </c>
      <c r="J1010" s="20">
        <f t="shared" ca="1" si="144"/>
        <v>0</v>
      </c>
      <c r="K1010" s="5">
        <f t="shared" ca="1" si="145"/>
        <v>0</v>
      </c>
      <c r="L1010" s="61">
        <f t="shared" ca="1" si="146"/>
        <v>0</v>
      </c>
      <c r="M1010" s="64">
        <f t="shared" si="147"/>
        <v>0</v>
      </c>
      <c r="N1010" s="151"/>
      <c r="O1010" s="5">
        <f t="shared" ca="1" si="148"/>
        <v>0</v>
      </c>
      <c r="P1010" s="446" t="e">
        <f t="shared" si="149"/>
        <v>#VALUE!</v>
      </c>
      <c r="Q1010" s="446" t="e">
        <f>IF(OR($B1010="",MIN(Q$38,$D$19)&lt;MAX($P$708*($B1010+IF($R$17="Distrato",$I$38-1,0)),IF(AND($L$711=0,$P$708=0),"",$L$711-1),IF($R$17="Distrato",$E1010,0))),0,YEARFRAC(MAX($P$708*($B1010+IF($R$17="Distrato",$I$38-1,0)),IF(AND($L$711=0,$P$708=0),"",$L$711-1),IF($R$17="Distrato",$E1010,0)),MIN(Q$38,$D$19),$P$20))-SUM($P1010:P1010)</f>
        <v>#VALUE!</v>
      </c>
      <c r="R1010" s="446" t="e">
        <f>IF(OR($B1010="",MIN(R$38,$D$19)&lt;MAX($P$708*($B1010+IF($R$17="Distrato",$I$38-1,0)),IF(AND($L$711=0,$P$708=0),"",$L$711-1),IF($R$17="Distrato",$E1010,0))),0,YEARFRAC(MAX($P$708*($B1010+IF($R$17="Distrato",$I$38-1,0)),IF(AND($L$711=0,$P$708=0),"",$L$711-1),IF($R$17="Distrato",$E1010,0)),MIN(R$38,$D$19),$P$20))-SUM($P1010:Q1010)</f>
        <v>#VALUE!</v>
      </c>
      <c r="S1010" s="446" t="e">
        <f>IF(OR($B1010="",MIN(S$38,$D$19)&lt;MAX($P$708*($B1010+IF($R$17="Distrato",$I$38-1,0)),IF(AND($L$711=0,$P$708=0),"",$L$711-1),IF($R$17="Distrato",$E1010,0))),0,YEARFRAC(MAX($P$708*($B1010+IF($R$17="Distrato",$I$38-1,0)),IF(AND($L$711=0,$P$708=0),"",$L$711-1),IF($R$17="Distrato",$E1010,0)),MIN(S$38,$D$19),$P$20))-SUM($P1010:R1010)</f>
        <v>#VALUE!</v>
      </c>
      <c r="T1010" s="446" t="e">
        <f>IF(OR($B1010="",MIN(T$38,$D$19)&lt;MAX($P$708*($B1010+IF($R$17="Distrato",$I$38-1,0)),IF(AND($L$711=0,$P$708=0),"",$L$711-1),IF($R$17="Distrato",$E1010,0))),0,YEARFRAC(MAX($P$708*($B1010+IF($R$17="Distrato",$I$38-1,0)),IF(AND($L$711=0,$P$708=0),"",$L$711-1),IF($R$17="Distrato",$E1010,0)),MIN(T$38,$D$19),$P$20))-SUM($P1010:S1010)</f>
        <v>#VALUE!</v>
      </c>
      <c r="U1010" s="446" t="e">
        <f>IF(OR($B1010="",MIN(U$38,$D$19)&lt;MAX($P$708*($B1010+IF($R$17="Distrato",$I$38-1,0)),IF(AND($L$711=0,$P$708=0),"",$L$711-1),IF($R$17="Distrato",$E1010,0))),0,YEARFRAC(MAX($P$708*($B1010+IF($R$17="Distrato",$I$38-1,0)),IF(AND($L$711=0,$P$708=0),"",$L$711-1),IF($R$17="Distrato",$E1010,0)),MIN(U$38,$D$19),$P$20))-SUM($P1010:T1010)</f>
        <v>#VALUE!</v>
      </c>
      <c r="V1010" s="446" t="e">
        <f>IF(OR($B1010="",MIN(V$38,$D$19)&lt;MAX($P$708*($B1010+IF($R$17="Distrato",$I$38-1,0)),IF(AND($L$711=0,$P$708=0),"",$L$711-1),IF($R$17="Distrato",$E1010,0))),0,YEARFRAC(MAX($P$708*($B1010+IF($R$17="Distrato",$I$38-1,0)),IF(AND($L$711=0,$P$708=0),"",$L$711-1),IF($R$17="Distrato",$E1010,0)),MIN(V$38,$D$19),$P$20))-SUM($P1010:U1010)</f>
        <v>#VALUE!</v>
      </c>
      <c r="W1010" s="446" t="e">
        <f>IF(OR($B1010="",MIN(W$38,$D$19)&lt;MAX($P$708*($B1010+IF($R$17="Distrato",$I$38-1,0)),IF(AND($L$711=0,$P$708=0),"",$L$711-1),IF($R$17="Distrato",$E1010,0))),0,YEARFRAC(MAX($P$708*($B1010+IF($R$17="Distrato",$I$38-1,0)),IF(AND($L$711=0,$P$708=0),"",$L$711-1),IF($R$17="Distrato",$E1010,0)),MIN(W$38,$D$19),$P$20))-SUM($P1010:V1010)</f>
        <v>#VALUE!</v>
      </c>
      <c r="X1010" s="446" t="e">
        <f>IF(OR($B1010="",MIN(X$38,$D$19)&lt;MAX($P$708*($B1010+IF($R$17="Distrato",$I$38-1,0)),IF(AND($L$711=0,$P$708=0),"",$L$711-1),IF($R$17="Distrato",$E1010,0))),0,YEARFRAC(MAX($P$708*($B1010+IF($R$17="Distrato",$I$38-1,0)),IF(AND($L$711=0,$P$708=0),"",$L$711-1),IF($R$17="Distrato",$E1010,0)),MIN(X$38,$D$19),$P$20))-SUM($P1010:W1010)</f>
        <v>#VALUE!</v>
      </c>
      <c r="Y1010" s="446" t="e">
        <f>IF(OR($B1010="",MIN(Y$38,$D$19)&lt;MAX($P$708*($B1010+IF($R$17="Distrato",$I$38-1,0)),IF(AND($L$711=0,$P$708=0),"",$L$711-1),IF($R$17="Distrato",$E1010,0))),0,YEARFRAC(MAX($P$708*($B1010+IF($R$17="Distrato",$I$38-1,0)),IF(AND($L$711=0,$P$708=0),"",$L$711-1),IF($R$17="Distrato",$E1010,0)),MIN(Y$38,$D$19),$P$20))-SUM($P1010:X1010)</f>
        <v>#VALUE!</v>
      </c>
      <c r="Z1010" s="446" t="e">
        <f>IF(OR($B1010="",MIN(Z$38,$D$19)&lt;MAX($P$708*($B1010+IF($R$17="Distrato",$I$38-1,0)),IF(AND($L$711=0,$P$708=0),"",$L$711-1),IF($R$17="Distrato",$E1010,0))),0,YEARFRAC(MAX($P$708*($B1010+IF($R$17="Distrato",$I$38-1,0)),IF(AND($L$711=0,$P$708=0),"",$L$711-1),IF($R$17="Distrato",$E1010,0)),MIN(Z$38,$D$19),$P$20))-SUM($P1010:Y1010)</f>
        <v>#VALUE!</v>
      </c>
      <c r="AA1010" s="446" t="e">
        <f>IF(OR($B1010="",MIN(AA$38,$D$19)&lt;MAX($P$708*($B1010+IF($R$17="Distrato",$I$38-1,0)),IF(AND($L$711=0,$P$708=0),"",$L$711-1),IF($R$17="Distrato",$E1010,0))),0,YEARFRAC(MAX($P$708*($B1010+IF($R$17="Distrato",$I$38-1,0)),IF(AND($L$711=0,$P$708=0),"",$L$711-1),IF($R$17="Distrato",$E1010,0)),MIN(AA$38,$D$19),$P$20))-SUM($P1010:Z1010)</f>
        <v>#VALUE!</v>
      </c>
      <c r="AB1010" s="446" t="e">
        <f>IF(OR($B1010="",MIN(AB$38,$D$19)&lt;MAX($P$708*($B1010+IF($R$17="Distrato",$I$38-1,0)),IF(AND($L$711=0,$P$708=0),"",$L$711-1),IF($R$17="Distrato",$E1010,0))),0,YEARFRAC(MAX($P$708*($B1010+IF($R$17="Distrato",$I$38-1,0)),IF(AND($L$711=0,$P$708=0),"",$L$711-1),IF($R$17="Distrato",$E1010,0)),MIN(AB$38,$D$19),$P$20))-SUM($P1010:AA1010)</f>
        <v>#VALUE!</v>
      </c>
      <c r="AC1010" s="446" t="e">
        <f>IF(OR($B1010="",MIN(AC$38,$D$19)&lt;MAX($P$708*($B1010+IF($R$17="Distrato",$I$38-1,0)),IF(AND($L$711=0,$P$708=0),"",$L$711-1),IF($R$17="Distrato",$E1010,0))),0,YEARFRAC(MAX($P$708*($B1010+IF($R$17="Distrato",$I$38-1,0)),IF(AND($L$711=0,$P$708=0),"",$L$711-1),IF($R$17="Distrato",$E1010,0)),MIN(AC$38,$D$19),$P$20))-SUM($P1010:AB1010)</f>
        <v>#VALUE!</v>
      </c>
      <c r="AD1010" s="446" t="e">
        <f>IF(OR($B1010="",MIN(AD$38,$D$19)&lt;MAX($P$708*($B1010+IF($R$17="Distrato",$I$38-1,0)),IF(AND($L$711=0,$P$708=0),"",$L$711-1),IF($R$17="Distrato",$E1010,0))),0,YEARFRAC(MAX($P$708*($B1010+IF($R$17="Distrato",$I$38-1,0)),IF(AND($L$711=0,$P$708=0),"",$L$711-1),IF($R$17="Distrato",$E1010,0)),MIN(AD$38,$D$19),$P$20))-SUM($P1010:AC1010)</f>
        <v>#VALUE!</v>
      </c>
      <c r="AE1010" s="446" t="e">
        <f>IF(OR($B1010="",MIN(AE$38,$D$19)&lt;MAX($P$708*($B1010+IF($R$17="Distrato",$I$38-1,0)),IF(AND($L$711=0,$P$708=0),"",$L$711-1),IF($R$17="Distrato",$E1010,0))),0,YEARFRAC(MAX($P$708*($B1010+IF($R$17="Distrato",$I$38-1,0)),IF(AND($L$711=0,$P$708=0),"",$L$711-1),IF($R$17="Distrato",$E1010,0)),MIN(AE$38,$D$19),$P$20))-SUM($P1010:AD1010)</f>
        <v>#VALUE!</v>
      </c>
      <c r="AF1010" s="446" t="e">
        <f>IF(OR($B1010="",MIN(AF$38,$D$19)&lt;MAX($P$708*($B1010+IF($R$17="Distrato",$I$38-1,0)),IF(AND($L$711=0,$P$708=0),"",$L$711-1),IF($R$17="Distrato",$E1010,0))),0,YEARFRAC(MAX($P$708*($B1010+IF($R$17="Distrato",$I$38-1,0)),IF(AND($L$711=0,$P$708=0),"",$L$711-1),IF($R$17="Distrato",$E1010,0)),MIN(AF$38,$D$19),$P$20))-SUM($P1010:AE1010)</f>
        <v>#VALUE!</v>
      </c>
      <c r="AG1010" s="446" t="e">
        <f>IF(OR($B1010="",MIN(AG$38,$D$19)&lt;MAX($P$708*($B1010+IF($R$17="Distrato",$I$38-1,0)),IF(AND($L$711=0,$P$708=0),"",$L$711-1),IF($R$17="Distrato",$E1010,0))),0,YEARFRAC(MAX($P$708*($B1010+IF($R$17="Distrato",$I$38-1,0)),IF(AND($L$711=0,$P$708=0),"",$L$711-1),IF($R$17="Distrato",$E1010,0)),MIN(AG$38,$D$19),$P$20))-SUM($P1010:AF1010)</f>
        <v>#VALUE!</v>
      </c>
      <c r="AH1010" s="446" t="e">
        <f>IF(OR($B1010="",MIN(AH$38,$D$19)&lt;MAX($P$708*($B1010+IF($R$17="Distrato",$I$38-1,0)),IF(AND($L$711=0,$P$708=0),"",$L$711-1),IF($R$17="Distrato",$E1010,0))),0,YEARFRAC(MAX($P$708*($B1010+IF($R$17="Distrato",$I$38-1,0)),IF(AND($L$711=0,$P$708=0),"",$L$711-1),IF($R$17="Distrato",$E1010,0)),MIN(AH$38,$D$19),$P$20))-SUM($P1010:AG1010)</f>
        <v>#VALUE!</v>
      </c>
      <c r="AI1010" s="446" t="e">
        <f>IF(OR($B1010="",MIN(AI$38,$D$19)&lt;MAX($P$708*($B1010+IF($R$17="Distrato",$I$38-1,0)),IF(AND($L$711=0,$P$708=0),"",$L$711-1),IF($R$17="Distrato",$E1010,0))),0,YEARFRAC(MAX($P$708*($B1010+IF($R$17="Distrato",$I$38-1,0)),IF(AND($L$711=0,$P$708=0),"",$L$711-1),IF($R$17="Distrato",$E1010,0)),MIN(AI$38,$D$19),$P$20))-SUM($P1010:AH1010)</f>
        <v>#VALUE!</v>
      </c>
      <c r="AJ1010" s="446" t="e">
        <f>IF(OR($B1010="",MIN(AJ$38,$D$19)&lt;MAX($P$708*($B1010+IF($R$17="Distrato",$I$38-1,0)),IF(AND($L$711=0,$P$708=0),"",$L$711-1),IF($R$17="Distrato",$E1010,0))),0,YEARFRAC(MAX($P$708*($B1010+IF($R$17="Distrato",$I$38-1,0)),IF(AND($L$711=0,$P$708=0),"",$L$711-1),IF($R$17="Distrato",$E1010,0)),MIN(AJ$38,$D$19),$P$20))-SUM($P1010:AI1010)</f>
        <v>#VALUE!</v>
      </c>
      <c r="AK1010" s="446" t="e">
        <f>IF(OR($B1010="",MIN(AK$38,$D$19)&lt;MAX($P$708*($B1010+IF($R$17="Distrato",$I$38-1,0)),IF(AND($L$711=0,$P$708=0),"",$L$711-1),IF($R$17="Distrato",$E1010,0))),0,YEARFRAC(MAX($P$708*($B1010+IF($R$17="Distrato",$I$38-1,0)),IF(AND($L$711=0,$P$708=0),"",$L$711-1),IF($R$17="Distrato",$E1010,0)),MIN(AK$38,$D$19),$P$20))-SUM($P1010:AJ1010)</f>
        <v>#VALUE!</v>
      </c>
      <c r="AL1010" s="446" t="e">
        <f>IF(OR($B1010="",MIN(AL$38,$D$19)&lt;MAX($P$708*($B1010+IF($R$17="Distrato",$I$38-1,0)),IF(AND($L$711=0,$P$708=0),"",$L$711-1),IF($R$17="Distrato",$E1010,0))),0,YEARFRAC(MAX($P$708*($B1010+IF($R$17="Distrato",$I$38-1,0)),IF(AND($L$711=0,$P$708=0),"",$L$711-1),IF($R$17="Distrato",$E1010,0)),MIN(AL$38,$D$19),$P$20))-SUM($P1010:AK1010)</f>
        <v>#VALUE!</v>
      </c>
      <c r="AM1010" s="446" t="e">
        <f>IF(OR($B1010="",MIN(AM$38,$D$19)&lt;MAX($P$708*($B1010+IF($R$17="Distrato",$I$38-1,0)),IF(AND($L$711=0,$P$708=0),"",$L$711-1),IF($R$17="Distrato",$E1010,0))),0,YEARFRAC(MAX($P$708*($B1010+IF($R$17="Distrato",$I$38-1,0)),IF(AND($L$711=0,$P$708=0),"",$L$711-1),IF($R$17="Distrato",$E1010,0)),MIN(AM$38,$D$19),$P$20))-SUM($P1010:AL1010)</f>
        <v>#VALUE!</v>
      </c>
      <c r="AN1010" s="446" t="e">
        <f>IF(OR($B1010="",MIN(AN$38,$D$19)&lt;MAX($P$708*($B1010+IF($R$17="Distrato",$I$38-1,0)),IF(AND($L$711=0,$P$708=0),"",$L$711-1),IF($R$17="Distrato",$E1010,0))),0,YEARFRAC(MAX($P$708*($B1010+IF($R$17="Distrato",$I$38-1,0)),IF(AND($L$711=0,$P$708=0),"",$L$711-1),IF($R$17="Distrato",$E1010,0)),MIN(AN$38,$D$19),$P$20))-SUM($P1010:AM1010)</f>
        <v>#VALUE!</v>
      </c>
      <c r="AO1010" s="446" t="e">
        <f>IF(OR($B1010="",MIN(AO$38,$D$19)&lt;MAX($P$708*($B1010+IF($R$17="Distrato",$I$38-1,0)),IF(AND($L$711=0,$P$708=0),"",$L$711-1),IF($R$17="Distrato",$E1010,0))),0,YEARFRAC(MAX($P$708*($B1010+IF($R$17="Distrato",$I$38-1,0)),IF(AND($L$711=0,$P$708=0),"",$L$711-1),IF($R$17="Distrato",$E1010,0)),MIN(AO$38,$D$19),$P$20))-SUM($P1010:AN1010)</f>
        <v>#VALUE!</v>
      </c>
      <c r="AP1010" s="446" t="e">
        <f>IF(OR($B1010="",MIN(AP$38,$D$19)&lt;MAX($P$708*($B1010+IF($R$17="Distrato",$I$38-1,0)),IF(AND($L$711=0,$P$708=0),"",$L$711-1),IF($R$17="Distrato",$E1010,0))),0,YEARFRAC(MAX($P$708*($B1010+IF($R$17="Distrato",$I$38-1,0)),IF(AND($L$711=0,$P$708=0),"",$L$711-1),IF($R$17="Distrato",$E1010,0)),MIN(AP$38,$D$19),$P$20))-SUM($P1010:AO1010)</f>
        <v>#VALUE!</v>
      </c>
      <c r="AQ1010" s="446" t="e">
        <f>IF(OR($B1010="",MIN(AQ$38,$D$19)&lt;MAX($P$708*($B1010+IF($R$17="Distrato",$I$38-1,0)),IF(AND($L$711=0,$P$708=0),"",$L$711-1),IF($R$17="Distrato",$E1010,0))),0,YEARFRAC(MAX($P$708*($B1010+IF($R$17="Distrato",$I$38-1,0)),IF(AND($L$711=0,$P$708=0),"",$L$711-1),IF($R$17="Distrato",$E1010,0)),MIN(AQ$38,$D$19),$P$20))-SUM($P1010:AP1010)</f>
        <v>#VALUE!</v>
      </c>
      <c r="AR1010" s="446" t="e">
        <f>IF(OR($B1010="",MIN(AR$38,$D$19)&lt;MAX($P$708*($B1010+IF($R$17="Distrato",$I$38-1,0)),IF(AND($L$711=0,$P$708=0),"",$L$711-1),IF($R$17="Distrato",$E1010,0))),0,YEARFRAC(MAX($P$708*($B1010+IF($R$17="Distrato",$I$38-1,0)),IF(AND($L$711=0,$P$708=0),"",$L$711-1),IF($R$17="Distrato",$E1010,0)),MIN(AR$38,$D$19),$P$20))-SUM($P1010:AQ1010)</f>
        <v>#VALUE!</v>
      </c>
      <c r="AS1010" s="446" t="e">
        <f>IF(OR($B1010="",MIN(AS$38,$D$19)&lt;MAX($P$708*($B1010+IF($R$17="Distrato",$I$38-1,0)),IF(AND($L$711=0,$P$708=0),"",$L$711-1),IF($R$17="Distrato",$E1010,0))),0,YEARFRAC(MAX($P$708*($B1010+IF($R$17="Distrato",$I$38-1,0)),IF(AND($L$711=0,$P$708=0),"",$L$711-1),IF($R$17="Distrato",$E1010,0)),MIN(AS$38,$D$19),$P$20))-SUM($P1010:AR1010)</f>
        <v>#VALUE!</v>
      </c>
      <c r="AT1010" s="446" t="e">
        <f>IF(OR($B1010="",MIN(AT$38,$D$19)&lt;MAX($P$708*($B1010+IF($R$17="Distrato",$I$38-1,0)),IF(AND($L$711=0,$P$708=0),"",$L$711-1),IF($R$17="Distrato",$E1010,0))),0,YEARFRAC(MAX($P$708*($B1010+IF($R$17="Distrato",$I$38-1,0)),IF(AND($L$711=0,$P$708=0),"",$L$711-1),IF($R$17="Distrato",$E1010,0)),MIN(AT$38,$D$19),$P$20))-SUM($P1010:AS1010)</f>
        <v>#VALUE!</v>
      </c>
      <c r="AU1010" s="446" t="e">
        <f>IF(OR($B1010="",MIN(AU$38,$D$19)&lt;MAX($P$708*($B1010+IF($R$17="Distrato",$I$38-1,0)),IF(AND($L$711=0,$P$708=0),"",$L$711-1),IF($R$17="Distrato",$E1010,0))),0,YEARFRAC(MAX($P$708*($B1010+IF($R$17="Distrato",$I$38-1,0)),IF(AND($L$711=0,$P$708=0),"",$L$711-1),IF($R$17="Distrato",$E1010,0)),MIN(AU$38,$D$19),$P$20))-SUM($P1010:AT1010)</f>
        <v>#VALUE!</v>
      </c>
      <c r="AV1010" s="446" t="e">
        <f>IF(OR($B1010="",MIN(AV$38,$D$19)&lt;MAX($P$708*($B1010+IF($R$17="Distrato",$I$38-1,0)),IF(AND($L$711=0,$P$708=0),"",$L$711-1),IF($R$17="Distrato",$E1010,0))),0,YEARFRAC(MAX($P$708*($B1010+IF($R$17="Distrato",$I$38-1,0)),IF(AND($L$711=0,$P$708=0),"",$L$711-1),IF($R$17="Distrato",$E1010,0)),MIN(AV$38,$D$19),$P$20))-SUM($P1010:AU1010)</f>
        <v>#VALUE!</v>
      </c>
      <c r="AW1010" s="446" t="e">
        <f>IF(OR($B1010="",MIN(AW$38,$D$19)&lt;MAX($P$708*($B1010+IF($R$17="Distrato",$I$38-1,0)),IF(AND($L$711=0,$P$708=0),"",$L$711-1),IF($R$17="Distrato",$E1010,0))),0,YEARFRAC(MAX($P$708*($B1010+IF($R$17="Distrato",$I$38-1,0)),IF(AND($L$711=0,$P$708=0),"",$L$711-1),IF($R$17="Distrato",$E1010,0)),MIN(AW$38,$D$19),$P$20))-SUM($P1010:AV1010)</f>
        <v>#VALUE!</v>
      </c>
      <c r="AX1010" s="446" t="e">
        <f>IF(OR($B1010="",MIN(AX$38,$D$19)&lt;MAX($P$708*($B1010+IF($R$17="Distrato",$I$38-1,0)),IF(AND($L$711=0,$P$708=0),"",$L$711-1),IF($R$17="Distrato",$E1010,0))),0,YEARFRAC(MAX($P$708*($B1010+IF($R$17="Distrato",$I$38-1,0)),IF(AND($L$711=0,$P$708=0),"",$L$711-1),IF($R$17="Distrato",$E1010,0)),MIN(AX$38,$D$19),$P$20))-SUM($P1010:AW1010)</f>
        <v>#VALUE!</v>
      </c>
      <c r="AY1010" s="446" t="e">
        <f>IF(OR($B1010="",MIN(AY$38,$D$19)&lt;MAX($P$708*($B1010+IF($R$17="Distrato",$I$38-1,0)),IF(AND($L$711=0,$P$708=0),"",$L$711-1),IF($R$17="Distrato",$E1010,0))),0,YEARFRAC(MAX($P$708*($B1010+IF($R$17="Distrato",$I$38-1,0)),IF(AND($L$711=0,$P$708=0),"",$L$711-1),IF($R$17="Distrato",$E1010,0)),MIN(AY$38,$D$19),$P$20))-SUM($P1010:AX1010)</f>
        <v>#VALUE!</v>
      </c>
      <c r="AZ1010" s="446" t="e">
        <f>IF(OR($B1010="",MIN(AZ$38,$D$19)&lt;MAX($P$708*($B1010+IF($R$17="Distrato",$I$38-1,0)),IF(AND($L$711=0,$P$708=0),"",$L$711-1),IF($R$17="Distrato",$E1010,0))),0,YEARFRAC(MAX($P$708*($B1010+IF($R$17="Distrato",$I$38-1,0)),IF(AND($L$711=0,$P$708=0),"",$L$711-1),IF($R$17="Distrato",$E1010,0)),MIN(AZ$38,$D$19),$P$20))-SUM($P1010:AY1010)</f>
        <v>#VALUE!</v>
      </c>
      <c r="BA1010" s="446" t="e">
        <f>IF(OR($B1010="",MIN(BA$38,$D$19)&lt;MAX($P$708*($B1010+IF($R$17="Distrato",$I$38-1,0)),IF(AND($L$711=0,$P$708=0),"",$L$711-1),IF($R$17="Distrato",$E1010,0))),0,YEARFRAC(MAX($P$708*($B1010+IF($R$17="Distrato",$I$38-1,0)),IF(AND($L$711=0,$P$708=0),"",$L$711-1),IF($R$17="Distrato",$E1010,0)),MIN(BA$38,$D$19),$P$20))-SUM($P1010:AZ1010)</f>
        <v>#VALUE!</v>
      </c>
      <c r="BB1010" s="447"/>
    </row>
    <row r="1011" spans="1:54" s="446" customFormat="1" ht="11.25" hidden="1" customHeight="1" x14ac:dyDescent="0.2">
      <c r="A1011" s="235"/>
      <c r="B1011" s="236"/>
      <c r="C1011" s="29" t="str">
        <f>IF(B1011="","",IF($L$709=$BL$25,VLOOKUP(DATE(YEAR($D$19),MONTH($D$19)-1,1),ÍNDICES!$A:$DE,HLOOKUP($BL$25,ÍNDICES!$B$3:$T$4,2)+11)-VLOOKUP(B1011,ÍNDICES!$A:$DE,HLOOKUP($BL$25,ÍNDICES!$B$3:$T$4,2)+11)+1%,IF(C$712=$W$26,$J$35,IF(ISERROR(IF(B1011&gt;$D$19,1,VLOOKUP(DATE(YEAR(B1011),MONTH(B1011)+IF($C$709=$S$23,1,0),1),ÍNDICES!$A:$DE,$Z$709+1))),"",IF(B1011&gt;$D$19,1,VLOOKUP(DATE(YEAR(B1011),MONTH(B1011)+IF($C$709=$S$23,1,0),1),ÍNDICES!$A:$DE,$Z$709+1))))))</f>
        <v/>
      </c>
      <c r="D1011" s="155"/>
      <c r="E1011" s="88"/>
      <c r="F1011" s="88"/>
      <c r="G1011" s="88"/>
      <c r="H1011" s="118"/>
      <c r="I1011" s="182">
        <f t="shared" si="143"/>
        <v>0</v>
      </c>
      <c r="J1011" s="20">
        <f t="shared" ca="1" si="144"/>
        <v>0</v>
      </c>
      <c r="K1011" s="5">
        <f t="shared" ca="1" si="145"/>
        <v>0</v>
      </c>
      <c r="L1011" s="61">
        <f t="shared" ca="1" si="146"/>
        <v>0</v>
      </c>
      <c r="M1011" s="64">
        <f t="shared" si="147"/>
        <v>0</v>
      </c>
      <c r="N1011" s="151"/>
      <c r="O1011" s="5">
        <f t="shared" ca="1" si="148"/>
        <v>0</v>
      </c>
      <c r="P1011" s="446" t="e">
        <f t="shared" si="149"/>
        <v>#VALUE!</v>
      </c>
      <c r="Q1011" s="446" t="e">
        <f>IF(OR($B1011="",MIN(Q$38,$D$19)&lt;MAX($P$708*($B1011+IF($R$17="Distrato",$I$38-1,0)),IF(AND($L$711=0,$P$708=0),"",$L$711-1),IF($R$17="Distrato",$E1011,0))),0,YEARFRAC(MAX($P$708*($B1011+IF($R$17="Distrato",$I$38-1,0)),IF(AND($L$711=0,$P$708=0),"",$L$711-1),IF($R$17="Distrato",$E1011,0)),MIN(Q$38,$D$19),$P$20))-SUM($P1011:P1011)</f>
        <v>#VALUE!</v>
      </c>
      <c r="R1011" s="446" t="e">
        <f>IF(OR($B1011="",MIN(R$38,$D$19)&lt;MAX($P$708*($B1011+IF($R$17="Distrato",$I$38-1,0)),IF(AND($L$711=0,$P$708=0),"",$L$711-1),IF($R$17="Distrato",$E1011,0))),0,YEARFRAC(MAX($P$708*($B1011+IF($R$17="Distrato",$I$38-1,0)),IF(AND($L$711=0,$P$708=0),"",$L$711-1),IF($R$17="Distrato",$E1011,0)),MIN(R$38,$D$19),$P$20))-SUM($P1011:Q1011)</f>
        <v>#VALUE!</v>
      </c>
      <c r="S1011" s="446" t="e">
        <f>IF(OR($B1011="",MIN(S$38,$D$19)&lt;MAX($P$708*($B1011+IF($R$17="Distrato",$I$38-1,0)),IF(AND($L$711=0,$P$708=0),"",$L$711-1),IF($R$17="Distrato",$E1011,0))),0,YEARFRAC(MAX($P$708*($B1011+IF($R$17="Distrato",$I$38-1,0)),IF(AND($L$711=0,$P$708=0),"",$L$711-1),IF($R$17="Distrato",$E1011,0)),MIN(S$38,$D$19),$P$20))-SUM($P1011:R1011)</f>
        <v>#VALUE!</v>
      </c>
      <c r="T1011" s="446" t="e">
        <f>IF(OR($B1011="",MIN(T$38,$D$19)&lt;MAX($P$708*($B1011+IF($R$17="Distrato",$I$38-1,0)),IF(AND($L$711=0,$P$708=0),"",$L$711-1),IF($R$17="Distrato",$E1011,0))),0,YEARFRAC(MAX($P$708*($B1011+IF($R$17="Distrato",$I$38-1,0)),IF(AND($L$711=0,$P$708=0),"",$L$711-1),IF($R$17="Distrato",$E1011,0)),MIN(T$38,$D$19),$P$20))-SUM($P1011:S1011)</f>
        <v>#VALUE!</v>
      </c>
      <c r="U1011" s="446" t="e">
        <f>IF(OR($B1011="",MIN(U$38,$D$19)&lt;MAX($P$708*($B1011+IF($R$17="Distrato",$I$38-1,0)),IF(AND($L$711=0,$P$708=0),"",$L$711-1),IF($R$17="Distrato",$E1011,0))),0,YEARFRAC(MAX($P$708*($B1011+IF($R$17="Distrato",$I$38-1,0)),IF(AND($L$711=0,$P$708=0),"",$L$711-1),IF($R$17="Distrato",$E1011,0)),MIN(U$38,$D$19),$P$20))-SUM($P1011:T1011)</f>
        <v>#VALUE!</v>
      </c>
      <c r="V1011" s="446" t="e">
        <f>IF(OR($B1011="",MIN(V$38,$D$19)&lt;MAX($P$708*($B1011+IF($R$17="Distrato",$I$38-1,0)),IF(AND($L$711=0,$P$708=0),"",$L$711-1),IF($R$17="Distrato",$E1011,0))),0,YEARFRAC(MAX($P$708*($B1011+IF($R$17="Distrato",$I$38-1,0)),IF(AND($L$711=0,$P$708=0),"",$L$711-1),IF($R$17="Distrato",$E1011,0)),MIN(V$38,$D$19),$P$20))-SUM($P1011:U1011)</f>
        <v>#VALUE!</v>
      </c>
      <c r="W1011" s="446" t="e">
        <f>IF(OR($B1011="",MIN(W$38,$D$19)&lt;MAX($P$708*($B1011+IF($R$17="Distrato",$I$38-1,0)),IF(AND($L$711=0,$P$708=0),"",$L$711-1),IF($R$17="Distrato",$E1011,0))),0,YEARFRAC(MAX($P$708*($B1011+IF($R$17="Distrato",$I$38-1,0)),IF(AND($L$711=0,$P$708=0),"",$L$711-1),IF($R$17="Distrato",$E1011,0)),MIN(W$38,$D$19),$P$20))-SUM($P1011:V1011)</f>
        <v>#VALUE!</v>
      </c>
      <c r="X1011" s="446" t="e">
        <f>IF(OR($B1011="",MIN(X$38,$D$19)&lt;MAX($P$708*($B1011+IF($R$17="Distrato",$I$38-1,0)),IF(AND($L$711=0,$P$708=0),"",$L$711-1),IF($R$17="Distrato",$E1011,0))),0,YEARFRAC(MAX($P$708*($B1011+IF($R$17="Distrato",$I$38-1,0)),IF(AND($L$711=0,$P$708=0),"",$L$711-1),IF($R$17="Distrato",$E1011,0)),MIN(X$38,$D$19),$P$20))-SUM($P1011:W1011)</f>
        <v>#VALUE!</v>
      </c>
      <c r="Y1011" s="446" t="e">
        <f>IF(OR($B1011="",MIN(Y$38,$D$19)&lt;MAX($P$708*($B1011+IF($R$17="Distrato",$I$38-1,0)),IF(AND($L$711=0,$P$708=0),"",$L$711-1),IF($R$17="Distrato",$E1011,0))),0,YEARFRAC(MAX($P$708*($B1011+IF($R$17="Distrato",$I$38-1,0)),IF(AND($L$711=0,$P$708=0),"",$L$711-1),IF($R$17="Distrato",$E1011,0)),MIN(Y$38,$D$19),$P$20))-SUM($P1011:X1011)</f>
        <v>#VALUE!</v>
      </c>
      <c r="Z1011" s="446" t="e">
        <f>IF(OR($B1011="",MIN(Z$38,$D$19)&lt;MAX($P$708*($B1011+IF($R$17="Distrato",$I$38-1,0)),IF(AND($L$711=0,$P$708=0),"",$L$711-1),IF($R$17="Distrato",$E1011,0))),0,YEARFRAC(MAX($P$708*($B1011+IF($R$17="Distrato",$I$38-1,0)),IF(AND($L$711=0,$P$708=0),"",$L$711-1),IF($R$17="Distrato",$E1011,0)),MIN(Z$38,$D$19),$P$20))-SUM($P1011:Y1011)</f>
        <v>#VALUE!</v>
      </c>
      <c r="AA1011" s="446" t="e">
        <f>IF(OR($B1011="",MIN(AA$38,$D$19)&lt;MAX($P$708*($B1011+IF($R$17="Distrato",$I$38-1,0)),IF(AND($L$711=0,$P$708=0),"",$L$711-1),IF($R$17="Distrato",$E1011,0))),0,YEARFRAC(MAX($P$708*($B1011+IF($R$17="Distrato",$I$38-1,0)),IF(AND($L$711=0,$P$708=0),"",$L$711-1),IF($R$17="Distrato",$E1011,0)),MIN(AA$38,$D$19),$P$20))-SUM($P1011:Z1011)</f>
        <v>#VALUE!</v>
      </c>
      <c r="AB1011" s="446" t="e">
        <f>IF(OR($B1011="",MIN(AB$38,$D$19)&lt;MAX($P$708*($B1011+IF($R$17="Distrato",$I$38-1,0)),IF(AND($L$711=0,$P$708=0),"",$L$711-1),IF($R$17="Distrato",$E1011,0))),0,YEARFRAC(MAX($P$708*($B1011+IF($R$17="Distrato",$I$38-1,0)),IF(AND($L$711=0,$P$708=0),"",$L$711-1),IF($R$17="Distrato",$E1011,0)),MIN(AB$38,$D$19),$P$20))-SUM($P1011:AA1011)</f>
        <v>#VALUE!</v>
      </c>
      <c r="AC1011" s="446" t="e">
        <f>IF(OR($B1011="",MIN(AC$38,$D$19)&lt;MAX($P$708*($B1011+IF($R$17="Distrato",$I$38-1,0)),IF(AND($L$711=0,$P$708=0),"",$L$711-1),IF($R$17="Distrato",$E1011,0))),0,YEARFRAC(MAX($P$708*($B1011+IF($R$17="Distrato",$I$38-1,0)),IF(AND($L$711=0,$P$708=0),"",$L$711-1),IF($R$17="Distrato",$E1011,0)),MIN(AC$38,$D$19),$P$20))-SUM($P1011:AB1011)</f>
        <v>#VALUE!</v>
      </c>
      <c r="AD1011" s="446" t="e">
        <f>IF(OR($B1011="",MIN(AD$38,$D$19)&lt;MAX($P$708*($B1011+IF($R$17="Distrato",$I$38-1,0)),IF(AND($L$711=0,$P$708=0),"",$L$711-1),IF($R$17="Distrato",$E1011,0))),0,YEARFRAC(MAX($P$708*($B1011+IF($R$17="Distrato",$I$38-1,0)),IF(AND($L$711=0,$P$708=0),"",$L$711-1),IF($R$17="Distrato",$E1011,0)),MIN(AD$38,$D$19),$P$20))-SUM($P1011:AC1011)</f>
        <v>#VALUE!</v>
      </c>
      <c r="AE1011" s="446" t="e">
        <f>IF(OR($B1011="",MIN(AE$38,$D$19)&lt;MAX($P$708*($B1011+IF($R$17="Distrato",$I$38-1,0)),IF(AND($L$711=0,$P$708=0),"",$L$711-1),IF($R$17="Distrato",$E1011,0))),0,YEARFRAC(MAX($P$708*($B1011+IF($R$17="Distrato",$I$38-1,0)),IF(AND($L$711=0,$P$708=0),"",$L$711-1),IF($R$17="Distrato",$E1011,0)),MIN(AE$38,$D$19),$P$20))-SUM($P1011:AD1011)</f>
        <v>#VALUE!</v>
      </c>
      <c r="AF1011" s="446" t="e">
        <f>IF(OR($B1011="",MIN(AF$38,$D$19)&lt;MAX($P$708*($B1011+IF($R$17="Distrato",$I$38-1,0)),IF(AND($L$711=0,$P$708=0),"",$L$711-1),IF($R$17="Distrato",$E1011,0))),0,YEARFRAC(MAX($P$708*($B1011+IF($R$17="Distrato",$I$38-1,0)),IF(AND($L$711=0,$P$708=0),"",$L$711-1),IF($R$17="Distrato",$E1011,0)),MIN(AF$38,$D$19),$P$20))-SUM($P1011:AE1011)</f>
        <v>#VALUE!</v>
      </c>
      <c r="AG1011" s="446" t="e">
        <f>IF(OR($B1011="",MIN(AG$38,$D$19)&lt;MAX($P$708*($B1011+IF($R$17="Distrato",$I$38-1,0)),IF(AND($L$711=0,$P$708=0),"",$L$711-1),IF($R$17="Distrato",$E1011,0))),0,YEARFRAC(MAX($P$708*($B1011+IF($R$17="Distrato",$I$38-1,0)),IF(AND($L$711=0,$P$708=0),"",$L$711-1),IF($R$17="Distrato",$E1011,0)),MIN(AG$38,$D$19),$P$20))-SUM($P1011:AF1011)</f>
        <v>#VALUE!</v>
      </c>
      <c r="AH1011" s="446" t="e">
        <f>IF(OR($B1011="",MIN(AH$38,$D$19)&lt;MAX($P$708*($B1011+IF($R$17="Distrato",$I$38-1,0)),IF(AND($L$711=0,$P$708=0),"",$L$711-1),IF($R$17="Distrato",$E1011,0))),0,YEARFRAC(MAX($P$708*($B1011+IF($R$17="Distrato",$I$38-1,0)),IF(AND($L$711=0,$P$708=0),"",$L$711-1),IF($R$17="Distrato",$E1011,0)),MIN(AH$38,$D$19),$P$20))-SUM($P1011:AG1011)</f>
        <v>#VALUE!</v>
      </c>
      <c r="AI1011" s="446" t="e">
        <f>IF(OR($B1011="",MIN(AI$38,$D$19)&lt;MAX($P$708*($B1011+IF($R$17="Distrato",$I$38-1,0)),IF(AND($L$711=0,$P$708=0),"",$L$711-1),IF($R$17="Distrato",$E1011,0))),0,YEARFRAC(MAX($P$708*($B1011+IF($R$17="Distrato",$I$38-1,0)),IF(AND($L$711=0,$P$708=0),"",$L$711-1),IF($R$17="Distrato",$E1011,0)),MIN(AI$38,$D$19),$P$20))-SUM($P1011:AH1011)</f>
        <v>#VALUE!</v>
      </c>
      <c r="AJ1011" s="446" t="e">
        <f>IF(OR($B1011="",MIN(AJ$38,$D$19)&lt;MAX($P$708*($B1011+IF($R$17="Distrato",$I$38-1,0)),IF(AND($L$711=0,$P$708=0),"",$L$711-1),IF($R$17="Distrato",$E1011,0))),0,YEARFRAC(MAX($P$708*($B1011+IF($R$17="Distrato",$I$38-1,0)),IF(AND($L$711=0,$P$708=0),"",$L$711-1),IF($R$17="Distrato",$E1011,0)),MIN(AJ$38,$D$19),$P$20))-SUM($P1011:AI1011)</f>
        <v>#VALUE!</v>
      </c>
      <c r="AK1011" s="446" t="e">
        <f>IF(OR($B1011="",MIN(AK$38,$D$19)&lt;MAX($P$708*($B1011+IF($R$17="Distrato",$I$38-1,0)),IF(AND($L$711=0,$P$708=0),"",$L$711-1),IF($R$17="Distrato",$E1011,0))),0,YEARFRAC(MAX($P$708*($B1011+IF($R$17="Distrato",$I$38-1,0)),IF(AND($L$711=0,$P$708=0),"",$L$711-1),IF($R$17="Distrato",$E1011,0)),MIN(AK$38,$D$19),$P$20))-SUM($P1011:AJ1011)</f>
        <v>#VALUE!</v>
      </c>
      <c r="AL1011" s="446" t="e">
        <f>IF(OR($B1011="",MIN(AL$38,$D$19)&lt;MAX($P$708*($B1011+IF($R$17="Distrato",$I$38-1,0)),IF(AND($L$711=0,$P$708=0),"",$L$711-1),IF($R$17="Distrato",$E1011,0))),0,YEARFRAC(MAX($P$708*($B1011+IF($R$17="Distrato",$I$38-1,0)),IF(AND($L$711=0,$P$708=0),"",$L$711-1),IF($R$17="Distrato",$E1011,0)),MIN(AL$38,$D$19),$P$20))-SUM($P1011:AK1011)</f>
        <v>#VALUE!</v>
      </c>
      <c r="AM1011" s="446" t="e">
        <f>IF(OR($B1011="",MIN(AM$38,$D$19)&lt;MAX($P$708*($B1011+IF($R$17="Distrato",$I$38-1,0)),IF(AND($L$711=0,$P$708=0),"",$L$711-1),IF($R$17="Distrato",$E1011,0))),0,YEARFRAC(MAX($P$708*($B1011+IF($R$17="Distrato",$I$38-1,0)),IF(AND($L$711=0,$P$708=0),"",$L$711-1),IF($R$17="Distrato",$E1011,0)),MIN(AM$38,$D$19),$P$20))-SUM($P1011:AL1011)</f>
        <v>#VALUE!</v>
      </c>
      <c r="AN1011" s="446" t="e">
        <f>IF(OR($B1011="",MIN(AN$38,$D$19)&lt;MAX($P$708*($B1011+IF($R$17="Distrato",$I$38-1,0)),IF(AND($L$711=0,$P$708=0),"",$L$711-1),IF($R$17="Distrato",$E1011,0))),0,YEARFRAC(MAX($P$708*($B1011+IF($R$17="Distrato",$I$38-1,0)),IF(AND($L$711=0,$P$708=0),"",$L$711-1),IF($R$17="Distrato",$E1011,0)),MIN(AN$38,$D$19),$P$20))-SUM($P1011:AM1011)</f>
        <v>#VALUE!</v>
      </c>
      <c r="AO1011" s="446" t="e">
        <f>IF(OR($B1011="",MIN(AO$38,$D$19)&lt;MAX($P$708*($B1011+IF($R$17="Distrato",$I$38-1,0)),IF(AND($L$711=0,$P$708=0),"",$L$711-1),IF($R$17="Distrato",$E1011,0))),0,YEARFRAC(MAX($P$708*($B1011+IF($R$17="Distrato",$I$38-1,0)),IF(AND($L$711=0,$P$708=0),"",$L$711-1),IF($R$17="Distrato",$E1011,0)),MIN(AO$38,$D$19),$P$20))-SUM($P1011:AN1011)</f>
        <v>#VALUE!</v>
      </c>
      <c r="AP1011" s="446" t="e">
        <f>IF(OR($B1011="",MIN(AP$38,$D$19)&lt;MAX($P$708*($B1011+IF($R$17="Distrato",$I$38-1,0)),IF(AND($L$711=0,$P$708=0),"",$L$711-1),IF($R$17="Distrato",$E1011,0))),0,YEARFRAC(MAX($P$708*($B1011+IF($R$17="Distrato",$I$38-1,0)),IF(AND($L$711=0,$P$708=0),"",$L$711-1),IF($R$17="Distrato",$E1011,0)),MIN(AP$38,$D$19),$P$20))-SUM($P1011:AO1011)</f>
        <v>#VALUE!</v>
      </c>
      <c r="AQ1011" s="446" t="e">
        <f>IF(OR($B1011="",MIN(AQ$38,$D$19)&lt;MAX($P$708*($B1011+IF($R$17="Distrato",$I$38-1,0)),IF(AND($L$711=0,$P$708=0),"",$L$711-1),IF($R$17="Distrato",$E1011,0))),0,YEARFRAC(MAX($P$708*($B1011+IF($R$17="Distrato",$I$38-1,0)),IF(AND($L$711=0,$P$708=0),"",$L$711-1),IF($R$17="Distrato",$E1011,0)),MIN(AQ$38,$D$19),$P$20))-SUM($P1011:AP1011)</f>
        <v>#VALUE!</v>
      </c>
      <c r="AR1011" s="446" t="e">
        <f>IF(OR($B1011="",MIN(AR$38,$D$19)&lt;MAX($P$708*($B1011+IF($R$17="Distrato",$I$38-1,0)),IF(AND($L$711=0,$P$708=0),"",$L$711-1),IF($R$17="Distrato",$E1011,0))),0,YEARFRAC(MAX($P$708*($B1011+IF($R$17="Distrato",$I$38-1,0)),IF(AND($L$711=0,$P$708=0),"",$L$711-1),IF($R$17="Distrato",$E1011,0)),MIN(AR$38,$D$19),$P$20))-SUM($P1011:AQ1011)</f>
        <v>#VALUE!</v>
      </c>
      <c r="AS1011" s="446" t="e">
        <f>IF(OR($B1011="",MIN(AS$38,$D$19)&lt;MAX($P$708*($B1011+IF($R$17="Distrato",$I$38-1,0)),IF(AND($L$711=0,$P$708=0),"",$L$711-1),IF($R$17="Distrato",$E1011,0))),0,YEARFRAC(MAX($P$708*($B1011+IF($R$17="Distrato",$I$38-1,0)),IF(AND($L$711=0,$P$708=0),"",$L$711-1),IF($R$17="Distrato",$E1011,0)),MIN(AS$38,$D$19),$P$20))-SUM($P1011:AR1011)</f>
        <v>#VALUE!</v>
      </c>
      <c r="AT1011" s="446" t="e">
        <f>IF(OR($B1011="",MIN(AT$38,$D$19)&lt;MAX($P$708*($B1011+IF($R$17="Distrato",$I$38-1,0)),IF(AND($L$711=0,$P$708=0),"",$L$711-1),IF($R$17="Distrato",$E1011,0))),0,YEARFRAC(MAX($P$708*($B1011+IF($R$17="Distrato",$I$38-1,0)),IF(AND($L$711=0,$P$708=0),"",$L$711-1),IF($R$17="Distrato",$E1011,0)),MIN(AT$38,$D$19),$P$20))-SUM($P1011:AS1011)</f>
        <v>#VALUE!</v>
      </c>
      <c r="AU1011" s="446" t="e">
        <f>IF(OR($B1011="",MIN(AU$38,$D$19)&lt;MAX($P$708*($B1011+IF($R$17="Distrato",$I$38-1,0)),IF(AND($L$711=0,$P$708=0),"",$L$711-1),IF($R$17="Distrato",$E1011,0))),0,YEARFRAC(MAX($P$708*($B1011+IF($R$17="Distrato",$I$38-1,0)),IF(AND($L$711=0,$P$708=0),"",$L$711-1),IF($R$17="Distrato",$E1011,0)),MIN(AU$38,$D$19),$P$20))-SUM($P1011:AT1011)</f>
        <v>#VALUE!</v>
      </c>
      <c r="AV1011" s="446" t="e">
        <f>IF(OR($B1011="",MIN(AV$38,$D$19)&lt;MAX($P$708*($B1011+IF($R$17="Distrato",$I$38-1,0)),IF(AND($L$711=0,$P$708=0),"",$L$711-1),IF($R$17="Distrato",$E1011,0))),0,YEARFRAC(MAX($P$708*($B1011+IF($R$17="Distrato",$I$38-1,0)),IF(AND($L$711=0,$P$708=0),"",$L$711-1),IF($R$17="Distrato",$E1011,0)),MIN(AV$38,$D$19),$P$20))-SUM($P1011:AU1011)</f>
        <v>#VALUE!</v>
      </c>
      <c r="AW1011" s="446" t="e">
        <f>IF(OR($B1011="",MIN(AW$38,$D$19)&lt;MAX($P$708*($B1011+IF($R$17="Distrato",$I$38-1,0)),IF(AND($L$711=0,$P$708=0),"",$L$711-1),IF($R$17="Distrato",$E1011,0))),0,YEARFRAC(MAX($P$708*($B1011+IF($R$17="Distrato",$I$38-1,0)),IF(AND($L$711=0,$P$708=0),"",$L$711-1),IF($R$17="Distrato",$E1011,0)),MIN(AW$38,$D$19),$P$20))-SUM($P1011:AV1011)</f>
        <v>#VALUE!</v>
      </c>
      <c r="AX1011" s="446" t="e">
        <f>IF(OR($B1011="",MIN(AX$38,$D$19)&lt;MAX($P$708*($B1011+IF($R$17="Distrato",$I$38-1,0)),IF(AND($L$711=0,$P$708=0),"",$L$711-1),IF($R$17="Distrato",$E1011,0))),0,YEARFRAC(MAX($P$708*($B1011+IF($R$17="Distrato",$I$38-1,0)),IF(AND($L$711=0,$P$708=0),"",$L$711-1),IF($R$17="Distrato",$E1011,0)),MIN(AX$38,$D$19),$P$20))-SUM($P1011:AW1011)</f>
        <v>#VALUE!</v>
      </c>
      <c r="AY1011" s="446" t="e">
        <f>IF(OR($B1011="",MIN(AY$38,$D$19)&lt;MAX($P$708*($B1011+IF($R$17="Distrato",$I$38-1,0)),IF(AND($L$711=0,$P$708=0),"",$L$711-1),IF($R$17="Distrato",$E1011,0))),0,YEARFRAC(MAX($P$708*($B1011+IF($R$17="Distrato",$I$38-1,0)),IF(AND($L$711=0,$P$708=0),"",$L$711-1),IF($R$17="Distrato",$E1011,0)),MIN(AY$38,$D$19),$P$20))-SUM($P1011:AX1011)</f>
        <v>#VALUE!</v>
      </c>
      <c r="AZ1011" s="446" t="e">
        <f>IF(OR($B1011="",MIN(AZ$38,$D$19)&lt;MAX($P$708*($B1011+IF($R$17="Distrato",$I$38-1,0)),IF(AND($L$711=0,$P$708=0),"",$L$711-1),IF($R$17="Distrato",$E1011,0))),0,YEARFRAC(MAX($P$708*($B1011+IF($R$17="Distrato",$I$38-1,0)),IF(AND($L$711=0,$P$708=0),"",$L$711-1),IF($R$17="Distrato",$E1011,0)),MIN(AZ$38,$D$19),$P$20))-SUM($P1011:AY1011)</f>
        <v>#VALUE!</v>
      </c>
      <c r="BA1011" s="446" t="e">
        <f>IF(OR($B1011="",MIN(BA$38,$D$19)&lt;MAX($P$708*($B1011+IF($R$17="Distrato",$I$38-1,0)),IF(AND($L$711=0,$P$708=0),"",$L$711-1),IF($R$17="Distrato",$E1011,0))),0,YEARFRAC(MAX($P$708*($B1011+IF($R$17="Distrato",$I$38-1,0)),IF(AND($L$711=0,$P$708=0),"",$L$711-1),IF($R$17="Distrato",$E1011,0)),MIN(BA$38,$D$19),$P$20))-SUM($P1011:AZ1011)</f>
        <v>#VALUE!</v>
      </c>
      <c r="BB1011" s="447"/>
    </row>
    <row r="1012" spans="1:54" s="446" customFormat="1" ht="11.25" hidden="1" customHeight="1" x14ac:dyDescent="0.2">
      <c r="A1012" s="235"/>
      <c r="B1012" s="236"/>
      <c r="C1012" s="29" t="str">
        <f>IF(B1012="","",IF($L$709=$BL$25,VLOOKUP(DATE(YEAR($D$19),MONTH($D$19)-1,1),ÍNDICES!$A:$DE,HLOOKUP($BL$25,ÍNDICES!$B$3:$T$4,2)+11)-VLOOKUP(B1012,ÍNDICES!$A:$DE,HLOOKUP($BL$25,ÍNDICES!$B$3:$T$4,2)+11)+1%,IF(C$712=$W$26,$J$35,IF(ISERROR(IF(B1012&gt;$D$19,1,VLOOKUP(DATE(YEAR(B1012),MONTH(B1012)+IF($C$709=$S$23,1,0),1),ÍNDICES!$A:$DE,$Z$709+1))),"",IF(B1012&gt;$D$19,1,VLOOKUP(DATE(YEAR(B1012),MONTH(B1012)+IF($C$709=$S$23,1,0),1),ÍNDICES!$A:$DE,$Z$709+1))))))</f>
        <v/>
      </c>
      <c r="D1012" s="155"/>
      <c r="E1012" s="88"/>
      <c r="F1012" s="88"/>
      <c r="G1012" s="88"/>
      <c r="H1012" s="118"/>
      <c r="I1012" s="182">
        <f t="shared" si="143"/>
        <v>0</v>
      </c>
      <c r="J1012" s="20">
        <f t="shared" ca="1" si="144"/>
        <v>0</v>
      </c>
      <c r="K1012" s="5">
        <f t="shared" ca="1" si="145"/>
        <v>0</v>
      </c>
      <c r="L1012" s="61">
        <f t="shared" ca="1" si="146"/>
        <v>0</v>
      </c>
      <c r="M1012" s="64">
        <f t="shared" si="147"/>
        <v>0</v>
      </c>
      <c r="N1012" s="151"/>
      <c r="O1012" s="5">
        <f t="shared" ca="1" si="148"/>
        <v>0</v>
      </c>
      <c r="P1012" s="446" t="e">
        <f t="shared" si="149"/>
        <v>#VALUE!</v>
      </c>
      <c r="Q1012" s="446" t="e">
        <f>IF(OR($B1012="",MIN(Q$38,$D$19)&lt;MAX($P$708*($B1012+IF($R$17="Distrato",$I$38-1,0)),IF(AND($L$711=0,$P$708=0),"",$L$711-1),IF($R$17="Distrato",$E1012,0))),0,YEARFRAC(MAX($P$708*($B1012+IF($R$17="Distrato",$I$38-1,0)),IF(AND($L$711=0,$P$708=0),"",$L$711-1),IF($R$17="Distrato",$E1012,0)),MIN(Q$38,$D$19),$P$20))-SUM($P1012:P1012)</f>
        <v>#VALUE!</v>
      </c>
      <c r="R1012" s="446" t="e">
        <f>IF(OR($B1012="",MIN(R$38,$D$19)&lt;MAX($P$708*($B1012+IF($R$17="Distrato",$I$38-1,0)),IF(AND($L$711=0,$P$708=0),"",$L$711-1),IF($R$17="Distrato",$E1012,0))),0,YEARFRAC(MAX($P$708*($B1012+IF($R$17="Distrato",$I$38-1,0)),IF(AND($L$711=0,$P$708=0),"",$L$711-1),IF($R$17="Distrato",$E1012,0)),MIN(R$38,$D$19),$P$20))-SUM($P1012:Q1012)</f>
        <v>#VALUE!</v>
      </c>
      <c r="S1012" s="446" t="e">
        <f>IF(OR($B1012="",MIN(S$38,$D$19)&lt;MAX($P$708*($B1012+IF($R$17="Distrato",$I$38-1,0)),IF(AND($L$711=0,$P$708=0),"",$L$711-1),IF($R$17="Distrato",$E1012,0))),0,YEARFRAC(MAX($P$708*($B1012+IF($R$17="Distrato",$I$38-1,0)),IF(AND($L$711=0,$P$708=0),"",$L$711-1),IF($R$17="Distrato",$E1012,0)),MIN(S$38,$D$19),$P$20))-SUM($P1012:R1012)</f>
        <v>#VALUE!</v>
      </c>
      <c r="T1012" s="446" t="e">
        <f>IF(OR($B1012="",MIN(T$38,$D$19)&lt;MAX($P$708*($B1012+IF($R$17="Distrato",$I$38-1,0)),IF(AND($L$711=0,$P$708=0),"",$L$711-1),IF($R$17="Distrato",$E1012,0))),0,YEARFRAC(MAX($P$708*($B1012+IF($R$17="Distrato",$I$38-1,0)),IF(AND($L$711=0,$P$708=0),"",$L$711-1),IF($R$17="Distrato",$E1012,0)),MIN(T$38,$D$19),$P$20))-SUM($P1012:S1012)</f>
        <v>#VALUE!</v>
      </c>
      <c r="U1012" s="446" t="e">
        <f>IF(OR($B1012="",MIN(U$38,$D$19)&lt;MAX($P$708*($B1012+IF($R$17="Distrato",$I$38-1,0)),IF(AND($L$711=0,$P$708=0),"",$L$711-1),IF($R$17="Distrato",$E1012,0))),0,YEARFRAC(MAX($P$708*($B1012+IF($R$17="Distrato",$I$38-1,0)),IF(AND($L$711=0,$P$708=0),"",$L$711-1),IF($R$17="Distrato",$E1012,0)),MIN(U$38,$D$19),$P$20))-SUM($P1012:T1012)</f>
        <v>#VALUE!</v>
      </c>
      <c r="V1012" s="446" t="e">
        <f>IF(OR($B1012="",MIN(V$38,$D$19)&lt;MAX($P$708*($B1012+IF($R$17="Distrato",$I$38-1,0)),IF(AND($L$711=0,$P$708=0),"",$L$711-1),IF($R$17="Distrato",$E1012,0))),0,YEARFRAC(MAX($P$708*($B1012+IF($R$17="Distrato",$I$38-1,0)),IF(AND($L$711=0,$P$708=0),"",$L$711-1),IF($R$17="Distrato",$E1012,0)),MIN(V$38,$D$19),$P$20))-SUM($P1012:U1012)</f>
        <v>#VALUE!</v>
      </c>
      <c r="W1012" s="446" t="e">
        <f>IF(OR($B1012="",MIN(W$38,$D$19)&lt;MAX($P$708*($B1012+IF($R$17="Distrato",$I$38-1,0)),IF(AND($L$711=0,$P$708=0),"",$L$711-1),IF($R$17="Distrato",$E1012,0))),0,YEARFRAC(MAX($P$708*($B1012+IF($R$17="Distrato",$I$38-1,0)),IF(AND($L$711=0,$P$708=0),"",$L$711-1),IF($R$17="Distrato",$E1012,0)),MIN(W$38,$D$19),$P$20))-SUM($P1012:V1012)</f>
        <v>#VALUE!</v>
      </c>
      <c r="X1012" s="446" t="e">
        <f>IF(OR($B1012="",MIN(X$38,$D$19)&lt;MAX($P$708*($B1012+IF($R$17="Distrato",$I$38-1,0)),IF(AND($L$711=0,$P$708=0),"",$L$711-1),IF($R$17="Distrato",$E1012,0))),0,YEARFRAC(MAX($P$708*($B1012+IF($R$17="Distrato",$I$38-1,0)),IF(AND($L$711=0,$P$708=0),"",$L$711-1),IF($R$17="Distrato",$E1012,0)),MIN(X$38,$D$19),$P$20))-SUM($P1012:W1012)</f>
        <v>#VALUE!</v>
      </c>
      <c r="Y1012" s="446" t="e">
        <f>IF(OR($B1012="",MIN(Y$38,$D$19)&lt;MAX($P$708*($B1012+IF($R$17="Distrato",$I$38-1,0)),IF(AND($L$711=0,$P$708=0),"",$L$711-1),IF($R$17="Distrato",$E1012,0))),0,YEARFRAC(MAX($P$708*($B1012+IF($R$17="Distrato",$I$38-1,0)),IF(AND($L$711=0,$P$708=0),"",$L$711-1),IF($R$17="Distrato",$E1012,0)),MIN(Y$38,$D$19),$P$20))-SUM($P1012:X1012)</f>
        <v>#VALUE!</v>
      </c>
      <c r="Z1012" s="446" t="e">
        <f>IF(OR($B1012="",MIN(Z$38,$D$19)&lt;MAX($P$708*($B1012+IF($R$17="Distrato",$I$38-1,0)),IF(AND($L$711=0,$P$708=0),"",$L$711-1),IF($R$17="Distrato",$E1012,0))),0,YEARFRAC(MAX($P$708*($B1012+IF($R$17="Distrato",$I$38-1,0)),IF(AND($L$711=0,$P$708=0),"",$L$711-1),IF($R$17="Distrato",$E1012,0)),MIN(Z$38,$D$19),$P$20))-SUM($P1012:Y1012)</f>
        <v>#VALUE!</v>
      </c>
      <c r="AA1012" s="446" t="e">
        <f>IF(OR($B1012="",MIN(AA$38,$D$19)&lt;MAX($P$708*($B1012+IF($R$17="Distrato",$I$38-1,0)),IF(AND($L$711=0,$P$708=0),"",$L$711-1),IF($R$17="Distrato",$E1012,0))),0,YEARFRAC(MAX($P$708*($B1012+IF($R$17="Distrato",$I$38-1,0)),IF(AND($L$711=0,$P$708=0),"",$L$711-1),IF($R$17="Distrato",$E1012,0)),MIN(AA$38,$D$19),$P$20))-SUM($P1012:Z1012)</f>
        <v>#VALUE!</v>
      </c>
      <c r="AB1012" s="446" t="e">
        <f>IF(OR($B1012="",MIN(AB$38,$D$19)&lt;MAX($P$708*($B1012+IF($R$17="Distrato",$I$38-1,0)),IF(AND($L$711=0,$P$708=0),"",$L$711-1),IF($R$17="Distrato",$E1012,0))),0,YEARFRAC(MAX($P$708*($B1012+IF($R$17="Distrato",$I$38-1,0)),IF(AND($L$711=0,$P$708=0),"",$L$711-1),IF($R$17="Distrato",$E1012,0)),MIN(AB$38,$D$19),$P$20))-SUM($P1012:AA1012)</f>
        <v>#VALUE!</v>
      </c>
      <c r="AC1012" s="446" t="e">
        <f>IF(OR($B1012="",MIN(AC$38,$D$19)&lt;MAX($P$708*($B1012+IF($R$17="Distrato",$I$38-1,0)),IF(AND($L$711=0,$P$708=0),"",$L$711-1),IF($R$17="Distrato",$E1012,0))),0,YEARFRAC(MAX($P$708*($B1012+IF($R$17="Distrato",$I$38-1,0)),IF(AND($L$711=0,$P$708=0),"",$L$711-1),IF($R$17="Distrato",$E1012,0)),MIN(AC$38,$D$19),$P$20))-SUM($P1012:AB1012)</f>
        <v>#VALUE!</v>
      </c>
      <c r="AD1012" s="446" t="e">
        <f>IF(OR($B1012="",MIN(AD$38,$D$19)&lt;MAX($P$708*($B1012+IF($R$17="Distrato",$I$38-1,0)),IF(AND($L$711=0,$P$708=0),"",$L$711-1),IF($R$17="Distrato",$E1012,0))),0,YEARFRAC(MAX($P$708*($B1012+IF($R$17="Distrato",$I$38-1,0)),IF(AND($L$711=0,$P$708=0),"",$L$711-1),IF($R$17="Distrato",$E1012,0)),MIN(AD$38,$D$19),$P$20))-SUM($P1012:AC1012)</f>
        <v>#VALUE!</v>
      </c>
      <c r="AE1012" s="446" t="e">
        <f>IF(OR($B1012="",MIN(AE$38,$D$19)&lt;MAX($P$708*($B1012+IF($R$17="Distrato",$I$38-1,0)),IF(AND($L$711=0,$P$708=0),"",$L$711-1),IF($R$17="Distrato",$E1012,0))),0,YEARFRAC(MAX($P$708*($B1012+IF($R$17="Distrato",$I$38-1,0)),IF(AND($L$711=0,$P$708=0),"",$L$711-1),IF($R$17="Distrato",$E1012,0)),MIN(AE$38,$D$19),$P$20))-SUM($P1012:AD1012)</f>
        <v>#VALUE!</v>
      </c>
      <c r="AF1012" s="446" t="e">
        <f>IF(OR($B1012="",MIN(AF$38,$D$19)&lt;MAX($P$708*($B1012+IF($R$17="Distrato",$I$38-1,0)),IF(AND($L$711=0,$P$708=0),"",$L$711-1),IF($R$17="Distrato",$E1012,0))),0,YEARFRAC(MAX($P$708*($B1012+IF($R$17="Distrato",$I$38-1,0)),IF(AND($L$711=0,$P$708=0),"",$L$711-1),IF($R$17="Distrato",$E1012,0)),MIN(AF$38,$D$19),$P$20))-SUM($P1012:AE1012)</f>
        <v>#VALUE!</v>
      </c>
      <c r="AG1012" s="446" t="e">
        <f>IF(OR($B1012="",MIN(AG$38,$D$19)&lt;MAX($P$708*($B1012+IF($R$17="Distrato",$I$38-1,0)),IF(AND($L$711=0,$P$708=0),"",$L$711-1),IF($R$17="Distrato",$E1012,0))),0,YEARFRAC(MAX($P$708*($B1012+IF($R$17="Distrato",$I$38-1,0)),IF(AND($L$711=0,$P$708=0),"",$L$711-1),IF($R$17="Distrato",$E1012,0)),MIN(AG$38,$D$19),$P$20))-SUM($P1012:AF1012)</f>
        <v>#VALUE!</v>
      </c>
      <c r="AH1012" s="446" t="e">
        <f>IF(OR($B1012="",MIN(AH$38,$D$19)&lt;MAX($P$708*($B1012+IF($R$17="Distrato",$I$38-1,0)),IF(AND($L$711=0,$P$708=0),"",$L$711-1),IF($R$17="Distrato",$E1012,0))),0,YEARFRAC(MAX($P$708*($B1012+IF($R$17="Distrato",$I$38-1,0)),IF(AND($L$711=0,$P$708=0),"",$L$711-1),IF($R$17="Distrato",$E1012,0)),MIN(AH$38,$D$19),$P$20))-SUM($P1012:AG1012)</f>
        <v>#VALUE!</v>
      </c>
      <c r="AI1012" s="446" t="e">
        <f>IF(OR($B1012="",MIN(AI$38,$D$19)&lt;MAX($P$708*($B1012+IF($R$17="Distrato",$I$38-1,0)),IF(AND($L$711=0,$P$708=0),"",$L$711-1),IF($R$17="Distrato",$E1012,0))),0,YEARFRAC(MAX($P$708*($B1012+IF($R$17="Distrato",$I$38-1,0)),IF(AND($L$711=0,$P$708=0),"",$L$711-1),IF($R$17="Distrato",$E1012,0)),MIN(AI$38,$D$19),$P$20))-SUM($P1012:AH1012)</f>
        <v>#VALUE!</v>
      </c>
      <c r="AJ1012" s="446" t="e">
        <f>IF(OR($B1012="",MIN(AJ$38,$D$19)&lt;MAX($P$708*($B1012+IF($R$17="Distrato",$I$38-1,0)),IF(AND($L$711=0,$P$708=0),"",$L$711-1),IF($R$17="Distrato",$E1012,0))),0,YEARFRAC(MAX($P$708*($B1012+IF($R$17="Distrato",$I$38-1,0)),IF(AND($L$711=0,$P$708=0),"",$L$711-1),IF($R$17="Distrato",$E1012,0)),MIN(AJ$38,$D$19),$P$20))-SUM($P1012:AI1012)</f>
        <v>#VALUE!</v>
      </c>
      <c r="AK1012" s="446" t="e">
        <f>IF(OR($B1012="",MIN(AK$38,$D$19)&lt;MAX($P$708*($B1012+IF($R$17="Distrato",$I$38-1,0)),IF(AND($L$711=0,$P$708=0),"",$L$711-1),IF($R$17="Distrato",$E1012,0))),0,YEARFRAC(MAX($P$708*($B1012+IF($R$17="Distrato",$I$38-1,0)),IF(AND($L$711=0,$P$708=0),"",$L$711-1),IF($R$17="Distrato",$E1012,0)),MIN(AK$38,$D$19),$P$20))-SUM($P1012:AJ1012)</f>
        <v>#VALUE!</v>
      </c>
      <c r="AL1012" s="446" t="e">
        <f>IF(OR($B1012="",MIN(AL$38,$D$19)&lt;MAX($P$708*($B1012+IF($R$17="Distrato",$I$38-1,0)),IF(AND($L$711=0,$P$708=0),"",$L$711-1),IF($R$17="Distrato",$E1012,0))),0,YEARFRAC(MAX($P$708*($B1012+IF($R$17="Distrato",$I$38-1,0)),IF(AND($L$711=0,$P$708=0),"",$L$711-1),IF($R$17="Distrato",$E1012,0)),MIN(AL$38,$D$19),$P$20))-SUM($P1012:AK1012)</f>
        <v>#VALUE!</v>
      </c>
      <c r="AM1012" s="446" t="e">
        <f>IF(OR($B1012="",MIN(AM$38,$D$19)&lt;MAX($P$708*($B1012+IF($R$17="Distrato",$I$38-1,0)),IF(AND($L$711=0,$P$708=0),"",$L$711-1),IF($R$17="Distrato",$E1012,0))),0,YEARFRAC(MAX($P$708*($B1012+IF($R$17="Distrato",$I$38-1,0)),IF(AND($L$711=0,$P$708=0),"",$L$711-1),IF($R$17="Distrato",$E1012,0)),MIN(AM$38,$D$19),$P$20))-SUM($P1012:AL1012)</f>
        <v>#VALUE!</v>
      </c>
      <c r="AN1012" s="446" t="e">
        <f>IF(OR($B1012="",MIN(AN$38,$D$19)&lt;MAX($P$708*($B1012+IF($R$17="Distrato",$I$38-1,0)),IF(AND($L$711=0,$P$708=0),"",$L$711-1),IF($R$17="Distrato",$E1012,0))),0,YEARFRAC(MAX($P$708*($B1012+IF($R$17="Distrato",$I$38-1,0)),IF(AND($L$711=0,$P$708=0),"",$L$711-1),IF($R$17="Distrato",$E1012,0)),MIN(AN$38,$D$19),$P$20))-SUM($P1012:AM1012)</f>
        <v>#VALUE!</v>
      </c>
      <c r="AO1012" s="446" t="e">
        <f>IF(OR($B1012="",MIN(AO$38,$D$19)&lt;MAX($P$708*($B1012+IF($R$17="Distrato",$I$38-1,0)),IF(AND($L$711=0,$P$708=0),"",$L$711-1),IF($R$17="Distrato",$E1012,0))),0,YEARFRAC(MAX($P$708*($B1012+IF($R$17="Distrato",$I$38-1,0)),IF(AND($L$711=0,$P$708=0),"",$L$711-1),IF($R$17="Distrato",$E1012,0)),MIN(AO$38,$D$19),$P$20))-SUM($P1012:AN1012)</f>
        <v>#VALUE!</v>
      </c>
      <c r="AP1012" s="446" t="e">
        <f>IF(OR($B1012="",MIN(AP$38,$D$19)&lt;MAX($P$708*($B1012+IF($R$17="Distrato",$I$38-1,0)),IF(AND($L$711=0,$P$708=0),"",$L$711-1),IF($R$17="Distrato",$E1012,0))),0,YEARFRAC(MAX($P$708*($B1012+IF($R$17="Distrato",$I$38-1,0)),IF(AND($L$711=0,$P$708=0),"",$L$711-1),IF($R$17="Distrato",$E1012,0)),MIN(AP$38,$D$19),$P$20))-SUM($P1012:AO1012)</f>
        <v>#VALUE!</v>
      </c>
      <c r="AQ1012" s="446" t="e">
        <f>IF(OR($B1012="",MIN(AQ$38,$D$19)&lt;MAX($P$708*($B1012+IF($R$17="Distrato",$I$38-1,0)),IF(AND($L$711=0,$P$708=0),"",$L$711-1),IF($R$17="Distrato",$E1012,0))),0,YEARFRAC(MAX($P$708*($B1012+IF($R$17="Distrato",$I$38-1,0)),IF(AND($L$711=0,$P$708=0),"",$L$711-1),IF($R$17="Distrato",$E1012,0)),MIN(AQ$38,$D$19),$P$20))-SUM($P1012:AP1012)</f>
        <v>#VALUE!</v>
      </c>
      <c r="AR1012" s="446" t="e">
        <f>IF(OR($B1012="",MIN(AR$38,$D$19)&lt;MAX($P$708*($B1012+IF($R$17="Distrato",$I$38-1,0)),IF(AND($L$711=0,$P$708=0),"",$L$711-1),IF($R$17="Distrato",$E1012,0))),0,YEARFRAC(MAX($P$708*($B1012+IF($R$17="Distrato",$I$38-1,0)),IF(AND($L$711=0,$P$708=0),"",$L$711-1),IF($R$17="Distrato",$E1012,0)),MIN(AR$38,$D$19),$P$20))-SUM($P1012:AQ1012)</f>
        <v>#VALUE!</v>
      </c>
      <c r="AS1012" s="446" t="e">
        <f>IF(OR($B1012="",MIN(AS$38,$D$19)&lt;MAX($P$708*($B1012+IF($R$17="Distrato",$I$38-1,0)),IF(AND($L$711=0,$P$708=0),"",$L$711-1),IF($R$17="Distrato",$E1012,0))),0,YEARFRAC(MAX($P$708*($B1012+IF($R$17="Distrato",$I$38-1,0)),IF(AND($L$711=0,$P$708=0),"",$L$711-1),IF($R$17="Distrato",$E1012,0)),MIN(AS$38,$D$19),$P$20))-SUM($P1012:AR1012)</f>
        <v>#VALUE!</v>
      </c>
      <c r="AT1012" s="446" t="e">
        <f>IF(OR($B1012="",MIN(AT$38,$D$19)&lt;MAX($P$708*($B1012+IF($R$17="Distrato",$I$38-1,0)),IF(AND($L$711=0,$P$708=0),"",$L$711-1),IF($R$17="Distrato",$E1012,0))),0,YEARFRAC(MAX($P$708*($B1012+IF($R$17="Distrato",$I$38-1,0)),IF(AND($L$711=0,$P$708=0),"",$L$711-1),IF($R$17="Distrato",$E1012,0)),MIN(AT$38,$D$19),$P$20))-SUM($P1012:AS1012)</f>
        <v>#VALUE!</v>
      </c>
      <c r="AU1012" s="446" t="e">
        <f>IF(OR($B1012="",MIN(AU$38,$D$19)&lt;MAX($P$708*($B1012+IF($R$17="Distrato",$I$38-1,0)),IF(AND($L$711=0,$P$708=0),"",$L$711-1),IF($R$17="Distrato",$E1012,0))),0,YEARFRAC(MAX($P$708*($B1012+IF($R$17="Distrato",$I$38-1,0)),IF(AND($L$711=0,$P$708=0),"",$L$711-1),IF($R$17="Distrato",$E1012,0)),MIN(AU$38,$D$19),$P$20))-SUM($P1012:AT1012)</f>
        <v>#VALUE!</v>
      </c>
      <c r="AV1012" s="446" t="e">
        <f>IF(OR($B1012="",MIN(AV$38,$D$19)&lt;MAX($P$708*($B1012+IF($R$17="Distrato",$I$38-1,0)),IF(AND($L$711=0,$P$708=0),"",$L$711-1),IF($R$17="Distrato",$E1012,0))),0,YEARFRAC(MAX($P$708*($B1012+IF($R$17="Distrato",$I$38-1,0)),IF(AND($L$711=0,$P$708=0),"",$L$711-1),IF($R$17="Distrato",$E1012,0)),MIN(AV$38,$D$19),$P$20))-SUM($P1012:AU1012)</f>
        <v>#VALUE!</v>
      </c>
      <c r="AW1012" s="446" t="e">
        <f>IF(OR($B1012="",MIN(AW$38,$D$19)&lt;MAX($P$708*($B1012+IF($R$17="Distrato",$I$38-1,0)),IF(AND($L$711=0,$P$708=0),"",$L$711-1),IF($R$17="Distrato",$E1012,0))),0,YEARFRAC(MAX($P$708*($B1012+IF($R$17="Distrato",$I$38-1,0)),IF(AND($L$711=0,$P$708=0),"",$L$711-1),IF($R$17="Distrato",$E1012,0)),MIN(AW$38,$D$19),$P$20))-SUM($P1012:AV1012)</f>
        <v>#VALUE!</v>
      </c>
      <c r="AX1012" s="446" t="e">
        <f>IF(OR($B1012="",MIN(AX$38,$D$19)&lt;MAX($P$708*($B1012+IF($R$17="Distrato",$I$38-1,0)),IF(AND($L$711=0,$P$708=0),"",$L$711-1),IF($R$17="Distrato",$E1012,0))),0,YEARFRAC(MAX($P$708*($B1012+IF($R$17="Distrato",$I$38-1,0)),IF(AND($L$711=0,$P$708=0),"",$L$711-1),IF($R$17="Distrato",$E1012,0)),MIN(AX$38,$D$19),$P$20))-SUM($P1012:AW1012)</f>
        <v>#VALUE!</v>
      </c>
      <c r="AY1012" s="446" t="e">
        <f>IF(OR($B1012="",MIN(AY$38,$D$19)&lt;MAX($P$708*($B1012+IF($R$17="Distrato",$I$38-1,0)),IF(AND($L$711=0,$P$708=0),"",$L$711-1),IF($R$17="Distrato",$E1012,0))),0,YEARFRAC(MAX($P$708*($B1012+IF($R$17="Distrato",$I$38-1,0)),IF(AND($L$711=0,$P$708=0),"",$L$711-1),IF($R$17="Distrato",$E1012,0)),MIN(AY$38,$D$19),$P$20))-SUM($P1012:AX1012)</f>
        <v>#VALUE!</v>
      </c>
      <c r="AZ1012" s="446" t="e">
        <f>IF(OR($B1012="",MIN(AZ$38,$D$19)&lt;MAX($P$708*($B1012+IF($R$17="Distrato",$I$38-1,0)),IF(AND($L$711=0,$P$708=0),"",$L$711-1),IF($R$17="Distrato",$E1012,0))),0,YEARFRAC(MAX($P$708*($B1012+IF($R$17="Distrato",$I$38-1,0)),IF(AND($L$711=0,$P$708=0),"",$L$711-1),IF($R$17="Distrato",$E1012,0)),MIN(AZ$38,$D$19),$P$20))-SUM($P1012:AY1012)</f>
        <v>#VALUE!</v>
      </c>
      <c r="BA1012" s="446" t="e">
        <f>IF(OR($B1012="",MIN(BA$38,$D$19)&lt;MAX($P$708*($B1012+IF($R$17="Distrato",$I$38-1,0)),IF(AND($L$711=0,$P$708=0),"",$L$711-1),IF($R$17="Distrato",$E1012,0))),0,YEARFRAC(MAX($P$708*($B1012+IF($R$17="Distrato",$I$38-1,0)),IF(AND($L$711=0,$P$708=0),"",$L$711-1),IF($R$17="Distrato",$E1012,0)),MIN(BA$38,$D$19),$P$20))-SUM($P1012:AZ1012)</f>
        <v>#VALUE!</v>
      </c>
      <c r="BB1012" s="447"/>
    </row>
    <row r="1013" spans="1:54" s="446" customFormat="1" ht="11.25" hidden="1" customHeight="1" x14ac:dyDescent="0.2">
      <c r="A1013" s="235"/>
      <c r="B1013" s="236"/>
      <c r="C1013" s="29" t="str">
        <f>IF(B1013="","",IF($L$709=$BL$25,VLOOKUP(DATE(YEAR($D$19),MONTH($D$19)-1,1),ÍNDICES!$A:$DE,HLOOKUP($BL$25,ÍNDICES!$B$3:$T$4,2)+11)-VLOOKUP(B1013,ÍNDICES!$A:$DE,HLOOKUP($BL$25,ÍNDICES!$B$3:$T$4,2)+11)+1%,IF(C$712=$W$26,$J$35,IF(ISERROR(IF(B1013&gt;$D$19,1,VLOOKUP(DATE(YEAR(B1013),MONTH(B1013)+IF($C$709=$S$23,1,0),1),ÍNDICES!$A:$DE,$Z$709+1))),"",IF(B1013&gt;$D$19,1,VLOOKUP(DATE(YEAR(B1013),MONTH(B1013)+IF($C$709=$S$23,1,0),1),ÍNDICES!$A:$DE,$Z$709+1))))))</f>
        <v/>
      </c>
      <c r="D1013" s="155"/>
      <c r="E1013" s="88"/>
      <c r="F1013" s="88"/>
      <c r="G1013" s="88"/>
      <c r="H1013" s="118"/>
      <c r="I1013" s="182">
        <f t="shared" si="143"/>
        <v>0</v>
      </c>
      <c r="J1013" s="20">
        <f t="shared" ca="1" si="144"/>
        <v>0</v>
      </c>
      <c r="K1013" s="5">
        <f t="shared" ca="1" si="145"/>
        <v>0</v>
      </c>
      <c r="L1013" s="61">
        <f t="shared" ca="1" si="146"/>
        <v>0</v>
      </c>
      <c r="M1013" s="64">
        <f t="shared" si="147"/>
        <v>0</v>
      </c>
      <c r="N1013" s="151"/>
      <c r="O1013" s="5">
        <f t="shared" ca="1" si="148"/>
        <v>0</v>
      </c>
      <c r="P1013" s="446" t="e">
        <f t="shared" si="149"/>
        <v>#VALUE!</v>
      </c>
      <c r="Q1013" s="446" t="e">
        <f>IF(OR($B1013="",MIN(Q$38,$D$19)&lt;MAX($P$708*($B1013+IF($R$17="Distrato",$I$38-1,0)),IF(AND($L$711=0,$P$708=0),"",$L$711-1),IF($R$17="Distrato",$E1013,0))),0,YEARFRAC(MAX($P$708*($B1013+IF($R$17="Distrato",$I$38-1,0)),IF(AND($L$711=0,$P$708=0),"",$L$711-1),IF($R$17="Distrato",$E1013,0)),MIN(Q$38,$D$19),$P$20))-SUM($P1013:P1013)</f>
        <v>#VALUE!</v>
      </c>
      <c r="R1013" s="446" t="e">
        <f>IF(OR($B1013="",MIN(R$38,$D$19)&lt;MAX($P$708*($B1013+IF($R$17="Distrato",$I$38-1,0)),IF(AND($L$711=0,$P$708=0),"",$L$711-1),IF($R$17="Distrato",$E1013,0))),0,YEARFRAC(MAX($P$708*($B1013+IF($R$17="Distrato",$I$38-1,0)),IF(AND($L$711=0,$P$708=0),"",$L$711-1),IF($R$17="Distrato",$E1013,0)),MIN(R$38,$D$19),$P$20))-SUM($P1013:Q1013)</f>
        <v>#VALUE!</v>
      </c>
      <c r="S1013" s="446" t="e">
        <f>IF(OR($B1013="",MIN(S$38,$D$19)&lt;MAX($P$708*($B1013+IF($R$17="Distrato",$I$38-1,0)),IF(AND($L$711=0,$P$708=0),"",$L$711-1),IF($R$17="Distrato",$E1013,0))),0,YEARFRAC(MAX($P$708*($B1013+IF($R$17="Distrato",$I$38-1,0)),IF(AND($L$711=0,$P$708=0),"",$L$711-1),IF($R$17="Distrato",$E1013,0)),MIN(S$38,$D$19),$P$20))-SUM($P1013:R1013)</f>
        <v>#VALUE!</v>
      </c>
      <c r="T1013" s="446" t="e">
        <f>IF(OR($B1013="",MIN(T$38,$D$19)&lt;MAX($P$708*($B1013+IF($R$17="Distrato",$I$38-1,0)),IF(AND($L$711=0,$P$708=0),"",$L$711-1),IF($R$17="Distrato",$E1013,0))),0,YEARFRAC(MAX($P$708*($B1013+IF($R$17="Distrato",$I$38-1,0)),IF(AND($L$711=0,$P$708=0),"",$L$711-1),IF($R$17="Distrato",$E1013,0)),MIN(T$38,$D$19),$P$20))-SUM($P1013:S1013)</f>
        <v>#VALUE!</v>
      </c>
      <c r="U1013" s="446" t="e">
        <f>IF(OR($B1013="",MIN(U$38,$D$19)&lt;MAX($P$708*($B1013+IF($R$17="Distrato",$I$38-1,0)),IF(AND($L$711=0,$P$708=0),"",$L$711-1),IF($R$17="Distrato",$E1013,0))),0,YEARFRAC(MAX($P$708*($B1013+IF($R$17="Distrato",$I$38-1,0)),IF(AND($L$711=0,$P$708=0),"",$L$711-1),IF($R$17="Distrato",$E1013,0)),MIN(U$38,$D$19),$P$20))-SUM($P1013:T1013)</f>
        <v>#VALUE!</v>
      </c>
      <c r="V1013" s="446" t="e">
        <f>IF(OR($B1013="",MIN(V$38,$D$19)&lt;MAX($P$708*($B1013+IF($R$17="Distrato",$I$38-1,0)),IF(AND($L$711=0,$P$708=0),"",$L$711-1),IF($R$17="Distrato",$E1013,0))),0,YEARFRAC(MAX($P$708*($B1013+IF($R$17="Distrato",$I$38-1,0)),IF(AND($L$711=0,$P$708=0),"",$L$711-1),IF($R$17="Distrato",$E1013,0)),MIN(V$38,$D$19),$P$20))-SUM($P1013:U1013)</f>
        <v>#VALUE!</v>
      </c>
      <c r="W1013" s="446" t="e">
        <f>IF(OR($B1013="",MIN(W$38,$D$19)&lt;MAX($P$708*($B1013+IF($R$17="Distrato",$I$38-1,0)),IF(AND($L$711=0,$P$708=0),"",$L$711-1),IF($R$17="Distrato",$E1013,0))),0,YEARFRAC(MAX($P$708*($B1013+IF($R$17="Distrato",$I$38-1,0)),IF(AND($L$711=0,$P$708=0),"",$L$711-1),IF($R$17="Distrato",$E1013,0)),MIN(W$38,$D$19),$P$20))-SUM($P1013:V1013)</f>
        <v>#VALUE!</v>
      </c>
      <c r="X1013" s="446" t="e">
        <f>IF(OR($B1013="",MIN(X$38,$D$19)&lt;MAX($P$708*($B1013+IF($R$17="Distrato",$I$38-1,0)),IF(AND($L$711=0,$P$708=0),"",$L$711-1),IF($R$17="Distrato",$E1013,0))),0,YEARFRAC(MAX($P$708*($B1013+IF($R$17="Distrato",$I$38-1,0)),IF(AND($L$711=0,$P$708=0),"",$L$711-1),IF($R$17="Distrato",$E1013,0)),MIN(X$38,$D$19),$P$20))-SUM($P1013:W1013)</f>
        <v>#VALUE!</v>
      </c>
      <c r="Y1013" s="446" t="e">
        <f>IF(OR($B1013="",MIN(Y$38,$D$19)&lt;MAX($P$708*($B1013+IF($R$17="Distrato",$I$38-1,0)),IF(AND($L$711=0,$P$708=0),"",$L$711-1),IF($R$17="Distrato",$E1013,0))),0,YEARFRAC(MAX($P$708*($B1013+IF($R$17="Distrato",$I$38-1,0)),IF(AND($L$711=0,$P$708=0),"",$L$711-1),IF($R$17="Distrato",$E1013,0)),MIN(Y$38,$D$19),$P$20))-SUM($P1013:X1013)</f>
        <v>#VALUE!</v>
      </c>
      <c r="Z1013" s="446" t="e">
        <f>IF(OR($B1013="",MIN(Z$38,$D$19)&lt;MAX($P$708*($B1013+IF($R$17="Distrato",$I$38-1,0)),IF(AND($L$711=0,$P$708=0),"",$L$711-1),IF($R$17="Distrato",$E1013,0))),0,YEARFRAC(MAX($P$708*($B1013+IF($R$17="Distrato",$I$38-1,0)),IF(AND($L$711=0,$P$708=0),"",$L$711-1),IF($R$17="Distrato",$E1013,0)),MIN(Z$38,$D$19),$P$20))-SUM($P1013:Y1013)</f>
        <v>#VALUE!</v>
      </c>
      <c r="AA1013" s="446" t="e">
        <f>IF(OR($B1013="",MIN(AA$38,$D$19)&lt;MAX($P$708*($B1013+IF($R$17="Distrato",$I$38-1,0)),IF(AND($L$711=0,$P$708=0),"",$L$711-1),IF($R$17="Distrato",$E1013,0))),0,YEARFRAC(MAX($P$708*($B1013+IF($R$17="Distrato",$I$38-1,0)),IF(AND($L$711=0,$P$708=0),"",$L$711-1),IF($R$17="Distrato",$E1013,0)),MIN(AA$38,$D$19),$P$20))-SUM($P1013:Z1013)</f>
        <v>#VALUE!</v>
      </c>
      <c r="AB1013" s="446" t="e">
        <f>IF(OR($B1013="",MIN(AB$38,$D$19)&lt;MAX($P$708*($B1013+IF($R$17="Distrato",$I$38-1,0)),IF(AND($L$711=0,$P$708=0),"",$L$711-1),IF($R$17="Distrato",$E1013,0))),0,YEARFRAC(MAX($P$708*($B1013+IF($R$17="Distrato",$I$38-1,0)),IF(AND($L$711=0,$P$708=0),"",$L$711-1),IF($R$17="Distrato",$E1013,0)),MIN(AB$38,$D$19),$P$20))-SUM($P1013:AA1013)</f>
        <v>#VALUE!</v>
      </c>
      <c r="AC1013" s="446" t="e">
        <f>IF(OR($B1013="",MIN(AC$38,$D$19)&lt;MAX($P$708*($B1013+IF($R$17="Distrato",$I$38-1,0)),IF(AND($L$711=0,$P$708=0),"",$L$711-1),IF($R$17="Distrato",$E1013,0))),0,YEARFRAC(MAX($P$708*($B1013+IF($R$17="Distrato",$I$38-1,0)),IF(AND($L$711=0,$P$708=0),"",$L$711-1),IF($R$17="Distrato",$E1013,0)),MIN(AC$38,$D$19),$P$20))-SUM($P1013:AB1013)</f>
        <v>#VALUE!</v>
      </c>
      <c r="AD1013" s="446" t="e">
        <f>IF(OR($B1013="",MIN(AD$38,$D$19)&lt;MAX($P$708*($B1013+IF($R$17="Distrato",$I$38-1,0)),IF(AND($L$711=0,$P$708=0),"",$L$711-1),IF($R$17="Distrato",$E1013,0))),0,YEARFRAC(MAX($P$708*($B1013+IF($R$17="Distrato",$I$38-1,0)),IF(AND($L$711=0,$P$708=0),"",$L$711-1),IF($R$17="Distrato",$E1013,0)),MIN(AD$38,$D$19),$P$20))-SUM($P1013:AC1013)</f>
        <v>#VALUE!</v>
      </c>
      <c r="AE1013" s="446" t="e">
        <f>IF(OR($B1013="",MIN(AE$38,$D$19)&lt;MAX($P$708*($B1013+IF($R$17="Distrato",$I$38-1,0)),IF(AND($L$711=0,$P$708=0),"",$L$711-1),IF($R$17="Distrato",$E1013,0))),0,YEARFRAC(MAX($P$708*($B1013+IF($R$17="Distrato",$I$38-1,0)),IF(AND($L$711=0,$P$708=0),"",$L$711-1),IF($R$17="Distrato",$E1013,0)),MIN(AE$38,$D$19),$P$20))-SUM($P1013:AD1013)</f>
        <v>#VALUE!</v>
      </c>
      <c r="AF1013" s="446" t="e">
        <f>IF(OR($B1013="",MIN(AF$38,$D$19)&lt;MAX($P$708*($B1013+IF($R$17="Distrato",$I$38-1,0)),IF(AND($L$711=0,$P$708=0),"",$L$711-1),IF($R$17="Distrato",$E1013,0))),0,YEARFRAC(MAX($P$708*($B1013+IF($R$17="Distrato",$I$38-1,0)),IF(AND($L$711=0,$P$708=0),"",$L$711-1),IF($R$17="Distrato",$E1013,0)),MIN(AF$38,$D$19),$P$20))-SUM($P1013:AE1013)</f>
        <v>#VALUE!</v>
      </c>
      <c r="AG1013" s="446" t="e">
        <f>IF(OR($B1013="",MIN(AG$38,$D$19)&lt;MAX($P$708*($B1013+IF($R$17="Distrato",$I$38-1,0)),IF(AND($L$711=0,$P$708=0),"",$L$711-1),IF($R$17="Distrato",$E1013,0))),0,YEARFRAC(MAX($P$708*($B1013+IF($R$17="Distrato",$I$38-1,0)),IF(AND($L$711=0,$P$708=0),"",$L$711-1),IF($R$17="Distrato",$E1013,0)),MIN(AG$38,$D$19),$P$20))-SUM($P1013:AF1013)</f>
        <v>#VALUE!</v>
      </c>
      <c r="AH1013" s="446" t="e">
        <f>IF(OR($B1013="",MIN(AH$38,$D$19)&lt;MAX($P$708*($B1013+IF($R$17="Distrato",$I$38-1,0)),IF(AND($L$711=0,$P$708=0),"",$L$711-1),IF($R$17="Distrato",$E1013,0))),0,YEARFRAC(MAX($P$708*($B1013+IF($R$17="Distrato",$I$38-1,0)),IF(AND($L$711=0,$P$708=0),"",$L$711-1),IF($R$17="Distrato",$E1013,0)),MIN(AH$38,$D$19),$P$20))-SUM($P1013:AG1013)</f>
        <v>#VALUE!</v>
      </c>
      <c r="AI1013" s="446" t="e">
        <f>IF(OR($B1013="",MIN(AI$38,$D$19)&lt;MAX($P$708*($B1013+IF($R$17="Distrato",$I$38-1,0)),IF(AND($L$711=0,$P$708=0),"",$L$711-1),IF($R$17="Distrato",$E1013,0))),0,YEARFRAC(MAX($P$708*($B1013+IF($R$17="Distrato",$I$38-1,0)),IF(AND($L$711=0,$P$708=0),"",$L$711-1),IF($R$17="Distrato",$E1013,0)),MIN(AI$38,$D$19),$P$20))-SUM($P1013:AH1013)</f>
        <v>#VALUE!</v>
      </c>
      <c r="AJ1013" s="446" t="e">
        <f>IF(OR($B1013="",MIN(AJ$38,$D$19)&lt;MAX($P$708*($B1013+IF($R$17="Distrato",$I$38-1,0)),IF(AND($L$711=0,$P$708=0),"",$L$711-1),IF($R$17="Distrato",$E1013,0))),0,YEARFRAC(MAX($P$708*($B1013+IF($R$17="Distrato",$I$38-1,0)),IF(AND($L$711=0,$P$708=0),"",$L$711-1),IF($R$17="Distrato",$E1013,0)),MIN(AJ$38,$D$19),$P$20))-SUM($P1013:AI1013)</f>
        <v>#VALUE!</v>
      </c>
      <c r="AK1013" s="446" t="e">
        <f>IF(OR($B1013="",MIN(AK$38,$D$19)&lt;MAX($P$708*($B1013+IF($R$17="Distrato",$I$38-1,0)),IF(AND($L$711=0,$P$708=0),"",$L$711-1),IF($R$17="Distrato",$E1013,0))),0,YEARFRAC(MAX($P$708*($B1013+IF($R$17="Distrato",$I$38-1,0)),IF(AND($L$711=0,$P$708=0),"",$L$711-1),IF($R$17="Distrato",$E1013,0)),MIN(AK$38,$D$19),$P$20))-SUM($P1013:AJ1013)</f>
        <v>#VALUE!</v>
      </c>
      <c r="AL1013" s="446" t="e">
        <f>IF(OR($B1013="",MIN(AL$38,$D$19)&lt;MAX($P$708*($B1013+IF($R$17="Distrato",$I$38-1,0)),IF(AND($L$711=0,$P$708=0),"",$L$711-1),IF($R$17="Distrato",$E1013,0))),0,YEARFRAC(MAX($P$708*($B1013+IF($R$17="Distrato",$I$38-1,0)),IF(AND($L$711=0,$P$708=0),"",$L$711-1),IF($R$17="Distrato",$E1013,0)),MIN(AL$38,$D$19),$P$20))-SUM($P1013:AK1013)</f>
        <v>#VALUE!</v>
      </c>
      <c r="AM1013" s="446" t="e">
        <f>IF(OR($B1013="",MIN(AM$38,$D$19)&lt;MAX($P$708*($B1013+IF($R$17="Distrato",$I$38-1,0)),IF(AND($L$711=0,$P$708=0),"",$L$711-1),IF($R$17="Distrato",$E1013,0))),0,YEARFRAC(MAX($P$708*($B1013+IF($R$17="Distrato",$I$38-1,0)),IF(AND($L$711=0,$P$708=0),"",$L$711-1),IF($R$17="Distrato",$E1013,0)),MIN(AM$38,$D$19),$P$20))-SUM($P1013:AL1013)</f>
        <v>#VALUE!</v>
      </c>
      <c r="AN1013" s="446" t="e">
        <f>IF(OR($B1013="",MIN(AN$38,$D$19)&lt;MAX($P$708*($B1013+IF($R$17="Distrato",$I$38-1,0)),IF(AND($L$711=0,$P$708=0),"",$L$711-1),IF($R$17="Distrato",$E1013,0))),0,YEARFRAC(MAX($P$708*($B1013+IF($R$17="Distrato",$I$38-1,0)),IF(AND($L$711=0,$P$708=0),"",$L$711-1),IF($R$17="Distrato",$E1013,0)),MIN(AN$38,$D$19),$P$20))-SUM($P1013:AM1013)</f>
        <v>#VALUE!</v>
      </c>
      <c r="AO1013" s="446" t="e">
        <f>IF(OR($B1013="",MIN(AO$38,$D$19)&lt;MAX($P$708*($B1013+IF($R$17="Distrato",$I$38-1,0)),IF(AND($L$711=0,$P$708=0),"",$L$711-1),IF($R$17="Distrato",$E1013,0))),0,YEARFRAC(MAX($P$708*($B1013+IF($R$17="Distrato",$I$38-1,0)),IF(AND($L$711=0,$P$708=0),"",$L$711-1),IF($R$17="Distrato",$E1013,0)),MIN(AO$38,$D$19),$P$20))-SUM($P1013:AN1013)</f>
        <v>#VALUE!</v>
      </c>
      <c r="AP1013" s="446" t="e">
        <f>IF(OR($B1013="",MIN(AP$38,$D$19)&lt;MAX($P$708*($B1013+IF($R$17="Distrato",$I$38-1,0)),IF(AND($L$711=0,$P$708=0),"",$L$711-1),IF($R$17="Distrato",$E1013,0))),0,YEARFRAC(MAX($P$708*($B1013+IF($R$17="Distrato",$I$38-1,0)),IF(AND($L$711=0,$P$708=0),"",$L$711-1),IF($R$17="Distrato",$E1013,0)),MIN(AP$38,$D$19),$P$20))-SUM($P1013:AO1013)</f>
        <v>#VALUE!</v>
      </c>
      <c r="AQ1013" s="446" t="e">
        <f>IF(OR($B1013="",MIN(AQ$38,$D$19)&lt;MAX($P$708*($B1013+IF($R$17="Distrato",$I$38-1,0)),IF(AND($L$711=0,$P$708=0),"",$L$711-1),IF($R$17="Distrato",$E1013,0))),0,YEARFRAC(MAX($P$708*($B1013+IF($R$17="Distrato",$I$38-1,0)),IF(AND($L$711=0,$P$708=0),"",$L$711-1),IF($R$17="Distrato",$E1013,0)),MIN(AQ$38,$D$19),$P$20))-SUM($P1013:AP1013)</f>
        <v>#VALUE!</v>
      </c>
      <c r="AR1013" s="446" t="e">
        <f>IF(OR($B1013="",MIN(AR$38,$D$19)&lt;MAX($P$708*($B1013+IF($R$17="Distrato",$I$38-1,0)),IF(AND($L$711=0,$P$708=0),"",$L$711-1),IF($R$17="Distrato",$E1013,0))),0,YEARFRAC(MAX($P$708*($B1013+IF($R$17="Distrato",$I$38-1,0)),IF(AND($L$711=0,$P$708=0),"",$L$711-1),IF($R$17="Distrato",$E1013,0)),MIN(AR$38,$D$19),$P$20))-SUM($P1013:AQ1013)</f>
        <v>#VALUE!</v>
      </c>
      <c r="AS1013" s="446" t="e">
        <f>IF(OR($B1013="",MIN(AS$38,$D$19)&lt;MAX($P$708*($B1013+IF($R$17="Distrato",$I$38-1,0)),IF(AND($L$711=0,$P$708=0),"",$L$711-1),IF($R$17="Distrato",$E1013,0))),0,YEARFRAC(MAX($P$708*($B1013+IF($R$17="Distrato",$I$38-1,0)),IF(AND($L$711=0,$P$708=0),"",$L$711-1),IF($R$17="Distrato",$E1013,0)),MIN(AS$38,$D$19),$P$20))-SUM($P1013:AR1013)</f>
        <v>#VALUE!</v>
      </c>
      <c r="AT1013" s="446" t="e">
        <f>IF(OR($B1013="",MIN(AT$38,$D$19)&lt;MAX($P$708*($B1013+IF($R$17="Distrato",$I$38-1,0)),IF(AND($L$711=0,$P$708=0),"",$L$711-1),IF($R$17="Distrato",$E1013,0))),0,YEARFRAC(MAX($P$708*($B1013+IF($R$17="Distrato",$I$38-1,0)),IF(AND($L$711=0,$P$708=0),"",$L$711-1),IF($R$17="Distrato",$E1013,0)),MIN(AT$38,$D$19),$P$20))-SUM($P1013:AS1013)</f>
        <v>#VALUE!</v>
      </c>
      <c r="AU1013" s="446" t="e">
        <f>IF(OR($B1013="",MIN(AU$38,$D$19)&lt;MAX($P$708*($B1013+IF($R$17="Distrato",$I$38-1,0)),IF(AND($L$711=0,$P$708=0),"",$L$711-1),IF($R$17="Distrato",$E1013,0))),0,YEARFRAC(MAX($P$708*($B1013+IF($R$17="Distrato",$I$38-1,0)),IF(AND($L$711=0,$P$708=0),"",$L$711-1),IF($R$17="Distrato",$E1013,0)),MIN(AU$38,$D$19),$P$20))-SUM($P1013:AT1013)</f>
        <v>#VALUE!</v>
      </c>
      <c r="AV1013" s="446" t="e">
        <f>IF(OR($B1013="",MIN(AV$38,$D$19)&lt;MAX($P$708*($B1013+IF($R$17="Distrato",$I$38-1,0)),IF(AND($L$711=0,$P$708=0),"",$L$711-1),IF($R$17="Distrato",$E1013,0))),0,YEARFRAC(MAX($P$708*($B1013+IF($R$17="Distrato",$I$38-1,0)),IF(AND($L$711=0,$P$708=0),"",$L$711-1),IF($R$17="Distrato",$E1013,0)),MIN(AV$38,$D$19),$P$20))-SUM($P1013:AU1013)</f>
        <v>#VALUE!</v>
      </c>
      <c r="AW1013" s="446" t="e">
        <f>IF(OR($B1013="",MIN(AW$38,$D$19)&lt;MAX($P$708*($B1013+IF($R$17="Distrato",$I$38-1,0)),IF(AND($L$711=0,$P$708=0),"",$L$711-1),IF($R$17="Distrato",$E1013,0))),0,YEARFRAC(MAX($P$708*($B1013+IF($R$17="Distrato",$I$38-1,0)),IF(AND($L$711=0,$P$708=0),"",$L$711-1),IF($R$17="Distrato",$E1013,0)),MIN(AW$38,$D$19),$P$20))-SUM($P1013:AV1013)</f>
        <v>#VALUE!</v>
      </c>
      <c r="AX1013" s="446" t="e">
        <f>IF(OR($B1013="",MIN(AX$38,$D$19)&lt;MAX($P$708*($B1013+IF($R$17="Distrato",$I$38-1,0)),IF(AND($L$711=0,$P$708=0),"",$L$711-1),IF($R$17="Distrato",$E1013,0))),0,YEARFRAC(MAX($P$708*($B1013+IF($R$17="Distrato",$I$38-1,0)),IF(AND($L$711=0,$P$708=0),"",$L$711-1),IF($R$17="Distrato",$E1013,0)),MIN(AX$38,$D$19),$P$20))-SUM($P1013:AW1013)</f>
        <v>#VALUE!</v>
      </c>
      <c r="AY1013" s="446" t="e">
        <f>IF(OR($B1013="",MIN(AY$38,$D$19)&lt;MAX($P$708*($B1013+IF($R$17="Distrato",$I$38-1,0)),IF(AND($L$711=0,$P$708=0),"",$L$711-1),IF($R$17="Distrato",$E1013,0))),0,YEARFRAC(MAX($P$708*($B1013+IF($R$17="Distrato",$I$38-1,0)),IF(AND($L$711=0,$P$708=0),"",$L$711-1),IF($R$17="Distrato",$E1013,0)),MIN(AY$38,$D$19),$P$20))-SUM($P1013:AX1013)</f>
        <v>#VALUE!</v>
      </c>
      <c r="AZ1013" s="446" t="e">
        <f>IF(OR($B1013="",MIN(AZ$38,$D$19)&lt;MAX($P$708*($B1013+IF($R$17="Distrato",$I$38-1,0)),IF(AND($L$711=0,$P$708=0),"",$L$711-1),IF($R$17="Distrato",$E1013,0))),0,YEARFRAC(MAX($P$708*($B1013+IF($R$17="Distrato",$I$38-1,0)),IF(AND($L$711=0,$P$708=0),"",$L$711-1),IF($R$17="Distrato",$E1013,0)),MIN(AZ$38,$D$19),$P$20))-SUM($P1013:AY1013)</f>
        <v>#VALUE!</v>
      </c>
      <c r="BA1013" s="446" t="e">
        <f>IF(OR($B1013="",MIN(BA$38,$D$19)&lt;MAX($P$708*($B1013+IF($R$17="Distrato",$I$38-1,0)),IF(AND($L$711=0,$P$708=0),"",$L$711-1),IF($R$17="Distrato",$E1013,0))),0,YEARFRAC(MAX($P$708*($B1013+IF($R$17="Distrato",$I$38-1,0)),IF(AND($L$711=0,$P$708=0),"",$L$711-1),IF($R$17="Distrato",$E1013,0)),MIN(BA$38,$D$19),$P$20))-SUM($P1013:AZ1013)</f>
        <v>#VALUE!</v>
      </c>
      <c r="BB1013" s="447"/>
    </row>
    <row r="1014" spans="1:54" s="446" customFormat="1" ht="11.25" hidden="1" customHeight="1" x14ac:dyDescent="0.2">
      <c r="A1014" s="235"/>
      <c r="B1014" s="236"/>
      <c r="C1014" s="29" t="str">
        <f>IF(B1014="","",IF($L$709=$BL$25,VLOOKUP(DATE(YEAR($D$19),MONTH($D$19)-1,1),ÍNDICES!$A:$DE,HLOOKUP($BL$25,ÍNDICES!$B$3:$T$4,2)+11)-VLOOKUP(B1014,ÍNDICES!$A:$DE,HLOOKUP($BL$25,ÍNDICES!$B$3:$T$4,2)+11)+1%,IF(C$712=$W$26,$J$35,IF(ISERROR(IF(B1014&gt;$D$19,1,VLOOKUP(DATE(YEAR(B1014),MONTH(B1014)+IF($C$709=$S$23,1,0),1),ÍNDICES!$A:$DE,$Z$709+1))),"",IF(B1014&gt;$D$19,1,VLOOKUP(DATE(YEAR(B1014),MONTH(B1014)+IF($C$709=$S$23,1,0),1),ÍNDICES!$A:$DE,$Z$709+1))))))</f>
        <v/>
      </c>
      <c r="D1014" s="155"/>
      <c r="E1014" s="88"/>
      <c r="F1014" s="88"/>
      <c r="G1014" s="88"/>
      <c r="H1014" s="118"/>
      <c r="I1014" s="182">
        <f t="shared" si="143"/>
        <v>0</v>
      </c>
      <c r="J1014" s="20">
        <f t="shared" ca="1" si="144"/>
        <v>0</v>
      </c>
      <c r="K1014" s="5">
        <f t="shared" ca="1" si="145"/>
        <v>0</v>
      </c>
      <c r="L1014" s="61">
        <f t="shared" ca="1" si="146"/>
        <v>0</v>
      </c>
      <c r="M1014" s="64">
        <f t="shared" si="147"/>
        <v>0</v>
      </c>
      <c r="N1014" s="151"/>
      <c r="O1014" s="5">
        <f t="shared" ca="1" si="148"/>
        <v>0</v>
      </c>
      <c r="P1014" s="446" t="e">
        <f t="shared" si="149"/>
        <v>#VALUE!</v>
      </c>
      <c r="Q1014" s="446" t="e">
        <f>IF(OR($B1014="",MIN(Q$38,$D$19)&lt;MAX($P$708*($B1014+IF($R$17="Distrato",$I$38-1,0)),IF(AND($L$711=0,$P$708=0),"",$L$711-1),IF($R$17="Distrato",$E1014,0))),0,YEARFRAC(MAX($P$708*($B1014+IF($R$17="Distrato",$I$38-1,0)),IF(AND($L$711=0,$P$708=0),"",$L$711-1),IF($R$17="Distrato",$E1014,0)),MIN(Q$38,$D$19),$P$20))-SUM($P1014:P1014)</f>
        <v>#VALUE!</v>
      </c>
      <c r="R1014" s="446" t="e">
        <f>IF(OR($B1014="",MIN(R$38,$D$19)&lt;MAX($P$708*($B1014+IF($R$17="Distrato",$I$38-1,0)),IF(AND($L$711=0,$P$708=0),"",$L$711-1),IF($R$17="Distrato",$E1014,0))),0,YEARFRAC(MAX($P$708*($B1014+IF($R$17="Distrato",$I$38-1,0)),IF(AND($L$711=0,$P$708=0),"",$L$711-1),IF($R$17="Distrato",$E1014,0)),MIN(R$38,$D$19),$P$20))-SUM($P1014:Q1014)</f>
        <v>#VALUE!</v>
      </c>
      <c r="S1014" s="446" t="e">
        <f>IF(OR($B1014="",MIN(S$38,$D$19)&lt;MAX($P$708*($B1014+IF($R$17="Distrato",$I$38-1,0)),IF(AND($L$711=0,$P$708=0),"",$L$711-1),IF($R$17="Distrato",$E1014,0))),0,YEARFRAC(MAX($P$708*($B1014+IF($R$17="Distrato",$I$38-1,0)),IF(AND($L$711=0,$P$708=0),"",$L$711-1),IF($R$17="Distrato",$E1014,0)),MIN(S$38,$D$19),$P$20))-SUM($P1014:R1014)</f>
        <v>#VALUE!</v>
      </c>
      <c r="T1014" s="446" t="e">
        <f>IF(OR($B1014="",MIN(T$38,$D$19)&lt;MAX($P$708*($B1014+IF($R$17="Distrato",$I$38-1,0)),IF(AND($L$711=0,$P$708=0),"",$L$711-1),IF($R$17="Distrato",$E1014,0))),0,YEARFRAC(MAX($P$708*($B1014+IF($R$17="Distrato",$I$38-1,0)),IF(AND($L$711=0,$P$708=0),"",$L$711-1),IF($R$17="Distrato",$E1014,0)),MIN(T$38,$D$19),$P$20))-SUM($P1014:S1014)</f>
        <v>#VALUE!</v>
      </c>
      <c r="U1014" s="446" t="e">
        <f>IF(OR($B1014="",MIN(U$38,$D$19)&lt;MAX($P$708*($B1014+IF($R$17="Distrato",$I$38-1,0)),IF(AND($L$711=0,$P$708=0),"",$L$711-1),IF($R$17="Distrato",$E1014,0))),0,YEARFRAC(MAX($P$708*($B1014+IF($R$17="Distrato",$I$38-1,0)),IF(AND($L$711=0,$P$708=0),"",$L$711-1),IF($R$17="Distrato",$E1014,0)),MIN(U$38,$D$19),$P$20))-SUM($P1014:T1014)</f>
        <v>#VALUE!</v>
      </c>
      <c r="V1014" s="446" t="e">
        <f>IF(OR($B1014="",MIN(V$38,$D$19)&lt;MAX($P$708*($B1014+IF($R$17="Distrato",$I$38-1,0)),IF(AND($L$711=0,$P$708=0),"",$L$711-1),IF($R$17="Distrato",$E1014,0))),0,YEARFRAC(MAX($P$708*($B1014+IF($R$17="Distrato",$I$38-1,0)),IF(AND($L$711=0,$P$708=0),"",$L$711-1),IF($R$17="Distrato",$E1014,0)),MIN(V$38,$D$19),$P$20))-SUM($P1014:U1014)</f>
        <v>#VALUE!</v>
      </c>
      <c r="W1014" s="446" t="e">
        <f>IF(OR($B1014="",MIN(W$38,$D$19)&lt;MAX($P$708*($B1014+IF($R$17="Distrato",$I$38-1,0)),IF(AND($L$711=0,$P$708=0),"",$L$711-1),IF($R$17="Distrato",$E1014,0))),0,YEARFRAC(MAX($P$708*($B1014+IF($R$17="Distrato",$I$38-1,0)),IF(AND($L$711=0,$P$708=0),"",$L$711-1),IF($R$17="Distrato",$E1014,0)),MIN(W$38,$D$19),$P$20))-SUM($P1014:V1014)</f>
        <v>#VALUE!</v>
      </c>
      <c r="X1014" s="446" t="e">
        <f>IF(OR($B1014="",MIN(X$38,$D$19)&lt;MAX($P$708*($B1014+IF($R$17="Distrato",$I$38-1,0)),IF(AND($L$711=0,$P$708=0),"",$L$711-1),IF($R$17="Distrato",$E1014,0))),0,YEARFRAC(MAX($P$708*($B1014+IF($R$17="Distrato",$I$38-1,0)),IF(AND($L$711=0,$P$708=0),"",$L$711-1),IF($R$17="Distrato",$E1014,0)),MIN(X$38,$D$19),$P$20))-SUM($P1014:W1014)</f>
        <v>#VALUE!</v>
      </c>
      <c r="Y1014" s="446" t="e">
        <f>IF(OR($B1014="",MIN(Y$38,$D$19)&lt;MAX($P$708*($B1014+IF($R$17="Distrato",$I$38-1,0)),IF(AND($L$711=0,$P$708=0),"",$L$711-1),IF($R$17="Distrato",$E1014,0))),0,YEARFRAC(MAX($P$708*($B1014+IF($R$17="Distrato",$I$38-1,0)),IF(AND($L$711=0,$P$708=0),"",$L$711-1),IF($R$17="Distrato",$E1014,0)),MIN(Y$38,$D$19),$P$20))-SUM($P1014:X1014)</f>
        <v>#VALUE!</v>
      </c>
      <c r="Z1014" s="446" t="e">
        <f>IF(OR($B1014="",MIN(Z$38,$D$19)&lt;MAX($P$708*($B1014+IF($R$17="Distrato",$I$38-1,0)),IF(AND($L$711=0,$P$708=0),"",$L$711-1),IF($R$17="Distrato",$E1014,0))),0,YEARFRAC(MAX($P$708*($B1014+IF($R$17="Distrato",$I$38-1,0)),IF(AND($L$711=0,$P$708=0),"",$L$711-1),IF($R$17="Distrato",$E1014,0)),MIN(Z$38,$D$19),$P$20))-SUM($P1014:Y1014)</f>
        <v>#VALUE!</v>
      </c>
      <c r="AA1014" s="446" t="e">
        <f>IF(OR($B1014="",MIN(AA$38,$D$19)&lt;MAX($P$708*($B1014+IF($R$17="Distrato",$I$38-1,0)),IF(AND($L$711=0,$P$708=0),"",$L$711-1),IF($R$17="Distrato",$E1014,0))),0,YEARFRAC(MAX($P$708*($B1014+IF($R$17="Distrato",$I$38-1,0)),IF(AND($L$711=0,$P$708=0),"",$L$711-1),IF($R$17="Distrato",$E1014,0)),MIN(AA$38,$D$19),$P$20))-SUM($P1014:Z1014)</f>
        <v>#VALUE!</v>
      </c>
      <c r="AB1014" s="446" t="e">
        <f>IF(OR($B1014="",MIN(AB$38,$D$19)&lt;MAX($P$708*($B1014+IF($R$17="Distrato",$I$38-1,0)),IF(AND($L$711=0,$P$708=0),"",$L$711-1),IF($R$17="Distrato",$E1014,0))),0,YEARFRAC(MAX($P$708*($B1014+IF($R$17="Distrato",$I$38-1,0)),IF(AND($L$711=0,$P$708=0),"",$L$711-1),IF($R$17="Distrato",$E1014,0)),MIN(AB$38,$D$19),$P$20))-SUM($P1014:AA1014)</f>
        <v>#VALUE!</v>
      </c>
      <c r="AC1014" s="446" t="e">
        <f>IF(OR($B1014="",MIN(AC$38,$D$19)&lt;MAX($P$708*($B1014+IF($R$17="Distrato",$I$38-1,0)),IF(AND($L$711=0,$P$708=0),"",$L$711-1),IF($R$17="Distrato",$E1014,0))),0,YEARFRAC(MAX($P$708*($B1014+IF($R$17="Distrato",$I$38-1,0)),IF(AND($L$711=0,$P$708=0),"",$L$711-1),IF($R$17="Distrato",$E1014,0)),MIN(AC$38,$D$19),$P$20))-SUM($P1014:AB1014)</f>
        <v>#VALUE!</v>
      </c>
      <c r="AD1014" s="446" t="e">
        <f>IF(OR($B1014="",MIN(AD$38,$D$19)&lt;MAX($P$708*($B1014+IF($R$17="Distrato",$I$38-1,0)),IF(AND($L$711=0,$P$708=0),"",$L$711-1),IF($R$17="Distrato",$E1014,0))),0,YEARFRAC(MAX($P$708*($B1014+IF($R$17="Distrato",$I$38-1,0)),IF(AND($L$711=0,$P$708=0),"",$L$711-1),IF($R$17="Distrato",$E1014,0)),MIN(AD$38,$D$19),$P$20))-SUM($P1014:AC1014)</f>
        <v>#VALUE!</v>
      </c>
      <c r="AE1014" s="446" t="e">
        <f>IF(OR($B1014="",MIN(AE$38,$D$19)&lt;MAX($P$708*($B1014+IF($R$17="Distrato",$I$38-1,0)),IF(AND($L$711=0,$P$708=0),"",$L$711-1),IF($R$17="Distrato",$E1014,0))),0,YEARFRAC(MAX($P$708*($B1014+IF($R$17="Distrato",$I$38-1,0)),IF(AND($L$711=0,$P$708=0),"",$L$711-1),IF($R$17="Distrato",$E1014,0)),MIN(AE$38,$D$19),$P$20))-SUM($P1014:AD1014)</f>
        <v>#VALUE!</v>
      </c>
      <c r="AF1014" s="446" t="e">
        <f>IF(OR($B1014="",MIN(AF$38,$D$19)&lt;MAX($P$708*($B1014+IF($R$17="Distrato",$I$38-1,0)),IF(AND($L$711=0,$P$708=0),"",$L$711-1),IF($R$17="Distrato",$E1014,0))),0,YEARFRAC(MAX($P$708*($B1014+IF($R$17="Distrato",$I$38-1,0)),IF(AND($L$711=0,$P$708=0),"",$L$711-1),IF($R$17="Distrato",$E1014,0)),MIN(AF$38,$D$19),$P$20))-SUM($P1014:AE1014)</f>
        <v>#VALUE!</v>
      </c>
      <c r="AG1014" s="446" t="e">
        <f>IF(OR($B1014="",MIN(AG$38,$D$19)&lt;MAX($P$708*($B1014+IF($R$17="Distrato",$I$38-1,0)),IF(AND($L$711=0,$P$708=0),"",$L$711-1),IF($R$17="Distrato",$E1014,0))),0,YEARFRAC(MAX($P$708*($B1014+IF($R$17="Distrato",$I$38-1,0)),IF(AND($L$711=0,$P$708=0),"",$L$711-1),IF($R$17="Distrato",$E1014,0)),MIN(AG$38,$D$19),$P$20))-SUM($P1014:AF1014)</f>
        <v>#VALUE!</v>
      </c>
      <c r="AH1014" s="446" t="e">
        <f>IF(OR($B1014="",MIN(AH$38,$D$19)&lt;MAX($P$708*($B1014+IF($R$17="Distrato",$I$38-1,0)),IF(AND($L$711=0,$P$708=0),"",$L$711-1),IF($R$17="Distrato",$E1014,0))),0,YEARFRAC(MAX($P$708*($B1014+IF($R$17="Distrato",$I$38-1,0)),IF(AND($L$711=0,$P$708=0),"",$L$711-1),IF($R$17="Distrato",$E1014,0)),MIN(AH$38,$D$19),$P$20))-SUM($P1014:AG1014)</f>
        <v>#VALUE!</v>
      </c>
      <c r="AI1014" s="446" t="e">
        <f>IF(OR($B1014="",MIN(AI$38,$D$19)&lt;MAX($P$708*($B1014+IF($R$17="Distrato",$I$38-1,0)),IF(AND($L$711=0,$P$708=0),"",$L$711-1),IF($R$17="Distrato",$E1014,0))),0,YEARFRAC(MAX($P$708*($B1014+IF($R$17="Distrato",$I$38-1,0)),IF(AND($L$711=0,$P$708=0),"",$L$711-1),IF($R$17="Distrato",$E1014,0)),MIN(AI$38,$D$19),$P$20))-SUM($P1014:AH1014)</f>
        <v>#VALUE!</v>
      </c>
      <c r="AJ1014" s="446" t="e">
        <f>IF(OR($B1014="",MIN(AJ$38,$D$19)&lt;MAX($P$708*($B1014+IF($R$17="Distrato",$I$38-1,0)),IF(AND($L$711=0,$P$708=0),"",$L$711-1),IF($R$17="Distrato",$E1014,0))),0,YEARFRAC(MAX($P$708*($B1014+IF($R$17="Distrato",$I$38-1,0)),IF(AND($L$711=0,$P$708=0),"",$L$711-1),IF($R$17="Distrato",$E1014,0)),MIN(AJ$38,$D$19),$P$20))-SUM($P1014:AI1014)</f>
        <v>#VALUE!</v>
      </c>
      <c r="AK1014" s="446" t="e">
        <f>IF(OR($B1014="",MIN(AK$38,$D$19)&lt;MAX($P$708*($B1014+IF($R$17="Distrato",$I$38-1,0)),IF(AND($L$711=0,$P$708=0),"",$L$711-1),IF($R$17="Distrato",$E1014,0))),0,YEARFRAC(MAX($P$708*($B1014+IF($R$17="Distrato",$I$38-1,0)),IF(AND($L$711=0,$P$708=0),"",$L$711-1),IF($R$17="Distrato",$E1014,0)),MIN(AK$38,$D$19),$P$20))-SUM($P1014:AJ1014)</f>
        <v>#VALUE!</v>
      </c>
      <c r="AL1014" s="446" t="e">
        <f>IF(OR($B1014="",MIN(AL$38,$D$19)&lt;MAX($P$708*($B1014+IF($R$17="Distrato",$I$38-1,0)),IF(AND($L$711=0,$P$708=0),"",$L$711-1),IF($R$17="Distrato",$E1014,0))),0,YEARFRAC(MAX($P$708*($B1014+IF($R$17="Distrato",$I$38-1,0)),IF(AND($L$711=0,$P$708=0),"",$L$711-1),IF($R$17="Distrato",$E1014,0)),MIN(AL$38,$D$19),$P$20))-SUM($P1014:AK1014)</f>
        <v>#VALUE!</v>
      </c>
      <c r="AM1014" s="446" t="e">
        <f>IF(OR($B1014="",MIN(AM$38,$D$19)&lt;MAX($P$708*($B1014+IF($R$17="Distrato",$I$38-1,0)),IF(AND($L$711=0,$P$708=0),"",$L$711-1),IF($R$17="Distrato",$E1014,0))),0,YEARFRAC(MAX($P$708*($B1014+IF($R$17="Distrato",$I$38-1,0)),IF(AND($L$711=0,$P$708=0),"",$L$711-1),IF($R$17="Distrato",$E1014,0)),MIN(AM$38,$D$19),$P$20))-SUM($P1014:AL1014)</f>
        <v>#VALUE!</v>
      </c>
      <c r="AN1014" s="446" t="e">
        <f>IF(OR($B1014="",MIN(AN$38,$D$19)&lt;MAX($P$708*($B1014+IF($R$17="Distrato",$I$38-1,0)),IF(AND($L$711=0,$P$708=0),"",$L$711-1),IF($R$17="Distrato",$E1014,0))),0,YEARFRAC(MAX($P$708*($B1014+IF($R$17="Distrato",$I$38-1,0)),IF(AND($L$711=0,$P$708=0),"",$L$711-1),IF($R$17="Distrato",$E1014,0)),MIN(AN$38,$D$19),$P$20))-SUM($P1014:AM1014)</f>
        <v>#VALUE!</v>
      </c>
      <c r="AO1014" s="446" t="e">
        <f>IF(OR($B1014="",MIN(AO$38,$D$19)&lt;MAX($P$708*($B1014+IF($R$17="Distrato",$I$38-1,0)),IF(AND($L$711=0,$P$708=0),"",$L$711-1),IF($R$17="Distrato",$E1014,0))),0,YEARFRAC(MAX($P$708*($B1014+IF($R$17="Distrato",$I$38-1,0)),IF(AND($L$711=0,$P$708=0),"",$L$711-1),IF($R$17="Distrato",$E1014,0)),MIN(AO$38,$D$19),$P$20))-SUM($P1014:AN1014)</f>
        <v>#VALUE!</v>
      </c>
      <c r="AP1014" s="446" t="e">
        <f>IF(OR($B1014="",MIN(AP$38,$D$19)&lt;MAX($P$708*($B1014+IF($R$17="Distrato",$I$38-1,0)),IF(AND($L$711=0,$P$708=0),"",$L$711-1),IF($R$17="Distrato",$E1014,0))),0,YEARFRAC(MAX($P$708*($B1014+IF($R$17="Distrato",$I$38-1,0)),IF(AND($L$711=0,$P$708=0),"",$L$711-1),IF($R$17="Distrato",$E1014,0)),MIN(AP$38,$D$19),$P$20))-SUM($P1014:AO1014)</f>
        <v>#VALUE!</v>
      </c>
      <c r="AQ1014" s="446" t="e">
        <f>IF(OR($B1014="",MIN(AQ$38,$D$19)&lt;MAX($P$708*($B1014+IF($R$17="Distrato",$I$38-1,0)),IF(AND($L$711=0,$P$708=0),"",$L$711-1),IF($R$17="Distrato",$E1014,0))),0,YEARFRAC(MAX($P$708*($B1014+IF($R$17="Distrato",$I$38-1,0)),IF(AND($L$711=0,$P$708=0),"",$L$711-1),IF($R$17="Distrato",$E1014,0)),MIN(AQ$38,$D$19),$P$20))-SUM($P1014:AP1014)</f>
        <v>#VALUE!</v>
      </c>
      <c r="AR1014" s="446" t="e">
        <f>IF(OR($B1014="",MIN(AR$38,$D$19)&lt;MAX($P$708*($B1014+IF($R$17="Distrato",$I$38-1,0)),IF(AND($L$711=0,$P$708=0),"",$L$711-1),IF($R$17="Distrato",$E1014,0))),0,YEARFRAC(MAX($P$708*($B1014+IF($R$17="Distrato",$I$38-1,0)),IF(AND($L$711=0,$P$708=0),"",$L$711-1),IF($R$17="Distrato",$E1014,0)),MIN(AR$38,$D$19),$P$20))-SUM($P1014:AQ1014)</f>
        <v>#VALUE!</v>
      </c>
      <c r="AS1014" s="446" t="e">
        <f>IF(OR($B1014="",MIN(AS$38,$D$19)&lt;MAX($P$708*($B1014+IF($R$17="Distrato",$I$38-1,0)),IF(AND($L$711=0,$P$708=0),"",$L$711-1),IF($R$17="Distrato",$E1014,0))),0,YEARFRAC(MAX($P$708*($B1014+IF($R$17="Distrato",$I$38-1,0)),IF(AND($L$711=0,$P$708=0),"",$L$711-1),IF($R$17="Distrato",$E1014,0)),MIN(AS$38,$D$19),$P$20))-SUM($P1014:AR1014)</f>
        <v>#VALUE!</v>
      </c>
      <c r="AT1014" s="446" t="e">
        <f>IF(OR($B1014="",MIN(AT$38,$D$19)&lt;MAX($P$708*($B1014+IF($R$17="Distrato",$I$38-1,0)),IF(AND($L$711=0,$P$708=0),"",$L$711-1),IF($R$17="Distrato",$E1014,0))),0,YEARFRAC(MAX($P$708*($B1014+IF($R$17="Distrato",$I$38-1,0)),IF(AND($L$711=0,$P$708=0),"",$L$711-1),IF($R$17="Distrato",$E1014,0)),MIN(AT$38,$D$19),$P$20))-SUM($P1014:AS1014)</f>
        <v>#VALUE!</v>
      </c>
      <c r="AU1014" s="446" t="e">
        <f>IF(OR($B1014="",MIN(AU$38,$D$19)&lt;MAX($P$708*($B1014+IF($R$17="Distrato",$I$38-1,0)),IF(AND($L$711=0,$P$708=0),"",$L$711-1),IF($R$17="Distrato",$E1014,0))),0,YEARFRAC(MAX($P$708*($B1014+IF($R$17="Distrato",$I$38-1,0)),IF(AND($L$711=0,$P$708=0),"",$L$711-1),IF($R$17="Distrato",$E1014,0)),MIN(AU$38,$D$19),$P$20))-SUM($P1014:AT1014)</f>
        <v>#VALUE!</v>
      </c>
      <c r="AV1014" s="446" t="e">
        <f>IF(OR($B1014="",MIN(AV$38,$D$19)&lt;MAX($P$708*($B1014+IF($R$17="Distrato",$I$38-1,0)),IF(AND($L$711=0,$P$708=0),"",$L$711-1),IF($R$17="Distrato",$E1014,0))),0,YEARFRAC(MAX($P$708*($B1014+IF($R$17="Distrato",$I$38-1,0)),IF(AND($L$711=0,$P$708=0),"",$L$711-1),IF($R$17="Distrato",$E1014,0)),MIN(AV$38,$D$19),$P$20))-SUM($P1014:AU1014)</f>
        <v>#VALUE!</v>
      </c>
      <c r="AW1014" s="446" t="e">
        <f>IF(OR($B1014="",MIN(AW$38,$D$19)&lt;MAX($P$708*($B1014+IF($R$17="Distrato",$I$38-1,0)),IF(AND($L$711=0,$P$708=0),"",$L$711-1),IF($R$17="Distrato",$E1014,0))),0,YEARFRAC(MAX($P$708*($B1014+IF($R$17="Distrato",$I$38-1,0)),IF(AND($L$711=0,$P$708=0),"",$L$711-1),IF($R$17="Distrato",$E1014,0)),MIN(AW$38,$D$19),$P$20))-SUM($P1014:AV1014)</f>
        <v>#VALUE!</v>
      </c>
      <c r="AX1014" s="446" t="e">
        <f>IF(OR($B1014="",MIN(AX$38,$D$19)&lt;MAX($P$708*($B1014+IF($R$17="Distrato",$I$38-1,0)),IF(AND($L$711=0,$P$708=0),"",$L$711-1),IF($R$17="Distrato",$E1014,0))),0,YEARFRAC(MAX($P$708*($B1014+IF($R$17="Distrato",$I$38-1,0)),IF(AND($L$711=0,$P$708=0),"",$L$711-1),IF($R$17="Distrato",$E1014,0)),MIN(AX$38,$D$19),$P$20))-SUM($P1014:AW1014)</f>
        <v>#VALUE!</v>
      </c>
      <c r="AY1014" s="446" t="e">
        <f>IF(OR($B1014="",MIN(AY$38,$D$19)&lt;MAX($P$708*($B1014+IF($R$17="Distrato",$I$38-1,0)),IF(AND($L$711=0,$P$708=0),"",$L$711-1),IF($R$17="Distrato",$E1014,0))),0,YEARFRAC(MAX($P$708*($B1014+IF($R$17="Distrato",$I$38-1,0)),IF(AND($L$711=0,$P$708=0),"",$L$711-1),IF($R$17="Distrato",$E1014,0)),MIN(AY$38,$D$19),$P$20))-SUM($P1014:AX1014)</f>
        <v>#VALUE!</v>
      </c>
      <c r="AZ1014" s="446" t="e">
        <f>IF(OR($B1014="",MIN(AZ$38,$D$19)&lt;MAX($P$708*($B1014+IF($R$17="Distrato",$I$38-1,0)),IF(AND($L$711=0,$P$708=0),"",$L$711-1),IF($R$17="Distrato",$E1014,0))),0,YEARFRAC(MAX($P$708*($B1014+IF($R$17="Distrato",$I$38-1,0)),IF(AND($L$711=0,$P$708=0),"",$L$711-1),IF($R$17="Distrato",$E1014,0)),MIN(AZ$38,$D$19),$P$20))-SUM($P1014:AY1014)</f>
        <v>#VALUE!</v>
      </c>
      <c r="BA1014" s="446" t="e">
        <f>IF(OR($B1014="",MIN(BA$38,$D$19)&lt;MAX($P$708*($B1014+IF($R$17="Distrato",$I$38-1,0)),IF(AND($L$711=0,$P$708=0),"",$L$711-1),IF($R$17="Distrato",$E1014,0))),0,YEARFRAC(MAX($P$708*($B1014+IF($R$17="Distrato",$I$38-1,0)),IF(AND($L$711=0,$P$708=0),"",$L$711-1),IF($R$17="Distrato",$E1014,0)),MIN(BA$38,$D$19),$P$20))-SUM($P1014:AZ1014)</f>
        <v>#VALUE!</v>
      </c>
      <c r="BB1014" s="447"/>
    </row>
    <row r="1015" spans="1:54" s="446" customFormat="1" ht="11.25" hidden="1" customHeight="1" x14ac:dyDescent="0.2">
      <c r="A1015" s="235"/>
      <c r="B1015" s="236"/>
      <c r="C1015" s="29" t="str">
        <f>IF(B1015="","",IF($L$709=$BL$25,VLOOKUP(DATE(YEAR($D$19),MONTH($D$19)-1,1),ÍNDICES!$A:$DE,HLOOKUP($BL$25,ÍNDICES!$B$3:$T$4,2)+11)-VLOOKUP(B1015,ÍNDICES!$A:$DE,HLOOKUP($BL$25,ÍNDICES!$B$3:$T$4,2)+11)+1%,IF(C$712=$W$26,$J$35,IF(ISERROR(IF(B1015&gt;$D$19,1,VLOOKUP(DATE(YEAR(B1015),MONTH(B1015)+IF($C$709=$S$23,1,0),1),ÍNDICES!$A:$DE,$Z$709+1))),"",IF(B1015&gt;$D$19,1,VLOOKUP(DATE(YEAR(B1015),MONTH(B1015)+IF($C$709=$S$23,1,0),1),ÍNDICES!$A:$DE,$Z$709+1))))))</f>
        <v/>
      </c>
      <c r="D1015" s="155"/>
      <c r="E1015" s="88"/>
      <c r="F1015" s="88"/>
      <c r="G1015" s="88"/>
      <c r="H1015" s="118"/>
      <c r="I1015" s="182">
        <f t="shared" si="143"/>
        <v>0</v>
      </c>
      <c r="J1015" s="20">
        <f t="shared" ca="1" si="144"/>
        <v>0</v>
      </c>
      <c r="K1015" s="5">
        <f t="shared" ca="1" si="145"/>
        <v>0</v>
      </c>
      <c r="L1015" s="61">
        <f t="shared" ca="1" si="146"/>
        <v>0</v>
      </c>
      <c r="M1015" s="64">
        <f t="shared" si="147"/>
        <v>0</v>
      </c>
      <c r="N1015" s="151"/>
      <c r="O1015" s="5">
        <f t="shared" ca="1" si="148"/>
        <v>0</v>
      </c>
      <c r="P1015" s="446" t="e">
        <f t="shared" si="149"/>
        <v>#VALUE!</v>
      </c>
      <c r="Q1015" s="446" t="e">
        <f>IF(OR($B1015="",MIN(Q$38,$D$19)&lt;MAX($P$708*($B1015+IF($R$17="Distrato",$I$38-1,0)),IF(AND($L$711=0,$P$708=0),"",$L$711-1),IF($R$17="Distrato",$E1015,0))),0,YEARFRAC(MAX($P$708*($B1015+IF($R$17="Distrato",$I$38-1,0)),IF(AND($L$711=0,$P$708=0),"",$L$711-1),IF($R$17="Distrato",$E1015,0)),MIN(Q$38,$D$19),$P$20))-SUM($P1015:P1015)</f>
        <v>#VALUE!</v>
      </c>
      <c r="R1015" s="446" t="e">
        <f>IF(OR($B1015="",MIN(R$38,$D$19)&lt;MAX($P$708*($B1015+IF($R$17="Distrato",$I$38-1,0)),IF(AND($L$711=0,$P$708=0),"",$L$711-1),IF($R$17="Distrato",$E1015,0))),0,YEARFRAC(MAX($P$708*($B1015+IF($R$17="Distrato",$I$38-1,0)),IF(AND($L$711=0,$P$708=0),"",$L$711-1),IF($R$17="Distrato",$E1015,0)),MIN(R$38,$D$19),$P$20))-SUM($P1015:Q1015)</f>
        <v>#VALUE!</v>
      </c>
      <c r="S1015" s="446" t="e">
        <f>IF(OR($B1015="",MIN(S$38,$D$19)&lt;MAX($P$708*($B1015+IF($R$17="Distrato",$I$38-1,0)),IF(AND($L$711=0,$P$708=0),"",$L$711-1),IF($R$17="Distrato",$E1015,0))),0,YEARFRAC(MAX($P$708*($B1015+IF($R$17="Distrato",$I$38-1,0)),IF(AND($L$711=0,$P$708=0),"",$L$711-1),IF($R$17="Distrato",$E1015,0)),MIN(S$38,$D$19),$P$20))-SUM($P1015:R1015)</f>
        <v>#VALUE!</v>
      </c>
      <c r="T1015" s="446" t="e">
        <f>IF(OR($B1015="",MIN(T$38,$D$19)&lt;MAX($P$708*($B1015+IF($R$17="Distrato",$I$38-1,0)),IF(AND($L$711=0,$P$708=0),"",$L$711-1),IF($R$17="Distrato",$E1015,0))),0,YEARFRAC(MAX($P$708*($B1015+IF($R$17="Distrato",$I$38-1,0)),IF(AND($L$711=0,$P$708=0),"",$L$711-1),IF($R$17="Distrato",$E1015,0)),MIN(T$38,$D$19),$P$20))-SUM($P1015:S1015)</f>
        <v>#VALUE!</v>
      </c>
      <c r="U1015" s="446" t="e">
        <f>IF(OR($B1015="",MIN(U$38,$D$19)&lt;MAX($P$708*($B1015+IF($R$17="Distrato",$I$38-1,0)),IF(AND($L$711=0,$P$708=0),"",$L$711-1),IF($R$17="Distrato",$E1015,0))),0,YEARFRAC(MAX($P$708*($B1015+IF($R$17="Distrato",$I$38-1,0)),IF(AND($L$711=0,$P$708=0),"",$L$711-1),IF($R$17="Distrato",$E1015,0)),MIN(U$38,$D$19),$P$20))-SUM($P1015:T1015)</f>
        <v>#VALUE!</v>
      </c>
      <c r="V1015" s="446" t="e">
        <f>IF(OR($B1015="",MIN(V$38,$D$19)&lt;MAX($P$708*($B1015+IF($R$17="Distrato",$I$38-1,0)),IF(AND($L$711=0,$P$708=0),"",$L$711-1),IF($R$17="Distrato",$E1015,0))),0,YEARFRAC(MAX($P$708*($B1015+IF($R$17="Distrato",$I$38-1,0)),IF(AND($L$711=0,$P$708=0),"",$L$711-1),IF($R$17="Distrato",$E1015,0)),MIN(V$38,$D$19),$P$20))-SUM($P1015:U1015)</f>
        <v>#VALUE!</v>
      </c>
      <c r="W1015" s="446" t="e">
        <f>IF(OR($B1015="",MIN(W$38,$D$19)&lt;MAX($P$708*($B1015+IF($R$17="Distrato",$I$38-1,0)),IF(AND($L$711=0,$P$708=0),"",$L$711-1),IF($R$17="Distrato",$E1015,0))),0,YEARFRAC(MAX($P$708*($B1015+IF($R$17="Distrato",$I$38-1,0)),IF(AND($L$711=0,$P$708=0),"",$L$711-1),IF($R$17="Distrato",$E1015,0)),MIN(W$38,$D$19),$P$20))-SUM($P1015:V1015)</f>
        <v>#VALUE!</v>
      </c>
      <c r="X1015" s="446" t="e">
        <f>IF(OR($B1015="",MIN(X$38,$D$19)&lt;MAX($P$708*($B1015+IF($R$17="Distrato",$I$38-1,0)),IF(AND($L$711=0,$P$708=0),"",$L$711-1),IF($R$17="Distrato",$E1015,0))),0,YEARFRAC(MAX($P$708*($B1015+IF($R$17="Distrato",$I$38-1,0)),IF(AND($L$711=0,$P$708=0),"",$L$711-1),IF($R$17="Distrato",$E1015,0)),MIN(X$38,$D$19),$P$20))-SUM($P1015:W1015)</f>
        <v>#VALUE!</v>
      </c>
      <c r="Y1015" s="446" t="e">
        <f>IF(OR($B1015="",MIN(Y$38,$D$19)&lt;MAX($P$708*($B1015+IF($R$17="Distrato",$I$38-1,0)),IF(AND($L$711=0,$P$708=0),"",$L$711-1),IF($R$17="Distrato",$E1015,0))),0,YEARFRAC(MAX($P$708*($B1015+IF($R$17="Distrato",$I$38-1,0)),IF(AND($L$711=0,$P$708=0),"",$L$711-1),IF($R$17="Distrato",$E1015,0)),MIN(Y$38,$D$19),$P$20))-SUM($P1015:X1015)</f>
        <v>#VALUE!</v>
      </c>
      <c r="Z1015" s="446" t="e">
        <f>IF(OR($B1015="",MIN(Z$38,$D$19)&lt;MAX($P$708*($B1015+IF($R$17="Distrato",$I$38-1,0)),IF(AND($L$711=0,$P$708=0),"",$L$711-1),IF($R$17="Distrato",$E1015,0))),0,YEARFRAC(MAX($P$708*($B1015+IF($R$17="Distrato",$I$38-1,0)),IF(AND($L$711=0,$P$708=0),"",$L$711-1),IF($R$17="Distrato",$E1015,0)),MIN(Z$38,$D$19),$P$20))-SUM($P1015:Y1015)</f>
        <v>#VALUE!</v>
      </c>
      <c r="AA1015" s="446" t="e">
        <f>IF(OR($B1015="",MIN(AA$38,$D$19)&lt;MAX($P$708*($B1015+IF($R$17="Distrato",$I$38-1,0)),IF(AND($L$711=0,$P$708=0),"",$L$711-1),IF($R$17="Distrato",$E1015,0))),0,YEARFRAC(MAX($P$708*($B1015+IF($R$17="Distrato",$I$38-1,0)),IF(AND($L$711=0,$P$708=0),"",$L$711-1),IF($R$17="Distrato",$E1015,0)),MIN(AA$38,$D$19),$P$20))-SUM($P1015:Z1015)</f>
        <v>#VALUE!</v>
      </c>
      <c r="AB1015" s="446" t="e">
        <f>IF(OR($B1015="",MIN(AB$38,$D$19)&lt;MAX($P$708*($B1015+IF($R$17="Distrato",$I$38-1,0)),IF(AND($L$711=0,$P$708=0),"",$L$711-1),IF($R$17="Distrato",$E1015,0))),0,YEARFRAC(MAX($P$708*($B1015+IF($R$17="Distrato",$I$38-1,0)),IF(AND($L$711=0,$P$708=0),"",$L$711-1),IF($R$17="Distrato",$E1015,0)),MIN(AB$38,$D$19),$P$20))-SUM($P1015:AA1015)</f>
        <v>#VALUE!</v>
      </c>
      <c r="AC1015" s="446" t="e">
        <f>IF(OR($B1015="",MIN(AC$38,$D$19)&lt;MAX($P$708*($B1015+IF($R$17="Distrato",$I$38-1,0)),IF(AND($L$711=0,$P$708=0),"",$L$711-1),IF($R$17="Distrato",$E1015,0))),0,YEARFRAC(MAX($P$708*($B1015+IF($R$17="Distrato",$I$38-1,0)),IF(AND($L$711=0,$P$708=0),"",$L$711-1),IF($R$17="Distrato",$E1015,0)),MIN(AC$38,$D$19),$P$20))-SUM($P1015:AB1015)</f>
        <v>#VALUE!</v>
      </c>
      <c r="AD1015" s="446" t="e">
        <f>IF(OR($B1015="",MIN(AD$38,$D$19)&lt;MAX($P$708*($B1015+IF($R$17="Distrato",$I$38-1,0)),IF(AND($L$711=0,$P$708=0),"",$L$711-1),IF($R$17="Distrato",$E1015,0))),0,YEARFRAC(MAX($P$708*($B1015+IF($R$17="Distrato",$I$38-1,0)),IF(AND($L$711=0,$P$708=0),"",$L$711-1),IF($R$17="Distrato",$E1015,0)),MIN(AD$38,$D$19),$P$20))-SUM($P1015:AC1015)</f>
        <v>#VALUE!</v>
      </c>
      <c r="AE1015" s="446" t="e">
        <f>IF(OR($B1015="",MIN(AE$38,$D$19)&lt;MAX($P$708*($B1015+IF($R$17="Distrato",$I$38-1,0)),IF(AND($L$711=0,$P$708=0),"",$L$711-1),IF($R$17="Distrato",$E1015,0))),0,YEARFRAC(MAX($P$708*($B1015+IF($R$17="Distrato",$I$38-1,0)),IF(AND($L$711=0,$P$708=0),"",$L$711-1),IF($R$17="Distrato",$E1015,0)),MIN(AE$38,$D$19),$P$20))-SUM($P1015:AD1015)</f>
        <v>#VALUE!</v>
      </c>
      <c r="AF1015" s="446" t="e">
        <f>IF(OR($B1015="",MIN(AF$38,$D$19)&lt;MAX($P$708*($B1015+IF($R$17="Distrato",$I$38-1,0)),IF(AND($L$711=0,$P$708=0),"",$L$711-1),IF($R$17="Distrato",$E1015,0))),0,YEARFRAC(MAX($P$708*($B1015+IF($R$17="Distrato",$I$38-1,0)),IF(AND($L$711=0,$P$708=0),"",$L$711-1),IF($R$17="Distrato",$E1015,0)),MIN(AF$38,$D$19),$P$20))-SUM($P1015:AE1015)</f>
        <v>#VALUE!</v>
      </c>
      <c r="AG1015" s="446" t="e">
        <f>IF(OR($B1015="",MIN(AG$38,$D$19)&lt;MAX($P$708*($B1015+IF($R$17="Distrato",$I$38-1,0)),IF(AND($L$711=0,$P$708=0),"",$L$711-1),IF($R$17="Distrato",$E1015,0))),0,YEARFRAC(MAX($P$708*($B1015+IF($R$17="Distrato",$I$38-1,0)),IF(AND($L$711=0,$P$708=0),"",$L$711-1),IF($R$17="Distrato",$E1015,0)),MIN(AG$38,$D$19),$P$20))-SUM($P1015:AF1015)</f>
        <v>#VALUE!</v>
      </c>
      <c r="AH1015" s="446" t="e">
        <f>IF(OR($B1015="",MIN(AH$38,$D$19)&lt;MAX($P$708*($B1015+IF($R$17="Distrato",$I$38-1,0)),IF(AND($L$711=0,$P$708=0),"",$L$711-1),IF($R$17="Distrato",$E1015,0))),0,YEARFRAC(MAX($P$708*($B1015+IF($R$17="Distrato",$I$38-1,0)),IF(AND($L$711=0,$P$708=0),"",$L$711-1),IF($R$17="Distrato",$E1015,0)),MIN(AH$38,$D$19),$P$20))-SUM($P1015:AG1015)</f>
        <v>#VALUE!</v>
      </c>
      <c r="AI1015" s="446" t="e">
        <f>IF(OR($B1015="",MIN(AI$38,$D$19)&lt;MAX($P$708*($B1015+IF($R$17="Distrato",$I$38-1,0)),IF(AND($L$711=0,$P$708=0),"",$L$711-1),IF($R$17="Distrato",$E1015,0))),0,YEARFRAC(MAX($P$708*($B1015+IF($R$17="Distrato",$I$38-1,0)),IF(AND($L$711=0,$P$708=0),"",$L$711-1),IF($R$17="Distrato",$E1015,0)),MIN(AI$38,$D$19),$P$20))-SUM($P1015:AH1015)</f>
        <v>#VALUE!</v>
      </c>
      <c r="AJ1015" s="446" t="e">
        <f>IF(OR($B1015="",MIN(AJ$38,$D$19)&lt;MAX($P$708*($B1015+IF($R$17="Distrato",$I$38-1,0)),IF(AND($L$711=0,$P$708=0),"",$L$711-1),IF($R$17="Distrato",$E1015,0))),0,YEARFRAC(MAX($P$708*($B1015+IF($R$17="Distrato",$I$38-1,0)),IF(AND($L$711=0,$P$708=0),"",$L$711-1),IF($R$17="Distrato",$E1015,0)),MIN(AJ$38,$D$19),$P$20))-SUM($P1015:AI1015)</f>
        <v>#VALUE!</v>
      </c>
      <c r="AK1015" s="446" t="e">
        <f>IF(OR($B1015="",MIN(AK$38,$D$19)&lt;MAX($P$708*($B1015+IF($R$17="Distrato",$I$38-1,0)),IF(AND($L$711=0,$P$708=0),"",$L$711-1),IF($R$17="Distrato",$E1015,0))),0,YEARFRAC(MAX($P$708*($B1015+IF($R$17="Distrato",$I$38-1,0)),IF(AND($L$711=0,$P$708=0),"",$L$711-1),IF($R$17="Distrato",$E1015,0)),MIN(AK$38,$D$19),$P$20))-SUM($P1015:AJ1015)</f>
        <v>#VALUE!</v>
      </c>
      <c r="AL1015" s="446" t="e">
        <f>IF(OR($B1015="",MIN(AL$38,$D$19)&lt;MAX($P$708*($B1015+IF($R$17="Distrato",$I$38-1,0)),IF(AND($L$711=0,$P$708=0),"",$L$711-1),IF($R$17="Distrato",$E1015,0))),0,YEARFRAC(MAX($P$708*($B1015+IF($R$17="Distrato",$I$38-1,0)),IF(AND($L$711=0,$P$708=0),"",$L$711-1),IF($R$17="Distrato",$E1015,0)),MIN(AL$38,$D$19),$P$20))-SUM($P1015:AK1015)</f>
        <v>#VALUE!</v>
      </c>
      <c r="AM1015" s="446" t="e">
        <f>IF(OR($B1015="",MIN(AM$38,$D$19)&lt;MAX($P$708*($B1015+IF($R$17="Distrato",$I$38-1,0)),IF(AND($L$711=0,$P$708=0),"",$L$711-1),IF($R$17="Distrato",$E1015,0))),0,YEARFRAC(MAX($P$708*($B1015+IF($R$17="Distrato",$I$38-1,0)),IF(AND($L$711=0,$P$708=0),"",$L$711-1),IF($R$17="Distrato",$E1015,0)),MIN(AM$38,$D$19),$P$20))-SUM($P1015:AL1015)</f>
        <v>#VALUE!</v>
      </c>
      <c r="AN1015" s="446" t="e">
        <f>IF(OR($B1015="",MIN(AN$38,$D$19)&lt;MAX($P$708*($B1015+IF($R$17="Distrato",$I$38-1,0)),IF(AND($L$711=0,$P$708=0),"",$L$711-1),IF($R$17="Distrato",$E1015,0))),0,YEARFRAC(MAX($P$708*($B1015+IF($R$17="Distrato",$I$38-1,0)),IF(AND($L$711=0,$P$708=0),"",$L$711-1),IF($R$17="Distrato",$E1015,0)),MIN(AN$38,$D$19),$P$20))-SUM($P1015:AM1015)</f>
        <v>#VALUE!</v>
      </c>
      <c r="AO1015" s="446" t="e">
        <f>IF(OR($B1015="",MIN(AO$38,$D$19)&lt;MAX($P$708*($B1015+IF($R$17="Distrato",$I$38-1,0)),IF(AND($L$711=0,$P$708=0),"",$L$711-1),IF($R$17="Distrato",$E1015,0))),0,YEARFRAC(MAX($P$708*($B1015+IF($R$17="Distrato",$I$38-1,0)),IF(AND($L$711=0,$P$708=0),"",$L$711-1),IF($R$17="Distrato",$E1015,0)),MIN(AO$38,$D$19),$P$20))-SUM($P1015:AN1015)</f>
        <v>#VALUE!</v>
      </c>
      <c r="AP1015" s="446" t="e">
        <f>IF(OR($B1015="",MIN(AP$38,$D$19)&lt;MAX($P$708*($B1015+IF($R$17="Distrato",$I$38-1,0)),IF(AND($L$711=0,$P$708=0),"",$L$711-1),IF($R$17="Distrato",$E1015,0))),0,YEARFRAC(MAX($P$708*($B1015+IF($R$17="Distrato",$I$38-1,0)),IF(AND($L$711=0,$P$708=0),"",$L$711-1),IF($R$17="Distrato",$E1015,0)),MIN(AP$38,$D$19),$P$20))-SUM($P1015:AO1015)</f>
        <v>#VALUE!</v>
      </c>
      <c r="AQ1015" s="446" t="e">
        <f>IF(OR($B1015="",MIN(AQ$38,$D$19)&lt;MAX($P$708*($B1015+IF($R$17="Distrato",$I$38-1,0)),IF(AND($L$711=0,$P$708=0),"",$L$711-1),IF($R$17="Distrato",$E1015,0))),0,YEARFRAC(MAX($P$708*($B1015+IF($R$17="Distrato",$I$38-1,0)),IF(AND($L$711=0,$P$708=0),"",$L$711-1),IF($R$17="Distrato",$E1015,0)),MIN(AQ$38,$D$19),$P$20))-SUM($P1015:AP1015)</f>
        <v>#VALUE!</v>
      </c>
      <c r="AR1015" s="446" t="e">
        <f>IF(OR($B1015="",MIN(AR$38,$D$19)&lt;MAX($P$708*($B1015+IF($R$17="Distrato",$I$38-1,0)),IF(AND($L$711=0,$P$708=0),"",$L$711-1),IF($R$17="Distrato",$E1015,0))),0,YEARFRAC(MAX($P$708*($B1015+IF($R$17="Distrato",$I$38-1,0)),IF(AND($L$711=0,$P$708=0),"",$L$711-1),IF($R$17="Distrato",$E1015,0)),MIN(AR$38,$D$19),$P$20))-SUM($P1015:AQ1015)</f>
        <v>#VALUE!</v>
      </c>
      <c r="AS1015" s="446" t="e">
        <f>IF(OR($B1015="",MIN(AS$38,$D$19)&lt;MAX($P$708*($B1015+IF($R$17="Distrato",$I$38-1,0)),IF(AND($L$711=0,$P$708=0),"",$L$711-1),IF($R$17="Distrato",$E1015,0))),0,YEARFRAC(MAX($P$708*($B1015+IF($R$17="Distrato",$I$38-1,0)),IF(AND($L$711=0,$P$708=0),"",$L$711-1),IF($R$17="Distrato",$E1015,0)),MIN(AS$38,$D$19),$P$20))-SUM($P1015:AR1015)</f>
        <v>#VALUE!</v>
      </c>
      <c r="AT1015" s="446" t="e">
        <f>IF(OR($B1015="",MIN(AT$38,$D$19)&lt;MAX($P$708*($B1015+IF($R$17="Distrato",$I$38-1,0)),IF(AND($L$711=0,$P$708=0),"",$L$711-1),IF($R$17="Distrato",$E1015,0))),0,YEARFRAC(MAX($P$708*($B1015+IF($R$17="Distrato",$I$38-1,0)),IF(AND($L$711=0,$P$708=0),"",$L$711-1),IF($R$17="Distrato",$E1015,0)),MIN(AT$38,$D$19),$P$20))-SUM($P1015:AS1015)</f>
        <v>#VALUE!</v>
      </c>
      <c r="AU1015" s="446" t="e">
        <f>IF(OR($B1015="",MIN(AU$38,$D$19)&lt;MAX($P$708*($B1015+IF($R$17="Distrato",$I$38-1,0)),IF(AND($L$711=0,$P$708=0),"",$L$711-1),IF($R$17="Distrato",$E1015,0))),0,YEARFRAC(MAX($P$708*($B1015+IF($R$17="Distrato",$I$38-1,0)),IF(AND($L$711=0,$P$708=0),"",$L$711-1),IF($R$17="Distrato",$E1015,0)),MIN(AU$38,$D$19),$P$20))-SUM($P1015:AT1015)</f>
        <v>#VALUE!</v>
      </c>
      <c r="AV1015" s="446" t="e">
        <f>IF(OR($B1015="",MIN(AV$38,$D$19)&lt;MAX($P$708*($B1015+IF($R$17="Distrato",$I$38-1,0)),IF(AND($L$711=0,$P$708=0),"",$L$711-1),IF($R$17="Distrato",$E1015,0))),0,YEARFRAC(MAX($P$708*($B1015+IF($R$17="Distrato",$I$38-1,0)),IF(AND($L$711=0,$P$708=0),"",$L$711-1),IF($R$17="Distrato",$E1015,0)),MIN(AV$38,$D$19),$P$20))-SUM($P1015:AU1015)</f>
        <v>#VALUE!</v>
      </c>
      <c r="AW1015" s="446" t="e">
        <f>IF(OR($B1015="",MIN(AW$38,$D$19)&lt;MAX($P$708*($B1015+IF($R$17="Distrato",$I$38-1,0)),IF(AND($L$711=0,$P$708=0),"",$L$711-1),IF($R$17="Distrato",$E1015,0))),0,YEARFRAC(MAX($P$708*($B1015+IF($R$17="Distrato",$I$38-1,0)),IF(AND($L$711=0,$P$708=0),"",$L$711-1),IF($R$17="Distrato",$E1015,0)),MIN(AW$38,$D$19),$P$20))-SUM($P1015:AV1015)</f>
        <v>#VALUE!</v>
      </c>
      <c r="AX1015" s="446" t="e">
        <f>IF(OR($B1015="",MIN(AX$38,$D$19)&lt;MAX($P$708*($B1015+IF($R$17="Distrato",$I$38-1,0)),IF(AND($L$711=0,$P$708=0),"",$L$711-1),IF($R$17="Distrato",$E1015,0))),0,YEARFRAC(MAX($P$708*($B1015+IF($R$17="Distrato",$I$38-1,0)),IF(AND($L$711=0,$P$708=0),"",$L$711-1),IF($R$17="Distrato",$E1015,0)),MIN(AX$38,$D$19),$P$20))-SUM($P1015:AW1015)</f>
        <v>#VALUE!</v>
      </c>
      <c r="AY1015" s="446" t="e">
        <f>IF(OR($B1015="",MIN(AY$38,$D$19)&lt;MAX($P$708*($B1015+IF($R$17="Distrato",$I$38-1,0)),IF(AND($L$711=0,$P$708=0),"",$L$711-1),IF($R$17="Distrato",$E1015,0))),0,YEARFRAC(MAX($P$708*($B1015+IF($R$17="Distrato",$I$38-1,0)),IF(AND($L$711=0,$P$708=0),"",$L$711-1),IF($R$17="Distrato",$E1015,0)),MIN(AY$38,$D$19),$P$20))-SUM($P1015:AX1015)</f>
        <v>#VALUE!</v>
      </c>
      <c r="AZ1015" s="446" t="e">
        <f>IF(OR($B1015="",MIN(AZ$38,$D$19)&lt;MAX($P$708*($B1015+IF($R$17="Distrato",$I$38-1,0)),IF(AND($L$711=0,$P$708=0),"",$L$711-1),IF($R$17="Distrato",$E1015,0))),0,YEARFRAC(MAX($P$708*($B1015+IF($R$17="Distrato",$I$38-1,0)),IF(AND($L$711=0,$P$708=0),"",$L$711-1),IF($R$17="Distrato",$E1015,0)),MIN(AZ$38,$D$19),$P$20))-SUM($P1015:AY1015)</f>
        <v>#VALUE!</v>
      </c>
      <c r="BA1015" s="446" t="e">
        <f>IF(OR($B1015="",MIN(BA$38,$D$19)&lt;MAX($P$708*($B1015+IF($R$17="Distrato",$I$38-1,0)),IF(AND($L$711=0,$P$708=0),"",$L$711-1),IF($R$17="Distrato",$E1015,0))),0,YEARFRAC(MAX($P$708*($B1015+IF($R$17="Distrato",$I$38-1,0)),IF(AND($L$711=0,$P$708=0),"",$L$711-1),IF($R$17="Distrato",$E1015,0)),MIN(BA$38,$D$19),$P$20))-SUM($P1015:AZ1015)</f>
        <v>#VALUE!</v>
      </c>
      <c r="BB1015" s="447"/>
    </row>
    <row r="1016" spans="1:54" s="446" customFormat="1" ht="11.25" hidden="1" customHeight="1" x14ac:dyDescent="0.2">
      <c r="A1016" s="235"/>
      <c r="B1016" s="236"/>
      <c r="C1016" s="29" t="str">
        <f>IF(B1016="","",IF($L$709=$BL$25,VLOOKUP(DATE(YEAR($D$19),MONTH($D$19)-1,1),ÍNDICES!$A:$DE,HLOOKUP($BL$25,ÍNDICES!$B$3:$T$4,2)+11)-VLOOKUP(B1016,ÍNDICES!$A:$DE,HLOOKUP($BL$25,ÍNDICES!$B$3:$T$4,2)+11)+1%,IF(C$712=$W$26,$J$35,IF(ISERROR(IF(B1016&gt;$D$19,1,VLOOKUP(DATE(YEAR(B1016),MONTH(B1016)+IF($C$709=$S$23,1,0),1),ÍNDICES!$A:$DE,$Z$709+1))),"",IF(B1016&gt;$D$19,1,VLOOKUP(DATE(YEAR(B1016),MONTH(B1016)+IF($C$709=$S$23,1,0),1),ÍNDICES!$A:$DE,$Z$709+1))))))</f>
        <v/>
      </c>
      <c r="D1016" s="155"/>
      <c r="E1016" s="88"/>
      <c r="F1016" s="88"/>
      <c r="G1016" s="88"/>
      <c r="H1016" s="118"/>
      <c r="I1016" s="182">
        <f t="shared" si="143"/>
        <v>0</v>
      </c>
      <c r="J1016" s="20">
        <f t="shared" ca="1" si="144"/>
        <v>0</v>
      </c>
      <c r="K1016" s="5">
        <f t="shared" ca="1" si="145"/>
        <v>0</v>
      </c>
      <c r="L1016" s="61">
        <f t="shared" ca="1" si="146"/>
        <v>0</v>
      </c>
      <c r="M1016" s="64">
        <f t="shared" si="147"/>
        <v>0</v>
      </c>
      <c r="N1016" s="151"/>
      <c r="O1016" s="5">
        <f t="shared" ca="1" si="148"/>
        <v>0</v>
      </c>
      <c r="P1016" s="446" t="e">
        <f t="shared" si="149"/>
        <v>#VALUE!</v>
      </c>
      <c r="Q1016" s="446" t="e">
        <f>IF(OR($B1016="",MIN(Q$38,$D$19)&lt;MAX($P$708*($B1016+IF($R$17="Distrato",$I$38-1,0)),IF(AND($L$711=0,$P$708=0),"",$L$711-1),IF($R$17="Distrato",$E1016,0))),0,YEARFRAC(MAX($P$708*($B1016+IF($R$17="Distrato",$I$38-1,0)),IF(AND($L$711=0,$P$708=0),"",$L$711-1),IF($R$17="Distrato",$E1016,0)),MIN(Q$38,$D$19),$P$20))-SUM($P1016:P1016)</f>
        <v>#VALUE!</v>
      </c>
      <c r="R1016" s="446" t="e">
        <f>IF(OR($B1016="",MIN(R$38,$D$19)&lt;MAX($P$708*($B1016+IF($R$17="Distrato",$I$38-1,0)),IF(AND($L$711=0,$P$708=0),"",$L$711-1),IF($R$17="Distrato",$E1016,0))),0,YEARFRAC(MAX($P$708*($B1016+IF($R$17="Distrato",$I$38-1,0)),IF(AND($L$711=0,$P$708=0),"",$L$711-1),IF($R$17="Distrato",$E1016,0)),MIN(R$38,$D$19),$P$20))-SUM($P1016:Q1016)</f>
        <v>#VALUE!</v>
      </c>
      <c r="S1016" s="446" t="e">
        <f>IF(OR($B1016="",MIN(S$38,$D$19)&lt;MAX($P$708*($B1016+IF($R$17="Distrato",$I$38-1,0)),IF(AND($L$711=0,$P$708=0),"",$L$711-1),IF($R$17="Distrato",$E1016,0))),0,YEARFRAC(MAX($P$708*($B1016+IF($R$17="Distrato",$I$38-1,0)),IF(AND($L$711=0,$P$708=0),"",$L$711-1),IF($R$17="Distrato",$E1016,0)),MIN(S$38,$D$19),$P$20))-SUM($P1016:R1016)</f>
        <v>#VALUE!</v>
      </c>
      <c r="T1016" s="446" t="e">
        <f>IF(OR($B1016="",MIN(T$38,$D$19)&lt;MAX($P$708*($B1016+IF($R$17="Distrato",$I$38-1,0)),IF(AND($L$711=0,$P$708=0),"",$L$711-1),IF($R$17="Distrato",$E1016,0))),0,YEARFRAC(MAX($P$708*($B1016+IF($R$17="Distrato",$I$38-1,0)),IF(AND($L$711=0,$P$708=0),"",$L$711-1),IF($R$17="Distrato",$E1016,0)),MIN(T$38,$D$19),$P$20))-SUM($P1016:S1016)</f>
        <v>#VALUE!</v>
      </c>
      <c r="U1016" s="446" t="e">
        <f>IF(OR($B1016="",MIN(U$38,$D$19)&lt;MAX($P$708*($B1016+IF($R$17="Distrato",$I$38-1,0)),IF(AND($L$711=0,$P$708=0),"",$L$711-1),IF($R$17="Distrato",$E1016,0))),0,YEARFRAC(MAX($P$708*($B1016+IF($R$17="Distrato",$I$38-1,0)),IF(AND($L$711=0,$P$708=0),"",$L$711-1),IF($R$17="Distrato",$E1016,0)),MIN(U$38,$D$19),$P$20))-SUM($P1016:T1016)</f>
        <v>#VALUE!</v>
      </c>
      <c r="V1016" s="446" t="e">
        <f>IF(OR($B1016="",MIN(V$38,$D$19)&lt;MAX($P$708*($B1016+IF($R$17="Distrato",$I$38-1,0)),IF(AND($L$711=0,$P$708=0),"",$L$711-1),IF($R$17="Distrato",$E1016,0))),0,YEARFRAC(MAX($P$708*($B1016+IF($R$17="Distrato",$I$38-1,0)),IF(AND($L$711=0,$P$708=0),"",$L$711-1),IF($R$17="Distrato",$E1016,0)),MIN(V$38,$D$19),$P$20))-SUM($P1016:U1016)</f>
        <v>#VALUE!</v>
      </c>
      <c r="W1016" s="446" t="e">
        <f>IF(OR($B1016="",MIN(W$38,$D$19)&lt;MAX($P$708*($B1016+IF($R$17="Distrato",$I$38-1,0)),IF(AND($L$711=0,$P$708=0),"",$L$711-1),IF($R$17="Distrato",$E1016,0))),0,YEARFRAC(MAX($P$708*($B1016+IF($R$17="Distrato",$I$38-1,0)),IF(AND($L$711=0,$P$708=0),"",$L$711-1),IF($R$17="Distrato",$E1016,0)),MIN(W$38,$D$19),$P$20))-SUM($P1016:V1016)</f>
        <v>#VALUE!</v>
      </c>
      <c r="X1016" s="446" t="e">
        <f>IF(OR($B1016="",MIN(X$38,$D$19)&lt;MAX($P$708*($B1016+IF($R$17="Distrato",$I$38-1,0)),IF(AND($L$711=0,$P$708=0),"",$L$711-1),IF($R$17="Distrato",$E1016,0))),0,YEARFRAC(MAX($P$708*($B1016+IF($R$17="Distrato",$I$38-1,0)),IF(AND($L$711=0,$P$708=0),"",$L$711-1),IF($R$17="Distrato",$E1016,0)),MIN(X$38,$D$19),$P$20))-SUM($P1016:W1016)</f>
        <v>#VALUE!</v>
      </c>
      <c r="Y1016" s="446" t="e">
        <f>IF(OR($B1016="",MIN(Y$38,$D$19)&lt;MAX($P$708*($B1016+IF($R$17="Distrato",$I$38-1,0)),IF(AND($L$711=0,$P$708=0),"",$L$711-1),IF($R$17="Distrato",$E1016,0))),0,YEARFRAC(MAX($P$708*($B1016+IF($R$17="Distrato",$I$38-1,0)),IF(AND($L$711=0,$P$708=0),"",$L$711-1),IF($R$17="Distrato",$E1016,0)),MIN(Y$38,$D$19),$P$20))-SUM($P1016:X1016)</f>
        <v>#VALUE!</v>
      </c>
      <c r="Z1016" s="446" t="e">
        <f>IF(OR($B1016="",MIN(Z$38,$D$19)&lt;MAX($P$708*($B1016+IF($R$17="Distrato",$I$38-1,0)),IF(AND($L$711=0,$P$708=0),"",$L$711-1),IF($R$17="Distrato",$E1016,0))),0,YEARFRAC(MAX($P$708*($B1016+IF($R$17="Distrato",$I$38-1,0)),IF(AND($L$711=0,$P$708=0),"",$L$711-1),IF($R$17="Distrato",$E1016,0)),MIN(Z$38,$D$19),$P$20))-SUM($P1016:Y1016)</f>
        <v>#VALUE!</v>
      </c>
      <c r="AA1016" s="446" t="e">
        <f>IF(OR($B1016="",MIN(AA$38,$D$19)&lt;MAX($P$708*($B1016+IF($R$17="Distrato",$I$38-1,0)),IF(AND($L$711=0,$P$708=0),"",$L$711-1),IF($R$17="Distrato",$E1016,0))),0,YEARFRAC(MAX($P$708*($B1016+IF($R$17="Distrato",$I$38-1,0)),IF(AND($L$711=0,$P$708=0),"",$L$711-1),IF($R$17="Distrato",$E1016,0)),MIN(AA$38,$D$19),$P$20))-SUM($P1016:Z1016)</f>
        <v>#VALUE!</v>
      </c>
      <c r="AB1016" s="446" t="e">
        <f>IF(OR($B1016="",MIN(AB$38,$D$19)&lt;MAX($P$708*($B1016+IF($R$17="Distrato",$I$38-1,0)),IF(AND($L$711=0,$P$708=0),"",$L$711-1),IF($R$17="Distrato",$E1016,0))),0,YEARFRAC(MAX($P$708*($B1016+IF($R$17="Distrato",$I$38-1,0)),IF(AND($L$711=0,$P$708=0),"",$L$711-1),IF($R$17="Distrato",$E1016,0)),MIN(AB$38,$D$19),$P$20))-SUM($P1016:AA1016)</f>
        <v>#VALUE!</v>
      </c>
      <c r="AC1016" s="446" t="e">
        <f>IF(OR($B1016="",MIN(AC$38,$D$19)&lt;MAX($P$708*($B1016+IF($R$17="Distrato",$I$38-1,0)),IF(AND($L$711=0,$P$708=0),"",$L$711-1),IF($R$17="Distrato",$E1016,0))),0,YEARFRAC(MAX($P$708*($B1016+IF($R$17="Distrato",$I$38-1,0)),IF(AND($L$711=0,$P$708=0),"",$L$711-1),IF($R$17="Distrato",$E1016,0)),MIN(AC$38,$D$19),$P$20))-SUM($P1016:AB1016)</f>
        <v>#VALUE!</v>
      </c>
      <c r="AD1016" s="446" t="e">
        <f>IF(OR($B1016="",MIN(AD$38,$D$19)&lt;MAX($P$708*($B1016+IF($R$17="Distrato",$I$38-1,0)),IF(AND($L$711=0,$P$708=0),"",$L$711-1),IF($R$17="Distrato",$E1016,0))),0,YEARFRAC(MAX($P$708*($B1016+IF($R$17="Distrato",$I$38-1,0)),IF(AND($L$711=0,$P$708=0),"",$L$711-1),IF($R$17="Distrato",$E1016,0)),MIN(AD$38,$D$19),$P$20))-SUM($P1016:AC1016)</f>
        <v>#VALUE!</v>
      </c>
      <c r="AE1016" s="446" t="e">
        <f>IF(OR($B1016="",MIN(AE$38,$D$19)&lt;MAX($P$708*($B1016+IF($R$17="Distrato",$I$38-1,0)),IF(AND($L$711=0,$P$708=0),"",$L$711-1),IF($R$17="Distrato",$E1016,0))),0,YEARFRAC(MAX($P$708*($B1016+IF($R$17="Distrato",$I$38-1,0)),IF(AND($L$711=0,$P$708=0),"",$L$711-1),IF($R$17="Distrato",$E1016,0)),MIN(AE$38,$D$19),$P$20))-SUM($P1016:AD1016)</f>
        <v>#VALUE!</v>
      </c>
      <c r="AF1016" s="446" t="e">
        <f>IF(OR($B1016="",MIN(AF$38,$D$19)&lt;MAX($P$708*($B1016+IF($R$17="Distrato",$I$38-1,0)),IF(AND($L$711=0,$P$708=0),"",$L$711-1),IF($R$17="Distrato",$E1016,0))),0,YEARFRAC(MAX($P$708*($B1016+IF($R$17="Distrato",$I$38-1,0)),IF(AND($L$711=0,$P$708=0),"",$L$711-1),IF($R$17="Distrato",$E1016,0)),MIN(AF$38,$D$19),$P$20))-SUM($P1016:AE1016)</f>
        <v>#VALUE!</v>
      </c>
      <c r="AG1016" s="446" t="e">
        <f>IF(OR($B1016="",MIN(AG$38,$D$19)&lt;MAX($P$708*($B1016+IF($R$17="Distrato",$I$38-1,0)),IF(AND($L$711=0,$P$708=0),"",$L$711-1),IF($R$17="Distrato",$E1016,0))),0,YEARFRAC(MAX($P$708*($B1016+IF($R$17="Distrato",$I$38-1,0)),IF(AND($L$711=0,$P$708=0),"",$L$711-1),IF($R$17="Distrato",$E1016,0)),MIN(AG$38,$D$19),$P$20))-SUM($P1016:AF1016)</f>
        <v>#VALUE!</v>
      </c>
      <c r="AH1016" s="446" t="e">
        <f>IF(OR($B1016="",MIN(AH$38,$D$19)&lt;MAX($P$708*($B1016+IF($R$17="Distrato",$I$38-1,0)),IF(AND($L$711=0,$P$708=0),"",$L$711-1),IF($R$17="Distrato",$E1016,0))),0,YEARFRAC(MAX($P$708*($B1016+IF($R$17="Distrato",$I$38-1,0)),IF(AND($L$711=0,$P$708=0),"",$L$711-1),IF($R$17="Distrato",$E1016,0)),MIN(AH$38,$D$19),$P$20))-SUM($P1016:AG1016)</f>
        <v>#VALUE!</v>
      </c>
      <c r="AI1016" s="446" t="e">
        <f>IF(OR($B1016="",MIN(AI$38,$D$19)&lt;MAX($P$708*($B1016+IF($R$17="Distrato",$I$38-1,0)),IF(AND($L$711=0,$P$708=0),"",$L$711-1),IF($R$17="Distrato",$E1016,0))),0,YEARFRAC(MAX($P$708*($B1016+IF($R$17="Distrato",$I$38-1,0)),IF(AND($L$711=0,$P$708=0),"",$L$711-1),IF($R$17="Distrato",$E1016,0)),MIN(AI$38,$D$19),$P$20))-SUM($P1016:AH1016)</f>
        <v>#VALUE!</v>
      </c>
      <c r="AJ1016" s="446" t="e">
        <f>IF(OR($B1016="",MIN(AJ$38,$D$19)&lt;MAX($P$708*($B1016+IF($R$17="Distrato",$I$38-1,0)),IF(AND($L$711=0,$P$708=0),"",$L$711-1),IF($R$17="Distrato",$E1016,0))),0,YEARFRAC(MAX($P$708*($B1016+IF($R$17="Distrato",$I$38-1,0)),IF(AND($L$711=0,$P$708=0),"",$L$711-1),IF($R$17="Distrato",$E1016,0)),MIN(AJ$38,$D$19),$P$20))-SUM($P1016:AI1016)</f>
        <v>#VALUE!</v>
      </c>
      <c r="AK1016" s="446" t="e">
        <f>IF(OR($B1016="",MIN(AK$38,$D$19)&lt;MAX($P$708*($B1016+IF($R$17="Distrato",$I$38-1,0)),IF(AND($L$711=0,$P$708=0),"",$L$711-1),IF($R$17="Distrato",$E1016,0))),0,YEARFRAC(MAX($P$708*($B1016+IF($R$17="Distrato",$I$38-1,0)),IF(AND($L$711=0,$P$708=0),"",$L$711-1),IF($R$17="Distrato",$E1016,0)),MIN(AK$38,$D$19),$P$20))-SUM($P1016:AJ1016)</f>
        <v>#VALUE!</v>
      </c>
      <c r="AL1016" s="446" t="e">
        <f>IF(OR($B1016="",MIN(AL$38,$D$19)&lt;MAX($P$708*($B1016+IF($R$17="Distrato",$I$38-1,0)),IF(AND($L$711=0,$P$708=0),"",$L$711-1),IF($R$17="Distrato",$E1016,0))),0,YEARFRAC(MAX($P$708*($B1016+IF($R$17="Distrato",$I$38-1,0)),IF(AND($L$711=0,$P$708=0),"",$L$711-1),IF($R$17="Distrato",$E1016,0)),MIN(AL$38,$D$19),$P$20))-SUM($P1016:AK1016)</f>
        <v>#VALUE!</v>
      </c>
      <c r="AM1016" s="446" t="e">
        <f>IF(OR($B1016="",MIN(AM$38,$D$19)&lt;MAX($P$708*($B1016+IF($R$17="Distrato",$I$38-1,0)),IF(AND($L$711=0,$P$708=0),"",$L$711-1),IF($R$17="Distrato",$E1016,0))),0,YEARFRAC(MAX($P$708*($B1016+IF($R$17="Distrato",$I$38-1,0)),IF(AND($L$711=0,$P$708=0),"",$L$711-1),IF($R$17="Distrato",$E1016,0)),MIN(AM$38,$D$19),$P$20))-SUM($P1016:AL1016)</f>
        <v>#VALUE!</v>
      </c>
      <c r="AN1016" s="446" t="e">
        <f>IF(OR($B1016="",MIN(AN$38,$D$19)&lt;MAX($P$708*($B1016+IF($R$17="Distrato",$I$38-1,0)),IF(AND($L$711=0,$P$708=0),"",$L$711-1),IF($R$17="Distrato",$E1016,0))),0,YEARFRAC(MAX($P$708*($B1016+IF($R$17="Distrato",$I$38-1,0)),IF(AND($L$711=0,$P$708=0),"",$L$711-1),IF($R$17="Distrato",$E1016,0)),MIN(AN$38,$D$19),$P$20))-SUM($P1016:AM1016)</f>
        <v>#VALUE!</v>
      </c>
      <c r="AO1016" s="446" t="e">
        <f>IF(OR($B1016="",MIN(AO$38,$D$19)&lt;MAX($P$708*($B1016+IF($R$17="Distrato",$I$38-1,0)),IF(AND($L$711=0,$P$708=0),"",$L$711-1),IF($R$17="Distrato",$E1016,0))),0,YEARFRAC(MAX($P$708*($B1016+IF($R$17="Distrato",$I$38-1,0)),IF(AND($L$711=0,$P$708=0),"",$L$711-1),IF($R$17="Distrato",$E1016,0)),MIN(AO$38,$D$19),$P$20))-SUM($P1016:AN1016)</f>
        <v>#VALUE!</v>
      </c>
      <c r="AP1016" s="446" t="e">
        <f>IF(OR($B1016="",MIN(AP$38,$D$19)&lt;MAX($P$708*($B1016+IF($R$17="Distrato",$I$38-1,0)),IF(AND($L$711=0,$P$708=0),"",$L$711-1),IF($R$17="Distrato",$E1016,0))),0,YEARFRAC(MAX($P$708*($B1016+IF($R$17="Distrato",$I$38-1,0)),IF(AND($L$711=0,$P$708=0),"",$L$711-1),IF($R$17="Distrato",$E1016,0)),MIN(AP$38,$D$19),$P$20))-SUM($P1016:AO1016)</f>
        <v>#VALUE!</v>
      </c>
      <c r="AQ1016" s="446" t="e">
        <f>IF(OR($B1016="",MIN(AQ$38,$D$19)&lt;MAX($P$708*($B1016+IF($R$17="Distrato",$I$38-1,0)),IF(AND($L$711=0,$P$708=0),"",$L$711-1),IF($R$17="Distrato",$E1016,0))),0,YEARFRAC(MAX($P$708*($B1016+IF($R$17="Distrato",$I$38-1,0)),IF(AND($L$711=0,$P$708=0),"",$L$711-1),IF($R$17="Distrato",$E1016,0)),MIN(AQ$38,$D$19),$P$20))-SUM($P1016:AP1016)</f>
        <v>#VALUE!</v>
      </c>
      <c r="AR1016" s="446" t="e">
        <f>IF(OR($B1016="",MIN(AR$38,$D$19)&lt;MAX($P$708*($B1016+IF($R$17="Distrato",$I$38-1,0)),IF(AND($L$711=0,$P$708=0),"",$L$711-1),IF($R$17="Distrato",$E1016,0))),0,YEARFRAC(MAX($P$708*($B1016+IF($R$17="Distrato",$I$38-1,0)),IF(AND($L$711=0,$P$708=0),"",$L$711-1),IF($R$17="Distrato",$E1016,0)),MIN(AR$38,$D$19),$P$20))-SUM($P1016:AQ1016)</f>
        <v>#VALUE!</v>
      </c>
      <c r="AS1016" s="446" t="e">
        <f>IF(OR($B1016="",MIN(AS$38,$D$19)&lt;MAX($P$708*($B1016+IF($R$17="Distrato",$I$38-1,0)),IF(AND($L$711=0,$P$708=0),"",$L$711-1),IF($R$17="Distrato",$E1016,0))),0,YEARFRAC(MAX($P$708*($B1016+IF($R$17="Distrato",$I$38-1,0)),IF(AND($L$711=0,$P$708=0),"",$L$711-1),IF($R$17="Distrato",$E1016,0)),MIN(AS$38,$D$19),$P$20))-SUM($P1016:AR1016)</f>
        <v>#VALUE!</v>
      </c>
      <c r="AT1016" s="446" t="e">
        <f>IF(OR($B1016="",MIN(AT$38,$D$19)&lt;MAX($P$708*($B1016+IF($R$17="Distrato",$I$38-1,0)),IF(AND($L$711=0,$P$708=0),"",$L$711-1),IF($R$17="Distrato",$E1016,0))),0,YEARFRAC(MAX($P$708*($B1016+IF($R$17="Distrato",$I$38-1,0)),IF(AND($L$711=0,$P$708=0),"",$L$711-1),IF($R$17="Distrato",$E1016,0)),MIN(AT$38,$D$19),$P$20))-SUM($P1016:AS1016)</f>
        <v>#VALUE!</v>
      </c>
      <c r="AU1016" s="446" t="e">
        <f>IF(OR($B1016="",MIN(AU$38,$D$19)&lt;MAX($P$708*($B1016+IF($R$17="Distrato",$I$38-1,0)),IF(AND($L$711=0,$P$708=0),"",$L$711-1),IF($R$17="Distrato",$E1016,0))),0,YEARFRAC(MAX($P$708*($B1016+IF($R$17="Distrato",$I$38-1,0)),IF(AND($L$711=0,$P$708=0),"",$L$711-1),IF($R$17="Distrato",$E1016,0)),MIN(AU$38,$D$19),$P$20))-SUM($P1016:AT1016)</f>
        <v>#VALUE!</v>
      </c>
      <c r="AV1016" s="446" t="e">
        <f>IF(OR($B1016="",MIN(AV$38,$D$19)&lt;MAX($P$708*($B1016+IF($R$17="Distrato",$I$38-1,0)),IF(AND($L$711=0,$P$708=0),"",$L$711-1),IF($R$17="Distrato",$E1016,0))),0,YEARFRAC(MAX($P$708*($B1016+IF($R$17="Distrato",$I$38-1,0)),IF(AND($L$711=0,$P$708=0),"",$L$711-1),IF($R$17="Distrato",$E1016,0)),MIN(AV$38,$D$19),$P$20))-SUM($P1016:AU1016)</f>
        <v>#VALUE!</v>
      </c>
      <c r="AW1016" s="446" t="e">
        <f>IF(OR($B1016="",MIN(AW$38,$D$19)&lt;MAX($P$708*($B1016+IF($R$17="Distrato",$I$38-1,0)),IF(AND($L$711=0,$P$708=0),"",$L$711-1),IF($R$17="Distrato",$E1016,0))),0,YEARFRAC(MAX($P$708*($B1016+IF($R$17="Distrato",$I$38-1,0)),IF(AND($L$711=0,$P$708=0),"",$L$711-1),IF($R$17="Distrato",$E1016,0)),MIN(AW$38,$D$19),$P$20))-SUM($P1016:AV1016)</f>
        <v>#VALUE!</v>
      </c>
      <c r="AX1016" s="446" t="e">
        <f>IF(OR($B1016="",MIN(AX$38,$D$19)&lt;MAX($P$708*($B1016+IF($R$17="Distrato",$I$38-1,0)),IF(AND($L$711=0,$P$708=0),"",$L$711-1),IF($R$17="Distrato",$E1016,0))),0,YEARFRAC(MAX($P$708*($B1016+IF($R$17="Distrato",$I$38-1,0)),IF(AND($L$711=0,$P$708=0),"",$L$711-1),IF($R$17="Distrato",$E1016,0)),MIN(AX$38,$D$19),$P$20))-SUM($P1016:AW1016)</f>
        <v>#VALUE!</v>
      </c>
      <c r="AY1016" s="446" t="e">
        <f>IF(OR($B1016="",MIN(AY$38,$D$19)&lt;MAX($P$708*($B1016+IF($R$17="Distrato",$I$38-1,0)),IF(AND($L$711=0,$P$708=0),"",$L$711-1),IF($R$17="Distrato",$E1016,0))),0,YEARFRAC(MAX($P$708*($B1016+IF($R$17="Distrato",$I$38-1,0)),IF(AND($L$711=0,$P$708=0),"",$L$711-1),IF($R$17="Distrato",$E1016,0)),MIN(AY$38,$D$19),$P$20))-SUM($P1016:AX1016)</f>
        <v>#VALUE!</v>
      </c>
      <c r="AZ1016" s="446" t="e">
        <f>IF(OR($B1016="",MIN(AZ$38,$D$19)&lt;MAX($P$708*($B1016+IF($R$17="Distrato",$I$38-1,0)),IF(AND($L$711=0,$P$708=0),"",$L$711-1),IF($R$17="Distrato",$E1016,0))),0,YEARFRAC(MAX($P$708*($B1016+IF($R$17="Distrato",$I$38-1,0)),IF(AND($L$711=0,$P$708=0),"",$L$711-1),IF($R$17="Distrato",$E1016,0)),MIN(AZ$38,$D$19),$P$20))-SUM($P1016:AY1016)</f>
        <v>#VALUE!</v>
      </c>
      <c r="BA1016" s="446" t="e">
        <f>IF(OR($B1016="",MIN(BA$38,$D$19)&lt;MAX($P$708*($B1016+IF($R$17="Distrato",$I$38-1,0)),IF(AND($L$711=0,$P$708=0),"",$L$711-1),IF($R$17="Distrato",$E1016,0))),0,YEARFRAC(MAX($P$708*($B1016+IF($R$17="Distrato",$I$38-1,0)),IF(AND($L$711=0,$P$708=0),"",$L$711-1),IF($R$17="Distrato",$E1016,0)),MIN(BA$38,$D$19),$P$20))-SUM($P1016:AZ1016)</f>
        <v>#VALUE!</v>
      </c>
      <c r="BB1016" s="447"/>
    </row>
    <row r="1017" spans="1:54" s="446" customFormat="1" ht="11.25" hidden="1" customHeight="1" x14ac:dyDescent="0.2">
      <c r="A1017" s="235"/>
      <c r="B1017" s="236"/>
      <c r="C1017" s="29" t="str">
        <f>IF(B1017="","",IF($L$709=$BL$25,VLOOKUP(DATE(YEAR($D$19),MONTH($D$19)-1,1),ÍNDICES!$A:$DE,HLOOKUP($BL$25,ÍNDICES!$B$3:$T$4,2)+11)-VLOOKUP(B1017,ÍNDICES!$A:$DE,HLOOKUP($BL$25,ÍNDICES!$B$3:$T$4,2)+11)+1%,IF(C$712=$W$26,$J$35,IF(ISERROR(IF(B1017&gt;$D$19,1,VLOOKUP(DATE(YEAR(B1017),MONTH(B1017)+IF($C$709=$S$23,1,0),1),ÍNDICES!$A:$DE,$Z$709+1))),"",IF(B1017&gt;$D$19,1,VLOOKUP(DATE(YEAR(B1017),MONTH(B1017)+IF($C$709=$S$23,1,0),1),ÍNDICES!$A:$DE,$Z$709+1))))))</f>
        <v/>
      </c>
      <c r="D1017" s="155"/>
      <c r="E1017" s="88"/>
      <c r="F1017" s="88"/>
      <c r="G1017" s="88"/>
      <c r="H1017" s="118"/>
      <c r="I1017" s="182">
        <f t="shared" si="143"/>
        <v>0</v>
      </c>
      <c r="J1017" s="20">
        <f t="shared" ca="1" si="144"/>
        <v>0</v>
      </c>
      <c r="K1017" s="5">
        <f t="shared" ca="1" si="145"/>
        <v>0</v>
      </c>
      <c r="L1017" s="61">
        <f t="shared" ca="1" si="146"/>
        <v>0</v>
      </c>
      <c r="M1017" s="64">
        <f t="shared" si="147"/>
        <v>0</v>
      </c>
      <c r="N1017" s="151"/>
      <c r="O1017" s="5">
        <f t="shared" ca="1" si="148"/>
        <v>0</v>
      </c>
      <c r="P1017" s="446" t="e">
        <f t="shared" si="149"/>
        <v>#VALUE!</v>
      </c>
      <c r="Q1017" s="446" t="e">
        <f>IF(OR($B1017="",MIN(Q$38,$D$19)&lt;MAX($P$708*($B1017+IF($R$17="Distrato",$I$38-1,0)),IF(AND($L$711=0,$P$708=0),"",$L$711-1),IF($R$17="Distrato",$E1017,0))),0,YEARFRAC(MAX($P$708*($B1017+IF($R$17="Distrato",$I$38-1,0)),IF(AND($L$711=0,$P$708=0),"",$L$711-1),IF($R$17="Distrato",$E1017,0)),MIN(Q$38,$D$19),$P$20))-SUM($P1017:P1017)</f>
        <v>#VALUE!</v>
      </c>
      <c r="R1017" s="446" t="e">
        <f>IF(OR($B1017="",MIN(R$38,$D$19)&lt;MAX($P$708*($B1017+IF($R$17="Distrato",$I$38-1,0)),IF(AND($L$711=0,$P$708=0),"",$L$711-1),IF($R$17="Distrato",$E1017,0))),0,YEARFRAC(MAX($P$708*($B1017+IF($R$17="Distrato",$I$38-1,0)),IF(AND($L$711=0,$P$708=0),"",$L$711-1),IF($R$17="Distrato",$E1017,0)),MIN(R$38,$D$19),$P$20))-SUM($P1017:Q1017)</f>
        <v>#VALUE!</v>
      </c>
      <c r="S1017" s="446" t="e">
        <f>IF(OR($B1017="",MIN(S$38,$D$19)&lt;MAX($P$708*($B1017+IF($R$17="Distrato",$I$38-1,0)),IF(AND($L$711=0,$P$708=0),"",$L$711-1),IF($R$17="Distrato",$E1017,0))),0,YEARFRAC(MAX($P$708*($B1017+IF($R$17="Distrato",$I$38-1,0)),IF(AND($L$711=0,$P$708=0),"",$L$711-1),IF($R$17="Distrato",$E1017,0)),MIN(S$38,$D$19),$P$20))-SUM($P1017:R1017)</f>
        <v>#VALUE!</v>
      </c>
      <c r="T1017" s="446" t="e">
        <f>IF(OR($B1017="",MIN(T$38,$D$19)&lt;MAX($P$708*($B1017+IF($R$17="Distrato",$I$38-1,0)),IF(AND($L$711=0,$P$708=0),"",$L$711-1),IF($R$17="Distrato",$E1017,0))),0,YEARFRAC(MAX($P$708*($B1017+IF($R$17="Distrato",$I$38-1,0)),IF(AND($L$711=0,$P$708=0),"",$L$711-1),IF($R$17="Distrato",$E1017,0)),MIN(T$38,$D$19),$P$20))-SUM($P1017:S1017)</f>
        <v>#VALUE!</v>
      </c>
      <c r="U1017" s="446" t="e">
        <f>IF(OR($B1017="",MIN(U$38,$D$19)&lt;MAX($P$708*($B1017+IF($R$17="Distrato",$I$38-1,0)),IF(AND($L$711=0,$P$708=0),"",$L$711-1),IF($R$17="Distrato",$E1017,0))),0,YEARFRAC(MAX($P$708*($B1017+IF($R$17="Distrato",$I$38-1,0)),IF(AND($L$711=0,$P$708=0),"",$L$711-1),IF($R$17="Distrato",$E1017,0)),MIN(U$38,$D$19),$P$20))-SUM($P1017:T1017)</f>
        <v>#VALUE!</v>
      </c>
      <c r="V1017" s="446" t="e">
        <f>IF(OR($B1017="",MIN(V$38,$D$19)&lt;MAX($P$708*($B1017+IF($R$17="Distrato",$I$38-1,0)),IF(AND($L$711=0,$P$708=0),"",$L$711-1),IF($R$17="Distrato",$E1017,0))),0,YEARFRAC(MAX($P$708*($B1017+IF($R$17="Distrato",$I$38-1,0)),IF(AND($L$711=0,$P$708=0),"",$L$711-1),IF($R$17="Distrato",$E1017,0)),MIN(V$38,$D$19),$P$20))-SUM($P1017:U1017)</f>
        <v>#VALUE!</v>
      </c>
      <c r="W1017" s="446" t="e">
        <f>IF(OR($B1017="",MIN(W$38,$D$19)&lt;MAX($P$708*($B1017+IF($R$17="Distrato",$I$38-1,0)),IF(AND($L$711=0,$P$708=0),"",$L$711-1),IF($R$17="Distrato",$E1017,0))),0,YEARFRAC(MAX($P$708*($B1017+IF($R$17="Distrato",$I$38-1,0)),IF(AND($L$711=0,$P$708=0),"",$L$711-1),IF($R$17="Distrato",$E1017,0)),MIN(W$38,$D$19),$P$20))-SUM($P1017:V1017)</f>
        <v>#VALUE!</v>
      </c>
      <c r="X1017" s="446" t="e">
        <f>IF(OR($B1017="",MIN(X$38,$D$19)&lt;MAX($P$708*($B1017+IF($R$17="Distrato",$I$38-1,0)),IF(AND($L$711=0,$P$708=0),"",$L$711-1),IF($R$17="Distrato",$E1017,0))),0,YEARFRAC(MAX($P$708*($B1017+IF($R$17="Distrato",$I$38-1,0)),IF(AND($L$711=0,$P$708=0),"",$L$711-1),IF($R$17="Distrato",$E1017,0)),MIN(X$38,$D$19),$P$20))-SUM($P1017:W1017)</f>
        <v>#VALUE!</v>
      </c>
      <c r="Y1017" s="446" t="e">
        <f>IF(OR($B1017="",MIN(Y$38,$D$19)&lt;MAX($P$708*($B1017+IF($R$17="Distrato",$I$38-1,0)),IF(AND($L$711=0,$P$708=0),"",$L$711-1),IF($R$17="Distrato",$E1017,0))),0,YEARFRAC(MAX($P$708*($B1017+IF($R$17="Distrato",$I$38-1,0)),IF(AND($L$711=0,$P$708=0),"",$L$711-1),IF($R$17="Distrato",$E1017,0)),MIN(Y$38,$D$19),$P$20))-SUM($P1017:X1017)</f>
        <v>#VALUE!</v>
      </c>
      <c r="Z1017" s="446" t="e">
        <f>IF(OR($B1017="",MIN(Z$38,$D$19)&lt;MAX($P$708*($B1017+IF($R$17="Distrato",$I$38-1,0)),IF(AND($L$711=0,$P$708=0),"",$L$711-1),IF($R$17="Distrato",$E1017,0))),0,YEARFRAC(MAX($P$708*($B1017+IF($R$17="Distrato",$I$38-1,0)),IF(AND($L$711=0,$P$708=0),"",$L$711-1),IF($R$17="Distrato",$E1017,0)),MIN(Z$38,$D$19),$P$20))-SUM($P1017:Y1017)</f>
        <v>#VALUE!</v>
      </c>
      <c r="AA1017" s="446" t="e">
        <f>IF(OR($B1017="",MIN(AA$38,$D$19)&lt;MAX($P$708*($B1017+IF($R$17="Distrato",$I$38-1,0)),IF(AND($L$711=0,$P$708=0),"",$L$711-1),IF($R$17="Distrato",$E1017,0))),0,YEARFRAC(MAX($P$708*($B1017+IF($R$17="Distrato",$I$38-1,0)),IF(AND($L$711=0,$P$708=0),"",$L$711-1),IF($R$17="Distrato",$E1017,0)),MIN(AA$38,$D$19),$P$20))-SUM($P1017:Z1017)</f>
        <v>#VALUE!</v>
      </c>
      <c r="AB1017" s="446" t="e">
        <f>IF(OR($B1017="",MIN(AB$38,$D$19)&lt;MAX($P$708*($B1017+IF($R$17="Distrato",$I$38-1,0)),IF(AND($L$711=0,$P$708=0),"",$L$711-1),IF($R$17="Distrato",$E1017,0))),0,YEARFRAC(MAX($P$708*($B1017+IF($R$17="Distrato",$I$38-1,0)),IF(AND($L$711=0,$P$708=0),"",$L$711-1),IF($R$17="Distrato",$E1017,0)),MIN(AB$38,$D$19),$P$20))-SUM($P1017:AA1017)</f>
        <v>#VALUE!</v>
      </c>
      <c r="AC1017" s="446" t="e">
        <f>IF(OR($B1017="",MIN(AC$38,$D$19)&lt;MAX($P$708*($B1017+IF($R$17="Distrato",$I$38-1,0)),IF(AND($L$711=0,$P$708=0),"",$L$711-1),IF($R$17="Distrato",$E1017,0))),0,YEARFRAC(MAX($P$708*($B1017+IF($R$17="Distrato",$I$38-1,0)),IF(AND($L$711=0,$P$708=0),"",$L$711-1),IF($R$17="Distrato",$E1017,0)),MIN(AC$38,$D$19),$P$20))-SUM($P1017:AB1017)</f>
        <v>#VALUE!</v>
      </c>
      <c r="AD1017" s="446" t="e">
        <f>IF(OR($B1017="",MIN(AD$38,$D$19)&lt;MAX($P$708*($B1017+IF($R$17="Distrato",$I$38-1,0)),IF(AND($L$711=0,$P$708=0),"",$L$711-1),IF($R$17="Distrato",$E1017,0))),0,YEARFRAC(MAX($P$708*($B1017+IF($R$17="Distrato",$I$38-1,0)),IF(AND($L$711=0,$P$708=0),"",$L$711-1),IF($R$17="Distrato",$E1017,0)),MIN(AD$38,$D$19),$P$20))-SUM($P1017:AC1017)</f>
        <v>#VALUE!</v>
      </c>
      <c r="AE1017" s="446" t="e">
        <f>IF(OR($B1017="",MIN(AE$38,$D$19)&lt;MAX($P$708*($B1017+IF($R$17="Distrato",$I$38-1,0)),IF(AND($L$711=0,$P$708=0),"",$L$711-1),IF($R$17="Distrato",$E1017,0))),0,YEARFRAC(MAX($P$708*($B1017+IF($R$17="Distrato",$I$38-1,0)),IF(AND($L$711=0,$P$708=0),"",$L$711-1),IF($R$17="Distrato",$E1017,0)),MIN(AE$38,$D$19),$P$20))-SUM($P1017:AD1017)</f>
        <v>#VALUE!</v>
      </c>
      <c r="AF1017" s="446" t="e">
        <f>IF(OR($B1017="",MIN(AF$38,$D$19)&lt;MAX($P$708*($B1017+IF($R$17="Distrato",$I$38-1,0)),IF(AND($L$711=0,$P$708=0),"",$L$711-1),IF($R$17="Distrato",$E1017,0))),0,YEARFRAC(MAX($P$708*($B1017+IF($R$17="Distrato",$I$38-1,0)),IF(AND($L$711=0,$P$708=0),"",$L$711-1),IF($R$17="Distrato",$E1017,0)),MIN(AF$38,$D$19),$P$20))-SUM($P1017:AE1017)</f>
        <v>#VALUE!</v>
      </c>
      <c r="AG1017" s="446" t="e">
        <f>IF(OR($B1017="",MIN(AG$38,$D$19)&lt;MAX($P$708*($B1017+IF($R$17="Distrato",$I$38-1,0)),IF(AND($L$711=0,$P$708=0),"",$L$711-1),IF($R$17="Distrato",$E1017,0))),0,YEARFRAC(MAX($P$708*($B1017+IF($R$17="Distrato",$I$38-1,0)),IF(AND($L$711=0,$P$708=0),"",$L$711-1),IF($R$17="Distrato",$E1017,0)),MIN(AG$38,$D$19),$P$20))-SUM($P1017:AF1017)</f>
        <v>#VALUE!</v>
      </c>
      <c r="AH1017" s="446" t="e">
        <f>IF(OR($B1017="",MIN(AH$38,$D$19)&lt;MAX($P$708*($B1017+IF($R$17="Distrato",$I$38-1,0)),IF(AND($L$711=0,$P$708=0),"",$L$711-1),IF($R$17="Distrato",$E1017,0))),0,YEARFRAC(MAX($P$708*($B1017+IF($R$17="Distrato",$I$38-1,0)),IF(AND($L$711=0,$P$708=0),"",$L$711-1),IF($R$17="Distrato",$E1017,0)),MIN(AH$38,$D$19),$P$20))-SUM($P1017:AG1017)</f>
        <v>#VALUE!</v>
      </c>
      <c r="AI1017" s="446" t="e">
        <f>IF(OR($B1017="",MIN(AI$38,$D$19)&lt;MAX($P$708*($B1017+IF($R$17="Distrato",$I$38-1,0)),IF(AND($L$711=0,$P$708=0),"",$L$711-1),IF($R$17="Distrato",$E1017,0))),0,YEARFRAC(MAX($P$708*($B1017+IF($R$17="Distrato",$I$38-1,0)),IF(AND($L$711=0,$P$708=0),"",$L$711-1),IF($R$17="Distrato",$E1017,0)),MIN(AI$38,$D$19),$P$20))-SUM($P1017:AH1017)</f>
        <v>#VALUE!</v>
      </c>
      <c r="AJ1017" s="446" t="e">
        <f>IF(OR($B1017="",MIN(AJ$38,$D$19)&lt;MAX($P$708*($B1017+IF($R$17="Distrato",$I$38-1,0)),IF(AND($L$711=0,$P$708=0),"",$L$711-1),IF($R$17="Distrato",$E1017,0))),0,YEARFRAC(MAX($P$708*($B1017+IF($R$17="Distrato",$I$38-1,0)),IF(AND($L$711=0,$P$708=0),"",$L$711-1),IF($R$17="Distrato",$E1017,0)),MIN(AJ$38,$D$19),$P$20))-SUM($P1017:AI1017)</f>
        <v>#VALUE!</v>
      </c>
      <c r="AK1017" s="446" t="e">
        <f>IF(OR($B1017="",MIN(AK$38,$D$19)&lt;MAX($P$708*($B1017+IF($R$17="Distrato",$I$38-1,0)),IF(AND($L$711=0,$P$708=0),"",$L$711-1),IF($R$17="Distrato",$E1017,0))),0,YEARFRAC(MAX($P$708*($B1017+IF($R$17="Distrato",$I$38-1,0)),IF(AND($L$711=0,$P$708=0),"",$L$711-1),IF($R$17="Distrato",$E1017,0)),MIN(AK$38,$D$19),$P$20))-SUM($P1017:AJ1017)</f>
        <v>#VALUE!</v>
      </c>
      <c r="AL1017" s="446" t="e">
        <f>IF(OR($B1017="",MIN(AL$38,$D$19)&lt;MAX($P$708*($B1017+IF($R$17="Distrato",$I$38-1,0)),IF(AND($L$711=0,$P$708=0),"",$L$711-1),IF($R$17="Distrato",$E1017,0))),0,YEARFRAC(MAX($P$708*($B1017+IF($R$17="Distrato",$I$38-1,0)),IF(AND($L$711=0,$P$708=0),"",$L$711-1),IF($R$17="Distrato",$E1017,0)),MIN(AL$38,$D$19),$P$20))-SUM($P1017:AK1017)</f>
        <v>#VALUE!</v>
      </c>
      <c r="AM1017" s="446" t="e">
        <f>IF(OR($B1017="",MIN(AM$38,$D$19)&lt;MAX($P$708*($B1017+IF($R$17="Distrato",$I$38-1,0)),IF(AND($L$711=0,$P$708=0),"",$L$711-1),IF($R$17="Distrato",$E1017,0))),0,YEARFRAC(MAX($P$708*($B1017+IF($R$17="Distrato",$I$38-1,0)),IF(AND($L$711=0,$P$708=0),"",$L$711-1),IF($R$17="Distrato",$E1017,0)),MIN(AM$38,$D$19),$P$20))-SUM($P1017:AL1017)</f>
        <v>#VALUE!</v>
      </c>
      <c r="AN1017" s="446" t="e">
        <f>IF(OR($B1017="",MIN(AN$38,$D$19)&lt;MAX($P$708*($B1017+IF($R$17="Distrato",$I$38-1,0)),IF(AND($L$711=0,$P$708=0),"",$L$711-1),IF($R$17="Distrato",$E1017,0))),0,YEARFRAC(MAX($P$708*($B1017+IF($R$17="Distrato",$I$38-1,0)),IF(AND($L$711=0,$P$708=0),"",$L$711-1),IF($R$17="Distrato",$E1017,0)),MIN(AN$38,$D$19),$P$20))-SUM($P1017:AM1017)</f>
        <v>#VALUE!</v>
      </c>
      <c r="AO1017" s="446" t="e">
        <f>IF(OR($B1017="",MIN(AO$38,$D$19)&lt;MAX($P$708*($B1017+IF($R$17="Distrato",$I$38-1,0)),IF(AND($L$711=0,$P$708=0),"",$L$711-1),IF($R$17="Distrato",$E1017,0))),0,YEARFRAC(MAX($P$708*($B1017+IF($R$17="Distrato",$I$38-1,0)),IF(AND($L$711=0,$P$708=0),"",$L$711-1),IF($R$17="Distrato",$E1017,0)),MIN(AO$38,$D$19),$P$20))-SUM($P1017:AN1017)</f>
        <v>#VALUE!</v>
      </c>
      <c r="AP1017" s="446" t="e">
        <f>IF(OR($B1017="",MIN(AP$38,$D$19)&lt;MAX($P$708*($B1017+IF($R$17="Distrato",$I$38-1,0)),IF(AND($L$711=0,$P$708=0),"",$L$711-1),IF($R$17="Distrato",$E1017,0))),0,YEARFRAC(MAX($P$708*($B1017+IF($R$17="Distrato",$I$38-1,0)),IF(AND($L$711=0,$P$708=0),"",$L$711-1),IF($R$17="Distrato",$E1017,0)),MIN(AP$38,$D$19),$P$20))-SUM($P1017:AO1017)</f>
        <v>#VALUE!</v>
      </c>
      <c r="AQ1017" s="446" t="e">
        <f>IF(OR($B1017="",MIN(AQ$38,$D$19)&lt;MAX($P$708*($B1017+IF($R$17="Distrato",$I$38-1,0)),IF(AND($L$711=0,$P$708=0),"",$L$711-1),IF($R$17="Distrato",$E1017,0))),0,YEARFRAC(MAX($P$708*($B1017+IF($R$17="Distrato",$I$38-1,0)),IF(AND($L$711=0,$P$708=0),"",$L$711-1),IF($R$17="Distrato",$E1017,0)),MIN(AQ$38,$D$19),$P$20))-SUM($P1017:AP1017)</f>
        <v>#VALUE!</v>
      </c>
      <c r="AR1017" s="446" t="e">
        <f>IF(OR($B1017="",MIN(AR$38,$D$19)&lt;MAX($P$708*($B1017+IF($R$17="Distrato",$I$38-1,0)),IF(AND($L$711=0,$P$708=0),"",$L$711-1),IF($R$17="Distrato",$E1017,0))),0,YEARFRAC(MAX($P$708*($B1017+IF($R$17="Distrato",$I$38-1,0)),IF(AND($L$711=0,$P$708=0),"",$L$711-1),IF($R$17="Distrato",$E1017,0)),MIN(AR$38,$D$19),$P$20))-SUM($P1017:AQ1017)</f>
        <v>#VALUE!</v>
      </c>
      <c r="AS1017" s="446" t="e">
        <f>IF(OR($B1017="",MIN(AS$38,$D$19)&lt;MAX($P$708*($B1017+IF($R$17="Distrato",$I$38-1,0)),IF(AND($L$711=0,$P$708=0),"",$L$711-1),IF($R$17="Distrato",$E1017,0))),0,YEARFRAC(MAX($P$708*($B1017+IF($R$17="Distrato",$I$38-1,0)),IF(AND($L$711=0,$P$708=0),"",$L$711-1),IF($R$17="Distrato",$E1017,0)),MIN(AS$38,$D$19),$P$20))-SUM($P1017:AR1017)</f>
        <v>#VALUE!</v>
      </c>
      <c r="AT1017" s="446" t="e">
        <f>IF(OR($B1017="",MIN(AT$38,$D$19)&lt;MAX($P$708*($B1017+IF($R$17="Distrato",$I$38-1,0)),IF(AND($L$711=0,$P$708=0),"",$L$711-1),IF($R$17="Distrato",$E1017,0))),0,YEARFRAC(MAX($P$708*($B1017+IF($R$17="Distrato",$I$38-1,0)),IF(AND($L$711=0,$P$708=0),"",$L$711-1),IF($R$17="Distrato",$E1017,0)),MIN(AT$38,$D$19),$P$20))-SUM($P1017:AS1017)</f>
        <v>#VALUE!</v>
      </c>
      <c r="AU1017" s="446" t="e">
        <f>IF(OR($B1017="",MIN(AU$38,$D$19)&lt;MAX($P$708*($B1017+IF($R$17="Distrato",$I$38-1,0)),IF(AND($L$711=0,$P$708=0),"",$L$711-1),IF($R$17="Distrato",$E1017,0))),0,YEARFRAC(MAX($P$708*($B1017+IF($R$17="Distrato",$I$38-1,0)),IF(AND($L$711=0,$P$708=0),"",$L$711-1),IF($R$17="Distrato",$E1017,0)),MIN(AU$38,$D$19),$P$20))-SUM($P1017:AT1017)</f>
        <v>#VALUE!</v>
      </c>
      <c r="AV1017" s="446" t="e">
        <f>IF(OR($B1017="",MIN(AV$38,$D$19)&lt;MAX($P$708*($B1017+IF($R$17="Distrato",$I$38-1,0)),IF(AND($L$711=0,$P$708=0),"",$L$711-1),IF($R$17="Distrato",$E1017,0))),0,YEARFRAC(MAX($P$708*($B1017+IF($R$17="Distrato",$I$38-1,0)),IF(AND($L$711=0,$P$708=0),"",$L$711-1),IF($R$17="Distrato",$E1017,0)),MIN(AV$38,$D$19),$P$20))-SUM($P1017:AU1017)</f>
        <v>#VALUE!</v>
      </c>
      <c r="AW1017" s="446" t="e">
        <f>IF(OR($B1017="",MIN(AW$38,$D$19)&lt;MAX($P$708*($B1017+IF($R$17="Distrato",$I$38-1,0)),IF(AND($L$711=0,$P$708=0),"",$L$711-1),IF($R$17="Distrato",$E1017,0))),0,YEARFRAC(MAX($P$708*($B1017+IF($R$17="Distrato",$I$38-1,0)),IF(AND($L$711=0,$P$708=0),"",$L$711-1),IF($R$17="Distrato",$E1017,0)),MIN(AW$38,$D$19),$P$20))-SUM($P1017:AV1017)</f>
        <v>#VALUE!</v>
      </c>
      <c r="AX1017" s="446" t="e">
        <f>IF(OR($B1017="",MIN(AX$38,$D$19)&lt;MAX($P$708*($B1017+IF($R$17="Distrato",$I$38-1,0)),IF(AND($L$711=0,$P$708=0),"",$L$711-1),IF($R$17="Distrato",$E1017,0))),0,YEARFRAC(MAX($P$708*($B1017+IF($R$17="Distrato",$I$38-1,0)),IF(AND($L$711=0,$P$708=0),"",$L$711-1),IF($R$17="Distrato",$E1017,0)),MIN(AX$38,$D$19),$P$20))-SUM($P1017:AW1017)</f>
        <v>#VALUE!</v>
      </c>
      <c r="AY1017" s="446" t="e">
        <f>IF(OR($B1017="",MIN(AY$38,$D$19)&lt;MAX($P$708*($B1017+IF($R$17="Distrato",$I$38-1,0)),IF(AND($L$711=0,$P$708=0),"",$L$711-1),IF($R$17="Distrato",$E1017,0))),0,YEARFRAC(MAX($P$708*($B1017+IF($R$17="Distrato",$I$38-1,0)),IF(AND($L$711=0,$P$708=0),"",$L$711-1),IF($R$17="Distrato",$E1017,0)),MIN(AY$38,$D$19),$P$20))-SUM($P1017:AX1017)</f>
        <v>#VALUE!</v>
      </c>
      <c r="AZ1017" s="446" t="e">
        <f>IF(OR($B1017="",MIN(AZ$38,$D$19)&lt;MAX($P$708*($B1017+IF($R$17="Distrato",$I$38-1,0)),IF(AND($L$711=0,$P$708=0),"",$L$711-1),IF($R$17="Distrato",$E1017,0))),0,YEARFRAC(MAX($P$708*($B1017+IF($R$17="Distrato",$I$38-1,0)),IF(AND($L$711=0,$P$708=0),"",$L$711-1),IF($R$17="Distrato",$E1017,0)),MIN(AZ$38,$D$19),$P$20))-SUM($P1017:AY1017)</f>
        <v>#VALUE!</v>
      </c>
      <c r="BA1017" s="446" t="e">
        <f>IF(OR($B1017="",MIN(BA$38,$D$19)&lt;MAX($P$708*($B1017+IF($R$17="Distrato",$I$38-1,0)),IF(AND($L$711=0,$P$708=0),"",$L$711-1),IF($R$17="Distrato",$E1017,0))),0,YEARFRAC(MAX($P$708*($B1017+IF($R$17="Distrato",$I$38-1,0)),IF(AND($L$711=0,$P$708=0),"",$L$711-1),IF($R$17="Distrato",$E1017,0)),MIN(BA$38,$D$19),$P$20))-SUM($P1017:AZ1017)</f>
        <v>#VALUE!</v>
      </c>
      <c r="BB1017" s="447"/>
    </row>
    <row r="1018" spans="1:54" s="446" customFormat="1" ht="11.25" hidden="1" customHeight="1" x14ac:dyDescent="0.2">
      <c r="A1018" s="235"/>
      <c r="B1018" s="236"/>
      <c r="C1018" s="29" t="str">
        <f>IF(B1018="","",IF($L$709=$BL$25,VLOOKUP(DATE(YEAR($D$19),MONTH($D$19)-1,1),ÍNDICES!$A:$DE,HLOOKUP($BL$25,ÍNDICES!$B$3:$T$4,2)+11)-VLOOKUP(B1018,ÍNDICES!$A:$DE,HLOOKUP($BL$25,ÍNDICES!$B$3:$T$4,2)+11)+1%,IF(C$712=$W$26,$J$35,IF(ISERROR(IF(B1018&gt;$D$19,1,VLOOKUP(DATE(YEAR(B1018),MONTH(B1018)+IF($C$709=$S$23,1,0),1),ÍNDICES!$A:$DE,$Z$709+1))),"",IF(B1018&gt;$D$19,1,VLOOKUP(DATE(YEAR(B1018),MONTH(B1018)+IF($C$709=$S$23,1,0),1),ÍNDICES!$A:$DE,$Z$709+1))))))</f>
        <v/>
      </c>
      <c r="D1018" s="155"/>
      <c r="E1018" s="88"/>
      <c r="F1018" s="88"/>
      <c r="G1018" s="88"/>
      <c r="H1018" s="118"/>
      <c r="I1018" s="182">
        <f t="shared" si="143"/>
        <v>0</v>
      </c>
      <c r="J1018" s="20">
        <f t="shared" ca="1" si="144"/>
        <v>0</v>
      </c>
      <c r="K1018" s="5">
        <f t="shared" ca="1" si="145"/>
        <v>0</v>
      </c>
      <c r="L1018" s="61">
        <f t="shared" ca="1" si="146"/>
        <v>0</v>
      </c>
      <c r="M1018" s="64">
        <f t="shared" si="147"/>
        <v>0</v>
      </c>
      <c r="N1018" s="151"/>
      <c r="O1018" s="5">
        <f t="shared" ca="1" si="148"/>
        <v>0</v>
      </c>
      <c r="P1018" s="446" t="e">
        <f t="shared" si="149"/>
        <v>#VALUE!</v>
      </c>
      <c r="Q1018" s="446" t="e">
        <f>IF(OR($B1018="",MIN(Q$38,$D$19)&lt;MAX($P$708*($B1018+IF($R$17="Distrato",$I$38-1,0)),IF(AND($L$711=0,$P$708=0),"",$L$711-1),IF($R$17="Distrato",$E1018,0))),0,YEARFRAC(MAX($P$708*($B1018+IF($R$17="Distrato",$I$38-1,0)),IF(AND($L$711=0,$P$708=0),"",$L$711-1),IF($R$17="Distrato",$E1018,0)),MIN(Q$38,$D$19),$P$20))-SUM($P1018:P1018)</f>
        <v>#VALUE!</v>
      </c>
      <c r="R1018" s="446" t="e">
        <f>IF(OR($B1018="",MIN(R$38,$D$19)&lt;MAX($P$708*($B1018+IF($R$17="Distrato",$I$38-1,0)),IF(AND($L$711=0,$P$708=0),"",$L$711-1),IF($R$17="Distrato",$E1018,0))),0,YEARFRAC(MAX($P$708*($B1018+IF($R$17="Distrato",$I$38-1,0)),IF(AND($L$711=0,$P$708=0),"",$L$711-1),IF($R$17="Distrato",$E1018,0)),MIN(R$38,$D$19),$P$20))-SUM($P1018:Q1018)</f>
        <v>#VALUE!</v>
      </c>
      <c r="S1018" s="446" t="e">
        <f>IF(OR($B1018="",MIN(S$38,$D$19)&lt;MAX($P$708*($B1018+IF($R$17="Distrato",$I$38-1,0)),IF(AND($L$711=0,$P$708=0),"",$L$711-1),IF($R$17="Distrato",$E1018,0))),0,YEARFRAC(MAX($P$708*($B1018+IF($R$17="Distrato",$I$38-1,0)),IF(AND($L$711=0,$P$708=0),"",$L$711-1),IF($R$17="Distrato",$E1018,0)),MIN(S$38,$D$19),$P$20))-SUM($P1018:R1018)</f>
        <v>#VALUE!</v>
      </c>
      <c r="T1018" s="446" t="e">
        <f>IF(OR($B1018="",MIN(T$38,$D$19)&lt;MAX($P$708*($B1018+IF($R$17="Distrato",$I$38-1,0)),IF(AND($L$711=0,$P$708=0),"",$L$711-1),IF($R$17="Distrato",$E1018,0))),0,YEARFRAC(MAX($P$708*($B1018+IF($R$17="Distrato",$I$38-1,0)),IF(AND($L$711=0,$P$708=0),"",$L$711-1),IF($R$17="Distrato",$E1018,0)),MIN(T$38,$D$19),$P$20))-SUM($P1018:S1018)</f>
        <v>#VALUE!</v>
      </c>
      <c r="U1018" s="446" t="e">
        <f>IF(OR($B1018="",MIN(U$38,$D$19)&lt;MAX($P$708*($B1018+IF($R$17="Distrato",$I$38-1,0)),IF(AND($L$711=0,$P$708=0),"",$L$711-1),IF($R$17="Distrato",$E1018,0))),0,YEARFRAC(MAX($P$708*($B1018+IF($R$17="Distrato",$I$38-1,0)),IF(AND($L$711=0,$P$708=0),"",$L$711-1),IF($R$17="Distrato",$E1018,0)),MIN(U$38,$D$19),$P$20))-SUM($P1018:T1018)</f>
        <v>#VALUE!</v>
      </c>
      <c r="V1018" s="446" t="e">
        <f>IF(OR($B1018="",MIN(V$38,$D$19)&lt;MAX($P$708*($B1018+IF($R$17="Distrato",$I$38-1,0)),IF(AND($L$711=0,$P$708=0),"",$L$711-1),IF($R$17="Distrato",$E1018,0))),0,YEARFRAC(MAX($P$708*($B1018+IF($R$17="Distrato",$I$38-1,0)),IF(AND($L$711=0,$P$708=0),"",$L$711-1),IF($R$17="Distrato",$E1018,0)),MIN(V$38,$D$19),$P$20))-SUM($P1018:U1018)</f>
        <v>#VALUE!</v>
      </c>
      <c r="W1018" s="446" t="e">
        <f>IF(OR($B1018="",MIN(W$38,$D$19)&lt;MAX($P$708*($B1018+IF($R$17="Distrato",$I$38-1,0)),IF(AND($L$711=0,$P$708=0),"",$L$711-1),IF($R$17="Distrato",$E1018,0))),0,YEARFRAC(MAX($P$708*($B1018+IF($R$17="Distrato",$I$38-1,0)),IF(AND($L$711=0,$P$708=0),"",$L$711-1),IF($R$17="Distrato",$E1018,0)),MIN(W$38,$D$19),$P$20))-SUM($P1018:V1018)</f>
        <v>#VALUE!</v>
      </c>
      <c r="X1018" s="446" t="e">
        <f>IF(OR($B1018="",MIN(X$38,$D$19)&lt;MAX($P$708*($B1018+IF($R$17="Distrato",$I$38-1,0)),IF(AND($L$711=0,$P$708=0),"",$L$711-1),IF($R$17="Distrato",$E1018,0))),0,YEARFRAC(MAX($P$708*($B1018+IF($R$17="Distrato",$I$38-1,0)),IF(AND($L$711=0,$P$708=0),"",$L$711-1),IF($R$17="Distrato",$E1018,0)),MIN(X$38,$D$19),$P$20))-SUM($P1018:W1018)</f>
        <v>#VALUE!</v>
      </c>
      <c r="Y1018" s="446" t="e">
        <f>IF(OR($B1018="",MIN(Y$38,$D$19)&lt;MAX($P$708*($B1018+IF($R$17="Distrato",$I$38-1,0)),IF(AND($L$711=0,$P$708=0),"",$L$711-1),IF($R$17="Distrato",$E1018,0))),0,YEARFRAC(MAX($P$708*($B1018+IF($R$17="Distrato",$I$38-1,0)),IF(AND($L$711=0,$P$708=0),"",$L$711-1),IF($R$17="Distrato",$E1018,0)),MIN(Y$38,$D$19),$P$20))-SUM($P1018:X1018)</f>
        <v>#VALUE!</v>
      </c>
      <c r="Z1018" s="446" t="e">
        <f>IF(OR($B1018="",MIN(Z$38,$D$19)&lt;MAX($P$708*($B1018+IF($R$17="Distrato",$I$38-1,0)),IF(AND($L$711=0,$P$708=0),"",$L$711-1),IF($R$17="Distrato",$E1018,0))),0,YEARFRAC(MAX($P$708*($B1018+IF($R$17="Distrato",$I$38-1,0)),IF(AND($L$711=0,$P$708=0),"",$L$711-1),IF($R$17="Distrato",$E1018,0)),MIN(Z$38,$D$19),$P$20))-SUM($P1018:Y1018)</f>
        <v>#VALUE!</v>
      </c>
      <c r="AA1018" s="446" t="e">
        <f>IF(OR($B1018="",MIN(AA$38,$D$19)&lt;MAX($P$708*($B1018+IF($R$17="Distrato",$I$38-1,0)),IF(AND($L$711=0,$P$708=0),"",$L$711-1),IF($R$17="Distrato",$E1018,0))),0,YEARFRAC(MAX($P$708*($B1018+IF($R$17="Distrato",$I$38-1,0)),IF(AND($L$711=0,$P$708=0),"",$L$711-1),IF($R$17="Distrato",$E1018,0)),MIN(AA$38,$D$19),$P$20))-SUM($P1018:Z1018)</f>
        <v>#VALUE!</v>
      </c>
      <c r="AB1018" s="446" t="e">
        <f>IF(OR($B1018="",MIN(AB$38,$D$19)&lt;MAX($P$708*($B1018+IF($R$17="Distrato",$I$38-1,0)),IF(AND($L$711=0,$P$708=0),"",$L$711-1),IF($R$17="Distrato",$E1018,0))),0,YEARFRAC(MAX($P$708*($B1018+IF($R$17="Distrato",$I$38-1,0)),IF(AND($L$711=0,$P$708=0),"",$L$711-1),IF($R$17="Distrato",$E1018,0)),MIN(AB$38,$D$19),$P$20))-SUM($P1018:AA1018)</f>
        <v>#VALUE!</v>
      </c>
      <c r="AC1018" s="446" t="e">
        <f>IF(OR($B1018="",MIN(AC$38,$D$19)&lt;MAX($P$708*($B1018+IF($R$17="Distrato",$I$38-1,0)),IF(AND($L$711=0,$P$708=0),"",$L$711-1),IF($R$17="Distrato",$E1018,0))),0,YEARFRAC(MAX($P$708*($B1018+IF($R$17="Distrato",$I$38-1,0)),IF(AND($L$711=0,$P$708=0),"",$L$711-1),IF($R$17="Distrato",$E1018,0)),MIN(AC$38,$D$19),$P$20))-SUM($P1018:AB1018)</f>
        <v>#VALUE!</v>
      </c>
      <c r="AD1018" s="446" t="e">
        <f>IF(OR($B1018="",MIN(AD$38,$D$19)&lt;MAX($P$708*($B1018+IF($R$17="Distrato",$I$38-1,0)),IF(AND($L$711=0,$P$708=0),"",$L$711-1),IF($R$17="Distrato",$E1018,0))),0,YEARFRAC(MAX($P$708*($B1018+IF($R$17="Distrato",$I$38-1,0)),IF(AND($L$711=0,$P$708=0),"",$L$711-1),IF($R$17="Distrato",$E1018,0)),MIN(AD$38,$D$19),$P$20))-SUM($P1018:AC1018)</f>
        <v>#VALUE!</v>
      </c>
      <c r="AE1018" s="446" t="e">
        <f>IF(OR($B1018="",MIN(AE$38,$D$19)&lt;MAX($P$708*($B1018+IF($R$17="Distrato",$I$38-1,0)),IF(AND($L$711=0,$P$708=0),"",$L$711-1),IF($R$17="Distrato",$E1018,0))),0,YEARFRAC(MAX($P$708*($B1018+IF($R$17="Distrato",$I$38-1,0)),IF(AND($L$711=0,$P$708=0),"",$L$711-1),IF($R$17="Distrato",$E1018,0)),MIN(AE$38,$D$19),$P$20))-SUM($P1018:AD1018)</f>
        <v>#VALUE!</v>
      </c>
      <c r="AF1018" s="446" t="e">
        <f>IF(OR($B1018="",MIN(AF$38,$D$19)&lt;MAX($P$708*($B1018+IF($R$17="Distrato",$I$38-1,0)),IF(AND($L$711=0,$P$708=0),"",$L$711-1),IF($R$17="Distrato",$E1018,0))),0,YEARFRAC(MAX($P$708*($B1018+IF($R$17="Distrato",$I$38-1,0)),IF(AND($L$711=0,$P$708=0),"",$L$711-1),IF($R$17="Distrato",$E1018,0)),MIN(AF$38,$D$19),$P$20))-SUM($P1018:AE1018)</f>
        <v>#VALUE!</v>
      </c>
      <c r="AG1018" s="446" t="e">
        <f>IF(OR($B1018="",MIN(AG$38,$D$19)&lt;MAX($P$708*($B1018+IF($R$17="Distrato",$I$38-1,0)),IF(AND($L$711=0,$P$708=0),"",$L$711-1),IF($R$17="Distrato",$E1018,0))),0,YEARFRAC(MAX($P$708*($B1018+IF($R$17="Distrato",$I$38-1,0)),IF(AND($L$711=0,$P$708=0),"",$L$711-1),IF($R$17="Distrato",$E1018,0)),MIN(AG$38,$D$19),$P$20))-SUM($P1018:AF1018)</f>
        <v>#VALUE!</v>
      </c>
      <c r="AH1018" s="446" t="e">
        <f>IF(OR($B1018="",MIN(AH$38,$D$19)&lt;MAX($P$708*($B1018+IF($R$17="Distrato",$I$38-1,0)),IF(AND($L$711=0,$P$708=0),"",$L$711-1),IF($R$17="Distrato",$E1018,0))),0,YEARFRAC(MAX($P$708*($B1018+IF($R$17="Distrato",$I$38-1,0)),IF(AND($L$711=0,$P$708=0),"",$L$711-1),IF($R$17="Distrato",$E1018,0)),MIN(AH$38,$D$19),$P$20))-SUM($P1018:AG1018)</f>
        <v>#VALUE!</v>
      </c>
      <c r="AI1018" s="446" t="e">
        <f>IF(OR($B1018="",MIN(AI$38,$D$19)&lt;MAX($P$708*($B1018+IF($R$17="Distrato",$I$38-1,0)),IF(AND($L$711=0,$P$708=0),"",$L$711-1),IF($R$17="Distrato",$E1018,0))),0,YEARFRAC(MAX($P$708*($B1018+IF($R$17="Distrato",$I$38-1,0)),IF(AND($L$711=0,$P$708=0),"",$L$711-1),IF($R$17="Distrato",$E1018,0)),MIN(AI$38,$D$19),$P$20))-SUM($P1018:AH1018)</f>
        <v>#VALUE!</v>
      </c>
      <c r="AJ1018" s="446" t="e">
        <f>IF(OR($B1018="",MIN(AJ$38,$D$19)&lt;MAX($P$708*($B1018+IF($R$17="Distrato",$I$38-1,0)),IF(AND($L$711=0,$P$708=0),"",$L$711-1),IF($R$17="Distrato",$E1018,0))),0,YEARFRAC(MAX($P$708*($B1018+IF($R$17="Distrato",$I$38-1,0)),IF(AND($L$711=0,$P$708=0),"",$L$711-1),IF($R$17="Distrato",$E1018,0)),MIN(AJ$38,$D$19),$P$20))-SUM($P1018:AI1018)</f>
        <v>#VALUE!</v>
      </c>
      <c r="AK1018" s="446" t="e">
        <f>IF(OR($B1018="",MIN(AK$38,$D$19)&lt;MAX($P$708*($B1018+IF($R$17="Distrato",$I$38-1,0)),IF(AND($L$711=0,$P$708=0),"",$L$711-1),IF($R$17="Distrato",$E1018,0))),0,YEARFRAC(MAX($P$708*($B1018+IF($R$17="Distrato",$I$38-1,0)),IF(AND($L$711=0,$P$708=0),"",$L$711-1),IF($R$17="Distrato",$E1018,0)),MIN(AK$38,$D$19),$P$20))-SUM($P1018:AJ1018)</f>
        <v>#VALUE!</v>
      </c>
      <c r="AL1018" s="446" t="e">
        <f>IF(OR($B1018="",MIN(AL$38,$D$19)&lt;MAX($P$708*($B1018+IF($R$17="Distrato",$I$38-1,0)),IF(AND($L$711=0,$P$708=0),"",$L$711-1),IF($R$17="Distrato",$E1018,0))),0,YEARFRAC(MAX($P$708*($B1018+IF($R$17="Distrato",$I$38-1,0)),IF(AND($L$711=0,$P$708=0),"",$L$711-1),IF($R$17="Distrato",$E1018,0)),MIN(AL$38,$D$19),$P$20))-SUM($P1018:AK1018)</f>
        <v>#VALUE!</v>
      </c>
      <c r="AM1018" s="446" t="e">
        <f>IF(OR($B1018="",MIN(AM$38,$D$19)&lt;MAX($P$708*($B1018+IF($R$17="Distrato",$I$38-1,0)),IF(AND($L$711=0,$P$708=0),"",$L$711-1),IF($R$17="Distrato",$E1018,0))),0,YEARFRAC(MAX($P$708*($B1018+IF($R$17="Distrato",$I$38-1,0)),IF(AND($L$711=0,$P$708=0),"",$L$711-1),IF($R$17="Distrato",$E1018,0)),MIN(AM$38,$D$19),$P$20))-SUM($P1018:AL1018)</f>
        <v>#VALUE!</v>
      </c>
      <c r="AN1018" s="446" t="e">
        <f>IF(OR($B1018="",MIN(AN$38,$D$19)&lt;MAX($P$708*($B1018+IF($R$17="Distrato",$I$38-1,0)),IF(AND($L$711=0,$P$708=0),"",$L$711-1),IF($R$17="Distrato",$E1018,0))),0,YEARFRAC(MAX($P$708*($B1018+IF($R$17="Distrato",$I$38-1,0)),IF(AND($L$711=0,$P$708=0),"",$L$711-1),IF($R$17="Distrato",$E1018,0)),MIN(AN$38,$D$19),$P$20))-SUM($P1018:AM1018)</f>
        <v>#VALUE!</v>
      </c>
      <c r="AO1018" s="446" t="e">
        <f>IF(OR($B1018="",MIN(AO$38,$D$19)&lt;MAX($P$708*($B1018+IF($R$17="Distrato",$I$38-1,0)),IF(AND($L$711=0,$P$708=0),"",$L$711-1),IF($R$17="Distrato",$E1018,0))),0,YEARFRAC(MAX($P$708*($B1018+IF($R$17="Distrato",$I$38-1,0)),IF(AND($L$711=0,$P$708=0),"",$L$711-1),IF($R$17="Distrato",$E1018,0)),MIN(AO$38,$D$19),$P$20))-SUM($P1018:AN1018)</f>
        <v>#VALUE!</v>
      </c>
      <c r="AP1018" s="446" t="e">
        <f>IF(OR($B1018="",MIN(AP$38,$D$19)&lt;MAX($P$708*($B1018+IF($R$17="Distrato",$I$38-1,0)),IF(AND($L$711=0,$P$708=0),"",$L$711-1),IF($R$17="Distrato",$E1018,0))),0,YEARFRAC(MAX($P$708*($B1018+IF($R$17="Distrato",$I$38-1,0)),IF(AND($L$711=0,$P$708=0),"",$L$711-1),IF($R$17="Distrato",$E1018,0)),MIN(AP$38,$D$19),$P$20))-SUM($P1018:AO1018)</f>
        <v>#VALUE!</v>
      </c>
      <c r="AQ1018" s="446" t="e">
        <f>IF(OR($B1018="",MIN(AQ$38,$D$19)&lt;MAX($P$708*($B1018+IF($R$17="Distrato",$I$38-1,0)),IF(AND($L$711=0,$P$708=0),"",$L$711-1),IF($R$17="Distrato",$E1018,0))),0,YEARFRAC(MAX($P$708*($B1018+IF($R$17="Distrato",$I$38-1,0)),IF(AND($L$711=0,$P$708=0),"",$L$711-1),IF($R$17="Distrato",$E1018,0)),MIN(AQ$38,$D$19),$P$20))-SUM($P1018:AP1018)</f>
        <v>#VALUE!</v>
      </c>
      <c r="AR1018" s="446" t="e">
        <f>IF(OR($B1018="",MIN(AR$38,$D$19)&lt;MAX($P$708*($B1018+IF($R$17="Distrato",$I$38-1,0)),IF(AND($L$711=0,$P$708=0),"",$L$711-1),IF($R$17="Distrato",$E1018,0))),0,YEARFRAC(MAX($P$708*($B1018+IF($R$17="Distrato",$I$38-1,0)),IF(AND($L$711=0,$P$708=0),"",$L$711-1),IF($R$17="Distrato",$E1018,0)),MIN(AR$38,$D$19),$P$20))-SUM($P1018:AQ1018)</f>
        <v>#VALUE!</v>
      </c>
      <c r="AS1018" s="446" t="e">
        <f>IF(OR($B1018="",MIN(AS$38,$D$19)&lt;MAX($P$708*($B1018+IF($R$17="Distrato",$I$38-1,0)),IF(AND($L$711=0,$P$708=0),"",$L$711-1),IF($R$17="Distrato",$E1018,0))),0,YEARFRAC(MAX($P$708*($B1018+IF($R$17="Distrato",$I$38-1,0)),IF(AND($L$711=0,$P$708=0),"",$L$711-1),IF($R$17="Distrato",$E1018,0)),MIN(AS$38,$D$19),$P$20))-SUM($P1018:AR1018)</f>
        <v>#VALUE!</v>
      </c>
      <c r="AT1018" s="446" t="e">
        <f>IF(OR($B1018="",MIN(AT$38,$D$19)&lt;MAX($P$708*($B1018+IF($R$17="Distrato",$I$38-1,0)),IF(AND($L$711=0,$P$708=0),"",$L$711-1),IF($R$17="Distrato",$E1018,0))),0,YEARFRAC(MAX($P$708*($B1018+IF($R$17="Distrato",$I$38-1,0)),IF(AND($L$711=0,$P$708=0),"",$L$711-1),IF($R$17="Distrato",$E1018,0)),MIN(AT$38,$D$19),$P$20))-SUM($P1018:AS1018)</f>
        <v>#VALUE!</v>
      </c>
      <c r="AU1018" s="446" t="e">
        <f>IF(OR($B1018="",MIN(AU$38,$D$19)&lt;MAX($P$708*($B1018+IF($R$17="Distrato",$I$38-1,0)),IF(AND($L$711=0,$P$708=0),"",$L$711-1),IF($R$17="Distrato",$E1018,0))),0,YEARFRAC(MAX($P$708*($B1018+IF($R$17="Distrato",$I$38-1,0)),IF(AND($L$711=0,$P$708=0),"",$L$711-1),IF($R$17="Distrato",$E1018,0)),MIN(AU$38,$D$19),$P$20))-SUM($P1018:AT1018)</f>
        <v>#VALUE!</v>
      </c>
      <c r="AV1018" s="446" t="e">
        <f>IF(OR($B1018="",MIN(AV$38,$D$19)&lt;MAX($P$708*($B1018+IF($R$17="Distrato",$I$38-1,0)),IF(AND($L$711=0,$P$708=0),"",$L$711-1),IF($R$17="Distrato",$E1018,0))),0,YEARFRAC(MAX($P$708*($B1018+IF($R$17="Distrato",$I$38-1,0)),IF(AND($L$711=0,$P$708=0),"",$L$711-1),IF($R$17="Distrato",$E1018,0)),MIN(AV$38,$D$19),$P$20))-SUM($P1018:AU1018)</f>
        <v>#VALUE!</v>
      </c>
      <c r="AW1018" s="446" t="e">
        <f>IF(OR($B1018="",MIN(AW$38,$D$19)&lt;MAX($P$708*($B1018+IF($R$17="Distrato",$I$38-1,0)),IF(AND($L$711=0,$P$708=0),"",$L$711-1),IF($R$17="Distrato",$E1018,0))),0,YEARFRAC(MAX($P$708*($B1018+IF($R$17="Distrato",$I$38-1,0)),IF(AND($L$711=0,$P$708=0),"",$L$711-1),IF($R$17="Distrato",$E1018,0)),MIN(AW$38,$D$19),$P$20))-SUM($P1018:AV1018)</f>
        <v>#VALUE!</v>
      </c>
      <c r="AX1018" s="446" t="e">
        <f>IF(OR($B1018="",MIN(AX$38,$D$19)&lt;MAX($P$708*($B1018+IF($R$17="Distrato",$I$38-1,0)),IF(AND($L$711=0,$P$708=0),"",$L$711-1),IF($R$17="Distrato",$E1018,0))),0,YEARFRAC(MAX($P$708*($B1018+IF($R$17="Distrato",$I$38-1,0)),IF(AND($L$711=0,$P$708=0),"",$L$711-1),IF($R$17="Distrato",$E1018,0)),MIN(AX$38,$D$19),$P$20))-SUM($P1018:AW1018)</f>
        <v>#VALUE!</v>
      </c>
      <c r="AY1018" s="446" t="e">
        <f>IF(OR($B1018="",MIN(AY$38,$D$19)&lt;MAX($P$708*($B1018+IF($R$17="Distrato",$I$38-1,0)),IF(AND($L$711=0,$P$708=0),"",$L$711-1),IF($R$17="Distrato",$E1018,0))),0,YEARFRAC(MAX($P$708*($B1018+IF($R$17="Distrato",$I$38-1,0)),IF(AND($L$711=0,$P$708=0),"",$L$711-1),IF($R$17="Distrato",$E1018,0)),MIN(AY$38,$D$19),$P$20))-SUM($P1018:AX1018)</f>
        <v>#VALUE!</v>
      </c>
      <c r="AZ1018" s="446" t="e">
        <f>IF(OR($B1018="",MIN(AZ$38,$D$19)&lt;MAX($P$708*($B1018+IF($R$17="Distrato",$I$38-1,0)),IF(AND($L$711=0,$P$708=0),"",$L$711-1),IF($R$17="Distrato",$E1018,0))),0,YEARFRAC(MAX($P$708*($B1018+IF($R$17="Distrato",$I$38-1,0)),IF(AND($L$711=0,$P$708=0),"",$L$711-1),IF($R$17="Distrato",$E1018,0)),MIN(AZ$38,$D$19),$P$20))-SUM($P1018:AY1018)</f>
        <v>#VALUE!</v>
      </c>
      <c r="BA1018" s="446" t="e">
        <f>IF(OR($B1018="",MIN(BA$38,$D$19)&lt;MAX($P$708*($B1018+IF($R$17="Distrato",$I$38-1,0)),IF(AND($L$711=0,$P$708=0),"",$L$711-1),IF($R$17="Distrato",$E1018,0))),0,YEARFRAC(MAX($P$708*($B1018+IF($R$17="Distrato",$I$38-1,0)),IF(AND($L$711=0,$P$708=0),"",$L$711-1),IF($R$17="Distrato",$E1018,0)),MIN(BA$38,$D$19),$P$20))-SUM($P1018:AZ1018)</f>
        <v>#VALUE!</v>
      </c>
      <c r="BB1018" s="447"/>
    </row>
    <row r="1019" spans="1:54" s="446" customFormat="1" ht="11.25" hidden="1" customHeight="1" x14ac:dyDescent="0.2">
      <c r="A1019" s="235"/>
      <c r="B1019" s="236"/>
      <c r="C1019" s="29" t="str">
        <f>IF(B1019="","",IF($L$709=$BL$25,VLOOKUP(DATE(YEAR($D$19),MONTH($D$19)-1,1),ÍNDICES!$A:$DE,HLOOKUP($BL$25,ÍNDICES!$B$3:$T$4,2)+11)-VLOOKUP(B1019,ÍNDICES!$A:$DE,HLOOKUP($BL$25,ÍNDICES!$B$3:$T$4,2)+11)+1%,IF(C$712=$W$26,$J$35,IF(ISERROR(IF(B1019&gt;$D$19,1,VLOOKUP(DATE(YEAR(B1019),MONTH(B1019)+IF($C$709=$S$23,1,0),1),ÍNDICES!$A:$DE,$Z$709+1))),"",IF(B1019&gt;$D$19,1,VLOOKUP(DATE(YEAR(B1019),MONTH(B1019)+IF($C$709=$S$23,1,0),1),ÍNDICES!$A:$DE,$Z$709+1))))))</f>
        <v/>
      </c>
      <c r="D1019" s="155"/>
      <c r="E1019" s="88"/>
      <c r="F1019" s="88"/>
      <c r="G1019" s="88"/>
      <c r="H1019" s="118"/>
      <c r="I1019" s="182">
        <f t="shared" si="143"/>
        <v>0</v>
      </c>
      <c r="J1019" s="20">
        <f t="shared" ca="1" si="144"/>
        <v>0</v>
      </c>
      <c r="K1019" s="5">
        <f t="shared" ca="1" si="145"/>
        <v>0</v>
      </c>
      <c r="L1019" s="61">
        <f t="shared" ca="1" si="146"/>
        <v>0</v>
      </c>
      <c r="M1019" s="64">
        <f t="shared" si="147"/>
        <v>0</v>
      </c>
      <c r="N1019" s="151"/>
      <c r="O1019" s="5">
        <f t="shared" ca="1" si="148"/>
        <v>0</v>
      </c>
      <c r="P1019" s="446" t="e">
        <f t="shared" si="149"/>
        <v>#VALUE!</v>
      </c>
      <c r="Q1019" s="446" t="e">
        <f>IF(OR($B1019="",MIN(Q$38,$D$19)&lt;MAX($P$708*($B1019+IF($R$17="Distrato",$I$38-1,0)),IF(AND($L$711=0,$P$708=0),"",$L$711-1),IF($R$17="Distrato",$E1019,0))),0,YEARFRAC(MAX($P$708*($B1019+IF($R$17="Distrato",$I$38-1,0)),IF(AND($L$711=0,$P$708=0),"",$L$711-1),IF($R$17="Distrato",$E1019,0)),MIN(Q$38,$D$19),$P$20))-SUM($P1019:P1019)</f>
        <v>#VALUE!</v>
      </c>
      <c r="R1019" s="446" t="e">
        <f>IF(OR($B1019="",MIN(R$38,$D$19)&lt;MAX($P$708*($B1019+IF($R$17="Distrato",$I$38-1,0)),IF(AND($L$711=0,$P$708=0),"",$L$711-1),IF($R$17="Distrato",$E1019,0))),0,YEARFRAC(MAX($P$708*($B1019+IF($R$17="Distrato",$I$38-1,0)),IF(AND($L$711=0,$P$708=0),"",$L$711-1),IF($R$17="Distrato",$E1019,0)),MIN(R$38,$D$19),$P$20))-SUM($P1019:Q1019)</f>
        <v>#VALUE!</v>
      </c>
      <c r="S1019" s="446" t="e">
        <f>IF(OR($B1019="",MIN(S$38,$D$19)&lt;MAX($P$708*($B1019+IF($R$17="Distrato",$I$38-1,0)),IF(AND($L$711=0,$P$708=0),"",$L$711-1),IF($R$17="Distrato",$E1019,0))),0,YEARFRAC(MAX($P$708*($B1019+IF($R$17="Distrato",$I$38-1,0)),IF(AND($L$711=0,$P$708=0),"",$L$711-1),IF($R$17="Distrato",$E1019,0)),MIN(S$38,$D$19),$P$20))-SUM($P1019:R1019)</f>
        <v>#VALUE!</v>
      </c>
      <c r="T1019" s="446" t="e">
        <f>IF(OR($B1019="",MIN(T$38,$D$19)&lt;MAX($P$708*($B1019+IF($R$17="Distrato",$I$38-1,0)),IF(AND($L$711=0,$P$708=0),"",$L$711-1),IF($R$17="Distrato",$E1019,0))),0,YEARFRAC(MAX($P$708*($B1019+IF($R$17="Distrato",$I$38-1,0)),IF(AND($L$711=0,$P$708=0),"",$L$711-1),IF($R$17="Distrato",$E1019,0)),MIN(T$38,$D$19),$P$20))-SUM($P1019:S1019)</f>
        <v>#VALUE!</v>
      </c>
      <c r="U1019" s="446" t="e">
        <f>IF(OR($B1019="",MIN(U$38,$D$19)&lt;MAX($P$708*($B1019+IF($R$17="Distrato",$I$38-1,0)),IF(AND($L$711=0,$P$708=0),"",$L$711-1),IF($R$17="Distrato",$E1019,0))),0,YEARFRAC(MAX($P$708*($B1019+IF($R$17="Distrato",$I$38-1,0)),IF(AND($L$711=0,$P$708=0),"",$L$711-1),IF($R$17="Distrato",$E1019,0)),MIN(U$38,$D$19),$P$20))-SUM($P1019:T1019)</f>
        <v>#VALUE!</v>
      </c>
      <c r="V1019" s="446" t="e">
        <f>IF(OR($B1019="",MIN(V$38,$D$19)&lt;MAX($P$708*($B1019+IF($R$17="Distrato",$I$38-1,0)),IF(AND($L$711=0,$P$708=0),"",$L$711-1),IF($R$17="Distrato",$E1019,0))),0,YEARFRAC(MAX($P$708*($B1019+IF($R$17="Distrato",$I$38-1,0)),IF(AND($L$711=0,$P$708=0),"",$L$711-1),IF($R$17="Distrato",$E1019,0)),MIN(V$38,$D$19),$P$20))-SUM($P1019:U1019)</f>
        <v>#VALUE!</v>
      </c>
      <c r="W1019" s="446" t="e">
        <f>IF(OR($B1019="",MIN(W$38,$D$19)&lt;MAX($P$708*($B1019+IF($R$17="Distrato",$I$38-1,0)),IF(AND($L$711=0,$P$708=0),"",$L$711-1),IF($R$17="Distrato",$E1019,0))),0,YEARFRAC(MAX($P$708*($B1019+IF($R$17="Distrato",$I$38-1,0)),IF(AND($L$711=0,$P$708=0),"",$L$711-1),IF($R$17="Distrato",$E1019,0)),MIN(W$38,$D$19),$P$20))-SUM($P1019:V1019)</f>
        <v>#VALUE!</v>
      </c>
      <c r="X1019" s="446" t="e">
        <f>IF(OR($B1019="",MIN(X$38,$D$19)&lt;MAX($P$708*($B1019+IF($R$17="Distrato",$I$38-1,0)),IF(AND($L$711=0,$P$708=0),"",$L$711-1),IF($R$17="Distrato",$E1019,0))),0,YEARFRAC(MAX($P$708*($B1019+IF($R$17="Distrato",$I$38-1,0)),IF(AND($L$711=0,$P$708=0),"",$L$711-1),IF($R$17="Distrato",$E1019,0)),MIN(X$38,$D$19),$P$20))-SUM($P1019:W1019)</f>
        <v>#VALUE!</v>
      </c>
      <c r="Y1019" s="446" t="e">
        <f>IF(OR($B1019="",MIN(Y$38,$D$19)&lt;MAX($P$708*($B1019+IF($R$17="Distrato",$I$38-1,0)),IF(AND($L$711=0,$P$708=0),"",$L$711-1),IF($R$17="Distrato",$E1019,0))),0,YEARFRAC(MAX($P$708*($B1019+IF($R$17="Distrato",$I$38-1,0)),IF(AND($L$711=0,$P$708=0),"",$L$711-1),IF($R$17="Distrato",$E1019,0)),MIN(Y$38,$D$19),$P$20))-SUM($P1019:X1019)</f>
        <v>#VALUE!</v>
      </c>
      <c r="Z1019" s="446" t="e">
        <f>IF(OR($B1019="",MIN(Z$38,$D$19)&lt;MAX($P$708*($B1019+IF($R$17="Distrato",$I$38-1,0)),IF(AND($L$711=0,$P$708=0),"",$L$711-1),IF($R$17="Distrato",$E1019,0))),0,YEARFRAC(MAX($P$708*($B1019+IF($R$17="Distrato",$I$38-1,0)),IF(AND($L$711=0,$P$708=0),"",$L$711-1),IF($R$17="Distrato",$E1019,0)),MIN(Z$38,$D$19),$P$20))-SUM($P1019:Y1019)</f>
        <v>#VALUE!</v>
      </c>
      <c r="AA1019" s="446" t="e">
        <f>IF(OR($B1019="",MIN(AA$38,$D$19)&lt;MAX($P$708*($B1019+IF($R$17="Distrato",$I$38-1,0)),IF(AND($L$711=0,$P$708=0),"",$L$711-1),IF($R$17="Distrato",$E1019,0))),0,YEARFRAC(MAX($P$708*($B1019+IF($R$17="Distrato",$I$38-1,0)),IF(AND($L$711=0,$P$708=0),"",$L$711-1),IF($R$17="Distrato",$E1019,0)),MIN(AA$38,$D$19),$P$20))-SUM($P1019:Z1019)</f>
        <v>#VALUE!</v>
      </c>
      <c r="AB1019" s="446" t="e">
        <f>IF(OR($B1019="",MIN(AB$38,$D$19)&lt;MAX($P$708*($B1019+IF($R$17="Distrato",$I$38-1,0)),IF(AND($L$711=0,$P$708=0),"",$L$711-1),IF($R$17="Distrato",$E1019,0))),0,YEARFRAC(MAX($P$708*($B1019+IF($R$17="Distrato",$I$38-1,0)),IF(AND($L$711=0,$P$708=0),"",$L$711-1),IF($R$17="Distrato",$E1019,0)),MIN(AB$38,$D$19),$P$20))-SUM($P1019:AA1019)</f>
        <v>#VALUE!</v>
      </c>
      <c r="AC1019" s="446" t="e">
        <f>IF(OR($B1019="",MIN(AC$38,$D$19)&lt;MAX($P$708*($B1019+IF($R$17="Distrato",$I$38-1,0)),IF(AND($L$711=0,$P$708=0),"",$L$711-1),IF($R$17="Distrato",$E1019,0))),0,YEARFRAC(MAX($P$708*($B1019+IF($R$17="Distrato",$I$38-1,0)),IF(AND($L$711=0,$P$708=0),"",$L$711-1),IF($R$17="Distrato",$E1019,0)),MIN(AC$38,$D$19),$P$20))-SUM($P1019:AB1019)</f>
        <v>#VALUE!</v>
      </c>
      <c r="AD1019" s="446" t="e">
        <f>IF(OR($B1019="",MIN(AD$38,$D$19)&lt;MAX($P$708*($B1019+IF($R$17="Distrato",$I$38-1,0)),IF(AND($L$711=0,$P$708=0),"",$L$711-1),IF($R$17="Distrato",$E1019,0))),0,YEARFRAC(MAX($P$708*($B1019+IF($R$17="Distrato",$I$38-1,0)),IF(AND($L$711=0,$P$708=0),"",$L$711-1),IF($R$17="Distrato",$E1019,0)),MIN(AD$38,$D$19),$P$20))-SUM($P1019:AC1019)</f>
        <v>#VALUE!</v>
      </c>
      <c r="AE1019" s="446" t="e">
        <f>IF(OR($B1019="",MIN(AE$38,$D$19)&lt;MAX($P$708*($B1019+IF($R$17="Distrato",$I$38-1,0)),IF(AND($L$711=0,$P$708=0),"",$L$711-1),IF($R$17="Distrato",$E1019,0))),0,YEARFRAC(MAX($P$708*($B1019+IF($R$17="Distrato",$I$38-1,0)),IF(AND($L$711=0,$P$708=0),"",$L$711-1),IF($R$17="Distrato",$E1019,0)),MIN(AE$38,$D$19),$P$20))-SUM($P1019:AD1019)</f>
        <v>#VALUE!</v>
      </c>
      <c r="AF1019" s="446" t="e">
        <f>IF(OR($B1019="",MIN(AF$38,$D$19)&lt;MAX($P$708*($B1019+IF($R$17="Distrato",$I$38-1,0)),IF(AND($L$711=0,$P$708=0),"",$L$711-1),IF($R$17="Distrato",$E1019,0))),0,YEARFRAC(MAX($P$708*($B1019+IF($R$17="Distrato",$I$38-1,0)),IF(AND($L$711=0,$P$708=0),"",$L$711-1),IF($R$17="Distrato",$E1019,0)),MIN(AF$38,$D$19),$P$20))-SUM($P1019:AE1019)</f>
        <v>#VALUE!</v>
      </c>
      <c r="AG1019" s="446" t="e">
        <f>IF(OR($B1019="",MIN(AG$38,$D$19)&lt;MAX($P$708*($B1019+IF($R$17="Distrato",$I$38-1,0)),IF(AND($L$711=0,$P$708=0),"",$L$711-1),IF($R$17="Distrato",$E1019,0))),0,YEARFRAC(MAX($P$708*($B1019+IF($R$17="Distrato",$I$38-1,0)),IF(AND($L$711=0,$P$708=0),"",$L$711-1),IF($R$17="Distrato",$E1019,0)),MIN(AG$38,$D$19),$P$20))-SUM($P1019:AF1019)</f>
        <v>#VALUE!</v>
      </c>
      <c r="AH1019" s="446" t="e">
        <f>IF(OR($B1019="",MIN(AH$38,$D$19)&lt;MAX($P$708*($B1019+IF($R$17="Distrato",$I$38-1,0)),IF(AND($L$711=0,$P$708=0),"",$L$711-1),IF($R$17="Distrato",$E1019,0))),0,YEARFRAC(MAX($P$708*($B1019+IF($R$17="Distrato",$I$38-1,0)),IF(AND($L$711=0,$P$708=0),"",$L$711-1),IF($R$17="Distrato",$E1019,0)),MIN(AH$38,$D$19),$P$20))-SUM($P1019:AG1019)</f>
        <v>#VALUE!</v>
      </c>
      <c r="AI1019" s="446" t="e">
        <f>IF(OR($B1019="",MIN(AI$38,$D$19)&lt;MAX($P$708*($B1019+IF($R$17="Distrato",$I$38-1,0)),IF(AND($L$711=0,$P$708=0),"",$L$711-1),IF($R$17="Distrato",$E1019,0))),0,YEARFRAC(MAX($P$708*($B1019+IF($R$17="Distrato",$I$38-1,0)),IF(AND($L$711=0,$P$708=0),"",$L$711-1),IF($R$17="Distrato",$E1019,0)),MIN(AI$38,$D$19),$P$20))-SUM($P1019:AH1019)</f>
        <v>#VALUE!</v>
      </c>
      <c r="AJ1019" s="446" t="e">
        <f>IF(OR($B1019="",MIN(AJ$38,$D$19)&lt;MAX($P$708*($B1019+IF($R$17="Distrato",$I$38-1,0)),IF(AND($L$711=0,$P$708=0),"",$L$711-1),IF($R$17="Distrato",$E1019,0))),0,YEARFRAC(MAX($P$708*($B1019+IF($R$17="Distrato",$I$38-1,0)),IF(AND($L$711=0,$P$708=0),"",$L$711-1),IF($R$17="Distrato",$E1019,0)),MIN(AJ$38,$D$19),$P$20))-SUM($P1019:AI1019)</f>
        <v>#VALUE!</v>
      </c>
      <c r="AK1019" s="446" t="e">
        <f>IF(OR($B1019="",MIN(AK$38,$D$19)&lt;MAX($P$708*($B1019+IF($R$17="Distrato",$I$38-1,0)),IF(AND($L$711=0,$P$708=0),"",$L$711-1),IF($R$17="Distrato",$E1019,0))),0,YEARFRAC(MAX($P$708*($B1019+IF($R$17="Distrato",$I$38-1,0)),IF(AND($L$711=0,$P$708=0),"",$L$711-1),IF($R$17="Distrato",$E1019,0)),MIN(AK$38,$D$19),$P$20))-SUM($P1019:AJ1019)</f>
        <v>#VALUE!</v>
      </c>
      <c r="AL1019" s="446" t="e">
        <f>IF(OR($B1019="",MIN(AL$38,$D$19)&lt;MAX($P$708*($B1019+IF($R$17="Distrato",$I$38-1,0)),IF(AND($L$711=0,$P$708=0),"",$L$711-1),IF($R$17="Distrato",$E1019,0))),0,YEARFRAC(MAX($P$708*($B1019+IF($R$17="Distrato",$I$38-1,0)),IF(AND($L$711=0,$P$708=0),"",$L$711-1),IF($R$17="Distrato",$E1019,0)),MIN(AL$38,$D$19),$P$20))-SUM($P1019:AK1019)</f>
        <v>#VALUE!</v>
      </c>
      <c r="AM1019" s="446" t="e">
        <f>IF(OR($B1019="",MIN(AM$38,$D$19)&lt;MAX($P$708*($B1019+IF($R$17="Distrato",$I$38-1,0)),IF(AND($L$711=0,$P$708=0),"",$L$711-1),IF($R$17="Distrato",$E1019,0))),0,YEARFRAC(MAX($P$708*($B1019+IF($R$17="Distrato",$I$38-1,0)),IF(AND($L$711=0,$P$708=0),"",$L$711-1),IF($R$17="Distrato",$E1019,0)),MIN(AM$38,$D$19),$P$20))-SUM($P1019:AL1019)</f>
        <v>#VALUE!</v>
      </c>
      <c r="AN1019" s="446" t="e">
        <f>IF(OR($B1019="",MIN(AN$38,$D$19)&lt;MAX($P$708*($B1019+IF($R$17="Distrato",$I$38-1,0)),IF(AND($L$711=0,$P$708=0),"",$L$711-1),IF($R$17="Distrato",$E1019,0))),0,YEARFRAC(MAX($P$708*($B1019+IF($R$17="Distrato",$I$38-1,0)),IF(AND($L$711=0,$P$708=0),"",$L$711-1),IF($R$17="Distrato",$E1019,0)),MIN(AN$38,$D$19),$P$20))-SUM($P1019:AM1019)</f>
        <v>#VALUE!</v>
      </c>
      <c r="AO1019" s="446" t="e">
        <f>IF(OR($B1019="",MIN(AO$38,$D$19)&lt;MAX($P$708*($B1019+IF($R$17="Distrato",$I$38-1,0)),IF(AND($L$711=0,$P$708=0),"",$L$711-1),IF($R$17="Distrato",$E1019,0))),0,YEARFRAC(MAX($P$708*($B1019+IF($R$17="Distrato",$I$38-1,0)),IF(AND($L$711=0,$P$708=0),"",$L$711-1),IF($R$17="Distrato",$E1019,0)),MIN(AO$38,$D$19),$P$20))-SUM($P1019:AN1019)</f>
        <v>#VALUE!</v>
      </c>
      <c r="AP1019" s="446" t="e">
        <f>IF(OR($B1019="",MIN(AP$38,$D$19)&lt;MAX($P$708*($B1019+IF($R$17="Distrato",$I$38-1,0)),IF(AND($L$711=0,$P$708=0),"",$L$711-1),IF($R$17="Distrato",$E1019,0))),0,YEARFRAC(MAX($P$708*($B1019+IF($R$17="Distrato",$I$38-1,0)),IF(AND($L$711=0,$P$708=0),"",$L$711-1),IF($R$17="Distrato",$E1019,0)),MIN(AP$38,$D$19),$P$20))-SUM($P1019:AO1019)</f>
        <v>#VALUE!</v>
      </c>
      <c r="AQ1019" s="446" t="e">
        <f>IF(OR($B1019="",MIN(AQ$38,$D$19)&lt;MAX($P$708*($B1019+IF($R$17="Distrato",$I$38-1,0)),IF(AND($L$711=0,$P$708=0),"",$L$711-1),IF($R$17="Distrato",$E1019,0))),0,YEARFRAC(MAX($P$708*($B1019+IF($R$17="Distrato",$I$38-1,0)),IF(AND($L$711=0,$P$708=0),"",$L$711-1),IF($R$17="Distrato",$E1019,0)),MIN(AQ$38,$D$19),$P$20))-SUM($P1019:AP1019)</f>
        <v>#VALUE!</v>
      </c>
      <c r="AR1019" s="446" t="e">
        <f>IF(OR($B1019="",MIN(AR$38,$D$19)&lt;MAX($P$708*($B1019+IF($R$17="Distrato",$I$38-1,0)),IF(AND($L$711=0,$P$708=0),"",$L$711-1),IF($R$17="Distrato",$E1019,0))),0,YEARFRAC(MAX($P$708*($B1019+IF($R$17="Distrato",$I$38-1,0)),IF(AND($L$711=0,$P$708=0),"",$L$711-1),IF($R$17="Distrato",$E1019,0)),MIN(AR$38,$D$19),$P$20))-SUM($P1019:AQ1019)</f>
        <v>#VALUE!</v>
      </c>
      <c r="AS1019" s="446" t="e">
        <f>IF(OR($B1019="",MIN(AS$38,$D$19)&lt;MAX($P$708*($B1019+IF($R$17="Distrato",$I$38-1,0)),IF(AND($L$711=0,$P$708=0),"",$L$711-1),IF($R$17="Distrato",$E1019,0))),0,YEARFRAC(MAX($P$708*($B1019+IF($R$17="Distrato",$I$38-1,0)),IF(AND($L$711=0,$P$708=0),"",$L$711-1),IF($R$17="Distrato",$E1019,0)),MIN(AS$38,$D$19),$P$20))-SUM($P1019:AR1019)</f>
        <v>#VALUE!</v>
      </c>
      <c r="AT1019" s="446" t="e">
        <f>IF(OR($B1019="",MIN(AT$38,$D$19)&lt;MAX($P$708*($B1019+IF($R$17="Distrato",$I$38-1,0)),IF(AND($L$711=0,$P$708=0),"",$L$711-1),IF($R$17="Distrato",$E1019,0))),0,YEARFRAC(MAX($P$708*($B1019+IF($R$17="Distrato",$I$38-1,0)),IF(AND($L$711=0,$P$708=0),"",$L$711-1),IF($R$17="Distrato",$E1019,0)),MIN(AT$38,$D$19),$P$20))-SUM($P1019:AS1019)</f>
        <v>#VALUE!</v>
      </c>
      <c r="AU1019" s="446" t="e">
        <f>IF(OR($B1019="",MIN(AU$38,$D$19)&lt;MAX($P$708*($B1019+IF($R$17="Distrato",$I$38-1,0)),IF(AND($L$711=0,$P$708=0),"",$L$711-1),IF($R$17="Distrato",$E1019,0))),0,YEARFRAC(MAX($P$708*($B1019+IF($R$17="Distrato",$I$38-1,0)),IF(AND($L$711=0,$P$708=0),"",$L$711-1),IF($R$17="Distrato",$E1019,0)),MIN(AU$38,$D$19),$P$20))-SUM($P1019:AT1019)</f>
        <v>#VALUE!</v>
      </c>
      <c r="AV1019" s="446" t="e">
        <f>IF(OR($B1019="",MIN(AV$38,$D$19)&lt;MAX($P$708*($B1019+IF($R$17="Distrato",$I$38-1,0)),IF(AND($L$711=0,$P$708=0),"",$L$711-1),IF($R$17="Distrato",$E1019,0))),0,YEARFRAC(MAX($P$708*($B1019+IF($R$17="Distrato",$I$38-1,0)),IF(AND($L$711=0,$P$708=0),"",$L$711-1),IF($R$17="Distrato",$E1019,0)),MIN(AV$38,$D$19),$P$20))-SUM($P1019:AU1019)</f>
        <v>#VALUE!</v>
      </c>
      <c r="AW1019" s="446" t="e">
        <f>IF(OR($B1019="",MIN(AW$38,$D$19)&lt;MAX($P$708*($B1019+IF($R$17="Distrato",$I$38-1,0)),IF(AND($L$711=0,$P$708=0),"",$L$711-1),IF($R$17="Distrato",$E1019,0))),0,YEARFRAC(MAX($P$708*($B1019+IF($R$17="Distrato",$I$38-1,0)),IF(AND($L$711=0,$P$708=0),"",$L$711-1),IF($R$17="Distrato",$E1019,0)),MIN(AW$38,$D$19),$P$20))-SUM($P1019:AV1019)</f>
        <v>#VALUE!</v>
      </c>
      <c r="AX1019" s="446" t="e">
        <f>IF(OR($B1019="",MIN(AX$38,$D$19)&lt;MAX($P$708*($B1019+IF($R$17="Distrato",$I$38-1,0)),IF(AND($L$711=0,$P$708=0),"",$L$711-1),IF($R$17="Distrato",$E1019,0))),0,YEARFRAC(MAX($P$708*($B1019+IF($R$17="Distrato",$I$38-1,0)),IF(AND($L$711=0,$P$708=0),"",$L$711-1),IF($R$17="Distrato",$E1019,0)),MIN(AX$38,$D$19),$P$20))-SUM($P1019:AW1019)</f>
        <v>#VALUE!</v>
      </c>
      <c r="AY1019" s="446" t="e">
        <f>IF(OR($B1019="",MIN(AY$38,$D$19)&lt;MAX($P$708*($B1019+IF($R$17="Distrato",$I$38-1,0)),IF(AND($L$711=0,$P$708=0),"",$L$711-1),IF($R$17="Distrato",$E1019,0))),0,YEARFRAC(MAX($P$708*($B1019+IF($R$17="Distrato",$I$38-1,0)),IF(AND($L$711=0,$P$708=0),"",$L$711-1),IF($R$17="Distrato",$E1019,0)),MIN(AY$38,$D$19),$P$20))-SUM($P1019:AX1019)</f>
        <v>#VALUE!</v>
      </c>
      <c r="AZ1019" s="446" t="e">
        <f>IF(OR($B1019="",MIN(AZ$38,$D$19)&lt;MAX($P$708*($B1019+IF($R$17="Distrato",$I$38-1,0)),IF(AND($L$711=0,$P$708=0),"",$L$711-1),IF($R$17="Distrato",$E1019,0))),0,YEARFRAC(MAX($P$708*($B1019+IF($R$17="Distrato",$I$38-1,0)),IF(AND($L$711=0,$P$708=0),"",$L$711-1),IF($R$17="Distrato",$E1019,0)),MIN(AZ$38,$D$19),$P$20))-SUM($P1019:AY1019)</f>
        <v>#VALUE!</v>
      </c>
      <c r="BA1019" s="446" t="e">
        <f>IF(OR($B1019="",MIN(BA$38,$D$19)&lt;MAX($P$708*($B1019+IF($R$17="Distrato",$I$38-1,0)),IF(AND($L$711=0,$P$708=0),"",$L$711-1),IF($R$17="Distrato",$E1019,0))),0,YEARFRAC(MAX($P$708*($B1019+IF($R$17="Distrato",$I$38-1,0)),IF(AND($L$711=0,$P$708=0),"",$L$711-1),IF($R$17="Distrato",$E1019,0)),MIN(BA$38,$D$19),$P$20))-SUM($P1019:AZ1019)</f>
        <v>#VALUE!</v>
      </c>
      <c r="BB1019" s="447"/>
    </row>
    <row r="1020" spans="1:54" s="446" customFormat="1" ht="11.25" hidden="1" customHeight="1" x14ac:dyDescent="0.2">
      <c r="A1020" s="235"/>
      <c r="B1020" s="236"/>
      <c r="C1020" s="29" t="str">
        <f>IF(B1020="","",IF($L$709=$BL$25,VLOOKUP(DATE(YEAR($D$19),MONTH($D$19)-1,1),ÍNDICES!$A:$DE,HLOOKUP($BL$25,ÍNDICES!$B$3:$T$4,2)+11)-VLOOKUP(B1020,ÍNDICES!$A:$DE,HLOOKUP($BL$25,ÍNDICES!$B$3:$T$4,2)+11)+1%,IF(C$712=$W$26,$J$35,IF(ISERROR(IF(B1020&gt;$D$19,1,VLOOKUP(DATE(YEAR(B1020),MONTH(B1020)+IF($C$709=$S$23,1,0),1),ÍNDICES!$A:$DE,$Z$709+1))),"",IF(B1020&gt;$D$19,1,VLOOKUP(DATE(YEAR(B1020),MONTH(B1020)+IF($C$709=$S$23,1,0),1),ÍNDICES!$A:$DE,$Z$709+1))))))</f>
        <v/>
      </c>
      <c r="D1020" s="155"/>
      <c r="E1020" s="88"/>
      <c r="F1020" s="88"/>
      <c r="G1020" s="88"/>
      <c r="H1020" s="118"/>
      <c r="I1020" s="182">
        <f t="shared" si="143"/>
        <v>0</v>
      </c>
      <c r="J1020" s="20">
        <f t="shared" ca="1" si="144"/>
        <v>0</v>
      </c>
      <c r="K1020" s="5">
        <f t="shared" ca="1" si="145"/>
        <v>0</v>
      </c>
      <c r="L1020" s="61">
        <f t="shared" ca="1" si="146"/>
        <v>0</v>
      </c>
      <c r="M1020" s="64">
        <f t="shared" si="147"/>
        <v>0</v>
      </c>
      <c r="N1020" s="151"/>
      <c r="O1020" s="5">
        <f t="shared" ca="1" si="148"/>
        <v>0</v>
      </c>
      <c r="P1020" s="446" t="e">
        <f t="shared" si="149"/>
        <v>#VALUE!</v>
      </c>
      <c r="Q1020" s="446" t="e">
        <f>IF(OR($B1020="",MIN(Q$38,$D$19)&lt;MAX($P$708*($B1020+IF($R$17="Distrato",$I$38-1,0)),IF(AND($L$711=0,$P$708=0),"",$L$711-1),IF($R$17="Distrato",$E1020,0))),0,YEARFRAC(MAX($P$708*($B1020+IF($R$17="Distrato",$I$38-1,0)),IF(AND($L$711=0,$P$708=0),"",$L$711-1),IF($R$17="Distrato",$E1020,0)),MIN(Q$38,$D$19),$P$20))-SUM($P1020:P1020)</f>
        <v>#VALUE!</v>
      </c>
      <c r="R1020" s="446" t="e">
        <f>IF(OR($B1020="",MIN(R$38,$D$19)&lt;MAX($P$708*($B1020+IF($R$17="Distrato",$I$38-1,0)),IF(AND($L$711=0,$P$708=0),"",$L$711-1),IF($R$17="Distrato",$E1020,0))),0,YEARFRAC(MAX($P$708*($B1020+IF($R$17="Distrato",$I$38-1,0)),IF(AND($L$711=0,$P$708=0),"",$L$711-1),IF($R$17="Distrato",$E1020,0)),MIN(R$38,$D$19),$P$20))-SUM($P1020:Q1020)</f>
        <v>#VALUE!</v>
      </c>
      <c r="S1020" s="446" t="e">
        <f>IF(OR($B1020="",MIN(S$38,$D$19)&lt;MAX($P$708*($B1020+IF($R$17="Distrato",$I$38-1,0)),IF(AND($L$711=0,$P$708=0),"",$L$711-1),IF($R$17="Distrato",$E1020,0))),0,YEARFRAC(MAX($P$708*($B1020+IF($R$17="Distrato",$I$38-1,0)),IF(AND($L$711=0,$P$708=0),"",$L$711-1),IF($R$17="Distrato",$E1020,0)),MIN(S$38,$D$19),$P$20))-SUM($P1020:R1020)</f>
        <v>#VALUE!</v>
      </c>
      <c r="T1020" s="446" t="e">
        <f>IF(OR($B1020="",MIN(T$38,$D$19)&lt;MAX($P$708*($B1020+IF($R$17="Distrato",$I$38-1,0)),IF(AND($L$711=0,$P$708=0),"",$L$711-1),IF($R$17="Distrato",$E1020,0))),0,YEARFRAC(MAX($P$708*($B1020+IF($R$17="Distrato",$I$38-1,0)),IF(AND($L$711=0,$P$708=0),"",$L$711-1),IF($R$17="Distrato",$E1020,0)),MIN(T$38,$D$19),$P$20))-SUM($P1020:S1020)</f>
        <v>#VALUE!</v>
      </c>
      <c r="U1020" s="446" t="e">
        <f>IF(OR($B1020="",MIN(U$38,$D$19)&lt;MAX($P$708*($B1020+IF($R$17="Distrato",$I$38-1,0)),IF(AND($L$711=0,$P$708=0),"",$L$711-1),IF($R$17="Distrato",$E1020,0))),0,YEARFRAC(MAX($P$708*($B1020+IF($R$17="Distrato",$I$38-1,0)),IF(AND($L$711=0,$P$708=0),"",$L$711-1),IF($R$17="Distrato",$E1020,0)),MIN(U$38,$D$19),$P$20))-SUM($P1020:T1020)</f>
        <v>#VALUE!</v>
      </c>
      <c r="V1020" s="446" t="e">
        <f>IF(OR($B1020="",MIN(V$38,$D$19)&lt;MAX($P$708*($B1020+IF($R$17="Distrato",$I$38-1,0)),IF(AND($L$711=0,$P$708=0),"",$L$711-1),IF($R$17="Distrato",$E1020,0))),0,YEARFRAC(MAX($P$708*($B1020+IF($R$17="Distrato",$I$38-1,0)),IF(AND($L$711=0,$P$708=0),"",$L$711-1),IF($R$17="Distrato",$E1020,0)),MIN(V$38,$D$19),$P$20))-SUM($P1020:U1020)</f>
        <v>#VALUE!</v>
      </c>
      <c r="W1020" s="446" t="e">
        <f>IF(OR($B1020="",MIN(W$38,$D$19)&lt;MAX($P$708*($B1020+IF($R$17="Distrato",$I$38-1,0)),IF(AND($L$711=0,$P$708=0),"",$L$711-1),IF($R$17="Distrato",$E1020,0))),0,YEARFRAC(MAX($P$708*($B1020+IF($R$17="Distrato",$I$38-1,0)),IF(AND($L$711=0,$P$708=0),"",$L$711-1),IF($R$17="Distrato",$E1020,0)),MIN(W$38,$D$19),$P$20))-SUM($P1020:V1020)</f>
        <v>#VALUE!</v>
      </c>
      <c r="X1020" s="446" t="e">
        <f>IF(OR($B1020="",MIN(X$38,$D$19)&lt;MAX($P$708*($B1020+IF($R$17="Distrato",$I$38-1,0)),IF(AND($L$711=0,$P$708=0),"",$L$711-1),IF($R$17="Distrato",$E1020,0))),0,YEARFRAC(MAX($P$708*($B1020+IF($R$17="Distrato",$I$38-1,0)),IF(AND($L$711=0,$P$708=0),"",$L$711-1),IF($R$17="Distrato",$E1020,0)),MIN(X$38,$D$19),$P$20))-SUM($P1020:W1020)</f>
        <v>#VALUE!</v>
      </c>
      <c r="Y1020" s="446" t="e">
        <f>IF(OR($B1020="",MIN(Y$38,$D$19)&lt;MAX($P$708*($B1020+IF($R$17="Distrato",$I$38-1,0)),IF(AND($L$711=0,$P$708=0),"",$L$711-1),IF($R$17="Distrato",$E1020,0))),0,YEARFRAC(MAX($P$708*($B1020+IF($R$17="Distrato",$I$38-1,0)),IF(AND($L$711=0,$P$708=0),"",$L$711-1),IF($R$17="Distrato",$E1020,0)),MIN(Y$38,$D$19),$P$20))-SUM($P1020:X1020)</f>
        <v>#VALUE!</v>
      </c>
      <c r="Z1020" s="446" t="e">
        <f>IF(OR($B1020="",MIN(Z$38,$D$19)&lt;MAX($P$708*($B1020+IF($R$17="Distrato",$I$38-1,0)),IF(AND($L$711=0,$P$708=0),"",$L$711-1),IF($R$17="Distrato",$E1020,0))),0,YEARFRAC(MAX($P$708*($B1020+IF($R$17="Distrato",$I$38-1,0)),IF(AND($L$711=0,$P$708=0),"",$L$711-1),IF($R$17="Distrato",$E1020,0)),MIN(Z$38,$D$19),$P$20))-SUM($P1020:Y1020)</f>
        <v>#VALUE!</v>
      </c>
      <c r="AA1020" s="446" t="e">
        <f>IF(OR($B1020="",MIN(AA$38,$D$19)&lt;MAX($P$708*($B1020+IF($R$17="Distrato",$I$38-1,0)),IF(AND($L$711=0,$P$708=0),"",$L$711-1),IF($R$17="Distrato",$E1020,0))),0,YEARFRAC(MAX($P$708*($B1020+IF($R$17="Distrato",$I$38-1,0)),IF(AND($L$711=0,$P$708=0),"",$L$711-1),IF($R$17="Distrato",$E1020,0)),MIN(AA$38,$D$19),$P$20))-SUM($P1020:Z1020)</f>
        <v>#VALUE!</v>
      </c>
      <c r="AB1020" s="446" t="e">
        <f>IF(OR($B1020="",MIN(AB$38,$D$19)&lt;MAX($P$708*($B1020+IF($R$17="Distrato",$I$38-1,0)),IF(AND($L$711=0,$P$708=0),"",$L$711-1),IF($R$17="Distrato",$E1020,0))),0,YEARFRAC(MAX($P$708*($B1020+IF($R$17="Distrato",$I$38-1,0)),IF(AND($L$711=0,$P$708=0),"",$L$711-1),IF($R$17="Distrato",$E1020,0)),MIN(AB$38,$D$19),$P$20))-SUM($P1020:AA1020)</f>
        <v>#VALUE!</v>
      </c>
      <c r="AC1020" s="446" t="e">
        <f>IF(OR($B1020="",MIN(AC$38,$D$19)&lt;MAX($P$708*($B1020+IF($R$17="Distrato",$I$38-1,0)),IF(AND($L$711=0,$P$708=0),"",$L$711-1),IF($R$17="Distrato",$E1020,0))),0,YEARFRAC(MAX($P$708*($B1020+IF($R$17="Distrato",$I$38-1,0)),IF(AND($L$711=0,$P$708=0),"",$L$711-1),IF($R$17="Distrato",$E1020,0)),MIN(AC$38,$D$19),$P$20))-SUM($P1020:AB1020)</f>
        <v>#VALUE!</v>
      </c>
      <c r="AD1020" s="446" t="e">
        <f>IF(OR($B1020="",MIN(AD$38,$D$19)&lt;MAX($P$708*($B1020+IF($R$17="Distrato",$I$38-1,0)),IF(AND($L$711=0,$P$708=0),"",$L$711-1),IF($R$17="Distrato",$E1020,0))),0,YEARFRAC(MAX($P$708*($B1020+IF($R$17="Distrato",$I$38-1,0)),IF(AND($L$711=0,$P$708=0),"",$L$711-1),IF($R$17="Distrato",$E1020,0)),MIN(AD$38,$D$19),$P$20))-SUM($P1020:AC1020)</f>
        <v>#VALUE!</v>
      </c>
      <c r="AE1020" s="446" t="e">
        <f>IF(OR($B1020="",MIN(AE$38,$D$19)&lt;MAX($P$708*($B1020+IF($R$17="Distrato",$I$38-1,0)),IF(AND($L$711=0,$P$708=0),"",$L$711-1),IF($R$17="Distrato",$E1020,0))),0,YEARFRAC(MAX($P$708*($B1020+IF($R$17="Distrato",$I$38-1,0)),IF(AND($L$711=0,$P$708=0),"",$L$711-1),IF($R$17="Distrato",$E1020,0)),MIN(AE$38,$D$19),$P$20))-SUM($P1020:AD1020)</f>
        <v>#VALUE!</v>
      </c>
      <c r="AF1020" s="446" t="e">
        <f>IF(OR($B1020="",MIN(AF$38,$D$19)&lt;MAX($P$708*($B1020+IF($R$17="Distrato",$I$38-1,0)),IF(AND($L$711=0,$P$708=0),"",$L$711-1),IF($R$17="Distrato",$E1020,0))),0,YEARFRAC(MAX($P$708*($B1020+IF($R$17="Distrato",$I$38-1,0)),IF(AND($L$711=0,$P$708=0),"",$L$711-1),IF($R$17="Distrato",$E1020,0)),MIN(AF$38,$D$19),$P$20))-SUM($P1020:AE1020)</f>
        <v>#VALUE!</v>
      </c>
      <c r="AG1020" s="446" t="e">
        <f>IF(OR($B1020="",MIN(AG$38,$D$19)&lt;MAX($P$708*($B1020+IF($R$17="Distrato",$I$38-1,0)),IF(AND($L$711=0,$P$708=0),"",$L$711-1),IF($R$17="Distrato",$E1020,0))),0,YEARFRAC(MAX($P$708*($B1020+IF($R$17="Distrato",$I$38-1,0)),IF(AND($L$711=0,$P$708=0),"",$L$711-1),IF($R$17="Distrato",$E1020,0)),MIN(AG$38,$D$19),$P$20))-SUM($P1020:AF1020)</f>
        <v>#VALUE!</v>
      </c>
      <c r="AH1020" s="446" t="e">
        <f>IF(OR($B1020="",MIN(AH$38,$D$19)&lt;MAX($P$708*($B1020+IF($R$17="Distrato",$I$38-1,0)),IF(AND($L$711=0,$P$708=0),"",$L$711-1),IF($R$17="Distrato",$E1020,0))),0,YEARFRAC(MAX($P$708*($B1020+IF($R$17="Distrato",$I$38-1,0)),IF(AND($L$711=0,$P$708=0),"",$L$711-1),IF($R$17="Distrato",$E1020,0)),MIN(AH$38,$D$19),$P$20))-SUM($P1020:AG1020)</f>
        <v>#VALUE!</v>
      </c>
      <c r="AI1020" s="446" t="e">
        <f>IF(OR($B1020="",MIN(AI$38,$D$19)&lt;MAX($P$708*($B1020+IF($R$17="Distrato",$I$38-1,0)),IF(AND($L$711=0,$P$708=0),"",$L$711-1),IF($R$17="Distrato",$E1020,0))),0,YEARFRAC(MAX($P$708*($B1020+IF($R$17="Distrato",$I$38-1,0)),IF(AND($L$711=0,$P$708=0),"",$L$711-1),IF($R$17="Distrato",$E1020,0)),MIN(AI$38,$D$19),$P$20))-SUM($P1020:AH1020)</f>
        <v>#VALUE!</v>
      </c>
      <c r="AJ1020" s="446" t="e">
        <f>IF(OR($B1020="",MIN(AJ$38,$D$19)&lt;MAX($P$708*($B1020+IF($R$17="Distrato",$I$38-1,0)),IF(AND($L$711=0,$P$708=0),"",$L$711-1),IF($R$17="Distrato",$E1020,0))),0,YEARFRAC(MAX($P$708*($B1020+IF($R$17="Distrato",$I$38-1,0)),IF(AND($L$711=0,$P$708=0),"",$L$711-1),IF($R$17="Distrato",$E1020,0)),MIN(AJ$38,$D$19),$P$20))-SUM($P1020:AI1020)</f>
        <v>#VALUE!</v>
      </c>
      <c r="AK1020" s="446" t="e">
        <f>IF(OR($B1020="",MIN(AK$38,$D$19)&lt;MAX($P$708*($B1020+IF($R$17="Distrato",$I$38-1,0)),IF(AND($L$711=0,$P$708=0),"",$L$711-1),IF($R$17="Distrato",$E1020,0))),0,YEARFRAC(MAX($P$708*($B1020+IF($R$17="Distrato",$I$38-1,0)),IF(AND($L$711=0,$P$708=0),"",$L$711-1),IF($R$17="Distrato",$E1020,0)),MIN(AK$38,$D$19),$P$20))-SUM($P1020:AJ1020)</f>
        <v>#VALUE!</v>
      </c>
      <c r="AL1020" s="446" t="e">
        <f>IF(OR($B1020="",MIN(AL$38,$D$19)&lt;MAX($P$708*($B1020+IF($R$17="Distrato",$I$38-1,0)),IF(AND($L$711=0,$P$708=0),"",$L$711-1),IF($R$17="Distrato",$E1020,0))),0,YEARFRAC(MAX($P$708*($B1020+IF($R$17="Distrato",$I$38-1,0)),IF(AND($L$711=0,$P$708=0),"",$L$711-1),IF($R$17="Distrato",$E1020,0)),MIN(AL$38,$D$19),$P$20))-SUM($P1020:AK1020)</f>
        <v>#VALUE!</v>
      </c>
      <c r="AM1020" s="446" t="e">
        <f>IF(OR($B1020="",MIN(AM$38,$D$19)&lt;MAX($P$708*($B1020+IF($R$17="Distrato",$I$38-1,0)),IF(AND($L$711=0,$P$708=0),"",$L$711-1),IF($R$17="Distrato",$E1020,0))),0,YEARFRAC(MAX($P$708*($B1020+IF($R$17="Distrato",$I$38-1,0)),IF(AND($L$711=0,$P$708=0),"",$L$711-1),IF($R$17="Distrato",$E1020,0)),MIN(AM$38,$D$19),$P$20))-SUM($P1020:AL1020)</f>
        <v>#VALUE!</v>
      </c>
      <c r="AN1020" s="446" t="e">
        <f>IF(OR($B1020="",MIN(AN$38,$D$19)&lt;MAX($P$708*($B1020+IF($R$17="Distrato",$I$38-1,0)),IF(AND($L$711=0,$P$708=0),"",$L$711-1),IF($R$17="Distrato",$E1020,0))),0,YEARFRAC(MAX($P$708*($B1020+IF($R$17="Distrato",$I$38-1,0)),IF(AND($L$711=0,$P$708=0),"",$L$711-1),IF($R$17="Distrato",$E1020,0)),MIN(AN$38,$D$19),$P$20))-SUM($P1020:AM1020)</f>
        <v>#VALUE!</v>
      </c>
      <c r="AO1020" s="446" t="e">
        <f>IF(OR($B1020="",MIN(AO$38,$D$19)&lt;MAX($P$708*($B1020+IF($R$17="Distrato",$I$38-1,0)),IF(AND($L$711=0,$P$708=0),"",$L$711-1),IF($R$17="Distrato",$E1020,0))),0,YEARFRAC(MAX($P$708*($B1020+IF($R$17="Distrato",$I$38-1,0)),IF(AND($L$711=0,$P$708=0),"",$L$711-1),IF($R$17="Distrato",$E1020,0)),MIN(AO$38,$D$19),$P$20))-SUM($P1020:AN1020)</f>
        <v>#VALUE!</v>
      </c>
      <c r="AP1020" s="446" t="e">
        <f>IF(OR($B1020="",MIN(AP$38,$D$19)&lt;MAX($P$708*($B1020+IF($R$17="Distrato",$I$38-1,0)),IF(AND($L$711=0,$P$708=0),"",$L$711-1),IF($R$17="Distrato",$E1020,0))),0,YEARFRAC(MAX($P$708*($B1020+IF($R$17="Distrato",$I$38-1,0)),IF(AND($L$711=0,$P$708=0),"",$L$711-1),IF($R$17="Distrato",$E1020,0)),MIN(AP$38,$D$19),$P$20))-SUM($P1020:AO1020)</f>
        <v>#VALUE!</v>
      </c>
      <c r="AQ1020" s="446" t="e">
        <f>IF(OR($B1020="",MIN(AQ$38,$D$19)&lt;MAX($P$708*($B1020+IF($R$17="Distrato",$I$38-1,0)),IF(AND($L$711=0,$P$708=0),"",$L$711-1),IF($R$17="Distrato",$E1020,0))),0,YEARFRAC(MAX($P$708*($B1020+IF($R$17="Distrato",$I$38-1,0)),IF(AND($L$711=0,$P$708=0),"",$L$711-1),IF($R$17="Distrato",$E1020,0)),MIN(AQ$38,$D$19),$P$20))-SUM($P1020:AP1020)</f>
        <v>#VALUE!</v>
      </c>
      <c r="AR1020" s="446" t="e">
        <f>IF(OR($B1020="",MIN(AR$38,$D$19)&lt;MAX($P$708*($B1020+IF($R$17="Distrato",$I$38-1,0)),IF(AND($L$711=0,$P$708=0),"",$L$711-1),IF($R$17="Distrato",$E1020,0))),0,YEARFRAC(MAX($P$708*($B1020+IF($R$17="Distrato",$I$38-1,0)),IF(AND($L$711=0,$P$708=0),"",$L$711-1),IF($R$17="Distrato",$E1020,0)),MIN(AR$38,$D$19),$P$20))-SUM($P1020:AQ1020)</f>
        <v>#VALUE!</v>
      </c>
      <c r="AS1020" s="446" t="e">
        <f>IF(OR($B1020="",MIN(AS$38,$D$19)&lt;MAX($P$708*($B1020+IF($R$17="Distrato",$I$38-1,0)),IF(AND($L$711=0,$P$708=0),"",$L$711-1),IF($R$17="Distrato",$E1020,0))),0,YEARFRAC(MAX($P$708*($B1020+IF($R$17="Distrato",$I$38-1,0)),IF(AND($L$711=0,$P$708=0),"",$L$711-1),IF($R$17="Distrato",$E1020,0)),MIN(AS$38,$D$19),$P$20))-SUM($P1020:AR1020)</f>
        <v>#VALUE!</v>
      </c>
      <c r="AT1020" s="446" t="e">
        <f>IF(OR($B1020="",MIN(AT$38,$D$19)&lt;MAX($P$708*($B1020+IF($R$17="Distrato",$I$38-1,0)),IF(AND($L$711=0,$P$708=0),"",$L$711-1),IF($R$17="Distrato",$E1020,0))),0,YEARFRAC(MAX($P$708*($B1020+IF($R$17="Distrato",$I$38-1,0)),IF(AND($L$711=0,$P$708=0),"",$L$711-1),IF($R$17="Distrato",$E1020,0)),MIN(AT$38,$D$19),$P$20))-SUM($P1020:AS1020)</f>
        <v>#VALUE!</v>
      </c>
      <c r="AU1020" s="446" t="e">
        <f>IF(OR($B1020="",MIN(AU$38,$D$19)&lt;MAX($P$708*($B1020+IF($R$17="Distrato",$I$38-1,0)),IF(AND($L$711=0,$P$708=0),"",$L$711-1),IF($R$17="Distrato",$E1020,0))),0,YEARFRAC(MAX($P$708*($B1020+IF($R$17="Distrato",$I$38-1,0)),IF(AND($L$711=0,$P$708=0),"",$L$711-1),IF($R$17="Distrato",$E1020,0)),MIN(AU$38,$D$19),$P$20))-SUM($P1020:AT1020)</f>
        <v>#VALUE!</v>
      </c>
      <c r="AV1020" s="446" t="e">
        <f>IF(OR($B1020="",MIN(AV$38,$D$19)&lt;MAX($P$708*($B1020+IF($R$17="Distrato",$I$38-1,0)),IF(AND($L$711=0,$P$708=0),"",$L$711-1),IF($R$17="Distrato",$E1020,0))),0,YEARFRAC(MAX($P$708*($B1020+IF($R$17="Distrato",$I$38-1,0)),IF(AND($L$711=0,$P$708=0),"",$L$711-1),IF($R$17="Distrato",$E1020,0)),MIN(AV$38,$D$19),$P$20))-SUM($P1020:AU1020)</f>
        <v>#VALUE!</v>
      </c>
      <c r="AW1020" s="446" t="e">
        <f>IF(OR($B1020="",MIN(AW$38,$D$19)&lt;MAX($P$708*($B1020+IF($R$17="Distrato",$I$38-1,0)),IF(AND($L$711=0,$P$708=0),"",$L$711-1),IF($R$17="Distrato",$E1020,0))),0,YEARFRAC(MAX($P$708*($B1020+IF($R$17="Distrato",$I$38-1,0)),IF(AND($L$711=0,$P$708=0),"",$L$711-1),IF($R$17="Distrato",$E1020,0)),MIN(AW$38,$D$19),$P$20))-SUM($P1020:AV1020)</f>
        <v>#VALUE!</v>
      </c>
      <c r="AX1020" s="446" t="e">
        <f>IF(OR($B1020="",MIN(AX$38,$D$19)&lt;MAX($P$708*($B1020+IF($R$17="Distrato",$I$38-1,0)),IF(AND($L$711=0,$P$708=0),"",$L$711-1),IF($R$17="Distrato",$E1020,0))),0,YEARFRAC(MAX($P$708*($B1020+IF($R$17="Distrato",$I$38-1,0)),IF(AND($L$711=0,$P$708=0),"",$L$711-1),IF($R$17="Distrato",$E1020,0)),MIN(AX$38,$D$19),$P$20))-SUM($P1020:AW1020)</f>
        <v>#VALUE!</v>
      </c>
      <c r="AY1020" s="446" t="e">
        <f>IF(OR($B1020="",MIN(AY$38,$D$19)&lt;MAX($P$708*($B1020+IF($R$17="Distrato",$I$38-1,0)),IF(AND($L$711=0,$P$708=0),"",$L$711-1),IF($R$17="Distrato",$E1020,0))),0,YEARFRAC(MAX($P$708*($B1020+IF($R$17="Distrato",$I$38-1,0)),IF(AND($L$711=0,$P$708=0),"",$L$711-1),IF($R$17="Distrato",$E1020,0)),MIN(AY$38,$D$19),$P$20))-SUM($P1020:AX1020)</f>
        <v>#VALUE!</v>
      </c>
      <c r="AZ1020" s="446" t="e">
        <f>IF(OR($B1020="",MIN(AZ$38,$D$19)&lt;MAX($P$708*($B1020+IF($R$17="Distrato",$I$38-1,0)),IF(AND($L$711=0,$P$708=0),"",$L$711-1),IF($R$17="Distrato",$E1020,0))),0,YEARFRAC(MAX($P$708*($B1020+IF($R$17="Distrato",$I$38-1,0)),IF(AND($L$711=0,$P$708=0),"",$L$711-1),IF($R$17="Distrato",$E1020,0)),MIN(AZ$38,$D$19),$P$20))-SUM($P1020:AY1020)</f>
        <v>#VALUE!</v>
      </c>
      <c r="BA1020" s="446" t="e">
        <f>IF(OR($B1020="",MIN(BA$38,$D$19)&lt;MAX($P$708*($B1020+IF($R$17="Distrato",$I$38-1,0)),IF(AND($L$711=0,$P$708=0),"",$L$711-1),IF($R$17="Distrato",$E1020,0))),0,YEARFRAC(MAX($P$708*($B1020+IF($R$17="Distrato",$I$38-1,0)),IF(AND($L$711=0,$P$708=0),"",$L$711-1),IF($R$17="Distrato",$E1020,0)),MIN(BA$38,$D$19),$P$20))-SUM($P1020:AZ1020)</f>
        <v>#VALUE!</v>
      </c>
      <c r="BB1020" s="447"/>
    </row>
    <row r="1021" spans="1:54" s="446" customFormat="1" ht="11.25" hidden="1" customHeight="1" x14ac:dyDescent="0.2">
      <c r="A1021" s="235"/>
      <c r="B1021" s="236"/>
      <c r="C1021" s="29" t="str">
        <f>IF(B1021="","",IF($L$709=$BL$25,VLOOKUP(DATE(YEAR($D$19),MONTH($D$19)-1,1),ÍNDICES!$A:$DE,HLOOKUP($BL$25,ÍNDICES!$B$3:$T$4,2)+11)-VLOOKUP(B1021,ÍNDICES!$A:$DE,HLOOKUP($BL$25,ÍNDICES!$B$3:$T$4,2)+11)+1%,IF(C$712=$W$26,$J$35,IF(ISERROR(IF(B1021&gt;$D$19,1,VLOOKUP(DATE(YEAR(B1021),MONTH(B1021)+IF($C$709=$S$23,1,0),1),ÍNDICES!$A:$DE,$Z$709+1))),"",IF(B1021&gt;$D$19,1,VLOOKUP(DATE(YEAR(B1021),MONTH(B1021)+IF($C$709=$S$23,1,0),1),ÍNDICES!$A:$DE,$Z$709+1))))))</f>
        <v/>
      </c>
      <c r="D1021" s="155"/>
      <c r="E1021" s="88"/>
      <c r="F1021" s="88"/>
      <c r="G1021" s="88"/>
      <c r="H1021" s="118"/>
      <c r="I1021" s="182">
        <f t="shared" si="143"/>
        <v>0</v>
      </c>
      <c r="J1021" s="20">
        <f t="shared" ca="1" si="144"/>
        <v>0</v>
      </c>
      <c r="K1021" s="5">
        <f t="shared" ca="1" si="145"/>
        <v>0</v>
      </c>
      <c r="L1021" s="61">
        <f t="shared" ca="1" si="146"/>
        <v>0</v>
      </c>
      <c r="M1021" s="64">
        <f t="shared" si="147"/>
        <v>0</v>
      </c>
      <c r="N1021" s="151"/>
      <c r="O1021" s="5">
        <f t="shared" ca="1" si="148"/>
        <v>0</v>
      </c>
      <c r="P1021" s="446" t="e">
        <f t="shared" si="149"/>
        <v>#VALUE!</v>
      </c>
      <c r="Q1021" s="446" t="e">
        <f>IF(OR($B1021="",MIN(Q$38,$D$19)&lt;MAX($P$708*($B1021+IF($R$17="Distrato",$I$38-1,0)),IF(AND($L$711=0,$P$708=0),"",$L$711-1),IF($R$17="Distrato",$E1021,0))),0,YEARFRAC(MAX($P$708*($B1021+IF($R$17="Distrato",$I$38-1,0)),IF(AND($L$711=0,$P$708=0),"",$L$711-1),IF($R$17="Distrato",$E1021,0)),MIN(Q$38,$D$19),$P$20))-SUM($P1021:P1021)</f>
        <v>#VALUE!</v>
      </c>
      <c r="R1021" s="446" t="e">
        <f>IF(OR($B1021="",MIN(R$38,$D$19)&lt;MAX($P$708*($B1021+IF($R$17="Distrato",$I$38-1,0)),IF(AND($L$711=0,$P$708=0),"",$L$711-1),IF($R$17="Distrato",$E1021,0))),0,YEARFRAC(MAX($P$708*($B1021+IF($R$17="Distrato",$I$38-1,0)),IF(AND($L$711=0,$P$708=0),"",$L$711-1),IF($R$17="Distrato",$E1021,0)),MIN(R$38,$D$19),$P$20))-SUM($P1021:Q1021)</f>
        <v>#VALUE!</v>
      </c>
      <c r="S1021" s="446" t="e">
        <f>IF(OR($B1021="",MIN(S$38,$D$19)&lt;MAX($P$708*($B1021+IF($R$17="Distrato",$I$38-1,0)),IF(AND($L$711=0,$P$708=0),"",$L$711-1),IF($R$17="Distrato",$E1021,0))),0,YEARFRAC(MAX($P$708*($B1021+IF($R$17="Distrato",$I$38-1,0)),IF(AND($L$711=0,$P$708=0),"",$L$711-1),IF($R$17="Distrato",$E1021,0)),MIN(S$38,$D$19),$P$20))-SUM($P1021:R1021)</f>
        <v>#VALUE!</v>
      </c>
      <c r="T1021" s="446" t="e">
        <f>IF(OR($B1021="",MIN(T$38,$D$19)&lt;MAX($P$708*($B1021+IF($R$17="Distrato",$I$38-1,0)),IF(AND($L$711=0,$P$708=0),"",$L$711-1),IF($R$17="Distrato",$E1021,0))),0,YEARFRAC(MAX($P$708*($B1021+IF($R$17="Distrato",$I$38-1,0)),IF(AND($L$711=0,$P$708=0),"",$L$711-1),IF($R$17="Distrato",$E1021,0)),MIN(T$38,$D$19),$P$20))-SUM($P1021:S1021)</f>
        <v>#VALUE!</v>
      </c>
      <c r="U1021" s="446" t="e">
        <f>IF(OR($B1021="",MIN(U$38,$D$19)&lt;MAX($P$708*($B1021+IF($R$17="Distrato",$I$38-1,0)),IF(AND($L$711=0,$P$708=0),"",$L$711-1),IF($R$17="Distrato",$E1021,0))),0,YEARFRAC(MAX($P$708*($B1021+IF($R$17="Distrato",$I$38-1,0)),IF(AND($L$711=0,$P$708=0),"",$L$711-1),IF($R$17="Distrato",$E1021,0)),MIN(U$38,$D$19),$P$20))-SUM($P1021:T1021)</f>
        <v>#VALUE!</v>
      </c>
      <c r="V1021" s="446" t="e">
        <f>IF(OR($B1021="",MIN(V$38,$D$19)&lt;MAX($P$708*($B1021+IF($R$17="Distrato",$I$38-1,0)),IF(AND($L$711=0,$P$708=0),"",$L$711-1),IF($R$17="Distrato",$E1021,0))),0,YEARFRAC(MAX($P$708*($B1021+IF($R$17="Distrato",$I$38-1,0)),IF(AND($L$711=0,$P$708=0),"",$L$711-1),IF($R$17="Distrato",$E1021,0)),MIN(V$38,$D$19),$P$20))-SUM($P1021:U1021)</f>
        <v>#VALUE!</v>
      </c>
      <c r="W1021" s="446" t="e">
        <f>IF(OR($B1021="",MIN(W$38,$D$19)&lt;MAX($P$708*($B1021+IF($R$17="Distrato",$I$38-1,0)),IF(AND($L$711=0,$P$708=0),"",$L$711-1),IF($R$17="Distrato",$E1021,0))),0,YEARFRAC(MAX($P$708*($B1021+IF($R$17="Distrato",$I$38-1,0)),IF(AND($L$711=0,$P$708=0),"",$L$711-1),IF($R$17="Distrato",$E1021,0)),MIN(W$38,$D$19),$P$20))-SUM($P1021:V1021)</f>
        <v>#VALUE!</v>
      </c>
      <c r="X1021" s="446" t="e">
        <f>IF(OR($B1021="",MIN(X$38,$D$19)&lt;MAX($P$708*($B1021+IF($R$17="Distrato",$I$38-1,0)),IF(AND($L$711=0,$P$708=0),"",$L$711-1),IF($R$17="Distrato",$E1021,0))),0,YEARFRAC(MAX($P$708*($B1021+IF($R$17="Distrato",$I$38-1,0)),IF(AND($L$711=0,$P$708=0),"",$L$711-1),IF($R$17="Distrato",$E1021,0)),MIN(X$38,$D$19),$P$20))-SUM($P1021:W1021)</f>
        <v>#VALUE!</v>
      </c>
      <c r="Y1021" s="446" t="e">
        <f>IF(OR($B1021="",MIN(Y$38,$D$19)&lt;MAX($P$708*($B1021+IF($R$17="Distrato",$I$38-1,0)),IF(AND($L$711=0,$P$708=0),"",$L$711-1),IF($R$17="Distrato",$E1021,0))),0,YEARFRAC(MAX($P$708*($B1021+IF($R$17="Distrato",$I$38-1,0)),IF(AND($L$711=0,$P$708=0),"",$L$711-1),IF($R$17="Distrato",$E1021,0)),MIN(Y$38,$D$19),$P$20))-SUM($P1021:X1021)</f>
        <v>#VALUE!</v>
      </c>
      <c r="Z1021" s="446" t="e">
        <f>IF(OR($B1021="",MIN(Z$38,$D$19)&lt;MAX($P$708*($B1021+IF($R$17="Distrato",$I$38-1,0)),IF(AND($L$711=0,$P$708=0),"",$L$711-1),IF($R$17="Distrato",$E1021,0))),0,YEARFRAC(MAX($P$708*($B1021+IF($R$17="Distrato",$I$38-1,0)),IF(AND($L$711=0,$P$708=0),"",$L$711-1),IF($R$17="Distrato",$E1021,0)),MIN(Z$38,$D$19),$P$20))-SUM($P1021:Y1021)</f>
        <v>#VALUE!</v>
      </c>
      <c r="AA1021" s="446" t="e">
        <f>IF(OR($B1021="",MIN(AA$38,$D$19)&lt;MAX($P$708*($B1021+IF($R$17="Distrato",$I$38-1,0)),IF(AND($L$711=0,$P$708=0),"",$L$711-1),IF($R$17="Distrato",$E1021,0))),0,YEARFRAC(MAX($P$708*($B1021+IF($R$17="Distrato",$I$38-1,0)),IF(AND($L$711=0,$P$708=0),"",$L$711-1),IF($R$17="Distrato",$E1021,0)),MIN(AA$38,$D$19),$P$20))-SUM($P1021:Z1021)</f>
        <v>#VALUE!</v>
      </c>
      <c r="AB1021" s="446" t="e">
        <f>IF(OR($B1021="",MIN(AB$38,$D$19)&lt;MAX($P$708*($B1021+IF($R$17="Distrato",$I$38-1,0)),IF(AND($L$711=0,$P$708=0),"",$L$711-1),IF($R$17="Distrato",$E1021,0))),0,YEARFRAC(MAX($P$708*($B1021+IF($R$17="Distrato",$I$38-1,0)),IF(AND($L$711=0,$P$708=0),"",$L$711-1),IF($R$17="Distrato",$E1021,0)),MIN(AB$38,$D$19),$P$20))-SUM($P1021:AA1021)</f>
        <v>#VALUE!</v>
      </c>
      <c r="AC1021" s="446" t="e">
        <f>IF(OR($B1021="",MIN(AC$38,$D$19)&lt;MAX($P$708*($B1021+IF($R$17="Distrato",$I$38-1,0)),IF(AND($L$711=0,$P$708=0),"",$L$711-1),IF($R$17="Distrato",$E1021,0))),0,YEARFRAC(MAX($P$708*($B1021+IF($R$17="Distrato",$I$38-1,0)),IF(AND($L$711=0,$P$708=0),"",$L$711-1),IF($R$17="Distrato",$E1021,0)),MIN(AC$38,$D$19),$P$20))-SUM($P1021:AB1021)</f>
        <v>#VALUE!</v>
      </c>
      <c r="AD1021" s="446" t="e">
        <f>IF(OR($B1021="",MIN(AD$38,$D$19)&lt;MAX($P$708*($B1021+IF($R$17="Distrato",$I$38-1,0)),IF(AND($L$711=0,$P$708=0),"",$L$711-1),IF($R$17="Distrato",$E1021,0))),0,YEARFRAC(MAX($P$708*($B1021+IF($R$17="Distrato",$I$38-1,0)),IF(AND($L$711=0,$P$708=0),"",$L$711-1),IF($R$17="Distrato",$E1021,0)),MIN(AD$38,$D$19),$P$20))-SUM($P1021:AC1021)</f>
        <v>#VALUE!</v>
      </c>
      <c r="AE1021" s="446" t="e">
        <f>IF(OR($B1021="",MIN(AE$38,$D$19)&lt;MAX($P$708*($B1021+IF($R$17="Distrato",$I$38-1,0)),IF(AND($L$711=0,$P$708=0),"",$L$711-1),IF($R$17="Distrato",$E1021,0))),0,YEARFRAC(MAX($P$708*($B1021+IF($R$17="Distrato",$I$38-1,0)),IF(AND($L$711=0,$P$708=0),"",$L$711-1),IF($R$17="Distrato",$E1021,0)),MIN(AE$38,$D$19),$P$20))-SUM($P1021:AD1021)</f>
        <v>#VALUE!</v>
      </c>
      <c r="AF1021" s="446" t="e">
        <f>IF(OR($B1021="",MIN(AF$38,$D$19)&lt;MAX($P$708*($B1021+IF($R$17="Distrato",$I$38-1,0)),IF(AND($L$711=0,$P$708=0),"",$L$711-1),IF($R$17="Distrato",$E1021,0))),0,YEARFRAC(MAX($P$708*($B1021+IF($R$17="Distrato",$I$38-1,0)),IF(AND($L$711=0,$P$708=0),"",$L$711-1),IF($R$17="Distrato",$E1021,0)),MIN(AF$38,$D$19),$P$20))-SUM($P1021:AE1021)</f>
        <v>#VALUE!</v>
      </c>
      <c r="AG1021" s="446" t="e">
        <f>IF(OR($B1021="",MIN(AG$38,$D$19)&lt;MAX($P$708*($B1021+IF($R$17="Distrato",$I$38-1,0)),IF(AND($L$711=0,$P$708=0),"",$L$711-1),IF($R$17="Distrato",$E1021,0))),0,YEARFRAC(MAX($P$708*($B1021+IF($R$17="Distrato",$I$38-1,0)),IF(AND($L$711=0,$P$708=0),"",$L$711-1),IF($R$17="Distrato",$E1021,0)),MIN(AG$38,$D$19),$P$20))-SUM($P1021:AF1021)</f>
        <v>#VALUE!</v>
      </c>
      <c r="AH1021" s="446" t="e">
        <f>IF(OR($B1021="",MIN(AH$38,$D$19)&lt;MAX($P$708*($B1021+IF($R$17="Distrato",$I$38-1,0)),IF(AND($L$711=0,$P$708=0),"",$L$711-1),IF($R$17="Distrato",$E1021,0))),0,YEARFRAC(MAX($P$708*($B1021+IF($R$17="Distrato",$I$38-1,0)),IF(AND($L$711=0,$P$708=0),"",$L$711-1),IF($R$17="Distrato",$E1021,0)),MIN(AH$38,$D$19),$P$20))-SUM($P1021:AG1021)</f>
        <v>#VALUE!</v>
      </c>
      <c r="AI1021" s="446" t="e">
        <f>IF(OR($B1021="",MIN(AI$38,$D$19)&lt;MAX($P$708*($B1021+IF($R$17="Distrato",$I$38-1,0)),IF(AND($L$711=0,$P$708=0),"",$L$711-1),IF($R$17="Distrato",$E1021,0))),0,YEARFRAC(MAX($P$708*($B1021+IF($R$17="Distrato",$I$38-1,0)),IF(AND($L$711=0,$P$708=0),"",$L$711-1),IF($R$17="Distrato",$E1021,0)),MIN(AI$38,$D$19),$P$20))-SUM($P1021:AH1021)</f>
        <v>#VALUE!</v>
      </c>
      <c r="AJ1021" s="446" t="e">
        <f>IF(OR($B1021="",MIN(AJ$38,$D$19)&lt;MAX($P$708*($B1021+IF($R$17="Distrato",$I$38-1,0)),IF(AND($L$711=0,$P$708=0),"",$L$711-1),IF($R$17="Distrato",$E1021,0))),0,YEARFRAC(MAX($P$708*($B1021+IF($R$17="Distrato",$I$38-1,0)),IF(AND($L$711=0,$P$708=0),"",$L$711-1),IF($R$17="Distrato",$E1021,0)),MIN(AJ$38,$D$19),$P$20))-SUM($P1021:AI1021)</f>
        <v>#VALUE!</v>
      </c>
      <c r="AK1021" s="446" t="e">
        <f>IF(OR($B1021="",MIN(AK$38,$D$19)&lt;MAX($P$708*($B1021+IF($R$17="Distrato",$I$38-1,0)),IF(AND($L$711=0,$P$708=0),"",$L$711-1),IF($R$17="Distrato",$E1021,0))),0,YEARFRAC(MAX($P$708*($B1021+IF($R$17="Distrato",$I$38-1,0)),IF(AND($L$711=0,$P$708=0),"",$L$711-1),IF($R$17="Distrato",$E1021,0)),MIN(AK$38,$D$19),$P$20))-SUM($P1021:AJ1021)</f>
        <v>#VALUE!</v>
      </c>
      <c r="AL1021" s="446" t="e">
        <f>IF(OR($B1021="",MIN(AL$38,$D$19)&lt;MAX($P$708*($B1021+IF($R$17="Distrato",$I$38-1,0)),IF(AND($L$711=0,$P$708=0),"",$L$711-1),IF($R$17="Distrato",$E1021,0))),0,YEARFRAC(MAX($P$708*($B1021+IF($R$17="Distrato",$I$38-1,0)),IF(AND($L$711=0,$P$708=0),"",$L$711-1),IF($R$17="Distrato",$E1021,0)),MIN(AL$38,$D$19),$P$20))-SUM($P1021:AK1021)</f>
        <v>#VALUE!</v>
      </c>
      <c r="AM1021" s="446" t="e">
        <f>IF(OR($B1021="",MIN(AM$38,$D$19)&lt;MAX($P$708*($B1021+IF($R$17="Distrato",$I$38-1,0)),IF(AND($L$711=0,$P$708=0),"",$L$711-1),IF($R$17="Distrato",$E1021,0))),0,YEARFRAC(MAX($P$708*($B1021+IF($R$17="Distrato",$I$38-1,0)),IF(AND($L$711=0,$P$708=0),"",$L$711-1),IF($R$17="Distrato",$E1021,0)),MIN(AM$38,$D$19),$P$20))-SUM($P1021:AL1021)</f>
        <v>#VALUE!</v>
      </c>
      <c r="AN1021" s="446" t="e">
        <f>IF(OR($B1021="",MIN(AN$38,$D$19)&lt;MAX($P$708*($B1021+IF($R$17="Distrato",$I$38-1,0)),IF(AND($L$711=0,$P$708=0),"",$L$711-1),IF($R$17="Distrato",$E1021,0))),0,YEARFRAC(MAX($P$708*($B1021+IF($R$17="Distrato",$I$38-1,0)),IF(AND($L$711=0,$P$708=0),"",$L$711-1),IF($R$17="Distrato",$E1021,0)),MIN(AN$38,$D$19),$P$20))-SUM($P1021:AM1021)</f>
        <v>#VALUE!</v>
      </c>
      <c r="AO1021" s="446" t="e">
        <f>IF(OR($B1021="",MIN(AO$38,$D$19)&lt;MAX($P$708*($B1021+IF($R$17="Distrato",$I$38-1,0)),IF(AND($L$711=0,$P$708=0),"",$L$711-1),IF($R$17="Distrato",$E1021,0))),0,YEARFRAC(MAX($P$708*($B1021+IF($R$17="Distrato",$I$38-1,0)),IF(AND($L$711=0,$P$708=0),"",$L$711-1),IF($R$17="Distrato",$E1021,0)),MIN(AO$38,$D$19),$P$20))-SUM($P1021:AN1021)</f>
        <v>#VALUE!</v>
      </c>
      <c r="AP1021" s="446" t="e">
        <f>IF(OR($B1021="",MIN(AP$38,$D$19)&lt;MAX($P$708*($B1021+IF($R$17="Distrato",$I$38-1,0)),IF(AND($L$711=0,$P$708=0),"",$L$711-1),IF($R$17="Distrato",$E1021,0))),0,YEARFRAC(MAX($P$708*($B1021+IF($R$17="Distrato",$I$38-1,0)),IF(AND($L$711=0,$P$708=0),"",$L$711-1),IF($R$17="Distrato",$E1021,0)),MIN(AP$38,$D$19),$P$20))-SUM($P1021:AO1021)</f>
        <v>#VALUE!</v>
      </c>
      <c r="AQ1021" s="446" t="e">
        <f>IF(OR($B1021="",MIN(AQ$38,$D$19)&lt;MAX($P$708*($B1021+IF($R$17="Distrato",$I$38-1,0)),IF(AND($L$711=0,$P$708=0),"",$L$711-1),IF($R$17="Distrato",$E1021,0))),0,YEARFRAC(MAX($P$708*($B1021+IF($R$17="Distrato",$I$38-1,0)),IF(AND($L$711=0,$P$708=0),"",$L$711-1),IF($R$17="Distrato",$E1021,0)),MIN(AQ$38,$D$19),$P$20))-SUM($P1021:AP1021)</f>
        <v>#VALUE!</v>
      </c>
      <c r="AR1021" s="446" t="e">
        <f>IF(OR($B1021="",MIN(AR$38,$D$19)&lt;MAX($P$708*($B1021+IF($R$17="Distrato",$I$38-1,0)),IF(AND($L$711=0,$P$708=0),"",$L$711-1),IF($R$17="Distrato",$E1021,0))),0,YEARFRAC(MAX($P$708*($B1021+IF($R$17="Distrato",$I$38-1,0)),IF(AND($L$711=0,$P$708=0),"",$L$711-1),IF($R$17="Distrato",$E1021,0)),MIN(AR$38,$D$19),$P$20))-SUM($P1021:AQ1021)</f>
        <v>#VALUE!</v>
      </c>
      <c r="AS1021" s="446" t="e">
        <f>IF(OR($B1021="",MIN(AS$38,$D$19)&lt;MAX($P$708*($B1021+IF($R$17="Distrato",$I$38-1,0)),IF(AND($L$711=0,$P$708=0),"",$L$711-1),IF($R$17="Distrato",$E1021,0))),0,YEARFRAC(MAX($P$708*($B1021+IF($R$17="Distrato",$I$38-1,0)),IF(AND($L$711=0,$P$708=0),"",$L$711-1),IF($R$17="Distrato",$E1021,0)),MIN(AS$38,$D$19),$P$20))-SUM($P1021:AR1021)</f>
        <v>#VALUE!</v>
      </c>
      <c r="AT1021" s="446" t="e">
        <f>IF(OR($B1021="",MIN(AT$38,$D$19)&lt;MAX($P$708*($B1021+IF($R$17="Distrato",$I$38-1,0)),IF(AND($L$711=0,$P$708=0),"",$L$711-1),IF($R$17="Distrato",$E1021,0))),0,YEARFRAC(MAX($P$708*($B1021+IF($R$17="Distrato",$I$38-1,0)),IF(AND($L$711=0,$P$708=0),"",$L$711-1),IF($R$17="Distrato",$E1021,0)),MIN(AT$38,$D$19),$P$20))-SUM($P1021:AS1021)</f>
        <v>#VALUE!</v>
      </c>
      <c r="AU1021" s="446" t="e">
        <f>IF(OR($B1021="",MIN(AU$38,$D$19)&lt;MAX($P$708*($B1021+IF($R$17="Distrato",$I$38-1,0)),IF(AND($L$711=0,$P$708=0),"",$L$711-1),IF($R$17="Distrato",$E1021,0))),0,YEARFRAC(MAX($P$708*($B1021+IF($R$17="Distrato",$I$38-1,0)),IF(AND($L$711=0,$P$708=0),"",$L$711-1),IF($R$17="Distrato",$E1021,0)),MIN(AU$38,$D$19),$P$20))-SUM($P1021:AT1021)</f>
        <v>#VALUE!</v>
      </c>
      <c r="AV1021" s="446" t="e">
        <f>IF(OR($B1021="",MIN(AV$38,$D$19)&lt;MAX($P$708*($B1021+IF($R$17="Distrato",$I$38-1,0)),IF(AND($L$711=0,$P$708=0),"",$L$711-1),IF($R$17="Distrato",$E1021,0))),0,YEARFRAC(MAX($P$708*($B1021+IF($R$17="Distrato",$I$38-1,0)),IF(AND($L$711=0,$P$708=0),"",$L$711-1),IF($R$17="Distrato",$E1021,0)),MIN(AV$38,$D$19),$P$20))-SUM($P1021:AU1021)</f>
        <v>#VALUE!</v>
      </c>
      <c r="AW1021" s="446" t="e">
        <f>IF(OR($B1021="",MIN(AW$38,$D$19)&lt;MAX($P$708*($B1021+IF($R$17="Distrato",$I$38-1,0)),IF(AND($L$711=0,$P$708=0),"",$L$711-1),IF($R$17="Distrato",$E1021,0))),0,YEARFRAC(MAX($P$708*($B1021+IF($R$17="Distrato",$I$38-1,0)),IF(AND($L$711=0,$P$708=0),"",$L$711-1),IF($R$17="Distrato",$E1021,0)),MIN(AW$38,$D$19),$P$20))-SUM($P1021:AV1021)</f>
        <v>#VALUE!</v>
      </c>
      <c r="AX1021" s="446" t="e">
        <f>IF(OR($B1021="",MIN(AX$38,$D$19)&lt;MAX($P$708*($B1021+IF($R$17="Distrato",$I$38-1,0)),IF(AND($L$711=0,$P$708=0),"",$L$711-1),IF($R$17="Distrato",$E1021,0))),0,YEARFRAC(MAX($P$708*($B1021+IF($R$17="Distrato",$I$38-1,0)),IF(AND($L$711=0,$P$708=0),"",$L$711-1),IF($R$17="Distrato",$E1021,0)),MIN(AX$38,$D$19),$P$20))-SUM($P1021:AW1021)</f>
        <v>#VALUE!</v>
      </c>
      <c r="AY1021" s="446" t="e">
        <f>IF(OR($B1021="",MIN(AY$38,$D$19)&lt;MAX($P$708*($B1021+IF($R$17="Distrato",$I$38-1,0)),IF(AND($L$711=0,$P$708=0),"",$L$711-1),IF($R$17="Distrato",$E1021,0))),0,YEARFRAC(MAX($P$708*($B1021+IF($R$17="Distrato",$I$38-1,0)),IF(AND($L$711=0,$P$708=0),"",$L$711-1),IF($R$17="Distrato",$E1021,0)),MIN(AY$38,$D$19),$P$20))-SUM($P1021:AX1021)</f>
        <v>#VALUE!</v>
      </c>
      <c r="AZ1021" s="446" t="e">
        <f>IF(OR($B1021="",MIN(AZ$38,$D$19)&lt;MAX($P$708*($B1021+IF($R$17="Distrato",$I$38-1,0)),IF(AND($L$711=0,$P$708=0),"",$L$711-1),IF($R$17="Distrato",$E1021,0))),0,YEARFRAC(MAX($P$708*($B1021+IF($R$17="Distrato",$I$38-1,0)),IF(AND($L$711=0,$P$708=0),"",$L$711-1),IF($R$17="Distrato",$E1021,0)),MIN(AZ$38,$D$19),$P$20))-SUM($P1021:AY1021)</f>
        <v>#VALUE!</v>
      </c>
      <c r="BA1021" s="446" t="e">
        <f>IF(OR($B1021="",MIN(BA$38,$D$19)&lt;MAX($P$708*($B1021+IF($R$17="Distrato",$I$38-1,0)),IF(AND($L$711=0,$P$708=0),"",$L$711-1),IF($R$17="Distrato",$E1021,0))),0,YEARFRAC(MAX($P$708*($B1021+IF($R$17="Distrato",$I$38-1,0)),IF(AND($L$711=0,$P$708=0),"",$L$711-1),IF($R$17="Distrato",$E1021,0)),MIN(BA$38,$D$19),$P$20))-SUM($P1021:AZ1021)</f>
        <v>#VALUE!</v>
      </c>
      <c r="BB1021" s="447"/>
    </row>
    <row r="1022" spans="1:54" s="446" customFormat="1" ht="11.25" hidden="1" customHeight="1" x14ac:dyDescent="0.2">
      <c r="A1022" s="235"/>
      <c r="B1022" s="236"/>
      <c r="C1022" s="29" t="str">
        <f>IF(B1022="","",IF($L$709=$BL$25,VLOOKUP(DATE(YEAR($D$19),MONTH($D$19)-1,1),ÍNDICES!$A:$DE,HLOOKUP($BL$25,ÍNDICES!$B$3:$T$4,2)+11)-VLOOKUP(B1022,ÍNDICES!$A:$DE,HLOOKUP($BL$25,ÍNDICES!$B$3:$T$4,2)+11)+1%,IF(C$712=$W$26,$J$35,IF(ISERROR(IF(B1022&gt;$D$19,1,VLOOKUP(DATE(YEAR(B1022),MONTH(B1022)+IF($C$709=$S$23,1,0),1),ÍNDICES!$A:$DE,$Z$709+1))),"",IF(B1022&gt;$D$19,1,VLOOKUP(DATE(YEAR(B1022),MONTH(B1022)+IF($C$709=$S$23,1,0),1),ÍNDICES!$A:$DE,$Z$709+1))))))</f>
        <v/>
      </c>
      <c r="D1022" s="155"/>
      <c r="E1022" s="88"/>
      <c r="F1022" s="88"/>
      <c r="G1022" s="88"/>
      <c r="H1022" s="118"/>
      <c r="I1022" s="182">
        <f t="shared" si="143"/>
        <v>0</v>
      </c>
      <c r="J1022" s="20">
        <f t="shared" ca="1" si="144"/>
        <v>0</v>
      </c>
      <c r="K1022" s="5">
        <f t="shared" ca="1" si="145"/>
        <v>0</v>
      </c>
      <c r="L1022" s="61">
        <f t="shared" ca="1" si="146"/>
        <v>0</v>
      </c>
      <c r="M1022" s="64">
        <f t="shared" si="147"/>
        <v>0</v>
      </c>
      <c r="N1022" s="151"/>
      <c r="O1022" s="5">
        <f t="shared" ca="1" si="148"/>
        <v>0</v>
      </c>
      <c r="P1022" s="446" t="e">
        <f t="shared" si="149"/>
        <v>#VALUE!</v>
      </c>
      <c r="Q1022" s="446" t="e">
        <f>IF(OR($B1022="",MIN(Q$38,$D$19)&lt;MAX($P$708*($B1022+IF($R$17="Distrato",$I$38-1,0)),IF(AND($L$711=0,$P$708=0),"",$L$711-1),IF($R$17="Distrato",$E1022,0))),0,YEARFRAC(MAX($P$708*($B1022+IF($R$17="Distrato",$I$38-1,0)),IF(AND($L$711=0,$P$708=0),"",$L$711-1),IF($R$17="Distrato",$E1022,0)),MIN(Q$38,$D$19),$P$20))-SUM($P1022:P1022)</f>
        <v>#VALUE!</v>
      </c>
      <c r="R1022" s="446" t="e">
        <f>IF(OR($B1022="",MIN(R$38,$D$19)&lt;MAX($P$708*($B1022+IF($R$17="Distrato",$I$38-1,0)),IF(AND($L$711=0,$P$708=0),"",$L$711-1),IF($R$17="Distrato",$E1022,0))),0,YEARFRAC(MAX($P$708*($B1022+IF($R$17="Distrato",$I$38-1,0)),IF(AND($L$711=0,$P$708=0),"",$L$711-1),IF($R$17="Distrato",$E1022,0)),MIN(R$38,$D$19),$P$20))-SUM($P1022:Q1022)</f>
        <v>#VALUE!</v>
      </c>
      <c r="S1022" s="446" t="e">
        <f>IF(OR($B1022="",MIN(S$38,$D$19)&lt;MAX($P$708*($B1022+IF($R$17="Distrato",$I$38-1,0)),IF(AND($L$711=0,$P$708=0),"",$L$711-1),IF($R$17="Distrato",$E1022,0))),0,YEARFRAC(MAX($P$708*($B1022+IF($R$17="Distrato",$I$38-1,0)),IF(AND($L$711=0,$P$708=0),"",$L$711-1),IF($R$17="Distrato",$E1022,0)),MIN(S$38,$D$19),$P$20))-SUM($P1022:R1022)</f>
        <v>#VALUE!</v>
      </c>
      <c r="T1022" s="446" t="e">
        <f>IF(OR($B1022="",MIN(T$38,$D$19)&lt;MAX($P$708*($B1022+IF($R$17="Distrato",$I$38-1,0)),IF(AND($L$711=0,$P$708=0),"",$L$711-1),IF($R$17="Distrato",$E1022,0))),0,YEARFRAC(MAX($P$708*($B1022+IF($R$17="Distrato",$I$38-1,0)),IF(AND($L$711=0,$P$708=0),"",$L$711-1),IF($R$17="Distrato",$E1022,0)),MIN(T$38,$D$19),$P$20))-SUM($P1022:S1022)</f>
        <v>#VALUE!</v>
      </c>
      <c r="U1022" s="446" t="e">
        <f>IF(OR($B1022="",MIN(U$38,$D$19)&lt;MAX($P$708*($B1022+IF($R$17="Distrato",$I$38-1,0)),IF(AND($L$711=0,$P$708=0),"",$L$711-1),IF($R$17="Distrato",$E1022,0))),0,YEARFRAC(MAX($P$708*($B1022+IF($R$17="Distrato",$I$38-1,0)),IF(AND($L$711=0,$P$708=0),"",$L$711-1),IF($R$17="Distrato",$E1022,0)),MIN(U$38,$D$19),$P$20))-SUM($P1022:T1022)</f>
        <v>#VALUE!</v>
      </c>
      <c r="V1022" s="446" t="e">
        <f>IF(OR($B1022="",MIN(V$38,$D$19)&lt;MAX($P$708*($B1022+IF($R$17="Distrato",$I$38-1,0)),IF(AND($L$711=0,$P$708=0),"",$L$711-1),IF($R$17="Distrato",$E1022,0))),0,YEARFRAC(MAX($P$708*($B1022+IF($R$17="Distrato",$I$38-1,0)),IF(AND($L$711=0,$P$708=0),"",$L$711-1),IF($R$17="Distrato",$E1022,0)),MIN(V$38,$D$19),$P$20))-SUM($P1022:U1022)</f>
        <v>#VALUE!</v>
      </c>
      <c r="W1022" s="446" t="e">
        <f>IF(OR($B1022="",MIN(W$38,$D$19)&lt;MAX($P$708*($B1022+IF($R$17="Distrato",$I$38-1,0)),IF(AND($L$711=0,$P$708=0),"",$L$711-1),IF($R$17="Distrato",$E1022,0))),0,YEARFRAC(MAX($P$708*($B1022+IF($R$17="Distrato",$I$38-1,0)),IF(AND($L$711=0,$P$708=0),"",$L$711-1),IF($R$17="Distrato",$E1022,0)),MIN(W$38,$D$19),$P$20))-SUM($P1022:V1022)</f>
        <v>#VALUE!</v>
      </c>
      <c r="X1022" s="446" t="e">
        <f>IF(OR($B1022="",MIN(X$38,$D$19)&lt;MAX($P$708*($B1022+IF($R$17="Distrato",$I$38-1,0)),IF(AND($L$711=0,$P$708=0),"",$L$711-1),IF($R$17="Distrato",$E1022,0))),0,YEARFRAC(MAX($P$708*($B1022+IF($R$17="Distrato",$I$38-1,0)),IF(AND($L$711=0,$P$708=0),"",$L$711-1),IF($R$17="Distrato",$E1022,0)),MIN(X$38,$D$19),$P$20))-SUM($P1022:W1022)</f>
        <v>#VALUE!</v>
      </c>
      <c r="Y1022" s="446" t="e">
        <f>IF(OR($B1022="",MIN(Y$38,$D$19)&lt;MAX($P$708*($B1022+IF($R$17="Distrato",$I$38-1,0)),IF(AND($L$711=0,$P$708=0),"",$L$711-1),IF($R$17="Distrato",$E1022,0))),0,YEARFRAC(MAX($P$708*($B1022+IF($R$17="Distrato",$I$38-1,0)),IF(AND($L$711=0,$P$708=0),"",$L$711-1),IF($R$17="Distrato",$E1022,0)),MIN(Y$38,$D$19),$P$20))-SUM($P1022:X1022)</f>
        <v>#VALUE!</v>
      </c>
      <c r="Z1022" s="446" t="e">
        <f>IF(OR($B1022="",MIN(Z$38,$D$19)&lt;MAX($P$708*($B1022+IF($R$17="Distrato",$I$38-1,0)),IF(AND($L$711=0,$P$708=0),"",$L$711-1),IF($R$17="Distrato",$E1022,0))),0,YEARFRAC(MAX($P$708*($B1022+IF($R$17="Distrato",$I$38-1,0)),IF(AND($L$711=0,$P$708=0),"",$L$711-1),IF($R$17="Distrato",$E1022,0)),MIN(Z$38,$D$19),$P$20))-SUM($P1022:Y1022)</f>
        <v>#VALUE!</v>
      </c>
      <c r="AA1022" s="446" t="e">
        <f>IF(OR($B1022="",MIN(AA$38,$D$19)&lt;MAX($P$708*($B1022+IF($R$17="Distrato",$I$38-1,0)),IF(AND($L$711=0,$P$708=0),"",$L$711-1),IF($R$17="Distrato",$E1022,0))),0,YEARFRAC(MAX($P$708*($B1022+IF($R$17="Distrato",$I$38-1,0)),IF(AND($L$711=0,$P$708=0),"",$L$711-1),IF($R$17="Distrato",$E1022,0)),MIN(AA$38,$D$19),$P$20))-SUM($P1022:Z1022)</f>
        <v>#VALUE!</v>
      </c>
      <c r="AB1022" s="446" t="e">
        <f>IF(OR($B1022="",MIN(AB$38,$D$19)&lt;MAX($P$708*($B1022+IF($R$17="Distrato",$I$38-1,0)),IF(AND($L$711=0,$P$708=0),"",$L$711-1),IF($R$17="Distrato",$E1022,0))),0,YEARFRAC(MAX($P$708*($B1022+IF($R$17="Distrato",$I$38-1,0)),IF(AND($L$711=0,$P$708=0),"",$L$711-1),IF($R$17="Distrato",$E1022,0)),MIN(AB$38,$D$19),$P$20))-SUM($P1022:AA1022)</f>
        <v>#VALUE!</v>
      </c>
      <c r="AC1022" s="446" t="e">
        <f>IF(OR($B1022="",MIN(AC$38,$D$19)&lt;MAX($P$708*($B1022+IF($R$17="Distrato",$I$38-1,0)),IF(AND($L$711=0,$P$708=0),"",$L$711-1),IF($R$17="Distrato",$E1022,0))),0,YEARFRAC(MAX($P$708*($B1022+IF($R$17="Distrato",$I$38-1,0)),IF(AND($L$711=0,$P$708=0),"",$L$711-1),IF($R$17="Distrato",$E1022,0)),MIN(AC$38,$D$19),$P$20))-SUM($P1022:AB1022)</f>
        <v>#VALUE!</v>
      </c>
      <c r="AD1022" s="446" t="e">
        <f>IF(OR($B1022="",MIN(AD$38,$D$19)&lt;MAX($P$708*($B1022+IF($R$17="Distrato",$I$38-1,0)),IF(AND($L$711=0,$P$708=0),"",$L$711-1),IF($R$17="Distrato",$E1022,0))),0,YEARFRAC(MAX($P$708*($B1022+IF($R$17="Distrato",$I$38-1,0)),IF(AND($L$711=0,$P$708=0),"",$L$711-1),IF($R$17="Distrato",$E1022,0)),MIN(AD$38,$D$19),$P$20))-SUM($P1022:AC1022)</f>
        <v>#VALUE!</v>
      </c>
      <c r="AE1022" s="446" t="e">
        <f>IF(OR($B1022="",MIN(AE$38,$D$19)&lt;MAX($P$708*($B1022+IF($R$17="Distrato",$I$38-1,0)),IF(AND($L$711=0,$P$708=0),"",$L$711-1),IF($R$17="Distrato",$E1022,0))),0,YEARFRAC(MAX($P$708*($B1022+IF($R$17="Distrato",$I$38-1,0)),IF(AND($L$711=0,$P$708=0),"",$L$711-1),IF($R$17="Distrato",$E1022,0)),MIN(AE$38,$D$19),$P$20))-SUM($P1022:AD1022)</f>
        <v>#VALUE!</v>
      </c>
      <c r="AF1022" s="446" t="e">
        <f>IF(OR($B1022="",MIN(AF$38,$D$19)&lt;MAX($P$708*($B1022+IF($R$17="Distrato",$I$38-1,0)),IF(AND($L$711=0,$P$708=0),"",$L$711-1),IF($R$17="Distrato",$E1022,0))),0,YEARFRAC(MAX($P$708*($B1022+IF($R$17="Distrato",$I$38-1,0)),IF(AND($L$711=0,$P$708=0),"",$L$711-1),IF($R$17="Distrato",$E1022,0)),MIN(AF$38,$D$19),$P$20))-SUM($P1022:AE1022)</f>
        <v>#VALUE!</v>
      </c>
      <c r="AG1022" s="446" t="e">
        <f>IF(OR($B1022="",MIN(AG$38,$D$19)&lt;MAX($P$708*($B1022+IF($R$17="Distrato",$I$38-1,0)),IF(AND($L$711=0,$P$708=0),"",$L$711-1),IF($R$17="Distrato",$E1022,0))),0,YEARFRAC(MAX($P$708*($B1022+IF($R$17="Distrato",$I$38-1,0)),IF(AND($L$711=0,$P$708=0),"",$L$711-1),IF($R$17="Distrato",$E1022,0)),MIN(AG$38,$D$19),$P$20))-SUM($P1022:AF1022)</f>
        <v>#VALUE!</v>
      </c>
      <c r="AH1022" s="446" t="e">
        <f>IF(OR($B1022="",MIN(AH$38,$D$19)&lt;MAX($P$708*($B1022+IF($R$17="Distrato",$I$38-1,0)),IF(AND($L$711=0,$P$708=0),"",$L$711-1),IF($R$17="Distrato",$E1022,0))),0,YEARFRAC(MAX($P$708*($B1022+IF($R$17="Distrato",$I$38-1,0)),IF(AND($L$711=0,$P$708=0),"",$L$711-1),IF($R$17="Distrato",$E1022,0)),MIN(AH$38,$D$19),$P$20))-SUM($P1022:AG1022)</f>
        <v>#VALUE!</v>
      </c>
      <c r="AI1022" s="446" t="e">
        <f>IF(OR($B1022="",MIN(AI$38,$D$19)&lt;MAX($P$708*($B1022+IF($R$17="Distrato",$I$38-1,0)),IF(AND($L$711=0,$P$708=0),"",$L$711-1),IF($R$17="Distrato",$E1022,0))),0,YEARFRAC(MAX($P$708*($B1022+IF($R$17="Distrato",$I$38-1,0)),IF(AND($L$711=0,$P$708=0),"",$L$711-1),IF($R$17="Distrato",$E1022,0)),MIN(AI$38,$D$19),$P$20))-SUM($P1022:AH1022)</f>
        <v>#VALUE!</v>
      </c>
      <c r="AJ1022" s="446" t="e">
        <f>IF(OR($B1022="",MIN(AJ$38,$D$19)&lt;MAX($P$708*($B1022+IF($R$17="Distrato",$I$38-1,0)),IF(AND($L$711=0,$P$708=0),"",$L$711-1),IF($R$17="Distrato",$E1022,0))),0,YEARFRAC(MAX($P$708*($B1022+IF($R$17="Distrato",$I$38-1,0)),IF(AND($L$711=0,$P$708=0),"",$L$711-1),IF($R$17="Distrato",$E1022,0)),MIN(AJ$38,$D$19),$P$20))-SUM($P1022:AI1022)</f>
        <v>#VALUE!</v>
      </c>
      <c r="AK1022" s="446" t="e">
        <f>IF(OR($B1022="",MIN(AK$38,$D$19)&lt;MAX($P$708*($B1022+IF($R$17="Distrato",$I$38-1,0)),IF(AND($L$711=0,$P$708=0),"",$L$711-1),IF($R$17="Distrato",$E1022,0))),0,YEARFRAC(MAX($P$708*($B1022+IF($R$17="Distrato",$I$38-1,0)),IF(AND($L$711=0,$P$708=0),"",$L$711-1),IF($R$17="Distrato",$E1022,0)),MIN(AK$38,$D$19),$P$20))-SUM($P1022:AJ1022)</f>
        <v>#VALUE!</v>
      </c>
      <c r="AL1022" s="446" t="e">
        <f>IF(OR($B1022="",MIN(AL$38,$D$19)&lt;MAX($P$708*($B1022+IF($R$17="Distrato",$I$38-1,0)),IF(AND($L$711=0,$P$708=0),"",$L$711-1),IF($R$17="Distrato",$E1022,0))),0,YEARFRAC(MAX($P$708*($B1022+IF($R$17="Distrato",$I$38-1,0)),IF(AND($L$711=0,$P$708=0),"",$L$711-1),IF($R$17="Distrato",$E1022,0)),MIN(AL$38,$D$19),$P$20))-SUM($P1022:AK1022)</f>
        <v>#VALUE!</v>
      </c>
      <c r="AM1022" s="446" t="e">
        <f>IF(OR($B1022="",MIN(AM$38,$D$19)&lt;MAX($P$708*($B1022+IF($R$17="Distrato",$I$38-1,0)),IF(AND($L$711=0,$P$708=0),"",$L$711-1),IF($R$17="Distrato",$E1022,0))),0,YEARFRAC(MAX($P$708*($B1022+IF($R$17="Distrato",$I$38-1,0)),IF(AND($L$711=0,$P$708=0),"",$L$711-1),IF($R$17="Distrato",$E1022,0)),MIN(AM$38,$D$19),$P$20))-SUM($P1022:AL1022)</f>
        <v>#VALUE!</v>
      </c>
      <c r="AN1022" s="446" t="e">
        <f>IF(OR($B1022="",MIN(AN$38,$D$19)&lt;MAX($P$708*($B1022+IF($R$17="Distrato",$I$38-1,0)),IF(AND($L$711=0,$P$708=0),"",$L$711-1),IF($R$17="Distrato",$E1022,0))),0,YEARFRAC(MAX($P$708*($B1022+IF($R$17="Distrato",$I$38-1,0)),IF(AND($L$711=0,$P$708=0),"",$L$711-1),IF($R$17="Distrato",$E1022,0)),MIN(AN$38,$D$19),$P$20))-SUM($P1022:AM1022)</f>
        <v>#VALUE!</v>
      </c>
      <c r="AO1022" s="446" t="e">
        <f>IF(OR($B1022="",MIN(AO$38,$D$19)&lt;MAX($P$708*($B1022+IF($R$17="Distrato",$I$38-1,0)),IF(AND($L$711=0,$P$708=0),"",$L$711-1),IF($R$17="Distrato",$E1022,0))),0,YEARFRAC(MAX($P$708*($B1022+IF($R$17="Distrato",$I$38-1,0)),IF(AND($L$711=0,$P$708=0),"",$L$711-1),IF($R$17="Distrato",$E1022,0)),MIN(AO$38,$D$19),$P$20))-SUM($P1022:AN1022)</f>
        <v>#VALUE!</v>
      </c>
      <c r="AP1022" s="446" t="e">
        <f>IF(OR($B1022="",MIN(AP$38,$D$19)&lt;MAX($P$708*($B1022+IF($R$17="Distrato",$I$38-1,0)),IF(AND($L$711=0,$P$708=0),"",$L$711-1),IF($R$17="Distrato",$E1022,0))),0,YEARFRAC(MAX($P$708*($B1022+IF($R$17="Distrato",$I$38-1,0)),IF(AND($L$711=0,$P$708=0),"",$L$711-1),IF($R$17="Distrato",$E1022,0)),MIN(AP$38,$D$19),$P$20))-SUM($P1022:AO1022)</f>
        <v>#VALUE!</v>
      </c>
      <c r="AQ1022" s="446" t="e">
        <f>IF(OR($B1022="",MIN(AQ$38,$D$19)&lt;MAX($P$708*($B1022+IF($R$17="Distrato",$I$38-1,0)),IF(AND($L$711=0,$P$708=0),"",$L$711-1),IF($R$17="Distrato",$E1022,0))),0,YEARFRAC(MAX($P$708*($B1022+IF($R$17="Distrato",$I$38-1,0)),IF(AND($L$711=0,$P$708=0),"",$L$711-1),IF($R$17="Distrato",$E1022,0)),MIN(AQ$38,$D$19),$P$20))-SUM($P1022:AP1022)</f>
        <v>#VALUE!</v>
      </c>
      <c r="AR1022" s="446" t="e">
        <f>IF(OR($B1022="",MIN(AR$38,$D$19)&lt;MAX($P$708*($B1022+IF($R$17="Distrato",$I$38-1,0)),IF(AND($L$711=0,$P$708=0),"",$L$711-1),IF($R$17="Distrato",$E1022,0))),0,YEARFRAC(MAX($P$708*($B1022+IF($R$17="Distrato",$I$38-1,0)),IF(AND($L$711=0,$P$708=0),"",$L$711-1),IF($R$17="Distrato",$E1022,0)),MIN(AR$38,$D$19),$P$20))-SUM($P1022:AQ1022)</f>
        <v>#VALUE!</v>
      </c>
      <c r="AS1022" s="446" t="e">
        <f>IF(OR($B1022="",MIN(AS$38,$D$19)&lt;MAX($P$708*($B1022+IF($R$17="Distrato",$I$38-1,0)),IF(AND($L$711=0,$P$708=0),"",$L$711-1),IF($R$17="Distrato",$E1022,0))),0,YEARFRAC(MAX($P$708*($B1022+IF($R$17="Distrato",$I$38-1,0)),IF(AND($L$711=0,$P$708=0),"",$L$711-1),IF($R$17="Distrato",$E1022,0)),MIN(AS$38,$D$19),$P$20))-SUM($P1022:AR1022)</f>
        <v>#VALUE!</v>
      </c>
      <c r="AT1022" s="446" t="e">
        <f>IF(OR($B1022="",MIN(AT$38,$D$19)&lt;MAX($P$708*($B1022+IF($R$17="Distrato",$I$38-1,0)),IF(AND($L$711=0,$P$708=0),"",$L$711-1),IF($R$17="Distrato",$E1022,0))),0,YEARFRAC(MAX($P$708*($B1022+IF($R$17="Distrato",$I$38-1,0)),IF(AND($L$711=0,$P$708=0),"",$L$711-1),IF($R$17="Distrato",$E1022,0)),MIN(AT$38,$D$19),$P$20))-SUM($P1022:AS1022)</f>
        <v>#VALUE!</v>
      </c>
      <c r="AU1022" s="446" t="e">
        <f>IF(OR($B1022="",MIN(AU$38,$D$19)&lt;MAX($P$708*($B1022+IF($R$17="Distrato",$I$38-1,0)),IF(AND($L$711=0,$P$708=0),"",$L$711-1),IF($R$17="Distrato",$E1022,0))),0,YEARFRAC(MAX($P$708*($B1022+IF($R$17="Distrato",$I$38-1,0)),IF(AND($L$711=0,$P$708=0),"",$L$711-1),IF($R$17="Distrato",$E1022,0)),MIN(AU$38,$D$19),$P$20))-SUM($P1022:AT1022)</f>
        <v>#VALUE!</v>
      </c>
      <c r="AV1022" s="446" t="e">
        <f>IF(OR($B1022="",MIN(AV$38,$D$19)&lt;MAX($P$708*($B1022+IF($R$17="Distrato",$I$38-1,0)),IF(AND($L$711=0,$P$708=0),"",$L$711-1),IF($R$17="Distrato",$E1022,0))),0,YEARFRAC(MAX($P$708*($B1022+IF($R$17="Distrato",$I$38-1,0)),IF(AND($L$711=0,$P$708=0),"",$L$711-1),IF($R$17="Distrato",$E1022,0)),MIN(AV$38,$D$19),$P$20))-SUM($P1022:AU1022)</f>
        <v>#VALUE!</v>
      </c>
      <c r="AW1022" s="446" t="e">
        <f>IF(OR($B1022="",MIN(AW$38,$D$19)&lt;MAX($P$708*($B1022+IF($R$17="Distrato",$I$38-1,0)),IF(AND($L$711=0,$P$708=0),"",$L$711-1),IF($R$17="Distrato",$E1022,0))),0,YEARFRAC(MAX($P$708*($B1022+IF($R$17="Distrato",$I$38-1,0)),IF(AND($L$711=0,$P$708=0),"",$L$711-1),IF($R$17="Distrato",$E1022,0)),MIN(AW$38,$D$19),$P$20))-SUM($P1022:AV1022)</f>
        <v>#VALUE!</v>
      </c>
      <c r="AX1022" s="446" t="e">
        <f>IF(OR($B1022="",MIN(AX$38,$D$19)&lt;MAX($P$708*($B1022+IF($R$17="Distrato",$I$38-1,0)),IF(AND($L$711=0,$P$708=0),"",$L$711-1),IF($R$17="Distrato",$E1022,0))),0,YEARFRAC(MAX($P$708*($B1022+IF($R$17="Distrato",$I$38-1,0)),IF(AND($L$711=0,$P$708=0),"",$L$711-1),IF($R$17="Distrato",$E1022,0)),MIN(AX$38,$D$19),$P$20))-SUM($P1022:AW1022)</f>
        <v>#VALUE!</v>
      </c>
      <c r="AY1022" s="446" t="e">
        <f>IF(OR($B1022="",MIN(AY$38,$D$19)&lt;MAX($P$708*($B1022+IF($R$17="Distrato",$I$38-1,0)),IF(AND($L$711=0,$P$708=0),"",$L$711-1),IF($R$17="Distrato",$E1022,0))),0,YEARFRAC(MAX($P$708*($B1022+IF($R$17="Distrato",$I$38-1,0)),IF(AND($L$711=0,$P$708=0),"",$L$711-1),IF($R$17="Distrato",$E1022,0)),MIN(AY$38,$D$19),$P$20))-SUM($P1022:AX1022)</f>
        <v>#VALUE!</v>
      </c>
      <c r="AZ1022" s="446" t="e">
        <f>IF(OR($B1022="",MIN(AZ$38,$D$19)&lt;MAX($P$708*($B1022+IF($R$17="Distrato",$I$38-1,0)),IF(AND($L$711=0,$P$708=0),"",$L$711-1),IF($R$17="Distrato",$E1022,0))),0,YEARFRAC(MAX($P$708*($B1022+IF($R$17="Distrato",$I$38-1,0)),IF(AND($L$711=0,$P$708=0),"",$L$711-1),IF($R$17="Distrato",$E1022,0)),MIN(AZ$38,$D$19),$P$20))-SUM($P1022:AY1022)</f>
        <v>#VALUE!</v>
      </c>
      <c r="BA1022" s="446" t="e">
        <f>IF(OR($B1022="",MIN(BA$38,$D$19)&lt;MAX($P$708*($B1022+IF($R$17="Distrato",$I$38-1,0)),IF(AND($L$711=0,$P$708=0),"",$L$711-1),IF($R$17="Distrato",$E1022,0))),0,YEARFRAC(MAX($P$708*($B1022+IF($R$17="Distrato",$I$38-1,0)),IF(AND($L$711=0,$P$708=0),"",$L$711-1),IF($R$17="Distrato",$E1022,0)),MIN(BA$38,$D$19),$P$20))-SUM($P1022:AZ1022)</f>
        <v>#VALUE!</v>
      </c>
      <c r="BB1022" s="447"/>
    </row>
    <row r="1023" spans="1:54" s="446" customFormat="1" ht="11.25" hidden="1" customHeight="1" x14ac:dyDescent="0.2">
      <c r="A1023" s="235"/>
      <c r="B1023" s="236"/>
      <c r="C1023" s="29" t="str">
        <f>IF(B1023="","",IF($L$709=$BL$25,VLOOKUP(DATE(YEAR($D$19),MONTH($D$19)-1,1),ÍNDICES!$A:$DE,HLOOKUP($BL$25,ÍNDICES!$B$3:$T$4,2)+11)-VLOOKUP(B1023,ÍNDICES!$A:$DE,HLOOKUP($BL$25,ÍNDICES!$B$3:$T$4,2)+11)+1%,IF(C$712=$W$26,$J$35,IF(ISERROR(IF(B1023&gt;$D$19,1,VLOOKUP(DATE(YEAR(B1023),MONTH(B1023)+IF($C$709=$S$23,1,0),1),ÍNDICES!$A:$DE,$Z$709+1))),"",IF(B1023&gt;$D$19,1,VLOOKUP(DATE(YEAR(B1023),MONTH(B1023)+IF($C$709=$S$23,1,0),1),ÍNDICES!$A:$DE,$Z$709+1))))))</f>
        <v/>
      </c>
      <c r="D1023" s="155"/>
      <c r="E1023" s="88"/>
      <c r="F1023" s="88"/>
      <c r="G1023" s="88"/>
      <c r="H1023" s="118"/>
      <c r="I1023" s="182">
        <f t="shared" si="143"/>
        <v>0</v>
      </c>
      <c r="J1023" s="20">
        <f t="shared" ca="1" si="144"/>
        <v>0</v>
      </c>
      <c r="K1023" s="5">
        <f t="shared" ca="1" si="145"/>
        <v>0</v>
      </c>
      <c r="L1023" s="61">
        <f t="shared" ca="1" si="146"/>
        <v>0</v>
      </c>
      <c r="M1023" s="64">
        <f t="shared" si="147"/>
        <v>0</v>
      </c>
      <c r="N1023" s="151"/>
      <c r="O1023" s="5">
        <f t="shared" ca="1" si="148"/>
        <v>0</v>
      </c>
      <c r="P1023" s="446" t="e">
        <f t="shared" si="149"/>
        <v>#VALUE!</v>
      </c>
      <c r="Q1023" s="446" t="e">
        <f>IF(OR($B1023="",MIN(Q$38,$D$19)&lt;MAX($P$708*($B1023+IF($R$17="Distrato",$I$38-1,0)),IF(AND($L$711=0,$P$708=0),"",$L$711-1),IF($R$17="Distrato",$E1023,0))),0,YEARFRAC(MAX($P$708*($B1023+IF($R$17="Distrato",$I$38-1,0)),IF(AND($L$711=0,$P$708=0),"",$L$711-1),IF($R$17="Distrato",$E1023,0)),MIN(Q$38,$D$19),$P$20))-SUM($P1023:P1023)</f>
        <v>#VALUE!</v>
      </c>
      <c r="R1023" s="446" t="e">
        <f>IF(OR($B1023="",MIN(R$38,$D$19)&lt;MAX($P$708*($B1023+IF($R$17="Distrato",$I$38-1,0)),IF(AND($L$711=0,$P$708=0),"",$L$711-1),IF($R$17="Distrato",$E1023,0))),0,YEARFRAC(MAX($P$708*($B1023+IF($R$17="Distrato",$I$38-1,0)),IF(AND($L$711=0,$P$708=0),"",$L$711-1),IF($R$17="Distrato",$E1023,0)),MIN(R$38,$D$19),$P$20))-SUM($P1023:Q1023)</f>
        <v>#VALUE!</v>
      </c>
      <c r="S1023" s="446" t="e">
        <f>IF(OR($B1023="",MIN(S$38,$D$19)&lt;MAX($P$708*($B1023+IF($R$17="Distrato",$I$38-1,0)),IF(AND($L$711=0,$P$708=0),"",$L$711-1),IF($R$17="Distrato",$E1023,0))),0,YEARFRAC(MAX($P$708*($B1023+IF($R$17="Distrato",$I$38-1,0)),IF(AND($L$711=0,$P$708=0),"",$L$711-1),IF($R$17="Distrato",$E1023,0)),MIN(S$38,$D$19),$P$20))-SUM($P1023:R1023)</f>
        <v>#VALUE!</v>
      </c>
      <c r="T1023" s="446" t="e">
        <f>IF(OR($B1023="",MIN(T$38,$D$19)&lt;MAX($P$708*($B1023+IF($R$17="Distrato",$I$38-1,0)),IF(AND($L$711=0,$P$708=0),"",$L$711-1),IF($R$17="Distrato",$E1023,0))),0,YEARFRAC(MAX($P$708*($B1023+IF($R$17="Distrato",$I$38-1,0)),IF(AND($L$711=0,$P$708=0),"",$L$711-1),IF($R$17="Distrato",$E1023,0)),MIN(T$38,$D$19),$P$20))-SUM($P1023:S1023)</f>
        <v>#VALUE!</v>
      </c>
      <c r="U1023" s="446" t="e">
        <f>IF(OR($B1023="",MIN(U$38,$D$19)&lt;MAX($P$708*($B1023+IF($R$17="Distrato",$I$38-1,0)),IF(AND($L$711=0,$P$708=0),"",$L$711-1),IF($R$17="Distrato",$E1023,0))),0,YEARFRAC(MAX($P$708*($B1023+IF($R$17="Distrato",$I$38-1,0)),IF(AND($L$711=0,$P$708=0),"",$L$711-1),IF($R$17="Distrato",$E1023,0)),MIN(U$38,$D$19),$P$20))-SUM($P1023:T1023)</f>
        <v>#VALUE!</v>
      </c>
      <c r="V1023" s="446" t="e">
        <f>IF(OR($B1023="",MIN(V$38,$D$19)&lt;MAX($P$708*($B1023+IF($R$17="Distrato",$I$38-1,0)),IF(AND($L$711=0,$P$708=0),"",$L$711-1),IF($R$17="Distrato",$E1023,0))),0,YEARFRAC(MAX($P$708*($B1023+IF($R$17="Distrato",$I$38-1,0)),IF(AND($L$711=0,$P$708=0),"",$L$711-1),IF($R$17="Distrato",$E1023,0)),MIN(V$38,$D$19),$P$20))-SUM($P1023:U1023)</f>
        <v>#VALUE!</v>
      </c>
      <c r="W1023" s="446" t="e">
        <f>IF(OR($B1023="",MIN(W$38,$D$19)&lt;MAX($P$708*($B1023+IF($R$17="Distrato",$I$38-1,0)),IF(AND($L$711=0,$P$708=0),"",$L$711-1),IF($R$17="Distrato",$E1023,0))),0,YEARFRAC(MAX($P$708*($B1023+IF($R$17="Distrato",$I$38-1,0)),IF(AND($L$711=0,$P$708=0),"",$L$711-1),IF($R$17="Distrato",$E1023,0)),MIN(W$38,$D$19),$P$20))-SUM($P1023:V1023)</f>
        <v>#VALUE!</v>
      </c>
      <c r="X1023" s="446" t="e">
        <f>IF(OR($B1023="",MIN(X$38,$D$19)&lt;MAX($P$708*($B1023+IF($R$17="Distrato",$I$38-1,0)),IF(AND($L$711=0,$P$708=0),"",$L$711-1),IF($R$17="Distrato",$E1023,0))),0,YEARFRAC(MAX($P$708*($B1023+IF($R$17="Distrato",$I$38-1,0)),IF(AND($L$711=0,$P$708=0),"",$L$711-1),IF($R$17="Distrato",$E1023,0)),MIN(X$38,$D$19),$P$20))-SUM($P1023:W1023)</f>
        <v>#VALUE!</v>
      </c>
      <c r="Y1023" s="446" t="e">
        <f>IF(OR($B1023="",MIN(Y$38,$D$19)&lt;MAX($P$708*($B1023+IF($R$17="Distrato",$I$38-1,0)),IF(AND($L$711=0,$P$708=0),"",$L$711-1),IF($R$17="Distrato",$E1023,0))),0,YEARFRAC(MAX($P$708*($B1023+IF($R$17="Distrato",$I$38-1,0)),IF(AND($L$711=0,$P$708=0),"",$L$711-1),IF($R$17="Distrato",$E1023,0)),MIN(Y$38,$D$19),$P$20))-SUM($P1023:X1023)</f>
        <v>#VALUE!</v>
      </c>
      <c r="Z1023" s="446" t="e">
        <f>IF(OR($B1023="",MIN(Z$38,$D$19)&lt;MAX($P$708*($B1023+IF($R$17="Distrato",$I$38-1,0)),IF(AND($L$711=0,$P$708=0),"",$L$711-1),IF($R$17="Distrato",$E1023,0))),0,YEARFRAC(MAX($P$708*($B1023+IF($R$17="Distrato",$I$38-1,0)),IF(AND($L$711=0,$P$708=0),"",$L$711-1),IF($R$17="Distrato",$E1023,0)),MIN(Z$38,$D$19),$P$20))-SUM($P1023:Y1023)</f>
        <v>#VALUE!</v>
      </c>
      <c r="AA1023" s="446" t="e">
        <f>IF(OR($B1023="",MIN(AA$38,$D$19)&lt;MAX($P$708*($B1023+IF($R$17="Distrato",$I$38-1,0)),IF(AND($L$711=0,$P$708=0),"",$L$711-1),IF($R$17="Distrato",$E1023,0))),0,YEARFRAC(MAX($P$708*($B1023+IF($R$17="Distrato",$I$38-1,0)),IF(AND($L$711=0,$P$708=0),"",$L$711-1),IF($R$17="Distrato",$E1023,0)),MIN(AA$38,$D$19),$P$20))-SUM($P1023:Z1023)</f>
        <v>#VALUE!</v>
      </c>
      <c r="AB1023" s="446" t="e">
        <f>IF(OR($B1023="",MIN(AB$38,$D$19)&lt;MAX($P$708*($B1023+IF($R$17="Distrato",$I$38-1,0)),IF(AND($L$711=0,$P$708=0),"",$L$711-1),IF($R$17="Distrato",$E1023,0))),0,YEARFRAC(MAX($P$708*($B1023+IF($R$17="Distrato",$I$38-1,0)),IF(AND($L$711=0,$P$708=0),"",$L$711-1),IF($R$17="Distrato",$E1023,0)),MIN(AB$38,$D$19),$P$20))-SUM($P1023:AA1023)</f>
        <v>#VALUE!</v>
      </c>
      <c r="AC1023" s="446" t="e">
        <f>IF(OR($B1023="",MIN(AC$38,$D$19)&lt;MAX($P$708*($B1023+IF($R$17="Distrato",$I$38-1,0)),IF(AND($L$711=0,$P$708=0),"",$L$711-1),IF($R$17="Distrato",$E1023,0))),0,YEARFRAC(MAX($P$708*($B1023+IF($R$17="Distrato",$I$38-1,0)),IF(AND($L$711=0,$P$708=0),"",$L$711-1),IF($R$17="Distrato",$E1023,0)),MIN(AC$38,$D$19),$P$20))-SUM($P1023:AB1023)</f>
        <v>#VALUE!</v>
      </c>
      <c r="AD1023" s="446" t="e">
        <f>IF(OR($B1023="",MIN(AD$38,$D$19)&lt;MAX($P$708*($B1023+IF($R$17="Distrato",$I$38-1,0)),IF(AND($L$711=0,$P$708=0),"",$L$711-1),IF($R$17="Distrato",$E1023,0))),0,YEARFRAC(MAX($P$708*($B1023+IF($R$17="Distrato",$I$38-1,0)),IF(AND($L$711=0,$P$708=0),"",$L$711-1),IF($R$17="Distrato",$E1023,0)),MIN(AD$38,$D$19),$P$20))-SUM($P1023:AC1023)</f>
        <v>#VALUE!</v>
      </c>
      <c r="AE1023" s="446" t="e">
        <f>IF(OR($B1023="",MIN(AE$38,$D$19)&lt;MAX($P$708*($B1023+IF($R$17="Distrato",$I$38-1,0)),IF(AND($L$711=0,$P$708=0),"",$L$711-1),IF($R$17="Distrato",$E1023,0))),0,YEARFRAC(MAX($P$708*($B1023+IF($R$17="Distrato",$I$38-1,0)),IF(AND($L$711=0,$P$708=0),"",$L$711-1),IF($R$17="Distrato",$E1023,0)),MIN(AE$38,$D$19),$P$20))-SUM($P1023:AD1023)</f>
        <v>#VALUE!</v>
      </c>
      <c r="AF1023" s="446" t="e">
        <f>IF(OR($B1023="",MIN(AF$38,$D$19)&lt;MAX($P$708*($B1023+IF($R$17="Distrato",$I$38-1,0)),IF(AND($L$711=0,$P$708=0),"",$L$711-1),IF($R$17="Distrato",$E1023,0))),0,YEARFRAC(MAX($P$708*($B1023+IF($R$17="Distrato",$I$38-1,0)),IF(AND($L$711=0,$P$708=0),"",$L$711-1),IF($R$17="Distrato",$E1023,0)),MIN(AF$38,$D$19),$P$20))-SUM($P1023:AE1023)</f>
        <v>#VALUE!</v>
      </c>
      <c r="AG1023" s="446" t="e">
        <f>IF(OR($B1023="",MIN(AG$38,$D$19)&lt;MAX($P$708*($B1023+IF($R$17="Distrato",$I$38-1,0)),IF(AND($L$711=0,$P$708=0),"",$L$711-1),IF($R$17="Distrato",$E1023,0))),0,YEARFRAC(MAX($P$708*($B1023+IF($R$17="Distrato",$I$38-1,0)),IF(AND($L$711=0,$P$708=0),"",$L$711-1),IF($R$17="Distrato",$E1023,0)),MIN(AG$38,$D$19),$P$20))-SUM($P1023:AF1023)</f>
        <v>#VALUE!</v>
      </c>
      <c r="AH1023" s="446" t="e">
        <f>IF(OR($B1023="",MIN(AH$38,$D$19)&lt;MAX($P$708*($B1023+IF($R$17="Distrato",$I$38-1,0)),IF(AND($L$711=0,$P$708=0),"",$L$711-1),IF($R$17="Distrato",$E1023,0))),0,YEARFRAC(MAX($P$708*($B1023+IF($R$17="Distrato",$I$38-1,0)),IF(AND($L$711=0,$P$708=0),"",$L$711-1),IF($R$17="Distrato",$E1023,0)),MIN(AH$38,$D$19),$P$20))-SUM($P1023:AG1023)</f>
        <v>#VALUE!</v>
      </c>
      <c r="AI1023" s="446" t="e">
        <f>IF(OR($B1023="",MIN(AI$38,$D$19)&lt;MAX($P$708*($B1023+IF($R$17="Distrato",$I$38-1,0)),IF(AND($L$711=0,$P$708=0),"",$L$711-1),IF($R$17="Distrato",$E1023,0))),0,YEARFRAC(MAX($P$708*($B1023+IF($R$17="Distrato",$I$38-1,0)),IF(AND($L$711=0,$P$708=0),"",$L$711-1),IF($R$17="Distrato",$E1023,0)),MIN(AI$38,$D$19),$P$20))-SUM($P1023:AH1023)</f>
        <v>#VALUE!</v>
      </c>
      <c r="AJ1023" s="446" t="e">
        <f>IF(OR($B1023="",MIN(AJ$38,$D$19)&lt;MAX($P$708*($B1023+IF($R$17="Distrato",$I$38-1,0)),IF(AND($L$711=0,$P$708=0),"",$L$711-1),IF($R$17="Distrato",$E1023,0))),0,YEARFRAC(MAX($P$708*($B1023+IF($R$17="Distrato",$I$38-1,0)),IF(AND($L$711=0,$P$708=0),"",$L$711-1),IF($R$17="Distrato",$E1023,0)),MIN(AJ$38,$D$19),$P$20))-SUM($P1023:AI1023)</f>
        <v>#VALUE!</v>
      </c>
      <c r="AK1023" s="446" t="e">
        <f>IF(OR($B1023="",MIN(AK$38,$D$19)&lt;MAX($P$708*($B1023+IF($R$17="Distrato",$I$38-1,0)),IF(AND($L$711=0,$P$708=0),"",$L$711-1),IF($R$17="Distrato",$E1023,0))),0,YEARFRAC(MAX($P$708*($B1023+IF($R$17="Distrato",$I$38-1,0)),IF(AND($L$711=0,$P$708=0),"",$L$711-1),IF($R$17="Distrato",$E1023,0)),MIN(AK$38,$D$19),$P$20))-SUM($P1023:AJ1023)</f>
        <v>#VALUE!</v>
      </c>
      <c r="AL1023" s="446" t="e">
        <f>IF(OR($B1023="",MIN(AL$38,$D$19)&lt;MAX($P$708*($B1023+IF($R$17="Distrato",$I$38-1,0)),IF(AND($L$711=0,$P$708=0),"",$L$711-1),IF($R$17="Distrato",$E1023,0))),0,YEARFRAC(MAX($P$708*($B1023+IF($R$17="Distrato",$I$38-1,0)),IF(AND($L$711=0,$P$708=0),"",$L$711-1),IF($R$17="Distrato",$E1023,0)),MIN(AL$38,$D$19),$P$20))-SUM($P1023:AK1023)</f>
        <v>#VALUE!</v>
      </c>
      <c r="AM1023" s="446" t="e">
        <f>IF(OR($B1023="",MIN(AM$38,$D$19)&lt;MAX($P$708*($B1023+IF($R$17="Distrato",$I$38-1,0)),IF(AND($L$711=0,$P$708=0),"",$L$711-1),IF($R$17="Distrato",$E1023,0))),0,YEARFRAC(MAX($P$708*($B1023+IF($R$17="Distrato",$I$38-1,0)),IF(AND($L$711=0,$P$708=0),"",$L$711-1),IF($R$17="Distrato",$E1023,0)),MIN(AM$38,$D$19),$P$20))-SUM($P1023:AL1023)</f>
        <v>#VALUE!</v>
      </c>
      <c r="AN1023" s="446" t="e">
        <f>IF(OR($B1023="",MIN(AN$38,$D$19)&lt;MAX($P$708*($B1023+IF($R$17="Distrato",$I$38-1,0)),IF(AND($L$711=0,$P$708=0),"",$L$711-1),IF($R$17="Distrato",$E1023,0))),0,YEARFRAC(MAX($P$708*($B1023+IF($R$17="Distrato",$I$38-1,0)),IF(AND($L$711=0,$P$708=0),"",$L$711-1),IF($R$17="Distrato",$E1023,0)),MIN(AN$38,$D$19),$P$20))-SUM($P1023:AM1023)</f>
        <v>#VALUE!</v>
      </c>
      <c r="AO1023" s="446" t="e">
        <f>IF(OR($B1023="",MIN(AO$38,$D$19)&lt;MAX($P$708*($B1023+IF($R$17="Distrato",$I$38-1,0)),IF(AND($L$711=0,$P$708=0),"",$L$711-1),IF($R$17="Distrato",$E1023,0))),0,YEARFRAC(MAX($P$708*($B1023+IF($R$17="Distrato",$I$38-1,0)),IF(AND($L$711=0,$P$708=0),"",$L$711-1),IF($R$17="Distrato",$E1023,0)),MIN(AO$38,$D$19),$P$20))-SUM($P1023:AN1023)</f>
        <v>#VALUE!</v>
      </c>
      <c r="AP1023" s="446" t="e">
        <f>IF(OR($B1023="",MIN(AP$38,$D$19)&lt;MAX($P$708*($B1023+IF($R$17="Distrato",$I$38-1,0)),IF(AND($L$711=0,$P$708=0),"",$L$711-1),IF($R$17="Distrato",$E1023,0))),0,YEARFRAC(MAX($P$708*($B1023+IF($R$17="Distrato",$I$38-1,0)),IF(AND($L$711=0,$P$708=0),"",$L$711-1),IF($R$17="Distrato",$E1023,0)),MIN(AP$38,$D$19),$P$20))-SUM($P1023:AO1023)</f>
        <v>#VALUE!</v>
      </c>
      <c r="AQ1023" s="446" t="e">
        <f>IF(OR($B1023="",MIN(AQ$38,$D$19)&lt;MAX($P$708*($B1023+IF($R$17="Distrato",$I$38-1,0)),IF(AND($L$711=0,$P$708=0),"",$L$711-1),IF($R$17="Distrato",$E1023,0))),0,YEARFRAC(MAX($P$708*($B1023+IF($R$17="Distrato",$I$38-1,0)),IF(AND($L$711=0,$P$708=0),"",$L$711-1),IF($R$17="Distrato",$E1023,0)),MIN(AQ$38,$D$19),$P$20))-SUM($P1023:AP1023)</f>
        <v>#VALUE!</v>
      </c>
      <c r="AR1023" s="446" t="e">
        <f>IF(OR($B1023="",MIN(AR$38,$D$19)&lt;MAX($P$708*($B1023+IF($R$17="Distrato",$I$38-1,0)),IF(AND($L$711=0,$P$708=0),"",$L$711-1),IF($R$17="Distrato",$E1023,0))),0,YEARFRAC(MAX($P$708*($B1023+IF($R$17="Distrato",$I$38-1,0)),IF(AND($L$711=0,$P$708=0),"",$L$711-1),IF($R$17="Distrato",$E1023,0)),MIN(AR$38,$D$19),$P$20))-SUM($P1023:AQ1023)</f>
        <v>#VALUE!</v>
      </c>
      <c r="AS1023" s="446" t="e">
        <f>IF(OR($B1023="",MIN(AS$38,$D$19)&lt;MAX($P$708*($B1023+IF($R$17="Distrato",$I$38-1,0)),IF(AND($L$711=0,$P$708=0),"",$L$711-1),IF($R$17="Distrato",$E1023,0))),0,YEARFRAC(MAX($P$708*($B1023+IF($R$17="Distrato",$I$38-1,0)),IF(AND($L$711=0,$P$708=0),"",$L$711-1),IF($R$17="Distrato",$E1023,0)),MIN(AS$38,$D$19),$P$20))-SUM($P1023:AR1023)</f>
        <v>#VALUE!</v>
      </c>
      <c r="AT1023" s="446" t="e">
        <f>IF(OR($B1023="",MIN(AT$38,$D$19)&lt;MAX($P$708*($B1023+IF($R$17="Distrato",$I$38-1,0)),IF(AND($L$711=0,$P$708=0),"",$L$711-1),IF($R$17="Distrato",$E1023,0))),0,YEARFRAC(MAX($P$708*($B1023+IF($R$17="Distrato",$I$38-1,0)),IF(AND($L$711=0,$P$708=0),"",$L$711-1),IF($R$17="Distrato",$E1023,0)),MIN(AT$38,$D$19),$P$20))-SUM($P1023:AS1023)</f>
        <v>#VALUE!</v>
      </c>
      <c r="AU1023" s="446" t="e">
        <f>IF(OR($B1023="",MIN(AU$38,$D$19)&lt;MAX($P$708*($B1023+IF($R$17="Distrato",$I$38-1,0)),IF(AND($L$711=0,$P$708=0),"",$L$711-1),IF($R$17="Distrato",$E1023,0))),0,YEARFRAC(MAX($P$708*($B1023+IF($R$17="Distrato",$I$38-1,0)),IF(AND($L$711=0,$P$708=0),"",$L$711-1),IF($R$17="Distrato",$E1023,0)),MIN(AU$38,$D$19),$P$20))-SUM($P1023:AT1023)</f>
        <v>#VALUE!</v>
      </c>
      <c r="AV1023" s="446" t="e">
        <f>IF(OR($B1023="",MIN(AV$38,$D$19)&lt;MAX($P$708*($B1023+IF($R$17="Distrato",$I$38-1,0)),IF(AND($L$711=0,$P$708=0),"",$L$711-1),IF($R$17="Distrato",$E1023,0))),0,YEARFRAC(MAX($P$708*($B1023+IF($R$17="Distrato",$I$38-1,0)),IF(AND($L$711=0,$P$708=0),"",$L$711-1),IF($R$17="Distrato",$E1023,0)),MIN(AV$38,$D$19),$P$20))-SUM($P1023:AU1023)</f>
        <v>#VALUE!</v>
      </c>
      <c r="AW1023" s="446" t="e">
        <f>IF(OR($B1023="",MIN(AW$38,$D$19)&lt;MAX($P$708*($B1023+IF($R$17="Distrato",$I$38-1,0)),IF(AND($L$711=0,$P$708=0),"",$L$711-1),IF($R$17="Distrato",$E1023,0))),0,YEARFRAC(MAX($P$708*($B1023+IF($R$17="Distrato",$I$38-1,0)),IF(AND($L$711=0,$P$708=0),"",$L$711-1),IF($R$17="Distrato",$E1023,0)),MIN(AW$38,$D$19),$P$20))-SUM($P1023:AV1023)</f>
        <v>#VALUE!</v>
      </c>
      <c r="AX1023" s="446" t="e">
        <f>IF(OR($B1023="",MIN(AX$38,$D$19)&lt;MAX($P$708*($B1023+IF($R$17="Distrato",$I$38-1,0)),IF(AND($L$711=0,$P$708=0),"",$L$711-1),IF($R$17="Distrato",$E1023,0))),0,YEARFRAC(MAX($P$708*($B1023+IF($R$17="Distrato",$I$38-1,0)),IF(AND($L$711=0,$P$708=0),"",$L$711-1),IF($R$17="Distrato",$E1023,0)),MIN(AX$38,$D$19),$P$20))-SUM($P1023:AW1023)</f>
        <v>#VALUE!</v>
      </c>
      <c r="AY1023" s="446" t="e">
        <f>IF(OR($B1023="",MIN(AY$38,$D$19)&lt;MAX($P$708*($B1023+IF($R$17="Distrato",$I$38-1,0)),IF(AND($L$711=0,$P$708=0),"",$L$711-1),IF($R$17="Distrato",$E1023,0))),0,YEARFRAC(MAX($P$708*($B1023+IF($R$17="Distrato",$I$38-1,0)),IF(AND($L$711=0,$P$708=0),"",$L$711-1),IF($R$17="Distrato",$E1023,0)),MIN(AY$38,$D$19),$P$20))-SUM($P1023:AX1023)</f>
        <v>#VALUE!</v>
      </c>
      <c r="AZ1023" s="446" t="e">
        <f>IF(OR($B1023="",MIN(AZ$38,$D$19)&lt;MAX($P$708*($B1023+IF($R$17="Distrato",$I$38-1,0)),IF(AND($L$711=0,$P$708=0),"",$L$711-1),IF($R$17="Distrato",$E1023,0))),0,YEARFRAC(MAX($P$708*($B1023+IF($R$17="Distrato",$I$38-1,0)),IF(AND($L$711=0,$P$708=0),"",$L$711-1),IF($R$17="Distrato",$E1023,0)),MIN(AZ$38,$D$19),$P$20))-SUM($P1023:AY1023)</f>
        <v>#VALUE!</v>
      </c>
      <c r="BA1023" s="446" t="e">
        <f>IF(OR($B1023="",MIN(BA$38,$D$19)&lt;MAX($P$708*($B1023+IF($R$17="Distrato",$I$38-1,0)),IF(AND($L$711=0,$P$708=0),"",$L$711-1),IF($R$17="Distrato",$E1023,0))),0,YEARFRAC(MAX($P$708*($B1023+IF($R$17="Distrato",$I$38-1,0)),IF(AND($L$711=0,$P$708=0),"",$L$711-1),IF($R$17="Distrato",$E1023,0)),MIN(BA$38,$D$19),$P$20))-SUM($P1023:AZ1023)</f>
        <v>#VALUE!</v>
      </c>
      <c r="BB1023" s="447"/>
    </row>
    <row r="1024" spans="1:54" s="446" customFormat="1" ht="11.25" hidden="1" customHeight="1" x14ac:dyDescent="0.2">
      <c r="A1024" s="235"/>
      <c r="B1024" s="236"/>
      <c r="C1024" s="29" t="str">
        <f>IF(B1024="","",IF($L$709=$BL$25,VLOOKUP(DATE(YEAR($D$19),MONTH($D$19)-1,1),ÍNDICES!$A:$DE,HLOOKUP($BL$25,ÍNDICES!$B$3:$T$4,2)+11)-VLOOKUP(B1024,ÍNDICES!$A:$DE,HLOOKUP($BL$25,ÍNDICES!$B$3:$T$4,2)+11)+1%,IF(C$712=$W$26,$J$35,IF(ISERROR(IF(B1024&gt;$D$19,1,VLOOKUP(DATE(YEAR(B1024),MONTH(B1024)+IF($C$709=$S$23,1,0),1),ÍNDICES!$A:$DE,$Z$709+1))),"",IF(B1024&gt;$D$19,1,VLOOKUP(DATE(YEAR(B1024),MONTH(B1024)+IF($C$709=$S$23,1,0),1),ÍNDICES!$A:$DE,$Z$709+1))))))</f>
        <v/>
      </c>
      <c r="D1024" s="155"/>
      <c r="E1024" s="88"/>
      <c r="F1024" s="88"/>
      <c r="G1024" s="88"/>
      <c r="H1024" s="118"/>
      <c r="I1024" s="182">
        <f t="shared" si="143"/>
        <v>0</v>
      </c>
      <c r="J1024" s="20">
        <f t="shared" ca="1" si="144"/>
        <v>0</v>
      </c>
      <c r="K1024" s="5">
        <f t="shared" ca="1" si="145"/>
        <v>0</v>
      </c>
      <c r="L1024" s="61">
        <f t="shared" ca="1" si="146"/>
        <v>0</v>
      </c>
      <c r="M1024" s="64">
        <f t="shared" si="147"/>
        <v>0</v>
      </c>
      <c r="N1024" s="151"/>
      <c r="O1024" s="5">
        <f t="shared" ca="1" si="148"/>
        <v>0</v>
      </c>
      <c r="P1024" s="446" t="e">
        <f t="shared" si="149"/>
        <v>#VALUE!</v>
      </c>
      <c r="Q1024" s="446" t="e">
        <f>IF(OR($B1024="",MIN(Q$38,$D$19)&lt;MAX($P$708*($B1024+IF($R$17="Distrato",$I$38-1,0)),IF(AND($L$711=0,$P$708=0),"",$L$711-1),IF($R$17="Distrato",$E1024,0))),0,YEARFRAC(MAX($P$708*($B1024+IF($R$17="Distrato",$I$38-1,0)),IF(AND($L$711=0,$P$708=0),"",$L$711-1),IF($R$17="Distrato",$E1024,0)),MIN(Q$38,$D$19),$P$20))-SUM($P1024:P1024)</f>
        <v>#VALUE!</v>
      </c>
      <c r="R1024" s="446" t="e">
        <f>IF(OR($B1024="",MIN(R$38,$D$19)&lt;MAX($P$708*($B1024+IF($R$17="Distrato",$I$38-1,0)),IF(AND($L$711=0,$P$708=0),"",$L$711-1),IF($R$17="Distrato",$E1024,0))),0,YEARFRAC(MAX($P$708*($B1024+IF($R$17="Distrato",$I$38-1,0)),IF(AND($L$711=0,$P$708=0),"",$L$711-1),IF($R$17="Distrato",$E1024,0)),MIN(R$38,$D$19),$P$20))-SUM($P1024:Q1024)</f>
        <v>#VALUE!</v>
      </c>
      <c r="S1024" s="446" t="e">
        <f>IF(OR($B1024="",MIN(S$38,$D$19)&lt;MAX($P$708*($B1024+IF($R$17="Distrato",$I$38-1,0)),IF(AND($L$711=0,$P$708=0),"",$L$711-1),IF($R$17="Distrato",$E1024,0))),0,YEARFRAC(MAX($P$708*($B1024+IF($R$17="Distrato",$I$38-1,0)),IF(AND($L$711=0,$P$708=0),"",$L$711-1),IF($R$17="Distrato",$E1024,0)),MIN(S$38,$D$19),$P$20))-SUM($P1024:R1024)</f>
        <v>#VALUE!</v>
      </c>
      <c r="T1024" s="446" t="e">
        <f>IF(OR($B1024="",MIN(T$38,$D$19)&lt;MAX($P$708*($B1024+IF($R$17="Distrato",$I$38-1,0)),IF(AND($L$711=0,$P$708=0),"",$L$711-1),IF($R$17="Distrato",$E1024,0))),0,YEARFRAC(MAX($P$708*($B1024+IF($R$17="Distrato",$I$38-1,0)),IF(AND($L$711=0,$P$708=0),"",$L$711-1),IF($R$17="Distrato",$E1024,0)),MIN(T$38,$D$19),$P$20))-SUM($P1024:S1024)</f>
        <v>#VALUE!</v>
      </c>
      <c r="U1024" s="446" t="e">
        <f>IF(OR($B1024="",MIN(U$38,$D$19)&lt;MAX($P$708*($B1024+IF($R$17="Distrato",$I$38-1,0)),IF(AND($L$711=0,$P$708=0),"",$L$711-1),IF($R$17="Distrato",$E1024,0))),0,YEARFRAC(MAX($P$708*($B1024+IF($R$17="Distrato",$I$38-1,0)),IF(AND($L$711=0,$P$708=0),"",$L$711-1),IF($R$17="Distrato",$E1024,0)),MIN(U$38,$D$19),$P$20))-SUM($P1024:T1024)</f>
        <v>#VALUE!</v>
      </c>
      <c r="V1024" s="446" t="e">
        <f>IF(OR($B1024="",MIN(V$38,$D$19)&lt;MAX($P$708*($B1024+IF($R$17="Distrato",$I$38-1,0)),IF(AND($L$711=0,$P$708=0),"",$L$711-1),IF($R$17="Distrato",$E1024,0))),0,YEARFRAC(MAX($P$708*($B1024+IF($R$17="Distrato",$I$38-1,0)),IF(AND($L$711=0,$P$708=0),"",$L$711-1),IF($R$17="Distrato",$E1024,0)),MIN(V$38,$D$19),$P$20))-SUM($P1024:U1024)</f>
        <v>#VALUE!</v>
      </c>
      <c r="W1024" s="446" t="e">
        <f>IF(OR($B1024="",MIN(W$38,$D$19)&lt;MAX($P$708*($B1024+IF($R$17="Distrato",$I$38-1,0)),IF(AND($L$711=0,$P$708=0),"",$L$711-1),IF($R$17="Distrato",$E1024,0))),0,YEARFRAC(MAX($P$708*($B1024+IF($R$17="Distrato",$I$38-1,0)),IF(AND($L$711=0,$P$708=0),"",$L$711-1),IF($R$17="Distrato",$E1024,0)),MIN(W$38,$D$19),$P$20))-SUM($P1024:V1024)</f>
        <v>#VALUE!</v>
      </c>
      <c r="X1024" s="446" t="e">
        <f>IF(OR($B1024="",MIN(X$38,$D$19)&lt;MAX($P$708*($B1024+IF($R$17="Distrato",$I$38-1,0)),IF(AND($L$711=0,$P$708=0),"",$L$711-1),IF($R$17="Distrato",$E1024,0))),0,YEARFRAC(MAX($P$708*($B1024+IF($R$17="Distrato",$I$38-1,0)),IF(AND($L$711=0,$P$708=0),"",$L$711-1),IF($R$17="Distrato",$E1024,0)),MIN(X$38,$D$19),$P$20))-SUM($P1024:W1024)</f>
        <v>#VALUE!</v>
      </c>
      <c r="Y1024" s="446" t="e">
        <f>IF(OR($B1024="",MIN(Y$38,$D$19)&lt;MAX($P$708*($B1024+IF($R$17="Distrato",$I$38-1,0)),IF(AND($L$711=0,$P$708=0),"",$L$711-1),IF($R$17="Distrato",$E1024,0))),0,YEARFRAC(MAX($P$708*($B1024+IF($R$17="Distrato",$I$38-1,0)),IF(AND($L$711=0,$P$708=0),"",$L$711-1),IF($R$17="Distrato",$E1024,0)),MIN(Y$38,$D$19),$P$20))-SUM($P1024:X1024)</f>
        <v>#VALUE!</v>
      </c>
      <c r="Z1024" s="446" t="e">
        <f>IF(OR($B1024="",MIN(Z$38,$D$19)&lt;MAX($P$708*($B1024+IF($R$17="Distrato",$I$38-1,0)),IF(AND($L$711=0,$P$708=0),"",$L$711-1),IF($R$17="Distrato",$E1024,0))),0,YEARFRAC(MAX($P$708*($B1024+IF($R$17="Distrato",$I$38-1,0)),IF(AND($L$711=0,$P$708=0),"",$L$711-1),IF($R$17="Distrato",$E1024,0)),MIN(Z$38,$D$19),$P$20))-SUM($P1024:Y1024)</f>
        <v>#VALUE!</v>
      </c>
      <c r="AA1024" s="446" t="e">
        <f>IF(OR($B1024="",MIN(AA$38,$D$19)&lt;MAX($P$708*($B1024+IF($R$17="Distrato",$I$38-1,0)),IF(AND($L$711=0,$P$708=0),"",$L$711-1),IF($R$17="Distrato",$E1024,0))),0,YEARFRAC(MAX($P$708*($B1024+IF($R$17="Distrato",$I$38-1,0)),IF(AND($L$711=0,$P$708=0),"",$L$711-1),IF($R$17="Distrato",$E1024,0)),MIN(AA$38,$D$19),$P$20))-SUM($P1024:Z1024)</f>
        <v>#VALUE!</v>
      </c>
      <c r="AB1024" s="446" t="e">
        <f>IF(OR($B1024="",MIN(AB$38,$D$19)&lt;MAX($P$708*($B1024+IF($R$17="Distrato",$I$38-1,0)),IF(AND($L$711=0,$P$708=0),"",$L$711-1),IF($R$17="Distrato",$E1024,0))),0,YEARFRAC(MAX($P$708*($B1024+IF($R$17="Distrato",$I$38-1,0)),IF(AND($L$711=0,$P$708=0),"",$L$711-1),IF($R$17="Distrato",$E1024,0)),MIN(AB$38,$D$19),$P$20))-SUM($P1024:AA1024)</f>
        <v>#VALUE!</v>
      </c>
      <c r="AC1024" s="446" t="e">
        <f>IF(OR($B1024="",MIN(AC$38,$D$19)&lt;MAX($P$708*($B1024+IF($R$17="Distrato",$I$38-1,0)),IF(AND($L$711=0,$P$708=0),"",$L$711-1),IF($R$17="Distrato",$E1024,0))),0,YEARFRAC(MAX($P$708*($B1024+IF($R$17="Distrato",$I$38-1,0)),IF(AND($L$711=0,$P$708=0),"",$L$711-1),IF($R$17="Distrato",$E1024,0)),MIN(AC$38,$D$19),$P$20))-SUM($P1024:AB1024)</f>
        <v>#VALUE!</v>
      </c>
      <c r="AD1024" s="446" t="e">
        <f>IF(OR($B1024="",MIN(AD$38,$D$19)&lt;MAX($P$708*($B1024+IF($R$17="Distrato",$I$38-1,0)),IF(AND($L$711=0,$P$708=0),"",$L$711-1),IF($R$17="Distrato",$E1024,0))),0,YEARFRAC(MAX($P$708*($B1024+IF($R$17="Distrato",$I$38-1,0)),IF(AND($L$711=0,$P$708=0),"",$L$711-1),IF($R$17="Distrato",$E1024,0)),MIN(AD$38,$D$19),$P$20))-SUM($P1024:AC1024)</f>
        <v>#VALUE!</v>
      </c>
      <c r="AE1024" s="446" t="e">
        <f>IF(OR($B1024="",MIN(AE$38,$D$19)&lt;MAX($P$708*($B1024+IF($R$17="Distrato",$I$38-1,0)),IF(AND($L$711=0,$P$708=0),"",$L$711-1),IF($R$17="Distrato",$E1024,0))),0,YEARFRAC(MAX($P$708*($B1024+IF($R$17="Distrato",$I$38-1,0)),IF(AND($L$711=0,$P$708=0),"",$L$711-1),IF($R$17="Distrato",$E1024,0)),MIN(AE$38,$D$19),$P$20))-SUM($P1024:AD1024)</f>
        <v>#VALUE!</v>
      </c>
      <c r="AF1024" s="446" t="e">
        <f>IF(OR($B1024="",MIN(AF$38,$D$19)&lt;MAX($P$708*($B1024+IF($R$17="Distrato",$I$38-1,0)),IF(AND($L$711=0,$P$708=0),"",$L$711-1),IF($R$17="Distrato",$E1024,0))),0,YEARFRAC(MAX($P$708*($B1024+IF($R$17="Distrato",$I$38-1,0)),IF(AND($L$711=0,$P$708=0),"",$L$711-1),IF($R$17="Distrato",$E1024,0)),MIN(AF$38,$D$19),$P$20))-SUM($P1024:AE1024)</f>
        <v>#VALUE!</v>
      </c>
      <c r="AG1024" s="446" t="e">
        <f>IF(OR($B1024="",MIN(AG$38,$D$19)&lt;MAX($P$708*($B1024+IF($R$17="Distrato",$I$38-1,0)),IF(AND($L$711=0,$P$708=0),"",$L$711-1),IF($R$17="Distrato",$E1024,0))),0,YEARFRAC(MAX($P$708*($B1024+IF($R$17="Distrato",$I$38-1,0)),IF(AND($L$711=0,$P$708=0),"",$L$711-1),IF($R$17="Distrato",$E1024,0)),MIN(AG$38,$D$19),$P$20))-SUM($P1024:AF1024)</f>
        <v>#VALUE!</v>
      </c>
      <c r="AH1024" s="446" t="e">
        <f>IF(OR($B1024="",MIN(AH$38,$D$19)&lt;MAX($P$708*($B1024+IF($R$17="Distrato",$I$38-1,0)),IF(AND($L$711=0,$P$708=0),"",$L$711-1),IF($R$17="Distrato",$E1024,0))),0,YEARFRAC(MAX($P$708*($B1024+IF($R$17="Distrato",$I$38-1,0)),IF(AND($L$711=0,$P$708=0),"",$L$711-1),IF($R$17="Distrato",$E1024,0)),MIN(AH$38,$D$19),$P$20))-SUM($P1024:AG1024)</f>
        <v>#VALUE!</v>
      </c>
      <c r="AI1024" s="446" t="e">
        <f>IF(OR($B1024="",MIN(AI$38,$D$19)&lt;MAX($P$708*($B1024+IF($R$17="Distrato",$I$38-1,0)),IF(AND($L$711=0,$P$708=0),"",$L$711-1),IF($R$17="Distrato",$E1024,0))),0,YEARFRAC(MAX($P$708*($B1024+IF($R$17="Distrato",$I$38-1,0)),IF(AND($L$711=0,$P$708=0),"",$L$711-1),IF($R$17="Distrato",$E1024,0)),MIN(AI$38,$D$19),$P$20))-SUM($P1024:AH1024)</f>
        <v>#VALUE!</v>
      </c>
      <c r="AJ1024" s="446" t="e">
        <f>IF(OR($B1024="",MIN(AJ$38,$D$19)&lt;MAX($P$708*($B1024+IF($R$17="Distrato",$I$38-1,0)),IF(AND($L$711=0,$P$708=0),"",$L$711-1),IF($R$17="Distrato",$E1024,0))),0,YEARFRAC(MAX($P$708*($B1024+IF($R$17="Distrato",$I$38-1,0)),IF(AND($L$711=0,$P$708=0),"",$L$711-1),IF($R$17="Distrato",$E1024,0)),MIN(AJ$38,$D$19),$P$20))-SUM($P1024:AI1024)</f>
        <v>#VALUE!</v>
      </c>
      <c r="AK1024" s="446" t="e">
        <f>IF(OR($B1024="",MIN(AK$38,$D$19)&lt;MAX($P$708*($B1024+IF($R$17="Distrato",$I$38-1,0)),IF(AND($L$711=0,$P$708=0),"",$L$711-1),IF($R$17="Distrato",$E1024,0))),0,YEARFRAC(MAX($P$708*($B1024+IF($R$17="Distrato",$I$38-1,0)),IF(AND($L$711=0,$P$708=0),"",$L$711-1),IF($R$17="Distrato",$E1024,0)),MIN(AK$38,$D$19),$P$20))-SUM($P1024:AJ1024)</f>
        <v>#VALUE!</v>
      </c>
      <c r="AL1024" s="446" t="e">
        <f>IF(OR($B1024="",MIN(AL$38,$D$19)&lt;MAX($P$708*($B1024+IF($R$17="Distrato",$I$38-1,0)),IF(AND($L$711=0,$P$708=0),"",$L$711-1),IF($R$17="Distrato",$E1024,0))),0,YEARFRAC(MAX($P$708*($B1024+IF($R$17="Distrato",$I$38-1,0)),IF(AND($L$711=0,$P$708=0),"",$L$711-1),IF($R$17="Distrato",$E1024,0)),MIN(AL$38,$D$19),$P$20))-SUM($P1024:AK1024)</f>
        <v>#VALUE!</v>
      </c>
      <c r="AM1024" s="446" t="e">
        <f>IF(OR($B1024="",MIN(AM$38,$D$19)&lt;MAX($P$708*($B1024+IF($R$17="Distrato",$I$38-1,0)),IF(AND($L$711=0,$P$708=0),"",$L$711-1),IF($R$17="Distrato",$E1024,0))),0,YEARFRAC(MAX($P$708*($B1024+IF($R$17="Distrato",$I$38-1,0)),IF(AND($L$711=0,$P$708=0),"",$L$711-1),IF($R$17="Distrato",$E1024,0)),MIN(AM$38,$D$19),$P$20))-SUM($P1024:AL1024)</f>
        <v>#VALUE!</v>
      </c>
      <c r="AN1024" s="446" t="e">
        <f>IF(OR($B1024="",MIN(AN$38,$D$19)&lt;MAX($P$708*($B1024+IF($R$17="Distrato",$I$38-1,0)),IF(AND($L$711=0,$P$708=0),"",$L$711-1),IF($R$17="Distrato",$E1024,0))),0,YEARFRAC(MAX($P$708*($B1024+IF($R$17="Distrato",$I$38-1,0)),IF(AND($L$711=0,$P$708=0),"",$L$711-1),IF($R$17="Distrato",$E1024,0)),MIN(AN$38,$D$19),$P$20))-SUM($P1024:AM1024)</f>
        <v>#VALUE!</v>
      </c>
      <c r="AO1024" s="446" t="e">
        <f>IF(OR($B1024="",MIN(AO$38,$D$19)&lt;MAX($P$708*($B1024+IF($R$17="Distrato",$I$38-1,0)),IF(AND($L$711=0,$P$708=0),"",$L$711-1),IF($R$17="Distrato",$E1024,0))),0,YEARFRAC(MAX($P$708*($B1024+IF($R$17="Distrato",$I$38-1,0)),IF(AND($L$711=0,$P$708=0),"",$L$711-1),IF($R$17="Distrato",$E1024,0)),MIN(AO$38,$D$19),$P$20))-SUM($P1024:AN1024)</f>
        <v>#VALUE!</v>
      </c>
      <c r="AP1024" s="446" t="e">
        <f>IF(OR($B1024="",MIN(AP$38,$D$19)&lt;MAX($P$708*($B1024+IF($R$17="Distrato",$I$38-1,0)),IF(AND($L$711=0,$P$708=0),"",$L$711-1),IF($R$17="Distrato",$E1024,0))),0,YEARFRAC(MAX($P$708*($B1024+IF($R$17="Distrato",$I$38-1,0)),IF(AND($L$711=0,$P$708=0),"",$L$711-1),IF($R$17="Distrato",$E1024,0)),MIN(AP$38,$D$19),$P$20))-SUM($P1024:AO1024)</f>
        <v>#VALUE!</v>
      </c>
      <c r="AQ1024" s="446" t="e">
        <f>IF(OR($B1024="",MIN(AQ$38,$D$19)&lt;MAX($P$708*($B1024+IF($R$17="Distrato",$I$38-1,0)),IF(AND($L$711=0,$P$708=0),"",$L$711-1),IF($R$17="Distrato",$E1024,0))),0,YEARFRAC(MAX($P$708*($B1024+IF($R$17="Distrato",$I$38-1,0)),IF(AND($L$711=0,$P$708=0),"",$L$711-1),IF($R$17="Distrato",$E1024,0)),MIN(AQ$38,$D$19),$P$20))-SUM($P1024:AP1024)</f>
        <v>#VALUE!</v>
      </c>
      <c r="AR1024" s="446" t="e">
        <f>IF(OR($B1024="",MIN(AR$38,$D$19)&lt;MAX($P$708*($B1024+IF($R$17="Distrato",$I$38-1,0)),IF(AND($L$711=0,$P$708=0),"",$L$711-1),IF($R$17="Distrato",$E1024,0))),0,YEARFRAC(MAX($P$708*($B1024+IF($R$17="Distrato",$I$38-1,0)),IF(AND($L$711=0,$P$708=0),"",$L$711-1),IF($R$17="Distrato",$E1024,0)),MIN(AR$38,$D$19),$P$20))-SUM($P1024:AQ1024)</f>
        <v>#VALUE!</v>
      </c>
      <c r="AS1024" s="446" t="e">
        <f>IF(OR($B1024="",MIN(AS$38,$D$19)&lt;MAX($P$708*($B1024+IF($R$17="Distrato",$I$38-1,0)),IF(AND($L$711=0,$P$708=0),"",$L$711-1),IF($R$17="Distrato",$E1024,0))),0,YEARFRAC(MAX($P$708*($B1024+IF($R$17="Distrato",$I$38-1,0)),IF(AND($L$711=0,$P$708=0),"",$L$711-1),IF($R$17="Distrato",$E1024,0)),MIN(AS$38,$D$19),$P$20))-SUM($P1024:AR1024)</f>
        <v>#VALUE!</v>
      </c>
      <c r="AT1024" s="446" t="e">
        <f>IF(OR($B1024="",MIN(AT$38,$D$19)&lt;MAX($P$708*($B1024+IF($R$17="Distrato",$I$38-1,0)),IF(AND($L$711=0,$P$708=0),"",$L$711-1),IF($R$17="Distrato",$E1024,0))),0,YEARFRAC(MAX($P$708*($B1024+IF($R$17="Distrato",$I$38-1,0)),IF(AND($L$711=0,$P$708=0),"",$L$711-1),IF($R$17="Distrato",$E1024,0)),MIN(AT$38,$D$19),$P$20))-SUM($P1024:AS1024)</f>
        <v>#VALUE!</v>
      </c>
      <c r="AU1024" s="446" t="e">
        <f>IF(OR($B1024="",MIN(AU$38,$D$19)&lt;MAX($P$708*($B1024+IF($R$17="Distrato",$I$38-1,0)),IF(AND($L$711=0,$P$708=0),"",$L$711-1),IF($R$17="Distrato",$E1024,0))),0,YEARFRAC(MAX($P$708*($B1024+IF($R$17="Distrato",$I$38-1,0)),IF(AND($L$711=0,$P$708=0),"",$L$711-1),IF($R$17="Distrato",$E1024,0)),MIN(AU$38,$D$19),$P$20))-SUM($P1024:AT1024)</f>
        <v>#VALUE!</v>
      </c>
      <c r="AV1024" s="446" t="e">
        <f>IF(OR($B1024="",MIN(AV$38,$D$19)&lt;MAX($P$708*($B1024+IF($R$17="Distrato",$I$38-1,0)),IF(AND($L$711=0,$P$708=0),"",$L$711-1),IF($R$17="Distrato",$E1024,0))),0,YEARFRAC(MAX($P$708*($B1024+IF($R$17="Distrato",$I$38-1,0)),IF(AND($L$711=0,$P$708=0),"",$L$711-1),IF($R$17="Distrato",$E1024,0)),MIN(AV$38,$D$19),$P$20))-SUM($P1024:AU1024)</f>
        <v>#VALUE!</v>
      </c>
      <c r="AW1024" s="446" t="e">
        <f>IF(OR($B1024="",MIN(AW$38,$D$19)&lt;MAX($P$708*($B1024+IF($R$17="Distrato",$I$38-1,0)),IF(AND($L$711=0,$P$708=0),"",$L$711-1),IF($R$17="Distrato",$E1024,0))),0,YEARFRAC(MAX($P$708*($B1024+IF($R$17="Distrato",$I$38-1,0)),IF(AND($L$711=0,$P$708=0),"",$L$711-1),IF($R$17="Distrato",$E1024,0)),MIN(AW$38,$D$19),$P$20))-SUM($P1024:AV1024)</f>
        <v>#VALUE!</v>
      </c>
      <c r="AX1024" s="446" t="e">
        <f>IF(OR($B1024="",MIN(AX$38,$D$19)&lt;MAX($P$708*($B1024+IF($R$17="Distrato",$I$38-1,0)),IF(AND($L$711=0,$P$708=0),"",$L$711-1),IF($R$17="Distrato",$E1024,0))),0,YEARFRAC(MAX($P$708*($B1024+IF($R$17="Distrato",$I$38-1,0)),IF(AND($L$711=0,$P$708=0),"",$L$711-1),IF($R$17="Distrato",$E1024,0)),MIN(AX$38,$D$19),$P$20))-SUM($P1024:AW1024)</f>
        <v>#VALUE!</v>
      </c>
      <c r="AY1024" s="446" t="e">
        <f>IF(OR($B1024="",MIN(AY$38,$D$19)&lt;MAX($P$708*($B1024+IF($R$17="Distrato",$I$38-1,0)),IF(AND($L$711=0,$P$708=0),"",$L$711-1),IF($R$17="Distrato",$E1024,0))),0,YEARFRAC(MAX($P$708*($B1024+IF($R$17="Distrato",$I$38-1,0)),IF(AND($L$711=0,$P$708=0),"",$L$711-1),IF($R$17="Distrato",$E1024,0)),MIN(AY$38,$D$19),$P$20))-SUM($P1024:AX1024)</f>
        <v>#VALUE!</v>
      </c>
      <c r="AZ1024" s="446" t="e">
        <f>IF(OR($B1024="",MIN(AZ$38,$D$19)&lt;MAX($P$708*($B1024+IF($R$17="Distrato",$I$38-1,0)),IF(AND($L$711=0,$P$708=0),"",$L$711-1),IF($R$17="Distrato",$E1024,0))),0,YEARFRAC(MAX($P$708*($B1024+IF($R$17="Distrato",$I$38-1,0)),IF(AND($L$711=0,$P$708=0),"",$L$711-1),IF($R$17="Distrato",$E1024,0)),MIN(AZ$38,$D$19),$P$20))-SUM($P1024:AY1024)</f>
        <v>#VALUE!</v>
      </c>
      <c r="BA1024" s="446" t="e">
        <f>IF(OR($B1024="",MIN(BA$38,$D$19)&lt;MAX($P$708*($B1024+IF($R$17="Distrato",$I$38-1,0)),IF(AND($L$711=0,$P$708=0),"",$L$711-1),IF($R$17="Distrato",$E1024,0))),0,YEARFRAC(MAX($P$708*($B1024+IF($R$17="Distrato",$I$38-1,0)),IF(AND($L$711=0,$P$708=0),"",$L$711-1),IF($R$17="Distrato",$E1024,0)),MIN(BA$38,$D$19),$P$20))-SUM($P1024:AZ1024)</f>
        <v>#VALUE!</v>
      </c>
      <c r="BB1024" s="447"/>
    </row>
    <row r="1025" spans="1:54" s="446" customFormat="1" ht="11.25" hidden="1" customHeight="1" x14ac:dyDescent="0.2">
      <c r="A1025" s="235"/>
      <c r="B1025" s="236"/>
      <c r="C1025" s="29" t="str">
        <f>IF(B1025="","",IF($L$709=$BL$25,VLOOKUP(DATE(YEAR($D$19),MONTH($D$19)-1,1),ÍNDICES!$A:$DE,HLOOKUP($BL$25,ÍNDICES!$B$3:$T$4,2)+11)-VLOOKUP(B1025,ÍNDICES!$A:$DE,HLOOKUP($BL$25,ÍNDICES!$B$3:$T$4,2)+11)+1%,IF(C$712=$W$26,$J$35,IF(ISERROR(IF(B1025&gt;$D$19,1,VLOOKUP(DATE(YEAR(B1025),MONTH(B1025)+IF($C$709=$S$23,1,0),1),ÍNDICES!$A:$DE,$Z$709+1))),"",IF(B1025&gt;$D$19,1,VLOOKUP(DATE(YEAR(B1025),MONTH(B1025)+IF($C$709=$S$23,1,0),1),ÍNDICES!$A:$DE,$Z$709+1))))))</f>
        <v/>
      </c>
      <c r="D1025" s="155"/>
      <c r="E1025" s="88"/>
      <c r="F1025" s="88"/>
      <c r="G1025" s="88"/>
      <c r="H1025" s="118"/>
      <c r="I1025" s="182">
        <f t="shared" si="143"/>
        <v>0</v>
      </c>
      <c r="J1025" s="20">
        <f t="shared" ca="1" si="144"/>
        <v>0</v>
      </c>
      <c r="K1025" s="5">
        <f t="shared" ca="1" si="145"/>
        <v>0</v>
      </c>
      <c r="L1025" s="61">
        <f t="shared" ca="1" si="146"/>
        <v>0</v>
      </c>
      <c r="M1025" s="64">
        <f t="shared" si="147"/>
        <v>0</v>
      </c>
      <c r="N1025" s="151"/>
      <c r="O1025" s="5">
        <f t="shared" ca="1" si="148"/>
        <v>0</v>
      </c>
      <c r="P1025" s="446" t="e">
        <f t="shared" si="149"/>
        <v>#VALUE!</v>
      </c>
      <c r="Q1025" s="446" t="e">
        <f>IF(OR($B1025="",MIN(Q$38,$D$19)&lt;MAX($P$708*($B1025+IF($R$17="Distrato",$I$38-1,0)),IF(AND($L$711=0,$P$708=0),"",$L$711-1),IF($R$17="Distrato",$E1025,0))),0,YEARFRAC(MAX($P$708*($B1025+IF($R$17="Distrato",$I$38-1,0)),IF(AND($L$711=0,$P$708=0),"",$L$711-1),IF($R$17="Distrato",$E1025,0)),MIN(Q$38,$D$19),$P$20))-SUM($P1025:P1025)</f>
        <v>#VALUE!</v>
      </c>
      <c r="R1025" s="446" t="e">
        <f>IF(OR($B1025="",MIN(R$38,$D$19)&lt;MAX($P$708*($B1025+IF($R$17="Distrato",$I$38-1,0)),IF(AND($L$711=0,$P$708=0),"",$L$711-1),IF($R$17="Distrato",$E1025,0))),0,YEARFRAC(MAX($P$708*($B1025+IF($R$17="Distrato",$I$38-1,0)),IF(AND($L$711=0,$P$708=0),"",$L$711-1),IF($R$17="Distrato",$E1025,0)),MIN(R$38,$D$19),$P$20))-SUM($P1025:Q1025)</f>
        <v>#VALUE!</v>
      </c>
      <c r="S1025" s="446" t="e">
        <f>IF(OR($B1025="",MIN(S$38,$D$19)&lt;MAX($P$708*($B1025+IF($R$17="Distrato",$I$38-1,0)),IF(AND($L$711=0,$P$708=0),"",$L$711-1),IF($R$17="Distrato",$E1025,0))),0,YEARFRAC(MAX($P$708*($B1025+IF($R$17="Distrato",$I$38-1,0)),IF(AND($L$711=0,$P$708=0),"",$L$711-1),IF($R$17="Distrato",$E1025,0)),MIN(S$38,$D$19),$P$20))-SUM($P1025:R1025)</f>
        <v>#VALUE!</v>
      </c>
      <c r="T1025" s="446" t="e">
        <f>IF(OR($B1025="",MIN(T$38,$D$19)&lt;MAX($P$708*($B1025+IF($R$17="Distrato",$I$38-1,0)),IF(AND($L$711=0,$P$708=0),"",$L$711-1),IF($R$17="Distrato",$E1025,0))),0,YEARFRAC(MAX($P$708*($B1025+IF($R$17="Distrato",$I$38-1,0)),IF(AND($L$711=0,$P$708=0),"",$L$711-1),IF($R$17="Distrato",$E1025,0)),MIN(T$38,$D$19),$P$20))-SUM($P1025:S1025)</f>
        <v>#VALUE!</v>
      </c>
      <c r="U1025" s="446" t="e">
        <f>IF(OR($B1025="",MIN(U$38,$D$19)&lt;MAX($P$708*($B1025+IF($R$17="Distrato",$I$38-1,0)),IF(AND($L$711=0,$P$708=0),"",$L$711-1),IF($R$17="Distrato",$E1025,0))),0,YEARFRAC(MAX($P$708*($B1025+IF($R$17="Distrato",$I$38-1,0)),IF(AND($L$711=0,$P$708=0),"",$L$711-1),IF($R$17="Distrato",$E1025,0)),MIN(U$38,$D$19),$P$20))-SUM($P1025:T1025)</f>
        <v>#VALUE!</v>
      </c>
      <c r="V1025" s="446" t="e">
        <f>IF(OR($B1025="",MIN(V$38,$D$19)&lt;MAX($P$708*($B1025+IF($R$17="Distrato",$I$38-1,0)),IF(AND($L$711=0,$P$708=0),"",$L$711-1),IF($R$17="Distrato",$E1025,0))),0,YEARFRAC(MAX($P$708*($B1025+IF($R$17="Distrato",$I$38-1,0)),IF(AND($L$711=0,$P$708=0),"",$L$711-1),IF($R$17="Distrato",$E1025,0)),MIN(V$38,$D$19),$P$20))-SUM($P1025:U1025)</f>
        <v>#VALUE!</v>
      </c>
      <c r="W1025" s="446" t="e">
        <f>IF(OR($B1025="",MIN(W$38,$D$19)&lt;MAX($P$708*($B1025+IF($R$17="Distrato",$I$38-1,0)),IF(AND($L$711=0,$P$708=0),"",$L$711-1),IF($R$17="Distrato",$E1025,0))),0,YEARFRAC(MAX($P$708*($B1025+IF($R$17="Distrato",$I$38-1,0)),IF(AND($L$711=0,$P$708=0),"",$L$711-1),IF($R$17="Distrato",$E1025,0)),MIN(W$38,$D$19),$P$20))-SUM($P1025:V1025)</f>
        <v>#VALUE!</v>
      </c>
      <c r="X1025" s="446" t="e">
        <f>IF(OR($B1025="",MIN(X$38,$D$19)&lt;MAX($P$708*($B1025+IF($R$17="Distrato",$I$38-1,0)),IF(AND($L$711=0,$P$708=0),"",$L$711-1),IF($R$17="Distrato",$E1025,0))),0,YEARFRAC(MAX($P$708*($B1025+IF($R$17="Distrato",$I$38-1,0)),IF(AND($L$711=0,$P$708=0),"",$L$711-1),IF($R$17="Distrato",$E1025,0)),MIN(X$38,$D$19),$P$20))-SUM($P1025:W1025)</f>
        <v>#VALUE!</v>
      </c>
      <c r="Y1025" s="446" t="e">
        <f>IF(OR($B1025="",MIN(Y$38,$D$19)&lt;MAX($P$708*($B1025+IF($R$17="Distrato",$I$38-1,0)),IF(AND($L$711=0,$P$708=0),"",$L$711-1),IF($R$17="Distrato",$E1025,0))),0,YEARFRAC(MAX($P$708*($B1025+IF($R$17="Distrato",$I$38-1,0)),IF(AND($L$711=0,$P$708=0),"",$L$711-1),IF($R$17="Distrato",$E1025,0)),MIN(Y$38,$D$19),$P$20))-SUM($P1025:X1025)</f>
        <v>#VALUE!</v>
      </c>
      <c r="Z1025" s="446" t="e">
        <f>IF(OR($B1025="",MIN(Z$38,$D$19)&lt;MAX($P$708*($B1025+IF($R$17="Distrato",$I$38-1,0)),IF(AND($L$711=0,$P$708=0),"",$L$711-1),IF($R$17="Distrato",$E1025,0))),0,YEARFRAC(MAX($P$708*($B1025+IF($R$17="Distrato",$I$38-1,0)),IF(AND($L$711=0,$P$708=0),"",$L$711-1),IF($R$17="Distrato",$E1025,0)),MIN(Z$38,$D$19),$P$20))-SUM($P1025:Y1025)</f>
        <v>#VALUE!</v>
      </c>
      <c r="AA1025" s="446" t="e">
        <f>IF(OR($B1025="",MIN(AA$38,$D$19)&lt;MAX($P$708*($B1025+IF($R$17="Distrato",$I$38-1,0)),IF(AND($L$711=0,$P$708=0),"",$L$711-1),IF($R$17="Distrato",$E1025,0))),0,YEARFRAC(MAX($P$708*($B1025+IF($R$17="Distrato",$I$38-1,0)),IF(AND($L$711=0,$P$708=0),"",$L$711-1),IF($R$17="Distrato",$E1025,0)),MIN(AA$38,$D$19),$P$20))-SUM($P1025:Z1025)</f>
        <v>#VALUE!</v>
      </c>
      <c r="AB1025" s="446" t="e">
        <f>IF(OR($B1025="",MIN(AB$38,$D$19)&lt;MAX($P$708*($B1025+IF($R$17="Distrato",$I$38-1,0)),IF(AND($L$711=0,$P$708=0),"",$L$711-1),IF($R$17="Distrato",$E1025,0))),0,YEARFRAC(MAX($P$708*($B1025+IF($R$17="Distrato",$I$38-1,0)),IF(AND($L$711=0,$P$708=0),"",$L$711-1),IF($R$17="Distrato",$E1025,0)),MIN(AB$38,$D$19),$P$20))-SUM($P1025:AA1025)</f>
        <v>#VALUE!</v>
      </c>
      <c r="AC1025" s="446" t="e">
        <f>IF(OR($B1025="",MIN(AC$38,$D$19)&lt;MAX($P$708*($B1025+IF($R$17="Distrato",$I$38-1,0)),IF(AND($L$711=0,$P$708=0),"",$L$711-1),IF($R$17="Distrato",$E1025,0))),0,YEARFRAC(MAX($P$708*($B1025+IF($R$17="Distrato",$I$38-1,0)),IF(AND($L$711=0,$P$708=0),"",$L$711-1),IF($R$17="Distrato",$E1025,0)),MIN(AC$38,$D$19),$P$20))-SUM($P1025:AB1025)</f>
        <v>#VALUE!</v>
      </c>
      <c r="AD1025" s="446" t="e">
        <f>IF(OR($B1025="",MIN(AD$38,$D$19)&lt;MAX($P$708*($B1025+IF($R$17="Distrato",$I$38-1,0)),IF(AND($L$711=0,$P$708=0),"",$L$711-1),IF($R$17="Distrato",$E1025,0))),0,YEARFRAC(MAX($P$708*($B1025+IF($R$17="Distrato",$I$38-1,0)),IF(AND($L$711=0,$P$708=0),"",$L$711-1),IF($R$17="Distrato",$E1025,0)),MIN(AD$38,$D$19),$P$20))-SUM($P1025:AC1025)</f>
        <v>#VALUE!</v>
      </c>
      <c r="AE1025" s="446" t="e">
        <f>IF(OR($B1025="",MIN(AE$38,$D$19)&lt;MAX($P$708*($B1025+IF($R$17="Distrato",$I$38-1,0)),IF(AND($L$711=0,$P$708=0),"",$L$711-1),IF($R$17="Distrato",$E1025,0))),0,YEARFRAC(MAX($P$708*($B1025+IF($R$17="Distrato",$I$38-1,0)),IF(AND($L$711=0,$P$708=0),"",$L$711-1),IF($R$17="Distrato",$E1025,0)),MIN(AE$38,$D$19),$P$20))-SUM($P1025:AD1025)</f>
        <v>#VALUE!</v>
      </c>
      <c r="AF1025" s="446" t="e">
        <f>IF(OR($B1025="",MIN(AF$38,$D$19)&lt;MAX($P$708*($B1025+IF($R$17="Distrato",$I$38-1,0)),IF(AND($L$711=0,$P$708=0),"",$L$711-1),IF($R$17="Distrato",$E1025,0))),0,YEARFRAC(MAX($P$708*($B1025+IF($R$17="Distrato",$I$38-1,0)),IF(AND($L$711=0,$P$708=0),"",$L$711-1),IF($R$17="Distrato",$E1025,0)),MIN(AF$38,$D$19),$P$20))-SUM($P1025:AE1025)</f>
        <v>#VALUE!</v>
      </c>
      <c r="AG1025" s="446" t="e">
        <f>IF(OR($B1025="",MIN(AG$38,$D$19)&lt;MAX($P$708*($B1025+IF($R$17="Distrato",$I$38-1,0)),IF(AND($L$711=0,$P$708=0),"",$L$711-1),IF($R$17="Distrato",$E1025,0))),0,YEARFRAC(MAX($P$708*($B1025+IF($R$17="Distrato",$I$38-1,0)),IF(AND($L$711=0,$P$708=0),"",$L$711-1),IF($R$17="Distrato",$E1025,0)),MIN(AG$38,$D$19),$P$20))-SUM($P1025:AF1025)</f>
        <v>#VALUE!</v>
      </c>
      <c r="AH1025" s="446" t="e">
        <f>IF(OR($B1025="",MIN(AH$38,$D$19)&lt;MAX($P$708*($B1025+IF($R$17="Distrato",$I$38-1,0)),IF(AND($L$711=0,$P$708=0),"",$L$711-1),IF($R$17="Distrato",$E1025,0))),0,YEARFRAC(MAX($P$708*($B1025+IF($R$17="Distrato",$I$38-1,0)),IF(AND($L$711=0,$P$708=0),"",$L$711-1),IF($R$17="Distrato",$E1025,0)),MIN(AH$38,$D$19),$P$20))-SUM($P1025:AG1025)</f>
        <v>#VALUE!</v>
      </c>
      <c r="AI1025" s="446" t="e">
        <f>IF(OR($B1025="",MIN(AI$38,$D$19)&lt;MAX($P$708*($B1025+IF($R$17="Distrato",$I$38-1,0)),IF(AND($L$711=0,$P$708=0),"",$L$711-1),IF($R$17="Distrato",$E1025,0))),0,YEARFRAC(MAX($P$708*($B1025+IF($R$17="Distrato",$I$38-1,0)),IF(AND($L$711=0,$P$708=0),"",$L$711-1),IF($R$17="Distrato",$E1025,0)),MIN(AI$38,$D$19),$P$20))-SUM($P1025:AH1025)</f>
        <v>#VALUE!</v>
      </c>
      <c r="AJ1025" s="446" t="e">
        <f>IF(OR($B1025="",MIN(AJ$38,$D$19)&lt;MAX($P$708*($B1025+IF($R$17="Distrato",$I$38-1,0)),IF(AND($L$711=0,$P$708=0),"",$L$711-1),IF($R$17="Distrato",$E1025,0))),0,YEARFRAC(MAX($P$708*($B1025+IF($R$17="Distrato",$I$38-1,0)),IF(AND($L$711=0,$P$708=0),"",$L$711-1),IF($R$17="Distrato",$E1025,0)),MIN(AJ$38,$D$19),$P$20))-SUM($P1025:AI1025)</f>
        <v>#VALUE!</v>
      </c>
      <c r="AK1025" s="446" t="e">
        <f>IF(OR($B1025="",MIN(AK$38,$D$19)&lt;MAX($P$708*($B1025+IF($R$17="Distrato",$I$38-1,0)),IF(AND($L$711=0,$P$708=0),"",$L$711-1),IF($R$17="Distrato",$E1025,0))),0,YEARFRAC(MAX($P$708*($B1025+IF($R$17="Distrato",$I$38-1,0)),IF(AND($L$711=0,$P$708=0),"",$L$711-1),IF($R$17="Distrato",$E1025,0)),MIN(AK$38,$D$19),$P$20))-SUM($P1025:AJ1025)</f>
        <v>#VALUE!</v>
      </c>
      <c r="AL1025" s="446" t="e">
        <f>IF(OR($B1025="",MIN(AL$38,$D$19)&lt;MAX($P$708*($B1025+IF($R$17="Distrato",$I$38-1,0)),IF(AND($L$711=0,$P$708=0),"",$L$711-1),IF($R$17="Distrato",$E1025,0))),0,YEARFRAC(MAX($P$708*($B1025+IF($R$17="Distrato",$I$38-1,0)),IF(AND($L$711=0,$P$708=0),"",$L$711-1),IF($R$17="Distrato",$E1025,0)),MIN(AL$38,$D$19),$P$20))-SUM($P1025:AK1025)</f>
        <v>#VALUE!</v>
      </c>
      <c r="AM1025" s="446" t="e">
        <f>IF(OR($B1025="",MIN(AM$38,$D$19)&lt;MAX($P$708*($B1025+IF($R$17="Distrato",$I$38-1,0)),IF(AND($L$711=0,$P$708=0),"",$L$711-1),IF($R$17="Distrato",$E1025,0))),0,YEARFRAC(MAX($P$708*($B1025+IF($R$17="Distrato",$I$38-1,0)),IF(AND($L$711=0,$P$708=0),"",$L$711-1),IF($R$17="Distrato",$E1025,0)),MIN(AM$38,$D$19),$P$20))-SUM($P1025:AL1025)</f>
        <v>#VALUE!</v>
      </c>
      <c r="AN1025" s="446" t="e">
        <f>IF(OR($B1025="",MIN(AN$38,$D$19)&lt;MAX($P$708*($B1025+IF($R$17="Distrato",$I$38-1,0)),IF(AND($L$711=0,$P$708=0),"",$L$711-1),IF($R$17="Distrato",$E1025,0))),0,YEARFRAC(MAX($P$708*($B1025+IF($R$17="Distrato",$I$38-1,0)),IF(AND($L$711=0,$P$708=0),"",$L$711-1),IF($R$17="Distrato",$E1025,0)),MIN(AN$38,$D$19),$P$20))-SUM($P1025:AM1025)</f>
        <v>#VALUE!</v>
      </c>
      <c r="AO1025" s="446" t="e">
        <f>IF(OR($B1025="",MIN(AO$38,$D$19)&lt;MAX($P$708*($B1025+IF($R$17="Distrato",$I$38-1,0)),IF(AND($L$711=0,$P$708=0),"",$L$711-1),IF($R$17="Distrato",$E1025,0))),0,YEARFRAC(MAX($P$708*($B1025+IF($R$17="Distrato",$I$38-1,0)),IF(AND($L$711=0,$P$708=0),"",$L$711-1),IF($R$17="Distrato",$E1025,0)),MIN(AO$38,$D$19),$P$20))-SUM($P1025:AN1025)</f>
        <v>#VALUE!</v>
      </c>
      <c r="AP1025" s="446" t="e">
        <f>IF(OR($B1025="",MIN(AP$38,$D$19)&lt;MAX($P$708*($B1025+IF($R$17="Distrato",$I$38-1,0)),IF(AND($L$711=0,$P$708=0),"",$L$711-1),IF($R$17="Distrato",$E1025,0))),0,YEARFRAC(MAX($P$708*($B1025+IF($R$17="Distrato",$I$38-1,0)),IF(AND($L$711=0,$P$708=0),"",$L$711-1),IF($R$17="Distrato",$E1025,0)),MIN(AP$38,$D$19),$P$20))-SUM($P1025:AO1025)</f>
        <v>#VALUE!</v>
      </c>
      <c r="AQ1025" s="446" t="e">
        <f>IF(OR($B1025="",MIN(AQ$38,$D$19)&lt;MAX($P$708*($B1025+IF($R$17="Distrato",$I$38-1,0)),IF(AND($L$711=0,$P$708=0),"",$L$711-1),IF($R$17="Distrato",$E1025,0))),0,YEARFRAC(MAX($P$708*($B1025+IF($R$17="Distrato",$I$38-1,0)),IF(AND($L$711=0,$P$708=0),"",$L$711-1),IF($R$17="Distrato",$E1025,0)),MIN(AQ$38,$D$19),$P$20))-SUM($P1025:AP1025)</f>
        <v>#VALUE!</v>
      </c>
      <c r="AR1025" s="446" t="e">
        <f>IF(OR($B1025="",MIN(AR$38,$D$19)&lt;MAX($P$708*($B1025+IF($R$17="Distrato",$I$38-1,0)),IF(AND($L$711=0,$P$708=0),"",$L$711-1),IF($R$17="Distrato",$E1025,0))),0,YEARFRAC(MAX($P$708*($B1025+IF($R$17="Distrato",$I$38-1,0)),IF(AND($L$711=0,$P$708=0),"",$L$711-1),IF($R$17="Distrato",$E1025,0)),MIN(AR$38,$D$19),$P$20))-SUM($P1025:AQ1025)</f>
        <v>#VALUE!</v>
      </c>
      <c r="AS1025" s="446" t="e">
        <f>IF(OR($B1025="",MIN(AS$38,$D$19)&lt;MAX($P$708*($B1025+IF($R$17="Distrato",$I$38-1,0)),IF(AND($L$711=0,$P$708=0),"",$L$711-1),IF($R$17="Distrato",$E1025,0))),0,YEARFRAC(MAX($P$708*($B1025+IF($R$17="Distrato",$I$38-1,0)),IF(AND($L$711=0,$P$708=0),"",$L$711-1),IF($R$17="Distrato",$E1025,0)),MIN(AS$38,$D$19),$P$20))-SUM($P1025:AR1025)</f>
        <v>#VALUE!</v>
      </c>
      <c r="AT1025" s="446" t="e">
        <f>IF(OR($B1025="",MIN(AT$38,$D$19)&lt;MAX($P$708*($B1025+IF($R$17="Distrato",$I$38-1,0)),IF(AND($L$711=0,$P$708=0),"",$L$711-1),IF($R$17="Distrato",$E1025,0))),0,YEARFRAC(MAX($P$708*($B1025+IF($R$17="Distrato",$I$38-1,0)),IF(AND($L$711=0,$P$708=0),"",$L$711-1),IF($R$17="Distrato",$E1025,0)),MIN(AT$38,$D$19),$P$20))-SUM($P1025:AS1025)</f>
        <v>#VALUE!</v>
      </c>
      <c r="AU1025" s="446" t="e">
        <f>IF(OR($B1025="",MIN(AU$38,$D$19)&lt;MAX($P$708*($B1025+IF($R$17="Distrato",$I$38-1,0)),IF(AND($L$711=0,$P$708=0),"",$L$711-1),IF($R$17="Distrato",$E1025,0))),0,YEARFRAC(MAX($P$708*($B1025+IF($R$17="Distrato",$I$38-1,0)),IF(AND($L$711=0,$P$708=0),"",$L$711-1),IF($R$17="Distrato",$E1025,0)),MIN(AU$38,$D$19),$P$20))-SUM($P1025:AT1025)</f>
        <v>#VALUE!</v>
      </c>
      <c r="AV1025" s="446" t="e">
        <f>IF(OR($B1025="",MIN(AV$38,$D$19)&lt;MAX($P$708*($B1025+IF($R$17="Distrato",$I$38-1,0)),IF(AND($L$711=0,$P$708=0),"",$L$711-1),IF($R$17="Distrato",$E1025,0))),0,YEARFRAC(MAX($P$708*($B1025+IF($R$17="Distrato",$I$38-1,0)),IF(AND($L$711=0,$P$708=0),"",$L$711-1),IF($R$17="Distrato",$E1025,0)),MIN(AV$38,$D$19),$P$20))-SUM($P1025:AU1025)</f>
        <v>#VALUE!</v>
      </c>
      <c r="AW1025" s="446" t="e">
        <f>IF(OR($B1025="",MIN(AW$38,$D$19)&lt;MAX($P$708*($B1025+IF($R$17="Distrato",$I$38-1,0)),IF(AND($L$711=0,$P$708=0),"",$L$711-1),IF($R$17="Distrato",$E1025,0))),0,YEARFRAC(MAX($P$708*($B1025+IF($R$17="Distrato",$I$38-1,0)),IF(AND($L$711=0,$P$708=0),"",$L$711-1),IF($R$17="Distrato",$E1025,0)),MIN(AW$38,$D$19),$P$20))-SUM($P1025:AV1025)</f>
        <v>#VALUE!</v>
      </c>
      <c r="AX1025" s="446" t="e">
        <f>IF(OR($B1025="",MIN(AX$38,$D$19)&lt;MAX($P$708*($B1025+IF($R$17="Distrato",$I$38-1,0)),IF(AND($L$711=0,$P$708=0),"",$L$711-1),IF($R$17="Distrato",$E1025,0))),0,YEARFRAC(MAX($P$708*($B1025+IF($R$17="Distrato",$I$38-1,0)),IF(AND($L$711=0,$P$708=0),"",$L$711-1),IF($R$17="Distrato",$E1025,0)),MIN(AX$38,$D$19),$P$20))-SUM($P1025:AW1025)</f>
        <v>#VALUE!</v>
      </c>
      <c r="AY1025" s="446" t="e">
        <f>IF(OR($B1025="",MIN(AY$38,$D$19)&lt;MAX($P$708*($B1025+IF($R$17="Distrato",$I$38-1,0)),IF(AND($L$711=0,$P$708=0),"",$L$711-1),IF($R$17="Distrato",$E1025,0))),0,YEARFRAC(MAX($P$708*($B1025+IF($R$17="Distrato",$I$38-1,0)),IF(AND($L$711=0,$P$708=0),"",$L$711-1),IF($R$17="Distrato",$E1025,0)),MIN(AY$38,$D$19),$P$20))-SUM($P1025:AX1025)</f>
        <v>#VALUE!</v>
      </c>
      <c r="AZ1025" s="446" t="e">
        <f>IF(OR($B1025="",MIN(AZ$38,$D$19)&lt;MAX($P$708*($B1025+IF($R$17="Distrato",$I$38-1,0)),IF(AND($L$711=0,$P$708=0),"",$L$711-1),IF($R$17="Distrato",$E1025,0))),0,YEARFRAC(MAX($P$708*($B1025+IF($R$17="Distrato",$I$38-1,0)),IF(AND($L$711=0,$P$708=0),"",$L$711-1),IF($R$17="Distrato",$E1025,0)),MIN(AZ$38,$D$19),$P$20))-SUM($P1025:AY1025)</f>
        <v>#VALUE!</v>
      </c>
      <c r="BA1025" s="446" t="e">
        <f>IF(OR($B1025="",MIN(BA$38,$D$19)&lt;MAX($P$708*($B1025+IF($R$17="Distrato",$I$38-1,0)),IF(AND($L$711=0,$P$708=0),"",$L$711-1),IF($R$17="Distrato",$E1025,0))),0,YEARFRAC(MAX($P$708*($B1025+IF($R$17="Distrato",$I$38-1,0)),IF(AND($L$711=0,$P$708=0),"",$L$711-1),IF($R$17="Distrato",$E1025,0)),MIN(BA$38,$D$19),$P$20))-SUM($P1025:AZ1025)</f>
        <v>#VALUE!</v>
      </c>
      <c r="BB1025" s="447"/>
    </row>
    <row r="1026" spans="1:54" s="446" customFormat="1" ht="11.25" hidden="1" customHeight="1" x14ac:dyDescent="0.2">
      <c r="A1026" s="235"/>
      <c r="B1026" s="236"/>
      <c r="C1026" s="29" t="str">
        <f>IF(B1026="","",IF($L$709=$BL$25,VLOOKUP(DATE(YEAR($D$19),MONTH($D$19)-1,1),ÍNDICES!$A:$DE,HLOOKUP($BL$25,ÍNDICES!$B$3:$T$4,2)+11)-VLOOKUP(B1026,ÍNDICES!$A:$DE,HLOOKUP($BL$25,ÍNDICES!$B$3:$T$4,2)+11)+1%,IF(C$712=$W$26,$J$35,IF(ISERROR(IF(B1026&gt;$D$19,1,VLOOKUP(DATE(YEAR(B1026),MONTH(B1026)+IF($C$709=$S$23,1,0),1),ÍNDICES!$A:$DE,$Z$709+1))),"",IF(B1026&gt;$D$19,1,VLOOKUP(DATE(YEAR(B1026),MONTH(B1026)+IF($C$709=$S$23,1,0),1),ÍNDICES!$A:$DE,$Z$709+1))))))</f>
        <v/>
      </c>
      <c r="D1026" s="155"/>
      <c r="E1026" s="88"/>
      <c r="F1026" s="88"/>
      <c r="G1026" s="88"/>
      <c r="H1026" s="118"/>
      <c r="I1026" s="182">
        <f t="shared" si="143"/>
        <v>0</v>
      </c>
      <c r="J1026" s="20">
        <f t="shared" ca="1" si="144"/>
        <v>0</v>
      </c>
      <c r="K1026" s="5">
        <f t="shared" ca="1" si="145"/>
        <v>0</v>
      </c>
      <c r="L1026" s="61">
        <f t="shared" ca="1" si="146"/>
        <v>0</v>
      </c>
      <c r="M1026" s="64">
        <f t="shared" si="147"/>
        <v>0</v>
      </c>
      <c r="N1026" s="151"/>
      <c r="O1026" s="5">
        <f t="shared" ca="1" si="148"/>
        <v>0</v>
      </c>
      <c r="P1026" s="446" t="e">
        <f t="shared" si="149"/>
        <v>#VALUE!</v>
      </c>
      <c r="Q1026" s="446" t="e">
        <f>IF(OR($B1026="",MIN(Q$38,$D$19)&lt;MAX($P$708*($B1026+IF($R$17="Distrato",$I$38-1,0)),IF(AND($L$711=0,$P$708=0),"",$L$711-1),IF($R$17="Distrato",$E1026,0))),0,YEARFRAC(MAX($P$708*($B1026+IF($R$17="Distrato",$I$38-1,0)),IF(AND($L$711=0,$P$708=0),"",$L$711-1),IF($R$17="Distrato",$E1026,0)),MIN(Q$38,$D$19),$P$20))-SUM($P1026:P1026)</f>
        <v>#VALUE!</v>
      </c>
      <c r="R1026" s="446" t="e">
        <f>IF(OR($B1026="",MIN(R$38,$D$19)&lt;MAX($P$708*($B1026+IF($R$17="Distrato",$I$38-1,0)),IF(AND($L$711=0,$P$708=0),"",$L$711-1),IF($R$17="Distrato",$E1026,0))),0,YEARFRAC(MAX($P$708*($B1026+IF($R$17="Distrato",$I$38-1,0)),IF(AND($L$711=0,$P$708=0),"",$L$711-1),IF($R$17="Distrato",$E1026,0)),MIN(R$38,$D$19),$P$20))-SUM($P1026:Q1026)</f>
        <v>#VALUE!</v>
      </c>
      <c r="S1026" s="446" t="e">
        <f>IF(OR($B1026="",MIN(S$38,$D$19)&lt;MAX($P$708*($B1026+IF($R$17="Distrato",$I$38-1,0)),IF(AND($L$711=0,$P$708=0),"",$L$711-1),IF($R$17="Distrato",$E1026,0))),0,YEARFRAC(MAX($P$708*($B1026+IF($R$17="Distrato",$I$38-1,0)),IF(AND($L$711=0,$P$708=0),"",$L$711-1),IF($R$17="Distrato",$E1026,0)),MIN(S$38,$D$19),$P$20))-SUM($P1026:R1026)</f>
        <v>#VALUE!</v>
      </c>
      <c r="T1026" s="446" t="e">
        <f>IF(OR($B1026="",MIN(T$38,$D$19)&lt;MAX($P$708*($B1026+IF($R$17="Distrato",$I$38-1,0)),IF(AND($L$711=0,$P$708=0),"",$L$711-1),IF($R$17="Distrato",$E1026,0))),0,YEARFRAC(MAX($P$708*($B1026+IF($R$17="Distrato",$I$38-1,0)),IF(AND($L$711=0,$P$708=0),"",$L$711-1),IF($R$17="Distrato",$E1026,0)),MIN(T$38,$D$19),$P$20))-SUM($P1026:S1026)</f>
        <v>#VALUE!</v>
      </c>
      <c r="U1026" s="446" t="e">
        <f>IF(OR($B1026="",MIN(U$38,$D$19)&lt;MAX($P$708*($B1026+IF($R$17="Distrato",$I$38-1,0)),IF(AND($L$711=0,$P$708=0),"",$L$711-1),IF($R$17="Distrato",$E1026,0))),0,YEARFRAC(MAX($P$708*($B1026+IF($R$17="Distrato",$I$38-1,0)),IF(AND($L$711=0,$P$708=0),"",$L$711-1),IF($R$17="Distrato",$E1026,0)),MIN(U$38,$D$19),$P$20))-SUM($P1026:T1026)</f>
        <v>#VALUE!</v>
      </c>
      <c r="V1026" s="446" t="e">
        <f>IF(OR($B1026="",MIN(V$38,$D$19)&lt;MAX($P$708*($B1026+IF($R$17="Distrato",$I$38-1,0)),IF(AND($L$711=0,$P$708=0),"",$L$711-1),IF($R$17="Distrato",$E1026,0))),0,YEARFRAC(MAX($P$708*($B1026+IF($R$17="Distrato",$I$38-1,0)),IF(AND($L$711=0,$P$708=0),"",$L$711-1),IF($R$17="Distrato",$E1026,0)),MIN(V$38,$D$19),$P$20))-SUM($P1026:U1026)</f>
        <v>#VALUE!</v>
      </c>
      <c r="W1026" s="446" t="e">
        <f>IF(OR($B1026="",MIN(W$38,$D$19)&lt;MAX($P$708*($B1026+IF($R$17="Distrato",$I$38-1,0)),IF(AND($L$711=0,$P$708=0),"",$L$711-1),IF($R$17="Distrato",$E1026,0))),0,YEARFRAC(MAX($P$708*($B1026+IF($R$17="Distrato",$I$38-1,0)),IF(AND($L$711=0,$P$708=0),"",$L$711-1),IF($R$17="Distrato",$E1026,0)),MIN(W$38,$D$19),$P$20))-SUM($P1026:V1026)</f>
        <v>#VALUE!</v>
      </c>
      <c r="X1026" s="446" t="e">
        <f>IF(OR($B1026="",MIN(X$38,$D$19)&lt;MAX($P$708*($B1026+IF($R$17="Distrato",$I$38-1,0)),IF(AND($L$711=0,$P$708=0),"",$L$711-1),IF($R$17="Distrato",$E1026,0))),0,YEARFRAC(MAX($P$708*($B1026+IF($R$17="Distrato",$I$38-1,0)),IF(AND($L$711=0,$P$708=0),"",$L$711-1),IF($R$17="Distrato",$E1026,0)),MIN(X$38,$D$19),$P$20))-SUM($P1026:W1026)</f>
        <v>#VALUE!</v>
      </c>
      <c r="Y1026" s="446" t="e">
        <f>IF(OR($B1026="",MIN(Y$38,$D$19)&lt;MAX($P$708*($B1026+IF($R$17="Distrato",$I$38-1,0)),IF(AND($L$711=0,$P$708=0),"",$L$711-1),IF($R$17="Distrato",$E1026,0))),0,YEARFRAC(MAX($P$708*($B1026+IF($R$17="Distrato",$I$38-1,0)),IF(AND($L$711=0,$P$708=0),"",$L$711-1),IF($R$17="Distrato",$E1026,0)),MIN(Y$38,$D$19),$P$20))-SUM($P1026:X1026)</f>
        <v>#VALUE!</v>
      </c>
      <c r="Z1026" s="446" t="e">
        <f>IF(OR($B1026="",MIN(Z$38,$D$19)&lt;MAX($P$708*($B1026+IF($R$17="Distrato",$I$38-1,0)),IF(AND($L$711=0,$P$708=0),"",$L$711-1),IF($R$17="Distrato",$E1026,0))),0,YEARFRAC(MAX($P$708*($B1026+IF($R$17="Distrato",$I$38-1,0)),IF(AND($L$711=0,$P$708=0),"",$L$711-1),IF($R$17="Distrato",$E1026,0)),MIN(Z$38,$D$19),$P$20))-SUM($P1026:Y1026)</f>
        <v>#VALUE!</v>
      </c>
      <c r="AA1026" s="446" t="e">
        <f>IF(OR($B1026="",MIN(AA$38,$D$19)&lt;MAX($P$708*($B1026+IF($R$17="Distrato",$I$38-1,0)),IF(AND($L$711=0,$P$708=0),"",$L$711-1),IF($R$17="Distrato",$E1026,0))),0,YEARFRAC(MAX($P$708*($B1026+IF($R$17="Distrato",$I$38-1,0)),IF(AND($L$711=0,$P$708=0),"",$L$711-1),IF($R$17="Distrato",$E1026,0)),MIN(AA$38,$D$19),$P$20))-SUM($P1026:Z1026)</f>
        <v>#VALUE!</v>
      </c>
      <c r="AB1026" s="446" t="e">
        <f>IF(OR($B1026="",MIN(AB$38,$D$19)&lt;MAX($P$708*($B1026+IF($R$17="Distrato",$I$38-1,0)),IF(AND($L$711=0,$P$708=0),"",$L$711-1),IF($R$17="Distrato",$E1026,0))),0,YEARFRAC(MAX($P$708*($B1026+IF($R$17="Distrato",$I$38-1,0)),IF(AND($L$711=0,$P$708=0),"",$L$711-1),IF($R$17="Distrato",$E1026,0)),MIN(AB$38,$D$19),$P$20))-SUM($P1026:AA1026)</f>
        <v>#VALUE!</v>
      </c>
      <c r="AC1026" s="446" t="e">
        <f>IF(OR($B1026="",MIN(AC$38,$D$19)&lt;MAX($P$708*($B1026+IF($R$17="Distrato",$I$38-1,0)),IF(AND($L$711=0,$P$708=0),"",$L$711-1),IF($R$17="Distrato",$E1026,0))),0,YEARFRAC(MAX($P$708*($B1026+IF($R$17="Distrato",$I$38-1,0)),IF(AND($L$711=0,$P$708=0),"",$L$711-1),IF($R$17="Distrato",$E1026,0)),MIN(AC$38,$D$19),$P$20))-SUM($P1026:AB1026)</f>
        <v>#VALUE!</v>
      </c>
      <c r="AD1026" s="446" t="e">
        <f>IF(OR($B1026="",MIN(AD$38,$D$19)&lt;MAX($P$708*($B1026+IF($R$17="Distrato",$I$38-1,0)),IF(AND($L$711=0,$P$708=0),"",$L$711-1),IF($R$17="Distrato",$E1026,0))),0,YEARFRAC(MAX($P$708*($B1026+IF($R$17="Distrato",$I$38-1,0)),IF(AND($L$711=0,$P$708=0),"",$L$711-1),IF($R$17="Distrato",$E1026,0)),MIN(AD$38,$D$19),$P$20))-SUM($P1026:AC1026)</f>
        <v>#VALUE!</v>
      </c>
      <c r="AE1026" s="446" t="e">
        <f>IF(OR($B1026="",MIN(AE$38,$D$19)&lt;MAX($P$708*($B1026+IF($R$17="Distrato",$I$38-1,0)),IF(AND($L$711=0,$P$708=0),"",$L$711-1),IF($R$17="Distrato",$E1026,0))),0,YEARFRAC(MAX($P$708*($B1026+IF($R$17="Distrato",$I$38-1,0)),IF(AND($L$711=0,$P$708=0),"",$L$711-1),IF($R$17="Distrato",$E1026,0)),MIN(AE$38,$D$19),$P$20))-SUM($P1026:AD1026)</f>
        <v>#VALUE!</v>
      </c>
      <c r="AF1026" s="446" t="e">
        <f>IF(OR($B1026="",MIN(AF$38,$D$19)&lt;MAX($P$708*($B1026+IF($R$17="Distrato",$I$38-1,0)),IF(AND($L$711=0,$P$708=0),"",$L$711-1),IF($R$17="Distrato",$E1026,0))),0,YEARFRAC(MAX($P$708*($B1026+IF($R$17="Distrato",$I$38-1,0)),IF(AND($L$711=0,$P$708=0),"",$L$711-1),IF($R$17="Distrato",$E1026,0)),MIN(AF$38,$D$19),$P$20))-SUM($P1026:AE1026)</f>
        <v>#VALUE!</v>
      </c>
      <c r="AG1026" s="446" t="e">
        <f>IF(OR($B1026="",MIN(AG$38,$D$19)&lt;MAX($P$708*($B1026+IF($R$17="Distrato",$I$38-1,0)),IF(AND($L$711=0,$P$708=0),"",$L$711-1),IF($R$17="Distrato",$E1026,0))),0,YEARFRAC(MAX($P$708*($B1026+IF($R$17="Distrato",$I$38-1,0)),IF(AND($L$711=0,$P$708=0),"",$L$711-1),IF($R$17="Distrato",$E1026,0)),MIN(AG$38,$D$19),$P$20))-SUM($P1026:AF1026)</f>
        <v>#VALUE!</v>
      </c>
      <c r="AH1026" s="446" t="e">
        <f>IF(OR($B1026="",MIN(AH$38,$D$19)&lt;MAX($P$708*($B1026+IF($R$17="Distrato",$I$38-1,0)),IF(AND($L$711=0,$P$708=0),"",$L$711-1),IF($R$17="Distrato",$E1026,0))),0,YEARFRAC(MAX($P$708*($B1026+IF($R$17="Distrato",$I$38-1,0)),IF(AND($L$711=0,$P$708=0),"",$L$711-1),IF($R$17="Distrato",$E1026,0)),MIN(AH$38,$D$19),$P$20))-SUM($P1026:AG1026)</f>
        <v>#VALUE!</v>
      </c>
      <c r="AI1026" s="446" t="e">
        <f>IF(OR($B1026="",MIN(AI$38,$D$19)&lt;MAX($P$708*($B1026+IF($R$17="Distrato",$I$38-1,0)),IF(AND($L$711=0,$P$708=0),"",$L$711-1),IF($R$17="Distrato",$E1026,0))),0,YEARFRAC(MAX($P$708*($B1026+IF($R$17="Distrato",$I$38-1,0)),IF(AND($L$711=0,$P$708=0),"",$L$711-1),IF($R$17="Distrato",$E1026,0)),MIN(AI$38,$D$19),$P$20))-SUM($P1026:AH1026)</f>
        <v>#VALUE!</v>
      </c>
      <c r="AJ1026" s="446" t="e">
        <f>IF(OR($B1026="",MIN(AJ$38,$D$19)&lt;MAX($P$708*($B1026+IF($R$17="Distrato",$I$38-1,0)),IF(AND($L$711=0,$P$708=0),"",$L$711-1),IF($R$17="Distrato",$E1026,0))),0,YEARFRAC(MAX($P$708*($B1026+IF($R$17="Distrato",$I$38-1,0)),IF(AND($L$711=0,$P$708=0),"",$L$711-1),IF($R$17="Distrato",$E1026,0)),MIN(AJ$38,$D$19),$P$20))-SUM($P1026:AI1026)</f>
        <v>#VALUE!</v>
      </c>
      <c r="AK1026" s="446" t="e">
        <f>IF(OR($B1026="",MIN(AK$38,$D$19)&lt;MAX($P$708*($B1026+IF($R$17="Distrato",$I$38-1,0)),IF(AND($L$711=0,$P$708=0),"",$L$711-1),IF($R$17="Distrato",$E1026,0))),0,YEARFRAC(MAX($P$708*($B1026+IF($R$17="Distrato",$I$38-1,0)),IF(AND($L$711=0,$P$708=0),"",$L$711-1),IF($R$17="Distrato",$E1026,0)),MIN(AK$38,$D$19),$P$20))-SUM($P1026:AJ1026)</f>
        <v>#VALUE!</v>
      </c>
      <c r="AL1026" s="446" t="e">
        <f>IF(OR($B1026="",MIN(AL$38,$D$19)&lt;MAX($P$708*($B1026+IF($R$17="Distrato",$I$38-1,0)),IF(AND($L$711=0,$P$708=0),"",$L$711-1),IF($R$17="Distrato",$E1026,0))),0,YEARFRAC(MAX($P$708*($B1026+IF($R$17="Distrato",$I$38-1,0)),IF(AND($L$711=0,$P$708=0),"",$L$711-1),IF($R$17="Distrato",$E1026,0)),MIN(AL$38,$D$19),$P$20))-SUM($P1026:AK1026)</f>
        <v>#VALUE!</v>
      </c>
      <c r="AM1026" s="446" t="e">
        <f>IF(OR($B1026="",MIN(AM$38,$D$19)&lt;MAX($P$708*($B1026+IF($R$17="Distrato",$I$38-1,0)),IF(AND($L$711=0,$P$708=0),"",$L$711-1),IF($R$17="Distrato",$E1026,0))),0,YEARFRAC(MAX($P$708*($B1026+IF($R$17="Distrato",$I$38-1,0)),IF(AND($L$711=0,$P$708=0),"",$L$711-1),IF($R$17="Distrato",$E1026,0)),MIN(AM$38,$D$19),$P$20))-SUM($P1026:AL1026)</f>
        <v>#VALUE!</v>
      </c>
      <c r="AN1026" s="446" t="e">
        <f>IF(OR($B1026="",MIN(AN$38,$D$19)&lt;MAX($P$708*($B1026+IF($R$17="Distrato",$I$38-1,0)),IF(AND($L$711=0,$P$708=0),"",$L$711-1),IF($R$17="Distrato",$E1026,0))),0,YEARFRAC(MAX($P$708*($B1026+IF($R$17="Distrato",$I$38-1,0)),IF(AND($L$711=0,$P$708=0),"",$L$711-1),IF($R$17="Distrato",$E1026,0)),MIN(AN$38,$D$19),$P$20))-SUM($P1026:AM1026)</f>
        <v>#VALUE!</v>
      </c>
      <c r="AO1026" s="446" t="e">
        <f>IF(OR($B1026="",MIN(AO$38,$D$19)&lt;MAX($P$708*($B1026+IF($R$17="Distrato",$I$38-1,0)),IF(AND($L$711=0,$P$708=0),"",$L$711-1),IF($R$17="Distrato",$E1026,0))),0,YEARFRAC(MAX($P$708*($B1026+IF($R$17="Distrato",$I$38-1,0)),IF(AND($L$711=0,$P$708=0),"",$L$711-1),IF($R$17="Distrato",$E1026,0)),MIN(AO$38,$D$19),$P$20))-SUM($P1026:AN1026)</f>
        <v>#VALUE!</v>
      </c>
      <c r="AP1026" s="446" t="e">
        <f>IF(OR($B1026="",MIN(AP$38,$D$19)&lt;MAX($P$708*($B1026+IF($R$17="Distrato",$I$38-1,0)),IF(AND($L$711=0,$P$708=0),"",$L$711-1),IF($R$17="Distrato",$E1026,0))),0,YEARFRAC(MAX($P$708*($B1026+IF($R$17="Distrato",$I$38-1,0)),IF(AND($L$711=0,$P$708=0),"",$L$711-1),IF($R$17="Distrato",$E1026,0)),MIN(AP$38,$D$19),$P$20))-SUM($P1026:AO1026)</f>
        <v>#VALUE!</v>
      </c>
      <c r="AQ1026" s="446" t="e">
        <f>IF(OR($B1026="",MIN(AQ$38,$D$19)&lt;MAX($P$708*($B1026+IF($R$17="Distrato",$I$38-1,0)),IF(AND($L$711=0,$P$708=0),"",$L$711-1),IF($R$17="Distrato",$E1026,0))),0,YEARFRAC(MAX($P$708*($B1026+IF($R$17="Distrato",$I$38-1,0)),IF(AND($L$711=0,$P$708=0),"",$L$711-1),IF($R$17="Distrato",$E1026,0)),MIN(AQ$38,$D$19),$P$20))-SUM($P1026:AP1026)</f>
        <v>#VALUE!</v>
      </c>
      <c r="AR1026" s="446" t="e">
        <f>IF(OR($B1026="",MIN(AR$38,$D$19)&lt;MAX($P$708*($B1026+IF($R$17="Distrato",$I$38-1,0)),IF(AND($L$711=0,$P$708=0),"",$L$711-1),IF($R$17="Distrato",$E1026,0))),0,YEARFRAC(MAX($P$708*($B1026+IF($R$17="Distrato",$I$38-1,0)),IF(AND($L$711=0,$P$708=0),"",$L$711-1),IF($R$17="Distrato",$E1026,0)),MIN(AR$38,$D$19),$P$20))-SUM($P1026:AQ1026)</f>
        <v>#VALUE!</v>
      </c>
      <c r="AS1026" s="446" t="e">
        <f>IF(OR($B1026="",MIN(AS$38,$D$19)&lt;MAX($P$708*($B1026+IF($R$17="Distrato",$I$38-1,0)),IF(AND($L$711=0,$P$708=0),"",$L$711-1),IF($R$17="Distrato",$E1026,0))),0,YEARFRAC(MAX($P$708*($B1026+IF($R$17="Distrato",$I$38-1,0)),IF(AND($L$711=0,$P$708=0),"",$L$711-1),IF($R$17="Distrato",$E1026,0)),MIN(AS$38,$D$19),$P$20))-SUM($P1026:AR1026)</f>
        <v>#VALUE!</v>
      </c>
      <c r="AT1026" s="446" t="e">
        <f>IF(OR($B1026="",MIN(AT$38,$D$19)&lt;MAX($P$708*($B1026+IF($R$17="Distrato",$I$38-1,0)),IF(AND($L$711=0,$P$708=0),"",$L$711-1),IF($R$17="Distrato",$E1026,0))),0,YEARFRAC(MAX($P$708*($B1026+IF($R$17="Distrato",$I$38-1,0)),IF(AND($L$711=0,$P$708=0),"",$L$711-1),IF($R$17="Distrato",$E1026,0)),MIN(AT$38,$D$19),$P$20))-SUM($P1026:AS1026)</f>
        <v>#VALUE!</v>
      </c>
      <c r="AU1026" s="446" t="e">
        <f>IF(OR($B1026="",MIN(AU$38,$D$19)&lt;MAX($P$708*($B1026+IF($R$17="Distrato",$I$38-1,0)),IF(AND($L$711=0,$P$708=0),"",$L$711-1),IF($R$17="Distrato",$E1026,0))),0,YEARFRAC(MAX($P$708*($B1026+IF($R$17="Distrato",$I$38-1,0)),IF(AND($L$711=0,$P$708=0),"",$L$711-1),IF($R$17="Distrato",$E1026,0)),MIN(AU$38,$D$19),$P$20))-SUM($P1026:AT1026)</f>
        <v>#VALUE!</v>
      </c>
      <c r="AV1026" s="446" t="e">
        <f>IF(OR($B1026="",MIN(AV$38,$D$19)&lt;MAX($P$708*($B1026+IF($R$17="Distrato",$I$38-1,0)),IF(AND($L$711=0,$P$708=0),"",$L$711-1),IF($R$17="Distrato",$E1026,0))),0,YEARFRAC(MAX($P$708*($B1026+IF($R$17="Distrato",$I$38-1,0)),IF(AND($L$711=0,$P$708=0),"",$L$711-1),IF($R$17="Distrato",$E1026,0)),MIN(AV$38,$D$19),$P$20))-SUM($P1026:AU1026)</f>
        <v>#VALUE!</v>
      </c>
      <c r="AW1026" s="446" t="e">
        <f>IF(OR($B1026="",MIN(AW$38,$D$19)&lt;MAX($P$708*($B1026+IF($R$17="Distrato",$I$38-1,0)),IF(AND($L$711=0,$P$708=0),"",$L$711-1),IF($R$17="Distrato",$E1026,0))),0,YEARFRAC(MAX($P$708*($B1026+IF($R$17="Distrato",$I$38-1,0)),IF(AND($L$711=0,$P$708=0),"",$L$711-1),IF($R$17="Distrato",$E1026,0)),MIN(AW$38,$D$19),$P$20))-SUM($P1026:AV1026)</f>
        <v>#VALUE!</v>
      </c>
      <c r="AX1026" s="446" t="e">
        <f>IF(OR($B1026="",MIN(AX$38,$D$19)&lt;MAX($P$708*($B1026+IF($R$17="Distrato",$I$38-1,0)),IF(AND($L$711=0,$P$708=0),"",$L$711-1),IF($R$17="Distrato",$E1026,0))),0,YEARFRAC(MAX($P$708*($B1026+IF($R$17="Distrato",$I$38-1,0)),IF(AND($L$711=0,$P$708=0),"",$L$711-1),IF($R$17="Distrato",$E1026,0)),MIN(AX$38,$D$19),$P$20))-SUM($P1026:AW1026)</f>
        <v>#VALUE!</v>
      </c>
      <c r="AY1026" s="446" t="e">
        <f>IF(OR($B1026="",MIN(AY$38,$D$19)&lt;MAX($P$708*($B1026+IF($R$17="Distrato",$I$38-1,0)),IF(AND($L$711=0,$P$708=0),"",$L$711-1),IF($R$17="Distrato",$E1026,0))),0,YEARFRAC(MAX($P$708*($B1026+IF($R$17="Distrato",$I$38-1,0)),IF(AND($L$711=0,$P$708=0),"",$L$711-1),IF($R$17="Distrato",$E1026,0)),MIN(AY$38,$D$19),$P$20))-SUM($P1026:AX1026)</f>
        <v>#VALUE!</v>
      </c>
      <c r="AZ1026" s="446" t="e">
        <f>IF(OR($B1026="",MIN(AZ$38,$D$19)&lt;MAX($P$708*($B1026+IF($R$17="Distrato",$I$38-1,0)),IF(AND($L$711=0,$P$708=0),"",$L$711-1),IF($R$17="Distrato",$E1026,0))),0,YEARFRAC(MAX($P$708*($B1026+IF($R$17="Distrato",$I$38-1,0)),IF(AND($L$711=0,$P$708=0),"",$L$711-1),IF($R$17="Distrato",$E1026,0)),MIN(AZ$38,$D$19),$P$20))-SUM($P1026:AY1026)</f>
        <v>#VALUE!</v>
      </c>
      <c r="BA1026" s="446" t="e">
        <f>IF(OR($B1026="",MIN(BA$38,$D$19)&lt;MAX($P$708*($B1026+IF($R$17="Distrato",$I$38-1,0)),IF(AND($L$711=0,$P$708=0),"",$L$711-1),IF($R$17="Distrato",$E1026,0))),0,YEARFRAC(MAX($P$708*($B1026+IF($R$17="Distrato",$I$38-1,0)),IF(AND($L$711=0,$P$708=0),"",$L$711-1),IF($R$17="Distrato",$E1026,0)),MIN(BA$38,$D$19),$P$20))-SUM($P1026:AZ1026)</f>
        <v>#VALUE!</v>
      </c>
      <c r="BB1026" s="447"/>
    </row>
    <row r="1027" spans="1:54" s="446" customFormat="1" ht="11.25" hidden="1" customHeight="1" x14ac:dyDescent="0.2">
      <c r="A1027" s="235"/>
      <c r="B1027" s="236"/>
      <c r="C1027" s="29" t="str">
        <f>IF(B1027="","",IF($L$709=$BL$25,VLOOKUP(DATE(YEAR($D$19),MONTH($D$19)-1,1),ÍNDICES!$A:$DE,HLOOKUP($BL$25,ÍNDICES!$B$3:$T$4,2)+11)-VLOOKUP(B1027,ÍNDICES!$A:$DE,HLOOKUP($BL$25,ÍNDICES!$B$3:$T$4,2)+11)+1%,IF(C$712=$W$26,$J$35,IF(ISERROR(IF(B1027&gt;$D$19,1,VLOOKUP(DATE(YEAR(B1027),MONTH(B1027)+IF($C$709=$S$23,1,0),1),ÍNDICES!$A:$DE,$Z$709+1))),"",IF(B1027&gt;$D$19,1,VLOOKUP(DATE(YEAR(B1027),MONTH(B1027)+IF($C$709=$S$23,1,0),1),ÍNDICES!$A:$DE,$Z$709+1))))))</f>
        <v/>
      </c>
      <c r="D1027" s="155"/>
      <c r="E1027" s="88"/>
      <c r="F1027" s="88"/>
      <c r="G1027" s="88"/>
      <c r="H1027" s="118"/>
      <c r="I1027" s="182">
        <f t="shared" si="143"/>
        <v>0</v>
      </c>
      <c r="J1027" s="20">
        <f t="shared" ca="1" si="144"/>
        <v>0</v>
      </c>
      <c r="K1027" s="5">
        <f t="shared" ca="1" si="145"/>
        <v>0</v>
      </c>
      <c r="L1027" s="61">
        <f t="shared" ca="1" si="146"/>
        <v>0</v>
      </c>
      <c r="M1027" s="64">
        <f t="shared" si="147"/>
        <v>0</v>
      </c>
      <c r="N1027" s="151"/>
      <c r="O1027" s="5">
        <f t="shared" ca="1" si="148"/>
        <v>0</v>
      </c>
      <c r="P1027" s="446" t="e">
        <f t="shared" si="149"/>
        <v>#VALUE!</v>
      </c>
      <c r="Q1027" s="446" t="e">
        <f>IF(OR($B1027="",MIN(Q$38,$D$19)&lt;MAX($P$708*($B1027+IF($R$17="Distrato",$I$38-1,0)),IF(AND($L$711=0,$P$708=0),"",$L$711-1),IF($R$17="Distrato",$E1027,0))),0,YEARFRAC(MAX($P$708*($B1027+IF($R$17="Distrato",$I$38-1,0)),IF(AND($L$711=0,$P$708=0),"",$L$711-1),IF($R$17="Distrato",$E1027,0)),MIN(Q$38,$D$19),$P$20))-SUM($P1027:P1027)</f>
        <v>#VALUE!</v>
      </c>
      <c r="R1027" s="446" t="e">
        <f>IF(OR($B1027="",MIN(R$38,$D$19)&lt;MAX($P$708*($B1027+IF($R$17="Distrato",$I$38-1,0)),IF(AND($L$711=0,$P$708=0),"",$L$711-1),IF($R$17="Distrato",$E1027,0))),0,YEARFRAC(MAX($P$708*($B1027+IF($R$17="Distrato",$I$38-1,0)),IF(AND($L$711=0,$P$708=0),"",$L$711-1),IF($R$17="Distrato",$E1027,0)),MIN(R$38,$D$19),$P$20))-SUM($P1027:Q1027)</f>
        <v>#VALUE!</v>
      </c>
      <c r="S1027" s="446" t="e">
        <f>IF(OR($B1027="",MIN(S$38,$D$19)&lt;MAX($P$708*($B1027+IF($R$17="Distrato",$I$38-1,0)),IF(AND($L$711=0,$P$708=0),"",$L$711-1),IF($R$17="Distrato",$E1027,0))),0,YEARFRAC(MAX($P$708*($B1027+IF($R$17="Distrato",$I$38-1,0)),IF(AND($L$711=0,$P$708=0),"",$L$711-1),IF($R$17="Distrato",$E1027,0)),MIN(S$38,$D$19),$P$20))-SUM($P1027:R1027)</f>
        <v>#VALUE!</v>
      </c>
      <c r="T1027" s="446" t="e">
        <f>IF(OR($B1027="",MIN(T$38,$D$19)&lt;MAX($P$708*($B1027+IF($R$17="Distrato",$I$38-1,0)),IF(AND($L$711=0,$P$708=0),"",$L$711-1),IF($R$17="Distrato",$E1027,0))),0,YEARFRAC(MAX($P$708*($B1027+IF($R$17="Distrato",$I$38-1,0)),IF(AND($L$711=0,$P$708=0),"",$L$711-1),IF($R$17="Distrato",$E1027,0)),MIN(T$38,$D$19),$P$20))-SUM($P1027:S1027)</f>
        <v>#VALUE!</v>
      </c>
      <c r="U1027" s="446" t="e">
        <f>IF(OR($B1027="",MIN(U$38,$D$19)&lt;MAX($P$708*($B1027+IF($R$17="Distrato",$I$38-1,0)),IF(AND($L$711=0,$P$708=0),"",$L$711-1),IF($R$17="Distrato",$E1027,0))),0,YEARFRAC(MAX($P$708*($B1027+IF($R$17="Distrato",$I$38-1,0)),IF(AND($L$711=0,$P$708=0),"",$L$711-1),IF($R$17="Distrato",$E1027,0)),MIN(U$38,$D$19),$P$20))-SUM($P1027:T1027)</f>
        <v>#VALUE!</v>
      </c>
      <c r="V1027" s="446" t="e">
        <f>IF(OR($B1027="",MIN(V$38,$D$19)&lt;MAX($P$708*($B1027+IF($R$17="Distrato",$I$38-1,0)),IF(AND($L$711=0,$P$708=0),"",$L$711-1),IF($R$17="Distrato",$E1027,0))),0,YEARFRAC(MAX($P$708*($B1027+IF($R$17="Distrato",$I$38-1,0)),IF(AND($L$711=0,$P$708=0),"",$L$711-1),IF($R$17="Distrato",$E1027,0)),MIN(V$38,$D$19),$P$20))-SUM($P1027:U1027)</f>
        <v>#VALUE!</v>
      </c>
      <c r="W1027" s="446" t="e">
        <f>IF(OR($B1027="",MIN(W$38,$D$19)&lt;MAX($P$708*($B1027+IF($R$17="Distrato",$I$38-1,0)),IF(AND($L$711=0,$P$708=0),"",$L$711-1),IF($R$17="Distrato",$E1027,0))),0,YEARFRAC(MAX($P$708*($B1027+IF($R$17="Distrato",$I$38-1,0)),IF(AND($L$711=0,$P$708=0),"",$L$711-1),IF($R$17="Distrato",$E1027,0)),MIN(W$38,$D$19),$P$20))-SUM($P1027:V1027)</f>
        <v>#VALUE!</v>
      </c>
      <c r="X1027" s="446" t="e">
        <f>IF(OR($B1027="",MIN(X$38,$D$19)&lt;MAX($P$708*($B1027+IF($R$17="Distrato",$I$38-1,0)),IF(AND($L$711=0,$P$708=0),"",$L$711-1),IF($R$17="Distrato",$E1027,0))),0,YEARFRAC(MAX($P$708*($B1027+IF($R$17="Distrato",$I$38-1,0)),IF(AND($L$711=0,$P$708=0),"",$L$711-1),IF($R$17="Distrato",$E1027,0)),MIN(X$38,$D$19),$P$20))-SUM($P1027:W1027)</f>
        <v>#VALUE!</v>
      </c>
      <c r="Y1027" s="446" t="e">
        <f>IF(OR($B1027="",MIN(Y$38,$D$19)&lt;MAX($P$708*($B1027+IF($R$17="Distrato",$I$38-1,0)),IF(AND($L$711=0,$P$708=0),"",$L$711-1),IF($R$17="Distrato",$E1027,0))),0,YEARFRAC(MAX($P$708*($B1027+IF($R$17="Distrato",$I$38-1,0)),IF(AND($L$711=0,$P$708=0),"",$L$711-1),IF($R$17="Distrato",$E1027,0)),MIN(Y$38,$D$19),$P$20))-SUM($P1027:X1027)</f>
        <v>#VALUE!</v>
      </c>
      <c r="Z1027" s="446" t="e">
        <f>IF(OR($B1027="",MIN(Z$38,$D$19)&lt;MAX($P$708*($B1027+IF($R$17="Distrato",$I$38-1,0)),IF(AND($L$711=0,$P$708=0),"",$L$711-1),IF($R$17="Distrato",$E1027,0))),0,YEARFRAC(MAX($P$708*($B1027+IF($R$17="Distrato",$I$38-1,0)),IF(AND($L$711=0,$P$708=0),"",$L$711-1),IF($R$17="Distrato",$E1027,0)),MIN(Z$38,$D$19),$P$20))-SUM($P1027:Y1027)</f>
        <v>#VALUE!</v>
      </c>
      <c r="AA1027" s="446" t="e">
        <f>IF(OR($B1027="",MIN(AA$38,$D$19)&lt;MAX($P$708*($B1027+IF($R$17="Distrato",$I$38-1,0)),IF(AND($L$711=0,$P$708=0),"",$L$711-1),IF($R$17="Distrato",$E1027,0))),0,YEARFRAC(MAX($P$708*($B1027+IF($R$17="Distrato",$I$38-1,0)),IF(AND($L$711=0,$P$708=0),"",$L$711-1),IF($R$17="Distrato",$E1027,0)),MIN(AA$38,$D$19),$P$20))-SUM($P1027:Z1027)</f>
        <v>#VALUE!</v>
      </c>
      <c r="AB1027" s="446" t="e">
        <f>IF(OR($B1027="",MIN(AB$38,$D$19)&lt;MAX($P$708*($B1027+IF($R$17="Distrato",$I$38-1,0)),IF(AND($L$711=0,$P$708=0),"",$L$711-1),IF($R$17="Distrato",$E1027,0))),0,YEARFRAC(MAX($P$708*($B1027+IF($R$17="Distrato",$I$38-1,0)),IF(AND($L$711=0,$P$708=0),"",$L$711-1),IF($R$17="Distrato",$E1027,0)),MIN(AB$38,$D$19),$P$20))-SUM($P1027:AA1027)</f>
        <v>#VALUE!</v>
      </c>
      <c r="AC1027" s="446" t="e">
        <f>IF(OR($B1027="",MIN(AC$38,$D$19)&lt;MAX($P$708*($B1027+IF($R$17="Distrato",$I$38-1,0)),IF(AND($L$711=0,$P$708=0),"",$L$711-1),IF($R$17="Distrato",$E1027,0))),0,YEARFRAC(MAX($P$708*($B1027+IF($R$17="Distrato",$I$38-1,0)),IF(AND($L$711=0,$P$708=0),"",$L$711-1),IF($R$17="Distrato",$E1027,0)),MIN(AC$38,$D$19),$P$20))-SUM($P1027:AB1027)</f>
        <v>#VALUE!</v>
      </c>
      <c r="AD1027" s="446" t="e">
        <f>IF(OR($B1027="",MIN(AD$38,$D$19)&lt;MAX($P$708*($B1027+IF($R$17="Distrato",$I$38-1,0)),IF(AND($L$711=0,$P$708=0),"",$L$711-1),IF($R$17="Distrato",$E1027,0))),0,YEARFRAC(MAX($P$708*($B1027+IF($R$17="Distrato",$I$38-1,0)),IF(AND($L$711=0,$P$708=0),"",$L$711-1),IF($R$17="Distrato",$E1027,0)),MIN(AD$38,$D$19),$P$20))-SUM($P1027:AC1027)</f>
        <v>#VALUE!</v>
      </c>
      <c r="AE1027" s="446" t="e">
        <f>IF(OR($B1027="",MIN(AE$38,$D$19)&lt;MAX($P$708*($B1027+IF($R$17="Distrato",$I$38-1,0)),IF(AND($L$711=0,$P$708=0),"",$L$711-1),IF($R$17="Distrato",$E1027,0))),0,YEARFRAC(MAX($P$708*($B1027+IF($R$17="Distrato",$I$38-1,0)),IF(AND($L$711=0,$P$708=0),"",$L$711-1),IF($R$17="Distrato",$E1027,0)),MIN(AE$38,$D$19),$P$20))-SUM($P1027:AD1027)</f>
        <v>#VALUE!</v>
      </c>
      <c r="AF1027" s="446" t="e">
        <f>IF(OR($B1027="",MIN(AF$38,$D$19)&lt;MAX($P$708*($B1027+IF($R$17="Distrato",$I$38-1,0)),IF(AND($L$711=0,$P$708=0),"",$L$711-1),IF($R$17="Distrato",$E1027,0))),0,YEARFRAC(MAX($P$708*($B1027+IF($R$17="Distrato",$I$38-1,0)),IF(AND($L$711=0,$P$708=0),"",$L$711-1),IF($R$17="Distrato",$E1027,0)),MIN(AF$38,$D$19),$P$20))-SUM($P1027:AE1027)</f>
        <v>#VALUE!</v>
      </c>
      <c r="AG1027" s="446" t="e">
        <f>IF(OR($B1027="",MIN(AG$38,$D$19)&lt;MAX($P$708*($B1027+IF($R$17="Distrato",$I$38-1,0)),IF(AND($L$711=0,$P$708=0),"",$L$711-1),IF($R$17="Distrato",$E1027,0))),0,YEARFRAC(MAX($P$708*($B1027+IF($R$17="Distrato",$I$38-1,0)),IF(AND($L$711=0,$P$708=0),"",$L$711-1),IF($R$17="Distrato",$E1027,0)),MIN(AG$38,$D$19),$P$20))-SUM($P1027:AF1027)</f>
        <v>#VALUE!</v>
      </c>
      <c r="AH1027" s="446" t="e">
        <f>IF(OR($B1027="",MIN(AH$38,$D$19)&lt;MAX($P$708*($B1027+IF($R$17="Distrato",$I$38-1,0)),IF(AND($L$711=0,$P$708=0),"",$L$711-1),IF($R$17="Distrato",$E1027,0))),0,YEARFRAC(MAX($P$708*($B1027+IF($R$17="Distrato",$I$38-1,0)),IF(AND($L$711=0,$P$708=0),"",$L$711-1),IF($R$17="Distrato",$E1027,0)),MIN(AH$38,$D$19),$P$20))-SUM($P1027:AG1027)</f>
        <v>#VALUE!</v>
      </c>
      <c r="AI1027" s="446" t="e">
        <f>IF(OR($B1027="",MIN(AI$38,$D$19)&lt;MAX($P$708*($B1027+IF($R$17="Distrato",$I$38-1,0)),IF(AND($L$711=0,$P$708=0),"",$L$711-1),IF($R$17="Distrato",$E1027,0))),0,YEARFRAC(MAX($P$708*($B1027+IF($R$17="Distrato",$I$38-1,0)),IF(AND($L$711=0,$P$708=0),"",$L$711-1),IF($R$17="Distrato",$E1027,0)),MIN(AI$38,$D$19),$P$20))-SUM($P1027:AH1027)</f>
        <v>#VALUE!</v>
      </c>
      <c r="AJ1027" s="446" t="e">
        <f>IF(OR($B1027="",MIN(AJ$38,$D$19)&lt;MAX($P$708*($B1027+IF($R$17="Distrato",$I$38-1,0)),IF(AND($L$711=0,$P$708=0),"",$L$711-1),IF($R$17="Distrato",$E1027,0))),0,YEARFRAC(MAX($P$708*($B1027+IF($R$17="Distrato",$I$38-1,0)),IF(AND($L$711=0,$P$708=0),"",$L$711-1),IF($R$17="Distrato",$E1027,0)),MIN(AJ$38,$D$19),$P$20))-SUM($P1027:AI1027)</f>
        <v>#VALUE!</v>
      </c>
      <c r="AK1027" s="446" t="e">
        <f>IF(OR($B1027="",MIN(AK$38,$D$19)&lt;MAX($P$708*($B1027+IF($R$17="Distrato",$I$38-1,0)),IF(AND($L$711=0,$P$708=0),"",$L$711-1),IF($R$17="Distrato",$E1027,0))),0,YEARFRAC(MAX($P$708*($B1027+IF($R$17="Distrato",$I$38-1,0)),IF(AND($L$711=0,$P$708=0),"",$L$711-1),IF($R$17="Distrato",$E1027,0)),MIN(AK$38,$D$19),$P$20))-SUM($P1027:AJ1027)</f>
        <v>#VALUE!</v>
      </c>
      <c r="AL1027" s="446" t="e">
        <f>IF(OR($B1027="",MIN(AL$38,$D$19)&lt;MAX($P$708*($B1027+IF($R$17="Distrato",$I$38-1,0)),IF(AND($L$711=0,$P$708=0),"",$L$711-1),IF($R$17="Distrato",$E1027,0))),0,YEARFRAC(MAX($P$708*($B1027+IF($R$17="Distrato",$I$38-1,0)),IF(AND($L$711=0,$P$708=0),"",$L$711-1),IF($R$17="Distrato",$E1027,0)),MIN(AL$38,$D$19),$P$20))-SUM($P1027:AK1027)</f>
        <v>#VALUE!</v>
      </c>
      <c r="AM1027" s="446" t="e">
        <f>IF(OR($B1027="",MIN(AM$38,$D$19)&lt;MAX($P$708*($B1027+IF($R$17="Distrato",$I$38-1,0)),IF(AND($L$711=0,$P$708=0),"",$L$711-1),IF($R$17="Distrato",$E1027,0))),0,YEARFRAC(MAX($P$708*($B1027+IF($R$17="Distrato",$I$38-1,0)),IF(AND($L$711=0,$P$708=0),"",$L$711-1),IF($R$17="Distrato",$E1027,0)),MIN(AM$38,$D$19),$P$20))-SUM($P1027:AL1027)</f>
        <v>#VALUE!</v>
      </c>
      <c r="AN1027" s="446" t="e">
        <f>IF(OR($B1027="",MIN(AN$38,$D$19)&lt;MAX($P$708*($B1027+IF($R$17="Distrato",$I$38-1,0)),IF(AND($L$711=0,$P$708=0),"",$L$711-1),IF($R$17="Distrato",$E1027,0))),0,YEARFRAC(MAX($P$708*($B1027+IF($R$17="Distrato",$I$38-1,0)),IF(AND($L$711=0,$P$708=0),"",$L$711-1),IF($R$17="Distrato",$E1027,0)),MIN(AN$38,$D$19),$P$20))-SUM($P1027:AM1027)</f>
        <v>#VALUE!</v>
      </c>
      <c r="AO1027" s="446" t="e">
        <f>IF(OR($B1027="",MIN(AO$38,$D$19)&lt;MAX($P$708*($B1027+IF($R$17="Distrato",$I$38-1,0)),IF(AND($L$711=0,$P$708=0),"",$L$711-1),IF($R$17="Distrato",$E1027,0))),0,YEARFRAC(MAX($P$708*($B1027+IF($R$17="Distrato",$I$38-1,0)),IF(AND($L$711=0,$P$708=0),"",$L$711-1),IF($R$17="Distrato",$E1027,0)),MIN(AO$38,$D$19),$P$20))-SUM($P1027:AN1027)</f>
        <v>#VALUE!</v>
      </c>
      <c r="AP1027" s="446" t="e">
        <f>IF(OR($B1027="",MIN(AP$38,$D$19)&lt;MAX($P$708*($B1027+IF($R$17="Distrato",$I$38-1,0)),IF(AND($L$711=0,$P$708=0),"",$L$711-1),IF($R$17="Distrato",$E1027,0))),0,YEARFRAC(MAX($P$708*($B1027+IF($R$17="Distrato",$I$38-1,0)),IF(AND($L$711=0,$P$708=0),"",$L$711-1),IF($R$17="Distrato",$E1027,0)),MIN(AP$38,$D$19),$P$20))-SUM($P1027:AO1027)</f>
        <v>#VALUE!</v>
      </c>
      <c r="AQ1027" s="446" t="e">
        <f>IF(OR($B1027="",MIN(AQ$38,$D$19)&lt;MAX($P$708*($B1027+IF($R$17="Distrato",$I$38-1,0)),IF(AND($L$711=0,$P$708=0),"",$L$711-1),IF($R$17="Distrato",$E1027,0))),0,YEARFRAC(MAX($P$708*($B1027+IF($R$17="Distrato",$I$38-1,0)),IF(AND($L$711=0,$P$708=0),"",$L$711-1),IF($R$17="Distrato",$E1027,0)),MIN(AQ$38,$D$19),$P$20))-SUM($P1027:AP1027)</f>
        <v>#VALUE!</v>
      </c>
      <c r="AR1027" s="446" t="e">
        <f>IF(OR($B1027="",MIN(AR$38,$D$19)&lt;MAX($P$708*($B1027+IF($R$17="Distrato",$I$38-1,0)),IF(AND($L$711=0,$P$708=0),"",$L$711-1),IF($R$17="Distrato",$E1027,0))),0,YEARFRAC(MAX($P$708*($B1027+IF($R$17="Distrato",$I$38-1,0)),IF(AND($L$711=0,$P$708=0),"",$L$711-1),IF($R$17="Distrato",$E1027,0)),MIN(AR$38,$D$19),$P$20))-SUM($P1027:AQ1027)</f>
        <v>#VALUE!</v>
      </c>
      <c r="AS1027" s="446" t="e">
        <f>IF(OR($B1027="",MIN(AS$38,$D$19)&lt;MAX($P$708*($B1027+IF($R$17="Distrato",$I$38-1,0)),IF(AND($L$711=0,$P$708=0),"",$L$711-1),IF($R$17="Distrato",$E1027,0))),0,YEARFRAC(MAX($P$708*($B1027+IF($R$17="Distrato",$I$38-1,0)),IF(AND($L$711=0,$P$708=0),"",$L$711-1),IF($R$17="Distrato",$E1027,0)),MIN(AS$38,$D$19),$P$20))-SUM($P1027:AR1027)</f>
        <v>#VALUE!</v>
      </c>
      <c r="AT1027" s="446" t="e">
        <f>IF(OR($B1027="",MIN(AT$38,$D$19)&lt;MAX($P$708*($B1027+IF($R$17="Distrato",$I$38-1,0)),IF(AND($L$711=0,$P$708=0),"",$L$711-1),IF($R$17="Distrato",$E1027,0))),0,YEARFRAC(MAX($P$708*($B1027+IF($R$17="Distrato",$I$38-1,0)),IF(AND($L$711=0,$P$708=0),"",$L$711-1),IF($R$17="Distrato",$E1027,0)),MIN(AT$38,$D$19),$P$20))-SUM($P1027:AS1027)</f>
        <v>#VALUE!</v>
      </c>
      <c r="AU1027" s="446" t="e">
        <f>IF(OR($B1027="",MIN(AU$38,$D$19)&lt;MAX($P$708*($B1027+IF($R$17="Distrato",$I$38-1,0)),IF(AND($L$711=0,$P$708=0),"",$L$711-1),IF($R$17="Distrato",$E1027,0))),0,YEARFRAC(MAX($P$708*($B1027+IF($R$17="Distrato",$I$38-1,0)),IF(AND($L$711=0,$P$708=0),"",$L$711-1),IF($R$17="Distrato",$E1027,0)),MIN(AU$38,$D$19),$P$20))-SUM($P1027:AT1027)</f>
        <v>#VALUE!</v>
      </c>
      <c r="AV1027" s="446" t="e">
        <f>IF(OR($B1027="",MIN(AV$38,$D$19)&lt;MAX($P$708*($B1027+IF($R$17="Distrato",$I$38-1,0)),IF(AND($L$711=0,$P$708=0),"",$L$711-1),IF($R$17="Distrato",$E1027,0))),0,YEARFRAC(MAX($P$708*($B1027+IF($R$17="Distrato",$I$38-1,0)),IF(AND($L$711=0,$P$708=0),"",$L$711-1),IF($R$17="Distrato",$E1027,0)),MIN(AV$38,$D$19),$P$20))-SUM($P1027:AU1027)</f>
        <v>#VALUE!</v>
      </c>
      <c r="AW1027" s="446" t="e">
        <f>IF(OR($B1027="",MIN(AW$38,$D$19)&lt;MAX($P$708*($B1027+IF($R$17="Distrato",$I$38-1,0)),IF(AND($L$711=0,$P$708=0),"",$L$711-1),IF($R$17="Distrato",$E1027,0))),0,YEARFRAC(MAX($P$708*($B1027+IF($R$17="Distrato",$I$38-1,0)),IF(AND($L$711=0,$P$708=0),"",$L$711-1),IF($R$17="Distrato",$E1027,0)),MIN(AW$38,$D$19),$P$20))-SUM($P1027:AV1027)</f>
        <v>#VALUE!</v>
      </c>
      <c r="AX1027" s="446" t="e">
        <f>IF(OR($B1027="",MIN(AX$38,$D$19)&lt;MAX($P$708*($B1027+IF($R$17="Distrato",$I$38-1,0)),IF(AND($L$711=0,$P$708=0),"",$L$711-1),IF($R$17="Distrato",$E1027,0))),0,YEARFRAC(MAX($P$708*($B1027+IF($R$17="Distrato",$I$38-1,0)),IF(AND($L$711=0,$P$708=0),"",$L$711-1),IF($R$17="Distrato",$E1027,0)),MIN(AX$38,$D$19),$P$20))-SUM($P1027:AW1027)</f>
        <v>#VALUE!</v>
      </c>
      <c r="AY1027" s="446" t="e">
        <f>IF(OR($B1027="",MIN(AY$38,$D$19)&lt;MAX($P$708*($B1027+IF($R$17="Distrato",$I$38-1,0)),IF(AND($L$711=0,$P$708=0),"",$L$711-1),IF($R$17="Distrato",$E1027,0))),0,YEARFRAC(MAX($P$708*($B1027+IF($R$17="Distrato",$I$38-1,0)),IF(AND($L$711=0,$P$708=0),"",$L$711-1),IF($R$17="Distrato",$E1027,0)),MIN(AY$38,$D$19),$P$20))-SUM($P1027:AX1027)</f>
        <v>#VALUE!</v>
      </c>
      <c r="AZ1027" s="446" t="e">
        <f>IF(OR($B1027="",MIN(AZ$38,$D$19)&lt;MAX($P$708*($B1027+IF($R$17="Distrato",$I$38-1,0)),IF(AND($L$711=0,$P$708=0),"",$L$711-1),IF($R$17="Distrato",$E1027,0))),0,YEARFRAC(MAX($P$708*($B1027+IF($R$17="Distrato",$I$38-1,0)),IF(AND($L$711=0,$P$708=0),"",$L$711-1),IF($R$17="Distrato",$E1027,0)),MIN(AZ$38,$D$19),$P$20))-SUM($P1027:AY1027)</f>
        <v>#VALUE!</v>
      </c>
      <c r="BA1027" s="446" t="e">
        <f>IF(OR($B1027="",MIN(BA$38,$D$19)&lt;MAX($P$708*($B1027+IF($R$17="Distrato",$I$38-1,0)),IF(AND($L$711=0,$P$708=0),"",$L$711-1),IF($R$17="Distrato",$E1027,0))),0,YEARFRAC(MAX($P$708*($B1027+IF($R$17="Distrato",$I$38-1,0)),IF(AND($L$711=0,$P$708=0),"",$L$711-1),IF($R$17="Distrato",$E1027,0)),MIN(BA$38,$D$19),$P$20))-SUM($P1027:AZ1027)</f>
        <v>#VALUE!</v>
      </c>
      <c r="BB1027" s="447"/>
    </row>
    <row r="1028" spans="1:54" s="446" customFormat="1" ht="11.25" hidden="1" customHeight="1" x14ac:dyDescent="0.2">
      <c r="A1028" s="235"/>
      <c r="B1028" s="236"/>
      <c r="C1028" s="29" t="str">
        <f>IF(B1028="","",IF($L$709=$BL$25,VLOOKUP(DATE(YEAR($D$19),MONTH($D$19)-1,1),ÍNDICES!$A:$DE,HLOOKUP($BL$25,ÍNDICES!$B$3:$T$4,2)+11)-VLOOKUP(B1028,ÍNDICES!$A:$DE,HLOOKUP($BL$25,ÍNDICES!$B$3:$T$4,2)+11)+1%,IF(C$712=$W$26,$J$35,IF(ISERROR(IF(B1028&gt;$D$19,1,VLOOKUP(DATE(YEAR(B1028),MONTH(B1028)+IF($C$709=$S$23,1,0),1),ÍNDICES!$A:$DE,$Z$709+1))),"",IF(B1028&gt;$D$19,1,VLOOKUP(DATE(YEAR(B1028),MONTH(B1028)+IF($C$709=$S$23,1,0),1),ÍNDICES!$A:$DE,$Z$709+1))))))</f>
        <v/>
      </c>
      <c r="D1028" s="155"/>
      <c r="E1028" s="88"/>
      <c r="F1028" s="88"/>
      <c r="G1028" s="88"/>
      <c r="H1028" s="118"/>
      <c r="I1028" s="182">
        <f t="shared" si="143"/>
        <v>0</v>
      </c>
      <c r="J1028" s="20">
        <f t="shared" ca="1" si="144"/>
        <v>0</v>
      </c>
      <c r="K1028" s="5">
        <f t="shared" ca="1" si="145"/>
        <v>0</v>
      </c>
      <c r="L1028" s="61">
        <f t="shared" ca="1" si="146"/>
        <v>0</v>
      </c>
      <c r="M1028" s="64">
        <f t="shared" si="147"/>
        <v>0</v>
      </c>
      <c r="N1028" s="151"/>
      <c r="O1028" s="5">
        <f t="shared" ca="1" si="148"/>
        <v>0</v>
      </c>
      <c r="P1028" s="446" t="e">
        <f t="shared" si="149"/>
        <v>#VALUE!</v>
      </c>
      <c r="Q1028" s="446" t="e">
        <f>IF(OR($B1028="",MIN(Q$38,$D$19)&lt;MAX($P$708*($B1028+IF($R$17="Distrato",$I$38-1,0)),IF(AND($L$711=0,$P$708=0),"",$L$711-1),IF($R$17="Distrato",$E1028,0))),0,YEARFRAC(MAX($P$708*($B1028+IF($R$17="Distrato",$I$38-1,0)),IF(AND($L$711=0,$P$708=0),"",$L$711-1),IF($R$17="Distrato",$E1028,0)),MIN(Q$38,$D$19),$P$20))-SUM($P1028:P1028)</f>
        <v>#VALUE!</v>
      </c>
      <c r="R1028" s="446" t="e">
        <f>IF(OR($B1028="",MIN(R$38,$D$19)&lt;MAX($P$708*($B1028+IF($R$17="Distrato",$I$38-1,0)),IF(AND($L$711=0,$P$708=0),"",$L$711-1),IF($R$17="Distrato",$E1028,0))),0,YEARFRAC(MAX($P$708*($B1028+IF($R$17="Distrato",$I$38-1,0)),IF(AND($L$711=0,$P$708=0),"",$L$711-1),IF($R$17="Distrato",$E1028,0)),MIN(R$38,$D$19),$P$20))-SUM($P1028:Q1028)</f>
        <v>#VALUE!</v>
      </c>
      <c r="S1028" s="446" t="e">
        <f>IF(OR($B1028="",MIN(S$38,$D$19)&lt;MAX($P$708*($B1028+IF($R$17="Distrato",$I$38-1,0)),IF(AND($L$711=0,$P$708=0),"",$L$711-1),IF($R$17="Distrato",$E1028,0))),0,YEARFRAC(MAX($P$708*($B1028+IF($R$17="Distrato",$I$38-1,0)),IF(AND($L$711=0,$P$708=0),"",$L$711-1),IF($R$17="Distrato",$E1028,0)),MIN(S$38,$D$19),$P$20))-SUM($P1028:R1028)</f>
        <v>#VALUE!</v>
      </c>
      <c r="T1028" s="446" t="e">
        <f>IF(OR($B1028="",MIN(T$38,$D$19)&lt;MAX($P$708*($B1028+IF($R$17="Distrato",$I$38-1,0)),IF(AND($L$711=0,$P$708=0),"",$L$711-1),IF($R$17="Distrato",$E1028,0))),0,YEARFRAC(MAX($P$708*($B1028+IF($R$17="Distrato",$I$38-1,0)),IF(AND($L$711=0,$P$708=0),"",$L$711-1),IF($R$17="Distrato",$E1028,0)),MIN(T$38,$D$19),$P$20))-SUM($P1028:S1028)</f>
        <v>#VALUE!</v>
      </c>
      <c r="U1028" s="446" t="e">
        <f>IF(OR($B1028="",MIN(U$38,$D$19)&lt;MAX($P$708*($B1028+IF($R$17="Distrato",$I$38-1,0)),IF(AND($L$711=0,$P$708=0),"",$L$711-1),IF($R$17="Distrato",$E1028,0))),0,YEARFRAC(MAX($P$708*($B1028+IF($R$17="Distrato",$I$38-1,0)),IF(AND($L$711=0,$P$708=0),"",$L$711-1),IF($R$17="Distrato",$E1028,0)),MIN(U$38,$D$19),$P$20))-SUM($P1028:T1028)</f>
        <v>#VALUE!</v>
      </c>
      <c r="V1028" s="446" t="e">
        <f>IF(OR($B1028="",MIN(V$38,$D$19)&lt;MAX($P$708*($B1028+IF($R$17="Distrato",$I$38-1,0)),IF(AND($L$711=0,$P$708=0),"",$L$711-1),IF($R$17="Distrato",$E1028,0))),0,YEARFRAC(MAX($P$708*($B1028+IF($R$17="Distrato",$I$38-1,0)),IF(AND($L$711=0,$P$708=0),"",$L$711-1),IF($R$17="Distrato",$E1028,0)),MIN(V$38,$D$19),$P$20))-SUM($P1028:U1028)</f>
        <v>#VALUE!</v>
      </c>
      <c r="W1028" s="446" t="e">
        <f>IF(OR($B1028="",MIN(W$38,$D$19)&lt;MAX($P$708*($B1028+IF($R$17="Distrato",$I$38-1,0)),IF(AND($L$711=0,$P$708=0),"",$L$711-1),IF($R$17="Distrato",$E1028,0))),0,YEARFRAC(MAX($P$708*($B1028+IF($R$17="Distrato",$I$38-1,0)),IF(AND($L$711=0,$P$708=0),"",$L$711-1),IF($R$17="Distrato",$E1028,0)),MIN(W$38,$D$19),$P$20))-SUM($P1028:V1028)</f>
        <v>#VALUE!</v>
      </c>
      <c r="X1028" s="446" t="e">
        <f>IF(OR($B1028="",MIN(X$38,$D$19)&lt;MAX($P$708*($B1028+IF($R$17="Distrato",$I$38-1,0)),IF(AND($L$711=0,$P$708=0),"",$L$711-1),IF($R$17="Distrato",$E1028,0))),0,YEARFRAC(MAX($P$708*($B1028+IF($R$17="Distrato",$I$38-1,0)),IF(AND($L$711=0,$P$708=0),"",$L$711-1),IF($R$17="Distrato",$E1028,0)),MIN(X$38,$D$19),$P$20))-SUM($P1028:W1028)</f>
        <v>#VALUE!</v>
      </c>
      <c r="Y1028" s="446" t="e">
        <f>IF(OR($B1028="",MIN(Y$38,$D$19)&lt;MAX($P$708*($B1028+IF($R$17="Distrato",$I$38-1,0)),IF(AND($L$711=0,$P$708=0),"",$L$711-1),IF($R$17="Distrato",$E1028,0))),0,YEARFRAC(MAX($P$708*($B1028+IF($R$17="Distrato",$I$38-1,0)),IF(AND($L$711=0,$P$708=0),"",$L$711-1),IF($R$17="Distrato",$E1028,0)),MIN(Y$38,$D$19),$P$20))-SUM($P1028:X1028)</f>
        <v>#VALUE!</v>
      </c>
      <c r="Z1028" s="446" t="e">
        <f>IF(OR($B1028="",MIN(Z$38,$D$19)&lt;MAX($P$708*($B1028+IF($R$17="Distrato",$I$38-1,0)),IF(AND($L$711=0,$P$708=0),"",$L$711-1),IF($R$17="Distrato",$E1028,0))),0,YEARFRAC(MAX($P$708*($B1028+IF($R$17="Distrato",$I$38-1,0)),IF(AND($L$711=0,$P$708=0),"",$L$711-1),IF($R$17="Distrato",$E1028,0)),MIN(Z$38,$D$19),$P$20))-SUM($P1028:Y1028)</f>
        <v>#VALUE!</v>
      </c>
      <c r="AA1028" s="446" t="e">
        <f>IF(OR($B1028="",MIN(AA$38,$D$19)&lt;MAX($P$708*($B1028+IF($R$17="Distrato",$I$38-1,0)),IF(AND($L$711=0,$P$708=0),"",$L$711-1),IF($R$17="Distrato",$E1028,0))),0,YEARFRAC(MAX($P$708*($B1028+IF($R$17="Distrato",$I$38-1,0)),IF(AND($L$711=0,$P$708=0),"",$L$711-1),IF($R$17="Distrato",$E1028,0)),MIN(AA$38,$D$19),$P$20))-SUM($P1028:Z1028)</f>
        <v>#VALUE!</v>
      </c>
      <c r="AB1028" s="446" t="e">
        <f>IF(OR($B1028="",MIN(AB$38,$D$19)&lt;MAX($P$708*($B1028+IF($R$17="Distrato",$I$38-1,0)),IF(AND($L$711=0,$P$708=0),"",$L$711-1),IF($R$17="Distrato",$E1028,0))),0,YEARFRAC(MAX($P$708*($B1028+IF($R$17="Distrato",$I$38-1,0)),IF(AND($L$711=0,$P$708=0),"",$L$711-1),IF($R$17="Distrato",$E1028,0)),MIN(AB$38,$D$19),$P$20))-SUM($P1028:AA1028)</f>
        <v>#VALUE!</v>
      </c>
      <c r="AC1028" s="446" t="e">
        <f>IF(OR($B1028="",MIN(AC$38,$D$19)&lt;MAX($P$708*($B1028+IF($R$17="Distrato",$I$38-1,0)),IF(AND($L$711=0,$P$708=0),"",$L$711-1),IF($R$17="Distrato",$E1028,0))),0,YEARFRAC(MAX($P$708*($B1028+IF($R$17="Distrato",$I$38-1,0)),IF(AND($L$711=0,$P$708=0),"",$L$711-1),IF($R$17="Distrato",$E1028,0)),MIN(AC$38,$D$19),$P$20))-SUM($P1028:AB1028)</f>
        <v>#VALUE!</v>
      </c>
      <c r="AD1028" s="446" t="e">
        <f>IF(OR($B1028="",MIN(AD$38,$D$19)&lt;MAX($P$708*($B1028+IF($R$17="Distrato",$I$38-1,0)),IF(AND($L$711=0,$P$708=0),"",$L$711-1),IF($R$17="Distrato",$E1028,0))),0,YEARFRAC(MAX($P$708*($B1028+IF($R$17="Distrato",$I$38-1,0)),IF(AND($L$711=0,$P$708=0),"",$L$711-1),IF($R$17="Distrato",$E1028,0)),MIN(AD$38,$D$19),$P$20))-SUM($P1028:AC1028)</f>
        <v>#VALUE!</v>
      </c>
      <c r="AE1028" s="446" t="e">
        <f>IF(OR($B1028="",MIN(AE$38,$D$19)&lt;MAX($P$708*($B1028+IF($R$17="Distrato",$I$38-1,0)),IF(AND($L$711=0,$P$708=0),"",$L$711-1),IF($R$17="Distrato",$E1028,0))),0,YEARFRAC(MAX($P$708*($B1028+IF($R$17="Distrato",$I$38-1,0)),IF(AND($L$711=0,$P$708=0),"",$L$711-1),IF($R$17="Distrato",$E1028,0)),MIN(AE$38,$D$19),$P$20))-SUM($P1028:AD1028)</f>
        <v>#VALUE!</v>
      </c>
      <c r="AF1028" s="446" t="e">
        <f>IF(OR($B1028="",MIN(AF$38,$D$19)&lt;MAX($P$708*($B1028+IF($R$17="Distrato",$I$38-1,0)),IF(AND($L$711=0,$P$708=0),"",$L$711-1),IF($R$17="Distrato",$E1028,0))),0,YEARFRAC(MAX($P$708*($B1028+IF($R$17="Distrato",$I$38-1,0)),IF(AND($L$711=0,$P$708=0),"",$L$711-1),IF($R$17="Distrato",$E1028,0)),MIN(AF$38,$D$19),$P$20))-SUM($P1028:AE1028)</f>
        <v>#VALUE!</v>
      </c>
      <c r="AG1028" s="446" t="e">
        <f>IF(OR($B1028="",MIN(AG$38,$D$19)&lt;MAX($P$708*($B1028+IF($R$17="Distrato",$I$38-1,0)),IF(AND($L$711=0,$P$708=0),"",$L$711-1),IF($R$17="Distrato",$E1028,0))),0,YEARFRAC(MAX($P$708*($B1028+IF($R$17="Distrato",$I$38-1,0)),IF(AND($L$711=0,$P$708=0),"",$L$711-1),IF($R$17="Distrato",$E1028,0)),MIN(AG$38,$D$19),$P$20))-SUM($P1028:AF1028)</f>
        <v>#VALUE!</v>
      </c>
      <c r="AH1028" s="446" t="e">
        <f>IF(OR($B1028="",MIN(AH$38,$D$19)&lt;MAX($P$708*($B1028+IF($R$17="Distrato",$I$38-1,0)),IF(AND($L$711=0,$P$708=0),"",$L$711-1),IF($R$17="Distrato",$E1028,0))),0,YEARFRAC(MAX($P$708*($B1028+IF($R$17="Distrato",$I$38-1,0)),IF(AND($L$711=0,$P$708=0),"",$L$711-1),IF($R$17="Distrato",$E1028,0)),MIN(AH$38,$D$19),$P$20))-SUM($P1028:AG1028)</f>
        <v>#VALUE!</v>
      </c>
      <c r="AI1028" s="446" t="e">
        <f>IF(OR($B1028="",MIN(AI$38,$D$19)&lt;MAX($P$708*($B1028+IF($R$17="Distrato",$I$38-1,0)),IF(AND($L$711=0,$P$708=0),"",$L$711-1),IF($R$17="Distrato",$E1028,0))),0,YEARFRAC(MAX($P$708*($B1028+IF($R$17="Distrato",$I$38-1,0)),IF(AND($L$711=0,$P$708=0),"",$L$711-1),IF($R$17="Distrato",$E1028,0)),MIN(AI$38,$D$19),$P$20))-SUM($P1028:AH1028)</f>
        <v>#VALUE!</v>
      </c>
      <c r="AJ1028" s="446" t="e">
        <f>IF(OR($B1028="",MIN(AJ$38,$D$19)&lt;MAX($P$708*($B1028+IF($R$17="Distrato",$I$38-1,0)),IF(AND($L$711=0,$P$708=0),"",$L$711-1),IF($R$17="Distrato",$E1028,0))),0,YEARFRAC(MAX($P$708*($B1028+IF($R$17="Distrato",$I$38-1,0)),IF(AND($L$711=0,$P$708=0),"",$L$711-1),IF($R$17="Distrato",$E1028,0)),MIN(AJ$38,$D$19),$P$20))-SUM($P1028:AI1028)</f>
        <v>#VALUE!</v>
      </c>
      <c r="AK1028" s="446" t="e">
        <f>IF(OR($B1028="",MIN(AK$38,$D$19)&lt;MAX($P$708*($B1028+IF($R$17="Distrato",$I$38-1,0)),IF(AND($L$711=0,$P$708=0),"",$L$711-1),IF($R$17="Distrato",$E1028,0))),0,YEARFRAC(MAX($P$708*($B1028+IF($R$17="Distrato",$I$38-1,0)),IF(AND($L$711=0,$P$708=0),"",$L$711-1),IF($R$17="Distrato",$E1028,0)),MIN(AK$38,$D$19),$P$20))-SUM($P1028:AJ1028)</f>
        <v>#VALUE!</v>
      </c>
      <c r="AL1028" s="446" t="e">
        <f>IF(OR($B1028="",MIN(AL$38,$D$19)&lt;MAX($P$708*($B1028+IF($R$17="Distrato",$I$38-1,0)),IF(AND($L$711=0,$P$708=0),"",$L$711-1),IF($R$17="Distrato",$E1028,0))),0,YEARFRAC(MAX($P$708*($B1028+IF($R$17="Distrato",$I$38-1,0)),IF(AND($L$711=0,$P$708=0),"",$L$711-1),IF($R$17="Distrato",$E1028,0)),MIN(AL$38,$D$19),$P$20))-SUM($P1028:AK1028)</f>
        <v>#VALUE!</v>
      </c>
      <c r="AM1028" s="446" t="e">
        <f>IF(OR($B1028="",MIN(AM$38,$D$19)&lt;MAX($P$708*($B1028+IF($R$17="Distrato",$I$38-1,0)),IF(AND($L$711=0,$P$708=0),"",$L$711-1),IF($R$17="Distrato",$E1028,0))),0,YEARFRAC(MAX($P$708*($B1028+IF($R$17="Distrato",$I$38-1,0)),IF(AND($L$711=0,$P$708=0),"",$L$711-1),IF($R$17="Distrato",$E1028,0)),MIN(AM$38,$D$19),$P$20))-SUM($P1028:AL1028)</f>
        <v>#VALUE!</v>
      </c>
      <c r="AN1028" s="446" t="e">
        <f>IF(OR($B1028="",MIN(AN$38,$D$19)&lt;MAX($P$708*($B1028+IF($R$17="Distrato",$I$38-1,0)),IF(AND($L$711=0,$P$708=0),"",$L$711-1),IF($R$17="Distrato",$E1028,0))),0,YEARFRAC(MAX($P$708*($B1028+IF($R$17="Distrato",$I$38-1,0)),IF(AND($L$711=0,$P$708=0),"",$L$711-1),IF($R$17="Distrato",$E1028,0)),MIN(AN$38,$D$19),$P$20))-SUM($P1028:AM1028)</f>
        <v>#VALUE!</v>
      </c>
      <c r="AO1028" s="446" t="e">
        <f>IF(OR($B1028="",MIN(AO$38,$D$19)&lt;MAX($P$708*($B1028+IF($R$17="Distrato",$I$38-1,0)),IF(AND($L$711=0,$P$708=0),"",$L$711-1),IF($R$17="Distrato",$E1028,0))),0,YEARFRAC(MAX($P$708*($B1028+IF($R$17="Distrato",$I$38-1,0)),IF(AND($L$711=0,$P$708=0),"",$L$711-1),IF($R$17="Distrato",$E1028,0)),MIN(AO$38,$D$19),$P$20))-SUM($P1028:AN1028)</f>
        <v>#VALUE!</v>
      </c>
      <c r="AP1028" s="446" t="e">
        <f>IF(OR($B1028="",MIN(AP$38,$D$19)&lt;MAX($P$708*($B1028+IF($R$17="Distrato",$I$38-1,0)),IF(AND($L$711=0,$P$708=0),"",$L$711-1),IF($R$17="Distrato",$E1028,0))),0,YEARFRAC(MAX($P$708*($B1028+IF($R$17="Distrato",$I$38-1,0)),IF(AND($L$711=0,$P$708=0),"",$L$711-1),IF($R$17="Distrato",$E1028,0)),MIN(AP$38,$D$19),$P$20))-SUM($P1028:AO1028)</f>
        <v>#VALUE!</v>
      </c>
      <c r="AQ1028" s="446" t="e">
        <f>IF(OR($B1028="",MIN(AQ$38,$D$19)&lt;MAX($P$708*($B1028+IF($R$17="Distrato",$I$38-1,0)),IF(AND($L$711=0,$P$708=0),"",$L$711-1),IF($R$17="Distrato",$E1028,0))),0,YEARFRAC(MAX($P$708*($B1028+IF($R$17="Distrato",$I$38-1,0)),IF(AND($L$711=0,$P$708=0),"",$L$711-1),IF($R$17="Distrato",$E1028,0)),MIN(AQ$38,$D$19),$P$20))-SUM($P1028:AP1028)</f>
        <v>#VALUE!</v>
      </c>
      <c r="AR1028" s="446" t="e">
        <f>IF(OR($B1028="",MIN(AR$38,$D$19)&lt;MAX($P$708*($B1028+IF($R$17="Distrato",$I$38-1,0)),IF(AND($L$711=0,$P$708=0),"",$L$711-1),IF($R$17="Distrato",$E1028,0))),0,YEARFRAC(MAX($P$708*($B1028+IF($R$17="Distrato",$I$38-1,0)),IF(AND($L$711=0,$P$708=0),"",$L$711-1),IF($R$17="Distrato",$E1028,0)),MIN(AR$38,$D$19),$P$20))-SUM($P1028:AQ1028)</f>
        <v>#VALUE!</v>
      </c>
      <c r="AS1028" s="446" t="e">
        <f>IF(OR($B1028="",MIN(AS$38,$D$19)&lt;MAX($P$708*($B1028+IF($R$17="Distrato",$I$38-1,0)),IF(AND($L$711=0,$P$708=0),"",$L$711-1),IF($R$17="Distrato",$E1028,0))),0,YEARFRAC(MAX($P$708*($B1028+IF($R$17="Distrato",$I$38-1,0)),IF(AND($L$711=0,$P$708=0),"",$L$711-1),IF($R$17="Distrato",$E1028,0)),MIN(AS$38,$D$19),$P$20))-SUM($P1028:AR1028)</f>
        <v>#VALUE!</v>
      </c>
      <c r="AT1028" s="446" t="e">
        <f>IF(OR($B1028="",MIN(AT$38,$D$19)&lt;MAX($P$708*($B1028+IF($R$17="Distrato",$I$38-1,0)),IF(AND($L$711=0,$P$708=0),"",$L$711-1),IF($R$17="Distrato",$E1028,0))),0,YEARFRAC(MAX($P$708*($B1028+IF($R$17="Distrato",$I$38-1,0)),IF(AND($L$711=0,$P$708=0),"",$L$711-1),IF($R$17="Distrato",$E1028,0)),MIN(AT$38,$D$19),$P$20))-SUM($P1028:AS1028)</f>
        <v>#VALUE!</v>
      </c>
      <c r="AU1028" s="446" t="e">
        <f>IF(OR($B1028="",MIN(AU$38,$D$19)&lt;MAX($P$708*($B1028+IF($R$17="Distrato",$I$38-1,0)),IF(AND($L$711=0,$P$708=0),"",$L$711-1),IF($R$17="Distrato",$E1028,0))),0,YEARFRAC(MAX($P$708*($B1028+IF($R$17="Distrato",$I$38-1,0)),IF(AND($L$711=0,$P$708=0),"",$L$711-1),IF($R$17="Distrato",$E1028,0)),MIN(AU$38,$D$19),$P$20))-SUM($P1028:AT1028)</f>
        <v>#VALUE!</v>
      </c>
      <c r="AV1028" s="446" t="e">
        <f>IF(OR($B1028="",MIN(AV$38,$D$19)&lt;MAX($P$708*($B1028+IF($R$17="Distrato",$I$38-1,0)),IF(AND($L$711=0,$P$708=0),"",$L$711-1),IF($R$17="Distrato",$E1028,0))),0,YEARFRAC(MAX($P$708*($B1028+IF($R$17="Distrato",$I$38-1,0)),IF(AND($L$711=0,$P$708=0),"",$L$711-1),IF($R$17="Distrato",$E1028,0)),MIN(AV$38,$D$19),$P$20))-SUM($P1028:AU1028)</f>
        <v>#VALUE!</v>
      </c>
      <c r="AW1028" s="446" t="e">
        <f>IF(OR($B1028="",MIN(AW$38,$D$19)&lt;MAX($P$708*($B1028+IF($R$17="Distrato",$I$38-1,0)),IF(AND($L$711=0,$P$708=0),"",$L$711-1),IF($R$17="Distrato",$E1028,0))),0,YEARFRAC(MAX($P$708*($B1028+IF($R$17="Distrato",$I$38-1,0)),IF(AND($L$711=0,$P$708=0),"",$L$711-1),IF($R$17="Distrato",$E1028,0)),MIN(AW$38,$D$19),$P$20))-SUM($P1028:AV1028)</f>
        <v>#VALUE!</v>
      </c>
      <c r="AX1028" s="446" t="e">
        <f>IF(OR($B1028="",MIN(AX$38,$D$19)&lt;MAX($P$708*($B1028+IF($R$17="Distrato",$I$38-1,0)),IF(AND($L$711=0,$P$708=0),"",$L$711-1),IF($R$17="Distrato",$E1028,0))),0,YEARFRAC(MAX($P$708*($B1028+IF($R$17="Distrato",$I$38-1,0)),IF(AND($L$711=0,$P$708=0),"",$L$711-1),IF($R$17="Distrato",$E1028,0)),MIN(AX$38,$D$19),$P$20))-SUM($P1028:AW1028)</f>
        <v>#VALUE!</v>
      </c>
      <c r="AY1028" s="446" t="e">
        <f>IF(OR($B1028="",MIN(AY$38,$D$19)&lt;MAX($P$708*($B1028+IF($R$17="Distrato",$I$38-1,0)),IF(AND($L$711=0,$P$708=0),"",$L$711-1),IF($R$17="Distrato",$E1028,0))),0,YEARFRAC(MAX($P$708*($B1028+IF($R$17="Distrato",$I$38-1,0)),IF(AND($L$711=0,$P$708=0),"",$L$711-1),IF($R$17="Distrato",$E1028,0)),MIN(AY$38,$D$19),$P$20))-SUM($P1028:AX1028)</f>
        <v>#VALUE!</v>
      </c>
      <c r="AZ1028" s="446" t="e">
        <f>IF(OR($B1028="",MIN(AZ$38,$D$19)&lt;MAX($P$708*($B1028+IF($R$17="Distrato",$I$38-1,0)),IF(AND($L$711=0,$P$708=0),"",$L$711-1),IF($R$17="Distrato",$E1028,0))),0,YEARFRAC(MAX($P$708*($B1028+IF($R$17="Distrato",$I$38-1,0)),IF(AND($L$711=0,$P$708=0),"",$L$711-1),IF($R$17="Distrato",$E1028,0)),MIN(AZ$38,$D$19),$P$20))-SUM($P1028:AY1028)</f>
        <v>#VALUE!</v>
      </c>
      <c r="BA1028" s="446" t="e">
        <f>IF(OR($B1028="",MIN(BA$38,$D$19)&lt;MAX($P$708*($B1028+IF($R$17="Distrato",$I$38-1,0)),IF(AND($L$711=0,$P$708=0),"",$L$711-1),IF($R$17="Distrato",$E1028,0))),0,YEARFRAC(MAX($P$708*($B1028+IF($R$17="Distrato",$I$38-1,0)),IF(AND($L$711=0,$P$708=0),"",$L$711-1),IF($R$17="Distrato",$E1028,0)),MIN(BA$38,$D$19),$P$20))-SUM($P1028:AZ1028)</f>
        <v>#VALUE!</v>
      </c>
      <c r="BB1028" s="447"/>
    </row>
    <row r="1029" spans="1:54" s="446" customFormat="1" ht="11.25" hidden="1" customHeight="1" x14ac:dyDescent="0.2">
      <c r="A1029" s="235"/>
      <c r="B1029" s="236"/>
      <c r="C1029" s="29" t="str">
        <f>IF(B1029="","",IF($L$709=$BL$25,VLOOKUP(DATE(YEAR($D$19),MONTH($D$19)-1,1),ÍNDICES!$A:$DE,HLOOKUP($BL$25,ÍNDICES!$B$3:$T$4,2)+11)-VLOOKUP(B1029,ÍNDICES!$A:$DE,HLOOKUP($BL$25,ÍNDICES!$B$3:$T$4,2)+11)+1%,IF(C$712=$W$26,$J$35,IF(ISERROR(IF(B1029&gt;$D$19,1,VLOOKUP(DATE(YEAR(B1029),MONTH(B1029)+IF($C$709=$S$23,1,0),1),ÍNDICES!$A:$DE,$Z$709+1))),"",IF(B1029&gt;$D$19,1,VLOOKUP(DATE(YEAR(B1029),MONTH(B1029)+IF($C$709=$S$23,1,0),1),ÍNDICES!$A:$DE,$Z$709+1))))))</f>
        <v/>
      </c>
      <c r="D1029" s="155"/>
      <c r="E1029" s="88"/>
      <c r="F1029" s="88"/>
      <c r="G1029" s="88"/>
      <c r="H1029" s="118"/>
      <c r="I1029" s="182">
        <f t="shared" si="143"/>
        <v>0</v>
      </c>
      <c r="J1029" s="20">
        <f t="shared" ca="1" si="144"/>
        <v>0</v>
      </c>
      <c r="K1029" s="5">
        <f t="shared" ca="1" si="145"/>
        <v>0</v>
      </c>
      <c r="L1029" s="61">
        <f t="shared" ca="1" si="146"/>
        <v>0</v>
      </c>
      <c r="M1029" s="64">
        <f t="shared" si="147"/>
        <v>0</v>
      </c>
      <c r="N1029" s="151"/>
      <c r="O1029" s="5">
        <f t="shared" ca="1" si="148"/>
        <v>0</v>
      </c>
      <c r="P1029" s="446" t="e">
        <f t="shared" si="149"/>
        <v>#VALUE!</v>
      </c>
      <c r="Q1029" s="446" t="e">
        <f>IF(OR($B1029="",MIN(Q$38,$D$19)&lt;MAX($P$708*($B1029+IF($R$17="Distrato",$I$38-1,0)),IF(AND($L$711=0,$P$708=0),"",$L$711-1),IF($R$17="Distrato",$E1029,0))),0,YEARFRAC(MAX($P$708*($B1029+IF($R$17="Distrato",$I$38-1,0)),IF(AND($L$711=0,$P$708=0),"",$L$711-1),IF($R$17="Distrato",$E1029,0)),MIN(Q$38,$D$19),$P$20))-SUM($P1029:P1029)</f>
        <v>#VALUE!</v>
      </c>
      <c r="R1029" s="446" t="e">
        <f>IF(OR($B1029="",MIN(R$38,$D$19)&lt;MAX($P$708*($B1029+IF($R$17="Distrato",$I$38-1,0)),IF(AND($L$711=0,$P$708=0),"",$L$711-1),IF($R$17="Distrato",$E1029,0))),0,YEARFRAC(MAX($P$708*($B1029+IF($R$17="Distrato",$I$38-1,0)),IF(AND($L$711=0,$P$708=0),"",$L$711-1),IF($R$17="Distrato",$E1029,0)),MIN(R$38,$D$19),$P$20))-SUM($P1029:Q1029)</f>
        <v>#VALUE!</v>
      </c>
      <c r="S1029" s="446" t="e">
        <f>IF(OR($B1029="",MIN(S$38,$D$19)&lt;MAX($P$708*($B1029+IF($R$17="Distrato",$I$38-1,0)),IF(AND($L$711=0,$P$708=0),"",$L$711-1),IF($R$17="Distrato",$E1029,0))),0,YEARFRAC(MAX($P$708*($B1029+IF($R$17="Distrato",$I$38-1,0)),IF(AND($L$711=0,$P$708=0),"",$L$711-1),IF($R$17="Distrato",$E1029,0)),MIN(S$38,$D$19),$P$20))-SUM($P1029:R1029)</f>
        <v>#VALUE!</v>
      </c>
      <c r="T1029" s="446" t="e">
        <f>IF(OR($B1029="",MIN(T$38,$D$19)&lt;MAX($P$708*($B1029+IF($R$17="Distrato",$I$38-1,0)),IF(AND($L$711=0,$P$708=0),"",$L$711-1),IF($R$17="Distrato",$E1029,0))),0,YEARFRAC(MAX($P$708*($B1029+IF($R$17="Distrato",$I$38-1,0)),IF(AND($L$711=0,$P$708=0),"",$L$711-1),IF($R$17="Distrato",$E1029,0)),MIN(T$38,$D$19),$P$20))-SUM($P1029:S1029)</f>
        <v>#VALUE!</v>
      </c>
      <c r="U1029" s="446" t="e">
        <f>IF(OR($B1029="",MIN(U$38,$D$19)&lt;MAX($P$708*($B1029+IF($R$17="Distrato",$I$38-1,0)),IF(AND($L$711=0,$P$708=0),"",$L$711-1),IF($R$17="Distrato",$E1029,0))),0,YEARFRAC(MAX($P$708*($B1029+IF($R$17="Distrato",$I$38-1,0)),IF(AND($L$711=0,$P$708=0),"",$L$711-1),IF($R$17="Distrato",$E1029,0)),MIN(U$38,$D$19),$P$20))-SUM($P1029:T1029)</f>
        <v>#VALUE!</v>
      </c>
      <c r="V1029" s="446" t="e">
        <f>IF(OR($B1029="",MIN(V$38,$D$19)&lt;MAX($P$708*($B1029+IF($R$17="Distrato",$I$38-1,0)),IF(AND($L$711=0,$P$708=0),"",$L$711-1),IF($R$17="Distrato",$E1029,0))),0,YEARFRAC(MAX($P$708*($B1029+IF($R$17="Distrato",$I$38-1,0)),IF(AND($L$711=0,$P$708=0),"",$L$711-1),IF($R$17="Distrato",$E1029,0)),MIN(V$38,$D$19),$P$20))-SUM($P1029:U1029)</f>
        <v>#VALUE!</v>
      </c>
      <c r="W1029" s="446" t="e">
        <f>IF(OR($B1029="",MIN(W$38,$D$19)&lt;MAX($P$708*($B1029+IF($R$17="Distrato",$I$38-1,0)),IF(AND($L$711=0,$P$708=0),"",$L$711-1),IF($R$17="Distrato",$E1029,0))),0,YEARFRAC(MAX($P$708*($B1029+IF($R$17="Distrato",$I$38-1,0)),IF(AND($L$711=0,$P$708=0),"",$L$711-1),IF($R$17="Distrato",$E1029,0)),MIN(W$38,$D$19),$P$20))-SUM($P1029:V1029)</f>
        <v>#VALUE!</v>
      </c>
      <c r="X1029" s="446" t="e">
        <f>IF(OR($B1029="",MIN(X$38,$D$19)&lt;MAX($P$708*($B1029+IF($R$17="Distrato",$I$38-1,0)),IF(AND($L$711=0,$P$708=0),"",$L$711-1),IF($R$17="Distrato",$E1029,0))),0,YEARFRAC(MAX($P$708*($B1029+IF($R$17="Distrato",$I$38-1,0)),IF(AND($L$711=0,$P$708=0),"",$L$711-1),IF($R$17="Distrato",$E1029,0)),MIN(X$38,$D$19),$P$20))-SUM($P1029:W1029)</f>
        <v>#VALUE!</v>
      </c>
      <c r="Y1029" s="446" t="e">
        <f>IF(OR($B1029="",MIN(Y$38,$D$19)&lt;MAX($P$708*($B1029+IF($R$17="Distrato",$I$38-1,0)),IF(AND($L$711=0,$P$708=0),"",$L$711-1),IF($R$17="Distrato",$E1029,0))),0,YEARFRAC(MAX($P$708*($B1029+IF($R$17="Distrato",$I$38-1,0)),IF(AND($L$711=0,$P$708=0),"",$L$711-1),IF($R$17="Distrato",$E1029,0)),MIN(Y$38,$D$19),$P$20))-SUM($P1029:X1029)</f>
        <v>#VALUE!</v>
      </c>
      <c r="Z1029" s="446" t="e">
        <f>IF(OR($B1029="",MIN(Z$38,$D$19)&lt;MAX($P$708*($B1029+IF($R$17="Distrato",$I$38-1,0)),IF(AND($L$711=0,$P$708=0),"",$L$711-1),IF($R$17="Distrato",$E1029,0))),0,YEARFRAC(MAX($P$708*($B1029+IF($R$17="Distrato",$I$38-1,0)),IF(AND($L$711=0,$P$708=0),"",$L$711-1),IF($R$17="Distrato",$E1029,0)),MIN(Z$38,$D$19),$P$20))-SUM($P1029:Y1029)</f>
        <v>#VALUE!</v>
      </c>
      <c r="AA1029" s="446" t="e">
        <f>IF(OR($B1029="",MIN(AA$38,$D$19)&lt;MAX($P$708*($B1029+IF($R$17="Distrato",$I$38-1,0)),IF(AND($L$711=0,$P$708=0),"",$L$711-1),IF($R$17="Distrato",$E1029,0))),0,YEARFRAC(MAX($P$708*($B1029+IF($R$17="Distrato",$I$38-1,0)),IF(AND($L$711=0,$P$708=0),"",$L$711-1),IF($R$17="Distrato",$E1029,0)),MIN(AA$38,$D$19),$P$20))-SUM($P1029:Z1029)</f>
        <v>#VALUE!</v>
      </c>
      <c r="AB1029" s="446" t="e">
        <f>IF(OR($B1029="",MIN(AB$38,$D$19)&lt;MAX($P$708*($B1029+IF($R$17="Distrato",$I$38-1,0)),IF(AND($L$711=0,$P$708=0),"",$L$711-1),IF($R$17="Distrato",$E1029,0))),0,YEARFRAC(MAX($P$708*($B1029+IF($R$17="Distrato",$I$38-1,0)),IF(AND($L$711=0,$P$708=0),"",$L$711-1),IF($R$17="Distrato",$E1029,0)),MIN(AB$38,$D$19),$P$20))-SUM($P1029:AA1029)</f>
        <v>#VALUE!</v>
      </c>
      <c r="AC1029" s="446" t="e">
        <f>IF(OR($B1029="",MIN(AC$38,$D$19)&lt;MAX($P$708*($B1029+IF($R$17="Distrato",$I$38-1,0)),IF(AND($L$711=0,$P$708=0),"",$L$711-1),IF($R$17="Distrato",$E1029,0))),0,YEARFRAC(MAX($P$708*($B1029+IF($R$17="Distrato",$I$38-1,0)),IF(AND($L$711=0,$P$708=0),"",$L$711-1),IF($R$17="Distrato",$E1029,0)),MIN(AC$38,$D$19),$P$20))-SUM($P1029:AB1029)</f>
        <v>#VALUE!</v>
      </c>
      <c r="AD1029" s="446" t="e">
        <f>IF(OR($B1029="",MIN(AD$38,$D$19)&lt;MAX($P$708*($B1029+IF($R$17="Distrato",$I$38-1,0)),IF(AND($L$711=0,$P$708=0),"",$L$711-1),IF($R$17="Distrato",$E1029,0))),0,YEARFRAC(MAX($P$708*($B1029+IF($R$17="Distrato",$I$38-1,0)),IF(AND($L$711=0,$P$708=0),"",$L$711-1),IF($R$17="Distrato",$E1029,0)),MIN(AD$38,$D$19),$P$20))-SUM($P1029:AC1029)</f>
        <v>#VALUE!</v>
      </c>
      <c r="AE1029" s="446" t="e">
        <f>IF(OR($B1029="",MIN(AE$38,$D$19)&lt;MAX($P$708*($B1029+IF($R$17="Distrato",$I$38-1,0)),IF(AND($L$711=0,$P$708=0),"",$L$711-1),IF($R$17="Distrato",$E1029,0))),0,YEARFRAC(MAX($P$708*($B1029+IF($R$17="Distrato",$I$38-1,0)),IF(AND($L$711=0,$P$708=0),"",$L$711-1),IF($R$17="Distrato",$E1029,0)),MIN(AE$38,$D$19),$P$20))-SUM($P1029:AD1029)</f>
        <v>#VALUE!</v>
      </c>
      <c r="AF1029" s="446" t="e">
        <f>IF(OR($B1029="",MIN(AF$38,$D$19)&lt;MAX($P$708*($B1029+IF($R$17="Distrato",$I$38-1,0)),IF(AND($L$711=0,$P$708=0),"",$L$711-1),IF($R$17="Distrato",$E1029,0))),0,YEARFRAC(MAX($P$708*($B1029+IF($R$17="Distrato",$I$38-1,0)),IF(AND($L$711=0,$P$708=0),"",$L$711-1),IF($R$17="Distrato",$E1029,0)),MIN(AF$38,$D$19),$P$20))-SUM($P1029:AE1029)</f>
        <v>#VALUE!</v>
      </c>
      <c r="AG1029" s="446" t="e">
        <f>IF(OR($B1029="",MIN(AG$38,$D$19)&lt;MAX($P$708*($B1029+IF($R$17="Distrato",$I$38-1,0)),IF(AND($L$711=0,$P$708=0),"",$L$711-1),IF($R$17="Distrato",$E1029,0))),0,YEARFRAC(MAX($P$708*($B1029+IF($R$17="Distrato",$I$38-1,0)),IF(AND($L$711=0,$P$708=0),"",$L$711-1),IF($R$17="Distrato",$E1029,0)),MIN(AG$38,$D$19),$P$20))-SUM($P1029:AF1029)</f>
        <v>#VALUE!</v>
      </c>
      <c r="AH1029" s="446" t="e">
        <f>IF(OR($B1029="",MIN(AH$38,$D$19)&lt;MAX($P$708*($B1029+IF($R$17="Distrato",$I$38-1,0)),IF(AND($L$711=0,$P$708=0),"",$L$711-1),IF($R$17="Distrato",$E1029,0))),0,YEARFRAC(MAX($P$708*($B1029+IF($R$17="Distrato",$I$38-1,0)),IF(AND($L$711=0,$P$708=0),"",$L$711-1),IF($R$17="Distrato",$E1029,0)),MIN(AH$38,$D$19),$P$20))-SUM($P1029:AG1029)</f>
        <v>#VALUE!</v>
      </c>
      <c r="AI1029" s="446" t="e">
        <f>IF(OR($B1029="",MIN(AI$38,$D$19)&lt;MAX($P$708*($B1029+IF($R$17="Distrato",$I$38-1,0)),IF(AND($L$711=0,$P$708=0),"",$L$711-1),IF($R$17="Distrato",$E1029,0))),0,YEARFRAC(MAX($P$708*($B1029+IF($R$17="Distrato",$I$38-1,0)),IF(AND($L$711=0,$P$708=0),"",$L$711-1),IF($R$17="Distrato",$E1029,0)),MIN(AI$38,$D$19),$P$20))-SUM($P1029:AH1029)</f>
        <v>#VALUE!</v>
      </c>
      <c r="AJ1029" s="446" t="e">
        <f>IF(OR($B1029="",MIN(AJ$38,$D$19)&lt;MAX($P$708*($B1029+IF($R$17="Distrato",$I$38-1,0)),IF(AND($L$711=0,$P$708=0),"",$L$711-1),IF($R$17="Distrato",$E1029,0))),0,YEARFRAC(MAX($P$708*($B1029+IF($R$17="Distrato",$I$38-1,0)),IF(AND($L$711=0,$P$708=0),"",$L$711-1),IF($R$17="Distrato",$E1029,0)),MIN(AJ$38,$D$19),$P$20))-SUM($P1029:AI1029)</f>
        <v>#VALUE!</v>
      </c>
      <c r="AK1029" s="446" t="e">
        <f>IF(OR($B1029="",MIN(AK$38,$D$19)&lt;MAX($P$708*($B1029+IF($R$17="Distrato",$I$38-1,0)),IF(AND($L$711=0,$P$708=0),"",$L$711-1),IF($R$17="Distrato",$E1029,0))),0,YEARFRAC(MAX($P$708*($B1029+IF($R$17="Distrato",$I$38-1,0)),IF(AND($L$711=0,$P$708=0),"",$L$711-1),IF($R$17="Distrato",$E1029,0)),MIN(AK$38,$D$19),$P$20))-SUM($P1029:AJ1029)</f>
        <v>#VALUE!</v>
      </c>
      <c r="AL1029" s="446" t="e">
        <f>IF(OR($B1029="",MIN(AL$38,$D$19)&lt;MAX($P$708*($B1029+IF($R$17="Distrato",$I$38-1,0)),IF(AND($L$711=0,$P$708=0),"",$L$711-1),IF($R$17="Distrato",$E1029,0))),0,YEARFRAC(MAX($P$708*($B1029+IF($R$17="Distrato",$I$38-1,0)),IF(AND($L$711=0,$P$708=0),"",$L$711-1),IF($R$17="Distrato",$E1029,0)),MIN(AL$38,$D$19),$P$20))-SUM($P1029:AK1029)</f>
        <v>#VALUE!</v>
      </c>
      <c r="AM1029" s="446" t="e">
        <f>IF(OR($B1029="",MIN(AM$38,$D$19)&lt;MAX($P$708*($B1029+IF($R$17="Distrato",$I$38-1,0)),IF(AND($L$711=0,$P$708=0),"",$L$711-1),IF($R$17="Distrato",$E1029,0))),0,YEARFRAC(MAX($P$708*($B1029+IF($R$17="Distrato",$I$38-1,0)),IF(AND($L$711=0,$P$708=0),"",$L$711-1),IF($R$17="Distrato",$E1029,0)),MIN(AM$38,$D$19),$P$20))-SUM($P1029:AL1029)</f>
        <v>#VALUE!</v>
      </c>
      <c r="AN1029" s="446" t="e">
        <f>IF(OR($B1029="",MIN(AN$38,$D$19)&lt;MAX($P$708*($B1029+IF($R$17="Distrato",$I$38-1,0)),IF(AND($L$711=0,$P$708=0),"",$L$711-1),IF($R$17="Distrato",$E1029,0))),0,YEARFRAC(MAX($P$708*($B1029+IF($R$17="Distrato",$I$38-1,0)),IF(AND($L$711=0,$P$708=0),"",$L$711-1),IF($R$17="Distrato",$E1029,0)),MIN(AN$38,$D$19),$P$20))-SUM($P1029:AM1029)</f>
        <v>#VALUE!</v>
      </c>
      <c r="AO1029" s="446" t="e">
        <f>IF(OR($B1029="",MIN(AO$38,$D$19)&lt;MAX($P$708*($B1029+IF($R$17="Distrato",$I$38-1,0)),IF(AND($L$711=0,$P$708=0),"",$L$711-1),IF($R$17="Distrato",$E1029,0))),0,YEARFRAC(MAX($P$708*($B1029+IF($R$17="Distrato",$I$38-1,0)),IF(AND($L$711=0,$P$708=0),"",$L$711-1),IF($R$17="Distrato",$E1029,0)),MIN(AO$38,$D$19),$P$20))-SUM($P1029:AN1029)</f>
        <v>#VALUE!</v>
      </c>
      <c r="AP1029" s="446" t="e">
        <f>IF(OR($B1029="",MIN(AP$38,$D$19)&lt;MAX($P$708*($B1029+IF($R$17="Distrato",$I$38-1,0)),IF(AND($L$711=0,$P$708=0),"",$L$711-1),IF($R$17="Distrato",$E1029,0))),0,YEARFRAC(MAX($P$708*($B1029+IF($R$17="Distrato",$I$38-1,0)),IF(AND($L$711=0,$P$708=0),"",$L$711-1),IF($R$17="Distrato",$E1029,0)),MIN(AP$38,$D$19),$P$20))-SUM($P1029:AO1029)</f>
        <v>#VALUE!</v>
      </c>
      <c r="AQ1029" s="446" t="e">
        <f>IF(OR($B1029="",MIN(AQ$38,$D$19)&lt;MAX($P$708*($B1029+IF($R$17="Distrato",$I$38-1,0)),IF(AND($L$711=0,$P$708=0),"",$L$711-1),IF($R$17="Distrato",$E1029,0))),0,YEARFRAC(MAX($P$708*($B1029+IF($R$17="Distrato",$I$38-1,0)),IF(AND($L$711=0,$P$708=0),"",$L$711-1),IF($R$17="Distrato",$E1029,0)),MIN(AQ$38,$D$19),$P$20))-SUM($P1029:AP1029)</f>
        <v>#VALUE!</v>
      </c>
      <c r="AR1029" s="446" t="e">
        <f>IF(OR($B1029="",MIN(AR$38,$D$19)&lt;MAX($P$708*($B1029+IF($R$17="Distrato",$I$38-1,0)),IF(AND($L$711=0,$P$708=0),"",$L$711-1),IF($R$17="Distrato",$E1029,0))),0,YEARFRAC(MAX($P$708*($B1029+IF($R$17="Distrato",$I$38-1,0)),IF(AND($L$711=0,$P$708=0),"",$L$711-1),IF($R$17="Distrato",$E1029,0)),MIN(AR$38,$D$19),$P$20))-SUM($P1029:AQ1029)</f>
        <v>#VALUE!</v>
      </c>
      <c r="AS1029" s="446" t="e">
        <f>IF(OR($B1029="",MIN(AS$38,$D$19)&lt;MAX($P$708*($B1029+IF($R$17="Distrato",$I$38-1,0)),IF(AND($L$711=0,$P$708=0),"",$L$711-1),IF($R$17="Distrato",$E1029,0))),0,YEARFRAC(MAX($P$708*($B1029+IF($R$17="Distrato",$I$38-1,0)),IF(AND($L$711=0,$P$708=0),"",$L$711-1),IF($R$17="Distrato",$E1029,0)),MIN(AS$38,$D$19),$P$20))-SUM($P1029:AR1029)</f>
        <v>#VALUE!</v>
      </c>
      <c r="AT1029" s="446" t="e">
        <f>IF(OR($B1029="",MIN(AT$38,$D$19)&lt;MAX($P$708*($B1029+IF($R$17="Distrato",$I$38-1,0)),IF(AND($L$711=0,$P$708=0),"",$L$711-1),IF($R$17="Distrato",$E1029,0))),0,YEARFRAC(MAX($P$708*($B1029+IF($R$17="Distrato",$I$38-1,0)),IF(AND($L$711=0,$P$708=0),"",$L$711-1),IF($R$17="Distrato",$E1029,0)),MIN(AT$38,$D$19),$P$20))-SUM($P1029:AS1029)</f>
        <v>#VALUE!</v>
      </c>
      <c r="AU1029" s="446" t="e">
        <f>IF(OR($B1029="",MIN(AU$38,$D$19)&lt;MAX($P$708*($B1029+IF($R$17="Distrato",$I$38-1,0)),IF(AND($L$711=0,$P$708=0),"",$L$711-1),IF($R$17="Distrato",$E1029,0))),0,YEARFRAC(MAX($P$708*($B1029+IF($R$17="Distrato",$I$38-1,0)),IF(AND($L$711=0,$P$708=0),"",$L$711-1),IF($R$17="Distrato",$E1029,0)),MIN(AU$38,$D$19),$P$20))-SUM($P1029:AT1029)</f>
        <v>#VALUE!</v>
      </c>
      <c r="AV1029" s="446" t="e">
        <f>IF(OR($B1029="",MIN(AV$38,$D$19)&lt;MAX($P$708*($B1029+IF($R$17="Distrato",$I$38-1,0)),IF(AND($L$711=0,$P$708=0),"",$L$711-1),IF($R$17="Distrato",$E1029,0))),0,YEARFRAC(MAX($P$708*($B1029+IF($R$17="Distrato",$I$38-1,0)),IF(AND($L$711=0,$P$708=0),"",$L$711-1),IF($R$17="Distrato",$E1029,0)),MIN(AV$38,$D$19),$P$20))-SUM($P1029:AU1029)</f>
        <v>#VALUE!</v>
      </c>
      <c r="AW1029" s="446" t="e">
        <f>IF(OR($B1029="",MIN(AW$38,$D$19)&lt;MAX($P$708*($B1029+IF($R$17="Distrato",$I$38-1,0)),IF(AND($L$711=0,$P$708=0),"",$L$711-1),IF($R$17="Distrato",$E1029,0))),0,YEARFRAC(MAX($P$708*($B1029+IF($R$17="Distrato",$I$38-1,0)),IF(AND($L$711=0,$P$708=0),"",$L$711-1),IF($R$17="Distrato",$E1029,0)),MIN(AW$38,$D$19),$P$20))-SUM($P1029:AV1029)</f>
        <v>#VALUE!</v>
      </c>
      <c r="AX1029" s="446" t="e">
        <f>IF(OR($B1029="",MIN(AX$38,$D$19)&lt;MAX($P$708*($B1029+IF($R$17="Distrato",$I$38-1,0)),IF(AND($L$711=0,$P$708=0),"",$L$711-1),IF($R$17="Distrato",$E1029,0))),0,YEARFRAC(MAX($P$708*($B1029+IF($R$17="Distrato",$I$38-1,0)),IF(AND($L$711=0,$P$708=0),"",$L$711-1),IF($R$17="Distrato",$E1029,0)),MIN(AX$38,$D$19),$P$20))-SUM($P1029:AW1029)</f>
        <v>#VALUE!</v>
      </c>
      <c r="AY1029" s="446" t="e">
        <f>IF(OR($B1029="",MIN(AY$38,$D$19)&lt;MAX($P$708*($B1029+IF($R$17="Distrato",$I$38-1,0)),IF(AND($L$711=0,$P$708=0),"",$L$711-1),IF($R$17="Distrato",$E1029,0))),0,YEARFRAC(MAX($P$708*($B1029+IF($R$17="Distrato",$I$38-1,0)),IF(AND($L$711=0,$P$708=0),"",$L$711-1),IF($R$17="Distrato",$E1029,0)),MIN(AY$38,$D$19),$P$20))-SUM($P1029:AX1029)</f>
        <v>#VALUE!</v>
      </c>
      <c r="AZ1029" s="446" t="e">
        <f>IF(OR($B1029="",MIN(AZ$38,$D$19)&lt;MAX($P$708*($B1029+IF($R$17="Distrato",$I$38-1,0)),IF(AND($L$711=0,$P$708=0),"",$L$711-1),IF($R$17="Distrato",$E1029,0))),0,YEARFRAC(MAX($P$708*($B1029+IF($R$17="Distrato",$I$38-1,0)),IF(AND($L$711=0,$P$708=0),"",$L$711-1),IF($R$17="Distrato",$E1029,0)),MIN(AZ$38,$D$19),$P$20))-SUM($P1029:AY1029)</f>
        <v>#VALUE!</v>
      </c>
      <c r="BA1029" s="446" t="e">
        <f>IF(OR($B1029="",MIN(BA$38,$D$19)&lt;MAX($P$708*($B1029+IF($R$17="Distrato",$I$38-1,0)),IF(AND($L$711=0,$P$708=0),"",$L$711-1),IF($R$17="Distrato",$E1029,0))),0,YEARFRAC(MAX($P$708*($B1029+IF($R$17="Distrato",$I$38-1,0)),IF(AND($L$711=0,$P$708=0),"",$L$711-1),IF($R$17="Distrato",$E1029,0)),MIN(BA$38,$D$19),$P$20))-SUM($P1029:AZ1029)</f>
        <v>#VALUE!</v>
      </c>
      <c r="BB1029" s="447"/>
    </row>
    <row r="1030" spans="1:54" s="446" customFormat="1" ht="11.25" hidden="1" customHeight="1" x14ac:dyDescent="0.2">
      <c r="A1030" s="235"/>
      <c r="B1030" s="236"/>
      <c r="C1030" s="29" t="str">
        <f>IF(B1030="","",IF($L$709=$BL$25,VLOOKUP(DATE(YEAR($D$19),MONTH($D$19)-1,1),ÍNDICES!$A:$DE,HLOOKUP($BL$25,ÍNDICES!$B$3:$T$4,2)+11)-VLOOKUP(B1030,ÍNDICES!$A:$DE,HLOOKUP($BL$25,ÍNDICES!$B$3:$T$4,2)+11)+1%,IF(C$712=$W$26,$J$35,IF(ISERROR(IF(B1030&gt;$D$19,1,VLOOKUP(DATE(YEAR(B1030),MONTH(B1030)+IF($C$709=$S$23,1,0),1),ÍNDICES!$A:$DE,$Z$709+1))),"",IF(B1030&gt;$D$19,1,VLOOKUP(DATE(YEAR(B1030),MONTH(B1030)+IF($C$709=$S$23,1,0),1),ÍNDICES!$A:$DE,$Z$709+1))))))</f>
        <v/>
      </c>
      <c r="D1030" s="155"/>
      <c r="E1030" s="88"/>
      <c r="F1030" s="88"/>
      <c r="G1030" s="88"/>
      <c r="H1030" s="118"/>
      <c r="I1030" s="182">
        <f t="shared" si="143"/>
        <v>0</v>
      </c>
      <c r="J1030" s="20">
        <f t="shared" ca="1" si="144"/>
        <v>0</v>
      </c>
      <c r="K1030" s="5">
        <f t="shared" ca="1" si="145"/>
        <v>0</v>
      </c>
      <c r="L1030" s="61">
        <f t="shared" ca="1" si="146"/>
        <v>0</v>
      </c>
      <c r="M1030" s="64">
        <f t="shared" si="147"/>
        <v>0</v>
      </c>
      <c r="N1030" s="151"/>
      <c r="O1030" s="5">
        <f t="shared" ca="1" si="148"/>
        <v>0</v>
      </c>
      <c r="P1030" s="446" t="e">
        <f t="shared" si="149"/>
        <v>#VALUE!</v>
      </c>
      <c r="Q1030" s="446" t="e">
        <f>IF(OR($B1030="",MIN(Q$38,$D$19)&lt;MAX($P$708*($B1030+IF($R$17="Distrato",$I$38-1,0)),IF(AND($L$711=0,$P$708=0),"",$L$711-1),IF($R$17="Distrato",$E1030,0))),0,YEARFRAC(MAX($P$708*($B1030+IF($R$17="Distrato",$I$38-1,0)),IF(AND($L$711=0,$P$708=0),"",$L$711-1),IF($R$17="Distrato",$E1030,0)),MIN(Q$38,$D$19),$P$20))-SUM($P1030:P1030)</f>
        <v>#VALUE!</v>
      </c>
      <c r="R1030" s="446" t="e">
        <f>IF(OR($B1030="",MIN(R$38,$D$19)&lt;MAX($P$708*($B1030+IF($R$17="Distrato",$I$38-1,0)),IF(AND($L$711=0,$P$708=0),"",$L$711-1),IF($R$17="Distrato",$E1030,0))),0,YEARFRAC(MAX($P$708*($B1030+IF($R$17="Distrato",$I$38-1,0)),IF(AND($L$711=0,$P$708=0),"",$L$711-1),IF($R$17="Distrato",$E1030,0)),MIN(R$38,$D$19),$P$20))-SUM($P1030:Q1030)</f>
        <v>#VALUE!</v>
      </c>
      <c r="S1030" s="446" t="e">
        <f>IF(OR($B1030="",MIN(S$38,$D$19)&lt;MAX($P$708*($B1030+IF($R$17="Distrato",$I$38-1,0)),IF(AND($L$711=0,$P$708=0),"",$L$711-1),IF($R$17="Distrato",$E1030,0))),0,YEARFRAC(MAX($P$708*($B1030+IF($R$17="Distrato",$I$38-1,0)),IF(AND($L$711=0,$P$708=0),"",$L$711-1),IF($R$17="Distrato",$E1030,0)),MIN(S$38,$D$19),$P$20))-SUM($P1030:R1030)</f>
        <v>#VALUE!</v>
      </c>
      <c r="T1030" s="446" t="e">
        <f>IF(OR($B1030="",MIN(T$38,$D$19)&lt;MAX($P$708*($B1030+IF($R$17="Distrato",$I$38-1,0)),IF(AND($L$711=0,$P$708=0),"",$L$711-1),IF($R$17="Distrato",$E1030,0))),0,YEARFRAC(MAX($P$708*($B1030+IF($R$17="Distrato",$I$38-1,0)),IF(AND($L$711=0,$P$708=0),"",$L$711-1),IF($R$17="Distrato",$E1030,0)),MIN(T$38,$D$19),$P$20))-SUM($P1030:S1030)</f>
        <v>#VALUE!</v>
      </c>
      <c r="U1030" s="446" t="e">
        <f>IF(OR($B1030="",MIN(U$38,$D$19)&lt;MAX($P$708*($B1030+IF($R$17="Distrato",$I$38-1,0)),IF(AND($L$711=0,$P$708=0),"",$L$711-1),IF($R$17="Distrato",$E1030,0))),0,YEARFRAC(MAX($P$708*($B1030+IF($R$17="Distrato",$I$38-1,0)),IF(AND($L$711=0,$P$708=0),"",$L$711-1),IF($R$17="Distrato",$E1030,0)),MIN(U$38,$D$19),$P$20))-SUM($P1030:T1030)</f>
        <v>#VALUE!</v>
      </c>
      <c r="V1030" s="446" t="e">
        <f>IF(OR($B1030="",MIN(V$38,$D$19)&lt;MAX($P$708*($B1030+IF($R$17="Distrato",$I$38-1,0)),IF(AND($L$711=0,$P$708=0),"",$L$711-1),IF($R$17="Distrato",$E1030,0))),0,YEARFRAC(MAX($P$708*($B1030+IF($R$17="Distrato",$I$38-1,0)),IF(AND($L$711=0,$P$708=0),"",$L$711-1),IF($R$17="Distrato",$E1030,0)),MIN(V$38,$D$19),$P$20))-SUM($P1030:U1030)</f>
        <v>#VALUE!</v>
      </c>
      <c r="W1030" s="446" t="e">
        <f>IF(OR($B1030="",MIN(W$38,$D$19)&lt;MAX($P$708*($B1030+IF($R$17="Distrato",$I$38-1,0)),IF(AND($L$711=0,$P$708=0),"",$L$711-1),IF($R$17="Distrato",$E1030,0))),0,YEARFRAC(MAX($P$708*($B1030+IF($R$17="Distrato",$I$38-1,0)),IF(AND($L$711=0,$P$708=0),"",$L$711-1),IF($R$17="Distrato",$E1030,0)),MIN(W$38,$D$19),$P$20))-SUM($P1030:V1030)</f>
        <v>#VALUE!</v>
      </c>
      <c r="X1030" s="446" t="e">
        <f>IF(OR($B1030="",MIN(X$38,$D$19)&lt;MAX($P$708*($B1030+IF($R$17="Distrato",$I$38-1,0)),IF(AND($L$711=0,$P$708=0),"",$L$711-1),IF($R$17="Distrato",$E1030,0))),0,YEARFRAC(MAX($P$708*($B1030+IF($R$17="Distrato",$I$38-1,0)),IF(AND($L$711=0,$P$708=0),"",$L$711-1),IF($R$17="Distrato",$E1030,0)),MIN(X$38,$D$19),$P$20))-SUM($P1030:W1030)</f>
        <v>#VALUE!</v>
      </c>
      <c r="Y1030" s="446" t="e">
        <f>IF(OR($B1030="",MIN(Y$38,$D$19)&lt;MAX($P$708*($B1030+IF($R$17="Distrato",$I$38-1,0)),IF(AND($L$711=0,$P$708=0),"",$L$711-1),IF($R$17="Distrato",$E1030,0))),0,YEARFRAC(MAX($P$708*($B1030+IF($R$17="Distrato",$I$38-1,0)),IF(AND($L$711=0,$P$708=0),"",$L$711-1),IF($R$17="Distrato",$E1030,0)),MIN(Y$38,$D$19),$P$20))-SUM($P1030:X1030)</f>
        <v>#VALUE!</v>
      </c>
      <c r="Z1030" s="446" t="e">
        <f>IF(OR($B1030="",MIN(Z$38,$D$19)&lt;MAX($P$708*($B1030+IF($R$17="Distrato",$I$38-1,0)),IF(AND($L$711=0,$P$708=0),"",$L$711-1),IF($R$17="Distrato",$E1030,0))),0,YEARFRAC(MAX($P$708*($B1030+IF($R$17="Distrato",$I$38-1,0)),IF(AND($L$711=0,$P$708=0),"",$L$711-1),IF($R$17="Distrato",$E1030,0)),MIN(Z$38,$D$19),$P$20))-SUM($P1030:Y1030)</f>
        <v>#VALUE!</v>
      </c>
      <c r="AA1030" s="446" t="e">
        <f>IF(OR($B1030="",MIN(AA$38,$D$19)&lt;MAX($P$708*($B1030+IF($R$17="Distrato",$I$38-1,0)),IF(AND($L$711=0,$P$708=0),"",$L$711-1),IF($R$17="Distrato",$E1030,0))),0,YEARFRAC(MAX($P$708*($B1030+IF($R$17="Distrato",$I$38-1,0)),IF(AND($L$711=0,$P$708=0),"",$L$711-1),IF($R$17="Distrato",$E1030,0)),MIN(AA$38,$D$19),$P$20))-SUM($P1030:Z1030)</f>
        <v>#VALUE!</v>
      </c>
      <c r="AB1030" s="446" t="e">
        <f>IF(OR($B1030="",MIN(AB$38,$D$19)&lt;MAX($P$708*($B1030+IF($R$17="Distrato",$I$38-1,0)),IF(AND($L$711=0,$P$708=0),"",$L$711-1),IF($R$17="Distrato",$E1030,0))),0,YEARFRAC(MAX($P$708*($B1030+IF($R$17="Distrato",$I$38-1,0)),IF(AND($L$711=0,$P$708=0),"",$L$711-1),IF($R$17="Distrato",$E1030,0)),MIN(AB$38,$D$19),$P$20))-SUM($P1030:AA1030)</f>
        <v>#VALUE!</v>
      </c>
      <c r="AC1030" s="446" t="e">
        <f>IF(OR($B1030="",MIN(AC$38,$D$19)&lt;MAX($P$708*($B1030+IF($R$17="Distrato",$I$38-1,0)),IF(AND($L$711=0,$P$708=0),"",$L$711-1),IF($R$17="Distrato",$E1030,0))),0,YEARFRAC(MAX($P$708*($B1030+IF($R$17="Distrato",$I$38-1,0)),IF(AND($L$711=0,$P$708=0),"",$L$711-1),IF($R$17="Distrato",$E1030,0)),MIN(AC$38,$D$19),$P$20))-SUM($P1030:AB1030)</f>
        <v>#VALUE!</v>
      </c>
      <c r="AD1030" s="446" t="e">
        <f>IF(OR($B1030="",MIN(AD$38,$D$19)&lt;MAX($P$708*($B1030+IF($R$17="Distrato",$I$38-1,0)),IF(AND($L$711=0,$P$708=0),"",$L$711-1),IF($R$17="Distrato",$E1030,0))),0,YEARFRAC(MAX($P$708*($B1030+IF($R$17="Distrato",$I$38-1,0)),IF(AND($L$711=0,$P$708=0),"",$L$711-1),IF($R$17="Distrato",$E1030,0)),MIN(AD$38,$D$19),$P$20))-SUM($P1030:AC1030)</f>
        <v>#VALUE!</v>
      </c>
      <c r="AE1030" s="446" t="e">
        <f>IF(OR($B1030="",MIN(AE$38,$D$19)&lt;MAX($P$708*($B1030+IF($R$17="Distrato",$I$38-1,0)),IF(AND($L$711=0,$P$708=0),"",$L$711-1),IF($R$17="Distrato",$E1030,0))),0,YEARFRAC(MAX($P$708*($B1030+IF($R$17="Distrato",$I$38-1,0)),IF(AND($L$711=0,$P$708=0),"",$L$711-1),IF($R$17="Distrato",$E1030,0)),MIN(AE$38,$D$19),$P$20))-SUM($P1030:AD1030)</f>
        <v>#VALUE!</v>
      </c>
      <c r="AF1030" s="446" t="e">
        <f>IF(OR($B1030="",MIN(AF$38,$D$19)&lt;MAX($P$708*($B1030+IF($R$17="Distrato",$I$38-1,0)),IF(AND($L$711=0,$P$708=0),"",$L$711-1),IF($R$17="Distrato",$E1030,0))),0,YEARFRAC(MAX($P$708*($B1030+IF($R$17="Distrato",$I$38-1,0)),IF(AND($L$711=0,$P$708=0),"",$L$711-1),IF($R$17="Distrato",$E1030,0)),MIN(AF$38,$D$19),$P$20))-SUM($P1030:AE1030)</f>
        <v>#VALUE!</v>
      </c>
      <c r="AG1030" s="446" t="e">
        <f>IF(OR($B1030="",MIN(AG$38,$D$19)&lt;MAX($P$708*($B1030+IF($R$17="Distrato",$I$38-1,0)),IF(AND($L$711=0,$P$708=0),"",$L$711-1),IF($R$17="Distrato",$E1030,0))),0,YEARFRAC(MAX($P$708*($B1030+IF($R$17="Distrato",$I$38-1,0)),IF(AND($L$711=0,$P$708=0),"",$L$711-1),IF($R$17="Distrato",$E1030,0)),MIN(AG$38,$D$19),$P$20))-SUM($P1030:AF1030)</f>
        <v>#VALUE!</v>
      </c>
      <c r="AH1030" s="446" t="e">
        <f>IF(OR($B1030="",MIN(AH$38,$D$19)&lt;MAX($P$708*($B1030+IF($R$17="Distrato",$I$38-1,0)),IF(AND($L$711=0,$P$708=0),"",$L$711-1),IF($R$17="Distrato",$E1030,0))),0,YEARFRAC(MAX($P$708*($B1030+IF($R$17="Distrato",$I$38-1,0)),IF(AND($L$711=0,$P$708=0),"",$L$711-1),IF($R$17="Distrato",$E1030,0)),MIN(AH$38,$D$19),$P$20))-SUM($P1030:AG1030)</f>
        <v>#VALUE!</v>
      </c>
      <c r="AI1030" s="446" t="e">
        <f>IF(OR($B1030="",MIN(AI$38,$D$19)&lt;MAX($P$708*($B1030+IF($R$17="Distrato",$I$38-1,0)),IF(AND($L$711=0,$P$708=0),"",$L$711-1),IF($R$17="Distrato",$E1030,0))),0,YEARFRAC(MAX($P$708*($B1030+IF($R$17="Distrato",$I$38-1,0)),IF(AND($L$711=0,$P$708=0),"",$L$711-1),IF($R$17="Distrato",$E1030,0)),MIN(AI$38,$D$19),$P$20))-SUM($P1030:AH1030)</f>
        <v>#VALUE!</v>
      </c>
      <c r="AJ1030" s="446" t="e">
        <f>IF(OR($B1030="",MIN(AJ$38,$D$19)&lt;MAX($P$708*($B1030+IF($R$17="Distrato",$I$38-1,0)),IF(AND($L$711=0,$P$708=0),"",$L$711-1),IF($R$17="Distrato",$E1030,0))),0,YEARFRAC(MAX($P$708*($B1030+IF($R$17="Distrato",$I$38-1,0)),IF(AND($L$711=0,$P$708=0),"",$L$711-1),IF($R$17="Distrato",$E1030,0)),MIN(AJ$38,$D$19),$P$20))-SUM($P1030:AI1030)</f>
        <v>#VALUE!</v>
      </c>
      <c r="AK1030" s="446" t="e">
        <f>IF(OR($B1030="",MIN(AK$38,$D$19)&lt;MAX($P$708*($B1030+IF($R$17="Distrato",$I$38-1,0)),IF(AND($L$711=0,$P$708=0),"",$L$711-1),IF($R$17="Distrato",$E1030,0))),0,YEARFRAC(MAX($P$708*($B1030+IF($R$17="Distrato",$I$38-1,0)),IF(AND($L$711=0,$P$708=0),"",$L$711-1),IF($R$17="Distrato",$E1030,0)),MIN(AK$38,$D$19),$P$20))-SUM($P1030:AJ1030)</f>
        <v>#VALUE!</v>
      </c>
      <c r="AL1030" s="446" t="e">
        <f>IF(OR($B1030="",MIN(AL$38,$D$19)&lt;MAX($P$708*($B1030+IF($R$17="Distrato",$I$38-1,0)),IF(AND($L$711=0,$P$708=0),"",$L$711-1),IF($R$17="Distrato",$E1030,0))),0,YEARFRAC(MAX($P$708*($B1030+IF($R$17="Distrato",$I$38-1,0)),IF(AND($L$711=0,$P$708=0),"",$L$711-1),IF($R$17="Distrato",$E1030,0)),MIN(AL$38,$D$19),$P$20))-SUM($P1030:AK1030)</f>
        <v>#VALUE!</v>
      </c>
      <c r="AM1030" s="446" t="e">
        <f>IF(OR($B1030="",MIN(AM$38,$D$19)&lt;MAX($P$708*($B1030+IF($R$17="Distrato",$I$38-1,0)),IF(AND($L$711=0,$P$708=0),"",$L$711-1),IF($R$17="Distrato",$E1030,0))),0,YEARFRAC(MAX($P$708*($B1030+IF($R$17="Distrato",$I$38-1,0)),IF(AND($L$711=0,$P$708=0),"",$L$711-1),IF($R$17="Distrato",$E1030,0)),MIN(AM$38,$D$19),$P$20))-SUM($P1030:AL1030)</f>
        <v>#VALUE!</v>
      </c>
      <c r="AN1030" s="446" t="e">
        <f>IF(OR($B1030="",MIN(AN$38,$D$19)&lt;MAX($P$708*($B1030+IF($R$17="Distrato",$I$38-1,0)),IF(AND($L$711=0,$P$708=0),"",$L$711-1),IF($R$17="Distrato",$E1030,0))),0,YEARFRAC(MAX($P$708*($B1030+IF($R$17="Distrato",$I$38-1,0)),IF(AND($L$711=0,$P$708=0),"",$L$711-1),IF($R$17="Distrato",$E1030,0)),MIN(AN$38,$D$19),$P$20))-SUM($P1030:AM1030)</f>
        <v>#VALUE!</v>
      </c>
      <c r="AO1030" s="446" t="e">
        <f>IF(OR($B1030="",MIN(AO$38,$D$19)&lt;MAX($P$708*($B1030+IF($R$17="Distrato",$I$38-1,0)),IF(AND($L$711=0,$P$708=0),"",$L$711-1),IF($R$17="Distrato",$E1030,0))),0,YEARFRAC(MAX($P$708*($B1030+IF($R$17="Distrato",$I$38-1,0)),IF(AND($L$711=0,$P$708=0),"",$L$711-1),IF($R$17="Distrato",$E1030,0)),MIN(AO$38,$D$19),$P$20))-SUM($P1030:AN1030)</f>
        <v>#VALUE!</v>
      </c>
      <c r="AP1030" s="446" t="e">
        <f>IF(OR($B1030="",MIN(AP$38,$D$19)&lt;MAX($P$708*($B1030+IF($R$17="Distrato",$I$38-1,0)),IF(AND($L$711=0,$P$708=0),"",$L$711-1),IF($R$17="Distrato",$E1030,0))),0,YEARFRAC(MAX($P$708*($B1030+IF($R$17="Distrato",$I$38-1,0)),IF(AND($L$711=0,$P$708=0),"",$L$711-1),IF($R$17="Distrato",$E1030,0)),MIN(AP$38,$D$19),$P$20))-SUM($P1030:AO1030)</f>
        <v>#VALUE!</v>
      </c>
      <c r="AQ1030" s="446" t="e">
        <f>IF(OR($B1030="",MIN(AQ$38,$D$19)&lt;MAX($P$708*($B1030+IF($R$17="Distrato",$I$38-1,0)),IF(AND($L$711=0,$P$708=0),"",$L$711-1),IF($R$17="Distrato",$E1030,0))),0,YEARFRAC(MAX($P$708*($B1030+IF($R$17="Distrato",$I$38-1,0)),IF(AND($L$711=0,$P$708=0),"",$L$711-1),IF($R$17="Distrato",$E1030,0)),MIN(AQ$38,$D$19),$P$20))-SUM($P1030:AP1030)</f>
        <v>#VALUE!</v>
      </c>
      <c r="AR1030" s="446" t="e">
        <f>IF(OR($B1030="",MIN(AR$38,$D$19)&lt;MAX($P$708*($B1030+IF($R$17="Distrato",$I$38-1,0)),IF(AND($L$711=0,$P$708=0),"",$L$711-1),IF($R$17="Distrato",$E1030,0))),0,YEARFRAC(MAX($P$708*($B1030+IF($R$17="Distrato",$I$38-1,0)),IF(AND($L$711=0,$P$708=0),"",$L$711-1),IF($R$17="Distrato",$E1030,0)),MIN(AR$38,$D$19),$P$20))-SUM($P1030:AQ1030)</f>
        <v>#VALUE!</v>
      </c>
      <c r="AS1030" s="446" t="e">
        <f>IF(OR($B1030="",MIN(AS$38,$D$19)&lt;MAX($P$708*($B1030+IF($R$17="Distrato",$I$38-1,0)),IF(AND($L$711=0,$P$708=0),"",$L$711-1),IF($R$17="Distrato",$E1030,0))),0,YEARFRAC(MAX($P$708*($B1030+IF($R$17="Distrato",$I$38-1,0)),IF(AND($L$711=0,$P$708=0),"",$L$711-1),IF($R$17="Distrato",$E1030,0)),MIN(AS$38,$D$19),$P$20))-SUM($P1030:AR1030)</f>
        <v>#VALUE!</v>
      </c>
      <c r="AT1030" s="446" t="e">
        <f>IF(OR($B1030="",MIN(AT$38,$D$19)&lt;MAX($P$708*($B1030+IF($R$17="Distrato",$I$38-1,0)),IF(AND($L$711=0,$P$708=0),"",$L$711-1),IF($R$17="Distrato",$E1030,0))),0,YEARFRAC(MAX($P$708*($B1030+IF($R$17="Distrato",$I$38-1,0)),IF(AND($L$711=0,$P$708=0),"",$L$711-1),IF($R$17="Distrato",$E1030,0)),MIN(AT$38,$D$19),$P$20))-SUM($P1030:AS1030)</f>
        <v>#VALUE!</v>
      </c>
      <c r="AU1030" s="446" t="e">
        <f>IF(OR($B1030="",MIN(AU$38,$D$19)&lt;MAX($P$708*($B1030+IF($R$17="Distrato",$I$38-1,0)),IF(AND($L$711=0,$P$708=0),"",$L$711-1),IF($R$17="Distrato",$E1030,0))),0,YEARFRAC(MAX($P$708*($B1030+IF($R$17="Distrato",$I$38-1,0)),IF(AND($L$711=0,$P$708=0),"",$L$711-1),IF($R$17="Distrato",$E1030,0)),MIN(AU$38,$D$19),$P$20))-SUM($P1030:AT1030)</f>
        <v>#VALUE!</v>
      </c>
      <c r="AV1030" s="446" t="e">
        <f>IF(OR($B1030="",MIN(AV$38,$D$19)&lt;MAX($P$708*($B1030+IF($R$17="Distrato",$I$38-1,0)),IF(AND($L$711=0,$P$708=0),"",$L$711-1),IF($R$17="Distrato",$E1030,0))),0,YEARFRAC(MAX($P$708*($B1030+IF($R$17="Distrato",$I$38-1,0)),IF(AND($L$711=0,$P$708=0),"",$L$711-1),IF($R$17="Distrato",$E1030,0)),MIN(AV$38,$D$19),$P$20))-SUM($P1030:AU1030)</f>
        <v>#VALUE!</v>
      </c>
      <c r="AW1030" s="446" t="e">
        <f>IF(OR($B1030="",MIN(AW$38,$D$19)&lt;MAX($P$708*($B1030+IF($R$17="Distrato",$I$38-1,0)),IF(AND($L$711=0,$P$708=0),"",$L$711-1),IF($R$17="Distrato",$E1030,0))),0,YEARFRAC(MAX($P$708*($B1030+IF($R$17="Distrato",$I$38-1,0)),IF(AND($L$711=0,$P$708=0),"",$L$711-1),IF($R$17="Distrato",$E1030,0)),MIN(AW$38,$D$19),$P$20))-SUM($P1030:AV1030)</f>
        <v>#VALUE!</v>
      </c>
      <c r="AX1030" s="446" t="e">
        <f>IF(OR($B1030="",MIN(AX$38,$D$19)&lt;MAX($P$708*($B1030+IF($R$17="Distrato",$I$38-1,0)),IF(AND($L$711=0,$P$708=0),"",$L$711-1),IF($R$17="Distrato",$E1030,0))),0,YEARFRAC(MAX($P$708*($B1030+IF($R$17="Distrato",$I$38-1,0)),IF(AND($L$711=0,$P$708=0),"",$L$711-1),IF($R$17="Distrato",$E1030,0)),MIN(AX$38,$D$19),$P$20))-SUM($P1030:AW1030)</f>
        <v>#VALUE!</v>
      </c>
      <c r="AY1030" s="446" t="e">
        <f>IF(OR($B1030="",MIN(AY$38,$D$19)&lt;MAX($P$708*($B1030+IF($R$17="Distrato",$I$38-1,0)),IF(AND($L$711=0,$P$708=0),"",$L$711-1),IF($R$17="Distrato",$E1030,0))),0,YEARFRAC(MAX($P$708*($B1030+IF($R$17="Distrato",$I$38-1,0)),IF(AND($L$711=0,$P$708=0),"",$L$711-1),IF($R$17="Distrato",$E1030,0)),MIN(AY$38,$D$19),$P$20))-SUM($P1030:AX1030)</f>
        <v>#VALUE!</v>
      </c>
      <c r="AZ1030" s="446" t="e">
        <f>IF(OR($B1030="",MIN(AZ$38,$D$19)&lt;MAX($P$708*($B1030+IF($R$17="Distrato",$I$38-1,0)),IF(AND($L$711=0,$P$708=0),"",$L$711-1),IF($R$17="Distrato",$E1030,0))),0,YEARFRAC(MAX($P$708*($B1030+IF($R$17="Distrato",$I$38-1,0)),IF(AND($L$711=0,$P$708=0),"",$L$711-1),IF($R$17="Distrato",$E1030,0)),MIN(AZ$38,$D$19),$P$20))-SUM($P1030:AY1030)</f>
        <v>#VALUE!</v>
      </c>
      <c r="BA1030" s="446" t="e">
        <f>IF(OR($B1030="",MIN(BA$38,$D$19)&lt;MAX($P$708*($B1030+IF($R$17="Distrato",$I$38-1,0)),IF(AND($L$711=0,$P$708=0),"",$L$711-1),IF($R$17="Distrato",$E1030,0))),0,YEARFRAC(MAX($P$708*($B1030+IF($R$17="Distrato",$I$38-1,0)),IF(AND($L$711=0,$P$708=0),"",$L$711-1),IF($R$17="Distrato",$E1030,0)),MIN(BA$38,$D$19),$P$20))-SUM($P1030:AZ1030)</f>
        <v>#VALUE!</v>
      </c>
      <c r="BB1030" s="447"/>
    </row>
    <row r="1031" spans="1:54" s="446" customFormat="1" ht="11.25" hidden="1" customHeight="1" x14ac:dyDescent="0.2">
      <c r="A1031" s="235"/>
      <c r="B1031" s="236"/>
      <c r="C1031" s="29" t="str">
        <f>IF(B1031="","",IF($L$709=$BL$25,VLOOKUP(DATE(YEAR($D$19),MONTH($D$19)-1,1),ÍNDICES!$A:$DE,HLOOKUP($BL$25,ÍNDICES!$B$3:$T$4,2)+11)-VLOOKUP(B1031,ÍNDICES!$A:$DE,HLOOKUP($BL$25,ÍNDICES!$B$3:$T$4,2)+11)+1%,IF(C$712=$W$26,$J$35,IF(ISERROR(IF(B1031&gt;$D$19,1,VLOOKUP(DATE(YEAR(B1031),MONTH(B1031)+IF($C$709=$S$23,1,0),1),ÍNDICES!$A:$DE,$Z$709+1))),"",IF(B1031&gt;$D$19,1,VLOOKUP(DATE(YEAR(B1031),MONTH(B1031)+IF($C$709=$S$23,1,0),1),ÍNDICES!$A:$DE,$Z$709+1))))))</f>
        <v/>
      </c>
      <c r="D1031" s="155"/>
      <c r="E1031" s="88"/>
      <c r="F1031" s="88"/>
      <c r="G1031" s="88"/>
      <c r="H1031" s="118"/>
      <c r="I1031" s="182">
        <f t="shared" si="143"/>
        <v>0</v>
      </c>
      <c r="J1031" s="20">
        <f t="shared" ca="1" si="144"/>
        <v>0</v>
      </c>
      <c r="K1031" s="5">
        <f t="shared" ca="1" si="145"/>
        <v>0</v>
      </c>
      <c r="L1031" s="61">
        <f t="shared" ca="1" si="146"/>
        <v>0</v>
      </c>
      <c r="M1031" s="64">
        <f t="shared" si="147"/>
        <v>0</v>
      </c>
      <c r="N1031" s="151"/>
      <c r="O1031" s="5">
        <f t="shared" ca="1" si="148"/>
        <v>0</v>
      </c>
      <c r="P1031" s="446" t="e">
        <f t="shared" si="149"/>
        <v>#VALUE!</v>
      </c>
      <c r="Q1031" s="446" t="e">
        <f>IF(OR($B1031="",MIN(Q$38,$D$19)&lt;MAX($P$708*($B1031+IF($R$17="Distrato",$I$38-1,0)),IF(AND($L$711=0,$P$708=0),"",$L$711-1),IF($R$17="Distrato",$E1031,0))),0,YEARFRAC(MAX($P$708*($B1031+IF($R$17="Distrato",$I$38-1,0)),IF(AND($L$711=0,$P$708=0),"",$L$711-1),IF($R$17="Distrato",$E1031,0)),MIN(Q$38,$D$19),$P$20))-SUM($P1031:P1031)</f>
        <v>#VALUE!</v>
      </c>
      <c r="R1031" s="446" t="e">
        <f>IF(OR($B1031="",MIN(R$38,$D$19)&lt;MAX($P$708*($B1031+IF($R$17="Distrato",$I$38-1,0)),IF(AND($L$711=0,$P$708=0),"",$L$711-1),IF($R$17="Distrato",$E1031,0))),0,YEARFRAC(MAX($P$708*($B1031+IF($R$17="Distrato",$I$38-1,0)),IF(AND($L$711=0,$P$708=0),"",$L$711-1),IF($R$17="Distrato",$E1031,0)),MIN(R$38,$D$19),$P$20))-SUM($P1031:Q1031)</f>
        <v>#VALUE!</v>
      </c>
      <c r="S1031" s="446" t="e">
        <f>IF(OR($B1031="",MIN(S$38,$D$19)&lt;MAX($P$708*($B1031+IF($R$17="Distrato",$I$38-1,0)),IF(AND($L$711=0,$P$708=0),"",$L$711-1),IF($R$17="Distrato",$E1031,0))),0,YEARFRAC(MAX($P$708*($B1031+IF($R$17="Distrato",$I$38-1,0)),IF(AND($L$711=0,$P$708=0),"",$L$711-1),IF($R$17="Distrato",$E1031,0)),MIN(S$38,$D$19),$P$20))-SUM($P1031:R1031)</f>
        <v>#VALUE!</v>
      </c>
      <c r="T1031" s="446" t="e">
        <f>IF(OR($B1031="",MIN(T$38,$D$19)&lt;MAX($P$708*($B1031+IF($R$17="Distrato",$I$38-1,0)),IF(AND($L$711=0,$P$708=0),"",$L$711-1),IF($R$17="Distrato",$E1031,0))),0,YEARFRAC(MAX($P$708*($B1031+IF($R$17="Distrato",$I$38-1,0)),IF(AND($L$711=0,$P$708=0),"",$L$711-1),IF($R$17="Distrato",$E1031,0)),MIN(T$38,$D$19),$P$20))-SUM($P1031:S1031)</f>
        <v>#VALUE!</v>
      </c>
      <c r="U1031" s="446" t="e">
        <f>IF(OR($B1031="",MIN(U$38,$D$19)&lt;MAX($P$708*($B1031+IF($R$17="Distrato",$I$38-1,0)),IF(AND($L$711=0,$P$708=0),"",$L$711-1),IF($R$17="Distrato",$E1031,0))),0,YEARFRAC(MAX($P$708*($B1031+IF($R$17="Distrato",$I$38-1,0)),IF(AND($L$711=0,$P$708=0),"",$L$711-1),IF($R$17="Distrato",$E1031,0)),MIN(U$38,$D$19),$P$20))-SUM($P1031:T1031)</f>
        <v>#VALUE!</v>
      </c>
      <c r="V1031" s="446" t="e">
        <f>IF(OR($B1031="",MIN(V$38,$D$19)&lt;MAX($P$708*($B1031+IF($R$17="Distrato",$I$38-1,0)),IF(AND($L$711=0,$P$708=0),"",$L$711-1),IF($R$17="Distrato",$E1031,0))),0,YEARFRAC(MAX($P$708*($B1031+IF($R$17="Distrato",$I$38-1,0)),IF(AND($L$711=0,$P$708=0),"",$L$711-1),IF($R$17="Distrato",$E1031,0)),MIN(V$38,$D$19),$P$20))-SUM($P1031:U1031)</f>
        <v>#VALUE!</v>
      </c>
      <c r="W1031" s="446" t="e">
        <f>IF(OR($B1031="",MIN(W$38,$D$19)&lt;MAX($P$708*($B1031+IF($R$17="Distrato",$I$38-1,0)),IF(AND($L$711=0,$P$708=0),"",$L$711-1),IF($R$17="Distrato",$E1031,0))),0,YEARFRAC(MAX($P$708*($B1031+IF($R$17="Distrato",$I$38-1,0)),IF(AND($L$711=0,$P$708=0),"",$L$711-1),IF($R$17="Distrato",$E1031,0)),MIN(W$38,$D$19),$P$20))-SUM($P1031:V1031)</f>
        <v>#VALUE!</v>
      </c>
      <c r="X1031" s="446" t="e">
        <f>IF(OR($B1031="",MIN(X$38,$D$19)&lt;MAX($P$708*($B1031+IF($R$17="Distrato",$I$38-1,0)),IF(AND($L$711=0,$P$708=0),"",$L$711-1),IF($R$17="Distrato",$E1031,0))),0,YEARFRAC(MAX($P$708*($B1031+IF($R$17="Distrato",$I$38-1,0)),IF(AND($L$711=0,$P$708=0),"",$L$711-1),IF($R$17="Distrato",$E1031,0)),MIN(X$38,$D$19),$P$20))-SUM($P1031:W1031)</f>
        <v>#VALUE!</v>
      </c>
      <c r="Y1031" s="446" t="e">
        <f>IF(OR($B1031="",MIN(Y$38,$D$19)&lt;MAX($P$708*($B1031+IF($R$17="Distrato",$I$38-1,0)),IF(AND($L$711=0,$P$708=0),"",$L$711-1),IF($R$17="Distrato",$E1031,0))),0,YEARFRAC(MAX($P$708*($B1031+IF($R$17="Distrato",$I$38-1,0)),IF(AND($L$711=0,$P$708=0),"",$L$711-1),IF($R$17="Distrato",$E1031,0)),MIN(Y$38,$D$19),$P$20))-SUM($P1031:X1031)</f>
        <v>#VALUE!</v>
      </c>
      <c r="Z1031" s="446" t="e">
        <f>IF(OR($B1031="",MIN(Z$38,$D$19)&lt;MAX($P$708*($B1031+IF($R$17="Distrato",$I$38-1,0)),IF(AND($L$711=0,$P$708=0),"",$L$711-1),IF($R$17="Distrato",$E1031,0))),0,YEARFRAC(MAX($P$708*($B1031+IF($R$17="Distrato",$I$38-1,0)),IF(AND($L$711=0,$P$708=0),"",$L$711-1),IF($R$17="Distrato",$E1031,0)),MIN(Z$38,$D$19),$P$20))-SUM($P1031:Y1031)</f>
        <v>#VALUE!</v>
      </c>
      <c r="AA1031" s="446" t="e">
        <f>IF(OR($B1031="",MIN(AA$38,$D$19)&lt;MAX($P$708*($B1031+IF($R$17="Distrato",$I$38-1,0)),IF(AND($L$711=0,$P$708=0),"",$L$711-1),IF($R$17="Distrato",$E1031,0))),0,YEARFRAC(MAX($P$708*($B1031+IF($R$17="Distrato",$I$38-1,0)),IF(AND($L$711=0,$P$708=0),"",$L$711-1),IF($R$17="Distrato",$E1031,0)),MIN(AA$38,$D$19),$P$20))-SUM($P1031:Z1031)</f>
        <v>#VALUE!</v>
      </c>
      <c r="AB1031" s="446" t="e">
        <f>IF(OR($B1031="",MIN(AB$38,$D$19)&lt;MAX($P$708*($B1031+IF($R$17="Distrato",$I$38-1,0)),IF(AND($L$711=0,$P$708=0),"",$L$711-1),IF($R$17="Distrato",$E1031,0))),0,YEARFRAC(MAX($P$708*($B1031+IF($R$17="Distrato",$I$38-1,0)),IF(AND($L$711=0,$P$708=0),"",$L$711-1),IF($R$17="Distrato",$E1031,0)),MIN(AB$38,$D$19),$P$20))-SUM($P1031:AA1031)</f>
        <v>#VALUE!</v>
      </c>
      <c r="AC1031" s="446" t="e">
        <f>IF(OR($B1031="",MIN(AC$38,$D$19)&lt;MAX($P$708*($B1031+IF($R$17="Distrato",$I$38-1,0)),IF(AND($L$711=0,$P$708=0),"",$L$711-1),IF($R$17="Distrato",$E1031,0))),0,YEARFRAC(MAX($P$708*($B1031+IF($R$17="Distrato",$I$38-1,0)),IF(AND($L$711=0,$P$708=0),"",$L$711-1),IF($R$17="Distrato",$E1031,0)),MIN(AC$38,$D$19),$P$20))-SUM($P1031:AB1031)</f>
        <v>#VALUE!</v>
      </c>
      <c r="AD1031" s="446" t="e">
        <f>IF(OR($B1031="",MIN(AD$38,$D$19)&lt;MAX($P$708*($B1031+IF($R$17="Distrato",$I$38-1,0)),IF(AND($L$711=0,$P$708=0),"",$L$711-1),IF($R$17="Distrato",$E1031,0))),0,YEARFRAC(MAX($P$708*($B1031+IF($R$17="Distrato",$I$38-1,0)),IF(AND($L$711=0,$P$708=0),"",$L$711-1),IF($R$17="Distrato",$E1031,0)),MIN(AD$38,$D$19),$P$20))-SUM($P1031:AC1031)</f>
        <v>#VALUE!</v>
      </c>
      <c r="AE1031" s="446" t="e">
        <f>IF(OR($B1031="",MIN(AE$38,$D$19)&lt;MAX($P$708*($B1031+IF($R$17="Distrato",$I$38-1,0)),IF(AND($L$711=0,$P$708=0),"",$L$711-1),IF($R$17="Distrato",$E1031,0))),0,YEARFRAC(MAX($P$708*($B1031+IF($R$17="Distrato",$I$38-1,0)),IF(AND($L$711=0,$P$708=0),"",$L$711-1),IF($R$17="Distrato",$E1031,0)),MIN(AE$38,$D$19),$P$20))-SUM($P1031:AD1031)</f>
        <v>#VALUE!</v>
      </c>
      <c r="AF1031" s="446" t="e">
        <f>IF(OR($B1031="",MIN(AF$38,$D$19)&lt;MAX($P$708*($B1031+IF($R$17="Distrato",$I$38-1,0)),IF(AND($L$711=0,$P$708=0),"",$L$711-1),IF($R$17="Distrato",$E1031,0))),0,YEARFRAC(MAX($P$708*($B1031+IF($R$17="Distrato",$I$38-1,0)),IF(AND($L$711=0,$P$708=0),"",$L$711-1),IF($R$17="Distrato",$E1031,0)),MIN(AF$38,$D$19),$P$20))-SUM($P1031:AE1031)</f>
        <v>#VALUE!</v>
      </c>
      <c r="AG1031" s="446" t="e">
        <f>IF(OR($B1031="",MIN(AG$38,$D$19)&lt;MAX($P$708*($B1031+IF($R$17="Distrato",$I$38-1,0)),IF(AND($L$711=0,$P$708=0),"",$L$711-1),IF($R$17="Distrato",$E1031,0))),0,YEARFRAC(MAX($P$708*($B1031+IF($R$17="Distrato",$I$38-1,0)),IF(AND($L$711=0,$P$708=0),"",$L$711-1),IF($R$17="Distrato",$E1031,0)),MIN(AG$38,$D$19),$P$20))-SUM($P1031:AF1031)</f>
        <v>#VALUE!</v>
      </c>
      <c r="AH1031" s="446" t="e">
        <f>IF(OR($B1031="",MIN(AH$38,$D$19)&lt;MAX($P$708*($B1031+IF($R$17="Distrato",$I$38-1,0)),IF(AND($L$711=0,$P$708=0),"",$L$711-1),IF($R$17="Distrato",$E1031,0))),0,YEARFRAC(MAX($P$708*($B1031+IF($R$17="Distrato",$I$38-1,0)),IF(AND($L$711=0,$P$708=0),"",$L$711-1),IF($R$17="Distrato",$E1031,0)),MIN(AH$38,$D$19),$P$20))-SUM($P1031:AG1031)</f>
        <v>#VALUE!</v>
      </c>
      <c r="AI1031" s="446" t="e">
        <f>IF(OR($B1031="",MIN(AI$38,$D$19)&lt;MAX($P$708*($B1031+IF($R$17="Distrato",$I$38-1,0)),IF(AND($L$711=0,$P$708=0),"",$L$711-1),IF($R$17="Distrato",$E1031,0))),0,YEARFRAC(MAX($P$708*($B1031+IF($R$17="Distrato",$I$38-1,0)),IF(AND($L$711=0,$P$708=0),"",$L$711-1),IF($R$17="Distrato",$E1031,0)),MIN(AI$38,$D$19),$P$20))-SUM($P1031:AH1031)</f>
        <v>#VALUE!</v>
      </c>
      <c r="AJ1031" s="446" t="e">
        <f>IF(OR($B1031="",MIN(AJ$38,$D$19)&lt;MAX($P$708*($B1031+IF($R$17="Distrato",$I$38-1,0)),IF(AND($L$711=0,$P$708=0),"",$L$711-1),IF($R$17="Distrato",$E1031,0))),0,YEARFRAC(MAX($P$708*($B1031+IF($R$17="Distrato",$I$38-1,0)),IF(AND($L$711=0,$P$708=0),"",$L$711-1),IF($R$17="Distrato",$E1031,0)),MIN(AJ$38,$D$19),$P$20))-SUM($P1031:AI1031)</f>
        <v>#VALUE!</v>
      </c>
      <c r="AK1031" s="446" t="e">
        <f>IF(OR($B1031="",MIN(AK$38,$D$19)&lt;MAX($P$708*($B1031+IF($R$17="Distrato",$I$38-1,0)),IF(AND($L$711=0,$P$708=0),"",$L$711-1),IF($R$17="Distrato",$E1031,0))),0,YEARFRAC(MAX($P$708*($B1031+IF($R$17="Distrato",$I$38-1,0)),IF(AND($L$711=0,$P$708=0),"",$L$711-1),IF($R$17="Distrato",$E1031,0)),MIN(AK$38,$D$19),$P$20))-SUM($P1031:AJ1031)</f>
        <v>#VALUE!</v>
      </c>
      <c r="AL1031" s="446" t="e">
        <f>IF(OR($B1031="",MIN(AL$38,$D$19)&lt;MAX($P$708*($B1031+IF($R$17="Distrato",$I$38-1,0)),IF(AND($L$711=0,$P$708=0),"",$L$711-1),IF($R$17="Distrato",$E1031,0))),0,YEARFRAC(MAX($P$708*($B1031+IF($R$17="Distrato",$I$38-1,0)),IF(AND($L$711=0,$P$708=0),"",$L$711-1),IF($R$17="Distrato",$E1031,0)),MIN(AL$38,$D$19),$P$20))-SUM($P1031:AK1031)</f>
        <v>#VALUE!</v>
      </c>
      <c r="AM1031" s="446" t="e">
        <f>IF(OR($B1031="",MIN(AM$38,$D$19)&lt;MAX($P$708*($B1031+IF($R$17="Distrato",$I$38-1,0)),IF(AND($L$711=0,$P$708=0),"",$L$711-1),IF($R$17="Distrato",$E1031,0))),0,YEARFRAC(MAX($P$708*($B1031+IF($R$17="Distrato",$I$38-1,0)),IF(AND($L$711=0,$P$708=0),"",$L$711-1),IF($R$17="Distrato",$E1031,0)),MIN(AM$38,$D$19),$P$20))-SUM($P1031:AL1031)</f>
        <v>#VALUE!</v>
      </c>
      <c r="AN1031" s="446" t="e">
        <f>IF(OR($B1031="",MIN(AN$38,$D$19)&lt;MAX($P$708*($B1031+IF($R$17="Distrato",$I$38-1,0)),IF(AND($L$711=0,$P$708=0),"",$L$711-1),IF($R$17="Distrato",$E1031,0))),0,YEARFRAC(MAX($P$708*($B1031+IF($R$17="Distrato",$I$38-1,0)),IF(AND($L$711=0,$P$708=0),"",$L$711-1),IF($R$17="Distrato",$E1031,0)),MIN(AN$38,$D$19),$P$20))-SUM($P1031:AM1031)</f>
        <v>#VALUE!</v>
      </c>
      <c r="AO1031" s="446" t="e">
        <f>IF(OR($B1031="",MIN(AO$38,$D$19)&lt;MAX($P$708*($B1031+IF($R$17="Distrato",$I$38-1,0)),IF(AND($L$711=0,$P$708=0),"",$L$711-1),IF($R$17="Distrato",$E1031,0))),0,YEARFRAC(MAX($P$708*($B1031+IF($R$17="Distrato",$I$38-1,0)),IF(AND($L$711=0,$P$708=0),"",$L$711-1),IF($R$17="Distrato",$E1031,0)),MIN(AO$38,$D$19),$P$20))-SUM($P1031:AN1031)</f>
        <v>#VALUE!</v>
      </c>
      <c r="AP1031" s="446" t="e">
        <f>IF(OR($B1031="",MIN(AP$38,$D$19)&lt;MAX($P$708*($B1031+IF($R$17="Distrato",$I$38-1,0)),IF(AND($L$711=0,$P$708=0),"",$L$711-1),IF($R$17="Distrato",$E1031,0))),0,YEARFRAC(MAX($P$708*($B1031+IF($R$17="Distrato",$I$38-1,0)),IF(AND($L$711=0,$P$708=0),"",$L$711-1),IF($R$17="Distrato",$E1031,0)),MIN(AP$38,$D$19),$P$20))-SUM($P1031:AO1031)</f>
        <v>#VALUE!</v>
      </c>
      <c r="AQ1031" s="446" t="e">
        <f>IF(OR($B1031="",MIN(AQ$38,$D$19)&lt;MAX($P$708*($B1031+IF($R$17="Distrato",$I$38-1,0)),IF(AND($L$711=0,$P$708=0),"",$L$711-1),IF($R$17="Distrato",$E1031,0))),0,YEARFRAC(MAX($P$708*($B1031+IF($R$17="Distrato",$I$38-1,0)),IF(AND($L$711=0,$P$708=0),"",$L$711-1),IF($R$17="Distrato",$E1031,0)),MIN(AQ$38,$D$19),$P$20))-SUM($P1031:AP1031)</f>
        <v>#VALUE!</v>
      </c>
      <c r="AR1031" s="446" t="e">
        <f>IF(OR($B1031="",MIN(AR$38,$D$19)&lt;MAX($P$708*($B1031+IF($R$17="Distrato",$I$38-1,0)),IF(AND($L$711=0,$P$708=0),"",$L$711-1),IF($R$17="Distrato",$E1031,0))),0,YEARFRAC(MAX($P$708*($B1031+IF($R$17="Distrato",$I$38-1,0)),IF(AND($L$711=0,$P$708=0),"",$L$711-1),IF($R$17="Distrato",$E1031,0)),MIN(AR$38,$D$19),$P$20))-SUM($P1031:AQ1031)</f>
        <v>#VALUE!</v>
      </c>
      <c r="AS1031" s="446" t="e">
        <f>IF(OR($B1031="",MIN(AS$38,$D$19)&lt;MAX($P$708*($B1031+IF($R$17="Distrato",$I$38-1,0)),IF(AND($L$711=0,$P$708=0),"",$L$711-1),IF($R$17="Distrato",$E1031,0))),0,YEARFRAC(MAX($P$708*($B1031+IF($R$17="Distrato",$I$38-1,0)),IF(AND($L$711=0,$P$708=0),"",$L$711-1),IF($R$17="Distrato",$E1031,0)),MIN(AS$38,$D$19),$P$20))-SUM($P1031:AR1031)</f>
        <v>#VALUE!</v>
      </c>
      <c r="AT1031" s="446" t="e">
        <f>IF(OR($B1031="",MIN(AT$38,$D$19)&lt;MAX($P$708*($B1031+IF($R$17="Distrato",$I$38-1,0)),IF(AND($L$711=0,$P$708=0),"",$L$711-1),IF($R$17="Distrato",$E1031,0))),0,YEARFRAC(MAX($P$708*($B1031+IF($R$17="Distrato",$I$38-1,0)),IF(AND($L$711=0,$P$708=0),"",$L$711-1),IF($R$17="Distrato",$E1031,0)),MIN(AT$38,$D$19),$P$20))-SUM($P1031:AS1031)</f>
        <v>#VALUE!</v>
      </c>
      <c r="AU1031" s="446" t="e">
        <f>IF(OR($B1031="",MIN(AU$38,$D$19)&lt;MAX($P$708*($B1031+IF($R$17="Distrato",$I$38-1,0)),IF(AND($L$711=0,$P$708=0),"",$L$711-1),IF($R$17="Distrato",$E1031,0))),0,YEARFRAC(MAX($P$708*($B1031+IF($R$17="Distrato",$I$38-1,0)),IF(AND($L$711=0,$P$708=0),"",$L$711-1),IF($R$17="Distrato",$E1031,0)),MIN(AU$38,$D$19),$P$20))-SUM($P1031:AT1031)</f>
        <v>#VALUE!</v>
      </c>
      <c r="AV1031" s="446" t="e">
        <f>IF(OR($B1031="",MIN(AV$38,$D$19)&lt;MAX($P$708*($B1031+IF($R$17="Distrato",$I$38-1,0)),IF(AND($L$711=0,$P$708=0),"",$L$711-1),IF($R$17="Distrato",$E1031,0))),0,YEARFRAC(MAX($P$708*($B1031+IF($R$17="Distrato",$I$38-1,0)),IF(AND($L$711=0,$P$708=0),"",$L$711-1),IF($R$17="Distrato",$E1031,0)),MIN(AV$38,$D$19),$P$20))-SUM($P1031:AU1031)</f>
        <v>#VALUE!</v>
      </c>
      <c r="AW1031" s="446" t="e">
        <f>IF(OR($B1031="",MIN(AW$38,$D$19)&lt;MAX($P$708*($B1031+IF($R$17="Distrato",$I$38-1,0)),IF(AND($L$711=0,$P$708=0),"",$L$711-1),IF($R$17="Distrato",$E1031,0))),0,YEARFRAC(MAX($P$708*($B1031+IF($R$17="Distrato",$I$38-1,0)),IF(AND($L$711=0,$P$708=0),"",$L$711-1),IF($R$17="Distrato",$E1031,0)),MIN(AW$38,$D$19),$P$20))-SUM($P1031:AV1031)</f>
        <v>#VALUE!</v>
      </c>
      <c r="AX1031" s="446" t="e">
        <f>IF(OR($B1031="",MIN(AX$38,$D$19)&lt;MAX($P$708*($B1031+IF($R$17="Distrato",$I$38-1,0)),IF(AND($L$711=0,$P$708=0),"",$L$711-1),IF($R$17="Distrato",$E1031,0))),0,YEARFRAC(MAX($P$708*($B1031+IF($R$17="Distrato",$I$38-1,0)),IF(AND($L$711=0,$P$708=0),"",$L$711-1),IF($R$17="Distrato",$E1031,0)),MIN(AX$38,$D$19),$P$20))-SUM($P1031:AW1031)</f>
        <v>#VALUE!</v>
      </c>
      <c r="AY1031" s="446" t="e">
        <f>IF(OR($B1031="",MIN(AY$38,$D$19)&lt;MAX($P$708*($B1031+IF($R$17="Distrato",$I$38-1,0)),IF(AND($L$711=0,$P$708=0),"",$L$711-1),IF($R$17="Distrato",$E1031,0))),0,YEARFRAC(MAX($P$708*($B1031+IF($R$17="Distrato",$I$38-1,0)),IF(AND($L$711=0,$P$708=0),"",$L$711-1),IF($R$17="Distrato",$E1031,0)),MIN(AY$38,$D$19),$P$20))-SUM($P1031:AX1031)</f>
        <v>#VALUE!</v>
      </c>
      <c r="AZ1031" s="446" t="e">
        <f>IF(OR($B1031="",MIN(AZ$38,$D$19)&lt;MAX($P$708*($B1031+IF($R$17="Distrato",$I$38-1,0)),IF(AND($L$711=0,$P$708=0),"",$L$711-1),IF($R$17="Distrato",$E1031,0))),0,YEARFRAC(MAX($P$708*($B1031+IF($R$17="Distrato",$I$38-1,0)),IF(AND($L$711=0,$P$708=0),"",$L$711-1),IF($R$17="Distrato",$E1031,0)),MIN(AZ$38,$D$19),$P$20))-SUM($P1031:AY1031)</f>
        <v>#VALUE!</v>
      </c>
      <c r="BA1031" s="446" t="e">
        <f>IF(OR($B1031="",MIN(BA$38,$D$19)&lt;MAX($P$708*($B1031+IF($R$17="Distrato",$I$38-1,0)),IF(AND($L$711=0,$P$708=0),"",$L$711-1),IF($R$17="Distrato",$E1031,0))),0,YEARFRAC(MAX($P$708*($B1031+IF($R$17="Distrato",$I$38-1,0)),IF(AND($L$711=0,$P$708=0),"",$L$711-1),IF($R$17="Distrato",$E1031,0)),MIN(BA$38,$D$19),$P$20))-SUM($P1031:AZ1031)</f>
        <v>#VALUE!</v>
      </c>
      <c r="BB1031" s="447"/>
    </row>
    <row r="1032" spans="1:54" s="446" customFormat="1" ht="11.25" hidden="1" customHeight="1" x14ac:dyDescent="0.2">
      <c r="A1032" s="235"/>
      <c r="B1032" s="236"/>
      <c r="C1032" s="29" t="str">
        <f>IF(B1032="","",IF($L$709=$BL$25,VLOOKUP(DATE(YEAR($D$19),MONTH($D$19)-1,1),ÍNDICES!$A:$DE,HLOOKUP($BL$25,ÍNDICES!$B$3:$T$4,2)+11)-VLOOKUP(B1032,ÍNDICES!$A:$DE,HLOOKUP($BL$25,ÍNDICES!$B$3:$T$4,2)+11)+1%,IF(C$712=$W$26,$J$35,IF(ISERROR(IF(B1032&gt;$D$19,1,VLOOKUP(DATE(YEAR(B1032),MONTH(B1032)+IF($C$709=$S$23,1,0),1),ÍNDICES!$A:$DE,$Z$709+1))),"",IF(B1032&gt;$D$19,1,VLOOKUP(DATE(YEAR(B1032),MONTH(B1032)+IF($C$709=$S$23,1,0),1),ÍNDICES!$A:$DE,$Z$709+1))))))</f>
        <v/>
      </c>
      <c r="D1032" s="155"/>
      <c r="E1032" s="88"/>
      <c r="F1032" s="88"/>
      <c r="G1032" s="88"/>
      <c r="H1032" s="118"/>
      <c r="I1032" s="182">
        <f t="shared" si="143"/>
        <v>0</v>
      </c>
      <c r="J1032" s="20">
        <f t="shared" ca="1" si="144"/>
        <v>0</v>
      </c>
      <c r="K1032" s="5">
        <f t="shared" ca="1" si="145"/>
        <v>0</v>
      </c>
      <c r="L1032" s="61">
        <f t="shared" ca="1" si="146"/>
        <v>0</v>
      </c>
      <c r="M1032" s="64">
        <f t="shared" si="147"/>
        <v>0</v>
      </c>
      <c r="N1032" s="151"/>
      <c r="O1032" s="5">
        <f t="shared" ca="1" si="148"/>
        <v>0</v>
      </c>
      <c r="P1032" s="446" t="e">
        <f t="shared" si="149"/>
        <v>#VALUE!</v>
      </c>
      <c r="Q1032" s="446" t="e">
        <f>IF(OR($B1032="",MIN(Q$38,$D$19)&lt;MAX($P$708*($B1032+IF($R$17="Distrato",$I$38-1,0)),IF(AND($L$711=0,$P$708=0),"",$L$711-1),IF($R$17="Distrato",$E1032,0))),0,YEARFRAC(MAX($P$708*($B1032+IF($R$17="Distrato",$I$38-1,0)),IF(AND($L$711=0,$P$708=0),"",$L$711-1),IF($R$17="Distrato",$E1032,0)),MIN(Q$38,$D$19),$P$20))-SUM($P1032:P1032)</f>
        <v>#VALUE!</v>
      </c>
      <c r="R1032" s="446" t="e">
        <f>IF(OR($B1032="",MIN(R$38,$D$19)&lt;MAX($P$708*($B1032+IF($R$17="Distrato",$I$38-1,0)),IF(AND($L$711=0,$P$708=0),"",$L$711-1),IF($R$17="Distrato",$E1032,0))),0,YEARFRAC(MAX($P$708*($B1032+IF($R$17="Distrato",$I$38-1,0)),IF(AND($L$711=0,$P$708=0),"",$L$711-1),IF($R$17="Distrato",$E1032,0)),MIN(R$38,$D$19),$P$20))-SUM($P1032:Q1032)</f>
        <v>#VALUE!</v>
      </c>
      <c r="S1032" s="446" t="e">
        <f>IF(OR($B1032="",MIN(S$38,$D$19)&lt;MAX($P$708*($B1032+IF($R$17="Distrato",$I$38-1,0)),IF(AND($L$711=0,$P$708=0),"",$L$711-1),IF($R$17="Distrato",$E1032,0))),0,YEARFRAC(MAX($P$708*($B1032+IF($R$17="Distrato",$I$38-1,0)),IF(AND($L$711=0,$P$708=0),"",$L$711-1),IF($R$17="Distrato",$E1032,0)),MIN(S$38,$D$19),$P$20))-SUM($P1032:R1032)</f>
        <v>#VALUE!</v>
      </c>
      <c r="T1032" s="446" t="e">
        <f>IF(OR($B1032="",MIN(T$38,$D$19)&lt;MAX($P$708*($B1032+IF($R$17="Distrato",$I$38-1,0)),IF(AND($L$711=0,$P$708=0),"",$L$711-1),IF($R$17="Distrato",$E1032,0))),0,YEARFRAC(MAX($P$708*($B1032+IF($R$17="Distrato",$I$38-1,0)),IF(AND($L$711=0,$P$708=0),"",$L$711-1),IF($R$17="Distrato",$E1032,0)),MIN(T$38,$D$19),$P$20))-SUM($P1032:S1032)</f>
        <v>#VALUE!</v>
      </c>
      <c r="U1032" s="446" t="e">
        <f>IF(OR($B1032="",MIN(U$38,$D$19)&lt;MAX($P$708*($B1032+IF($R$17="Distrato",$I$38-1,0)),IF(AND($L$711=0,$P$708=0),"",$L$711-1),IF($R$17="Distrato",$E1032,0))),0,YEARFRAC(MAX($P$708*($B1032+IF($R$17="Distrato",$I$38-1,0)),IF(AND($L$711=0,$P$708=0),"",$L$711-1),IF($R$17="Distrato",$E1032,0)),MIN(U$38,$D$19),$P$20))-SUM($P1032:T1032)</f>
        <v>#VALUE!</v>
      </c>
      <c r="V1032" s="446" t="e">
        <f>IF(OR($B1032="",MIN(V$38,$D$19)&lt;MAX($P$708*($B1032+IF($R$17="Distrato",$I$38-1,0)),IF(AND($L$711=0,$P$708=0),"",$L$711-1),IF($R$17="Distrato",$E1032,0))),0,YEARFRAC(MAX($P$708*($B1032+IF($R$17="Distrato",$I$38-1,0)),IF(AND($L$711=0,$P$708=0),"",$L$711-1),IF($R$17="Distrato",$E1032,0)),MIN(V$38,$D$19),$P$20))-SUM($P1032:U1032)</f>
        <v>#VALUE!</v>
      </c>
      <c r="W1032" s="446" t="e">
        <f>IF(OR($B1032="",MIN(W$38,$D$19)&lt;MAX($P$708*($B1032+IF($R$17="Distrato",$I$38-1,0)),IF(AND($L$711=0,$P$708=0),"",$L$711-1),IF($R$17="Distrato",$E1032,0))),0,YEARFRAC(MAX($P$708*($B1032+IF($R$17="Distrato",$I$38-1,0)),IF(AND($L$711=0,$P$708=0),"",$L$711-1),IF($R$17="Distrato",$E1032,0)),MIN(W$38,$D$19),$P$20))-SUM($P1032:V1032)</f>
        <v>#VALUE!</v>
      </c>
      <c r="X1032" s="446" t="e">
        <f>IF(OR($B1032="",MIN(X$38,$D$19)&lt;MAX($P$708*($B1032+IF($R$17="Distrato",$I$38-1,0)),IF(AND($L$711=0,$P$708=0),"",$L$711-1),IF($R$17="Distrato",$E1032,0))),0,YEARFRAC(MAX($P$708*($B1032+IF($R$17="Distrato",$I$38-1,0)),IF(AND($L$711=0,$P$708=0),"",$L$711-1),IF($R$17="Distrato",$E1032,0)),MIN(X$38,$D$19),$P$20))-SUM($P1032:W1032)</f>
        <v>#VALUE!</v>
      </c>
      <c r="Y1032" s="446" t="e">
        <f>IF(OR($B1032="",MIN(Y$38,$D$19)&lt;MAX($P$708*($B1032+IF($R$17="Distrato",$I$38-1,0)),IF(AND($L$711=0,$P$708=0),"",$L$711-1),IF($R$17="Distrato",$E1032,0))),0,YEARFRAC(MAX($P$708*($B1032+IF($R$17="Distrato",$I$38-1,0)),IF(AND($L$711=0,$P$708=0),"",$L$711-1),IF($R$17="Distrato",$E1032,0)),MIN(Y$38,$D$19),$P$20))-SUM($P1032:X1032)</f>
        <v>#VALUE!</v>
      </c>
      <c r="Z1032" s="446" t="e">
        <f>IF(OR($B1032="",MIN(Z$38,$D$19)&lt;MAX($P$708*($B1032+IF($R$17="Distrato",$I$38-1,0)),IF(AND($L$711=0,$P$708=0),"",$L$711-1),IF($R$17="Distrato",$E1032,0))),0,YEARFRAC(MAX($P$708*($B1032+IF($R$17="Distrato",$I$38-1,0)),IF(AND($L$711=0,$P$708=0),"",$L$711-1),IF($R$17="Distrato",$E1032,0)),MIN(Z$38,$D$19),$P$20))-SUM($P1032:Y1032)</f>
        <v>#VALUE!</v>
      </c>
      <c r="AA1032" s="446" t="e">
        <f>IF(OR($B1032="",MIN(AA$38,$D$19)&lt;MAX($P$708*($B1032+IF($R$17="Distrato",$I$38-1,0)),IF(AND($L$711=0,$P$708=0),"",$L$711-1),IF($R$17="Distrato",$E1032,0))),0,YEARFRAC(MAX($P$708*($B1032+IF($R$17="Distrato",$I$38-1,0)),IF(AND($L$711=0,$P$708=0),"",$L$711-1),IF($R$17="Distrato",$E1032,0)),MIN(AA$38,$D$19),$P$20))-SUM($P1032:Z1032)</f>
        <v>#VALUE!</v>
      </c>
      <c r="AB1032" s="446" t="e">
        <f>IF(OR($B1032="",MIN(AB$38,$D$19)&lt;MAX($P$708*($B1032+IF($R$17="Distrato",$I$38-1,0)),IF(AND($L$711=0,$P$708=0),"",$L$711-1),IF($R$17="Distrato",$E1032,0))),0,YEARFRAC(MAX($P$708*($B1032+IF($R$17="Distrato",$I$38-1,0)),IF(AND($L$711=0,$P$708=0),"",$L$711-1),IF($R$17="Distrato",$E1032,0)),MIN(AB$38,$D$19),$P$20))-SUM($P1032:AA1032)</f>
        <v>#VALUE!</v>
      </c>
      <c r="AC1032" s="446" t="e">
        <f>IF(OR($B1032="",MIN(AC$38,$D$19)&lt;MAX($P$708*($B1032+IF($R$17="Distrato",$I$38-1,0)),IF(AND($L$711=0,$P$708=0),"",$L$711-1),IF($R$17="Distrato",$E1032,0))),0,YEARFRAC(MAX($P$708*($B1032+IF($R$17="Distrato",$I$38-1,0)),IF(AND($L$711=0,$P$708=0),"",$L$711-1),IF($R$17="Distrato",$E1032,0)),MIN(AC$38,$D$19),$P$20))-SUM($P1032:AB1032)</f>
        <v>#VALUE!</v>
      </c>
      <c r="AD1032" s="446" t="e">
        <f>IF(OR($B1032="",MIN(AD$38,$D$19)&lt;MAX($P$708*($B1032+IF($R$17="Distrato",$I$38-1,0)),IF(AND($L$711=0,$P$708=0),"",$L$711-1),IF($R$17="Distrato",$E1032,0))),0,YEARFRAC(MAX($P$708*($B1032+IF($R$17="Distrato",$I$38-1,0)),IF(AND($L$711=0,$P$708=0),"",$L$711-1),IF($R$17="Distrato",$E1032,0)),MIN(AD$38,$D$19),$P$20))-SUM($P1032:AC1032)</f>
        <v>#VALUE!</v>
      </c>
      <c r="AE1032" s="446" t="e">
        <f>IF(OR($B1032="",MIN(AE$38,$D$19)&lt;MAX($P$708*($B1032+IF($R$17="Distrato",$I$38-1,0)),IF(AND($L$711=0,$P$708=0),"",$L$711-1),IF($R$17="Distrato",$E1032,0))),0,YEARFRAC(MAX($P$708*($B1032+IF($R$17="Distrato",$I$38-1,0)),IF(AND($L$711=0,$P$708=0),"",$L$711-1),IF($R$17="Distrato",$E1032,0)),MIN(AE$38,$D$19),$P$20))-SUM($P1032:AD1032)</f>
        <v>#VALUE!</v>
      </c>
      <c r="AF1032" s="446" t="e">
        <f>IF(OR($B1032="",MIN(AF$38,$D$19)&lt;MAX($P$708*($B1032+IF($R$17="Distrato",$I$38-1,0)),IF(AND($L$711=0,$P$708=0),"",$L$711-1),IF($R$17="Distrato",$E1032,0))),0,YEARFRAC(MAX($P$708*($B1032+IF($R$17="Distrato",$I$38-1,0)),IF(AND($L$711=0,$P$708=0),"",$L$711-1),IF($R$17="Distrato",$E1032,0)),MIN(AF$38,$D$19),$P$20))-SUM($P1032:AE1032)</f>
        <v>#VALUE!</v>
      </c>
      <c r="AG1032" s="446" t="e">
        <f>IF(OR($B1032="",MIN(AG$38,$D$19)&lt;MAX($P$708*($B1032+IF($R$17="Distrato",$I$38-1,0)),IF(AND($L$711=0,$P$708=0),"",$L$711-1),IF($R$17="Distrato",$E1032,0))),0,YEARFRAC(MAX($P$708*($B1032+IF($R$17="Distrato",$I$38-1,0)),IF(AND($L$711=0,$P$708=0),"",$L$711-1),IF($R$17="Distrato",$E1032,0)),MIN(AG$38,$D$19),$P$20))-SUM($P1032:AF1032)</f>
        <v>#VALUE!</v>
      </c>
      <c r="AH1032" s="446" t="e">
        <f>IF(OR($B1032="",MIN(AH$38,$D$19)&lt;MAX($P$708*($B1032+IF($R$17="Distrato",$I$38-1,0)),IF(AND($L$711=0,$P$708=0),"",$L$711-1),IF($R$17="Distrato",$E1032,0))),0,YEARFRAC(MAX($P$708*($B1032+IF($R$17="Distrato",$I$38-1,0)),IF(AND($L$711=0,$P$708=0),"",$L$711-1),IF($R$17="Distrato",$E1032,0)),MIN(AH$38,$D$19),$P$20))-SUM($P1032:AG1032)</f>
        <v>#VALUE!</v>
      </c>
      <c r="AI1032" s="446" t="e">
        <f>IF(OR($B1032="",MIN(AI$38,$D$19)&lt;MAX($P$708*($B1032+IF($R$17="Distrato",$I$38-1,0)),IF(AND($L$711=0,$P$708=0),"",$L$711-1),IF($R$17="Distrato",$E1032,0))),0,YEARFRAC(MAX($P$708*($B1032+IF($R$17="Distrato",$I$38-1,0)),IF(AND($L$711=0,$P$708=0),"",$L$711-1),IF($R$17="Distrato",$E1032,0)),MIN(AI$38,$D$19),$P$20))-SUM($P1032:AH1032)</f>
        <v>#VALUE!</v>
      </c>
      <c r="AJ1032" s="446" t="e">
        <f>IF(OR($B1032="",MIN(AJ$38,$D$19)&lt;MAX($P$708*($B1032+IF($R$17="Distrato",$I$38-1,0)),IF(AND($L$711=0,$P$708=0),"",$L$711-1),IF($R$17="Distrato",$E1032,0))),0,YEARFRAC(MAX($P$708*($B1032+IF($R$17="Distrato",$I$38-1,0)),IF(AND($L$711=0,$P$708=0),"",$L$711-1),IF($R$17="Distrato",$E1032,0)),MIN(AJ$38,$D$19),$P$20))-SUM($P1032:AI1032)</f>
        <v>#VALUE!</v>
      </c>
      <c r="AK1032" s="446" t="e">
        <f>IF(OR($B1032="",MIN(AK$38,$D$19)&lt;MAX($P$708*($B1032+IF($R$17="Distrato",$I$38-1,0)),IF(AND($L$711=0,$P$708=0),"",$L$711-1),IF($R$17="Distrato",$E1032,0))),0,YEARFRAC(MAX($P$708*($B1032+IF($R$17="Distrato",$I$38-1,0)),IF(AND($L$711=0,$P$708=0),"",$L$711-1),IF($R$17="Distrato",$E1032,0)),MIN(AK$38,$D$19),$P$20))-SUM($P1032:AJ1032)</f>
        <v>#VALUE!</v>
      </c>
      <c r="AL1032" s="446" t="e">
        <f>IF(OR($B1032="",MIN(AL$38,$D$19)&lt;MAX($P$708*($B1032+IF($R$17="Distrato",$I$38-1,0)),IF(AND($L$711=0,$P$708=0),"",$L$711-1),IF($R$17="Distrato",$E1032,0))),0,YEARFRAC(MAX($P$708*($B1032+IF($R$17="Distrato",$I$38-1,0)),IF(AND($L$711=0,$P$708=0),"",$L$711-1),IF($R$17="Distrato",$E1032,0)),MIN(AL$38,$D$19),$P$20))-SUM($P1032:AK1032)</f>
        <v>#VALUE!</v>
      </c>
      <c r="AM1032" s="446" t="e">
        <f>IF(OR($B1032="",MIN(AM$38,$D$19)&lt;MAX($P$708*($B1032+IF($R$17="Distrato",$I$38-1,0)),IF(AND($L$711=0,$P$708=0),"",$L$711-1),IF($R$17="Distrato",$E1032,0))),0,YEARFRAC(MAX($P$708*($B1032+IF($R$17="Distrato",$I$38-1,0)),IF(AND($L$711=0,$P$708=0),"",$L$711-1),IF($R$17="Distrato",$E1032,0)),MIN(AM$38,$D$19),$P$20))-SUM($P1032:AL1032)</f>
        <v>#VALUE!</v>
      </c>
      <c r="AN1032" s="446" t="e">
        <f>IF(OR($B1032="",MIN(AN$38,$D$19)&lt;MAX($P$708*($B1032+IF($R$17="Distrato",$I$38-1,0)),IF(AND($L$711=0,$P$708=0),"",$L$711-1),IF($R$17="Distrato",$E1032,0))),0,YEARFRAC(MAX($P$708*($B1032+IF($R$17="Distrato",$I$38-1,0)),IF(AND($L$711=0,$P$708=0),"",$L$711-1),IF($R$17="Distrato",$E1032,0)),MIN(AN$38,$D$19),$P$20))-SUM($P1032:AM1032)</f>
        <v>#VALUE!</v>
      </c>
      <c r="AO1032" s="446" t="e">
        <f>IF(OR($B1032="",MIN(AO$38,$D$19)&lt;MAX($P$708*($B1032+IF($R$17="Distrato",$I$38-1,0)),IF(AND($L$711=0,$P$708=0),"",$L$711-1),IF($R$17="Distrato",$E1032,0))),0,YEARFRAC(MAX($P$708*($B1032+IF($R$17="Distrato",$I$38-1,0)),IF(AND($L$711=0,$P$708=0),"",$L$711-1),IF($R$17="Distrato",$E1032,0)),MIN(AO$38,$D$19),$P$20))-SUM($P1032:AN1032)</f>
        <v>#VALUE!</v>
      </c>
      <c r="AP1032" s="446" t="e">
        <f>IF(OR($B1032="",MIN(AP$38,$D$19)&lt;MAX($P$708*($B1032+IF($R$17="Distrato",$I$38-1,0)),IF(AND($L$711=0,$P$708=0),"",$L$711-1),IF($R$17="Distrato",$E1032,0))),0,YEARFRAC(MAX($P$708*($B1032+IF($R$17="Distrato",$I$38-1,0)),IF(AND($L$711=0,$P$708=0),"",$L$711-1),IF($R$17="Distrato",$E1032,0)),MIN(AP$38,$D$19),$P$20))-SUM($P1032:AO1032)</f>
        <v>#VALUE!</v>
      </c>
      <c r="AQ1032" s="446" t="e">
        <f>IF(OR($B1032="",MIN(AQ$38,$D$19)&lt;MAX($P$708*($B1032+IF($R$17="Distrato",$I$38-1,0)),IF(AND($L$711=0,$P$708=0),"",$L$711-1),IF($R$17="Distrato",$E1032,0))),0,YEARFRAC(MAX($P$708*($B1032+IF($R$17="Distrato",$I$38-1,0)),IF(AND($L$711=0,$P$708=0),"",$L$711-1),IF($R$17="Distrato",$E1032,0)),MIN(AQ$38,$D$19),$P$20))-SUM($P1032:AP1032)</f>
        <v>#VALUE!</v>
      </c>
      <c r="AR1032" s="446" t="e">
        <f>IF(OR($B1032="",MIN(AR$38,$D$19)&lt;MAX($P$708*($B1032+IF($R$17="Distrato",$I$38-1,0)),IF(AND($L$711=0,$P$708=0),"",$L$711-1),IF($R$17="Distrato",$E1032,0))),0,YEARFRAC(MAX($P$708*($B1032+IF($R$17="Distrato",$I$38-1,0)),IF(AND($L$711=0,$P$708=0),"",$L$711-1),IF($R$17="Distrato",$E1032,0)),MIN(AR$38,$D$19),$P$20))-SUM($P1032:AQ1032)</f>
        <v>#VALUE!</v>
      </c>
      <c r="AS1032" s="446" t="e">
        <f>IF(OR($B1032="",MIN(AS$38,$D$19)&lt;MAX($P$708*($B1032+IF($R$17="Distrato",$I$38-1,0)),IF(AND($L$711=0,$P$708=0),"",$L$711-1),IF($R$17="Distrato",$E1032,0))),0,YEARFRAC(MAX($P$708*($B1032+IF($R$17="Distrato",$I$38-1,0)),IF(AND($L$711=0,$P$708=0),"",$L$711-1),IF($R$17="Distrato",$E1032,0)),MIN(AS$38,$D$19),$P$20))-SUM($P1032:AR1032)</f>
        <v>#VALUE!</v>
      </c>
      <c r="AT1032" s="446" t="e">
        <f>IF(OR($B1032="",MIN(AT$38,$D$19)&lt;MAX($P$708*($B1032+IF($R$17="Distrato",$I$38-1,0)),IF(AND($L$711=0,$P$708=0),"",$L$711-1),IF($R$17="Distrato",$E1032,0))),0,YEARFRAC(MAX($P$708*($B1032+IF($R$17="Distrato",$I$38-1,0)),IF(AND($L$711=0,$P$708=0),"",$L$711-1),IF($R$17="Distrato",$E1032,0)),MIN(AT$38,$D$19),$P$20))-SUM($P1032:AS1032)</f>
        <v>#VALUE!</v>
      </c>
      <c r="AU1032" s="446" t="e">
        <f>IF(OR($B1032="",MIN(AU$38,$D$19)&lt;MAX($P$708*($B1032+IF($R$17="Distrato",$I$38-1,0)),IF(AND($L$711=0,$P$708=0),"",$L$711-1),IF($R$17="Distrato",$E1032,0))),0,YEARFRAC(MAX($P$708*($B1032+IF($R$17="Distrato",$I$38-1,0)),IF(AND($L$711=0,$P$708=0),"",$L$711-1),IF($R$17="Distrato",$E1032,0)),MIN(AU$38,$D$19),$P$20))-SUM($P1032:AT1032)</f>
        <v>#VALUE!</v>
      </c>
      <c r="AV1032" s="446" t="e">
        <f>IF(OR($B1032="",MIN(AV$38,$D$19)&lt;MAX($P$708*($B1032+IF($R$17="Distrato",$I$38-1,0)),IF(AND($L$711=0,$P$708=0),"",$L$711-1),IF($R$17="Distrato",$E1032,0))),0,YEARFRAC(MAX($P$708*($B1032+IF($R$17="Distrato",$I$38-1,0)),IF(AND($L$711=0,$P$708=0),"",$L$711-1),IF($R$17="Distrato",$E1032,0)),MIN(AV$38,$D$19),$P$20))-SUM($P1032:AU1032)</f>
        <v>#VALUE!</v>
      </c>
      <c r="AW1032" s="446" t="e">
        <f>IF(OR($B1032="",MIN(AW$38,$D$19)&lt;MAX($P$708*($B1032+IF($R$17="Distrato",$I$38-1,0)),IF(AND($L$711=0,$P$708=0),"",$L$711-1),IF($R$17="Distrato",$E1032,0))),0,YEARFRAC(MAX($P$708*($B1032+IF($R$17="Distrato",$I$38-1,0)),IF(AND($L$711=0,$P$708=0),"",$L$711-1),IF($R$17="Distrato",$E1032,0)),MIN(AW$38,$D$19),$P$20))-SUM($P1032:AV1032)</f>
        <v>#VALUE!</v>
      </c>
      <c r="AX1032" s="446" t="e">
        <f>IF(OR($B1032="",MIN(AX$38,$D$19)&lt;MAX($P$708*($B1032+IF($R$17="Distrato",$I$38-1,0)),IF(AND($L$711=0,$P$708=0),"",$L$711-1),IF($R$17="Distrato",$E1032,0))),0,YEARFRAC(MAX($P$708*($B1032+IF($R$17="Distrato",$I$38-1,0)),IF(AND($L$711=0,$P$708=0),"",$L$711-1),IF($R$17="Distrato",$E1032,0)),MIN(AX$38,$D$19),$P$20))-SUM($P1032:AW1032)</f>
        <v>#VALUE!</v>
      </c>
      <c r="AY1032" s="446" t="e">
        <f>IF(OR($B1032="",MIN(AY$38,$D$19)&lt;MAX($P$708*($B1032+IF($R$17="Distrato",$I$38-1,0)),IF(AND($L$711=0,$P$708=0),"",$L$711-1),IF($R$17="Distrato",$E1032,0))),0,YEARFRAC(MAX($P$708*($B1032+IF($R$17="Distrato",$I$38-1,0)),IF(AND($L$711=0,$P$708=0),"",$L$711-1),IF($R$17="Distrato",$E1032,0)),MIN(AY$38,$D$19),$P$20))-SUM($P1032:AX1032)</f>
        <v>#VALUE!</v>
      </c>
      <c r="AZ1032" s="446" t="e">
        <f>IF(OR($B1032="",MIN(AZ$38,$D$19)&lt;MAX($P$708*($B1032+IF($R$17="Distrato",$I$38-1,0)),IF(AND($L$711=0,$P$708=0),"",$L$711-1),IF($R$17="Distrato",$E1032,0))),0,YEARFRAC(MAX($P$708*($B1032+IF($R$17="Distrato",$I$38-1,0)),IF(AND($L$711=0,$P$708=0),"",$L$711-1),IF($R$17="Distrato",$E1032,0)),MIN(AZ$38,$D$19),$P$20))-SUM($P1032:AY1032)</f>
        <v>#VALUE!</v>
      </c>
      <c r="BA1032" s="446" t="e">
        <f>IF(OR($B1032="",MIN(BA$38,$D$19)&lt;MAX($P$708*($B1032+IF($R$17="Distrato",$I$38-1,0)),IF(AND($L$711=0,$P$708=0),"",$L$711-1),IF($R$17="Distrato",$E1032,0))),0,YEARFRAC(MAX($P$708*($B1032+IF($R$17="Distrato",$I$38-1,0)),IF(AND($L$711=0,$P$708=0),"",$L$711-1),IF($R$17="Distrato",$E1032,0)),MIN(BA$38,$D$19),$P$20))-SUM($P1032:AZ1032)</f>
        <v>#VALUE!</v>
      </c>
      <c r="BB1032" s="447"/>
    </row>
    <row r="1033" spans="1:54" s="446" customFormat="1" ht="11.25" hidden="1" customHeight="1" x14ac:dyDescent="0.2">
      <c r="A1033" s="235"/>
      <c r="B1033" s="236"/>
      <c r="C1033" s="29" t="str">
        <f>IF(B1033="","",IF($L$709=$BL$25,VLOOKUP(DATE(YEAR($D$19),MONTH($D$19)-1,1),ÍNDICES!$A:$DE,HLOOKUP($BL$25,ÍNDICES!$B$3:$T$4,2)+11)-VLOOKUP(B1033,ÍNDICES!$A:$DE,HLOOKUP($BL$25,ÍNDICES!$B$3:$T$4,2)+11)+1%,IF(C$712=$W$26,$J$35,IF(ISERROR(IF(B1033&gt;$D$19,1,VLOOKUP(DATE(YEAR(B1033),MONTH(B1033)+IF($C$709=$S$23,1,0),1),ÍNDICES!$A:$DE,$Z$709+1))),"",IF(B1033&gt;$D$19,1,VLOOKUP(DATE(YEAR(B1033),MONTH(B1033)+IF($C$709=$S$23,1,0),1),ÍNDICES!$A:$DE,$Z$709+1))))))</f>
        <v/>
      </c>
      <c r="D1033" s="155"/>
      <c r="E1033" s="88"/>
      <c r="F1033" s="88"/>
      <c r="G1033" s="88"/>
      <c r="H1033" s="118"/>
      <c r="I1033" s="182">
        <f t="shared" si="143"/>
        <v>0</v>
      </c>
      <c r="J1033" s="20">
        <f t="shared" ca="1" si="144"/>
        <v>0</v>
      </c>
      <c r="K1033" s="5">
        <f t="shared" ca="1" si="145"/>
        <v>0</v>
      </c>
      <c r="L1033" s="61">
        <f t="shared" ca="1" si="146"/>
        <v>0</v>
      </c>
      <c r="M1033" s="64">
        <f t="shared" si="147"/>
        <v>0</v>
      </c>
      <c r="N1033" s="151"/>
      <c r="O1033" s="5">
        <f t="shared" ca="1" si="148"/>
        <v>0</v>
      </c>
      <c r="P1033" s="446" t="e">
        <f t="shared" si="149"/>
        <v>#VALUE!</v>
      </c>
      <c r="Q1033" s="446" t="e">
        <f>IF(OR($B1033="",MIN(Q$38,$D$19)&lt;MAX($P$708*($B1033+IF($R$17="Distrato",$I$38-1,0)),IF(AND($L$711=0,$P$708=0),"",$L$711-1),IF($R$17="Distrato",$E1033,0))),0,YEARFRAC(MAX($P$708*($B1033+IF($R$17="Distrato",$I$38-1,0)),IF(AND($L$711=0,$P$708=0),"",$L$711-1),IF($R$17="Distrato",$E1033,0)),MIN(Q$38,$D$19),$P$20))-SUM($P1033:P1033)</f>
        <v>#VALUE!</v>
      </c>
      <c r="R1033" s="446" t="e">
        <f>IF(OR($B1033="",MIN(R$38,$D$19)&lt;MAX($P$708*($B1033+IF($R$17="Distrato",$I$38-1,0)),IF(AND($L$711=0,$P$708=0),"",$L$711-1),IF($R$17="Distrato",$E1033,0))),0,YEARFRAC(MAX($P$708*($B1033+IF($R$17="Distrato",$I$38-1,0)),IF(AND($L$711=0,$P$708=0),"",$L$711-1),IF($R$17="Distrato",$E1033,0)),MIN(R$38,$D$19),$P$20))-SUM($P1033:Q1033)</f>
        <v>#VALUE!</v>
      </c>
      <c r="S1033" s="446" t="e">
        <f>IF(OR($B1033="",MIN(S$38,$D$19)&lt;MAX($P$708*($B1033+IF($R$17="Distrato",$I$38-1,0)),IF(AND($L$711=0,$P$708=0),"",$L$711-1),IF($R$17="Distrato",$E1033,0))),0,YEARFRAC(MAX($P$708*($B1033+IF($R$17="Distrato",$I$38-1,0)),IF(AND($L$711=0,$P$708=0),"",$L$711-1),IF($R$17="Distrato",$E1033,0)),MIN(S$38,$D$19),$P$20))-SUM($P1033:R1033)</f>
        <v>#VALUE!</v>
      </c>
      <c r="T1033" s="446" t="e">
        <f>IF(OR($B1033="",MIN(T$38,$D$19)&lt;MAX($P$708*($B1033+IF($R$17="Distrato",$I$38-1,0)),IF(AND($L$711=0,$P$708=0),"",$L$711-1),IF($R$17="Distrato",$E1033,0))),0,YEARFRAC(MAX($P$708*($B1033+IF($R$17="Distrato",$I$38-1,0)),IF(AND($L$711=0,$P$708=0),"",$L$711-1),IF($R$17="Distrato",$E1033,0)),MIN(T$38,$D$19),$P$20))-SUM($P1033:S1033)</f>
        <v>#VALUE!</v>
      </c>
      <c r="U1033" s="446" t="e">
        <f>IF(OR($B1033="",MIN(U$38,$D$19)&lt;MAX($P$708*($B1033+IF($R$17="Distrato",$I$38-1,0)),IF(AND($L$711=0,$P$708=0),"",$L$711-1),IF($R$17="Distrato",$E1033,0))),0,YEARFRAC(MAX($P$708*($B1033+IF($R$17="Distrato",$I$38-1,0)),IF(AND($L$711=0,$P$708=0),"",$L$711-1),IF($R$17="Distrato",$E1033,0)),MIN(U$38,$D$19),$P$20))-SUM($P1033:T1033)</f>
        <v>#VALUE!</v>
      </c>
      <c r="V1033" s="446" t="e">
        <f>IF(OR($B1033="",MIN(V$38,$D$19)&lt;MAX($P$708*($B1033+IF($R$17="Distrato",$I$38-1,0)),IF(AND($L$711=0,$P$708=0),"",$L$711-1),IF($R$17="Distrato",$E1033,0))),0,YEARFRAC(MAX($P$708*($B1033+IF($R$17="Distrato",$I$38-1,0)),IF(AND($L$711=0,$P$708=0),"",$L$711-1),IF($R$17="Distrato",$E1033,0)),MIN(V$38,$D$19),$P$20))-SUM($P1033:U1033)</f>
        <v>#VALUE!</v>
      </c>
      <c r="W1033" s="446" t="e">
        <f>IF(OR($B1033="",MIN(W$38,$D$19)&lt;MAX($P$708*($B1033+IF($R$17="Distrato",$I$38-1,0)),IF(AND($L$711=0,$P$708=0),"",$L$711-1),IF($R$17="Distrato",$E1033,0))),0,YEARFRAC(MAX($P$708*($B1033+IF($R$17="Distrato",$I$38-1,0)),IF(AND($L$711=0,$P$708=0),"",$L$711-1),IF($R$17="Distrato",$E1033,0)),MIN(W$38,$D$19),$P$20))-SUM($P1033:V1033)</f>
        <v>#VALUE!</v>
      </c>
      <c r="X1033" s="446" t="e">
        <f>IF(OR($B1033="",MIN(X$38,$D$19)&lt;MAX($P$708*($B1033+IF($R$17="Distrato",$I$38-1,0)),IF(AND($L$711=0,$P$708=0),"",$L$711-1),IF($R$17="Distrato",$E1033,0))),0,YEARFRAC(MAX($P$708*($B1033+IF($R$17="Distrato",$I$38-1,0)),IF(AND($L$711=0,$P$708=0),"",$L$711-1),IF($R$17="Distrato",$E1033,0)),MIN(X$38,$D$19),$P$20))-SUM($P1033:W1033)</f>
        <v>#VALUE!</v>
      </c>
      <c r="Y1033" s="446" t="e">
        <f>IF(OR($B1033="",MIN(Y$38,$D$19)&lt;MAX($P$708*($B1033+IF($R$17="Distrato",$I$38-1,0)),IF(AND($L$711=0,$P$708=0),"",$L$711-1),IF($R$17="Distrato",$E1033,0))),0,YEARFRAC(MAX($P$708*($B1033+IF($R$17="Distrato",$I$38-1,0)),IF(AND($L$711=0,$P$708=0),"",$L$711-1),IF($R$17="Distrato",$E1033,0)),MIN(Y$38,$D$19),$P$20))-SUM($P1033:X1033)</f>
        <v>#VALUE!</v>
      </c>
      <c r="Z1033" s="446" t="e">
        <f>IF(OR($B1033="",MIN(Z$38,$D$19)&lt;MAX($P$708*($B1033+IF($R$17="Distrato",$I$38-1,0)),IF(AND($L$711=0,$P$708=0),"",$L$711-1),IF($R$17="Distrato",$E1033,0))),0,YEARFRAC(MAX($P$708*($B1033+IF($R$17="Distrato",$I$38-1,0)),IF(AND($L$711=0,$P$708=0),"",$L$711-1),IF($R$17="Distrato",$E1033,0)),MIN(Z$38,$D$19),$P$20))-SUM($P1033:Y1033)</f>
        <v>#VALUE!</v>
      </c>
      <c r="AA1033" s="446" t="e">
        <f>IF(OR($B1033="",MIN(AA$38,$D$19)&lt;MAX($P$708*($B1033+IF($R$17="Distrato",$I$38-1,0)),IF(AND($L$711=0,$P$708=0),"",$L$711-1),IF($R$17="Distrato",$E1033,0))),0,YEARFRAC(MAX($P$708*($B1033+IF($R$17="Distrato",$I$38-1,0)),IF(AND($L$711=0,$P$708=0),"",$L$711-1),IF($R$17="Distrato",$E1033,0)),MIN(AA$38,$D$19),$P$20))-SUM($P1033:Z1033)</f>
        <v>#VALUE!</v>
      </c>
      <c r="AB1033" s="446" t="e">
        <f>IF(OR($B1033="",MIN(AB$38,$D$19)&lt;MAX($P$708*($B1033+IF($R$17="Distrato",$I$38-1,0)),IF(AND($L$711=0,$P$708=0),"",$L$711-1),IF($R$17="Distrato",$E1033,0))),0,YEARFRAC(MAX($P$708*($B1033+IF($R$17="Distrato",$I$38-1,0)),IF(AND($L$711=0,$P$708=0),"",$L$711-1),IF($R$17="Distrato",$E1033,0)),MIN(AB$38,$D$19),$P$20))-SUM($P1033:AA1033)</f>
        <v>#VALUE!</v>
      </c>
      <c r="AC1033" s="446" t="e">
        <f>IF(OR($B1033="",MIN(AC$38,$D$19)&lt;MAX($P$708*($B1033+IF($R$17="Distrato",$I$38-1,0)),IF(AND($L$711=0,$P$708=0),"",$L$711-1),IF($R$17="Distrato",$E1033,0))),0,YEARFRAC(MAX($P$708*($B1033+IF($R$17="Distrato",$I$38-1,0)),IF(AND($L$711=0,$P$708=0),"",$L$711-1),IF($R$17="Distrato",$E1033,0)),MIN(AC$38,$D$19),$P$20))-SUM($P1033:AB1033)</f>
        <v>#VALUE!</v>
      </c>
      <c r="AD1033" s="446" t="e">
        <f>IF(OR($B1033="",MIN(AD$38,$D$19)&lt;MAX($P$708*($B1033+IF($R$17="Distrato",$I$38-1,0)),IF(AND($L$711=0,$P$708=0),"",$L$711-1),IF($R$17="Distrato",$E1033,0))),0,YEARFRAC(MAX($P$708*($B1033+IF($R$17="Distrato",$I$38-1,0)),IF(AND($L$711=0,$P$708=0),"",$L$711-1),IF($R$17="Distrato",$E1033,0)),MIN(AD$38,$D$19),$P$20))-SUM($P1033:AC1033)</f>
        <v>#VALUE!</v>
      </c>
      <c r="AE1033" s="446" t="e">
        <f>IF(OR($B1033="",MIN(AE$38,$D$19)&lt;MAX($P$708*($B1033+IF($R$17="Distrato",$I$38-1,0)),IF(AND($L$711=0,$P$708=0),"",$L$711-1),IF($R$17="Distrato",$E1033,0))),0,YEARFRAC(MAX($P$708*($B1033+IF($R$17="Distrato",$I$38-1,0)),IF(AND($L$711=0,$P$708=0),"",$L$711-1),IF($R$17="Distrato",$E1033,0)),MIN(AE$38,$D$19),$P$20))-SUM($P1033:AD1033)</f>
        <v>#VALUE!</v>
      </c>
      <c r="AF1033" s="446" t="e">
        <f>IF(OR($B1033="",MIN(AF$38,$D$19)&lt;MAX($P$708*($B1033+IF($R$17="Distrato",$I$38-1,0)),IF(AND($L$711=0,$P$708=0),"",$L$711-1),IF($R$17="Distrato",$E1033,0))),0,YEARFRAC(MAX($P$708*($B1033+IF($R$17="Distrato",$I$38-1,0)),IF(AND($L$711=0,$P$708=0),"",$L$711-1),IF($R$17="Distrato",$E1033,0)),MIN(AF$38,$D$19),$P$20))-SUM($P1033:AE1033)</f>
        <v>#VALUE!</v>
      </c>
      <c r="AG1033" s="446" t="e">
        <f>IF(OR($B1033="",MIN(AG$38,$D$19)&lt;MAX($P$708*($B1033+IF($R$17="Distrato",$I$38-1,0)),IF(AND($L$711=0,$P$708=0),"",$L$711-1),IF($R$17="Distrato",$E1033,0))),0,YEARFRAC(MAX($P$708*($B1033+IF($R$17="Distrato",$I$38-1,0)),IF(AND($L$711=0,$P$708=0),"",$L$711-1),IF($R$17="Distrato",$E1033,0)),MIN(AG$38,$D$19),$P$20))-SUM($P1033:AF1033)</f>
        <v>#VALUE!</v>
      </c>
      <c r="AH1033" s="446" t="e">
        <f>IF(OR($B1033="",MIN(AH$38,$D$19)&lt;MAX($P$708*($B1033+IF($R$17="Distrato",$I$38-1,0)),IF(AND($L$711=0,$P$708=0),"",$L$711-1),IF($R$17="Distrato",$E1033,0))),0,YEARFRAC(MAX($P$708*($B1033+IF($R$17="Distrato",$I$38-1,0)),IF(AND($L$711=0,$P$708=0),"",$L$711-1),IF($R$17="Distrato",$E1033,0)),MIN(AH$38,$D$19),$P$20))-SUM($P1033:AG1033)</f>
        <v>#VALUE!</v>
      </c>
      <c r="AI1033" s="446" t="e">
        <f>IF(OR($B1033="",MIN(AI$38,$D$19)&lt;MAX($P$708*($B1033+IF($R$17="Distrato",$I$38-1,0)),IF(AND($L$711=0,$P$708=0),"",$L$711-1),IF($R$17="Distrato",$E1033,0))),0,YEARFRAC(MAX($P$708*($B1033+IF($R$17="Distrato",$I$38-1,0)),IF(AND($L$711=0,$P$708=0),"",$L$711-1),IF($R$17="Distrato",$E1033,0)),MIN(AI$38,$D$19),$P$20))-SUM($P1033:AH1033)</f>
        <v>#VALUE!</v>
      </c>
      <c r="AJ1033" s="446" t="e">
        <f>IF(OR($B1033="",MIN(AJ$38,$D$19)&lt;MAX($P$708*($B1033+IF($R$17="Distrato",$I$38-1,0)),IF(AND($L$711=0,$P$708=0),"",$L$711-1),IF($R$17="Distrato",$E1033,0))),0,YEARFRAC(MAX($P$708*($B1033+IF($R$17="Distrato",$I$38-1,0)),IF(AND($L$711=0,$P$708=0),"",$L$711-1),IF($R$17="Distrato",$E1033,0)),MIN(AJ$38,$D$19),$P$20))-SUM($P1033:AI1033)</f>
        <v>#VALUE!</v>
      </c>
      <c r="AK1033" s="446" t="e">
        <f>IF(OR($B1033="",MIN(AK$38,$D$19)&lt;MAX($P$708*($B1033+IF($R$17="Distrato",$I$38-1,0)),IF(AND($L$711=0,$P$708=0),"",$L$711-1),IF($R$17="Distrato",$E1033,0))),0,YEARFRAC(MAX($P$708*($B1033+IF($R$17="Distrato",$I$38-1,0)),IF(AND($L$711=0,$P$708=0),"",$L$711-1),IF($R$17="Distrato",$E1033,0)),MIN(AK$38,$D$19),$P$20))-SUM($P1033:AJ1033)</f>
        <v>#VALUE!</v>
      </c>
      <c r="AL1033" s="446" t="e">
        <f>IF(OR($B1033="",MIN(AL$38,$D$19)&lt;MAX($P$708*($B1033+IF($R$17="Distrato",$I$38-1,0)),IF(AND($L$711=0,$P$708=0),"",$L$711-1),IF($R$17="Distrato",$E1033,0))),0,YEARFRAC(MAX($P$708*($B1033+IF($R$17="Distrato",$I$38-1,0)),IF(AND($L$711=0,$P$708=0),"",$L$711-1),IF($R$17="Distrato",$E1033,0)),MIN(AL$38,$D$19),$P$20))-SUM($P1033:AK1033)</f>
        <v>#VALUE!</v>
      </c>
      <c r="AM1033" s="446" t="e">
        <f>IF(OR($B1033="",MIN(AM$38,$D$19)&lt;MAX($P$708*($B1033+IF($R$17="Distrato",$I$38-1,0)),IF(AND($L$711=0,$P$708=0),"",$L$711-1),IF($R$17="Distrato",$E1033,0))),0,YEARFRAC(MAX($P$708*($B1033+IF($R$17="Distrato",$I$38-1,0)),IF(AND($L$711=0,$P$708=0),"",$L$711-1),IF($R$17="Distrato",$E1033,0)),MIN(AM$38,$D$19),$P$20))-SUM($P1033:AL1033)</f>
        <v>#VALUE!</v>
      </c>
      <c r="AN1033" s="446" t="e">
        <f>IF(OR($B1033="",MIN(AN$38,$D$19)&lt;MAX($P$708*($B1033+IF($R$17="Distrato",$I$38-1,0)),IF(AND($L$711=0,$P$708=0),"",$L$711-1),IF($R$17="Distrato",$E1033,0))),0,YEARFRAC(MAX($P$708*($B1033+IF($R$17="Distrato",$I$38-1,0)),IF(AND($L$711=0,$P$708=0),"",$L$711-1),IF($R$17="Distrato",$E1033,0)),MIN(AN$38,$D$19),$P$20))-SUM($P1033:AM1033)</f>
        <v>#VALUE!</v>
      </c>
      <c r="AO1033" s="446" t="e">
        <f>IF(OR($B1033="",MIN(AO$38,$D$19)&lt;MAX($P$708*($B1033+IF($R$17="Distrato",$I$38-1,0)),IF(AND($L$711=0,$P$708=0),"",$L$711-1),IF($R$17="Distrato",$E1033,0))),0,YEARFRAC(MAX($P$708*($B1033+IF($R$17="Distrato",$I$38-1,0)),IF(AND($L$711=0,$P$708=0),"",$L$711-1),IF($R$17="Distrato",$E1033,0)),MIN(AO$38,$D$19),$P$20))-SUM($P1033:AN1033)</f>
        <v>#VALUE!</v>
      </c>
      <c r="AP1033" s="446" t="e">
        <f>IF(OR($B1033="",MIN(AP$38,$D$19)&lt;MAX($P$708*($B1033+IF($R$17="Distrato",$I$38-1,0)),IF(AND($L$711=0,$P$708=0),"",$L$711-1),IF($R$17="Distrato",$E1033,0))),0,YEARFRAC(MAX($P$708*($B1033+IF($R$17="Distrato",$I$38-1,0)),IF(AND($L$711=0,$P$708=0),"",$L$711-1),IF($R$17="Distrato",$E1033,0)),MIN(AP$38,$D$19),$P$20))-SUM($P1033:AO1033)</f>
        <v>#VALUE!</v>
      </c>
      <c r="AQ1033" s="446" t="e">
        <f>IF(OR($B1033="",MIN(AQ$38,$D$19)&lt;MAX($P$708*($B1033+IF($R$17="Distrato",$I$38-1,0)),IF(AND($L$711=0,$P$708=0),"",$L$711-1),IF($R$17="Distrato",$E1033,0))),0,YEARFRAC(MAX($P$708*($B1033+IF($R$17="Distrato",$I$38-1,0)),IF(AND($L$711=0,$P$708=0),"",$L$711-1),IF($R$17="Distrato",$E1033,0)),MIN(AQ$38,$D$19),$P$20))-SUM($P1033:AP1033)</f>
        <v>#VALUE!</v>
      </c>
      <c r="AR1033" s="446" t="e">
        <f>IF(OR($B1033="",MIN(AR$38,$D$19)&lt;MAX($P$708*($B1033+IF($R$17="Distrato",$I$38-1,0)),IF(AND($L$711=0,$P$708=0),"",$L$711-1),IF($R$17="Distrato",$E1033,0))),0,YEARFRAC(MAX($P$708*($B1033+IF($R$17="Distrato",$I$38-1,0)),IF(AND($L$711=0,$P$708=0),"",$L$711-1),IF($R$17="Distrato",$E1033,0)),MIN(AR$38,$D$19),$P$20))-SUM($P1033:AQ1033)</f>
        <v>#VALUE!</v>
      </c>
      <c r="AS1033" s="446" t="e">
        <f>IF(OR($B1033="",MIN(AS$38,$D$19)&lt;MAX($P$708*($B1033+IF($R$17="Distrato",$I$38-1,0)),IF(AND($L$711=0,$P$708=0),"",$L$711-1),IF($R$17="Distrato",$E1033,0))),0,YEARFRAC(MAX($P$708*($B1033+IF($R$17="Distrato",$I$38-1,0)),IF(AND($L$711=0,$P$708=0),"",$L$711-1),IF($R$17="Distrato",$E1033,0)),MIN(AS$38,$D$19),$P$20))-SUM($P1033:AR1033)</f>
        <v>#VALUE!</v>
      </c>
      <c r="AT1033" s="446" t="e">
        <f>IF(OR($B1033="",MIN(AT$38,$D$19)&lt;MAX($P$708*($B1033+IF($R$17="Distrato",$I$38-1,0)),IF(AND($L$711=0,$P$708=0),"",$L$711-1),IF($R$17="Distrato",$E1033,0))),0,YEARFRAC(MAX($P$708*($B1033+IF($R$17="Distrato",$I$38-1,0)),IF(AND($L$711=0,$P$708=0),"",$L$711-1),IF($R$17="Distrato",$E1033,0)),MIN(AT$38,$D$19),$P$20))-SUM($P1033:AS1033)</f>
        <v>#VALUE!</v>
      </c>
      <c r="AU1033" s="446" t="e">
        <f>IF(OR($B1033="",MIN(AU$38,$D$19)&lt;MAX($P$708*($B1033+IF($R$17="Distrato",$I$38-1,0)),IF(AND($L$711=0,$P$708=0),"",$L$711-1),IF($R$17="Distrato",$E1033,0))),0,YEARFRAC(MAX($P$708*($B1033+IF($R$17="Distrato",$I$38-1,0)),IF(AND($L$711=0,$P$708=0),"",$L$711-1),IF($R$17="Distrato",$E1033,0)),MIN(AU$38,$D$19),$P$20))-SUM($P1033:AT1033)</f>
        <v>#VALUE!</v>
      </c>
      <c r="AV1033" s="446" t="e">
        <f>IF(OR($B1033="",MIN(AV$38,$D$19)&lt;MAX($P$708*($B1033+IF($R$17="Distrato",$I$38-1,0)),IF(AND($L$711=0,$P$708=0),"",$L$711-1),IF($R$17="Distrato",$E1033,0))),0,YEARFRAC(MAX($P$708*($B1033+IF($R$17="Distrato",$I$38-1,0)),IF(AND($L$711=0,$P$708=0),"",$L$711-1),IF($R$17="Distrato",$E1033,0)),MIN(AV$38,$D$19),$P$20))-SUM($P1033:AU1033)</f>
        <v>#VALUE!</v>
      </c>
      <c r="AW1033" s="446" t="e">
        <f>IF(OR($B1033="",MIN(AW$38,$D$19)&lt;MAX($P$708*($B1033+IF($R$17="Distrato",$I$38-1,0)),IF(AND($L$711=0,$P$708=0),"",$L$711-1),IF($R$17="Distrato",$E1033,0))),0,YEARFRAC(MAX($P$708*($B1033+IF($R$17="Distrato",$I$38-1,0)),IF(AND($L$711=0,$P$708=0),"",$L$711-1),IF($R$17="Distrato",$E1033,0)),MIN(AW$38,$D$19),$P$20))-SUM($P1033:AV1033)</f>
        <v>#VALUE!</v>
      </c>
      <c r="AX1033" s="446" t="e">
        <f>IF(OR($B1033="",MIN(AX$38,$D$19)&lt;MAX($P$708*($B1033+IF($R$17="Distrato",$I$38-1,0)),IF(AND($L$711=0,$P$708=0),"",$L$711-1),IF($R$17="Distrato",$E1033,0))),0,YEARFRAC(MAX($P$708*($B1033+IF($R$17="Distrato",$I$38-1,0)),IF(AND($L$711=0,$P$708=0),"",$L$711-1),IF($R$17="Distrato",$E1033,0)),MIN(AX$38,$D$19),$P$20))-SUM($P1033:AW1033)</f>
        <v>#VALUE!</v>
      </c>
      <c r="AY1033" s="446" t="e">
        <f>IF(OR($B1033="",MIN(AY$38,$D$19)&lt;MAX($P$708*($B1033+IF($R$17="Distrato",$I$38-1,0)),IF(AND($L$711=0,$P$708=0),"",$L$711-1),IF($R$17="Distrato",$E1033,0))),0,YEARFRAC(MAX($P$708*($B1033+IF($R$17="Distrato",$I$38-1,0)),IF(AND($L$711=0,$P$708=0),"",$L$711-1),IF($R$17="Distrato",$E1033,0)),MIN(AY$38,$D$19),$P$20))-SUM($P1033:AX1033)</f>
        <v>#VALUE!</v>
      </c>
      <c r="AZ1033" s="446" t="e">
        <f>IF(OR($B1033="",MIN(AZ$38,$D$19)&lt;MAX($P$708*($B1033+IF($R$17="Distrato",$I$38-1,0)),IF(AND($L$711=0,$P$708=0),"",$L$711-1),IF($R$17="Distrato",$E1033,0))),0,YEARFRAC(MAX($P$708*($B1033+IF($R$17="Distrato",$I$38-1,0)),IF(AND($L$711=0,$P$708=0),"",$L$711-1),IF($R$17="Distrato",$E1033,0)),MIN(AZ$38,$D$19),$P$20))-SUM($P1033:AY1033)</f>
        <v>#VALUE!</v>
      </c>
      <c r="BA1033" s="446" t="e">
        <f>IF(OR($B1033="",MIN(BA$38,$D$19)&lt;MAX($P$708*($B1033+IF($R$17="Distrato",$I$38-1,0)),IF(AND($L$711=0,$P$708=0),"",$L$711-1),IF($R$17="Distrato",$E1033,0))),0,YEARFRAC(MAX($P$708*($B1033+IF($R$17="Distrato",$I$38-1,0)),IF(AND($L$711=0,$P$708=0),"",$L$711-1),IF($R$17="Distrato",$E1033,0)),MIN(BA$38,$D$19),$P$20))-SUM($P1033:AZ1033)</f>
        <v>#VALUE!</v>
      </c>
      <c r="BB1033" s="447"/>
    </row>
    <row r="1034" spans="1:54" s="446" customFormat="1" ht="11.25" hidden="1" customHeight="1" x14ac:dyDescent="0.2">
      <c r="A1034" s="235"/>
      <c r="B1034" s="236"/>
      <c r="C1034" s="29" t="str">
        <f>IF(B1034="","",IF($L$709=$BL$25,VLOOKUP(DATE(YEAR($D$19),MONTH($D$19)-1,1),ÍNDICES!$A:$DE,HLOOKUP($BL$25,ÍNDICES!$B$3:$T$4,2)+11)-VLOOKUP(B1034,ÍNDICES!$A:$DE,HLOOKUP($BL$25,ÍNDICES!$B$3:$T$4,2)+11)+1%,IF(C$712=$W$26,$J$35,IF(ISERROR(IF(B1034&gt;$D$19,1,VLOOKUP(DATE(YEAR(B1034),MONTH(B1034)+IF($C$709=$S$23,1,0),1),ÍNDICES!$A:$DE,$Z$709+1))),"",IF(B1034&gt;$D$19,1,VLOOKUP(DATE(YEAR(B1034),MONTH(B1034)+IF($C$709=$S$23,1,0),1),ÍNDICES!$A:$DE,$Z$709+1))))))</f>
        <v/>
      </c>
      <c r="D1034" s="155"/>
      <c r="E1034" s="88"/>
      <c r="F1034" s="88"/>
      <c r="G1034" s="88"/>
      <c r="H1034" s="118"/>
      <c r="I1034" s="182">
        <f t="shared" ref="I1034:I1097" si="150">IF(ISERROR(D1034-G1034),"",D1034-G1034)</f>
        <v>0</v>
      </c>
      <c r="J1034" s="20">
        <f t="shared" ref="J1034:J1097" ca="1" si="151">IF(ISERROR(IF(I1034="","",I1034*IF(B1034&gt;$D$19,1,$J$709)/C1034)),0,IF(I1034="","",I1034*IF(B1034&gt;$D$19,1,$J$709)/C1034))</f>
        <v>0</v>
      </c>
      <c r="K1034" s="5">
        <f t="shared" ref="K1034:K1097" ca="1" si="152">IF(ISERROR(J1034*K$712),0,J1034*K$712)</f>
        <v>0</v>
      </c>
      <c r="L1034" s="61">
        <f t="shared" ref="L1034:L1097" ca="1" si="153">IF(L$709="SELIC - TRIBUTOS",0,IFERROR(K1034*SUMPRODUCT($P$37:$BA$37,$P1034:$BA1034),0))</f>
        <v>0</v>
      </c>
      <c r="M1034" s="64">
        <f t="shared" ref="M1034:M1097" si="154">IFERROR(SUM(P1034:BA1034),0)</f>
        <v>0</v>
      </c>
      <c r="N1034" s="151"/>
      <c r="O1034" s="5">
        <f t="shared" ref="O1034:O1097" ca="1" si="155">IF(ISERROR((K1034+L1034)*N$712),"",(K1034+L1034)*N$712)</f>
        <v>0</v>
      </c>
      <c r="P1034" s="446" t="e">
        <f t="shared" ref="P1034:P1097" si="156">IF(OR($B1034="",MIN(P$38,$D$19)&lt;MAX($P$708*($B1034+IF($R$17="Distrato",$I$38-1,0)),IF(AND($L$711=0,$P$708=0),"",$L$711-1),IF($R$17="Distrato",$E1034,0))),0,YEARFRAC(MAX($P$708*($B1034+IF($R$17="Distrato",$I$38-1,0)),IF(AND($L$711=0,$P$708=0),"",$L$711-1),IF($R$17="Distrato",$E1034,0)),MIN(P$38,$D$19),$P$20))</f>
        <v>#VALUE!</v>
      </c>
      <c r="Q1034" s="446" t="e">
        <f>IF(OR($B1034="",MIN(Q$38,$D$19)&lt;MAX($P$708*($B1034+IF($R$17="Distrato",$I$38-1,0)),IF(AND($L$711=0,$P$708=0),"",$L$711-1),IF($R$17="Distrato",$E1034,0))),0,YEARFRAC(MAX($P$708*($B1034+IF($R$17="Distrato",$I$38-1,0)),IF(AND($L$711=0,$P$708=0),"",$L$711-1),IF($R$17="Distrato",$E1034,0)),MIN(Q$38,$D$19),$P$20))-SUM($P1034:P1034)</f>
        <v>#VALUE!</v>
      </c>
      <c r="R1034" s="446" t="e">
        <f>IF(OR($B1034="",MIN(R$38,$D$19)&lt;MAX($P$708*($B1034+IF($R$17="Distrato",$I$38-1,0)),IF(AND($L$711=0,$P$708=0),"",$L$711-1),IF($R$17="Distrato",$E1034,0))),0,YEARFRAC(MAX($P$708*($B1034+IF($R$17="Distrato",$I$38-1,0)),IF(AND($L$711=0,$P$708=0),"",$L$711-1),IF($R$17="Distrato",$E1034,0)),MIN(R$38,$D$19),$P$20))-SUM($P1034:Q1034)</f>
        <v>#VALUE!</v>
      </c>
      <c r="S1034" s="446" t="e">
        <f>IF(OR($B1034="",MIN(S$38,$D$19)&lt;MAX($P$708*($B1034+IF($R$17="Distrato",$I$38-1,0)),IF(AND($L$711=0,$P$708=0),"",$L$711-1),IF($R$17="Distrato",$E1034,0))),0,YEARFRAC(MAX($P$708*($B1034+IF($R$17="Distrato",$I$38-1,0)),IF(AND($L$711=0,$P$708=0),"",$L$711-1),IF($R$17="Distrato",$E1034,0)),MIN(S$38,$D$19),$P$20))-SUM($P1034:R1034)</f>
        <v>#VALUE!</v>
      </c>
      <c r="T1034" s="446" t="e">
        <f>IF(OR($B1034="",MIN(T$38,$D$19)&lt;MAX($P$708*($B1034+IF($R$17="Distrato",$I$38-1,0)),IF(AND($L$711=0,$P$708=0),"",$L$711-1),IF($R$17="Distrato",$E1034,0))),0,YEARFRAC(MAX($P$708*($B1034+IF($R$17="Distrato",$I$38-1,0)),IF(AND($L$711=0,$P$708=0),"",$L$711-1),IF($R$17="Distrato",$E1034,0)),MIN(T$38,$D$19),$P$20))-SUM($P1034:S1034)</f>
        <v>#VALUE!</v>
      </c>
      <c r="U1034" s="446" t="e">
        <f>IF(OR($B1034="",MIN(U$38,$D$19)&lt;MAX($P$708*($B1034+IF($R$17="Distrato",$I$38-1,0)),IF(AND($L$711=0,$P$708=0),"",$L$711-1),IF($R$17="Distrato",$E1034,0))),0,YEARFRAC(MAX($P$708*($B1034+IF($R$17="Distrato",$I$38-1,0)),IF(AND($L$711=0,$P$708=0),"",$L$711-1),IF($R$17="Distrato",$E1034,0)),MIN(U$38,$D$19),$P$20))-SUM($P1034:T1034)</f>
        <v>#VALUE!</v>
      </c>
      <c r="V1034" s="446" t="e">
        <f>IF(OR($B1034="",MIN(V$38,$D$19)&lt;MAX($P$708*($B1034+IF($R$17="Distrato",$I$38-1,0)),IF(AND($L$711=0,$P$708=0),"",$L$711-1),IF($R$17="Distrato",$E1034,0))),0,YEARFRAC(MAX($P$708*($B1034+IF($R$17="Distrato",$I$38-1,0)),IF(AND($L$711=0,$P$708=0),"",$L$711-1),IF($R$17="Distrato",$E1034,0)),MIN(V$38,$D$19),$P$20))-SUM($P1034:U1034)</f>
        <v>#VALUE!</v>
      </c>
      <c r="W1034" s="446" t="e">
        <f>IF(OR($B1034="",MIN(W$38,$D$19)&lt;MAX($P$708*($B1034+IF($R$17="Distrato",$I$38-1,0)),IF(AND($L$711=0,$P$708=0),"",$L$711-1),IF($R$17="Distrato",$E1034,0))),0,YEARFRAC(MAX($P$708*($B1034+IF($R$17="Distrato",$I$38-1,0)),IF(AND($L$711=0,$P$708=0),"",$L$711-1),IF($R$17="Distrato",$E1034,0)),MIN(W$38,$D$19),$P$20))-SUM($P1034:V1034)</f>
        <v>#VALUE!</v>
      </c>
      <c r="X1034" s="446" t="e">
        <f>IF(OR($B1034="",MIN(X$38,$D$19)&lt;MAX($P$708*($B1034+IF($R$17="Distrato",$I$38-1,0)),IF(AND($L$711=0,$P$708=0),"",$L$711-1),IF($R$17="Distrato",$E1034,0))),0,YEARFRAC(MAX($P$708*($B1034+IF($R$17="Distrato",$I$38-1,0)),IF(AND($L$711=0,$P$708=0),"",$L$711-1),IF($R$17="Distrato",$E1034,0)),MIN(X$38,$D$19),$P$20))-SUM($P1034:W1034)</f>
        <v>#VALUE!</v>
      </c>
      <c r="Y1034" s="446" t="e">
        <f>IF(OR($B1034="",MIN(Y$38,$D$19)&lt;MAX($P$708*($B1034+IF($R$17="Distrato",$I$38-1,0)),IF(AND($L$711=0,$P$708=0),"",$L$711-1),IF($R$17="Distrato",$E1034,0))),0,YEARFRAC(MAX($P$708*($B1034+IF($R$17="Distrato",$I$38-1,0)),IF(AND($L$711=0,$P$708=0),"",$L$711-1),IF($R$17="Distrato",$E1034,0)),MIN(Y$38,$D$19),$P$20))-SUM($P1034:X1034)</f>
        <v>#VALUE!</v>
      </c>
      <c r="Z1034" s="446" t="e">
        <f>IF(OR($B1034="",MIN(Z$38,$D$19)&lt;MAX($P$708*($B1034+IF($R$17="Distrato",$I$38-1,0)),IF(AND($L$711=0,$P$708=0),"",$L$711-1),IF($R$17="Distrato",$E1034,0))),0,YEARFRAC(MAX($P$708*($B1034+IF($R$17="Distrato",$I$38-1,0)),IF(AND($L$711=0,$P$708=0),"",$L$711-1),IF($R$17="Distrato",$E1034,0)),MIN(Z$38,$D$19),$P$20))-SUM($P1034:Y1034)</f>
        <v>#VALUE!</v>
      </c>
      <c r="AA1034" s="446" t="e">
        <f>IF(OR($B1034="",MIN(AA$38,$D$19)&lt;MAX($P$708*($B1034+IF($R$17="Distrato",$I$38-1,0)),IF(AND($L$711=0,$P$708=0),"",$L$711-1),IF($R$17="Distrato",$E1034,0))),0,YEARFRAC(MAX($P$708*($B1034+IF($R$17="Distrato",$I$38-1,0)),IF(AND($L$711=0,$P$708=0),"",$L$711-1),IF($R$17="Distrato",$E1034,0)),MIN(AA$38,$D$19),$P$20))-SUM($P1034:Z1034)</f>
        <v>#VALUE!</v>
      </c>
      <c r="AB1034" s="446" t="e">
        <f>IF(OR($B1034="",MIN(AB$38,$D$19)&lt;MAX($P$708*($B1034+IF($R$17="Distrato",$I$38-1,0)),IF(AND($L$711=0,$P$708=0),"",$L$711-1),IF($R$17="Distrato",$E1034,0))),0,YEARFRAC(MAX($P$708*($B1034+IF($R$17="Distrato",$I$38-1,0)),IF(AND($L$711=0,$P$708=0),"",$L$711-1),IF($R$17="Distrato",$E1034,0)),MIN(AB$38,$D$19),$P$20))-SUM($P1034:AA1034)</f>
        <v>#VALUE!</v>
      </c>
      <c r="AC1034" s="446" t="e">
        <f>IF(OR($B1034="",MIN(AC$38,$D$19)&lt;MAX($P$708*($B1034+IF($R$17="Distrato",$I$38-1,0)),IF(AND($L$711=0,$P$708=0),"",$L$711-1),IF($R$17="Distrato",$E1034,0))),0,YEARFRAC(MAX($P$708*($B1034+IF($R$17="Distrato",$I$38-1,0)),IF(AND($L$711=0,$P$708=0),"",$L$711-1),IF($R$17="Distrato",$E1034,0)),MIN(AC$38,$D$19),$P$20))-SUM($P1034:AB1034)</f>
        <v>#VALUE!</v>
      </c>
      <c r="AD1034" s="446" t="e">
        <f>IF(OR($B1034="",MIN(AD$38,$D$19)&lt;MAX($P$708*($B1034+IF($R$17="Distrato",$I$38-1,0)),IF(AND($L$711=0,$P$708=0),"",$L$711-1),IF($R$17="Distrato",$E1034,0))),0,YEARFRAC(MAX($P$708*($B1034+IF($R$17="Distrato",$I$38-1,0)),IF(AND($L$711=0,$P$708=0),"",$L$711-1),IF($R$17="Distrato",$E1034,0)),MIN(AD$38,$D$19),$P$20))-SUM($P1034:AC1034)</f>
        <v>#VALUE!</v>
      </c>
      <c r="AE1034" s="446" t="e">
        <f>IF(OR($B1034="",MIN(AE$38,$D$19)&lt;MAX($P$708*($B1034+IF($R$17="Distrato",$I$38-1,0)),IF(AND($L$711=0,$P$708=0),"",$L$711-1),IF($R$17="Distrato",$E1034,0))),0,YEARFRAC(MAX($P$708*($B1034+IF($R$17="Distrato",$I$38-1,0)),IF(AND($L$711=0,$P$708=0),"",$L$711-1),IF($R$17="Distrato",$E1034,0)),MIN(AE$38,$D$19),$P$20))-SUM($P1034:AD1034)</f>
        <v>#VALUE!</v>
      </c>
      <c r="AF1034" s="446" t="e">
        <f>IF(OR($B1034="",MIN(AF$38,$D$19)&lt;MAX($P$708*($B1034+IF($R$17="Distrato",$I$38-1,0)),IF(AND($L$711=0,$P$708=0),"",$L$711-1),IF($R$17="Distrato",$E1034,0))),0,YEARFRAC(MAX($P$708*($B1034+IF($R$17="Distrato",$I$38-1,0)),IF(AND($L$711=0,$P$708=0),"",$L$711-1),IF($R$17="Distrato",$E1034,0)),MIN(AF$38,$D$19),$P$20))-SUM($P1034:AE1034)</f>
        <v>#VALUE!</v>
      </c>
      <c r="AG1034" s="446" t="e">
        <f>IF(OR($B1034="",MIN(AG$38,$D$19)&lt;MAX($P$708*($B1034+IF($R$17="Distrato",$I$38-1,0)),IF(AND($L$711=0,$P$708=0),"",$L$711-1),IF($R$17="Distrato",$E1034,0))),0,YEARFRAC(MAX($P$708*($B1034+IF($R$17="Distrato",$I$38-1,0)),IF(AND($L$711=0,$P$708=0),"",$L$711-1),IF($R$17="Distrato",$E1034,0)),MIN(AG$38,$D$19),$P$20))-SUM($P1034:AF1034)</f>
        <v>#VALUE!</v>
      </c>
      <c r="AH1034" s="446" t="e">
        <f>IF(OR($B1034="",MIN(AH$38,$D$19)&lt;MAX($P$708*($B1034+IF($R$17="Distrato",$I$38-1,0)),IF(AND($L$711=0,$P$708=0),"",$L$711-1),IF($R$17="Distrato",$E1034,0))),0,YEARFRAC(MAX($P$708*($B1034+IF($R$17="Distrato",$I$38-1,0)),IF(AND($L$711=0,$P$708=0),"",$L$711-1),IF($R$17="Distrato",$E1034,0)),MIN(AH$38,$D$19),$P$20))-SUM($P1034:AG1034)</f>
        <v>#VALUE!</v>
      </c>
      <c r="AI1034" s="446" t="e">
        <f>IF(OR($B1034="",MIN(AI$38,$D$19)&lt;MAX($P$708*($B1034+IF($R$17="Distrato",$I$38-1,0)),IF(AND($L$711=0,$P$708=0),"",$L$711-1),IF($R$17="Distrato",$E1034,0))),0,YEARFRAC(MAX($P$708*($B1034+IF($R$17="Distrato",$I$38-1,0)),IF(AND($L$711=0,$P$708=0),"",$L$711-1),IF($R$17="Distrato",$E1034,0)),MIN(AI$38,$D$19),$P$20))-SUM($P1034:AH1034)</f>
        <v>#VALUE!</v>
      </c>
      <c r="AJ1034" s="446" t="e">
        <f>IF(OR($B1034="",MIN(AJ$38,$D$19)&lt;MAX($P$708*($B1034+IF($R$17="Distrato",$I$38-1,0)),IF(AND($L$711=0,$P$708=0),"",$L$711-1),IF($R$17="Distrato",$E1034,0))),0,YEARFRAC(MAX($P$708*($B1034+IF($R$17="Distrato",$I$38-1,0)),IF(AND($L$711=0,$P$708=0),"",$L$711-1),IF($R$17="Distrato",$E1034,0)),MIN(AJ$38,$D$19),$P$20))-SUM($P1034:AI1034)</f>
        <v>#VALUE!</v>
      </c>
      <c r="AK1034" s="446" t="e">
        <f>IF(OR($B1034="",MIN(AK$38,$D$19)&lt;MAX($P$708*($B1034+IF($R$17="Distrato",$I$38-1,0)),IF(AND($L$711=0,$P$708=0),"",$L$711-1),IF($R$17="Distrato",$E1034,0))),0,YEARFRAC(MAX($P$708*($B1034+IF($R$17="Distrato",$I$38-1,0)),IF(AND($L$711=0,$P$708=0),"",$L$711-1),IF($R$17="Distrato",$E1034,0)),MIN(AK$38,$D$19),$P$20))-SUM($P1034:AJ1034)</f>
        <v>#VALUE!</v>
      </c>
      <c r="AL1034" s="446" t="e">
        <f>IF(OR($B1034="",MIN(AL$38,$D$19)&lt;MAX($P$708*($B1034+IF($R$17="Distrato",$I$38-1,0)),IF(AND($L$711=0,$P$708=0),"",$L$711-1),IF($R$17="Distrato",$E1034,0))),0,YEARFRAC(MAX($P$708*($B1034+IF($R$17="Distrato",$I$38-1,0)),IF(AND($L$711=0,$P$708=0),"",$L$711-1),IF($R$17="Distrato",$E1034,0)),MIN(AL$38,$D$19),$P$20))-SUM($P1034:AK1034)</f>
        <v>#VALUE!</v>
      </c>
      <c r="AM1034" s="446" t="e">
        <f>IF(OR($B1034="",MIN(AM$38,$D$19)&lt;MAX($P$708*($B1034+IF($R$17="Distrato",$I$38-1,0)),IF(AND($L$711=0,$P$708=0),"",$L$711-1),IF($R$17="Distrato",$E1034,0))),0,YEARFRAC(MAX($P$708*($B1034+IF($R$17="Distrato",$I$38-1,0)),IF(AND($L$711=0,$P$708=0),"",$L$711-1),IF($R$17="Distrato",$E1034,0)),MIN(AM$38,$D$19),$P$20))-SUM($P1034:AL1034)</f>
        <v>#VALUE!</v>
      </c>
      <c r="AN1034" s="446" t="e">
        <f>IF(OR($B1034="",MIN(AN$38,$D$19)&lt;MAX($P$708*($B1034+IF($R$17="Distrato",$I$38-1,0)),IF(AND($L$711=0,$P$708=0),"",$L$711-1),IF($R$17="Distrato",$E1034,0))),0,YEARFRAC(MAX($P$708*($B1034+IF($R$17="Distrato",$I$38-1,0)),IF(AND($L$711=0,$P$708=0),"",$L$711-1),IF($R$17="Distrato",$E1034,0)),MIN(AN$38,$D$19),$P$20))-SUM($P1034:AM1034)</f>
        <v>#VALUE!</v>
      </c>
      <c r="AO1034" s="446" t="e">
        <f>IF(OR($B1034="",MIN(AO$38,$D$19)&lt;MAX($P$708*($B1034+IF($R$17="Distrato",$I$38-1,0)),IF(AND($L$711=0,$P$708=0),"",$L$711-1),IF($R$17="Distrato",$E1034,0))),0,YEARFRAC(MAX($P$708*($B1034+IF($R$17="Distrato",$I$38-1,0)),IF(AND($L$711=0,$P$708=0),"",$L$711-1),IF($R$17="Distrato",$E1034,0)),MIN(AO$38,$D$19),$P$20))-SUM($P1034:AN1034)</f>
        <v>#VALUE!</v>
      </c>
      <c r="AP1034" s="446" t="e">
        <f>IF(OR($B1034="",MIN(AP$38,$D$19)&lt;MAX($P$708*($B1034+IF($R$17="Distrato",$I$38-1,0)),IF(AND($L$711=0,$P$708=0),"",$L$711-1),IF($R$17="Distrato",$E1034,0))),0,YEARFRAC(MAX($P$708*($B1034+IF($R$17="Distrato",$I$38-1,0)),IF(AND($L$711=0,$P$708=0),"",$L$711-1),IF($R$17="Distrato",$E1034,0)),MIN(AP$38,$D$19),$P$20))-SUM($P1034:AO1034)</f>
        <v>#VALUE!</v>
      </c>
      <c r="AQ1034" s="446" t="e">
        <f>IF(OR($B1034="",MIN(AQ$38,$D$19)&lt;MAX($P$708*($B1034+IF($R$17="Distrato",$I$38-1,0)),IF(AND($L$711=0,$P$708=0),"",$L$711-1),IF($R$17="Distrato",$E1034,0))),0,YEARFRAC(MAX($P$708*($B1034+IF($R$17="Distrato",$I$38-1,0)),IF(AND($L$711=0,$P$708=0),"",$L$711-1),IF($R$17="Distrato",$E1034,0)),MIN(AQ$38,$D$19),$P$20))-SUM($P1034:AP1034)</f>
        <v>#VALUE!</v>
      </c>
      <c r="AR1034" s="446" t="e">
        <f>IF(OR($B1034="",MIN(AR$38,$D$19)&lt;MAX($P$708*($B1034+IF($R$17="Distrato",$I$38-1,0)),IF(AND($L$711=0,$P$708=0),"",$L$711-1),IF($R$17="Distrato",$E1034,0))),0,YEARFRAC(MAX($P$708*($B1034+IF($R$17="Distrato",$I$38-1,0)),IF(AND($L$711=0,$P$708=0),"",$L$711-1),IF($R$17="Distrato",$E1034,0)),MIN(AR$38,$D$19),$P$20))-SUM($P1034:AQ1034)</f>
        <v>#VALUE!</v>
      </c>
      <c r="AS1034" s="446" t="e">
        <f>IF(OR($B1034="",MIN(AS$38,$D$19)&lt;MAX($P$708*($B1034+IF($R$17="Distrato",$I$38-1,0)),IF(AND($L$711=0,$P$708=0),"",$L$711-1),IF($R$17="Distrato",$E1034,0))),0,YEARFRAC(MAX($P$708*($B1034+IF($R$17="Distrato",$I$38-1,0)),IF(AND($L$711=0,$P$708=0),"",$L$711-1),IF($R$17="Distrato",$E1034,0)),MIN(AS$38,$D$19),$P$20))-SUM($P1034:AR1034)</f>
        <v>#VALUE!</v>
      </c>
      <c r="AT1034" s="446" t="e">
        <f>IF(OR($B1034="",MIN(AT$38,$D$19)&lt;MAX($P$708*($B1034+IF($R$17="Distrato",$I$38-1,0)),IF(AND($L$711=0,$P$708=0),"",$L$711-1),IF($R$17="Distrato",$E1034,0))),0,YEARFRAC(MAX($P$708*($B1034+IF($R$17="Distrato",$I$38-1,0)),IF(AND($L$711=0,$P$708=0),"",$L$711-1),IF($R$17="Distrato",$E1034,0)),MIN(AT$38,$D$19),$P$20))-SUM($P1034:AS1034)</f>
        <v>#VALUE!</v>
      </c>
      <c r="AU1034" s="446" t="e">
        <f>IF(OR($B1034="",MIN(AU$38,$D$19)&lt;MAX($P$708*($B1034+IF($R$17="Distrato",$I$38-1,0)),IF(AND($L$711=0,$P$708=0),"",$L$711-1),IF($R$17="Distrato",$E1034,0))),0,YEARFRAC(MAX($P$708*($B1034+IF($R$17="Distrato",$I$38-1,0)),IF(AND($L$711=0,$P$708=0),"",$L$711-1),IF($R$17="Distrato",$E1034,0)),MIN(AU$38,$D$19),$P$20))-SUM($P1034:AT1034)</f>
        <v>#VALUE!</v>
      </c>
      <c r="AV1034" s="446" t="e">
        <f>IF(OR($B1034="",MIN(AV$38,$D$19)&lt;MAX($P$708*($B1034+IF($R$17="Distrato",$I$38-1,0)),IF(AND($L$711=0,$P$708=0),"",$L$711-1),IF($R$17="Distrato",$E1034,0))),0,YEARFRAC(MAX($P$708*($B1034+IF($R$17="Distrato",$I$38-1,0)),IF(AND($L$711=0,$P$708=0),"",$L$711-1),IF($R$17="Distrato",$E1034,0)),MIN(AV$38,$D$19),$P$20))-SUM($P1034:AU1034)</f>
        <v>#VALUE!</v>
      </c>
      <c r="AW1034" s="446" t="e">
        <f>IF(OR($B1034="",MIN(AW$38,$D$19)&lt;MAX($P$708*($B1034+IF($R$17="Distrato",$I$38-1,0)),IF(AND($L$711=0,$P$708=0),"",$L$711-1),IF($R$17="Distrato",$E1034,0))),0,YEARFRAC(MAX($P$708*($B1034+IF($R$17="Distrato",$I$38-1,0)),IF(AND($L$711=0,$P$708=0),"",$L$711-1),IF($R$17="Distrato",$E1034,0)),MIN(AW$38,$D$19),$P$20))-SUM($P1034:AV1034)</f>
        <v>#VALUE!</v>
      </c>
      <c r="AX1034" s="446" t="e">
        <f>IF(OR($B1034="",MIN(AX$38,$D$19)&lt;MAX($P$708*($B1034+IF($R$17="Distrato",$I$38-1,0)),IF(AND($L$711=0,$P$708=0),"",$L$711-1),IF($R$17="Distrato",$E1034,0))),0,YEARFRAC(MAX($P$708*($B1034+IF($R$17="Distrato",$I$38-1,0)),IF(AND($L$711=0,$P$708=0),"",$L$711-1),IF($R$17="Distrato",$E1034,0)),MIN(AX$38,$D$19),$P$20))-SUM($P1034:AW1034)</f>
        <v>#VALUE!</v>
      </c>
      <c r="AY1034" s="446" t="e">
        <f>IF(OR($B1034="",MIN(AY$38,$D$19)&lt;MAX($P$708*($B1034+IF($R$17="Distrato",$I$38-1,0)),IF(AND($L$711=0,$P$708=0),"",$L$711-1),IF($R$17="Distrato",$E1034,0))),0,YEARFRAC(MAX($P$708*($B1034+IF($R$17="Distrato",$I$38-1,0)),IF(AND($L$711=0,$P$708=0),"",$L$711-1),IF($R$17="Distrato",$E1034,0)),MIN(AY$38,$D$19),$P$20))-SUM($P1034:AX1034)</f>
        <v>#VALUE!</v>
      </c>
      <c r="AZ1034" s="446" t="e">
        <f>IF(OR($B1034="",MIN(AZ$38,$D$19)&lt;MAX($P$708*($B1034+IF($R$17="Distrato",$I$38-1,0)),IF(AND($L$711=0,$P$708=0),"",$L$711-1),IF($R$17="Distrato",$E1034,0))),0,YEARFRAC(MAX($P$708*($B1034+IF($R$17="Distrato",$I$38-1,0)),IF(AND($L$711=0,$P$708=0),"",$L$711-1),IF($R$17="Distrato",$E1034,0)),MIN(AZ$38,$D$19),$P$20))-SUM($P1034:AY1034)</f>
        <v>#VALUE!</v>
      </c>
      <c r="BA1034" s="446" t="e">
        <f>IF(OR($B1034="",MIN(BA$38,$D$19)&lt;MAX($P$708*($B1034+IF($R$17="Distrato",$I$38-1,0)),IF(AND($L$711=0,$P$708=0),"",$L$711-1),IF($R$17="Distrato",$E1034,0))),0,YEARFRAC(MAX($P$708*($B1034+IF($R$17="Distrato",$I$38-1,0)),IF(AND($L$711=0,$P$708=0),"",$L$711-1),IF($R$17="Distrato",$E1034,0)),MIN(BA$38,$D$19),$P$20))-SUM($P1034:AZ1034)</f>
        <v>#VALUE!</v>
      </c>
      <c r="BB1034" s="447"/>
    </row>
    <row r="1035" spans="1:54" s="446" customFormat="1" ht="11.25" hidden="1" customHeight="1" x14ac:dyDescent="0.2">
      <c r="A1035" s="235"/>
      <c r="B1035" s="236"/>
      <c r="C1035" s="29" t="str">
        <f>IF(B1035="","",IF($L$709=$BL$25,VLOOKUP(DATE(YEAR($D$19),MONTH($D$19)-1,1),ÍNDICES!$A:$DE,HLOOKUP($BL$25,ÍNDICES!$B$3:$T$4,2)+11)-VLOOKUP(B1035,ÍNDICES!$A:$DE,HLOOKUP($BL$25,ÍNDICES!$B$3:$T$4,2)+11)+1%,IF(C$712=$W$26,$J$35,IF(ISERROR(IF(B1035&gt;$D$19,1,VLOOKUP(DATE(YEAR(B1035),MONTH(B1035)+IF($C$709=$S$23,1,0),1),ÍNDICES!$A:$DE,$Z$709+1))),"",IF(B1035&gt;$D$19,1,VLOOKUP(DATE(YEAR(B1035),MONTH(B1035)+IF($C$709=$S$23,1,0),1),ÍNDICES!$A:$DE,$Z$709+1))))))</f>
        <v/>
      </c>
      <c r="D1035" s="155"/>
      <c r="E1035" s="88"/>
      <c r="F1035" s="88"/>
      <c r="G1035" s="88"/>
      <c r="H1035" s="118"/>
      <c r="I1035" s="182">
        <f t="shared" si="150"/>
        <v>0</v>
      </c>
      <c r="J1035" s="20">
        <f t="shared" ca="1" si="151"/>
        <v>0</v>
      </c>
      <c r="K1035" s="5">
        <f t="shared" ca="1" si="152"/>
        <v>0</v>
      </c>
      <c r="L1035" s="61">
        <f t="shared" ca="1" si="153"/>
        <v>0</v>
      </c>
      <c r="M1035" s="64">
        <f t="shared" si="154"/>
        <v>0</v>
      </c>
      <c r="N1035" s="151"/>
      <c r="O1035" s="5">
        <f t="shared" ca="1" si="155"/>
        <v>0</v>
      </c>
      <c r="P1035" s="446" t="e">
        <f t="shared" si="156"/>
        <v>#VALUE!</v>
      </c>
      <c r="Q1035" s="446" t="e">
        <f>IF(OR($B1035="",MIN(Q$38,$D$19)&lt;MAX($P$708*($B1035+IF($R$17="Distrato",$I$38-1,0)),IF(AND($L$711=0,$P$708=0),"",$L$711-1),IF($R$17="Distrato",$E1035,0))),0,YEARFRAC(MAX($P$708*($B1035+IF($R$17="Distrato",$I$38-1,0)),IF(AND($L$711=0,$P$708=0),"",$L$711-1),IF($R$17="Distrato",$E1035,0)),MIN(Q$38,$D$19),$P$20))-SUM($P1035:P1035)</f>
        <v>#VALUE!</v>
      </c>
      <c r="R1035" s="446" t="e">
        <f>IF(OR($B1035="",MIN(R$38,$D$19)&lt;MAX($P$708*($B1035+IF($R$17="Distrato",$I$38-1,0)),IF(AND($L$711=0,$P$708=0),"",$L$711-1),IF($R$17="Distrato",$E1035,0))),0,YEARFRAC(MAX($P$708*($B1035+IF($R$17="Distrato",$I$38-1,0)),IF(AND($L$711=0,$P$708=0),"",$L$711-1),IF($R$17="Distrato",$E1035,0)),MIN(R$38,$D$19),$P$20))-SUM($P1035:Q1035)</f>
        <v>#VALUE!</v>
      </c>
      <c r="S1035" s="446" t="e">
        <f>IF(OR($B1035="",MIN(S$38,$D$19)&lt;MAX($P$708*($B1035+IF($R$17="Distrato",$I$38-1,0)),IF(AND($L$711=0,$P$708=0),"",$L$711-1),IF($R$17="Distrato",$E1035,0))),0,YEARFRAC(MAX($P$708*($B1035+IF($R$17="Distrato",$I$38-1,0)),IF(AND($L$711=0,$P$708=0),"",$L$711-1),IF($R$17="Distrato",$E1035,0)),MIN(S$38,$D$19),$P$20))-SUM($P1035:R1035)</f>
        <v>#VALUE!</v>
      </c>
      <c r="T1035" s="446" t="e">
        <f>IF(OR($B1035="",MIN(T$38,$D$19)&lt;MAX($P$708*($B1035+IF($R$17="Distrato",$I$38-1,0)),IF(AND($L$711=0,$P$708=0),"",$L$711-1),IF($R$17="Distrato",$E1035,0))),0,YEARFRAC(MAX($P$708*($B1035+IF($R$17="Distrato",$I$38-1,0)),IF(AND($L$711=0,$P$708=0),"",$L$711-1),IF($R$17="Distrato",$E1035,0)),MIN(T$38,$D$19),$P$20))-SUM($P1035:S1035)</f>
        <v>#VALUE!</v>
      </c>
      <c r="U1035" s="446" t="e">
        <f>IF(OR($B1035="",MIN(U$38,$D$19)&lt;MAX($P$708*($B1035+IF($R$17="Distrato",$I$38-1,0)),IF(AND($L$711=0,$P$708=0),"",$L$711-1),IF($R$17="Distrato",$E1035,0))),0,YEARFRAC(MAX($P$708*($B1035+IF($R$17="Distrato",$I$38-1,0)),IF(AND($L$711=0,$P$708=0),"",$L$711-1),IF($R$17="Distrato",$E1035,0)),MIN(U$38,$D$19),$P$20))-SUM($P1035:T1035)</f>
        <v>#VALUE!</v>
      </c>
      <c r="V1035" s="446" t="e">
        <f>IF(OR($B1035="",MIN(V$38,$D$19)&lt;MAX($P$708*($B1035+IF($R$17="Distrato",$I$38-1,0)),IF(AND($L$711=0,$P$708=0),"",$L$711-1),IF($R$17="Distrato",$E1035,0))),0,YEARFRAC(MAX($P$708*($B1035+IF($R$17="Distrato",$I$38-1,0)),IF(AND($L$711=0,$P$708=0),"",$L$711-1),IF($R$17="Distrato",$E1035,0)),MIN(V$38,$D$19),$P$20))-SUM($P1035:U1035)</f>
        <v>#VALUE!</v>
      </c>
      <c r="W1035" s="446" t="e">
        <f>IF(OR($B1035="",MIN(W$38,$D$19)&lt;MAX($P$708*($B1035+IF($R$17="Distrato",$I$38-1,0)),IF(AND($L$711=0,$P$708=0),"",$L$711-1),IF($R$17="Distrato",$E1035,0))),0,YEARFRAC(MAX($P$708*($B1035+IF($R$17="Distrato",$I$38-1,0)),IF(AND($L$711=0,$P$708=0),"",$L$711-1),IF($R$17="Distrato",$E1035,0)),MIN(W$38,$D$19),$P$20))-SUM($P1035:V1035)</f>
        <v>#VALUE!</v>
      </c>
      <c r="X1035" s="446" t="e">
        <f>IF(OR($B1035="",MIN(X$38,$D$19)&lt;MAX($P$708*($B1035+IF($R$17="Distrato",$I$38-1,0)),IF(AND($L$711=0,$P$708=0),"",$L$711-1),IF($R$17="Distrato",$E1035,0))),0,YEARFRAC(MAX($P$708*($B1035+IF($R$17="Distrato",$I$38-1,0)),IF(AND($L$711=0,$P$708=0),"",$L$711-1),IF($R$17="Distrato",$E1035,0)),MIN(X$38,$D$19),$P$20))-SUM($P1035:W1035)</f>
        <v>#VALUE!</v>
      </c>
      <c r="Y1035" s="446" t="e">
        <f>IF(OR($B1035="",MIN(Y$38,$D$19)&lt;MAX($P$708*($B1035+IF($R$17="Distrato",$I$38-1,0)),IF(AND($L$711=0,$P$708=0),"",$L$711-1),IF($R$17="Distrato",$E1035,0))),0,YEARFRAC(MAX($P$708*($B1035+IF($R$17="Distrato",$I$38-1,0)),IF(AND($L$711=0,$P$708=0),"",$L$711-1),IF($R$17="Distrato",$E1035,0)),MIN(Y$38,$D$19),$P$20))-SUM($P1035:X1035)</f>
        <v>#VALUE!</v>
      </c>
      <c r="Z1035" s="446" t="e">
        <f>IF(OR($B1035="",MIN(Z$38,$D$19)&lt;MAX($P$708*($B1035+IF($R$17="Distrato",$I$38-1,0)),IF(AND($L$711=0,$P$708=0),"",$L$711-1),IF($R$17="Distrato",$E1035,0))),0,YEARFRAC(MAX($P$708*($B1035+IF($R$17="Distrato",$I$38-1,0)),IF(AND($L$711=0,$P$708=0),"",$L$711-1),IF($R$17="Distrato",$E1035,0)),MIN(Z$38,$D$19),$P$20))-SUM($P1035:Y1035)</f>
        <v>#VALUE!</v>
      </c>
      <c r="AA1035" s="446" t="e">
        <f>IF(OR($B1035="",MIN(AA$38,$D$19)&lt;MAX($P$708*($B1035+IF($R$17="Distrato",$I$38-1,0)),IF(AND($L$711=0,$P$708=0),"",$L$711-1),IF($R$17="Distrato",$E1035,0))),0,YEARFRAC(MAX($P$708*($B1035+IF($R$17="Distrato",$I$38-1,0)),IF(AND($L$711=0,$P$708=0),"",$L$711-1),IF($R$17="Distrato",$E1035,0)),MIN(AA$38,$D$19),$P$20))-SUM($P1035:Z1035)</f>
        <v>#VALUE!</v>
      </c>
      <c r="AB1035" s="446" t="e">
        <f>IF(OR($B1035="",MIN(AB$38,$D$19)&lt;MAX($P$708*($B1035+IF($R$17="Distrato",$I$38-1,0)),IF(AND($L$711=0,$P$708=0),"",$L$711-1),IF($R$17="Distrato",$E1035,0))),0,YEARFRAC(MAX($P$708*($B1035+IF($R$17="Distrato",$I$38-1,0)),IF(AND($L$711=0,$P$708=0),"",$L$711-1),IF($R$17="Distrato",$E1035,0)),MIN(AB$38,$D$19),$P$20))-SUM($P1035:AA1035)</f>
        <v>#VALUE!</v>
      </c>
      <c r="AC1035" s="446" t="e">
        <f>IF(OR($B1035="",MIN(AC$38,$D$19)&lt;MAX($P$708*($B1035+IF($R$17="Distrato",$I$38-1,0)),IF(AND($L$711=0,$P$708=0),"",$L$711-1),IF($R$17="Distrato",$E1035,0))),0,YEARFRAC(MAX($P$708*($B1035+IF($R$17="Distrato",$I$38-1,0)),IF(AND($L$711=0,$P$708=0),"",$L$711-1),IF($R$17="Distrato",$E1035,0)),MIN(AC$38,$D$19),$P$20))-SUM($P1035:AB1035)</f>
        <v>#VALUE!</v>
      </c>
      <c r="AD1035" s="446" t="e">
        <f>IF(OR($B1035="",MIN(AD$38,$D$19)&lt;MAX($P$708*($B1035+IF($R$17="Distrato",$I$38-1,0)),IF(AND($L$711=0,$P$708=0),"",$L$711-1),IF($R$17="Distrato",$E1035,0))),0,YEARFRAC(MAX($P$708*($B1035+IF($R$17="Distrato",$I$38-1,0)),IF(AND($L$711=0,$P$708=0),"",$L$711-1),IF($R$17="Distrato",$E1035,0)),MIN(AD$38,$D$19),$P$20))-SUM($P1035:AC1035)</f>
        <v>#VALUE!</v>
      </c>
      <c r="AE1035" s="446" t="e">
        <f>IF(OR($B1035="",MIN(AE$38,$D$19)&lt;MAX($P$708*($B1035+IF($R$17="Distrato",$I$38-1,0)),IF(AND($L$711=0,$P$708=0),"",$L$711-1),IF($R$17="Distrato",$E1035,0))),0,YEARFRAC(MAX($P$708*($B1035+IF($R$17="Distrato",$I$38-1,0)),IF(AND($L$711=0,$P$708=0),"",$L$711-1),IF($R$17="Distrato",$E1035,0)),MIN(AE$38,$D$19),$P$20))-SUM($P1035:AD1035)</f>
        <v>#VALUE!</v>
      </c>
      <c r="AF1035" s="446" t="e">
        <f>IF(OR($B1035="",MIN(AF$38,$D$19)&lt;MAX($P$708*($B1035+IF($R$17="Distrato",$I$38-1,0)),IF(AND($L$711=0,$P$708=0),"",$L$711-1),IF($R$17="Distrato",$E1035,0))),0,YEARFRAC(MAX($P$708*($B1035+IF($R$17="Distrato",$I$38-1,0)),IF(AND($L$711=0,$P$708=0),"",$L$711-1),IF($R$17="Distrato",$E1035,0)),MIN(AF$38,$D$19),$P$20))-SUM($P1035:AE1035)</f>
        <v>#VALUE!</v>
      </c>
      <c r="AG1035" s="446" t="e">
        <f>IF(OR($B1035="",MIN(AG$38,$D$19)&lt;MAX($P$708*($B1035+IF($R$17="Distrato",$I$38-1,0)),IF(AND($L$711=0,$P$708=0),"",$L$711-1),IF($R$17="Distrato",$E1035,0))),0,YEARFRAC(MAX($P$708*($B1035+IF($R$17="Distrato",$I$38-1,0)),IF(AND($L$711=0,$P$708=0),"",$L$711-1),IF($R$17="Distrato",$E1035,0)),MIN(AG$38,$D$19),$P$20))-SUM($P1035:AF1035)</f>
        <v>#VALUE!</v>
      </c>
      <c r="AH1035" s="446" t="e">
        <f>IF(OR($B1035="",MIN(AH$38,$D$19)&lt;MAX($P$708*($B1035+IF($R$17="Distrato",$I$38-1,0)),IF(AND($L$711=0,$P$708=0),"",$L$711-1),IF($R$17="Distrato",$E1035,0))),0,YEARFRAC(MAX($P$708*($B1035+IF($R$17="Distrato",$I$38-1,0)),IF(AND($L$711=0,$P$708=0),"",$L$711-1),IF($R$17="Distrato",$E1035,0)),MIN(AH$38,$D$19),$P$20))-SUM($P1035:AG1035)</f>
        <v>#VALUE!</v>
      </c>
      <c r="AI1035" s="446" t="e">
        <f>IF(OR($B1035="",MIN(AI$38,$D$19)&lt;MAX($P$708*($B1035+IF($R$17="Distrato",$I$38-1,0)),IF(AND($L$711=0,$P$708=0),"",$L$711-1),IF($R$17="Distrato",$E1035,0))),0,YEARFRAC(MAX($P$708*($B1035+IF($R$17="Distrato",$I$38-1,0)),IF(AND($L$711=0,$P$708=0),"",$L$711-1),IF($R$17="Distrato",$E1035,0)),MIN(AI$38,$D$19),$P$20))-SUM($P1035:AH1035)</f>
        <v>#VALUE!</v>
      </c>
      <c r="AJ1035" s="446" t="e">
        <f>IF(OR($B1035="",MIN(AJ$38,$D$19)&lt;MAX($P$708*($B1035+IF($R$17="Distrato",$I$38-1,0)),IF(AND($L$711=0,$P$708=0),"",$L$711-1),IF($R$17="Distrato",$E1035,0))),0,YEARFRAC(MAX($P$708*($B1035+IF($R$17="Distrato",$I$38-1,0)),IF(AND($L$711=0,$P$708=0),"",$L$711-1),IF($R$17="Distrato",$E1035,0)),MIN(AJ$38,$D$19),$P$20))-SUM($P1035:AI1035)</f>
        <v>#VALUE!</v>
      </c>
      <c r="AK1035" s="446" t="e">
        <f>IF(OR($B1035="",MIN(AK$38,$D$19)&lt;MAX($P$708*($B1035+IF($R$17="Distrato",$I$38-1,0)),IF(AND($L$711=0,$P$708=0),"",$L$711-1),IF($R$17="Distrato",$E1035,0))),0,YEARFRAC(MAX($P$708*($B1035+IF($R$17="Distrato",$I$38-1,0)),IF(AND($L$711=0,$P$708=0),"",$L$711-1),IF($R$17="Distrato",$E1035,0)),MIN(AK$38,$D$19),$P$20))-SUM($P1035:AJ1035)</f>
        <v>#VALUE!</v>
      </c>
      <c r="AL1035" s="446" t="e">
        <f>IF(OR($B1035="",MIN(AL$38,$D$19)&lt;MAX($P$708*($B1035+IF($R$17="Distrato",$I$38-1,0)),IF(AND($L$711=0,$P$708=0),"",$L$711-1),IF($R$17="Distrato",$E1035,0))),0,YEARFRAC(MAX($P$708*($B1035+IF($R$17="Distrato",$I$38-1,0)),IF(AND($L$711=0,$P$708=0),"",$L$711-1),IF($R$17="Distrato",$E1035,0)),MIN(AL$38,$D$19),$P$20))-SUM($P1035:AK1035)</f>
        <v>#VALUE!</v>
      </c>
      <c r="AM1035" s="446" t="e">
        <f>IF(OR($B1035="",MIN(AM$38,$D$19)&lt;MAX($P$708*($B1035+IF($R$17="Distrato",$I$38-1,0)),IF(AND($L$711=0,$P$708=0),"",$L$711-1),IF($R$17="Distrato",$E1035,0))),0,YEARFRAC(MAX($P$708*($B1035+IF($R$17="Distrato",$I$38-1,0)),IF(AND($L$711=0,$P$708=0),"",$L$711-1),IF($R$17="Distrato",$E1035,0)),MIN(AM$38,$D$19),$P$20))-SUM($P1035:AL1035)</f>
        <v>#VALUE!</v>
      </c>
      <c r="AN1035" s="446" t="e">
        <f>IF(OR($B1035="",MIN(AN$38,$D$19)&lt;MAX($P$708*($B1035+IF($R$17="Distrato",$I$38-1,0)),IF(AND($L$711=0,$P$708=0),"",$L$711-1),IF($R$17="Distrato",$E1035,0))),0,YEARFRAC(MAX($P$708*($B1035+IF($R$17="Distrato",$I$38-1,0)),IF(AND($L$711=0,$P$708=0),"",$L$711-1),IF($R$17="Distrato",$E1035,0)),MIN(AN$38,$D$19),$P$20))-SUM($P1035:AM1035)</f>
        <v>#VALUE!</v>
      </c>
      <c r="AO1035" s="446" t="e">
        <f>IF(OR($B1035="",MIN(AO$38,$D$19)&lt;MAX($P$708*($B1035+IF($R$17="Distrato",$I$38-1,0)),IF(AND($L$711=0,$P$708=0),"",$L$711-1),IF($R$17="Distrato",$E1035,0))),0,YEARFRAC(MAX($P$708*($B1035+IF($R$17="Distrato",$I$38-1,0)),IF(AND($L$711=0,$P$708=0),"",$L$711-1),IF($R$17="Distrato",$E1035,0)),MIN(AO$38,$D$19),$P$20))-SUM($P1035:AN1035)</f>
        <v>#VALUE!</v>
      </c>
      <c r="AP1035" s="446" t="e">
        <f>IF(OR($B1035="",MIN(AP$38,$D$19)&lt;MAX($P$708*($B1035+IF($R$17="Distrato",$I$38-1,0)),IF(AND($L$711=0,$P$708=0),"",$L$711-1),IF($R$17="Distrato",$E1035,0))),0,YEARFRAC(MAX($P$708*($B1035+IF($R$17="Distrato",$I$38-1,0)),IF(AND($L$711=0,$P$708=0),"",$L$711-1),IF($R$17="Distrato",$E1035,0)),MIN(AP$38,$D$19),$P$20))-SUM($P1035:AO1035)</f>
        <v>#VALUE!</v>
      </c>
      <c r="AQ1035" s="446" t="e">
        <f>IF(OR($B1035="",MIN(AQ$38,$D$19)&lt;MAX($P$708*($B1035+IF($R$17="Distrato",$I$38-1,0)),IF(AND($L$711=0,$P$708=0),"",$L$711-1),IF($R$17="Distrato",$E1035,0))),0,YEARFRAC(MAX($P$708*($B1035+IF($R$17="Distrato",$I$38-1,0)),IF(AND($L$711=0,$P$708=0),"",$L$711-1),IF($R$17="Distrato",$E1035,0)),MIN(AQ$38,$D$19),$P$20))-SUM($P1035:AP1035)</f>
        <v>#VALUE!</v>
      </c>
      <c r="AR1035" s="446" t="e">
        <f>IF(OR($B1035="",MIN(AR$38,$D$19)&lt;MAX($P$708*($B1035+IF($R$17="Distrato",$I$38-1,0)),IF(AND($L$711=0,$P$708=0),"",$L$711-1),IF($R$17="Distrato",$E1035,0))),0,YEARFRAC(MAX($P$708*($B1035+IF($R$17="Distrato",$I$38-1,0)),IF(AND($L$711=0,$P$708=0),"",$L$711-1),IF($R$17="Distrato",$E1035,0)),MIN(AR$38,$D$19),$P$20))-SUM($P1035:AQ1035)</f>
        <v>#VALUE!</v>
      </c>
      <c r="AS1035" s="446" t="e">
        <f>IF(OR($B1035="",MIN(AS$38,$D$19)&lt;MAX($P$708*($B1035+IF($R$17="Distrato",$I$38-1,0)),IF(AND($L$711=0,$P$708=0),"",$L$711-1),IF($R$17="Distrato",$E1035,0))),0,YEARFRAC(MAX($P$708*($B1035+IF($R$17="Distrato",$I$38-1,0)),IF(AND($L$711=0,$P$708=0),"",$L$711-1),IF($R$17="Distrato",$E1035,0)),MIN(AS$38,$D$19),$P$20))-SUM($P1035:AR1035)</f>
        <v>#VALUE!</v>
      </c>
      <c r="AT1035" s="446" t="e">
        <f>IF(OR($B1035="",MIN(AT$38,$D$19)&lt;MAX($P$708*($B1035+IF($R$17="Distrato",$I$38-1,0)),IF(AND($L$711=0,$P$708=0),"",$L$711-1),IF($R$17="Distrato",$E1035,0))),0,YEARFRAC(MAX($P$708*($B1035+IF($R$17="Distrato",$I$38-1,0)),IF(AND($L$711=0,$P$708=0),"",$L$711-1),IF($R$17="Distrato",$E1035,0)),MIN(AT$38,$D$19),$P$20))-SUM($P1035:AS1035)</f>
        <v>#VALUE!</v>
      </c>
      <c r="AU1035" s="446" t="e">
        <f>IF(OR($B1035="",MIN(AU$38,$D$19)&lt;MAX($P$708*($B1035+IF($R$17="Distrato",$I$38-1,0)),IF(AND($L$711=0,$P$708=0),"",$L$711-1),IF($R$17="Distrato",$E1035,0))),0,YEARFRAC(MAX($P$708*($B1035+IF($R$17="Distrato",$I$38-1,0)),IF(AND($L$711=0,$P$708=0),"",$L$711-1),IF($R$17="Distrato",$E1035,0)),MIN(AU$38,$D$19),$P$20))-SUM($P1035:AT1035)</f>
        <v>#VALUE!</v>
      </c>
      <c r="AV1035" s="446" t="e">
        <f>IF(OR($B1035="",MIN(AV$38,$D$19)&lt;MAX($P$708*($B1035+IF($R$17="Distrato",$I$38-1,0)),IF(AND($L$711=0,$P$708=0),"",$L$711-1),IF($R$17="Distrato",$E1035,0))),0,YEARFRAC(MAX($P$708*($B1035+IF($R$17="Distrato",$I$38-1,0)),IF(AND($L$711=0,$P$708=0),"",$L$711-1),IF($R$17="Distrato",$E1035,0)),MIN(AV$38,$D$19),$P$20))-SUM($P1035:AU1035)</f>
        <v>#VALUE!</v>
      </c>
      <c r="AW1035" s="446" t="e">
        <f>IF(OR($B1035="",MIN(AW$38,$D$19)&lt;MAX($P$708*($B1035+IF($R$17="Distrato",$I$38-1,0)),IF(AND($L$711=0,$P$708=0),"",$L$711-1),IF($R$17="Distrato",$E1035,0))),0,YEARFRAC(MAX($P$708*($B1035+IF($R$17="Distrato",$I$38-1,0)),IF(AND($L$711=0,$P$708=0),"",$L$711-1),IF($R$17="Distrato",$E1035,0)),MIN(AW$38,$D$19),$P$20))-SUM($P1035:AV1035)</f>
        <v>#VALUE!</v>
      </c>
      <c r="AX1035" s="446" t="e">
        <f>IF(OR($B1035="",MIN(AX$38,$D$19)&lt;MAX($P$708*($B1035+IF($R$17="Distrato",$I$38-1,0)),IF(AND($L$711=0,$P$708=0),"",$L$711-1),IF($R$17="Distrato",$E1035,0))),0,YEARFRAC(MAX($P$708*($B1035+IF($R$17="Distrato",$I$38-1,0)),IF(AND($L$711=0,$P$708=0),"",$L$711-1),IF($R$17="Distrato",$E1035,0)),MIN(AX$38,$D$19),$P$20))-SUM($P1035:AW1035)</f>
        <v>#VALUE!</v>
      </c>
      <c r="AY1035" s="446" t="e">
        <f>IF(OR($B1035="",MIN(AY$38,$D$19)&lt;MAX($P$708*($B1035+IF($R$17="Distrato",$I$38-1,0)),IF(AND($L$711=0,$P$708=0),"",$L$711-1),IF($R$17="Distrato",$E1035,0))),0,YEARFRAC(MAX($P$708*($B1035+IF($R$17="Distrato",$I$38-1,0)),IF(AND($L$711=0,$P$708=0),"",$L$711-1),IF($R$17="Distrato",$E1035,0)),MIN(AY$38,$D$19),$P$20))-SUM($P1035:AX1035)</f>
        <v>#VALUE!</v>
      </c>
      <c r="AZ1035" s="446" t="e">
        <f>IF(OR($B1035="",MIN(AZ$38,$D$19)&lt;MAX($P$708*($B1035+IF($R$17="Distrato",$I$38-1,0)),IF(AND($L$711=0,$P$708=0),"",$L$711-1),IF($R$17="Distrato",$E1035,0))),0,YEARFRAC(MAX($P$708*($B1035+IF($R$17="Distrato",$I$38-1,0)),IF(AND($L$711=0,$P$708=0),"",$L$711-1),IF($R$17="Distrato",$E1035,0)),MIN(AZ$38,$D$19),$P$20))-SUM($P1035:AY1035)</f>
        <v>#VALUE!</v>
      </c>
      <c r="BA1035" s="446" t="e">
        <f>IF(OR($B1035="",MIN(BA$38,$D$19)&lt;MAX($P$708*($B1035+IF($R$17="Distrato",$I$38-1,0)),IF(AND($L$711=0,$P$708=0),"",$L$711-1),IF($R$17="Distrato",$E1035,0))),0,YEARFRAC(MAX($P$708*($B1035+IF($R$17="Distrato",$I$38-1,0)),IF(AND($L$711=0,$P$708=0),"",$L$711-1),IF($R$17="Distrato",$E1035,0)),MIN(BA$38,$D$19),$P$20))-SUM($P1035:AZ1035)</f>
        <v>#VALUE!</v>
      </c>
      <c r="BB1035" s="447"/>
    </row>
    <row r="1036" spans="1:54" s="446" customFormat="1" ht="11.25" hidden="1" customHeight="1" x14ac:dyDescent="0.2">
      <c r="A1036" s="235"/>
      <c r="B1036" s="236"/>
      <c r="C1036" s="29" t="str">
        <f>IF(B1036="","",IF($L$709=$BL$25,VLOOKUP(DATE(YEAR($D$19),MONTH($D$19)-1,1),ÍNDICES!$A:$DE,HLOOKUP($BL$25,ÍNDICES!$B$3:$T$4,2)+11)-VLOOKUP(B1036,ÍNDICES!$A:$DE,HLOOKUP($BL$25,ÍNDICES!$B$3:$T$4,2)+11)+1%,IF(C$712=$W$26,$J$35,IF(ISERROR(IF(B1036&gt;$D$19,1,VLOOKUP(DATE(YEAR(B1036),MONTH(B1036)+IF($C$709=$S$23,1,0),1),ÍNDICES!$A:$DE,$Z$709+1))),"",IF(B1036&gt;$D$19,1,VLOOKUP(DATE(YEAR(B1036),MONTH(B1036)+IF($C$709=$S$23,1,0),1),ÍNDICES!$A:$DE,$Z$709+1))))))</f>
        <v/>
      </c>
      <c r="D1036" s="155"/>
      <c r="E1036" s="88"/>
      <c r="F1036" s="88"/>
      <c r="G1036" s="88"/>
      <c r="H1036" s="118"/>
      <c r="I1036" s="182">
        <f t="shared" si="150"/>
        <v>0</v>
      </c>
      <c r="J1036" s="20">
        <f t="shared" ca="1" si="151"/>
        <v>0</v>
      </c>
      <c r="K1036" s="5">
        <f t="shared" ca="1" si="152"/>
        <v>0</v>
      </c>
      <c r="L1036" s="61">
        <f t="shared" ca="1" si="153"/>
        <v>0</v>
      </c>
      <c r="M1036" s="64">
        <f t="shared" si="154"/>
        <v>0</v>
      </c>
      <c r="N1036" s="151"/>
      <c r="O1036" s="5">
        <f t="shared" ca="1" si="155"/>
        <v>0</v>
      </c>
      <c r="P1036" s="446" t="e">
        <f t="shared" si="156"/>
        <v>#VALUE!</v>
      </c>
      <c r="Q1036" s="446" t="e">
        <f>IF(OR($B1036="",MIN(Q$38,$D$19)&lt;MAX($P$708*($B1036+IF($R$17="Distrato",$I$38-1,0)),IF(AND($L$711=0,$P$708=0),"",$L$711-1),IF($R$17="Distrato",$E1036,0))),0,YEARFRAC(MAX($P$708*($B1036+IF($R$17="Distrato",$I$38-1,0)),IF(AND($L$711=0,$P$708=0),"",$L$711-1),IF($R$17="Distrato",$E1036,0)),MIN(Q$38,$D$19),$P$20))-SUM($P1036:P1036)</f>
        <v>#VALUE!</v>
      </c>
      <c r="R1036" s="446" t="e">
        <f>IF(OR($B1036="",MIN(R$38,$D$19)&lt;MAX($P$708*($B1036+IF($R$17="Distrato",$I$38-1,0)),IF(AND($L$711=0,$P$708=0),"",$L$711-1),IF($R$17="Distrato",$E1036,0))),0,YEARFRAC(MAX($P$708*($B1036+IF($R$17="Distrato",$I$38-1,0)),IF(AND($L$711=0,$P$708=0),"",$L$711-1),IF($R$17="Distrato",$E1036,0)),MIN(R$38,$D$19),$P$20))-SUM($P1036:Q1036)</f>
        <v>#VALUE!</v>
      </c>
      <c r="S1036" s="446" t="e">
        <f>IF(OR($B1036="",MIN(S$38,$D$19)&lt;MAX($P$708*($B1036+IF($R$17="Distrato",$I$38-1,0)),IF(AND($L$711=0,$P$708=0),"",$L$711-1),IF($R$17="Distrato",$E1036,0))),0,YEARFRAC(MAX($P$708*($B1036+IF($R$17="Distrato",$I$38-1,0)),IF(AND($L$711=0,$P$708=0),"",$L$711-1),IF($R$17="Distrato",$E1036,0)),MIN(S$38,$D$19),$P$20))-SUM($P1036:R1036)</f>
        <v>#VALUE!</v>
      </c>
      <c r="T1036" s="446" t="e">
        <f>IF(OR($B1036="",MIN(T$38,$D$19)&lt;MAX($P$708*($B1036+IF($R$17="Distrato",$I$38-1,0)),IF(AND($L$711=0,$P$708=0),"",$L$711-1),IF($R$17="Distrato",$E1036,0))),0,YEARFRAC(MAX($P$708*($B1036+IF($R$17="Distrato",$I$38-1,0)),IF(AND($L$711=0,$P$708=0),"",$L$711-1),IF($R$17="Distrato",$E1036,0)),MIN(T$38,$D$19),$P$20))-SUM($P1036:S1036)</f>
        <v>#VALUE!</v>
      </c>
      <c r="U1036" s="446" t="e">
        <f>IF(OR($B1036="",MIN(U$38,$D$19)&lt;MAX($P$708*($B1036+IF($R$17="Distrato",$I$38-1,0)),IF(AND($L$711=0,$P$708=0),"",$L$711-1),IF($R$17="Distrato",$E1036,0))),0,YEARFRAC(MAX($P$708*($B1036+IF($R$17="Distrato",$I$38-1,0)),IF(AND($L$711=0,$P$708=0),"",$L$711-1),IF($R$17="Distrato",$E1036,0)),MIN(U$38,$D$19),$P$20))-SUM($P1036:T1036)</f>
        <v>#VALUE!</v>
      </c>
      <c r="V1036" s="446" t="e">
        <f>IF(OR($B1036="",MIN(V$38,$D$19)&lt;MAX($P$708*($B1036+IF($R$17="Distrato",$I$38-1,0)),IF(AND($L$711=0,$P$708=0),"",$L$711-1),IF($R$17="Distrato",$E1036,0))),0,YEARFRAC(MAX($P$708*($B1036+IF($R$17="Distrato",$I$38-1,0)),IF(AND($L$711=0,$P$708=0),"",$L$711-1),IF($R$17="Distrato",$E1036,0)),MIN(V$38,$D$19),$P$20))-SUM($P1036:U1036)</f>
        <v>#VALUE!</v>
      </c>
      <c r="W1036" s="446" t="e">
        <f>IF(OR($B1036="",MIN(W$38,$D$19)&lt;MAX($P$708*($B1036+IF($R$17="Distrato",$I$38-1,0)),IF(AND($L$711=0,$P$708=0),"",$L$711-1),IF($R$17="Distrato",$E1036,0))),0,YEARFRAC(MAX($P$708*($B1036+IF($R$17="Distrato",$I$38-1,0)),IF(AND($L$711=0,$P$708=0),"",$L$711-1),IF($R$17="Distrato",$E1036,0)),MIN(W$38,$D$19),$P$20))-SUM($P1036:V1036)</f>
        <v>#VALUE!</v>
      </c>
      <c r="X1036" s="446" t="e">
        <f>IF(OR($B1036="",MIN(X$38,$D$19)&lt;MAX($P$708*($B1036+IF($R$17="Distrato",$I$38-1,0)),IF(AND($L$711=0,$P$708=0),"",$L$711-1),IF($R$17="Distrato",$E1036,0))),0,YEARFRAC(MAX($P$708*($B1036+IF($R$17="Distrato",$I$38-1,0)),IF(AND($L$711=0,$P$708=0),"",$L$711-1),IF($R$17="Distrato",$E1036,0)),MIN(X$38,$D$19),$P$20))-SUM($P1036:W1036)</f>
        <v>#VALUE!</v>
      </c>
      <c r="Y1036" s="446" t="e">
        <f>IF(OR($B1036="",MIN(Y$38,$D$19)&lt;MAX($P$708*($B1036+IF($R$17="Distrato",$I$38-1,0)),IF(AND($L$711=0,$P$708=0),"",$L$711-1),IF($R$17="Distrato",$E1036,0))),0,YEARFRAC(MAX($P$708*($B1036+IF($R$17="Distrato",$I$38-1,0)),IF(AND($L$711=0,$P$708=0),"",$L$711-1),IF($R$17="Distrato",$E1036,0)),MIN(Y$38,$D$19),$P$20))-SUM($P1036:X1036)</f>
        <v>#VALUE!</v>
      </c>
      <c r="Z1036" s="446" t="e">
        <f>IF(OR($B1036="",MIN(Z$38,$D$19)&lt;MAX($P$708*($B1036+IF($R$17="Distrato",$I$38-1,0)),IF(AND($L$711=0,$P$708=0),"",$L$711-1),IF($R$17="Distrato",$E1036,0))),0,YEARFRAC(MAX($P$708*($B1036+IF($R$17="Distrato",$I$38-1,0)),IF(AND($L$711=0,$P$708=0),"",$L$711-1),IF($R$17="Distrato",$E1036,0)),MIN(Z$38,$D$19),$P$20))-SUM($P1036:Y1036)</f>
        <v>#VALUE!</v>
      </c>
      <c r="AA1036" s="446" t="e">
        <f>IF(OR($B1036="",MIN(AA$38,$D$19)&lt;MAX($P$708*($B1036+IF($R$17="Distrato",$I$38-1,0)),IF(AND($L$711=0,$P$708=0),"",$L$711-1),IF($R$17="Distrato",$E1036,0))),0,YEARFRAC(MAX($P$708*($B1036+IF($R$17="Distrato",$I$38-1,0)),IF(AND($L$711=0,$P$708=0),"",$L$711-1),IF($R$17="Distrato",$E1036,0)),MIN(AA$38,$D$19),$P$20))-SUM($P1036:Z1036)</f>
        <v>#VALUE!</v>
      </c>
      <c r="AB1036" s="446" t="e">
        <f>IF(OR($B1036="",MIN(AB$38,$D$19)&lt;MAX($P$708*($B1036+IF($R$17="Distrato",$I$38-1,0)),IF(AND($L$711=0,$P$708=0),"",$L$711-1),IF($R$17="Distrato",$E1036,0))),0,YEARFRAC(MAX($P$708*($B1036+IF($R$17="Distrato",$I$38-1,0)),IF(AND($L$711=0,$P$708=0),"",$L$711-1),IF($R$17="Distrato",$E1036,0)),MIN(AB$38,$D$19),$P$20))-SUM($P1036:AA1036)</f>
        <v>#VALUE!</v>
      </c>
      <c r="AC1036" s="446" t="e">
        <f>IF(OR($B1036="",MIN(AC$38,$D$19)&lt;MAX($P$708*($B1036+IF($R$17="Distrato",$I$38-1,0)),IF(AND($L$711=0,$P$708=0),"",$L$711-1),IF($R$17="Distrato",$E1036,0))),0,YEARFRAC(MAX($P$708*($B1036+IF($R$17="Distrato",$I$38-1,0)),IF(AND($L$711=0,$P$708=0),"",$L$711-1),IF($R$17="Distrato",$E1036,0)),MIN(AC$38,$D$19),$P$20))-SUM($P1036:AB1036)</f>
        <v>#VALUE!</v>
      </c>
      <c r="AD1036" s="446" t="e">
        <f>IF(OR($B1036="",MIN(AD$38,$D$19)&lt;MAX($P$708*($B1036+IF($R$17="Distrato",$I$38-1,0)),IF(AND($L$711=0,$P$708=0),"",$L$711-1),IF($R$17="Distrato",$E1036,0))),0,YEARFRAC(MAX($P$708*($B1036+IF($R$17="Distrato",$I$38-1,0)),IF(AND($L$711=0,$P$708=0),"",$L$711-1),IF($R$17="Distrato",$E1036,0)),MIN(AD$38,$D$19),$P$20))-SUM($P1036:AC1036)</f>
        <v>#VALUE!</v>
      </c>
      <c r="AE1036" s="446" t="e">
        <f>IF(OR($B1036="",MIN(AE$38,$D$19)&lt;MAX($P$708*($B1036+IF($R$17="Distrato",$I$38-1,0)),IF(AND($L$711=0,$P$708=0),"",$L$711-1),IF($R$17="Distrato",$E1036,0))),0,YEARFRAC(MAX($P$708*($B1036+IF($R$17="Distrato",$I$38-1,0)),IF(AND($L$711=0,$P$708=0),"",$L$711-1),IF($R$17="Distrato",$E1036,0)),MIN(AE$38,$D$19),$P$20))-SUM($P1036:AD1036)</f>
        <v>#VALUE!</v>
      </c>
      <c r="AF1036" s="446" t="e">
        <f>IF(OR($B1036="",MIN(AF$38,$D$19)&lt;MAX($P$708*($B1036+IF($R$17="Distrato",$I$38-1,0)),IF(AND($L$711=0,$P$708=0),"",$L$711-1),IF($R$17="Distrato",$E1036,0))),0,YEARFRAC(MAX($P$708*($B1036+IF($R$17="Distrato",$I$38-1,0)),IF(AND($L$711=0,$P$708=0),"",$L$711-1),IF($R$17="Distrato",$E1036,0)),MIN(AF$38,$D$19),$P$20))-SUM($P1036:AE1036)</f>
        <v>#VALUE!</v>
      </c>
      <c r="AG1036" s="446" t="e">
        <f>IF(OR($B1036="",MIN(AG$38,$D$19)&lt;MAX($P$708*($B1036+IF($R$17="Distrato",$I$38-1,0)),IF(AND($L$711=0,$P$708=0),"",$L$711-1),IF($R$17="Distrato",$E1036,0))),0,YEARFRAC(MAX($P$708*($B1036+IF($R$17="Distrato",$I$38-1,0)),IF(AND($L$711=0,$P$708=0),"",$L$711-1),IF($R$17="Distrato",$E1036,0)),MIN(AG$38,$D$19),$P$20))-SUM($P1036:AF1036)</f>
        <v>#VALUE!</v>
      </c>
      <c r="AH1036" s="446" t="e">
        <f>IF(OR($B1036="",MIN(AH$38,$D$19)&lt;MAX($P$708*($B1036+IF($R$17="Distrato",$I$38-1,0)),IF(AND($L$711=0,$P$708=0),"",$L$711-1),IF($R$17="Distrato",$E1036,0))),0,YEARFRAC(MAX($P$708*($B1036+IF($R$17="Distrato",$I$38-1,0)),IF(AND($L$711=0,$P$708=0),"",$L$711-1),IF($R$17="Distrato",$E1036,0)),MIN(AH$38,$D$19),$P$20))-SUM($P1036:AG1036)</f>
        <v>#VALUE!</v>
      </c>
      <c r="AI1036" s="446" t="e">
        <f>IF(OR($B1036="",MIN(AI$38,$D$19)&lt;MAX($P$708*($B1036+IF($R$17="Distrato",$I$38-1,0)),IF(AND($L$711=0,$P$708=0),"",$L$711-1),IF($R$17="Distrato",$E1036,0))),0,YEARFRAC(MAX($P$708*($B1036+IF($R$17="Distrato",$I$38-1,0)),IF(AND($L$711=0,$P$708=0),"",$L$711-1),IF($R$17="Distrato",$E1036,0)),MIN(AI$38,$D$19),$P$20))-SUM($P1036:AH1036)</f>
        <v>#VALUE!</v>
      </c>
      <c r="AJ1036" s="446" t="e">
        <f>IF(OR($B1036="",MIN(AJ$38,$D$19)&lt;MAX($P$708*($B1036+IF($R$17="Distrato",$I$38-1,0)),IF(AND($L$711=0,$P$708=0),"",$L$711-1),IF($R$17="Distrato",$E1036,0))),0,YEARFRAC(MAX($P$708*($B1036+IF($R$17="Distrato",$I$38-1,0)),IF(AND($L$711=0,$P$708=0),"",$L$711-1),IF($R$17="Distrato",$E1036,0)),MIN(AJ$38,$D$19),$P$20))-SUM($P1036:AI1036)</f>
        <v>#VALUE!</v>
      </c>
      <c r="AK1036" s="446" t="e">
        <f>IF(OR($B1036="",MIN(AK$38,$D$19)&lt;MAX($P$708*($B1036+IF($R$17="Distrato",$I$38-1,0)),IF(AND($L$711=0,$P$708=0),"",$L$711-1),IF($R$17="Distrato",$E1036,0))),0,YEARFRAC(MAX($P$708*($B1036+IF($R$17="Distrato",$I$38-1,0)),IF(AND($L$711=0,$P$708=0),"",$L$711-1),IF($R$17="Distrato",$E1036,0)),MIN(AK$38,$D$19),$P$20))-SUM($P1036:AJ1036)</f>
        <v>#VALUE!</v>
      </c>
      <c r="AL1036" s="446" t="e">
        <f>IF(OR($B1036="",MIN(AL$38,$D$19)&lt;MAX($P$708*($B1036+IF($R$17="Distrato",$I$38-1,0)),IF(AND($L$711=0,$P$708=0),"",$L$711-1),IF($R$17="Distrato",$E1036,0))),0,YEARFRAC(MAX($P$708*($B1036+IF($R$17="Distrato",$I$38-1,0)),IF(AND($L$711=0,$P$708=0),"",$L$711-1),IF($R$17="Distrato",$E1036,0)),MIN(AL$38,$D$19),$P$20))-SUM($P1036:AK1036)</f>
        <v>#VALUE!</v>
      </c>
      <c r="AM1036" s="446" t="e">
        <f>IF(OR($B1036="",MIN(AM$38,$D$19)&lt;MAX($P$708*($B1036+IF($R$17="Distrato",$I$38-1,0)),IF(AND($L$711=0,$P$708=0),"",$L$711-1),IF($R$17="Distrato",$E1036,0))),0,YEARFRAC(MAX($P$708*($B1036+IF($R$17="Distrato",$I$38-1,0)),IF(AND($L$711=0,$P$708=0),"",$L$711-1),IF($R$17="Distrato",$E1036,0)),MIN(AM$38,$D$19),$P$20))-SUM($P1036:AL1036)</f>
        <v>#VALUE!</v>
      </c>
      <c r="AN1036" s="446" t="e">
        <f>IF(OR($B1036="",MIN(AN$38,$D$19)&lt;MAX($P$708*($B1036+IF($R$17="Distrato",$I$38-1,0)),IF(AND($L$711=0,$P$708=0),"",$L$711-1),IF($R$17="Distrato",$E1036,0))),0,YEARFRAC(MAX($P$708*($B1036+IF($R$17="Distrato",$I$38-1,0)),IF(AND($L$711=0,$P$708=0),"",$L$711-1),IF($R$17="Distrato",$E1036,0)),MIN(AN$38,$D$19),$P$20))-SUM($P1036:AM1036)</f>
        <v>#VALUE!</v>
      </c>
      <c r="AO1036" s="446" t="e">
        <f>IF(OR($B1036="",MIN(AO$38,$D$19)&lt;MAX($P$708*($B1036+IF($R$17="Distrato",$I$38-1,0)),IF(AND($L$711=0,$P$708=0),"",$L$711-1),IF($R$17="Distrato",$E1036,0))),0,YEARFRAC(MAX($P$708*($B1036+IF($R$17="Distrato",$I$38-1,0)),IF(AND($L$711=0,$P$708=0),"",$L$711-1),IF($R$17="Distrato",$E1036,0)),MIN(AO$38,$D$19),$P$20))-SUM($P1036:AN1036)</f>
        <v>#VALUE!</v>
      </c>
      <c r="AP1036" s="446" t="e">
        <f>IF(OR($B1036="",MIN(AP$38,$D$19)&lt;MAX($P$708*($B1036+IF($R$17="Distrato",$I$38-1,0)),IF(AND($L$711=0,$P$708=0),"",$L$711-1),IF($R$17="Distrato",$E1036,0))),0,YEARFRAC(MAX($P$708*($B1036+IF($R$17="Distrato",$I$38-1,0)),IF(AND($L$711=0,$P$708=0),"",$L$711-1),IF($R$17="Distrato",$E1036,0)),MIN(AP$38,$D$19),$P$20))-SUM($P1036:AO1036)</f>
        <v>#VALUE!</v>
      </c>
      <c r="AQ1036" s="446" t="e">
        <f>IF(OR($B1036="",MIN(AQ$38,$D$19)&lt;MAX($P$708*($B1036+IF($R$17="Distrato",$I$38-1,0)),IF(AND($L$711=0,$P$708=0),"",$L$711-1),IF($R$17="Distrato",$E1036,0))),0,YEARFRAC(MAX($P$708*($B1036+IF($R$17="Distrato",$I$38-1,0)),IF(AND($L$711=0,$P$708=0),"",$L$711-1),IF($R$17="Distrato",$E1036,0)),MIN(AQ$38,$D$19),$P$20))-SUM($P1036:AP1036)</f>
        <v>#VALUE!</v>
      </c>
      <c r="AR1036" s="446" t="e">
        <f>IF(OR($B1036="",MIN(AR$38,$D$19)&lt;MAX($P$708*($B1036+IF($R$17="Distrato",$I$38-1,0)),IF(AND($L$711=0,$P$708=0),"",$L$711-1),IF($R$17="Distrato",$E1036,0))),0,YEARFRAC(MAX($P$708*($B1036+IF($R$17="Distrato",$I$38-1,0)),IF(AND($L$711=0,$P$708=0),"",$L$711-1),IF($R$17="Distrato",$E1036,0)),MIN(AR$38,$D$19),$P$20))-SUM($P1036:AQ1036)</f>
        <v>#VALUE!</v>
      </c>
      <c r="AS1036" s="446" t="e">
        <f>IF(OR($B1036="",MIN(AS$38,$D$19)&lt;MAX($P$708*($B1036+IF($R$17="Distrato",$I$38-1,0)),IF(AND($L$711=0,$P$708=0),"",$L$711-1),IF($R$17="Distrato",$E1036,0))),0,YEARFRAC(MAX($P$708*($B1036+IF($R$17="Distrato",$I$38-1,0)),IF(AND($L$711=0,$P$708=0),"",$L$711-1),IF($R$17="Distrato",$E1036,0)),MIN(AS$38,$D$19),$P$20))-SUM($P1036:AR1036)</f>
        <v>#VALUE!</v>
      </c>
      <c r="AT1036" s="446" t="e">
        <f>IF(OR($B1036="",MIN(AT$38,$D$19)&lt;MAX($P$708*($B1036+IF($R$17="Distrato",$I$38-1,0)),IF(AND($L$711=0,$P$708=0),"",$L$711-1),IF($R$17="Distrato",$E1036,0))),0,YEARFRAC(MAX($P$708*($B1036+IF($R$17="Distrato",$I$38-1,0)),IF(AND($L$711=0,$P$708=0),"",$L$711-1),IF($R$17="Distrato",$E1036,0)),MIN(AT$38,$D$19),$P$20))-SUM($P1036:AS1036)</f>
        <v>#VALUE!</v>
      </c>
      <c r="AU1036" s="446" t="e">
        <f>IF(OR($B1036="",MIN(AU$38,$D$19)&lt;MAX($P$708*($B1036+IF($R$17="Distrato",$I$38-1,0)),IF(AND($L$711=0,$P$708=0),"",$L$711-1),IF($R$17="Distrato",$E1036,0))),0,YEARFRAC(MAX($P$708*($B1036+IF($R$17="Distrato",$I$38-1,0)),IF(AND($L$711=0,$P$708=0),"",$L$711-1),IF($R$17="Distrato",$E1036,0)),MIN(AU$38,$D$19),$P$20))-SUM($P1036:AT1036)</f>
        <v>#VALUE!</v>
      </c>
      <c r="AV1036" s="446" t="e">
        <f>IF(OR($B1036="",MIN(AV$38,$D$19)&lt;MAX($P$708*($B1036+IF($R$17="Distrato",$I$38-1,0)),IF(AND($L$711=0,$P$708=0),"",$L$711-1),IF($R$17="Distrato",$E1036,0))),0,YEARFRAC(MAX($P$708*($B1036+IF($R$17="Distrato",$I$38-1,0)),IF(AND($L$711=0,$P$708=0),"",$L$711-1),IF($R$17="Distrato",$E1036,0)),MIN(AV$38,$D$19),$P$20))-SUM($P1036:AU1036)</f>
        <v>#VALUE!</v>
      </c>
      <c r="AW1036" s="446" t="e">
        <f>IF(OR($B1036="",MIN(AW$38,$D$19)&lt;MAX($P$708*($B1036+IF($R$17="Distrato",$I$38-1,0)),IF(AND($L$711=0,$P$708=0),"",$L$711-1),IF($R$17="Distrato",$E1036,0))),0,YEARFRAC(MAX($P$708*($B1036+IF($R$17="Distrato",$I$38-1,0)),IF(AND($L$711=0,$P$708=0),"",$L$711-1),IF($R$17="Distrato",$E1036,0)),MIN(AW$38,$D$19),$P$20))-SUM($P1036:AV1036)</f>
        <v>#VALUE!</v>
      </c>
      <c r="AX1036" s="446" t="e">
        <f>IF(OR($B1036="",MIN(AX$38,$D$19)&lt;MAX($P$708*($B1036+IF($R$17="Distrato",$I$38-1,0)),IF(AND($L$711=0,$P$708=0),"",$L$711-1),IF($R$17="Distrato",$E1036,0))),0,YEARFRAC(MAX($P$708*($B1036+IF($R$17="Distrato",$I$38-1,0)),IF(AND($L$711=0,$P$708=0),"",$L$711-1),IF($R$17="Distrato",$E1036,0)),MIN(AX$38,$D$19),$P$20))-SUM($P1036:AW1036)</f>
        <v>#VALUE!</v>
      </c>
      <c r="AY1036" s="446" t="e">
        <f>IF(OR($B1036="",MIN(AY$38,$D$19)&lt;MAX($P$708*($B1036+IF($R$17="Distrato",$I$38-1,0)),IF(AND($L$711=0,$P$708=0),"",$L$711-1),IF($R$17="Distrato",$E1036,0))),0,YEARFRAC(MAX($P$708*($B1036+IF($R$17="Distrato",$I$38-1,0)),IF(AND($L$711=0,$P$708=0),"",$L$711-1),IF($R$17="Distrato",$E1036,0)),MIN(AY$38,$D$19),$P$20))-SUM($P1036:AX1036)</f>
        <v>#VALUE!</v>
      </c>
      <c r="AZ1036" s="446" t="e">
        <f>IF(OR($B1036="",MIN(AZ$38,$D$19)&lt;MAX($P$708*($B1036+IF($R$17="Distrato",$I$38-1,0)),IF(AND($L$711=0,$P$708=0),"",$L$711-1),IF($R$17="Distrato",$E1036,0))),0,YEARFRAC(MAX($P$708*($B1036+IF($R$17="Distrato",$I$38-1,0)),IF(AND($L$711=0,$P$708=0),"",$L$711-1),IF($R$17="Distrato",$E1036,0)),MIN(AZ$38,$D$19),$P$20))-SUM($P1036:AY1036)</f>
        <v>#VALUE!</v>
      </c>
      <c r="BA1036" s="446" t="e">
        <f>IF(OR($B1036="",MIN(BA$38,$D$19)&lt;MAX($P$708*($B1036+IF($R$17="Distrato",$I$38-1,0)),IF(AND($L$711=0,$P$708=0),"",$L$711-1),IF($R$17="Distrato",$E1036,0))),0,YEARFRAC(MAX($P$708*($B1036+IF($R$17="Distrato",$I$38-1,0)),IF(AND($L$711=0,$P$708=0),"",$L$711-1),IF($R$17="Distrato",$E1036,0)),MIN(BA$38,$D$19),$P$20))-SUM($P1036:AZ1036)</f>
        <v>#VALUE!</v>
      </c>
      <c r="BB1036" s="447"/>
    </row>
    <row r="1037" spans="1:54" s="446" customFormat="1" ht="11.25" hidden="1" customHeight="1" x14ac:dyDescent="0.2">
      <c r="A1037" s="235"/>
      <c r="B1037" s="236"/>
      <c r="C1037" s="29" t="str">
        <f>IF(B1037="","",IF($L$709=$BL$25,VLOOKUP(DATE(YEAR($D$19),MONTH($D$19)-1,1),ÍNDICES!$A:$DE,HLOOKUP($BL$25,ÍNDICES!$B$3:$T$4,2)+11)-VLOOKUP(B1037,ÍNDICES!$A:$DE,HLOOKUP($BL$25,ÍNDICES!$B$3:$T$4,2)+11)+1%,IF(C$712=$W$26,$J$35,IF(ISERROR(IF(B1037&gt;$D$19,1,VLOOKUP(DATE(YEAR(B1037),MONTH(B1037)+IF($C$709=$S$23,1,0),1),ÍNDICES!$A:$DE,$Z$709+1))),"",IF(B1037&gt;$D$19,1,VLOOKUP(DATE(YEAR(B1037),MONTH(B1037)+IF($C$709=$S$23,1,0),1),ÍNDICES!$A:$DE,$Z$709+1))))))</f>
        <v/>
      </c>
      <c r="D1037" s="155"/>
      <c r="E1037" s="88"/>
      <c r="F1037" s="88"/>
      <c r="G1037" s="88"/>
      <c r="H1037" s="118"/>
      <c r="I1037" s="182">
        <f t="shared" si="150"/>
        <v>0</v>
      </c>
      <c r="J1037" s="20">
        <f t="shared" ca="1" si="151"/>
        <v>0</v>
      </c>
      <c r="K1037" s="5">
        <f t="shared" ca="1" si="152"/>
        <v>0</v>
      </c>
      <c r="L1037" s="61">
        <f t="shared" ca="1" si="153"/>
        <v>0</v>
      </c>
      <c r="M1037" s="64">
        <f t="shared" si="154"/>
        <v>0</v>
      </c>
      <c r="N1037" s="151"/>
      <c r="O1037" s="5">
        <f t="shared" ca="1" si="155"/>
        <v>0</v>
      </c>
      <c r="P1037" s="446" t="e">
        <f t="shared" si="156"/>
        <v>#VALUE!</v>
      </c>
      <c r="Q1037" s="446" t="e">
        <f>IF(OR($B1037="",MIN(Q$38,$D$19)&lt;MAX($P$708*($B1037+IF($R$17="Distrato",$I$38-1,0)),IF(AND($L$711=0,$P$708=0),"",$L$711-1),IF($R$17="Distrato",$E1037,0))),0,YEARFRAC(MAX($P$708*($B1037+IF($R$17="Distrato",$I$38-1,0)),IF(AND($L$711=0,$P$708=0),"",$L$711-1),IF($R$17="Distrato",$E1037,0)),MIN(Q$38,$D$19),$P$20))-SUM($P1037:P1037)</f>
        <v>#VALUE!</v>
      </c>
      <c r="R1037" s="446" t="e">
        <f>IF(OR($B1037="",MIN(R$38,$D$19)&lt;MAX($P$708*($B1037+IF($R$17="Distrato",$I$38-1,0)),IF(AND($L$711=0,$P$708=0),"",$L$711-1),IF($R$17="Distrato",$E1037,0))),0,YEARFRAC(MAX($P$708*($B1037+IF($R$17="Distrato",$I$38-1,0)),IF(AND($L$711=0,$P$708=0),"",$L$711-1),IF($R$17="Distrato",$E1037,0)),MIN(R$38,$D$19),$P$20))-SUM($P1037:Q1037)</f>
        <v>#VALUE!</v>
      </c>
      <c r="S1037" s="446" t="e">
        <f>IF(OR($B1037="",MIN(S$38,$D$19)&lt;MAX($P$708*($B1037+IF($R$17="Distrato",$I$38-1,0)),IF(AND($L$711=0,$P$708=0),"",$L$711-1),IF($R$17="Distrato",$E1037,0))),0,YEARFRAC(MAX($P$708*($B1037+IF($R$17="Distrato",$I$38-1,0)),IF(AND($L$711=0,$P$708=0),"",$L$711-1),IF($R$17="Distrato",$E1037,0)),MIN(S$38,$D$19),$P$20))-SUM($P1037:R1037)</f>
        <v>#VALUE!</v>
      </c>
      <c r="T1037" s="446" t="e">
        <f>IF(OR($B1037="",MIN(T$38,$D$19)&lt;MAX($P$708*($B1037+IF($R$17="Distrato",$I$38-1,0)),IF(AND($L$711=0,$P$708=0),"",$L$711-1),IF($R$17="Distrato",$E1037,0))),0,YEARFRAC(MAX($P$708*($B1037+IF($R$17="Distrato",$I$38-1,0)),IF(AND($L$711=0,$P$708=0),"",$L$711-1),IF($R$17="Distrato",$E1037,0)),MIN(T$38,$D$19),$P$20))-SUM($P1037:S1037)</f>
        <v>#VALUE!</v>
      </c>
      <c r="U1037" s="446" t="e">
        <f>IF(OR($B1037="",MIN(U$38,$D$19)&lt;MAX($P$708*($B1037+IF($R$17="Distrato",$I$38-1,0)),IF(AND($L$711=0,$P$708=0),"",$L$711-1),IF($R$17="Distrato",$E1037,0))),0,YEARFRAC(MAX($P$708*($B1037+IF($R$17="Distrato",$I$38-1,0)),IF(AND($L$711=0,$P$708=0),"",$L$711-1),IF($R$17="Distrato",$E1037,0)),MIN(U$38,$D$19),$P$20))-SUM($P1037:T1037)</f>
        <v>#VALUE!</v>
      </c>
      <c r="V1037" s="446" t="e">
        <f>IF(OR($B1037="",MIN(V$38,$D$19)&lt;MAX($P$708*($B1037+IF($R$17="Distrato",$I$38-1,0)),IF(AND($L$711=0,$P$708=0),"",$L$711-1),IF($R$17="Distrato",$E1037,0))),0,YEARFRAC(MAX($P$708*($B1037+IF($R$17="Distrato",$I$38-1,0)),IF(AND($L$711=0,$P$708=0),"",$L$711-1),IF($R$17="Distrato",$E1037,0)),MIN(V$38,$D$19),$P$20))-SUM($P1037:U1037)</f>
        <v>#VALUE!</v>
      </c>
      <c r="W1037" s="446" t="e">
        <f>IF(OR($B1037="",MIN(W$38,$D$19)&lt;MAX($P$708*($B1037+IF($R$17="Distrato",$I$38-1,0)),IF(AND($L$711=0,$P$708=0),"",$L$711-1),IF($R$17="Distrato",$E1037,0))),0,YEARFRAC(MAX($P$708*($B1037+IF($R$17="Distrato",$I$38-1,0)),IF(AND($L$711=0,$P$708=0),"",$L$711-1),IF($R$17="Distrato",$E1037,0)),MIN(W$38,$D$19),$P$20))-SUM($P1037:V1037)</f>
        <v>#VALUE!</v>
      </c>
      <c r="X1037" s="446" t="e">
        <f>IF(OR($B1037="",MIN(X$38,$D$19)&lt;MAX($P$708*($B1037+IF($R$17="Distrato",$I$38-1,0)),IF(AND($L$711=0,$P$708=0),"",$L$711-1),IF($R$17="Distrato",$E1037,0))),0,YEARFRAC(MAX($P$708*($B1037+IF($R$17="Distrato",$I$38-1,0)),IF(AND($L$711=0,$P$708=0),"",$L$711-1),IF($R$17="Distrato",$E1037,0)),MIN(X$38,$D$19),$P$20))-SUM($P1037:W1037)</f>
        <v>#VALUE!</v>
      </c>
      <c r="Y1037" s="446" t="e">
        <f>IF(OR($B1037="",MIN(Y$38,$D$19)&lt;MAX($P$708*($B1037+IF($R$17="Distrato",$I$38-1,0)),IF(AND($L$711=0,$P$708=0),"",$L$711-1),IF($R$17="Distrato",$E1037,0))),0,YEARFRAC(MAX($P$708*($B1037+IF($R$17="Distrato",$I$38-1,0)),IF(AND($L$711=0,$P$708=0),"",$L$711-1),IF($R$17="Distrato",$E1037,0)),MIN(Y$38,$D$19),$P$20))-SUM($P1037:X1037)</f>
        <v>#VALUE!</v>
      </c>
      <c r="Z1037" s="446" t="e">
        <f>IF(OR($B1037="",MIN(Z$38,$D$19)&lt;MAX($P$708*($B1037+IF($R$17="Distrato",$I$38-1,0)),IF(AND($L$711=0,$P$708=0),"",$L$711-1),IF($R$17="Distrato",$E1037,0))),0,YEARFRAC(MAX($P$708*($B1037+IF($R$17="Distrato",$I$38-1,0)),IF(AND($L$711=0,$P$708=0),"",$L$711-1),IF($R$17="Distrato",$E1037,0)),MIN(Z$38,$D$19),$P$20))-SUM($P1037:Y1037)</f>
        <v>#VALUE!</v>
      </c>
      <c r="AA1037" s="446" t="e">
        <f>IF(OR($B1037="",MIN(AA$38,$D$19)&lt;MAX($P$708*($B1037+IF($R$17="Distrato",$I$38-1,0)),IF(AND($L$711=0,$P$708=0),"",$L$711-1),IF($R$17="Distrato",$E1037,0))),0,YEARFRAC(MAX($P$708*($B1037+IF($R$17="Distrato",$I$38-1,0)),IF(AND($L$711=0,$P$708=0),"",$L$711-1),IF($R$17="Distrato",$E1037,0)),MIN(AA$38,$D$19),$P$20))-SUM($P1037:Z1037)</f>
        <v>#VALUE!</v>
      </c>
      <c r="AB1037" s="446" t="e">
        <f>IF(OR($B1037="",MIN(AB$38,$D$19)&lt;MAX($P$708*($B1037+IF($R$17="Distrato",$I$38-1,0)),IF(AND($L$711=0,$P$708=0),"",$L$711-1),IF($R$17="Distrato",$E1037,0))),0,YEARFRAC(MAX($P$708*($B1037+IF($R$17="Distrato",$I$38-1,0)),IF(AND($L$711=0,$P$708=0),"",$L$711-1),IF($R$17="Distrato",$E1037,0)),MIN(AB$38,$D$19),$P$20))-SUM($P1037:AA1037)</f>
        <v>#VALUE!</v>
      </c>
      <c r="AC1037" s="446" t="e">
        <f>IF(OR($B1037="",MIN(AC$38,$D$19)&lt;MAX($P$708*($B1037+IF($R$17="Distrato",$I$38-1,0)),IF(AND($L$711=0,$P$708=0),"",$L$711-1),IF($R$17="Distrato",$E1037,0))),0,YEARFRAC(MAX($P$708*($B1037+IF($R$17="Distrato",$I$38-1,0)),IF(AND($L$711=0,$P$708=0),"",$L$711-1),IF($R$17="Distrato",$E1037,0)),MIN(AC$38,$D$19),$P$20))-SUM($P1037:AB1037)</f>
        <v>#VALUE!</v>
      </c>
      <c r="AD1037" s="446" t="e">
        <f>IF(OR($B1037="",MIN(AD$38,$D$19)&lt;MAX($P$708*($B1037+IF($R$17="Distrato",$I$38-1,0)),IF(AND($L$711=0,$P$708=0),"",$L$711-1),IF($R$17="Distrato",$E1037,0))),0,YEARFRAC(MAX($P$708*($B1037+IF($R$17="Distrato",$I$38-1,0)),IF(AND($L$711=0,$P$708=0),"",$L$711-1),IF($R$17="Distrato",$E1037,0)),MIN(AD$38,$D$19),$P$20))-SUM($P1037:AC1037)</f>
        <v>#VALUE!</v>
      </c>
      <c r="AE1037" s="446" t="e">
        <f>IF(OR($B1037="",MIN(AE$38,$D$19)&lt;MAX($P$708*($B1037+IF($R$17="Distrato",$I$38-1,0)),IF(AND($L$711=0,$P$708=0),"",$L$711-1),IF($R$17="Distrato",$E1037,0))),0,YEARFRAC(MAX($P$708*($B1037+IF($R$17="Distrato",$I$38-1,0)),IF(AND($L$711=0,$P$708=0),"",$L$711-1),IF($R$17="Distrato",$E1037,0)),MIN(AE$38,$D$19),$P$20))-SUM($P1037:AD1037)</f>
        <v>#VALUE!</v>
      </c>
      <c r="AF1037" s="446" t="e">
        <f>IF(OR($B1037="",MIN(AF$38,$D$19)&lt;MAX($P$708*($B1037+IF($R$17="Distrato",$I$38-1,0)),IF(AND($L$711=0,$P$708=0),"",$L$711-1),IF($R$17="Distrato",$E1037,0))),0,YEARFRAC(MAX($P$708*($B1037+IF($R$17="Distrato",$I$38-1,0)),IF(AND($L$711=0,$P$708=0),"",$L$711-1),IF($R$17="Distrato",$E1037,0)),MIN(AF$38,$D$19),$P$20))-SUM($P1037:AE1037)</f>
        <v>#VALUE!</v>
      </c>
      <c r="AG1037" s="446" t="e">
        <f>IF(OR($B1037="",MIN(AG$38,$D$19)&lt;MAX($P$708*($B1037+IF($R$17="Distrato",$I$38-1,0)),IF(AND($L$711=0,$P$708=0),"",$L$711-1),IF($R$17="Distrato",$E1037,0))),0,YEARFRAC(MAX($P$708*($B1037+IF($R$17="Distrato",$I$38-1,0)),IF(AND($L$711=0,$P$708=0),"",$L$711-1),IF($R$17="Distrato",$E1037,0)),MIN(AG$38,$D$19),$P$20))-SUM($P1037:AF1037)</f>
        <v>#VALUE!</v>
      </c>
      <c r="AH1037" s="446" t="e">
        <f>IF(OR($B1037="",MIN(AH$38,$D$19)&lt;MAX($P$708*($B1037+IF($R$17="Distrato",$I$38-1,0)),IF(AND($L$711=0,$P$708=0),"",$L$711-1),IF($R$17="Distrato",$E1037,0))),0,YEARFRAC(MAX($P$708*($B1037+IF($R$17="Distrato",$I$38-1,0)),IF(AND($L$711=0,$P$708=0),"",$L$711-1),IF($R$17="Distrato",$E1037,0)),MIN(AH$38,$D$19),$P$20))-SUM($P1037:AG1037)</f>
        <v>#VALUE!</v>
      </c>
      <c r="AI1037" s="446" t="e">
        <f>IF(OR($B1037="",MIN(AI$38,$D$19)&lt;MAX($P$708*($B1037+IF($R$17="Distrato",$I$38-1,0)),IF(AND($L$711=0,$P$708=0),"",$L$711-1),IF($R$17="Distrato",$E1037,0))),0,YEARFRAC(MAX($P$708*($B1037+IF($R$17="Distrato",$I$38-1,0)),IF(AND($L$711=0,$P$708=0),"",$L$711-1),IF($R$17="Distrato",$E1037,0)),MIN(AI$38,$D$19),$P$20))-SUM($P1037:AH1037)</f>
        <v>#VALUE!</v>
      </c>
      <c r="AJ1037" s="446" t="e">
        <f>IF(OR($B1037="",MIN(AJ$38,$D$19)&lt;MAX($P$708*($B1037+IF($R$17="Distrato",$I$38-1,0)),IF(AND($L$711=0,$P$708=0),"",$L$711-1),IF($R$17="Distrato",$E1037,0))),0,YEARFRAC(MAX($P$708*($B1037+IF($R$17="Distrato",$I$38-1,0)),IF(AND($L$711=0,$P$708=0),"",$L$711-1),IF($R$17="Distrato",$E1037,0)),MIN(AJ$38,$D$19),$P$20))-SUM($P1037:AI1037)</f>
        <v>#VALUE!</v>
      </c>
      <c r="AK1037" s="446" t="e">
        <f>IF(OR($B1037="",MIN(AK$38,$D$19)&lt;MAX($P$708*($B1037+IF($R$17="Distrato",$I$38-1,0)),IF(AND($L$711=0,$P$708=0),"",$L$711-1),IF($R$17="Distrato",$E1037,0))),0,YEARFRAC(MAX($P$708*($B1037+IF($R$17="Distrato",$I$38-1,0)),IF(AND($L$711=0,$P$708=0),"",$L$711-1),IF($R$17="Distrato",$E1037,0)),MIN(AK$38,$D$19),$P$20))-SUM($P1037:AJ1037)</f>
        <v>#VALUE!</v>
      </c>
      <c r="AL1037" s="446" t="e">
        <f>IF(OR($B1037="",MIN(AL$38,$D$19)&lt;MAX($P$708*($B1037+IF($R$17="Distrato",$I$38-1,0)),IF(AND($L$711=0,$P$708=0),"",$L$711-1),IF($R$17="Distrato",$E1037,0))),0,YEARFRAC(MAX($P$708*($B1037+IF($R$17="Distrato",$I$38-1,0)),IF(AND($L$711=0,$P$708=0),"",$L$711-1),IF($R$17="Distrato",$E1037,0)),MIN(AL$38,$D$19),$P$20))-SUM($P1037:AK1037)</f>
        <v>#VALUE!</v>
      </c>
      <c r="AM1037" s="446" t="e">
        <f>IF(OR($B1037="",MIN(AM$38,$D$19)&lt;MAX($P$708*($B1037+IF($R$17="Distrato",$I$38-1,0)),IF(AND($L$711=0,$P$708=0),"",$L$711-1),IF($R$17="Distrato",$E1037,0))),0,YEARFRAC(MAX($P$708*($B1037+IF($R$17="Distrato",$I$38-1,0)),IF(AND($L$711=0,$P$708=0),"",$L$711-1),IF($R$17="Distrato",$E1037,0)),MIN(AM$38,$D$19),$P$20))-SUM($P1037:AL1037)</f>
        <v>#VALUE!</v>
      </c>
      <c r="AN1037" s="446" t="e">
        <f>IF(OR($B1037="",MIN(AN$38,$D$19)&lt;MAX($P$708*($B1037+IF($R$17="Distrato",$I$38-1,0)),IF(AND($L$711=0,$P$708=0),"",$L$711-1),IF($R$17="Distrato",$E1037,0))),0,YEARFRAC(MAX($P$708*($B1037+IF($R$17="Distrato",$I$38-1,0)),IF(AND($L$711=0,$P$708=0),"",$L$711-1),IF($R$17="Distrato",$E1037,0)),MIN(AN$38,$D$19),$P$20))-SUM($P1037:AM1037)</f>
        <v>#VALUE!</v>
      </c>
      <c r="AO1037" s="446" t="e">
        <f>IF(OR($B1037="",MIN(AO$38,$D$19)&lt;MAX($P$708*($B1037+IF($R$17="Distrato",$I$38-1,0)),IF(AND($L$711=0,$P$708=0),"",$L$711-1),IF($R$17="Distrato",$E1037,0))),0,YEARFRAC(MAX($P$708*($B1037+IF($R$17="Distrato",$I$38-1,0)),IF(AND($L$711=0,$P$708=0),"",$L$711-1),IF($R$17="Distrato",$E1037,0)),MIN(AO$38,$D$19),$P$20))-SUM($P1037:AN1037)</f>
        <v>#VALUE!</v>
      </c>
      <c r="AP1037" s="446" t="e">
        <f>IF(OR($B1037="",MIN(AP$38,$D$19)&lt;MAX($P$708*($B1037+IF($R$17="Distrato",$I$38-1,0)),IF(AND($L$711=0,$P$708=0),"",$L$711-1),IF($R$17="Distrato",$E1037,0))),0,YEARFRAC(MAX($P$708*($B1037+IF($R$17="Distrato",$I$38-1,0)),IF(AND($L$711=0,$P$708=0),"",$L$711-1),IF($R$17="Distrato",$E1037,0)),MIN(AP$38,$D$19),$P$20))-SUM($P1037:AO1037)</f>
        <v>#VALUE!</v>
      </c>
      <c r="AQ1037" s="446" t="e">
        <f>IF(OR($B1037="",MIN(AQ$38,$D$19)&lt;MAX($P$708*($B1037+IF($R$17="Distrato",$I$38-1,0)),IF(AND($L$711=0,$P$708=0),"",$L$711-1),IF($R$17="Distrato",$E1037,0))),0,YEARFRAC(MAX($P$708*($B1037+IF($R$17="Distrato",$I$38-1,0)),IF(AND($L$711=0,$P$708=0),"",$L$711-1),IF($R$17="Distrato",$E1037,0)),MIN(AQ$38,$D$19),$P$20))-SUM($P1037:AP1037)</f>
        <v>#VALUE!</v>
      </c>
      <c r="AR1037" s="446" t="e">
        <f>IF(OR($B1037="",MIN(AR$38,$D$19)&lt;MAX($P$708*($B1037+IF($R$17="Distrato",$I$38-1,0)),IF(AND($L$711=0,$P$708=0),"",$L$711-1),IF($R$17="Distrato",$E1037,0))),0,YEARFRAC(MAX($P$708*($B1037+IF($R$17="Distrato",$I$38-1,0)),IF(AND($L$711=0,$P$708=0),"",$L$711-1),IF($R$17="Distrato",$E1037,0)),MIN(AR$38,$D$19),$P$20))-SUM($P1037:AQ1037)</f>
        <v>#VALUE!</v>
      </c>
      <c r="AS1037" s="446" t="e">
        <f>IF(OR($B1037="",MIN(AS$38,$D$19)&lt;MAX($P$708*($B1037+IF($R$17="Distrato",$I$38-1,0)),IF(AND($L$711=0,$P$708=0),"",$L$711-1),IF($R$17="Distrato",$E1037,0))),0,YEARFRAC(MAX($P$708*($B1037+IF($R$17="Distrato",$I$38-1,0)),IF(AND($L$711=0,$P$708=0),"",$L$711-1),IF($R$17="Distrato",$E1037,0)),MIN(AS$38,$D$19),$P$20))-SUM($P1037:AR1037)</f>
        <v>#VALUE!</v>
      </c>
      <c r="AT1037" s="446" t="e">
        <f>IF(OR($B1037="",MIN(AT$38,$D$19)&lt;MAX($P$708*($B1037+IF($R$17="Distrato",$I$38-1,0)),IF(AND($L$711=0,$P$708=0),"",$L$711-1),IF($R$17="Distrato",$E1037,0))),0,YEARFRAC(MAX($P$708*($B1037+IF($R$17="Distrato",$I$38-1,0)),IF(AND($L$711=0,$P$708=0),"",$L$711-1),IF($R$17="Distrato",$E1037,0)),MIN(AT$38,$D$19),$P$20))-SUM($P1037:AS1037)</f>
        <v>#VALUE!</v>
      </c>
      <c r="AU1037" s="446" t="e">
        <f>IF(OR($B1037="",MIN(AU$38,$D$19)&lt;MAX($P$708*($B1037+IF($R$17="Distrato",$I$38-1,0)),IF(AND($L$711=0,$P$708=0),"",$L$711-1),IF($R$17="Distrato",$E1037,0))),0,YEARFRAC(MAX($P$708*($B1037+IF($R$17="Distrato",$I$38-1,0)),IF(AND($L$711=0,$P$708=0),"",$L$711-1),IF($R$17="Distrato",$E1037,0)),MIN(AU$38,$D$19),$P$20))-SUM($P1037:AT1037)</f>
        <v>#VALUE!</v>
      </c>
      <c r="AV1037" s="446" t="e">
        <f>IF(OR($B1037="",MIN(AV$38,$D$19)&lt;MAX($P$708*($B1037+IF($R$17="Distrato",$I$38-1,0)),IF(AND($L$711=0,$P$708=0),"",$L$711-1),IF($R$17="Distrato",$E1037,0))),0,YEARFRAC(MAX($P$708*($B1037+IF($R$17="Distrato",$I$38-1,0)),IF(AND($L$711=0,$P$708=0),"",$L$711-1),IF($R$17="Distrato",$E1037,0)),MIN(AV$38,$D$19),$P$20))-SUM($P1037:AU1037)</f>
        <v>#VALUE!</v>
      </c>
      <c r="AW1037" s="446" t="e">
        <f>IF(OR($B1037="",MIN(AW$38,$D$19)&lt;MAX($P$708*($B1037+IF($R$17="Distrato",$I$38-1,0)),IF(AND($L$711=0,$P$708=0),"",$L$711-1),IF($R$17="Distrato",$E1037,0))),0,YEARFRAC(MAX($P$708*($B1037+IF($R$17="Distrato",$I$38-1,0)),IF(AND($L$711=0,$P$708=0),"",$L$711-1),IF($R$17="Distrato",$E1037,0)),MIN(AW$38,$D$19),$P$20))-SUM($P1037:AV1037)</f>
        <v>#VALUE!</v>
      </c>
      <c r="AX1037" s="446" t="e">
        <f>IF(OR($B1037="",MIN(AX$38,$D$19)&lt;MAX($P$708*($B1037+IF($R$17="Distrato",$I$38-1,0)),IF(AND($L$711=0,$P$708=0),"",$L$711-1),IF($R$17="Distrato",$E1037,0))),0,YEARFRAC(MAX($P$708*($B1037+IF($R$17="Distrato",$I$38-1,0)),IF(AND($L$711=0,$P$708=0),"",$L$711-1),IF($R$17="Distrato",$E1037,0)),MIN(AX$38,$D$19),$P$20))-SUM($P1037:AW1037)</f>
        <v>#VALUE!</v>
      </c>
      <c r="AY1037" s="446" t="e">
        <f>IF(OR($B1037="",MIN(AY$38,$D$19)&lt;MAX($P$708*($B1037+IF($R$17="Distrato",$I$38-1,0)),IF(AND($L$711=0,$P$708=0),"",$L$711-1),IF($R$17="Distrato",$E1037,0))),0,YEARFRAC(MAX($P$708*($B1037+IF($R$17="Distrato",$I$38-1,0)),IF(AND($L$711=0,$P$708=0),"",$L$711-1),IF($R$17="Distrato",$E1037,0)),MIN(AY$38,$D$19),$P$20))-SUM($P1037:AX1037)</f>
        <v>#VALUE!</v>
      </c>
      <c r="AZ1037" s="446" t="e">
        <f>IF(OR($B1037="",MIN(AZ$38,$D$19)&lt;MAX($P$708*($B1037+IF($R$17="Distrato",$I$38-1,0)),IF(AND($L$711=0,$P$708=0),"",$L$711-1),IF($R$17="Distrato",$E1037,0))),0,YEARFRAC(MAX($P$708*($B1037+IF($R$17="Distrato",$I$38-1,0)),IF(AND($L$711=0,$P$708=0),"",$L$711-1),IF($R$17="Distrato",$E1037,0)),MIN(AZ$38,$D$19),$P$20))-SUM($P1037:AY1037)</f>
        <v>#VALUE!</v>
      </c>
      <c r="BA1037" s="446" t="e">
        <f>IF(OR($B1037="",MIN(BA$38,$D$19)&lt;MAX($P$708*($B1037+IF($R$17="Distrato",$I$38-1,0)),IF(AND($L$711=0,$P$708=0),"",$L$711-1),IF($R$17="Distrato",$E1037,0))),0,YEARFRAC(MAX($P$708*($B1037+IF($R$17="Distrato",$I$38-1,0)),IF(AND($L$711=0,$P$708=0),"",$L$711-1),IF($R$17="Distrato",$E1037,0)),MIN(BA$38,$D$19),$P$20))-SUM($P1037:AZ1037)</f>
        <v>#VALUE!</v>
      </c>
      <c r="BB1037" s="447"/>
    </row>
    <row r="1038" spans="1:54" s="446" customFormat="1" ht="11.25" hidden="1" customHeight="1" x14ac:dyDescent="0.2">
      <c r="A1038" s="235"/>
      <c r="B1038" s="236"/>
      <c r="C1038" s="29" t="str">
        <f>IF(B1038="","",IF($L$709=$BL$25,VLOOKUP(DATE(YEAR($D$19),MONTH($D$19)-1,1),ÍNDICES!$A:$DE,HLOOKUP($BL$25,ÍNDICES!$B$3:$T$4,2)+11)-VLOOKUP(B1038,ÍNDICES!$A:$DE,HLOOKUP($BL$25,ÍNDICES!$B$3:$T$4,2)+11)+1%,IF(C$712=$W$26,$J$35,IF(ISERROR(IF(B1038&gt;$D$19,1,VLOOKUP(DATE(YEAR(B1038),MONTH(B1038)+IF($C$709=$S$23,1,0),1),ÍNDICES!$A:$DE,$Z$709+1))),"",IF(B1038&gt;$D$19,1,VLOOKUP(DATE(YEAR(B1038),MONTH(B1038)+IF($C$709=$S$23,1,0),1),ÍNDICES!$A:$DE,$Z$709+1))))))</f>
        <v/>
      </c>
      <c r="D1038" s="155"/>
      <c r="E1038" s="88"/>
      <c r="F1038" s="88"/>
      <c r="G1038" s="88"/>
      <c r="H1038" s="118"/>
      <c r="I1038" s="182">
        <f t="shared" si="150"/>
        <v>0</v>
      </c>
      <c r="J1038" s="20">
        <f t="shared" ca="1" si="151"/>
        <v>0</v>
      </c>
      <c r="K1038" s="5">
        <f t="shared" ca="1" si="152"/>
        <v>0</v>
      </c>
      <c r="L1038" s="61">
        <f t="shared" ca="1" si="153"/>
        <v>0</v>
      </c>
      <c r="M1038" s="64">
        <f t="shared" si="154"/>
        <v>0</v>
      </c>
      <c r="N1038" s="151"/>
      <c r="O1038" s="5">
        <f t="shared" ca="1" si="155"/>
        <v>0</v>
      </c>
      <c r="P1038" s="446" t="e">
        <f t="shared" si="156"/>
        <v>#VALUE!</v>
      </c>
      <c r="Q1038" s="446" t="e">
        <f>IF(OR($B1038="",MIN(Q$38,$D$19)&lt;MAX($P$708*($B1038+IF($R$17="Distrato",$I$38-1,0)),IF(AND($L$711=0,$P$708=0),"",$L$711-1),IF($R$17="Distrato",$E1038,0))),0,YEARFRAC(MAX($P$708*($B1038+IF($R$17="Distrato",$I$38-1,0)),IF(AND($L$711=0,$P$708=0),"",$L$711-1),IF($R$17="Distrato",$E1038,0)),MIN(Q$38,$D$19),$P$20))-SUM($P1038:P1038)</f>
        <v>#VALUE!</v>
      </c>
      <c r="R1038" s="446" t="e">
        <f>IF(OR($B1038="",MIN(R$38,$D$19)&lt;MAX($P$708*($B1038+IF($R$17="Distrato",$I$38-1,0)),IF(AND($L$711=0,$P$708=0),"",$L$711-1),IF($R$17="Distrato",$E1038,0))),0,YEARFRAC(MAX($P$708*($B1038+IF($R$17="Distrato",$I$38-1,0)),IF(AND($L$711=0,$P$708=0),"",$L$711-1),IF($R$17="Distrato",$E1038,0)),MIN(R$38,$D$19),$P$20))-SUM($P1038:Q1038)</f>
        <v>#VALUE!</v>
      </c>
      <c r="S1038" s="446" t="e">
        <f>IF(OR($B1038="",MIN(S$38,$D$19)&lt;MAX($P$708*($B1038+IF($R$17="Distrato",$I$38-1,0)),IF(AND($L$711=0,$P$708=0),"",$L$711-1),IF($R$17="Distrato",$E1038,0))),0,YEARFRAC(MAX($P$708*($B1038+IF($R$17="Distrato",$I$38-1,0)),IF(AND($L$711=0,$P$708=0),"",$L$711-1),IF($R$17="Distrato",$E1038,0)),MIN(S$38,$D$19),$P$20))-SUM($P1038:R1038)</f>
        <v>#VALUE!</v>
      </c>
      <c r="T1038" s="446" t="e">
        <f>IF(OR($B1038="",MIN(T$38,$D$19)&lt;MAX($P$708*($B1038+IF($R$17="Distrato",$I$38-1,0)),IF(AND($L$711=0,$P$708=0),"",$L$711-1),IF($R$17="Distrato",$E1038,0))),0,YEARFRAC(MAX($P$708*($B1038+IF($R$17="Distrato",$I$38-1,0)),IF(AND($L$711=0,$P$708=0),"",$L$711-1),IF($R$17="Distrato",$E1038,0)),MIN(T$38,$D$19),$P$20))-SUM($P1038:S1038)</f>
        <v>#VALUE!</v>
      </c>
      <c r="U1038" s="446" t="e">
        <f>IF(OR($B1038="",MIN(U$38,$D$19)&lt;MAX($P$708*($B1038+IF($R$17="Distrato",$I$38-1,0)),IF(AND($L$711=0,$P$708=0),"",$L$711-1),IF($R$17="Distrato",$E1038,0))),0,YEARFRAC(MAX($P$708*($B1038+IF($R$17="Distrato",$I$38-1,0)),IF(AND($L$711=0,$P$708=0),"",$L$711-1),IF($R$17="Distrato",$E1038,0)),MIN(U$38,$D$19),$P$20))-SUM($P1038:T1038)</f>
        <v>#VALUE!</v>
      </c>
      <c r="V1038" s="446" t="e">
        <f>IF(OR($B1038="",MIN(V$38,$D$19)&lt;MAX($P$708*($B1038+IF($R$17="Distrato",$I$38-1,0)),IF(AND($L$711=0,$P$708=0),"",$L$711-1),IF($R$17="Distrato",$E1038,0))),0,YEARFRAC(MAX($P$708*($B1038+IF($R$17="Distrato",$I$38-1,0)),IF(AND($L$711=0,$P$708=0),"",$L$711-1),IF($R$17="Distrato",$E1038,0)),MIN(V$38,$D$19),$P$20))-SUM($P1038:U1038)</f>
        <v>#VALUE!</v>
      </c>
      <c r="W1038" s="446" t="e">
        <f>IF(OR($B1038="",MIN(W$38,$D$19)&lt;MAX($P$708*($B1038+IF($R$17="Distrato",$I$38-1,0)),IF(AND($L$711=0,$P$708=0),"",$L$711-1),IF($R$17="Distrato",$E1038,0))),0,YEARFRAC(MAX($P$708*($B1038+IF($R$17="Distrato",$I$38-1,0)),IF(AND($L$711=0,$P$708=0),"",$L$711-1),IF($R$17="Distrato",$E1038,0)),MIN(W$38,$D$19),$P$20))-SUM($P1038:V1038)</f>
        <v>#VALUE!</v>
      </c>
      <c r="X1038" s="446" t="e">
        <f>IF(OR($B1038="",MIN(X$38,$D$19)&lt;MAX($P$708*($B1038+IF($R$17="Distrato",$I$38-1,0)),IF(AND($L$711=0,$P$708=0),"",$L$711-1),IF($R$17="Distrato",$E1038,0))),0,YEARFRAC(MAX($P$708*($B1038+IF($R$17="Distrato",$I$38-1,0)),IF(AND($L$711=0,$P$708=0),"",$L$711-1),IF($R$17="Distrato",$E1038,0)),MIN(X$38,$D$19),$P$20))-SUM($P1038:W1038)</f>
        <v>#VALUE!</v>
      </c>
      <c r="Y1038" s="446" t="e">
        <f>IF(OR($B1038="",MIN(Y$38,$D$19)&lt;MAX($P$708*($B1038+IF($R$17="Distrato",$I$38-1,0)),IF(AND($L$711=0,$P$708=0),"",$L$711-1),IF($R$17="Distrato",$E1038,0))),0,YEARFRAC(MAX($P$708*($B1038+IF($R$17="Distrato",$I$38-1,0)),IF(AND($L$711=0,$P$708=0),"",$L$711-1),IF($R$17="Distrato",$E1038,0)),MIN(Y$38,$D$19),$P$20))-SUM($P1038:X1038)</f>
        <v>#VALUE!</v>
      </c>
      <c r="Z1038" s="446" t="e">
        <f>IF(OR($B1038="",MIN(Z$38,$D$19)&lt;MAX($P$708*($B1038+IF($R$17="Distrato",$I$38-1,0)),IF(AND($L$711=0,$P$708=0),"",$L$711-1),IF($R$17="Distrato",$E1038,0))),0,YEARFRAC(MAX($P$708*($B1038+IF($R$17="Distrato",$I$38-1,0)),IF(AND($L$711=0,$P$708=0),"",$L$711-1),IF($R$17="Distrato",$E1038,0)),MIN(Z$38,$D$19),$P$20))-SUM($P1038:Y1038)</f>
        <v>#VALUE!</v>
      </c>
      <c r="AA1038" s="446" t="e">
        <f>IF(OR($B1038="",MIN(AA$38,$D$19)&lt;MAX($P$708*($B1038+IF($R$17="Distrato",$I$38-1,0)),IF(AND($L$711=0,$P$708=0),"",$L$711-1),IF($R$17="Distrato",$E1038,0))),0,YEARFRAC(MAX($P$708*($B1038+IF($R$17="Distrato",$I$38-1,0)),IF(AND($L$711=0,$P$708=0),"",$L$711-1),IF($R$17="Distrato",$E1038,0)),MIN(AA$38,$D$19),$P$20))-SUM($P1038:Z1038)</f>
        <v>#VALUE!</v>
      </c>
      <c r="AB1038" s="446" t="e">
        <f>IF(OR($B1038="",MIN(AB$38,$D$19)&lt;MAX($P$708*($B1038+IF($R$17="Distrato",$I$38-1,0)),IF(AND($L$711=0,$P$708=0),"",$L$711-1),IF($R$17="Distrato",$E1038,0))),0,YEARFRAC(MAX($P$708*($B1038+IF($R$17="Distrato",$I$38-1,0)),IF(AND($L$711=0,$P$708=0),"",$L$711-1),IF($R$17="Distrato",$E1038,0)),MIN(AB$38,$D$19),$P$20))-SUM($P1038:AA1038)</f>
        <v>#VALUE!</v>
      </c>
      <c r="AC1038" s="446" t="e">
        <f>IF(OR($B1038="",MIN(AC$38,$D$19)&lt;MAX($P$708*($B1038+IF($R$17="Distrato",$I$38-1,0)),IF(AND($L$711=0,$P$708=0),"",$L$711-1),IF($R$17="Distrato",$E1038,0))),0,YEARFRAC(MAX($P$708*($B1038+IF($R$17="Distrato",$I$38-1,0)),IF(AND($L$711=0,$P$708=0),"",$L$711-1),IF($R$17="Distrato",$E1038,0)),MIN(AC$38,$D$19),$P$20))-SUM($P1038:AB1038)</f>
        <v>#VALUE!</v>
      </c>
      <c r="AD1038" s="446" t="e">
        <f>IF(OR($B1038="",MIN(AD$38,$D$19)&lt;MAX($P$708*($B1038+IF($R$17="Distrato",$I$38-1,0)),IF(AND($L$711=0,$P$708=0),"",$L$711-1),IF($R$17="Distrato",$E1038,0))),0,YEARFRAC(MAX($P$708*($B1038+IF($R$17="Distrato",$I$38-1,0)),IF(AND($L$711=0,$P$708=0),"",$L$711-1),IF($R$17="Distrato",$E1038,0)),MIN(AD$38,$D$19),$P$20))-SUM($P1038:AC1038)</f>
        <v>#VALUE!</v>
      </c>
      <c r="AE1038" s="446" t="e">
        <f>IF(OR($B1038="",MIN(AE$38,$D$19)&lt;MAX($P$708*($B1038+IF($R$17="Distrato",$I$38-1,0)),IF(AND($L$711=0,$P$708=0),"",$L$711-1),IF($R$17="Distrato",$E1038,0))),0,YEARFRAC(MAX($P$708*($B1038+IF($R$17="Distrato",$I$38-1,0)),IF(AND($L$711=0,$P$708=0),"",$L$711-1),IF($R$17="Distrato",$E1038,0)),MIN(AE$38,$D$19),$P$20))-SUM($P1038:AD1038)</f>
        <v>#VALUE!</v>
      </c>
      <c r="AF1038" s="446" t="e">
        <f>IF(OR($B1038="",MIN(AF$38,$D$19)&lt;MAX($P$708*($B1038+IF($R$17="Distrato",$I$38-1,0)),IF(AND($L$711=0,$P$708=0),"",$L$711-1),IF($R$17="Distrato",$E1038,0))),0,YEARFRAC(MAX($P$708*($B1038+IF($R$17="Distrato",$I$38-1,0)),IF(AND($L$711=0,$P$708=0),"",$L$711-1),IF($R$17="Distrato",$E1038,0)),MIN(AF$38,$D$19),$P$20))-SUM($P1038:AE1038)</f>
        <v>#VALUE!</v>
      </c>
      <c r="AG1038" s="446" t="e">
        <f>IF(OR($B1038="",MIN(AG$38,$D$19)&lt;MAX($P$708*($B1038+IF($R$17="Distrato",$I$38-1,0)),IF(AND($L$711=0,$P$708=0),"",$L$711-1),IF($R$17="Distrato",$E1038,0))),0,YEARFRAC(MAX($P$708*($B1038+IF($R$17="Distrato",$I$38-1,0)),IF(AND($L$711=0,$P$708=0),"",$L$711-1),IF($R$17="Distrato",$E1038,0)),MIN(AG$38,$D$19),$P$20))-SUM($P1038:AF1038)</f>
        <v>#VALUE!</v>
      </c>
      <c r="AH1038" s="446" t="e">
        <f>IF(OR($B1038="",MIN(AH$38,$D$19)&lt;MAX($P$708*($B1038+IF($R$17="Distrato",$I$38-1,0)),IF(AND($L$711=0,$P$708=0),"",$L$711-1),IF($R$17="Distrato",$E1038,0))),0,YEARFRAC(MAX($P$708*($B1038+IF($R$17="Distrato",$I$38-1,0)),IF(AND($L$711=0,$P$708=0),"",$L$711-1),IF($R$17="Distrato",$E1038,0)),MIN(AH$38,$D$19),$P$20))-SUM($P1038:AG1038)</f>
        <v>#VALUE!</v>
      </c>
      <c r="AI1038" s="446" t="e">
        <f>IF(OR($B1038="",MIN(AI$38,$D$19)&lt;MAX($P$708*($B1038+IF($R$17="Distrato",$I$38-1,0)),IF(AND($L$711=0,$P$708=0),"",$L$711-1),IF($R$17="Distrato",$E1038,0))),0,YEARFRAC(MAX($P$708*($B1038+IF($R$17="Distrato",$I$38-1,0)),IF(AND($L$711=0,$P$708=0),"",$L$711-1),IF($R$17="Distrato",$E1038,0)),MIN(AI$38,$D$19),$P$20))-SUM($P1038:AH1038)</f>
        <v>#VALUE!</v>
      </c>
      <c r="AJ1038" s="446" t="e">
        <f>IF(OR($B1038="",MIN(AJ$38,$D$19)&lt;MAX($P$708*($B1038+IF($R$17="Distrato",$I$38-1,0)),IF(AND($L$711=0,$P$708=0),"",$L$711-1),IF($R$17="Distrato",$E1038,0))),0,YEARFRAC(MAX($P$708*($B1038+IF($R$17="Distrato",$I$38-1,0)),IF(AND($L$711=0,$P$708=0),"",$L$711-1),IF($R$17="Distrato",$E1038,0)),MIN(AJ$38,$D$19),$P$20))-SUM($P1038:AI1038)</f>
        <v>#VALUE!</v>
      </c>
      <c r="AK1038" s="446" t="e">
        <f>IF(OR($B1038="",MIN(AK$38,$D$19)&lt;MAX($P$708*($B1038+IF($R$17="Distrato",$I$38-1,0)),IF(AND($L$711=0,$P$708=0),"",$L$711-1),IF($R$17="Distrato",$E1038,0))),0,YEARFRAC(MAX($P$708*($B1038+IF($R$17="Distrato",$I$38-1,0)),IF(AND($L$711=0,$P$708=0),"",$L$711-1),IF($R$17="Distrato",$E1038,0)),MIN(AK$38,$D$19),$P$20))-SUM($P1038:AJ1038)</f>
        <v>#VALUE!</v>
      </c>
      <c r="AL1038" s="446" t="e">
        <f>IF(OR($B1038="",MIN(AL$38,$D$19)&lt;MAX($P$708*($B1038+IF($R$17="Distrato",$I$38-1,0)),IF(AND($L$711=0,$P$708=0),"",$L$711-1),IF($R$17="Distrato",$E1038,0))),0,YEARFRAC(MAX($P$708*($B1038+IF($R$17="Distrato",$I$38-1,0)),IF(AND($L$711=0,$P$708=0),"",$L$711-1),IF($R$17="Distrato",$E1038,0)),MIN(AL$38,$D$19),$P$20))-SUM($P1038:AK1038)</f>
        <v>#VALUE!</v>
      </c>
      <c r="AM1038" s="446" t="e">
        <f>IF(OR($B1038="",MIN(AM$38,$D$19)&lt;MAX($P$708*($B1038+IF($R$17="Distrato",$I$38-1,0)),IF(AND($L$711=0,$P$708=0),"",$L$711-1),IF($R$17="Distrato",$E1038,0))),0,YEARFRAC(MAX($P$708*($B1038+IF($R$17="Distrato",$I$38-1,0)),IF(AND($L$711=0,$P$708=0),"",$L$711-1),IF($R$17="Distrato",$E1038,0)),MIN(AM$38,$D$19),$P$20))-SUM($P1038:AL1038)</f>
        <v>#VALUE!</v>
      </c>
      <c r="AN1038" s="446" t="e">
        <f>IF(OR($B1038="",MIN(AN$38,$D$19)&lt;MAX($P$708*($B1038+IF($R$17="Distrato",$I$38-1,0)),IF(AND($L$711=0,$P$708=0),"",$L$711-1),IF($R$17="Distrato",$E1038,0))),0,YEARFRAC(MAX($P$708*($B1038+IF($R$17="Distrato",$I$38-1,0)),IF(AND($L$711=0,$P$708=0),"",$L$711-1),IF($R$17="Distrato",$E1038,0)),MIN(AN$38,$D$19),$P$20))-SUM($P1038:AM1038)</f>
        <v>#VALUE!</v>
      </c>
      <c r="AO1038" s="446" t="e">
        <f>IF(OR($B1038="",MIN(AO$38,$D$19)&lt;MAX($P$708*($B1038+IF($R$17="Distrato",$I$38-1,0)),IF(AND($L$711=0,$P$708=0),"",$L$711-1),IF($R$17="Distrato",$E1038,0))),0,YEARFRAC(MAX($P$708*($B1038+IF($R$17="Distrato",$I$38-1,0)),IF(AND($L$711=0,$P$708=0),"",$L$711-1),IF($R$17="Distrato",$E1038,0)),MIN(AO$38,$D$19),$P$20))-SUM($P1038:AN1038)</f>
        <v>#VALUE!</v>
      </c>
      <c r="AP1038" s="446" t="e">
        <f>IF(OR($B1038="",MIN(AP$38,$D$19)&lt;MAX($P$708*($B1038+IF($R$17="Distrato",$I$38-1,0)),IF(AND($L$711=0,$P$708=0),"",$L$711-1),IF($R$17="Distrato",$E1038,0))),0,YEARFRAC(MAX($P$708*($B1038+IF($R$17="Distrato",$I$38-1,0)),IF(AND($L$711=0,$P$708=0),"",$L$711-1),IF($R$17="Distrato",$E1038,0)),MIN(AP$38,$D$19),$P$20))-SUM($P1038:AO1038)</f>
        <v>#VALUE!</v>
      </c>
      <c r="AQ1038" s="446" t="e">
        <f>IF(OR($B1038="",MIN(AQ$38,$D$19)&lt;MAX($P$708*($B1038+IF($R$17="Distrato",$I$38-1,0)),IF(AND($L$711=0,$P$708=0),"",$L$711-1),IF($R$17="Distrato",$E1038,0))),0,YEARFRAC(MAX($P$708*($B1038+IF($R$17="Distrato",$I$38-1,0)),IF(AND($L$711=0,$P$708=0),"",$L$711-1),IF($R$17="Distrato",$E1038,0)),MIN(AQ$38,$D$19),$P$20))-SUM($P1038:AP1038)</f>
        <v>#VALUE!</v>
      </c>
      <c r="AR1038" s="446" t="e">
        <f>IF(OR($B1038="",MIN(AR$38,$D$19)&lt;MAX($P$708*($B1038+IF($R$17="Distrato",$I$38-1,0)),IF(AND($L$711=0,$P$708=0),"",$L$711-1),IF($R$17="Distrato",$E1038,0))),0,YEARFRAC(MAX($P$708*($B1038+IF($R$17="Distrato",$I$38-1,0)),IF(AND($L$711=0,$P$708=0),"",$L$711-1),IF($R$17="Distrato",$E1038,0)),MIN(AR$38,$D$19),$P$20))-SUM($P1038:AQ1038)</f>
        <v>#VALUE!</v>
      </c>
      <c r="AS1038" s="446" t="e">
        <f>IF(OR($B1038="",MIN(AS$38,$D$19)&lt;MAX($P$708*($B1038+IF($R$17="Distrato",$I$38-1,0)),IF(AND($L$711=0,$P$708=0),"",$L$711-1),IF($R$17="Distrato",$E1038,0))),0,YEARFRAC(MAX($P$708*($B1038+IF($R$17="Distrato",$I$38-1,0)),IF(AND($L$711=0,$P$708=0),"",$L$711-1),IF($R$17="Distrato",$E1038,0)),MIN(AS$38,$D$19),$P$20))-SUM($P1038:AR1038)</f>
        <v>#VALUE!</v>
      </c>
      <c r="AT1038" s="446" t="e">
        <f>IF(OR($B1038="",MIN(AT$38,$D$19)&lt;MAX($P$708*($B1038+IF($R$17="Distrato",$I$38-1,0)),IF(AND($L$711=0,$P$708=0),"",$L$711-1),IF($R$17="Distrato",$E1038,0))),0,YEARFRAC(MAX($P$708*($B1038+IF($R$17="Distrato",$I$38-1,0)),IF(AND($L$711=0,$P$708=0),"",$L$711-1),IF($R$17="Distrato",$E1038,0)),MIN(AT$38,$D$19),$P$20))-SUM($P1038:AS1038)</f>
        <v>#VALUE!</v>
      </c>
      <c r="AU1038" s="446" t="e">
        <f>IF(OR($B1038="",MIN(AU$38,$D$19)&lt;MAX($P$708*($B1038+IF($R$17="Distrato",$I$38-1,0)),IF(AND($L$711=0,$P$708=0),"",$L$711-1),IF($R$17="Distrato",$E1038,0))),0,YEARFRAC(MAX($P$708*($B1038+IF($R$17="Distrato",$I$38-1,0)),IF(AND($L$711=0,$P$708=0),"",$L$711-1),IF($R$17="Distrato",$E1038,0)),MIN(AU$38,$D$19),$P$20))-SUM($P1038:AT1038)</f>
        <v>#VALUE!</v>
      </c>
      <c r="AV1038" s="446" t="e">
        <f>IF(OR($B1038="",MIN(AV$38,$D$19)&lt;MAX($P$708*($B1038+IF($R$17="Distrato",$I$38-1,0)),IF(AND($L$711=0,$P$708=0),"",$L$711-1),IF($R$17="Distrato",$E1038,0))),0,YEARFRAC(MAX($P$708*($B1038+IF($R$17="Distrato",$I$38-1,0)),IF(AND($L$711=0,$P$708=0),"",$L$711-1),IF($R$17="Distrato",$E1038,0)),MIN(AV$38,$D$19),$P$20))-SUM($P1038:AU1038)</f>
        <v>#VALUE!</v>
      </c>
      <c r="AW1038" s="446" t="e">
        <f>IF(OR($B1038="",MIN(AW$38,$D$19)&lt;MAX($P$708*($B1038+IF($R$17="Distrato",$I$38-1,0)),IF(AND($L$711=0,$P$708=0),"",$L$711-1),IF($R$17="Distrato",$E1038,0))),0,YEARFRAC(MAX($P$708*($B1038+IF($R$17="Distrato",$I$38-1,0)),IF(AND($L$711=0,$P$708=0),"",$L$711-1),IF($R$17="Distrato",$E1038,0)),MIN(AW$38,$D$19),$P$20))-SUM($P1038:AV1038)</f>
        <v>#VALUE!</v>
      </c>
      <c r="AX1038" s="446" t="e">
        <f>IF(OR($B1038="",MIN(AX$38,$D$19)&lt;MAX($P$708*($B1038+IF($R$17="Distrato",$I$38-1,0)),IF(AND($L$711=0,$P$708=0),"",$L$711-1),IF($R$17="Distrato",$E1038,0))),0,YEARFRAC(MAX($P$708*($B1038+IF($R$17="Distrato",$I$38-1,0)),IF(AND($L$711=0,$P$708=0),"",$L$711-1),IF($R$17="Distrato",$E1038,0)),MIN(AX$38,$D$19),$P$20))-SUM($P1038:AW1038)</f>
        <v>#VALUE!</v>
      </c>
      <c r="AY1038" s="446" t="e">
        <f>IF(OR($B1038="",MIN(AY$38,$D$19)&lt;MAX($P$708*($B1038+IF($R$17="Distrato",$I$38-1,0)),IF(AND($L$711=0,$P$708=0),"",$L$711-1),IF($R$17="Distrato",$E1038,0))),0,YEARFRAC(MAX($P$708*($B1038+IF($R$17="Distrato",$I$38-1,0)),IF(AND($L$711=0,$P$708=0),"",$L$711-1),IF($R$17="Distrato",$E1038,0)),MIN(AY$38,$D$19),$P$20))-SUM($P1038:AX1038)</f>
        <v>#VALUE!</v>
      </c>
      <c r="AZ1038" s="446" t="e">
        <f>IF(OR($B1038="",MIN(AZ$38,$D$19)&lt;MAX($P$708*($B1038+IF($R$17="Distrato",$I$38-1,0)),IF(AND($L$711=0,$P$708=0),"",$L$711-1),IF($R$17="Distrato",$E1038,0))),0,YEARFRAC(MAX($P$708*($B1038+IF($R$17="Distrato",$I$38-1,0)),IF(AND($L$711=0,$P$708=0),"",$L$711-1),IF($R$17="Distrato",$E1038,0)),MIN(AZ$38,$D$19),$P$20))-SUM($P1038:AY1038)</f>
        <v>#VALUE!</v>
      </c>
      <c r="BA1038" s="446" t="e">
        <f>IF(OR($B1038="",MIN(BA$38,$D$19)&lt;MAX($P$708*($B1038+IF($R$17="Distrato",$I$38-1,0)),IF(AND($L$711=0,$P$708=0),"",$L$711-1),IF($R$17="Distrato",$E1038,0))),0,YEARFRAC(MAX($P$708*($B1038+IF($R$17="Distrato",$I$38-1,0)),IF(AND($L$711=0,$P$708=0),"",$L$711-1),IF($R$17="Distrato",$E1038,0)),MIN(BA$38,$D$19),$P$20))-SUM($P1038:AZ1038)</f>
        <v>#VALUE!</v>
      </c>
      <c r="BB1038" s="447"/>
    </row>
    <row r="1039" spans="1:54" s="446" customFormat="1" ht="11.25" hidden="1" customHeight="1" x14ac:dyDescent="0.2">
      <c r="A1039" s="235"/>
      <c r="B1039" s="236"/>
      <c r="C1039" s="29" t="str">
        <f>IF(B1039="","",IF($L$709=$BL$25,VLOOKUP(DATE(YEAR($D$19),MONTH($D$19)-1,1),ÍNDICES!$A:$DE,HLOOKUP($BL$25,ÍNDICES!$B$3:$T$4,2)+11)-VLOOKUP(B1039,ÍNDICES!$A:$DE,HLOOKUP($BL$25,ÍNDICES!$B$3:$T$4,2)+11)+1%,IF(C$712=$W$26,$J$35,IF(ISERROR(IF(B1039&gt;$D$19,1,VLOOKUP(DATE(YEAR(B1039),MONTH(B1039)+IF($C$709=$S$23,1,0),1),ÍNDICES!$A:$DE,$Z$709+1))),"",IF(B1039&gt;$D$19,1,VLOOKUP(DATE(YEAR(B1039),MONTH(B1039)+IF($C$709=$S$23,1,0),1),ÍNDICES!$A:$DE,$Z$709+1))))))</f>
        <v/>
      </c>
      <c r="D1039" s="155"/>
      <c r="E1039" s="88"/>
      <c r="F1039" s="88"/>
      <c r="G1039" s="88"/>
      <c r="H1039" s="118"/>
      <c r="I1039" s="182">
        <f t="shared" si="150"/>
        <v>0</v>
      </c>
      <c r="J1039" s="20">
        <f t="shared" ca="1" si="151"/>
        <v>0</v>
      </c>
      <c r="K1039" s="5">
        <f t="shared" ca="1" si="152"/>
        <v>0</v>
      </c>
      <c r="L1039" s="61">
        <f t="shared" ca="1" si="153"/>
        <v>0</v>
      </c>
      <c r="M1039" s="64">
        <f t="shared" si="154"/>
        <v>0</v>
      </c>
      <c r="N1039" s="151"/>
      <c r="O1039" s="5">
        <f t="shared" ca="1" si="155"/>
        <v>0</v>
      </c>
      <c r="P1039" s="446" t="e">
        <f t="shared" si="156"/>
        <v>#VALUE!</v>
      </c>
      <c r="Q1039" s="446" t="e">
        <f>IF(OR($B1039="",MIN(Q$38,$D$19)&lt;MAX($P$708*($B1039+IF($R$17="Distrato",$I$38-1,0)),IF(AND($L$711=0,$P$708=0),"",$L$711-1),IF($R$17="Distrato",$E1039,0))),0,YEARFRAC(MAX($P$708*($B1039+IF($R$17="Distrato",$I$38-1,0)),IF(AND($L$711=0,$P$708=0),"",$L$711-1),IF($R$17="Distrato",$E1039,0)),MIN(Q$38,$D$19),$P$20))-SUM($P1039:P1039)</f>
        <v>#VALUE!</v>
      </c>
      <c r="R1039" s="446" t="e">
        <f>IF(OR($B1039="",MIN(R$38,$D$19)&lt;MAX($P$708*($B1039+IF($R$17="Distrato",$I$38-1,0)),IF(AND($L$711=0,$P$708=0),"",$L$711-1),IF($R$17="Distrato",$E1039,0))),0,YEARFRAC(MAX($P$708*($B1039+IF($R$17="Distrato",$I$38-1,0)),IF(AND($L$711=0,$P$708=0),"",$L$711-1),IF($R$17="Distrato",$E1039,0)),MIN(R$38,$D$19),$P$20))-SUM($P1039:Q1039)</f>
        <v>#VALUE!</v>
      </c>
      <c r="S1039" s="446" t="e">
        <f>IF(OR($B1039="",MIN(S$38,$D$19)&lt;MAX($P$708*($B1039+IF($R$17="Distrato",$I$38-1,0)),IF(AND($L$711=0,$P$708=0),"",$L$711-1),IF($R$17="Distrato",$E1039,0))),0,YEARFRAC(MAX($P$708*($B1039+IF($R$17="Distrato",$I$38-1,0)),IF(AND($L$711=0,$P$708=0),"",$L$711-1),IF($R$17="Distrato",$E1039,0)),MIN(S$38,$D$19),$P$20))-SUM($P1039:R1039)</f>
        <v>#VALUE!</v>
      </c>
      <c r="T1039" s="446" t="e">
        <f>IF(OR($B1039="",MIN(T$38,$D$19)&lt;MAX($P$708*($B1039+IF($R$17="Distrato",$I$38-1,0)),IF(AND($L$711=0,$P$708=0),"",$L$711-1),IF($R$17="Distrato",$E1039,0))),0,YEARFRAC(MAX($P$708*($B1039+IF($R$17="Distrato",$I$38-1,0)),IF(AND($L$711=0,$P$708=0),"",$L$711-1),IF($R$17="Distrato",$E1039,0)),MIN(T$38,$D$19),$P$20))-SUM($P1039:S1039)</f>
        <v>#VALUE!</v>
      </c>
      <c r="U1039" s="446" t="e">
        <f>IF(OR($B1039="",MIN(U$38,$D$19)&lt;MAX($P$708*($B1039+IF($R$17="Distrato",$I$38-1,0)),IF(AND($L$711=0,$P$708=0),"",$L$711-1),IF($R$17="Distrato",$E1039,0))),0,YEARFRAC(MAX($P$708*($B1039+IF($R$17="Distrato",$I$38-1,0)),IF(AND($L$711=0,$P$708=0),"",$L$711-1),IF($R$17="Distrato",$E1039,0)),MIN(U$38,$D$19),$P$20))-SUM($P1039:T1039)</f>
        <v>#VALUE!</v>
      </c>
      <c r="V1039" s="446" t="e">
        <f>IF(OR($B1039="",MIN(V$38,$D$19)&lt;MAX($P$708*($B1039+IF($R$17="Distrato",$I$38-1,0)),IF(AND($L$711=0,$P$708=0),"",$L$711-1),IF($R$17="Distrato",$E1039,0))),0,YEARFRAC(MAX($P$708*($B1039+IF($R$17="Distrato",$I$38-1,0)),IF(AND($L$711=0,$P$708=0),"",$L$711-1),IF($R$17="Distrato",$E1039,0)),MIN(V$38,$D$19),$P$20))-SUM($P1039:U1039)</f>
        <v>#VALUE!</v>
      </c>
      <c r="W1039" s="446" t="e">
        <f>IF(OR($B1039="",MIN(W$38,$D$19)&lt;MAX($P$708*($B1039+IF($R$17="Distrato",$I$38-1,0)),IF(AND($L$711=0,$P$708=0),"",$L$711-1),IF($R$17="Distrato",$E1039,0))),0,YEARFRAC(MAX($P$708*($B1039+IF($R$17="Distrato",$I$38-1,0)),IF(AND($L$711=0,$P$708=0),"",$L$711-1),IF($R$17="Distrato",$E1039,0)),MIN(W$38,$D$19),$P$20))-SUM($P1039:V1039)</f>
        <v>#VALUE!</v>
      </c>
      <c r="X1039" s="446" t="e">
        <f>IF(OR($B1039="",MIN(X$38,$D$19)&lt;MAX($P$708*($B1039+IF($R$17="Distrato",$I$38-1,0)),IF(AND($L$711=0,$P$708=0),"",$L$711-1),IF($R$17="Distrato",$E1039,0))),0,YEARFRAC(MAX($P$708*($B1039+IF($R$17="Distrato",$I$38-1,0)),IF(AND($L$711=0,$P$708=0),"",$L$711-1),IF($R$17="Distrato",$E1039,0)),MIN(X$38,$D$19),$P$20))-SUM($P1039:W1039)</f>
        <v>#VALUE!</v>
      </c>
      <c r="Y1039" s="446" t="e">
        <f>IF(OR($B1039="",MIN(Y$38,$D$19)&lt;MAX($P$708*($B1039+IF($R$17="Distrato",$I$38-1,0)),IF(AND($L$711=0,$P$708=0),"",$L$711-1),IF($R$17="Distrato",$E1039,0))),0,YEARFRAC(MAX($P$708*($B1039+IF($R$17="Distrato",$I$38-1,0)),IF(AND($L$711=0,$P$708=0),"",$L$711-1),IF($R$17="Distrato",$E1039,0)),MIN(Y$38,$D$19),$P$20))-SUM($P1039:X1039)</f>
        <v>#VALUE!</v>
      </c>
      <c r="Z1039" s="446" t="e">
        <f>IF(OR($B1039="",MIN(Z$38,$D$19)&lt;MAX($P$708*($B1039+IF($R$17="Distrato",$I$38-1,0)),IF(AND($L$711=0,$P$708=0),"",$L$711-1),IF($R$17="Distrato",$E1039,0))),0,YEARFRAC(MAX($P$708*($B1039+IF($R$17="Distrato",$I$38-1,0)),IF(AND($L$711=0,$P$708=0),"",$L$711-1),IF($R$17="Distrato",$E1039,0)),MIN(Z$38,$D$19),$P$20))-SUM($P1039:Y1039)</f>
        <v>#VALUE!</v>
      </c>
      <c r="AA1039" s="446" t="e">
        <f>IF(OR($B1039="",MIN(AA$38,$D$19)&lt;MAX($P$708*($B1039+IF($R$17="Distrato",$I$38-1,0)),IF(AND($L$711=0,$P$708=0),"",$L$711-1),IF($R$17="Distrato",$E1039,0))),0,YEARFRAC(MAX($P$708*($B1039+IF($R$17="Distrato",$I$38-1,0)),IF(AND($L$711=0,$P$708=0),"",$L$711-1),IF($R$17="Distrato",$E1039,0)),MIN(AA$38,$D$19),$P$20))-SUM($P1039:Z1039)</f>
        <v>#VALUE!</v>
      </c>
      <c r="AB1039" s="446" t="e">
        <f>IF(OR($B1039="",MIN(AB$38,$D$19)&lt;MAX($P$708*($B1039+IF($R$17="Distrato",$I$38-1,0)),IF(AND($L$711=0,$P$708=0),"",$L$711-1),IF($R$17="Distrato",$E1039,0))),0,YEARFRAC(MAX($P$708*($B1039+IF($R$17="Distrato",$I$38-1,0)),IF(AND($L$711=0,$P$708=0),"",$L$711-1),IF($R$17="Distrato",$E1039,0)),MIN(AB$38,$D$19),$P$20))-SUM($P1039:AA1039)</f>
        <v>#VALUE!</v>
      </c>
      <c r="AC1039" s="446" t="e">
        <f>IF(OR($B1039="",MIN(AC$38,$D$19)&lt;MAX($P$708*($B1039+IF($R$17="Distrato",$I$38-1,0)),IF(AND($L$711=0,$P$708=0),"",$L$711-1),IF($R$17="Distrato",$E1039,0))),0,YEARFRAC(MAX($P$708*($B1039+IF($R$17="Distrato",$I$38-1,0)),IF(AND($L$711=0,$P$708=0),"",$L$711-1),IF($R$17="Distrato",$E1039,0)),MIN(AC$38,$D$19),$P$20))-SUM($P1039:AB1039)</f>
        <v>#VALUE!</v>
      </c>
      <c r="AD1039" s="446" t="e">
        <f>IF(OR($B1039="",MIN(AD$38,$D$19)&lt;MAX($P$708*($B1039+IF($R$17="Distrato",$I$38-1,0)),IF(AND($L$711=0,$P$708=0),"",$L$711-1),IF($R$17="Distrato",$E1039,0))),0,YEARFRAC(MAX($P$708*($B1039+IF($R$17="Distrato",$I$38-1,0)),IF(AND($L$711=0,$P$708=0),"",$L$711-1),IF($R$17="Distrato",$E1039,0)),MIN(AD$38,$D$19),$P$20))-SUM($P1039:AC1039)</f>
        <v>#VALUE!</v>
      </c>
      <c r="AE1039" s="446" t="e">
        <f>IF(OR($B1039="",MIN(AE$38,$D$19)&lt;MAX($P$708*($B1039+IF($R$17="Distrato",$I$38-1,0)),IF(AND($L$711=0,$P$708=0),"",$L$711-1),IF($R$17="Distrato",$E1039,0))),0,YEARFRAC(MAX($P$708*($B1039+IF($R$17="Distrato",$I$38-1,0)),IF(AND($L$711=0,$P$708=0),"",$L$711-1),IF($R$17="Distrato",$E1039,0)),MIN(AE$38,$D$19),$P$20))-SUM($P1039:AD1039)</f>
        <v>#VALUE!</v>
      </c>
      <c r="AF1039" s="446" t="e">
        <f>IF(OR($B1039="",MIN(AF$38,$D$19)&lt;MAX($P$708*($B1039+IF($R$17="Distrato",$I$38-1,0)),IF(AND($L$711=0,$P$708=0),"",$L$711-1),IF($R$17="Distrato",$E1039,0))),0,YEARFRAC(MAX($P$708*($B1039+IF($R$17="Distrato",$I$38-1,0)),IF(AND($L$711=0,$P$708=0),"",$L$711-1),IF($R$17="Distrato",$E1039,0)),MIN(AF$38,$D$19),$P$20))-SUM($P1039:AE1039)</f>
        <v>#VALUE!</v>
      </c>
      <c r="AG1039" s="446" t="e">
        <f>IF(OR($B1039="",MIN(AG$38,$D$19)&lt;MAX($P$708*($B1039+IF($R$17="Distrato",$I$38-1,0)),IF(AND($L$711=0,$P$708=0),"",$L$711-1),IF($R$17="Distrato",$E1039,0))),0,YEARFRAC(MAX($P$708*($B1039+IF($R$17="Distrato",$I$38-1,0)),IF(AND($L$711=0,$P$708=0),"",$L$711-1),IF($R$17="Distrato",$E1039,0)),MIN(AG$38,$D$19),$P$20))-SUM($P1039:AF1039)</f>
        <v>#VALUE!</v>
      </c>
      <c r="AH1039" s="446" t="e">
        <f>IF(OR($B1039="",MIN(AH$38,$D$19)&lt;MAX($P$708*($B1039+IF($R$17="Distrato",$I$38-1,0)),IF(AND($L$711=0,$P$708=0),"",$L$711-1),IF($R$17="Distrato",$E1039,0))),0,YEARFRAC(MAX($P$708*($B1039+IF($R$17="Distrato",$I$38-1,0)),IF(AND($L$711=0,$P$708=0),"",$L$711-1),IF($R$17="Distrato",$E1039,0)),MIN(AH$38,$D$19),$P$20))-SUM($P1039:AG1039)</f>
        <v>#VALUE!</v>
      </c>
      <c r="AI1039" s="446" t="e">
        <f>IF(OR($B1039="",MIN(AI$38,$D$19)&lt;MAX($P$708*($B1039+IF($R$17="Distrato",$I$38-1,0)),IF(AND($L$711=0,$P$708=0),"",$L$711-1),IF($R$17="Distrato",$E1039,0))),0,YEARFRAC(MAX($P$708*($B1039+IF($R$17="Distrato",$I$38-1,0)),IF(AND($L$711=0,$P$708=0),"",$L$711-1),IF($R$17="Distrato",$E1039,0)),MIN(AI$38,$D$19),$P$20))-SUM($P1039:AH1039)</f>
        <v>#VALUE!</v>
      </c>
      <c r="AJ1039" s="446" t="e">
        <f>IF(OR($B1039="",MIN(AJ$38,$D$19)&lt;MAX($P$708*($B1039+IF($R$17="Distrato",$I$38-1,0)),IF(AND($L$711=0,$P$708=0),"",$L$711-1),IF($R$17="Distrato",$E1039,0))),0,YEARFRAC(MAX($P$708*($B1039+IF($R$17="Distrato",$I$38-1,0)),IF(AND($L$711=0,$P$708=0),"",$L$711-1),IF($R$17="Distrato",$E1039,0)),MIN(AJ$38,$D$19),$P$20))-SUM($P1039:AI1039)</f>
        <v>#VALUE!</v>
      </c>
      <c r="AK1039" s="446" t="e">
        <f>IF(OR($B1039="",MIN(AK$38,$D$19)&lt;MAX($P$708*($B1039+IF($R$17="Distrato",$I$38-1,0)),IF(AND($L$711=0,$P$708=0),"",$L$711-1),IF($R$17="Distrato",$E1039,0))),0,YEARFRAC(MAX($P$708*($B1039+IF($R$17="Distrato",$I$38-1,0)),IF(AND($L$711=0,$P$708=0),"",$L$711-1),IF($R$17="Distrato",$E1039,0)),MIN(AK$38,$D$19),$P$20))-SUM($P1039:AJ1039)</f>
        <v>#VALUE!</v>
      </c>
      <c r="AL1039" s="446" t="e">
        <f>IF(OR($B1039="",MIN(AL$38,$D$19)&lt;MAX($P$708*($B1039+IF($R$17="Distrato",$I$38-1,0)),IF(AND($L$711=0,$P$708=0),"",$L$711-1),IF($R$17="Distrato",$E1039,0))),0,YEARFRAC(MAX($P$708*($B1039+IF($R$17="Distrato",$I$38-1,0)),IF(AND($L$711=0,$P$708=0),"",$L$711-1),IF($R$17="Distrato",$E1039,0)),MIN(AL$38,$D$19),$P$20))-SUM($P1039:AK1039)</f>
        <v>#VALUE!</v>
      </c>
      <c r="AM1039" s="446" t="e">
        <f>IF(OR($B1039="",MIN(AM$38,$D$19)&lt;MAX($P$708*($B1039+IF($R$17="Distrato",$I$38-1,0)),IF(AND($L$711=0,$P$708=0),"",$L$711-1),IF($R$17="Distrato",$E1039,0))),0,YEARFRAC(MAX($P$708*($B1039+IF($R$17="Distrato",$I$38-1,0)),IF(AND($L$711=0,$P$708=0),"",$L$711-1),IF($R$17="Distrato",$E1039,0)),MIN(AM$38,$D$19),$P$20))-SUM($P1039:AL1039)</f>
        <v>#VALUE!</v>
      </c>
      <c r="AN1039" s="446" t="e">
        <f>IF(OR($B1039="",MIN(AN$38,$D$19)&lt;MAX($P$708*($B1039+IF($R$17="Distrato",$I$38-1,0)),IF(AND($L$711=0,$P$708=0),"",$L$711-1),IF($R$17="Distrato",$E1039,0))),0,YEARFRAC(MAX($P$708*($B1039+IF($R$17="Distrato",$I$38-1,0)),IF(AND($L$711=0,$P$708=0),"",$L$711-1),IF($R$17="Distrato",$E1039,0)),MIN(AN$38,$D$19),$P$20))-SUM($P1039:AM1039)</f>
        <v>#VALUE!</v>
      </c>
      <c r="AO1039" s="446" t="e">
        <f>IF(OR($B1039="",MIN(AO$38,$D$19)&lt;MAX($P$708*($B1039+IF($R$17="Distrato",$I$38-1,0)),IF(AND($L$711=0,$P$708=0),"",$L$711-1),IF($R$17="Distrato",$E1039,0))),0,YEARFRAC(MAX($P$708*($B1039+IF($R$17="Distrato",$I$38-1,0)),IF(AND($L$711=0,$P$708=0),"",$L$711-1),IF($R$17="Distrato",$E1039,0)),MIN(AO$38,$D$19),$P$20))-SUM($P1039:AN1039)</f>
        <v>#VALUE!</v>
      </c>
      <c r="AP1039" s="446" t="e">
        <f>IF(OR($B1039="",MIN(AP$38,$D$19)&lt;MAX($P$708*($B1039+IF($R$17="Distrato",$I$38-1,0)),IF(AND($L$711=0,$P$708=0),"",$L$711-1),IF($R$17="Distrato",$E1039,0))),0,YEARFRAC(MAX($P$708*($B1039+IF($R$17="Distrato",$I$38-1,0)),IF(AND($L$711=0,$P$708=0),"",$L$711-1),IF($R$17="Distrato",$E1039,0)),MIN(AP$38,$D$19),$P$20))-SUM($P1039:AO1039)</f>
        <v>#VALUE!</v>
      </c>
      <c r="AQ1039" s="446" t="e">
        <f>IF(OR($B1039="",MIN(AQ$38,$D$19)&lt;MAX($P$708*($B1039+IF($R$17="Distrato",$I$38-1,0)),IF(AND($L$711=0,$P$708=0),"",$L$711-1),IF($R$17="Distrato",$E1039,0))),0,YEARFRAC(MAX($P$708*($B1039+IF($R$17="Distrato",$I$38-1,0)),IF(AND($L$711=0,$P$708=0),"",$L$711-1),IF($R$17="Distrato",$E1039,0)),MIN(AQ$38,$D$19),$P$20))-SUM($P1039:AP1039)</f>
        <v>#VALUE!</v>
      </c>
      <c r="AR1039" s="446" t="e">
        <f>IF(OR($B1039="",MIN(AR$38,$D$19)&lt;MAX($P$708*($B1039+IF($R$17="Distrato",$I$38-1,0)),IF(AND($L$711=0,$P$708=0),"",$L$711-1),IF($R$17="Distrato",$E1039,0))),0,YEARFRAC(MAX($P$708*($B1039+IF($R$17="Distrato",$I$38-1,0)),IF(AND($L$711=0,$P$708=0),"",$L$711-1),IF($R$17="Distrato",$E1039,0)),MIN(AR$38,$D$19),$P$20))-SUM($P1039:AQ1039)</f>
        <v>#VALUE!</v>
      </c>
      <c r="AS1039" s="446" t="e">
        <f>IF(OR($B1039="",MIN(AS$38,$D$19)&lt;MAX($P$708*($B1039+IF($R$17="Distrato",$I$38-1,0)),IF(AND($L$711=0,$P$708=0),"",$L$711-1),IF($R$17="Distrato",$E1039,0))),0,YEARFRAC(MAX($P$708*($B1039+IF($R$17="Distrato",$I$38-1,0)),IF(AND($L$711=0,$P$708=0),"",$L$711-1),IF($R$17="Distrato",$E1039,0)),MIN(AS$38,$D$19),$P$20))-SUM($P1039:AR1039)</f>
        <v>#VALUE!</v>
      </c>
      <c r="AT1039" s="446" t="e">
        <f>IF(OR($B1039="",MIN(AT$38,$D$19)&lt;MAX($P$708*($B1039+IF($R$17="Distrato",$I$38-1,0)),IF(AND($L$711=0,$P$708=0),"",$L$711-1),IF($R$17="Distrato",$E1039,0))),0,YEARFRAC(MAX($P$708*($B1039+IF($R$17="Distrato",$I$38-1,0)),IF(AND($L$711=0,$P$708=0),"",$L$711-1),IF($R$17="Distrato",$E1039,0)),MIN(AT$38,$D$19),$P$20))-SUM($P1039:AS1039)</f>
        <v>#VALUE!</v>
      </c>
      <c r="AU1039" s="446" t="e">
        <f>IF(OR($B1039="",MIN(AU$38,$D$19)&lt;MAX($P$708*($B1039+IF($R$17="Distrato",$I$38-1,0)),IF(AND($L$711=0,$P$708=0),"",$L$711-1),IF($R$17="Distrato",$E1039,0))),0,YEARFRAC(MAX($P$708*($B1039+IF($R$17="Distrato",$I$38-1,0)),IF(AND($L$711=0,$P$708=0),"",$L$711-1),IF($R$17="Distrato",$E1039,0)),MIN(AU$38,$D$19),$P$20))-SUM($P1039:AT1039)</f>
        <v>#VALUE!</v>
      </c>
      <c r="AV1039" s="446" t="e">
        <f>IF(OR($B1039="",MIN(AV$38,$D$19)&lt;MAX($P$708*($B1039+IF($R$17="Distrato",$I$38-1,0)),IF(AND($L$711=0,$P$708=0),"",$L$711-1),IF($R$17="Distrato",$E1039,0))),0,YEARFRAC(MAX($P$708*($B1039+IF($R$17="Distrato",$I$38-1,0)),IF(AND($L$711=0,$P$708=0),"",$L$711-1),IF($R$17="Distrato",$E1039,0)),MIN(AV$38,$D$19),$P$20))-SUM($P1039:AU1039)</f>
        <v>#VALUE!</v>
      </c>
      <c r="AW1039" s="446" t="e">
        <f>IF(OR($B1039="",MIN(AW$38,$D$19)&lt;MAX($P$708*($B1039+IF($R$17="Distrato",$I$38-1,0)),IF(AND($L$711=0,$P$708=0),"",$L$711-1),IF($R$17="Distrato",$E1039,0))),0,YEARFRAC(MAX($P$708*($B1039+IF($R$17="Distrato",$I$38-1,0)),IF(AND($L$711=0,$P$708=0),"",$L$711-1),IF($R$17="Distrato",$E1039,0)),MIN(AW$38,$D$19),$P$20))-SUM($P1039:AV1039)</f>
        <v>#VALUE!</v>
      </c>
      <c r="AX1039" s="446" t="e">
        <f>IF(OR($B1039="",MIN(AX$38,$D$19)&lt;MAX($P$708*($B1039+IF($R$17="Distrato",$I$38-1,0)),IF(AND($L$711=0,$P$708=0),"",$L$711-1),IF($R$17="Distrato",$E1039,0))),0,YEARFRAC(MAX($P$708*($B1039+IF($R$17="Distrato",$I$38-1,0)),IF(AND($L$711=0,$P$708=0),"",$L$711-1),IF($R$17="Distrato",$E1039,0)),MIN(AX$38,$D$19),$P$20))-SUM($P1039:AW1039)</f>
        <v>#VALUE!</v>
      </c>
      <c r="AY1039" s="446" t="e">
        <f>IF(OR($B1039="",MIN(AY$38,$D$19)&lt;MAX($P$708*($B1039+IF($R$17="Distrato",$I$38-1,0)),IF(AND($L$711=0,$P$708=0),"",$L$711-1),IF($R$17="Distrato",$E1039,0))),0,YEARFRAC(MAX($P$708*($B1039+IF($R$17="Distrato",$I$38-1,0)),IF(AND($L$711=0,$P$708=0),"",$L$711-1),IF($R$17="Distrato",$E1039,0)),MIN(AY$38,$D$19),$P$20))-SUM($P1039:AX1039)</f>
        <v>#VALUE!</v>
      </c>
      <c r="AZ1039" s="446" t="e">
        <f>IF(OR($B1039="",MIN(AZ$38,$D$19)&lt;MAX($P$708*($B1039+IF($R$17="Distrato",$I$38-1,0)),IF(AND($L$711=0,$P$708=0),"",$L$711-1),IF($R$17="Distrato",$E1039,0))),0,YEARFRAC(MAX($P$708*($B1039+IF($R$17="Distrato",$I$38-1,0)),IF(AND($L$711=0,$P$708=0),"",$L$711-1),IF($R$17="Distrato",$E1039,0)),MIN(AZ$38,$D$19),$P$20))-SUM($P1039:AY1039)</f>
        <v>#VALUE!</v>
      </c>
      <c r="BA1039" s="446" t="e">
        <f>IF(OR($B1039="",MIN(BA$38,$D$19)&lt;MAX($P$708*($B1039+IF($R$17="Distrato",$I$38-1,0)),IF(AND($L$711=0,$P$708=0),"",$L$711-1),IF($R$17="Distrato",$E1039,0))),0,YEARFRAC(MAX($P$708*($B1039+IF($R$17="Distrato",$I$38-1,0)),IF(AND($L$711=0,$P$708=0),"",$L$711-1),IF($R$17="Distrato",$E1039,0)),MIN(BA$38,$D$19),$P$20))-SUM($P1039:AZ1039)</f>
        <v>#VALUE!</v>
      </c>
      <c r="BB1039" s="447"/>
    </row>
    <row r="1040" spans="1:54" s="446" customFormat="1" ht="11.25" hidden="1" customHeight="1" x14ac:dyDescent="0.2">
      <c r="A1040" s="235"/>
      <c r="B1040" s="236"/>
      <c r="C1040" s="29" t="str">
        <f>IF(B1040="","",IF($L$709=$BL$25,VLOOKUP(DATE(YEAR($D$19),MONTH($D$19)-1,1),ÍNDICES!$A:$DE,HLOOKUP($BL$25,ÍNDICES!$B$3:$T$4,2)+11)-VLOOKUP(B1040,ÍNDICES!$A:$DE,HLOOKUP($BL$25,ÍNDICES!$B$3:$T$4,2)+11)+1%,IF(C$712=$W$26,$J$35,IF(ISERROR(IF(B1040&gt;$D$19,1,VLOOKUP(DATE(YEAR(B1040),MONTH(B1040)+IF($C$709=$S$23,1,0),1),ÍNDICES!$A:$DE,$Z$709+1))),"",IF(B1040&gt;$D$19,1,VLOOKUP(DATE(YEAR(B1040),MONTH(B1040)+IF($C$709=$S$23,1,0),1),ÍNDICES!$A:$DE,$Z$709+1))))))</f>
        <v/>
      </c>
      <c r="D1040" s="155"/>
      <c r="E1040" s="88"/>
      <c r="F1040" s="88"/>
      <c r="G1040" s="88"/>
      <c r="H1040" s="118"/>
      <c r="I1040" s="182">
        <f t="shared" si="150"/>
        <v>0</v>
      </c>
      <c r="J1040" s="20">
        <f t="shared" ca="1" si="151"/>
        <v>0</v>
      </c>
      <c r="K1040" s="5">
        <f t="shared" ca="1" si="152"/>
        <v>0</v>
      </c>
      <c r="L1040" s="61">
        <f t="shared" ca="1" si="153"/>
        <v>0</v>
      </c>
      <c r="M1040" s="64">
        <f t="shared" si="154"/>
        <v>0</v>
      </c>
      <c r="N1040" s="151"/>
      <c r="O1040" s="5">
        <f t="shared" ca="1" si="155"/>
        <v>0</v>
      </c>
      <c r="P1040" s="446" t="e">
        <f t="shared" si="156"/>
        <v>#VALUE!</v>
      </c>
      <c r="Q1040" s="446" t="e">
        <f>IF(OR($B1040="",MIN(Q$38,$D$19)&lt;MAX($P$708*($B1040+IF($R$17="Distrato",$I$38-1,0)),IF(AND($L$711=0,$P$708=0),"",$L$711-1),IF($R$17="Distrato",$E1040,0))),0,YEARFRAC(MAX($P$708*($B1040+IF($R$17="Distrato",$I$38-1,0)),IF(AND($L$711=0,$P$708=0),"",$L$711-1),IF($R$17="Distrato",$E1040,0)),MIN(Q$38,$D$19),$P$20))-SUM($P1040:P1040)</f>
        <v>#VALUE!</v>
      </c>
      <c r="R1040" s="446" t="e">
        <f>IF(OR($B1040="",MIN(R$38,$D$19)&lt;MAX($P$708*($B1040+IF($R$17="Distrato",$I$38-1,0)),IF(AND($L$711=0,$P$708=0),"",$L$711-1),IF($R$17="Distrato",$E1040,0))),0,YEARFRAC(MAX($P$708*($B1040+IF($R$17="Distrato",$I$38-1,0)),IF(AND($L$711=0,$P$708=0),"",$L$711-1),IF($R$17="Distrato",$E1040,0)),MIN(R$38,$D$19),$P$20))-SUM($P1040:Q1040)</f>
        <v>#VALUE!</v>
      </c>
      <c r="S1040" s="446" t="e">
        <f>IF(OR($B1040="",MIN(S$38,$D$19)&lt;MAX($P$708*($B1040+IF($R$17="Distrato",$I$38-1,0)),IF(AND($L$711=0,$P$708=0),"",$L$711-1),IF($R$17="Distrato",$E1040,0))),0,YEARFRAC(MAX($P$708*($B1040+IF($R$17="Distrato",$I$38-1,0)),IF(AND($L$711=0,$P$708=0),"",$L$711-1),IF($R$17="Distrato",$E1040,0)),MIN(S$38,$D$19),$P$20))-SUM($P1040:R1040)</f>
        <v>#VALUE!</v>
      </c>
      <c r="T1040" s="446" t="e">
        <f>IF(OR($B1040="",MIN(T$38,$D$19)&lt;MAX($P$708*($B1040+IF($R$17="Distrato",$I$38-1,0)),IF(AND($L$711=0,$P$708=0),"",$L$711-1),IF($R$17="Distrato",$E1040,0))),0,YEARFRAC(MAX($P$708*($B1040+IF($R$17="Distrato",$I$38-1,0)),IF(AND($L$711=0,$P$708=0),"",$L$711-1),IF($R$17="Distrato",$E1040,0)),MIN(T$38,$D$19),$P$20))-SUM($P1040:S1040)</f>
        <v>#VALUE!</v>
      </c>
      <c r="U1040" s="446" t="e">
        <f>IF(OR($B1040="",MIN(U$38,$D$19)&lt;MAX($P$708*($B1040+IF($R$17="Distrato",$I$38-1,0)),IF(AND($L$711=0,$P$708=0),"",$L$711-1),IF($R$17="Distrato",$E1040,0))),0,YEARFRAC(MAX($P$708*($B1040+IF($R$17="Distrato",$I$38-1,0)),IF(AND($L$711=0,$P$708=0),"",$L$711-1),IF($R$17="Distrato",$E1040,0)),MIN(U$38,$D$19),$P$20))-SUM($P1040:T1040)</f>
        <v>#VALUE!</v>
      </c>
      <c r="V1040" s="446" t="e">
        <f>IF(OR($B1040="",MIN(V$38,$D$19)&lt;MAX($P$708*($B1040+IF($R$17="Distrato",$I$38-1,0)),IF(AND($L$711=0,$P$708=0),"",$L$711-1),IF($R$17="Distrato",$E1040,0))),0,YEARFRAC(MAX($P$708*($B1040+IF($R$17="Distrato",$I$38-1,0)),IF(AND($L$711=0,$P$708=0),"",$L$711-1),IF($R$17="Distrato",$E1040,0)),MIN(V$38,$D$19),$P$20))-SUM($P1040:U1040)</f>
        <v>#VALUE!</v>
      </c>
      <c r="W1040" s="446" t="e">
        <f>IF(OR($B1040="",MIN(W$38,$D$19)&lt;MAX($P$708*($B1040+IF($R$17="Distrato",$I$38-1,0)),IF(AND($L$711=0,$P$708=0),"",$L$711-1),IF($R$17="Distrato",$E1040,0))),0,YEARFRAC(MAX($P$708*($B1040+IF($R$17="Distrato",$I$38-1,0)),IF(AND($L$711=0,$P$708=0),"",$L$711-1),IF($R$17="Distrato",$E1040,0)),MIN(W$38,$D$19),$P$20))-SUM($P1040:V1040)</f>
        <v>#VALUE!</v>
      </c>
      <c r="X1040" s="446" t="e">
        <f>IF(OR($B1040="",MIN(X$38,$D$19)&lt;MAX($P$708*($B1040+IF($R$17="Distrato",$I$38-1,0)),IF(AND($L$711=0,$P$708=0),"",$L$711-1),IF($R$17="Distrato",$E1040,0))),0,YEARFRAC(MAX($P$708*($B1040+IF($R$17="Distrato",$I$38-1,0)),IF(AND($L$711=0,$P$708=0),"",$L$711-1),IF($R$17="Distrato",$E1040,0)),MIN(X$38,$D$19),$P$20))-SUM($P1040:W1040)</f>
        <v>#VALUE!</v>
      </c>
      <c r="Y1040" s="446" t="e">
        <f>IF(OR($B1040="",MIN(Y$38,$D$19)&lt;MAX($P$708*($B1040+IF($R$17="Distrato",$I$38-1,0)),IF(AND($L$711=0,$P$708=0),"",$L$711-1),IF($R$17="Distrato",$E1040,0))),0,YEARFRAC(MAX($P$708*($B1040+IF($R$17="Distrato",$I$38-1,0)),IF(AND($L$711=0,$P$708=0),"",$L$711-1),IF($R$17="Distrato",$E1040,0)),MIN(Y$38,$D$19),$P$20))-SUM($P1040:X1040)</f>
        <v>#VALUE!</v>
      </c>
      <c r="Z1040" s="446" t="e">
        <f>IF(OR($B1040="",MIN(Z$38,$D$19)&lt;MAX($P$708*($B1040+IF($R$17="Distrato",$I$38-1,0)),IF(AND($L$711=0,$P$708=0),"",$L$711-1),IF($R$17="Distrato",$E1040,0))),0,YEARFRAC(MAX($P$708*($B1040+IF($R$17="Distrato",$I$38-1,0)),IF(AND($L$711=0,$P$708=0),"",$L$711-1),IF($R$17="Distrato",$E1040,0)),MIN(Z$38,$D$19),$P$20))-SUM($P1040:Y1040)</f>
        <v>#VALUE!</v>
      </c>
      <c r="AA1040" s="446" t="e">
        <f>IF(OR($B1040="",MIN(AA$38,$D$19)&lt;MAX($P$708*($B1040+IF($R$17="Distrato",$I$38-1,0)),IF(AND($L$711=0,$P$708=0),"",$L$711-1),IF($R$17="Distrato",$E1040,0))),0,YEARFRAC(MAX($P$708*($B1040+IF($R$17="Distrato",$I$38-1,0)),IF(AND($L$711=0,$P$708=0),"",$L$711-1),IF($R$17="Distrato",$E1040,0)),MIN(AA$38,$D$19),$P$20))-SUM($P1040:Z1040)</f>
        <v>#VALUE!</v>
      </c>
      <c r="AB1040" s="446" t="e">
        <f>IF(OR($B1040="",MIN(AB$38,$D$19)&lt;MAX($P$708*($B1040+IF($R$17="Distrato",$I$38-1,0)),IF(AND($L$711=0,$P$708=0),"",$L$711-1),IF($R$17="Distrato",$E1040,0))),0,YEARFRAC(MAX($P$708*($B1040+IF($R$17="Distrato",$I$38-1,0)),IF(AND($L$711=0,$P$708=0),"",$L$711-1),IF($R$17="Distrato",$E1040,0)),MIN(AB$38,$D$19),$P$20))-SUM($P1040:AA1040)</f>
        <v>#VALUE!</v>
      </c>
      <c r="AC1040" s="446" t="e">
        <f>IF(OR($B1040="",MIN(AC$38,$D$19)&lt;MAX($P$708*($B1040+IF($R$17="Distrato",$I$38-1,0)),IF(AND($L$711=0,$P$708=0),"",$L$711-1),IF($R$17="Distrato",$E1040,0))),0,YEARFRAC(MAX($P$708*($B1040+IF($R$17="Distrato",$I$38-1,0)),IF(AND($L$711=0,$P$708=0),"",$L$711-1),IF($R$17="Distrato",$E1040,0)),MIN(AC$38,$D$19),$P$20))-SUM($P1040:AB1040)</f>
        <v>#VALUE!</v>
      </c>
      <c r="AD1040" s="446" t="e">
        <f>IF(OR($B1040="",MIN(AD$38,$D$19)&lt;MAX($P$708*($B1040+IF($R$17="Distrato",$I$38-1,0)),IF(AND($L$711=0,$P$708=0),"",$L$711-1),IF($R$17="Distrato",$E1040,0))),0,YEARFRAC(MAX($P$708*($B1040+IF($R$17="Distrato",$I$38-1,0)),IF(AND($L$711=0,$P$708=0),"",$L$711-1),IF($R$17="Distrato",$E1040,0)),MIN(AD$38,$D$19),$P$20))-SUM($P1040:AC1040)</f>
        <v>#VALUE!</v>
      </c>
      <c r="AE1040" s="446" t="e">
        <f>IF(OR($B1040="",MIN(AE$38,$D$19)&lt;MAX($P$708*($B1040+IF($R$17="Distrato",$I$38-1,0)),IF(AND($L$711=0,$P$708=0),"",$L$711-1),IF($R$17="Distrato",$E1040,0))),0,YEARFRAC(MAX($P$708*($B1040+IF($R$17="Distrato",$I$38-1,0)),IF(AND($L$711=0,$P$708=0),"",$L$711-1),IF($R$17="Distrato",$E1040,0)),MIN(AE$38,$D$19),$P$20))-SUM($P1040:AD1040)</f>
        <v>#VALUE!</v>
      </c>
      <c r="AF1040" s="446" t="e">
        <f>IF(OR($B1040="",MIN(AF$38,$D$19)&lt;MAX($P$708*($B1040+IF($R$17="Distrato",$I$38-1,0)),IF(AND($L$711=0,$P$708=0),"",$L$711-1),IF($R$17="Distrato",$E1040,0))),0,YEARFRAC(MAX($P$708*($B1040+IF($R$17="Distrato",$I$38-1,0)),IF(AND($L$711=0,$P$708=0),"",$L$711-1),IF($R$17="Distrato",$E1040,0)),MIN(AF$38,$D$19),$P$20))-SUM($P1040:AE1040)</f>
        <v>#VALUE!</v>
      </c>
      <c r="AG1040" s="446" t="e">
        <f>IF(OR($B1040="",MIN(AG$38,$D$19)&lt;MAX($P$708*($B1040+IF($R$17="Distrato",$I$38-1,0)),IF(AND($L$711=0,$P$708=0),"",$L$711-1),IF($R$17="Distrato",$E1040,0))),0,YEARFRAC(MAX($P$708*($B1040+IF($R$17="Distrato",$I$38-1,0)),IF(AND($L$711=0,$P$708=0),"",$L$711-1),IF($R$17="Distrato",$E1040,0)),MIN(AG$38,$D$19),$P$20))-SUM($P1040:AF1040)</f>
        <v>#VALUE!</v>
      </c>
      <c r="AH1040" s="446" t="e">
        <f>IF(OR($B1040="",MIN(AH$38,$D$19)&lt;MAX($P$708*($B1040+IF($R$17="Distrato",$I$38-1,0)),IF(AND($L$711=0,$P$708=0),"",$L$711-1),IF($R$17="Distrato",$E1040,0))),0,YEARFRAC(MAX($P$708*($B1040+IF($R$17="Distrato",$I$38-1,0)),IF(AND($L$711=0,$P$708=0),"",$L$711-1),IF($R$17="Distrato",$E1040,0)),MIN(AH$38,$D$19),$P$20))-SUM($P1040:AG1040)</f>
        <v>#VALUE!</v>
      </c>
      <c r="AI1040" s="446" t="e">
        <f>IF(OR($B1040="",MIN(AI$38,$D$19)&lt;MAX($P$708*($B1040+IF($R$17="Distrato",$I$38-1,0)),IF(AND($L$711=0,$P$708=0),"",$L$711-1),IF($R$17="Distrato",$E1040,0))),0,YEARFRAC(MAX($P$708*($B1040+IF($R$17="Distrato",$I$38-1,0)),IF(AND($L$711=0,$P$708=0),"",$L$711-1),IF($R$17="Distrato",$E1040,0)),MIN(AI$38,$D$19),$P$20))-SUM($P1040:AH1040)</f>
        <v>#VALUE!</v>
      </c>
      <c r="AJ1040" s="446" t="e">
        <f>IF(OR($B1040="",MIN(AJ$38,$D$19)&lt;MAX($P$708*($B1040+IF($R$17="Distrato",$I$38-1,0)),IF(AND($L$711=0,$P$708=0),"",$L$711-1),IF($R$17="Distrato",$E1040,0))),0,YEARFRAC(MAX($P$708*($B1040+IF($R$17="Distrato",$I$38-1,0)),IF(AND($L$711=0,$P$708=0),"",$L$711-1),IF($R$17="Distrato",$E1040,0)),MIN(AJ$38,$D$19),$P$20))-SUM($P1040:AI1040)</f>
        <v>#VALUE!</v>
      </c>
      <c r="AK1040" s="446" t="e">
        <f>IF(OR($B1040="",MIN(AK$38,$D$19)&lt;MAX($P$708*($B1040+IF($R$17="Distrato",$I$38-1,0)),IF(AND($L$711=0,$P$708=0),"",$L$711-1),IF($R$17="Distrato",$E1040,0))),0,YEARFRAC(MAX($P$708*($B1040+IF($R$17="Distrato",$I$38-1,0)),IF(AND($L$711=0,$P$708=0),"",$L$711-1),IF($R$17="Distrato",$E1040,0)),MIN(AK$38,$D$19),$P$20))-SUM($P1040:AJ1040)</f>
        <v>#VALUE!</v>
      </c>
      <c r="AL1040" s="446" t="e">
        <f>IF(OR($B1040="",MIN(AL$38,$D$19)&lt;MAX($P$708*($B1040+IF($R$17="Distrato",$I$38-1,0)),IF(AND($L$711=0,$P$708=0),"",$L$711-1),IF($R$17="Distrato",$E1040,0))),0,YEARFRAC(MAX($P$708*($B1040+IF($R$17="Distrato",$I$38-1,0)),IF(AND($L$711=0,$P$708=0),"",$L$711-1),IF($R$17="Distrato",$E1040,0)),MIN(AL$38,$D$19),$P$20))-SUM($P1040:AK1040)</f>
        <v>#VALUE!</v>
      </c>
      <c r="AM1040" s="446" t="e">
        <f>IF(OR($B1040="",MIN(AM$38,$D$19)&lt;MAX($P$708*($B1040+IF($R$17="Distrato",$I$38-1,0)),IF(AND($L$711=0,$P$708=0),"",$L$711-1),IF($R$17="Distrato",$E1040,0))),0,YEARFRAC(MAX($P$708*($B1040+IF($R$17="Distrato",$I$38-1,0)),IF(AND($L$711=0,$P$708=0),"",$L$711-1),IF($R$17="Distrato",$E1040,0)),MIN(AM$38,$D$19),$P$20))-SUM($P1040:AL1040)</f>
        <v>#VALUE!</v>
      </c>
      <c r="AN1040" s="446" t="e">
        <f>IF(OR($B1040="",MIN(AN$38,$D$19)&lt;MAX($P$708*($B1040+IF($R$17="Distrato",$I$38-1,0)),IF(AND($L$711=0,$P$708=0),"",$L$711-1),IF($R$17="Distrato",$E1040,0))),0,YEARFRAC(MAX($P$708*($B1040+IF($R$17="Distrato",$I$38-1,0)),IF(AND($L$711=0,$P$708=0),"",$L$711-1),IF($R$17="Distrato",$E1040,0)),MIN(AN$38,$D$19),$P$20))-SUM($P1040:AM1040)</f>
        <v>#VALUE!</v>
      </c>
      <c r="AO1040" s="446" t="e">
        <f>IF(OR($B1040="",MIN(AO$38,$D$19)&lt;MAX($P$708*($B1040+IF($R$17="Distrato",$I$38-1,0)),IF(AND($L$711=0,$P$708=0),"",$L$711-1),IF($R$17="Distrato",$E1040,0))),0,YEARFRAC(MAX($P$708*($B1040+IF($R$17="Distrato",$I$38-1,0)),IF(AND($L$711=0,$P$708=0),"",$L$711-1),IF($R$17="Distrato",$E1040,0)),MIN(AO$38,$D$19),$P$20))-SUM($P1040:AN1040)</f>
        <v>#VALUE!</v>
      </c>
      <c r="AP1040" s="446" t="e">
        <f>IF(OR($B1040="",MIN(AP$38,$D$19)&lt;MAX($P$708*($B1040+IF($R$17="Distrato",$I$38-1,0)),IF(AND($L$711=0,$P$708=0),"",$L$711-1),IF($R$17="Distrato",$E1040,0))),0,YEARFRAC(MAX($P$708*($B1040+IF($R$17="Distrato",$I$38-1,0)),IF(AND($L$711=0,$P$708=0),"",$L$711-1),IF($R$17="Distrato",$E1040,0)),MIN(AP$38,$D$19),$P$20))-SUM($P1040:AO1040)</f>
        <v>#VALUE!</v>
      </c>
      <c r="AQ1040" s="446" t="e">
        <f>IF(OR($B1040="",MIN(AQ$38,$D$19)&lt;MAX($P$708*($B1040+IF($R$17="Distrato",$I$38-1,0)),IF(AND($L$711=0,$P$708=0),"",$L$711-1),IF($R$17="Distrato",$E1040,0))),0,YEARFRAC(MAX($P$708*($B1040+IF($R$17="Distrato",$I$38-1,0)),IF(AND($L$711=0,$P$708=0),"",$L$711-1),IF($R$17="Distrato",$E1040,0)),MIN(AQ$38,$D$19),$P$20))-SUM($P1040:AP1040)</f>
        <v>#VALUE!</v>
      </c>
      <c r="AR1040" s="446" t="e">
        <f>IF(OR($B1040="",MIN(AR$38,$D$19)&lt;MAX($P$708*($B1040+IF($R$17="Distrato",$I$38-1,0)),IF(AND($L$711=0,$P$708=0),"",$L$711-1),IF($R$17="Distrato",$E1040,0))),0,YEARFRAC(MAX($P$708*($B1040+IF($R$17="Distrato",$I$38-1,0)),IF(AND($L$711=0,$P$708=0),"",$L$711-1),IF($R$17="Distrato",$E1040,0)),MIN(AR$38,$D$19),$P$20))-SUM($P1040:AQ1040)</f>
        <v>#VALUE!</v>
      </c>
      <c r="AS1040" s="446" t="e">
        <f>IF(OR($B1040="",MIN(AS$38,$D$19)&lt;MAX($P$708*($B1040+IF($R$17="Distrato",$I$38-1,0)),IF(AND($L$711=0,$P$708=0),"",$L$711-1),IF($R$17="Distrato",$E1040,0))),0,YEARFRAC(MAX($P$708*($B1040+IF($R$17="Distrato",$I$38-1,0)),IF(AND($L$711=0,$P$708=0),"",$L$711-1),IF($R$17="Distrato",$E1040,0)),MIN(AS$38,$D$19),$P$20))-SUM($P1040:AR1040)</f>
        <v>#VALUE!</v>
      </c>
      <c r="AT1040" s="446" t="e">
        <f>IF(OR($B1040="",MIN(AT$38,$D$19)&lt;MAX($P$708*($B1040+IF($R$17="Distrato",$I$38-1,0)),IF(AND($L$711=0,$P$708=0),"",$L$711-1),IF($R$17="Distrato",$E1040,0))),0,YEARFRAC(MAX($P$708*($B1040+IF($R$17="Distrato",$I$38-1,0)),IF(AND($L$711=0,$P$708=0),"",$L$711-1),IF($R$17="Distrato",$E1040,0)),MIN(AT$38,$D$19),$P$20))-SUM($P1040:AS1040)</f>
        <v>#VALUE!</v>
      </c>
      <c r="AU1040" s="446" t="e">
        <f>IF(OR($B1040="",MIN(AU$38,$D$19)&lt;MAX($P$708*($B1040+IF($R$17="Distrato",$I$38-1,0)),IF(AND($L$711=0,$P$708=0),"",$L$711-1),IF($R$17="Distrato",$E1040,0))),0,YEARFRAC(MAX($P$708*($B1040+IF($R$17="Distrato",$I$38-1,0)),IF(AND($L$711=0,$P$708=0),"",$L$711-1),IF($R$17="Distrato",$E1040,0)),MIN(AU$38,$D$19),$P$20))-SUM($P1040:AT1040)</f>
        <v>#VALUE!</v>
      </c>
      <c r="AV1040" s="446" t="e">
        <f>IF(OR($B1040="",MIN(AV$38,$D$19)&lt;MAX($P$708*($B1040+IF($R$17="Distrato",$I$38-1,0)),IF(AND($L$711=0,$P$708=0),"",$L$711-1),IF($R$17="Distrato",$E1040,0))),0,YEARFRAC(MAX($P$708*($B1040+IF($R$17="Distrato",$I$38-1,0)),IF(AND($L$711=0,$P$708=0),"",$L$711-1),IF($R$17="Distrato",$E1040,0)),MIN(AV$38,$D$19),$P$20))-SUM($P1040:AU1040)</f>
        <v>#VALUE!</v>
      </c>
      <c r="AW1040" s="446" t="e">
        <f>IF(OR($B1040="",MIN(AW$38,$D$19)&lt;MAX($P$708*($B1040+IF($R$17="Distrato",$I$38-1,0)),IF(AND($L$711=0,$P$708=0),"",$L$711-1),IF($R$17="Distrato",$E1040,0))),0,YEARFRAC(MAX($P$708*($B1040+IF($R$17="Distrato",$I$38-1,0)),IF(AND($L$711=0,$P$708=0),"",$L$711-1),IF($R$17="Distrato",$E1040,0)),MIN(AW$38,$D$19),$P$20))-SUM($P1040:AV1040)</f>
        <v>#VALUE!</v>
      </c>
      <c r="AX1040" s="446" t="e">
        <f>IF(OR($B1040="",MIN(AX$38,$D$19)&lt;MAX($P$708*($B1040+IF($R$17="Distrato",$I$38-1,0)),IF(AND($L$711=0,$P$708=0),"",$L$711-1),IF($R$17="Distrato",$E1040,0))),0,YEARFRAC(MAX($P$708*($B1040+IF($R$17="Distrato",$I$38-1,0)),IF(AND($L$711=0,$P$708=0),"",$L$711-1),IF($R$17="Distrato",$E1040,0)),MIN(AX$38,$D$19),$P$20))-SUM($P1040:AW1040)</f>
        <v>#VALUE!</v>
      </c>
      <c r="AY1040" s="446" t="e">
        <f>IF(OR($B1040="",MIN(AY$38,$D$19)&lt;MAX($P$708*($B1040+IF($R$17="Distrato",$I$38-1,0)),IF(AND($L$711=0,$P$708=0),"",$L$711-1),IF($R$17="Distrato",$E1040,0))),0,YEARFRAC(MAX($P$708*($B1040+IF($R$17="Distrato",$I$38-1,0)),IF(AND($L$711=0,$P$708=0),"",$L$711-1),IF($R$17="Distrato",$E1040,0)),MIN(AY$38,$D$19),$P$20))-SUM($P1040:AX1040)</f>
        <v>#VALUE!</v>
      </c>
      <c r="AZ1040" s="446" t="e">
        <f>IF(OR($B1040="",MIN(AZ$38,$D$19)&lt;MAX($P$708*($B1040+IF($R$17="Distrato",$I$38-1,0)),IF(AND($L$711=0,$P$708=0),"",$L$711-1),IF($R$17="Distrato",$E1040,0))),0,YEARFRAC(MAX($P$708*($B1040+IF($R$17="Distrato",$I$38-1,0)),IF(AND($L$711=0,$P$708=0),"",$L$711-1),IF($R$17="Distrato",$E1040,0)),MIN(AZ$38,$D$19),$P$20))-SUM($P1040:AY1040)</f>
        <v>#VALUE!</v>
      </c>
      <c r="BA1040" s="446" t="e">
        <f>IF(OR($B1040="",MIN(BA$38,$D$19)&lt;MAX($P$708*($B1040+IF($R$17="Distrato",$I$38-1,0)),IF(AND($L$711=0,$P$708=0),"",$L$711-1),IF($R$17="Distrato",$E1040,0))),0,YEARFRAC(MAX($P$708*($B1040+IF($R$17="Distrato",$I$38-1,0)),IF(AND($L$711=0,$P$708=0),"",$L$711-1),IF($R$17="Distrato",$E1040,0)),MIN(BA$38,$D$19),$P$20))-SUM($P1040:AZ1040)</f>
        <v>#VALUE!</v>
      </c>
      <c r="BB1040" s="447"/>
    </row>
    <row r="1041" spans="1:54" s="446" customFormat="1" ht="11.25" hidden="1" customHeight="1" x14ac:dyDescent="0.2">
      <c r="A1041" s="235"/>
      <c r="B1041" s="236"/>
      <c r="C1041" s="29" t="str">
        <f>IF(B1041="","",IF($L$709=$BL$25,VLOOKUP(DATE(YEAR($D$19),MONTH($D$19)-1,1),ÍNDICES!$A:$DE,HLOOKUP($BL$25,ÍNDICES!$B$3:$T$4,2)+11)-VLOOKUP(B1041,ÍNDICES!$A:$DE,HLOOKUP($BL$25,ÍNDICES!$B$3:$T$4,2)+11)+1%,IF(C$712=$W$26,$J$35,IF(ISERROR(IF(B1041&gt;$D$19,1,VLOOKUP(DATE(YEAR(B1041),MONTH(B1041)+IF($C$709=$S$23,1,0),1),ÍNDICES!$A:$DE,$Z$709+1))),"",IF(B1041&gt;$D$19,1,VLOOKUP(DATE(YEAR(B1041),MONTH(B1041)+IF($C$709=$S$23,1,0),1),ÍNDICES!$A:$DE,$Z$709+1))))))</f>
        <v/>
      </c>
      <c r="D1041" s="155"/>
      <c r="E1041" s="88"/>
      <c r="F1041" s="88"/>
      <c r="G1041" s="88"/>
      <c r="H1041" s="118"/>
      <c r="I1041" s="182">
        <f t="shared" si="150"/>
        <v>0</v>
      </c>
      <c r="J1041" s="20">
        <f t="shared" ca="1" si="151"/>
        <v>0</v>
      </c>
      <c r="K1041" s="5">
        <f t="shared" ca="1" si="152"/>
        <v>0</v>
      </c>
      <c r="L1041" s="61">
        <f t="shared" ca="1" si="153"/>
        <v>0</v>
      </c>
      <c r="M1041" s="64">
        <f t="shared" si="154"/>
        <v>0</v>
      </c>
      <c r="N1041" s="151"/>
      <c r="O1041" s="5">
        <f t="shared" ca="1" si="155"/>
        <v>0</v>
      </c>
      <c r="P1041" s="446" t="e">
        <f t="shared" si="156"/>
        <v>#VALUE!</v>
      </c>
      <c r="Q1041" s="446" t="e">
        <f>IF(OR($B1041="",MIN(Q$38,$D$19)&lt;MAX($P$708*($B1041+IF($R$17="Distrato",$I$38-1,0)),IF(AND($L$711=0,$P$708=0),"",$L$711-1),IF($R$17="Distrato",$E1041,0))),0,YEARFRAC(MAX($P$708*($B1041+IF($R$17="Distrato",$I$38-1,0)),IF(AND($L$711=0,$P$708=0),"",$L$711-1),IF($R$17="Distrato",$E1041,0)),MIN(Q$38,$D$19),$P$20))-SUM($P1041:P1041)</f>
        <v>#VALUE!</v>
      </c>
      <c r="R1041" s="446" t="e">
        <f>IF(OR($B1041="",MIN(R$38,$D$19)&lt;MAX($P$708*($B1041+IF($R$17="Distrato",$I$38-1,0)),IF(AND($L$711=0,$P$708=0),"",$L$711-1),IF($R$17="Distrato",$E1041,0))),0,YEARFRAC(MAX($P$708*($B1041+IF($R$17="Distrato",$I$38-1,0)),IF(AND($L$711=0,$P$708=0),"",$L$711-1),IF($R$17="Distrato",$E1041,0)),MIN(R$38,$D$19),$P$20))-SUM($P1041:Q1041)</f>
        <v>#VALUE!</v>
      </c>
      <c r="S1041" s="446" t="e">
        <f>IF(OR($B1041="",MIN(S$38,$D$19)&lt;MAX($P$708*($B1041+IF($R$17="Distrato",$I$38-1,0)),IF(AND($L$711=0,$P$708=0),"",$L$711-1),IF($R$17="Distrato",$E1041,0))),0,YEARFRAC(MAX($P$708*($B1041+IF($R$17="Distrato",$I$38-1,0)),IF(AND($L$711=0,$P$708=0),"",$L$711-1),IF($R$17="Distrato",$E1041,0)),MIN(S$38,$D$19),$P$20))-SUM($P1041:R1041)</f>
        <v>#VALUE!</v>
      </c>
      <c r="T1041" s="446" t="e">
        <f>IF(OR($B1041="",MIN(T$38,$D$19)&lt;MAX($P$708*($B1041+IF($R$17="Distrato",$I$38-1,0)),IF(AND($L$711=0,$P$708=0),"",$L$711-1),IF($R$17="Distrato",$E1041,0))),0,YEARFRAC(MAX($P$708*($B1041+IF($R$17="Distrato",$I$38-1,0)),IF(AND($L$711=0,$P$708=0),"",$L$711-1),IF($R$17="Distrato",$E1041,0)),MIN(T$38,$D$19),$P$20))-SUM($P1041:S1041)</f>
        <v>#VALUE!</v>
      </c>
      <c r="U1041" s="446" t="e">
        <f>IF(OR($B1041="",MIN(U$38,$D$19)&lt;MAX($P$708*($B1041+IF($R$17="Distrato",$I$38-1,0)),IF(AND($L$711=0,$P$708=0),"",$L$711-1),IF($R$17="Distrato",$E1041,0))),0,YEARFRAC(MAX($P$708*($B1041+IF($R$17="Distrato",$I$38-1,0)),IF(AND($L$711=0,$P$708=0),"",$L$711-1),IF($R$17="Distrato",$E1041,0)),MIN(U$38,$D$19),$P$20))-SUM($P1041:T1041)</f>
        <v>#VALUE!</v>
      </c>
      <c r="V1041" s="446" t="e">
        <f>IF(OR($B1041="",MIN(V$38,$D$19)&lt;MAX($P$708*($B1041+IF($R$17="Distrato",$I$38-1,0)),IF(AND($L$711=0,$P$708=0),"",$L$711-1),IF($R$17="Distrato",$E1041,0))),0,YEARFRAC(MAX($P$708*($B1041+IF($R$17="Distrato",$I$38-1,0)),IF(AND($L$711=0,$P$708=0),"",$L$711-1),IF($R$17="Distrato",$E1041,0)),MIN(V$38,$D$19),$P$20))-SUM($P1041:U1041)</f>
        <v>#VALUE!</v>
      </c>
      <c r="W1041" s="446" t="e">
        <f>IF(OR($B1041="",MIN(W$38,$D$19)&lt;MAX($P$708*($B1041+IF($R$17="Distrato",$I$38-1,0)),IF(AND($L$711=0,$P$708=0),"",$L$711-1),IF($R$17="Distrato",$E1041,0))),0,YEARFRAC(MAX($P$708*($B1041+IF($R$17="Distrato",$I$38-1,0)),IF(AND($L$711=0,$P$708=0),"",$L$711-1),IF($R$17="Distrato",$E1041,0)),MIN(W$38,$D$19),$P$20))-SUM($P1041:V1041)</f>
        <v>#VALUE!</v>
      </c>
      <c r="X1041" s="446" t="e">
        <f>IF(OR($B1041="",MIN(X$38,$D$19)&lt;MAX($P$708*($B1041+IF($R$17="Distrato",$I$38-1,0)),IF(AND($L$711=0,$P$708=0),"",$L$711-1),IF($R$17="Distrato",$E1041,0))),0,YEARFRAC(MAX($P$708*($B1041+IF($R$17="Distrato",$I$38-1,0)),IF(AND($L$711=0,$P$708=0),"",$L$711-1),IF($R$17="Distrato",$E1041,0)),MIN(X$38,$D$19),$P$20))-SUM($P1041:W1041)</f>
        <v>#VALUE!</v>
      </c>
      <c r="Y1041" s="446" t="e">
        <f>IF(OR($B1041="",MIN(Y$38,$D$19)&lt;MAX($P$708*($B1041+IF($R$17="Distrato",$I$38-1,0)),IF(AND($L$711=0,$P$708=0),"",$L$711-1),IF($R$17="Distrato",$E1041,0))),0,YEARFRAC(MAX($P$708*($B1041+IF($R$17="Distrato",$I$38-1,0)),IF(AND($L$711=0,$P$708=0),"",$L$711-1),IF($R$17="Distrato",$E1041,0)),MIN(Y$38,$D$19),$P$20))-SUM($P1041:X1041)</f>
        <v>#VALUE!</v>
      </c>
      <c r="Z1041" s="446" t="e">
        <f>IF(OR($B1041="",MIN(Z$38,$D$19)&lt;MAX($P$708*($B1041+IF($R$17="Distrato",$I$38-1,0)),IF(AND($L$711=0,$P$708=0),"",$L$711-1),IF($R$17="Distrato",$E1041,0))),0,YEARFRAC(MAX($P$708*($B1041+IF($R$17="Distrato",$I$38-1,0)),IF(AND($L$711=0,$P$708=0),"",$L$711-1),IF($R$17="Distrato",$E1041,0)),MIN(Z$38,$D$19),$P$20))-SUM($P1041:Y1041)</f>
        <v>#VALUE!</v>
      </c>
      <c r="AA1041" s="446" t="e">
        <f>IF(OR($B1041="",MIN(AA$38,$D$19)&lt;MAX($P$708*($B1041+IF($R$17="Distrato",$I$38-1,0)),IF(AND($L$711=0,$P$708=0),"",$L$711-1),IF($R$17="Distrato",$E1041,0))),0,YEARFRAC(MAX($P$708*($B1041+IF($R$17="Distrato",$I$38-1,0)),IF(AND($L$711=0,$P$708=0),"",$L$711-1),IF($R$17="Distrato",$E1041,0)),MIN(AA$38,$D$19),$P$20))-SUM($P1041:Z1041)</f>
        <v>#VALUE!</v>
      </c>
      <c r="AB1041" s="446" t="e">
        <f>IF(OR($B1041="",MIN(AB$38,$D$19)&lt;MAX($P$708*($B1041+IF($R$17="Distrato",$I$38-1,0)),IF(AND($L$711=0,$P$708=0),"",$L$711-1),IF($R$17="Distrato",$E1041,0))),0,YEARFRAC(MAX($P$708*($B1041+IF($R$17="Distrato",$I$38-1,0)),IF(AND($L$711=0,$P$708=0),"",$L$711-1),IF($R$17="Distrato",$E1041,0)),MIN(AB$38,$D$19),$P$20))-SUM($P1041:AA1041)</f>
        <v>#VALUE!</v>
      </c>
      <c r="AC1041" s="446" t="e">
        <f>IF(OR($B1041="",MIN(AC$38,$D$19)&lt;MAX($P$708*($B1041+IF($R$17="Distrato",$I$38-1,0)),IF(AND($L$711=0,$P$708=0),"",$L$711-1),IF($R$17="Distrato",$E1041,0))),0,YEARFRAC(MAX($P$708*($B1041+IF($R$17="Distrato",$I$38-1,0)),IF(AND($L$711=0,$P$708=0),"",$L$711-1),IF($R$17="Distrato",$E1041,0)),MIN(AC$38,$D$19),$P$20))-SUM($P1041:AB1041)</f>
        <v>#VALUE!</v>
      </c>
      <c r="AD1041" s="446" t="e">
        <f>IF(OR($B1041="",MIN(AD$38,$D$19)&lt;MAX($P$708*($B1041+IF($R$17="Distrato",$I$38-1,0)),IF(AND($L$711=0,$P$708=0),"",$L$711-1),IF($R$17="Distrato",$E1041,0))),0,YEARFRAC(MAX($P$708*($B1041+IF($R$17="Distrato",$I$38-1,0)),IF(AND($L$711=0,$P$708=0),"",$L$711-1),IF($R$17="Distrato",$E1041,0)),MIN(AD$38,$D$19),$P$20))-SUM($P1041:AC1041)</f>
        <v>#VALUE!</v>
      </c>
      <c r="AE1041" s="446" t="e">
        <f>IF(OR($B1041="",MIN(AE$38,$D$19)&lt;MAX($P$708*($B1041+IF($R$17="Distrato",$I$38-1,0)),IF(AND($L$711=0,$P$708=0),"",$L$711-1),IF($R$17="Distrato",$E1041,0))),0,YEARFRAC(MAX($P$708*($B1041+IF($R$17="Distrato",$I$38-1,0)),IF(AND($L$711=0,$P$708=0),"",$L$711-1),IF($R$17="Distrato",$E1041,0)),MIN(AE$38,$D$19),$P$20))-SUM($P1041:AD1041)</f>
        <v>#VALUE!</v>
      </c>
      <c r="AF1041" s="446" t="e">
        <f>IF(OR($B1041="",MIN(AF$38,$D$19)&lt;MAX($P$708*($B1041+IF($R$17="Distrato",$I$38-1,0)),IF(AND($L$711=0,$P$708=0),"",$L$711-1),IF($R$17="Distrato",$E1041,0))),0,YEARFRAC(MAX($P$708*($B1041+IF($R$17="Distrato",$I$38-1,0)),IF(AND($L$711=0,$P$708=0),"",$L$711-1),IF($R$17="Distrato",$E1041,0)),MIN(AF$38,$D$19),$P$20))-SUM($P1041:AE1041)</f>
        <v>#VALUE!</v>
      </c>
      <c r="AG1041" s="446" t="e">
        <f>IF(OR($B1041="",MIN(AG$38,$D$19)&lt;MAX($P$708*($B1041+IF($R$17="Distrato",$I$38-1,0)),IF(AND($L$711=0,$P$708=0),"",$L$711-1),IF($R$17="Distrato",$E1041,0))),0,YEARFRAC(MAX($P$708*($B1041+IF($R$17="Distrato",$I$38-1,0)),IF(AND($L$711=0,$P$708=0),"",$L$711-1),IF($R$17="Distrato",$E1041,0)),MIN(AG$38,$D$19),$P$20))-SUM($P1041:AF1041)</f>
        <v>#VALUE!</v>
      </c>
      <c r="AH1041" s="446" t="e">
        <f>IF(OR($B1041="",MIN(AH$38,$D$19)&lt;MAX($P$708*($B1041+IF($R$17="Distrato",$I$38-1,0)),IF(AND($L$711=0,$P$708=0),"",$L$711-1),IF($R$17="Distrato",$E1041,0))),0,YEARFRAC(MAX($P$708*($B1041+IF($R$17="Distrato",$I$38-1,0)),IF(AND($L$711=0,$P$708=0),"",$L$711-1),IF($R$17="Distrato",$E1041,0)),MIN(AH$38,$D$19),$P$20))-SUM($P1041:AG1041)</f>
        <v>#VALUE!</v>
      </c>
      <c r="AI1041" s="446" t="e">
        <f>IF(OR($B1041="",MIN(AI$38,$D$19)&lt;MAX($P$708*($B1041+IF($R$17="Distrato",$I$38-1,0)),IF(AND($L$711=0,$P$708=0),"",$L$711-1),IF($R$17="Distrato",$E1041,0))),0,YEARFRAC(MAX($P$708*($B1041+IF($R$17="Distrato",$I$38-1,0)),IF(AND($L$711=0,$P$708=0),"",$L$711-1),IF($R$17="Distrato",$E1041,0)),MIN(AI$38,$D$19),$P$20))-SUM($P1041:AH1041)</f>
        <v>#VALUE!</v>
      </c>
      <c r="AJ1041" s="446" t="e">
        <f>IF(OR($B1041="",MIN(AJ$38,$D$19)&lt;MAX($P$708*($B1041+IF($R$17="Distrato",$I$38-1,0)),IF(AND($L$711=0,$P$708=0),"",$L$711-1),IF($R$17="Distrato",$E1041,0))),0,YEARFRAC(MAX($P$708*($B1041+IF($R$17="Distrato",$I$38-1,0)),IF(AND($L$711=0,$P$708=0),"",$L$711-1),IF($R$17="Distrato",$E1041,0)),MIN(AJ$38,$D$19),$P$20))-SUM($P1041:AI1041)</f>
        <v>#VALUE!</v>
      </c>
      <c r="AK1041" s="446" t="e">
        <f>IF(OR($B1041="",MIN(AK$38,$D$19)&lt;MAX($P$708*($B1041+IF($R$17="Distrato",$I$38-1,0)),IF(AND($L$711=0,$P$708=0),"",$L$711-1),IF($R$17="Distrato",$E1041,0))),0,YEARFRAC(MAX($P$708*($B1041+IF($R$17="Distrato",$I$38-1,0)),IF(AND($L$711=0,$P$708=0),"",$L$711-1),IF($R$17="Distrato",$E1041,0)),MIN(AK$38,$D$19),$P$20))-SUM($P1041:AJ1041)</f>
        <v>#VALUE!</v>
      </c>
      <c r="AL1041" s="446" t="e">
        <f>IF(OR($B1041="",MIN(AL$38,$D$19)&lt;MAX($P$708*($B1041+IF($R$17="Distrato",$I$38-1,0)),IF(AND($L$711=0,$P$708=0),"",$L$711-1),IF($R$17="Distrato",$E1041,0))),0,YEARFRAC(MAX($P$708*($B1041+IF($R$17="Distrato",$I$38-1,0)),IF(AND($L$711=0,$P$708=0),"",$L$711-1),IF($R$17="Distrato",$E1041,0)),MIN(AL$38,$D$19),$P$20))-SUM($P1041:AK1041)</f>
        <v>#VALUE!</v>
      </c>
      <c r="AM1041" s="446" t="e">
        <f>IF(OR($B1041="",MIN(AM$38,$D$19)&lt;MAX($P$708*($B1041+IF($R$17="Distrato",$I$38-1,0)),IF(AND($L$711=0,$P$708=0),"",$L$711-1),IF($R$17="Distrato",$E1041,0))),0,YEARFRAC(MAX($P$708*($B1041+IF($R$17="Distrato",$I$38-1,0)),IF(AND($L$711=0,$P$708=0),"",$L$711-1),IF($R$17="Distrato",$E1041,0)),MIN(AM$38,$D$19),$P$20))-SUM($P1041:AL1041)</f>
        <v>#VALUE!</v>
      </c>
      <c r="AN1041" s="446" t="e">
        <f>IF(OR($B1041="",MIN(AN$38,$D$19)&lt;MAX($P$708*($B1041+IF($R$17="Distrato",$I$38-1,0)),IF(AND($L$711=0,$P$708=0),"",$L$711-1),IF($R$17="Distrato",$E1041,0))),0,YEARFRAC(MAX($P$708*($B1041+IF($R$17="Distrato",$I$38-1,0)),IF(AND($L$711=0,$P$708=0),"",$L$711-1),IF($R$17="Distrato",$E1041,0)),MIN(AN$38,$D$19),$P$20))-SUM($P1041:AM1041)</f>
        <v>#VALUE!</v>
      </c>
      <c r="AO1041" s="446" t="e">
        <f>IF(OR($B1041="",MIN(AO$38,$D$19)&lt;MAX($P$708*($B1041+IF($R$17="Distrato",$I$38-1,0)),IF(AND($L$711=0,$P$708=0),"",$L$711-1),IF($R$17="Distrato",$E1041,0))),0,YEARFRAC(MAX($P$708*($B1041+IF($R$17="Distrato",$I$38-1,0)),IF(AND($L$711=0,$P$708=0),"",$L$711-1),IF($R$17="Distrato",$E1041,0)),MIN(AO$38,$D$19),$P$20))-SUM($P1041:AN1041)</f>
        <v>#VALUE!</v>
      </c>
      <c r="AP1041" s="446" t="e">
        <f>IF(OR($B1041="",MIN(AP$38,$D$19)&lt;MAX($P$708*($B1041+IF($R$17="Distrato",$I$38-1,0)),IF(AND($L$711=0,$P$708=0),"",$L$711-1),IF($R$17="Distrato",$E1041,0))),0,YEARFRAC(MAX($P$708*($B1041+IF($R$17="Distrato",$I$38-1,0)),IF(AND($L$711=0,$P$708=0),"",$L$711-1),IF($R$17="Distrato",$E1041,0)),MIN(AP$38,$D$19),$P$20))-SUM($P1041:AO1041)</f>
        <v>#VALUE!</v>
      </c>
      <c r="AQ1041" s="446" t="e">
        <f>IF(OR($B1041="",MIN(AQ$38,$D$19)&lt;MAX($P$708*($B1041+IF($R$17="Distrato",$I$38-1,0)),IF(AND($L$711=0,$P$708=0),"",$L$711-1),IF($R$17="Distrato",$E1041,0))),0,YEARFRAC(MAX($P$708*($B1041+IF($R$17="Distrato",$I$38-1,0)),IF(AND($L$711=0,$P$708=0),"",$L$711-1),IF($R$17="Distrato",$E1041,0)),MIN(AQ$38,$D$19),$P$20))-SUM($P1041:AP1041)</f>
        <v>#VALUE!</v>
      </c>
      <c r="AR1041" s="446" t="e">
        <f>IF(OR($B1041="",MIN(AR$38,$D$19)&lt;MAX($P$708*($B1041+IF($R$17="Distrato",$I$38-1,0)),IF(AND($L$711=0,$P$708=0),"",$L$711-1),IF($R$17="Distrato",$E1041,0))),0,YEARFRAC(MAX($P$708*($B1041+IF($R$17="Distrato",$I$38-1,0)),IF(AND($L$711=0,$P$708=0),"",$L$711-1),IF($R$17="Distrato",$E1041,0)),MIN(AR$38,$D$19),$P$20))-SUM($P1041:AQ1041)</f>
        <v>#VALUE!</v>
      </c>
      <c r="AS1041" s="446" t="e">
        <f>IF(OR($B1041="",MIN(AS$38,$D$19)&lt;MAX($P$708*($B1041+IF($R$17="Distrato",$I$38-1,0)),IF(AND($L$711=0,$P$708=0),"",$L$711-1),IF($R$17="Distrato",$E1041,0))),0,YEARFRAC(MAX($P$708*($B1041+IF($R$17="Distrato",$I$38-1,0)),IF(AND($L$711=0,$P$708=0),"",$L$711-1),IF($R$17="Distrato",$E1041,0)),MIN(AS$38,$D$19),$P$20))-SUM($P1041:AR1041)</f>
        <v>#VALUE!</v>
      </c>
      <c r="AT1041" s="446" t="e">
        <f>IF(OR($B1041="",MIN(AT$38,$D$19)&lt;MAX($P$708*($B1041+IF($R$17="Distrato",$I$38-1,0)),IF(AND($L$711=0,$P$708=0),"",$L$711-1),IF($R$17="Distrato",$E1041,0))),0,YEARFRAC(MAX($P$708*($B1041+IF($R$17="Distrato",$I$38-1,0)),IF(AND($L$711=0,$P$708=0),"",$L$711-1),IF($R$17="Distrato",$E1041,0)),MIN(AT$38,$D$19),$P$20))-SUM($P1041:AS1041)</f>
        <v>#VALUE!</v>
      </c>
      <c r="AU1041" s="446" t="e">
        <f>IF(OR($B1041="",MIN(AU$38,$D$19)&lt;MAX($P$708*($B1041+IF($R$17="Distrato",$I$38-1,0)),IF(AND($L$711=0,$P$708=0),"",$L$711-1),IF($R$17="Distrato",$E1041,0))),0,YEARFRAC(MAX($P$708*($B1041+IF($R$17="Distrato",$I$38-1,0)),IF(AND($L$711=0,$P$708=0),"",$L$711-1),IF($R$17="Distrato",$E1041,0)),MIN(AU$38,$D$19),$P$20))-SUM($P1041:AT1041)</f>
        <v>#VALUE!</v>
      </c>
      <c r="AV1041" s="446" t="e">
        <f>IF(OR($B1041="",MIN(AV$38,$D$19)&lt;MAX($P$708*($B1041+IF($R$17="Distrato",$I$38-1,0)),IF(AND($L$711=0,$P$708=0),"",$L$711-1),IF($R$17="Distrato",$E1041,0))),0,YEARFRAC(MAX($P$708*($B1041+IF($R$17="Distrato",$I$38-1,0)),IF(AND($L$711=0,$P$708=0),"",$L$711-1),IF($R$17="Distrato",$E1041,0)),MIN(AV$38,$D$19),$P$20))-SUM($P1041:AU1041)</f>
        <v>#VALUE!</v>
      </c>
      <c r="AW1041" s="446" t="e">
        <f>IF(OR($B1041="",MIN(AW$38,$D$19)&lt;MAX($P$708*($B1041+IF($R$17="Distrato",$I$38-1,0)),IF(AND($L$711=0,$P$708=0),"",$L$711-1),IF($R$17="Distrato",$E1041,0))),0,YEARFRAC(MAX($P$708*($B1041+IF($R$17="Distrato",$I$38-1,0)),IF(AND($L$711=0,$P$708=0),"",$L$711-1),IF($R$17="Distrato",$E1041,0)),MIN(AW$38,$D$19),$P$20))-SUM($P1041:AV1041)</f>
        <v>#VALUE!</v>
      </c>
      <c r="AX1041" s="446" t="e">
        <f>IF(OR($B1041="",MIN(AX$38,$D$19)&lt;MAX($P$708*($B1041+IF($R$17="Distrato",$I$38-1,0)),IF(AND($L$711=0,$P$708=0),"",$L$711-1),IF($R$17="Distrato",$E1041,0))),0,YEARFRAC(MAX($P$708*($B1041+IF($R$17="Distrato",$I$38-1,0)),IF(AND($L$711=0,$P$708=0),"",$L$711-1),IF($R$17="Distrato",$E1041,0)),MIN(AX$38,$D$19),$P$20))-SUM($P1041:AW1041)</f>
        <v>#VALUE!</v>
      </c>
      <c r="AY1041" s="446" t="e">
        <f>IF(OR($B1041="",MIN(AY$38,$D$19)&lt;MAX($P$708*($B1041+IF($R$17="Distrato",$I$38-1,0)),IF(AND($L$711=0,$P$708=0),"",$L$711-1),IF($R$17="Distrato",$E1041,0))),0,YEARFRAC(MAX($P$708*($B1041+IF($R$17="Distrato",$I$38-1,0)),IF(AND($L$711=0,$P$708=0),"",$L$711-1),IF($R$17="Distrato",$E1041,0)),MIN(AY$38,$D$19),$P$20))-SUM($P1041:AX1041)</f>
        <v>#VALUE!</v>
      </c>
      <c r="AZ1041" s="446" t="e">
        <f>IF(OR($B1041="",MIN(AZ$38,$D$19)&lt;MAX($P$708*($B1041+IF($R$17="Distrato",$I$38-1,0)),IF(AND($L$711=0,$P$708=0),"",$L$711-1),IF($R$17="Distrato",$E1041,0))),0,YEARFRAC(MAX($P$708*($B1041+IF($R$17="Distrato",$I$38-1,0)),IF(AND($L$711=0,$P$708=0),"",$L$711-1),IF($R$17="Distrato",$E1041,0)),MIN(AZ$38,$D$19),$P$20))-SUM($P1041:AY1041)</f>
        <v>#VALUE!</v>
      </c>
      <c r="BA1041" s="446" t="e">
        <f>IF(OR($B1041="",MIN(BA$38,$D$19)&lt;MAX($P$708*($B1041+IF($R$17="Distrato",$I$38-1,0)),IF(AND($L$711=0,$P$708=0),"",$L$711-1),IF($R$17="Distrato",$E1041,0))),0,YEARFRAC(MAX($P$708*($B1041+IF($R$17="Distrato",$I$38-1,0)),IF(AND($L$711=0,$P$708=0),"",$L$711-1),IF($R$17="Distrato",$E1041,0)),MIN(BA$38,$D$19),$P$20))-SUM($P1041:AZ1041)</f>
        <v>#VALUE!</v>
      </c>
      <c r="BB1041" s="447"/>
    </row>
    <row r="1042" spans="1:54" s="446" customFormat="1" ht="11.25" hidden="1" customHeight="1" x14ac:dyDescent="0.2">
      <c r="A1042" s="235"/>
      <c r="B1042" s="236"/>
      <c r="C1042" s="29" t="str">
        <f>IF(B1042="","",IF($L$709=$BL$25,VLOOKUP(DATE(YEAR($D$19),MONTH($D$19)-1,1),ÍNDICES!$A:$DE,HLOOKUP($BL$25,ÍNDICES!$B$3:$T$4,2)+11)-VLOOKUP(B1042,ÍNDICES!$A:$DE,HLOOKUP($BL$25,ÍNDICES!$B$3:$T$4,2)+11)+1%,IF(C$712=$W$26,$J$35,IF(ISERROR(IF(B1042&gt;$D$19,1,VLOOKUP(DATE(YEAR(B1042),MONTH(B1042)+IF($C$709=$S$23,1,0),1),ÍNDICES!$A:$DE,$Z$709+1))),"",IF(B1042&gt;$D$19,1,VLOOKUP(DATE(YEAR(B1042),MONTH(B1042)+IF($C$709=$S$23,1,0),1),ÍNDICES!$A:$DE,$Z$709+1))))))</f>
        <v/>
      </c>
      <c r="D1042" s="155"/>
      <c r="E1042" s="88"/>
      <c r="F1042" s="88"/>
      <c r="G1042" s="88"/>
      <c r="H1042" s="118"/>
      <c r="I1042" s="182">
        <f t="shared" si="150"/>
        <v>0</v>
      </c>
      <c r="J1042" s="20">
        <f t="shared" ca="1" si="151"/>
        <v>0</v>
      </c>
      <c r="K1042" s="5">
        <f t="shared" ca="1" si="152"/>
        <v>0</v>
      </c>
      <c r="L1042" s="61">
        <f t="shared" ca="1" si="153"/>
        <v>0</v>
      </c>
      <c r="M1042" s="64">
        <f t="shared" si="154"/>
        <v>0</v>
      </c>
      <c r="N1042" s="151"/>
      <c r="O1042" s="5">
        <f t="shared" ca="1" si="155"/>
        <v>0</v>
      </c>
      <c r="P1042" s="446" t="e">
        <f t="shared" si="156"/>
        <v>#VALUE!</v>
      </c>
      <c r="Q1042" s="446" t="e">
        <f>IF(OR($B1042="",MIN(Q$38,$D$19)&lt;MAX($P$708*($B1042+IF($R$17="Distrato",$I$38-1,0)),IF(AND($L$711=0,$P$708=0),"",$L$711-1),IF($R$17="Distrato",$E1042,0))),0,YEARFRAC(MAX($P$708*($B1042+IF($R$17="Distrato",$I$38-1,0)),IF(AND($L$711=0,$P$708=0),"",$L$711-1),IF($R$17="Distrato",$E1042,0)),MIN(Q$38,$D$19),$P$20))-SUM($P1042:P1042)</f>
        <v>#VALUE!</v>
      </c>
      <c r="R1042" s="446" t="e">
        <f>IF(OR($B1042="",MIN(R$38,$D$19)&lt;MAX($P$708*($B1042+IF($R$17="Distrato",$I$38-1,0)),IF(AND($L$711=0,$P$708=0),"",$L$711-1),IF($R$17="Distrato",$E1042,0))),0,YEARFRAC(MAX($P$708*($B1042+IF($R$17="Distrato",$I$38-1,0)),IF(AND($L$711=0,$P$708=0),"",$L$711-1),IF($R$17="Distrato",$E1042,0)),MIN(R$38,$D$19),$P$20))-SUM($P1042:Q1042)</f>
        <v>#VALUE!</v>
      </c>
      <c r="S1042" s="446" t="e">
        <f>IF(OR($B1042="",MIN(S$38,$D$19)&lt;MAX($P$708*($B1042+IF($R$17="Distrato",$I$38-1,0)),IF(AND($L$711=0,$P$708=0),"",$L$711-1),IF($R$17="Distrato",$E1042,0))),0,YEARFRAC(MAX($P$708*($B1042+IF($R$17="Distrato",$I$38-1,0)),IF(AND($L$711=0,$P$708=0),"",$L$711-1),IF($R$17="Distrato",$E1042,0)),MIN(S$38,$D$19),$P$20))-SUM($P1042:R1042)</f>
        <v>#VALUE!</v>
      </c>
      <c r="T1042" s="446" t="e">
        <f>IF(OR($B1042="",MIN(T$38,$D$19)&lt;MAX($P$708*($B1042+IF($R$17="Distrato",$I$38-1,0)),IF(AND($L$711=0,$P$708=0),"",$L$711-1),IF($R$17="Distrato",$E1042,0))),0,YEARFRAC(MAX($P$708*($B1042+IF($R$17="Distrato",$I$38-1,0)),IF(AND($L$711=0,$P$708=0),"",$L$711-1),IF($R$17="Distrato",$E1042,0)),MIN(T$38,$D$19),$P$20))-SUM($P1042:S1042)</f>
        <v>#VALUE!</v>
      </c>
      <c r="U1042" s="446" t="e">
        <f>IF(OR($B1042="",MIN(U$38,$D$19)&lt;MAX($P$708*($B1042+IF($R$17="Distrato",$I$38-1,0)),IF(AND($L$711=0,$P$708=0),"",$L$711-1),IF($R$17="Distrato",$E1042,0))),0,YEARFRAC(MAX($P$708*($B1042+IF($R$17="Distrato",$I$38-1,0)),IF(AND($L$711=0,$P$708=0),"",$L$711-1),IF($R$17="Distrato",$E1042,0)),MIN(U$38,$D$19),$P$20))-SUM($P1042:T1042)</f>
        <v>#VALUE!</v>
      </c>
      <c r="V1042" s="446" t="e">
        <f>IF(OR($B1042="",MIN(V$38,$D$19)&lt;MAX($P$708*($B1042+IF($R$17="Distrato",$I$38-1,0)),IF(AND($L$711=0,$P$708=0),"",$L$711-1),IF($R$17="Distrato",$E1042,0))),0,YEARFRAC(MAX($P$708*($B1042+IF($R$17="Distrato",$I$38-1,0)),IF(AND($L$711=0,$P$708=0),"",$L$711-1),IF($R$17="Distrato",$E1042,0)),MIN(V$38,$D$19),$P$20))-SUM($P1042:U1042)</f>
        <v>#VALUE!</v>
      </c>
      <c r="W1042" s="446" t="e">
        <f>IF(OR($B1042="",MIN(W$38,$D$19)&lt;MAX($P$708*($B1042+IF($R$17="Distrato",$I$38-1,0)),IF(AND($L$711=0,$P$708=0),"",$L$711-1),IF($R$17="Distrato",$E1042,0))),0,YEARFRAC(MAX($P$708*($B1042+IF($R$17="Distrato",$I$38-1,0)),IF(AND($L$711=0,$P$708=0),"",$L$711-1),IF($R$17="Distrato",$E1042,0)),MIN(W$38,$D$19),$P$20))-SUM($P1042:V1042)</f>
        <v>#VALUE!</v>
      </c>
      <c r="X1042" s="446" t="e">
        <f>IF(OR($B1042="",MIN(X$38,$D$19)&lt;MAX($P$708*($B1042+IF($R$17="Distrato",$I$38-1,0)),IF(AND($L$711=0,$P$708=0),"",$L$711-1),IF($R$17="Distrato",$E1042,0))),0,YEARFRAC(MAX($P$708*($B1042+IF($R$17="Distrato",$I$38-1,0)),IF(AND($L$711=0,$P$708=0),"",$L$711-1),IF($R$17="Distrato",$E1042,0)),MIN(X$38,$D$19),$P$20))-SUM($P1042:W1042)</f>
        <v>#VALUE!</v>
      </c>
      <c r="Y1042" s="446" t="e">
        <f>IF(OR($B1042="",MIN(Y$38,$D$19)&lt;MAX($P$708*($B1042+IF($R$17="Distrato",$I$38-1,0)),IF(AND($L$711=0,$P$708=0),"",$L$711-1),IF($R$17="Distrato",$E1042,0))),0,YEARFRAC(MAX($P$708*($B1042+IF($R$17="Distrato",$I$38-1,0)),IF(AND($L$711=0,$P$708=0),"",$L$711-1),IF($R$17="Distrato",$E1042,0)),MIN(Y$38,$D$19),$P$20))-SUM($P1042:X1042)</f>
        <v>#VALUE!</v>
      </c>
      <c r="Z1042" s="446" t="e">
        <f>IF(OR($B1042="",MIN(Z$38,$D$19)&lt;MAX($P$708*($B1042+IF($R$17="Distrato",$I$38-1,0)),IF(AND($L$711=0,$P$708=0),"",$L$711-1),IF($R$17="Distrato",$E1042,0))),0,YEARFRAC(MAX($P$708*($B1042+IF($R$17="Distrato",$I$38-1,0)),IF(AND($L$711=0,$P$708=0),"",$L$711-1),IF($R$17="Distrato",$E1042,0)),MIN(Z$38,$D$19),$P$20))-SUM($P1042:Y1042)</f>
        <v>#VALUE!</v>
      </c>
      <c r="AA1042" s="446" t="e">
        <f>IF(OR($B1042="",MIN(AA$38,$D$19)&lt;MAX($P$708*($B1042+IF($R$17="Distrato",$I$38-1,0)),IF(AND($L$711=0,$P$708=0),"",$L$711-1),IF($R$17="Distrato",$E1042,0))),0,YEARFRAC(MAX($P$708*($B1042+IF($R$17="Distrato",$I$38-1,0)),IF(AND($L$711=0,$P$708=0),"",$L$711-1),IF($R$17="Distrato",$E1042,0)),MIN(AA$38,$D$19),$P$20))-SUM($P1042:Z1042)</f>
        <v>#VALUE!</v>
      </c>
      <c r="AB1042" s="446" t="e">
        <f>IF(OR($B1042="",MIN(AB$38,$D$19)&lt;MAX($P$708*($B1042+IF($R$17="Distrato",$I$38-1,0)),IF(AND($L$711=0,$P$708=0),"",$L$711-1),IF($R$17="Distrato",$E1042,0))),0,YEARFRAC(MAX($P$708*($B1042+IF($R$17="Distrato",$I$38-1,0)),IF(AND($L$711=0,$P$708=0),"",$L$711-1),IF($R$17="Distrato",$E1042,0)),MIN(AB$38,$D$19),$P$20))-SUM($P1042:AA1042)</f>
        <v>#VALUE!</v>
      </c>
      <c r="AC1042" s="446" t="e">
        <f>IF(OR($B1042="",MIN(AC$38,$D$19)&lt;MAX($P$708*($B1042+IF($R$17="Distrato",$I$38-1,0)),IF(AND($L$711=0,$P$708=0),"",$L$711-1),IF($R$17="Distrato",$E1042,0))),0,YEARFRAC(MAX($P$708*($B1042+IF($R$17="Distrato",$I$38-1,0)),IF(AND($L$711=0,$P$708=0),"",$L$711-1),IF($R$17="Distrato",$E1042,0)),MIN(AC$38,$D$19),$P$20))-SUM($P1042:AB1042)</f>
        <v>#VALUE!</v>
      </c>
      <c r="AD1042" s="446" t="e">
        <f>IF(OR($B1042="",MIN(AD$38,$D$19)&lt;MAX($P$708*($B1042+IF($R$17="Distrato",$I$38-1,0)),IF(AND($L$711=0,$P$708=0),"",$L$711-1),IF($R$17="Distrato",$E1042,0))),0,YEARFRAC(MAX($P$708*($B1042+IF($R$17="Distrato",$I$38-1,0)),IF(AND($L$711=0,$P$708=0),"",$L$711-1),IF($R$17="Distrato",$E1042,0)),MIN(AD$38,$D$19),$P$20))-SUM($P1042:AC1042)</f>
        <v>#VALUE!</v>
      </c>
      <c r="AE1042" s="446" t="e">
        <f>IF(OR($B1042="",MIN(AE$38,$D$19)&lt;MAX($P$708*($B1042+IF($R$17="Distrato",$I$38-1,0)),IF(AND($L$711=0,$P$708=0),"",$L$711-1),IF($R$17="Distrato",$E1042,0))),0,YEARFRAC(MAX($P$708*($B1042+IF($R$17="Distrato",$I$38-1,0)),IF(AND($L$711=0,$P$708=0),"",$L$711-1),IF($R$17="Distrato",$E1042,0)),MIN(AE$38,$D$19),$P$20))-SUM($P1042:AD1042)</f>
        <v>#VALUE!</v>
      </c>
      <c r="AF1042" s="446" t="e">
        <f>IF(OR($B1042="",MIN(AF$38,$D$19)&lt;MAX($P$708*($B1042+IF($R$17="Distrato",$I$38-1,0)),IF(AND($L$711=0,$P$708=0),"",$L$711-1),IF($R$17="Distrato",$E1042,0))),0,YEARFRAC(MAX($P$708*($B1042+IF($R$17="Distrato",$I$38-1,0)),IF(AND($L$711=0,$P$708=0),"",$L$711-1),IF($R$17="Distrato",$E1042,0)),MIN(AF$38,$D$19),$P$20))-SUM($P1042:AE1042)</f>
        <v>#VALUE!</v>
      </c>
      <c r="AG1042" s="446" t="e">
        <f>IF(OR($B1042="",MIN(AG$38,$D$19)&lt;MAX($P$708*($B1042+IF($R$17="Distrato",$I$38-1,0)),IF(AND($L$711=0,$P$708=0),"",$L$711-1),IF($R$17="Distrato",$E1042,0))),0,YEARFRAC(MAX($P$708*($B1042+IF($R$17="Distrato",$I$38-1,0)),IF(AND($L$711=0,$P$708=0),"",$L$711-1),IF($R$17="Distrato",$E1042,0)),MIN(AG$38,$D$19),$P$20))-SUM($P1042:AF1042)</f>
        <v>#VALUE!</v>
      </c>
      <c r="AH1042" s="446" t="e">
        <f>IF(OR($B1042="",MIN(AH$38,$D$19)&lt;MAX($P$708*($B1042+IF($R$17="Distrato",$I$38-1,0)),IF(AND($L$711=0,$P$708=0),"",$L$711-1),IF($R$17="Distrato",$E1042,0))),0,YEARFRAC(MAX($P$708*($B1042+IF($R$17="Distrato",$I$38-1,0)),IF(AND($L$711=0,$P$708=0),"",$L$711-1),IF($R$17="Distrato",$E1042,0)),MIN(AH$38,$D$19),$P$20))-SUM($P1042:AG1042)</f>
        <v>#VALUE!</v>
      </c>
      <c r="AI1042" s="446" t="e">
        <f>IF(OR($B1042="",MIN(AI$38,$D$19)&lt;MAX($P$708*($B1042+IF($R$17="Distrato",$I$38-1,0)),IF(AND($L$711=0,$P$708=0),"",$L$711-1),IF($R$17="Distrato",$E1042,0))),0,YEARFRAC(MAX($P$708*($B1042+IF($R$17="Distrato",$I$38-1,0)),IF(AND($L$711=0,$P$708=0),"",$L$711-1),IF($R$17="Distrato",$E1042,0)),MIN(AI$38,$D$19),$P$20))-SUM($P1042:AH1042)</f>
        <v>#VALUE!</v>
      </c>
      <c r="AJ1042" s="446" t="e">
        <f>IF(OR($B1042="",MIN(AJ$38,$D$19)&lt;MAX($P$708*($B1042+IF($R$17="Distrato",$I$38-1,0)),IF(AND($L$711=0,$P$708=0),"",$L$711-1),IF($R$17="Distrato",$E1042,0))),0,YEARFRAC(MAX($P$708*($B1042+IF($R$17="Distrato",$I$38-1,0)),IF(AND($L$711=0,$P$708=0),"",$L$711-1),IF($R$17="Distrato",$E1042,0)),MIN(AJ$38,$D$19),$P$20))-SUM($P1042:AI1042)</f>
        <v>#VALUE!</v>
      </c>
      <c r="AK1042" s="446" t="e">
        <f>IF(OR($B1042="",MIN(AK$38,$D$19)&lt;MAX($P$708*($B1042+IF($R$17="Distrato",$I$38-1,0)),IF(AND($L$711=0,$P$708=0),"",$L$711-1),IF($R$17="Distrato",$E1042,0))),0,YEARFRAC(MAX($P$708*($B1042+IF($R$17="Distrato",$I$38-1,0)),IF(AND($L$711=0,$P$708=0),"",$L$711-1),IF($R$17="Distrato",$E1042,0)),MIN(AK$38,$D$19),$P$20))-SUM($P1042:AJ1042)</f>
        <v>#VALUE!</v>
      </c>
      <c r="AL1042" s="446" t="e">
        <f>IF(OR($B1042="",MIN(AL$38,$D$19)&lt;MAX($P$708*($B1042+IF($R$17="Distrato",$I$38-1,0)),IF(AND($L$711=0,$P$708=0),"",$L$711-1),IF($R$17="Distrato",$E1042,0))),0,YEARFRAC(MAX($P$708*($B1042+IF($R$17="Distrato",$I$38-1,0)),IF(AND($L$711=0,$P$708=0),"",$L$711-1),IF($R$17="Distrato",$E1042,0)),MIN(AL$38,$D$19),$P$20))-SUM($P1042:AK1042)</f>
        <v>#VALUE!</v>
      </c>
      <c r="AM1042" s="446" t="e">
        <f>IF(OR($B1042="",MIN(AM$38,$D$19)&lt;MAX($P$708*($B1042+IF($R$17="Distrato",$I$38-1,0)),IF(AND($L$711=0,$P$708=0),"",$L$711-1),IF($R$17="Distrato",$E1042,0))),0,YEARFRAC(MAX($P$708*($B1042+IF($R$17="Distrato",$I$38-1,0)),IF(AND($L$711=0,$P$708=0),"",$L$711-1),IF($R$17="Distrato",$E1042,0)),MIN(AM$38,$D$19),$P$20))-SUM($P1042:AL1042)</f>
        <v>#VALUE!</v>
      </c>
      <c r="AN1042" s="446" t="e">
        <f>IF(OR($B1042="",MIN(AN$38,$D$19)&lt;MAX($P$708*($B1042+IF($R$17="Distrato",$I$38-1,0)),IF(AND($L$711=0,$P$708=0),"",$L$711-1),IF($R$17="Distrato",$E1042,0))),0,YEARFRAC(MAX($P$708*($B1042+IF($R$17="Distrato",$I$38-1,0)),IF(AND($L$711=0,$P$708=0),"",$L$711-1),IF($R$17="Distrato",$E1042,0)),MIN(AN$38,$D$19),$P$20))-SUM($P1042:AM1042)</f>
        <v>#VALUE!</v>
      </c>
      <c r="AO1042" s="446" t="e">
        <f>IF(OR($B1042="",MIN(AO$38,$D$19)&lt;MAX($P$708*($B1042+IF($R$17="Distrato",$I$38-1,0)),IF(AND($L$711=0,$P$708=0),"",$L$711-1),IF($R$17="Distrato",$E1042,0))),0,YEARFRAC(MAX($P$708*($B1042+IF($R$17="Distrato",$I$38-1,0)),IF(AND($L$711=0,$P$708=0),"",$L$711-1),IF($R$17="Distrato",$E1042,0)),MIN(AO$38,$D$19),$P$20))-SUM($P1042:AN1042)</f>
        <v>#VALUE!</v>
      </c>
      <c r="AP1042" s="446" t="e">
        <f>IF(OR($B1042="",MIN(AP$38,$D$19)&lt;MAX($P$708*($B1042+IF($R$17="Distrato",$I$38-1,0)),IF(AND($L$711=0,$P$708=0),"",$L$711-1),IF($R$17="Distrato",$E1042,0))),0,YEARFRAC(MAX($P$708*($B1042+IF($R$17="Distrato",$I$38-1,0)),IF(AND($L$711=0,$P$708=0),"",$L$711-1),IF($R$17="Distrato",$E1042,0)),MIN(AP$38,$D$19),$P$20))-SUM($P1042:AO1042)</f>
        <v>#VALUE!</v>
      </c>
      <c r="AQ1042" s="446" t="e">
        <f>IF(OR($B1042="",MIN(AQ$38,$D$19)&lt;MAX($P$708*($B1042+IF($R$17="Distrato",$I$38-1,0)),IF(AND($L$711=0,$P$708=0),"",$L$711-1),IF($R$17="Distrato",$E1042,0))),0,YEARFRAC(MAX($P$708*($B1042+IF($R$17="Distrato",$I$38-1,0)),IF(AND($L$711=0,$P$708=0),"",$L$711-1),IF($R$17="Distrato",$E1042,0)),MIN(AQ$38,$D$19),$P$20))-SUM($P1042:AP1042)</f>
        <v>#VALUE!</v>
      </c>
      <c r="AR1042" s="446" t="e">
        <f>IF(OR($B1042="",MIN(AR$38,$D$19)&lt;MAX($P$708*($B1042+IF($R$17="Distrato",$I$38-1,0)),IF(AND($L$711=0,$P$708=0),"",$L$711-1),IF($R$17="Distrato",$E1042,0))),0,YEARFRAC(MAX($P$708*($B1042+IF($R$17="Distrato",$I$38-1,0)),IF(AND($L$711=0,$P$708=0),"",$L$711-1),IF($R$17="Distrato",$E1042,0)),MIN(AR$38,$D$19),$P$20))-SUM($P1042:AQ1042)</f>
        <v>#VALUE!</v>
      </c>
      <c r="AS1042" s="446" t="e">
        <f>IF(OR($B1042="",MIN(AS$38,$D$19)&lt;MAX($P$708*($B1042+IF($R$17="Distrato",$I$38-1,0)),IF(AND($L$711=0,$P$708=0),"",$L$711-1),IF($R$17="Distrato",$E1042,0))),0,YEARFRAC(MAX($P$708*($B1042+IF($R$17="Distrato",$I$38-1,0)),IF(AND($L$711=0,$P$708=0),"",$L$711-1),IF($R$17="Distrato",$E1042,0)),MIN(AS$38,$D$19),$P$20))-SUM($P1042:AR1042)</f>
        <v>#VALUE!</v>
      </c>
      <c r="AT1042" s="446" t="e">
        <f>IF(OR($B1042="",MIN(AT$38,$D$19)&lt;MAX($P$708*($B1042+IF($R$17="Distrato",$I$38-1,0)),IF(AND($L$711=0,$P$708=0),"",$L$711-1),IF($R$17="Distrato",$E1042,0))),0,YEARFRAC(MAX($P$708*($B1042+IF($R$17="Distrato",$I$38-1,0)),IF(AND($L$711=0,$P$708=0),"",$L$711-1),IF($R$17="Distrato",$E1042,0)),MIN(AT$38,$D$19),$P$20))-SUM($P1042:AS1042)</f>
        <v>#VALUE!</v>
      </c>
      <c r="AU1042" s="446" t="e">
        <f>IF(OR($B1042="",MIN(AU$38,$D$19)&lt;MAX($P$708*($B1042+IF($R$17="Distrato",$I$38-1,0)),IF(AND($L$711=0,$P$708=0),"",$L$711-1),IF($R$17="Distrato",$E1042,0))),0,YEARFRAC(MAX($P$708*($B1042+IF($R$17="Distrato",$I$38-1,0)),IF(AND($L$711=0,$P$708=0),"",$L$711-1),IF($R$17="Distrato",$E1042,0)),MIN(AU$38,$D$19),$P$20))-SUM($P1042:AT1042)</f>
        <v>#VALUE!</v>
      </c>
      <c r="AV1042" s="446" t="e">
        <f>IF(OR($B1042="",MIN(AV$38,$D$19)&lt;MAX($P$708*($B1042+IF($R$17="Distrato",$I$38-1,0)),IF(AND($L$711=0,$P$708=0),"",$L$711-1),IF($R$17="Distrato",$E1042,0))),0,YEARFRAC(MAX($P$708*($B1042+IF($R$17="Distrato",$I$38-1,0)),IF(AND($L$711=0,$P$708=0),"",$L$711-1),IF($R$17="Distrato",$E1042,0)),MIN(AV$38,$D$19),$P$20))-SUM($P1042:AU1042)</f>
        <v>#VALUE!</v>
      </c>
      <c r="AW1042" s="446" t="e">
        <f>IF(OR($B1042="",MIN(AW$38,$D$19)&lt;MAX($P$708*($B1042+IF($R$17="Distrato",$I$38-1,0)),IF(AND($L$711=0,$P$708=0),"",$L$711-1),IF($R$17="Distrato",$E1042,0))),0,YEARFRAC(MAX($P$708*($B1042+IF($R$17="Distrato",$I$38-1,0)),IF(AND($L$711=0,$P$708=0),"",$L$711-1),IF($R$17="Distrato",$E1042,0)),MIN(AW$38,$D$19),$P$20))-SUM($P1042:AV1042)</f>
        <v>#VALUE!</v>
      </c>
      <c r="AX1042" s="446" t="e">
        <f>IF(OR($B1042="",MIN(AX$38,$D$19)&lt;MAX($P$708*($B1042+IF($R$17="Distrato",$I$38-1,0)),IF(AND($L$711=0,$P$708=0),"",$L$711-1),IF($R$17="Distrato",$E1042,0))),0,YEARFRAC(MAX($P$708*($B1042+IF($R$17="Distrato",$I$38-1,0)),IF(AND($L$711=0,$P$708=0),"",$L$711-1),IF($R$17="Distrato",$E1042,0)),MIN(AX$38,$D$19),$P$20))-SUM($P1042:AW1042)</f>
        <v>#VALUE!</v>
      </c>
      <c r="AY1042" s="446" t="e">
        <f>IF(OR($B1042="",MIN(AY$38,$D$19)&lt;MAX($P$708*($B1042+IF($R$17="Distrato",$I$38-1,0)),IF(AND($L$711=0,$P$708=0),"",$L$711-1),IF($R$17="Distrato",$E1042,0))),0,YEARFRAC(MAX($P$708*($B1042+IF($R$17="Distrato",$I$38-1,0)),IF(AND($L$711=0,$P$708=0),"",$L$711-1),IF($R$17="Distrato",$E1042,0)),MIN(AY$38,$D$19),$P$20))-SUM($P1042:AX1042)</f>
        <v>#VALUE!</v>
      </c>
      <c r="AZ1042" s="446" t="e">
        <f>IF(OR($B1042="",MIN(AZ$38,$D$19)&lt;MAX($P$708*($B1042+IF($R$17="Distrato",$I$38-1,0)),IF(AND($L$711=0,$P$708=0),"",$L$711-1),IF($R$17="Distrato",$E1042,0))),0,YEARFRAC(MAX($P$708*($B1042+IF($R$17="Distrato",$I$38-1,0)),IF(AND($L$711=0,$P$708=0),"",$L$711-1),IF($R$17="Distrato",$E1042,0)),MIN(AZ$38,$D$19),$P$20))-SUM($P1042:AY1042)</f>
        <v>#VALUE!</v>
      </c>
      <c r="BA1042" s="446" t="e">
        <f>IF(OR($B1042="",MIN(BA$38,$D$19)&lt;MAX($P$708*($B1042+IF($R$17="Distrato",$I$38-1,0)),IF(AND($L$711=0,$P$708=0),"",$L$711-1),IF($R$17="Distrato",$E1042,0))),0,YEARFRAC(MAX($P$708*($B1042+IF($R$17="Distrato",$I$38-1,0)),IF(AND($L$711=0,$P$708=0),"",$L$711-1),IF($R$17="Distrato",$E1042,0)),MIN(BA$38,$D$19),$P$20))-SUM($P1042:AZ1042)</f>
        <v>#VALUE!</v>
      </c>
      <c r="BB1042" s="447"/>
    </row>
    <row r="1043" spans="1:54" s="446" customFormat="1" ht="11.25" hidden="1" customHeight="1" x14ac:dyDescent="0.2">
      <c r="A1043" s="235"/>
      <c r="B1043" s="236"/>
      <c r="C1043" s="29" t="str">
        <f>IF(B1043="","",IF($L$709=$BL$25,VLOOKUP(DATE(YEAR($D$19),MONTH($D$19)-1,1),ÍNDICES!$A:$DE,HLOOKUP($BL$25,ÍNDICES!$B$3:$T$4,2)+11)-VLOOKUP(B1043,ÍNDICES!$A:$DE,HLOOKUP($BL$25,ÍNDICES!$B$3:$T$4,2)+11)+1%,IF(C$712=$W$26,$J$35,IF(ISERROR(IF(B1043&gt;$D$19,1,VLOOKUP(DATE(YEAR(B1043),MONTH(B1043)+IF($C$709=$S$23,1,0),1),ÍNDICES!$A:$DE,$Z$709+1))),"",IF(B1043&gt;$D$19,1,VLOOKUP(DATE(YEAR(B1043),MONTH(B1043)+IF($C$709=$S$23,1,0),1),ÍNDICES!$A:$DE,$Z$709+1))))))</f>
        <v/>
      </c>
      <c r="D1043" s="155"/>
      <c r="E1043" s="88"/>
      <c r="F1043" s="88"/>
      <c r="G1043" s="88"/>
      <c r="H1043" s="118"/>
      <c r="I1043" s="182">
        <f t="shared" si="150"/>
        <v>0</v>
      </c>
      <c r="J1043" s="20">
        <f t="shared" ca="1" si="151"/>
        <v>0</v>
      </c>
      <c r="K1043" s="5">
        <f t="shared" ca="1" si="152"/>
        <v>0</v>
      </c>
      <c r="L1043" s="61">
        <f t="shared" ca="1" si="153"/>
        <v>0</v>
      </c>
      <c r="M1043" s="64">
        <f t="shared" si="154"/>
        <v>0</v>
      </c>
      <c r="N1043" s="151"/>
      <c r="O1043" s="5">
        <f t="shared" ca="1" si="155"/>
        <v>0</v>
      </c>
      <c r="P1043" s="446" t="e">
        <f t="shared" si="156"/>
        <v>#VALUE!</v>
      </c>
      <c r="Q1043" s="446" t="e">
        <f>IF(OR($B1043="",MIN(Q$38,$D$19)&lt;MAX($P$708*($B1043+IF($R$17="Distrato",$I$38-1,0)),IF(AND($L$711=0,$P$708=0),"",$L$711-1),IF($R$17="Distrato",$E1043,0))),0,YEARFRAC(MAX($P$708*($B1043+IF($R$17="Distrato",$I$38-1,0)),IF(AND($L$711=0,$P$708=0),"",$L$711-1),IF($R$17="Distrato",$E1043,0)),MIN(Q$38,$D$19),$P$20))-SUM($P1043:P1043)</f>
        <v>#VALUE!</v>
      </c>
      <c r="R1043" s="446" t="e">
        <f>IF(OR($B1043="",MIN(R$38,$D$19)&lt;MAX($P$708*($B1043+IF($R$17="Distrato",$I$38-1,0)),IF(AND($L$711=0,$P$708=0),"",$L$711-1),IF($R$17="Distrato",$E1043,0))),0,YEARFRAC(MAX($P$708*($B1043+IF($R$17="Distrato",$I$38-1,0)),IF(AND($L$711=0,$P$708=0),"",$L$711-1),IF($R$17="Distrato",$E1043,0)),MIN(R$38,$D$19),$P$20))-SUM($P1043:Q1043)</f>
        <v>#VALUE!</v>
      </c>
      <c r="S1043" s="446" t="e">
        <f>IF(OR($B1043="",MIN(S$38,$D$19)&lt;MAX($P$708*($B1043+IF($R$17="Distrato",$I$38-1,0)),IF(AND($L$711=0,$P$708=0),"",$L$711-1),IF($R$17="Distrato",$E1043,0))),0,YEARFRAC(MAX($P$708*($B1043+IF($R$17="Distrato",$I$38-1,0)),IF(AND($L$711=0,$P$708=0),"",$L$711-1),IF($R$17="Distrato",$E1043,0)),MIN(S$38,$D$19),$P$20))-SUM($P1043:R1043)</f>
        <v>#VALUE!</v>
      </c>
      <c r="T1043" s="446" t="e">
        <f>IF(OR($B1043="",MIN(T$38,$D$19)&lt;MAX($P$708*($B1043+IF($R$17="Distrato",$I$38-1,0)),IF(AND($L$711=0,$P$708=0),"",$L$711-1),IF($R$17="Distrato",$E1043,0))),0,YEARFRAC(MAX($P$708*($B1043+IF($R$17="Distrato",$I$38-1,0)),IF(AND($L$711=0,$P$708=0),"",$L$711-1),IF($R$17="Distrato",$E1043,0)),MIN(T$38,$D$19),$P$20))-SUM($P1043:S1043)</f>
        <v>#VALUE!</v>
      </c>
      <c r="U1043" s="446" t="e">
        <f>IF(OR($B1043="",MIN(U$38,$D$19)&lt;MAX($P$708*($B1043+IF($R$17="Distrato",$I$38-1,0)),IF(AND($L$711=0,$P$708=0),"",$L$711-1),IF($R$17="Distrato",$E1043,0))),0,YEARFRAC(MAX($P$708*($B1043+IF($R$17="Distrato",$I$38-1,0)),IF(AND($L$711=0,$P$708=0),"",$L$711-1),IF($R$17="Distrato",$E1043,0)),MIN(U$38,$D$19),$P$20))-SUM($P1043:T1043)</f>
        <v>#VALUE!</v>
      </c>
      <c r="V1043" s="446" t="e">
        <f>IF(OR($B1043="",MIN(V$38,$D$19)&lt;MAX($P$708*($B1043+IF($R$17="Distrato",$I$38-1,0)),IF(AND($L$711=0,$P$708=0),"",$L$711-1),IF($R$17="Distrato",$E1043,0))),0,YEARFRAC(MAX($P$708*($B1043+IF($R$17="Distrato",$I$38-1,0)),IF(AND($L$711=0,$P$708=0),"",$L$711-1),IF($R$17="Distrato",$E1043,0)),MIN(V$38,$D$19),$P$20))-SUM($P1043:U1043)</f>
        <v>#VALUE!</v>
      </c>
      <c r="W1043" s="446" t="e">
        <f>IF(OR($B1043="",MIN(W$38,$D$19)&lt;MAX($P$708*($B1043+IF($R$17="Distrato",$I$38-1,0)),IF(AND($L$711=0,$P$708=0),"",$L$711-1),IF($R$17="Distrato",$E1043,0))),0,YEARFRAC(MAX($P$708*($B1043+IF($R$17="Distrato",$I$38-1,0)),IF(AND($L$711=0,$P$708=0),"",$L$711-1),IF($R$17="Distrato",$E1043,0)),MIN(W$38,$D$19),$P$20))-SUM($P1043:V1043)</f>
        <v>#VALUE!</v>
      </c>
      <c r="X1043" s="446" t="e">
        <f>IF(OR($B1043="",MIN(X$38,$D$19)&lt;MAX($P$708*($B1043+IF($R$17="Distrato",$I$38-1,0)),IF(AND($L$711=0,$P$708=0),"",$L$711-1),IF($R$17="Distrato",$E1043,0))),0,YEARFRAC(MAX($P$708*($B1043+IF($R$17="Distrato",$I$38-1,0)),IF(AND($L$711=0,$P$708=0),"",$L$711-1),IF($R$17="Distrato",$E1043,0)),MIN(X$38,$D$19),$P$20))-SUM($P1043:W1043)</f>
        <v>#VALUE!</v>
      </c>
      <c r="Y1043" s="446" t="e">
        <f>IF(OR($B1043="",MIN(Y$38,$D$19)&lt;MAX($P$708*($B1043+IF($R$17="Distrato",$I$38-1,0)),IF(AND($L$711=0,$P$708=0),"",$L$711-1),IF($R$17="Distrato",$E1043,0))),0,YEARFRAC(MAX($P$708*($B1043+IF($R$17="Distrato",$I$38-1,0)),IF(AND($L$711=0,$P$708=0),"",$L$711-1),IF($R$17="Distrato",$E1043,0)),MIN(Y$38,$D$19),$P$20))-SUM($P1043:X1043)</f>
        <v>#VALUE!</v>
      </c>
      <c r="Z1043" s="446" t="e">
        <f>IF(OR($B1043="",MIN(Z$38,$D$19)&lt;MAX($P$708*($B1043+IF($R$17="Distrato",$I$38-1,0)),IF(AND($L$711=0,$P$708=0),"",$L$711-1),IF($R$17="Distrato",$E1043,0))),0,YEARFRAC(MAX($P$708*($B1043+IF($R$17="Distrato",$I$38-1,0)),IF(AND($L$711=0,$P$708=0),"",$L$711-1),IF($R$17="Distrato",$E1043,0)),MIN(Z$38,$D$19),$P$20))-SUM($P1043:Y1043)</f>
        <v>#VALUE!</v>
      </c>
      <c r="AA1043" s="446" t="e">
        <f>IF(OR($B1043="",MIN(AA$38,$D$19)&lt;MAX($P$708*($B1043+IF($R$17="Distrato",$I$38-1,0)),IF(AND($L$711=0,$P$708=0),"",$L$711-1),IF($R$17="Distrato",$E1043,0))),0,YEARFRAC(MAX($P$708*($B1043+IF($R$17="Distrato",$I$38-1,0)),IF(AND($L$711=0,$P$708=0),"",$L$711-1),IF($R$17="Distrato",$E1043,0)),MIN(AA$38,$D$19),$P$20))-SUM($P1043:Z1043)</f>
        <v>#VALUE!</v>
      </c>
      <c r="AB1043" s="446" t="e">
        <f>IF(OR($B1043="",MIN(AB$38,$D$19)&lt;MAX($P$708*($B1043+IF($R$17="Distrato",$I$38-1,0)),IF(AND($L$711=0,$P$708=0),"",$L$711-1),IF($R$17="Distrato",$E1043,0))),0,YEARFRAC(MAX($P$708*($B1043+IF($R$17="Distrato",$I$38-1,0)),IF(AND($L$711=0,$P$708=0),"",$L$711-1),IF($R$17="Distrato",$E1043,0)),MIN(AB$38,$D$19),$P$20))-SUM($P1043:AA1043)</f>
        <v>#VALUE!</v>
      </c>
      <c r="AC1043" s="446" t="e">
        <f>IF(OR($B1043="",MIN(AC$38,$D$19)&lt;MAX($P$708*($B1043+IF($R$17="Distrato",$I$38-1,0)),IF(AND($L$711=0,$P$708=0),"",$L$711-1),IF($R$17="Distrato",$E1043,0))),0,YEARFRAC(MAX($P$708*($B1043+IF($R$17="Distrato",$I$38-1,0)),IF(AND($L$711=0,$P$708=0),"",$L$711-1),IF($R$17="Distrato",$E1043,0)),MIN(AC$38,$D$19),$P$20))-SUM($P1043:AB1043)</f>
        <v>#VALUE!</v>
      </c>
      <c r="AD1043" s="446" t="e">
        <f>IF(OR($B1043="",MIN(AD$38,$D$19)&lt;MAX($P$708*($B1043+IF($R$17="Distrato",$I$38-1,0)),IF(AND($L$711=0,$P$708=0),"",$L$711-1),IF($R$17="Distrato",$E1043,0))),0,YEARFRAC(MAX($P$708*($B1043+IF($R$17="Distrato",$I$38-1,0)),IF(AND($L$711=0,$P$708=0),"",$L$711-1),IF($R$17="Distrato",$E1043,0)),MIN(AD$38,$D$19),$P$20))-SUM($P1043:AC1043)</f>
        <v>#VALUE!</v>
      </c>
      <c r="AE1043" s="446" t="e">
        <f>IF(OR($B1043="",MIN(AE$38,$D$19)&lt;MAX($P$708*($B1043+IF($R$17="Distrato",$I$38-1,0)),IF(AND($L$711=0,$P$708=0),"",$L$711-1),IF($R$17="Distrato",$E1043,0))),0,YEARFRAC(MAX($P$708*($B1043+IF($R$17="Distrato",$I$38-1,0)),IF(AND($L$711=0,$P$708=0),"",$L$711-1),IF($R$17="Distrato",$E1043,0)),MIN(AE$38,$D$19),$P$20))-SUM($P1043:AD1043)</f>
        <v>#VALUE!</v>
      </c>
      <c r="AF1043" s="446" t="e">
        <f>IF(OR($B1043="",MIN(AF$38,$D$19)&lt;MAX($P$708*($B1043+IF($R$17="Distrato",$I$38-1,0)),IF(AND($L$711=0,$P$708=0),"",$L$711-1),IF($R$17="Distrato",$E1043,0))),0,YEARFRAC(MAX($P$708*($B1043+IF($R$17="Distrato",$I$38-1,0)),IF(AND($L$711=0,$P$708=0),"",$L$711-1),IF($R$17="Distrato",$E1043,0)),MIN(AF$38,$D$19),$P$20))-SUM($P1043:AE1043)</f>
        <v>#VALUE!</v>
      </c>
      <c r="AG1043" s="446" t="e">
        <f>IF(OR($B1043="",MIN(AG$38,$D$19)&lt;MAX($P$708*($B1043+IF($R$17="Distrato",$I$38-1,0)),IF(AND($L$711=0,$P$708=0),"",$L$711-1),IF($R$17="Distrato",$E1043,0))),0,YEARFRAC(MAX($P$708*($B1043+IF($R$17="Distrato",$I$38-1,0)),IF(AND($L$711=0,$P$708=0),"",$L$711-1),IF($R$17="Distrato",$E1043,0)),MIN(AG$38,$D$19),$P$20))-SUM($P1043:AF1043)</f>
        <v>#VALUE!</v>
      </c>
      <c r="AH1043" s="446" t="e">
        <f>IF(OR($B1043="",MIN(AH$38,$D$19)&lt;MAX($P$708*($B1043+IF($R$17="Distrato",$I$38-1,0)),IF(AND($L$711=0,$P$708=0),"",$L$711-1),IF($R$17="Distrato",$E1043,0))),0,YEARFRAC(MAX($P$708*($B1043+IF($R$17="Distrato",$I$38-1,0)),IF(AND($L$711=0,$P$708=0),"",$L$711-1),IF($R$17="Distrato",$E1043,0)),MIN(AH$38,$D$19),$P$20))-SUM($P1043:AG1043)</f>
        <v>#VALUE!</v>
      </c>
      <c r="AI1043" s="446" t="e">
        <f>IF(OR($B1043="",MIN(AI$38,$D$19)&lt;MAX($P$708*($B1043+IF($R$17="Distrato",$I$38-1,0)),IF(AND($L$711=0,$P$708=0),"",$L$711-1),IF($R$17="Distrato",$E1043,0))),0,YEARFRAC(MAX($P$708*($B1043+IF($R$17="Distrato",$I$38-1,0)),IF(AND($L$711=0,$P$708=0),"",$L$711-1),IF($R$17="Distrato",$E1043,0)),MIN(AI$38,$D$19),$P$20))-SUM($P1043:AH1043)</f>
        <v>#VALUE!</v>
      </c>
      <c r="AJ1043" s="446" t="e">
        <f>IF(OR($B1043="",MIN(AJ$38,$D$19)&lt;MAX($P$708*($B1043+IF($R$17="Distrato",$I$38-1,0)),IF(AND($L$711=0,$P$708=0),"",$L$711-1),IF($R$17="Distrato",$E1043,0))),0,YEARFRAC(MAX($P$708*($B1043+IF($R$17="Distrato",$I$38-1,0)),IF(AND($L$711=0,$P$708=0),"",$L$711-1),IF($R$17="Distrato",$E1043,0)),MIN(AJ$38,$D$19),$P$20))-SUM($P1043:AI1043)</f>
        <v>#VALUE!</v>
      </c>
      <c r="AK1043" s="446" t="e">
        <f>IF(OR($B1043="",MIN(AK$38,$D$19)&lt;MAX($P$708*($B1043+IF($R$17="Distrato",$I$38-1,0)),IF(AND($L$711=0,$P$708=0),"",$L$711-1),IF($R$17="Distrato",$E1043,0))),0,YEARFRAC(MAX($P$708*($B1043+IF($R$17="Distrato",$I$38-1,0)),IF(AND($L$711=0,$P$708=0),"",$L$711-1),IF($R$17="Distrato",$E1043,0)),MIN(AK$38,$D$19),$P$20))-SUM($P1043:AJ1043)</f>
        <v>#VALUE!</v>
      </c>
      <c r="AL1043" s="446" t="e">
        <f>IF(OR($B1043="",MIN(AL$38,$D$19)&lt;MAX($P$708*($B1043+IF($R$17="Distrato",$I$38-1,0)),IF(AND($L$711=0,$P$708=0),"",$L$711-1),IF($R$17="Distrato",$E1043,0))),0,YEARFRAC(MAX($P$708*($B1043+IF($R$17="Distrato",$I$38-1,0)),IF(AND($L$711=0,$P$708=0),"",$L$711-1),IF($R$17="Distrato",$E1043,0)),MIN(AL$38,$D$19),$P$20))-SUM($P1043:AK1043)</f>
        <v>#VALUE!</v>
      </c>
      <c r="AM1043" s="446" t="e">
        <f>IF(OR($B1043="",MIN(AM$38,$D$19)&lt;MAX($P$708*($B1043+IF($R$17="Distrato",$I$38-1,0)),IF(AND($L$711=0,$P$708=0),"",$L$711-1),IF($R$17="Distrato",$E1043,0))),0,YEARFRAC(MAX($P$708*($B1043+IF($R$17="Distrato",$I$38-1,0)),IF(AND($L$711=0,$P$708=0),"",$L$711-1),IF($R$17="Distrato",$E1043,0)),MIN(AM$38,$D$19),$P$20))-SUM($P1043:AL1043)</f>
        <v>#VALUE!</v>
      </c>
      <c r="AN1043" s="446" t="e">
        <f>IF(OR($B1043="",MIN(AN$38,$D$19)&lt;MAX($P$708*($B1043+IF($R$17="Distrato",$I$38-1,0)),IF(AND($L$711=0,$P$708=0),"",$L$711-1),IF($R$17="Distrato",$E1043,0))),0,YEARFRAC(MAX($P$708*($B1043+IF($R$17="Distrato",$I$38-1,0)),IF(AND($L$711=0,$P$708=0),"",$L$711-1),IF($R$17="Distrato",$E1043,0)),MIN(AN$38,$D$19),$P$20))-SUM($P1043:AM1043)</f>
        <v>#VALUE!</v>
      </c>
      <c r="AO1043" s="446" t="e">
        <f>IF(OR($B1043="",MIN(AO$38,$D$19)&lt;MAX($P$708*($B1043+IF($R$17="Distrato",$I$38-1,0)),IF(AND($L$711=0,$P$708=0),"",$L$711-1),IF($R$17="Distrato",$E1043,0))),0,YEARFRAC(MAX($P$708*($B1043+IF($R$17="Distrato",$I$38-1,0)),IF(AND($L$711=0,$P$708=0),"",$L$711-1),IF($R$17="Distrato",$E1043,0)),MIN(AO$38,$D$19),$P$20))-SUM($P1043:AN1043)</f>
        <v>#VALUE!</v>
      </c>
      <c r="AP1043" s="446" t="e">
        <f>IF(OR($B1043="",MIN(AP$38,$D$19)&lt;MAX($P$708*($B1043+IF($R$17="Distrato",$I$38-1,0)),IF(AND($L$711=0,$P$708=0),"",$L$711-1),IF($R$17="Distrato",$E1043,0))),0,YEARFRAC(MAX($P$708*($B1043+IF($R$17="Distrato",$I$38-1,0)),IF(AND($L$711=0,$P$708=0),"",$L$711-1),IF($R$17="Distrato",$E1043,0)),MIN(AP$38,$D$19),$P$20))-SUM($P1043:AO1043)</f>
        <v>#VALUE!</v>
      </c>
      <c r="AQ1043" s="446" t="e">
        <f>IF(OR($B1043="",MIN(AQ$38,$D$19)&lt;MAX($P$708*($B1043+IF($R$17="Distrato",$I$38-1,0)),IF(AND($L$711=0,$P$708=0),"",$L$711-1),IF($R$17="Distrato",$E1043,0))),0,YEARFRAC(MAX($P$708*($B1043+IF($R$17="Distrato",$I$38-1,0)),IF(AND($L$711=0,$P$708=0),"",$L$711-1),IF($R$17="Distrato",$E1043,0)),MIN(AQ$38,$D$19),$P$20))-SUM($P1043:AP1043)</f>
        <v>#VALUE!</v>
      </c>
      <c r="AR1043" s="446" t="e">
        <f>IF(OR($B1043="",MIN(AR$38,$D$19)&lt;MAX($P$708*($B1043+IF($R$17="Distrato",$I$38-1,0)),IF(AND($L$711=0,$P$708=0),"",$L$711-1),IF($R$17="Distrato",$E1043,0))),0,YEARFRAC(MAX($P$708*($B1043+IF($R$17="Distrato",$I$38-1,0)),IF(AND($L$711=0,$P$708=0),"",$L$711-1),IF($R$17="Distrato",$E1043,0)),MIN(AR$38,$D$19),$P$20))-SUM($P1043:AQ1043)</f>
        <v>#VALUE!</v>
      </c>
      <c r="AS1043" s="446" t="e">
        <f>IF(OR($B1043="",MIN(AS$38,$D$19)&lt;MAX($P$708*($B1043+IF($R$17="Distrato",$I$38-1,0)),IF(AND($L$711=0,$P$708=0),"",$L$711-1),IF($R$17="Distrato",$E1043,0))),0,YEARFRAC(MAX($P$708*($B1043+IF($R$17="Distrato",$I$38-1,0)),IF(AND($L$711=0,$P$708=0),"",$L$711-1),IF($R$17="Distrato",$E1043,0)),MIN(AS$38,$D$19),$P$20))-SUM($P1043:AR1043)</f>
        <v>#VALUE!</v>
      </c>
      <c r="AT1043" s="446" t="e">
        <f>IF(OR($B1043="",MIN(AT$38,$D$19)&lt;MAX($P$708*($B1043+IF($R$17="Distrato",$I$38-1,0)),IF(AND($L$711=0,$P$708=0),"",$L$711-1),IF($R$17="Distrato",$E1043,0))),0,YEARFRAC(MAX($P$708*($B1043+IF($R$17="Distrato",$I$38-1,0)),IF(AND($L$711=0,$P$708=0),"",$L$711-1),IF($R$17="Distrato",$E1043,0)),MIN(AT$38,$D$19),$P$20))-SUM($P1043:AS1043)</f>
        <v>#VALUE!</v>
      </c>
      <c r="AU1043" s="446" t="e">
        <f>IF(OR($B1043="",MIN(AU$38,$D$19)&lt;MAX($P$708*($B1043+IF($R$17="Distrato",$I$38-1,0)),IF(AND($L$711=0,$P$708=0),"",$L$711-1),IF($R$17="Distrato",$E1043,0))),0,YEARFRAC(MAX($P$708*($B1043+IF($R$17="Distrato",$I$38-1,0)),IF(AND($L$711=0,$P$708=0),"",$L$711-1),IF($R$17="Distrato",$E1043,0)),MIN(AU$38,$D$19),$P$20))-SUM($P1043:AT1043)</f>
        <v>#VALUE!</v>
      </c>
      <c r="AV1043" s="446" t="e">
        <f>IF(OR($B1043="",MIN(AV$38,$D$19)&lt;MAX($P$708*($B1043+IF($R$17="Distrato",$I$38-1,0)),IF(AND($L$711=0,$P$708=0),"",$L$711-1),IF($R$17="Distrato",$E1043,0))),0,YEARFRAC(MAX($P$708*($B1043+IF($R$17="Distrato",$I$38-1,0)),IF(AND($L$711=0,$P$708=0),"",$L$711-1),IF($R$17="Distrato",$E1043,0)),MIN(AV$38,$D$19),$P$20))-SUM($P1043:AU1043)</f>
        <v>#VALUE!</v>
      </c>
      <c r="AW1043" s="446" t="e">
        <f>IF(OR($B1043="",MIN(AW$38,$D$19)&lt;MAX($P$708*($B1043+IF($R$17="Distrato",$I$38-1,0)),IF(AND($L$711=0,$P$708=0),"",$L$711-1),IF($R$17="Distrato",$E1043,0))),0,YEARFRAC(MAX($P$708*($B1043+IF($R$17="Distrato",$I$38-1,0)),IF(AND($L$711=0,$P$708=0),"",$L$711-1),IF($R$17="Distrato",$E1043,0)),MIN(AW$38,$D$19),$P$20))-SUM($P1043:AV1043)</f>
        <v>#VALUE!</v>
      </c>
      <c r="AX1043" s="446" t="e">
        <f>IF(OR($B1043="",MIN(AX$38,$D$19)&lt;MAX($P$708*($B1043+IF($R$17="Distrato",$I$38-1,0)),IF(AND($L$711=0,$P$708=0),"",$L$711-1),IF($R$17="Distrato",$E1043,0))),0,YEARFRAC(MAX($P$708*($B1043+IF($R$17="Distrato",$I$38-1,0)),IF(AND($L$711=0,$P$708=0),"",$L$711-1),IF($R$17="Distrato",$E1043,0)),MIN(AX$38,$D$19),$P$20))-SUM($P1043:AW1043)</f>
        <v>#VALUE!</v>
      </c>
      <c r="AY1043" s="446" t="e">
        <f>IF(OR($B1043="",MIN(AY$38,$D$19)&lt;MAX($P$708*($B1043+IF($R$17="Distrato",$I$38-1,0)),IF(AND($L$711=0,$P$708=0),"",$L$711-1),IF($R$17="Distrato",$E1043,0))),0,YEARFRAC(MAX($P$708*($B1043+IF($R$17="Distrato",$I$38-1,0)),IF(AND($L$711=0,$P$708=0),"",$L$711-1),IF($R$17="Distrato",$E1043,0)),MIN(AY$38,$D$19),$P$20))-SUM($P1043:AX1043)</f>
        <v>#VALUE!</v>
      </c>
      <c r="AZ1043" s="446" t="e">
        <f>IF(OR($B1043="",MIN(AZ$38,$D$19)&lt;MAX($P$708*($B1043+IF($R$17="Distrato",$I$38-1,0)),IF(AND($L$711=0,$P$708=0),"",$L$711-1),IF($R$17="Distrato",$E1043,0))),0,YEARFRAC(MAX($P$708*($B1043+IF($R$17="Distrato",$I$38-1,0)),IF(AND($L$711=0,$P$708=0),"",$L$711-1),IF($R$17="Distrato",$E1043,0)),MIN(AZ$38,$D$19),$P$20))-SUM($P1043:AY1043)</f>
        <v>#VALUE!</v>
      </c>
      <c r="BA1043" s="446" t="e">
        <f>IF(OR($B1043="",MIN(BA$38,$D$19)&lt;MAX($P$708*($B1043+IF($R$17="Distrato",$I$38-1,0)),IF(AND($L$711=0,$P$708=0),"",$L$711-1),IF($R$17="Distrato",$E1043,0))),0,YEARFRAC(MAX($P$708*($B1043+IF($R$17="Distrato",$I$38-1,0)),IF(AND($L$711=0,$P$708=0),"",$L$711-1),IF($R$17="Distrato",$E1043,0)),MIN(BA$38,$D$19),$P$20))-SUM($P1043:AZ1043)</f>
        <v>#VALUE!</v>
      </c>
      <c r="BB1043" s="447"/>
    </row>
    <row r="1044" spans="1:54" s="446" customFormat="1" ht="11.25" hidden="1" customHeight="1" x14ac:dyDescent="0.2">
      <c r="A1044" s="235"/>
      <c r="B1044" s="236"/>
      <c r="C1044" s="29" t="str">
        <f>IF(B1044="","",IF($L$709=$BL$25,VLOOKUP(DATE(YEAR($D$19),MONTH($D$19)-1,1),ÍNDICES!$A:$DE,HLOOKUP($BL$25,ÍNDICES!$B$3:$T$4,2)+11)-VLOOKUP(B1044,ÍNDICES!$A:$DE,HLOOKUP($BL$25,ÍNDICES!$B$3:$T$4,2)+11)+1%,IF(C$712=$W$26,$J$35,IF(ISERROR(IF(B1044&gt;$D$19,1,VLOOKUP(DATE(YEAR(B1044),MONTH(B1044)+IF($C$709=$S$23,1,0),1),ÍNDICES!$A:$DE,$Z$709+1))),"",IF(B1044&gt;$D$19,1,VLOOKUP(DATE(YEAR(B1044),MONTH(B1044)+IF($C$709=$S$23,1,0),1),ÍNDICES!$A:$DE,$Z$709+1))))))</f>
        <v/>
      </c>
      <c r="D1044" s="155"/>
      <c r="E1044" s="88"/>
      <c r="F1044" s="88"/>
      <c r="G1044" s="88"/>
      <c r="H1044" s="118"/>
      <c r="I1044" s="182">
        <f t="shared" si="150"/>
        <v>0</v>
      </c>
      <c r="J1044" s="20">
        <f t="shared" ca="1" si="151"/>
        <v>0</v>
      </c>
      <c r="K1044" s="5">
        <f t="shared" ca="1" si="152"/>
        <v>0</v>
      </c>
      <c r="L1044" s="61">
        <f t="shared" ca="1" si="153"/>
        <v>0</v>
      </c>
      <c r="M1044" s="64">
        <f t="shared" si="154"/>
        <v>0</v>
      </c>
      <c r="N1044" s="151"/>
      <c r="O1044" s="5">
        <f t="shared" ca="1" si="155"/>
        <v>0</v>
      </c>
      <c r="P1044" s="446" t="e">
        <f t="shared" si="156"/>
        <v>#VALUE!</v>
      </c>
      <c r="Q1044" s="446" t="e">
        <f>IF(OR($B1044="",MIN(Q$38,$D$19)&lt;MAX($P$708*($B1044+IF($R$17="Distrato",$I$38-1,0)),IF(AND($L$711=0,$P$708=0),"",$L$711-1),IF($R$17="Distrato",$E1044,0))),0,YEARFRAC(MAX($P$708*($B1044+IF($R$17="Distrato",$I$38-1,0)),IF(AND($L$711=0,$P$708=0),"",$L$711-1),IF($R$17="Distrato",$E1044,0)),MIN(Q$38,$D$19),$P$20))-SUM($P1044:P1044)</f>
        <v>#VALUE!</v>
      </c>
      <c r="R1044" s="446" t="e">
        <f>IF(OR($B1044="",MIN(R$38,$D$19)&lt;MAX($P$708*($B1044+IF($R$17="Distrato",$I$38-1,0)),IF(AND($L$711=0,$P$708=0),"",$L$711-1),IF($R$17="Distrato",$E1044,0))),0,YEARFRAC(MAX($P$708*($B1044+IF($R$17="Distrato",$I$38-1,0)),IF(AND($L$711=0,$P$708=0),"",$L$711-1),IF($R$17="Distrato",$E1044,0)),MIN(R$38,$D$19),$P$20))-SUM($P1044:Q1044)</f>
        <v>#VALUE!</v>
      </c>
      <c r="S1044" s="446" t="e">
        <f>IF(OR($B1044="",MIN(S$38,$D$19)&lt;MAX($P$708*($B1044+IF($R$17="Distrato",$I$38-1,0)),IF(AND($L$711=0,$P$708=0),"",$L$711-1),IF($R$17="Distrato",$E1044,0))),0,YEARFRAC(MAX($P$708*($B1044+IF($R$17="Distrato",$I$38-1,0)),IF(AND($L$711=0,$P$708=0),"",$L$711-1),IF($R$17="Distrato",$E1044,0)),MIN(S$38,$D$19),$P$20))-SUM($P1044:R1044)</f>
        <v>#VALUE!</v>
      </c>
      <c r="T1044" s="446" t="e">
        <f>IF(OR($B1044="",MIN(T$38,$D$19)&lt;MAX($P$708*($B1044+IF($R$17="Distrato",$I$38-1,0)),IF(AND($L$711=0,$P$708=0),"",$L$711-1),IF($R$17="Distrato",$E1044,0))),0,YEARFRAC(MAX($P$708*($B1044+IF($R$17="Distrato",$I$38-1,0)),IF(AND($L$711=0,$P$708=0),"",$L$711-1),IF($R$17="Distrato",$E1044,0)),MIN(T$38,$D$19),$P$20))-SUM($P1044:S1044)</f>
        <v>#VALUE!</v>
      </c>
      <c r="U1044" s="446" t="e">
        <f>IF(OR($B1044="",MIN(U$38,$D$19)&lt;MAX($P$708*($B1044+IF($R$17="Distrato",$I$38-1,0)),IF(AND($L$711=0,$P$708=0),"",$L$711-1),IF($R$17="Distrato",$E1044,0))),0,YEARFRAC(MAX($P$708*($B1044+IF($R$17="Distrato",$I$38-1,0)),IF(AND($L$711=0,$P$708=0),"",$L$711-1),IF($R$17="Distrato",$E1044,0)),MIN(U$38,$D$19),$P$20))-SUM($P1044:T1044)</f>
        <v>#VALUE!</v>
      </c>
      <c r="V1044" s="446" t="e">
        <f>IF(OR($B1044="",MIN(V$38,$D$19)&lt;MAX($P$708*($B1044+IF($R$17="Distrato",$I$38-1,0)),IF(AND($L$711=0,$P$708=0),"",$L$711-1),IF($R$17="Distrato",$E1044,0))),0,YEARFRAC(MAX($P$708*($B1044+IF($R$17="Distrato",$I$38-1,0)),IF(AND($L$711=0,$P$708=0),"",$L$711-1),IF($R$17="Distrato",$E1044,0)),MIN(V$38,$D$19),$P$20))-SUM($P1044:U1044)</f>
        <v>#VALUE!</v>
      </c>
      <c r="W1044" s="446" t="e">
        <f>IF(OR($B1044="",MIN(W$38,$D$19)&lt;MAX($P$708*($B1044+IF($R$17="Distrato",$I$38-1,0)),IF(AND($L$711=0,$P$708=0),"",$L$711-1),IF($R$17="Distrato",$E1044,0))),0,YEARFRAC(MAX($P$708*($B1044+IF($R$17="Distrato",$I$38-1,0)),IF(AND($L$711=0,$P$708=0),"",$L$711-1),IF($R$17="Distrato",$E1044,0)),MIN(W$38,$D$19),$P$20))-SUM($P1044:V1044)</f>
        <v>#VALUE!</v>
      </c>
      <c r="X1044" s="446" t="e">
        <f>IF(OR($B1044="",MIN(X$38,$D$19)&lt;MAX($P$708*($B1044+IF($R$17="Distrato",$I$38-1,0)),IF(AND($L$711=0,$P$708=0),"",$L$711-1),IF($R$17="Distrato",$E1044,0))),0,YEARFRAC(MAX($P$708*($B1044+IF($R$17="Distrato",$I$38-1,0)),IF(AND($L$711=0,$P$708=0),"",$L$711-1),IF($R$17="Distrato",$E1044,0)),MIN(X$38,$D$19),$P$20))-SUM($P1044:W1044)</f>
        <v>#VALUE!</v>
      </c>
      <c r="Y1044" s="446" t="e">
        <f>IF(OR($B1044="",MIN(Y$38,$D$19)&lt;MAX($P$708*($B1044+IF($R$17="Distrato",$I$38-1,0)),IF(AND($L$711=0,$P$708=0),"",$L$711-1),IF($R$17="Distrato",$E1044,0))),0,YEARFRAC(MAX($P$708*($B1044+IF($R$17="Distrato",$I$38-1,0)),IF(AND($L$711=0,$P$708=0),"",$L$711-1),IF($R$17="Distrato",$E1044,0)),MIN(Y$38,$D$19),$P$20))-SUM($P1044:X1044)</f>
        <v>#VALUE!</v>
      </c>
      <c r="Z1044" s="446" t="e">
        <f>IF(OR($B1044="",MIN(Z$38,$D$19)&lt;MAX($P$708*($B1044+IF($R$17="Distrato",$I$38-1,0)),IF(AND($L$711=0,$P$708=0),"",$L$711-1),IF($R$17="Distrato",$E1044,0))),0,YEARFRAC(MAX($P$708*($B1044+IF($R$17="Distrato",$I$38-1,0)),IF(AND($L$711=0,$P$708=0),"",$L$711-1),IF($R$17="Distrato",$E1044,0)),MIN(Z$38,$D$19),$P$20))-SUM($P1044:Y1044)</f>
        <v>#VALUE!</v>
      </c>
      <c r="AA1044" s="446" t="e">
        <f>IF(OR($B1044="",MIN(AA$38,$D$19)&lt;MAX($P$708*($B1044+IF($R$17="Distrato",$I$38-1,0)),IF(AND($L$711=0,$P$708=0),"",$L$711-1),IF($R$17="Distrato",$E1044,0))),0,YEARFRAC(MAX($P$708*($B1044+IF($R$17="Distrato",$I$38-1,0)),IF(AND($L$711=0,$P$708=0),"",$L$711-1),IF($R$17="Distrato",$E1044,0)),MIN(AA$38,$D$19),$P$20))-SUM($P1044:Z1044)</f>
        <v>#VALUE!</v>
      </c>
      <c r="AB1044" s="446" t="e">
        <f>IF(OR($B1044="",MIN(AB$38,$D$19)&lt;MAX($P$708*($B1044+IF($R$17="Distrato",$I$38-1,0)),IF(AND($L$711=0,$P$708=0),"",$L$711-1),IF($R$17="Distrato",$E1044,0))),0,YEARFRAC(MAX($P$708*($B1044+IF($R$17="Distrato",$I$38-1,0)),IF(AND($L$711=0,$P$708=0),"",$L$711-1),IF($R$17="Distrato",$E1044,0)),MIN(AB$38,$D$19),$P$20))-SUM($P1044:AA1044)</f>
        <v>#VALUE!</v>
      </c>
      <c r="AC1044" s="446" t="e">
        <f>IF(OR($B1044="",MIN(AC$38,$D$19)&lt;MAX($P$708*($B1044+IF($R$17="Distrato",$I$38-1,0)),IF(AND($L$711=0,$P$708=0),"",$L$711-1),IF($R$17="Distrato",$E1044,0))),0,YEARFRAC(MAX($P$708*($B1044+IF($R$17="Distrato",$I$38-1,0)),IF(AND($L$711=0,$P$708=0),"",$L$711-1),IF($R$17="Distrato",$E1044,0)),MIN(AC$38,$D$19),$P$20))-SUM($P1044:AB1044)</f>
        <v>#VALUE!</v>
      </c>
      <c r="AD1044" s="446" t="e">
        <f>IF(OR($B1044="",MIN(AD$38,$D$19)&lt;MAX($P$708*($B1044+IF($R$17="Distrato",$I$38-1,0)),IF(AND($L$711=0,$P$708=0),"",$L$711-1),IF($R$17="Distrato",$E1044,0))),0,YEARFRAC(MAX($P$708*($B1044+IF($R$17="Distrato",$I$38-1,0)),IF(AND($L$711=0,$P$708=0),"",$L$711-1),IF($R$17="Distrato",$E1044,0)),MIN(AD$38,$D$19),$P$20))-SUM($P1044:AC1044)</f>
        <v>#VALUE!</v>
      </c>
      <c r="AE1044" s="446" t="e">
        <f>IF(OR($B1044="",MIN(AE$38,$D$19)&lt;MAX($P$708*($B1044+IF($R$17="Distrato",$I$38-1,0)),IF(AND($L$711=0,$P$708=0),"",$L$711-1),IF($R$17="Distrato",$E1044,0))),0,YEARFRAC(MAX($P$708*($B1044+IF($R$17="Distrato",$I$38-1,0)),IF(AND($L$711=0,$P$708=0),"",$L$711-1),IF($R$17="Distrato",$E1044,0)),MIN(AE$38,$D$19),$P$20))-SUM($P1044:AD1044)</f>
        <v>#VALUE!</v>
      </c>
      <c r="AF1044" s="446" t="e">
        <f>IF(OR($B1044="",MIN(AF$38,$D$19)&lt;MAX($P$708*($B1044+IF($R$17="Distrato",$I$38-1,0)),IF(AND($L$711=0,$P$708=0),"",$L$711-1),IF($R$17="Distrato",$E1044,0))),0,YEARFRAC(MAX($P$708*($B1044+IF($R$17="Distrato",$I$38-1,0)),IF(AND($L$711=0,$P$708=0),"",$L$711-1),IF($R$17="Distrato",$E1044,0)),MIN(AF$38,$D$19),$P$20))-SUM($P1044:AE1044)</f>
        <v>#VALUE!</v>
      </c>
      <c r="AG1044" s="446" t="e">
        <f>IF(OR($B1044="",MIN(AG$38,$D$19)&lt;MAX($P$708*($B1044+IF($R$17="Distrato",$I$38-1,0)),IF(AND($L$711=0,$P$708=0),"",$L$711-1),IF($R$17="Distrato",$E1044,0))),0,YEARFRAC(MAX($P$708*($B1044+IF($R$17="Distrato",$I$38-1,0)),IF(AND($L$711=0,$P$708=0),"",$L$711-1),IF($R$17="Distrato",$E1044,0)),MIN(AG$38,$D$19),$P$20))-SUM($P1044:AF1044)</f>
        <v>#VALUE!</v>
      </c>
      <c r="AH1044" s="446" t="e">
        <f>IF(OR($B1044="",MIN(AH$38,$D$19)&lt;MAX($P$708*($B1044+IF($R$17="Distrato",$I$38-1,0)),IF(AND($L$711=0,$P$708=0),"",$L$711-1),IF($R$17="Distrato",$E1044,0))),0,YEARFRAC(MAX($P$708*($B1044+IF($R$17="Distrato",$I$38-1,0)),IF(AND($L$711=0,$P$708=0),"",$L$711-1),IF($R$17="Distrato",$E1044,0)),MIN(AH$38,$D$19),$P$20))-SUM($P1044:AG1044)</f>
        <v>#VALUE!</v>
      </c>
      <c r="AI1044" s="446" t="e">
        <f>IF(OR($B1044="",MIN(AI$38,$D$19)&lt;MAX($P$708*($B1044+IF($R$17="Distrato",$I$38-1,0)),IF(AND($L$711=0,$P$708=0),"",$L$711-1),IF($R$17="Distrato",$E1044,0))),0,YEARFRAC(MAX($P$708*($B1044+IF($R$17="Distrato",$I$38-1,0)),IF(AND($L$711=0,$P$708=0),"",$L$711-1),IF($R$17="Distrato",$E1044,0)),MIN(AI$38,$D$19),$P$20))-SUM($P1044:AH1044)</f>
        <v>#VALUE!</v>
      </c>
      <c r="AJ1044" s="446" t="e">
        <f>IF(OR($B1044="",MIN(AJ$38,$D$19)&lt;MAX($P$708*($B1044+IF($R$17="Distrato",$I$38-1,0)),IF(AND($L$711=0,$P$708=0),"",$L$711-1),IF($R$17="Distrato",$E1044,0))),0,YEARFRAC(MAX($P$708*($B1044+IF($R$17="Distrato",$I$38-1,0)),IF(AND($L$711=0,$P$708=0),"",$L$711-1),IF($R$17="Distrato",$E1044,0)),MIN(AJ$38,$D$19),$P$20))-SUM($P1044:AI1044)</f>
        <v>#VALUE!</v>
      </c>
      <c r="AK1044" s="446" t="e">
        <f>IF(OR($B1044="",MIN(AK$38,$D$19)&lt;MAX($P$708*($B1044+IF($R$17="Distrato",$I$38-1,0)),IF(AND($L$711=0,$P$708=0),"",$L$711-1),IF($R$17="Distrato",$E1044,0))),0,YEARFRAC(MAX($P$708*($B1044+IF($R$17="Distrato",$I$38-1,0)),IF(AND($L$711=0,$P$708=0),"",$L$711-1),IF($R$17="Distrato",$E1044,0)),MIN(AK$38,$D$19),$P$20))-SUM($P1044:AJ1044)</f>
        <v>#VALUE!</v>
      </c>
      <c r="AL1044" s="446" t="e">
        <f>IF(OR($B1044="",MIN(AL$38,$D$19)&lt;MAX($P$708*($B1044+IF($R$17="Distrato",$I$38-1,0)),IF(AND($L$711=0,$P$708=0),"",$L$711-1),IF($R$17="Distrato",$E1044,0))),0,YEARFRAC(MAX($P$708*($B1044+IF($R$17="Distrato",$I$38-1,0)),IF(AND($L$711=0,$P$708=0),"",$L$711-1),IF($R$17="Distrato",$E1044,0)),MIN(AL$38,$D$19),$P$20))-SUM($P1044:AK1044)</f>
        <v>#VALUE!</v>
      </c>
      <c r="AM1044" s="446" t="e">
        <f>IF(OR($B1044="",MIN(AM$38,$D$19)&lt;MAX($P$708*($B1044+IF($R$17="Distrato",$I$38-1,0)),IF(AND($L$711=0,$P$708=0),"",$L$711-1),IF($R$17="Distrato",$E1044,0))),0,YEARFRAC(MAX($P$708*($B1044+IF($R$17="Distrato",$I$38-1,0)),IF(AND($L$711=0,$P$708=0),"",$L$711-1),IF($R$17="Distrato",$E1044,0)),MIN(AM$38,$D$19),$P$20))-SUM($P1044:AL1044)</f>
        <v>#VALUE!</v>
      </c>
      <c r="AN1044" s="446" t="e">
        <f>IF(OR($B1044="",MIN(AN$38,$D$19)&lt;MAX($P$708*($B1044+IF($R$17="Distrato",$I$38-1,0)),IF(AND($L$711=0,$P$708=0),"",$L$711-1),IF($R$17="Distrato",$E1044,0))),0,YEARFRAC(MAX($P$708*($B1044+IF($R$17="Distrato",$I$38-1,0)),IF(AND($L$711=0,$P$708=0),"",$L$711-1),IF($R$17="Distrato",$E1044,0)),MIN(AN$38,$D$19),$P$20))-SUM($P1044:AM1044)</f>
        <v>#VALUE!</v>
      </c>
      <c r="AO1044" s="446" t="e">
        <f>IF(OR($B1044="",MIN(AO$38,$D$19)&lt;MAX($P$708*($B1044+IF($R$17="Distrato",$I$38-1,0)),IF(AND($L$711=0,$P$708=0),"",$L$711-1),IF($R$17="Distrato",$E1044,0))),0,YEARFRAC(MAX($P$708*($B1044+IF($R$17="Distrato",$I$38-1,0)),IF(AND($L$711=0,$P$708=0),"",$L$711-1),IF($R$17="Distrato",$E1044,0)),MIN(AO$38,$D$19),$P$20))-SUM($P1044:AN1044)</f>
        <v>#VALUE!</v>
      </c>
      <c r="AP1044" s="446" t="e">
        <f>IF(OR($B1044="",MIN(AP$38,$D$19)&lt;MAX($P$708*($B1044+IF($R$17="Distrato",$I$38-1,0)),IF(AND($L$711=0,$P$708=0),"",$L$711-1),IF($R$17="Distrato",$E1044,0))),0,YEARFRAC(MAX($P$708*($B1044+IF($R$17="Distrato",$I$38-1,0)),IF(AND($L$711=0,$P$708=0),"",$L$711-1),IF($R$17="Distrato",$E1044,0)),MIN(AP$38,$D$19),$P$20))-SUM($P1044:AO1044)</f>
        <v>#VALUE!</v>
      </c>
      <c r="AQ1044" s="446" t="e">
        <f>IF(OR($B1044="",MIN(AQ$38,$D$19)&lt;MAX($P$708*($B1044+IF($R$17="Distrato",$I$38-1,0)),IF(AND($L$711=0,$P$708=0),"",$L$711-1),IF($R$17="Distrato",$E1044,0))),0,YEARFRAC(MAX($P$708*($B1044+IF($R$17="Distrato",$I$38-1,0)),IF(AND($L$711=0,$P$708=0),"",$L$711-1),IF($R$17="Distrato",$E1044,0)),MIN(AQ$38,$D$19),$P$20))-SUM($P1044:AP1044)</f>
        <v>#VALUE!</v>
      </c>
      <c r="AR1044" s="446" t="e">
        <f>IF(OR($B1044="",MIN(AR$38,$D$19)&lt;MAX($P$708*($B1044+IF($R$17="Distrato",$I$38-1,0)),IF(AND($L$711=0,$P$708=0),"",$L$711-1),IF($R$17="Distrato",$E1044,0))),0,YEARFRAC(MAX($P$708*($B1044+IF($R$17="Distrato",$I$38-1,0)),IF(AND($L$711=0,$P$708=0),"",$L$711-1),IF($R$17="Distrato",$E1044,0)),MIN(AR$38,$D$19),$P$20))-SUM($P1044:AQ1044)</f>
        <v>#VALUE!</v>
      </c>
      <c r="AS1044" s="446" t="e">
        <f>IF(OR($B1044="",MIN(AS$38,$D$19)&lt;MAX($P$708*($B1044+IF($R$17="Distrato",$I$38-1,0)),IF(AND($L$711=0,$P$708=0),"",$L$711-1),IF($R$17="Distrato",$E1044,0))),0,YEARFRAC(MAX($P$708*($B1044+IF($R$17="Distrato",$I$38-1,0)),IF(AND($L$711=0,$P$708=0),"",$L$711-1),IF($R$17="Distrato",$E1044,0)),MIN(AS$38,$D$19),$P$20))-SUM($P1044:AR1044)</f>
        <v>#VALUE!</v>
      </c>
      <c r="AT1044" s="446" t="e">
        <f>IF(OR($B1044="",MIN(AT$38,$D$19)&lt;MAX($P$708*($B1044+IF($R$17="Distrato",$I$38-1,0)),IF(AND($L$711=0,$P$708=0),"",$L$711-1),IF($R$17="Distrato",$E1044,0))),0,YEARFRAC(MAX($P$708*($B1044+IF($R$17="Distrato",$I$38-1,0)),IF(AND($L$711=0,$P$708=0),"",$L$711-1),IF($R$17="Distrato",$E1044,0)),MIN(AT$38,$D$19),$P$20))-SUM($P1044:AS1044)</f>
        <v>#VALUE!</v>
      </c>
      <c r="AU1044" s="446" t="e">
        <f>IF(OR($B1044="",MIN(AU$38,$D$19)&lt;MAX($P$708*($B1044+IF($R$17="Distrato",$I$38-1,0)),IF(AND($L$711=0,$P$708=0),"",$L$711-1),IF($R$17="Distrato",$E1044,0))),0,YEARFRAC(MAX($P$708*($B1044+IF($R$17="Distrato",$I$38-1,0)),IF(AND($L$711=0,$P$708=0),"",$L$711-1),IF($R$17="Distrato",$E1044,0)),MIN(AU$38,$D$19),$P$20))-SUM($P1044:AT1044)</f>
        <v>#VALUE!</v>
      </c>
      <c r="AV1044" s="446" t="e">
        <f>IF(OR($B1044="",MIN(AV$38,$D$19)&lt;MAX($P$708*($B1044+IF($R$17="Distrato",$I$38-1,0)),IF(AND($L$711=0,$P$708=0),"",$L$711-1),IF($R$17="Distrato",$E1044,0))),0,YEARFRAC(MAX($P$708*($B1044+IF($R$17="Distrato",$I$38-1,0)),IF(AND($L$711=0,$P$708=0),"",$L$711-1),IF($R$17="Distrato",$E1044,0)),MIN(AV$38,$D$19),$P$20))-SUM($P1044:AU1044)</f>
        <v>#VALUE!</v>
      </c>
      <c r="AW1044" s="446" t="e">
        <f>IF(OR($B1044="",MIN(AW$38,$D$19)&lt;MAX($P$708*($B1044+IF($R$17="Distrato",$I$38-1,0)),IF(AND($L$711=0,$P$708=0),"",$L$711-1),IF($R$17="Distrato",$E1044,0))),0,YEARFRAC(MAX($P$708*($B1044+IF($R$17="Distrato",$I$38-1,0)),IF(AND($L$711=0,$P$708=0),"",$L$711-1),IF($R$17="Distrato",$E1044,0)),MIN(AW$38,$D$19),$P$20))-SUM($P1044:AV1044)</f>
        <v>#VALUE!</v>
      </c>
      <c r="AX1044" s="446" t="e">
        <f>IF(OR($B1044="",MIN(AX$38,$D$19)&lt;MAX($P$708*($B1044+IF($R$17="Distrato",$I$38-1,0)),IF(AND($L$711=0,$P$708=0),"",$L$711-1),IF($R$17="Distrato",$E1044,0))),0,YEARFRAC(MAX($P$708*($B1044+IF($R$17="Distrato",$I$38-1,0)),IF(AND($L$711=0,$P$708=0),"",$L$711-1),IF($R$17="Distrato",$E1044,0)),MIN(AX$38,$D$19),$P$20))-SUM($P1044:AW1044)</f>
        <v>#VALUE!</v>
      </c>
      <c r="AY1044" s="446" t="e">
        <f>IF(OR($B1044="",MIN(AY$38,$D$19)&lt;MAX($P$708*($B1044+IF($R$17="Distrato",$I$38-1,0)),IF(AND($L$711=0,$P$708=0),"",$L$711-1),IF($R$17="Distrato",$E1044,0))),0,YEARFRAC(MAX($P$708*($B1044+IF($R$17="Distrato",$I$38-1,0)),IF(AND($L$711=0,$P$708=0),"",$L$711-1),IF($R$17="Distrato",$E1044,0)),MIN(AY$38,$D$19),$P$20))-SUM($P1044:AX1044)</f>
        <v>#VALUE!</v>
      </c>
      <c r="AZ1044" s="446" t="e">
        <f>IF(OR($B1044="",MIN(AZ$38,$D$19)&lt;MAX($P$708*($B1044+IF($R$17="Distrato",$I$38-1,0)),IF(AND($L$711=0,$P$708=0),"",$L$711-1),IF($R$17="Distrato",$E1044,0))),0,YEARFRAC(MAX($P$708*($B1044+IF($R$17="Distrato",$I$38-1,0)),IF(AND($L$711=0,$P$708=0),"",$L$711-1),IF($R$17="Distrato",$E1044,0)),MIN(AZ$38,$D$19),$P$20))-SUM($P1044:AY1044)</f>
        <v>#VALUE!</v>
      </c>
      <c r="BA1044" s="446" t="e">
        <f>IF(OR($B1044="",MIN(BA$38,$D$19)&lt;MAX($P$708*($B1044+IF($R$17="Distrato",$I$38-1,0)),IF(AND($L$711=0,$P$708=0),"",$L$711-1),IF($R$17="Distrato",$E1044,0))),0,YEARFRAC(MAX($P$708*($B1044+IF($R$17="Distrato",$I$38-1,0)),IF(AND($L$711=0,$P$708=0),"",$L$711-1),IF($R$17="Distrato",$E1044,0)),MIN(BA$38,$D$19),$P$20))-SUM($P1044:AZ1044)</f>
        <v>#VALUE!</v>
      </c>
      <c r="BB1044" s="447"/>
    </row>
    <row r="1045" spans="1:54" s="446" customFormat="1" ht="11.25" hidden="1" customHeight="1" x14ac:dyDescent="0.2">
      <c r="A1045" s="235"/>
      <c r="B1045" s="236"/>
      <c r="C1045" s="29" t="str">
        <f>IF(B1045="","",IF($L$709=$BL$25,VLOOKUP(DATE(YEAR($D$19),MONTH($D$19)-1,1),ÍNDICES!$A:$DE,HLOOKUP($BL$25,ÍNDICES!$B$3:$T$4,2)+11)-VLOOKUP(B1045,ÍNDICES!$A:$DE,HLOOKUP($BL$25,ÍNDICES!$B$3:$T$4,2)+11)+1%,IF(C$712=$W$26,$J$35,IF(ISERROR(IF(B1045&gt;$D$19,1,VLOOKUP(DATE(YEAR(B1045),MONTH(B1045)+IF($C$709=$S$23,1,0),1),ÍNDICES!$A:$DE,$Z$709+1))),"",IF(B1045&gt;$D$19,1,VLOOKUP(DATE(YEAR(B1045),MONTH(B1045)+IF($C$709=$S$23,1,0),1),ÍNDICES!$A:$DE,$Z$709+1))))))</f>
        <v/>
      </c>
      <c r="D1045" s="155"/>
      <c r="E1045" s="88"/>
      <c r="F1045" s="88"/>
      <c r="G1045" s="88"/>
      <c r="H1045" s="118"/>
      <c r="I1045" s="182">
        <f t="shared" si="150"/>
        <v>0</v>
      </c>
      <c r="J1045" s="20">
        <f t="shared" ca="1" si="151"/>
        <v>0</v>
      </c>
      <c r="K1045" s="5">
        <f t="shared" ca="1" si="152"/>
        <v>0</v>
      </c>
      <c r="L1045" s="61">
        <f t="shared" ca="1" si="153"/>
        <v>0</v>
      </c>
      <c r="M1045" s="64">
        <f t="shared" si="154"/>
        <v>0</v>
      </c>
      <c r="N1045" s="151"/>
      <c r="O1045" s="5">
        <f t="shared" ca="1" si="155"/>
        <v>0</v>
      </c>
      <c r="P1045" s="446" t="e">
        <f t="shared" si="156"/>
        <v>#VALUE!</v>
      </c>
      <c r="Q1045" s="446" t="e">
        <f>IF(OR($B1045="",MIN(Q$38,$D$19)&lt;MAX($P$708*($B1045+IF($R$17="Distrato",$I$38-1,0)),IF(AND($L$711=0,$P$708=0),"",$L$711-1),IF($R$17="Distrato",$E1045,0))),0,YEARFRAC(MAX($P$708*($B1045+IF($R$17="Distrato",$I$38-1,0)),IF(AND($L$711=0,$P$708=0),"",$L$711-1),IF($R$17="Distrato",$E1045,0)),MIN(Q$38,$D$19),$P$20))-SUM($P1045:P1045)</f>
        <v>#VALUE!</v>
      </c>
      <c r="R1045" s="446" t="e">
        <f>IF(OR($B1045="",MIN(R$38,$D$19)&lt;MAX($P$708*($B1045+IF($R$17="Distrato",$I$38-1,0)),IF(AND($L$711=0,$P$708=0),"",$L$711-1),IF($R$17="Distrato",$E1045,0))),0,YEARFRAC(MAX($P$708*($B1045+IF($R$17="Distrato",$I$38-1,0)),IF(AND($L$711=0,$P$708=0),"",$L$711-1),IF($R$17="Distrato",$E1045,0)),MIN(R$38,$D$19),$P$20))-SUM($P1045:Q1045)</f>
        <v>#VALUE!</v>
      </c>
      <c r="S1045" s="446" t="e">
        <f>IF(OR($B1045="",MIN(S$38,$D$19)&lt;MAX($P$708*($B1045+IF($R$17="Distrato",$I$38-1,0)),IF(AND($L$711=0,$P$708=0),"",$L$711-1),IF($R$17="Distrato",$E1045,0))),0,YEARFRAC(MAX($P$708*($B1045+IF($R$17="Distrato",$I$38-1,0)),IF(AND($L$711=0,$P$708=0),"",$L$711-1),IF($R$17="Distrato",$E1045,0)),MIN(S$38,$D$19),$P$20))-SUM($P1045:R1045)</f>
        <v>#VALUE!</v>
      </c>
      <c r="T1045" s="446" t="e">
        <f>IF(OR($B1045="",MIN(T$38,$D$19)&lt;MAX($P$708*($B1045+IF($R$17="Distrato",$I$38-1,0)),IF(AND($L$711=0,$P$708=0),"",$L$711-1),IF($R$17="Distrato",$E1045,0))),0,YEARFRAC(MAX($P$708*($B1045+IF($R$17="Distrato",$I$38-1,0)),IF(AND($L$711=0,$P$708=0),"",$L$711-1),IF($R$17="Distrato",$E1045,0)),MIN(T$38,$D$19),$P$20))-SUM($P1045:S1045)</f>
        <v>#VALUE!</v>
      </c>
      <c r="U1045" s="446" t="e">
        <f>IF(OR($B1045="",MIN(U$38,$D$19)&lt;MAX($P$708*($B1045+IF($R$17="Distrato",$I$38-1,0)),IF(AND($L$711=0,$P$708=0),"",$L$711-1),IF($R$17="Distrato",$E1045,0))),0,YEARFRAC(MAX($P$708*($B1045+IF($R$17="Distrato",$I$38-1,0)),IF(AND($L$711=0,$P$708=0),"",$L$711-1),IF($R$17="Distrato",$E1045,0)),MIN(U$38,$D$19),$P$20))-SUM($P1045:T1045)</f>
        <v>#VALUE!</v>
      </c>
      <c r="V1045" s="446" t="e">
        <f>IF(OR($B1045="",MIN(V$38,$D$19)&lt;MAX($P$708*($B1045+IF($R$17="Distrato",$I$38-1,0)),IF(AND($L$711=0,$P$708=0),"",$L$711-1),IF($R$17="Distrato",$E1045,0))),0,YEARFRAC(MAX($P$708*($B1045+IF($R$17="Distrato",$I$38-1,0)),IF(AND($L$711=0,$P$708=0),"",$L$711-1),IF($R$17="Distrato",$E1045,0)),MIN(V$38,$D$19),$P$20))-SUM($P1045:U1045)</f>
        <v>#VALUE!</v>
      </c>
      <c r="W1045" s="446" t="e">
        <f>IF(OR($B1045="",MIN(W$38,$D$19)&lt;MAX($P$708*($B1045+IF($R$17="Distrato",$I$38-1,0)),IF(AND($L$711=0,$P$708=0),"",$L$711-1),IF($R$17="Distrato",$E1045,0))),0,YEARFRAC(MAX($P$708*($B1045+IF($R$17="Distrato",$I$38-1,0)),IF(AND($L$711=0,$P$708=0),"",$L$711-1),IF($R$17="Distrato",$E1045,0)),MIN(W$38,$D$19),$P$20))-SUM($P1045:V1045)</f>
        <v>#VALUE!</v>
      </c>
      <c r="X1045" s="446" t="e">
        <f>IF(OR($B1045="",MIN(X$38,$D$19)&lt;MAX($P$708*($B1045+IF($R$17="Distrato",$I$38-1,0)),IF(AND($L$711=0,$P$708=0),"",$L$711-1),IF($R$17="Distrato",$E1045,0))),0,YEARFRAC(MAX($P$708*($B1045+IF($R$17="Distrato",$I$38-1,0)),IF(AND($L$711=0,$P$708=0),"",$L$711-1),IF($R$17="Distrato",$E1045,0)),MIN(X$38,$D$19),$P$20))-SUM($P1045:W1045)</f>
        <v>#VALUE!</v>
      </c>
      <c r="Y1045" s="446" t="e">
        <f>IF(OR($B1045="",MIN(Y$38,$D$19)&lt;MAX($P$708*($B1045+IF($R$17="Distrato",$I$38-1,0)),IF(AND($L$711=0,$P$708=0),"",$L$711-1),IF($R$17="Distrato",$E1045,0))),0,YEARFRAC(MAX($P$708*($B1045+IF($R$17="Distrato",$I$38-1,0)),IF(AND($L$711=0,$P$708=0),"",$L$711-1),IF($R$17="Distrato",$E1045,0)),MIN(Y$38,$D$19),$P$20))-SUM($P1045:X1045)</f>
        <v>#VALUE!</v>
      </c>
      <c r="Z1045" s="446" t="e">
        <f>IF(OR($B1045="",MIN(Z$38,$D$19)&lt;MAX($P$708*($B1045+IF($R$17="Distrato",$I$38-1,0)),IF(AND($L$711=0,$P$708=0),"",$L$711-1),IF($R$17="Distrato",$E1045,0))),0,YEARFRAC(MAX($P$708*($B1045+IF($R$17="Distrato",$I$38-1,0)),IF(AND($L$711=0,$P$708=0),"",$L$711-1),IF($R$17="Distrato",$E1045,0)),MIN(Z$38,$D$19),$P$20))-SUM($P1045:Y1045)</f>
        <v>#VALUE!</v>
      </c>
      <c r="AA1045" s="446" t="e">
        <f>IF(OR($B1045="",MIN(AA$38,$D$19)&lt;MAX($P$708*($B1045+IF($R$17="Distrato",$I$38-1,0)),IF(AND($L$711=0,$P$708=0),"",$L$711-1),IF($R$17="Distrato",$E1045,0))),0,YEARFRAC(MAX($P$708*($B1045+IF($R$17="Distrato",$I$38-1,0)),IF(AND($L$711=0,$P$708=0),"",$L$711-1),IF($R$17="Distrato",$E1045,0)),MIN(AA$38,$D$19),$P$20))-SUM($P1045:Z1045)</f>
        <v>#VALUE!</v>
      </c>
      <c r="AB1045" s="446" t="e">
        <f>IF(OR($B1045="",MIN(AB$38,$D$19)&lt;MAX($P$708*($B1045+IF($R$17="Distrato",$I$38-1,0)),IF(AND($L$711=0,$P$708=0),"",$L$711-1),IF($R$17="Distrato",$E1045,0))),0,YEARFRAC(MAX($P$708*($B1045+IF($R$17="Distrato",$I$38-1,0)),IF(AND($L$711=0,$P$708=0),"",$L$711-1),IF($R$17="Distrato",$E1045,0)),MIN(AB$38,$D$19),$P$20))-SUM($P1045:AA1045)</f>
        <v>#VALUE!</v>
      </c>
      <c r="AC1045" s="446" t="e">
        <f>IF(OR($B1045="",MIN(AC$38,$D$19)&lt;MAX($P$708*($B1045+IF($R$17="Distrato",$I$38-1,0)),IF(AND($L$711=0,$P$708=0),"",$L$711-1),IF($R$17="Distrato",$E1045,0))),0,YEARFRAC(MAX($P$708*($B1045+IF($R$17="Distrato",$I$38-1,0)),IF(AND($L$711=0,$P$708=0),"",$L$711-1),IF($R$17="Distrato",$E1045,0)),MIN(AC$38,$D$19),$P$20))-SUM($P1045:AB1045)</f>
        <v>#VALUE!</v>
      </c>
      <c r="AD1045" s="446" t="e">
        <f>IF(OR($B1045="",MIN(AD$38,$D$19)&lt;MAX($P$708*($B1045+IF($R$17="Distrato",$I$38-1,0)),IF(AND($L$711=0,$P$708=0),"",$L$711-1),IF($R$17="Distrato",$E1045,0))),0,YEARFRAC(MAX($P$708*($B1045+IF($R$17="Distrato",$I$38-1,0)),IF(AND($L$711=0,$P$708=0),"",$L$711-1),IF($R$17="Distrato",$E1045,0)),MIN(AD$38,$D$19),$P$20))-SUM($P1045:AC1045)</f>
        <v>#VALUE!</v>
      </c>
      <c r="AE1045" s="446" t="e">
        <f>IF(OR($B1045="",MIN(AE$38,$D$19)&lt;MAX($P$708*($B1045+IF($R$17="Distrato",$I$38-1,0)),IF(AND($L$711=0,$P$708=0),"",$L$711-1),IF($R$17="Distrato",$E1045,0))),0,YEARFRAC(MAX($P$708*($B1045+IF($R$17="Distrato",$I$38-1,0)),IF(AND($L$711=0,$P$708=0),"",$L$711-1),IF($R$17="Distrato",$E1045,0)),MIN(AE$38,$D$19),$P$20))-SUM($P1045:AD1045)</f>
        <v>#VALUE!</v>
      </c>
      <c r="AF1045" s="446" t="e">
        <f>IF(OR($B1045="",MIN(AF$38,$D$19)&lt;MAX($P$708*($B1045+IF($R$17="Distrato",$I$38-1,0)),IF(AND($L$711=0,$P$708=0),"",$L$711-1),IF($R$17="Distrato",$E1045,0))),0,YEARFRAC(MAX($P$708*($B1045+IF($R$17="Distrato",$I$38-1,0)),IF(AND($L$711=0,$P$708=0),"",$L$711-1),IF($R$17="Distrato",$E1045,0)),MIN(AF$38,$D$19),$P$20))-SUM($P1045:AE1045)</f>
        <v>#VALUE!</v>
      </c>
      <c r="AG1045" s="446" t="e">
        <f>IF(OR($B1045="",MIN(AG$38,$D$19)&lt;MAX($P$708*($B1045+IF($R$17="Distrato",$I$38-1,0)),IF(AND($L$711=0,$P$708=0),"",$L$711-1),IF($R$17="Distrato",$E1045,0))),0,YEARFRAC(MAX($P$708*($B1045+IF($R$17="Distrato",$I$38-1,0)),IF(AND($L$711=0,$P$708=0),"",$L$711-1),IF($R$17="Distrato",$E1045,0)),MIN(AG$38,$D$19),$P$20))-SUM($P1045:AF1045)</f>
        <v>#VALUE!</v>
      </c>
      <c r="AH1045" s="446" t="e">
        <f>IF(OR($B1045="",MIN(AH$38,$D$19)&lt;MAX($P$708*($B1045+IF($R$17="Distrato",$I$38-1,0)),IF(AND($L$711=0,$P$708=0),"",$L$711-1),IF($R$17="Distrato",$E1045,0))),0,YEARFRAC(MAX($P$708*($B1045+IF($R$17="Distrato",$I$38-1,0)),IF(AND($L$711=0,$P$708=0),"",$L$711-1),IF($R$17="Distrato",$E1045,0)),MIN(AH$38,$D$19),$P$20))-SUM($P1045:AG1045)</f>
        <v>#VALUE!</v>
      </c>
      <c r="AI1045" s="446" t="e">
        <f>IF(OR($B1045="",MIN(AI$38,$D$19)&lt;MAX($P$708*($B1045+IF($R$17="Distrato",$I$38-1,0)),IF(AND($L$711=0,$P$708=0),"",$L$711-1),IF($R$17="Distrato",$E1045,0))),0,YEARFRAC(MAX($P$708*($B1045+IF($R$17="Distrato",$I$38-1,0)),IF(AND($L$711=0,$P$708=0),"",$L$711-1),IF($R$17="Distrato",$E1045,0)),MIN(AI$38,$D$19),$P$20))-SUM($P1045:AH1045)</f>
        <v>#VALUE!</v>
      </c>
      <c r="AJ1045" s="446" t="e">
        <f>IF(OR($B1045="",MIN(AJ$38,$D$19)&lt;MAX($P$708*($B1045+IF($R$17="Distrato",$I$38-1,0)),IF(AND($L$711=0,$P$708=0),"",$L$711-1),IF($R$17="Distrato",$E1045,0))),0,YEARFRAC(MAX($P$708*($B1045+IF($R$17="Distrato",$I$38-1,0)),IF(AND($L$711=0,$P$708=0),"",$L$711-1),IF($R$17="Distrato",$E1045,0)),MIN(AJ$38,$D$19),$P$20))-SUM($P1045:AI1045)</f>
        <v>#VALUE!</v>
      </c>
      <c r="AK1045" s="446" t="e">
        <f>IF(OR($B1045="",MIN(AK$38,$D$19)&lt;MAX($P$708*($B1045+IF($R$17="Distrato",$I$38-1,0)),IF(AND($L$711=0,$P$708=0),"",$L$711-1),IF($R$17="Distrato",$E1045,0))),0,YEARFRAC(MAX($P$708*($B1045+IF($R$17="Distrato",$I$38-1,0)),IF(AND($L$711=0,$P$708=0),"",$L$711-1),IF($R$17="Distrato",$E1045,0)),MIN(AK$38,$D$19),$P$20))-SUM($P1045:AJ1045)</f>
        <v>#VALUE!</v>
      </c>
      <c r="AL1045" s="446" t="e">
        <f>IF(OR($B1045="",MIN(AL$38,$D$19)&lt;MAX($P$708*($B1045+IF($R$17="Distrato",$I$38-1,0)),IF(AND($L$711=0,$P$708=0),"",$L$711-1),IF($R$17="Distrato",$E1045,0))),0,YEARFRAC(MAX($P$708*($B1045+IF($R$17="Distrato",$I$38-1,0)),IF(AND($L$711=0,$P$708=0),"",$L$711-1),IF($R$17="Distrato",$E1045,0)),MIN(AL$38,$D$19),$P$20))-SUM($P1045:AK1045)</f>
        <v>#VALUE!</v>
      </c>
      <c r="AM1045" s="446" t="e">
        <f>IF(OR($B1045="",MIN(AM$38,$D$19)&lt;MAX($P$708*($B1045+IF($R$17="Distrato",$I$38-1,0)),IF(AND($L$711=0,$P$708=0),"",$L$711-1),IF($R$17="Distrato",$E1045,0))),0,YEARFRAC(MAX($P$708*($B1045+IF($R$17="Distrato",$I$38-1,0)),IF(AND($L$711=0,$P$708=0),"",$L$711-1),IF($R$17="Distrato",$E1045,0)),MIN(AM$38,$D$19),$P$20))-SUM($P1045:AL1045)</f>
        <v>#VALUE!</v>
      </c>
      <c r="AN1045" s="446" t="e">
        <f>IF(OR($B1045="",MIN(AN$38,$D$19)&lt;MAX($P$708*($B1045+IF($R$17="Distrato",$I$38-1,0)),IF(AND($L$711=0,$P$708=0),"",$L$711-1),IF($R$17="Distrato",$E1045,0))),0,YEARFRAC(MAX($P$708*($B1045+IF($R$17="Distrato",$I$38-1,0)),IF(AND($L$711=0,$P$708=0),"",$L$711-1),IF($R$17="Distrato",$E1045,0)),MIN(AN$38,$D$19),$P$20))-SUM($P1045:AM1045)</f>
        <v>#VALUE!</v>
      </c>
      <c r="AO1045" s="446" t="e">
        <f>IF(OR($B1045="",MIN(AO$38,$D$19)&lt;MAX($P$708*($B1045+IF($R$17="Distrato",$I$38-1,0)),IF(AND($L$711=0,$P$708=0),"",$L$711-1),IF($R$17="Distrato",$E1045,0))),0,YEARFRAC(MAX($P$708*($B1045+IF($R$17="Distrato",$I$38-1,0)),IF(AND($L$711=0,$P$708=0),"",$L$711-1),IF($R$17="Distrato",$E1045,0)),MIN(AO$38,$D$19),$P$20))-SUM($P1045:AN1045)</f>
        <v>#VALUE!</v>
      </c>
      <c r="AP1045" s="446" t="e">
        <f>IF(OR($B1045="",MIN(AP$38,$D$19)&lt;MAX($P$708*($B1045+IF($R$17="Distrato",$I$38-1,0)),IF(AND($L$711=0,$P$708=0),"",$L$711-1),IF($R$17="Distrato",$E1045,0))),0,YEARFRAC(MAX($P$708*($B1045+IF($R$17="Distrato",$I$38-1,0)),IF(AND($L$711=0,$P$708=0),"",$L$711-1),IF($R$17="Distrato",$E1045,0)),MIN(AP$38,$D$19),$P$20))-SUM($P1045:AO1045)</f>
        <v>#VALUE!</v>
      </c>
      <c r="AQ1045" s="446" t="e">
        <f>IF(OR($B1045="",MIN(AQ$38,$D$19)&lt;MAX($P$708*($B1045+IF($R$17="Distrato",$I$38-1,0)),IF(AND($L$711=0,$P$708=0),"",$L$711-1),IF($R$17="Distrato",$E1045,0))),0,YEARFRAC(MAX($P$708*($B1045+IF($R$17="Distrato",$I$38-1,0)),IF(AND($L$711=0,$P$708=0),"",$L$711-1),IF($R$17="Distrato",$E1045,0)),MIN(AQ$38,$D$19),$P$20))-SUM($P1045:AP1045)</f>
        <v>#VALUE!</v>
      </c>
      <c r="AR1045" s="446" t="e">
        <f>IF(OR($B1045="",MIN(AR$38,$D$19)&lt;MAX($P$708*($B1045+IF($R$17="Distrato",$I$38-1,0)),IF(AND($L$711=0,$P$708=0),"",$L$711-1),IF($R$17="Distrato",$E1045,0))),0,YEARFRAC(MAX($P$708*($B1045+IF($R$17="Distrato",$I$38-1,0)),IF(AND($L$711=0,$P$708=0),"",$L$711-1),IF($R$17="Distrato",$E1045,0)),MIN(AR$38,$D$19),$P$20))-SUM($P1045:AQ1045)</f>
        <v>#VALUE!</v>
      </c>
      <c r="AS1045" s="446" t="e">
        <f>IF(OR($B1045="",MIN(AS$38,$D$19)&lt;MAX($P$708*($B1045+IF($R$17="Distrato",$I$38-1,0)),IF(AND($L$711=0,$P$708=0),"",$L$711-1),IF($R$17="Distrato",$E1045,0))),0,YEARFRAC(MAX($P$708*($B1045+IF($R$17="Distrato",$I$38-1,0)),IF(AND($L$711=0,$P$708=0),"",$L$711-1),IF($R$17="Distrato",$E1045,0)),MIN(AS$38,$D$19),$P$20))-SUM($P1045:AR1045)</f>
        <v>#VALUE!</v>
      </c>
      <c r="AT1045" s="446" t="e">
        <f>IF(OR($B1045="",MIN(AT$38,$D$19)&lt;MAX($P$708*($B1045+IF($R$17="Distrato",$I$38-1,0)),IF(AND($L$711=0,$P$708=0),"",$L$711-1),IF($R$17="Distrato",$E1045,0))),0,YEARFRAC(MAX($P$708*($B1045+IF($R$17="Distrato",$I$38-1,0)),IF(AND($L$711=0,$P$708=0),"",$L$711-1),IF($R$17="Distrato",$E1045,0)),MIN(AT$38,$D$19),$P$20))-SUM($P1045:AS1045)</f>
        <v>#VALUE!</v>
      </c>
      <c r="AU1045" s="446" t="e">
        <f>IF(OR($B1045="",MIN(AU$38,$D$19)&lt;MAX($P$708*($B1045+IF($R$17="Distrato",$I$38-1,0)),IF(AND($L$711=0,$P$708=0),"",$L$711-1),IF($R$17="Distrato",$E1045,0))),0,YEARFRAC(MAX($P$708*($B1045+IF($R$17="Distrato",$I$38-1,0)),IF(AND($L$711=0,$P$708=0),"",$L$711-1),IF($R$17="Distrato",$E1045,0)),MIN(AU$38,$D$19),$P$20))-SUM($P1045:AT1045)</f>
        <v>#VALUE!</v>
      </c>
      <c r="AV1045" s="446" t="e">
        <f>IF(OR($B1045="",MIN(AV$38,$D$19)&lt;MAX($P$708*($B1045+IF($R$17="Distrato",$I$38-1,0)),IF(AND($L$711=0,$P$708=0),"",$L$711-1),IF($R$17="Distrato",$E1045,0))),0,YEARFRAC(MAX($P$708*($B1045+IF($R$17="Distrato",$I$38-1,0)),IF(AND($L$711=0,$P$708=0),"",$L$711-1),IF($R$17="Distrato",$E1045,0)),MIN(AV$38,$D$19),$P$20))-SUM($P1045:AU1045)</f>
        <v>#VALUE!</v>
      </c>
      <c r="AW1045" s="446" t="e">
        <f>IF(OR($B1045="",MIN(AW$38,$D$19)&lt;MAX($P$708*($B1045+IF($R$17="Distrato",$I$38-1,0)),IF(AND($L$711=0,$P$708=0),"",$L$711-1),IF($R$17="Distrato",$E1045,0))),0,YEARFRAC(MAX($P$708*($B1045+IF($R$17="Distrato",$I$38-1,0)),IF(AND($L$711=0,$P$708=0),"",$L$711-1),IF($R$17="Distrato",$E1045,0)),MIN(AW$38,$D$19),$P$20))-SUM($P1045:AV1045)</f>
        <v>#VALUE!</v>
      </c>
      <c r="AX1045" s="446" t="e">
        <f>IF(OR($B1045="",MIN(AX$38,$D$19)&lt;MAX($P$708*($B1045+IF($R$17="Distrato",$I$38-1,0)),IF(AND($L$711=0,$P$708=0),"",$L$711-1),IF($R$17="Distrato",$E1045,0))),0,YEARFRAC(MAX($P$708*($B1045+IF($R$17="Distrato",$I$38-1,0)),IF(AND($L$711=0,$P$708=0),"",$L$711-1),IF($R$17="Distrato",$E1045,0)),MIN(AX$38,$D$19),$P$20))-SUM($P1045:AW1045)</f>
        <v>#VALUE!</v>
      </c>
      <c r="AY1045" s="446" t="e">
        <f>IF(OR($B1045="",MIN(AY$38,$D$19)&lt;MAX($P$708*($B1045+IF($R$17="Distrato",$I$38-1,0)),IF(AND($L$711=0,$P$708=0),"",$L$711-1),IF($R$17="Distrato",$E1045,0))),0,YEARFRAC(MAX($P$708*($B1045+IF($R$17="Distrato",$I$38-1,0)),IF(AND($L$711=0,$P$708=0),"",$L$711-1),IF($R$17="Distrato",$E1045,0)),MIN(AY$38,$D$19),$P$20))-SUM($P1045:AX1045)</f>
        <v>#VALUE!</v>
      </c>
      <c r="AZ1045" s="446" t="e">
        <f>IF(OR($B1045="",MIN(AZ$38,$D$19)&lt;MAX($P$708*($B1045+IF($R$17="Distrato",$I$38-1,0)),IF(AND($L$711=0,$P$708=0),"",$L$711-1),IF($R$17="Distrato",$E1045,0))),0,YEARFRAC(MAX($P$708*($B1045+IF($R$17="Distrato",$I$38-1,0)),IF(AND($L$711=0,$P$708=0),"",$L$711-1),IF($R$17="Distrato",$E1045,0)),MIN(AZ$38,$D$19),$P$20))-SUM($P1045:AY1045)</f>
        <v>#VALUE!</v>
      </c>
      <c r="BA1045" s="446" t="e">
        <f>IF(OR($B1045="",MIN(BA$38,$D$19)&lt;MAX($P$708*($B1045+IF($R$17="Distrato",$I$38-1,0)),IF(AND($L$711=0,$P$708=0),"",$L$711-1),IF($R$17="Distrato",$E1045,0))),0,YEARFRAC(MAX($P$708*($B1045+IF($R$17="Distrato",$I$38-1,0)),IF(AND($L$711=0,$P$708=0),"",$L$711-1),IF($R$17="Distrato",$E1045,0)),MIN(BA$38,$D$19),$P$20))-SUM($P1045:AZ1045)</f>
        <v>#VALUE!</v>
      </c>
      <c r="BB1045" s="447"/>
    </row>
    <row r="1046" spans="1:54" s="446" customFormat="1" ht="11.25" hidden="1" customHeight="1" x14ac:dyDescent="0.2">
      <c r="A1046" s="235"/>
      <c r="B1046" s="236"/>
      <c r="C1046" s="29" t="str">
        <f>IF(B1046="","",IF($L$709=$BL$25,VLOOKUP(DATE(YEAR($D$19),MONTH($D$19)-1,1),ÍNDICES!$A:$DE,HLOOKUP($BL$25,ÍNDICES!$B$3:$T$4,2)+11)-VLOOKUP(B1046,ÍNDICES!$A:$DE,HLOOKUP($BL$25,ÍNDICES!$B$3:$T$4,2)+11)+1%,IF(C$712=$W$26,$J$35,IF(ISERROR(IF(B1046&gt;$D$19,1,VLOOKUP(DATE(YEAR(B1046),MONTH(B1046)+IF($C$709=$S$23,1,0),1),ÍNDICES!$A:$DE,$Z$709+1))),"",IF(B1046&gt;$D$19,1,VLOOKUP(DATE(YEAR(B1046),MONTH(B1046)+IF($C$709=$S$23,1,0),1),ÍNDICES!$A:$DE,$Z$709+1))))))</f>
        <v/>
      </c>
      <c r="D1046" s="155"/>
      <c r="E1046" s="88"/>
      <c r="F1046" s="88"/>
      <c r="G1046" s="88"/>
      <c r="H1046" s="118"/>
      <c r="I1046" s="182">
        <f t="shared" si="150"/>
        <v>0</v>
      </c>
      <c r="J1046" s="20">
        <f t="shared" ca="1" si="151"/>
        <v>0</v>
      </c>
      <c r="K1046" s="5">
        <f t="shared" ca="1" si="152"/>
        <v>0</v>
      </c>
      <c r="L1046" s="61">
        <f t="shared" ca="1" si="153"/>
        <v>0</v>
      </c>
      <c r="M1046" s="64">
        <f t="shared" si="154"/>
        <v>0</v>
      </c>
      <c r="N1046" s="151"/>
      <c r="O1046" s="5">
        <f t="shared" ca="1" si="155"/>
        <v>0</v>
      </c>
      <c r="P1046" s="446" t="e">
        <f t="shared" si="156"/>
        <v>#VALUE!</v>
      </c>
      <c r="Q1046" s="446" t="e">
        <f>IF(OR($B1046="",MIN(Q$38,$D$19)&lt;MAX($P$708*($B1046+IF($R$17="Distrato",$I$38-1,0)),IF(AND($L$711=0,$P$708=0),"",$L$711-1),IF($R$17="Distrato",$E1046,0))),0,YEARFRAC(MAX($P$708*($B1046+IF($R$17="Distrato",$I$38-1,0)),IF(AND($L$711=0,$P$708=0),"",$L$711-1),IF($R$17="Distrato",$E1046,0)),MIN(Q$38,$D$19),$P$20))-SUM($P1046:P1046)</f>
        <v>#VALUE!</v>
      </c>
      <c r="R1046" s="446" t="e">
        <f>IF(OR($B1046="",MIN(R$38,$D$19)&lt;MAX($P$708*($B1046+IF($R$17="Distrato",$I$38-1,0)),IF(AND($L$711=0,$P$708=0),"",$L$711-1),IF($R$17="Distrato",$E1046,0))),0,YEARFRAC(MAX($P$708*($B1046+IF($R$17="Distrato",$I$38-1,0)),IF(AND($L$711=0,$P$708=0),"",$L$711-1),IF($R$17="Distrato",$E1046,0)),MIN(R$38,$D$19),$P$20))-SUM($P1046:Q1046)</f>
        <v>#VALUE!</v>
      </c>
      <c r="S1046" s="446" t="e">
        <f>IF(OR($B1046="",MIN(S$38,$D$19)&lt;MAX($P$708*($B1046+IF($R$17="Distrato",$I$38-1,0)),IF(AND($L$711=0,$P$708=0),"",$L$711-1),IF($R$17="Distrato",$E1046,0))),0,YEARFRAC(MAX($P$708*($B1046+IF($R$17="Distrato",$I$38-1,0)),IF(AND($L$711=0,$P$708=0),"",$L$711-1),IF($R$17="Distrato",$E1046,0)),MIN(S$38,$D$19),$P$20))-SUM($P1046:R1046)</f>
        <v>#VALUE!</v>
      </c>
      <c r="T1046" s="446" t="e">
        <f>IF(OR($B1046="",MIN(T$38,$D$19)&lt;MAX($P$708*($B1046+IF($R$17="Distrato",$I$38-1,0)),IF(AND($L$711=0,$P$708=0),"",$L$711-1),IF($R$17="Distrato",$E1046,0))),0,YEARFRAC(MAX($P$708*($B1046+IF($R$17="Distrato",$I$38-1,0)),IF(AND($L$711=0,$P$708=0),"",$L$711-1),IF($R$17="Distrato",$E1046,0)),MIN(T$38,$D$19),$P$20))-SUM($P1046:S1046)</f>
        <v>#VALUE!</v>
      </c>
      <c r="U1046" s="446" t="e">
        <f>IF(OR($B1046="",MIN(U$38,$D$19)&lt;MAX($P$708*($B1046+IF($R$17="Distrato",$I$38-1,0)),IF(AND($L$711=0,$P$708=0),"",$L$711-1),IF($R$17="Distrato",$E1046,0))),0,YEARFRAC(MAX($P$708*($B1046+IF($R$17="Distrato",$I$38-1,0)),IF(AND($L$711=0,$P$708=0),"",$L$711-1),IF($R$17="Distrato",$E1046,0)),MIN(U$38,$D$19),$P$20))-SUM($P1046:T1046)</f>
        <v>#VALUE!</v>
      </c>
      <c r="V1046" s="446" t="e">
        <f>IF(OR($B1046="",MIN(V$38,$D$19)&lt;MAX($P$708*($B1046+IF($R$17="Distrato",$I$38-1,0)),IF(AND($L$711=0,$P$708=0),"",$L$711-1),IF($R$17="Distrato",$E1046,0))),0,YEARFRAC(MAX($P$708*($B1046+IF($R$17="Distrato",$I$38-1,0)),IF(AND($L$711=0,$P$708=0),"",$L$711-1),IF($R$17="Distrato",$E1046,0)),MIN(V$38,$D$19),$P$20))-SUM($P1046:U1046)</f>
        <v>#VALUE!</v>
      </c>
      <c r="W1046" s="446" t="e">
        <f>IF(OR($B1046="",MIN(W$38,$D$19)&lt;MAX($P$708*($B1046+IF($R$17="Distrato",$I$38-1,0)),IF(AND($L$711=0,$P$708=0),"",$L$711-1),IF($R$17="Distrato",$E1046,0))),0,YEARFRAC(MAX($P$708*($B1046+IF($R$17="Distrato",$I$38-1,0)),IF(AND($L$711=0,$P$708=0),"",$L$711-1),IF($R$17="Distrato",$E1046,0)),MIN(W$38,$D$19),$P$20))-SUM($P1046:V1046)</f>
        <v>#VALUE!</v>
      </c>
      <c r="X1046" s="446" t="e">
        <f>IF(OR($B1046="",MIN(X$38,$D$19)&lt;MAX($P$708*($B1046+IF($R$17="Distrato",$I$38-1,0)),IF(AND($L$711=0,$P$708=0),"",$L$711-1),IF($R$17="Distrato",$E1046,0))),0,YEARFRAC(MAX($P$708*($B1046+IF($R$17="Distrato",$I$38-1,0)),IF(AND($L$711=0,$P$708=0),"",$L$711-1),IF($R$17="Distrato",$E1046,0)),MIN(X$38,$D$19),$P$20))-SUM($P1046:W1046)</f>
        <v>#VALUE!</v>
      </c>
      <c r="Y1046" s="446" t="e">
        <f>IF(OR($B1046="",MIN(Y$38,$D$19)&lt;MAX($P$708*($B1046+IF($R$17="Distrato",$I$38-1,0)),IF(AND($L$711=0,$P$708=0),"",$L$711-1),IF($R$17="Distrato",$E1046,0))),0,YEARFRAC(MAX($P$708*($B1046+IF($R$17="Distrato",$I$38-1,0)),IF(AND($L$711=0,$P$708=0),"",$L$711-1),IF($R$17="Distrato",$E1046,0)),MIN(Y$38,$D$19),$P$20))-SUM($P1046:X1046)</f>
        <v>#VALUE!</v>
      </c>
      <c r="Z1046" s="446" t="e">
        <f>IF(OR($B1046="",MIN(Z$38,$D$19)&lt;MAX($P$708*($B1046+IF($R$17="Distrato",$I$38-1,0)),IF(AND($L$711=0,$P$708=0),"",$L$711-1),IF($R$17="Distrato",$E1046,0))),0,YEARFRAC(MAX($P$708*($B1046+IF($R$17="Distrato",$I$38-1,0)),IF(AND($L$711=0,$P$708=0),"",$L$711-1),IF($R$17="Distrato",$E1046,0)),MIN(Z$38,$D$19),$P$20))-SUM($P1046:Y1046)</f>
        <v>#VALUE!</v>
      </c>
      <c r="AA1046" s="446" t="e">
        <f>IF(OR($B1046="",MIN(AA$38,$D$19)&lt;MAX($P$708*($B1046+IF($R$17="Distrato",$I$38-1,0)),IF(AND($L$711=0,$P$708=0),"",$L$711-1),IF($R$17="Distrato",$E1046,0))),0,YEARFRAC(MAX($P$708*($B1046+IF($R$17="Distrato",$I$38-1,0)),IF(AND($L$711=0,$P$708=0),"",$L$711-1),IF($R$17="Distrato",$E1046,0)),MIN(AA$38,$D$19),$P$20))-SUM($P1046:Z1046)</f>
        <v>#VALUE!</v>
      </c>
      <c r="AB1046" s="446" t="e">
        <f>IF(OR($B1046="",MIN(AB$38,$D$19)&lt;MAX($P$708*($B1046+IF($R$17="Distrato",$I$38-1,0)),IF(AND($L$711=0,$P$708=0),"",$L$711-1),IF($R$17="Distrato",$E1046,0))),0,YEARFRAC(MAX($P$708*($B1046+IF($R$17="Distrato",$I$38-1,0)),IF(AND($L$711=0,$P$708=0),"",$L$711-1),IF($R$17="Distrato",$E1046,0)),MIN(AB$38,$D$19),$P$20))-SUM($P1046:AA1046)</f>
        <v>#VALUE!</v>
      </c>
      <c r="AC1046" s="446" t="e">
        <f>IF(OR($B1046="",MIN(AC$38,$D$19)&lt;MAX($P$708*($B1046+IF($R$17="Distrato",$I$38-1,0)),IF(AND($L$711=0,$P$708=0),"",$L$711-1),IF($R$17="Distrato",$E1046,0))),0,YEARFRAC(MAX($P$708*($B1046+IF($R$17="Distrato",$I$38-1,0)),IF(AND($L$711=0,$P$708=0),"",$L$711-1),IF($R$17="Distrato",$E1046,0)),MIN(AC$38,$D$19),$P$20))-SUM($P1046:AB1046)</f>
        <v>#VALUE!</v>
      </c>
      <c r="AD1046" s="446" t="e">
        <f>IF(OR($B1046="",MIN(AD$38,$D$19)&lt;MAX($P$708*($B1046+IF($R$17="Distrato",$I$38-1,0)),IF(AND($L$711=0,$P$708=0),"",$L$711-1),IF($R$17="Distrato",$E1046,0))),0,YEARFRAC(MAX($P$708*($B1046+IF($R$17="Distrato",$I$38-1,0)),IF(AND($L$711=0,$P$708=0),"",$L$711-1),IF($R$17="Distrato",$E1046,0)),MIN(AD$38,$D$19),$P$20))-SUM($P1046:AC1046)</f>
        <v>#VALUE!</v>
      </c>
      <c r="AE1046" s="446" t="e">
        <f>IF(OR($B1046="",MIN(AE$38,$D$19)&lt;MAX($P$708*($B1046+IF($R$17="Distrato",$I$38-1,0)),IF(AND($L$711=0,$P$708=0),"",$L$711-1),IF($R$17="Distrato",$E1046,0))),0,YEARFRAC(MAX($P$708*($B1046+IF($R$17="Distrato",$I$38-1,0)),IF(AND($L$711=0,$P$708=0),"",$L$711-1),IF($R$17="Distrato",$E1046,0)),MIN(AE$38,$D$19),$P$20))-SUM($P1046:AD1046)</f>
        <v>#VALUE!</v>
      </c>
      <c r="AF1046" s="446" t="e">
        <f>IF(OR($B1046="",MIN(AF$38,$D$19)&lt;MAX($P$708*($B1046+IF($R$17="Distrato",$I$38-1,0)),IF(AND($L$711=0,$P$708=0),"",$L$711-1),IF($R$17="Distrato",$E1046,0))),0,YEARFRAC(MAX($P$708*($B1046+IF($R$17="Distrato",$I$38-1,0)),IF(AND($L$711=0,$P$708=0),"",$L$711-1),IF($R$17="Distrato",$E1046,0)),MIN(AF$38,$D$19),$P$20))-SUM($P1046:AE1046)</f>
        <v>#VALUE!</v>
      </c>
      <c r="AG1046" s="446" t="e">
        <f>IF(OR($B1046="",MIN(AG$38,$D$19)&lt;MAX($P$708*($B1046+IF($R$17="Distrato",$I$38-1,0)),IF(AND($L$711=0,$P$708=0),"",$L$711-1),IF($R$17="Distrato",$E1046,0))),0,YEARFRAC(MAX($P$708*($B1046+IF($R$17="Distrato",$I$38-1,0)),IF(AND($L$711=0,$P$708=0),"",$L$711-1),IF($R$17="Distrato",$E1046,0)),MIN(AG$38,$D$19),$P$20))-SUM($P1046:AF1046)</f>
        <v>#VALUE!</v>
      </c>
      <c r="AH1046" s="446" t="e">
        <f>IF(OR($B1046="",MIN(AH$38,$D$19)&lt;MAX($P$708*($B1046+IF($R$17="Distrato",$I$38-1,0)),IF(AND($L$711=0,$P$708=0),"",$L$711-1),IF($R$17="Distrato",$E1046,0))),0,YEARFRAC(MAX($P$708*($B1046+IF($R$17="Distrato",$I$38-1,0)),IF(AND($L$711=0,$P$708=0),"",$L$711-1),IF($R$17="Distrato",$E1046,0)),MIN(AH$38,$D$19),$P$20))-SUM($P1046:AG1046)</f>
        <v>#VALUE!</v>
      </c>
      <c r="AI1046" s="446" t="e">
        <f>IF(OR($B1046="",MIN(AI$38,$D$19)&lt;MAX($P$708*($B1046+IF($R$17="Distrato",$I$38-1,0)),IF(AND($L$711=0,$P$708=0),"",$L$711-1),IF($R$17="Distrato",$E1046,0))),0,YEARFRAC(MAX($P$708*($B1046+IF($R$17="Distrato",$I$38-1,0)),IF(AND($L$711=0,$P$708=0),"",$L$711-1),IF($R$17="Distrato",$E1046,0)),MIN(AI$38,$D$19),$P$20))-SUM($P1046:AH1046)</f>
        <v>#VALUE!</v>
      </c>
      <c r="AJ1046" s="446" t="e">
        <f>IF(OR($B1046="",MIN(AJ$38,$D$19)&lt;MAX($P$708*($B1046+IF($R$17="Distrato",$I$38-1,0)),IF(AND($L$711=0,$P$708=0),"",$L$711-1),IF($R$17="Distrato",$E1046,0))),0,YEARFRAC(MAX($P$708*($B1046+IF($R$17="Distrato",$I$38-1,0)),IF(AND($L$711=0,$P$708=0),"",$L$711-1),IF($R$17="Distrato",$E1046,0)),MIN(AJ$38,$D$19),$P$20))-SUM($P1046:AI1046)</f>
        <v>#VALUE!</v>
      </c>
      <c r="AK1046" s="446" t="e">
        <f>IF(OR($B1046="",MIN(AK$38,$D$19)&lt;MAX($P$708*($B1046+IF($R$17="Distrato",$I$38-1,0)),IF(AND($L$711=0,$P$708=0),"",$L$711-1),IF($R$17="Distrato",$E1046,0))),0,YEARFRAC(MAX($P$708*($B1046+IF($R$17="Distrato",$I$38-1,0)),IF(AND($L$711=0,$P$708=0),"",$L$711-1),IF($R$17="Distrato",$E1046,0)),MIN(AK$38,$D$19),$P$20))-SUM($P1046:AJ1046)</f>
        <v>#VALUE!</v>
      </c>
      <c r="AL1046" s="446" t="e">
        <f>IF(OR($B1046="",MIN(AL$38,$D$19)&lt;MAX($P$708*($B1046+IF($R$17="Distrato",$I$38-1,0)),IF(AND($L$711=0,$P$708=0),"",$L$711-1),IF($R$17="Distrato",$E1046,0))),0,YEARFRAC(MAX($P$708*($B1046+IF($R$17="Distrato",$I$38-1,0)),IF(AND($L$711=0,$P$708=0),"",$L$711-1),IF($R$17="Distrato",$E1046,0)),MIN(AL$38,$D$19),$P$20))-SUM($P1046:AK1046)</f>
        <v>#VALUE!</v>
      </c>
      <c r="AM1046" s="446" t="e">
        <f>IF(OR($B1046="",MIN(AM$38,$D$19)&lt;MAX($P$708*($B1046+IF($R$17="Distrato",$I$38-1,0)),IF(AND($L$711=0,$P$708=0),"",$L$711-1),IF($R$17="Distrato",$E1046,0))),0,YEARFRAC(MAX($P$708*($B1046+IF($R$17="Distrato",$I$38-1,0)),IF(AND($L$711=0,$P$708=0),"",$L$711-1),IF($R$17="Distrato",$E1046,0)),MIN(AM$38,$D$19),$P$20))-SUM($P1046:AL1046)</f>
        <v>#VALUE!</v>
      </c>
      <c r="AN1046" s="446" t="e">
        <f>IF(OR($B1046="",MIN(AN$38,$D$19)&lt;MAX($P$708*($B1046+IF($R$17="Distrato",$I$38-1,0)),IF(AND($L$711=0,$P$708=0),"",$L$711-1),IF($R$17="Distrato",$E1046,0))),0,YEARFRAC(MAX($P$708*($B1046+IF($R$17="Distrato",$I$38-1,0)),IF(AND($L$711=0,$P$708=0),"",$L$711-1),IF($R$17="Distrato",$E1046,0)),MIN(AN$38,$D$19),$P$20))-SUM($P1046:AM1046)</f>
        <v>#VALUE!</v>
      </c>
      <c r="AO1046" s="446" t="e">
        <f>IF(OR($B1046="",MIN(AO$38,$D$19)&lt;MAX($P$708*($B1046+IF($R$17="Distrato",$I$38-1,0)),IF(AND($L$711=0,$P$708=0),"",$L$711-1),IF($R$17="Distrato",$E1046,0))),0,YEARFRAC(MAX($P$708*($B1046+IF($R$17="Distrato",$I$38-1,0)),IF(AND($L$711=0,$P$708=0),"",$L$711-1),IF($R$17="Distrato",$E1046,0)),MIN(AO$38,$D$19),$P$20))-SUM($P1046:AN1046)</f>
        <v>#VALUE!</v>
      </c>
      <c r="AP1046" s="446" t="e">
        <f>IF(OR($B1046="",MIN(AP$38,$D$19)&lt;MAX($P$708*($B1046+IF($R$17="Distrato",$I$38-1,0)),IF(AND($L$711=0,$P$708=0),"",$L$711-1),IF($R$17="Distrato",$E1046,0))),0,YEARFRAC(MAX($P$708*($B1046+IF($R$17="Distrato",$I$38-1,0)),IF(AND($L$711=0,$P$708=0),"",$L$711-1),IF($R$17="Distrato",$E1046,0)),MIN(AP$38,$D$19),$P$20))-SUM($P1046:AO1046)</f>
        <v>#VALUE!</v>
      </c>
      <c r="AQ1046" s="446" t="e">
        <f>IF(OR($B1046="",MIN(AQ$38,$D$19)&lt;MAX($P$708*($B1046+IF($R$17="Distrato",$I$38-1,0)),IF(AND($L$711=0,$P$708=0),"",$L$711-1),IF($R$17="Distrato",$E1046,0))),0,YEARFRAC(MAX($P$708*($B1046+IF($R$17="Distrato",$I$38-1,0)),IF(AND($L$711=0,$P$708=0),"",$L$711-1),IF($R$17="Distrato",$E1046,0)),MIN(AQ$38,$D$19),$P$20))-SUM($P1046:AP1046)</f>
        <v>#VALUE!</v>
      </c>
      <c r="AR1046" s="446" t="e">
        <f>IF(OR($B1046="",MIN(AR$38,$D$19)&lt;MAX($P$708*($B1046+IF($R$17="Distrato",$I$38-1,0)),IF(AND($L$711=0,$P$708=0),"",$L$711-1),IF($R$17="Distrato",$E1046,0))),0,YEARFRAC(MAX($P$708*($B1046+IF($R$17="Distrato",$I$38-1,0)),IF(AND($L$711=0,$P$708=0),"",$L$711-1),IF($R$17="Distrato",$E1046,0)),MIN(AR$38,$D$19),$P$20))-SUM($P1046:AQ1046)</f>
        <v>#VALUE!</v>
      </c>
      <c r="AS1046" s="446" t="e">
        <f>IF(OR($B1046="",MIN(AS$38,$D$19)&lt;MAX($P$708*($B1046+IF($R$17="Distrato",$I$38-1,0)),IF(AND($L$711=0,$P$708=0),"",$L$711-1),IF($R$17="Distrato",$E1046,0))),0,YEARFRAC(MAX($P$708*($B1046+IF($R$17="Distrato",$I$38-1,0)),IF(AND($L$711=0,$P$708=0),"",$L$711-1),IF($R$17="Distrato",$E1046,0)),MIN(AS$38,$D$19),$P$20))-SUM($P1046:AR1046)</f>
        <v>#VALUE!</v>
      </c>
      <c r="AT1046" s="446" t="e">
        <f>IF(OR($B1046="",MIN(AT$38,$D$19)&lt;MAX($P$708*($B1046+IF($R$17="Distrato",$I$38-1,0)),IF(AND($L$711=0,$P$708=0),"",$L$711-1),IF($R$17="Distrato",$E1046,0))),0,YEARFRAC(MAX($P$708*($B1046+IF($R$17="Distrato",$I$38-1,0)),IF(AND($L$711=0,$P$708=0),"",$L$711-1),IF($R$17="Distrato",$E1046,0)),MIN(AT$38,$D$19),$P$20))-SUM($P1046:AS1046)</f>
        <v>#VALUE!</v>
      </c>
      <c r="AU1046" s="446" t="e">
        <f>IF(OR($B1046="",MIN(AU$38,$D$19)&lt;MAX($P$708*($B1046+IF($R$17="Distrato",$I$38-1,0)),IF(AND($L$711=0,$P$708=0),"",$L$711-1),IF($R$17="Distrato",$E1046,0))),0,YEARFRAC(MAX($P$708*($B1046+IF($R$17="Distrato",$I$38-1,0)),IF(AND($L$711=0,$P$708=0),"",$L$711-1),IF($R$17="Distrato",$E1046,0)),MIN(AU$38,$D$19),$P$20))-SUM($P1046:AT1046)</f>
        <v>#VALUE!</v>
      </c>
      <c r="AV1046" s="446" t="e">
        <f>IF(OR($B1046="",MIN(AV$38,$D$19)&lt;MAX($P$708*($B1046+IF($R$17="Distrato",$I$38-1,0)),IF(AND($L$711=0,$P$708=0),"",$L$711-1),IF($R$17="Distrato",$E1046,0))),0,YEARFRAC(MAX($P$708*($B1046+IF($R$17="Distrato",$I$38-1,0)),IF(AND($L$711=0,$P$708=0),"",$L$711-1),IF($R$17="Distrato",$E1046,0)),MIN(AV$38,$D$19),$P$20))-SUM($P1046:AU1046)</f>
        <v>#VALUE!</v>
      </c>
      <c r="AW1046" s="446" t="e">
        <f>IF(OR($B1046="",MIN(AW$38,$D$19)&lt;MAX($P$708*($B1046+IF($R$17="Distrato",$I$38-1,0)),IF(AND($L$711=0,$P$708=0),"",$L$711-1),IF($R$17="Distrato",$E1046,0))),0,YEARFRAC(MAX($P$708*($B1046+IF($R$17="Distrato",$I$38-1,0)),IF(AND($L$711=0,$P$708=0),"",$L$711-1),IF($R$17="Distrato",$E1046,0)),MIN(AW$38,$D$19),$P$20))-SUM($P1046:AV1046)</f>
        <v>#VALUE!</v>
      </c>
      <c r="AX1046" s="446" t="e">
        <f>IF(OR($B1046="",MIN(AX$38,$D$19)&lt;MAX($P$708*($B1046+IF($R$17="Distrato",$I$38-1,0)),IF(AND($L$711=0,$P$708=0),"",$L$711-1),IF($R$17="Distrato",$E1046,0))),0,YEARFRAC(MAX($P$708*($B1046+IF($R$17="Distrato",$I$38-1,0)),IF(AND($L$711=0,$P$708=0),"",$L$711-1),IF($R$17="Distrato",$E1046,0)),MIN(AX$38,$D$19),$P$20))-SUM($P1046:AW1046)</f>
        <v>#VALUE!</v>
      </c>
      <c r="AY1046" s="446" t="e">
        <f>IF(OR($B1046="",MIN(AY$38,$D$19)&lt;MAX($P$708*($B1046+IF($R$17="Distrato",$I$38-1,0)),IF(AND($L$711=0,$P$708=0),"",$L$711-1),IF($R$17="Distrato",$E1046,0))),0,YEARFRAC(MAX($P$708*($B1046+IF($R$17="Distrato",$I$38-1,0)),IF(AND($L$711=0,$P$708=0),"",$L$711-1),IF($R$17="Distrato",$E1046,0)),MIN(AY$38,$D$19),$P$20))-SUM($P1046:AX1046)</f>
        <v>#VALUE!</v>
      </c>
      <c r="AZ1046" s="446" t="e">
        <f>IF(OR($B1046="",MIN(AZ$38,$D$19)&lt;MAX($P$708*($B1046+IF($R$17="Distrato",$I$38-1,0)),IF(AND($L$711=0,$P$708=0),"",$L$711-1),IF($R$17="Distrato",$E1046,0))),0,YEARFRAC(MAX($P$708*($B1046+IF($R$17="Distrato",$I$38-1,0)),IF(AND($L$711=0,$P$708=0),"",$L$711-1),IF($R$17="Distrato",$E1046,0)),MIN(AZ$38,$D$19),$P$20))-SUM($P1046:AY1046)</f>
        <v>#VALUE!</v>
      </c>
      <c r="BA1046" s="446" t="e">
        <f>IF(OR($B1046="",MIN(BA$38,$D$19)&lt;MAX($P$708*($B1046+IF($R$17="Distrato",$I$38-1,0)),IF(AND($L$711=0,$P$708=0),"",$L$711-1),IF($R$17="Distrato",$E1046,0))),0,YEARFRAC(MAX($P$708*($B1046+IF($R$17="Distrato",$I$38-1,0)),IF(AND($L$711=0,$P$708=0),"",$L$711-1),IF($R$17="Distrato",$E1046,0)),MIN(BA$38,$D$19),$P$20))-SUM($P1046:AZ1046)</f>
        <v>#VALUE!</v>
      </c>
      <c r="BB1046" s="447"/>
    </row>
    <row r="1047" spans="1:54" s="446" customFormat="1" ht="11.25" hidden="1" customHeight="1" x14ac:dyDescent="0.2">
      <c r="A1047" s="235"/>
      <c r="B1047" s="236"/>
      <c r="C1047" s="29" t="str">
        <f>IF(B1047="","",IF($L$709=$BL$25,VLOOKUP(DATE(YEAR($D$19),MONTH($D$19)-1,1),ÍNDICES!$A:$DE,HLOOKUP($BL$25,ÍNDICES!$B$3:$T$4,2)+11)-VLOOKUP(B1047,ÍNDICES!$A:$DE,HLOOKUP($BL$25,ÍNDICES!$B$3:$T$4,2)+11)+1%,IF(C$712=$W$26,$J$35,IF(ISERROR(IF(B1047&gt;$D$19,1,VLOOKUP(DATE(YEAR(B1047),MONTH(B1047)+IF($C$709=$S$23,1,0),1),ÍNDICES!$A:$DE,$Z$709+1))),"",IF(B1047&gt;$D$19,1,VLOOKUP(DATE(YEAR(B1047),MONTH(B1047)+IF($C$709=$S$23,1,0),1),ÍNDICES!$A:$DE,$Z$709+1))))))</f>
        <v/>
      </c>
      <c r="D1047" s="155"/>
      <c r="E1047" s="88"/>
      <c r="F1047" s="88"/>
      <c r="G1047" s="88"/>
      <c r="H1047" s="118"/>
      <c r="I1047" s="182">
        <f t="shared" si="150"/>
        <v>0</v>
      </c>
      <c r="J1047" s="20">
        <f t="shared" ca="1" si="151"/>
        <v>0</v>
      </c>
      <c r="K1047" s="5">
        <f t="shared" ca="1" si="152"/>
        <v>0</v>
      </c>
      <c r="L1047" s="61">
        <f t="shared" ca="1" si="153"/>
        <v>0</v>
      </c>
      <c r="M1047" s="64">
        <f t="shared" si="154"/>
        <v>0</v>
      </c>
      <c r="N1047" s="151"/>
      <c r="O1047" s="5">
        <f t="shared" ca="1" si="155"/>
        <v>0</v>
      </c>
      <c r="P1047" s="446" t="e">
        <f t="shared" si="156"/>
        <v>#VALUE!</v>
      </c>
      <c r="Q1047" s="446" t="e">
        <f>IF(OR($B1047="",MIN(Q$38,$D$19)&lt;MAX($P$708*($B1047+IF($R$17="Distrato",$I$38-1,0)),IF(AND($L$711=0,$P$708=0),"",$L$711-1),IF($R$17="Distrato",$E1047,0))),0,YEARFRAC(MAX($P$708*($B1047+IF($R$17="Distrato",$I$38-1,0)),IF(AND($L$711=0,$P$708=0),"",$L$711-1),IF($R$17="Distrato",$E1047,0)),MIN(Q$38,$D$19),$P$20))-SUM($P1047:P1047)</f>
        <v>#VALUE!</v>
      </c>
      <c r="R1047" s="446" t="e">
        <f>IF(OR($B1047="",MIN(R$38,$D$19)&lt;MAX($P$708*($B1047+IF($R$17="Distrato",$I$38-1,0)),IF(AND($L$711=0,$P$708=0),"",$L$711-1),IF($R$17="Distrato",$E1047,0))),0,YEARFRAC(MAX($P$708*($B1047+IF($R$17="Distrato",$I$38-1,0)),IF(AND($L$711=0,$P$708=0),"",$L$711-1),IF($R$17="Distrato",$E1047,0)),MIN(R$38,$D$19),$P$20))-SUM($P1047:Q1047)</f>
        <v>#VALUE!</v>
      </c>
      <c r="S1047" s="446" t="e">
        <f>IF(OR($B1047="",MIN(S$38,$D$19)&lt;MAX($P$708*($B1047+IF($R$17="Distrato",$I$38-1,0)),IF(AND($L$711=0,$P$708=0),"",$L$711-1),IF($R$17="Distrato",$E1047,0))),0,YEARFRAC(MAX($P$708*($B1047+IF($R$17="Distrato",$I$38-1,0)),IF(AND($L$711=0,$P$708=0),"",$L$711-1),IF($R$17="Distrato",$E1047,0)),MIN(S$38,$D$19),$P$20))-SUM($P1047:R1047)</f>
        <v>#VALUE!</v>
      </c>
      <c r="T1047" s="446" t="e">
        <f>IF(OR($B1047="",MIN(T$38,$D$19)&lt;MAX($P$708*($B1047+IF($R$17="Distrato",$I$38-1,0)),IF(AND($L$711=0,$P$708=0),"",$L$711-1),IF($R$17="Distrato",$E1047,0))),0,YEARFRAC(MAX($P$708*($B1047+IF($R$17="Distrato",$I$38-1,0)),IF(AND($L$711=0,$P$708=0),"",$L$711-1),IF($R$17="Distrato",$E1047,0)),MIN(T$38,$D$19),$P$20))-SUM($P1047:S1047)</f>
        <v>#VALUE!</v>
      </c>
      <c r="U1047" s="446" t="e">
        <f>IF(OR($B1047="",MIN(U$38,$D$19)&lt;MAX($P$708*($B1047+IF($R$17="Distrato",$I$38-1,0)),IF(AND($L$711=0,$P$708=0),"",$L$711-1),IF($R$17="Distrato",$E1047,0))),0,YEARFRAC(MAX($P$708*($B1047+IF($R$17="Distrato",$I$38-1,0)),IF(AND($L$711=0,$P$708=0),"",$L$711-1),IF($R$17="Distrato",$E1047,0)),MIN(U$38,$D$19),$P$20))-SUM($P1047:T1047)</f>
        <v>#VALUE!</v>
      </c>
      <c r="V1047" s="446" t="e">
        <f>IF(OR($B1047="",MIN(V$38,$D$19)&lt;MAX($P$708*($B1047+IF($R$17="Distrato",$I$38-1,0)),IF(AND($L$711=0,$P$708=0),"",$L$711-1),IF($R$17="Distrato",$E1047,0))),0,YEARFRAC(MAX($P$708*($B1047+IF($R$17="Distrato",$I$38-1,0)),IF(AND($L$711=0,$P$708=0),"",$L$711-1),IF($R$17="Distrato",$E1047,0)),MIN(V$38,$D$19),$P$20))-SUM($P1047:U1047)</f>
        <v>#VALUE!</v>
      </c>
      <c r="W1047" s="446" t="e">
        <f>IF(OR($B1047="",MIN(W$38,$D$19)&lt;MAX($P$708*($B1047+IF($R$17="Distrato",$I$38-1,0)),IF(AND($L$711=0,$P$708=0),"",$L$711-1),IF($R$17="Distrato",$E1047,0))),0,YEARFRAC(MAX($P$708*($B1047+IF($R$17="Distrato",$I$38-1,0)),IF(AND($L$711=0,$P$708=0),"",$L$711-1),IF($R$17="Distrato",$E1047,0)),MIN(W$38,$D$19),$P$20))-SUM($P1047:V1047)</f>
        <v>#VALUE!</v>
      </c>
      <c r="X1047" s="446" t="e">
        <f>IF(OR($B1047="",MIN(X$38,$D$19)&lt;MAX($P$708*($B1047+IF($R$17="Distrato",$I$38-1,0)),IF(AND($L$711=0,$P$708=0),"",$L$711-1),IF($R$17="Distrato",$E1047,0))),0,YEARFRAC(MAX($P$708*($B1047+IF($R$17="Distrato",$I$38-1,0)),IF(AND($L$711=0,$P$708=0),"",$L$711-1),IF($R$17="Distrato",$E1047,0)),MIN(X$38,$D$19),$P$20))-SUM($P1047:W1047)</f>
        <v>#VALUE!</v>
      </c>
      <c r="Y1047" s="446" t="e">
        <f>IF(OR($B1047="",MIN(Y$38,$D$19)&lt;MAX($P$708*($B1047+IF($R$17="Distrato",$I$38-1,0)),IF(AND($L$711=0,$P$708=0),"",$L$711-1),IF($R$17="Distrato",$E1047,0))),0,YEARFRAC(MAX($P$708*($B1047+IF($R$17="Distrato",$I$38-1,0)),IF(AND($L$711=0,$P$708=0),"",$L$711-1),IF($R$17="Distrato",$E1047,0)),MIN(Y$38,$D$19),$P$20))-SUM($P1047:X1047)</f>
        <v>#VALUE!</v>
      </c>
      <c r="Z1047" s="446" t="e">
        <f>IF(OR($B1047="",MIN(Z$38,$D$19)&lt;MAX($P$708*($B1047+IF($R$17="Distrato",$I$38-1,0)),IF(AND($L$711=0,$P$708=0),"",$L$711-1),IF($R$17="Distrato",$E1047,0))),0,YEARFRAC(MAX($P$708*($B1047+IF($R$17="Distrato",$I$38-1,0)),IF(AND($L$711=0,$P$708=0),"",$L$711-1),IF($R$17="Distrato",$E1047,0)),MIN(Z$38,$D$19),$P$20))-SUM($P1047:Y1047)</f>
        <v>#VALUE!</v>
      </c>
      <c r="AA1047" s="446" t="e">
        <f>IF(OR($B1047="",MIN(AA$38,$D$19)&lt;MAX($P$708*($B1047+IF($R$17="Distrato",$I$38-1,0)),IF(AND($L$711=0,$P$708=0),"",$L$711-1),IF($R$17="Distrato",$E1047,0))),0,YEARFRAC(MAX($P$708*($B1047+IF($R$17="Distrato",$I$38-1,0)),IF(AND($L$711=0,$P$708=0),"",$L$711-1),IF($R$17="Distrato",$E1047,0)),MIN(AA$38,$D$19),$P$20))-SUM($P1047:Z1047)</f>
        <v>#VALUE!</v>
      </c>
      <c r="AB1047" s="446" t="e">
        <f>IF(OR($B1047="",MIN(AB$38,$D$19)&lt;MAX($P$708*($B1047+IF($R$17="Distrato",$I$38-1,0)),IF(AND($L$711=0,$P$708=0),"",$L$711-1),IF($R$17="Distrato",$E1047,0))),0,YEARFRAC(MAX($P$708*($B1047+IF($R$17="Distrato",$I$38-1,0)),IF(AND($L$711=0,$P$708=0),"",$L$711-1),IF($R$17="Distrato",$E1047,0)),MIN(AB$38,$D$19),$P$20))-SUM($P1047:AA1047)</f>
        <v>#VALUE!</v>
      </c>
      <c r="AC1047" s="446" t="e">
        <f>IF(OR($B1047="",MIN(AC$38,$D$19)&lt;MAX($P$708*($B1047+IF($R$17="Distrato",$I$38-1,0)),IF(AND($L$711=0,$P$708=0),"",$L$711-1),IF($R$17="Distrato",$E1047,0))),0,YEARFRAC(MAX($P$708*($B1047+IF($R$17="Distrato",$I$38-1,0)),IF(AND($L$711=0,$P$708=0),"",$L$711-1),IF($R$17="Distrato",$E1047,0)),MIN(AC$38,$D$19),$P$20))-SUM($P1047:AB1047)</f>
        <v>#VALUE!</v>
      </c>
      <c r="AD1047" s="446" t="e">
        <f>IF(OR($B1047="",MIN(AD$38,$D$19)&lt;MAX($P$708*($B1047+IF($R$17="Distrato",$I$38-1,0)),IF(AND($L$711=0,$P$708=0),"",$L$711-1),IF($R$17="Distrato",$E1047,0))),0,YEARFRAC(MAX($P$708*($B1047+IF($R$17="Distrato",$I$38-1,0)),IF(AND($L$711=0,$P$708=0),"",$L$711-1),IF($R$17="Distrato",$E1047,0)),MIN(AD$38,$D$19),$P$20))-SUM($P1047:AC1047)</f>
        <v>#VALUE!</v>
      </c>
      <c r="AE1047" s="446" t="e">
        <f>IF(OR($B1047="",MIN(AE$38,$D$19)&lt;MAX($P$708*($B1047+IF($R$17="Distrato",$I$38-1,0)),IF(AND($L$711=0,$P$708=0),"",$L$711-1),IF($R$17="Distrato",$E1047,0))),0,YEARFRAC(MAX($P$708*($B1047+IF($R$17="Distrato",$I$38-1,0)),IF(AND($L$711=0,$P$708=0),"",$L$711-1),IF($R$17="Distrato",$E1047,0)),MIN(AE$38,$D$19),$P$20))-SUM($P1047:AD1047)</f>
        <v>#VALUE!</v>
      </c>
      <c r="AF1047" s="446" t="e">
        <f>IF(OR($B1047="",MIN(AF$38,$D$19)&lt;MAX($P$708*($B1047+IF($R$17="Distrato",$I$38-1,0)),IF(AND($L$711=0,$P$708=0),"",$L$711-1),IF($R$17="Distrato",$E1047,0))),0,YEARFRAC(MAX($P$708*($B1047+IF($R$17="Distrato",$I$38-1,0)),IF(AND($L$711=0,$P$708=0),"",$L$711-1),IF($R$17="Distrato",$E1047,0)),MIN(AF$38,$D$19),$P$20))-SUM($P1047:AE1047)</f>
        <v>#VALUE!</v>
      </c>
      <c r="AG1047" s="446" t="e">
        <f>IF(OR($B1047="",MIN(AG$38,$D$19)&lt;MAX($P$708*($B1047+IF($R$17="Distrato",$I$38-1,0)),IF(AND($L$711=0,$P$708=0),"",$L$711-1),IF($R$17="Distrato",$E1047,0))),0,YEARFRAC(MAX($P$708*($B1047+IF($R$17="Distrato",$I$38-1,0)),IF(AND($L$711=0,$P$708=0),"",$L$711-1),IF($R$17="Distrato",$E1047,0)),MIN(AG$38,$D$19),$P$20))-SUM($P1047:AF1047)</f>
        <v>#VALUE!</v>
      </c>
      <c r="AH1047" s="446" t="e">
        <f>IF(OR($B1047="",MIN(AH$38,$D$19)&lt;MAX($P$708*($B1047+IF($R$17="Distrato",$I$38-1,0)),IF(AND($L$711=0,$P$708=0),"",$L$711-1),IF($R$17="Distrato",$E1047,0))),0,YEARFRAC(MAX($P$708*($B1047+IF($R$17="Distrato",$I$38-1,0)),IF(AND($L$711=0,$P$708=0),"",$L$711-1),IF($R$17="Distrato",$E1047,0)),MIN(AH$38,$D$19),$P$20))-SUM($P1047:AG1047)</f>
        <v>#VALUE!</v>
      </c>
      <c r="AI1047" s="446" t="e">
        <f>IF(OR($B1047="",MIN(AI$38,$D$19)&lt;MAX($P$708*($B1047+IF($R$17="Distrato",$I$38-1,0)),IF(AND($L$711=0,$P$708=0),"",$L$711-1),IF($R$17="Distrato",$E1047,0))),0,YEARFRAC(MAX($P$708*($B1047+IF($R$17="Distrato",$I$38-1,0)),IF(AND($L$711=0,$P$708=0),"",$L$711-1),IF($R$17="Distrato",$E1047,0)),MIN(AI$38,$D$19),$P$20))-SUM($P1047:AH1047)</f>
        <v>#VALUE!</v>
      </c>
      <c r="AJ1047" s="446" t="e">
        <f>IF(OR($B1047="",MIN(AJ$38,$D$19)&lt;MAX($P$708*($B1047+IF($R$17="Distrato",$I$38-1,0)),IF(AND($L$711=0,$P$708=0),"",$L$711-1),IF($R$17="Distrato",$E1047,0))),0,YEARFRAC(MAX($P$708*($B1047+IF($R$17="Distrato",$I$38-1,0)),IF(AND($L$711=0,$P$708=0),"",$L$711-1),IF($R$17="Distrato",$E1047,0)),MIN(AJ$38,$D$19),$P$20))-SUM($P1047:AI1047)</f>
        <v>#VALUE!</v>
      </c>
      <c r="AK1047" s="446" t="e">
        <f>IF(OR($B1047="",MIN(AK$38,$D$19)&lt;MAX($P$708*($B1047+IF($R$17="Distrato",$I$38-1,0)),IF(AND($L$711=0,$P$708=0),"",$L$711-1),IF($R$17="Distrato",$E1047,0))),0,YEARFRAC(MAX($P$708*($B1047+IF($R$17="Distrato",$I$38-1,0)),IF(AND($L$711=0,$P$708=0),"",$L$711-1),IF($R$17="Distrato",$E1047,0)),MIN(AK$38,$D$19),$P$20))-SUM($P1047:AJ1047)</f>
        <v>#VALUE!</v>
      </c>
      <c r="AL1047" s="446" t="e">
        <f>IF(OR($B1047="",MIN(AL$38,$D$19)&lt;MAX($P$708*($B1047+IF($R$17="Distrato",$I$38-1,0)),IF(AND($L$711=0,$P$708=0),"",$L$711-1),IF($R$17="Distrato",$E1047,0))),0,YEARFRAC(MAX($P$708*($B1047+IF($R$17="Distrato",$I$38-1,0)),IF(AND($L$711=0,$P$708=0),"",$L$711-1),IF($R$17="Distrato",$E1047,0)),MIN(AL$38,$D$19),$P$20))-SUM($P1047:AK1047)</f>
        <v>#VALUE!</v>
      </c>
      <c r="AM1047" s="446" t="e">
        <f>IF(OR($B1047="",MIN(AM$38,$D$19)&lt;MAX($P$708*($B1047+IF($R$17="Distrato",$I$38-1,0)),IF(AND($L$711=0,$P$708=0),"",$L$711-1),IF($R$17="Distrato",$E1047,0))),0,YEARFRAC(MAX($P$708*($B1047+IF($R$17="Distrato",$I$38-1,0)),IF(AND($L$711=0,$P$708=0),"",$L$711-1),IF($R$17="Distrato",$E1047,0)),MIN(AM$38,$D$19),$P$20))-SUM($P1047:AL1047)</f>
        <v>#VALUE!</v>
      </c>
      <c r="AN1047" s="446" t="e">
        <f>IF(OR($B1047="",MIN(AN$38,$D$19)&lt;MAX($P$708*($B1047+IF($R$17="Distrato",$I$38-1,0)),IF(AND($L$711=0,$P$708=0),"",$L$711-1),IF($R$17="Distrato",$E1047,0))),0,YEARFRAC(MAX($P$708*($B1047+IF($R$17="Distrato",$I$38-1,0)),IF(AND($L$711=0,$P$708=0),"",$L$711-1),IF($R$17="Distrato",$E1047,0)),MIN(AN$38,$D$19),$P$20))-SUM($P1047:AM1047)</f>
        <v>#VALUE!</v>
      </c>
      <c r="AO1047" s="446" t="e">
        <f>IF(OR($B1047="",MIN(AO$38,$D$19)&lt;MAX($P$708*($B1047+IF($R$17="Distrato",$I$38-1,0)),IF(AND($L$711=0,$P$708=0),"",$L$711-1),IF($R$17="Distrato",$E1047,0))),0,YEARFRAC(MAX($P$708*($B1047+IF($R$17="Distrato",$I$38-1,0)),IF(AND($L$711=0,$P$708=0),"",$L$711-1),IF($R$17="Distrato",$E1047,0)),MIN(AO$38,$D$19),$P$20))-SUM($P1047:AN1047)</f>
        <v>#VALUE!</v>
      </c>
      <c r="AP1047" s="446" t="e">
        <f>IF(OR($B1047="",MIN(AP$38,$D$19)&lt;MAX($P$708*($B1047+IF($R$17="Distrato",$I$38-1,0)),IF(AND($L$711=0,$P$708=0),"",$L$711-1),IF($R$17="Distrato",$E1047,0))),0,YEARFRAC(MAX($P$708*($B1047+IF($R$17="Distrato",$I$38-1,0)),IF(AND($L$711=0,$P$708=0),"",$L$711-1),IF($R$17="Distrato",$E1047,0)),MIN(AP$38,$D$19),$P$20))-SUM($P1047:AO1047)</f>
        <v>#VALUE!</v>
      </c>
      <c r="AQ1047" s="446" t="e">
        <f>IF(OR($B1047="",MIN(AQ$38,$D$19)&lt;MAX($P$708*($B1047+IF($R$17="Distrato",$I$38-1,0)),IF(AND($L$711=0,$P$708=0),"",$L$711-1),IF($R$17="Distrato",$E1047,0))),0,YEARFRAC(MAX($P$708*($B1047+IF($R$17="Distrato",$I$38-1,0)),IF(AND($L$711=0,$P$708=0),"",$L$711-1),IF($R$17="Distrato",$E1047,0)),MIN(AQ$38,$D$19),$P$20))-SUM($P1047:AP1047)</f>
        <v>#VALUE!</v>
      </c>
      <c r="AR1047" s="446" t="e">
        <f>IF(OR($B1047="",MIN(AR$38,$D$19)&lt;MAX($P$708*($B1047+IF($R$17="Distrato",$I$38-1,0)),IF(AND($L$711=0,$P$708=0),"",$L$711-1),IF($R$17="Distrato",$E1047,0))),0,YEARFRAC(MAX($P$708*($B1047+IF($R$17="Distrato",$I$38-1,0)),IF(AND($L$711=0,$P$708=0),"",$L$711-1),IF($R$17="Distrato",$E1047,0)),MIN(AR$38,$D$19),$P$20))-SUM($P1047:AQ1047)</f>
        <v>#VALUE!</v>
      </c>
      <c r="AS1047" s="446" t="e">
        <f>IF(OR($B1047="",MIN(AS$38,$D$19)&lt;MAX($P$708*($B1047+IF($R$17="Distrato",$I$38-1,0)),IF(AND($L$711=0,$P$708=0),"",$L$711-1),IF($R$17="Distrato",$E1047,0))),0,YEARFRAC(MAX($P$708*($B1047+IF($R$17="Distrato",$I$38-1,0)),IF(AND($L$711=0,$P$708=0),"",$L$711-1),IF($R$17="Distrato",$E1047,0)),MIN(AS$38,$D$19),$P$20))-SUM($P1047:AR1047)</f>
        <v>#VALUE!</v>
      </c>
      <c r="AT1047" s="446" t="e">
        <f>IF(OR($B1047="",MIN(AT$38,$D$19)&lt;MAX($P$708*($B1047+IF($R$17="Distrato",$I$38-1,0)),IF(AND($L$711=0,$P$708=0),"",$L$711-1),IF($R$17="Distrato",$E1047,0))),0,YEARFRAC(MAX($P$708*($B1047+IF($R$17="Distrato",$I$38-1,0)),IF(AND($L$711=0,$P$708=0),"",$L$711-1),IF($R$17="Distrato",$E1047,0)),MIN(AT$38,$D$19),$P$20))-SUM($P1047:AS1047)</f>
        <v>#VALUE!</v>
      </c>
      <c r="AU1047" s="446" t="e">
        <f>IF(OR($B1047="",MIN(AU$38,$D$19)&lt;MAX($P$708*($B1047+IF($R$17="Distrato",$I$38-1,0)),IF(AND($L$711=0,$P$708=0),"",$L$711-1),IF($R$17="Distrato",$E1047,0))),0,YEARFRAC(MAX($P$708*($B1047+IF($R$17="Distrato",$I$38-1,0)),IF(AND($L$711=0,$P$708=0),"",$L$711-1),IF($R$17="Distrato",$E1047,0)),MIN(AU$38,$D$19),$P$20))-SUM($P1047:AT1047)</f>
        <v>#VALUE!</v>
      </c>
      <c r="AV1047" s="446" t="e">
        <f>IF(OR($B1047="",MIN(AV$38,$D$19)&lt;MAX($P$708*($B1047+IF($R$17="Distrato",$I$38-1,0)),IF(AND($L$711=0,$P$708=0),"",$L$711-1),IF($R$17="Distrato",$E1047,0))),0,YEARFRAC(MAX($P$708*($B1047+IF($R$17="Distrato",$I$38-1,0)),IF(AND($L$711=0,$P$708=0),"",$L$711-1),IF($R$17="Distrato",$E1047,0)),MIN(AV$38,$D$19),$P$20))-SUM($P1047:AU1047)</f>
        <v>#VALUE!</v>
      </c>
      <c r="AW1047" s="446" t="e">
        <f>IF(OR($B1047="",MIN(AW$38,$D$19)&lt;MAX($P$708*($B1047+IF($R$17="Distrato",$I$38-1,0)),IF(AND($L$711=0,$P$708=0),"",$L$711-1),IF($R$17="Distrato",$E1047,0))),0,YEARFRAC(MAX($P$708*($B1047+IF($R$17="Distrato",$I$38-1,0)),IF(AND($L$711=0,$P$708=0),"",$L$711-1),IF($R$17="Distrato",$E1047,0)),MIN(AW$38,$D$19),$P$20))-SUM($P1047:AV1047)</f>
        <v>#VALUE!</v>
      </c>
      <c r="AX1047" s="446" t="e">
        <f>IF(OR($B1047="",MIN(AX$38,$D$19)&lt;MAX($P$708*($B1047+IF($R$17="Distrato",$I$38-1,0)),IF(AND($L$711=0,$P$708=0),"",$L$711-1),IF($R$17="Distrato",$E1047,0))),0,YEARFRAC(MAX($P$708*($B1047+IF($R$17="Distrato",$I$38-1,0)),IF(AND($L$711=0,$P$708=0),"",$L$711-1),IF($R$17="Distrato",$E1047,0)),MIN(AX$38,$D$19),$P$20))-SUM($P1047:AW1047)</f>
        <v>#VALUE!</v>
      </c>
      <c r="AY1047" s="446" t="e">
        <f>IF(OR($B1047="",MIN(AY$38,$D$19)&lt;MAX($P$708*($B1047+IF($R$17="Distrato",$I$38-1,0)),IF(AND($L$711=0,$P$708=0),"",$L$711-1),IF($R$17="Distrato",$E1047,0))),0,YEARFRAC(MAX($P$708*($B1047+IF($R$17="Distrato",$I$38-1,0)),IF(AND($L$711=0,$P$708=0),"",$L$711-1),IF($R$17="Distrato",$E1047,0)),MIN(AY$38,$D$19),$P$20))-SUM($P1047:AX1047)</f>
        <v>#VALUE!</v>
      </c>
      <c r="AZ1047" s="446" t="e">
        <f>IF(OR($B1047="",MIN(AZ$38,$D$19)&lt;MAX($P$708*($B1047+IF($R$17="Distrato",$I$38-1,0)),IF(AND($L$711=0,$P$708=0),"",$L$711-1),IF($R$17="Distrato",$E1047,0))),0,YEARFRAC(MAX($P$708*($B1047+IF($R$17="Distrato",$I$38-1,0)),IF(AND($L$711=0,$P$708=0),"",$L$711-1),IF($R$17="Distrato",$E1047,0)),MIN(AZ$38,$D$19),$P$20))-SUM($P1047:AY1047)</f>
        <v>#VALUE!</v>
      </c>
      <c r="BA1047" s="446" t="e">
        <f>IF(OR($B1047="",MIN(BA$38,$D$19)&lt;MAX($P$708*($B1047+IF($R$17="Distrato",$I$38-1,0)),IF(AND($L$711=0,$P$708=0),"",$L$711-1),IF($R$17="Distrato",$E1047,0))),0,YEARFRAC(MAX($P$708*($B1047+IF($R$17="Distrato",$I$38-1,0)),IF(AND($L$711=0,$P$708=0),"",$L$711-1),IF($R$17="Distrato",$E1047,0)),MIN(BA$38,$D$19),$P$20))-SUM($P1047:AZ1047)</f>
        <v>#VALUE!</v>
      </c>
      <c r="BB1047" s="447"/>
    </row>
    <row r="1048" spans="1:54" s="446" customFormat="1" ht="11.25" hidden="1" customHeight="1" x14ac:dyDescent="0.2">
      <c r="A1048" s="235"/>
      <c r="B1048" s="236"/>
      <c r="C1048" s="29" t="str">
        <f>IF(B1048="","",IF($L$709=$BL$25,VLOOKUP(DATE(YEAR($D$19),MONTH($D$19)-1,1),ÍNDICES!$A:$DE,HLOOKUP($BL$25,ÍNDICES!$B$3:$T$4,2)+11)-VLOOKUP(B1048,ÍNDICES!$A:$DE,HLOOKUP($BL$25,ÍNDICES!$B$3:$T$4,2)+11)+1%,IF(C$712=$W$26,$J$35,IF(ISERROR(IF(B1048&gt;$D$19,1,VLOOKUP(DATE(YEAR(B1048),MONTH(B1048)+IF($C$709=$S$23,1,0),1),ÍNDICES!$A:$DE,$Z$709+1))),"",IF(B1048&gt;$D$19,1,VLOOKUP(DATE(YEAR(B1048),MONTH(B1048)+IF($C$709=$S$23,1,0),1),ÍNDICES!$A:$DE,$Z$709+1))))))</f>
        <v/>
      </c>
      <c r="D1048" s="155"/>
      <c r="E1048" s="88"/>
      <c r="F1048" s="88"/>
      <c r="G1048" s="88"/>
      <c r="H1048" s="118"/>
      <c r="I1048" s="182">
        <f t="shared" si="150"/>
        <v>0</v>
      </c>
      <c r="J1048" s="20">
        <f t="shared" ca="1" si="151"/>
        <v>0</v>
      </c>
      <c r="K1048" s="5">
        <f t="shared" ca="1" si="152"/>
        <v>0</v>
      </c>
      <c r="L1048" s="61">
        <f t="shared" ca="1" si="153"/>
        <v>0</v>
      </c>
      <c r="M1048" s="64">
        <f t="shared" si="154"/>
        <v>0</v>
      </c>
      <c r="N1048" s="151"/>
      <c r="O1048" s="5">
        <f t="shared" ca="1" si="155"/>
        <v>0</v>
      </c>
      <c r="P1048" s="446" t="e">
        <f t="shared" si="156"/>
        <v>#VALUE!</v>
      </c>
      <c r="Q1048" s="446" t="e">
        <f>IF(OR($B1048="",MIN(Q$38,$D$19)&lt;MAX($P$708*($B1048+IF($R$17="Distrato",$I$38-1,0)),IF(AND($L$711=0,$P$708=0),"",$L$711-1),IF($R$17="Distrato",$E1048,0))),0,YEARFRAC(MAX($P$708*($B1048+IF($R$17="Distrato",$I$38-1,0)),IF(AND($L$711=0,$P$708=0),"",$L$711-1),IF($R$17="Distrato",$E1048,0)),MIN(Q$38,$D$19),$P$20))-SUM($P1048:P1048)</f>
        <v>#VALUE!</v>
      </c>
      <c r="R1048" s="446" t="e">
        <f>IF(OR($B1048="",MIN(R$38,$D$19)&lt;MAX($P$708*($B1048+IF($R$17="Distrato",$I$38-1,0)),IF(AND($L$711=0,$P$708=0),"",$L$711-1),IF($R$17="Distrato",$E1048,0))),0,YEARFRAC(MAX($P$708*($B1048+IF($R$17="Distrato",$I$38-1,0)),IF(AND($L$711=0,$P$708=0),"",$L$711-1),IF($R$17="Distrato",$E1048,0)),MIN(R$38,$D$19),$P$20))-SUM($P1048:Q1048)</f>
        <v>#VALUE!</v>
      </c>
      <c r="S1048" s="446" t="e">
        <f>IF(OR($B1048="",MIN(S$38,$D$19)&lt;MAX($P$708*($B1048+IF($R$17="Distrato",$I$38-1,0)),IF(AND($L$711=0,$P$708=0),"",$L$711-1),IF($R$17="Distrato",$E1048,0))),0,YEARFRAC(MAX($P$708*($B1048+IF($R$17="Distrato",$I$38-1,0)),IF(AND($L$711=0,$P$708=0),"",$L$711-1),IF($R$17="Distrato",$E1048,0)),MIN(S$38,$D$19),$P$20))-SUM($P1048:R1048)</f>
        <v>#VALUE!</v>
      </c>
      <c r="T1048" s="446" t="e">
        <f>IF(OR($B1048="",MIN(T$38,$D$19)&lt;MAX($P$708*($B1048+IF($R$17="Distrato",$I$38-1,0)),IF(AND($L$711=0,$P$708=0),"",$L$711-1),IF($R$17="Distrato",$E1048,0))),0,YEARFRAC(MAX($P$708*($B1048+IF($R$17="Distrato",$I$38-1,0)),IF(AND($L$711=0,$P$708=0),"",$L$711-1),IF($R$17="Distrato",$E1048,0)),MIN(T$38,$D$19),$P$20))-SUM($P1048:S1048)</f>
        <v>#VALUE!</v>
      </c>
      <c r="U1048" s="446" t="e">
        <f>IF(OR($B1048="",MIN(U$38,$D$19)&lt;MAX($P$708*($B1048+IF($R$17="Distrato",$I$38-1,0)),IF(AND($L$711=0,$P$708=0),"",$L$711-1),IF($R$17="Distrato",$E1048,0))),0,YEARFRAC(MAX($P$708*($B1048+IF($R$17="Distrato",$I$38-1,0)),IF(AND($L$711=0,$P$708=0),"",$L$711-1),IF($R$17="Distrato",$E1048,0)),MIN(U$38,$D$19),$P$20))-SUM($P1048:T1048)</f>
        <v>#VALUE!</v>
      </c>
      <c r="V1048" s="446" t="e">
        <f>IF(OR($B1048="",MIN(V$38,$D$19)&lt;MAX($P$708*($B1048+IF($R$17="Distrato",$I$38-1,0)),IF(AND($L$711=0,$P$708=0),"",$L$711-1),IF($R$17="Distrato",$E1048,0))),0,YEARFRAC(MAX($P$708*($B1048+IF($R$17="Distrato",$I$38-1,0)),IF(AND($L$711=0,$P$708=0),"",$L$711-1),IF($R$17="Distrato",$E1048,0)),MIN(V$38,$D$19),$P$20))-SUM($P1048:U1048)</f>
        <v>#VALUE!</v>
      </c>
      <c r="W1048" s="446" t="e">
        <f>IF(OR($B1048="",MIN(W$38,$D$19)&lt;MAX($P$708*($B1048+IF($R$17="Distrato",$I$38-1,0)),IF(AND($L$711=0,$P$708=0),"",$L$711-1),IF($R$17="Distrato",$E1048,0))),0,YEARFRAC(MAX($P$708*($B1048+IF($R$17="Distrato",$I$38-1,0)),IF(AND($L$711=0,$P$708=0),"",$L$711-1),IF($R$17="Distrato",$E1048,0)),MIN(W$38,$D$19),$P$20))-SUM($P1048:V1048)</f>
        <v>#VALUE!</v>
      </c>
      <c r="X1048" s="446" t="e">
        <f>IF(OR($B1048="",MIN(X$38,$D$19)&lt;MAX($P$708*($B1048+IF($R$17="Distrato",$I$38-1,0)),IF(AND($L$711=0,$P$708=0),"",$L$711-1),IF($R$17="Distrato",$E1048,0))),0,YEARFRAC(MAX($P$708*($B1048+IF($R$17="Distrato",$I$38-1,0)),IF(AND($L$711=0,$P$708=0),"",$L$711-1),IF($R$17="Distrato",$E1048,0)),MIN(X$38,$D$19),$P$20))-SUM($P1048:W1048)</f>
        <v>#VALUE!</v>
      </c>
      <c r="Y1048" s="446" t="e">
        <f>IF(OR($B1048="",MIN(Y$38,$D$19)&lt;MAX($P$708*($B1048+IF($R$17="Distrato",$I$38-1,0)),IF(AND($L$711=0,$P$708=0),"",$L$711-1),IF($R$17="Distrato",$E1048,0))),0,YEARFRAC(MAX($P$708*($B1048+IF($R$17="Distrato",$I$38-1,0)),IF(AND($L$711=0,$P$708=0),"",$L$711-1),IF($R$17="Distrato",$E1048,0)),MIN(Y$38,$D$19),$P$20))-SUM($P1048:X1048)</f>
        <v>#VALUE!</v>
      </c>
      <c r="Z1048" s="446" t="e">
        <f>IF(OR($B1048="",MIN(Z$38,$D$19)&lt;MAX($P$708*($B1048+IF($R$17="Distrato",$I$38-1,0)),IF(AND($L$711=0,$P$708=0),"",$L$711-1),IF($R$17="Distrato",$E1048,0))),0,YEARFRAC(MAX($P$708*($B1048+IF($R$17="Distrato",$I$38-1,0)),IF(AND($L$711=0,$P$708=0),"",$L$711-1),IF($R$17="Distrato",$E1048,0)),MIN(Z$38,$D$19),$P$20))-SUM($P1048:Y1048)</f>
        <v>#VALUE!</v>
      </c>
      <c r="AA1048" s="446" t="e">
        <f>IF(OR($B1048="",MIN(AA$38,$D$19)&lt;MAX($P$708*($B1048+IF($R$17="Distrato",$I$38-1,0)),IF(AND($L$711=0,$P$708=0),"",$L$711-1),IF($R$17="Distrato",$E1048,0))),0,YEARFRAC(MAX($P$708*($B1048+IF($R$17="Distrato",$I$38-1,0)),IF(AND($L$711=0,$P$708=0),"",$L$711-1),IF($R$17="Distrato",$E1048,0)),MIN(AA$38,$D$19),$P$20))-SUM($P1048:Z1048)</f>
        <v>#VALUE!</v>
      </c>
      <c r="AB1048" s="446" t="e">
        <f>IF(OR($B1048="",MIN(AB$38,$D$19)&lt;MAX($P$708*($B1048+IF($R$17="Distrato",$I$38-1,0)),IF(AND($L$711=0,$P$708=0),"",$L$711-1),IF($R$17="Distrato",$E1048,0))),0,YEARFRAC(MAX($P$708*($B1048+IF($R$17="Distrato",$I$38-1,0)),IF(AND($L$711=0,$P$708=0),"",$L$711-1),IF($R$17="Distrato",$E1048,0)),MIN(AB$38,$D$19),$P$20))-SUM($P1048:AA1048)</f>
        <v>#VALUE!</v>
      </c>
      <c r="AC1048" s="446" t="e">
        <f>IF(OR($B1048="",MIN(AC$38,$D$19)&lt;MAX($P$708*($B1048+IF($R$17="Distrato",$I$38-1,0)),IF(AND($L$711=0,$P$708=0),"",$L$711-1),IF($R$17="Distrato",$E1048,0))),0,YEARFRAC(MAX($P$708*($B1048+IF($R$17="Distrato",$I$38-1,0)),IF(AND($L$711=0,$P$708=0),"",$L$711-1),IF($R$17="Distrato",$E1048,0)),MIN(AC$38,$D$19),$P$20))-SUM($P1048:AB1048)</f>
        <v>#VALUE!</v>
      </c>
      <c r="AD1048" s="446" t="e">
        <f>IF(OR($B1048="",MIN(AD$38,$D$19)&lt;MAX($P$708*($B1048+IF($R$17="Distrato",$I$38-1,0)),IF(AND($L$711=0,$P$708=0),"",$L$711-1),IF($R$17="Distrato",$E1048,0))),0,YEARFRAC(MAX($P$708*($B1048+IF($R$17="Distrato",$I$38-1,0)),IF(AND($L$711=0,$P$708=0),"",$L$711-1),IF($R$17="Distrato",$E1048,0)),MIN(AD$38,$D$19),$P$20))-SUM($P1048:AC1048)</f>
        <v>#VALUE!</v>
      </c>
      <c r="AE1048" s="446" t="e">
        <f>IF(OR($B1048="",MIN(AE$38,$D$19)&lt;MAX($P$708*($B1048+IF($R$17="Distrato",$I$38-1,0)),IF(AND($L$711=0,$P$708=0),"",$L$711-1),IF($R$17="Distrato",$E1048,0))),0,YEARFRAC(MAX($P$708*($B1048+IF($R$17="Distrato",$I$38-1,0)),IF(AND($L$711=0,$P$708=0),"",$L$711-1),IF($R$17="Distrato",$E1048,0)),MIN(AE$38,$D$19),$P$20))-SUM($P1048:AD1048)</f>
        <v>#VALUE!</v>
      </c>
      <c r="AF1048" s="446" t="e">
        <f>IF(OR($B1048="",MIN(AF$38,$D$19)&lt;MAX($P$708*($B1048+IF($R$17="Distrato",$I$38-1,0)),IF(AND($L$711=0,$P$708=0),"",$L$711-1),IF($R$17="Distrato",$E1048,0))),0,YEARFRAC(MAX($P$708*($B1048+IF($R$17="Distrato",$I$38-1,0)),IF(AND($L$711=0,$P$708=0),"",$L$711-1),IF($R$17="Distrato",$E1048,0)),MIN(AF$38,$D$19),$P$20))-SUM($P1048:AE1048)</f>
        <v>#VALUE!</v>
      </c>
      <c r="AG1048" s="446" t="e">
        <f>IF(OR($B1048="",MIN(AG$38,$D$19)&lt;MAX($P$708*($B1048+IF($R$17="Distrato",$I$38-1,0)),IF(AND($L$711=0,$P$708=0),"",$L$711-1),IF($R$17="Distrato",$E1048,0))),0,YEARFRAC(MAX($P$708*($B1048+IF($R$17="Distrato",$I$38-1,0)),IF(AND($L$711=0,$P$708=0),"",$L$711-1),IF($R$17="Distrato",$E1048,0)),MIN(AG$38,$D$19),$P$20))-SUM($P1048:AF1048)</f>
        <v>#VALUE!</v>
      </c>
      <c r="AH1048" s="446" t="e">
        <f>IF(OR($B1048="",MIN(AH$38,$D$19)&lt;MAX($P$708*($B1048+IF($R$17="Distrato",$I$38-1,0)),IF(AND($L$711=0,$P$708=0),"",$L$711-1),IF($R$17="Distrato",$E1048,0))),0,YEARFRAC(MAX($P$708*($B1048+IF($R$17="Distrato",$I$38-1,0)),IF(AND($L$711=0,$P$708=0),"",$L$711-1),IF($R$17="Distrato",$E1048,0)),MIN(AH$38,$D$19),$P$20))-SUM($P1048:AG1048)</f>
        <v>#VALUE!</v>
      </c>
      <c r="AI1048" s="446" t="e">
        <f>IF(OR($B1048="",MIN(AI$38,$D$19)&lt;MAX($P$708*($B1048+IF($R$17="Distrato",$I$38-1,0)),IF(AND($L$711=0,$P$708=0),"",$L$711-1),IF($R$17="Distrato",$E1048,0))),0,YEARFRAC(MAX($P$708*($B1048+IF($R$17="Distrato",$I$38-1,0)),IF(AND($L$711=0,$P$708=0),"",$L$711-1),IF($R$17="Distrato",$E1048,0)),MIN(AI$38,$D$19),$P$20))-SUM($P1048:AH1048)</f>
        <v>#VALUE!</v>
      </c>
      <c r="AJ1048" s="446" t="e">
        <f>IF(OR($B1048="",MIN(AJ$38,$D$19)&lt;MAX($P$708*($B1048+IF($R$17="Distrato",$I$38-1,0)),IF(AND($L$711=0,$P$708=0),"",$L$711-1),IF($R$17="Distrato",$E1048,0))),0,YEARFRAC(MAX($P$708*($B1048+IF($R$17="Distrato",$I$38-1,0)),IF(AND($L$711=0,$P$708=0),"",$L$711-1),IF($R$17="Distrato",$E1048,0)),MIN(AJ$38,$D$19),$P$20))-SUM($P1048:AI1048)</f>
        <v>#VALUE!</v>
      </c>
      <c r="AK1048" s="446" t="e">
        <f>IF(OR($B1048="",MIN(AK$38,$D$19)&lt;MAX($P$708*($B1048+IF($R$17="Distrato",$I$38-1,0)),IF(AND($L$711=0,$P$708=0),"",$L$711-1),IF($R$17="Distrato",$E1048,0))),0,YEARFRAC(MAX($P$708*($B1048+IF($R$17="Distrato",$I$38-1,0)),IF(AND($L$711=0,$P$708=0),"",$L$711-1),IF($R$17="Distrato",$E1048,0)),MIN(AK$38,$D$19),$P$20))-SUM($P1048:AJ1048)</f>
        <v>#VALUE!</v>
      </c>
      <c r="AL1048" s="446" t="e">
        <f>IF(OR($B1048="",MIN(AL$38,$D$19)&lt;MAX($P$708*($B1048+IF($R$17="Distrato",$I$38-1,0)),IF(AND($L$711=0,$P$708=0),"",$L$711-1),IF($R$17="Distrato",$E1048,0))),0,YEARFRAC(MAX($P$708*($B1048+IF($R$17="Distrato",$I$38-1,0)),IF(AND($L$711=0,$P$708=0),"",$L$711-1),IF($R$17="Distrato",$E1048,0)),MIN(AL$38,$D$19),$P$20))-SUM($P1048:AK1048)</f>
        <v>#VALUE!</v>
      </c>
      <c r="AM1048" s="446" t="e">
        <f>IF(OR($B1048="",MIN(AM$38,$D$19)&lt;MAX($P$708*($B1048+IF($R$17="Distrato",$I$38-1,0)),IF(AND($L$711=0,$P$708=0),"",$L$711-1),IF($R$17="Distrato",$E1048,0))),0,YEARFRAC(MAX($P$708*($B1048+IF($R$17="Distrato",$I$38-1,0)),IF(AND($L$711=0,$P$708=0),"",$L$711-1),IF($R$17="Distrato",$E1048,0)),MIN(AM$38,$D$19),$P$20))-SUM($P1048:AL1048)</f>
        <v>#VALUE!</v>
      </c>
      <c r="AN1048" s="446" t="e">
        <f>IF(OR($B1048="",MIN(AN$38,$D$19)&lt;MAX($P$708*($B1048+IF($R$17="Distrato",$I$38-1,0)),IF(AND($L$711=0,$P$708=0),"",$L$711-1),IF($R$17="Distrato",$E1048,0))),0,YEARFRAC(MAX($P$708*($B1048+IF($R$17="Distrato",$I$38-1,0)),IF(AND($L$711=0,$P$708=0),"",$L$711-1),IF($R$17="Distrato",$E1048,0)),MIN(AN$38,$D$19),$P$20))-SUM($P1048:AM1048)</f>
        <v>#VALUE!</v>
      </c>
      <c r="AO1048" s="446" t="e">
        <f>IF(OR($B1048="",MIN(AO$38,$D$19)&lt;MAX($P$708*($B1048+IF($R$17="Distrato",$I$38-1,0)),IF(AND($L$711=0,$P$708=0),"",$L$711-1),IF($R$17="Distrato",$E1048,0))),0,YEARFRAC(MAX($P$708*($B1048+IF($R$17="Distrato",$I$38-1,0)),IF(AND($L$711=0,$P$708=0),"",$L$711-1),IF($R$17="Distrato",$E1048,0)),MIN(AO$38,$D$19),$P$20))-SUM($P1048:AN1048)</f>
        <v>#VALUE!</v>
      </c>
      <c r="AP1048" s="446" t="e">
        <f>IF(OR($B1048="",MIN(AP$38,$D$19)&lt;MAX($P$708*($B1048+IF($R$17="Distrato",$I$38-1,0)),IF(AND($L$711=0,$P$708=0),"",$L$711-1),IF($R$17="Distrato",$E1048,0))),0,YEARFRAC(MAX($P$708*($B1048+IF($R$17="Distrato",$I$38-1,0)),IF(AND($L$711=0,$P$708=0),"",$L$711-1),IF($R$17="Distrato",$E1048,0)),MIN(AP$38,$D$19),$P$20))-SUM($P1048:AO1048)</f>
        <v>#VALUE!</v>
      </c>
      <c r="AQ1048" s="446" t="e">
        <f>IF(OR($B1048="",MIN(AQ$38,$D$19)&lt;MAX($P$708*($B1048+IF($R$17="Distrato",$I$38-1,0)),IF(AND($L$711=0,$P$708=0),"",$L$711-1),IF($R$17="Distrato",$E1048,0))),0,YEARFRAC(MAX($P$708*($B1048+IF($R$17="Distrato",$I$38-1,0)),IF(AND($L$711=0,$P$708=0),"",$L$711-1),IF($R$17="Distrato",$E1048,0)),MIN(AQ$38,$D$19),$P$20))-SUM($P1048:AP1048)</f>
        <v>#VALUE!</v>
      </c>
      <c r="AR1048" s="446" t="e">
        <f>IF(OR($B1048="",MIN(AR$38,$D$19)&lt;MAX($P$708*($B1048+IF($R$17="Distrato",$I$38-1,0)),IF(AND($L$711=0,$P$708=0),"",$L$711-1),IF($R$17="Distrato",$E1048,0))),0,YEARFRAC(MAX($P$708*($B1048+IF($R$17="Distrato",$I$38-1,0)),IF(AND($L$711=0,$P$708=0),"",$L$711-1),IF($R$17="Distrato",$E1048,0)),MIN(AR$38,$D$19),$P$20))-SUM($P1048:AQ1048)</f>
        <v>#VALUE!</v>
      </c>
      <c r="AS1048" s="446" t="e">
        <f>IF(OR($B1048="",MIN(AS$38,$D$19)&lt;MAX($P$708*($B1048+IF($R$17="Distrato",$I$38-1,0)),IF(AND($L$711=0,$P$708=0),"",$L$711-1),IF($R$17="Distrato",$E1048,0))),0,YEARFRAC(MAX($P$708*($B1048+IF($R$17="Distrato",$I$38-1,0)),IF(AND($L$711=0,$P$708=0),"",$L$711-1),IF($R$17="Distrato",$E1048,0)),MIN(AS$38,$D$19),$P$20))-SUM($P1048:AR1048)</f>
        <v>#VALUE!</v>
      </c>
      <c r="AT1048" s="446" t="e">
        <f>IF(OR($B1048="",MIN(AT$38,$D$19)&lt;MAX($P$708*($B1048+IF($R$17="Distrato",$I$38-1,0)),IF(AND($L$711=0,$P$708=0),"",$L$711-1),IF($R$17="Distrato",$E1048,0))),0,YEARFRAC(MAX($P$708*($B1048+IF($R$17="Distrato",$I$38-1,0)),IF(AND($L$711=0,$P$708=0),"",$L$711-1),IF($R$17="Distrato",$E1048,0)),MIN(AT$38,$D$19),$P$20))-SUM($P1048:AS1048)</f>
        <v>#VALUE!</v>
      </c>
      <c r="AU1048" s="446" t="e">
        <f>IF(OR($B1048="",MIN(AU$38,$D$19)&lt;MAX($P$708*($B1048+IF($R$17="Distrato",$I$38-1,0)),IF(AND($L$711=0,$P$708=0),"",$L$711-1),IF($R$17="Distrato",$E1048,0))),0,YEARFRAC(MAX($P$708*($B1048+IF($R$17="Distrato",$I$38-1,0)),IF(AND($L$711=0,$P$708=0),"",$L$711-1),IF($R$17="Distrato",$E1048,0)),MIN(AU$38,$D$19),$P$20))-SUM($P1048:AT1048)</f>
        <v>#VALUE!</v>
      </c>
      <c r="AV1048" s="446" t="e">
        <f>IF(OR($B1048="",MIN(AV$38,$D$19)&lt;MAX($P$708*($B1048+IF($R$17="Distrato",$I$38-1,0)),IF(AND($L$711=0,$P$708=0),"",$L$711-1),IF($R$17="Distrato",$E1048,0))),0,YEARFRAC(MAX($P$708*($B1048+IF($R$17="Distrato",$I$38-1,0)),IF(AND($L$711=0,$P$708=0),"",$L$711-1),IF($R$17="Distrato",$E1048,0)),MIN(AV$38,$D$19),$P$20))-SUM($P1048:AU1048)</f>
        <v>#VALUE!</v>
      </c>
      <c r="AW1048" s="446" t="e">
        <f>IF(OR($B1048="",MIN(AW$38,$D$19)&lt;MAX($P$708*($B1048+IF($R$17="Distrato",$I$38-1,0)),IF(AND($L$711=0,$P$708=0),"",$L$711-1),IF($R$17="Distrato",$E1048,0))),0,YEARFRAC(MAX($P$708*($B1048+IF($R$17="Distrato",$I$38-1,0)),IF(AND($L$711=0,$P$708=0),"",$L$711-1),IF($R$17="Distrato",$E1048,0)),MIN(AW$38,$D$19),$P$20))-SUM($P1048:AV1048)</f>
        <v>#VALUE!</v>
      </c>
      <c r="AX1048" s="446" t="e">
        <f>IF(OR($B1048="",MIN(AX$38,$D$19)&lt;MAX($P$708*($B1048+IF($R$17="Distrato",$I$38-1,0)),IF(AND($L$711=0,$P$708=0),"",$L$711-1),IF($R$17="Distrato",$E1048,0))),0,YEARFRAC(MAX($P$708*($B1048+IF($R$17="Distrato",$I$38-1,0)),IF(AND($L$711=0,$P$708=0),"",$L$711-1),IF($R$17="Distrato",$E1048,0)),MIN(AX$38,$D$19),$P$20))-SUM($P1048:AW1048)</f>
        <v>#VALUE!</v>
      </c>
      <c r="AY1048" s="446" t="e">
        <f>IF(OR($B1048="",MIN(AY$38,$D$19)&lt;MAX($P$708*($B1048+IF($R$17="Distrato",$I$38-1,0)),IF(AND($L$711=0,$P$708=0),"",$L$711-1),IF($R$17="Distrato",$E1048,0))),0,YEARFRAC(MAX($P$708*($B1048+IF($R$17="Distrato",$I$38-1,0)),IF(AND($L$711=0,$P$708=0),"",$L$711-1),IF($R$17="Distrato",$E1048,0)),MIN(AY$38,$D$19),$P$20))-SUM($P1048:AX1048)</f>
        <v>#VALUE!</v>
      </c>
      <c r="AZ1048" s="446" t="e">
        <f>IF(OR($B1048="",MIN(AZ$38,$D$19)&lt;MAX($P$708*($B1048+IF($R$17="Distrato",$I$38-1,0)),IF(AND($L$711=0,$P$708=0),"",$L$711-1),IF($R$17="Distrato",$E1048,0))),0,YEARFRAC(MAX($P$708*($B1048+IF($R$17="Distrato",$I$38-1,0)),IF(AND($L$711=0,$P$708=0),"",$L$711-1),IF($R$17="Distrato",$E1048,0)),MIN(AZ$38,$D$19),$P$20))-SUM($P1048:AY1048)</f>
        <v>#VALUE!</v>
      </c>
      <c r="BA1048" s="446" t="e">
        <f>IF(OR($B1048="",MIN(BA$38,$D$19)&lt;MAX($P$708*($B1048+IF($R$17="Distrato",$I$38-1,0)),IF(AND($L$711=0,$P$708=0),"",$L$711-1),IF($R$17="Distrato",$E1048,0))),0,YEARFRAC(MAX($P$708*($B1048+IF($R$17="Distrato",$I$38-1,0)),IF(AND($L$711=0,$P$708=0),"",$L$711-1),IF($R$17="Distrato",$E1048,0)),MIN(BA$38,$D$19),$P$20))-SUM($P1048:AZ1048)</f>
        <v>#VALUE!</v>
      </c>
      <c r="BB1048" s="447"/>
    </row>
    <row r="1049" spans="1:54" s="446" customFormat="1" ht="11.25" hidden="1" customHeight="1" x14ac:dyDescent="0.2">
      <c r="A1049" s="235"/>
      <c r="B1049" s="236"/>
      <c r="C1049" s="29" t="str">
        <f>IF(B1049="","",IF($L$709=$BL$25,VLOOKUP(DATE(YEAR($D$19),MONTH($D$19)-1,1),ÍNDICES!$A:$DE,HLOOKUP($BL$25,ÍNDICES!$B$3:$T$4,2)+11)-VLOOKUP(B1049,ÍNDICES!$A:$DE,HLOOKUP($BL$25,ÍNDICES!$B$3:$T$4,2)+11)+1%,IF(C$712=$W$26,$J$35,IF(ISERROR(IF(B1049&gt;$D$19,1,VLOOKUP(DATE(YEAR(B1049),MONTH(B1049)+IF($C$709=$S$23,1,0),1),ÍNDICES!$A:$DE,$Z$709+1))),"",IF(B1049&gt;$D$19,1,VLOOKUP(DATE(YEAR(B1049),MONTH(B1049)+IF($C$709=$S$23,1,0),1),ÍNDICES!$A:$DE,$Z$709+1))))))</f>
        <v/>
      </c>
      <c r="D1049" s="155"/>
      <c r="E1049" s="88"/>
      <c r="F1049" s="88"/>
      <c r="G1049" s="88"/>
      <c r="H1049" s="118"/>
      <c r="I1049" s="182">
        <f t="shared" si="150"/>
        <v>0</v>
      </c>
      <c r="J1049" s="20">
        <f t="shared" ca="1" si="151"/>
        <v>0</v>
      </c>
      <c r="K1049" s="5">
        <f t="shared" ca="1" si="152"/>
        <v>0</v>
      </c>
      <c r="L1049" s="61">
        <f t="shared" ca="1" si="153"/>
        <v>0</v>
      </c>
      <c r="M1049" s="64">
        <f t="shared" si="154"/>
        <v>0</v>
      </c>
      <c r="N1049" s="151"/>
      <c r="O1049" s="5">
        <f t="shared" ca="1" si="155"/>
        <v>0</v>
      </c>
      <c r="P1049" s="446" t="e">
        <f t="shared" si="156"/>
        <v>#VALUE!</v>
      </c>
      <c r="Q1049" s="446" t="e">
        <f>IF(OR($B1049="",MIN(Q$38,$D$19)&lt;MAX($P$708*($B1049+IF($R$17="Distrato",$I$38-1,0)),IF(AND($L$711=0,$P$708=0),"",$L$711-1),IF($R$17="Distrato",$E1049,0))),0,YEARFRAC(MAX($P$708*($B1049+IF($R$17="Distrato",$I$38-1,0)),IF(AND($L$711=0,$P$708=0),"",$L$711-1),IF($R$17="Distrato",$E1049,0)),MIN(Q$38,$D$19),$P$20))-SUM($P1049:P1049)</f>
        <v>#VALUE!</v>
      </c>
      <c r="R1049" s="446" t="e">
        <f>IF(OR($B1049="",MIN(R$38,$D$19)&lt;MAX($P$708*($B1049+IF($R$17="Distrato",$I$38-1,0)),IF(AND($L$711=0,$P$708=0),"",$L$711-1),IF($R$17="Distrato",$E1049,0))),0,YEARFRAC(MAX($P$708*($B1049+IF($R$17="Distrato",$I$38-1,0)),IF(AND($L$711=0,$P$708=0),"",$L$711-1),IF($R$17="Distrato",$E1049,0)),MIN(R$38,$D$19),$P$20))-SUM($P1049:Q1049)</f>
        <v>#VALUE!</v>
      </c>
      <c r="S1049" s="446" t="e">
        <f>IF(OR($B1049="",MIN(S$38,$D$19)&lt;MAX($P$708*($B1049+IF($R$17="Distrato",$I$38-1,0)),IF(AND($L$711=0,$P$708=0),"",$L$711-1),IF($R$17="Distrato",$E1049,0))),0,YEARFRAC(MAX($P$708*($B1049+IF($R$17="Distrato",$I$38-1,0)),IF(AND($L$711=0,$P$708=0),"",$L$711-1),IF($R$17="Distrato",$E1049,0)),MIN(S$38,$D$19),$P$20))-SUM($P1049:R1049)</f>
        <v>#VALUE!</v>
      </c>
      <c r="T1049" s="446" t="e">
        <f>IF(OR($B1049="",MIN(T$38,$D$19)&lt;MAX($P$708*($B1049+IF($R$17="Distrato",$I$38-1,0)),IF(AND($L$711=0,$P$708=0),"",$L$711-1),IF($R$17="Distrato",$E1049,0))),0,YEARFRAC(MAX($P$708*($B1049+IF($R$17="Distrato",$I$38-1,0)),IF(AND($L$711=0,$P$708=0),"",$L$711-1),IF($R$17="Distrato",$E1049,0)),MIN(T$38,$D$19),$P$20))-SUM($P1049:S1049)</f>
        <v>#VALUE!</v>
      </c>
      <c r="U1049" s="446" t="e">
        <f>IF(OR($B1049="",MIN(U$38,$D$19)&lt;MAX($P$708*($B1049+IF($R$17="Distrato",$I$38-1,0)),IF(AND($L$711=0,$P$708=0),"",$L$711-1),IF($R$17="Distrato",$E1049,0))),0,YEARFRAC(MAX($P$708*($B1049+IF($R$17="Distrato",$I$38-1,0)),IF(AND($L$711=0,$P$708=0),"",$L$711-1),IF($R$17="Distrato",$E1049,0)),MIN(U$38,$D$19),$P$20))-SUM($P1049:T1049)</f>
        <v>#VALUE!</v>
      </c>
      <c r="V1049" s="446" t="e">
        <f>IF(OR($B1049="",MIN(V$38,$D$19)&lt;MAX($P$708*($B1049+IF($R$17="Distrato",$I$38-1,0)),IF(AND($L$711=0,$P$708=0),"",$L$711-1),IF($R$17="Distrato",$E1049,0))),0,YEARFRAC(MAX($P$708*($B1049+IF($R$17="Distrato",$I$38-1,0)),IF(AND($L$711=0,$P$708=0),"",$L$711-1),IF($R$17="Distrato",$E1049,0)),MIN(V$38,$D$19),$P$20))-SUM($P1049:U1049)</f>
        <v>#VALUE!</v>
      </c>
      <c r="W1049" s="446" t="e">
        <f>IF(OR($B1049="",MIN(W$38,$D$19)&lt;MAX($P$708*($B1049+IF($R$17="Distrato",$I$38-1,0)),IF(AND($L$711=0,$P$708=0),"",$L$711-1),IF($R$17="Distrato",$E1049,0))),0,YEARFRAC(MAX($P$708*($B1049+IF($R$17="Distrato",$I$38-1,0)),IF(AND($L$711=0,$P$708=0),"",$L$711-1),IF($R$17="Distrato",$E1049,0)),MIN(W$38,$D$19),$P$20))-SUM($P1049:V1049)</f>
        <v>#VALUE!</v>
      </c>
      <c r="X1049" s="446" t="e">
        <f>IF(OR($B1049="",MIN(X$38,$D$19)&lt;MAX($P$708*($B1049+IF($R$17="Distrato",$I$38-1,0)),IF(AND($L$711=0,$P$708=0),"",$L$711-1),IF($R$17="Distrato",$E1049,0))),0,YEARFRAC(MAX($P$708*($B1049+IF($R$17="Distrato",$I$38-1,0)),IF(AND($L$711=0,$P$708=0),"",$L$711-1),IF($R$17="Distrato",$E1049,0)),MIN(X$38,$D$19),$P$20))-SUM($P1049:W1049)</f>
        <v>#VALUE!</v>
      </c>
      <c r="Y1049" s="446" t="e">
        <f>IF(OR($B1049="",MIN(Y$38,$D$19)&lt;MAX($P$708*($B1049+IF($R$17="Distrato",$I$38-1,0)),IF(AND($L$711=0,$P$708=0),"",$L$711-1),IF($R$17="Distrato",$E1049,0))),0,YEARFRAC(MAX($P$708*($B1049+IF($R$17="Distrato",$I$38-1,0)),IF(AND($L$711=0,$P$708=0),"",$L$711-1),IF($R$17="Distrato",$E1049,0)),MIN(Y$38,$D$19),$P$20))-SUM($P1049:X1049)</f>
        <v>#VALUE!</v>
      </c>
      <c r="Z1049" s="446" t="e">
        <f>IF(OR($B1049="",MIN(Z$38,$D$19)&lt;MAX($P$708*($B1049+IF($R$17="Distrato",$I$38-1,0)),IF(AND($L$711=0,$P$708=0),"",$L$711-1),IF($R$17="Distrato",$E1049,0))),0,YEARFRAC(MAX($P$708*($B1049+IF($R$17="Distrato",$I$38-1,0)),IF(AND($L$711=0,$P$708=0),"",$L$711-1),IF($R$17="Distrato",$E1049,0)),MIN(Z$38,$D$19),$P$20))-SUM($P1049:Y1049)</f>
        <v>#VALUE!</v>
      </c>
      <c r="AA1049" s="446" t="e">
        <f>IF(OR($B1049="",MIN(AA$38,$D$19)&lt;MAX($P$708*($B1049+IF($R$17="Distrato",$I$38-1,0)),IF(AND($L$711=0,$P$708=0),"",$L$711-1),IF($R$17="Distrato",$E1049,0))),0,YEARFRAC(MAX($P$708*($B1049+IF($R$17="Distrato",$I$38-1,0)),IF(AND($L$711=0,$P$708=0),"",$L$711-1),IF($R$17="Distrato",$E1049,0)),MIN(AA$38,$D$19),$P$20))-SUM($P1049:Z1049)</f>
        <v>#VALUE!</v>
      </c>
      <c r="AB1049" s="446" t="e">
        <f>IF(OR($B1049="",MIN(AB$38,$D$19)&lt;MAX($P$708*($B1049+IF($R$17="Distrato",$I$38-1,0)),IF(AND($L$711=0,$P$708=0),"",$L$711-1),IF($R$17="Distrato",$E1049,0))),0,YEARFRAC(MAX($P$708*($B1049+IF($R$17="Distrato",$I$38-1,0)),IF(AND($L$711=0,$P$708=0),"",$L$711-1),IF($R$17="Distrato",$E1049,0)),MIN(AB$38,$D$19),$P$20))-SUM($P1049:AA1049)</f>
        <v>#VALUE!</v>
      </c>
      <c r="AC1049" s="446" t="e">
        <f>IF(OR($B1049="",MIN(AC$38,$D$19)&lt;MAX($P$708*($B1049+IF($R$17="Distrato",$I$38-1,0)),IF(AND($L$711=0,$P$708=0),"",$L$711-1),IF($R$17="Distrato",$E1049,0))),0,YEARFRAC(MAX($P$708*($B1049+IF($R$17="Distrato",$I$38-1,0)),IF(AND($L$711=0,$P$708=0),"",$L$711-1),IF($R$17="Distrato",$E1049,0)),MIN(AC$38,$D$19),$P$20))-SUM($P1049:AB1049)</f>
        <v>#VALUE!</v>
      </c>
      <c r="AD1049" s="446" t="e">
        <f>IF(OR($B1049="",MIN(AD$38,$D$19)&lt;MAX($P$708*($B1049+IF($R$17="Distrato",$I$38-1,0)),IF(AND($L$711=0,$P$708=0),"",$L$711-1),IF($R$17="Distrato",$E1049,0))),0,YEARFRAC(MAX($P$708*($B1049+IF($R$17="Distrato",$I$38-1,0)),IF(AND($L$711=0,$P$708=0),"",$L$711-1),IF($R$17="Distrato",$E1049,0)),MIN(AD$38,$D$19),$P$20))-SUM($P1049:AC1049)</f>
        <v>#VALUE!</v>
      </c>
      <c r="AE1049" s="446" t="e">
        <f>IF(OR($B1049="",MIN(AE$38,$D$19)&lt;MAX($P$708*($B1049+IF($R$17="Distrato",$I$38-1,0)),IF(AND($L$711=0,$P$708=0),"",$L$711-1),IF($R$17="Distrato",$E1049,0))),0,YEARFRAC(MAX($P$708*($B1049+IF($R$17="Distrato",$I$38-1,0)),IF(AND($L$711=0,$P$708=0),"",$L$711-1),IF($R$17="Distrato",$E1049,0)),MIN(AE$38,$D$19),$P$20))-SUM($P1049:AD1049)</f>
        <v>#VALUE!</v>
      </c>
      <c r="AF1049" s="446" t="e">
        <f>IF(OR($B1049="",MIN(AF$38,$D$19)&lt;MAX($P$708*($B1049+IF($R$17="Distrato",$I$38-1,0)),IF(AND($L$711=0,$P$708=0),"",$L$711-1),IF($R$17="Distrato",$E1049,0))),0,YEARFRAC(MAX($P$708*($B1049+IF($R$17="Distrato",$I$38-1,0)),IF(AND($L$711=0,$P$708=0),"",$L$711-1),IF($R$17="Distrato",$E1049,0)),MIN(AF$38,$D$19),$P$20))-SUM($P1049:AE1049)</f>
        <v>#VALUE!</v>
      </c>
      <c r="AG1049" s="446" t="e">
        <f>IF(OR($B1049="",MIN(AG$38,$D$19)&lt;MAX($P$708*($B1049+IF($R$17="Distrato",$I$38-1,0)),IF(AND($L$711=0,$P$708=0),"",$L$711-1),IF($R$17="Distrato",$E1049,0))),0,YEARFRAC(MAX($P$708*($B1049+IF($R$17="Distrato",$I$38-1,0)),IF(AND($L$711=0,$P$708=0),"",$L$711-1),IF($R$17="Distrato",$E1049,0)),MIN(AG$38,$D$19),$P$20))-SUM($P1049:AF1049)</f>
        <v>#VALUE!</v>
      </c>
      <c r="AH1049" s="446" t="e">
        <f>IF(OR($B1049="",MIN(AH$38,$D$19)&lt;MAX($P$708*($B1049+IF($R$17="Distrato",$I$38-1,0)),IF(AND($L$711=0,$P$708=0),"",$L$711-1),IF($R$17="Distrato",$E1049,0))),0,YEARFRAC(MAX($P$708*($B1049+IF($R$17="Distrato",$I$38-1,0)),IF(AND($L$711=0,$P$708=0),"",$L$711-1),IF($R$17="Distrato",$E1049,0)),MIN(AH$38,$D$19),$P$20))-SUM($P1049:AG1049)</f>
        <v>#VALUE!</v>
      </c>
      <c r="AI1049" s="446" t="e">
        <f>IF(OR($B1049="",MIN(AI$38,$D$19)&lt;MAX($P$708*($B1049+IF($R$17="Distrato",$I$38-1,0)),IF(AND($L$711=0,$P$708=0),"",$L$711-1),IF($R$17="Distrato",$E1049,0))),0,YEARFRAC(MAX($P$708*($B1049+IF($R$17="Distrato",$I$38-1,0)),IF(AND($L$711=0,$P$708=0),"",$L$711-1),IF($R$17="Distrato",$E1049,0)),MIN(AI$38,$D$19),$P$20))-SUM($P1049:AH1049)</f>
        <v>#VALUE!</v>
      </c>
      <c r="AJ1049" s="446" t="e">
        <f>IF(OR($B1049="",MIN(AJ$38,$D$19)&lt;MAX($P$708*($B1049+IF($R$17="Distrato",$I$38-1,0)),IF(AND($L$711=0,$P$708=0),"",$L$711-1),IF($R$17="Distrato",$E1049,0))),0,YEARFRAC(MAX($P$708*($B1049+IF($R$17="Distrato",$I$38-1,0)),IF(AND($L$711=0,$P$708=0),"",$L$711-1),IF($R$17="Distrato",$E1049,0)),MIN(AJ$38,$D$19),$P$20))-SUM($P1049:AI1049)</f>
        <v>#VALUE!</v>
      </c>
      <c r="AK1049" s="446" t="e">
        <f>IF(OR($B1049="",MIN(AK$38,$D$19)&lt;MAX($P$708*($B1049+IF($R$17="Distrato",$I$38-1,0)),IF(AND($L$711=0,$P$708=0),"",$L$711-1),IF($R$17="Distrato",$E1049,0))),0,YEARFRAC(MAX($P$708*($B1049+IF($R$17="Distrato",$I$38-1,0)),IF(AND($L$711=0,$P$708=0),"",$L$711-1),IF($R$17="Distrato",$E1049,0)),MIN(AK$38,$D$19),$P$20))-SUM($P1049:AJ1049)</f>
        <v>#VALUE!</v>
      </c>
      <c r="AL1049" s="446" t="e">
        <f>IF(OR($B1049="",MIN(AL$38,$D$19)&lt;MAX($P$708*($B1049+IF($R$17="Distrato",$I$38-1,0)),IF(AND($L$711=0,$P$708=0),"",$L$711-1),IF($R$17="Distrato",$E1049,0))),0,YEARFRAC(MAX($P$708*($B1049+IF($R$17="Distrato",$I$38-1,0)),IF(AND($L$711=0,$P$708=0),"",$L$711-1),IF($R$17="Distrato",$E1049,0)),MIN(AL$38,$D$19),$P$20))-SUM($P1049:AK1049)</f>
        <v>#VALUE!</v>
      </c>
      <c r="AM1049" s="446" t="e">
        <f>IF(OR($B1049="",MIN(AM$38,$D$19)&lt;MAX($P$708*($B1049+IF($R$17="Distrato",$I$38-1,0)),IF(AND($L$711=0,$P$708=0),"",$L$711-1),IF($R$17="Distrato",$E1049,0))),0,YEARFRAC(MAX($P$708*($B1049+IF($R$17="Distrato",$I$38-1,0)),IF(AND($L$711=0,$P$708=0),"",$L$711-1),IF($R$17="Distrato",$E1049,0)),MIN(AM$38,$D$19),$P$20))-SUM($P1049:AL1049)</f>
        <v>#VALUE!</v>
      </c>
      <c r="AN1049" s="446" t="e">
        <f>IF(OR($B1049="",MIN(AN$38,$D$19)&lt;MAX($P$708*($B1049+IF($R$17="Distrato",$I$38-1,0)),IF(AND($L$711=0,$P$708=0),"",$L$711-1),IF($R$17="Distrato",$E1049,0))),0,YEARFRAC(MAX($P$708*($B1049+IF($R$17="Distrato",$I$38-1,0)),IF(AND($L$711=0,$P$708=0),"",$L$711-1),IF($R$17="Distrato",$E1049,0)),MIN(AN$38,$D$19),$P$20))-SUM($P1049:AM1049)</f>
        <v>#VALUE!</v>
      </c>
      <c r="AO1049" s="446" t="e">
        <f>IF(OR($B1049="",MIN(AO$38,$D$19)&lt;MAX($P$708*($B1049+IF($R$17="Distrato",$I$38-1,0)),IF(AND($L$711=0,$P$708=0),"",$L$711-1),IF($R$17="Distrato",$E1049,0))),0,YEARFRAC(MAX($P$708*($B1049+IF($R$17="Distrato",$I$38-1,0)),IF(AND($L$711=0,$P$708=0),"",$L$711-1),IF($R$17="Distrato",$E1049,0)),MIN(AO$38,$D$19),$P$20))-SUM($P1049:AN1049)</f>
        <v>#VALUE!</v>
      </c>
      <c r="AP1049" s="446" t="e">
        <f>IF(OR($B1049="",MIN(AP$38,$D$19)&lt;MAX($P$708*($B1049+IF($R$17="Distrato",$I$38-1,0)),IF(AND($L$711=0,$P$708=0),"",$L$711-1),IF($R$17="Distrato",$E1049,0))),0,YEARFRAC(MAX($P$708*($B1049+IF($R$17="Distrato",$I$38-1,0)),IF(AND($L$711=0,$P$708=0),"",$L$711-1),IF($R$17="Distrato",$E1049,0)),MIN(AP$38,$D$19),$P$20))-SUM($P1049:AO1049)</f>
        <v>#VALUE!</v>
      </c>
      <c r="AQ1049" s="446" t="e">
        <f>IF(OR($B1049="",MIN(AQ$38,$D$19)&lt;MAX($P$708*($B1049+IF($R$17="Distrato",$I$38-1,0)),IF(AND($L$711=0,$P$708=0),"",$L$711-1),IF($R$17="Distrato",$E1049,0))),0,YEARFRAC(MAX($P$708*($B1049+IF($R$17="Distrato",$I$38-1,0)),IF(AND($L$711=0,$P$708=0),"",$L$711-1),IF($R$17="Distrato",$E1049,0)),MIN(AQ$38,$D$19),$P$20))-SUM($P1049:AP1049)</f>
        <v>#VALUE!</v>
      </c>
      <c r="AR1049" s="446" t="e">
        <f>IF(OR($B1049="",MIN(AR$38,$D$19)&lt;MAX($P$708*($B1049+IF($R$17="Distrato",$I$38-1,0)),IF(AND($L$711=0,$P$708=0),"",$L$711-1),IF($R$17="Distrato",$E1049,0))),0,YEARFRAC(MAX($P$708*($B1049+IF($R$17="Distrato",$I$38-1,0)),IF(AND($L$711=0,$P$708=0),"",$L$711-1),IF($R$17="Distrato",$E1049,0)),MIN(AR$38,$D$19),$P$20))-SUM($P1049:AQ1049)</f>
        <v>#VALUE!</v>
      </c>
      <c r="AS1049" s="446" t="e">
        <f>IF(OR($B1049="",MIN(AS$38,$D$19)&lt;MAX($P$708*($B1049+IF($R$17="Distrato",$I$38-1,0)),IF(AND($L$711=0,$P$708=0),"",$L$711-1),IF($R$17="Distrato",$E1049,0))),0,YEARFRAC(MAX($P$708*($B1049+IF($R$17="Distrato",$I$38-1,0)),IF(AND($L$711=0,$P$708=0),"",$L$711-1),IF($R$17="Distrato",$E1049,0)),MIN(AS$38,$D$19),$P$20))-SUM($P1049:AR1049)</f>
        <v>#VALUE!</v>
      </c>
      <c r="AT1049" s="446" t="e">
        <f>IF(OR($B1049="",MIN(AT$38,$D$19)&lt;MAX($P$708*($B1049+IF($R$17="Distrato",$I$38-1,0)),IF(AND($L$711=0,$P$708=0),"",$L$711-1),IF($R$17="Distrato",$E1049,0))),0,YEARFRAC(MAX($P$708*($B1049+IF($R$17="Distrato",$I$38-1,0)),IF(AND($L$711=0,$P$708=0),"",$L$711-1),IF($R$17="Distrato",$E1049,0)),MIN(AT$38,$D$19),$P$20))-SUM($P1049:AS1049)</f>
        <v>#VALUE!</v>
      </c>
      <c r="AU1049" s="446" t="e">
        <f>IF(OR($B1049="",MIN(AU$38,$D$19)&lt;MAX($P$708*($B1049+IF($R$17="Distrato",$I$38-1,0)),IF(AND($L$711=0,$P$708=0),"",$L$711-1),IF($R$17="Distrato",$E1049,0))),0,YEARFRAC(MAX($P$708*($B1049+IF($R$17="Distrato",$I$38-1,0)),IF(AND($L$711=0,$P$708=0),"",$L$711-1),IF($R$17="Distrato",$E1049,0)),MIN(AU$38,$D$19),$P$20))-SUM($P1049:AT1049)</f>
        <v>#VALUE!</v>
      </c>
      <c r="AV1049" s="446" t="e">
        <f>IF(OR($B1049="",MIN(AV$38,$D$19)&lt;MAX($P$708*($B1049+IF($R$17="Distrato",$I$38-1,0)),IF(AND($L$711=0,$P$708=0),"",$L$711-1),IF($R$17="Distrato",$E1049,0))),0,YEARFRAC(MAX($P$708*($B1049+IF($R$17="Distrato",$I$38-1,0)),IF(AND($L$711=0,$P$708=0),"",$L$711-1),IF($R$17="Distrato",$E1049,0)),MIN(AV$38,$D$19),$P$20))-SUM($P1049:AU1049)</f>
        <v>#VALUE!</v>
      </c>
      <c r="AW1049" s="446" t="e">
        <f>IF(OR($B1049="",MIN(AW$38,$D$19)&lt;MAX($P$708*($B1049+IF($R$17="Distrato",$I$38-1,0)),IF(AND($L$711=0,$P$708=0),"",$L$711-1),IF($R$17="Distrato",$E1049,0))),0,YEARFRAC(MAX($P$708*($B1049+IF($R$17="Distrato",$I$38-1,0)),IF(AND($L$711=0,$P$708=0),"",$L$711-1),IF($R$17="Distrato",$E1049,0)),MIN(AW$38,$D$19),$P$20))-SUM($P1049:AV1049)</f>
        <v>#VALUE!</v>
      </c>
      <c r="AX1049" s="446" t="e">
        <f>IF(OR($B1049="",MIN(AX$38,$D$19)&lt;MAX($P$708*($B1049+IF($R$17="Distrato",$I$38-1,0)),IF(AND($L$711=0,$P$708=0),"",$L$711-1),IF($R$17="Distrato",$E1049,0))),0,YEARFRAC(MAX($P$708*($B1049+IF($R$17="Distrato",$I$38-1,0)),IF(AND($L$711=0,$P$708=0),"",$L$711-1),IF($R$17="Distrato",$E1049,0)),MIN(AX$38,$D$19),$P$20))-SUM($P1049:AW1049)</f>
        <v>#VALUE!</v>
      </c>
      <c r="AY1049" s="446" t="e">
        <f>IF(OR($B1049="",MIN(AY$38,$D$19)&lt;MAX($P$708*($B1049+IF($R$17="Distrato",$I$38-1,0)),IF(AND($L$711=0,$P$708=0),"",$L$711-1),IF($R$17="Distrato",$E1049,0))),0,YEARFRAC(MAX($P$708*($B1049+IF($R$17="Distrato",$I$38-1,0)),IF(AND($L$711=0,$P$708=0),"",$L$711-1),IF($R$17="Distrato",$E1049,0)),MIN(AY$38,$D$19),$P$20))-SUM($P1049:AX1049)</f>
        <v>#VALUE!</v>
      </c>
      <c r="AZ1049" s="446" t="e">
        <f>IF(OR($B1049="",MIN(AZ$38,$D$19)&lt;MAX($P$708*($B1049+IF($R$17="Distrato",$I$38-1,0)),IF(AND($L$711=0,$P$708=0),"",$L$711-1),IF($R$17="Distrato",$E1049,0))),0,YEARFRAC(MAX($P$708*($B1049+IF($R$17="Distrato",$I$38-1,0)),IF(AND($L$711=0,$P$708=0),"",$L$711-1),IF($R$17="Distrato",$E1049,0)),MIN(AZ$38,$D$19),$P$20))-SUM($P1049:AY1049)</f>
        <v>#VALUE!</v>
      </c>
      <c r="BA1049" s="446" t="e">
        <f>IF(OR($B1049="",MIN(BA$38,$D$19)&lt;MAX($P$708*($B1049+IF($R$17="Distrato",$I$38-1,0)),IF(AND($L$711=0,$P$708=0),"",$L$711-1),IF($R$17="Distrato",$E1049,0))),0,YEARFRAC(MAX($P$708*($B1049+IF($R$17="Distrato",$I$38-1,0)),IF(AND($L$711=0,$P$708=0),"",$L$711-1),IF($R$17="Distrato",$E1049,0)),MIN(BA$38,$D$19),$P$20))-SUM($P1049:AZ1049)</f>
        <v>#VALUE!</v>
      </c>
      <c r="BB1049" s="447"/>
    </row>
    <row r="1050" spans="1:54" s="446" customFormat="1" ht="11.25" hidden="1" customHeight="1" x14ac:dyDescent="0.2">
      <c r="A1050" s="235"/>
      <c r="B1050" s="236"/>
      <c r="C1050" s="29" t="str">
        <f>IF(B1050="","",IF($L$709=$BL$25,VLOOKUP(DATE(YEAR($D$19),MONTH($D$19)-1,1),ÍNDICES!$A:$DE,HLOOKUP($BL$25,ÍNDICES!$B$3:$T$4,2)+11)-VLOOKUP(B1050,ÍNDICES!$A:$DE,HLOOKUP($BL$25,ÍNDICES!$B$3:$T$4,2)+11)+1%,IF(C$712=$W$26,$J$35,IF(ISERROR(IF(B1050&gt;$D$19,1,VLOOKUP(DATE(YEAR(B1050),MONTH(B1050)+IF($C$709=$S$23,1,0),1),ÍNDICES!$A:$DE,$Z$709+1))),"",IF(B1050&gt;$D$19,1,VLOOKUP(DATE(YEAR(B1050),MONTH(B1050)+IF($C$709=$S$23,1,0),1),ÍNDICES!$A:$DE,$Z$709+1))))))</f>
        <v/>
      </c>
      <c r="D1050" s="155"/>
      <c r="E1050" s="88"/>
      <c r="F1050" s="88"/>
      <c r="G1050" s="88"/>
      <c r="H1050" s="118"/>
      <c r="I1050" s="182">
        <f t="shared" si="150"/>
        <v>0</v>
      </c>
      <c r="J1050" s="20">
        <f t="shared" ca="1" si="151"/>
        <v>0</v>
      </c>
      <c r="K1050" s="5">
        <f t="shared" ca="1" si="152"/>
        <v>0</v>
      </c>
      <c r="L1050" s="61">
        <f t="shared" ca="1" si="153"/>
        <v>0</v>
      </c>
      <c r="M1050" s="64">
        <f t="shared" si="154"/>
        <v>0</v>
      </c>
      <c r="N1050" s="151"/>
      <c r="O1050" s="5">
        <f t="shared" ca="1" si="155"/>
        <v>0</v>
      </c>
      <c r="P1050" s="446" t="e">
        <f t="shared" si="156"/>
        <v>#VALUE!</v>
      </c>
      <c r="Q1050" s="446" t="e">
        <f>IF(OR($B1050="",MIN(Q$38,$D$19)&lt;MAX($P$708*($B1050+IF($R$17="Distrato",$I$38-1,0)),IF(AND($L$711=0,$P$708=0),"",$L$711-1),IF($R$17="Distrato",$E1050,0))),0,YEARFRAC(MAX($P$708*($B1050+IF($R$17="Distrato",$I$38-1,0)),IF(AND($L$711=0,$P$708=0),"",$L$711-1),IF($R$17="Distrato",$E1050,0)),MIN(Q$38,$D$19),$P$20))-SUM($P1050:P1050)</f>
        <v>#VALUE!</v>
      </c>
      <c r="R1050" s="446" t="e">
        <f>IF(OR($B1050="",MIN(R$38,$D$19)&lt;MAX($P$708*($B1050+IF($R$17="Distrato",$I$38-1,0)),IF(AND($L$711=0,$P$708=0),"",$L$711-1),IF($R$17="Distrato",$E1050,0))),0,YEARFRAC(MAX($P$708*($B1050+IF($R$17="Distrato",$I$38-1,0)),IF(AND($L$711=0,$P$708=0),"",$L$711-1),IF($R$17="Distrato",$E1050,0)),MIN(R$38,$D$19),$P$20))-SUM($P1050:Q1050)</f>
        <v>#VALUE!</v>
      </c>
      <c r="S1050" s="446" t="e">
        <f>IF(OR($B1050="",MIN(S$38,$D$19)&lt;MAX($P$708*($B1050+IF($R$17="Distrato",$I$38-1,0)),IF(AND($L$711=0,$P$708=0),"",$L$711-1),IF($R$17="Distrato",$E1050,0))),0,YEARFRAC(MAX($P$708*($B1050+IF($R$17="Distrato",$I$38-1,0)),IF(AND($L$711=0,$P$708=0),"",$L$711-1),IF($R$17="Distrato",$E1050,0)),MIN(S$38,$D$19),$P$20))-SUM($P1050:R1050)</f>
        <v>#VALUE!</v>
      </c>
      <c r="T1050" s="446" t="e">
        <f>IF(OR($B1050="",MIN(T$38,$D$19)&lt;MAX($P$708*($B1050+IF($R$17="Distrato",$I$38-1,0)),IF(AND($L$711=0,$P$708=0),"",$L$711-1),IF($R$17="Distrato",$E1050,0))),0,YEARFRAC(MAX($P$708*($B1050+IF($R$17="Distrato",$I$38-1,0)),IF(AND($L$711=0,$P$708=0),"",$L$711-1),IF($R$17="Distrato",$E1050,0)),MIN(T$38,$D$19),$P$20))-SUM($P1050:S1050)</f>
        <v>#VALUE!</v>
      </c>
      <c r="U1050" s="446" t="e">
        <f>IF(OR($B1050="",MIN(U$38,$D$19)&lt;MAX($P$708*($B1050+IF($R$17="Distrato",$I$38-1,0)),IF(AND($L$711=0,$P$708=0),"",$L$711-1),IF($R$17="Distrato",$E1050,0))),0,YEARFRAC(MAX($P$708*($B1050+IF($R$17="Distrato",$I$38-1,0)),IF(AND($L$711=0,$P$708=0),"",$L$711-1),IF($R$17="Distrato",$E1050,0)),MIN(U$38,$D$19),$P$20))-SUM($P1050:T1050)</f>
        <v>#VALUE!</v>
      </c>
      <c r="V1050" s="446" t="e">
        <f>IF(OR($B1050="",MIN(V$38,$D$19)&lt;MAX($P$708*($B1050+IF($R$17="Distrato",$I$38-1,0)),IF(AND($L$711=0,$P$708=0),"",$L$711-1),IF($R$17="Distrato",$E1050,0))),0,YEARFRAC(MAX($P$708*($B1050+IF($R$17="Distrato",$I$38-1,0)),IF(AND($L$711=0,$P$708=0),"",$L$711-1),IF($R$17="Distrato",$E1050,0)),MIN(V$38,$D$19),$P$20))-SUM($P1050:U1050)</f>
        <v>#VALUE!</v>
      </c>
      <c r="W1050" s="446" t="e">
        <f>IF(OR($B1050="",MIN(W$38,$D$19)&lt;MAX($P$708*($B1050+IF($R$17="Distrato",$I$38-1,0)),IF(AND($L$711=0,$P$708=0),"",$L$711-1),IF($R$17="Distrato",$E1050,0))),0,YEARFRAC(MAX($P$708*($B1050+IF($R$17="Distrato",$I$38-1,0)),IF(AND($L$711=0,$P$708=0),"",$L$711-1),IF($R$17="Distrato",$E1050,0)),MIN(W$38,$D$19),$P$20))-SUM($P1050:V1050)</f>
        <v>#VALUE!</v>
      </c>
      <c r="X1050" s="446" t="e">
        <f>IF(OR($B1050="",MIN(X$38,$D$19)&lt;MAX($P$708*($B1050+IF($R$17="Distrato",$I$38-1,0)),IF(AND($L$711=0,$P$708=0),"",$L$711-1),IF($R$17="Distrato",$E1050,0))),0,YEARFRAC(MAX($P$708*($B1050+IF($R$17="Distrato",$I$38-1,0)),IF(AND($L$711=0,$P$708=0),"",$L$711-1),IF($R$17="Distrato",$E1050,0)),MIN(X$38,$D$19),$P$20))-SUM($P1050:W1050)</f>
        <v>#VALUE!</v>
      </c>
      <c r="Y1050" s="446" t="e">
        <f>IF(OR($B1050="",MIN(Y$38,$D$19)&lt;MAX($P$708*($B1050+IF($R$17="Distrato",$I$38-1,0)),IF(AND($L$711=0,$P$708=0),"",$L$711-1),IF($R$17="Distrato",$E1050,0))),0,YEARFRAC(MAX($P$708*($B1050+IF($R$17="Distrato",$I$38-1,0)),IF(AND($L$711=0,$P$708=0),"",$L$711-1),IF($R$17="Distrato",$E1050,0)),MIN(Y$38,$D$19),$P$20))-SUM($P1050:X1050)</f>
        <v>#VALUE!</v>
      </c>
      <c r="Z1050" s="446" t="e">
        <f>IF(OR($B1050="",MIN(Z$38,$D$19)&lt;MAX($P$708*($B1050+IF($R$17="Distrato",$I$38-1,0)),IF(AND($L$711=0,$P$708=0),"",$L$711-1),IF($R$17="Distrato",$E1050,0))),0,YEARFRAC(MAX($P$708*($B1050+IF($R$17="Distrato",$I$38-1,0)),IF(AND($L$711=0,$P$708=0),"",$L$711-1),IF($R$17="Distrato",$E1050,0)),MIN(Z$38,$D$19),$P$20))-SUM($P1050:Y1050)</f>
        <v>#VALUE!</v>
      </c>
      <c r="AA1050" s="446" t="e">
        <f>IF(OR($B1050="",MIN(AA$38,$D$19)&lt;MAX($P$708*($B1050+IF($R$17="Distrato",$I$38-1,0)),IF(AND($L$711=0,$P$708=0),"",$L$711-1),IF($R$17="Distrato",$E1050,0))),0,YEARFRAC(MAX($P$708*($B1050+IF($R$17="Distrato",$I$38-1,0)),IF(AND($L$711=0,$P$708=0),"",$L$711-1),IF($R$17="Distrato",$E1050,0)),MIN(AA$38,$D$19),$P$20))-SUM($P1050:Z1050)</f>
        <v>#VALUE!</v>
      </c>
      <c r="AB1050" s="446" t="e">
        <f>IF(OR($B1050="",MIN(AB$38,$D$19)&lt;MAX($P$708*($B1050+IF($R$17="Distrato",$I$38-1,0)),IF(AND($L$711=0,$P$708=0),"",$L$711-1),IF($R$17="Distrato",$E1050,0))),0,YEARFRAC(MAX($P$708*($B1050+IF($R$17="Distrato",$I$38-1,0)),IF(AND($L$711=0,$P$708=0),"",$L$711-1),IF($R$17="Distrato",$E1050,0)),MIN(AB$38,$D$19),$P$20))-SUM($P1050:AA1050)</f>
        <v>#VALUE!</v>
      </c>
      <c r="AC1050" s="446" t="e">
        <f>IF(OR($B1050="",MIN(AC$38,$D$19)&lt;MAX($P$708*($B1050+IF($R$17="Distrato",$I$38-1,0)),IF(AND($L$711=0,$P$708=0),"",$L$711-1),IF($R$17="Distrato",$E1050,0))),0,YEARFRAC(MAX($P$708*($B1050+IF($R$17="Distrato",$I$38-1,0)),IF(AND($L$711=0,$P$708=0),"",$L$711-1),IF($R$17="Distrato",$E1050,0)),MIN(AC$38,$D$19),$P$20))-SUM($P1050:AB1050)</f>
        <v>#VALUE!</v>
      </c>
      <c r="AD1050" s="446" t="e">
        <f>IF(OR($B1050="",MIN(AD$38,$D$19)&lt;MAX($P$708*($B1050+IF($R$17="Distrato",$I$38-1,0)),IF(AND($L$711=0,$P$708=0),"",$L$711-1),IF($R$17="Distrato",$E1050,0))),0,YEARFRAC(MAX($P$708*($B1050+IF($R$17="Distrato",$I$38-1,0)),IF(AND($L$711=0,$P$708=0),"",$L$711-1),IF($R$17="Distrato",$E1050,0)),MIN(AD$38,$D$19),$P$20))-SUM($P1050:AC1050)</f>
        <v>#VALUE!</v>
      </c>
      <c r="AE1050" s="446" t="e">
        <f>IF(OR($B1050="",MIN(AE$38,$D$19)&lt;MAX($P$708*($B1050+IF($R$17="Distrato",$I$38-1,0)),IF(AND($L$711=0,$P$708=0),"",$L$711-1),IF($R$17="Distrato",$E1050,0))),0,YEARFRAC(MAX($P$708*($B1050+IF($R$17="Distrato",$I$38-1,0)),IF(AND($L$711=0,$P$708=0),"",$L$711-1),IF($R$17="Distrato",$E1050,0)),MIN(AE$38,$D$19),$P$20))-SUM($P1050:AD1050)</f>
        <v>#VALUE!</v>
      </c>
      <c r="AF1050" s="446" t="e">
        <f>IF(OR($B1050="",MIN(AF$38,$D$19)&lt;MAX($P$708*($B1050+IF($R$17="Distrato",$I$38-1,0)),IF(AND($L$711=0,$P$708=0),"",$L$711-1),IF($R$17="Distrato",$E1050,0))),0,YEARFRAC(MAX($P$708*($B1050+IF($R$17="Distrato",$I$38-1,0)),IF(AND($L$711=0,$P$708=0),"",$L$711-1),IF($R$17="Distrato",$E1050,0)),MIN(AF$38,$D$19),$P$20))-SUM($P1050:AE1050)</f>
        <v>#VALUE!</v>
      </c>
      <c r="AG1050" s="446" t="e">
        <f>IF(OR($B1050="",MIN(AG$38,$D$19)&lt;MAX($P$708*($B1050+IF($R$17="Distrato",$I$38-1,0)),IF(AND($L$711=0,$P$708=0),"",$L$711-1),IF($R$17="Distrato",$E1050,0))),0,YEARFRAC(MAX($P$708*($B1050+IF($R$17="Distrato",$I$38-1,0)),IF(AND($L$711=0,$P$708=0),"",$L$711-1),IF($R$17="Distrato",$E1050,0)),MIN(AG$38,$D$19),$P$20))-SUM($P1050:AF1050)</f>
        <v>#VALUE!</v>
      </c>
      <c r="AH1050" s="446" t="e">
        <f>IF(OR($B1050="",MIN(AH$38,$D$19)&lt;MAX($P$708*($B1050+IF($R$17="Distrato",$I$38-1,0)),IF(AND($L$711=0,$P$708=0),"",$L$711-1),IF($R$17="Distrato",$E1050,0))),0,YEARFRAC(MAX($P$708*($B1050+IF($R$17="Distrato",$I$38-1,0)),IF(AND($L$711=0,$P$708=0),"",$L$711-1),IF($R$17="Distrato",$E1050,0)),MIN(AH$38,$D$19),$P$20))-SUM($P1050:AG1050)</f>
        <v>#VALUE!</v>
      </c>
      <c r="AI1050" s="446" t="e">
        <f>IF(OR($B1050="",MIN(AI$38,$D$19)&lt;MAX($P$708*($B1050+IF($R$17="Distrato",$I$38-1,0)),IF(AND($L$711=0,$P$708=0),"",$L$711-1),IF($R$17="Distrato",$E1050,0))),0,YEARFRAC(MAX($P$708*($B1050+IF($R$17="Distrato",$I$38-1,0)),IF(AND($L$711=0,$P$708=0),"",$L$711-1),IF($R$17="Distrato",$E1050,0)),MIN(AI$38,$D$19),$P$20))-SUM($P1050:AH1050)</f>
        <v>#VALUE!</v>
      </c>
      <c r="AJ1050" s="446" t="e">
        <f>IF(OR($B1050="",MIN(AJ$38,$D$19)&lt;MAX($P$708*($B1050+IF($R$17="Distrato",$I$38-1,0)),IF(AND($L$711=0,$P$708=0),"",$L$711-1),IF($R$17="Distrato",$E1050,0))),0,YEARFRAC(MAX($P$708*($B1050+IF($R$17="Distrato",$I$38-1,0)),IF(AND($L$711=0,$P$708=0),"",$L$711-1),IF($R$17="Distrato",$E1050,0)),MIN(AJ$38,$D$19),$P$20))-SUM($P1050:AI1050)</f>
        <v>#VALUE!</v>
      </c>
      <c r="AK1050" s="446" t="e">
        <f>IF(OR($B1050="",MIN(AK$38,$D$19)&lt;MAX($P$708*($B1050+IF($R$17="Distrato",$I$38-1,0)),IF(AND($L$711=0,$P$708=0),"",$L$711-1),IF($R$17="Distrato",$E1050,0))),0,YEARFRAC(MAX($P$708*($B1050+IF($R$17="Distrato",$I$38-1,0)),IF(AND($L$711=0,$P$708=0),"",$L$711-1),IF($R$17="Distrato",$E1050,0)),MIN(AK$38,$D$19),$P$20))-SUM($P1050:AJ1050)</f>
        <v>#VALUE!</v>
      </c>
      <c r="AL1050" s="446" t="e">
        <f>IF(OR($B1050="",MIN(AL$38,$D$19)&lt;MAX($P$708*($B1050+IF($R$17="Distrato",$I$38-1,0)),IF(AND($L$711=0,$P$708=0),"",$L$711-1),IF($R$17="Distrato",$E1050,0))),0,YEARFRAC(MAX($P$708*($B1050+IF($R$17="Distrato",$I$38-1,0)),IF(AND($L$711=0,$P$708=0),"",$L$711-1),IF($R$17="Distrato",$E1050,0)),MIN(AL$38,$D$19),$P$20))-SUM($P1050:AK1050)</f>
        <v>#VALUE!</v>
      </c>
      <c r="AM1050" s="446" t="e">
        <f>IF(OR($B1050="",MIN(AM$38,$D$19)&lt;MAX($P$708*($B1050+IF($R$17="Distrato",$I$38-1,0)),IF(AND($L$711=0,$P$708=0),"",$L$711-1),IF($R$17="Distrato",$E1050,0))),0,YEARFRAC(MAX($P$708*($B1050+IF($R$17="Distrato",$I$38-1,0)),IF(AND($L$711=0,$P$708=0),"",$L$711-1),IF($R$17="Distrato",$E1050,0)),MIN(AM$38,$D$19),$P$20))-SUM($P1050:AL1050)</f>
        <v>#VALUE!</v>
      </c>
      <c r="AN1050" s="446" t="e">
        <f>IF(OR($B1050="",MIN(AN$38,$D$19)&lt;MAX($P$708*($B1050+IF($R$17="Distrato",$I$38-1,0)),IF(AND($L$711=0,$P$708=0),"",$L$711-1),IF($R$17="Distrato",$E1050,0))),0,YEARFRAC(MAX($P$708*($B1050+IF($R$17="Distrato",$I$38-1,0)),IF(AND($L$711=0,$P$708=0),"",$L$711-1),IF($R$17="Distrato",$E1050,0)),MIN(AN$38,$D$19),$P$20))-SUM($P1050:AM1050)</f>
        <v>#VALUE!</v>
      </c>
      <c r="AO1050" s="446" t="e">
        <f>IF(OR($B1050="",MIN(AO$38,$D$19)&lt;MAX($P$708*($B1050+IF($R$17="Distrato",$I$38-1,0)),IF(AND($L$711=0,$P$708=0),"",$L$711-1),IF($R$17="Distrato",$E1050,0))),0,YEARFRAC(MAX($P$708*($B1050+IF($R$17="Distrato",$I$38-1,0)),IF(AND($L$711=0,$P$708=0),"",$L$711-1),IF($R$17="Distrato",$E1050,0)),MIN(AO$38,$D$19),$P$20))-SUM($P1050:AN1050)</f>
        <v>#VALUE!</v>
      </c>
      <c r="AP1050" s="446" t="e">
        <f>IF(OR($B1050="",MIN(AP$38,$D$19)&lt;MAX($P$708*($B1050+IF($R$17="Distrato",$I$38-1,0)),IF(AND($L$711=0,$P$708=0),"",$L$711-1),IF($R$17="Distrato",$E1050,0))),0,YEARFRAC(MAX($P$708*($B1050+IF($R$17="Distrato",$I$38-1,0)),IF(AND($L$711=0,$P$708=0),"",$L$711-1),IF($R$17="Distrato",$E1050,0)),MIN(AP$38,$D$19),$P$20))-SUM($P1050:AO1050)</f>
        <v>#VALUE!</v>
      </c>
      <c r="AQ1050" s="446" t="e">
        <f>IF(OR($B1050="",MIN(AQ$38,$D$19)&lt;MAX($P$708*($B1050+IF($R$17="Distrato",$I$38-1,0)),IF(AND($L$711=0,$P$708=0),"",$L$711-1),IF($R$17="Distrato",$E1050,0))),0,YEARFRAC(MAX($P$708*($B1050+IF($R$17="Distrato",$I$38-1,0)),IF(AND($L$711=0,$P$708=0),"",$L$711-1),IF($R$17="Distrato",$E1050,0)),MIN(AQ$38,$D$19),$P$20))-SUM($P1050:AP1050)</f>
        <v>#VALUE!</v>
      </c>
      <c r="AR1050" s="446" t="e">
        <f>IF(OR($B1050="",MIN(AR$38,$D$19)&lt;MAX($P$708*($B1050+IF($R$17="Distrato",$I$38-1,0)),IF(AND($L$711=0,$P$708=0),"",$L$711-1),IF($R$17="Distrato",$E1050,0))),0,YEARFRAC(MAX($P$708*($B1050+IF($R$17="Distrato",$I$38-1,0)),IF(AND($L$711=0,$P$708=0),"",$L$711-1),IF($R$17="Distrato",$E1050,0)),MIN(AR$38,$D$19),$P$20))-SUM($P1050:AQ1050)</f>
        <v>#VALUE!</v>
      </c>
      <c r="AS1050" s="446" t="e">
        <f>IF(OR($B1050="",MIN(AS$38,$D$19)&lt;MAX($P$708*($B1050+IF($R$17="Distrato",$I$38-1,0)),IF(AND($L$711=0,$P$708=0),"",$L$711-1),IF($R$17="Distrato",$E1050,0))),0,YEARFRAC(MAX($P$708*($B1050+IF($R$17="Distrato",$I$38-1,0)),IF(AND($L$711=0,$P$708=0),"",$L$711-1),IF($R$17="Distrato",$E1050,0)),MIN(AS$38,$D$19),$P$20))-SUM($P1050:AR1050)</f>
        <v>#VALUE!</v>
      </c>
      <c r="AT1050" s="446" t="e">
        <f>IF(OR($B1050="",MIN(AT$38,$D$19)&lt;MAX($P$708*($B1050+IF($R$17="Distrato",$I$38-1,0)),IF(AND($L$711=0,$P$708=0),"",$L$711-1),IF($R$17="Distrato",$E1050,0))),0,YEARFRAC(MAX($P$708*($B1050+IF($R$17="Distrato",$I$38-1,0)),IF(AND($L$711=0,$P$708=0),"",$L$711-1),IF($R$17="Distrato",$E1050,0)),MIN(AT$38,$D$19),$P$20))-SUM($P1050:AS1050)</f>
        <v>#VALUE!</v>
      </c>
      <c r="AU1050" s="446" t="e">
        <f>IF(OR($B1050="",MIN(AU$38,$D$19)&lt;MAX($P$708*($B1050+IF($R$17="Distrato",$I$38-1,0)),IF(AND($L$711=0,$P$708=0),"",$L$711-1),IF($R$17="Distrato",$E1050,0))),0,YEARFRAC(MAX($P$708*($B1050+IF($R$17="Distrato",$I$38-1,0)),IF(AND($L$711=0,$P$708=0),"",$L$711-1),IF($R$17="Distrato",$E1050,0)),MIN(AU$38,$D$19),$P$20))-SUM($P1050:AT1050)</f>
        <v>#VALUE!</v>
      </c>
      <c r="AV1050" s="446" t="e">
        <f>IF(OR($B1050="",MIN(AV$38,$D$19)&lt;MAX($P$708*($B1050+IF($R$17="Distrato",$I$38-1,0)),IF(AND($L$711=0,$P$708=0),"",$L$711-1),IF($R$17="Distrato",$E1050,0))),0,YEARFRAC(MAX($P$708*($B1050+IF($R$17="Distrato",$I$38-1,0)),IF(AND($L$711=0,$P$708=0),"",$L$711-1),IF($R$17="Distrato",$E1050,0)),MIN(AV$38,$D$19),$P$20))-SUM($P1050:AU1050)</f>
        <v>#VALUE!</v>
      </c>
      <c r="AW1050" s="446" t="e">
        <f>IF(OR($B1050="",MIN(AW$38,$D$19)&lt;MAX($P$708*($B1050+IF($R$17="Distrato",$I$38-1,0)),IF(AND($L$711=0,$P$708=0),"",$L$711-1),IF($R$17="Distrato",$E1050,0))),0,YEARFRAC(MAX($P$708*($B1050+IF($R$17="Distrato",$I$38-1,0)),IF(AND($L$711=0,$P$708=0),"",$L$711-1),IF($R$17="Distrato",$E1050,0)),MIN(AW$38,$D$19),$P$20))-SUM($P1050:AV1050)</f>
        <v>#VALUE!</v>
      </c>
      <c r="AX1050" s="446" t="e">
        <f>IF(OR($B1050="",MIN(AX$38,$D$19)&lt;MAX($P$708*($B1050+IF($R$17="Distrato",$I$38-1,0)),IF(AND($L$711=0,$P$708=0),"",$L$711-1),IF($R$17="Distrato",$E1050,0))),0,YEARFRAC(MAX($P$708*($B1050+IF($R$17="Distrato",$I$38-1,0)),IF(AND($L$711=0,$P$708=0),"",$L$711-1),IF($R$17="Distrato",$E1050,0)),MIN(AX$38,$D$19),$P$20))-SUM($P1050:AW1050)</f>
        <v>#VALUE!</v>
      </c>
      <c r="AY1050" s="446" t="e">
        <f>IF(OR($B1050="",MIN(AY$38,$D$19)&lt;MAX($P$708*($B1050+IF($R$17="Distrato",$I$38-1,0)),IF(AND($L$711=0,$P$708=0),"",$L$711-1),IF($R$17="Distrato",$E1050,0))),0,YEARFRAC(MAX($P$708*($B1050+IF($R$17="Distrato",$I$38-1,0)),IF(AND($L$711=0,$P$708=0),"",$L$711-1),IF($R$17="Distrato",$E1050,0)),MIN(AY$38,$D$19),$P$20))-SUM($P1050:AX1050)</f>
        <v>#VALUE!</v>
      </c>
      <c r="AZ1050" s="446" t="e">
        <f>IF(OR($B1050="",MIN(AZ$38,$D$19)&lt;MAX($P$708*($B1050+IF($R$17="Distrato",$I$38-1,0)),IF(AND($L$711=0,$P$708=0),"",$L$711-1),IF($R$17="Distrato",$E1050,0))),0,YEARFRAC(MAX($P$708*($B1050+IF($R$17="Distrato",$I$38-1,0)),IF(AND($L$711=0,$P$708=0),"",$L$711-1),IF($R$17="Distrato",$E1050,0)),MIN(AZ$38,$D$19),$P$20))-SUM($P1050:AY1050)</f>
        <v>#VALUE!</v>
      </c>
      <c r="BA1050" s="446" t="e">
        <f>IF(OR($B1050="",MIN(BA$38,$D$19)&lt;MAX($P$708*($B1050+IF($R$17="Distrato",$I$38-1,0)),IF(AND($L$711=0,$P$708=0),"",$L$711-1),IF($R$17="Distrato",$E1050,0))),0,YEARFRAC(MAX($P$708*($B1050+IF($R$17="Distrato",$I$38-1,0)),IF(AND($L$711=0,$P$708=0),"",$L$711-1),IF($R$17="Distrato",$E1050,0)),MIN(BA$38,$D$19),$P$20))-SUM($P1050:AZ1050)</f>
        <v>#VALUE!</v>
      </c>
      <c r="BB1050" s="447"/>
    </row>
    <row r="1051" spans="1:54" s="446" customFormat="1" ht="11.25" hidden="1" customHeight="1" x14ac:dyDescent="0.2">
      <c r="A1051" s="235"/>
      <c r="B1051" s="236"/>
      <c r="C1051" s="29" t="str">
        <f>IF(B1051="","",IF($L$709=$BL$25,VLOOKUP(DATE(YEAR($D$19),MONTH($D$19)-1,1),ÍNDICES!$A:$DE,HLOOKUP($BL$25,ÍNDICES!$B$3:$T$4,2)+11)-VLOOKUP(B1051,ÍNDICES!$A:$DE,HLOOKUP($BL$25,ÍNDICES!$B$3:$T$4,2)+11)+1%,IF(C$712=$W$26,$J$35,IF(ISERROR(IF(B1051&gt;$D$19,1,VLOOKUP(DATE(YEAR(B1051),MONTH(B1051)+IF($C$709=$S$23,1,0),1),ÍNDICES!$A:$DE,$Z$709+1))),"",IF(B1051&gt;$D$19,1,VLOOKUP(DATE(YEAR(B1051),MONTH(B1051)+IF($C$709=$S$23,1,0),1),ÍNDICES!$A:$DE,$Z$709+1))))))</f>
        <v/>
      </c>
      <c r="D1051" s="155"/>
      <c r="E1051" s="88"/>
      <c r="F1051" s="88"/>
      <c r="G1051" s="88"/>
      <c r="H1051" s="118"/>
      <c r="I1051" s="182">
        <f t="shared" si="150"/>
        <v>0</v>
      </c>
      <c r="J1051" s="20">
        <f t="shared" ca="1" si="151"/>
        <v>0</v>
      </c>
      <c r="K1051" s="5">
        <f t="shared" ca="1" si="152"/>
        <v>0</v>
      </c>
      <c r="L1051" s="61">
        <f t="shared" ca="1" si="153"/>
        <v>0</v>
      </c>
      <c r="M1051" s="64">
        <f t="shared" si="154"/>
        <v>0</v>
      </c>
      <c r="N1051" s="151"/>
      <c r="O1051" s="5">
        <f t="shared" ca="1" si="155"/>
        <v>0</v>
      </c>
      <c r="P1051" s="446" t="e">
        <f t="shared" si="156"/>
        <v>#VALUE!</v>
      </c>
      <c r="Q1051" s="446" t="e">
        <f>IF(OR($B1051="",MIN(Q$38,$D$19)&lt;MAX($P$708*($B1051+IF($R$17="Distrato",$I$38-1,0)),IF(AND($L$711=0,$P$708=0),"",$L$711-1),IF($R$17="Distrato",$E1051,0))),0,YEARFRAC(MAX($P$708*($B1051+IF($R$17="Distrato",$I$38-1,0)),IF(AND($L$711=0,$P$708=0),"",$L$711-1),IF($R$17="Distrato",$E1051,0)),MIN(Q$38,$D$19),$P$20))-SUM($P1051:P1051)</f>
        <v>#VALUE!</v>
      </c>
      <c r="R1051" s="446" t="e">
        <f>IF(OR($B1051="",MIN(R$38,$D$19)&lt;MAX($P$708*($B1051+IF($R$17="Distrato",$I$38-1,0)),IF(AND($L$711=0,$P$708=0),"",$L$711-1),IF($R$17="Distrato",$E1051,0))),0,YEARFRAC(MAX($P$708*($B1051+IF($R$17="Distrato",$I$38-1,0)),IF(AND($L$711=0,$P$708=0),"",$L$711-1),IF($R$17="Distrato",$E1051,0)),MIN(R$38,$D$19),$P$20))-SUM($P1051:Q1051)</f>
        <v>#VALUE!</v>
      </c>
      <c r="S1051" s="446" t="e">
        <f>IF(OR($B1051="",MIN(S$38,$D$19)&lt;MAX($P$708*($B1051+IF($R$17="Distrato",$I$38-1,0)),IF(AND($L$711=0,$P$708=0),"",$L$711-1),IF($R$17="Distrato",$E1051,0))),0,YEARFRAC(MAX($P$708*($B1051+IF($R$17="Distrato",$I$38-1,0)),IF(AND($L$711=0,$P$708=0),"",$L$711-1),IF($R$17="Distrato",$E1051,0)),MIN(S$38,$D$19),$P$20))-SUM($P1051:R1051)</f>
        <v>#VALUE!</v>
      </c>
      <c r="T1051" s="446" t="e">
        <f>IF(OR($B1051="",MIN(T$38,$D$19)&lt;MAX($P$708*($B1051+IF($R$17="Distrato",$I$38-1,0)),IF(AND($L$711=0,$P$708=0),"",$L$711-1),IF($R$17="Distrato",$E1051,0))),0,YEARFRAC(MAX($P$708*($B1051+IF($R$17="Distrato",$I$38-1,0)),IF(AND($L$711=0,$P$708=0),"",$L$711-1),IF($R$17="Distrato",$E1051,0)),MIN(T$38,$D$19),$P$20))-SUM($P1051:S1051)</f>
        <v>#VALUE!</v>
      </c>
      <c r="U1051" s="446" t="e">
        <f>IF(OR($B1051="",MIN(U$38,$D$19)&lt;MAX($P$708*($B1051+IF($R$17="Distrato",$I$38-1,0)),IF(AND($L$711=0,$P$708=0),"",$L$711-1),IF($R$17="Distrato",$E1051,0))),0,YEARFRAC(MAX($P$708*($B1051+IF($R$17="Distrato",$I$38-1,0)),IF(AND($L$711=0,$P$708=0),"",$L$711-1),IF($R$17="Distrato",$E1051,0)),MIN(U$38,$D$19),$P$20))-SUM($P1051:T1051)</f>
        <v>#VALUE!</v>
      </c>
      <c r="V1051" s="446" t="e">
        <f>IF(OR($B1051="",MIN(V$38,$D$19)&lt;MAX($P$708*($B1051+IF($R$17="Distrato",$I$38-1,0)),IF(AND($L$711=0,$P$708=0),"",$L$711-1),IF($R$17="Distrato",$E1051,0))),0,YEARFRAC(MAX($P$708*($B1051+IF($R$17="Distrato",$I$38-1,0)),IF(AND($L$711=0,$P$708=0),"",$L$711-1),IF($R$17="Distrato",$E1051,0)),MIN(V$38,$D$19),$P$20))-SUM($P1051:U1051)</f>
        <v>#VALUE!</v>
      </c>
      <c r="W1051" s="446" t="e">
        <f>IF(OR($B1051="",MIN(W$38,$D$19)&lt;MAX($P$708*($B1051+IF($R$17="Distrato",$I$38-1,0)),IF(AND($L$711=0,$P$708=0),"",$L$711-1),IF($R$17="Distrato",$E1051,0))),0,YEARFRAC(MAX($P$708*($B1051+IF($R$17="Distrato",$I$38-1,0)),IF(AND($L$711=0,$P$708=0),"",$L$711-1),IF($R$17="Distrato",$E1051,0)),MIN(W$38,$D$19),$P$20))-SUM($P1051:V1051)</f>
        <v>#VALUE!</v>
      </c>
      <c r="X1051" s="446" t="e">
        <f>IF(OR($B1051="",MIN(X$38,$D$19)&lt;MAX($P$708*($B1051+IF($R$17="Distrato",$I$38-1,0)),IF(AND($L$711=0,$P$708=0),"",$L$711-1),IF($R$17="Distrato",$E1051,0))),0,YEARFRAC(MAX($P$708*($B1051+IF($R$17="Distrato",$I$38-1,0)),IF(AND($L$711=0,$P$708=0),"",$L$711-1),IF($R$17="Distrato",$E1051,0)),MIN(X$38,$D$19),$P$20))-SUM($P1051:W1051)</f>
        <v>#VALUE!</v>
      </c>
      <c r="Y1051" s="446" t="e">
        <f>IF(OR($B1051="",MIN(Y$38,$D$19)&lt;MAX($P$708*($B1051+IF($R$17="Distrato",$I$38-1,0)),IF(AND($L$711=0,$P$708=0),"",$L$711-1),IF($R$17="Distrato",$E1051,0))),0,YEARFRAC(MAX($P$708*($B1051+IF($R$17="Distrato",$I$38-1,0)),IF(AND($L$711=0,$P$708=0),"",$L$711-1),IF($R$17="Distrato",$E1051,0)),MIN(Y$38,$D$19),$P$20))-SUM($P1051:X1051)</f>
        <v>#VALUE!</v>
      </c>
      <c r="Z1051" s="446" t="e">
        <f>IF(OR($B1051="",MIN(Z$38,$D$19)&lt;MAX($P$708*($B1051+IF($R$17="Distrato",$I$38-1,0)),IF(AND($L$711=0,$P$708=0),"",$L$711-1),IF($R$17="Distrato",$E1051,0))),0,YEARFRAC(MAX($P$708*($B1051+IF($R$17="Distrato",$I$38-1,0)),IF(AND($L$711=0,$P$708=0),"",$L$711-1),IF($R$17="Distrato",$E1051,0)),MIN(Z$38,$D$19),$P$20))-SUM($P1051:Y1051)</f>
        <v>#VALUE!</v>
      </c>
      <c r="AA1051" s="446" t="e">
        <f>IF(OR($B1051="",MIN(AA$38,$D$19)&lt;MAX($P$708*($B1051+IF($R$17="Distrato",$I$38-1,0)),IF(AND($L$711=0,$P$708=0),"",$L$711-1),IF($R$17="Distrato",$E1051,0))),0,YEARFRAC(MAX($P$708*($B1051+IF($R$17="Distrato",$I$38-1,0)),IF(AND($L$711=0,$P$708=0),"",$L$711-1),IF($R$17="Distrato",$E1051,0)),MIN(AA$38,$D$19),$P$20))-SUM($P1051:Z1051)</f>
        <v>#VALUE!</v>
      </c>
      <c r="AB1051" s="446" t="e">
        <f>IF(OR($B1051="",MIN(AB$38,$D$19)&lt;MAX($P$708*($B1051+IF($R$17="Distrato",$I$38-1,0)),IF(AND($L$711=0,$P$708=0),"",$L$711-1),IF($R$17="Distrato",$E1051,0))),0,YEARFRAC(MAX($P$708*($B1051+IF($R$17="Distrato",$I$38-1,0)),IF(AND($L$711=0,$P$708=0),"",$L$711-1),IF($R$17="Distrato",$E1051,0)),MIN(AB$38,$D$19),$P$20))-SUM($P1051:AA1051)</f>
        <v>#VALUE!</v>
      </c>
      <c r="AC1051" s="446" t="e">
        <f>IF(OR($B1051="",MIN(AC$38,$D$19)&lt;MAX($P$708*($B1051+IF($R$17="Distrato",$I$38-1,0)),IF(AND($L$711=0,$P$708=0),"",$L$711-1),IF($R$17="Distrato",$E1051,0))),0,YEARFRAC(MAX($P$708*($B1051+IF($R$17="Distrato",$I$38-1,0)),IF(AND($L$711=0,$P$708=0),"",$L$711-1),IF($R$17="Distrato",$E1051,0)),MIN(AC$38,$D$19),$P$20))-SUM($P1051:AB1051)</f>
        <v>#VALUE!</v>
      </c>
      <c r="AD1051" s="446" t="e">
        <f>IF(OR($B1051="",MIN(AD$38,$D$19)&lt;MAX($P$708*($B1051+IF($R$17="Distrato",$I$38-1,0)),IF(AND($L$711=0,$P$708=0),"",$L$711-1),IF($R$17="Distrato",$E1051,0))),0,YEARFRAC(MAX($P$708*($B1051+IF($R$17="Distrato",$I$38-1,0)),IF(AND($L$711=0,$P$708=0),"",$L$711-1),IF($R$17="Distrato",$E1051,0)),MIN(AD$38,$D$19),$P$20))-SUM($P1051:AC1051)</f>
        <v>#VALUE!</v>
      </c>
      <c r="AE1051" s="446" t="e">
        <f>IF(OR($B1051="",MIN(AE$38,$D$19)&lt;MAX($P$708*($B1051+IF($R$17="Distrato",$I$38-1,0)),IF(AND($L$711=0,$P$708=0),"",$L$711-1),IF($R$17="Distrato",$E1051,0))),0,YEARFRAC(MAX($P$708*($B1051+IF($R$17="Distrato",$I$38-1,0)),IF(AND($L$711=0,$P$708=0),"",$L$711-1),IF($R$17="Distrato",$E1051,0)),MIN(AE$38,$D$19),$P$20))-SUM($P1051:AD1051)</f>
        <v>#VALUE!</v>
      </c>
      <c r="AF1051" s="446" t="e">
        <f>IF(OR($B1051="",MIN(AF$38,$D$19)&lt;MAX($P$708*($B1051+IF($R$17="Distrato",$I$38-1,0)),IF(AND($L$711=0,$P$708=0),"",$L$711-1),IF($R$17="Distrato",$E1051,0))),0,YEARFRAC(MAX($P$708*($B1051+IF($R$17="Distrato",$I$38-1,0)),IF(AND($L$711=0,$P$708=0),"",$L$711-1),IF($R$17="Distrato",$E1051,0)),MIN(AF$38,$D$19),$P$20))-SUM($P1051:AE1051)</f>
        <v>#VALUE!</v>
      </c>
      <c r="AG1051" s="446" t="e">
        <f>IF(OR($B1051="",MIN(AG$38,$D$19)&lt;MAX($P$708*($B1051+IF($R$17="Distrato",$I$38-1,0)),IF(AND($L$711=0,$P$708=0),"",$L$711-1),IF($R$17="Distrato",$E1051,0))),0,YEARFRAC(MAX($P$708*($B1051+IF($R$17="Distrato",$I$38-1,0)),IF(AND($L$711=0,$P$708=0),"",$L$711-1),IF($R$17="Distrato",$E1051,0)),MIN(AG$38,$D$19),$P$20))-SUM($P1051:AF1051)</f>
        <v>#VALUE!</v>
      </c>
      <c r="AH1051" s="446" t="e">
        <f>IF(OR($B1051="",MIN(AH$38,$D$19)&lt;MAX($P$708*($B1051+IF($R$17="Distrato",$I$38-1,0)),IF(AND($L$711=0,$P$708=0),"",$L$711-1),IF($R$17="Distrato",$E1051,0))),0,YEARFRAC(MAX($P$708*($B1051+IF($R$17="Distrato",$I$38-1,0)),IF(AND($L$711=0,$P$708=0),"",$L$711-1),IF($R$17="Distrato",$E1051,0)),MIN(AH$38,$D$19),$P$20))-SUM($P1051:AG1051)</f>
        <v>#VALUE!</v>
      </c>
      <c r="AI1051" s="446" t="e">
        <f>IF(OR($B1051="",MIN(AI$38,$D$19)&lt;MAX($P$708*($B1051+IF($R$17="Distrato",$I$38-1,0)),IF(AND($L$711=0,$P$708=0),"",$L$711-1),IF($R$17="Distrato",$E1051,0))),0,YEARFRAC(MAX($P$708*($B1051+IF($R$17="Distrato",$I$38-1,0)),IF(AND($L$711=0,$P$708=0),"",$L$711-1),IF($R$17="Distrato",$E1051,0)),MIN(AI$38,$D$19),$P$20))-SUM($P1051:AH1051)</f>
        <v>#VALUE!</v>
      </c>
      <c r="AJ1051" s="446" t="e">
        <f>IF(OR($B1051="",MIN(AJ$38,$D$19)&lt;MAX($P$708*($B1051+IF($R$17="Distrato",$I$38-1,0)),IF(AND($L$711=0,$P$708=0),"",$L$711-1),IF($R$17="Distrato",$E1051,0))),0,YEARFRAC(MAX($P$708*($B1051+IF($R$17="Distrato",$I$38-1,0)),IF(AND($L$711=0,$P$708=0),"",$L$711-1),IF($R$17="Distrato",$E1051,0)),MIN(AJ$38,$D$19),$P$20))-SUM($P1051:AI1051)</f>
        <v>#VALUE!</v>
      </c>
      <c r="AK1051" s="446" t="e">
        <f>IF(OR($B1051="",MIN(AK$38,$D$19)&lt;MAX($P$708*($B1051+IF($R$17="Distrato",$I$38-1,0)),IF(AND($L$711=0,$P$708=0),"",$L$711-1),IF($R$17="Distrato",$E1051,0))),0,YEARFRAC(MAX($P$708*($B1051+IF($R$17="Distrato",$I$38-1,0)),IF(AND($L$711=0,$P$708=0),"",$L$711-1),IF($R$17="Distrato",$E1051,0)),MIN(AK$38,$D$19),$P$20))-SUM($P1051:AJ1051)</f>
        <v>#VALUE!</v>
      </c>
      <c r="AL1051" s="446" t="e">
        <f>IF(OR($B1051="",MIN(AL$38,$D$19)&lt;MAX($P$708*($B1051+IF($R$17="Distrato",$I$38-1,0)),IF(AND($L$711=0,$P$708=0),"",$L$711-1),IF($R$17="Distrato",$E1051,0))),0,YEARFRAC(MAX($P$708*($B1051+IF($R$17="Distrato",$I$38-1,0)),IF(AND($L$711=0,$P$708=0),"",$L$711-1),IF($R$17="Distrato",$E1051,0)),MIN(AL$38,$D$19),$P$20))-SUM($P1051:AK1051)</f>
        <v>#VALUE!</v>
      </c>
      <c r="AM1051" s="446" t="e">
        <f>IF(OR($B1051="",MIN(AM$38,$D$19)&lt;MAX($P$708*($B1051+IF($R$17="Distrato",$I$38-1,0)),IF(AND($L$711=0,$P$708=0),"",$L$711-1),IF($R$17="Distrato",$E1051,0))),0,YEARFRAC(MAX($P$708*($B1051+IF($R$17="Distrato",$I$38-1,0)),IF(AND($L$711=0,$P$708=0),"",$L$711-1),IF($R$17="Distrato",$E1051,0)),MIN(AM$38,$D$19),$P$20))-SUM($P1051:AL1051)</f>
        <v>#VALUE!</v>
      </c>
      <c r="AN1051" s="446" t="e">
        <f>IF(OR($B1051="",MIN(AN$38,$D$19)&lt;MAX($P$708*($B1051+IF($R$17="Distrato",$I$38-1,0)),IF(AND($L$711=0,$P$708=0),"",$L$711-1),IF($R$17="Distrato",$E1051,0))),0,YEARFRAC(MAX($P$708*($B1051+IF($R$17="Distrato",$I$38-1,0)),IF(AND($L$711=0,$P$708=0),"",$L$711-1),IF($R$17="Distrato",$E1051,0)),MIN(AN$38,$D$19),$P$20))-SUM($P1051:AM1051)</f>
        <v>#VALUE!</v>
      </c>
      <c r="AO1051" s="446" t="e">
        <f>IF(OR($B1051="",MIN(AO$38,$D$19)&lt;MAX($P$708*($B1051+IF($R$17="Distrato",$I$38-1,0)),IF(AND($L$711=0,$P$708=0),"",$L$711-1),IF($R$17="Distrato",$E1051,0))),0,YEARFRAC(MAX($P$708*($B1051+IF($R$17="Distrato",$I$38-1,0)),IF(AND($L$711=0,$P$708=0),"",$L$711-1),IF($R$17="Distrato",$E1051,0)),MIN(AO$38,$D$19),$P$20))-SUM($P1051:AN1051)</f>
        <v>#VALUE!</v>
      </c>
      <c r="AP1051" s="446" t="e">
        <f>IF(OR($B1051="",MIN(AP$38,$D$19)&lt;MAX($P$708*($B1051+IF($R$17="Distrato",$I$38-1,0)),IF(AND($L$711=0,$P$708=0),"",$L$711-1),IF($R$17="Distrato",$E1051,0))),0,YEARFRAC(MAX($P$708*($B1051+IF($R$17="Distrato",$I$38-1,0)),IF(AND($L$711=0,$P$708=0),"",$L$711-1),IF($R$17="Distrato",$E1051,0)),MIN(AP$38,$D$19),$P$20))-SUM($P1051:AO1051)</f>
        <v>#VALUE!</v>
      </c>
      <c r="AQ1051" s="446" t="e">
        <f>IF(OR($B1051="",MIN(AQ$38,$D$19)&lt;MAX($P$708*($B1051+IF($R$17="Distrato",$I$38-1,0)),IF(AND($L$711=0,$P$708=0),"",$L$711-1),IF($R$17="Distrato",$E1051,0))),0,YEARFRAC(MAX($P$708*($B1051+IF($R$17="Distrato",$I$38-1,0)),IF(AND($L$711=0,$P$708=0),"",$L$711-1),IF($R$17="Distrato",$E1051,0)),MIN(AQ$38,$D$19),$P$20))-SUM($P1051:AP1051)</f>
        <v>#VALUE!</v>
      </c>
      <c r="AR1051" s="446" t="e">
        <f>IF(OR($B1051="",MIN(AR$38,$D$19)&lt;MAX($P$708*($B1051+IF($R$17="Distrato",$I$38-1,0)),IF(AND($L$711=0,$P$708=0),"",$L$711-1),IF($R$17="Distrato",$E1051,0))),0,YEARFRAC(MAX($P$708*($B1051+IF($R$17="Distrato",$I$38-1,0)),IF(AND($L$711=0,$P$708=0),"",$L$711-1),IF($R$17="Distrato",$E1051,0)),MIN(AR$38,$D$19),$P$20))-SUM($P1051:AQ1051)</f>
        <v>#VALUE!</v>
      </c>
      <c r="AS1051" s="446" t="e">
        <f>IF(OR($B1051="",MIN(AS$38,$D$19)&lt;MAX($P$708*($B1051+IF($R$17="Distrato",$I$38-1,0)),IF(AND($L$711=0,$P$708=0),"",$L$711-1),IF($R$17="Distrato",$E1051,0))),0,YEARFRAC(MAX($P$708*($B1051+IF($R$17="Distrato",$I$38-1,0)),IF(AND($L$711=0,$P$708=0),"",$L$711-1),IF($R$17="Distrato",$E1051,0)),MIN(AS$38,$D$19),$P$20))-SUM($P1051:AR1051)</f>
        <v>#VALUE!</v>
      </c>
      <c r="AT1051" s="446" t="e">
        <f>IF(OR($B1051="",MIN(AT$38,$D$19)&lt;MAX($P$708*($B1051+IF($R$17="Distrato",$I$38-1,0)),IF(AND($L$711=0,$P$708=0),"",$L$711-1),IF($R$17="Distrato",$E1051,0))),0,YEARFRAC(MAX($P$708*($B1051+IF($R$17="Distrato",$I$38-1,0)),IF(AND($L$711=0,$P$708=0),"",$L$711-1),IF($R$17="Distrato",$E1051,0)),MIN(AT$38,$D$19),$P$20))-SUM($P1051:AS1051)</f>
        <v>#VALUE!</v>
      </c>
      <c r="AU1051" s="446" t="e">
        <f>IF(OR($B1051="",MIN(AU$38,$D$19)&lt;MAX($P$708*($B1051+IF($R$17="Distrato",$I$38-1,0)),IF(AND($L$711=0,$P$708=0),"",$L$711-1),IF($R$17="Distrato",$E1051,0))),0,YEARFRAC(MAX($P$708*($B1051+IF($R$17="Distrato",$I$38-1,0)),IF(AND($L$711=0,$P$708=0),"",$L$711-1),IF($R$17="Distrato",$E1051,0)),MIN(AU$38,$D$19),$P$20))-SUM($P1051:AT1051)</f>
        <v>#VALUE!</v>
      </c>
      <c r="AV1051" s="446" t="e">
        <f>IF(OR($B1051="",MIN(AV$38,$D$19)&lt;MAX($P$708*($B1051+IF($R$17="Distrato",$I$38-1,0)),IF(AND($L$711=0,$P$708=0),"",$L$711-1),IF($R$17="Distrato",$E1051,0))),0,YEARFRAC(MAX($P$708*($B1051+IF($R$17="Distrato",$I$38-1,0)),IF(AND($L$711=0,$P$708=0),"",$L$711-1),IF($R$17="Distrato",$E1051,0)),MIN(AV$38,$D$19),$P$20))-SUM($P1051:AU1051)</f>
        <v>#VALUE!</v>
      </c>
      <c r="AW1051" s="446" t="e">
        <f>IF(OR($B1051="",MIN(AW$38,$D$19)&lt;MAX($P$708*($B1051+IF($R$17="Distrato",$I$38-1,0)),IF(AND($L$711=0,$P$708=0),"",$L$711-1),IF($R$17="Distrato",$E1051,0))),0,YEARFRAC(MAX($P$708*($B1051+IF($R$17="Distrato",$I$38-1,0)),IF(AND($L$711=0,$P$708=0),"",$L$711-1),IF($R$17="Distrato",$E1051,0)),MIN(AW$38,$D$19),$P$20))-SUM($P1051:AV1051)</f>
        <v>#VALUE!</v>
      </c>
      <c r="AX1051" s="446" t="e">
        <f>IF(OR($B1051="",MIN(AX$38,$D$19)&lt;MAX($P$708*($B1051+IF($R$17="Distrato",$I$38-1,0)),IF(AND($L$711=0,$P$708=0),"",$L$711-1),IF($R$17="Distrato",$E1051,0))),0,YEARFRAC(MAX($P$708*($B1051+IF($R$17="Distrato",$I$38-1,0)),IF(AND($L$711=0,$P$708=0),"",$L$711-1),IF($R$17="Distrato",$E1051,0)),MIN(AX$38,$D$19),$P$20))-SUM($P1051:AW1051)</f>
        <v>#VALUE!</v>
      </c>
      <c r="AY1051" s="446" t="e">
        <f>IF(OR($B1051="",MIN(AY$38,$D$19)&lt;MAX($P$708*($B1051+IF($R$17="Distrato",$I$38-1,0)),IF(AND($L$711=0,$P$708=0),"",$L$711-1),IF($R$17="Distrato",$E1051,0))),0,YEARFRAC(MAX($P$708*($B1051+IF($R$17="Distrato",$I$38-1,0)),IF(AND($L$711=0,$P$708=0),"",$L$711-1),IF($R$17="Distrato",$E1051,0)),MIN(AY$38,$D$19),$P$20))-SUM($P1051:AX1051)</f>
        <v>#VALUE!</v>
      </c>
      <c r="AZ1051" s="446" t="e">
        <f>IF(OR($B1051="",MIN(AZ$38,$D$19)&lt;MAX($P$708*($B1051+IF($R$17="Distrato",$I$38-1,0)),IF(AND($L$711=0,$P$708=0),"",$L$711-1),IF($R$17="Distrato",$E1051,0))),0,YEARFRAC(MAX($P$708*($B1051+IF($R$17="Distrato",$I$38-1,0)),IF(AND($L$711=0,$P$708=0),"",$L$711-1),IF($R$17="Distrato",$E1051,0)),MIN(AZ$38,$D$19),$P$20))-SUM($P1051:AY1051)</f>
        <v>#VALUE!</v>
      </c>
      <c r="BA1051" s="446" t="e">
        <f>IF(OR($B1051="",MIN(BA$38,$D$19)&lt;MAX($P$708*($B1051+IF($R$17="Distrato",$I$38-1,0)),IF(AND($L$711=0,$P$708=0),"",$L$711-1),IF($R$17="Distrato",$E1051,0))),0,YEARFRAC(MAX($P$708*($B1051+IF($R$17="Distrato",$I$38-1,0)),IF(AND($L$711=0,$P$708=0),"",$L$711-1),IF($R$17="Distrato",$E1051,0)),MIN(BA$38,$D$19),$P$20))-SUM($P1051:AZ1051)</f>
        <v>#VALUE!</v>
      </c>
      <c r="BB1051" s="447"/>
    </row>
    <row r="1052" spans="1:54" s="446" customFormat="1" ht="11.25" hidden="1" customHeight="1" x14ac:dyDescent="0.2">
      <c r="A1052" s="235"/>
      <c r="B1052" s="236"/>
      <c r="C1052" s="29" t="str">
        <f>IF(B1052="","",IF($L$709=$BL$25,VLOOKUP(DATE(YEAR($D$19),MONTH($D$19)-1,1),ÍNDICES!$A:$DE,HLOOKUP($BL$25,ÍNDICES!$B$3:$T$4,2)+11)-VLOOKUP(B1052,ÍNDICES!$A:$DE,HLOOKUP($BL$25,ÍNDICES!$B$3:$T$4,2)+11)+1%,IF(C$712=$W$26,$J$35,IF(ISERROR(IF(B1052&gt;$D$19,1,VLOOKUP(DATE(YEAR(B1052),MONTH(B1052)+IF($C$709=$S$23,1,0),1),ÍNDICES!$A:$DE,$Z$709+1))),"",IF(B1052&gt;$D$19,1,VLOOKUP(DATE(YEAR(B1052),MONTH(B1052)+IF($C$709=$S$23,1,0),1),ÍNDICES!$A:$DE,$Z$709+1))))))</f>
        <v/>
      </c>
      <c r="D1052" s="155"/>
      <c r="E1052" s="88"/>
      <c r="F1052" s="88"/>
      <c r="G1052" s="88"/>
      <c r="H1052" s="118"/>
      <c r="I1052" s="182">
        <f t="shared" si="150"/>
        <v>0</v>
      </c>
      <c r="J1052" s="20">
        <f t="shared" ca="1" si="151"/>
        <v>0</v>
      </c>
      <c r="K1052" s="5">
        <f t="shared" ca="1" si="152"/>
        <v>0</v>
      </c>
      <c r="L1052" s="61">
        <f t="shared" ca="1" si="153"/>
        <v>0</v>
      </c>
      <c r="M1052" s="64">
        <f t="shared" si="154"/>
        <v>0</v>
      </c>
      <c r="N1052" s="151"/>
      <c r="O1052" s="5">
        <f t="shared" ca="1" si="155"/>
        <v>0</v>
      </c>
      <c r="P1052" s="446" t="e">
        <f t="shared" si="156"/>
        <v>#VALUE!</v>
      </c>
      <c r="Q1052" s="446" t="e">
        <f>IF(OR($B1052="",MIN(Q$38,$D$19)&lt;MAX($P$708*($B1052+IF($R$17="Distrato",$I$38-1,0)),IF(AND($L$711=0,$P$708=0),"",$L$711-1),IF($R$17="Distrato",$E1052,0))),0,YEARFRAC(MAX($P$708*($B1052+IF($R$17="Distrato",$I$38-1,0)),IF(AND($L$711=0,$P$708=0),"",$L$711-1),IF($R$17="Distrato",$E1052,0)),MIN(Q$38,$D$19),$P$20))-SUM($P1052:P1052)</f>
        <v>#VALUE!</v>
      </c>
      <c r="R1052" s="446" t="e">
        <f>IF(OR($B1052="",MIN(R$38,$D$19)&lt;MAX($P$708*($B1052+IF($R$17="Distrato",$I$38-1,0)),IF(AND($L$711=0,$P$708=0),"",$L$711-1),IF($R$17="Distrato",$E1052,0))),0,YEARFRAC(MAX($P$708*($B1052+IF($R$17="Distrato",$I$38-1,0)),IF(AND($L$711=0,$P$708=0),"",$L$711-1),IF($R$17="Distrato",$E1052,0)),MIN(R$38,$D$19),$P$20))-SUM($P1052:Q1052)</f>
        <v>#VALUE!</v>
      </c>
      <c r="S1052" s="446" t="e">
        <f>IF(OR($B1052="",MIN(S$38,$D$19)&lt;MAX($P$708*($B1052+IF($R$17="Distrato",$I$38-1,0)),IF(AND($L$711=0,$P$708=0),"",$L$711-1),IF($R$17="Distrato",$E1052,0))),0,YEARFRAC(MAX($P$708*($B1052+IF($R$17="Distrato",$I$38-1,0)),IF(AND($L$711=0,$P$708=0),"",$L$711-1),IF($R$17="Distrato",$E1052,0)),MIN(S$38,$D$19),$P$20))-SUM($P1052:R1052)</f>
        <v>#VALUE!</v>
      </c>
      <c r="T1052" s="446" t="e">
        <f>IF(OR($B1052="",MIN(T$38,$D$19)&lt;MAX($P$708*($B1052+IF($R$17="Distrato",$I$38-1,0)),IF(AND($L$711=0,$P$708=0),"",$L$711-1),IF($R$17="Distrato",$E1052,0))),0,YEARFRAC(MAX($P$708*($B1052+IF($R$17="Distrato",$I$38-1,0)),IF(AND($L$711=0,$P$708=0),"",$L$711-1),IF($R$17="Distrato",$E1052,0)),MIN(T$38,$D$19),$P$20))-SUM($P1052:S1052)</f>
        <v>#VALUE!</v>
      </c>
      <c r="U1052" s="446" t="e">
        <f>IF(OR($B1052="",MIN(U$38,$D$19)&lt;MAX($P$708*($B1052+IF($R$17="Distrato",$I$38-1,0)),IF(AND($L$711=0,$P$708=0),"",$L$711-1),IF($R$17="Distrato",$E1052,0))),0,YEARFRAC(MAX($P$708*($B1052+IF($R$17="Distrato",$I$38-1,0)),IF(AND($L$711=0,$P$708=0),"",$L$711-1),IF($R$17="Distrato",$E1052,0)),MIN(U$38,$D$19),$P$20))-SUM($P1052:T1052)</f>
        <v>#VALUE!</v>
      </c>
      <c r="V1052" s="446" t="e">
        <f>IF(OR($B1052="",MIN(V$38,$D$19)&lt;MAX($P$708*($B1052+IF($R$17="Distrato",$I$38-1,0)),IF(AND($L$711=0,$P$708=0),"",$L$711-1),IF($R$17="Distrato",$E1052,0))),0,YEARFRAC(MAX($P$708*($B1052+IF($R$17="Distrato",$I$38-1,0)),IF(AND($L$711=0,$P$708=0),"",$L$711-1),IF($R$17="Distrato",$E1052,0)),MIN(V$38,$D$19),$P$20))-SUM($P1052:U1052)</f>
        <v>#VALUE!</v>
      </c>
      <c r="W1052" s="446" t="e">
        <f>IF(OR($B1052="",MIN(W$38,$D$19)&lt;MAX($P$708*($B1052+IF($R$17="Distrato",$I$38-1,0)),IF(AND($L$711=0,$P$708=0),"",$L$711-1),IF($R$17="Distrato",$E1052,0))),0,YEARFRAC(MAX($P$708*($B1052+IF($R$17="Distrato",$I$38-1,0)),IF(AND($L$711=0,$P$708=0),"",$L$711-1),IF($R$17="Distrato",$E1052,0)),MIN(W$38,$D$19),$P$20))-SUM($P1052:V1052)</f>
        <v>#VALUE!</v>
      </c>
      <c r="X1052" s="446" t="e">
        <f>IF(OR($B1052="",MIN(X$38,$D$19)&lt;MAX($P$708*($B1052+IF($R$17="Distrato",$I$38-1,0)),IF(AND($L$711=0,$P$708=0),"",$L$711-1),IF($R$17="Distrato",$E1052,0))),0,YEARFRAC(MAX($P$708*($B1052+IF($R$17="Distrato",$I$38-1,0)),IF(AND($L$711=0,$P$708=0),"",$L$711-1),IF($R$17="Distrato",$E1052,0)),MIN(X$38,$D$19),$P$20))-SUM($P1052:W1052)</f>
        <v>#VALUE!</v>
      </c>
      <c r="Y1052" s="446" t="e">
        <f>IF(OR($B1052="",MIN(Y$38,$D$19)&lt;MAX($P$708*($B1052+IF($R$17="Distrato",$I$38-1,0)),IF(AND($L$711=0,$P$708=0),"",$L$711-1),IF($R$17="Distrato",$E1052,0))),0,YEARFRAC(MAX($P$708*($B1052+IF($R$17="Distrato",$I$38-1,0)),IF(AND($L$711=0,$P$708=0),"",$L$711-1),IF($R$17="Distrato",$E1052,0)),MIN(Y$38,$D$19),$P$20))-SUM($P1052:X1052)</f>
        <v>#VALUE!</v>
      </c>
      <c r="Z1052" s="446" t="e">
        <f>IF(OR($B1052="",MIN(Z$38,$D$19)&lt;MAX($P$708*($B1052+IF($R$17="Distrato",$I$38-1,0)),IF(AND($L$711=0,$P$708=0),"",$L$711-1),IF($R$17="Distrato",$E1052,0))),0,YEARFRAC(MAX($P$708*($B1052+IF($R$17="Distrato",$I$38-1,0)),IF(AND($L$711=0,$P$708=0),"",$L$711-1),IF($R$17="Distrato",$E1052,0)),MIN(Z$38,$D$19),$P$20))-SUM($P1052:Y1052)</f>
        <v>#VALUE!</v>
      </c>
      <c r="AA1052" s="446" t="e">
        <f>IF(OR($B1052="",MIN(AA$38,$D$19)&lt;MAX($P$708*($B1052+IF($R$17="Distrato",$I$38-1,0)),IF(AND($L$711=0,$P$708=0),"",$L$711-1),IF($R$17="Distrato",$E1052,0))),0,YEARFRAC(MAX($P$708*($B1052+IF($R$17="Distrato",$I$38-1,0)),IF(AND($L$711=0,$P$708=0),"",$L$711-1),IF($R$17="Distrato",$E1052,0)),MIN(AA$38,$D$19),$P$20))-SUM($P1052:Z1052)</f>
        <v>#VALUE!</v>
      </c>
      <c r="AB1052" s="446" t="e">
        <f>IF(OR($B1052="",MIN(AB$38,$D$19)&lt;MAX($P$708*($B1052+IF($R$17="Distrato",$I$38-1,0)),IF(AND($L$711=0,$P$708=0),"",$L$711-1),IF($R$17="Distrato",$E1052,0))),0,YEARFRAC(MAX($P$708*($B1052+IF($R$17="Distrato",$I$38-1,0)),IF(AND($L$711=0,$P$708=0),"",$L$711-1),IF($R$17="Distrato",$E1052,0)),MIN(AB$38,$D$19),$P$20))-SUM($P1052:AA1052)</f>
        <v>#VALUE!</v>
      </c>
      <c r="AC1052" s="446" t="e">
        <f>IF(OR($B1052="",MIN(AC$38,$D$19)&lt;MAX($P$708*($B1052+IF($R$17="Distrato",$I$38-1,0)),IF(AND($L$711=0,$P$708=0),"",$L$711-1),IF($R$17="Distrato",$E1052,0))),0,YEARFRAC(MAX($P$708*($B1052+IF($R$17="Distrato",$I$38-1,0)),IF(AND($L$711=0,$P$708=0),"",$L$711-1),IF($R$17="Distrato",$E1052,0)),MIN(AC$38,$D$19),$P$20))-SUM($P1052:AB1052)</f>
        <v>#VALUE!</v>
      </c>
      <c r="AD1052" s="446" t="e">
        <f>IF(OR($B1052="",MIN(AD$38,$D$19)&lt;MAX($P$708*($B1052+IF($R$17="Distrato",$I$38-1,0)),IF(AND($L$711=0,$P$708=0),"",$L$711-1),IF($R$17="Distrato",$E1052,0))),0,YEARFRAC(MAX($P$708*($B1052+IF($R$17="Distrato",$I$38-1,0)),IF(AND($L$711=0,$P$708=0),"",$L$711-1),IF($R$17="Distrato",$E1052,0)),MIN(AD$38,$D$19),$P$20))-SUM($P1052:AC1052)</f>
        <v>#VALUE!</v>
      </c>
      <c r="AE1052" s="446" t="e">
        <f>IF(OR($B1052="",MIN(AE$38,$D$19)&lt;MAX($P$708*($B1052+IF($R$17="Distrato",$I$38-1,0)),IF(AND($L$711=0,$P$708=0),"",$L$711-1),IF($R$17="Distrato",$E1052,0))),0,YEARFRAC(MAX($P$708*($B1052+IF($R$17="Distrato",$I$38-1,0)),IF(AND($L$711=0,$P$708=0),"",$L$711-1),IF($R$17="Distrato",$E1052,0)),MIN(AE$38,$D$19),$P$20))-SUM($P1052:AD1052)</f>
        <v>#VALUE!</v>
      </c>
      <c r="AF1052" s="446" t="e">
        <f>IF(OR($B1052="",MIN(AF$38,$D$19)&lt;MAX($P$708*($B1052+IF($R$17="Distrato",$I$38-1,0)),IF(AND($L$711=0,$P$708=0),"",$L$711-1),IF($R$17="Distrato",$E1052,0))),0,YEARFRAC(MAX($P$708*($B1052+IF($R$17="Distrato",$I$38-1,0)),IF(AND($L$711=0,$P$708=0),"",$L$711-1),IF($R$17="Distrato",$E1052,0)),MIN(AF$38,$D$19),$P$20))-SUM($P1052:AE1052)</f>
        <v>#VALUE!</v>
      </c>
      <c r="AG1052" s="446" t="e">
        <f>IF(OR($B1052="",MIN(AG$38,$D$19)&lt;MAX($P$708*($B1052+IF($R$17="Distrato",$I$38-1,0)),IF(AND($L$711=0,$P$708=0),"",$L$711-1),IF($R$17="Distrato",$E1052,0))),0,YEARFRAC(MAX($P$708*($B1052+IF($R$17="Distrato",$I$38-1,0)),IF(AND($L$711=0,$P$708=0),"",$L$711-1),IF($R$17="Distrato",$E1052,0)),MIN(AG$38,$D$19),$P$20))-SUM($P1052:AF1052)</f>
        <v>#VALUE!</v>
      </c>
      <c r="AH1052" s="446" t="e">
        <f>IF(OR($B1052="",MIN(AH$38,$D$19)&lt;MAX($P$708*($B1052+IF($R$17="Distrato",$I$38-1,0)),IF(AND($L$711=0,$P$708=0),"",$L$711-1),IF($R$17="Distrato",$E1052,0))),0,YEARFRAC(MAX($P$708*($B1052+IF($R$17="Distrato",$I$38-1,0)),IF(AND($L$711=0,$P$708=0),"",$L$711-1),IF($R$17="Distrato",$E1052,0)),MIN(AH$38,$D$19),$P$20))-SUM($P1052:AG1052)</f>
        <v>#VALUE!</v>
      </c>
      <c r="AI1052" s="446" t="e">
        <f>IF(OR($B1052="",MIN(AI$38,$D$19)&lt;MAX($P$708*($B1052+IF($R$17="Distrato",$I$38-1,0)),IF(AND($L$711=0,$P$708=0),"",$L$711-1),IF($R$17="Distrato",$E1052,0))),0,YEARFRAC(MAX($P$708*($B1052+IF($R$17="Distrato",$I$38-1,0)),IF(AND($L$711=0,$P$708=0),"",$L$711-1),IF($R$17="Distrato",$E1052,0)),MIN(AI$38,$D$19),$P$20))-SUM($P1052:AH1052)</f>
        <v>#VALUE!</v>
      </c>
      <c r="AJ1052" s="446" t="e">
        <f>IF(OR($B1052="",MIN(AJ$38,$D$19)&lt;MAX($P$708*($B1052+IF($R$17="Distrato",$I$38-1,0)),IF(AND($L$711=0,$P$708=0),"",$L$711-1),IF($R$17="Distrato",$E1052,0))),0,YEARFRAC(MAX($P$708*($B1052+IF($R$17="Distrato",$I$38-1,0)),IF(AND($L$711=0,$P$708=0),"",$L$711-1),IF($R$17="Distrato",$E1052,0)),MIN(AJ$38,$D$19),$P$20))-SUM($P1052:AI1052)</f>
        <v>#VALUE!</v>
      </c>
      <c r="AK1052" s="446" t="e">
        <f>IF(OR($B1052="",MIN(AK$38,$D$19)&lt;MAX($P$708*($B1052+IF($R$17="Distrato",$I$38-1,0)),IF(AND($L$711=0,$P$708=0),"",$L$711-1),IF($R$17="Distrato",$E1052,0))),0,YEARFRAC(MAX($P$708*($B1052+IF($R$17="Distrato",$I$38-1,0)),IF(AND($L$711=0,$P$708=0),"",$L$711-1),IF($R$17="Distrato",$E1052,0)),MIN(AK$38,$D$19),$P$20))-SUM($P1052:AJ1052)</f>
        <v>#VALUE!</v>
      </c>
      <c r="AL1052" s="446" t="e">
        <f>IF(OR($B1052="",MIN(AL$38,$D$19)&lt;MAX($P$708*($B1052+IF($R$17="Distrato",$I$38-1,0)),IF(AND($L$711=0,$P$708=0),"",$L$711-1),IF($R$17="Distrato",$E1052,0))),0,YEARFRAC(MAX($P$708*($B1052+IF($R$17="Distrato",$I$38-1,0)),IF(AND($L$711=0,$P$708=0),"",$L$711-1),IF($R$17="Distrato",$E1052,0)),MIN(AL$38,$D$19),$P$20))-SUM($P1052:AK1052)</f>
        <v>#VALUE!</v>
      </c>
      <c r="AM1052" s="446" t="e">
        <f>IF(OR($B1052="",MIN(AM$38,$D$19)&lt;MAX($P$708*($B1052+IF($R$17="Distrato",$I$38-1,0)),IF(AND($L$711=0,$P$708=0),"",$L$711-1),IF($R$17="Distrato",$E1052,0))),0,YEARFRAC(MAX($P$708*($B1052+IF($R$17="Distrato",$I$38-1,0)),IF(AND($L$711=0,$P$708=0),"",$L$711-1),IF($R$17="Distrato",$E1052,0)),MIN(AM$38,$D$19),$P$20))-SUM($P1052:AL1052)</f>
        <v>#VALUE!</v>
      </c>
      <c r="AN1052" s="446" t="e">
        <f>IF(OR($B1052="",MIN(AN$38,$D$19)&lt;MAX($P$708*($B1052+IF($R$17="Distrato",$I$38-1,0)),IF(AND($L$711=0,$P$708=0),"",$L$711-1),IF($R$17="Distrato",$E1052,0))),0,YEARFRAC(MAX($P$708*($B1052+IF($R$17="Distrato",$I$38-1,0)),IF(AND($L$711=0,$P$708=0),"",$L$711-1),IF($R$17="Distrato",$E1052,0)),MIN(AN$38,$D$19),$P$20))-SUM($P1052:AM1052)</f>
        <v>#VALUE!</v>
      </c>
      <c r="AO1052" s="446" t="e">
        <f>IF(OR($B1052="",MIN(AO$38,$D$19)&lt;MAX($P$708*($B1052+IF($R$17="Distrato",$I$38-1,0)),IF(AND($L$711=0,$P$708=0),"",$L$711-1),IF($R$17="Distrato",$E1052,0))),0,YEARFRAC(MAX($P$708*($B1052+IF($R$17="Distrato",$I$38-1,0)),IF(AND($L$711=0,$P$708=0),"",$L$711-1),IF($R$17="Distrato",$E1052,0)),MIN(AO$38,$D$19),$P$20))-SUM($P1052:AN1052)</f>
        <v>#VALUE!</v>
      </c>
      <c r="AP1052" s="446" t="e">
        <f>IF(OR($B1052="",MIN(AP$38,$D$19)&lt;MAX($P$708*($B1052+IF($R$17="Distrato",$I$38-1,0)),IF(AND($L$711=0,$P$708=0),"",$L$711-1),IF($R$17="Distrato",$E1052,0))),0,YEARFRAC(MAX($P$708*($B1052+IF($R$17="Distrato",$I$38-1,0)),IF(AND($L$711=0,$P$708=0),"",$L$711-1),IF($R$17="Distrato",$E1052,0)),MIN(AP$38,$D$19),$P$20))-SUM($P1052:AO1052)</f>
        <v>#VALUE!</v>
      </c>
      <c r="AQ1052" s="446" t="e">
        <f>IF(OR($B1052="",MIN(AQ$38,$D$19)&lt;MAX($P$708*($B1052+IF($R$17="Distrato",$I$38-1,0)),IF(AND($L$711=0,$P$708=0),"",$L$711-1),IF($R$17="Distrato",$E1052,0))),0,YEARFRAC(MAX($P$708*($B1052+IF($R$17="Distrato",$I$38-1,0)),IF(AND($L$711=0,$P$708=0),"",$L$711-1),IF($R$17="Distrato",$E1052,0)),MIN(AQ$38,$D$19),$P$20))-SUM($P1052:AP1052)</f>
        <v>#VALUE!</v>
      </c>
      <c r="AR1052" s="446" t="e">
        <f>IF(OR($B1052="",MIN(AR$38,$D$19)&lt;MAX($P$708*($B1052+IF($R$17="Distrato",$I$38-1,0)),IF(AND($L$711=0,$P$708=0),"",$L$711-1),IF($R$17="Distrato",$E1052,0))),0,YEARFRAC(MAX($P$708*($B1052+IF($R$17="Distrato",$I$38-1,0)),IF(AND($L$711=0,$P$708=0),"",$L$711-1),IF($R$17="Distrato",$E1052,0)),MIN(AR$38,$D$19),$P$20))-SUM($P1052:AQ1052)</f>
        <v>#VALUE!</v>
      </c>
      <c r="AS1052" s="446" t="e">
        <f>IF(OR($B1052="",MIN(AS$38,$D$19)&lt;MAX($P$708*($B1052+IF($R$17="Distrato",$I$38-1,0)),IF(AND($L$711=0,$P$708=0),"",$L$711-1),IF($R$17="Distrato",$E1052,0))),0,YEARFRAC(MAX($P$708*($B1052+IF($R$17="Distrato",$I$38-1,0)),IF(AND($L$711=0,$P$708=0),"",$L$711-1),IF($R$17="Distrato",$E1052,0)),MIN(AS$38,$D$19),$P$20))-SUM($P1052:AR1052)</f>
        <v>#VALUE!</v>
      </c>
      <c r="AT1052" s="446" t="e">
        <f>IF(OR($B1052="",MIN(AT$38,$D$19)&lt;MAX($P$708*($B1052+IF($R$17="Distrato",$I$38-1,0)),IF(AND($L$711=0,$P$708=0),"",$L$711-1),IF($R$17="Distrato",$E1052,0))),0,YEARFRAC(MAX($P$708*($B1052+IF($R$17="Distrato",$I$38-1,0)),IF(AND($L$711=0,$P$708=0),"",$L$711-1),IF($R$17="Distrato",$E1052,0)),MIN(AT$38,$D$19),$P$20))-SUM($P1052:AS1052)</f>
        <v>#VALUE!</v>
      </c>
      <c r="AU1052" s="446" t="e">
        <f>IF(OR($B1052="",MIN(AU$38,$D$19)&lt;MAX($P$708*($B1052+IF($R$17="Distrato",$I$38-1,0)),IF(AND($L$711=0,$P$708=0),"",$L$711-1),IF($R$17="Distrato",$E1052,0))),0,YEARFRAC(MAX($P$708*($B1052+IF($R$17="Distrato",$I$38-1,0)),IF(AND($L$711=0,$P$708=0),"",$L$711-1),IF($R$17="Distrato",$E1052,0)),MIN(AU$38,$D$19),$P$20))-SUM($P1052:AT1052)</f>
        <v>#VALUE!</v>
      </c>
      <c r="AV1052" s="446" t="e">
        <f>IF(OR($B1052="",MIN(AV$38,$D$19)&lt;MAX($P$708*($B1052+IF($R$17="Distrato",$I$38-1,0)),IF(AND($L$711=0,$P$708=0),"",$L$711-1),IF($R$17="Distrato",$E1052,0))),0,YEARFRAC(MAX($P$708*($B1052+IF($R$17="Distrato",$I$38-1,0)),IF(AND($L$711=0,$P$708=0),"",$L$711-1),IF($R$17="Distrato",$E1052,0)),MIN(AV$38,$D$19),$P$20))-SUM($P1052:AU1052)</f>
        <v>#VALUE!</v>
      </c>
      <c r="AW1052" s="446" t="e">
        <f>IF(OR($B1052="",MIN(AW$38,$D$19)&lt;MAX($P$708*($B1052+IF($R$17="Distrato",$I$38-1,0)),IF(AND($L$711=0,$P$708=0),"",$L$711-1),IF($R$17="Distrato",$E1052,0))),0,YEARFRAC(MAX($P$708*($B1052+IF($R$17="Distrato",$I$38-1,0)),IF(AND($L$711=0,$P$708=0),"",$L$711-1),IF($R$17="Distrato",$E1052,0)),MIN(AW$38,$D$19),$P$20))-SUM($P1052:AV1052)</f>
        <v>#VALUE!</v>
      </c>
      <c r="AX1052" s="446" t="e">
        <f>IF(OR($B1052="",MIN(AX$38,$D$19)&lt;MAX($P$708*($B1052+IF($R$17="Distrato",$I$38-1,0)),IF(AND($L$711=0,$P$708=0),"",$L$711-1),IF($R$17="Distrato",$E1052,0))),0,YEARFRAC(MAX($P$708*($B1052+IF($R$17="Distrato",$I$38-1,0)),IF(AND($L$711=0,$P$708=0),"",$L$711-1),IF($R$17="Distrato",$E1052,0)),MIN(AX$38,$D$19),$P$20))-SUM($P1052:AW1052)</f>
        <v>#VALUE!</v>
      </c>
      <c r="AY1052" s="446" t="e">
        <f>IF(OR($B1052="",MIN(AY$38,$D$19)&lt;MAX($P$708*($B1052+IF($R$17="Distrato",$I$38-1,0)),IF(AND($L$711=0,$P$708=0),"",$L$711-1),IF($R$17="Distrato",$E1052,0))),0,YEARFRAC(MAX($P$708*($B1052+IF($R$17="Distrato",$I$38-1,0)),IF(AND($L$711=0,$P$708=0),"",$L$711-1),IF($R$17="Distrato",$E1052,0)),MIN(AY$38,$D$19),$P$20))-SUM($P1052:AX1052)</f>
        <v>#VALUE!</v>
      </c>
      <c r="AZ1052" s="446" t="e">
        <f>IF(OR($B1052="",MIN(AZ$38,$D$19)&lt;MAX($P$708*($B1052+IF($R$17="Distrato",$I$38-1,0)),IF(AND($L$711=0,$P$708=0),"",$L$711-1),IF($R$17="Distrato",$E1052,0))),0,YEARFRAC(MAX($P$708*($B1052+IF($R$17="Distrato",$I$38-1,0)),IF(AND($L$711=0,$P$708=0),"",$L$711-1),IF($R$17="Distrato",$E1052,0)),MIN(AZ$38,$D$19),$P$20))-SUM($P1052:AY1052)</f>
        <v>#VALUE!</v>
      </c>
      <c r="BA1052" s="446" t="e">
        <f>IF(OR($B1052="",MIN(BA$38,$D$19)&lt;MAX($P$708*($B1052+IF($R$17="Distrato",$I$38-1,0)),IF(AND($L$711=0,$P$708=0),"",$L$711-1),IF($R$17="Distrato",$E1052,0))),0,YEARFRAC(MAX($P$708*($B1052+IF($R$17="Distrato",$I$38-1,0)),IF(AND($L$711=0,$P$708=0),"",$L$711-1),IF($R$17="Distrato",$E1052,0)),MIN(BA$38,$D$19),$P$20))-SUM($P1052:AZ1052)</f>
        <v>#VALUE!</v>
      </c>
      <c r="BB1052" s="447"/>
    </row>
    <row r="1053" spans="1:54" s="446" customFormat="1" ht="11.25" hidden="1" customHeight="1" x14ac:dyDescent="0.2">
      <c r="A1053" s="235"/>
      <c r="B1053" s="236"/>
      <c r="C1053" s="29" t="str">
        <f>IF(B1053="","",IF($L$709=$BL$25,VLOOKUP(DATE(YEAR($D$19),MONTH($D$19)-1,1),ÍNDICES!$A:$DE,HLOOKUP($BL$25,ÍNDICES!$B$3:$T$4,2)+11)-VLOOKUP(B1053,ÍNDICES!$A:$DE,HLOOKUP($BL$25,ÍNDICES!$B$3:$T$4,2)+11)+1%,IF(C$712=$W$26,$J$35,IF(ISERROR(IF(B1053&gt;$D$19,1,VLOOKUP(DATE(YEAR(B1053),MONTH(B1053)+IF($C$709=$S$23,1,0),1),ÍNDICES!$A:$DE,$Z$709+1))),"",IF(B1053&gt;$D$19,1,VLOOKUP(DATE(YEAR(B1053),MONTH(B1053)+IF($C$709=$S$23,1,0),1),ÍNDICES!$A:$DE,$Z$709+1))))))</f>
        <v/>
      </c>
      <c r="D1053" s="155"/>
      <c r="E1053" s="88"/>
      <c r="F1053" s="88"/>
      <c r="G1053" s="88"/>
      <c r="H1053" s="118"/>
      <c r="I1053" s="182">
        <f t="shared" si="150"/>
        <v>0</v>
      </c>
      <c r="J1053" s="20">
        <f t="shared" ca="1" si="151"/>
        <v>0</v>
      </c>
      <c r="K1053" s="5">
        <f t="shared" ca="1" si="152"/>
        <v>0</v>
      </c>
      <c r="L1053" s="61">
        <f t="shared" ca="1" si="153"/>
        <v>0</v>
      </c>
      <c r="M1053" s="64">
        <f t="shared" si="154"/>
        <v>0</v>
      </c>
      <c r="N1053" s="151"/>
      <c r="O1053" s="5">
        <f t="shared" ca="1" si="155"/>
        <v>0</v>
      </c>
      <c r="P1053" s="446" t="e">
        <f t="shared" si="156"/>
        <v>#VALUE!</v>
      </c>
      <c r="Q1053" s="446" t="e">
        <f>IF(OR($B1053="",MIN(Q$38,$D$19)&lt;MAX($P$708*($B1053+IF($R$17="Distrato",$I$38-1,0)),IF(AND($L$711=0,$P$708=0),"",$L$711-1),IF($R$17="Distrato",$E1053,0))),0,YEARFRAC(MAX($P$708*($B1053+IF($R$17="Distrato",$I$38-1,0)),IF(AND($L$711=0,$P$708=0),"",$L$711-1),IF($R$17="Distrato",$E1053,0)),MIN(Q$38,$D$19),$P$20))-SUM($P1053:P1053)</f>
        <v>#VALUE!</v>
      </c>
      <c r="R1053" s="446" t="e">
        <f>IF(OR($B1053="",MIN(R$38,$D$19)&lt;MAX($P$708*($B1053+IF($R$17="Distrato",$I$38-1,0)),IF(AND($L$711=0,$P$708=0),"",$L$711-1),IF($R$17="Distrato",$E1053,0))),0,YEARFRAC(MAX($P$708*($B1053+IF($R$17="Distrato",$I$38-1,0)),IF(AND($L$711=0,$P$708=0),"",$L$711-1),IF($R$17="Distrato",$E1053,0)),MIN(R$38,$D$19),$P$20))-SUM($P1053:Q1053)</f>
        <v>#VALUE!</v>
      </c>
      <c r="S1053" s="446" t="e">
        <f>IF(OR($B1053="",MIN(S$38,$D$19)&lt;MAX($P$708*($B1053+IF($R$17="Distrato",$I$38-1,0)),IF(AND($L$711=0,$P$708=0),"",$L$711-1),IF($R$17="Distrato",$E1053,0))),0,YEARFRAC(MAX($P$708*($B1053+IF($R$17="Distrato",$I$38-1,0)),IF(AND($L$711=0,$P$708=0),"",$L$711-1),IF($R$17="Distrato",$E1053,0)),MIN(S$38,$D$19),$P$20))-SUM($P1053:R1053)</f>
        <v>#VALUE!</v>
      </c>
      <c r="T1053" s="446" t="e">
        <f>IF(OR($B1053="",MIN(T$38,$D$19)&lt;MAX($P$708*($B1053+IF($R$17="Distrato",$I$38-1,0)),IF(AND($L$711=0,$P$708=0),"",$L$711-1),IF($R$17="Distrato",$E1053,0))),0,YEARFRAC(MAX($P$708*($B1053+IF($R$17="Distrato",$I$38-1,0)),IF(AND($L$711=0,$P$708=0),"",$L$711-1),IF($R$17="Distrato",$E1053,0)),MIN(T$38,$D$19),$P$20))-SUM($P1053:S1053)</f>
        <v>#VALUE!</v>
      </c>
      <c r="U1053" s="446" t="e">
        <f>IF(OR($B1053="",MIN(U$38,$D$19)&lt;MAX($P$708*($B1053+IF($R$17="Distrato",$I$38-1,0)),IF(AND($L$711=0,$P$708=0),"",$L$711-1),IF($R$17="Distrato",$E1053,0))),0,YEARFRAC(MAX($P$708*($B1053+IF($R$17="Distrato",$I$38-1,0)),IF(AND($L$711=0,$P$708=0),"",$L$711-1),IF($R$17="Distrato",$E1053,0)),MIN(U$38,$D$19),$P$20))-SUM($P1053:T1053)</f>
        <v>#VALUE!</v>
      </c>
      <c r="V1053" s="446" t="e">
        <f>IF(OR($B1053="",MIN(V$38,$D$19)&lt;MAX($P$708*($B1053+IF($R$17="Distrato",$I$38-1,0)),IF(AND($L$711=0,$P$708=0),"",$L$711-1),IF($R$17="Distrato",$E1053,0))),0,YEARFRAC(MAX($P$708*($B1053+IF($R$17="Distrato",$I$38-1,0)),IF(AND($L$711=0,$P$708=0),"",$L$711-1),IF($R$17="Distrato",$E1053,0)),MIN(V$38,$D$19),$P$20))-SUM($P1053:U1053)</f>
        <v>#VALUE!</v>
      </c>
      <c r="W1053" s="446" t="e">
        <f>IF(OR($B1053="",MIN(W$38,$D$19)&lt;MAX($P$708*($B1053+IF($R$17="Distrato",$I$38-1,0)),IF(AND($L$711=0,$P$708=0),"",$L$711-1),IF($R$17="Distrato",$E1053,0))),0,YEARFRAC(MAX($P$708*($B1053+IF($R$17="Distrato",$I$38-1,0)),IF(AND($L$711=0,$P$708=0),"",$L$711-1),IF($R$17="Distrato",$E1053,0)),MIN(W$38,$D$19),$P$20))-SUM($P1053:V1053)</f>
        <v>#VALUE!</v>
      </c>
      <c r="X1053" s="446" t="e">
        <f>IF(OR($B1053="",MIN(X$38,$D$19)&lt;MAX($P$708*($B1053+IF($R$17="Distrato",$I$38-1,0)),IF(AND($L$711=0,$P$708=0),"",$L$711-1),IF($R$17="Distrato",$E1053,0))),0,YEARFRAC(MAX($P$708*($B1053+IF($R$17="Distrato",$I$38-1,0)),IF(AND($L$711=0,$P$708=0),"",$L$711-1),IF($R$17="Distrato",$E1053,0)),MIN(X$38,$D$19),$P$20))-SUM($P1053:W1053)</f>
        <v>#VALUE!</v>
      </c>
      <c r="Y1053" s="446" t="e">
        <f>IF(OR($B1053="",MIN(Y$38,$D$19)&lt;MAX($P$708*($B1053+IF($R$17="Distrato",$I$38-1,0)),IF(AND($L$711=0,$P$708=0),"",$L$711-1),IF($R$17="Distrato",$E1053,0))),0,YEARFRAC(MAX($P$708*($B1053+IF($R$17="Distrato",$I$38-1,0)),IF(AND($L$711=0,$P$708=0),"",$L$711-1),IF($R$17="Distrato",$E1053,0)),MIN(Y$38,$D$19),$P$20))-SUM($P1053:X1053)</f>
        <v>#VALUE!</v>
      </c>
      <c r="Z1053" s="446" t="e">
        <f>IF(OR($B1053="",MIN(Z$38,$D$19)&lt;MAX($P$708*($B1053+IF($R$17="Distrato",$I$38-1,0)),IF(AND($L$711=0,$P$708=0),"",$L$711-1),IF($R$17="Distrato",$E1053,0))),0,YEARFRAC(MAX($P$708*($B1053+IF($R$17="Distrato",$I$38-1,0)),IF(AND($L$711=0,$P$708=0),"",$L$711-1),IF($R$17="Distrato",$E1053,0)),MIN(Z$38,$D$19),$P$20))-SUM($P1053:Y1053)</f>
        <v>#VALUE!</v>
      </c>
      <c r="AA1053" s="446" t="e">
        <f>IF(OR($B1053="",MIN(AA$38,$D$19)&lt;MAX($P$708*($B1053+IF($R$17="Distrato",$I$38-1,0)),IF(AND($L$711=0,$P$708=0),"",$L$711-1),IF($R$17="Distrato",$E1053,0))),0,YEARFRAC(MAX($P$708*($B1053+IF($R$17="Distrato",$I$38-1,0)),IF(AND($L$711=0,$P$708=0),"",$L$711-1),IF($R$17="Distrato",$E1053,0)),MIN(AA$38,$D$19),$P$20))-SUM($P1053:Z1053)</f>
        <v>#VALUE!</v>
      </c>
      <c r="AB1053" s="446" t="e">
        <f>IF(OR($B1053="",MIN(AB$38,$D$19)&lt;MAX($P$708*($B1053+IF($R$17="Distrato",$I$38-1,0)),IF(AND($L$711=0,$P$708=0),"",$L$711-1),IF($R$17="Distrato",$E1053,0))),0,YEARFRAC(MAX($P$708*($B1053+IF($R$17="Distrato",$I$38-1,0)),IF(AND($L$711=0,$P$708=0),"",$L$711-1),IF($R$17="Distrato",$E1053,0)),MIN(AB$38,$D$19),$P$20))-SUM($P1053:AA1053)</f>
        <v>#VALUE!</v>
      </c>
      <c r="AC1053" s="446" t="e">
        <f>IF(OR($B1053="",MIN(AC$38,$D$19)&lt;MAX($P$708*($B1053+IF($R$17="Distrato",$I$38-1,0)),IF(AND($L$711=0,$P$708=0),"",$L$711-1),IF($R$17="Distrato",$E1053,0))),0,YEARFRAC(MAX($P$708*($B1053+IF($R$17="Distrato",$I$38-1,0)),IF(AND($L$711=0,$P$708=0),"",$L$711-1),IF($R$17="Distrato",$E1053,0)),MIN(AC$38,$D$19),$P$20))-SUM($P1053:AB1053)</f>
        <v>#VALUE!</v>
      </c>
      <c r="AD1053" s="446" t="e">
        <f>IF(OR($B1053="",MIN(AD$38,$D$19)&lt;MAX($P$708*($B1053+IF($R$17="Distrato",$I$38-1,0)),IF(AND($L$711=0,$P$708=0),"",$L$711-1),IF($R$17="Distrato",$E1053,0))),0,YEARFRAC(MAX($P$708*($B1053+IF($R$17="Distrato",$I$38-1,0)),IF(AND($L$711=0,$P$708=0),"",$L$711-1),IF($R$17="Distrato",$E1053,0)),MIN(AD$38,$D$19),$P$20))-SUM($P1053:AC1053)</f>
        <v>#VALUE!</v>
      </c>
      <c r="AE1053" s="446" t="e">
        <f>IF(OR($B1053="",MIN(AE$38,$D$19)&lt;MAX($P$708*($B1053+IF($R$17="Distrato",$I$38-1,0)),IF(AND($L$711=0,$P$708=0),"",$L$711-1),IF($R$17="Distrato",$E1053,0))),0,YEARFRAC(MAX($P$708*($B1053+IF($R$17="Distrato",$I$38-1,0)),IF(AND($L$711=0,$P$708=0),"",$L$711-1),IF($R$17="Distrato",$E1053,0)),MIN(AE$38,$D$19),$P$20))-SUM($P1053:AD1053)</f>
        <v>#VALUE!</v>
      </c>
      <c r="AF1053" s="446" t="e">
        <f>IF(OR($B1053="",MIN(AF$38,$D$19)&lt;MAX($P$708*($B1053+IF($R$17="Distrato",$I$38-1,0)),IF(AND($L$711=0,$P$708=0),"",$L$711-1),IF($R$17="Distrato",$E1053,0))),0,YEARFRAC(MAX($P$708*($B1053+IF($R$17="Distrato",$I$38-1,0)),IF(AND($L$711=0,$P$708=0),"",$L$711-1),IF($R$17="Distrato",$E1053,0)),MIN(AF$38,$D$19),$P$20))-SUM($P1053:AE1053)</f>
        <v>#VALUE!</v>
      </c>
      <c r="AG1053" s="446" t="e">
        <f>IF(OR($B1053="",MIN(AG$38,$D$19)&lt;MAX($P$708*($B1053+IF($R$17="Distrato",$I$38-1,0)),IF(AND($L$711=0,$P$708=0),"",$L$711-1),IF($R$17="Distrato",$E1053,0))),0,YEARFRAC(MAX($P$708*($B1053+IF($R$17="Distrato",$I$38-1,0)),IF(AND($L$711=0,$P$708=0),"",$L$711-1),IF($R$17="Distrato",$E1053,0)),MIN(AG$38,$D$19),$P$20))-SUM($P1053:AF1053)</f>
        <v>#VALUE!</v>
      </c>
      <c r="AH1053" s="446" t="e">
        <f>IF(OR($B1053="",MIN(AH$38,$D$19)&lt;MAX($P$708*($B1053+IF($R$17="Distrato",$I$38-1,0)),IF(AND($L$711=0,$P$708=0),"",$L$711-1),IF($R$17="Distrato",$E1053,0))),0,YEARFRAC(MAX($P$708*($B1053+IF($R$17="Distrato",$I$38-1,0)),IF(AND($L$711=0,$P$708=0),"",$L$711-1),IF($R$17="Distrato",$E1053,0)),MIN(AH$38,$D$19),$P$20))-SUM($P1053:AG1053)</f>
        <v>#VALUE!</v>
      </c>
      <c r="AI1053" s="446" t="e">
        <f>IF(OR($B1053="",MIN(AI$38,$D$19)&lt;MAX($P$708*($B1053+IF($R$17="Distrato",$I$38-1,0)),IF(AND($L$711=0,$P$708=0),"",$L$711-1),IF($R$17="Distrato",$E1053,0))),0,YEARFRAC(MAX($P$708*($B1053+IF($R$17="Distrato",$I$38-1,0)),IF(AND($L$711=0,$P$708=0),"",$L$711-1),IF($R$17="Distrato",$E1053,0)),MIN(AI$38,$D$19),$P$20))-SUM($P1053:AH1053)</f>
        <v>#VALUE!</v>
      </c>
      <c r="AJ1053" s="446" t="e">
        <f>IF(OR($B1053="",MIN(AJ$38,$D$19)&lt;MAX($P$708*($B1053+IF($R$17="Distrato",$I$38-1,0)),IF(AND($L$711=0,$P$708=0),"",$L$711-1),IF($R$17="Distrato",$E1053,0))),0,YEARFRAC(MAX($P$708*($B1053+IF($R$17="Distrato",$I$38-1,0)),IF(AND($L$711=0,$P$708=0),"",$L$711-1),IF($R$17="Distrato",$E1053,0)),MIN(AJ$38,$D$19),$P$20))-SUM($P1053:AI1053)</f>
        <v>#VALUE!</v>
      </c>
      <c r="AK1053" s="446" t="e">
        <f>IF(OR($B1053="",MIN(AK$38,$D$19)&lt;MAX($P$708*($B1053+IF($R$17="Distrato",$I$38-1,0)),IF(AND($L$711=0,$P$708=0),"",$L$711-1),IF($R$17="Distrato",$E1053,0))),0,YEARFRAC(MAX($P$708*($B1053+IF($R$17="Distrato",$I$38-1,0)),IF(AND($L$711=0,$P$708=0),"",$L$711-1),IF($R$17="Distrato",$E1053,0)),MIN(AK$38,$D$19),$P$20))-SUM($P1053:AJ1053)</f>
        <v>#VALUE!</v>
      </c>
      <c r="AL1053" s="446" t="e">
        <f>IF(OR($B1053="",MIN(AL$38,$D$19)&lt;MAX($P$708*($B1053+IF($R$17="Distrato",$I$38-1,0)),IF(AND($L$711=0,$P$708=0),"",$L$711-1),IF($R$17="Distrato",$E1053,0))),0,YEARFRAC(MAX($P$708*($B1053+IF($R$17="Distrato",$I$38-1,0)),IF(AND($L$711=0,$P$708=0),"",$L$711-1),IF($R$17="Distrato",$E1053,0)),MIN(AL$38,$D$19),$P$20))-SUM($P1053:AK1053)</f>
        <v>#VALUE!</v>
      </c>
      <c r="AM1053" s="446" t="e">
        <f>IF(OR($B1053="",MIN(AM$38,$D$19)&lt;MAX($P$708*($B1053+IF($R$17="Distrato",$I$38-1,0)),IF(AND($L$711=0,$P$708=0),"",$L$711-1),IF($R$17="Distrato",$E1053,0))),0,YEARFRAC(MAX($P$708*($B1053+IF($R$17="Distrato",$I$38-1,0)),IF(AND($L$711=0,$P$708=0),"",$L$711-1),IF($R$17="Distrato",$E1053,0)),MIN(AM$38,$D$19),$P$20))-SUM($P1053:AL1053)</f>
        <v>#VALUE!</v>
      </c>
      <c r="AN1053" s="446" t="e">
        <f>IF(OR($B1053="",MIN(AN$38,$D$19)&lt;MAX($P$708*($B1053+IF($R$17="Distrato",$I$38-1,0)),IF(AND($L$711=0,$P$708=0),"",$L$711-1),IF($R$17="Distrato",$E1053,0))),0,YEARFRAC(MAX($P$708*($B1053+IF($R$17="Distrato",$I$38-1,0)),IF(AND($L$711=0,$P$708=0),"",$L$711-1),IF($R$17="Distrato",$E1053,0)),MIN(AN$38,$D$19),$P$20))-SUM($P1053:AM1053)</f>
        <v>#VALUE!</v>
      </c>
      <c r="AO1053" s="446" t="e">
        <f>IF(OR($B1053="",MIN(AO$38,$D$19)&lt;MAX($P$708*($B1053+IF($R$17="Distrato",$I$38-1,0)),IF(AND($L$711=0,$P$708=0),"",$L$711-1),IF($R$17="Distrato",$E1053,0))),0,YEARFRAC(MAX($P$708*($B1053+IF($R$17="Distrato",$I$38-1,0)),IF(AND($L$711=0,$P$708=0),"",$L$711-1),IF($R$17="Distrato",$E1053,0)),MIN(AO$38,$D$19),$P$20))-SUM($P1053:AN1053)</f>
        <v>#VALUE!</v>
      </c>
      <c r="AP1053" s="446" t="e">
        <f>IF(OR($B1053="",MIN(AP$38,$D$19)&lt;MAX($P$708*($B1053+IF($R$17="Distrato",$I$38-1,0)),IF(AND($L$711=0,$P$708=0),"",$L$711-1),IF($R$17="Distrato",$E1053,0))),0,YEARFRAC(MAX($P$708*($B1053+IF($R$17="Distrato",$I$38-1,0)),IF(AND($L$711=0,$P$708=0),"",$L$711-1),IF($R$17="Distrato",$E1053,0)),MIN(AP$38,$D$19),$P$20))-SUM($P1053:AO1053)</f>
        <v>#VALUE!</v>
      </c>
      <c r="AQ1053" s="446" t="e">
        <f>IF(OR($B1053="",MIN(AQ$38,$D$19)&lt;MAX($P$708*($B1053+IF($R$17="Distrato",$I$38-1,0)),IF(AND($L$711=0,$P$708=0),"",$L$711-1),IF($R$17="Distrato",$E1053,0))),0,YEARFRAC(MAX($P$708*($B1053+IF($R$17="Distrato",$I$38-1,0)),IF(AND($L$711=0,$P$708=0),"",$L$711-1),IF($R$17="Distrato",$E1053,0)),MIN(AQ$38,$D$19),$P$20))-SUM($P1053:AP1053)</f>
        <v>#VALUE!</v>
      </c>
      <c r="AR1053" s="446" t="e">
        <f>IF(OR($B1053="",MIN(AR$38,$D$19)&lt;MAX($P$708*($B1053+IF($R$17="Distrato",$I$38-1,0)),IF(AND($L$711=0,$P$708=0),"",$L$711-1),IF($R$17="Distrato",$E1053,0))),0,YEARFRAC(MAX($P$708*($B1053+IF($R$17="Distrato",$I$38-1,0)),IF(AND($L$711=0,$P$708=0),"",$L$711-1),IF($R$17="Distrato",$E1053,0)),MIN(AR$38,$D$19),$P$20))-SUM($P1053:AQ1053)</f>
        <v>#VALUE!</v>
      </c>
      <c r="AS1053" s="446" t="e">
        <f>IF(OR($B1053="",MIN(AS$38,$D$19)&lt;MAX($P$708*($B1053+IF($R$17="Distrato",$I$38-1,0)),IF(AND($L$711=0,$P$708=0),"",$L$711-1),IF($R$17="Distrato",$E1053,0))),0,YEARFRAC(MAX($P$708*($B1053+IF($R$17="Distrato",$I$38-1,0)),IF(AND($L$711=0,$P$708=0),"",$L$711-1),IF($R$17="Distrato",$E1053,0)),MIN(AS$38,$D$19),$P$20))-SUM($P1053:AR1053)</f>
        <v>#VALUE!</v>
      </c>
      <c r="AT1053" s="446" t="e">
        <f>IF(OR($B1053="",MIN(AT$38,$D$19)&lt;MAX($P$708*($B1053+IF($R$17="Distrato",$I$38-1,0)),IF(AND($L$711=0,$P$708=0),"",$L$711-1),IF($R$17="Distrato",$E1053,0))),0,YEARFRAC(MAX($P$708*($B1053+IF($R$17="Distrato",$I$38-1,0)),IF(AND($L$711=0,$P$708=0),"",$L$711-1),IF($R$17="Distrato",$E1053,0)),MIN(AT$38,$D$19),$P$20))-SUM($P1053:AS1053)</f>
        <v>#VALUE!</v>
      </c>
      <c r="AU1053" s="446" t="e">
        <f>IF(OR($B1053="",MIN(AU$38,$D$19)&lt;MAX($P$708*($B1053+IF($R$17="Distrato",$I$38-1,0)),IF(AND($L$711=0,$P$708=0),"",$L$711-1),IF($R$17="Distrato",$E1053,0))),0,YEARFRAC(MAX($P$708*($B1053+IF($R$17="Distrato",$I$38-1,0)),IF(AND($L$711=0,$P$708=0),"",$L$711-1),IF($R$17="Distrato",$E1053,0)),MIN(AU$38,$D$19),$P$20))-SUM($P1053:AT1053)</f>
        <v>#VALUE!</v>
      </c>
      <c r="AV1053" s="446" t="e">
        <f>IF(OR($B1053="",MIN(AV$38,$D$19)&lt;MAX($P$708*($B1053+IF($R$17="Distrato",$I$38-1,0)),IF(AND($L$711=0,$P$708=0),"",$L$711-1),IF($R$17="Distrato",$E1053,0))),0,YEARFRAC(MAX($P$708*($B1053+IF($R$17="Distrato",$I$38-1,0)),IF(AND($L$711=0,$P$708=0),"",$L$711-1),IF($R$17="Distrato",$E1053,0)),MIN(AV$38,$D$19),$P$20))-SUM($P1053:AU1053)</f>
        <v>#VALUE!</v>
      </c>
      <c r="AW1053" s="446" t="e">
        <f>IF(OR($B1053="",MIN(AW$38,$D$19)&lt;MAX($P$708*($B1053+IF($R$17="Distrato",$I$38-1,0)),IF(AND($L$711=0,$P$708=0),"",$L$711-1),IF($R$17="Distrato",$E1053,0))),0,YEARFRAC(MAX($P$708*($B1053+IF($R$17="Distrato",$I$38-1,0)),IF(AND($L$711=0,$P$708=0),"",$L$711-1),IF($R$17="Distrato",$E1053,0)),MIN(AW$38,$D$19),$P$20))-SUM($P1053:AV1053)</f>
        <v>#VALUE!</v>
      </c>
      <c r="AX1053" s="446" t="e">
        <f>IF(OR($B1053="",MIN(AX$38,$D$19)&lt;MAX($P$708*($B1053+IF($R$17="Distrato",$I$38-1,0)),IF(AND($L$711=0,$P$708=0),"",$L$711-1),IF($R$17="Distrato",$E1053,0))),0,YEARFRAC(MAX($P$708*($B1053+IF($R$17="Distrato",$I$38-1,0)),IF(AND($L$711=0,$P$708=0),"",$L$711-1),IF($R$17="Distrato",$E1053,0)),MIN(AX$38,$D$19),$P$20))-SUM($P1053:AW1053)</f>
        <v>#VALUE!</v>
      </c>
      <c r="AY1053" s="446" t="e">
        <f>IF(OR($B1053="",MIN(AY$38,$D$19)&lt;MAX($P$708*($B1053+IF($R$17="Distrato",$I$38-1,0)),IF(AND($L$711=0,$P$708=0),"",$L$711-1),IF($R$17="Distrato",$E1053,0))),0,YEARFRAC(MAX($P$708*($B1053+IF($R$17="Distrato",$I$38-1,0)),IF(AND($L$711=0,$P$708=0),"",$L$711-1),IF($R$17="Distrato",$E1053,0)),MIN(AY$38,$D$19),$P$20))-SUM($P1053:AX1053)</f>
        <v>#VALUE!</v>
      </c>
      <c r="AZ1053" s="446" t="e">
        <f>IF(OR($B1053="",MIN(AZ$38,$D$19)&lt;MAX($P$708*($B1053+IF($R$17="Distrato",$I$38-1,0)),IF(AND($L$711=0,$P$708=0),"",$L$711-1),IF($R$17="Distrato",$E1053,0))),0,YEARFRAC(MAX($P$708*($B1053+IF($R$17="Distrato",$I$38-1,0)),IF(AND($L$711=0,$P$708=0),"",$L$711-1),IF($R$17="Distrato",$E1053,0)),MIN(AZ$38,$D$19),$P$20))-SUM($P1053:AY1053)</f>
        <v>#VALUE!</v>
      </c>
      <c r="BA1053" s="446" t="e">
        <f>IF(OR($B1053="",MIN(BA$38,$D$19)&lt;MAX($P$708*($B1053+IF($R$17="Distrato",$I$38-1,0)),IF(AND($L$711=0,$P$708=0),"",$L$711-1),IF($R$17="Distrato",$E1053,0))),0,YEARFRAC(MAX($P$708*($B1053+IF($R$17="Distrato",$I$38-1,0)),IF(AND($L$711=0,$P$708=0),"",$L$711-1),IF($R$17="Distrato",$E1053,0)),MIN(BA$38,$D$19),$P$20))-SUM($P1053:AZ1053)</f>
        <v>#VALUE!</v>
      </c>
      <c r="BB1053" s="447"/>
    </row>
    <row r="1054" spans="1:54" s="446" customFormat="1" ht="11.25" hidden="1" customHeight="1" x14ac:dyDescent="0.2">
      <c r="A1054" s="235"/>
      <c r="B1054" s="236"/>
      <c r="C1054" s="29" t="str">
        <f>IF(B1054="","",IF($L$709=$BL$25,VLOOKUP(DATE(YEAR($D$19),MONTH($D$19)-1,1),ÍNDICES!$A:$DE,HLOOKUP($BL$25,ÍNDICES!$B$3:$T$4,2)+11)-VLOOKUP(B1054,ÍNDICES!$A:$DE,HLOOKUP($BL$25,ÍNDICES!$B$3:$T$4,2)+11)+1%,IF(C$712=$W$26,$J$35,IF(ISERROR(IF(B1054&gt;$D$19,1,VLOOKUP(DATE(YEAR(B1054),MONTH(B1054)+IF($C$709=$S$23,1,0),1),ÍNDICES!$A:$DE,$Z$709+1))),"",IF(B1054&gt;$D$19,1,VLOOKUP(DATE(YEAR(B1054),MONTH(B1054)+IF($C$709=$S$23,1,0),1),ÍNDICES!$A:$DE,$Z$709+1))))))</f>
        <v/>
      </c>
      <c r="D1054" s="155"/>
      <c r="E1054" s="88"/>
      <c r="F1054" s="88"/>
      <c r="G1054" s="88"/>
      <c r="H1054" s="118"/>
      <c r="I1054" s="182">
        <f t="shared" si="150"/>
        <v>0</v>
      </c>
      <c r="J1054" s="20">
        <f t="shared" ca="1" si="151"/>
        <v>0</v>
      </c>
      <c r="K1054" s="5">
        <f t="shared" ca="1" si="152"/>
        <v>0</v>
      </c>
      <c r="L1054" s="61">
        <f t="shared" ca="1" si="153"/>
        <v>0</v>
      </c>
      <c r="M1054" s="64">
        <f t="shared" si="154"/>
        <v>0</v>
      </c>
      <c r="N1054" s="151"/>
      <c r="O1054" s="5">
        <f t="shared" ca="1" si="155"/>
        <v>0</v>
      </c>
      <c r="P1054" s="446" t="e">
        <f t="shared" si="156"/>
        <v>#VALUE!</v>
      </c>
      <c r="Q1054" s="446" t="e">
        <f>IF(OR($B1054="",MIN(Q$38,$D$19)&lt;MAX($P$708*($B1054+IF($R$17="Distrato",$I$38-1,0)),IF(AND($L$711=0,$P$708=0),"",$L$711-1),IF($R$17="Distrato",$E1054,0))),0,YEARFRAC(MAX($P$708*($B1054+IF($R$17="Distrato",$I$38-1,0)),IF(AND($L$711=0,$P$708=0),"",$L$711-1),IF($R$17="Distrato",$E1054,0)),MIN(Q$38,$D$19),$P$20))-SUM($P1054:P1054)</f>
        <v>#VALUE!</v>
      </c>
      <c r="R1054" s="446" t="e">
        <f>IF(OR($B1054="",MIN(R$38,$D$19)&lt;MAX($P$708*($B1054+IF($R$17="Distrato",$I$38-1,0)),IF(AND($L$711=0,$P$708=0),"",$L$711-1),IF($R$17="Distrato",$E1054,0))),0,YEARFRAC(MAX($P$708*($B1054+IF($R$17="Distrato",$I$38-1,0)),IF(AND($L$711=0,$P$708=0),"",$L$711-1),IF($R$17="Distrato",$E1054,0)),MIN(R$38,$D$19),$P$20))-SUM($P1054:Q1054)</f>
        <v>#VALUE!</v>
      </c>
      <c r="S1054" s="446" t="e">
        <f>IF(OR($B1054="",MIN(S$38,$D$19)&lt;MAX($P$708*($B1054+IF($R$17="Distrato",$I$38-1,0)),IF(AND($L$711=0,$P$708=0),"",$L$711-1),IF($R$17="Distrato",$E1054,0))),0,YEARFRAC(MAX($P$708*($B1054+IF($R$17="Distrato",$I$38-1,0)),IF(AND($L$711=0,$P$708=0),"",$L$711-1),IF($R$17="Distrato",$E1054,0)),MIN(S$38,$D$19),$P$20))-SUM($P1054:R1054)</f>
        <v>#VALUE!</v>
      </c>
      <c r="T1054" s="446" t="e">
        <f>IF(OR($B1054="",MIN(T$38,$D$19)&lt;MAX($P$708*($B1054+IF($R$17="Distrato",$I$38-1,0)),IF(AND($L$711=0,$P$708=0),"",$L$711-1),IF($R$17="Distrato",$E1054,0))),0,YEARFRAC(MAX($P$708*($B1054+IF($R$17="Distrato",$I$38-1,0)),IF(AND($L$711=0,$P$708=0),"",$L$711-1),IF($R$17="Distrato",$E1054,0)),MIN(T$38,$D$19),$P$20))-SUM($P1054:S1054)</f>
        <v>#VALUE!</v>
      </c>
      <c r="U1054" s="446" t="e">
        <f>IF(OR($B1054="",MIN(U$38,$D$19)&lt;MAX($P$708*($B1054+IF($R$17="Distrato",$I$38-1,0)),IF(AND($L$711=0,$P$708=0),"",$L$711-1),IF($R$17="Distrato",$E1054,0))),0,YEARFRAC(MAX($P$708*($B1054+IF($R$17="Distrato",$I$38-1,0)),IF(AND($L$711=0,$P$708=0),"",$L$711-1),IF($R$17="Distrato",$E1054,0)),MIN(U$38,$D$19),$P$20))-SUM($P1054:T1054)</f>
        <v>#VALUE!</v>
      </c>
      <c r="V1054" s="446" t="e">
        <f>IF(OR($B1054="",MIN(V$38,$D$19)&lt;MAX($P$708*($B1054+IF($R$17="Distrato",$I$38-1,0)),IF(AND($L$711=0,$P$708=0),"",$L$711-1),IF($R$17="Distrato",$E1054,0))),0,YEARFRAC(MAX($P$708*($B1054+IF($R$17="Distrato",$I$38-1,0)),IF(AND($L$711=0,$P$708=0),"",$L$711-1),IF($R$17="Distrato",$E1054,0)),MIN(V$38,$D$19),$P$20))-SUM($P1054:U1054)</f>
        <v>#VALUE!</v>
      </c>
      <c r="W1054" s="446" t="e">
        <f>IF(OR($B1054="",MIN(W$38,$D$19)&lt;MAX($P$708*($B1054+IF($R$17="Distrato",$I$38-1,0)),IF(AND($L$711=0,$P$708=0),"",$L$711-1),IF($R$17="Distrato",$E1054,0))),0,YEARFRAC(MAX($P$708*($B1054+IF($R$17="Distrato",$I$38-1,0)),IF(AND($L$711=0,$P$708=0),"",$L$711-1),IF($R$17="Distrato",$E1054,0)),MIN(W$38,$D$19),$P$20))-SUM($P1054:V1054)</f>
        <v>#VALUE!</v>
      </c>
      <c r="X1054" s="446" t="e">
        <f>IF(OR($B1054="",MIN(X$38,$D$19)&lt;MAX($P$708*($B1054+IF($R$17="Distrato",$I$38-1,0)),IF(AND($L$711=0,$P$708=0),"",$L$711-1),IF($R$17="Distrato",$E1054,0))),0,YEARFRAC(MAX($P$708*($B1054+IF($R$17="Distrato",$I$38-1,0)),IF(AND($L$711=0,$P$708=0),"",$L$711-1),IF($R$17="Distrato",$E1054,0)),MIN(X$38,$D$19),$P$20))-SUM($P1054:W1054)</f>
        <v>#VALUE!</v>
      </c>
      <c r="Y1054" s="446" t="e">
        <f>IF(OR($B1054="",MIN(Y$38,$D$19)&lt;MAX($P$708*($B1054+IF($R$17="Distrato",$I$38-1,0)),IF(AND($L$711=0,$P$708=0),"",$L$711-1),IF($R$17="Distrato",$E1054,0))),0,YEARFRAC(MAX($P$708*($B1054+IF($R$17="Distrato",$I$38-1,0)),IF(AND($L$711=0,$P$708=0),"",$L$711-1),IF($R$17="Distrato",$E1054,0)),MIN(Y$38,$D$19),$P$20))-SUM($P1054:X1054)</f>
        <v>#VALUE!</v>
      </c>
      <c r="Z1054" s="446" t="e">
        <f>IF(OR($B1054="",MIN(Z$38,$D$19)&lt;MAX($P$708*($B1054+IF($R$17="Distrato",$I$38-1,0)),IF(AND($L$711=0,$P$708=0),"",$L$711-1),IF($R$17="Distrato",$E1054,0))),0,YEARFRAC(MAX($P$708*($B1054+IF($R$17="Distrato",$I$38-1,0)),IF(AND($L$711=0,$P$708=0),"",$L$711-1),IF($R$17="Distrato",$E1054,0)),MIN(Z$38,$D$19),$P$20))-SUM($P1054:Y1054)</f>
        <v>#VALUE!</v>
      </c>
      <c r="AA1054" s="446" t="e">
        <f>IF(OR($B1054="",MIN(AA$38,$D$19)&lt;MAX($P$708*($B1054+IF($R$17="Distrato",$I$38-1,0)),IF(AND($L$711=0,$P$708=0),"",$L$711-1),IF($R$17="Distrato",$E1054,0))),0,YEARFRAC(MAX($P$708*($B1054+IF($R$17="Distrato",$I$38-1,0)),IF(AND($L$711=0,$P$708=0),"",$L$711-1),IF($R$17="Distrato",$E1054,0)),MIN(AA$38,$D$19),$P$20))-SUM($P1054:Z1054)</f>
        <v>#VALUE!</v>
      </c>
      <c r="AB1054" s="446" t="e">
        <f>IF(OR($B1054="",MIN(AB$38,$D$19)&lt;MAX($P$708*($B1054+IF($R$17="Distrato",$I$38-1,0)),IF(AND($L$711=0,$P$708=0),"",$L$711-1),IF($R$17="Distrato",$E1054,0))),0,YEARFRAC(MAX($P$708*($B1054+IF($R$17="Distrato",$I$38-1,0)),IF(AND($L$711=0,$P$708=0),"",$L$711-1),IF($R$17="Distrato",$E1054,0)),MIN(AB$38,$D$19),$P$20))-SUM($P1054:AA1054)</f>
        <v>#VALUE!</v>
      </c>
      <c r="AC1054" s="446" t="e">
        <f>IF(OR($B1054="",MIN(AC$38,$D$19)&lt;MAX($P$708*($B1054+IF($R$17="Distrato",$I$38-1,0)),IF(AND($L$711=0,$P$708=0),"",$L$711-1),IF($R$17="Distrato",$E1054,0))),0,YEARFRAC(MAX($P$708*($B1054+IF($R$17="Distrato",$I$38-1,0)),IF(AND($L$711=0,$P$708=0),"",$L$711-1),IF($R$17="Distrato",$E1054,0)),MIN(AC$38,$D$19),$P$20))-SUM($P1054:AB1054)</f>
        <v>#VALUE!</v>
      </c>
      <c r="AD1054" s="446" t="e">
        <f>IF(OR($B1054="",MIN(AD$38,$D$19)&lt;MAX($P$708*($B1054+IF($R$17="Distrato",$I$38-1,0)),IF(AND($L$711=0,$P$708=0),"",$L$711-1),IF($R$17="Distrato",$E1054,0))),0,YEARFRAC(MAX($P$708*($B1054+IF($R$17="Distrato",$I$38-1,0)),IF(AND($L$711=0,$P$708=0),"",$L$711-1),IF($R$17="Distrato",$E1054,0)),MIN(AD$38,$D$19),$P$20))-SUM($P1054:AC1054)</f>
        <v>#VALUE!</v>
      </c>
      <c r="AE1054" s="446" t="e">
        <f>IF(OR($B1054="",MIN(AE$38,$D$19)&lt;MAX($P$708*($B1054+IF($R$17="Distrato",$I$38-1,0)),IF(AND($L$711=0,$P$708=0),"",$L$711-1),IF($R$17="Distrato",$E1054,0))),0,YEARFRAC(MAX($P$708*($B1054+IF($R$17="Distrato",$I$38-1,0)),IF(AND($L$711=0,$P$708=0),"",$L$711-1),IF($R$17="Distrato",$E1054,0)),MIN(AE$38,$D$19),$P$20))-SUM($P1054:AD1054)</f>
        <v>#VALUE!</v>
      </c>
      <c r="AF1054" s="446" t="e">
        <f>IF(OR($B1054="",MIN(AF$38,$D$19)&lt;MAX($P$708*($B1054+IF($R$17="Distrato",$I$38-1,0)),IF(AND($L$711=0,$P$708=0),"",$L$711-1),IF($R$17="Distrato",$E1054,0))),0,YEARFRAC(MAX($P$708*($B1054+IF($R$17="Distrato",$I$38-1,0)),IF(AND($L$711=0,$P$708=0),"",$L$711-1),IF($R$17="Distrato",$E1054,0)),MIN(AF$38,$D$19),$P$20))-SUM($P1054:AE1054)</f>
        <v>#VALUE!</v>
      </c>
      <c r="AG1054" s="446" t="e">
        <f>IF(OR($B1054="",MIN(AG$38,$D$19)&lt;MAX($P$708*($B1054+IF($R$17="Distrato",$I$38-1,0)),IF(AND($L$711=0,$P$708=0),"",$L$711-1),IF($R$17="Distrato",$E1054,0))),0,YEARFRAC(MAX($P$708*($B1054+IF($R$17="Distrato",$I$38-1,0)),IF(AND($L$711=0,$P$708=0),"",$L$711-1),IF($R$17="Distrato",$E1054,0)),MIN(AG$38,$D$19),$P$20))-SUM($P1054:AF1054)</f>
        <v>#VALUE!</v>
      </c>
      <c r="AH1054" s="446" t="e">
        <f>IF(OR($B1054="",MIN(AH$38,$D$19)&lt;MAX($P$708*($B1054+IF($R$17="Distrato",$I$38-1,0)),IF(AND($L$711=0,$P$708=0),"",$L$711-1),IF($R$17="Distrato",$E1054,0))),0,YEARFRAC(MAX($P$708*($B1054+IF($R$17="Distrato",$I$38-1,0)),IF(AND($L$711=0,$P$708=0),"",$L$711-1),IF($R$17="Distrato",$E1054,0)),MIN(AH$38,$D$19),$P$20))-SUM($P1054:AG1054)</f>
        <v>#VALUE!</v>
      </c>
      <c r="AI1054" s="446" t="e">
        <f>IF(OR($B1054="",MIN(AI$38,$D$19)&lt;MAX($P$708*($B1054+IF($R$17="Distrato",$I$38-1,0)),IF(AND($L$711=0,$P$708=0),"",$L$711-1),IF($R$17="Distrato",$E1054,0))),0,YEARFRAC(MAX($P$708*($B1054+IF($R$17="Distrato",$I$38-1,0)),IF(AND($L$711=0,$P$708=0),"",$L$711-1),IF($R$17="Distrato",$E1054,0)),MIN(AI$38,$D$19),$P$20))-SUM($P1054:AH1054)</f>
        <v>#VALUE!</v>
      </c>
      <c r="AJ1054" s="446" t="e">
        <f>IF(OR($B1054="",MIN(AJ$38,$D$19)&lt;MAX($P$708*($B1054+IF($R$17="Distrato",$I$38-1,0)),IF(AND($L$711=0,$P$708=0),"",$L$711-1),IF($R$17="Distrato",$E1054,0))),0,YEARFRAC(MAX($P$708*($B1054+IF($R$17="Distrato",$I$38-1,0)),IF(AND($L$711=0,$P$708=0),"",$L$711-1),IF($R$17="Distrato",$E1054,0)),MIN(AJ$38,$D$19),$P$20))-SUM($P1054:AI1054)</f>
        <v>#VALUE!</v>
      </c>
      <c r="AK1054" s="446" t="e">
        <f>IF(OR($B1054="",MIN(AK$38,$D$19)&lt;MAX($P$708*($B1054+IF($R$17="Distrato",$I$38-1,0)),IF(AND($L$711=0,$P$708=0),"",$L$711-1),IF($R$17="Distrato",$E1054,0))),0,YEARFRAC(MAX($P$708*($B1054+IF($R$17="Distrato",$I$38-1,0)),IF(AND($L$711=0,$P$708=0),"",$L$711-1),IF($R$17="Distrato",$E1054,0)),MIN(AK$38,$D$19),$P$20))-SUM($P1054:AJ1054)</f>
        <v>#VALUE!</v>
      </c>
      <c r="AL1054" s="446" t="e">
        <f>IF(OR($B1054="",MIN(AL$38,$D$19)&lt;MAX($P$708*($B1054+IF($R$17="Distrato",$I$38-1,0)),IF(AND($L$711=0,$P$708=0),"",$L$711-1),IF($R$17="Distrato",$E1054,0))),0,YEARFRAC(MAX($P$708*($B1054+IF($R$17="Distrato",$I$38-1,0)),IF(AND($L$711=0,$P$708=0),"",$L$711-1),IF($R$17="Distrato",$E1054,0)),MIN(AL$38,$D$19),$P$20))-SUM($P1054:AK1054)</f>
        <v>#VALUE!</v>
      </c>
      <c r="AM1054" s="446" t="e">
        <f>IF(OR($B1054="",MIN(AM$38,$D$19)&lt;MAX($P$708*($B1054+IF($R$17="Distrato",$I$38-1,0)),IF(AND($L$711=0,$P$708=0),"",$L$711-1),IF($R$17="Distrato",$E1054,0))),0,YEARFRAC(MAX($P$708*($B1054+IF($R$17="Distrato",$I$38-1,0)),IF(AND($L$711=0,$P$708=0),"",$L$711-1),IF($R$17="Distrato",$E1054,0)),MIN(AM$38,$D$19),$P$20))-SUM($P1054:AL1054)</f>
        <v>#VALUE!</v>
      </c>
      <c r="AN1054" s="446" t="e">
        <f>IF(OR($B1054="",MIN(AN$38,$D$19)&lt;MAX($P$708*($B1054+IF($R$17="Distrato",$I$38-1,0)),IF(AND($L$711=0,$P$708=0),"",$L$711-1),IF($R$17="Distrato",$E1054,0))),0,YEARFRAC(MAX($P$708*($B1054+IF($R$17="Distrato",$I$38-1,0)),IF(AND($L$711=0,$P$708=0),"",$L$711-1),IF($R$17="Distrato",$E1054,0)),MIN(AN$38,$D$19),$P$20))-SUM($P1054:AM1054)</f>
        <v>#VALUE!</v>
      </c>
      <c r="AO1054" s="446" t="e">
        <f>IF(OR($B1054="",MIN(AO$38,$D$19)&lt;MAX($P$708*($B1054+IF($R$17="Distrato",$I$38-1,0)),IF(AND($L$711=0,$P$708=0),"",$L$711-1),IF($R$17="Distrato",$E1054,0))),0,YEARFRAC(MAX($P$708*($B1054+IF($R$17="Distrato",$I$38-1,0)),IF(AND($L$711=0,$P$708=0),"",$L$711-1),IF($R$17="Distrato",$E1054,0)),MIN(AO$38,$D$19),$P$20))-SUM($P1054:AN1054)</f>
        <v>#VALUE!</v>
      </c>
      <c r="AP1054" s="446" t="e">
        <f>IF(OR($B1054="",MIN(AP$38,$D$19)&lt;MAX($P$708*($B1054+IF($R$17="Distrato",$I$38-1,0)),IF(AND($L$711=0,$P$708=0),"",$L$711-1),IF($R$17="Distrato",$E1054,0))),0,YEARFRAC(MAX($P$708*($B1054+IF($R$17="Distrato",$I$38-1,0)),IF(AND($L$711=0,$P$708=0),"",$L$711-1),IF($R$17="Distrato",$E1054,0)),MIN(AP$38,$D$19),$P$20))-SUM($P1054:AO1054)</f>
        <v>#VALUE!</v>
      </c>
      <c r="AQ1054" s="446" t="e">
        <f>IF(OR($B1054="",MIN(AQ$38,$D$19)&lt;MAX($P$708*($B1054+IF($R$17="Distrato",$I$38-1,0)),IF(AND($L$711=0,$P$708=0),"",$L$711-1),IF($R$17="Distrato",$E1054,0))),0,YEARFRAC(MAX($P$708*($B1054+IF($R$17="Distrato",$I$38-1,0)),IF(AND($L$711=0,$P$708=0),"",$L$711-1),IF($R$17="Distrato",$E1054,0)),MIN(AQ$38,$D$19),$P$20))-SUM($P1054:AP1054)</f>
        <v>#VALUE!</v>
      </c>
      <c r="AR1054" s="446" t="e">
        <f>IF(OR($B1054="",MIN(AR$38,$D$19)&lt;MAX($P$708*($B1054+IF($R$17="Distrato",$I$38-1,0)),IF(AND($L$711=0,$P$708=0),"",$L$711-1),IF($R$17="Distrato",$E1054,0))),0,YEARFRAC(MAX($P$708*($B1054+IF($R$17="Distrato",$I$38-1,0)),IF(AND($L$711=0,$P$708=0),"",$L$711-1),IF($R$17="Distrato",$E1054,0)),MIN(AR$38,$D$19),$P$20))-SUM($P1054:AQ1054)</f>
        <v>#VALUE!</v>
      </c>
      <c r="AS1054" s="446" t="e">
        <f>IF(OR($B1054="",MIN(AS$38,$D$19)&lt;MAX($P$708*($B1054+IF($R$17="Distrato",$I$38-1,0)),IF(AND($L$711=0,$P$708=0),"",$L$711-1),IF($R$17="Distrato",$E1054,0))),0,YEARFRAC(MAX($P$708*($B1054+IF($R$17="Distrato",$I$38-1,0)),IF(AND($L$711=0,$P$708=0),"",$L$711-1),IF($R$17="Distrato",$E1054,0)),MIN(AS$38,$D$19),$P$20))-SUM($P1054:AR1054)</f>
        <v>#VALUE!</v>
      </c>
      <c r="AT1054" s="446" t="e">
        <f>IF(OR($B1054="",MIN(AT$38,$D$19)&lt;MAX($P$708*($B1054+IF($R$17="Distrato",$I$38-1,0)),IF(AND($L$711=0,$P$708=0),"",$L$711-1),IF($R$17="Distrato",$E1054,0))),0,YEARFRAC(MAX($P$708*($B1054+IF($R$17="Distrato",$I$38-1,0)),IF(AND($L$711=0,$P$708=0),"",$L$711-1),IF($R$17="Distrato",$E1054,0)),MIN(AT$38,$D$19),$P$20))-SUM($P1054:AS1054)</f>
        <v>#VALUE!</v>
      </c>
      <c r="AU1054" s="446" t="e">
        <f>IF(OR($B1054="",MIN(AU$38,$D$19)&lt;MAX($P$708*($B1054+IF($R$17="Distrato",$I$38-1,0)),IF(AND($L$711=0,$P$708=0),"",$L$711-1),IF($R$17="Distrato",$E1054,0))),0,YEARFRAC(MAX($P$708*($B1054+IF($R$17="Distrato",$I$38-1,0)),IF(AND($L$711=0,$P$708=0),"",$L$711-1),IF($R$17="Distrato",$E1054,0)),MIN(AU$38,$D$19),$P$20))-SUM($P1054:AT1054)</f>
        <v>#VALUE!</v>
      </c>
      <c r="AV1054" s="446" t="e">
        <f>IF(OR($B1054="",MIN(AV$38,$D$19)&lt;MAX($P$708*($B1054+IF($R$17="Distrato",$I$38-1,0)),IF(AND($L$711=0,$P$708=0),"",$L$711-1),IF($R$17="Distrato",$E1054,0))),0,YEARFRAC(MAX($P$708*($B1054+IF($R$17="Distrato",$I$38-1,0)),IF(AND($L$711=0,$P$708=0),"",$L$711-1),IF($R$17="Distrato",$E1054,0)),MIN(AV$38,$D$19),$P$20))-SUM($P1054:AU1054)</f>
        <v>#VALUE!</v>
      </c>
      <c r="AW1054" s="446" t="e">
        <f>IF(OR($B1054="",MIN(AW$38,$D$19)&lt;MAX($P$708*($B1054+IF($R$17="Distrato",$I$38-1,0)),IF(AND($L$711=0,$P$708=0),"",$L$711-1),IF($R$17="Distrato",$E1054,0))),0,YEARFRAC(MAX($P$708*($B1054+IF($R$17="Distrato",$I$38-1,0)),IF(AND($L$711=0,$P$708=0),"",$L$711-1),IF($R$17="Distrato",$E1054,0)),MIN(AW$38,$D$19),$P$20))-SUM($P1054:AV1054)</f>
        <v>#VALUE!</v>
      </c>
      <c r="AX1054" s="446" t="e">
        <f>IF(OR($B1054="",MIN(AX$38,$D$19)&lt;MAX($P$708*($B1054+IF($R$17="Distrato",$I$38-1,0)),IF(AND($L$711=0,$P$708=0),"",$L$711-1),IF($R$17="Distrato",$E1054,0))),0,YEARFRAC(MAX($P$708*($B1054+IF($R$17="Distrato",$I$38-1,0)),IF(AND($L$711=0,$P$708=0),"",$L$711-1),IF($R$17="Distrato",$E1054,0)),MIN(AX$38,$D$19),$P$20))-SUM($P1054:AW1054)</f>
        <v>#VALUE!</v>
      </c>
      <c r="AY1054" s="446" t="e">
        <f>IF(OR($B1054="",MIN(AY$38,$D$19)&lt;MAX($P$708*($B1054+IF($R$17="Distrato",$I$38-1,0)),IF(AND($L$711=0,$P$708=0),"",$L$711-1),IF($R$17="Distrato",$E1054,0))),0,YEARFRAC(MAX($P$708*($B1054+IF($R$17="Distrato",$I$38-1,0)),IF(AND($L$711=0,$P$708=0),"",$L$711-1),IF($R$17="Distrato",$E1054,0)),MIN(AY$38,$D$19),$P$20))-SUM($P1054:AX1054)</f>
        <v>#VALUE!</v>
      </c>
      <c r="AZ1054" s="446" t="e">
        <f>IF(OR($B1054="",MIN(AZ$38,$D$19)&lt;MAX($P$708*($B1054+IF($R$17="Distrato",$I$38-1,0)),IF(AND($L$711=0,$P$708=0),"",$L$711-1),IF($R$17="Distrato",$E1054,0))),0,YEARFRAC(MAX($P$708*($B1054+IF($R$17="Distrato",$I$38-1,0)),IF(AND($L$711=0,$P$708=0),"",$L$711-1),IF($R$17="Distrato",$E1054,0)),MIN(AZ$38,$D$19),$P$20))-SUM($P1054:AY1054)</f>
        <v>#VALUE!</v>
      </c>
      <c r="BA1054" s="446" t="e">
        <f>IF(OR($B1054="",MIN(BA$38,$D$19)&lt;MAX($P$708*($B1054+IF($R$17="Distrato",$I$38-1,0)),IF(AND($L$711=0,$P$708=0),"",$L$711-1),IF($R$17="Distrato",$E1054,0))),0,YEARFRAC(MAX($P$708*($B1054+IF($R$17="Distrato",$I$38-1,0)),IF(AND($L$711=0,$P$708=0),"",$L$711-1),IF($R$17="Distrato",$E1054,0)),MIN(BA$38,$D$19),$P$20))-SUM($P1054:AZ1054)</f>
        <v>#VALUE!</v>
      </c>
      <c r="BB1054" s="447"/>
    </row>
    <row r="1055" spans="1:54" s="446" customFormat="1" ht="11.25" hidden="1" customHeight="1" x14ac:dyDescent="0.2">
      <c r="A1055" s="235"/>
      <c r="B1055" s="236"/>
      <c r="C1055" s="29" t="str">
        <f>IF(B1055="","",IF($L$709=$BL$25,VLOOKUP(DATE(YEAR($D$19),MONTH($D$19)-1,1),ÍNDICES!$A:$DE,HLOOKUP($BL$25,ÍNDICES!$B$3:$T$4,2)+11)-VLOOKUP(B1055,ÍNDICES!$A:$DE,HLOOKUP($BL$25,ÍNDICES!$B$3:$T$4,2)+11)+1%,IF(C$712=$W$26,$J$35,IF(ISERROR(IF(B1055&gt;$D$19,1,VLOOKUP(DATE(YEAR(B1055),MONTH(B1055)+IF($C$709=$S$23,1,0),1),ÍNDICES!$A:$DE,$Z$709+1))),"",IF(B1055&gt;$D$19,1,VLOOKUP(DATE(YEAR(B1055),MONTH(B1055)+IF($C$709=$S$23,1,0),1),ÍNDICES!$A:$DE,$Z$709+1))))))</f>
        <v/>
      </c>
      <c r="D1055" s="155"/>
      <c r="E1055" s="88"/>
      <c r="F1055" s="88"/>
      <c r="G1055" s="88"/>
      <c r="H1055" s="118"/>
      <c r="I1055" s="182">
        <f t="shared" si="150"/>
        <v>0</v>
      </c>
      <c r="J1055" s="20">
        <f t="shared" ca="1" si="151"/>
        <v>0</v>
      </c>
      <c r="K1055" s="5">
        <f t="shared" ca="1" si="152"/>
        <v>0</v>
      </c>
      <c r="L1055" s="61">
        <f t="shared" ca="1" si="153"/>
        <v>0</v>
      </c>
      <c r="M1055" s="64">
        <f t="shared" si="154"/>
        <v>0</v>
      </c>
      <c r="N1055" s="151"/>
      <c r="O1055" s="5">
        <f t="shared" ca="1" si="155"/>
        <v>0</v>
      </c>
      <c r="P1055" s="446" t="e">
        <f t="shared" si="156"/>
        <v>#VALUE!</v>
      </c>
      <c r="Q1055" s="446" t="e">
        <f>IF(OR($B1055="",MIN(Q$38,$D$19)&lt;MAX($P$708*($B1055+IF($R$17="Distrato",$I$38-1,0)),IF(AND($L$711=0,$P$708=0),"",$L$711-1),IF($R$17="Distrato",$E1055,0))),0,YEARFRAC(MAX($P$708*($B1055+IF($R$17="Distrato",$I$38-1,0)),IF(AND($L$711=0,$P$708=0),"",$L$711-1),IF($R$17="Distrato",$E1055,0)),MIN(Q$38,$D$19),$P$20))-SUM($P1055:P1055)</f>
        <v>#VALUE!</v>
      </c>
      <c r="R1055" s="446" t="e">
        <f>IF(OR($B1055="",MIN(R$38,$D$19)&lt;MAX($P$708*($B1055+IF($R$17="Distrato",$I$38-1,0)),IF(AND($L$711=0,$P$708=0),"",$L$711-1),IF($R$17="Distrato",$E1055,0))),0,YEARFRAC(MAX($P$708*($B1055+IF($R$17="Distrato",$I$38-1,0)),IF(AND($L$711=0,$P$708=0),"",$L$711-1),IF($R$17="Distrato",$E1055,0)),MIN(R$38,$D$19),$P$20))-SUM($P1055:Q1055)</f>
        <v>#VALUE!</v>
      </c>
      <c r="S1055" s="446" t="e">
        <f>IF(OR($B1055="",MIN(S$38,$D$19)&lt;MAX($P$708*($B1055+IF($R$17="Distrato",$I$38-1,0)),IF(AND($L$711=0,$P$708=0),"",$L$711-1),IF($R$17="Distrato",$E1055,0))),0,YEARFRAC(MAX($P$708*($B1055+IF($R$17="Distrato",$I$38-1,0)),IF(AND($L$711=0,$P$708=0),"",$L$711-1),IF($R$17="Distrato",$E1055,0)),MIN(S$38,$D$19),$P$20))-SUM($P1055:R1055)</f>
        <v>#VALUE!</v>
      </c>
      <c r="T1055" s="446" t="e">
        <f>IF(OR($B1055="",MIN(T$38,$D$19)&lt;MAX($P$708*($B1055+IF($R$17="Distrato",$I$38-1,0)),IF(AND($L$711=0,$P$708=0),"",$L$711-1),IF($R$17="Distrato",$E1055,0))),0,YEARFRAC(MAX($P$708*($B1055+IF($R$17="Distrato",$I$38-1,0)),IF(AND($L$711=0,$P$708=0),"",$L$711-1),IF($R$17="Distrato",$E1055,0)),MIN(T$38,$D$19),$P$20))-SUM($P1055:S1055)</f>
        <v>#VALUE!</v>
      </c>
      <c r="U1055" s="446" t="e">
        <f>IF(OR($B1055="",MIN(U$38,$D$19)&lt;MAX($P$708*($B1055+IF($R$17="Distrato",$I$38-1,0)),IF(AND($L$711=0,$P$708=0),"",$L$711-1),IF($R$17="Distrato",$E1055,0))),0,YEARFRAC(MAX($P$708*($B1055+IF($R$17="Distrato",$I$38-1,0)),IF(AND($L$711=0,$P$708=0),"",$L$711-1),IF($R$17="Distrato",$E1055,0)),MIN(U$38,$D$19),$P$20))-SUM($P1055:T1055)</f>
        <v>#VALUE!</v>
      </c>
      <c r="V1055" s="446" t="e">
        <f>IF(OR($B1055="",MIN(V$38,$D$19)&lt;MAX($P$708*($B1055+IF($R$17="Distrato",$I$38-1,0)),IF(AND($L$711=0,$P$708=0),"",$L$711-1),IF($R$17="Distrato",$E1055,0))),0,YEARFRAC(MAX($P$708*($B1055+IF($R$17="Distrato",$I$38-1,0)),IF(AND($L$711=0,$P$708=0),"",$L$711-1),IF($R$17="Distrato",$E1055,0)),MIN(V$38,$D$19),$P$20))-SUM($P1055:U1055)</f>
        <v>#VALUE!</v>
      </c>
      <c r="W1055" s="446" t="e">
        <f>IF(OR($B1055="",MIN(W$38,$D$19)&lt;MAX($P$708*($B1055+IF($R$17="Distrato",$I$38-1,0)),IF(AND($L$711=0,$P$708=0),"",$L$711-1),IF($R$17="Distrato",$E1055,0))),0,YEARFRAC(MAX($P$708*($B1055+IF($R$17="Distrato",$I$38-1,0)),IF(AND($L$711=0,$P$708=0),"",$L$711-1),IF($R$17="Distrato",$E1055,0)),MIN(W$38,$D$19),$P$20))-SUM($P1055:V1055)</f>
        <v>#VALUE!</v>
      </c>
      <c r="X1055" s="446" t="e">
        <f>IF(OR($B1055="",MIN(X$38,$D$19)&lt;MAX($P$708*($B1055+IF($R$17="Distrato",$I$38-1,0)),IF(AND($L$711=0,$P$708=0),"",$L$711-1),IF($R$17="Distrato",$E1055,0))),0,YEARFRAC(MAX($P$708*($B1055+IF($R$17="Distrato",$I$38-1,0)),IF(AND($L$711=0,$P$708=0),"",$L$711-1),IF($R$17="Distrato",$E1055,0)),MIN(X$38,$D$19),$P$20))-SUM($P1055:W1055)</f>
        <v>#VALUE!</v>
      </c>
      <c r="Y1055" s="446" t="e">
        <f>IF(OR($B1055="",MIN(Y$38,$D$19)&lt;MAX($P$708*($B1055+IF($R$17="Distrato",$I$38-1,0)),IF(AND($L$711=0,$P$708=0),"",$L$711-1),IF($R$17="Distrato",$E1055,0))),0,YEARFRAC(MAX($P$708*($B1055+IF($R$17="Distrato",$I$38-1,0)),IF(AND($L$711=0,$P$708=0),"",$L$711-1),IF($R$17="Distrato",$E1055,0)),MIN(Y$38,$D$19),$P$20))-SUM($P1055:X1055)</f>
        <v>#VALUE!</v>
      </c>
      <c r="Z1055" s="446" t="e">
        <f>IF(OR($B1055="",MIN(Z$38,$D$19)&lt;MAX($P$708*($B1055+IF($R$17="Distrato",$I$38-1,0)),IF(AND($L$711=0,$P$708=0),"",$L$711-1),IF($R$17="Distrato",$E1055,0))),0,YEARFRAC(MAX($P$708*($B1055+IF($R$17="Distrato",$I$38-1,0)),IF(AND($L$711=0,$P$708=0),"",$L$711-1),IF($R$17="Distrato",$E1055,0)),MIN(Z$38,$D$19),$P$20))-SUM($P1055:Y1055)</f>
        <v>#VALUE!</v>
      </c>
      <c r="AA1055" s="446" t="e">
        <f>IF(OR($B1055="",MIN(AA$38,$D$19)&lt;MAX($P$708*($B1055+IF($R$17="Distrato",$I$38-1,0)),IF(AND($L$711=0,$P$708=0),"",$L$711-1),IF($R$17="Distrato",$E1055,0))),0,YEARFRAC(MAX($P$708*($B1055+IF($R$17="Distrato",$I$38-1,0)),IF(AND($L$711=0,$P$708=0),"",$L$711-1),IF($R$17="Distrato",$E1055,0)),MIN(AA$38,$D$19),$P$20))-SUM($P1055:Z1055)</f>
        <v>#VALUE!</v>
      </c>
      <c r="AB1055" s="446" t="e">
        <f>IF(OR($B1055="",MIN(AB$38,$D$19)&lt;MAX($P$708*($B1055+IF($R$17="Distrato",$I$38-1,0)),IF(AND($L$711=0,$P$708=0),"",$L$711-1),IF($R$17="Distrato",$E1055,0))),0,YEARFRAC(MAX($P$708*($B1055+IF($R$17="Distrato",$I$38-1,0)),IF(AND($L$711=0,$P$708=0),"",$L$711-1),IF($R$17="Distrato",$E1055,0)),MIN(AB$38,$D$19),$P$20))-SUM($P1055:AA1055)</f>
        <v>#VALUE!</v>
      </c>
      <c r="AC1055" s="446" t="e">
        <f>IF(OR($B1055="",MIN(AC$38,$D$19)&lt;MAX($P$708*($B1055+IF($R$17="Distrato",$I$38-1,0)),IF(AND($L$711=0,$P$708=0),"",$L$711-1),IF($R$17="Distrato",$E1055,0))),0,YEARFRAC(MAX($P$708*($B1055+IF($R$17="Distrato",$I$38-1,0)),IF(AND($L$711=0,$P$708=0),"",$L$711-1),IF($R$17="Distrato",$E1055,0)),MIN(AC$38,$D$19),$P$20))-SUM($P1055:AB1055)</f>
        <v>#VALUE!</v>
      </c>
      <c r="AD1055" s="446" t="e">
        <f>IF(OR($B1055="",MIN(AD$38,$D$19)&lt;MAX($P$708*($B1055+IF($R$17="Distrato",$I$38-1,0)),IF(AND($L$711=0,$P$708=0),"",$L$711-1),IF($R$17="Distrato",$E1055,0))),0,YEARFRAC(MAX($P$708*($B1055+IF($R$17="Distrato",$I$38-1,0)),IF(AND($L$711=0,$P$708=0),"",$L$711-1),IF($R$17="Distrato",$E1055,0)),MIN(AD$38,$D$19),$P$20))-SUM($P1055:AC1055)</f>
        <v>#VALUE!</v>
      </c>
      <c r="AE1055" s="446" t="e">
        <f>IF(OR($B1055="",MIN(AE$38,$D$19)&lt;MAX($P$708*($B1055+IF($R$17="Distrato",$I$38-1,0)),IF(AND($L$711=0,$P$708=0),"",$L$711-1),IF($R$17="Distrato",$E1055,0))),0,YEARFRAC(MAX($P$708*($B1055+IF($R$17="Distrato",$I$38-1,0)),IF(AND($L$711=0,$P$708=0),"",$L$711-1),IF($R$17="Distrato",$E1055,0)),MIN(AE$38,$D$19),$P$20))-SUM($P1055:AD1055)</f>
        <v>#VALUE!</v>
      </c>
      <c r="AF1055" s="446" t="e">
        <f>IF(OR($B1055="",MIN(AF$38,$D$19)&lt;MAX($P$708*($B1055+IF($R$17="Distrato",$I$38-1,0)),IF(AND($L$711=0,$P$708=0),"",$L$711-1),IF($R$17="Distrato",$E1055,0))),0,YEARFRAC(MAX($P$708*($B1055+IF($R$17="Distrato",$I$38-1,0)),IF(AND($L$711=0,$P$708=0),"",$L$711-1),IF($R$17="Distrato",$E1055,0)),MIN(AF$38,$D$19),$P$20))-SUM($P1055:AE1055)</f>
        <v>#VALUE!</v>
      </c>
      <c r="AG1055" s="446" t="e">
        <f>IF(OR($B1055="",MIN(AG$38,$D$19)&lt;MAX($P$708*($B1055+IF($R$17="Distrato",$I$38-1,0)),IF(AND($L$711=0,$P$708=0),"",$L$711-1),IF($R$17="Distrato",$E1055,0))),0,YEARFRAC(MAX($P$708*($B1055+IF($R$17="Distrato",$I$38-1,0)),IF(AND($L$711=0,$P$708=0),"",$L$711-1),IF($R$17="Distrato",$E1055,0)),MIN(AG$38,$D$19),$P$20))-SUM($P1055:AF1055)</f>
        <v>#VALUE!</v>
      </c>
      <c r="AH1055" s="446" t="e">
        <f>IF(OR($B1055="",MIN(AH$38,$D$19)&lt;MAX($P$708*($B1055+IF($R$17="Distrato",$I$38-1,0)),IF(AND($L$711=0,$P$708=0),"",$L$711-1),IF($R$17="Distrato",$E1055,0))),0,YEARFRAC(MAX($P$708*($B1055+IF($R$17="Distrato",$I$38-1,0)),IF(AND($L$711=0,$P$708=0),"",$L$711-1),IF($R$17="Distrato",$E1055,0)),MIN(AH$38,$D$19),$P$20))-SUM($P1055:AG1055)</f>
        <v>#VALUE!</v>
      </c>
      <c r="AI1055" s="446" t="e">
        <f>IF(OR($B1055="",MIN(AI$38,$D$19)&lt;MAX($P$708*($B1055+IF($R$17="Distrato",$I$38-1,0)),IF(AND($L$711=0,$P$708=0),"",$L$711-1),IF($R$17="Distrato",$E1055,0))),0,YEARFRAC(MAX($P$708*($B1055+IF($R$17="Distrato",$I$38-1,0)),IF(AND($L$711=0,$P$708=0),"",$L$711-1),IF($R$17="Distrato",$E1055,0)),MIN(AI$38,$D$19),$P$20))-SUM($P1055:AH1055)</f>
        <v>#VALUE!</v>
      </c>
      <c r="AJ1055" s="446" t="e">
        <f>IF(OR($B1055="",MIN(AJ$38,$D$19)&lt;MAX($P$708*($B1055+IF($R$17="Distrato",$I$38-1,0)),IF(AND($L$711=0,$P$708=0),"",$L$711-1),IF($R$17="Distrato",$E1055,0))),0,YEARFRAC(MAX($P$708*($B1055+IF($R$17="Distrato",$I$38-1,0)),IF(AND($L$711=0,$P$708=0),"",$L$711-1),IF($R$17="Distrato",$E1055,0)),MIN(AJ$38,$D$19),$P$20))-SUM($P1055:AI1055)</f>
        <v>#VALUE!</v>
      </c>
      <c r="AK1055" s="446" t="e">
        <f>IF(OR($B1055="",MIN(AK$38,$D$19)&lt;MAX($P$708*($B1055+IF($R$17="Distrato",$I$38-1,0)),IF(AND($L$711=0,$P$708=0),"",$L$711-1),IF($R$17="Distrato",$E1055,0))),0,YEARFRAC(MAX($P$708*($B1055+IF($R$17="Distrato",$I$38-1,0)),IF(AND($L$711=0,$P$708=0),"",$L$711-1),IF($R$17="Distrato",$E1055,0)),MIN(AK$38,$D$19),$P$20))-SUM($P1055:AJ1055)</f>
        <v>#VALUE!</v>
      </c>
      <c r="AL1055" s="446" t="e">
        <f>IF(OR($B1055="",MIN(AL$38,$D$19)&lt;MAX($P$708*($B1055+IF($R$17="Distrato",$I$38-1,0)),IF(AND($L$711=0,$P$708=0),"",$L$711-1),IF($R$17="Distrato",$E1055,0))),0,YEARFRAC(MAX($P$708*($B1055+IF($R$17="Distrato",$I$38-1,0)),IF(AND($L$711=0,$P$708=0),"",$L$711-1),IF($R$17="Distrato",$E1055,0)),MIN(AL$38,$D$19),$P$20))-SUM($P1055:AK1055)</f>
        <v>#VALUE!</v>
      </c>
      <c r="AM1055" s="446" t="e">
        <f>IF(OR($B1055="",MIN(AM$38,$D$19)&lt;MAX($P$708*($B1055+IF($R$17="Distrato",$I$38-1,0)),IF(AND($L$711=0,$P$708=0),"",$L$711-1),IF($R$17="Distrato",$E1055,0))),0,YEARFRAC(MAX($P$708*($B1055+IF($R$17="Distrato",$I$38-1,0)),IF(AND($L$711=0,$P$708=0),"",$L$711-1),IF($R$17="Distrato",$E1055,0)),MIN(AM$38,$D$19),$P$20))-SUM($P1055:AL1055)</f>
        <v>#VALUE!</v>
      </c>
      <c r="AN1055" s="446" t="e">
        <f>IF(OR($B1055="",MIN(AN$38,$D$19)&lt;MAX($P$708*($B1055+IF($R$17="Distrato",$I$38-1,0)),IF(AND($L$711=0,$P$708=0),"",$L$711-1),IF($R$17="Distrato",$E1055,0))),0,YEARFRAC(MAX($P$708*($B1055+IF($R$17="Distrato",$I$38-1,0)),IF(AND($L$711=0,$P$708=0),"",$L$711-1),IF($R$17="Distrato",$E1055,0)),MIN(AN$38,$D$19),$P$20))-SUM($P1055:AM1055)</f>
        <v>#VALUE!</v>
      </c>
      <c r="AO1055" s="446" t="e">
        <f>IF(OR($B1055="",MIN(AO$38,$D$19)&lt;MAX($P$708*($B1055+IF($R$17="Distrato",$I$38-1,0)),IF(AND($L$711=0,$P$708=0),"",$L$711-1),IF($R$17="Distrato",$E1055,0))),0,YEARFRAC(MAX($P$708*($B1055+IF($R$17="Distrato",$I$38-1,0)),IF(AND($L$711=0,$P$708=0),"",$L$711-1),IF($R$17="Distrato",$E1055,0)),MIN(AO$38,$D$19),$P$20))-SUM($P1055:AN1055)</f>
        <v>#VALUE!</v>
      </c>
      <c r="AP1055" s="446" t="e">
        <f>IF(OR($B1055="",MIN(AP$38,$D$19)&lt;MAX($P$708*($B1055+IF($R$17="Distrato",$I$38-1,0)),IF(AND($L$711=0,$P$708=0),"",$L$711-1),IF($R$17="Distrato",$E1055,0))),0,YEARFRAC(MAX($P$708*($B1055+IF($R$17="Distrato",$I$38-1,0)),IF(AND($L$711=0,$P$708=0),"",$L$711-1),IF($R$17="Distrato",$E1055,0)),MIN(AP$38,$D$19),$P$20))-SUM($P1055:AO1055)</f>
        <v>#VALUE!</v>
      </c>
      <c r="AQ1055" s="446" t="e">
        <f>IF(OR($B1055="",MIN(AQ$38,$D$19)&lt;MAX($P$708*($B1055+IF($R$17="Distrato",$I$38-1,0)),IF(AND($L$711=0,$P$708=0),"",$L$711-1),IF($R$17="Distrato",$E1055,0))),0,YEARFRAC(MAX($P$708*($B1055+IF($R$17="Distrato",$I$38-1,0)),IF(AND($L$711=0,$P$708=0),"",$L$711-1),IF($R$17="Distrato",$E1055,0)),MIN(AQ$38,$D$19),$P$20))-SUM($P1055:AP1055)</f>
        <v>#VALUE!</v>
      </c>
      <c r="AR1055" s="446" t="e">
        <f>IF(OR($B1055="",MIN(AR$38,$D$19)&lt;MAX($P$708*($B1055+IF($R$17="Distrato",$I$38-1,0)),IF(AND($L$711=0,$P$708=0),"",$L$711-1),IF($R$17="Distrato",$E1055,0))),0,YEARFRAC(MAX($P$708*($B1055+IF($R$17="Distrato",$I$38-1,0)),IF(AND($L$711=0,$P$708=0),"",$L$711-1),IF($R$17="Distrato",$E1055,0)),MIN(AR$38,$D$19),$P$20))-SUM($P1055:AQ1055)</f>
        <v>#VALUE!</v>
      </c>
      <c r="AS1055" s="446" t="e">
        <f>IF(OR($B1055="",MIN(AS$38,$D$19)&lt;MAX($P$708*($B1055+IF($R$17="Distrato",$I$38-1,0)),IF(AND($L$711=0,$P$708=0),"",$L$711-1),IF($R$17="Distrato",$E1055,0))),0,YEARFRAC(MAX($P$708*($B1055+IF($R$17="Distrato",$I$38-1,0)),IF(AND($L$711=0,$P$708=0),"",$L$711-1),IF($R$17="Distrato",$E1055,0)),MIN(AS$38,$D$19),$P$20))-SUM($P1055:AR1055)</f>
        <v>#VALUE!</v>
      </c>
      <c r="AT1055" s="446" t="e">
        <f>IF(OR($B1055="",MIN(AT$38,$D$19)&lt;MAX($P$708*($B1055+IF($R$17="Distrato",$I$38-1,0)),IF(AND($L$711=0,$P$708=0),"",$L$711-1),IF($R$17="Distrato",$E1055,0))),0,YEARFRAC(MAX($P$708*($B1055+IF($R$17="Distrato",$I$38-1,0)),IF(AND($L$711=0,$P$708=0),"",$L$711-1),IF($R$17="Distrato",$E1055,0)),MIN(AT$38,$D$19),$P$20))-SUM($P1055:AS1055)</f>
        <v>#VALUE!</v>
      </c>
      <c r="AU1055" s="446" t="e">
        <f>IF(OR($B1055="",MIN(AU$38,$D$19)&lt;MAX($P$708*($B1055+IF($R$17="Distrato",$I$38-1,0)),IF(AND($L$711=0,$P$708=0),"",$L$711-1),IF($R$17="Distrato",$E1055,0))),0,YEARFRAC(MAX($P$708*($B1055+IF($R$17="Distrato",$I$38-1,0)),IF(AND($L$711=0,$P$708=0),"",$L$711-1),IF($R$17="Distrato",$E1055,0)),MIN(AU$38,$D$19),$P$20))-SUM($P1055:AT1055)</f>
        <v>#VALUE!</v>
      </c>
      <c r="AV1055" s="446" t="e">
        <f>IF(OR($B1055="",MIN(AV$38,$D$19)&lt;MAX($P$708*($B1055+IF($R$17="Distrato",$I$38-1,0)),IF(AND($L$711=0,$P$708=0),"",$L$711-1),IF($R$17="Distrato",$E1055,0))),0,YEARFRAC(MAX($P$708*($B1055+IF($R$17="Distrato",$I$38-1,0)),IF(AND($L$711=0,$P$708=0),"",$L$711-1),IF($R$17="Distrato",$E1055,0)),MIN(AV$38,$D$19),$P$20))-SUM($P1055:AU1055)</f>
        <v>#VALUE!</v>
      </c>
      <c r="AW1055" s="446" t="e">
        <f>IF(OR($B1055="",MIN(AW$38,$D$19)&lt;MAX($P$708*($B1055+IF($R$17="Distrato",$I$38-1,0)),IF(AND($L$711=0,$P$708=0),"",$L$711-1),IF($R$17="Distrato",$E1055,0))),0,YEARFRAC(MAX($P$708*($B1055+IF($R$17="Distrato",$I$38-1,0)),IF(AND($L$711=0,$P$708=0),"",$L$711-1),IF($R$17="Distrato",$E1055,0)),MIN(AW$38,$D$19),$P$20))-SUM($P1055:AV1055)</f>
        <v>#VALUE!</v>
      </c>
      <c r="AX1055" s="446" t="e">
        <f>IF(OR($B1055="",MIN(AX$38,$D$19)&lt;MAX($P$708*($B1055+IF($R$17="Distrato",$I$38-1,0)),IF(AND($L$711=0,$P$708=0),"",$L$711-1),IF($R$17="Distrato",$E1055,0))),0,YEARFRAC(MAX($P$708*($B1055+IF($R$17="Distrato",$I$38-1,0)),IF(AND($L$711=0,$P$708=0),"",$L$711-1),IF($R$17="Distrato",$E1055,0)),MIN(AX$38,$D$19),$P$20))-SUM($P1055:AW1055)</f>
        <v>#VALUE!</v>
      </c>
      <c r="AY1055" s="446" t="e">
        <f>IF(OR($B1055="",MIN(AY$38,$D$19)&lt;MAX($P$708*($B1055+IF($R$17="Distrato",$I$38-1,0)),IF(AND($L$711=0,$P$708=0),"",$L$711-1),IF($R$17="Distrato",$E1055,0))),0,YEARFRAC(MAX($P$708*($B1055+IF($R$17="Distrato",$I$38-1,0)),IF(AND($L$711=0,$P$708=0),"",$L$711-1),IF($R$17="Distrato",$E1055,0)),MIN(AY$38,$D$19),$P$20))-SUM($P1055:AX1055)</f>
        <v>#VALUE!</v>
      </c>
      <c r="AZ1055" s="446" t="e">
        <f>IF(OR($B1055="",MIN(AZ$38,$D$19)&lt;MAX($P$708*($B1055+IF($R$17="Distrato",$I$38-1,0)),IF(AND($L$711=0,$P$708=0),"",$L$711-1),IF($R$17="Distrato",$E1055,0))),0,YEARFRAC(MAX($P$708*($B1055+IF($R$17="Distrato",$I$38-1,0)),IF(AND($L$711=0,$P$708=0),"",$L$711-1),IF($R$17="Distrato",$E1055,0)),MIN(AZ$38,$D$19),$P$20))-SUM($P1055:AY1055)</f>
        <v>#VALUE!</v>
      </c>
      <c r="BA1055" s="446" t="e">
        <f>IF(OR($B1055="",MIN(BA$38,$D$19)&lt;MAX($P$708*($B1055+IF($R$17="Distrato",$I$38-1,0)),IF(AND($L$711=0,$P$708=0),"",$L$711-1),IF($R$17="Distrato",$E1055,0))),0,YEARFRAC(MAX($P$708*($B1055+IF($R$17="Distrato",$I$38-1,0)),IF(AND($L$711=0,$P$708=0),"",$L$711-1),IF($R$17="Distrato",$E1055,0)),MIN(BA$38,$D$19),$P$20))-SUM($P1055:AZ1055)</f>
        <v>#VALUE!</v>
      </c>
      <c r="BB1055" s="447"/>
    </row>
    <row r="1056" spans="1:54" s="446" customFormat="1" ht="11.25" hidden="1" customHeight="1" x14ac:dyDescent="0.2">
      <c r="A1056" s="235"/>
      <c r="B1056" s="236"/>
      <c r="C1056" s="29" t="str">
        <f>IF(B1056="","",IF($L$709=$BL$25,VLOOKUP(DATE(YEAR($D$19),MONTH($D$19)-1,1),ÍNDICES!$A:$DE,HLOOKUP($BL$25,ÍNDICES!$B$3:$T$4,2)+11)-VLOOKUP(B1056,ÍNDICES!$A:$DE,HLOOKUP($BL$25,ÍNDICES!$B$3:$T$4,2)+11)+1%,IF(C$712=$W$26,$J$35,IF(ISERROR(IF(B1056&gt;$D$19,1,VLOOKUP(DATE(YEAR(B1056),MONTH(B1056)+IF($C$709=$S$23,1,0),1),ÍNDICES!$A:$DE,$Z$709+1))),"",IF(B1056&gt;$D$19,1,VLOOKUP(DATE(YEAR(B1056),MONTH(B1056)+IF($C$709=$S$23,1,0),1),ÍNDICES!$A:$DE,$Z$709+1))))))</f>
        <v/>
      </c>
      <c r="D1056" s="155"/>
      <c r="E1056" s="88"/>
      <c r="F1056" s="88"/>
      <c r="G1056" s="88"/>
      <c r="H1056" s="118"/>
      <c r="I1056" s="182">
        <f t="shared" si="150"/>
        <v>0</v>
      </c>
      <c r="J1056" s="20">
        <f t="shared" ca="1" si="151"/>
        <v>0</v>
      </c>
      <c r="K1056" s="5">
        <f t="shared" ca="1" si="152"/>
        <v>0</v>
      </c>
      <c r="L1056" s="61">
        <f t="shared" ca="1" si="153"/>
        <v>0</v>
      </c>
      <c r="M1056" s="64">
        <f t="shared" si="154"/>
        <v>0</v>
      </c>
      <c r="N1056" s="151"/>
      <c r="O1056" s="5">
        <f t="shared" ca="1" si="155"/>
        <v>0</v>
      </c>
      <c r="P1056" s="446" t="e">
        <f t="shared" si="156"/>
        <v>#VALUE!</v>
      </c>
      <c r="Q1056" s="446" t="e">
        <f>IF(OR($B1056="",MIN(Q$38,$D$19)&lt;MAX($P$708*($B1056+IF($R$17="Distrato",$I$38-1,0)),IF(AND($L$711=0,$P$708=0),"",$L$711-1),IF($R$17="Distrato",$E1056,0))),0,YEARFRAC(MAX($P$708*($B1056+IF($R$17="Distrato",$I$38-1,0)),IF(AND($L$711=0,$P$708=0),"",$L$711-1),IF($R$17="Distrato",$E1056,0)),MIN(Q$38,$D$19),$P$20))-SUM($P1056:P1056)</f>
        <v>#VALUE!</v>
      </c>
      <c r="R1056" s="446" t="e">
        <f>IF(OR($B1056="",MIN(R$38,$D$19)&lt;MAX($P$708*($B1056+IF($R$17="Distrato",$I$38-1,0)),IF(AND($L$711=0,$P$708=0),"",$L$711-1),IF($R$17="Distrato",$E1056,0))),0,YEARFRAC(MAX($P$708*($B1056+IF($R$17="Distrato",$I$38-1,0)),IF(AND($L$711=0,$P$708=0),"",$L$711-1),IF($R$17="Distrato",$E1056,0)),MIN(R$38,$D$19),$P$20))-SUM($P1056:Q1056)</f>
        <v>#VALUE!</v>
      </c>
      <c r="S1056" s="446" t="e">
        <f>IF(OR($B1056="",MIN(S$38,$D$19)&lt;MAX($P$708*($B1056+IF($R$17="Distrato",$I$38-1,0)),IF(AND($L$711=0,$P$708=0),"",$L$711-1),IF($R$17="Distrato",$E1056,0))),0,YEARFRAC(MAX($P$708*($B1056+IF($R$17="Distrato",$I$38-1,0)),IF(AND($L$711=0,$P$708=0),"",$L$711-1),IF($R$17="Distrato",$E1056,0)),MIN(S$38,$D$19),$P$20))-SUM($P1056:R1056)</f>
        <v>#VALUE!</v>
      </c>
      <c r="T1056" s="446" t="e">
        <f>IF(OR($B1056="",MIN(T$38,$D$19)&lt;MAX($P$708*($B1056+IF($R$17="Distrato",$I$38-1,0)),IF(AND($L$711=0,$P$708=0),"",$L$711-1),IF($R$17="Distrato",$E1056,0))),0,YEARFRAC(MAX($P$708*($B1056+IF($R$17="Distrato",$I$38-1,0)),IF(AND($L$711=0,$P$708=0),"",$L$711-1),IF($R$17="Distrato",$E1056,0)),MIN(T$38,$D$19),$P$20))-SUM($P1056:S1056)</f>
        <v>#VALUE!</v>
      </c>
      <c r="U1056" s="446" t="e">
        <f>IF(OR($B1056="",MIN(U$38,$D$19)&lt;MAX($P$708*($B1056+IF($R$17="Distrato",$I$38-1,0)),IF(AND($L$711=0,$P$708=0),"",$L$711-1),IF($R$17="Distrato",$E1056,0))),0,YEARFRAC(MAX($P$708*($B1056+IF($R$17="Distrato",$I$38-1,0)),IF(AND($L$711=0,$P$708=0),"",$L$711-1),IF($R$17="Distrato",$E1056,0)),MIN(U$38,$D$19),$P$20))-SUM($P1056:T1056)</f>
        <v>#VALUE!</v>
      </c>
      <c r="V1056" s="446" t="e">
        <f>IF(OR($B1056="",MIN(V$38,$D$19)&lt;MAX($P$708*($B1056+IF($R$17="Distrato",$I$38-1,0)),IF(AND($L$711=0,$P$708=0),"",$L$711-1),IF($R$17="Distrato",$E1056,0))),0,YEARFRAC(MAX($P$708*($B1056+IF($R$17="Distrato",$I$38-1,0)),IF(AND($L$711=0,$P$708=0),"",$L$711-1),IF($R$17="Distrato",$E1056,0)),MIN(V$38,$D$19),$P$20))-SUM($P1056:U1056)</f>
        <v>#VALUE!</v>
      </c>
      <c r="W1056" s="446" t="e">
        <f>IF(OR($B1056="",MIN(W$38,$D$19)&lt;MAX($P$708*($B1056+IF($R$17="Distrato",$I$38-1,0)),IF(AND($L$711=0,$P$708=0),"",$L$711-1),IF($R$17="Distrato",$E1056,0))),0,YEARFRAC(MAX($P$708*($B1056+IF($R$17="Distrato",$I$38-1,0)),IF(AND($L$711=0,$P$708=0),"",$L$711-1),IF($R$17="Distrato",$E1056,0)),MIN(W$38,$D$19),$P$20))-SUM($P1056:V1056)</f>
        <v>#VALUE!</v>
      </c>
      <c r="X1056" s="446" t="e">
        <f>IF(OR($B1056="",MIN(X$38,$D$19)&lt;MAX($P$708*($B1056+IF($R$17="Distrato",$I$38-1,0)),IF(AND($L$711=0,$P$708=0),"",$L$711-1),IF($R$17="Distrato",$E1056,0))),0,YEARFRAC(MAX($P$708*($B1056+IF($R$17="Distrato",$I$38-1,0)),IF(AND($L$711=0,$P$708=0),"",$L$711-1),IF($R$17="Distrato",$E1056,0)),MIN(X$38,$D$19),$P$20))-SUM($P1056:W1056)</f>
        <v>#VALUE!</v>
      </c>
      <c r="Y1056" s="446" t="e">
        <f>IF(OR($B1056="",MIN(Y$38,$D$19)&lt;MAX($P$708*($B1056+IF($R$17="Distrato",$I$38-1,0)),IF(AND($L$711=0,$P$708=0),"",$L$711-1),IF($R$17="Distrato",$E1056,0))),0,YEARFRAC(MAX($P$708*($B1056+IF($R$17="Distrato",$I$38-1,0)),IF(AND($L$711=0,$P$708=0),"",$L$711-1),IF($R$17="Distrato",$E1056,0)),MIN(Y$38,$D$19),$P$20))-SUM($P1056:X1056)</f>
        <v>#VALUE!</v>
      </c>
      <c r="Z1056" s="446" t="e">
        <f>IF(OR($B1056="",MIN(Z$38,$D$19)&lt;MAX($P$708*($B1056+IF($R$17="Distrato",$I$38-1,0)),IF(AND($L$711=0,$P$708=0),"",$L$711-1),IF($R$17="Distrato",$E1056,0))),0,YEARFRAC(MAX($P$708*($B1056+IF($R$17="Distrato",$I$38-1,0)),IF(AND($L$711=0,$P$708=0),"",$L$711-1),IF($R$17="Distrato",$E1056,0)),MIN(Z$38,$D$19),$P$20))-SUM($P1056:Y1056)</f>
        <v>#VALUE!</v>
      </c>
      <c r="AA1056" s="446" t="e">
        <f>IF(OR($B1056="",MIN(AA$38,$D$19)&lt;MAX($P$708*($B1056+IF($R$17="Distrato",$I$38-1,0)),IF(AND($L$711=0,$P$708=0),"",$L$711-1),IF($R$17="Distrato",$E1056,0))),0,YEARFRAC(MAX($P$708*($B1056+IF($R$17="Distrato",$I$38-1,0)),IF(AND($L$711=0,$P$708=0),"",$L$711-1),IF($R$17="Distrato",$E1056,0)),MIN(AA$38,$D$19),$P$20))-SUM($P1056:Z1056)</f>
        <v>#VALUE!</v>
      </c>
      <c r="AB1056" s="446" t="e">
        <f>IF(OR($B1056="",MIN(AB$38,$D$19)&lt;MAX($P$708*($B1056+IF($R$17="Distrato",$I$38-1,0)),IF(AND($L$711=0,$P$708=0),"",$L$711-1),IF($R$17="Distrato",$E1056,0))),0,YEARFRAC(MAX($P$708*($B1056+IF($R$17="Distrato",$I$38-1,0)),IF(AND($L$711=0,$P$708=0),"",$L$711-1),IF($R$17="Distrato",$E1056,0)),MIN(AB$38,$D$19),$P$20))-SUM($P1056:AA1056)</f>
        <v>#VALUE!</v>
      </c>
      <c r="AC1056" s="446" t="e">
        <f>IF(OR($B1056="",MIN(AC$38,$D$19)&lt;MAX($P$708*($B1056+IF($R$17="Distrato",$I$38-1,0)),IF(AND($L$711=0,$P$708=0),"",$L$711-1),IF($R$17="Distrato",$E1056,0))),0,YEARFRAC(MAX($P$708*($B1056+IF($R$17="Distrato",$I$38-1,0)),IF(AND($L$711=0,$P$708=0),"",$L$711-1),IF($R$17="Distrato",$E1056,0)),MIN(AC$38,$D$19),$P$20))-SUM($P1056:AB1056)</f>
        <v>#VALUE!</v>
      </c>
      <c r="AD1056" s="446" t="e">
        <f>IF(OR($B1056="",MIN(AD$38,$D$19)&lt;MAX($P$708*($B1056+IF($R$17="Distrato",$I$38-1,0)),IF(AND($L$711=0,$P$708=0),"",$L$711-1),IF($R$17="Distrato",$E1056,0))),0,YEARFRAC(MAX($P$708*($B1056+IF($R$17="Distrato",$I$38-1,0)),IF(AND($L$711=0,$P$708=0),"",$L$711-1),IF($R$17="Distrato",$E1056,0)),MIN(AD$38,$D$19),$P$20))-SUM($P1056:AC1056)</f>
        <v>#VALUE!</v>
      </c>
      <c r="AE1056" s="446" t="e">
        <f>IF(OR($B1056="",MIN(AE$38,$D$19)&lt;MAX($P$708*($B1056+IF($R$17="Distrato",$I$38-1,0)),IF(AND($L$711=0,$P$708=0),"",$L$711-1),IF($R$17="Distrato",$E1056,0))),0,YEARFRAC(MAX($P$708*($B1056+IF($R$17="Distrato",$I$38-1,0)),IF(AND($L$711=0,$P$708=0),"",$L$711-1),IF($R$17="Distrato",$E1056,0)),MIN(AE$38,$D$19),$P$20))-SUM($P1056:AD1056)</f>
        <v>#VALUE!</v>
      </c>
      <c r="AF1056" s="446" t="e">
        <f>IF(OR($B1056="",MIN(AF$38,$D$19)&lt;MAX($P$708*($B1056+IF($R$17="Distrato",$I$38-1,0)),IF(AND($L$711=0,$P$708=0),"",$L$711-1),IF($R$17="Distrato",$E1056,0))),0,YEARFRAC(MAX($P$708*($B1056+IF($R$17="Distrato",$I$38-1,0)),IF(AND($L$711=0,$P$708=0),"",$L$711-1),IF($R$17="Distrato",$E1056,0)),MIN(AF$38,$D$19),$P$20))-SUM($P1056:AE1056)</f>
        <v>#VALUE!</v>
      </c>
      <c r="AG1056" s="446" t="e">
        <f>IF(OR($B1056="",MIN(AG$38,$D$19)&lt;MAX($P$708*($B1056+IF($R$17="Distrato",$I$38-1,0)),IF(AND($L$711=0,$P$708=0),"",$L$711-1),IF($R$17="Distrato",$E1056,0))),0,YEARFRAC(MAX($P$708*($B1056+IF($R$17="Distrato",$I$38-1,0)),IF(AND($L$711=0,$P$708=0),"",$L$711-1),IF($R$17="Distrato",$E1056,0)),MIN(AG$38,$D$19),$P$20))-SUM($P1056:AF1056)</f>
        <v>#VALUE!</v>
      </c>
      <c r="AH1056" s="446" t="e">
        <f>IF(OR($B1056="",MIN(AH$38,$D$19)&lt;MAX($P$708*($B1056+IF($R$17="Distrato",$I$38-1,0)),IF(AND($L$711=0,$P$708=0),"",$L$711-1),IF($R$17="Distrato",$E1056,0))),0,YEARFRAC(MAX($P$708*($B1056+IF($R$17="Distrato",$I$38-1,0)),IF(AND($L$711=0,$P$708=0),"",$L$711-1),IF($R$17="Distrato",$E1056,0)),MIN(AH$38,$D$19),$P$20))-SUM($P1056:AG1056)</f>
        <v>#VALUE!</v>
      </c>
      <c r="AI1056" s="446" t="e">
        <f>IF(OR($B1056="",MIN(AI$38,$D$19)&lt;MAX($P$708*($B1056+IF($R$17="Distrato",$I$38-1,0)),IF(AND($L$711=0,$P$708=0),"",$L$711-1),IF($R$17="Distrato",$E1056,0))),0,YEARFRAC(MAX($P$708*($B1056+IF($R$17="Distrato",$I$38-1,0)),IF(AND($L$711=0,$P$708=0),"",$L$711-1),IF($R$17="Distrato",$E1056,0)),MIN(AI$38,$D$19),$P$20))-SUM($P1056:AH1056)</f>
        <v>#VALUE!</v>
      </c>
      <c r="AJ1056" s="446" t="e">
        <f>IF(OR($B1056="",MIN(AJ$38,$D$19)&lt;MAX($P$708*($B1056+IF($R$17="Distrato",$I$38-1,0)),IF(AND($L$711=0,$P$708=0),"",$L$711-1),IF($R$17="Distrato",$E1056,0))),0,YEARFRAC(MAX($P$708*($B1056+IF($R$17="Distrato",$I$38-1,0)),IF(AND($L$711=0,$P$708=0),"",$L$711-1),IF($R$17="Distrato",$E1056,0)),MIN(AJ$38,$D$19),$P$20))-SUM($P1056:AI1056)</f>
        <v>#VALUE!</v>
      </c>
      <c r="AK1056" s="446" t="e">
        <f>IF(OR($B1056="",MIN(AK$38,$D$19)&lt;MAX($P$708*($B1056+IF($R$17="Distrato",$I$38-1,0)),IF(AND($L$711=0,$P$708=0),"",$L$711-1),IF($R$17="Distrato",$E1056,0))),0,YEARFRAC(MAX($P$708*($B1056+IF($R$17="Distrato",$I$38-1,0)),IF(AND($L$711=0,$P$708=0),"",$L$711-1),IF($R$17="Distrato",$E1056,0)),MIN(AK$38,$D$19),$P$20))-SUM($P1056:AJ1056)</f>
        <v>#VALUE!</v>
      </c>
      <c r="AL1056" s="446" t="e">
        <f>IF(OR($B1056="",MIN(AL$38,$D$19)&lt;MAX($P$708*($B1056+IF($R$17="Distrato",$I$38-1,0)),IF(AND($L$711=0,$P$708=0),"",$L$711-1),IF($R$17="Distrato",$E1056,0))),0,YEARFRAC(MAX($P$708*($B1056+IF($R$17="Distrato",$I$38-1,0)),IF(AND($L$711=0,$P$708=0),"",$L$711-1),IF($R$17="Distrato",$E1056,0)),MIN(AL$38,$D$19),$P$20))-SUM($P1056:AK1056)</f>
        <v>#VALUE!</v>
      </c>
      <c r="AM1056" s="446" t="e">
        <f>IF(OR($B1056="",MIN(AM$38,$D$19)&lt;MAX($P$708*($B1056+IF($R$17="Distrato",$I$38-1,0)),IF(AND($L$711=0,$P$708=0),"",$L$711-1),IF($R$17="Distrato",$E1056,0))),0,YEARFRAC(MAX($P$708*($B1056+IF($R$17="Distrato",$I$38-1,0)),IF(AND($L$711=0,$P$708=0),"",$L$711-1),IF($R$17="Distrato",$E1056,0)),MIN(AM$38,$D$19),$P$20))-SUM($P1056:AL1056)</f>
        <v>#VALUE!</v>
      </c>
      <c r="AN1056" s="446" t="e">
        <f>IF(OR($B1056="",MIN(AN$38,$D$19)&lt;MAX($P$708*($B1056+IF($R$17="Distrato",$I$38-1,0)),IF(AND($L$711=0,$P$708=0),"",$L$711-1),IF($R$17="Distrato",$E1056,0))),0,YEARFRAC(MAX($P$708*($B1056+IF($R$17="Distrato",$I$38-1,0)),IF(AND($L$711=0,$P$708=0),"",$L$711-1),IF($R$17="Distrato",$E1056,0)),MIN(AN$38,$D$19),$P$20))-SUM($P1056:AM1056)</f>
        <v>#VALUE!</v>
      </c>
      <c r="AO1056" s="446" t="e">
        <f>IF(OR($B1056="",MIN(AO$38,$D$19)&lt;MAX($P$708*($B1056+IF($R$17="Distrato",$I$38-1,0)),IF(AND($L$711=0,$P$708=0),"",$L$711-1),IF($R$17="Distrato",$E1056,0))),0,YEARFRAC(MAX($P$708*($B1056+IF($R$17="Distrato",$I$38-1,0)),IF(AND($L$711=0,$P$708=0),"",$L$711-1),IF($R$17="Distrato",$E1056,0)),MIN(AO$38,$D$19),$P$20))-SUM($P1056:AN1056)</f>
        <v>#VALUE!</v>
      </c>
      <c r="AP1056" s="446" t="e">
        <f>IF(OR($B1056="",MIN(AP$38,$D$19)&lt;MAX($P$708*($B1056+IF($R$17="Distrato",$I$38-1,0)),IF(AND($L$711=0,$P$708=0),"",$L$711-1),IF($R$17="Distrato",$E1056,0))),0,YEARFRAC(MAX($P$708*($B1056+IF($R$17="Distrato",$I$38-1,0)),IF(AND($L$711=0,$P$708=0),"",$L$711-1),IF($R$17="Distrato",$E1056,0)),MIN(AP$38,$D$19),$P$20))-SUM($P1056:AO1056)</f>
        <v>#VALUE!</v>
      </c>
      <c r="AQ1056" s="446" t="e">
        <f>IF(OR($B1056="",MIN(AQ$38,$D$19)&lt;MAX($P$708*($B1056+IF($R$17="Distrato",$I$38-1,0)),IF(AND($L$711=0,$P$708=0),"",$L$711-1),IF($R$17="Distrato",$E1056,0))),0,YEARFRAC(MAX($P$708*($B1056+IF($R$17="Distrato",$I$38-1,0)),IF(AND($L$711=0,$P$708=0),"",$L$711-1),IF($R$17="Distrato",$E1056,0)),MIN(AQ$38,$D$19),$P$20))-SUM($P1056:AP1056)</f>
        <v>#VALUE!</v>
      </c>
      <c r="AR1056" s="446" t="e">
        <f>IF(OR($B1056="",MIN(AR$38,$D$19)&lt;MAX($P$708*($B1056+IF($R$17="Distrato",$I$38-1,0)),IF(AND($L$711=0,$P$708=0),"",$L$711-1),IF($R$17="Distrato",$E1056,0))),0,YEARFRAC(MAX($P$708*($B1056+IF($R$17="Distrato",$I$38-1,0)),IF(AND($L$711=0,$P$708=0),"",$L$711-1),IF($R$17="Distrato",$E1056,0)),MIN(AR$38,$D$19),$P$20))-SUM($P1056:AQ1056)</f>
        <v>#VALUE!</v>
      </c>
      <c r="AS1056" s="446" t="e">
        <f>IF(OR($B1056="",MIN(AS$38,$D$19)&lt;MAX($P$708*($B1056+IF($R$17="Distrato",$I$38-1,0)),IF(AND($L$711=0,$P$708=0),"",$L$711-1),IF($R$17="Distrato",$E1056,0))),0,YEARFRAC(MAX($P$708*($B1056+IF($R$17="Distrato",$I$38-1,0)),IF(AND($L$711=0,$P$708=0),"",$L$711-1),IF($R$17="Distrato",$E1056,0)),MIN(AS$38,$D$19),$P$20))-SUM($P1056:AR1056)</f>
        <v>#VALUE!</v>
      </c>
      <c r="AT1056" s="446" t="e">
        <f>IF(OR($B1056="",MIN(AT$38,$D$19)&lt;MAX($P$708*($B1056+IF($R$17="Distrato",$I$38-1,0)),IF(AND($L$711=0,$P$708=0),"",$L$711-1),IF($R$17="Distrato",$E1056,0))),0,YEARFRAC(MAX($P$708*($B1056+IF($R$17="Distrato",$I$38-1,0)),IF(AND($L$711=0,$P$708=0),"",$L$711-1),IF($R$17="Distrato",$E1056,0)),MIN(AT$38,$D$19),$P$20))-SUM($P1056:AS1056)</f>
        <v>#VALUE!</v>
      </c>
      <c r="AU1056" s="446" t="e">
        <f>IF(OR($B1056="",MIN(AU$38,$D$19)&lt;MAX($P$708*($B1056+IF($R$17="Distrato",$I$38-1,0)),IF(AND($L$711=0,$P$708=0),"",$L$711-1),IF($R$17="Distrato",$E1056,0))),0,YEARFRAC(MAX($P$708*($B1056+IF($R$17="Distrato",$I$38-1,0)),IF(AND($L$711=0,$P$708=0),"",$L$711-1),IF($R$17="Distrato",$E1056,0)),MIN(AU$38,$D$19),$P$20))-SUM($P1056:AT1056)</f>
        <v>#VALUE!</v>
      </c>
      <c r="AV1056" s="446" t="e">
        <f>IF(OR($B1056="",MIN(AV$38,$D$19)&lt;MAX($P$708*($B1056+IF($R$17="Distrato",$I$38-1,0)),IF(AND($L$711=0,$P$708=0),"",$L$711-1),IF($R$17="Distrato",$E1056,0))),0,YEARFRAC(MAX($P$708*($B1056+IF($R$17="Distrato",$I$38-1,0)),IF(AND($L$711=0,$P$708=0),"",$L$711-1),IF($R$17="Distrato",$E1056,0)),MIN(AV$38,$D$19),$P$20))-SUM($P1056:AU1056)</f>
        <v>#VALUE!</v>
      </c>
      <c r="AW1056" s="446" t="e">
        <f>IF(OR($B1056="",MIN(AW$38,$D$19)&lt;MAX($P$708*($B1056+IF($R$17="Distrato",$I$38-1,0)),IF(AND($L$711=0,$P$708=0),"",$L$711-1),IF($R$17="Distrato",$E1056,0))),0,YEARFRAC(MAX($P$708*($B1056+IF($R$17="Distrato",$I$38-1,0)),IF(AND($L$711=0,$P$708=0),"",$L$711-1),IF($R$17="Distrato",$E1056,0)),MIN(AW$38,$D$19),$P$20))-SUM($P1056:AV1056)</f>
        <v>#VALUE!</v>
      </c>
      <c r="AX1056" s="446" t="e">
        <f>IF(OR($B1056="",MIN(AX$38,$D$19)&lt;MAX($P$708*($B1056+IF($R$17="Distrato",$I$38-1,0)),IF(AND($L$711=0,$P$708=0),"",$L$711-1),IF($R$17="Distrato",$E1056,0))),0,YEARFRAC(MAX($P$708*($B1056+IF($R$17="Distrato",$I$38-1,0)),IF(AND($L$711=0,$P$708=0),"",$L$711-1),IF($R$17="Distrato",$E1056,0)),MIN(AX$38,$D$19),$P$20))-SUM($P1056:AW1056)</f>
        <v>#VALUE!</v>
      </c>
      <c r="AY1056" s="446" t="e">
        <f>IF(OR($B1056="",MIN(AY$38,$D$19)&lt;MAX($P$708*($B1056+IF($R$17="Distrato",$I$38-1,0)),IF(AND($L$711=0,$P$708=0),"",$L$711-1),IF($R$17="Distrato",$E1056,0))),0,YEARFRAC(MAX($P$708*($B1056+IF($R$17="Distrato",$I$38-1,0)),IF(AND($L$711=0,$P$708=0),"",$L$711-1),IF($R$17="Distrato",$E1056,0)),MIN(AY$38,$D$19),$P$20))-SUM($P1056:AX1056)</f>
        <v>#VALUE!</v>
      </c>
      <c r="AZ1056" s="446" t="e">
        <f>IF(OR($B1056="",MIN(AZ$38,$D$19)&lt;MAX($P$708*($B1056+IF($R$17="Distrato",$I$38-1,0)),IF(AND($L$711=0,$P$708=0),"",$L$711-1),IF($R$17="Distrato",$E1056,0))),0,YEARFRAC(MAX($P$708*($B1056+IF($R$17="Distrato",$I$38-1,0)),IF(AND($L$711=0,$P$708=0),"",$L$711-1),IF($R$17="Distrato",$E1056,0)),MIN(AZ$38,$D$19),$P$20))-SUM($P1056:AY1056)</f>
        <v>#VALUE!</v>
      </c>
      <c r="BA1056" s="446" t="e">
        <f>IF(OR($B1056="",MIN(BA$38,$D$19)&lt;MAX($P$708*($B1056+IF($R$17="Distrato",$I$38-1,0)),IF(AND($L$711=0,$P$708=0),"",$L$711-1),IF($R$17="Distrato",$E1056,0))),0,YEARFRAC(MAX($P$708*($B1056+IF($R$17="Distrato",$I$38-1,0)),IF(AND($L$711=0,$P$708=0),"",$L$711-1),IF($R$17="Distrato",$E1056,0)),MIN(BA$38,$D$19),$P$20))-SUM($P1056:AZ1056)</f>
        <v>#VALUE!</v>
      </c>
      <c r="BB1056" s="447"/>
    </row>
    <row r="1057" spans="1:54" s="446" customFormat="1" ht="11.25" hidden="1" customHeight="1" x14ac:dyDescent="0.2">
      <c r="A1057" s="235"/>
      <c r="B1057" s="236"/>
      <c r="C1057" s="29" t="str">
        <f>IF(B1057="","",IF($L$709=$BL$25,VLOOKUP(DATE(YEAR($D$19),MONTH($D$19)-1,1),ÍNDICES!$A:$DE,HLOOKUP($BL$25,ÍNDICES!$B$3:$T$4,2)+11)-VLOOKUP(B1057,ÍNDICES!$A:$DE,HLOOKUP($BL$25,ÍNDICES!$B$3:$T$4,2)+11)+1%,IF(C$712=$W$26,$J$35,IF(ISERROR(IF(B1057&gt;$D$19,1,VLOOKUP(DATE(YEAR(B1057),MONTH(B1057)+IF($C$709=$S$23,1,0),1),ÍNDICES!$A:$DE,$Z$709+1))),"",IF(B1057&gt;$D$19,1,VLOOKUP(DATE(YEAR(B1057),MONTH(B1057)+IF($C$709=$S$23,1,0),1),ÍNDICES!$A:$DE,$Z$709+1))))))</f>
        <v/>
      </c>
      <c r="D1057" s="155"/>
      <c r="E1057" s="88"/>
      <c r="F1057" s="88"/>
      <c r="G1057" s="88"/>
      <c r="H1057" s="118"/>
      <c r="I1057" s="182">
        <f t="shared" si="150"/>
        <v>0</v>
      </c>
      <c r="J1057" s="20">
        <f t="shared" ca="1" si="151"/>
        <v>0</v>
      </c>
      <c r="K1057" s="5">
        <f t="shared" ca="1" si="152"/>
        <v>0</v>
      </c>
      <c r="L1057" s="61">
        <f t="shared" ca="1" si="153"/>
        <v>0</v>
      </c>
      <c r="M1057" s="64">
        <f t="shared" si="154"/>
        <v>0</v>
      </c>
      <c r="N1057" s="151"/>
      <c r="O1057" s="5">
        <f t="shared" ca="1" si="155"/>
        <v>0</v>
      </c>
      <c r="P1057" s="446" t="e">
        <f t="shared" si="156"/>
        <v>#VALUE!</v>
      </c>
      <c r="Q1057" s="446" t="e">
        <f>IF(OR($B1057="",MIN(Q$38,$D$19)&lt;MAX($P$708*($B1057+IF($R$17="Distrato",$I$38-1,0)),IF(AND($L$711=0,$P$708=0),"",$L$711-1),IF($R$17="Distrato",$E1057,0))),0,YEARFRAC(MAX($P$708*($B1057+IF($R$17="Distrato",$I$38-1,0)),IF(AND($L$711=0,$P$708=0),"",$L$711-1),IF($R$17="Distrato",$E1057,0)),MIN(Q$38,$D$19),$P$20))-SUM($P1057:P1057)</f>
        <v>#VALUE!</v>
      </c>
      <c r="R1057" s="446" t="e">
        <f>IF(OR($B1057="",MIN(R$38,$D$19)&lt;MAX($P$708*($B1057+IF($R$17="Distrato",$I$38-1,0)),IF(AND($L$711=0,$P$708=0),"",$L$711-1),IF($R$17="Distrato",$E1057,0))),0,YEARFRAC(MAX($P$708*($B1057+IF($R$17="Distrato",$I$38-1,0)),IF(AND($L$711=0,$P$708=0),"",$L$711-1),IF($R$17="Distrato",$E1057,0)),MIN(R$38,$D$19),$P$20))-SUM($P1057:Q1057)</f>
        <v>#VALUE!</v>
      </c>
      <c r="S1057" s="446" t="e">
        <f>IF(OR($B1057="",MIN(S$38,$D$19)&lt;MAX($P$708*($B1057+IF($R$17="Distrato",$I$38-1,0)),IF(AND($L$711=0,$P$708=0),"",$L$711-1),IF($R$17="Distrato",$E1057,0))),0,YEARFRAC(MAX($P$708*($B1057+IF($R$17="Distrato",$I$38-1,0)),IF(AND($L$711=0,$P$708=0),"",$L$711-1),IF($R$17="Distrato",$E1057,0)),MIN(S$38,$D$19),$P$20))-SUM($P1057:R1057)</f>
        <v>#VALUE!</v>
      </c>
      <c r="T1057" s="446" t="e">
        <f>IF(OR($B1057="",MIN(T$38,$D$19)&lt;MAX($P$708*($B1057+IF($R$17="Distrato",$I$38-1,0)),IF(AND($L$711=0,$P$708=0),"",$L$711-1),IF($R$17="Distrato",$E1057,0))),0,YEARFRAC(MAX($P$708*($B1057+IF($R$17="Distrato",$I$38-1,0)),IF(AND($L$711=0,$P$708=0),"",$L$711-1),IF($R$17="Distrato",$E1057,0)),MIN(T$38,$D$19),$P$20))-SUM($P1057:S1057)</f>
        <v>#VALUE!</v>
      </c>
      <c r="U1057" s="446" t="e">
        <f>IF(OR($B1057="",MIN(U$38,$D$19)&lt;MAX($P$708*($B1057+IF($R$17="Distrato",$I$38-1,0)),IF(AND($L$711=0,$P$708=0),"",$L$711-1),IF($R$17="Distrato",$E1057,0))),0,YEARFRAC(MAX($P$708*($B1057+IF($R$17="Distrato",$I$38-1,0)),IF(AND($L$711=0,$P$708=0),"",$L$711-1),IF($R$17="Distrato",$E1057,0)),MIN(U$38,$D$19),$P$20))-SUM($P1057:T1057)</f>
        <v>#VALUE!</v>
      </c>
      <c r="V1057" s="446" t="e">
        <f>IF(OR($B1057="",MIN(V$38,$D$19)&lt;MAX($P$708*($B1057+IF($R$17="Distrato",$I$38-1,0)),IF(AND($L$711=0,$P$708=0),"",$L$711-1),IF($R$17="Distrato",$E1057,0))),0,YEARFRAC(MAX($P$708*($B1057+IF($R$17="Distrato",$I$38-1,0)),IF(AND($L$711=0,$P$708=0),"",$L$711-1),IF($R$17="Distrato",$E1057,0)),MIN(V$38,$D$19),$P$20))-SUM($P1057:U1057)</f>
        <v>#VALUE!</v>
      </c>
      <c r="W1057" s="446" t="e">
        <f>IF(OR($B1057="",MIN(W$38,$D$19)&lt;MAX($P$708*($B1057+IF($R$17="Distrato",$I$38-1,0)),IF(AND($L$711=0,$P$708=0),"",$L$711-1),IF($R$17="Distrato",$E1057,0))),0,YEARFRAC(MAX($P$708*($B1057+IF($R$17="Distrato",$I$38-1,0)),IF(AND($L$711=0,$P$708=0),"",$L$711-1),IF($R$17="Distrato",$E1057,0)),MIN(W$38,$D$19),$P$20))-SUM($P1057:V1057)</f>
        <v>#VALUE!</v>
      </c>
      <c r="X1057" s="446" t="e">
        <f>IF(OR($B1057="",MIN(X$38,$D$19)&lt;MAX($P$708*($B1057+IF($R$17="Distrato",$I$38-1,0)),IF(AND($L$711=0,$P$708=0),"",$L$711-1),IF($R$17="Distrato",$E1057,0))),0,YEARFRAC(MAX($P$708*($B1057+IF($R$17="Distrato",$I$38-1,0)),IF(AND($L$711=0,$P$708=0),"",$L$711-1),IF($R$17="Distrato",$E1057,0)),MIN(X$38,$D$19),$P$20))-SUM($P1057:W1057)</f>
        <v>#VALUE!</v>
      </c>
      <c r="Y1057" s="446" t="e">
        <f>IF(OR($B1057="",MIN(Y$38,$D$19)&lt;MAX($P$708*($B1057+IF($R$17="Distrato",$I$38-1,0)),IF(AND($L$711=0,$P$708=0),"",$L$711-1),IF($R$17="Distrato",$E1057,0))),0,YEARFRAC(MAX($P$708*($B1057+IF($R$17="Distrato",$I$38-1,0)),IF(AND($L$711=0,$P$708=0),"",$L$711-1),IF($R$17="Distrato",$E1057,0)),MIN(Y$38,$D$19),$P$20))-SUM($P1057:X1057)</f>
        <v>#VALUE!</v>
      </c>
      <c r="Z1057" s="446" t="e">
        <f>IF(OR($B1057="",MIN(Z$38,$D$19)&lt;MAX($P$708*($B1057+IF($R$17="Distrato",$I$38-1,0)),IF(AND($L$711=0,$P$708=0),"",$L$711-1),IF($R$17="Distrato",$E1057,0))),0,YEARFRAC(MAX($P$708*($B1057+IF($R$17="Distrato",$I$38-1,0)),IF(AND($L$711=0,$P$708=0),"",$L$711-1),IF($R$17="Distrato",$E1057,0)),MIN(Z$38,$D$19),$P$20))-SUM($P1057:Y1057)</f>
        <v>#VALUE!</v>
      </c>
      <c r="AA1057" s="446" t="e">
        <f>IF(OR($B1057="",MIN(AA$38,$D$19)&lt;MAX($P$708*($B1057+IF($R$17="Distrato",$I$38-1,0)),IF(AND($L$711=0,$P$708=0),"",$L$711-1),IF($R$17="Distrato",$E1057,0))),0,YEARFRAC(MAX($P$708*($B1057+IF($R$17="Distrato",$I$38-1,0)),IF(AND($L$711=0,$P$708=0),"",$L$711-1),IF($R$17="Distrato",$E1057,0)),MIN(AA$38,$D$19),$P$20))-SUM($P1057:Z1057)</f>
        <v>#VALUE!</v>
      </c>
      <c r="AB1057" s="446" t="e">
        <f>IF(OR($B1057="",MIN(AB$38,$D$19)&lt;MAX($P$708*($B1057+IF($R$17="Distrato",$I$38-1,0)),IF(AND($L$711=0,$P$708=0),"",$L$711-1),IF($R$17="Distrato",$E1057,0))),0,YEARFRAC(MAX($P$708*($B1057+IF($R$17="Distrato",$I$38-1,0)),IF(AND($L$711=0,$P$708=0),"",$L$711-1),IF($R$17="Distrato",$E1057,0)),MIN(AB$38,$D$19),$P$20))-SUM($P1057:AA1057)</f>
        <v>#VALUE!</v>
      </c>
      <c r="AC1057" s="446" t="e">
        <f>IF(OR($B1057="",MIN(AC$38,$D$19)&lt;MAX($P$708*($B1057+IF($R$17="Distrato",$I$38-1,0)),IF(AND($L$711=0,$P$708=0),"",$L$711-1),IF($R$17="Distrato",$E1057,0))),0,YEARFRAC(MAX($P$708*($B1057+IF($R$17="Distrato",$I$38-1,0)),IF(AND($L$711=0,$P$708=0),"",$L$711-1),IF($R$17="Distrato",$E1057,0)),MIN(AC$38,$D$19),$P$20))-SUM($P1057:AB1057)</f>
        <v>#VALUE!</v>
      </c>
      <c r="AD1057" s="446" t="e">
        <f>IF(OR($B1057="",MIN(AD$38,$D$19)&lt;MAX($P$708*($B1057+IF($R$17="Distrato",$I$38-1,0)),IF(AND($L$711=0,$P$708=0),"",$L$711-1),IF($R$17="Distrato",$E1057,0))),0,YEARFRAC(MAX($P$708*($B1057+IF($R$17="Distrato",$I$38-1,0)),IF(AND($L$711=0,$P$708=0),"",$L$711-1),IF($R$17="Distrato",$E1057,0)),MIN(AD$38,$D$19),$P$20))-SUM($P1057:AC1057)</f>
        <v>#VALUE!</v>
      </c>
      <c r="AE1057" s="446" t="e">
        <f>IF(OR($B1057="",MIN(AE$38,$D$19)&lt;MAX($P$708*($B1057+IF($R$17="Distrato",$I$38-1,0)),IF(AND($L$711=0,$P$708=0),"",$L$711-1),IF($R$17="Distrato",$E1057,0))),0,YEARFRAC(MAX($P$708*($B1057+IF($R$17="Distrato",$I$38-1,0)),IF(AND($L$711=0,$P$708=0),"",$L$711-1),IF($R$17="Distrato",$E1057,0)),MIN(AE$38,$D$19),$P$20))-SUM($P1057:AD1057)</f>
        <v>#VALUE!</v>
      </c>
      <c r="AF1057" s="446" t="e">
        <f>IF(OR($B1057="",MIN(AF$38,$D$19)&lt;MAX($P$708*($B1057+IF($R$17="Distrato",$I$38-1,0)),IF(AND($L$711=0,$P$708=0),"",$L$711-1),IF($R$17="Distrato",$E1057,0))),0,YEARFRAC(MAX($P$708*($B1057+IF($R$17="Distrato",$I$38-1,0)),IF(AND($L$711=0,$P$708=0),"",$L$711-1),IF($R$17="Distrato",$E1057,0)),MIN(AF$38,$D$19),$P$20))-SUM($P1057:AE1057)</f>
        <v>#VALUE!</v>
      </c>
      <c r="AG1057" s="446" t="e">
        <f>IF(OR($B1057="",MIN(AG$38,$D$19)&lt;MAX($P$708*($B1057+IF($R$17="Distrato",$I$38-1,0)),IF(AND($L$711=0,$P$708=0),"",$L$711-1),IF($R$17="Distrato",$E1057,0))),0,YEARFRAC(MAX($P$708*($B1057+IF($R$17="Distrato",$I$38-1,0)),IF(AND($L$711=0,$P$708=0),"",$L$711-1),IF($R$17="Distrato",$E1057,0)),MIN(AG$38,$D$19),$P$20))-SUM($P1057:AF1057)</f>
        <v>#VALUE!</v>
      </c>
      <c r="AH1057" s="446" t="e">
        <f>IF(OR($B1057="",MIN(AH$38,$D$19)&lt;MAX($P$708*($B1057+IF($R$17="Distrato",$I$38-1,0)),IF(AND($L$711=0,$P$708=0),"",$L$711-1),IF($R$17="Distrato",$E1057,0))),0,YEARFRAC(MAX($P$708*($B1057+IF($R$17="Distrato",$I$38-1,0)),IF(AND($L$711=0,$P$708=0),"",$L$711-1),IF($R$17="Distrato",$E1057,0)),MIN(AH$38,$D$19),$P$20))-SUM($P1057:AG1057)</f>
        <v>#VALUE!</v>
      </c>
      <c r="AI1057" s="446" t="e">
        <f>IF(OR($B1057="",MIN(AI$38,$D$19)&lt;MAX($P$708*($B1057+IF($R$17="Distrato",$I$38-1,0)),IF(AND($L$711=0,$P$708=0),"",$L$711-1),IF($R$17="Distrato",$E1057,0))),0,YEARFRAC(MAX($P$708*($B1057+IF($R$17="Distrato",$I$38-1,0)),IF(AND($L$711=0,$P$708=0),"",$L$711-1),IF($R$17="Distrato",$E1057,0)),MIN(AI$38,$D$19),$P$20))-SUM($P1057:AH1057)</f>
        <v>#VALUE!</v>
      </c>
      <c r="AJ1057" s="446" t="e">
        <f>IF(OR($B1057="",MIN(AJ$38,$D$19)&lt;MAX($P$708*($B1057+IF($R$17="Distrato",$I$38-1,0)),IF(AND($L$711=0,$P$708=0),"",$L$711-1),IF($R$17="Distrato",$E1057,0))),0,YEARFRAC(MAX($P$708*($B1057+IF($R$17="Distrato",$I$38-1,0)),IF(AND($L$711=0,$P$708=0),"",$L$711-1),IF($R$17="Distrato",$E1057,0)),MIN(AJ$38,$D$19),$P$20))-SUM($P1057:AI1057)</f>
        <v>#VALUE!</v>
      </c>
      <c r="AK1057" s="446" t="e">
        <f>IF(OR($B1057="",MIN(AK$38,$D$19)&lt;MAX($P$708*($B1057+IF($R$17="Distrato",$I$38-1,0)),IF(AND($L$711=0,$P$708=0),"",$L$711-1),IF($R$17="Distrato",$E1057,0))),0,YEARFRAC(MAX($P$708*($B1057+IF($R$17="Distrato",$I$38-1,0)),IF(AND($L$711=0,$P$708=0),"",$L$711-1),IF($R$17="Distrato",$E1057,0)),MIN(AK$38,$D$19),$P$20))-SUM($P1057:AJ1057)</f>
        <v>#VALUE!</v>
      </c>
      <c r="AL1057" s="446" t="e">
        <f>IF(OR($B1057="",MIN(AL$38,$D$19)&lt;MAX($P$708*($B1057+IF($R$17="Distrato",$I$38-1,0)),IF(AND($L$711=0,$P$708=0),"",$L$711-1),IF($R$17="Distrato",$E1057,0))),0,YEARFRAC(MAX($P$708*($B1057+IF($R$17="Distrato",$I$38-1,0)),IF(AND($L$711=0,$P$708=0),"",$L$711-1),IF($R$17="Distrato",$E1057,0)),MIN(AL$38,$D$19),$P$20))-SUM($P1057:AK1057)</f>
        <v>#VALUE!</v>
      </c>
      <c r="AM1057" s="446" t="e">
        <f>IF(OR($B1057="",MIN(AM$38,$D$19)&lt;MAX($P$708*($B1057+IF($R$17="Distrato",$I$38-1,0)),IF(AND($L$711=0,$P$708=0),"",$L$711-1),IF($R$17="Distrato",$E1057,0))),0,YEARFRAC(MAX($P$708*($B1057+IF($R$17="Distrato",$I$38-1,0)),IF(AND($L$711=0,$P$708=0),"",$L$711-1),IF($R$17="Distrato",$E1057,0)),MIN(AM$38,$D$19),$P$20))-SUM($P1057:AL1057)</f>
        <v>#VALUE!</v>
      </c>
      <c r="AN1057" s="446" t="e">
        <f>IF(OR($B1057="",MIN(AN$38,$D$19)&lt;MAX($P$708*($B1057+IF($R$17="Distrato",$I$38-1,0)),IF(AND($L$711=0,$P$708=0),"",$L$711-1),IF($R$17="Distrato",$E1057,0))),0,YEARFRAC(MAX($P$708*($B1057+IF($R$17="Distrato",$I$38-1,0)),IF(AND($L$711=0,$P$708=0),"",$L$711-1),IF($R$17="Distrato",$E1057,0)),MIN(AN$38,$D$19),$P$20))-SUM($P1057:AM1057)</f>
        <v>#VALUE!</v>
      </c>
      <c r="AO1057" s="446" t="e">
        <f>IF(OR($B1057="",MIN(AO$38,$D$19)&lt;MAX($P$708*($B1057+IF($R$17="Distrato",$I$38-1,0)),IF(AND($L$711=0,$P$708=0),"",$L$711-1),IF($R$17="Distrato",$E1057,0))),0,YEARFRAC(MAX($P$708*($B1057+IF($R$17="Distrato",$I$38-1,0)),IF(AND($L$711=0,$P$708=0),"",$L$711-1),IF($R$17="Distrato",$E1057,0)),MIN(AO$38,$D$19),$P$20))-SUM($P1057:AN1057)</f>
        <v>#VALUE!</v>
      </c>
      <c r="AP1057" s="446" t="e">
        <f>IF(OR($B1057="",MIN(AP$38,$D$19)&lt;MAX($P$708*($B1057+IF($R$17="Distrato",$I$38-1,0)),IF(AND($L$711=0,$P$708=0),"",$L$711-1),IF($R$17="Distrato",$E1057,0))),0,YEARFRAC(MAX($P$708*($B1057+IF($R$17="Distrato",$I$38-1,0)),IF(AND($L$711=0,$P$708=0),"",$L$711-1),IF($R$17="Distrato",$E1057,0)),MIN(AP$38,$D$19),$P$20))-SUM($P1057:AO1057)</f>
        <v>#VALUE!</v>
      </c>
      <c r="AQ1057" s="446" t="e">
        <f>IF(OR($B1057="",MIN(AQ$38,$D$19)&lt;MAX($P$708*($B1057+IF($R$17="Distrato",$I$38-1,0)),IF(AND($L$711=0,$P$708=0),"",$L$711-1),IF($R$17="Distrato",$E1057,0))),0,YEARFRAC(MAX($P$708*($B1057+IF($R$17="Distrato",$I$38-1,0)),IF(AND($L$711=0,$P$708=0),"",$L$711-1),IF($R$17="Distrato",$E1057,0)),MIN(AQ$38,$D$19),$P$20))-SUM($P1057:AP1057)</f>
        <v>#VALUE!</v>
      </c>
      <c r="AR1057" s="446" t="e">
        <f>IF(OR($B1057="",MIN(AR$38,$D$19)&lt;MAX($P$708*($B1057+IF($R$17="Distrato",$I$38-1,0)),IF(AND($L$711=0,$P$708=0),"",$L$711-1),IF($R$17="Distrato",$E1057,0))),0,YEARFRAC(MAX($P$708*($B1057+IF($R$17="Distrato",$I$38-1,0)),IF(AND($L$711=0,$P$708=0),"",$L$711-1),IF($R$17="Distrato",$E1057,0)),MIN(AR$38,$D$19),$P$20))-SUM($P1057:AQ1057)</f>
        <v>#VALUE!</v>
      </c>
      <c r="AS1057" s="446" t="e">
        <f>IF(OR($B1057="",MIN(AS$38,$D$19)&lt;MAX($P$708*($B1057+IF($R$17="Distrato",$I$38-1,0)),IF(AND($L$711=0,$P$708=0),"",$L$711-1),IF($R$17="Distrato",$E1057,0))),0,YEARFRAC(MAX($P$708*($B1057+IF($R$17="Distrato",$I$38-1,0)),IF(AND($L$711=0,$P$708=0),"",$L$711-1),IF($R$17="Distrato",$E1057,0)),MIN(AS$38,$D$19),$P$20))-SUM($P1057:AR1057)</f>
        <v>#VALUE!</v>
      </c>
      <c r="AT1057" s="446" t="e">
        <f>IF(OR($B1057="",MIN(AT$38,$D$19)&lt;MAX($P$708*($B1057+IF($R$17="Distrato",$I$38-1,0)),IF(AND($L$711=0,$P$708=0),"",$L$711-1),IF($R$17="Distrato",$E1057,0))),0,YEARFRAC(MAX($P$708*($B1057+IF($R$17="Distrato",$I$38-1,0)),IF(AND($L$711=0,$P$708=0),"",$L$711-1),IF($R$17="Distrato",$E1057,0)),MIN(AT$38,$D$19),$P$20))-SUM($P1057:AS1057)</f>
        <v>#VALUE!</v>
      </c>
      <c r="AU1057" s="446" t="e">
        <f>IF(OR($B1057="",MIN(AU$38,$D$19)&lt;MAX($P$708*($B1057+IF($R$17="Distrato",$I$38-1,0)),IF(AND($L$711=0,$P$708=0),"",$L$711-1),IF($R$17="Distrato",$E1057,0))),0,YEARFRAC(MAX($P$708*($B1057+IF($R$17="Distrato",$I$38-1,0)),IF(AND($L$711=0,$P$708=0),"",$L$711-1),IF($R$17="Distrato",$E1057,0)),MIN(AU$38,$D$19),$P$20))-SUM($P1057:AT1057)</f>
        <v>#VALUE!</v>
      </c>
      <c r="AV1057" s="446" t="e">
        <f>IF(OR($B1057="",MIN(AV$38,$D$19)&lt;MAX($P$708*($B1057+IF($R$17="Distrato",$I$38-1,0)),IF(AND($L$711=0,$P$708=0),"",$L$711-1),IF($R$17="Distrato",$E1057,0))),0,YEARFRAC(MAX($P$708*($B1057+IF($R$17="Distrato",$I$38-1,0)),IF(AND($L$711=0,$P$708=0),"",$L$711-1),IF($R$17="Distrato",$E1057,0)),MIN(AV$38,$D$19),$P$20))-SUM($P1057:AU1057)</f>
        <v>#VALUE!</v>
      </c>
      <c r="AW1057" s="446" t="e">
        <f>IF(OR($B1057="",MIN(AW$38,$D$19)&lt;MAX($P$708*($B1057+IF($R$17="Distrato",$I$38-1,0)),IF(AND($L$711=0,$P$708=0),"",$L$711-1),IF($R$17="Distrato",$E1057,0))),0,YEARFRAC(MAX($P$708*($B1057+IF($R$17="Distrato",$I$38-1,0)),IF(AND($L$711=0,$P$708=0),"",$L$711-1),IF($R$17="Distrato",$E1057,0)),MIN(AW$38,$D$19),$P$20))-SUM($P1057:AV1057)</f>
        <v>#VALUE!</v>
      </c>
      <c r="AX1057" s="446" t="e">
        <f>IF(OR($B1057="",MIN(AX$38,$D$19)&lt;MAX($P$708*($B1057+IF($R$17="Distrato",$I$38-1,0)),IF(AND($L$711=0,$P$708=0),"",$L$711-1),IF($R$17="Distrato",$E1057,0))),0,YEARFRAC(MAX($P$708*($B1057+IF($R$17="Distrato",$I$38-1,0)),IF(AND($L$711=0,$P$708=0),"",$L$711-1),IF($R$17="Distrato",$E1057,0)),MIN(AX$38,$D$19),$P$20))-SUM($P1057:AW1057)</f>
        <v>#VALUE!</v>
      </c>
      <c r="AY1057" s="446" t="e">
        <f>IF(OR($B1057="",MIN(AY$38,$D$19)&lt;MAX($P$708*($B1057+IF($R$17="Distrato",$I$38-1,0)),IF(AND($L$711=0,$P$708=0),"",$L$711-1),IF($R$17="Distrato",$E1057,0))),0,YEARFRAC(MAX($P$708*($B1057+IF($R$17="Distrato",$I$38-1,0)),IF(AND($L$711=0,$P$708=0),"",$L$711-1),IF($R$17="Distrato",$E1057,0)),MIN(AY$38,$D$19),$P$20))-SUM($P1057:AX1057)</f>
        <v>#VALUE!</v>
      </c>
      <c r="AZ1057" s="446" t="e">
        <f>IF(OR($B1057="",MIN(AZ$38,$D$19)&lt;MAX($P$708*($B1057+IF($R$17="Distrato",$I$38-1,0)),IF(AND($L$711=0,$P$708=0),"",$L$711-1),IF($R$17="Distrato",$E1057,0))),0,YEARFRAC(MAX($P$708*($B1057+IF($R$17="Distrato",$I$38-1,0)),IF(AND($L$711=0,$P$708=0),"",$L$711-1),IF($R$17="Distrato",$E1057,0)),MIN(AZ$38,$D$19),$P$20))-SUM($P1057:AY1057)</f>
        <v>#VALUE!</v>
      </c>
      <c r="BA1057" s="446" t="e">
        <f>IF(OR($B1057="",MIN(BA$38,$D$19)&lt;MAX($P$708*($B1057+IF($R$17="Distrato",$I$38-1,0)),IF(AND($L$711=0,$P$708=0),"",$L$711-1),IF($R$17="Distrato",$E1057,0))),0,YEARFRAC(MAX($P$708*($B1057+IF($R$17="Distrato",$I$38-1,0)),IF(AND($L$711=0,$P$708=0),"",$L$711-1),IF($R$17="Distrato",$E1057,0)),MIN(BA$38,$D$19),$P$20))-SUM($P1057:AZ1057)</f>
        <v>#VALUE!</v>
      </c>
      <c r="BB1057" s="447"/>
    </row>
    <row r="1058" spans="1:54" s="446" customFormat="1" ht="11.25" hidden="1" customHeight="1" x14ac:dyDescent="0.2">
      <c r="A1058" s="235"/>
      <c r="B1058" s="236"/>
      <c r="C1058" s="29" t="str">
        <f>IF(B1058="","",IF($L$709=$BL$25,VLOOKUP(DATE(YEAR($D$19),MONTH($D$19)-1,1),ÍNDICES!$A:$DE,HLOOKUP($BL$25,ÍNDICES!$B$3:$T$4,2)+11)-VLOOKUP(B1058,ÍNDICES!$A:$DE,HLOOKUP($BL$25,ÍNDICES!$B$3:$T$4,2)+11)+1%,IF(C$712=$W$26,$J$35,IF(ISERROR(IF(B1058&gt;$D$19,1,VLOOKUP(DATE(YEAR(B1058),MONTH(B1058)+IF($C$709=$S$23,1,0),1),ÍNDICES!$A:$DE,$Z$709+1))),"",IF(B1058&gt;$D$19,1,VLOOKUP(DATE(YEAR(B1058),MONTH(B1058)+IF($C$709=$S$23,1,0),1),ÍNDICES!$A:$DE,$Z$709+1))))))</f>
        <v/>
      </c>
      <c r="D1058" s="155"/>
      <c r="E1058" s="88"/>
      <c r="F1058" s="88"/>
      <c r="G1058" s="88"/>
      <c r="H1058" s="118"/>
      <c r="I1058" s="182">
        <f t="shared" si="150"/>
        <v>0</v>
      </c>
      <c r="J1058" s="20">
        <f t="shared" ca="1" si="151"/>
        <v>0</v>
      </c>
      <c r="K1058" s="5">
        <f t="shared" ca="1" si="152"/>
        <v>0</v>
      </c>
      <c r="L1058" s="61">
        <f t="shared" ca="1" si="153"/>
        <v>0</v>
      </c>
      <c r="M1058" s="64">
        <f t="shared" si="154"/>
        <v>0</v>
      </c>
      <c r="N1058" s="151"/>
      <c r="O1058" s="5">
        <f t="shared" ca="1" si="155"/>
        <v>0</v>
      </c>
      <c r="P1058" s="446" t="e">
        <f t="shared" si="156"/>
        <v>#VALUE!</v>
      </c>
      <c r="Q1058" s="446" t="e">
        <f>IF(OR($B1058="",MIN(Q$38,$D$19)&lt;MAX($P$708*($B1058+IF($R$17="Distrato",$I$38-1,0)),IF(AND($L$711=0,$P$708=0),"",$L$711-1),IF($R$17="Distrato",$E1058,0))),0,YEARFRAC(MAX($P$708*($B1058+IF($R$17="Distrato",$I$38-1,0)),IF(AND($L$711=0,$P$708=0),"",$L$711-1),IF($R$17="Distrato",$E1058,0)),MIN(Q$38,$D$19),$P$20))-SUM($P1058:P1058)</f>
        <v>#VALUE!</v>
      </c>
      <c r="R1058" s="446" t="e">
        <f>IF(OR($B1058="",MIN(R$38,$D$19)&lt;MAX($P$708*($B1058+IF($R$17="Distrato",$I$38-1,0)),IF(AND($L$711=0,$P$708=0),"",$L$711-1),IF($R$17="Distrato",$E1058,0))),0,YEARFRAC(MAX($P$708*($B1058+IF($R$17="Distrato",$I$38-1,0)),IF(AND($L$711=0,$P$708=0),"",$L$711-1),IF($R$17="Distrato",$E1058,0)),MIN(R$38,$D$19),$P$20))-SUM($P1058:Q1058)</f>
        <v>#VALUE!</v>
      </c>
      <c r="S1058" s="446" t="e">
        <f>IF(OR($B1058="",MIN(S$38,$D$19)&lt;MAX($P$708*($B1058+IF($R$17="Distrato",$I$38-1,0)),IF(AND($L$711=0,$P$708=0),"",$L$711-1),IF($R$17="Distrato",$E1058,0))),0,YEARFRAC(MAX($P$708*($B1058+IF($R$17="Distrato",$I$38-1,0)),IF(AND($L$711=0,$P$708=0),"",$L$711-1),IF($R$17="Distrato",$E1058,0)),MIN(S$38,$D$19),$P$20))-SUM($P1058:R1058)</f>
        <v>#VALUE!</v>
      </c>
      <c r="T1058" s="446" t="e">
        <f>IF(OR($B1058="",MIN(T$38,$D$19)&lt;MAX($P$708*($B1058+IF($R$17="Distrato",$I$38-1,0)),IF(AND($L$711=0,$P$708=0),"",$L$711-1),IF($R$17="Distrato",$E1058,0))),0,YEARFRAC(MAX($P$708*($B1058+IF($R$17="Distrato",$I$38-1,0)),IF(AND($L$711=0,$P$708=0),"",$L$711-1),IF($R$17="Distrato",$E1058,0)),MIN(T$38,$D$19),$P$20))-SUM($P1058:S1058)</f>
        <v>#VALUE!</v>
      </c>
      <c r="U1058" s="446" t="e">
        <f>IF(OR($B1058="",MIN(U$38,$D$19)&lt;MAX($P$708*($B1058+IF($R$17="Distrato",$I$38-1,0)),IF(AND($L$711=0,$P$708=0),"",$L$711-1),IF($R$17="Distrato",$E1058,0))),0,YEARFRAC(MAX($P$708*($B1058+IF($R$17="Distrato",$I$38-1,0)),IF(AND($L$711=0,$P$708=0),"",$L$711-1),IF($R$17="Distrato",$E1058,0)),MIN(U$38,$D$19),$P$20))-SUM($P1058:T1058)</f>
        <v>#VALUE!</v>
      </c>
      <c r="V1058" s="446" t="e">
        <f>IF(OR($B1058="",MIN(V$38,$D$19)&lt;MAX($P$708*($B1058+IF($R$17="Distrato",$I$38-1,0)),IF(AND($L$711=0,$P$708=0),"",$L$711-1),IF($R$17="Distrato",$E1058,0))),0,YEARFRAC(MAX($P$708*($B1058+IF($R$17="Distrato",$I$38-1,0)),IF(AND($L$711=0,$P$708=0),"",$L$711-1),IF($R$17="Distrato",$E1058,0)),MIN(V$38,$D$19),$P$20))-SUM($P1058:U1058)</f>
        <v>#VALUE!</v>
      </c>
      <c r="W1058" s="446" t="e">
        <f>IF(OR($B1058="",MIN(W$38,$D$19)&lt;MAX($P$708*($B1058+IF($R$17="Distrato",$I$38-1,0)),IF(AND($L$711=0,$P$708=0),"",$L$711-1),IF($R$17="Distrato",$E1058,0))),0,YEARFRAC(MAX($P$708*($B1058+IF($R$17="Distrato",$I$38-1,0)),IF(AND($L$711=0,$P$708=0),"",$L$711-1),IF($R$17="Distrato",$E1058,0)),MIN(W$38,$D$19),$P$20))-SUM($P1058:V1058)</f>
        <v>#VALUE!</v>
      </c>
      <c r="X1058" s="446" t="e">
        <f>IF(OR($B1058="",MIN(X$38,$D$19)&lt;MAX($P$708*($B1058+IF($R$17="Distrato",$I$38-1,0)),IF(AND($L$711=0,$P$708=0),"",$L$711-1),IF($R$17="Distrato",$E1058,0))),0,YEARFRAC(MAX($P$708*($B1058+IF($R$17="Distrato",$I$38-1,0)),IF(AND($L$711=0,$P$708=0),"",$L$711-1),IF($R$17="Distrato",$E1058,0)),MIN(X$38,$D$19),$P$20))-SUM($P1058:W1058)</f>
        <v>#VALUE!</v>
      </c>
      <c r="Y1058" s="446" t="e">
        <f>IF(OR($B1058="",MIN(Y$38,$D$19)&lt;MAX($P$708*($B1058+IF($R$17="Distrato",$I$38-1,0)),IF(AND($L$711=0,$P$708=0),"",$L$711-1),IF($R$17="Distrato",$E1058,0))),0,YEARFRAC(MAX($P$708*($B1058+IF($R$17="Distrato",$I$38-1,0)),IF(AND($L$711=0,$P$708=0),"",$L$711-1),IF($R$17="Distrato",$E1058,0)),MIN(Y$38,$D$19),$P$20))-SUM($P1058:X1058)</f>
        <v>#VALUE!</v>
      </c>
      <c r="Z1058" s="446" t="e">
        <f>IF(OR($B1058="",MIN(Z$38,$D$19)&lt;MAX($P$708*($B1058+IF($R$17="Distrato",$I$38-1,0)),IF(AND($L$711=0,$P$708=0),"",$L$711-1),IF($R$17="Distrato",$E1058,0))),0,YEARFRAC(MAX($P$708*($B1058+IF($R$17="Distrato",$I$38-1,0)),IF(AND($L$711=0,$P$708=0),"",$L$711-1),IF($R$17="Distrato",$E1058,0)),MIN(Z$38,$D$19),$P$20))-SUM($P1058:Y1058)</f>
        <v>#VALUE!</v>
      </c>
      <c r="AA1058" s="446" t="e">
        <f>IF(OR($B1058="",MIN(AA$38,$D$19)&lt;MAX($P$708*($B1058+IF($R$17="Distrato",$I$38-1,0)),IF(AND($L$711=0,$P$708=0),"",$L$711-1),IF($R$17="Distrato",$E1058,0))),0,YEARFRAC(MAX($P$708*($B1058+IF($R$17="Distrato",$I$38-1,0)),IF(AND($L$711=0,$P$708=0),"",$L$711-1),IF($R$17="Distrato",$E1058,0)),MIN(AA$38,$D$19),$P$20))-SUM($P1058:Z1058)</f>
        <v>#VALUE!</v>
      </c>
      <c r="AB1058" s="446" t="e">
        <f>IF(OR($B1058="",MIN(AB$38,$D$19)&lt;MAX($P$708*($B1058+IF($R$17="Distrato",$I$38-1,0)),IF(AND($L$711=0,$P$708=0),"",$L$711-1),IF($R$17="Distrato",$E1058,0))),0,YEARFRAC(MAX($P$708*($B1058+IF($R$17="Distrato",$I$38-1,0)),IF(AND($L$711=0,$P$708=0),"",$L$711-1),IF($R$17="Distrato",$E1058,0)),MIN(AB$38,$D$19),$P$20))-SUM($P1058:AA1058)</f>
        <v>#VALUE!</v>
      </c>
      <c r="AC1058" s="446" t="e">
        <f>IF(OR($B1058="",MIN(AC$38,$D$19)&lt;MAX($P$708*($B1058+IF($R$17="Distrato",$I$38-1,0)),IF(AND($L$711=0,$P$708=0),"",$L$711-1),IF($R$17="Distrato",$E1058,0))),0,YEARFRAC(MAX($P$708*($B1058+IF($R$17="Distrato",$I$38-1,0)),IF(AND($L$711=0,$P$708=0),"",$L$711-1),IF($R$17="Distrato",$E1058,0)),MIN(AC$38,$D$19),$P$20))-SUM($P1058:AB1058)</f>
        <v>#VALUE!</v>
      </c>
      <c r="AD1058" s="446" t="e">
        <f>IF(OR($B1058="",MIN(AD$38,$D$19)&lt;MAX($P$708*($B1058+IF($R$17="Distrato",$I$38-1,0)),IF(AND($L$711=0,$P$708=0),"",$L$711-1),IF($R$17="Distrato",$E1058,0))),0,YEARFRAC(MAX($P$708*($B1058+IF($R$17="Distrato",$I$38-1,0)),IF(AND($L$711=0,$P$708=0),"",$L$711-1),IF($R$17="Distrato",$E1058,0)),MIN(AD$38,$D$19),$P$20))-SUM($P1058:AC1058)</f>
        <v>#VALUE!</v>
      </c>
      <c r="AE1058" s="446" t="e">
        <f>IF(OR($B1058="",MIN(AE$38,$D$19)&lt;MAX($P$708*($B1058+IF($R$17="Distrato",$I$38-1,0)),IF(AND($L$711=0,$P$708=0),"",$L$711-1),IF($R$17="Distrato",$E1058,0))),0,YEARFRAC(MAX($P$708*($B1058+IF($R$17="Distrato",$I$38-1,0)),IF(AND($L$711=0,$P$708=0),"",$L$711-1),IF($R$17="Distrato",$E1058,0)),MIN(AE$38,$D$19),$P$20))-SUM($P1058:AD1058)</f>
        <v>#VALUE!</v>
      </c>
      <c r="AF1058" s="446" t="e">
        <f>IF(OR($B1058="",MIN(AF$38,$D$19)&lt;MAX($P$708*($B1058+IF($R$17="Distrato",$I$38-1,0)),IF(AND($L$711=0,$P$708=0),"",$L$711-1),IF($R$17="Distrato",$E1058,0))),0,YEARFRAC(MAX($P$708*($B1058+IF($R$17="Distrato",$I$38-1,0)),IF(AND($L$711=0,$P$708=0),"",$L$711-1),IF($R$17="Distrato",$E1058,0)),MIN(AF$38,$D$19),$P$20))-SUM($P1058:AE1058)</f>
        <v>#VALUE!</v>
      </c>
      <c r="AG1058" s="446" t="e">
        <f>IF(OR($B1058="",MIN(AG$38,$D$19)&lt;MAX($P$708*($B1058+IF($R$17="Distrato",$I$38-1,0)),IF(AND($L$711=0,$P$708=0),"",$L$711-1),IF($R$17="Distrato",$E1058,0))),0,YEARFRAC(MAX($P$708*($B1058+IF($R$17="Distrato",$I$38-1,0)),IF(AND($L$711=0,$P$708=0),"",$L$711-1),IF($R$17="Distrato",$E1058,0)),MIN(AG$38,$D$19),$P$20))-SUM($P1058:AF1058)</f>
        <v>#VALUE!</v>
      </c>
      <c r="AH1058" s="446" t="e">
        <f>IF(OR($B1058="",MIN(AH$38,$D$19)&lt;MAX($P$708*($B1058+IF($R$17="Distrato",$I$38-1,0)),IF(AND($L$711=0,$P$708=0),"",$L$711-1),IF($R$17="Distrato",$E1058,0))),0,YEARFRAC(MAX($P$708*($B1058+IF($R$17="Distrato",$I$38-1,0)),IF(AND($L$711=0,$P$708=0),"",$L$711-1),IF($R$17="Distrato",$E1058,0)),MIN(AH$38,$D$19),$P$20))-SUM($P1058:AG1058)</f>
        <v>#VALUE!</v>
      </c>
      <c r="AI1058" s="446" t="e">
        <f>IF(OR($B1058="",MIN(AI$38,$D$19)&lt;MAX($P$708*($B1058+IF($R$17="Distrato",$I$38-1,0)),IF(AND($L$711=0,$P$708=0),"",$L$711-1),IF($R$17="Distrato",$E1058,0))),0,YEARFRAC(MAX($P$708*($B1058+IF($R$17="Distrato",$I$38-1,0)),IF(AND($L$711=0,$P$708=0),"",$L$711-1),IF($R$17="Distrato",$E1058,0)),MIN(AI$38,$D$19),$P$20))-SUM($P1058:AH1058)</f>
        <v>#VALUE!</v>
      </c>
      <c r="AJ1058" s="446" t="e">
        <f>IF(OR($B1058="",MIN(AJ$38,$D$19)&lt;MAX($P$708*($B1058+IF($R$17="Distrato",$I$38-1,0)),IF(AND($L$711=0,$P$708=0),"",$L$711-1),IF($R$17="Distrato",$E1058,0))),0,YEARFRAC(MAX($P$708*($B1058+IF($R$17="Distrato",$I$38-1,0)),IF(AND($L$711=0,$P$708=0),"",$L$711-1),IF($R$17="Distrato",$E1058,0)),MIN(AJ$38,$D$19),$P$20))-SUM($P1058:AI1058)</f>
        <v>#VALUE!</v>
      </c>
      <c r="AK1058" s="446" t="e">
        <f>IF(OR($B1058="",MIN(AK$38,$D$19)&lt;MAX($P$708*($B1058+IF($R$17="Distrato",$I$38-1,0)),IF(AND($L$711=0,$P$708=0),"",$L$711-1),IF($R$17="Distrato",$E1058,0))),0,YEARFRAC(MAX($P$708*($B1058+IF($R$17="Distrato",$I$38-1,0)),IF(AND($L$711=0,$P$708=0),"",$L$711-1),IF($R$17="Distrato",$E1058,0)),MIN(AK$38,$D$19),$P$20))-SUM($P1058:AJ1058)</f>
        <v>#VALUE!</v>
      </c>
      <c r="AL1058" s="446" t="e">
        <f>IF(OR($B1058="",MIN(AL$38,$D$19)&lt;MAX($P$708*($B1058+IF($R$17="Distrato",$I$38-1,0)),IF(AND($L$711=0,$P$708=0),"",$L$711-1),IF($R$17="Distrato",$E1058,0))),0,YEARFRAC(MAX($P$708*($B1058+IF($R$17="Distrato",$I$38-1,0)),IF(AND($L$711=0,$P$708=0),"",$L$711-1),IF($R$17="Distrato",$E1058,0)),MIN(AL$38,$D$19),$P$20))-SUM($P1058:AK1058)</f>
        <v>#VALUE!</v>
      </c>
      <c r="AM1058" s="446" t="e">
        <f>IF(OR($B1058="",MIN(AM$38,$D$19)&lt;MAX($P$708*($B1058+IF($R$17="Distrato",$I$38-1,0)),IF(AND($L$711=0,$P$708=0),"",$L$711-1),IF($R$17="Distrato",$E1058,0))),0,YEARFRAC(MAX($P$708*($B1058+IF($R$17="Distrato",$I$38-1,0)),IF(AND($L$711=0,$P$708=0),"",$L$711-1),IF($R$17="Distrato",$E1058,0)),MIN(AM$38,$D$19),$P$20))-SUM($P1058:AL1058)</f>
        <v>#VALUE!</v>
      </c>
      <c r="AN1058" s="446" t="e">
        <f>IF(OR($B1058="",MIN(AN$38,$D$19)&lt;MAX($P$708*($B1058+IF($R$17="Distrato",$I$38-1,0)),IF(AND($L$711=0,$P$708=0),"",$L$711-1),IF($R$17="Distrato",$E1058,0))),0,YEARFRAC(MAX($P$708*($B1058+IF($R$17="Distrato",$I$38-1,0)),IF(AND($L$711=0,$P$708=0),"",$L$711-1),IF($R$17="Distrato",$E1058,0)),MIN(AN$38,$D$19),$P$20))-SUM($P1058:AM1058)</f>
        <v>#VALUE!</v>
      </c>
      <c r="AO1058" s="446" t="e">
        <f>IF(OR($B1058="",MIN(AO$38,$D$19)&lt;MAX($P$708*($B1058+IF($R$17="Distrato",$I$38-1,0)),IF(AND($L$711=0,$P$708=0),"",$L$711-1),IF($R$17="Distrato",$E1058,0))),0,YEARFRAC(MAX($P$708*($B1058+IF($R$17="Distrato",$I$38-1,0)),IF(AND($L$711=0,$P$708=0),"",$L$711-1),IF($R$17="Distrato",$E1058,0)),MIN(AO$38,$D$19),$P$20))-SUM($P1058:AN1058)</f>
        <v>#VALUE!</v>
      </c>
      <c r="AP1058" s="446" t="e">
        <f>IF(OR($B1058="",MIN(AP$38,$D$19)&lt;MAX($P$708*($B1058+IF($R$17="Distrato",$I$38-1,0)),IF(AND($L$711=0,$P$708=0),"",$L$711-1),IF($R$17="Distrato",$E1058,0))),0,YEARFRAC(MAX($P$708*($B1058+IF($R$17="Distrato",$I$38-1,0)),IF(AND($L$711=0,$P$708=0),"",$L$711-1),IF($R$17="Distrato",$E1058,0)),MIN(AP$38,$D$19),$P$20))-SUM($P1058:AO1058)</f>
        <v>#VALUE!</v>
      </c>
      <c r="AQ1058" s="446" t="e">
        <f>IF(OR($B1058="",MIN(AQ$38,$D$19)&lt;MAX($P$708*($B1058+IF($R$17="Distrato",$I$38-1,0)),IF(AND($L$711=0,$P$708=0),"",$L$711-1),IF($R$17="Distrato",$E1058,0))),0,YEARFRAC(MAX($P$708*($B1058+IF($R$17="Distrato",$I$38-1,0)),IF(AND($L$711=0,$P$708=0),"",$L$711-1),IF($R$17="Distrato",$E1058,0)),MIN(AQ$38,$D$19),$P$20))-SUM($P1058:AP1058)</f>
        <v>#VALUE!</v>
      </c>
      <c r="AR1058" s="446" t="e">
        <f>IF(OR($B1058="",MIN(AR$38,$D$19)&lt;MAX($P$708*($B1058+IF($R$17="Distrato",$I$38-1,0)),IF(AND($L$711=0,$P$708=0),"",$L$711-1),IF($R$17="Distrato",$E1058,0))),0,YEARFRAC(MAX($P$708*($B1058+IF($R$17="Distrato",$I$38-1,0)),IF(AND($L$711=0,$P$708=0),"",$L$711-1),IF($R$17="Distrato",$E1058,0)),MIN(AR$38,$D$19),$P$20))-SUM($P1058:AQ1058)</f>
        <v>#VALUE!</v>
      </c>
      <c r="AS1058" s="446" t="e">
        <f>IF(OR($B1058="",MIN(AS$38,$D$19)&lt;MAX($P$708*($B1058+IF($R$17="Distrato",$I$38-1,0)),IF(AND($L$711=0,$P$708=0),"",$L$711-1),IF($R$17="Distrato",$E1058,0))),0,YEARFRAC(MAX($P$708*($B1058+IF($R$17="Distrato",$I$38-1,0)),IF(AND($L$711=0,$P$708=0),"",$L$711-1),IF($R$17="Distrato",$E1058,0)),MIN(AS$38,$D$19),$P$20))-SUM($P1058:AR1058)</f>
        <v>#VALUE!</v>
      </c>
      <c r="AT1058" s="446" t="e">
        <f>IF(OR($B1058="",MIN(AT$38,$D$19)&lt;MAX($P$708*($B1058+IF($R$17="Distrato",$I$38-1,0)),IF(AND($L$711=0,$P$708=0),"",$L$711-1),IF($R$17="Distrato",$E1058,0))),0,YEARFRAC(MAX($P$708*($B1058+IF($R$17="Distrato",$I$38-1,0)),IF(AND($L$711=0,$P$708=0),"",$L$711-1),IF($R$17="Distrato",$E1058,0)),MIN(AT$38,$D$19),$P$20))-SUM($P1058:AS1058)</f>
        <v>#VALUE!</v>
      </c>
      <c r="AU1058" s="446" t="e">
        <f>IF(OR($B1058="",MIN(AU$38,$D$19)&lt;MAX($P$708*($B1058+IF($R$17="Distrato",$I$38-1,0)),IF(AND($L$711=0,$P$708=0),"",$L$711-1),IF($R$17="Distrato",$E1058,0))),0,YEARFRAC(MAX($P$708*($B1058+IF($R$17="Distrato",$I$38-1,0)),IF(AND($L$711=0,$P$708=0),"",$L$711-1),IF($R$17="Distrato",$E1058,0)),MIN(AU$38,$D$19),$P$20))-SUM($P1058:AT1058)</f>
        <v>#VALUE!</v>
      </c>
      <c r="AV1058" s="446" t="e">
        <f>IF(OR($B1058="",MIN(AV$38,$D$19)&lt;MAX($P$708*($B1058+IF($R$17="Distrato",$I$38-1,0)),IF(AND($L$711=0,$P$708=0),"",$L$711-1),IF($R$17="Distrato",$E1058,0))),0,YEARFRAC(MAX($P$708*($B1058+IF($R$17="Distrato",$I$38-1,0)),IF(AND($L$711=0,$P$708=0),"",$L$711-1),IF($R$17="Distrato",$E1058,0)),MIN(AV$38,$D$19),$P$20))-SUM($P1058:AU1058)</f>
        <v>#VALUE!</v>
      </c>
      <c r="AW1058" s="446" t="e">
        <f>IF(OR($B1058="",MIN(AW$38,$D$19)&lt;MAX($P$708*($B1058+IF($R$17="Distrato",$I$38-1,0)),IF(AND($L$711=0,$P$708=0),"",$L$711-1),IF($R$17="Distrato",$E1058,0))),0,YEARFRAC(MAX($P$708*($B1058+IF($R$17="Distrato",$I$38-1,0)),IF(AND($L$711=0,$P$708=0),"",$L$711-1),IF($R$17="Distrato",$E1058,0)),MIN(AW$38,$D$19),$P$20))-SUM($P1058:AV1058)</f>
        <v>#VALUE!</v>
      </c>
      <c r="AX1058" s="446" t="e">
        <f>IF(OR($B1058="",MIN(AX$38,$D$19)&lt;MAX($P$708*($B1058+IF($R$17="Distrato",$I$38-1,0)),IF(AND($L$711=0,$P$708=0),"",$L$711-1),IF($R$17="Distrato",$E1058,0))),0,YEARFRAC(MAX($P$708*($B1058+IF($R$17="Distrato",$I$38-1,0)),IF(AND($L$711=0,$P$708=0),"",$L$711-1),IF($R$17="Distrato",$E1058,0)),MIN(AX$38,$D$19),$P$20))-SUM($P1058:AW1058)</f>
        <v>#VALUE!</v>
      </c>
      <c r="AY1058" s="446" t="e">
        <f>IF(OR($B1058="",MIN(AY$38,$D$19)&lt;MAX($P$708*($B1058+IF($R$17="Distrato",$I$38-1,0)),IF(AND($L$711=0,$P$708=0),"",$L$711-1),IF($R$17="Distrato",$E1058,0))),0,YEARFRAC(MAX($P$708*($B1058+IF($R$17="Distrato",$I$38-1,0)),IF(AND($L$711=0,$P$708=0),"",$L$711-1),IF($R$17="Distrato",$E1058,0)),MIN(AY$38,$D$19),$P$20))-SUM($P1058:AX1058)</f>
        <v>#VALUE!</v>
      </c>
      <c r="AZ1058" s="446" t="e">
        <f>IF(OR($B1058="",MIN(AZ$38,$D$19)&lt;MAX($P$708*($B1058+IF($R$17="Distrato",$I$38-1,0)),IF(AND($L$711=0,$P$708=0),"",$L$711-1),IF($R$17="Distrato",$E1058,0))),0,YEARFRAC(MAX($P$708*($B1058+IF($R$17="Distrato",$I$38-1,0)),IF(AND($L$711=0,$P$708=0),"",$L$711-1),IF($R$17="Distrato",$E1058,0)),MIN(AZ$38,$D$19),$P$20))-SUM($P1058:AY1058)</f>
        <v>#VALUE!</v>
      </c>
      <c r="BA1058" s="446" t="e">
        <f>IF(OR($B1058="",MIN(BA$38,$D$19)&lt;MAX($P$708*($B1058+IF($R$17="Distrato",$I$38-1,0)),IF(AND($L$711=0,$P$708=0),"",$L$711-1),IF($R$17="Distrato",$E1058,0))),0,YEARFRAC(MAX($P$708*($B1058+IF($R$17="Distrato",$I$38-1,0)),IF(AND($L$711=0,$P$708=0),"",$L$711-1),IF($R$17="Distrato",$E1058,0)),MIN(BA$38,$D$19),$P$20))-SUM($P1058:AZ1058)</f>
        <v>#VALUE!</v>
      </c>
      <c r="BB1058" s="447"/>
    </row>
    <row r="1059" spans="1:54" s="446" customFormat="1" ht="11.25" hidden="1" customHeight="1" x14ac:dyDescent="0.2">
      <c r="A1059" s="235"/>
      <c r="B1059" s="236"/>
      <c r="C1059" s="29" t="str">
        <f>IF(B1059="","",IF($L$709=$BL$25,VLOOKUP(DATE(YEAR($D$19),MONTH($D$19)-1,1),ÍNDICES!$A:$DE,HLOOKUP($BL$25,ÍNDICES!$B$3:$T$4,2)+11)-VLOOKUP(B1059,ÍNDICES!$A:$DE,HLOOKUP($BL$25,ÍNDICES!$B$3:$T$4,2)+11)+1%,IF(C$712=$W$26,$J$35,IF(ISERROR(IF(B1059&gt;$D$19,1,VLOOKUP(DATE(YEAR(B1059),MONTH(B1059)+IF($C$709=$S$23,1,0),1),ÍNDICES!$A:$DE,$Z$709+1))),"",IF(B1059&gt;$D$19,1,VLOOKUP(DATE(YEAR(B1059),MONTH(B1059)+IF($C$709=$S$23,1,0),1),ÍNDICES!$A:$DE,$Z$709+1))))))</f>
        <v/>
      </c>
      <c r="D1059" s="155"/>
      <c r="E1059" s="88"/>
      <c r="F1059" s="88"/>
      <c r="G1059" s="88"/>
      <c r="H1059" s="118"/>
      <c r="I1059" s="182">
        <f t="shared" si="150"/>
        <v>0</v>
      </c>
      <c r="J1059" s="20">
        <f t="shared" ca="1" si="151"/>
        <v>0</v>
      </c>
      <c r="K1059" s="5">
        <f t="shared" ca="1" si="152"/>
        <v>0</v>
      </c>
      <c r="L1059" s="61">
        <f t="shared" ca="1" si="153"/>
        <v>0</v>
      </c>
      <c r="M1059" s="64">
        <f t="shared" si="154"/>
        <v>0</v>
      </c>
      <c r="N1059" s="151"/>
      <c r="O1059" s="5">
        <f t="shared" ca="1" si="155"/>
        <v>0</v>
      </c>
      <c r="P1059" s="446" t="e">
        <f t="shared" si="156"/>
        <v>#VALUE!</v>
      </c>
      <c r="Q1059" s="446" t="e">
        <f>IF(OR($B1059="",MIN(Q$38,$D$19)&lt;MAX($P$708*($B1059+IF($R$17="Distrato",$I$38-1,0)),IF(AND($L$711=0,$P$708=0),"",$L$711-1),IF($R$17="Distrato",$E1059,0))),0,YEARFRAC(MAX($P$708*($B1059+IF($R$17="Distrato",$I$38-1,0)),IF(AND($L$711=0,$P$708=0),"",$L$711-1),IF($R$17="Distrato",$E1059,0)),MIN(Q$38,$D$19),$P$20))-SUM($P1059:P1059)</f>
        <v>#VALUE!</v>
      </c>
      <c r="R1059" s="446" t="e">
        <f>IF(OR($B1059="",MIN(R$38,$D$19)&lt;MAX($P$708*($B1059+IF($R$17="Distrato",$I$38-1,0)),IF(AND($L$711=0,$P$708=0),"",$L$711-1),IF($R$17="Distrato",$E1059,0))),0,YEARFRAC(MAX($P$708*($B1059+IF($R$17="Distrato",$I$38-1,0)),IF(AND($L$711=0,$P$708=0),"",$L$711-1),IF($R$17="Distrato",$E1059,0)),MIN(R$38,$D$19),$P$20))-SUM($P1059:Q1059)</f>
        <v>#VALUE!</v>
      </c>
      <c r="S1059" s="446" t="e">
        <f>IF(OR($B1059="",MIN(S$38,$D$19)&lt;MAX($P$708*($B1059+IF($R$17="Distrato",$I$38-1,0)),IF(AND($L$711=0,$P$708=0),"",$L$711-1),IF($R$17="Distrato",$E1059,0))),0,YEARFRAC(MAX($P$708*($B1059+IF($R$17="Distrato",$I$38-1,0)),IF(AND($L$711=0,$P$708=0),"",$L$711-1),IF($R$17="Distrato",$E1059,0)),MIN(S$38,$D$19),$P$20))-SUM($P1059:R1059)</f>
        <v>#VALUE!</v>
      </c>
      <c r="T1059" s="446" t="e">
        <f>IF(OR($B1059="",MIN(T$38,$D$19)&lt;MAX($P$708*($B1059+IF($R$17="Distrato",$I$38-1,0)),IF(AND($L$711=0,$P$708=0),"",$L$711-1),IF($R$17="Distrato",$E1059,0))),0,YEARFRAC(MAX($P$708*($B1059+IF($R$17="Distrato",$I$38-1,0)),IF(AND($L$711=0,$P$708=0),"",$L$711-1),IF($R$17="Distrato",$E1059,0)),MIN(T$38,$D$19),$P$20))-SUM($P1059:S1059)</f>
        <v>#VALUE!</v>
      </c>
      <c r="U1059" s="446" t="e">
        <f>IF(OR($B1059="",MIN(U$38,$D$19)&lt;MAX($P$708*($B1059+IF($R$17="Distrato",$I$38-1,0)),IF(AND($L$711=0,$P$708=0),"",$L$711-1),IF($R$17="Distrato",$E1059,0))),0,YEARFRAC(MAX($P$708*($B1059+IF($R$17="Distrato",$I$38-1,0)),IF(AND($L$711=0,$P$708=0),"",$L$711-1),IF($R$17="Distrato",$E1059,0)),MIN(U$38,$D$19),$P$20))-SUM($P1059:T1059)</f>
        <v>#VALUE!</v>
      </c>
      <c r="V1059" s="446" t="e">
        <f>IF(OR($B1059="",MIN(V$38,$D$19)&lt;MAX($P$708*($B1059+IF($R$17="Distrato",$I$38-1,0)),IF(AND($L$711=0,$P$708=0),"",$L$711-1),IF($R$17="Distrato",$E1059,0))),0,YEARFRAC(MAX($P$708*($B1059+IF($R$17="Distrato",$I$38-1,0)),IF(AND($L$711=0,$P$708=0),"",$L$711-1),IF($R$17="Distrato",$E1059,0)),MIN(V$38,$D$19),$P$20))-SUM($P1059:U1059)</f>
        <v>#VALUE!</v>
      </c>
      <c r="W1059" s="446" t="e">
        <f>IF(OR($B1059="",MIN(W$38,$D$19)&lt;MAX($P$708*($B1059+IF($R$17="Distrato",$I$38-1,0)),IF(AND($L$711=0,$P$708=0),"",$L$711-1),IF($R$17="Distrato",$E1059,0))),0,YEARFRAC(MAX($P$708*($B1059+IF($R$17="Distrato",$I$38-1,0)),IF(AND($L$711=0,$P$708=0),"",$L$711-1),IF($R$17="Distrato",$E1059,0)),MIN(W$38,$D$19),$P$20))-SUM($P1059:V1059)</f>
        <v>#VALUE!</v>
      </c>
      <c r="X1059" s="446" t="e">
        <f>IF(OR($B1059="",MIN(X$38,$D$19)&lt;MAX($P$708*($B1059+IF($R$17="Distrato",$I$38-1,0)),IF(AND($L$711=0,$P$708=0),"",$L$711-1),IF($R$17="Distrato",$E1059,0))),0,YEARFRAC(MAX($P$708*($B1059+IF($R$17="Distrato",$I$38-1,0)),IF(AND($L$711=0,$P$708=0),"",$L$711-1),IF($R$17="Distrato",$E1059,0)),MIN(X$38,$D$19),$P$20))-SUM($P1059:W1059)</f>
        <v>#VALUE!</v>
      </c>
      <c r="Y1059" s="446" t="e">
        <f>IF(OR($B1059="",MIN(Y$38,$D$19)&lt;MAX($P$708*($B1059+IF($R$17="Distrato",$I$38-1,0)),IF(AND($L$711=0,$P$708=0),"",$L$711-1),IF($R$17="Distrato",$E1059,0))),0,YEARFRAC(MAX($P$708*($B1059+IF($R$17="Distrato",$I$38-1,0)),IF(AND($L$711=0,$P$708=0),"",$L$711-1),IF($R$17="Distrato",$E1059,0)),MIN(Y$38,$D$19),$P$20))-SUM($P1059:X1059)</f>
        <v>#VALUE!</v>
      </c>
      <c r="Z1059" s="446" t="e">
        <f>IF(OR($B1059="",MIN(Z$38,$D$19)&lt;MAX($P$708*($B1059+IF($R$17="Distrato",$I$38-1,0)),IF(AND($L$711=0,$P$708=0),"",$L$711-1),IF($R$17="Distrato",$E1059,0))),0,YEARFRAC(MAX($P$708*($B1059+IF($R$17="Distrato",$I$38-1,0)),IF(AND($L$711=0,$P$708=0),"",$L$711-1),IF($R$17="Distrato",$E1059,0)),MIN(Z$38,$D$19),$P$20))-SUM($P1059:Y1059)</f>
        <v>#VALUE!</v>
      </c>
      <c r="AA1059" s="446" t="e">
        <f>IF(OR($B1059="",MIN(AA$38,$D$19)&lt;MAX($P$708*($B1059+IF($R$17="Distrato",$I$38-1,0)),IF(AND($L$711=0,$P$708=0),"",$L$711-1),IF($R$17="Distrato",$E1059,0))),0,YEARFRAC(MAX($P$708*($B1059+IF($R$17="Distrato",$I$38-1,0)),IF(AND($L$711=0,$P$708=0),"",$L$711-1),IF($R$17="Distrato",$E1059,0)),MIN(AA$38,$D$19),$P$20))-SUM($P1059:Z1059)</f>
        <v>#VALUE!</v>
      </c>
      <c r="AB1059" s="446" t="e">
        <f>IF(OR($B1059="",MIN(AB$38,$D$19)&lt;MAX($P$708*($B1059+IF($R$17="Distrato",$I$38-1,0)),IF(AND($L$711=0,$P$708=0),"",$L$711-1),IF($R$17="Distrato",$E1059,0))),0,YEARFRAC(MAX($P$708*($B1059+IF($R$17="Distrato",$I$38-1,0)),IF(AND($L$711=0,$P$708=0),"",$L$711-1),IF($R$17="Distrato",$E1059,0)),MIN(AB$38,$D$19),$P$20))-SUM($P1059:AA1059)</f>
        <v>#VALUE!</v>
      </c>
      <c r="AC1059" s="446" t="e">
        <f>IF(OR($B1059="",MIN(AC$38,$D$19)&lt;MAX($P$708*($B1059+IF($R$17="Distrato",$I$38-1,0)),IF(AND($L$711=0,$P$708=0),"",$L$711-1),IF($R$17="Distrato",$E1059,0))),0,YEARFRAC(MAX($P$708*($B1059+IF($R$17="Distrato",$I$38-1,0)),IF(AND($L$711=0,$P$708=0),"",$L$711-1),IF($R$17="Distrato",$E1059,0)),MIN(AC$38,$D$19),$P$20))-SUM($P1059:AB1059)</f>
        <v>#VALUE!</v>
      </c>
      <c r="AD1059" s="446" t="e">
        <f>IF(OR($B1059="",MIN(AD$38,$D$19)&lt;MAX($P$708*($B1059+IF($R$17="Distrato",$I$38-1,0)),IF(AND($L$711=0,$P$708=0),"",$L$711-1),IF($R$17="Distrato",$E1059,0))),0,YEARFRAC(MAX($P$708*($B1059+IF($R$17="Distrato",$I$38-1,0)),IF(AND($L$711=0,$P$708=0),"",$L$711-1),IF($R$17="Distrato",$E1059,0)),MIN(AD$38,$D$19),$P$20))-SUM($P1059:AC1059)</f>
        <v>#VALUE!</v>
      </c>
      <c r="AE1059" s="446" t="e">
        <f>IF(OR($B1059="",MIN(AE$38,$D$19)&lt;MAX($P$708*($B1059+IF($R$17="Distrato",$I$38-1,0)),IF(AND($L$711=0,$P$708=0),"",$L$711-1),IF($R$17="Distrato",$E1059,0))),0,YEARFRAC(MAX($P$708*($B1059+IF($R$17="Distrato",$I$38-1,0)),IF(AND($L$711=0,$P$708=0),"",$L$711-1),IF($R$17="Distrato",$E1059,0)),MIN(AE$38,$D$19),$P$20))-SUM($P1059:AD1059)</f>
        <v>#VALUE!</v>
      </c>
      <c r="AF1059" s="446" t="e">
        <f>IF(OR($B1059="",MIN(AF$38,$D$19)&lt;MAX($P$708*($B1059+IF($R$17="Distrato",$I$38-1,0)),IF(AND($L$711=0,$P$708=0),"",$L$711-1),IF($R$17="Distrato",$E1059,0))),0,YEARFRAC(MAX($P$708*($B1059+IF($R$17="Distrato",$I$38-1,0)),IF(AND($L$711=0,$P$708=0),"",$L$711-1),IF($R$17="Distrato",$E1059,0)),MIN(AF$38,$D$19),$P$20))-SUM($P1059:AE1059)</f>
        <v>#VALUE!</v>
      </c>
      <c r="AG1059" s="446" t="e">
        <f>IF(OR($B1059="",MIN(AG$38,$D$19)&lt;MAX($P$708*($B1059+IF($R$17="Distrato",$I$38-1,0)),IF(AND($L$711=0,$P$708=0),"",$L$711-1),IF($R$17="Distrato",$E1059,0))),0,YEARFRAC(MAX($P$708*($B1059+IF($R$17="Distrato",$I$38-1,0)),IF(AND($L$711=0,$P$708=0),"",$L$711-1),IF($R$17="Distrato",$E1059,0)),MIN(AG$38,$D$19),$P$20))-SUM($P1059:AF1059)</f>
        <v>#VALUE!</v>
      </c>
      <c r="AH1059" s="446" t="e">
        <f>IF(OR($B1059="",MIN(AH$38,$D$19)&lt;MAX($P$708*($B1059+IF($R$17="Distrato",$I$38-1,0)),IF(AND($L$711=0,$P$708=0),"",$L$711-1),IF($R$17="Distrato",$E1059,0))),0,YEARFRAC(MAX($P$708*($B1059+IF($R$17="Distrato",$I$38-1,0)),IF(AND($L$711=0,$P$708=0),"",$L$711-1),IF($R$17="Distrato",$E1059,0)),MIN(AH$38,$D$19),$P$20))-SUM($P1059:AG1059)</f>
        <v>#VALUE!</v>
      </c>
      <c r="AI1059" s="446" t="e">
        <f>IF(OR($B1059="",MIN(AI$38,$D$19)&lt;MAX($P$708*($B1059+IF($R$17="Distrato",$I$38-1,0)),IF(AND($L$711=0,$P$708=0),"",$L$711-1),IF($R$17="Distrato",$E1059,0))),0,YEARFRAC(MAX($P$708*($B1059+IF($R$17="Distrato",$I$38-1,0)),IF(AND($L$711=0,$P$708=0),"",$L$711-1),IF($R$17="Distrato",$E1059,0)),MIN(AI$38,$D$19),$P$20))-SUM($P1059:AH1059)</f>
        <v>#VALUE!</v>
      </c>
      <c r="AJ1059" s="446" t="e">
        <f>IF(OR($B1059="",MIN(AJ$38,$D$19)&lt;MAX($P$708*($B1059+IF($R$17="Distrato",$I$38-1,0)),IF(AND($L$711=0,$P$708=0),"",$L$711-1),IF($R$17="Distrato",$E1059,0))),0,YEARFRAC(MAX($P$708*($B1059+IF($R$17="Distrato",$I$38-1,0)),IF(AND($L$711=0,$P$708=0),"",$L$711-1),IF($R$17="Distrato",$E1059,0)),MIN(AJ$38,$D$19),$P$20))-SUM($P1059:AI1059)</f>
        <v>#VALUE!</v>
      </c>
      <c r="AK1059" s="446" t="e">
        <f>IF(OR($B1059="",MIN(AK$38,$D$19)&lt;MAX($P$708*($B1059+IF($R$17="Distrato",$I$38-1,0)),IF(AND($L$711=0,$P$708=0),"",$L$711-1),IF($R$17="Distrato",$E1059,0))),0,YEARFRAC(MAX($P$708*($B1059+IF($R$17="Distrato",$I$38-1,0)),IF(AND($L$711=0,$P$708=0),"",$L$711-1),IF($R$17="Distrato",$E1059,0)),MIN(AK$38,$D$19),$P$20))-SUM($P1059:AJ1059)</f>
        <v>#VALUE!</v>
      </c>
      <c r="AL1059" s="446" t="e">
        <f>IF(OR($B1059="",MIN(AL$38,$D$19)&lt;MAX($P$708*($B1059+IF($R$17="Distrato",$I$38-1,0)),IF(AND($L$711=0,$P$708=0),"",$L$711-1),IF($R$17="Distrato",$E1059,0))),0,YEARFRAC(MAX($P$708*($B1059+IF($R$17="Distrato",$I$38-1,0)),IF(AND($L$711=0,$P$708=0),"",$L$711-1),IF($R$17="Distrato",$E1059,0)),MIN(AL$38,$D$19),$P$20))-SUM($P1059:AK1059)</f>
        <v>#VALUE!</v>
      </c>
      <c r="AM1059" s="446" t="e">
        <f>IF(OR($B1059="",MIN(AM$38,$D$19)&lt;MAX($P$708*($B1059+IF($R$17="Distrato",$I$38-1,0)),IF(AND($L$711=0,$P$708=0),"",$L$711-1),IF($R$17="Distrato",$E1059,0))),0,YEARFRAC(MAX($P$708*($B1059+IF($R$17="Distrato",$I$38-1,0)),IF(AND($L$711=0,$P$708=0),"",$L$711-1),IF($R$17="Distrato",$E1059,0)),MIN(AM$38,$D$19),$P$20))-SUM($P1059:AL1059)</f>
        <v>#VALUE!</v>
      </c>
      <c r="AN1059" s="446" t="e">
        <f>IF(OR($B1059="",MIN(AN$38,$D$19)&lt;MAX($P$708*($B1059+IF($R$17="Distrato",$I$38-1,0)),IF(AND($L$711=0,$P$708=0),"",$L$711-1),IF($R$17="Distrato",$E1059,0))),0,YEARFRAC(MAX($P$708*($B1059+IF($R$17="Distrato",$I$38-1,0)),IF(AND($L$711=0,$P$708=0),"",$L$711-1),IF($R$17="Distrato",$E1059,0)),MIN(AN$38,$D$19),$P$20))-SUM($P1059:AM1059)</f>
        <v>#VALUE!</v>
      </c>
      <c r="AO1059" s="446" t="e">
        <f>IF(OR($B1059="",MIN(AO$38,$D$19)&lt;MAX($P$708*($B1059+IF($R$17="Distrato",$I$38-1,0)),IF(AND($L$711=0,$P$708=0),"",$L$711-1),IF($R$17="Distrato",$E1059,0))),0,YEARFRAC(MAX($P$708*($B1059+IF($R$17="Distrato",$I$38-1,0)),IF(AND($L$711=0,$P$708=0),"",$L$711-1),IF($R$17="Distrato",$E1059,0)),MIN(AO$38,$D$19),$P$20))-SUM($P1059:AN1059)</f>
        <v>#VALUE!</v>
      </c>
      <c r="AP1059" s="446" t="e">
        <f>IF(OR($B1059="",MIN(AP$38,$D$19)&lt;MAX($P$708*($B1059+IF($R$17="Distrato",$I$38-1,0)),IF(AND($L$711=0,$P$708=0),"",$L$711-1),IF($R$17="Distrato",$E1059,0))),0,YEARFRAC(MAX($P$708*($B1059+IF($R$17="Distrato",$I$38-1,0)),IF(AND($L$711=0,$P$708=0),"",$L$711-1),IF($R$17="Distrato",$E1059,0)),MIN(AP$38,$D$19),$P$20))-SUM($P1059:AO1059)</f>
        <v>#VALUE!</v>
      </c>
      <c r="AQ1059" s="446" t="e">
        <f>IF(OR($B1059="",MIN(AQ$38,$D$19)&lt;MAX($P$708*($B1059+IF($R$17="Distrato",$I$38-1,0)),IF(AND($L$711=0,$P$708=0),"",$L$711-1),IF($R$17="Distrato",$E1059,0))),0,YEARFRAC(MAX($P$708*($B1059+IF($R$17="Distrato",$I$38-1,0)),IF(AND($L$711=0,$P$708=0),"",$L$711-1),IF($R$17="Distrato",$E1059,0)),MIN(AQ$38,$D$19),$P$20))-SUM($P1059:AP1059)</f>
        <v>#VALUE!</v>
      </c>
      <c r="AR1059" s="446" t="e">
        <f>IF(OR($B1059="",MIN(AR$38,$D$19)&lt;MAX($P$708*($B1059+IF($R$17="Distrato",$I$38-1,0)),IF(AND($L$711=0,$P$708=0),"",$L$711-1),IF($R$17="Distrato",$E1059,0))),0,YEARFRAC(MAX($P$708*($B1059+IF($R$17="Distrato",$I$38-1,0)),IF(AND($L$711=0,$P$708=0),"",$L$711-1),IF($R$17="Distrato",$E1059,0)),MIN(AR$38,$D$19),$P$20))-SUM($P1059:AQ1059)</f>
        <v>#VALUE!</v>
      </c>
      <c r="AS1059" s="446" t="e">
        <f>IF(OR($B1059="",MIN(AS$38,$D$19)&lt;MAX($P$708*($B1059+IF($R$17="Distrato",$I$38-1,0)),IF(AND($L$711=0,$P$708=0),"",$L$711-1),IF($R$17="Distrato",$E1059,0))),0,YEARFRAC(MAX($P$708*($B1059+IF($R$17="Distrato",$I$38-1,0)),IF(AND($L$711=0,$P$708=0),"",$L$711-1),IF($R$17="Distrato",$E1059,0)),MIN(AS$38,$D$19),$P$20))-SUM($P1059:AR1059)</f>
        <v>#VALUE!</v>
      </c>
      <c r="AT1059" s="446" t="e">
        <f>IF(OR($B1059="",MIN(AT$38,$D$19)&lt;MAX($P$708*($B1059+IF($R$17="Distrato",$I$38-1,0)),IF(AND($L$711=0,$P$708=0),"",$L$711-1),IF($R$17="Distrato",$E1059,0))),0,YEARFRAC(MAX($P$708*($B1059+IF($R$17="Distrato",$I$38-1,0)),IF(AND($L$711=0,$P$708=0),"",$L$711-1),IF($R$17="Distrato",$E1059,0)),MIN(AT$38,$D$19),$P$20))-SUM($P1059:AS1059)</f>
        <v>#VALUE!</v>
      </c>
      <c r="AU1059" s="446" t="e">
        <f>IF(OR($B1059="",MIN(AU$38,$D$19)&lt;MAX($P$708*($B1059+IF($R$17="Distrato",$I$38-1,0)),IF(AND($L$711=0,$P$708=0),"",$L$711-1),IF($R$17="Distrato",$E1059,0))),0,YEARFRAC(MAX($P$708*($B1059+IF($R$17="Distrato",$I$38-1,0)),IF(AND($L$711=0,$P$708=0),"",$L$711-1),IF($R$17="Distrato",$E1059,0)),MIN(AU$38,$D$19),$P$20))-SUM($P1059:AT1059)</f>
        <v>#VALUE!</v>
      </c>
      <c r="AV1059" s="446" t="e">
        <f>IF(OR($B1059="",MIN(AV$38,$D$19)&lt;MAX($P$708*($B1059+IF($R$17="Distrato",$I$38-1,0)),IF(AND($L$711=0,$P$708=0),"",$L$711-1),IF($R$17="Distrato",$E1059,0))),0,YEARFRAC(MAX($P$708*($B1059+IF($R$17="Distrato",$I$38-1,0)),IF(AND($L$711=0,$P$708=0),"",$L$711-1),IF($R$17="Distrato",$E1059,0)),MIN(AV$38,$D$19),$P$20))-SUM($P1059:AU1059)</f>
        <v>#VALUE!</v>
      </c>
      <c r="AW1059" s="446" t="e">
        <f>IF(OR($B1059="",MIN(AW$38,$D$19)&lt;MAX($P$708*($B1059+IF($R$17="Distrato",$I$38-1,0)),IF(AND($L$711=0,$P$708=0),"",$L$711-1),IF($R$17="Distrato",$E1059,0))),0,YEARFRAC(MAX($P$708*($B1059+IF($R$17="Distrato",$I$38-1,0)),IF(AND($L$711=0,$P$708=0),"",$L$711-1),IF($R$17="Distrato",$E1059,0)),MIN(AW$38,$D$19),$P$20))-SUM($P1059:AV1059)</f>
        <v>#VALUE!</v>
      </c>
      <c r="AX1059" s="446" t="e">
        <f>IF(OR($B1059="",MIN(AX$38,$D$19)&lt;MAX($P$708*($B1059+IF($R$17="Distrato",$I$38-1,0)),IF(AND($L$711=0,$P$708=0),"",$L$711-1),IF($R$17="Distrato",$E1059,0))),0,YEARFRAC(MAX($P$708*($B1059+IF($R$17="Distrato",$I$38-1,0)),IF(AND($L$711=0,$P$708=0),"",$L$711-1),IF($R$17="Distrato",$E1059,0)),MIN(AX$38,$D$19),$P$20))-SUM($P1059:AW1059)</f>
        <v>#VALUE!</v>
      </c>
      <c r="AY1059" s="446" t="e">
        <f>IF(OR($B1059="",MIN(AY$38,$D$19)&lt;MAX($P$708*($B1059+IF($R$17="Distrato",$I$38-1,0)),IF(AND($L$711=0,$P$708=0),"",$L$711-1),IF($R$17="Distrato",$E1059,0))),0,YEARFRAC(MAX($P$708*($B1059+IF($R$17="Distrato",$I$38-1,0)),IF(AND($L$711=0,$P$708=0),"",$L$711-1),IF($R$17="Distrato",$E1059,0)),MIN(AY$38,$D$19),$P$20))-SUM($P1059:AX1059)</f>
        <v>#VALUE!</v>
      </c>
      <c r="AZ1059" s="446" t="e">
        <f>IF(OR($B1059="",MIN(AZ$38,$D$19)&lt;MAX($P$708*($B1059+IF($R$17="Distrato",$I$38-1,0)),IF(AND($L$711=0,$P$708=0),"",$L$711-1),IF($R$17="Distrato",$E1059,0))),0,YEARFRAC(MAX($P$708*($B1059+IF($R$17="Distrato",$I$38-1,0)),IF(AND($L$711=0,$P$708=0),"",$L$711-1),IF($R$17="Distrato",$E1059,0)),MIN(AZ$38,$D$19),$P$20))-SUM($P1059:AY1059)</f>
        <v>#VALUE!</v>
      </c>
      <c r="BA1059" s="446" t="e">
        <f>IF(OR($B1059="",MIN(BA$38,$D$19)&lt;MAX($P$708*($B1059+IF($R$17="Distrato",$I$38-1,0)),IF(AND($L$711=0,$P$708=0),"",$L$711-1),IF($R$17="Distrato",$E1059,0))),0,YEARFRAC(MAX($P$708*($B1059+IF($R$17="Distrato",$I$38-1,0)),IF(AND($L$711=0,$P$708=0),"",$L$711-1),IF($R$17="Distrato",$E1059,0)),MIN(BA$38,$D$19),$P$20))-SUM($P1059:AZ1059)</f>
        <v>#VALUE!</v>
      </c>
      <c r="BB1059" s="447"/>
    </row>
    <row r="1060" spans="1:54" s="446" customFormat="1" ht="11.25" hidden="1" customHeight="1" x14ac:dyDescent="0.2">
      <c r="A1060" s="235"/>
      <c r="B1060" s="236"/>
      <c r="C1060" s="29" t="str">
        <f>IF(B1060="","",IF($L$709=$BL$25,VLOOKUP(DATE(YEAR($D$19),MONTH($D$19)-1,1),ÍNDICES!$A:$DE,HLOOKUP($BL$25,ÍNDICES!$B$3:$T$4,2)+11)-VLOOKUP(B1060,ÍNDICES!$A:$DE,HLOOKUP($BL$25,ÍNDICES!$B$3:$T$4,2)+11)+1%,IF(C$712=$W$26,$J$35,IF(ISERROR(IF(B1060&gt;$D$19,1,VLOOKUP(DATE(YEAR(B1060),MONTH(B1060)+IF($C$709=$S$23,1,0),1),ÍNDICES!$A:$DE,$Z$709+1))),"",IF(B1060&gt;$D$19,1,VLOOKUP(DATE(YEAR(B1060),MONTH(B1060)+IF($C$709=$S$23,1,0),1),ÍNDICES!$A:$DE,$Z$709+1))))))</f>
        <v/>
      </c>
      <c r="D1060" s="155"/>
      <c r="E1060" s="88"/>
      <c r="F1060" s="88"/>
      <c r="G1060" s="88"/>
      <c r="H1060" s="118"/>
      <c r="I1060" s="182">
        <f t="shared" si="150"/>
        <v>0</v>
      </c>
      <c r="J1060" s="20">
        <f t="shared" ca="1" si="151"/>
        <v>0</v>
      </c>
      <c r="K1060" s="5">
        <f t="shared" ca="1" si="152"/>
        <v>0</v>
      </c>
      <c r="L1060" s="61">
        <f t="shared" ca="1" si="153"/>
        <v>0</v>
      </c>
      <c r="M1060" s="64">
        <f t="shared" si="154"/>
        <v>0</v>
      </c>
      <c r="N1060" s="151"/>
      <c r="O1060" s="5">
        <f t="shared" ca="1" si="155"/>
        <v>0</v>
      </c>
      <c r="P1060" s="446" t="e">
        <f t="shared" si="156"/>
        <v>#VALUE!</v>
      </c>
      <c r="Q1060" s="446" t="e">
        <f>IF(OR($B1060="",MIN(Q$38,$D$19)&lt;MAX($P$708*($B1060+IF($R$17="Distrato",$I$38-1,0)),IF(AND($L$711=0,$P$708=0),"",$L$711-1),IF($R$17="Distrato",$E1060,0))),0,YEARFRAC(MAX($P$708*($B1060+IF($R$17="Distrato",$I$38-1,0)),IF(AND($L$711=0,$P$708=0),"",$L$711-1),IF($R$17="Distrato",$E1060,0)),MIN(Q$38,$D$19),$P$20))-SUM($P1060:P1060)</f>
        <v>#VALUE!</v>
      </c>
      <c r="R1060" s="446" t="e">
        <f>IF(OR($B1060="",MIN(R$38,$D$19)&lt;MAX($P$708*($B1060+IF($R$17="Distrato",$I$38-1,0)),IF(AND($L$711=0,$P$708=0),"",$L$711-1),IF($R$17="Distrato",$E1060,0))),0,YEARFRAC(MAX($P$708*($B1060+IF($R$17="Distrato",$I$38-1,0)),IF(AND($L$711=0,$P$708=0),"",$L$711-1),IF($R$17="Distrato",$E1060,0)),MIN(R$38,$D$19),$P$20))-SUM($P1060:Q1060)</f>
        <v>#VALUE!</v>
      </c>
      <c r="S1060" s="446" t="e">
        <f>IF(OR($B1060="",MIN(S$38,$D$19)&lt;MAX($P$708*($B1060+IF($R$17="Distrato",$I$38-1,0)),IF(AND($L$711=0,$P$708=0),"",$L$711-1),IF($R$17="Distrato",$E1060,0))),0,YEARFRAC(MAX($P$708*($B1060+IF($R$17="Distrato",$I$38-1,0)),IF(AND($L$711=0,$P$708=0),"",$L$711-1),IF($R$17="Distrato",$E1060,0)),MIN(S$38,$D$19),$P$20))-SUM($P1060:R1060)</f>
        <v>#VALUE!</v>
      </c>
      <c r="T1060" s="446" t="e">
        <f>IF(OR($B1060="",MIN(T$38,$D$19)&lt;MAX($P$708*($B1060+IF($R$17="Distrato",$I$38-1,0)),IF(AND($L$711=0,$P$708=0),"",$L$711-1),IF($R$17="Distrato",$E1060,0))),0,YEARFRAC(MAX($P$708*($B1060+IF($R$17="Distrato",$I$38-1,0)),IF(AND($L$711=0,$P$708=0),"",$L$711-1),IF($R$17="Distrato",$E1060,0)),MIN(T$38,$D$19),$P$20))-SUM($P1060:S1060)</f>
        <v>#VALUE!</v>
      </c>
      <c r="U1060" s="446" t="e">
        <f>IF(OR($B1060="",MIN(U$38,$D$19)&lt;MAX($P$708*($B1060+IF($R$17="Distrato",$I$38-1,0)),IF(AND($L$711=0,$P$708=0),"",$L$711-1),IF($R$17="Distrato",$E1060,0))),0,YEARFRAC(MAX($P$708*($B1060+IF($R$17="Distrato",$I$38-1,0)),IF(AND($L$711=0,$P$708=0),"",$L$711-1),IF($R$17="Distrato",$E1060,0)),MIN(U$38,$D$19),$P$20))-SUM($P1060:T1060)</f>
        <v>#VALUE!</v>
      </c>
      <c r="V1060" s="446" t="e">
        <f>IF(OR($B1060="",MIN(V$38,$D$19)&lt;MAX($P$708*($B1060+IF($R$17="Distrato",$I$38-1,0)),IF(AND($L$711=0,$P$708=0),"",$L$711-1),IF($R$17="Distrato",$E1060,0))),0,YEARFRAC(MAX($P$708*($B1060+IF($R$17="Distrato",$I$38-1,0)),IF(AND($L$711=0,$P$708=0),"",$L$711-1),IF($R$17="Distrato",$E1060,0)),MIN(V$38,$D$19),$P$20))-SUM($P1060:U1060)</f>
        <v>#VALUE!</v>
      </c>
      <c r="W1060" s="446" t="e">
        <f>IF(OR($B1060="",MIN(W$38,$D$19)&lt;MAX($P$708*($B1060+IF($R$17="Distrato",$I$38-1,0)),IF(AND($L$711=0,$P$708=0),"",$L$711-1),IF($R$17="Distrato",$E1060,0))),0,YEARFRAC(MAX($P$708*($B1060+IF($R$17="Distrato",$I$38-1,0)),IF(AND($L$711=0,$P$708=0),"",$L$711-1),IF($R$17="Distrato",$E1060,0)),MIN(W$38,$D$19),$P$20))-SUM($P1060:V1060)</f>
        <v>#VALUE!</v>
      </c>
      <c r="X1060" s="446" t="e">
        <f>IF(OR($B1060="",MIN(X$38,$D$19)&lt;MAX($P$708*($B1060+IF($R$17="Distrato",$I$38-1,0)),IF(AND($L$711=0,$P$708=0),"",$L$711-1),IF($R$17="Distrato",$E1060,0))),0,YEARFRAC(MAX($P$708*($B1060+IF($R$17="Distrato",$I$38-1,0)),IF(AND($L$711=0,$P$708=0),"",$L$711-1),IF($R$17="Distrato",$E1060,0)),MIN(X$38,$D$19),$P$20))-SUM($P1060:W1060)</f>
        <v>#VALUE!</v>
      </c>
      <c r="Y1060" s="446" t="e">
        <f>IF(OR($B1060="",MIN(Y$38,$D$19)&lt;MAX($P$708*($B1060+IF($R$17="Distrato",$I$38-1,0)),IF(AND($L$711=0,$P$708=0),"",$L$711-1),IF($R$17="Distrato",$E1060,0))),0,YEARFRAC(MAX($P$708*($B1060+IF($R$17="Distrato",$I$38-1,0)),IF(AND($L$711=0,$P$708=0),"",$L$711-1),IF($R$17="Distrato",$E1060,0)),MIN(Y$38,$D$19),$P$20))-SUM($P1060:X1060)</f>
        <v>#VALUE!</v>
      </c>
      <c r="Z1060" s="446" t="e">
        <f>IF(OR($B1060="",MIN(Z$38,$D$19)&lt;MAX($P$708*($B1060+IF($R$17="Distrato",$I$38-1,0)),IF(AND($L$711=0,$P$708=0),"",$L$711-1),IF($R$17="Distrato",$E1060,0))),0,YEARFRAC(MAX($P$708*($B1060+IF($R$17="Distrato",$I$38-1,0)),IF(AND($L$711=0,$P$708=0),"",$L$711-1),IF($R$17="Distrato",$E1060,0)),MIN(Z$38,$D$19),$P$20))-SUM($P1060:Y1060)</f>
        <v>#VALUE!</v>
      </c>
      <c r="AA1060" s="446" t="e">
        <f>IF(OR($B1060="",MIN(AA$38,$D$19)&lt;MAX($P$708*($B1060+IF($R$17="Distrato",$I$38-1,0)),IF(AND($L$711=0,$P$708=0),"",$L$711-1),IF($R$17="Distrato",$E1060,0))),0,YEARFRAC(MAX($P$708*($B1060+IF($R$17="Distrato",$I$38-1,0)),IF(AND($L$711=0,$P$708=0),"",$L$711-1),IF($R$17="Distrato",$E1060,0)),MIN(AA$38,$D$19),$P$20))-SUM($P1060:Z1060)</f>
        <v>#VALUE!</v>
      </c>
      <c r="AB1060" s="446" t="e">
        <f>IF(OR($B1060="",MIN(AB$38,$D$19)&lt;MAX($P$708*($B1060+IF($R$17="Distrato",$I$38-1,0)),IF(AND($L$711=0,$P$708=0),"",$L$711-1),IF($R$17="Distrato",$E1060,0))),0,YEARFRAC(MAX($P$708*($B1060+IF($R$17="Distrato",$I$38-1,0)),IF(AND($L$711=0,$P$708=0),"",$L$711-1),IF($R$17="Distrato",$E1060,0)),MIN(AB$38,$D$19),$P$20))-SUM($P1060:AA1060)</f>
        <v>#VALUE!</v>
      </c>
      <c r="AC1060" s="446" t="e">
        <f>IF(OR($B1060="",MIN(AC$38,$D$19)&lt;MAX($P$708*($B1060+IF($R$17="Distrato",$I$38-1,0)),IF(AND($L$711=0,$P$708=0),"",$L$711-1),IF($R$17="Distrato",$E1060,0))),0,YEARFRAC(MAX($P$708*($B1060+IF($R$17="Distrato",$I$38-1,0)),IF(AND($L$711=0,$P$708=0),"",$L$711-1),IF($R$17="Distrato",$E1060,0)),MIN(AC$38,$D$19),$P$20))-SUM($P1060:AB1060)</f>
        <v>#VALUE!</v>
      </c>
      <c r="AD1060" s="446" t="e">
        <f>IF(OR($B1060="",MIN(AD$38,$D$19)&lt;MAX($P$708*($B1060+IF($R$17="Distrato",$I$38-1,0)),IF(AND($L$711=0,$P$708=0),"",$L$711-1),IF($R$17="Distrato",$E1060,0))),0,YEARFRAC(MAX($P$708*($B1060+IF($R$17="Distrato",$I$38-1,0)),IF(AND($L$711=0,$P$708=0),"",$L$711-1),IF($R$17="Distrato",$E1060,0)),MIN(AD$38,$D$19),$P$20))-SUM($P1060:AC1060)</f>
        <v>#VALUE!</v>
      </c>
      <c r="AE1060" s="446" t="e">
        <f>IF(OR($B1060="",MIN(AE$38,$D$19)&lt;MAX($P$708*($B1060+IF($R$17="Distrato",$I$38-1,0)),IF(AND($L$711=0,$P$708=0),"",$L$711-1),IF($R$17="Distrato",$E1060,0))),0,YEARFRAC(MAX($P$708*($B1060+IF($R$17="Distrato",$I$38-1,0)),IF(AND($L$711=0,$P$708=0),"",$L$711-1),IF($R$17="Distrato",$E1060,0)),MIN(AE$38,$D$19),$P$20))-SUM($P1060:AD1060)</f>
        <v>#VALUE!</v>
      </c>
      <c r="AF1060" s="446" t="e">
        <f>IF(OR($B1060="",MIN(AF$38,$D$19)&lt;MAX($P$708*($B1060+IF($R$17="Distrato",$I$38-1,0)),IF(AND($L$711=0,$P$708=0),"",$L$711-1),IF($R$17="Distrato",$E1060,0))),0,YEARFRAC(MAX($P$708*($B1060+IF($R$17="Distrato",$I$38-1,0)),IF(AND($L$711=0,$P$708=0),"",$L$711-1),IF($R$17="Distrato",$E1060,0)),MIN(AF$38,$D$19),$P$20))-SUM($P1060:AE1060)</f>
        <v>#VALUE!</v>
      </c>
      <c r="AG1060" s="446" t="e">
        <f>IF(OR($B1060="",MIN(AG$38,$D$19)&lt;MAX($P$708*($B1060+IF($R$17="Distrato",$I$38-1,0)),IF(AND($L$711=0,$P$708=0),"",$L$711-1),IF($R$17="Distrato",$E1060,0))),0,YEARFRAC(MAX($P$708*($B1060+IF($R$17="Distrato",$I$38-1,0)),IF(AND($L$711=0,$P$708=0),"",$L$711-1),IF($R$17="Distrato",$E1060,0)),MIN(AG$38,$D$19),$P$20))-SUM($P1060:AF1060)</f>
        <v>#VALUE!</v>
      </c>
      <c r="AH1060" s="446" t="e">
        <f>IF(OR($B1060="",MIN(AH$38,$D$19)&lt;MAX($P$708*($B1060+IF($R$17="Distrato",$I$38-1,0)),IF(AND($L$711=0,$P$708=0),"",$L$711-1),IF($R$17="Distrato",$E1060,0))),0,YEARFRAC(MAX($P$708*($B1060+IF($R$17="Distrato",$I$38-1,0)),IF(AND($L$711=0,$P$708=0),"",$L$711-1),IF($R$17="Distrato",$E1060,0)),MIN(AH$38,$D$19),$P$20))-SUM($P1060:AG1060)</f>
        <v>#VALUE!</v>
      </c>
      <c r="AI1060" s="446" t="e">
        <f>IF(OR($B1060="",MIN(AI$38,$D$19)&lt;MAX($P$708*($B1060+IF($R$17="Distrato",$I$38-1,0)),IF(AND($L$711=0,$P$708=0),"",$L$711-1),IF($R$17="Distrato",$E1060,0))),0,YEARFRAC(MAX($P$708*($B1060+IF($R$17="Distrato",$I$38-1,0)),IF(AND($L$711=0,$P$708=0),"",$L$711-1),IF($R$17="Distrato",$E1060,0)),MIN(AI$38,$D$19),$P$20))-SUM($P1060:AH1060)</f>
        <v>#VALUE!</v>
      </c>
      <c r="AJ1060" s="446" t="e">
        <f>IF(OR($B1060="",MIN(AJ$38,$D$19)&lt;MAX($P$708*($B1060+IF($R$17="Distrato",$I$38-1,0)),IF(AND($L$711=0,$P$708=0),"",$L$711-1),IF($R$17="Distrato",$E1060,0))),0,YEARFRAC(MAX($P$708*($B1060+IF($R$17="Distrato",$I$38-1,0)),IF(AND($L$711=0,$P$708=0),"",$L$711-1),IF($R$17="Distrato",$E1060,0)),MIN(AJ$38,$D$19),$P$20))-SUM($P1060:AI1060)</f>
        <v>#VALUE!</v>
      </c>
      <c r="AK1060" s="446" t="e">
        <f>IF(OR($B1060="",MIN(AK$38,$D$19)&lt;MAX($P$708*($B1060+IF($R$17="Distrato",$I$38-1,0)),IF(AND($L$711=0,$P$708=0),"",$L$711-1),IF($R$17="Distrato",$E1060,0))),0,YEARFRAC(MAX($P$708*($B1060+IF($R$17="Distrato",$I$38-1,0)),IF(AND($L$711=0,$P$708=0),"",$L$711-1),IF($R$17="Distrato",$E1060,0)),MIN(AK$38,$D$19),$P$20))-SUM($P1060:AJ1060)</f>
        <v>#VALUE!</v>
      </c>
      <c r="AL1060" s="446" t="e">
        <f>IF(OR($B1060="",MIN(AL$38,$D$19)&lt;MAX($P$708*($B1060+IF($R$17="Distrato",$I$38-1,0)),IF(AND($L$711=0,$P$708=0),"",$L$711-1),IF($R$17="Distrato",$E1060,0))),0,YEARFRAC(MAX($P$708*($B1060+IF($R$17="Distrato",$I$38-1,0)),IF(AND($L$711=0,$P$708=0),"",$L$711-1),IF($R$17="Distrato",$E1060,0)),MIN(AL$38,$D$19),$P$20))-SUM($P1060:AK1060)</f>
        <v>#VALUE!</v>
      </c>
      <c r="AM1060" s="446" t="e">
        <f>IF(OR($B1060="",MIN(AM$38,$D$19)&lt;MAX($P$708*($B1060+IF($R$17="Distrato",$I$38-1,0)),IF(AND($L$711=0,$P$708=0),"",$L$711-1),IF($R$17="Distrato",$E1060,0))),0,YEARFRAC(MAX($P$708*($B1060+IF($R$17="Distrato",$I$38-1,0)),IF(AND($L$711=0,$P$708=0),"",$L$711-1),IF($R$17="Distrato",$E1060,0)),MIN(AM$38,$D$19),$P$20))-SUM($P1060:AL1060)</f>
        <v>#VALUE!</v>
      </c>
      <c r="AN1060" s="446" t="e">
        <f>IF(OR($B1060="",MIN(AN$38,$D$19)&lt;MAX($P$708*($B1060+IF($R$17="Distrato",$I$38-1,0)),IF(AND($L$711=0,$P$708=0),"",$L$711-1),IF($R$17="Distrato",$E1060,0))),0,YEARFRAC(MAX($P$708*($B1060+IF($R$17="Distrato",$I$38-1,0)),IF(AND($L$711=0,$P$708=0),"",$L$711-1),IF($R$17="Distrato",$E1060,0)),MIN(AN$38,$D$19),$P$20))-SUM($P1060:AM1060)</f>
        <v>#VALUE!</v>
      </c>
      <c r="AO1060" s="446" t="e">
        <f>IF(OR($B1060="",MIN(AO$38,$D$19)&lt;MAX($P$708*($B1060+IF($R$17="Distrato",$I$38-1,0)),IF(AND($L$711=0,$P$708=0),"",$L$711-1),IF($R$17="Distrato",$E1060,0))),0,YEARFRAC(MAX($P$708*($B1060+IF($R$17="Distrato",$I$38-1,0)),IF(AND($L$711=0,$P$708=0),"",$L$711-1),IF($R$17="Distrato",$E1060,0)),MIN(AO$38,$D$19),$P$20))-SUM($P1060:AN1060)</f>
        <v>#VALUE!</v>
      </c>
      <c r="AP1060" s="446" t="e">
        <f>IF(OR($B1060="",MIN(AP$38,$D$19)&lt;MAX($P$708*($B1060+IF($R$17="Distrato",$I$38-1,0)),IF(AND($L$711=0,$P$708=0),"",$L$711-1),IF($R$17="Distrato",$E1060,0))),0,YEARFRAC(MAX($P$708*($B1060+IF($R$17="Distrato",$I$38-1,0)),IF(AND($L$711=0,$P$708=0),"",$L$711-1),IF($R$17="Distrato",$E1060,0)),MIN(AP$38,$D$19),$P$20))-SUM($P1060:AO1060)</f>
        <v>#VALUE!</v>
      </c>
      <c r="AQ1060" s="446" t="e">
        <f>IF(OR($B1060="",MIN(AQ$38,$D$19)&lt;MAX($P$708*($B1060+IF($R$17="Distrato",$I$38-1,0)),IF(AND($L$711=0,$P$708=0),"",$L$711-1),IF($R$17="Distrato",$E1060,0))),0,YEARFRAC(MAX($P$708*($B1060+IF($R$17="Distrato",$I$38-1,0)),IF(AND($L$711=0,$P$708=0),"",$L$711-1),IF($R$17="Distrato",$E1060,0)),MIN(AQ$38,$D$19),$P$20))-SUM($P1060:AP1060)</f>
        <v>#VALUE!</v>
      </c>
      <c r="AR1060" s="446" t="e">
        <f>IF(OR($B1060="",MIN(AR$38,$D$19)&lt;MAX($P$708*($B1060+IF($R$17="Distrato",$I$38-1,0)),IF(AND($L$711=0,$P$708=0),"",$L$711-1),IF($R$17="Distrato",$E1060,0))),0,YEARFRAC(MAX($P$708*($B1060+IF($R$17="Distrato",$I$38-1,0)),IF(AND($L$711=0,$P$708=0),"",$L$711-1),IF($R$17="Distrato",$E1060,0)),MIN(AR$38,$D$19),$P$20))-SUM($P1060:AQ1060)</f>
        <v>#VALUE!</v>
      </c>
      <c r="AS1060" s="446" t="e">
        <f>IF(OR($B1060="",MIN(AS$38,$D$19)&lt;MAX($P$708*($B1060+IF($R$17="Distrato",$I$38-1,0)),IF(AND($L$711=0,$P$708=0),"",$L$711-1),IF($R$17="Distrato",$E1060,0))),0,YEARFRAC(MAX($P$708*($B1060+IF($R$17="Distrato",$I$38-1,0)),IF(AND($L$711=0,$P$708=0),"",$L$711-1),IF($R$17="Distrato",$E1060,0)),MIN(AS$38,$D$19),$P$20))-SUM($P1060:AR1060)</f>
        <v>#VALUE!</v>
      </c>
      <c r="AT1060" s="446" t="e">
        <f>IF(OR($B1060="",MIN(AT$38,$D$19)&lt;MAX($P$708*($B1060+IF($R$17="Distrato",$I$38-1,0)),IF(AND($L$711=0,$P$708=0),"",$L$711-1),IF($R$17="Distrato",$E1060,0))),0,YEARFRAC(MAX($P$708*($B1060+IF($R$17="Distrato",$I$38-1,0)),IF(AND($L$711=0,$P$708=0),"",$L$711-1),IF($R$17="Distrato",$E1060,0)),MIN(AT$38,$D$19),$P$20))-SUM($P1060:AS1060)</f>
        <v>#VALUE!</v>
      </c>
      <c r="AU1060" s="446" t="e">
        <f>IF(OR($B1060="",MIN(AU$38,$D$19)&lt;MAX($P$708*($B1060+IF($R$17="Distrato",$I$38-1,0)),IF(AND($L$711=0,$P$708=0),"",$L$711-1),IF($R$17="Distrato",$E1060,0))),0,YEARFRAC(MAX($P$708*($B1060+IF($R$17="Distrato",$I$38-1,0)),IF(AND($L$711=0,$P$708=0),"",$L$711-1),IF($R$17="Distrato",$E1060,0)),MIN(AU$38,$D$19),$P$20))-SUM($P1060:AT1060)</f>
        <v>#VALUE!</v>
      </c>
      <c r="AV1060" s="446" t="e">
        <f>IF(OR($B1060="",MIN(AV$38,$D$19)&lt;MAX($P$708*($B1060+IF($R$17="Distrato",$I$38-1,0)),IF(AND($L$711=0,$P$708=0),"",$L$711-1),IF($R$17="Distrato",$E1060,0))),0,YEARFRAC(MAX($P$708*($B1060+IF($R$17="Distrato",$I$38-1,0)),IF(AND($L$711=0,$P$708=0),"",$L$711-1),IF($R$17="Distrato",$E1060,0)),MIN(AV$38,$D$19),$P$20))-SUM($P1060:AU1060)</f>
        <v>#VALUE!</v>
      </c>
      <c r="AW1060" s="446" t="e">
        <f>IF(OR($B1060="",MIN(AW$38,$D$19)&lt;MAX($P$708*($B1060+IF($R$17="Distrato",$I$38-1,0)),IF(AND($L$711=0,$P$708=0),"",$L$711-1),IF($R$17="Distrato",$E1060,0))),0,YEARFRAC(MAX($P$708*($B1060+IF($R$17="Distrato",$I$38-1,0)),IF(AND($L$711=0,$P$708=0),"",$L$711-1),IF($R$17="Distrato",$E1060,0)),MIN(AW$38,$D$19),$P$20))-SUM($P1060:AV1060)</f>
        <v>#VALUE!</v>
      </c>
      <c r="AX1060" s="446" t="e">
        <f>IF(OR($B1060="",MIN(AX$38,$D$19)&lt;MAX($P$708*($B1060+IF($R$17="Distrato",$I$38-1,0)),IF(AND($L$711=0,$P$708=0),"",$L$711-1),IF($R$17="Distrato",$E1060,0))),0,YEARFRAC(MAX($P$708*($B1060+IF($R$17="Distrato",$I$38-1,0)),IF(AND($L$711=0,$P$708=0),"",$L$711-1),IF($R$17="Distrato",$E1060,0)),MIN(AX$38,$D$19),$P$20))-SUM($P1060:AW1060)</f>
        <v>#VALUE!</v>
      </c>
      <c r="AY1060" s="446" t="e">
        <f>IF(OR($B1060="",MIN(AY$38,$D$19)&lt;MAX($P$708*($B1060+IF($R$17="Distrato",$I$38-1,0)),IF(AND($L$711=0,$P$708=0),"",$L$711-1),IF($R$17="Distrato",$E1060,0))),0,YEARFRAC(MAX($P$708*($B1060+IF($R$17="Distrato",$I$38-1,0)),IF(AND($L$711=0,$P$708=0),"",$L$711-1),IF($R$17="Distrato",$E1060,0)),MIN(AY$38,$D$19),$P$20))-SUM($P1060:AX1060)</f>
        <v>#VALUE!</v>
      </c>
      <c r="AZ1060" s="446" t="e">
        <f>IF(OR($B1060="",MIN(AZ$38,$D$19)&lt;MAX($P$708*($B1060+IF($R$17="Distrato",$I$38-1,0)),IF(AND($L$711=0,$P$708=0),"",$L$711-1),IF($R$17="Distrato",$E1060,0))),0,YEARFRAC(MAX($P$708*($B1060+IF($R$17="Distrato",$I$38-1,0)),IF(AND($L$711=0,$P$708=0),"",$L$711-1),IF($R$17="Distrato",$E1060,0)),MIN(AZ$38,$D$19),$P$20))-SUM($P1060:AY1060)</f>
        <v>#VALUE!</v>
      </c>
      <c r="BA1060" s="446" t="e">
        <f>IF(OR($B1060="",MIN(BA$38,$D$19)&lt;MAX($P$708*($B1060+IF($R$17="Distrato",$I$38-1,0)),IF(AND($L$711=0,$P$708=0),"",$L$711-1),IF($R$17="Distrato",$E1060,0))),0,YEARFRAC(MAX($P$708*($B1060+IF($R$17="Distrato",$I$38-1,0)),IF(AND($L$711=0,$P$708=0),"",$L$711-1),IF($R$17="Distrato",$E1060,0)),MIN(BA$38,$D$19),$P$20))-SUM($P1060:AZ1060)</f>
        <v>#VALUE!</v>
      </c>
      <c r="BB1060" s="447"/>
    </row>
    <row r="1061" spans="1:54" s="446" customFormat="1" ht="11.25" hidden="1" customHeight="1" x14ac:dyDescent="0.2">
      <c r="A1061" s="235"/>
      <c r="B1061" s="236"/>
      <c r="C1061" s="29" t="str">
        <f>IF(B1061="","",IF($L$709=$BL$25,VLOOKUP(DATE(YEAR($D$19),MONTH($D$19)-1,1),ÍNDICES!$A:$DE,HLOOKUP($BL$25,ÍNDICES!$B$3:$T$4,2)+11)-VLOOKUP(B1061,ÍNDICES!$A:$DE,HLOOKUP($BL$25,ÍNDICES!$B$3:$T$4,2)+11)+1%,IF(C$712=$W$26,$J$35,IF(ISERROR(IF(B1061&gt;$D$19,1,VLOOKUP(DATE(YEAR(B1061),MONTH(B1061)+IF($C$709=$S$23,1,0),1),ÍNDICES!$A:$DE,$Z$709+1))),"",IF(B1061&gt;$D$19,1,VLOOKUP(DATE(YEAR(B1061),MONTH(B1061)+IF($C$709=$S$23,1,0),1),ÍNDICES!$A:$DE,$Z$709+1))))))</f>
        <v/>
      </c>
      <c r="D1061" s="155"/>
      <c r="E1061" s="88"/>
      <c r="F1061" s="88"/>
      <c r="G1061" s="88"/>
      <c r="H1061" s="118"/>
      <c r="I1061" s="182">
        <f t="shared" si="150"/>
        <v>0</v>
      </c>
      <c r="J1061" s="20">
        <f t="shared" ca="1" si="151"/>
        <v>0</v>
      </c>
      <c r="K1061" s="5">
        <f t="shared" ca="1" si="152"/>
        <v>0</v>
      </c>
      <c r="L1061" s="61">
        <f t="shared" ca="1" si="153"/>
        <v>0</v>
      </c>
      <c r="M1061" s="64">
        <f t="shared" si="154"/>
        <v>0</v>
      </c>
      <c r="N1061" s="151"/>
      <c r="O1061" s="5">
        <f t="shared" ca="1" si="155"/>
        <v>0</v>
      </c>
      <c r="P1061" s="446" t="e">
        <f t="shared" si="156"/>
        <v>#VALUE!</v>
      </c>
      <c r="Q1061" s="446" t="e">
        <f>IF(OR($B1061="",MIN(Q$38,$D$19)&lt;MAX($P$708*($B1061+IF($R$17="Distrato",$I$38-1,0)),IF(AND($L$711=0,$P$708=0),"",$L$711-1),IF($R$17="Distrato",$E1061,0))),0,YEARFRAC(MAX($P$708*($B1061+IF($R$17="Distrato",$I$38-1,0)),IF(AND($L$711=0,$P$708=0),"",$L$711-1),IF($R$17="Distrato",$E1061,0)),MIN(Q$38,$D$19),$P$20))-SUM($P1061:P1061)</f>
        <v>#VALUE!</v>
      </c>
      <c r="R1061" s="446" t="e">
        <f>IF(OR($B1061="",MIN(R$38,$D$19)&lt;MAX($P$708*($B1061+IF($R$17="Distrato",$I$38-1,0)),IF(AND($L$711=0,$P$708=0),"",$L$711-1),IF($R$17="Distrato",$E1061,0))),0,YEARFRAC(MAX($P$708*($B1061+IF($R$17="Distrato",$I$38-1,0)),IF(AND($L$711=0,$P$708=0),"",$L$711-1),IF($R$17="Distrato",$E1061,0)),MIN(R$38,$D$19),$P$20))-SUM($P1061:Q1061)</f>
        <v>#VALUE!</v>
      </c>
      <c r="S1061" s="446" t="e">
        <f>IF(OR($B1061="",MIN(S$38,$D$19)&lt;MAX($P$708*($B1061+IF($R$17="Distrato",$I$38-1,0)),IF(AND($L$711=0,$P$708=0),"",$L$711-1),IF($R$17="Distrato",$E1061,0))),0,YEARFRAC(MAX($P$708*($B1061+IF($R$17="Distrato",$I$38-1,0)),IF(AND($L$711=0,$P$708=0),"",$L$711-1),IF($R$17="Distrato",$E1061,0)),MIN(S$38,$D$19),$P$20))-SUM($P1061:R1061)</f>
        <v>#VALUE!</v>
      </c>
      <c r="T1061" s="446" t="e">
        <f>IF(OR($B1061="",MIN(T$38,$D$19)&lt;MAX($P$708*($B1061+IF($R$17="Distrato",$I$38-1,0)),IF(AND($L$711=0,$P$708=0),"",$L$711-1),IF($R$17="Distrato",$E1061,0))),0,YEARFRAC(MAX($P$708*($B1061+IF($R$17="Distrato",$I$38-1,0)),IF(AND($L$711=0,$P$708=0),"",$L$711-1),IF($R$17="Distrato",$E1061,0)),MIN(T$38,$D$19),$P$20))-SUM($P1061:S1061)</f>
        <v>#VALUE!</v>
      </c>
      <c r="U1061" s="446" t="e">
        <f>IF(OR($B1061="",MIN(U$38,$D$19)&lt;MAX($P$708*($B1061+IF($R$17="Distrato",$I$38-1,0)),IF(AND($L$711=0,$P$708=0),"",$L$711-1),IF($R$17="Distrato",$E1061,0))),0,YEARFRAC(MAX($P$708*($B1061+IF($R$17="Distrato",$I$38-1,0)),IF(AND($L$711=0,$P$708=0),"",$L$711-1),IF($R$17="Distrato",$E1061,0)),MIN(U$38,$D$19),$P$20))-SUM($P1061:T1061)</f>
        <v>#VALUE!</v>
      </c>
      <c r="V1061" s="446" t="e">
        <f>IF(OR($B1061="",MIN(V$38,$D$19)&lt;MAX($P$708*($B1061+IF($R$17="Distrato",$I$38-1,0)),IF(AND($L$711=0,$P$708=0),"",$L$711-1),IF($R$17="Distrato",$E1061,0))),0,YEARFRAC(MAX($P$708*($B1061+IF($R$17="Distrato",$I$38-1,0)),IF(AND($L$711=0,$P$708=0),"",$L$711-1),IF($R$17="Distrato",$E1061,0)),MIN(V$38,$D$19),$P$20))-SUM($P1061:U1061)</f>
        <v>#VALUE!</v>
      </c>
      <c r="W1061" s="446" t="e">
        <f>IF(OR($B1061="",MIN(W$38,$D$19)&lt;MAX($P$708*($B1061+IF($R$17="Distrato",$I$38-1,0)),IF(AND($L$711=0,$P$708=0),"",$L$711-1),IF($R$17="Distrato",$E1061,0))),0,YEARFRAC(MAX($P$708*($B1061+IF($R$17="Distrato",$I$38-1,0)),IF(AND($L$711=0,$P$708=0),"",$L$711-1),IF($R$17="Distrato",$E1061,0)),MIN(W$38,$D$19),$P$20))-SUM($P1061:V1061)</f>
        <v>#VALUE!</v>
      </c>
      <c r="X1061" s="446" t="e">
        <f>IF(OR($B1061="",MIN(X$38,$D$19)&lt;MAX($P$708*($B1061+IF($R$17="Distrato",$I$38-1,0)),IF(AND($L$711=0,$P$708=0),"",$L$711-1),IF($R$17="Distrato",$E1061,0))),0,YEARFRAC(MAX($P$708*($B1061+IF($R$17="Distrato",$I$38-1,0)),IF(AND($L$711=0,$P$708=0),"",$L$711-1),IF($R$17="Distrato",$E1061,0)),MIN(X$38,$D$19),$P$20))-SUM($P1061:W1061)</f>
        <v>#VALUE!</v>
      </c>
      <c r="Y1061" s="446" t="e">
        <f>IF(OR($B1061="",MIN(Y$38,$D$19)&lt;MAX($P$708*($B1061+IF($R$17="Distrato",$I$38-1,0)),IF(AND($L$711=0,$P$708=0),"",$L$711-1),IF($R$17="Distrato",$E1061,0))),0,YEARFRAC(MAX($P$708*($B1061+IF($R$17="Distrato",$I$38-1,0)),IF(AND($L$711=0,$P$708=0),"",$L$711-1),IF($R$17="Distrato",$E1061,0)),MIN(Y$38,$D$19),$P$20))-SUM($P1061:X1061)</f>
        <v>#VALUE!</v>
      </c>
      <c r="Z1061" s="446" t="e">
        <f>IF(OR($B1061="",MIN(Z$38,$D$19)&lt;MAX($P$708*($B1061+IF($R$17="Distrato",$I$38-1,0)),IF(AND($L$711=0,$P$708=0),"",$L$711-1),IF($R$17="Distrato",$E1061,0))),0,YEARFRAC(MAX($P$708*($B1061+IF($R$17="Distrato",$I$38-1,0)),IF(AND($L$711=0,$P$708=0),"",$L$711-1),IF($R$17="Distrato",$E1061,0)),MIN(Z$38,$D$19),$P$20))-SUM($P1061:Y1061)</f>
        <v>#VALUE!</v>
      </c>
      <c r="AA1061" s="446" t="e">
        <f>IF(OR($B1061="",MIN(AA$38,$D$19)&lt;MAX($P$708*($B1061+IF($R$17="Distrato",$I$38-1,0)),IF(AND($L$711=0,$P$708=0),"",$L$711-1),IF($R$17="Distrato",$E1061,0))),0,YEARFRAC(MAX($P$708*($B1061+IF($R$17="Distrato",$I$38-1,0)),IF(AND($L$711=0,$P$708=0),"",$L$711-1),IF($R$17="Distrato",$E1061,0)),MIN(AA$38,$D$19),$P$20))-SUM($P1061:Z1061)</f>
        <v>#VALUE!</v>
      </c>
      <c r="AB1061" s="446" t="e">
        <f>IF(OR($B1061="",MIN(AB$38,$D$19)&lt;MAX($P$708*($B1061+IF($R$17="Distrato",$I$38-1,0)),IF(AND($L$711=0,$P$708=0),"",$L$711-1),IF($R$17="Distrato",$E1061,0))),0,YEARFRAC(MAX($P$708*($B1061+IF($R$17="Distrato",$I$38-1,0)),IF(AND($L$711=0,$P$708=0),"",$L$711-1),IF($R$17="Distrato",$E1061,0)),MIN(AB$38,$D$19),$P$20))-SUM($P1061:AA1061)</f>
        <v>#VALUE!</v>
      </c>
      <c r="AC1061" s="446" t="e">
        <f>IF(OR($B1061="",MIN(AC$38,$D$19)&lt;MAX($P$708*($B1061+IF($R$17="Distrato",$I$38-1,0)),IF(AND($L$711=0,$P$708=0),"",$L$711-1),IF($R$17="Distrato",$E1061,0))),0,YEARFRAC(MAX($P$708*($B1061+IF($R$17="Distrato",$I$38-1,0)),IF(AND($L$711=0,$P$708=0),"",$L$711-1),IF($R$17="Distrato",$E1061,0)),MIN(AC$38,$D$19),$P$20))-SUM($P1061:AB1061)</f>
        <v>#VALUE!</v>
      </c>
      <c r="AD1061" s="446" t="e">
        <f>IF(OR($B1061="",MIN(AD$38,$D$19)&lt;MAX($P$708*($B1061+IF($R$17="Distrato",$I$38-1,0)),IF(AND($L$711=0,$P$708=0),"",$L$711-1),IF($R$17="Distrato",$E1061,0))),0,YEARFRAC(MAX($P$708*($B1061+IF($R$17="Distrato",$I$38-1,0)),IF(AND($L$711=0,$P$708=0),"",$L$711-1),IF($R$17="Distrato",$E1061,0)),MIN(AD$38,$D$19),$P$20))-SUM($P1061:AC1061)</f>
        <v>#VALUE!</v>
      </c>
      <c r="AE1061" s="446" t="e">
        <f>IF(OR($B1061="",MIN(AE$38,$D$19)&lt;MAX($P$708*($B1061+IF($R$17="Distrato",$I$38-1,0)),IF(AND($L$711=0,$P$708=0),"",$L$711-1),IF($R$17="Distrato",$E1061,0))),0,YEARFRAC(MAX($P$708*($B1061+IF($R$17="Distrato",$I$38-1,0)),IF(AND($L$711=0,$P$708=0),"",$L$711-1),IF($R$17="Distrato",$E1061,0)),MIN(AE$38,$D$19),$P$20))-SUM($P1061:AD1061)</f>
        <v>#VALUE!</v>
      </c>
      <c r="AF1061" s="446" t="e">
        <f>IF(OR($B1061="",MIN(AF$38,$D$19)&lt;MAX($P$708*($B1061+IF($R$17="Distrato",$I$38-1,0)),IF(AND($L$711=0,$P$708=0),"",$L$711-1),IF($R$17="Distrato",$E1061,0))),0,YEARFRAC(MAX($P$708*($B1061+IF($R$17="Distrato",$I$38-1,0)),IF(AND($L$711=0,$P$708=0),"",$L$711-1),IF($R$17="Distrato",$E1061,0)),MIN(AF$38,$D$19),$P$20))-SUM($P1061:AE1061)</f>
        <v>#VALUE!</v>
      </c>
      <c r="AG1061" s="446" t="e">
        <f>IF(OR($B1061="",MIN(AG$38,$D$19)&lt;MAX($P$708*($B1061+IF($R$17="Distrato",$I$38-1,0)),IF(AND($L$711=0,$P$708=0),"",$L$711-1),IF($R$17="Distrato",$E1061,0))),0,YEARFRAC(MAX($P$708*($B1061+IF($R$17="Distrato",$I$38-1,0)),IF(AND($L$711=0,$P$708=0),"",$L$711-1),IF($R$17="Distrato",$E1061,0)),MIN(AG$38,$D$19),$P$20))-SUM($P1061:AF1061)</f>
        <v>#VALUE!</v>
      </c>
      <c r="AH1061" s="446" t="e">
        <f>IF(OR($B1061="",MIN(AH$38,$D$19)&lt;MAX($P$708*($B1061+IF($R$17="Distrato",$I$38-1,0)),IF(AND($L$711=0,$P$708=0),"",$L$711-1),IF($R$17="Distrato",$E1061,0))),0,YEARFRAC(MAX($P$708*($B1061+IF($R$17="Distrato",$I$38-1,0)),IF(AND($L$711=0,$P$708=0),"",$L$711-1),IF($R$17="Distrato",$E1061,0)),MIN(AH$38,$D$19),$P$20))-SUM($P1061:AG1061)</f>
        <v>#VALUE!</v>
      </c>
      <c r="AI1061" s="446" t="e">
        <f>IF(OR($B1061="",MIN(AI$38,$D$19)&lt;MAX($P$708*($B1061+IF($R$17="Distrato",$I$38-1,0)),IF(AND($L$711=0,$P$708=0),"",$L$711-1),IF($R$17="Distrato",$E1061,0))),0,YEARFRAC(MAX($P$708*($B1061+IF($R$17="Distrato",$I$38-1,0)),IF(AND($L$711=0,$P$708=0),"",$L$711-1),IF($R$17="Distrato",$E1061,0)),MIN(AI$38,$D$19),$P$20))-SUM($P1061:AH1061)</f>
        <v>#VALUE!</v>
      </c>
      <c r="AJ1061" s="446" t="e">
        <f>IF(OR($B1061="",MIN(AJ$38,$D$19)&lt;MAX($P$708*($B1061+IF($R$17="Distrato",$I$38-1,0)),IF(AND($L$711=0,$P$708=0),"",$L$711-1),IF($R$17="Distrato",$E1061,0))),0,YEARFRAC(MAX($P$708*($B1061+IF($R$17="Distrato",$I$38-1,0)),IF(AND($L$711=0,$P$708=0),"",$L$711-1),IF($R$17="Distrato",$E1061,0)),MIN(AJ$38,$D$19),$P$20))-SUM($P1061:AI1061)</f>
        <v>#VALUE!</v>
      </c>
      <c r="AK1061" s="446" t="e">
        <f>IF(OR($B1061="",MIN(AK$38,$D$19)&lt;MAX($P$708*($B1061+IF($R$17="Distrato",$I$38-1,0)),IF(AND($L$711=0,$P$708=0),"",$L$711-1),IF($R$17="Distrato",$E1061,0))),0,YEARFRAC(MAX($P$708*($B1061+IF($R$17="Distrato",$I$38-1,0)),IF(AND($L$711=0,$P$708=0),"",$L$711-1),IF($R$17="Distrato",$E1061,0)),MIN(AK$38,$D$19),$P$20))-SUM($P1061:AJ1061)</f>
        <v>#VALUE!</v>
      </c>
      <c r="AL1061" s="446" t="e">
        <f>IF(OR($B1061="",MIN(AL$38,$D$19)&lt;MAX($P$708*($B1061+IF($R$17="Distrato",$I$38-1,0)),IF(AND($L$711=0,$P$708=0),"",$L$711-1),IF($R$17="Distrato",$E1061,0))),0,YEARFRAC(MAX($P$708*($B1061+IF($R$17="Distrato",$I$38-1,0)),IF(AND($L$711=0,$P$708=0),"",$L$711-1),IF($R$17="Distrato",$E1061,0)),MIN(AL$38,$D$19),$P$20))-SUM($P1061:AK1061)</f>
        <v>#VALUE!</v>
      </c>
      <c r="AM1061" s="446" t="e">
        <f>IF(OR($B1061="",MIN(AM$38,$D$19)&lt;MAX($P$708*($B1061+IF($R$17="Distrato",$I$38-1,0)),IF(AND($L$711=0,$P$708=0),"",$L$711-1),IF($R$17="Distrato",$E1061,0))),0,YEARFRAC(MAX($P$708*($B1061+IF($R$17="Distrato",$I$38-1,0)),IF(AND($L$711=0,$P$708=0),"",$L$711-1),IF($R$17="Distrato",$E1061,0)),MIN(AM$38,$D$19),$P$20))-SUM($P1061:AL1061)</f>
        <v>#VALUE!</v>
      </c>
      <c r="AN1061" s="446" t="e">
        <f>IF(OR($B1061="",MIN(AN$38,$D$19)&lt;MAX($P$708*($B1061+IF($R$17="Distrato",$I$38-1,0)),IF(AND($L$711=0,$P$708=0),"",$L$711-1),IF($R$17="Distrato",$E1061,0))),0,YEARFRAC(MAX($P$708*($B1061+IF($R$17="Distrato",$I$38-1,0)),IF(AND($L$711=0,$P$708=0),"",$L$711-1),IF($R$17="Distrato",$E1061,0)),MIN(AN$38,$D$19),$P$20))-SUM($P1061:AM1061)</f>
        <v>#VALUE!</v>
      </c>
      <c r="AO1061" s="446" t="e">
        <f>IF(OR($B1061="",MIN(AO$38,$D$19)&lt;MAX($P$708*($B1061+IF($R$17="Distrato",$I$38-1,0)),IF(AND($L$711=0,$P$708=0),"",$L$711-1),IF($R$17="Distrato",$E1061,0))),0,YEARFRAC(MAX($P$708*($B1061+IF($R$17="Distrato",$I$38-1,0)),IF(AND($L$711=0,$P$708=0),"",$L$711-1),IF($R$17="Distrato",$E1061,0)),MIN(AO$38,$D$19),$P$20))-SUM($P1061:AN1061)</f>
        <v>#VALUE!</v>
      </c>
      <c r="AP1061" s="446" t="e">
        <f>IF(OR($B1061="",MIN(AP$38,$D$19)&lt;MAX($P$708*($B1061+IF($R$17="Distrato",$I$38-1,0)),IF(AND($L$711=0,$P$708=0),"",$L$711-1),IF($R$17="Distrato",$E1061,0))),0,YEARFRAC(MAX($P$708*($B1061+IF($R$17="Distrato",$I$38-1,0)),IF(AND($L$711=0,$P$708=0),"",$L$711-1),IF($R$17="Distrato",$E1061,0)),MIN(AP$38,$D$19),$P$20))-SUM($P1061:AO1061)</f>
        <v>#VALUE!</v>
      </c>
      <c r="AQ1061" s="446" t="e">
        <f>IF(OR($B1061="",MIN(AQ$38,$D$19)&lt;MAX($P$708*($B1061+IF($R$17="Distrato",$I$38-1,0)),IF(AND($L$711=0,$P$708=0),"",$L$711-1),IF($R$17="Distrato",$E1061,0))),0,YEARFRAC(MAX($P$708*($B1061+IF($R$17="Distrato",$I$38-1,0)),IF(AND($L$711=0,$P$708=0),"",$L$711-1),IF($R$17="Distrato",$E1061,0)),MIN(AQ$38,$D$19),$P$20))-SUM($P1061:AP1061)</f>
        <v>#VALUE!</v>
      </c>
      <c r="AR1061" s="446" t="e">
        <f>IF(OR($B1061="",MIN(AR$38,$D$19)&lt;MAX($P$708*($B1061+IF($R$17="Distrato",$I$38-1,0)),IF(AND($L$711=0,$P$708=0),"",$L$711-1),IF($R$17="Distrato",$E1061,0))),0,YEARFRAC(MAX($P$708*($B1061+IF($R$17="Distrato",$I$38-1,0)),IF(AND($L$711=0,$P$708=0),"",$L$711-1),IF($R$17="Distrato",$E1061,0)),MIN(AR$38,$D$19),$P$20))-SUM($P1061:AQ1061)</f>
        <v>#VALUE!</v>
      </c>
      <c r="AS1061" s="446" t="e">
        <f>IF(OR($B1061="",MIN(AS$38,$D$19)&lt;MAX($P$708*($B1061+IF($R$17="Distrato",$I$38-1,0)),IF(AND($L$711=0,$P$708=0),"",$L$711-1),IF($R$17="Distrato",$E1061,0))),0,YEARFRAC(MAX($P$708*($B1061+IF($R$17="Distrato",$I$38-1,0)),IF(AND($L$711=0,$P$708=0),"",$L$711-1),IF($R$17="Distrato",$E1061,0)),MIN(AS$38,$D$19),$P$20))-SUM($P1061:AR1061)</f>
        <v>#VALUE!</v>
      </c>
      <c r="AT1061" s="446" t="e">
        <f>IF(OR($B1061="",MIN(AT$38,$D$19)&lt;MAX($P$708*($B1061+IF($R$17="Distrato",$I$38-1,0)),IF(AND($L$711=0,$P$708=0),"",$L$711-1),IF($R$17="Distrato",$E1061,0))),0,YEARFRAC(MAX($P$708*($B1061+IF($R$17="Distrato",$I$38-1,0)),IF(AND($L$711=0,$P$708=0),"",$L$711-1),IF($R$17="Distrato",$E1061,0)),MIN(AT$38,$D$19),$P$20))-SUM($P1061:AS1061)</f>
        <v>#VALUE!</v>
      </c>
      <c r="AU1061" s="446" t="e">
        <f>IF(OR($B1061="",MIN(AU$38,$D$19)&lt;MAX($P$708*($B1061+IF($R$17="Distrato",$I$38-1,0)),IF(AND($L$711=0,$P$708=0),"",$L$711-1),IF($R$17="Distrato",$E1061,0))),0,YEARFRAC(MAX($P$708*($B1061+IF($R$17="Distrato",$I$38-1,0)),IF(AND($L$711=0,$P$708=0),"",$L$711-1),IF($R$17="Distrato",$E1061,0)),MIN(AU$38,$D$19),$P$20))-SUM($P1061:AT1061)</f>
        <v>#VALUE!</v>
      </c>
      <c r="AV1061" s="446" t="e">
        <f>IF(OR($B1061="",MIN(AV$38,$D$19)&lt;MAX($P$708*($B1061+IF($R$17="Distrato",$I$38-1,0)),IF(AND($L$711=0,$P$708=0),"",$L$711-1),IF($R$17="Distrato",$E1061,0))),0,YEARFRAC(MAX($P$708*($B1061+IF($R$17="Distrato",$I$38-1,0)),IF(AND($L$711=0,$P$708=0),"",$L$711-1),IF($R$17="Distrato",$E1061,0)),MIN(AV$38,$D$19),$P$20))-SUM($P1061:AU1061)</f>
        <v>#VALUE!</v>
      </c>
      <c r="AW1061" s="446" t="e">
        <f>IF(OR($B1061="",MIN(AW$38,$D$19)&lt;MAX($P$708*($B1061+IF($R$17="Distrato",$I$38-1,0)),IF(AND($L$711=0,$P$708=0),"",$L$711-1),IF($R$17="Distrato",$E1061,0))),0,YEARFRAC(MAX($P$708*($B1061+IF($R$17="Distrato",$I$38-1,0)),IF(AND($L$711=0,$P$708=0),"",$L$711-1),IF($R$17="Distrato",$E1061,0)),MIN(AW$38,$D$19),$P$20))-SUM($P1061:AV1061)</f>
        <v>#VALUE!</v>
      </c>
      <c r="AX1061" s="446" t="e">
        <f>IF(OR($B1061="",MIN(AX$38,$D$19)&lt;MAX($P$708*($B1061+IF($R$17="Distrato",$I$38-1,0)),IF(AND($L$711=0,$P$708=0),"",$L$711-1),IF($R$17="Distrato",$E1061,0))),0,YEARFRAC(MAX($P$708*($B1061+IF($R$17="Distrato",$I$38-1,0)),IF(AND($L$711=0,$P$708=0),"",$L$711-1),IF($R$17="Distrato",$E1061,0)),MIN(AX$38,$D$19),$P$20))-SUM($P1061:AW1061)</f>
        <v>#VALUE!</v>
      </c>
      <c r="AY1061" s="446" t="e">
        <f>IF(OR($B1061="",MIN(AY$38,$D$19)&lt;MAX($P$708*($B1061+IF($R$17="Distrato",$I$38-1,0)),IF(AND($L$711=0,$P$708=0),"",$L$711-1),IF($R$17="Distrato",$E1061,0))),0,YEARFRAC(MAX($P$708*($B1061+IF($R$17="Distrato",$I$38-1,0)),IF(AND($L$711=0,$P$708=0),"",$L$711-1),IF($R$17="Distrato",$E1061,0)),MIN(AY$38,$D$19),$P$20))-SUM($P1061:AX1061)</f>
        <v>#VALUE!</v>
      </c>
      <c r="AZ1061" s="446" t="e">
        <f>IF(OR($B1061="",MIN(AZ$38,$D$19)&lt;MAX($P$708*($B1061+IF($R$17="Distrato",$I$38-1,0)),IF(AND($L$711=0,$P$708=0),"",$L$711-1),IF($R$17="Distrato",$E1061,0))),0,YEARFRAC(MAX($P$708*($B1061+IF($R$17="Distrato",$I$38-1,0)),IF(AND($L$711=0,$P$708=0),"",$L$711-1),IF($R$17="Distrato",$E1061,0)),MIN(AZ$38,$D$19),$P$20))-SUM($P1061:AY1061)</f>
        <v>#VALUE!</v>
      </c>
      <c r="BA1061" s="446" t="e">
        <f>IF(OR($B1061="",MIN(BA$38,$D$19)&lt;MAX($P$708*($B1061+IF($R$17="Distrato",$I$38-1,0)),IF(AND($L$711=0,$P$708=0),"",$L$711-1),IF($R$17="Distrato",$E1061,0))),0,YEARFRAC(MAX($P$708*($B1061+IF($R$17="Distrato",$I$38-1,0)),IF(AND($L$711=0,$P$708=0),"",$L$711-1),IF($R$17="Distrato",$E1061,0)),MIN(BA$38,$D$19),$P$20))-SUM($P1061:AZ1061)</f>
        <v>#VALUE!</v>
      </c>
      <c r="BB1061" s="447"/>
    </row>
    <row r="1062" spans="1:54" s="446" customFormat="1" ht="11.25" hidden="1" customHeight="1" x14ac:dyDescent="0.2">
      <c r="A1062" s="235"/>
      <c r="B1062" s="236"/>
      <c r="C1062" s="29" t="str">
        <f>IF(B1062="","",IF($L$709=$BL$25,VLOOKUP(DATE(YEAR($D$19),MONTH($D$19)-1,1),ÍNDICES!$A:$DE,HLOOKUP($BL$25,ÍNDICES!$B$3:$T$4,2)+11)-VLOOKUP(B1062,ÍNDICES!$A:$DE,HLOOKUP($BL$25,ÍNDICES!$B$3:$T$4,2)+11)+1%,IF(C$712=$W$26,$J$35,IF(ISERROR(IF(B1062&gt;$D$19,1,VLOOKUP(DATE(YEAR(B1062),MONTH(B1062)+IF($C$709=$S$23,1,0),1),ÍNDICES!$A:$DE,$Z$709+1))),"",IF(B1062&gt;$D$19,1,VLOOKUP(DATE(YEAR(B1062),MONTH(B1062)+IF($C$709=$S$23,1,0),1),ÍNDICES!$A:$DE,$Z$709+1))))))</f>
        <v/>
      </c>
      <c r="D1062" s="155"/>
      <c r="E1062" s="88"/>
      <c r="F1062" s="88"/>
      <c r="G1062" s="88"/>
      <c r="H1062" s="118"/>
      <c r="I1062" s="182">
        <f t="shared" si="150"/>
        <v>0</v>
      </c>
      <c r="J1062" s="20">
        <f t="shared" ca="1" si="151"/>
        <v>0</v>
      </c>
      <c r="K1062" s="5">
        <f t="shared" ca="1" si="152"/>
        <v>0</v>
      </c>
      <c r="L1062" s="61">
        <f t="shared" ca="1" si="153"/>
        <v>0</v>
      </c>
      <c r="M1062" s="64">
        <f t="shared" si="154"/>
        <v>0</v>
      </c>
      <c r="N1062" s="151"/>
      <c r="O1062" s="5">
        <f t="shared" ca="1" si="155"/>
        <v>0</v>
      </c>
      <c r="P1062" s="446" t="e">
        <f t="shared" si="156"/>
        <v>#VALUE!</v>
      </c>
      <c r="Q1062" s="446" t="e">
        <f>IF(OR($B1062="",MIN(Q$38,$D$19)&lt;MAX($P$708*($B1062+IF($R$17="Distrato",$I$38-1,0)),IF(AND($L$711=0,$P$708=0),"",$L$711-1),IF($R$17="Distrato",$E1062,0))),0,YEARFRAC(MAX($P$708*($B1062+IF($R$17="Distrato",$I$38-1,0)),IF(AND($L$711=0,$P$708=0),"",$L$711-1),IF($R$17="Distrato",$E1062,0)),MIN(Q$38,$D$19),$P$20))-SUM($P1062:P1062)</f>
        <v>#VALUE!</v>
      </c>
      <c r="R1062" s="446" t="e">
        <f>IF(OR($B1062="",MIN(R$38,$D$19)&lt;MAX($P$708*($B1062+IF($R$17="Distrato",$I$38-1,0)),IF(AND($L$711=0,$P$708=0),"",$L$711-1),IF($R$17="Distrato",$E1062,0))),0,YEARFRAC(MAX($P$708*($B1062+IF($R$17="Distrato",$I$38-1,0)),IF(AND($L$711=0,$P$708=0),"",$L$711-1),IF($R$17="Distrato",$E1062,0)),MIN(R$38,$D$19),$P$20))-SUM($P1062:Q1062)</f>
        <v>#VALUE!</v>
      </c>
      <c r="S1062" s="446" t="e">
        <f>IF(OR($B1062="",MIN(S$38,$D$19)&lt;MAX($P$708*($B1062+IF($R$17="Distrato",$I$38-1,0)),IF(AND($L$711=0,$P$708=0),"",$L$711-1),IF($R$17="Distrato",$E1062,0))),0,YEARFRAC(MAX($P$708*($B1062+IF($R$17="Distrato",$I$38-1,0)),IF(AND($L$711=0,$P$708=0),"",$L$711-1),IF($R$17="Distrato",$E1062,0)),MIN(S$38,$D$19),$P$20))-SUM($P1062:R1062)</f>
        <v>#VALUE!</v>
      </c>
      <c r="T1062" s="446" t="e">
        <f>IF(OR($B1062="",MIN(T$38,$D$19)&lt;MAX($P$708*($B1062+IF($R$17="Distrato",$I$38-1,0)),IF(AND($L$711=0,$P$708=0),"",$L$711-1),IF($R$17="Distrato",$E1062,0))),0,YEARFRAC(MAX($P$708*($B1062+IF($R$17="Distrato",$I$38-1,0)),IF(AND($L$711=0,$P$708=0),"",$L$711-1),IF($R$17="Distrato",$E1062,0)),MIN(T$38,$D$19),$P$20))-SUM($P1062:S1062)</f>
        <v>#VALUE!</v>
      </c>
      <c r="U1062" s="446" t="e">
        <f>IF(OR($B1062="",MIN(U$38,$D$19)&lt;MAX($P$708*($B1062+IF($R$17="Distrato",$I$38-1,0)),IF(AND($L$711=0,$P$708=0),"",$L$711-1),IF($R$17="Distrato",$E1062,0))),0,YEARFRAC(MAX($P$708*($B1062+IF($R$17="Distrato",$I$38-1,0)),IF(AND($L$711=0,$P$708=0),"",$L$711-1),IF($R$17="Distrato",$E1062,0)),MIN(U$38,$D$19),$P$20))-SUM($P1062:T1062)</f>
        <v>#VALUE!</v>
      </c>
      <c r="V1062" s="446" t="e">
        <f>IF(OR($B1062="",MIN(V$38,$D$19)&lt;MAX($P$708*($B1062+IF($R$17="Distrato",$I$38-1,0)),IF(AND($L$711=0,$P$708=0),"",$L$711-1),IF($R$17="Distrato",$E1062,0))),0,YEARFRAC(MAX($P$708*($B1062+IF($R$17="Distrato",$I$38-1,0)),IF(AND($L$711=0,$P$708=0),"",$L$711-1),IF($R$17="Distrato",$E1062,0)),MIN(V$38,$D$19),$P$20))-SUM($P1062:U1062)</f>
        <v>#VALUE!</v>
      </c>
      <c r="W1062" s="446" t="e">
        <f>IF(OR($B1062="",MIN(W$38,$D$19)&lt;MAX($P$708*($B1062+IF($R$17="Distrato",$I$38-1,0)),IF(AND($L$711=0,$P$708=0),"",$L$711-1),IF($R$17="Distrato",$E1062,0))),0,YEARFRAC(MAX($P$708*($B1062+IF($R$17="Distrato",$I$38-1,0)),IF(AND($L$711=0,$P$708=0),"",$L$711-1),IF($R$17="Distrato",$E1062,0)),MIN(W$38,$D$19),$P$20))-SUM($P1062:V1062)</f>
        <v>#VALUE!</v>
      </c>
      <c r="X1062" s="446" t="e">
        <f>IF(OR($B1062="",MIN(X$38,$D$19)&lt;MAX($P$708*($B1062+IF($R$17="Distrato",$I$38-1,0)),IF(AND($L$711=0,$P$708=0),"",$L$711-1),IF($R$17="Distrato",$E1062,0))),0,YEARFRAC(MAX($P$708*($B1062+IF($R$17="Distrato",$I$38-1,0)),IF(AND($L$711=0,$P$708=0),"",$L$711-1),IF($R$17="Distrato",$E1062,0)),MIN(X$38,$D$19),$P$20))-SUM($P1062:W1062)</f>
        <v>#VALUE!</v>
      </c>
      <c r="Y1062" s="446" t="e">
        <f>IF(OR($B1062="",MIN(Y$38,$D$19)&lt;MAX($P$708*($B1062+IF($R$17="Distrato",$I$38-1,0)),IF(AND($L$711=0,$P$708=0),"",$L$711-1),IF($R$17="Distrato",$E1062,0))),0,YEARFRAC(MAX($P$708*($B1062+IF($R$17="Distrato",$I$38-1,0)),IF(AND($L$711=0,$P$708=0),"",$L$711-1),IF($R$17="Distrato",$E1062,0)),MIN(Y$38,$D$19),$P$20))-SUM($P1062:X1062)</f>
        <v>#VALUE!</v>
      </c>
      <c r="Z1062" s="446" t="e">
        <f>IF(OR($B1062="",MIN(Z$38,$D$19)&lt;MAX($P$708*($B1062+IF($R$17="Distrato",$I$38-1,0)),IF(AND($L$711=0,$P$708=0),"",$L$711-1),IF($R$17="Distrato",$E1062,0))),0,YEARFRAC(MAX($P$708*($B1062+IF($R$17="Distrato",$I$38-1,0)),IF(AND($L$711=0,$P$708=0),"",$L$711-1),IF($R$17="Distrato",$E1062,0)),MIN(Z$38,$D$19),$P$20))-SUM($P1062:Y1062)</f>
        <v>#VALUE!</v>
      </c>
      <c r="AA1062" s="446" t="e">
        <f>IF(OR($B1062="",MIN(AA$38,$D$19)&lt;MAX($P$708*($B1062+IF($R$17="Distrato",$I$38-1,0)),IF(AND($L$711=0,$P$708=0),"",$L$711-1),IF($R$17="Distrato",$E1062,0))),0,YEARFRAC(MAX($P$708*($B1062+IF($R$17="Distrato",$I$38-1,0)),IF(AND($L$711=0,$P$708=0),"",$L$711-1),IF($R$17="Distrato",$E1062,0)),MIN(AA$38,$D$19),$P$20))-SUM($P1062:Z1062)</f>
        <v>#VALUE!</v>
      </c>
      <c r="AB1062" s="446" t="e">
        <f>IF(OR($B1062="",MIN(AB$38,$D$19)&lt;MAX($P$708*($B1062+IF($R$17="Distrato",$I$38-1,0)),IF(AND($L$711=0,$P$708=0),"",$L$711-1),IF($R$17="Distrato",$E1062,0))),0,YEARFRAC(MAX($P$708*($B1062+IF($R$17="Distrato",$I$38-1,0)),IF(AND($L$711=0,$P$708=0),"",$L$711-1),IF($R$17="Distrato",$E1062,0)),MIN(AB$38,$D$19),$P$20))-SUM($P1062:AA1062)</f>
        <v>#VALUE!</v>
      </c>
      <c r="AC1062" s="446" t="e">
        <f>IF(OR($B1062="",MIN(AC$38,$D$19)&lt;MAX($P$708*($B1062+IF($R$17="Distrato",$I$38-1,0)),IF(AND($L$711=0,$P$708=0),"",$L$711-1),IF($R$17="Distrato",$E1062,0))),0,YEARFRAC(MAX($P$708*($B1062+IF($R$17="Distrato",$I$38-1,0)),IF(AND($L$711=0,$P$708=0),"",$L$711-1),IF($R$17="Distrato",$E1062,0)),MIN(AC$38,$D$19),$P$20))-SUM($P1062:AB1062)</f>
        <v>#VALUE!</v>
      </c>
      <c r="AD1062" s="446" t="e">
        <f>IF(OR($B1062="",MIN(AD$38,$D$19)&lt;MAX($P$708*($B1062+IF($R$17="Distrato",$I$38-1,0)),IF(AND($L$711=0,$P$708=0),"",$L$711-1),IF($R$17="Distrato",$E1062,0))),0,YEARFRAC(MAX($P$708*($B1062+IF($R$17="Distrato",$I$38-1,0)),IF(AND($L$711=0,$P$708=0),"",$L$711-1),IF($R$17="Distrato",$E1062,0)),MIN(AD$38,$D$19),$P$20))-SUM($P1062:AC1062)</f>
        <v>#VALUE!</v>
      </c>
      <c r="AE1062" s="446" t="e">
        <f>IF(OR($B1062="",MIN(AE$38,$D$19)&lt;MAX($P$708*($B1062+IF($R$17="Distrato",$I$38-1,0)),IF(AND($L$711=0,$P$708=0),"",$L$711-1),IF($R$17="Distrato",$E1062,0))),0,YEARFRAC(MAX($P$708*($B1062+IF($R$17="Distrato",$I$38-1,0)),IF(AND($L$711=0,$P$708=0),"",$L$711-1),IF($R$17="Distrato",$E1062,0)),MIN(AE$38,$D$19),$P$20))-SUM($P1062:AD1062)</f>
        <v>#VALUE!</v>
      </c>
      <c r="AF1062" s="446" t="e">
        <f>IF(OR($B1062="",MIN(AF$38,$D$19)&lt;MAX($P$708*($B1062+IF($R$17="Distrato",$I$38-1,0)),IF(AND($L$711=0,$P$708=0),"",$L$711-1),IF($R$17="Distrato",$E1062,0))),0,YEARFRAC(MAX($P$708*($B1062+IF($R$17="Distrato",$I$38-1,0)),IF(AND($L$711=0,$P$708=0),"",$L$711-1),IF($R$17="Distrato",$E1062,0)),MIN(AF$38,$D$19),$P$20))-SUM($P1062:AE1062)</f>
        <v>#VALUE!</v>
      </c>
      <c r="AG1062" s="446" t="e">
        <f>IF(OR($B1062="",MIN(AG$38,$D$19)&lt;MAX($P$708*($B1062+IF($R$17="Distrato",$I$38-1,0)),IF(AND($L$711=0,$P$708=0),"",$L$711-1),IF($R$17="Distrato",$E1062,0))),0,YEARFRAC(MAX($P$708*($B1062+IF($R$17="Distrato",$I$38-1,0)),IF(AND($L$711=0,$P$708=0),"",$L$711-1),IF($R$17="Distrato",$E1062,0)),MIN(AG$38,$D$19),$P$20))-SUM($P1062:AF1062)</f>
        <v>#VALUE!</v>
      </c>
      <c r="AH1062" s="446" t="e">
        <f>IF(OR($B1062="",MIN(AH$38,$D$19)&lt;MAX($P$708*($B1062+IF($R$17="Distrato",$I$38-1,0)),IF(AND($L$711=0,$P$708=0),"",$L$711-1),IF($R$17="Distrato",$E1062,0))),0,YEARFRAC(MAX($P$708*($B1062+IF($R$17="Distrato",$I$38-1,0)),IF(AND($L$711=0,$P$708=0),"",$L$711-1),IF($R$17="Distrato",$E1062,0)),MIN(AH$38,$D$19),$P$20))-SUM($P1062:AG1062)</f>
        <v>#VALUE!</v>
      </c>
      <c r="AI1062" s="446" t="e">
        <f>IF(OR($B1062="",MIN(AI$38,$D$19)&lt;MAX($P$708*($B1062+IF($R$17="Distrato",$I$38-1,0)),IF(AND($L$711=0,$P$708=0),"",$L$711-1),IF($R$17="Distrato",$E1062,0))),0,YEARFRAC(MAX($P$708*($B1062+IF($R$17="Distrato",$I$38-1,0)),IF(AND($L$711=0,$P$708=0),"",$L$711-1),IF($R$17="Distrato",$E1062,0)),MIN(AI$38,$D$19),$P$20))-SUM($P1062:AH1062)</f>
        <v>#VALUE!</v>
      </c>
      <c r="AJ1062" s="446" t="e">
        <f>IF(OR($B1062="",MIN(AJ$38,$D$19)&lt;MAX($P$708*($B1062+IF($R$17="Distrato",$I$38-1,0)),IF(AND($L$711=0,$P$708=0),"",$L$711-1),IF($R$17="Distrato",$E1062,0))),0,YEARFRAC(MAX($P$708*($B1062+IF($R$17="Distrato",$I$38-1,0)),IF(AND($L$711=0,$P$708=0),"",$L$711-1),IF($R$17="Distrato",$E1062,0)),MIN(AJ$38,$D$19),$P$20))-SUM($P1062:AI1062)</f>
        <v>#VALUE!</v>
      </c>
      <c r="AK1062" s="446" t="e">
        <f>IF(OR($B1062="",MIN(AK$38,$D$19)&lt;MAX($P$708*($B1062+IF($R$17="Distrato",$I$38-1,0)),IF(AND($L$711=0,$P$708=0),"",$L$711-1),IF($R$17="Distrato",$E1062,0))),0,YEARFRAC(MAX($P$708*($B1062+IF($R$17="Distrato",$I$38-1,0)),IF(AND($L$711=0,$P$708=0),"",$L$711-1),IF($R$17="Distrato",$E1062,0)),MIN(AK$38,$D$19),$P$20))-SUM($P1062:AJ1062)</f>
        <v>#VALUE!</v>
      </c>
      <c r="AL1062" s="446" t="e">
        <f>IF(OR($B1062="",MIN(AL$38,$D$19)&lt;MAX($P$708*($B1062+IF($R$17="Distrato",$I$38-1,0)),IF(AND($L$711=0,$P$708=0),"",$L$711-1),IF($R$17="Distrato",$E1062,0))),0,YEARFRAC(MAX($P$708*($B1062+IF($R$17="Distrato",$I$38-1,0)),IF(AND($L$711=0,$P$708=0),"",$L$711-1),IF($R$17="Distrato",$E1062,0)),MIN(AL$38,$D$19),$P$20))-SUM($P1062:AK1062)</f>
        <v>#VALUE!</v>
      </c>
      <c r="AM1062" s="446" t="e">
        <f>IF(OR($B1062="",MIN(AM$38,$D$19)&lt;MAX($P$708*($B1062+IF($R$17="Distrato",$I$38-1,0)),IF(AND($L$711=0,$P$708=0),"",$L$711-1),IF($R$17="Distrato",$E1062,0))),0,YEARFRAC(MAX($P$708*($B1062+IF($R$17="Distrato",$I$38-1,0)),IF(AND($L$711=0,$P$708=0),"",$L$711-1),IF($R$17="Distrato",$E1062,0)),MIN(AM$38,$D$19),$P$20))-SUM($P1062:AL1062)</f>
        <v>#VALUE!</v>
      </c>
      <c r="AN1062" s="446" t="e">
        <f>IF(OR($B1062="",MIN(AN$38,$D$19)&lt;MAX($P$708*($B1062+IF($R$17="Distrato",$I$38-1,0)),IF(AND($L$711=0,$P$708=0),"",$L$711-1),IF($R$17="Distrato",$E1062,0))),0,YEARFRAC(MAX($P$708*($B1062+IF($R$17="Distrato",$I$38-1,0)),IF(AND($L$711=0,$P$708=0),"",$L$711-1),IF($R$17="Distrato",$E1062,0)),MIN(AN$38,$D$19),$P$20))-SUM($P1062:AM1062)</f>
        <v>#VALUE!</v>
      </c>
      <c r="AO1062" s="446" t="e">
        <f>IF(OR($B1062="",MIN(AO$38,$D$19)&lt;MAX($P$708*($B1062+IF($R$17="Distrato",$I$38-1,0)),IF(AND($L$711=0,$P$708=0),"",$L$711-1),IF($R$17="Distrato",$E1062,0))),0,YEARFRAC(MAX($P$708*($B1062+IF($R$17="Distrato",$I$38-1,0)),IF(AND($L$711=0,$P$708=0),"",$L$711-1),IF($R$17="Distrato",$E1062,0)),MIN(AO$38,$D$19),$P$20))-SUM($P1062:AN1062)</f>
        <v>#VALUE!</v>
      </c>
      <c r="AP1062" s="446" t="e">
        <f>IF(OR($B1062="",MIN(AP$38,$D$19)&lt;MAX($P$708*($B1062+IF($R$17="Distrato",$I$38-1,0)),IF(AND($L$711=0,$P$708=0),"",$L$711-1),IF($R$17="Distrato",$E1062,0))),0,YEARFRAC(MAX($P$708*($B1062+IF($R$17="Distrato",$I$38-1,0)),IF(AND($L$711=0,$P$708=0),"",$L$711-1),IF($R$17="Distrato",$E1062,0)),MIN(AP$38,$D$19),$P$20))-SUM($P1062:AO1062)</f>
        <v>#VALUE!</v>
      </c>
      <c r="AQ1062" s="446" t="e">
        <f>IF(OR($B1062="",MIN(AQ$38,$D$19)&lt;MAX($P$708*($B1062+IF($R$17="Distrato",$I$38-1,0)),IF(AND($L$711=0,$P$708=0),"",$L$711-1),IF($R$17="Distrato",$E1062,0))),0,YEARFRAC(MAX($P$708*($B1062+IF($R$17="Distrato",$I$38-1,0)),IF(AND($L$711=0,$P$708=0),"",$L$711-1),IF($R$17="Distrato",$E1062,0)),MIN(AQ$38,$D$19),$P$20))-SUM($P1062:AP1062)</f>
        <v>#VALUE!</v>
      </c>
      <c r="AR1062" s="446" t="e">
        <f>IF(OR($B1062="",MIN(AR$38,$D$19)&lt;MAX($P$708*($B1062+IF($R$17="Distrato",$I$38-1,0)),IF(AND($L$711=0,$P$708=0),"",$L$711-1),IF($R$17="Distrato",$E1062,0))),0,YEARFRAC(MAX($P$708*($B1062+IF($R$17="Distrato",$I$38-1,0)),IF(AND($L$711=0,$P$708=0),"",$L$711-1),IF($R$17="Distrato",$E1062,0)),MIN(AR$38,$D$19),$P$20))-SUM($P1062:AQ1062)</f>
        <v>#VALUE!</v>
      </c>
      <c r="AS1062" s="446" t="e">
        <f>IF(OR($B1062="",MIN(AS$38,$D$19)&lt;MAX($P$708*($B1062+IF($R$17="Distrato",$I$38-1,0)),IF(AND($L$711=0,$P$708=0),"",$L$711-1),IF($R$17="Distrato",$E1062,0))),0,YEARFRAC(MAX($P$708*($B1062+IF($R$17="Distrato",$I$38-1,0)),IF(AND($L$711=0,$P$708=0),"",$L$711-1),IF($R$17="Distrato",$E1062,0)),MIN(AS$38,$D$19),$P$20))-SUM($P1062:AR1062)</f>
        <v>#VALUE!</v>
      </c>
      <c r="AT1062" s="446" t="e">
        <f>IF(OR($B1062="",MIN(AT$38,$D$19)&lt;MAX($P$708*($B1062+IF($R$17="Distrato",$I$38-1,0)),IF(AND($L$711=0,$P$708=0),"",$L$711-1),IF($R$17="Distrato",$E1062,0))),0,YEARFRAC(MAX($P$708*($B1062+IF($R$17="Distrato",$I$38-1,0)),IF(AND($L$711=0,$P$708=0),"",$L$711-1),IF($R$17="Distrato",$E1062,0)),MIN(AT$38,$D$19),$P$20))-SUM($P1062:AS1062)</f>
        <v>#VALUE!</v>
      </c>
      <c r="AU1062" s="446" t="e">
        <f>IF(OR($B1062="",MIN(AU$38,$D$19)&lt;MAX($P$708*($B1062+IF($R$17="Distrato",$I$38-1,0)),IF(AND($L$711=0,$P$708=0),"",$L$711-1),IF($R$17="Distrato",$E1062,0))),0,YEARFRAC(MAX($P$708*($B1062+IF($R$17="Distrato",$I$38-1,0)),IF(AND($L$711=0,$P$708=0),"",$L$711-1),IF($R$17="Distrato",$E1062,0)),MIN(AU$38,$D$19),$P$20))-SUM($P1062:AT1062)</f>
        <v>#VALUE!</v>
      </c>
      <c r="AV1062" s="446" t="e">
        <f>IF(OR($B1062="",MIN(AV$38,$D$19)&lt;MAX($P$708*($B1062+IF($R$17="Distrato",$I$38-1,0)),IF(AND($L$711=0,$P$708=0),"",$L$711-1),IF($R$17="Distrato",$E1062,0))),0,YEARFRAC(MAX($P$708*($B1062+IF($R$17="Distrato",$I$38-1,0)),IF(AND($L$711=0,$P$708=0),"",$L$711-1),IF($R$17="Distrato",$E1062,0)),MIN(AV$38,$D$19),$P$20))-SUM($P1062:AU1062)</f>
        <v>#VALUE!</v>
      </c>
      <c r="AW1062" s="446" t="e">
        <f>IF(OR($B1062="",MIN(AW$38,$D$19)&lt;MAX($P$708*($B1062+IF($R$17="Distrato",$I$38-1,0)),IF(AND($L$711=0,$P$708=0),"",$L$711-1),IF($R$17="Distrato",$E1062,0))),0,YEARFRAC(MAX($P$708*($B1062+IF($R$17="Distrato",$I$38-1,0)),IF(AND($L$711=0,$P$708=0),"",$L$711-1),IF($R$17="Distrato",$E1062,0)),MIN(AW$38,$D$19),$P$20))-SUM($P1062:AV1062)</f>
        <v>#VALUE!</v>
      </c>
      <c r="AX1062" s="446" t="e">
        <f>IF(OR($B1062="",MIN(AX$38,$D$19)&lt;MAX($P$708*($B1062+IF($R$17="Distrato",$I$38-1,0)),IF(AND($L$711=0,$P$708=0),"",$L$711-1),IF($R$17="Distrato",$E1062,0))),0,YEARFRAC(MAX($P$708*($B1062+IF($R$17="Distrato",$I$38-1,0)),IF(AND($L$711=0,$P$708=0),"",$L$711-1),IF($R$17="Distrato",$E1062,0)),MIN(AX$38,$D$19),$P$20))-SUM($P1062:AW1062)</f>
        <v>#VALUE!</v>
      </c>
      <c r="AY1062" s="446" t="e">
        <f>IF(OR($B1062="",MIN(AY$38,$D$19)&lt;MAX($P$708*($B1062+IF($R$17="Distrato",$I$38-1,0)),IF(AND($L$711=0,$P$708=0),"",$L$711-1),IF($R$17="Distrato",$E1062,0))),0,YEARFRAC(MAX($P$708*($B1062+IF($R$17="Distrato",$I$38-1,0)),IF(AND($L$711=0,$P$708=0),"",$L$711-1),IF($R$17="Distrato",$E1062,0)),MIN(AY$38,$D$19),$P$20))-SUM($P1062:AX1062)</f>
        <v>#VALUE!</v>
      </c>
      <c r="AZ1062" s="446" t="e">
        <f>IF(OR($B1062="",MIN(AZ$38,$D$19)&lt;MAX($P$708*($B1062+IF($R$17="Distrato",$I$38-1,0)),IF(AND($L$711=0,$P$708=0),"",$L$711-1),IF($R$17="Distrato",$E1062,0))),0,YEARFRAC(MAX($P$708*($B1062+IF($R$17="Distrato",$I$38-1,0)),IF(AND($L$711=0,$P$708=0),"",$L$711-1),IF($R$17="Distrato",$E1062,0)),MIN(AZ$38,$D$19),$P$20))-SUM($P1062:AY1062)</f>
        <v>#VALUE!</v>
      </c>
      <c r="BA1062" s="446" t="e">
        <f>IF(OR($B1062="",MIN(BA$38,$D$19)&lt;MAX($P$708*($B1062+IF($R$17="Distrato",$I$38-1,0)),IF(AND($L$711=0,$P$708=0),"",$L$711-1),IF($R$17="Distrato",$E1062,0))),0,YEARFRAC(MAX($P$708*($B1062+IF($R$17="Distrato",$I$38-1,0)),IF(AND($L$711=0,$P$708=0),"",$L$711-1),IF($R$17="Distrato",$E1062,0)),MIN(BA$38,$D$19),$P$20))-SUM($P1062:AZ1062)</f>
        <v>#VALUE!</v>
      </c>
      <c r="BB1062" s="447"/>
    </row>
    <row r="1063" spans="1:54" s="446" customFormat="1" ht="11.25" hidden="1" customHeight="1" x14ac:dyDescent="0.2">
      <c r="A1063" s="235"/>
      <c r="B1063" s="236"/>
      <c r="C1063" s="29" t="str">
        <f>IF(B1063="","",IF($L$709=$BL$25,VLOOKUP(DATE(YEAR($D$19),MONTH($D$19)-1,1),ÍNDICES!$A:$DE,HLOOKUP($BL$25,ÍNDICES!$B$3:$T$4,2)+11)-VLOOKUP(B1063,ÍNDICES!$A:$DE,HLOOKUP($BL$25,ÍNDICES!$B$3:$T$4,2)+11)+1%,IF(C$712=$W$26,$J$35,IF(ISERROR(IF(B1063&gt;$D$19,1,VLOOKUP(DATE(YEAR(B1063),MONTH(B1063)+IF($C$709=$S$23,1,0),1),ÍNDICES!$A:$DE,$Z$709+1))),"",IF(B1063&gt;$D$19,1,VLOOKUP(DATE(YEAR(B1063),MONTH(B1063)+IF($C$709=$S$23,1,0),1),ÍNDICES!$A:$DE,$Z$709+1))))))</f>
        <v/>
      </c>
      <c r="D1063" s="155"/>
      <c r="E1063" s="88"/>
      <c r="F1063" s="88"/>
      <c r="G1063" s="88"/>
      <c r="H1063" s="118"/>
      <c r="I1063" s="182">
        <f t="shared" si="150"/>
        <v>0</v>
      </c>
      <c r="J1063" s="20">
        <f t="shared" ca="1" si="151"/>
        <v>0</v>
      </c>
      <c r="K1063" s="5">
        <f t="shared" ca="1" si="152"/>
        <v>0</v>
      </c>
      <c r="L1063" s="61">
        <f t="shared" ca="1" si="153"/>
        <v>0</v>
      </c>
      <c r="M1063" s="64">
        <f t="shared" si="154"/>
        <v>0</v>
      </c>
      <c r="N1063" s="151"/>
      <c r="O1063" s="5">
        <f t="shared" ca="1" si="155"/>
        <v>0</v>
      </c>
      <c r="P1063" s="446" t="e">
        <f t="shared" si="156"/>
        <v>#VALUE!</v>
      </c>
      <c r="Q1063" s="446" t="e">
        <f>IF(OR($B1063="",MIN(Q$38,$D$19)&lt;MAX($P$708*($B1063+IF($R$17="Distrato",$I$38-1,0)),IF(AND($L$711=0,$P$708=0),"",$L$711-1),IF($R$17="Distrato",$E1063,0))),0,YEARFRAC(MAX($P$708*($B1063+IF($R$17="Distrato",$I$38-1,0)),IF(AND($L$711=0,$P$708=0),"",$L$711-1),IF($R$17="Distrato",$E1063,0)),MIN(Q$38,$D$19),$P$20))-SUM($P1063:P1063)</f>
        <v>#VALUE!</v>
      </c>
      <c r="R1063" s="446" t="e">
        <f>IF(OR($B1063="",MIN(R$38,$D$19)&lt;MAX($P$708*($B1063+IF($R$17="Distrato",$I$38-1,0)),IF(AND($L$711=0,$P$708=0),"",$L$711-1),IF($R$17="Distrato",$E1063,0))),0,YEARFRAC(MAX($P$708*($B1063+IF($R$17="Distrato",$I$38-1,0)),IF(AND($L$711=0,$P$708=0),"",$L$711-1),IF($R$17="Distrato",$E1063,0)),MIN(R$38,$D$19),$P$20))-SUM($P1063:Q1063)</f>
        <v>#VALUE!</v>
      </c>
      <c r="S1063" s="446" t="e">
        <f>IF(OR($B1063="",MIN(S$38,$D$19)&lt;MAX($P$708*($B1063+IF($R$17="Distrato",$I$38-1,0)),IF(AND($L$711=0,$P$708=0),"",$L$711-1),IF($R$17="Distrato",$E1063,0))),0,YEARFRAC(MAX($P$708*($B1063+IF($R$17="Distrato",$I$38-1,0)),IF(AND($L$711=0,$P$708=0),"",$L$711-1),IF($R$17="Distrato",$E1063,0)),MIN(S$38,$D$19),$P$20))-SUM($P1063:R1063)</f>
        <v>#VALUE!</v>
      </c>
      <c r="T1063" s="446" t="e">
        <f>IF(OR($B1063="",MIN(T$38,$D$19)&lt;MAX($P$708*($B1063+IF($R$17="Distrato",$I$38-1,0)),IF(AND($L$711=0,$P$708=0),"",$L$711-1),IF($R$17="Distrato",$E1063,0))),0,YEARFRAC(MAX($P$708*($B1063+IF($R$17="Distrato",$I$38-1,0)),IF(AND($L$711=0,$P$708=0),"",$L$711-1),IF($R$17="Distrato",$E1063,0)),MIN(T$38,$D$19),$P$20))-SUM($P1063:S1063)</f>
        <v>#VALUE!</v>
      </c>
      <c r="U1063" s="446" t="e">
        <f>IF(OR($B1063="",MIN(U$38,$D$19)&lt;MAX($P$708*($B1063+IF($R$17="Distrato",$I$38-1,0)),IF(AND($L$711=0,$P$708=0),"",$L$711-1),IF($R$17="Distrato",$E1063,0))),0,YEARFRAC(MAX($P$708*($B1063+IF($R$17="Distrato",$I$38-1,0)),IF(AND($L$711=0,$P$708=0),"",$L$711-1),IF($R$17="Distrato",$E1063,0)),MIN(U$38,$D$19),$P$20))-SUM($P1063:T1063)</f>
        <v>#VALUE!</v>
      </c>
      <c r="V1063" s="446" t="e">
        <f>IF(OR($B1063="",MIN(V$38,$D$19)&lt;MAX($P$708*($B1063+IF($R$17="Distrato",$I$38-1,0)),IF(AND($L$711=0,$P$708=0),"",$L$711-1),IF($R$17="Distrato",$E1063,0))),0,YEARFRAC(MAX($P$708*($B1063+IF($R$17="Distrato",$I$38-1,0)),IF(AND($L$711=0,$P$708=0),"",$L$711-1),IF($R$17="Distrato",$E1063,0)),MIN(V$38,$D$19),$P$20))-SUM($P1063:U1063)</f>
        <v>#VALUE!</v>
      </c>
      <c r="W1063" s="446" t="e">
        <f>IF(OR($B1063="",MIN(W$38,$D$19)&lt;MAX($P$708*($B1063+IF($R$17="Distrato",$I$38-1,0)),IF(AND($L$711=0,$P$708=0),"",$L$711-1),IF($R$17="Distrato",$E1063,0))),0,YEARFRAC(MAX($P$708*($B1063+IF($R$17="Distrato",$I$38-1,0)),IF(AND($L$711=0,$P$708=0),"",$L$711-1),IF($R$17="Distrato",$E1063,0)),MIN(W$38,$D$19),$P$20))-SUM($P1063:V1063)</f>
        <v>#VALUE!</v>
      </c>
      <c r="X1063" s="446" t="e">
        <f>IF(OR($B1063="",MIN(X$38,$D$19)&lt;MAX($P$708*($B1063+IF($R$17="Distrato",$I$38-1,0)),IF(AND($L$711=0,$P$708=0),"",$L$711-1),IF($R$17="Distrato",$E1063,0))),0,YEARFRAC(MAX($P$708*($B1063+IF($R$17="Distrato",$I$38-1,0)),IF(AND($L$711=0,$P$708=0),"",$L$711-1),IF($R$17="Distrato",$E1063,0)),MIN(X$38,$D$19),$P$20))-SUM($P1063:W1063)</f>
        <v>#VALUE!</v>
      </c>
      <c r="Y1063" s="446" t="e">
        <f>IF(OR($B1063="",MIN(Y$38,$D$19)&lt;MAX($P$708*($B1063+IF($R$17="Distrato",$I$38-1,0)),IF(AND($L$711=0,$P$708=0),"",$L$711-1),IF($R$17="Distrato",$E1063,0))),0,YEARFRAC(MAX($P$708*($B1063+IF($R$17="Distrato",$I$38-1,0)),IF(AND($L$711=0,$P$708=0),"",$L$711-1),IF($R$17="Distrato",$E1063,0)),MIN(Y$38,$D$19),$P$20))-SUM($P1063:X1063)</f>
        <v>#VALUE!</v>
      </c>
      <c r="Z1063" s="446" t="e">
        <f>IF(OR($B1063="",MIN(Z$38,$D$19)&lt;MAX($P$708*($B1063+IF($R$17="Distrato",$I$38-1,0)),IF(AND($L$711=0,$P$708=0),"",$L$711-1),IF($R$17="Distrato",$E1063,0))),0,YEARFRAC(MAX($P$708*($B1063+IF($R$17="Distrato",$I$38-1,0)),IF(AND($L$711=0,$P$708=0),"",$L$711-1),IF($R$17="Distrato",$E1063,0)),MIN(Z$38,$D$19),$P$20))-SUM($P1063:Y1063)</f>
        <v>#VALUE!</v>
      </c>
      <c r="AA1063" s="446" t="e">
        <f>IF(OR($B1063="",MIN(AA$38,$D$19)&lt;MAX($P$708*($B1063+IF($R$17="Distrato",$I$38-1,0)),IF(AND($L$711=0,$P$708=0),"",$L$711-1),IF($R$17="Distrato",$E1063,0))),0,YEARFRAC(MAX($P$708*($B1063+IF($R$17="Distrato",$I$38-1,0)),IF(AND($L$711=0,$P$708=0),"",$L$711-1),IF($R$17="Distrato",$E1063,0)),MIN(AA$38,$D$19),$P$20))-SUM($P1063:Z1063)</f>
        <v>#VALUE!</v>
      </c>
      <c r="AB1063" s="446" t="e">
        <f>IF(OR($B1063="",MIN(AB$38,$D$19)&lt;MAX($P$708*($B1063+IF($R$17="Distrato",$I$38-1,0)),IF(AND($L$711=0,$P$708=0),"",$L$711-1),IF($R$17="Distrato",$E1063,0))),0,YEARFRAC(MAX($P$708*($B1063+IF($R$17="Distrato",$I$38-1,0)),IF(AND($L$711=0,$P$708=0),"",$L$711-1),IF($R$17="Distrato",$E1063,0)),MIN(AB$38,$D$19),$P$20))-SUM($P1063:AA1063)</f>
        <v>#VALUE!</v>
      </c>
      <c r="AC1063" s="446" t="e">
        <f>IF(OR($B1063="",MIN(AC$38,$D$19)&lt;MAX($P$708*($B1063+IF($R$17="Distrato",$I$38-1,0)),IF(AND($L$711=0,$P$708=0),"",$L$711-1),IF($R$17="Distrato",$E1063,0))),0,YEARFRAC(MAX($P$708*($B1063+IF($R$17="Distrato",$I$38-1,0)),IF(AND($L$711=0,$P$708=0),"",$L$711-1),IF($R$17="Distrato",$E1063,0)),MIN(AC$38,$D$19),$P$20))-SUM($P1063:AB1063)</f>
        <v>#VALUE!</v>
      </c>
      <c r="AD1063" s="446" t="e">
        <f>IF(OR($B1063="",MIN(AD$38,$D$19)&lt;MAX($P$708*($B1063+IF($R$17="Distrato",$I$38-1,0)),IF(AND($L$711=0,$P$708=0),"",$L$711-1),IF($R$17="Distrato",$E1063,0))),0,YEARFRAC(MAX($P$708*($B1063+IF($R$17="Distrato",$I$38-1,0)),IF(AND($L$711=0,$P$708=0),"",$L$711-1),IF($R$17="Distrato",$E1063,0)),MIN(AD$38,$D$19),$P$20))-SUM($P1063:AC1063)</f>
        <v>#VALUE!</v>
      </c>
      <c r="AE1063" s="446" t="e">
        <f>IF(OR($B1063="",MIN(AE$38,$D$19)&lt;MAX($P$708*($B1063+IF($R$17="Distrato",$I$38-1,0)),IF(AND($L$711=0,$P$708=0),"",$L$711-1),IF($R$17="Distrato",$E1063,0))),0,YEARFRAC(MAX($P$708*($B1063+IF($R$17="Distrato",$I$38-1,0)),IF(AND($L$711=0,$P$708=0),"",$L$711-1),IF($R$17="Distrato",$E1063,0)),MIN(AE$38,$D$19),$P$20))-SUM($P1063:AD1063)</f>
        <v>#VALUE!</v>
      </c>
      <c r="AF1063" s="446" t="e">
        <f>IF(OR($B1063="",MIN(AF$38,$D$19)&lt;MAX($P$708*($B1063+IF($R$17="Distrato",$I$38-1,0)),IF(AND($L$711=0,$P$708=0),"",$L$711-1),IF($R$17="Distrato",$E1063,0))),0,YEARFRAC(MAX($P$708*($B1063+IF($R$17="Distrato",$I$38-1,0)),IF(AND($L$711=0,$P$708=0),"",$L$711-1),IF($R$17="Distrato",$E1063,0)),MIN(AF$38,$D$19),$P$20))-SUM($P1063:AE1063)</f>
        <v>#VALUE!</v>
      </c>
      <c r="AG1063" s="446" t="e">
        <f>IF(OR($B1063="",MIN(AG$38,$D$19)&lt;MAX($P$708*($B1063+IF($R$17="Distrato",$I$38-1,0)),IF(AND($L$711=0,$P$708=0),"",$L$711-1),IF($R$17="Distrato",$E1063,0))),0,YEARFRAC(MAX($P$708*($B1063+IF($R$17="Distrato",$I$38-1,0)),IF(AND($L$711=0,$P$708=0),"",$L$711-1),IF($R$17="Distrato",$E1063,0)),MIN(AG$38,$D$19),$P$20))-SUM($P1063:AF1063)</f>
        <v>#VALUE!</v>
      </c>
      <c r="AH1063" s="446" t="e">
        <f>IF(OR($B1063="",MIN(AH$38,$D$19)&lt;MAX($P$708*($B1063+IF($R$17="Distrato",$I$38-1,0)),IF(AND($L$711=0,$P$708=0),"",$L$711-1),IF($R$17="Distrato",$E1063,0))),0,YEARFRAC(MAX($P$708*($B1063+IF($R$17="Distrato",$I$38-1,0)),IF(AND($L$711=0,$P$708=0),"",$L$711-1),IF($R$17="Distrato",$E1063,0)),MIN(AH$38,$D$19),$P$20))-SUM($P1063:AG1063)</f>
        <v>#VALUE!</v>
      </c>
      <c r="AI1063" s="446" t="e">
        <f>IF(OR($B1063="",MIN(AI$38,$D$19)&lt;MAX($P$708*($B1063+IF($R$17="Distrato",$I$38-1,0)),IF(AND($L$711=0,$P$708=0),"",$L$711-1),IF($R$17="Distrato",$E1063,0))),0,YEARFRAC(MAX($P$708*($B1063+IF($R$17="Distrato",$I$38-1,0)),IF(AND($L$711=0,$P$708=0),"",$L$711-1),IF($R$17="Distrato",$E1063,0)),MIN(AI$38,$D$19),$P$20))-SUM($P1063:AH1063)</f>
        <v>#VALUE!</v>
      </c>
      <c r="AJ1063" s="446" t="e">
        <f>IF(OR($B1063="",MIN(AJ$38,$D$19)&lt;MAX($P$708*($B1063+IF($R$17="Distrato",$I$38-1,0)),IF(AND($L$711=0,$P$708=0),"",$L$711-1),IF($R$17="Distrato",$E1063,0))),0,YEARFRAC(MAX($P$708*($B1063+IF($R$17="Distrato",$I$38-1,0)),IF(AND($L$711=0,$P$708=0),"",$L$711-1),IF($R$17="Distrato",$E1063,0)),MIN(AJ$38,$D$19),$P$20))-SUM($P1063:AI1063)</f>
        <v>#VALUE!</v>
      </c>
      <c r="AK1063" s="446" t="e">
        <f>IF(OR($B1063="",MIN(AK$38,$D$19)&lt;MAX($P$708*($B1063+IF($R$17="Distrato",$I$38-1,0)),IF(AND($L$711=0,$P$708=0),"",$L$711-1),IF($R$17="Distrato",$E1063,0))),0,YEARFRAC(MAX($P$708*($B1063+IF($R$17="Distrato",$I$38-1,0)),IF(AND($L$711=0,$P$708=0),"",$L$711-1),IF($R$17="Distrato",$E1063,0)),MIN(AK$38,$D$19),$P$20))-SUM($P1063:AJ1063)</f>
        <v>#VALUE!</v>
      </c>
      <c r="AL1063" s="446" t="e">
        <f>IF(OR($B1063="",MIN(AL$38,$D$19)&lt;MAX($P$708*($B1063+IF($R$17="Distrato",$I$38-1,0)),IF(AND($L$711=0,$P$708=0),"",$L$711-1),IF($R$17="Distrato",$E1063,0))),0,YEARFRAC(MAX($P$708*($B1063+IF($R$17="Distrato",$I$38-1,0)),IF(AND($L$711=0,$P$708=0),"",$L$711-1),IF($R$17="Distrato",$E1063,0)),MIN(AL$38,$D$19),$P$20))-SUM($P1063:AK1063)</f>
        <v>#VALUE!</v>
      </c>
      <c r="AM1063" s="446" t="e">
        <f>IF(OR($B1063="",MIN(AM$38,$D$19)&lt;MAX($P$708*($B1063+IF($R$17="Distrato",$I$38-1,0)),IF(AND($L$711=0,$P$708=0),"",$L$711-1),IF($R$17="Distrato",$E1063,0))),0,YEARFRAC(MAX($P$708*($B1063+IF($R$17="Distrato",$I$38-1,0)),IF(AND($L$711=0,$P$708=0),"",$L$711-1),IF($R$17="Distrato",$E1063,0)),MIN(AM$38,$D$19),$P$20))-SUM($P1063:AL1063)</f>
        <v>#VALUE!</v>
      </c>
      <c r="AN1063" s="446" t="e">
        <f>IF(OR($B1063="",MIN(AN$38,$D$19)&lt;MAX($P$708*($B1063+IF($R$17="Distrato",$I$38-1,0)),IF(AND($L$711=0,$P$708=0),"",$L$711-1),IF($R$17="Distrato",$E1063,0))),0,YEARFRAC(MAX($P$708*($B1063+IF($R$17="Distrato",$I$38-1,0)),IF(AND($L$711=0,$P$708=0),"",$L$711-1),IF($R$17="Distrato",$E1063,0)),MIN(AN$38,$D$19),$P$20))-SUM($P1063:AM1063)</f>
        <v>#VALUE!</v>
      </c>
      <c r="AO1063" s="446" t="e">
        <f>IF(OR($B1063="",MIN(AO$38,$D$19)&lt;MAX($P$708*($B1063+IF($R$17="Distrato",$I$38-1,0)),IF(AND($L$711=0,$P$708=0),"",$L$711-1),IF($R$17="Distrato",$E1063,0))),0,YEARFRAC(MAX($P$708*($B1063+IF($R$17="Distrato",$I$38-1,0)),IF(AND($L$711=0,$P$708=0),"",$L$711-1),IF($R$17="Distrato",$E1063,0)),MIN(AO$38,$D$19),$P$20))-SUM($P1063:AN1063)</f>
        <v>#VALUE!</v>
      </c>
      <c r="AP1063" s="446" t="e">
        <f>IF(OR($B1063="",MIN(AP$38,$D$19)&lt;MAX($P$708*($B1063+IF($R$17="Distrato",$I$38-1,0)),IF(AND($L$711=0,$P$708=0),"",$L$711-1),IF($R$17="Distrato",$E1063,0))),0,YEARFRAC(MAX($P$708*($B1063+IF($R$17="Distrato",$I$38-1,0)),IF(AND($L$711=0,$P$708=0),"",$L$711-1),IF($R$17="Distrato",$E1063,0)),MIN(AP$38,$D$19),$P$20))-SUM($P1063:AO1063)</f>
        <v>#VALUE!</v>
      </c>
      <c r="AQ1063" s="446" t="e">
        <f>IF(OR($B1063="",MIN(AQ$38,$D$19)&lt;MAX($P$708*($B1063+IF($R$17="Distrato",$I$38-1,0)),IF(AND($L$711=0,$P$708=0),"",$L$711-1),IF($R$17="Distrato",$E1063,0))),0,YEARFRAC(MAX($P$708*($B1063+IF($R$17="Distrato",$I$38-1,0)),IF(AND($L$711=0,$P$708=0),"",$L$711-1),IF($R$17="Distrato",$E1063,0)),MIN(AQ$38,$D$19),$P$20))-SUM($P1063:AP1063)</f>
        <v>#VALUE!</v>
      </c>
      <c r="AR1063" s="446" t="e">
        <f>IF(OR($B1063="",MIN(AR$38,$D$19)&lt;MAX($P$708*($B1063+IF($R$17="Distrato",$I$38-1,0)),IF(AND($L$711=0,$P$708=0),"",$L$711-1),IF($R$17="Distrato",$E1063,0))),0,YEARFRAC(MAX($P$708*($B1063+IF($R$17="Distrato",$I$38-1,0)),IF(AND($L$711=0,$P$708=0),"",$L$711-1),IF($R$17="Distrato",$E1063,0)),MIN(AR$38,$D$19),$P$20))-SUM($P1063:AQ1063)</f>
        <v>#VALUE!</v>
      </c>
      <c r="AS1063" s="446" t="e">
        <f>IF(OR($B1063="",MIN(AS$38,$D$19)&lt;MAX($P$708*($B1063+IF($R$17="Distrato",$I$38-1,0)),IF(AND($L$711=0,$P$708=0),"",$L$711-1),IF($R$17="Distrato",$E1063,0))),0,YEARFRAC(MAX($P$708*($B1063+IF($R$17="Distrato",$I$38-1,0)),IF(AND($L$711=0,$P$708=0),"",$L$711-1),IF($R$17="Distrato",$E1063,0)),MIN(AS$38,$D$19),$P$20))-SUM($P1063:AR1063)</f>
        <v>#VALUE!</v>
      </c>
      <c r="AT1063" s="446" t="e">
        <f>IF(OR($B1063="",MIN(AT$38,$D$19)&lt;MAX($P$708*($B1063+IF($R$17="Distrato",$I$38-1,0)),IF(AND($L$711=0,$P$708=0),"",$L$711-1),IF($R$17="Distrato",$E1063,0))),0,YEARFRAC(MAX($P$708*($B1063+IF($R$17="Distrato",$I$38-1,0)),IF(AND($L$711=0,$P$708=0),"",$L$711-1),IF($R$17="Distrato",$E1063,0)),MIN(AT$38,$D$19),$P$20))-SUM($P1063:AS1063)</f>
        <v>#VALUE!</v>
      </c>
      <c r="AU1063" s="446" t="e">
        <f>IF(OR($B1063="",MIN(AU$38,$D$19)&lt;MAX($P$708*($B1063+IF($R$17="Distrato",$I$38-1,0)),IF(AND($L$711=0,$P$708=0),"",$L$711-1),IF($R$17="Distrato",$E1063,0))),0,YEARFRAC(MAX($P$708*($B1063+IF($R$17="Distrato",$I$38-1,0)),IF(AND($L$711=0,$P$708=0),"",$L$711-1),IF($R$17="Distrato",$E1063,0)),MIN(AU$38,$D$19),$P$20))-SUM($P1063:AT1063)</f>
        <v>#VALUE!</v>
      </c>
      <c r="AV1063" s="446" t="e">
        <f>IF(OR($B1063="",MIN(AV$38,$D$19)&lt;MAX($P$708*($B1063+IF($R$17="Distrato",$I$38-1,0)),IF(AND($L$711=0,$P$708=0),"",$L$711-1),IF($R$17="Distrato",$E1063,0))),0,YEARFRAC(MAX($P$708*($B1063+IF($R$17="Distrato",$I$38-1,0)),IF(AND($L$711=0,$P$708=0),"",$L$711-1),IF($R$17="Distrato",$E1063,0)),MIN(AV$38,$D$19),$P$20))-SUM($P1063:AU1063)</f>
        <v>#VALUE!</v>
      </c>
      <c r="AW1063" s="446" t="e">
        <f>IF(OR($B1063="",MIN(AW$38,$D$19)&lt;MAX($P$708*($B1063+IF($R$17="Distrato",$I$38-1,0)),IF(AND($L$711=0,$P$708=0),"",$L$711-1),IF($R$17="Distrato",$E1063,0))),0,YEARFRAC(MAX($P$708*($B1063+IF($R$17="Distrato",$I$38-1,0)),IF(AND($L$711=0,$P$708=0),"",$L$711-1),IF($R$17="Distrato",$E1063,0)),MIN(AW$38,$D$19),$P$20))-SUM($P1063:AV1063)</f>
        <v>#VALUE!</v>
      </c>
      <c r="AX1063" s="446" t="e">
        <f>IF(OR($B1063="",MIN(AX$38,$D$19)&lt;MAX($P$708*($B1063+IF($R$17="Distrato",$I$38-1,0)),IF(AND($L$711=0,$P$708=0),"",$L$711-1),IF($R$17="Distrato",$E1063,0))),0,YEARFRAC(MAX($P$708*($B1063+IF($R$17="Distrato",$I$38-1,0)),IF(AND($L$711=0,$P$708=0),"",$L$711-1),IF($R$17="Distrato",$E1063,0)),MIN(AX$38,$D$19),$P$20))-SUM($P1063:AW1063)</f>
        <v>#VALUE!</v>
      </c>
      <c r="AY1063" s="446" t="e">
        <f>IF(OR($B1063="",MIN(AY$38,$D$19)&lt;MAX($P$708*($B1063+IF($R$17="Distrato",$I$38-1,0)),IF(AND($L$711=0,$P$708=0),"",$L$711-1),IF($R$17="Distrato",$E1063,0))),0,YEARFRAC(MAX($P$708*($B1063+IF($R$17="Distrato",$I$38-1,0)),IF(AND($L$711=0,$P$708=0),"",$L$711-1),IF($R$17="Distrato",$E1063,0)),MIN(AY$38,$D$19),$P$20))-SUM($P1063:AX1063)</f>
        <v>#VALUE!</v>
      </c>
      <c r="AZ1063" s="446" t="e">
        <f>IF(OR($B1063="",MIN(AZ$38,$D$19)&lt;MAX($P$708*($B1063+IF($R$17="Distrato",$I$38-1,0)),IF(AND($L$711=0,$P$708=0),"",$L$711-1),IF($R$17="Distrato",$E1063,0))),0,YEARFRAC(MAX($P$708*($B1063+IF($R$17="Distrato",$I$38-1,0)),IF(AND($L$711=0,$P$708=0),"",$L$711-1),IF($R$17="Distrato",$E1063,0)),MIN(AZ$38,$D$19),$P$20))-SUM($P1063:AY1063)</f>
        <v>#VALUE!</v>
      </c>
      <c r="BA1063" s="446" t="e">
        <f>IF(OR($B1063="",MIN(BA$38,$D$19)&lt;MAX($P$708*($B1063+IF($R$17="Distrato",$I$38-1,0)),IF(AND($L$711=0,$P$708=0),"",$L$711-1),IF($R$17="Distrato",$E1063,0))),0,YEARFRAC(MAX($P$708*($B1063+IF($R$17="Distrato",$I$38-1,0)),IF(AND($L$711=0,$P$708=0),"",$L$711-1),IF($R$17="Distrato",$E1063,0)),MIN(BA$38,$D$19),$P$20))-SUM($P1063:AZ1063)</f>
        <v>#VALUE!</v>
      </c>
      <c r="BB1063" s="447"/>
    </row>
    <row r="1064" spans="1:54" s="446" customFormat="1" ht="11.25" hidden="1" customHeight="1" x14ac:dyDescent="0.2">
      <c r="A1064" s="235"/>
      <c r="B1064" s="236"/>
      <c r="C1064" s="29" t="str">
        <f>IF(B1064="","",IF($L$709=$BL$25,VLOOKUP(DATE(YEAR($D$19),MONTH($D$19)-1,1),ÍNDICES!$A:$DE,HLOOKUP($BL$25,ÍNDICES!$B$3:$T$4,2)+11)-VLOOKUP(B1064,ÍNDICES!$A:$DE,HLOOKUP($BL$25,ÍNDICES!$B$3:$T$4,2)+11)+1%,IF(C$712=$W$26,$J$35,IF(ISERROR(IF(B1064&gt;$D$19,1,VLOOKUP(DATE(YEAR(B1064),MONTH(B1064)+IF($C$709=$S$23,1,0),1),ÍNDICES!$A:$DE,$Z$709+1))),"",IF(B1064&gt;$D$19,1,VLOOKUP(DATE(YEAR(B1064),MONTH(B1064)+IF($C$709=$S$23,1,0),1),ÍNDICES!$A:$DE,$Z$709+1))))))</f>
        <v/>
      </c>
      <c r="D1064" s="155"/>
      <c r="E1064" s="88"/>
      <c r="F1064" s="88"/>
      <c r="G1064" s="88"/>
      <c r="H1064" s="118"/>
      <c r="I1064" s="182">
        <f t="shared" si="150"/>
        <v>0</v>
      </c>
      <c r="J1064" s="20">
        <f t="shared" ca="1" si="151"/>
        <v>0</v>
      </c>
      <c r="K1064" s="5">
        <f t="shared" ca="1" si="152"/>
        <v>0</v>
      </c>
      <c r="L1064" s="61">
        <f t="shared" ca="1" si="153"/>
        <v>0</v>
      </c>
      <c r="M1064" s="64">
        <f t="shared" si="154"/>
        <v>0</v>
      </c>
      <c r="N1064" s="151"/>
      <c r="O1064" s="5">
        <f t="shared" ca="1" si="155"/>
        <v>0</v>
      </c>
      <c r="P1064" s="446" t="e">
        <f t="shared" si="156"/>
        <v>#VALUE!</v>
      </c>
      <c r="Q1064" s="446" t="e">
        <f>IF(OR($B1064="",MIN(Q$38,$D$19)&lt;MAX($P$708*($B1064+IF($R$17="Distrato",$I$38-1,0)),IF(AND($L$711=0,$P$708=0),"",$L$711-1),IF($R$17="Distrato",$E1064,0))),0,YEARFRAC(MAX($P$708*($B1064+IF($R$17="Distrato",$I$38-1,0)),IF(AND($L$711=0,$P$708=0),"",$L$711-1),IF($R$17="Distrato",$E1064,0)),MIN(Q$38,$D$19),$P$20))-SUM($P1064:P1064)</f>
        <v>#VALUE!</v>
      </c>
      <c r="R1064" s="446" t="e">
        <f>IF(OR($B1064="",MIN(R$38,$D$19)&lt;MAX($P$708*($B1064+IF($R$17="Distrato",$I$38-1,0)),IF(AND($L$711=0,$P$708=0),"",$L$711-1),IF($R$17="Distrato",$E1064,0))),0,YEARFRAC(MAX($P$708*($B1064+IF($R$17="Distrato",$I$38-1,0)),IF(AND($L$711=0,$P$708=0),"",$L$711-1),IF($R$17="Distrato",$E1064,0)),MIN(R$38,$D$19),$P$20))-SUM($P1064:Q1064)</f>
        <v>#VALUE!</v>
      </c>
      <c r="S1064" s="446" t="e">
        <f>IF(OR($B1064="",MIN(S$38,$D$19)&lt;MAX($P$708*($B1064+IF($R$17="Distrato",$I$38-1,0)),IF(AND($L$711=0,$P$708=0),"",$L$711-1),IF($R$17="Distrato",$E1064,0))),0,YEARFRAC(MAX($P$708*($B1064+IF($R$17="Distrato",$I$38-1,0)),IF(AND($L$711=0,$P$708=0),"",$L$711-1),IF($R$17="Distrato",$E1064,0)),MIN(S$38,$D$19),$P$20))-SUM($P1064:R1064)</f>
        <v>#VALUE!</v>
      </c>
      <c r="T1064" s="446" t="e">
        <f>IF(OR($B1064="",MIN(T$38,$D$19)&lt;MAX($P$708*($B1064+IF($R$17="Distrato",$I$38-1,0)),IF(AND($L$711=0,$P$708=0),"",$L$711-1),IF($R$17="Distrato",$E1064,0))),0,YEARFRAC(MAX($P$708*($B1064+IF($R$17="Distrato",$I$38-1,0)),IF(AND($L$711=0,$P$708=0),"",$L$711-1),IF($R$17="Distrato",$E1064,0)),MIN(T$38,$D$19),$P$20))-SUM($P1064:S1064)</f>
        <v>#VALUE!</v>
      </c>
      <c r="U1064" s="446" t="e">
        <f>IF(OR($B1064="",MIN(U$38,$D$19)&lt;MAX($P$708*($B1064+IF($R$17="Distrato",$I$38-1,0)),IF(AND($L$711=0,$P$708=0),"",$L$711-1),IF($R$17="Distrato",$E1064,0))),0,YEARFRAC(MAX($P$708*($B1064+IF($R$17="Distrato",$I$38-1,0)),IF(AND($L$711=0,$P$708=0),"",$L$711-1),IF($R$17="Distrato",$E1064,0)),MIN(U$38,$D$19),$P$20))-SUM($P1064:T1064)</f>
        <v>#VALUE!</v>
      </c>
      <c r="V1064" s="446" t="e">
        <f>IF(OR($B1064="",MIN(V$38,$D$19)&lt;MAX($P$708*($B1064+IF($R$17="Distrato",$I$38-1,0)),IF(AND($L$711=0,$P$708=0),"",$L$711-1),IF($R$17="Distrato",$E1064,0))),0,YEARFRAC(MAX($P$708*($B1064+IF($R$17="Distrato",$I$38-1,0)),IF(AND($L$711=0,$P$708=0),"",$L$711-1),IF($R$17="Distrato",$E1064,0)),MIN(V$38,$D$19),$P$20))-SUM($P1064:U1064)</f>
        <v>#VALUE!</v>
      </c>
      <c r="W1064" s="446" t="e">
        <f>IF(OR($B1064="",MIN(W$38,$D$19)&lt;MAX($P$708*($B1064+IF($R$17="Distrato",$I$38-1,0)),IF(AND($L$711=0,$P$708=0),"",$L$711-1),IF($R$17="Distrato",$E1064,0))),0,YEARFRAC(MAX($P$708*($B1064+IF($R$17="Distrato",$I$38-1,0)),IF(AND($L$711=0,$P$708=0),"",$L$711-1),IF($R$17="Distrato",$E1064,0)),MIN(W$38,$D$19),$P$20))-SUM($P1064:V1064)</f>
        <v>#VALUE!</v>
      </c>
      <c r="X1064" s="446" t="e">
        <f>IF(OR($B1064="",MIN(X$38,$D$19)&lt;MAX($P$708*($B1064+IF($R$17="Distrato",$I$38-1,0)),IF(AND($L$711=0,$P$708=0),"",$L$711-1),IF($R$17="Distrato",$E1064,0))),0,YEARFRAC(MAX($P$708*($B1064+IF($R$17="Distrato",$I$38-1,0)),IF(AND($L$711=0,$P$708=0),"",$L$711-1),IF($R$17="Distrato",$E1064,0)),MIN(X$38,$D$19),$P$20))-SUM($P1064:W1064)</f>
        <v>#VALUE!</v>
      </c>
      <c r="Y1064" s="446" t="e">
        <f>IF(OR($B1064="",MIN(Y$38,$D$19)&lt;MAX($P$708*($B1064+IF($R$17="Distrato",$I$38-1,0)),IF(AND($L$711=0,$P$708=0),"",$L$711-1),IF($R$17="Distrato",$E1064,0))),0,YEARFRAC(MAX($P$708*($B1064+IF($R$17="Distrato",$I$38-1,0)),IF(AND($L$711=0,$P$708=0),"",$L$711-1),IF($R$17="Distrato",$E1064,0)),MIN(Y$38,$D$19),$P$20))-SUM($P1064:X1064)</f>
        <v>#VALUE!</v>
      </c>
      <c r="Z1064" s="446" t="e">
        <f>IF(OR($B1064="",MIN(Z$38,$D$19)&lt;MAX($P$708*($B1064+IF($R$17="Distrato",$I$38-1,0)),IF(AND($L$711=0,$P$708=0),"",$L$711-1),IF($R$17="Distrato",$E1064,0))),0,YEARFRAC(MAX($P$708*($B1064+IF($R$17="Distrato",$I$38-1,0)),IF(AND($L$711=0,$P$708=0),"",$L$711-1),IF($R$17="Distrato",$E1064,0)),MIN(Z$38,$D$19),$P$20))-SUM($P1064:Y1064)</f>
        <v>#VALUE!</v>
      </c>
      <c r="AA1064" s="446" t="e">
        <f>IF(OR($B1064="",MIN(AA$38,$D$19)&lt;MAX($P$708*($B1064+IF($R$17="Distrato",$I$38-1,0)),IF(AND($L$711=0,$P$708=0),"",$L$711-1),IF($R$17="Distrato",$E1064,0))),0,YEARFRAC(MAX($P$708*($B1064+IF($R$17="Distrato",$I$38-1,0)),IF(AND($L$711=0,$P$708=0),"",$L$711-1),IF($R$17="Distrato",$E1064,0)),MIN(AA$38,$D$19),$P$20))-SUM($P1064:Z1064)</f>
        <v>#VALUE!</v>
      </c>
      <c r="AB1064" s="446" t="e">
        <f>IF(OR($B1064="",MIN(AB$38,$D$19)&lt;MAX($P$708*($B1064+IF($R$17="Distrato",$I$38-1,0)),IF(AND($L$711=0,$P$708=0),"",$L$711-1),IF($R$17="Distrato",$E1064,0))),0,YEARFRAC(MAX($P$708*($B1064+IF($R$17="Distrato",$I$38-1,0)),IF(AND($L$711=0,$P$708=0),"",$L$711-1),IF($R$17="Distrato",$E1064,0)),MIN(AB$38,$D$19),$P$20))-SUM($P1064:AA1064)</f>
        <v>#VALUE!</v>
      </c>
      <c r="AC1064" s="446" t="e">
        <f>IF(OR($B1064="",MIN(AC$38,$D$19)&lt;MAX($P$708*($B1064+IF($R$17="Distrato",$I$38-1,0)),IF(AND($L$711=0,$P$708=0),"",$L$711-1),IF($R$17="Distrato",$E1064,0))),0,YEARFRAC(MAX($P$708*($B1064+IF($R$17="Distrato",$I$38-1,0)),IF(AND($L$711=0,$P$708=0),"",$L$711-1),IF($R$17="Distrato",$E1064,0)),MIN(AC$38,$D$19),$P$20))-SUM($P1064:AB1064)</f>
        <v>#VALUE!</v>
      </c>
      <c r="AD1064" s="446" t="e">
        <f>IF(OR($B1064="",MIN(AD$38,$D$19)&lt;MAX($P$708*($B1064+IF($R$17="Distrato",$I$38-1,0)),IF(AND($L$711=0,$P$708=0),"",$L$711-1),IF($R$17="Distrato",$E1064,0))),0,YEARFRAC(MAX($P$708*($B1064+IF($R$17="Distrato",$I$38-1,0)),IF(AND($L$711=0,$P$708=0),"",$L$711-1),IF($R$17="Distrato",$E1064,0)),MIN(AD$38,$D$19),$P$20))-SUM($P1064:AC1064)</f>
        <v>#VALUE!</v>
      </c>
      <c r="AE1064" s="446" t="e">
        <f>IF(OR($B1064="",MIN(AE$38,$D$19)&lt;MAX($P$708*($B1064+IF($R$17="Distrato",$I$38-1,0)),IF(AND($L$711=0,$P$708=0),"",$L$711-1),IF($R$17="Distrato",$E1064,0))),0,YEARFRAC(MAX($P$708*($B1064+IF($R$17="Distrato",$I$38-1,0)),IF(AND($L$711=0,$P$708=0),"",$L$711-1),IF($R$17="Distrato",$E1064,0)),MIN(AE$38,$D$19),$P$20))-SUM($P1064:AD1064)</f>
        <v>#VALUE!</v>
      </c>
      <c r="AF1064" s="446" t="e">
        <f>IF(OR($B1064="",MIN(AF$38,$D$19)&lt;MAX($P$708*($B1064+IF($R$17="Distrato",$I$38-1,0)),IF(AND($L$711=0,$P$708=0),"",$L$711-1),IF($R$17="Distrato",$E1064,0))),0,YEARFRAC(MAX($P$708*($B1064+IF($R$17="Distrato",$I$38-1,0)),IF(AND($L$711=0,$P$708=0),"",$L$711-1),IF($R$17="Distrato",$E1064,0)),MIN(AF$38,$D$19),$P$20))-SUM($P1064:AE1064)</f>
        <v>#VALUE!</v>
      </c>
      <c r="AG1064" s="446" t="e">
        <f>IF(OR($B1064="",MIN(AG$38,$D$19)&lt;MAX($P$708*($B1064+IF($R$17="Distrato",$I$38-1,0)),IF(AND($L$711=0,$P$708=0),"",$L$711-1),IF($R$17="Distrato",$E1064,0))),0,YEARFRAC(MAX($P$708*($B1064+IF($R$17="Distrato",$I$38-1,0)),IF(AND($L$711=0,$P$708=0),"",$L$711-1),IF($R$17="Distrato",$E1064,0)),MIN(AG$38,$D$19),$P$20))-SUM($P1064:AF1064)</f>
        <v>#VALUE!</v>
      </c>
      <c r="AH1064" s="446" t="e">
        <f>IF(OR($B1064="",MIN(AH$38,$D$19)&lt;MAX($P$708*($B1064+IF($R$17="Distrato",$I$38-1,0)),IF(AND($L$711=0,$P$708=0),"",$L$711-1),IF($R$17="Distrato",$E1064,0))),0,YEARFRAC(MAX($P$708*($B1064+IF($R$17="Distrato",$I$38-1,0)),IF(AND($L$711=0,$P$708=0),"",$L$711-1),IF($R$17="Distrato",$E1064,0)),MIN(AH$38,$D$19),$P$20))-SUM($P1064:AG1064)</f>
        <v>#VALUE!</v>
      </c>
      <c r="AI1064" s="446" t="e">
        <f>IF(OR($B1064="",MIN(AI$38,$D$19)&lt;MAX($P$708*($B1064+IF($R$17="Distrato",$I$38-1,0)),IF(AND($L$711=0,$P$708=0),"",$L$711-1),IF($R$17="Distrato",$E1064,0))),0,YEARFRAC(MAX($P$708*($B1064+IF($R$17="Distrato",$I$38-1,0)),IF(AND($L$711=0,$P$708=0),"",$L$711-1),IF($R$17="Distrato",$E1064,0)),MIN(AI$38,$D$19),$P$20))-SUM($P1064:AH1064)</f>
        <v>#VALUE!</v>
      </c>
      <c r="AJ1064" s="446" t="e">
        <f>IF(OR($B1064="",MIN(AJ$38,$D$19)&lt;MAX($P$708*($B1064+IF($R$17="Distrato",$I$38-1,0)),IF(AND($L$711=0,$P$708=0),"",$L$711-1),IF($R$17="Distrato",$E1064,0))),0,YEARFRAC(MAX($P$708*($B1064+IF($R$17="Distrato",$I$38-1,0)),IF(AND($L$711=0,$P$708=0),"",$L$711-1),IF($R$17="Distrato",$E1064,0)),MIN(AJ$38,$D$19),$P$20))-SUM($P1064:AI1064)</f>
        <v>#VALUE!</v>
      </c>
      <c r="AK1064" s="446" t="e">
        <f>IF(OR($B1064="",MIN(AK$38,$D$19)&lt;MAX($P$708*($B1064+IF($R$17="Distrato",$I$38-1,0)),IF(AND($L$711=0,$P$708=0),"",$L$711-1),IF($R$17="Distrato",$E1064,0))),0,YEARFRAC(MAX($P$708*($B1064+IF($R$17="Distrato",$I$38-1,0)),IF(AND($L$711=0,$P$708=0),"",$L$711-1),IF($R$17="Distrato",$E1064,0)),MIN(AK$38,$D$19),$P$20))-SUM($P1064:AJ1064)</f>
        <v>#VALUE!</v>
      </c>
      <c r="AL1064" s="446" t="e">
        <f>IF(OR($B1064="",MIN(AL$38,$D$19)&lt;MAX($P$708*($B1064+IF($R$17="Distrato",$I$38-1,0)),IF(AND($L$711=0,$P$708=0),"",$L$711-1),IF($R$17="Distrato",$E1064,0))),0,YEARFRAC(MAX($P$708*($B1064+IF($R$17="Distrato",$I$38-1,0)),IF(AND($L$711=0,$P$708=0),"",$L$711-1),IF($R$17="Distrato",$E1064,0)),MIN(AL$38,$D$19),$P$20))-SUM($P1064:AK1064)</f>
        <v>#VALUE!</v>
      </c>
      <c r="AM1064" s="446" t="e">
        <f>IF(OR($B1064="",MIN(AM$38,$D$19)&lt;MAX($P$708*($B1064+IF($R$17="Distrato",$I$38-1,0)),IF(AND($L$711=0,$P$708=0),"",$L$711-1),IF($R$17="Distrato",$E1064,0))),0,YEARFRAC(MAX($P$708*($B1064+IF($R$17="Distrato",$I$38-1,0)),IF(AND($L$711=0,$P$708=0),"",$L$711-1),IF($R$17="Distrato",$E1064,0)),MIN(AM$38,$D$19),$P$20))-SUM($P1064:AL1064)</f>
        <v>#VALUE!</v>
      </c>
      <c r="AN1064" s="446" t="e">
        <f>IF(OR($B1064="",MIN(AN$38,$D$19)&lt;MAX($P$708*($B1064+IF($R$17="Distrato",$I$38-1,0)),IF(AND($L$711=0,$P$708=0),"",$L$711-1),IF($R$17="Distrato",$E1064,0))),0,YEARFRAC(MAX($P$708*($B1064+IF($R$17="Distrato",$I$38-1,0)),IF(AND($L$711=0,$P$708=0),"",$L$711-1),IF($R$17="Distrato",$E1064,0)),MIN(AN$38,$D$19),$P$20))-SUM($P1064:AM1064)</f>
        <v>#VALUE!</v>
      </c>
      <c r="AO1064" s="446" t="e">
        <f>IF(OR($B1064="",MIN(AO$38,$D$19)&lt;MAX($P$708*($B1064+IF($R$17="Distrato",$I$38-1,0)),IF(AND($L$711=0,$P$708=0),"",$L$711-1),IF($R$17="Distrato",$E1064,0))),0,YEARFRAC(MAX($P$708*($B1064+IF($R$17="Distrato",$I$38-1,0)),IF(AND($L$711=0,$P$708=0),"",$L$711-1),IF($R$17="Distrato",$E1064,0)),MIN(AO$38,$D$19),$P$20))-SUM($P1064:AN1064)</f>
        <v>#VALUE!</v>
      </c>
      <c r="AP1064" s="446" t="e">
        <f>IF(OR($B1064="",MIN(AP$38,$D$19)&lt;MAX($P$708*($B1064+IF($R$17="Distrato",$I$38-1,0)),IF(AND($L$711=0,$P$708=0),"",$L$711-1),IF($R$17="Distrato",$E1064,0))),0,YEARFRAC(MAX($P$708*($B1064+IF($R$17="Distrato",$I$38-1,0)),IF(AND($L$711=0,$P$708=0),"",$L$711-1),IF($R$17="Distrato",$E1064,0)),MIN(AP$38,$D$19),$P$20))-SUM($P1064:AO1064)</f>
        <v>#VALUE!</v>
      </c>
      <c r="AQ1064" s="446" t="e">
        <f>IF(OR($B1064="",MIN(AQ$38,$D$19)&lt;MAX($P$708*($B1064+IF($R$17="Distrato",$I$38-1,0)),IF(AND($L$711=0,$P$708=0),"",$L$711-1),IF($R$17="Distrato",$E1064,0))),0,YEARFRAC(MAX($P$708*($B1064+IF($R$17="Distrato",$I$38-1,0)),IF(AND($L$711=0,$P$708=0),"",$L$711-1),IF($R$17="Distrato",$E1064,0)),MIN(AQ$38,$D$19),$P$20))-SUM($P1064:AP1064)</f>
        <v>#VALUE!</v>
      </c>
      <c r="AR1064" s="446" t="e">
        <f>IF(OR($B1064="",MIN(AR$38,$D$19)&lt;MAX($P$708*($B1064+IF($R$17="Distrato",$I$38-1,0)),IF(AND($L$711=0,$P$708=0),"",$L$711-1),IF($R$17="Distrato",$E1064,0))),0,YEARFRAC(MAX($P$708*($B1064+IF($R$17="Distrato",$I$38-1,0)),IF(AND($L$711=0,$P$708=0),"",$L$711-1),IF($R$17="Distrato",$E1064,0)),MIN(AR$38,$D$19),$P$20))-SUM($P1064:AQ1064)</f>
        <v>#VALUE!</v>
      </c>
      <c r="AS1064" s="446" t="e">
        <f>IF(OR($B1064="",MIN(AS$38,$D$19)&lt;MAX($P$708*($B1064+IF($R$17="Distrato",$I$38-1,0)),IF(AND($L$711=0,$P$708=0),"",$L$711-1),IF($R$17="Distrato",$E1064,0))),0,YEARFRAC(MAX($P$708*($B1064+IF($R$17="Distrato",$I$38-1,0)),IF(AND($L$711=0,$P$708=0),"",$L$711-1),IF($R$17="Distrato",$E1064,0)),MIN(AS$38,$D$19),$P$20))-SUM($P1064:AR1064)</f>
        <v>#VALUE!</v>
      </c>
      <c r="AT1064" s="446" t="e">
        <f>IF(OR($B1064="",MIN(AT$38,$D$19)&lt;MAX($P$708*($B1064+IF($R$17="Distrato",$I$38-1,0)),IF(AND($L$711=0,$P$708=0),"",$L$711-1),IF($R$17="Distrato",$E1064,0))),0,YEARFRAC(MAX($P$708*($B1064+IF($R$17="Distrato",$I$38-1,0)),IF(AND($L$711=0,$P$708=0),"",$L$711-1),IF($R$17="Distrato",$E1064,0)),MIN(AT$38,$D$19),$P$20))-SUM($P1064:AS1064)</f>
        <v>#VALUE!</v>
      </c>
      <c r="AU1064" s="446" t="e">
        <f>IF(OR($B1064="",MIN(AU$38,$D$19)&lt;MAX($P$708*($B1064+IF($R$17="Distrato",$I$38-1,0)),IF(AND($L$711=0,$P$708=0),"",$L$711-1),IF($R$17="Distrato",$E1064,0))),0,YEARFRAC(MAX($P$708*($B1064+IF($R$17="Distrato",$I$38-1,0)),IF(AND($L$711=0,$P$708=0),"",$L$711-1),IF($R$17="Distrato",$E1064,0)),MIN(AU$38,$D$19),$P$20))-SUM($P1064:AT1064)</f>
        <v>#VALUE!</v>
      </c>
      <c r="AV1064" s="446" t="e">
        <f>IF(OR($B1064="",MIN(AV$38,$D$19)&lt;MAX($P$708*($B1064+IF($R$17="Distrato",$I$38-1,0)),IF(AND($L$711=0,$P$708=0),"",$L$711-1),IF($R$17="Distrato",$E1064,0))),0,YEARFRAC(MAX($P$708*($B1064+IF($R$17="Distrato",$I$38-1,0)),IF(AND($L$711=0,$P$708=0),"",$L$711-1),IF($R$17="Distrato",$E1064,0)),MIN(AV$38,$D$19),$P$20))-SUM($P1064:AU1064)</f>
        <v>#VALUE!</v>
      </c>
      <c r="AW1064" s="446" t="e">
        <f>IF(OR($B1064="",MIN(AW$38,$D$19)&lt;MAX($P$708*($B1064+IF($R$17="Distrato",$I$38-1,0)),IF(AND($L$711=0,$P$708=0),"",$L$711-1),IF($R$17="Distrato",$E1064,0))),0,YEARFRAC(MAX($P$708*($B1064+IF($R$17="Distrato",$I$38-1,0)),IF(AND($L$711=0,$P$708=0),"",$L$711-1),IF($R$17="Distrato",$E1064,0)),MIN(AW$38,$D$19),$P$20))-SUM($P1064:AV1064)</f>
        <v>#VALUE!</v>
      </c>
      <c r="AX1064" s="446" t="e">
        <f>IF(OR($B1064="",MIN(AX$38,$D$19)&lt;MAX($P$708*($B1064+IF($R$17="Distrato",$I$38-1,0)),IF(AND($L$711=0,$P$708=0),"",$L$711-1),IF($R$17="Distrato",$E1064,0))),0,YEARFRAC(MAX($P$708*($B1064+IF($R$17="Distrato",$I$38-1,0)),IF(AND($L$711=0,$P$708=0),"",$L$711-1),IF($R$17="Distrato",$E1064,0)),MIN(AX$38,$D$19),$P$20))-SUM($P1064:AW1064)</f>
        <v>#VALUE!</v>
      </c>
      <c r="AY1064" s="446" t="e">
        <f>IF(OR($B1064="",MIN(AY$38,$D$19)&lt;MAX($P$708*($B1064+IF($R$17="Distrato",$I$38-1,0)),IF(AND($L$711=0,$P$708=0),"",$L$711-1),IF($R$17="Distrato",$E1064,0))),0,YEARFRAC(MAX($P$708*($B1064+IF($R$17="Distrato",$I$38-1,0)),IF(AND($L$711=0,$P$708=0),"",$L$711-1),IF($R$17="Distrato",$E1064,0)),MIN(AY$38,$D$19),$P$20))-SUM($P1064:AX1064)</f>
        <v>#VALUE!</v>
      </c>
      <c r="AZ1064" s="446" t="e">
        <f>IF(OR($B1064="",MIN(AZ$38,$D$19)&lt;MAX($P$708*($B1064+IF($R$17="Distrato",$I$38-1,0)),IF(AND($L$711=0,$P$708=0),"",$L$711-1),IF($R$17="Distrato",$E1064,0))),0,YEARFRAC(MAX($P$708*($B1064+IF($R$17="Distrato",$I$38-1,0)),IF(AND($L$711=0,$P$708=0),"",$L$711-1),IF($R$17="Distrato",$E1064,0)),MIN(AZ$38,$D$19),$P$20))-SUM($P1064:AY1064)</f>
        <v>#VALUE!</v>
      </c>
      <c r="BA1064" s="446" t="e">
        <f>IF(OR($B1064="",MIN(BA$38,$D$19)&lt;MAX($P$708*($B1064+IF($R$17="Distrato",$I$38-1,0)),IF(AND($L$711=0,$P$708=0),"",$L$711-1),IF($R$17="Distrato",$E1064,0))),0,YEARFRAC(MAX($P$708*($B1064+IF($R$17="Distrato",$I$38-1,0)),IF(AND($L$711=0,$P$708=0),"",$L$711-1),IF($R$17="Distrato",$E1064,0)),MIN(BA$38,$D$19),$P$20))-SUM($P1064:AZ1064)</f>
        <v>#VALUE!</v>
      </c>
      <c r="BB1064" s="447"/>
    </row>
    <row r="1065" spans="1:54" s="446" customFormat="1" ht="11.25" hidden="1" customHeight="1" x14ac:dyDescent="0.2">
      <c r="A1065" s="235"/>
      <c r="B1065" s="236"/>
      <c r="C1065" s="29" t="str">
        <f>IF(B1065="","",IF($L$709=$BL$25,VLOOKUP(DATE(YEAR($D$19),MONTH($D$19)-1,1),ÍNDICES!$A:$DE,HLOOKUP($BL$25,ÍNDICES!$B$3:$T$4,2)+11)-VLOOKUP(B1065,ÍNDICES!$A:$DE,HLOOKUP($BL$25,ÍNDICES!$B$3:$T$4,2)+11)+1%,IF(C$712=$W$26,$J$35,IF(ISERROR(IF(B1065&gt;$D$19,1,VLOOKUP(DATE(YEAR(B1065),MONTH(B1065)+IF($C$709=$S$23,1,0),1),ÍNDICES!$A:$DE,$Z$709+1))),"",IF(B1065&gt;$D$19,1,VLOOKUP(DATE(YEAR(B1065),MONTH(B1065)+IF($C$709=$S$23,1,0),1),ÍNDICES!$A:$DE,$Z$709+1))))))</f>
        <v/>
      </c>
      <c r="D1065" s="155"/>
      <c r="E1065" s="88"/>
      <c r="F1065" s="88"/>
      <c r="G1065" s="88"/>
      <c r="H1065" s="118"/>
      <c r="I1065" s="182">
        <f t="shared" si="150"/>
        <v>0</v>
      </c>
      <c r="J1065" s="20">
        <f t="shared" ca="1" si="151"/>
        <v>0</v>
      </c>
      <c r="K1065" s="5">
        <f t="shared" ca="1" si="152"/>
        <v>0</v>
      </c>
      <c r="L1065" s="61">
        <f t="shared" ca="1" si="153"/>
        <v>0</v>
      </c>
      <c r="M1065" s="64">
        <f t="shared" si="154"/>
        <v>0</v>
      </c>
      <c r="N1065" s="151"/>
      <c r="O1065" s="5">
        <f t="shared" ca="1" si="155"/>
        <v>0</v>
      </c>
      <c r="P1065" s="446" t="e">
        <f t="shared" si="156"/>
        <v>#VALUE!</v>
      </c>
      <c r="Q1065" s="446" t="e">
        <f>IF(OR($B1065="",MIN(Q$38,$D$19)&lt;MAX($P$708*($B1065+IF($R$17="Distrato",$I$38-1,0)),IF(AND($L$711=0,$P$708=0),"",$L$711-1),IF($R$17="Distrato",$E1065,0))),0,YEARFRAC(MAX($P$708*($B1065+IF($R$17="Distrato",$I$38-1,0)),IF(AND($L$711=0,$P$708=0),"",$L$711-1),IF($R$17="Distrato",$E1065,0)),MIN(Q$38,$D$19),$P$20))-SUM($P1065:P1065)</f>
        <v>#VALUE!</v>
      </c>
      <c r="R1065" s="446" t="e">
        <f>IF(OR($B1065="",MIN(R$38,$D$19)&lt;MAX($P$708*($B1065+IF($R$17="Distrato",$I$38-1,0)),IF(AND($L$711=0,$P$708=0),"",$L$711-1),IF($R$17="Distrato",$E1065,0))),0,YEARFRAC(MAX($P$708*($B1065+IF($R$17="Distrato",$I$38-1,0)),IF(AND($L$711=0,$P$708=0),"",$L$711-1),IF($R$17="Distrato",$E1065,0)),MIN(R$38,$D$19),$P$20))-SUM($P1065:Q1065)</f>
        <v>#VALUE!</v>
      </c>
      <c r="S1065" s="446" t="e">
        <f>IF(OR($B1065="",MIN(S$38,$D$19)&lt;MAX($P$708*($B1065+IF($R$17="Distrato",$I$38-1,0)),IF(AND($L$711=0,$P$708=0),"",$L$711-1),IF($R$17="Distrato",$E1065,0))),0,YEARFRAC(MAX($P$708*($B1065+IF($R$17="Distrato",$I$38-1,0)),IF(AND($L$711=0,$P$708=0),"",$L$711-1),IF($R$17="Distrato",$E1065,0)),MIN(S$38,$D$19),$P$20))-SUM($P1065:R1065)</f>
        <v>#VALUE!</v>
      </c>
      <c r="T1065" s="446" t="e">
        <f>IF(OR($B1065="",MIN(T$38,$D$19)&lt;MAX($P$708*($B1065+IF($R$17="Distrato",$I$38-1,0)),IF(AND($L$711=0,$P$708=0),"",$L$711-1),IF($R$17="Distrato",$E1065,0))),0,YEARFRAC(MAX($P$708*($B1065+IF($R$17="Distrato",$I$38-1,0)),IF(AND($L$711=0,$P$708=0),"",$L$711-1),IF($R$17="Distrato",$E1065,0)),MIN(T$38,$D$19),$P$20))-SUM($P1065:S1065)</f>
        <v>#VALUE!</v>
      </c>
      <c r="U1065" s="446" t="e">
        <f>IF(OR($B1065="",MIN(U$38,$D$19)&lt;MAX($P$708*($B1065+IF($R$17="Distrato",$I$38-1,0)),IF(AND($L$711=0,$P$708=0),"",$L$711-1),IF($R$17="Distrato",$E1065,0))),0,YEARFRAC(MAX($P$708*($B1065+IF($R$17="Distrato",$I$38-1,0)),IF(AND($L$711=0,$P$708=0),"",$L$711-1),IF($R$17="Distrato",$E1065,0)),MIN(U$38,$D$19),$P$20))-SUM($P1065:T1065)</f>
        <v>#VALUE!</v>
      </c>
      <c r="V1065" s="446" t="e">
        <f>IF(OR($B1065="",MIN(V$38,$D$19)&lt;MAX($P$708*($B1065+IF($R$17="Distrato",$I$38-1,0)),IF(AND($L$711=0,$P$708=0),"",$L$711-1),IF($R$17="Distrato",$E1065,0))),0,YEARFRAC(MAX($P$708*($B1065+IF($R$17="Distrato",$I$38-1,0)),IF(AND($L$711=0,$P$708=0),"",$L$711-1),IF($R$17="Distrato",$E1065,0)),MIN(V$38,$D$19),$P$20))-SUM($P1065:U1065)</f>
        <v>#VALUE!</v>
      </c>
      <c r="W1065" s="446" t="e">
        <f>IF(OR($B1065="",MIN(W$38,$D$19)&lt;MAX($P$708*($B1065+IF($R$17="Distrato",$I$38-1,0)),IF(AND($L$711=0,$P$708=0),"",$L$711-1),IF($R$17="Distrato",$E1065,0))),0,YEARFRAC(MAX($P$708*($B1065+IF($R$17="Distrato",$I$38-1,0)),IF(AND($L$711=0,$P$708=0),"",$L$711-1),IF($R$17="Distrato",$E1065,0)),MIN(W$38,$D$19),$P$20))-SUM($P1065:V1065)</f>
        <v>#VALUE!</v>
      </c>
      <c r="X1065" s="446" t="e">
        <f>IF(OR($B1065="",MIN(X$38,$D$19)&lt;MAX($P$708*($B1065+IF($R$17="Distrato",$I$38-1,0)),IF(AND($L$711=0,$P$708=0),"",$L$711-1),IF($R$17="Distrato",$E1065,0))),0,YEARFRAC(MAX($P$708*($B1065+IF($R$17="Distrato",$I$38-1,0)),IF(AND($L$711=0,$P$708=0),"",$L$711-1),IF($R$17="Distrato",$E1065,0)),MIN(X$38,$D$19),$P$20))-SUM($P1065:W1065)</f>
        <v>#VALUE!</v>
      </c>
      <c r="Y1065" s="446" t="e">
        <f>IF(OR($B1065="",MIN(Y$38,$D$19)&lt;MAX($P$708*($B1065+IF($R$17="Distrato",$I$38-1,0)),IF(AND($L$711=0,$P$708=0),"",$L$711-1),IF($R$17="Distrato",$E1065,0))),0,YEARFRAC(MAX($P$708*($B1065+IF($R$17="Distrato",$I$38-1,0)),IF(AND($L$711=0,$P$708=0),"",$L$711-1),IF($R$17="Distrato",$E1065,0)),MIN(Y$38,$D$19),$P$20))-SUM($P1065:X1065)</f>
        <v>#VALUE!</v>
      </c>
      <c r="Z1065" s="446" t="e">
        <f>IF(OR($B1065="",MIN(Z$38,$D$19)&lt;MAX($P$708*($B1065+IF($R$17="Distrato",$I$38-1,0)),IF(AND($L$711=0,$P$708=0),"",$L$711-1),IF($R$17="Distrato",$E1065,0))),0,YEARFRAC(MAX($P$708*($B1065+IF($R$17="Distrato",$I$38-1,0)),IF(AND($L$711=0,$P$708=0),"",$L$711-1),IF($R$17="Distrato",$E1065,0)),MIN(Z$38,$D$19),$P$20))-SUM($P1065:Y1065)</f>
        <v>#VALUE!</v>
      </c>
      <c r="AA1065" s="446" t="e">
        <f>IF(OR($B1065="",MIN(AA$38,$D$19)&lt;MAX($P$708*($B1065+IF($R$17="Distrato",$I$38-1,0)),IF(AND($L$711=0,$P$708=0),"",$L$711-1),IF($R$17="Distrato",$E1065,0))),0,YEARFRAC(MAX($P$708*($B1065+IF($R$17="Distrato",$I$38-1,0)),IF(AND($L$711=0,$P$708=0),"",$L$711-1),IF($R$17="Distrato",$E1065,0)),MIN(AA$38,$D$19),$P$20))-SUM($P1065:Z1065)</f>
        <v>#VALUE!</v>
      </c>
      <c r="AB1065" s="446" t="e">
        <f>IF(OR($B1065="",MIN(AB$38,$D$19)&lt;MAX($P$708*($B1065+IF($R$17="Distrato",$I$38-1,0)),IF(AND($L$711=0,$P$708=0),"",$L$711-1),IF($R$17="Distrato",$E1065,0))),0,YEARFRAC(MAX($P$708*($B1065+IF($R$17="Distrato",$I$38-1,0)),IF(AND($L$711=0,$P$708=0),"",$L$711-1),IF($R$17="Distrato",$E1065,0)),MIN(AB$38,$D$19),$P$20))-SUM($P1065:AA1065)</f>
        <v>#VALUE!</v>
      </c>
      <c r="AC1065" s="446" t="e">
        <f>IF(OR($B1065="",MIN(AC$38,$D$19)&lt;MAX($P$708*($B1065+IF($R$17="Distrato",$I$38-1,0)),IF(AND($L$711=0,$P$708=0),"",$L$711-1),IF($R$17="Distrato",$E1065,0))),0,YEARFRAC(MAX($P$708*($B1065+IF($R$17="Distrato",$I$38-1,0)),IF(AND($L$711=0,$P$708=0),"",$L$711-1),IF($R$17="Distrato",$E1065,0)),MIN(AC$38,$D$19),$P$20))-SUM($P1065:AB1065)</f>
        <v>#VALUE!</v>
      </c>
      <c r="AD1065" s="446" t="e">
        <f>IF(OR($B1065="",MIN(AD$38,$D$19)&lt;MAX($P$708*($B1065+IF($R$17="Distrato",$I$38-1,0)),IF(AND($L$711=0,$P$708=0),"",$L$711-1),IF($R$17="Distrato",$E1065,0))),0,YEARFRAC(MAX($P$708*($B1065+IF($R$17="Distrato",$I$38-1,0)),IF(AND($L$711=0,$P$708=0),"",$L$711-1),IF($R$17="Distrato",$E1065,0)),MIN(AD$38,$D$19),$P$20))-SUM($P1065:AC1065)</f>
        <v>#VALUE!</v>
      </c>
      <c r="AE1065" s="446" t="e">
        <f>IF(OR($B1065="",MIN(AE$38,$D$19)&lt;MAX($P$708*($B1065+IF($R$17="Distrato",$I$38-1,0)),IF(AND($L$711=0,$P$708=0),"",$L$711-1),IF($R$17="Distrato",$E1065,0))),0,YEARFRAC(MAX($P$708*($B1065+IF($R$17="Distrato",$I$38-1,0)),IF(AND($L$711=0,$P$708=0),"",$L$711-1),IF($R$17="Distrato",$E1065,0)),MIN(AE$38,$D$19),$P$20))-SUM($P1065:AD1065)</f>
        <v>#VALUE!</v>
      </c>
      <c r="AF1065" s="446" t="e">
        <f>IF(OR($B1065="",MIN(AF$38,$D$19)&lt;MAX($P$708*($B1065+IF($R$17="Distrato",$I$38-1,0)),IF(AND($L$711=0,$P$708=0),"",$L$711-1),IF($R$17="Distrato",$E1065,0))),0,YEARFRAC(MAX($P$708*($B1065+IF($R$17="Distrato",$I$38-1,0)),IF(AND($L$711=0,$P$708=0),"",$L$711-1),IF($R$17="Distrato",$E1065,0)),MIN(AF$38,$D$19),$P$20))-SUM($P1065:AE1065)</f>
        <v>#VALUE!</v>
      </c>
      <c r="AG1065" s="446" t="e">
        <f>IF(OR($B1065="",MIN(AG$38,$D$19)&lt;MAX($P$708*($B1065+IF($R$17="Distrato",$I$38-1,0)),IF(AND($L$711=0,$P$708=0),"",$L$711-1),IF($R$17="Distrato",$E1065,0))),0,YEARFRAC(MAX($P$708*($B1065+IF($R$17="Distrato",$I$38-1,0)),IF(AND($L$711=0,$P$708=0),"",$L$711-1),IF($R$17="Distrato",$E1065,0)),MIN(AG$38,$D$19),$P$20))-SUM($P1065:AF1065)</f>
        <v>#VALUE!</v>
      </c>
      <c r="AH1065" s="446" t="e">
        <f>IF(OR($B1065="",MIN(AH$38,$D$19)&lt;MAX($P$708*($B1065+IF($R$17="Distrato",$I$38-1,0)),IF(AND($L$711=0,$P$708=0),"",$L$711-1),IF($R$17="Distrato",$E1065,0))),0,YEARFRAC(MAX($P$708*($B1065+IF($R$17="Distrato",$I$38-1,0)),IF(AND($L$711=0,$P$708=0),"",$L$711-1),IF($R$17="Distrato",$E1065,0)),MIN(AH$38,$D$19),$P$20))-SUM($P1065:AG1065)</f>
        <v>#VALUE!</v>
      </c>
      <c r="AI1065" s="446" t="e">
        <f>IF(OR($B1065="",MIN(AI$38,$D$19)&lt;MAX($P$708*($B1065+IF($R$17="Distrato",$I$38-1,0)),IF(AND($L$711=0,$P$708=0),"",$L$711-1),IF($R$17="Distrato",$E1065,0))),0,YEARFRAC(MAX($P$708*($B1065+IF($R$17="Distrato",$I$38-1,0)),IF(AND($L$711=0,$P$708=0),"",$L$711-1),IF($R$17="Distrato",$E1065,0)),MIN(AI$38,$D$19),$P$20))-SUM($P1065:AH1065)</f>
        <v>#VALUE!</v>
      </c>
      <c r="AJ1065" s="446" t="e">
        <f>IF(OR($B1065="",MIN(AJ$38,$D$19)&lt;MAX($P$708*($B1065+IF($R$17="Distrato",$I$38-1,0)),IF(AND($L$711=0,$P$708=0),"",$L$711-1),IF($R$17="Distrato",$E1065,0))),0,YEARFRAC(MAX($P$708*($B1065+IF($R$17="Distrato",$I$38-1,0)),IF(AND($L$711=0,$P$708=0),"",$L$711-1),IF($R$17="Distrato",$E1065,0)),MIN(AJ$38,$D$19),$P$20))-SUM($P1065:AI1065)</f>
        <v>#VALUE!</v>
      </c>
      <c r="AK1065" s="446" t="e">
        <f>IF(OR($B1065="",MIN(AK$38,$D$19)&lt;MAX($P$708*($B1065+IF($R$17="Distrato",$I$38-1,0)),IF(AND($L$711=0,$P$708=0),"",$L$711-1),IF($R$17="Distrato",$E1065,0))),0,YEARFRAC(MAX($P$708*($B1065+IF($R$17="Distrato",$I$38-1,0)),IF(AND($L$711=0,$P$708=0),"",$L$711-1),IF($R$17="Distrato",$E1065,0)),MIN(AK$38,$D$19),$P$20))-SUM($P1065:AJ1065)</f>
        <v>#VALUE!</v>
      </c>
      <c r="AL1065" s="446" t="e">
        <f>IF(OR($B1065="",MIN(AL$38,$D$19)&lt;MAX($P$708*($B1065+IF($R$17="Distrato",$I$38-1,0)),IF(AND($L$711=0,$P$708=0),"",$L$711-1),IF($R$17="Distrato",$E1065,0))),0,YEARFRAC(MAX($P$708*($B1065+IF($R$17="Distrato",$I$38-1,0)),IF(AND($L$711=0,$P$708=0),"",$L$711-1),IF($R$17="Distrato",$E1065,0)),MIN(AL$38,$D$19),$P$20))-SUM($P1065:AK1065)</f>
        <v>#VALUE!</v>
      </c>
      <c r="AM1065" s="446" t="e">
        <f>IF(OR($B1065="",MIN(AM$38,$D$19)&lt;MAX($P$708*($B1065+IF($R$17="Distrato",$I$38-1,0)),IF(AND($L$711=0,$P$708=0),"",$L$711-1),IF($R$17="Distrato",$E1065,0))),0,YEARFRAC(MAX($P$708*($B1065+IF($R$17="Distrato",$I$38-1,0)),IF(AND($L$711=0,$P$708=0),"",$L$711-1),IF($R$17="Distrato",$E1065,0)),MIN(AM$38,$D$19),$P$20))-SUM($P1065:AL1065)</f>
        <v>#VALUE!</v>
      </c>
      <c r="AN1065" s="446" t="e">
        <f>IF(OR($B1065="",MIN(AN$38,$D$19)&lt;MAX($P$708*($B1065+IF($R$17="Distrato",$I$38-1,0)),IF(AND($L$711=0,$P$708=0),"",$L$711-1),IF($R$17="Distrato",$E1065,0))),0,YEARFRAC(MAX($P$708*($B1065+IF($R$17="Distrato",$I$38-1,0)),IF(AND($L$711=0,$P$708=0),"",$L$711-1),IF($R$17="Distrato",$E1065,0)),MIN(AN$38,$D$19),$P$20))-SUM($P1065:AM1065)</f>
        <v>#VALUE!</v>
      </c>
      <c r="AO1065" s="446" t="e">
        <f>IF(OR($B1065="",MIN(AO$38,$D$19)&lt;MAX($P$708*($B1065+IF($R$17="Distrato",$I$38-1,0)),IF(AND($L$711=0,$P$708=0),"",$L$711-1),IF($R$17="Distrato",$E1065,0))),0,YEARFRAC(MAX($P$708*($B1065+IF($R$17="Distrato",$I$38-1,0)),IF(AND($L$711=0,$P$708=0),"",$L$711-1),IF($R$17="Distrato",$E1065,0)),MIN(AO$38,$D$19),$P$20))-SUM($P1065:AN1065)</f>
        <v>#VALUE!</v>
      </c>
      <c r="AP1065" s="446" t="e">
        <f>IF(OR($B1065="",MIN(AP$38,$D$19)&lt;MAX($P$708*($B1065+IF($R$17="Distrato",$I$38-1,0)),IF(AND($L$711=0,$P$708=0),"",$L$711-1),IF($R$17="Distrato",$E1065,0))),0,YEARFRAC(MAX($P$708*($B1065+IF($R$17="Distrato",$I$38-1,0)),IF(AND($L$711=0,$P$708=0),"",$L$711-1),IF($R$17="Distrato",$E1065,0)),MIN(AP$38,$D$19),$P$20))-SUM($P1065:AO1065)</f>
        <v>#VALUE!</v>
      </c>
      <c r="AQ1065" s="446" t="e">
        <f>IF(OR($B1065="",MIN(AQ$38,$D$19)&lt;MAX($P$708*($B1065+IF($R$17="Distrato",$I$38-1,0)),IF(AND($L$711=0,$P$708=0),"",$L$711-1),IF($R$17="Distrato",$E1065,0))),0,YEARFRAC(MAX($P$708*($B1065+IF($R$17="Distrato",$I$38-1,0)),IF(AND($L$711=0,$P$708=0),"",$L$711-1),IF($R$17="Distrato",$E1065,0)),MIN(AQ$38,$D$19),$P$20))-SUM($P1065:AP1065)</f>
        <v>#VALUE!</v>
      </c>
      <c r="AR1065" s="446" t="e">
        <f>IF(OR($B1065="",MIN(AR$38,$D$19)&lt;MAX($P$708*($B1065+IF($R$17="Distrato",$I$38-1,0)),IF(AND($L$711=0,$P$708=0),"",$L$711-1),IF($R$17="Distrato",$E1065,0))),0,YEARFRAC(MAX($P$708*($B1065+IF($R$17="Distrato",$I$38-1,0)),IF(AND($L$711=0,$P$708=0),"",$L$711-1),IF($R$17="Distrato",$E1065,0)),MIN(AR$38,$D$19),$P$20))-SUM($P1065:AQ1065)</f>
        <v>#VALUE!</v>
      </c>
      <c r="AS1065" s="446" t="e">
        <f>IF(OR($B1065="",MIN(AS$38,$D$19)&lt;MAX($P$708*($B1065+IF($R$17="Distrato",$I$38-1,0)),IF(AND($L$711=0,$P$708=0),"",$L$711-1),IF($R$17="Distrato",$E1065,0))),0,YEARFRAC(MAX($P$708*($B1065+IF($R$17="Distrato",$I$38-1,0)),IF(AND($L$711=0,$P$708=0),"",$L$711-1),IF($R$17="Distrato",$E1065,0)),MIN(AS$38,$D$19),$P$20))-SUM($P1065:AR1065)</f>
        <v>#VALUE!</v>
      </c>
      <c r="AT1065" s="446" t="e">
        <f>IF(OR($B1065="",MIN(AT$38,$D$19)&lt;MAX($P$708*($B1065+IF($R$17="Distrato",$I$38-1,0)),IF(AND($L$711=0,$P$708=0),"",$L$711-1),IF($R$17="Distrato",$E1065,0))),0,YEARFRAC(MAX($P$708*($B1065+IF($R$17="Distrato",$I$38-1,0)),IF(AND($L$711=0,$P$708=0),"",$L$711-1),IF($R$17="Distrato",$E1065,0)),MIN(AT$38,$D$19),$P$20))-SUM($P1065:AS1065)</f>
        <v>#VALUE!</v>
      </c>
      <c r="AU1065" s="446" t="e">
        <f>IF(OR($B1065="",MIN(AU$38,$D$19)&lt;MAX($P$708*($B1065+IF($R$17="Distrato",$I$38-1,0)),IF(AND($L$711=0,$P$708=0),"",$L$711-1),IF($R$17="Distrato",$E1065,0))),0,YEARFRAC(MAX($P$708*($B1065+IF($R$17="Distrato",$I$38-1,0)),IF(AND($L$711=0,$P$708=0),"",$L$711-1),IF($R$17="Distrato",$E1065,0)),MIN(AU$38,$D$19),$P$20))-SUM($P1065:AT1065)</f>
        <v>#VALUE!</v>
      </c>
      <c r="AV1065" s="446" t="e">
        <f>IF(OR($B1065="",MIN(AV$38,$D$19)&lt;MAX($P$708*($B1065+IF($R$17="Distrato",$I$38-1,0)),IF(AND($L$711=0,$P$708=0),"",$L$711-1),IF($R$17="Distrato",$E1065,0))),0,YEARFRAC(MAX($P$708*($B1065+IF($R$17="Distrato",$I$38-1,0)),IF(AND($L$711=0,$P$708=0),"",$L$711-1),IF($R$17="Distrato",$E1065,0)),MIN(AV$38,$D$19),$P$20))-SUM($P1065:AU1065)</f>
        <v>#VALUE!</v>
      </c>
      <c r="AW1065" s="446" t="e">
        <f>IF(OR($B1065="",MIN(AW$38,$D$19)&lt;MAX($P$708*($B1065+IF($R$17="Distrato",$I$38-1,0)),IF(AND($L$711=0,$P$708=0),"",$L$711-1),IF($R$17="Distrato",$E1065,0))),0,YEARFRAC(MAX($P$708*($B1065+IF($R$17="Distrato",$I$38-1,0)),IF(AND($L$711=0,$P$708=0),"",$L$711-1),IF($R$17="Distrato",$E1065,0)),MIN(AW$38,$D$19),$P$20))-SUM($P1065:AV1065)</f>
        <v>#VALUE!</v>
      </c>
      <c r="AX1065" s="446" t="e">
        <f>IF(OR($B1065="",MIN(AX$38,$D$19)&lt;MAX($P$708*($B1065+IF($R$17="Distrato",$I$38-1,0)),IF(AND($L$711=0,$P$708=0),"",$L$711-1),IF($R$17="Distrato",$E1065,0))),0,YEARFRAC(MAX($P$708*($B1065+IF($R$17="Distrato",$I$38-1,0)),IF(AND($L$711=0,$P$708=0),"",$L$711-1),IF($R$17="Distrato",$E1065,0)),MIN(AX$38,$D$19),$P$20))-SUM($P1065:AW1065)</f>
        <v>#VALUE!</v>
      </c>
      <c r="AY1065" s="446" t="e">
        <f>IF(OR($B1065="",MIN(AY$38,$D$19)&lt;MAX($P$708*($B1065+IF($R$17="Distrato",$I$38-1,0)),IF(AND($L$711=0,$P$708=0),"",$L$711-1),IF($R$17="Distrato",$E1065,0))),0,YEARFRAC(MAX($P$708*($B1065+IF($R$17="Distrato",$I$38-1,0)),IF(AND($L$711=0,$P$708=0),"",$L$711-1),IF($R$17="Distrato",$E1065,0)),MIN(AY$38,$D$19),$P$20))-SUM($P1065:AX1065)</f>
        <v>#VALUE!</v>
      </c>
      <c r="AZ1065" s="446" t="e">
        <f>IF(OR($B1065="",MIN(AZ$38,$D$19)&lt;MAX($P$708*($B1065+IF($R$17="Distrato",$I$38-1,0)),IF(AND($L$711=0,$P$708=0),"",$L$711-1),IF($R$17="Distrato",$E1065,0))),0,YEARFRAC(MAX($P$708*($B1065+IF($R$17="Distrato",$I$38-1,0)),IF(AND($L$711=0,$P$708=0),"",$L$711-1),IF($R$17="Distrato",$E1065,0)),MIN(AZ$38,$D$19),$P$20))-SUM($P1065:AY1065)</f>
        <v>#VALUE!</v>
      </c>
      <c r="BA1065" s="446" t="e">
        <f>IF(OR($B1065="",MIN(BA$38,$D$19)&lt;MAX($P$708*($B1065+IF($R$17="Distrato",$I$38-1,0)),IF(AND($L$711=0,$P$708=0),"",$L$711-1),IF($R$17="Distrato",$E1065,0))),0,YEARFRAC(MAX($P$708*($B1065+IF($R$17="Distrato",$I$38-1,0)),IF(AND($L$711=0,$P$708=0),"",$L$711-1),IF($R$17="Distrato",$E1065,0)),MIN(BA$38,$D$19),$P$20))-SUM($P1065:AZ1065)</f>
        <v>#VALUE!</v>
      </c>
      <c r="BB1065" s="447"/>
    </row>
    <row r="1066" spans="1:54" s="446" customFormat="1" ht="11.25" hidden="1" customHeight="1" x14ac:dyDescent="0.2">
      <c r="A1066" s="235"/>
      <c r="B1066" s="236"/>
      <c r="C1066" s="29" t="str">
        <f>IF(B1066="","",IF($L$709=$BL$25,VLOOKUP(DATE(YEAR($D$19),MONTH($D$19)-1,1),ÍNDICES!$A:$DE,HLOOKUP($BL$25,ÍNDICES!$B$3:$T$4,2)+11)-VLOOKUP(B1066,ÍNDICES!$A:$DE,HLOOKUP($BL$25,ÍNDICES!$B$3:$T$4,2)+11)+1%,IF(C$712=$W$26,$J$35,IF(ISERROR(IF(B1066&gt;$D$19,1,VLOOKUP(DATE(YEAR(B1066),MONTH(B1066)+IF($C$709=$S$23,1,0),1),ÍNDICES!$A:$DE,$Z$709+1))),"",IF(B1066&gt;$D$19,1,VLOOKUP(DATE(YEAR(B1066),MONTH(B1066)+IF($C$709=$S$23,1,0),1),ÍNDICES!$A:$DE,$Z$709+1))))))</f>
        <v/>
      </c>
      <c r="D1066" s="155"/>
      <c r="E1066" s="88"/>
      <c r="F1066" s="88"/>
      <c r="G1066" s="88"/>
      <c r="H1066" s="118"/>
      <c r="I1066" s="182">
        <f t="shared" si="150"/>
        <v>0</v>
      </c>
      <c r="J1066" s="20">
        <f t="shared" ca="1" si="151"/>
        <v>0</v>
      </c>
      <c r="K1066" s="5">
        <f t="shared" ca="1" si="152"/>
        <v>0</v>
      </c>
      <c r="L1066" s="61">
        <f t="shared" ca="1" si="153"/>
        <v>0</v>
      </c>
      <c r="M1066" s="64">
        <f t="shared" si="154"/>
        <v>0</v>
      </c>
      <c r="N1066" s="151"/>
      <c r="O1066" s="5">
        <f t="shared" ca="1" si="155"/>
        <v>0</v>
      </c>
      <c r="P1066" s="446" t="e">
        <f t="shared" si="156"/>
        <v>#VALUE!</v>
      </c>
      <c r="Q1066" s="446" t="e">
        <f>IF(OR($B1066="",MIN(Q$38,$D$19)&lt;MAX($P$708*($B1066+IF($R$17="Distrato",$I$38-1,0)),IF(AND($L$711=0,$P$708=0),"",$L$711-1),IF($R$17="Distrato",$E1066,0))),0,YEARFRAC(MAX($P$708*($B1066+IF($R$17="Distrato",$I$38-1,0)),IF(AND($L$711=0,$P$708=0),"",$L$711-1),IF($R$17="Distrato",$E1066,0)),MIN(Q$38,$D$19),$P$20))-SUM($P1066:P1066)</f>
        <v>#VALUE!</v>
      </c>
      <c r="R1066" s="446" t="e">
        <f>IF(OR($B1066="",MIN(R$38,$D$19)&lt;MAX($P$708*($B1066+IF($R$17="Distrato",$I$38-1,0)),IF(AND($L$711=0,$P$708=0),"",$L$711-1),IF($R$17="Distrato",$E1066,0))),0,YEARFRAC(MAX($P$708*($B1066+IF($R$17="Distrato",$I$38-1,0)),IF(AND($L$711=0,$P$708=0),"",$L$711-1),IF($R$17="Distrato",$E1066,0)),MIN(R$38,$D$19),$P$20))-SUM($P1066:Q1066)</f>
        <v>#VALUE!</v>
      </c>
      <c r="S1066" s="446" t="e">
        <f>IF(OR($B1066="",MIN(S$38,$D$19)&lt;MAX($P$708*($B1066+IF($R$17="Distrato",$I$38-1,0)),IF(AND($L$711=0,$P$708=0),"",$L$711-1),IF($R$17="Distrato",$E1066,0))),0,YEARFRAC(MAX($P$708*($B1066+IF($R$17="Distrato",$I$38-1,0)),IF(AND($L$711=0,$P$708=0),"",$L$711-1),IF($R$17="Distrato",$E1066,0)),MIN(S$38,$D$19),$P$20))-SUM($P1066:R1066)</f>
        <v>#VALUE!</v>
      </c>
      <c r="T1066" s="446" t="e">
        <f>IF(OR($B1066="",MIN(T$38,$D$19)&lt;MAX($P$708*($B1066+IF($R$17="Distrato",$I$38-1,0)),IF(AND($L$711=0,$P$708=0),"",$L$711-1),IF($R$17="Distrato",$E1066,0))),0,YEARFRAC(MAX($P$708*($B1066+IF($R$17="Distrato",$I$38-1,0)),IF(AND($L$711=0,$P$708=0),"",$L$711-1),IF($R$17="Distrato",$E1066,0)),MIN(T$38,$D$19),$P$20))-SUM($P1066:S1066)</f>
        <v>#VALUE!</v>
      </c>
      <c r="U1066" s="446" t="e">
        <f>IF(OR($B1066="",MIN(U$38,$D$19)&lt;MAX($P$708*($B1066+IF($R$17="Distrato",$I$38-1,0)),IF(AND($L$711=0,$P$708=0),"",$L$711-1),IF($R$17="Distrato",$E1066,0))),0,YEARFRAC(MAX($P$708*($B1066+IF($R$17="Distrato",$I$38-1,0)),IF(AND($L$711=0,$P$708=0),"",$L$711-1),IF($R$17="Distrato",$E1066,0)),MIN(U$38,$D$19),$P$20))-SUM($P1066:T1066)</f>
        <v>#VALUE!</v>
      </c>
      <c r="V1066" s="446" t="e">
        <f>IF(OR($B1066="",MIN(V$38,$D$19)&lt;MAX($P$708*($B1066+IF($R$17="Distrato",$I$38-1,0)),IF(AND($L$711=0,$P$708=0),"",$L$711-1),IF($R$17="Distrato",$E1066,0))),0,YEARFRAC(MAX($P$708*($B1066+IF($R$17="Distrato",$I$38-1,0)),IF(AND($L$711=0,$P$708=0),"",$L$711-1),IF($R$17="Distrato",$E1066,0)),MIN(V$38,$D$19),$P$20))-SUM($P1066:U1066)</f>
        <v>#VALUE!</v>
      </c>
      <c r="W1066" s="446" t="e">
        <f>IF(OR($B1066="",MIN(W$38,$D$19)&lt;MAX($P$708*($B1066+IF($R$17="Distrato",$I$38-1,0)),IF(AND($L$711=0,$P$708=0),"",$L$711-1),IF($R$17="Distrato",$E1066,0))),0,YEARFRAC(MAX($P$708*($B1066+IF($R$17="Distrato",$I$38-1,0)),IF(AND($L$711=0,$P$708=0),"",$L$711-1),IF($R$17="Distrato",$E1066,0)),MIN(W$38,$D$19),$P$20))-SUM($P1066:V1066)</f>
        <v>#VALUE!</v>
      </c>
      <c r="X1066" s="446" t="e">
        <f>IF(OR($B1066="",MIN(X$38,$D$19)&lt;MAX($P$708*($B1066+IF($R$17="Distrato",$I$38-1,0)),IF(AND($L$711=0,$P$708=0),"",$L$711-1),IF($R$17="Distrato",$E1066,0))),0,YEARFRAC(MAX($P$708*($B1066+IF($R$17="Distrato",$I$38-1,0)),IF(AND($L$711=0,$P$708=0),"",$L$711-1),IF($R$17="Distrato",$E1066,0)),MIN(X$38,$D$19),$P$20))-SUM($P1066:W1066)</f>
        <v>#VALUE!</v>
      </c>
      <c r="Y1066" s="446" t="e">
        <f>IF(OR($B1066="",MIN(Y$38,$D$19)&lt;MAX($P$708*($B1066+IF($R$17="Distrato",$I$38-1,0)),IF(AND($L$711=0,$P$708=0),"",$L$711-1),IF($R$17="Distrato",$E1066,0))),0,YEARFRAC(MAX($P$708*($B1066+IF($R$17="Distrato",$I$38-1,0)),IF(AND($L$711=0,$P$708=0),"",$L$711-1),IF($R$17="Distrato",$E1066,0)),MIN(Y$38,$D$19),$P$20))-SUM($P1066:X1066)</f>
        <v>#VALUE!</v>
      </c>
      <c r="Z1066" s="446" t="e">
        <f>IF(OR($B1066="",MIN(Z$38,$D$19)&lt;MAX($P$708*($B1066+IF($R$17="Distrato",$I$38-1,0)),IF(AND($L$711=0,$P$708=0),"",$L$711-1),IF($R$17="Distrato",$E1066,0))),0,YEARFRAC(MAX($P$708*($B1066+IF($R$17="Distrato",$I$38-1,0)),IF(AND($L$711=0,$P$708=0),"",$L$711-1),IF($R$17="Distrato",$E1066,0)),MIN(Z$38,$D$19),$P$20))-SUM($P1066:Y1066)</f>
        <v>#VALUE!</v>
      </c>
      <c r="AA1066" s="446" t="e">
        <f>IF(OR($B1066="",MIN(AA$38,$D$19)&lt;MAX($P$708*($B1066+IF($R$17="Distrato",$I$38-1,0)),IF(AND($L$711=0,$P$708=0),"",$L$711-1),IF($R$17="Distrato",$E1066,0))),0,YEARFRAC(MAX($P$708*($B1066+IF($R$17="Distrato",$I$38-1,0)),IF(AND($L$711=0,$P$708=0),"",$L$711-1),IF($R$17="Distrato",$E1066,0)),MIN(AA$38,$D$19),$P$20))-SUM($P1066:Z1066)</f>
        <v>#VALUE!</v>
      </c>
      <c r="AB1066" s="446" t="e">
        <f>IF(OR($B1066="",MIN(AB$38,$D$19)&lt;MAX($P$708*($B1066+IF($R$17="Distrato",$I$38-1,0)),IF(AND($L$711=0,$P$708=0),"",$L$711-1),IF($R$17="Distrato",$E1066,0))),0,YEARFRAC(MAX($P$708*($B1066+IF($R$17="Distrato",$I$38-1,0)),IF(AND($L$711=0,$P$708=0),"",$L$711-1),IF($R$17="Distrato",$E1066,0)),MIN(AB$38,$D$19),$P$20))-SUM($P1066:AA1066)</f>
        <v>#VALUE!</v>
      </c>
      <c r="AC1066" s="446" t="e">
        <f>IF(OR($B1066="",MIN(AC$38,$D$19)&lt;MAX($P$708*($B1066+IF($R$17="Distrato",$I$38-1,0)),IF(AND($L$711=0,$P$708=0),"",$L$711-1),IF($R$17="Distrato",$E1066,0))),0,YEARFRAC(MAX($P$708*($B1066+IF($R$17="Distrato",$I$38-1,0)),IF(AND($L$711=0,$P$708=0),"",$L$711-1),IF($R$17="Distrato",$E1066,0)),MIN(AC$38,$D$19),$P$20))-SUM($P1066:AB1066)</f>
        <v>#VALUE!</v>
      </c>
      <c r="AD1066" s="446" t="e">
        <f>IF(OR($B1066="",MIN(AD$38,$D$19)&lt;MAX($P$708*($B1066+IF($R$17="Distrato",$I$38-1,0)),IF(AND($L$711=0,$P$708=0),"",$L$711-1),IF($R$17="Distrato",$E1066,0))),0,YEARFRAC(MAX($P$708*($B1066+IF($R$17="Distrato",$I$38-1,0)),IF(AND($L$711=0,$P$708=0),"",$L$711-1),IF($R$17="Distrato",$E1066,0)),MIN(AD$38,$D$19),$P$20))-SUM($P1066:AC1066)</f>
        <v>#VALUE!</v>
      </c>
      <c r="AE1066" s="446" t="e">
        <f>IF(OR($B1066="",MIN(AE$38,$D$19)&lt;MAX($P$708*($B1066+IF($R$17="Distrato",$I$38-1,0)),IF(AND($L$711=0,$P$708=0),"",$L$711-1),IF($R$17="Distrato",$E1066,0))),0,YEARFRAC(MAX($P$708*($B1066+IF($R$17="Distrato",$I$38-1,0)),IF(AND($L$711=0,$P$708=0),"",$L$711-1),IF($R$17="Distrato",$E1066,0)),MIN(AE$38,$D$19),$P$20))-SUM($P1066:AD1066)</f>
        <v>#VALUE!</v>
      </c>
      <c r="AF1066" s="446" t="e">
        <f>IF(OR($B1066="",MIN(AF$38,$D$19)&lt;MAX($P$708*($B1066+IF($R$17="Distrato",$I$38-1,0)),IF(AND($L$711=0,$P$708=0),"",$L$711-1),IF($R$17="Distrato",$E1066,0))),0,YEARFRAC(MAX($P$708*($B1066+IF($R$17="Distrato",$I$38-1,0)),IF(AND($L$711=0,$P$708=0),"",$L$711-1),IF($R$17="Distrato",$E1066,0)),MIN(AF$38,$D$19),$P$20))-SUM($P1066:AE1066)</f>
        <v>#VALUE!</v>
      </c>
      <c r="AG1066" s="446" t="e">
        <f>IF(OR($B1066="",MIN(AG$38,$D$19)&lt;MAX($P$708*($B1066+IF($R$17="Distrato",$I$38-1,0)),IF(AND($L$711=0,$P$708=0),"",$L$711-1),IF($R$17="Distrato",$E1066,0))),0,YEARFRAC(MAX($P$708*($B1066+IF($R$17="Distrato",$I$38-1,0)),IF(AND($L$711=0,$P$708=0),"",$L$711-1),IF($R$17="Distrato",$E1066,0)),MIN(AG$38,$D$19),$P$20))-SUM($P1066:AF1066)</f>
        <v>#VALUE!</v>
      </c>
      <c r="AH1066" s="446" t="e">
        <f>IF(OR($B1066="",MIN(AH$38,$D$19)&lt;MAX($P$708*($B1066+IF($R$17="Distrato",$I$38-1,0)),IF(AND($L$711=0,$P$708=0),"",$L$711-1),IF($R$17="Distrato",$E1066,0))),0,YEARFRAC(MAX($P$708*($B1066+IF($R$17="Distrato",$I$38-1,0)),IF(AND($L$711=0,$P$708=0),"",$L$711-1),IF($R$17="Distrato",$E1066,0)),MIN(AH$38,$D$19),$P$20))-SUM($P1066:AG1066)</f>
        <v>#VALUE!</v>
      </c>
      <c r="AI1066" s="446" t="e">
        <f>IF(OR($B1066="",MIN(AI$38,$D$19)&lt;MAX($P$708*($B1066+IF($R$17="Distrato",$I$38-1,0)),IF(AND($L$711=0,$P$708=0),"",$L$711-1),IF($R$17="Distrato",$E1066,0))),0,YEARFRAC(MAX($P$708*($B1066+IF($R$17="Distrato",$I$38-1,0)),IF(AND($L$711=0,$P$708=0),"",$L$711-1),IF($R$17="Distrato",$E1066,0)),MIN(AI$38,$D$19),$P$20))-SUM($P1066:AH1066)</f>
        <v>#VALUE!</v>
      </c>
      <c r="AJ1066" s="446" t="e">
        <f>IF(OR($B1066="",MIN(AJ$38,$D$19)&lt;MAX($P$708*($B1066+IF($R$17="Distrato",$I$38-1,0)),IF(AND($L$711=0,$P$708=0),"",$L$711-1),IF($R$17="Distrato",$E1066,0))),0,YEARFRAC(MAX($P$708*($B1066+IF($R$17="Distrato",$I$38-1,0)),IF(AND($L$711=0,$P$708=0),"",$L$711-1),IF($R$17="Distrato",$E1066,0)),MIN(AJ$38,$D$19),$P$20))-SUM($P1066:AI1066)</f>
        <v>#VALUE!</v>
      </c>
      <c r="AK1066" s="446" t="e">
        <f>IF(OR($B1066="",MIN(AK$38,$D$19)&lt;MAX($P$708*($B1066+IF($R$17="Distrato",$I$38-1,0)),IF(AND($L$711=0,$P$708=0),"",$L$711-1),IF($R$17="Distrato",$E1066,0))),0,YEARFRAC(MAX($P$708*($B1066+IF($R$17="Distrato",$I$38-1,0)),IF(AND($L$711=0,$P$708=0),"",$L$711-1),IF($R$17="Distrato",$E1066,0)),MIN(AK$38,$D$19),$P$20))-SUM($P1066:AJ1066)</f>
        <v>#VALUE!</v>
      </c>
      <c r="AL1066" s="446" t="e">
        <f>IF(OR($B1066="",MIN(AL$38,$D$19)&lt;MAX($P$708*($B1066+IF($R$17="Distrato",$I$38-1,0)),IF(AND($L$711=0,$P$708=0),"",$L$711-1),IF($R$17="Distrato",$E1066,0))),0,YEARFRAC(MAX($P$708*($B1066+IF($R$17="Distrato",$I$38-1,0)),IF(AND($L$711=0,$P$708=0),"",$L$711-1),IF($R$17="Distrato",$E1066,0)),MIN(AL$38,$D$19),$P$20))-SUM($P1066:AK1066)</f>
        <v>#VALUE!</v>
      </c>
      <c r="AM1066" s="446" t="e">
        <f>IF(OR($B1066="",MIN(AM$38,$D$19)&lt;MAX($P$708*($B1066+IF($R$17="Distrato",$I$38-1,0)),IF(AND($L$711=0,$P$708=0),"",$L$711-1),IF($R$17="Distrato",$E1066,0))),0,YEARFRAC(MAX($P$708*($B1066+IF($R$17="Distrato",$I$38-1,0)),IF(AND($L$711=0,$P$708=0),"",$L$711-1),IF($R$17="Distrato",$E1066,0)),MIN(AM$38,$D$19),$P$20))-SUM($P1066:AL1066)</f>
        <v>#VALUE!</v>
      </c>
      <c r="AN1066" s="446" t="e">
        <f>IF(OR($B1066="",MIN(AN$38,$D$19)&lt;MAX($P$708*($B1066+IF($R$17="Distrato",$I$38-1,0)),IF(AND($L$711=0,$P$708=0),"",$L$711-1),IF($R$17="Distrato",$E1066,0))),0,YEARFRAC(MAX($P$708*($B1066+IF($R$17="Distrato",$I$38-1,0)),IF(AND($L$711=0,$P$708=0),"",$L$711-1),IF($R$17="Distrato",$E1066,0)),MIN(AN$38,$D$19),$P$20))-SUM($P1066:AM1066)</f>
        <v>#VALUE!</v>
      </c>
      <c r="AO1066" s="446" t="e">
        <f>IF(OR($B1066="",MIN(AO$38,$D$19)&lt;MAX($P$708*($B1066+IF($R$17="Distrato",$I$38-1,0)),IF(AND($L$711=0,$P$708=0),"",$L$711-1),IF($R$17="Distrato",$E1066,0))),0,YEARFRAC(MAX($P$708*($B1066+IF($R$17="Distrato",$I$38-1,0)),IF(AND($L$711=0,$P$708=0),"",$L$711-1),IF($R$17="Distrato",$E1066,0)),MIN(AO$38,$D$19),$P$20))-SUM($P1066:AN1066)</f>
        <v>#VALUE!</v>
      </c>
      <c r="AP1066" s="446" t="e">
        <f>IF(OR($B1066="",MIN(AP$38,$D$19)&lt;MAX($P$708*($B1066+IF($R$17="Distrato",$I$38-1,0)),IF(AND($L$711=0,$P$708=0),"",$L$711-1),IF($R$17="Distrato",$E1066,0))),0,YEARFRAC(MAX($P$708*($B1066+IF($R$17="Distrato",$I$38-1,0)),IF(AND($L$711=0,$P$708=0),"",$L$711-1),IF($R$17="Distrato",$E1066,0)),MIN(AP$38,$D$19),$P$20))-SUM($P1066:AO1066)</f>
        <v>#VALUE!</v>
      </c>
      <c r="AQ1066" s="446" t="e">
        <f>IF(OR($B1066="",MIN(AQ$38,$D$19)&lt;MAX($P$708*($B1066+IF($R$17="Distrato",$I$38-1,0)),IF(AND($L$711=0,$P$708=0),"",$L$711-1),IF($R$17="Distrato",$E1066,0))),0,YEARFRAC(MAX($P$708*($B1066+IF($R$17="Distrato",$I$38-1,0)),IF(AND($L$711=0,$P$708=0),"",$L$711-1),IF($R$17="Distrato",$E1066,0)),MIN(AQ$38,$D$19),$P$20))-SUM($P1066:AP1066)</f>
        <v>#VALUE!</v>
      </c>
      <c r="AR1066" s="446" t="e">
        <f>IF(OR($B1066="",MIN(AR$38,$D$19)&lt;MAX($P$708*($B1066+IF($R$17="Distrato",$I$38-1,0)),IF(AND($L$711=0,$P$708=0),"",$L$711-1),IF($R$17="Distrato",$E1066,0))),0,YEARFRAC(MAX($P$708*($B1066+IF($R$17="Distrato",$I$38-1,0)),IF(AND($L$711=0,$P$708=0),"",$L$711-1),IF($R$17="Distrato",$E1066,0)),MIN(AR$38,$D$19),$P$20))-SUM($P1066:AQ1066)</f>
        <v>#VALUE!</v>
      </c>
      <c r="AS1066" s="446" t="e">
        <f>IF(OR($B1066="",MIN(AS$38,$D$19)&lt;MAX($P$708*($B1066+IF($R$17="Distrato",$I$38-1,0)),IF(AND($L$711=0,$P$708=0),"",$L$711-1),IF($R$17="Distrato",$E1066,0))),0,YEARFRAC(MAX($P$708*($B1066+IF($R$17="Distrato",$I$38-1,0)),IF(AND($L$711=0,$P$708=0),"",$L$711-1),IF($R$17="Distrato",$E1066,0)),MIN(AS$38,$D$19),$P$20))-SUM($P1066:AR1066)</f>
        <v>#VALUE!</v>
      </c>
      <c r="AT1066" s="446" t="e">
        <f>IF(OR($B1066="",MIN(AT$38,$D$19)&lt;MAX($P$708*($B1066+IF($R$17="Distrato",$I$38-1,0)),IF(AND($L$711=0,$P$708=0),"",$L$711-1),IF($R$17="Distrato",$E1066,0))),0,YEARFRAC(MAX($P$708*($B1066+IF($R$17="Distrato",$I$38-1,0)),IF(AND($L$711=0,$P$708=0),"",$L$711-1),IF($R$17="Distrato",$E1066,0)),MIN(AT$38,$D$19),$P$20))-SUM($P1066:AS1066)</f>
        <v>#VALUE!</v>
      </c>
      <c r="AU1066" s="446" t="e">
        <f>IF(OR($B1066="",MIN(AU$38,$D$19)&lt;MAX($P$708*($B1066+IF($R$17="Distrato",$I$38-1,0)),IF(AND($L$711=0,$P$708=0),"",$L$711-1),IF($R$17="Distrato",$E1066,0))),0,YEARFRAC(MAX($P$708*($B1066+IF($R$17="Distrato",$I$38-1,0)),IF(AND($L$711=0,$P$708=0),"",$L$711-1),IF($R$17="Distrato",$E1066,0)),MIN(AU$38,$D$19),$P$20))-SUM($P1066:AT1066)</f>
        <v>#VALUE!</v>
      </c>
      <c r="AV1066" s="446" t="e">
        <f>IF(OR($B1066="",MIN(AV$38,$D$19)&lt;MAX($P$708*($B1066+IF($R$17="Distrato",$I$38-1,0)),IF(AND($L$711=0,$P$708=0),"",$L$711-1),IF($R$17="Distrato",$E1066,0))),0,YEARFRAC(MAX($P$708*($B1066+IF($R$17="Distrato",$I$38-1,0)),IF(AND($L$711=0,$P$708=0),"",$L$711-1),IF($R$17="Distrato",$E1066,0)),MIN(AV$38,$D$19),$P$20))-SUM($P1066:AU1066)</f>
        <v>#VALUE!</v>
      </c>
      <c r="AW1066" s="446" t="e">
        <f>IF(OR($B1066="",MIN(AW$38,$D$19)&lt;MAX($P$708*($B1066+IF($R$17="Distrato",$I$38-1,0)),IF(AND($L$711=0,$P$708=0),"",$L$711-1),IF($R$17="Distrato",$E1066,0))),0,YEARFRAC(MAX($P$708*($B1066+IF($R$17="Distrato",$I$38-1,0)),IF(AND($L$711=0,$P$708=0),"",$L$711-1),IF($R$17="Distrato",$E1066,0)),MIN(AW$38,$D$19),$P$20))-SUM($P1066:AV1066)</f>
        <v>#VALUE!</v>
      </c>
      <c r="AX1066" s="446" t="e">
        <f>IF(OR($B1066="",MIN(AX$38,$D$19)&lt;MAX($P$708*($B1066+IF($R$17="Distrato",$I$38-1,0)),IF(AND($L$711=0,$P$708=0),"",$L$711-1),IF($R$17="Distrato",$E1066,0))),0,YEARFRAC(MAX($P$708*($B1066+IF($R$17="Distrato",$I$38-1,0)),IF(AND($L$711=0,$P$708=0),"",$L$711-1),IF($R$17="Distrato",$E1066,0)),MIN(AX$38,$D$19),$P$20))-SUM($P1066:AW1066)</f>
        <v>#VALUE!</v>
      </c>
      <c r="AY1066" s="446" t="e">
        <f>IF(OR($B1066="",MIN(AY$38,$D$19)&lt;MAX($P$708*($B1066+IF($R$17="Distrato",$I$38-1,0)),IF(AND($L$711=0,$P$708=0),"",$L$711-1),IF($R$17="Distrato",$E1066,0))),0,YEARFRAC(MAX($P$708*($B1066+IF($R$17="Distrato",$I$38-1,0)),IF(AND($L$711=0,$P$708=0),"",$L$711-1),IF($R$17="Distrato",$E1066,0)),MIN(AY$38,$D$19),$P$20))-SUM($P1066:AX1066)</f>
        <v>#VALUE!</v>
      </c>
      <c r="AZ1066" s="446" t="e">
        <f>IF(OR($B1066="",MIN(AZ$38,$D$19)&lt;MAX($P$708*($B1066+IF($R$17="Distrato",$I$38-1,0)),IF(AND($L$711=0,$P$708=0),"",$L$711-1),IF($R$17="Distrato",$E1066,0))),0,YEARFRAC(MAX($P$708*($B1066+IF($R$17="Distrato",$I$38-1,0)),IF(AND($L$711=0,$P$708=0),"",$L$711-1),IF($R$17="Distrato",$E1066,0)),MIN(AZ$38,$D$19),$P$20))-SUM($P1066:AY1066)</f>
        <v>#VALUE!</v>
      </c>
      <c r="BA1066" s="446" t="e">
        <f>IF(OR($B1066="",MIN(BA$38,$D$19)&lt;MAX($P$708*($B1066+IF($R$17="Distrato",$I$38-1,0)),IF(AND($L$711=0,$P$708=0),"",$L$711-1),IF($R$17="Distrato",$E1066,0))),0,YEARFRAC(MAX($P$708*($B1066+IF($R$17="Distrato",$I$38-1,0)),IF(AND($L$711=0,$P$708=0),"",$L$711-1),IF($R$17="Distrato",$E1066,0)),MIN(BA$38,$D$19),$P$20))-SUM($P1066:AZ1066)</f>
        <v>#VALUE!</v>
      </c>
      <c r="BB1066" s="447"/>
    </row>
    <row r="1067" spans="1:54" s="446" customFormat="1" ht="11.25" hidden="1" customHeight="1" x14ac:dyDescent="0.2">
      <c r="A1067" s="235"/>
      <c r="B1067" s="236"/>
      <c r="C1067" s="29" t="str">
        <f>IF(B1067="","",IF($L$709=$BL$25,VLOOKUP(DATE(YEAR($D$19),MONTH($D$19)-1,1),ÍNDICES!$A:$DE,HLOOKUP($BL$25,ÍNDICES!$B$3:$T$4,2)+11)-VLOOKUP(B1067,ÍNDICES!$A:$DE,HLOOKUP($BL$25,ÍNDICES!$B$3:$T$4,2)+11)+1%,IF(C$712=$W$26,$J$35,IF(ISERROR(IF(B1067&gt;$D$19,1,VLOOKUP(DATE(YEAR(B1067),MONTH(B1067)+IF($C$709=$S$23,1,0),1),ÍNDICES!$A:$DE,$Z$709+1))),"",IF(B1067&gt;$D$19,1,VLOOKUP(DATE(YEAR(B1067),MONTH(B1067)+IF($C$709=$S$23,1,0),1),ÍNDICES!$A:$DE,$Z$709+1))))))</f>
        <v/>
      </c>
      <c r="D1067" s="155"/>
      <c r="E1067" s="88"/>
      <c r="F1067" s="88"/>
      <c r="G1067" s="88"/>
      <c r="H1067" s="118"/>
      <c r="I1067" s="182">
        <f t="shared" si="150"/>
        <v>0</v>
      </c>
      <c r="J1067" s="20">
        <f t="shared" ca="1" si="151"/>
        <v>0</v>
      </c>
      <c r="K1067" s="5">
        <f t="shared" ca="1" si="152"/>
        <v>0</v>
      </c>
      <c r="L1067" s="61">
        <f t="shared" ca="1" si="153"/>
        <v>0</v>
      </c>
      <c r="M1067" s="64">
        <f t="shared" si="154"/>
        <v>0</v>
      </c>
      <c r="N1067" s="151"/>
      <c r="O1067" s="5">
        <f t="shared" ca="1" si="155"/>
        <v>0</v>
      </c>
      <c r="P1067" s="446" t="e">
        <f t="shared" si="156"/>
        <v>#VALUE!</v>
      </c>
      <c r="Q1067" s="446" t="e">
        <f>IF(OR($B1067="",MIN(Q$38,$D$19)&lt;MAX($P$708*($B1067+IF($R$17="Distrato",$I$38-1,0)),IF(AND($L$711=0,$P$708=0),"",$L$711-1),IF($R$17="Distrato",$E1067,0))),0,YEARFRAC(MAX($P$708*($B1067+IF($R$17="Distrato",$I$38-1,0)),IF(AND($L$711=0,$P$708=0),"",$L$711-1),IF($R$17="Distrato",$E1067,0)),MIN(Q$38,$D$19),$P$20))-SUM($P1067:P1067)</f>
        <v>#VALUE!</v>
      </c>
      <c r="R1067" s="446" t="e">
        <f>IF(OR($B1067="",MIN(R$38,$D$19)&lt;MAX($P$708*($B1067+IF($R$17="Distrato",$I$38-1,0)),IF(AND($L$711=0,$P$708=0),"",$L$711-1),IF($R$17="Distrato",$E1067,0))),0,YEARFRAC(MAX($P$708*($B1067+IF($R$17="Distrato",$I$38-1,0)),IF(AND($L$711=0,$P$708=0),"",$L$711-1),IF($R$17="Distrato",$E1067,0)),MIN(R$38,$D$19),$P$20))-SUM($P1067:Q1067)</f>
        <v>#VALUE!</v>
      </c>
      <c r="S1067" s="446" t="e">
        <f>IF(OR($B1067="",MIN(S$38,$D$19)&lt;MAX($P$708*($B1067+IF($R$17="Distrato",$I$38-1,0)),IF(AND($L$711=0,$P$708=0),"",$L$711-1),IF($R$17="Distrato",$E1067,0))),0,YEARFRAC(MAX($P$708*($B1067+IF($R$17="Distrato",$I$38-1,0)),IF(AND($L$711=0,$P$708=0),"",$L$711-1),IF($R$17="Distrato",$E1067,0)),MIN(S$38,$D$19),$P$20))-SUM($P1067:R1067)</f>
        <v>#VALUE!</v>
      </c>
      <c r="T1067" s="446" t="e">
        <f>IF(OR($B1067="",MIN(T$38,$D$19)&lt;MAX($P$708*($B1067+IF($R$17="Distrato",$I$38-1,0)),IF(AND($L$711=0,$P$708=0),"",$L$711-1),IF($R$17="Distrato",$E1067,0))),0,YEARFRAC(MAX($P$708*($B1067+IF($R$17="Distrato",$I$38-1,0)),IF(AND($L$711=0,$P$708=0),"",$L$711-1),IF($R$17="Distrato",$E1067,0)),MIN(T$38,$D$19),$P$20))-SUM($P1067:S1067)</f>
        <v>#VALUE!</v>
      </c>
      <c r="U1067" s="446" t="e">
        <f>IF(OR($B1067="",MIN(U$38,$D$19)&lt;MAX($P$708*($B1067+IF($R$17="Distrato",$I$38-1,0)),IF(AND($L$711=0,$P$708=0),"",$L$711-1),IF($R$17="Distrato",$E1067,0))),0,YEARFRAC(MAX($P$708*($B1067+IF($R$17="Distrato",$I$38-1,0)),IF(AND($L$711=0,$P$708=0),"",$L$711-1),IF($R$17="Distrato",$E1067,0)),MIN(U$38,$D$19),$P$20))-SUM($P1067:T1067)</f>
        <v>#VALUE!</v>
      </c>
      <c r="V1067" s="446" t="e">
        <f>IF(OR($B1067="",MIN(V$38,$D$19)&lt;MAX($P$708*($B1067+IF($R$17="Distrato",$I$38-1,0)),IF(AND($L$711=0,$P$708=0),"",$L$711-1),IF($R$17="Distrato",$E1067,0))),0,YEARFRAC(MAX($P$708*($B1067+IF($R$17="Distrato",$I$38-1,0)),IF(AND($L$711=0,$P$708=0),"",$L$711-1),IF($R$17="Distrato",$E1067,0)),MIN(V$38,$D$19),$P$20))-SUM($P1067:U1067)</f>
        <v>#VALUE!</v>
      </c>
      <c r="W1067" s="446" t="e">
        <f>IF(OR($B1067="",MIN(W$38,$D$19)&lt;MAX($P$708*($B1067+IF($R$17="Distrato",$I$38-1,0)),IF(AND($L$711=0,$P$708=0),"",$L$711-1),IF($R$17="Distrato",$E1067,0))),0,YEARFRAC(MAX($P$708*($B1067+IF($R$17="Distrato",$I$38-1,0)),IF(AND($L$711=0,$P$708=0),"",$L$711-1),IF($R$17="Distrato",$E1067,0)),MIN(W$38,$D$19),$P$20))-SUM($P1067:V1067)</f>
        <v>#VALUE!</v>
      </c>
      <c r="X1067" s="446" t="e">
        <f>IF(OR($B1067="",MIN(X$38,$D$19)&lt;MAX($P$708*($B1067+IF($R$17="Distrato",$I$38-1,0)),IF(AND($L$711=0,$P$708=0),"",$L$711-1),IF($R$17="Distrato",$E1067,0))),0,YEARFRAC(MAX($P$708*($B1067+IF($R$17="Distrato",$I$38-1,0)),IF(AND($L$711=0,$P$708=0),"",$L$711-1),IF($R$17="Distrato",$E1067,0)),MIN(X$38,$D$19),$P$20))-SUM($P1067:W1067)</f>
        <v>#VALUE!</v>
      </c>
      <c r="Y1067" s="446" t="e">
        <f>IF(OR($B1067="",MIN(Y$38,$D$19)&lt;MAX($P$708*($B1067+IF($R$17="Distrato",$I$38-1,0)),IF(AND($L$711=0,$P$708=0),"",$L$711-1),IF($R$17="Distrato",$E1067,0))),0,YEARFRAC(MAX($P$708*($B1067+IF($R$17="Distrato",$I$38-1,0)),IF(AND($L$711=0,$P$708=0),"",$L$711-1),IF($R$17="Distrato",$E1067,0)),MIN(Y$38,$D$19),$P$20))-SUM($P1067:X1067)</f>
        <v>#VALUE!</v>
      </c>
      <c r="Z1067" s="446" t="e">
        <f>IF(OR($B1067="",MIN(Z$38,$D$19)&lt;MAX($P$708*($B1067+IF($R$17="Distrato",$I$38-1,0)),IF(AND($L$711=0,$P$708=0),"",$L$711-1),IF($R$17="Distrato",$E1067,0))),0,YEARFRAC(MAX($P$708*($B1067+IF($R$17="Distrato",$I$38-1,0)),IF(AND($L$711=0,$P$708=0),"",$L$711-1),IF($R$17="Distrato",$E1067,0)),MIN(Z$38,$D$19),$P$20))-SUM($P1067:Y1067)</f>
        <v>#VALUE!</v>
      </c>
      <c r="AA1067" s="446" t="e">
        <f>IF(OR($B1067="",MIN(AA$38,$D$19)&lt;MAX($P$708*($B1067+IF($R$17="Distrato",$I$38-1,0)),IF(AND($L$711=0,$P$708=0),"",$L$711-1),IF($R$17="Distrato",$E1067,0))),0,YEARFRAC(MAX($P$708*($B1067+IF($R$17="Distrato",$I$38-1,0)),IF(AND($L$711=0,$P$708=0),"",$L$711-1),IF($R$17="Distrato",$E1067,0)),MIN(AA$38,$D$19),$P$20))-SUM($P1067:Z1067)</f>
        <v>#VALUE!</v>
      </c>
      <c r="AB1067" s="446" t="e">
        <f>IF(OR($B1067="",MIN(AB$38,$D$19)&lt;MAX($P$708*($B1067+IF($R$17="Distrato",$I$38-1,0)),IF(AND($L$711=0,$P$708=0),"",$L$711-1),IF($R$17="Distrato",$E1067,0))),0,YEARFRAC(MAX($P$708*($B1067+IF($R$17="Distrato",$I$38-1,0)),IF(AND($L$711=0,$P$708=0),"",$L$711-1),IF($R$17="Distrato",$E1067,0)),MIN(AB$38,$D$19),$P$20))-SUM($P1067:AA1067)</f>
        <v>#VALUE!</v>
      </c>
      <c r="AC1067" s="446" t="e">
        <f>IF(OR($B1067="",MIN(AC$38,$D$19)&lt;MAX($P$708*($B1067+IF($R$17="Distrato",$I$38-1,0)),IF(AND($L$711=0,$P$708=0),"",$L$711-1),IF($R$17="Distrato",$E1067,0))),0,YEARFRAC(MAX($P$708*($B1067+IF($R$17="Distrato",$I$38-1,0)),IF(AND($L$711=0,$P$708=0),"",$L$711-1),IF($R$17="Distrato",$E1067,0)),MIN(AC$38,$D$19),$P$20))-SUM($P1067:AB1067)</f>
        <v>#VALUE!</v>
      </c>
      <c r="AD1067" s="446" t="e">
        <f>IF(OR($B1067="",MIN(AD$38,$D$19)&lt;MAX($P$708*($B1067+IF($R$17="Distrato",$I$38-1,0)),IF(AND($L$711=0,$P$708=0),"",$L$711-1),IF($R$17="Distrato",$E1067,0))),0,YEARFRAC(MAX($P$708*($B1067+IF($R$17="Distrato",$I$38-1,0)),IF(AND($L$711=0,$P$708=0),"",$L$711-1),IF($R$17="Distrato",$E1067,0)),MIN(AD$38,$D$19),$P$20))-SUM($P1067:AC1067)</f>
        <v>#VALUE!</v>
      </c>
      <c r="AE1067" s="446" t="e">
        <f>IF(OR($B1067="",MIN(AE$38,$D$19)&lt;MAX($P$708*($B1067+IF($R$17="Distrato",$I$38-1,0)),IF(AND($L$711=0,$P$708=0),"",$L$711-1),IF($R$17="Distrato",$E1067,0))),0,YEARFRAC(MAX($P$708*($B1067+IF($R$17="Distrato",$I$38-1,0)),IF(AND($L$711=0,$P$708=0),"",$L$711-1),IF($R$17="Distrato",$E1067,0)),MIN(AE$38,$D$19),$P$20))-SUM($P1067:AD1067)</f>
        <v>#VALUE!</v>
      </c>
      <c r="AF1067" s="446" t="e">
        <f>IF(OR($B1067="",MIN(AF$38,$D$19)&lt;MAX($P$708*($B1067+IF($R$17="Distrato",$I$38-1,0)),IF(AND($L$711=0,$P$708=0),"",$L$711-1),IF($R$17="Distrato",$E1067,0))),0,YEARFRAC(MAX($P$708*($B1067+IF($R$17="Distrato",$I$38-1,0)),IF(AND($L$711=0,$P$708=0),"",$L$711-1),IF($R$17="Distrato",$E1067,0)),MIN(AF$38,$D$19),$P$20))-SUM($P1067:AE1067)</f>
        <v>#VALUE!</v>
      </c>
      <c r="AG1067" s="446" t="e">
        <f>IF(OR($B1067="",MIN(AG$38,$D$19)&lt;MAX($P$708*($B1067+IF($R$17="Distrato",$I$38-1,0)),IF(AND($L$711=0,$P$708=0),"",$L$711-1),IF($R$17="Distrato",$E1067,0))),0,YEARFRAC(MAX($P$708*($B1067+IF($R$17="Distrato",$I$38-1,0)),IF(AND($L$711=0,$P$708=0),"",$L$711-1),IF($R$17="Distrato",$E1067,0)),MIN(AG$38,$D$19),$P$20))-SUM($P1067:AF1067)</f>
        <v>#VALUE!</v>
      </c>
      <c r="AH1067" s="446" t="e">
        <f>IF(OR($B1067="",MIN(AH$38,$D$19)&lt;MAX($P$708*($B1067+IF($R$17="Distrato",$I$38-1,0)),IF(AND($L$711=0,$P$708=0),"",$L$711-1),IF($R$17="Distrato",$E1067,0))),0,YEARFRAC(MAX($P$708*($B1067+IF($R$17="Distrato",$I$38-1,0)),IF(AND($L$711=0,$P$708=0),"",$L$711-1),IF($R$17="Distrato",$E1067,0)),MIN(AH$38,$D$19),$P$20))-SUM($P1067:AG1067)</f>
        <v>#VALUE!</v>
      </c>
      <c r="AI1067" s="446" t="e">
        <f>IF(OR($B1067="",MIN(AI$38,$D$19)&lt;MAX($P$708*($B1067+IF($R$17="Distrato",$I$38-1,0)),IF(AND($L$711=0,$P$708=0),"",$L$711-1),IF($R$17="Distrato",$E1067,0))),0,YEARFRAC(MAX($P$708*($B1067+IF($R$17="Distrato",$I$38-1,0)),IF(AND($L$711=0,$P$708=0),"",$L$711-1),IF($R$17="Distrato",$E1067,0)),MIN(AI$38,$D$19),$P$20))-SUM($P1067:AH1067)</f>
        <v>#VALUE!</v>
      </c>
      <c r="AJ1067" s="446" t="e">
        <f>IF(OR($B1067="",MIN(AJ$38,$D$19)&lt;MAX($P$708*($B1067+IF($R$17="Distrato",$I$38-1,0)),IF(AND($L$711=0,$P$708=0),"",$L$711-1),IF($R$17="Distrato",$E1067,0))),0,YEARFRAC(MAX($P$708*($B1067+IF($R$17="Distrato",$I$38-1,0)),IF(AND($L$711=0,$P$708=0),"",$L$711-1),IF($R$17="Distrato",$E1067,0)),MIN(AJ$38,$D$19),$P$20))-SUM($P1067:AI1067)</f>
        <v>#VALUE!</v>
      </c>
      <c r="AK1067" s="446" t="e">
        <f>IF(OR($B1067="",MIN(AK$38,$D$19)&lt;MAX($P$708*($B1067+IF($R$17="Distrato",$I$38-1,0)),IF(AND($L$711=0,$P$708=0),"",$L$711-1),IF($R$17="Distrato",$E1067,0))),0,YEARFRAC(MAX($P$708*($B1067+IF($R$17="Distrato",$I$38-1,0)),IF(AND($L$711=0,$P$708=0),"",$L$711-1),IF($R$17="Distrato",$E1067,0)),MIN(AK$38,$D$19),$P$20))-SUM($P1067:AJ1067)</f>
        <v>#VALUE!</v>
      </c>
      <c r="AL1067" s="446" t="e">
        <f>IF(OR($B1067="",MIN(AL$38,$D$19)&lt;MAX($P$708*($B1067+IF($R$17="Distrato",$I$38-1,0)),IF(AND($L$711=0,$P$708=0),"",$L$711-1),IF($R$17="Distrato",$E1067,0))),0,YEARFRAC(MAX($P$708*($B1067+IF($R$17="Distrato",$I$38-1,0)),IF(AND($L$711=0,$P$708=0),"",$L$711-1),IF($R$17="Distrato",$E1067,0)),MIN(AL$38,$D$19),$P$20))-SUM($P1067:AK1067)</f>
        <v>#VALUE!</v>
      </c>
      <c r="AM1067" s="446" t="e">
        <f>IF(OR($B1067="",MIN(AM$38,$D$19)&lt;MAX($P$708*($B1067+IF($R$17="Distrato",$I$38-1,0)),IF(AND($L$711=0,$P$708=0),"",$L$711-1),IF($R$17="Distrato",$E1067,0))),0,YEARFRAC(MAX($P$708*($B1067+IF($R$17="Distrato",$I$38-1,0)),IF(AND($L$711=0,$P$708=0),"",$L$711-1),IF($R$17="Distrato",$E1067,0)),MIN(AM$38,$D$19),$P$20))-SUM($P1067:AL1067)</f>
        <v>#VALUE!</v>
      </c>
      <c r="AN1067" s="446" t="e">
        <f>IF(OR($B1067="",MIN(AN$38,$D$19)&lt;MAX($P$708*($B1067+IF($R$17="Distrato",$I$38-1,0)),IF(AND($L$711=0,$P$708=0),"",$L$711-1),IF($R$17="Distrato",$E1067,0))),0,YEARFRAC(MAX($P$708*($B1067+IF($R$17="Distrato",$I$38-1,0)),IF(AND($L$711=0,$P$708=0),"",$L$711-1),IF($R$17="Distrato",$E1067,0)),MIN(AN$38,$D$19),$P$20))-SUM($P1067:AM1067)</f>
        <v>#VALUE!</v>
      </c>
      <c r="AO1067" s="446" t="e">
        <f>IF(OR($B1067="",MIN(AO$38,$D$19)&lt;MAX($P$708*($B1067+IF($R$17="Distrato",$I$38-1,0)),IF(AND($L$711=0,$P$708=0),"",$L$711-1),IF($R$17="Distrato",$E1067,0))),0,YEARFRAC(MAX($P$708*($B1067+IF($R$17="Distrato",$I$38-1,0)),IF(AND($L$711=0,$P$708=0),"",$L$711-1),IF($R$17="Distrato",$E1067,0)),MIN(AO$38,$D$19),$P$20))-SUM($P1067:AN1067)</f>
        <v>#VALUE!</v>
      </c>
      <c r="AP1067" s="446" t="e">
        <f>IF(OR($B1067="",MIN(AP$38,$D$19)&lt;MAX($P$708*($B1067+IF($R$17="Distrato",$I$38-1,0)),IF(AND($L$711=0,$P$708=0),"",$L$711-1),IF($R$17="Distrato",$E1067,0))),0,YEARFRAC(MAX($P$708*($B1067+IF($R$17="Distrato",$I$38-1,0)),IF(AND($L$711=0,$P$708=0),"",$L$711-1),IF($R$17="Distrato",$E1067,0)),MIN(AP$38,$D$19),$P$20))-SUM($P1067:AO1067)</f>
        <v>#VALUE!</v>
      </c>
      <c r="AQ1067" s="446" t="e">
        <f>IF(OR($B1067="",MIN(AQ$38,$D$19)&lt;MAX($P$708*($B1067+IF($R$17="Distrato",$I$38-1,0)),IF(AND($L$711=0,$P$708=0),"",$L$711-1),IF($R$17="Distrato",$E1067,0))),0,YEARFRAC(MAX($P$708*($B1067+IF($R$17="Distrato",$I$38-1,0)),IF(AND($L$711=0,$P$708=0),"",$L$711-1),IF($R$17="Distrato",$E1067,0)),MIN(AQ$38,$D$19),$P$20))-SUM($P1067:AP1067)</f>
        <v>#VALUE!</v>
      </c>
      <c r="AR1067" s="446" t="e">
        <f>IF(OR($B1067="",MIN(AR$38,$D$19)&lt;MAX($P$708*($B1067+IF($R$17="Distrato",$I$38-1,0)),IF(AND($L$711=0,$P$708=0),"",$L$711-1),IF($R$17="Distrato",$E1067,0))),0,YEARFRAC(MAX($P$708*($B1067+IF($R$17="Distrato",$I$38-1,0)),IF(AND($L$711=0,$P$708=0),"",$L$711-1),IF($R$17="Distrato",$E1067,0)),MIN(AR$38,$D$19),$P$20))-SUM($P1067:AQ1067)</f>
        <v>#VALUE!</v>
      </c>
      <c r="AS1067" s="446" t="e">
        <f>IF(OR($B1067="",MIN(AS$38,$D$19)&lt;MAX($P$708*($B1067+IF($R$17="Distrato",$I$38-1,0)),IF(AND($L$711=0,$P$708=0),"",$L$711-1),IF($R$17="Distrato",$E1067,0))),0,YEARFRAC(MAX($P$708*($B1067+IF($R$17="Distrato",$I$38-1,0)),IF(AND($L$711=0,$P$708=0),"",$L$711-1),IF($R$17="Distrato",$E1067,0)),MIN(AS$38,$D$19),$P$20))-SUM($P1067:AR1067)</f>
        <v>#VALUE!</v>
      </c>
      <c r="AT1067" s="446" t="e">
        <f>IF(OR($B1067="",MIN(AT$38,$D$19)&lt;MAX($P$708*($B1067+IF($R$17="Distrato",$I$38-1,0)),IF(AND($L$711=0,$P$708=0),"",$L$711-1),IF($R$17="Distrato",$E1067,0))),0,YEARFRAC(MAX($P$708*($B1067+IF($R$17="Distrato",$I$38-1,0)),IF(AND($L$711=0,$P$708=0),"",$L$711-1),IF($R$17="Distrato",$E1067,0)),MIN(AT$38,$D$19),$P$20))-SUM($P1067:AS1067)</f>
        <v>#VALUE!</v>
      </c>
      <c r="AU1067" s="446" t="e">
        <f>IF(OR($B1067="",MIN(AU$38,$D$19)&lt;MAX($P$708*($B1067+IF($R$17="Distrato",$I$38-1,0)),IF(AND($L$711=0,$P$708=0),"",$L$711-1),IF($R$17="Distrato",$E1067,0))),0,YEARFRAC(MAX($P$708*($B1067+IF($R$17="Distrato",$I$38-1,0)),IF(AND($L$711=0,$P$708=0),"",$L$711-1),IF($R$17="Distrato",$E1067,0)),MIN(AU$38,$D$19),$P$20))-SUM($P1067:AT1067)</f>
        <v>#VALUE!</v>
      </c>
      <c r="AV1067" s="446" t="e">
        <f>IF(OR($B1067="",MIN(AV$38,$D$19)&lt;MAX($P$708*($B1067+IF($R$17="Distrato",$I$38-1,0)),IF(AND($L$711=0,$P$708=0),"",$L$711-1),IF($R$17="Distrato",$E1067,0))),0,YEARFRAC(MAX($P$708*($B1067+IF($R$17="Distrato",$I$38-1,0)),IF(AND($L$711=0,$P$708=0),"",$L$711-1),IF($R$17="Distrato",$E1067,0)),MIN(AV$38,$D$19),$P$20))-SUM($P1067:AU1067)</f>
        <v>#VALUE!</v>
      </c>
      <c r="AW1067" s="446" t="e">
        <f>IF(OR($B1067="",MIN(AW$38,$D$19)&lt;MAX($P$708*($B1067+IF($R$17="Distrato",$I$38-1,0)),IF(AND($L$711=0,$P$708=0),"",$L$711-1),IF($R$17="Distrato",$E1067,0))),0,YEARFRAC(MAX($P$708*($B1067+IF($R$17="Distrato",$I$38-1,0)),IF(AND($L$711=0,$P$708=0),"",$L$711-1),IF($R$17="Distrato",$E1067,0)),MIN(AW$38,$D$19),$P$20))-SUM($P1067:AV1067)</f>
        <v>#VALUE!</v>
      </c>
      <c r="AX1067" s="446" t="e">
        <f>IF(OR($B1067="",MIN(AX$38,$D$19)&lt;MAX($P$708*($B1067+IF($R$17="Distrato",$I$38-1,0)),IF(AND($L$711=0,$P$708=0),"",$L$711-1),IF($R$17="Distrato",$E1067,0))),0,YEARFRAC(MAX($P$708*($B1067+IF($R$17="Distrato",$I$38-1,0)),IF(AND($L$711=0,$P$708=0),"",$L$711-1),IF($R$17="Distrato",$E1067,0)),MIN(AX$38,$D$19),$P$20))-SUM($P1067:AW1067)</f>
        <v>#VALUE!</v>
      </c>
      <c r="AY1067" s="446" t="e">
        <f>IF(OR($B1067="",MIN(AY$38,$D$19)&lt;MAX($P$708*($B1067+IF($R$17="Distrato",$I$38-1,0)),IF(AND($L$711=0,$P$708=0),"",$L$711-1),IF($R$17="Distrato",$E1067,0))),0,YEARFRAC(MAX($P$708*($B1067+IF($R$17="Distrato",$I$38-1,0)),IF(AND($L$711=0,$P$708=0),"",$L$711-1),IF($R$17="Distrato",$E1067,0)),MIN(AY$38,$D$19),$P$20))-SUM($P1067:AX1067)</f>
        <v>#VALUE!</v>
      </c>
      <c r="AZ1067" s="446" t="e">
        <f>IF(OR($B1067="",MIN(AZ$38,$D$19)&lt;MAX($P$708*($B1067+IF($R$17="Distrato",$I$38-1,0)),IF(AND($L$711=0,$P$708=0),"",$L$711-1),IF($R$17="Distrato",$E1067,0))),0,YEARFRAC(MAX($P$708*($B1067+IF($R$17="Distrato",$I$38-1,0)),IF(AND($L$711=0,$P$708=0),"",$L$711-1),IF($R$17="Distrato",$E1067,0)),MIN(AZ$38,$D$19),$P$20))-SUM($P1067:AY1067)</f>
        <v>#VALUE!</v>
      </c>
      <c r="BA1067" s="446" t="e">
        <f>IF(OR($B1067="",MIN(BA$38,$D$19)&lt;MAX($P$708*($B1067+IF($R$17="Distrato",$I$38-1,0)),IF(AND($L$711=0,$P$708=0),"",$L$711-1),IF($R$17="Distrato",$E1067,0))),0,YEARFRAC(MAX($P$708*($B1067+IF($R$17="Distrato",$I$38-1,0)),IF(AND($L$711=0,$P$708=0),"",$L$711-1),IF($R$17="Distrato",$E1067,0)),MIN(BA$38,$D$19),$P$20))-SUM($P1067:AZ1067)</f>
        <v>#VALUE!</v>
      </c>
      <c r="BB1067" s="447"/>
    </row>
    <row r="1068" spans="1:54" s="446" customFormat="1" ht="11.25" hidden="1" customHeight="1" x14ac:dyDescent="0.2">
      <c r="A1068" s="235"/>
      <c r="B1068" s="236"/>
      <c r="C1068" s="29" t="str">
        <f>IF(B1068="","",IF($L$709=$BL$25,VLOOKUP(DATE(YEAR($D$19),MONTH($D$19)-1,1),ÍNDICES!$A:$DE,HLOOKUP($BL$25,ÍNDICES!$B$3:$T$4,2)+11)-VLOOKUP(B1068,ÍNDICES!$A:$DE,HLOOKUP($BL$25,ÍNDICES!$B$3:$T$4,2)+11)+1%,IF(C$712=$W$26,$J$35,IF(ISERROR(IF(B1068&gt;$D$19,1,VLOOKUP(DATE(YEAR(B1068),MONTH(B1068)+IF($C$709=$S$23,1,0),1),ÍNDICES!$A:$DE,$Z$709+1))),"",IF(B1068&gt;$D$19,1,VLOOKUP(DATE(YEAR(B1068),MONTH(B1068)+IF($C$709=$S$23,1,0),1),ÍNDICES!$A:$DE,$Z$709+1))))))</f>
        <v/>
      </c>
      <c r="D1068" s="155"/>
      <c r="E1068" s="88"/>
      <c r="F1068" s="88"/>
      <c r="G1068" s="88"/>
      <c r="H1068" s="118"/>
      <c r="I1068" s="182">
        <f t="shared" si="150"/>
        <v>0</v>
      </c>
      <c r="J1068" s="20">
        <f t="shared" ca="1" si="151"/>
        <v>0</v>
      </c>
      <c r="K1068" s="5">
        <f t="shared" ca="1" si="152"/>
        <v>0</v>
      </c>
      <c r="L1068" s="61">
        <f t="shared" ca="1" si="153"/>
        <v>0</v>
      </c>
      <c r="M1068" s="64">
        <f t="shared" si="154"/>
        <v>0</v>
      </c>
      <c r="N1068" s="151"/>
      <c r="O1068" s="5">
        <f t="shared" ca="1" si="155"/>
        <v>0</v>
      </c>
      <c r="P1068" s="446" t="e">
        <f t="shared" si="156"/>
        <v>#VALUE!</v>
      </c>
      <c r="Q1068" s="446" t="e">
        <f>IF(OR($B1068="",MIN(Q$38,$D$19)&lt;MAX($P$708*($B1068+IF($R$17="Distrato",$I$38-1,0)),IF(AND($L$711=0,$P$708=0),"",$L$711-1),IF($R$17="Distrato",$E1068,0))),0,YEARFRAC(MAX($P$708*($B1068+IF($R$17="Distrato",$I$38-1,0)),IF(AND($L$711=0,$P$708=0),"",$L$711-1),IF($R$17="Distrato",$E1068,0)),MIN(Q$38,$D$19),$P$20))-SUM($P1068:P1068)</f>
        <v>#VALUE!</v>
      </c>
      <c r="R1068" s="446" t="e">
        <f>IF(OR($B1068="",MIN(R$38,$D$19)&lt;MAX($P$708*($B1068+IF($R$17="Distrato",$I$38-1,0)),IF(AND($L$711=0,$P$708=0),"",$L$711-1),IF($R$17="Distrato",$E1068,0))),0,YEARFRAC(MAX($P$708*($B1068+IF($R$17="Distrato",$I$38-1,0)),IF(AND($L$711=0,$P$708=0),"",$L$711-1),IF($R$17="Distrato",$E1068,0)),MIN(R$38,$D$19),$P$20))-SUM($P1068:Q1068)</f>
        <v>#VALUE!</v>
      </c>
      <c r="S1068" s="446" t="e">
        <f>IF(OR($B1068="",MIN(S$38,$D$19)&lt;MAX($P$708*($B1068+IF($R$17="Distrato",$I$38-1,0)),IF(AND($L$711=0,$P$708=0),"",$L$711-1),IF($R$17="Distrato",$E1068,0))),0,YEARFRAC(MAX($P$708*($B1068+IF($R$17="Distrato",$I$38-1,0)),IF(AND($L$711=0,$P$708=0),"",$L$711-1),IF($R$17="Distrato",$E1068,0)),MIN(S$38,$D$19),$P$20))-SUM($P1068:R1068)</f>
        <v>#VALUE!</v>
      </c>
      <c r="T1068" s="446" t="e">
        <f>IF(OR($B1068="",MIN(T$38,$D$19)&lt;MAX($P$708*($B1068+IF($R$17="Distrato",$I$38-1,0)),IF(AND($L$711=0,$P$708=0),"",$L$711-1),IF($R$17="Distrato",$E1068,0))),0,YEARFRAC(MAX($P$708*($B1068+IF($R$17="Distrato",$I$38-1,0)),IF(AND($L$711=0,$P$708=0),"",$L$711-1),IF($R$17="Distrato",$E1068,0)),MIN(T$38,$D$19),$P$20))-SUM($P1068:S1068)</f>
        <v>#VALUE!</v>
      </c>
      <c r="U1068" s="446" t="e">
        <f>IF(OR($B1068="",MIN(U$38,$D$19)&lt;MAX($P$708*($B1068+IF($R$17="Distrato",$I$38-1,0)),IF(AND($L$711=0,$P$708=0),"",$L$711-1),IF($R$17="Distrato",$E1068,0))),0,YEARFRAC(MAX($P$708*($B1068+IF($R$17="Distrato",$I$38-1,0)),IF(AND($L$711=0,$P$708=0),"",$L$711-1),IF($R$17="Distrato",$E1068,0)),MIN(U$38,$D$19),$P$20))-SUM($P1068:T1068)</f>
        <v>#VALUE!</v>
      </c>
      <c r="V1068" s="446" t="e">
        <f>IF(OR($B1068="",MIN(V$38,$D$19)&lt;MAX($P$708*($B1068+IF($R$17="Distrato",$I$38-1,0)),IF(AND($L$711=0,$P$708=0),"",$L$711-1),IF($R$17="Distrato",$E1068,0))),0,YEARFRAC(MAX($P$708*($B1068+IF($R$17="Distrato",$I$38-1,0)),IF(AND($L$711=0,$P$708=0),"",$L$711-1),IF($R$17="Distrato",$E1068,0)),MIN(V$38,$D$19),$P$20))-SUM($P1068:U1068)</f>
        <v>#VALUE!</v>
      </c>
      <c r="W1068" s="446" t="e">
        <f>IF(OR($B1068="",MIN(W$38,$D$19)&lt;MAX($P$708*($B1068+IF($R$17="Distrato",$I$38-1,0)),IF(AND($L$711=0,$P$708=0),"",$L$711-1),IF($R$17="Distrato",$E1068,0))),0,YEARFRAC(MAX($P$708*($B1068+IF($R$17="Distrato",$I$38-1,0)),IF(AND($L$711=0,$P$708=0),"",$L$711-1),IF($R$17="Distrato",$E1068,0)),MIN(W$38,$D$19),$P$20))-SUM($P1068:V1068)</f>
        <v>#VALUE!</v>
      </c>
      <c r="X1068" s="446" t="e">
        <f>IF(OR($B1068="",MIN(X$38,$D$19)&lt;MAX($P$708*($B1068+IF($R$17="Distrato",$I$38-1,0)),IF(AND($L$711=0,$P$708=0),"",$L$711-1),IF($R$17="Distrato",$E1068,0))),0,YEARFRAC(MAX($P$708*($B1068+IF($R$17="Distrato",$I$38-1,0)),IF(AND($L$711=0,$P$708=0),"",$L$711-1),IF($R$17="Distrato",$E1068,0)),MIN(X$38,$D$19),$P$20))-SUM($P1068:W1068)</f>
        <v>#VALUE!</v>
      </c>
      <c r="Y1068" s="446" t="e">
        <f>IF(OR($B1068="",MIN(Y$38,$D$19)&lt;MAX($P$708*($B1068+IF($R$17="Distrato",$I$38-1,0)),IF(AND($L$711=0,$P$708=0),"",$L$711-1),IF($R$17="Distrato",$E1068,0))),0,YEARFRAC(MAX($P$708*($B1068+IF($R$17="Distrato",$I$38-1,0)),IF(AND($L$711=0,$P$708=0),"",$L$711-1),IF($R$17="Distrato",$E1068,0)),MIN(Y$38,$D$19),$P$20))-SUM($P1068:X1068)</f>
        <v>#VALUE!</v>
      </c>
      <c r="Z1068" s="446" t="e">
        <f>IF(OR($B1068="",MIN(Z$38,$D$19)&lt;MAX($P$708*($B1068+IF($R$17="Distrato",$I$38-1,0)),IF(AND($L$711=0,$P$708=0),"",$L$711-1),IF($R$17="Distrato",$E1068,0))),0,YEARFRAC(MAX($P$708*($B1068+IF($R$17="Distrato",$I$38-1,0)),IF(AND($L$711=0,$P$708=0),"",$L$711-1),IF($R$17="Distrato",$E1068,0)),MIN(Z$38,$D$19),$P$20))-SUM($P1068:Y1068)</f>
        <v>#VALUE!</v>
      </c>
      <c r="AA1068" s="446" t="e">
        <f>IF(OR($B1068="",MIN(AA$38,$D$19)&lt;MAX($P$708*($B1068+IF($R$17="Distrato",$I$38-1,0)),IF(AND($L$711=0,$P$708=0),"",$L$711-1),IF($R$17="Distrato",$E1068,0))),0,YEARFRAC(MAX($P$708*($B1068+IF($R$17="Distrato",$I$38-1,0)),IF(AND($L$711=0,$P$708=0),"",$L$711-1),IF($R$17="Distrato",$E1068,0)),MIN(AA$38,$D$19),$P$20))-SUM($P1068:Z1068)</f>
        <v>#VALUE!</v>
      </c>
      <c r="AB1068" s="446" t="e">
        <f>IF(OR($B1068="",MIN(AB$38,$D$19)&lt;MAX($P$708*($B1068+IF($R$17="Distrato",$I$38-1,0)),IF(AND($L$711=0,$P$708=0),"",$L$711-1),IF($R$17="Distrato",$E1068,0))),0,YEARFRAC(MAX($P$708*($B1068+IF($R$17="Distrato",$I$38-1,0)),IF(AND($L$711=0,$P$708=0),"",$L$711-1),IF($R$17="Distrato",$E1068,0)),MIN(AB$38,$D$19),$P$20))-SUM($P1068:AA1068)</f>
        <v>#VALUE!</v>
      </c>
      <c r="AC1068" s="446" t="e">
        <f>IF(OR($B1068="",MIN(AC$38,$D$19)&lt;MAX($P$708*($B1068+IF($R$17="Distrato",$I$38-1,0)),IF(AND($L$711=0,$P$708=0),"",$L$711-1),IF($R$17="Distrato",$E1068,0))),0,YEARFRAC(MAX($P$708*($B1068+IF($R$17="Distrato",$I$38-1,0)),IF(AND($L$711=0,$P$708=0),"",$L$711-1),IF($R$17="Distrato",$E1068,0)),MIN(AC$38,$D$19),$P$20))-SUM($P1068:AB1068)</f>
        <v>#VALUE!</v>
      </c>
      <c r="AD1068" s="446" t="e">
        <f>IF(OR($B1068="",MIN(AD$38,$D$19)&lt;MAX($P$708*($B1068+IF($R$17="Distrato",$I$38-1,0)),IF(AND($L$711=0,$P$708=0),"",$L$711-1),IF($R$17="Distrato",$E1068,0))),0,YEARFRAC(MAX($P$708*($B1068+IF($R$17="Distrato",$I$38-1,0)),IF(AND($L$711=0,$P$708=0),"",$L$711-1),IF($R$17="Distrato",$E1068,0)),MIN(AD$38,$D$19),$P$20))-SUM($P1068:AC1068)</f>
        <v>#VALUE!</v>
      </c>
      <c r="AE1068" s="446" t="e">
        <f>IF(OR($B1068="",MIN(AE$38,$D$19)&lt;MAX($P$708*($B1068+IF($R$17="Distrato",$I$38-1,0)),IF(AND($L$711=0,$P$708=0),"",$L$711-1),IF($R$17="Distrato",$E1068,0))),0,YEARFRAC(MAX($P$708*($B1068+IF($R$17="Distrato",$I$38-1,0)),IF(AND($L$711=0,$P$708=0),"",$L$711-1),IF($R$17="Distrato",$E1068,0)),MIN(AE$38,$D$19),$P$20))-SUM($P1068:AD1068)</f>
        <v>#VALUE!</v>
      </c>
      <c r="AF1068" s="446" t="e">
        <f>IF(OR($B1068="",MIN(AF$38,$D$19)&lt;MAX($P$708*($B1068+IF($R$17="Distrato",$I$38-1,0)),IF(AND($L$711=0,$P$708=0),"",$L$711-1),IF($R$17="Distrato",$E1068,0))),0,YEARFRAC(MAX($P$708*($B1068+IF($R$17="Distrato",$I$38-1,0)),IF(AND($L$711=0,$P$708=0),"",$L$711-1),IF($R$17="Distrato",$E1068,0)),MIN(AF$38,$D$19),$P$20))-SUM($P1068:AE1068)</f>
        <v>#VALUE!</v>
      </c>
      <c r="AG1068" s="446" t="e">
        <f>IF(OR($B1068="",MIN(AG$38,$D$19)&lt;MAX($P$708*($B1068+IF($R$17="Distrato",$I$38-1,0)),IF(AND($L$711=0,$P$708=0),"",$L$711-1),IF($R$17="Distrato",$E1068,0))),0,YEARFRAC(MAX($P$708*($B1068+IF($R$17="Distrato",$I$38-1,0)),IF(AND($L$711=0,$P$708=0),"",$L$711-1),IF($R$17="Distrato",$E1068,0)),MIN(AG$38,$D$19),$P$20))-SUM($P1068:AF1068)</f>
        <v>#VALUE!</v>
      </c>
      <c r="AH1068" s="446" t="e">
        <f>IF(OR($B1068="",MIN(AH$38,$D$19)&lt;MAX($P$708*($B1068+IF($R$17="Distrato",$I$38-1,0)),IF(AND($L$711=0,$P$708=0),"",$L$711-1),IF($R$17="Distrato",$E1068,0))),0,YEARFRAC(MAX($P$708*($B1068+IF($R$17="Distrato",$I$38-1,0)),IF(AND($L$711=0,$P$708=0),"",$L$711-1),IF($R$17="Distrato",$E1068,0)),MIN(AH$38,$D$19),$P$20))-SUM($P1068:AG1068)</f>
        <v>#VALUE!</v>
      </c>
      <c r="AI1068" s="446" t="e">
        <f>IF(OR($B1068="",MIN(AI$38,$D$19)&lt;MAX($P$708*($B1068+IF($R$17="Distrato",$I$38-1,0)),IF(AND($L$711=0,$P$708=0),"",$L$711-1),IF($R$17="Distrato",$E1068,0))),0,YEARFRAC(MAX($P$708*($B1068+IF($R$17="Distrato",$I$38-1,0)),IF(AND($L$711=0,$P$708=0),"",$L$711-1),IF($R$17="Distrato",$E1068,0)),MIN(AI$38,$D$19),$P$20))-SUM($P1068:AH1068)</f>
        <v>#VALUE!</v>
      </c>
      <c r="AJ1068" s="446" t="e">
        <f>IF(OR($B1068="",MIN(AJ$38,$D$19)&lt;MAX($P$708*($B1068+IF($R$17="Distrato",$I$38-1,0)),IF(AND($L$711=0,$P$708=0),"",$L$711-1),IF($R$17="Distrato",$E1068,0))),0,YEARFRAC(MAX($P$708*($B1068+IF($R$17="Distrato",$I$38-1,0)),IF(AND($L$711=0,$P$708=0),"",$L$711-1),IF($R$17="Distrato",$E1068,0)),MIN(AJ$38,$D$19),$P$20))-SUM($P1068:AI1068)</f>
        <v>#VALUE!</v>
      </c>
      <c r="AK1068" s="446" t="e">
        <f>IF(OR($B1068="",MIN(AK$38,$D$19)&lt;MAX($P$708*($B1068+IF($R$17="Distrato",$I$38-1,0)),IF(AND($L$711=0,$P$708=0),"",$L$711-1),IF($R$17="Distrato",$E1068,0))),0,YEARFRAC(MAX($P$708*($B1068+IF($R$17="Distrato",$I$38-1,0)),IF(AND($L$711=0,$P$708=0),"",$L$711-1),IF($R$17="Distrato",$E1068,0)),MIN(AK$38,$D$19),$P$20))-SUM($P1068:AJ1068)</f>
        <v>#VALUE!</v>
      </c>
      <c r="AL1068" s="446" t="e">
        <f>IF(OR($B1068="",MIN(AL$38,$D$19)&lt;MAX($P$708*($B1068+IF($R$17="Distrato",$I$38-1,0)),IF(AND($L$711=0,$P$708=0),"",$L$711-1),IF($R$17="Distrato",$E1068,0))),0,YEARFRAC(MAX($P$708*($B1068+IF($R$17="Distrato",$I$38-1,0)),IF(AND($L$711=0,$P$708=0),"",$L$711-1),IF($R$17="Distrato",$E1068,0)),MIN(AL$38,$D$19),$P$20))-SUM($P1068:AK1068)</f>
        <v>#VALUE!</v>
      </c>
      <c r="AM1068" s="446" t="e">
        <f>IF(OR($B1068="",MIN(AM$38,$D$19)&lt;MAX($P$708*($B1068+IF($R$17="Distrato",$I$38-1,0)),IF(AND($L$711=0,$P$708=0),"",$L$711-1),IF($R$17="Distrato",$E1068,0))),0,YEARFRAC(MAX($P$708*($B1068+IF($R$17="Distrato",$I$38-1,0)),IF(AND($L$711=0,$P$708=0),"",$L$711-1),IF($R$17="Distrato",$E1068,0)),MIN(AM$38,$D$19),$P$20))-SUM($P1068:AL1068)</f>
        <v>#VALUE!</v>
      </c>
      <c r="AN1068" s="446" t="e">
        <f>IF(OR($B1068="",MIN(AN$38,$D$19)&lt;MAX($P$708*($B1068+IF($R$17="Distrato",$I$38-1,0)),IF(AND($L$711=0,$P$708=0),"",$L$711-1),IF($R$17="Distrato",$E1068,0))),0,YEARFRAC(MAX($P$708*($B1068+IF($R$17="Distrato",$I$38-1,0)),IF(AND($L$711=0,$P$708=0),"",$L$711-1),IF($R$17="Distrato",$E1068,0)),MIN(AN$38,$D$19),$P$20))-SUM($P1068:AM1068)</f>
        <v>#VALUE!</v>
      </c>
      <c r="AO1068" s="446" t="e">
        <f>IF(OR($B1068="",MIN(AO$38,$D$19)&lt;MAX($P$708*($B1068+IF($R$17="Distrato",$I$38-1,0)),IF(AND($L$711=0,$P$708=0),"",$L$711-1),IF($R$17="Distrato",$E1068,0))),0,YEARFRAC(MAX($P$708*($B1068+IF($R$17="Distrato",$I$38-1,0)),IF(AND($L$711=0,$P$708=0),"",$L$711-1),IF($R$17="Distrato",$E1068,0)),MIN(AO$38,$D$19),$P$20))-SUM($P1068:AN1068)</f>
        <v>#VALUE!</v>
      </c>
      <c r="AP1068" s="446" t="e">
        <f>IF(OR($B1068="",MIN(AP$38,$D$19)&lt;MAX($P$708*($B1068+IF($R$17="Distrato",$I$38-1,0)),IF(AND($L$711=0,$P$708=0),"",$L$711-1),IF($R$17="Distrato",$E1068,0))),0,YEARFRAC(MAX($P$708*($B1068+IF($R$17="Distrato",$I$38-1,0)),IF(AND($L$711=0,$P$708=0),"",$L$711-1),IF($R$17="Distrato",$E1068,0)),MIN(AP$38,$D$19),$P$20))-SUM($P1068:AO1068)</f>
        <v>#VALUE!</v>
      </c>
      <c r="AQ1068" s="446" t="e">
        <f>IF(OR($B1068="",MIN(AQ$38,$D$19)&lt;MAX($P$708*($B1068+IF($R$17="Distrato",$I$38-1,0)),IF(AND($L$711=0,$P$708=0),"",$L$711-1),IF($R$17="Distrato",$E1068,0))),0,YEARFRAC(MAX($P$708*($B1068+IF($R$17="Distrato",$I$38-1,0)),IF(AND($L$711=0,$P$708=0),"",$L$711-1),IF($R$17="Distrato",$E1068,0)),MIN(AQ$38,$D$19),$P$20))-SUM($P1068:AP1068)</f>
        <v>#VALUE!</v>
      </c>
      <c r="AR1068" s="446" t="e">
        <f>IF(OR($B1068="",MIN(AR$38,$D$19)&lt;MAX($P$708*($B1068+IF($R$17="Distrato",$I$38-1,0)),IF(AND($L$711=0,$P$708=0),"",$L$711-1),IF($R$17="Distrato",$E1068,0))),0,YEARFRAC(MAX($P$708*($B1068+IF($R$17="Distrato",$I$38-1,0)),IF(AND($L$711=0,$P$708=0),"",$L$711-1),IF($R$17="Distrato",$E1068,0)),MIN(AR$38,$D$19),$P$20))-SUM($P1068:AQ1068)</f>
        <v>#VALUE!</v>
      </c>
      <c r="AS1068" s="446" t="e">
        <f>IF(OR($B1068="",MIN(AS$38,$D$19)&lt;MAX($P$708*($B1068+IF($R$17="Distrato",$I$38-1,0)),IF(AND($L$711=0,$P$708=0),"",$L$711-1),IF($R$17="Distrato",$E1068,0))),0,YEARFRAC(MAX($P$708*($B1068+IF($R$17="Distrato",$I$38-1,0)),IF(AND($L$711=0,$P$708=0),"",$L$711-1),IF($R$17="Distrato",$E1068,0)),MIN(AS$38,$D$19),$P$20))-SUM($P1068:AR1068)</f>
        <v>#VALUE!</v>
      </c>
      <c r="AT1068" s="446" t="e">
        <f>IF(OR($B1068="",MIN(AT$38,$D$19)&lt;MAX($P$708*($B1068+IF($R$17="Distrato",$I$38-1,0)),IF(AND($L$711=0,$P$708=0),"",$L$711-1),IF($R$17="Distrato",$E1068,0))),0,YEARFRAC(MAX($P$708*($B1068+IF($R$17="Distrato",$I$38-1,0)),IF(AND($L$711=0,$P$708=0),"",$L$711-1),IF($R$17="Distrato",$E1068,0)),MIN(AT$38,$D$19),$P$20))-SUM($P1068:AS1068)</f>
        <v>#VALUE!</v>
      </c>
      <c r="AU1068" s="446" t="e">
        <f>IF(OR($B1068="",MIN(AU$38,$D$19)&lt;MAX($P$708*($B1068+IF($R$17="Distrato",$I$38-1,0)),IF(AND($L$711=0,$P$708=0),"",$L$711-1),IF($R$17="Distrato",$E1068,0))),0,YEARFRAC(MAX($P$708*($B1068+IF($R$17="Distrato",$I$38-1,0)),IF(AND($L$711=0,$P$708=0),"",$L$711-1),IF($R$17="Distrato",$E1068,0)),MIN(AU$38,$D$19),$P$20))-SUM($P1068:AT1068)</f>
        <v>#VALUE!</v>
      </c>
      <c r="AV1068" s="446" t="e">
        <f>IF(OR($B1068="",MIN(AV$38,$D$19)&lt;MAX($P$708*($B1068+IF($R$17="Distrato",$I$38-1,0)),IF(AND($L$711=0,$P$708=0),"",$L$711-1),IF($R$17="Distrato",$E1068,0))),0,YEARFRAC(MAX($P$708*($B1068+IF($R$17="Distrato",$I$38-1,0)),IF(AND($L$711=0,$P$708=0),"",$L$711-1),IF($R$17="Distrato",$E1068,0)),MIN(AV$38,$D$19),$P$20))-SUM($P1068:AU1068)</f>
        <v>#VALUE!</v>
      </c>
      <c r="AW1068" s="446" t="e">
        <f>IF(OR($B1068="",MIN(AW$38,$D$19)&lt;MAX($P$708*($B1068+IF($R$17="Distrato",$I$38-1,0)),IF(AND($L$711=0,$P$708=0),"",$L$711-1),IF($R$17="Distrato",$E1068,0))),0,YEARFRAC(MAX($P$708*($B1068+IF($R$17="Distrato",$I$38-1,0)),IF(AND($L$711=0,$P$708=0),"",$L$711-1),IF($R$17="Distrato",$E1068,0)),MIN(AW$38,$D$19),$P$20))-SUM($P1068:AV1068)</f>
        <v>#VALUE!</v>
      </c>
      <c r="AX1068" s="446" t="e">
        <f>IF(OR($B1068="",MIN(AX$38,$D$19)&lt;MAX($P$708*($B1068+IF($R$17="Distrato",$I$38-1,0)),IF(AND($L$711=0,$P$708=0),"",$L$711-1),IF($R$17="Distrato",$E1068,0))),0,YEARFRAC(MAX($P$708*($B1068+IF($R$17="Distrato",$I$38-1,0)),IF(AND($L$711=0,$P$708=0),"",$L$711-1),IF($R$17="Distrato",$E1068,0)),MIN(AX$38,$D$19),$P$20))-SUM($P1068:AW1068)</f>
        <v>#VALUE!</v>
      </c>
      <c r="AY1068" s="446" t="e">
        <f>IF(OR($B1068="",MIN(AY$38,$D$19)&lt;MAX($P$708*($B1068+IF($R$17="Distrato",$I$38-1,0)),IF(AND($L$711=0,$P$708=0),"",$L$711-1),IF($R$17="Distrato",$E1068,0))),0,YEARFRAC(MAX($P$708*($B1068+IF($R$17="Distrato",$I$38-1,0)),IF(AND($L$711=0,$P$708=0),"",$L$711-1),IF($R$17="Distrato",$E1068,0)),MIN(AY$38,$D$19),$P$20))-SUM($P1068:AX1068)</f>
        <v>#VALUE!</v>
      </c>
      <c r="AZ1068" s="446" t="e">
        <f>IF(OR($B1068="",MIN(AZ$38,$D$19)&lt;MAX($P$708*($B1068+IF($R$17="Distrato",$I$38-1,0)),IF(AND($L$711=0,$P$708=0),"",$L$711-1),IF($R$17="Distrato",$E1068,0))),0,YEARFRAC(MAX($P$708*($B1068+IF($R$17="Distrato",$I$38-1,0)),IF(AND($L$711=0,$P$708=0),"",$L$711-1),IF($R$17="Distrato",$E1068,0)),MIN(AZ$38,$D$19),$P$20))-SUM($P1068:AY1068)</f>
        <v>#VALUE!</v>
      </c>
      <c r="BA1068" s="446" t="e">
        <f>IF(OR($B1068="",MIN(BA$38,$D$19)&lt;MAX($P$708*($B1068+IF($R$17="Distrato",$I$38-1,0)),IF(AND($L$711=0,$P$708=0),"",$L$711-1),IF($R$17="Distrato",$E1068,0))),0,YEARFRAC(MAX($P$708*($B1068+IF($R$17="Distrato",$I$38-1,0)),IF(AND($L$711=0,$P$708=0),"",$L$711-1),IF($R$17="Distrato",$E1068,0)),MIN(BA$38,$D$19),$P$20))-SUM($P1068:AZ1068)</f>
        <v>#VALUE!</v>
      </c>
      <c r="BB1068" s="447"/>
    </row>
    <row r="1069" spans="1:54" s="446" customFormat="1" ht="11.25" hidden="1" customHeight="1" x14ac:dyDescent="0.2">
      <c r="A1069" s="235"/>
      <c r="B1069" s="236"/>
      <c r="C1069" s="29" t="str">
        <f>IF(B1069="","",IF($L$709=$BL$25,VLOOKUP(DATE(YEAR($D$19),MONTH($D$19)-1,1),ÍNDICES!$A:$DE,HLOOKUP($BL$25,ÍNDICES!$B$3:$T$4,2)+11)-VLOOKUP(B1069,ÍNDICES!$A:$DE,HLOOKUP($BL$25,ÍNDICES!$B$3:$T$4,2)+11)+1%,IF(C$712=$W$26,$J$35,IF(ISERROR(IF(B1069&gt;$D$19,1,VLOOKUP(DATE(YEAR(B1069),MONTH(B1069)+IF($C$709=$S$23,1,0),1),ÍNDICES!$A:$DE,$Z$709+1))),"",IF(B1069&gt;$D$19,1,VLOOKUP(DATE(YEAR(B1069),MONTH(B1069)+IF($C$709=$S$23,1,0),1),ÍNDICES!$A:$DE,$Z$709+1))))))</f>
        <v/>
      </c>
      <c r="D1069" s="155"/>
      <c r="E1069" s="88"/>
      <c r="F1069" s="88"/>
      <c r="G1069" s="88"/>
      <c r="H1069" s="118"/>
      <c r="I1069" s="182">
        <f t="shared" si="150"/>
        <v>0</v>
      </c>
      <c r="J1069" s="20">
        <f t="shared" ca="1" si="151"/>
        <v>0</v>
      </c>
      <c r="K1069" s="5">
        <f t="shared" ca="1" si="152"/>
        <v>0</v>
      </c>
      <c r="L1069" s="61">
        <f t="shared" ca="1" si="153"/>
        <v>0</v>
      </c>
      <c r="M1069" s="64">
        <f t="shared" si="154"/>
        <v>0</v>
      </c>
      <c r="N1069" s="151"/>
      <c r="O1069" s="5">
        <f t="shared" ca="1" si="155"/>
        <v>0</v>
      </c>
      <c r="P1069" s="446" t="e">
        <f t="shared" si="156"/>
        <v>#VALUE!</v>
      </c>
      <c r="Q1069" s="446" t="e">
        <f>IF(OR($B1069="",MIN(Q$38,$D$19)&lt;MAX($P$708*($B1069+IF($R$17="Distrato",$I$38-1,0)),IF(AND($L$711=0,$P$708=0),"",$L$711-1),IF($R$17="Distrato",$E1069,0))),0,YEARFRAC(MAX($P$708*($B1069+IF($R$17="Distrato",$I$38-1,0)),IF(AND($L$711=0,$P$708=0),"",$L$711-1),IF($R$17="Distrato",$E1069,0)),MIN(Q$38,$D$19),$P$20))-SUM($P1069:P1069)</f>
        <v>#VALUE!</v>
      </c>
      <c r="R1069" s="446" t="e">
        <f>IF(OR($B1069="",MIN(R$38,$D$19)&lt;MAX($P$708*($B1069+IF($R$17="Distrato",$I$38-1,0)),IF(AND($L$711=0,$P$708=0),"",$L$711-1),IF($R$17="Distrato",$E1069,0))),0,YEARFRAC(MAX($P$708*($B1069+IF($R$17="Distrato",$I$38-1,0)),IF(AND($L$711=0,$P$708=0),"",$L$711-1),IF($R$17="Distrato",$E1069,0)),MIN(R$38,$D$19),$P$20))-SUM($P1069:Q1069)</f>
        <v>#VALUE!</v>
      </c>
      <c r="S1069" s="446" t="e">
        <f>IF(OR($B1069="",MIN(S$38,$D$19)&lt;MAX($P$708*($B1069+IF($R$17="Distrato",$I$38-1,0)),IF(AND($L$711=0,$P$708=0),"",$L$711-1),IF($R$17="Distrato",$E1069,0))),0,YEARFRAC(MAX($P$708*($B1069+IF($R$17="Distrato",$I$38-1,0)),IF(AND($L$711=0,$P$708=0),"",$L$711-1),IF($R$17="Distrato",$E1069,0)),MIN(S$38,$D$19),$P$20))-SUM($P1069:R1069)</f>
        <v>#VALUE!</v>
      </c>
      <c r="T1069" s="446" t="e">
        <f>IF(OR($B1069="",MIN(T$38,$D$19)&lt;MAX($P$708*($B1069+IF($R$17="Distrato",$I$38-1,0)),IF(AND($L$711=0,$P$708=0),"",$L$711-1),IF($R$17="Distrato",$E1069,0))),0,YEARFRAC(MAX($P$708*($B1069+IF($R$17="Distrato",$I$38-1,0)),IF(AND($L$711=0,$P$708=0),"",$L$711-1),IF($R$17="Distrato",$E1069,0)),MIN(T$38,$D$19),$P$20))-SUM($P1069:S1069)</f>
        <v>#VALUE!</v>
      </c>
      <c r="U1069" s="446" t="e">
        <f>IF(OR($B1069="",MIN(U$38,$D$19)&lt;MAX($P$708*($B1069+IF($R$17="Distrato",$I$38-1,0)),IF(AND($L$711=0,$P$708=0),"",$L$711-1),IF($R$17="Distrato",$E1069,0))),0,YEARFRAC(MAX($P$708*($B1069+IF($R$17="Distrato",$I$38-1,0)),IF(AND($L$711=0,$P$708=0),"",$L$711-1),IF($R$17="Distrato",$E1069,0)),MIN(U$38,$D$19),$P$20))-SUM($P1069:T1069)</f>
        <v>#VALUE!</v>
      </c>
      <c r="V1069" s="446" t="e">
        <f>IF(OR($B1069="",MIN(V$38,$D$19)&lt;MAX($P$708*($B1069+IF($R$17="Distrato",$I$38-1,0)),IF(AND($L$711=0,$P$708=0),"",$L$711-1),IF($R$17="Distrato",$E1069,0))),0,YEARFRAC(MAX($P$708*($B1069+IF($R$17="Distrato",$I$38-1,0)),IF(AND($L$711=0,$P$708=0),"",$L$711-1),IF($R$17="Distrato",$E1069,0)),MIN(V$38,$D$19),$P$20))-SUM($P1069:U1069)</f>
        <v>#VALUE!</v>
      </c>
      <c r="W1069" s="446" t="e">
        <f>IF(OR($B1069="",MIN(W$38,$D$19)&lt;MAX($P$708*($B1069+IF($R$17="Distrato",$I$38-1,0)),IF(AND($L$711=0,$P$708=0),"",$L$711-1),IF($R$17="Distrato",$E1069,0))),0,YEARFRAC(MAX($P$708*($B1069+IF($R$17="Distrato",$I$38-1,0)),IF(AND($L$711=0,$P$708=0),"",$L$711-1),IF($R$17="Distrato",$E1069,0)),MIN(W$38,$D$19),$P$20))-SUM($P1069:V1069)</f>
        <v>#VALUE!</v>
      </c>
      <c r="X1069" s="446" t="e">
        <f>IF(OR($B1069="",MIN(X$38,$D$19)&lt;MAX($P$708*($B1069+IF($R$17="Distrato",$I$38-1,0)),IF(AND($L$711=0,$P$708=0),"",$L$711-1),IF($R$17="Distrato",$E1069,0))),0,YEARFRAC(MAX($P$708*($B1069+IF($R$17="Distrato",$I$38-1,0)),IF(AND($L$711=0,$P$708=0),"",$L$711-1),IF($R$17="Distrato",$E1069,0)),MIN(X$38,$D$19),$P$20))-SUM($P1069:W1069)</f>
        <v>#VALUE!</v>
      </c>
      <c r="Y1069" s="446" t="e">
        <f>IF(OR($B1069="",MIN(Y$38,$D$19)&lt;MAX($P$708*($B1069+IF($R$17="Distrato",$I$38-1,0)),IF(AND($L$711=0,$P$708=0),"",$L$711-1),IF($R$17="Distrato",$E1069,0))),0,YEARFRAC(MAX($P$708*($B1069+IF($R$17="Distrato",$I$38-1,0)),IF(AND($L$711=0,$P$708=0),"",$L$711-1),IF($R$17="Distrato",$E1069,0)),MIN(Y$38,$D$19),$P$20))-SUM($P1069:X1069)</f>
        <v>#VALUE!</v>
      </c>
      <c r="Z1069" s="446" t="e">
        <f>IF(OR($B1069="",MIN(Z$38,$D$19)&lt;MAX($P$708*($B1069+IF($R$17="Distrato",$I$38-1,0)),IF(AND($L$711=0,$P$708=0),"",$L$711-1),IF($R$17="Distrato",$E1069,0))),0,YEARFRAC(MAX($P$708*($B1069+IF($R$17="Distrato",$I$38-1,0)),IF(AND($L$711=0,$P$708=0),"",$L$711-1),IF($R$17="Distrato",$E1069,0)),MIN(Z$38,$D$19),$P$20))-SUM($P1069:Y1069)</f>
        <v>#VALUE!</v>
      </c>
      <c r="AA1069" s="446" t="e">
        <f>IF(OR($B1069="",MIN(AA$38,$D$19)&lt;MAX($P$708*($B1069+IF($R$17="Distrato",$I$38-1,0)),IF(AND($L$711=0,$P$708=0),"",$L$711-1),IF($R$17="Distrato",$E1069,0))),0,YEARFRAC(MAX($P$708*($B1069+IF($R$17="Distrato",$I$38-1,0)),IF(AND($L$711=0,$P$708=0),"",$L$711-1),IF($R$17="Distrato",$E1069,0)),MIN(AA$38,$D$19),$P$20))-SUM($P1069:Z1069)</f>
        <v>#VALUE!</v>
      </c>
      <c r="AB1069" s="446" t="e">
        <f>IF(OR($B1069="",MIN(AB$38,$D$19)&lt;MAX($P$708*($B1069+IF($R$17="Distrato",$I$38-1,0)),IF(AND($L$711=0,$P$708=0),"",$L$711-1),IF($R$17="Distrato",$E1069,0))),0,YEARFRAC(MAX($P$708*($B1069+IF($R$17="Distrato",$I$38-1,0)),IF(AND($L$711=0,$P$708=0),"",$L$711-1),IF($R$17="Distrato",$E1069,0)),MIN(AB$38,$D$19),$P$20))-SUM($P1069:AA1069)</f>
        <v>#VALUE!</v>
      </c>
      <c r="AC1069" s="446" t="e">
        <f>IF(OR($B1069="",MIN(AC$38,$D$19)&lt;MAX($P$708*($B1069+IF($R$17="Distrato",$I$38-1,0)),IF(AND($L$711=0,$P$708=0),"",$L$711-1),IF($R$17="Distrato",$E1069,0))),0,YEARFRAC(MAX($P$708*($B1069+IF($R$17="Distrato",$I$38-1,0)),IF(AND($L$711=0,$P$708=0),"",$L$711-1),IF($R$17="Distrato",$E1069,0)),MIN(AC$38,$D$19),$P$20))-SUM($P1069:AB1069)</f>
        <v>#VALUE!</v>
      </c>
      <c r="AD1069" s="446" t="e">
        <f>IF(OR($B1069="",MIN(AD$38,$D$19)&lt;MAX($P$708*($B1069+IF($R$17="Distrato",$I$38-1,0)),IF(AND($L$711=0,$P$708=0),"",$L$711-1),IF($R$17="Distrato",$E1069,0))),0,YEARFRAC(MAX($P$708*($B1069+IF($R$17="Distrato",$I$38-1,0)),IF(AND($L$711=0,$P$708=0),"",$L$711-1),IF($R$17="Distrato",$E1069,0)),MIN(AD$38,$D$19),$P$20))-SUM($P1069:AC1069)</f>
        <v>#VALUE!</v>
      </c>
      <c r="AE1069" s="446" t="e">
        <f>IF(OR($B1069="",MIN(AE$38,$D$19)&lt;MAX($P$708*($B1069+IF($R$17="Distrato",$I$38-1,0)),IF(AND($L$711=0,$P$708=0),"",$L$711-1),IF($R$17="Distrato",$E1069,0))),0,YEARFRAC(MAX($P$708*($B1069+IF($R$17="Distrato",$I$38-1,0)),IF(AND($L$711=0,$P$708=0),"",$L$711-1),IF($R$17="Distrato",$E1069,0)),MIN(AE$38,$D$19),$P$20))-SUM($P1069:AD1069)</f>
        <v>#VALUE!</v>
      </c>
      <c r="AF1069" s="446" t="e">
        <f>IF(OR($B1069="",MIN(AF$38,$D$19)&lt;MAX($P$708*($B1069+IF($R$17="Distrato",$I$38-1,0)),IF(AND($L$711=0,$P$708=0),"",$L$711-1),IF($R$17="Distrato",$E1069,0))),0,YEARFRAC(MAX($P$708*($B1069+IF($R$17="Distrato",$I$38-1,0)),IF(AND($L$711=0,$P$708=0),"",$L$711-1),IF($R$17="Distrato",$E1069,0)),MIN(AF$38,$D$19),$P$20))-SUM($P1069:AE1069)</f>
        <v>#VALUE!</v>
      </c>
      <c r="AG1069" s="446" t="e">
        <f>IF(OR($B1069="",MIN(AG$38,$D$19)&lt;MAX($P$708*($B1069+IF($R$17="Distrato",$I$38-1,0)),IF(AND($L$711=0,$P$708=0),"",$L$711-1),IF($R$17="Distrato",$E1069,0))),0,YEARFRAC(MAX($P$708*($B1069+IF($R$17="Distrato",$I$38-1,0)),IF(AND($L$711=0,$P$708=0),"",$L$711-1),IF($R$17="Distrato",$E1069,0)),MIN(AG$38,$D$19),$P$20))-SUM($P1069:AF1069)</f>
        <v>#VALUE!</v>
      </c>
      <c r="AH1069" s="446" t="e">
        <f>IF(OR($B1069="",MIN(AH$38,$D$19)&lt;MAX($P$708*($B1069+IF($R$17="Distrato",$I$38-1,0)),IF(AND($L$711=0,$P$708=0),"",$L$711-1),IF($R$17="Distrato",$E1069,0))),0,YEARFRAC(MAX($P$708*($B1069+IF($R$17="Distrato",$I$38-1,0)),IF(AND($L$711=0,$P$708=0),"",$L$711-1),IF($R$17="Distrato",$E1069,0)),MIN(AH$38,$D$19),$P$20))-SUM($P1069:AG1069)</f>
        <v>#VALUE!</v>
      </c>
      <c r="AI1069" s="446" t="e">
        <f>IF(OR($B1069="",MIN(AI$38,$D$19)&lt;MAX($P$708*($B1069+IF($R$17="Distrato",$I$38-1,0)),IF(AND($L$711=0,$P$708=0),"",$L$711-1),IF($R$17="Distrato",$E1069,0))),0,YEARFRAC(MAX($P$708*($B1069+IF($R$17="Distrato",$I$38-1,0)),IF(AND($L$711=0,$P$708=0),"",$L$711-1),IF($R$17="Distrato",$E1069,0)),MIN(AI$38,$D$19),$P$20))-SUM($P1069:AH1069)</f>
        <v>#VALUE!</v>
      </c>
      <c r="AJ1069" s="446" t="e">
        <f>IF(OR($B1069="",MIN(AJ$38,$D$19)&lt;MAX($P$708*($B1069+IF($R$17="Distrato",$I$38-1,0)),IF(AND($L$711=0,$P$708=0),"",$L$711-1),IF($R$17="Distrato",$E1069,0))),0,YEARFRAC(MAX($P$708*($B1069+IF($R$17="Distrato",$I$38-1,0)),IF(AND($L$711=0,$P$708=0),"",$L$711-1),IF($R$17="Distrato",$E1069,0)),MIN(AJ$38,$D$19),$P$20))-SUM($P1069:AI1069)</f>
        <v>#VALUE!</v>
      </c>
      <c r="AK1069" s="446" t="e">
        <f>IF(OR($B1069="",MIN(AK$38,$D$19)&lt;MAX($P$708*($B1069+IF($R$17="Distrato",$I$38-1,0)),IF(AND($L$711=0,$P$708=0),"",$L$711-1),IF($R$17="Distrato",$E1069,0))),0,YEARFRAC(MAX($P$708*($B1069+IF($R$17="Distrato",$I$38-1,0)),IF(AND($L$711=0,$P$708=0),"",$L$711-1),IF($R$17="Distrato",$E1069,0)),MIN(AK$38,$D$19),$P$20))-SUM($P1069:AJ1069)</f>
        <v>#VALUE!</v>
      </c>
      <c r="AL1069" s="446" t="e">
        <f>IF(OR($B1069="",MIN(AL$38,$D$19)&lt;MAX($P$708*($B1069+IF($R$17="Distrato",$I$38-1,0)),IF(AND($L$711=0,$P$708=0),"",$L$711-1),IF($R$17="Distrato",$E1069,0))),0,YEARFRAC(MAX($P$708*($B1069+IF($R$17="Distrato",$I$38-1,0)),IF(AND($L$711=0,$P$708=0),"",$L$711-1),IF($R$17="Distrato",$E1069,0)),MIN(AL$38,$D$19),$P$20))-SUM($P1069:AK1069)</f>
        <v>#VALUE!</v>
      </c>
      <c r="AM1069" s="446" t="e">
        <f>IF(OR($B1069="",MIN(AM$38,$D$19)&lt;MAX($P$708*($B1069+IF($R$17="Distrato",$I$38-1,0)),IF(AND($L$711=0,$P$708=0),"",$L$711-1),IF($R$17="Distrato",$E1069,0))),0,YEARFRAC(MAX($P$708*($B1069+IF($R$17="Distrato",$I$38-1,0)),IF(AND($L$711=0,$P$708=0),"",$L$711-1),IF($R$17="Distrato",$E1069,0)),MIN(AM$38,$D$19),$P$20))-SUM($P1069:AL1069)</f>
        <v>#VALUE!</v>
      </c>
      <c r="AN1069" s="446" t="e">
        <f>IF(OR($B1069="",MIN(AN$38,$D$19)&lt;MAX($P$708*($B1069+IF($R$17="Distrato",$I$38-1,0)),IF(AND($L$711=0,$P$708=0),"",$L$711-1),IF($R$17="Distrato",$E1069,0))),0,YEARFRAC(MAX($P$708*($B1069+IF($R$17="Distrato",$I$38-1,0)),IF(AND($L$711=0,$P$708=0),"",$L$711-1),IF($R$17="Distrato",$E1069,0)),MIN(AN$38,$D$19),$P$20))-SUM($P1069:AM1069)</f>
        <v>#VALUE!</v>
      </c>
      <c r="AO1069" s="446" t="e">
        <f>IF(OR($B1069="",MIN(AO$38,$D$19)&lt;MAX($P$708*($B1069+IF($R$17="Distrato",$I$38-1,0)),IF(AND($L$711=0,$P$708=0),"",$L$711-1),IF($R$17="Distrato",$E1069,0))),0,YEARFRAC(MAX($P$708*($B1069+IF($R$17="Distrato",$I$38-1,0)),IF(AND($L$711=0,$P$708=0),"",$L$711-1),IF($R$17="Distrato",$E1069,0)),MIN(AO$38,$D$19),$P$20))-SUM($P1069:AN1069)</f>
        <v>#VALUE!</v>
      </c>
      <c r="AP1069" s="446" t="e">
        <f>IF(OR($B1069="",MIN(AP$38,$D$19)&lt;MAX($P$708*($B1069+IF($R$17="Distrato",$I$38-1,0)),IF(AND($L$711=0,$P$708=0),"",$L$711-1),IF($R$17="Distrato",$E1069,0))),0,YEARFRAC(MAX($P$708*($B1069+IF($R$17="Distrato",$I$38-1,0)),IF(AND($L$711=0,$P$708=0),"",$L$711-1),IF($R$17="Distrato",$E1069,0)),MIN(AP$38,$D$19),$P$20))-SUM($P1069:AO1069)</f>
        <v>#VALUE!</v>
      </c>
      <c r="AQ1069" s="446" t="e">
        <f>IF(OR($B1069="",MIN(AQ$38,$D$19)&lt;MAX($P$708*($B1069+IF($R$17="Distrato",$I$38-1,0)),IF(AND($L$711=0,$P$708=0),"",$L$711-1),IF($R$17="Distrato",$E1069,0))),0,YEARFRAC(MAX($P$708*($B1069+IF($R$17="Distrato",$I$38-1,0)),IF(AND($L$711=0,$P$708=0),"",$L$711-1),IF($R$17="Distrato",$E1069,0)),MIN(AQ$38,$D$19),$P$20))-SUM($P1069:AP1069)</f>
        <v>#VALUE!</v>
      </c>
      <c r="AR1069" s="446" t="e">
        <f>IF(OR($B1069="",MIN(AR$38,$D$19)&lt;MAX($P$708*($B1069+IF($R$17="Distrato",$I$38-1,0)),IF(AND($L$711=0,$P$708=0),"",$L$711-1),IF($R$17="Distrato",$E1069,0))),0,YEARFRAC(MAX($P$708*($B1069+IF($R$17="Distrato",$I$38-1,0)),IF(AND($L$711=0,$P$708=0),"",$L$711-1),IF($R$17="Distrato",$E1069,0)),MIN(AR$38,$D$19),$P$20))-SUM($P1069:AQ1069)</f>
        <v>#VALUE!</v>
      </c>
      <c r="AS1069" s="446" t="e">
        <f>IF(OR($B1069="",MIN(AS$38,$D$19)&lt;MAX($P$708*($B1069+IF($R$17="Distrato",$I$38-1,0)),IF(AND($L$711=0,$P$708=0),"",$L$711-1),IF($R$17="Distrato",$E1069,0))),0,YEARFRAC(MAX($P$708*($B1069+IF($R$17="Distrato",$I$38-1,0)),IF(AND($L$711=0,$P$708=0),"",$L$711-1),IF($R$17="Distrato",$E1069,0)),MIN(AS$38,$D$19),$P$20))-SUM($P1069:AR1069)</f>
        <v>#VALUE!</v>
      </c>
      <c r="AT1069" s="446" t="e">
        <f>IF(OR($B1069="",MIN(AT$38,$D$19)&lt;MAX($P$708*($B1069+IF($R$17="Distrato",$I$38-1,0)),IF(AND($L$711=0,$P$708=0),"",$L$711-1),IF($R$17="Distrato",$E1069,0))),0,YEARFRAC(MAX($P$708*($B1069+IF($R$17="Distrato",$I$38-1,0)),IF(AND($L$711=0,$P$708=0),"",$L$711-1),IF($R$17="Distrato",$E1069,0)),MIN(AT$38,$D$19),$P$20))-SUM($P1069:AS1069)</f>
        <v>#VALUE!</v>
      </c>
      <c r="AU1069" s="446" t="e">
        <f>IF(OR($B1069="",MIN(AU$38,$D$19)&lt;MAX($P$708*($B1069+IF($R$17="Distrato",$I$38-1,0)),IF(AND($L$711=0,$P$708=0),"",$L$711-1),IF($R$17="Distrato",$E1069,0))),0,YEARFRAC(MAX($P$708*($B1069+IF($R$17="Distrato",$I$38-1,0)),IF(AND($L$711=0,$P$708=0),"",$L$711-1),IF($R$17="Distrato",$E1069,0)),MIN(AU$38,$D$19),$P$20))-SUM($P1069:AT1069)</f>
        <v>#VALUE!</v>
      </c>
      <c r="AV1069" s="446" t="e">
        <f>IF(OR($B1069="",MIN(AV$38,$D$19)&lt;MAX($P$708*($B1069+IF($R$17="Distrato",$I$38-1,0)),IF(AND($L$711=0,$P$708=0),"",$L$711-1),IF($R$17="Distrato",$E1069,0))),0,YEARFRAC(MAX($P$708*($B1069+IF($R$17="Distrato",$I$38-1,0)),IF(AND($L$711=0,$P$708=0),"",$L$711-1),IF($R$17="Distrato",$E1069,0)),MIN(AV$38,$D$19),$P$20))-SUM($P1069:AU1069)</f>
        <v>#VALUE!</v>
      </c>
      <c r="AW1069" s="446" t="e">
        <f>IF(OR($B1069="",MIN(AW$38,$D$19)&lt;MAX($P$708*($B1069+IF($R$17="Distrato",$I$38-1,0)),IF(AND($L$711=0,$P$708=0),"",$L$711-1),IF($R$17="Distrato",$E1069,0))),0,YEARFRAC(MAX($P$708*($B1069+IF($R$17="Distrato",$I$38-1,0)),IF(AND($L$711=0,$P$708=0),"",$L$711-1),IF($R$17="Distrato",$E1069,0)),MIN(AW$38,$D$19),$P$20))-SUM($P1069:AV1069)</f>
        <v>#VALUE!</v>
      </c>
      <c r="AX1069" s="446" t="e">
        <f>IF(OR($B1069="",MIN(AX$38,$D$19)&lt;MAX($P$708*($B1069+IF($R$17="Distrato",$I$38-1,0)),IF(AND($L$711=0,$P$708=0),"",$L$711-1),IF($R$17="Distrato",$E1069,0))),0,YEARFRAC(MAX($P$708*($B1069+IF($R$17="Distrato",$I$38-1,0)),IF(AND($L$711=0,$P$708=0),"",$L$711-1),IF($R$17="Distrato",$E1069,0)),MIN(AX$38,$D$19),$P$20))-SUM($P1069:AW1069)</f>
        <v>#VALUE!</v>
      </c>
      <c r="AY1069" s="446" t="e">
        <f>IF(OR($B1069="",MIN(AY$38,$D$19)&lt;MAX($P$708*($B1069+IF($R$17="Distrato",$I$38-1,0)),IF(AND($L$711=0,$P$708=0),"",$L$711-1),IF($R$17="Distrato",$E1069,0))),0,YEARFRAC(MAX($P$708*($B1069+IF($R$17="Distrato",$I$38-1,0)),IF(AND($L$711=0,$P$708=0),"",$L$711-1),IF($R$17="Distrato",$E1069,0)),MIN(AY$38,$D$19),$P$20))-SUM($P1069:AX1069)</f>
        <v>#VALUE!</v>
      </c>
      <c r="AZ1069" s="446" t="e">
        <f>IF(OR($B1069="",MIN(AZ$38,$D$19)&lt;MAX($P$708*($B1069+IF($R$17="Distrato",$I$38-1,0)),IF(AND($L$711=0,$P$708=0),"",$L$711-1),IF($R$17="Distrato",$E1069,0))),0,YEARFRAC(MAX($P$708*($B1069+IF($R$17="Distrato",$I$38-1,0)),IF(AND($L$711=0,$P$708=0),"",$L$711-1),IF($R$17="Distrato",$E1069,0)),MIN(AZ$38,$D$19),$P$20))-SUM($P1069:AY1069)</f>
        <v>#VALUE!</v>
      </c>
      <c r="BA1069" s="446" t="e">
        <f>IF(OR($B1069="",MIN(BA$38,$D$19)&lt;MAX($P$708*($B1069+IF($R$17="Distrato",$I$38-1,0)),IF(AND($L$711=0,$P$708=0),"",$L$711-1),IF($R$17="Distrato",$E1069,0))),0,YEARFRAC(MAX($P$708*($B1069+IF($R$17="Distrato",$I$38-1,0)),IF(AND($L$711=0,$P$708=0),"",$L$711-1),IF($R$17="Distrato",$E1069,0)),MIN(BA$38,$D$19),$P$20))-SUM($P1069:AZ1069)</f>
        <v>#VALUE!</v>
      </c>
      <c r="BB1069" s="447"/>
    </row>
    <row r="1070" spans="1:54" s="446" customFormat="1" ht="11.25" hidden="1" customHeight="1" x14ac:dyDescent="0.2">
      <c r="A1070" s="235"/>
      <c r="B1070" s="236"/>
      <c r="C1070" s="29" t="str">
        <f>IF(B1070="","",IF($L$709=$BL$25,VLOOKUP(DATE(YEAR($D$19),MONTH($D$19)-1,1),ÍNDICES!$A:$DE,HLOOKUP($BL$25,ÍNDICES!$B$3:$T$4,2)+11)-VLOOKUP(B1070,ÍNDICES!$A:$DE,HLOOKUP($BL$25,ÍNDICES!$B$3:$T$4,2)+11)+1%,IF(C$712=$W$26,$J$35,IF(ISERROR(IF(B1070&gt;$D$19,1,VLOOKUP(DATE(YEAR(B1070),MONTH(B1070)+IF($C$709=$S$23,1,0),1),ÍNDICES!$A:$DE,$Z$709+1))),"",IF(B1070&gt;$D$19,1,VLOOKUP(DATE(YEAR(B1070),MONTH(B1070)+IF($C$709=$S$23,1,0),1),ÍNDICES!$A:$DE,$Z$709+1))))))</f>
        <v/>
      </c>
      <c r="D1070" s="155"/>
      <c r="E1070" s="88"/>
      <c r="F1070" s="88"/>
      <c r="G1070" s="88"/>
      <c r="H1070" s="118"/>
      <c r="I1070" s="182">
        <f t="shared" si="150"/>
        <v>0</v>
      </c>
      <c r="J1070" s="20">
        <f t="shared" ca="1" si="151"/>
        <v>0</v>
      </c>
      <c r="K1070" s="5">
        <f t="shared" ca="1" si="152"/>
        <v>0</v>
      </c>
      <c r="L1070" s="61">
        <f t="shared" ca="1" si="153"/>
        <v>0</v>
      </c>
      <c r="M1070" s="64">
        <f t="shared" si="154"/>
        <v>0</v>
      </c>
      <c r="N1070" s="151"/>
      <c r="O1070" s="5">
        <f t="shared" ca="1" si="155"/>
        <v>0</v>
      </c>
      <c r="P1070" s="446" t="e">
        <f t="shared" si="156"/>
        <v>#VALUE!</v>
      </c>
      <c r="Q1070" s="446" t="e">
        <f>IF(OR($B1070="",MIN(Q$38,$D$19)&lt;MAX($P$708*($B1070+IF($R$17="Distrato",$I$38-1,0)),IF(AND($L$711=0,$P$708=0),"",$L$711-1),IF($R$17="Distrato",$E1070,0))),0,YEARFRAC(MAX($P$708*($B1070+IF($R$17="Distrato",$I$38-1,0)),IF(AND($L$711=0,$P$708=0),"",$L$711-1),IF($R$17="Distrato",$E1070,0)),MIN(Q$38,$D$19),$P$20))-SUM($P1070:P1070)</f>
        <v>#VALUE!</v>
      </c>
      <c r="R1070" s="446" t="e">
        <f>IF(OR($B1070="",MIN(R$38,$D$19)&lt;MAX($P$708*($B1070+IF($R$17="Distrato",$I$38-1,0)),IF(AND($L$711=0,$P$708=0),"",$L$711-1),IF($R$17="Distrato",$E1070,0))),0,YEARFRAC(MAX($P$708*($B1070+IF($R$17="Distrato",$I$38-1,0)),IF(AND($L$711=0,$P$708=0),"",$L$711-1),IF($R$17="Distrato",$E1070,0)),MIN(R$38,$D$19),$P$20))-SUM($P1070:Q1070)</f>
        <v>#VALUE!</v>
      </c>
      <c r="S1070" s="446" t="e">
        <f>IF(OR($B1070="",MIN(S$38,$D$19)&lt;MAX($P$708*($B1070+IF($R$17="Distrato",$I$38-1,0)),IF(AND($L$711=0,$P$708=0),"",$L$711-1),IF($R$17="Distrato",$E1070,0))),0,YEARFRAC(MAX($P$708*($B1070+IF($R$17="Distrato",$I$38-1,0)),IF(AND($L$711=0,$P$708=0),"",$L$711-1),IF($R$17="Distrato",$E1070,0)),MIN(S$38,$D$19),$P$20))-SUM($P1070:R1070)</f>
        <v>#VALUE!</v>
      </c>
      <c r="T1070" s="446" t="e">
        <f>IF(OR($B1070="",MIN(T$38,$D$19)&lt;MAX($P$708*($B1070+IF($R$17="Distrato",$I$38-1,0)),IF(AND($L$711=0,$P$708=0),"",$L$711-1),IF($R$17="Distrato",$E1070,0))),0,YEARFRAC(MAX($P$708*($B1070+IF($R$17="Distrato",$I$38-1,0)),IF(AND($L$711=0,$P$708=0),"",$L$711-1),IF($R$17="Distrato",$E1070,0)),MIN(T$38,$D$19),$P$20))-SUM($P1070:S1070)</f>
        <v>#VALUE!</v>
      </c>
      <c r="U1070" s="446" t="e">
        <f>IF(OR($B1070="",MIN(U$38,$D$19)&lt;MAX($P$708*($B1070+IF($R$17="Distrato",$I$38-1,0)),IF(AND($L$711=0,$P$708=0),"",$L$711-1),IF($R$17="Distrato",$E1070,0))),0,YEARFRAC(MAX($P$708*($B1070+IF($R$17="Distrato",$I$38-1,0)),IF(AND($L$711=0,$P$708=0),"",$L$711-1),IF($R$17="Distrato",$E1070,0)),MIN(U$38,$D$19),$P$20))-SUM($P1070:T1070)</f>
        <v>#VALUE!</v>
      </c>
      <c r="V1070" s="446" t="e">
        <f>IF(OR($B1070="",MIN(V$38,$D$19)&lt;MAX($P$708*($B1070+IF($R$17="Distrato",$I$38-1,0)),IF(AND($L$711=0,$P$708=0),"",$L$711-1),IF($R$17="Distrato",$E1070,0))),0,YEARFRAC(MAX($P$708*($B1070+IF($R$17="Distrato",$I$38-1,0)),IF(AND($L$711=0,$P$708=0),"",$L$711-1),IF($R$17="Distrato",$E1070,0)),MIN(V$38,$D$19),$P$20))-SUM($P1070:U1070)</f>
        <v>#VALUE!</v>
      </c>
      <c r="W1070" s="446" t="e">
        <f>IF(OR($B1070="",MIN(W$38,$D$19)&lt;MAX($P$708*($B1070+IF($R$17="Distrato",$I$38-1,0)),IF(AND($L$711=0,$P$708=0),"",$L$711-1),IF($R$17="Distrato",$E1070,0))),0,YEARFRAC(MAX($P$708*($B1070+IF($R$17="Distrato",$I$38-1,0)),IF(AND($L$711=0,$P$708=0),"",$L$711-1),IF($R$17="Distrato",$E1070,0)),MIN(W$38,$D$19),$P$20))-SUM($P1070:V1070)</f>
        <v>#VALUE!</v>
      </c>
      <c r="X1070" s="446" t="e">
        <f>IF(OR($B1070="",MIN(X$38,$D$19)&lt;MAX($P$708*($B1070+IF($R$17="Distrato",$I$38-1,0)),IF(AND($L$711=0,$P$708=0),"",$L$711-1),IF($R$17="Distrato",$E1070,0))),0,YEARFRAC(MAX($P$708*($B1070+IF($R$17="Distrato",$I$38-1,0)),IF(AND($L$711=0,$P$708=0),"",$L$711-1),IF($R$17="Distrato",$E1070,0)),MIN(X$38,$D$19),$P$20))-SUM($P1070:W1070)</f>
        <v>#VALUE!</v>
      </c>
      <c r="Y1070" s="446" t="e">
        <f>IF(OR($B1070="",MIN(Y$38,$D$19)&lt;MAX($P$708*($B1070+IF($R$17="Distrato",$I$38-1,0)),IF(AND($L$711=0,$P$708=0),"",$L$711-1),IF($R$17="Distrato",$E1070,0))),0,YEARFRAC(MAX($P$708*($B1070+IF($R$17="Distrato",$I$38-1,0)),IF(AND($L$711=0,$P$708=0),"",$L$711-1),IF($R$17="Distrato",$E1070,0)),MIN(Y$38,$D$19),$P$20))-SUM($P1070:X1070)</f>
        <v>#VALUE!</v>
      </c>
      <c r="Z1070" s="446" t="e">
        <f>IF(OR($B1070="",MIN(Z$38,$D$19)&lt;MAX($P$708*($B1070+IF($R$17="Distrato",$I$38-1,0)),IF(AND($L$711=0,$P$708=0),"",$L$711-1),IF($R$17="Distrato",$E1070,0))),0,YEARFRAC(MAX($P$708*($B1070+IF($R$17="Distrato",$I$38-1,0)),IF(AND($L$711=0,$P$708=0),"",$L$711-1),IF($R$17="Distrato",$E1070,0)),MIN(Z$38,$D$19),$P$20))-SUM($P1070:Y1070)</f>
        <v>#VALUE!</v>
      </c>
      <c r="AA1070" s="446" t="e">
        <f>IF(OR($B1070="",MIN(AA$38,$D$19)&lt;MAX($P$708*($B1070+IF($R$17="Distrato",$I$38-1,0)),IF(AND($L$711=0,$P$708=0),"",$L$711-1),IF($R$17="Distrato",$E1070,0))),0,YEARFRAC(MAX($P$708*($B1070+IF($R$17="Distrato",$I$38-1,0)),IF(AND($L$711=0,$P$708=0),"",$L$711-1),IF($R$17="Distrato",$E1070,0)),MIN(AA$38,$D$19),$P$20))-SUM($P1070:Z1070)</f>
        <v>#VALUE!</v>
      </c>
      <c r="AB1070" s="446" t="e">
        <f>IF(OR($B1070="",MIN(AB$38,$D$19)&lt;MAX($P$708*($B1070+IF($R$17="Distrato",$I$38-1,0)),IF(AND($L$711=0,$P$708=0),"",$L$711-1),IF($R$17="Distrato",$E1070,0))),0,YEARFRAC(MAX($P$708*($B1070+IF($R$17="Distrato",$I$38-1,0)),IF(AND($L$711=0,$P$708=0),"",$L$711-1),IF($R$17="Distrato",$E1070,0)),MIN(AB$38,$D$19),$P$20))-SUM($P1070:AA1070)</f>
        <v>#VALUE!</v>
      </c>
      <c r="AC1070" s="446" t="e">
        <f>IF(OR($B1070="",MIN(AC$38,$D$19)&lt;MAX($P$708*($B1070+IF($R$17="Distrato",$I$38-1,0)),IF(AND($L$711=0,$P$708=0),"",$L$711-1),IF($R$17="Distrato",$E1070,0))),0,YEARFRAC(MAX($P$708*($B1070+IF($R$17="Distrato",$I$38-1,0)),IF(AND($L$711=0,$P$708=0),"",$L$711-1),IF($R$17="Distrato",$E1070,0)),MIN(AC$38,$D$19),$P$20))-SUM($P1070:AB1070)</f>
        <v>#VALUE!</v>
      </c>
      <c r="AD1070" s="446" t="e">
        <f>IF(OR($B1070="",MIN(AD$38,$D$19)&lt;MAX($P$708*($B1070+IF($R$17="Distrato",$I$38-1,0)),IF(AND($L$711=0,$P$708=0),"",$L$711-1),IF($R$17="Distrato",$E1070,0))),0,YEARFRAC(MAX($P$708*($B1070+IF($R$17="Distrato",$I$38-1,0)),IF(AND($L$711=0,$P$708=0),"",$L$711-1),IF($R$17="Distrato",$E1070,0)),MIN(AD$38,$D$19),$P$20))-SUM($P1070:AC1070)</f>
        <v>#VALUE!</v>
      </c>
      <c r="AE1070" s="446" t="e">
        <f>IF(OR($B1070="",MIN(AE$38,$D$19)&lt;MAX($P$708*($B1070+IF($R$17="Distrato",$I$38-1,0)),IF(AND($L$711=0,$P$708=0),"",$L$711-1),IF($R$17="Distrato",$E1070,0))),0,YEARFRAC(MAX($P$708*($B1070+IF($R$17="Distrato",$I$38-1,0)),IF(AND($L$711=0,$P$708=0),"",$L$711-1),IF($R$17="Distrato",$E1070,0)),MIN(AE$38,$D$19),$P$20))-SUM($P1070:AD1070)</f>
        <v>#VALUE!</v>
      </c>
      <c r="AF1070" s="446" t="e">
        <f>IF(OR($B1070="",MIN(AF$38,$D$19)&lt;MAX($P$708*($B1070+IF($R$17="Distrato",$I$38-1,0)),IF(AND($L$711=0,$P$708=0),"",$L$711-1),IF($R$17="Distrato",$E1070,0))),0,YEARFRAC(MAX($P$708*($B1070+IF($R$17="Distrato",$I$38-1,0)),IF(AND($L$711=0,$P$708=0),"",$L$711-1),IF($R$17="Distrato",$E1070,0)),MIN(AF$38,$D$19),$P$20))-SUM($P1070:AE1070)</f>
        <v>#VALUE!</v>
      </c>
      <c r="AG1070" s="446" t="e">
        <f>IF(OR($B1070="",MIN(AG$38,$D$19)&lt;MAX($P$708*($B1070+IF($R$17="Distrato",$I$38-1,0)),IF(AND($L$711=0,$P$708=0),"",$L$711-1),IF($R$17="Distrato",$E1070,0))),0,YEARFRAC(MAX($P$708*($B1070+IF($R$17="Distrato",$I$38-1,0)),IF(AND($L$711=0,$P$708=0),"",$L$711-1),IF($R$17="Distrato",$E1070,0)),MIN(AG$38,$D$19),$P$20))-SUM($P1070:AF1070)</f>
        <v>#VALUE!</v>
      </c>
      <c r="AH1070" s="446" t="e">
        <f>IF(OR($B1070="",MIN(AH$38,$D$19)&lt;MAX($P$708*($B1070+IF($R$17="Distrato",$I$38-1,0)),IF(AND($L$711=0,$P$708=0),"",$L$711-1),IF($R$17="Distrato",$E1070,0))),0,YEARFRAC(MAX($P$708*($B1070+IF($R$17="Distrato",$I$38-1,0)),IF(AND($L$711=0,$P$708=0),"",$L$711-1),IF($R$17="Distrato",$E1070,0)),MIN(AH$38,$D$19),$P$20))-SUM($P1070:AG1070)</f>
        <v>#VALUE!</v>
      </c>
      <c r="AI1070" s="446" t="e">
        <f>IF(OR($B1070="",MIN(AI$38,$D$19)&lt;MAX($P$708*($B1070+IF($R$17="Distrato",$I$38-1,0)),IF(AND($L$711=0,$P$708=0),"",$L$711-1),IF($R$17="Distrato",$E1070,0))),0,YEARFRAC(MAX($P$708*($B1070+IF($R$17="Distrato",$I$38-1,0)),IF(AND($L$711=0,$P$708=0),"",$L$711-1),IF($R$17="Distrato",$E1070,0)),MIN(AI$38,$D$19),$P$20))-SUM($P1070:AH1070)</f>
        <v>#VALUE!</v>
      </c>
      <c r="AJ1070" s="446" t="e">
        <f>IF(OR($B1070="",MIN(AJ$38,$D$19)&lt;MAX($P$708*($B1070+IF($R$17="Distrato",$I$38-1,0)),IF(AND($L$711=0,$P$708=0),"",$L$711-1),IF($R$17="Distrato",$E1070,0))),0,YEARFRAC(MAX($P$708*($B1070+IF($R$17="Distrato",$I$38-1,0)),IF(AND($L$711=0,$P$708=0),"",$L$711-1),IF($R$17="Distrato",$E1070,0)),MIN(AJ$38,$D$19),$P$20))-SUM($P1070:AI1070)</f>
        <v>#VALUE!</v>
      </c>
      <c r="AK1070" s="446" t="e">
        <f>IF(OR($B1070="",MIN(AK$38,$D$19)&lt;MAX($P$708*($B1070+IF($R$17="Distrato",$I$38-1,0)),IF(AND($L$711=0,$P$708=0),"",$L$711-1),IF($R$17="Distrato",$E1070,0))),0,YEARFRAC(MAX($P$708*($B1070+IF($R$17="Distrato",$I$38-1,0)),IF(AND($L$711=0,$P$708=0),"",$L$711-1),IF($R$17="Distrato",$E1070,0)),MIN(AK$38,$D$19),$P$20))-SUM($P1070:AJ1070)</f>
        <v>#VALUE!</v>
      </c>
      <c r="AL1070" s="446" t="e">
        <f>IF(OR($B1070="",MIN(AL$38,$D$19)&lt;MAX($P$708*($B1070+IF($R$17="Distrato",$I$38-1,0)),IF(AND($L$711=0,$P$708=0),"",$L$711-1),IF($R$17="Distrato",$E1070,0))),0,YEARFRAC(MAX($P$708*($B1070+IF($R$17="Distrato",$I$38-1,0)),IF(AND($L$711=0,$P$708=0),"",$L$711-1),IF($R$17="Distrato",$E1070,0)),MIN(AL$38,$D$19),$P$20))-SUM($P1070:AK1070)</f>
        <v>#VALUE!</v>
      </c>
      <c r="AM1070" s="446" t="e">
        <f>IF(OR($B1070="",MIN(AM$38,$D$19)&lt;MAX($P$708*($B1070+IF($R$17="Distrato",$I$38-1,0)),IF(AND($L$711=0,$P$708=0),"",$L$711-1),IF($R$17="Distrato",$E1070,0))),0,YEARFRAC(MAX($P$708*($B1070+IF($R$17="Distrato",$I$38-1,0)),IF(AND($L$711=0,$P$708=0),"",$L$711-1),IF($R$17="Distrato",$E1070,0)),MIN(AM$38,$D$19),$P$20))-SUM($P1070:AL1070)</f>
        <v>#VALUE!</v>
      </c>
      <c r="AN1070" s="446" t="e">
        <f>IF(OR($B1070="",MIN(AN$38,$D$19)&lt;MAX($P$708*($B1070+IF($R$17="Distrato",$I$38-1,0)),IF(AND($L$711=0,$P$708=0),"",$L$711-1),IF($R$17="Distrato",$E1070,0))),0,YEARFRAC(MAX($P$708*($B1070+IF($R$17="Distrato",$I$38-1,0)),IF(AND($L$711=0,$P$708=0),"",$L$711-1),IF($R$17="Distrato",$E1070,0)),MIN(AN$38,$D$19),$P$20))-SUM($P1070:AM1070)</f>
        <v>#VALUE!</v>
      </c>
      <c r="AO1070" s="446" t="e">
        <f>IF(OR($B1070="",MIN(AO$38,$D$19)&lt;MAX($P$708*($B1070+IF($R$17="Distrato",$I$38-1,0)),IF(AND($L$711=0,$P$708=0),"",$L$711-1),IF($R$17="Distrato",$E1070,0))),0,YEARFRAC(MAX($P$708*($B1070+IF($R$17="Distrato",$I$38-1,0)),IF(AND($L$711=0,$P$708=0),"",$L$711-1),IF($R$17="Distrato",$E1070,0)),MIN(AO$38,$D$19),$P$20))-SUM($P1070:AN1070)</f>
        <v>#VALUE!</v>
      </c>
      <c r="AP1070" s="446" t="e">
        <f>IF(OR($B1070="",MIN(AP$38,$D$19)&lt;MAX($P$708*($B1070+IF($R$17="Distrato",$I$38-1,0)),IF(AND($L$711=0,$P$708=0),"",$L$711-1),IF($R$17="Distrato",$E1070,0))),0,YEARFRAC(MAX($P$708*($B1070+IF($R$17="Distrato",$I$38-1,0)),IF(AND($L$711=0,$P$708=0),"",$L$711-1),IF($R$17="Distrato",$E1070,0)),MIN(AP$38,$D$19),$P$20))-SUM($P1070:AO1070)</f>
        <v>#VALUE!</v>
      </c>
      <c r="AQ1070" s="446" t="e">
        <f>IF(OR($B1070="",MIN(AQ$38,$D$19)&lt;MAX($P$708*($B1070+IF($R$17="Distrato",$I$38-1,0)),IF(AND($L$711=0,$P$708=0),"",$L$711-1),IF($R$17="Distrato",$E1070,0))),0,YEARFRAC(MAX($P$708*($B1070+IF($R$17="Distrato",$I$38-1,0)),IF(AND($L$711=0,$P$708=0),"",$L$711-1),IF($R$17="Distrato",$E1070,0)),MIN(AQ$38,$D$19),$P$20))-SUM($P1070:AP1070)</f>
        <v>#VALUE!</v>
      </c>
      <c r="AR1070" s="446" t="e">
        <f>IF(OR($B1070="",MIN(AR$38,$D$19)&lt;MAX($P$708*($B1070+IF($R$17="Distrato",$I$38-1,0)),IF(AND($L$711=0,$P$708=0),"",$L$711-1),IF($R$17="Distrato",$E1070,0))),0,YEARFRAC(MAX($P$708*($B1070+IF($R$17="Distrato",$I$38-1,0)),IF(AND($L$711=0,$P$708=0),"",$L$711-1),IF($R$17="Distrato",$E1070,0)),MIN(AR$38,$D$19),$P$20))-SUM($P1070:AQ1070)</f>
        <v>#VALUE!</v>
      </c>
      <c r="AS1070" s="446" t="e">
        <f>IF(OR($B1070="",MIN(AS$38,$D$19)&lt;MAX($P$708*($B1070+IF($R$17="Distrato",$I$38-1,0)),IF(AND($L$711=0,$P$708=0),"",$L$711-1),IF($R$17="Distrato",$E1070,0))),0,YEARFRAC(MAX($P$708*($B1070+IF($R$17="Distrato",$I$38-1,0)),IF(AND($L$711=0,$P$708=0),"",$L$711-1),IF($R$17="Distrato",$E1070,0)),MIN(AS$38,$D$19),$P$20))-SUM($P1070:AR1070)</f>
        <v>#VALUE!</v>
      </c>
      <c r="AT1070" s="446" t="e">
        <f>IF(OR($B1070="",MIN(AT$38,$D$19)&lt;MAX($P$708*($B1070+IF($R$17="Distrato",$I$38-1,0)),IF(AND($L$711=0,$P$708=0),"",$L$711-1),IF($R$17="Distrato",$E1070,0))),0,YEARFRAC(MAX($P$708*($B1070+IF($R$17="Distrato",$I$38-1,0)),IF(AND($L$711=0,$P$708=0),"",$L$711-1),IF($R$17="Distrato",$E1070,0)),MIN(AT$38,$D$19),$P$20))-SUM($P1070:AS1070)</f>
        <v>#VALUE!</v>
      </c>
      <c r="AU1070" s="446" t="e">
        <f>IF(OR($B1070="",MIN(AU$38,$D$19)&lt;MAX($P$708*($B1070+IF($R$17="Distrato",$I$38-1,0)),IF(AND($L$711=0,$P$708=0),"",$L$711-1),IF($R$17="Distrato",$E1070,0))),0,YEARFRAC(MAX($P$708*($B1070+IF($R$17="Distrato",$I$38-1,0)),IF(AND($L$711=0,$P$708=0),"",$L$711-1),IF($R$17="Distrato",$E1070,0)),MIN(AU$38,$D$19),$P$20))-SUM($P1070:AT1070)</f>
        <v>#VALUE!</v>
      </c>
      <c r="AV1070" s="446" t="e">
        <f>IF(OR($B1070="",MIN(AV$38,$D$19)&lt;MAX($P$708*($B1070+IF($R$17="Distrato",$I$38-1,0)),IF(AND($L$711=0,$P$708=0),"",$L$711-1),IF($R$17="Distrato",$E1070,0))),0,YEARFRAC(MAX($P$708*($B1070+IF($R$17="Distrato",$I$38-1,0)),IF(AND($L$711=0,$P$708=0),"",$L$711-1),IF($R$17="Distrato",$E1070,0)),MIN(AV$38,$D$19),$P$20))-SUM($P1070:AU1070)</f>
        <v>#VALUE!</v>
      </c>
      <c r="AW1070" s="446" t="e">
        <f>IF(OR($B1070="",MIN(AW$38,$D$19)&lt;MAX($P$708*($B1070+IF($R$17="Distrato",$I$38-1,0)),IF(AND($L$711=0,$P$708=0),"",$L$711-1),IF($R$17="Distrato",$E1070,0))),0,YEARFRAC(MAX($P$708*($B1070+IF($R$17="Distrato",$I$38-1,0)),IF(AND($L$711=0,$P$708=0),"",$L$711-1),IF($R$17="Distrato",$E1070,0)),MIN(AW$38,$D$19),$P$20))-SUM($P1070:AV1070)</f>
        <v>#VALUE!</v>
      </c>
      <c r="AX1070" s="446" t="e">
        <f>IF(OR($B1070="",MIN(AX$38,$D$19)&lt;MAX($P$708*($B1070+IF($R$17="Distrato",$I$38-1,0)),IF(AND($L$711=0,$P$708=0),"",$L$711-1),IF($R$17="Distrato",$E1070,0))),0,YEARFRAC(MAX($P$708*($B1070+IF($R$17="Distrato",$I$38-1,0)),IF(AND($L$711=0,$P$708=0),"",$L$711-1),IF($R$17="Distrato",$E1070,0)),MIN(AX$38,$D$19),$P$20))-SUM($P1070:AW1070)</f>
        <v>#VALUE!</v>
      </c>
      <c r="AY1070" s="446" t="e">
        <f>IF(OR($B1070="",MIN(AY$38,$D$19)&lt;MAX($P$708*($B1070+IF($R$17="Distrato",$I$38-1,0)),IF(AND($L$711=0,$P$708=0),"",$L$711-1),IF($R$17="Distrato",$E1070,0))),0,YEARFRAC(MAX($P$708*($B1070+IF($R$17="Distrato",$I$38-1,0)),IF(AND($L$711=0,$P$708=0),"",$L$711-1),IF($R$17="Distrato",$E1070,0)),MIN(AY$38,$D$19),$P$20))-SUM($P1070:AX1070)</f>
        <v>#VALUE!</v>
      </c>
      <c r="AZ1070" s="446" t="e">
        <f>IF(OR($B1070="",MIN(AZ$38,$D$19)&lt;MAX($P$708*($B1070+IF($R$17="Distrato",$I$38-1,0)),IF(AND($L$711=0,$P$708=0),"",$L$711-1),IF($R$17="Distrato",$E1070,0))),0,YEARFRAC(MAX($P$708*($B1070+IF($R$17="Distrato",$I$38-1,0)),IF(AND($L$711=0,$P$708=0),"",$L$711-1),IF($R$17="Distrato",$E1070,0)),MIN(AZ$38,$D$19),$P$20))-SUM($P1070:AY1070)</f>
        <v>#VALUE!</v>
      </c>
      <c r="BA1070" s="446" t="e">
        <f>IF(OR($B1070="",MIN(BA$38,$D$19)&lt;MAX($P$708*($B1070+IF($R$17="Distrato",$I$38-1,0)),IF(AND($L$711=0,$P$708=0),"",$L$711-1),IF($R$17="Distrato",$E1070,0))),0,YEARFRAC(MAX($P$708*($B1070+IF($R$17="Distrato",$I$38-1,0)),IF(AND($L$711=0,$P$708=0),"",$L$711-1),IF($R$17="Distrato",$E1070,0)),MIN(BA$38,$D$19),$P$20))-SUM($P1070:AZ1070)</f>
        <v>#VALUE!</v>
      </c>
      <c r="BB1070" s="447"/>
    </row>
    <row r="1071" spans="1:54" s="446" customFormat="1" ht="11.25" hidden="1" customHeight="1" x14ac:dyDescent="0.2">
      <c r="A1071" s="235"/>
      <c r="B1071" s="236"/>
      <c r="C1071" s="29" t="str">
        <f>IF(B1071="","",IF($L$709=$BL$25,VLOOKUP(DATE(YEAR($D$19),MONTH($D$19)-1,1),ÍNDICES!$A:$DE,HLOOKUP($BL$25,ÍNDICES!$B$3:$T$4,2)+11)-VLOOKUP(B1071,ÍNDICES!$A:$DE,HLOOKUP($BL$25,ÍNDICES!$B$3:$T$4,2)+11)+1%,IF(C$712=$W$26,$J$35,IF(ISERROR(IF(B1071&gt;$D$19,1,VLOOKUP(DATE(YEAR(B1071),MONTH(B1071)+IF($C$709=$S$23,1,0),1),ÍNDICES!$A:$DE,$Z$709+1))),"",IF(B1071&gt;$D$19,1,VLOOKUP(DATE(YEAR(B1071),MONTH(B1071)+IF($C$709=$S$23,1,0),1),ÍNDICES!$A:$DE,$Z$709+1))))))</f>
        <v/>
      </c>
      <c r="D1071" s="155"/>
      <c r="E1071" s="88"/>
      <c r="F1071" s="88"/>
      <c r="G1071" s="88"/>
      <c r="H1071" s="118"/>
      <c r="I1071" s="182">
        <f t="shared" si="150"/>
        <v>0</v>
      </c>
      <c r="J1071" s="20">
        <f t="shared" ca="1" si="151"/>
        <v>0</v>
      </c>
      <c r="K1071" s="5">
        <f t="shared" ca="1" si="152"/>
        <v>0</v>
      </c>
      <c r="L1071" s="61">
        <f t="shared" ca="1" si="153"/>
        <v>0</v>
      </c>
      <c r="M1071" s="64">
        <f t="shared" si="154"/>
        <v>0</v>
      </c>
      <c r="N1071" s="151"/>
      <c r="O1071" s="5">
        <f t="shared" ca="1" si="155"/>
        <v>0</v>
      </c>
      <c r="P1071" s="446" t="e">
        <f t="shared" si="156"/>
        <v>#VALUE!</v>
      </c>
      <c r="Q1071" s="446" t="e">
        <f>IF(OR($B1071="",MIN(Q$38,$D$19)&lt;MAX($P$708*($B1071+IF($R$17="Distrato",$I$38-1,0)),IF(AND($L$711=0,$P$708=0),"",$L$711-1),IF($R$17="Distrato",$E1071,0))),0,YEARFRAC(MAX($P$708*($B1071+IF($R$17="Distrato",$I$38-1,0)),IF(AND($L$711=0,$P$708=0),"",$L$711-1),IF($R$17="Distrato",$E1071,0)),MIN(Q$38,$D$19),$P$20))-SUM($P1071:P1071)</f>
        <v>#VALUE!</v>
      </c>
      <c r="R1071" s="446" t="e">
        <f>IF(OR($B1071="",MIN(R$38,$D$19)&lt;MAX($P$708*($B1071+IF($R$17="Distrato",$I$38-1,0)),IF(AND($L$711=0,$P$708=0),"",$L$711-1),IF($R$17="Distrato",$E1071,0))),0,YEARFRAC(MAX($P$708*($B1071+IF($R$17="Distrato",$I$38-1,0)),IF(AND($L$711=0,$P$708=0),"",$L$711-1),IF($R$17="Distrato",$E1071,0)),MIN(R$38,$D$19),$P$20))-SUM($P1071:Q1071)</f>
        <v>#VALUE!</v>
      </c>
      <c r="S1071" s="446" t="e">
        <f>IF(OR($B1071="",MIN(S$38,$D$19)&lt;MAX($P$708*($B1071+IF($R$17="Distrato",$I$38-1,0)),IF(AND($L$711=0,$P$708=0),"",$L$711-1),IF($R$17="Distrato",$E1071,0))),0,YEARFRAC(MAX($P$708*($B1071+IF($R$17="Distrato",$I$38-1,0)),IF(AND($L$711=0,$P$708=0),"",$L$711-1),IF($R$17="Distrato",$E1071,0)),MIN(S$38,$D$19),$P$20))-SUM($P1071:R1071)</f>
        <v>#VALUE!</v>
      </c>
      <c r="T1071" s="446" t="e">
        <f>IF(OR($B1071="",MIN(T$38,$D$19)&lt;MAX($P$708*($B1071+IF($R$17="Distrato",$I$38-1,0)),IF(AND($L$711=0,$P$708=0),"",$L$711-1),IF($R$17="Distrato",$E1071,0))),0,YEARFRAC(MAX($P$708*($B1071+IF($R$17="Distrato",$I$38-1,0)),IF(AND($L$711=0,$P$708=0),"",$L$711-1),IF($R$17="Distrato",$E1071,0)),MIN(T$38,$D$19),$P$20))-SUM($P1071:S1071)</f>
        <v>#VALUE!</v>
      </c>
      <c r="U1071" s="446" t="e">
        <f>IF(OR($B1071="",MIN(U$38,$D$19)&lt;MAX($P$708*($B1071+IF($R$17="Distrato",$I$38-1,0)),IF(AND($L$711=0,$P$708=0),"",$L$711-1),IF($R$17="Distrato",$E1071,0))),0,YEARFRAC(MAX($P$708*($B1071+IF($R$17="Distrato",$I$38-1,0)),IF(AND($L$711=0,$P$708=0),"",$L$711-1),IF($R$17="Distrato",$E1071,0)),MIN(U$38,$D$19),$P$20))-SUM($P1071:T1071)</f>
        <v>#VALUE!</v>
      </c>
      <c r="V1071" s="446" t="e">
        <f>IF(OR($B1071="",MIN(V$38,$D$19)&lt;MAX($P$708*($B1071+IF($R$17="Distrato",$I$38-1,0)),IF(AND($L$711=0,$P$708=0),"",$L$711-1),IF($R$17="Distrato",$E1071,0))),0,YEARFRAC(MAX($P$708*($B1071+IF($R$17="Distrato",$I$38-1,0)),IF(AND($L$711=0,$P$708=0),"",$L$711-1),IF($R$17="Distrato",$E1071,0)),MIN(V$38,$D$19),$P$20))-SUM($P1071:U1071)</f>
        <v>#VALUE!</v>
      </c>
      <c r="W1071" s="446" t="e">
        <f>IF(OR($B1071="",MIN(W$38,$D$19)&lt;MAX($P$708*($B1071+IF($R$17="Distrato",$I$38-1,0)),IF(AND($L$711=0,$P$708=0),"",$L$711-1),IF($R$17="Distrato",$E1071,0))),0,YEARFRAC(MAX($P$708*($B1071+IF($R$17="Distrato",$I$38-1,0)),IF(AND($L$711=0,$P$708=0),"",$L$711-1),IF($R$17="Distrato",$E1071,0)),MIN(W$38,$D$19),$P$20))-SUM($P1071:V1071)</f>
        <v>#VALUE!</v>
      </c>
      <c r="X1071" s="446" t="e">
        <f>IF(OR($B1071="",MIN(X$38,$D$19)&lt;MAX($P$708*($B1071+IF($R$17="Distrato",$I$38-1,0)),IF(AND($L$711=0,$P$708=0),"",$L$711-1),IF($R$17="Distrato",$E1071,0))),0,YEARFRAC(MAX($P$708*($B1071+IF($R$17="Distrato",$I$38-1,0)),IF(AND($L$711=0,$P$708=0),"",$L$711-1),IF($R$17="Distrato",$E1071,0)),MIN(X$38,$D$19),$P$20))-SUM($P1071:W1071)</f>
        <v>#VALUE!</v>
      </c>
      <c r="Y1071" s="446" t="e">
        <f>IF(OR($B1071="",MIN(Y$38,$D$19)&lt;MAX($P$708*($B1071+IF($R$17="Distrato",$I$38-1,0)),IF(AND($L$711=0,$P$708=0),"",$L$711-1),IF($R$17="Distrato",$E1071,0))),0,YEARFRAC(MAX($P$708*($B1071+IF($R$17="Distrato",$I$38-1,0)),IF(AND($L$711=0,$P$708=0),"",$L$711-1),IF($R$17="Distrato",$E1071,0)),MIN(Y$38,$D$19),$P$20))-SUM($P1071:X1071)</f>
        <v>#VALUE!</v>
      </c>
      <c r="Z1071" s="446" t="e">
        <f>IF(OR($B1071="",MIN(Z$38,$D$19)&lt;MAX($P$708*($B1071+IF($R$17="Distrato",$I$38-1,0)),IF(AND($L$711=0,$P$708=0),"",$L$711-1),IF($R$17="Distrato",$E1071,0))),0,YEARFRAC(MAX($P$708*($B1071+IF($R$17="Distrato",$I$38-1,0)),IF(AND($L$711=0,$P$708=0),"",$L$711-1),IF($R$17="Distrato",$E1071,0)),MIN(Z$38,$D$19),$P$20))-SUM($P1071:Y1071)</f>
        <v>#VALUE!</v>
      </c>
      <c r="AA1071" s="446" t="e">
        <f>IF(OR($B1071="",MIN(AA$38,$D$19)&lt;MAX($P$708*($B1071+IF($R$17="Distrato",$I$38-1,0)),IF(AND($L$711=0,$P$708=0),"",$L$711-1),IF($R$17="Distrato",$E1071,0))),0,YEARFRAC(MAX($P$708*($B1071+IF($R$17="Distrato",$I$38-1,0)),IF(AND($L$711=0,$P$708=0),"",$L$711-1),IF($R$17="Distrato",$E1071,0)),MIN(AA$38,$D$19),$P$20))-SUM($P1071:Z1071)</f>
        <v>#VALUE!</v>
      </c>
      <c r="AB1071" s="446" t="e">
        <f>IF(OR($B1071="",MIN(AB$38,$D$19)&lt;MAX($P$708*($B1071+IF($R$17="Distrato",$I$38-1,0)),IF(AND($L$711=0,$P$708=0),"",$L$711-1),IF($R$17="Distrato",$E1071,0))),0,YEARFRAC(MAX($P$708*($B1071+IF($R$17="Distrato",$I$38-1,0)),IF(AND($L$711=0,$P$708=0),"",$L$711-1),IF($R$17="Distrato",$E1071,0)),MIN(AB$38,$D$19),$P$20))-SUM($P1071:AA1071)</f>
        <v>#VALUE!</v>
      </c>
      <c r="AC1071" s="446" t="e">
        <f>IF(OR($B1071="",MIN(AC$38,$D$19)&lt;MAX($P$708*($B1071+IF($R$17="Distrato",$I$38-1,0)),IF(AND($L$711=0,$P$708=0),"",$L$711-1),IF($R$17="Distrato",$E1071,0))),0,YEARFRAC(MAX($P$708*($B1071+IF($R$17="Distrato",$I$38-1,0)),IF(AND($L$711=0,$P$708=0),"",$L$711-1),IF($R$17="Distrato",$E1071,0)),MIN(AC$38,$D$19),$P$20))-SUM($P1071:AB1071)</f>
        <v>#VALUE!</v>
      </c>
      <c r="AD1071" s="446" t="e">
        <f>IF(OR($B1071="",MIN(AD$38,$D$19)&lt;MAX($P$708*($B1071+IF($R$17="Distrato",$I$38-1,0)),IF(AND($L$711=0,$P$708=0),"",$L$711-1),IF($R$17="Distrato",$E1071,0))),0,YEARFRAC(MAX($P$708*($B1071+IF($R$17="Distrato",$I$38-1,0)),IF(AND($L$711=0,$P$708=0),"",$L$711-1),IF($R$17="Distrato",$E1071,0)),MIN(AD$38,$D$19),$P$20))-SUM($P1071:AC1071)</f>
        <v>#VALUE!</v>
      </c>
      <c r="AE1071" s="446" t="e">
        <f>IF(OR($B1071="",MIN(AE$38,$D$19)&lt;MAX($P$708*($B1071+IF($R$17="Distrato",$I$38-1,0)),IF(AND($L$711=0,$P$708=0),"",$L$711-1),IF($R$17="Distrato",$E1071,0))),0,YEARFRAC(MAX($P$708*($B1071+IF($R$17="Distrato",$I$38-1,0)),IF(AND($L$711=0,$P$708=0),"",$L$711-1),IF($R$17="Distrato",$E1071,0)),MIN(AE$38,$D$19),$P$20))-SUM($P1071:AD1071)</f>
        <v>#VALUE!</v>
      </c>
      <c r="AF1071" s="446" t="e">
        <f>IF(OR($B1071="",MIN(AF$38,$D$19)&lt;MAX($P$708*($B1071+IF($R$17="Distrato",$I$38-1,0)),IF(AND($L$711=0,$P$708=0),"",$L$711-1),IF($R$17="Distrato",$E1071,0))),0,YEARFRAC(MAX($P$708*($B1071+IF($R$17="Distrato",$I$38-1,0)),IF(AND($L$711=0,$P$708=0),"",$L$711-1),IF($R$17="Distrato",$E1071,0)),MIN(AF$38,$D$19),$P$20))-SUM($P1071:AE1071)</f>
        <v>#VALUE!</v>
      </c>
      <c r="AG1071" s="446" t="e">
        <f>IF(OR($B1071="",MIN(AG$38,$D$19)&lt;MAX($P$708*($B1071+IF($R$17="Distrato",$I$38-1,0)),IF(AND($L$711=0,$P$708=0),"",$L$711-1),IF($R$17="Distrato",$E1071,0))),0,YEARFRAC(MAX($P$708*($B1071+IF($R$17="Distrato",$I$38-1,0)),IF(AND($L$711=0,$P$708=0),"",$L$711-1),IF($R$17="Distrato",$E1071,0)),MIN(AG$38,$D$19),$P$20))-SUM($P1071:AF1071)</f>
        <v>#VALUE!</v>
      </c>
      <c r="AH1071" s="446" t="e">
        <f>IF(OR($B1071="",MIN(AH$38,$D$19)&lt;MAX($P$708*($B1071+IF($R$17="Distrato",$I$38-1,0)),IF(AND($L$711=0,$P$708=0),"",$L$711-1),IF($R$17="Distrato",$E1071,0))),0,YEARFRAC(MAX($P$708*($B1071+IF($R$17="Distrato",$I$38-1,0)),IF(AND($L$711=0,$P$708=0),"",$L$711-1),IF($R$17="Distrato",$E1071,0)),MIN(AH$38,$D$19),$P$20))-SUM($P1071:AG1071)</f>
        <v>#VALUE!</v>
      </c>
      <c r="AI1071" s="446" t="e">
        <f>IF(OR($B1071="",MIN(AI$38,$D$19)&lt;MAX($P$708*($B1071+IF($R$17="Distrato",$I$38-1,0)),IF(AND($L$711=0,$P$708=0),"",$L$711-1),IF($R$17="Distrato",$E1071,0))),0,YEARFRAC(MAX($P$708*($B1071+IF($R$17="Distrato",$I$38-1,0)),IF(AND($L$711=0,$P$708=0),"",$L$711-1),IF($R$17="Distrato",$E1071,0)),MIN(AI$38,$D$19),$P$20))-SUM($P1071:AH1071)</f>
        <v>#VALUE!</v>
      </c>
      <c r="AJ1071" s="446" t="e">
        <f>IF(OR($B1071="",MIN(AJ$38,$D$19)&lt;MAX($P$708*($B1071+IF($R$17="Distrato",$I$38-1,0)),IF(AND($L$711=0,$P$708=0),"",$L$711-1),IF($R$17="Distrato",$E1071,0))),0,YEARFRAC(MAX($P$708*($B1071+IF($R$17="Distrato",$I$38-1,0)),IF(AND($L$711=0,$P$708=0),"",$L$711-1),IF($R$17="Distrato",$E1071,0)),MIN(AJ$38,$D$19),$P$20))-SUM($P1071:AI1071)</f>
        <v>#VALUE!</v>
      </c>
      <c r="AK1071" s="446" t="e">
        <f>IF(OR($B1071="",MIN(AK$38,$D$19)&lt;MAX($P$708*($B1071+IF($R$17="Distrato",$I$38-1,0)),IF(AND($L$711=0,$P$708=0),"",$L$711-1),IF($R$17="Distrato",$E1071,0))),0,YEARFRAC(MAX($P$708*($B1071+IF($R$17="Distrato",$I$38-1,0)),IF(AND($L$711=0,$P$708=0),"",$L$711-1),IF($R$17="Distrato",$E1071,0)),MIN(AK$38,$D$19),$P$20))-SUM($P1071:AJ1071)</f>
        <v>#VALUE!</v>
      </c>
      <c r="AL1071" s="446" t="e">
        <f>IF(OR($B1071="",MIN(AL$38,$D$19)&lt;MAX($P$708*($B1071+IF($R$17="Distrato",$I$38-1,0)),IF(AND($L$711=0,$P$708=0),"",$L$711-1),IF($R$17="Distrato",$E1071,0))),0,YEARFRAC(MAX($P$708*($B1071+IF($R$17="Distrato",$I$38-1,0)),IF(AND($L$711=0,$P$708=0),"",$L$711-1),IF($R$17="Distrato",$E1071,0)),MIN(AL$38,$D$19),$P$20))-SUM($P1071:AK1071)</f>
        <v>#VALUE!</v>
      </c>
      <c r="AM1071" s="446" t="e">
        <f>IF(OR($B1071="",MIN(AM$38,$D$19)&lt;MAX($P$708*($B1071+IF($R$17="Distrato",$I$38-1,0)),IF(AND($L$711=0,$P$708=0),"",$L$711-1),IF($R$17="Distrato",$E1071,0))),0,YEARFRAC(MAX($P$708*($B1071+IF($R$17="Distrato",$I$38-1,0)),IF(AND($L$711=0,$P$708=0),"",$L$711-1),IF($R$17="Distrato",$E1071,0)),MIN(AM$38,$D$19),$P$20))-SUM($P1071:AL1071)</f>
        <v>#VALUE!</v>
      </c>
      <c r="AN1071" s="446" t="e">
        <f>IF(OR($B1071="",MIN(AN$38,$D$19)&lt;MAX($P$708*($B1071+IF($R$17="Distrato",$I$38-1,0)),IF(AND($L$711=0,$P$708=0),"",$L$711-1),IF($R$17="Distrato",$E1071,0))),0,YEARFRAC(MAX($P$708*($B1071+IF($R$17="Distrato",$I$38-1,0)),IF(AND($L$711=0,$P$708=0),"",$L$711-1),IF($R$17="Distrato",$E1071,0)),MIN(AN$38,$D$19),$P$20))-SUM($P1071:AM1071)</f>
        <v>#VALUE!</v>
      </c>
      <c r="AO1071" s="446" t="e">
        <f>IF(OR($B1071="",MIN(AO$38,$D$19)&lt;MAX($P$708*($B1071+IF($R$17="Distrato",$I$38-1,0)),IF(AND($L$711=0,$P$708=0),"",$L$711-1),IF($R$17="Distrato",$E1071,0))),0,YEARFRAC(MAX($P$708*($B1071+IF($R$17="Distrato",$I$38-1,0)),IF(AND($L$711=0,$P$708=0),"",$L$711-1),IF($R$17="Distrato",$E1071,0)),MIN(AO$38,$D$19),$P$20))-SUM($P1071:AN1071)</f>
        <v>#VALUE!</v>
      </c>
      <c r="AP1071" s="446" t="e">
        <f>IF(OR($B1071="",MIN(AP$38,$D$19)&lt;MAX($P$708*($B1071+IF($R$17="Distrato",$I$38-1,0)),IF(AND($L$711=0,$P$708=0),"",$L$711-1),IF($R$17="Distrato",$E1071,0))),0,YEARFRAC(MAX($P$708*($B1071+IF($R$17="Distrato",$I$38-1,0)),IF(AND($L$711=0,$P$708=0),"",$L$711-1),IF($R$17="Distrato",$E1071,0)),MIN(AP$38,$D$19),$P$20))-SUM($P1071:AO1071)</f>
        <v>#VALUE!</v>
      </c>
      <c r="AQ1071" s="446" t="e">
        <f>IF(OR($B1071="",MIN(AQ$38,$D$19)&lt;MAX($P$708*($B1071+IF($R$17="Distrato",$I$38-1,0)),IF(AND($L$711=0,$P$708=0),"",$L$711-1),IF($R$17="Distrato",$E1071,0))),0,YEARFRAC(MAX($P$708*($B1071+IF($R$17="Distrato",$I$38-1,0)),IF(AND($L$711=0,$P$708=0),"",$L$711-1),IF($R$17="Distrato",$E1071,0)),MIN(AQ$38,$D$19),$P$20))-SUM($P1071:AP1071)</f>
        <v>#VALUE!</v>
      </c>
      <c r="AR1071" s="446" t="e">
        <f>IF(OR($B1071="",MIN(AR$38,$D$19)&lt;MAX($P$708*($B1071+IF($R$17="Distrato",$I$38-1,0)),IF(AND($L$711=0,$P$708=0),"",$L$711-1),IF($R$17="Distrato",$E1071,0))),0,YEARFRAC(MAX($P$708*($B1071+IF($R$17="Distrato",$I$38-1,0)),IF(AND($L$711=0,$P$708=0),"",$L$711-1),IF($R$17="Distrato",$E1071,0)),MIN(AR$38,$D$19),$P$20))-SUM($P1071:AQ1071)</f>
        <v>#VALUE!</v>
      </c>
      <c r="AS1071" s="446" t="e">
        <f>IF(OR($B1071="",MIN(AS$38,$D$19)&lt;MAX($P$708*($B1071+IF($R$17="Distrato",$I$38-1,0)),IF(AND($L$711=0,$P$708=0),"",$L$711-1),IF($R$17="Distrato",$E1071,0))),0,YEARFRAC(MAX($P$708*($B1071+IF($R$17="Distrato",$I$38-1,0)),IF(AND($L$711=0,$P$708=0),"",$L$711-1),IF($R$17="Distrato",$E1071,0)),MIN(AS$38,$D$19),$P$20))-SUM($P1071:AR1071)</f>
        <v>#VALUE!</v>
      </c>
      <c r="AT1071" s="446" t="e">
        <f>IF(OR($B1071="",MIN(AT$38,$D$19)&lt;MAX($P$708*($B1071+IF($R$17="Distrato",$I$38-1,0)),IF(AND($L$711=0,$P$708=0),"",$L$711-1),IF($R$17="Distrato",$E1071,0))),0,YEARFRAC(MAX($P$708*($B1071+IF($R$17="Distrato",$I$38-1,0)),IF(AND($L$711=0,$P$708=0),"",$L$711-1),IF($R$17="Distrato",$E1071,0)),MIN(AT$38,$D$19),$P$20))-SUM($P1071:AS1071)</f>
        <v>#VALUE!</v>
      </c>
      <c r="AU1071" s="446" t="e">
        <f>IF(OR($B1071="",MIN(AU$38,$D$19)&lt;MAX($P$708*($B1071+IF($R$17="Distrato",$I$38-1,0)),IF(AND($L$711=0,$P$708=0),"",$L$711-1),IF($R$17="Distrato",$E1071,0))),0,YEARFRAC(MAX($P$708*($B1071+IF($R$17="Distrato",$I$38-1,0)),IF(AND($L$711=0,$P$708=0),"",$L$711-1),IF($R$17="Distrato",$E1071,0)),MIN(AU$38,$D$19),$P$20))-SUM($P1071:AT1071)</f>
        <v>#VALUE!</v>
      </c>
      <c r="AV1071" s="446" t="e">
        <f>IF(OR($B1071="",MIN(AV$38,$D$19)&lt;MAX($P$708*($B1071+IF($R$17="Distrato",$I$38-1,0)),IF(AND($L$711=0,$P$708=0),"",$L$711-1),IF($R$17="Distrato",$E1071,0))),0,YEARFRAC(MAX($P$708*($B1071+IF($R$17="Distrato",$I$38-1,0)),IF(AND($L$711=0,$P$708=0),"",$L$711-1),IF($R$17="Distrato",$E1071,0)),MIN(AV$38,$D$19),$P$20))-SUM($P1071:AU1071)</f>
        <v>#VALUE!</v>
      </c>
      <c r="AW1071" s="446" t="e">
        <f>IF(OR($B1071="",MIN(AW$38,$D$19)&lt;MAX($P$708*($B1071+IF($R$17="Distrato",$I$38-1,0)),IF(AND($L$711=0,$P$708=0),"",$L$711-1),IF($R$17="Distrato",$E1071,0))),0,YEARFRAC(MAX($P$708*($B1071+IF($R$17="Distrato",$I$38-1,0)),IF(AND($L$711=0,$P$708=0),"",$L$711-1),IF($R$17="Distrato",$E1071,0)),MIN(AW$38,$D$19),$P$20))-SUM($P1071:AV1071)</f>
        <v>#VALUE!</v>
      </c>
      <c r="AX1071" s="446" t="e">
        <f>IF(OR($B1071="",MIN(AX$38,$D$19)&lt;MAX($P$708*($B1071+IF($R$17="Distrato",$I$38-1,0)),IF(AND($L$711=0,$P$708=0),"",$L$711-1),IF($R$17="Distrato",$E1071,0))),0,YEARFRAC(MAX($P$708*($B1071+IF($R$17="Distrato",$I$38-1,0)),IF(AND($L$711=0,$P$708=0),"",$L$711-1),IF($R$17="Distrato",$E1071,0)),MIN(AX$38,$D$19),$P$20))-SUM($P1071:AW1071)</f>
        <v>#VALUE!</v>
      </c>
      <c r="AY1071" s="446" t="e">
        <f>IF(OR($B1071="",MIN(AY$38,$D$19)&lt;MAX($P$708*($B1071+IF($R$17="Distrato",$I$38-1,0)),IF(AND($L$711=0,$P$708=0),"",$L$711-1),IF($R$17="Distrato",$E1071,0))),0,YEARFRAC(MAX($P$708*($B1071+IF($R$17="Distrato",$I$38-1,0)),IF(AND($L$711=0,$P$708=0),"",$L$711-1),IF($R$17="Distrato",$E1071,0)),MIN(AY$38,$D$19),$P$20))-SUM($P1071:AX1071)</f>
        <v>#VALUE!</v>
      </c>
      <c r="AZ1071" s="446" t="e">
        <f>IF(OR($B1071="",MIN(AZ$38,$D$19)&lt;MAX($P$708*($B1071+IF($R$17="Distrato",$I$38-1,0)),IF(AND($L$711=0,$P$708=0),"",$L$711-1),IF($R$17="Distrato",$E1071,0))),0,YEARFRAC(MAX($P$708*($B1071+IF($R$17="Distrato",$I$38-1,0)),IF(AND($L$711=0,$P$708=0),"",$L$711-1),IF($R$17="Distrato",$E1071,0)),MIN(AZ$38,$D$19),$P$20))-SUM($P1071:AY1071)</f>
        <v>#VALUE!</v>
      </c>
      <c r="BA1071" s="446" t="e">
        <f>IF(OR($B1071="",MIN(BA$38,$D$19)&lt;MAX($P$708*($B1071+IF($R$17="Distrato",$I$38-1,0)),IF(AND($L$711=0,$P$708=0),"",$L$711-1),IF($R$17="Distrato",$E1071,0))),0,YEARFRAC(MAX($P$708*($B1071+IF($R$17="Distrato",$I$38-1,0)),IF(AND($L$711=0,$P$708=0),"",$L$711-1),IF($R$17="Distrato",$E1071,0)),MIN(BA$38,$D$19),$P$20))-SUM($P1071:AZ1071)</f>
        <v>#VALUE!</v>
      </c>
      <c r="BB1071" s="447"/>
    </row>
    <row r="1072" spans="1:54" s="446" customFormat="1" ht="11.25" hidden="1" customHeight="1" x14ac:dyDescent="0.2">
      <c r="A1072" s="235"/>
      <c r="B1072" s="236"/>
      <c r="C1072" s="29" t="str">
        <f>IF(B1072="","",IF($L$709=$BL$25,VLOOKUP(DATE(YEAR($D$19),MONTH($D$19)-1,1),ÍNDICES!$A:$DE,HLOOKUP($BL$25,ÍNDICES!$B$3:$T$4,2)+11)-VLOOKUP(B1072,ÍNDICES!$A:$DE,HLOOKUP($BL$25,ÍNDICES!$B$3:$T$4,2)+11)+1%,IF(C$712=$W$26,$J$35,IF(ISERROR(IF(B1072&gt;$D$19,1,VLOOKUP(DATE(YEAR(B1072),MONTH(B1072)+IF($C$709=$S$23,1,0),1),ÍNDICES!$A:$DE,$Z$709+1))),"",IF(B1072&gt;$D$19,1,VLOOKUP(DATE(YEAR(B1072),MONTH(B1072)+IF($C$709=$S$23,1,0),1),ÍNDICES!$A:$DE,$Z$709+1))))))</f>
        <v/>
      </c>
      <c r="D1072" s="155"/>
      <c r="E1072" s="88"/>
      <c r="F1072" s="88"/>
      <c r="G1072" s="88"/>
      <c r="H1072" s="118"/>
      <c r="I1072" s="182">
        <f t="shared" si="150"/>
        <v>0</v>
      </c>
      <c r="J1072" s="20">
        <f t="shared" ca="1" si="151"/>
        <v>0</v>
      </c>
      <c r="K1072" s="5">
        <f t="shared" ca="1" si="152"/>
        <v>0</v>
      </c>
      <c r="L1072" s="61">
        <f t="shared" ca="1" si="153"/>
        <v>0</v>
      </c>
      <c r="M1072" s="64">
        <f t="shared" si="154"/>
        <v>0</v>
      </c>
      <c r="N1072" s="151"/>
      <c r="O1072" s="5">
        <f t="shared" ca="1" si="155"/>
        <v>0</v>
      </c>
      <c r="P1072" s="446" t="e">
        <f t="shared" si="156"/>
        <v>#VALUE!</v>
      </c>
      <c r="Q1072" s="446" t="e">
        <f>IF(OR($B1072="",MIN(Q$38,$D$19)&lt;MAX($P$708*($B1072+IF($R$17="Distrato",$I$38-1,0)),IF(AND($L$711=0,$P$708=0),"",$L$711-1),IF($R$17="Distrato",$E1072,0))),0,YEARFRAC(MAX($P$708*($B1072+IF($R$17="Distrato",$I$38-1,0)),IF(AND($L$711=0,$P$708=0),"",$L$711-1),IF($R$17="Distrato",$E1072,0)),MIN(Q$38,$D$19),$P$20))-SUM($P1072:P1072)</f>
        <v>#VALUE!</v>
      </c>
      <c r="R1072" s="446" t="e">
        <f>IF(OR($B1072="",MIN(R$38,$D$19)&lt;MAX($P$708*($B1072+IF($R$17="Distrato",$I$38-1,0)),IF(AND($L$711=0,$P$708=0),"",$L$711-1),IF($R$17="Distrato",$E1072,0))),0,YEARFRAC(MAX($P$708*($B1072+IF($R$17="Distrato",$I$38-1,0)),IF(AND($L$711=0,$P$708=0),"",$L$711-1),IF($R$17="Distrato",$E1072,0)),MIN(R$38,$D$19),$P$20))-SUM($P1072:Q1072)</f>
        <v>#VALUE!</v>
      </c>
      <c r="S1072" s="446" t="e">
        <f>IF(OR($B1072="",MIN(S$38,$D$19)&lt;MAX($P$708*($B1072+IF($R$17="Distrato",$I$38-1,0)),IF(AND($L$711=0,$P$708=0),"",$L$711-1),IF($R$17="Distrato",$E1072,0))),0,YEARFRAC(MAX($P$708*($B1072+IF($R$17="Distrato",$I$38-1,0)),IF(AND($L$711=0,$P$708=0),"",$L$711-1),IF($R$17="Distrato",$E1072,0)),MIN(S$38,$D$19),$P$20))-SUM($P1072:R1072)</f>
        <v>#VALUE!</v>
      </c>
      <c r="T1072" s="446" t="e">
        <f>IF(OR($B1072="",MIN(T$38,$D$19)&lt;MAX($P$708*($B1072+IF($R$17="Distrato",$I$38-1,0)),IF(AND($L$711=0,$P$708=0),"",$L$711-1),IF($R$17="Distrato",$E1072,0))),0,YEARFRAC(MAX($P$708*($B1072+IF($R$17="Distrato",$I$38-1,0)),IF(AND($L$711=0,$P$708=0),"",$L$711-1),IF($R$17="Distrato",$E1072,0)),MIN(T$38,$D$19),$P$20))-SUM($P1072:S1072)</f>
        <v>#VALUE!</v>
      </c>
      <c r="U1072" s="446" t="e">
        <f>IF(OR($B1072="",MIN(U$38,$D$19)&lt;MAX($P$708*($B1072+IF($R$17="Distrato",$I$38-1,0)),IF(AND($L$711=0,$P$708=0),"",$L$711-1),IF($R$17="Distrato",$E1072,0))),0,YEARFRAC(MAX($P$708*($B1072+IF($R$17="Distrato",$I$38-1,0)),IF(AND($L$711=0,$P$708=0),"",$L$711-1),IF($R$17="Distrato",$E1072,0)),MIN(U$38,$D$19),$P$20))-SUM($P1072:T1072)</f>
        <v>#VALUE!</v>
      </c>
      <c r="V1072" s="446" t="e">
        <f>IF(OR($B1072="",MIN(V$38,$D$19)&lt;MAX($P$708*($B1072+IF($R$17="Distrato",$I$38-1,0)),IF(AND($L$711=0,$P$708=0),"",$L$711-1),IF($R$17="Distrato",$E1072,0))),0,YEARFRAC(MAX($P$708*($B1072+IF($R$17="Distrato",$I$38-1,0)),IF(AND($L$711=0,$P$708=0),"",$L$711-1),IF($R$17="Distrato",$E1072,0)),MIN(V$38,$D$19),$P$20))-SUM($P1072:U1072)</f>
        <v>#VALUE!</v>
      </c>
      <c r="W1072" s="446" t="e">
        <f>IF(OR($B1072="",MIN(W$38,$D$19)&lt;MAX($P$708*($B1072+IF($R$17="Distrato",$I$38-1,0)),IF(AND($L$711=0,$P$708=0),"",$L$711-1),IF($R$17="Distrato",$E1072,0))),0,YEARFRAC(MAX($P$708*($B1072+IF($R$17="Distrato",$I$38-1,0)),IF(AND($L$711=0,$P$708=0),"",$L$711-1),IF($R$17="Distrato",$E1072,0)),MIN(W$38,$D$19),$P$20))-SUM($P1072:V1072)</f>
        <v>#VALUE!</v>
      </c>
      <c r="X1072" s="446" t="e">
        <f>IF(OR($B1072="",MIN(X$38,$D$19)&lt;MAX($P$708*($B1072+IF($R$17="Distrato",$I$38-1,0)),IF(AND($L$711=0,$P$708=0),"",$L$711-1),IF($R$17="Distrato",$E1072,0))),0,YEARFRAC(MAX($P$708*($B1072+IF($R$17="Distrato",$I$38-1,0)),IF(AND($L$711=0,$P$708=0),"",$L$711-1),IF($R$17="Distrato",$E1072,0)),MIN(X$38,$D$19),$P$20))-SUM($P1072:W1072)</f>
        <v>#VALUE!</v>
      </c>
      <c r="Y1072" s="446" t="e">
        <f>IF(OR($B1072="",MIN(Y$38,$D$19)&lt;MAX($P$708*($B1072+IF($R$17="Distrato",$I$38-1,0)),IF(AND($L$711=0,$P$708=0),"",$L$711-1),IF($R$17="Distrato",$E1072,0))),0,YEARFRAC(MAX($P$708*($B1072+IF($R$17="Distrato",$I$38-1,0)),IF(AND($L$711=0,$P$708=0),"",$L$711-1),IF($R$17="Distrato",$E1072,0)),MIN(Y$38,$D$19),$P$20))-SUM($P1072:X1072)</f>
        <v>#VALUE!</v>
      </c>
      <c r="Z1072" s="446" t="e">
        <f>IF(OR($B1072="",MIN(Z$38,$D$19)&lt;MAX($P$708*($B1072+IF($R$17="Distrato",$I$38-1,0)),IF(AND($L$711=0,$P$708=0),"",$L$711-1),IF($R$17="Distrato",$E1072,0))),0,YEARFRAC(MAX($P$708*($B1072+IF($R$17="Distrato",$I$38-1,0)),IF(AND($L$711=0,$P$708=0),"",$L$711-1),IF($R$17="Distrato",$E1072,0)),MIN(Z$38,$D$19),$P$20))-SUM($P1072:Y1072)</f>
        <v>#VALUE!</v>
      </c>
      <c r="AA1072" s="446" t="e">
        <f>IF(OR($B1072="",MIN(AA$38,$D$19)&lt;MAX($P$708*($B1072+IF($R$17="Distrato",$I$38-1,0)),IF(AND($L$711=0,$P$708=0),"",$L$711-1),IF($R$17="Distrato",$E1072,0))),0,YEARFRAC(MAX($P$708*($B1072+IF($R$17="Distrato",$I$38-1,0)),IF(AND($L$711=0,$P$708=0),"",$L$711-1),IF($R$17="Distrato",$E1072,0)),MIN(AA$38,$D$19),$P$20))-SUM($P1072:Z1072)</f>
        <v>#VALUE!</v>
      </c>
      <c r="AB1072" s="446" t="e">
        <f>IF(OR($B1072="",MIN(AB$38,$D$19)&lt;MAX($P$708*($B1072+IF($R$17="Distrato",$I$38-1,0)),IF(AND($L$711=0,$P$708=0),"",$L$711-1),IF($R$17="Distrato",$E1072,0))),0,YEARFRAC(MAX($P$708*($B1072+IF($R$17="Distrato",$I$38-1,0)),IF(AND($L$711=0,$P$708=0),"",$L$711-1),IF($R$17="Distrato",$E1072,0)),MIN(AB$38,$D$19),$P$20))-SUM($P1072:AA1072)</f>
        <v>#VALUE!</v>
      </c>
      <c r="AC1072" s="446" t="e">
        <f>IF(OR($B1072="",MIN(AC$38,$D$19)&lt;MAX($P$708*($B1072+IF($R$17="Distrato",$I$38-1,0)),IF(AND($L$711=0,$P$708=0),"",$L$711-1),IF($R$17="Distrato",$E1072,0))),0,YEARFRAC(MAX($P$708*($B1072+IF($R$17="Distrato",$I$38-1,0)),IF(AND($L$711=0,$P$708=0),"",$L$711-1),IF($R$17="Distrato",$E1072,0)),MIN(AC$38,$D$19),$P$20))-SUM($P1072:AB1072)</f>
        <v>#VALUE!</v>
      </c>
      <c r="AD1072" s="446" t="e">
        <f>IF(OR($B1072="",MIN(AD$38,$D$19)&lt;MAX($P$708*($B1072+IF($R$17="Distrato",$I$38-1,0)),IF(AND($L$711=0,$P$708=0),"",$L$711-1),IF($R$17="Distrato",$E1072,0))),0,YEARFRAC(MAX($P$708*($B1072+IF($R$17="Distrato",$I$38-1,0)),IF(AND($L$711=0,$P$708=0),"",$L$711-1),IF($R$17="Distrato",$E1072,0)),MIN(AD$38,$D$19),$P$20))-SUM($P1072:AC1072)</f>
        <v>#VALUE!</v>
      </c>
      <c r="AE1072" s="446" t="e">
        <f>IF(OR($B1072="",MIN(AE$38,$D$19)&lt;MAX($P$708*($B1072+IF($R$17="Distrato",$I$38-1,0)),IF(AND($L$711=0,$P$708=0),"",$L$711-1),IF($R$17="Distrato",$E1072,0))),0,YEARFRAC(MAX($P$708*($B1072+IF($R$17="Distrato",$I$38-1,0)),IF(AND($L$711=0,$P$708=0),"",$L$711-1),IF($R$17="Distrato",$E1072,0)),MIN(AE$38,$D$19),$P$20))-SUM($P1072:AD1072)</f>
        <v>#VALUE!</v>
      </c>
      <c r="AF1072" s="446" t="e">
        <f>IF(OR($B1072="",MIN(AF$38,$D$19)&lt;MAX($P$708*($B1072+IF($R$17="Distrato",$I$38-1,0)),IF(AND($L$711=0,$P$708=0),"",$L$711-1),IF($R$17="Distrato",$E1072,0))),0,YEARFRAC(MAX($P$708*($B1072+IF($R$17="Distrato",$I$38-1,0)),IF(AND($L$711=0,$P$708=0),"",$L$711-1),IF($R$17="Distrato",$E1072,0)),MIN(AF$38,$D$19),$P$20))-SUM($P1072:AE1072)</f>
        <v>#VALUE!</v>
      </c>
      <c r="AG1072" s="446" t="e">
        <f>IF(OR($B1072="",MIN(AG$38,$D$19)&lt;MAX($P$708*($B1072+IF($R$17="Distrato",$I$38-1,0)),IF(AND($L$711=0,$P$708=0),"",$L$711-1),IF($R$17="Distrato",$E1072,0))),0,YEARFRAC(MAX($P$708*($B1072+IF($R$17="Distrato",$I$38-1,0)),IF(AND($L$711=0,$P$708=0),"",$L$711-1),IF($R$17="Distrato",$E1072,0)),MIN(AG$38,$D$19),$P$20))-SUM($P1072:AF1072)</f>
        <v>#VALUE!</v>
      </c>
      <c r="AH1072" s="446" t="e">
        <f>IF(OR($B1072="",MIN(AH$38,$D$19)&lt;MAX($P$708*($B1072+IF($R$17="Distrato",$I$38-1,0)),IF(AND($L$711=0,$P$708=0),"",$L$711-1),IF($R$17="Distrato",$E1072,0))),0,YEARFRAC(MAX($P$708*($B1072+IF($R$17="Distrato",$I$38-1,0)),IF(AND($L$711=0,$P$708=0),"",$L$711-1),IF($R$17="Distrato",$E1072,0)),MIN(AH$38,$D$19),$P$20))-SUM($P1072:AG1072)</f>
        <v>#VALUE!</v>
      </c>
      <c r="AI1072" s="446" t="e">
        <f>IF(OR($B1072="",MIN(AI$38,$D$19)&lt;MAX($P$708*($B1072+IF($R$17="Distrato",$I$38-1,0)),IF(AND($L$711=0,$P$708=0),"",$L$711-1),IF($R$17="Distrato",$E1072,0))),0,YEARFRAC(MAX($P$708*($B1072+IF($R$17="Distrato",$I$38-1,0)),IF(AND($L$711=0,$P$708=0),"",$L$711-1),IF($R$17="Distrato",$E1072,0)),MIN(AI$38,$D$19),$P$20))-SUM($P1072:AH1072)</f>
        <v>#VALUE!</v>
      </c>
      <c r="AJ1072" s="446" t="e">
        <f>IF(OR($B1072="",MIN(AJ$38,$D$19)&lt;MAX($P$708*($B1072+IF($R$17="Distrato",$I$38-1,0)),IF(AND($L$711=0,$P$708=0),"",$L$711-1),IF($R$17="Distrato",$E1072,0))),0,YEARFRAC(MAX($P$708*($B1072+IF($R$17="Distrato",$I$38-1,0)),IF(AND($L$711=0,$P$708=0),"",$L$711-1),IF($R$17="Distrato",$E1072,0)),MIN(AJ$38,$D$19),$P$20))-SUM($P1072:AI1072)</f>
        <v>#VALUE!</v>
      </c>
      <c r="AK1072" s="446" t="e">
        <f>IF(OR($B1072="",MIN(AK$38,$D$19)&lt;MAX($P$708*($B1072+IF($R$17="Distrato",$I$38-1,0)),IF(AND($L$711=0,$P$708=0),"",$L$711-1),IF($R$17="Distrato",$E1072,0))),0,YEARFRAC(MAX($P$708*($B1072+IF($R$17="Distrato",$I$38-1,0)),IF(AND($L$711=0,$P$708=0),"",$L$711-1),IF($R$17="Distrato",$E1072,0)),MIN(AK$38,$D$19),$P$20))-SUM($P1072:AJ1072)</f>
        <v>#VALUE!</v>
      </c>
      <c r="AL1072" s="446" t="e">
        <f>IF(OR($B1072="",MIN(AL$38,$D$19)&lt;MAX($P$708*($B1072+IF($R$17="Distrato",$I$38-1,0)),IF(AND($L$711=0,$P$708=0),"",$L$711-1),IF($R$17="Distrato",$E1072,0))),0,YEARFRAC(MAX($P$708*($B1072+IF($R$17="Distrato",$I$38-1,0)),IF(AND($L$711=0,$P$708=0),"",$L$711-1),IF($R$17="Distrato",$E1072,0)),MIN(AL$38,$D$19),$P$20))-SUM($P1072:AK1072)</f>
        <v>#VALUE!</v>
      </c>
      <c r="AM1072" s="446" t="e">
        <f>IF(OR($B1072="",MIN(AM$38,$D$19)&lt;MAX($P$708*($B1072+IF($R$17="Distrato",$I$38-1,0)),IF(AND($L$711=0,$P$708=0),"",$L$711-1),IF($R$17="Distrato",$E1072,0))),0,YEARFRAC(MAX($P$708*($B1072+IF($R$17="Distrato",$I$38-1,0)),IF(AND($L$711=0,$P$708=0),"",$L$711-1),IF($R$17="Distrato",$E1072,0)),MIN(AM$38,$D$19),$P$20))-SUM($P1072:AL1072)</f>
        <v>#VALUE!</v>
      </c>
      <c r="AN1072" s="446" t="e">
        <f>IF(OR($B1072="",MIN(AN$38,$D$19)&lt;MAX($P$708*($B1072+IF($R$17="Distrato",$I$38-1,0)),IF(AND($L$711=0,$P$708=0),"",$L$711-1),IF($R$17="Distrato",$E1072,0))),0,YEARFRAC(MAX($P$708*($B1072+IF($R$17="Distrato",$I$38-1,0)),IF(AND($L$711=0,$P$708=0),"",$L$711-1),IF($R$17="Distrato",$E1072,0)),MIN(AN$38,$D$19),$P$20))-SUM($P1072:AM1072)</f>
        <v>#VALUE!</v>
      </c>
      <c r="AO1072" s="446" t="e">
        <f>IF(OR($B1072="",MIN(AO$38,$D$19)&lt;MAX($P$708*($B1072+IF($R$17="Distrato",$I$38-1,0)),IF(AND($L$711=0,$P$708=0),"",$L$711-1),IF($R$17="Distrato",$E1072,0))),0,YEARFRAC(MAX($P$708*($B1072+IF($R$17="Distrato",$I$38-1,0)),IF(AND($L$711=0,$P$708=0),"",$L$711-1),IF($R$17="Distrato",$E1072,0)),MIN(AO$38,$D$19),$P$20))-SUM($P1072:AN1072)</f>
        <v>#VALUE!</v>
      </c>
      <c r="AP1072" s="446" t="e">
        <f>IF(OR($B1072="",MIN(AP$38,$D$19)&lt;MAX($P$708*($B1072+IF($R$17="Distrato",$I$38-1,0)),IF(AND($L$711=0,$P$708=0),"",$L$711-1),IF($R$17="Distrato",$E1072,0))),0,YEARFRAC(MAX($P$708*($B1072+IF($R$17="Distrato",$I$38-1,0)),IF(AND($L$711=0,$P$708=0),"",$L$711-1),IF($R$17="Distrato",$E1072,0)),MIN(AP$38,$D$19),$P$20))-SUM($P1072:AO1072)</f>
        <v>#VALUE!</v>
      </c>
      <c r="AQ1072" s="446" t="e">
        <f>IF(OR($B1072="",MIN(AQ$38,$D$19)&lt;MAX($P$708*($B1072+IF($R$17="Distrato",$I$38-1,0)),IF(AND($L$711=0,$P$708=0),"",$L$711-1),IF($R$17="Distrato",$E1072,0))),0,YEARFRAC(MAX($P$708*($B1072+IF($R$17="Distrato",$I$38-1,0)),IF(AND($L$711=0,$P$708=0),"",$L$711-1),IF($R$17="Distrato",$E1072,0)),MIN(AQ$38,$D$19),$P$20))-SUM($P1072:AP1072)</f>
        <v>#VALUE!</v>
      </c>
      <c r="AR1072" s="446" t="e">
        <f>IF(OR($B1072="",MIN(AR$38,$D$19)&lt;MAX($P$708*($B1072+IF($R$17="Distrato",$I$38-1,0)),IF(AND($L$711=0,$P$708=0),"",$L$711-1),IF($R$17="Distrato",$E1072,0))),0,YEARFRAC(MAX($P$708*($B1072+IF($R$17="Distrato",$I$38-1,0)),IF(AND($L$711=0,$P$708=0),"",$L$711-1),IF($R$17="Distrato",$E1072,0)),MIN(AR$38,$D$19),$P$20))-SUM($P1072:AQ1072)</f>
        <v>#VALUE!</v>
      </c>
      <c r="AS1072" s="446" t="e">
        <f>IF(OR($B1072="",MIN(AS$38,$D$19)&lt;MAX($P$708*($B1072+IF($R$17="Distrato",$I$38-1,0)),IF(AND($L$711=0,$P$708=0),"",$L$711-1),IF($R$17="Distrato",$E1072,0))),0,YEARFRAC(MAX($P$708*($B1072+IF($R$17="Distrato",$I$38-1,0)),IF(AND($L$711=0,$P$708=0),"",$L$711-1),IF($R$17="Distrato",$E1072,0)),MIN(AS$38,$D$19),$P$20))-SUM($P1072:AR1072)</f>
        <v>#VALUE!</v>
      </c>
      <c r="AT1072" s="446" t="e">
        <f>IF(OR($B1072="",MIN(AT$38,$D$19)&lt;MAX($P$708*($B1072+IF($R$17="Distrato",$I$38-1,0)),IF(AND($L$711=0,$P$708=0),"",$L$711-1),IF($R$17="Distrato",$E1072,0))),0,YEARFRAC(MAX($P$708*($B1072+IF($R$17="Distrato",$I$38-1,0)),IF(AND($L$711=0,$P$708=0),"",$L$711-1),IF($R$17="Distrato",$E1072,0)),MIN(AT$38,$D$19),$P$20))-SUM($P1072:AS1072)</f>
        <v>#VALUE!</v>
      </c>
      <c r="AU1072" s="446" t="e">
        <f>IF(OR($B1072="",MIN(AU$38,$D$19)&lt;MAX($P$708*($B1072+IF($R$17="Distrato",$I$38-1,0)),IF(AND($L$711=0,$P$708=0),"",$L$711-1),IF($R$17="Distrato",$E1072,0))),0,YEARFRAC(MAX($P$708*($B1072+IF($R$17="Distrato",$I$38-1,0)),IF(AND($L$711=0,$P$708=0),"",$L$711-1),IF($R$17="Distrato",$E1072,0)),MIN(AU$38,$D$19),$P$20))-SUM($P1072:AT1072)</f>
        <v>#VALUE!</v>
      </c>
      <c r="AV1072" s="446" t="e">
        <f>IF(OR($B1072="",MIN(AV$38,$D$19)&lt;MAX($P$708*($B1072+IF($R$17="Distrato",$I$38-1,0)),IF(AND($L$711=0,$P$708=0),"",$L$711-1),IF($R$17="Distrato",$E1072,0))),0,YEARFRAC(MAX($P$708*($B1072+IF($R$17="Distrato",$I$38-1,0)),IF(AND($L$711=0,$P$708=0),"",$L$711-1),IF($R$17="Distrato",$E1072,0)),MIN(AV$38,$D$19),$P$20))-SUM($P1072:AU1072)</f>
        <v>#VALUE!</v>
      </c>
      <c r="AW1072" s="446" t="e">
        <f>IF(OR($B1072="",MIN(AW$38,$D$19)&lt;MAX($P$708*($B1072+IF($R$17="Distrato",$I$38-1,0)),IF(AND($L$711=0,$P$708=0),"",$L$711-1),IF($R$17="Distrato",$E1072,0))),0,YEARFRAC(MAX($P$708*($B1072+IF($R$17="Distrato",$I$38-1,0)),IF(AND($L$711=0,$P$708=0),"",$L$711-1),IF($R$17="Distrato",$E1072,0)),MIN(AW$38,$D$19),$P$20))-SUM($P1072:AV1072)</f>
        <v>#VALUE!</v>
      </c>
      <c r="AX1072" s="446" t="e">
        <f>IF(OR($B1072="",MIN(AX$38,$D$19)&lt;MAX($P$708*($B1072+IF($R$17="Distrato",$I$38-1,0)),IF(AND($L$711=0,$P$708=0),"",$L$711-1),IF($R$17="Distrato",$E1072,0))),0,YEARFRAC(MAX($P$708*($B1072+IF($R$17="Distrato",$I$38-1,0)),IF(AND($L$711=0,$P$708=0),"",$L$711-1),IF($R$17="Distrato",$E1072,0)),MIN(AX$38,$D$19),$P$20))-SUM($P1072:AW1072)</f>
        <v>#VALUE!</v>
      </c>
      <c r="AY1072" s="446" t="e">
        <f>IF(OR($B1072="",MIN(AY$38,$D$19)&lt;MAX($P$708*($B1072+IF($R$17="Distrato",$I$38-1,0)),IF(AND($L$711=0,$P$708=0),"",$L$711-1),IF($R$17="Distrato",$E1072,0))),0,YEARFRAC(MAX($P$708*($B1072+IF($R$17="Distrato",$I$38-1,0)),IF(AND($L$711=0,$P$708=0),"",$L$711-1),IF($R$17="Distrato",$E1072,0)),MIN(AY$38,$D$19),$P$20))-SUM($P1072:AX1072)</f>
        <v>#VALUE!</v>
      </c>
      <c r="AZ1072" s="446" t="e">
        <f>IF(OR($B1072="",MIN(AZ$38,$D$19)&lt;MAX($P$708*($B1072+IF($R$17="Distrato",$I$38-1,0)),IF(AND($L$711=0,$P$708=0),"",$L$711-1),IF($R$17="Distrato",$E1072,0))),0,YEARFRAC(MAX($P$708*($B1072+IF($R$17="Distrato",$I$38-1,0)),IF(AND($L$711=0,$P$708=0),"",$L$711-1),IF($R$17="Distrato",$E1072,0)),MIN(AZ$38,$D$19),$P$20))-SUM($P1072:AY1072)</f>
        <v>#VALUE!</v>
      </c>
      <c r="BA1072" s="446" t="e">
        <f>IF(OR($B1072="",MIN(BA$38,$D$19)&lt;MAX($P$708*($B1072+IF($R$17="Distrato",$I$38-1,0)),IF(AND($L$711=0,$P$708=0),"",$L$711-1),IF($R$17="Distrato",$E1072,0))),0,YEARFRAC(MAX($P$708*($B1072+IF($R$17="Distrato",$I$38-1,0)),IF(AND($L$711=0,$P$708=0),"",$L$711-1),IF($R$17="Distrato",$E1072,0)),MIN(BA$38,$D$19),$P$20))-SUM($P1072:AZ1072)</f>
        <v>#VALUE!</v>
      </c>
      <c r="BB1072" s="447"/>
    </row>
    <row r="1073" spans="1:54" s="446" customFormat="1" ht="11.25" hidden="1" customHeight="1" x14ac:dyDescent="0.2">
      <c r="A1073" s="235"/>
      <c r="B1073" s="236"/>
      <c r="C1073" s="29" t="str">
        <f>IF(B1073="","",IF($L$709=$BL$25,VLOOKUP(DATE(YEAR($D$19),MONTH($D$19)-1,1),ÍNDICES!$A:$DE,HLOOKUP($BL$25,ÍNDICES!$B$3:$T$4,2)+11)-VLOOKUP(B1073,ÍNDICES!$A:$DE,HLOOKUP($BL$25,ÍNDICES!$B$3:$T$4,2)+11)+1%,IF(C$712=$W$26,$J$35,IF(ISERROR(IF(B1073&gt;$D$19,1,VLOOKUP(DATE(YEAR(B1073),MONTH(B1073)+IF($C$709=$S$23,1,0),1),ÍNDICES!$A:$DE,$Z$709+1))),"",IF(B1073&gt;$D$19,1,VLOOKUP(DATE(YEAR(B1073),MONTH(B1073)+IF($C$709=$S$23,1,0),1),ÍNDICES!$A:$DE,$Z$709+1))))))</f>
        <v/>
      </c>
      <c r="D1073" s="155"/>
      <c r="E1073" s="88"/>
      <c r="F1073" s="88"/>
      <c r="G1073" s="88"/>
      <c r="H1073" s="118"/>
      <c r="I1073" s="182">
        <f t="shared" si="150"/>
        <v>0</v>
      </c>
      <c r="J1073" s="20">
        <f t="shared" ca="1" si="151"/>
        <v>0</v>
      </c>
      <c r="K1073" s="5">
        <f t="shared" ca="1" si="152"/>
        <v>0</v>
      </c>
      <c r="L1073" s="61">
        <f t="shared" ca="1" si="153"/>
        <v>0</v>
      </c>
      <c r="M1073" s="64">
        <f t="shared" si="154"/>
        <v>0</v>
      </c>
      <c r="N1073" s="151"/>
      <c r="O1073" s="5">
        <f t="shared" ca="1" si="155"/>
        <v>0</v>
      </c>
      <c r="P1073" s="446" t="e">
        <f t="shared" si="156"/>
        <v>#VALUE!</v>
      </c>
      <c r="Q1073" s="446" t="e">
        <f>IF(OR($B1073="",MIN(Q$38,$D$19)&lt;MAX($P$708*($B1073+IF($R$17="Distrato",$I$38-1,0)),IF(AND($L$711=0,$P$708=0),"",$L$711-1),IF($R$17="Distrato",$E1073,0))),0,YEARFRAC(MAX($P$708*($B1073+IF($R$17="Distrato",$I$38-1,0)),IF(AND($L$711=0,$P$708=0),"",$L$711-1),IF($R$17="Distrato",$E1073,0)),MIN(Q$38,$D$19),$P$20))-SUM($P1073:P1073)</f>
        <v>#VALUE!</v>
      </c>
      <c r="R1073" s="446" t="e">
        <f>IF(OR($B1073="",MIN(R$38,$D$19)&lt;MAX($P$708*($B1073+IF($R$17="Distrato",$I$38-1,0)),IF(AND($L$711=0,$P$708=0),"",$L$711-1),IF($R$17="Distrato",$E1073,0))),0,YEARFRAC(MAX($P$708*($B1073+IF($R$17="Distrato",$I$38-1,0)),IF(AND($L$711=0,$P$708=0),"",$L$711-1),IF($R$17="Distrato",$E1073,0)),MIN(R$38,$D$19),$P$20))-SUM($P1073:Q1073)</f>
        <v>#VALUE!</v>
      </c>
      <c r="S1073" s="446" t="e">
        <f>IF(OR($B1073="",MIN(S$38,$D$19)&lt;MAX($P$708*($B1073+IF($R$17="Distrato",$I$38-1,0)),IF(AND($L$711=0,$P$708=0),"",$L$711-1),IF($R$17="Distrato",$E1073,0))),0,YEARFRAC(MAX($P$708*($B1073+IF($R$17="Distrato",$I$38-1,0)),IF(AND($L$711=0,$P$708=0),"",$L$711-1),IF($R$17="Distrato",$E1073,0)),MIN(S$38,$D$19),$P$20))-SUM($P1073:R1073)</f>
        <v>#VALUE!</v>
      </c>
      <c r="T1073" s="446" t="e">
        <f>IF(OR($B1073="",MIN(T$38,$D$19)&lt;MAX($P$708*($B1073+IF($R$17="Distrato",$I$38-1,0)),IF(AND($L$711=0,$P$708=0),"",$L$711-1),IF($R$17="Distrato",$E1073,0))),0,YEARFRAC(MAX($P$708*($B1073+IF($R$17="Distrato",$I$38-1,0)),IF(AND($L$711=0,$P$708=0),"",$L$711-1),IF($R$17="Distrato",$E1073,0)),MIN(T$38,$D$19),$P$20))-SUM($P1073:S1073)</f>
        <v>#VALUE!</v>
      </c>
      <c r="U1073" s="446" t="e">
        <f>IF(OR($B1073="",MIN(U$38,$D$19)&lt;MAX($P$708*($B1073+IF($R$17="Distrato",$I$38-1,0)),IF(AND($L$711=0,$P$708=0),"",$L$711-1),IF($R$17="Distrato",$E1073,0))),0,YEARFRAC(MAX($P$708*($B1073+IF($R$17="Distrato",$I$38-1,0)),IF(AND($L$711=0,$P$708=0),"",$L$711-1),IF($R$17="Distrato",$E1073,0)),MIN(U$38,$D$19),$P$20))-SUM($P1073:T1073)</f>
        <v>#VALUE!</v>
      </c>
      <c r="V1073" s="446" t="e">
        <f>IF(OR($B1073="",MIN(V$38,$D$19)&lt;MAX($P$708*($B1073+IF($R$17="Distrato",$I$38-1,0)),IF(AND($L$711=0,$P$708=0),"",$L$711-1),IF($R$17="Distrato",$E1073,0))),0,YEARFRAC(MAX($P$708*($B1073+IF($R$17="Distrato",$I$38-1,0)),IF(AND($L$711=0,$P$708=0),"",$L$711-1),IF($R$17="Distrato",$E1073,0)),MIN(V$38,$D$19),$P$20))-SUM($P1073:U1073)</f>
        <v>#VALUE!</v>
      </c>
      <c r="W1073" s="446" t="e">
        <f>IF(OR($B1073="",MIN(W$38,$D$19)&lt;MAX($P$708*($B1073+IF($R$17="Distrato",$I$38-1,0)),IF(AND($L$711=0,$P$708=0),"",$L$711-1),IF($R$17="Distrato",$E1073,0))),0,YEARFRAC(MAX($P$708*($B1073+IF($R$17="Distrato",$I$38-1,0)),IF(AND($L$711=0,$P$708=0),"",$L$711-1),IF($R$17="Distrato",$E1073,0)),MIN(W$38,$D$19),$P$20))-SUM($P1073:V1073)</f>
        <v>#VALUE!</v>
      </c>
      <c r="X1073" s="446" t="e">
        <f>IF(OR($B1073="",MIN(X$38,$D$19)&lt;MAX($P$708*($B1073+IF($R$17="Distrato",$I$38-1,0)),IF(AND($L$711=0,$P$708=0),"",$L$711-1),IF($R$17="Distrato",$E1073,0))),0,YEARFRAC(MAX($P$708*($B1073+IF($R$17="Distrato",$I$38-1,0)),IF(AND($L$711=0,$P$708=0),"",$L$711-1),IF($R$17="Distrato",$E1073,0)),MIN(X$38,$D$19),$P$20))-SUM($P1073:W1073)</f>
        <v>#VALUE!</v>
      </c>
      <c r="Y1073" s="446" t="e">
        <f>IF(OR($B1073="",MIN(Y$38,$D$19)&lt;MAX($P$708*($B1073+IF($R$17="Distrato",$I$38-1,0)),IF(AND($L$711=0,$P$708=0),"",$L$711-1),IF($R$17="Distrato",$E1073,0))),0,YEARFRAC(MAX($P$708*($B1073+IF($R$17="Distrato",$I$38-1,0)),IF(AND($L$711=0,$P$708=0),"",$L$711-1),IF($R$17="Distrato",$E1073,0)),MIN(Y$38,$D$19),$P$20))-SUM($P1073:X1073)</f>
        <v>#VALUE!</v>
      </c>
      <c r="Z1073" s="446" t="e">
        <f>IF(OR($B1073="",MIN(Z$38,$D$19)&lt;MAX($P$708*($B1073+IF($R$17="Distrato",$I$38-1,0)),IF(AND($L$711=0,$P$708=0),"",$L$711-1),IF($R$17="Distrato",$E1073,0))),0,YEARFRAC(MAX($P$708*($B1073+IF($R$17="Distrato",$I$38-1,0)),IF(AND($L$711=0,$P$708=0),"",$L$711-1),IF($R$17="Distrato",$E1073,0)),MIN(Z$38,$D$19),$P$20))-SUM($P1073:Y1073)</f>
        <v>#VALUE!</v>
      </c>
      <c r="AA1073" s="446" t="e">
        <f>IF(OR($B1073="",MIN(AA$38,$D$19)&lt;MAX($P$708*($B1073+IF($R$17="Distrato",$I$38-1,0)),IF(AND($L$711=0,$P$708=0),"",$L$711-1),IF($R$17="Distrato",$E1073,0))),0,YEARFRAC(MAX($P$708*($B1073+IF($R$17="Distrato",$I$38-1,0)),IF(AND($L$711=0,$P$708=0),"",$L$711-1),IF($R$17="Distrato",$E1073,0)),MIN(AA$38,$D$19),$P$20))-SUM($P1073:Z1073)</f>
        <v>#VALUE!</v>
      </c>
      <c r="AB1073" s="446" t="e">
        <f>IF(OR($B1073="",MIN(AB$38,$D$19)&lt;MAX($P$708*($B1073+IF($R$17="Distrato",$I$38-1,0)),IF(AND($L$711=0,$P$708=0),"",$L$711-1),IF($R$17="Distrato",$E1073,0))),0,YEARFRAC(MAX($P$708*($B1073+IF($R$17="Distrato",$I$38-1,0)),IF(AND($L$711=0,$P$708=0),"",$L$711-1),IF($R$17="Distrato",$E1073,0)),MIN(AB$38,$D$19),$P$20))-SUM($P1073:AA1073)</f>
        <v>#VALUE!</v>
      </c>
      <c r="AC1073" s="446" t="e">
        <f>IF(OR($B1073="",MIN(AC$38,$D$19)&lt;MAX($P$708*($B1073+IF($R$17="Distrato",$I$38-1,0)),IF(AND($L$711=0,$P$708=0),"",$L$711-1),IF($R$17="Distrato",$E1073,0))),0,YEARFRAC(MAX($P$708*($B1073+IF($R$17="Distrato",$I$38-1,0)),IF(AND($L$711=0,$P$708=0),"",$L$711-1),IF($R$17="Distrato",$E1073,0)),MIN(AC$38,$D$19),$P$20))-SUM($P1073:AB1073)</f>
        <v>#VALUE!</v>
      </c>
      <c r="AD1073" s="446" t="e">
        <f>IF(OR($B1073="",MIN(AD$38,$D$19)&lt;MAX($P$708*($B1073+IF($R$17="Distrato",$I$38-1,0)),IF(AND($L$711=0,$P$708=0),"",$L$711-1),IF($R$17="Distrato",$E1073,0))),0,YEARFRAC(MAX($P$708*($B1073+IF($R$17="Distrato",$I$38-1,0)),IF(AND($L$711=0,$P$708=0),"",$L$711-1),IF($R$17="Distrato",$E1073,0)),MIN(AD$38,$D$19),$P$20))-SUM($P1073:AC1073)</f>
        <v>#VALUE!</v>
      </c>
      <c r="AE1073" s="446" t="e">
        <f>IF(OR($B1073="",MIN(AE$38,$D$19)&lt;MAX($P$708*($B1073+IF($R$17="Distrato",$I$38-1,0)),IF(AND($L$711=0,$P$708=0),"",$L$711-1),IF($R$17="Distrato",$E1073,0))),0,YEARFRAC(MAX($P$708*($B1073+IF($R$17="Distrato",$I$38-1,0)),IF(AND($L$711=0,$P$708=0),"",$L$711-1),IF($R$17="Distrato",$E1073,0)),MIN(AE$38,$D$19),$P$20))-SUM($P1073:AD1073)</f>
        <v>#VALUE!</v>
      </c>
      <c r="AF1073" s="446" t="e">
        <f>IF(OR($B1073="",MIN(AF$38,$D$19)&lt;MAX($P$708*($B1073+IF($R$17="Distrato",$I$38-1,0)),IF(AND($L$711=0,$P$708=0),"",$L$711-1),IF($R$17="Distrato",$E1073,0))),0,YEARFRAC(MAX($P$708*($B1073+IF($R$17="Distrato",$I$38-1,0)),IF(AND($L$711=0,$P$708=0),"",$L$711-1),IF($R$17="Distrato",$E1073,0)),MIN(AF$38,$D$19),$P$20))-SUM($P1073:AE1073)</f>
        <v>#VALUE!</v>
      </c>
      <c r="AG1073" s="446" t="e">
        <f>IF(OR($B1073="",MIN(AG$38,$D$19)&lt;MAX($P$708*($B1073+IF($R$17="Distrato",$I$38-1,0)),IF(AND($L$711=0,$P$708=0),"",$L$711-1),IF($R$17="Distrato",$E1073,0))),0,YEARFRAC(MAX($P$708*($B1073+IF($R$17="Distrato",$I$38-1,0)),IF(AND($L$711=0,$P$708=0),"",$L$711-1),IF($R$17="Distrato",$E1073,0)),MIN(AG$38,$D$19),$P$20))-SUM($P1073:AF1073)</f>
        <v>#VALUE!</v>
      </c>
      <c r="AH1073" s="446" t="e">
        <f>IF(OR($B1073="",MIN(AH$38,$D$19)&lt;MAX($P$708*($B1073+IF($R$17="Distrato",$I$38-1,0)),IF(AND($L$711=0,$P$708=0),"",$L$711-1),IF($R$17="Distrato",$E1073,0))),0,YEARFRAC(MAX($P$708*($B1073+IF($R$17="Distrato",$I$38-1,0)),IF(AND($L$711=0,$P$708=0),"",$L$711-1),IF($R$17="Distrato",$E1073,0)),MIN(AH$38,$D$19),$P$20))-SUM($P1073:AG1073)</f>
        <v>#VALUE!</v>
      </c>
      <c r="AI1073" s="446" t="e">
        <f>IF(OR($B1073="",MIN(AI$38,$D$19)&lt;MAX($P$708*($B1073+IF($R$17="Distrato",$I$38-1,0)),IF(AND($L$711=0,$P$708=0),"",$L$711-1),IF($R$17="Distrato",$E1073,0))),0,YEARFRAC(MAX($P$708*($B1073+IF($R$17="Distrato",$I$38-1,0)),IF(AND($L$711=0,$P$708=0),"",$L$711-1),IF($R$17="Distrato",$E1073,0)),MIN(AI$38,$D$19),$P$20))-SUM($P1073:AH1073)</f>
        <v>#VALUE!</v>
      </c>
      <c r="AJ1073" s="446" t="e">
        <f>IF(OR($B1073="",MIN(AJ$38,$D$19)&lt;MAX($P$708*($B1073+IF($R$17="Distrato",$I$38-1,0)),IF(AND($L$711=0,$P$708=0),"",$L$711-1),IF($R$17="Distrato",$E1073,0))),0,YEARFRAC(MAX($P$708*($B1073+IF($R$17="Distrato",$I$38-1,0)),IF(AND($L$711=0,$P$708=0),"",$L$711-1),IF($R$17="Distrato",$E1073,0)),MIN(AJ$38,$D$19),$P$20))-SUM($P1073:AI1073)</f>
        <v>#VALUE!</v>
      </c>
      <c r="AK1073" s="446" t="e">
        <f>IF(OR($B1073="",MIN(AK$38,$D$19)&lt;MAX($P$708*($B1073+IF($R$17="Distrato",$I$38-1,0)),IF(AND($L$711=0,$P$708=0),"",$L$711-1),IF($R$17="Distrato",$E1073,0))),0,YEARFRAC(MAX($P$708*($B1073+IF($R$17="Distrato",$I$38-1,0)),IF(AND($L$711=0,$P$708=0),"",$L$711-1),IF($R$17="Distrato",$E1073,0)),MIN(AK$38,$D$19),$P$20))-SUM($P1073:AJ1073)</f>
        <v>#VALUE!</v>
      </c>
      <c r="AL1073" s="446" t="e">
        <f>IF(OR($B1073="",MIN(AL$38,$D$19)&lt;MAX($P$708*($B1073+IF($R$17="Distrato",$I$38-1,0)),IF(AND($L$711=0,$P$708=0),"",$L$711-1),IF($R$17="Distrato",$E1073,0))),0,YEARFRAC(MAX($P$708*($B1073+IF($R$17="Distrato",$I$38-1,0)),IF(AND($L$711=0,$P$708=0),"",$L$711-1),IF($R$17="Distrato",$E1073,0)),MIN(AL$38,$D$19),$P$20))-SUM($P1073:AK1073)</f>
        <v>#VALUE!</v>
      </c>
      <c r="AM1073" s="446" t="e">
        <f>IF(OR($B1073="",MIN(AM$38,$D$19)&lt;MAX($P$708*($B1073+IF($R$17="Distrato",$I$38-1,0)),IF(AND($L$711=0,$P$708=0),"",$L$711-1),IF($R$17="Distrato",$E1073,0))),0,YEARFRAC(MAX($P$708*($B1073+IF($R$17="Distrato",$I$38-1,0)),IF(AND($L$711=0,$P$708=0),"",$L$711-1),IF($R$17="Distrato",$E1073,0)),MIN(AM$38,$D$19),$P$20))-SUM($P1073:AL1073)</f>
        <v>#VALUE!</v>
      </c>
      <c r="AN1073" s="446" t="e">
        <f>IF(OR($B1073="",MIN(AN$38,$D$19)&lt;MAX($P$708*($B1073+IF($R$17="Distrato",$I$38-1,0)),IF(AND($L$711=0,$P$708=0),"",$L$711-1),IF($R$17="Distrato",$E1073,0))),0,YEARFRAC(MAX($P$708*($B1073+IF($R$17="Distrato",$I$38-1,0)),IF(AND($L$711=0,$P$708=0),"",$L$711-1),IF($R$17="Distrato",$E1073,0)),MIN(AN$38,$D$19),$P$20))-SUM($P1073:AM1073)</f>
        <v>#VALUE!</v>
      </c>
      <c r="AO1073" s="446" t="e">
        <f>IF(OR($B1073="",MIN(AO$38,$D$19)&lt;MAX($P$708*($B1073+IF($R$17="Distrato",$I$38-1,0)),IF(AND($L$711=0,$P$708=0),"",$L$711-1),IF($R$17="Distrato",$E1073,0))),0,YEARFRAC(MAX($P$708*($B1073+IF($R$17="Distrato",$I$38-1,0)),IF(AND($L$711=0,$P$708=0),"",$L$711-1),IF($R$17="Distrato",$E1073,0)),MIN(AO$38,$D$19),$P$20))-SUM($P1073:AN1073)</f>
        <v>#VALUE!</v>
      </c>
      <c r="AP1073" s="446" t="e">
        <f>IF(OR($B1073="",MIN(AP$38,$D$19)&lt;MAX($P$708*($B1073+IF($R$17="Distrato",$I$38-1,0)),IF(AND($L$711=0,$P$708=0),"",$L$711-1),IF($R$17="Distrato",$E1073,0))),0,YEARFRAC(MAX($P$708*($B1073+IF($R$17="Distrato",$I$38-1,0)),IF(AND($L$711=0,$P$708=0),"",$L$711-1),IF($R$17="Distrato",$E1073,0)),MIN(AP$38,$D$19),$P$20))-SUM($P1073:AO1073)</f>
        <v>#VALUE!</v>
      </c>
      <c r="AQ1073" s="446" t="e">
        <f>IF(OR($B1073="",MIN(AQ$38,$D$19)&lt;MAX($P$708*($B1073+IF($R$17="Distrato",$I$38-1,0)),IF(AND($L$711=0,$P$708=0),"",$L$711-1),IF($R$17="Distrato",$E1073,0))),0,YEARFRAC(MAX($P$708*($B1073+IF($R$17="Distrato",$I$38-1,0)),IF(AND($L$711=0,$P$708=0),"",$L$711-1),IF($R$17="Distrato",$E1073,0)),MIN(AQ$38,$D$19),$P$20))-SUM($P1073:AP1073)</f>
        <v>#VALUE!</v>
      </c>
      <c r="AR1073" s="446" t="e">
        <f>IF(OR($B1073="",MIN(AR$38,$D$19)&lt;MAX($P$708*($B1073+IF($R$17="Distrato",$I$38-1,0)),IF(AND($L$711=0,$P$708=0),"",$L$711-1),IF($R$17="Distrato",$E1073,0))),0,YEARFRAC(MAX($P$708*($B1073+IF($R$17="Distrato",$I$38-1,0)),IF(AND($L$711=0,$P$708=0),"",$L$711-1),IF($R$17="Distrato",$E1073,0)),MIN(AR$38,$D$19),$P$20))-SUM($P1073:AQ1073)</f>
        <v>#VALUE!</v>
      </c>
      <c r="AS1073" s="446" t="e">
        <f>IF(OR($B1073="",MIN(AS$38,$D$19)&lt;MAX($P$708*($B1073+IF($R$17="Distrato",$I$38-1,0)),IF(AND($L$711=0,$P$708=0),"",$L$711-1),IF($R$17="Distrato",$E1073,0))),0,YEARFRAC(MAX($P$708*($B1073+IF($R$17="Distrato",$I$38-1,0)),IF(AND($L$711=0,$P$708=0),"",$L$711-1),IF($R$17="Distrato",$E1073,0)),MIN(AS$38,$D$19),$P$20))-SUM($P1073:AR1073)</f>
        <v>#VALUE!</v>
      </c>
      <c r="AT1073" s="446" t="e">
        <f>IF(OR($B1073="",MIN(AT$38,$D$19)&lt;MAX($P$708*($B1073+IF($R$17="Distrato",$I$38-1,0)),IF(AND($L$711=0,$P$708=0),"",$L$711-1),IF($R$17="Distrato",$E1073,0))),0,YEARFRAC(MAX($P$708*($B1073+IF($R$17="Distrato",$I$38-1,0)),IF(AND($L$711=0,$P$708=0),"",$L$711-1),IF($R$17="Distrato",$E1073,0)),MIN(AT$38,$D$19),$P$20))-SUM($P1073:AS1073)</f>
        <v>#VALUE!</v>
      </c>
      <c r="AU1073" s="446" t="e">
        <f>IF(OR($B1073="",MIN(AU$38,$D$19)&lt;MAX($P$708*($B1073+IF($R$17="Distrato",$I$38-1,0)),IF(AND($L$711=0,$P$708=0),"",$L$711-1),IF($R$17="Distrato",$E1073,0))),0,YEARFRAC(MAX($P$708*($B1073+IF($R$17="Distrato",$I$38-1,0)),IF(AND($L$711=0,$P$708=0),"",$L$711-1),IF($R$17="Distrato",$E1073,0)),MIN(AU$38,$D$19),$P$20))-SUM($P1073:AT1073)</f>
        <v>#VALUE!</v>
      </c>
      <c r="AV1073" s="446" t="e">
        <f>IF(OR($B1073="",MIN(AV$38,$D$19)&lt;MAX($P$708*($B1073+IF($R$17="Distrato",$I$38-1,0)),IF(AND($L$711=0,$P$708=0),"",$L$711-1),IF($R$17="Distrato",$E1073,0))),0,YEARFRAC(MAX($P$708*($B1073+IF($R$17="Distrato",$I$38-1,0)),IF(AND($L$711=0,$P$708=0),"",$L$711-1),IF($R$17="Distrato",$E1073,0)),MIN(AV$38,$D$19),$P$20))-SUM($P1073:AU1073)</f>
        <v>#VALUE!</v>
      </c>
      <c r="AW1073" s="446" t="e">
        <f>IF(OR($B1073="",MIN(AW$38,$D$19)&lt;MAX($P$708*($B1073+IF($R$17="Distrato",$I$38-1,0)),IF(AND($L$711=0,$P$708=0),"",$L$711-1),IF($R$17="Distrato",$E1073,0))),0,YEARFRAC(MAX($P$708*($B1073+IF($R$17="Distrato",$I$38-1,0)),IF(AND($L$711=0,$P$708=0),"",$L$711-1),IF($R$17="Distrato",$E1073,0)),MIN(AW$38,$D$19),$P$20))-SUM($P1073:AV1073)</f>
        <v>#VALUE!</v>
      </c>
      <c r="AX1073" s="446" t="e">
        <f>IF(OR($B1073="",MIN(AX$38,$D$19)&lt;MAX($P$708*($B1073+IF($R$17="Distrato",$I$38-1,0)),IF(AND($L$711=0,$P$708=0),"",$L$711-1),IF($R$17="Distrato",$E1073,0))),0,YEARFRAC(MAX($P$708*($B1073+IF($R$17="Distrato",$I$38-1,0)),IF(AND($L$711=0,$P$708=0),"",$L$711-1),IF($R$17="Distrato",$E1073,0)),MIN(AX$38,$D$19),$P$20))-SUM($P1073:AW1073)</f>
        <v>#VALUE!</v>
      </c>
      <c r="AY1073" s="446" t="e">
        <f>IF(OR($B1073="",MIN(AY$38,$D$19)&lt;MAX($P$708*($B1073+IF($R$17="Distrato",$I$38-1,0)),IF(AND($L$711=0,$P$708=0),"",$L$711-1),IF($R$17="Distrato",$E1073,0))),0,YEARFRAC(MAX($P$708*($B1073+IF($R$17="Distrato",$I$38-1,0)),IF(AND($L$711=0,$P$708=0),"",$L$711-1),IF($R$17="Distrato",$E1073,0)),MIN(AY$38,$D$19),$P$20))-SUM($P1073:AX1073)</f>
        <v>#VALUE!</v>
      </c>
      <c r="AZ1073" s="446" t="e">
        <f>IF(OR($B1073="",MIN(AZ$38,$D$19)&lt;MAX($P$708*($B1073+IF($R$17="Distrato",$I$38-1,0)),IF(AND($L$711=0,$P$708=0),"",$L$711-1),IF($R$17="Distrato",$E1073,0))),0,YEARFRAC(MAX($P$708*($B1073+IF($R$17="Distrato",$I$38-1,0)),IF(AND($L$711=0,$P$708=0),"",$L$711-1),IF($R$17="Distrato",$E1073,0)),MIN(AZ$38,$D$19),$P$20))-SUM($P1073:AY1073)</f>
        <v>#VALUE!</v>
      </c>
      <c r="BA1073" s="446" t="e">
        <f>IF(OR($B1073="",MIN(BA$38,$D$19)&lt;MAX($P$708*($B1073+IF($R$17="Distrato",$I$38-1,0)),IF(AND($L$711=0,$P$708=0),"",$L$711-1),IF($R$17="Distrato",$E1073,0))),0,YEARFRAC(MAX($P$708*($B1073+IF($R$17="Distrato",$I$38-1,0)),IF(AND($L$711=0,$P$708=0),"",$L$711-1),IF($R$17="Distrato",$E1073,0)),MIN(BA$38,$D$19),$P$20))-SUM($P1073:AZ1073)</f>
        <v>#VALUE!</v>
      </c>
      <c r="BB1073" s="447"/>
    </row>
    <row r="1074" spans="1:54" s="446" customFormat="1" ht="11.25" hidden="1" customHeight="1" x14ac:dyDescent="0.2">
      <c r="A1074" s="235"/>
      <c r="B1074" s="236"/>
      <c r="C1074" s="29" t="str">
        <f>IF(B1074="","",IF($L$709=$BL$25,VLOOKUP(DATE(YEAR($D$19),MONTH($D$19)-1,1),ÍNDICES!$A:$DE,HLOOKUP($BL$25,ÍNDICES!$B$3:$T$4,2)+11)-VLOOKUP(B1074,ÍNDICES!$A:$DE,HLOOKUP($BL$25,ÍNDICES!$B$3:$T$4,2)+11)+1%,IF(C$712=$W$26,$J$35,IF(ISERROR(IF(B1074&gt;$D$19,1,VLOOKUP(DATE(YEAR(B1074),MONTH(B1074)+IF($C$709=$S$23,1,0),1),ÍNDICES!$A:$DE,$Z$709+1))),"",IF(B1074&gt;$D$19,1,VLOOKUP(DATE(YEAR(B1074),MONTH(B1074)+IF($C$709=$S$23,1,0),1),ÍNDICES!$A:$DE,$Z$709+1))))))</f>
        <v/>
      </c>
      <c r="D1074" s="155"/>
      <c r="E1074" s="88"/>
      <c r="F1074" s="88"/>
      <c r="G1074" s="88"/>
      <c r="H1074" s="118"/>
      <c r="I1074" s="182">
        <f t="shared" si="150"/>
        <v>0</v>
      </c>
      <c r="J1074" s="20">
        <f t="shared" ca="1" si="151"/>
        <v>0</v>
      </c>
      <c r="K1074" s="5">
        <f t="shared" ca="1" si="152"/>
        <v>0</v>
      </c>
      <c r="L1074" s="61">
        <f t="shared" ca="1" si="153"/>
        <v>0</v>
      </c>
      <c r="M1074" s="64">
        <f t="shared" si="154"/>
        <v>0</v>
      </c>
      <c r="N1074" s="151"/>
      <c r="O1074" s="5">
        <f t="shared" ca="1" si="155"/>
        <v>0</v>
      </c>
      <c r="P1074" s="446" t="e">
        <f t="shared" si="156"/>
        <v>#VALUE!</v>
      </c>
      <c r="Q1074" s="446" t="e">
        <f>IF(OR($B1074="",MIN(Q$38,$D$19)&lt;MAX($P$708*($B1074+IF($R$17="Distrato",$I$38-1,0)),IF(AND($L$711=0,$P$708=0),"",$L$711-1),IF($R$17="Distrato",$E1074,0))),0,YEARFRAC(MAX($P$708*($B1074+IF($R$17="Distrato",$I$38-1,0)),IF(AND($L$711=0,$P$708=0),"",$L$711-1),IF($R$17="Distrato",$E1074,0)),MIN(Q$38,$D$19),$P$20))-SUM($P1074:P1074)</f>
        <v>#VALUE!</v>
      </c>
      <c r="R1074" s="446" t="e">
        <f>IF(OR($B1074="",MIN(R$38,$D$19)&lt;MAX($P$708*($B1074+IF($R$17="Distrato",$I$38-1,0)),IF(AND($L$711=0,$P$708=0),"",$L$711-1),IF($R$17="Distrato",$E1074,0))),0,YEARFRAC(MAX($P$708*($B1074+IF($R$17="Distrato",$I$38-1,0)),IF(AND($L$711=0,$P$708=0),"",$L$711-1),IF($R$17="Distrato",$E1074,0)),MIN(R$38,$D$19),$P$20))-SUM($P1074:Q1074)</f>
        <v>#VALUE!</v>
      </c>
      <c r="S1074" s="446" t="e">
        <f>IF(OR($B1074="",MIN(S$38,$D$19)&lt;MAX($P$708*($B1074+IF($R$17="Distrato",$I$38-1,0)),IF(AND($L$711=0,$P$708=0),"",$L$711-1),IF($R$17="Distrato",$E1074,0))),0,YEARFRAC(MAX($P$708*($B1074+IF($R$17="Distrato",$I$38-1,0)),IF(AND($L$711=0,$P$708=0),"",$L$711-1),IF($R$17="Distrato",$E1074,0)),MIN(S$38,$D$19),$P$20))-SUM($P1074:R1074)</f>
        <v>#VALUE!</v>
      </c>
      <c r="T1074" s="446" t="e">
        <f>IF(OR($B1074="",MIN(T$38,$D$19)&lt;MAX($P$708*($B1074+IF($R$17="Distrato",$I$38-1,0)),IF(AND($L$711=0,$P$708=0),"",$L$711-1),IF($R$17="Distrato",$E1074,0))),0,YEARFRAC(MAX($P$708*($B1074+IF($R$17="Distrato",$I$38-1,0)),IF(AND($L$711=0,$P$708=0),"",$L$711-1),IF($R$17="Distrato",$E1074,0)),MIN(T$38,$D$19),$P$20))-SUM($P1074:S1074)</f>
        <v>#VALUE!</v>
      </c>
      <c r="U1074" s="446" t="e">
        <f>IF(OR($B1074="",MIN(U$38,$D$19)&lt;MAX($P$708*($B1074+IF($R$17="Distrato",$I$38-1,0)),IF(AND($L$711=0,$P$708=0),"",$L$711-1),IF($R$17="Distrato",$E1074,0))),0,YEARFRAC(MAX($P$708*($B1074+IF($R$17="Distrato",$I$38-1,0)),IF(AND($L$711=0,$P$708=0),"",$L$711-1),IF($R$17="Distrato",$E1074,0)),MIN(U$38,$D$19),$P$20))-SUM($P1074:T1074)</f>
        <v>#VALUE!</v>
      </c>
      <c r="V1074" s="446" t="e">
        <f>IF(OR($B1074="",MIN(V$38,$D$19)&lt;MAX($P$708*($B1074+IF($R$17="Distrato",$I$38-1,0)),IF(AND($L$711=0,$P$708=0),"",$L$711-1),IF($R$17="Distrato",$E1074,0))),0,YEARFRAC(MAX($P$708*($B1074+IF($R$17="Distrato",$I$38-1,0)),IF(AND($L$711=0,$P$708=0),"",$L$711-1),IF($R$17="Distrato",$E1074,0)),MIN(V$38,$D$19),$P$20))-SUM($P1074:U1074)</f>
        <v>#VALUE!</v>
      </c>
      <c r="W1074" s="446" t="e">
        <f>IF(OR($B1074="",MIN(W$38,$D$19)&lt;MAX($P$708*($B1074+IF($R$17="Distrato",$I$38-1,0)),IF(AND($L$711=0,$P$708=0),"",$L$711-1),IF($R$17="Distrato",$E1074,0))),0,YEARFRAC(MAX($P$708*($B1074+IF($R$17="Distrato",$I$38-1,0)),IF(AND($L$711=0,$P$708=0),"",$L$711-1),IF($R$17="Distrato",$E1074,0)),MIN(W$38,$D$19),$P$20))-SUM($P1074:V1074)</f>
        <v>#VALUE!</v>
      </c>
      <c r="X1074" s="446" t="e">
        <f>IF(OR($B1074="",MIN(X$38,$D$19)&lt;MAX($P$708*($B1074+IF($R$17="Distrato",$I$38-1,0)),IF(AND($L$711=0,$P$708=0),"",$L$711-1),IF($R$17="Distrato",$E1074,0))),0,YEARFRAC(MAX($P$708*($B1074+IF($R$17="Distrato",$I$38-1,0)),IF(AND($L$711=0,$P$708=0),"",$L$711-1),IF($R$17="Distrato",$E1074,0)),MIN(X$38,$D$19),$P$20))-SUM($P1074:W1074)</f>
        <v>#VALUE!</v>
      </c>
      <c r="Y1074" s="446" t="e">
        <f>IF(OR($B1074="",MIN(Y$38,$D$19)&lt;MAX($P$708*($B1074+IF($R$17="Distrato",$I$38-1,0)),IF(AND($L$711=0,$P$708=0),"",$L$711-1),IF($R$17="Distrato",$E1074,0))),0,YEARFRAC(MAX($P$708*($B1074+IF($R$17="Distrato",$I$38-1,0)),IF(AND($L$711=0,$P$708=0),"",$L$711-1),IF($R$17="Distrato",$E1074,0)),MIN(Y$38,$D$19),$P$20))-SUM($P1074:X1074)</f>
        <v>#VALUE!</v>
      </c>
      <c r="Z1074" s="446" t="e">
        <f>IF(OR($B1074="",MIN(Z$38,$D$19)&lt;MAX($P$708*($B1074+IF($R$17="Distrato",$I$38-1,0)),IF(AND($L$711=0,$P$708=0),"",$L$711-1),IF($R$17="Distrato",$E1074,0))),0,YEARFRAC(MAX($P$708*($B1074+IF($R$17="Distrato",$I$38-1,0)),IF(AND($L$711=0,$P$708=0),"",$L$711-1),IF($R$17="Distrato",$E1074,0)),MIN(Z$38,$D$19),$P$20))-SUM($P1074:Y1074)</f>
        <v>#VALUE!</v>
      </c>
      <c r="AA1074" s="446" t="e">
        <f>IF(OR($B1074="",MIN(AA$38,$D$19)&lt;MAX($P$708*($B1074+IF($R$17="Distrato",$I$38-1,0)),IF(AND($L$711=0,$P$708=0),"",$L$711-1),IF($R$17="Distrato",$E1074,0))),0,YEARFRAC(MAX($P$708*($B1074+IF($R$17="Distrato",$I$38-1,0)),IF(AND($L$711=0,$P$708=0),"",$L$711-1),IF($R$17="Distrato",$E1074,0)),MIN(AA$38,$D$19),$P$20))-SUM($P1074:Z1074)</f>
        <v>#VALUE!</v>
      </c>
      <c r="AB1074" s="446" t="e">
        <f>IF(OR($B1074="",MIN(AB$38,$D$19)&lt;MAX($P$708*($B1074+IF($R$17="Distrato",$I$38-1,0)),IF(AND($L$711=0,$P$708=0),"",$L$711-1),IF($R$17="Distrato",$E1074,0))),0,YEARFRAC(MAX($P$708*($B1074+IF($R$17="Distrato",$I$38-1,0)),IF(AND($L$711=0,$P$708=0),"",$L$711-1),IF($R$17="Distrato",$E1074,0)),MIN(AB$38,$D$19),$P$20))-SUM($P1074:AA1074)</f>
        <v>#VALUE!</v>
      </c>
      <c r="AC1074" s="446" t="e">
        <f>IF(OR($B1074="",MIN(AC$38,$D$19)&lt;MAX($P$708*($B1074+IF($R$17="Distrato",$I$38-1,0)),IF(AND($L$711=0,$P$708=0),"",$L$711-1),IF($R$17="Distrato",$E1074,0))),0,YEARFRAC(MAX($P$708*($B1074+IF($R$17="Distrato",$I$38-1,0)),IF(AND($L$711=0,$P$708=0),"",$L$711-1),IF($R$17="Distrato",$E1074,0)),MIN(AC$38,$D$19),$P$20))-SUM($P1074:AB1074)</f>
        <v>#VALUE!</v>
      </c>
      <c r="AD1074" s="446" t="e">
        <f>IF(OR($B1074="",MIN(AD$38,$D$19)&lt;MAX($P$708*($B1074+IF($R$17="Distrato",$I$38-1,0)),IF(AND($L$711=0,$P$708=0),"",$L$711-1),IF($R$17="Distrato",$E1074,0))),0,YEARFRAC(MAX($P$708*($B1074+IF($R$17="Distrato",$I$38-1,0)),IF(AND($L$711=0,$P$708=0),"",$L$711-1),IF($R$17="Distrato",$E1074,0)),MIN(AD$38,$D$19),$P$20))-SUM($P1074:AC1074)</f>
        <v>#VALUE!</v>
      </c>
      <c r="AE1074" s="446" t="e">
        <f>IF(OR($B1074="",MIN(AE$38,$D$19)&lt;MAX($P$708*($B1074+IF($R$17="Distrato",$I$38-1,0)),IF(AND($L$711=0,$P$708=0),"",$L$711-1),IF($R$17="Distrato",$E1074,0))),0,YEARFRAC(MAX($P$708*($B1074+IF($R$17="Distrato",$I$38-1,0)),IF(AND($L$711=0,$P$708=0),"",$L$711-1),IF($R$17="Distrato",$E1074,0)),MIN(AE$38,$D$19),$P$20))-SUM($P1074:AD1074)</f>
        <v>#VALUE!</v>
      </c>
      <c r="AF1074" s="446" t="e">
        <f>IF(OR($B1074="",MIN(AF$38,$D$19)&lt;MAX($P$708*($B1074+IF($R$17="Distrato",$I$38-1,0)),IF(AND($L$711=0,$P$708=0),"",$L$711-1),IF($R$17="Distrato",$E1074,0))),0,YEARFRAC(MAX($P$708*($B1074+IF($R$17="Distrato",$I$38-1,0)),IF(AND($L$711=0,$P$708=0),"",$L$711-1),IF($R$17="Distrato",$E1074,0)),MIN(AF$38,$D$19),$P$20))-SUM($P1074:AE1074)</f>
        <v>#VALUE!</v>
      </c>
      <c r="AG1074" s="446" t="e">
        <f>IF(OR($B1074="",MIN(AG$38,$D$19)&lt;MAX($P$708*($B1074+IF($R$17="Distrato",$I$38-1,0)),IF(AND($L$711=0,$P$708=0),"",$L$711-1),IF($R$17="Distrato",$E1074,0))),0,YEARFRAC(MAX($P$708*($B1074+IF($R$17="Distrato",$I$38-1,0)),IF(AND($L$711=0,$P$708=0),"",$L$711-1),IF($R$17="Distrato",$E1074,0)),MIN(AG$38,$D$19),$P$20))-SUM($P1074:AF1074)</f>
        <v>#VALUE!</v>
      </c>
      <c r="AH1074" s="446" t="e">
        <f>IF(OR($B1074="",MIN(AH$38,$D$19)&lt;MAX($P$708*($B1074+IF($R$17="Distrato",$I$38-1,0)),IF(AND($L$711=0,$P$708=0),"",$L$711-1),IF($R$17="Distrato",$E1074,0))),0,YEARFRAC(MAX($P$708*($B1074+IF($R$17="Distrato",$I$38-1,0)),IF(AND($L$711=0,$P$708=0),"",$L$711-1),IF($R$17="Distrato",$E1074,0)),MIN(AH$38,$D$19),$P$20))-SUM($P1074:AG1074)</f>
        <v>#VALUE!</v>
      </c>
      <c r="AI1074" s="446" t="e">
        <f>IF(OR($B1074="",MIN(AI$38,$D$19)&lt;MAX($P$708*($B1074+IF($R$17="Distrato",$I$38-1,0)),IF(AND($L$711=0,$P$708=0),"",$L$711-1),IF($R$17="Distrato",$E1074,0))),0,YEARFRAC(MAX($P$708*($B1074+IF($R$17="Distrato",$I$38-1,0)),IF(AND($L$711=0,$P$708=0),"",$L$711-1),IF($R$17="Distrato",$E1074,0)),MIN(AI$38,$D$19),$P$20))-SUM($P1074:AH1074)</f>
        <v>#VALUE!</v>
      </c>
      <c r="AJ1074" s="446" t="e">
        <f>IF(OR($B1074="",MIN(AJ$38,$D$19)&lt;MAX($P$708*($B1074+IF($R$17="Distrato",$I$38-1,0)),IF(AND($L$711=0,$P$708=0),"",$L$711-1),IF($R$17="Distrato",$E1074,0))),0,YEARFRAC(MAX($P$708*($B1074+IF($R$17="Distrato",$I$38-1,0)),IF(AND($L$711=0,$P$708=0),"",$L$711-1),IF($R$17="Distrato",$E1074,0)),MIN(AJ$38,$D$19),$P$20))-SUM($P1074:AI1074)</f>
        <v>#VALUE!</v>
      </c>
      <c r="AK1074" s="446" t="e">
        <f>IF(OR($B1074="",MIN(AK$38,$D$19)&lt;MAX($P$708*($B1074+IF($R$17="Distrato",$I$38-1,0)),IF(AND($L$711=0,$P$708=0),"",$L$711-1),IF($R$17="Distrato",$E1074,0))),0,YEARFRAC(MAX($P$708*($B1074+IF($R$17="Distrato",$I$38-1,0)),IF(AND($L$711=0,$P$708=0),"",$L$711-1),IF($R$17="Distrato",$E1074,0)),MIN(AK$38,$D$19),$P$20))-SUM($P1074:AJ1074)</f>
        <v>#VALUE!</v>
      </c>
      <c r="AL1074" s="446" t="e">
        <f>IF(OR($B1074="",MIN(AL$38,$D$19)&lt;MAX($P$708*($B1074+IF($R$17="Distrato",$I$38-1,0)),IF(AND($L$711=0,$P$708=0),"",$L$711-1),IF($R$17="Distrato",$E1074,0))),0,YEARFRAC(MAX($P$708*($B1074+IF($R$17="Distrato",$I$38-1,0)),IF(AND($L$711=0,$P$708=0),"",$L$711-1),IF($R$17="Distrato",$E1074,0)),MIN(AL$38,$D$19),$P$20))-SUM($P1074:AK1074)</f>
        <v>#VALUE!</v>
      </c>
      <c r="AM1074" s="446" t="e">
        <f>IF(OR($B1074="",MIN(AM$38,$D$19)&lt;MAX($P$708*($B1074+IF($R$17="Distrato",$I$38-1,0)),IF(AND($L$711=0,$P$708=0),"",$L$711-1),IF($R$17="Distrato",$E1074,0))),0,YEARFRAC(MAX($P$708*($B1074+IF($R$17="Distrato",$I$38-1,0)),IF(AND($L$711=0,$P$708=0),"",$L$711-1),IF($R$17="Distrato",$E1074,0)),MIN(AM$38,$D$19),$P$20))-SUM($P1074:AL1074)</f>
        <v>#VALUE!</v>
      </c>
      <c r="AN1074" s="446" t="e">
        <f>IF(OR($B1074="",MIN(AN$38,$D$19)&lt;MAX($P$708*($B1074+IF($R$17="Distrato",$I$38-1,0)),IF(AND($L$711=0,$P$708=0),"",$L$711-1),IF($R$17="Distrato",$E1074,0))),0,YEARFRAC(MAX($P$708*($B1074+IF($R$17="Distrato",$I$38-1,0)),IF(AND($L$711=0,$P$708=0),"",$L$711-1),IF($R$17="Distrato",$E1074,0)),MIN(AN$38,$D$19),$P$20))-SUM($P1074:AM1074)</f>
        <v>#VALUE!</v>
      </c>
      <c r="AO1074" s="446" t="e">
        <f>IF(OR($B1074="",MIN(AO$38,$D$19)&lt;MAX($P$708*($B1074+IF($R$17="Distrato",$I$38-1,0)),IF(AND($L$711=0,$P$708=0),"",$L$711-1),IF($R$17="Distrato",$E1074,0))),0,YEARFRAC(MAX($P$708*($B1074+IF($R$17="Distrato",$I$38-1,0)),IF(AND($L$711=0,$P$708=0),"",$L$711-1),IF($R$17="Distrato",$E1074,0)),MIN(AO$38,$D$19),$P$20))-SUM($P1074:AN1074)</f>
        <v>#VALUE!</v>
      </c>
      <c r="AP1074" s="446" t="e">
        <f>IF(OR($B1074="",MIN(AP$38,$D$19)&lt;MAX($P$708*($B1074+IF($R$17="Distrato",$I$38-1,0)),IF(AND($L$711=0,$P$708=0),"",$L$711-1),IF($R$17="Distrato",$E1074,0))),0,YEARFRAC(MAX($P$708*($B1074+IF($R$17="Distrato",$I$38-1,0)),IF(AND($L$711=0,$P$708=0),"",$L$711-1),IF($R$17="Distrato",$E1074,0)),MIN(AP$38,$D$19),$P$20))-SUM($P1074:AO1074)</f>
        <v>#VALUE!</v>
      </c>
      <c r="AQ1074" s="446" t="e">
        <f>IF(OR($B1074="",MIN(AQ$38,$D$19)&lt;MAX($P$708*($B1074+IF($R$17="Distrato",$I$38-1,0)),IF(AND($L$711=0,$P$708=0),"",$L$711-1),IF($R$17="Distrato",$E1074,0))),0,YEARFRAC(MAX($P$708*($B1074+IF($R$17="Distrato",$I$38-1,0)),IF(AND($L$711=0,$P$708=0),"",$L$711-1),IF($R$17="Distrato",$E1074,0)),MIN(AQ$38,$D$19),$P$20))-SUM($P1074:AP1074)</f>
        <v>#VALUE!</v>
      </c>
      <c r="AR1074" s="446" t="e">
        <f>IF(OR($B1074="",MIN(AR$38,$D$19)&lt;MAX($P$708*($B1074+IF($R$17="Distrato",$I$38-1,0)),IF(AND($L$711=0,$P$708=0),"",$L$711-1),IF($R$17="Distrato",$E1074,0))),0,YEARFRAC(MAX($P$708*($B1074+IF($R$17="Distrato",$I$38-1,0)),IF(AND($L$711=0,$P$708=0),"",$L$711-1),IF($R$17="Distrato",$E1074,0)),MIN(AR$38,$D$19),$P$20))-SUM($P1074:AQ1074)</f>
        <v>#VALUE!</v>
      </c>
      <c r="AS1074" s="446" t="e">
        <f>IF(OR($B1074="",MIN(AS$38,$D$19)&lt;MAX($P$708*($B1074+IF($R$17="Distrato",$I$38-1,0)),IF(AND($L$711=0,$P$708=0),"",$L$711-1),IF($R$17="Distrato",$E1074,0))),0,YEARFRAC(MAX($P$708*($B1074+IF($R$17="Distrato",$I$38-1,0)),IF(AND($L$711=0,$P$708=0),"",$L$711-1),IF($R$17="Distrato",$E1074,0)),MIN(AS$38,$D$19),$P$20))-SUM($P1074:AR1074)</f>
        <v>#VALUE!</v>
      </c>
      <c r="AT1074" s="446" t="e">
        <f>IF(OR($B1074="",MIN(AT$38,$D$19)&lt;MAX($P$708*($B1074+IF($R$17="Distrato",$I$38-1,0)),IF(AND($L$711=0,$P$708=0),"",$L$711-1),IF($R$17="Distrato",$E1074,0))),0,YEARFRAC(MAX($P$708*($B1074+IF($R$17="Distrato",$I$38-1,0)),IF(AND($L$711=0,$P$708=0),"",$L$711-1),IF($R$17="Distrato",$E1074,0)),MIN(AT$38,$D$19),$P$20))-SUM($P1074:AS1074)</f>
        <v>#VALUE!</v>
      </c>
      <c r="AU1074" s="446" t="e">
        <f>IF(OR($B1074="",MIN(AU$38,$D$19)&lt;MAX($P$708*($B1074+IF($R$17="Distrato",$I$38-1,0)),IF(AND($L$711=0,$P$708=0),"",$L$711-1),IF($R$17="Distrato",$E1074,0))),0,YEARFRAC(MAX($P$708*($B1074+IF($R$17="Distrato",$I$38-1,0)),IF(AND($L$711=0,$P$708=0),"",$L$711-1),IF($R$17="Distrato",$E1074,0)),MIN(AU$38,$D$19),$P$20))-SUM($P1074:AT1074)</f>
        <v>#VALUE!</v>
      </c>
      <c r="AV1074" s="446" t="e">
        <f>IF(OR($B1074="",MIN(AV$38,$D$19)&lt;MAX($P$708*($B1074+IF($R$17="Distrato",$I$38-1,0)),IF(AND($L$711=0,$P$708=0),"",$L$711-1),IF($R$17="Distrato",$E1074,0))),0,YEARFRAC(MAX($P$708*($B1074+IF($R$17="Distrato",$I$38-1,0)),IF(AND($L$711=0,$P$708=0),"",$L$711-1),IF($R$17="Distrato",$E1074,0)),MIN(AV$38,$D$19),$P$20))-SUM($P1074:AU1074)</f>
        <v>#VALUE!</v>
      </c>
      <c r="AW1074" s="446" t="e">
        <f>IF(OR($B1074="",MIN(AW$38,$D$19)&lt;MAX($P$708*($B1074+IF($R$17="Distrato",$I$38-1,0)),IF(AND($L$711=0,$P$708=0),"",$L$711-1),IF($R$17="Distrato",$E1074,0))),0,YEARFRAC(MAX($P$708*($B1074+IF($R$17="Distrato",$I$38-1,0)),IF(AND($L$711=0,$P$708=0),"",$L$711-1),IF($R$17="Distrato",$E1074,0)),MIN(AW$38,$D$19),$P$20))-SUM($P1074:AV1074)</f>
        <v>#VALUE!</v>
      </c>
      <c r="AX1074" s="446" t="e">
        <f>IF(OR($B1074="",MIN(AX$38,$D$19)&lt;MAX($P$708*($B1074+IF($R$17="Distrato",$I$38-1,0)),IF(AND($L$711=0,$P$708=0),"",$L$711-1),IF($R$17="Distrato",$E1074,0))),0,YEARFRAC(MAX($P$708*($B1074+IF($R$17="Distrato",$I$38-1,0)),IF(AND($L$711=0,$P$708=0),"",$L$711-1),IF($R$17="Distrato",$E1074,0)),MIN(AX$38,$D$19),$P$20))-SUM($P1074:AW1074)</f>
        <v>#VALUE!</v>
      </c>
      <c r="AY1074" s="446" t="e">
        <f>IF(OR($B1074="",MIN(AY$38,$D$19)&lt;MAX($P$708*($B1074+IF($R$17="Distrato",$I$38-1,0)),IF(AND($L$711=0,$P$708=0),"",$L$711-1),IF($R$17="Distrato",$E1074,0))),0,YEARFRAC(MAX($P$708*($B1074+IF($R$17="Distrato",$I$38-1,0)),IF(AND($L$711=0,$P$708=0),"",$L$711-1),IF($R$17="Distrato",$E1074,0)),MIN(AY$38,$D$19),$P$20))-SUM($P1074:AX1074)</f>
        <v>#VALUE!</v>
      </c>
      <c r="AZ1074" s="446" t="e">
        <f>IF(OR($B1074="",MIN(AZ$38,$D$19)&lt;MAX($P$708*($B1074+IF($R$17="Distrato",$I$38-1,0)),IF(AND($L$711=0,$P$708=0),"",$L$711-1),IF($R$17="Distrato",$E1074,0))),0,YEARFRAC(MAX($P$708*($B1074+IF($R$17="Distrato",$I$38-1,0)),IF(AND($L$711=0,$P$708=0),"",$L$711-1),IF($R$17="Distrato",$E1074,0)),MIN(AZ$38,$D$19),$P$20))-SUM($P1074:AY1074)</f>
        <v>#VALUE!</v>
      </c>
      <c r="BA1074" s="446" t="e">
        <f>IF(OR($B1074="",MIN(BA$38,$D$19)&lt;MAX($P$708*($B1074+IF($R$17="Distrato",$I$38-1,0)),IF(AND($L$711=0,$P$708=0),"",$L$711-1),IF($R$17="Distrato",$E1074,0))),0,YEARFRAC(MAX($P$708*($B1074+IF($R$17="Distrato",$I$38-1,0)),IF(AND($L$711=0,$P$708=0),"",$L$711-1),IF($R$17="Distrato",$E1074,0)),MIN(BA$38,$D$19),$P$20))-SUM($P1074:AZ1074)</f>
        <v>#VALUE!</v>
      </c>
      <c r="BB1074" s="447"/>
    </row>
    <row r="1075" spans="1:54" s="446" customFormat="1" ht="11.25" hidden="1" customHeight="1" x14ac:dyDescent="0.2">
      <c r="A1075" s="235"/>
      <c r="B1075" s="236"/>
      <c r="C1075" s="29" t="str">
        <f>IF(B1075="","",IF($L$709=$BL$25,VLOOKUP(DATE(YEAR($D$19),MONTH($D$19)-1,1),ÍNDICES!$A:$DE,HLOOKUP($BL$25,ÍNDICES!$B$3:$T$4,2)+11)-VLOOKUP(B1075,ÍNDICES!$A:$DE,HLOOKUP($BL$25,ÍNDICES!$B$3:$T$4,2)+11)+1%,IF(C$712=$W$26,$J$35,IF(ISERROR(IF(B1075&gt;$D$19,1,VLOOKUP(DATE(YEAR(B1075),MONTH(B1075)+IF($C$709=$S$23,1,0),1),ÍNDICES!$A:$DE,$Z$709+1))),"",IF(B1075&gt;$D$19,1,VLOOKUP(DATE(YEAR(B1075),MONTH(B1075)+IF($C$709=$S$23,1,0),1),ÍNDICES!$A:$DE,$Z$709+1))))))</f>
        <v/>
      </c>
      <c r="D1075" s="155"/>
      <c r="E1075" s="88"/>
      <c r="F1075" s="88"/>
      <c r="G1075" s="88"/>
      <c r="H1075" s="118"/>
      <c r="I1075" s="182">
        <f t="shared" si="150"/>
        <v>0</v>
      </c>
      <c r="J1075" s="20">
        <f t="shared" ca="1" si="151"/>
        <v>0</v>
      </c>
      <c r="K1075" s="5">
        <f t="shared" ca="1" si="152"/>
        <v>0</v>
      </c>
      <c r="L1075" s="61">
        <f t="shared" ca="1" si="153"/>
        <v>0</v>
      </c>
      <c r="M1075" s="64">
        <f t="shared" si="154"/>
        <v>0</v>
      </c>
      <c r="N1075" s="151"/>
      <c r="O1075" s="5">
        <f t="shared" ca="1" si="155"/>
        <v>0</v>
      </c>
      <c r="P1075" s="446" t="e">
        <f t="shared" si="156"/>
        <v>#VALUE!</v>
      </c>
      <c r="Q1075" s="446" t="e">
        <f>IF(OR($B1075="",MIN(Q$38,$D$19)&lt;MAX($P$708*($B1075+IF($R$17="Distrato",$I$38-1,0)),IF(AND($L$711=0,$P$708=0),"",$L$711-1),IF($R$17="Distrato",$E1075,0))),0,YEARFRAC(MAX($P$708*($B1075+IF($R$17="Distrato",$I$38-1,0)),IF(AND($L$711=0,$P$708=0),"",$L$711-1),IF($R$17="Distrato",$E1075,0)),MIN(Q$38,$D$19),$P$20))-SUM($P1075:P1075)</f>
        <v>#VALUE!</v>
      </c>
      <c r="R1075" s="446" t="e">
        <f>IF(OR($B1075="",MIN(R$38,$D$19)&lt;MAX($P$708*($B1075+IF($R$17="Distrato",$I$38-1,0)),IF(AND($L$711=0,$P$708=0),"",$L$711-1),IF($R$17="Distrato",$E1075,0))),0,YEARFRAC(MAX($P$708*($B1075+IF($R$17="Distrato",$I$38-1,0)),IF(AND($L$711=0,$P$708=0),"",$L$711-1),IF($R$17="Distrato",$E1075,0)),MIN(R$38,$D$19),$P$20))-SUM($P1075:Q1075)</f>
        <v>#VALUE!</v>
      </c>
      <c r="S1075" s="446" t="e">
        <f>IF(OR($B1075="",MIN(S$38,$D$19)&lt;MAX($P$708*($B1075+IF($R$17="Distrato",$I$38-1,0)),IF(AND($L$711=0,$P$708=0),"",$L$711-1),IF($R$17="Distrato",$E1075,0))),0,YEARFRAC(MAX($P$708*($B1075+IF($R$17="Distrato",$I$38-1,0)),IF(AND($L$711=0,$P$708=0),"",$L$711-1),IF($R$17="Distrato",$E1075,0)),MIN(S$38,$D$19),$P$20))-SUM($P1075:R1075)</f>
        <v>#VALUE!</v>
      </c>
      <c r="T1075" s="446" t="e">
        <f>IF(OR($B1075="",MIN(T$38,$D$19)&lt;MAX($P$708*($B1075+IF($R$17="Distrato",$I$38-1,0)),IF(AND($L$711=0,$P$708=0),"",$L$711-1),IF($R$17="Distrato",$E1075,0))),0,YEARFRAC(MAX($P$708*($B1075+IF($R$17="Distrato",$I$38-1,0)),IF(AND($L$711=0,$P$708=0),"",$L$711-1),IF($R$17="Distrato",$E1075,0)),MIN(T$38,$D$19),$P$20))-SUM($P1075:S1075)</f>
        <v>#VALUE!</v>
      </c>
      <c r="U1075" s="446" t="e">
        <f>IF(OR($B1075="",MIN(U$38,$D$19)&lt;MAX($P$708*($B1075+IF($R$17="Distrato",$I$38-1,0)),IF(AND($L$711=0,$P$708=0),"",$L$711-1),IF($R$17="Distrato",$E1075,0))),0,YEARFRAC(MAX($P$708*($B1075+IF($R$17="Distrato",$I$38-1,0)),IF(AND($L$711=0,$P$708=0),"",$L$711-1),IF($R$17="Distrato",$E1075,0)),MIN(U$38,$D$19),$P$20))-SUM($P1075:T1075)</f>
        <v>#VALUE!</v>
      </c>
      <c r="V1075" s="446" t="e">
        <f>IF(OR($B1075="",MIN(V$38,$D$19)&lt;MAX($P$708*($B1075+IF($R$17="Distrato",$I$38-1,0)),IF(AND($L$711=0,$P$708=0),"",$L$711-1),IF($R$17="Distrato",$E1075,0))),0,YEARFRAC(MAX($P$708*($B1075+IF($R$17="Distrato",$I$38-1,0)),IF(AND($L$711=0,$P$708=0),"",$L$711-1),IF($R$17="Distrato",$E1075,0)),MIN(V$38,$D$19),$P$20))-SUM($P1075:U1075)</f>
        <v>#VALUE!</v>
      </c>
      <c r="W1075" s="446" t="e">
        <f>IF(OR($B1075="",MIN(W$38,$D$19)&lt;MAX($P$708*($B1075+IF($R$17="Distrato",$I$38-1,0)),IF(AND($L$711=0,$P$708=0),"",$L$711-1),IF($R$17="Distrato",$E1075,0))),0,YEARFRAC(MAX($P$708*($B1075+IF($R$17="Distrato",$I$38-1,0)),IF(AND($L$711=0,$P$708=0),"",$L$711-1),IF($R$17="Distrato",$E1075,0)),MIN(W$38,$D$19),$P$20))-SUM($P1075:V1075)</f>
        <v>#VALUE!</v>
      </c>
      <c r="X1075" s="446" t="e">
        <f>IF(OR($B1075="",MIN(X$38,$D$19)&lt;MAX($P$708*($B1075+IF($R$17="Distrato",$I$38-1,0)),IF(AND($L$711=0,$P$708=0),"",$L$711-1),IF($R$17="Distrato",$E1075,0))),0,YEARFRAC(MAX($P$708*($B1075+IF($R$17="Distrato",$I$38-1,0)),IF(AND($L$711=0,$P$708=0),"",$L$711-1),IF($R$17="Distrato",$E1075,0)),MIN(X$38,$D$19),$P$20))-SUM($P1075:W1075)</f>
        <v>#VALUE!</v>
      </c>
      <c r="Y1075" s="446" t="e">
        <f>IF(OR($B1075="",MIN(Y$38,$D$19)&lt;MAX($P$708*($B1075+IF($R$17="Distrato",$I$38-1,0)),IF(AND($L$711=0,$P$708=0),"",$L$711-1),IF($R$17="Distrato",$E1075,0))),0,YEARFRAC(MAX($P$708*($B1075+IF($R$17="Distrato",$I$38-1,0)),IF(AND($L$711=0,$P$708=0),"",$L$711-1),IF($R$17="Distrato",$E1075,0)),MIN(Y$38,$D$19),$P$20))-SUM($P1075:X1075)</f>
        <v>#VALUE!</v>
      </c>
      <c r="Z1075" s="446" t="e">
        <f>IF(OR($B1075="",MIN(Z$38,$D$19)&lt;MAX($P$708*($B1075+IF($R$17="Distrato",$I$38-1,0)),IF(AND($L$711=0,$P$708=0),"",$L$711-1),IF($R$17="Distrato",$E1075,0))),0,YEARFRAC(MAX($P$708*($B1075+IF($R$17="Distrato",$I$38-1,0)),IF(AND($L$711=0,$P$708=0),"",$L$711-1),IF($R$17="Distrato",$E1075,0)),MIN(Z$38,$D$19),$P$20))-SUM($P1075:Y1075)</f>
        <v>#VALUE!</v>
      </c>
      <c r="AA1075" s="446" t="e">
        <f>IF(OR($B1075="",MIN(AA$38,$D$19)&lt;MAX($P$708*($B1075+IF($R$17="Distrato",$I$38-1,0)),IF(AND($L$711=0,$P$708=0),"",$L$711-1),IF($R$17="Distrato",$E1075,0))),0,YEARFRAC(MAX($P$708*($B1075+IF($R$17="Distrato",$I$38-1,0)),IF(AND($L$711=0,$P$708=0),"",$L$711-1),IF($R$17="Distrato",$E1075,0)),MIN(AA$38,$D$19),$P$20))-SUM($P1075:Z1075)</f>
        <v>#VALUE!</v>
      </c>
      <c r="AB1075" s="446" t="e">
        <f>IF(OR($B1075="",MIN(AB$38,$D$19)&lt;MAX($P$708*($B1075+IF($R$17="Distrato",$I$38-1,0)),IF(AND($L$711=0,$P$708=0),"",$L$711-1),IF($R$17="Distrato",$E1075,0))),0,YEARFRAC(MAX($P$708*($B1075+IF($R$17="Distrato",$I$38-1,0)),IF(AND($L$711=0,$P$708=0),"",$L$711-1),IF($R$17="Distrato",$E1075,0)),MIN(AB$38,$D$19),$P$20))-SUM($P1075:AA1075)</f>
        <v>#VALUE!</v>
      </c>
      <c r="AC1075" s="446" t="e">
        <f>IF(OR($B1075="",MIN(AC$38,$D$19)&lt;MAX($P$708*($B1075+IF($R$17="Distrato",$I$38-1,0)),IF(AND($L$711=0,$P$708=0),"",$L$711-1),IF($R$17="Distrato",$E1075,0))),0,YEARFRAC(MAX($P$708*($B1075+IF($R$17="Distrato",$I$38-1,0)),IF(AND($L$711=0,$P$708=0),"",$L$711-1),IF($R$17="Distrato",$E1075,0)),MIN(AC$38,$D$19),$P$20))-SUM($P1075:AB1075)</f>
        <v>#VALUE!</v>
      </c>
      <c r="AD1075" s="446" t="e">
        <f>IF(OR($B1075="",MIN(AD$38,$D$19)&lt;MAX($P$708*($B1075+IF($R$17="Distrato",$I$38-1,0)),IF(AND($L$711=0,$P$708=0),"",$L$711-1),IF($R$17="Distrato",$E1075,0))),0,YEARFRAC(MAX($P$708*($B1075+IF($R$17="Distrato",$I$38-1,0)),IF(AND($L$711=0,$P$708=0),"",$L$711-1),IF($R$17="Distrato",$E1075,0)),MIN(AD$38,$D$19),$P$20))-SUM($P1075:AC1075)</f>
        <v>#VALUE!</v>
      </c>
      <c r="AE1075" s="446" t="e">
        <f>IF(OR($B1075="",MIN(AE$38,$D$19)&lt;MAX($P$708*($B1075+IF($R$17="Distrato",$I$38-1,0)),IF(AND($L$711=0,$P$708=0),"",$L$711-1),IF($R$17="Distrato",$E1075,0))),0,YEARFRAC(MAX($P$708*($B1075+IF($R$17="Distrato",$I$38-1,0)),IF(AND($L$711=0,$P$708=0),"",$L$711-1),IF($R$17="Distrato",$E1075,0)),MIN(AE$38,$D$19),$P$20))-SUM($P1075:AD1075)</f>
        <v>#VALUE!</v>
      </c>
      <c r="AF1075" s="446" t="e">
        <f>IF(OR($B1075="",MIN(AF$38,$D$19)&lt;MAX($P$708*($B1075+IF($R$17="Distrato",$I$38-1,0)),IF(AND($L$711=0,$P$708=0),"",$L$711-1),IF($R$17="Distrato",$E1075,0))),0,YEARFRAC(MAX($P$708*($B1075+IF($R$17="Distrato",$I$38-1,0)),IF(AND($L$711=0,$P$708=0),"",$L$711-1),IF($R$17="Distrato",$E1075,0)),MIN(AF$38,$D$19),$P$20))-SUM($P1075:AE1075)</f>
        <v>#VALUE!</v>
      </c>
      <c r="AG1075" s="446" t="e">
        <f>IF(OR($B1075="",MIN(AG$38,$D$19)&lt;MAX($P$708*($B1075+IF($R$17="Distrato",$I$38-1,0)),IF(AND($L$711=0,$P$708=0),"",$L$711-1),IF($R$17="Distrato",$E1075,0))),0,YEARFRAC(MAX($P$708*($B1075+IF($R$17="Distrato",$I$38-1,0)),IF(AND($L$711=0,$P$708=0),"",$L$711-1),IF($R$17="Distrato",$E1075,0)),MIN(AG$38,$D$19),$P$20))-SUM($P1075:AF1075)</f>
        <v>#VALUE!</v>
      </c>
      <c r="AH1075" s="446" t="e">
        <f>IF(OR($B1075="",MIN(AH$38,$D$19)&lt;MAX($P$708*($B1075+IF($R$17="Distrato",$I$38-1,0)),IF(AND($L$711=0,$P$708=0),"",$L$711-1),IF($R$17="Distrato",$E1075,0))),0,YEARFRAC(MAX($P$708*($B1075+IF($R$17="Distrato",$I$38-1,0)),IF(AND($L$711=0,$P$708=0),"",$L$711-1),IF($R$17="Distrato",$E1075,0)),MIN(AH$38,$D$19),$P$20))-SUM($P1075:AG1075)</f>
        <v>#VALUE!</v>
      </c>
      <c r="AI1075" s="446" t="e">
        <f>IF(OR($B1075="",MIN(AI$38,$D$19)&lt;MAX($P$708*($B1075+IF($R$17="Distrato",$I$38-1,0)),IF(AND($L$711=0,$P$708=0),"",$L$711-1),IF($R$17="Distrato",$E1075,0))),0,YEARFRAC(MAX($P$708*($B1075+IF($R$17="Distrato",$I$38-1,0)),IF(AND($L$711=0,$P$708=0),"",$L$711-1),IF($R$17="Distrato",$E1075,0)),MIN(AI$38,$D$19),$P$20))-SUM($P1075:AH1075)</f>
        <v>#VALUE!</v>
      </c>
      <c r="AJ1075" s="446" t="e">
        <f>IF(OR($B1075="",MIN(AJ$38,$D$19)&lt;MAX($P$708*($B1075+IF($R$17="Distrato",$I$38-1,0)),IF(AND($L$711=0,$P$708=0),"",$L$711-1),IF($R$17="Distrato",$E1075,0))),0,YEARFRAC(MAX($P$708*($B1075+IF($R$17="Distrato",$I$38-1,0)),IF(AND($L$711=0,$P$708=0),"",$L$711-1),IF($R$17="Distrato",$E1075,0)),MIN(AJ$38,$D$19),$P$20))-SUM($P1075:AI1075)</f>
        <v>#VALUE!</v>
      </c>
      <c r="AK1075" s="446" t="e">
        <f>IF(OR($B1075="",MIN(AK$38,$D$19)&lt;MAX($P$708*($B1075+IF($R$17="Distrato",$I$38-1,0)),IF(AND($L$711=0,$P$708=0),"",$L$711-1),IF($R$17="Distrato",$E1075,0))),0,YEARFRAC(MAX($P$708*($B1075+IF($R$17="Distrato",$I$38-1,0)),IF(AND($L$711=0,$P$708=0),"",$L$711-1),IF($R$17="Distrato",$E1075,0)),MIN(AK$38,$D$19),$P$20))-SUM($P1075:AJ1075)</f>
        <v>#VALUE!</v>
      </c>
      <c r="AL1075" s="446" t="e">
        <f>IF(OR($B1075="",MIN(AL$38,$D$19)&lt;MAX($P$708*($B1075+IF($R$17="Distrato",$I$38-1,0)),IF(AND($L$711=0,$P$708=0),"",$L$711-1),IF($R$17="Distrato",$E1075,0))),0,YEARFRAC(MAX($P$708*($B1075+IF($R$17="Distrato",$I$38-1,0)),IF(AND($L$711=0,$P$708=0),"",$L$711-1),IF($R$17="Distrato",$E1075,0)),MIN(AL$38,$D$19),$P$20))-SUM($P1075:AK1075)</f>
        <v>#VALUE!</v>
      </c>
      <c r="AM1075" s="446" t="e">
        <f>IF(OR($B1075="",MIN(AM$38,$D$19)&lt;MAX($P$708*($B1075+IF($R$17="Distrato",$I$38-1,0)),IF(AND($L$711=0,$P$708=0),"",$L$711-1),IF($R$17="Distrato",$E1075,0))),0,YEARFRAC(MAX($P$708*($B1075+IF($R$17="Distrato",$I$38-1,0)),IF(AND($L$711=0,$P$708=0),"",$L$711-1),IF($R$17="Distrato",$E1075,0)),MIN(AM$38,$D$19),$P$20))-SUM($P1075:AL1075)</f>
        <v>#VALUE!</v>
      </c>
      <c r="AN1075" s="446" t="e">
        <f>IF(OR($B1075="",MIN(AN$38,$D$19)&lt;MAX($P$708*($B1075+IF($R$17="Distrato",$I$38-1,0)),IF(AND($L$711=0,$P$708=0),"",$L$711-1),IF($R$17="Distrato",$E1075,0))),0,YEARFRAC(MAX($P$708*($B1075+IF($R$17="Distrato",$I$38-1,0)),IF(AND($L$711=0,$P$708=0),"",$L$711-1),IF($R$17="Distrato",$E1075,0)),MIN(AN$38,$D$19),$P$20))-SUM($P1075:AM1075)</f>
        <v>#VALUE!</v>
      </c>
      <c r="AO1075" s="446" t="e">
        <f>IF(OR($B1075="",MIN(AO$38,$D$19)&lt;MAX($P$708*($B1075+IF($R$17="Distrato",$I$38-1,0)),IF(AND($L$711=0,$P$708=0),"",$L$711-1),IF($R$17="Distrato",$E1075,0))),0,YEARFRAC(MAX($P$708*($B1075+IF($R$17="Distrato",$I$38-1,0)),IF(AND($L$711=0,$P$708=0),"",$L$711-1),IF($R$17="Distrato",$E1075,0)),MIN(AO$38,$D$19),$P$20))-SUM($P1075:AN1075)</f>
        <v>#VALUE!</v>
      </c>
      <c r="AP1075" s="446" t="e">
        <f>IF(OR($B1075="",MIN(AP$38,$D$19)&lt;MAX($P$708*($B1075+IF($R$17="Distrato",$I$38-1,0)),IF(AND($L$711=0,$P$708=0),"",$L$711-1),IF($R$17="Distrato",$E1075,0))),0,YEARFRAC(MAX($P$708*($B1075+IF($R$17="Distrato",$I$38-1,0)),IF(AND($L$711=0,$P$708=0),"",$L$711-1),IF($R$17="Distrato",$E1075,0)),MIN(AP$38,$D$19),$P$20))-SUM($P1075:AO1075)</f>
        <v>#VALUE!</v>
      </c>
      <c r="AQ1075" s="446" t="e">
        <f>IF(OR($B1075="",MIN(AQ$38,$D$19)&lt;MAX($P$708*($B1075+IF($R$17="Distrato",$I$38-1,0)),IF(AND($L$711=0,$P$708=0),"",$L$711-1),IF($R$17="Distrato",$E1075,0))),0,YEARFRAC(MAX($P$708*($B1075+IF($R$17="Distrato",$I$38-1,0)),IF(AND($L$711=0,$P$708=0),"",$L$711-1),IF($R$17="Distrato",$E1075,0)),MIN(AQ$38,$D$19),$P$20))-SUM($P1075:AP1075)</f>
        <v>#VALUE!</v>
      </c>
      <c r="AR1075" s="446" t="e">
        <f>IF(OR($B1075="",MIN(AR$38,$D$19)&lt;MAX($P$708*($B1075+IF($R$17="Distrato",$I$38-1,0)),IF(AND($L$711=0,$P$708=0),"",$L$711-1),IF($R$17="Distrato",$E1075,0))),0,YEARFRAC(MAX($P$708*($B1075+IF($R$17="Distrato",$I$38-1,0)),IF(AND($L$711=0,$P$708=0),"",$L$711-1),IF($R$17="Distrato",$E1075,0)),MIN(AR$38,$D$19),$P$20))-SUM($P1075:AQ1075)</f>
        <v>#VALUE!</v>
      </c>
      <c r="AS1075" s="446" t="e">
        <f>IF(OR($B1075="",MIN(AS$38,$D$19)&lt;MAX($P$708*($B1075+IF($R$17="Distrato",$I$38-1,0)),IF(AND($L$711=0,$P$708=0),"",$L$711-1),IF($R$17="Distrato",$E1075,0))),0,YEARFRAC(MAX($P$708*($B1075+IF($R$17="Distrato",$I$38-1,0)),IF(AND($L$711=0,$P$708=0),"",$L$711-1),IF($R$17="Distrato",$E1075,0)),MIN(AS$38,$D$19),$P$20))-SUM($P1075:AR1075)</f>
        <v>#VALUE!</v>
      </c>
      <c r="AT1075" s="446" t="e">
        <f>IF(OR($B1075="",MIN(AT$38,$D$19)&lt;MAX($P$708*($B1075+IF($R$17="Distrato",$I$38-1,0)),IF(AND($L$711=0,$P$708=0),"",$L$711-1),IF($R$17="Distrato",$E1075,0))),0,YEARFRAC(MAX($P$708*($B1075+IF($R$17="Distrato",$I$38-1,0)),IF(AND($L$711=0,$P$708=0),"",$L$711-1),IF($R$17="Distrato",$E1075,0)),MIN(AT$38,$D$19),$P$20))-SUM($P1075:AS1075)</f>
        <v>#VALUE!</v>
      </c>
      <c r="AU1075" s="446" t="e">
        <f>IF(OR($B1075="",MIN(AU$38,$D$19)&lt;MAX($P$708*($B1075+IF($R$17="Distrato",$I$38-1,0)),IF(AND($L$711=0,$P$708=0),"",$L$711-1),IF($R$17="Distrato",$E1075,0))),0,YEARFRAC(MAX($P$708*($B1075+IF($R$17="Distrato",$I$38-1,0)),IF(AND($L$711=0,$P$708=0),"",$L$711-1),IF($R$17="Distrato",$E1075,0)),MIN(AU$38,$D$19),$P$20))-SUM($P1075:AT1075)</f>
        <v>#VALUE!</v>
      </c>
      <c r="AV1075" s="446" t="e">
        <f>IF(OR($B1075="",MIN(AV$38,$D$19)&lt;MAX($P$708*($B1075+IF($R$17="Distrato",$I$38-1,0)),IF(AND($L$711=0,$P$708=0),"",$L$711-1),IF($R$17="Distrato",$E1075,0))),0,YEARFRAC(MAX($P$708*($B1075+IF($R$17="Distrato",$I$38-1,0)),IF(AND($L$711=0,$P$708=0),"",$L$711-1),IF($R$17="Distrato",$E1075,0)),MIN(AV$38,$D$19),$P$20))-SUM($P1075:AU1075)</f>
        <v>#VALUE!</v>
      </c>
      <c r="AW1075" s="446" t="e">
        <f>IF(OR($B1075="",MIN(AW$38,$D$19)&lt;MAX($P$708*($B1075+IF($R$17="Distrato",$I$38-1,0)),IF(AND($L$711=0,$P$708=0),"",$L$711-1),IF($R$17="Distrato",$E1075,0))),0,YEARFRAC(MAX($P$708*($B1075+IF($R$17="Distrato",$I$38-1,0)),IF(AND($L$711=0,$P$708=0),"",$L$711-1),IF($R$17="Distrato",$E1075,0)),MIN(AW$38,$D$19),$P$20))-SUM($P1075:AV1075)</f>
        <v>#VALUE!</v>
      </c>
      <c r="AX1075" s="446" t="e">
        <f>IF(OR($B1075="",MIN(AX$38,$D$19)&lt;MAX($P$708*($B1075+IF($R$17="Distrato",$I$38-1,0)),IF(AND($L$711=0,$P$708=0),"",$L$711-1),IF($R$17="Distrato",$E1075,0))),0,YEARFRAC(MAX($P$708*($B1075+IF($R$17="Distrato",$I$38-1,0)),IF(AND($L$711=0,$P$708=0),"",$L$711-1),IF($R$17="Distrato",$E1075,0)),MIN(AX$38,$D$19),$P$20))-SUM($P1075:AW1075)</f>
        <v>#VALUE!</v>
      </c>
      <c r="AY1075" s="446" t="e">
        <f>IF(OR($B1075="",MIN(AY$38,$D$19)&lt;MAX($P$708*($B1075+IF($R$17="Distrato",$I$38-1,0)),IF(AND($L$711=0,$P$708=0),"",$L$711-1),IF($R$17="Distrato",$E1075,0))),0,YEARFRAC(MAX($P$708*($B1075+IF($R$17="Distrato",$I$38-1,0)),IF(AND($L$711=0,$P$708=0),"",$L$711-1),IF($R$17="Distrato",$E1075,0)),MIN(AY$38,$D$19),$P$20))-SUM($P1075:AX1075)</f>
        <v>#VALUE!</v>
      </c>
      <c r="AZ1075" s="446" t="e">
        <f>IF(OR($B1075="",MIN(AZ$38,$D$19)&lt;MAX($P$708*($B1075+IF($R$17="Distrato",$I$38-1,0)),IF(AND($L$711=0,$P$708=0),"",$L$711-1),IF($R$17="Distrato",$E1075,0))),0,YEARFRAC(MAX($P$708*($B1075+IF($R$17="Distrato",$I$38-1,0)),IF(AND($L$711=0,$P$708=0),"",$L$711-1),IF($R$17="Distrato",$E1075,0)),MIN(AZ$38,$D$19),$P$20))-SUM($P1075:AY1075)</f>
        <v>#VALUE!</v>
      </c>
      <c r="BA1075" s="446" t="e">
        <f>IF(OR($B1075="",MIN(BA$38,$D$19)&lt;MAX($P$708*($B1075+IF($R$17="Distrato",$I$38-1,0)),IF(AND($L$711=0,$P$708=0),"",$L$711-1),IF($R$17="Distrato",$E1075,0))),0,YEARFRAC(MAX($P$708*($B1075+IF($R$17="Distrato",$I$38-1,0)),IF(AND($L$711=0,$P$708=0),"",$L$711-1),IF($R$17="Distrato",$E1075,0)),MIN(BA$38,$D$19),$P$20))-SUM($P1075:AZ1075)</f>
        <v>#VALUE!</v>
      </c>
      <c r="BB1075" s="447"/>
    </row>
    <row r="1076" spans="1:54" s="446" customFormat="1" ht="11.25" hidden="1" customHeight="1" x14ac:dyDescent="0.2">
      <c r="A1076" s="235"/>
      <c r="B1076" s="236"/>
      <c r="C1076" s="29" t="str">
        <f>IF(B1076="","",IF($L$709=$BL$25,VLOOKUP(DATE(YEAR($D$19),MONTH($D$19)-1,1),ÍNDICES!$A:$DE,HLOOKUP($BL$25,ÍNDICES!$B$3:$T$4,2)+11)-VLOOKUP(B1076,ÍNDICES!$A:$DE,HLOOKUP($BL$25,ÍNDICES!$B$3:$T$4,2)+11)+1%,IF(C$712=$W$26,$J$35,IF(ISERROR(IF(B1076&gt;$D$19,1,VLOOKUP(DATE(YEAR(B1076),MONTH(B1076)+IF($C$709=$S$23,1,0),1),ÍNDICES!$A:$DE,$Z$709+1))),"",IF(B1076&gt;$D$19,1,VLOOKUP(DATE(YEAR(B1076),MONTH(B1076)+IF($C$709=$S$23,1,0),1),ÍNDICES!$A:$DE,$Z$709+1))))))</f>
        <v/>
      </c>
      <c r="D1076" s="155"/>
      <c r="E1076" s="88"/>
      <c r="F1076" s="88"/>
      <c r="G1076" s="88"/>
      <c r="H1076" s="118"/>
      <c r="I1076" s="182">
        <f t="shared" si="150"/>
        <v>0</v>
      </c>
      <c r="J1076" s="20">
        <f t="shared" ca="1" si="151"/>
        <v>0</v>
      </c>
      <c r="K1076" s="5">
        <f t="shared" ca="1" si="152"/>
        <v>0</v>
      </c>
      <c r="L1076" s="61">
        <f t="shared" ca="1" si="153"/>
        <v>0</v>
      </c>
      <c r="M1076" s="64">
        <f t="shared" si="154"/>
        <v>0</v>
      </c>
      <c r="N1076" s="151"/>
      <c r="O1076" s="5">
        <f t="shared" ca="1" si="155"/>
        <v>0</v>
      </c>
      <c r="P1076" s="446" t="e">
        <f t="shared" si="156"/>
        <v>#VALUE!</v>
      </c>
      <c r="Q1076" s="446" t="e">
        <f>IF(OR($B1076="",MIN(Q$38,$D$19)&lt;MAX($P$708*($B1076+IF($R$17="Distrato",$I$38-1,0)),IF(AND($L$711=0,$P$708=0),"",$L$711-1),IF($R$17="Distrato",$E1076,0))),0,YEARFRAC(MAX($P$708*($B1076+IF($R$17="Distrato",$I$38-1,0)),IF(AND($L$711=0,$P$708=0),"",$L$711-1),IF($R$17="Distrato",$E1076,0)),MIN(Q$38,$D$19),$P$20))-SUM($P1076:P1076)</f>
        <v>#VALUE!</v>
      </c>
      <c r="R1076" s="446" t="e">
        <f>IF(OR($B1076="",MIN(R$38,$D$19)&lt;MAX($P$708*($B1076+IF($R$17="Distrato",$I$38-1,0)),IF(AND($L$711=0,$P$708=0),"",$L$711-1),IF($R$17="Distrato",$E1076,0))),0,YEARFRAC(MAX($P$708*($B1076+IF($R$17="Distrato",$I$38-1,0)),IF(AND($L$711=0,$P$708=0),"",$L$711-1),IF($R$17="Distrato",$E1076,0)),MIN(R$38,$D$19),$P$20))-SUM($P1076:Q1076)</f>
        <v>#VALUE!</v>
      </c>
      <c r="S1076" s="446" t="e">
        <f>IF(OR($B1076="",MIN(S$38,$D$19)&lt;MAX($P$708*($B1076+IF($R$17="Distrato",$I$38-1,0)),IF(AND($L$711=0,$P$708=0),"",$L$711-1),IF($R$17="Distrato",$E1076,0))),0,YEARFRAC(MAX($P$708*($B1076+IF($R$17="Distrato",$I$38-1,0)),IF(AND($L$711=0,$P$708=0),"",$L$711-1),IF($R$17="Distrato",$E1076,0)),MIN(S$38,$D$19),$P$20))-SUM($P1076:R1076)</f>
        <v>#VALUE!</v>
      </c>
      <c r="T1076" s="446" t="e">
        <f>IF(OR($B1076="",MIN(T$38,$D$19)&lt;MAX($P$708*($B1076+IF($R$17="Distrato",$I$38-1,0)),IF(AND($L$711=0,$P$708=0),"",$L$711-1),IF($R$17="Distrato",$E1076,0))),0,YEARFRAC(MAX($P$708*($B1076+IF($R$17="Distrato",$I$38-1,0)),IF(AND($L$711=0,$P$708=0),"",$L$711-1),IF($R$17="Distrato",$E1076,0)),MIN(T$38,$D$19),$P$20))-SUM($P1076:S1076)</f>
        <v>#VALUE!</v>
      </c>
      <c r="U1076" s="446" t="e">
        <f>IF(OR($B1076="",MIN(U$38,$D$19)&lt;MAX($P$708*($B1076+IF($R$17="Distrato",$I$38-1,0)),IF(AND($L$711=0,$P$708=0),"",$L$711-1),IF($R$17="Distrato",$E1076,0))),0,YEARFRAC(MAX($P$708*($B1076+IF($R$17="Distrato",$I$38-1,0)),IF(AND($L$711=0,$P$708=0),"",$L$711-1),IF($R$17="Distrato",$E1076,0)),MIN(U$38,$D$19),$P$20))-SUM($P1076:T1076)</f>
        <v>#VALUE!</v>
      </c>
      <c r="V1076" s="446" t="e">
        <f>IF(OR($B1076="",MIN(V$38,$D$19)&lt;MAX($P$708*($B1076+IF($R$17="Distrato",$I$38-1,0)),IF(AND($L$711=0,$P$708=0),"",$L$711-1),IF($R$17="Distrato",$E1076,0))),0,YEARFRAC(MAX($P$708*($B1076+IF($R$17="Distrato",$I$38-1,0)),IF(AND($L$711=0,$P$708=0),"",$L$711-1),IF($R$17="Distrato",$E1076,0)),MIN(V$38,$D$19),$P$20))-SUM($P1076:U1076)</f>
        <v>#VALUE!</v>
      </c>
      <c r="W1076" s="446" t="e">
        <f>IF(OR($B1076="",MIN(W$38,$D$19)&lt;MAX($P$708*($B1076+IF($R$17="Distrato",$I$38-1,0)),IF(AND($L$711=0,$P$708=0),"",$L$711-1),IF($R$17="Distrato",$E1076,0))),0,YEARFRAC(MAX($P$708*($B1076+IF($R$17="Distrato",$I$38-1,0)),IF(AND($L$711=0,$P$708=0),"",$L$711-1),IF($R$17="Distrato",$E1076,0)),MIN(W$38,$D$19),$P$20))-SUM($P1076:V1076)</f>
        <v>#VALUE!</v>
      </c>
      <c r="X1076" s="446" t="e">
        <f>IF(OR($B1076="",MIN(X$38,$D$19)&lt;MAX($P$708*($B1076+IF($R$17="Distrato",$I$38-1,0)),IF(AND($L$711=0,$P$708=0),"",$L$711-1),IF($R$17="Distrato",$E1076,0))),0,YEARFRAC(MAX($P$708*($B1076+IF($R$17="Distrato",$I$38-1,0)),IF(AND($L$711=0,$P$708=0),"",$L$711-1),IF($R$17="Distrato",$E1076,0)),MIN(X$38,$D$19),$P$20))-SUM($P1076:W1076)</f>
        <v>#VALUE!</v>
      </c>
      <c r="Y1076" s="446" t="e">
        <f>IF(OR($B1076="",MIN(Y$38,$D$19)&lt;MAX($P$708*($B1076+IF($R$17="Distrato",$I$38-1,0)),IF(AND($L$711=0,$P$708=0),"",$L$711-1),IF($R$17="Distrato",$E1076,0))),0,YEARFRAC(MAX($P$708*($B1076+IF($R$17="Distrato",$I$38-1,0)),IF(AND($L$711=0,$P$708=0),"",$L$711-1),IF($R$17="Distrato",$E1076,0)),MIN(Y$38,$D$19),$P$20))-SUM($P1076:X1076)</f>
        <v>#VALUE!</v>
      </c>
      <c r="Z1076" s="446" t="e">
        <f>IF(OR($B1076="",MIN(Z$38,$D$19)&lt;MAX($P$708*($B1076+IF($R$17="Distrato",$I$38-1,0)),IF(AND($L$711=0,$P$708=0),"",$L$711-1),IF($R$17="Distrato",$E1076,0))),0,YEARFRAC(MAX($P$708*($B1076+IF($R$17="Distrato",$I$38-1,0)),IF(AND($L$711=0,$P$708=0),"",$L$711-1),IF($R$17="Distrato",$E1076,0)),MIN(Z$38,$D$19),$P$20))-SUM($P1076:Y1076)</f>
        <v>#VALUE!</v>
      </c>
      <c r="AA1076" s="446" t="e">
        <f>IF(OR($B1076="",MIN(AA$38,$D$19)&lt;MAX($P$708*($B1076+IF($R$17="Distrato",$I$38-1,0)),IF(AND($L$711=0,$P$708=0),"",$L$711-1),IF($R$17="Distrato",$E1076,0))),0,YEARFRAC(MAX($P$708*($B1076+IF($R$17="Distrato",$I$38-1,0)),IF(AND($L$711=0,$P$708=0),"",$L$711-1),IF($R$17="Distrato",$E1076,0)),MIN(AA$38,$D$19),$P$20))-SUM($P1076:Z1076)</f>
        <v>#VALUE!</v>
      </c>
      <c r="AB1076" s="446" t="e">
        <f>IF(OR($B1076="",MIN(AB$38,$D$19)&lt;MAX($P$708*($B1076+IF($R$17="Distrato",$I$38-1,0)),IF(AND($L$711=0,$P$708=0),"",$L$711-1),IF($R$17="Distrato",$E1076,0))),0,YEARFRAC(MAX($P$708*($B1076+IF($R$17="Distrato",$I$38-1,0)),IF(AND($L$711=0,$P$708=0),"",$L$711-1),IF($R$17="Distrato",$E1076,0)),MIN(AB$38,$D$19),$P$20))-SUM($P1076:AA1076)</f>
        <v>#VALUE!</v>
      </c>
      <c r="AC1076" s="446" t="e">
        <f>IF(OR($B1076="",MIN(AC$38,$D$19)&lt;MAX($P$708*($B1076+IF($R$17="Distrato",$I$38-1,0)),IF(AND($L$711=0,$P$708=0),"",$L$711-1),IF($R$17="Distrato",$E1076,0))),0,YEARFRAC(MAX($P$708*($B1076+IF($R$17="Distrato",$I$38-1,0)),IF(AND($L$711=0,$P$708=0),"",$L$711-1),IF($R$17="Distrato",$E1076,0)),MIN(AC$38,$D$19),$P$20))-SUM($P1076:AB1076)</f>
        <v>#VALUE!</v>
      </c>
      <c r="AD1076" s="446" t="e">
        <f>IF(OR($B1076="",MIN(AD$38,$D$19)&lt;MAX($P$708*($B1076+IF($R$17="Distrato",$I$38-1,0)),IF(AND($L$711=0,$P$708=0),"",$L$711-1),IF($R$17="Distrato",$E1076,0))),0,YEARFRAC(MAX($P$708*($B1076+IF($R$17="Distrato",$I$38-1,0)),IF(AND($L$711=0,$P$708=0),"",$L$711-1),IF($R$17="Distrato",$E1076,0)),MIN(AD$38,$D$19),$P$20))-SUM($P1076:AC1076)</f>
        <v>#VALUE!</v>
      </c>
      <c r="AE1076" s="446" t="e">
        <f>IF(OR($B1076="",MIN(AE$38,$D$19)&lt;MAX($P$708*($B1076+IF($R$17="Distrato",$I$38-1,0)),IF(AND($L$711=0,$P$708=0),"",$L$711-1),IF($R$17="Distrato",$E1076,0))),0,YEARFRAC(MAX($P$708*($B1076+IF($R$17="Distrato",$I$38-1,0)),IF(AND($L$711=0,$P$708=0),"",$L$711-1),IF($R$17="Distrato",$E1076,0)),MIN(AE$38,$D$19),$P$20))-SUM($P1076:AD1076)</f>
        <v>#VALUE!</v>
      </c>
      <c r="AF1076" s="446" t="e">
        <f>IF(OR($B1076="",MIN(AF$38,$D$19)&lt;MAX($P$708*($B1076+IF($R$17="Distrato",$I$38-1,0)),IF(AND($L$711=0,$P$708=0),"",$L$711-1),IF($R$17="Distrato",$E1076,0))),0,YEARFRAC(MAX($P$708*($B1076+IF($R$17="Distrato",$I$38-1,0)),IF(AND($L$711=0,$P$708=0),"",$L$711-1),IF($R$17="Distrato",$E1076,0)),MIN(AF$38,$D$19),$P$20))-SUM($P1076:AE1076)</f>
        <v>#VALUE!</v>
      </c>
      <c r="AG1076" s="446" t="e">
        <f>IF(OR($B1076="",MIN(AG$38,$D$19)&lt;MAX($P$708*($B1076+IF($R$17="Distrato",$I$38-1,0)),IF(AND($L$711=0,$P$708=0),"",$L$711-1),IF($R$17="Distrato",$E1076,0))),0,YEARFRAC(MAX($P$708*($B1076+IF($R$17="Distrato",$I$38-1,0)),IF(AND($L$711=0,$P$708=0),"",$L$711-1),IF($R$17="Distrato",$E1076,0)),MIN(AG$38,$D$19),$P$20))-SUM($P1076:AF1076)</f>
        <v>#VALUE!</v>
      </c>
      <c r="AH1076" s="446" t="e">
        <f>IF(OR($B1076="",MIN(AH$38,$D$19)&lt;MAX($P$708*($B1076+IF($R$17="Distrato",$I$38-1,0)),IF(AND($L$711=0,$P$708=0),"",$L$711-1),IF($R$17="Distrato",$E1076,0))),0,YEARFRAC(MAX($P$708*($B1076+IF($R$17="Distrato",$I$38-1,0)),IF(AND($L$711=0,$P$708=0),"",$L$711-1),IF($R$17="Distrato",$E1076,0)),MIN(AH$38,$D$19),$P$20))-SUM($P1076:AG1076)</f>
        <v>#VALUE!</v>
      </c>
      <c r="AI1076" s="446" t="e">
        <f>IF(OR($B1076="",MIN(AI$38,$D$19)&lt;MAX($P$708*($B1076+IF($R$17="Distrato",$I$38-1,0)),IF(AND($L$711=0,$P$708=0),"",$L$711-1),IF($R$17="Distrato",$E1076,0))),0,YEARFRAC(MAX($P$708*($B1076+IF($R$17="Distrato",$I$38-1,0)),IF(AND($L$711=0,$P$708=0),"",$L$711-1),IF($R$17="Distrato",$E1076,0)),MIN(AI$38,$D$19),$P$20))-SUM($P1076:AH1076)</f>
        <v>#VALUE!</v>
      </c>
      <c r="AJ1076" s="446" t="e">
        <f>IF(OR($B1076="",MIN(AJ$38,$D$19)&lt;MAX($P$708*($B1076+IF($R$17="Distrato",$I$38-1,0)),IF(AND($L$711=0,$P$708=0),"",$L$711-1),IF($R$17="Distrato",$E1076,0))),0,YEARFRAC(MAX($P$708*($B1076+IF($R$17="Distrato",$I$38-1,0)),IF(AND($L$711=0,$P$708=0),"",$L$711-1),IF($R$17="Distrato",$E1076,0)),MIN(AJ$38,$D$19),$P$20))-SUM($P1076:AI1076)</f>
        <v>#VALUE!</v>
      </c>
      <c r="AK1076" s="446" t="e">
        <f>IF(OR($B1076="",MIN(AK$38,$D$19)&lt;MAX($P$708*($B1076+IF($R$17="Distrato",$I$38-1,0)),IF(AND($L$711=0,$P$708=0),"",$L$711-1),IF($R$17="Distrato",$E1076,0))),0,YEARFRAC(MAX($P$708*($B1076+IF($R$17="Distrato",$I$38-1,0)),IF(AND($L$711=0,$P$708=0),"",$L$711-1),IF($R$17="Distrato",$E1076,0)),MIN(AK$38,$D$19),$P$20))-SUM($P1076:AJ1076)</f>
        <v>#VALUE!</v>
      </c>
      <c r="AL1076" s="446" t="e">
        <f>IF(OR($B1076="",MIN(AL$38,$D$19)&lt;MAX($P$708*($B1076+IF($R$17="Distrato",$I$38-1,0)),IF(AND($L$711=0,$P$708=0),"",$L$711-1),IF($R$17="Distrato",$E1076,0))),0,YEARFRAC(MAX($P$708*($B1076+IF($R$17="Distrato",$I$38-1,0)),IF(AND($L$711=0,$P$708=0),"",$L$711-1),IF($R$17="Distrato",$E1076,0)),MIN(AL$38,$D$19),$P$20))-SUM($P1076:AK1076)</f>
        <v>#VALUE!</v>
      </c>
      <c r="AM1076" s="446" t="e">
        <f>IF(OR($B1076="",MIN(AM$38,$D$19)&lt;MAX($P$708*($B1076+IF($R$17="Distrato",$I$38-1,0)),IF(AND($L$711=0,$P$708=0),"",$L$711-1),IF($R$17="Distrato",$E1076,0))),0,YEARFRAC(MAX($P$708*($B1076+IF($R$17="Distrato",$I$38-1,0)),IF(AND($L$711=0,$P$708=0),"",$L$711-1),IF($R$17="Distrato",$E1076,0)),MIN(AM$38,$D$19),$P$20))-SUM($P1076:AL1076)</f>
        <v>#VALUE!</v>
      </c>
      <c r="AN1076" s="446" t="e">
        <f>IF(OR($B1076="",MIN(AN$38,$D$19)&lt;MAX($P$708*($B1076+IF($R$17="Distrato",$I$38-1,0)),IF(AND($L$711=0,$P$708=0),"",$L$711-1),IF($R$17="Distrato",$E1076,0))),0,YEARFRAC(MAX($P$708*($B1076+IF($R$17="Distrato",$I$38-1,0)),IF(AND($L$711=0,$P$708=0),"",$L$711-1),IF($R$17="Distrato",$E1076,0)),MIN(AN$38,$D$19),$P$20))-SUM($P1076:AM1076)</f>
        <v>#VALUE!</v>
      </c>
      <c r="AO1076" s="446" t="e">
        <f>IF(OR($B1076="",MIN(AO$38,$D$19)&lt;MAX($P$708*($B1076+IF($R$17="Distrato",$I$38-1,0)),IF(AND($L$711=0,$P$708=0),"",$L$711-1),IF($R$17="Distrato",$E1076,0))),0,YEARFRAC(MAX($P$708*($B1076+IF($R$17="Distrato",$I$38-1,0)),IF(AND($L$711=0,$P$708=0),"",$L$711-1),IF($R$17="Distrato",$E1076,0)),MIN(AO$38,$D$19),$P$20))-SUM($P1076:AN1076)</f>
        <v>#VALUE!</v>
      </c>
      <c r="AP1076" s="446" t="e">
        <f>IF(OR($B1076="",MIN(AP$38,$D$19)&lt;MAX($P$708*($B1076+IF($R$17="Distrato",$I$38-1,0)),IF(AND($L$711=0,$P$708=0),"",$L$711-1),IF($R$17="Distrato",$E1076,0))),0,YEARFRAC(MAX($P$708*($B1076+IF($R$17="Distrato",$I$38-1,0)),IF(AND($L$711=0,$P$708=0),"",$L$711-1),IF($R$17="Distrato",$E1076,0)),MIN(AP$38,$D$19),$P$20))-SUM($P1076:AO1076)</f>
        <v>#VALUE!</v>
      </c>
      <c r="AQ1076" s="446" t="e">
        <f>IF(OR($B1076="",MIN(AQ$38,$D$19)&lt;MAX($P$708*($B1076+IF($R$17="Distrato",$I$38-1,0)),IF(AND($L$711=0,$P$708=0),"",$L$711-1),IF($R$17="Distrato",$E1076,0))),0,YEARFRAC(MAX($P$708*($B1076+IF($R$17="Distrato",$I$38-1,0)),IF(AND($L$711=0,$P$708=0),"",$L$711-1),IF($R$17="Distrato",$E1076,0)),MIN(AQ$38,$D$19),$P$20))-SUM($P1076:AP1076)</f>
        <v>#VALUE!</v>
      </c>
      <c r="AR1076" s="446" t="e">
        <f>IF(OR($B1076="",MIN(AR$38,$D$19)&lt;MAX($P$708*($B1076+IF($R$17="Distrato",$I$38-1,0)),IF(AND($L$711=0,$P$708=0),"",$L$711-1),IF($R$17="Distrato",$E1076,0))),0,YEARFRAC(MAX($P$708*($B1076+IF($R$17="Distrato",$I$38-1,0)),IF(AND($L$711=0,$P$708=0),"",$L$711-1),IF($R$17="Distrato",$E1076,0)),MIN(AR$38,$D$19),$P$20))-SUM($P1076:AQ1076)</f>
        <v>#VALUE!</v>
      </c>
      <c r="AS1076" s="446" t="e">
        <f>IF(OR($B1076="",MIN(AS$38,$D$19)&lt;MAX($P$708*($B1076+IF($R$17="Distrato",$I$38-1,0)),IF(AND($L$711=0,$P$708=0),"",$L$711-1),IF($R$17="Distrato",$E1076,0))),0,YEARFRAC(MAX($P$708*($B1076+IF($R$17="Distrato",$I$38-1,0)),IF(AND($L$711=0,$P$708=0),"",$L$711-1),IF($R$17="Distrato",$E1076,0)),MIN(AS$38,$D$19),$P$20))-SUM($P1076:AR1076)</f>
        <v>#VALUE!</v>
      </c>
      <c r="AT1076" s="446" t="e">
        <f>IF(OR($B1076="",MIN(AT$38,$D$19)&lt;MAX($P$708*($B1076+IF($R$17="Distrato",$I$38-1,0)),IF(AND($L$711=0,$P$708=0),"",$L$711-1),IF($R$17="Distrato",$E1076,0))),0,YEARFRAC(MAX($P$708*($B1076+IF($R$17="Distrato",$I$38-1,0)),IF(AND($L$711=0,$P$708=0),"",$L$711-1),IF($R$17="Distrato",$E1076,0)),MIN(AT$38,$D$19),$P$20))-SUM($P1076:AS1076)</f>
        <v>#VALUE!</v>
      </c>
      <c r="AU1076" s="446" t="e">
        <f>IF(OR($B1076="",MIN(AU$38,$D$19)&lt;MAX($P$708*($B1076+IF($R$17="Distrato",$I$38-1,0)),IF(AND($L$711=0,$P$708=0),"",$L$711-1),IF($R$17="Distrato",$E1076,0))),0,YEARFRAC(MAX($P$708*($B1076+IF($R$17="Distrato",$I$38-1,0)),IF(AND($L$711=0,$P$708=0),"",$L$711-1),IF($R$17="Distrato",$E1076,0)),MIN(AU$38,$D$19),$P$20))-SUM($P1076:AT1076)</f>
        <v>#VALUE!</v>
      </c>
      <c r="AV1076" s="446" t="e">
        <f>IF(OR($B1076="",MIN(AV$38,$D$19)&lt;MAX($P$708*($B1076+IF($R$17="Distrato",$I$38-1,0)),IF(AND($L$711=0,$P$708=0),"",$L$711-1),IF($R$17="Distrato",$E1076,0))),0,YEARFRAC(MAX($P$708*($B1076+IF($R$17="Distrato",$I$38-1,0)),IF(AND($L$711=0,$P$708=0),"",$L$711-1),IF($R$17="Distrato",$E1076,0)),MIN(AV$38,$D$19),$P$20))-SUM($P1076:AU1076)</f>
        <v>#VALUE!</v>
      </c>
      <c r="AW1076" s="446" t="e">
        <f>IF(OR($B1076="",MIN(AW$38,$D$19)&lt;MAX($P$708*($B1076+IF($R$17="Distrato",$I$38-1,0)),IF(AND($L$711=0,$P$708=0),"",$L$711-1),IF($R$17="Distrato",$E1076,0))),0,YEARFRAC(MAX($P$708*($B1076+IF($R$17="Distrato",$I$38-1,0)),IF(AND($L$711=0,$P$708=0),"",$L$711-1),IF($R$17="Distrato",$E1076,0)),MIN(AW$38,$D$19),$P$20))-SUM($P1076:AV1076)</f>
        <v>#VALUE!</v>
      </c>
      <c r="AX1076" s="446" t="e">
        <f>IF(OR($B1076="",MIN(AX$38,$D$19)&lt;MAX($P$708*($B1076+IF($R$17="Distrato",$I$38-1,0)),IF(AND($L$711=0,$P$708=0),"",$L$711-1),IF($R$17="Distrato",$E1076,0))),0,YEARFRAC(MAX($P$708*($B1076+IF($R$17="Distrato",$I$38-1,0)),IF(AND($L$711=0,$P$708=0),"",$L$711-1),IF($R$17="Distrato",$E1076,0)),MIN(AX$38,$D$19),$P$20))-SUM($P1076:AW1076)</f>
        <v>#VALUE!</v>
      </c>
      <c r="AY1076" s="446" t="e">
        <f>IF(OR($B1076="",MIN(AY$38,$D$19)&lt;MAX($P$708*($B1076+IF($R$17="Distrato",$I$38-1,0)),IF(AND($L$711=0,$P$708=0),"",$L$711-1),IF($R$17="Distrato",$E1076,0))),0,YEARFRAC(MAX($P$708*($B1076+IF($R$17="Distrato",$I$38-1,0)),IF(AND($L$711=0,$P$708=0),"",$L$711-1),IF($R$17="Distrato",$E1076,0)),MIN(AY$38,$D$19),$P$20))-SUM($P1076:AX1076)</f>
        <v>#VALUE!</v>
      </c>
      <c r="AZ1076" s="446" t="e">
        <f>IF(OR($B1076="",MIN(AZ$38,$D$19)&lt;MAX($P$708*($B1076+IF($R$17="Distrato",$I$38-1,0)),IF(AND($L$711=0,$P$708=0),"",$L$711-1),IF($R$17="Distrato",$E1076,0))),0,YEARFRAC(MAX($P$708*($B1076+IF($R$17="Distrato",$I$38-1,0)),IF(AND($L$711=0,$P$708=0),"",$L$711-1),IF($R$17="Distrato",$E1076,0)),MIN(AZ$38,$D$19),$P$20))-SUM($P1076:AY1076)</f>
        <v>#VALUE!</v>
      </c>
      <c r="BA1076" s="446" t="e">
        <f>IF(OR($B1076="",MIN(BA$38,$D$19)&lt;MAX($P$708*($B1076+IF($R$17="Distrato",$I$38-1,0)),IF(AND($L$711=0,$P$708=0),"",$L$711-1),IF($R$17="Distrato",$E1076,0))),0,YEARFRAC(MAX($P$708*($B1076+IF($R$17="Distrato",$I$38-1,0)),IF(AND($L$711=0,$P$708=0),"",$L$711-1),IF($R$17="Distrato",$E1076,0)),MIN(BA$38,$D$19),$P$20))-SUM($P1076:AZ1076)</f>
        <v>#VALUE!</v>
      </c>
      <c r="BB1076" s="447"/>
    </row>
    <row r="1077" spans="1:54" s="446" customFormat="1" ht="11.25" hidden="1" customHeight="1" x14ac:dyDescent="0.2">
      <c r="A1077" s="235"/>
      <c r="B1077" s="236"/>
      <c r="C1077" s="29" t="str">
        <f>IF(B1077="","",IF($L$709=$BL$25,VLOOKUP(DATE(YEAR($D$19),MONTH($D$19)-1,1),ÍNDICES!$A:$DE,HLOOKUP($BL$25,ÍNDICES!$B$3:$T$4,2)+11)-VLOOKUP(B1077,ÍNDICES!$A:$DE,HLOOKUP($BL$25,ÍNDICES!$B$3:$T$4,2)+11)+1%,IF(C$712=$W$26,$J$35,IF(ISERROR(IF(B1077&gt;$D$19,1,VLOOKUP(DATE(YEAR(B1077),MONTH(B1077)+IF($C$709=$S$23,1,0),1),ÍNDICES!$A:$DE,$Z$709+1))),"",IF(B1077&gt;$D$19,1,VLOOKUP(DATE(YEAR(B1077),MONTH(B1077)+IF($C$709=$S$23,1,0),1),ÍNDICES!$A:$DE,$Z$709+1))))))</f>
        <v/>
      </c>
      <c r="D1077" s="155"/>
      <c r="E1077" s="88"/>
      <c r="F1077" s="88"/>
      <c r="G1077" s="88"/>
      <c r="H1077" s="118"/>
      <c r="I1077" s="182">
        <f t="shared" si="150"/>
        <v>0</v>
      </c>
      <c r="J1077" s="20">
        <f t="shared" ca="1" si="151"/>
        <v>0</v>
      </c>
      <c r="K1077" s="5">
        <f t="shared" ca="1" si="152"/>
        <v>0</v>
      </c>
      <c r="L1077" s="61">
        <f t="shared" ca="1" si="153"/>
        <v>0</v>
      </c>
      <c r="M1077" s="64">
        <f t="shared" si="154"/>
        <v>0</v>
      </c>
      <c r="N1077" s="151"/>
      <c r="O1077" s="5">
        <f t="shared" ca="1" si="155"/>
        <v>0</v>
      </c>
      <c r="P1077" s="446" t="e">
        <f t="shared" si="156"/>
        <v>#VALUE!</v>
      </c>
      <c r="Q1077" s="446" t="e">
        <f>IF(OR($B1077="",MIN(Q$38,$D$19)&lt;MAX($P$708*($B1077+IF($R$17="Distrato",$I$38-1,0)),IF(AND($L$711=0,$P$708=0),"",$L$711-1),IF($R$17="Distrato",$E1077,0))),0,YEARFRAC(MAX($P$708*($B1077+IF($R$17="Distrato",$I$38-1,0)),IF(AND($L$711=0,$P$708=0),"",$L$711-1),IF($R$17="Distrato",$E1077,0)),MIN(Q$38,$D$19),$P$20))-SUM($P1077:P1077)</f>
        <v>#VALUE!</v>
      </c>
      <c r="R1077" s="446" t="e">
        <f>IF(OR($B1077="",MIN(R$38,$D$19)&lt;MAX($P$708*($B1077+IF($R$17="Distrato",$I$38-1,0)),IF(AND($L$711=0,$P$708=0),"",$L$711-1),IF($R$17="Distrato",$E1077,0))),0,YEARFRAC(MAX($P$708*($B1077+IF($R$17="Distrato",$I$38-1,0)),IF(AND($L$711=0,$P$708=0),"",$L$711-1),IF($R$17="Distrato",$E1077,0)),MIN(R$38,$D$19),$P$20))-SUM($P1077:Q1077)</f>
        <v>#VALUE!</v>
      </c>
      <c r="S1077" s="446" t="e">
        <f>IF(OR($B1077="",MIN(S$38,$D$19)&lt;MAX($P$708*($B1077+IF($R$17="Distrato",$I$38-1,0)),IF(AND($L$711=0,$P$708=0),"",$L$711-1),IF($R$17="Distrato",$E1077,0))),0,YEARFRAC(MAX($P$708*($B1077+IF($R$17="Distrato",$I$38-1,0)),IF(AND($L$711=0,$P$708=0),"",$L$711-1),IF($R$17="Distrato",$E1077,0)),MIN(S$38,$D$19),$P$20))-SUM($P1077:R1077)</f>
        <v>#VALUE!</v>
      </c>
      <c r="T1077" s="446" t="e">
        <f>IF(OR($B1077="",MIN(T$38,$D$19)&lt;MAX($P$708*($B1077+IF($R$17="Distrato",$I$38-1,0)),IF(AND($L$711=0,$P$708=0),"",$L$711-1),IF($R$17="Distrato",$E1077,0))),0,YEARFRAC(MAX($P$708*($B1077+IF($R$17="Distrato",$I$38-1,0)),IF(AND($L$711=0,$P$708=0),"",$L$711-1),IF($R$17="Distrato",$E1077,0)),MIN(T$38,$D$19),$P$20))-SUM($P1077:S1077)</f>
        <v>#VALUE!</v>
      </c>
      <c r="U1077" s="446" t="e">
        <f>IF(OR($B1077="",MIN(U$38,$D$19)&lt;MAX($P$708*($B1077+IF($R$17="Distrato",$I$38-1,0)),IF(AND($L$711=0,$P$708=0),"",$L$711-1),IF($R$17="Distrato",$E1077,0))),0,YEARFRAC(MAX($P$708*($B1077+IF($R$17="Distrato",$I$38-1,0)),IF(AND($L$711=0,$P$708=0),"",$L$711-1),IF($R$17="Distrato",$E1077,0)),MIN(U$38,$D$19),$P$20))-SUM($P1077:T1077)</f>
        <v>#VALUE!</v>
      </c>
      <c r="V1077" s="446" t="e">
        <f>IF(OR($B1077="",MIN(V$38,$D$19)&lt;MAX($P$708*($B1077+IF($R$17="Distrato",$I$38-1,0)),IF(AND($L$711=0,$P$708=0),"",$L$711-1),IF($R$17="Distrato",$E1077,0))),0,YEARFRAC(MAX($P$708*($B1077+IF($R$17="Distrato",$I$38-1,0)),IF(AND($L$711=0,$P$708=0),"",$L$711-1),IF($R$17="Distrato",$E1077,0)),MIN(V$38,$D$19),$P$20))-SUM($P1077:U1077)</f>
        <v>#VALUE!</v>
      </c>
      <c r="W1077" s="446" t="e">
        <f>IF(OR($B1077="",MIN(W$38,$D$19)&lt;MAX($P$708*($B1077+IF($R$17="Distrato",$I$38-1,0)),IF(AND($L$711=0,$P$708=0),"",$L$711-1),IF($R$17="Distrato",$E1077,0))),0,YEARFRAC(MAX($P$708*($B1077+IF($R$17="Distrato",$I$38-1,0)),IF(AND($L$711=0,$P$708=0),"",$L$711-1),IF($R$17="Distrato",$E1077,0)),MIN(W$38,$D$19),$P$20))-SUM($P1077:V1077)</f>
        <v>#VALUE!</v>
      </c>
      <c r="X1077" s="446" t="e">
        <f>IF(OR($B1077="",MIN(X$38,$D$19)&lt;MAX($P$708*($B1077+IF($R$17="Distrato",$I$38-1,0)),IF(AND($L$711=0,$P$708=0),"",$L$711-1),IF($R$17="Distrato",$E1077,0))),0,YEARFRAC(MAX($P$708*($B1077+IF($R$17="Distrato",$I$38-1,0)),IF(AND($L$711=0,$P$708=0),"",$L$711-1),IF($R$17="Distrato",$E1077,0)),MIN(X$38,$D$19),$P$20))-SUM($P1077:W1077)</f>
        <v>#VALUE!</v>
      </c>
      <c r="Y1077" s="446" t="e">
        <f>IF(OR($B1077="",MIN(Y$38,$D$19)&lt;MAX($P$708*($B1077+IF($R$17="Distrato",$I$38-1,0)),IF(AND($L$711=0,$P$708=0),"",$L$711-1),IF($R$17="Distrato",$E1077,0))),0,YEARFRAC(MAX($P$708*($B1077+IF($R$17="Distrato",$I$38-1,0)),IF(AND($L$711=0,$P$708=0),"",$L$711-1),IF($R$17="Distrato",$E1077,0)),MIN(Y$38,$D$19),$P$20))-SUM($P1077:X1077)</f>
        <v>#VALUE!</v>
      </c>
      <c r="Z1077" s="446" t="e">
        <f>IF(OR($B1077="",MIN(Z$38,$D$19)&lt;MAX($P$708*($B1077+IF($R$17="Distrato",$I$38-1,0)),IF(AND($L$711=0,$P$708=0),"",$L$711-1),IF($R$17="Distrato",$E1077,0))),0,YEARFRAC(MAX($P$708*($B1077+IF($R$17="Distrato",$I$38-1,0)),IF(AND($L$711=0,$P$708=0),"",$L$711-1),IF($R$17="Distrato",$E1077,0)),MIN(Z$38,$D$19),$P$20))-SUM($P1077:Y1077)</f>
        <v>#VALUE!</v>
      </c>
      <c r="AA1077" s="446" t="e">
        <f>IF(OR($B1077="",MIN(AA$38,$D$19)&lt;MAX($P$708*($B1077+IF($R$17="Distrato",$I$38-1,0)),IF(AND($L$711=0,$P$708=0),"",$L$711-1),IF($R$17="Distrato",$E1077,0))),0,YEARFRAC(MAX($P$708*($B1077+IF($R$17="Distrato",$I$38-1,0)),IF(AND($L$711=0,$P$708=0),"",$L$711-1),IF($R$17="Distrato",$E1077,0)),MIN(AA$38,$D$19),$P$20))-SUM($P1077:Z1077)</f>
        <v>#VALUE!</v>
      </c>
      <c r="AB1077" s="446" t="e">
        <f>IF(OR($B1077="",MIN(AB$38,$D$19)&lt;MAX($P$708*($B1077+IF($R$17="Distrato",$I$38-1,0)),IF(AND($L$711=0,$P$708=0),"",$L$711-1),IF($R$17="Distrato",$E1077,0))),0,YEARFRAC(MAX($P$708*($B1077+IF($R$17="Distrato",$I$38-1,0)),IF(AND($L$711=0,$P$708=0),"",$L$711-1),IF($R$17="Distrato",$E1077,0)),MIN(AB$38,$D$19),$P$20))-SUM($P1077:AA1077)</f>
        <v>#VALUE!</v>
      </c>
      <c r="AC1077" s="446" t="e">
        <f>IF(OR($B1077="",MIN(AC$38,$D$19)&lt;MAX($P$708*($B1077+IF($R$17="Distrato",$I$38-1,0)),IF(AND($L$711=0,$P$708=0),"",$L$711-1),IF($R$17="Distrato",$E1077,0))),0,YEARFRAC(MAX($P$708*($B1077+IF($R$17="Distrato",$I$38-1,0)),IF(AND($L$711=0,$P$708=0),"",$L$711-1),IF($R$17="Distrato",$E1077,0)),MIN(AC$38,$D$19),$P$20))-SUM($P1077:AB1077)</f>
        <v>#VALUE!</v>
      </c>
      <c r="AD1077" s="446" t="e">
        <f>IF(OR($B1077="",MIN(AD$38,$D$19)&lt;MAX($P$708*($B1077+IF($R$17="Distrato",$I$38-1,0)),IF(AND($L$711=0,$P$708=0),"",$L$711-1),IF($R$17="Distrato",$E1077,0))),0,YEARFRAC(MAX($P$708*($B1077+IF($R$17="Distrato",$I$38-1,0)),IF(AND($L$711=0,$P$708=0),"",$L$711-1),IF($R$17="Distrato",$E1077,0)),MIN(AD$38,$D$19),$P$20))-SUM($P1077:AC1077)</f>
        <v>#VALUE!</v>
      </c>
      <c r="AE1077" s="446" t="e">
        <f>IF(OR($B1077="",MIN(AE$38,$D$19)&lt;MAX($P$708*($B1077+IF($R$17="Distrato",$I$38-1,0)),IF(AND($L$711=0,$P$708=0),"",$L$711-1),IF($R$17="Distrato",$E1077,0))),0,YEARFRAC(MAX($P$708*($B1077+IF($R$17="Distrato",$I$38-1,0)),IF(AND($L$711=0,$P$708=0),"",$L$711-1),IF($R$17="Distrato",$E1077,0)),MIN(AE$38,$D$19),$P$20))-SUM($P1077:AD1077)</f>
        <v>#VALUE!</v>
      </c>
      <c r="AF1077" s="446" t="e">
        <f>IF(OR($B1077="",MIN(AF$38,$D$19)&lt;MAX($P$708*($B1077+IF($R$17="Distrato",$I$38-1,0)),IF(AND($L$711=0,$P$708=0),"",$L$711-1),IF($R$17="Distrato",$E1077,0))),0,YEARFRAC(MAX($P$708*($B1077+IF($R$17="Distrato",$I$38-1,0)),IF(AND($L$711=0,$P$708=0),"",$L$711-1),IF($R$17="Distrato",$E1077,0)),MIN(AF$38,$D$19),$P$20))-SUM($P1077:AE1077)</f>
        <v>#VALUE!</v>
      </c>
      <c r="AG1077" s="446" t="e">
        <f>IF(OR($B1077="",MIN(AG$38,$D$19)&lt;MAX($P$708*($B1077+IF($R$17="Distrato",$I$38-1,0)),IF(AND($L$711=0,$P$708=0),"",$L$711-1),IF($R$17="Distrato",$E1077,0))),0,YEARFRAC(MAX($P$708*($B1077+IF($R$17="Distrato",$I$38-1,0)),IF(AND($L$711=0,$P$708=0),"",$L$711-1),IF($R$17="Distrato",$E1077,0)),MIN(AG$38,$D$19),$P$20))-SUM($P1077:AF1077)</f>
        <v>#VALUE!</v>
      </c>
      <c r="AH1077" s="446" t="e">
        <f>IF(OR($B1077="",MIN(AH$38,$D$19)&lt;MAX($P$708*($B1077+IF($R$17="Distrato",$I$38-1,0)),IF(AND($L$711=0,$P$708=0),"",$L$711-1),IF($R$17="Distrato",$E1077,0))),0,YEARFRAC(MAX($P$708*($B1077+IF($R$17="Distrato",$I$38-1,0)),IF(AND($L$711=0,$P$708=0),"",$L$711-1),IF($R$17="Distrato",$E1077,0)),MIN(AH$38,$D$19),$P$20))-SUM($P1077:AG1077)</f>
        <v>#VALUE!</v>
      </c>
      <c r="AI1077" s="446" t="e">
        <f>IF(OR($B1077="",MIN(AI$38,$D$19)&lt;MAX($P$708*($B1077+IF($R$17="Distrato",$I$38-1,0)),IF(AND($L$711=0,$P$708=0),"",$L$711-1),IF($R$17="Distrato",$E1077,0))),0,YEARFRAC(MAX($P$708*($B1077+IF($R$17="Distrato",$I$38-1,0)),IF(AND($L$711=0,$P$708=0),"",$L$711-1),IF($R$17="Distrato",$E1077,0)),MIN(AI$38,$D$19),$P$20))-SUM($P1077:AH1077)</f>
        <v>#VALUE!</v>
      </c>
      <c r="AJ1077" s="446" t="e">
        <f>IF(OR($B1077="",MIN(AJ$38,$D$19)&lt;MAX($P$708*($B1077+IF($R$17="Distrato",$I$38-1,0)),IF(AND($L$711=0,$P$708=0),"",$L$711-1),IF($R$17="Distrato",$E1077,0))),0,YEARFRAC(MAX($P$708*($B1077+IF($R$17="Distrato",$I$38-1,0)),IF(AND($L$711=0,$P$708=0),"",$L$711-1),IF($R$17="Distrato",$E1077,0)),MIN(AJ$38,$D$19),$P$20))-SUM($P1077:AI1077)</f>
        <v>#VALUE!</v>
      </c>
      <c r="AK1077" s="446" t="e">
        <f>IF(OR($B1077="",MIN(AK$38,$D$19)&lt;MAX($P$708*($B1077+IF($R$17="Distrato",$I$38-1,0)),IF(AND($L$711=0,$P$708=0),"",$L$711-1),IF($R$17="Distrato",$E1077,0))),0,YEARFRAC(MAX($P$708*($B1077+IF($R$17="Distrato",$I$38-1,0)),IF(AND($L$711=0,$P$708=0),"",$L$711-1),IF($R$17="Distrato",$E1077,0)),MIN(AK$38,$D$19),$P$20))-SUM($P1077:AJ1077)</f>
        <v>#VALUE!</v>
      </c>
      <c r="AL1077" s="446" t="e">
        <f>IF(OR($B1077="",MIN(AL$38,$D$19)&lt;MAX($P$708*($B1077+IF($R$17="Distrato",$I$38-1,0)),IF(AND($L$711=0,$P$708=0),"",$L$711-1),IF($R$17="Distrato",$E1077,0))),0,YEARFRAC(MAX($P$708*($B1077+IF($R$17="Distrato",$I$38-1,0)),IF(AND($L$711=0,$P$708=0),"",$L$711-1),IF($R$17="Distrato",$E1077,0)),MIN(AL$38,$D$19),$P$20))-SUM($P1077:AK1077)</f>
        <v>#VALUE!</v>
      </c>
      <c r="AM1077" s="446" t="e">
        <f>IF(OR($B1077="",MIN(AM$38,$D$19)&lt;MAX($P$708*($B1077+IF($R$17="Distrato",$I$38-1,0)),IF(AND($L$711=0,$P$708=0),"",$L$711-1),IF($R$17="Distrato",$E1077,0))),0,YEARFRAC(MAX($P$708*($B1077+IF($R$17="Distrato",$I$38-1,0)),IF(AND($L$711=0,$P$708=0),"",$L$711-1),IF($R$17="Distrato",$E1077,0)),MIN(AM$38,$D$19),$P$20))-SUM($P1077:AL1077)</f>
        <v>#VALUE!</v>
      </c>
      <c r="AN1077" s="446" t="e">
        <f>IF(OR($B1077="",MIN(AN$38,$D$19)&lt;MAX($P$708*($B1077+IF($R$17="Distrato",$I$38-1,0)),IF(AND($L$711=0,$P$708=0),"",$L$711-1),IF($R$17="Distrato",$E1077,0))),0,YEARFRAC(MAX($P$708*($B1077+IF($R$17="Distrato",$I$38-1,0)),IF(AND($L$711=0,$P$708=0),"",$L$711-1),IF($R$17="Distrato",$E1077,0)),MIN(AN$38,$D$19),$P$20))-SUM($P1077:AM1077)</f>
        <v>#VALUE!</v>
      </c>
      <c r="AO1077" s="446" t="e">
        <f>IF(OR($B1077="",MIN(AO$38,$D$19)&lt;MAX($P$708*($B1077+IF($R$17="Distrato",$I$38-1,0)),IF(AND($L$711=0,$P$708=0),"",$L$711-1),IF($R$17="Distrato",$E1077,0))),0,YEARFRAC(MAX($P$708*($B1077+IF($R$17="Distrato",$I$38-1,0)),IF(AND($L$711=0,$P$708=0),"",$L$711-1),IF($R$17="Distrato",$E1077,0)),MIN(AO$38,$D$19),$P$20))-SUM($P1077:AN1077)</f>
        <v>#VALUE!</v>
      </c>
      <c r="AP1077" s="446" t="e">
        <f>IF(OR($B1077="",MIN(AP$38,$D$19)&lt;MAX($P$708*($B1077+IF($R$17="Distrato",$I$38-1,0)),IF(AND($L$711=0,$P$708=0),"",$L$711-1),IF($R$17="Distrato",$E1077,0))),0,YEARFRAC(MAX($P$708*($B1077+IF($R$17="Distrato",$I$38-1,0)),IF(AND($L$711=0,$P$708=0),"",$L$711-1),IF($R$17="Distrato",$E1077,0)),MIN(AP$38,$D$19),$P$20))-SUM($P1077:AO1077)</f>
        <v>#VALUE!</v>
      </c>
      <c r="AQ1077" s="446" t="e">
        <f>IF(OR($B1077="",MIN(AQ$38,$D$19)&lt;MAX($P$708*($B1077+IF($R$17="Distrato",$I$38-1,0)),IF(AND($L$711=0,$P$708=0),"",$L$711-1),IF($R$17="Distrato",$E1077,0))),0,YEARFRAC(MAX($P$708*($B1077+IF($R$17="Distrato",$I$38-1,0)),IF(AND($L$711=0,$P$708=0),"",$L$711-1),IF($R$17="Distrato",$E1077,0)),MIN(AQ$38,$D$19),$P$20))-SUM($P1077:AP1077)</f>
        <v>#VALUE!</v>
      </c>
      <c r="AR1077" s="446" t="e">
        <f>IF(OR($B1077="",MIN(AR$38,$D$19)&lt;MAX($P$708*($B1077+IF($R$17="Distrato",$I$38-1,0)),IF(AND($L$711=0,$P$708=0),"",$L$711-1),IF($R$17="Distrato",$E1077,0))),0,YEARFRAC(MAX($P$708*($B1077+IF($R$17="Distrato",$I$38-1,0)),IF(AND($L$711=0,$P$708=0),"",$L$711-1),IF($R$17="Distrato",$E1077,0)),MIN(AR$38,$D$19),$P$20))-SUM($P1077:AQ1077)</f>
        <v>#VALUE!</v>
      </c>
      <c r="AS1077" s="446" t="e">
        <f>IF(OR($B1077="",MIN(AS$38,$D$19)&lt;MAX($P$708*($B1077+IF($R$17="Distrato",$I$38-1,0)),IF(AND($L$711=0,$P$708=0),"",$L$711-1),IF($R$17="Distrato",$E1077,0))),0,YEARFRAC(MAX($P$708*($B1077+IF($R$17="Distrato",$I$38-1,0)),IF(AND($L$711=0,$P$708=0),"",$L$711-1),IF($R$17="Distrato",$E1077,0)),MIN(AS$38,$D$19),$P$20))-SUM($P1077:AR1077)</f>
        <v>#VALUE!</v>
      </c>
      <c r="AT1077" s="446" t="e">
        <f>IF(OR($B1077="",MIN(AT$38,$D$19)&lt;MAX($P$708*($B1077+IF($R$17="Distrato",$I$38-1,0)),IF(AND($L$711=0,$P$708=0),"",$L$711-1),IF($R$17="Distrato",$E1077,0))),0,YEARFRAC(MAX($P$708*($B1077+IF($R$17="Distrato",$I$38-1,0)),IF(AND($L$711=0,$P$708=0),"",$L$711-1),IF($R$17="Distrato",$E1077,0)),MIN(AT$38,$D$19),$P$20))-SUM($P1077:AS1077)</f>
        <v>#VALUE!</v>
      </c>
      <c r="AU1077" s="446" t="e">
        <f>IF(OR($B1077="",MIN(AU$38,$D$19)&lt;MAX($P$708*($B1077+IF($R$17="Distrato",$I$38-1,0)),IF(AND($L$711=0,$P$708=0),"",$L$711-1),IF($R$17="Distrato",$E1077,0))),0,YEARFRAC(MAX($P$708*($B1077+IF($R$17="Distrato",$I$38-1,0)),IF(AND($L$711=0,$P$708=0),"",$L$711-1),IF($R$17="Distrato",$E1077,0)),MIN(AU$38,$D$19),$P$20))-SUM($P1077:AT1077)</f>
        <v>#VALUE!</v>
      </c>
      <c r="AV1077" s="446" t="e">
        <f>IF(OR($B1077="",MIN(AV$38,$D$19)&lt;MAX($P$708*($B1077+IF($R$17="Distrato",$I$38-1,0)),IF(AND($L$711=0,$P$708=0),"",$L$711-1),IF($R$17="Distrato",$E1077,0))),0,YEARFRAC(MAX($P$708*($B1077+IF($R$17="Distrato",$I$38-1,0)),IF(AND($L$711=0,$P$708=0),"",$L$711-1),IF($R$17="Distrato",$E1077,0)),MIN(AV$38,$D$19),$P$20))-SUM($P1077:AU1077)</f>
        <v>#VALUE!</v>
      </c>
      <c r="AW1077" s="446" t="e">
        <f>IF(OR($B1077="",MIN(AW$38,$D$19)&lt;MAX($P$708*($B1077+IF($R$17="Distrato",$I$38-1,0)),IF(AND($L$711=0,$P$708=0),"",$L$711-1),IF($R$17="Distrato",$E1077,0))),0,YEARFRAC(MAX($P$708*($B1077+IF($R$17="Distrato",$I$38-1,0)),IF(AND($L$711=0,$P$708=0),"",$L$711-1),IF($R$17="Distrato",$E1077,0)),MIN(AW$38,$D$19),$P$20))-SUM($P1077:AV1077)</f>
        <v>#VALUE!</v>
      </c>
      <c r="AX1077" s="446" t="e">
        <f>IF(OR($B1077="",MIN(AX$38,$D$19)&lt;MAX($P$708*($B1077+IF($R$17="Distrato",$I$38-1,0)),IF(AND($L$711=0,$P$708=0),"",$L$711-1),IF($R$17="Distrato",$E1077,0))),0,YEARFRAC(MAX($P$708*($B1077+IF($R$17="Distrato",$I$38-1,0)),IF(AND($L$711=0,$P$708=0),"",$L$711-1),IF($R$17="Distrato",$E1077,0)),MIN(AX$38,$D$19),$P$20))-SUM($P1077:AW1077)</f>
        <v>#VALUE!</v>
      </c>
      <c r="AY1077" s="446" t="e">
        <f>IF(OR($B1077="",MIN(AY$38,$D$19)&lt;MAX($P$708*($B1077+IF($R$17="Distrato",$I$38-1,0)),IF(AND($L$711=0,$P$708=0),"",$L$711-1),IF($R$17="Distrato",$E1077,0))),0,YEARFRAC(MAX($P$708*($B1077+IF($R$17="Distrato",$I$38-1,0)),IF(AND($L$711=0,$P$708=0),"",$L$711-1),IF($R$17="Distrato",$E1077,0)),MIN(AY$38,$D$19),$P$20))-SUM($P1077:AX1077)</f>
        <v>#VALUE!</v>
      </c>
      <c r="AZ1077" s="446" t="e">
        <f>IF(OR($B1077="",MIN(AZ$38,$D$19)&lt;MAX($P$708*($B1077+IF($R$17="Distrato",$I$38-1,0)),IF(AND($L$711=0,$P$708=0),"",$L$711-1),IF($R$17="Distrato",$E1077,0))),0,YEARFRAC(MAX($P$708*($B1077+IF($R$17="Distrato",$I$38-1,0)),IF(AND($L$711=0,$P$708=0),"",$L$711-1),IF($R$17="Distrato",$E1077,0)),MIN(AZ$38,$D$19),$P$20))-SUM($P1077:AY1077)</f>
        <v>#VALUE!</v>
      </c>
      <c r="BA1077" s="446" t="e">
        <f>IF(OR($B1077="",MIN(BA$38,$D$19)&lt;MAX($P$708*($B1077+IF($R$17="Distrato",$I$38-1,0)),IF(AND($L$711=0,$P$708=0),"",$L$711-1),IF($R$17="Distrato",$E1077,0))),0,YEARFRAC(MAX($P$708*($B1077+IF($R$17="Distrato",$I$38-1,0)),IF(AND($L$711=0,$P$708=0),"",$L$711-1),IF($R$17="Distrato",$E1077,0)),MIN(BA$38,$D$19),$P$20))-SUM($P1077:AZ1077)</f>
        <v>#VALUE!</v>
      </c>
      <c r="BB1077" s="447"/>
    </row>
    <row r="1078" spans="1:54" s="446" customFormat="1" ht="11.25" hidden="1" customHeight="1" x14ac:dyDescent="0.2">
      <c r="A1078" s="235"/>
      <c r="B1078" s="236"/>
      <c r="C1078" s="29" t="str">
        <f>IF(B1078="","",IF($L$709=$BL$25,VLOOKUP(DATE(YEAR($D$19),MONTH($D$19)-1,1),ÍNDICES!$A:$DE,HLOOKUP($BL$25,ÍNDICES!$B$3:$T$4,2)+11)-VLOOKUP(B1078,ÍNDICES!$A:$DE,HLOOKUP($BL$25,ÍNDICES!$B$3:$T$4,2)+11)+1%,IF(C$712=$W$26,$J$35,IF(ISERROR(IF(B1078&gt;$D$19,1,VLOOKUP(DATE(YEAR(B1078),MONTH(B1078)+IF($C$709=$S$23,1,0),1),ÍNDICES!$A:$DE,$Z$709+1))),"",IF(B1078&gt;$D$19,1,VLOOKUP(DATE(YEAR(B1078),MONTH(B1078)+IF($C$709=$S$23,1,0),1),ÍNDICES!$A:$DE,$Z$709+1))))))</f>
        <v/>
      </c>
      <c r="D1078" s="155"/>
      <c r="E1078" s="88"/>
      <c r="F1078" s="88"/>
      <c r="G1078" s="88"/>
      <c r="H1078" s="118"/>
      <c r="I1078" s="182">
        <f t="shared" si="150"/>
        <v>0</v>
      </c>
      <c r="J1078" s="20">
        <f t="shared" ca="1" si="151"/>
        <v>0</v>
      </c>
      <c r="K1078" s="5">
        <f t="shared" ca="1" si="152"/>
        <v>0</v>
      </c>
      <c r="L1078" s="61">
        <f t="shared" ca="1" si="153"/>
        <v>0</v>
      </c>
      <c r="M1078" s="64">
        <f t="shared" si="154"/>
        <v>0</v>
      </c>
      <c r="N1078" s="151"/>
      <c r="O1078" s="5">
        <f t="shared" ca="1" si="155"/>
        <v>0</v>
      </c>
      <c r="P1078" s="446" t="e">
        <f t="shared" si="156"/>
        <v>#VALUE!</v>
      </c>
      <c r="Q1078" s="446" t="e">
        <f>IF(OR($B1078="",MIN(Q$38,$D$19)&lt;MAX($P$708*($B1078+IF($R$17="Distrato",$I$38-1,0)),IF(AND($L$711=0,$P$708=0),"",$L$711-1),IF($R$17="Distrato",$E1078,0))),0,YEARFRAC(MAX($P$708*($B1078+IF($R$17="Distrato",$I$38-1,0)),IF(AND($L$711=0,$P$708=0),"",$L$711-1),IF($R$17="Distrato",$E1078,0)),MIN(Q$38,$D$19),$P$20))-SUM($P1078:P1078)</f>
        <v>#VALUE!</v>
      </c>
      <c r="R1078" s="446" t="e">
        <f>IF(OR($B1078="",MIN(R$38,$D$19)&lt;MAX($P$708*($B1078+IF($R$17="Distrato",$I$38-1,0)),IF(AND($L$711=0,$P$708=0),"",$L$711-1),IF($R$17="Distrato",$E1078,0))),0,YEARFRAC(MAX($P$708*($B1078+IF($R$17="Distrato",$I$38-1,0)),IF(AND($L$711=0,$P$708=0),"",$L$711-1),IF($R$17="Distrato",$E1078,0)),MIN(R$38,$D$19),$P$20))-SUM($P1078:Q1078)</f>
        <v>#VALUE!</v>
      </c>
      <c r="S1078" s="446" t="e">
        <f>IF(OR($B1078="",MIN(S$38,$D$19)&lt;MAX($P$708*($B1078+IF($R$17="Distrato",$I$38-1,0)),IF(AND($L$711=0,$P$708=0),"",$L$711-1),IF($R$17="Distrato",$E1078,0))),0,YEARFRAC(MAX($P$708*($B1078+IF($R$17="Distrato",$I$38-1,0)),IF(AND($L$711=0,$P$708=0),"",$L$711-1),IF($R$17="Distrato",$E1078,0)),MIN(S$38,$D$19),$P$20))-SUM($P1078:R1078)</f>
        <v>#VALUE!</v>
      </c>
      <c r="T1078" s="446" t="e">
        <f>IF(OR($B1078="",MIN(T$38,$D$19)&lt;MAX($P$708*($B1078+IF($R$17="Distrato",$I$38-1,0)),IF(AND($L$711=0,$P$708=0),"",$L$711-1),IF($R$17="Distrato",$E1078,0))),0,YEARFRAC(MAX($P$708*($B1078+IF($R$17="Distrato",$I$38-1,0)),IF(AND($L$711=0,$P$708=0),"",$L$711-1),IF($R$17="Distrato",$E1078,0)),MIN(T$38,$D$19),$P$20))-SUM($P1078:S1078)</f>
        <v>#VALUE!</v>
      </c>
      <c r="U1078" s="446" t="e">
        <f>IF(OR($B1078="",MIN(U$38,$D$19)&lt;MAX($P$708*($B1078+IF($R$17="Distrato",$I$38-1,0)),IF(AND($L$711=0,$P$708=0),"",$L$711-1),IF($R$17="Distrato",$E1078,0))),0,YEARFRAC(MAX($P$708*($B1078+IF($R$17="Distrato",$I$38-1,0)),IF(AND($L$711=0,$P$708=0),"",$L$711-1),IF($R$17="Distrato",$E1078,0)),MIN(U$38,$D$19),$P$20))-SUM($P1078:T1078)</f>
        <v>#VALUE!</v>
      </c>
      <c r="V1078" s="446" t="e">
        <f>IF(OR($B1078="",MIN(V$38,$D$19)&lt;MAX($P$708*($B1078+IF($R$17="Distrato",$I$38-1,0)),IF(AND($L$711=0,$P$708=0),"",$L$711-1),IF($R$17="Distrato",$E1078,0))),0,YEARFRAC(MAX($P$708*($B1078+IF($R$17="Distrato",$I$38-1,0)),IF(AND($L$711=0,$P$708=0),"",$L$711-1),IF($R$17="Distrato",$E1078,0)),MIN(V$38,$D$19),$P$20))-SUM($P1078:U1078)</f>
        <v>#VALUE!</v>
      </c>
      <c r="W1078" s="446" t="e">
        <f>IF(OR($B1078="",MIN(W$38,$D$19)&lt;MAX($P$708*($B1078+IF($R$17="Distrato",$I$38-1,0)),IF(AND($L$711=0,$P$708=0),"",$L$711-1),IF($R$17="Distrato",$E1078,0))),0,YEARFRAC(MAX($P$708*($B1078+IF($R$17="Distrato",$I$38-1,0)),IF(AND($L$711=0,$P$708=0),"",$L$711-1),IF($R$17="Distrato",$E1078,0)),MIN(W$38,$D$19),$P$20))-SUM($P1078:V1078)</f>
        <v>#VALUE!</v>
      </c>
      <c r="X1078" s="446" t="e">
        <f>IF(OR($B1078="",MIN(X$38,$D$19)&lt;MAX($P$708*($B1078+IF($R$17="Distrato",$I$38-1,0)),IF(AND($L$711=0,$P$708=0),"",$L$711-1),IF($R$17="Distrato",$E1078,0))),0,YEARFRAC(MAX($P$708*($B1078+IF($R$17="Distrato",$I$38-1,0)),IF(AND($L$711=0,$P$708=0),"",$L$711-1),IF($R$17="Distrato",$E1078,0)),MIN(X$38,$D$19),$P$20))-SUM($P1078:W1078)</f>
        <v>#VALUE!</v>
      </c>
      <c r="Y1078" s="446" t="e">
        <f>IF(OR($B1078="",MIN(Y$38,$D$19)&lt;MAX($P$708*($B1078+IF($R$17="Distrato",$I$38-1,0)),IF(AND($L$711=0,$P$708=0),"",$L$711-1),IF($R$17="Distrato",$E1078,0))),0,YEARFRAC(MAX($P$708*($B1078+IF($R$17="Distrato",$I$38-1,0)),IF(AND($L$711=0,$P$708=0),"",$L$711-1),IF($R$17="Distrato",$E1078,0)),MIN(Y$38,$D$19),$P$20))-SUM($P1078:X1078)</f>
        <v>#VALUE!</v>
      </c>
      <c r="Z1078" s="446" t="e">
        <f>IF(OR($B1078="",MIN(Z$38,$D$19)&lt;MAX($P$708*($B1078+IF($R$17="Distrato",$I$38-1,0)),IF(AND($L$711=0,$P$708=0),"",$L$711-1),IF($R$17="Distrato",$E1078,0))),0,YEARFRAC(MAX($P$708*($B1078+IF($R$17="Distrato",$I$38-1,0)),IF(AND($L$711=0,$P$708=0),"",$L$711-1),IF($R$17="Distrato",$E1078,0)),MIN(Z$38,$D$19),$P$20))-SUM($P1078:Y1078)</f>
        <v>#VALUE!</v>
      </c>
      <c r="AA1078" s="446" t="e">
        <f>IF(OR($B1078="",MIN(AA$38,$D$19)&lt;MAX($P$708*($B1078+IF($R$17="Distrato",$I$38-1,0)),IF(AND($L$711=0,$P$708=0),"",$L$711-1),IF($R$17="Distrato",$E1078,0))),0,YEARFRAC(MAX($P$708*($B1078+IF($R$17="Distrato",$I$38-1,0)),IF(AND($L$711=0,$P$708=0),"",$L$711-1),IF($R$17="Distrato",$E1078,0)),MIN(AA$38,$D$19),$P$20))-SUM($P1078:Z1078)</f>
        <v>#VALUE!</v>
      </c>
      <c r="AB1078" s="446" t="e">
        <f>IF(OR($B1078="",MIN(AB$38,$D$19)&lt;MAX($P$708*($B1078+IF($R$17="Distrato",$I$38-1,0)),IF(AND($L$711=0,$P$708=0),"",$L$711-1),IF($R$17="Distrato",$E1078,0))),0,YEARFRAC(MAX($P$708*($B1078+IF($R$17="Distrato",$I$38-1,0)),IF(AND($L$711=0,$P$708=0),"",$L$711-1),IF($R$17="Distrato",$E1078,0)),MIN(AB$38,$D$19),$P$20))-SUM($P1078:AA1078)</f>
        <v>#VALUE!</v>
      </c>
      <c r="AC1078" s="446" t="e">
        <f>IF(OR($B1078="",MIN(AC$38,$D$19)&lt;MAX($P$708*($B1078+IF($R$17="Distrato",$I$38-1,0)),IF(AND($L$711=0,$P$708=0),"",$L$711-1),IF($R$17="Distrato",$E1078,0))),0,YEARFRAC(MAX($P$708*($B1078+IF($R$17="Distrato",$I$38-1,0)),IF(AND($L$711=0,$P$708=0),"",$L$711-1),IF($R$17="Distrato",$E1078,0)),MIN(AC$38,$D$19),$P$20))-SUM($P1078:AB1078)</f>
        <v>#VALUE!</v>
      </c>
      <c r="AD1078" s="446" t="e">
        <f>IF(OR($B1078="",MIN(AD$38,$D$19)&lt;MAX($P$708*($B1078+IF($R$17="Distrato",$I$38-1,0)),IF(AND($L$711=0,$P$708=0),"",$L$711-1),IF($R$17="Distrato",$E1078,0))),0,YEARFRAC(MAX($P$708*($B1078+IF($R$17="Distrato",$I$38-1,0)),IF(AND($L$711=0,$P$708=0),"",$L$711-1),IF($R$17="Distrato",$E1078,0)),MIN(AD$38,$D$19),$P$20))-SUM($P1078:AC1078)</f>
        <v>#VALUE!</v>
      </c>
      <c r="AE1078" s="446" t="e">
        <f>IF(OR($B1078="",MIN(AE$38,$D$19)&lt;MAX($P$708*($B1078+IF($R$17="Distrato",$I$38-1,0)),IF(AND($L$711=0,$P$708=0),"",$L$711-1),IF($R$17="Distrato",$E1078,0))),0,YEARFRAC(MAX($P$708*($B1078+IF($R$17="Distrato",$I$38-1,0)),IF(AND($L$711=0,$P$708=0),"",$L$711-1),IF($R$17="Distrato",$E1078,0)),MIN(AE$38,$D$19),$P$20))-SUM($P1078:AD1078)</f>
        <v>#VALUE!</v>
      </c>
      <c r="AF1078" s="446" t="e">
        <f>IF(OR($B1078="",MIN(AF$38,$D$19)&lt;MAX($P$708*($B1078+IF($R$17="Distrato",$I$38-1,0)),IF(AND($L$711=0,$P$708=0),"",$L$711-1),IF($R$17="Distrato",$E1078,0))),0,YEARFRAC(MAX($P$708*($B1078+IF($R$17="Distrato",$I$38-1,0)),IF(AND($L$711=0,$P$708=0),"",$L$711-1),IF($R$17="Distrato",$E1078,0)),MIN(AF$38,$D$19),$P$20))-SUM($P1078:AE1078)</f>
        <v>#VALUE!</v>
      </c>
      <c r="AG1078" s="446" t="e">
        <f>IF(OR($B1078="",MIN(AG$38,$D$19)&lt;MAX($P$708*($B1078+IF($R$17="Distrato",$I$38-1,0)),IF(AND($L$711=0,$P$708=0),"",$L$711-1),IF($R$17="Distrato",$E1078,0))),0,YEARFRAC(MAX($P$708*($B1078+IF($R$17="Distrato",$I$38-1,0)),IF(AND($L$711=0,$P$708=0),"",$L$711-1),IF($R$17="Distrato",$E1078,0)),MIN(AG$38,$D$19),$P$20))-SUM($P1078:AF1078)</f>
        <v>#VALUE!</v>
      </c>
      <c r="AH1078" s="446" t="e">
        <f>IF(OR($B1078="",MIN(AH$38,$D$19)&lt;MAX($P$708*($B1078+IF($R$17="Distrato",$I$38-1,0)),IF(AND($L$711=0,$P$708=0),"",$L$711-1),IF($R$17="Distrato",$E1078,0))),0,YEARFRAC(MAX($P$708*($B1078+IF($R$17="Distrato",$I$38-1,0)),IF(AND($L$711=0,$P$708=0),"",$L$711-1),IF($R$17="Distrato",$E1078,0)),MIN(AH$38,$D$19),$P$20))-SUM($P1078:AG1078)</f>
        <v>#VALUE!</v>
      </c>
      <c r="AI1078" s="446" t="e">
        <f>IF(OR($B1078="",MIN(AI$38,$D$19)&lt;MAX($P$708*($B1078+IF($R$17="Distrato",$I$38-1,0)),IF(AND($L$711=0,$P$708=0),"",$L$711-1),IF($R$17="Distrato",$E1078,0))),0,YEARFRAC(MAX($P$708*($B1078+IF($R$17="Distrato",$I$38-1,0)),IF(AND($L$711=0,$P$708=0),"",$L$711-1),IF($R$17="Distrato",$E1078,0)),MIN(AI$38,$D$19),$P$20))-SUM($P1078:AH1078)</f>
        <v>#VALUE!</v>
      </c>
      <c r="AJ1078" s="446" t="e">
        <f>IF(OR($B1078="",MIN(AJ$38,$D$19)&lt;MAX($P$708*($B1078+IF($R$17="Distrato",$I$38-1,0)),IF(AND($L$711=0,$P$708=0),"",$L$711-1),IF($R$17="Distrato",$E1078,0))),0,YEARFRAC(MAX($P$708*($B1078+IF($R$17="Distrato",$I$38-1,0)),IF(AND($L$711=0,$P$708=0),"",$L$711-1),IF($R$17="Distrato",$E1078,0)),MIN(AJ$38,$D$19),$P$20))-SUM($P1078:AI1078)</f>
        <v>#VALUE!</v>
      </c>
      <c r="AK1078" s="446" t="e">
        <f>IF(OR($B1078="",MIN(AK$38,$D$19)&lt;MAX($P$708*($B1078+IF($R$17="Distrato",$I$38-1,0)),IF(AND($L$711=0,$P$708=0),"",$L$711-1),IF($R$17="Distrato",$E1078,0))),0,YEARFRAC(MAX($P$708*($B1078+IF($R$17="Distrato",$I$38-1,0)),IF(AND($L$711=0,$P$708=0),"",$L$711-1),IF($R$17="Distrato",$E1078,0)),MIN(AK$38,$D$19),$P$20))-SUM($P1078:AJ1078)</f>
        <v>#VALUE!</v>
      </c>
      <c r="AL1078" s="446" t="e">
        <f>IF(OR($B1078="",MIN(AL$38,$D$19)&lt;MAX($P$708*($B1078+IF($R$17="Distrato",$I$38-1,0)),IF(AND($L$711=0,$P$708=0),"",$L$711-1),IF($R$17="Distrato",$E1078,0))),0,YEARFRAC(MAX($P$708*($B1078+IF($R$17="Distrato",$I$38-1,0)),IF(AND($L$711=0,$P$708=0),"",$L$711-1),IF($R$17="Distrato",$E1078,0)),MIN(AL$38,$D$19),$P$20))-SUM($P1078:AK1078)</f>
        <v>#VALUE!</v>
      </c>
      <c r="AM1078" s="446" t="e">
        <f>IF(OR($B1078="",MIN(AM$38,$D$19)&lt;MAX($P$708*($B1078+IF($R$17="Distrato",$I$38-1,0)),IF(AND($L$711=0,$P$708=0),"",$L$711-1),IF($R$17="Distrato",$E1078,0))),0,YEARFRAC(MAX($P$708*($B1078+IF($R$17="Distrato",$I$38-1,0)),IF(AND($L$711=0,$P$708=0),"",$L$711-1),IF($R$17="Distrato",$E1078,0)),MIN(AM$38,$D$19),$P$20))-SUM($P1078:AL1078)</f>
        <v>#VALUE!</v>
      </c>
      <c r="AN1078" s="446" t="e">
        <f>IF(OR($B1078="",MIN(AN$38,$D$19)&lt;MAX($P$708*($B1078+IF($R$17="Distrato",$I$38-1,0)),IF(AND($L$711=0,$P$708=0),"",$L$711-1),IF($R$17="Distrato",$E1078,0))),0,YEARFRAC(MAX($P$708*($B1078+IF($R$17="Distrato",$I$38-1,0)),IF(AND($L$711=0,$P$708=0),"",$L$711-1),IF($R$17="Distrato",$E1078,0)),MIN(AN$38,$D$19),$P$20))-SUM($P1078:AM1078)</f>
        <v>#VALUE!</v>
      </c>
      <c r="AO1078" s="446" t="e">
        <f>IF(OR($B1078="",MIN(AO$38,$D$19)&lt;MAX($P$708*($B1078+IF($R$17="Distrato",$I$38-1,0)),IF(AND($L$711=0,$P$708=0),"",$L$711-1),IF($R$17="Distrato",$E1078,0))),0,YEARFRAC(MAX($P$708*($B1078+IF($R$17="Distrato",$I$38-1,0)),IF(AND($L$711=0,$P$708=0),"",$L$711-1),IF($R$17="Distrato",$E1078,0)),MIN(AO$38,$D$19),$P$20))-SUM($P1078:AN1078)</f>
        <v>#VALUE!</v>
      </c>
      <c r="AP1078" s="446" t="e">
        <f>IF(OR($B1078="",MIN(AP$38,$D$19)&lt;MAX($P$708*($B1078+IF($R$17="Distrato",$I$38-1,0)),IF(AND($L$711=0,$P$708=0),"",$L$711-1),IF($R$17="Distrato",$E1078,0))),0,YEARFRAC(MAX($P$708*($B1078+IF($R$17="Distrato",$I$38-1,0)),IF(AND($L$711=0,$P$708=0),"",$L$711-1),IF($R$17="Distrato",$E1078,0)),MIN(AP$38,$D$19),$P$20))-SUM($P1078:AO1078)</f>
        <v>#VALUE!</v>
      </c>
      <c r="AQ1078" s="446" t="e">
        <f>IF(OR($B1078="",MIN(AQ$38,$D$19)&lt;MAX($P$708*($B1078+IF($R$17="Distrato",$I$38-1,0)),IF(AND($L$711=0,$P$708=0),"",$L$711-1),IF($R$17="Distrato",$E1078,0))),0,YEARFRAC(MAX($P$708*($B1078+IF($R$17="Distrato",$I$38-1,0)),IF(AND($L$711=0,$P$708=0),"",$L$711-1),IF($R$17="Distrato",$E1078,0)),MIN(AQ$38,$D$19),$P$20))-SUM($P1078:AP1078)</f>
        <v>#VALUE!</v>
      </c>
      <c r="AR1078" s="446" t="e">
        <f>IF(OR($B1078="",MIN(AR$38,$D$19)&lt;MAX($P$708*($B1078+IF($R$17="Distrato",$I$38-1,0)),IF(AND($L$711=0,$P$708=0),"",$L$711-1),IF($R$17="Distrato",$E1078,0))),0,YEARFRAC(MAX($P$708*($B1078+IF($R$17="Distrato",$I$38-1,0)),IF(AND($L$711=0,$P$708=0),"",$L$711-1),IF($R$17="Distrato",$E1078,0)),MIN(AR$38,$D$19),$P$20))-SUM($P1078:AQ1078)</f>
        <v>#VALUE!</v>
      </c>
      <c r="AS1078" s="446" t="e">
        <f>IF(OR($B1078="",MIN(AS$38,$D$19)&lt;MAX($P$708*($B1078+IF($R$17="Distrato",$I$38-1,0)),IF(AND($L$711=0,$P$708=0),"",$L$711-1),IF($R$17="Distrato",$E1078,0))),0,YEARFRAC(MAX($P$708*($B1078+IF($R$17="Distrato",$I$38-1,0)),IF(AND($L$711=0,$P$708=0),"",$L$711-1),IF($R$17="Distrato",$E1078,0)),MIN(AS$38,$D$19),$P$20))-SUM($P1078:AR1078)</f>
        <v>#VALUE!</v>
      </c>
      <c r="AT1078" s="446" t="e">
        <f>IF(OR($B1078="",MIN(AT$38,$D$19)&lt;MAX($P$708*($B1078+IF($R$17="Distrato",$I$38-1,0)),IF(AND($L$711=0,$P$708=0),"",$L$711-1),IF($R$17="Distrato",$E1078,0))),0,YEARFRAC(MAX($P$708*($B1078+IF($R$17="Distrato",$I$38-1,0)),IF(AND($L$711=0,$P$708=0),"",$L$711-1),IF($R$17="Distrato",$E1078,0)),MIN(AT$38,$D$19),$P$20))-SUM($P1078:AS1078)</f>
        <v>#VALUE!</v>
      </c>
      <c r="AU1078" s="446" t="e">
        <f>IF(OR($B1078="",MIN(AU$38,$D$19)&lt;MAX($P$708*($B1078+IF($R$17="Distrato",$I$38-1,0)),IF(AND($L$711=0,$P$708=0),"",$L$711-1),IF($R$17="Distrato",$E1078,0))),0,YEARFRAC(MAX($P$708*($B1078+IF($R$17="Distrato",$I$38-1,0)),IF(AND($L$711=0,$P$708=0),"",$L$711-1),IF($R$17="Distrato",$E1078,0)),MIN(AU$38,$D$19),$P$20))-SUM($P1078:AT1078)</f>
        <v>#VALUE!</v>
      </c>
      <c r="AV1078" s="446" t="e">
        <f>IF(OR($B1078="",MIN(AV$38,$D$19)&lt;MAX($P$708*($B1078+IF($R$17="Distrato",$I$38-1,0)),IF(AND($L$711=0,$P$708=0),"",$L$711-1),IF($R$17="Distrato",$E1078,0))),0,YEARFRAC(MAX($P$708*($B1078+IF($R$17="Distrato",$I$38-1,0)),IF(AND($L$711=0,$P$708=0),"",$L$711-1),IF($R$17="Distrato",$E1078,0)),MIN(AV$38,$D$19),$P$20))-SUM($P1078:AU1078)</f>
        <v>#VALUE!</v>
      </c>
      <c r="AW1078" s="446" t="e">
        <f>IF(OR($B1078="",MIN(AW$38,$D$19)&lt;MAX($P$708*($B1078+IF($R$17="Distrato",$I$38-1,0)),IF(AND($L$711=0,$P$708=0),"",$L$711-1),IF($R$17="Distrato",$E1078,0))),0,YEARFRAC(MAX($P$708*($B1078+IF($R$17="Distrato",$I$38-1,0)),IF(AND($L$711=0,$P$708=0),"",$L$711-1),IF($R$17="Distrato",$E1078,0)),MIN(AW$38,$D$19),$P$20))-SUM($P1078:AV1078)</f>
        <v>#VALUE!</v>
      </c>
      <c r="AX1078" s="446" t="e">
        <f>IF(OR($B1078="",MIN(AX$38,$D$19)&lt;MAX($P$708*($B1078+IF($R$17="Distrato",$I$38-1,0)),IF(AND($L$711=0,$P$708=0),"",$L$711-1),IF($R$17="Distrato",$E1078,0))),0,YEARFRAC(MAX($P$708*($B1078+IF($R$17="Distrato",$I$38-1,0)),IF(AND($L$711=0,$P$708=0),"",$L$711-1),IF($R$17="Distrato",$E1078,0)),MIN(AX$38,$D$19),$P$20))-SUM($P1078:AW1078)</f>
        <v>#VALUE!</v>
      </c>
      <c r="AY1078" s="446" t="e">
        <f>IF(OR($B1078="",MIN(AY$38,$D$19)&lt;MAX($P$708*($B1078+IF($R$17="Distrato",$I$38-1,0)),IF(AND($L$711=0,$P$708=0),"",$L$711-1),IF($R$17="Distrato",$E1078,0))),0,YEARFRAC(MAX($P$708*($B1078+IF($R$17="Distrato",$I$38-1,0)),IF(AND($L$711=0,$P$708=0),"",$L$711-1),IF($R$17="Distrato",$E1078,0)),MIN(AY$38,$D$19),$P$20))-SUM($P1078:AX1078)</f>
        <v>#VALUE!</v>
      </c>
      <c r="AZ1078" s="446" t="e">
        <f>IF(OR($B1078="",MIN(AZ$38,$D$19)&lt;MAX($P$708*($B1078+IF($R$17="Distrato",$I$38-1,0)),IF(AND($L$711=0,$P$708=0),"",$L$711-1),IF($R$17="Distrato",$E1078,0))),0,YEARFRAC(MAX($P$708*($B1078+IF($R$17="Distrato",$I$38-1,0)),IF(AND($L$711=0,$P$708=0),"",$L$711-1),IF($R$17="Distrato",$E1078,0)),MIN(AZ$38,$D$19),$P$20))-SUM($P1078:AY1078)</f>
        <v>#VALUE!</v>
      </c>
      <c r="BA1078" s="446" t="e">
        <f>IF(OR($B1078="",MIN(BA$38,$D$19)&lt;MAX($P$708*($B1078+IF($R$17="Distrato",$I$38-1,0)),IF(AND($L$711=0,$P$708=0),"",$L$711-1),IF($R$17="Distrato",$E1078,0))),0,YEARFRAC(MAX($P$708*($B1078+IF($R$17="Distrato",$I$38-1,0)),IF(AND($L$711=0,$P$708=0),"",$L$711-1),IF($R$17="Distrato",$E1078,0)),MIN(BA$38,$D$19),$P$20))-SUM($P1078:AZ1078)</f>
        <v>#VALUE!</v>
      </c>
      <c r="BB1078" s="447"/>
    </row>
    <row r="1079" spans="1:54" s="446" customFormat="1" ht="11.25" hidden="1" customHeight="1" x14ac:dyDescent="0.2">
      <c r="A1079" s="235"/>
      <c r="B1079" s="236"/>
      <c r="C1079" s="29" t="str">
        <f>IF(B1079="","",IF($L$709=$BL$25,VLOOKUP(DATE(YEAR($D$19),MONTH($D$19)-1,1),ÍNDICES!$A:$DE,HLOOKUP($BL$25,ÍNDICES!$B$3:$T$4,2)+11)-VLOOKUP(B1079,ÍNDICES!$A:$DE,HLOOKUP($BL$25,ÍNDICES!$B$3:$T$4,2)+11)+1%,IF(C$712=$W$26,$J$35,IF(ISERROR(IF(B1079&gt;$D$19,1,VLOOKUP(DATE(YEAR(B1079),MONTH(B1079)+IF($C$709=$S$23,1,0),1),ÍNDICES!$A:$DE,$Z$709+1))),"",IF(B1079&gt;$D$19,1,VLOOKUP(DATE(YEAR(B1079),MONTH(B1079)+IF($C$709=$S$23,1,0),1),ÍNDICES!$A:$DE,$Z$709+1))))))</f>
        <v/>
      </c>
      <c r="D1079" s="155"/>
      <c r="E1079" s="88"/>
      <c r="F1079" s="88"/>
      <c r="G1079" s="88"/>
      <c r="H1079" s="118"/>
      <c r="I1079" s="182">
        <f t="shared" si="150"/>
        <v>0</v>
      </c>
      <c r="J1079" s="20">
        <f t="shared" ca="1" si="151"/>
        <v>0</v>
      </c>
      <c r="K1079" s="5">
        <f t="shared" ca="1" si="152"/>
        <v>0</v>
      </c>
      <c r="L1079" s="61">
        <f t="shared" ca="1" si="153"/>
        <v>0</v>
      </c>
      <c r="M1079" s="64">
        <f t="shared" si="154"/>
        <v>0</v>
      </c>
      <c r="N1079" s="151"/>
      <c r="O1079" s="5">
        <f t="shared" ca="1" si="155"/>
        <v>0</v>
      </c>
      <c r="P1079" s="446" t="e">
        <f t="shared" si="156"/>
        <v>#VALUE!</v>
      </c>
      <c r="Q1079" s="446" t="e">
        <f>IF(OR($B1079="",MIN(Q$38,$D$19)&lt;MAX($P$708*($B1079+IF($R$17="Distrato",$I$38-1,0)),IF(AND($L$711=0,$P$708=0),"",$L$711-1),IF($R$17="Distrato",$E1079,0))),0,YEARFRAC(MAX($P$708*($B1079+IF($R$17="Distrato",$I$38-1,0)),IF(AND($L$711=0,$P$708=0),"",$L$711-1),IF($R$17="Distrato",$E1079,0)),MIN(Q$38,$D$19),$P$20))-SUM($P1079:P1079)</f>
        <v>#VALUE!</v>
      </c>
      <c r="R1079" s="446" t="e">
        <f>IF(OR($B1079="",MIN(R$38,$D$19)&lt;MAX($P$708*($B1079+IF($R$17="Distrato",$I$38-1,0)),IF(AND($L$711=0,$P$708=0),"",$L$711-1),IF($R$17="Distrato",$E1079,0))),0,YEARFRAC(MAX($P$708*($B1079+IF($R$17="Distrato",$I$38-1,0)),IF(AND($L$711=0,$P$708=0),"",$L$711-1),IF($R$17="Distrato",$E1079,0)),MIN(R$38,$D$19),$P$20))-SUM($P1079:Q1079)</f>
        <v>#VALUE!</v>
      </c>
      <c r="S1079" s="446" t="e">
        <f>IF(OR($B1079="",MIN(S$38,$D$19)&lt;MAX($P$708*($B1079+IF($R$17="Distrato",$I$38-1,0)),IF(AND($L$711=0,$P$708=0),"",$L$711-1),IF($R$17="Distrato",$E1079,0))),0,YEARFRAC(MAX($P$708*($B1079+IF($R$17="Distrato",$I$38-1,0)),IF(AND($L$711=0,$P$708=0),"",$L$711-1),IF($R$17="Distrato",$E1079,0)),MIN(S$38,$D$19),$P$20))-SUM($P1079:R1079)</f>
        <v>#VALUE!</v>
      </c>
      <c r="T1079" s="446" t="e">
        <f>IF(OR($B1079="",MIN(T$38,$D$19)&lt;MAX($P$708*($B1079+IF($R$17="Distrato",$I$38-1,0)),IF(AND($L$711=0,$P$708=0),"",$L$711-1),IF($R$17="Distrato",$E1079,0))),0,YEARFRAC(MAX($P$708*($B1079+IF($R$17="Distrato",$I$38-1,0)),IF(AND($L$711=0,$P$708=0),"",$L$711-1),IF($R$17="Distrato",$E1079,0)),MIN(T$38,$D$19),$P$20))-SUM($P1079:S1079)</f>
        <v>#VALUE!</v>
      </c>
      <c r="U1079" s="446" t="e">
        <f>IF(OR($B1079="",MIN(U$38,$D$19)&lt;MAX($P$708*($B1079+IF($R$17="Distrato",$I$38-1,0)),IF(AND($L$711=0,$P$708=0),"",$L$711-1),IF($R$17="Distrato",$E1079,0))),0,YEARFRAC(MAX($P$708*($B1079+IF($R$17="Distrato",$I$38-1,0)),IF(AND($L$711=0,$P$708=0),"",$L$711-1),IF($R$17="Distrato",$E1079,0)),MIN(U$38,$D$19),$P$20))-SUM($P1079:T1079)</f>
        <v>#VALUE!</v>
      </c>
      <c r="V1079" s="446" t="e">
        <f>IF(OR($B1079="",MIN(V$38,$D$19)&lt;MAX($P$708*($B1079+IF($R$17="Distrato",$I$38-1,0)),IF(AND($L$711=0,$P$708=0),"",$L$711-1),IF($R$17="Distrato",$E1079,0))),0,YEARFRAC(MAX($P$708*($B1079+IF($R$17="Distrato",$I$38-1,0)),IF(AND($L$711=0,$P$708=0),"",$L$711-1),IF($R$17="Distrato",$E1079,0)),MIN(V$38,$D$19),$P$20))-SUM($P1079:U1079)</f>
        <v>#VALUE!</v>
      </c>
      <c r="W1079" s="446" t="e">
        <f>IF(OR($B1079="",MIN(W$38,$D$19)&lt;MAX($P$708*($B1079+IF($R$17="Distrato",$I$38-1,0)),IF(AND($L$711=0,$P$708=0),"",$L$711-1),IF($R$17="Distrato",$E1079,0))),0,YEARFRAC(MAX($P$708*($B1079+IF($R$17="Distrato",$I$38-1,0)),IF(AND($L$711=0,$P$708=0),"",$L$711-1),IF($R$17="Distrato",$E1079,0)),MIN(W$38,$D$19),$P$20))-SUM($P1079:V1079)</f>
        <v>#VALUE!</v>
      </c>
      <c r="X1079" s="446" t="e">
        <f>IF(OR($B1079="",MIN(X$38,$D$19)&lt;MAX($P$708*($B1079+IF($R$17="Distrato",$I$38-1,0)),IF(AND($L$711=0,$P$708=0),"",$L$711-1),IF($R$17="Distrato",$E1079,0))),0,YEARFRAC(MAX($P$708*($B1079+IF($R$17="Distrato",$I$38-1,0)),IF(AND($L$711=0,$P$708=0),"",$L$711-1),IF($R$17="Distrato",$E1079,0)),MIN(X$38,$D$19),$P$20))-SUM($P1079:W1079)</f>
        <v>#VALUE!</v>
      </c>
      <c r="Y1079" s="446" t="e">
        <f>IF(OR($B1079="",MIN(Y$38,$D$19)&lt;MAX($P$708*($B1079+IF($R$17="Distrato",$I$38-1,0)),IF(AND($L$711=0,$P$708=0),"",$L$711-1),IF($R$17="Distrato",$E1079,0))),0,YEARFRAC(MAX($P$708*($B1079+IF($R$17="Distrato",$I$38-1,0)),IF(AND($L$711=0,$P$708=0),"",$L$711-1),IF($R$17="Distrato",$E1079,0)),MIN(Y$38,$D$19),$P$20))-SUM($P1079:X1079)</f>
        <v>#VALUE!</v>
      </c>
      <c r="Z1079" s="446" t="e">
        <f>IF(OR($B1079="",MIN(Z$38,$D$19)&lt;MAX($P$708*($B1079+IF($R$17="Distrato",$I$38-1,0)),IF(AND($L$711=0,$P$708=0),"",$L$711-1),IF($R$17="Distrato",$E1079,0))),0,YEARFRAC(MAX($P$708*($B1079+IF($R$17="Distrato",$I$38-1,0)),IF(AND($L$711=0,$P$708=0),"",$L$711-1),IF($R$17="Distrato",$E1079,0)),MIN(Z$38,$D$19),$P$20))-SUM($P1079:Y1079)</f>
        <v>#VALUE!</v>
      </c>
      <c r="AA1079" s="446" t="e">
        <f>IF(OR($B1079="",MIN(AA$38,$D$19)&lt;MAX($P$708*($B1079+IF($R$17="Distrato",$I$38-1,0)),IF(AND($L$711=0,$P$708=0),"",$L$711-1),IF($R$17="Distrato",$E1079,0))),0,YEARFRAC(MAX($P$708*($B1079+IF($R$17="Distrato",$I$38-1,0)),IF(AND($L$711=0,$P$708=0),"",$L$711-1),IF($R$17="Distrato",$E1079,0)),MIN(AA$38,$D$19),$P$20))-SUM($P1079:Z1079)</f>
        <v>#VALUE!</v>
      </c>
      <c r="AB1079" s="446" t="e">
        <f>IF(OR($B1079="",MIN(AB$38,$D$19)&lt;MAX($P$708*($B1079+IF($R$17="Distrato",$I$38-1,0)),IF(AND($L$711=0,$P$708=0),"",$L$711-1),IF($R$17="Distrato",$E1079,0))),0,YEARFRAC(MAX($P$708*($B1079+IF($R$17="Distrato",$I$38-1,0)),IF(AND($L$711=0,$P$708=0),"",$L$711-1),IF($R$17="Distrato",$E1079,0)),MIN(AB$38,$D$19),$P$20))-SUM($P1079:AA1079)</f>
        <v>#VALUE!</v>
      </c>
      <c r="AC1079" s="446" t="e">
        <f>IF(OR($B1079="",MIN(AC$38,$D$19)&lt;MAX($P$708*($B1079+IF($R$17="Distrato",$I$38-1,0)),IF(AND($L$711=0,$P$708=0),"",$L$711-1),IF($R$17="Distrato",$E1079,0))),0,YEARFRAC(MAX($P$708*($B1079+IF($R$17="Distrato",$I$38-1,0)),IF(AND($L$711=0,$P$708=0),"",$L$711-1),IF($R$17="Distrato",$E1079,0)),MIN(AC$38,$D$19),$P$20))-SUM($P1079:AB1079)</f>
        <v>#VALUE!</v>
      </c>
      <c r="AD1079" s="446" t="e">
        <f>IF(OR($B1079="",MIN(AD$38,$D$19)&lt;MAX($P$708*($B1079+IF($R$17="Distrato",$I$38-1,0)),IF(AND($L$711=0,$P$708=0),"",$L$711-1),IF($R$17="Distrato",$E1079,0))),0,YEARFRAC(MAX($P$708*($B1079+IF($R$17="Distrato",$I$38-1,0)),IF(AND($L$711=0,$P$708=0),"",$L$711-1),IF($R$17="Distrato",$E1079,0)),MIN(AD$38,$D$19),$P$20))-SUM($P1079:AC1079)</f>
        <v>#VALUE!</v>
      </c>
      <c r="AE1079" s="446" t="e">
        <f>IF(OR($B1079="",MIN(AE$38,$D$19)&lt;MAX($P$708*($B1079+IF($R$17="Distrato",$I$38-1,0)),IF(AND($L$711=0,$P$708=0),"",$L$711-1),IF($R$17="Distrato",$E1079,0))),0,YEARFRAC(MAX($P$708*($B1079+IF($R$17="Distrato",$I$38-1,0)),IF(AND($L$711=0,$P$708=0),"",$L$711-1),IF($R$17="Distrato",$E1079,0)),MIN(AE$38,$D$19),$P$20))-SUM($P1079:AD1079)</f>
        <v>#VALUE!</v>
      </c>
      <c r="AF1079" s="446" t="e">
        <f>IF(OR($B1079="",MIN(AF$38,$D$19)&lt;MAX($P$708*($B1079+IF($R$17="Distrato",$I$38-1,0)),IF(AND($L$711=0,$P$708=0),"",$L$711-1),IF($R$17="Distrato",$E1079,0))),0,YEARFRAC(MAX($P$708*($B1079+IF($R$17="Distrato",$I$38-1,0)),IF(AND($L$711=0,$P$708=0),"",$L$711-1),IF($R$17="Distrato",$E1079,0)),MIN(AF$38,$D$19),$P$20))-SUM($P1079:AE1079)</f>
        <v>#VALUE!</v>
      </c>
      <c r="AG1079" s="446" t="e">
        <f>IF(OR($B1079="",MIN(AG$38,$D$19)&lt;MAX($P$708*($B1079+IF($R$17="Distrato",$I$38-1,0)),IF(AND($L$711=0,$P$708=0),"",$L$711-1),IF($R$17="Distrato",$E1079,0))),0,YEARFRAC(MAX($P$708*($B1079+IF($R$17="Distrato",$I$38-1,0)),IF(AND($L$711=0,$P$708=0),"",$L$711-1),IF($R$17="Distrato",$E1079,0)),MIN(AG$38,$D$19),$P$20))-SUM($P1079:AF1079)</f>
        <v>#VALUE!</v>
      </c>
      <c r="AH1079" s="446" t="e">
        <f>IF(OR($B1079="",MIN(AH$38,$D$19)&lt;MAX($P$708*($B1079+IF($R$17="Distrato",$I$38-1,0)),IF(AND($L$711=0,$P$708=0),"",$L$711-1),IF($R$17="Distrato",$E1079,0))),0,YEARFRAC(MAX($P$708*($B1079+IF($R$17="Distrato",$I$38-1,0)),IF(AND($L$711=0,$P$708=0),"",$L$711-1),IF($R$17="Distrato",$E1079,0)),MIN(AH$38,$D$19),$P$20))-SUM($P1079:AG1079)</f>
        <v>#VALUE!</v>
      </c>
      <c r="AI1079" s="446" t="e">
        <f>IF(OR($B1079="",MIN(AI$38,$D$19)&lt;MAX($P$708*($B1079+IF($R$17="Distrato",$I$38-1,0)),IF(AND($L$711=0,$P$708=0),"",$L$711-1),IF($R$17="Distrato",$E1079,0))),0,YEARFRAC(MAX($P$708*($B1079+IF($R$17="Distrato",$I$38-1,0)),IF(AND($L$711=0,$P$708=0),"",$L$711-1),IF($R$17="Distrato",$E1079,0)),MIN(AI$38,$D$19),$P$20))-SUM($P1079:AH1079)</f>
        <v>#VALUE!</v>
      </c>
      <c r="AJ1079" s="446" t="e">
        <f>IF(OR($B1079="",MIN(AJ$38,$D$19)&lt;MAX($P$708*($B1079+IF($R$17="Distrato",$I$38-1,0)),IF(AND($L$711=0,$P$708=0),"",$L$711-1),IF($R$17="Distrato",$E1079,0))),0,YEARFRAC(MAX($P$708*($B1079+IF($R$17="Distrato",$I$38-1,0)),IF(AND($L$711=0,$P$708=0),"",$L$711-1),IF($R$17="Distrato",$E1079,0)),MIN(AJ$38,$D$19),$P$20))-SUM($P1079:AI1079)</f>
        <v>#VALUE!</v>
      </c>
      <c r="AK1079" s="446" t="e">
        <f>IF(OR($B1079="",MIN(AK$38,$D$19)&lt;MAX($P$708*($B1079+IF($R$17="Distrato",$I$38-1,0)),IF(AND($L$711=0,$P$708=0),"",$L$711-1),IF($R$17="Distrato",$E1079,0))),0,YEARFRAC(MAX($P$708*($B1079+IF($R$17="Distrato",$I$38-1,0)),IF(AND($L$711=0,$P$708=0),"",$L$711-1),IF($R$17="Distrato",$E1079,0)),MIN(AK$38,$D$19),$P$20))-SUM($P1079:AJ1079)</f>
        <v>#VALUE!</v>
      </c>
      <c r="AL1079" s="446" t="e">
        <f>IF(OR($B1079="",MIN(AL$38,$D$19)&lt;MAX($P$708*($B1079+IF($R$17="Distrato",$I$38-1,0)),IF(AND($L$711=0,$P$708=0),"",$L$711-1),IF($R$17="Distrato",$E1079,0))),0,YEARFRAC(MAX($P$708*($B1079+IF($R$17="Distrato",$I$38-1,0)),IF(AND($L$711=0,$P$708=0),"",$L$711-1),IF($R$17="Distrato",$E1079,0)),MIN(AL$38,$D$19),$P$20))-SUM($P1079:AK1079)</f>
        <v>#VALUE!</v>
      </c>
      <c r="AM1079" s="446" t="e">
        <f>IF(OR($B1079="",MIN(AM$38,$D$19)&lt;MAX($P$708*($B1079+IF($R$17="Distrato",$I$38-1,0)),IF(AND($L$711=0,$P$708=0),"",$L$711-1),IF($R$17="Distrato",$E1079,0))),0,YEARFRAC(MAX($P$708*($B1079+IF($R$17="Distrato",$I$38-1,0)),IF(AND($L$711=0,$P$708=0),"",$L$711-1),IF($R$17="Distrato",$E1079,0)),MIN(AM$38,$D$19),$P$20))-SUM($P1079:AL1079)</f>
        <v>#VALUE!</v>
      </c>
      <c r="AN1079" s="446" t="e">
        <f>IF(OR($B1079="",MIN(AN$38,$D$19)&lt;MAX($P$708*($B1079+IF($R$17="Distrato",$I$38-1,0)),IF(AND($L$711=0,$P$708=0),"",$L$711-1),IF($R$17="Distrato",$E1079,0))),0,YEARFRAC(MAX($P$708*($B1079+IF($R$17="Distrato",$I$38-1,0)),IF(AND($L$711=0,$P$708=0),"",$L$711-1),IF($R$17="Distrato",$E1079,0)),MIN(AN$38,$D$19),$P$20))-SUM($P1079:AM1079)</f>
        <v>#VALUE!</v>
      </c>
      <c r="AO1079" s="446" t="e">
        <f>IF(OR($B1079="",MIN(AO$38,$D$19)&lt;MAX($P$708*($B1079+IF($R$17="Distrato",$I$38-1,0)),IF(AND($L$711=0,$P$708=0),"",$L$711-1),IF($R$17="Distrato",$E1079,0))),0,YEARFRAC(MAX($P$708*($B1079+IF($R$17="Distrato",$I$38-1,0)),IF(AND($L$711=0,$P$708=0),"",$L$711-1),IF($R$17="Distrato",$E1079,0)),MIN(AO$38,$D$19),$P$20))-SUM($P1079:AN1079)</f>
        <v>#VALUE!</v>
      </c>
      <c r="AP1079" s="446" t="e">
        <f>IF(OR($B1079="",MIN(AP$38,$D$19)&lt;MAX($P$708*($B1079+IF($R$17="Distrato",$I$38-1,0)),IF(AND($L$711=0,$P$708=0),"",$L$711-1),IF($R$17="Distrato",$E1079,0))),0,YEARFRAC(MAX($P$708*($B1079+IF($R$17="Distrato",$I$38-1,0)),IF(AND($L$711=0,$P$708=0),"",$L$711-1),IF($R$17="Distrato",$E1079,0)),MIN(AP$38,$D$19),$P$20))-SUM($P1079:AO1079)</f>
        <v>#VALUE!</v>
      </c>
      <c r="AQ1079" s="446" t="e">
        <f>IF(OR($B1079="",MIN(AQ$38,$D$19)&lt;MAX($P$708*($B1079+IF($R$17="Distrato",$I$38-1,0)),IF(AND($L$711=0,$P$708=0),"",$L$711-1),IF($R$17="Distrato",$E1079,0))),0,YEARFRAC(MAX($P$708*($B1079+IF($R$17="Distrato",$I$38-1,0)),IF(AND($L$711=0,$P$708=0),"",$L$711-1),IF($R$17="Distrato",$E1079,0)),MIN(AQ$38,$D$19),$P$20))-SUM($P1079:AP1079)</f>
        <v>#VALUE!</v>
      </c>
      <c r="AR1079" s="446" t="e">
        <f>IF(OR($B1079="",MIN(AR$38,$D$19)&lt;MAX($P$708*($B1079+IF($R$17="Distrato",$I$38-1,0)),IF(AND($L$711=0,$P$708=0),"",$L$711-1),IF($R$17="Distrato",$E1079,0))),0,YEARFRAC(MAX($P$708*($B1079+IF($R$17="Distrato",$I$38-1,0)),IF(AND($L$711=0,$P$708=0),"",$L$711-1),IF($R$17="Distrato",$E1079,0)),MIN(AR$38,$D$19),$P$20))-SUM($P1079:AQ1079)</f>
        <v>#VALUE!</v>
      </c>
      <c r="AS1079" s="446" t="e">
        <f>IF(OR($B1079="",MIN(AS$38,$D$19)&lt;MAX($P$708*($B1079+IF($R$17="Distrato",$I$38-1,0)),IF(AND($L$711=0,$P$708=0),"",$L$711-1),IF($R$17="Distrato",$E1079,0))),0,YEARFRAC(MAX($P$708*($B1079+IF($R$17="Distrato",$I$38-1,0)),IF(AND($L$711=0,$P$708=0),"",$L$711-1),IF($R$17="Distrato",$E1079,0)),MIN(AS$38,$D$19),$P$20))-SUM($P1079:AR1079)</f>
        <v>#VALUE!</v>
      </c>
      <c r="AT1079" s="446" t="e">
        <f>IF(OR($B1079="",MIN(AT$38,$D$19)&lt;MAX($P$708*($B1079+IF($R$17="Distrato",$I$38-1,0)),IF(AND($L$711=0,$P$708=0),"",$L$711-1),IF($R$17="Distrato",$E1079,0))),0,YEARFRAC(MAX($P$708*($B1079+IF($R$17="Distrato",$I$38-1,0)),IF(AND($L$711=0,$P$708=0),"",$L$711-1),IF($R$17="Distrato",$E1079,0)),MIN(AT$38,$D$19),$P$20))-SUM($P1079:AS1079)</f>
        <v>#VALUE!</v>
      </c>
      <c r="AU1079" s="446" t="e">
        <f>IF(OR($B1079="",MIN(AU$38,$D$19)&lt;MAX($P$708*($B1079+IF($R$17="Distrato",$I$38-1,0)),IF(AND($L$711=0,$P$708=0),"",$L$711-1),IF($R$17="Distrato",$E1079,0))),0,YEARFRAC(MAX($P$708*($B1079+IF($R$17="Distrato",$I$38-1,0)),IF(AND($L$711=0,$P$708=0),"",$L$711-1),IF($R$17="Distrato",$E1079,0)),MIN(AU$38,$D$19),$P$20))-SUM($P1079:AT1079)</f>
        <v>#VALUE!</v>
      </c>
      <c r="AV1079" s="446" t="e">
        <f>IF(OR($B1079="",MIN(AV$38,$D$19)&lt;MAX($P$708*($B1079+IF($R$17="Distrato",$I$38-1,0)),IF(AND($L$711=0,$P$708=0),"",$L$711-1),IF($R$17="Distrato",$E1079,0))),0,YEARFRAC(MAX($P$708*($B1079+IF($R$17="Distrato",$I$38-1,0)),IF(AND($L$711=0,$P$708=0),"",$L$711-1),IF($R$17="Distrato",$E1079,0)),MIN(AV$38,$D$19),$P$20))-SUM($P1079:AU1079)</f>
        <v>#VALUE!</v>
      </c>
      <c r="AW1079" s="446" t="e">
        <f>IF(OR($B1079="",MIN(AW$38,$D$19)&lt;MAX($P$708*($B1079+IF($R$17="Distrato",$I$38-1,0)),IF(AND($L$711=0,$P$708=0),"",$L$711-1),IF($R$17="Distrato",$E1079,0))),0,YEARFRAC(MAX($P$708*($B1079+IF($R$17="Distrato",$I$38-1,0)),IF(AND($L$711=0,$P$708=0),"",$L$711-1),IF($R$17="Distrato",$E1079,0)),MIN(AW$38,$D$19),$P$20))-SUM($P1079:AV1079)</f>
        <v>#VALUE!</v>
      </c>
      <c r="AX1079" s="446" t="e">
        <f>IF(OR($B1079="",MIN(AX$38,$D$19)&lt;MAX($P$708*($B1079+IF($R$17="Distrato",$I$38-1,0)),IF(AND($L$711=0,$P$708=0),"",$L$711-1),IF($R$17="Distrato",$E1079,0))),0,YEARFRAC(MAX($P$708*($B1079+IF($R$17="Distrato",$I$38-1,0)),IF(AND($L$711=0,$P$708=0),"",$L$711-1),IF($R$17="Distrato",$E1079,0)),MIN(AX$38,$D$19),$P$20))-SUM($P1079:AW1079)</f>
        <v>#VALUE!</v>
      </c>
      <c r="AY1079" s="446" t="e">
        <f>IF(OR($B1079="",MIN(AY$38,$D$19)&lt;MAX($P$708*($B1079+IF($R$17="Distrato",$I$38-1,0)),IF(AND($L$711=0,$P$708=0),"",$L$711-1),IF($R$17="Distrato",$E1079,0))),0,YEARFRAC(MAX($P$708*($B1079+IF($R$17="Distrato",$I$38-1,0)),IF(AND($L$711=0,$P$708=0),"",$L$711-1),IF($R$17="Distrato",$E1079,0)),MIN(AY$38,$D$19),$P$20))-SUM($P1079:AX1079)</f>
        <v>#VALUE!</v>
      </c>
      <c r="AZ1079" s="446" t="e">
        <f>IF(OR($B1079="",MIN(AZ$38,$D$19)&lt;MAX($P$708*($B1079+IF($R$17="Distrato",$I$38-1,0)),IF(AND($L$711=0,$P$708=0),"",$L$711-1),IF($R$17="Distrato",$E1079,0))),0,YEARFRAC(MAX($P$708*($B1079+IF($R$17="Distrato",$I$38-1,0)),IF(AND($L$711=0,$P$708=0),"",$L$711-1),IF($R$17="Distrato",$E1079,0)),MIN(AZ$38,$D$19),$P$20))-SUM($P1079:AY1079)</f>
        <v>#VALUE!</v>
      </c>
      <c r="BA1079" s="446" t="e">
        <f>IF(OR($B1079="",MIN(BA$38,$D$19)&lt;MAX($P$708*($B1079+IF($R$17="Distrato",$I$38-1,0)),IF(AND($L$711=0,$P$708=0),"",$L$711-1),IF($R$17="Distrato",$E1079,0))),0,YEARFRAC(MAX($P$708*($B1079+IF($R$17="Distrato",$I$38-1,0)),IF(AND($L$711=0,$P$708=0),"",$L$711-1),IF($R$17="Distrato",$E1079,0)),MIN(BA$38,$D$19),$P$20))-SUM($P1079:AZ1079)</f>
        <v>#VALUE!</v>
      </c>
      <c r="BB1079" s="447"/>
    </row>
    <row r="1080" spans="1:54" s="446" customFormat="1" ht="11.25" hidden="1" customHeight="1" x14ac:dyDescent="0.2">
      <c r="A1080" s="235"/>
      <c r="B1080" s="236"/>
      <c r="C1080" s="29" t="str">
        <f>IF(B1080="","",IF($L$709=$BL$25,VLOOKUP(DATE(YEAR($D$19),MONTH($D$19)-1,1),ÍNDICES!$A:$DE,HLOOKUP($BL$25,ÍNDICES!$B$3:$T$4,2)+11)-VLOOKUP(B1080,ÍNDICES!$A:$DE,HLOOKUP($BL$25,ÍNDICES!$B$3:$T$4,2)+11)+1%,IF(C$712=$W$26,$J$35,IF(ISERROR(IF(B1080&gt;$D$19,1,VLOOKUP(DATE(YEAR(B1080),MONTH(B1080)+IF($C$709=$S$23,1,0),1),ÍNDICES!$A:$DE,$Z$709+1))),"",IF(B1080&gt;$D$19,1,VLOOKUP(DATE(YEAR(B1080),MONTH(B1080)+IF($C$709=$S$23,1,0),1),ÍNDICES!$A:$DE,$Z$709+1))))))</f>
        <v/>
      </c>
      <c r="D1080" s="155"/>
      <c r="E1080" s="88"/>
      <c r="F1080" s="88"/>
      <c r="G1080" s="88"/>
      <c r="H1080" s="118"/>
      <c r="I1080" s="182">
        <f t="shared" si="150"/>
        <v>0</v>
      </c>
      <c r="J1080" s="20">
        <f t="shared" ca="1" si="151"/>
        <v>0</v>
      </c>
      <c r="K1080" s="5">
        <f t="shared" ca="1" si="152"/>
        <v>0</v>
      </c>
      <c r="L1080" s="61">
        <f t="shared" ca="1" si="153"/>
        <v>0</v>
      </c>
      <c r="M1080" s="64">
        <f t="shared" si="154"/>
        <v>0</v>
      </c>
      <c r="N1080" s="151"/>
      <c r="O1080" s="5">
        <f t="shared" ca="1" si="155"/>
        <v>0</v>
      </c>
      <c r="P1080" s="446" t="e">
        <f t="shared" si="156"/>
        <v>#VALUE!</v>
      </c>
      <c r="Q1080" s="446" t="e">
        <f>IF(OR($B1080="",MIN(Q$38,$D$19)&lt;MAX($P$708*($B1080+IF($R$17="Distrato",$I$38-1,0)),IF(AND($L$711=0,$P$708=0),"",$L$711-1),IF($R$17="Distrato",$E1080,0))),0,YEARFRAC(MAX($P$708*($B1080+IF($R$17="Distrato",$I$38-1,0)),IF(AND($L$711=0,$P$708=0),"",$L$711-1),IF($R$17="Distrato",$E1080,0)),MIN(Q$38,$D$19),$P$20))-SUM($P1080:P1080)</f>
        <v>#VALUE!</v>
      </c>
      <c r="R1080" s="446" t="e">
        <f>IF(OR($B1080="",MIN(R$38,$D$19)&lt;MAX($P$708*($B1080+IF($R$17="Distrato",$I$38-1,0)),IF(AND($L$711=0,$P$708=0),"",$L$711-1),IF($R$17="Distrato",$E1080,0))),0,YEARFRAC(MAX($P$708*($B1080+IF($R$17="Distrato",$I$38-1,0)),IF(AND($L$711=0,$P$708=0),"",$L$711-1),IF($R$17="Distrato",$E1080,0)),MIN(R$38,$D$19),$P$20))-SUM($P1080:Q1080)</f>
        <v>#VALUE!</v>
      </c>
      <c r="S1080" s="446" t="e">
        <f>IF(OR($B1080="",MIN(S$38,$D$19)&lt;MAX($P$708*($B1080+IF($R$17="Distrato",$I$38-1,0)),IF(AND($L$711=0,$P$708=0),"",$L$711-1),IF($R$17="Distrato",$E1080,0))),0,YEARFRAC(MAX($P$708*($B1080+IF($R$17="Distrato",$I$38-1,0)),IF(AND($L$711=0,$P$708=0),"",$L$711-1),IF($R$17="Distrato",$E1080,0)),MIN(S$38,$D$19),$P$20))-SUM($P1080:R1080)</f>
        <v>#VALUE!</v>
      </c>
      <c r="T1080" s="446" t="e">
        <f>IF(OR($B1080="",MIN(T$38,$D$19)&lt;MAX($P$708*($B1080+IF($R$17="Distrato",$I$38-1,0)),IF(AND($L$711=0,$P$708=0),"",$L$711-1),IF($R$17="Distrato",$E1080,0))),0,YEARFRAC(MAX($P$708*($B1080+IF($R$17="Distrato",$I$38-1,0)),IF(AND($L$711=0,$P$708=0),"",$L$711-1),IF($R$17="Distrato",$E1080,0)),MIN(T$38,$D$19),$P$20))-SUM($P1080:S1080)</f>
        <v>#VALUE!</v>
      </c>
      <c r="U1080" s="446" t="e">
        <f>IF(OR($B1080="",MIN(U$38,$D$19)&lt;MAX($P$708*($B1080+IF($R$17="Distrato",$I$38-1,0)),IF(AND($L$711=0,$P$708=0),"",$L$711-1),IF($R$17="Distrato",$E1080,0))),0,YEARFRAC(MAX($P$708*($B1080+IF($R$17="Distrato",$I$38-1,0)),IF(AND($L$711=0,$P$708=0),"",$L$711-1),IF($R$17="Distrato",$E1080,0)),MIN(U$38,$D$19),$P$20))-SUM($P1080:T1080)</f>
        <v>#VALUE!</v>
      </c>
      <c r="V1080" s="446" t="e">
        <f>IF(OR($B1080="",MIN(V$38,$D$19)&lt;MAX($P$708*($B1080+IF($R$17="Distrato",$I$38-1,0)),IF(AND($L$711=0,$P$708=0),"",$L$711-1),IF($R$17="Distrato",$E1080,0))),0,YEARFRAC(MAX($P$708*($B1080+IF($R$17="Distrato",$I$38-1,0)),IF(AND($L$711=0,$P$708=0),"",$L$711-1),IF($R$17="Distrato",$E1080,0)),MIN(V$38,$D$19),$P$20))-SUM($P1080:U1080)</f>
        <v>#VALUE!</v>
      </c>
      <c r="W1080" s="446" t="e">
        <f>IF(OR($B1080="",MIN(W$38,$D$19)&lt;MAX($P$708*($B1080+IF($R$17="Distrato",$I$38-1,0)),IF(AND($L$711=0,$P$708=0),"",$L$711-1),IF($R$17="Distrato",$E1080,0))),0,YEARFRAC(MAX($P$708*($B1080+IF($R$17="Distrato",$I$38-1,0)),IF(AND($L$711=0,$P$708=0),"",$L$711-1),IF($R$17="Distrato",$E1080,0)),MIN(W$38,$D$19),$P$20))-SUM($P1080:V1080)</f>
        <v>#VALUE!</v>
      </c>
      <c r="X1080" s="446" t="e">
        <f>IF(OR($B1080="",MIN(X$38,$D$19)&lt;MAX($P$708*($B1080+IF($R$17="Distrato",$I$38-1,0)),IF(AND($L$711=0,$P$708=0),"",$L$711-1),IF($R$17="Distrato",$E1080,0))),0,YEARFRAC(MAX($P$708*($B1080+IF($R$17="Distrato",$I$38-1,0)),IF(AND($L$711=0,$P$708=0),"",$L$711-1),IF($R$17="Distrato",$E1080,0)),MIN(X$38,$D$19),$P$20))-SUM($P1080:W1080)</f>
        <v>#VALUE!</v>
      </c>
      <c r="Y1080" s="446" t="e">
        <f>IF(OR($B1080="",MIN(Y$38,$D$19)&lt;MAX($P$708*($B1080+IF($R$17="Distrato",$I$38-1,0)),IF(AND($L$711=0,$P$708=0),"",$L$711-1),IF($R$17="Distrato",$E1080,0))),0,YEARFRAC(MAX($P$708*($B1080+IF($R$17="Distrato",$I$38-1,0)),IF(AND($L$711=0,$P$708=0),"",$L$711-1),IF($R$17="Distrato",$E1080,0)),MIN(Y$38,$D$19),$P$20))-SUM($P1080:X1080)</f>
        <v>#VALUE!</v>
      </c>
      <c r="Z1080" s="446" t="e">
        <f>IF(OR($B1080="",MIN(Z$38,$D$19)&lt;MAX($P$708*($B1080+IF($R$17="Distrato",$I$38-1,0)),IF(AND($L$711=0,$P$708=0),"",$L$711-1),IF($R$17="Distrato",$E1080,0))),0,YEARFRAC(MAX($P$708*($B1080+IF($R$17="Distrato",$I$38-1,0)),IF(AND($L$711=0,$P$708=0),"",$L$711-1),IF($R$17="Distrato",$E1080,0)),MIN(Z$38,$D$19),$P$20))-SUM($P1080:Y1080)</f>
        <v>#VALUE!</v>
      </c>
      <c r="AA1080" s="446" t="e">
        <f>IF(OR($B1080="",MIN(AA$38,$D$19)&lt;MAX($P$708*($B1080+IF($R$17="Distrato",$I$38-1,0)),IF(AND($L$711=0,$P$708=0),"",$L$711-1),IF($R$17="Distrato",$E1080,0))),0,YEARFRAC(MAX($P$708*($B1080+IF($R$17="Distrato",$I$38-1,0)),IF(AND($L$711=0,$P$708=0),"",$L$711-1),IF($R$17="Distrato",$E1080,0)),MIN(AA$38,$D$19),$P$20))-SUM($P1080:Z1080)</f>
        <v>#VALUE!</v>
      </c>
      <c r="AB1080" s="446" t="e">
        <f>IF(OR($B1080="",MIN(AB$38,$D$19)&lt;MAX($P$708*($B1080+IF($R$17="Distrato",$I$38-1,0)),IF(AND($L$711=0,$P$708=0),"",$L$711-1),IF($R$17="Distrato",$E1080,0))),0,YEARFRAC(MAX($P$708*($B1080+IF($R$17="Distrato",$I$38-1,0)),IF(AND($L$711=0,$P$708=0),"",$L$711-1),IF($R$17="Distrato",$E1080,0)),MIN(AB$38,$D$19),$P$20))-SUM($P1080:AA1080)</f>
        <v>#VALUE!</v>
      </c>
      <c r="AC1080" s="446" t="e">
        <f>IF(OR($B1080="",MIN(AC$38,$D$19)&lt;MAX($P$708*($B1080+IF($R$17="Distrato",$I$38-1,0)),IF(AND($L$711=0,$P$708=0),"",$L$711-1),IF($R$17="Distrato",$E1080,0))),0,YEARFRAC(MAX($P$708*($B1080+IF($R$17="Distrato",$I$38-1,0)),IF(AND($L$711=0,$P$708=0),"",$L$711-1),IF($R$17="Distrato",$E1080,0)),MIN(AC$38,$D$19),$P$20))-SUM($P1080:AB1080)</f>
        <v>#VALUE!</v>
      </c>
      <c r="AD1080" s="446" t="e">
        <f>IF(OR($B1080="",MIN(AD$38,$D$19)&lt;MAX($P$708*($B1080+IF($R$17="Distrato",$I$38-1,0)),IF(AND($L$711=0,$P$708=0),"",$L$711-1),IF($R$17="Distrato",$E1080,0))),0,YEARFRAC(MAX($P$708*($B1080+IF($R$17="Distrato",$I$38-1,0)),IF(AND($L$711=0,$P$708=0),"",$L$711-1),IF($R$17="Distrato",$E1080,0)),MIN(AD$38,$D$19),$P$20))-SUM($P1080:AC1080)</f>
        <v>#VALUE!</v>
      </c>
      <c r="AE1080" s="446" t="e">
        <f>IF(OR($B1080="",MIN(AE$38,$D$19)&lt;MAX($P$708*($B1080+IF($R$17="Distrato",$I$38-1,0)),IF(AND($L$711=0,$P$708=0),"",$L$711-1),IF($R$17="Distrato",$E1080,0))),0,YEARFRAC(MAX($P$708*($B1080+IF($R$17="Distrato",$I$38-1,0)),IF(AND($L$711=0,$P$708=0),"",$L$711-1),IF($R$17="Distrato",$E1080,0)),MIN(AE$38,$D$19),$P$20))-SUM($P1080:AD1080)</f>
        <v>#VALUE!</v>
      </c>
      <c r="AF1080" s="446" t="e">
        <f>IF(OR($B1080="",MIN(AF$38,$D$19)&lt;MAX($P$708*($B1080+IF($R$17="Distrato",$I$38-1,0)),IF(AND($L$711=0,$P$708=0),"",$L$711-1),IF($R$17="Distrato",$E1080,0))),0,YEARFRAC(MAX($P$708*($B1080+IF($R$17="Distrato",$I$38-1,0)),IF(AND($L$711=0,$P$708=0),"",$L$711-1),IF($R$17="Distrato",$E1080,0)),MIN(AF$38,$D$19),$P$20))-SUM($P1080:AE1080)</f>
        <v>#VALUE!</v>
      </c>
      <c r="AG1080" s="446" t="e">
        <f>IF(OR($B1080="",MIN(AG$38,$D$19)&lt;MAX($P$708*($B1080+IF($R$17="Distrato",$I$38-1,0)),IF(AND($L$711=0,$P$708=0),"",$L$711-1),IF($R$17="Distrato",$E1080,0))),0,YEARFRAC(MAX($P$708*($B1080+IF($R$17="Distrato",$I$38-1,0)),IF(AND($L$711=0,$P$708=0),"",$L$711-1),IF($R$17="Distrato",$E1080,0)),MIN(AG$38,$D$19),$P$20))-SUM($P1080:AF1080)</f>
        <v>#VALUE!</v>
      </c>
      <c r="AH1080" s="446" t="e">
        <f>IF(OR($B1080="",MIN(AH$38,$D$19)&lt;MAX($P$708*($B1080+IF($R$17="Distrato",$I$38-1,0)),IF(AND($L$711=0,$P$708=0),"",$L$711-1),IF($R$17="Distrato",$E1080,0))),0,YEARFRAC(MAX($P$708*($B1080+IF($R$17="Distrato",$I$38-1,0)),IF(AND($L$711=0,$P$708=0),"",$L$711-1),IF($R$17="Distrato",$E1080,0)),MIN(AH$38,$D$19),$P$20))-SUM($P1080:AG1080)</f>
        <v>#VALUE!</v>
      </c>
      <c r="AI1080" s="446" t="e">
        <f>IF(OR($B1080="",MIN(AI$38,$D$19)&lt;MAX($P$708*($B1080+IF($R$17="Distrato",$I$38-1,0)),IF(AND($L$711=0,$P$708=0),"",$L$711-1),IF($R$17="Distrato",$E1080,0))),0,YEARFRAC(MAX($P$708*($B1080+IF($R$17="Distrato",$I$38-1,0)),IF(AND($L$711=0,$P$708=0),"",$L$711-1),IF($R$17="Distrato",$E1080,0)),MIN(AI$38,$D$19),$P$20))-SUM($P1080:AH1080)</f>
        <v>#VALUE!</v>
      </c>
      <c r="AJ1080" s="446" t="e">
        <f>IF(OR($B1080="",MIN(AJ$38,$D$19)&lt;MAX($P$708*($B1080+IF($R$17="Distrato",$I$38-1,0)),IF(AND($L$711=0,$P$708=0),"",$L$711-1),IF($R$17="Distrato",$E1080,0))),0,YEARFRAC(MAX($P$708*($B1080+IF($R$17="Distrato",$I$38-1,0)),IF(AND($L$711=0,$P$708=0),"",$L$711-1),IF($R$17="Distrato",$E1080,0)),MIN(AJ$38,$D$19),$P$20))-SUM($P1080:AI1080)</f>
        <v>#VALUE!</v>
      </c>
      <c r="AK1080" s="446" t="e">
        <f>IF(OR($B1080="",MIN(AK$38,$D$19)&lt;MAX($P$708*($B1080+IF($R$17="Distrato",$I$38-1,0)),IF(AND($L$711=0,$P$708=0),"",$L$711-1),IF($R$17="Distrato",$E1080,0))),0,YEARFRAC(MAX($P$708*($B1080+IF($R$17="Distrato",$I$38-1,0)),IF(AND($L$711=0,$P$708=0),"",$L$711-1),IF($R$17="Distrato",$E1080,0)),MIN(AK$38,$D$19),$P$20))-SUM($P1080:AJ1080)</f>
        <v>#VALUE!</v>
      </c>
      <c r="AL1080" s="446" t="e">
        <f>IF(OR($B1080="",MIN(AL$38,$D$19)&lt;MAX($P$708*($B1080+IF($R$17="Distrato",$I$38-1,0)),IF(AND($L$711=0,$P$708=0),"",$L$711-1),IF($R$17="Distrato",$E1080,0))),0,YEARFRAC(MAX($P$708*($B1080+IF($R$17="Distrato",$I$38-1,0)),IF(AND($L$711=0,$P$708=0),"",$L$711-1),IF($R$17="Distrato",$E1080,0)),MIN(AL$38,$D$19),$P$20))-SUM($P1080:AK1080)</f>
        <v>#VALUE!</v>
      </c>
      <c r="AM1080" s="446" t="e">
        <f>IF(OR($B1080="",MIN(AM$38,$D$19)&lt;MAX($P$708*($B1080+IF($R$17="Distrato",$I$38-1,0)),IF(AND($L$711=0,$P$708=0),"",$L$711-1),IF($R$17="Distrato",$E1080,0))),0,YEARFRAC(MAX($P$708*($B1080+IF($R$17="Distrato",$I$38-1,0)),IF(AND($L$711=0,$P$708=0),"",$L$711-1),IF($R$17="Distrato",$E1080,0)),MIN(AM$38,$D$19),$P$20))-SUM($P1080:AL1080)</f>
        <v>#VALUE!</v>
      </c>
      <c r="AN1080" s="446" t="e">
        <f>IF(OR($B1080="",MIN(AN$38,$D$19)&lt;MAX($P$708*($B1080+IF($R$17="Distrato",$I$38-1,0)),IF(AND($L$711=0,$P$708=0),"",$L$711-1),IF($R$17="Distrato",$E1080,0))),0,YEARFRAC(MAX($P$708*($B1080+IF($R$17="Distrato",$I$38-1,0)),IF(AND($L$711=0,$P$708=0),"",$L$711-1),IF($R$17="Distrato",$E1080,0)),MIN(AN$38,$D$19),$P$20))-SUM($P1080:AM1080)</f>
        <v>#VALUE!</v>
      </c>
      <c r="AO1080" s="446" t="e">
        <f>IF(OR($B1080="",MIN(AO$38,$D$19)&lt;MAX($P$708*($B1080+IF($R$17="Distrato",$I$38-1,0)),IF(AND($L$711=0,$P$708=0),"",$L$711-1),IF($R$17="Distrato",$E1080,0))),0,YEARFRAC(MAX($P$708*($B1080+IF($R$17="Distrato",$I$38-1,0)),IF(AND($L$711=0,$P$708=0),"",$L$711-1),IF($R$17="Distrato",$E1080,0)),MIN(AO$38,$D$19),$P$20))-SUM($P1080:AN1080)</f>
        <v>#VALUE!</v>
      </c>
      <c r="AP1080" s="446" t="e">
        <f>IF(OR($B1080="",MIN(AP$38,$D$19)&lt;MAX($P$708*($B1080+IF($R$17="Distrato",$I$38-1,0)),IF(AND($L$711=0,$P$708=0),"",$L$711-1),IF($R$17="Distrato",$E1080,0))),0,YEARFRAC(MAX($P$708*($B1080+IF($R$17="Distrato",$I$38-1,0)),IF(AND($L$711=0,$P$708=0),"",$L$711-1),IF($R$17="Distrato",$E1080,0)),MIN(AP$38,$D$19),$P$20))-SUM($P1080:AO1080)</f>
        <v>#VALUE!</v>
      </c>
      <c r="AQ1080" s="446" t="e">
        <f>IF(OR($B1080="",MIN(AQ$38,$D$19)&lt;MAX($P$708*($B1080+IF($R$17="Distrato",$I$38-1,0)),IF(AND($L$711=0,$P$708=0),"",$L$711-1),IF($R$17="Distrato",$E1080,0))),0,YEARFRAC(MAX($P$708*($B1080+IF($R$17="Distrato",$I$38-1,0)),IF(AND($L$711=0,$P$708=0),"",$L$711-1),IF($R$17="Distrato",$E1080,0)),MIN(AQ$38,$D$19),$P$20))-SUM($P1080:AP1080)</f>
        <v>#VALUE!</v>
      </c>
      <c r="AR1080" s="446" t="e">
        <f>IF(OR($B1080="",MIN(AR$38,$D$19)&lt;MAX($P$708*($B1080+IF($R$17="Distrato",$I$38-1,0)),IF(AND($L$711=0,$P$708=0),"",$L$711-1),IF($R$17="Distrato",$E1080,0))),0,YEARFRAC(MAX($P$708*($B1080+IF($R$17="Distrato",$I$38-1,0)),IF(AND($L$711=0,$P$708=0),"",$L$711-1),IF($R$17="Distrato",$E1080,0)),MIN(AR$38,$D$19),$P$20))-SUM($P1080:AQ1080)</f>
        <v>#VALUE!</v>
      </c>
      <c r="AS1080" s="446" t="e">
        <f>IF(OR($B1080="",MIN(AS$38,$D$19)&lt;MAX($P$708*($B1080+IF($R$17="Distrato",$I$38-1,0)),IF(AND($L$711=0,$P$708=0),"",$L$711-1),IF($R$17="Distrato",$E1080,0))),0,YEARFRAC(MAX($P$708*($B1080+IF($R$17="Distrato",$I$38-1,0)),IF(AND($L$711=0,$P$708=0),"",$L$711-1),IF($R$17="Distrato",$E1080,0)),MIN(AS$38,$D$19),$P$20))-SUM($P1080:AR1080)</f>
        <v>#VALUE!</v>
      </c>
      <c r="AT1080" s="446" t="e">
        <f>IF(OR($B1080="",MIN(AT$38,$D$19)&lt;MAX($P$708*($B1080+IF($R$17="Distrato",$I$38-1,0)),IF(AND($L$711=0,$P$708=0),"",$L$711-1),IF($R$17="Distrato",$E1080,0))),0,YEARFRAC(MAX($P$708*($B1080+IF($R$17="Distrato",$I$38-1,0)),IF(AND($L$711=0,$P$708=0),"",$L$711-1),IF($R$17="Distrato",$E1080,0)),MIN(AT$38,$D$19),$P$20))-SUM($P1080:AS1080)</f>
        <v>#VALUE!</v>
      </c>
      <c r="AU1080" s="446" t="e">
        <f>IF(OR($B1080="",MIN(AU$38,$D$19)&lt;MAX($P$708*($B1080+IF($R$17="Distrato",$I$38-1,0)),IF(AND($L$711=0,$P$708=0),"",$L$711-1),IF($R$17="Distrato",$E1080,0))),0,YEARFRAC(MAX($P$708*($B1080+IF($R$17="Distrato",$I$38-1,0)),IF(AND($L$711=0,$P$708=0),"",$L$711-1),IF($R$17="Distrato",$E1080,0)),MIN(AU$38,$D$19),$P$20))-SUM($P1080:AT1080)</f>
        <v>#VALUE!</v>
      </c>
      <c r="AV1080" s="446" t="e">
        <f>IF(OR($B1080="",MIN(AV$38,$D$19)&lt;MAX($P$708*($B1080+IF($R$17="Distrato",$I$38-1,0)),IF(AND($L$711=0,$P$708=0),"",$L$711-1),IF($R$17="Distrato",$E1080,0))),0,YEARFRAC(MAX($P$708*($B1080+IF($R$17="Distrato",$I$38-1,0)),IF(AND($L$711=0,$P$708=0),"",$L$711-1),IF($R$17="Distrato",$E1080,0)),MIN(AV$38,$D$19),$P$20))-SUM($P1080:AU1080)</f>
        <v>#VALUE!</v>
      </c>
      <c r="AW1080" s="446" t="e">
        <f>IF(OR($B1080="",MIN(AW$38,$D$19)&lt;MAX($P$708*($B1080+IF($R$17="Distrato",$I$38-1,0)),IF(AND($L$711=0,$P$708=0),"",$L$711-1),IF($R$17="Distrato",$E1080,0))),0,YEARFRAC(MAX($P$708*($B1080+IF($R$17="Distrato",$I$38-1,0)),IF(AND($L$711=0,$P$708=0),"",$L$711-1),IF($R$17="Distrato",$E1080,0)),MIN(AW$38,$D$19),$P$20))-SUM($P1080:AV1080)</f>
        <v>#VALUE!</v>
      </c>
      <c r="AX1080" s="446" t="e">
        <f>IF(OR($B1080="",MIN(AX$38,$D$19)&lt;MAX($P$708*($B1080+IF($R$17="Distrato",$I$38-1,0)),IF(AND($L$711=0,$P$708=0),"",$L$711-1),IF($R$17="Distrato",$E1080,0))),0,YEARFRAC(MAX($P$708*($B1080+IF($R$17="Distrato",$I$38-1,0)),IF(AND($L$711=0,$P$708=0),"",$L$711-1),IF($R$17="Distrato",$E1080,0)),MIN(AX$38,$D$19),$P$20))-SUM($P1080:AW1080)</f>
        <v>#VALUE!</v>
      </c>
      <c r="AY1080" s="446" t="e">
        <f>IF(OR($B1080="",MIN(AY$38,$D$19)&lt;MAX($P$708*($B1080+IF($R$17="Distrato",$I$38-1,0)),IF(AND($L$711=0,$P$708=0),"",$L$711-1),IF($R$17="Distrato",$E1080,0))),0,YEARFRAC(MAX($P$708*($B1080+IF($R$17="Distrato",$I$38-1,0)),IF(AND($L$711=0,$P$708=0),"",$L$711-1),IF($R$17="Distrato",$E1080,0)),MIN(AY$38,$D$19),$P$20))-SUM($P1080:AX1080)</f>
        <v>#VALUE!</v>
      </c>
      <c r="AZ1080" s="446" t="e">
        <f>IF(OR($B1080="",MIN(AZ$38,$D$19)&lt;MAX($P$708*($B1080+IF($R$17="Distrato",$I$38-1,0)),IF(AND($L$711=0,$P$708=0),"",$L$711-1),IF($R$17="Distrato",$E1080,0))),0,YEARFRAC(MAX($P$708*($B1080+IF($R$17="Distrato",$I$38-1,0)),IF(AND($L$711=0,$P$708=0),"",$L$711-1),IF($R$17="Distrato",$E1080,0)),MIN(AZ$38,$D$19),$P$20))-SUM($P1080:AY1080)</f>
        <v>#VALUE!</v>
      </c>
      <c r="BA1080" s="446" t="e">
        <f>IF(OR($B1080="",MIN(BA$38,$D$19)&lt;MAX($P$708*($B1080+IF($R$17="Distrato",$I$38-1,0)),IF(AND($L$711=0,$P$708=0),"",$L$711-1),IF($R$17="Distrato",$E1080,0))),0,YEARFRAC(MAX($P$708*($B1080+IF($R$17="Distrato",$I$38-1,0)),IF(AND($L$711=0,$P$708=0),"",$L$711-1),IF($R$17="Distrato",$E1080,0)),MIN(BA$38,$D$19),$P$20))-SUM($P1080:AZ1080)</f>
        <v>#VALUE!</v>
      </c>
      <c r="BB1080" s="447"/>
    </row>
    <row r="1081" spans="1:54" s="446" customFormat="1" ht="11.25" hidden="1" customHeight="1" x14ac:dyDescent="0.2">
      <c r="A1081" s="235"/>
      <c r="B1081" s="236"/>
      <c r="C1081" s="29" t="str">
        <f>IF(B1081="","",IF($L$709=$BL$25,VLOOKUP(DATE(YEAR($D$19),MONTH($D$19)-1,1),ÍNDICES!$A:$DE,HLOOKUP($BL$25,ÍNDICES!$B$3:$T$4,2)+11)-VLOOKUP(B1081,ÍNDICES!$A:$DE,HLOOKUP($BL$25,ÍNDICES!$B$3:$T$4,2)+11)+1%,IF(C$712=$W$26,$J$35,IF(ISERROR(IF(B1081&gt;$D$19,1,VLOOKUP(DATE(YEAR(B1081),MONTH(B1081)+IF($C$709=$S$23,1,0),1),ÍNDICES!$A:$DE,$Z$709+1))),"",IF(B1081&gt;$D$19,1,VLOOKUP(DATE(YEAR(B1081),MONTH(B1081)+IF($C$709=$S$23,1,0),1),ÍNDICES!$A:$DE,$Z$709+1))))))</f>
        <v/>
      </c>
      <c r="D1081" s="155"/>
      <c r="E1081" s="88"/>
      <c r="F1081" s="88"/>
      <c r="G1081" s="88"/>
      <c r="H1081" s="118"/>
      <c r="I1081" s="182">
        <f t="shared" si="150"/>
        <v>0</v>
      </c>
      <c r="J1081" s="20">
        <f t="shared" ca="1" si="151"/>
        <v>0</v>
      </c>
      <c r="K1081" s="5">
        <f t="shared" ca="1" si="152"/>
        <v>0</v>
      </c>
      <c r="L1081" s="61">
        <f t="shared" ca="1" si="153"/>
        <v>0</v>
      </c>
      <c r="M1081" s="64">
        <f t="shared" si="154"/>
        <v>0</v>
      </c>
      <c r="N1081" s="151"/>
      <c r="O1081" s="5">
        <f t="shared" ca="1" si="155"/>
        <v>0</v>
      </c>
      <c r="P1081" s="446" t="e">
        <f t="shared" si="156"/>
        <v>#VALUE!</v>
      </c>
      <c r="Q1081" s="446" t="e">
        <f>IF(OR($B1081="",MIN(Q$38,$D$19)&lt;MAX($P$708*($B1081+IF($R$17="Distrato",$I$38-1,0)),IF(AND($L$711=0,$P$708=0),"",$L$711-1),IF($R$17="Distrato",$E1081,0))),0,YEARFRAC(MAX($P$708*($B1081+IF($R$17="Distrato",$I$38-1,0)),IF(AND($L$711=0,$P$708=0),"",$L$711-1),IF($R$17="Distrato",$E1081,0)),MIN(Q$38,$D$19),$P$20))-SUM($P1081:P1081)</f>
        <v>#VALUE!</v>
      </c>
      <c r="R1081" s="446" t="e">
        <f>IF(OR($B1081="",MIN(R$38,$D$19)&lt;MAX($P$708*($B1081+IF($R$17="Distrato",$I$38-1,0)),IF(AND($L$711=0,$P$708=0),"",$L$711-1),IF($R$17="Distrato",$E1081,0))),0,YEARFRAC(MAX($P$708*($B1081+IF($R$17="Distrato",$I$38-1,0)),IF(AND($L$711=0,$P$708=0),"",$L$711-1),IF($R$17="Distrato",$E1081,0)),MIN(R$38,$D$19),$P$20))-SUM($P1081:Q1081)</f>
        <v>#VALUE!</v>
      </c>
      <c r="S1081" s="446" t="e">
        <f>IF(OR($B1081="",MIN(S$38,$D$19)&lt;MAX($P$708*($B1081+IF($R$17="Distrato",$I$38-1,0)),IF(AND($L$711=0,$P$708=0),"",$L$711-1),IF($R$17="Distrato",$E1081,0))),0,YEARFRAC(MAX($P$708*($B1081+IF($R$17="Distrato",$I$38-1,0)),IF(AND($L$711=0,$P$708=0),"",$L$711-1),IF($R$17="Distrato",$E1081,0)),MIN(S$38,$D$19),$P$20))-SUM($P1081:R1081)</f>
        <v>#VALUE!</v>
      </c>
      <c r="T1081" s="446" t="e">
        <f>IF(OR($B1081="",MIN(T$38,$D$19)&lt;MAX($P$708*($B1081+IF($R$17="Distrato",$I$38-1,0)),IF(AND($L$711=0,$P$708=0),"",$L$711-1),IF($R$17="Distrato",$E1081,0))),0,YEARFRAC(MAX($P$708*($B1081+IF($R$17="Distrato",$I$38-1,0)),IF(AND($L$711=0,$P$708=0),"",$L$711-1),IF($R$17="Distrato",$E1081,0)),MIN(T$38,$D$19),$P$20))-SUM($P1081:S1081)</f>
        <v>#VALUE!</v>
      </c>
      <c r="U1081" s="446" t="e">
        <f>IF(OR($B1081="",MIN(U$38,$D$19)&lt;MAX($P$708*($B1081+IF($R$17="Distrato",$I$38-1,0)),IF(AND($L$711=0,$P$708=0),"",$L$711-1),IF($R$17="Distrato",$E1081,0))),0,YEARFRAC(MAX($P$708*($B1081+IF($R$17="Distrato",$I$38-1,0)),IF(AND($L$711=0,$P$708=0),"",$L$711-1),IF($R$17="Distrato",$E1081,0)),MIN(U$38,$D$19),$P$20))-SUM($P1081:T1081)</f>
        <v>#VALUE!</v>
      </c>
      <c r="V1081" s="446" t="e">
        <f>IF(OR($B1081="",MIN(V$38,$D$19)&lt;MAX($P$708*($B1081+IF($R$17="Distrato",$I$38-1,0)),IF(AND($L$711=0,$P$708=0),"",$L$711-1),IF($R$17="Distrato",$E1081,0))),0,YEARFRAC(MAX($P$708*($B1081+IF($R$17="Distrato",$I$38-1,0)),IF(AND($L$711=0,$P$708=0),"",$L$711-1),IF($R$17="Distrato",$E1081,0)),MIN(V$38,$D$19),$P$20))-SUM($P1081:U1081)</f>
        <v>#VALUE!</v>
      </c>
      <c r="W1081" s="446" t="e">
        <f>IF(OR($B1081="",MIN(W$38,$D$19)&lt;MAX($P$708*($B1081+IF($R$17="Distrato",$I$38-1,0)),IF(AND($L$711=0,$P$708=0),"",$L$711-1),IF($R$17="Distrato",$E1081,0))),0,YEARFRAC(MAX($P$708*($B1081+IF($R$17="Distrato",$I$38-1,0)),IF(AND($L$711=0,$P$708=0),"",$L$711-1),IF($R$17="Distrato",$E1081,0)),MIN(W$38,$D$19),$P$20))-SUM($P1081:V1081)</f>
        <v>#VALUE!</v>
      </c>
      <c r="X1081" s="446" t="e">
        <f>IF(OR($B1081="",MIN(X$38,$D$19)&lt;MAX($P$708*($B1081+IF($R$17="Distrato",$I$38-1,0)),IF(AND($L$711=0,$P$708=0),"",$L$711-1),IF($R$17="Distrato",$E1081,0))),0,YEARFRAC(MAX($P$708*($B1081+IF($R$17="Distrato",$I$38-1,0)),IF(AND($L$711=0,$P$708=0),"",$L$711-1),IF($R$17="Distrato",$E1081,0)),MIN(X$38,$D$19),$P$20))-SUM($P1081:W1081)</f>
        <v>#VALUE!</v>
      </c>
      <c r="Y1081" s="446" t="e">
        <f>IF(OR($B1081="",MIN(Y$38,$D$19)&lt;MAX($P$708*($B1081+IF($R$17="Distrato",$I$38-1,0)),IF(AND($L$711=0,$P$708=0),"",$L$711-1),IF($R$17="Distrato",$E1081,0))),0,YEARFRAC(MAX($P$708*($B1081+IF($R$17="Distrato",$I$38-1,0)),IF(AND($L$711=0,$P$708=0),"",$L$711-1),IF($R$17="Distrato",$E1081,0)),MIN(Y$38,$D$19),$P$20))-SUM($P1081:X1081)</f>
        <v>#VALUE!</v>
      </c>
      <c r="Z1081" s="446" t="e">
        <f>IF(OR($B1081="",MIN(Z$38,$D$19)&lt;MAX($P$708*($B1081+IF($R$17="Distrato",$I$38-1,0)),IF(AND($L$711=0,$P$708=0),"",$L$711-1),IF($R$17="Distrato",$E1081,0))),0,YEARFRAC(MAX($P$708*($B1081+IF($R$17="Distrato",$I$38-1,0)),IF(AND($L$711=0,$P$708=0),"",$L$711-1),IF($R$17="Distrato",$E1081,0)),MIN(Z$38,$D$19),$P$20))-SUM($P1081:Y1081)</f>
        <v>#VALUE!</v>
      </c>
      <c r="AA1081" s="446" t="e">
        <f>IF(OR($B1081="",MIN(AA$38,$D$19)&lt;MAX($P$708*($B1081+IF($R$17="Distrato",$I$38-1,0)),IF(AND($L$711=0,$P$708=0),"",$L$711-1),IF($R$17="Distrato",$E1081,0))),0,YEARFRAC(MAX($P$708*($B1081+IF($R$17="Distrato",$I$38-1,0)),IF(AND($L$711=0,$P$708=0),"",$L$711-1),IF($R$17="Distrato",$E1081,0)),MIN(AA$38,$D$19),$P$20))-SUM($P1081:Z1081)</f>
        <v>#VALUE!</v>
      </c>
      <c r="AB1081" s="446" t="e">
        <f>IF(OR($B1081="",MIN(AB$38,$D$19)&lt;MAX($P$708*($B1081+IF($R$17="Distrato",$I$38-1,0)),IF(AND($L$711=0,$P$708=0),"",$L$711-1),IF($R$17="Distrato",$E1081,0))),0,YEARFRAC(MAX($P$708*($B1081+IF($R$17="Distrato",$I$38-1,0)),IF(AND($L$711=0,$P$708=0),"",$L$711-1),IF($R$17="Distrato",$E1081,0)),MIN(AB$38,$D$19),$P$20))-SUM($P1081:AA1081)</f>
        <v>#VALUE!</v>
      </c>
      <c r="AC1081" s="446" t="e">
        <f>IF(OR($B1081="",MIN(AC$38,$D$19)&lt;MAX($P$708*($B1081+IF($R$17="Distrato",$I$38-1,0)),IF(AND($L$711=0,$P$708=0),"",$L$711-1),IF($R$17="Distrato",$E1081,0))),0,YEARFRAC(MAX($P$708*($B1081+IF($R$17="Distrato",$I$38-1,0)),IF(AND($L$711=0,$P$708=0),"",$L$711-1),IF($R$17="Distrato",$E1081,0)),MIN(AC$38,$D$19),$P$20))-SUM($P1081:AB1081)</f>
        <v>#VALUE!</v>
      </c>
      <c r="AD1081" s="446" t="e">
        <f>IF(OR($B1081="",MIN(AD$38,$D$19)&lt;MAX($P$708*($B1081+IF($R$17="Distrato",$I$38-1,0)),IF(AND($L$711=0,$P$708=0),"",$L$711-1),IF($R$17="Distrato",$E1081,0))),0,YEARFRAC(MAX($P$708*($B1081+IF($R$17="Distrato",$I$38-1,0)),IF(AND($L$711=0,$P$708=0),"",$L$711-1),IF($R$17="Distrato",$E1081,0)),MIN(AD$38,$D$19),$P$20))-SUM($P1081:AC1081)</f>
        <v>#VALUE!</v>
      </c>
      <c r="AE1081" s="446" t="e">
        <f>IF(OR($B1081="",MIN(AE$38,$D$19)&lt;MAX($P$708*($B1081+IF($R$17="Distrato",$I$38-1,0)),IF(AND($L$711=0,$P$708=0),"",$L$711-1),IF($R$17="Distrato",$E1081,0))),0,YEARFRAC(MAX($P$708*($B1081+IF($R$17="Distrato",$I$38-1,0)),IF(AND($L$711=0,$P$708=0),"",$L$711-1),IF($R$17="Distrato",$E1081,0)),MIN(AE$38,$D$19),$P$20))-SUM($P1081:AD1081)</f>
        <v>#VALUE!</v>
      </c>
      <c r="AF1081" s="446" t="e">
        <f>IF(OR($B1081="",MIN(AF$38,$D$19)&lt;MAX($P$708*($B1081+IF($R$17="Distrato",$I$38-1,0)),IF(AND($L$711=0,$P$708=0),"",$L$711-1),IF($R$17="Distrato",$E1081,0))),0,YEARFRAC(MAX($P$708*($B1081+IF($R$17="Distrato",$I$38-1,0)),IF(AND($L$711=0,$P$708=0),"",$L$711-1),IF($R$17="Distrato",$E1081,0)),MIN(AF$38,$D$19),$P$20))-SUM($P1081:AE1081)</f>
        <v>#VALUE!</v>
      </c>
      <c r="AG1081" s="446" t="e">
        <f>IF(OR($B1081="",MIN(AG$38,$D$19)&lt;MAX($P$708*($B1081+IF($R$17="Distrato",$I$38-1,0)),IF(AND($L$711=0,$P$708=0),"",$L$711-1),IF($R$17="Distrato",$E1081,0))),0,YEARFRAC(MAX($P$708*($B1081+IF($R$17="Distrato",$I$38-1,0)),IF(AND($L$711=0,$P$708=0),"",$L$711-1),IF($R$17="Distrato",$E1081,0)),MIN(AG$38,$D$19),$P$20))-SUM($P1081:AF1081)</f>
        <v>#VALUE!</v>
      </c>
      <c r="AH1081" s="446" t="e">
        <f>IF(OR($B1081="",MIN(AH$38,$D$19)&lt;MAX($P$708*($B1081+IF($R$17="Distrato",$I$38-1,0)),IF(AND($L$711=0,$P$708=0),"",$L$711-1),IF($R$17="Distrato",$E1081,0))),0,YEARFRAC(MAX($P$708*($B1081+IF($R$17="Distrato",$I$38-1,0)),IF(AND($L$711=0,$P$708=0),"",$L$711-1),IF($R$17="Distrato",$E1081,0)),MIN(AH$38,$D$19),$P$20))-SUM($P1081:AG1081)</f>
        <v>#VALUE!</v>
      </c>
      <c r="AI1081" s="446" t="e">
        <f>IF(OR($B1081="",MIN(AI$38,$D$19)&lt;MAX($P$708*($B1081+IF($R$17="Distrato",$I$38-1,0)),IF(AND($L$711=0,$P$708=0),"",$L$711-1),IF($R$17="Distrato",$E1081,0))),0,YEARFRAC(MAX($P$708*($B1081+IF($R$17="Distrato",$I$38-1,0)),IF(AND($L$711=0,$P$708=0),"",$L$711-1),IF($R$17="Distrato",$E1081,0)),MIN(AI$38,$D$19),$P$20))-SUM($P1081:AH1081)</f>
        <v>#VALUE!</v>
      </c>
      <c r="AJ1081" s="446" t="e">
        <f>IF(OR($B1081="",MIN(AJ$38,$D$19)&lt;MAX($P$708*($B1081+IF($R$17="Distrato",$I$38-1,0)),IF(AND($L$711=0,$P$708=0),"",$L$711-1),IF($R$17="Distrato",$E1081,0))),0,YEARFRAC(MAX($P$708*($B1081+IF($R$17="Distrato",$I$38-1,0)),IF(AND($L$711=0,$P$708=0),"",$L$711-1),IF($R$17="Distrato",$E1081,0)),MIN(AJ$38,$D$19),$P$20))-SUM($P1081:AI1081)</f>
        <v>#VALUE!</v>
      </c>
      <c r="AK1081" s="446" t="e">
        <f>IF(OR($B1081="",MIN(AK$38,$D$19)&lt;MAX($P$708*($B1081+IF($R$17="Distrato",$I$38-1,0)),IF(AND($L$711=0,$P$708=0),"",$L$711-1),IF($R$17="Distrato",$E1081,0))),0,YEARFRAC(MAX($P$708*($B1081+IF($R$17="Distrato",$I$38-1,0)),IF(AND($L$711=0,$P$708=0),"",$L$711-1),IF($R$17="Distrato",$E1081,0)),MIN(AK$38,$D$19),$P$20))-SUM($P1081:AJ1081)</f>
        <v>#VALUE!</v>
      </c>
      <c r="AL1081" s="446" t="e">
        <f>IF(OR($B1081="",MIN(AL$38,$D$19)&lt;MAX($P$708*($B1081+IF($R$17="Distrato",$I$38-1,0)),IF(AND($L$711=0,$P$708=0),"",$L$711-1),IF($R$17="Distrato",$E1081,0))),0,YEARFRAC(MAX($P$708*($B1081+IF($R$17="Distrato",$I$38-1,0)),IF(AND($L$711=0,$P$708=0),"",$L$711-1),IF($R$17="Distrato",$E1081,0)),MIN(AL$38,$D$19),$P$20))-SUM($P1081:AK1081)</f>
        <v>#VALUE!</v>
      </c>
      <c r="AM1081" s="446" t="e">
        <f>IF(OR($B1081="",MIN(AM$38,$D$19)&lt;MAX($P$708*($B1081+IF($R$17="Distrato",$I$38-1,0)),IF(AND($L$711=0,$P$708=0),"",$L$711-1),IF($R$17="Distrato",$E1081,0))),0,YEARFRAC(MAX($P$708*($B1081+IF($R$17="Distrato",$I$38-1,0)),IF(AND($L$711=0,$P$708=0),"",$L$711-1),IF($R$17="Distrato",$E1081,0)),MIN(AM$38,$D$19),$P$20))-SUM($P1081:AL1081)</f>
        <v>#VALUE!</v>
      </c>
      <c r="AN1081" s="446" t="e">
        <f>IF(OR($B1081="",MIN(AN$38,$D$19)&lt;MAX($P$708*($B1081+IF($R$17="Distrato",$I$38-1,0)),IF(AND($L$711=0,$P$708=0),"",$L$711-1),IF($R$17="Distrato",$E1081,0))),0,YEARFRAC(MAX($P$708*($B1081+IF($R$17="Distrato",$I$38-1,0)),IF(AND($L$711=0,$P$708=0),"",$L$711-1),IF($R$17="Distrato",$E1081,0)),MIN(AN$38,$D$19),$P$20))-SUM($P1081:AM1081)</f>
        <v>#VALUE!</v>
      </c>
      <c r="AO1081" s="446" t="e">
        <f>IF(OR($B1081="",MIN(AO$38,$D$19)&lt;MAX($P$708*($B1081+IF($R$17="Distrato",$I$38-1,0)),IF(AND($L$711=0,$P$708=0),"",$L$711-1),IF($R$17="Distrato",$E1081,0))),0,YEARFRAC(MAX($P$708*($B1081+IF($R$17="Distrato",$I$38-1,0)),IF(AND($L$711=0,$P$708=0),"",$L$711-1),IF($R$17="Distrato",$E1081,0)),MIN(AO$38,$D$19),$P$20))-SUM($P1081:AN1081)</f>
        <v>#VALUE!</v>
      </c>
      <c r="AP1081" s="446" t="e">
        <f>IF(OR($B1081="",MIN(AP$38,$D$19)&lt;MAX($P$708*($B1081+IF($R$17="Distrato",$I$38-1,0)),IF(AND($L$711=0,$P$708=0),"",$L$711-1),IF($R$17="Distrato",$E1081,0))),0,YEARFRAC(MAX($P$708*($B1081+IF($R$17="Distrato",$I$38-1,0)),IF(AND($L$711=0,$P$708=0),"",$L$711-1),IF($R$17="Distrato",$E1081,0)),MIN(AP$38,$D$19),$P$20))-SUM($P1081:AO1081)</f>
        <v>#VALUE!</v>
      </c>
      <c r="AQ1081" s="446" t="e">
        <f>IF(OR($B1081="",MIN(AQ$38,$D$19)&lt;MAX($P$708*($B1081+IF($R$17="Distrato",$I$38-1,0)),IF(AND($L$711=0,$P$708=0),"",$L$711-1),IF($R$17="Distrato",$E1081,0))),0,YEARFRAC(MAX($P$708*($B1081+IF($R$17="Distrato",$I$38-1,0)),IF(AND($L$711=0,$P$708=0),"",$L$711-1),IF($R$17="Distrato",$E1081,0)),MIN(AQ$38,$D$19),$P$20))-SUM($P1081:AP1081)</f>
        <v>#VALUE!</v>
      </c>
      <c r="AR1081" s="446" t="e">
        <f>IF(OR($B1081="",MIN(AR$38,$D$19)&lt;MAX($P$708*($B1081+IF($R$17="Distrato",$I$38-1,0)),IF(AND($L$711=0,$P$708=0),"",$L$711-1),IF($R$17="Distrato",$E1081,0))),0,YEARFRAC(MAX($P$708*($B1081+IF($R$17="Distrato",$I$38-1,0)),IF(AND($L$711=0,$P$708=0),"",$L$711-1),IF($R$17="Distrato",$E1081,0)),MIN(AR$38,$D$19),$P$20))-SUM($P1081:AQ1081)</f>
        <v>#VALUE!</v>
      </c>
      <c r="AS1081" s="446" t="e">
        <f>IF(OR($B1081="",MIN(AS$38,$D$19)&lt;MAX($P$708*($B1081+IF($R$17="Distrato",$I$38-1,0)),IF(AND($L$711=0,$P$708=0),"",$L$711-1),IF($R$17="Distrato",$E1081,0))),0,YEARFRAC(MAX($P$708*($B1081+IF($R$17="Distrato",$I$38-1,0)),IF(AND($L$711=0,$P$708=0),"",$L$711-1),IF($R$17="Distrato",$E1081,0)),MIN(AS$38,$D$19),$P$20))-SUM($P1081:AR1081)</f>
        <v>#VALUE!</v>
      </c>
      <c r="AT1081" s="446" t="e">
        <f>IF(OR($B1081="",MIN(AT$38,$D$19)&lt;MAX($P$708*($B1081+IF($R$17="Distrato",$I$38-1,0)),IF(AND($L$711=0,$P$708=0),"",$L$711-1),IF($R$17="Distrato",$E1081,0))),0,YEARFRAC(MAX($P$708*($B1081+IF($R$17="Distrato",$I$38-1,0)),IF(AND($L$711=0,$P$708=0),"",$L$711-1),IF($R$17="Distrato",$E1081,0)),MIN(AT$38,$D$19),$P$20))-SUM($P1081:AS1081)</f>
        <v>#VALUE!</v>
      </c>
      <c r="AU1081" s="446" t="e">
        <f>IF(OR($B1081="",MIN(AU$38,$D$19)&lt;MAX($P$708*($B1081+IF($R$17="Distrato",$I$38-1,0)),IF(AND($L$711=0,$P$708=0),"",$L$711-1),IF($R$17="Distrato",$E1081,0))),0,YEARFRAC(MAX($P$708*($B1081+IF($R$17="Distrato",$I$38-1,0)),IF(AND($L$711=0,$P$708=0),"",$L$711-1),IF($R$17="Distrato",$E1081,0)),MIN(AU$38,$D$19),$P$20))-SUM($P1081:AT1081)</f>
        <v>#VALUE!</v>
      </c>
      <c r="AV1081" s="446" t="e">
        <f>IF(OR($B1081="",MIN(AV$38,$D$19)&lt;MAX($P$708*($B1081+IF($R$17="Distrato",$I$38-1,0)),IF(AND($L$711=0,$P$708=0),"",$L$711-1),IF($R$17="Distrato",$E1081,0))),0,YEARFRAC(MAX($P$708*($B1081+IF($R$17="Distrato",$I$38-1,0)),IF(AND($L$711=0,$P$708=0),"",$L$711-1),IF($R$17="Distrato",$E1081,0)),MIN(AV$38,$D$19),$P$20))-SUM($P1081:AU1081)</f>
        <v>#VALUE!</v>
      </c>
      <c r="AW1081" s="446" t="e">
        <f>IF(OR($B1081="",MIN(AW$38,$D$19)&lt;MAX($P$708*($B1081+IF($R$17="Distrato",$I$38-1,0)),IF(AND($L$711=0,$P$708=0),"",$L$711-1),IF($R$17="Distrato",$E1081,0))),0,YEARFRAC(MAX($P$708*($B1081+IF($R$17="Distrato",$I$38-1,0)),IF(AND($L$711=0,$P$708=0),"",$L$711-1),IF($R$17="Distrato",$E1081,0)),MIN(AW$38,$D$19),$P$20))-SUM($P1081:AV1081)</f>
        <v>#VALUE!</v>
      </c>
      <c r="AX1081" s="446" t="e">
        <f>IF(OR($B1081="",MIN(AX$38,$D$19)&lt;MAX($P$708*($B1081+IF($R$17="Distrato",$I$38-1,0)),IF(AND($L$711=0,$P$708=0),"",$L$711-1),IF($R$17="Distrato",$E1081,0))),0,YEARFRAC(MAX($P$708*($B1081+IF($R$17="Distrato",$I$38-1,0)),IF(AND($L$711=0,$P$708=0),"",$L$711-1),IF($R$17="Distrato",$E1081,0)),MIN(AX$38,$D$19),$P$20))-SUM($P1081:AW1081)</f>
        <v>#VALUE!</v>
      </c>
      <c r="AY1081" s="446" t="e">
        <f>IF(OR($B1081="",MIN(AY$38,$D$19)&lt;MAX($P$708*($B1081+IF($R$17="Distrato",$I$38-1,0)),IF(AND($L$711=0,$P$708=0),"",$L$711-1),IF($R$17="Distrato",$E1081,0))),0,YEARFRAC(MAX($P$708*($B1081+IF($R$17="Distrato",$I$38-1,0)),IF(AND($L$711=0,$P$708=0),"",$L$711-1),IF($R$17="Distrato",$E1081,0)),MIN(AY$38,$D$19),$P$20))-SUM($P1081:AX1081)</f>
        <v>#VALUE!</v>
      </c>
      <c r="AZ1081" s="446" t="e">
        <f>IF(OR($B1081="",MIN(AZ$38,$D$19)&lt;MAX($P$708*($B1081+IF($R$17="Distrato",$I$38-1,0)),IF(AND($L$711=0,$P$708=0),"",$L$711-1),IF($R$17="Distrato",$E1081,0))),0,YEARFRAC(MAX($P$708*($B1081+IF($R$17="Distrato",$I$38-1,0)),IF(AND($L$711=0,$P$708=0),"",$L$711-1),IF($R$17="Distrato",$E1081,0)),MIN(AZ$38,$D$19),$P$20))-SUM($P1081:AY1081)</f>
        <v>#VALUE!</v>
      </c>
      <c r="BA1081" s="446" t="e">
        <f>IF(OR($B1081="",MIN(BA$38,$D$19)&lt;MAX($P$708*($B1081+IF($R$17="Distrato",$I$38-1,0)),IF(AND($L$711=0,$P$708=0),"",$L$711-1),IF($R$17="Distrato",$E1081,0))),0,YEARFRAC(MAX($P$708*($B1081+IF($R$17="Distrato",$I$38-1,0)),IF(AND($L$711=0,$P$708=0),"",$L$711-1),IF($R$17="Distrato",$E1081,0)),MIN(BA$38,$D$19),$P$20))-SUM($P1081:AZ1081)</f>
        <v>#VALUE!</v>
      </c>
      <c r="BB1081" s="447"/>
    </row>
    <row r="1082" spans="1:54" s="446" customFormat="1" ht="11.25" hidden="1" customHeight="1" x14ac:dyDescent="0.2">
      <c r="A1082" s="235"/>
      <c r="B1082" s="236"/>
      <c r="C1082" s="29" t="str">
        <f>IF(B1082="","",IF($L$709=$BL$25,VLOOKUP(DATE(YEAR($D$19),MONTH($D$19)-1,1),ÍNDICES!$A:$DE,HLOOKUP($BL$25,ÍNDICES!$B$3:$T$4,2)+11)-VLOOKUP(B1082,ÍNDICES!$A:$DE,HLOOKUP($BL$25,ÍNDICES!$B$3:$T$4,2)+11)+1%,IF(C$712=$W$26,$J$35,IF(ISERROR(IF(B1082&gt;$D$19,1,VLOOKUP(DATE(YEAR(B1082),MONTH(B1082)+IF($C$709=$S$23,1,0),1),ÍNDICES!$A:$DE,$Z$709+1))),"",IF(B1082&gt;$D$19,1,VLOOKUP(DATE(YEAR(B1082),MONTH(B1082)+IF($C$709=$S$23,1,0),1),ÍNDICES!$A:$DE,$Z$709+1))))))</f>
        <v/>
      </c>
      <c r="D1082" s="155"/>
      <c r="E1082" s="88"/>
      <c r="F1082" s="88"/>
      <c r="G1082" s="88"/>
      <c r="H1082" s="118"/>
      <c r="I1082" s="182">
        <f t="shared" si="150"/>
        <v>0</v>
      </c>
      <c r="J1082" s="20">
        <f t="shared" ca="1" si="151"/>
        <v>0</v>
      </c>
      <c r="K1082" s="5">
        <f t="shared" ca="1" si="152"/>
        <v>0</v>
      </c>
      <c r="L1082" s="61">
        <f t="shared" ca="1" si="153"/>
        <v>0</v>
      </c>
      <c r="M1082" s="64">
        <f t="shared" si="154"/>
        <v>0</v>
      </c>
      <c r="N1082" s="151"/>
      <c r="O1082" s="5">
        <f t="shared" ca="1" si="155"/>
        <v>0</v>
      </c>
      <c r="P1082" s="446" t="e">
        <f t="shared" si="156"/>
        <v>#VALUE!</v>
      </c>
      <c r="Q1082" s="446" t="e">
        <f>IF(OR($B1082="",MIN(Q$38,$D$19)&lt;MAX($P$708*($B1082+IF($R$17="Distrato",$I$38-1,0)),IF(AND($L$711=0,$P$708=0),"",$L$711-1),IF($R$17="Distrato",$E1082,0))),0,YEARFRAC(MAX($P$708*($B1082+IF($R$17="Distrato",$I$38-1,0)),IF(AND($L$711=0,$P$708=0),"",$L$711-1),IF($R$17="Distrato",$E1082,0)),MIN(Q$38,$D$19),$P$20))-SUM($P1082:P1082)</f>
        <v>#VALUE!</v>
      </c>
      <c r="R1082" s="446" t="e">
        <f>IF(OR($B1082="",MIN(R$38,$D$19)&lt;MAX($P$708*($B1082+IF($R$17="Distrato",$I$38-1,0)),IF(AND($L$711=0,$P$708=0),"",$L$711-1),IF($R$17="Distrato",$E1082,0))),0,YEARFRAC(MAX($P$708*($B1082+IF($R$17="Distrato",$I$38-1,0)),IF(AND($L$711=0,$P$708=0),"",$L$711-1),IF($R$17="Distrato",$E1082,0)),MIN(R$38,$D$19),$P$20))-SUM($P1082:Q1082)</f>
        <v>#VALUE!</v>
      </c>
      <c r="S1082" s="446" t="e">
        <f>IF(OR($B1082="",MIN(S$38,$D$19)&lt;MAX($P$708*($B1082+IF($R$17="Distrato",$I$38-1,0)),IF(AND($L$711=0,$P$708=0),"",$L$711-1),IF($R$17="Distrato",$E1082,0))),0,YEARFRAC(MAX($P$708*($B1082+IF($R$17="Distrato",$I$38-1,0)),IF(AND($L$711=0,$P$708=0),"",$L$711-1),IF($R$17="Distrato",$E1082,0)),MIN(S$38,$D$19),$P$20))-SUM($P1082:R1082)</f>
        <v>#VALUE!</v>
      </c>
      <c r="T1082" s="446" t="e">
        <f>IF(OR($B1082="",MIN(T$38,$D$19)&lt;MAX($P$708*($B1082+IF($R$17="Distrato",$I$38-1,0)),IF(AND($L$711=0,$P$708=0),"",$L$711-1),IF($R$17="Distrato",$E1082,0))),0,YEARFRAC(MAX($P$708*($B1082+IF($R$17="Distrato",$I$38-1,0)),IF(AND($L$711=0,$P$708=0),"",$L$711-1),IF($R$17="Distrato",$E1082,0)),MIN(T$38,$D$19),$P$20))-SUM($P1082:S1082)</f>
        <v>#VALUE!</v>
      </c>
      <c r="U1082" s="446" t="e">
        <f>IF(OR($B1082="",MIN(U$38,$D$19)&lt;MAX($P$708*($B1082+IF($R$17="Distrato",$I$38-1,0)),IF(AND($L$711=0,$P$708=0),"",$L$711-1),IF($R$17="Distrato",$E1082,0))),0,YEARFRAC(MAX($P$708*($B1082+IF($R$17="Distrato",$I$38-1,0)),IF(AND($L$711=0,$P$708=0),"",$L$711-1),IF($R$17="Distrato",$E1082,0)),MIN(U$38,$D$19),$P$20))-SUM($P1082:T1082)</f>
        <v>#VALUE!</v>
      </c>
      <c r="V1082" s="446" t="e">
        <f>IF(OR($B1082="",MIN(V$38,$D$19)&lt;MAX($P$708*($B1082+IF($R$17="Distrato",$I$38-1,0)),IF(AND($L$711=0,$P$708=0),"",$L$711-1),IF($R$17="Distrato",$E1082,0))),0,YEARFRAC(MAX($P$708*($B1082+IF($R$17="Distrato",$I$38-1,0)),IF(AND($L$711=0,$P$708=0),"",$L$711-1),IF($R$17="Distrato",$E1082,0)),MIN(V$38,$D$19),$P$20))-SUM($P1082:U1082)</f>
        <v>#VALUE!</v>
      </c>
      <c r="W1082" s="446" t="e">
        <f>IF(OR($B1082="",MIN(W$38,$D$19)&lt;MAX($P$708*($B1082+IF($R$17="Distrato",$I$38-1,0)),IF(AND($L$711=0,$P$708=0),"",$L$711-1),IF($R$17="Distrato",$E1082,0))),0,YEARFRAC(MAX($P$708*($B1082+IF($R$17="Distrato",$I$38-1,0)),IF(AND($L$711=0,$P$708=0),"",$L$711-1),IF($R$17="Distrato",$E1082,0)),MIN(W$38,$D$19),$P$20))-SUM($P1082:V1082)</f>
        <v>#VALUE!</v>
      </c>
      <c r="X1082" s="446" t="e">
        <f>IF(OR($B1082="",MIN(X$38,$D$19)&lt;MAX($P$708*($B1082+IF($R$17="Distrato",$I$38-1,0)),IF(AND($L$711=0,$P$708=0),"",$L$711-1),IF($R$17="Distrato",$E1082,0))),0,YEARFRAC(MAX($P$708*($B1082+IF($R$17="Distrato",$I$38-1,0)),IF(AND($L$711=0,$P$708=0),"",$L$711-1),IF($R$17="Distrato",$E1082,0)),MIN(X$38,$D$19),$P$20))-SUM($P1082:W1082)</f>
        <v>#VALUE!</v>
      </c>
      <c r="Y1082" s="446" t="e">
        <f>IF(OR($B1082="",MIN(Y$38,$D$19)&lt;MAX($P$708*($B1082+IF($R$17="Distrato",$I$38-1,0)),IF(AND($L$711=0,$P$708=0),"",$L$711-1),IF($R$17="Distrato",$E1082,0))),0,YEARFRAC(MAX($P$708*($B1082+IF($R$17="Distrato",$I$38-1,0)),IF(AND($L$711=0,$P$708=0),"",$L$711-1),IF($R$17="Distrato",$E1082,0)),MIN(Y$38,$D$19),$P$20))-SUM($P1082:X1082)</f>
        <v>#VALUE!</v>
      </c>
      <c r="Z1082" s="446" t="e">
        <f>IF(OR($B1082="",MIN(Z$38,$D$19)&lt;MAX($P$708*($B1082+IF($R$17="Distrato",$I$38-1,0)),IF(AND($L$711=0,$P$708=0),"",$L$711-1),IF($R$17="Distrato",$E1082,0))),0,YEARFRAC(MAX($P$708*($B1082+IF($R$17="Distrato",$I$38-1,0)),IF(AND($L$711=0,$P$708=0),"",$L$711-1),IF($R$17="Distrato",$E1082,0)),MIN(Z$38,$D$19),$P$20))-SUM($P1082:Y1082)</f>
        <v>#VALUE!</v>
      </c>
      <c r="AA1082" s="446" t="e">
        <f>IF(OR($B1082="",MIN(AA$38,$D$19)&lt;MAX($P$708*($B1082+IF($R$17="Distrato",$I$38-1,0)),IF(AND($L$711=0,$P$708=0),"",$L$711-1),IF($R$17="Distrato",$E1082,0))),0,YEARFRAC(MAX($P$708*($B1082+IF($R$17="Distrato",$I$38-1,0)),IF(AND($L$711=0,$P$708=0),"",$L$711-1),IF($R$17="Distrato",$E1082,0)),MIN(AA$38,$D$19),$P$20))-SUM($P1082:Z1082)</f>
        <v>#VALUE!</v>
      </c>
      <c r="AB1082" s="446" t="e">
        <f>IF(OR($B1082="",MIN(AB$38,$D$19)&lt;MAX($P$708*($B1082+IF($R$17="Distrato",$I$38-1,0)),IF(AND($L$711=0,$P$708=0),"",$L$711-1),IF($R$17="Distrato",$E1082,0))),0,YEARFRAC(MAX($P$708*($B1082+IF($R$17="Distrato",$I$38-1,0)),IF(AND($L$711=0,$P$708=0),"",$L$711-1),IF($R$17="Distrato",$E1082,0)),MIN(AB$38,$D$19),$P$20))-SUM($P1082:AA1082)</f>
        <v>#VALUE!</v>
      </c>
      <c r="AC1082" s="446" t="e">
        <f>IF(OR($B1082="",MIN(AC$38,$D$19)&lt;MAX($P$708*($B1082+IF($R$17="Distrato",$I$38-1,0)),IF(AND($L$711=0,$P$708=0),"",$L$711-1),IF($R$17="Distrato",$E1082,0))),0,YEARFRAC(MAX($P$708*($B1082+IF($R$17="Distrato",$I$38-1,0)),IF(AND($L$711=0,$P$708=0),"",$L$711-1),IF($R$17="Distrato",$E1082,0)),MIN(AC$38,$D$19),$P$20))-SUM($P1082:AB1082)</f>
        <v>#VALUE!</v>
      </c>
      <c r="AD1082" s="446" t="e">
        <f>IF(OR($B1082="",MIN(AD$38,$D$19)&lt;MAX($P$708*($B1082+IF($R$17="Distrato",$I$38-1,0)),IF(AND($L$711=0,$P$708=0),"",$L$711-1),IF($R$17="Distrato",$E1082,0))),0,YEARFRAC(MAX($P$708*($B1082+IF($R$17="Distrato",$I$38-1,0)),IF(AND($L$711=0,$P$708=0),"",$L$711-1),IF($R$17="Distrato",$E1082,0)),MIN(AD$38,$D$19),$P$20))-SUM($P1082:AC1082)</f>
        <v>#VALUE!</v>
      </c>
      <c r="AE1082" s="446" t="e">
        <f>IF(OR($B1082="",MIN(AE$38,$D$19)&lt;MAX($P$708*($B1082+IF($R$17="Distrato",$I$38-1,0)),IF(AND($L$711=0,$P$708=0),"",$L$711-1),IF($R$17="Distrato",$E1082,0))),0,YEARFRAC(MAX($P$708*($B1082+IF($R$17="Distrato",$I$38-1,0)),IF(AND($L$711=0,$P$708=0),"",$L$711-1),IF($R$17="Distrato",$E1082,0)),MIN(AE$38,$D$19),$P$20))-SUM($P1082:AD1082)</f>
        <v>#VALUE!</v>
      </c>
      <c r="AF1082" s="446" t="e">
        <f>IF(OR($B1082="",MIN(AF$38,$D$19)&lt;MAX($P$708*($B1082+IF($R$17="Distrato",$I$38-1,0)),IF(AND($L$711=0,$P$708=0),"",$L$711-1),IF($R$17="Distrato",$E1082,0))),0,YEARFRAC(MAX($P$708*($B1082+IF($R$17="Distrato",$I$38-1,0)),IF(AND($L$711=0,$P$708=0),"",$L$711-1),IF($R$17="Distrato",$E1082,0)),MIN(AF$38,$D$19),$P$20))-SUM($P1082:AE1082)</f>
        <v>#VALUE!</v>
      </c>
      <c r="AG1082" s="446" t="e">
        <f>IF(OR($B1082="",MIN(AG$38,$D$19)&lt;MAX($P$708*($B1082+IF($R$17="Distrato",$I$38-1,0)),IF(AND($L$711=0,$P$708=0),"",$L$711-1),IF($R$17="Distrato",$E1082,0))),0,YEARFRAC(MAX($P$708*($B1082+IF($R$17="Distrato",$I$38-1,0)),IF(AND($L$711=0,$P$708=0),"",$L$711-1),IF($R$17="Distrato",$E1082,0)),MIN(AG$38,$D$19),$P$20))-SUM($P1082:AF1082)</f>
        <v>#VALUE!</v>
      </c>
      <c r="AH1082" s="446" t="e">
        <f>IF(OR($B1082="",MIN(AH$38,$D$19)&lt;MAX($P$708*($B1082+IF($R$17="Distrato",$I$38-1,0)),IF(AND($L$711=0,$P$708=0),"",$L$711-1),IF($R$17="Distrato",$E1082,0))),0,YEARFRAC(MAX($P$708*($B1082+IF($R$17="Distrato",$I$38-1,0)),IF(AND($L$711=0,$P$708=0),"",$L$711-1),IF($R$17="Distrato",$E1082,0)),MIN(AH$38,$D$19),$P$20))-SUM($P1082:AG1082)</f>
        <v>#VALUE!</v>
      </c>
      <c r="AI1082" s="446" t="e">
        <f>IF(OR($B1082="",MIN(AI$38,$D$19)&lt;MAX($P$708*($B1082+IF($R$17="Distrato",$I$38-1,0)),IF(AND($L$711=0,$P$708=0),"",$L$711-1),IF($R$17="Distrato",$E1082,0))),0,YEARFRAC(MAX($P$708*($B1082+IF($R$17="Distrato",$I$38-1,0)),IF(AND($L$711=0,$P$708=0),"",$L$711-1),IF($R$17="Distrato",$E1082,0)),MIN(AI$38,$D$19),$P$20))-SUM($P1082:AH1082)</f>
        <v>#VALUE!</v>
      </c>
      <c r="AJ1082" s="446" t="e">
        <f>IF(OR($B1082="",MIN(AJ$38,$D$19)&lt;MAX($P$708*($B1082+IF($R$17="Distrato",$I$38-1,0)),IF(AND($L$711=0,$P$708=0),"",$L$711-1),IF($R$17="Distrato",$E1082,0))),0,YEARFRAC(MAX($P$708*($B1082+IF($R$17="Distrato",$I$38-1,0)),IF(AND($L$711=0,$P$708=0),"",$L$711-1),IF($R$17="Distrato",$E1082,0)),MIN(AJ$38,$D$19),$P$20))-SUM($P1082:AI1082)</f>
        <v>#VALUE!</v>
      </c>
      <c r="AK1082" s="446" t="e">
        <f>IF(OR($B1082="",MIN(AK$38,$D$19)&lt;MAX($P$708*($B1082+IF($R$17="Distrato",$I$38-1,0)),IF(AND($L$711=0,$P$708=0),"",$L$711-1),IF($R$17="Distrato",$E1082,0))),0,YEARFRAC(MAX($P$708*($B1082+IF($R$17="Distrato",$I$38-1,0)),IF(AND($L$711=0,$P$708=0),"",$L$711-1),IF($R$17="Distrato",$E1082,0)),MIN(AK$38,$D$19),$P$20))-SUM($P1082:AJ1082)</f>
        <v>#VALUE!</v>
      </c>
      <c r="AL1082" s="446" t="e">
        <f>IF(OR($B1082="",MIN(AL$38,$D$19)&lt;MAX($P$708*($B1082+IF($R$17="Distrato",$I$38-1,0)),IF(AND($L$711=0,$P$708=0),"",$L$711-1),IF($R$17="Distrato",$E1082,0))),0,YEARFRAC(MAX($P$708*($B1082+IF($R$17="Distrato",$I$38-1,0)),IF(AND($L$711=0,$P$708=0),"",$L$711-1),IF($R$17="Distrato",$E1082,0)),MIN(AL$38,$D$19),$P$20))-SUM($P1082:AK1082)</f>
        <v>#VALUE!</v>
      </c>
      <c r="AM1082" s="446" t="e">
        <f>IF(OR($B1082="",MIN(AM$38,$D$19)&lt;MAX($P$708*($B1082+IF($R$17="Distrato",$I$38-1,0)),IF(AND($L$711=0,$P$708=0),"",$L$711-1),IF($R$17="Distrato",$E1082,0))),0,YEARFRAC(MAX($P$708*($B1082+IF($R$17="Distrato",$I$38-1,0)),IF(AND($L$711=0,$P$708=0),"",$L$711-1),IF($R$17="Distrato",$E1082,0)),MIN(AM$38,$D$19),$P$20))-SUM($P1082:AL1082)</f>
        <v>#VALUE!</v>
      </c>
      <c r="AN1082" s="446" t="e">
        <f>IF(OR($B1082="",MIN(AN$38,$D$19)&lt;MAX($P$708*($B1082+IF($R$17="Distrato",$I$38-1,0)),IF(AND($L$711=0,$P$708=0),"",$L$711-1),IF($R$17="Distrato",$E1082,0))),0,YEARFRAC(MAX($P$708*($B1082+IF($R$17="Distrato",$I$38-1,0)),IF(AND($L$711=0,$P$708=0),"",$L$711-1),IF($R$17="Distrato",$E1082,0)),MIN(AN$38,$D$19),$P$20))-SUM($P1082:AM1082)</f>
        <v>#VALUE!</v>
      </c>
      <c r="AO1082" s="446" t="e">
        <f>IF(OR($B1082="",MIN(AO$38,$D$19)&lt;MAX($P$708*($B1082+IF($R$17="Distrato",$I$38-1,0)),IF(AND($L$711=0,$P$708=0),"",$L$711-1),IF($R$17="Distrato",$E1082,0))),0,YEARFRAC(MAX($P$708*($B1082+IF($R$17="Distrato",$I$38-1,0)),IF(AND($L$711=0,$P$708=0),"",$L$711-1),IF($R$17="Distrato",$E1082,0)),MIN(AO$38,$D$19),$P$20))-SUM($P1082:AN1082)</f>
        <v>#VALUE!</v>
      </c>
      <c r="AP1082" s="446" t="e">
        <f>IF(OR($B1082="",MIN(AP$38,$D$19)&lt;MAX($P$708*($B1082+IF($R$17="Distrato",$I$38-1,0)),IF(AND($L$711=0,$P$708=0),"",$L$711-1),IF($R$17="Distrato",$E1082,0))),0,YEARFRAC(MAX($P$708*($B1082+IF($R$17="Distrato",$I$38-1,0)),IF(AND($L$711=0,$P$708=0),"",$L$711-1),IF($R$17="Distrato",$E1082,0)),MIN(AP$38,$D$19),$P$20))-SUM($P1082:AO1082)</f>
        <v>#VALUE!</v>
      </c>
      <c r="AQ1082" s="446" t="e">
        <f>IF(OR($B1082="",MIN(AQ$38,$D$19)&lt;MAX($P$708*($B1082+IF($R$17="Distrato",$I$38-1,0)),IF(AND($L$711=0,$P$708=0),"",$L$711-1),IF($R$17="Distrato",$E1082,0))),0,YEARFRAC(MAX($P$708*($B1082+IF($R$17="Distrato",$I$38-1,0)),IF(AND($L$711=0,$P$708=0),"",$L$711-1),IF($R$17="Distrato",$E1082,0)),MIN(AQ$38,$D$19),$P$20))-SUM($P1082:AP1082)</f>
        <v>#VALUE!</v>
      </c>
      <c r="AR1082" s="446" t="e">
        <f>IF(OR($B1082="",MIN(AR$38,$D$19)&lt;MAX($P$708*($B1082+IF($R$17="Distrato",$I$38-1,0)),IF(AND($L$711=0,$P$708=0),"",$L$711-1),IF($R$17="Distrato",$E1082,0))),0,YEARFRAC(MAX($P$708*($B1082+IF($R$17="Distrato",$I$38-1,0)),IF(AND($L$711=0,$P$708=0),"",$L$711-1),IF($R$17="Distrato",$E1082,0)),MIN(AR$38,$D$19),$P$20))-SUM($P1082:AQ1082)</f>
        <v>#VALUE!</v>
      </c>
      <c r="AS1082" s="446" t="e">
        <f>IF(OR($B1082="",MIN(AS$38,$D$19)&lt;MAX($P$708*($B1082+IF($R$17="Distrato",$I$38-1,0)),IF(AND($L$711=0,$P$708=0),"",$L$711-1),IF($R$17="Distrato",$E1082,0))),0,YEARFRAC(MAX($P$708*($B1082+IF($R$17="Distrato",$I$38-1,0)),IF(AND($L$711=0,$P$708=0),"",$L$711-1),IF($R$17="Distrato",$E1082,0)),MIN(AS$38,$D$19),$P$20))-SUM($P1082:AR1082)</f>
        <v>#VALUE!</v>
      </c>
      <c r="AT1082" s="446" t="e">
        <f>IF(OR($B1082="",MIN(AT$38,$D$19)&lt;MAX($P$708*($B1082+IF($R$17="Distrato",$I$38-1,0)),IF(AND($L$711=0,$P$708=0),"",$L$711-1),IF($R$17="Distrato",$E1082,0))),0,YEARFRAC(MAX($P$708*($B1082+IF($R$17="Distrato",$I$38-1,0)),IF(AND($L$711=0,$P$708=0),"",$L$711-1),IF($R$17="Distrato",$E1082,0)),MIN(AT$38,$D$19),$P$20))-SUM($P1082:AS1082)</f>
        <v>#VALUE!</v>
      </c>
      <c r="AU1082" s="446" t="e">
        <f>IF(OR($B1082="",MIN(AU$38,$D$19)&lt;MAX($P$708*($B1082+IF($R$17="Distrato",$I$38-1,0)),IF(AND($L$711=0,$P$708=0),"",$L$711-1),IF($R$17="Distrato",$E1082,0))),0,YEARFRAC(MAX($P$708*($B1082+IF($R$17="Distrato",$I$38-1,0)),IF(AND($L$711=0,$P$708=0),"",$L$711-1),IF($R$17="Distrato",$E1082,0)),MIN(AU$38,$D$19),$P$20))-SUM($P1082:AT1082)</f>
        <v>#VALUE!</v>
      </c>
      <c r="AV1082" s="446" t="e">
        <f>IF(OR($B1082="",MIN(AV$38,$D$19)&lt;MAX($P$708*($B1082+IF($R$17="Distrato",$I$38-1,0)),IF(AND($L$711=0,$P$708=0),"",$L$711-1),IF($R$17="Distrato",$E1082,0))),0,YEARFRAC(MAX($P$708*($B1082+IF($R$17="Distrato",$I$38-1,0)),IF(AND($L$711=0,$P$708=0),"",$L$711-1),IF($R$17="Distrato",$E1082,0)),MIN(AV$38,$D$19),$P$20))-SUM($P1082:AU1082)</f>
        <v>#VALUE!</v>
      </c>
      <c r="AW1082" s="446" t="e">
        <f>IF(OR($B1082="",MIN(AW$38,$D$19)&lt;MAX($P$708*($B1082+IF($R$17="Distrato",$I$38-1,0)),IF(AND($L$711=0,$P$708=0),"",$L$711-1),IF($R$17="Distrato",$E1082,0))),0,YEARFRAC(MAX($P$708*($B1082+IF($R$17="Distrato",$I$38-1,0)),IF(AND($L$711=0,$P$708=0),"",$L$711-1),IF($R$17="Distrato",$E1082,0)),MIN(AW$38,$D$19),$P$20))-SUM($P1082:AV1082)</f>
        <v>#VALUE!</v>
      </c>
      <c r="AX1082" s="446" t="e">
        <f>IF(OR($B1082="",MIN(AX$38,$D$19)&lt;MAX($P$708*($B1082+IF($R$17="Distrato",$I$38-1,0)),IF(AND($L$711=0,$P$708=0),"",$L$711-1),IF($R$17="Distrato",$E1082,0))),0,YEARFRAC(MAX($P$708*($B1082+IF($R$17="Distrato",$I$38-1,0)),IF(AND($L$711=0,$P$708=0),"",$L$711-1),IF($R$17="Distrato",$E1082,0)),MIN(AX$38,$D$19),$P$20))-SUM($P1082:AW1082)</f>
        <v>#VALUE!</v>
      </c>
      <c r="AY1082" s="446" t="e">
        <f>IF(OR($B1082="",MIN(AY$38,$D$19)&lt;MAX($P$708*($B1082+IF($R$17="Distrato",$I$38-1,0)),IF(AND($L$711=0,$P$708=0),"",$L$711-1),IF($R$17="Distrato",$E1082,0))),0,YEARFRAC(MAX($P$708*($B1082+IF($R$17="Distrato",$I$38-1,0)),IF(AND($L$711=0,$P$708=0),"",$L$711-1),IF($R$17="Distrato",$E1082,0)),MIN(AY$38,$D$19),$P$20))-SUM($P1082:AX1082)</f>
        <v>#VALUE!</v>
      </c>
      <c r="AZ1082" s="446" t="e">
        <f>IF(OR($B1082="",MIN(AZ$38,$D$19)&lt;MAX($P$708*($B1082+IF($R$17="Distrato",$I$38-1,0)),IF(AND($L$711=0,$P$708=0),"",$L$711-1),IF($R$17="Distrato",$E1082,0))),0,YEARFRAC(MAX($P$708*($B1082+IF($R$17="Distrato",$I$38-1,0)),IF(AND($L$711=0,$P$708=0),"",$L$711-1),IF($R$17="Distrato",$E1082,0)),MIN(AZ$38,$D$19),$P$20))-SUM($P1082:AY1082)</f>
        <v>#VALUE!</v>
      </c>
      <c r="BA1082" s="446" t="e">
        <f>IF(OR($B1082="",MIN(BA$38,$D$19)&lt;MAX($P$708*($B1082+IF($R$17="Distrato",$I$38-1,0)),IF(AND($L$711=0,$P$708=0),"",$L$711-1),IF($R$17="Distrato",$E1082,0))),0,YEARFRAC(MAX($P$708*($B1082+IF($R$17="Distrato",$I$38-1,0)),IF(AND($L$711=0,$P$708=0),"",$L$711-1),IF($R$17="Distrato",$E1082,0)),MIN(BA$38,$D$19),$P$20))-SUM($P1082:AZ1082)</f>
        <v>#VALUE!</v>
      </c>
      <c r="BB1082" s="447"/>
    </row>
    <row r="1083" spans="1:54" s="446" customFormat="1" ht="11.25" hidden="1" customHeight="1" x14ac:dyDescent="0.2">
      <c r="A1083" s="235"/>
      <c r="B1083" s="236"/>
      <c r="C1083" s="29" t="str">
        <f>IF(B1083="","",IF($L$709=$BL$25,VLOOKUP(DATE(YEAR($D$19),MONTH($D$19)-1,1),ÍNDICES!$A:$DE,HLOOKUP($BL$25,ÍNDICES!$B$3:$T$4,2)+11)-VLOOKUP(B1083,ÍNDICES!$A:$DE,HLOOKUP($BL$25,ÍNDICES!$B$3:$T$4,2)+11)+1%,IF(C$712=$W$26,$J$35,IF(ISERROR(IF(B1083&gt;$D$19,1,VLOOKUP(DATE(YEAR(B1083),MONTH(B1083)+IF($C$709=$S$23,1,0),1),ÍNDICES!$A:$DE,$Z$709+1))),"",IF(B1083&gt;$D$19,1,VLOOKUP(DATE(YEAR(B1083),MONTH(B1083)+IF($C$709=$S$23,1,0),1),ÍNDICES!$A:$DE,$Z$709+1))))))</f>
        <v/>
      </c>
      <c r="D1083" s="155"/>
      <c r="E1083" s="88"/>
      <c r="F1083" s="88"/>
      <c r="G1083" s="88"/>
      <c r="H1083" s="118"/>
      <c r="I1083" s="182">
        <f t="shared" si="150"/>
        <v>0</v>
      </c>
      <c r="J1083" s="20">
        <f t="shared" ca="1" si="151"/>
        <v>0</v>
      </c>
      <c r="K1083" s="5">
        <f t="shared" ca="1" si="152"/>
        <v>0</v>
      </c>
      <c r="L1083" s="61">
        <f t="shared" ca="1" si="153"/>
        <v>0</v>
      </c>
      <c r="M1083" s="64">
        <f t="shared" si="154"/>
        <v>0</v>
      </c>
      <c r="N1083" s="151"/>
      <c r="O1083" s="5">
        <f t="shared" ca="1" si="155"/>
        <v>0</v>
      </c>
      <c r="P1083" s="446" t="e">
        <f t="shared" si="156"/>
        <v>#VALUE!</v>
      </c>
      <c r="Q1083" s="446" t="e">
        <f>IF(OR($B1083="",MIN(Q$38,$D$19)&lt;MAX($P$708*($B1083+IF($R$17="Distrato",$I$38-1,0)),IF(AND($L$711=0,$P$708=0),"",$L$711-1),IF($R$17="Distrato",$E1083,0))),0,YEARFRAC(MAX($P$708*($B1083+IF($R$17="Distrato",$I$38-1,0)),IF(AND($L$711=0,$P$708=0),"",$L$711-1),IF($R$17="Distrato",$E1083,0)),MIN(Q$38,$D$19),$P$20))-SUM($P1083:P1083)</f>
        <v>#VALUE!</v>
      </c>
      <c r="R1083" s="446" t="e">
        <f>IF(OR($B1083="",MIN(R$38,$D$19)&lt;MAX($P$708*($B1083+IF($R$17="Distrato",$I$38-1,0)),IF(AND($L$711=0,$P$708=0),"",$L$711-1),IF($R$17="Distrato",$E1083,0))),0,YEARFRAC(MAX($P$708*($B1083+IF($R$17="Distrato",$I$38-1,0)),IF(AND($L$711=0,$P$708=0),"",$L$711-1),IF($R$17="Distrato",$E1083,0)),MIN(R$38,$D$19),$P$20))-SUM($P1083:Q1083)</f>
        <v>#VALUE!</v>
      </c>
      <c r="S1083" s="446" t="e">
        <f>IF(OR($B1083="",MIN(S$38,$D$19)&lt;MAX($P$708*($B1083+IF($R$17="Distrato",$I$38-1,0)),IF(AND($L$711=0,$P$708=0),"",$L$711-1),IF($R$17="Distrato",$E1083,0))),0,YEARFRAC(MAX($P$708*($B1083+IF($R$17="Distrato",$I$38-1,0)),IF(AND($L$711=0,$P$708=0),"",$L$711-1),IF($R$17="Distrato",$E1083,0)),MIN(S$38,$D$19),$P$20))-SUM($P1083:R1083)</f>
        <v>#VALUE!</v>
      </c>
      <c r="T1083" s="446" t="e">
        <f>IF(OR($B1083="",MIN(T$38,$D$19)&lt;MAX($P$708*($B1083+IF($R$17="Distrato",$I$38-1,0)),IF(AND($L$711=0,$P$708=0),"",$L$711-1),IF($R$17="Distrato",$E1083,0))),0,YEARFRAC(MAX($P$708*($B1083+IF($R$17="Distrato",$I$38-1,0)),IF(AND($L$711=0,$P$708=0),"",$L$711-1),IF($R$17="Distrato",$E1083,0)),MIN(T$38,$D$19),$P$20))-SUM($P1083:S1083)</f>
        <v>#VALUE!</v>
      </c>
      <c r="U1083" s="446" t="e">
        <f>IF(OR($B1083="",MIN(U$38,$D$19)&lt;MAX($P$708*($B1083+IF($R$17="Distrato",$I$38-1,0)),IF(AND($L$711=0,$P$708=0),"",$L$711-1),IF($R$17="Distrato",$E1083,0))),0,YEARFRAC(MAX($P$708*($B1083+IF($R$17="Distrato",$I$38-1,0)),IF(AND($L$711=0,$P$708=0),"",$L$711-1),IF($R$17="Distrato",$E1083,0)),MIN(U$38,$D$19),$P$20))-SUM($P1083:T1083)</f>
        <v>#VALUE!</v>
      </c>
      <c r="V1083" s="446" t="e">
        <f>IF(OR($B1083="",MIN(V$38,$D$19)&lt;MAX($P$708*($B1083+IF($R$17="Distrato",$I$38-1,0)),IF(AND($L$711=0,$P$708=0),"",$L$711-1),IF($R$17="Distrato",$E1083,0))),0,YEARFRAC(MAX($P$708*($B1083+IF($R$17="Distrato",$I$38-1,0)),IF(AND($L$711=0,$P$708=0),"",$L$711-1),IF($R$17="Distrato",$E1083,0)),MIN(V$38,$D$19),$P$20))-SUM($P1083:U1083)</f>
        <v>#VALUE!</v>
      </c>
      <c r="W1083" s="446" t="e">
        <f>IF(OR($B1083="",MIN(W$38,$D$19)&lt;MAX($P$708*($B1083+IF($R$17="Distrato",$I$38-1,0)),IF(AND($L$711=0,$P$708=0),"",$L$711-1),IF($R$17="Distrato",$E1083,0))),0,YEARFRAC(MAX($P$708*($B1083+IF($R$17="Distrato",$I$38-1,0)),IF(AND($L$711=0,$P$708=0),"",$L$711-1),IF($R$17="Distrato",$E1083,0)),MIN(W$38,$D$19),$P$20))-SUM($P1083:V1083)</f>
        <v>#VALUE!</v>
      </c>
      <c r="X1083" s="446" t="e">
        <f>IF(OR($B1083="",MIN(X$38,$D$19)&lt;MAX($P$708*($B1083+IF($R$17="Distrato",$I$38-1,0)),IF(AND($L$711=0,$P$708=0),"",$L$711-1),IF($R$17="Distrato",$E1083,0))),0,YEARFRAC(MAX($P$708*($B1083+IF($R$17="Distrato",$I$38-1,0)),IF(AND($L$711=0,$P$708=0),"",$L$711-1),IF($R$17="Distrato",$E1083,0)),MIN(X$38,$D$19),$P$20))-SUM($P1083:W1083)</f>
        <v>#VALUE!</v>
      </c>
      <c r="Y1083" s="446" t="e">
        <f>IF(OR($B1083="",MIN(Y$38,$D$19)&lt;MAX($P$708*($B1083+IF($R$17="Distrato",$I$38-1,0)),IF(AND($L$711=0,$P$708=0),"",$L$711-1),IF($R$17="Distrato",$E1083,0))),0,YEARFRAC(MAX($P$708*($B1083+IF($R$17="Distrato",$I$38-1,0)),IF(AND($L$711=0,$P$708=0),"",$L$711-1),IF($R$17="Distrato",$E1083,0)),MIN(Y$38,$D$19),$P$20))-SUM($P1083:X1083)</f>
        <v>#VALUE!</v>
      </c>
      <c r="Z1083" s="446" t="e">
        <f>IF(OR($B1083="",MIN(Z$38,$D$19)&lt;MAX($P$708*($B1083+IF($R$17="Distrato",$I$38-1,0)),IF(AND($L$711=0,$P$708=0),"",$L$711-1),IF($R$17="Distrato",$E1083,0))),0,YEARFRAC(MAX($P$708*($B1083+IF($R$17="Distrato",$I$38-1,0)),IF(AND($L$711=0,$P$708=0),"",$L$711-1),IF($R$17="Distrato",$E1083,0)),MIN(Z$38,$D$19),$P$20))-SUM($P1083:Y1083)</f>
        <v>#VALUE!</v>
      </c>
      <c r="AA1083" s="446" t="e">
        <f>IF(OR($B1083="",MIN(AA$38,$D$19)&lt;MAX($P$708*($B1083+IF($R$17="Distrato",$I$38-1,0)),IF(AND($L$711=0,$P$708=0),"",$L$711-1),IF($R$17="Distrato",$E1083,0))),0,YEARFRAC(MAX($P$708*($B1083+IF($R$17="Distrato",$I$38-1,0)),IF(AND($L$711=0,$P$708=0),"",$L$711-1),IF($R$17="Distrato",$E1083,0)),MIN(AA$38,$D$19),$P$20))-SUM($P1083:Z1083)</f>
        <v>#VALUE!</v>
      </c>
      <c r="AB1083" s="446" t="e">
        <f>IF(OR($B1083="",MIN(AB$38,$D$19)&lt;MAX($P$708*($B1083+IF($R$17="Distrato",$I$38-1,0)),IF(AND($L$711=0,$P$708=0),"",$L$711-1),IF($R$17="Distrato",$E1083,0))),0,YEARFRAC(MAX($P$708*($B1083+IF($R$17="Distrato",$I$38-1,0)),IF(AND($L$711=0,$P$708=0),"",$L$711-1),IF($R$17="Distrato",$E1083,0)),MIN(AB$38,$D$19),$P$20))-SUM($P1083:AA1083)</f>
        <v>#VALUE!</v>
      </c>
      <c r="AC1083" s="446" t="e">
        <f>IF(OR($B1083="",MIN(AC$38,$D$19)&lt;MAX($P$708*($B1083+IF($R$17="Distrato",$I$38-1,0)),IF(AND($L$711=0,$P$708=0),"",$L$711-1),IF($R$17="Distrato",$E1083,0))),0,YEARFRAC(MAX($P$708*($B1083+IF($R$17="Distrato",$I$38-1,0)),IF(AND($L$711=0,$P$708=0),"",$L$711-1),IF($R$17="Distrato",$E1083,0)),MIN(AC$38,$D$19),$P$20))-SUM($P1083:AB1083)</f>
        <v>#VALUE!</v>
      </c>
      <c r="AD1083" s="446" t="e">
        <f>IF(OR($B1083="",MIN(AD$38,$D$19)&lt;MAX($P$708*($B1083+IF($R$17="Distrato",$I$38-1,0)),IF(AND($L$711=0,$P$708=0),"",$L$711-1),IF($R$17="Distrato",$E1083,0))),0,YEARFRAC(MAX($P$708*($B1083+IF($R$17="Distrato",$I$38-1,0)),IF(AND($L$711=0,$P$708=0),"",$L$711-1),IF($R$17="Distrato",$E1083,0)),MIN(AD$38,$D$19),$P$20))-SUM($P1083:AC1083)</f>
        <v>#VALUE!</v>
      </c>
      <c r="AE1083" s="446" t="e">
        <f>IF(OR($B1083="",MIN(AE$38,$D$19)&lt;MAX($P$708*($B1083+IF($R$17="Distrato",$I$38-1,0)),IF(AND($L$711=0,$P$708=0),"",$L$711-1),IF($R$17="Distrato",$E1083,0))),0,YEARFRAC(MAX($P$708*($B1083+IF($R$17="Distrato",$I$38-1,0)),IF(AND($L$711=0,$P$708=0),"",$L$711-1),IF($R$17="Distrato",$E1083,0)),MIN(AE$38,$D$19),$P$20))-SUM($P1083:AD1083)</f>
        <v>#VALUE!</v>
      </c>
      <c r="AF1083" s="446" t="e">
        <f>IF(OR($B1083="",MIN(AF$38,$D$19)&lt;MAX($P$708*($B1083+IF($R$17="Distrato",$I$38-1,0)),IF(AND($L$711=0,$P$708=0),"",$L$711-1),IF($R$17="Distrato",$E1083,0))),0,YEARFRAC(MAX($P$708*($B1083+IF($R$17="Distrato",$I$38-1,0)),IF(AND($L$711=0,$P$708=0),"",$L$711-1),IF($R$17="Distrato",$E1083,0)),MIN(AF$38,$D$19),$P$20))-SUM($P1083:AE1083)</f>
        <v>#VALUE!</v>
      </c>
      <c r="AG1083" s="446" t="e">
        <f>IF(OR($B1083="",MIN(AG$38,$D$19)&lt;MAX($P$708*($B1083+IF($R$17="Distrato",$I$38-1,0)),IF(AND($L$711=0,$P$708=0),"",$L$711-1),IF($R$17="Distrato",$E1083,0))),0,YEARFRAC(MAX($P$708*($B1083+IF($R$17="Distrato",$I$38-1,0)),IF(AND($L$711=0,$P$708=0),"",$L$711-1),IF($R$17="Distrato",$E1083,0)),MIN(AG$38,$D$19),$P$20))-SUM($P1083:AF1083)</f>
        <v>#VALUE!</v>
      </c>
      <c r="AH1083" s="446" t="e">
        <f>IF(OR($B1083="",MIN(AH$38,$D$19)&lt;MAX($P$708*($B1083+IF($R$17="Distrato",$I$38-1,0)),IF(AND($L$711=0,$P$708=0),"",$L$711-1),IF($R$17="Distrato",$E1083,0))),0,YEARFRAC(MAX($P$708*($B1083+IF($R$17="Distrato",$I$38-1,0)),IF(AND($L$711=0,$P$708=0),"",$L$711-1),IF($R$17="Distrato",$E1083,0)),MIN(AH$38,$D$19),$P$20))-SUM($P1083:AG1083)</f>
        <v>#VALUE!</v>
      </c>
      <c r="AI1083" s="446" t="e">
        <f>IF(OR($B1083="",MIN(AI$38,$D$19)&lt;MAX($P$708*($B1083+IF($R$17="Distrato",$I$38-1,0)),IF(AND($L$711=0,$P$708=0),"",$L$711-1),IF($R$17="Distrato",$E1083,0))),0,YEARFRAC(MAX($P$708*($B1083+IF($R$17="Distrato",$I$38-1,0)),IF(AND($L$711=0,$P$708=0),"",$L$711-1),IF($R$17="Distrato",$E1083,0)),MIN(AI$38,$D$19),$P$20))-SUM($P1083:AH1083)</f>
        <v>#VALUE!</v>
      </c>
      <c r="AJ1083" s="446" t="e">
        <f>IF(OR($B1083="",MIN(AJ$38,$D$19)&lt;MAX($P$708*($B1083+IF($R$17="Distrato",$I$38-1,0)),IF(AND($L$711=0,$P$708=0),"",$L$711-1),IF($R$17="Distrato",$E1083,0))),0,YEARFRAC(MAX($P$708*($B1083+IF($R$17="Distrato",$I$38-1,0)),IF(AND($L$711=0,$P$708=0),"",$L$711-1),IF($R$17="Distrato",$E1083,0)),MIN(AJ$38,$D$19),$P$20))-SUM($P1083:AI1083)</f>
        <v>#VALUE!</v>
      </c>
      <c r="AK1083" s="446" t="e">
        <f>IF(OR($B1083="",MIN(AK$38,$D$19)&lt;MAX($P$708*($B1083+IF($R$17="Distrato",$I$38-1,0)),IF(AND($L$711=0,$P$708=0),"",$L$711-1),IF($R$17="Distrato",$E1083,0))),0,YEARFRAC(MAX($P$708*($B1083+IF($R$17="Distrato",$I$38-1,0)),IF(AND($L$711=0,$P$708=0),"",$L$711-1),IF($R$17="Distrato",$E1083,0)),MIN(AK$38,$D$19),$P$20))-SUM($P1083:AJ1083)</f>
        <v>#VALUE!</v>
      </c>
      <c r="AL1083" s="446" t="e">
        <f>IF(OR($B1083="",MIN(AL$38,$D$19)&lt;MAX($P$708*($B1083+IF($R$17="Distrato",$I$38-1,0)),IF(AND($L$711=0,$P$708=0),"",$L$711-1),IF($R$17="Distrato",$E1083,0))),0,YEARFRAC(MAX($P$708*($B1083+IF($R$17="Distrato",$I$38-1,0)),IF(AND($L$711=0,$P$708=0),"",$L$711-1),IF($R$17="Distrato",$E1083,0)),MIN(AL$38,$D$19),$P$20))-SUM($P1083:AK1083)</f>
        <v>#VALUE!</v>
      </c>
      <c r="AM1083" s="446" t="e">
        <f>IF(OR($B1083="",MIN(AM$38,$D$19)&lt;MAX($P$708*($B1083+IF($R$17="Distrato",$I$38-1,0)),IF(AND($L$711=0,$P$708=0),"",$L$711-1),IF($R$17="Distrato",$E1083,0))),0,YEARFRAC(MAX($P$708*($B1083+IF($R$17="Distrato",$I$38-1,0)),IF(AND($L$711=0,$P$708=0),"",$L$711-1),IF($R$17="Distrato",$E1083,0)),MIN(AM$38,$D$19),$P$20))-SUM($P1083:AL1083)</f>
        <v>#VALUE!</v>
      </c>
      <c r="AN1083" s="446" t="e">
        <f>IF(OR($B1083="",MIN(AN$38,$D$19)&lt;MAX($P$708*($B1083+IF($R$17="Distrato",$I$38-1,0)),IF(AND($L$711=0,$P$708=0),"",$L$711-1),IF($R$17="Distrato",$E1083,0))),0,YEARFRAC(MAX($P$708*($B1083+IF($R$17="Distrato",$I$38-1,0)),IF(AND($L$711=0,$P$708=0),"",$L$711-1),IF($R$17="Distrato",$E1083,0)),MIN(AN$38,$D$19),$P$20))-SUM($P1083:AM1083)</f>
        <v>#VALUE!</v>
      </c>
      <c r="AO1083" s="446" t="e">
        <f>IF(OR($B1083="",MIN(AO$38,$D$19)&lt;MAX($P$708*($B1083+IF($R$17="Distrato",$I$38-1,0)),IF(AND($L$711=0,$P$708=0),"",$L$711-1),IF($R$17="Distrato",$E1083,0))),0,YEARFRAC(MAX($P$708*($B1083+IF($R$17="Distrato",$I$38-1,0)),IF(AND($L$711=0,$P$708=0),"",$L$711-1),IF($R$17="Distrato",$E1083,0)),MIN(AO$38,$D$19),$P$20))-SUM($P1083:AN1083)</f>
        <v>#VALUE!</v>
      </c>
      <c r="AP1083" s="446" t="e">
        <f>IF(OR($B1083="",MIN(AP$38,$D$19)&lt;MAX($P$708*($B1083+IF($R$17="Distrato",$I$38-1,0)),IF(AND($L$711=0,$P$708=0),"",$L$711-1),IF($R$17="Distrato",$E1083,0))),0,YEARFRAC(MAX($P$708*($B1083+IF($R$17="Distrato",$I$38-1,0)),IF(AND($L$711=0,$P$708=0),"",$L$711-1),IF($R$17="Distrato",$E1083,0)),MIN(AP$38,$D$19),$P$20))-SUM($P1083:AO1083)</f>
        <v>#VALUE!</v>
      </c>
      <c r="AQ1083" s="446" t="e">
        <f>IF(OR($B1083="",MIN(AQ$38,$D$19)&lt;MAX($P$708*($B1083+IF($R$17="Distrato",$I$38-1,0)),IF(AND($L$711=0,$P$708=0),"",$L$711-1),IF($R$17="Distrato",$E1083,0))),0,YEARFRAC(MAX($P$708*($B1083+IF($R$17="Distrato",$I$38-1,0)),IF(AND($L$711=0,$P$708=0),"",$L$711-1),IF($R$17="Distrato",$E1083,0)),MIN(AQ$38,$D$19),$P$20))-SUM($P1083:AP1083)</f>
        <v>#VALUE!</v>
      </c>
      <c r="AR1083" s="446" t="e">
        <f>IF(OR($B1083="",MIN(AR$38,$D$19)&lt;MAX($P$708*($B1083+IF($R$17="Distrato",$I$38-1,0)),IF(AND($L$711=0,$P$708=0),"",$L$711-1),IF($R$17="Distrato",$E1083,0))),0,YEARFRAC(MAX($P$708*($B1083+IF($R$17="Distrato",$I$38-1,0)),IF(AND($L$711=0,$P$708=0),"",$L$711-1),IF($R$17="Distrato",$E1083,0)),MIN(AR$38,$D$19),$P$20))-SUM($P1083:AQ1083)</f>
        <v>#VALUE!</v>
      </c>
      <c r="AS1083" s="446" t="e">
        <f>IF(OR($B1083="",MIN(AS$38,$D$19)&lt;MAX($P$708*($B1083+IF($R$17="Distrato",$I$38-1,0)),IF(AND($L$711=0,$P$708=0),"",$L$711-1),IF($R$17="Distrato",$E1083,0))),0,YEARFRAC(MAX($P$708*($B1083+IF($R$17="Distrato",$I$38-1,0)),IF(AND($L$711=0,$P$708=0),"",$L$711-1),IF($R$17="Distrato",$E1083,0)),MIN(AS$38,$D$19),$P$20))-SUM($P1083:AR1083)</f>
        <v>#VALUE!</v>
      </c>
      <c r="AT1083" s="446" t="e">
        <f>IF(OR($B1083="",MIN(AT$38,$D$19)&lt;MAX($P$708*($B1083+IF($R$17="Distrato",$I$38-1,0)),IF(AND($L$711=0,$P$708=0),"",$L$711-1),IF($R$17="Distrato",$E1083,0))),0,YEARFRAC(MAX($P$708*($B1083+IF($R$17="Distrato",$I$38-1,0)),IF(AND($L$711=0,$P$708=0),"",$L$711-1),IF($R$17="Distrato",$E1083,0)),MIN(AT$38,$D$19),$P$20))-SUM($P1083:AS1083)</f>
        <v>#VALUE!</v>
      </c>
      <c r="AU1083" s="446" t="e">
        <f>IF(OR($B1083="",MIN(AU$38,$D$19)&lt;MAX($P$708*($B1083+IF($R$17="Distrato",$I$38-1,0)),IF(AND($L$711=0,$P$708=0),"",$L$711-1),IF($R$17="Distrato",$E1083,0))),0,YEARFRAC(MAX($P$708*($B1083+IF($R$17="Distrato",$I$38-1,0)),IF(AND($L$711=0,$P$708=0),"",$L$711-1),IF($R$17="Distrato",$E1083,0)),MIN(AU$38,$D$19),$P$20))-SUM($P1083:AT1083)</f>
        <v>#VALUE!</v>
      </c>
      <c r="AV1083" s="446" t="e">
        <f>IF(OR($B1083="",MIN(AV$38,$D$19)&lt;MAX($P$708*($B1083+IF($R$17="Distrato",$I$38-1,0)),IF(AND($L$711=0,$P$708=0),"",$L$711-1),IF($R$17="Distrato",$E1083,0))),0,YEARFRAC(MAX($P$708*($B1083+IF($R$17="Distrato",$I$38-1,0)),IF(AND($L$711=0,$P$708=0),"",$L$711-1),IF($R$17="Distrato",$E1083,0)),MIN(AV$38,$D$19),$P$20))-SUM($P1083:AU1083)</f>
        <v>#VALUE!</v>
      </c>
      <c r="AW1083" s="446" t="e">
        <f>IF(OR($B1083="",MIN(AW$38,$D$19)&lt;MAX($P$708*($B1083+IF($R$17="Distrato",$I$38-1,0)),IF(AND($L$711=0,$P$708=0),"",$L$711-1),IF($R$17="Distrato",$E1083,0))),0,YEARFRAC(MAX($P$708*($B1083+IF($R$17="Distrato",$I$38-1,0)),IF(AND($L$711=0,$P$708=0),"",$L$711-1),IF($R$17="Distrato",$E1083,0)),MIN(AW$38,$D$19),$P$20))-SUM($P1083:AV1083)</f>
        <v>#VALUE!</v>
      </c>
      <c r="AX1083" s="446" t="e">
        <f>IF(OR($B1083="",MIN(AX$38,$D$19)&lt;MAX($P$708*($B1083+IF($R$17="Distrato",$I$38-1,0)),IF(AND($L$711=0,$P$708=0),"",$L$711-1),IF($R$17="Distrato",$E1083,0))),0,YEARFRAC(MAX($P$708*($B1083+IF($R$17="Distrato",$I$38-1,0)),IF(AND($L$711=0,$P$708=0),"",$L$711-1),IF($R$17="Distrato",$E1083,0)),MIN(AX$38,$D$19),$P$20))-SUM($P1083:AW1083)</f>
        <v>#VALUE!</v>
      </c>
      <c r="AY1083" s="446" t="e">
        <f>IF(OR($B1083="",MIN(AY$38,$D$19)&lt;MAX($P$708*($B1083+IF($R$17="Distrato",$I$38-1,0)),IF(AND($L$711=0,$P$708=0),"",$L$711-1),IF($R$17="Distrato",$E1083,0))),0,YEARFRAC(MAX($P$708*($B1083+IF($R$17="Distrato",$I$38-1,0)),IF(AND($L$711=0,$P$708=0),"",$L$711-1),IF($R$17="Distrato",$E1083,0)),MIN(AY$38,$D$19),$P$20))-SUM($P1083:AX1083)</f>
        <v>#VALUE!</v>
      </c>
      <c r="AZ1083" s="446" t="e">
        <f>IF(OR($B1083="",MIN(AZ$38,$D$19)&lt;MAX($P$708*($B1083+IF($R$17="Distrato",$I$38-1,0)),IF(AND($L$711=0,$P$708=0),"",$L$711-1),IF($R$17="Distrato",$E1083,0))),0,YEARFRAC(MAX($P$708*($B1083+IF($R$17="Distrato",$I$38-1,0)),IF(AND($L$711=0,$P$708=0),"",$L$711-1),IF($R$17="Distrato",$E1083,0)),MIN(AZ$38,$D$19),$P$20))-SUM($P1083:AY1083)</f>
        <v>#VALUE!</v>
      </c>
      <c r="BA1083" s="446" t="e">
        <f>IF(OR($B1083="",MIN(BA$38,$D$19)&lt;MAX($P$708*($B1083+IF($R$17="Distrato",$I$38-1,0)),IF(AND($L$711=0,$P$708=0),"",$L$711-1),IF($R$17="Distrato",$E1083,0))),0,YEARFRAC(MAX($P$708*($B1083+IF($R$17="Distrato",$I$38-1,0)),IF(AND($L$711=0,$P$708=0),"",$L$711-1),IF($R$17="Distrato",$E1083,0)),MIN(BA$38,$D$19),$P$20))-SUM($P1083:AZ1083)</f>
        <v>#VALUE!</v>
      </c>
      <c r="BB1083" s="447"/>
    </row>
    <row r="1084" spans="1:54" s="446" customFormat="1" ht="11.25" hidden="1" customHeight="1" x14ac:dyDescent="0.2">
      <c r="A1084" s="235"/>
      <c r="B1084" s="236"/>
      <c r="C1084" s="29" t="str">
        <f>IF(B1084="","",IF($L$709=$BL$25,VLOOKUP(DATE(YEAR($D$19),MONTH($D$19)-1,1),ÍNDICES!$A:$DE,HLOOKUP($BL$25,ÍNDICES!$B$3:$T$4,2)+11)-VLOOKUP(B1084,ÍNDICES!$A:$DE,HLOOKUP($BL$25,ÍNDICES!$B$3:$T$4,2)+11)+1%,IF(C$712=$W$26,$J$35,IF(ISERROR(IF(B1084&gt;$D$19,1,VLOOKUP(DATE(YEAR(B1084),MONTH(B1084)+IF($C$709=$S$23,1,0),1),ÍNDICES!$A:$DE,$Z$709+1))),"",IF(B1084&gt;$D$19,1,VLOOKUP(DATE(YEAR(B1084),MONTH(B1084)+IF($C$709=$S$23,1,0),1),ÍNDICES!$A:$DE,$Z$709+1))))))</f>
        <v/>
      </c>
      <c r="D1084" s="155"/>
      <c r="E1084" s="88"/>
      <c r="F1084" s="88"/>
      <c r="G1084" s="88"/>
      <c r="H1084" s="118"/>
      <c r="I1084" s="182">
        <f t="shared" si="150"/>
        <v>0</v>
      </c>
      <c r="J1084" s="20">
        <f t="shared" ca="1" si="151"/>
        <v>0</v>
      </c>
      <c r="K1084" s="5">
        <f t="shared" ca="1" si="152"/>
        <v>0</v>
      </c>
      <c r="L1084" s="61">
        <f t="shared" ca="1" si="153"/>
        <v>0</v>
      </c>
      <c r="M1084" s="64">
        <f t="shared" si="154"/>
        <v>0</v>
      </c>
      <c r="N1084" s="151"/>
      <c r="O1084" s="5">
        <f t="shared" ca="1" si="155"/>
        <v>0</v>
      </c>
      <c r="P1084" s="446" t="e">
        <f t="shared" si="156"/>
        <v>#VALUE!</v>
      </c>
      <c r="Q1084" s="446" t="e">
        <f>IF(OR($B1084="",MIN(Q$38,$D$19)&lt;MAX($P$708*($B1084+IF($R$17="Distrato",$I$38-1,0)),IF(AND($L$711=0,$P$708=0),"",$L$711-1),IF($R$17="Distrato",$E1084,0))),0,YEARFRAC(MAX($P$708*($B1084+IF($R$17="Distrato",$I$38-1,0)),IF(AND($L$711=0,$P$708=0),"",$L$711-1),IF($R$17="Distrato",$E1084,0)),MIN(Q$38,$D$19),$P$20))-SUM($P1084:P1084)</f>
        <v>#VALUE!</v>
      </c>
      <c r="R1084" s="446" t="e">
        <f>IF(OR($B1084="",MIN(R$38,$D$19)&lt;MAX($P$708*($B1084+IF($R$17="Distrato",$I$38-1,0)),IF(AND($L$711=0,$P$708=0),"",$L$711-1),IF($R$17="Distrato",$E1084,0))),0,YEARFRAC(MAX($P$708*($B1084+IF($R$17="Distrato",$I$38-1,0)),IF(AND($L$711=0,$P$708=0),"",$L$711-1),IF($R$17="Distrato",$E1084,0)),MIN(R$38,$D$19),$P$20))-SUM($P1084:Q1084)</f>
        <v>#VALUE!</v>
      </c>
      <c r="S1084" s="446" t="e">
        <f>IF(OR($B1084="",MIN(S$38,$D$19)&lt;MAX($P$708*($B1084+IF($R$17="Distrato",$I$38-1,0)),IF(AND($L$711=0,$P$708=0),"",$L$711-1),IF($R$17="Distrato",$E1084,0))),0,YEARFRAC(MAX($P$708*($B1084+IF($R$17="Distrato",$I$38-1,0)),IF(AND($L$711=0,$P$708=0),"",$L$711-1),IF($R$17="Distrato",$E1084,0)),MIN(S$38,$D$19),$P$20))-SUM($P1084:R1084)</f>
        <v>#VALUE!</v>
      </c>
      <c r="T1084" s="446" t="e">
        <f>IF(OR($B1084="",MIN(T$38,$D$19)&lt;MAX($P$708*($B1084+IF($R$17="Distrato",$I$38-1,0)),IF(AND($L$711=0,$P$708=0),"",$L$711-1),IF($R$17="Distrato",$E1084,0))),0,YEARFRAC(MAX($P$708*($B1084+IF($R$17="Distrato",$I$38-1,0)),IF(AND($L$711=0,$P$708=0),"",$L$711-1),IF($R$17="Distrato",$E1084,0)),MIN(T$38,$D$19),$P$20))-SUM($P1084:S1084)</f>
        <v>#VALUE!</v>
      </c>
      <c r="U1084" s="446" t="e">
        <f>IF(OR($B1084="",MIN(U$38,$D$19)&lt;MAX($P$708*($B1084+IF($R$17="Distrato",$I$38-1,0)),IF(AND($L$711=0,$P$708=0),"",$L$711-1),IF($R$17="Distrato",$E1084,0))),0,YEARFRAC(MAX($P$708*($B1084+IF($R$17="Distrato",$I$38-1,0)),IF(AND($L$711=0,$P$708=0),"",$L$711-1),IF($R$17="Distrato",$E1084,0)),MIN(U$38,$D$19),$P$20))-SUM($P1084:T1084)</f>
        <v>#VALUE!</v>
      </c>
      <c r="V1084" s="446" t="e">
        <f>IF(OR($B1084="",MIN(V$38,$D$19)&lt;MAX($P$708*($B1084+IF($R$17="Distrato",$I$38-1,0)),IF(AND($L$711=0,$P$708=0),"",$L$711-1),IF($R$17="Distrato",$E1084,0))),0,YEARFRAC(MAX($P$708*($B1084+IF($R$17="Distrato",$I$38-1,0)),IF(AND($L$711=0,$P$708=0),"",$L$711-1),IF($R$17="Distrato",$E1084,0)),MIN(V$38,$D$19),$P$20))-SUM($P1084:U1084)</f>
        <v>#VALUE!</v>
      </c>
      <c r="W1084" s="446" t="e">
        <f>IF(OR($B1084="",MIN(W$38,$D$19)&lt;MAX($P$708*($B1084+IF($R$17="Distrato",$I$38-1,0)),IF(AND($L$711=0,$P$708=0),"",$L$711-1),IF($R$17="Distrato",$E1084,0))),0,YEARFRAC(MAX($P$708*($B1084+IF($R$17="Distrato",$I$38-1,0)),IF(AND($L$711=0,$P$708=0),"",$L$711-1),IF($R$17="Distrato",$E1084,0)),MIN(W$38,$D$19),$P$20))-SUM($P1084:V1084)</f>
        <v>#VALUE!</v>
      </c>
      <c r="X1084" s="446" t="e">
        <f>IF(OR($B1084="",MIN(X$38,$D$19)&lt;MAX($P$708*($B1084+IF($R$17="Distrato",$I$38-1,0)),IF(AND($L$711=0,$P$708=0),"",$L$711-1),IF($R$17="Distrato",$E1084,0))),0,YEARFRAC(MAX($P$708*($B1084+IF($R$17="Distrato",$I$38-1,0)),IF(AND($L$711=0,$P$708=0),"",$L$711-1),IF($R$17="Distrato",$E1084,0)),MIN(X$38,$D$19),$P$20))-SUM($P1084:W1084)</f>
        <v>#VALUE!</v>
      </c>
      <c r="Y1084" s="446" t="e">
        <f>IF(OR($B1084="",MIN(Y$38,$D$19)&lt;MAX($P$708*($B1084+IF($R$17="Distrato",$I$38-1,0)),IF(AND($L$711=0,$P$708=0),"",$L$711-1),IF($R$17="Distrato",$E1084,0))),0,YEARFRAC(MAX($P$708*($B1084+IF($R$17="Distrato",$I$38-1,0)),IF(AND($L$711=0,$P$708=0),"",$L$711-1),IF($R$17="Distrato",$E1084,0)),MIN(Y$38,$D$19),$P$20))-SUM($P1084:X1084)</f>
        <v>#VALUE!</v>
      </c>
      <c r="Z1084" s="446" t="e">
        <f>IF(OR($B1084="",MIN(Z$38,$D$19)&lt;MAX($P$708*($B1084+IF($R$17="Distrato",$I$38-1,0)),IF(AND($L$711=0,$P$708=0),"",$L$711-1),IF($R$17="Distrato",$E1084,0))),0,YEARFRAC(MAX($P$708*($B1084+IF($R$17="Distrato",$I$38-1,0)),IF(AND($L$711=0,$P$708=0),"",$L$711-1),IF($R$17="Distrato",$E1084,0)),MIN(Z$38,$D$19),$P$20))-SUM($P1084:Y1084)</f>
        <v>#VALUE!</v>
      </c>
      <c r="AA1084" s="446" t="e">
        <f>IF(OR($B1084="",MIN(AA$38,$D$19)&lt;MAX($P$708*($B1084+IF($R$17="Distrato",$I$38-1,0)),IF(AND($L$711=0,$P$708=0),"",$L$711-1),IF($R$17="Distrato",$E1084,0))),0,YEARFRAC(MAX($P$708*($B1084+IF($R$17="Distrato",$I$38-1,0)),IF(AND($L$711=0,$P$708=0),"",$L$711-1),IF($R$17="Distrato",$E1084,0)),MIN(AA$38,$D$19),$P$20))-SUM($P1084:Z1084)</f>
        <v>#VALUE!</v>
      </c>
      <c r="AB1084" s="446" t="e">
        <f>IF(OR($B1084="",MIN(AB$38,$D$19)&lt;MAX($P$708*($B1084+IF($R$17="Distrato",$I$38-1,0)),IF(AND($L$711=0,$P$708=0),"",$L$711-1),IF($R$17="Distrato",$E1084,0))),0,YEARFRAC(MAX($P$708*($B1084+IF($R$17="Distrato",$I$38-1,0)),IF(AND($L$711=0,$P$708=0),"",$L$711-1),IF($R$17="Distrato",$E1084,0)),MIN(AB$38,$D$19),$P$20))-SUM($P1084:AA1084)</f>
        <v>#VALUE!</v>
      </c>
      <c r="AC1084" s="446" t="e">
        <f>IF(OR($B1084="",MIN(AC$38,$D$19)&lt;MAX($P$708*($B1084+IF($R$17="Distrato",$I$38-1,0)),IF(AND($L$711=0,$P$708=0),"",$L$711-1),IF($R$17="Distrato",$E1084,0))),0,YEARFRAC(MAX($P$708*($B1084+IF($R$17="Distrato",$I$38-1,0)),IF(AND($L$711=0,$P$708=0),"",$L$711-1),IF($R$17="Distrato",$E1084,0)),MIN(AC$38,$D$19),$P$20))-SUM($P1084:AB1084)</f>
        <v>#VALUE!</v>
      </c>
      <c r="AD1084" s="446" t="e">
        <f>IF(OR($B1084="",MIN(AD$38,$D$19)&lt;MAX($P$708*($B1084+IF($R$17="Distrato",$I$38-1,0)),IF(AND($L$711=0,$P$708=0),"",$L$711-1),IF($R$17="Distrato",$E1084,0))),0,YEARFRAC(MAX($P$708*($B1084+IF($R$17="Distrato",$I$38-1,0)),IF(AND($L$711=0,$P$708=0),"",$L$711-1),IF($R$17="Distrato",$E1084,0)),MIN(AD$38,$D$19),$P$20))-SUM($P1084:AC1084)</f>
        <v>#VALUE!</v>
      </c>
      <c r="AE1084" s="446" t="e">
        <f>IF(OR($B1084="",MIN(AE$38,$D$19)&lt;MAX($P$708*($B1084+IF($R$17="Distrato",$I$38-1,0)),IF(AND($L$711=0,$P$708=0),"",$L$711-1),IF($R$17="Distrato",$E1084,0))),0,YEARFRAC(MAX($P$708*($B1084+IF($R$17="Distrato",$I$38-1,0)),IF(AND($L$711=0,$P$708=0),"",$L$711-1),IF($R$17="Distrato",$E1084,0)),MIN(AE$38,$D$19),$P$20))-SUM($P1084:AD1084)</f>
        <v>#VALUE!</v>
      </c>
      <c r="AF1084" s="446" t="e">
        <f>IF(OR($B1084="",MIN(AF$38,$D$19)&lt;MAX($P$708*($B1084+IF($R$17="Distrato",$I$38-1,0)),IF(AND($L$711=0,$P$708=0),"",$L$711-1),IF($R$17="Distrato",$E1084,0))),0,YEARFRAC(MAX($P$708*($B1084+IF($R$17="Distrato",$I$38-1,0)),IF(AND($L$711=0,$P$708=0),"",$L$711-1),IF($R$17="Distrato",$E1084,0)),MIN(AF$38,$D$19),$P$20))-SUM($P1084:AE1084)</f>
        <v>#VALUE!</v>
      </c>
      <c r="AG1084" s="446" t="e">
        <f>IF(OR($B1084="",MIN(AG$38,$D$19)&lt;MAX($P$708*($B1084+IF($R$17="Distrato",$I$38-1,0)),IF(AND($L$711=0,$P$708=0),"",$L$711-1),IF($R$17="Distrato",$E1084,0))),0,YEARFRAC(MAX($P$708*($B1084+IF($R$17="Distrato",$I$38-1,0)),IF(AND($L$711=0,$P$708=0),"",$L$711-1),IF($R$17="Distrato",$E1084,0)),MIN(AG$38,$D$19),$P$20))-SUM($P1084:AF1084)</f>
        <v>#VALUE!</v>
      </c>
      <c r="AH1084" s="446" t="e">
        <f>IF(OR($B1084="",MIN(AH$38,$D$19)&lt;MAX($P$708*($B1084+IF($R$17="Distrato",$I$38-1,0)),IF(AND($L$711=0,$P$708=0),"",$L$711-1),IF($R$17="Distrato",$E1084,0))),0,YEARFRAC(MAX($P$708*($B1084+IF($R$17="Distrato",$I$38-1,0)),IF(AND($L$711=0,$P$708=0),"",$L$711-1),IF($R$17="Distrato",$E1084,0)),MIN(AH$38,$D$19),$P$20))-SUM($P1084:AG1084)</f>
        <v>#VALUE!</v>
      </c>
      <c r="AI1084" s="446" t="e">
        <f>IF(OR($B1084="",MIN(AI$38,$D$19)&lt;MAX($P$708*($B1084+IF($R$17="Distrato",$I$38-1,0)),IF(AND($L$711=0,$P$708=0),"",$L$711-1),IF($R$17="Distrato",$E1084,0))),0,YEARFRAC(MAX($P$708*($B1084+IF($R$17="Distrato",$I$38-1,0)),IF(AND($L$711=0,$P$708=0),"",$L$711-1),IF($R$17="Distrato",$E1084,0)),MIN(AI$38,$D$19),$P$20))-SUM($P1084:AH1084)</f>
        <v>#VALUE!</v>
      </c>
      <c r="AJ1084" s="446" t="e">
        <f>IF(OR($B1084="",MIN(AJ$38,$D$19)&lt;MAX($P$708*($B1084+IF($R$17="Distrato",$I$38-1,0)),IF(AND($L$711=0,$P$708=0),"",$L$711-1),IF($R$17="Distrato",$E1084,0))),0,YEARFRAC(MAX($P$708*($B1084+IF($R$17="Distrato",$I$38-1,0)),IF(AND($L$711=0,$P$708=0),"",$L$711-1),IF($R$17="Distrato",$E1084,0)),MIN(AJ$38,$D$19),$P$20))-SUM($P1084:AI1084)</f>
        <v>#VALUE!</v>
      </c>
      <c r="AK1084" s="446" t="e">
        <f>IF(OR($B1084="",MIN(AK$38,$D$19)&lt;MAX($P$708*($B1084+IF($R$17="Distrato",$I$38-1,0)),IF(AND($L$711=0,$P$708=0),"",$L$711-1),IF($R$17="Distrato",$E1084,0))),0,YEARFRAC(MAX($P$708*($B1084+IF($R$17="Distrato",$I$38-1,0)),IF(AND($L$711=0,$P$708=0),"",$L$711-1),IF($R$17="Distrato",$E1084,0)),MIN(AK$38,$D$19),$P$20))-SUM($P1084:AJ1084)</f>
        <v>#VALUE!</v>
      </c>
      <c r="AL1084" s="446" t="e">
        <f>IF(OR($B1084="",MIN(AL$38,$D$19)&lt;MAX($P$708*($B1084+IF($R$17="Distrato",$I$38-1,0)),IF(AND($L$711=0,$P$708=0),"",$L$711-1),IF($R$17="Distrato",$E1084,0))),0,YEARFRAC(MAX($P$708*($B1084+IF($R$17="Distrato",$I$38-1,0)),IF(AND($L$711=0,$P$708=0),"",$L$711-1),IF($R$17="Distrato",$E1084,0)),MIN(AL$38,$D$19),$P$20))-SUM($P1084:AK1084)</f>
        <v>#VALUE!</v>
      </c>
      <c r="AM1084" s="446" t="e">
        <f>IF(OR($B1084="",MIN(AM$38,$D$19)&lt;MAX($P$708*($B1084+IF($R$17="Distrato",$I$38-1,0)),IF(AND($L$711=0,$P$708=0),"",$L$711-1),IF($R$17="Distrato",$E1084,0))),0,YEARFRAC(MAX($P$708*($B1084+IF($R$17="Distrato",$I$38-1,0)),IF(AND($L$711=0,$P$708=0),"",$L$711-1),IF($R$17="Distrato",$E1084,0)),MIN(AM$38,$D$19),$P$20))-SUM($P1084:AL1084)</f>
        <v>#VALUE!</v>
      </c>
      <c r="AN1084" s="446" t="e">
        <f>IF(OR($B1084="",MIN(AN$38,$D$19)&lt;MAX($P$708*($B1084+IF($R$17="Distrato",$I$38-1,0)),IF(AND($L$711=0,$P$708=0),"",$L$711-1),IF($R$17="Distrato",$E1084,0))),0,YEARFRAC(MAX($P$708*($B1084+IF($R$17="Distrato",$I$38-1,0)),IF(AND($L$711=0,$P$708=0),"",$L$711-1),IF($R$17="Distrato",$E1084,0)),MIN(AN$38,$D$19),$P$20))-SUM($P1084:AM1084)</f>
        <v>#VALUE!</v>
      </c>
      <c r="AO1084" s="446" t="e">
        <f>IF(OR($B1084="",MIN(AO$38,$D$19)&lt;MAX($P$708*($B1084+IF($R$17="Distrato",$I$38-1,0)),IF(AND($L$711=0,$P$708=0),"",$L$711-1),IF($R$17="Distrato",$E1084,0))),0,YEARFRAC(MAX($P$708*($B1084+IF($R$17="Distrato",$I$38-1,0)),IF(AND($L$711=0,$P$708=0),"",$L$711-1),IF($R$17="Distrato",$E1084,0)),MIN(AO$38,$D$19),$P$20))-SUM($P1084:AN1084)</f>
        <v>#VALUE!</v>
      </c>
      <c r="AP1084" s="446" t="e">
        <f>IF(OR($B1084="",MIN(AP$38,$D$19)&lt;MAX($P$708*($B1084+IF($R$17="Distrato",$I$38-1,0)),IF(AND($L$711=0,$P$708=0),"",$L$711-1),IF($R$17="Distrato",$E1084,0))),0,YEARFRAC(MAX($P$708*($B1084+IF($R$17="Distrato",$I$38-1,0)),IF(AND($L$711=0,$P$708=0),"",$L$711-1),IF($R$17="Distrato",$E1084,0)),MIN(AP$38,$D$19),$P$20))-SUM($P1084:AO1084)</f>
        <v>#VALUE!</v>
      </c>
      <c r="AQ1084" s="446" t="e">
        <f>IF(OR($B1084="",MIN(AQ$38,$D$19)&lt;MAX($P$708*($B1084+IF($R$17="Distrato",$I$38-1,0)),IF(AND($L$711=0,$P$708=0),"",$L$711-1),IF($R$17="Distrato",$E1084,0))),0,YEARFRAC(MAX($P$708*($B1084+IF($R$17="Distrato",$I$38-1,0)),IF(AND($L$711=0,$P$708=0),"",$L$711-1),IF($R$17="Distrato",$E1084,0)),MIN(AQ$38,$D$19),$P$20))-SUM($P1084:AP1084)</f>
        <v>#VALUE!</v>
      </c>
      <c r="AR1084" s="446" t="e">
        <f>IF(OR($B1084="",MIN(AR$38,$D$19)&lt;MAX($P$708*($B1084+IF($R$17="Distrato",$I$38-1,0)),IF(AND($L$711=0,$P$708=0),"",$L$711-1),IF($R$17="Distrato",$E1084,0))),0,YEARFRAC(MAX($P$708*($B1084+IF($R$17="Distrato",$I$38-1,0)),IF(AND($L$711=0,$P$708=0),"",$L$711-1),IF($R$17="Distrato",$E1084,0)),MIN(AR$38,$D$19),$P$20))-SUM($P1084:AQ1084)</f>
        <v>#VALUE!</v>
      </c>
      <c r="AS1084" s="446" t="e">
        <f>IF(OR($B1084="",MIN(AS$38,$D$19)&lt;MAX($P$708*($B1084+IF($R$17="Distrato",$I$38-1,0)),IF(AND($L$711=0,$P$708=0),"",$L$711-1),IF($R$17="Distrato",$E1084,0))),0,YEARFRAC(MAX($P$708*($B1084+IF($R$17="Distrato",$I$38-1,0)),IF(AND($L$711=0,$P$708=0),"",$L$711-1),IF($R$17="Distrato",$E1084,0)),MIN(AS$38,$D$19),$P$20))-SUM($P1084:AR1084)</f>
        <v>#VALUE!</v>
      </c>
      <c r="AT1084" s="446" t="e">
        <f>IF(OR($B1084="",MIN(AT$38,$D$19)&lt;MAX($P$708*($B1084+IF($R$17="Distrato",$I$38-1,0)),IF(AND($L$711=0,$P$708=0),"",$L$711-1),IF($R$17="Distrato",$E1084,0))),0,YEARFRAC(MAX($P$708*($B1084+IF($R$17="Distrato",$I$38-1,0)),IF(AND($L$711=0,$P$708=0),"",$L$711-1),IF($R$17="Distrato",$E1084,0)),MIN(AT$38,$D$19),$P$20))-SUM($P1084:AS1084)</f>
        <v>#VALUE!</v>
      </c>
      <c r="AU1084" s="446" t="e">
        <f>IF(OR($B1084="",MIN(AU$38,$D$19)&lt;MAX($P$708*($B1084+IF($R$17="Distrato",$I$38-1,0)),IF(AND($L$711=0,$P$708=0),"",$L$711-1),IF($R$17="Distrato",$E1084,0))),0,YEARFRAC(MAX($P$708*($B1084+IF($R$17="Distrato",$I$38-1,0)),IF(AND($L$711=0,$P$708=0),"",$L$711-1),IF($R$17="Distrato",$E1084,0)),MIN(AU$38,$D$19),$P$20))-SUM($P1084:AT1084)</f>
        <v>#VALUE!</v>
      </c>
      <c r="AV1084" s="446" t="e">
        <f>IF(OR($B1084="",MIN(AV$38,$D$19)&lt;MAX($P$708*($B1084+IF($R$17="Distrato",$I$38-1,0)),IF(AND($L$711=0,$P$708=0),"",$L$711-1),IF($R$17="Distrato",$E1084,0))),0,YEARFRAC(MAX($P$708*($B1084+IF($R$17="Distrato",$I$38-1,0)),IF(AND($L$711=0,$P$708=0),"",$L$711-1),IF($R$17="Distrato",$E1084,0)),MIN(AV$38,$D$19),$P$20))-SUM($P1084:AU1084)</f>
        <v>#VALUE!</v>
      </c>
      <c r="AW1084" s="446" t="e">
        <f>IF(OR($B1084="",MIN(AW$38,$D$19)&lt;MAX($P$708*($B1084+IF($R$17="Distrato",$I$38-1,0)),IF(AND($L$711=0,$P$708=0),"",$L$711-1),IF($R$17="Distrato",$E1084,0))),0,YEARFRAC(MAX($P$708*($B1084+IF($R$17="Distrato",$I$38-1,0)),IF(AND($L$711=0,$P$708=0),"",$L$711-1),IF($R$17="Distrato",$E1084,0)),MIN(AW$38,$D$19),$P$20))-SUM($P1084:AV1084)</f>
        <v>#VALUE!</v>
      </c>
      <c r="AX1084" s="446" t="e">
        <f>IF(OR($B1084="",MIN(AX$38,$D$19)&lt;MAX($P$708*($B1084+IF($R$17="Distrato",$I$38-1,0)),IF(AND($L$711=0,$P$708=0),"",$L$711-1),IF($R$17="Distrato",$E1084,0))),0,YEARFRAC(MAX($P$708*($B1084+IF($R$17="Distrato",$I$38-1,0)),IF(AND($L$711=0,$P$708=0),"",$L$711-1),IF($R$17="Distrato",$E1084,0)),MIN(AX$38,$D$19),$P$20))-SUM($P1084:AW1084)</f>
        <v>#VALUE!</v>
      </c>
      <c r="AY1084" s="446" t="e">
        <f>IF(OR($B1084="",MIN(AY$38,$D$19)&lt;MAX($P$708*($B1084+IF($R$17="Distrato",$I$38-1,0)),IF(AND($L$711=0,$P$708=0),"",$L$711-1),IF($R$17="Distrato",$E1084,0))),0,YEARFRAC(MAX($P$708*($B1084+IF($R$17="Distrato",$I$38-1,0)),IF(AND($L$711=0,$P$708=0),"",$L$711-1),IF($R$17="Distrato",$E1084,0)),MIN(AY$38,$D$19),$P$20))-SUM($P1084:AX1084)</f>
        <v>#VALUE!</v>
      </c>
      <c r="AZ1084" s="446" t="e">
        <f>IF(OR($B1084="",MIN(AZ$38,$D$19)&lt;MAX($P$708*($B1084+IF($R$17="Distrato",$I$38-1,0)),IF(AND($L$711=0,$P$708=0),"",$L$711-1),IF($R$17="Distrato",$E1084,0))),0,YEARFRAC(MAX($P$708*($B1084+IF($R$17="Distrato",$I$38-1,0)),IF(AND($L$711=0,$P$708=0),"",$L$711-1),IF($R$17="Distrato",$E1084,0)),MIN(AZ$38,$D$19),$P$20))-SUM($P1084:AY1084)</f>
        <v>#VALUE!</v>
      </c>
      <c r="BA1084" s="446" t="e">
        <f>IF(OR($B1084="",MIN(BA$38,$D$19)&lt;MAX($P$708*($B1084+IF($R$17="Distrato",$I$38-1,0)),IF(AND($L$711=0,$P$708=0),"",$L$711-1),IF($R$17="Distrato",$E1084,0))),0,YEARFRAC(MAX($P$708*($B1084+IF($R$17="Distrato",$I$38-1,0)),IF(AND($L$711=0,$P$708=0),"",$L$711-1),IF($R$17="Distrato",$E1084,0)),MIN(BA$38,$D$19),$P$20))-SUM($P1084:AZ1084)</f>
        <v>#VALUE!</v>
      </c>
      <c r="BB1084" s="447"/>
    </row>
    <row r="1085" spans="1:54" s="446" customFormat="1" ht="11.25" hidden="1" customHeight="1" x14ac:dyDescent="0.2">
      <c r="A1085" s="235"/>
      <c r="B1085" s="236"/>
      <c r="C1085" s="29" t="str">
        <f>IF(B1085="","",IF($L$709=$BL$25,VLOOKUP(DATE(YEAR($D$19),MONTH($D$19)-1,1),ÍNDICES!$A:$DE,HLOOKUP($BL$25,ÍNDICES!$B$3:$T$4,2)+11)-VLOOKUP(B1085,ÍNDICES!$A:$DE,HLOOKUP($BL$25,ÍNDICES!$B$3:$T$4,2)+11)+1%,IF(C$712=$W$26,$J$35,IF(ISERROR(IF(B1085&gt;$D$19,1,VLOOKUP(DATE(YEAR(B1085),MONTH(B1085)+IF($C$709=$S$23,1,0),1),ÍNDICES!$A:$DE,$Z$709+1))),"",IF(B1085&gt;$D$19,1,VLOOKUP(DATE(YEAR(B1085),MONTH(B1085)+IF($C$709=$S$23,1,0),1),ÍNDICES!$A:$DE,$Z$709+1))))))</f>
        <v/>
      </c>
      <c r="D1085" s="155"/>
      <c r="E1085" s="88"/>
      <c r="F1085" s="88"/>
      <c r="G1085" s="88"/>
      <c r="H1085" s="118"/>
      <c r="I1085" s="182">
        <f t="shared" si="150"/>
        <v>0</v>
      </c>
      <c r="J1085" s="20">
        <f t="shared" ca="1" si="151"/>
        <v>0</v>
      </c>
      <c r="K1085" s="5">
        <f t="shared" ca="1" si="152"/>
        <v>0</v>
      </c>
      <c r="L1085" s="61">
        <f t="shared" ca="1" si="153"/>
        <v>0</v>
      </c>
      <c r="M1085" s="64">
        <f t="shared" si="154"/>
        <v>0</v>
      </c>
      <c r="N1085" s="151"/>
      <c r="O1085" s="5">
        <f t="shared" ca="1" si="155"/>
        <v>0</v>
      </c>
      <c r="P1085" s="446" t="e">
        <f t="shared" si="156"/>
        <v>#VALUE!</v>
      </c>
      <c r="Q1085" s="446" t="e">
        <f>IF(OR($B1085="",MIN(Q$38,$D$19)&lt;MAX($P$708*($B1085+IF($R$17="Distrato",$I$38-1,0)),IF(AND($L$711=0,$P$708=0),"",$L$711-1),IF($R$17="Distrato",$E1085,0))),0,YEARFRAC(MAX($P$708*($B1085+IF($R$17="Distrato",$I$38-1,0)),IF(AND($L$711=0,$P$708=0),"",$L$711-1),IF($R$17="Distrato",$E1085,0)),MIN(Q$38,$D$19),$P$20))-SUM($P1085:P1085)</f>
        <v>#VALUE!</v>
      </c>
      <c r="R1085" s="446" t="e">
        <f>IF(OR($B1085="",MIN(R$38,$D$19)&lt;MAX($P$708*($B1085+IF($R$17="Distrato",$I$38-1,0)),IF(AND($L$711=0,$P$708=0),"",$L$711-1),IF($R$17="Distrato",$E1085,0))),0,YEARFRAC(MAX($P$708*($B1085+IF($R$17="Distrato",$I$38-1,0)),IF(AND($L$711=0,$P$708=0),"",$L$711-1),IF($R$17="Distrato",$E1085,0)),MIN(R$38,$D$19),$P$20))-SUM($P1085:Q1085)</f>
        <v>#VALUE!</v>
      </c>
      <c r="S1085" s="446" t="e">
        <f>IF(OR($B1085="",MIN(S$38,$D$19)&lt;MAX($P$708*($B1085+IF($R$17="Distrato",$I$38-1,0)),IF(AND($L$711=0,$P$708=0),"",$L$711-1),IF($R$17="Distrato",$E1085,0))),0,YEARFRAC(MAX($P$708*($B1085+IF($R$17="Distrato",$I$38-1,0)),IF(AND($L$711=0,$P$708=0),"",$L$711-1),IF($R$17="Distrato",$E1085,0)),MIN(S$38,$D$19),$P$20))-SUM($P1085:R1085)</f>
        <v>#VALUE!</v>
      </c>
      <c r="T1085" s="446" t="e">
        <f>IF(OR($B1085="",MIN(T$38,$D$19)&lt;MAX($P$708*($B1085+IF($R$17="Distrato",$I$38-1,0)),IF(AND($L$711=0,$P$708=0),"",$L$711-1),IF($R$17="Distrato",$E1085,0))),0,YEARFRAC(MAX($P$708*($B1085+IF($R$17="Distrato",$I$38-1,0)),IF(AND($L$711=0,$P$708=0),"",$L$711-1),IF($R$17="Distrato",$E1085,0)),MIN(T$38,$D$19),$P$20))-SUM($P1085:S1085)</f>
        <v>#VALUE!</v>
      </c>
      <c r="U1085" s="446" t="e">
        <f>IF(OR($B1085="",MIN(U$38,$D$19)&lt;MAX($P$708*($B1085+IF($R$17="Distrato",$I$38-1,0)),IF(AND($L$711=0,$P$708=0),"",$L$711-1),IF($R$17="Distrato",$E1085,0))),0,YEARFRAC(MAX($P$708*($B1085+IF($R$17="Distrato",$I$38-1,0)),IF(AND($L$711=0,$P$708=0),"",$L$711-1),IF($R$17="Distrato",$E1085,0)),MIN(U$38,$D$19),$P$20))-SUM($P1085:T1085)</f>
        <v>#VALUE!</v>
      </c>
      <c r="V1085" s="446" t="e">
        <f>IF(OR($B1085="",MIN(V$38,$D$19)&lt;MAX($P$708*($B1085+IF($R$17="Distrato",$I$38-1,0)),IF(AND($L$711=0,$P$708=0),"",$L$711-1),IF($R$17="Distrato",$E1085,0))),0,YEARFRAC(MAX($P$708*($B1085+IF($R$17="Distrato",$I$38-1,0)),IF(AND($L$711=0,$P$708=0),"",$L$711-1),IF($R$17="Distrato",$E1085,0)),MIN(V$38,$D$19),$P$20))-SUM($P1085:U1085)</f>
        <v>#VALUE!</v>
      </c>
      <c r="W1085" s="446" t="e">
        <f>IF(OR($B1085="",MIN(W$38,$D$19)&lt;MAX($P$708*($B1085+IF($R$17="Distrato",$I$38-1,0)),IF(AND($L$711=0,$P$708=0),"",$L$711-1),IF($R$17="Distrato",$E1085,0))),0,YEARFRAC(MAX($P$708*($B1085+IF($R$17="Distrato",$I$38-1,0)),IF(AND($L$711=0,$P$708=0),"",$L$711-1),IF($R$17="Distrato",$E1085,0)),MIN(W$38,$D$19),$P$20))-SUM($P1085:V1085)</f>
        <v>#VALUE!</v>
      </c>
      <c r="X1085" s="446" t="e">
        <f>IF(OR($B1085="",MIN(X$38,$D$19)&lt;MAX($P$708*($B1085+IF($R$17="Distrato",$I$38-1,0)),IF(AND($L$711=0,$P$708=0),"",$L$711-1),IF($R$17="Distrato",$E1085,0))),0,YEARFRAC(MAX($P$708*($B1085+IF($R$17="Distrato",$I$38-1,0)),IF(AND($L$711=0,$P$708=0),"",$L$711-1),IF($R$17="Distrato",$E1085,0)),MIN(X$38,$D$19),$P$20))-SUM($P1085:W1085)</f>
        <v>#VALUE!</v>
      </c>
      <c r="Y1085" s="446" t="e">
        <f>IF(OR($B1085="",MIN(Y$38,$D$19)&lt;MAX($P$708*($B1085+IF($R$17="Distrato",$I$38-1,0)),IF(AND($L$711=0,$P$708=0),"",$L$711-1),IF($R$17="Distrato",$E1085,0))),0,YEARFRAC(MAX($P$708*($B1085+IF($R$17="Distrato",$I$38-1,0)),IF(AND($L$711=0,$P$708=0),"",$L$711-1),IF($R$17="Distrato",$E1085,0)),MIN(Y$38,$D$19),$P$20))-SUM($P1085:X1085)</f>
        <v>#VALUE!</v>
      </c>
      <c r="Z1085" s="446" t="e">
        <f>IF(OR($B1085="",MIN(Z$38,$D$19)&lt;MAX($P$708*($B1085+IF($R$17="Distrato",$I$38-1,0)),IF(AND($L$711=0,$P$708=0),"",$L$711-1),IF($R$17="Distrato",$E1085,0))),0,YEARFRAC(MAX($P$708*($B1085+IF($R$17="Distrato",$I$38-1,0)),IF(AND($L$711=0,$P$708=0),"",$L$711-1),IF($R$17="Distrato",$E1085,0)),MIN(Z$38,$D$19),$P$20))-SUM($P1085:Y1085)</f>
        <v>#VALUE!</v>
      </c>
      <c r="AA1085" s="446" t="e">
        <f>IF(OR($B1085="",MIN(AA$38,$D$19)&lt;MAX($P$708*($B1085+IF($R$17="Distrato",$I$38-1,0)),IF(AND($L$711=0,$P$708=0),"",$L$711-1),IF($R$17="Distrato",$E1085,0))),0,YEARFRAC(MAX($P$708*($B1085+IF($R$17="Distrato",$I$38-1,0)),IF(AND($L$711=0,$P$708=0),"",$L$711-1),IF($R$17="Distrato",$E1085,0)),MIN(AA$38,$D$19),$P$20))-SUM($P1085:Z1085)</f>
        <v>#VALUE!</v>
      </c>
      <c r="AB1085" s="446" t="e">
        <f>IF(OR($B1085="",MIN(AB$38,$D$19)&lt;MAX($P$708*($B1085+IF($R$17="Distrato",$I$38-1,0)),IF(AND($L$711=0,$P$708=0),"",$L$711-1),IF($R$17="Distrato",$E1085,0))),0,YEARFRAC(MAX($P$708*($B1085+IF($R$17="Distrato",$I$38-1,0)),IF(AND($L$711=0,$P$708=0),"",$L$711-1),IF($R$17="Distrato",$E1085,0)),MIN(AB$38,$D$19),$P$20))-SUM($P1085:AA1085)</f>
        <v>#VALUE!</v>
      </c>
      <c r="AC1085" s="446" t="e">
        <f>IF(OR($B1085="",MIN(AC$38,$D$19)&lt;MAX($P$708*($B1085+IF($R$17="Distrato",$I$38-1,0)),IF(AND($L$711=0,$P$708=0),"",$L$711-1),IF($R$17="Distrato",$E1085,0))),0,YEARFRAC(MAX($P$708*($B1085+IF($R$17="Distrato",$I$38-1,0)),IF(AND($L$711=0,$P$708=0),"",$L$711-1),IF($R$17="Distrato",$E1085,0)),MIN(AC$38,$D$19),$P$20))-SUM($P1085:AB1085)</f>
        <v>#VALUE!</v>
      </c>
      <c r="AD1085" s="446" t="e">
        <f>IF(OR($B1085="",MIN(AD$38,$D$19)&lt;MAX($P$708*($B1085+IF($R$17="Distrato",$I$38-1,0)),IF(AND($L$711=0,$P$708=0),"",$L$711-1),IF($R$17="Distrato",$E1085,0))),0,YEARFRAC(MAX($P$708*($B1085+IF($R$17="Distrato",$I$38-1,0)),IF(AND($L$711=0,$P$708=0),"",$L$711-1),IF($R$17="Distrato",$E1085,0)),MIN(AD$38,$D$19),$P$20))-SUM($P1085:AC1085)</f>
        <v>#VALUE!</v>
      </c>
      <c r="AE1085" s="446" t="e">
        <f>IF(OR($B1085="",MIN(AE$38,$D$19)&lt;MAX($P$708*($B1085+IF($R$17="Distrato",$I$38-1,0)),IF(AND($L$711=0,$P$708=0),"",$L$711-1),IF($R$17="Distrato",$E1085,0))),0,YEARFRAC(MAX($P$708*($B1085+IF($R$17="Distrato",$I$38-1,0)),IF(AND($L$711=0,$P$708=0),"",$L$711-1),IF($R$17="Distrato",$E1085,0)),MIN(AE$38,$D$19),$P$20))-SUM($P1085:AD1085)</f>
        <v>#VALUE!</v>
      </c>
      <c r="AF1085" s="446" t="e">
        <f>IF(OR($B1085="",MIN(AF$38,$D$19)&lt;MAX($P$708*($B1085+IF($R$17="Distrato",$I$38-1,0)),IF(AND($L$711=0,$P$708=0),"",$L$711-1),IF($R$17="Distrato",$E1085,0))),0,YEARFRAC(MAX($P$708*($B1085+IF($R$17="Distrato",$I$38-1,0)),IF(AND($L$711=0,$P$708=0),"",$L$711-1),IF($R$17="Distrato",$E1085,0)),MIN(AF$38,$D$19),$P$20))-SUM($P1085:AE1085)</f>
        <v>#VALUE!</v>
      </c>
      <c r="AG1085" s="446" t="e">
        <f>IF(OR($B1085="",MIN(AG$38,$D$19)&lt;MAX($P$708*($B1085+IF($R$17="Distrato",$I$38-1,0)),IF(AND($L$711=0,$P$708=0),"",$L$711-1),IF($R$17="Distrato",$E1085,0))),0,YEARFRAC(MAX($P$708*($B1085+IF($R$17="Distrato",$I$38-1,0)),IF(AND($L$711=0,$P$708=0),"",$L$711-1),IF($R$17="Distrato",$E1085,0)),MIN(AG$38,$D$19),$P$20))-SUM($P1085:AF1085)</f>
        <v>#VALUE!</v>
      </c>
      <c r="AH1085" s="446" t="e">
        <f>IF(OR($B1085="",MIN(AH$38,$D$19)&lt;MAX($P$708*($B1085+IF($R$17="Distrato",$I$38-1,0)),IF(AND($L$711=0,$P$708=0),"",$L$711-1),IF($R$17="Distrato",$E1085,0))),0,YEARFRAC(MAX($P$708*($B1085+IF($R$17="Distrato",$I$38-1,0)),IF(AND($L$711=0,$P$708=0),"",$L$711-1),IF($R$17="Distrato",$E1085,0)),MIN(AH$38,$D$19),$P$20))-SUM($P1085:AG1085)</f>
        <v>#VALUE!</v>
      </c>
      <c r="AI1085" s="446" t="e">
        <f>IF(OR($B1085="",MIN(AI$38,$D$19)&lt;MAX($P$708*($B1085+IF($R$17="Distrato",$I$38-1,0)),IF(AND($L$711=0,$P$708=0),"",$L$711-1),IF($R$17="Distrato",$E1085,0))),0,YEARFRAC(MAX($P$708*($B1085+IF($R$17="Distrato",$I$38-1,0)),IF(AND($L$711=0,$P$708=0),"",$L$711-1),IF($R$17="Distrato",$E1085,0)),MIN(AI$38,$D$19),$P$20))-SUM($P1085:AH1085)</f>
        <v>#VALUE!</v>
      </c>
      <c r="AJ1085" s="446" t="e">
        <f>IF(OR($B1085="",MIN(AJ$38,$D$19)&lt;MAX($P$708*($B1085+IF($R$17="Distrato",$I$38-1,0)),IF(AND($L$711=0,$P$708=0),"",$L$711-1),IF($R$17="Distrato",$E1085,0))),0,YEARFRAC(MAX($P$708*($B1085+IF($R$17="Distrato",$I$38-1,0)),IF(AND($L$711=0,$P$708=0),"",$L$711-1),IF($R$17="Distrato",$E1085,0)),MIN(AJ$38,$D$19),$P$20))-SUM($P1085:AI1085)</f>
        <v>#VALUE!</v>
      </c>
      <c r="AK1085" s="446" t="e">
        <f>IF(OR($B1085="",MIN(AK$38,$D$19)&lt;MAX($P$708*($B1085+IF($R$17="Distrato",$I$38-1,0)),IF(AND($L$711=0,$P$708=0),"",$L$711-1),IF($R$17="Distrato",$E1085,0))),0,YEARFRAC(MAX($P$708*($B1085+IF($R$17="Distrato",$I$38-1,0)),IF(AND($L$711=0,$P$708=0),"",$L$711-1),IF($R$17="Distrato",$E1085,0)),MIN(AK$38,$D$19),$P$20))-SUM($P1085:AJ1085)</f>
        <v>#VALUE!</v>
      </c>
      <c r="AL1085" s="446" t="e">
        <f>IF(OR($B1085="",MIN(AL$38,$D$19)&lt;MAX($P$708*($B1085+IF($R$17="Distrato",$I$38-1,0)),IF(AND($L$711=0,$P$708=0),"",$L$711-1),IF($R$17="Distrato",$E1085,0))),0,YEARFRAC(MAX($P$708*($B1085+IF($R$17="Distrato",$I$38-1,0)),IF(AND($L$711=0,$P$708=0),"",$L$711-1),IF($R$17="Distrato",$E1085,0)),MIN(AL$38,$D$19),$P$20))-SUM($P1085:AK1085)</f>
        <v>#VALUE!</v>
      </c>
      <c r="AM1085" s="446" t="e">
        <f>IF(OR($B1085="",MIN(AM$38,$D$19)&lt;MAX($P$708*($B1085+IF($R$17="Distrato",$I$38-1,0)),IF(AND($L$711=0,$P$708=0),"",$L$711-1),IF($R$17="Distrato",$E1085,0))),0,YEARFRAC(MAX($P$708*($B1085+IF($R$17="Distrato",$I$38-1,0)),IF(AND($L$711=0,$P$708=0),"",$L$711-1),IF($R$17="Distrato",$E1085,0)),MIN(AM$38,$D$19),$P$20))-SUM($P1085:AL1085)</f>
        <v>#VALUE!</v>
      </c>
      <c r="AN1085" s="446" t="e">
        <f>IF(OR($B1085="",MIN(AN$38,$D$19)&lt;MAX($P$708*($B1085+IF($R$17="Distrato",$I$38-1,0)),IF(AND($L$711=0,$P$708=0),"",$L$711-1),IF($R$17="Distrato",$E1085,0))),0,YEARFRAC(MAX($P$708*($B1085+IF($R$17="Distrato",$I$38-1,0)),IF(AND($L$711=0,$P$708=0),"",$L$711-1),IF($R$17="Distrato",$E1085,0)),MIN(AN$38,$D$19),$P$20))-SUM($P1085:AM1085)</f>
        <v>#VALUE!</v>
      </c>
      <c r="AO1085" s="446" t="e">
        <f>IF(OR($B1085="",MIN(AO$38,$D$19)&lt;MAX($P$708*($B1085+IF($R$17="Distrato",$I$38-1,0)),IF(AND($L$711=0,$P$708=0),"",$L$711-1),IF($R$17="Distrato",$E1085,0))),0,YEARFRAC(MAX($P$708*($B1085+IF($R$17="Distrato",$I$38-1,0)),IF(AND($L$711=0,$P$708=0),"",$L$711-1),IF($R$17="Distrato",$E1085,0)),MIN(AO$38,$D$19),$P$20))-SUM($P1085:AN1085)</f>
        <v>#VALUE!</v>
      </c>
      <c r="AP1085" s="446" t="e">
        <f>IF(OR($B1085="",MIN(AP$38,$D$19)&lt;MAX($P$708*($B1085+IF($R$17="Distrato",$I$38-1,0)),IF(AND($L$711=0,$P$708=0),"",$L$711-1),IF($R$17="Distrato",$E1085,0))),0,YEARFRAC(MAX($P$708*($B1085+IF($R$17="Distrato",$I$38-1,0)),IF(AND($L$711=0,$P$708=0),"",$L$711-1),IF($R$17="Distrato",$E1085,0)),MIN(AP$38,$D$19),$P$20))-SUM($P1085:AO1085)</f>
        <v>#VALUE!</v>
      </c>
      <c r="AQ1085" s="446" t="e">
        <f>IF(OR($B1085="",MIN(AQ$38,$D$19)&lt;MAX($P$708*($B1085+IF($R$17="Distrato",$I$38-1,0)),IF(AND($L$711=0,$P$708=0),"",$L$711-1),IF($R$17="Distrato",$E1085,0))),0,YEARFRAC(MAX($P$708*($B1085+IF($R$17="Distrato",$I$38-1,0)),IF(AND($L$711=0,$P$708=0),"",$L$711-1),IF($R$17="Distrato",$E1085,0)),MIN(AQ$38,$D$19),$P$20))-SUM($P1085:AP1085)</f>
        <v>#VALUE!</v>
      </c>
      <c r="AR1085" s="446" t="e">
        <f>IF(OR($B1085="",MIN(AR$38,$D$19)&lt;MAX($P$708*($B1085+IF($R$17="Distrato",$I$38-1,0)),IF(AND($L$711=0,$P$708=0),"",$L$711-1),IF($R$17="Distrato",$E1085,0))),0,YEARFRAC(MAX($P$708*($B1085+IF($R$17="Distrato",$I$38-1,0)),IF(AND($L$711=0,$P$708=0),"",$L$711-1),IF($R$17="Distrato",$E1085,0)),MIN(AR$38,$D$19),$P$20))-SUM($P1085:AQ1085)</f>
        <v>#VALUE!</v>
      </c>
      <c r="AS1085" s="446" t="e">
        <f>IF(OR($B1085="",MIN(AS$38,$D$19)&lt;MAX($P$708*($B1085+IF($R$17="Distrato",$I$38-1,0)),IF(AND($L$711=0,$P$708=0),"",$L$711-1),IF($R$17="Distrato",$E1085,0))),0,YEARFRAC(MAX($P$708*($B1085+IF($R$17="Distrato",$I$38-1,0)),IF(AND($L$711=0,$P$708=0),"",$L$711-1),IF($R$17="Distrato",$E1085,0)),MIN(AS$38,$D$19),$P$20))-SUM($P1085:AR1085)</f>
        <v>#VALUE!</v>
      </c>
      <c r="AT1085" s="446" t="e">
        <f>IF(OR($B1085="",MIN(AT$38,$D$19)&lt;MAX($P$708*($B1085+IF($R$17="Distrato",$I$38-1,0)),IF(AND($L$711=0,$P$708=0),"",$L$711-1),IF($R$17="Distrato",$E1085,0))),0,YEARFRAC(MAX($P$708*($B1085+IF($R$17="Distrato",$I$38-1,0)),IF(AND($L$711=0,$P$708=0),"",$L$711-1),IF($R$17="Distrato",$E1085,0)),MIN(AT$38,$D$19),$P$20))-SUM($P1085:AS1085)</f>
        <v>#VALUE!</v>
      </c>
      <c r="AU1085" s="446" t="e">
        <f>IF(OR($B1085="",MIN(AU$38,$D$19)&lt;MAX($P$708*($B1085+IF($R$17="Distrato",$I$38-1,0)),IF(AND($L$711=0,$P$708=0),"",$L$711-1),IF($R$17="Distrato",$E1085,0))),0,YEARFRAC(MAX($P$708*($B1085+IF($R$17="Distrato",$I$38-1,0)),IF(AND($L$711=0,$P$708=0),"",$L$711-1),IF($R$17="Distrato",$E1085,0)),MIN(AU$38,$D$19),$P$20))-SUM($P1085:AT1085)</f>
        <v>#VALUE!</v>
      </c>
      <c r="AV1085" s="446" t="e">
        <f>IF(OR($B1085="",MIN(AV$38,$D$19)&lt;MAX($P$708*($B1085+IF($R$17="Distrato",$I$38-1,0)),IF(AND($L$711=0,$P$708=0),"",$L$711-1),IF($R$17="Distrato",$E1085,0))),0,YEARFRAC(MAX($P$708*($B1085+IF($R$17="Distrato",$I$38-1,0)),IF(AND($L$711=0,$P$708=0),"",$L$711-1),IF($R$17="Distrato",$E1085,0)),MIN(AV$38,$D$19),$P$20))-SUM($P1085:AU1085)</f>
        <v>#VALUE!</v>
      </c>
      <c r="AW1085" s="446" t="e">
        <f>IF(OR($B1085="",MIN(AW$38,$D$19)&lt;MAX($P$708*($B1085+IF($R$17="Distrato",$I$38-1,0)),IF(AND($L$711=0,$P$708=0),"",$L$711-1),IF($R$17="Distrato",$E1085,0))),0,YEARFRAC(MAX($P$708*($B1085+IF($R$17="Distrato",$I$38-1,0)),IF(AND($L$711=0,$P$708=0),"",$L$711-1),IF($R$17="Distrato",$E1085,0)),MIN(AW$38,$D$19),$P$20))-SUM($P1085:AV1085)</f>
        <v>#VALUE!</v>
      </c>
      <c r="AX1085" s="446" t="e">
        <f>IF(OR($B1085="",MIN(AX$38,$D$19)&lt;MAX($P$708*($B1085+IF($R$17="Distrato",$I$38-1,0)),IF(AND($L$711=0,$P$708=0),"",$L$711-1),IF($R$17="Distrato",$E1085,0))),0,YEARFRAC(MAX($P$708*($B1085+IF($R$17="Distrato",$I$38-1,0)),IF(AND($L$711=0,$P$708=0),"",$L$711-1),IF($R$17="Distrato",$E1085,0)),MIN(AX$38,$D$19),$P$20))-SUM($P1085:AW1085)</f>
        <v>#VALUE!</v>
      </c>
      <c r="AY1085" s="446" t="e">
        <f>IF(OR($B1085="",MIN(AY$38,$D$19)&lt;MAX($P$708*($B1085+IF($R$17="Distrato",$I$38-1,0)),IF(AND($L$711=0,$P$708=0),"",$L$711-1),IF($R$17="Distrato",$E1085,0))),0,YEARFRAC(MAX($P$708*($B1085+IF($R$17="Distrato",$I$38-1,0)),IF(AND($L$711=0,$P$708=0),"",$L$711-1),IF($R$17="Distrato",$E1085,0)),MIN(AY$38,$D$19),$P$20))-SUM($P1085:AX1085)</f>
        <v>#VALUE!</v>
      </c>
      <c r="AZ1085" s="446" t="e">
        <f>IF(OR($B1085="",MIN(AZ$38,$D$19)&lt;MAX($P$708*($B1085+IF($R$17="Distrato",$I$38-1,0)),IF(AND($L$711=0,$P$708=0),"",$L$711-1),IF($R$17="Distrato",$E1085,0))),0,YEARFRAC(MAX($P$708*($B1085+IF($R$17="Distrato",$I$38-1,0)),IF(AND($L$711=0,$P$708=0),"",$L$711-1),IF($R$17="Distrato",$E1085,0)),MIN(AZ$38,$D$19),$P$20))-SUM($P1085:AY1085)</f>
        <v>#VALUE!</v>
      </c>
      <c r="BA1085" s="446" t="e">
        <f>IF(OR($B1085="",MIN(BA$38,$D$19)&lt;MAX($P$708*($B1085+IF($R$17="Distrato",$I$38-1,0)),IF(AND($L$711=0,$P$708=0),"",$L$711-1),IF($R$17="Distrato",$E1085,0))),0,YEARFRAC(MAX($P$708*($B1085+IF($R$17="Distrato",$I$38-1,0)),IF(AND($L$711=0,$P$708=0),"",$L$711-1),IF($R$17="Distrato",$E1085,0)),MIN(BA$38,$D$19),$P$20))-SUM($P1085:AZ1085)</f>
        <v>#VALUE!</v>
      </c>
      <c r="BB1085" s="447"/>
    </row>
    <row r="1086" spans="1:54" s="446" customFormat="1" ht="11.25" hidden="1" customHeight="1" x14ac:dyDescent="0.2">
      <c r="A1086" s="235"/>
      <c r="B1086" s="236"/>
      <c r="C1086" s="29" t="str">
        <f>IF(B1086="","",IF($L$709=$BL$25,VLOOKUP(DATE(YEAR($D$19),MONTH($D$19)-1,1),ÍNDICES!$A:$DE,HLOOKUP($BL$25,ÍNDICES!$B$3:$T$4,2)+11)-VLOOKUP(B1086,ÍNDICES!$A:$DE,HLOOKUP($BL$25,ÍNDICES!$B$3:$T$4,2)+11)+1%,IF(C$712=$W$26,$J$35,IF(ISERROR(IF(B1086&gt;$D$19,1,VLOOKUP(DATE(YEAR(B1086),MONTH(B1086)+IF($C$709=$S$23,1,0),1),ÍNDICES!$A:$DE,$Z$709+1))),"",IF(B1086&gt;$D$19,1,VLOOKUP(DATE(YEAR(B1086),MONTH(B1086)+IF($C$709=$S$23,1,0),1),ÍNDICES!$A:$DE,$Z$709+1))))))</f>
        <v/>
      </c>
      <c r="D1086" s="155"/>
      <c r="E1086" s="88"/>
      <c r="F1086" s="88"/>
      <c r="G1086" s="88"/>
      <c r="H1086" s="118"/>
      <c r="I1086" s="182">
        <f t="shared" si="150"/>
        <v>0</v>
      </c>
      <c r="J1086" s="20">
        <f t="shared" ca="1" si="151"/>
        <v>0</v>
      </c>
      <c r="K1086" s="5">
        <f t="shared" ca="1" si="152"/>
        <v>0</v>
      </c>
      <c r="L1086" s="61">
        <f t="shared" ca="1" si="153"/>
        <v>0</v>
      </c>
      <c r="M1086" s="64">
        <f t="shared" si="154"/>
        <v>0</v>
      </c>
      <c r="N1086" s="151"/>
      <c r="O1086" s="5">
        <f t="shared" ca="1" si="155"/>
        <v>0</v>
      </c>
      <c r="P1086" s="446" t="e">
        <f t="shared" si="156"/>
        <v>#VALUE!</v>
      </c>
      <c r="Q1086" s="446" t="e">
        <f>IF(OR($B1086="",MIN(Q$38,$D$19)&lt;MAX($P$708*($B1086+IF($R$17="Distrato",$I$38-1,0)),IF(AND($L$711=0,$P$708=0),"",$L$711-1),IF($R$17="Distrato",$E1086,0))),0,YEARFRAC(MAX($P$708*($B1086+IF($R$17="Distrato",$I$38-1,0)),IF(AND($L$711=0,$P$708=0),"",$L$711-1),IF($R$17="Distrato",$E1086,0)),MIN(Q$38,$D$19),$P$20))-SUM($P1086:P1086)</f>
        <v>#VALUE!</v>
      </c>
      <c r="R1086" s="446" t="e">
        <f>IF(OR($B1086="",MIN(R$38,$D$19)&lt;MAX($P$708*($B1086+IF($R$17="Distrato",$I$38-1,0)),IF(AND($L$711=0,$P$708=0),"",$L$711-1),IF($R$17="Distrato",$E1086,0))),0,YEARFRAC(MAX($P$708*($B1086+IF($R$17="Distrato",$I$38-1,0)),IF(AND($L$711=0,$P$708=0),"",$L$711-1),IF($R$17="Distrato",$E1086,0)),MIN(R$38,$D$19),$P$20))-SUM($P1086:Q1086)</f>
        <v>#VALUE!</v>
      </c>
      <c r="S1086" s="446" t="e">
        <f>IF(OR($B1086="",MIN(S$38,$D$19)&lt;MAX($P$708*($B1086+IF($R$17="Distrato",$I$38-1,0)),IF(AND($L$711=0,$P$708=0),"",$L$711-1),IF($R$17="Distrato",$E1086,0))),0,YEARFRAC(MAX($P$708*($B1086+IF($R$17="Distrato",$I$38-1,0)),IF(AND($L$711=0,$P$708=0),"",$L$711-1),IF($R$17="Distrato",$E1086,0)),MIN(S$38,$D$19),$P$20))-SUM($P1086:R1086)</f>
        <v>#VALUE!</v>
      </c>
      <c r="T1086" s="446" t="e">
        <f>IF(OR($B1086="",MIN(T$38,$D$19)&lt;MAX($P$708*($B1086+IF($R$17="Distrato",$I$38-1,0)),IF(AND($L$711=0,$P$708=0),"",$L$711-1),IF($R$17="Distrato",$E1086,0))),0,YEARFRAC(MAX($P$708*($B1086+IF($R$17="Distrato",$I$38-1,0)),IF(AND($L$711=0,$P$708=0),"",$L$711-1),IF($R$17="Distrato",$E1086,0)),MIN(T$38,$D$19),$P$20))-SUM($P1086:S1086)</f>
        <v>#VALUE!</v>
      </c>
      <c r="U1086" s="446" t="e">
        <f>IF(OR($B1086="",MIN(U$38,$D$19)&lt;MAX($P$708*($B1086+IF($R$17="Distrato",$I$38-1,0)),IF(AND($L$711=0,$P$708=0),"",$L$711-1),IF($R$17="Distrato",$E1086,0))),0,YEARFRAC(MAX($P$708*($B1086+IF($R$17="Distrato",$I$38-1,0)),IF(AND($L$711=0,$P$708=0),"",$L$711-1),IF($R$17="Distrato",$E1086,0)),MIN(U$38,$D$19),$P$20))-SUM($P1086:T1086)</f>
        <v>#VALUE!</v>
      </c>
      <c r="V1086" s="446" t="e">
        <f>IF(OR($B1086="",MIN(V$38,$D$19)&lt;MAX($P$708*($B1086+IF($R$17="Distrato",$I$38-1,0)),IF(AND($L$711=0,$P$708=0),"",$L$711-1),IF($R$17="Distrato",$E1086,0))),0,YEARFRAC(MAX($P$708*($B1086+IF($R$17="Distrato",$I$38-1,0)),IF(AND($L$711=0,$P$708=0),"",$L$711-1),IF($R$17="Distrato",$E1086,0)),MIN(V$38,$D$19),$P$20))-SUM($P1086:U1086)</f>
        <v>#VALUE!</v>
      </c>
      <c r="W1086" s="446" t="e">
        <f>IF(OR($B1086="",MIN(W$38,$D$19)&lt;MAX($P$708*($B1086+IF($R$17="Distrato",$I$38-1,0)),IF(AND($L$711=0,$P$708=0),"",$L$711-1),IF($R$17="Distrato",$E1086,0))),0,YEARFRAC(MAX($P$708*($B1086+IF($R$17="Distrato",$I$38-1,0)),IF(AND($L$711=0,$P$708=0),"",$L$711-1),IF($R$17="Distrato",$E1086,0)),MIN(W$38,$D$19),$P$20))-SUM($P1086:V1086)</f>
        <v>#VALUE!</v>
      </c>
      <c r="X1086" s="446" t="e">
        <f>IF(OR($B1086="",MIN(X$38,$D$19)&lt;MAX($P$708*($B1086+IF($R$17="Distrato",$I$38-1,0)),IF(AND($L$711=0,$P$708=0),"",$L$711-1),IF($R$17="Distrato",$E1086,0))),0,YEARFRAC(MAX($P$708*($B1086+IF($R$17="Distrato",$I$38-1,0)),IF(AND($L$711=0,$P$708=0),"",$L$711-1),IF($R$17="Distrato",$E1086,0)),MIN(X$38,$D$19),$P$20))-SUM($P1086:W1086)</f>
        <v>#VALUE!</v>
      </c>
      <c r="Y1086" s="446" t="e">
        <f>IF(OR($B1086="",MIN(Y$38,$D$19)&lt;MAX($P$708*($B1086+IF($R$17="Distrato",$I$38-1,0)),IF(AND($L$711=0,$P$708=0),"",$L$711-1),IF($R$17="Distrato",$E1086,0))),0,YEARFRAC(MAX($P$708*($B1086+IF($R$17="Distrato",$I$38-1,0)),IF(AND($L$711=0,$P$708=0),"",$L$711-1),IF($R$17="Distrato",$E1086,0)),MIN(Y$38,$D$19),$P$20))-SUM($P1086:X1086)</f>
        <v>#VALUE!</v>
      </c>
      <c r="Z1086" s="446" t="e">
        <f>IF(OR($B1086="",MIN(Z$38,$D$19)&lt;MAX($P$708*($B1086+IF($R$17="Distrato",$I$38-1,0)),IF(AND($L$711=0,$P$708=0),"",$L$711-1),IF($R$17="Distrato",$E1086,0))),0,YEARFRAC(MAX($P$708*($B1086+IF($R$17="Distrato",$I$38-1,0)),IF(AND($L$711=0,$P$708=0),"",$L$711-1),IF($R$17="Distrato",$E1086,0)),MIN(Z$38,$D$19),$P$20))-SUM($P1086:Y1086)</f>
        <v>#VALUE!</v>
      </c>
      <c r="AA1086" s="446" t="e">
        <f>IF(OR($B1086="",MIN(AA$38,$D$19)&lt;MAX($P$708*($B1086+IF($R$17="Distrato",$I$38-1,0)),IF(AND($L$711=0,$P$708=0),"",$L$711-1),IF($R$17="Distrato",$E1086,0))),0,YEARFRAC(MAX($P$708*($B1086+IF($R$17="Distrato",$I$38-1,0)),IF(AND($L$711=0,$P$708=0),"",$L$711-1),IF($R$17="Distrato",$E1086,0)),MIN(AA$38,$D$19),$P$20))-SUM($P1086:Z1086)</f>
        <v>#VALUE!</v>
      </c>
      <c r="AB1086" s="446" t="e">
        <f>IF(OR($B1086="",MIN(AB$38,$D$19)&lt;MAX($P$708*($B1086+IF($R$17="Distrato",$I$38-1,0)),IF(AND($L$711=0,$P$708=0),"",$L$711-1),IF($R$17="Distrato",$E1086,0))),0,YEARFRAC(MAX($P$708*($B1086+IF($R$17="Distrato",$I$38-1,0)),IF(AND($L$711=0,$P$708=0),"",$L$711-1),IF($R$17="Distrato",$E1086,0)),MIN(AB$38,$D$19),$P$20))-SUM($P1086:AA1086)</f>
        <v>#VALUE!</v>
      </c>
      <c r="AC1086" s="446" t="e">
        <f>IF(OR($B1086="",MIN(AC$38,$D$19)&lt;MAX($P$708*($B1086+IF($R$17="Distrato",$I$38-1,0)),IF(AND($L$711=0,$P$708=0),"",$L$711-1),IF($R$17="Distrato",$E1086,0))),0,YEARFRAC(MAX($P$708*($B1086+IF($R$17="Distrato",$I$38-1,0)),IF(AND($L$711=0,$P$708=0),"",$L$711-1),IF($R$17="Distrato",$E1086,0)),MIN(AC$38,$D$19),$P$20))-SUM($P1086:AB1086)</f>
        <v>#VALUE!</v>
      </c>
      <c r="AD1086" s="446" t="e">
        <f>IF(OR($B1086="",MIN(AD$38,$D$19)&lt;MAX($P$708*($B1086+IF($R$17="Distrato",$I$38-1,0)),IF(AND($L$711=0,$P$708=0),"",$L$711-1),IF($R$17="Distrato",$E1086,0))),0,YEARFRAC(MAX($P$708*($B1086+IF($R$17="Distrato",$I$38-1,0)),IF(AND($L$711=0,$P$708=0),"",$L$711-1),IF($R$17="Distrato",$E1086,0)),MIN(AD$38,$D$19),$P$20))-SUM($P1086:AC1086)</f>
        <v>#VALUE!</v>
      </c>
      <c r="AE1086" s="446" t="e">
        <f>IF(OR($B1086="",MIN(AE$38,$D$19)&lt;MAX($P$708*($B1086+IF($R$17="Distrato",$I$38-1,0)),IF(AND($L$711=0,$P$708=0),"",$L$711-1),IF($R$17="Distrato",$E1086,0))),0,YEARFRAC(MAX($P$708*($B1086+IF($R$17="Distrato",$I$38-1,0)),IF(AND($L$711=0,$P$708=0),"",$L$711-1),IF($R$17="Distrato",$E1086,0)),MIN(AE$38,$D$19),$P$20))-SUM($P1086:AD1086)</f>
        <v>#VALUE!</v>
      </c>
      <c r="AF1086" s="446" t="e">
        <f>IF(OR($B1086="",MIN(AF$38,$D$19)&lt;MAX($P$708*($B1086+IF($R$17="Distrato",$I$38-1,0)),IF(AND($L$711=0,$P$708=0),"",$L$711-1),IF($R$17="Distrato",$E1086,0))),0,YEARFRAC(MAX($P$708*($B1086+IF($R$17="Distrato",$I$38-1,0)),IF(AND($L$711=0,$P$708=0),"",$L$711-1),IF($R$17="Distrato",$E1086,0)),MIN(AF$38,$D$19),$P$20))-SUM($P1086:AE1086)</f>
        <v>#VALUE!</v>
      </c>
      <c r="AG1086" s="446" t="e">
        <f>IF(OR($B1086="",MIN(AG$38,$D$19)&lt;MAX($P$708*($B1086+IF($R$17="Distrato",$I$38-1,0)),IF(AND($L$711=0,$P$708=0),"",$L$711-1),IF($R$17="Distrato",$E1086,0))),0,YEARFRAC(MAX($P$708*($B1086+IF($R$17="Distrato",$I$38-1,0)),IF(AND($L$711=0,$P$708=0),"",$L$711-1),IF($R$17="Distrato",$E1086,0)),MIN(AG$38,$D$19),$P$20))-SUM($P1086:AF1086)</f>
        <v>#VALUE!</v>
      </c>
      <c r="AH1086" s="446" t="e">
        <f>IF(OR($B1086="",MIN(AH$38,$D$19)&lt;MAX($P$708*($B1086+IF($R$17="Distrato",$I$38-1,0)),IF(AND($L$711=0,$P$708=0),"",$L$711-1),IF($R$17="Distrato",$E1086,0))),0,YEARFRAC(MAX($P$708*($B1086+IF($R$17="Distrato",$I$38-1,0)),IF(AND($L$711=0,$P$708=0),"",$L$711-1),IF($R$17="Distrato",$E1086,0)),MIN(AH$38,$D$19),$P$20))-SUM($P1086:AG1086)</f>
        <v>#VALUE!</v>
      </c>
      <c r="AI1086" s="446" t="e">
        <f>IF(OR($B1086="",MIN(AI$38,$D$19)&lt;MAX($P$708*($B1086+IF($R$17="Distrato",$I$38-1,0)),IF(AND($L$711=0,$P$708=0),"",$L$711-1),IF($R$17="Distrato",$E1086,0))),0,YEARFRAC(MAX($P$708*($B1086+IF($R$17="Distrato",$I$38-1,0)),IF(AND($L$711=0,$P$708=0),"",$L$711-1),IF($R$17="Distrato",$E1086,0)),MIN(AI$38,$D$19),$P$20))-SUM($P1086:AH1086)</f>
        <v>#VALUE!</v>
      </c>
      <c r="AJ1086" s="446" t="e">
        <f>IF(OR($B1086="",MIN(AJ$38,$D$19)&lt;MAX($P$708*($B1086+IF($R$17="Distrato",$I$38-1,0)),IF(AND($L$711=0,$P$708=0),"",$L$711-1),IF($R$17="Distrato",$E1086,0))),0,YEARFRAC(MAX($P$708*($B1086+IF($R$17="Distrato",$I$38-1,0)),IF(AND($L$711=0,$P$708=0),"",$L$711-1),IF($R$17="Distrato",$E1086,0)),MIN(AJ$38,$D$19),$P$20))-SUM($P1086:AI1086)</f>
        <v>#VALUE!</v>
      </c>
      <c r="AK1086" s="446" t="e">
        <f>IF(OR($B1086="",MIN(AK$38,$D$19)&lt;MAX($P$708*($B1086+IF($R$17="Distrato",$I$38-1,0)),IF(AND($L$711=0,$P$708=0),"",$L$711-1),IF($R$17="Distrato",$E1086,0))),0,YEARFRAC(MAX($P$708*($B1086+IF($R$17="Distrato",$I$38-1,0)),IF(AND($L$711=0,$P$708=0),"",$L$711-1),IF($R$17="Distrato",$E1086,0)),MIN(AK$38,$D$19),$P$20))-SUM($P1086:AJ1086)</f>
        <v>#VALUE!</v>
      </c>
      <c r="AL1086" s="446" t="e">
        <f>IF(OR($B1086="",MIN(AL$38,$D$19)&lt;MAX($P$708*($B1086+IF($R$17="Distrato",$I$38-1,0)),IF(AND($L$711=0,$P$708=0),"",$L$711-1),IF($R$17="Distrato",$E1086,0))),0,YEARFRAC(MAX($P$708*($B1086+IF($R$17="Distrato",$I$38-1,0)),IF(AND($L$711=0,$P$708=0),"",$L$711-1),IF($R$17="Distrato",$E1086,0)),MIN(AL$38,$D$19),$P$20))-SUM($P1086:AK1086)</f>
        <v>#VALUE!</v>
      </c>
      <c r="AM1086" s="446" t="e">
        <f>IF(OR($B1086="",MIN(AM$38,$D$19)&lt;MAX($P$708*($B1086+IF($R$17="Distrato",$I$38-1,0)),IF(AND($L$711=0,$P$708=0),"",$L$711-1),IF($R$17="Distrato",$E1086,0))),0,YEARFRAC(MAX($P$708*($B1086+IF($R$17="Distrato",$I$38-1,0)),IF(AND($L$711=0,$P$708=0),"",$L$711-1),IF($R$17="Distrato",$E1086,0)),MIN(AM$38,$D$19),$P$20))-SUM($P1086:AL1086)</f>
        <v>#VALUE!</v>
      </c>
      <c r="AN1086" s="446" t="e">
        <f>IF(OR($B1086="",MIN(AN$38,$D$19)&lt;MAX($P$708*($B1086+IF($R$17="Distrato",$I$38-1,0)),IF(AND($L$711=0,$P$708=0),"",$L$711-1),IF($R$17="Distrato",$E1086,0))),0,YEARFRAC(MAX($P$708*($B1086+IF($R$17="Distrato",$I$38-1,0)),IF(AND($L$711=0,$P$708=0),"",$L$711-1),IF($R$17="Distrato",$E1086,0)),MIN(AN$38,$D$19),$P$20))-SUM($P1086:AM1086)</f>
        <v>#VALUE!</v>
      </c>
      <c r="AO1086" s="446" t="e">
        <f>IF(OR($B1086="",MIN(AO$38,$D$19)&lt;MAX($P$708*($B1086+IF($R$17="Distrato",$I$38-1,0)),IF(AND($L$711=0,$P$708=0),"",$L$711-1),IF($R$17="Distrato",$E1086,0))),0,YEARFRAC(MAX($P$708*($B1086+IF($R$17="Distrato",$I$38-1,0)),IF(AND($L$711=0,$P$708=0),"",$L$711-1),IF($R$17="Distrato",$E1086,0)),MIN(AO$38,$D$19),$P$20))-SUM($P1086:AN1086)</f>
        <v>#VALUE!</v>
      </c>
      <c r="AP1086" s="446" t="e">
        <f>IF(OR($B1086="",MIN(AP$38,$D$19)&lt;MAX($P$708*($B1086+IF($R$17="Distrato",$I$38-1,0)),IF(AND($L$711=0,$P$708=0),"",$L$711-1),IF($R$17="Distrato",$E1086,0))),0,YEARFRAC(MAX($P$708*($B1086+IF($R$17="Distrato",$I$38-1,0)),IF(AND($L$711=0,$P$708=0),"",$L$711-1),IF($R$17="Distrato",$E1086,0)),MIN(AP$38,$D$19),$P$20))-SUM($P1086:AO1086)</f>
        <v>#VALUE!</v>
      </c>
      <c r="AQ1086" s="446" t="e">
        <f>IF(OR($B1086="",MIN(AQ$38,$D$19)&lt;MAX($P$708*($B1086+IF($R$17="Distrato",$I$38-1,0)),IF(AND($L$711=0,$P$708=0),"",$L$711-1),IF($R$17="Distrato",$E1086,0))),0,YEARFRAC(MAX($P$708*($B1086+IF($R$17="Distrato",$I$38-1,0)),IF(AND($L$711=0,$P$708=0),"",$L$711-1),IF($R$17="Distrato",$E1086,0)),MIN(AQ$38,$D$19),$P$20))-SUM($P1086:AP1086)</f>
        <v>#VALUE!</v>
      </c>
      <c r="AR1086" s="446" t="e">
        <f>IF(OR($B1086="",MIN(AR$38,$D$19)&lt;MAX($P$708*($B1086+IF($R$17="Distrato",$I$38-1,0)),IF(AND($L$711=0,$P$708=0),"",$L$711-1),IF($R$17="Distrato",$E1086,0))),0,YEARFRAC(MAX($P$708*($B1086+IF($R$17="Distrato",$I$38-1,0)),IF(AND($L$711=0,$P$708=0),"",$L$711-1),IF($R$17="Distrato",$E1086,0)),MIN(AR$38,$D$19),$P$20))-SUM($P1086:AQ1086)</f>
        <v>#VALUE!</v>
      </c>
      <c r="AS1086" s="446" t="e">
        <f>IF(OR($B1086="",MIN(AS$38,$D$19)&lt;MAX($P$708*($B1086+IF($R$17="Distrato",$I$38-1,0)),IF(AND($L$711=0,$P$708=0),"",$L$711-1),IF($R$17="Distrato",$E1086,0))),0,YEARFRAC(MAX($P$708*($B1086+IF($R$17="Distrato",$I$38-1,0)),IF(AND($L$711=0,$P$708=0),"",$L$711-1),IF($R$17="Distrato",$E1086,0)),MIN(AS$38,$D$19),$P$20))-SUM($P1086:AR1086)</f>
        <v>#VALUE!</v>
      </c>
      <c r="AT1086" s="446" t="e">
        <f>IF(OR($B1086="",MIN(AT$38,$D$19)&lt;MAX($P$708*($B1086+IF($R$17="Distrato",$I$38-1,0)),IF(AND($L$711=0,$P$708=0),"",$L$711-1),IF($R$17="Distrato",$E1086,0))),0,YEARFRAC(MAX($P$708*($B1086+IF($R$17="Distrato",$I$38-1,0)),IF(AND($L$711=0,$P$708=0),"",$L$711-1),IF($R$17="Distrato",$E1086,0)),MIN(AT$38,$D$19),$P$20))-SUM($P1086:AS1086)</f>
        <v>#VALUE!</v>
      </c>
      <c r="AU1086" s="446" t="e">
        <f>IF(OR($B1086="",MIN(AU$38,$D$19)&lt;MAX($P$708*($B1086+IF($R$17="Distrato",$I$38-1,0)),IF(AND($L$711=0,$P$708=0),"",$L$711-1),IF($R$17="Distrato",$E1086,0))),0,YEARFRAC(MAX($P$708*($B1086+IF($R$17="Distrato",$I$38-1,0)),IF(AND($L$711=0,$P$708=0),"",$L$711-1),IF($R$17="Distrato",$E1086,0)),MIN(AU$38,$D$19),$P$20))-SUM($P1086:AT1086)</f>
        <v>#VALUE!</v>
      </c>
      <c r="AV1086" s="446" t="e">
        <f>IF(OR($B1086="",MIN(AV$38,$D$19)&lt;MAX($P$708*($B1086+IF($R$17="Distrato",$I$38-1,0)),IF(AND($L$711=0,$P$708=0),"",$L$711-1),IF($R$17="Distrato",$E1086,0))),0,YEARFRAC(MAX($P$708*($B1086+IF($R$17="Distrato",$I$38-1,0)),IF(AND($L$711=0,$P$708=0),"",$L$711-1),IF($R$17="Distrato",$E1086,0)),MIN(AV$38,$D$19),$P$20))-SUM($P1086:AU1086)</f>
        <v>#VALUE!</v>
      </c>
      <c r="AW1086" s="446" t="e">
        <f>IF(OR($B1086="",MIN(AW$38,$D$19)&lt;MAX($P$708*($B1086+IF($R$17="Distrato",$I$38-1,0)),IF(AND($L$711=0,$P$708=0),"",$L$711-1),IF($R$17="Distrato",$E1086,0))),0,YEARFRAC(MAX($P$708*($B1086+IF($R$17="Distrato",$I$38-1,0)),IF(AND($L$711=0,$P$708=0),"",$L$711-1),IF($R$17="Distrato",$E1086,0)),MIN(AW$38,$D$19),$P$20))-SUM($P1086:AV1086)</f>
        <v>#VALUE!</v>
      </c>
      <c r="AX1086" s="446" t="e">
        <f>IF(OR($B1086="",MIN(AX$38,$D$19)&lt;MAX($P$708*($B1086+IF($R$17="Distrato",$I$38-1,0)),IF(AND($L$711=0,$P$708=0),"",$L$711-1),IF($R$17="Distrato",$E1086,0))),0,YEARFRAC(MAX($P$708*($B1086+IF($R$17="Distrato",$I$38-1,0)),IF(AND($L$711=0,$P$708=0),"",$L$711-1),IF($R$17="Distrato",$E1086,0)),MIN(AX$38,$D$19),$P$20))-SUM($P1086:AW1086)</f>
        <v>#VALUE!</v>
      </c>
      <c r="AY1086" s="446" t="e">
        <f>IF(OR($B1086="",MIN(AY$38,$D$19)&lt;MAX($P$708*($B1086+IF($R$17="Distrato",$I$38-1,0)),IF(AND($L$711=0,$P$708=0),"",$L$711-1),IF($R$17="Distrato",$E1086,0))),0,YEARFRAC(MAX($P$708*($B1086+IF($R$17="Distrato",$I$38-1,0)),IF(AND($L$711=0,$P$708=0),"",$L$711-1),IF($R$17="Distrato",$E1086,0)),MIN(AY$38,$D$19),$P$20))-SUM($P1086:AX1086)</f>
        <v>#VALUE!</v>
      </c>
      <c r="AZ1086" s="446" t="e">
        <f>IF(OR($B1086="",MIN(AZ$38,$D$19)&lt;MAX($P$708*($B1086+IF($R$17="Distrato",$I$38-1,0)),IF(AND($L$711=0,$P$708=0),"",$L$711-1),IF($R$17="Distrato",$E1086,0))),0,YEARFRAC(MAX($P$708*($B1086+IF($R$17="Distrato",$I$38-1,0)),IF(AND($L$711=0,$P$708=0),"",$L$711-1),IF($R$17="Distrato",$E1086,0)),MIN(AZ$38,$D$19),$P$20))-SUM($P1086:AY1086)</f>
        <v>#VALUE!</v>
      </c>
      <c r="BA1086" s="446" t="e">
        <f>IF(OR($B1086="",MIN(BA$38,$D$19)&lt;MAX($P$708*($B1086+IF($R$17="Distrato",$I$38-1,0)),IF(AND($L$711=0,$P$708=0),"",$L$711-1),IF($R$17="Distrato",$E1086,0))),0,YEARFRAC(MAX($P$708*($B1086+IF($R$17="Distrato",$I$38-1,0)),IF(AND($L$711=0,$P$708=0),"",$L$711-1),IF($R$17="Distrato",$E1086,0)),MIN(BA$38,$D$19),$P$20))-SUM($P1086:AZ1086)</f>
        <v>#VALUE!</v>
      </c>
      <c r="BB1086" s="447"/>
    </row>
    <row r="1087" spans="1:54" s="446" customFormat="1" ht="11.25" hidden="1" customHeight="1" x14ac:dyDescent="0.2">
      <c r="A1087" s="235"/>
      <c r="B1087" s="236"/>
      <c r="C1087" s="29" t="str">
        <f>IF(B1087="","",IF($L$709=$BL$25,VLOOKUP(DATE(YEAR($D$19),MONTH($D$19)-1,1),ÍNDICES!$A:$DE,HLOOKUP($BL$25,ÍNDICES!$B$3:$T$4,2)+11)-VLOOKUP(B1087,ÍNDICES!$A:$DE,HLOOKUP($BL$25,ÍNDICES!$B$3:$T$4,2)+11)+1%,IF(C$712=$W$26,$J$35,IF(ISERROR(IF(B1087&gt;$D$19,1,VLOOKUP(DATE(YEAR(B1087),MONTH(B1087)+IF($C$709=$S$23,1,0),1),ÍNDICES!$A:$DE,$Z$709+1))),"",IF(B1087&gt;$D$19,1,VLOOKUP(DATE(YEAR(B1087),MONTH(B1087)+IF($C$709=$S$23,1,0),1),ÍNDICES!$A:$DE,$Z$709+1))))))</f>
        <v/>
      </c>
      <c r="D1087" s="155"/>
      <c r="E1087" s="88"/>
      <c r="F1087" s="88"/>
      <c r="G1087" s="88"/>
      <c r="H1087" s="118"/>
      <c r="I1087" s="182">
        <f t="shared" si="150"/>
        <v>0</v>
      </c>
      <c r="J1087" s="20">
        <f t="shared" ca="1" si="151"/>
        <v>0</v>
      </c>
      <c r="K1087" s="5">
        <f t="shared" ca="1" si="152"/>
        <v>0</v>
      </c>
      <c r="L1087" s="61">
        <f t="shared" ca="1" si="153"/>
        <v>0</v>
      </c>
      <c r="M1087" s="64">
        <f t="shared" si="154"/>
        <v>0</v>
      </c>
      <c r="N1087" s="151"/>
      <c r="O1087" s="5">
        <f t="shared" ca="1" si="155"/>
        <v>0</v>
      </c>
      <c r="P1087" s="446" t="e">
        <f t="shared" si="156"/>
        <v>#VALUE!</v>
      </c>
      <c r="Q1087" s="446" t="e">
        <f>IF(OR($B1087="",MIN(Q$38,$D$19)&lt;MAX($P$708*($B1087+IF($R$17="Distrato",$I$38-1,0)),IF(AND($L$711=0,$P$708=0),"",$L$711-1),IF($R$17="Distrato",$E1087,0))),0,YEARFRAC(MAX($P$708*($B1087+IF($R$17="Distrato",$I$38-1,0)),IF(AND($L$711=0,$P$708=0),"",$L$711-1),IF($R$17="Distrato",$E1087,0)),MIN(Q$38,$D$19),$P$20))-SUM($P1087:P1087)</f>
        <v>#VALUE!</v>
      </c>
      <c r="R1087" s="446" t="e">
        <f>IF(OR($B1087="",MIN(R$38,$D$19)&lt;MAX($P$708*($B1087+IF($R$17="Distrato",$I$38-1,0)),IF(AND($L$711=0,$P$708=0),"",$L$711-1),IF($R$17="Distrato",$E1087,0))),0,YEARFRAC(MAX($P$708*($B1087+IF($R$17="Distrato",$I$38-1,0)),IF(AND($L$711=0,$P$708=0),"",$L$711-1),IF($R$17="Distrato",$E1087,0)),MIN(R$38,$D$19),$P$20))-SUM($P1087:Q1087)</f>
        <v>#VALUE!</v>
      </c>
      <c r="S1087" s="446" t="e">
        <f>IF(OR($B1087="",MIN(S$38,$D$19)&lt;MAX($P$708*($B1087+IF($R$17="Distrato",$I$38-1,0)),IF(AND($L$711=0,$P$708=0),"",$L$711-1),IF($R$17="Distrato",$E1087,0))),0,YEARFRAC(MAX($P$708*($B1087+IF($R$17="Distrato",$I$38-1,0)),IF(AND($L$711=0,$P$708=0),"",$L$711-1),IF($R$17="Distrato",$E1087,0)),MIN(S$38,$D$19),$P$20))-SUM($P1087:R1087)</f>
        <v>#VALUE!</v>
      </c>
      <c r="T1087" s="446" t="e">
        <f>IF(OR($B1087="",MIN(T$38,$D$19)&lt;MAX($P$708*($B1087+IF($R$17="Distrato",$I$38-1,0)),IF(AND($L$711=0,$P$708=0),"",$L$711-1),IF($R$17="Distrato",$E1087,0))),0,YEARFRAC(MAX($P$708*($B1087+IF($R$17="Distrato",$I$38-1,0)),IF(AND($L$711=0,$P$708=0),"",$L$711-1),IF($R$17="Distrato",$E1087,0)),MIN(T$38,$D$19),$P$20))-SUM($P1087:S1087)</f>
        <v>#VALUE!</v>
      </c>
      <c r="U1087" s="446" t="e">
        <f>IF(OR($B1087="",MIN(U$38,$D$19)&lt;MAX($P$708*($B1087+IF($R$17="Distrato",$I$38-1,0)),IF(AND($L$711=0,$P$708=0),"",$L$711-1),IF($R$17="Distrato",$E1087,0))),0,YEARFRAC(MAX($P$708*($B1087+IF($R$17="Distrato",$I$38-1,0)),IF(AND($L$711=0,$P$708=0),"",$L$711-1),IF($R$17="Distrato",$E1087,0)),MIN(U$38,$D$19),$P$20))-SUM($P1087:T1087)</f>
        <v>#VALUE!</v>
      </c>
      <c r="V1087" s="446" t="e">
        <f>IF(OR($B1087="",MIN(V$38,$D$19)&lt;MAX($P$708*($B1087+IF($R$17="Distrato",$I$38-1,0)),IF(AND($L$711=0,$P$708=0),"",$L$711-1),IF($R$17="Distrato",$E1087,0))),0,YEARFRAC(MAX($P$708*($B1087+IF($R$17="Distrato",$I$38-1,0)),IF(AND($L$711=0,$P$708=0),"",$L$711-1),IF($R$17="Distrato",$E1087,0)),MIN(V$38,$D$19),$P$20))-SUM($P1087:U1087)</f>
        <v>#VALUE!</v>
      </c>
      <c r="W1087" s="446" t="e">
        <f>IF(OR($B1087="",MIN(W$38,$D$19)&lt;MAX($P$708*($B1087+IF($R$17="Distrato",$I$38-1,0)),IF(AND($L$711=0,$P$708=0),"",$L$711-1),IF($R$17="Distrato",$E1087,0))),0,YEARFRAC(MAX($P$708*($B1087+IF($R$17="Distrato",$I$38-1,0)),IF(AND($L$711=0,$P$708=0),"",$L$711-1),IF($R$17="Distrato",$E1087,0)),MIN(W$38,$D$19),$P$20))-SUM($P1087:V1087)</f>
        <v>#VALUE!</v>
      </c>
      <c r="X1087" s="446" t="e">
        <f>IF(OR($B1087="",MIN(X$38,$D$19)&lt;MAX($P$708*($B1087+IF($R$17="Distrato",$I$38-1,0)),IF(AND($L$711=0,$P$708=0),"",$L$711-1),IF($R$17="Distrato",$E1087,0))),0,YEARFRAC(MAX($P$708*($B1087+IF($R$17="Distrato",$I$38-1,0)),IF(AND($L$711=0,$P$708=0),"",$L$711-1),IF($R$17="Distrato",$E1087,0)),MIN(X$38,$D$19),$P$20))-SUM($P1087:W1087)</f>
        <v>#VALUE!</v>
      </c>
      <c r="Y1087" s="446" t="e">
        <f>IF(OR($B1087="",MIN(Y$38,$D$19)&lt;MAX($P$708*($B1087+IF($R$17="Distrato",$I$38-1,0)),IF(AND($L$711=0,$P$708=0),"",$L$711-1),IF($R$17="Distrato",$E1087,0))),0,YEARFRAC(MAX($P$708*($B1087+IF($R$17="Distrato",$I$38-1,0)),IF(AND($L$711=0,$P$708=0),"",$L$711-1),IF($R$17="Distrato",$E1087,0)),MIN(Y$38,$D$19),$P$20))-SUM($P1087:X1087)</f>
        <v>#VALUE!</v>
      </c>
      <c r="Z1087" s="446" t="e">
        <f>IF(OR($B1087="",MIN(Z$38,$D$19)&lt;MAX($P$708*($B1087+IF($R$17="Distrato",$I$38-1,0)),IF(AND($L$711=0,$P$708=0),"",$L$711-1),IF($R$17="Distrato",$E1087,0))),0,YEARFRAC(MAX($P$708*($B1087+IF($R$17="Distrato",$I$38-1,0)),IF(AND($L$711=0,$P$708=0),"",$L$711-1),IF($R$17="Distrato",$E1087,0)),MIN(Z$38,$D$19),$P$20))-SUM($P1087:Y1087)</f>
        <v>#VALUE!</v>
      </c>
      <c r="AA1087" s="446" t="e">
        <f>IF(OR($B1087="",MIN(AA$38,$D$19)&lt;MAX($P$708*($B1087+IF($R$17="Distrato",$I$38-1,0)),IF(AND($L$711=0,$P$708=0),"",$L$711-1),IF($R$17="Distrato",$E1087,0))),0,YEARFRAC(MAX($P$708*($B1087+IF($R$17="Distrato",$I$38-1,0)),IF(AND($L$711=0,$P$708=0),"",$L$711-1),IF($R$17="Distrato",$E1087,0)),MIN(AA$38,$D$19),$P$20))-SUM($P1087:Z1087)</f>
        <v>#VALUE!</v>
      </c>
      <c r="AB1087" s="446" t="e">
        <f>IF(OR($B1087="",MIN(AB$38,$D$19)&lt;MAX($P$708*($B1087+IF($R$17="Distrato",$I$38-1,0)),IF(AND($L$711=0,$P$708=0),"",$L$711-1),IF($R$17="Distrato",$E1087,0))),0,YEARFRAC(MAX($P$708*($B1087+IF($R$17="Distrato",$I$38-1,0)),IF(AND($L$711=0,$P$708=0),"",$L$711-1),IF($R$17="Distrato",$E1087,0)),MIN(AB$38,$D$19),$P$20))-SUM($P1087:AA1087)</f>
        <v>#VALUE!</v>
      </c>
      <c r="AC1087" s="446" t="e">
        <f>IF(OR($B1087="",MIN(AC$38,$D$19)&lt;MAX($P$708*($B1087+IF($R$17="Distrato",$I$38-1,0)),IF(AND($L$711=0,$P$708=0),"",$L$711-1),IF($R$17="Distrato",$E1087,0))),0,YEARFRAC(MAX($P$708*($B1087+IF($R$17="Distrato",$I$38-1,0)),IF(AND($L$711=0,$P$708=0),"",$L$711-1),IF($R$17="Distrato",$E1087,0)),MIN(AC$38,$D$19),$P$20))-SUM($P1087:AB1087)</f>
        <v>#VALUE!</v>
      </c>
      <c r="AD1087" s="446" t="e">
        <f>IF(OR($B1087="",MIN(AD$38,$D$19)&lt;MAX($P$708*($B1087+IF($R$17="Distrato",$I$38-1,0)),IF(AND($L$711=0,$P$708=0),"",$L$711-1),IF($R$17="Distrato",$E1087,0))),0,YEARFRAC(MAX($P$708*($B1087+IF($R$17="Distrato",$I$38-1,0)),IF(AND($L$711=0,$P$708=0),"",$L$711-1),IF($R$17="Distrato",$E1087,0)),MIN(AD$38,$D$19),$P$20))-SUM($P1087:AC1087)</f>
        <v>#VALUE!</v>
      </c>
      <c r="AE1087" s="446" t="e">
        <f>IF(OR($B1087="",MIN(AE$38,$D$19)&lt;MAX($P$708*($B1087+IF($R$17="Distrato",$I$38-1,0)),IF(AND($L$711=0,$P$708=0),"",$L$711-1),IF($R$17="Distrato",$E1087,0))),0,YEARFRAC(MAX($P$708*($B1087+IF($R$17="Distrato",$I$38-1,0)),IF(AND($L$711=0,$P$708=0),"",$L$711-1),IF($R$17="Distrato",$E1087,0)),MIN(AE$38,$D$19),$P$20))-SUM($P1087:AD1087)</f>
        <v>#VALUE!</v>
      </c>
      <c r="AF1087" s="446" t="e">
        <f>IF(OR($B1087="",MIN(AF$38,$D$19)&lt;MAX($P$708*($B1087+IF($R$17="Distrato",$I$38-1,0)),IF(AND($L$711=0,$P$708=0),"",$L$711-1),IF($R$17="Distrato",$E1087,0))),0,YEARFRAC(MAX($P$708*($B1087+IF($R$17="Distrato",$I$38-1,0)),IF(AND($L$711=0,$P$708=0),"",$L$711-1),IF($R$17="Distrato",$E1087,0)),MIN(AF$38,$D$19),$P$20))-SUM($P1087:AE1087)</f>
        <v>#VALUE!</v>
      </c>
      <c r="AG1087" s="446" t="e">
        <f>IF(OR($B1087="",MIN(AG$38,$D$19)&lt;MAX($P$708*($B1087+IF($R$17="Distrato",$I$38-1,0)),IF(AND($L$711=0,$P$708=0),"",$L$711-1),IF($R$17="Distrato",$E1087,0))),0,YEARFRAC(MAX($P$708*($B1087+IF($R$17="Distrato",$I$38-1,0)),IF(AND($L$711=0,$P$708=0),"",$L$711-1),IF($R$17="Distrato",$E1087,0)),MIN(AG$38,$D$19),$P$20))-SUM($P1087:AF1087)</f>
        <v>#VALUE!</v>
      </c>
      <c r="AH1087" s="446" t="e">
        <f>IF(OR($B1087="",MIN(AH$38,$D$19)&lt;MAX($P$708*($B1087+IF($R$17="Distrato",$I$38-1,0)),IF(AND($L$711=0,$P$708=0),"",$L$711-1),IF($R$17="Distrato",$E1087,0))),0,YEARFRAC(MAX($P$708*($B1087+IF($R$17="Distrato",$I$38-1,0)),IF(AND($L$711=0,$P$708=0),"",$L$711-1),IF($R$17="Distrato",$E1087,0)),MIN(AH$38,$D$19),$P$20))-SUM($P1087:AG1087)</f>
        <v>#VALUE!</v>
      </c>
      <c r="AI1087" s="446" t="e">
        <f>IF(OR($B1087="",MIN(AI$38,$D$19)&lt;MAX($P$708*($B1087+IF($R$17="Distrato",$I$38-1,0)),IF(AND($L$711=0,$P$708=0),"",$L$711-1),IF($R$17="Distrato",$E1087,0))),0,YEARFRAC(MAX($P$708*($B1087+IF($R$17="Distrato",$I$38-1,0)),IF(AND($L$711=0,$P$708=0),"",$L$711-1),IF($R$17="Distrato",$E1087,0)),MIN(AI$38,$D$19),$P$20))-SUM($P1087:AH1087)</f>
        <v>#VALUE!</v>
      </c>
      <c r="AJ1087" s="446" t="e">
        <f>IF(OR($B1087="",MIN(AJ$38,$D$19)&lt;MAX($P$708*($B1087+IF($R$17="Distrato",$I$38-1,0)),IF(AND($L$711=0,$P$708=0),"",$L$711-1),IF($R$17="Distrato",$E1087,0))),0,YEARFRAC(MAX($P$708*($B1087+IF($R$17="Distrato",$I$38-1,0)),IF(AND($L$711=0,$P$708=0),"",$L$711-1),IF($R$17="Distrato",$E1087,0)),MIN(AJ$38,$D$19),$P$20))-SUM($P1087:AI1087)</f>
        <v>#VALUE!</v>
      </c>
      <c r="AK1087" s="446" t="e">
        <f>IF(OR($B1087="",MIN(AK$38,$D$19)&lt;MAX($P$708*($B1087+IF($R$17="Distrato",$I$38-1,0)),IF(AND($L$711=0,$P$708=0),"",$L$711-1),IF($R$17="Distrato",$E1087,0))),0,YEARFRAC(MAX($P$708*($B1087+IF($R$17="Distrato",$I$38-1,0)),IF(AND($L$711=0,$P$708=0),"",$L$711-1),IF($R$17="Distrato",$E1087,0)),MIN(AK$38,$D$19),$P$20))-SUM($P1087:AJ1087)</f>
        <v>#VALUE!</v>
      </c>
      <c r="AL1087" s="446" t="e">
        <f>IF(OR($B1087="",MIN(AL$38,$D$19)&lt;MAX($P$708*($B1087+IF($R$17="Distrato",$I$38-1,0)),IF(AND($L$711=0,$P$708=0),"",$L$711-1),IF($R$17="Distrato",$E1087,0))),0,YEARFRAC(MAX($P$708*($B1087+IF($R$17="Distrato",$I$38-1,0)),IF(AND($L$711=0,$P$708=0),"",$L$711-1),IF($R$17="Distrato",$E1087,0)),MIN(AL$38,$D$19),$P$20))-SUM($P1087:AK1087)</f>
        <v>#VALUE!</v>
      </c>
      <c r="AM1087" s="446" t="e">
        <f>IF(OR($B1087="",MIN(AM$38,$D$19)&lt;MAX($P$708*($B1087+IF($R$17="Distrato",$I$38-1,0)),IF(AND($L$711=0,$P$708=0),"",$L$711-1),IF($R$17="Distrato",$E1087,0))),0,YEARFRAC(MAX($P$708*($B1087+IF($R$17="Distrato",$I$38-1,0)),IF(AND($L$711=0,$P$708=0),"",$L$711-1),IF($R$17="Distrato",$E1087,0)),MIN(AM$38,$D$19),$P$20))-SUM($P1087:AL1087)</f>
        <v>#VALUE!</v>
      </c>
      <c r="AN1087" s="446" t="e">
        <f>IF(OR($B1087="",MIN(AN$38,$D$19)&lt;MAX($P$708*($B1087+IF($R$17="Distrato",$I$38-1,0)),IF(AND($L$711=0,$P$708=0),"",$L$711-1),IF($R$17="Distrato",$E1087,0))),0,YEARFRAC(MAX($P$708*($B1087+IF($R$17="Distrato",$I$38-1,0)),IF(AND($L$711=0,$P$708=0),"",$L$711-1),IF($R$17="Distrato",$E1087,0)),MIN(AN$38,$D$19),$P$20))-SUM($P1087:AM1087)</f>
        <v>#VALUE!</v>
      </c>
      <c r="AO1087" s="446" t="e">
        <f>IF(OR($B1087="",MIN(AO$38,$D$19)&lt;MAX($P$708*($B1087+IF($R$17="Distrato",$I$38-1,0)),IF(AND($L$711=0,$P$708=0),"",$L$711-1),IF($R$17="Distrato",$E1087,0))),0,YEARFRAC(MAX($P$708*($B1087+IF($R$17="Distrato",$I$38-1,0)),IF(AND($L$711=0,$P$708=0),"",$L$711-1),IF($R$17="Distrato",$E1087,0)),MIN(AO$38,$D$19),$P$20))-SUM($P1087:AN1087)</f>
        <v>#VALUE!</v>
      </c>
      <c r="AP1087" s="446" t="e">
        <f>IF(OR($B1087="",MIN(AP$38,$D$19)&lt;MAX($P$708*($B1087+IF($R$17="Distrato",$I$38-1,0)),IF(AND($L$711=0,$P$708=0),"",$L$711-1),IF($R$17="Distrato",$E1087,0))),0,YEARFRAC(MAX($P$708*($B1087+IF($R$17="Distrato",$I$38-1,0)),IF(AND($L$711=0,$P$708=0),"",$L$711-1),IF($R$17="Distrato",$E1087,0)),MIN(AP$38,$D$19),$P$20))-SUM($P1087:AO1087)</f>
        <v>#VALUE!</v>
      </c>
      <c r="AQ1087" s="446" t="e">
        <f>IF(OR($B1087="",MIN(AQ$38,$D$19)&lt;MAX($P$708*($B1087+IF($R$17="Distrato",$I$38-1,0)),IF(AND($L$711=0,$P$708=0),"",$L$711-1),IF($R$17="Distrato",$E1087,0))),0,YEARFRAC(MAX($P$708*($B1087+IF($R$17="Distrato",$I$38-1,0)),IF(AND($L$711=0,$P$708=0),"",$L$711-1),IF($R$17="Distrato",$E1087,0)),MIN(AQ$38,$D$19),$P$20))-SUM($P1087:AP1087)</f>
        <v>#VALUE!</v>
      </c>
      <c r="AR1087" s="446" t="e">
        <f>IF(OR($B1087="",MIN(AR$38,$D$19)&lt;MAX($P$708*($B1087+IF($R$17="Distrato",$I$38-1,0)),IF(AND($L$711=0,$P$708=0),"",$L$711-1),IF($R$17="Distrato",$E1087,0))),0,YEARFRAC(MAX($P$708*($B1087+IF($R$17="Distrato",$I$38-1,0)),IF(AND($L$711=0,$P$708=0),"",$L$711-1),IF($R$17="Distrato",$E1087,0)),MIN(AR$38,$D$19),$P$20))-SUM($P1087:AQ1087)</f>
        <v>#VALUE!</v>
      </c>
      <c r="AS1087" s="446" t="e">
        <f>IF(OR($B1087="",MIN(AS$38,$D$19)&lt;MAX($P$708*($B1087+IF($R$17="Distrato",$I$38-1,0)),IF(AND($L$711=0,$P$708=0),"",$L$711-1),IF($R$17="Distrato",$E1087,0))),0,YEARFRAC(MAX($P$708*($B1087+IF($R$17="Distrato",$I$38-1,0)),IF(AND($L$711=0,$P$708=0),"",$L$711-1),IF($R$17="Distrato",$E1087,0)),MIN(AS$38,$D$19),$P$20))-SUM($P1087:AR1087)</f>
        <v>#VALUE!</v>
      </c>
      <c r="AT1087" s="446" t="e">
        <f>IF(OR($B1087="",MIN(AT$38,$D$19)&lt;MAX($P$708*($B1087+IF($R$17="Distrato",$I$38-1,0)),IF(AND($L$711=0,$P$708=0),"",$L$711-1),IF($R$17="Distrato",$E1087,0))),0,YEARFRAC(MAX($P$708*($B1087+IF($R$17="Distrato",$I$38-1,0)),IF(AND($L$711=0,$P$708=0),"",$L$711-1),IF($R$17="Distrato",$E1087,0)),MIN(AT$38,$D$19),$P$20))-SUM($P1087:AS1087)</f>
        <v>#VALUE!</v>
      </c>
      <c r="AU1087" s="446" t="e">
        <f>IF(OR($B1087="",MIN(AU$38,$D$19)&lt;MAX($P$708*($B1087+IF($R$17="Distrato",$I$38-1,0)),IF(AND($L$711=0,$P$708=0),"",$L$711-1),IF($R$17="Distrato",$E1087,0))),0,YEARFRAC(MAX($P$708*($B1087+IF($R$17="Distrato",$I$38-1,0)),IF(AND($L$711=0,$P$708=0),"",$L$711-1),IF($R$17="Distrato",$E1087,0)),MIN(AU$38,$D$19),$P$20))-SUM($P1087:AT1087)</f>
        <v>#VALUE!</v>
      </c>
      <c r="AV1087" s="446" t="e">
        <f>IF(OR($B1087="",MIN(AV$38,$D$19)&lt;MAX($P$708*($B1087+IF($R$17="Distrato",$I$38-1,0)),IF(AND($L$711=0,$P$708=0),"",$L$711-1),IF($R$17="Distrato",$E1087,0))),0,YEARFRAC(MAX($P$708*($B1087+IF($R$17="Distrato",$I$38-1,0)),IF(AND($L$711=0,$P$708=0),"",$L$711-1),IF($R$17="Distrato",$E1087,0)),MIN(AV$38,$D$19),$P$20))-SUM($P1087:AU1087)</f>
        <v>#VALUE!</v>
      </c>
      <c r="AW1087" s="446" t="e">
        <f>IF(OR($B1087="",MIN(AW$38,$D$19)&lt;MAX($P$708*($B1087+IF($R$17="Distrato",$I$38-1,0)),IF(AND($L$711=0,$P$708=0),"",$L$711-1),IF($R$17="Distrato",$E1087,0))),0,YEARFRAC(MAX($P$708*($B1087+IF($R$17="Distrato",$I$38-1,0)),IF(AND($L$711=0,$P$708=0),"",$L$711-1),IF($R$17="Distrato",$E1087,0)),MIN(AW$38,$D$19),$P$20))-SUM($P1087:AV1087)</f>
        <v>#VALUE!</v>
      </c>
      <c r="AX1087" s="446" t="e">
        <f>IF(OR($B1087="",MIN(AX$38,$D$19)&lt;MAX($P$708*($B1087+IF($R$17="Distrato",$I$38-1,0)),IF(AND($L$711=0,$P$708=0),"",$L$711-1),IF($R$17="Distrato",$E1087,0))),0,YEARFRAC(MAX($P$708*($B1087+IF($R$17="Distrato",$I$38-1,0)),IF(AND($L$711=0,$P$708=0),"",$L$711-1),IF($R$17="Distrato",$E1087,0)),MIN(AX$38,$D$19),$P$20))-SUM($P1087:AW1087)</f>
        <v>#VALUE!</v>
      </c>
      <c r="AY1087" s="446" t="e">
        <f>IF(OR($B1087="",MIN(AY$38,$D$19)&lt;MAX($P$708*($B1087+IF($R$17="Distrato",$I$38-1,0)),IF(AND($L$711=0,$P$708=0),"",$L$711-1),IF($R$17="Distrato",$E1087,0))),0,YEARFRAC(MAX($P$708*($B1087+IF($R$17="Distrato",$I$38-1,0)),IF(AND($L$711=0,$P$708=0),"",$L$711-1),IF($R$17="Distrato",$E1087,0)),MIN(AY$38,$D$19),$P$20))-SUM($P1087:AX1087)</f>
        <v>#VALUE!</v>
      </c>
      <c r="AZ1087" s="446" t="e">
        <f>IF(OR($B1087="",MIN(AZ$38,$D$19)&lt;MAX($P$708*($B1087+IF($R$17="Distrato",$I$38-1,0)),IF(AND($L$711=0,$P$708=0),"",$L$711-1),IF($R$17="Distrato",$E1087,0))),0,YEARFRAC(MAX($P$708*($B1087+IF($R$17="Distrato",$I$38-1,0)),IF(AND($L$711=0,$P$708=0),"",$L$711-1),IF($R$17="Distrato",$E1087,0)),MIN(AZ$38,$D$19),$P$20))-SUM($P1087:AY1087)</f>
        <v>#VALUE!</v>
      </c>
      <c r="BA1087" s="446" t="e">
        <f>IF(OR($B1087="",MIN(BA$38,$D$19)&lt;MAX($P$708*($B1087+IF($R$17="Distrato",$I$38-1,0)),IF(AND($L$711=0,$P$708=0),"",$L$711-1),IF($R$17="Distrato",$E1087,0))),0,YEARFRAC(MAX($P$708*($B1087+IF($R$17="Distrato",$I$38-1,0)),IF(AND($L$711=0,$P$708=0),"",$L$711-1),IF($R$17="Distrato",$E1087,0)),MIN(BA$38,$D$19),$P$20))-SUM($P1087:AZ1087)</f>
        <v>#VALUE!</v>
      </c>
      <c r="BB1087" s="447"/>
    </row>
    <row r="1088" spans="1:54" s="446" customFormat="1" ht="11.25" hidden="1" customHeight="1" x14ac:dyDescent="0.2">
      <c r="A1088" s="235"/>
      <c r="B1088" s="236"/>
      <c r="C1088" s="29" t="str">
        <f>IF(B1088="","",IF($L$709=$BL$25,VLOOKUP(DATE(YEAR($D$19),MONTH($D$19)-1,1),ÍNDICES!$A:$DE,HLOOKUP($BL$25,ÍNDICES!$B$3:$T$4,2)+11)-VLOOKUP(B1088,ÍNDICES!$A:$DE,HLOOKUP($BL$25,ÍNDICES!$B$3:$T$4,2)+11)+1%,IF(C$712=$W$26,$J$35,IF(ISERROR(IF(B1088&gt;$D$19,1,VLOOKUP(DATE(YEAR(B1088),MONTH(B1088)+IF($C$709=$S$23,1,0),1),ÍNDICES!$A:$DE,$Z$709+1))),"",IF(B1088&gt;$D$19,1,VLOOKUP(DATE(YEAR(B1088),MONTH(B1088)+IF($C$709=$S$23,1,0),1),ÍNDICES!$A:$DE,$Z$709+1))))))</f>
        <v/>
      </c>
      <c r="D1088" s="155"/>
      <c r="E1088" s="88"/>
      <c r="F1088" s="88"/>
      <c r="G1088" s="88"/>
      <c r="H1088" s="118"/>
      <c r="I1088" s="182">
        <f t="shared" si="150"/>
        <v>0</v>
      </c>
      <c r="J1088" s="20">
        <f t="shared" ca="1" si="151"/>
        <v>0</v>
      </c>
      <c r="K1088" s="5">
        <f t="shared" ca="1" si="152"/>
        <v>0</v>
      </c>
      <c r="L1088" s="61">
        <f t="shared" ca="1" si="153"/>
        <v>0</v>
      </c>
      <c r="M1088" s="64">
        <f t="shared" si="154"/>
        <v>0</v>
      </c>
      <c r="N1088" s="151"/>
      <c r="O1088" s="5">
        <f t="shared" ca="1" si="155"/>
        <v>0</v>
      </c>
      <c r="P1088" s="446" t="e">
        <f t="shared" si="156"/>
        <v>#VALUE!</v>
      </c>
      <c r="Q1088" s="446" t="e">
        <f>IF(OR($B1088="",MIN(Q$38,$D$19)&lt;MAX($P$708*($B1088+IF($R$17="Distrato",$I$38-1,0)),IF(AND($L$711=0,$P$708=0),"",$L$711-1),IF($R$17="Distrato",$E1088,0))),0,YEARFRAC(MAX($P$708*($B1088+IF($R$17="Distrato",$I$38-1,0)),IF(AND($L$711=0,$P$708=0),"",$L$711-1),IF($R$17="Distrato",$E1088,0)),MIN(Q$38,$D$19),$P$20))-SUM($P1088:P1088)</f>
        <v>#VALUE!</v>
      </c>
      <c r="R1088" s="446" t="e">
        <f>IF(OR($B1088="",MIN(R$38,$D$19)&lt;MAX($P$708*($B1088+IF($R$17="Distrato",$I$38-1,0)),IF(AND($L$711=0,$P$708=0),"",$L$711-1),IF($R$17="Distrato",$E1088,0))),0,YEARFRAC(MAX($P$708*($B1088+IF($R$17="Distrato",$I$38-1,0)),IF(AND($L$711=0,$P$708=0),"",$L$711-1),IF($R$17="Distrato",$E1088,0)),MIN(R$38,$D$19),$P$20))-SUM($P1088:Q1088)</f>
        <v>#VALUE!</v>
      </c>
      <c r="S1088" s="446" t="e">
        <f>IF(OR($B1088="",MIN(S$38,$D$19)&lt;MAX($P$708*($B1088+IF($R$17="Distrato",$I$38-1,0)),IF(AND($L$711=0,$P$708=0),"",$L$711-1),IF($R$17="Distrato",$E1088,0))),0,YEARFRAC(MAX($P$708*($B1088+IF($R$17="Distrato",$I$38-1,0)),IF(AND($L$711=0,$P$708=0),"",$L$711-1),IF($R$17="Distrato",$E1088,0)),MIN(S$38,$D$19),$P$20))-SUM($P1088:R1088)</f>
        <v>#VALUE!</v>
      </c>
      <c r="T1088" s="446" t="e">
        <f>IF(OR($B1088="",MIN(T$38,$D$19)&lt;MAX($P$708*($B1088+IF($R$17="Distrato",$I$38-1,0)),IF(AND($L$711=0,$P$708=0),"",$L$711-1),IF($R$17="Distrato",$E1088,0))),0,YEARFRAC(MAX($P$708*($B1088+IF($R$17="Distrato",$I$38-1,0)),IF(AND($L$711=0,$P$708=0),"",$L$711-1),IF($R$17="Distrato",$E1088,0)),MIN(T$38,$D$19),$P$20))-SUM($P1088:S1088)</f>
        <v>#VALUE!</v>
      </c>
      <c r="U1088" s="446" t="e">
        <f>IF(OR($B1088="",MIN(U$38,$D$19)&lt;MAX($P$708*($B1088+IF($R$17="Distrato",$I$38-1,0)),IF(AND($L$711=0,$P$708=0),"",$L$711-1),IF($R$17="Distrato",$E1088,0))),0,YEARFRAC(MAX($P$708*($B1088+IF($R$17="Distrato",$I$38-1,0)),IF(AND($L$711=0,$P$708=0),"",$L$711-1),IF($R$17="Distrato",$E1088,0)),MIN(U$38,$D$19),$P$20))-SUM($P1088:T1088)</f>
        <v>#VALUE!</v>
      </c>
      <c r="V1088" s="446" t="e">
        <f>IF(OR($B1088="",MIN(V$38,$D$19)&lt;MAX($P$708*($B1088+IF($R$17="Distrato",$I$38-1,0)),IF(AND($L$711=0,$P$708=0),"",$L$711-1),IF($R$17="Distrato",$E1088,0))),0,YEARFRAC(MAX($P$708*($B1088+IF($R$17="Distrato",$I$38-1,0)),IF(AND($L$711=0,$P$708=0),"",$L$711-1),IF($R$17="Distrato",$E1088,0)),MIN(V$38,$D$19),$P$20))-SUM($P1088:U1088)</f>
        <v>#VALUE!</v>
      </c>
      <c r="W1088" s="446" t="e">
        <f>IF(OR($B1088="",MIN(W$38,$D$19)&lt;MAX($P$708*($B1088+IF($R$17="Distrato",$I$38-1,0)),IF(AND($L$711=0,$P$708=0),"",$L$711-1),IF($R$17="Distrato",$E1088,0))),0,YEARFRAC(MAX($P$708*($B1088+IF($R$17="Distrato",$I$38-1,0)),IF(AND($L$711=0,$P$708=0),"",$L$711-1),IF($R$17="Distrato",$E1088,0)),MIN(W$38,$D$19),$P$20))-SUM($P1088:V1088)</f>
        <v>#VALUE!</v>
      </c>
      <c r="X1088" s="446" t="e">
        <f>IF(OR($B1088="",MIN(X$38,$D$19)&lt;MAX($P$708*($B1088+IF($R$17="Distrato",$I$38-1,0)),IF(AND($L$711=0,$P$708=0),"",$L$711-1),IF($R$17="Distrato",$E1088,0))),0,YEARFRAC(MAX($P$708*($B1088+IF($R$17="Distrato",$I$38-1,0)),IF(AND($L$711=0,$P$708=0),"",$L$711-1),IF($R$17="Distrato",$E1088,0)),MIN(X$38,$D$19),$P$20))-SUM($P1088:W1088)</f>
        <v>#VALUE!</v>
      </c>
      <c r="Y1088" s="446" t="e">
        <f>IF(OR($B1088="",MIN(Y$38,$D$19)&lt;MAX($P$708*($B1088+IF($R$17="Distrato",$I$38-1,0)),IF(AND($L$711=0,$P$708=0),"",$L$711-1),IF($R$17="Distrato",$E1088,0))),0,YEARFRAC(MAX($P$708*($B1088+IF($R$17="Distrato",$I$38-1,0)),IF(AND($L$711=0,$P$708=0),"",$L$711-1),IF($R$17="Distrato",$E1088,0)),MIN(Y$38,$D$19),$P$20))-SUM($P1088:X1088)</f>
        <v>#VALUE!</v>
      </c>
      <c r="Z1088" s="446" t="e">
        <f>IF(OR($B1088="",MIN(Z$38,$D$19)&lt;MAX($P$708*($B1088+IF($R$17="Distrato",$I$38-1,0)),IF(AND($L$711=0,$P$708=0),"",$L$711-1),IF($R$17="Distrato",$E1088,0))),0,YEARFRAC(MAX($P$708*($B1088+IF($R$17="Distrato",$I$38-1,0)),IF(AND($L$711=0,$P$708=0),"",$L$711-1),IF($R$17="Distrato",$E1088,0)),MIN(Z$38,$D$19),$P$20))-SUM($P1088:Y1088)</f>
        <v>#VALUE!</v>
      </c>
      <c r="AA1088" s="446" t="e">
        <f>IF(OR($B1088="",MIN(AA$38,$D$19)&lt;MAX($P$708*($B1088+IF($R$17="Distrato",$I$38-1,0)),IF(AND($L$711=0,$P$708=0),"",$L$711-1),IF($R$17="Distrato",$E1088,0))),0,YEARFRAC(MAX($P$708*($B1088+IF($R$17="Distrato",$I$38-1,0)),IF(AND($L$711=0,$P$708=0),"",$L$711-1),IF($R$17="Distrato",$E1088,0)),MIN(AA$38,$D$19),$P$20))-SUM($P1088:Z1088)</f>
        <v>#VALUE!</v>
      </c>
      <c r="AB1088" s="446" t="e">
        <f>IF(OR($B1088="",MIN(AB$38,$D$19)&lt;MAX($P$708*($B1088+IF($R$17="Distrato",$I$38-1,0)),IF(AND($L$711=0,$P$708=0),"",$L$711-1),IF($R$17="Distrato",$E1088,0))),0,YEARFRAC(MAX($P$708*($B1088+IF($R$17="Distrato",$I$38-1,0)),IF(AND($L$711=0,$P$708=0),"",$L$711-1),IF($R$17="Distrato",$E1088,0)),MIN(AB$38,$D$19),$P$20))-SUM($P1088:AA1088)</f>
        <v>#VALUE!</v>
      </c>
      <c r="AC1088" s="446" t="e">
        <f>IF(OR($B1088="",MIN(AC$38,$D$19)&lt;MAX($P$708*($B1088+IF($R$17="Distrato",$I$38-1,0)),IF(AND($L$711=0,$P$708=0),"",$L$711-1),IF($R$17="Distrato",$E1088,0))),0,YEARFRAC(MAX($P$708*($B1088+IF($R$17="Distrato",$I$38-1,0)),IF(AND($L$711=0,$P$708=0),"",$L$711-1),IF($R$17="Distrato",$E1088,0)),MIN(AC$38,$D$19),$P$20))-SUM($P1088:AB1088)</f>
        <v>#VALUE!</v>
      </c>
      <c r="AD1088" s="446" t="e">
        <f>IF(OR($B1088="",MIN(AD$38,$D$19)&lt;MAX($P$708*($B1088+IF($R$17="Distrato",$I$38-1,0)),IF(AND($L$711=0,$P$708=0),"",$L$711-1),IF($R$17="Distrato",$E1088,0))),0,YEARFRAC(MAX($P$708*($B1088+IF($R$17="Distrato",$I$38-1,0)),IF(AND($L$711=0,$P$708=0),"",$L$711-1),IF($R$17="Distrato",$E1088,0)),MIN(AD$38,$D$19),$P$20))-SUM($P1088:AC1088)</f>
        <v>#VALUE!</v>
      </c>
      <c r="AE1088" s="446" t="e">
        <f>IF(OR($B1088="",MIN(AE$38,$D$19)&lt;MAX($P$708*($B1088+IF($R$17="Distrato",$I$38-1,0)),IF(AND($L$711=0,$P$708=0),"",$L$711-1),IF($R$17="Distrato",$E1088,0))),0,YEARFRAC(MAX($P$708*($B1088+IF($R$17="Distrato",$I$38-1,0)),IF(AND($L$711=0,$P$708=0),"",$L$711-1),IF($R$17="Distrato",$E1088,0)),MIN(AE$38,$D$19),$P$20))-SUM($P1088:AD1088)</f>
        <v>#VALUE!</v>
      </c>
      <c r="AF1088" s="446" t="e">
        <f>IF(OR($B1088="",MIN(AF$38,$D$19)&lt;MAX($P$708*($B1088+IF($R$17="Distrato",$I$38-1,0)),IF(AND($L$711=0,$P$708=0),"",$L$711-1),IF($R$17="Distrato",$E1088,0))),0,YEARFRAC(MAX($P$708*($B1088+IF($R$17="Distrato",$I$38-1,0)),IF(AND($L$711=0,$P$708=0),"",$L$711-1),IF($R$17="Distrato",$E1088,0)),MIN(AF$38,$D$19),$P$20))-SUM($P1088:AE1088)</f>
        <v>#VALUE!</v>
      </c>
      <c r="AG1088" s="446" t="e">
        <f>IF(OR($B1088="",MIN(AG$38,$D$19)&lt;MAX($P$708*($B1088+IF($R$17="Distrato",$I$38-1,0)),IF(AND($L$711=0,$P$708=0),"",$L$711-1),IF($R$17="Distrato",$E1088,0))),0,YEARFRAC(MAX($P$708*($B1088+IF($R$17="Distrato",$I$38-1,0)),IF(AND($L$711=0,$P$708=0),"",$L$711-1),IF($R$17="Distrato",$E1088,0)),MIN(AG$38,$D$19),$P$20))-SUM($P1088:AF1088)</f>
        <v>#VALUE!</v>
      </c>
      <c r="AH1088" s="446" t="e">
        <f>IF(OR($B1088="",MIN(AH$38,$D$19)&lt;MAX($P$708*($B1088+IF($R$17="Distrato",$I$38-1,0)),IF(AND($L$711=0,$P$708=0),"",$L$711-1),IF($R$17="Distrato",$E1088,0))),0,YEARFRAC(MAX($P$708*($B1088+IF($R$17="Distrato",$I$38-1,0)),IF(AND($L$711=0,$P$708=0),"",$L$711-1),IF($R$17="Distrato",$E1088,0)),MIN(AH$38,$D$19),$P$20))-SUM($P1088:AG1088)</f>
        <v>#VALUE!</v>
      </c>
      <c r="AI1088" s="446" t="e">
        <f>IF(OR($B1088="",MIN(AI$38,$D$19)&lt;MAX($P$708*($B1088+IF($R$17="Distrato",$I$38-1,0)),IF(AND($L$711=0,$P$708=0),"",$L$711-1),IF($R$17="Distrato",$E1088,0))),0,YEARFRAC(MAX($P$708*($B1088+IF($R$17="Distrato",$I$38-1,0)),IF(AND($L$711=0,$P$708=0),"",$L$711-1),IF($R$17="Distrato",$E1088,0)),MIN(AI$38,$D$19),$P$20))-SUM($P1088:AH1088)</f>
        <v>#VALUE!</v>
      </c>
      <c r="AJ1088" s="446" t="e">
        <f>IF(OR($B1088="",MIN(AJ$38,$D$19)&lt;MAX($P$708*($B1088+IF($R$17="Distrato",$I$38-1,0)),IF(AND($L$711=0,$P$708=0),"",$L$711-1),IF($R$17="Distrato",$E1088,0))),0,YEARFRAC(MAX($P$708*($B1088+IF($R$17="Distrato",$I$38-1,0)),IF(AND($L$711=0,$P$708=0),"",$L$711-1),IF($R$17="Distrato",$E1088,0)),MIN(AJ$38,$D$19),$P$20))-SUM($P1088:AI1088)</f>
        <v>#VALUE!</v>
      </c>
      <c r="AK1088" s="446" t="e">
        <f>IF(OR($B1088="",MIN(AK$38,$D$19)&lt;MAX($P$708*($B1088+IF($R$17="Distrato",$I$38-1,0)),IF(AND($L$711=0,$P$708=0),"",$L$711-1),IF($R$17="Distrato",$E1088,0))),0,YEARFRAC(MAX($P$708*($B1088+IF($R$17="Distrato",$I$38-1,0)),IF(AND($L$711=0,$P$708=0),"",$L$711-1),IF($R$17="Distrato",$E1088,0)),MIN(AK$38,$D$19),$P$20))-SUM($P1088:AJ1088)</f>
        <v>#VALUE!</v>
      </c>
      <c r="AL1088" s="446" t="e">
        <f>IF(OR($B1088="",MIN(AL$38,$D$19)&lt;MAX($P$708*($B1088+IF($R$17="Distrato",$I$38-1,0)),IF(AND($L$711=0,$P$708=0),"",$L$711-1),IF($R$17="Distrato",$E1088,0))),0,YEARFRAC(MAX($P$708*($B1088+IF($R$17="Distrato",$I$38-1,0)),IF(AND($L$711=0,$P$708=0),"",$L$711-1),IF($R$17="Distrato",$E1088,0)),MIN(AL$38,$D$19),$P$20))-SUM($P1088:AK1088)</f>
        <v>#VALUE!</v>
      </c>
      <c r="AM1088" s="446" t="e">
        <f>IF(OR($B1088="",MIN(AM$38,$D$19)&lt;MAX($P$708*($B1088+IF($R$17="Distrato",$I$38-1,0)),IF(AND($L$711=0,$P$708=0),"",$L$711-1),IF($R$17="Distrato",$E1088,0))),0,YEARFRAC(MAX($P$708*($B1088+IF($R$17="Distrato",$I$38-1,0)),IF(AND($L$711=0,$P$708=0),"",$L$711-1),IF($R$17="Distrato",$E1088,0)),MIN(AM$38,$D$19),$P$20))-SUM($P1088:AL1088)</f>
        <v>#VALUE!</v>
      </c>
      <c r="AN1088" s="446" t="e">
        <f>IF(OR($B1088="",MIN(AN$38,$D$19)&lt;MAX($P$708*($B1088+IF($R$17="Distrato",$I$38-1,0)),IF(AND($L$711=0,$P$708=0),"",$L$711-1),IF($R$17="Distrato",$E1088,0))),0,YEARFRAC(MAX($P$708*($B1088+IF($R$17="Distrato",$I$38-1,0)),IF(AND($L$711=0,$P$708=0),"",$L$711-1),IF($R$17="Distrato",$E1088,0)),MIN(AN$38,$D$19),$P$20))-SUM($P1088:AM1088)</f>
        <v>#VALUE!</v>
      </c>
      <c r="AO1088" s="446" t="e">
        <f>IF(OR($B1088="",MIN(AO$38,$D$19)&lt;MAX($P$708*($B1088+IF($R$17="Distrato",$I$38-1,0)),IF(AND($L$711=0,$P$708=0),"",$L$711-1),IF($R$17="Distrato",$E1088,0))),0,YEARFRAC(MAX($P$708*($B1088+IF($R$17="Distrato",$I$38-1,0)),IF(AND($L$711=0,$P$708=0),"",$L$711-1),IF($R$17="Distrato",$E1088,0)),MIN(AO$38,$D$19),$P$20))-SUM($P1088:AN1088)</f>
        <v>#VALUE!</v>
      </c>
      <c r="AP1088" s="446" t="e">
        <f>IF(OR($B1088="",MIN(AP$38,$D$19)&lt;MAX($P$708*($B1088+IF($R$17="Distrato",$I$38-1,0)),IF(AND($L$711=0,$P$708=0),"",$L$711-1),IF($R$17="Distrato",$E1088,0))),0,YEARFRAC(MAX($P$708*($B1088+IF($R$17="Distrato",$I$38-1,0)),IF(AND($L$711=0,$P$708=0),"",$L$711-1),IF($R$17="Distrato",$E1088,0)),MIN(AP$38,$D$19),$P$20))-SUM($P1088:AO1088)</f>
        <v>#VALUE!</v>
      </c>
      <c r="AQ1088" s="446" t="e">
        <f>IF(OR($B1088="",MIN(AQ$38,$D$19)&lt;MAX($P$708*($B1088+IF($R$17="Distrato",$I$38-1,0)),IF(AND($L$711=0,$P$708=0),"",$L$711-1),IF($R$17="Distrato",$E1088,0))),0,YEARFRAC(MAX($P$708*($B1088+IF($R$17="Distrato",$I$38-1,0)),IF(AND($L$711=0,$P$708=0),"",$L$711-1),IF($R$17="Distrato",$E1088,0)),MIN(AQ$38,$D$19),$P$20))-SUM($P1088:AP1088)</f>
        <v>#VALUE!</v>
      </c>
      <c r="AR1088" s="446" t="e">
        <f>IF(OR($B1088="",MIN(AR$38,$D$19)&lt;MAX($P$708*($B1088+IF($R$17="Distrato",$I$38-1,0)),IF(AND($L$711=0,$P$708=0),"",$L$711-1),IF($R$17="Distrato",$E1088,0))),0,YEARFRAC(MAX($P$708*($B1088+IF($R$17="Distrato",$I$38-1,0)),IF(AND($L$711=0,$P$708=0),"",$L$711-1),IF($R$17="Distrato",$E1088,0)),MIN(AR$38,$D$19),$P$20))-SUM($P1088:AQ1088)</f>
        <v>#VALUE!</v>
      </c>
      <c r="AS1088" s="446" t="e">
        <f>IF(OR($B1088="",MIN(AS$38,$D$19)&lt;MAX($P$708*($B1088+IF($R$17="Distrato",$I$38-1,0)),IF(AND($L$711=0,$P$708=0),"",$L$711-1),IF($R$17="Distrato",$E1088,0))),0,YEARFRAC(MAX($P$708*($B1088+IF($R$17="Distrato",$I$38-1,0)),IF(AND($L$711=0,$P$708=0),"",$L$711-1),IF($R$17="Distrato",$E1088,0)),MIN(AS$38,$D$19),$P$20))-SUM($P1088:AR1088)</f>
        <v>#VALUE!</v>
      </c>
      <c r="AT1088" s="446" t="e">
        <f>IF(OR($B1088="",MIN(AT$38,$D$19)&lt;MAX($P$708*($B1088+IF($R$17="Distrato",$I$38-1,0)),IF(AND($L$711=0,$P$708=0),"",$L$711-1),IF($R$17="Distrato",$E1088,0))),0,YEARFRAC(MAX($P$708*($B1088+IF($R$17="Distrato",$I$38-1,0)),IF(AND($L$711=0,$P$708=0),"",$L$711-1),IF($R$17="Distrato",$E1088,0)),MIN(AT$38,$D$19),$P$20))-SUM($P1088:AS1088)</f>
        <v>#VALUE!</v>
      </c>
      <c r="AU1088" s="446" t="e">
        <f>IF(OR($B1088="",MIN(AU$38,$D$19)&lt;MAX($P$708*($B1088+IF($R$17="Distrato",$I$38-1,0)),IF(AND($L$711=0,$P$708=0),"",$L$711-1),IF($R$17="Distrato",$E1088,0))),0,YEARFRAC(MAX($P$708*($B1088+IF($R$17="Distrato",$I$38-1,0)),IF(AND($L$711=0,$P$708=0),"",$L$711-1),IF($R$17="Distrato",$E1088,0)),MIN(AU$38,$D$19),$P$20))-SUM($P1088:AT1088)</f>
        <v>#VALUE!</v>
      </c>
      <c r="AV1088" s="446" t="e">
        <f>IF(OR($B1088="",MIN(AV$38,$D$19)&lt;MAX($P$708*($B1088+IF($R$17="Distrato",$I$38-1,0)),IF(AND($L$711=0,$P$708=0),"",$L$711-1),IF($R$17="Distrato",$E1088,0))),0,YEARFRAC(MAX($P$708*($B1088+IF($R$17="Distrato",$I$38-1,0)),IF(AND($L$711=0,$P$708=0),"",$L$711-1),IF($R$17="Distrato",$E1088,0)),MIN(AV$38,$D$19),$P$20))-SUM($P1088:AU1088)</f>
        <v>#VALUE!</v>
      </c>
      <c r="AW1088" s="446" t="e">
        <f>IF(OR($B1088="",MIN(AW$38,$D$19)&lt;MAX($P$708*($B1088+IF($R$17="Distrato",$I$38-1,0)),IF(AND($L$711=0,$P$708=0),"",$L$711-1),IF($R$17="Distrato",$E1088,0))),0,YEARFRAC(MAX($P$708*($B1088+IF($R$17="Distrato",$I$38-1,0)),IF(AND($L$711=0,$P$708=0),"",$L$711-1),IF($R$17="Distrato",$E1088,0)),MIN(AW$38,$D$19),$P$20))-SUM($P1088:AV1088)</f>
        <v>#VALUE!</v>
      </c>
      <c r="AX1088" s="446" t="e">
        <f>IF(OR($B1088="",MIN(AX$38,$D$19)&lt;MAX($P$708*($B1088+IF($R$17="Distrato",$I$38-1,0)),IF(AND($L$711=0,$P$708=0),"",$L$711-1),IF($R$17="Distrato",$E1088,0))),0,YEARFRAC(MAX($P$708*($B1088+IF($R$17="Distrato",$I$38-1,0)),IF(AND($L$711=0,$P$708=0),"",$L$711-1),IF($R$17="Distrato",$E1088,0)),MIN(AX$38,$D$19),$P$20))-SUM($P1088:AW1088)</f>
        <v>#VALUE!</v>
      </c>
      <c r="AY1088" s="446" t="e">
        <f>IF(OR($B1088="",MIN(AY$38,$D$19)&lt;MAX($P$708*($B1088+IF($R$17="Distrato",$I$38-1,0)),IF(AND($L$711=0,$P$708=0),"",$L$711-1),IF($R$17="Distrato",$E1088,0))),0,YEARFRAC(MAX($P$708*($B1088+IF($R$17="Distrato",$I$38-1,0)),IF(AND($L$711=0,$P$708=0),"",$L$711-1),IF($R$17="Distrato",$E1088,0)),MIN(AY$38,$D$19),$P$20))-SUM($P1088:AX1088)</f>
        <v>#VALUE!</v>
      </c>
      <c r="AZ1088" s="446" t="e">
        <f>IF(OR($B1088="",MIN(AZ$38,$D$19)&lt;MAX($P$708*($B1088+IF($R$17="Distrato",$I$38-1,0)),IF(AND($L$711=0,$P$708=0),"",$L$711-1),IF($R$17="Distrato",$E1088,0))),0,YEARFRAC(MAX($P$708*($B1088+IF($R$17="Distrato",$I$38-1,0)),IF(AND($L$711=0,$P$708=0),"",$L$711-1),IF($R$17="Distrato",$E1088,0)),MIN(AZ$38,$D$19),$P$20))-SUM($P1088:AY1088)</f>
        <v>#VALUE!</v>
      </c>
      <c r="BA1088" s="446" t="e">
        <f>IF(OR($B1088="",MIN(BA$38,$D$19)&lt;MAX($P$708*($B1088+IF($R$17="Distrato",$I$38-1,0)),IF(AND($L$711=0,$P$708=0),"",$L$711-1),IF($R$17="Distrato",$E1088,0))),0,YEARFRAC(MAX($P$708*($B1088+IF($R$17="Distrato",$I$38-1,0)),IF(AND($L$711=0,$P$708=0),"",$L$711-1),IF($R$17="Distrato",$E1088,0)),MIN(BA$38,$D$19),$P$20))-SUM($P1088:AZ1088)</f>
        <v>#VALUE!</v>
      </c>
      <c r="BB1088" s="447"/>
    </row>
    <row r="1089" spans="1:54" s="446" customFormat="1" ht="11.25" hidden="1" customHeight="1" x14ac:dyDescent="0.2">
      <c r="A1089" s="235"/>
      <c r="B1089" s="236"/>
      <c r="C1089" s="29" t="str">
        <f>IF(B1089="","",IF($L$709=$BL$25,VLOOKUP(DATE(YEAR($D$19),MONTH($D$19)-1,1),ÍNDICES!$A:$DE,HLOOKUP($BL$25,ÍNDICES!$B$3:$T$4,2)+11)-VLOOKUP(B1089,ÍNDICES!$A:$DE,HLOOKUP($BL$25,ÍNDICES!$B$3:$T$4,2)+11)+1%,IF(C$712=$W$26,$J$35,IF(ISERROR(IF(B1089&gt;$D$19,1,VLOOKUP(DATE(YEAR(B1089),MONTH(B1089)+IF($C$709=$S$23,1,0),1),ÍNDICES!$A:$DE,$Z$709+1))),"",IF(B1089&gt;$D$19,1,VLOOKUP(DATE(YEAR(B1089),MONTH(B1089)+IF($C$709=$S$23,1,0),1),ÍNDICES!$A:$DE,$Z$709+1))))))</f>
        <v/>
      </c>
      <c r="D1089" s="155"/>
      <c r="E1089" s="88"/>
      <c r="F1089" s="88"/>
      <c r="G1089" s="88"/>
      <c r="H1089" s="118"/>
      <c r="I1089" s="182">
        <f t="shared" si="150"/>
        <v>0</v>
      </c>
      <c r="J1089" s="20">
        <f t="shared" ca="1" si="151"/>
        <v>0</v>
      </c>
      <c r="K1089" s="5">
        <f t="shared" ca="1" si="152"/>
        <v>0</v>
      </c>
      <c r="L1089" s="61">
        <f t="shared" ca="1" si="153"/>
        <v>0</v>
      </c>
      <c r="M1089" s="64">
        <f t="shared" si="154"/>
        <v>0</v>
      </c>
      <c r="N1089" s="151"/>
      <c r="O1089" s="5">
        <f t="shared" ca="1" si="155"/>
        <v>0</v>
      </c>
      <c r="P1089" s="446" t="e">
        <f t="shared" si="156"/>
        <v>#VALUE!</v>
      </c>
      <c r="Q1089" s="446" t="e">
        <f>IF(OR($B1089="",MIN(Q$38,$D$19)&lt;MAX($P$708*($B1089+IF($R$17="Distrato",$I$38-1,0)),IF(AND($L$711=0,$P$708=0),"",$L$711-1),IF($R$17="Distrato",$E1089,0))),0,YEARFRAC(MAX($P$708*($B1089+IF($R$17="Distrato",$I$38-1,0)),IF(AND($L$711=0,$P$708=0),"",$L$711-1),IF($R$17="Distrato",$E1089,0)),MIN(Q$38,$D$19),$P$20))-SUM($P1089:P1089)</f>
        <v>#VALUE!</v>
      </c>
      <c r="R1089" s="446" t="e">
        <f>IF(OR($B1089="",MIN(R$38,$D$19)&lt;MAX($P$708*($B1089+IF($R$17="Distrato",$I$38-1,0)),IF(AND($L$711=0,$P$708=0),"",$L$711-1),IF($R$17="Distrato",$E1089,0))),0,YEARFRAC(MAX($P$708*($B1089+IF($R$17="Distrato",$I$38-1,0)),IF(AND($L$711=0,$P$708=0),"",$L$711-1),IF($R$17="Distrato",$E1089,0)),MIN(R$38,$D$19),$P$20))-SUM($P1089:Q1089)</f>
        <v>#VALUE!</v>
      </c>
      <c r="S1089" s="446" t="e">
        <f>IF(OR($B1089="",MIN(S$38,$D$19)&lt;MAX($P$708*($B1089+IF($R$17="Distrato",$I$38-1,0)),IF(AND($L$711=0,$P$708=0),"",$L$711-1),IF($R$17="Distrato",$E1089,0))),0,YEARFRAC(MAX($P$708*($B1089+IF($R$17="Distrato",$I$38-1,0)),IF(AND($L$711=0,$P$708=0),"",$L$711-1),IF($R$17="Distrato",$E1089,0)),MIN(S$38,$D$19),$P$20))-SUM($P1089:R1089)</f>
        <v>#VALUE!</v>
      </c>
      <c r="T1089" s="446" t="e">
        <f>IF(OR($B1089="",MIN(T$38,$D$19)&lt;MAX($P$708*($B1089+IF($R$17="Distrato",$I$38-1,0)),IF(AND($L$711=0,$P$708=0),"",$L$711-1),IF($R$17="Distrato",$E1089,0))),0,YEARFRAC(MAX($P$708*($B1089+IF($R$17="Distrato",$I$38-1,0)),IF(AND($L$711=0,$P$708=0),"",$L$711-1),IF($R$17="Distrato",$E1089,0)),MIN(T$38,$D$19),$P$20))-SUM($P1089:S1089)</f>
        <v>#VALUE!</v>
      </c>
      <c r="U1089" s="446" t="e">
        <f>IF(OR($B1089="",MIN(U$38,$D$19)&lt;MAX($P$708*($B1089+IF($R$17="Distrato",$I$38-1,0)),IF(AND($L$711=0,$P$708=0),"",$L$711-1),IF($R$17="Distrato",$E1089,0))),0,YEARFRAC(MAX($P$708*($B1089+IF($R$17="Distrato",$I$38-1,0)),IF(AND($L$711=0,$P$708=0),"",$L$711-1),IF($R$17="Distrato",$E1089,0)),MIN(U$38,$D$19),$P$20))-SUM($P1089:T1089)</f>
        <v>#VALUE!</v>
      </c>
      <c r="V1089" s="446" t="e">
        <f>IF(OR($B1089="",MIN(V$38,$D$19)&lt;MAX($P$708*($B1089+IF($R$17="Distrato",$I$38-1,0)),IF(AND($L$711=0,$P$708=0),"",$L$711-1),IF($R$17="Distrato",$E1089,0))),0,YEARFRAC(MAX($P$708*($B1089+IF($R$17="Distrato",$I$38-1,0)),IF(AND($L$711=0,$P$708=0),"",$L$711-1),IF($R$17="Distrato",$E1089,0)),MIN(V$38,$D$19),$P$20))-SUM($P1089:U1089)</f>
        <v>#VALUE!</v>
      </c>
      <c r="W1089" s="446" t="e">
        <f>IF(OR($B1089="",MIN(W$38,$D$19)&lt;MAX($P$708*($B1089+IF($R$17="Distrato",$I$38-1,0)),IF(AND($L$711=0,$P$708=0),"",$L$711-1),IF($R$17="Distrato",$E1089,0))),0,YEARFRAC(MAX($P$708*($B1089+IF($R$17="Distrato",$I$38-1,0)),IF(AND($L$711=0,$P$708=0),"",$L$711-1),IF($R$17="Distrato",$E1089,0)),MIN(W$38,$D$19),$P$20))-SUM($P1089:V1089)</f>
        <v>#VALUE!</v>
      </c>
      <c r="X1089" s="446" t="e">
        <f>IF(OR($B1089="",MIN(X$38,$D$19)&lt;MAX($P$708*($B1089+IF($R$17="Distrato",$I$38-1,0)),IF(AND($L$711=0,$P$708=0),"",$L$711-1),IF($R$17="Distrato",$E1089,0))),0,YEARFRAC(MAX($P$708*($B1089+IF($R$17="Distrato",$I$38-1,0)),IF(AND($L$711=0,$P$708=0),"",$L$711-1),IF($R$17="Distrato",$E1089,0)),MIN(X$38,$D$19),$P$20))-SUM($P1089:W1089)</f>
        <v>#VALUE!</v>
      </c>
      <c r="Y1089" s="446" t="e">
        <f>IF(OR($B1089="",MIN(Y$38,$D$19)&lt;MAX($P$708*($B1089+IF($R$17="Distrato",$I$38-1,0)),IF(AND($L$711=0,$P$708=0),"",$L$711-1),IF($R$17="Distrato",$E1089,0))),0,YEARFRAC(MAX($P$708*($B1089+IF($R$17="Distrato",$I$38-1,0)),IF(AND($L$711=0,$P$708=0),"",$L$711-1),IF($R$17="Distrato",$E1089,0)),MIN(Y$38,$D$19),$P$20))-SUM($P1089:X1089)</f>
        <v>#VALUE!</v>
      </c>
      <c r="Z1089" s="446" t="e">
        <f>IF(OR($B1089="",MIN(Z$38,$D$19)&lt;MAX($P$708*($B1089+IF($R$17="Distrato",$I$38-1,0)),IF(AND($L$711=0,$P$708=0),"",$L$711-1),IF($R$17="Distrato",$E1089,0))),0,YEARFRAC(MAX($P$708*($B1089+IF($R$17="Distrato",$I$38-1,0)),IF(AND($L$711=0,$P$708=0),"",$L$711-1),IF($R$17="Distrato",$E1089,0)),MIN(Z$38,$D$19),$P$20))-SUM($P1089:Y1089)</f>
        <v>#VALUE!</v>
      </c>
      <c r="AA1089" s="446" t="e">
        <f>IF(OR($B1089="",MIN(AA$38,$D$19)&lt;MAX($P$708*($B1089+IF($R$17="Distrato",$I$38-1,0)),IF(AND($L$711=0,$P$708=0),"",$L$711-1),IF($R$17="Distrato",$E1089,0))),0,YEARFRAC(MAX($P$708*($B1089+IF($R$17="Distrato",$I$38-1,0)),IF(AND($L$711=0,$P$708=0),"",$L$711-1),IF($R$17="Distrato",$E1089,0)),MIN(AA$38,$D$19),$P$20))-SUM($P1089:Z1089)</f>
        <v>#VALUE!</v>
      </c>
      <c r="AB1089" s="446" t="e">
        <f>IF(OR($B1089="",MIN(AB$38,$D$19)&lt;MAX($P$708*($B1089+IF($R$17="Distrato",$I$38-1,0)),IF(AND($L$711=0,$P$708=0),"",$L$711-1),IF($R$17="Distrato",$E1089,0))),0,YEARFRAC(MAX($P$708*($B1089+IF($R$17="Distrato",$I$38-1,0)),IF(AND($L$711=0,$P$708=0),"",$L$711-1),IF($R$17="Distrato",$E1089,0)),MIN(AB$38,$D$19),$P$20))-SUM($P1089:AA1089)</f>
        <v>#VALUE!</v>
      </c>
      <c r="AC1089" s="446" t="e">
        <f>IF(OR($B1089="",MIN(AC$38,$D$19)&lt;MAX($P$708*($B1089+IF($R$17="Distrato",$I$38-1,0)),IF(AND($L$711=0,$P$708=0),"",$L$711-1),IF($R$17="Distrato",$E1089,0))),0,YEARFRAC(MAX($P$708*($B1089+IF($R$17="Distrato",$I$38-1,0)),IF(AND($L$711=0,$P$708=0),"",$L$711-1),IF($R$17="Distrato",$E1089,0)),MIN(AC$38,$D$19),$P$20))-SUM($P1089:AB1089)</f>
        <v>#VALUE!</v>
      </c>
      <c r="AD1089" s="446" t="e">
        <f>IF(OR($B1089="",MIN(AD$38,$D$19)&lt;MAX($P$708*($B1089+IF($R$17="Distrato",$I$38-1,0)),IF(AND($L$711=0,$P$708=0),"",$L$711-1),IF($R$17="Distrato",$E1089,0))),0,YEARFRAC(MAX($P$708*($B1089+IF($R$17="Distrato",$I$38-1,0)),IF(AND($L$711=0,$P$708=0),"",$L$711-1),IF($R$17="Distrato",$E1089,0)),MIN(AD$38,$D$19),$P$20))-SUM($P1089:AC1089)</f>
        <v>#VALUE!</v>
      </c>
      <c r="AE1089" s="446" t="e">
        <f>IF(OR($B1089="",MIN(AE$38,$D$19)&lt;MAX($P$708*($B1089+IF($R$17="Distrato",$I$38-1,0)),IF(AND($L$711=0,$P$708=0),"",$L$711-1),IF($R$17="Distrato",$E1089,0))),0,YEARFRAC(MAX($P$708*($B1089+IF($R$17="Distrato",$I$38-1,0)),IF(AND($L$711=0,$P$708=0),"",$L$711-1),IF($R$17="Distrato",$E1089,0)),MIN(AE$38,$D$19),$P$20))-SUM($P1089:AD1089)</f>
        <v>#VALUE!</v>
      </c>
      <c r="AF1089" s="446" t="e">
        <f>IF(OR($B1089="",MIN(AF$38,$D$19)&lt;MAX($P$708*($B1089+IF($R$17="Distrato",$I$38-1,0)),IF(AND($L$711=0,$P$708=0),"",$L$711-1),IF($R$17="Distrato",$E1089,0))),0,YEARFRAC(MAX($P$708*($B1089+IF($R$17="Distrato",$I$38-1,0)),IF(AND($L$711=0,$P$708=0),"",$L$711-1),IF($R$17="Distrato",$E1089,0)),MIN(AF$38,$D$19),$P$20))-SUM($P1089:AE1089)</f>
        <v>#VALUE!</v>
      </c>
      <c r="AG1089" s="446" t="e">
        <f>IF(OR($B1089="",MIN(AG$38,$D$19)&lt;MAX($P$708*($B1089+IF($R$17="Distrato",$I$38-1,0)),IF(AND($L$711=0,$P$708=0),"",$L$711-1),IF($R$17="Distrato",$E1089,0))),0,YEARFRAC(MAX($P$708*($B1089+IF($R$17="Distrato",$I$38-1,0)),IF(AND($L$711=0,$P$708=0),"",$L$711-1),IF($R$17="Distrato",$E1089,0)),MIN(AG$38,$D$19),$P$20))-SUM($P1089:AF1089)</f>
        <v>#VALUE!</v>
      </c>
      <c r="AH1089" s="446" t="e">
        <f>IF(OR($B1089="",MIN(AH$38,$D$19)&lt;MAX($P$708*($B1089+IF($R$17="Distrato",$I$38-1,0)),IF(AND($L$711=0,$P$708=0),"",$L$711-1),IF($R$17="Distrato",$E1089,0))),0,YEARFRAC(MAX($P$708*($B1089+IF($R$17="Distrato",$I$38-1,0)),IF(AND($L$711=0,$P$708=0),"",$L$711-1),IF($R$17="Distrato",$E1089,0)),MIN(AH$38,$D$19),$P$20))-SUM($P1089:AG1089)</f>
        <v>#VALUE!</v>
      </c>
      <c r="AI1089" s="446" t="e">
        <f>IF(OR($B1089="",MIN(AI$38,$D$19)&lt;MAX($P$708*($B1089+IF($R$17="Distrato",$I$38-1,0)),IF(AND($L$711=0,$P$708=0),"",$L$711-1),IF($R$17="Distrato",$E1089,0))),0,YEARFRAC(MAX($P$708*($B1089+IF($R$17="Distrato",$I$38-1,0)),IF(AND($L$711=0,$P$708=0),"",$L$711-1),IF($R$17="Distrato",$E1089,0)),MIN(AI$38,$D$19),$P$20))-SUM($P1089:AH1089)</f>
        <v>#VALUE!</v>
      </c>
      <c r="AJ1089" s="446" t="e">
        <f>IF(OR($B1089="",MIN(AJ$38,$D$19)&lt;MAX($P$708*($B1089+IF($R$17="Distrato",$I$38-1,0)),IF(AND($L$711=0,$P$708=0),"",$L$711-1),IF($R$17="Distrato",$E1089,0))),0,YEARFRAC(MAX($P$708*($B1089+IF($R$17="Distrato",$I$38-1,0)),IF(AND($L$711=0,$P$708=0),"",$L$711-1),IF($R$17="Distrato",$E1089,0)),MIN(AJ$38,$D$19),$P$20))-SUM($P1089:AI1089)</f>
        <v>#VALUE!</v>
      </c>
      <c r="AK1089" s="446" t="e">
        <f>IF(OR($B1089="",MIN(AK$38,$D$19)&lt;MAX($P$708*($B1089+IF($R$17="Distrato",$I$38-1,0)),IF(AND($L$711=0,$P$708=0),"",$L$711-1),IF($R$17="Distrato",$E1089,0))),0,YEARFRAC(MAX($P$708*($B1089+IF($R$17="Distrato",$I$38-1,0)),IF(AND($L$711=0,$P$708=0),"",$L$711-1),IF($R$17="Distrato",$E1089,0)),MIN(AK$38,$D$19),$P$20))-SUM($P1089:AJ1089)</f>
        <v>#VALUE!</v>
      </c>
      <c r="AL1089" s="446" t="e">
        <f>IF(OR($B1089="",MIN(AL$38,$D$19)&lt;MAX($P$708*($B1089+IF($R$17="Distrato",$I$38-1,0)),IF(AND($L$711=0,$P$708=0),"",$L$711-1),IF($R$17="Distrato",$E1089,0))),0,YEARFRAC(MAX($P$708*($B1089+IF($R$17="Distrato",$I$38-1,0)),IF(AND($L$711=0,$P$708=0),"",$L$711-1),IF($R$17="Distrato",$E1089,0)),MIN(AL$38,$D$19),$P$20))-SUM($P1089:AK1089)</f>
        <v>#VALUE!</v>
      </c>
      <c r="AM1089" s="446" t="e">
        <f>IF(OR($B1089="",MIN(AM$38,$D$19)&lt;MAX($P$708*($B1089+IF($R$17="Distrato",$I$38-1,0)),IF(AND($L$711=0,$P$708=0),"",$L$711-1),IF($R$17="Distrato",$E1089,0))),0,YEARFRAC(MAX($P$708*($B1089+IF($R$17="Distrato",$I$38-1,0)),IF(AND($L$711=0,$P$708=0),"",$L$711-1),IF($R$17="Distrato",$E1089,0)),MIN(AM$38,$D$19),$P$20))-SUM($P1089:AL1089)</f>
        <v>#VALUE!</v>
      </c>
      <c r="AN1089" s="446" t="e">
        <f>IF(OR($B1089="",MIN(AN$38,$D$19)&lt;MAX($P$708*($B1089+IF($R$17="Distrato",$I$38-1,0)),IF(AND($L$711=0,$P$708=0),"",$L$711-1),IF($R$17="Distrato",$E1089,0))),0,YEARFRAC(MAX($P$708*($B1089+IF($R$17="Distrato",$I$38-1,0)),IF(AND($L$711=0,$P$708=0),"",$L$711-1),IF($R$17="Distrato",$E1089,0)),MIN(AN$38,$D$19),$P$20))-SUM($P1089:AM1089)</f>
        <v>#VALUE!</v>
      </c>
      <c r="AO1089" s="446" t="e">
        <f>IF(OR($B1089="",MIN(AO$38,$D$19)&lt;MAX($P$708*($B1089+IF($R$17="Distrato",$I$38-1,0)),IF(AND($L$711=0,$P$708=0),"",$L$711-1),IF($R$17="Distrato",$E1089,0))),0,YEARFRAC(MAX($P$708*($B1089+IF($R$17="Distrato",$I$38-1,0)),IF(AND($L$711=0,$P$708=0),"",$L$711-1),IF($R$17="Distrato",$E1089,0)),MIN(AO$38,$D$19),$P$20))-SUM($P1089:AN1089)</f>
        <v>#VALUE!</v>
      </c>
      <c r="AP1089" s="446" t="e">
        <f>IF(OR($B1089="",MIN(AP$38,$D$19)&lt;MAX($P$708*($B1089+IF($R$17="Distrato",$I$38-1,0)),IF(AND($L$711=0,$P$708=0),"",$L$711-1),IF($R$17="Distrato",$E1089,0))),0,YEARFRAC(MAX($P$708*($B1089+IF($R$17="Distrato",$I$38-1,0)),IF(AND($L$711=0,$P$708=0),"",$L$711-1),IF($R$17="Distrato",$E1089,0)),MIN(AP$38,$D$19),$P$20))-SUM($P1089:AO1089)</f>
        <v>#VALUE!</v>
      </c>
      <c r="AQ1089" s="446" t="e">
        <f>IF(OR($B1089="",MIN(AQ$38,$D$19)&lt;MAX($P$708*($B1089+IF($R$17="Distrato",$I$38-1,0)),IF(AND($L$711=0,$P$708=0),"",$L$711-1),IF($R$17="Distrato",$E1089,0))),0,YEARFRAC(MAX($P$708*($B1089+IF($R$17="Distrato",$I$38-1,0)),IF(AND($L$711=0,$P$708=0),"",$L$711-1),IF($R$17="Distrato",$E1089,0)),MIN(AQ$38,$D$19),$P$20))-SUM($P1089:AP1089)</f>
        <v>#VALUE!</v>
      </c>
      <c r="AR1089" s="446" t="e">
        <f>IF(OR($B1089="",MIN(AR$38,$D$19)&lt;MAX($P$708*($B1089+IF($R$17="Distrato",$I$38-1,0)),IF(AND($L$711=0,$P$708=0),"",$L$711-1),IF($R$17="Distrato",$E1089,0))),0,YEARFRAC(MAX($P$708*($B1089+IF($R$17="Distrato",$I$38-1,0)),IF(AND($L$711=0,$P$708=0),"",$L$711-1),IF($R$17="Distrato",$E1089,0)),MIN(AR$38,$D$19),$P$20))-SUM($P1089:AQ1089)</f>
        <v>#VALUE!</v>
      </c>
      <c r="AS1089" s="446" t="e">
        <f>IF(OR($B1089="",MIN(AS$38,$D$19)&lt;MAX($P$708*($B1089+IF($R$17="Distrato",$I$38-1,0)),IF(AND($L$711=0,$P$708=0),"",$L$711-1),IF($R$17="Distrato",$E1089,0))),0,YEARFRAC(MAX($P$708*($B1089+IF($R$17="Distrato",$I$38-1,0)),IF(AND($L$711=0,$P$708=0),"",$L$711-1),IF($R$17="Distrato",$E1089,0)),MIN(AS$38,$D$19),$P$20))-SUM($P1089:AR1089)</f>
        <v>#VALUE!</v>
      </c>
      <c r="AT1089" s="446" t="e">
        <f>IF(OR($B1089="",MIN(AT$38,$D$19)&lt;MAX($P$708*($B1089+IF($R$17="Distrato",$I$38-1,0)),IF(AND($L$711=0,$P$708=0),"",$L$711-1),IF($R$17="Distrato",$E1089,0))),0,YEARFRAC(MAX($P$708*($B1089+IF($R$17="Distrato",$I$38-1,0)),IF(AND($L$711=0,$P$708=0),"",$L$711-1),IF($R$17="Distrato",$E1089,0)),MIN(AT$38,$D$19),$P$20))-SUM($P1089:AS1089)</f>
        <v>#VALUE!</v>
      </c>
      <c r="AU1089" s="446" t="e">
        <f>IF(OR($B1089="",MIN(AU$38,$D$19)&lt;MAX($P$708*($B1089+IF($R$17="Distrato",$I$38-1,0)),IF(AND($L$711=0,$P$708=0),"",$L$711-1),IF($R$17="Distrato",$E1089,0))),0,YEARFRAC(MAX($P$708*($B1089+IF($R$17="Distrato",$I$38-1,0)),IF(AND($L$711=0,$P$708=0),"",$L$711-1),IF($R$17="Distrato",$E1089,0)),MIN(AU$38,$D$19),$P$20))-SUM($P1089:AT1089)</f>
        <v>#VALUE!</v>
      </c>
      <c r="AV1089" s="446" t="e">
        <f>IF(OR($B1089="",MIN(AV$38,$D$19)&lt;MAX($P$708*($B1089+IF($R$17="Distrato",$I$38-1,0)),IF(AND($L$711=0,$P$708=0),"",$L$711-1),IF($R$17="Distrato",$E1089,0))),0,YEARFRAC(MAX($P$708*($B1089+IF($R$17="Distrato",$I$38-1,0)),IF(AND($L$711=0,$P$708=0),"",$L$711-1),IF($R$17="Distrato",$E1089,0)),MIN(AV$38,$D$19),$P$20))-SUM($P1089:AU1089)</f>
        <v>#VALUE!</v>
      </c>
      <c r="AW1089" s="446" t="e">
        <f>IF(OR($B1089="",MIN(AW$38,$D$19)&lt;MAX($P$708*($B1089+IF($R$17="Distrato",$I$38-1,0)),IF(AND($L$711=0,$P$708=0),"",$L$711-1),IF($R$17="Distrato",$E1089,0))),0,YEARFRAC(MAX($P$708*($B1089+IF($R$17="Distrato",$I$38-1,0)),IF(AND($L$711=0,$P$708=0),"",$L$711-1),IF($R$17="Distrato",$E1089,0)),MIN(AW$38,$D$19),$P$20))-SUM($P1089:AV1089)</f>
        <v>#VALUE!</v>
      </c>
      <c r="AX1089" s="446" t="e">
        <f>IF(OR($B1089="",MIN(AX$38,$D$19)&lt;MAX($P$708*($B1089+IF($R$17="Distrato",$I$38-1,0)),IF(AND($L$711=0,$P$708=0),"",$L$711-1),IF($R$17="Distrato",$E1089,0))),0,YEARFRAC(MAX($P$708*($B1089+IF($R$17="Distrato",$I$38-1,0)),IF(AND($L$711=0,$P$708=0),"",$L$711-1),IF($R$17="Distrato",$E1089,0)),MIN(AX$38,$D$19),$P$20))-SUM($P1089:AW1089)</f>
        <v>#VALUE!</v>
      </c>
      <c r="AY1089" s="446" t="e">
        <f>IF(OR($B1089="",MIN(AY$38,$D$19)&lt;MAX($P$708*($B1089+IF($R$17="Distrato",$I$38-1,0)),IF(AND($L$711=0,$P$708=0),"",$L$711-1),IF($R$17="Distrato",$E1089,0))),0,YEARFRAC(MAX($P$708*($B1089+IF($R$17="Distrato",$I$38-1,0)),IF(AND($L$711=0,$P$708=0),"",$L$711-1),IF($R$17="Distrato",$E1089,0)),MIN(AY$38,$D$19),$P$20))-SUM($P1089:AX1089)</f>
        <v>#VALUE!</v>
      </c>
      <c r="AZ1089" s="446" t="e">
        <f>IF(OR($B1089="",MIN(AZ$38,$D$19)&lt;MAX($P$708*($B1089+IF($R$17="Distrato",$I$38-1,0)),IF(AND($L$711=0,$P$708=0),"",$L$711-1),IF($R$17="Distrato",$E1089,0))),0,YEARFRAC(MAX($P$708*($B1089+IF($R$17="Distrato",$I$38-1,0)),IF(AND($L$711=0,$P$708=0),"",$L$711-1),IF($R$17="Distrato",$E1089,0)),MIN(AZ$38,$D$19),$P$20))-SUM($P1089:AY1089)</f>
        <v>#VALUE!</v>
      </c>
      <c r="BA1089" s="446" t="e">
        <f>IF(OR($B1089="",MIN(BA$38,$D$19)&lt;MAX($P$708*($B1089+IF($R$17="Distrato",$I$38-1,0)),IF(AND($L$711=0,$P$708=0),"",$L$711-1),IF($R$17="Distrato",$E1089,0))),0,YEARFRAC(MAX($P$708*($B1089+IF($R$17="Distrato",$I$38-1,0)),IF(AND($L$711=0,$P$708=0),"",$L$711-1),IF($R$17="Distrato",$E1089,0)),MIN(BA$38,$D$19),$P$20))-SUM($P1089:AZ1089)</f>
        <v>#VALUE!</v>
      </c>
      <c r="BB1089" s="447"/>
    </row>
    <row r="1090" spans="1:54" s="446" customFormat="1" ht="11.25" hidden="1" customHeight="1" x14ac:dyDescent="0.2">
      <c r="A1090" s="235"/>
      <c r="B1090" s="236"/>
      <c r="C1090" s="29" t="str">
        <f>IF(B1090="","",IF($L$709=$BL$25,VLOOKUP(DATE(YEAR($D$19),MONTH($D$19)-1,1),ÍNDICES!$A:$DE,HLOOKUP($BL$25,ÍNDICES!$B$3:$T$4,2)+11)-VLOOKUP(B1090,ÍNDICES!$A:$DE,HLOOKUP($BL$25,ÍNDICES!$B$3:$T$4,2)+11)+1%,IF(C$712=$W$26,$J$35,IF(ISERROR(IF(B1090&gt;$D$19,1,VLOOKUP(DATE(YEAR(B1090),MONTH(B1090)+IF($C$709=$S$23,1,0),1),ÍNDICES!$A:$DE,$Z$709+1))),"",IF(B1090&gt;$D$19,1,VLOOKUP(DATE(YEAR(B1090),MONTH(B1090)+IF($C$709=$S$23,1,0),1),ÍNDICES!$A:$DE,$Z$709+1))))))</f>
        <v/>
      </c>
      <c r="D1090" s="155"/>
      <c r="E1090" s="88"/>
      <c r="F1090" s="88"/>
      <c r="G1090" s="88"/>
      <c r="H1090" s="118"/>
      <c r="I1090" s="182">
        <f t="shared" si="150"/>
        <v>0</v>
      </c>
      <c r="J1090" s="20">
        <f t="shared" ca="1" si="151"/>
        <v>0</v>
      </c>
      <c r="K1090" s="5">
        <f t="shared" ca="1" si="152"/>
        <v>0</v>
      </c>
      <c r="L1090" s="61">
        <f t="shared" ca="1" si="153"/>
        <v>0</v>
      </c>
      <c r="M1090" s="64">
        <f t="shared" si="154"/>
        <v>0</v>
      </c>
      <c r="N1090" s="151"/>
      <c r="O1090" s="5">
        <f t="shared" ca="1" si="155"/>
        <v>0</v>
      </c>
      <c r="P1090" s="446" t="e">
        <f t="shared" si="156"/>
        <v>#VALUE!</v>
      </c>
      <c r="Q1090" s="446" t="e">
        <f>IF(OR($B1090="",MIN(Q$38,$D$19)&lt;MAX($P$708*($B1090+IF($R$17="Distrato",$I$38-1,0)),IF(AND($L$711=0,$P$708=0),"",$L$711-1),IF($R$17="Distrato",$E1090,0))),0,YEARFRAC(MAX($P$708*($B1090+IF($R$17="Distrato",$I$38-1,0)),IF(AND($L$711=0,$P$708=0),"",$L$711-1),IF($R$17="Distrato",$E1090,0)),MIN(Q$38,$D$19),$P$20))-SUM($P1090:P1090)</f>
        <v>#VALUE!</v>
      </c>
      <c r="R1090" s="446" t="e">
        <f>IF(OR($B1090="",MIN(R$38,$D$19)&lt;MAX($P$708*($B1090+IF($R$17="Distrato",$I$38-1,0)),IF(AND($L$711=0,$P$708=0),"",$L$711-1),IF($R$17="Distrato",$E1090,0))),0,YEARFRAC(MAX($P$708*($B1090+IF($R$17="Distrato",$I$38-1,0)),IF(AND($L$711=0,$P$708=0),"",$L$711-1),IF($R$17="Distrato",$E1090,0)),MIN(R$38,$D$19),$P$20))-SUM($P1090:Q1090)</f>
        <v>#VALUE!</v>
      </c>
      <c r="S1090" s="446" t="e">
        <f>IF(OR($B1090="",MIN(S$38,$D$19)&lt;MAX($P$708*($B1090+IF($R$17="Distrato",$I$38-1,0)),IF(AND($L$711=0,$P$708=0),"",$L$711-1),IF($R$17="Distrato",$E1090,0))),0,YEARFRAC(MAX($P$708*($B1090+IF($R$17="Distrato",$I$38-1,0)),IF(AND($L$711=0,$P$708=0),"",$L$711-1),IF($R$17="Distrato",$E1090,0)),MIN(S$38,$D$19),$P$20))-SUM($P1090:R1090)</f>
        <v>#VALUE!</v>
      </c>
      <c r="T1090" s="446" t="e">
        <f>IF(OR($B1090="",MIN(T$38,$D$19)&lt;MAX($P$708*($B1090+IF($R$17="Distrato",$I$38-1,0)),IF(AND($L$711=0,$P$708=0),"",$L$711-1),IF($R$17="Distrato",$E1090,0))),0,YEARFRAC(MAX($P$708*($B1090+IF($R$17="Distrato",$I$38-1,0)),IF(AND($L$711=0,$P$708=0),"",$L$711-1),IF($R$17="Distrato",$E1090,0)),MIN(T$38,$D$19),$P$20))-SUM($P1090:S1090)</f>
        <v>#VALUE!</v>
      </c>
      <c r="U1090" s="446" t="e">
        <f>IF(OR($B1090="",MIN(U$38,$D$19)&lt;MAX($P$708*($B1090+IF($R$17="Distrato",$I$38-1,0)),IF(AND($L$711=0,$P$708=0),"",$L$711-1),IF($R$17="Distrato",$E1090,0))),0,YEARFRAC(MAX($P$708*($B1090+IF($R$17="Distrato",$I$38-1,0)),IF(AND($L$711=0,$P$708=0),"",$L$711-1),IF($R$17="Distrato",$E1090,0)),MIN(U$38,$D$19),$P$20))-SUM($P1090:T1090)</f>
        <v>#VALUE!</v>
      </c>
      <c r="V1090" s="446" t="e">
        <f>IF(OR($B1090="",MIN(V$38,$D$19)&lt;MAX($P$708*($B1090+IF($R$17="Distrato",$I$38-1,0)),IF(AND($L$711=0,$P$708=0),"",$L$711-1),IF($R$17="Distrato",$E1090,0))),0,YEARFRAC(MAX($P$708*($B1090+IF($R$17="Distrato",$I$38-1,0)),IF(AND($L$711=0,$P$708=0),"",$L$711-1),IF($R$17="Distrato",$E1090,0)),MIN(V$38,$D$19),$P$20))-SUM($P1090:U1090)</f>
        <v>#VALUE!</v>
      </c>
      <c r="W1090" s="446" t="e">
        <f>IF(OR($B1090="",MIN(W$38,$D$19)&lt;MAX($P$708*($B1090+IF($R$17="Distrato",$I$38-1,0)),IF(AND($L$711=0,$P$708=0),"",$L$711-1),IF($R$17="Distrato",$E1090,0))),0,YEARFRAC(MAX($P$708*($B1090+IF($R$17="Distrato",$I$38-1,0)),IF(AND($L$711=0,$P$708=0),"",$L$711-1),IF($R$17="Distrato",$E1090,0)),MIN(W$38,$D$19),$P$20))-SUM($P1090:V1090)</f>
        <v>#VALUE!</v>
      </c>
      <c r="X1090" s="446" t="e">
        <f>IF(OR($B1090="",MIN(X$38,$D$19)&lt;MAX($P$708*($B1090+IF($R$17="Distrato",$I$38-1,0)),IF(AND($L$711=0,$P$708=0),"",$L$711-1),IF($R$17="Distrato",$E1090,0))),0,YEARFRAC(MAX($P$708*($B1090+IF($R$17="Distrato",$I$38-1,0)),IF(AND($L$711=0,$P$708=0),"",$L$711-1),IF($R$17="Distrato",$E1090,0)),MIN(X$38,$D$19),$P$20))-SUM($P1090:W1090)</f>
        <v>#VALUE!</v>
      </c>
      <c r="Y1090" s="446" t="e">
        <f>IF(OR($B1090="",MIN(Y$38,$D$19)&lt;MAX($P$708*($B1090+IF($R$17="Distrato",$I$38-1,0)),IF(AND($L$711=0,$P$708=0),"",$L$711-1),IF($R$17="Distrato",$E1090,0))),0,YEARFRAC(MAX($P$708*($B1090+IF($R$17="Distrato",$I$38-1,0)),IF(AND($L$711=0,$P$708=0),"",$L$711-1),IF($R$17="Distrato",$E1090,0)),MIN(Y$38,$D$19),$P$20))-SUM($P1090:X1090)</f>
        <v>#VALUE!</v>
      </c>
      <c r="Z1090" s="446" t="e">
        <f>IF(OR($B1090="",MIN(Z$38,$D$19)&lt;MAX($P$708*($B1090+IF($R$17="Distrato",$I$38-1,0)),IF(AND($L$711=0,$P$708=0),"",$L$711-1),IF($R$17="Distrato",$E1090,0))),0,YEARFRAC(MAX($P$708*($B1090+IF($R$17="Distrato",$I$38-1,0)),IF(AND($L$711=0,$P$708=0),"",$L$711-1),IF($R$17="Distrato",$E1090,0)),MIN(Z$38,$D$19),$P$20))-SUM($P1090:Y1090)</f>
        <v>#VALUE!</v>
      </c>
      <c r="AA1090" s="446" t="e">
        <f>IF(OR($B1090="",MIN(AA$38,$D$19)&lt;MAX($P$708*($B1090+IF($R$17="Distrato",$I$38-1,0)),IF(AND($L$711=0,$P$708=0),"",$L$711-1),IF($R$17="Distrato",$E1090,0))),0,YEARFRAC(MAX($P$708*($B1090+IF($R$17="Distrato",$I$38-1,0)),IF(AND($L$711=0,$P$708=0),"",$L$711-1),IF($R$17="Distrato",$E1090,0)),MIN(AA$38,$D$19),$P$20))-SUM($P1090:Z1090)</f>
        <v>#VALUE!</v>
      </c>
      <c r="AB1090" s="446" t="e">
        <f>IF(OR($B1090="",MIN(AB$38,$D$19)&lt;MAX($P$708*($B1090+IF($R$17="Distrato",$I$38-1,0)),IF(AND($L$711=0,$P$708=0),"",$L$711-1),IF($R$17="Distrato",$E1090,0))),0,YEARFRAC(MAX($P$708*($B1090+IF($R$17="Distrato",$I$38-1,0)),IF(AND($L$711=0,$P$708=0),"",$L$711-1),IF($R$17="Distrato",$E1090,0)),MIN(AB$38,$D$19),$P$20))-SUM($P1090:AA1090)</f>
        <v>#VALUE!</v>
      </c>
      <c r="AC1090" s="446" t="e">
        <f>IF(OR($B1090="",MIN(AC$38,$D$19)&lt;MAX($P$708*($B1090+IF($R$17="Distrato",$I$38-1,0)),IF(AND($L$711=0,$P$708=0),"",$L$711-1),IF($R$17="Distrato",$E1090,0))),0,YEARFRAC(MAX($P$708*($B1090+IF($R$17="Distrato",$I$38-1,0)),IF(AND($L$711=0,$P$708=0),"",$L$711-1),IF($R$17="Distrato",$E1090,0)),MIN(AC$38,$D$19),$P$20))-SUM($P1090:AB1090)</f>
        <v>#VALUE!</v>
      </c>
      <c r="AD1090" s="446" t="e">
        <f>IF(OR($B1090="",MIN(AD$38,$D$19)&lt;MAX($P$708*($B1090+IF($R$17="Distrato",$I$38-1,0)),IF(AND($L$711=0,$P$708=0),"",$L$711-1),IF($R$17="Distrato",$E1090,0))),0,YEARFRAC(MAX($P$708*($B1090+IF($R$17="Distrato",$I$38-1,0)),IF(AND($L$711=0,$P$708=0),"",$L$711-1),IF($R$17="Distrato",$E1090,0)),MIN(AD$38,$D$19),$P$20))-SUM($P1090:AC1090)</f>
        <v>#VALUE!</v>
      </c>
      <c r="AE1090" s="446" t="e">
        <f>IF(OR($B1090="",MIN(AE$38,$D$19)&lt;MAX($P$708*($B1090+IF($R$17="Distrato",$I$38-1,0)),IF(AND($L$711=0,$P$708=0),"",$L$711-1),IF($R$17="Distrato",$E1090,0))),0,YEARFRAC(MAX($P$708*($B1090+IF($R$17="Distrato",$I$38-1,0)),IF(AND($L$711=0,$P$708=0),"",$L$711-1),IF($R$17="Distrato",$E1090,0)),MIN(AE$38,$D$19),$P$20))-SUM($P1090:AD1090)</f>
        <v>#VALUE!</v>
      </c>
      <c r="AF1090" s="446" t="e">
        <f>IF(OR($B1090="",MIN(AF$38,$D$19)&lt;MAX($P$708*($B1090+IF($R$17="Distrato",$I$38-1,0)),IF(AND($L$711=0,$P$708=0),"",$L$711-1),IF($R$17="Distrato",$E1090,0))),0,YEARFRAC(MAX($P$708*($B1090+IF($R$17="Distrato",$I$38-1,0)),IF(AND($L$711=0,$P$708=0),"",$L$711-1),IF($R$17="Distrato",$E1090,0)),MIN(AF$38,$D$19),$P$20))-SUM($P1090:AE1090)</f>
        <v>#VALUE!</v>
      </c>
      <c r="AG1090" s="446" t="e">
        <f>IF(OR($B1090="",MIN(AG$38,$D$19)&lt;MAX($P$708*($B1090+IF($R$17="Distrato",$I$38-1,0)),IF(AND($L$711=0,$P$708=0),"",$L$711-1),IF($R$17="Distrato",$E1090,0))),0,YEARFRAC(MAX($P$708*($B1090+IF($R$17="Distrato",$I$38-1,0)),IF(AND($L$711=0,$P$708=0),"",$L$711-1),IF($R$17="Distrato",$E1090,0)),MIN(AG$38,$D$19),$P$20))-SUM($P1090:AF1090)</f>
        <v>#VALUE!</v>
      </c>
      <c r="AH1090" s="446" t="e">
        <f>IF(OR($B1090="",MIN(AH$38,$D$19)&lt;MAX($P$708*($B1090+IF($R$17="Distrato",$I$38-1,0)),IF(AND($L$711=0,$P$708=0),"",$L$711-1),IF($R$17="Distrato",$E1090,0))),0,YEARFRAC(MAX($P$708*($B1090+IF($R$17="Distrato",$I$38-1,0)),IF(AND($L$711=0,$P$708=0),"",$L$711-1),IF($R$17="Distrato",$E1090,0)),MIN(AH$38,$D$19),$P$20))-SUM($P1090:AG1090)</f>
        <v>#VALUE!</v>
      </c>
      <c r="AI1090" s="446" t="e">
        <f>IF(OR($B1090="",MIN(AI$38,$D$19)&lt;MAX($P$708*($B1090+IF($R$17="Distrato",$I$38-1,0)),IF(AND($L$711=0,$P$708=0),"",$L$711-1),IF($R$17="Distrato",$E1090,0))),0,YEARFRAC(MAX($P$708*($B1090+IF($R$17="Distrato",$I$38-1,0)),IF(AND($L$711=0,$P$708=0),"",$L$711-1),IF($R$17="Distrato",$E1090,0)),MIN(AI$38,$D$19),$P$20))-SUM($P1090:AH1090)</f>
        <v>#VALUE!</v>
      </c>
      <c r="AJ1090" s="446" t="e">
        <f>IF(OR($B1090="",MIN(AJ$38,$D$19)&lt;MAX($P$708*($B1090+IF($R$17="Distrato",$I$38-1,0)),IF(AND($L$711=0,$P$708=0),"",$L$711-1),IF($R$17="Distrato",$E1090,0))),0,YEARFRAC(MAX($P$708*($B1090+IF($R$17="Distrato",$I$38-1,0)),IF(AND($L$711=0,$P$708=0),"",$L$711-1),IF($R$17="Distrato",$E1090,0)),MIN(AJ$38,$D$19),$P$20))-SUM($P1090:AI1090)</f>
        <v>#VALUE!</v>
      </c>
      <c r="AK1090" s="446" t="e">
        <f>IF(OR($B1090="",MIN(AK$38,$D$19)&lt;MAX($P$708*($B1090+IF($R$17="Distrato",$I$38-1,0)),IF(AND($L$711=0,$P$708=0),"",$L$711-1),IF($R$17="Distrato",$E1090,0))),0,YEARFRAC(MAX($P$708*($B1090+IF($R$17="Distrato",$I$38-1,0)),IF(AND($L$711=0,$P$708=0),"",$L$711-1),IF($R$17="Distrato",$E1090,0)),MIN(AK$38,$D$19),$P$20))-SUM($P1090:AJ1090)</f>
        <v>#VALUE!</v>
      </c>
      <c r="AL1090" s="446" t="e">
        <f>IF(OR($B1090="",MIN(AL$38,$D$19)&lt;MAX($P$708*($B1090+IF($R$17="Distrato",$I$38-1,0)),IF(AND($L$711=0,$P$708=0),"",$L$711-1),IF($R$17="Distrato",$E1090,0))),0,YEARFRAC(MAX($P$708*($B1090+IF($R$17="Distrato",$I$38-1,0)),IF(AND($L$711=0,$P$708=0),"",$L$711-1),IF($R$17="Distrato",$E1090,0)),MIN(AL$38,$D$19),$P$20))-SUM($P1090:AK1090)</f>
        <v>#VALUE!</v>
      </c>
      <c r="AM1090" s="446" t="e">
        <f>IF(OR($B1090="",MIN(AM$38,$D$19)&lt;MAX($P$708*($B1090+IF($R$17="Distrato",$I$38-1,0)),IF(AND($L$711=0,$P$708=0),"",$L$711-1),IF($R$17="Distrato",$E1090,0))),0,YEARFRAC(MAX($P$708*($B1090+IF($R$17="Distrato",$I$38-1,0)),IF(AND($L$711=0,$P$708=0),"",$L$711-1),IF($R$17="Distrato",$E1090,0)),MIN(AM$38,$D$19),$P$20))-SUM($P1090:AL1090)</f>
        <v>#VALUE!</v>
      </c>
      <c r="AN1090" s="446" t="e">
        <f>IF(OR($B1090="",MIN(AN$38,$D$19)&lt;MAX($P$708*($B1090+IF($R$17="Distrato",$I$38-1,0)),IF(AND($L$711=0,$P$708=0),"",$L$711-1),IF($R$17="Distrato",$E1090,0))),0,YEARFRAC(MAX($P$708*($B1090+IF($R$17="Distrato",$I$38-1,0)),IF(AND($L$711=0,$P$708=0),"",$L$711-1),IF($R$17="Distrato",$E1090,0)),MIN(AN$38,$D$19),$P$20))-SUM($P1090:AM1090)</f>
        <v>#VALUE!</v>
      </c>
      <c r="AO1090" s="446" t="e">
        <f>IF(OR($B1090="",MIN(AO$38,$D$19)&lt;MAX($P$708*($B1090+IF($R$17="Distrato",$I$38-1,0)),IF(AND($L$711=0,$P$708=0),"",$L$711-1),IF($R$17="Distrato",$E1090,0))),0,YEARFRAC(MAX($P$708*($B1090+IF($R$17="Distrato",$I$38-1,0)),IF(AND($L$711=0,$P$708=0),"",$L$711-1),IF($R$17="Distrato",$E1090,0)),MIN(AO$38,$D$19),$P$20))-SUM($P1090:AN1090)</f>
        <v>#VALUE!</v>
      </c>
      <c r="AP1090" s="446" t="e">
        <f>IF(OR($B1090="",MIN(AP$38,$D$19)&lt;MAX($P$708*($B1090+IF($R$17="Distrato",$I$38-1,0)),IF(AND($L$711=0,$P$708=0),"",$L$711-1),IF($R$17="Distrato",$E1090,0))),0,YEARFRAC(MAX($P$708*($B1090+IF($R$17="Distrato",$I$38-1,0)),IF(AND($L$711=0,$P$708=0),"",$L$711-1),IF($R$17="Distrato",$E1090,0)),MIN(AP$38,$D$19),$P$20))-SUM($P1090:AO1090)</f>
        <v>#VALUE!</v>
      </c>
      <c r="AQ1090" s="446" t="e">
        <f>IF(OR($B1090="",MIN(AQ$38,$D$19)&lt;MAX($P$708*($B1090+IF($R$17="Distrato",$I$38-1,0)),IF(AND($L$711=0,$P$708=0),"",$L$711-1),IF($R$17="Distrato",$E1090,0))),0,YEARFRAC(MAX($P$708*($B1090+IF($R$17="Distrato",$I$38-1,0)),IF(AND($L$711=0,$P$708=0),"",$L$711-1),IF($R$17="Distrato",$E1090,0)),MIN(AQ$38,$D$19),$P$20))-SUM($P1090:AP1090)</f>
        <v>#VALUE!</v>
      </c>
      <c r="AR1090" s="446" t="e">
        <f>IF(OR($B1090="",MIN(AR$38,$D$19)&lt;MAX($P$708*($B1090+IF($R$17="Distrato",$I$38-1,0)),IF(AND($L$711=0,$P$708=0),"",$L$711-1),IF($R$17="Distrato",$E1090,0))),0,YEARFRAC(MAX($P$708*($B1090+IF($R$17="Distrato",$I$38-1,0)),IF(AND($L$711=0,$P$708=0),"",$L$711-1),IF($R$17="Distrato",$E1090,0)),MIN(AR$38,$D$19),$P$20))-SUM($P1090:AQ1090)</f>
        <v>#VALUE!</v>
      </c>
      <c r="AS1090" s="446" t="e">
        <f>IF(OR($B1090="",MIN(AS$38,$D$19)&lt;MAX($P$708*($B1090+IF($R$17="Distrato",$I$38-1,0)),IF(AND($L$711=0,$P$708=0),"",$L$711-1),IF($R$17="Distrato",$E1090,0))),0,YEARFRAC(MAX($P$708*($B1090+IF($R$17="Distrato",$I$38-1,0)),IF(AND($L$711=0,$P$708=0),"",$L$711-1),IF($R$17="Distrato",$E1090,0)),MIN(AS$38,$D$19),$P$20))-SUM($P1090:AR1090)</f>
        <v>#VALUE!</v>
      </c>
      <c r="AT1090" s="446" t="e">
        <f>IF(OR($B1090="",MIN(AT$38,$D$19)&lt;MAX($P$708*($B1090+IF($R$17="Distrato",$I$38-1,0)),IF(AND($L$711=0,$P$708=0),"",$L$711-1),IF($R$17="Distrato",$E1090,0))),0,YEARFRAC(MAX($P$708*($B1090+IF($R$17="Distrato",$I$38-1,0)),IF(AND($L$711=0,$P$708=0),"",$L$711-1),IF($R$17="Distrato",$E1090,0)),MIN(AT$38,$D$19),$P$20))-SUM($P1090:AS1090)</f>
        <v>#VALUE!</v>
      </c>
      <c r="AU1090" s="446" t="e">
        <f>IF(OR($B1090="",MIN(AU$38,$D$19)&lt;MAX($P$708*($B1090+IF($R$17="Distrato",$I$38-1,0)),IF(AND($L$711=0,$P$708=0),"",$L$711-1),IF($R$17="Distrato",$E1090,0))),0,YEARFRAC(MAX($P$708*($B1090+IF($R$17="Distrato",$I$38-1,0)),IF(AND($L$711=0,$P$708=0),"",$L$711-1),IF($R$17="Distrato",$E1090,0)),MIN(AU$38,$D$19),$P$20))-SUM($P1090:AT1090)</f>
        <v>#VALUE!</v>
      </c>
      <c r="AV1090" s="446" t="e">
        <f>IF(OR($B1090="",MIN(AV$38,$D$19)&lt;MAX($P$708*($B1090+IF($R$17="Distrato",$I$38-1,0)),IF(AND($L$711=0,$P$708=0),"",$L$711-1),IF($R$17="Distrato",$E1090,0))),0,YEARFRAC(MAX($P$708*($B1090+IF($R$17="Distrato",$I$38-1,0)),IF(AND($L$711=0,$P$708=0),"",$L$711-1),IF($R$17="Distrato",$E1090,0)),MIN(AV$38,$D$19),$P$20))-SUM($P1090:AU1090)</f>
        <v>#VALUE!</v>
      </c>
      <c r="AW1090" s="446" t="e">
        <f>IF(OR($B1090="",MIN(AW$38,$D$19)&lt;MAX($P$708*($B1090+IF($R$17="Distrato",$I$38-1,0)),IF(AND($L$711=0,$P$708=0),"",$L$711-1),IF($R$17="Distrato",$E1090,0))),0,YEARFRAC(MAX($P$708*($B1090+IF($R$17="Distrato",$I$38-1,0)),IF(AND($L$711=0,$P$708=0),"",$L$711-1),IF($R$17="Distrato",$E1090,0)),MIN(AW$38,$D$19),$P$20))-SUM($P1090:AV1090)</f>
        <v>#VALUE!</v>
      </c>
      <c r="AX1090" s="446" t="e">
        <f>IF(OR($B1090="",MIN(AX$38,$D$19)&lt;MAX($P$708*($B1090+IF($R$17="Distrato",$I$38-1,0)),IF(AND($L$711=0,$P$708=0),"",$L$711-1),IF($R$17="Distrato",$E1090,0))),0,YEARFRAC(MAX($P$708*($B1090+IF($R$17="Distrato",$I$38-1,0)),IF(AND($L$711=0,$P$708=0),"",$L$711-1),IF($R$17="Distrato",$E1090,0)),MIN(AX$38,$D$19),$P$20))-SUM($P1090:AW1090)</f>
        <v>#VALUE!</v>
      </c>
      <c r="AY1090" s="446" t="e">
        <f>IF(OR($B1090="",MIN(AY$38,$D$19)&lt;MAX($P$708*($B1090+IF($R$17="Distrato",$I$38-1,0)),IF(AND($L$711=0,$P$708=0),"",$L$711-1),IF($R$17="Distrato",$E1090,0))),0,YEARFRAC(MAX($P$708*($B1090+IF($R$17="Distrato",$I$38-1,0)),IF(AND($L$711=0,$P$708=0),"",$L$711-1),IF($R$17="Distrato",$E1090,0)),MIN(AY$38,$D$19),$P$20))-SUM($P1090:AX1090)</f>
        <v>#VALUE!</v>
      </c>
      <c r="AZ1090" s="446" t="e">
        <f>IF(OR($B1090="",MIN(AZ$38,$D$19)&lt;MAX($P$708*($B1090+IF($R$17="Distrato",$I$38-1,0)),IF(AND($L$711=0,$P$708=0),"",$L$711-1),IF($R$17="Distrato",$E1090,0))),0,YEARFRAC(MAX($P$708*($B1090+IF($R$17="Distrato",$I$38-1,0)),IF(AND($L$711=0,$P$708=0),"",$L$711-1),IF($R$17="Distrato",$E1090,0)),MIN(AZ$38,$D$19),$P$20))-SUM($P1090:AY1090)</f>
        <v>#VALUE!</v>
      </c>
      <c r="BA1090" s="446" t="e">
        <f>IF(OR($B1090="",MIN(BA$38,$D$19)&lt;MAX($P$708*($B1090+IF($R$17="Distrato",$I$38-1,0)),IF(AND($L$711=0,$P$708=0),"",$L$711-1),IF($R$17="Distrato",$E1090,0))),0,YEARFRAC(MAX($P$708*($B1090+IF($R$17="Distrato",$I$38-1,0)),IF(AND($L$711=0,$P$708=0),"",$L$711-1),IF($R$17="Distrato",$E1090,0)),MIN(BA$38,$D$19),$P$20))-SUM($P1090:AZ1090)</f>
        <v>#VALUE!</v>
      </c>
      <c r="BB1090" s="447"/>
    </row>
    <row r="1091" spans="1:54" s="446" customFormat="1" ht="11.25" hidden="1" customHeight="1" x14ac:dyDescent="0.2">
      <c r="A1091" s="235"/>
      <c r="B1091" s="236"/>
      <c r="C1091" s="29" t="str">
        <f>IF(B1091="","",IF($L$709=$BL$25,VLOOKUP(DATE(YEAR($D$19),MONTH($D$19)-1,1),ÍNDICES!$A:$DE,HLOOKUP($BL$25,ÍNDICES!$B$3:$T$4,2)+11)-VLOOKUP(B1091,ÍNDICES!$A:$DE,HLOOKUP($BL$25,ÍNDICES!$B$3:$T$4,2)+11)+1%,IF(C$712=$W$26,$J$35,IF(ISERROR(IF(B1091&gt;$D$19,1,VLOOKUP(DATE(YEAR(B1091),MONTH(B1091)+IF($C$709=$S$23,1,0),1),ÍNDICES!$A:$DE,$Z$709+1))),"",IF(B1091&gt;$D$19,1,VLOOKUP(DATE(YEAR(B1091),MONTH(B1091)+IF($C$709=$S$23,1,0),1),ÍNDICES!$A:$DE,$Z$709+1))))))</f>
        <v/>
      </c>
      <c r="D1091" s="155"/>
      <c r="E1091" s="88"/>
      <c r="F1091" s="88"/>
      <c r="G1091" s="88"/>
      <c r="H1091" s="118"/>
      <c r="I1091" s="182">
        <f t="shared" si="150"/>
        <v>0</v>
      </c>
      <c r="J1091" s="20">
        <f t="shared" ca="1" si="151"/>
        <v>0</v>
      </c>
      <c r="K1091" s="5">
        <f t="shared" ca="1" si="152"/>
        <v>0</v>
      </c>
      <c r="L1091" s="61">
        <f t="shared" ca="1" si="153"/>
        <v>0</v>
      </c>
      <c r="M1091" s="64">
        <f t="shared" si="154"/>
        <v>0</v>
      </c>
      <c r="N1091" s="151"/>
      <c r="O1091" s="5">
        <f t="shared" ca="1" si="155"/>
        <v>0</v>
      </c>
      <c r="P1091" s="446" t="e">
        <f t="shared" si="156"/>
        <v>#VALUE!</v>
      </c>
      <c r="Q1091" s="446" t="e">
        <f>IF(OR($B1091="",MIN(Q$38,$D$19)&lt;MAX($P$708*($B1091+IF($R$17="Distrato",$I$38-1,0)),IF(AND($L$711=0,$P$708=0),"",$L$711-1),IF($R$17="Distrato",$E1091,0))),0,YEARFRAC(MAX($P$708*($B1091+IF($R$17="Distrato",$I$38-1,0)),IF(AND($L$711=0,$P$708=0),"",$L$711-1),IF($R$17="Distrato",$E1091,0)),MIN(Q$38,$D$19),$P$20))-SUM($P1091:P1091)</f>
        <v>#VALUE!</v>
      </c>
      <c r="R1091" s="446" t="e">
        <f>IF(OR($B1091="",MIN(R$38,$D$19)&lt;MAX($P$708*($B1091+IF($R$17="Distrato",$I$38-1,0)),IF(AND($L$711=0,$P$708=0),"",$L$711-1),IF($R$17="Distrato",$E1091,0))),0,YEARFRAC(MAX($P$708*($B1091+IF($R$17="Distrato",$I$38-1,0)),IF(AND($L$711=0,$P$708=0),"",$L$711-1),IF($R$17="Distrato",$E1091,0)),MIN(R$38,$D$19),$P$20))-SUM($P1091:Q1091)</f>
        <v>#VALUE!</v>
      </c>
      <c r="S1091" s="446" t="e">
        <f>IF(OR($B1091="",MIN(S$38,$D$19)&lt;MAX($P$708*($B1091+IF($R$17="Distrato",$I$38-1,0)),IF(AND($L$711=0,$P$708=0),"",$L$711-1),IF($R$17="Distrato",$E1091,0))),0,YEARFRAC(MAX($P$708*($B1091+IF($R$17="Distrato",$I$38-1,0)),IF(AND($L$711=0,$P$708=0),"",$L$711-1),IF($R$17="Distrato",$E1091,0)),MIN(S$38,$D$19),$P$20))-SUM($P1091:R1091)</f>
        <v>#VALUE!</v>
      </c>
      <c r="T1091" s="446" t="e">
        <f>IF(OR($B1091="",MIN(T$38,$D$19)&lt;MAX($P$708*($B1091+IF($R$17="Distrato",$I$38-1,0)),IF(AND($L$711=0,$P$708=0),"",$L$711-1),IF($R$17="Distrato",$E1091,0))),0,YEARFRAC(MAX($P$708*($B1091+IF($R$17="Distrato",$I$38-1,0)),IF(AND($L$711=0,$P$708=0),"",$L$711-1),IF($R$17="Distrato",$E1091,0)),MIN(T$38,$D$19),$P$20))-SUM($P1091:S1091)</f>
        <v>#VALUE!</v>
      </c>
      <c r="U1091" s="446" t="e">
        <f>IF(OR($B1091="",MIN(U$38,$D$19)&lt;MAX($P$708*($B1091+IF($R$17="Distrato",$I$38-1,0)),IF(AND($L$711=0,$P$708=0),"",$L$711-1),IF($R$17="Distrato",$E1091,0))),0,YEARFRAC(MAX($P$708*($B1091+IF($R$17="Distrato",$I$38-1,0)),IF(AND($L$711=0,$P$708=0),"",$L$711-1),IF($R$17="Distrato",$E1091,0)),MIN(U$38,$D$19),$P$20))-SUM($P1091:T1091)</f>
        <v>#VALUE!</v>
      </c>
      <c r="V1091" s="446" t="e">
        <f>IF(OR($B1091="",MIN(V$38,$D$19)&lt;MAX($P$708*($B1091+IF($R$17="Distrato",$I$38-1,0)),IF(AND($L$711=0,$P$708=0),"",$L$711-1),IF($R$17="Distrato",$E1091,0))),0,YEARFRAC(MAX($P$708*($B1091+IF($R$17="Distrato",$I$38-1,0)),IF(AND($L$711=0,$P$708=0),"",$L$711-1),IF($R$17="Distrato",$E1091,0)),MIN(V$38,$D$19),$P$20))-SUM($P1091:U1091)</f>
        <v>#VALUE!</v>
      </c>
      <c r="W1091" s="446" t="e">
        <f>IF(OR($B1091="",MIN(W$38,$D$19)&lt;MAX($P$708*($B1091+IF($R$17="Distrato",$I$38-1,0)),IF(AND($L$711=0,$P$708=0),"",$L$711-1),IF($R$17="Distrato",$E1091,0))),0,YEARFRAC(MAX($P$708*($B1091+IF($R$17="Distrato",$I$38-1,0)),IF(AND($L$711=0,$P$708=0),"",$L$711-1),IF($R$17="Distrato",$E1091,0)),MIN(W$38,$D$19),$P$20))-SUM($P1091:V1091)</f>
        <v>#VALUE!</v>
      </c>
      <c r="X1091" s="446" t="e">
        <f>IF(OR($B1091="",MIN(X$38,$D$19)&lt;MAX($P$708*($B1091+IF($R$17="Distrato",$I$38-1,0)),IF(AND($L$711=0,$P$708=0),"",$L$711-1),IF($R$17="Distrato",$E1091,0))),0,YEARFRAC(MAX($P$708*($B1091+IF($R$17="Distrato",$I$38-1,0)),IF(AND($L$711=0,$P$708=0),"",$L$711-1),IF($R$17="Distrato",$E1091,0)),MIN(X$38,$D$19),$P$20))-SUM($P1091:W1091)</f>
        <v>#VALUE!</v>
      </c>
      <c r="Y1091" s="446" t="e">
        <f>IF(OR($B1091="",MIN(Y$38,$D$19)&lt;MAX($P$708*($B1091+IF($R$17="Distrato",$I$38-1,0)),IF(AND($L$711=0,$P$708=0),"",$L$711-1),IF($R$17="Distrato",$E1091,0))),0,YEARFRAC(MAX($P$708*($B1091+IF($R$17="Distrato",$I$38-1,0)),IF(AND($L$711=0,$P$708=0),"",$L$711-1),IF($R$17="Distrato",$E1091,0)),MIN(Y$38,$D$19),$P$20))-SUM($P1091:X1091)</f>
        <v>#VALUE!</v>
      </c>
      <c r="Z1091" s="446" t="e">
        <f>IF(OR($B1091="",MIN(Z$38,$D$19)&lt;MAX($P$708*($B1091+IF($R$17="Distrato",$I$38-1,0)),IF(AND($L$711=0,$P$708=0),"",$L$711-1),IF($R$17="Distrato",$E1091,0))),0,YEARFRAC(MAX($P$708*($B1091+IF($R$17="Distrato",$I$38-1,0)),IF(AND($L$711=0,$P$708=0),"",$L$711-1),IF($R$17="Distrato",$E1091,0)),MIN(Z$38,$D$19),$P$20))-SUM($P1091:Y1091)</f>
        <v>#VALUE!</v>
      </c>
      <c r="AA1091" s="446" t="e">
        <f>IF(OR($B1091="",MIN(AA$38,$D$19)&lt;MAX($P$708*($B1091+IF($R$17="Distrato",$I$38-1,0)),IF(AND($L$711=0,$P$708=0),"",$L$711-1),IF($R$17="Distrato",$E1091,0))),0,YEARFRAC(MAX($P$708*($B1091+IF($R$17="Distrato",$I$38-1,0)),IF(AND($L$711=0,$P$708=0),"",$L$711-1),IF($R$17="Distrato",$E1091,0)),MIN(AA$38,$D$19),$P$20))-SUM($P1091:Z1091)</f>
        <v>#VALUE!</v>
      </c>
      <c r="AB1091" s="446" t="e">
        <f>IF(OR($B1091="",MIN(AB$38,$D$19)&lt;MAX($P$708*($B1091+IF($R$17="Distrato",$I$38-1,0)),IF(AND($L$711=0,$P$708=0),"",$L$711-1),IF($R$17="Distrato",$E1091,0))),0,YEARFRAC(MAX($P$708*($B1091+IF($R$17="Distrato",$I$38-1,0)),IF(AND($L$711=0,$P$708=0),"",$L$711-1),IF($R$17="Distrato",$E1091,0)),MIN(AB$38,$D$19),$P$20))-SUM($P1091:AA1091)</f>
        <v>#VALUE!</v>
      </c>
      <c r="AC1091" s="446" t="e">
        <f>IF(OR($B1091="",MIN(AC$38,$D$19)&lt;MAX($P$708*($B1091+IF($R$17="Distrato",$I$38-1,0)),IF(AND($L$711=0,$P$708=0),"",$L$711-1),IF($R$17="Distrato",$E1091,0))),0,YEARFRAC(MAX($P$708*($B1091+IF($R$17="Distrato",$I$38-1,0)),IF(AND($L$711=0,$P$708=0),"",$L$711-1),IF($R$17="Distrato",$E1091,0)),MIN(AC$38,$D$19),$P$20))-SUM($P1091:AB1091)</f>
        <v>#VALUE!</v>
      </c>
      <c r="AD1091" s="446" t="e">
        <f>IF(OR($B1091="",MIN(AD$38,$D$19)&lt;MAX($P$708*($B1091+IF($R$17="Distrato",$I$38-1,0)),IF(AND($L$711=0,$P$708=0),"",$L$711-1),IF($R$17="Distrato",$E1091,0))),0,YEARFRAC(MAX($P$708*($B1091+IF($R$17="Distrato",$I$38-1,0)),IF(AND($L$711=0,$P$708=0),"",$L$711-1),IF($R$17="Distrato",$E1091,0)),MIN(AD$38,$D$19),$P$20))-SUM($P1091:AC1091)</f>
        <v>#VALUE!</v>
      </c>
      <c r="AE1091" s="446" t="e">
        <f>IF(OR($B1091="",MIN(AE$38,$D$19)&lt;MAX($P$708*($B1091+IF($R$17="Distrato",$I$38-1,0)),IF(AND($L$711=0,$P$708=0),"",$L$711-1),IF($R$17="Distrato",$E1091,0))),0,YEARFRAC(MAX($P$708*($B1091+IF($R$17="Distrato",$I$38-1,0)),IF(AND($L$711=0,$P$708=0),"",$L$711-1),IF($R$17="Distrato",$E1091,0)),MIN(AE$38,$D$19),$P$20))-SUM($P1091:AD1091)</f>
        <v>#VALUE!</v>
      </c>
      <c r="AF1091" s="446" t="e">
        <f>IF(OR($B1091="",MIN(AF$38,$D$19)&lt;MAX($P$708*($B1091+IF($R$17="Distrato",$I$38-1,0)),IF(AND($L$711=0,$P$708=0),"",$L$711-1),IF($R$17="Distrato",$E1091,0))),0,YEARFRAC(MAX($P$708*($B1091+IF($R$17="Distrato",$I$38-1,0)),IF(AND($L$711=0,$P$708=0),"",$L$711-1),IF($R$17="Distrato",$E1091,0)),MIN(AF$38,$D$19),$P$20))-SUM($P1091:AE1091)</f>
        <v>#VALUE!</v>
      </c>
      <c r="AG1091" s="446" t="e">
        <f>IF(OR($B1091="",MIN(AG$38,$D$19)&lt;MAX($P$708*($B1091+IF($R$17="Distrato",$I$38-1,0)),IF(AND($L$711=0,$P$708=0),"",$L$711-1),IF($R$17="Distrato",$E1091,0))),0,YEARFRAC(MAX($P$708*($B1091+IF($R$17="Distrato",$I$38-1,0)),IF(AND($L$711=0,$P$708=0),"",$L$711-1),IF($R$17="Distrato",$E1091,0)),MIN(AG$38,$D$19),$P$20))-SUM($P1091:AF1091)</f>
        <v>#VALUE!</v>
      </c>
      <c r="AH1091" s="446" t="e">
        <f>IF(OR($B1091="",MIN(AH$38,$D$19)&lt;MAX($P$708*($B1091+IF($R$17="Distrato",$I$38-1,0)),IF(AND($L$711=0,$P$708=0),"",$L$711-1),IF($R$17="Distrato",$E1091,0))),0,YEARFRAC(MAX($P$708*($B1091+IF($R$17="Distrato",$I$38-1,0)),IF(AND($L$711=0,$P$708=0),"",$L$711-1),IF($R$17="Distrato",$E1091,0)),MIN(AH$38,$D$19),$P$20))-SUM($P1091:AG1091)</f>
        <v>#VALUE!</v>
      </c>
      <c r="AI1091" s="446" t="e">
        <f>IF(OR($B1091="",MIN(AI$38,$D$19)&lt;MAX($P$708*($B1091+IF($R$17="Distrato",$I$38-1,0)),IF(AND($L$711=0,$P$708=0),"",$L$711-1),IF($R$17="Distrato",$E1091,0))),0,YEARFRAC(MAX($P$708*($B1091+IF($R$17="Distrato",$I$38-1,0)),IF(AND($L$711=0,$P$708=0),"",$L$711-1),IF($R$17="Distrato",$E1091,0)),MIN(AI$38,$D$19),$P$20))-SUM($P1091:AH1091)</f>
        <v>#VALUE!</v>
      </c>
      <c r="AJ1091" s="446" t="e">
        <f>IF(OR($B1091="",MIN(AJ$38,$D$19)&lt;MAX($P$708*($B1091+IF($R$17="Distrato",$I$38-1,0)),IF(AND($L$711=0,$P$708=0),"",$L$711-1),IF($R$17="Distrato",$E1091,0))),0,YEARFRAC(MAX($P$708*($B1091+IF($R$17="Distrato",$I$38-1,0)),IF(AND($L$711=0,$P$708=0),"",$L$711-1),IF($R$17="Distrato",$E1091,0)),MIN(AJ$38,$D$19),$P$20))-SUM($P1091:AI1091)</f>
        <v>#VALUE!</v>
      </c>
      <c r="AK1091" s="446" t="e">
        <f>IF(OR($B1091="",MIN(AK$38,$D$19)&lt;MAX($P$708*($B1091+IF($R$17="Distrato",$I$38-1,0)),IF(AND($L$711=0,$P$708=0),"",$L$711-1),IF($R$17="Distrato",$E1091,0))),0,YEARFRAC(MAX($P$708*($B1091+IF($R$17="Distrato",$I$38-1,0)),IF(AND($L$711=0,$P$708=0),"",$L$711-1),IF($R$17="Distrato",$E1091,0)),MIN(AK$38,$D$19),$P$20))-SUM($P1091:AJ1091)</f>
        <v>#VALUE!</v>
      </c>
      <c r="AL1091" s="446" t="e">
        <f>IF(OR($B1091="",MIN(AL$38,$D$19)&lt;MAX($P$708*($B1091+IF($R$17="Distrato",$I$38-1,0)),IF(AND($L$711=0,$P$708=0),"",$L$711-1),IF($R$17="Distrato",$E1091,0))),0,YEARFRAC(MAX($P$708*($B1091+IF($R$17="Distrato",$I$38-1,0)),IF(AND($L$711=0,$P$708=0),"",$L$711-1),IF($R$17="Distrato",$E1091,0)),MIN(AL$38,$D$19),$P$20))-SUM($P1091:AK1091)</f>
        <v>#VALUE!</v>
      </c>
      <c r="AM1091" s="446" t="e">
        <f>IF(OR($B1091="",MIN(AM$38,$D$19)&lt;MAX($P$708*($B1091+IF($R$17="Distrato",$I$38-1,0)),IF(AND($L$711=0,$P$708=0),"",$L$711-1),IF($R$17="Distrato",$E1091,0))),0,YEARFRAC(MAX($P$708*($B1091+IF($R$17="Distrato",$I$38-1,0)),IF(AND($L$711=0,$P$708=0),"",$L$711-1),IF($R$17="Distrato",$E1091,0)),MIN(AM$38,$D$19),$P$20))-SUM($P1091:AL1091)</f>
        <v>#VALUE!</v>
      </c>
      <c r="AN1091" s="446" t="e">
        <f>IF(OR($B1091="",MIN(AN$38,$D$19)&lt;MAX($P$708*($B1091+IF($R$17="Distrato",$I$38-1,0)),IF(AND($L$711=0,$P$708=0),"",$L$711-1),IF($R$17="Distrato",$E1091,0))),0,YEARFRAC(MAX($P$708*($B1091+IF($R$17="Distrato",$I$38-1,0)),IF(AND($L$711=0,$P$708=0),"",$L$711-1),IF($R$17="Distrato",$E1091,0)),MIN(AN$38,$D$19),$P$20))-SUM($P1091:AM1091)</f>
        <v>#VALUE!</v>
      </c>
      <c r="AO1091" s="446" t="e">
        <f>IF(OR($B1091="",MIN(AO$38,$D$19)&lt;MAX($P$708*($B1091+IF($R$17="Distrato",$I$38-1,0)),IF(AND($L$711=0,$P$708=0),"",$L$711-1),IF($R$17="Distrato",$E1091,0))),0,YEARFRAC(MAX($P$708*($B1091+IF($R$17="Distrato",$I$38-1,0)),IF(AND($L$711=0,$P$708=0),"",$L$711-1),IF($R$17="Distrato",$E1091,0)),MIN(AO$38,$D$19),$P$20))-SUM($P1091:AN1091)</f>
        <v>#VALUE!</v>
      </c>
      <c r="AP1091" s="446" t="e">
        <f>IF(OR($B1091="",MIN(AP$38,$D$19)&lt;MAX($P$708*($B1091+IF($R$17="Distrato",$I$38-1,0)),IF(AND($L$711=0,$P$708=0),"",$L$711-1),IF($R$17="Distrato",$E1091,0))),0,YEARFRAC(MAX($P$708*($B1091+IF($R$17="Distrato",$I$38-1,0)),IF(AND($L$711=0,$P$708=0),"",$L$711-1),IF($R$17="Distrato",$E1091,0)),MIN(AP$38,$D$19),$P$20))-SUM($P1091:AO1091)</f>
        <v>#VALUE!</v>
      </c>
      <c r="AQ1091" s="446" t="e">
        <f>IF(OR($B1091="",MIN(AQ$38,$D$19)&lt;MAX($P$708*($B1091+IF($R$17="Distrato",$I$38-1,0)),IF(AND($L$711=0,$P$708=0),"",$L$711-1),IF($R$17="Distrato",$E1091,0))),0,YEARFRAC(MAX($P$708*($B1091+IF($R$17="Distrato",$I$38-1,0)),IF(AND($L$711=0,$P$708=0),"",$L$711-1),IF($R$17="Distrato",$E1091,0)),MIN(AQ$38,$D$19),$P$20))-SUM($P1091:AP1091)</f>
        <v>#VALUE!</v>
      </c>
      <c r="AR1091" s="446" t="e">
        <f>IF(OR($B1091="",MIN(AR$38,$D$19)&lt;MAX($P$708*($B1091+IF($R$17="Distrato",$I$38-1,0)),IF(AND($L$711=0,$P$708=0),"",$L$711-1),IF($R$17="Distrato",$E1091,0))),0,YEARFRAC(MAX($P$708*($B1091+IF($R$17="Distrato",$I$38-1,0)),IF(AND($L$711=0,$P$708=0),"",$L$711-1),IF($R$17="Distrato",$E1091,0)),MIN(AR$38,$D$19),$P$20))-SUM($P1091:AQ1091)</f>
        <v>#VALUE!</v>
      </c>
      <c r="AS1091" s="446" t="e">
        <f>IF(OR($B1091="",MIN(AS$38,$D$19)&lt;MAX($P$708*($B1091+IF($R$17="Distrato",$I$38-1,0)),IF(AND($L$711=0,$P$708=0),"",$L$711-1),IF($R$17="Distrato",$E1091,0))),0,YEARFRAC(MAX($P$708*($B1091+IF($R$17="Distrato",$I$38-1,0)),IF(AND($L$711=0,$P$708=0),"",$L$711-1),IF($R$17="Distrato",$E1091,0)),MIN(AS$38,$D$19),$P$20))-SUM($P1091:AR1091)</f>
        <v>#VALUE!</v>
      </c>
      <c r="AT1091" s="446" t="e">
        <f>IF(OR($B1091="",MIN(AT$38,$D$19)&lt;MAX($P$708*($B1091+IF($R$17="Distrato",$I$38-1,0)),IF(AND($L$711=0,$P$708=0),"",$L$711-1),IF($R$17="Distrato",$E1091,0))),0,YEARFRAC(MAX($P$708*($B1091+IF($R$17="Distrato",$I$38-1,0)),IF(AND($L$711=0,$P$708=0),"",$L$711-1),IF($R$17="Distrato",$E1091,0)),MIN(AT$38,$D$19),$P$20))-SUM($P1091:AS1091)</f>
        <v>#VALUE!</v>
      </c>
      <c r="AU1091" s="446" t="e">
        <f>IF(OR($B1091="",MIN(AU$38,$D$19)&lt;MAX($P$708*($B1091+IF($R$17="Distrato",$I$38-1,0)),IF(AND($L$711=0,$P$708=0),"",$L$711-1),IF($R$17="Distrato",$E1091,0))),0,YEARFRAC(MAX($P$708*($B1091+IF($R$17="Distrato",$I$38-1,0)),IF(AND($L$711=0,$P$708=0),"",$L$711-1),IF($R$17="Distrato",$E1091,0)),MIN(AU$38,$D$19),$P$20))-SUM($P1091:AT1091)</f>
        <v>#VALUE!</v>
      </c>
      <c r="AV1091" s="446" t="e">
        <f>IF(OR($B1091="",MIN(AV$38,$D$19)&lt;MAX($P$708*($B1091+IF($R$17="Distrato",$I$38-1,0)),IF(AND($L$711=0,$P$708=0),"",$L$711-1),IF($R$17="Distrato",$E1091,0))),0,YEARFRAC(MAX($P$708*($B1091+IF($R$17="Distrato",$I$38-1,0)),IF(AND($L$711=0,$P$708=0),"",$L$711-1),IF($R$17="Distrato",$E1091,0)),MIN(AV$38,$D$19),$P$20))-SUM($P1091:AU1091)</f>
        <v>#VALUE!</v>
      </c>
      <c r="AW1091" s="446" t="e">
        <f>IF(OR($B1091="",MIN(AW$38,$D$19)&lt;MAX($P$708*($B1091+IF($R$17="Distrato",$I$38-1,0)),IF(AND($L$711=0,$P$708=0),"",$L$711-1),IF($R$17="Distrato",$E1091,0))),0,YEARFRAC(MAX($P$708*($B1091+IF($R$17="Distrato",$I$38-1,0)),IF(AND($L$711=0,$P$708=0),"",$L$711-1),IF($R$17="Distrato",$E1091,0)),MIN(AW$38,$D$19),$P$20))-SUM($P1091:AV1091)</f>
        <v>#VALUE!</v>
      </c>
      <c r="AX1091" s="446" t="e">
        <f>IF(OR($B1091="",MIN(AX$38,$D$19)&lt;MAX($P$708*($B1091+IF($R$17="Distrato",$I$38-1,0)),IF(AND($L$711=0,$P$708=0),"",$L$711-1),IF($R$17="Distrato",$E1091,0))),0,YEARFRAC(MAX($P$708*($B1091+IF($R$17="Distrato",$I$38-1,0)),IF(AND($L$711=0,$P$708=0),"",$L$711-1),IF($R$17="Distrato",$E1091,0)),MIN(AX$38,$D$19),$P$20))-SUM($P1091:AW1091)</f>
        <v>#VALUE!</v>
      </c>
      <c r="AY1091" s="446" t="e">
        <f>IF(OR($B1091="",MIN(AY$38,$D$19)&lt;MAX($P$708*($B1091+IF($R$17="Distrato",$I$38-1,0)),IF(AND($L$711=0,$P$708=0),"",$L$711-1),IF($R$17="Distrato",$E1091,0))),0,YEARFRAC(MAX($P$708*($B1091+IF($R$17="Distrato",$I$38-1,0)),IF(AND($L$711=0,$P$708=0),"",$L$711-1),IF($R$17="Distrato",$E1091,0)),MIN(AY$38,$D$19),$P$20))-SUM($P1091:AX1091)</f>
        <v>#VALUE!</v>
      </c>
      <c r="AZ1091" s="446" t="e">
        <f>IF(OR($B1091="",MIN(AZ$38,$D$19)&lt;MAX($P$708*($B1091+IF($R$17="Distrato",$I$38-1,0)),IF(AND($L$711=0,$P$708=0),"",$L$711-1),IF($R$17="Distrato",$E1091,0))),0,YEARFRAC(MAX($P$708*($B1091+IF($R$17="Distrato",$I$38-1,0)),IF(AND($L$711=0,$P$708=0),"",$L$711-1),IF($R$17="Distrato",$E1091,0)),MIN(AZ$38,$D$19),$P$20))-SUM($P1091:AY1091)</f>
        <v>#VALUE!</v>
      </c>
      <c r="BA1091" s="446" t="e">
        <f>IF(OR($B1091="",MIN(BA$38,$D$19)&lt;MAX($P$708*($B1091+IF($R$17="Distrato",$I$38-1,0)),IF(AND($L$711=0,$P$708=0),"",$L$711-1),IF($R$17="Distrato",$E1091,0))),0,YEARFRAC(MAX($P$708*($B1091+IF($R$17="Distrato",$I$38-1,0)),IF(AND($L$711=0,$P$708=0),"",$L$711-1),IF($R$17="Distrato",$E1091,0)),MIN(BA$38,$D$19),$P$20))-SUM($P1091:AZ1091)</f>
        <v>#VALUE!</v>
      </c>
      <c r="BB1091" s="447"/>
    </row>
    <row r="1092" spans="1:54" s="446" customFormat="1" ht="11.25" hidden="1" customHeight="1" x14ac:dyDescent="0.2">
      <c r="A1092" s="235"/>
      <c r="B1092" s="236"/>
      <c r="C1092" s="29" t="str">
        <f>IF(B1092="","",IF($L$709=$BL$25,VLOOKUP(DATE(YEAR($D$19),MONTH($D$19)-1,1),ÍNDICES!$A:$DE,HLOOKUP($BL$25,ÍNDICES!$B$3:$T$4,2)+11)-VLOOKUP(B1092,ÍNDICES!$A:$DE,HLOOKUP($BL$25,ÍNDICES!$B$3:$T$4,2)+11)+1%,IF(C$712=$W$26,$J$35,IF(ISERROR(IF(B1092&gt;$D$19,1,VLOOKUP(DATE(YEAR(B1092),MONTH(B1092)+IF($C$709=$S$23,1,0),1),ÍNDICES!$A:$DE,$Z$709+1))),"",IF(B1092&gt;$D$19,1,VLOOKUP(DATE(YEAR(B1092),MONTH(B1092)+IF($C$709=$S$23,1,0),1),ÍNDICES!$A:$DE,$Z$709+1))))))</f>
        <v/>
      </c>
      <c r="D1092" s="155"/>
      <c r="E1092" s="88"/>
      <c r="F1092" s="88"/>
      <c r="G1092" s="88"/>
      <c r="H1092" s="118"/>
      <c r="I1092" s="182">
        <f t="shared" si="150"/>
        <v>0</v>
      </c>
      <c r="J1092" s="20">
        <f t="shared" ca="1" si="151"/>
        <v>0</v>
      </c>
      <c r="K1092" s="5">
        <f t="shared" ca="1" si="152"/>
        <v>0</v>
      </c>
      <c r="L1092" s="61">
        <f t="shared" ca="1" si="153"/>
        <v>0</v>
      </c>
      <c r="M1092" s="64">
        <f t="shared" si="154"/>
        <v>0</v>
      </c>
      <c r="N1092" s="151"/>
      <c r="O1092" s="5">
        <f t="shared" ca="1" si="155"/>
        <v>0</v>
      </c>
      <c r="P1092" s="446" t="e">
        <f t="shared" si="156"/>
        <v>#VALUE!</v>
      </c>
      <c r="Q1092" s="446" t="e">
        <f>IF(OR($B1092="",MIN(Q$38,$D$19)&lt;MAX($P$708*($B1092+IF($R$17="Distrato",$I$38-1,0)),IF(AND($L$711=0,$P$708=0),"",$L$711-1),IF($R$17="Distrato",$E1092,0))),0,YEARFRAC(MAX($P$708*($B1092+IF($R$17="Distrato",$I$38-1,0)),IF(AND($L$711=0,$P$708=0),"",$L$711-1),IF($R$17="Distrato",$E1092,0)),MIN(Q$38,$D$19),$P$20))-SUM($P1092:P1092)</f>
        <v>#VALUE!</v>
      </c>
      <c r="R1092" s="446" t="e">
        <f>IF(OR($B1092="",MIN(R$38,$D$19)&lt;MAX($P$708*($B1092+IF($R$17="Distrato",$I$38-1,0)),IF(AND($L$711=0,$P$708=0),"",$L$711-1),IF($R$17="Distrato",$E1092,0))),0,YEARFRAC(MAX($P$708*($B1092+IF($R$17="Distrato",$I$38-1,0)),IF(AND($L$711=0,$P$708=0),"",$L$711-1),IF($R$17="Distrato",$E1092,0)),MIN(R$38,$D$19),$P$20))-SUM($P1092:Q1092)</f>
        <v>#VALUE!</v>
      </c>
      <c r="S1092" s="446" t="e">
        <f>IF(OR($B1092="",MIN(S$38,$D$19)&lt;MAX($P$708*($B1092+IF($R$17="Distrato",$I$38-1,0)),IF(AND($L$711=0,$P$708=0),"",$L$711-1),IF($R$17="Distrato",$E1092,0))),0,YEARFRAC(MAX($P$708*($B1092+IF($R$17="Distrato",$I$38-1,0)),IF(AND($L$711=0,$P$708=0),"",$L$711-1),IF($R$17="Distrato",$E1092,0)),MIN(S$38,$D$19),$P$20))-SUM($P1092:R1092)</f>
        <v>#VALUE!</v>
      </c>
      <c r="T1092" s="446" t="e">
        <f>IF(OR($B1092="",MIN(T$38,$D$19)&lt;MAX($P$708*($B1092+IF($R$17="Distrato",$I$38-1,0)),IF(AND($L$711=0,$P$708=0),"",$L$711-1),IF($R$17="Distrato",$E1092,0))),0,YEARFRAC(MAX($P$708*($B1092+IF($R$17="Distrato",$I$38-1,0)),IF(AND($L$711=0,$P$708=0),"",$L$711-1),IF($R$17="Distrato",$E1092,0)),MIN(T$38,$D$19),$P$20))-SUM($P1092:S1092)</f>
        <v>#VALUE!</v>
      </c>
      <c r="U1092" s="446" t="e">
        <f>IF(OR($B1092="",MIN(U$38,$D$19)&lt;MAX($P$708*($B1092+IF($R$17="Distrato",$I$38-1,0)),IF(AND($L$711=0,$P$708=0),"",$L$711-1),IF($R$17="Distrato",$E1092,0))),0,YEARFRAC(MAX($P$708*($B1092+IF($R$17="Distrato",$I$38-1,0)),IF(AND($L$711=0,$P$708=0),"",$L$711-1),IF($R$17="Distrato",$E1092,0)),MIN(U$38,$D$19),$P$20))-SUM($P1092:T1092)</f>
        <v>#VALUE!</v>
      </c>
      <c r="V1092" s="446" t="e">
        <f>IF(OR($B1092="",MIN(V$38,$D$19)&lt;MAX($P$708*($B1092+IF($R$17="Distrato",$I$38-1,0)),IF(AND($L$711=0,$P$708=0),"",$L$711-1),IF($R$17="Distrato",$E1092,0))),0,YEARFRAC(MAX($P$708*($B1092+IF($R$17="Distrato",$I$38-1,0)),IF(AND($L$711=0,$P$708=0),"",$L$711-1),IF($R$17="Distrato",$E1092,0)),MIN(V$38,$D$19),$P$20))-SUM($P1092:U1092)</f>
        <v>#VALUE!</v>
      </c>
      <c r="W1092" s="446" t="e">
        <f>IF(OR($B1092="",MIN(W$38,$D$19)&lt;MAX($P$708*($B1092+IF($R$17="Distrato",$I$38-1,0)),IF(AND($L$711=0,$P$708=0),"",$L$711-1),IF($R$17="Distrato",$E1092,0))),0,YEARFRAC(MAX($P$708*($B1092+IF($R$17="Distrato",$I$38-1,0)),IF(AND($L$711=0,$P$708=0),"",$L$711-1),IF($R$17="Distrato",$E1092,0)),MIN(W$38,$D$19),$P$20))-SUM($P1092:V1092)</f>
        <v>#VALUE!</v>
      </c>
      <c r="X1092" s="446" t="e">
        <f>IF(OR($B1092="",MIN(X$38,$D$19)&lt;MAX($P$708*($B1092+IF($R$17="Distrato",$I$38-1,0)),IF(AND($L$711=0,$P$708=0),"",$L$711-1),IF($R$17="Distrato",$E1092,0))),0,YEARFRAC(MAX($P$708*($B1092+IF($R$17="Distrato",$I$38-1,0)),IF(AND($L$711=0,$P$708=0),"",$L$711-1),IF($R$17="Distrato",$E1092,0)),MIN(X$38,$D$19),$P$20))-SUM($P1092:W1092)</f>
        <v>#VALUE!</v>
      </c>
      <c r="Y1092" s="446" t="e">
        <f>IF(OR($B1092="",MIN(Y$38,$D$19)&lt;MAX($P$708*($B1092+IF($R$17="Distrato",$I$38-1,0)),IF(AND($L$711=0,$P$708=0),"",$L$711-1),IF($R$17="Distrato",$E1092,0))),0,YEARFRAC(MAX($P$708*($B1092+IF($R$17="Distrato",$I$38-1,0)),IF(AND($L$711=0,$P$708=0),"",$L$711-1),IF($R$17="Distrato",$E1092,0)),MIN(Y$38,$D$19),$P$20))-SUM($P1092:X1092)</f>
        <v>#VALUE!</v>
      </c>
      <c r="Z1092" s="446" t="e">
        <f>IF(OR($B1092="",MIN(Z$38,$D$19)&lt;MAX($P$708*($B1092+IF($R$17="Distrato",$I$38-1,0)),IF(AND($L$711=0,$P$708=0),"",$L$711-1),IF($R$17="Distrato",$E1092,0))),0,YEARFRAC(MAX($P$708*($B1092+IF($R$17="Distrato",$I$38-1,0)),IF(AND($L$711=0,$P$708=0),"",$L$711-1),IF($R$17="Distrato",$E1092,0)),MIN(Z$38,$D$19),$P$20))-SUM($P1092:Y1092)</f>
        <v>#VALUE!</v>
      </c>
      <c r="AA1092" s="446" t="e">
        <f>IF(OR($B1092="",MIN(AA$38,$D$19)&lt;MAX($P$708*($B1092+IF($R$17="Distrato",$I$38-1,0)),IF(AND($L$711=0,$P$708=0),"",$L$711-1),IF($R$17="Distrato",$E1092,0))),0,YEARFRAC(MAX($P$708*($B1092+IF($R$17="Distrato",$I$38-1,0)),IF(AND($L$711=0,$P$708=0),"",$L$711-1),IF($R$17="Distrato",$E1092,0)),MIN(AA$38,$D$19),$P$20))-SUM($P1092:Z1092)</f>
        <v>#VALUE!</v>
      </c>
      <c r="AB1092" s="446" t="e">
        <f>IF(OR($B1092="",MIN(AB$38,$D$19)&lt;MAX($P$708*($B1092+IF($R$17="Distrato",$I$38-1,0)),IF(AND($L$711=0,$P$708=0),"",$L$711-1),IF($R$17="Distrato",$E1092,0))),0,YEARFRAC(MAX($P$708*($B1092+IF($R$17="Distrato",$I$38-1,0)),IF(AND($L$711=0,$P$708=0),"",$L$711-1),IF($R$17="Distrato",$E1092,0)),MIN(AB$38,$D$19),$P$20))-SUM($P1092:AA1092)</f>
        <v>#VALUE!</v>
      </c>
      <c r="AC1092" s="446" t="e">
        <f>IF(OR($B1092="",MIN(AC$38,$D$19)&lt;MAX($P$708*($B1092+IF($R$17="Distrato",$I$38-1,0)),IF(AND($L$711=0,$P$708=0),"",$L$711-1),IF($R$17="Distrato",$E1092,0))),0,YEARFRAC(MAX($P$708*($B1092+IF($R$17="Distrato",$I$38-1,0)),IF(AND($L$711=0,$P$708=0),"",$L$711-1),IF($R$17="Distrato",$E1092,0)),MIN(AC$38,$D$19),$P$20))-SUM($P1092:AB1092)</f>
        <v>#VALUE!</v>
      </c>
      <c r="AD1092" s="446" t="e">
        <f>IF(OR($B1092="",MIN(AD$38,$D$19)&lt;MAX($P$708*($B1092+IF($R$17="Distrato",$I$38-1,0)),IF(AND($L$711=0,$P$708=0),"",$L$711-1),IF($R$17="Distrato",$E1092,0))),0,YEARFRAC(MAX($P$708*($B1092+IF($R$17="Distrato",$I$38-1,0)),IF(AND($L$711=0,$P$708=0),"",$L$711-1),IF($R$17="Distrato",$E1092,0)),MIN(AD$38,$D$19),$P$20))-SUM($P1092:AC1092)</f>
        <v>#VALUE!</v>
      </c>
      <c r="AE1092" s="446" t="e">
        <f>IF(OR($B1092="",MIN(AE$38,$D$19)&lt;MAX($P$708*($B1092+IF($R$17="Distrato",$I$38-1,0)),IF(AND($L$711=0,$P$708=0),"",$L$711-1),IF($R$17="Distrato",$E1092,0))),0,YEARFRAC(MAX($P$708*($B1092+IF($R$17="Distrato",$I$38-1,0)),IF(AND($L$711=0,$P$708=0),"",$L$711-1),IF($R$17="Distrato",$E1092,0)),MIN(AE$38,$D$19),$P$20))-SUM($P1092:AD1092)</f>
        <v>#VALUE!</v>
      </c>
      <c r="AF1092" s="446" t="e">
        <f>IF(OR($B1092="",MIN(AF$38,$D$19)&lt;MAX($P$708*($B1092+IF($R$17="Distrato",$I$38-1,0)),IF(AND($L$711=0,$P$708=0),"",$L$711-1),IF($R$17="Distrato",$E1092,0))),0,YEARFRAC(MAX($P$708*($B1092+IF($R$17="Distrato",$I$38-1,0)),IF(AND($L$711=0,$P$708=0),"",$L$711-1),IF($R$17="Distrato",$E1092,0)),MIN(AF$38,$D$19),$P$20))-SUM($P1092:AE1092)</f>
        <v>#VALUE!</v>
      </c>
      <c r="AG1092" s="446" t="e">
        <f>IF(OR($B1092="",MIN(AG$38,$D$19)&lt;MAX($P$708*($B1092+IF($R$17="Distrato",$I$38-1,0)),IF(AND($L$711=0,$P$708=0),"",$L$711-1),IF($R$17="Distrato",$E1092,0))),0,YEARFRAC(MAX($P$708*($B1092+IF($R$17="Distrato",$I$38-1,0)),IF(AND($L$711=0,$P$708=0),"",$L$711-1),IF($R$17="Distrato",$E1092,0)),MIN(AG$38,$D$19),$P$20))-SUM($P1092:AF1092)</f>
        <v>#VALUE!</v>
      </c>
      <c r="AH1092" s="446" t="e">
        <f>IF(OR($B1092="",MIN(AH$38,$D$19)&lt;MAX($P$708*($B1092+IF($R$17="Distrato",$I$38-1,0)),IF(AND($L$711=0,$P$708=0),"",$L$711-1),IF($R$17="Distrato",$E1092,0))),0,YEARFRAC(MAX($P$708*($B1092+IF($R$17="Distrato",$I$38-1,0)),IF(AND($L$711=0,$P$708=0),"",$L$711-1),IF($R$17="Distrato",$E1092,0)),MIN(AH$38,$D$19),$P$20))-SUM($P1092:AG1092)</f>
        <v>#VALUE!</v>
      </c>
      <c r="AI1092" s="446" t="e">
        <f>IF(OR($B1092="",MIN(AI$38,$D$19)&lt;MAX($P$708*($B1092+IF($R$17="Distrato",$I$38-1,0)),IF(AND($L$711=0,$P$708=0),"",$L$711-1),IF($R$17="Distrato",$E1092,0))),0,YEARFRAC(MAX($P$708*($B1092+IF($R$17="Distrato",$I$38-1,0)),IF(AND($L$711=0,$P$708=0),"",$L$711-1),IF($R$17="Distrato",$E1092,0)),MIN(AI$38,$D$19),$P$20))-SUM($P1092:AH1092)</f>
        <v>#VALUE!</v>
      </c>
      <c r="AJ1092" s="446" t="e">
        <f>IF(OR($B1092="",MIN(AJ$38,$D$19)&lt;MAX($P$708*($B1092+IF($R$17="Distrato",$I$38-1,0)),IF(AND($L$711=0,$P$708=0),"",$L$711-1),IF($R$17="Distrato",$E1092,0))),0,YEARFRAC(MAX($P$708*($B1092+IF($R$17="Distrato",$I$38-1,0)),IF(AND($L$711=0,$P$708=0),"",$L$711-1),IF($R$17="Distrato",$E1092,0)),MIN(AJ$38,$D$19),$P$20))-SUM($P1092:AI1092)</f>
        <v>#VALUE!</v>
      </c>
      <c r="AK1092" s="446" t="e">
        <f>IF(OR($B1092="",MIN(AK$38,$D$19)&lt;MAX($P$708*($B1092+IF($R$17="Distrato",$I$38-1,0)),IF(AND($L$711=0,$P$708=0),"",$L$711-1),IF($R$17="Distrato",$E1092,0))),0,YEARFRAC(MAX($P$708*($B1092+IF($R$17="Distrato",$I$38-1,0)),IF(AND($L$711=0,$P$708=0),"",$L$711-1),IF($R$17="Distrato",$E1092,0)),MIN(AK$38,$D$19),$P$20))-SUM($P1092:AJ1092)</f>
        <v>#VALUE!</v>
      </c>
      <c r="AL1092" s="446" t="e">
        <f>IF(OR($B1092="",MIN(AL$38,$D$19)&lt;MAX($P$708*($B1092+IF($R$17="Distrato",$I$38-1,0)),IF(AND($L$711=0,$P$708=0),"",$L$711-1),IF($R$17="Distrato",$E1092,0))),0,YEARFRAC(MAX($P$708*($B1092+IF($R$17="Distrato",$I$38-1,0)),IF(AND($L$711=0,$P$708=0),"",$L$711-1),IF($R$17="Distrato",$E1092,0)),MIN(AL$38,$D$19),$P$20))-SUM($P1092:AK1092)</f>
        <v>#VALUE!</v>
      </c>
      <c r="AM1092" s="446" t="e">
        <f>IF(OR($B1092="",MIN(AM$38,$D$19)&lt;MAX($P$708*($B1092+IF($R$17="Distrato",$I$38-1,0)),IF(AND($L$711=0,$P$708=0),"",$L$711-1),IF($R$17="Distrato",$E1092,0))),0,YEARFRAC(MAX($P$708*($B1092+IF($R$17="Distrato",$I$38-1,0)),IF(AND($L$711=0,$P$708=0),"",$L$711-1),IF($R$17="Distrato",$E1092,0)),MIN(AM$38,$D$19),$P$20))-SUM($P1092:AL1092)</f>
        <v>#VALUE!</v>
      </c>
      <c r="AN1092" s="446" t="e">
        <f>IF(OR($B1092="",MIN(AN$38,$D$19)&lt;MAX($P$708*($B1092+IF($R$17="Distrato",$I$38-1,0)),IF(AND($L$711=0,$P$708=0),"",$L$711-1),IF($R$17="Distrato",$E1092,0))),0,YEARFRAC(MAX($P$708*($B1092+IF($R$17="Distrato",$I$38-1,0)),IF(AND($L$711=0,$P$708=0),"",$L$711-1),IF($R$17="Distrato",$E1092,0)),MIN(AN$38,$D$19),$P$20))-SUM($P1092:AM1092)</f>
        <v>#VALUE!</v>
      </c>
      <c r="AO1092" s="446" t="e">
        <f>IF(OR($B1092="",MIN(AO$38,$D$19)&lt;MAX($P$708*($B1092+IF($R$17="Distrato",$I$38-1,0)),IF(AND($L$711=0,$P$708=0),"",$L$711-1),IF($R$17="Distrato",$E1092,0))),0,YEARFRAC(MAX($P$708*($B1092+IF($R$17="Distrato",$I$38-1,0)),IF(AND($L$711=0,$P$708=0),"",$L$711-1),IF($R$17="Distrato",$E1092,0)),MIN(AO$38,$D$19),$P$20))-SUM($P1092:AN1092)</f>
        <v>#VALUE!</v>
      </c>
      <c r="AP1092" s="446" t="e">
        <f>IF(OR($B1092="",MIN(AP$38,$D$19)&lt;MAX($P$708*($B1092+IF($R$17="Distrato",$I$38-1,0)),IF(AND($L$711=0,$P$708=0),"",$L$711-1),IF($R$17="Distrato",$E1092,0))),0,YEARFRAC(MAX($P$708*($B1092+IF($R$17="Distrato",$I$38-1,0)),IF(AND($L$711=0,$P$708=0),"",$L$711-1),IF($R$17="Distrato",$E1092,0)),MIN(AP$38,$D$19),$P$20))-SUM($P1092:AO1092)</f>
        <v>#VALUE!</v>
      </c>
      <c r="AQ1092" s="446" t="e">
        <f>IF(OR($B1092="",MIN(AQ$38,$D$19)&lt;MAX($P$708*($B1092+IF($R$17="Distrato",$I$38-1,0)),IF(AND($L$711=0,$P$708=0),"",$L$711-1),IF($R$17="Distrato",$E1092,0))),0,YEARFRAC(MAX($P$708*($B1092+IF($R$17="Distrato",$I$38-1,0)),IF(AND($L$711=0,$P$708=0),"",$L$711-1),IF($R$17="Distrato",$E1092,0)),MIN(AQ$38,$D$19),$P$20))-SUM($P1092:AP1092)</f>
        <v>#VALUE!</v>
      </c>
      <c r="AR1092" s="446" t="e">
        <f>IF(OR($B1092="",MIN(AR$38,$D$19)&lt;MAX($P$708*($B1092+IF($R$17="Distrato",$I$38-1,0)),IF(AND($L$711=0,$P$708=0),"",$L$711-1),IF($R$17="Distrato",$E1092,0))),0,YEARFRAC(MAX($P$708*($B1092+IF($R$17="Distrato",$I$38-1,0)),IF(AND($L$711=0,$P$708=0),"",$L$711-1),IF($R$17="Distrato",$E1092,0)),MIN(AR$38,$D$19),$P$20))-SUM($P1092:AQ1092)</f>
        <v>#VALUE!</v>
      </c>
      <c r="AS1092" s="446" t="e">
        <f>IF(OR($B1092="",MIN(AS$38,$D$19)&lt;MAX($P$708*($B1092+IF($R$17="Distrato",$I$38-1,0)),IF(AND($L$711=0,$P$708=0),"",$L$711-1),IF($R$17="Distrato",$E1092,0))),0,YEARFRAC(MAX($P$708*($B1092+IF($R$17="Distrato",$I$38-1,0)),IF(AND($L$711=0,$P$708=0),"",$L$711-1),IF($R$17="Distrato",$E1092,0)),MIN(AS$38,$D$19),$P$20))-SUM($P1092:AR1092)</f>
        <v>#VALUE!</v>
      </c>
      <c r="AT1092" s="446" t="e">
        <f>IF(OR($B1092="",MIN(AT$38,$D$19)&lt;MAX($P$708*($B1092+IF($R$17="Distrato",$I$38-1,0)),IF(AND($L$711=0,$P$708=0),"",$L$711-1),IF($R$17="Distrato",$E1092,0))),0,YEARFRAC(MAX($P$708*($B1092+IF($R$17="Distrato",$I$38-1,0)),IF(AND($L$711=0,$P$708=0),"",$L$711-1),IF($R$17="Distrato",$E1092,0)),MIN(AT$38,$D$19),$P$20))-SUM($P1092:AS1092)</f>
        <v>#VALUE!</v>
      </c>
      <c r="AU1092" s="446" t="e">
        <f>IF(OR($B1092="",MIN(AU$38,$D$19)&lt;MAX($P$708*($B1092+IF($R$17="Distrato",$I$38-1,0)),IF(AND($L$711=0,$P$708=0),"",$L$711-1),IF($R$17="Distrato",$E1092,0))),0,YEARFRAC(MAX($P$708*($B1092+IF($R$17="Distrato",$I$38-1,0)),IF(AND($L$711=0,$P$708=0),"",$L$711-1),IF($R$17="Distrato",$E1092,0)),MIN(AU$38,$D$19),$P$20))-SUM($P1092:AT1092)</f>
        <v>#VALUE!</v>
      </c>
      <c r="AV1092" s="446" t="e">
        <f>IF(OR($B1092="",MIN(AV$38,$D$19)&lt;MAX($P$708*($B1092+IF($R$17="Distrato",$I$38-1,0)),IF(AND($L$711=0,$P$708=0),"",$L$711-1),IF($R$17="Distrato",$E1092,0))),0,YEARFRAC(MAX($P$708*($B1092+IF($R$17="Distrato",$I$38-1,0)),IF(AND($L$711=0,$P$708=0),"",$L$711-1),IF($R$17="Distrato",$E1092,0)),MIN(AV$38,$D$19),$P$20))-SUM($P1092:AU1092)</f>
        <v>#VALUE!</v>
      </c>
      <c r="AW1092" s="446" t="e">
        <f>IF(OR($B1092="",MIN(AW$38,$D$19)&lt;MAX($P$708*($B1092+IF($R$17="Distrato",$I$38-1,0)),IF(AND($L$711=0,$P$708=0),"",$L$711-1),IF($R$17="Distrato",$E1092,0))),0,YEARFRAC(MAX($P$708*($B1092+IF($R$17="Distrato",$I$38-1,0)),IF(AND($L$711=0,$P$708=0),"",$L$711-1),IF($R$17="Distrato",$E1092,0)),MIN(AW$38,$D$19),$P$20))-SUM($P1092:AV1092)</f>
        <v>#VALUE!</v>
      </c>
      <c r="AX1092" s="446" t="e">
        <f>IF(OR($B1092="",MIN(AX$38,$D$19)&lt;MAX($P$708*($B1092+IF($R$17="Distrato",$I$38-1,0)),IF(AND($L$711=0,$P$708=0),"",$L$711-1),IF($R$17="Distrato",$E1092,0))),0,YEARFRAC(MAX($P$708*($B1092+IF($R$17="Distrato",$I$38-1,0)),IF(AND($L$711=0,$P$708=0),"",$L$711-1),IF($R$17="Distrato",$E1092,0)),MIN(AX$38,$D$19),$P$20))-SUM($P1092:AW1092)</f>
        <v>#VALUE!</v>
      </c>
      <c r="AY1092" s="446" t="e">
        <f>IF(OR($B1092="",MIN(AY$38,$D$19)&lt;MAX($P$708*($B1092+IF($R$17="Distrato",$I$38-1,0)),IF(AND($L$711=0,$P$708=0),"",$L$711-1),IF($R$17="Distrato",$E1092,0))),0,YEARFRAC(MAX($P$708*($B1092+IF($R$17="Distrato",$I$38-1,0)),IF(AND($L$711=0,$P$708=0),"",$L$711-1),IF($R$17="Distrato",$E1092,0)),MIN(AY$38,$D$19),$P$20))-SUM($P1092:AX1092)</f>
        <v>#VALUE!</v>
      </c>
      <c r="AZ1092" s="446" t="e">
        <f>IF(OR($B1092="",MIN(AZ$38,$D$19)&lt;MAX($P$708*($B1092+IF($R$17="Distrato",$I$38-1,0)),IF(AND($L$711=0,$P$708=0),"",$L$711-1),IF($R$17="Distrato",$E1092,0))),0,YEARFRAC(MAX($P$708*($B1092+IF($R$17="Distrato",$I$38-1,0)),IF(AND($L$711=0,$P$708=0),"",$L$711-1),IF($R$17="Distrato",$E1092,0)),MIN(AZ$38,$D$19),$P$20))-SUM($P1092:AY1092)</f>
        <v>#VALUE!</v>
      </c>
      <c r="BA1092" s="446" t="e">
        <f>IF(OR($B1092="",MIN(BA$38,$D$19)&lt;MAX($P$708*($B1092+IF($R$17="Distrato",$I$38-1,0)),IF(AND($L$711=0,$P$708=0),"",$L$711-1),IF($R$17="Distrato",$E1092,0))),0,YEARFRAC(MAX($P$708*($B1092+IF($R$17="Distrato",$I$38-1,0)),IF(AND($L$711=0,$P$708=0),"",$L$711-1),IF($R$17="Distrato",$E1092,0)),MIN(BA$38,$D$19),$P$20))-SUM($P1092:AZ1092)</f>
        <v>#VALUE!</v>
      </c>
      <c r="BB1092" s="447"/>
    </row>
    <row r="1093" spans="1:54" s="446" customFormat="1" ht="11.25" hidden="1" customHeight="1" x14ac:dyDescent="0.2">
      <c r="A1093" s="235"/>
      <c r="B1093" s="236"/>
      <c r="C1093" s="29" t="str">
        <f>IF(B1093="","",IF($L$709=$BL$25,VLOOKUP(DATE(YEAR($D$19),MONTH($D$19)-1,1),ÍNDICES!$A:$DE,HLOOKUP($BL$25,ÍNDICES!$B$3:$T$4,2)+11)-VLOOKUP(B1093,ÍNDICES!$A:$DE,HLOOKUP($BL$25,ÍNDICES!$B$3:$T$4,2)+11)+1%,IF(C$712=$W$26,$J$35,IF(ISERROR(IF(B1093&gt;$D$19,1,VLOOKUP(DATE(YEAR(B1093),MONTH(B1093)+IF($C$709=$S$23,1,0),1),ÍNDICES!$A:$DE,$Z$709+1))),"",IF(B1093&gt;$D$19,1,VLOOKUP(DATE(YEAR(B1093),MONTH(B1093)+IF($C$709=$S$23,1,0),1),ÍNDICES!$A:$DE,$Z$709+1))))))</f>
        <v/>
      </c>
      <c r="D1093" s="155"/>
      <c r="E1093" s="88"/>
      <c r="F1093" s="88"/>
      <c r="G1093" s="88"/>
      <c r="H1093" s="118"/>
      <c r="I1093" s="182">
        <f t="shared" si="150"/>
        <v>0</v>
      </c>
      <c r="J1093" s="20">
        <f t="shared" ca="1" si="151"/>
        <v>0</v>
      </c>
      <c r="K1093" s="5">
        <f t="shared" ca="1" si="152"/>
        <v>0</v>
      </c>
      <c r="L1093" s="61">
        <f t="shared" ca="1" si="153"/>
        <v>0</v>
      </c>
      <c r="M1093" s="64">
        <f t="shared" si="154"/>
        <v>0</v>
      </c>
      <c r="N1093" s="151"/>
      <c r="O1093" s="5">
        <f t="shared" ca="1" si="155"/>
        <v>0</v>
      </c>
      <c r="P1093" s="446" t="e">
        <f t="shared" si="156"/>
        <v>#VALUE!</v>
      </c>
      <c r="Q1093" s="446" t="e">
        <f>IF(OR($B1093="",MIN(Q$38,$D$19)&lt;MAX($P$708*($B1093+IF($R$17="Distrato",$I$38-1,0)),IF(AND($L$711=0,$P$708=0),"",$L$711-1),IF($R$17="Distrato",$E1093,0))),0,YEARFRAC(MAX($P$708*($B1093+IF($R$17="Distrato",$I$38-1,0)),IF(AND($L$711=0,$P$708=0),"",$L$711-1),IF($R$17="Distrato",$E1093,0)),MIN(Q$38,$D$19),$P$20))-SUM($P1093:P1093)</f>
        <v>#VALUE!</v>
      </c>
      <c r="R1093" s="446" t="e">
        <f>IF(OR($B1093="",MIN(R$38,$D$19)&lt;MAX($P$708*($B1093+IF($R$17="Distrato",$I$38-1,0)),IF(AND($L$711=0,$P$708=0),"",$L$711-1),IF($R$17="Distrato",$E1093,0))),0,YEARFRAC(MAX($P$708*($B1093+IF($R$17="Distrato",$I$38-1,0)),IF(AND($L$711=0,$P$708=0),"",$L$711-1),IF($R$17="Distrato",$E1093,0)),MIN(R$38,$D$19),$P$20))-SUM($P1093:Q1093)</f>
        <v>#VALUE!</v>
      </c>
      <c r="S1093" s="446" t="e">
        <f>IF(OR($B1093="",MIN(S$38,$D$19)&lt;MAX($P$708*($B1093+IF($R$17="Distrato",$I$38-1,0)),IF(AND($L$711=0,$P$708=0),"",$L$711-1),IF($R$17="Distrato",$E1093,0))),0,YEARFRAC(MAX($P$708*($B1093+IF($R$17="Distrato",$I$38-1,0)),IF(AND($L$711=0,$P$708=0),"",$L$711-1),IF($R$17="Distrato",$E1093,0)),MIN(S$38,$D$19),$P$20))-SUM($P1093:R1093)</f>
        <v>#VALUE!</v>
      </c>
      <c r="T1093" s="446" t="e">
        <f>IF(OR($B1093="",MIN(T$38,$D$19)&lt;MAX($P$708*($B1093+IF($R$17="Distrato",$I$38-1,0)),IF(AND($L$711=0,$P$708=0),"",$L$711-1),IF($R$17="Distrato",$E1093,0))),0,YEARFRAC(MAX($P$708*($B1093+IF($R$17="Distrato",$I$38-1,0)),IF(AND($L$711=0,$P$708=0),"",$L$711-1),IF($R$17="Distrato",$E1093,0)),MIN(T$38,$D$19),$P$20))-SUM($P1093:S1093)</f>
        <v>#VALUE!</v>
      </c>
      <c r="U1093" s="446" t="e">
        <f>IF(OR($B1093="",MIN(U$38,$D$19)&lt;MAX($P$708*($B1093+IF($R$17="Distrato",$I$38-1,0)),IF(AND($L$711=0,$P$708=0),"",$L$711-1),IF($R$17="Distrato",$E1093,0))),0,YEARFRAC(MAX($P$708*($B1093+IF($R$17="Distrato",$I$38-1,0)),IF(AND($L$711=0,$P$708=0),"",$L$711-1),IF($R$17="Distrato",$E1093,0)),MIN(U$38,$D$19),$P$20))-SUM($P1093:T1093)</f>
        <v>#VALUE!</v>
      </c>
      <c r="V1093" s="446" t="e">
        <f>IF(OR($B1093="",MIN(V$38,$D$19)&lt;MAX($P$708*($B1093+IF($R$17="Distrato",$I$38-1,0)),IF(AND($L$711=0,$P$708=0),"",$L$711-1),IF($R$17="Distrato",$E1093,0))),0,YEARFRAC(MAX($P$708*($B1093+IF($R$17="Distrato",$I$38-1,0)),IF(AND($L$711=0,$P$708=0),"",$L$711-1),IF($R$17="Distrato",$E1093,0)),MIN(V$38,$D$19),$P$20))-SUM($P1093:U1093)</f>
        <v>#VALUE!</v>
      </c>
      <c r="W1093" s="446" t="e">
        <f>IF(OR($B1093="",MIN(W$38,$D$19)&lt;MAX($P$708*($B1093+IF($R$17="Distrato",$I$38-1,0)),IF(AND($L$711=0,$P$708=0),"",$L$711-1),IF($R$17="Distrato",$E1093,0))),0,YEARFRAC(MAX($P$708*($B1093+IF($R$17="Distrato",$I$38-1,0)),IF(AND($L$711=0,$P$708=0),"",$L$711-1),IF($R$17="Distrato",$E1093,0)),MIN(W$38,$D$19),$P$20))-SUM($P1093:V1093)</f>
        <v>#VALUE!</v>
      </c>
      <c r="X1093" s="446" t="e">
        <f>IF(OR($B1093="",MIN(X$38,$D$19)&lt;MAX($P$708*($B1093+IF($R$17="Distrato",$I$38-1,0)),IF(AND($L$711=0,$P$708=0),"",$L$711-1),IF($R$17="Distrato",$E1093,0))),0,YEARFRAC(MAX($P$708*($B1093+IF($R$17="Distrato",$I$38-1,0)),IF(AND($L$711=0,$P$708=0),"",$L$711-1),IF($R$17="Distrato",$E1093,0)),MIN(X$38,$D$19),$P$20))-SUM($P1093:W1093)</f>
        <v>#VALUE!</v>
      </c>
      <c r="Y1093" s="446" t="e">
        <f>IF(OR($B1093="",MIN(Y$38,$D$19)&lt;MAX($P$708*($B1093+IF($R$17="Distrato",$I$38-1,0)),IF(AND($L$711=0,$P$708=0),"",$L$711-1),IF($R$17="Distrato",$E1093,0))),0,YEARFRAC(MAX($P$708*($B1093+IF($R$17="Distrato",$I$38-1,0)),IF(AND($L$711=0,$P$708=0),"",$L$711-1),IF($R$17="Distrato",$E1093,0)),MIN(Y$38,$D$19),$P$20))-SUM($P1093:X1093)</f>
        <v>#VALUE!</v>
      </c>
      <c r="Z1093" s="446" t="e">
        <f>IF(OR($B1093="",MIN(Z$38,$D$19)&lt;MAX($P$708*($B1093+IF($R$17="Distrato",$I$38-1,0)),IF(AND($L$711=0,$P$708=0),"",$L$711-1),IF($R$17="Distrato",$E1093,0))),0,YEARFRAC(MAX($P$708*($B1093+IF($R$17="Distrato",$I$38-1,0)),IF(AND($L$711=0,$P$708=0),"",$L$711-1),IF($R$17="Distrato",$E1093,0)),MIN(Z$38,$D$19),$P$20))-SUM($P1093:Y1093)</f>
        <v>#VALUE!</v>
      </c>
      <c r="AA1093" s="446" t="e">
        <f>IF(OR($B1093="",MIN(AA$38,$D$19)&lt;MAX($P$708*($B1093+IF($R$17="Distrato",$I$38-1,0)),IF(AND($L$711=0,$P$708=0),"",$L$711-1),IF($R$17="Distrato",$E1093,0))),0,YEARFRAC(MAX($P$708*($B1093+IF($R$17="Distrato",$I$38-1,0)),IF(AND($L$711=0,$P$708=0),"",$L$711-1),IF($R$17="Distrato",$E1093,0)),MIN(AA$38,$D$19),$P$20))-SUM($P1093:Z1093)</f>
        <v>#VALUE!</v>
      </c>
      <c r="AB1093" s="446" t="e">
        <f>IF(OR($B1093="",MIN(AB$38,$D$19)&lt;MAX($P$708*($B1093+IF($R$17="Distrato",$I$38-1,0)),IF(AND($L$711=0,$P$708=0),"",$L$711-1),IF($R$17="Distrato",$E1093,0))),0,YEARFRAC(MAX($P$708*($B1093+IF($R$17="Distrato",$I$38-1,0)),IF(AND($L$711=0,$P$708=0),"",$L$711-1),IF($R$17="Distrato",$E1093,0)),MIN(AB$38,$D$19),$P$20))-SUM($P1093:AA1093)</f>
        <v>#VALUE!</v>
      </c>
      <c r="AC1093" s="446" t="e">
        <f>IF(OR($B1093="",MIN(AC$38,$D$19)&lt;MAX($P$708*($B1093+IF($R$17="Distrato",$I$38-1,0)),IF(AND($L$711=0,$P$708=0),"",$L$711-1),IF($R$17="Distrato",$E1093,0))),0,YEARFRAC(MAX($P$708*($B1093+IF($R$17="Distrato",$I$38-1,0)),IF(AND($L$711=0,$P$708=0),"",$L$711-1),IF($R$17="Distrato",$E1093,0)),MIN(AC$38,$D$19),$P$20))-SUM($P1093:AB1093)</f>
        <v>#VALUE!</v>
      </c>
      <c r="AD1093" s="446" t="e">
        <f>IF(OR($B1093="",MIN(AD$38,$D$19)&lt;MAX($P$708*($B1093+IF($R$17="Distrato",$I$38-1,0)),IF(AND($L$711=0,$P$708=0),"",$L$711-1),IF($R$17="Distrato",$E1093,0))),0,YEARFRAC(MAX($P$708*($B1093+IF($R$17="Distrato",$I$38-1,0)),IF(AND($L$711=0,$P$708=0),"",$L$711-1),IF($R$17="Distrato",$E1093,0)),MIN(AD$38,$D$19),$P$20))-SUM($P1093:AC1093)</f>
        <v>#VALUE!</v>
      </c>
      <c r="AE1093" s="446" t="e">
        <f>IF(OR($B1093="",MIN(AE$38,$D$19)&lt;MAX($P$708*($B1093+IF($R$17="Distrato",$I$38-1,0)),IF(AND($L$711=0,$P$708=0),"",$L$711-1),IF($R$17="Distrato",$E1093,0))),0,YEARFRAC(MAX($P$708*($B1093+IF($R$17="Distrato",$I$38-1,0)),IF(AND($L$711=0,$P$708=0),"",$L$711-1),IF($R$17="Distrato",$E1093,0)),MIN(AE$38,$D$19),$P$20))-SUM($P1093:AD1093)</f>
        <v>#VALUE!</v>
      </c>
      <c r="AF1093" s="446" t="e">
        <f>IF(OR($B1093="",MIN(AF$38,$D$19)&lt;MAX($P$708*($B1093+IF($R$17="Distrato",$I$38-1,0)),IF(AND($L$711=0,$P$708=0),"",$L$711-1),IF($R$17="Distrato",$E1093,0))),0,YEARFRAC(MAX($P$708*($B1093+IF($R$17="Distrato",$I$38-1,0)),IF(AND($L$711=0,$P$708=0),"",$L$711-1),IF($R$17="Distrato",$E1093,0)),MIN(AF$38,$D$19),$P$20))-SUM($P1093:AE1093)</f>
        <v>#VALUE!</v>
      </c>
      <c r="AG1093" s="446" t="e">
        <f>IF(OR($B1093="",MIN(AG$38,$D$19)&lt;MAX($P$708*($B1093+IF($R$17="Distrato",$I$38-1,0)),IF(AND($L$711=0,$P$708=0),"",$L$711-1),IF($R$17="Distrato",$E1093,0))),0,YEARFRAC(MAX($P$708*($B1093+IF($R$17="Distrato",$I$38-1,0)),IF(AND($L$711=0,$P$708=0),"",$L$711-1),IF($R$17="Distrato",$E1093,0)),MIN(AG$38,$D$19),$P$20))-SUM($P1093:AF1093)</f>
        <v>#VALUE!</v>
      </c>
      <c r="AH1093" s="446" t="e">
        <f>IF(OR($B1093="",MIN(AH$38,$D$19)&lt;MAX($P$708*($B1093+IF($R$17="Distrato",$I$38-1,0)),IF(AND($L$711=0,$P$708=0),"",$L$711-1),IF($R$17="Distrato",$E1093,0))),0,YEARFRAC(MAX($P$708*($B1093+IF($R$17="Distrato",$I$38-1,0)),IF(AND($L$711=0,$P$708=0),"",$L$711-1),IF($R$17="Distrato",$E1093,0)),MIN(AH$38,$D$19),$P$20))-SUM($P1093:AG1093)</f>
        <v>#VALUE!</v>
      </c>
      <c r="AI1093" s="446" t="e">
        <f>IF(OR($B1093="",MIN(AI$38,$D$19)&lt;MAX($P$708*($B1093+IF($R$17="Distrato",$I$38-1,0)),IF(AND($L$711=0,$P$708=0),"",$L$711-1),IF($R$17="Distrato",$E1093,0))),0,YEARFRAC(MAX($P$708*($B1093+IF($R$17="Distrato",$I$38-1,0)),IF(AND($L$711=0,$P$708=0),"",$L$711-1),IF($R$17="Distrato",$E1093,0)),MIN(AI$38,$D$19),$P$20))-SUM($P1093:AH1093)</f>
        <v>#VALUE!</v>
      </c>
      <c r="AJ1093" s="446" t="e">
        <f>IF(OR($B1093="",MIN(AJ$38,$D$19)&lt;MAX($P$708*($B1093+IF($R$17="Distrato",$I$38-1,0)),IF(AND($L$711=0,$P$708=0),"",$L$711-1),IF($R$17="Distrato",$E1093,0))),0,YEARFRAC(MAX($P$708*($B1093+IF($R$17="Distrato",$I$38-1,0)),IF(AND($L$711=0,$P$708=0),"",$L$711-1),IF($R$17="Distrato",$E1093,0)),MIN(AJ$38,$D$19),$P$20))-SUM($P1093:AI1093)</f>
        <v>#VALUE!</v>
      </c>
      <c r="AK1093" s="446" t="e">
        <f>IF(OR($B1093="",MIN(AK$38,$D$19)&lt;MAX($P$708*($B1093+IF($R$17="Distrato",$I$38-1,0)),IF(AND($L$711=0,$P$708=0),"",$L$711-1),IF($R$17="Distrato",$E1093,0))),0,YEARFRAC(MAX($P$708*($B1093+IF($R$17="Distrato",$I$38-1,0)),IF(AND($L$711=0,$P$708=0),"",$L$711-1),IF($R$17="Distrato",$E1093,0)),MIN(AK$38,$D$19),$P$20))-SUM($P1093:AJ1093)</f>
        <v>#VALUE!</v>
      </c>
      <c r="AL1093" s="446" t="e">
        <f>IF(OR($B1093="",MIN(AL$38,$D$19)&lt;MAX($P$708*($B1093+IF($R$17="Distrato",$I$38-1,0)),IF(AND($L$711=0,$P$708=0),"",$L$711-1),IF($R$17="Distrato",$E1093,0))),0,YEARFRAC(MAX($P$708*($B1093+IF($R$17="Distrato",$I$38-1,0)),IF(AND($L$711=0,$P$708=0),"",$L$711-1),IF($R$17="Distrato",$E1093,0)),MIN(AL$38,$D$19),$P$20))-SUM($P1093:AK1093)</f>
        <v>#VALUE!</v>
      </c>
      <c r="AM1093" s="446" t="e">
        <f>IF(OR($B1093="",MIN(AM$38,$D$19)&lt;MAX($P$708*($B1093+IF($R$17="Distrato",$I$38-1,0)),IF(AND($L$711=0,$P$708=0),"",$L$711-1),IF($R$17="Distrato",$E1093,0))),0,YEARFRAC(MAX($P$708*($B1093+IF($R$17="Distrato",$I$38-1,0)),IF(AND($L$711=0,$P$708=0),"",$L$711-1),IF($R$17="Distrato",$E1093,0)),MIN(AM$38,$D$19),$P$20))-SUM($P1093:AL1093)</f>
        <v>#VALUE!</v>
      </c>
      <c r="AN1093" s="446" t="e">
        <f>IF(OR($B1093="",MIN(AN$38,$D$19)&lt;MAX($P$708*($B1093+IF($R$17="Distrato",$I$38-1,0)),IF(AND($L$711=0,$P$708=0),"",$L$711-1),IF($R$17="Distrato",$E1093,0))),0,YEARFRAC(MAX($P$708*($B1093+IF($R$17="Distrato",$I$38-1,0)),IF(AND($L$711=0,$P$708=0),"",$L$711-1),IF($R$17="Distrato",$E1093,0)),MIN(AN$38,$D$19),$P$20))-SUM($P1093:AM1093)</f>
        <v>#VALUE!</v>
      </c>
      <c r="AO1093" s="446" t="e">
        <f>IF(OR($B1093="",MIN(AO$38,$D$19)&lt;MAX($P$708*($B1093+IF($R$17="Distrato",$I$38-1,0)),IF(AND($L$711=0,$P$708=0),"",$L$711-1),IF($R$17="Distrato",$E1093,0))),0,YEARFRAC(MAX($P$708*($B1093+IF($R$17="Distrato",$I$38-1,0)),IF(AND($L$711=0,$P$708=0),"",$L$711-1),IF($R$17="Distrato",$E1093,0)),MIN(AO$38,$D$19),$P$20))-SUM($P1093:AN1093)</f>
        <v>#VALUE!</v>
      </c>
      <c r="AP1093" s="446" t="e">
        <f>IF(OR($B1093="",MIN(AP$38,$D$19)&lt;MAX($P$708*($B1093+IF($R$17="Distrato",$I$38-1,0)),IF(AND($L$711=0,$P$708=0),"",$L$711-1),IF($R$17="Distrato",$E1093,0))),0,YEARFRAC(MAX($P$708*($B1093+IF($R$17="Distrato",$I$38-1,0)),IF(AND($L$711=0,$P$708=0),"",$L$711-1),IF($R$17="Distrato",$E1093,0)),MIN(AP$38,$D$19),$P$20))-SUM($P1093:AO1093)</f>
        <v>#VALUE!</v>
      </c>
      <c r="AQ1093" s="446" t="e">
        <f>IF(OR($B1093="",MIN(AQ$38,$D$19)&lt;MAX($P$708*($B1093+IF($R$17="Distrato",$I$38-1,0)),IF(AND($L$711=0,$P$708=0),"",$L$711-1),IF($R$17="Distrato",$E1093,0))),0,YEARFRAC(MAX($P$708*($B1093+IF($R$17="Distrato",$I$38-1,0)),IF(AND($L$711=0,$P$708=0),"",$L$711-1),IF($R$17="Distrato",$E1093,0)),MIN(AQ$38,$D$19),$P$20))-SUM($P1093:AP1093)</f>
        <v>#VALUE!</v>
      </c>
      <c r="AR1093" s="446" t="e">
        <f>IF(OR($B1093="",MIN(AR$38,$D$19)&lt;MAX($P$708*($B1093+IF($R$17="Distrato",$I$38-1,0)),IF(AND($L$711=0,$P$708=0),"",$L$711-1),IF($R$17="Distrato",$E1093,0))),0,YEARFRAC(MAX($P$708*($B1093+IF($R$17="Distrato",$I$38-1,0)),IF(AND($L$711=0,$P$708=0),"",$L$711-1),IF($R$17="Distrato",$E1093,0)),MIN(AR$38,$D$19),$P$20))-SUM($P1093:AQ1093)</f>
        <v>#VALUE!</v>
      </c>
      <c r="AS1093" s="446" t="e">
        <f>IF(OR($B1093="",MIN(AS$38,$D$19)&lt;MAX($P$708*($B1093+IF($R$17="Distrato",$I$38-1,0)),IF(AND($L$711=0,$P$708=0),"",$L$711-1),IF($R$17="Distrato",$E1093,0))),0,YEARFRAC(MAX($P$708*($B1093+IF($R$17="Distrato",$I$38-1,0)),IF(AND($L$711=0,$P$708=0),"",$L$711-1),IF($R$17="Distrato",$E1093,0)),MIN(AS$38,$D$19),$P$20))-SUM($P1093:AR1093)</f>
        <v>#VALUE!</v>
      </c>
      <c r="AT1093" s="446" t="e">
        <f>IF(OR($B1093="",MIN(AT$38,$D$19)&lt;MAX($P$708*($B1093+IF($R$17="Distrato",$I$38-1,0)),IF(AND($L$711=0,$P$708=0),"",$L$711-1),IF($R$17="Distrato",$E1093,0))),0,YEARFRAC(MAX($P$708*($B1093+IF($R$17="Distrato",$I$38-1,0)),IF(AND($L$711=0,$P$708=0),"",$L$711-1),IF($R$17="Distrato",$E1093,0)),MIN(AT$38,$D$19),$P$20))-SUM($P1093:AS1093)</f>
        <v>#VALUE!</v>
      </c>
      <c r="AU1093" s="446" t="e">
        <f>IF(OR($B1093="",MIN(AU$38,$D$19)&lt;MAX($P$708*($B1093+IF($R$17="Distrato",$I$38-1,0)),IF(AND($L$711=0,$P$708=0),"",$L$711-1),IF($R$17="Distrato",$E1093,0))),0,YEARFRAC(MAX($P$708*($B1093+IF($R$17="Distrato",$I$38-1,0)),IF(AND($L$711=0,$P$708=0),"",$L$711-1),IF($R$17="Distrato",$E1093,0)),MIN(AU$38,$D$19),$P$20))-SUM($P1093:AT1093)</f>
        <v>#VALUE!</v>
      </c>
      <c r="AV1093" s="446" t="e">
        <f>IF(OR($B1093="",MIN(AV$38,$D$19)&lt;MAX($P$708*($B1093+IF($R$17="Distrato",$I$38-1,0)),IF(AND($L$711=0,$P$708=0),"",$L$711-1),IF($R$17="Distrato",$E1093,0))),0,YEARFRAC(MAX($P$708*($B1093+IF($R$17="Distrato",$I$38-1,0)),IF(AND($L$711=0,$P$708=0),"",$L$711-1),IF($R$17="Distrato",$E1093,0)),MIN(AV$38,$D$19),$P$20))-SUM($P1093:AU1093)</f>
        <v>#VALUE!</v>
      </c>
      <c r="AW1093" s="446" t="e">
        <f>IF(OR($B1093="",MIN(AW$38,$D$19)&lt;MAX($P$708*($B1093+IF($R$17="Distrato",$I$38-1,0)),IF(AND($L$711=0,$P$708=0),"",$L$711-1),IF($R$17="Distrato",$E1093,0))),0,YEARFRAC(MAX($P$708*($B1093+IF($R$17="Distrato",$I$38-1,0)),IF(AND($L$711=0,$P$708=0),"",$L$711-1),IF($R$17="Distrato",$E1093,0)),MIN(AW$38,$D$19),$P$20))-SUM($P1093:AV1093)</f>
        <v>#VALUE!</v>
      </c>
      <c r="AX1093" s="446" t="e">
        <f>IF(OR($B1093="",MIN(AX$38,$D$19)&lt;MAX($P$708*($B1093+IF($R$17="Distrato",$I$38-1,0)),IF(AND($L$711=0,$P$708=0),"",$L$711-1),IF($R$17="Distrato",$E1093,0))),0,YEARFRAC(MAX($P$708*($B1093+IF($R$17="Distrato",$I$38-1,0)),IF(AND($L$711=0,$P$708=0),"",$L$711-1),IF($R$17="Distrato",$E1093,0)),MIN(AX$38,$D$19),$P$20))-SUM($P1093:AW1093)</f>
        <v>#VALUE!</v>
      </c>
      <c r="AY1093" s="446" t="e">
        <f>IF(OR($B1093="",MIN(AY$38,$D$19)&lt;MAX($P$708*($B1093+IF($R$17="Distrato",$I$38-1,0)),IF(AND($L$711=0,$P$708=0),"",$L$711-1),IF($R$17="Distrato",$E1093,0))),0,YEARFRAC(MAX($P$708*($B1093+IF($R$17="Distrato",$I$38-1,0)),IF(AND($L$711=0,$P$708=0),"",$L$711-1),IF($R$17="Distrato",$E1093,0)),MIN(AY$38,$D$19),$P$20))-SUM($P1093:AX1093)</f>
        <v>#VALUE!</v>
      </c>
      <c r="AZ1093" s="446" t="e">
        <f>IF(OR($B1093="",MIN(AZ$38,$D$19)&lt;MAX($P$708*($B1093+IF($R$17="Distrato",$I$38-1,0)),IF(AND($L$711=0,$P$708=0),"",$L$711-1),IF($R$17="Distrato",$E1093,0))),0,YEARFRAC(MAX($P$708*($B1093+IF($R$17="Distrato",$I$38-1,0)),IF(AND($L$711=0,$P$708=0),"",$L$711-1),IF($R$17="Distrato",$E1093,0)),MIN(AZ$38,$D$19),$P$20))-SUM($P1093:AY1093)</f>
        <v>#VALUE!</v>
      </c>
      <c r="BA1093" s="446" t="e">
        <f>IF(OR($B1093="",MIN(BA$38,$D$19)&lt;MAX($P$708*($B1093+IF($R$17="Distrato",$I$38-1,0)),IF(AND($L$711=0,$P$708=0),"",$L$711-1),IF($R$17="Distrato",$E1093,0))),0,YEARFRAC(MAX($P$708*($B1093+IF($R$17="Distrato",$I$38-1,0)),IF(AND($L$711=0,$P$708=0),"",$L$711-1),IF($R$17="Distrato",$E1093,0)),MIN(BA$38,$D$19),$P$20))-SUM($P1093:AZ1093)</f>
        <v>#VALUE!</v>
      </c>
      <c r="BB1093" s="447"/>
    </row>
    <row r="1094" spans="1:54" s="446" customFormat="1" ht="11.25" hidden="1" customHeight="1" x14ac:dyDescent="0.2">
      <c r="A1094" s="235"/>
      <c r="B1094" s="236"/>
      <c r="C1094" s="29" t="str">
        <f>IF(B1094="","",IF($L$709=$BL$25,VLOOKUP(DATE(YEAR($D$19),MONTH($D$19)-1,1),ÍNDICES!$A:$DE,HLOOKUP($BL$25,ÍNDICES!$B$3:$T$4,2)+11)-VLOOKUP(B1094,ÍNDICES!$A:$DE,HLOOKUP($BL$25,ÍNDICES!$B$3:$T$4,2)+11)+1%,IF(C$712=$W$26,$J$35,IF(ISERROR(IF(B1094&gt;$D$19,1,VLOOKUP(DATE(YEAR(B1094),MONTH(B1094)+IF($C$709=$S$23,1,0),1),ÍNDICES!$A:$DE,$Z$709+1))),"",IF(B1094&gt;$D$19,1,VLOOKUP(DATE(YEAR(B1094),MONTH(B1094)+IF($C$709=$S$23,1,0),1),ÍNDICES!$A:$DE,$Z$709+1))))))</f>
        <v/>
      </c>
      <c r="D1094" s="155"/>
      <c r="E1094" s="88"/>
      <c r="F1094" s="88"/>
      <c r="G1094" s="88"/>
      <c r="H1094" s="118"/>
      <c r="I1094" s="182">
        <f t="shared" si="150"/>
        <v>0</v>
      </c>
      <c r="J1094" s="20">
        <f t="shared" ca="1" si="151"/>
        <v>0</v>
      </c>
      <c r="K1094" s="5">
        <f t="shared" ca="1" si="152"/>
        <v>0</v>
      </c>
      <c r="L1094" s="61">
        <f t="shared" ca="1" si="153"/>
        <v>0</v>
      </c>
      <c r="M1094" s="64">
        <f t="shared" si="154"/>
        <v>0</v>
      </c>
      <c r="N1094" s="151"/>
      <c r="O1094" s="5">
        <f t="shared" ca="1" si="155"/>
        <v>0</v>
      </c>
      <c r="P1094" s="446" t="e">
        <f t="shared" si="156"/>
        <v>#VALUE!</v>
      </c>
      <c r="Q1094" s="446" t="e">
        <f>IF(OR($B1094="",MIN(Q$38,$D$19)&lt;MAX($P$708*($B1094+IF($R$17="Distrato",$I$38-1,0)),IF(AND($L$711=0,$P$708=0),"",$L$711-1),IF($R$17="Distrato",$E1094,0))),0,YEARFRAC(MAX($P$708*($B1094+IF($R$17="Distrato",$I$38-1,0)),IF(AND($L$711=0,$P$708=0),"",$L$711-1),IF($R$17="Distrato",$E1094,0)),MIN(Q$38,$D$19),$P$20))-SUM($P1094:P1094)</f>
        <v>#VALUE!</v>
      </c>
      <c r="R1094" s="446" t="e">
        <f>IF(OR($B1094="",MIN(R$38,$D$19)&lt;MAX($P$708*($B1094+IF($R$17="Distrato",$I$38-1,0)),IF(AND($L$711=0,$P$708=0),"",$L$711-1),IF($R$17="Distrato",$E1094,0))),0,YEARFRAC(MAX($P$708*($B1094+IF($R$17="Distrato",$I$38-1,0)),IF(AND($L$711=0,$P$708=0),"",$L$711-1),IF($R$17="Distrato",$E1094,0)),MIN(R$38,$D$19),$P$20))-SUM($P1094:Q1094)</f>
        <v>#VALUE!</v>
      </c>
      <c r="S1094" s="446" t="e">
        <f>IF(OR($B1094="",MIN(S$38,$D$19)&lt;MAX($P$708*($B1094+IF($R$17="Distrato",$I$38-1,0)),IF(AND($L$711=0,$P$708=0),"",$L$711-1),IF($R$17="Distrato",$E1094,0))),0,YEARFRAC(MAX($P$708*($B1094+IF($R$17="Distrato",$I$38-1,0)),IF(AND($L$711=0,$P$708=0),"",$L$711-1),IF($R$17="Distrato",$E1094,0)),MIN(S$38,$D$19),$P$20))-SUM($P1094:R1094)</f>
        <v>#VALUE!</v>
      </c>
      <c r="T1094" s="446" t="e">
        <f>IF(OR($B1094="",MIN(T$38,$D$19)&lt;MAX($P$708*($B1094+IF($R$17="Distrato",$I$38-1,0)),IF(AND($L$711=0,$P$708=0),"",$L$711-1),IF($R$17="Distrato",$E1094,0))),0,YEARFRAC(MAX($P$708*($B1094+IF($R$17="Distrato",$I$38-1,0)),IF(AND($L$711=0,$P$708=0),"",$L$711-1),IF($R$17="Distrato",$E1094,0)),MIN(T$38,$D$19),$P$20))-SUM($P1094:S1094)</f>
        <v>#VALUE!</v>
      </c>
      <c r="U1094" s="446" t="e">
        <f>IF(OR($B1094="",MIN(U$38,$D$19)&lt;MAX($P$708*($B1094+IF($R$17="Distrato",$I$38-1,0)),IF(AND($L$711=0,$P$708=0),"",$L$711-1),IF($R$17="Distrato",$E1094,0))),0,YEARFRAC(MAX($P$708*($B1094+IF($R$17="Distrato",$I$38-1,0)),IF(AND($L$711=0,$P$708=0),"",$L$711-1),IF($R$17="Distrato",$E1094,0)),MIN(U$38,$D$19),$P$20))-SUM($P1094:T1094)</f>
        <v>#VALUE!</v>
      </c>
      <c r="V1094" s="446" t="e">
        <f>IF(OR($B1094="",MIN(V$38,$D$19)&lt;MAX($P$708*($B1094+IF($R$17="Distrato",$I$38-1,0)),IF(AND($L$711=0,$P$708=0),"",$L$711-1),IF($R$17="Distrato",$E1094,0))),0,YEARFRAC(MAX($P$708*($B1094+IF($R$17="Distrato",$I$38-1,0)),IF(AND($L$711=0,$P$708=0),"",$L$711-1),IF($R$17="Distrato",$E1094,0)),MIN(V$38,$D$19),$P$20))-SUM($P1094:U1094)</f>
        <v>#VALUE!</v>
      </c>
      <c r="W1094" s="446" t="e">
        <f>IF(OR($B1094="",MIN(W$38,$D$19)&lt;MAX($P$708*($B1094+IF($R$17="Distrato",$I$38-1,0)),IF(AND($L$711=0,$P$708=0),"",$L$711-1),IF($R$17="Distrato",$E1094,0))),0,YEARFRAC(MAX($P$708*($B1094+IF($R$17="Distrato",$I$38-1,0)),IF(AND($L$711=0,$P$708=0),"",$L$711-1),IF($R$17="Distrato",$E1094,0)),MIN(W$38,$D$19),$P$20))-SUM($P1094:V1094)</f>
        <v>#VALUE!</v>
      </c>
      <c r="X1094" s="446" t="e">
        <f>IF(OR($B1094="",MIN(X$38,$D$19)&lt;MAX($P$708*($B1094+IF($R$17="Distrato",$I$38-1,0)),IF(AND($L$711=0,$P$708=0),"",$L$711-1),IF($R$17="Distrato",$E1094,0))),0,YEARFRAC(MAX($P$708*($B1094+IF($R$17="Distrato",$I$38-1,0)),IF(AND($L$711=0,$P$708=0),"",$L$711-1),IF($R$17="Distrato",$E1094,0)),MIN(X$38,$D$19),$P$20))-SUM($P1094:W1094)</f>
        <v>#VALUE!</v>
      </c>
      <c r="Y1094" s="446" t="e">
        <f>IF(OR($B1094="",MIN(Y$38,$D$19)&lt;MAX($P$708*($B1094+IF($R$17="Distrato",$I$38-1,0)),IF(AND($L$711=0,$P$708=0),"",$L$711-1),IF($R$17="Distrato",$E1094,0))),0,YEARFRAC(MAX($P$708*($B1094+IF($R$17="Distrato",$I$38-1,0)),IF(AND($L$711=0,$P$708=0),"",$L$711-1),IF($R$17="Distrato",$E1094,0)),MIN(Y$38,$D$19),$P$20))-SUM($P1094:X1094)</f>
        <v>#VALUE!</v>
      </c>
      <c r="Z1094" s="446" t="e">
        <f>IF(OR($B1094="",MIN(Z$38,$D$19)&lt;MAX($P$708*($B1094+IF($R$17="Distrato",$I$38-1,0)),IF(AND($L$711=0,$P$708=0),"",$L$711-1),IF($R$17="Distrato",$E1094,0))),0,YEARFRAC(MAX($P$708*($B1094+IF($R$17="Distrato",$I$38-1,0)),IF(AND($L$711=0,$P$708=0),"",$L$711-1),IF($R$17="Distrato",$E1094,0)),MIN(Z$38,$D$19),$P$20))-SUM($P1094:Y1094)</f>
        <v>#VALUE!</v>
      </c>
      <c r="AA1094" s="446" t="e">
        <f>IF(OR($B1094="",MIN(AA$38,$D$19)&lt;MAX($P$708*($B1094+IF($R$17="Distrato",$I$38-1,0)),IF(AND($L$711=0,$P$708=0),"",$L$711-1),IF($R$17="Distrato",$E1094,0))),0,YEARFRAC(MAX($P$708*($B1094+IF($R$17="Distrato",$I$38-1,0)),IF(AND($L$711=0,$P$708=0),"",$L$711-1),IF($R$17="Distrato",$E1094,0)),MIN(AA$38,$D$19),$P$20))-SUM($P1094:Z1094)</f>
        <v>#VALUE!</v>
      </c>
      <c r="AB1094" s="446" t="e">
        <f>IF(OR($B1094="",MIN(AB$38,$D$19)&lt;MAX($P$708*($B1094+IF($R$17="Distrato",$I$38-1,0)),IF(AND($L$711=0,$P$708=0),"",$L$711-1),IF($R$17="Distrato",$E1094,0))),0,YEARFRAC(MAX($P$708*($B1094+IF($R$17="Distrato",$I$38-1,0)),IF(AND($L$711=0,$P$708=0),"",$L$711-1),IF($R$17="Distrato",$E1094,0)),MIN(AB$38,$D$19),$P$20))-SUM($P1094:AA1094)</f>
        <v>#VALUE!</v>
      </c>
      <c r="AC1094" s="446" t="e">
        <f>IF(OR($B1094="",MIN(AC$38,$D$19)&lt;MAX($P$708*($B1094+IF($R$17="Distrato",$I$38-1,0)),IF(AND($L$711=0,$P$708=0),"",$L$711-1),IF($R$17="Distrato",$E1094,0))),0,YEARFRAC(MAX($P$708*($B1094+IF($R$17="Distrato",$I$38-1,0)),IF(AND($L$711=0,$P$708=0),"",$L$711-1),IF($R$17="Distrato",$E1094,0)),MIN(AC$38,$D$19),$P$20))-SUM($P1094:AB1094)</f>
        <v>#VALUE!</v>
      </c>
      <c r="AD1094" s="446" t="e">
        <f>IF(OR($B1094="",MIN(AD$38,$D$19)&lt;MAX($P$708*($B1094+IF($R$17="Distrato",$I$38-1,0)),IF(AND($L$711=0,$P$708=0),"",$L$711-1),IF($R$17="Distrato",$E1094,0))),0,YEARFRAC(MAX($P$708*($B1094+IF($R$17="Distrato",$I$38-1,0)),IF(AND($L$711=0,$P$708=0),"",$L$711-1),IF($R$17="Distrato",$E1094,0)),MIN(AD$38,$D$19),$P$20))-SUM($P1094:AC1094)</f>
        <v>#VALUE!</v>
      </c>
      <c r="AE1094" s="446" t="e">
        <f>IF(OR($B1094="",MIN(AE$38,$D$19)&lt;MAX($P$708*($B1094+IF($R$17="Distrato",$I$38-1,0)),IF(AND($L$711=0,$P$708=0),"",$L$711-1),IF($R$17="Distrato",$E1094,0))),0,YEARFRAC(MAX($P$708*($B1094+IF($R$17="Distrato",$I$38-1,0)),IF(AND($L$711=0,$P$708=0),"",$L$711-1),IF($R$17="Distrato",$E1094,0)),MIN(AE$38,$D$19),$P$20))-SUM($P1094:AD1094)</f>
        <v>#VALUE!</v>
      </c>
      <c r="AF1094" s="446" t="e">
        <f>IF(OR($B1094="",MIN(AF$38,$D$19)&lt;MAX($P$708*($B1094+IF($R$17="Distrato",$I$38-1,0)),IF(AND($L$711=0,$P$708=0),"",$L$711-1),IF($R$17="Distrato",$E1094,0))),0,YEARFRAC(MAX($P$708*($B1094+IF($R$17="Distrato",$I$38-1,0)),IF(AND($L$711=0,$P$708=0),"",$L$711-1),IF($R$17="Distrato",$E1094,0)),MIN(AF$38,$D$19),$P$20))-SUM($P1094:AE1094)</f>
        <v>#VALUE!</v>
      </c>
      <c r="AG1094" s="446" t="e">
        <f>IF(OR($B1094="",MIN(AG$38,$D$19)&lt;MAX($P$708*($B1094+IF($R$17="Distrato",$I$38-1,0)),IF(AND($L$711=0,$P$708=0),"",$L$711-1),IF($R$17="Distrato",$E1094,0))),0,YEARFRAC(MAX($P$708*($B1094+IF($R$17="Distrato",$I$38-1,0)),IF(AND($L$711=0,$P$708=0),"",$L$711-1),IF($R$17="Distrato",$E1094,0)),MIN(AG$38,$D$19),$P$20))-SUM($P1094:AF1094)</f>
        <v>#VALUE!</v>
      </c>
      <c r="AH1094" s="446" t="e">
        <f>IF(OR($B1094="",MIN(AH$38,$D$19)&lt;MAX($P$708*($B1094+IF($R$17="Distrato",$I$38-1,0)),IF(AND($L$711=0,$P$708=0),"",$L$711-1),IF($R$17="Distrato",$E1094,0))),0,YEARFRAC(MAX($P$708*($B1094+IF($R$17="Distrato",$I$38-1,0)),IF(AND($L$711=0,$P$708=0),"",$L$711-1),IF($R$17="Distrato",$E1094,0)),MIN(AH$38,$D$19),$P$20))-SUM($P1094:AG1094)</f>
        <v>#VALUE!</v>
      </c>
      <c r="AI1094" s="446" t="e">
        <f>IF(OR($B1094="",MIN(AI$38,$D$19)&lt;MAX($P$708*($B1094+IF($R$17="Distrato",$I$38-1,0)),IF(AND($L$711=0,$P$708=0),"",$L$711-1),IF($R$17="Distrato",$E1094,0))),0,YEARFRAC(MAX($P$708*($B1094+IF($R$17="Distrato",$I$38-1,0)),IF(AND($L$711=0,$P$708=0),"",$L$711-1),IF($R$17="Distrato",$E1094,0)),MIN(AI$38,$D$19),$P$20))-SUM($P1094:AH1094)</f>
        <v>#VALUE!</v>
      </c>
      <c r="AJ1094" s="446" t="e">
        <f>IF(OR($B1094="",MIN(AJ$38,$D$19)&lt;MAX($P$708*($B1094+IF($R$17="Distrato",$I$38-1,0)),IF(AND($L$711=0,$P$708=0),"",$L$711-1),IF($R$17="Distrato",$E1094,0))),0,YEARFRAC(MAX($P$708*($B1094+IF($R$17="Distrato",$I$38-1,0)),IF(AND($L$711=0,$P$708=0),"",$L$711-1),IF($R$17="Distrato",$E1094,0)),MIN(AJ$38,$D$19),$P$20))-SUM($P1094:AI1094)</f>
        <v>#VALUE!</v>
      </c>
      <c r="AK1094" s="446" t="e">
        <f>IF(OR($B1094="",MIN(AK$38,$D$19)&lt;MAX($P$708*($B1094+IF($R$17="Distrato",$I$38-1,0)),IF(AND($L$711=0,$P$708=0),"",$L$711-1),IF($R$17="Distrato",$E1094,0))),0,YEARFRAC(MAX($P$708*($B1094+IF($R$17="Distrato",$I$38-1,0)),IF(AND($L$711=0,$P$708=0),"",$L$711-1),IF($R$17="Distrato",$E1094,0)),MIN(AK$38,$D$19),$P$20))-SUM($P1094:AJ1094)</f>
        <v>#VALUE!</v>
      </c>
      <c r="AL1094" s="446" t="e">
        <f>IF(OR($B1094="",MIN(AL$38,$D$19)&lt;MAX($P$708*($B1094+IF($R$17="Distrato",$I$38-1,0)),IF(AND($L$711=0,$P$708=0),"",$L$711-1),IF($R$17="Distrato",$E1094,0))),0,YEARFRAC(MAX($P$708*($B1094+IF($R$17="Distrato",$I$38-1,0)),IF(AND($L$711=0,$P$708=0),"",$L$711-1),IF($R$17="Distrato",$E1094,0)),MIN(AL$38,$D$19),$P$20))-SUM($P1094:AK1094)</f>
        <v>#VALUE!</v>
      </c>
      <c r="AM1094" s="446" t="e">
        <f>IF(OR($B1094="",MIN(AM$38,$D$19)&lt;MAX($P$708*($B1094+IF($R$17="Distrato",$I$38-1,0)),IF(AND($L$711=0,$P$708=0),"",$L$711-1),IF($R$17="Distrato",$E1094,0))),0,YEARFRAC(MAX($P$708*($B1094+IF($R$17="Distrato",$I$38-1,0)),IF(AND($L$711=0,$P$708=0),"",$L$711-1),IF($R$17="Distrato",$E1094,0)),MIN(AM$38,$D$19),$P$20))-SUM($P1094:AL1094)</f>
        <v>#VALUE!</v>
      </c>
      <c r="AN1094" s="446" t="e">
        <f>IF(OR($B1094="",MIN(AN$38,$D$19)&lt;MAX($P$708*($B1094+IF($R$17="Distrato",$I$38-1,0)),IF(AND($L$711=0,$P$708=0),"",$L$711-1),IF($R$17="Distrato",$E1094,0))),0,YEARFRAC(MAX($P$708*($B1094+IF($R$17="Distrato",$I$38-1,0)),IF(AND($L$711=0,$P$708=0),"",$L$711-1),IF($R$17="Distrato",$E1094,0)),MIN(AN$38,$D$19),$P$20))-SUM($P1094:AM1094)</f>
        <v>#VALUE!</v>
      </c>
      <c r="AO1094" s="446" t="e">
        <f>IF(OR($B1094="",MIN(AO$38,$D$19)&lt;MAX($P$708*($B1094+IF($R$17="Distrato",$I$38-1,0)),IF(AND($L$711=0,$P$708=0),"",$L$711-1),IF($R$17="Distrato",$E1094,0))),0,YEARFRAC(MAX($P$708*($B1094+IF($R$17="Distrato",$I$38-1,0)),IF(AND($L$711=0,$P$708=0),"",$L$711-1),IF($R$17="Distrato",$E1094,0)),MIN(AO$38,$D$19),$P$20))-SUM($P1094:AN1094)</f>
        <v>#VALUE!</v>
      </c>
      <c r="AP1094" s="446" t="e">
        <f>IF(OR($B1094="",MIN(AP$38,$D$19)&lt;MAX($P$708*($B1094+IF($R$17="Distrato",$I$38-1,0)),IF(AND($L$711=0,$P$708=0),"",$L$711-1),IF($R$17="Distrato",$E1094,0))),0,YEARFRAC(MAX($P$708*($B1094+IF($R$17="Distrato",$I$38-1,0)),IF(AND($L$711=0,$P$708=0),"",$L$711-1),IF($R$17="Distrato",$E1094,0)),MIN(AP$38,$D$19),$P$20))-SUM($P1094:AO1094)</f>
        <v>#VALUE!</v>
      </c>
      <c r="AQ1094" s="446" t="e">
        <f>IF(OR($B1094="",MIN(AQ$38,$D$19)&lt;MAX($P$708*($B1094+IF($R$17="Distrato",$I$38-1,0)),IF(AND($L$711=0,$P$708=0),"",$L$711-1),IF($R$17="Distrato",$E1094,0))),0,YEARFRAC(MAX($P$708*($B1094+IF($R$17="Distrato",$I$38-1,0)),IF(AND($L$711=0,$P$708=0),"",$L$711-1),IF($R$17="Distrato",$E1094,0)),MIN(AQ$38,$D$19),$P$20))-SUM($P1094:AP1094)</f>
        <v>#VALUE!</v>
      </c>
      <c r="AR1094" s="446" t="e">
        <f>IF(OR($B1094="",MIN(AR$38,$D$19)&lt;MAX($P$708*($B1094+IF($R$17="Distrato",$I$38-1,0)),IF(AND($L$711=0,$P$708=0),"",$L$711-1),IF($R$17="Distrato",$E1094,0))),0,YEARFRAC(MAX($P$708*($B1094+IF($R$17="Distrato",$I$38-1,0)),IF(AND($L$711=0,$P$708=0),"",$L$711-1),IF($R$17="Distrato",$E1094,0)),MIN(AR$38,$D$19),$P$20))-SUM($P1094:AQ1094)</f>
        <v>#VALUE!</v>
      </c>
      <c r="AS1094" s="446" t="e">
        <f>IF(OR($B1094="",MIN(AS$38,$D$19)&lt;MAX($P$708*($B1094+IF($R$17="Distrato",$I$38-1,0)),IF(AND($L$711=0,$P$708=0),"",$L$711-1),IF($R$17="Distrato",$E1094,0))),0,YEARFRAC(MAX($P$708*($B1094+IF($R$17="Distrato",$I$38-1,0)),IF(AND($L$711=0,$P$708=0),"",$L$711-1),IF($R$17="Distrato",$E1094,0)),MIN(AS$38,$D$19),$P$20))-SUM($P1094:AR1094)</f>
        <v>#VALUE!</v>
      </c>
      <c r="AT1094" s="446" t="e">
        <f>IF(OR($B1094="",MIN(AT$38,$D$19)&lt;MAX($P$708*($B1094+IF($R$17="Distrato",$I$38-1,0)),IF(AND($L$711=0,$P$708=0),"",$L$711-1),IF($R$17="Distrato",$E1094,0))),0,YEARFRAC(MAX($P$708*($B1094+IF($R$17="Distrato",$I$38-1,0)),IF(AND($L$711=0,$P$708=0),"",$L$711-1),IF($R$17="Distrato",$E1094,0)),MIN(AT$38,$D$19),$P$20))-SUM($P1094:AS1094)</f>
        <v>#VALUE!</v>
      </c>
      <c r="AU1094" s="446" t="e">
        <f>IF(OR($B1094="",MIN(AU$38,$D$19)&lt;MAX($P$708*($B1094+IF($R$17="Distrato",$I$38-1,0)),IF(AND($L$711=0,$P$708=0),"",$L$711-1),IF($R$17="Distrato",$E1094,0))),0,YEARFRAC(MAX($P$708*($B1094+IF($R$17="Distrato",$I$38-1,0)),IF(AND($L$711=0,$P$708=0),"",$L$711-1),IF($R$17="Distrato",$E1094,0)),MIN(AU$38,$D$19),$P$20))-SUM($P1094:AT1094)</f>
        <v>#VALUE!</v>
      </c>
      <c r="AV1094" s="446" t="e">
        <f>IF(OR($B1094="",MIN(AV$38,$D$19)&lt;MAX($P$708*($B1094+IF($R$17="Distrato",$I$38-1,0)),IF(AND($L$711=0,$P$708=0),"",$L$711-1),IF($R$17="Distrato",$E1094,0))),0,YEARFRAC(MAX($P$708*($B1094+IF($R$17="Distrato",$I$38-1,0)),IF(AND($L$711=0,$P$708=0),"",$L$711-1),IF($R$17="Distrato",$E1094,0)),MIN(AV$38,$D$19),$P$20))-SUM($P1094:AU1094)</f>
        <v>#VALUE!</v>
      </c>
      <c r="AW1094" s="446" t="e">
        <f>IF(OR($B1094="",MIN(AW$38,$D$19)&lt;MAX($P$708*($B1094+IF($R$17="Distrato",$I$38-1,0)),IF(AND($L$711=0,$P$708=0),"",$L$711-1),IF($R$17="Distrato",$E1094,0))),0,YEARFRAC(MAX($P$708*($B1094+IF($R$17="Distrato",$I$38-1,0)),IF(AND($L$711=0,$P$708=0),"",$L$711-1),IF($R$17="Distrato",$E1094,0)),MIN(AW$38,$D$19),$P$20))-SUM($P1094:AV1094)</f>
        <v>#VALUE!</v>
      </c>
      <c r="AX1094" s="446" t="e">
        <f>IF(OR($B1094="",MIN(AX$38,$D$19)&lt;MAX($P$708*($B1094+IF($R$17="Distrato",$I$38-1,0)),IF(AND($L$711=0,$P$708=0),"",$L$711-1),IF($R$17="Distrato",$E1094,0))),0,YEARFRAC(MAX($P$708*($B1094+IF($R$17="Distrato",$I$38-1,0)),IF(AND($L$711=0,$P$708=0),"",$L$711-1),IF($R$17="Distrato",$E1094,0)),MIN(AX$38,$D$19),$P$20))-SUM($P1094:AW1094)</f>
        <v>#VALUE!</v>
      </c>
      <c r="AY1094" s="446" t="e">
        <f>IF(OR($B1094="",MIN(AY$38,$D$19)&lt;MAX($P$708*($B1094+IF($R$17="Distrato",$I$38-1,0)),IF(AND($L$711=0,$P$708=0),"",$L$711-1),IF($R$17="Distrato",$E1094,0))),0,YEARFRAC(MAX($P$708*($B1094+IF($R$17="Distrato",$I$38-1,0)),IF(AND($L$711=0,$P$708=0),"",$L$711-1),IF($R$17="Distrato",$E1094,0)),MIN(AY$38,$D$19),$P$20))-SUM($P1094:AX1094)</f>
        <v>#VALUE!</v>
      </c>
      <c r="AZ1094" s="446" t="e">
        <f>IF(OR($B1094="",MIN(AZ$38,$D$19)&lt;MAX($P$708*($B1094+IF($R$17="Distrato",$I$38-1,0)),IF(AND($L$711=0,$P$708=0),"",$L$711-1),IF($R$17="Distrato",$E1094,0))),0,YEARFRAC(MAX($P$708*($B1094+IF($R$17="Distrato",$I$38-1,0)),IF(AND($L$711=0,$P$708=0),"",$L$711-1),IF($R$17="Distrato",$E1094,0)),MIN(AZ$38,$D$19),$P$20))-SUM($P1094:AY1094)</f>
        <v>#VALUE!</v>
      </c>
      <c r="BA1094" s="446" t="e">
        <f>IF(OR($B1094="",MIN(BA$38,$D$19)&lt;MAX($P$708*($B1094+IF($R$17="Distrato",$I$38-1,0)),IF(AND($L$711=0,$P$708=0),"",$L$711-1),IF($R$17="Distrato",$E1094,0))),0,YEARFRAC(MAX($P$708*($B1094+IF($R$17="Distrato",$I$38-1,0)),IF(AND($L$711=0,$P$708=0),"",$L$711-1),IF($R$17="Distrato",$E1094,0)),MIN(BA$38,$D$19),$P$20))-SUM($P1094:AZ1094)</f>
        <v>#VALUE!</v>
      </c>
      <c r="BB1094" s="447"/>
    </row>
    <row r="1095" spans="1:54" s="446" customFormat="1" ht="11.25" hidden="1" customHeight="1" x14ac:dyDescent="0.2">
      <c r="A1095" s="235"/>
      <c r="B1095" s="236"/>
      <c r="C1095" s="29" t="str">
        <f>IF(B1095="","",IF($L$709=$BL$25,VLOOKUP(DATE(YEAR($D$19),MONTH($D$19)-1,1),ÍNDICES!$A:$DE,HLOOKUP($BL$25,ÍNDICES!$B$3:$T$4,2)+11)-VLOOKUP(B1095,ÍNDICES!$A:$DE,HLOOKUP($BL$25,ÍNDICES!$B$3:$T$4,2)+11)+1%,IF(C$712=$W$26,$J$35,IF(ISERROR(IF(B1095&gt;$D$19,1,VLOOKUP(DATE(YEAR(B1095),MONTH(B1095)+IF($C$709=$S$23,1,0),1),ÍNDICES!$A:$DE,$Z$709+1))),"",IF(B1095&gt;$D$19,1,VLOOKUP(DATE(YEAR(B1095),MONTH(B1095)+IF($C$709=$S$23,1,0),1),ÍNDICES!$A:$DE,$Z$709+1))))))</f>
        <v/>
      </c>
      <c r="D1095" s="155"/>
      <c r="E1095" s="88"/>
      <c r="F1095" s="88"/>
      <c r="G1095" s="88"/>
      <c r="H1095" s="118"/>
      <c r="I1095" s="182">
        <f t="shared" si="150"/>
        <v>0</v>
      </c>
      <c r="J1095" s="20">
        <f t="shared" ca="1" si="151"/>
        <v>0</v>
      </c>
      <c r="K1095" s="5">
        <f t="shared" ca="1" si="152"/>
        <v>0</v>
      </c>
      <c r="L1095" s="61">
        <f t="shared" ca="1" si="153"/>
        <v>0</v>
      </c>
      <c r="M1095" s="64">
        <f t="shared" si="154"/>
        <v>0</v>
      </c>
      <c r="N1095" s="151"/>
      <c r="O1095" s="5">
        <f t="shared" ca="1" si="155"/>
        <v>0</v>
      </c>
      <c r="P1095" s="446" t="e">
        <f t="shared" si="156"/>
        <v>#VALUE!</v>
      </c>
      <c r="Q1095" s="446" t="e">
        <f>IF(OR($B1095="",MIN(Q$38,$D$19)&lt;MAX($P$708*($B1095+IF($R$17="Distrato",$I$38-1,0)),IF(AND($L$711=0,$P$708=0),"",$L$711-1),IF($R$17="Distrato",$E1095,0))),0,YEARFRAC(MAX($P$708*($B1095+IF($R$17="Distrato",$I$38-1,0)),IF(AND($L$711=0,$P$708=0),"",$L$711-1),IF($R$17="Distrato",$E1095,0)),MIN(Q$38,$D$19),$P$20))-SUM($P1095:P1095)</f>
        <v>#VALUE!</v>
      </c>
      <c r="R1095" s="446" t="e">
        <f>IF(OR($B1095="",MIN(R$38,$D$19)&lt;MAX($P$708*($B1095+IF($R$17="Distrato",$I$38-1,0)),IF(AND($L$711=0,$P$708=0),"",$L$711-1),IF($R$17="Distrato",$E1095,0))),0,YEARFRAC(MAX($P$708*($B1095+IF($R$17="Distrato",$I$38-1,0)),IF(AND($L$711=0,$P$708=0),"",$L$711-1),IF($R$17="Distrato",$E1095,0)),MIN(R$38,$D$19),$P$20))-SUM($P1095:Q1095)</f>
        <v>#VALUE!</v>
      </c>
      <c r="S1095" s="446" t="e">
        <f>IF(OR($B1095="",MIN(S$38,$D$19)&lt;MAX($P$708*($B1095+IF($R$17="Distrato",$I$38-1,0)),IF(AND($L$711=0,$P$708=0),"",$L$711-1),IF($R$17="Distrato",$E1095,0))),0,YEARFRAC(MAX($P$708*($B1095+IF($R$17="Distrato",$I$38-1,0)),IF(AND($L$711=0,$P$708=0),"",$L$711-1),IF($R$17="Distrato",$E1095,0)),MIN(S$38,$D$19),$P$20))-SUM($P1095:R1095)</f>
        <v>#VALUE!</v>
      </c>
      <c r="T1095" s="446" t="e">
        <f>IF(OR($B1095="",MIN(T$38,$D$19)&lt;MAX($P$708*($B1095+IF($R$17="Distrato",$I$38-1,0)),IF(AND($L$711=0,$P$708=0),"",$L$711-1),IF($R$17="Distrato",$E1095,0))),0,YEARFRAC(MAX($P$708*($B1095+IF($R$17="Distrato",$I$38-1,0)),IF(AND($L$711=0,$P$708=0),"",$L$711-1),IF($R$17="Distrato",$E1095,0)),MIN(T$38,$D$19),$P$20))-SUM($P1095:S1095)</f>
        <v>#VALUE!</v>
      </c>
      <c r="U1095" s="446" t="e">
        <f>IF(OR($B1095="",MIN(U$38,$D$19)&lt;MAX($P$708*($B1095+IF($R$17="Distrato",$I$38-1,0)),IF(AND($L$711=0,$P$708=0),"",$L$711-1),IF($R$17="Distrato",$E1095,0))),0,YEARFRAC(MAX($P$708*($B1095+IF($R$17="Distrato",$I$38-1,0)),IF(AND($L$711=0,$P$708=0),"",$L$711-1),IF($R$17="Distrato",$E1095,0)),MIN(U$38,$D$19),$P$20))-SUM($P1095:T1095)</f>
        <v>#VALUE!</v>
      </c>
      <c r="V1095" s="446" t="e">
        <f>IF(OR($B1095="",MIN(V$38,$D$19)&lt;MAX($P$708*($B1095+IF($R$17="Distrato",$I$38-1,0)),IF(AND($L$711=0,$P$708=0),"",$L$711-1),IF($R$17="Distrato",$E1095,0))),0,YEARFRAC(MAX($P$708*($B1095+IF($R$17="Distrato",$I$38-1,0)),IF(AND($L$711=0,$P$708=0),"",$L$711-1),IF($R$17="Distrato",$E1095,0)),MIN(V$38,$D$19),$P$20))-SUM($P1095:U1095)</f>
        <v>#VALUE!</v>
      </c>
      <c r="W1095" s="446" t="e">
        <f>IF(OR($B1095="",MIN(W$38,$D$19)&lt;MAX($P$708*($B1095+IF($R$17="Distrato",$I$38-1,0)),IF(AND($L$711=0,$P$708=0),"",$L$711-1),IF($R$17="Distrato",$E1095,0))),0,YEARFRAC(MAX($P$708*($B1095+IF($R$17="Distrato",$I$38-1,0)),IF(AND($L$711=0,$P$708=0),"",$L$711-1),IF($R$17="Distrato",$E1095,0)),MIN(W$38,$D$19),$P$20))-SUM($P1095:V1095)</f>
        <v>#VALUE!</v>
      </c>
      <c r="X1095" s="446" t="e">
        <f>IF(OR($B1095="",MIN(X$38,$D$19)&lt;MAX($P$708*($B1095+IF($R$17="Distrato",$I$38-1,0)),IF(AND($L$711=0,$P$708=0),"",$L$711-1),IF($R$17="Distrato",$E1095,0))),0,YEARFRAC(MAX($P$708*($B1095+IF($R$17="Distrato",$I$38-1,0)),IF(AND($L$711=0,$P$708=0),"",$L$711-1),IF($R$17="Distrato",$E1095,0)),MIN(X$38,$D$19),$P$20))-SUM($P1095:W1095)</f>
        <v>#VALUE!</v>
      </c>
      <c r="Y1095" s="446" t="e">
        <f>IF(OR($B1095="",MIN(Y$38,$D$19)&lt;MAX($P$708*($B1095+IF($R$17="Distrato",$I$38-1,0)),IF(AND($L$711=0,$P$708=0),"",$L$711-1),IF($R$17="Distrato",$E1095,0))),0,YEARFRAC(MAX($P$708*($B1095+IF($R$17="Distrato",$I$38-1,0)),IF(AND($L$711=0,$P$708=0),"",$L$711-1),IF($R$17="Distrato",$E1095,0)),MIN(Y$38,$D$19),$P$20))-SUM($P1095:X1095)</f>
        <v>#VALUE!</v>
      </c>
      <c r="Z1095" s="446" t="e">
        <f>IF(OR($B1095="",MIN(Z$38,$D$19)&lt;MAX($P$708*($B1095+IF($R$17="Distrato",$I$38-1,0)),IF(AND($L$711=0,$P$708=0),"",$L$711-1),IF($R$17="Distrato",$E1095,0))),0,YEARFRAC(MAX($P$708*($B1095+IF($R$17="Distrato",$I$38-1,0)),IF(AND($L$711=0,$P$708=0),"",$L$711-1),IF($R$17="Distrato",$E1095,0)),MIN(Z$38,$D$19),$P$20))-SUM($P1095:Y1095)</f>
        <v>#VALUE!</v>
      </c>
      <c r="AA1095" s="446" t="e">
        <f>IF(OR($B1095="",MIN(AA$38,$D$19)&lt;MAX($P$708*($B1095+IF($R$17="Distrato",$I$38-1,0)),IF(AND($L$711=0,$P$708=0),"",$L$711-1),IF($R$17="Distrato",$E1095,0))),0,YEARFRAC(MAX($P$708*($B1095+IF($R$17="Distrato",$I$38-1,0)),IF(AND($L$711=0,$P$708=0),"",$L$711-1),IF($R$17="Distrato",$E1095,0)),MIN(AA$38,$D$19),$P$20))-SUM($P1095:Z1095)</f>
        <v>#VALUE!</v>
      </c>
      <c r="AB1095" s="446" t="e">
        <f>IF(OR($B1095="",MIN(AB$38,$D$19)&lt;MAX($P$708*($B1095+IF($R$17="Distrato",$I$38-1,0)),IF(AND($L$711=0,$P$708=0),"",$L$711-1),IF($R$17="Distrato",$E1095,0))),0,YEARFRAC(MAX($P$708*($B1095+IF($R$17="Distrato",$I$38-1,0)),IF(AND($L$711=0,$P$708=0),"",$L$711-1),IF($R$17="Distrato",$E1095,0)),MIN(AB$38,$D$19),$P$20))-SUM($P1095:AA1095)</f>
        <v>#VALUE!</v>
      </c>
      <c r="AC1095" s="446" t="e">
        <f>IF(OR($B1095="",MIN(AC$38,$D$19)&lt;MAX($P$708*($B1095+IF($R$17="Distrato",$I$38-1,0)),IF(AND($L$711=0,$P$708=0),"",$L$711-1),IF($R$17="Distrato",$E1095,0))),0,YEARFRAC(MAX($P$708*($B1095+IF($R$17="Distrato",$I$38-1,0)),IF(AND($L$711=0,$P$708=0),"",$L$711-1),IF($R$17="Distrato",$E1095,0)),MIN(AC$38,$D$19),$P$20))-SUM($P1095:AB1095)</f>
        <v>#VALUE!</v>
      </c>
      <c r="AD1095" s="446" t="e">
        <f>IF(OR($B1095="",MIN(AD$38,$D$19)&lt;MAX($P$708*($B1095+IF($R$17="Distrato",$I$38-1,0)),IF(AND($L$711=0,$P$708=0),"",$L$711-1),IF($R$17="Distrato",$E1095,0))),0,YEARFRAC(MAX($P$708*($B1095+IF($R$17="Distrato",$I$38-1,0)),IF(AND($L$711=0,$P$708=0),"",$L$711-1),IF($R$17="Distrato",$E1095,0)),MIN(AD$38,$D$19),$P$20))-SUM($P1095:AC1095)</f>
        <v>#VALUE!</v>
      </c>
      <c r="AE1095" s="446" t="e">
        <f>IF(OR($B1095="",MIN(AE$38,$D$19)&lt;MAX($P$708*($B1095+IF($R$17="Distrato",$I$38-1,0)),IF(AND($L$711=0,$P$708=0),"",$L$711-1),IF($R$17="Distrato",$E1095,0))),0,YEARFRAC(MAX($P$708*($B1095+IF($R$17="Distrato",$I$38-1,0)),IF(AND($L$711=0,$P$708=0),"",$L$711-1),IF($R$17="Distrato",$E1095,0)),MIN(AE$38,$D$19),$P$20))-SUM($P1095:AD1095)</f>
        <v>#VALUE!</v>
      </c>
      <c r="AF1095" s="446" t="e">
        <f>IF(OR($B1095="",MIN(AF$38,$D$19)&lt;MAX($P$708*($B1095+IF($R$17="Distrato",$I$38-1,0)),IF(AND($L$711=0,$P$708=0),"",$L$711-1),IF($R$17="Distrato",$E1095,0))),0,YEARFRAC(MAX($P$708*($B1095+IF($R$17="Distrato",$I$38-1,0)),IF(AND($L$711=0,$P$708=0),"",$L$711-1),IF($R$17="Distrato",$E1095,0)),MIN(AF$38,$D$19),$P$20))-SUM($P1095:AE1095)</f>
        <v>#VALUE!</v>
      </c>
      <c r="AG1095" s="446" t="e">
        <f>IF(OR($B1095="",MIN(AG$38,$D$19)&lt;MAX($P$708*($B1095+IF($R$17="Distrato",$I$38-1,0)),IF(AND($L$711=0,$P$708=0),"",$L$711-1),IF($R$17="Distrato",$E1095,0))),0,YEARFRAC(MAX($P$708*($B1095+IF($R$17="Distrato",$I$38-1,0)),IF(AND($L$711=0,$P$708=0),"",$L$711-1),IF($R$17="Distrato",$E1095,0)),MIN(AG$38,$D$19),$P$20))-SUM($P1095:AF1095)</f>
        <v>#VALUE!</v>
      </c>
      <c r="AH1095" s="446" t="e">
        <f>IF(OR($B1095="",MIN(AH$38,$D$19)&lt;MAX($P$708*($B1095+IF($R$17="Distrato",$I$38-1,0)),IF(AND($L$711=0,$P$708=0),"",$L$711-1),IF($R$17="Distrato",$E1095,0))),0,YEARFRAC(MAX($P$708*($B1095+IF($R$17="Distrato",$I$38-1,0)),IF(AND($L$711=0,$P$708=0),"",$L$711-1),IF($R$17="Distrato",$E1095,0)),MIN(AH$38,$D$19),$P$20))-SUM($P1095:AG1095)</f>
        <v>#VALUE!</v>
      </c>
      <c r="AI1095" s="446" t="e">
        <f>IF(OR($B1095="",MIN(AI$38,$D$19)&lt;MAX($P$708*($B1095+IF($R$17="Distrato",$I$38-1,0)),IF(AND($L$711=0,$P$708=0),"",$L$711-1),IF($R$17="Distrato",$E1095,0))),0,YEARFRAC(MAX($P$708*($B1095+IF($R$17="Distrato",$I$38-1,0)),IF(AND($L$711=0,$P$708=0),"",$L$711-1),IF($R$17="Distrato",$E1095,0)),MIN(AI$38,$D$19),$P$20))-SUM($P1095:AH1095)</f>
        <v>#VALUE!</v>
      </c>
      <c r="AJ1095" s="446" t="e">
        <f>IF(OR($B1095="",MIN(AJ$38,$D$19)&lt;MAX($P$708*($B1095+IF($R$17="Distrato",$I$38-1,0)),IF(AND($L$711=0,$P$708=0),"",$L$711-1),IF($R$17="Distrato",$E1095,0))),0,YEARFRAC(MAX($P$708*($B1095+IF($R$17="Distrato",$I$38-1,0)),IF(AND($L$711=0,$P$708=0),"",$L$711-1),IF($R$17="Distrato",$E1095,0)),MIN(AJ$38,$D$19),$P$20))-SUM($P1095:AI1095)</f>
        <v>#VALUE!</v>
      </c>
      <c r="AK1095" s="446" t="e">
        <f>IF(OR($B1095="",MIN(AK$38,$D$19)&lt;MAX($P$708*($B1095+IF($R$17="Distrato",$I$38-1,0)),IF(AND($L$711=0,$P$708=0),"",$L$711-1),IF($R$17="Distrato",$E1095,0))),0,YEARFRAC(MAX($P$708*($B1095+IF($R$17="Distrato",$I$38-1,0)),IF(AND($L$711=0,$P$708=0),"",$L$711-1),IF($R$17="Distrato",$E1095,0)),MIN(AK$38,$D$19),$P$20))-SUM($P1095:AJ1095)</f>
        <v>#VALUE!</v>
      </c>
      <c r="AL1095" s="446" t="e">
        <f>IF(OR($B1095="",MIN(AL$38,$D$19)&lt;MAX($P$708*($B1095+IF($R$17="Distrato",$I$38-1,0)),IF(AND($L$711=0,$P$708=0),"",$L$711-1),IF($R$17="Distrato",$E1095,0))),0,YEARFRAC(MAX($P$708*($B1095+IF($R$17="Distrato",$I$38-1,0)),IF(AND($L$711=0,$P$708=0),"",$L$711-1),IF($R$17="Distrato",$E1095,0)),MIN(AL$38,$D$19),$P$20))-SUM($P1095:AK1095)</f>
        <v>#VALUE!</v>
      </c>
      <c r="AM1095" s="446" t="e">
        <f>IF(OR($B1095="",MIN(AM$38,$D$19)&lt;MAX($P$708*($B1095+IF($R$17="Distrato",$I$38-1,0)),IF(AND($L$711=0,$P$708=0),"",$L$711-1),IF($R$17="Distrato",$E1095,0))),0,YEARFRAC(MAX($P$708*($B1095+IF($R$17="Distrato",$I$38-1,0)),IF(AND($L$711=0,$P$708=0),"",$L$711-1),IF($R$17="Distrato",$E1095,0)),MIN(AM$38,$D$19),$P$20))-SUM($P1095:AL1095)</f>
        <v>#VALUE!</v>
      </c>
      <c r="AN1095" s="446" t="e">
        <f>IF(OR($B1095="",MIN(AN$38,$D$19)&lt;MAX($P$708*($B1095+IF($R$17="Distrato",$I$38-1,0)),IF(AND($L$711=0,$P$708=0),"",$L$711-1),IF($R$17="Distrato",$E1095,0))),0,YEARFRAC(MAX($P$708*($B1095+IF($R$17="Distrato",$I$38-1,0)),IF(AND($L$711=0,$P$708=0),"",$L$711-1),IF($R$17="Distrato",$E1095,0)),MIN(AN$38,$D$19),$P$20))-SUM($P1095:AM1095)</f>
        <v>#VALUE!</v>
      </c>
      <c r="AO1095" s="446" t="e">
        <f>IF(OR($B1095="",MIN(AO$38,$D$19)&lt;MAX($P$708*($B1095+IF($R$17="Distrato",$I$38-1,0)),IF(AND($L$711=0,$P$708=0),"",$L$711-1),IF($R$17="Distrato",$E1095,0))),0,YEARFRAC(MAX($P$708*($B1095+IF($R$17="Distrato",$I$38-1,0)),IF(AND($L$711=0,$P$708=0),"",$L$711-1),IF($R$17="Distrato",$E1095,0)),MIN(AO$38,$D$19),$P$20))-SUM($P1095:AN1095)</f>
        <v>#VALUE!</v>
      </c>
      <c r="AP1095" s="446" t="e">
        <f>IF(OR($B1095="",MIN(AP$38,$D$19)&lt;MAX($P$708*($B1095+IF($R$17="Distrato",$I$38-1,0)),IF(AND($L$711=0,$P$708=0),"",$L$711-1),IF($R$17="Distrato",$E1095,0))),0,YEARFRAC(MAX($P$708*($B1095+IF($R$17="Distrato",$I$38-1,0)),IF(AND($L$711=0,$P$708=0),"",$L$711-1),IF($R$17="Distrato",$E1095,0)),MIN(AP$38,$D$19),$P$20))-SUM($P1095:AO1095)</f>
        <v>#VALUE!</v>
      </c>
      <c r="AQ1095" s="446" t="e">
        <f>IF(OR($B1095="",MIN(AQ$38,$D$19)&lt;MAX($P$708*($B1095+IF($R$17="Distrato",$I$38-1,0)),IF(AND($L$711=0,$P$708=0),"",$L$711-1),IF($R$17="Distrato",$E1095,0))),0,YEARFRAC(MAX($P$708*($B1095+IF($R$17="Distrato",$I$38-1,0)),IF(AND($L$711=0,$P$708=0),"",$L$711-1),IF($R$17="Distrato",$E1095,0)),MIN(AQ$38,$D$19),$P$20))-SUM($P1095:AP1095)</f>
        <v>#VALUE!</v>
      </c>
      <c r="AR1095" s="446" t="e">
        <f>IF(OR($B1095="",MIN(AR$38,$D$19)&lt;MAX($P$708*($B1095+IF($R$17="Distrato",$I$38-1,0)),IF(AND($L$711=0,$P$708=0),"",$L$711-1),IF($R$17="Distrato",$E1095,0))),0,YEARFRAC(MAX($P$708*($B1095+IF($R$17="Distrato",$I$38-1,0)),IF(AND($L$711=0,$P$708=0),"",$L$711-1),IF($R$17="Distrato",$E1095,0)),MIN(AR$38,$D$19),$P$20))-SUM($P1095:AQ1095)</f>
        <v>#VALUE!</v>
      </c>
      <c r="AS1095" s="446" t="e">
        <f>IF(OR($B1095="",MIN(AS$38,$D$19)&lt;MAX($P$708*($B1095+IF($R$17="Distrato",$I$38-1,0)),IF(AND($L$711=0,$P$708=0),"",$L$711-1),IF($R$17="Distrato",$E1095,0))),0,YEARFRAC(MAX($P$708*($B1095+IF($R$17="Distrato",$I$38-1,0)),IF(AND($L$711=0,$P$708=0),"",$L$711-1),IF($R$17="Distrato",$E1095,0)),MIN(AS$38,$D$19),$P$20))-SUM($P1095:AR1095)</f>
        <v>#VALUE!</v>
      </c>
      <c r="AT1095" s="446" t="e">
        <f>IF(OR($B1095="",MIN(AT$38,$D$19)&lt;MAX($P$708*($B1095+IF($R$17="Distrato",$I$38-1,0)),IF(AND($L$711=0,$P$708=0),"",$L$711-1),IF($R$17="Distrato",$E1095,0))),0,YEARFRAC(MAX($P$708*($B1095+IF($R$17="Distrato",$I$38-1,0)),IF(AND($L$711=0,$P$708=0),"",$L$711-1),IF($R$17="Distrato",$E1095,0)),MIN(AT$38,$D$19),$P$20))-SUM($P1095:AS1095)</f>
        <v>#VALUE!</v>
      </c>
      <c r="AU1095" s="446" t="e">
        <f>IF(OR($B1095="",MIN(AU$38,$D$19)&lt;MAX($P$708*($B1095+IF($R$17="Distrato",$I$38-1,0)),IF(AND($L$711=0,$P$708=0),"",$L$711-1),IF($R$17="Distrato",$E1095,0))),0,YEARFRAC(MAX($P$708*($B1095+IF($R$17="Distrato",$I$38-1,0)),IF(AND($L$711=0,$P$708=0),"",$L$711-1),IF($R$17="Distrato",$E1095,0)),MIN(AU$38,$D$19),$P$20))-SUM($P1095:AT1095)</f>
        <v>#VALUE!</v>
      </c>
      <c r="AV1095" s="446" t="e">
        <f>IF(OR($B1095="",MIN(AV$38,$D$19)&lt;MAX($P$708*($B1095+IF($R$17="Distrato",$I$38-1,0)),IF(AND($L$711=0,$P$708=0),"",$L$711-1),IF($R$17="Distrato",$E1095,0))),0,YEARFRAC(MAX($P$708*($B1095+IF($R$17="Distrato",$I$38-1,0)),IF(AND($L$711=0,$P$708=0),"",$L$711-1),IF($R$17="Distrato",$E1095,0)),MIN(AV$38,$D$19),$P$20))-SUM($P1095:AU1095)</f>
        <v>#VALUE!</v>
      </c>
      <c r="AW1095" s="446" t="e">
        <f>IF(OR($B1095="",MIN(AW$38,$D$19)&lt;MAX($P$708*($B1095+IF($R$17="Distrato",$I$38-1,0)),IF(AND($L$711=0,$P$708=0),"",$L$711-1),IF($R$17="Distrato",$E1095,0))),0,YEARFRAC(MAX($P$708*($B1095+IF($R$17="Distrato",$I$38-1,0)),IF(AND($L$711=0,$P$708=0),"",$L$711-1),IF($R$17="Distrato",$E1095,0)),MIN(AW$38,$D$19),$P$20))-SUM($P1095:AV1095)</f>
        <v>#VALUE!</v>
      </c>
      <c r="AX1095" s="446" t="e">
        <f>IF(OR($B1095="",MIN(AX$38,$D$19)&lt;MAX($P$708*($B1095+IF($R$17="Distrato",$I$38-1,0)),IF(AND($L$711=0,$P$708=0),"",$L$711-1),IF($R$17="Distrato",$E1095,0))),0,YEARFRAC(MAX($P$708*($B1095+IF($R$17="Distrato",$I$38-1,0)),IF(AND($L$711=0,$P$708=0),"",$L$711-1),IF($R$17="Distrato",$E1095,0)),MIN(AX$38,$D$19),$P$20))-SUM($P1095:AW1095)</f>
        <v>#VALUE!</v>
      </c>
      <c r="AY1095" s="446" t="e">
        <f>IF(OR($B1095="",MIN(AY$38,$D$19)&lt;MAX($P$708*($B1095+IF($R$17="Distrato",$I$38-1,0)),IF(AND($L$711=0,$P$708=0),"",$L$711-1),IF($R$17="Distrato",$E1095,0))),0,YEARFRAC(MAX($P$708*($B1095+IF($R$17="Distrato",$I$38-1,0)),IF(AND($L$711=0,$P$708=0),"",$L$711-1),IF($R$17="Distrato",$E1095,0)),MIN(AY$38,$D$19),$P$20))-SUM($P1095:AX1095)</f>
        <v>#VALUE!</v>
      </c>
      <c r="AZ1095" s="446" t="e">
        <f>IF(OR($B1095="",MIN(AZ$38,$D$19)&lt;MAX($P$708*($B1095+IF($R$17="Distrato",$I$38-1,0)),IF(AND($L$711=0,$P$708=0),"",$L$711-1),IF($R$17="Distrato",$E1095,0))),0,YEARFRAC(MAX($P$708*($B1095+IF($R$17="Distrato",$I$38-1,0)),IF(AND($L$711=0,$P$708=0),"",$L$711-1),IF($R$17="Distrato",$E1095,0)),MIN(AZ$38,$D$19),$P$20))-SUM($P1095:AY1095)</f>
        <v>#VALUE!</v>
      </c>
      <c r="BA1095" s="446" t="e">
        <f>IF(OR($B1095="",MIN(BA$38,$D$19)&lt;MAX($P$708*($B1095+IF($R$17="Distrato",$I$38-1,0)),IF(AND($L$711=0,$P$708=0),"",$L$711-1),IF($R$17="Distrato",$E1095,0))),0,YEARFRAC(MAX($P$708*($B1095+IF($R$17="Distrato",$I$38-1,0)),IF(AND($L$711=0,$P$708=0),"",$L$711-1),IF($R$17="Distrato",$E1095,0)),MIN(BA$38,$D$19),$P$20))-SUM($P1095:AZ1095)</f>
        <v>#VALUE!</v>
      </c>
      <c r="BB1095" s="447"/>
    </row>
    <row r="1096" spans="1:54" s="446" customFormat="1" ht="11.25" hidden="1" customHeight="1" x14ac:dyDescent="0.2">
      <c r="A1096" s="235"/>
      <c r="B1096" s="236"/>
      <c r="C1096" s="29" t="str">
        <f>IF(B1096="","",IF($L$709=$BL$25,VLOOKUP(DATE(YEAR($D$19),MONTH($D$19)-1,1),ÍNDICES!$A:$DE,HLOOKUP($BL$25,ÍNDICES!$B$3:$T$4,2)+11)-VLOOKUP(B1096,ÍNDICES!$A:$DE,HLOOKUP($BL$25,ÍNDICES!$B$3:$T$4,2)+11)+1%,IF(C$712=$W$26,$J$35,IF(ISERROR(IF(B1096&gt;$D$19,1,VLOOKUP(DATE(YEAR(B1096),MONTH(B1096)+IF($C$709=$S$23,1,0),1),ÍNDICES!$A:$DE,$Z$709+1))),"",IF(B1096&gt;$D$19,1,VLOOKUP(DATE(YEAR(B1096),MONTH(B1096)+IF($C$709=$S$23,1,0),1),ÍNDICES!$A:$DE,$Z$709+1))))))</f>
        <v/>
      </c>
      <c r="D1096" s="155"/>
      <c r="E1096" s="88"/>
      <c r="F1096" s="88"/>
      <c r="G1096" s="88"/>
      <c r="H1096" s="118"/>
      <c r="I1096" s="182">
        <f t="shared" si="150"/>
        <v>0</v>
      </c>
      <c r="J1096" s="20">
        <f t="shared" ca="1" si="151"/>
        <v>0</v>
      </c>
      <c r="K1096" s="5">
        <f t="shared" ca="1" si="152"/>
        <v>0</v>
      </c>
      <c r="L1096" s="61">
        <f t="shared" ca="1" si="153"/>
        <v>0</v>
      </c>
      <c r="M1096" s="64">
        <f t="shared" si="154"/>
        <v>0</v>
      </c>
      <c r="N1096" s="151"/>
      <c r="O1096" s="5">
        <f t="shared" ca="1" si="155"/>
        <v>0</v>
      </c>
      <c r="P1096" s="446" t="e">
        <f t="shared" si="156"/>
        <v>#VALUE!</v>
      </c>
      <c r="Q1096" s="446" t="e">
        <f>IF(OR($B1096="",MIN(Q$38,$D$19)&lt;MAX($P$708*($B1096+IF($R$17="Distrato",$I$38-1,0)),IF(AND($L$711=0,$P$708=0),"",$L$711-1),IF($R$17="Distrato",$E1096,0))),0,YEARFRAC(MAX($P$708*($B1096+IF($R$17="Distrato",$I$38-1,0)),IF(AND($L$711=0,$P$708=0),"",$L$711-1),IF($R$17="Distrato",$E1096,0)),MIN(Q$38,$D$19),$P$20))-SUM($P1096:P1096)</f>
        <v>#VALUE!</v>
      </c>
      <c r="R1096" s="446" t="e">
        <f>IF(OR($B1096="",MIN(R$38,$D$19)&lt;MAX($P$708*($B1096+IF($R$17="Distrato",$I$38-1,0)),IF(AND($L$711=0,$P$708=0),"",$L$711-1),IF($R$17="Distrato",$E1096,0))),0,YEARFRAC(MAX($P$708*($B1096+IF($R$17="Distrato",$I$38-1,0)),IF(AND($L$711=0,$P$708=0),"",$L$711-1),IF($R$17="Distrato",$E1096,0)),MIN(R$38,$D$19),$P$20))-SUM($P1096:Q1096)</f>
        <v>#VALUE!</v>
      </c>
      <c r="S1096" s="446" t="e">
        <f>IF(OR($B1096="",MIN(S$38,$D$19)&lt;MAX($P$708*($B1096+IF($R$17="Distrato",$I$38-1,0)),IF(AND($L$711=0,$P$708=0),"",$L$711-1),IF($R$17="Distrato",$E1096,0))),0,YEARFRAC(MAX($P$708*($B1096+IF($R$17="Distrato",$I$38-1,0)),IF(AND($L$711=0,$P$708=0),"",$L$711-1),IF($R$17="Distrato",$E1096,0)),MIN(S$38,$D$19),$P$20))-SUM($P1096:R1096)</f>
        <v>#VALUE!</v>
      </c>
      <c r="T1096" s="446" t="e">
        <f>IF(OR($B1096="",MIN(T$38,$D$19)&lt;MAX($P$708*($B1096+IF($R$17="Distrato",$I$38-1,0)),IF(AND($L$711=0,$P$708=0),"",$L$711-1),IF($R$17="Distrato",$E1096,0))),0,YEARFRAC(MAX($P$708*($B1096+IF($R$17="Distrato",$I$38-1,0)),IF(AND($L$711=0,$P$708=0),"",$L$711-1),IF($R$17="Distrato",$E1096,0)),MIN(T$38,$D$19),$P$20))-SUM($P1096:S1096)</f>
        <v>#VALUE!</v>
      </c>
      <c r="U1096" s="446" t="e">
        <f>IF(OR($B1096="",MIN(U$38,$D$19)&lt;MAX($P$708*($B1096+IF($R$17="Distrato",$I$38-1,0)),IF(AND($L$711=0,$P$708=0),"",$L$711-1),IF($R$17="Distrato",$E1096,0))),0,YEARFRAC(MAX($P$708*($B1096+IF($R$17="Distrato",$I$38-1,0)),IF(AND($L$711=0,$P$708=0),"",$L$711-1),IF($R$17="Distrato",$E1096,0)),MIN(U$38,$D$19),$P$20))-SUM($P1096:T1096)</f>
        <v>#VALUE!</v>
      </c>
      <c r="V1096" s="446" t="e">
        <f>IF(OR($B1096="",MIN(V$38,$D$19)&lt;MAX($P$708*($B1096+IF($R$17="Distrato",$I$38-1,0)),IF(AND($L$711=0,$P$708=0),"",$L$711-1),IF($R$17="Distrato",$E1096,0))),0,YEARFRAC(MAX($P$708*($B1096+IF($R$17="Distrato",$I$38-1,0)),IF(AND($L$711=0,$P$708=0),"",$L$711-1),IF($R$17="Distrato",$E1096,0)),MIN(V$38,$D$19),$P$20))-SUM($P1096:U1096)</f>
        <v>#VALUE!</v>
      </c>
      <c r="W1096" s="446" t="e">
        <f>IF(OR($B1096="",MIN(W$38,$D$19)&lt;MAX($P$708*($B1096+IF($R$17="Distrato",$I$38-1,0)),IF(AND($L$711=0,$P$708=0),"",$L$711-1),IF($R$17="Distrato",$E1096,0))),0,YEARFRAC(MAX($P$708*($B1096+IF($R$17="Distrato",$I$38-1,0)),IF(AND($L$711=0,$P$708=0),"",$L$711-1),IF($R$17="Distrato",$E1096,0)),MIN(W$38,$D$19),$P$20))-SUM($P1096:V1096)</f>
        <v>#VALUE!</v>
      </c>
      <c r="X1096" s="446" t="e">
        <f>IF(OR($B1096="",MIN(X$38,$D$19)&lt;MAX($P$708*($B1096+IF($R$17="Distrato",$I$38-1,0)),IF(AND($L$711=0,$P$708=0),"",$L$711-1),IF($R$17="Distrato",$E1096,0))),0,YEARFRAC(MAX($P$708*($B1096+IF($R$17="Distrato",$I$38-1,0)),IF(AND($L$711=0,$P$708=0),"",$L$711-1),IF($R$17="Distrato",$E1096,0)),MIN(X$38,$D$19),$P$20))-SUM($P1096:W1096)</f>
        <v>#VALUE!</v>
      </c>
      <c r="Y1096" s="446" t="e">
        <f>IF(OR($B1096="",MIN(Y$38,$D$19)&lt;MAX($P$708*($B1096+IF($R$17="Distrato",$I$38-1,0)),IF(AND($L$711=0,$P$708=0),"",$L$711-1),IF($R$17="Distrato",$E1096,0))),0,YEARFRAC(MAX($P$708*($B1096+IF($R$17="Distrato",$I$38-1,0)),IF(AND($L$711=0,$P$708=0),"",$L$711-1),IF($R$17="Distrato",$E1096,0)),MIN(Y$38,$D$19),$P$20))-SUM($P1096:X1096)</f>
        <v>#VALUE!</v>
      </c>
      <c r="Z1096" s="446" t="e">
        <f>IF(OR($B1096="",MIN(Z$38,$D$19)&lt;MAX($P$708*($B1096+IF($R$17="Distrato",$I$38-1,0)),IF(AND($L$711=0,$P$708=0),"",$L$711-1),IF($R$17="Distrato",$E1096,0))),0,YEARFRAC(MAX($P$708*($B1096+IF($R$17="Distrato",$I$38-1,0)),IF(AND($L$711=0,$P$708=0),"",$L$711-1),IF($R$17="Distrato",$E1096,0)),MIN(Z$38,$D$19),$P$20))-SUM($P1096:Y1096)</f>
        <v>#VALUE!</v>
      </c>
      <c r="AA1096" s="446" t="e">
        <f>IF(OR($B1096="",MIN(AA$38,$D$19)&lt;MAX($P$708*($B1096+IF($R$17="Distrato",$I$38-1,0)),IF(AND($L$711=0,$P$708=0),"",$L$711-1),IF($R$17="Distrato",$E1096,0))),0,YEARFRAC(MAX($P$708*($B1096+IF($R$17="Distrato",$I$38-1,0)),IF(AND($L$711=0,$P$708=0),"",$L$711-1),IF($R$17="Distrato",$E1096,0)),MIN(AA$38,$D$19),$P$20))-SUM($P1096:Z1096)</f>
        <v>#VALUE!</v>
      </c>
      <c r="AB1096" s="446" t="e">
        <f>IF(OR($B1096="",MIN(AB$38,$D$19)&lt;MAX($P$708*($B1096+IF($R$17="Distrato",$I$38-1,0)),IF(AND($L$711=0,$P$708=0),"",$L$711-1),IF($R$17="Distrato",$E1096,0))),0,YEARFRAC(MAX($P$708*($B1096+IF($R$17="Distrato",$I$38-1,0)),IF(AND($L$711=0,$P$708=0),"",$L$711-1),IF($R$17="Distrato",$E1096,0)),MIN(AB$38,$D$19),$P$20))-SUM($P1096:AA1096)</f>
        <v>#VALUE!</v>
      </c>
      <c r="AC1096" s="446" t="e">
        <f>IF(OR($B1096="",MIN(AC$38,$D$19)&lt;MAX($P$708*($B1096+IF($R$17="Distrato",$I$38-1,0)),IF(AND($L$711=0,$P$708=0),"",$L$711-1),IF($R$17="Distrato",$E1096,0))),0,YEARFRAC(MAX($P$708*($B1096+IF($R$17="Distrato",$I$38-1,0)),IF(AND($L$711=0,$P$708=0),"",$L$711-1),IF($R$17="Distrato",$E1096,0)),MIN(AC$38,$D$19),$P$20))-SUM($P1096:AB1096)</f>
        <v>#VALUE!</v>
      </c>
      <c r="AD1096" s="446" t="e">
        <f>IF(OR($B1096="",MIN(AD$38,$D$19)&lt;MAX($P$708*($B1096+IF($R$17="Distrato",$I$38-1,0)),IF(AND($L$711=0,$P$708=0),"",$L$711-1),IF($R$17="Distrato",$E1096,0))),0,YEARFRAC(MAX($P$708*($B1096+IF($R$17="Distrato",$I$38-1,0)),IF(AND($L$711=0,$P$708=0),"",$L$711-1),IF($R$17="Distrato",$E1096,0)),MIN(AD$38,$D$19),$P$20))-SUM($P1096:AC1096)</f>
        <v>#VALUE!</v>
      </c>
      <c r="AE1096" s="446" t="e">
        <f>IF(OR($B1096="",MIN(AE$38,$D$19)&lt;MAX($P$708*($B1096+IF($R$17="Distrato",$I$38-1,0)),IF(AND($L$711=0,$P$708=0),"",$L$711-1),IF($R$17="Distrato",$E1096,0))),0,YEARFRAC(MAX($P$708*($B1096+IF($R$17="Distrato",$I$38-1,0)),IF(AND($L$711=0,$P$708=0),"",$L$711-1),IF($R$17="Distrato",$E1096,0)),MIN(AE$38,$D$19),$P$20))-SUM($P1096:AD1096)</f>
        <v>#VALUE!</v>
      </c>
      <c r="AF1096" s="446" t="e">
        <f>IF(OR($B1096="",MIN(AF$38,$D$19)&lt;MAX($P$708*($B1096+IF($R$17="Distrato",$I$38-1,0)),IF(AND($L$711=0,$P$708=0),"",$L$711-1),IF($R$17="Distrato",$E1096,0))),0,YEARFRAC(MAX($P$708*($B1096+IF($R$17="Distrato",$I$38-1,0)),IF(AND($L$711=0,$P$708=0),"",$L$711-1),IF($R$17="Distrato",$E1096,0)),MIN(AF$38,$D$19),$P$20))-SUM($P1096:AE1096)</f>
        <v>#VALUE!</v>
      </c>
      <c r="AG1096" s="446" t="e">
        <f>IF(OR($B1096="",MIN(AG$38,$D$19)&lt;MAX($P$708*($B1096+IF($R$17="Distrato",$I$38-1,0)),IF(AND($L$711=0,$P$708=0),"",$L$711-1),IF($R$17="Distrato",$E1096,0))),0,YEARFRAC(MAX($P$708*($B1096+IF($R$17="Distrato",$I$38-1,0)),IF(AND($L$711=0,$P$708=0),"",$L$711-1),IF($R$17="Distrato",$E1096,0)),MIN(AG$38,$D$19),$P$20))-SUM($P1096:AF1096)</f>
        <v>#VALUE!</v>
      </c>
      <c r="AH1096" s="446" t="e">
        <f>IF(OR($B1096="",MIN(AH$38,$D$19)&lt;MAX($P$708*($B1096+IF($R$17="Distrato",$I$38-1,0)),IF(AND($L$711=0,$P$708=0),"",$L$711-1),IF($R$17="Distrato",$E1096,0))),0,YEARFRAC(MAX($P$708*($B1096+IF($R$17="Distrato",$I$38-1,0)),IF(AND($L$711=0,$P$708=0),"",$L$711-1),IF($R$17="Distrato",$E1096,0)),MIN(AH$38,$D$19),$P$20))-SUM($P1096:AG1096)</f>
        <v>#VALUE!</v>
      </c>
      <c r="AI1096" s="446" t="e">
        <f>IF(OR($B1096="",MIN(AI$38,$D$19)&lt;MAX($P$708*($B1096+IF($R$17="Distrato",$I$38-1,0)),IF(AND($L$711=0,$P$708=0),"",$L$711-1),IF($R$17="Distrato",$E1096,0))),0,YEARFRAC(MAX($P$708*($B1096+IF($R$17="Distrato",$I$38-1,0)),IF(AND($L$711=0,$P$708=0),"",$L$711-1),IF($R$17="Distrato",$E1096,0)),MIN(AI$38,$D$19),$P$20))-SUM($P1096:AH1096)</f>
        <v>#VALUE!</v>
      </c>
      <c r="AJ1096" s="446" t="e">
        <f>IF(OR($B1096="",MIN(AJ$38,$D$19)&lt;MAX($P$708*($B1096+IF($R$17="Distrato",$I$38-1,0)),IF(AND($L$711=0,$P$708=0),"",$L$711-1),IF($R$17="Distrato",$E1096,0))),0,YEARFRAC(MAX($P$708*($B1096+IF($R$17="Distrato",$I$38-1,0)),IF(AND($L$711=0,$P$708=0),"",$L$711-1),IF($R$17="Distrato",$E1096,0)),MIN(AJ$38,$D$19),$P$20))-SUM($P1096:AI1096)</f>
        <v>#VALUE!</v>
      </c>
      <c r="AK1096" s="446" t="e">
        <f>IF(OR($B1096="",MIN(AK$38,$D$19)&lt;MAX($P$708*($B1096+IF($R$17="Distrato",$I$38-1,0)),IF(AND($L$711=0,$P$708=0),"",$L$711-1),IF($R$17="Distrato",$E1096,0))),0,YEARFRAC(MAX($P$708*($B1096+IF($R$17="Distrato",$I$38-1,0)),IF(AND($L$711=0,$P$708=0),"",$L$711-1),IF($R$17="Distrato",$E1096,0)),MIN(AK$38,$D$19),$P$20))-SUM($P1096:AJ1096)</f>
        <v>#VALUE!</v>
      </c>
      <c r="AL1096" s="446" t="e">
        <f>IF(OR($B1096="",MIN(AL$38,$D$19)&lt;MAX($P$708*($B1096+IF($R$17="Distrato",$I$38-1,0)),IF(AND($L$711=0,$P$708=0),"",$L$711-1),IF($R$17="Distrato",$E1096,0))),0,YEARFRAC(MAX($P$708*($B1096+IF($R$17="Distrato",$I$38-1,0)),IF(AND($L$711=0,$P$708=0),"",$L$711-1),IF($R$17="Distrato",$E1096,0)),MIN(AL$38,$D$19),$P$20))-SUM($P1096:AK1096)</f>
        <v>#VALUE!</v>
      </c>
      <c r="AM1096" s="446" t="e">
        <f>IF(OR($B1096="",MIN(AM$38,$D$19)&lt;MAX($P$708*($B1096+IF($R$17="Distrato",$I$38-1,0)),IF(AND($L$711=0,$P$708=0),"",$L$711-1),IF($R$17="Distrato",$E1096,0))),0,YEARFRAC(MAX($P$708*($B1096+IF($R$17="Distrato",$I$38-1,0)),IF(AND($L$711=0,$P$708=0),"",$L$711-1),IF($R$17="Distrato",$E1096,0)),MIN(AM$38,$D$19),$P$20))-SUM($P1096:AL1096)</f>
        <v>#VALUE!</v>
      </c>
      <c r="AN1096" s="446" t="e">
        <f>IF(OR($B1096="",MIN(AN$38,$D$19)&lt;MAX($P$708*($B1096+IF($R$17="Distrato",$I$38-1,0)),IF(AND($L$711=0,$P$708=0),"",$L$711-1),IF($R$17="Distrato",$E1096,0))),0,YEARFRAC(MAX($P$708*($B1096+IF($R$17="Distrato",$I$38-1,0)),IF(AND($L$711=0,$P$708=0),"",$L$711-1),IF($R$17="Distrato",$E1096,0)),MIN(AN$38,$D$19),$P$20))-SUM($P1096:AM1096)</f>
        <v>#VALUE!</v>
      </c>
      <c r="AO1096" s="446" t="e">
        <f>IF(OR($B1096="",MIN(AO$38,$D$19)&lt;MAX($P$708*($B1096+IF($R$17="Distrato",$I$38-1,0)),IF(AND($L$711=0,$P$708=0),"",$L$711-1),IF($R$17="Distrato",$E1096,0))),0,YEARFRAC(MAX($P$708*($B1096+IF($R$17="Distrato",$I$38-1,0)),IF(AND($L$711=0,$P$708=0),"",$L$711-1),IF($R$17="Distrato",$E1096,0)),MIN(AO$38,$D$19),$P$20))-SUM($P1096:AN1096)</f>
        <v>#VALUE!</v>
      </c>
      <c r="AP1096" s="446" t="e">
        <f>IF(OR($B1096="",MIN(AP$38,$D$19)&lt;MAX($P$708*($B1096+IF($R$17="Distrato",$I$38-1,0)),IF(AND($L$711=0,$P$708=0),"",$L$711-1),IF($R$17="Distrato",$E1096,0))),0,YEARFRAC(MAX($P$708*($B1096+IF($R$17="Distrato",$I$38-1,0)),IF(AND($L$711=0,$P$708=0),"",$L$711-1),IF($R$17="Distrato",$E1096,0)),MIN(AP$38,$D$19),$P$20))-SUM($P1096:AO1096)</f>
        <v>#VALUE!</v>
      </c>
      <c r="AQ1096" s="446" t="e">
        <f>IF(OR($B1096="",MIN(AQ$38,$D$19)&lt;MAX($P$708*($B1096+IF($R$17="Distrato",$I$38-1,0)),IF(AND($L$711=0,$P$708=0),"",$L$711-1),IF($R$17="Distrato",$E1096,0))),0,YEARFRAC(MAX($P$708*($B1096+IF($R$17="Distrato",$I$38-1,0)),IF(AND($L$711=0,$P$708=0),"",$L$711-1),IF($R$17="Distrato",$E1096,0)),MIN(AQ$38,$D$19),$P$20))-SUM($P1096:AP1096)</f>
        <v>#VALUE!</v>
      </c>
      <c r="AR1096" s="446" t="e">
        <f>IF(OR($B1096="",MIN(AR$38,$D$19)&lt;MAX($P$708*($B1096+IF($R$17="Distrato",$I$38-1,0)),IF(AND($L$711=0,$P$708=0),"",$L$711-1),IF($R$17="Distrato",$E1096,0))),0,YEARFRAC(MAX($P$708*($B1096+IF($R$17="Distrato",$I$38-1,0)),IF(AND($L$711=0,$P$708=0),"",$L$711-1),IF($R$17="Distrato",$E1096,0)),MIN(AR$38,$D$19),$P$20))-SUM($P1096:AQ1096)</f>
        <v>#VALUE!</v>
      </c>
      <c r="AS1096" s="446" t="e">
        <f>IF(OR($B1096="",MIN(AS$38,$D$19)&lt;MAX($P$708*($B1096+IF($R$17="Distrato",$I$38-1,0)),IF(AND($L$711=0,$P$708=0),"",$L$711-1),IF($R$17="Distrato",$E1096,0))),0,YEARFRAC(MAX($P$708*($B1096+IF($R$17="Distrato",$I$38-1,0)),IF(AND($L$711=0,$P$708=0),"",$L$711-1),IF($R$17="Distrato",$E1096,0)),MIN(AS$38,$D$19),$P$20))-SUM($P1096:AR1096)</f>
        <v>#VALUE!</v>
      </c>
      <c r="AT1096" s="446" t="e">
        <f>IF(OR($B1096="",MIN(AT$38,$D$19)&lt;MAX($P$708*($B1096+IF($R$17="Distrato",$I$38-1,0)),IF(AND($L$711=0,$P$708=0),"",$L$711-1),IF($R$17="Distrato",$E1096,0))),0,YEARFRAC(MAX($P$708*($B1096+IF($R$17="Distrato",$I$38-1,0)),IF(AND($L$711=0,$P$708=0),"",$L$711-1),IF($R$17="Distrato",$E1096,0)),MIN(AT$38,$D$19),$P$20))-SUM($P1096:AS1096)</f>
        <v>#VALUE!</v>
      </c>
      <c r="AU1096" s="446" t="e">
        <f>IF(OR($B1096="",MIN(AU$38,$D$19)&lt;MAX($P$708*($B1096+IF($R$17="Distrato",$I$38-1,0)),IF(AND($L$711=0,$P$708=0),"",$L$711-1),IF($R$17="Distrato",$E1096,0))),0,YEARFRAC(MAX($P$708*($B1096+IF($R$17="Distrato",$I$38-1,0)),IF(AND($L$711=0,$P$708=0),"",$L$711-1),IF($R$17="Distrato",$E1096,0)),MIN(AU$38,$D$19),$P$20))-SUM($P1096:AT1096)</f>
        <v>#VALUE!</v>
      </c>
      <c r="AV1096" s="446" t="e">
        <f>IF(OR($B1096="",MIN(AV$38,$D$19)&lt;MAX($P$708*($B1096+IF($R$17="Distrato",$I$38-1,0)),IF(AND($L$711=0,$P$708=0),"",$L$711-1),IF($R$17="Distrato",$E1096,0))),0,YEARFRAC(MAX($P$708*($B1096+IF($R$17="Distrato",$I$38-1,0)),IF(AND($L$711=0,$P$708=0),"",$L$711-1),IF($R$17="Distrato",$E1096,0)),MIN(AV$38,$D$19),$P$20))-SUM($P1096:AU1096)</f>
        <v>#VALUE!</v>
      </c>
      <c r="AW1096" s="446" t="e">
        <f>IF(OR($B1096="",MIN(AW$38,$D$19)&lt;MAX($P$708*($B1096+IF($R$17="Distrato",$I$38-1,0)),IF(AND($L$711=0,$P$708=0),"",$L$711-1),IF($R$17="Distrato",$E1096,0))),0,YEARFRAC(MAX($P$708*($B1096+IF($R$17="Distrato",$I$38-1,0)),IF(AND($L$711=0,$P$708=0),"",$L$711-1),IF($R$17="Distrato",$E1096,0)),MIN(AW$38,$D$19),$P$20))-SUM($P1096:AV1096)</f>
        <v>#VALUE!</v>
      </c>
      <c r="AX1096" s="446" t="e">
        <f>IF(OR($B1096="",MIN(AX$38,$D$19)&lt;MAX($P$708*($B1096+IF($R$17="Distrato",$I$38-1,0)),IF(AND($L$711=0,$P$708=0),"",$L$711-1),IF($R$17="Distrato",$E1096,0))),0,YEARFRAC(MAX($P$708*($B1096+IF($R$17="Distrato",$I$38-1,0)),IF(AND($L$711=0,$P$708=0),"",$L$711-1),IF($R$17="Distrato",$E1096,0)),MIN(AX$38,$D$19),$P$20))-SUM($P1096:AW1096)</f>
        <v>#VALUE!</v>
      </c>
      <c r="AY1096" s="446" t="e">
        <f>IF(OR($B1096="",MIN(AY$38,$D$19)&lt;MAX($P$708*($B1096+IF($R$17="Distrato",$I$38-1,0)),IF(AND($L$711=0,$P$708=0),"",$L$711-1),IF($R$17="Distrato",$E1096,0))),0,YEARFRAC(MAX($P$708*($B1096+IF($R$17="Distrato",$I$38-1,0)),IF(AND($L$711=0,$P$708=0),"",$L$711-1),IF($R$17="Distrato",$E1096,0)),MIN(AY$38,$D$19),$P$20))-SUM($P1096:AX1096)</f>
        <v>#VALUE!</v>
      </c>
      <c r="AZ1096" s="446" t="e">
        <f>IF(OR($B1096="",MIN(AZ$38,$D$19)&lt;MAX($P$708*($B1096+IF($R$17="Distrato",$I$38-1,0)),IF(AND($L$711=0,$P$708=0),"",$L$711-1),IF($R$17="Distrato",$E1096,0))),0,YEARFRAC(MAX($P$708*($B1096+IF($R$17="Distrato",$I$38-1,0)),IF(AND($L$711=0,$P$708=0),"",$L$711-1),IF($R$17="Distrato",$E1096,0)),MIN(AZ$38,$D$19),$P$20))-SUM($P1096:AY1096)</f>
        <v>#VALUE!</v>
      </c>
      <c r="BA1096" s="446" t="e">
        <f>IF(OR($B1096="",MIN(BA$38,$D$19)&lt;MAX($P$708*($B1096+IF($R$17="Distrato",$I$38-1,0)),IF(AND($L$711=0,$P$708=0),"",$L$711-1),IF($R$17="Distrato",$E1096,0))),0,YEARFRAC(MAX($P$708*($B1096+IF($R$17="Distrato",$I$38-1,0)),IF(AND($L$711=0,$P$708=0),"",$L$711-1),IF($R$17="Distrato",$E1096,0)),MIN(BA$38,$D$19),$P$20))-SUM($P1096:AZ1096)</f>
        <v>#VALUE!</v>
      </c>
      <c r="BB1096" s="447"/>
    </row>
    <row r="1097" spans="1:54" s="446" customFormat="1" ht="11.25" hidden="1" customHeight="1" x14ac:dyDescent="0.2">
      <c r="A1097" s="235"/>
      <c r="B1097" s="236"/>
      <c r="C1097" s="29" t="str">
        <f>IF(B1097="","",IF($L$709=$BL$25,VLOOKUP(DATE(YEAR($D$19),MONTH($D$19)-1,1),ÍNDICES!$A:$DE,HLOOKUP($BL$25,ÍNDICES!$B$3:$T$4,2)+11)-VLOOKUP(B1097,ÍNDICES!$A:$DE,HLOOKUP($BL$25,ÍNDICES!$B$3:$T$4,2)+11)+1%,IF(C$712=$W$26,$J$35,IF(ISERROR(IF(B1097&gt;$D$19,1,VLOOKUP(DATE(YEAR(B1097),MONTH(B1097)+IF($C$709=$S$23,1,0),1),ÍNDICES!$A:$DE,$Z$709+1))),"",IF(B1097&gt;$D$19,1,VLOOKUP(DATE(YEAR(B1097),MONTH(B1097)+IF($C$709=$S$23,1,0),1),ÍNDICES!$A:$DE,$Z$709+1))))))</f>
        <v/>
      </c>
      <c r="D1097" s="155"/>
      <c r="E1097" s="88"/>
      <c r="F1097" s="88"/>
      <c r="G1097" s="88"/>
      <c r="H1097" s="118"/>
      <c r="I1097" s="182">
        <f t="shared" si="150"/>
        <v>0</v>
      </c>
      <c r="J1097" s="20">
        <f t="shared" ca="1" si="151"/>
        <v>0</v>
      </c>
      <c r="K1097" s="5">
        <f t="shared" ca="1" si="152"/>
        <v>0</v>
      </c>
      <c r="L1097" s="61">
        <f t="shared" ca="1" si="153"/>
        <v>0</v>
      </c>
      <c r="M1097" s="64">
        <f t="shared" si="154"/>
        <v>0</v>
      </c>
      <c r="N1097" s="151"/>
      <c r="O1097" s="5">
        <f t="shared" ca="1" si="155"/>
        <v>0</v>
      </c>
      <c r="P1097" s="446" t="e">
        <f t="shared" si="156"/>
        <v>#VALUE!</v>
      </c>
      <c r="Q1097" s="446" t="e">
        <f>IF(OR($B1097="",MIN(Q$38,$D$19)&lt;MAX($P$708*($B1097+IF($R$17="Distrato",$I$38-1,0)),IF(AND($L$711=0,$P$708=0),"",$L$711-1),IF($R$17="Distrato",$E1097,0))),0,YEARFRAC(MAX($P$708*($B1097+IF($R$17="Distrato",$I$38-1,0)),IF(AND($L$711=0,$P$708=0),"",$L$711-1),IF($R$17="Distrato",$E1097,0)),MIN(Q$38,$D$19),$P$20))-SUM($P1097:P1097)</f>
        <v>#VALUE!</v>
      </c>
      <c r="R1097" s="446" t="e">
        <f>IF(OR($B1097="",MIN(R$38,$D$19)&lt;MAX($P$708*($B1097+IF($R$17="Distrato",$I$38-1,0)),IF(AND($L$711=0,$P$708=0),"",$L$711-1),IF($R$17="Distrato",$E1097,0))),0,YEARFRAC(MAX($P$708*($B1097+IF($R$17="Distrato",$I$38-1,0)),IF(AND($L$711=0,$P$708=0),"",$L$711-1),IF($R$17="Distrato",$E1097,0)),MIN(R$38,$D$19),$P$20))-SUM($P1097:Q1097)</f>
        <v>#VALUE!</v>
      </c>
      <c r="S1097" s="446" t="e">
        <f>IF(OR($B1097="",MIN(S$38,$D$19)&lt;MAX($P$708*($B1097+IF($R$17="Distrato",$I$38-1,0)),IF(AND($L$711=0,$P$708=0),"",$L$711-1),IF($R$17="Distrato",$E1097,0))),0,YEARFRAC(MAX($P$708*($B1097+IF($R$17="Distrato",$I$38-1,0)),IF(AND($L$711=0,$P$708=0),"",$L$711-1),IF($R$17="Distrato",$E1097,0)),MIN(S$38,$D$19),$P$20))-SUM($P1097:R1097)</f>
        <v>#VALUE!</v>
      </c>
      <c r="T1097" s="446" t="e">
        <f>IF(OR($B1097="",MIN(T$38,$D$19)&lt;MAX($P$708*($B1097+IF($R$17="Distrato",$I$38-1,0)),IF(AND($L$711=0,$P$708=0),"",$L$711-1),IF($R$17="Distrato",$E1097,0))),0,YEARFRAC(MAX($P$708*($B1097+IF($R$17="Distrato",$I$38-1,0)),IF(AND($L$711=0,$P$708=0),"",$L$711-1),IF($R$17="Distrato",$E1097,0)),MIN(T$38,$D$19),$P$20))-SUM($P1097:S1097)</f>
        <v>#VALUE!</v>
      </c>
      <c r="U1097" s="446" t="e">
        <f>IF(OR($B1097="",MIN(U$38,$D$19)&lt;MAX($P$708*($B1097+IF($R$17="Distrato",$I$38-1,0)),IF(AND($L$711=0,$P$708=0),"",$L$711-1),IF($R$17="Distrato",$E1097,0))),0,YEARFRAC(MAX($P$708*($B1097+IF($R$17="Distrato",$I$38-1,0)),IF(AND($L$711=0,$P$708=0),"",$L$711-1),IF($R$17="Distrato",$E1097,0)),MIN(U$38,$D$19),$P$20))-SUM($P1097:T1097)</f>
        <v>#VALUE!</v>
      </c>
      <c r="V1097" s="446" t="e">
        <f>IF(OR($B1097="",MIN(V$38,$D$19)&lt;MAX($P$708*($B1097+IF($R$17="Distrato",$I$38-1,0)),IF(AND($L$711=0,$P$708=0),"",$L$711-1),IF($R$17="Distrato",$E1097,0))),0,YEARFRAC(MAX($P$708*($B1097+IF($R$17="Distrato",$I$38-1,0)),IF(AND($L$711=0,$P$708=0),"",$L$711-1),IF($R$17="Distrato",$E1097,0)),MIN(V$38,$D$19),$P$20))-SUM($P1097:U1097)</f>
        <v>#VALUE!</v>
      </c>
      <c r="W1097" s="446" t="e">
        <f>IF(OR($B1097="",MIN(W$38,$D$19)&lt;MAX($P$708*($B1097+IF($R$17="Distrato",$I$38-1,0)),IF(AND($L$711=0,$P$708=0),"",$L$711-1),IF($R$17="Distrato",$E1097,0))),0,YEARFRAC(MAX($P$708*($B1097+IF($R$17="Distrato",$I$38-1,0)),IF(AND($L$711=0,$P$708=0),"",$L$711-1),IF($R$17="Distrato",$E1097,0)),MIN(W$38,$D$19),$P$20))-SUM($P1097:V1097)</f>
        <v>#VALUE!</v>
      </c>
      <c r="X1097" s="446" t="e">
        <f>IF(OR($B1097="",MIN(X$38,$D$19)&lt;MAX($P$708*($B1097+IF($R$17="Distrato",$I$38-1,0)),IF(AND($L$711=0,$P$708=0),"",$L$711-1),IF($R$17="Distrato",$E1097,0))),0,YEARFRAC(MAX($P$708*($B1097+IF($R$17="Distrato",$I$38-1,0)),IF(AND($L$711=0,$P$708=0),"",$L$711-1),IF($R$17="Distrato",$E1097,0)),MIN(X$38,$D$19),$P$20))-SUM($P1097:W1097)</f>
        <v>#VALUE!</v>
      </c>
      <c r="Y1097" s="446" t="e">
        <f>IF(OR($B1097="",MIN(Y$38,$D$19)&lt;MAX($P$708*($B1097+IF($R$17="Distrato",$I$38-1,0)),IF(AND($L$711=0,$P$708=0),"",$L$711-1),IF($R$17="Distrato",$E1097,0))),0,YEARFRAC(MAX($P$708*($B1097+IF($R$17="Distrato",$I$38-1,0)),IF(AND($L$711=0,$P$708=0),"",$L$711-1),IF($R$17="Distrato",$E1097,0)),MIN(Y$38,$D$19),$P$20))-SUM($P1097:X1097)</f>
        <v>#VALUE!</v>
      </c>
      <c r="Z1097" s="446" t="e">
        <f>IF(OR($B1097="",MIN(Z$38,$D$19)&lt;MAX($P$708*($B1097+IF($R$17="Distrato",$I$38-1,0)),IF(AND($L$711=0,$P$708=0),"",$L$711-1),IF($R$17="Distrato",$E1097,0))),0,YEARFRAC(MAX($P$708*($B1097+IF($R$17="Distrato",$I$38-1,0)),IF(AND($L$711=0,$P$708=0),"",$L$711-1),IF($R$17="Distrato",$E1097,0)),MIN(Z$38,$D$19),$P$20))-SUM($P1097:Y1097)</f>
        <v>#VALUE!</v>
      </c>
      <c r="AA1097" s="446" t="e">
        <f>IF(OR($B1097="",MIN(AA$38,$D$19)&lt;MAX($P$708*($B1097+IF($R$17="Distrato",$I$38-1,0)),IF(AND($L$711=0,$P$708=0),"",$L$711-1),IF($R$17="Distrato",$E1097,0))),0,YEARFRAC(MAX($P$708*($B1097+IF($R$17="Distrato",$I$38-1,0)),IF(AND($L$711=0,$P$708=0),"",$L$711-1),IF($R$17="Distrato",$E1097,0)),MIN(AA$38,$D$19),$P$20))-SUM($P1097:Z1097)</f>
        <v>#VALUE!</v>
      </c>
      <c r="AB1097" s="446" t="e">
        <f>IF(OR($B1097="",MIN(AB$38,$D$19)&lt;MAX($P$708*($B1097+IF($R$17="Distrato",$I$38-1,0)),IF(AND($L$711=0,$P$708=0),"",$L$711-1),IF($R$17="Distrato",$E1097,0))),0,YEARFRAC(MAX($P$708*($B1097+IF($R$17="Distrato",$I$38-1,0)),IF(AND($L$711=0,$P$708=0),"",$L$711-1),IF($R$17="Distrato",$E1097,0)),MIN(AB$38,$D$19),$P$20))-SUM($P1097:AA1097)</f>
        <v>#VALUE!</v>
      </c>
      <c r="AC1097" s="446" t="e">
        <f>IF(OR($B1097="",MIN(AC$38,$D$19)&lt;MAX($P$708*($B1097+IF($R$17="Distrato",$I$38-1,0)),IF(AND($L$711=0,$P$708=0),"",$L$711-1),IF($R$17="Distrato",$E1097,0))),0,YEARFRAC(MAX($P$708*($B1097+IF($R$17="Distrato",$I$38-1,0)),IF(AND($L$711=0,$P$708=0),"",$L$711-1),IF($R$17="Distrato",$E1097,0)),MIN(AC$38,$D$19),$P$20))-SUM($P1097:AB1097)</f>
        <v>#VALUE!</v>
      </c>
      <c r="AD1097" s="446" t="e">
        <f>IF(OR($B1097="",MIN(AD$38,$D$19)&lt;MAX($P$708*($B1097+IF($R$17="Distrato",$I$38-1,0)),IF(AND($L$711=0,$P$708=0),"",$L$711-1),IF($R$17="Distrato",$E1097,0))),0,YEARFRAC(MAX($P$708*($B1097+IF($R$17="Distrato",$I$38-1,0)),IF(AND($L$711=0,$P$708=0),"",$L$711-1),IF($R$17="Distrato",$E1097,0)),MIN(AD$38,$D$19),$P$20))-SUM($P1097:AC1097)</f>
        <v>#VALUE!</v>
      </c>
      <c r="AE1097" s="446" t="e">
        <f>IF(OR($B1097="",MIN(AE$38,$D$19)&lt;MAX($P$708*($B1097+IF($R$17="Distrato",$I$38-1,0)),IF(AND($L$711=0,$P$708=0),"",$L$711-1),IF($R$17="Distrato",$E1097,0))),0,YEARFRAC(MAX($P$708*($B1097+IF($R$17="Distrato",$I$38-1,0)),IF(AND($L$711=0,$P$708=0),"",$L$711-1),IF($R$17="Distrato",$E1097,0)),MIN(AE$38,$D$19),$P$20))-SUM($P1097:AD1097)</f>
        <v>#VALUE!</v>
      </c>
      <c r="AF1097" s="446" t="e">
        <f>IF(OR($B1097="",MIN(AF$38,$D$19)&lt;MAX($P$708*($B1097+IF($R$17="Distrato",$I$38-1,0)),IF(AND($L$711=0,$P$708=0),"",$L$711-1),IF($R$17="Distrato",$E1097,0))),0,YEARFRAC(MAX($P$708*($B1097+IF($R$17="Distrato",$I$38-1,0)),IF(AND($L$711=0,$P$708=0),"",$L$711-1),IF($R$17="Distrato",$E1097,0)),MIN(AF$38,$D$19),$P$20))-SUM($P1097:AE1097)</f>
        <v>#VALUE!</v>
      </c>
      <c r="AG1097" s="446" t="e">
        <f>IF(OR($B1097="",MIN(AG$38,$D$19)&lt;MAX($P$708*($B1097+IF($R$17="Distrato",$I$38-1,0)),IF(AND($L$711=0,$P$708=0),"",$L$711-1),IF($R$17="Distrato",$E1097,0))),0,YEARFRAC(MAX($P$708*($B1097+IF($R$17="Distrato",$I$38-1,0)),IF(AND($L$711=0,$P$708=0),"",$L$711-1),IF($R$17="Distrato",$E1097,0)),MIN(AG$38,$D$19),$P$20))-SUM($P1097:AF1097)</f>
        <v>#VALUE!</v>
      </c>
      <c r="AH1097" s="446" t="e">
        <f>IF(OR($B1097="",MIN(AH$38,$D$19)&lt;MAX($P$708*($B1097+IF($R$17="Distrato",$I$38-1,0)),IF(AND($L$711=0,$P$708=0),"",$L$711-1),IF($R$17="Distrato",$E1097,0))),0,YEARFRAC(MAX($P$708*($B1097+IF($R$17="Distrato",$I$38-1,0)),IF(AND($L$711=0,$P$708=0),"",$L$711-1),IF($R$17="Distrato",$E1097,0)),MIN(AH$38,$D$19),$P$20))-SUM($P1097:AG1097)</f>
        <v>#VALUE!</v>
      </c>
      <c r="AI1097" s="446" t="e">
        <f>IF(OR($B1097="",MIN(AI$38,$D$19)&lt;MAX($P$708*($B1097+IF($R$17="Distrato",$I$38-1,0)),IF(AND($L$711=0,$P$708=0),"",$L$711-1),IF($R$17="Distrato",$E1097,0))),0,YEARFRAC(MAX($P$708*($B1097+IF($R$17="Distrato",$I$38-1,0)),IF(AND($L$711=0,$P$708=0),"",$L$711-1),IF($R$17="Distrato",$E1097,0)),MIN(AI$38,$D$19),$P$20))-SUM($P1097:AH1097)</f>
        <v>#VALUE!</v>
      </c>
      <c r="AJ1097" s="446" t="e">
        <f>IF(OR($B1097="",MIN(AJ$38,$D$19)&lt;MAX($P$708*($B1097+IF($R$17="Distrato",$I$38-1,0)),IF(AND($L$711=0,$P$708=0),"",$L$711-1),IF($R$17="Distrato",$E1097,0))),0,YEARFRAC(MAX($P$708*($B1097+IF($R$17="Distrato",$I$38-1,0)),IF(AND($L$711=0,$P$708=0),"",$L$711-1),IF($R$17="Distrato",$E1097,0)),MIN(AJ$38,$D$19),$P$20))-SUM($P1097:AI1097)</f>
        <v>#VALUE!</v>
      </c>
      <c r="AK1097" s="446" t="e">
        <f>IF(OR($B1097="",MIN(AK$38,$D$19)&lt;MAX($P$708*($B1097+IF($R$17="Distrato",$I$38-1,0)),IF(AND($L$711=0,$P$708=0),"",$L$711-1),IF($R$17="Distrato",$E1097,0))),0,YEARFRAC(MAX($P$708*($B1097+IF($R$17="Distrato",$I$38-1,0)),IF(AND($L$711=0,$P$708=0),"",$L$711-1),IF($R$17="Distrato",$E1097,0)),MIN(AK$38,$D$19),$P$20))-SUM($P1097:AJ1097)</f>
        <v>#VALUE!</v>
      </c>
      <c r="AL1097" s="446" t="e">
        <f>IF(OR($B1097="",MIN(AL$38,$D$19)&lt;MAX($P$708*($B1097+IF($R$17="Distrato",$I$38-1,0)),IF(AND($L$711=0,$P$708=0),"",$L$711-1),IF($R$17="Distrato",$E1097,0))),0,YEARFRAC(MAX($P$708*($B1097+IF($R$17="Distrato",$I$38-1,0)),IF(AND($L$711=0,$P$708=0),"",$L$711-1),IF($R$17="Distrato",$E1097,0)),MIN(AL$38,$D$19),$P$20))-SUM($P1097:AK1097)</f>
        <v>#VALUE!</v>
      </c>
      <c r="AM1097" s="446" t="e">
        <f>IF(OR($B1097="",MIN(AM$38,$D$19)&lt;MAX($P$708*($B1097+IF($R$17="Distrato",$I$38-1,0)),IF(AND($L$711=0,$P$708=0),"",$L$711-1),IF($R$17="Distrato",$E1097,0))),0,YEARFRAC(MAX($P$708*($B1097+IF($R$17="Distrato",$I$38-1,0)),IF(AND($L$711=0,$P$708=0),"",$L$711-1),IF($R$17="Distrato",$E1097,0)),MIN(AM$38,$D$19),$P$20))-SUM($P1097:AL1097)</f>
        <v>#VALUE!</v>
      </c>
      <c r="AN1097" s="446" t="e">
        <f>IF(OR($B1097="",MIN(AN$38,$D$19)&lt;MAX($P$708*($B1097+IF($R$17="Distrato",$I$38-1,0)),IF(AND($L$711=0,$P$708=0),"",$L$711-1),IF($R$17="Distrato",$E1097,0))),0,YEARFRAC(MAX($P$708*($B1097+IF($R$17="Distrato",$I$38-1,0)),IF(AND($L$711=0,$P$708=0),"",$L$711-1),IF($R$17="Distrato",$E1097,0)),MIN(AN$38,$D$19),$P$20))-SUM($P1097:AM1097)</f>
        <v>#VALUE!</v>
      </c>
      <c r="AO1097" s="446" t="e">
        <f>IF(OR($B1097="",MIN(AO$38,$D$19)&lt;MAX($P$708*($B1097+IF($R$17="Distrato",$I$38-1,0)),IF(AND($L$711=0,$P$708=0),"",$L$711-1),IF($R$17="Distrato",$E1097,0))),0,YEARFRAC(MAX($P$708*($B1097+IF($R$17="Distrato",$I$38-1,0)),IF(AND($L$711=0,$P$708=0),"",$L$711-1),IF($R$17="Distrato",$E1097,0)),MIN(AO$38,$D$19),$P$20))-SUM($P1097:AN1097)</f>
        <v>#VALUE!</v>
      </c>
      <c r="AP1097" s="446" t="e">
        <f>IF(OR($B1097="",MIN(AP$38,$D$19)&lt;MAX($P$708*($B1097+IF($R$17="Distrato",$I$38-1,0)),IF(AND($L$711=0,$P$708=0),"",$L$711-1),IF($R$17="Distrato",$E1097,0))),0,YEARFRAC(MAX($P$708*($B1097+IF($R$17="Distrato",$I$38-1,0)),IF(AND($L$711=0,$P$708=0),"",$L$711-1),IF($R$17="Distrato",$E1097,0)),MIN(AP$38,$D$19),$P$20))-SUM($P1097:AO1097)</f>
        <v>#VALUE!</v>
      </c>
      <c r="AQ1097" s="446" t="e">
        <f>IF(OR($B1097="",MIN(AQ$38,$D$19)&lt;MAX($P$708*($B1097+IF($R$17="Distrato",$I$38-1,0)),IF(AND($L$711=0,$P$708=0),"",$L$711-1),IF($R$17="Distrato",$E1097,0))),0,YEARFRAC(MAX($P$708*($B1097+IF($R$17="Distrato",$I$38-1,0)),IF(AND($L$711=0,$P$708=0),"",$L$711-1),IF($R$17="Distrato",$E1097,0)),MIN(AQ$38,$D$19),$P$20))-SUM($P1097:AP1097)</f>
        <v>#VALUE!</v>
      </c>
      <c r="AR1097" s="446" t="e">
        <f>IF(OR($B1097="",MIN(AR$38,$D$19)&lt;MAX($P$708*($B1097+IF($R$17="Distrato",$I$38-1,0)),IF(AND($L$711=0,$P$708=0),"",$L$711-1),IF($R$17="Distrato",$E1097,0))),0,YEARFRAC(MAX($P$708*($B1097+IF($R$17="Distrato",$I$38-1,0)),IF(AND($L$711=0,$P$708=0),"",$L$711-1),IF($R$17="Distrato",$E1097,0)),MIN(AR$38,$D$19),$P$20))-SUM($P1097:AQ1097)</f>
        <v>#VALUE!</v>
      </c>
      <c r="AS1097" s="446" t="e">
        <f>IF(OR($B1097="",MIN(AS$38,$D$19)&lt;MAX($P$708*($B1097+IF($R$17="Distrato",$I$38-1,0)),IF(AND($L$711=0,$P$708=0),"",$L$711-1),IF($R$17="Distrato",$E1097,0))),0,YEARFRAC(MAX($P$708*($B1097+IF($R$17="Distrato",$I$38-1,0)),IF(AND($L$711=0,$P$708=0),"",$L$711-1),IF($R$17="Distrato",$E1097,0)),MIN(AS$38,$D$19),$P$20))-SUM($P1097:AR1097)</f>
        <v>#VALUE!</v>
      </c>
      <c r="AT1097" s="446" t="e">
        <f>IF(OR($B1097="",MIN(AT$38,$D$19)&lt;MAX($P$708*($B1097+IF($R$17="Distrato",$I$38-1,0)),IF(AND($L$711=0,$P$708=0),"",$L$711-1),IF($R$17="Distrato",$E1097,0))),0,YEARFRAC(MAX($P$708*($B1097+IF($R$17="Distrato",$I$38-1,0)),IF(AND($L$711=0,$P$708=0),"",$L$711-1),IF($R$17="Distrato",$E1097,0)),MIN(AT$38,$D$19),$P$20))-SUM($P1097:AS1097)</f>
        <v>#VALUE!</v>
      </c>
      <c r="AU1097" s="446" t="e">
        <f>IF(OR($B1097="",MIN(AU$38,$D$19)&lt;MAX($P$708*($B1097+IF($R$17="Distrato",$I$38-1,0)),IF(AND($L$711=0,$P$708=0),"",$L$711-1),IF($R$17="Distrato",$E1097,0))),0,YEARFRAC(MAX($P$708*($B1097+IF($R$17="Distrato",$I$38-1,0)),IF(AND($L$711=0,$P$708=0),"",$L$711-1),IF($R$17="Distrato",$E1097,0)),MIN(AU$38,$D$19),$P$20))-SUM($P1097:AT1097)</f>
        <v>#VALUE!</v>
      </c>
      <c r="AV1097" s="446" t="e">
        <f>IF(OR($B1097="",MIN(AV$38,$D$19)&lt;MAX($P$708*($B1097+IF($R$17="Distrato",$I$38-1,0)),IF(AND($L$711=0,$P$708=0),"",$L$711-1),IF($R$17="Distrato",$E1097,0))),0,YEARFRAC(MAX($P$708*($B1097+IF($R$17="Distrato",$I$38-1,0)),IF(AND($L$711=0,$P$708=0),"",$L$711-1),IF($R$17="Distrato",$E1097,0)),MIN(AV$38,$D$19),$P$20))-SUM($P1097:AU1097)</f>
        <v>#VALUE!</v>
      </c>
      <c r="AW1097" s="446" t="e">
        <f>IF(OR($B1097="",MIN(AW$38,$D$19)&lt;MAX($P$708*($B1097+IF($R$17="Distrato",$I$38-1,0)),IF(AND($L$711=0,$P$708=0),"",$L$711-1),IF($R$17="Distrato",$E1097,0))),0,YEARFRAC(MAX($P$708*($B1097+IF($R$17="Distrato",$I$38-1,0)),IF(AND($L$711=0,$P$708=0),"",$L$711-1),IF($R$17="Distrato",$E1097,0)),MIN(AW$38,$D$19),$P$20))-SUM($P1097:AV1097)</f>
        <v>#VALUE!</v>
      </c>
      <c r="AX1097" s="446" t="e">
        <f>IF(OR($B1097="",MIN(AX$38,$D$19)&lt;MAX($P$708*($B1097+IF($R$17="Distrato",$I$38-1,0)),IF(AND($L$711=0,$P$708=0),"",$L$711-1),IF($R$17="Distrato",$E1097,0))),0,YEARFRAC(MAX($P$708*($B1097+IF($R$17="Distrato",$I$38-1,0)),IF(AND($L$711=0,$P$708=0),"",$L$711-1),IF($R$17="Distrato",$E1097,0)),MIN(AX$38,$D$19),$P$20))-SUM($P1097:AW1097)</f>
        <v>#VALUE!</v>
      </c>
      <c r="AY1097" s="446" t="e">
        <f>IF(OR($B1097="",MIN(AY$38,$D$19)&lt;MAX($P$708*($B1097+IF($R$17="Distrato",$I$38-1,0)),IF(AND($L$711=0,$P$708=0),"",$L$711-1),IF($R$17="Distrato",$E1097,0))),0,YEARFRAC(MAX($P$708*($B1097+IF($R$17="Distrato",$I$38-1,0)),IF(AND($L$711=0,$P$708=0),"",$L$711-1),IF($R$17="Distrato",$E1097,0)),MIN(AY$38,$D$19),$P$20))-SUM($P1097:AX1097)</f>
        <v>#VALUE!</v>
      </c>
      <c r="AZ1097" s="446" t="e">
        <f>IF(OR($B1097="",MIN(AZ$38,$D$19)&lt;MAX($P$708*($B1097+IF($R$17="Distrato",$I$38-1,0)),IF(AND($L$711=0,$P$708=0),"",$L$711-1),IF($R$17="Distrato",$E1097,0))),0,YEARFRAC(MAX($P$708*($B1097+IF($R$17="Distrato",$I$38-1,0)),IF(AND($L$711=0,$P$708=0),"",$L$711-1),IF($R$17="Distrato",$E1097,0)),MIN(AZ$38,$D$19),$P$20))-SUM($P1097:AY1097)</f>
        <v>#VALUE!</v>
      </c>
      <c r="BA1097" s="446" t="e">
        <f>IF(OR($B1097="",MIN(BA$38,$D$19)&lt;MAX($P$708*($B1097+IF($R$17="Distrato",$I$38-1,0)),IF(AND($L$711=0,$P$708=0),"",$L$711-1),IF($R$17="Distrato",$E1097,0))),0,YEARFRAC(MAX($P$708*($B1097+IF($R$17="Distrato",$I$38-1,0)),IF(AND($L$711=0,$P$708=0),"",$L$711-1),IF($R$17="Distrato",$E1097,0)),MIN(BA$38,$D$19),$P$20))-SUM($P1097:AZ1097)</f>
        <v>#VALUE!</v>
      </c>
      <c r="BB1097" s="447"/>
    </row>
    <row r="1098" spans="1:54" s="446" customFormat="1" ht="11.25" hidden="1" customHeight="1" x14ac:dyDescent="0.2">
      <c r="A1098" s="235"/>
      <c r="B1098" s="236"/>
      <c r="C1098" s="29" t="str">
        <f>IF(B1098="","",IF($L$709=$BL$25,VLOOKUP(DATE(YEAR($D$19),MONTH($D$19)-1,1),ÍNDICES!$A:$DE,HLOOKUP($BL$25,ÍNDICES!$B$3:$T$4,2)+11)-VLOOKUP(B1098,ÍNDICES!$A:$DE,HLOOKUP($BL$25,ÍNDICES!$B$3:$T$4,2)+11)+1%,IF(C$712=$W$26,$J$35,IF(ISERROR(IF(B1098&gt;$D$19,1,VLOOKUP(DATE(YEAR(B1098),MONTH(B1098)+IF($C$709=$S$23,1,0),1),ÍNDICES!$A:$DE,$Z$709+1))),"",IF(B1098&gt;$D$19,1,VLOOKUP(DATE(YEAR(B1098),MONTH(B1098)+IF($C$709=$S$23,1,0),1),ÍNDICES!$A:$DE,$Z$709+1))))))</f>
        <v/>
      </c>
      <c r="D1098" s="155"/>
      <c r="E1098" s="88"/>
      <c r="F1098" s="88"/>
      <c r="G1098" s="88"/>
      <c r="H1098" s="118"/>
      <c r="I1098" s="182">
        <f t="shared" ref="I1098:I1161" si="157">IF(ISERROR(D1098-G1098),"",D1098-G1098)</f>
        <v>0</v>
      </c>
      <c r="J1098" s="20">
        <f t="shared" ref="J1098:J1161" ca="1" si="158">IF(ISERROR(IF(I1098="","",I1098*IF(B1098&gt;$D$19,1,$J$709)/C1098)),0,IF(I1098="","",I1098*IF(B1098&gt;$D$19,1,$J$709)/C1098))</f>
        <v>0</v>
      </c>
      <c r="K1098" s="5">
        <f t="shared" ref="K1098:K1161" ca="1" si="159">IF(ISERROR(J1098*K$712),0,J1098*K$712)</f>
        <v>0</v>
      </c>
      <c r="L1098" s="61">
        <f t="shared" ref="L1098:L1161" ca="1" si="160">IF(L$709="SELIC - TRIBUTOS",0,IFERROR(K1098*SUMPRODUCT($P$37:$BA$37,$P1098:$BA1098),0))</f>
        <v>0</v>
      </c>
      <c r="M1098" s="64">
        <f t="shared" ref="M1098:M1161" si="161">IFERROR(SUM(P1098:BA1098),0)</f>
        <v>0</v>
      </c>
      <c r="N1098" s="151"/>
      <c r="O1098" s="5">
        <f t="shared" ref="O1098:O1161" ca="1" si="162">IF(ISERROR((K1098+L1098)*N$712),"",(K1098+L1098)*N$712)</f>
        <v>0</v>
      </c>
      <c r="P1098" s="446" t="e">
        <f t="shared" ref="P1098:P1161" si="163">IF(OR($B1098="",MIN(P$38,$D$19)&lt;MAX($P$708*($B1098+IF($R$17="Distrato",$I$38-1,0)),IF(AND($L$711=0,$P$708=0),"",$L$711-1),IF($R$17="Distrato",$E1098,0))),0,YEARFRAC(MAX($P$708*($B1098+IF($R$17="Distrato",$I$38-1,0)),IF(AND($L$711=0,$P$708=0),"",$L$711-1),IF($R$17="Distrato",$E1098,0)),MIN(P$38,$D$19),$P$20))</f>
        <v>#VALUE!</v>
      </c>
      <c r="Q1098" s="446" t="e">
        <f>IF(OR($B1098="",MIN(Q$38,$D$19)&lt;MAX($P$708*($B1098+IF($R$17="Distrato",$I$38-1,0)),IF(AND($L$711=0,$P$708=0),"",$L$711-1),IF($R$17="Distrato",$E1098,0))),0,YEARFRAC(MAX($P$708*($B1098+IF($R$17="Distrato",$I$38-1,0)),IF(AND($L$711=0,$P$708=0),"",$L$711-1),IF($R$17="Distrato",$E1098,0)),MIN(Q$38,$D$19),$P$20))-SUM($P1098:P1098)</f>
        <v>#VALUE!</v>
      </c>
      <c r="R1098" s="446" t="e">
        <f>IF(OR($B1098="",MIN(R$38,$D$19)&lt;MAX($P$708*($B1098+IF($R$17="Distrato",$I$38-1,0)),IF(AND($L$711=0,$P$708=0),"",$L$711-1),IF($R$17="Distrato",$E1098,0))),0,YEARFRAC(MAX($P$708*($B1098+IF($R$17="Distrato",$I$38-1,0)),IF(AND($L$711=0,$P$708=0),"",$L$711-1),IF($R$17="Distrato",$E1098,0)),MIN(R$38,$D$19),$P$20))-SUM($P1098:Q1098)</f>
        <v>#VALUE!</v>
      </c>
      <c r="S1098" s="446" t="e">
        <f>IF(OR($B1098="",MIN(S$38,$D$19)&lt;MAX($P$708*($B1098+IF($R$17="Distrato",$I$38-1,0)),IF(AND($L$711=0,$P$708=0),"",$L$711-1),IF($R$17="Distrato",$E1098,0))),0,YEARFRAC(MAX($P$708*($B1098+IF($R$17="Distrato",$I$38-1,0)),IF(AND($L$711=0,$P$708=0),"",$L$711-1),IF($R$17="Distrato",$E1098,0)),MIN(S$38,$D$19),$P$20))-SUM($P1098:R1098)</f>
        <v>#VALUE!</v>
      </c>
      <c r="T1098" s="446" t="e">
        <f>IF(OR($B1098="",MIN(T$38,$D$19)&lt;MAX($P$708*($B1098+IF($R$17="Distrato",$I$38-1,0)),IF(AND($L$711=0,$P$708=0),"",$L$711-1),IF($R$17="Distrato",$E1098,0))),0,YEARFRAC(MAX($P$708*($B1098+IF($R$17="Distrato",$I$38-1,0)),IF(AND($L$711=0,$P$708=0),"",$L$711-1),IF($R$17="Distrato",$E1098,0)),MIN(T$38,$D$19),$P$20))-SUM($P1098:S1098)</f>
        <v>#VALUE!</v>
      </c>
      <c r="U1098" s="446" t="e">
        <f>IF(OR($B1098="",MIN(U$38,$D$19)&lt;MAX($P$708*($B1098+IF($R$17="Distrato",$I$38-1,0)),IF(AND($L$711=0,$P$708=0),"",$L$711-1),IF($R$17="Distrato",$E1098,0))),0,YEARFRAC(MAX($P$708*($B1098+IF($R$17="Distrato",$I$38-1,0)),IF(AND($L$711=0,$P$708=0),"",$L$711-1),IF($R$17="Distrato",$E1098,0)),MIN(U$38,$D$19),$P$20))-SUM($P1098:T1098)</f>
        <v>#VALUE!</v>
      </c>
      <c r="V1098" s="446" t="e">
        <f>IF(OR($B1098="",MIN(V$38,$D$19)&lt;MAX($P$708*($B1098+IF($R$17="Distrato",$I$38-1,0)),IF(AND($L$711=0,$P$708=0),"",$L$711-1),IF($R$17="Distrato",$E1098,0))),0,YEARFRAC(MAX($P$708*($B1098+IF($R$17="Distrato",$I$38-1,0)),IF(AND($L$711=0,$P$708=0),"",$L$711-1),IF($R$17="Distrato",$E1098,0)),MIN(V$38,$D$19),$P$20))-SUM($P1098:U1098)</f>
        <v>#VALUE!</v>
      </c>
      <c r="W1098" s="446" t="e">
        <f>IF(OR($B1098="",MIN(W$38,$D$19)&lt;MAX($P$708*($B1098+IF($R$17="Distrato",$I$38-1,0)),IF(AND($L$711=0,$P$708=0),"",$L$711-1),IF($R$17="Distrato",$E1098,0))),0,YEARFRAC(MAX($P$708*($B1098+IF($R$17="Distrato",$I$38-1,0)),IF(AND($L$711=0,$P$708=0),"",$L$711-1),IF($R$17="Distrato",$E1098,0)),MIN(W$38,$D$19),$P$20))-SUM($P1098:V1098)</f>
        <v>#VALUE!</v>
      </c>
      <c r="X1098" s="446" t="e">
        <f>IF(OR($B1098="",MIN(X$38,$D$19)&lt;MAX($P$708*($B1098+IF($R$17="Distrato",$I$38-1,0)),IF(AND($L$711=0,$P$708=0),"",$L$711-1),IF($R$17="Distrato",$E1098,0))),0,YEARFRAC(MAX($P$708*($B1098+IF($R$17="Distrato",$I$38-1,0)),IF(AND($L$711=0,$P$708=0),"",$L$711-1),IF($R$17="Distrato",$E1098,0)),MIN(X$38,$D$19),$P$20))-SUM($P1098:W1098)</f>
        <v>#VALUE!</v>
      </c>
      <c r="Y1098" s="446" t="e">
        <f>IF(OR($B1098="",MIN(Y$38,$D$19)&lt;MAX($P$708*($B1098+IF($R$17="Distrato",$I$38-1,0)),IF(AND($L$711=0,$P$708=0),"",$L$711-1),IF($R$17="Distrato",$E1098,0))),0,YEARFRAC(MAX($P$708*($B1098+IF($R$17="Distrato",$I$38-1,0)),IF(AND($L$711=0,$P$708=0),"",$L$711-1),IF($R$17="Distrato",$E1098,0)),MIN(Y$38,$D$19),$P$20))-SUM($P1098:X1098)</f>
        <v>#VALUE!</v>
      </c>
      <c r="Z1098" s="446" t="e">
        <f>IF(OR($B1098="",MIN(Z$38,$D$19)&lt;MAX($P$708*($B1098+IF($R$17="Distrato",$I$38-1,0)),IF(AND($L$711=0,$P$708=0),"",$L$711-1),IF($R$17="Distrato",$E1098,0))),0,YEARFRAC(MAX($P$708*($B1098+IF($R$17="Distrato",$I$38-1,0)),IF(AND($L$711=0,$P$708=0),"",$L$711-1),IF($R$17="Distrato",$E1098,0)),MIN(Z$38,$D$19),$P$20))-SUM($P1098:Y1098)</f>
        <v>#VALUE!</v>
      </c>
      <c r="AA1098" s="446" t="e">
        <f>IF(OR($B1098="",MIN(AA$38,$D$19)&lt;MAX($P$708*($B1098+IF($R$17="Distrato",$I$38-1,0)),IF(AND($L$711=0,$P$708=0),"",$L$711-1),IF($R$17="Distrato",$E1098,0))),0,YEARFRAC(MAX($P$708*($B1098+IF($R$17="Distrato",$I$38-1,0)),IF(AND($L$711=0,$P$708=0),"",$L$711-1),IF($R$17="Distrato",$E1098,0)),MIN(AA$38,$D$19),$P$20))-SUM($P1098:Z1098)</f>
        <v>#VALUE!</v>
      </c>
      <c r="AB1098" s="446" t="e">
        <f>IF(OR($B1098="",MIN(AB$38,$D$19)&lt;MAX($P$708*($B1098+IF($R$17="Distrato",$I$38-1,0)),IF(AND($L$711=0,$P$708=0),"",$L$711-1),IF($R$17="Distrato",$E1098,0))),0,YEARFRAC(MAX($P$708*($B1098+IF($R$17="Distrato",$I$38-1,0)),IF(AND($L$711=0,$P$708=0),"",$L$711-1),IF($R$17="Distrato",$E1098,0)),MIN(AB$38,$D$19),$P$20))-SUM($P1098:AA1098)</f>
        <v>#VALUE!</v>
      </c>
      <c r="AC1098" s="446" t="e">
        <f>IF(OR($B1098="",MIN(AC$38,$D$19)&lt;MAX($P$708*($B1098+IF($R$17="Distrato",$I$38-1,0)),IF(AND($L$711=0,$P$708=0),"",$L$711-1),IF($R$17="Distrato",$E1098,0))),0,YEARFRAC(MAX($P$708*($B1098+IF($R$17="Distrato",$I$38-1,0)),IF(AND($L$711=0,$P$708=0),"",$L$711-1),IF($R$17="Distrato",$E1098,0)),MIN(AC$38,$D$19),$P$20))-SUM($P1098:AB1098)</f>
        <v>#VALUE!</v>
      </c>
      <c r="AD1098" s="446" t="e">
        <f>IF(OR($B1098="",MIN(AD$38,$D$19)&lt;MAX($P$708*($B1098+IF($R$17="Distrato",$I$38-1,0)),IF(AND($L$711=0,$P$708=0),"",$L$711-1),IF($R$17="Distrato",$E1098,0))),0,YEARFRAC(MAX($P$708*($B1098+IF($R$17="Distrato",$I$38-1,0)),IF(AND($L$711=0,$P$708=0),"",$L$711-1),IF($R$17="Distrato",$E1098,0)),MIN(AD$38,$D$19),$P$20))-SUM($P1098:AC1098)</f>
        <v>#VALUE!</v>
      </c>
      <c r="AE1098" s="446" t="e">
        <f>IF(OR($B1098="",MIN(AE$38,$D$19)&lt;MAX($P$708*($B1098+IF($R$17="Distrato",$I$38-1,0)),IF(AND($L$711=0,$P$708=0),"",$L$711-1),IF($R$17="Distrato",$E1098,0))),0,YEARFRAC(MAX($P$708*($B1098+IF($R$17="Distrato",$I$38-1,0)),IF(AND($L$711=0,$P$708=0),"",$L$711-1),IF($R$17="Distrato",$E1098,0)),MIN(AE$38,$D$19),$P$20))-SUM($P1098:AD1098)</f>
        <v>#VALUE!</v>
      </c>
      <c r="AF1098" s="446" t="e">
        <f>IF(OR($B1098="",MIN(AF$38,$D$19)&lt;MAX($P$708*($B1098+IF($R$17="Distrato",$I$38-1,0)),IF(AND($L$711=0,$P$708=0),"",$L$711-1),IF($R$17="Distrato",$E1098,0))),0,YEARFRAC(MAX($P$708*($B1098+IF($R$17="Distrato",$I$38-1,0)),IF(AND($L$711=0,$P$708=0),"",$L$711-1),IF($R$17="Distrato",$E1098,0)),MIN(AF$38,$D$19),$P$20))-SUM($P1098:AE1098)</f>
        <v>#VALUE!</v>
      </c>
      <c r="AG1098" s="446" t="e">
        <f>IF(OR($B1098="",MIN(AG$38,$D$19)&lt;MAX($P$708*($B1098+IF($R$17="Distrato",$I$38-1,0)),IF(AND($L$711=0,$P$708=0),"",$L$711-1),IF($R$17="Distrato",$E1098,0))),0,YEARFRAC(MAX($P$708*($B1098+IF($R$17="Distrato",$I$38-1,0)),IF(AND($L$711=0,$P$708=0),"",$L$711-1),IF($R$17="Distrato",$E1098,0)),MIN(AG$38,$D$19),$P$20))-SUM($P1098:AF1098)</f>
        <v>#VALUE!</v>
      </c>
      <c r="AH1098" s="446" t="e">
        <f>IF(OR($B1098="",MIN(AH$38,$D$19)&lt;MAX($P$708*($B1098+IF($R$17="Distrato",$I$38-1,0)),IF(AND($L$711=0,$P$708=0),"",$L$711-1),IF($R$17="Distrato",$E1098,0))),0,YEARFRAC(MAX($P$708*($B1098+IF($R$17="Distrato",$I$38-1,0)),IF(AND($L$711=0,$P$708=0),"",$L$711-1),IF($R$17="Distrato",$E1098,0)),MIN(AH$38,$D$19),$P$20))-SUM($P1098:AG1098)</f>
        <v>#VALUE!</v>
      </c>
      <c r="AI1098" s="446" t="e">
        <f>IF(OR($B1098="",MIN(AI$38,$D$19)&lt;MAX($P$708*($B1098+IF($R$17="Distrato",$I$38-1,0)),IF(AND($L$711=0,$P$708=0),"",$L$711-1),IF($R$17="Distrato",$E1098,0))),0,YEARFRAC(MAX($P$708*($B1098+IF($R$17="Distrato",$I$38-1,0)),IF(AND($L$711=0,$P$708=0),"",$L$711-1),IF($R$17="Distrato",$E1098,0)),MIN(AI$38,$D$19),$P$20))-SUM($P1098:AH1098)</f>
        <v>#VALUE!</v>
      </c>
      <c r="AJ1098" s="446" t="e">
        <f>IF(OR($B1098="",MIN(AJ$38,$D$19)&lt;MAX($P$708*($B1098+IF($R$17="Distrato",$I$38-1,0)),IF(AND($L$711=0,$P$708=0),"",$L$711-1),IF($R$17="Distrato",$E1098,0))),0,YEARFRAC(MAX($P$708*($B1098+IF($R$17="Distrato",$I$38-1,0)),IF(AND($L$711=0,$P$708=0),"",$L$711-1),IF($R$17="Distrato",$E1098,0)),MIN(AJ$38,$D$19),$P$20))-SUM($P1098:AI1098)</f>
        <v>#VALUE!</v>
      </c>
      <c r="AK1098" s="446" t="e">
        <f>IF(OR($B1098="",MIN(AK$38,$D$19)&lt;MAX($P$708*($B1098+IF($R$17="Distrato",$I$38-1,0)),IF(AND($L$711=0,$P$708=0),"",$L$711-1),IF($R$17="Distrato",$E1098,0))),0,YEARFRAC(MAX($P$708*($B1098+IF($R$17="Distrato",$I$38-1,0)),IF(AND($L$711=0,$P$708=0),"",$L$711-1),IF($R$17="Distrato",$E1098,0)),MIN(AK$38,$D$19),$P$20))-SUM($P1098:AJ1098)</f>
        <v>#VALUE!</v>
      </c>
      <c r="AL1098" s="446" t="e">
        <f>IF(OR($B1098="",MIN(AL$38,$D$19)&lt;MAX($P$708*($B1098+IF($R$17="Distrato",$I$38-1,0)),IF(AND($L$711=0,$P$708=0),"",$L$711-1),IF($R$17="Distrato",$E1098,0))),0,YEARFRAC(MAX($P$708*($B1098+IF($R$17="Distrato",$I$38-1,0)),IF(AND($L$711=0,$P$708=0),"",$L$711-1),IF($R$17="Distrato",$E1098,0)),MIN(AL$38,$D$19),$P$20))-SUM($P1098:AK1098)</f>
        <v>#VALUE!</v>
      </c>
      <c r="AM1098" s="446" t="e">
        <f>IF(OR($B1098="",MIN(AM$38,$D$19)&lt;MAX($P$708*($B1098+IF($R$17="Distrato",$I$38-1,0)),IF(AND($L$711=0,$P$708=0),"",$L$711-1),IF($R$17="Distrato",$E1098,0))),0,YEARFRAC(MAX($P$708*($B1098+IF($R$17="Distrato",$I$38-1,0)),IF(AND($L$711=0,$P$708=0),"",$L$711-1),IF($R$17="Distrato",$E1098,0)),MIN(AM$38,$D$19),$P$20))-SUM($P1098:AL1098)</f>
        <v>#VALUE!</v>
      </c>
      <c r="AN1098" s="446" t="e">
        <f>IF(OR($B1098="",MIN(AN$38,$D$19)&lt;MAX($P$708*($B1098+IF($R$17="Distrato",$I$38-1,0)),IF(AND($L$711=0,$P$708=0),"",$L$711-1),IF($R$17="Distrato",$E1098,0))),0,YEARFRAC(MAX($P$708*($B1098+IF($R$17="Distrato",$I$38-1,0)),IF(AND($L$711=0,$P$708=0),"",$L$711-1),IF($R$17="Distrato",$E1098,0)),MIN(AN$38,$D$19),$P$20))-SUM($P1098:AM1098)</f>
        <v>#VALUE!</v>
      </c>
      <c r="AO1098" s="446" t="e">
        <f>IF(OR($B1098="",MIN(AO$38,$D$19)&lt;MAX($P$708*($B1098+IF($R$17="Distrato",$I$38-1,0)),IF(AND($L$711=0,$P$708=0),"",$L$711-1),IF($R$17="Distrato",$E1098,0))),0,YEARFRAC(MAX($P$708*($B1098+IF($R$17="Distrato",$I$38-1,0)),IF(AND($L$711=0,$P$708=0),"",$L$711-1),IF($R$17="Distrato",$E1098,0)),MIN(AO$38,$D$19),$P$20))-SUM($P1098:AN1098)</f>
        <v>#VALUE!</v>
      </c>
      <c r="AP1098" s="446" t="e">
        <f>IF(OR($B1098="",MIN(AP$38,$D$19)&lt;MAX($P$708*($B1098+IF($R$17="Distrato",$I$38-1,0)),IF(AND($L$711=0,$P$708=0),"",$L$711-1),IF($R$17="Distrato",$E1098,0))),0,YEARFRAC(MAX($P$708*($B1098+IF($R$17="Distrato",$I$38-1,0)),IF(AND($L$711=0,$P$708=0),"",$L$711-1),IF($R$17="Distrato",$E1098,0)),MIN(AP$38,$D$19),$P$20))-SUM($P1098:AO1098)</f>
        <v>#VALUE!</v>
      </c>
      <c r="AQ1098" s="446" t="e">
        <f>IF(OR($B1098="",MIN(AQ$38,$D$19)&lt;MAX($P$708*($B1098+IF($R$17="Distrato",$I$38-1,0)),IF(AND($L$711=0,$P$708=0),"",$L$711-1),IF($R$17="Distrato",$E1098,0))),0,YEARFRAC(MAX($P$708*($B1098+IF($R$17="Distrato",$I$38-1,0)),IF(AND($L$711=0,$P$708=0),"",$L$711-1),IF($R$17="Distrato",$E1098,0)),MIN(AQ$38,$D$19),$P$20))-SUM($P1098:AP1098)</f>
        <v>#VALUE!</v>
      </c>
      <c r="AR1098" s="446" t="e">
        <f>IF(OR($B1098="",MIN(AR$38,$D$19)&lt;MAX($P$708*($B1098+IF($R$17="Distrato",$I$38-1,0)),IF(AND($L$711=0,$P$708=0),"",$L$711-1),IF($R$17="Distrato",$E1098,0))),0,YEARFRAC(MAX($P$708*($B1098+IF($R$17="Distrato",$I$38-1,0)),IF(AND($L$711=0,$P$708=0),"",$L$711-1),IF($R$17="Distrato",$E1098,0)),MIN(AR$38,$D$19),$P$20))-SUM($P1098:AQ1098)</f>
        <v>#VALUE!</v>
      </c>
      <c r="AS1098" s="446" t="e">
        <f>IF(OR($B1098="",MIN(AS$38,$D$19)&lt;MAX($P$708*($B1098+IF($R$17="Distrato",$I$38-1,0)),IF(AND($L$711=0,$P$708=0),"",$L$711-1),IF($R$17="Distrato",$E1098,0))),0,YEARFRAC(MAX($P$708*($B1098+IF($R$17="Distrato",$I$38-1,0)),IF(AND($L$711=0,$P$708=0),"",$L$711-1),IF($R$17="Distrato",$E1098,0)),MIN(AS$38,$D$19),$P$20))-SUM($P1098:AR1098)</f>
        <v>#VALUE!</v>
      </c>
      <c r="AT1098" s="446" t="e">
        <f>IF(OR($B1098="",MIN(AT$38,$D$19)&lt;MAX($P$708*($B1098+IF($R$17="Distrato",$I$38-1,0)),IF(AND($L$711=0,$P$708=0),"",$L$711-1),IF($R$17="Distrato",$E1098,0))),0,YEARFRAC(MAX($P$708*($B1098+IF($R$17="Distrato",$I$38-1,0)),IF(AND($L$711=0,$P$708=0),"",$L$711-1),IF($R$17="Distrato",$E1098,0)),MIN(AT$38,$D$19),$P$20))-SUM($P1098:AS1098)</f>
        <v>#VALUE!</v>
      </c>
      <c r="AU1098" s="446" t="e">
        <f>IF(OR($B1098="",MIN(AU$38,$D$19)&lt;MAX($P$708*($B1098+IF($R$17="Distrato",$I$38-1,0)),IF(AND($L$711=0,$P$708=0),"",$L$711-1),IF($R$17="Distrato",$E1098,0))),0,YEARFRAC(MAX($P$708*($B1098+IF($R$17="Distrato",$I$38-1,0)),IF(AND($L$711=0,$P$708=0),"",$L$711-1),IF($R$17="Distrato",$E1098,0)),MIN(AU$38,$D$19),$P$20))-SUM($P1098:AT1098)</f>
        <v>#VALUE!</v>
      </c>
      <c r="AV1098" s="446" t="e">
        <f>IF(OR($B1098="",MIN(AV$38,$D$19)&lt;MAX($P$708*($B1098+IF($R$17="Distrato",$I$38-1,0)),IF(AND($L$711=0,$P$708=0),"",$L$711-1),IF($R$17="Distrato",$E1098,0))),0,YEARFRAC(MAX($P$708*($B1098+IF($R$17="Distrato",$I$38-1,0)),IF(AND($L$711=0,$P$708=0),"",$L$711-1),IF($R$17="Distrato",$E1098,0)),MIN(AV$38,$D$19),$P$20))-SUM($P1098:AU1098)</f>
        <v>#VALUE!</v>
      </c>
      <c r="AW1098" s="446" t="e">
        <f>IF(OR($B1098="",MIN(AW$38,$D$19)&lt;MAX($P$708*($B1098+IF($R$17="Distrato",$I$38-1,0)),IF(AND($L$711=0,$P$708=0),"",$L$711-1),IF($R$17="Distrato",$E1098,0))),0,YEARFRAC(MAX($P$708*($B1098+IF($R$17="Distrato",$I$38-1,0)),IF(AND($L$711=0,$P$708=0),"",$L$711-1),IF($R$17="Distrato",$E1098,0)),MIN(AW$38,$D$19),$P$20))-SUM($P1098:AV1098)</f>
        <v>#VALUE!</v>
      </c>
      <c r="AX1098" s="446" t="e">
        <f>IF(OR($B1098="",MIN(AX$38,$D$19)&lt;MAX($P$708*($B1098+IF($R$17="Distrato",$I$38-1,0)),IF(AND($L$711=0,$P$708=0),"",$L$711-1),IF($R$17="Distrato",$E1098,0))),0,YEARFRAC(MAX($P$708*($B1098+IF($R$17="Distrato",$I$38-1,0)),IF(AND($L$711=0,$P$708=0),"",$L$711-1),IF($R$17="Distrato",$E1098,0)),MIN(AX$38,$D$19),$P$20))-SUM($P1098:AW1098)</f>
        <v>#VALUE!</v>
      </c>
      <c r="AY1098" s="446" t="e">
        <f>IF(OR($B1098="",MIN(AY$38,$D$19)&lt;MAX($P$708*($B1098+IF($R$17="Distrato",$I$38-1,0)),IF(AND($L$711=0,$P$708=0),"",$L$711-1),IF($R$17="Distrato",$E1098,0))),0,YEARFRAC(MAX($P$708*($B1098+IF($R$17="Distrato",$I$38-1,0)),IF(AND($L$711=0,$P$708=0),"",$L$711-1),IF($R$17="Distrato",$E1098,0)),MIN(AY$38,$D$19),$P$20))-SUM($P1098:AX1098)</f>
        <v>#VALUE!</v>
      </c>
      <c r="AZ1098" s="446" t="e">
        <f>IF(OR($B1098="",MIN(AZ$38,$D$19)&lt;MAX($P$708*($B1098+IF($R$17="Distrato",$I$38-1,0)),IF(AND($L$711=0,$P$708=0),"",$L$711-1),IF($R$17="Distrato",$E1098,0))),0,YEARFRAC(MAX($P$708*($B1098+IF($R$17="Distrato",$I$38-1,0)),IF(AND($L$711=0,$P$708=0),"",$L$711-1),IF($R$17="Distrato",$E1098,0)),MIN(AZ$38,$D$19),$P$20))-SUM($P1098:AY1098)</f>
        <v>#VALUE!</v>
      </c>
      <c r="BA1098" s="446" t="e">
        <f>IF(OR($B1098="",MIN(BA$38,$D$19)&lt;MAX($P$708*($B1098+IF($R$17="Distrato",$I$38-1,0)),IF(AND($L$711=0,$P$708=0),"",$L$711-1),IF($R$17="Distrato",$E1098,0))),0,YEARFRAC(MAX($P$708*($B1098+IF($R$17="Distrato",$I$38-1,0)),IF(AND($L$711=0,$P$708=0),"",$L$711-1),IF($R$17="Distrato",$E1098,0)),MIN(BA$38,$D$19),$P$20))-SUM($P1098:AZ1098)</f>
        <v>#VALUE!</v>
      </c>
      <c r="BB1098" s="447"/>
    </row>
    <row r="1099" spans="1:54" s="446" customFormat="1" ht="11.25" hidden="1" customHeight="1" x14ac:dyDescent="0.2">
      <c r="A1099" s="235"/>
      <c r="B1099" s="236"/>
      <c r="C1099" s="29" t="str">
        <f>IF(B1099="","",IF($L$709=$BL$25,VLOOKUP(DATE(YEAR($D$19),MONTH($D$19)-1,1),ÍNDICES!$A:$DE,HLOOKUP($BL$25,ÍNDICES!$B$3:$T$4,2)+11)-VLOOKUP(B1099,ÍNDICES!$A:$DE,HLOOKUP($BL$25,ÍNDICES!$B$3:$T$4,2)+11)+1%,IF(C$712=$W$26,$J$35,IF(ISERROR(IF(B1099&gt;$D$19,1,VLOOKUP(DATE(YEAR(B1099),MONTH(B1099)+IF($C$709=$S$23,1,0),1),ÍNDICES!$A:$DE,$Z$709+1))),"",IF(B1099&gt;$D$19,1,VLOOKUP(DATE(YEAR(B1099),MONTH(B1099)+IF($C$709=$S$23,1,0),1),ÍNDICES!$A:$DE,$Z$709+1))))))</f>
        <v/>
      </c>
      <c r="D1099" s="155"/>
      <c r="E1099" s="88"/>
      <c r="F1099" s="88"/>
      <c r="G1099" s="88"/>
      <c r="H1099" s="118"/>
      <c r="I1099" s="182">
        <f t="shared" si="157"/>
        <v>0</v>
      </c>
      <c r="J1099" s="20">
        <f t="shared" ca="1" si="158"/>
        <v>0</v>
      </c>
      <c r="K1099" s="5">
        <f t="shared" ca="1" si="159"/>
        <v>0</v>
      </c>
      <c r="L1099" s="61">
        <f t="shared" ca="1" si="160"/>
        <v>0</v>
      </c>
      <c r="M1099" s="64">
        <f t="shared" si="161"/>
        <v>0</v>
      </c>
      <c r="N1099" s="151"/>
      <c r="O1099" s="5">
        <f t="shared" ca="1" si="162"/>
        <v>0</v>
      </c>
      <c r="P1099" s="446" t="e">
        <f t="shared" si="163"/>
        <v>#VALUE!</v>
      </c>
      <c r="Q1099" s="446" t="e">
        <f>IF(OR($B1099="",MIN(Q$38,$D$19)&lt;MAX($P$708*($B1099+IF($R$17="Distrato",$I$38-1,0)),IF(AND($L$711=0,$P$708=0),"",$L$711-1),IF($R$17="Distrato",$E1099,0))),0,YEARFRAC(MAX($P$708*($B1099+IF($R$17="Distrato",$I$38-1,0)),IF(AND($L$711=0,$P$708=0),"",$L$711-1),IF($R$17="Distrato",$E1099,0)),MIN(Q$38,$D$19),$P$20))-SUM($P1099:P1099)</f>
        <v>#VALUE!</v>
      </c>
      <c r="R1099" s="446" t="e">
        <f>IF(OR($B1099="",MIN(R$38,$D$19)&lt;MAX($P$708*($B1099+IF($R$17="Distrato",$I$38-1,0)),IF(AND($L$711=0,$P$708=0),"",$L$711-1),IF($R$17="Distrato",$E1099,0))),0,YEARFRAC(MAX($P$708*($B1099+IF($R$17="Distrato",$I$38-1,0)),IF(AND($L$711=0,$P$708=0),"",$L$711-1),IF($R$17="Distrato",$E1099,0)),MIN(R$38,$D$19),$P$20))-SUM($P1099:Q1099)</f>
        <v>#VALUE!</v>
      </c>
      <c r="S1099" s="446" t="e">
        <f>IF(OR($B1099="",MIN(S$38,$D$19)&lt;MAX($P$708*($B1099+IF($R$17="Distrato",$I$38-1,0)),IF(AND($L$711=0,$P$708=0),"",$L$711-1),IF($R$17="Distrato",$E1099,0))),0,YEARFRAC(MAX($P$708*($B1099+IF($R$17="Distrato",$I$38-1,0)),IF(AND($L$711=0,$P$708=0),"",$L$711-1),IF($R$17="Distrato",$E1099,0)),MIN(S$38,$D$19),$P$20))-SUM($P1099:R1099)</f>
        <v>#VALUE!</v>
      </c>
      <c r="T1099" s="446" t="e">
        <f>IF(OR($B1099="",MIN(T$38,$D$19)&lt;MAX($P$708*($B1099+IF($R$17="Distrato",$I$38-1,0)),IF(AND($L$711=0,$P$708=0),"",$L$711-1),IF($R$17="Distrato",$E1099,0))),0,YEARFRAC(MAX($P$708*($B1099+IF($R$17="Distrato",$I$38-1,0)),IF(AND($L$711=0,$P$708=0),"",$L$711-1),IF($R$17="Distrato",$E1099,0)),MIN(T$38,$D$19),$P$20))-SUM($P1099:S1099)</f>
        <v>#VALUE!</v>
      </c>
      <c r="U1099" s="446" t="e">
        <f>IF(OR($B1099="",MIN(U$38,$D$19)&lt;MAX($P$708*($B1099+IF($R$17="Distrato",$I$38-1,0)),IF(AND($L$711=0,$P$708=0),"",$L$711-1),IF($R$17="Distrato",$E1099,0))),0,YEARFRAC(MAX($P$708*($B1099+IF($R$17="Distrato",$I$38-1,0)),IF(AND($L$711=0,$P$708=0),"",$L$711-1),IF($R$17="Distrato",$E1099,0)),MIN(U$38,$D$19),$P$20))-SUM($P1099:T1099)</f>
        <v>#VALUE!</v>
      </c>
      <c r="V1099" s="446" t="e">
        <f>IF(OR($B1099="",MIN(V$38,$D$19)&lt;MAX($P$708*($B1099+IF($R$17="Distrato",$I$38-1,0)),IF(AND($L$711=0,$P$708=0),"",$L$711-1),IF($R$17="Distrato",$E1099,0))),0,YEARFRAC(MAX($P$708*($B1099+IF($R$17="Distrato",$I$38-1,0)),IF(AND($L$711=0,$P$708=0),"",$L$711-1),IF($R$17="Distrato",$E1099,0)),MIN(V$38,$D$19),$P$20))-SUM($P1099:U1099)</f>
        <v>#VALUE!</v>
      </c>
      <c r="W1099" s="446" t="e">
        <f>IF(OR($B1099="",MIN(W$38,$D$19)&lt;MAX($P$708*($B1099+IF($R$17="Distrato",$I$38-1,0)),IF(AND($L$711=0,$P$708=0),"",$L$711-1),IF($R$17="Distrato",$E1099,0))),0,YEARFRAC(MAX($P$708*($B1099+IF($R$17="Distrato",$I$38-1,0)),IF(AND($L$711=0,$P$708=0),"",$L$711-1),IF($R$17="Distrato",$E1099,0)),MIN(W$38,$D$19),$P$20))-SUM($P1099:V1099)</f>
        <v>#VALUE!</v>
      </c>
      <c r="X1099" s="446" t="e">
        <f>IF(OR($B1099="",MIN(X$38,$D$19)&lt;MAX($P$708*($B1099+IF($R$17="Distrato",$I$38-1,0)),IF(AND($L$711=0,$P$708=0),"",$L$711-1),IF($R$17="Distrato",$E1099,0))),0,YEARFRAC(MAX($P$708*($B1099+IF($R$17="Distrato",$I$38-1,0)),IF(AND($L$711=0,$P$708=0),"",$L$711-1),IF($R$17="Distrato",$E1099,0)),MIN(X$38,$D$19),$P$20))-SUM($P1099:W1099)</f>
        <v>#VALUE!</v>
      </c>
      <c r="Y1099" s="446" t="e">
        <f>IF(OR($B1099="",MIN(Y$38,$D$19)&lt;MAX($P$708*($B1099+IF($R$17="Distrato",$I$38-1,0)),IF(AND($L$711=0,$P$708=0),"",$L$711-1),IF($R$17="Distrato",$E1099,0))),0,YEARFRAC(MAX($P$708*($B1099+IF($R$17="Distrato",$I$38-1,0)),IF(AND($L$711=0,$P$708=0),"",$L$711-1),IF($R$17="Distrato",$E1099,0)),MIN(Y$38,$D$19),$P$20))-SUM($P1099:X1099)</f>
        <v>#VALUE!</v>
      </c>
      <c r="Z1099" s="446" t="e">
        <f>IF(OR($B1099="",MIN(Z$38,$D$19)&lt;MAX($P$708*($B1099+IF($R$17="Distrato",$I$38-1,0)),IF(AND($L$711=0,$P$708=0),"",$L$711-1),IF($R$17="Distrato",$E1099,0))),0,YEARFRAC(MAX($P$708*($B1099+IF($R$17="Distrato",$I$38-1,0)),IF(AND($L$711=0,$P$708=0),"",$L$711-1),IF($R$17="Distrato",$E1099,0)),MIN(Z$38,$D$19),$P$20))-SUM($P1099:Y1099)</f>
        <v>#VALUE!</v>
      </c>
      <c r="AA1099" s="446" t="e">
        <f>IF(OR($B1099="",MIN(AA$38,$D$19)&lt;MAX($P$708*($B1099+IF($R$17="Distrato",$I$38-1,0)),IF(AND($L$711=0,$P$708=0),"",$L$711-1),IF($R$17="Distrato",$E1099,0))),0,YEARFRAC(MAX($P$708*($B1099+IF($R$17="Distrato",$I$38-1,0)),IF(AND($L$711=0,$P$708=0),"",$L$711-1),IF($R$17="Distrato",$E1099,0)),MIN(AA$38,$D$19),$P$20))-SUM($P1099:Z1099)</f>
        <v>#VALUE!</v>
      </c>
      <c r="AB1099" s="446" t="e">
        <f>IF(OR($B1099="",MIN(AB$38,$D$19)&lt;MAX($P$708*($B1099+IF($R$17="Distrato",$I$38-1,0)),IF(AND($L$711=0,$P$708=0),"",$L$711-1),IF($R$17="Distrato",$E1099,0))),0,YEARFRAC(MAX($P$708*($B1099+IF($R$17="Distrato",$I$38-1,0)),IF(AND($L$711=0,$P$708=0),"",$L$711-1),IF($R$17="Distrato",$E1099,0)),MIN(AB$38,$D$19),$P$20))-SUM($P1099:AA1099)</f>
        <v>#VALUE!</v>
      </c>
      <c r="AC1099" s="446" t="e">
        <f>IF(OR($B1099="",MIN(AC$38,$D$19)&lt;MAX($P$708*($B1099+IF($R$17="Distrato",$I$38-1,0)),IF(AND($L$711=0,$P$708=0),"",$L$711-1),IF($R$17="Distrato",$E1099,0))),0,YEARFRAC(MAX($P$708*($B1099+IF($R$17="Distrato",$I$38-1,0)),IF(AND($L$711=0,$P$708=0),"",$L$711-1),IF($R$17="Distrato",$E1099,0)),MIN(AC$38,$D$19),$P$20))-SUM($P1099:AB1099)</f>
        <v>#VALUE!</v>
      </c>
      <c r="AD1099" s="446" t="e">
        <f>IF(OR($B1099="",MIN(AD$38,$D$19)&lt;MAX($P$708*($B1099+IF($R$17="Distrato",$I$38-1,0)),IF(AND($L$711=0,$P$708=0),"",$L$711-1),IF($R$17="Distrato",$E1099,0))),0,YEARFRAC(MAX($P$708*($B1099+IF($R$17="Distrato",$I$38-1,0)),IF(AND($L$711=0,$P$708=0),"",$L$711-1),IF($R$17="Distrato",$E1099,0)),MIN(AD$38,$D$19),$P$20))-SUM($P1099:AC1099)</f>
        <v>#VALUE!</v>
      </c>
      <c r="AE1099" s="446" t="e">
        <f>IF(OR($B1099="",MIN(AE$38,$D$19)&lt;MAX($P$708*($B1099+IF($R$17="Distrato",$I$38-1,0)),IF(AND($L$711=0,$P$708=0),"",$L$711-1),IF($R$17="Distrato",$E1099,0))),0,YEARFRAC(MAX($P$708*($B1099+IF($R$17="Distrato",$I$38-1,0)),IF(AND($L$711=0,$P$708=0),"",$L$711-1),IF($R$17="Distrato",$E1099,0)),MIN(AE$38,$D$19),$P$20))-SUM($P1099:AD1099)</f>
        <v>#VALUE!</v>
      </c>
      <c r="AF1099" s="446" t="e">
        <f>IF(OR($B1099="",MIN(AF$38,$D$19)&lt;MAX($P$708*($B1099+IF($R$17="Distrato",$I$38-1,0)),IF(AND($L$711=0,$P$708=0),"",$L$711-1),IF($R$17="Distrato",$E1099,0))),0,YEARFRAC(MAX($P$708*($B1099+IF($R$17="Distrato",$I$38-1,0)),IF(AND($L$711=0,$P$708=0),"",$L$711-1),IF($R$17="Distrato",$E1099,0)),MIN(AF$38,$D$19),$P$20))-SUM($P1099:AE1099)</f>
        <v>#VALUE!</v>
      </c>
      <c r="AG1099" s="446" t="e">
        <f>IF(OR($B1099="",MIN(AG$38,$D$19)&lt;MAX($P$708*($B1099+IF($R$17="Distrato",$I$38-1,0)),IF(AND($L$711=0,$P$708=0),"",$L$711-1),IF($R$17="Distrato",$E1099,0))),0,YEARFRAC(MAX($P$708*($B1099+IF($R$17="Distrato",$I$38-1,0)),IF(AND($L$711=0,$P$708=0),"",$L$711-1),IF($R$17="Distrato",$E1099,0)),MIN(AG$38,$D$19),$P$20))-SUM($P1099:AF1099)</f>
        <v>#VALUE!</v>
      </c>
      <c r="AH1099" s="446" t="e">
        <f>IF(OR($B1099="",MIN(AH$38,$D$19)&lt;MAX($P$708*($B1099+IF($R$17="Distrato",$I$38-1,0)),IF(AND($L$711=0,$P$708=0),"",$L$711-1),IF($R$17="Distrato",$E1099,0))),0,YEARFRAC(MAX($P$708*($B1099+IF($R$17="Distrato",$I$38-1,0)),IF(AND($L$711=0,$P$708=0),"",$L$711-1),IF($R$17="Distrato",$E1099,0)),MIN(AH$38,$D$19),$P$20))-SUM($P1099:AG1099)</f>
        <v>#VALUE!</v>
      </c>
      <c r="AI1099" s="446" t="e">
        <f>IF(OR($B1099="",MIN(AI$38,$D$19)&lt;MAX($P$708*($B1099+IF($R$17="Distrato",$I$38-1,0)),IF(AND($L$711=0,$P$708=0),"",$L$711-1),IF($R$17="Distrato",$E1099,0))),0,YEARFRAC(MAX($P$708*($B1099+IF($R$17="Distrato",$I$38-1,0)),IF(AND($L$711=0,$P$708=0),"",$L$711-1),IF($R$17="Distrato",$E1099,0)),MIN(AI$38,$D$19),$P$20))-SUM($P1099:AH1099)</f>
        <v>#VALUE!</v>
      </c>
      <c r="AJ1099" s="446" t="e">
        <f>IF(OR($B1099="",MIN(AJ$38,$D$19)&lt;MAX($P$708*($B1099+IF($R$17="Distrato",$I$38-1,0)),IF(AND($L$711=0,$P$708=0),"",$L$711-1),IF($R$17="Distrato",$E1099,0))),0,YEARFRAC(MAX($P$708*($B1099+IF($R$17="Distrato",$I$38-1,0)),IF(AND($L$711=0,$P$708=0),"",$L$711-1),IF($R$17="Distrato",$E1099,0)),MIN(AJ$38,$D$19),$P$20))-SUM($P1099:AI1099)</f>
        <v>#VALUE!</v>
      </c>
      <c r="AK1099" s="446" t="e">
        <f>IF(OR($B1099="",MIN(AK$38,$D$19)&lt;MAX($P$708*($B1099+IF($R$17="Distrato",$I$38-1,0)),IF(AND($L$711=0,$P$708=0),"",$L$711-1),IF($R$17="Distrato",$E1099,0))),0,YEARFRAC(MAX($P$708*($B1099+IF($R$17="Distrato",$I$38-1,0)),IF(AND($L$711=0,$P$708=0),"",$L$711-1),IF($R$17="Distrato",$E1099,0)),MIN(AK$38,$D$19),$P$20))-SUM($P1099:AJ1099)</f>
        <v>#VALUE!</v>
      </c>
      <c r="AL1099" s="446" t="e">
        <f>IF(OR($B1099="",MIN(AL$38,$D$19)&lt;MAX($P$708*($B1099+IF($R$17="Distrato",$I$38-1,0)),IF(AND($L$711=0,$P$708=0),"",$L$711-1),IF($R$17="Distrato",$E1099,0))),0,YEARFRAC(MAX($P$708*($B1099+IF($R$17="Distrato",$I$38-1,0)),IF(AND($L$711=0,$P$708=0),"",$L$711-1),IF($R$17="Distrato",$E1099,0)),MIN(AL$38,$D$19),$P$20))-SUM($P1099:AK1099)</f>
        <v>#VALUE!</v>
      </c>
      <c r="AM1099" s="446" t="e">
        <f>IF(OR($B1099="",MIN(AM$38,$D$19)&lt;MAX($P$708*($B1099+IF($R$17="Distrato",$I$38-1,0)),IF(AND($L$711=0,$P$708=0),"",$L$711-1),IF($R$17="Distrato",$E1099,0))),0,YEARFRAC(MAX($P$708*($B1099+IF($R$17="Distrato",$I$38-1,0)),IF(AND($L$711=0,$P$708=0),"",$L$711-1),IF($R$17="Distrato",$E1099,0)),MIN(AM$38,$D$19),$P$20))-SUM($P1099:AL1099)</f>
        <v>#VALUE!</v>
      </c>
      <c r="AN1099" s="446" t="e">
        <f>IF(OR($B1099="",MIN(AN$38,$D$19)&lt;MAX($P$708*($B1099+IF($R$17="Distrato",$I$38-1,0)),IF(AND($L$711=0,$P$708=0),"",$L$711-1),IF($R$17="Distrato",$E1099,0))),0,YEARFRAC(MAX($P$708*($B1099+IF($R$17="Distrato",$I$38-1,0)),IF(AND($L$711=0,$P$708=0),"",$L$711-1),IF($R$17="Distrato",$E1099,0)),MIN(AN$38,$D$19),$P$20))-SUM($P1099:AM1099)</f>
        <v>#VALUE!</v>
      </c>
      <c r="AO1099" s="446" t="e">
        <f>IF(OR($B1099="",MIN(AO$38,$D$19)&lt;MAX($P$708*($B1099+IF($R$17="Distrato",$I$38-1,0)),IF(AND($L$711=0,$P$708=0),"",$L$711-1),IF($R$17="Distrato",$E1099,0))),0,YEARFRAC(MAX($P$708*($B1099+IF($R$17="Distrato",$I$38-1,0)),IF(AND($L$711=0,$P$708=0),"",$L$711-1),IF($R$17="Distrato",$E1099,0)),MIN(AO$38,$D$19),$P$20))-SUM($P1099:AN1099)</f>
        <v>#VALUE!</v>
      </c>
      <c r="AP1099" s="446" t="e">
        <f>IF(OR($B1099="",MIN(AP$38,$D$19)&lt;MAX($P$708*($B1099+IF($R$17="Distrato",$I$38-1,0)),IF(AND($L$711=0,$P$708=0),"",$L$711-1),IF($R$17="Distrato",$E1099,0))),0,YEARFRAC(MAX($P$708*($B1099+IF($R$17="Distrato",$I$38-1,0)),IF(AND($L$711=0,$P$708=0),"",$L$711-1),IF($R$17="Distrato",$E1099,0)),MIN(AP$38,$D$19),$P$20))-SUM($P1099:AO1099)</f>
        <v>#VALUE!</v>
      </c>
      <c r="AQ1099" s="446" t="e">
        <f>IF(OR($B1099="",MIN(AQ$38,$D$19)&lt;MAX($P$708*($B1099+IF($R$17="Distrato",$I$38-1,0)),IF(AND($L$711=0,$P$708=0),"",$L$711-1),IF($R$17="Distrato",$E1099,0))),0,YEARFRAC(MAX($P$708*($B1099+IF($R$17="Distrato",$I$38-1,0)),IF(AND($L$711=0,$P$708=0),"",$L$711-1),IF($R$17="Distrato",$E1099,0)),MIN(AQ$38,$D$19),$P$20))-SUM($P1099:AP1099)</f>
        <v>#VALUE!</v>
      </c>
      <c r="AR1099" s="446" t="e">
        <f>IF(OR($B1099="",MIN(AR$38,$D$19)&lt;MAX($P$708*($B1099+IF($R$17="Distrato",$I$38-1,0)),IF(AND($L$711=0,$P$708=0),"",$L$711-1),IF($R$17="Distrato",$E1099,0))),0,YEARFRAC(MAX($P$708*($B1099+IF($R$17="Distrato",$I$38-1,0)),IF(AND($L$711=0,$P$708=0),"",$L$711-1),IF($R$17="Distrato",$E1099,0)),MIN(AR$38,$D$19),$P$20))-SUM($P1099:AQ1099)</f>
        <v>#VALUE!</v>
      </c>
      <c r="AS1099" s="446" t="e">
        <f>IF(OR($B1099="",MIN(AS$38,$D$19)&lt;MAX($P$708*($B1099+IF($R$17="Distrato",$I$38-1,0)),IF(AND($L$711=0,$P$708=0),"",$L$711-1),IF($R$17="Distrato",$E1099,0))),0,YEARFRAC(MAX($P$708*($B1099+IF($R$17="Distrato",$I$38-1,0)),IF(AND($L$711=0,$P$708=0),"",$L$711-1),IF($R$17="Distrato",$E1099,0)),MIN(AS$38,$D$19),$P$20))-SUM($P1099:AR1099)</f>
        <v>#VALUE!</v>
      </c>
      <c r="AT1099" s="446" t="e">
        <f>IF(OR($B1099="",MIN(AT$38,$D$19)&lt;MAX($P$708*($B1099+IF($R$17="Distrato",$I$38-1,0)),IF(AND($L$711=0,$P$708=0),"",$L$711-1),IF($R$17="Distrato",$E1099,0))),0,YEARFRAC(MAX($P$708*($B1099+IF($R$17="Distrato",$I$38-1,0)),IF(AND($L$711=0,$P$708=0),"",$L$711-1),IF($R$17="Distrato",$E1099,0)),MIN(AT$38,$D$19),$P$20))-SUM($P1099:AS1099)</f>
        <v>#VALUE!</v>
      </c>
      <c r="AU1099" s="446" t="e">
        <f>IF(OR($B1099="",MIN(AU$38,$D$19)&lt;MAX($P$708*($B1099+IF($R$17="Distrato",$I$38-1,0)),IF(AND($L$711=0,$P$708=0),"",$L$711-1),IF($R$17="Distrato",$E1099,0))),0,YEARFRAC(MAX($P$708*($B1099+IF($R$17="Distrato",$I$38-1,0)),IF(AND($L$711=0,$P$708=0),"",$L$711-1),IF($R$17="Distrato",$E1099,0)),MIN(AU$38,$D$19),$P$20))-SUM($P1099:AT1099)</f>
        <v>#VALUE!</v>
      </c>
      <c r="AV1099" s="446" t="e">
        <f>IF(OR($B1099="",MIN(AV$38,$D$19)&lt;MAX($P$708*($B1099+IF($R$17="Distrato",$I$38-1,0)),IF(AND($L$711=0,$P$708=0),"",$L$711-1),IF($R$17="Distrato",$E1099,0))),0,YEARFRAC(MAX($P$708*($B1099+IF($R$17="Distrato",$I$38-1,0)),IF(AND($L$711=0,$P$708=0),"",$L$711-1),IF($R$17="Distrato",$E1099,0)),MIN(AV$38,$D$19),$P$20))-SUM($P1099:AU1099)</f>
        <v>#VALUE!</v>
      </c>
      <c r="AW1099" s="446" t="e">
        <f>IF(OR($B1099="",MIN(AW$38,$D$19)&lt;MAX($P$708*($B1099+IF($R$17="Distrato",$I$38-1,0)),IF(AND($L$711=0,$P$708=0),"",$L$711-1),IF($R$17="Distrato",$E1099,0))),0,YEARFRAC(MAX($P$708*($B1099+IF($R$17="Distrato",$I$38-1,0)),IF(AND($L$711=0,$P$708=0),"",$L$711-1),IF($R$17="Distrato",$E1099,0)),MIN(AW$38,$D$19),$P$20))-SUM($P1099:AV1099)</f>
        <v>#VALUE!</v>
      </c>
      <c r="AX1099" s="446" t="e">
        <f>IF(OR($B1099="",MIN(AX$38,$D$19)&lt;MAX($P$708*($B1099+IF($R$17="Distrato",$I$38-1,0)),IF(AND($L$711=0,$P$708=0),"",$L$711-1),IF($R$17="Distrato",$E1099,0))),0,YEARFRAC(MAX($P$708*($B1099+IF($R$17="Distrato",$I$38-1,0)),IF(AND($L$711=0,$P$708=0),"",$L$711-1),IF($R$17="Distrato",$E1099,0)),MIN(AX$38,$D$19),$P$20))-SUM($P1099:AW1099)</f>
        <v>#VALUE!</v>
      </c>
      <c r="AY1099" s="446" t="e">
        <f>IF(OR($B1099="",MIN(AY$38,$D$19)&lt;MAX($P$708*($B1099+IF($R$17="Distrato",$I$38-1,0)),IF(AND($L$711=0,$P$708=0),"",$L$711-1),IF($R$17="Distrato",$E1099,0))),0,YEARFRAC(MAX($P$708*($B1099+IF($R$17="Distrato",$I$38-1,0)),IF(AND($L$711=0,$P$708=0),"",$L$711-1),IF($R$17="Distrato",$E1099,0)),MIN(AY$38,$D$19),$P$20))-SUM($P1099:AX1099)</f>
        <v>#VALUE!</v>
      </c>
      <c r="AZ1099" s="446" t="e">
        <f>IF(OR($B1099="",MIN(AZ$38,$D$19)&lt;MAX($P$708*($B1099+IF($R$17="Distrato",$I$38-1,0)),IF(AND($L$711=0,$P$708=0),"",$L$711-1),IF($R$17="Distrato",$E1099,0))),0,YEARFRAC(MAX($P$708*($B1099+IF($R$17="Distrato",$I$38-1,0)),IF(AND($L$711=0,$P$708=0),"",$L$711-1),IF($R$17="Distrato",$E1099,0)),MIN(AZ$38,$D$19),$P$20))-SUM($P1099:AY1099)</f>
        <v>#VALUE!</v>
      </c>
      <c r="BA1099" s="446" t="e">
        <f>IF(OR($B1099="",MIN(BA$38,$D$19)&lt;MAX($P$708*($B1099+IF($R$17="Distrato",$I$38-1,0)),IF(AND($L$711=0,$P$708=0),"",$L$711-1),IF($R$17="Distrato",$E1099,0))),0,YEARFRAC(MAX($P$708*($B1099+IF($R$17="Distrato",$I$38-1,0)),IF(AND($L$711=0,$P$708=0),"",$L$711-1),IF($R$17="Distrato",$E1099,0)),MIN(BA$38,$D$19),$P$20))-SUM($P1099:AZ1099)</f>
        <v>#VALUE!</v>
      </c>
      <c r="BB1099" s="447"/>
    </row>
    <row r="1100" spans="1:54" s="446" customFormat="1" ht="11.25" hidden="1" customHeight="1" x14ac:dyDescent="0.2">
      <c r="A1100" s="235"/>
      <c r="B1100" s="236"/>
      <c r="C1100" s="29" t="str">
        <f>IF(B1100="","",IF($L$709=$BL$25,VLOOKUP(DATE(YEAR($D$19),MONTH($D$19)-1,1),ÍNDICES!$A:$DE,HLOOKUP($BL$25,ÍNDICES!$B$3:$T$4,2)+11)-VLOOKUP(B1100,ÍNDICES!$A:$DE,HLOOKUP($BL$25,ÍNDICES!$B$3:$T$4,2)+11)+1%,IF(C$712=$W$26,$J$35,IF(ISERROR(IF(B1100&gt;$D$19,1,VLOOKUP(DATE(YEAR(B1100),MONTH(B1100)+IF($C$709=$S$23,1,0),1),ÍNDICES!$A:$DE,$Z$709+1))),"",IF(B1100&gt;$D$19,1,VLOOKUP(DATE(YEAR(B1100),MONTH(B1100)+IF($C$709=$S$23,1,0),1),ÍNDICES!$A:$DE,$Z$709+1))))))</f>
        <v/>
      </c>
      <c r="D1100" s="155"/>
      <c r="E1100" s="88"/>
      <c r="F1100" s="88"/>
      <c r="G1100" s="88"/>
      <c r="H1100" s="118"/>
      <c r="I1100" s="182">
        <f t="shared" si="157"/>
        <v>0</v>
      </c>
      <c r="J1100" s="20">
        <f t="shared" ca="1" si="158"/>
        <v>0</v>
      </c>
      <c r="K1100" s="5">
        <f t="shared" ca="1" si="159"/>
        <v>0</v>
      </c>
      <c r="L1100" s="61">
        <f t="shared" ca="1" si="160"/>
        <v>0</v>
      </c>
      <c r="M1100" s="64">
        <f t="shared" si="161"/>
        <v>0</v>
      </c>
      <c r="N1100" s="151"/>
      <c r="O1100" s="5">
        <f t="shared" ca="1" si="162"/>
        <v>0</v>
      </c>
      <c r="P1100" s="446" t="e">
        <f t="shared" si="163"/>
        <v>#VALUE!</v>
      </c>
      <c r="Q1100" s="446" t="e">
        <f>IF(OR($B1100="",MIN(Q$38,$D$19)&lt;MAX($P$708*($B1100+IF($R$17="Distrato",$I$38-1,0)),IF(AND($L$711=0,$P$708=0),"",$L$711-1),IF($R$17="Distrato",$E1100,0))),0,YEARFRAC(MAX($P$708*($B1100+IF($R$17="Distrato",$I$38-1,0)),IF(AND($L$711=0,$P$708=0),"",$L$711-1),IF($R$17="Distrato",$E1100,0)),MIN(Q$38,$D$19),$P$20))-SUM($P1100:P1100)</f>
        <v>#VALUE!</v>
      </c>
      <c r="R1100" s="446" t="e">
        <f>IF(OR($B1100="",MIN(R$38,$D$19)&lt;MAX($P$708*($B1100+IF($R$17="Distrato",$I$38-1,0)),IF(AND($L$711=0,$P$708=0),"",$L$711-1),IF($R$17="Distrato",$E1100,0))),0,YEARFRAC(MAX($P$708*($B1100+IF($R$17="Distrato",$I$38-1,0)),IF(AND($L$711=0,$P$708=0),"",$L$711-1),IF($R$17="Distrato",$E1100,0)),MIN(R$38,$D$19),$P$20))-SUM($P1100:Q1100)</f>
        <v>#VALUE!</v>
      </c>
      <c r="S1100" s="446" t="e">
        <f>IF(OR($B1100="",MIN(S$38,$D$19)&lt;MAX($P$708*($B1100+IF($R$17="Distrato",$I$38-1,0)),IF(AND($L$711=0,$P$708=0),"",$L$711-1),IF($R$17="Distrato",$E1100,0))),0,YEARFRAC(MAX($P$708*($B1100+IF($R$17="Distrato",$I$38-1,0)),IF(AND($L$711=0,$P$708=0),"",$L$711-1),IF($R$17="Distrato",$E1100,0)),MIN(S$38,$D$19),$P$20))-SUM($P1100:R1100)</f>
        <v>#VALUE!</v>
      </c>
      <c r="T1100" s="446" t="e">
        <f>IF(OR($B1100="",MIN(T$38,$D$19)&lt;MAX($P$708*($B1100+IF($R$17="Distrato",$I$38-1,0)),IF(AND($L$711=0,$P$708=0),"",$L$711-1),IF($R$17="Distrato",$E1100,0))),0,YEARFRAC(MAX($P$708*($B1100+IF($R$17="Distrato",$I$38-1,0)),IF(AND($L$711=0,$P$708=0),"",$L$711-1),IF($R$17="Distrato",$E1100,0)),MIN(T$38,$D$19),$P$20))-SUM($P1100:S1100)</f>
        <v>#VALUE!</v>
      </c>
      <c r="U1100" s="446" t="e">
        <f>IF(OR($B1100="",MIN(U$38,$D$19)&lt;MAX($P$708*($B1100+IF($R$17="Distrato",$I$38-1,0)),IF(AND($L$711=0,$P$708=0),"",$L$711-1),IF($R$17="Distrato",$E1100,0))),0,YEARFRAC(MAX($P$708*($B1100+IF($R$17="Distrato",$I$38-1,0)),IF(AND($L$711=0,$P$708=0),"",$L$711-1),IF($R$17="Distrato",$E1100,0)),MIN(U$38,$D$19),$P$20))-SUM($P1100:T1100)</f>
        <v>#VALUE!</v>
      </c>
      <c r="V1100" s="446" t="e">
        <f>IF(OR($B1100="",MIN(V$38,$D$19)&lt;MAX($P$708*($B1100+IF($R$17="Distrato",$I$38-1,0)),IF(AND($L$711=0,$P$708=0),"",$L$711-1),IF($R$17="Distrato",$E1100,0))),0,YEARFRAC(MAX($P$708*($B1100+IF($R$17="Distrato",$I$38-1,0)),IF(AND($L$711=0,$P$708=0),"",$L$711-1),IF($R$17="Distrato",$E1100,0)),MIN(V$38,$D$19),$P$20))-SUM($P1100:U1100)</f>
        <v>#VALUE!</v>
      </c>
      <c r="W1100" s="446" t="e">
        <f>IF(OR($B1100="",MIN(W$38,$D$19)&lt;MAX($P$708*($B1100+IF($R$17="Distrato",$I$38-1,0)),IF(AND($L$711=0,$P$708=0),"",$L$711-1),IF($R$17="Distrato",$E1100,0))),0,YEARFRAC(MAX($P$708*($B1100+IF($R$17="Distrato",$I$38-1,0)),IF(AND($L$711=0,$P$708=0),"",$L$711-1),IF($R$17="Distrato",$E1100,0)),MIN(W$38,$D$19),$P$20))-SUM($P1100:V1100)</f>
        <v>#VALUE!</v>
      </c>
      <c r="X1100" s="446" t="e">
        <f>IF(OR($B1100="",MIN(X$38,$D$19)&lt;MAX($P$708*($B1100+IF($R$17="Distrato",$I$38-1,0)),IF(AND($L$711=0,$P$708=0),"",$L$711-1),IF($R$17="Distrato",$E1100,0))),0,YEARFRAC(MAX($P$708*($B1100+IF($R$17="Distrato",$I$38-1,0)),IF(AND($L$711=0,$P$708=0),"",$L$711-1),IF($R$17="Distrato",$E1100,0)),MIN(X$38,$D$19),$P$20))-SUM($P1100:W1100)</f>
        <v>#VALUE!</v>
      </c>
      <c r="Y1100" s="446" t="e">
        <f>IF(OR($B1100="",MIN(Y$38,$D$19)&lt;MAX($P$708*($B1100+IF($R$17="Distrato",$I$38-1,0)),IF(AND($L$711=0,$P$708=0),"",$L$711-1),IF($R$17="Distrato",$E1100,0))),0,YEARFRAC(MAX($P$708*($B1100+IF($R$17="Distrato",$I$38-1,0)),IF(AND($L$711=0,$P$708=0),"",$L$711-1),IF($R$17="Distrato",$E1100,0)),MIN(Y$38,$D$19),$P$20))-SUM($P1100:X1100)</f>
        <v>#VALUE!</v>
      </c>
      <c r="Z1100" s="446" t="e">
        <f>IF(OR($B1100="",MIN(Z$38,$D$19)&lt;MAX($P$708*($B1100+IF($R$17="Distrato",$I$38-1,0)),IF(AND($L$711=0,$P$708=0),"",$L$711-1),IF($R$17="Distrato",$E1100,0))),0,YEARFRAC(MAX($P$708*($B1100+IF($R$17="Distrato",$I$38-1,0)),IF(AND($L$711=0,$P$708=0),"",$L$711-1),IF($R$17="Distrato",$E1100,0)),MIN(Z$38,$D$19),$P$20))-SUM($P1100:Y1100)</f>
        <v>#VALUE!</v>
      </c>
      <c r="AA1100" s="446" t="e">
        <f>IF(OR($B1100="",MIN(AA$38,$D$19)&lt;MAX($P$708*($B1100+IF($R$17="Distrato",$I$38-1,0)),IF(AND($L$711=0,$P$708=0),"",$L$711-1),IF($R$17="Distrato",$E1100,0))),0,YEARFRAC(MAX($P$708*($B1100+IF($R$17="Distrato",$I$38-1,0)),IF(AND($L$711=0,$P$708=0),"",$L$711-1),IF($R$17="Distrato",$E1100,0)),MIN(AA$38,$D$19),$P$20))-SUM($P1100:Z1100)</f>
        <v>#VALUE!</v>
      </c>
      <c r="AB1100" s="446" t="e">
        <f>IF(OR($B1100="",MIN(AB$38,$D$19)&lt;MAX($P$708*($B1100+IF($R$17="Distrato",$I$38-1,0)),IF(AND($L$711=0,$P$708=0),"",$L$711-1),IF($R$17="Distrato",$E1100,0))),0,YEARFRAC(MAX($P$708*($B1100+IF($R$17="Distrato",$I$38-1,0)),IF(AND($L$711=0,$P$708=0),"",$L$711-1),IF($R$17="Distrato",$E1100,0)),MIN(AB$38,$D$19),$P$20))-SUM($P1100:AA1100)</f>
        <v>#VALUE!</v>
      </c>
      <c r="AC1100" s="446" t="e">
        <f>IF(OR($B1100="",MIN(AC$38,$D$19)&lt;MAX($P$708*($B1100+IF($R$17="Distrato",$I$38-1,0)),IF(AND($L$711=0,$P$708=0),"",$L$711-1),IF($R$17="Distrato",$E1100,0))),0,YEARFRAC(MAX($P$708*($B1100+IF($R$17="Distrato",$I$38-1,0)),IF(AND($L$711=0,$P$708=0),"",$L$711-1),IF($R$17="Distrato",$E1100,0)),MIN(AC$38,$D$19),$P$20))-SUM($P1100:AB1100)</f>
        <v>#VALUE!</v>
      </c>
      <c r="AD1100" s="446" t="e">
        <f>IF(OR($B1100="",MIN(AD$38,$D$19)&lt;MAX($P$708*($B1100+IF($R$17="Distrato",$I$38-1,0)),IF(AND($L$711=0,$P$708=0),"",$L$711-1),IF($R$17="Distrato",$E1100,0))),0,YEARFRAC(MAX($P$708*($B1100+IF($R$17="Distrato",$I$38-1,0)),IF(AND($L$711=0,$P$708=0),"",$L$711-1),IF($R$17="Distrato",$E1100,0)),MIN(AD$38,$D$19),$P$20))-SUM($P1100:AC1100)</f>
        <v>#VALUE!</v>
      </c>
      <c r="AE1100" s="446" t="e">
        <f>IF(OR($B1100="",MIN(AE$38,$D$19)&lt;MAX($P$708*($B1100+IF($R$17="Distrato",$I$38-1,0)),IF(AND($L$711=0,$P$708=0),"",$L$711-1),IF($R$17="Distrato",$E1100,0))),0,YEARFRAC(MAX($P$708*($B1100+IF($R$17="Distrato",$I$38-1,0)),IF(AND($L$711=0,$P$708=0),"",$L$711-1),IF($R$17="Distrato",$E1100,0)),MIN(AE$38,$D$19),$P$20))-SUM($P1100:AD1100)</f>
        <v>#VALUE!</v>
      </c>
      <c r="AF1100" s="446" t="e">
        <f>IF(OR($B1100="",MIN(AF$38,$D$19)&lt;MAX($P$708*($B1100+IF($R$17="Distrato",$I$38-1,0)),IF(AND($L$711=0,$P$708=0),"",$L$711-1),IF($R$17="Distrato",$E1100,0))),0,YEARFRAC(MAX($P$708*($B1100+IF($R$17="Distrato",$I$38-1,0)),IF(AND($L$711=0,$P$708=0),"",$L$711-1),IF($R$17="Distrato",$E1100,0)),MIN(AF$38,$D$19),$P$20))-SUM($P1100:AE1100)</f>
        <v>#VALUE!</v>
      </c>
      <c r="AG1100" s="446" t="e">
        <f>IF(OR($B1100="",MIN(AG$38,$D$19)&lt;MAX($P$708*($B1100+IF($R$17="Distrato",$I$38-1,0)),IF(AND($L$711=0,$P$708=0),"",$L$711-1),IF($R$17="Distrato",$E1100,0))),0,YEARFRAC(MAX($P$708*($B1100+IF($R$17="Distrato",$I$38-1,0)),IF(AND($L$711=0,$P$708=0),"",$L$711-1),IF($R$17="Distrato",$E1100,0)),MIN(AG$38,$D$19),$P$20))-SUM($P1100:AF1100)</f>
        <v>#VALUE!</v>
      </c>
      <c r="AH1100" s="446" t="e">
        <f>IF(OR($B1100="",MIN(AH$38,$D$19)&lt;MAX($P$708*($B1100+IF($R$17="Distrato",$I$38-1,0)),IF(AND($L$711=0,$P$708=0),"",$L$711-1),IF($R$17="Distrato",$E1100,0))),0,YEARFRAC(MAX($P$708*($B1100+IF($R$17="Distrato",$I$38-1,0)),IF(AND($L$711=0,$P$708=0),"",$L$711-1),IF($R$17="Distrato",$E1100,0)),MIN(AH$38,$D$19),$P$20))-SUM($P1100:AG1100)</f>
        <v>#VALUE!</v>
      </c>
      <c r="AI1100" s="446" t="e">
        <f>IF(OR($B1100="",MIN(AI$38,$D$19)&lt;MAX($P$708*($B1100+IF($R$17="Distrato",$I$38-1,0)),IF(AND($L$711=0,$P$708=0),"",$L$711-1),IF($R$17="Distrato",$E1100,0))),0,YEARFRAC(MAX($P$708*($B1100+IF($R$17="Distrato",$I$38-1,0)),IF(AND($L$711=0,$P$708=0),"",$L$711-1),IF($R$17="Distrato",$E1100,0)),MIN(AI$38,$D$19),$P$20))-SUM($P1100:AH1100)</f>
        <v>#VALUE!</v>
      </c>
      <c r="AJ1100" s="446" t="e">
        <f>IF(OR($B1100="",MIN(AJ$38,$D$19)&lt;MAX($P$708*($B1100+IF($R$17="Distrato",$I$38-1,0)),IF(AND($L$711=0,$P$708=0),"",$L$711-1),IF($R$17="Distrato",$E1100,0))),0,YEARFRAC(MAX($P$708*($B1100+IF($R$17="Distrato",$I$38-1,0)),IF(AND($L$711=0,$P$708=0),"",$L$711-1),IF($R$17="Distrato",$E1100,0)),MIN(AJ$38,$D$19),$P$20))-SUM($P1100:AI1100)</f>
        <v>#VALUE!</v>
      </c>
      <c r="AK1100" s="446" t="e">
        <f>IF(OR($B1100="",MIN(AK$38,$D$19)&lt;MAX($P$708*($B1100+IF($R$17="Distrato",$I$38-1,0)),IF(AND($L$711=0,$P$708=0),"",$L$711-1),IF($R$17="Distrato",$E1100,0))),0,YEARFRAC(MAX($P$708*($B1100+IF($R$17="Distrato",$I$38-1,0)),IF(AND($L$711=0,$P$708=0),"",$L$711-1),IF($R$17="Distrato",$E1100,0)),MIN(AK$38,$D$19),$P$20))-SUM($P1100:AJ1100)</f>
        <v>#VALUE!</v>
      </c>
      <c r="AL1100" s="446" t="e">
        <f>IF(OR($B1100="",MIN(AL$38,$D$19)&lt;MAX($P$708*($B1100+IF($R$17="Distrato",$I$38-1,0)),IF(AND($L$711=0,$P$708=0),"",$L$711-1),IF($R$17="Distrato",$E1100,0))),0,YEARFRAC(MAX($P$708*($B1100+IF($R$17="Distrato",$I$38-1,0)),IF(AND($L$711=0,$P$708=0),"",$L$711-1),IF($R$17="Distrato",$E1100,0)),MIN(AL$38,$D$19),$P$20))-SUM($P1100:AK1100)</f>
        <v>#VALUE!</v>
      </c>
      <c r="AM1100" s="446" t="e">
        <f>IF(OR($B1100="",MIN(AM$38,$D$19)&lt;MAX($P$708*($B1100+IF($R$17="Distrato",$I$38-1,0)),IF(AND($L$711=0,$P$708=0),"",$L$711-1),IF($R$17="Distrato",$E1100,0))),0,YEARFRAC(MAX($P$708*($B1100+IF($R$17="Distrato",$I$38-1,0)),IF(AND($L$711=0,$P$708=0),"",$L$711-1),IF($R$17="Distrato",$E1100,0)),MIN(AM$38,$D$19),$P$20))-SUM($P1100:AL1100)</f>
        <v>#VALUE!</v>
      </c>
      <c r="AN1100" s="446" t="e">
        <f>IF(OR($B1100="",MIN(AN$38,$D$19)&lt;MAX($P$708*($B1100+IF($R$17="Distrato",$I$38-1,0)),IF(AND($L$711=0,$P$708=0),"",$L$711-1),IF($R$17="Distrato",$E1100,0))),0,YEARFRAC(MAX($P$708*($B1100+IF($R$17="Distrato",$I$38-1,0)),IF(AND($L$711=0,$P$708=0),"",$L$711-1),IF($R$17="Distrato",$E1100,0)),MIN(AN$38,$D$19),$P$20))-SUM($P1100:AM1100)</f>
        <v>#VALUE!</v>
      </c>
      <c r="AO1100" s="446" t="e">
        <f>IF(OR($B1100="",MIN(AO$38,$D$19)&lt;MAX($P$708*($B1100+IF($R$17="Distrato",$I$38-1,0)),IF(AND($L$711=0,$P$708=0),"",$L$711-1),IF($R$17="Distrato",$E1100,0))),0,YEARFRAC(MAX($P$708*($B1100+IF($R$17="Distrato",$I$38-1,0)),IF(AND($L$711=0,$P$708=0),"",$L$711-1),IF($R$17="Distrato",$E1100,0)),MIN(AO$38,$D$19),$P$20))-SUM($P1100:AN1100)</f>
        <v>#VALUE!</v>
      </c>
      <c r="AP1100" s="446" t="e">
        <f>IF(OR($B1100="",MIN(AP$38,$D$19)&lt;MAX($P$708*($B1100+IF($R$17="Distrato",$I$38-1,0)),IF(AND($L$711=0,$P$708=0),"",$L$711-1),IF($R$17="Distrato",$E1100,0))),0,YEARFRAC(MAX($P$708*($B1100+IF($R$17="Distrato",$I$38-1,0)),IF(AND($L$711=0,$P$708=0),"",$L$711-1),IF($R$17="Distrato",$E1100,0)),MIN(AP$38,$D$19),$P$20))-SUM($P1100:AO1100)</f>
        <v>#VALUE!</v>
      </c>
      <c r="AQ1100" s="446" t="e">
        <f>IF(OR($B1100="",MIN(AQ$38,$D$19)&lt;MAX($P$708*($B1100+IF($R$17="Distrato",$I$38-1,0)),IF(AND($L$711=0,$P$708=0),"",$L$711-1),IF($R$17="Distrato",$E1100,0))),0,YEARFRAC(MAX($P$708*($B1100+IF($R$17="Distrato",$I$38-1,0)),IF(AND($L$711=0,$P$708=0),"",$L$711-1),IF($R$17="Distrato",$E1100,0)),MIN(AQ$38,$D$19),$P$20))-SUM($P1100:AP1100)</f>
        <v>#VALUE!</v>
      </c>
      <c r="AR1100" s="446" t="e">
        <f>IF(OR($B1100="",MIN(AR$38,$D$19)&lt;MAX($P$708*($B1100+IF($R$17="Distrato",$I$38-1,0)),IF(AND($L$711=0,$P$708=0),"",$L$711-1),IF($R$17="Distrato",$E1100,0))),0,YEARFRAC(MAX($P$708*($B1100+IF($R$17="Distrato",$I$38-1,0)),IF(AND($L$711=0,$P$708=0),"",$L$711-1),IF($R$17="Distrato",$E1100,0)),MIN(AR$38,$D$19),$P$20))-SUM($P1100:AQ1100)</f>
        <v>#VALUE!</v>
      </c>
      <c r="AS1100" s="446" t="e">
        <f>IF(OR($B1100="",MIN(AS$38,$D$19)&lt;MAX($P$708*($B1100+IF($R$17="Distrato",$I$38-1,0)),IF(AND($L$711=0,$P$708=0),"",$L$711-1),IF($R$17="Distrato",$E1100,0))),0,YEARFRAC(MAX($P$708*($B1100+IF($R$17="Distrato",$I$38-1,0)),IF(AND($L$711=0,$P$708=0),"",$L$711-1),IF($R$17="Distrato",$E1100,0)),MIN(AS$38,$D$19),$P$20))-SUM($P1100:AR1100)</f>
        <v>#VALUE!</v>
      </c>
      <c r="AT1100" s="446" t="e">
        <f>IF(OR($B1100="",MIN(AT$38,$D$19)&lt;MAX($P$708*($B1100+IF($R$17="Distrato",$I$38-1,0)),IF(AND($L$711=0,$P$708=0),"",$L$711-1),IF($R$17="Distrato",$E1100,0))),0,YEARFRAC(MAX($P$708*($B1100+IF($R$17="Distrato",$I$38-1,0)),IF(AND($L$711=0,$P$708=0),"",$L$711-1),IF($R$17="Distrato",$E1100,0)),MIN(AT$38,$D$19),$P$20))-SUM($P1100:AS1100)</f>
        <v>#VALUE!</v>
      </c>
      <c r="AU1100" s="446" t="e">
        <f>IF(OR($B1100="",MIN(AU$38,$D$19)&lt;MAX($P$708*($B1100+IF($R$17="Distrato",$I$38-1,0)),IF(AND($L$711=0,$P$708=0),"",$L$711-1),IF($R$17="Distrato",$E1100,0))),0,YEARFRAC(MAX($P$708*($B1100+IF($R$17="Distrato",$I$38-1,0)),IF(AND($L$711=0,$P$708=0),"",$L$711-1),IF($R$17="Distrato",$E1100,0)),MIN(AU$38,$D$19),$P$20))-SUM($P1100:AT1100)</f>
        <v>#VALUE!</v>
      </c>
      <c r="AV1100" s="446" t="e">
        <f>IF(OR($B1100="",MIN(AV$38,$D$19)&lt;MAX($P$708*($B1100+IF($R$17="Distrato",$I$38-1,0)),IF(AND($L$711=0,$P$708=0),"",$L$711-1),IF($R$17="Distrato",$E1100,0))),0,YEARFRAC(MAX($P$708*($B1100+IF($R$17="Distrato",$I$38-1,0)),IF(AND($L$711=0,$P$708=0),"",$L$711-1),IF($R$17="Distrato",$E1100,0)),MIN(AV$38,$D$19),$P$20))-SUM($P1100:AU1100)</f>
        <v>#VALUE!</v>
      </c>
      <c r="AW1100" s="446" t="e">
        <f>IF(OR($B1100="",MIN(AW$38,$D$19)&lt;MAX($P$708*($B1100+IF($R$17="Distrato",$I$38-1,0)),IF(AND($L$711=0,$P$708=0),"",$L$711-1),IF($R$17="Distrato",$E1100,0))),0,YEARFRAC(MAX($P$708*($B1100+IF($R$17="Distrato",$I$38-1,0)),IF(AND($L$711=0,$P$708=0),"",$L$711-1),IF($R$17="Distrato",$E1100,0)),MIN(AW$38,$D$19),$P$20))-SUM($P1100:AV1100)</f>
        <v>#VALUE!</v>
      </c>
      <c r="AX1100" s="446" t="e">
        <f>IF(OR($B1100="",MIN(AX$38,$D$19)&lt;MAX($P$708*($B1100+IF($R$17="Distrato",$I$38-1,0)),IF(AND($L$711=0,$P$708=0),"",$L$711-1),IF($R$17="Distrato",$E1100,0))),0,YEARFRAC(MAX($P$708*($B1100+IF($R$17="Distrato",$I$38-1,0)),IF(AND($L$711=0,$P$708=0),"",$L$711-1),IF($R$17="Distrato",$E1100,0)),MIN(AX$38,$D$19),$P$20))-SUM($P1100:AW1100)</f>
        <v>#VALUE!</v>
      </c>
      <c r="AY1100" s="446" t="e">
        <f>IF(OR($B1100="",MIN(AY$38,$D$19)&lt;MAX($P$708*($B1100+IF($R$17="Distrato",$I$38-1,0)),IF(AND($L$711=0,$P$708=0),"",$L$711-1),IF($R$17="Distrato",$E1100,0))),0,YEARFRAC(MAX($P$708*($B1100+IF($R$17="Distrato",$I$38-1,0)),IF(AND($L$711=0,$P$708=0),"",$L$711-1),IF($R$17="Distrato",$E1100,0)),MIN(AY$38,$D$19),$P$20))-SUM($P1100:AX1100)</f>
        <v>#VALUE!</v>
      </c>
      <c r="AZ1100" s="446" t="e">
        <f>IF(OR($B1100="",MIN(AZ$38,$D$19)&lt;MAX($P$708*($B1100+IF($R$17="Distrato",$I$38-1,0)),IF(AND($L$711=0,$P$708=0),"",$L$711-1),IF($R$17="Distrato",$E1100,0))),0,YEARFRAC(MAX($P$708*($B1100+IF($R$17="Distrato",$I$38-1,0)),IF(AND($L$711=0,$P$708=0),"",$L$711-1),IF($R$17="Distrato",$E1100,0)),MIN(AZ$38,$D$19),$P$20))-SUM($P1100:AY1100)</f>
        <v>#VALUE!</v>
      </c>
      <c r="BA1100" s="446" t="e">
        <f>IF(OR($B1100="",MIN(BA$38,$D$19)&lt;MAX($P$708*($B1100+IF($R$17="Distrato",$I$38-1,0)),IF(AND($L$711=0,$P$708=0),"",$L$711-1),IF($R$17="Distrato",$E1100,0))),0,YEARFRAC(MAX($P$708*($B1100+IF($R$17="Distrato",$I$38-1,0)),IF(AND($L$711=0,$P$708=0),"",$L$711-1),IF($R$17="Distrato",$E1100,0)),MIN(BA$38,$D$19),$P$20))-SUM($P1100:AZ1100)</f>
        <v>#VALUE!</v>
      </c>
      <c r="BB1100" s="447"/>
    </row>
    <row r="1101" spans="1:54" s="446" customFormat="1" ht="11.25" hidden="1" customHeight="1" x14ac:dyDescent="0.2">
      <c r="A1101" s="235"/>
      <c r="B1101" s="236"/>
      <c r="C1101" s="29" t="str">
        <f>IF(B1101="","",IF($L$709=$BL$25,VLOOKUP(DATE(YEAR($D$19),MONTH($D$19)-1,1),ÍNDICES!$A:$DE,HLOOKUP($BL$25,ÍNDICES!$B$3:$T$4,2)+11)-VLOOKUP(B1101,ÍNDICES!$A:$DE,HLOOKUP($BL$25,ÍNDICES!$B$3:$T$4,2)+11)+1%,IF(C$712=$W$26,$J$35,IF(ISERROR(IF(B1101&gt;$D$19,1,VLOOKUP(DATE(YEAR(B1101),MONTH(B1101)+IF($C$709=$S$23,1,0),1),ÍNDICES!$A:$DE,$Z$709+1))),"",IF(B1101&gt;$D$19,1,VLOOKUP(DATE(YEAR(B1101),MONTH(B1101)+IF($C$709=$S$23,1,0),1),ÍNDICES!$A:$DE,$Z$709+1))))))</f>
        <v/>
      </c>
      <c r="D1101" s="155"/>
      <c r="E1101" s="88"/>
      <c r="F1101" s="88"/>
      <c r="G1101" s="88"/>
      <c r="H1101" s="118"/>
      <c r="I1101" s="182">
        <f t="shared" si="157"/>
        <v>0</v>
      </c>
      <c r="J1101" s="20">
        <f t="shared" ca="1" si="158"/>
        <v>0</v>
      </c>
      <c r="K1101" s="5">
        <f t="shared" ca="1" si="159"/>
        <v>0</v>
      </c>
      <c r="L1101" s="61">
        <f t="shared" ca="1" si="160"/>
        <v>0</v>
      </c>
      <c r="M1101" s="64">
        <f t="shared" si="161"/>
        <v>0</v>
      </c>
      <c r="N1101" s="151"/>
      <c r="O1101" s="5">
        <f t="shared" ca="1" si="162"/>
        <v>0</v>
      </c>
      <c r="P1101" s="446" t="e">
        <f t="shared" si="163"/>
        <v>#VALUE!</v>
      </c>
      <c r="Q1101" s="446" t="e">
        <f>IF(OR($B1101="",MIN(Q$38,$D$19)&lt;MAX($P$708*($B1101+IF($R$17="Distrato",$I$38-1,0)),IF(AND($L$711=0,$P$708=0),"",$L$711-1),IF($R$17="Distrato",$E1101,0))),0,YEARFRAC(MAX($P$708*($B1101+IF($R$17="Distrato",$I$38-1,0)),IF(AND($L$711=0,$P$708=0),"",$L$711-1),IF($R$17="Distrato",$E1101,0)),MIN(Q$38,$D$19),$P$20))-SUM($P1101:P1101)</f>
        <v>#VALUE!</v>
      </c>
      <c r="R1101" s="446" t="e">
        <f>IF(OR($B1101="",MIN(R$38,$D$19)&lt;MAX($P$708*($B1101+IF($R$17="Distrato",$I$38-1,0)),IF(AND($L$711=0,$P$708=0),"",$L$711-1),IF($R$17="Distrato",$E1101,0))),0,YEARFRAC(MAX($P$708*($B1101+IF($R$17="Distrato",$I$38-1,0)),IF(AND($L$711=0,$P$708=0),"",$L$711-1),IF($R$17="Distrato",$E1101,0)),MIN(R$38,$D$19),$P$20))-SUM($P1101:Q1101)</f>
        <v>#VALUE!</v>
      </c>
      <c r="S1101" s="446" t="e">
        <f>IF(OR($B1101="",MIN(S$38,$D$19)&lt;MAX($P$708*($B1101+IF($R$17="Distrato",$I$38-1,0)),IF(AND($L$711=0,$P$708=0),"",$L$711-1),IF($R$17="Distrato",$E1101,0))),0,YEARFRAC(MAX($P$708*($B1101+IF($R$17="Distrato",$I$38-1,0)),IF(AND($L$711=0,$P$708=0),"",$L$711-1),IF($R$17="Distrato",$E1101,0)),MIN(S$38,$D$19),$P$20))-SUM($P1101:R1101)</f>
        <v>#VALUE!</v>
      </c>
      <c r="T1101" s="446" t="e">
        <f>IF(OR($B1101="",MIN(T$38,$D$19)&lt;MAX($P$708*($B1101+IF($R$17="Distrato",$I$38-1,0)),IF(AND($L$711=0,$P$708=0),"",$L$711-1),IF($R$17="Distrato",$E1101,0))),0,YEARFRAC(MAX($P$708*($B1101+IF($R$17="Distrato",$I$38-1,0)),IF(AND($L$711=0,$P$708=0),"",$L$711-1),IF($R$17="Distrato",$E1101,0)),MIN(T$38,$D$19),$P$20))-SUM($P1101:S1101)</f>
        <v>#VALUE!</v>
      </c>
      <c r="U1101" s="446" t="e">
        <f>IF(OR($B1101="",MIN(U$38,$D$19)&lt;MAX($P$708*($B1101+IF($R$17="Distrato",$I$38-1,0)),IF(AND($L$711=0,$P$708=0),"",$L$711-1),IF($R$17="Distrato",$E1101,0))),0,YEARFRAC(MAX($P$708*($B1101+IF($R$17="Distrato",$I$38-1,0)),IF(AND($L$711=0,$P$708=0),"",$L$711-1),IF($R$17="Distrato",$E1101,0)),MIN(U$38,$D$19),$P$20))-SUM($P1101:T1101)</f>
        <v>#VALUE!</v>
      </c>
      <c r="V1101" s="446" t="e">
        <f>IF(OR($B1101="",MIN(V$38,$D$19)&lt;MAX($P$708*($B1101+IF($R$17="Distrato",$I$38-1,0)),IF(AND($L$711=0,$P$708=0),"",$L$711-1),IF($R$17="Distrato",$E1101,0))),0,YEARFRAC(MAX($P$708*($B1101+IF($R$17="Distrato",$I$38-1,0)),IF(AND($L$711=0,$P$708=0),"",$L$711-1),IF($R$17="Distrato",$E1101,0)),MIN(V$38,$D$19),$P$20))-SUM($P1101:U1101)</f>
        <v>#VALUE!</v>
      </c>
      <c r="W1101" s="446" t="e">
        <f>IF(OR($B1101="",MIN(W$38,$D$19)&lt;MAX($P$708*($B1101+IF($R$17="Distrato",$I$38-1,0)),IF(AND($L$711=0,$P$708=0),"",$L$711-1),IF($R$17="Distrato",$E1101,0))),0,YEARFRAC(MAX($P$708*($B1101+IF($R$17="Distrato",$I$38-1,0)),IF(AND($L$711=0,$P$708=0),"",$L$711-1),IF($R$17="Distrato",$E1101,0)),MIN(W$38,$D$19),$P$20))-SUM($P1101:V1101)</f>
        <v>#VALUE!</v>
      </c>
      <c r="X1101" s="446" t="e">
        <f>IF(OR($B1101="",MIN(X$38,$D$19)&lt;MAX($P$708*($B1101+IF($R$17="Distrato",$I$38-1,0)),IF(AND($L$711=0,$P$708=0),"",$L$711-1),IF($R$17="Distrato",$E1101,0))),0,YEARFRAC(MAX($P$708*($B1101+IF($R$17="Distrato",$I$38-1,0)),IF(AND($L$711=0,$P$708=0),"",$L$711-1),IF($R$17="Distrato",$E1101,0)),MIN(X$38,$D$19),$P$20))-SUM($P1101:W1101)</f>
        <v>#VALUE!</v>
      </c>
      <c r="Y1101" s="446" t="e">
        <f>IF(OR($B1101="",MIN(Y$38,$D$19)&lt;MAX($P$708*($B1101+IF($R$17="Distrato",$I$38-1,0)),IF(AND($L$711=0,$P$708=0),"",$L$711-1),IF($R$17="Distrato",$E1101,0))),0,YEARFRAC(MAX($P$708*($B1101+IF($R$17="Distrato",$I$38-1,0)),IF(AND($L$711=0,$P$708=0),"",$L$711-1),IF($R$17="Distrato",$E1101,0)),MIN(Y$38,$D$19),$P$20))-SUM($P1101:X1101)</f>
        <v>#VALUE!</v>
      </c>
      <c r="Z1101" s="446" t="e">
        <f>IF(OR($B1101="",MIN(Z$38,$D$19)&lt;MAX($P$708*($B1101+IF($R$17="Distrato",$I$38-1,0)),IF(AND($L$711=0,$P$708=0),"",$L$711-1),IF($R$17="Distrato",$E1101,0))),0,YEARFRAC(MAX($P$708*($B1101+IF($R$17="Distrato",$I$38-1,0)),IF(AND($L$711=0,$P$708=0),"",$L$711-1),IF($R$17="Distrato",$E1101,0)),MIN(Z$38,$D$19),$P$20))-SUM($P1101:Y1101)</f>
        <v>#VALUE!</v>
      </c>
      <c r="AA1101" s="446" t="e">
        <f>IF(OR($B1101="",MIN(AA$38,$D$19)&lt;MAX($P$708*($B1101+IF($R$17="Distrato",$I$38-1,0)),IF(AND($L$711=0,$P$708=0),"",$L$711-1),IF($R$17="Distrato",$E1101,0))),0,YEARFRAC(MAX($P$708*($B1101+IF($R$17="Distrato",$I$38-1,0)),IF(AND($L$711=0,$P$708=0),"",$L$711-1),IF($R$17="Distrato",$E1101,0)),MIN(AA$38,$D$19),$P$20))-SUM($P1101:Z1101)</f>
        <v>#VALUE!</v>
      </c>
      <c r="AB1101" s="446" t="e">
        <f>IF(OR($B1101="",MIN(AB$38,$D$19)&lt;MAX($P$708*($B1101+IF($R$17="Distrato",$I$38-1,0)),IF(AND($L$711=0,$P$708=0),"",$L$711-1),IF($R$17="Distrato",$E1101,0))),0,YEARFRAC(MAX($P$708*($B1101+IF($R$17="Distrato",$I$38-1,0)),IF(AND($L$711=0,$P$708=0),"",$L$711-1),IF($R$17="Distrato",$E1101,0)),MIN(AB$38,$D$19),$P$20))-SUM($P1101:AA1101)</f>
        <v>#VALUE!</v>
      </c>
      <c r="AC1101" s="446" t="e">
        <f>IF(OR($B1101="",MIN(AC$38,$D$19)&lt;MAX($P$708*($B1101+IF($R$17="Distrato",$I$38-1,0)),IF(AND($L$711=0,$P$708=0),"",$L$711-1),IF($R$17="Distrato",$E1101,0))),0,YEARFRAC(MAX($P$708*($B1101+IF($R$17="Distrato",$I$38-1,0)),IF(AND($L$711=0,$P$708=0),"",$L$711-1),IF($R$17="Distrato",$E1101,0)),MIN(AC$38,$D$19),$P$20))-SUM($P1101:AB1101)</f>
        <v>#VALUE!</v>
      </c>
      <c r="AD1101" s="446" t="e">
        <f>IF(OR($B1101="",MIN(AD$38,$D$19)&lt;MAX($P$708*($B1101+IF($R$17="Distrato",$I$38-1,0)),IF(AND($L$711=0,$P$708=0),"",$L$711-1),IF($R$17="Distrato",$E1101,0))),0,YEARFRAC(MAX($P$708*($B1101+IF($R$17="Distrato",$I$38-1,0)),IF(AND($L$711=0,$P$708=0),"",$L$711-1),IF($R$17="Distrato",$E1101,0)),MIN(AD$38,$D$19),$P$20))-SUM($P1101:AC1101)</f>
        <v>#VALUE!</v>
      </c>
      <c r="AE1101" s="446" t="e">
        <f>IF(OR($B1101="",MIN(AE$38,$D$19)&lt;MAX($P$708*($B1101+IF($R$17="Distrato",$I$38-1,0)),IF(AND($L$711=0,$P$708=0),"",$L$711-1),IF($R$17="Distrato",$E1101,0))),0,YEARFRAC(MAX($P$708*($B1101+IF($R$17="Distrato",$I$38-1,0)),IF(AND($L$711=0,$P$708=0),"",$L$711-1),IF($R$17="Distrato",$E1101,0)),MIN(AE$38,$D$19),$P$20))-SUM($P1101:AD1101)</f>
        <v>#VALUE!</v>
      </c>
      <c r="AF1101" s="446" t="e">
        <f>IF(OR($B1101="",MIN(AF$38,$D$19)&lt;MAX($P$708*($B1101+IF($R$17="Distrato",$I$38-1,0)),IF(AND($L$711=0,$P$708=0),"",$L$711-1),IF($R$17="Distrato",$E1101,0))),0,YEARFRAC(MAX($P$708*($B1101+IF($R$17="Distrato",$I$38-1,0)),IF(AND($L$711=0,$P$708=0),"",$L$711-1),IF($R$17="Distrato",$E1101,0)),MIN(AF$38,$D$19),$P$20))-SUM($P1101:AE1101)</f>
        <v>#VALUE!</v>
      </c>
      <c r="AG1101" s="446" t="e">
        <f>IF(OR($B1101="",MIN(AG$38,$D$19)&lt;MAX($P$708*($B1101+IF($R$17="Distrato",$I$38-1,0)),IF(AND($L$711=0,$P$708=0),"",$L$711-1),IF($R$17="Distrato",$E1101,0))),0,YEARFRAC(MAX($P$708*($B1101+IF($R$17="Distrato",$I$38-1,0)),IF(AND($L$711=0,$P$708=0),"",$L$711-1),IF($R$17="Distrato",$E1101,0)),MIN(AG$38,$D$19),$P$20))-SUM($P1101:AF1101)</f>
        <v>#VALUE!</v>
      </c>
      <c r="AH1101" s="446" t="e">
        <f>IF(OR($B1101="",MIN(AH$38,$D$19)&lt;MAX($P$708*($B1101+IF($R$17="Distrato",$I$38-1,0)),IF(AND($L$711=0,$P$708=0),"",$L$711-1),IF($R$17="Distrato",$E1101,0))),0,YEARFRAC(MAX($P$708*($B1101+IF($R$17="Distrato",$I$38-1,0)),IF(AND($L$711=0,$P$708=0),"",$L$711-1),IF($R$17="Distrato",$E1101,0)),MIN(AH$38,$D$19),$P$20))-SUM($P1101:AG1101)</f>
        <v>#VALUE!</v>
      </c>
      <c r="AI1101" s="446" t="e">
        <f>IF(OR($B1101="",MIN(AI$38,$D$19)&lt;MAX($P$708*($B1101+IF($R$17="Distrato",$I$38-1,0)),IF(AND($L$711=0,$P$708=0),"",$L$711-1),IF($R$17="Distrato",$E1101,0))),0,YEARFRAC(MAX($P$708*($B1101+IF($R$17="Distrato",$I$38-1,0)),IF(AND($L$711=0,$P$708=0),"",$L$711-1),IF($R$17="Distrato",$E1101,0)),MIN(AI$38,$D$19),$P$20))-SUM($P1101:AH1101)</f>
        <v>#VALUE!</v>
      </c>
      <c r="AJ1101" s="446" t="e">
        <f>IF(OR($B1101="",MIN(AJ$38,$D$19)&lt;MAX($P$708*($B1101+IF($R$17="Distrato",$I$38-1,0)),IF(AND($L$711=0,$P$708=0),"",$L$711-1),IF($R$17="Distrato",$E1101,0))),0,YEARFRAC(MAX($P$708*($B1101+IF($R$17="Distrato",$I$38-1,0)),IF(AND($L$711=0,$P$708=0),"",$L$711-1),IF($R$17="Distrato",$E1101,0)),MIN(AJ$38,$D$19),$P$20))-SUM($P1101:AI1101)</f>
        <v>#VALUE!</v>
      </c>
      <c r="AK1101" s="446" t="e">
        <f>IF(OR($B1101="",MIN(AK$38,$D$19)&lt;MAX($P$708*($B1101+IF($R$17="Distrato",$I$38-1,0)),IF(AND($L$711=0,$P$708=0),"",$L$711-1),IF($R$17="Distrato",$E1101,0))),0,YEARFRAC(MAX($P$708*($B1101+IF($R$17="Distrato",$I$38-1,0)),IF(AND($L$711=0,$P$708=0),"",$L$711-1),IF($R$17="Distrato",$E1101,0)),MIN(AK$38,$D$19),$P$20))-SUM($P1101:AJ1101)</f>
        <v>#VALUE!</v>
      </c>
      <c r="AL1101" s="446" t="e">
        <f>IF(OR($B1101="",MIN(AL$38,$D$19)&lt;MAX($P$708*($B1101+IF($R$17="Distrato",$I$38-1,0)),IF(AND($L$711=0,$P$708=0),"",$L$711-1),IF($R$17="Distrato",$E1101,0))),0,YEARFRAC(MAX($P$708*($B1101+IF($R$17="Distrato",$I$38-1,0)),IF(AND($L$711=0,$P$708=0),"",$L$711-1),IF($R$17="Distrato",$E1101,0)),MIN(AL$38,$D$19),$P$20))-SUM($P1101:AK1101)</f>
        <v>#VALUE!</v>
      </c>
      <c r="AM1101" s="446" t="e">
        <f>IF(OR($B1101="",MIN(AM$38,$D$19)&lt;MAX($P$708*($B1101+IF($R$17="Distrato",$I$38-1,0)),IF(AND($L$711=0,$P$708=0),"",$L$711-1),IF($R$17="Distrato",$E1101,0))),0,YEARFRAC(MAX($P$708*($B1101+IF($R$17="Distrato",$I$38-1,0)),IF(AND($L$711=0,$P$708=0),"",$L$711-1),IF($R$17="Distrato",$E1101,0)),MIN(AM$38,$D$19),$P$20))-SUM($P1101:AL1101)</f>
        <v>#VALUE!</v>
      </c>
      <c r="AN1101" s="446" t="e">
        <f>IF(OR($B1101="",MIN(AN$38,$D$19)&lt;MAX($P$708*($B1101+IF($R$17="Distrato",$I$38-1,0)),IF(AND($L$711=0,$P$708=0),"",$L$711-1),IF($R$17="Distrato",$E1101,0))),0,YEARFRAC(MAX($P$708*($B1101+IF($R$17="Distrato",$I$38-1,0)),IF(AND($L$711=0,$P$708=0),"",$L$711-1),IF($R$17="Distrato",$E1101,0)),MIN(AN$38,$D$19),$P$20))-SUM($P1101:AM1101)</f>
        <v>#VALUE!</v>
      </c>
      <c r="AO1101" s="446" t="e">
        <f>IF(OR($B1101="",MIN(AO$38,$D$19)&lt;MAX($P$708*($B1101+IF($R$17="Distrato",$I$38-1,0)),IF(AND($L$711=0,$P$708=0),"",$L$711-1),IF($R$17="Distrato",$E1101,0))),0,YEARFRAC(MAX($P$708*($B1101+IF($R$17="Distrato",$I$38-1,0)),IF(AND($L$711=0,$P$708=0),"",$L$711-1),IF($R$17="Distrato",$E1101,0)),MIN(AO$38,$D$19),$P$20))-SUM($P1101:AN1101)</f>
        <v>#VALUE!</v>
      </c>
      <c r="AP1101" s="446" t="e">
        <f>IF(OR($B1101="",MIN(AP$38,$D$19)&lt;MAX($P$708*($B1101+IF($R$17="Distrato",$I$38-1,0)),IF(AND($L$711=0,$P$708=0),"",$L$711-1),IF($R$17="Distrato",$E1101,0))),0,YEARFRAC(MAX($P$708*($B1101+IF($R$17="Distrato",$I$38-1,0)),IF(AND($L$711=0,$P$708=0),"",$L$711-1),IF($R$17="Distrato",$E1101,0)),MIN(AP$38,$D$19),$P$20))-SUM($P1101:AO1101)</f>
        <v>#VALUE!</v>
      </c>
      <c r="AQ1101" s="446" t="e">
        <f>IF(OR($B1101="",MIN(AQ$38,$D$19)&lt;MAX($P$708*($B1101+IF($R$17="Distrato",$I$38-1,0)),IF(AND($L$711=0,$P$708=0),"",$L$711-1),IF($R$17="Distrato",$E1101,0))),0,YEARFRAC(MAX($P$708*($B1101+IF($R$17="Distrato",$I$38-1,0)),IF(AND($L$711=0,$P$708=0),"",$L$711-1),IF($R$17="Distrato",$E1101,0)),MIN(AQ$38,$D$19),$P$20))-SUM($P1101:AP1101)</f>
        <v>#VALUE!</v>
      </c>
      <c r="AR1101" s="446" t="e">
        <f>IF(OR($B1101="",MIN(AR$38,$D$19)&lt;MAX($P$708*($B1101+IF($R$17="Distrato",$I$38-1,0)),IF(AND($L$711=0,$P$708=0),"",$L$711-1),IF($R$17="Distrato",$E1101,0))),0,YEARFRAC(MAX($P$708*($B1101+IF($R$17="Distrato",$I$38-1,0)),IF(AND($L$711=0,$P$708=0),"",$L$711-1),IF($R$17="Distrato",$E1101,0)),MIN(AR$38,$D$19),$P$20))-SUM($P1101:AQ1101)</f>
        <v>#VALUE!</v>
      </c>
      <c r="AS1101" s="446" t="e">
        <f>IF(OR($B1101="",MIN(AS$38,$D$19)&lt;MAX($P$708*($B1101+IF($R$17="Distrato",$I$38-1,0)),IF(AND($L$711=0,$P$708=0),"",$L$711-1),IF($R$17="Distrato",$E1101,0))),0,YEARFRAC(MAX($P$708*($B1101+IF($R$17="Distrato",$I$38-1,0)),IF(AND($L$711=0,$P$708=0),"",$L$711-1),IF($R$17="Distrato",$E1101,0)),MIN(AS$38,$D$19),$P$20))-SUM($P1101:AR1101)</f>
        <v>#VALUE!</v>
      </c>
      <c r="AT1101" s="446" t="e">
        <f>IF(OR($B1101="",MIN(AT$38,$D$19)&lt;MAX($P$708*($B1101+IF($R$17="Distrato",$I$38-1,0)),IF(AND($L$711=0,$P$708=0),"",$L$711-1),IF($R$17="Distrato",$E1101,0))),0,YEARFRAC(MAX($P$708*($B1101+IF($R$17="Distrato",$I$38-1,0)),IF(AND($L$711=0,$P$708=0),"",$L$711-1),IF($R$17="Distrato",$E1101,0)),MIN(AT$38,$D$19),$P$20))-SUM($P1101:AS1101)</f>
        <v>#VALUE!</v>
      </c>
      <c r="AU1101" s="446" t="e">
        <f>IF(OR($B1101="",MIN(AU$38,$D$19)&lt;MAX($P$708*($B1101+IF($R$17="Distrato",$I$38-1,0)),IF(AND($L$711=0,$P$708=0),"",$L$711-1),IF($R$17="Distrato",$E1101,0))),0,YEARFRAC(MAX($P$708*($B1101+IF($R$17="Distrato",$I$38-1,0)),IF(AND($L$711=0,$P$708=0),"",$L$711-1),IF($R$17="Distrato",$E1101,0)),MIN(AU$38,$D$19),$P$20))-SUM($P1101:AT1101)</f>
        <v>#VALUE!</v>
      </c>
      <c r="AV1101" s="446" t="e">
        <f>IF(OR($B1101="",MIN(AV$38,$D$19)&lt;MAX($P$708*($B1101+IF($R$17="Distrato",$I$38-1,0)),IF(AND($L$711=0,$P$708=0),"",$L$711-1),IF($R$17="Distrato",$E1101,0))),0,YEARFRAC(MAX($P$708*($B1101+IF($R$17="Distrato",$I$38-1,0)),IF(AND($L$711=0,$P$708=0),"",$L$711-1),IF($R$17="Distrato",$E1101,0)),MIN(AV$38,$D$19),$P$20))-SUM($P1101:AU1101)</f>
        <v>#VALUE!</v>
      </c>
      <c r="AW1101" s="446" t="e">
        <f>IF(OR($B1101="",MIN(AW$38,$D$19)&lt;MAX($P$708*($B1101+IF($R$17="Distrato",$I$38-1,0)),IF(AND($L$711=0,$P$708=0),"",$L$711-1),IF($R$17="Distrato",$E1101,0))),0,YEARFRAC(MAX($P$708*($B1101+IF($R$17="Distrato",$I$38-1,0)),IF(AND($L$711=0,$P$708=0),"",$L$711-1),IF($R$17="Distrato",$E1101,0)),MIN(AW$38,$D$19),$P$20))-SUM($P1101:AV1101)</f>
        <v>#VALUE!</v>
      </c>
      <c r="AX1101" s="446" t="e">
        <f>IF(OR($B1101="",MIN(AX$38,$D$19)&lt;MAX($P$708*($B1101+IF($R$17="Distrato",$I$38-1,0)),IF(AND($L$711=0,$P$708=0),"",$L$711-1),IF($R$17="Distrato",$E1101,0))),0,YEARFRAC(MAX($P$708*($B1101+IF($R$17="Distrato",$I$38-1,0)),IF(AND($L$711=0,$P$708=0),"",$L$711-1),IF($R$17="Distrato",$E1101,0)),MIN(AX$38,$D$19),$P$20))-SUM($P1101:AW1101)</f>
        <v>#VALUE!</v>
      </c>
      <c r="AY1101" s="446" t="e">
        <f>IF(OR($B1101="",MIN(AY$38,$D$19)&lt;MAX($P$708*($B1101+IF($R$17="Distrato",$I$38-1,0)),IF(AND($L$711=0,$P$708=0),"",$L$711-1),IF($R$17="Distrato",$E1101,0))),0,YEARFRAC(MAX($P$708*($B1101+IF($R$17="Distrato",$I$38-1,0)),IF(AND($L$711=0,$P$708=0),"",$L$711-1),IF($R$17="Distrato",$E1101,0)),MIN(AY$38,$D$19),$P$20))-SUM($P1101:AX1101)</f>
        <v>#VALUE!</v>
      </c>
      <c r="AZ1101" s="446" t="e">
        <f>IF(OR($B1101="",MIN(AZ$38,$D$19)&lt;MAX($P$708*($B1101+IF($R$17="Distrato",$I$38-1,0)),IF(AND($L$711=0,$P$708=0),"",$L$711-1),IF($R$17="Distrato",$E1101,0))),0,YEARFRAC(MAX($P$708*($B1101+IF($R$17="Distrato",$I$38-1,0)),IF(AND($L$711=0,$P$708=0),"",$L$711-1),IF($R$17="Distrato",$E1101,0)),MIN(AZ$38,$D$19),$P$20))-SUM($P1101:AY1101)</f>
        <v>#VALUE!</v>
      </c>
      <c r="BA1101" s="446" t="e">
        <f>IF(OR($B1101="",MIN(BA$38,$D$19)&lt;MAX($P$708*($B1101+IF($R$17="Distrato",$I$38-1,0)),IF(AND($L$711=0,$P$708=0),"",$L$711-1),IF($R$17="Distrato",$E1101,0))),0,YEARFRAC(MAX($P$708*($B1101+IF($R$17="Distrato",$I$38-1,0)),IF(AND($L$711=0,$P$708=0),"",$L$711-1),IF($R$17="Distrato",$E1101,0)),MIN(BA$38,$D$19),$P$20))-SUM($P1101:AZ1101)</f>
        <v>#VALUE!</v>
      </c>
      <c r="BB1101" s="447"/>
    </row>
    <row r="1102" spans="1:54" s="446" customFormat="1" ht="11.25" hidden="1" customHeight="1" x14ac:dyDescent="0.2">
      <c r="A1102" s="235"/>
      <c r="B1102" s="236"/>
      <c r="C1102" s="29" t="str">
        <f>IF(B1102="","",IF($L$709=$BL$25,VLOOKUP(DATE(YEAR($D$19),MONTH($D$19)-1,1),ÍNDICES!$A:$DE,HLOOKUP($BL$25,ÍNDICES!$B$3:$T$4,2)+11)-VLOOKUP(B1102,ÍNDICES!$A:$DE,HLOOKUP($BL$25,ÍNDICES!$B$3:$T$4,2)+11)+1%,IF(C$712=$W$26,$J$35,IF(ISERROR(IF(B1102&gt;$D$19,1,VLOOKUP(DATE(YEAR(B1102),MONTH(B1102)+IF($C$709=$S$23,1,0),1),ÍNDICES!$A:$DE,$Z$709+1))),"",IF(B1102&gt;$D$19,1,VLOOKUP(DATE(YEAR(B1102),MONTH(B1102)+IF($C$709=$S$23,1,0),1),ÍNDICES!$A:$DE,$Z$709+1))))))</f>
        <v/>
      </c>
      <c r="D1102" s="155"/>
      <c r="E1102" s="88"/>
      <c r="F1102" s="88"/>
      <c r="G1102" s="88"/>
      <c r="H1102" s="118"/>
      <c r="I1102" s="182">
        <f t="shared" si="157"/>
        <v>0</v>
      </c>
      <c r="J1102" s="20">
        <f t="shared" ca="1" si="158"/>
        <v>0</v>
      </c>
      <c r="K1102" s="5">
        <f t="shared" ca="1" si="159"/>
        <v>0</v>
      </c>
      <c r="L1102" s="61">
        <f t="shared" ca="1" si="160"/>
        <v>0</v>
      </c>
      <c r="M1102" s="64">
        <f t="shared" si="161"/>
        <v>0</v>
      </c>
      <c r="N1102" s="151"/>
      <c r="O1102" s="5">
        <f t="shared" ca="1" si="162"/>
        <v>0</v>
      </c>
      <c r="P1102" s="446" t="e">
        <f t="shared" si="163"/>
        <v>#VALUE!</v>
      </c>
      <c r="Q1102" s="446" t="e">
        <f>IF(OR($B1102="",MIN(Q$38,$D$19)&lt;MAX($P$708*($B1102+IF($R$17="Distrato",$I$38-1,0)),IF(AND($L$711=0,$P$708=0),"",$L$711-1),IF($R$17="Distrato",$E1102,0))),0,YEARFRAC(MAX($P$708*($B1102+IF($R$17="Distrato",$I$38-1,0)),IF(AND($L$711=0,$P$708=0),"",$L$711-1),IF($R$17="Distrato",$E1102,0)),MIN(Q$38,$D$19),$P$20))-SUM($P1102:P1102)</f>
        <v>#VALUE!</v>
      </c>
      <c r="R1102" s="446" t="e">
        <f>IF(OR($B1102="",MIN(R$38,$D$19)&lt;MAX($P$708*($B1102+IF($R$17="Distrato",$I$38-1,0)),IF(AND($L$711=0,$P$708=0),"",$L$711-1),IF($R$17="Distrato",$E1102,0))),0,YEARFRAC(MAX($P$708*($B1102+IF($R$17="Distrato",$I$38-1,0)),IF(AND($L$711=0,$P$708=0),"",$L$711-1),IF($R$17="Distrato",$E1102,0)),MIN(R$38,$D$19),$P$20))-SUM($P1102:Q1102)</f>
        <v>#VALUE!</v>
      </c>
      <c r="S1102" s="446" t="e">
        <f>IF(OR($B1102="",MIN(S$38,$D$19)&lt;MAX($P$708*($B1102+IF($R$17="Distrato",$I$38-1,0)),IF(AND($L$711=0,$P$708=0),"",$L$711-1),IF($R$17="Distrato",$E1102,0))),0,YEARFRAC(MAX($P$708*($B1102+IF($R$17="Distrato",$I$38-1,0)),IF(AND($L$711=0,$P$708=0),"",$L$711-1),IF($R$17="Distrato",$E1102,0)),MIN(S$38,$D$19),$P$20))-SUM($P1102:R1102)</f>
        <v>#VALUE!</v>
      </c>
      <c r="T1102" s="446" t="e">
        <f>IF(OR($B1102="",MIN(T$38,$D$19)&lt;MAX($P$708*($B1102+IF($R$17="Distrato",$I$38-1,0)),IF(AND($L$711=0,$P$708=0),"",$L$711-1),IF($R$17="Distrato",$E1102,0))),0,YEARFRAC(MAX($P$708*($B1102+IF($R$17="Distrato",$I$38-1,0)),IF(AND($L$711=0,$P$708=0),"",$L$711-1),IF($R$17="Distrato",$E1102,0)),MIN(T$38,$D$19),$P$20))-SUM($P1102:S1102)</f>
        <v>#VALUE!</v>
      </c>
      <c r="U1102" s="446" t="e">
        <f>IF(OR($B1102="",MIN(U$38,$D$19)&lt;MAX($P$708*($B1102+IF($R$17="Distrato",$I$38-1,0)),IF(AND($L$711=0,$P$708=0),"",$L$711-1),IF($R$17="Distrato",$E1102,0))),0,YEARFRAC(MAX($P$708*($B1102+IF($R$17="Distrato",$I$38-1,0)),IF(AND($L$711=0,$P$708=0),"",$L$711-1),IF($R$17="Distrato",$E1102,0)),MIN(U$38,$D$19),$P$20))-SUM($P1102:T1102)</f>
        <v>#VALUE!</v>
      </c>
      <c r="V1102" s="446" t="e">
        <f>IF(OR($B1102="",MIN(V$38,$D$19)&lt;MAX($P$708*($B1102+IF($R$17="Distrato",$I$38-1,0)),IF(AND($L$711=0,$P$708=0),"",$L$711-1),IF($R$17="Distrato",$E1102,0))),0,YEARFRAC(MAX($P$708*($B1102+IF($R$17="Distrato",$I$38-1,0)),IF(AND($L$711=0,$P$708=0),"",$L$711-1),IF($R$17="Distrato",$E1102,0)),MIN(V$38,$D$19),$P$20))-SUM($P1102:U1102)</f>
        <v>#VALUE!</v>
      </c>
      <c r="W1102" s="446" t="e">
        <f>IF(OR($B1102="",MIN(W$38,$D$19)&lt;MAX($P$708*($B1102+IF($R$17="Distrato",$I$38-1,0)),IF(AND($L$711=0,$P$708=0),"",$L$711-1),IF($R$17="Distrato",$E1102,0))),0,YEARFRAC(MAX($P$708*($B1102+IF($R$17="Distrato",$I$38-1,0)),IF(AND($L$711=0,$P$708=0),"",$L$711-1),IF($R$17="Distrato",$E1102,0)),MIN(W$38,$D$19),$P$20))-SUM($P1102:V1102)</f>
        <v>#VALUE!</v>
      </c>
      <c r="X1102" s="446" t="e">
        <f>IF(OR($B1102="",MIN(X$38,$D$19)&lt;MAX($P$708*($B1102+IF($R$17="Distrato",$I$38-1,0)),IF(AND($L$711=0,$P$708=0),"",$L$711-1),IF($R$17="Distrato",$E1102,0))),0,YEARFRAC(MAX($P$708*($B1102+IF($R$17="Distrato",$I$38-1,0)),IF(AND($L$711=0,$P$708=0),"",$L$711-1),IF($R$17="Distrato",$E1102,0)),MIN(X$38,$D$19),$P$20))-SUM($P1102:W1102)</f>
        <v>#VALUE!</v>
      </c>
      <c r="Y1102" s="446" t="e">
        <f>IF(OR($B1102="",MIN(Y$38,$D$19)&lt;MAX($P$708*($B1102+IF($R$17="Distrato",$I$38-1,0)),IF(AND($L$711=0,$P$708=0),"",$L$711-1),IF($R$17="Distrato",$E1102,0))),0,YEARFRAC(MAX($P$708*($B1102+IF($R$17="Distrato",$I$38-1,0)),IF(AND($L$711=0,$P$708=0),"",$L$711-1),IF($R$17="Distrato",$E1102,0)),MIN(Y$38,$D$19),$P$20))-SUM($P1102:X1102)</f>
        <v>#VALUE!</v>
      </c>
      <c r="Z1102" s="446" t="e">
        <f>IF(OR($B1102="",MIN(Z$38,$D$19)&lt;MAX($P$708*($B1102+IF($R$17="Distrato",$I$38-1,0)),IF(AND($L$711=0,$P$708=0),"",$L$711-1),IF($R$17="Distrato",$E1102,0))),0,YEARFRAC(MAX($P$708*($B1102+IF($R$17="Distrato",$I$38-1,0)),IF(AND($L$711=0,$P$708=0),"",$L$711-1),IF($R$17="Distrato",$E1102,0)),MIN(Z$38,$D$19),$P$20))-SUM($P1102:Y1102)</f>
        <v>#VALUE!</v>
      </c>
      <c r="AA1102" s="446" t="e">
        <f>IF(OR($B1102="",MIN(AA$38,$D$19)&lt;MAX($P$708*($B1102+IF($R$17="Distrato",$I$38-1,0)),IF(AND($L$711=0,$P$708=0),"",$L$711-1),IF($R$17="Distrato",$E1102,0))),0,YEARFRAC(MAX($P$708*($B1102+IF($R$17="Distrato",$I$38-1,0)),IF(AND($L$711=0,$P$708=0),"",$L$711-1),IF($R$17="Distrato",$E1102,0)),MIN(AA$38,$D$19),$P$20))-SUM($P1102:Z1102)</f>
        <v>#VALUE!</v>
      </c>
      <c r="AB1102" s="446" t="e">
        <f>IF(OR($B1102="",MIN(AB$38,$D$19)&lt;MAX($P$708*($B1102+IF($R$17="Distrato",$I$38-1,0)),IF(AND($L$711=0,$P$708=0),"",$L$711-1),IF($R$17="Distrato",$E1102,0))),0,YEARFRAC(MAX($P$708*($B1102+IF($R$17="Distrato",$I$38-1,0)),IF(AND($L$711=0,$P$708=0),"",$L$711-1),IF($R$17="Distrato",$E1102,0)),MIN(AB$38,$D$19),$P$20))-SUM($P1102:AA1102)</f>
        <v>#VALUE!</v>
      </c>
      <c r="AC1102" s="446" t="e">
        <f>IF(OR($B1102="",MIN(AC$38,$D$19)&lt;MAX($P$708*($B1102+IF($R$17="Distrato",$I$38-1,0)),IF(AND($L$711=0,$P$708=0),"",$L$711-1),IF($R$17="Distrato",$E1102,0))),0,YEARFRAC(MAX($P$708*($B1102+IF($R$17="Distrato",$I$38-1,0)),IF(AND($L$711=0,$P$708=0),"",$L$711-1),IF($R$17="Distrato",$E1102,0)),MIN(AC$38,$D$19),$P$20))-SUM($P1102:AB1102)</f>
        <v>#VALUE!</v>
      </c>
      <c r="AD1102" s="446" t="e">
        <f>IF(OR($B1102="",MIN(AD$38,$D$19)&lt;MAX($P$708*($B1102+IF($R$17="Distrato",$I$38-1,0)),IF(AND($L$711=0,$P$708=0),"",$L$711-1),IF($R$17="Distrato",$E1102,0))),0,YEARFRAC(MAX($P$708*($B1102+IF($R$17="Distrato",$I$38-1,0)),IF(AND($L$711=0,$P$708=0),"",$L$711-1),IF($R$17="Distrato",$E1102,0)),MIN(AD$38,$D$19),$P$20))-SUM($P1102:AC1102)</f>
        <v>#VALUE!</v>
      </c>
      <c r="AE1102" s="446" t="e">
        <f>IF(OR($B1102="",MIN(AE$38,$D$19)&lt;MAX($P$708*($B1102+IF($R$17="Distrato",$I$38-1,0)),IF(AND($L$711=0,$P$708=0),"",$L$711-1),IF($R$17="Distrato",$E1102,0))),0,YEARFRAC(MAX($P$708*($B1102+IF($R$17="Distrato",$I$38-1,0)),IF(AND($L$711=0,$P$708=0),"",$L$711-1),IF($R$17="Distrato",$E1102,0)),MIN(AE$38,$D$19),$P$20))-SUM($P1102:AD1102)</f>
        <v>#VALUE!</v>
      </c>
      <c r="AF1102" s="446" t="e">
        <f>IF(OR($B1102="",MIN(AF$38,$D$19)&lt;MAX($P$708*($B1102+IF($R$17="Distrato",$I$38-1,0)),IF(AND($L$711=0,$P$708=0),"",$L$711-1),IF($R$17="Distrato",$E1102,0))),0,YEARFRAC(MAX($P$708*($B1102+IF($R$17="Distrato",$I$38-1,0)),IF(AND($L$711=0,$P$708=0),"",$L$711-1),IF($R$17="Distrato",$E1102,0)),MIN(AF$38,$D$19),$P$20))-SUM($P1102:AE1102)</f>
        <v>#VALUE!</v>
      </c>
      <c r="AG1102" s="446" t="e">
        <f>IF(OR($B1102="",MIN(AG$38,$D$19)&lt;MAX($P$708*($B1102+IF($R$17="Distrato",$I$38-1,0)),IF(AND($L$711=0,$P$708=0),"",$L$711-1),IF($R$17="Distrato",$E1102,0))),0,YEARFRAC(MAX($P$708*($B1102+IF($R$17="Distrato",$I$38-1,0)),IF(AND($L$711=0,$P$708=0),"",$L$711-1),IF($R$17="Distrato",$E1102,0)),MIN(AG$38,$D$19),$P$20))-SUM($P1102:AF1102)</f>
        <v>#VALUE!</v>
      </c>
      <c r="AH1102" s="446" t="e">
        <f>IF(OR($B1102="",MIN(AH$38,$D$19)&lt;MAX($P$708*($B1102+IF($R$17="Distrato",$I$38-1,0)),IF(AND($L$711=0,$P$708=0),"",$L$711-1),IF($R$17="Distrato",$E1102,0))),0,YEARFRAC(MAX($P$708*($B1102+IF($R$17="Distrato",$I$38-1,0)),IF(AND($L$711=0,$P$708=0),"",$L$711-1),IF($R$17="Distrato",$E1102,0)),MIN(AH$38,$D$19),$P$20))-SUM($P1102:AG1102)</f>
        <v>#VALUE!</v>
      </c>
      <c r="AI1102" s="446" t="e">
        <f>IF(OR($B1102="",MIN(AI$38,$D$19)&lt;MAX($P$708*($B1102+IF($R$17="Distrato",$I$38-1,0)),IF(AND($L$711=0,$P$708=0),"",$L$711-1),IF($R$17="Distrato",$E1102,0))),0,YEARFRAC(MAX($P$708*($B1102+IF($R$17="Distrato",$I$38-1,0)),IF(AND($L$711=0,$P$708=0),"",$L$711-1),IF($R$17="Distrato",$E1102,0)),MIN(AI$38,$D$19),$P$20))-SUM($P1102:AH1102)</f>
        <v>#VALUE!</v>
      </c>
      <c r="AJ1102" s="446" t="e">
        <f>IF(OR($B1102="",MIN(AJ$38,$D$19)&lt;MAX($P$708*($B1102+IF($R$17="Distrato",$I$38-1,0)),IF(AND($L$711=0,$P$708=0),"",$L$711-1),IF($R$17="Distrato",$E1102,0))),0,YEARFRAC(MAX($P$708*($B1102+IF($R$17="Distrato",$I$38-1,0)),IF(AND($L$711=0,$P$708=0),"",$L$711-1),IF($R$17="Distrato",$E1102,0)),MIN(AJ$38,$D$19),$P$20))-SUM($P1102:AI1102)</f>
        <v>#VALUE!</v>
      </c>
      <c r="AK1102" s="446" t="e">
        <f>IF(OR($B1102="",MIN(AK$38,$D$19)&lt;MAX($P$708*($B1102+IF($R$17="Distrato",$I$38-1,0)),IF(AND($L$711=0,$P$708=0),"",$L$711-1),IF($R$17="Distrato",$E1102,0))),0,YEARFRAC(MAX($P$708*($B1102+IF($R$17="Distrato",$I$38-1,0)),IF(AND($L$711=0,$P$708=0),"",$L$711-1),IF($R$17="Distrato",$E1102,0)),MIN(AK$38,$D$19),$P$20))-SUM($P1102:AJ1102)</f>
        <v>#VALUE!</v>
      </c>
      <c r="AL1102" s="446" t="e">
        <f>IF(OR($B1102="",MIN(AL$38,$D$19)&lt;MAX($P$708*($B1102+IF($R$17="Distrato",$I$38-1,0)),IF(AND($L$711=0,$P$708=0),"",$L$711-1),IF($R$17="Distrato",$E1102,0))),0,YEARFRAC(MAX($P$708*($B1102+IF($R$17="Distrato",$I$38-1,0)),IF(AND($L$711=0,$P$708=0),"",$L$711-1),IF($R$17="Distrato",$E1102,0)),MIN(AL$38,$D$19),$P$20))-SUM($P1102:AK1102)</f>
        <v>#VALUE!</v>
      </c>
      <c r="AM1102" s="446" t="e">
        <f>IF(OR($B1102="",MIN(AM$38,$D$19)&lt;MAX($P$708*($B1102+IF($R$17="Distrato",$I$38-1,0)),IF(AND($L$711=0,$P$708=0),"",$L$711-1),IF($R$17="Distrato",$E1102,0))),0,YEARFRAC(MAX($P$708*($B1102+IF($R$17="Distrato",$I$38-1,0)),IF(AND($L$711=0,$P$708=0),"",$L$711-1),IF($R$17="Distrato",$E1102,0)),MIN(AM$38,$D$19),$P$20))-SUM($P1102:AL1102)</f>
        <v>#VALUE!</v>
      </c>
      <c r="AN1102" s="446" t="e">
        <f>IF(OR($B1102="",MIN(AN$38,$D$19)&lt;MAX($P$708*($B1102+IF($R$17="Distrato",$I$38-1,0)),IF(AND($L$711=0,$P$708=0),"",$L$711-1),IF($R$17="Distrato",$E1102,0))),0,YEARFRAC(MAX($P$708*($B1102+IF($R$17="Distrato",$I$38-1,0)),IF(AND($L$711=0,$P$708=0),"",$L$711-1),IF($R$17="Distrato",$E1102,0)),MIN(AN$38,$D$19),$P$20))-SUM($P1102:AM1102)</f>
        <v>#VALUE!</v>
      </c>
      <c r="AO1102" s="446" t="e">
        <f>IF(OR($B1102="",MIN(AO$38,$D$19)&lt;MAX($P$708*($B1102+IF($R$17="Distrato",$I$38-1,0)),IF(AND($L$711=0,$P$708=0),"",$L$711-1),IF($R$17="Distrato",$E1102,0))),0,YEARFRAC(MAX($P$708*($B1102+IF($R$17="Distrato",$I$38-1,0)),IF(AND($L$711=0,$P$708=0),"",$L$711-1),IF($R$17="Distrato",$E1102,0)),MIN(AO$38,$D$19),$P$20))-SUM($P1102:AN1102)</f>
        <v>#VALUE!</v>
      </c>
      <c r="AP1102" s="446" t="e">
        <f>IF(OR($B1102="",MIN(AP$38,$D$19)&lt;MAX($P$708*($B1102+IF($R$17="Distrato",$I$38-1,0)),IF(AND($L$711=0,$P$708=0),"",$L$711-1),IF($R$17="Distrato",$E1102,0))),0,YEARFRAC(MAX($P$708*($B1102+IF($R$17="Distrato",$I$38-1,0)),IF(AND($L$711=0,$P$708=0),"",$L$711-1),IF($R$17="Distrato",$E1102,0)),MIN(AP$38,$D$19),$P$20))-SUM($P1102:AO1102)</f>
        <v>#VALUE!</v>
      </c>
      <c r="AQ1102" s="446" t="e">
        <f>IF(OR($B1102="",MIN(AQ$38,$D$19)&lt;MAX($P$708*($B1102+IF($R$17="Distrato",$I$38-1,0)),IF(AND($L$711=0,$P$708=0),"",$L$711-1),IF($R$17="Distrato",$E1102,0))),0,YEARFRAC(MAX($P$708*($B1102+IF($R$17="Distrato",$I$38-1,0)),IF(AND($L$711=0,$P$708=0),"",$L$711-1),IF($R$17="Distrato",$E1102,0)),MIN(AQ$38,$D$19),$P$20))-SUM($P1102:AP1102)</f>
        <v>#VALUE!</v>
      </c>
      <c r="AR1102" s="446" t="e">
        <f>IF(OR($B1102="",MIN(AR$38,$D$19)&lt;MAX($P$708*($B1102+IF($R$17="Distrato",$I$38-1,0)),IF(AND($L$711=0,$P$708=0),"",$L$711-1),IF($R$17="Distrato",$E1102,0))),0,YEARFRAC(MAX($P$708*($B1102+IF($R$17="Distrato",$I$38-1,0)),IF(AND($L$711=0,$P$708=0),"",$L$711-1),IF($R$17="Distrato",$E1102,0)),MIN(AR$38,$D$19),$P$20))-SUM($P1102:AQ1102)</f>
        <v>#VALUE!</v>
      </c>
      <c r="AS1102" s="446" t="e">
        <f>IF(OR($B1102="",MIN(AS$38,$D$19)&lt;MAX($P$708*($B1102+IF($R$17="Distrato",$I$38-1,0)),IF(AND($L$711=0,$P$708=0),"",$L$711-1),IF($R$17="Distrato",$E1102,0))),0,YEARFRAC(MAX($P$708*($B1102+IF($R$17="Distrato",$I$38-1,0)),IF(AND($L$711=0,$P$708=0),"",$L$711-1),IF($R$17="Distrato",$E1102,0)),MIN(AS$38,$D$19),$P$20))-SUM($P1102:AR1102)</f>
        <v>#VALUE!</v>
      </c>
      <c r="AT1102" s="446" t="e">
        <f>IF(OR($B1102="",MIN(AT$38,$D$19)&lt;MAX($P$708*($B1102+IF($R$17="Distrato",$I$38-1,0)),IF(AND($L$711=0,$P$708=0),"",$L$711-1),IF($R$17="Distrato",$E1102,0))),0,YEARFRAC(MAX($P$708*($B1102+IF($R$17="Distrato",$I$38-1,0)),IF(AND($L$711=0,$P$708=0),"",$L$711-1),IF($R$17="Distrato",$E1102,0)),MIN(AT$38,$D$19),$P$20))-SUM($P1102:AS1102)</f>
        <v>#VALUE!</v>
      </c>
      <c r="AU1102" s="446" t="e">
        <f>IF(OR($B1102="",MIN(AU$38,$D$19)&lt;MAX($P$708*($B1102+IF($R$17="Distrato",$I$38-1,0)),IF(AND($L$711=0,$P$708=0),"",$L$711-1),IF($R$17="Distrato",$E1102,0))),0,YEARFRAC(MAX($P$708*($B1102+IF($R$17="Distrato",$I$38-1,0)),IF(AND($L$711=0,$P$708=0),"",$L$711-1),IF($R$17="Distrato",$E1102,0)),MIN(AU$38,$D$19),$P$20))-SUM($P1102:AT1102)</f>
        <v>#VALUE!</v>
      </c>
      <c r="AV1102" s="446" t="e">
        <f>IF(OR($B1102="",MIN(AV$38,$D$19)&lt;MAX($P$708*($B1102+IF($R$17="Distrato",$I$38-1,0)),IF(AND($L$711=0,$P$708=0),"",$L$711-1),IF($R$17="Distrato",$E1102,0))),0,YEARFRAC(MAX($P$708*($B1102+IF($R$17="Distrato",$I$38-1,0)),IF(AND($L$711=0,$P$708=0),"",$L$711-1),IF($R$17="Distrato",$E1102,0)),MIN(AV$38,$D$19),$P$20))-SUM($P1102:AU1102)</f>
        <v>#VALUE!</v>
      </c>
      <c r="AW1102" s="446" t="e">
        <f>IF(OR($B1102="",MIN(AW$38,$D$19)&lt;MAX($P$708*($B1102+IF($R$17="Distrato",$I$38-1,0)),IF(AND($L$711=0,$P$708=0),"",$L$711-1),IF($R$17="Distrato",$E1102,0))),0,YEARFRAC(MAX($P$708*($B1102+IF($R$17="Distrato",$I$38-1,0)),IF(AND($L$711=0,$P$708=0),"",$L$711-1),IF($R$17="Distrato",$E1102,0)),MIN(AW$38,$D$19),$P$20))-SUM($P1102:AV1102)</f>
        <v>#VALUE!</v>
      </c>
      <c r="AX1102" s="446" t="e">
        <f>IF(OR($B1102="",MIN(AX$38,$D$19)&lt;MAX($P$708*($B1102+IF($R$17="Distrato",$I$38-1,0)),IF(AND($L$711=0,$P$708=0),"",$L$711-1),IF($R$17="Distrato",$E1102,0))),0,YEARFRAC(MAX($P$708*($B1102+IF($R$17="Distrato",$I$38-1,0)),IF(AND($L$711=0,$P$708=0),"",$L$711-1),IF($R$17="Distrato",$E1102,0)),MIN(AX$38,$D$19),$P$20))-SUM($P1102:AW1102)</f>
        <v>#VALUE!</v>
      </c>
      <c r="AY1102" s="446" t="e">
        <f>IF(OR($B1102="",MIN(AY$38,$D$19)&lt;MAX($P$708*($B1102+IF($R$17="Distrato",$I$38-1,0)),IF(AND($L$711=0,$P$708=0),"",$L$711-1),IF($R$17="Distrato",$E1102,0))),0,YEARFRAC(MAX($P$708*($B1102+IF($R$17="Distrato",$I$38-1,0)),IF(AND($L$711=0,$P$708=0),"",$L$711-1),IF($R$17="Distrato",$E1102,0)),MIN(AY$38,$D$19),$P$20))-SUM($P1102:AX1102)</f>
        <v>#VALUE!</v>
      </c>
      <c r="AZ1102" s="446" t="e">
        <f>IF(OR($B1102="",MIN(AZ$38,$D$19)&lt;MAX($P$708*($B1102+IF($R$17="Distrato",$I$38-1,0)),IF(AND($L$711=0,$P$708=0),"",$L$711-1),IF($R$17="Distrato",$E1102,0))),0,YEARFRAC(MAX($P$708*($B1102+IF($R$17="Distrato",$I$38-1,0)),IF(AND($L$711=0,$P$708=0),"",$L$711-1),IF($R$17="Distrato",$E1102,0)),MIN(AZ$38,$D$19),$P$20))-SUM($P1102:AY1102)</f>
        <v>#VALUE!</v>
      </c>
      <c r="BA1102" s="446" t="e">
        <f>IF(OR($B1102="",MIN(BA$38,$D$19)&lt;MAX($P$708*($B1102+IF($R$17="Distrato",$I$38-1,0)),IF(AND($L$711=0,$P$708=0),"",$L$711-1),IF($R$17="Distrato",$E1102,0))),0,YEARFRAC(MAX($P$708*($B1102+IF($R$17="Distrato",$I$38-1,0)),IF(AND($L$711=0,$P$708=0),"",$L$711-1),IF($R$17="Distrato",$E1102,0)),MIN(BA$38,$D$19),$P$20))-SUM($P1102:AZ1102)</f>
        <v>#VALUE!</v>
      </c>
      <c r="BB1102" s="447"/>
    </row>
    <row r="1103" spans="1:54" s="446" customFormat="1" ht="11.25" hidden="1" customHeight="1" x14ac:dyDescent="0.2">
      <c r="A1103" s="235"/>
      <c r="B1103" s="236"/>
      <c r="C1103" s="29" t="str">
        <f>IF(B1103="","",IF($L$709=$BL$25,VLOOKUP(DATE(YEAR($D$19),MONTH($D$19)-1,1),ÍNDICES!$A:$DE,HLOOKUP($BL$25,ÍNDICES!$B$3:$T$4,2)+11)-VLOOKUP(B1103,ÍNDICES!$A:$DE,HLOOKUP($BL$25,ÍNDICES!$B$3:$T$4,2)+11)+1%,IF(C$712=$W$26,$J$35,IF(ISERROR(IF(B1103&gt;$D$19,1,VLOOKUP(DATE(YEAR(B1103),MONTH(B1103)+IF($C$709=$S$23,1,0),1),ÍNDICES!$A:$DE,$Z$709+1))),"",IF(B1103&gt;$D$19,1,VLOOKUP(DATE(YEAR(B1103),MONTH(B1103)+IF($C$709=$S$23,1,0),1),ÍNDICES!$A:$DE,$Z$709+1))))))</f>
        <v/>
      </c>
      <c r="D1103" s="155"/>
      <c r="E1103" s="88"/>
      <c r="F1103" s="88"/>
      <c r="G1103" s="88"/>
      <c r="H1103" s="118"/>
      <c r="I1103" s="182">
        <f t="shared" si="157"/>
        <v>0</v>
      </c>
      <c r="J1103" s="20">
        <f t="shared" ca="1" si="158"/>
        <v>0</v>
      </c>
      <c r="K1103" s="5">
        <f t="shared" ca="1" si="159"/>
        <v>0</v>
      </c>
      <c r="L1103" s="61">
        <f t="shared" ca="1" si="160"/>
        <v>0</v>
      </c>
      <c r="M1103" s="64">
        <f t="shared" si="161"/>
        <v>0</v>
      </c>
      <c r="N1103" s="151"/>
      <c r="O1103" s="5">
        <f t="shared" ca="1" si="162"/>
        <v>0</v>
      </c>
      <c r="P1103" s="446" t="e">
        <f t="shared" si="163"/>
        <v>#VALUE!</v>
      </c>
      <c r="Q1103" s="446" t="e">
        <f>IF(OR($B1103="",MIN(Q$38,$D$19)&lt;MAX($P$708*($B1103+IF($R$17="Distrato",$I$38-1,0)),IF(AND($L$711=0,$P$708=0),"",$L$711-1),IF($R$17="Distrato",$E1103,0))),0,YEARFRAC(MAX($P$708*($B1103+IF($R$17="Distrato",$I$38-1,0)),IF(AND($L$711=0,$P$708=0),"",$L$711-1),IF($R$17="Distrato",$E1103,0)),MIN(Q$38,$D$19),$P$20))-SUM($P1103:P1103)</f>
        <v>#VALUE!</v>
      </c>
      <c r="R1103" s="446" t="e">
        <f>IF(OR($B1103="",MIN(R$38,$D$19)&lt;MAX($P$708*($B1103+IF($R$17="Distrato",$I$38-1,0)),IF(AND($L$711=0,$P$708=0),"",$L$711-1),IF($R$17="Distrato",$E1103,0))),0,YEARFRAC(MAX($P$708*($B1103+IF($R$17="Distrato",$I$38-1,0)),IF(AND($L$711=0,$P$708=0),"",$L$711-1),IF($R$17="Distrato",$E1103,0)),MIN(R$38,$D$19),$P$20))-SUM($P1103:Q1103)</f>
        <v>#VALUE!</v>
      </c>
      <c r="S1103" s="446" t="e">
        <f>IF(OR($B1103="",MIN(S$38,$D$19)&lt;MAX($P$708*($B1103+IF($R$17="Distrato",$I$38-1,0)),IF(AND($L$711=0,$P$708=0),"",$L$711-1),IF($R$17="Distrato",$E1103,0))),0,YEARFRAC(MAX($P$708*($B1103+IF($R$17="Distrato",$I$38-1,0)),IF(AND($L$711=0,$P$708=0),"",$L$711-1),IF($R$17="Distrato",$E1103,0)),MIN(S$38,$D$19),$P$20))-SUM($P1103:R1103)</f>
        <v>#VALUE!</v>
      </c>
      <c r="T1103" s="446" t="e">
        <f>IF(OR($B1103="",MIN(T$38,$D$19)&lt;MAX($P$708*($B1103+IF($R$17="Distrato",$I$38-1,0)),IF(AND($L$711=0,$P$708=0),"",$L$711-1),IF($R$17="Distrato",$E1103,0))),0,YEARFRAC(MAX($P$708*($B1103+IF($R$17="Distrato",$I$38-1,0)),IF(AND($L$711=0,$P$708=0),"",$L$711-1),IF($R$17="Distrato",$E1103,0)),MIN(T$38,$D$19),$P$20))-SUM($P1103:S1103)</f>
        <v>#VALUE!</v>
      </c>
      <c r="U1103" s="446" t="e">
        <f>IF(OR($B1103="",MIN(U$38,$D$19)&lt;MAX($P$708*($B1103+IF($R$17="Distrato",$I$38-1,0)),IF(AND($L$711=0,$P$708=0),"",$L$711-1),IF($R$17="Distrato",$E1103,0))),0,YEARFRAC(MAX($P$708*($B1103+IF($R$17="Distrato",$I$38-1,0)),IF(AND($L$711=0,$P$708=0),"",$L$711-1),IF($R$17="Distrato",$E1103,0)),MIN(U$38,$D$19),$P$20))-SUM($P1103:T1103)</f>
        <v>#VALUE!</v>
      </c>
      <c r="V1103" s="446" t="e">
        <f>IF(OR($B1103="",MIN(V$38,$D$19)&lt;MAX($P$708*($B1103+IF($R$17="Distrato",$I$38-1,0)),IF(AND($L$711=0,$P$708=0),"",$L$711-1),IF($R$17="Distrato",$E1103,0))),0,YEARFRAC(MAX($P$708*($B1103+IF($R$17="Distrato",$I$38-1,0)),IF(AND($L$711=0,$P$708=0),"",$L$711-1),IF($R$17="Distrato",$E1103,0)),MIN(V$38,$D$19),$P$20))-SUM($P1103:U1103)</f>
        <v>#VALUE!</v>
      </c>
      <c r="W1103" s="446" t="e">
        <f>IF(OR($B1103="",MIN(W$38,$D$19)&lt;MAX($P$708*($B1103+IF($R$17="Distrato",$I$38-1,0)),IF(AND($L$711=0,$P$708=0),"",$L$711-1),IF($R$17="Distrato",$E1103,0))),0,YEARFRAC(MAX($P$708*($B1103+IF($R$17="Distrato",$I$38-1,0)),IF(AND($L$711=0,$P$708=0),"",$L$711-1),IF($R$17="Distrato",$E1103,0)),MIN(W$38,$D$19),$P$20))-SUM($P1103:V1103)</f>
        <v>#VALUE!</v>
      </c>
      <c r="X1103" s="446" t="e">
        <f>IF(OR($B1103="",MIN(X$38,$D$19)&lt;MAX($P$708*($B1103+IF($R$17="Distrato",$I$38-1,0)),IF(AND($L$711=0,$P$708=0),"",$L$711-1),IF($R$17="Distrato",$E1103,0))),0,YEARFRAC(MAX($P$708*($B1103+IF($R$17="Distrato",$I$38-1,0)),IF(AND($L$711=0,$P$708=0),"",$L$711-1),IF($R$17="Distrato",$E1103,0)),MIN(X$38,$D$19),$P$20))-SUM($P1103:W1103)</f>
        <v>#VALUE!</v>
      </c>
      <c r="Y1103" s="446" t="e">
        <f>IF(OR($B1103="",MIN(Y$38,$D$19)&lt;MAX($P$708*($B1103+IF($R$17="Distrato",$I$38-1,0)),IF(AND($L$711=0,$P$708=0),"",$L$711-1),IF($R$17="Distrato",$E1103,0))),0,YEARFRAC(MAX($P$708*($B1103+IF($R$17="Distrato",$I$38-1,0)),IF(AND($L$711=0,$P$708=0),"",$L$711-1),IF($R$17="Distrato",$E1103,0)),MIN(Y$38,$D$19),$P$20))-SUM($P1103:X1103)</f>
        <v>#VALUE!</v>
      </c>
      <c r="Z1103" s="446" t="e">
        <f>IF(OR($B1103="",MIN(Z$38,$D$19)&lt;MAX($P$708*($B1103+IF($R$17="Distrato",$I$38-1,0)),IF(AND($L$711=0,$P$708=0),"",$L$711-1),IF($R$17="Distrato",$E1103,0))),0,YEARFRAC(MAX($P$708*($B1103+IF($R$17="Distrato",$I$38-1,0)),IF(AND($L$711=0,$P$708=0),"",$L$711-1),IF($R$17="Distrato",$E1103,0)),MIN(Z$38,$D$19),$P$20))-SUM($P1103:Y1103)</f>
        <v>#VALUE!</v>
      </c>
      <c r="AA1103" s="446" t="e">
        <f>IF(OR($B1103="",MIN(AA$38,$D$19)&lt;MAX($P$708*($B1103+IF($R$17="Distrato",$I$38-1,0)),IF(AND($L$711=0,$P$708=0),"",$L$711-1),IF($R$17="Distrato",$E1103,0))),0,YEARFRAC(MAX($P$708*($B1103+IF($R$17="Distrato",$I$38-1,0)),IF(AND($L$711=0,$P$708=0),"",$L$711-1),IF($R$17="Distrato",$E1103,0)),MIN(AA$38,$D$19),$P$20))-SUM($P1103:Z1103)</f>
        <v>#VALUE!</v>
      </c>
      <c r="AB1103" s="446" t="e">
        <f>IF(OR($B1103="",MIN(AB$38,$D$19)&lt;MAX($P$708*($B1103+IF($R$17="Distrato",$I$38-1,0)),IF(AND($L$711=0,$P$708=0),"",$L$711-1),IF($R$17="Distrato",$E1103,0))),0,YEARFRAC(MAX($P$708*($B1103+IF($R$17="Distrato",$I$38-1,0)),IF(AND($L$711=0,$P$708=0),"",$L$711-1),IF($R$17="Distrato",$E1103,0)),MIN(AB$38,$D$19),$P$20))-SUM($P1103:AA1103)</f>
        <v>#VALUE!</v>
      </c>
      <c r="AC1103" s="446" t="e">
        <f>IF(OR($B1103="",MIN(AC$38,$D$19)&lt;MAX($P$708*($B1103+IF($R$17="Distrato",$I$38-1,0)),IF(AND($L$711=0,$P$708=0),"",$L$711-1),IF($R$17="Distrato",$E1103,0))),0,YEARFRAC(MAX($P$708*($B1103+IF($R$17="Distrato",$I$38-1,0)),IF(AND($L$711=0,$P$708=0),"",$L$711-1),IF($R$17="Distrato",$E1103,0)),MIN(AC$38,$D$19),$P$20))-SUM($P1103:AB1103)</f>
        <v>#VALUE!</v>
      </c>
      <c r="AD1103" s="446" t="e">
        <f>IF(OR($B1103="",MIN(AD$38,$D$19)&lt;MAX($P$708*($B1103+IF($R$17="Distrato",$I$38-1,0)),IF(AND($L$711=0,$P$708=0),"",$L$711-1),IF($R$17="Distrato",$E1103,0))),0,YEARFRAC(MAX($P$708*($B1103+IF($R$17="Distrato",$I$38-1,0)),IF(AND($L$711=0,$P$708=0),"",$L$711-1),IF($R$17="Distrato",$E1103,0)),MIN(AD$38,$D$19),$P$20))-SUM($P1103:AC1103)</f>
        <v>#VALUE!</v>
      </c>
      <c r="AE1103" s="446" t="e">
        <f>IF(OR($B1103="",MIN(AE$38,$D$19)&lt;MAX($P$708*($B1103+IF($R$17="Distrato",$I$38-1,0)),IF(AND($L$711=0,$P$708=0),"",$L$711-1),IF($R$17="Distrato",$E1103,0))),0,YEARFRAC(MAX($P$708*($B1103+IF($R$17="Distrato",$I$38-1,0)),IF(AND($L$711=0,$P$708=0),"",$L$711-1),IF($R$17="Distrato",$E1103,0)),MIN(AE$38,$D$19),$P$20))-SUM($P1103:AD1103)</f>
        <v>#VALUE!</v>
      </c>
      <c r="AF1103" s="446" t="e">
        <f>IF(OR($B1103="",MIN(AF$38,$D$19)&lt;MAX($P$708*($B1103+IF($R$17="Distrato",$I$38-1,0)),IF(AND($L$711=0,$P$708=0),"",$L$711-1),IF($R$17="Distrato",$E1103,0))),0,YEARFRAC(MAX($P$708*($B1103+IF($R$17="Distrato",$I$38-1,0)),IF(AND($L$711=0,$P$708=0),"",$L$711-1),IF($R$17="Distrato",$E1103,0)),MIN(AF$38,$D$19),$P$20))-SUM($P1103:AE1103)</f>
        <v>#VALUE!</v>
      </c>
      <c r="AG1103" s="446" t="e">
        <f>IF(OR($B1103="",MIN(AG$38,$D$19)&lt;MAX($P$708*($B1103+IF($R$17="Distrato",$I$38-1,0)),IF(AND($L$711=0,$P$708=0),"",$L$711-1),IF($R$17="Distrato",$E1103,0))),0,YEARFRAC(MAX($P$708*($B1103+IF($R$17="Distrato",$I$38-1,0)),IF(AND($L$711=0,$P$708=0),"",$L$711-1),IF($R$17="Distrato",$E1103,0)),MIN(AG$38,$D$19),$P$20))-SUM($P1103:AF1103)</f>
        <v>#VALUE!</v>
      </c>
      <c r="AH1103" s="446" t="e">
        <f>IF(OR($B1103="",MIN(AH$38,$D$19)&lt;MAX($P$708*($B1103+IF($R$17="Distrato",$I$38-1,0)),IF(AND($L$711=0,$P$708=0),"",$L$711-1),IF($R$17="Distrato",$E1103,0))),0,YEARFRAC(MAX($P$708*($B1103+IF($R$17="Distrato",$I$38-1,0)),IF(AND($L$711=0,$P$708=0),"",$L$711-1),IF($R$17="Distrato",$E1103,0)),MIN(AH$38,$D$19),$P$20))-SUM($P1103:AG1103)</f>
        <v>#VALUE!</v>
      </c>
      <c r="AI1103" s="446" t="e">
        <f>IF(OR($B1103="",MIN(AI$38,$D$19)&lt;MAX($P$708*($B1103+IF($R$17="Distrato",$I$38-1,0)),IF(AND($L$711=0,$P$708=0),"",$L$711-1),IF($R$17="Distrato",$E1103,0))),0,YEARFRAC(MAX($P$708*($B1103+IF($R$17="Distrato",$I$38-1,0)),IF(AND($L$711=0,$P$708=0),"",$L$711-1),IF($R$17="Distrato",$E1103,0)),MIN(AI$38,$D$19),$P$20))-SUM($P1103:AH1103)</f>
        <v>#VALUE!</v>
      </c>
      <c r="AJ1103" s="446" t="e">
        <f>IF(OR($B1103="",MIN(AJ$38,$D$19)&lt;MAX($P$708*($B1103+IF($R$17="Distrato",$I$38-1,0)),IF(AND($L$711=0,$P$708=0),"",$L$711-1),IF($R$17="Distrato",$E1103,0))),0,YEARFRAC(MAX($P$708*($B1103+IF($R$17="Distrato",$I$38-1,0)),IF(AND($L$711=0,$P$708=0),"",$L$711-1),IF($R$17="Distrato",$E1103,0)),MIN(AJ$38,$D$19),$P$20))-SUM($P1103:AI1103)</f>
        <v>#VALUE!</v>
      </c>
      <c r="AK1103" s="446" t="e">
        <f>IF(OR($B1103="",MIN(AK$38,$D$19)&lt;MAX($P$708*($B1103+IF($R$17="Distrato",$I$38-1,0)),IF(AND($L$711=0,$P$708=0),"",$L$711-1),IF($R$17="Distrato",$E1103,0))),0,YEARFRAC(MAX($P$708*($B1103+IF($R$17="Distrato",$I$38-1,0)),IF(AND($L$711=0,$P$708=0),"",$L$711-1),IF($R$17="Distrato",$E1103,0)),MIN(AK$38,$D$19),$P$20))-SUM($P1103:AJ1103)</f>
        <v>#VALUE!</v>
      </c>
      <c r="AL1103" s="446" t="e">
        <f>IF(OR($B1103="",MIN(AL$38,$D$19)&lt;MAX($P$708*($B1103+IF($R$17="Distrato",$I$38-1,0)),IF(AND($L$711=0,$P$708=0),"",$L$711-1),IF($R$17="Distrato",$E1103,0))),0,YEARFRAC(MAX($P$708*($B1103+IF($R$17="Distrato",$I$38-1,0)),IF(AND($L$711=0,$P$708=0),"",$L$711-1),IF($R$17="Distrato",$E1103,0)),MIN(AL$38,$D$19),$P$20))-SUM($P1103:AK1103)</f>
        <v>#VALUE!</v>
      </c>
      <c r="AM1103" s="446" t="e">
        <f>IF(OR($B1103="",MIN(AM$38,$D$19)&lt;MAX($P$708*($B1103+IF($R$17="Distrato",$I$38-1,0)),IF(AND($L$711=0,$P$708=0),"",$L$711-1),IF($R$17="Distrato",$E1103,0))),0,YEARFRAC(MAX($P$708*($B1103+IF($R$17="Distrato",$I$38-1,0)),IF(AND($L$711=0,$P$708=0),"",$L$711-1),IF($R$17="Distrato",$E1103,0)),MIN(AM$38,$D$19),$P$20))-SUM($P1103:AL1103)</f>
        <v>#VALUE!</v>
      </c>
      <c r="AN1103" s="446" t="e">
        <f>IF(OR($B1103="",MIN(AN$38,$D$19)&lt;MAX($P$708*($B1103+IF($R$17="Distrato",$I$38-1,0)),IF(AND($L$711=0,$P$708=0),"",$L$711-1),IF($R$17="Distrato",$E1103,0))),0,YEARFRAC(MAX($P$708*($B1103+IF($R$17="Distrato",$I$38-1,0)),IF(AND($L$711=0,$P$708=0),"",$L$711-1),IF($R$17="Distrato",$E1103,0)),MIN(AN$38,$D$19),$P$20))-SUM($P1103:AM1103)</f>
        <v>#VALUE!</v>
      </c>
      <c r="AO1103" s="446" t="e">
        <f>IF(OR($B1103="",MIN(AO$38,$D$19)&lt;MAX($P$708*($B1103+IF($R$17="Distrato",$I$38-1,0)),IF(AND($L$711=0,$P$708=0),"",$L$711-1),IF($R$17="Distrato",$E1103,0))),0,YEARFRAC(MAX($P$708*($B1103+IF($R$17="Distrato",$I$38-1,0)),IF(AND($L$711=0,$P$708=0),"",$L$711-1),IF($R$17="Distrato",$E1103,0)),MIN(AO$38,$D$19),$P$20))-SUM($P1103:AN1103)</f>
        <v>#VALUE!</v>
      </c>
      <c r="AP1103" s="446" t="e">
        <f>IF(OR($B1103="",MIN(AP$38,$D$19)&lt;MAX($P$708*($B1103+IF($R$17="Distrato",$I$38-1,0)),IF(AND($L$711=0,$P$708=0),"",$L$711-1),IF($R$17="Distrato",$E1103,0))),0,YEARFRAC(MAX($P$708*($B1103+IF($R$17="Distrato",$I$38-1,0)),IF(AND($L$711=0,$P$708=0),"",$L$711-1),IF($R$17="Distrato",$E1103,0)),MIN(AP$38,$D$19),$P$20))-SUM($P1103:AO1103)</f>
        <v>#VALUE!</v>
      </c>
      <c r="AQ1103" s="446" t="e">
        <f>IF(OR($B1103="",MIN(AQ$38,$D$19)&lt;MAX($P$708*($B1103+IF($R$17="Distrato",$I$38-1,0)),IF(AND($L$711=0,$P$708=0),"",$L$711-1),IF($R$17="Distrato",$E1103,0))),0,YEARFRAC(MAX($P$708*($B1103+IF($R$17="Distrato",$I$38-1,0)),IF(AND($L$711=0,$P$708=0),"",$L$711-1),IF($R$17="Distrato",$E1103,0)),MIN(AQ$38,$D$19),$P$20))-SUM($P1103:AP1103)</f>
        <v>#VALUE!</v>
      </c>
      <c r="AR1103" s="446" t="e">
        <f>IF(OR($B1103="",MIN(AR$38,$D$19)&lt;MAX($P$708*($B1103+IF($R$17="Distrato",$I$38-1,0)),IF(AND($L$711=0,$P$708=0),"",$L$711-1),IF($R$17="Distrato",$E1103,0))),0,YEARFRAC(MAX($P$708*($B1103+IF($R$17="Distrato",$I$38-1,0)),IF(AND($L$711=0,$P$708=0),"",$L$711-1),IF($R$17="Distrato",$E1103,0)),MIN(AR$38,$D$19),$P$20))-SUM($P1103:AQ1103)</f>
        <v>#VALUE!</v>
      </c>
      <c r="AS1103" s="446" t="e">
        <f>IF(OR($B1103="",MIN(AS$38,$D$19)&lt;MAX($P$708*($B1103+IF($R$17="Distrato",$I$38-1,0)),IF(AND($L$711=0,$P$708=0),"",$L$711-1),IF($R$17="Distrato",$E1103,0))),0,YEARFRAC(MAX($P$708*($B1103+IF($R$17="Distrato",$I$38-1,0)),IF(AND($L$711=0,$P$708=0),"",$L$711-1),IF($R$17="Distrato",$E1103,0)),MIN(AS$38,$D$19),$P$20))-SUM($P1103:AR1103)</f>
        <v>#VALUE!</v>
      </c>
      <c r="AT1103" s="446" t="e">
        <f>IF(OR($B1103="",MIN(AT$38,$D$19)&lt;MAX($P$708*($B1103+IF($R$17="Distrato",$I$38-1,0)),IF(AND($L$711=0,$P$708=0),"",$L$711-1),IF($R$17="Distrato",$E1103,0))),0,YEARFRAC(MAX($P$708*($B1103+IF($R$17="Distrato",$I$38-1,0)),IF(AND($L$711=0,$P$708=0),"",$L$711-1),IF($R$17="Distrato",$E1103,0)),MIN(AT$38,$D$19),$P$20))-SUM($P1103:AS1103)</f>
        <v>#VALUE!</v>
      </c>
      <c r="AU1103" s="446" t="e">
        <f>IF(OR($B1103="",MIN(AU$38,$D$19)&lt;MAX($P$708*($B1103+IF($R$17="Distrato",$I$38-1,0)),IF(AND($L$711=0,$P$708=0),"",$L$711-1),IF($R$17="Distrato",$E1103,0))),0,YEARFRAC(MAX($P$708*($B1103+IF($R$17="Distrato",$I$38-1,0)),IF(AND($L$711=0,$P$708=0),"",$L$711-1),IF($R$17="Distrato",$E1103,0)),MIN(AU$38,$D$19),$P$20))-SUM($P1103:AT1103)</f>
        <v>#VALUE!</v>
      </c>
      <c r="AV1103" s="446" t="e">
        <f>IF(OR($B1103="",MIN(AV$38,$D$19)&lt;MAX($P$708*($B1103+IF($R$17="Distrato",$I$38-1,0)),IF(AND($L$711=0,$P$708=0),"",$L$711-1),IF($R$17="Distrato",$E1103,0))),0,YEARFRAC(MAX($P$708*($B1103+IF($R$17="Distrato",$I$38-1,0)),IF(AND($L$711=0,$P$708=0),"",$L$711-1),IF($R$17="Distrato",$E1103,0)),MIN(AV$38,$D$19),$P$20))-SUM($P1103:AU1103)</f>
        <v>#VALUE!</v>
      </c>
      <c r="AW1103" s="446" t="e">
        <f>IF(OR($B1103="",MIN(AW$38,$D$19)&lt;MAX($P$708*($B1103+IF($R$17="Distrato",$I$38-1,0)),IF(AND($L$711=0,$P$708=0),"",$L$711-1),IF($R$17="Distrato",$E1103,0))),0,YEARFRAC(MAX($P$708*($B1103+IF($R$17="Distrato",$I$38-1,0)),IF(AND($L$711=0,$P$708=0),"",$L$711-1),IF($R$17="Distrato",$E1103,0)),MIN(AW$38,$D$19),$P$20))-SUM($P1103:AV1103)</f>
        <v>#VALUE!</v>
      </c>
      <c r="AX1103" s="446" t="e">
        <f>IF(OR($B1103="",MIN(AX$38,$D$19)&lt;MAX($P$708*($B1103+IF($R$17="Distrato",$I$38-1,0)),IF(AND($L$711=0,$P$708=0),"",$L$711-1),IF($R$17="Distrato",$E1103,0))),0,YEARFRAC(MAX($P$708*($B1103+IF($R$17="Distrato",$I$38-1,0)),IF(AND($L$711=0,$P$708=0),"",$L$711-1),IF($R$17="Distrato",$E1103,0)),MIN(AX$38,$D$19),$P$20))-SUM($P1103:AW1103)</f>
        <v>#VALUE!</v>
      </c>
      <c r="AY1103" s="446" t="e">
        <f>IF(OR($B1103="",MIN(AY$38,$D$19)&lt;MAX($P$708*($B1103+IF($R$17="Distrato",$I$38-1,0)),IF(AND($L$711=0,$P$708=0),"",$L$711-1),IF($R$17="Distrato",$E1103,0))),0,YEARFRAC(MAX($P$708*($B1103+IF($R$17="Distrato",$I$38-1,0)),IF(AND($L$711=0,$P$708=0),"",$L$711-1),IF($R$17="Distrato",$E1103,0)),MIN(AY$38,$D$19),$P$20))-SUM($P1103:AX1103)</f>
        <v>#VALUE!</v>
      </c>
      <c r="AZ1103" s="446" t="e">
        <f>IF(OR($B1103="",MIN(AZ$38,$D$19)&lt;MAX($P$708*($B1103+IF($R$17="Distrato",$I$38-1,0)),IF(AND($L$711=0,$P$708=0),"",$L$711-1),IF($R$17="Distrato",$E1103,0))),0,YEARFRAC(MAX($P$708*($B1103+IF($R$17="Distrato",$I$38-1,0)),IF(AND($L$711=0,$P$708=0),"",$L$711-1),IF($R$17="Distrato",$E1103,0)),MIN(AZ$38,$D$19),$P$20))-SUM($P1103:AY1103)</f>
        <v>#VALUE!</v>
      </c>
      <c r="BA1103" s="446" t="e">
        <f>IF(OR($B1103="",MIN(BA$38,$D$19)&lt;MAX($P$708*($B1103+IF($R$17="Distrato",$I$38-1,0)),IF(AND($L$711=0,$P$708=0),"",$L$711-1),IF($R$17="Distrato",$E1103,0))),0,YEARFRAC(MAX($P$708*($B1103+IF($R$17="Distrato",$I$38-1,0)),IF(AND($L$711=0,$P$708=0),"",$L$711-1),IF($R$17="Distrato",$E1103,0)),MIN(BA$38,$D$19),$P$20))-SUM($P1103:AZ1103)</f>
        <v>#VALUE!</v>
      </c>
      <c r="BB1103" s="447"/>
    </row>
    <row r="1104" spans="1:54" s="446" customFormat="1" ht="11.25" hidden="1" customHeight="1" x14ac:dyDescent="0.2">
      <c r="A1104" s="235"/>
      <c r="B1104" s="236"/>
      <c r="C1104" s="29" t="str">
        <f>IF(B1104="","",IF($L$709=$BL$25,VLOOKUP(DATE(YEAR($D$19),MONTH($D$19)-1,1),ÍNDICES!$A:$DE,HLOOKUP($BL$25,ÍNDICES!$B$3:$T$4,2)+11)-VLOOKUP(B1104,ÍNDICES!$A:$DE,HLOOKUP($BL$25,ÍNDICES!$B$3:$T$4,2)+11)+1%,IF(C$712=$W$26,$J$35,IF(ISERROR(IF(B1104&gt;$D$19,1,VLOOKUP(DATE(YEAR(B1104),MONTH(B1104)+IF($C$709=$S$23,1,0),1),ÍNDICES!$A:$DE,$Z$709+1))),"",IF(B1104&gt;$D$19,1,VLOOKUP(DATE(YEAR(B1104),MONTH(B1104)+IF($C$709=$S$23,1,0),1),ÍNDICES!$A:$DE,$Z$709+1))))))</f>
        <v/>
      </c>
      <c r="D1104" s="155"/>
      <c r="E1104" s="88"/>
      <c r="F1104" s="88"/>
      <c r="G1104" s="88"/>
      <c r="H1104" s="118"/>
      <c r="I1104" s="182">
        <f t="shared" si="157"/>
        <v>0</v>
      </c>
      <c r="J1104" s="20">
        <f t="shared" ca="1" si="158"/>
        <v>0</v>
      </c>
      <c r="K1104" s="5">
        <f t="shared" ca="1" si="159"/>
        <v>0</v>
      </c>
      <c r="L1104" s="61">
        <f t="shared" ca="1" si="160"/>
        <v>0</v>
      </c>
      <c r="M1104" s="64">
        <f t="shared" si="161"/>
        <v>0</v>
      </c>
      <c r="N1104" s="151"/>
      <c r="O1104" s="5">
        <f t="shared" ca="1" si="162"/>
        <v>0</v>
      </c>
      <c r="P1104" s="446" t="e">
        <f t="shared" si="163"/>
        <v>#VALUE!</v>
      </c>
      <c r="Q1104" s="446" t="e">
        <f>IF(OR($B1104="",MIN(Q$38,$D$19)&lt;MAX($P$708*($B1104+IF($R$17="Distrato",$I$38-1,0)),IF(AND($L$711=0,$P$708=0),"",$L$711-1),IF($R$17="Distrato",$E1104,0))),0,YEARFRAC(MAX($P$708*($B1104+IF($R$17="Distrato",$I$38-1,0)),IF(AND($L$711=0,$P$708=0),"",$L$711-1),IF($R$17="Distrato",$E1104,0)),MIN(Q$38,$D$19),$P$20))-SUM($P1104:P1104)</f>
        <v>#VALUE!</v>
      </c>
      <c r="R1104" s="446" t="e">
        <f>IF(OR($B1104="",MIN(R$38,$D$19)&lt;MAX($P$708*($B1104+IF($R$17="Distrato",$I$38-1,0)),IF(AND($L$711=0,$P$708=0),"",$L$711-1),IF($R$17="Distrato",$E1104,0))),0,YEARFRAC(MAX($P$708*($B1104+IF($R$17="Distrato",$I$38-1,0)),IF(AND($L$711=0,$P$708=0),"",$L$711-1),IF($R$17="Distrato",$E1104,0)),MIN(R$38,$D$19),$P$20))-SUM($P1104:Q1104)</f>
        <v>#VALUE!</v>
      </c>
      <c r="S1104" s="446" t="e">
        <f>IF(OR($B1104="",MIN(S$38,$D$19)&lt;MAX($P$708*($B1104+IF($R$17="Distrato",$I$38-1,0)),IF(AND($L$711=0,$P$708=0),"",$L$711-1),IF($R$17="Distrato",$E1104,0))),0,YEARFRAC(MAX($P$708*($B1104+IF($R$17="Distrato",$I$38-1,0)),IF(AND($L$711=0,$P$708=0),"",$L$711-1),IF($R$17="Distrato",$E1104,0)),MIN(S$38,$D$19),$P$20))-SUM($P1104:R1104)</f>
        <v>#VALUE!</v>
      </c>
      <c r="T1104" s="446" t="e">
        <f>IF(OR($B1104="",MIN(T$38,$D$19)&lt;MAX($P$708*($B1104+IF($R$17="Distrato",$I$38-1,0)),IF(AND($L$711=0,$P$708=0),"",$L$711-1),IF($R$17="Distrato",$E1104,0))),0,YEARFRAC(MAX($P$708*($B1104+IF($R$17="Distrato",$I$38-1,0)),IF(AND($L$711=0,$P$708=0),"",$L$711-1),IF($R$17="Distrato",$E1104,0)),MIN(T$38,$D$19),$P$20))-SUM($P1104:S1104)</f>
        <v>#VALUE!</v>
      </c>
      <c r="U1104" s="446" t="e">
        <f>IF(OR($B1104="",MIN(U$38,$D$19)&lt;MAX($P$708*($B1104+IF($R$17="Distrato",$I$38-1,0)),IF(AND($L$711=0,$P$708=0),"",$L$711-1),IF($R$17="Distrato",$E1104,0))),0,YEARFRAC(MAX($P$708*($B1104+IF($R$17="Distrato",$I$38-1,0)),IF(AND($L$711=0,$P$708=0),"",$L$711-1),IF($R$17="Distrato",$E1104,0)),MIN(U$38,$D$19),$P$20))-SUM($P1104:T1104)</f>
        <v>#VALUE!</v>
      </c>
      <c r="V1104" s="446" t="e">
        <f>IF(OR($B1104="",MIN(V$38,$D$19)&lt;MAX($P$708*($B1104+IF($R$17="Distrato",$I$38-1,0)),IF(AND($L$711=0,$P$708=0),"",$L$711-1),IF($R$17="Distrato",$E1104,0))),0,YEARFRAC(MAX($P$708*($B1104+IF($R$17="Distrato",$I$38-1,0)),IF(AND($L$711=0,$P$708=0),"",$L$711-1),IF($R$17="Distrato",$E1104,0)),MIN(V$38,$D$19),$P$20))-SUM($P1104:U1104)</f>
        <v>#VALUE!</v>
      </c>
      <c r="W1104" s="446" t="e">
        <f>IF(OR($B1104="",MIN(W$38,$D$19)&lt;MAX($P$708*($B1104+IF($R$17="Distrato",$I$38-1,0)),IF(AND($L$711=0,$P$708=0),"",$L$711-1),IF($R$17="Distrato",$E1104,0))),0,YEARFRAC(MAX($P$708*($B1104+IF($R$17="Distrato",$I$38-1,0)),IF(AND($L$711=0,$P$708=0),"",$L$711-1),IF($R$17="Distrato",$E1104,0)),MIN(W$38,$D$19),$P$20))-SUM($P1104:V1104)</f>
        <v>#VALUE!</v>
      </c>
      <c r="X1104" s="446" t="e">
        <f>IF(OR($B1104="",MIN(X$38,$D$19)&lt;MAX($P$708*($B1104+IF($R$17="Distrato",$I$38-1,0)),IF(AND($L$711=0,$P$708=0),"",$L$711-1),IF($R$17="Distrato",$E1104,0))),0,YEARFRAC(MAX($P$708*($B1104+IF($R$17="Distrato",$I$38-1,0)),IF(AND($L$711=0,$P$708=0),"",$L$711-1),IF($R$17="Distrato",$E1104,0)),MIN(X$38,$D$19),$P$20))-SUM($P1104:W1104)</f>
        <v>#VALUE!</v>
      </c>
      <c r="Y1104" s="446" t="e">
        <f>IF(OR($B1104="",MIN(Y$38,$D$19)&lt;MAX($P$708*($B1104+IF($R$17="Distrato",$I$38-1,0)),IF(AND($L$711=0,$P$708=0),"",$L$711-1),IF($R$17="Distrato",$E1104,0))),0,YEARFRAC(MAX($P$708*($B1104+IF($R$17="Distrato",$I$38-1,0)),IF(AND($L$711=0,$P$708=0),"",$L$711-1),IF($R$17="Distrato",$E1104,0)),MIN(Y$38,$D$19),$P$20))-SUM($P1104:X1104)</f>
        <v>#VALUE!</v>
      </c>
      <c r="Z1104" s="446" t="e">
        <f>IF(OR($B1104="",MIN(Z$38,$D$19)&lt;MAX($P$708*($B1104+IF($R$17="Distrato",$I$38-1,0)),IF(AND($L$711=0,$P$708=0),"",$L$711-1),IF($R$17="Distrato",$E1104,0))),0,YEARFRAC(MAX($P$708*($B1104+IF($R$17="Distrato",$I$38-1,0)),IF(AND($L$711=0,$P$708=0),"",$L$711-1),IF($R$17="Distrato",$E1104,0)),MIN(Z$38,$D$19),$P$20))-SUM($P1104:Y1104)</f>
        <v>#VALUE!</v>
      </c>
      <c r="AA1104" s="446" t="e">
        <f>IF(OR($B1104="",MIN(AA$38,$D$19)&lt;MAX($P$708*($B1104+IF($R$17="Distrato",$I$38-1,0)),IF(AND($L$711=0,$P$708=0),"",$L$711-1),IF($R$17="Distrato",$E1104,0))),0,YEARFRAC(MAX($P$708*($B1104+IF($R$17="Distrato",$I$38-1,0)),IF(AND($L$711=0,$P$708=0),"",$L$711-1),IF($R$17="Distrato",$E1104,0)),MIN(AA$38,$D$19),$P$20))-SUM($P1104:Z1104)</f>
        <v>#VALUE!</v>
      </c>
      <c r="AB1104" s="446" t="e">
        <f>IF(OR($B1104="",MIN(AB$38,$D$19)&lt;MAX($P$708*($B1104+IF($R$17="Distrato",$I$38-1,0)),IF(AND($L$711=0,$P$708=0),"",$L$711-1),IF($R$17="Distrato",$E1104,0))),0,YEARFRAC(MAX($P$708*($B1104+IF($R$17="Distrato",$I$38-1,0)),IF(AND($L$711=0,$P$708=0),"",$L$711-1),IF($R$17="Distrato",$E1104,0)),MIN(AB$38,$D$19),$P$20))-SUM($P1104:AA1104)</f>
        <v>#VALUE!</v>
      </c>
      <c r="AC1104" s="446" t="e">
        <f>IF(OR($B1104="",MIN(AC$38,$D$19)&lt;MAX($P$708*($B1104+IF($R$17="Distrato",$I$38-1,0)),IF(AND($L$711=0,$P$708=0),"",$L$711-1),IF($R$17="Distrato",$E1104,0))),0,YEARFRAC(MAX($P$708*($B1104+IF($R$17="Distrato",$I$38-1,0)),IF(AND($L$711=0,$P$708=0),"",$L$711-1),IF($R$17="Distrato",$E1104,0)),MIN(AC$38,$D$19),$P$20))-SUM($P1104:AB1104)</f>
        <v>#VALUE!</v>
      </c>
      <c r="AD1104" s="446" t="e">
        <f>IF(OR($B1104="",MIN(AD$38,$D$19)&lt;MAX($P$708*($B1104+IF($R$17="Distrato",$I$38-1,0)),IF(AND($L$711=0,$P$708=0),"",$L$711-1),IF($R$17="Distrato",$E1104,0))),0,YEARFRAC(MAX($P$708*($B1104+IF($R$17="Distrato",$I$38-1,0)),IF(AND($L$711=0,$P$708=0),"",$L$711-1),IF($R$17="Distrato",$E1104,0)),MIN(AD$38,$D$19),$P$20))-SUM($P1104:AC1104)</f>
        <v>#VALUE!</v>
      </c>
      <c r="AE1104" s="446" t="e">
        <f>IF(OR($B1104="",MIN(AE$38,$D$19)&lt;MAX($P$708*($B1104+IF($R$17="Distrato",$I$38-1,0)),IF(AND($L$711=0,$P$708=0),"",$L$711-1),IF($R$17="Distrato",$E1104,0))),0,YEARFRAC(MAX($P$708*($B1104+IF($R$17="Distrato",$I$38-1,0)),IF(AND($L$711=0,$P$708=0),"",$L$711-1),IF($R$17="Distrato",$E1104,0)),MIN(AE$38,$D$19),$P$20))-SUM($P1104:AD1104)</f>
        <v>#VALUE!</v>
      </c>
      <c r="AF1104" s="446" t="e">
        <f>IF(OR($B1104="",MIN(AF$38,$D$19)&lt;MAX($P$708*($B1104+IF($R$17="Distrato",$I$38-1,0)),IF(AND($L$711=0,$P$708=0),"",$L$711-1),IF($R$17="Distrato",$E1104,0))),0,YEARFRAC(MAX($P$708*($B1104+IF($R$17="Distrato",$I$38-1,0)),IF(AND($L$711=0,$P$708=0),"",$L$711-1),IF($R$17="Distrato",$E1104,0)),MIN(AF$38,$D$19),$P$20))-SUM($P1104:AE1104)</f>
        <v>#VALUE!</v>
      </c>
      <c r="AG1104" s="446" t="e">
        <f>IF(OR($B1104="",MIN(AG$38,$D$19)&lt;MAX($P$708*($B1104+IF($R$17="Distrato",$I$38-1,0)),IF(AND($L$711=0,$P$708=0),"",$L$711-1),IF($R$17="Distrato",$E1104,0))),0,YEARFRAC(MAX($P$708*($B1104+IF($R$17="Distrato",$I$38-1,0)),IF(AND($L$711=0,$P$708=0),"",$L$711-1),IF($R$17="Distrato",$E1104,0)),MIN(AG$38,$D$19),$P$20))-SUM($P1104:AF1104)</f>
        <v>#VALUE!</v>
      </c>
      <c r="AH1104" s="446" t="e">
        <f>IF(OR($B1104="",MIN(AH$38,$D$19)&lt;MAX($P$708*($B1104+IF($R$17="Distrato",$I$38-1,0)),IF(AND($L$711=0,$P$708=0),"",$L$711-1),IF($R$17="Distrato",$E1104,0))),0,YEARFRAC(MAX($P$708*($B1104+IF($R$17="Distrato",$I$38-1,0)),IF(AND($L$711=0,$P$708=0),"",$L$711-1),IF($R$17="Distrato",$E1104,0)),MIN(AH$38,$D$19),$P$20))-SUM($P1104:AG1104)</f>
        <v>#VALUE!</v>
      </c>
      <c r="AI1104" s="446" t="e">
        <f>IF(OR($B1104="",MIN(AI$38,$D$19)&lt;MAX($P$708*($B1104+IF($R$17="Distrato",$I$38-1,0)),IF(AND($L$711=0,$P$708=0),"",$L$711-1),IF($R$17="Distrato",$E1104,0))),0,YEARFRAC(MAX($P$708*($B1104+IF($R$17="Distrato",$I$38-1,0)),IF(AND($L$711=0,$P$708=0),"",$L$711-1),IF($R$17="Distrato",$E1104,0)),MIN(AI$38,$D$19),$P$20))-SUM($P1104:AH1104)</f>
        <v>#VALUE!</v>
      </c>
      <c r="AJ1104" s="446" t="e">
        <f>IF(OR($B1104="",MIN(AJ$38,$D$19)&lt;MAX($P$708*($B1104+IF($R$17="Distrato",$I$38-1,0)),IF(AND($L$711=0,$P$708=0),"",$L$711-1),IF($R$17="Distrato",$E1104,0))),0,YEARFRAC(MAX($P$708*($B1104+IF($R$17="Distrato",$I$38-1,0)),IF(AND($L$711=0,$P$708=0),"",$L$711-1),IF($R$17="Distrato",$E1104,0)),MIN(AJ$38,$D$19),$P$20))-SUM($P1104:AI1104)</f>
        <v>#VALUE!</v>
      </c>
      <c r="AK1104" s="446" t="e">
        <f>IF(OR($B1104="",MIN(AK$38,$D$19)&lt;MAX($P$708*($B1104+IF($R$17="Distrato",$I$38-1,0)),IF(AND($L$711=0,$P$708=0),"",$L$711-1),IF($R$17="Distrato",$E1104,0))),0,YEARFRAC(MAX($P$708*($B1104+IF($R$17="Distrato",$I$38-1,0)),IF(AND($L$711=0,$P$708=0),"",$L$711-1),IF($R$17="Distrato",$E1104,0)),MIN(AK$38,$D$19),$P$20))-SUM($P1104:AJ1104)</f>
        <v>#VALUE!</v>
      </c>
      <c r="AL1104" s="446" t="e">
        <f>IF(OR($B1104="",MIN(AL$38,$D$19)&lt;MAX($P$708*($B1104+IF($R$17="Distrato",$I$38-1,0)),IF(AND($L$711=0,$P$708=0),"",$L$711-1),IF($R$17="Distrato",$E1104,0))),0,YEARFRAC(MAX($P$708*($B1104+IF($R$17="Distrato",$I$38-1,0)),IF(AND($L$711=0,$P$708=0),"",$L$711-1),IF($R$17="Distrato",$E1104,0)),MIN(AL$38,$D$19),$P$20))-SUM($P1104:AK1104)</f>
        <v>#VALUE!</v>
      </c>
      <c r="AM1104" s="446" t="e">
        <f>IF(OR($B1104="",MIN(AM$38,$D$19)&lt;MAX($P$708*($B1104+IF($R$17="Distrato",$I$38-1,0)),IF(AND($L$711=0,$P$708=0),"",$L$711-1),IF($R$17="Distrato",$E1104,0))),0,YEARFRAC(MAX($P$708*($B1104+IF($R$17="Distrato",$I$38-1,0)),IF(AND($L$711=0,$P$708=0),"",$L$711-1),IF($R$17="Distrato",$E1104,0)),MIN(AM$38,$D$19),$P$20))-SUM($P1104:AL1104)</f>
        <v>#VALUE!</v>
      </c>
      <c r="AN1104" s="446" t="e">
        <f>IF(OR($B1104="",MIN(AN$38,$D$19)&lt;MAX($P$708*($B1104+IF($R$17="Distrato",$I$38-1,0)),IF(AND($L$711=0,$P$708=0),"",$L$711-1),IF($R$17="Distrato",$E1104,0))),0,YEARFRAC(MAX($P$708*($B1104+IF($R$17="Distrato",$I$38-1,0)),IF(AND($L$711=0,$P$708=0),"",$L$711-1),IF($R$17="Distrato",$E1104,0)),MIN(AN$38,$D$19),$P$20))-SUM($P1104:AM1104)</f>
        <v>#VALUE!</v>
      </c>
      <c r="AO1104" s="446" t="e">
        <f>IF(OR($B1104="",MIN(AO$38,$D$19)&lt;MAX($P$708*($B1104+IF($R$17="Distrato",$I$38-1,0)),IF(AND($L$711=0,$P$708=0),"",$L$711-1),IF($R$17="Distrato",$E1104,0))),0,YEARFRAC(MAX($P$708*($B1104+IF($R$17="Distrato",$I$38-1,0)),IF(AND($L$711=0,$P$708=0),"",$L$711-1),IF($R$17="Distrato",$E1104,0)),MIN(AO$38,$D$19),$P$20))-SUM($P1104:AN1104)</f>
        <v>#VALUE!</v>
      </c>
      <c r="AP1104" s="446" t="e">
        <f>IF(OR($B1104="",MIN(AP$38,$D$19)&lt;MAX($P$708*($B1104+IF($R$17="Distrato",$I$38-1,0)),IF(AND($L$711=0,$P$708=0),"",$L$711-1),IF($R$17="Distrato",$E1104,0))),0,YEARFRAC(MAX($P$708*($B1104+IF($R$17="Distrato",$I$38-1,0)),IF(AND($L$711=0,$P$708=0),"",$L$711-1),IF($R$17="Distrato",$E1104,0)),MIN(AP$38,$D$19),$P$20))-SUM($P1104:AO1104)</f>
        <v>#VALUE!</v>
      </c>
      <c r="AQ1104" s="446" t="e">
        <f>IF(OR($B1104="",MIN(AQ$38,$D$19)&lt;MAX($P$708*($B1104+IF($R$17="Distrato",$I$38-1,0)),IF(AND($L$711=0,$P$708=0),"",$L$711-1),IF($R$17="Distrato",$E1104,0))),0,YEARFRAC(MAX($P$708*($B1104+IF($R$17="Distrato",$I$38-1,0)),IF(AND($L$711=0,$P$708=0),"",$L$711-1),IF($R$17="Distrato",$E1104,0)),MIN(AQ$38,$D$19),$P$20))-SUM($P1104:AP1104)</f>
        <v>#VALUE!</v>
      </c>
      <c r="AR1104" s="446" t="e">
        <f>IF(OR($B1104="",MIN(AR$38,$D$19)&lt;MAX($P$708*($B1104+IF($R$17="Distrato",$I$38-1,0)),IF(AND($L$711=0,$P$708=0),"",$L$711-1),IF($R$17="Distrato",$E1104,0))),0,YEARFRAC(MAX($P$708*($B1104+IF($R$17="Distrato",$I$38-1,0)),IF(AND($L$711=0,$P$708=0),"",$L$711-1),IF($R$17="Distrato",$E1104,0)),MIN(AR$38,$D$19),$P$20))-SUM($P1104:AQ1104)</f>
        <v>#VALUE!</v>
      </c>
      <c r="AS1104" s="446" t="e">
        <f>IF(OR($B1104="",MIN(AS$38,$D$19)&lt;MAX($P$708*($B1104+IF($R$17="Distrato",$I$38-1,0)),IF(AND($L$711=0,$P$708=0),"",$L$711-1),IF($R$17="Distrato",$E1104,0))),0,YEARFRAC(MAX($P$708*($B1104+IF($R$17="Distrato",$I$38-1,0)),IF(AND($L$711=0,$P$708=0),"",$L$711-1),IF($R$17="Distrato",$E1104,0)),MIN(AS$38,$D$19),$P$20))-SUM($P1104:AR1104)</f>
        <v>#VALUE!</v>
      </c>
      <c r="AT1104" s="446" t="e">
        <f>IF(OR($B1104="",MIN(AT$38,$D$19)&lt;MAX($P$708*($B1104+IF($R$17="Distrato",$I$38-1,0)),IF(AND($L$711=0,$P$708=0),"",$L$711-1),IF($R$17="Distrato",$E1104,0))),0,YEARFRAC(MAX($P$708*($B1104+IF($R$17="Distrato",$I$38-1,0)),IF(AND($L$711=0,$P$708=0),"",$L$711-1),IF($R$17="Distrato",$E1104,0)),MIN(AT$38,$D$19),$P$20))-SUM($P1104:AS1104)</f>
        <v>#VALUE!</v>
      </c>
      <c r="AU1104" s="446" t="e">
        <f>IF(OR($B1104="",MIN(AU$38,$D$19)&lt;MAX($P$708*($B1104+IF($R$17="Distrato",$I$38-1,0)),IF(AND($L$711=0,$P$708=0),"",$L$711-1),IF($R$17="Distrato",$E1104,0))),0,YEARFRAC(MAX($P$708*($B1104+IF($R$17="Distrato",$I$38-1,0)),IF(AND($L$711=0,$P$708=0),"",$L$711-1),IF($R$17="Distrato",$E1104,0)),MIN(AU$38,$D$19),$P$20))-SUM($P1104:AT1104)</f>
        <v>#VALUE!</v>
      </c>
      <c r="AV1104" s="446" t="e">
        <f>IF(OR($B1104="",MIN(AV$38,$D$19)&lt;MAX($P$708*($B1104+IF($R$17="Distrato",$I$38-1,0)),IF(AND($L$711=0,$P$708=0),"",$L$711-1),IF($R$17="Distrato",$E1104,0))),0,YEARFRAC(MAX($P$708*($B1104+IF($R$17="Distrato",$I$38-1,0)),IF(AND($L$711=0,$P$708=0),"",$L$711-1),IF($R$17="Distrato",$E1104,0)),MIN(AV$38,$D$19),$P$20))-SUM($P1104:AU1104)</f>
        <v>#VALUE!</v>
      </c>
      <c r="AW1104" s="446" t="e">
        <f>IF(OR($B1104="",MIN(AW$38,$D$19)&lt;MAX($P$708*($B1104+IF($R$17="Distrato",$I$38-1,0)),IF(AND($L$711=0,$P$708=0),"",$L$711-1),IF($R$17="Distrato",$E1104,0))),0,YEARFRAC(MAX($P$708*($B1104+IF($R$17="Distrato",$I$38-1,0)),IF(AND($L$711=0,$P$708=0),"",$L$711-1),IF($R$17="Distrato",$E1104,0)),MIN(AW$38,$D$19),$P$20))-SUM($P1104:AV1104)</f>
        <v>#VALUE!</v>
      </c>
      <c r="AX1104" s="446" t="e">
        <f>IF(OR($B1104="",MIN(AX$38,$D$19)&lt;MAX($P$708*($B1104+IF($R$17="Distrato",$I$38-1,0)),IF(AND($L$711=0,$P$708=0),"",$L$711-1),IF($R$17="Distrato",$E1104,0))),0,YEARFRAC(MAX($P$708*($B1104+IF($R$17="Distrato",$I$38-1,0)),IF(AND($L$711=0,$P$708=0),"",$L$711-1),IF($R$17="Distrato",$E1104,0)),MIN(AX$38,$D$19),$P$20))-SUM($P1104:AW1104)</f>
        <v>#VALUE!</v>
      </c>
      <c r="AY1104" s="446" t="e">
        <f>IF(OR($B1104="",MIN(AY$38,$D$19)&lt;MAX($P$708*($B1104+IF($R$17="Distrato",$I$38-1,0)),IF(AND($L$711=0,$P$708=0),"",$L$711-1),IF($R$17="Distrato",$E1104,0))),0,YEARFRAC(MAX($P$708*($B1104+IF($R$17="Distrato",$I$38-1,0)),IF(AND($L$711=0,$P$708=0),"",$L$711-1),IF($R$17="Distrato",$E1104,0)),MIN(AY$38,$D$19),$P$20))-SUM($P1104:AX1104)</f>
        <v>#VALUE!</v>
      </c>
      <c r="AZ1104" s="446" t="e">
        <f>IF(OR($B1104="",MIN(AZ$38,$D$19)&lt;MAX($P$708*($B1104+IF($R$17="Distrato",$I$38-1,0)),IF(AND($L$711=0,$P$708=0),"",$L$711-1),IF($R$17="Distrato",$E1104,0))),0,YEARFRAC(MAX($P$708*($B1104+IF($R$17="Distrato",$I$38-1,0)),IF(AND($L$711=0,$P$708=0),"",$L$711-1),IF($R$17="Distrato",$E1104,0)),MIN(AZ$38,$D$19),$P$20))-SUM($P1104:AY1104)</f>
        <v>#VALUE!</v>
      </c>
      <c r="BA1104" s="446" t="e">
        <f>IF(OR($B1104="",MIN(BA$38,$D$19)&lt;MAX($P$708*($B1104+IF($R$17="Distrato",$I$38-1,0)),IF(AND($L$711=0,$P$708=0),"",$L$711-1),IF($R$17="Distrato",$E1104,0))),0,YEARFRAC(MAX($P$708*($B1104+IF($R$17="Distrato",$I$38-1,0)),IF(AND($L$711=0,$P$708=0),"",$L$711-1),IF($R$17="Distrato",$E1104,0)),MIN(BA$38,$D$19),$P$20))-SUM($P1104:AZ1104)</f>
        <v>#VALUE!</v>
      </c>
      <c r="BB1104" s="447"/>
    </row>
    <row r="1105" spans="1:54" s="446" customFormat="1" ht="11.25" hidden="1" customHeight="1" x14ac:dyDescent="0.2">
      <c r="A1105" s="235"/>
      <c r="B1105" s="236"/>
      <c r="C1105" s="29" t="str">
        <f>IF(B1105="","",IF($L$709=$BL$25,VLOOKUP(DATE(YEAR($D$19),MONTH($D$19)-1,1),ÍNDICES!$A:$DE,HLOOKUP($BL$25,ÍNDICES!$B$3:$T$4,2)+11)-VLOOKUP(B1105,ÍNDICES!$A:$DE,HLOOKUP($BL$25,ÍNDICES!$B$3:$T$4,2)+11)+1%,IF(C$712=$W$26,$J$35,IF(ISERROR(IF(B1105&gt;$D$19,1,VLOOKUP(DATE(YEAR(B1105),MONTH(B1105)+IF($C$709=$S$23,1,0),1),ÍNDICES!$A:$DE,$Z$709+1))),"",IF(B1105&gt;$D$19,1,VLOOKUP(DATE(YEAR(B1105),MONTH(B1105)+IF($C$709=$S$23,1,0),1),ÍNDICES!$A:$DE,$Z$709+1))))))</f>
        <v/>
      </c>
      <c r="D1105" s="155"/>
      <c r="E1105" s="88"/>
      <c r="F1105" s="88"/>
      <c r="G1105" s="88"/>
      <c r="H1105" s="118"/>
      <c r="I1105" s="182">
        <f t="shared" si="157"/>
        <v>0</v>
      </c>
      <c r="J1105" s="20">
        <f t="shared" ca="1" si="158"/>
        <v>0</v>
      </c>
      <c r="K1105" s="5">
        <f t="shared" ca="1" si="159"/>
        <v>0</v>
      </c>
      <c r="L1105" s="61">
        <f t="shared" ca="1" si="160"/>
        <v>0</v>
      </c>
      <c r="M1105" s="64">
        <f t="shared" si="161"/>
        <v>0</v>
      </c>
      <c r="N1105" s="151"/>
      <c r="O1105" s="5">
        <f t="shared" ca="1" si="162"/>
        <v>0</v>
      </c>
      <c r="P1105" s="446" t="e">
        <f t="shared" si="163"/>
        <v>#VALUE!</v>
      </c>
      <c r="Q1105" s="446" t="e">
        <f>IF(OR($B1105="",MIN(Q$38,$D$19)&lt;MAX($P$708*($B1105+IF($R$17="Distrato",$I$38-1,0)),IF(AND($L$711=0,$P$708=0),"",$L$711-1),IF($R$17="Distrato",$E1105,0))),0,YEARFRAC(MAX($P$708*($B1105+IF($R$17="Distrato",$I$38-1,0)),IF(AND($L$711=0,$P$708=0),"",$L$711-1),IF($R$17="Distrato",$E1105,0)),MIN(Q$38,$D$19),$P$20))-SUM($P1105:P1105)</f>
        <v>#VALUE!</v>
      </c>
      <c r="R1105" s="446" t="e">
        <f>IF(OR($B1105="",MIN(R$38,$D$19)&lt;MAX($P$708*($B1105+IF($R$17="Distrato",$I$38-1,0)),IF(AND($L$711=0,$P$708=0),"",$L$711-1),IF($R$17="Distrato",$E1105,0))),0,YEARFRAC(MAX($P$708*($B1105+IF($R$17="Distrato",$I$38-1,0)),IF(AND($L$711=0,$P$708=0),"",$L$711-1),IF($R$17="Distrato",$E1105,0)),MIN(R$38,$D$19),$P$20))-SUM($P1105:Q1105)</f>
        <v>#VALUE!</v>
      </c>
      <c r="S1105" s="446" t="e">
        <f>IF(OR($B1105="",MIN(S$38,$D$19)&lt;MAX($P$708*($B1105+IF($R$17="Distrato",$I$38-1,0)),IF(AND($L$711=0,$P$708=0),"",$L$711-1),IF($R$17="Distrato",$E1105,0))),0,YEARFRAC(MAX($P$708*($B1105+IF($R$17="Distrato",$I$38-1,0)),IF(AND($L$711=0,$P$708=0),"",$L$711-1),IF($R$17="Distrato",$E1105,0)),MIN(S$38,$D$19),$P$20))-SUM($P1105:R1105)</f>
        <v>#VALUE!</v>
      </c>
      <c r="T1105" s="446" t="e">
        <f>IF(OR($B1105="",MIN(T$38,$D$19)&lt;MAX($P$708*($B1105+IF($R$17="Distrato",$I$38-1,0)),IF(AND($L$711=0,$P$708=0),"",$L$711-1),IF($R$17="Distrato",$E1105,0))),0,YEARFRAC(MAX($P$708*($B1105+IF($R$17="Distrato",$I$38-1,0)),IF(AND($L$711=0,$P$708=0),"",$L$711-1),IF($R$17="Distrato",$E1105,0)),MIN(T$38,$D$19),$P$20))-SUM($P1105:S1105)</f>
        <v>#VALUE!</v>
      </c>
      <c r="U1105" s="446" t="e">
        <f>IF(OR($B1105="",MIN(U$38,$D$19)&lt;MAX($P$708*($B1105+IF($R$17="Distrato",$I$38-1,0)),IF(AND($L$711=0,$P$708=0),"",$L$711-1),IF($R$17="Distrato",$E1105,0))),0,YEARFRAC(MAX($P$708*($B1105+IF($R$17="Distrato",$I$38-1,0)),IF(AND($L$711=0,$P$708=0),"",$L$711-1),IF($R$17="Distrato",$E1105,0)),MIN(U$38,$D$19),$P$20))-SUM($P1105:T1105)</f>
        <v>#VALUE!</v>
      </c>
      <c r="V1105" s="446" t="e">
        <f>IF(OR($B1105="",MIN(V$38,$D$19)&lt;MAX($P$708*($B1105+IF($R$17="Distrato",$I$38-1,0)),IF(AND($L$711=0,$P$708=0),"",$L$711-1),IF($R$17="Distrato",$E1105,0))),0,YEARFRAC(MAX($P$708*($B1105+IF($R$17="Distrato",$I$38-1,0)),IF(AND($L$711=0,$P$708=0),"",$L$711-1),IF($R$17="Distrato",$E1105,0)),MIN(V$38,$D$19),$P$20))-SUM($P1105:U1105)</f>
        <v>#VALUE!</v>
      </c>
      <c r="W1105" s="446" t="e">
        <f>IF(OR($B1105="",MIN(W$38,$D$19)&lt;MAX($P$708*($B1105+IF($R$17="Distrato",$I$38-1,0)),IF(AND($L$711=0,$P$708=0),"",$L$711-1),IF($R$17="Distrato",$E1105,0))),0,YEARFRAC(MAX($P$708*($B1105+IF($R$17="Distrato",$I$38-1,0)),IF(AND($L$711=0,$P$708=0),"",$L$711-1),IF($R$17="Distrato",$E1105,0)),MIN(W$38,$D$19),$P$20))-SUM($P1105:V1105)</f>
        <v>#VALUE!</v>
      </c>
      <c r="X1105" s="446" t="e">
        <f>IF(OR($B1105="",MIN(X$38,$D$19)&lt;MAX($P$708*($B1105+IF($R$17="Distrato",$I$38-1,0)),IF(AND($L$711=0,$P$708=0),"",$L$711-1),IF($R$17="Distrato",$E1105,0))),0,YEARFRAC(MAX($P$708*($B1105+IF($R$17="Distrato",$I$38-1,0)),IF(AND($L$711=0,$P$708=0),"",$L$711-1),IF($R$17="Distrato",$E1105,0)),MIN(X$38,$D$19),$P$20))-SUM($P1105:W1105)</f>
        <v>#VALUE!</v>
      </c>
      <c r="Y1105" s="446" t="e">
        <f>IF(OR($B1105="",MIN(Y$38,$D$19)&lt;MAX($P$708*($B1105+IF($R$17="Distrato",$I$38-1,0)),IF(AND($L$711=0,$P$708=0),"",$L$711-1),IF($R$17="Distrato",$E1105,0))),0,YEARFRAC(MAX($P$708*($B1105+IF($R$17="Distrato",$I$38-1,0)),IF(AND($L$711=0,$P$708=0),"",$L$711-1),IF($R$17="Distrato",$E1105,0)),MIN(Y$38,$D$19),$P$20))-SUM($P1105:X1105)</f>
        <v>#VALUE!</v>
      </c>
      <c r="Z1105" s="446" t="e">
        <f>IF(OR($B1105="",MIN(Z$38,$D$19)&lt;MAX($P$708*($B1105+IF($R$17="Distrato",$I$38-1,0)),IF(AND($L$711=0,$P$708=0),"",$L$711-1),IF($R$17="Distrato",$E1105,0))),0,YEARFRAC(MAX($P$708*($B1105+IF($R$17="Distrato",$I$38-1,0)),IF(AND($L$711=0,$P$708=0),"",$L$711-1),IF($R$17="Distrato",$E1105,0)),MIN(Z$38,$D$19),$P$20))-SUM($P1105:Y1105)</f>
        <v>#VALUE!</v>
      </c>
      <c r="AA1105" s="446" t="e">
        <f>IF(OR($B1105="",MIN(AA$38,$D$19)&lt;MAX($P$708*($B1105+IF($R$17="Distrato",$I$38-1,0)),IF(AND($L$711=0,$P$708=0),"",$L$711-1),IF($R$17="Distrato",$E1105,0))),0,YEARFRAC(MAX($P$708*($B1105+IF($R$17="Distrato",$I$38-1,0)),IF(AND($L$711=0,$P$708=0),"",$L$711-1),IF($R$17="Distrato",$E1105,0)),MIN(AA$38,$D$19),$P$20))-SUM($P1105:Z1105)</f>
        <v>#VALUE!</v>
      </c>
      <c r="AB1105" s="446" t="e">
        <f>IF(OR($B1105="",MIN(AB$38,$D$19)&lt;MAX($P$708*($B1105+IF($R$17="Distrato",$I$38-1,0)),IF(AND($L$711=0,$P$708=0),"",$L$711-1),IF($R$17="Distrato",$E1105,0))),0,YEARFRAC(MAX($P$708*($B1105+IF($R$17="Distrato",$I$38-1,0)),IF(AND($L$711=0,$P$708=0),"",$L$711-1),IF($R$17="Distrato",$E1105,0)),MIN(AB$38,$D$19),$P$20))-SUM($P1105:AA1105)</f>
        <v>#VALUE!</v>
      </c>
      <c r="AC1105" s="446" t="e">
        <f>IF(OR($B1105="",MIN(AC$38,$D$19)&lt;MAX($P$708*($B1105+IF($R$17="Distrato",$I$38-1,0)),IF(AND($L$711=0,$P$708=0),"",$L$711-1),IF($R$17="Distrato",$E1105,0))),0,YEARFRAC(MAX($P$708*($B1105+IF($R$17="Distrato",$I$38-1,0)),IF(AND($L$711=0,$P$708=0),"",$L$711-1),IF($R$17="Distrato",$E1105,0)),MIN(AC$38,$D$19),$P$20))-SUM($P1105:AB1105)</f>
        <v>#VALUE!</v>
      </c>
      <c r="AD1105" s="446" t="e">
        <f>IF(OR($B1105="",MIN(AD$38,$D$19)&lt;MAX($P$708*($B1105+IF($R$17="Distrato",$I$38-1,0)),IF(AND($L$711=0,$P$708=0),"",$L$711-1),IF($R$17="Distrato",$E1105,0))),0,YEARFRAC(MAX($P$708*($B1105+IF($R$17="Distrato",$I$38-1,0)),IF(AND($L$711=0,$P$708=0),"",$L$711-1),IF($R$17="Distrato",$E1105,0)),MIN(AD$38,$D$19),$P$20))-SUM($P1105:AC1105)</f>
        <v>#VALUE!</v>
      </c>
      <c r="AE1105" s="446" t="e">
        <f>IF(OR($B1105="",MIN(AE$38,$D$19)&lt;MAX($P$708*($B1105+IF($R$17="Distrato",$I$38-1,0)),IF(AND($L$711=0,$P$708=0),"",$L$711-1),IF($R$17="Distrato",$E1105,0))),0,YEARFRAC(MAX($P$708*($B1105+IF($R$17="Distrato",$I$38-1,0)),IF(AND($L$711=0,$P$708=0),"",$L$711-1),IF($R$17="Distrato",$E1105,0)),MIN(AE$38,$D$19),$P$20))-SUM($P1105:AD1105)</f>
        <v>#VALUE!</v>
      </c>
      <c r="AF1105" s="446" t="e">
        <f>IF(OR($B1105="",MIN(AF$38,$D$19)&lt;MAX($P$708*($B1105+IF($R$17="Distrato",$I$38-1,0)),IF(AND($L$711=0,$P$708=0),"",$L$711-1),IF($R$17="Distrato",$E1105,0))),0,YEARFRAC(MAX($P$708*($B1105+IF($R$17="Distrato",$I$38-1,0)),IF(AND($L$711=0,$P$708=0),"",$L$711-1),IF($R$17="Distrato",$E1105,0)),MIN(AF$38,$D$19),$P$20))-SUM($P1105:AE1105)</f>
        <v>#VALUE!</v>
      </c>
      <c r="AG1105" s="446" t="e">
        <f>IF(OR($B1105="",MIN(AG$38,$D$19)&lt;MAX($P$708*($B1105+IF($R$17="Distrato",$I$38-1,0)),IF(AND($L$711=0,$P$708=0),"",$L$711-1),IF($R$17="Distrato",$E1105,0))),0,YEARFRAC(MAX($P$708*($B1105+IF($R$17="Distrato",$I$38-1,0)),IF(AND($L$711=0,$P$708=0),"",$L$711-1),IF($R$17="Distrato",$E1105,0)),MIN(AG$38,$D$19),$P$20))-SUM($P1105:AF1105)</f>
        <v>#VALUE!</v>
      </c>
      <c r="AH1105" s="446" t="e">
        <f>IF(OR($B1105="",MIN(AH$38,$D$19)&lt;MAX($P$708*($B1105+IF($R$17="Distrato",$I$38-1,0)),IF(AND($L$711=0,$P$708=0),"",$L$711-1),IF($R$17="Distrato",$E1105,0))),0,YEARFRAC(MAX($P$708*($B1105+IF($R$17="Distrato",$I$38-1,0)),IF(AND($L$711=0,$P$708=0),"",$L$711-1),IF($R$17="Distrato",$E1105,0)),MIN(AH$38,$D$19),$P$20))-SUM($P1105:AG1105)</f>
        <v>#VALUE!</v>
      </c>
      <c r="AI1105" s="446" t="e">
        <f>IF(OR($B1105="",MIN(AI$38,$D$19)&lt;MAX($P$708*($B1105+IF($R$17="Distrato",$I$38-1,0)),IF(AND($L$711=0,$P$708=0),"",$L$711-1),IF($R$17="Distrato",$E1105,0))),0,YEARFRAC(MAX($P$708*($B1105+IF($R$17="Distrato",$I$38-1,0)),IF(AND($L$711=0,$P$708=0),"",$L$711-1),IF($R$17="Distrato",$E1105,0)),MIN(AI$38,$D$19),$P$20))-SUM($P1105:AH1105)</f>
        <v>#VALUE!</v>
      </c>
      <c r="AJ1105" s="446" t="e">
        <f>IF(OR($B1105="",MIN(AJ$38,$D$19)&lt;MAX($P$708*($B1105+IF($R$17="Distrato",$I$38-1,0)),IF(AND($L$711=0,$P$708=0),"",$L$711-1),IF($R$17="Distrato",$E1105,0))),0,YEARFRAC(MAX($P$708*($B1105+IF($R$17="Distrato",$I$38-1,0)),IF(AND($L$711=0,$P$708=0),"",$L$711-1),IF($R$17="Distrato",$E1105,0)),MIN(AJ$38,$D$19),$P$20))-SUM($P1105:AI1105)</f>
        <v>#VALUE!</v>
      </c>
      <c r="AK1105" s="446" t="e">
        <f>IF(OR($B1105="",MIN(AK$38,$D$19)&lt;MAX($P$708*($B1105+IF($R$17="Distrato",$I$38-1,0)),IF(AND($L$711=0,$P$708=0),"",$L$711-1),IF($R$17="Distrato",$E1105,0))),0,YEARFRAC(MAX($P$708*($B1105+IF($R$17="Distrato",$I$38-1,0)),IF(AND($L$711=0,$P$708=0),"",$L$711-1),IF($R$17="Distrato",$E1105,0)),MIN(AK$38,$D$19),$P$20))-SUM($P1105:AJ1105)</f>
        <v>#VALUE!</v>
      </c>
      <c r="AL1105" s="446" t="e">
        <f>IF(OR($B1105="",MIN(AL$38,$D$19)&lt;MAX($P$708*($B1105+IF($R$17="Distrato",$I$38-1,0)),IF(AND($L$711=0,$P$708=0),"",$L$711-1),IF($R$17="Distrato",$E1105,0))),0,YEARFRAC(MAX($P$708*($B1105+IF($R$17="Distrato",$I$38-1,0)),IF(AND($L$711=0,$P$708=0),"",$L$711-1),IF($R$17="Distrato",$E1105,0)),MIN(AL$38,$D$19),$P$20))-SUM($P1105:AK1105)</f>
        <v>#VALUE!</v>
      </c>
      <c r="AM1105" s="446" t="e">
        <f>IF(OR($B1105="",MIN(AM$38,$D$19)&lt;MAX($P$708*($B1105+IF($R$17="Distrato",$I$38-1,0)),IF(AND($L$711=0,$P$708=0),"",$L$711-1),IF($R$17="Distrato",$E1105,0))),0,YEARFRAC(MAX($P$708*($B1105+IF($R$17="Distrato",$I$38-1,0)),IF(AND($L$711=0,$P$708=0),"",$L$711-1),IF($R$17="Distrato",$E1105,0)),MIN(AM$38,$D$19),$P$20))-SUM($P1105:AL1105)</f>
        <v>#VALUE!</v>
      </c>
      <c r="AN1105" s="446" t="e">
        <f>IF(OR($B1105="",MIN(AN$38,$D$19)&lt;MAX($P$708*($B1105+IF($R$17="Distrato",$I$38-1,0)),IF(AND($L$711=0,$P$708=0),"",$L$711-1),IF($R$17="Distrato",$E1105,0))),0,YEARFRAC(MAX($P$708*($B1105+IF($R$17="Distrato",$I$38-1,0)),IF(AND($L$711=0,$P$708=0),"",$L$711-1),IF($R$17="Distrato",$E1105,0)),MIN(AN$38,$D$19),$P$20))-SUM($P1105:AM1105)</f>
        <v>#VALUE!</v>
      </c>
      <c r="AO1105" s="446" t="e">
        <f>IF(OR($B1105="",MIN(AO$38,$D$19)&lt;MAX($P$708*($B1105+IF($R$17="Distrato",$I$38-1,0)),IF(AND($L$711=0,$P$708=0),"",$L$711-1),IF($R$17="Distrato",$E1105,0))),0,YEARFRAC(MAX($P$708*($B1105+IF($R$17="Distrato",$I$38-1,0)),IF(AND($L$711=0,$P$708=0),"",$L$711-1),IF($R$17="Distrato",$E1105,0)),MIN(AO$38,$D$19),$P$20))-SUM($P1105:AN1105)</f>
        <v>#VALUE!</v>
      </c>
      <c r="AP1105" s="446" t="e">
        <f>IF(OR($B1105="",MIN(AP$38,$D$19)&lt;MAX($P$708*($B1105+IF($R$17="Distrato",$I$38-1,0)),IF(AND($L$711=0,$P$708=0),"",$L$711-1),IF($R$17="Distrato",$E1105,0))),0,YEARFRAC(MAX($P$708*($B1105+IF($R$17="Distrato",$I$38-1,0)),IF(AND($L$711=0,$P$708=0),"",$L$711-1),IF($R$17="Distrato",$E1105,0)),MIN(AP$38,$D$19),$P$20))-SUM($P1105:AO1105)</f>
        <v>#VALUE!</v>
      </c>
      <c r="AQ1105" s="446" t="e">
        <f>IF(OR($B1105="",MIN(AQ$38,$D$19)&lt;MAX($P$708*($B1105+IF($R$17="Distrato",$I$38-1,0)),IF(AND($L$711=0,$P$708=0),"",$L$711-1),IF($R$17="Distrato",$E1105,0))),0,YEARFRAC(MAX($P$708*($B1105+IF($R$17="Distrato",$I$38-1,0)),IF(AND($L$711=0,$P$708=0),"",$L$711-1),IF($R$17="Distrato",$E1105,0)),MIN(AQ$38,$D$19),$P$20))-SUM($P1105:AP1105)</f>
        <v>#VALUE!</v>
      </c>
      <c r="AR1105" s="446" t="e">
        <f>IF(OR($B1105="",MIN(AR$38,$D$19)&lt;MAX($P$708*($B1105+IF($R$17="Distrato",$I$38-1,0)),IF(AND($L$711=0,$P$708=0),"",$L$711-1),IF($R$17="Distrato",$E1105,0))),0,YEARFRAC(MAX($P$708*($B1105+IF($R$17="Distrato",$I$38-1,0)),IF(AND($L$711=0,$P$708=0),"",$L$711-1),IF($R$17="Distrato",$E1105,0)),MIN(AR$38,$D$19),$P$20))-SUM($P1105:AQ1105)</f>
        <v>#VALUE!</v>
      </c>
      <c r="AS1105" s="446" t="e">
        <f>IF(OR($B1105="",MIN(AS$38,$D$19)&lt;MAX($P$708*($B1105+IF($R$17="Distrato",$I$38-1,0)),IF(AND($L$711=0,$P$708=0),"",$L$711-1),IF($R$17="Distrato",$E1105,0))),0,YEARFRAC(MAX($P$708*($B1105+IF($R$17="Distrato",$I$38-1,0)),IF(AND($L$711=0,$P$708=0),"",$L$711-1),IF($R$17="Distrato",$E1105,0)),MIN(AS$38,$D$19),$P$20))-SUM($P1105:AR1105)</f>
        <v>#VALUE!</v>
      </c>
      <c r="AT1105" s="446" t="e">
        <f>IF(OR($B1105="",MIN(AT$38,$D$19)&lt;MAX($P$708*($B1105+IF($R$17="Distrato",$I$38-1,0)),IF(AND($L$711=0,$P$708=0),"",$L$711-1),IF($R$17="Distrato",$E1105,0))),0,YEARFRAC(MAX($P$708*($B1105+IF($R$17="Distrato",$I$38-1,0)),IF(AND($L$711=0,$P$708=0),"",$L$711-1),IF($R$17="Distrato",$E1105,0)),MIN(AT$38,$D$19),$P$20))-SUM($P1105:AS1105)</f>
        <v>#VALUE!</v>
      </c>
      <c r="AU1105" s="446" t="e">
        <f>IF(OR($B1105="",MIN(AU$38,$D$19)&lt;MAX($P$708*($B1105+IF($R$17="Distrato",$I$38-1,0)),IF(AND($L$711=0,$P$708=0),"",$L$711-1),IF($R$17="Distrato",$E1105,0))),0,YEARFRAC(MAX($P$708*($B1105+IF($R$17="Distrato",$I$38-1,0)),IF(AND($L$711=0,$P$708=0),"",$L$711-1),IF($R$17="Distrato",$E1105,0)),MIN(AU$38,$D$19),$P$20))-SUM($P1105:AT1105)</f>
        <v>#VALUE!</v>
      </c>
      <c r="AV1105" s="446" t="e">
        <f>IF(OR($B1105="",MIN(AV$38,$D$19)&lt;MAX($P$708*($B1105+IF($R$17="Distrato",$I$38-1,0)),IF(AND($L$711=0,$P$708=0),"",$L$711-1),IF($R$17="Distrato",$E1105,0))),0,YEARFRAC(MAX($P$708*($B1105+IF($R$17="Distrato",$I$38-1,0)),IF(AND($L$711=0,$P$708=0),"",$L$711-1),IF($R$17="Distrato",$E1105,0)),MIN(AV$38,$D$19),$P$20))-SUM($P1105:AU1105)</f>
        <v>#VALUE!</v>
      </c>
      <c r="AW1105" s="446" t="e">
        <f>IF(OR($B1105="",MIN(AW$38,$D$19)&lt;MAX($P$708*($B1105+IF($R$17="Distrato",$I$38-1,0)),IF(AND($L$711=0,$P$708=0),"",$L$711-1),IF($R$17="Distrato",$E1105,0))),0,YEARFRAC(MAX($P$708*($B1105+IF($R$17="Distrato",$I$38-1,0)),IF(AND($L$711=0,$P$708=0),"",$L$711-1),IF($R$17="Distrato",$E1105,0)),MIN(AW$38,$D$19),$P$20))-SUM($P1105:AV1105)</f>
        <v>#VALUE!</v>
      </c>
      <c r="AX1105" s="446" t="e">
        <f>IF(OR($B1105="",MIN(AX$38,$D$19)&lt;MAX($P$708*($B1105+IF($R$17="Distrato",$I$38-1,0)),IF(AND($L$711=0,$P$708=0),"",$L$711-1),IF($R$17="Distrato",$E1105,0))),0,YEARFRAC(MAX($P$708*($B1105+IF($R$17="Distrato",$I$38-1,0)),IF(AND($L$711=0,$P$708=0),"",$L$711-1),IF($R$17="Distrato",$E1105,0)),MIN(AX$38,$D$19),$P$20))-SUM($P1105:AW1105)</f>
        <v>#VALUE!</v>
      </c>
      <c r="AY1105" s="446" t="e">
        <f>IF(OR($B1105="",MIN(AY$38,$D$19)&lt;MAX($P$708*($B1105+IF($R$17="Distrato",$I$38-1,0)),IF(AND($L$711=0,$P$708=0),"",$L$711-1),IF($R$17="Distrato",$E1105,0))),0,YEARFRAC(MAX($P$708*($B1105+IF($R$17="Distrato",$I$38-1,0)),IF(AND($L$711=0,$P$708=0),"",$L$711-1),IF($R$17="Distrato",$E1105,0)),MIN(AY$38,$D$19),$P$20))-SUM($P1105:AX1105)</f>
        <v>#VALUE!</v>
      </c>
      <c r="AZ1105" s="446" t="e">
        <f>IF(OR($B1105="",MIN(AZ$38,$D$19)&lt;MAX($P$708*($B1105+IF($R$17="Distrato",$I$38-1,0)),IF(AND($L$711=0,$P$708=0),"",$L$711-1),IF($R$17="Distrato",$E1105,0))),0,YEARFRAC(MAX($P$708*($B1105+IF($R$17="Distrato",$I$38-1,0)),IF(AND($L$711=0,$P$708=0),"",$L$711-1),IF($R$17="Distrato",$E1105,0)),MIN(AZ$38,$D$19),$P$20))-SUM($P1105:AY1105)</f>
        <v>#VALUE!</v>
      </c>
      <c r="BA1105" s="446" t="e">
        <f>IF(OR($B1105="",MIN(BA$38,$D$19)&lt;MAX($P$708*($B1105+IF($R$17="Distrato",$I$38-1,0)),IF(AND($L$711=0,$P$708=0),"",$L$711-1),IF($R$17="Distrato",$E1105,0))),0,YEARFRAC(MAX($P$708*($B1105+IF($R$17="Distrato",$I$38-1,0)),IF(AND($L$711=0,$P$708=0),"",$L$711-1),IF($R$17="Distrato",$E1105,0)),MIN(BA$38,$D$19),$P$20))-SUM($P1105:AZ1105)</f>
        <v>#VALUE!</v>
      </c>
      <c r="BB1105" s="447"/>
    </row>
    <row r="1106" spans="1:54" s="446" customFormat="1" ht="11.25" hidden="1" customHeight="1" x14ac:dyDescent="0.2">
      <c r="A1106" s="235"/>
      <c r="B1106" s="236"/>
      <c r="C1106" s="29" t="str">
        <f>IF(B1106="","",IF($L$709=$BL$25,VLOOKUP(DATE(YEAR($D$19),MONTH($D$19)-1,1),ÍNDICES!$A:$DE,HLOOKUP($BL$25,ÍNDICES!$B$3:$T$4,2)+11)-VLOOKUP(B1106,ÍNDICES!$A:$DE,HLOOKUP($BL$25,ÍNDICES!$B$3:$T$4,2)+11)+1%,IF(C$712=$W$26,$J$35,IF(ISERROR(IF(B1106&gt;$D$19,1,VLOOKUP(DATE(YEAR(B1106),MONTH(B1106)+IF($C$709=$S$23,1,0),1),ÍNDICES!$A:$DE,$Z$709+1))),"",IF(B1106&gt;$D$19,1,VLOOKUP(DATE(YEAR(B1106),MONTH(B1106)+IF($C$709=$S$23,1,0),1),ÍNDICES!$A:$DE,$Z$709+1))))))</f>
        <v/>
      </c>
      <c r="D1106" s="155"/>
      <c r="E1106" s="88"/>
      <c r="F1106" s="88"/>
      <c r="G1106" s="88"/>
      <c r="H1106" s="118"/>
      <c r="I1106" s="182">
        <f t="shared" si="157"/>
        <v>0</v>
      </c>
      <c r="J1106" s="20">
        <f t="shared" ca="1" si="158"/>
        <v>0</v>
      </c>
      <c r="K1106" s="5">
        <f t="shared" ca="1" si="159"/>
        <v>0</v>
      </c>
      <c r="L1106" s="61">
        <f t="shared" ca="1" si="160"/>
        <v>0</v>
      </c>
      <c r="M1106" s="64">
        <f t="shared" si="161"/>
        <v>0</v>
      </c>
      <c r="N1106" s="151"/>
      <c r="O1106" s="5">
        <f t="shared" ca="1" si="162"/>
        <v>0</v>
      </c>
      <c r="P1106" s="446" t="e">
        <f t="shared" si="163"/>
        <v>#VALUE!</v>
      </c>
      <c r="Q1106" s="446" t="e">
        <f>IF(OR($B1106="",MIN(Q$38,$D$19)&lt;MAX($P$708*($B1106+IF($R$17="Distrato",$I$38-1,0)),IF(AND($L$711=0,$P$708=0),"",$L$711-1),IF($R$17="Distrato",$E1106,0))),0,YEARFRAC(MAX($P$708*($B1106+IF($R$17="Distrato",$I$38-1,0)),IF(AND($L$711=0,$P$708=0),"",$L$711-1),IF($R$17="Distrato",$E1106,0)),MIN(Q$38,$D$19),$P$20))-SUM($P1106:P1106)</f>
        <v>#VALUE!</v>
      </c>
      <c r="R1106" s="446" t="e">
        <f>IF(OR($B1106="",MIN(R$38,$D$19)&lt;MAX($P$708*($B1106+IF($R$17="Distrato",$I$38-1,0)),IF(AND($L$711=0,$P$708=0),"",$L$711-1),IF($R$17="Distrato",$E1106,0))),0,YEARFRAC(MAX($P$708*($B1106+IF($R$17="Distrato",$I$38-1,0)),IF(AND($L$711=0,$P$708=0),"",$L$711-1),IF($R$17="Distrato",$E1106,0)),MIN(R$38,$D$19),$P$20))-SUM($P1106:Q1106)</f>
        <v>#VALUE!</v>
      </c>
      <c r="S1106" s="446" t="e">
        <f>IF(OR($B1106="",MIN(S$38,$D$19)&lt;MAX($P$708*($B1106+IF($R$17="Distrato",$I$38-1,0)),IF(AND($L$711=0,$P$708=0),"",$L$711-1),IF($R$17="Distrato",$E1106,0))),0,YEARFRAC(MAX($P$708*($B1106+IF($R$17="Distrato",$I$38-1,0)),IF(AND($L$711=0,$P$708=0),"",$L$711-1),IF($R$17="Distrato",$E1106,0)),MIN(S$38,$D$19),$P$20))-SUM($P1106:R1106)</f>
        <v>#VALUE!</v>
      </c>
      <c r="T1106" s="446" t="e">
        <f>IF(OR($B1106="",MIN(T$38,$D$19)&lt;MAX($P$708*($B1106+IF($R$17="Distrato",$I$38-1,0)),IF(AND($L$711=0,$P$708=0),"",$L$711-1),IF($R$17="Distrato",$E1106,0))),0,YEARFRAC(MAX($P$708*($B1106+IF($R$17="Distrato",$I$38-1,0)),IF(AND($L$711=0,$P$708=0),"",$L$711-1),IF($R$17="Distrato",$E1106,0)),MIN(T$38,$D$19),$P$20))-SUM($P1106:S1106)</f>
        <v>#VALUE!</v>
      </c>
      <c r="U1106" s="446" t="e">
        <f>IF(OR($B1106="",MIN(U$38,$D$19)&lt;MAX($P$708*($B1106+IF($R$17="Distrato",$I$38-1,0)),IF(AND($L$711=0,$P$708=0),"",$L$711-1),IF($R$17="Distrato",$E1106,0))),0,YEARFRAC(MAX($P$708*($B1106+IF($R$17="Distrato",$I$38-1,0)),IF(AND($L$711=0,$P$708=0),"",$L$711-1),IF($R$17="Distrato",$E1106,0)),MIN(U$38,$D$19),$P$20))-SUM($P1106:T1106)</f>
        <v>#VALUE!</v>
      </c>
      <c r="V1106" s="446" t="e">
        <f>IF(OR($B1106="",MIN(V$38,$D$19)&lt;MAX($P$708*($B1106+IF($R$17="Distrato",$I$38-1,0)),IF(AND($L$711=0,$P$708=0),"",$L$711-1),IF($R$17="Distrato",$E1106,0))),0,YEARFRAC(MAX($P$708*($B1106+IF($R$17="Distrato",$I$38-1,0)),IF(AND($L$711=0,$P$708=0),"",$L$711-1),IF($R$17="Distrato",$E1106,0)),MIN(V$38,$D$19),$P$20))-SUM($P1106:U1106)</f>
        <v>#VALUE!</v>
      </c>
      <c r="W1106" s="446" t="e">
        <f>IF(OR($B1106="",MIN(W$38,$D$19)&lt;MAX($P$708*($B1106+IF($R$17="Distrato",$I$38-1,0)),IF(AND($L$711=0,$P$708=0),"",$L$711-1),IF($R$17="Distrato",$E1106,0))),0,YEARFRAC(MAX($P$708*($B1106+IF($R$17="Distrato",$I$38-1,0)),IF(AND($L$711=0,$P$708=0),"",$L$711-1),IF($R$17="Distrato",$E1106,0)),MIN(W$38,$D$19),$P$20))-SUM($P1106:V1106)</f>
        <v>#VALUE!</v>
      </c>
      <c r="X1106" s="446" t="e">
        <f>IF(OR($B1106="",MIN(X$38,$D$19)&lt;MAX($P$708*($B1106+IF($R$17="Distrato",$I$38-1,0)),IF(AND($L$711=0,$P$708=0),"",$L$711-1),IF($R$17="Distrato",$E1106,0))),0,YEARFRAC(MAX($P$708*($B1106+IF($R$17="Distrato",$I$38-1,0)),IF(AND($L$711=0,$P$708=0),"",$L$711-1),IF($R$17="Distrato",$E1106,0)),MIN(X$38,$D$19),$P$20))-SUM($P1106:W1106)</f>
        <v>#VALUE!</v>
      </c>
      <c r="Y1106" s="446" t="e">
        <f>IF(OR($B1106="",MIN(Y$38,$D$19)&lt;MAX($P$708*($B1106+IF($R$17="Distrato",$I$38-1,0)),IF(AND($L$711=0,$P$708=0),"",$L$711-1),IF($R$17="Distrato",$E1106,0))),0,YEARFRAC(MAX($P$708*($B1106+IF($R$17="Distrato",$I$38-1,0)),IF(AND($L$711=0,$P$708=0),"",$L$711-1),IF($R$17="Distrato",$E1106,0)),MIN(Y$38,$D$19),$P$20))-SUM($P1106:X1106)</f>
        <v>#VALUE!</v>
      </c>
      <c r="Z1106" s="446" t="e">
        <f>IF(OR($B1106="",MIN(Z$38,$D$19)&lt;MAX($P$708*($B1106+IF($R$17="Distrato",$I$38-1,0)),IF(AND($L$711=0,$P$708=0),"",$L$711-1),IF($R$17="Distrato",$E1106,0))),0,YEARFRAC(MAX($P$708*($B1106+IF($R$17="Distrato",$I$38-1,0)),IF(AND($L$711=0,$P$708=0),"",$L$711-1),IF($R$17="Distrato",$E1106,0)),MIN(Z$38,$D$19),$P$20))-SUM($P1106:Y1106)</f>
        <v>#VALUE!</v>
      </c>
      <c r="AA1106" s="446" t="e">
        <f>IF(OR($B1106="",MIN(AA$38,$D$19)&lt;MAX($P$708*($B1106+IF($R$17="Distrato",$I$38-1,0)),IF(AND($L$711=0,$P$708=0),"",$L$711-1),IF($R$17="Distrato",$E1106,0))),0,YEARFRAC(MAX($P$708*($B1106+IF($R$17="Distrato",$I$38-1,0)),IF(AND($L$711=0,$P$708=0),"",$L$711-1),IF($R$17="Distrato",$E1106,0)),MIN(AA$38,$D$19),$P$20))-SUM($P1106:Z1106)</f>
        <v>#VALUE!</v>
      </c>
      <c r="AB1106" s="446" t="e">
        <f>IF(OR($B1106="",MIN(AB$38,$D$19)&lt;MAX($P$708*($B1106+IF($R$17="Distrato",$I$38-1,0)),IF(AND($L$711=0,$P$708=0),"",$L$711-1),IF($R$17="Distrato",$E1106,0))),0,YEARFRAC(MAX($P$708*($B1106+IF($R$17="Distrato",$I$38-1,0)),IF(AND($L$711=0,$P$708=0),"",$L$711-1),IF($R$17="Distrato",$E1106,0)),MIN(AB$38,$D$19),$P$20))-SUM($P1106:AA1106)</f>
        <v>#VALUE!</v>
      </c>
      <c r="AC1106" s="446" t="e">
        <f>IF(OR($B1106="",MIN(AC$38,$D$19)&lt;MAX($P$708*($B1106+IF($R$17="Distrato",$I$38-1,0)),IF(AND($L$711=0,$P$708=0),"",$L$711-1),IF($R$17="Distrato",$E1106,0))),0,YEARFRAC(MAX($P$708*($B1106+IF($R$17="Distrato",$I$38-1,0)),IF(AND($L$711=0,$P$708=0),"",$L$711-1),IF($R$17="Distrato",$E1106,0)),MIN(AC$38,$D$19),$P$20))-SUM($P1106:AB1106)</f>
        <v>#VALUE!</v>
      </c>
      <c r="AD1106" s="446" t="e">
        <f>IF(OR($B1106="",MIN(AD$38,$D$19)&lt;MAX($P$708*($B1106+IF($R$17="Distrato",$I$38-1,0)),IF(AND($L$711=0,$P$708=0),"",$L$711-1),IF($R$17="Distrato",$E1106,0))),0,YEARFRAC(MAX($P$708*($B1106+IF($R$17="Distrato",$I$38-1,0)),IF(AND($L$711=0,$P$708=0),"",$L$711-1),IF($R$17="Distrato",$E1106,0)),MIN(AD$38,$D$19),$P$20))-SUM($P1106:AC1106)</f>
        <v>#VALUE!</v>
      </c>
      <c r="AE1106" s="446" t="e">
        <f>IF(OR($B1106="",MIN(AE$38,$D$19)&lt;MAX($P$708*($B1106+IF($R$17="Distrato",$I$38-1,0)),IF(AND($L$711=0,$P$708=0),"",$L$711-1),IF($R$17="Distrato",$E1106,0))),0,YEARFRAC(MAX($P$708*($B1106+IF($R$17="Distrato",$I$38-1,0)),IF(AND($L$711=0,$P$708=0),"",$L$711-1),IF($R$17="Distrato",$E1106,0)),MIN(AE$38,$D$19),$P$20))-SUM($P1106:AD1106)</f>
        <v>#VALUE!</v>
      </c>
      <c r="AF1106" s="446" t="e">
        <f>IF(OR($B1106="",MIN(AF$38,$D$19)&lt;MAX($P$708*($B1106+IF($R$17="Distrato",$I$38-1,0)),IF(AND($L$711=0,$P$708=0),"",$L$711-1),IF($R$17="Distrato",$E1106,0))),0,YEARFRAC(MAX($P$708*($B1106+IF($R$17="Distrato",$I$38-1,0)),IF(AND($L$711=0,$P$708=0),"",$L$711-1),IF($R$17="Distrato",$E1106,0)),MIN(AF$38,$D$19),$P$20))-SUM($P1106:AE1106)</f>
        <v>#VALUE!</v>
      </c>
      <c r="AG1106" s="446" t="e">
        <f>IF(OR($B1106="",MIN(AG$38,$D$19)&lt;MAX($P$708*($B1106+IF($R$17="Distrato",$I$38-1,0)),IF(AND($L$711=0,$P$708=0),"",$L$711-1),IF($R$17="Distrato",$E1106,0))),0,YEARFRAC(MAX($P$708*($B1106+IF($R$17="Distrato",$I$38-1,0)),IF(AND($L$711=0,$P$708=0),"",$L$711-1),IF($R$17="Distrato",$E1106,0)),MIN(AG$38,$D$19),$P$20))-SUM($P1106:AF1106)</f>
        <v>#VALUE!</v>
      </c>
      <c r="AH1106" s="446" t="e">
        <f>IF(OR($B1106="",MIN(AH$38,$D$19)&lt;MAX($P$708*($B1106+IF($R$17="Distrato",$I$38-1,0)),IF(AND($L$711=0,$P$708=0),"",$L$711-1),IF($R$17="Distrato",$E1106,0))),0,YEARFRAC(MAX($P$708*($B1106+IF($R$17="Distrato",$I$38-1,0)),IF(AND($L$711=0,$P$708=0),"",$L$711-1),IF($R$17="Distrato",$E1106,0)),MIN(AH$38,$D$19),$P$20))-SUM($P1106:AG1106)</f>
        <v>#VALUE!</v>
      </c>
      <c r="AI1106" s="446" t="e">
        <f>IF(OR($B1106="",MIN(AI$38,$D$19)&lt;MAX($P$708*($B1106+IF($R$17="Distrato",$I$38-1,0)),IF(AND($L$711=0,$P$708=0),"",$L$711-1),IF($R$17="Distrato",$E1106,0))),0,YEARFRAC(MAX($P$708*($B1106+IF($R$17="Distrato",$I$38-1,0)),IF(AND($L$711=0,$P$708=0),"",$L$711-1),IF($R$17="Distrato",$E1106,0)),MIN(AI$38,$D$19),$P$20))-SUM($P1106:AH1106)</f>
        <v>#VALUE!</v>
      </c>
      <c r="AJ1106" s="446" t="e">
        <f>IF(OR($B1106="",MIN(AJ$38,$D$19)&lt;MAX($P$708*($B1106+IF($R$17="Distrato",$I$38-1,0)),IF(AND($L$711=0,$P$708=0),"",$L$711-1),IF($R$17="Distrato",$E1106,0))),0,YEARFRAC(MAX($P$708*($B1106+IF($R$17="Distrato",$I$38-1,0)),IF(AND($L$711=0,$P$708=0),"",$L$711-1),IF($R$17="Distrato",$E1106,0)),MIN(AJ$38,$D$19),$P$20))-SUM($P1106:AI1106)</f>
        <v>#VALUE!</v>
      </c>
      <c r="AK1106" s="446" t="e">
        <f>IF(OR($B1106="",MIN(AK$38,$D$19)&lt;MAX($P$708*($B1106+IF($R$17="Distrato",$I$38-1,0)),IF(AND($L$711=0,$P$708=0),"",$L$711-1),IF($R$17="Distrato",$E1106,0))),0,YEARFRAC(MAX($P$708*($B1106+IF($R$17="Distrato",$I$38-1,0)),IF(AND($L$711=0,$P$708=0),"",$L$711-1),IF($R$17="Distrato",$E1106,0)),MIN(AK$38,$D$19),$P$20))-SUM($P1106:AJ1106)</f>
        <v>#VALUE!</v>
      </c>
      <c r="AL1106" s="446" t="e">
        <f>IF(OR($B1106="",MIN(AL$38,$D$19)&lt;MAX($P$708*($B1106+IF($R$17="Distrato",$I$38-1,0)),IF(AND($L$711=0,$P$708=0),"",$L$711-1),IF($R$17="Distrato",$E1106,0))),0,YEARFRAC(MAX($P$708*($B1106+IF($R$17="Distrato",$I$38-1,0)),IF(AND($L$711=0,$P$708=0),"",$L$711-1),IF($R$17="Distrato",$E1106,0)),MIN(AL$38,$D$19),$P$20))-SUM($P1106:AK1106)</f>
        <v>#VALUE!</v>
      </c>
      <c r="AM1106" s="446" t="e">
        <f>IF(OR($B1106="",MIN(AM$38,$D$19)&lt;MAX($P$708*($B1106+IF($R$17="Distrato",$I$38-1,0)),IF(AND($L$711=0,$P$708=0),"",$L$711-1),IF($R$17="Distrato",$E1106,0))),0,YEARFRAC(MAX($P$708*($B1106+IF($R$17="Distrato",$I$38-1,0)),IF(AND($L$711=0,$P$708=0),"",$L$711-1),IF($R$17="Distrato",$E1106,0)),MIN(AM$38,$D$19),$P$20))-SUM($P1106:AL1106)</f>
        <v>#VALUE!</v>
      </c>
      <c r="AN1106" s="446" t="e">
        <f>IF(OR($B1106="",MIN(AN$38,$D$19)&lt;MAX($P$708*($B1106+IF($R$17="Distrato",$I$38-1,0)),IF(AND($L$711=0,$P$708=0),"",$L$711-1),IF($R$17="Distrato",$E1106,0))),0,YEARFRAC(MAX($P$708*($B1106+IF($R$17="Distrato",$I$38-1,0)),IF(AND($L$711=0,$P$708=0),"",$L$711-1),IF($R$17="Distrato",$E1106,0)),MIN(AN$38,$D$19),$P$20))-SUM($P1106:AM1106)</f>
        <v>#VALUE!</v>
      </c>
      <c r="AO1106" s="446" t="e">
        <f>IF(OR($B1106="",MIN(AO$38,$D$19)&lt;MAX($P$708*($B1106+IF($R$17="Distrato",$I$38-1,0)),IF(AND($L$711=0,$P$708=0),"",$L$711-1),IF($R$17="Distrato",$E1106,0))),0,YEARFRAC(MAX($P$708*($B1106+IF($R$17="Distrato",$I$38-1,0)),IF(AND($L$711=0,$P$708=0),"",$L$711-1),IF($R$17="Distrato",$E1106,0)),MIN(AO$38,$D$19),$P$20))-SUM($P1106:AN1106)</f>
        <v>#VALUE!</v>
      </c>
      <c r="AP1106" s="446" t="e">
        <f>IF(OR($B1106="",MIN(AP$38,$D$19)&lt;MAX($P$708*($B1106+IF($R$17="Distrato",$I$38-1,0)),IF(AND($L$711=0,$P$708=0),"",$L$711-1),IF($R$17="Distrato",$E1106,0))),0,YEARFRAC(MAX($P$708*($B1106+IF($R$17="Distrato",$I$38-1,0)),IF(AND($L$711=0,$P$708=0),"",$L$711-1),IF($R$17="Distrato",$E1106,0)),MIN(AP$38,$D$19),$P$20))-SUM($P1106:AO1106)</f>
        <v>#VALUE!</v>
      </c>
      <c r="AQ1106" s="446" t="e">
        <f>IF(OR($B1106="",MIN(AQ$38,$D$19)&lt;MAX($P$708*($B1106+IF($R$17="Distrato",$I$38-1,0)),IF(AND($L$711=0,$P$708=0),"",$L$711-1),IF($R$17="Distrato",$E1106,0))),0,YEARFRAC(MAX($P$708*($B1106+IF($R$17="Distrato",$I$38-1,0)),IF(AND($L$711=0,$P$708=0),"",$L$711-1),IF($R$17="Distrato",$E1106,0)),MIN(AQ$38,$D$19),$P$20))-SUM($P1106:AP1106)</f>
        <v>#VALUE!</v>
      </c>
      <c r="AR1106" s="446" t="e">
        <f>IF(OR($B1106="",MIN(AR$38,$D$19)&lt;MAX($P$708*($B1106+IF($R$17="Distrato",$I$38-1,0)),IF(AND($L$711=0,$P$708=0),"",$L$711-1),IF($R$17="Distrato",$E1106,0))),0,YEARFRAC(MAX($P$708*($B1106+IF($R$17="Distrato",$I$38-1,0)),IF(AND($L$711=0,$P$708=0),"",$L$711-1),IF($R$17="Distrato",$E1106,0)),MIN(AR$38,$D$19),$P$20))-SUM($P1106:AQ1106)</f>
        <v>#VALUE!</v>
      </c>
      <c r="AS1106" s="446" t="e">
        <f>IF(OR($B1106="",MIN(AS$38,$D$19)&lt;MAX($P$708*($B1106+IF($R$17="Distrato",$I$38-1,0)),IF(AND($L$711=0,$P$708=0),"",$L$711-1),IF($R$17="Distrato",$E1106,0))),0,YEARFRAC(MAX($P$708*($B1106+IF($R$17="Distrato",$I$38-1,0)),IF(AND($L$711=0,$P$708=0),"",$L$711-1),IF($R$17="Distrato",$E1106,0)),MIN(AS$38,$D$19),$P$20))-SUM($P1106:AR1106)</f>
        <v>#VALUE!</v>
      </c>
      <c r="AT1106" s="446" t="e">
        <f>IF(OR($B1106="",MIN(AT$38,$D$19)&lt;MAX($P$708*($B1106+IF($R$17="Distrato",$I$38-1,0)),IF(AND($L$711=0,$P$708=0),"",$L$711-1),IF($R$17="Distrato",$E1106,0))),0,YEARFRAC(MAX($P$708*($B1106+IF($R$17="Distrato",$I$38-1,0)),IF(AND($L$711=0,$P$708=0),"",$L$711-1),IF($R$17="Distrato",$E1106,0)),MIN(AT$38,$D$19),$P$20))-SUM($P1106:AS1106)</f>
        <v>#VALUE!</v>
      </c>
      <c r="AU1106" s="446" t="e">
        <f>IF(OR($B1106="",MIN(AU$38,$D$19)&lt;MAX($P$708*($B1106+IF($R$17="Distrato",$I$38-1,0)),IF(AND($L$711=0,$P$708=0),"",$L$711-1),IF($R$17="Distrato",$E1106,0))),0,YEARFRAC(MAX($P$708*($B1106+IF($R$17="Distrato",$I$38-1,0)),IF(AND($L$711=0,$P$708=0),"",$L$711-1),IF($R$17="Distrato",$E1106,0)),MIN(AU$38,$D$19),$P$20))-SUM($P1106:AT1106)</f>
        <v>#VALUE!</v>
      </c>
      <c r="AV1106" s="446" t="e">
        <f>IF(OR($B1106="",MIN(AV$38,$D$19)&lt;MAX($P$708*($B1106+IF($R$17="Distrato",$I$38-1,0)),IF(AND($L$711=0,$P$708=0),"",$L$711-1),IF($R$17="Distrato",$E1106,0))),0,YEARFRAC(MAX($P$708*($B1106+IF($R$17="Distrato",$I$38-1,0)),IF(AND($L$711=0,$P$708=0),"",$L$711-1),IF($R$17="Distrato",$E1106,0)),MIN(AV$38,$D$19),$P$20))-SUM($P1106:AU1106)</f>
        <v>#VALUE!</v>
      </c>
      <c r="AW1106" s="446" t="e">
        <f>IF(OR($B1106="",MIN(AW$38,$D$19)&lt;MAX($P$708*($B1106+IF($R$17="Distrato",$I$38-1,0)),IF(AND($L$711=0,$P$708=0),"",$L$711-1),IF($R$17="Distrato",$E1106,0))),0,YEARFRAC(MAX($P$708*($B1106+IF($R$17="Distrato",$I$38-1,0)),IF(AND($L$711=0,$P$708=0),"",$L$711-1),IF($R$17="Distrato",$E1106,0)),MIN(AW$38,$D$19),$P$20))-SUM($P1106:AV1106)</f>
        <v>#VALUE!</v>
      </c>
      <c r="AX1106" s="446" t="e">
        <f>IF(OR($B1106="",MIN(AX$38,$D$19)&lt;MAX($P$708*($B1106+IF($R$17="Distrato",$I$38-1,0)),IF(AND($L$711=0,$P$708=0),"",$L$711-1),IF($R$17="Distrato",$E1106,0))),0,YEARFRAC(MAX($P$708*($B1106+IF($R$17="Distrato",$I$38-1,0)),IF(AND($L$711=0,$P$708=0),"",$L$711-1),IF($R$17="Distrato",$E1106,0)),MIN(AX$38,$D$19),$P$20))-SUM($P1106:AW1106)</f>
        <v>#VALUE!</v>
      </c>
      <c r="AY1106" s="446" t="e">
        <f>IF(OR($B1106="",MIN(AY$38,$D$19)&lt;MAX($P$708*($B1106+IF($R$17="Distrato",$I$38-1,0)),IF(AND($L$711=0,$P$708=0),"",$L$711-1),IF($R$17="Distrato",$E1106,0))),0,YEARFRAC(MAX($P$708*($B1106+IF($R$17="Distrato",$I$38-1,0)),IF(AND($L$711=0,$P$708=0),"",$L$711-1),IF($R$17="Distrato",$E1106,0)),MIN(AY$38,$D$19),$P$20))-SUM($P1106:AX1106)</f>
        <v>#VALUE!</v>
      </c>
      <c r="AZ1106" s="446" t="e">
        <f>IF(OR($B1106="",MIN(AZ$38,$D$19)&lt;MAX($P$708*($B1106+IF($R$17="Distrato",$I$38-1,0)),IF(AND($L$711=0,$P$708=0),"",$L$711-1),IF($R$17="Distrato",$E1106,0))),0,YEARFRAC(MAX($P$708*($B1106+IF($R$17="Distrato",$I$38-1,0)),IF(AND($L$711=0,$P$708=0),"",$L$711-1),IF($R$17="Distrato",$E1106,0)),MIN(AZ$38,$D$19),$P$20))-SUM($P1106:AY1106)</f>
        <v>#VALUE!</v>
      </c>
      <c r="BA1106" s="446" t="e">
        <f>IF(OR($B1106="",MIN(BA$38,$D$19)&lt;MAX($P$708*($B1106+IF($R$17="Distrato",$I$38-1,0)),IF(AND($L$711=0,$P$708=0),"",$L$711-1),IF($R$17="Distrato",$E1106,0))),0,YEARFRAC(MAX($P$708*($B1106+IF($R$17="Distrato",$I$38-1,0)),IF(AND($L$711=0,$P$708=0),"",$L$711-1),IF($R$17="Distrato",$E1106,0)),MIN(BA$38,$D$19),$P$20))-SUM($P1106:AZ1106)</f>
        <v>#VALUE!</v>
      </c>
      <c r="BB1106" s="447"/>
    </row>
    <row r="1107" spans="1:54" s="446" customFormat="1" ht="11.25" hidden="1" customHeight="1" x14ac:dyDescent="0.2">
      <c r="A1107" s="235"/>
      <c r="B1107" s="236"/>
      <c r="C1107" s="29" t="str">
        <f>IF(B1107="","",IF($L$709=$BL$25,VLOOKUP(DATE(YEAR($D$19),MONTH($D$19)-1,1),ÍNDICES!$A:$DE,HLOOKUP($BL$25,ÍNDICES!$B$3:$T$4,2)+11)-VLOOKUP(B1107,ÍNDICES!$A:$DE,HLOOKUP($BL$25,ÍNDICES!$B$3:$T$4,2)+11)+1%,IF(C$712=$W$26,$J$35,IF(ISERROR(IF(B1107&gt;$D$19,1,VLOOKUP(DATE(YEAR(B1107),MONTH(B1107)+IF($C$709=$S$23,1,0),1),ÍNDICES!$A:$DE,$Z$709+1))),"",IF(B1107&gt;$D$19,1,VLOOKUP(DATE(YEAR(B1107),MONTH(B1107)+IF($C$709=$S$23,1,0),1),ÍNDICES!$A:$DE,$Z$709+1))))))</f>
        <v/>
      </c>
      <c r="D1107" s="155"/>
      <c r="E1107" s="88"/>
      <c r="F1107" s="88"/>
      <c r="G1107" s="88"/>
      <c r="H1107" s="118"/>
      <c r="I1107" s="182">
        <f t="shared" si="157"/>
        <v>0</v>
      </c>
      <c r="J1107" s="20">
        <f t="shared" ca="1" si="158"/>
        <v>0</v>
      </c>
      <c r="K1107" s="5">
        <f t="shared" ca="1" si="159"/>
        <v>0</v>
      </c>
      <c r="L1107" s="61">
        <f t="shared" ca="1" si="160"/>
        <v>0</v>
      </c>
      <c r="M1107" s="64">
        <f t="shared" si="161"/>
        <v>0</v>
      </c>
      <c r="N1107" s="151"/>
      <c r="O1107" s="5">
        <f t="shared" ca="1" si="162"/>
        <v>0</v>
      </c>
      <c r="P1107" s="446" t="e">
        <f t="shared" si="163"/>
        <v>#VALUE!</v>
      </c>
      <c r="Q1107" s="446" t="e">
        <f>IF(OR($B1107="",MIN(Q$38,$D$19)&lt;MAX($P$708*($B1107+IF($R$17="Distrato",$I$38-1,0)),IF(AND($L$711=0,$P$708=0),"",$L$711-1),IF($R$17="Distrato",$E1107,0))),0,YEARFRAC(MAX($P$708*($B1107+IF($R$17="Distrato",$I$38-1,0)),IF(AND($L$711=0,$P$708=0),"",$L$711-1),IF($R$17="Distrato",$E1107,0)),MIN(Q$38,$D$19),$P$20))-SUM($P1107:P1107)</f>
        <v>#VALUE!</v>
      </c>
      <c r="R1107" s="446" t="e">
        <f>IF(OR($B1107="",MIN(R$38,$D$19)&lt;MAX($P$708*($B1107+IF($R$17="Distrato",$I$38-1,0)),IF(AND($L$711=0,$P$708=0),"",$L$711-1),IF($R$17="Distrato",$E1107,0))),0,YEARFRAC(MAX($P$708*($B1107+IF($R$17="Distrato",$I$38-1,0)),IF(AND($L$711=0,$P$708=0),"",$L$711-1),IF($R$17="Distrato",$E1107,0)),MIN(R$38,$D$19),$P$20))-SUM($P1107:Q1107)</f>
        <v>#VALUE!</v>
      </c>
      <c r="S1107" s="446" t="e">
        <f>IF(OR($B1107="",MIN(S$38,$D$19)&lt;MAX($P$708*($B1107+IF($R$17="Distrato",$I$38-1,0)),IF(AND($L$711=0,$P$708=0),"",$L$711-1),IF($R$17="Distrato",$E1107,0))),0,YEARFRAC(MAX($P$708*($B1107+IF($R$17="Distrato",$I$38-1,0)),IF(AND($L$711=0,$P$708=0),"",$L$711-1),IF($R$17="Distrato",$E1107,0)),MIN(S$38,$D$19),$P$20))-SUM($P1107:R1107)</f>
        <v>#VALUE!</v>
      </c>
      <c r="T1107" s="446" t="e">
        <f>IF(OR($B1107="",MIN(T$38,$D$19)&lt;MAX($P$708*($B1107+IF($R$17="Distrato",$I$38-1,0)),IF(AND($L$711=0,$P$708=0),"",$L$711-1),IF($R$17="Distrato",$E1107,0))),0,YEARFRAC(MAX($P$708*($B1107+IF($R$17="Distrato",$I$38-1,0)),IF(AND($L$711=0,$P$708=0),"",$L$711-1),IF($R$17="Distrato",$E1107,0)),MIN(T$38,$D$19),$P$20))-SUM($P1107:S1107)</f>
        <v>#VALUE!</v>
      </c>
      <c r="U1107" s="446" t="e">
        <f>IF(OR($B1107="",MIN(U$38,$D$19)&lt;MAX($P$708*($B1107+IF($R$17="Distrato",$I$38-1,0)),IF(AND($L$711=0,$P$708=0),"",$L$711-1),IF($R$17="Distrato",$E1107,0))),0,YEARFRAC(MAX($P$708*($B1107+IF($R$17="Distrato",$I$38-1,0)),IF(AND($L$711=0,$P$708=0),"",$L$711-1),IF($R$17="Distrato",$E1107,0)),MIN(U$38,$D$19),$P$20))-SUM($P1107:T1107)</f>
        <v>#VALUE!</v>
      </c>
      <c r="V1107" s="446" t="e">
        <f>IF(OR($B1107="",MIN(V$38,$D$19)&lt;MAX($P$708*($B1107+IF($R$17="Distrato",$I$38-1,0)),IF(AND($L$711=0,$P$708=0),"",$L$711-1),IF($R$17="Distrato",$E1107,0))),0,YEARFRAC(MAX($P$708*($B1107+IF($R$17="Distrato",$I$38-1,0)),IF(AND($L$711=0,$P$708=0),"",$L$711-1),IF($R$17="Distrato",$E1107,0)),MIN(V$38,$D$19),$P$20))-SUM($P1107:U1107)</f>
        <v>#VALUE!</v>
      </c>
      <c r="W1107" s="446" t="e">
        <f>IF(OR($B1107="",MIN(W$38,$D$19)&lt;MAX($P$708*($B1107+IF($R$17="Distrato",$I$38-1,0)),IF(AND($L$711=0,$P$708=0),"",$L$711-1),IF($R$17="Distrato",$E1107,0))),0,YEARFRAC(MAX($P$708*($B1107+IF($R$17="Distrato",$I$38-1,0)),IF(AND($L$711=0,$P$708=0),"",$L$711-1),IF($R$17="Distrato",$E1107,0)),MIN(W$38,$D$19),$P$20))-SUM($P1107:V1107)</f>
        <v>#VALUE!</v>
      </c>
      <c r="X1107" s="446" t="e">
        <f>IF(OR($B1107="",MIN(X$38,$D$19)&lt;MAX($P$708*($B1107+IF($R$17="Distrato",$I$38-1,0)),IF(AND($L$711=0,$P$708=0),"",$L$711-1),IF($R$17="Distrato",$E1107,0))),0,YEARFRAC(MAX($P$708*($B1107+IF($R$17="Distrato",$I$38-1,0)),IF(AND($L$711=0,$P$708=0),"",$L$711-1),IF($R$17="Distrato",$E1107,0)),MIN(X$38,$D$19),$P$20))-SUM($P1107:W1107)</f>
        <v>#VALUE!</v>
      </c>
      <c r="Y1107" s="446" t="e">
        <f>IF(OR($B1107="",MIN(Y$38,$D$19)&lt;MAX($P$708*($B1107+IF($R$17="Distrato",$I$38-1,0)),IF(AND($L$711=0,$P$708=0),"",$L$711-1),IF($R$17="Distrato",$E1107,0))),0,YEARFRAC(MAX($P$708*($B1107+IF($R$17="Distrato",$I$38-1,0)),IF(AND($L$711=0,$P$708=0),"",$L$711-1),IF($R$17="Distrato",$E1107,0)),MIN(Y$38,$D$19),$P$20))-SUM($P1107:X1107)</f>
        <v>#VALUE!</v>
      </c>
      <c r="Z1107" s="446" t="e">
        <f>IF(OR($B1107="",MIN(Z$38,$D$19)&lt;MAX($P$708*($B1107+IF($R$17="Distrato",$I$38-1,0)),IF(AND($L$711=0,$P$708=0),"",$L$711-1),IF($R$17="Distrato",$E1107,0))),0,YEARFRAC(MAX($P$708*($B1107+IF($R$17="Distrato",$I$38-1,0)),IF(AND($L$711=0,$P$708=0),"",$L$711-1),IF($R$17="Distrato",$E1107,0)),MIN(Z$38,$D$19),$P$20))-SUM($P1107:Y1107)</f>
        <v>#VALUE!</v>
      </c>
      <c r="AA1107" s="446" t="e">
        <f>IF(OR($B1107="",MIN(AA$38,$D$19)&lt;MAX($P$708*($B1107+IF($R$17="Distrato",$I$38-1,0)),IF(AND($L$711=0,$P$708=0),"",$L$711-1),IF($R$17="Distrato",$E1107,0))),0,YEARFRAC(MAX($P$708*($B1107+IF($R$17="Distrato",$I$38-1,0)),IF(AND($L$711=0,$P$708=0),"",$L$711-1),IF($R$17="Distrato",$E1107,0)),MIN(AA$38,$D$19),$P$20))-SUM($P1107:Z1107)</f>
        <v>#VALUE!</v>
      </c>
      <c r="AB1107" s="446" t="e">
        <f>IF(OR($B1107="",MIN(AB$38,$D$19)&lt;MAX($P$708*($B1107+IF($R$17="Distrato",$I$38-1,0)),IF(AND($L$711=0,$P$708=0),"",$L$711-1),IF($R$17="Distrato",$E1107,0))),0,YEARFRAC(MAX($P$708*($B1107+IF($R$17="Distrato",$I$38-1,0)),IF(AND($L$711=0,$P$708=0),"",$L$711-1),IF($R$17="Distrato",$E1107,0)),MIN(AB$38,$D$19),$P$20))-SUM($P1107:AA1107)</f>
        <v>#VALUE!</v>
      </c>
      <c r="AC1107" s="446" t="e">
        <f>IF(OR($B1107="",MIN(AC$38,$D$19)&lt;MAX($P$708*($B1107+IF($R$17="Distrato",$I$38-1,0)),IF(AND($L$711=0,$P$708=0),"",$L$711-1),IF($R$17="Distrato",$E1107,0))),0,YEARFRAC(MAX($P$708*($B1107+IF($R$17="Distrato",$I$38-1,0)),IF(AND($L$711=0,$P$708=0),"",$L$711-1),IF($R$17="Distrato",$E1107,0)),MIN(AC$38,$D$19),$P$20))-SUM($P1107:AB1107)</f>
        <v>#VALUE!</v>
      </c>
      <c r="AD1107" s="446" t="e">
        <f>IF(OR($B1107="",MIN(AD$38,$D$19)&lt;MAX($P$708*($B1107+IF($R$17="Distrato",$I$38-1,0)),IF(AND($L$711=0,$P$708=0),"",$L$711-1),IF($R$17="Distrato",$E1107,0))),0,YEARFRAC(MAX($P$708*($B1107+IF($R$17="Distrato",$I$38-1,0)),IF(AND($L$711=0,$P$708=0),"",$L$711-1),IF($R$17="Distrato",$E1107,0)),MIN(AD$38,$D$19),$P$20))-SUM($P1107:AC1107)</f>
        <v>#VALUE!</v>
      </c>
      <c r="AE1107" s="446" t="e">
        <f>IF(OR($B1107="",MIN(AE$38,$D$19)&lt;MAX($P$708*($B1107+IF($R$17="Distrato",$I$38-1,0)),IF(AND($L$711=0,$P$708=0),"",$L$711-1),IF($R$17="Distrato",$E1107,0))),0,YEARFRAC(MAX($P$708*($B1107+IF($R$17="Distrato",$I$38-1,0)),IF(AND($L$711=0,$P$708=0),"",$L$711-1),IF($R$17="Distrato",$E1107,0)),MIN(AE$38,$D$19),$P$20))-SUM($P1107:AD1107)</f>
        <v>#VALUE!</v>
      </c>
      <c r="AF1107" s="446" t="e">
        <f>IF(OR($B1107="",MIN(AF$38,$D$19)&lt;MAX($P$708*($B1107+IF($R$17="Distrato",$I$38-1,0)),IF(AND($L$711=0,$P$708=0),"",$L$711-1),IF($R$17="Distrato",$E1107,0))),0,YEARFRAC(MAX($P$708*($B1107+IF($R$17="Distrato",$I$38-1,0)),IF(AND($L$711=0,$P$708=0),"",$L$711-1),IF($R$17="Distrato",$E1107,0)),MIN(AF$38,$D$19),$P$20))-SUM($P1107:AE1107)</f>
        <v>#VALUE!</v>
      </c>
      <c r="AG1107" s="446" t="e">
        <f>IF(OR($B1107="",MIN(AG$38,$D$19)&lt;MAX($P$708*($B1107+IF($R$17="Distrato",$I$38-1,0)),IF(AND($L$711=0,$P$708=0),"",$L$711-1),IF($R$17="Distrato",$E1107,0))),0,YEARFRAC(MAX($P$708*($B1107+IF($R$17="Distrato",$I$38-1,0)),IF(AND($L$711=0,$P$708=0),"",$L$711-1),IF($R$17="Distrato",$E1107,0)),MIN(AG$38,$D$19),$P$20))-SUM($P1107:AF1107)</f>
        <v>#VALUE!</v>
      </c>
      <c r="AH1107" s="446" t="e">
        <f>IF(OR($B1107="",MIN(AH$38,$D$19)&lt;MAX($P$708*($B1107+IF($R$17="Distrato",$I$38-1,0)),IF(AND($L$711=0,$P$708=0),"",$L$711-1),IF($R$17="Distrato",$E1107,0))),0,YEARFRAC(MAX($P$708*($B1107+IF($R$17="Distrato",$I$38-1,0)),IF(AND($L$711=0,$P$708=0),"",$L$711-1),IF($R$17="Distrato",$E1107,0)),MIN(AH$38,$D$19),$P$20))-SUM($P1107:AG1107)</f>
        <v>#VALUE!</v>
      </c>
      <c r="AI1107" s="446" t="e">
        <f>IF(OR($B1107="",MIN(AI$38,$D$19)&lt;MAX($P$708*($B1107+IF($R$17="Distrato",$I$38-1,0)),IF(AND($L$711=0,$P$708=0),"",$L$711-1),IF($R$17="Distrato",$E1107,0))),0,YEARFRAC(MAX($P$708*($B1107+IF($R$17="Distrato",$I$38-1,0)),IF(AND($L$711=0,$P$708=0),"",$L$711-1),IF($R$17="Distrato",$E1107,0)),MIN(AI$38,$D$19),$P$20))-SUM($P1107:AH1107)</f>
        <v>#VALUE!</v>
      </c>
      <c r="AJ1107" s="446" t="e">
        <f>IF(OR($B1107="",MIN(AJ$38,$D$19)&lt;MAX($P$708*($B1107+IF($R$17="Distrato",$I$38-1,0)),IF(AND($L$711=0,$P$708=0),"",$L$711-1),IF($R$17="Distrato",$E1107,0))),0,YEARFRAC(MAX($P$708*($B1107+IF($R$17="Distrato",$I$38-1,0)),IF(AND($L$711=0,$P$708=0),"",$L$711-1),IF($R$17="Distrato",$E1107,0)),MIN(AJ$38,$D$19),$P$20))-SUM($P1107:AI1107)</f>
        <v>#VALUE!</v>
      </c>
      <c r="AK1107" s="446" t="e">
        <f>IF(OR($B1107="",MIN(AK$38,$D$19)&lt;MAX($P$708*($B1107+IF($R$17="Distrato",$I$38-1,0)),IF(AND($L$711=0,$P$708=0),"",$L$711-1),IF($R$17="Distrato",$E1107,0))),0,YEARFRAC(MAX($P$708*($B1107+IF($R$17="Distrato",$I$38-1,0)),IF(AND($L$711=0,$P$708=0),"",$L$711-1),IF($R$17="Distrato",$E1107,0)),MIN(AK$38,$D$19),$P$20))-SUM($P1107:AJ1107)</f>
        <v>#VALUE!</v>
      </c>
      <c r="AL1107" s="446" t="e">
        <f>IF(OR($B1107="",MIN(AL$38,$D$19)&lt;MAX($P$708*($B1107+IF($R$17="Distrato",$I$38-1,0)),IF(AND($L$711=0,$P$708=0),"",$L$711-1),IF($R$17="Distrato",$E1107,0))),0,YEARFRAC(MAX($P$708*($B1107+IF($R$17="Distrato",$I$38-1,0)),IF(AND($L$711=0,$P$708=0),"",$L$711-1),IF($R$17="Distrato",$E1107,0)),MIN(AL$38,$D$19),$P$20))-SUM($P1107:AK1107)</f>
        <v>#VALUE!</v>
      </c>
      <c r="AM1107" s="446" t="e">
        <f>IF(OR($B1107="",MIN(AM$38,$D$19)&lt;MAX($P$708*($B1107+IF($R$17="Distrato",$I$38-1,0)),IF(AND($L$711=0,$P$708=0),"",$L$711-1),IF($R$17="Distrato",$E1107,0))),0,YEARFRAC(MAX($P$708*($B1107+IF($R$17="Distrato",$I$38-1,0)),IF(AND($L$711=0,$P$708=0),"",$L$711-1),IF($R$17="Distrato",$E1107,0)),MIN(AM$38,$D$19),$P$20))-SUM($P1107:AL1107)</f>
        <v>#VALUE!</v>
      </c>
      <c r="AN1107" s="446" t="e">
        <f>IF(OR($B1107="",MIN(AN$38,$D$19)&lt;MAX($P$708*($B1107+IF($R$17="Distrato",$I$38-1,0)),IF(AND($L$711=0,$P$708=0),"",$L$711-1),IF($R$17="Distrato",$E1107,0))),0,YEARFRAC(MAX($P$708*($B1107+IF($R$17="Distrato",$I$38-1,0)),IF(AND($L$711=0,$P$708=0),"",$L$711-1),IF($R$17="Distrato",$E1107,0)),MIN(AN$38,$D$19),$P$20))-SUM($P1107:AM1107)</f>
        <v>#VALUE!</v>
      </c>
      <c r="AO1107" s="446" t="e">
        <f>IF(OR($B1107="",MIN(AO$38,$D$19)&lt;MAX($P$708*($B1107+IF($R$17="Distrato",$I$38-1,0)),IF(AND($L$711=0,$P$708=0),"",$L$711-1),IF($R$17="Distrato",$E1107,0))),0,YEARFRAC(MAX($P$708*($B1107+IF($R$17="Distrato",$I$38-1,0)),IF(AND($L$711=0,$P$708=0),"",$L$711-1),IF($R$17="Distrato",$E1107,0)),MIN(AO$38,$D$19),$P$20))-SUM($P1107:AN1107)</f>
        <v>#VALUE!</v>
      </c>
      <c r="AP1107" s="446" t="e">
        <f>IF(OR($B1107="",MIN(AP$38,$D$19)&lt;MAX($P$708*($B1107+IF($R$17="Distrato",$I$38-1,0)),IF(AND($L$711=0,$P$708=0),"",$L$711-1),IF($R$17="Distrato",$E1107,0))),0,YEARFRAC(MAX($P$708*($B1107+IF($R$17="Distrato",$I$38-1,0)),IF(AND($L$711=0,$P$708=0),"",$L$711-1),IF($R$17="Distrato",$E1107,0)),MIN(AP$38,$D$19),$P$20))-SUM($P1107:AO1107)</f>
        <v>#VALUE!</v>
      </c>
      <c r="AQ1107" s="446" t="e">
        <f>IF(OR($B1107="",MIN(AQ$38,$D$19)&lt;MAX($P$708*($B1107+IF($R$17="Distrato",$I$38-1,0)),IF(AND($L$711=0,$P$708=0),"",$L$711-1),IF($R$17="Distrato",$E1107,0))),0,YEARFRAC(MAX($P$708*($B1107+IF($R$17="Distrato",$I$38-1,0)),IF(AND($L$711=0,$P$708=0),"",$L$711-1),IF($R$17="Distrato",$E1107,0)),MIN(AQ$38,$D$19),$P$20))-SUM($P1107:AP1107)</f>
        <v>#VALUE!</v>
      </c>
      <c r="AR1107" s="446" t="e">
        <f>IF(OR($B1107="",MIN(AR$38,$D$19)&lt;MAX($P$708*($B1107+IF($R$17="Distrato",$I$38-1,0)),IF(AND($L$711=0,$P$708=0),"",$L$711-1),IF($R$17="Distrato",$E1107,0))),0,YEARFRAC(MAX($P$708*($B1107+IF($R$17="Distrato",$I$38-1,0)),IF(AND($L$711=0,$P$708=0),"",$L$711-1),IF($R$17="Distrato",$E1107,0)),MIN(AR$38,$D$19),$P$20))-SUM($P1107:AQ1107)</f>
        <v>#VALUE!</v>
      </c>
      <c r="AS1107" s="446" t="e">
        <f>IF(OR($B1107="",MIN(AS$38,$D$19)&lt;MAX($P$708*($B1107+IF($R$17="Distrato",$I$38-1,0)),IF(AND($L$711=0,$P$708=0),"",$L$711-1),IF($R$17="Distrato",$E1107,0))),0,YEARFRAC(MAX($P$708*($B1107+IF($R$17="Distrato",$I$38-1,0)),IF(AND($L$711=0,$P$708=0),"",$L$711-1),IF($R$17="Distrato",$E1107,0)),MIN(AS$38,$D$19),$P$20))-SUM($P1107:AR1107)</f>
        <v>#VALUE!</v>
      </c>
      <c r="AT1107" s="446" t="e">
        <f>IF(OR($B1107="",MIN(AT$38,$D$19)&lt;MAX($P$708*($B1107+IF($R$17="Distrato",$I$38-1,0)),IF(AND($L$711=0,$P$708=0),"",$L$711-1),IF($R$17="Distrato",$E1107,0))),0,YEARFRAC(MAX($P$708*($B1107+IF($R$17="Distrato",$I$38-1,0)),IF(AND($L$711=0,$P$708=0),"",$L$711-1),IF($R$17="Distrato",$E1107,0)),MIN(AT$38,$D$19),$P$20))-SUM($P1107:AS1107)</f>
        <v>#VALUE!</v>
      </c>
      <c r="AU1107" s="446" t="e">
        <f>IF(OR($B1107="",MIN(AU$38,$D$19)&lt;MAX($P$708*($B1107+IF($R$17="Distrato",$I$38-1,0)),IF(AND($L$711=0,$P$708=0),"",$L$711-1),IF($R$17="Distrato",$E1107,0))),0,YEARFRAC(MAX($P$708*($B1107+IF($R$17="Distrato",$I$38-1,0)),IF(AND($L$711=0,$P$708=0),"",$L$711-1),IF($R$17="Distrato",$E1107,0)),MIN(AU$38,$D$19),$P$20))-SUM($P1107:AT1107)</f>
        <v>#VALUE!</v>
      </c>
      <c r="AV1107" s="446" t="e">
        <f>IF(OR($B1107="",MIN(AV$38,$D$19)&lt;MAX($P$708*($B1107+IF($R$17="Distrato",$I$38-1,0)),IF(AND($L$711=0,$P$708=0),"",$L$711-1),IF($R$17="Distrato",$E1107,0))),0,YEARFRAC(MAX($P$708*($B1107+IF($R$17="Distrato",$I$38-1,0)),IF(AND($L$711=0,$P$708=0),"",$L$711-1),IF($R$17="Distrato",$E1107,0)),MIN(AV$38,$D$19),$P$20))-SUM($P1107:AU1107)</f>
        <v>#VALUE!</v>
      </c>
      <c r="AW1107" s="446" t="e">
        <f>IF(OR($B1107="",MIN(AW$38,$D$19)&lt;MAX($P$708*($B1107+IF($R$17="Distrato",$I$38-1,0)),IF(AND($L$711=0,$P$708=0),"",$L$711-1),IF($R$17="Distrato",$E1107,0))),0,YEARFRAC(MAX($P$708*($B1107+IF($R$17="Distrato",$I$38-1,0)),IF(AND($L$711=0,$P$708=0),"",$L$711-1),IF($R$17="Distrato",$E1107,0)),MIN(AW$38,$D$19),$P$20))-SUM($P1107:AV1107)</f>
        <v>#VALUE!</v>
      </c>
      <c r="AX1107" s="446" t="e">
        <f>IF(OR($B1107="",MIN(AX$38,$D$19)&lt;MAX($P$708*($B1107+IF($R$17="Distrato",$I$38-1,0)),IF(AND($L$711=0,$P$708=0),"",$L$711-1),IF($R$17="Distrato",$E1107,0))),0,YEARFRAC(MAX($P$708*($B1107+IF($R$17="Distrato",$I$38-1,0)),IF(AND($L$711=0,$P$708=0),"",$L$711-1),IF($R$17="Distrato",$E1107,0)),MIN(AX$38,$D$19),$P$20))-SUM($P1107:AW1107)</f>
        <v>#VALUE!</v>
      </c>
      <c r="AY1107" s="446" t="e">
        <f>IF(OR($B1107="",MIN(AY$38,$D$19)&lt;MAX($P$708*($B1107+IF($R$17="Distrato",$I$38-1,0)),IF(AND($L$711=0,$P$708=0),"",$L$711-1),IF($R$17="Distrato",$E1107,0))),0,YEARFRAC(MAX($P$708*($B1107+IF($R$17="Distrato",$I$38-1,0)),IF(AND($L$711=0,$P$708=0),"",$L$711-1),IF($R$17="Distrato",$E1107,0)),MIN(AY$38,$D$19),$P$20))-SUM($P1107:AX1107)</f>
        <v>#VALUE!</v>
      </c>
      <c r="AZ1107" s="446" t="e">
        <f>IF(OR($B1107="",MIN(AZ$38,$D$19)&lt;MAX($P$708*($B1107+IF($R$17="Distrato",$I$38-1,0)),IF(AND($L$711=0,$P$708=0),"",$L$711-1),IF($R$17="Distrato",$E1107,0))),0,YEARFRAC(MAX($P$708*($B1107+IF($R$17="Distrato",$I$38-1,0)),IF(AND($L$711=0,$P$708=0),"",$L$711-1),IF($R$17="Distrato",$E1107,0)),MIN(AZ$38,$D$19),$P$20))-SUM($P1107:AY1107)</f>
        <v>#VALUE!</v>
      </c>
      <c r="BA1107" s="446" t="e">
        <f>IF(OR($B1107="",MIN(BA$38,$D$19)&lt;MAX($P$708*($B1107+IF($R$17="Distrato",$I$38-1,0)),IF(AND($L$711=0,$P$708=0),"",$L$711-1),IF($R$17="Distrato",$E1107,0))),0,YEARFRAC(MAX($P$708*($B1107+IF($R$17="Distrato",$I$38-1,0)),IF(AND($L$711=0,$P$708=0),"",$L$711-1),IF($R$17="Distrato",$E1107,0)),MIN(BA$38,$D$19),$P$20))-SUM($P1107:AZ1107)</f>
        <v>#VALUE!</v>
      </c>
      <c r="BB1107" s="447"/>
    </row>
    <row r="1108" spans="1:54" s="446" customFormat="1" ht="11.25" hidden="1" customHeight="1" x14ac:dyDescent="0.2">
      <c r="A1108" s="235"/>
      <c r="B1108" s="236"/>
      <c r="C1108" s="29" t="str">
        <f>IF(B1108="","",IF($L$709=$BL$25,VLOOKUP(DATE(YEAR($D$19),MONTH($D$19)-1,1),ÍNDICES!$A:$DE,HLOOKUP($BL$25,ÍNDICES!$B$3:$T$4,2)+11)-VLOOKUP(B1108,ÍNDICES!$A:$DE,HLOOKUP($BL$25,ÍNDICES!$B$3:$T$4,2)+11)+1%,IF(C$712=$W$26,$J$35,IF(ISERROR(IF(B1108&gt;$D$19,1,VLOOKUP(DATE(YEAR(B1108),MONTH(B1108)+IF($C$709=$S$23,1,0),1),ÍNDICES!$A:$DE,$Z$709+1))),"",IF(B1108&gt;$D$19,1,VLOOKUP(DATE(YEAR(B1108),MONTH(B1108)+IF($C$709=$S$23,1,0),1),ÍNDICES!$A:$DE,$Z$709+1))))))</f>
        <v/>
      </c>
      <c r="D1108" s="155"/>
      <c r="E1108" s="88"/>
      <c r="F1108" s="88"/>
      <c r="G1108" s="88"/>
      <c r="H1108" s="118"/>
      <c r="I1108" s="182">
        <f t="shared" si="157"/>
        <v>0</v>
      </c>
      <c r="J1108" s="20">
        <f t="shared" ca="1" si="158"/>
        <v>0</v>
      </c>
      <c r="K1108" s="5">
        <f t="shared" ca="1" si="159"/>
        <v>0</v>
      </c>
      <c r="L1108" s="61">
        <f t="shared" ca="1" si="160"/>
        <v>0</v>
      </c>
      <c r="M1108" s="64">
        <f t="shared" si="161"/>
        <v>0</v>
      </c>
      <c r="N1108" s="151"/>
      <c r="O1108" s="5">
        <f t="shared" ca="1" si="162"/>
        <v>0</v>
      </c>
      <c r="P1108" s="446" t="e">
        <f t="shared" si="163"/>
        <v>#VALUE!</v>
      </c>
      <c r="Q1108" s="446" t="e">
        <f>IF(OR($B1108="",MIN(Q$38,$D$19)&lt;MAX($P$708*($B1108+IF($R$17="Distrato",$I$38-1,0)),IF(AND($L$711=0,$P$708=0),"",$L$711-1),IF($R$17="Distrato",$E1108,0))),0,YEARFRAC(MAX($P$708*($B1108+IF($R$17="Distrato",$I$38-1,0)),IF(AND($L$711=0,$P$708=0),"",$L$711-1),IF($R$17="Distrato",$E1108,0)),MIN(Q$38,$D$19),$P$20))-SUM($P1108:P1108)</f>
        <v>#VALUE!</v>
      </c>
      <c r="R1108" s="446" t="e">
        <f>IF(OR($B1108="",MIN(R$38,$D$19)&lt;MAX($P$708*($B1108+IF($R$17="Distrato",$I$38-1,0)),IF(AND($L$711=0,$P$708=0),"",$L$711-1),IF($R$17="Distrato",$E1108,0))),0,YEARFRAC(MAX($P$708*($B1108+IF($R$17="Distrato",$I$38-1,0)),IF(AND($L$711=0,$P$708=0),"",$L$711-1),IF($R$17="Distrato",$E1108,0)),MIN(R$38,$D$19),$P$20))-SUM($P1108:Q1108)</f>
        <v>#VALUE!</v>
      </c>
      <c r="S1108" s="446" t="e">
        <f>IF(OR($B1108="",MIN(S$38,$D$19)&lt;MAX($P$708*($B1108+IF($R$17="Distrato",$I$38-1,0)),IF(AND($L$711=0,$P$708=0),"",$L$711-1),IF($R$17="Distrato",$E1108,0))),0,YEARFRAC(MAX($P$708*($B1108+IF($R$17="Distrato",$I$38-1,0)),IF(AND($L$711=0,$P$708=0),"",$L$711-1),IF($R$17="Distrato",$E1108,0)),MIN(S$38,$D$19),$P$20))-SUM($P1108:R1108)</f>
        <v>#VALUE!</v>
      </c>
      <c r="T1108" s="446" t="e">
        <f>IF(OR($B1108="",MIN(T$38,$D$19)&lt;MAX($P$708*($B1108+IF($R$17="Distrato",$I$38-1,0)),IF(AND($L$711=0,$P$708=0),"",$L$711-1),IF($R$17="Distrato",$E1108,0))),0,YEARFRAC(MAX($P$708*($B1108+IF($R$17="Distrato",$I$38-1,0)),IF(AND($L$711=0,$P$708=0),"",$L$711-1),IF($R$17="Distrato",$E1108,0)),MIN(T$38,$D$19),$P$20))-SUM($P1108:S1108)</f>
        <v>#VALUE!</v>
      </c>
      <c r="U1108" s="446" t="e">
        <f>IF(OR($B1108="",MIN(U$38,$D$19)&lt;MAX($P$708*($B1108+IF($R$17="Distrato",$I$38-1,0)),IF(AND($L$711=0,$P$708=0),"",$L$711-1),IF($R$17="Distrato",$E1108,0))),0,YEARFRAC(MAX($P$708*($B1108+IF($R$17="Distrato",$I$38-1,0)),IF(AND($L$711=0,$P$708=0),"",$L$711-1),IF($R$17="Distrato",$E1108,0)),MIN(U$38,$D$19),$P$20))-SUM($P1108:T1108)</f>
        <v>#VALUE!</v>
      </c>
      <c r="V1108" s="446" t="e">
        <f>IF(OR($B1108="",MIN(V$38,$D$19)&lt;MAX($P$708*($B1108+IF($R$17="Distrato",$I$38-1,0)),IF(AND($L$711=0,$P$708=0),"",$L$711-1),IF($R$17="Distrato",$E1108,0))),0,YEARFRAC(MAX($P$708*($B1108+IF($R$17="Distrato",$I$38-1,0)),IF(AND($L$711=0,$P$708=0),"",$L$711-1),IF($R$17="Distrato",$E1108,0)),MIN(V$38,$D$19),$P$20))-SUM($P1108:U1108)</f>
        <v>#VALUE!</v>
      </c>
      <c r="W1108" s="446" t="e">
        <f>IF(OR($B1108="",MIN(W$38,$D$19)&lt;MAX($P$708*($B1108+IF($R$17="Distrato",$I$38-1,0)),IF(AND($L$711=0,$P$708=0),"",$L$711-1),IF($R$17="Distrato",$E1108,0))),0,YEARFRAC(MAX($P$708*($B1108+IF($R$17="Distrato",$I$38-1,0)),IF(AND($L$711=0,$P$708=0),"",$L$711-1),IF($R$17="Distrato",$E1108,0)),MIN(W$38,$D$19),$P$20))-SUM($P1108:V1108)</f>
        <v>#VALUE!</v>
      </c>
      <c r="X1108" s="446" t="e">
        <f>IF(OR($B1108="",MIN(X$38,$D$19)&lt;MAX($P$708*($B1108+IF($R$17="Distrato",$I$38-1,0)),IF(AND($L$711=0,$P$708=0),"",$L$711-1),IF($R$17="Distrato",$E1108,0))),0,YEARFRAC(MAX($P$708*($B1108+IF($R$17="Distrato",$I$38-1,0)),IF(AND($L$711=0,$P$708=0),"",$L$711-1),IF($R$17="Distrato",$E1108,0)),MIN(X$38,$D$19),$P$20))-SUM($P1108:W1108)</f>
        <v>#VALUE!</v>
      </c>
      <c r="Y1108" s="446" t="e">
        <f>IF(OR($B1108="",MIN(Y$38,$D$19)&lt;MAX($P$708*($B1108+IF($R$17="Distrato",$I$38-1,0)),IF(AND($L$711=0,$P$708=0),"",$L$711-1),IF($R$17="Distrato",$E1108,0))),0,YEARFRAC(MAX($P$708*($B1108+IF($R$17="Distrato",$I$38-1,0)),IF(AND($L$711=0,$P$708=0),"",$L$711-1),IF($R$17="Distrato",$E1108,0)),MIN(Y$38,$D$19),$P$20))-SUM($P1108:X1108)</f>
        <v>#VALUE!</v>
      </c>
      <c r="Z1108" s="446" t="e">
        <f>IF(OR($B1108="",MIN(Z$38,$D$19)&lt;MAX($P$708*($B1108+IF($R$17="Distrato",$I$38-1,0)),IF(AND($L$711=0,$P$708=0),"",$L$711-1),IF($R$17="Distrato",$E1108,0))),0,YEARFRAC(MAX($P$708*($B1108+IF($R$17="Distrato",$I$38-1,0)),IF(AND($L$711=0,$P$708=0),"",$L$711-1),IF($R$17="Distrato",$E1108,0)),MIN(Z$38,$D$19),$P$20))-SUM($P1108:Y1108)</f>
        <v>#VALUE!</v>
      </c>
      <c r="AA1108" s="446" t="e">
        <f>IF(OR($B1108="",MIN(AA$38,$D$19)&lt;MAX($P$708*($B1108+IF($R$17="Distrato",$I$38-1,0)),IF(AND($L$711=0,$P$708=0),"",$L$711-1),IF($R$17="Distrato",$E1108,0))),0,YEARFRAC(MAX($P$708*($B1108+IF($R$17="Distrato",$I$38-1,0)),IF(AND($L$711=0,$P$708=0),"",$L$711-1),IF($R$17="Distrato",$E1108,0)),MIN(AA$38,$D$19),$P$20))-SUM($P1108:Z1108)</f>
        <v>#VALUE!</v>
      </c>
      <c r="AB1108" s="446" t="e">
        <f>IF(OR($B1108="",MIN(AB$38,$D$19)&lt;MAX($P$708*($B1108+IF($R$17="Distrato",$I$38-1,0)),IF(AND($L$711=0,$P$708=0),"",$L$711-1),IF($R$17="Distrato",$E1108,0))),0,YEARFRAC(MAX($P$708*($B1108+IF($R$17="Distrato",$I$38-1,0)),IF(AND($L$711=0,$P$708=0),"",$L$711-1),IF($R$17="Distrato",$E1108,0)),MIN(AB$38,$D$19),$P$20))-SUM($P1108:AA1108)</f>
        <v>#VALUE!</v>
      </c>
      <c r="AC1108" s="446" t="e">
        <f>IF(OR($B1108="",MIN(AC$38,$D$19)&lt;MAX($P$708*($B1108+IF($R$17="Distrato",$I$38-1,0)),IF(AND($L$711=0,$P$708=0),"",$L$711-1),IF($R$17="Distrato",$E1108,0))),0,YEARFRAC(MAX($P$708*($B1108+IF($R$17="Distrato",$I$38-1,0)),IF(AND($L$711=0,$P$708=0),"",$L$711-1),IF($R$17="Distrato",$E1108,0)),MIN(AC$38,$D$19),$P$20))-SUM($P1108:AB1108)</f>
        <v>#VALUE!</v>
      </c>
      <c r="AD1108" s="446" t="e">
        <f>IF(OR($B1108="",MIN(AD$38,$D$19)&lt;MAX($P$708*($B1108+IF($R$17="Distrato",$I$38-1,0)),IF(AND($L$711=0,$P$708=0),"",$L$711-1),IF($R$17="Distrato",$E1108,0))),0,YEARFRAC(MAX($P$708*($B1108+IF($R$17="Distrato",$I$38-1,0)),IF(AND($L$711=0,$P$708=0),"",$L$711-1),IF($R$17="Distrato",$E1108,0)),MIN(AD$38,$D$19),$P$20))-SUM($P1108:AC1108)</f>
        <v>#VALUE!</v>
      </c>
      <c r="AE1108" s="446" t="e">
        <f>IF(OR($B1108="",MIN(AE$38,$D$19)&lt;MAX($P$708*($B1108+IF($R$17="Distrato",$I$38-1,0)),IF(AND($L$711=0,$P$708=0),"",$L$711-1),IF($R$17="Distrato",$E1108,0))),0,YEARFRAC(MAX($P$708*($B1108+IF($R$17="Distrato",$I$38-1,0)),IF(AND($L$711=0,$P$708=0),"",$L$711-1),IF($R$17="Distrato",$E1108,0)),MIN(AE$38,$D$19),$P$20))-SUM($P1108:AD1108)</f>
        <v>#VALUE!</v>
      </c>
      <c r="AF1108" s="446" t="e">
        <f>IF(OR($B1108="",MIN(AF$38,$D$19)&lt;MAX($P$708*($B1108+IF($R$17="Distrato",$I$38-1,0)),IF(AND($L$711=0,$P$708=0),"",$L$711-1),IF($R$17="Distrato",$E1108,0))),0,YEARFRAC(MAX($P$708*($B1108+IF($R$17="Distrato",$I$38-1,0)),IF(AND($L$711=0,$P$708=0),"",$L$711-1),IF($R$17="Distrato",$E1108,0)),MIN(AF$38,$D$19),$P$20))-SUM($P1108:AE1108)</f>
        <v>#VALUE!</v>
      </c>
      <c r="AG1108" s="446" t="e">
        <f>IF(OR($B1108="",MIN(AG$38,$D$19)&lt;MAX($P$708*($B1108+IF($R$17="Distrato",$I$38-1,0)),IF(AND($L$711=0,$P$708=0),"",$L$711-1),IF($R$17="Distrato",$E1108,0))),0,YEARFRAC(MAX($P$708*($B1108+IF($R$17="Distrato",$I$38-1,0)),IF(AND($L$711=0,$P$708=0),"",$L$711-1),IF($R$17="Distrato",$E1108,0)),MIN(AG$38,$D$19),$P$20))-SUM($P1108:AF1108)</f>
        <v>#VALUE!</v>
      </c>
      <c r="AH1108" s="446" t="e">
        <f>IF(OR($B1108="",MIN(AH$38,$D$19)&lt;MAX($P$708*($B1108+IF($R$17="Distrato",$I$38-1,0)),IF(AND($L$711=0,$P$708=0),"",$L$711-1),IF($R$17="Distrato",$E1108,0))),0,YEARFRAC(MAX($P$708*($B1108+IF($R$17="Distrato",$I$38-1,0)),IF(AND($L$711=0,$P$708=0),"",$L$711-1),IF($R$17="Distrato",$E1108,0)),MIN(AH$38,$D$19),$P$20))-SUM($P1108:AG1108)</f>
        <v>#VALUE!</v>
      </c>
      <c r="AI1108" s="446" t="e">
        <f>IF(OR($B1108="",MIN(AI$38,$D$19)&lt;MAX($P$708*($B1108+IF($R$17="Distrato",$I$38-1,0)),IF(AND($L$711=0,$P$708=0),"",$L$711-1),IF($R$17="Distrato",$E1108,0))),0,YEARFRAC(MAX($P$708*($B1108+IF($R$17="Distrato",$I$38-1,0)),IF(AND($L$711=0,$P$708=0),"",$L$711-1),IF($R$17="Distrato",$E1108,0)),MIN(AI$38,$D$19),$P$20))-SUM($P1108:AH1108)</f>
        <v>#VALUE!</v>
      </c>
      <c r="AJ1108" s="446" t="e">
        <f>IF(OR($B1108="",MIN(AJ$38,$D$19)&lt;MAX($P$708*($B1108+IF($R$17="Distrato",$I$38-1,0)),IF(AND($L$711=0,$P$708=0),"",$L$711-1),IF($R$17="Distrato",$E1108,0))),0,YEARFRAC(MAX($P$708*($B1108+IF($R$17="Distrato",$I$38-1,0)),IF(AND($L$711=0,$P$708=0),"",$L$711-1),IF($R$17="Distrato",$E1108,0)),MIN(AJ$38,$D$19),$P$20))-SUM($P1108:AI1108)</f>
        <v>#VALUE!</v>
      </c>
      <c r="AK1108" s="446" t="e">
        <f>IF(OR($B1108="",MIN(AK$38,$D$19)&lt;MAX($P$708*($B1108+IF($R$17="Distrato",$I$38-1,0)),IF(AND($L$711=0,$P$708=0),"",$L$711-1),IF($R$17="Distrato",$E1108,0))),0,YEARFRAC(MAX($P$708*($B1108+IF($R$17="Distrato",$I$38-1,0)),IF(AND($L$711=0,$P$708=0),"",$L$711-1),IF($R$17="Distrato",$E1108,0)),MIN(AK$38,$D$19),$P$20))-SUM($P1108:AJ1108)</f>
        <v>#VALUE!</v>
      </c>
      <c r="AL1108" s="446" t="e">
        <f>IF(OR($B1108="",MIN(AL$38,$D$19)&lt;MAX($P$708*($B1108+IF($R$17="Distrato",$I$38-1,0)),IF(AND($L$711=0,$P$708=0),"",$L$711-1),IF($R$17="Distrato",$E1108,0))),0,YEARFRAC(MAX($P$708*($B1108+IF($R$17="Distrato",$I$38-1,0)),IF(AND($L$711=0,$P$708=0),"",$L$711-1),IF($R$17="Distrato",$E1108,0)),MIN(AL$38,$D$19),$P$20))-SUM($P1108:AK1108)</f>
        <v>#VALUE!</v>
      </c>
      <c r="AM1108" s="446" t="e">
        <f>IF(OR($B1108="",MIN(AM$38,$D$19)&lt;MAX($P$708*($B1108+IF($R$17="Distrato",$I$38-1,0)),IF(AND($L$711=0,$P$708=0),"",$L$711-1),IF($R$17="Distrato",$E1108,0))),0,YEARFRAC(MAX($P$708*($B1108+IF($R$17="Distrato",$I$38-1,0)),IF(AND($L$711=0,$P$708=0),"",$L$711-1),IF($R$17="Distrato",$E1108,0)),MIN(AM$38,$D$19),$P$20))-SUM($P1108:AL1108)</f>
        <v>#VALUE!</v>
      </c>
      <c r="AN1108" s="446" t="e">
        <f>IF(OR($B1108="",MIN(AN$38,$D$19)&lt;MAX($P$708*($B1108+IF($R$17="Distrato",$I$38-1,0)),IF(AND($L$711=0,$P$708=0),"",$L$711-1),IF($R$17="Distrato",$E1108,0))),0,YEARFRAC(MAX($P$708*($B1108+IF($R$17="Distrato",$I$38-1,0)),IF(AND($L$711=0,$P$708=0),"",$L$711-1),IF($R$17="Distrato",$E1108,0)),MIN(AN$38,$D$19),$P$20))-SUM($P1108:AM1108)</f>
        <v>#VALUE!</v>
      </c>
      <c r="AO1108" s="446" t="e">
        <f>IF(OR($B1108="",MIN(AO$38,$D$19)&lt;MAX($P$708*($B1108+IF($R$17="Distrato",$I$38-1,0)),IF(AND($L$711=0,$P$708=0),"",$L$711-1),IF($R$17="Distrato",$E1108,0))),0,YEARFRAC(MAX($P$708*($B1108+IF($R$17="Distrato",$I$38-1,0)),IF(AND($L$711=0,$P$708=0),"",$L$711-1),IF($R$17="Distrato",$E1108,0)),MIN(AO$38,$D$19),$P$20))-SUM($P1108:AN1108)</f>
        <v>#VALUE!</v>
      </c>
      <c r="AP1108" s="446" t="e">
        <f>IF(OR($B1108="",MIN(AP$38,$D$19)&lt;MAX($P$708*($B1108+IF($R$17="Distrato",$I$38-1,0)),IF(AND($L$711=0,$P$708=0),"",$L$711-1),IF($R$17="Distrato",$E1108,0))),0,YEARFRAC(MAX($P$708*($B1108+IF($R$17="Distrato",$I$38-1,0)),IF(AND($L$711=0,$P$708=0),"",$L$711-1),IF($R$17="Distrato",$E1108,0)),MIN(AP$38,$D$19),$P$20))-SUM($P1108:AO1108)</f>
        <v>#VALUE!</v>
      </c>
      <c r="AQ1108" s="446" t="e">
        <f>IF(OR($B1108="",MIN(AQ$38,$D$19)&lt;MAX($P$708*($B1108+IF($R$17="Distrato",$I$38-1,0)),IF(AND($L$711=0,$P$708=0),"",$L$711-1),IF($R$17="Distrato",$E1108,0))),0,YEARFRAC(MAX($P$708*($B1108+IF($R$17="Distrato",$I$38-1,0)),IF(AND($L$711=0,$P$708=0),"",$L$711-1),IF($R$17="Distrato",$E1108,0)),MIN(AQ$38,$D$19),$P$20))-SUM($P1108:AP1108)</f>
        <v>#VALUE!</v>
      </c>
      <c r="AR1108" s="446" t="e">
        <f>IF(OR($B1108="",MIN(AR$38,$D$19)&lt;MAX($P$708*($B1108+IF($R$17="Distrato",$I$38-1,0)),IF(AND($L$711=0,$P$708=0),"",$L$711-1),IF($R$17="Distrato",$E1108,0))),0,YEARFRAC(MAX($P$708*($B1108+IF($R$17="Distrato",$I$38-1,0)),IF(AND($L$711=0,$P$708=0),"",$L$711-1),IF($R$17="Distrato",$E1108,0)),MIN(AR$38,$D$19),$P$20))-SUM($P1108:AQ1108)</f>
        <v>#VALUE!</v>
      </c>
      <c r="AS1108" s="446" t="e">
        <f>IF(OR($B1108="",MIN(AS$38,$D$19)&lt;MAX($P$708*($B1108+IF($R$17="Distrato",$I$38-1,0)),IF(AND($L$711=0,$P$708=0),"",$L$711-1),IF($R$17="Distrato",$E1108,0))),0,YEARFRAC(MAX($P$708*($B1108+IF($R$17="Distrato",$I$38-1,0)),IF(AND($L$711=0,$P$708=0),"",$L$711-1),IF($R$17="Distrato",$E1108,0)),MIN(AS$38,$D$19),$P$20))-SUM($P1108:AR1108)</f>
        <v>#VALUE!</v>
      </c>
      <c r="AT1108" s="446" t="e">
        <f>IF(OR($B1108="",MIN(AT$38,$D$19)&lt;MAX($P$708*($B1108+IF($R$17="Distrato",$I$38-1,0)),IF(AND($L$711=0,$P$708=0),"",$L$711-1),IF($R$17="Distrato",$E1108,0))),0,YEARFRAC(MAX($P$708*($B1108+IF($R$17="Distrato",$I$38-1,0)),IF(AND($L$711=0,$P$708=0),"",$L$711-1),IF($R$17="Distrato",$E1108,0)),MIN(AT$38,$D$19),$P$20))-SUM($P1108:AS1108)</f>
        <v>#VALUE!</v>
      </c>
      <c r="AU1108" s="446" t="e">
        <f>IF(OR($B1108="",MIN(AU$38,$D$19)&lt;MAX($P$708*($B1108+IF($R$17="Distrato",$I$38-1,0)),IF(AND($L$711=0,$P$708=0),"",$L$711-1),IF($R$17="Distrato",$E1108,0))),0,YEARFRAC(MAX($P$708*($B1108+IF($R$17="Distrato",$I$38-1,0)),IF(AND($L$711=0,$P$708=0),"",$L$711-1),IF($R$17="Distrato",$E1108,0)),MIN(AU$38,$D$19),$P$20))-SUM($P1108:AT1108)</f>
        <v>#VALUE!</v>
      </c>
      <c r="AV1108" s="446" t="e">
        <f>IF(OR($B1108="",MIN(AV$38,$D$19)&lt;MAX($P$708*($B1108+IF($R$17="Distrato",$I$38-1,0)),IF(AND($L$711=0,$P$708=0),"",$L$711-1),IF($R$17="Distrato",$E1108,0))),0,YEARFRAC(MAX($P$708*($B1108+IF($R$17="Distrato",$I$38-1,0)),IF(AND($L$711=0,$P$708=0),"",$L$711-1),IF($R$17="Distrato",$E1108,0)),MIN(AV$38,$D$19),$P$20))-SUM($P1108:AU1108)</f>
        <v>#VALUE!</v>
      </c>
      <c r="AW1108" s="446" t="e">
        <f>IF(OR($B1108="",MIN(AW$38,$D$19)&lt;MAX($P$708*($B1108+IF($R$17="Distrato",$I$38-1,0)),IF(AND($L$711=0,$P$708=0),"",$L$711-1),IF($R$17="Distrato",$E1108,0))),0,YEARFRAC(MAX($P$708*($B1108+IF($R$17="Distrato",$I$38-1,0)),IF(AND($L$711=0,$P$708=0),"",$L$711-1),IF($R$17="Distrato",$E1108,0)),MIN(AW$38,$D$19),$P$20))-SUM($P1108:AV1108)</f>
        <v>#VALUE!</v>
      </c>
      <c r="AX1108" s="446" t="e">
        <f>IF(OR($B1108="",MIN(AX$38,$D$19)&lt;MAX($P$708*($B1108+IF($R$17="Distrato",$I$38-1,0)),IF(AND($L$711=0,$P$708=0),"",$L$711-1),IF($R$17="Distrato",$E1108,0))),0,YEARFRAC(MAX($P$708*($B1108+IF($R$17="Distrato",$I$38-1,0)),IF(AND($L$711=0,$P$708=0),"",$L$711-1),IF($R$17="Distrato",$E1108,0)),MIN(AX$38,$D$19),$P$20))-SUM($P1108:AW1108)</f>
        <v>#VALUE!</v>
      </c>
      <c r="AY1108" s="446" t="e">
        <f>IF(OR($B1108="",MIN(AY$38,$D$19)&lt;MAX($P$708*($B1108+IF($R$17="Distrato",$I$38-1,0)),IF(AND($L$711=0,$P$708=0),"",$L$711-1),IF($R$17="Distrato",$E1108,0))),0,YEARFRAC(MAX($P$708*($B1108+IF($R$17="Distrato",$I$38-1,0)),IF(AND($L$711=0,$P$708=0),"",$L$711-1),IF($R$17="Distrato",$E1108,0)),MIN(AY$38,$D$19),$P$20))-SUM($P1108:AX1108)</f>
        <v>#VALUE!</v>
      </c>
      <c r="AZ1108" s="446" t="e">
        <f>IF(OR($B1108="",MIN(AZ$38,$D$19)&lt;MAX($P$708*($B1108+IF($R$17="Distrato",$I$38-1,0)),IF(AND($L$711=0,$P$708=0),"",$L$711-1),IF($R$17="Distrato",$E1108,0))),0,YEARFRAC(MAX($P$708*($B1108+IF($R$17="Distrato",$I$38-1,0)),IF(AND($L$711=0,$P$708=0),"",$L$711-1),IF($R$17="Distrato",$E1108,0)),MIN(AZ$38,$D$19),$P$20))-SUM($P1108:AY1108)</f>
        <v>#VALUE!</v>
      </c>
      <c r="BA1108" s="446" t="e">
        <f>IF(OR($B1108="",MIN(BA$38,$D$19)&lt;MAX($P$708*($B1108+IF($R$17="Distrato",$I$38-1,0)),IF(AND($L$711=0,$P$708=0),"",$L$711-1),IF($R$17="Distrato",$E1108,0))),0,YEARFRAC(MAX($P$708*($B1108+IF($R$17="Distrato",$I$38-1,0)),IF(AND($L$711=0,$P$708=0),"",$L$711-1),IF($R$17="Distrato",$E1108,0)),MIN(BA$38,$D$19),$P$20))-SUM($P1108:AZ1108)</f>
        <v>#VALUE!</v>
      </c>
      <c r="BB1108" s="447"/>
    </row>
    <row r="1109" spans="1:54" s="446" customFormat="1" ht="11.25" hidden="1" customHeight="1" x14ac:dyDescent="0.2">
      <c r="A1109" s="235"/>
      <c r="B1109" s="236"/>
      <c r="C1109" s="29" t="str">
        <f>IF(B1109="","",IF($L$709=$BL$25,VLOOKUP(DATE(YEAR($D$19),MONTH($D$19)-1,1),ÍNDICES!$A:$DE,HLOOKUP($BL$25,ÍNDICES!$B$3:$T$4,2)+11)-VLOOKUP(B1109,ÍNDICES!$A:$DE,HLOOKUP($BL$25,ÍNDICES!$B$3:$T$4,2)+11)+1%,IF(C$712=$W$26,$J$35,IF(ISERROR(IF(B1109&gt;$D$19,1,VLOOKUP(DATE(YEAR(B1109),MONTH(B1109)+IF($C$709=$S$23,1,0),1),ÍNDICES!$A:$DE,$Z$709+1))),"",IF(B1109&gt;$D$19,1,VLOOKUP(DATE(YEAR(B1109),MONTH(B1109)+IF($C$709=$S$23,1,0),1),ÍNDICES!$A:$DE,$Z$709+1))))))</f>
        <v/>
      </c>
      <c r="D1109" s="155"/>
      <c r="E1109" s="88"/>
      <c r="F1109" s="88"/>
      <c r="G1109" s="88"/>
      <c r="H1109" s="118"/>
      <c r="I1109" s="182">
        <f t="shared" si="157"/>
        <v>0</v>
      </c>
      <c r="J1109" s="20">
        <f t="shared" ca="1" si="158"/>
        <v>0</v>
      </c>
      <c r="K1109" s="5">
        <f t="shared" ca="1" si="159"/>
        <v>0</v>
      </c>
      <c r="L1109" s="61">
        <f t="shared" ca="1" si="160"/>
        <v>0</v>
      </c>
      <c r="M1109" s="64">
        <f t="shared" si="161"/>
        <v>0</v>
      </c>
      <c r="N1109" s="151"/>
      <c r="O1109" s="5">
        <f t="shared" ca="1" si="162"/>
        <v>0</v>
      </c>
      <c r="P1109" s="446" t="e">
        <f t="shared" si="163"/>
        <v>#VALUE!</v>
      </c>
      <c r="Q1109" s="446" t="e">
        <f>IF(OR($B1109="",MIN(Q$38,$D$19)&lt;MAX($P$708*($B1109+IF($R$17="Distrato",$I$38-1,0)),IF(AND($L$711=0,$P$708=0),"",$L$711-1),IF($R$17="Distrato",$E1109,0))),0,YEARFRAC(MAX($P$708*($B1109+IF($R$17="Distrato",$I$38-1,0)),IF(AND($L$711=0,$P$708=0),"",$L$711-1),IF($R$17="Distrato",$E1109,0)),MIN(Q$38,$D$19),$P$20))-SUM($P1109:P1109)</f>
        <v>#VALUE!</v>
      </c>
      <c r="R1109" s="446" t="e">
        <f>IF(OR($B1109="",MIN(R$38,$D$19)&lt;MAX($P$708*($B1109+IF($R$17="Distrato",$I$38-1,0)),IF(AND($L$711=0,$P$708=0),"",$L$711-1),IF($R$17="Distrato",$E1109,0))),0,YEARFRAC(MAX($P$708*($B1109+IF($R$17="Distrato",$I$38-1,0)),IF(AND($L$711=0,$P$708=0),"",$L$711-1),IF($R$17="Distrato",$E1109,0)),MIN(R$38,$D$19),$P$20))-SUM($P1109:Q1109)</f>
        <v>#VALUE!</v>
      </c>
      <c r="S1109" s="446" t="e">
        <f>IF(OR($B1109="",MIN(S$38,$D$19)&lt;MAX($P$708*($B1109+IF($R$17="Distrato",$I$38-1,0)),IF(AND($L$711=0,$P$708=0),"",$L$711-1),IF($R$17="Distrato",$E1109,0))),0,YEARFRAC(MAX($P$708*($B1109+IF($R$17="Distrato",$I$38-1,0)),IF(AND($L$711=0,$P$708=0),"",$L$711-1),IF($R$17="Distrato",$E1109,0)),MIN(S$38,$D$19),$P$20))-SUM($P1109:R1109)</f>
        <v>#VALUE!</v>
      </c>
      <c r="T1109" s="446" t="e">
        <f>IF(OR($B1109="",MIN(T$38,$D$19)&lt;MAX($P$708*($B1109+IF($R$17="Distrato",$I$38-1,0)),IF(AND($L$711=0,$P$708=0),"",$L$711-1),IF($R$17="Distrato",$E1109,0))),0,YEARFRAC(MAX($P$708*($B1109+IF($R$17="Distrato",$I$38-1,0)),IF(AND($L$711=0,$P$708=0),"",$L$711-1),IF($R$17="Distrato",$E1109,0)),MIN(T$38,$D$19),$P$20))-SUM($P1109:S1109)</f>
        <v>#VALUE!</v>
      </c>
      <c r="U1109" s="446" t="e">
        <f>IF(OR($B1109="",MIN(U$38,$D$19)&lt;MAX($P$708*($B1109+IF($R$17="Distrato",$I$38-1,0)),IF(AND($L$711=0,$P$708=0),"",$L$711-1),IF($R$17="Distrato",$E1109,0))),0,YEARFRAC(MAX($P$708*($B1109+IF($R$17="Distrato",$I$38-1,0)),IF(AND($L$711=0,$P$708=0),"",$L$711-1),IF($R$17="Distrato",$E1109,0)),MIN(U$38,$D$19),$P$20))-SUM($P1109:T1109)</f>
        <v>#VALUE!</v>
      </c>
      <c r="V1109" s="446" t="e">
        <f>IF(OR($B1109="",MIN(V$38,$D$19)&lt;MAX($P$708*($B1109+IF($R$17="Distrato",$I$38-1,0)),IF(AND($L$711=0,$P$708=0),"",$L$711-1),IF($R$17="Distrato",$E1109,0))),0,YEARFRAC(MAX($P$708*($B1109+IF($R$17="Distrato",$I$38-1,0)),IF(AND($L$711=0,$P$708=0),"",$L$711-1),IF($R$17="Distrato",$E1109,0)),MIN(V$38,$D$19),$P$20))-SUM($P1109:U1109)</f>
        <v>#VALUE!</v>
      </c>
      <c r="W1109" s="446" t="e">
        <f>IF(OR($B1109="",MIN(W$38,$D$19)&lt;MAX($P$708*($B1109+IF($R$17="Distrato",$I$38-1,0)),IF(AND($L$711=0,$P$708=0),"",$L$711-1),IF($R$17="Distrato",$E1109,0))),0,YEARFRAC(MAX($P$708*($B1109+IF($R$17="Distrato",$I$38-1,0)),IF(AND($L$711=0,$P$708=0),"",$L$711-1),IF($R$17="Distrato",$E1109,0)),MIN(W$38,$D$19),$P$20))-SUM($P1109:V1109)</f>
        <v>#VALUE!</v>
      </c>
      <c r="X1109" s="446" t="e">
        <f>IF(OR($B1109="",MIN(X$38,$D$19)&lt;MAX($P$708*($B1109+IF($R$17="Distrato",$I$38-1,0)),IF(AND($L$711=0,$P$708=0),"",$L$711-1),IF($R$17="Distrato",$E1109,0))),0,YEARFRAC(MAX($P$708*($B1109+IF($R$17="Distrato",$I$38-1,0)),IF(AND($L$711=0,$P$708=0),"",$L$711-1),IF($R$17="Distrato",$E1109,0)),MIN(X$38,$D$19),$P$20))-SUM($P1109:W1109)</f>
        <v>#VALUE!</v>
      </c>
      <c r="Y1109" s="446" t="e">
        <f>IF(OR($B1109="",MIN(Y$38,$D$19)&lt;MAX($P$708*($B1109+IF($R$17="Distrato",$I$38-1,0)),IF(AND($L$711=0,$P$708=0),"",$L$711-1),IF($R$17="Distrato",$E1109,0))),0,YEARFRAC(MAX($P$708*($B1109+IF($R$17="Distrato",$I$38-1,0)),IF(AND($L$711=0,$P$708=0),"",$L$711-1),IF($R$17="Distrato",$E1109,0)),MIN(Y$38,$D$19),$P$20))-SUM($P1109:X1109)</f>
        <v>#VALUE!</v>
      </c>
      <c r="Z1109" s="446" t="e">
        <f>IF(OR($B1109="",MIN(Z$38,$D$19)&lt;MAX($P$708*($B1109+IF($R$17="Distrato",$I$38-1,0)),IF(AND($L$711=0,$P$708=0),"",$L$711-1),IF($R$17="Distrato",$E1109,0))),0,YEARFRAC(MAX($P$708*($B1109+IF($R$17="Distrato",$I$38-1,0)),IF(AND($L$711=0,$P$708=0),"",$L$711-1),IF($R$17="Distrato",$E1109,0)),MIN(Z$38,$D$19),$P$20))-SUM($P1109:Y1109)</f>
        <v>#VALUE!</v>
      </c>
      <c r="AA1109" s="446" t="e">
        <f>IF(OR($B1109="",MIN(AA$38,$D$19)&lt;MAX($P$708*($B1109+IF($R$17="Distrato",$I$38-1,0)),IF(AND($L$711=0,$P$708=0),"",$L$711-1),IF($R$17="Distrato",$E1109,0))),0,YEARFRAC(MAX($P$708*($B1109+IF($R$17="Distrato",$I$38-1,0)),IF(AND($L$711=0,$P$708=0),"",$L$711-1),IF($R$17="Distrato",$E1109,0)),MIN(AA$38,$D$19),$P$20))-SUM($P1109:Z1109)</f>
        <v>#VALUE!</v>
      </c>
      <c r="AB1109" s="446" t="e">
        <f>IF(OR($B1109="",MIN(AB$38,$D$19)&lt;MAX($P$708*($B1109+IF($R$17="Distrato",$I$38-1,0)),IF(AND($L$711=0,$P$708=0),"",$L$711-1),IF($R$17="Distrato",$E1109,0))),0,YEARFRAC(MAX($P$708*($B1109+IF($R$17="Distrato",$I$38-1,0)),IF(AND($L$711=0,$P$708=0),"",$L$711-1),IF($R$17="Distrato",$E1109,0)),MIN(AB$38,$D$19),$P$20))-SUM($P1109:AA1109)</f>
        <v>#VALUE!</v>
      </c>
      <c r="AC1109" s="446" t="e">
        <f>IF(OR($B1109="",MIN(AC$38,$D$19)&lt;MAX($P$708*($B1109+IF($R$17="Distrato",$I$38-1,0)),IF(AND($L$711=0,$P$708=0),"",$L$711-1),IF($R$17="Distrato",$E1109,0))),0,YEARFRAC(MAX($P$708*($B1109+IF($R$17="Distrato",$I$38-1,0)),IF(AND($L$711=0,$P$708=0),"",$L$711-1),IF($R$17="Distrato",$E1109,0)),MIN(AC$38,$D$19),$P$20))-SUM($P1109:AB1109)</f>
        <v>#VALUE!</v>
      </c>
      <c r="AD1109" s="446" t="e">
        <f>IF(OR($B1109="",MIN(AD$38,$D$19)&lt;MAX($P$708*($B1109+IF($R$17="Distrato",$I$38-1,0)),IF(AND($L$711=0,$P$708=0),"",$L$711-1),IF($R$17="Distrato",$E1109,0))),0,YEARFRAC(MAX($P$708*($B1109+IF($R$17="Distrato",$I$38-1,0)),IF(AND($L$711=0,$P$708=0),"",$L$711-1),IF($R$17="Distrato",$E1109,0)),MIN(AD$38,$D$19),$P$20))-SUM($P1109:AC1109)</f>
        <v>#VALUE!</v>
      </c>
      <c r="AE1109" s="446" t="e">
        <f>IF(OR($B1109="",MIN(AE$38,$D$19)&lt;MAX($P$708*($B1109+IF($R$17="Distrato",$I$38-1,0)),IF(AND($L$711=0,$P$708=0),"",$L$711-1),IF($R$17="Distrato",$E1109,0))),0,YEARFRAC(MAX($P$708*($B1109+IF($R$17="Distrato",$I$38-1,0)),IF(AND($L$711=0,$P$708=0),"",$L$711-1),IF($R$17="Distrato",$E1109,0)),MIN(AE$38,$D$19),$P$20))-SUM($P1109:AD1109)</f>
        <v>#VALUE!</v>
      </c>
      <c r="AF1109" s="446" t="e">
        <f>IF(OR($B1109="",MIN(AF$38,$D$19)&lt;MAX($P$708*($B1109+IF($R$17="Distrato",$I$38-1,0)),IF(AND($L$711=0,$P$708=0),"",$L$711-1),IF($R$17="Distrato",$E1109,0))),0,YEARFRAC(MAX($P$708*($B1109+IF($R$17="Distrato",$I$38-1,0)),IF(AND($L$711=0,$P$708=0),"",$L$711-1),IF($R$17="Distrato",$E1109,0)),MIN(AF$38,$D$19),$P$20))-SUM($P1109:AE1109)</f>
        <v>#VALUE!</v>
      </c>
      <c r="AG1109" s="446" t="e">
        <f>IF(OR($B1109="",MIN(AG$38,$D$19)&lt;MAX($P$708*($B1109+IF($R$17="Distrato",$I$38-1,0)),IF(AND($L$711=0,$P$708=0),"",$L$711-1),IF($R$17="Distrato",$E1109,0))),0,YEARFRAC(MAX($P$708*($B1109+IF($R$17="Distrato",$I$38-1,0)),IF(AND($L$711=0,$P$708=0),"",$L$711-1),IF($R$17="Distrato",$E1109,0)),MIN(AG$38,$D$19),$P$20))-SUM($P1109:AF1109)</f>
        <v>#VALUE!</v>
      </c>
      <c r="AH1109" s="446" t="e">
        <f>IF(OR($B1109="",MIN(AH$38,$D$19)&lt;MAX($P$708*($B1109+IF($R$17="Distrato",$I$38-1,0)),IF(AND($L$711=0,$P$708=0),"",$L$711-1),IF($R$17="Distrato",$E1109,0))),0,YEARFRAC(MAX($P$708*($B1109+IF($R$17="Distrato",$I$38-1,0)),IF(AND($L$711=0,$P$708=0),"",$L$711-1),IF($R$17="Distrato",$E1109,0)),MIN(AH$38,$D$19),$P$20))-SUM($P1109:AG1109)</f>
        <v>#VALUE!</v>
      </c>
      <c r="AI1109" s="446" t="e">
        <f>IF(OR($B1109="",MIN(AI$38,$D$19)&lt;MAX($P$708*($B1109+IF($R$17="Distrato",$I$38-1,0)),IF(AND($L$711=0,$P$708=0),"",$L$711-1),IF($R$17="Distrato",$E1109,0))),0,YEARFRAC(MAX($P$708*($B1109+IF($R$17="Distrato",$I$38-1,0)),IF(AND($L$711=0,$P$708=0),"",$L$711-1),IF($R$17="Distrato",$E1109,0)),MIN(AI$38,$D$19),$P$20))-SUM($P1109:AH1109)</f>
        <v>#VALUE!</v>
      </c>
      <c r="AJ1109" s="446" t="e">
        <f>IF(OR($B1109="",MIN(AJ$38,$D$19)&lt;MAX($P$708*($B1109+IF($R$17="Distrato",$I$38-1,0)),IF(AND($L$711=0,$P$708=0),"",$L$711-1),IF($R$17="Distrato",$E1109,0))),0,YEARFRAC(MAX($P$708*($B1109+IF($R$17="Distrato",$I$38-1,0)),IF(AND($L$711=0,$P$708=0),"",$L$711-1),IF($R$17="Distrato",$E1109,0)),MIN(AJ$38,$D$19),$P$20))-SUM($P1109:AI1109)</f>
        <v>#VALUE!</v>
      </c>
      <c r="AK1109" s="446" t="e">
        <f>IF(OR($B1109="",MIN(AK$38,$D$19)&lt;MAX($P$708*($B1109+IF($R$17="Distrato",$I$38-1,0)),IF(AND($L$711=0,$P$708=0),"",$L$711-1),IF($R$17="Distrato",$E1109,0))),0,YEARFRAC(MAX($P$708*($B1109+IF($R$17="Distrato",$I$38-1,0)),IF(AND($L$711=0,$P$708=0),"",$L$711-1),IF($R$17="Distrato",$E1109,0)),MIN(AK$38,$D$19),$P$20))-SUM($P1109:AJ1109)</f>
        <v>#VALUE!</v>
      </c>
      <c r="AL1109" s="446" t="e">
        <f>IF(OR($B1109="",MIN(AL$38,$D$19)&lt;MAX($P$708*($B1109+IF($R$17="Distrato",$I$38-1,0)),IF(AND($L$711=0,$P$708=0),"",$L$711-1),IF($R$17="Distrato",$E1109,0))),0,YEARFRAC(MAX($P$708*($B1109+IF($R$17="Distrato",$I$38-1,0)),IF(AND($L$711=0,$P$708=0),"",$L$711-1),IF($R$17="Distrato",$E1109,0)),MIN(AL$38,$D$19),$P$20))-SUM($P1109:AK1109)</f>
        <v>#VALUE!</v>
      </c>
      <c r="AM1109" s="446" t="e">
        <f>IF(OR($B1109="",MIN(AM$38,$D$19)&lt;MAX($P$708*($B1109+IF($R$17="Distrato",$I$38-1,0)),IF(AND($L$711=0,$P$708=0),"",$L$711-1),IF($R$17="Distrato",$E1109,0))),0,YEARFRAC(MAX($P$708*($B1109+IF($R$17="Distrato",$I$38-1,0)),IF(AND($L$711=0,$P$708=0),"",$L$711-1),IF($R$17="Distrato",$E1109,0)),MIN(AM$38,$D$19),$P$20))-SUM($P1109:AL1109)</f>
        <v>#VALUE!</v>
      </c>
      <c r="AN1109" s="446" t="e">
        <f>IF(OR($B1109="",MIN(AN$38,$D$19)&lt;MAX($P$708*($B1109+IF($R$17="Distrato",$I$38-1,0)),IF(AND($L$711=0,$P$708=0),"",$L$711-1),IF($R$17="Distrato",$E1109,0))),0,YEARFRAC(MAX($P$708*($B1109+IF($R$17="Distrato",$I$38-1,0)),IF(AND($L$711=0,$P$708=0),"",$L$711-1),IF($R$17="Distrato",$E1109,0)),MIN(AN$38,$D$19),$P$20))-SUM($P1109:AM1109)</f>
        <v>#VALUE!</v>
      </c>
      <c r="AO1109" s="446" t="e">
        <f>IF(OR($B1109="",MIN(AO$38,$D$19)&lt;MAX($P$708*($B1109+IF($R$17="Distrato",$I$38-1,0)),IF(AND($L$711=0,$P$708=0),"",$L$711-1),IF($R$17="Distrato",$E1109,0))),0,YEARFRAC(MAX($P$708*($B1109+IF($R$17="Distrato",$I$38-1,0)),IF(AND($L$711=0,$P$708=0),"",$L$711-1),IF($R$17="Distrato",$E1109,0)),MIN(AO$38,$D$19),$P$20))-SUM($P1109:AN1109)</f>
        <v>#VALUE!</v>
      </c>
      <c r="AP1109" s="446" t="e">
        <f>IF(OR($B1109="",MIN(AP$38,$D$19)&lt;MAX($P$708*($B1109+IF($R$17="Distrato",$I$38-1,0)),IF(AND($L$711=0,$P$708=0),"",$L$711-1),IF($R$17="Distrato",$E1109,0))),0,YEARFRAC(MAX($P$708*($B1109+IF($R$17="Distrato",$I$38-1,0)),IF(AND($L$711=0,$P$708=0),"",$L$711-1),IF($R$17="Distrato",$E1109,0)),MIN(AP$38,$D$19),$P$20))-SUM($P1109:AO1109)</f>
        <v>#VALUE!</v>
      </c>
      <c r="AQ1109" s="446" t="e">
        <f>IF(OR($B1109="",MIN(AQ$38,$D$19)&lt;MAX($P$708*($B1109+IF($R$17="Distrato",$I$38-1,0)),IF(AND($L$711=0,$P$708=0),"",$L$711-1),IF($R$17="Distrato",$E1109,0))),0,YEARFRAC(MAX($P$708*($B1109+IF($R$17="Distrato",$I$38-1,0)),IF(AND($L$711=0,$P$708=0),"",$L$711-1),IF($R$17="Distrato",$E1109,0)),MIN(AQ$38,$D$19),$P$20))-SUM($P1109:AP1109)</f>
        <v>#VALUE!</v>
      </c>
      <c r="AR1109" s="446" t="e">
        <f>IF(OR($B1109="",MIN(AR$38,$D$19)&lt;MAX($P$708*($B1109+IF($R$17="Distrato",$I$38-1,0)),IF(AND($L$711=0,$P$708=0),"",$L$711-1),IF($R$17="Distrato",$E1109,0))),0,YEARFRAC(MAX($P$708*($B1109+IF($R$17="Distrato",$I$38-1,0)),IF(AND($L$711=0,$P$708=0),"",$L$711-1),IF($R$17="Distrato",$E1109,0)),MIN(AR$38,$D$19),$P$20))-SUM($P1109:AQ1109)</f>
        <v>#VALUE!</v>
      </c>
      <c r="AS1109" s="446" t="e">
        <f>IF(OR($B1109="",MIN(AS$38,$D$19)&lt;MAX($P$708*($B1109+IF($R$17="Distrato",$I$38-1,0)),IF(AND($L$711=0,$P$708=0),"",$L$711-1),IF($R$17="Distrato",$E1109,0))),0,YEARFRAC(MAX($P$708*($B1109+IF($R$17="Distrato",$I$38-1,0)),IF(AND($L$711=0,$P$708=0),"",$L$711-1),IF($R$17="Distrato",$E1109,0)),MIN(AS$38,$D$19),$P$20))-SUM($P1109:AR1109)</f>
        <v>#VALUE!</v>
      </c>
      <c r="AT1109" s="446" t="e">
        <f>IF(OR($B1109="",MIN(AT$38,$D$19)&lt;MAX($P$708*($B1109+IF($R$17="Distrato",$I$38-1,0)),IF(AND($L$711=0,$P$708=0),"",$L$711-1),IF($R$17="Distrato",$E1109,0))),0,YEARFRAC(MAX($P$708*($B1109+IF($R$17="Distrato",$I$38-1,0)),IF(AND($L$711=0,$P$708=0),"",$L$711-1),IF($R$17="Distrato",$E1109,0)),MIN(AT$38,$D$19),$P$20))-SUM($P1109:AS1109)</f>
        <v>#VALUE!</v>
      </c>
      <c r="AU1109" s="446" t="e">
        <f>IF(OR($B1109="",MIN(AU$38,$D$19)&lt;MAX($P$708*($B1109+IF($R$17="Distrato",$I$38-1,0)),IF(AND($L$711=0,$P$708=0),"",$L$711-1),IF($R$17="Distrato",$E1109,0))),0,YEARFRAC(MAX($P$708*($B1109+IF($R$17="Distrato",$I$38-1,0)),IF(AND($L$711=0,$P$708=0),"",$L$711-1),IF($R$17="Distrato",$E1109,0)),MIN(AU$38,$D$19),$P$20))-SUM($P1109:AT1109)</f>
        <v>#VALUE!</v>
      </c>
      <c r="AV1109" s="446" t="e">
        <f>IF(OR($B1109="",MIN(AV$38,$D$19)&lt;MAX($P$708*($B1109+IF($R$17="Distrato",$I$38-1,0)),IF(AND($L$711=0,$P$708=0),"",$L$711-1),IF($R$17="Distrato",$E1109,0))),0,YEARFRAC(MAX($P$708*($B1109+IF($R$17="Distrato",$I$38-1,0)),IF(AND($L$711=0,$P$708=0),"",$L$711-1),IF($R$17="Distrato",$E1109,0)),MIN(AV$38,$D$19),$P$20))-SUM($P1109:AU1109)</f>
        <v>#VALUE!</v>
      </c>
      <c r="AW1109" s="446" t="e">
        <f>IF(OR($B1109="",MIN(AW$38,$D$19)&lt;MAX($P$708*($B1109+IF($R$17="Distrato",$I$38-1,0)),IF(AND($L$711=0,$P$708=0),"",$L$711-1),IF($R$17="Distrato",$E1109,0))),0,YEARFRAC(MAX($P$708*($B1109+IF($R$17="Distrato",$I$38-1,0)),IF(AND($L$711=0,$P$708=0),"",$L$711-1),IF($R$17="Distrato",$E1109,0)),MIN(AW$38,$D$19),$P$20))-SUM($P1109:AV1109)</f>
        <v>#VALUE!</v>
      </c>
      <c r="AX1109" s="446" t="e">
        <f>IF(OR($B1109="",MIN(AX$38,$D$19)&lt;MAX($P$708*($B1109+IF($R$17="Distrato",$I$38-1,0)),IF(AND($L$711=0,$P$708=0),"",$L$711-1),IF($R$17="Distrato",$E1109,0))),0,YEARFRAC(MAX($P$708*($B1109+IF($R$17="Distrato",$I$38-1,0)),IF(AND($L$711=0,$P$708=0),"",$L$711-1),IF($R$17="Distrato",$E1109,0)),MIN(AX$38,$D$19),$P$20))-SUM($P1109:AW1109)</f>
        <v>#VALUE!</v>
      </c>
      <c r="AY1109" s="446" t="e">
        <f>IF(OR($B1109="",MIN(AY$38,$D$19)&lt;MAX($P$708*($B1109+IF($R$17="Distrato",$I$38-1,0)),IF(AND($L$711=0,$P$708=0),"",$L$711-1),IF($R$17="Distrato",$E1109,0))),0,YEARFRAC(MAX($P$708*($B1109+IF($R$17="Distrato",$I$38-1,0)),IF(AND($L$711=0,$P$708=0),"",$L$711-1),IF($R$17="Distrato",$E1109,0)),MIN(AY$38,$D$19),$P$20))-SUM($P1109:AX1109)</f>
        <v>#VALUE!</v>
      </c>
      <c r="AZ1109" s="446" t="e">
        <f>IF(OR($B1109="",MIN(AZ$38,$D$19)&lt;MAX($P$708*($B1109+IF($R$17="Distrato",$I$38-1,0)),IF(AND($L$711=0,$P$708=0),"",$L$711-1),IF($R$17="Distrato",$E1109,0))),0,YEARFRAC(MAX($P$708*($B1109+IF($R$17="Distrato",$I$38-1,0)),IF(AND($L$711=0,$P$708=0),"",$L$711-1),IF($R$17="Distrato",$E1109,0)),MIN(AZ$38,$D$19),$P$20))-SUM($P1109:AY1109)</f>
        <v>#VALUE!</v>
      </c>
      <c r="BA1109" s="446" t="e">
        <f>IF(OR($B1109="",MIN(BA$38,$D$19)&lt;MAX($P$708*($B1109+IF($R$17="Distrato",$I$38-1,0)),IF(AND($L$711=0,$P$708=0),"",$L$711-1),IF($R$17="Distrato",$E1109,0))),0,YEARFRAC(MAX($P$708*($B1109+IF($R$17="Distrato",$I$38-1,0)),IF(AND($L$711=0,$P$708=0),"",$L$711-1),IF($R$17="Distrato",$E1109,0)),MIN(BA$38,$D$19),$P$20))-SUM($P1109:AZ1109)</f>
        <v>#VALUE!</v>
      </c>
      <c r="BB1109" s="447"/>
    </row>
    <row r="1110" spans="1:54" s="446" customFormat="1" ht="11.25" hidden="1" customHeight="1" x14ac:dyDescent="0.2">
      <c r="A1110" s="235"/>
      <c r="B1110" s="236"/>
      <c r="C1110" s="29" t="str">
        <f>IF(B1110="","",IF($L$709=$BL$25,VLOOKUP(DATE(YEAR($D$19),MONTH($D$19)-1,1),ÍNDICES!$A:$DE,HLOOKUP($BL$25,ÍNDICES!$B$3:$T$4,2)+11)-VLOOKUP(B1110,ÍNDICES!$A:$DE,HLOOKUP($BL$25,ÍNDICES!$B$3:$T$4,2)+11)+1%,IF(C$712=$W$26,$J$35,IF(ISERROR(IF(B1110&gt;$D$19,1,VLOOKUP(DATE(YEAR(B1110),MONTH(B1110)+IF($C$709=$S$23,1,0),1),ÍNDICES!$A:$DE,$Z$709+1))),"",IF(B1110&gt;$D$19,1,VLOOKUP(DATE(YEAR(B1110),MONTH(B1110)+IF($C$709=$S$23,1,0),1),ÍNDICES!$A:$DE,$Z$709+1))))))</f>
        <v/>
      </c>
      <c r="D1110" s="155"/>
      <c r="E1110" s="88"/>
      <c r="F1110" s="88"/>
      <c r="G1110" s="88"/>
      <c r="H1110" s="118"/>
      <c r="I1110" s="182">
        <f t="shared" si="157"/>
        <v>0</v>
      </c>
      <c r="J1110" s="20">
        <f t="shared" ca="1" si="158"/>
        <v>0</v>
      </c>
      <c r="K1110" s="5">
        <f t="shared" ca="1" si="159"/>
        <v>0</v>
      </c>
      <c r="L1110" s="61">
        <f t="shared" ca="1" si="160"/>
        <v>0</v>
      </c>
      <c r="M1110" s="64">
        <f t="shared" si="161"/>
        <v>0</v>
      </c>
      <c r="N1110" s="151"/>
      <c r="O1110" s="5">
        <f t="shared" ca="1" si="162"/>
        <v>0</v>
      </c>
      <c r="P1110" s="446" t="e">
        <f t="shared" si="163"/>
        <v>#VALUE!</v>
      </c>
      <c r="Q1110" s="446" t="e">
        <f>IF(OR($B1110="",MIN(Q$38,$D$19)&lt;MAX($P$708*($B1110+IF($R$17="Distrato",$I$38-1,0)),IF(AND($L$711=0,$P$708=0),"",$L$711-1),IF($R$17="Distrato",$E1110,0))),0,YEARFRAC(MAX($P$708*($B1110+IF($R$17="Distrato",$I$38-1,0)),IF(AND($L$711=0,$P$708=0),"",$L$711-1),IF($R$17="Distrato",$E1110,0)),MIN(Q$38,$D$19),$P$20))-SUM($P1110:P1110)</f>
        <v>#VALUE!</v>
      </c>
      <c r="R1110" s="446" t="e">
        <f>IF(OR($B1110="",MIN(R$38,$D$19)&lt;MAX($P$708*($B1110+IF($R$17="Distrato",$I$38-1,0)),IF(AND($L$711=0,$P$708=0),"",$L$711-1),IF($R$17="Distrato",$E1110,0))),0,YEARFRAC(MAX($P$708*($B1110+IF($R$17="Distrato",$I$38-1,0)),IF(AND($L$711=0,$P$708=0),"",$L$711-1),IF($R$17="Distrato",$E1110,0)),MIN(R$38,$D$19),$P$20))-SUM($P1110:Q1110)</f>
        <v>#VALUE!</v>
      </c>
      <c r="S1110" s="446" t="e">
        <f>IF(OR($B1110="",MIN(S$38,$D$19)&lt;MAX($P$708*($B1110+IF($R$17="Distrato",$I$38-1,0)),IF(AND($L$711=0,$P$708=0),"",$L$711-1),IF($R$17="Distrato",$E1110,0))),0,YEARFRAC(MAX($P$708*($B1110+IF($R$17="Distrato",$I$38-1,0)),IF(AND($L$711=0,$P$708=0),"",$L$711-1),IF($R$17="Distrato",$E1110,0)),MIN(S$38,$D$19),$P$20))-SUM($P1110:R1110)</f>
        <v>#VALUE!</v>
      </c>
      <c r="T1110" s="446" t="e">
        <f>IF(OR($B1110="",MIN(T$38,$D$19)&lt;MAX($P$708*($B1110+IF($R$17="Distrato",$I$38-1,0)),IF(AND($L$711=0,$P$708=0),"",$L$711-1),IF($R$17="Distrato",$E1110,0))),0,YEARFRAC(MAX($P$708*($B1110+IF($R$17="Distrato",$I$38-1,0)),IF(AND($L$711=0,$P$708=0),"",$L$711-1),IF($R$17="Distrato",$E1110,0)),MIN(T$38,$D$19),$P$20))-SUM($P1110:S1110)</f>
        <v>#VALUE!</v>
      </c>
      <c r="U1110" s="446" t="e">
        <f>IF(OR($B1110="",MIN(U$38,$D$19)&lt;MAX($P$708*($B1110+IF($R$17="Distrato",$I$38-1,0)),IF(AND($L$711=0,$P$708=0),"",$L$711-1),IF($R$17="Distrato",$E1110,0))),0,YEARFRAC(MAX($P$708*($B1110+IF($R$17="Distrato",$I$38-1,0)),IF(AND($L$711=0,$P$708=0),"",$L$711-1),IF($R$17="Distrato",$E1110,0)),MIN(U$38,$D$19),$P$20))-SUM($P1110:T1110)</f>
        <v>#VALUE!</v>
      </c>
      <c r="V1110" s="446" t="e">
        <f>IF(OR($B1110="",MIN(V$38,$D$19)&lt;MAX($P$708*($B1110+IF($R$17="Distrato",$I$38-1,0)),IF(AND($L$711=0,$P$708=0),"",$L$711-1),IF($R$17="Distrato",$E1110,0))),0,YEARFRAC(MAX($P$708*($B1110+IF($R$17="Distrato",$I$38-1,0)),IF(AND($L$711=0,$P$708=0),"",$L$711-1),IF($R$17="Distrato",$E1110,0)),MIN(V$38,$D$19),$P$20))-SUM($P1110:U1110)</f>
        <v>#VALUE!</v>
      </c>
      <c r="W1110" s="446" t="e">
        <f>IF(OR($B1110="",MIN(W$38,$D$19)&lt;MAX($P$708*($B1110+IF($R$17="Distrato",$I$38-1,0)),IF(AND($L$711=0,$P$708=0),"",$L$711-1),IF($R$17="Distrato",$E1110,0))),0,YEARFRAC(MAX($P$708*($B1110+IF($R$17="Distrato",$I$38-1,0)),IF(AND($L$711=0,$P$708=0),"",$L$711-1),IF($R$17="Distrato",$E1110,0)),MIN(W$38,$D$19),$P$20))-SUM($P1110:V1110)</f>
        <v>#VALUE!</v>
      </c>
      <c r="X1110" s="446" t="e">
        <f>IF(OR($B1110="",MIN(X$38,$D$19)&lt;MAX($P$708*($B1110+IF($R$17="Distrato",$I$38-1,0)),IF(AND($L$711=0,$P$708=0),"",$L$711-1),IF($R$17="Distrato",$E1110,0))),0,YEARFRAC(MAX($P$708*($B1110+IF($R$17="Distrato",$I$38-1,0)),IF(AND($L$711=0,$P$708=0),"",$L$711-1),IF($R$17="Distrato",$E1110,0)),MIN(X$38,$D$19),$P$20))-SUM($P1110:W1110)</f>
        <v>#VALUE!</v>
      </c>
      <c r="Y1110" s="446" t="e">
        <f>IF(OR($B1110="",MIN(Y$38,$D$19)&lt;MAX($P$708*($B1110+IF($R$17="Distrato",$I$38-1,0)),IF(AND($L$711=0,$P$708=0),"",$L$711-1),IF($R$17="Distrato",$E1110,0))),0,YEARFRAC(MAX($P$708*($B1110+IF($R$17="Distrato",$I$38-1,0)),IF(AND($L$711=0,$P$708=0),"",$L$711-1),IF($R$17="Distrato",$E1110,0)),MIN(Y$38,$D$19),$P$20))-SUM($P1110:X1110)</f>
        <v>#VALUE!</v>
      </c>
      <c r="Z1110" s="446" t="e">
        <f>IF(OR($B1110="",MIN(Z$38,$D$19)&lt;MAX($P$708*($B1110+IF($R$17="Distrato",$I$38-1,0)),IF(AND($L$711=0,$P$708=0),"",$L$711-1),IF($R$17="Distrato",$E1110,0))),0,YEARFRAC(MAX($P$708*($B1110+IF($R$17="Distrato",$I$38-1,0)),IF(AND($L$711=0,$P$708=0),"",$L$711-1),IF($R$17="Distrato",$E1110,0)),MIN(Z$38,$D$19),$P$20))-SUM($P1110:Y1110)</f>
        <v>#VALUE!</v>
      </c>
      <c r="AA1110" s="446" t="e">
        <f>IF(OR($B1110="",MIN(AA$38,$D$19)&lt;MAX($P$708*($B1110+IF($R$17="Distrato",$I$38-1,0)),IF(AND($L$711=0,$P$708=0),"",$L$711-1),IF($R$17="Distrato",$E1110,0))),0,YEARFRAC(MAX($P$708*($B1110+IF($R$17="Distrato",$I$38-1,0)),IF(AND($L$711=0,$P$708=0),"",$L$711-1),IF($R$17="Distrato",$E1110,0)),MIN(AA$38,$D$19),$P$20))-SUM($P1110:Z1110)</f>
        <v>#VALUE!</v>
      </c>
      <c r="AB1110" s="446" t="e">
        <f>IF(OR($B1110="",MIN(AB$38,$D$19)&lt;MAX($P$708*($B1110+IF($R$17="Distrato",$I$38-1,0)),IF(AND($L$711=0,$P$708=0),"",$L$711-1),IF($R$17="Distrato",$E1110,0))),0,YEARFRAC(MAX($P$708*($B1110+IF($R$17="Distrato",$I$38-1,0)),IF(AND($L$711=0,$P$708=0),"",$L$711-1),IF($R$17="Distrato",$E1110,0)),MIN(AB$38,$D$19),$P$20))-SUM($P1110:AA1110)</f>
        <v>#VALUE!</v>
      </c>
      <c r="AC1110" s="446" t="e">
        <f>IF(OR($B1110="",MIN(AC$38,$D$19)&lt;MAX($P$708*($B1110+IF($R$17="Distrato",$I$38-1,0)),IF(AND($L$711=0,$P$708=0),"",$L$711-1),IF($R$17="Distrato",$E1110,0))),0,YEARFRAC(MAX($P$708*($B1110+IF($R$17="Distrato",$I$38-1,0)),IF(AND($L$711=0,$P$708=0),"",$L$711-1),IF($R$17="Distrato",$E1110,0)),MIN(AC$38,$D$19),$P$20))-SUM($P1110:AB1110)</f>
        <v>#VALUE!</v>
      </c>
      <c r="AD1110" s="446" t="e">
        <f>IF(OR($B1110="",MIN(AD$38,$D$19)&lt;MAX($P$708*($B1110+IF($R$17="Distrato",$I$38-1,0)),IF(AND($L$711=0,$P$708=0),"",$L$711-1),IF($R$17="Distrato",$E1110,0))),0,YEARFRAC(MAX($P$708*($B1110+IF($R$17="Distrato",$I$38-1,0)),IF(AND($L$711=0,$P$708=0),"",$L$711-1),IF($R$17="Distrato",$E1110,0)),MIN(AD$38,$D$19),$P$20))-SUM($P1110:AC1110)</f>
        <v>#VALUE!</v>
      </c>
      <c r="AE1110" s="446" t="e">
        <f>IF(OR($B1110="",MIN(AE$38,$D$19)&lt;MAX($P$708*($B1110+IF($R$17="Distrato",$I$38-1,0)),IF(AND($L$711=0,$P$708=0),"",$L$711-1),IF($R$17="Distrato",$E1110,0))),0,YEARFRAC(MAX($P$708*($B1110+IF($R$17="Distrato",$I$38-1,0)),IF(AND($L$711=0,$P$708=0),"",$L$711-1),IF($R$17="Distrato",$E1110,0)),MIN(AE$38,$D$19),$P$20))-SUM($P1110:AD1110)</f>
        <v>#VALUE!</v>
      </c>
      <c r="AF1110" s="446" t="e">
        <f>IF(OR($B1110="",MIN(AF$38,$D$19)&lt;MAX($P$708*($B1110+IF($R$17="Distrato",$I$38-1,0)),IF(AND($L$711=0,$P$708=0),"",$L$711-1),IF($R$17="Distrato",$E1110,0))),0,YEARFRAC(MAX($P$708*($B1110+IF($R$17="Distrato",$I$38-1,0)),IF(AND($L$711=0,$P$708=0),"",$L$711-1),IF($R$17="Distrato",$E1110,0)),MIN(AF$38,$D$19),$P$20))-SUM($P1110:AE1110)</f>
        <v>#VALUE!</v>
      </c>
      <c r="AG1110" s="446" t="e">
        <f>IF(OR($B1110="",MIN(AG$38,$D$19)&lt;MAX($P$708*($B1110+IF($R$17="Distrato",$I$38-1,0)),IF(AND($L$711=0,$P$708=0),"",$L$711-1),IF($R$17="Distrato",$E1110,0))),0,YEARFRAC(MAX($P$708*($B1110+IF($R$17="Distrato",$I$38-1,0)),IF(AND($L$711=0,$P$708=0),"",$L$711-1),IF($R$17="Distrato",$E1110,0)),MIN(AG$38,$D$19),$P$20))-SUM($P1110:AF1110)</f>
        <v>#VALUE!</v>
      </c>
      <c r="AH1110" s="446" t="e">
        <f>IF(OR($B1110="",MIN(AH$38,$D$19)&lt;MAX($P$708*($B1110+IF($R$17="Distrato",$I$38-1,0)),IF(AND($L$711=0,$P$708=0),"",$L$711-1),IF($R$17="Distrato",$E1110,0))),0,YEARFRAC(MAX($P$708*($B1110+IF($R$17="Distrato",$I$38-1,0)),IF(AND($L$711=0,$P$708=0),"",$L$711-1),IF($R$17="Distrato",$E1110,0)),MIN(AH$38,$D$19),$P$20))-SUM($P1110:AG1110)</f>
        <v>#VALUE!</v>
      </c>
      <c r="AI1110" s="446" t="e">
        <f>IF(OR($B1110="",MIN(AI$38,$D$19)&lt;MAX($P$708*($B1110+IF($R$17="Distrato",$I$38-1,0)),IF(AND($L$711=0,$P$708=0),"",$L$711-1),IF($R$17="Distrato",$E1110,0))),0,YEARFRAC(MAX($P$708*($B1110+IF($R$17="Distrato",$I$38-1,0)),IF(AND($L$711=0,$P$708=0),"",$L$711-1),IF($R$17="Distrato",$E1110,0)),MIN(AI$38,$D$19),$P$20))-SUM($P1110:AH1110)</f>
        <v>#VALUE!</v>
      </c>
      <c r="AJ1110" s="446" t="e">
        <f>IF(OR($B1110="",MIN(AJ$38,$D$19)&lt;MAX($P$708*($B1110+IF($R$17="Distrato",$I$38-1,0)),IF(AND($L$711=0,$P$708=0),"",$L$711-1),IF($R$17="Distrato",$E1110,0))),0,YEARFRAC(MAX($P$708*($B1110+IF($R$17="Distrato",$I$38-1,0)),IF(AND($L$711=0,$P$708=0),"",$L$711-1),IF($R$17="Distrato",$E1110,0)),MIN(AJ$38,$D$19),$P$20))-SUM($P1110:AI1110)</f>
        <v>#VALUE!</v>
      </c>
      <c r="AK1110" s="446" t="e">
        <f>IF(OR($B1110="",MIN(AK$38,$D$19)&lt;MAX($P$708*($B1110+IF($R$17="Distrato",$I$38-1,0)),IF(AND($L$711=0,$P$708=0),"",$L$711-1),IF($R$17="Distrato",$E1110,0))),0,YEARFRAC(MAX($P$708*($B1110+IF($R$17="Distrato",$I$38-1,0)),IF(AND($L$711=0,$P$708=0),"",$L$711-1),IF($R$17="Distrato",$E1110,0)),MIN(AK$38,$D$19),$P$20))-SUM($P1110:AJ1110)</f>
        <v>#VALUE!</v>
      </c>
      <c r="AL1110" s="446" t="e">
        <f>IF(OR($B1110="",MIN(AL$38,$D$19)&lt;MAX($P$708*($B1110+IF($R$17="Distrato",$I$38-1,0)),IF(AND($L$711=0,$P$708=0),"",$L$711-1),IF($R$17="Distrato",$E1110,0))),0,YEARFRAC(MAX($P$708*($B1110+IF($R$17="Distrato",$I$38-1,0)),IF(AND($L$711=0,$P$708=0),"",$L$711-1),IF($R$17="Distrato",$E1110,0)),MIN(AL$38,$D$19),$P$20))-SUM($P1110:AK1110)</f>
        <v>#VALUE!</v>
      </c>
      <c r="AM1110" s="446" t="e">
        <f>IF(OR($B1110="",MIN(AM$38,$D$19)&lt;MAX($P$708*($B1110+IF($R$17="Distrato",$I$38-1,0)),IF(AND($L$711=0,$P$708=0),"",$L$711-1),IF($R$17="Distrato",$E1110,0))),0,YEARFRAC(MAX($P$708*($B1110+IF($R$17="Distrato",$I$38-1,0)),IF(AND($L$711=0,$P$708=0),"",$L$711-1),IF($R$17="Distrato",$E1110,0)),MIN(AM$38,$D$19),$P$20))-SUM($P1110:AL1110)</f>
        <v>#VALUE!</v>
      </c>
      <c r="AN1110" s="446" t="e">
        <f>IF(OR($B1110="",MIN(AN$38,$D$19)&lt;MAX($P$708*($B1110+IF($R$17="Distrato",$I$38-1,0)),IF(AND($L$711=0,$P$708=0),"",$L$711-1),IF($R$17="Distrato",$E1110,0))),0,YEARFRAC(MAX($P$708*($B1110+IF($R$17="Distrato",$I$38-1,0)),IF(AND($L$711=0,$P$708=0),"",$L$711-1),IF($R$17="Distrato",$E1110,0)),MIN(AN$38,$D$19),$P$20))-SUM($P1110:AM1110)</f>
        <v>#VALUE!</v>
      </c>
      <c r="AO1110" s="446" t="e">
        <f>IF(OR($B1110="",MIN(AO$38,$D$19)&lt;MAX($P$708*($B1110+IF($R$17="Distrato",$I$38-1,0)),IF(AND($L$711=0,$P$708=0),"",$L$711-1),IF($R$17="Distrato",$E1110,0))),0,YEARFRAC(MAX($P$708*($B1110+IF($R$17="Distrato",$I$38-1,0)),IF(AND($L$711=0,$P$708=0),"",$L$711-1),IF($R$17="Distrato",$E1110,0)),MIN(AO$38,$D$19),$P$20))-SUM($P1110:AN1110)</f>
        <v>#VALUE!</v>
      </c>
      <c r="AP1110" s="446" t="e">
        <f>IF(OR($B1110="",MIN(AP$38,$D$19)&lt;MAX($P$708*($B1110+IF($R$17="Distrato",$I$38-1,0)),IF(AND($L$711=0,$P$708=0),"",$L$711-1),IF($R$17="Distrato",$E1110,0))),0,YEARFRAC(MAX($P$708*($B1110+IF($R$17="Distrato",$I$38-1,0)),IF(AND($L$711=0,$P$708=0),"",$L$711-1),IF($R$17="Distrato",$E1110,0)),MIN(AP$38,$D$19),$P$20))-SUM($P1110:AO1110)</f>
        <v>#VALUE!</v>
      </c>
      <c r="AQ1110" s="446" t="e">
        <f>IF(OR($B1110="",MIN(AQ$38,$D$19)&lt;MAX($P$708*($B1110+IF($R$17="Distrato",$I$38-1,0)),IF(AND($L$711=0,$P$708=0),"",$L$711-1),IF($R$17="Distrato",$E1110,0))),0,YEARFRAC(MAX($P$708*($B1110+IF($R$17="Distrato",$I$38-1,0)),IF(AND($L$711=0,$P$708=0),"",$L$711-1),IF($R$17="Distrato",$E1110,0)),MIN(AQ$38,$D$19),$P$20))-SUM($P1110:AP1110)</f>
        <v>#VALUE!</v>
      </c>
      <c r="AR1110" s="446" t="e">
        <f>IF(OR($B1110="",MIN(AR$38,$D$19)&lt;MAX($P$708*($B1110+IF($R$17="Distrato",$I$38-1,0)),IF(AND($L$711=0,$P$708=0),"",$L$711-1),IF($R$17="Distrato",$E1110,0))),0,YEARFRAC(MAX($P$708*($B1110+IF($R$17="Distrato",$I$38-1,0)),IF(AND($L$711=0,$P$708=0),"",$L$711-1),IF($R$17="Distrato",$E1110,0)),MIN(AR$38,$D$19),$P$20))-SUM($P1110:AQ1110)</f>
        <v>#VALUE!</v>
      </c>
      <c r="AS1110" s="446" t="e">
        <f>IF(OR($B1110="",MIN(AS$38,$D$19)&lt;MAX($P$708*($B1110+IF($R$17="Distrato",$I$38-1,0)),IF(AND($L$711=0,$P$708=0),"",$L$711-1),IF($R$17="Distrato",$E1110,0))),0,YEARFRAC(MAX($P$708*($B1110+IF($R$17="Distrato",$I$38-1,0)),IF(AND($L$711=0,$P$708=0),"",$L$711-1),IF($R$17="Distrato",$E1110,0)),MIN(AS$38,$D$19),$P$20))-SUM($P1110:AR1110)</f>
        <v>#VALUE!</v>
      </c>
      <c r="AT1110" s="446" t="e">
        <f>IF(OR($B1110="",MIN(AT$38,$D$19)&lt;MAX($P$708*($B1110+IF($R$17="Distrato",$I$38-1,0)),IF(AND($L$711=0,$P$708=0),"",$L$711-1),IF($R$17="Distrato",$E1110,0))),0,YEARFRAC(MAX($P$708*($B1110+IF($R$17="Distrato",$I$38-1,0)),IF(AND($L$711=0,$P$708=0),"",$L$711-1),IF($R$17="Distrato",$E1110,0)),MIN(AT$38,$D$19),$P$20))-SUM($P1110:AS1110)</f>
        <v>#VALUE!</v>
      </c>
      <c r="AU1110" s="446" t="e">
        <f>IF(OR($B1110="",MIN(AU$38,$D$19)&lt;MAX($P$708*($B1110+IF($R$17="Distrato",$I$38-1,0)),IF(AND($L$711=0,$P$708=0),"",$L$711-1),IF($R$17="Distrato",$E1110,0))),0,YEARFRAC(MAX($P$708*($B1110+IF($R$17="Distrato",$I$38-1,0)),IF(AND($L$711=0,$P$708=0),"",$L$711-1),IF($R$17="Distrato",$E1110,0)),MIN(AU$38,$D$19),$P$20))-SUM($P1110:AT1110)</f>
        <v>#VALUE!</v>
      </c>
      <c r="AV1110" s="446" t="e">
        <f>IF(OR($B1110="",MIN(AV$38,$D$19)&lt;MAX($P$708*($B1110+IF($R$17="Distrato",$I$38-1,0)),IF(AND($L$711=0,$P$708=0),"",$L$711-1),IF($R$17="Distrato",$E1110,0))),0,YEARFRAC(MAX($P$708*($B1110+IF($R$17="Distrato",$I$38-1,0)),IF(AND($L$711=0,$P$708=0),"",$L$711-1),IF($R$17="Distrato",$E1110,0)),MIN(AV$38,$D$19),$P$20))-SUM($P1110:AU1110)</f>
        <v>#VALUE!</v>
      </c>
      <c r="AW1110" s="446" t="e">
        <f>IF(OR($B1110="",MIN(AW$38,$D$19)&lt;MAX($P$708*($B1110+IF($R$17="Distrato",$I$38-1,0)),IF(AND($L$711=0,$P$708=0),"",$L$711-1),IF($R$17="Distrato",$E1110,0))),0,YEARFRAC(MAX($P$708*($B1110+IF($R$17="Distrato",$I$38-1,0)),IF(AND($L$711=0,$P$708=0),"",$L$711-1),IF($R$17="Distrato",$E1110,0)),MIN(AW$38,$D$19),$P$20))-SUM($P1110:AV1110)</f>
        <v>#VALUE!</v>
      </c>
      <c r="AX1110" s="446" t="e">
        <f>IF(OR($B1110="",MIN(AX$38,$D$19)&lt;MAX($P$708*($B1110+IF($R$17="Distrato",$I$38-1,0)),IF(AND($L$711=0,$P$708=0),"",$L$711-1),IF($R$17="Distrato",$E1110,0))),0,YEARFRAC(MAX($P$708*($B1110+IF($R$17="Distrato",$I$38-1,0)),IF(AND($L$711=0,$P$708=0),"",$L$711-1),IF($R$17="Distrato",$E1110,0)),MIN(AX$38,$D$19),$P$20))-SUM($P1110:AW1110)</f>
        <v>#VALUE!</v>
      </c>
      <c r="AY1110" s="446" t="e">
        <f>IF(OR($B1110="",MIN(AY$38,$D$19)&lt;MAX($P$708*($B1110+IF($R$17="Distrato",$I$38-1,0)),IF(AND($L$711=0,$P$708=0),"",$L$711-1),IF($R$17="Distrato",$E1110,0))),0,YEARFRAC(MAX($P$708*($B1110+IF($R$17="Distrato",$I$38-1,0)),IF(AND($L$711=0,$P$708=0),"",$L$711-1),IF($R$17="Distrato",$E1110,0)),MIN(AY$38,$D$19),$P$20))-SUM($P1110:AX1110)</f>
        <v>#VALUE!</v>
      </c>
      <c r="AZ1110" s="446" t="e">
        <f>IF(OR($B1110="",MIN(AZ$38,$D$19)&lt;MAX($P$708*($B1110+IF($R$17="Distrato",$I$38-1,0)),IF(AND($L$711=0,$P$708=0),"",$L$711-1),IF($R$17="Distrato",$E1110,0))),0,YEARFRAC(MAX($P$708*($B1110+IF($R$17="Distrato",$I$38-1,0)),IF(AND($L$711=0,$P$708=0),"",$L$711-1),IF($R$17="Distrato",$E1110,0)),MIN(AZ$38,$D$19),$P$20))-SUM($P1110:AY1110)</f>
        <v>#VALUE!</v>
      </c>
      <c r="BA1110" s="446" t="e">
        <f>IF(OR($B1110="",MIN(BA$38,$D$19)&lt;MAX($P$708*($B1110+IF($R$17="Distrato",$I$38-1,0)),IF(AND($L$711=0,$P$708=0),"",$L$711-1),IF($R$17="Distrato",$E1110,0))),0,YEARFRAC(MAX($P$708*($B1110+IF($R$17="Distrato",$I$38-1,0)),IF(AND($L$711=0,$P$708=0),"",$L$711-1),IF($R$17="Distrato",$E1110,0)),MIN(BA$38,$D$19),$P$20))-SUM($P1110:AZ1110)</f>
        <v>#VALUE!</v>
      </c>
      <c r="BB1110" s="447"/>
    </row>
    <row r="1111" spans="1:54" s="446" customFormat="1" ht="11.25" hidden="1" customHeight="1" x14ac:dyDescent="0.2">
      <c r="A1111" s="235"/>
      <c r="B1111" s="236"/>
      <c r="C1111" s="29" t="str">
        <f>IF(B1111="","",IF($L$709=$BL$25,VLOOKUP(DATE(YEAR($D$19),MONTH($D$19)-1,1),ÍNDICES!$A:$DE,HLOOKUP($BL$25,ÍNDICES!$B$3:$T$4,2)+11)-VLOOKUP(B1111,ÍNDICES!$A:$DE,HLOOKUP($BL$25,ÍNDICES!$B$3:$T$4,2)+11)+1%,IF(C$712=$W$26,$J$35,IF(ISERROR(IF(B1111&gt;$D$19,1,VLOOKUP(DATE(YEAR(B1111),MONTH(B1111)+IF($C$709=$S$23,1,0),1),ÍNDICES!$A:$DE,$Z$709+1))),"",IF(B1111&gt;$D$19,1,VLOOKUP(DATE(YEAR(B1111),MONTH(B1111)+IF($C$709=$S$23,1,0),1),ÍNDICES!$A:$DE,$Z$709+1))))))</f>
        <v/>
      </c>
      <c r="D1111" s="155"/>
      <c r="E1111" s="88"/>
      <c r="F1111" s="88"/>
      <c r="G1111" s="88"/>
      <c r="H1111" s="118"/>
      <c r="I1111" s="182">
        <f t="shared" si="157"/>
        <v>0</v>
      </c>
      <c r="J1111" s="20">
        <f t="shared" ca="1" si="158"/>
        <v>0</v>
      </c>
      <c r="K1111" s="5">
        <f t="shared" ca="1" si="159"/>
        <v>0</v>
      </c>
      <c r="L1111" s="61">
        <f t="shared" ca="1" si="160"/>
        <v>0</v>
      </c>
      <c r="M1111" s="64">
        <f t="shared" si="161"/>
        <v>0</v>
      </c>
      <c r="N1111" s="151"/>
      <c r="O1111" s="5">
        <f t="shared" ca="1" si="162"/>
        <v>0</v>
      </c>
      <c r="P1111" s="446" t="e">
        <f t="shared" si="163"/>
        <v>#VALUE!</v>
      </c>
      <c r="Q1111" s="446" t="e">
        <f>IF(OR($B1111="",MIN(Q$38,$D$19)&lt;MAX($P$708*($B1111+IF($R$17="Distrato",$I$38-1,0)),IF(AND($L$711=0,$P$708=0),"",$L$711-1),IF($R$17="Distrato",$E1111,0))),0,YEARFRAC(MAX($P$708*($B1111+IF($R$17="Distrato",$I$38-1,0)),IF(AND($L$711=0,$P$708=0),"",$L$711-1),IF($R$17="Distrato",$E1111,0)),MIN(Q$38,$D$19),$P$20))-SUM($P1111:P1111)</f>
        <v>#VALUE!</v>
      </c>
      <c r="R1111" s="446" t="e">
        <f>IF(OR($B1111="",MIN(R$38,$D$19)&lt;MAX($P$708*($B1111+IF($R$17="Distrato",$I$38-1,0)),IF(AND($L$711=0,$P$708=0),"",$L$711-1),IF($R$17="Distrato",$E1111,0))),0,YEARFRAC(MAX($P$708*($B1111+IF($R$17="Distrato",$I$38-1,0)),IF(AND($L$711=0,$P$708=0),"",$L$711-1),IF($R$17="Distrato",$E1111,0)),MIN(R$38,$D$19),$P$20))-SUM($P1111:Q1111)</f>
        <v>#VALUE!</v>
      </c>
      <c r="S1111" s="446" t="e">
        <f>IF(OR($B1111="",MIN(S$38,$D$19)&lt;MAX($P$708*($B1111+IF($R$17="Distrato",$I$38-1,0)),IF(AND($L$711=0,$P$708=0),"",$L$711-1),IF($R$17="Distrato",$E1111,0))),0,YEARFRAC(MAX($P$708*($B1111+IF($R$17="Distrato",$I$38-1,0)),IF(AND($L$711=0,$P$708=0),"",$L$711-1),IF($R$17="Distrato",$E1111,0)),MIN(S$38,$D$19),$P$20))-SUM($P1111:R1111)</f>
        <v>#VALUE!</v>
      </c>
      <c r="T1111" s="446" t="e">
        <f>IF(OR($B1111="",MIN(T$38,$D$19)&lt;MAX($P$708*($B1111+IF($R$17="Distrato",$I$38-1,0)),IF(AND($L$711=0,$P$708=0),"",$L$711-1),IF($R$17="Distrato",$E1111,0))),0,YEARFRAC(MAX($P$708*($B1111+IF($R$17="Distrato",$I$38-1,0)),IF(AND($L$711=0,$P$708=0),"",$L$711-1),IF($R$17="Distrato",$E1111,0)),MIN(T$38,$D$19),$P$20))-SUM($P1111:S1111)</f>
        <v>#VALUE!</v>
      </c>
      <c r="U1111" s="446" t="e">
        <f>IF(OR($B1111="",MIN(U$38,$D$19)&lt;MAX($P$708*($B1111+IF($R$17="Distrato",$I$38-1,0)),IF(AND($L$711=0,$P$708=0),"",$L$711-1),IF($R$17="Distrato",$E1111,0))),0,YEARFRAC(MAX($P$708*($B1111+IF($R$17="Distrato",$I$38-1,0)),IF(AND($L$711=0,$P$708=0),"",$L$711-1),IF($R$17="Distrato",$E1111,0)),MIN(U$38,$D$19),$P$20))-SUM($P1111:T1111)</f>
        <v>#VALUE!</v>
      </c>
      <c r="V1111" s="446" t="e">
        <f>IF(OR($B1111="",MIN(V$38,$D$19)&lt;MAX($P$708*($B1111+IF($R$17="Distrato",$I$38-1,0)),IF(AND($L$711=0,$P$708=0),"",$L$711-1),IF($R$17="Distrato",$E1111,0))),0,YEARFRAC(MAX($P$708*($B1111+IF($R$17="Distrato",$I$38-1,0)),IF(AND($L$711=0,$P$708=0),"",$L$711-1),IF($R$17="Distrato",$E1111,0)),MIN(V$38,$D$19),$P$20))-SUM($P1111:U1111)</f>
        <v>#VALUE!</v>
      </c>
      <c r="W1111" s="446" t="e">
        <f>IF(OR($B1111="",MIN(W$38,$D$19)&lt;MAX($P$708*($B1111+IF($R$17="Distrato",$I$38-1,0)),IF(AND($L$711=0,$P$708=0),"",$L$711-1),IF($R$17="Distrato",$E1111,0))),0,YEARFRAC(MAX($P$708*($B1111+IF($R$17="Distrato",$I$38-1,0)),IF(AND($L$711=0,$P$708=0),"",$L$711-1),IF($R$17="Distrato",$E1111,0)),MIN(W$38,$D$19),$P$20))-SUM($P1111:V1111)</f>
        <v>#VALUE!</v>
      </c>
      <c r="X1111" s="446" t="e">
        <f>IF(OR($B1111="",MIN(X$38,$D$19)&lt;MAX($P$708*($B1111+IF($R$17="Distrato",$I$38-1,0)),IF(AND($L$711=0,$P$708=0),"",$L$711-1),IF($R$17="Distrato",$E1111,0))),0,YEARFRAC(MAX($P$708*($B1111+IF($R$17="Distrato",$I$38-1,0)),IF(AND($L$711=0,$P$708=0),"",$L$711-1),IF($R$17="Distrato",$E1111,0)),MIN(X$38,$D$19),$P$20))-SUM($P1111:W1111)</f>
        <v>#VALUE!</v>
      </c>
      <c r="Y1111" s="446" t="e">
        <f>IF(OR($B1111="",MIN(Y$38,$D$19)&lt;MAX($P$708*($B1111+IF($R$17="Distrato",$I$38-1,0)),IF(AND($L$711=0,$P$708=0),"",$L$711-1),IF($R$17="Distrato",$E1111,0))),0,YEARFRAC(MAX($P$708*($B1111+IF($R$17="Distrato",$I$38-1,0)),IF(AND($L$711=0,$P$708=0),"",$L$711-1),IF($R$17="Distrato",$E1111,0)),MIN(Y$38,$D$19),$P$20))-SUM($P1111:X1111)</f>
        <v>#VALUE!</v>
      </c>
      <c r="Z1111" s="446" t="e">
        <f>IF(OR($B1111="",MIN(Z$38,$D$19)&lt;MAX($P$708*($B1111+IF($R$17="Distrato",$I$38-1,0)),IF(AND($L$711=0,$P$708=0),"",$L$711-1),IF($R$17="Distrato",$E1111,0))),0,YEARFRAC(MAX($P$708*($B1111+IF($R$17="Distrato",$I$38-1,0)),IF(AND($L$711=0,$P$708=0),"",$L$711-1),IF($R$17="Distrato",$E1111,0)),MIN(Z$38,$D$19),$P$20))-SUM($P1111:Y1111)</f>
        <v>#VALUE!</v>
      </c>
      <c r="AA1111" s="446" t="e">
        <f>IF(OR($B1111="",MIN(AA$38,$D$19)&lt;MAX($P$708*($B1111+IF($R$17="Distrato",$I$38-1,0)),IF(AND($L$711=0,$P$708=0),"",$L$711-1),IF($R$17="Distrato",$E1111,0))),0,YEARFRAC(MAX($P$708*($B1111+IF($R$17="Distrato",$I$38-1,0)),IF(AND($L$711=0,$P$708=0),"",$L$711-1),IF($R$17="Distrato",$E1111,0)),MIN(AA$38,$D$19),$P$20))-SUM($P1111:Z1111)</f>
        <v>#VALUE!</v>
      </c>
      <c r="AB1111" s="446" t="e">
        <f>IF(OR($B1111="",MIN(AB$38,$D$19)&lt;MAX($P$708*($B1111+IF($R$17="Distrato",$I$38-1,0)),IF(AND($L$711=0,$P$708=0),"",$L$711-1),IF($R$17="Distrato",$E1111,0))),0,YEARFRAC(MAX($P$708*($B1111+IF($R$17="Distrato",$I$38-1,0)),IF(AND($L$711=0,$P$708=0),"",$L$711-1),IF($R$17="Distrato",$E1111,0)),MIN(AB$38,$D$19),$P$20))-SUM($P1111:AA1111)</f>
        <v>#VALUE!</v>
      </c>
      <c r="AC1111" s="446" t="e">
        <f>IF(OR($B1111="",MIN(AC$38,$D$19)&lt;MAX($P$708*($B1111+IF($R$17="Distrato",$I$38-1,0)),IF(AND($L$711=0,$P$708=0),"",$L$711-1),IF($R$17="Distrato",$E1111,0))),0,YEARFRAC(MAX($P$708*($B1111+IF($R$17="Distrato",$I$38-1,0)),IF(AND($L$711=0,$P$708=0),"",$L$711-1),IF($R$17="Distrato",$E1111,0)),MIN(AC$38,$D$19),$P$20))-SUM($P1111:AB1111)</f>
        <v>#VALUE!</v>
      </c>
      <c r="AD1111" s="446" t="e">
        <f>IF(OR($B1111="",MIN(AD$38,$D$19)&lt;MAX($P$708*($B1111+IF($R$17="Distrato",$I$38-1,0)),IF(AND($L$711=0,$P$708=0),"",$L$711-1),IF($R$17="Distrato",$E1111,0))),0,YEARFRAC(MAX($P$708*($B1111+IF($R$17="Distrato",$I$38-1,0)),IF(AND($L$711=0,$P$708=0),"",$L$711-1),IF($R$17="Distrato",$E1111,0)),MIN(AD$38,$D$19),$P$20))-SUM($P1111:AC1111)</f>
        <v>#VALUE!</v>
      </c>
      <c r="AE1111" s="446" t="e">
        <f>IF(OR($B1111="",MIN(AE$38,$D$19)&lt;MAX($P$708*($B1111+IF($R$17="Distrato",$I$38-1,0)),IF(AND($L$711=0,$P$708=0),"",$L$711-1),IF($R$17="Distrato",$E1111,0))),0,YEARFRAC(MAX($P$708*($B1111+IF($R$17="Distrato",$I$38-1,0)),IF(AND($L$711=0,$P$708=0),"",$L$711-1),IF($R$17="Distrato",$E1111,0)),MIN(AE$38,$D$19),$P$20))-SUM($P1111:AD1111)</f>
        <v>#VALUE!</v>
      </c>
      <c r="AF1111" s="446" t="e">
        <f>IF(OR($B1111="",MIN(AF$38,$D$19)&lt;MAX($P$708*($B1111+IF($R$17="Distrato",$I$38-1,0)),IF(AND($L$711=0,$P$708=0),"",$L$711-1),IF($R$17="Distrato",$E1111,0))),0,YEARFRAC(MAX($P$708*($B1111+IF($R$17="Distrato",$I$38-1,0)),IF(AND($L$711=0,$P$708=0),"",$L$711-1),IF($R$17="Distrato",$E1111,0)),MIN(AF$38,$D$19),$P$20))-SUM($P1111:AE1111)</f>
        <v>#VALUE!</v>
      </c>
      <c r="AG1111" s="446" t="e">
        <f>IF(OR($B1111="",MIN(AG$38,$D$19)&lt;MAX($P$708*($B1111+IF($R$17="Distrato",$I$38-1,0)),IF(AND($L$711=0,$P$708=0),"",$L$711-1),IF($R$17="Distrato",$E1111,0))),0,YEARFRAC(MAX($P$708*($B1111+IF($R$17="Distrato",$I$38-1,0)),IF(AND($L$711=0,$P$708=0),"",$L$711-1),IF($R$17="Distrato",$E1111,0)),MIN(AG$38,$D$19),$P$20))-SUM($P1111:AF1111)</f>
        <v>#VALUE!</v>
      </c>
      <c r="AH1111" s="446" t="e">
        <f>IF(OR($B1111="",MIN(AH$38,$D$19)&lt;MAX($P$708*($B1111+IF($R$17="Distrato",$I$38-1,0)),IF(AND($L$711=0,$P$708=0),"",$L$711-1),IF($R$17="Distrato",$E1111,0))),0,YEARFRAC(MAX($P$708*($B1111+IF($R$17="Distrato",$I$38-1,0)),IF(AND($L$711=0,$P$708=0),"",$L$711-1),IF($R$17="Distrato",$E1111,0)),MIN(AH$38,$D$19),$P$20))-SUM($P1111:AG1111)</f>
        <v>#VALUE!</v>
      </c>
      <c r="AI1111" s="446" t="e">
        <f>IF(OR($B1111="",MIN(AI$38,$D$19)&lt;MAX($P$708*($B1111+IF($R$17="Distrato",$I$38-1,0)),IF(AND($L$711=0,$P$708=0),"",$L$711-1),IF($R$17="Distrato",$E1111,0))),0,YEARFRAC(MAX($P$708*($B1111+IF($R$17="Distrato",$I$38-1,0)),IF(AND($L$711=0,$P$708=0),"",$L$711-1),IF($R$17="Distrato",$E1111,0)),MIN(AI$38,$D$19),$P$20))-SUM($P1111:AH1111)</f>
        <v>#VALUE!</v>
      </c>
      <c r="AJ1111" s="446" t="e">
        <f>IF(OR($B1111="",MIN(AJ$38,$D$19)&lt;MAX($P$708*($B1111+IF($R$17="Distrato",$I$38-1,0)),IF(AND($L$711=0,$P$708=0),"",$L$711-1),IF($R$17="Distrato",$E1111,0))),0,YEARFRAC(MAX($P$708*($B1111+IF($R$17="Distrato",$I$38-1,0)),IF(AND($L$711=0,$P$708=0),"",$L$711-1),IF($R$17="Distrato",$E1111,0)),MIN(AJ$38,$D$19),$P$20))-SUM($P1111:AI1111)</f>
        <v>#VALUE!</v>
      </c>
      <c r="AK1111" s="446" t="e">
        <f>IF(OR($B1111="",MIN(AK$38,$D$19)&lt;MAX($P$708*($B1111+IF($R$17="Distrato",$I$38-1,0)),IF(AND($L$711=0,$P$708=0),"",$L$711-1),IF($R$17="Distrato",$E1111,0))),0,YEARFRAC(MAX($P$708*($B1111+IF($R$17="Distrato",$I$38-1,0)),IF(AND($L$711=0,$P$708=0),"",$L$711-1),IF($R$17="Distrato",$E1111,0)),MIN(AK$38,$D$19),$P$20))-SUM($P1111:AJ1111)</f>
        <v>#VALUE!</v>
      </c>
      <c r="AL1111" s="446" t="e">
        <f>IF(OR($B1111="",MIN(AL$38,$D$19)&lt;MAX($P$708*($B1111+IF($R$17="Distrato",$I$38-1,0)),IF(AND($L$711=0,$P$708=0),"",$L$711-1),IF($R$17="Distrato",$E1111,0))),0,YEARFRAC(MAX($P$708*($B1111+IF($R$17="Distrato",$I$38-1,0)),IF(AND($L$711=0,$P$708=0),"",$L$711-1),IF($R$17="Distrato",$E1111,0)),MIN(AL$38,$D$19),$P$20))-SUM($P1111:AK1111)</f>
        <v>#VALUE!</v>
      </c>
      <c r="AM1111" s="446" t="e">
        <f>IF(OR($B1111="",MIN(AM$38,$D$19)&lt;MAX($P$708*($B1111+IF($R$17="Distrato",$I$38-1,0)),IF(AND($L$711=0,$P$708=0),"",$L$711-1),IF($R$17="Distrato",$E1111,0))),0,YEARFRAC(MAX($P$708*($B1111+IF($R$17="Distrato",$I$38-1,0)),IF(AND($L$711=0,$P$708=0),"",$L$711-1),IF($R$17="Distrato",$E1111,0)),MIN(AM$38,$D$19),$P$20))-SUM($P1111:AL1111)</f>
        <v>#VALUE!</v>
      </c>
      <c r="AN1111" s="446" t="e">
        <f>IF(OR($B1111="",MIN(AN$38,$D$19)&lt;MAX($P$708*($B1111+IF($R$17="Distrato",$I$38-1,0)),IF(AND($L$711=0,$P$708=0),"",$L$711-1),IF($R$17="Distrato",$E1111,0))),0,YEARFRAC(MAX($P$708*($B1111+IF($R$17="Distrato",$I$38-1,0)),IF(AND($L$711=0,$P$708=0),"",$L$711-1),IF($R$17="Distrato",$E1111,0)),MIN(AN$38,$D$19),$P$20))-SUM($P1111:AM1111)</f>
        <v>#VALUE!</v>
      </c>
      <c r="AO1111" s="446" t="e">
        <f>IF(OR($B1111="",MIN(AO$38,$D$19)&lt;MAX($P$708*($B1111+IF($R$17="Distrato",$I$38-1,0)),IF(AND($L$711=0,$P$708=0),"",$L$711-1),IF($R$17="Distrato",$E1111,0))),0,YEARFRAC(MAX($P$708*($B1111+IF($R$17="Distrato",$I$38-1,0)),IF(AND($L$711=0,$P$708=0),"",$L$711-1),IF($R$17="Distrato",$E1111,0)),MIN(AO$38,$D$19),$P$20))-SUM($P1111:AN1111)</f>
        <v>#VALUE!</v>
      </c>
      <c r="AP1111" s="446" t="e">
        <f>IF(OR($B1111="",MIN(AP$38,$D$19)&lt;MAX($P$708*($B1111+IF($R$17="Distrato",$I$38-1,0)),IF(AND($L$711=0,$P$708=0),"",$L$711-1),IF($R$17="Distrato",$E1111,0))),0,YEARFRAC(MAX($P$708*($B1111+IF($R$17="Distrato",$I$38-1,0)),IF(AND($L$711=0,$P$708=0),"",$L$711-1),IF($R$17="Distrato",$E1111,0)),MIN(AP$38,$D$19),$P$20))-SUM($P1111:AO1111)</f>
        <v>#VALUE!</v>
      </c>
      <c r="AQ1111" s="446" t="e">
        <f>IF(OR($B1111="",MIN(AQ$38,$D$19)&lt;MAX($P$708*($B1111+IF($R$17="Distrato",$I$38-1,0)),IF(AND($L$711=0,$P$708=0),"",$L$711-1),IF($R$17="Distrato",$E1111,0))),0,YEARFRAC(MAX($P$708*($B1111+IF($R$17="Distrato",$I$38-1,0)),IF(AND($L$711=0,$P$708=0),"",$L$711-1),IF($R$17="Distrato",$E1111,0)),MIN(AQ$38,$D$19),$P$20))-SUM($P1111:AP1111)</f>
        <v>#VALUE!</v>
      </c>
      <c r="AR1111" s="446" t="e">
        <f>IF(OR($B1111="",MIN(AR$38,$D$19)&lt;MAX($P$708*($B1111+IF($R$17="Distrato",$I$38-1,0)),IF(AND($L$711=0,$P$708=0),"",$L$711-1),IF($R$17="Distrato",$E1111,0))),0,YEARFRAC(MAX($P$708*($B1111+IF($R$17="Distrato",$I$38-1,0)),IF(AND($L$711=0,$P$708=0),"",$L$711-1),IF($R$17="Distrato",$E1111,0)),MIN(AR$38,$D$19),$P$20))-SUM($P1111:AQ1111)</f>
        <v>#VALUE!</v>
      </c>
      <c r="AS1111" s="446" t="e">
        <f>IF(OR($B1111="",MIN(AS$38,$D$19)&lt;MAX($P$708*($B1111+IF($R$17="Distrato",$I$38-1,0)),IF(AND($L$711=0,$P$708=0),"",$L$711-1),IF($R$17="Distrato",$E1111,0))),0,YEARFRAC(MAX($P$708*($B1111+IF($R$17="Distrato",$I$38-1,0)),IF(AND($L$711=0,$P$708=0),"",$L$711-1),IF($R$17="Distrato",$E1111,0)),MIN(AS$38,$D$19),$P$20))-SUM($P1111:AR1111)</f>
        <v>#VALUE!</v>
      </c>
      <c r="AT1111" s="446" t="e">
        <f>IF(OR($B1111="",MIN(AT$38,$D$19)&lt;MAX($P$708*($B1111+IF($R$17="Distrato",$I$38-1,0)),IF(AND($L$711=0,$P$708=0),"",$L$711-1),IF($R$17="Distrato",$E1111,0))),0,YEARFRAC(MAX($P$708*($B1111+IF($R$17="Distrato",$I$38-1,0)),IF(AND($L$711=0,$P$708=0),"",$L$711-1),IF($R$17="Distrato",$E1111,0)),MIN(AT$38,$D$19),$P$20))-SUM($P1111:AS1111)</f>
        <v>#VALUE!</v>
      </c>
      <c r="AU1111" s="446" t="e">
        <f>IF(OR($B1111="",MIN(AU$38,$D$19)&lt;MAX($P$708*($B1111+IF($R$17="Distrato",$I$38-1,0)),IF(AND($L$711=0,$P$708=0),"",$L$711-1),IF($R$17="Distrato",$E1111,0))),0,YEARFRAC(MAX($P$708*($B1111+IF($R$17="Distrato",$I$38-1,0)),IF(AND($L$711=0,$P$708=0),"",$L$711-1),IF($R$17="Distrato",$E1111,0)),MIN(AU$38,$D$19),$P$20))-SUM($P1111:AT1111)</f>
        <v>#VALUE!</v>
      </c>
      <c r="AV1111" s="446" t="e">
        <f>IF(OR($B1111="",MIN(AV$38,$D$19)&lt;MAX($P$708*($B1111+IF($R$17="Distrato",$I$38-1,0)),IF(AND($L$711=0,$P$708=0),"",$L$711-1),IF($R$17="Distrato",$E1111,0))),0,YEARFRAC(MAX($P$708*($B1111+IF($R$17="Distrato",$I$38-1,0)),IF(AND($L$711=0,$P$708=0),"",$L$711-1),IF($R$17="Distrato",$E1111,0)),MIN(AV$38,$D$19),$P$20))-SUM($P1111:AU1111)</f>
        <v>#VALUE!</v>
      </c>
      <c r="AW1111" s="446" t="e">
        <f>IF(OR($B1111="",MIN(AW$38,$D$19)&lt;MAX($P$708*($B1111+IF($R$17="Distrato",$I$38-1,0)),IF(AND($L$711=0,$P$708=0),"",$L$711-1),IF($R$17="Distrato",$E1111,0))),0,YEARFRAC(MAX($P$708*($B1111+IF($R$17="Distrato",$I$38-1,0)),IF(AND($L$711=0,$P$708=0),"",$L$711-1),IF($R$17="Distrato",$E1111,0)),MIN(AW$38,$D$19),$P$20))-SUM($P1111:AV1111)</f>
        <v>#VALUE!</v>
      </c>
      <c r="AX1111" s="446" t="e">
        <f>IF(OR($B1111="",MIN(AX$38,$D$19)&lt;MAX($P$708*($B1111+IF($R$17="Distrato",$I$38-1,0)),IF(AND($L$711=0,$P$708=0),"",$L$711-1),IF($R$17="Distrato",$E1111,0))),0,YEARFRAC(MAX($P$708*($B1111+IF($R$17="Distrato",$I$38-1,0)),IF(AND($L$711=0,$P$708=0),"",$L$711-1),IF($R$17="Distrato",$E1111,0)),MIN(AX$38,$D$19),$P$20))-SUM($P1111:AW1111)</f>
        <v>#VALUE!</v>
      </c>
      <c r="AY1111" s="446" t="e">
        <f>IF(OR($B1111="",MIN(AY$38,$D$19)&lt;MAX($P$708*($B1111+IF($R$17="Distrato",$I$38-1,0)),IF(AND($L$711=0,$P$708=0),"",$L$711-1),IF($R$17="Distrato",$E1111,0))),0,YEARFRAC(MAX($P$708*($B1111+IF($R$17="Distrato",$I$38-1,0)),IF(AND($L$711=0,$P$708=0),"",$L$711-1),IF($R$17="Distrato",$E1111,0)),MIN(AY$38,$D$19),$P$20))-SUM($P1111:AX1111)</f>
        <v>#VALUE!</v>
      </c>
      <c r="AZ1111" s="446" t="e">
        <f>IF(OR($B1111="",MIN(AZ$38,$D$19)&lt;MAX($P$708*($B1111+IF($R$17="Distrato",$I$38-1,0)),IF(AND($L$711=0,$P$708=0),"",$L$711-1),IF($R$17="Distrato",$E1111,0))),0,YEARFRAC(MAX($P$708*($B1111+IF($R$17="Distrato",$I$38-1,0)),IF(AND($L$711=0,$P$708=0),"",$L$711-1),IF($R$17="Distrato",$E1111,0)),MIN(AZ$38,$D$19),$P$20))-SUM($P1111:AY1111)</f>
        <v>#VALUE!</v>
      </c>
      <c r="BA1111" s="446" t="e">
        <f>IF(OR($B1111="",MIN(BA$38,$D$19)&lt;MAX($P$708*($B1111+IF($R$17="Distrato",$I$38-1,0)),IF(AND($L$711=0,$P$708=0),"",$L$711-1),IF($R$17="Distrato",$E1111,0))),0,YEARFRAC(MAX($P$708*($B1111+IF($R$17="Distrato",$I$38-1,0)),IF(AND($L$711=0,$P$708=0),"",$L$711-1),IF($R$17="Distrato",$E1111,0)),MIN(BA$38,$D$19),$P$20))-SUM($P1111:AZ1111)</f>
        <v>#VALUE!</v>
      </c>
      <c r="BB1111" s="447"/>
    </row>
    <row r="1112" spans="1:54" s="446" customFormat="1" ht="11.25" hidden="1" customHeight="1" x14ac:dyDescent="0.2">
      <c r="A1112" s="235"/>
      <c r="B1112" s="236"/>
      <c r="C1112" s="29" t="str">
        <f>IF(B1112="","",IF($L$709=$BL$25,VLOOKUP(DATE(YEAR($D$19),MONTH($D$19)-1,1),ÍNDICES!$A:$DE,HLOOKUP($BL$25,ÍNDICES!$B$3:$T$4,2)+11)-VLOOKUP(B1112,ÍNDICES!$A:$DE,HLOOKUP($BL$25,ÍNDICES!$B$3:$T$4,2)+11)+1%,IF(C$712=$W$26,$J$35,IF(ISERROR(IF(B1112&gt;$D$19,1,VLOOKUP(DATE(YEAR(B1112),MONTH(B1112)+IF($C$709=$S$23,1,0),1),ÍNDICES!$A:$DE,$Z$709+1))),"",IF(B1112&gt;$D$19,1,VLOOKUP(DATE(YEAR(B1112),MONTH(B1112)+IF($C$709=$S$23,1,0),1),ÍNDICES!$A:$DE,$Z$709+1))))))</f>
        <v/>
      </c>
      <c r="D1112" s="155"/>
      <c r="E1112" s="88"/>
      <c r="F1112" s="88"/>
      <c r="G1112" s="88"/>
      <c r="H1112" s="118"/>
      <c r="I1112" s="182">
        <f t="shared" si="157"/>
        <v>0</v>
      </c>
      <c r="J1112" s="20">
        <f t="shared" ca="1" si="158"/>
        <v>0</v>
      </c>
      <c r="K1112" s="5">
        <f t="shared" ca="1" si="159"/>
        <v>0</v>
      </c>
      <c r="L1112" s="61">
        <f t="shared" ca="1" si="160"/>
        <v>0</v>
      </c>
      <c r="M1112" s="64">
        <f t="shared" si="161"/>
        <v>0</v>
      </c>
      <c r="N1112" s="151"/>
      <c r="O1112" s="5">
        <f t="shared" ca="1" si="162"/>
        <v>0</v>
      </c>
      <c r="P1112" s="446" t="e">
        <f t="shared" si="163"/>
        <v>#VALUE!</v>
      </c>
      <c r="Q1112" s="446" t="e">
        <f>IF(OR($B1112="",MIN(Q$38,$D$19)&lt;MAX($P$708*($B1112+IF($R$17="Distrato",$I$38-1,0)),IF(AND($L$711=0,$P$708=0),"",$L$711-1),IF($R$17="Distrato",$E1112,0))),0,YEARFRAC(MAX($P$708*($B1112+IF($R$17="Distrato",$I$38-1,0)),IF(AND($L$711=0,$P$708=0),"",$L$711-1),IF($R$17="Distrato",$E1112,0)),MIN(Q$38,$D$19),$P$20))-SUM($P1112:P1112)</f>
        <v>#VALUE!</v>
      </c>
      <c r="R1112" s="446" t="e">
        <f>IF(OR($B1112="",MIN(R$38,$D$19)&lt;MAX($P$708*($B1112+IF($R$17="Distrato",$I$38-1,0)),IF(AND($L$711=0,$P$708=0),"",$L$711-1),IF($R$17="Distrato",$E1112,0))),0,YEARFRAC(MAX($P$708*($B1112+IF($R$17="Distrato",$I$38-1,0)),IF(AND($L$711=0,$P$708=0),"",$L$711-1),IF($R$17="Distrato",$E1112,0)),MIN(R$38,$D$19),$P$20))-SUM($P1112:Q1112)</f>
        <v>#VALUE!</v>
      </c>
      <c r="S1112" s="446" t="e">
        <f>IF(OR($B1112="",MIN(S$38,$D$19)&lt;MAX($P$708*($B1112+IF($R$17="Distrato",$I$38-1,0)),IF(AND($L$711=0,$P$708=0),"",$L$711-1),IF($R$17="Distrato",$E1112,0))),0,YEARFRAC(MAX($P$708*($B1112+IF($R$17="Distrato",$I$38-1,0)),IF(AND($L$711=0,$P$708=0),"",$L$711-1),IF($R$17="Distrato",$E1112,0)),MIN(S$38,$D$19),$P$20))-SUM($P1112:R1112)</f>
        <v>#VALUE!</v>
      </c>
      <c r="T1112" s="446" t="e">
        <f>IF(OR($B1112="",MIN(T$38,$D$19)&lt;MAX($P$708*($B1112+IF($R$17="Distrato",$I$38-1,0)),IF(AND($L$711=0,$P$708=0),"",$L$711-1),IF($R$17="Distrato",$E1112,0))),0,YEARFRAC(MAX($P$708*($B1112+IF($R$17="Distrato",$I$38-1,0)),IF(AND($L$711=0,$P$708=0),"",$L$711-1),IF($R$17="Distrato",$E1112,0)),MIN(T$38,$D$19),$P$20))-SUM($P1112:S1112)</f>
        <v>#VALUE!</v>
      </c>
      <c r="U1112" s="446" t="e">
        <f>IF(OR($B1112="",MIN(U$38,$D$19)&lt;MAX($P$708*($B1112+IF($R$17="Distrato",$I$38-1,0)),IF(AND($L$711=0,$P$708=0),"",$L$711-1),IF($R$17="Distrato",$E1112,0))),0,YEARFRAC(MAX($P$708*($B1112+IF($R$17="Distrato",$I$38-1,0)),IF(AND($L$711=0,$P$708=0),"",$L$711-1),IF($R$17="Distrato",$E1112,0)),MIN(U$38,$D$19),$P$20))-SUM($P1112:T1112)</f>
        <v>#VALUE!</v>
      </c>
      <c r="V1112" s="446" t="e">
        <f>IF(OR($B1112="",MIN(V$38,$D$19)&lt;MAX($P$708*($B1112+IF($R$17="Distrato",$I$38-1,0)),IF(AND($L$711=0,$P$708=0),"",$L$711-1),IF($R$17="Distrato",$E1112,0))),0,YEARFRAC(MAX($P$708*($B1112+IF($R$17="Distrato",$I$38-1,0)),IF(AND($L$711=0,$P$708=0),"",$L$711-1),IF($R$17="Distrato",$E1112,0)),MIN(V$38,$D$19),$P$20))-SUM($P1112:U1112)</f>
        <v>#VALUE!</v>
      </c>
      <c r="W1112" s="446" t="e">
        <f>IF(OR($B1112="",MIN(W$38,$D$19)&lt;MAX($P$708*($B1112+IF($R$17="Distrato",$I$38-1,0)),IF(AND($L$711=0,$P$708=0),"",$L$711-1),IF($R$17="Distrato",$E1112,0))),0,YEARFRAC(MAX($P$708*($B1112+IF($R$17="Distrato",$I$38-1,0)),IF(AND($L$711=0,$P$708=0),"",$L$711-1),IF($R$17="Distrato",$E1112,0)),MIN(W$38,$D$19),$P$20))-SUM($P1112:V1112)</f>
        <v>#VALUE!</v>
      </c>
      <c r="X1112" s="446" t="e">
        <f>IF(OR($B1112="",MIN(X$38,$D$19)&lt;MAX($P$708*($B1112+IF($R$17="Distrato",$I$38-1,0)),IF(AND($L$711=0,$P$708=0),"",$L$711-1),IF($R$17="Distrato",$E1112,0))),0,YEARFRAC(MAX($P$708*($B1112+IF($R$17="Distrato",$I$38-1,0)),IF(AND($L$711=0,$P$708=0),"",$L$711-1),IF($R$17="Distrato",$E1112,0)),MIN(X$38,$D$19),$P$20))-SUM($P1112:W1112)</f>
        <v>#VALUE!</v>
      </c>
      <c r="Y1112" s="446" t="e">
        <f>IF(OR($B1112="",MIN(Y$38,$D$19)&lt;MAX($P$708*($B1112+IF($R$17="Distrato",$I$38-1,0)),IF(AND($L$711=0,$P$708=0),"",$L$711-1),IF($R$17="Distrato",$E1112,0))),0,YEARFRAC(MAX($P$708*($B1112+IF($R$17="Distrato",$I$38-1,0)),IF(AND($L$711=0,$P$708=0),"",$L$711-1),IF($R$17="Distrato",$E1112,0)),MIN(Y$38,$D$19),$P$20))-SUM($P1112:X1112)</f>
        <v>#VALUE!</v>
      </c>
      <c r="Z1112" s="446" t="e">
        <f>IF(OR($B1112="",MIN(Z$38,$D$19)&lt;MAX($P$708*($B1112+IF($R$17="Distrato",$I$38-1,0)),IF(AND($L$711=0,$P$708=0),"",$L$711-1),IF($R$17="Distrato",$E1112,0))),0,YEARFRAC(MAX($P$708*($B1112+IF($R$17="Distrato",$I$38-1,0)),IF(AND($L$711=0,$P$708=0),"",$L$711-1),IF($R$17="Distrato",$E1112,0)),MIN(Z$38,$D$19),$P$20))-SUM($P1112:Y1112)</f>
        <v>#VALUE!</v>
      </c>
      <c r="AA1112" s="446" t="e">
        <f>IF(OR($B1112="",MIN(AA$38,$D$19)&lt;MAX($P$708*($B1112+IF($R$17="Distrato",$I$38-1,0)),IF(AND($L$711=0,$P$708=0),"",$L$711-1),IF($R$17="Distrato",$E1112,0))),0,YEARFRAC(MAX($P$708*($B1112+IF($R$17="Distrato",$I$38-1,0)),IF(AND($L$711=0,$P$708=0),"",$L$711-1),IF($R$17="Distrato",$E1112,0)),MIN(AA$38,$D$19),$P$20))-SUM($P1112:Z1112)</f>
        <v>#VALUE!</v>
      </c>
      <c r="AB1112" s="446" t="e">
        <f>IF(OR($B1112="",MIN(AB$38,$D$19)&lt;MAX($P$708*($B1112+IF($R$17="Distrato",$I$38-1,0)),IF(AND($L$711=0,$P$708=0),"",$L$711-1),IF($R$17="Distrato",$E1112,0))),0,YEARFRAC(MAX($P$708*($B1112+IF($R$17="Distrato",$I$38-1,0)),IF(AND($L$711=0,$P$708=0),"",$L$711-1),IF($R$17="Distrato",$E1112,0)),MIN(AB$38,$D$19),$P$20))-SUM($P1112:AA1112)</f>
        <v>#VALUE!</v>
      </c>
      <c r="AC1112" s="446" t="e">
        <f>IF(OR($B1112="",MIN(AC$38,$D$19)&lt;MAX($P$708*($B1112+IF($R$17="Distrato",$I$38-1,0)),IF(AND($L$711=0,$P$708=0),"",$L$711-1),IF($R$17="Distrato",$E1112,0))),0,YEARFRAC(MAX($P$708*($B1112+IF($R$17="Distrato",$I$38-1,0)),IF(AND($L$711=0,$P$708=0),"",$L$711-1),IF($R$17="Distrato",$E1112,0)),MIN(AC$38,$D$19),$P$20))-SUM($P1112:AB1112)</f>
        <v>#VALUE!</v>
      </c>
      <c r="AD1112" s="446" t="e">
        <f>IF(OR($B1112="",MIN(AD$38,$D$19)&lt;MAX($P$708*($B1112+IF($R$17="Distrato",$I$38-1,0)),IF(AND($L$711=0,$P$708=0),"",$L$711-1),IF($R$17="Distrato",$E1112,0))),0,YEARFRAC(MAX($P$708*($B1112+IF($R$17="Distrato",$I$38-1,0)),IF(AND($L$711=0,$P$708=0),"",$L$711-1),IF($R$17="Distrato",$E1112,0)),MIN(AD$38,$D$19),$P$20))-SUM($P1112:AC1112)</f>
        <v>#VALUE!</v>
      </c>
      <c r="AE1112" s="446" t="e">
        <f>IF(OR($B1112="",MIN(AE$38,$D$19)&lt;MAX($P$708*($B1112+IF($R$17="Distrato",$I$38-1,0)),IF(AND($L$711=0,$P$708=0),"",$L$711-1),IF($R$17="Distrato",$E1112,0))),0,YEARFRAC(MAX($P$708*($B1112+IF($R$17="Distrato",$I$38-1,0)),IF(AND($L$711=0,$P$708=0),"",$L$711-1),IF($R$17="Distrato",$E1112,0)),MIN(AE$38,$D$19),$P$20))-SUM($P1112:AD1112)</f>
        <v>#VALUE!</v>
      </c>
      <c r="AF1112" s="446" t="e">
        <f>IF(OR($B1112="",MIN(AF$38,$D$19)&lt;MAX($P$708*($B1112+IF($R$17="Distrato",$I$38-1,0)),IF(AND($L$711=0,$P$708=0),"",$L$711-1),IF($R$17="Distrato",$E1112,0))),0,YEARFRAC(MAX($P$708*($B1112+IF($R$17="Distrato",$I$38-1,0)),IF(AND($L$711=0,$P$708=0),"",$L$711-1),IF($R$17="Distrato",$E1112,0)),MIN(AF$38,$D$19),$P$20))-SUM($P1112:AE1112)</f>
        <v>#VALUE!</v>
      </c>
      <c r="AG1112" s="446" t="e">
        <f>IF(OR($B1112="",MIN(AG$38,$D$19)&lt;MAX($P$708*($B1112+IF($R$17="Distrato",$I$38-1,0)),IF(AND($L$711=0,$P$708=0),"",$L$711-1),IF($R$17="Distrato",$E1112,0))),0,YEARFRAC(MAX($P$708*($B1112+IF($R$17="Distrato",$I$38-1,0)),IF(AND($L$711=0,$P$708=0),"",$L$711-1),IF($R$17="Distrato",$E1112,0)),MIN(AG$38,$D$19),$P$20))-SUM($P1112:AF1112)</f>
        <v>#VALUE!</v>
      </c>
      <c r="AH1112" s="446" t="e">
        <f>IF(OR($B1112="",MIN(AH$38,$D$19)&lt;MAX($P$708*($B1112+IF($R$17="Distrato",$I$38-1,0)),IF(AND($L$711=0,$P$708=0),"",$L$711-1),IF($R$17="Distrato",$E1112,0))),0,YEARFRAC(MAX($P$708*($B1112+IF($R$17="Distrato",$I$38-1,0)),IF(AND($L$711=0,$P$708=0),"",$L$711-1),IF($R$17="Distrato",$E1112,0)),MIN(AH$38,$D$19),$P$20))-SUM($P1112:AG1112)</f>
        <v>#VALUE!</v>
      </c>
      <c r="AI1112" s="446" t="e">
        <f>IF(OR($B1112="",MIN(AI$38,$D$19)&lt;MAX($P$708*($B1112+IF($R$17="Distrato",$I$38-1,0)),IF(AND($L$711=0,$P$708=0),"",$L$711-1),IF($R$17="Distrato",$E1112,0))),0,YEARFRAC(MAX($P$708*($B1112+IF($R$17="Distrato",$I$38-1,0)),IF(AND($L$711=0,$P$708=0),"",$L$711-1),IF($R$17="Distrato",$E1112,0)),MIN(AI$38,$D$19),$P$20))-SUM($P1112:AH1112)</f>
        <v>#VALUE!</v>
      </c>
      <c r="AJ1112" s="446" t="e">
        <f>IF(OR($B1112="",MIN(AJ$38,$D$19)&lt;MAX($P$708*($B1112+IF($R$17="Distrato",$I$38-1,0)),IF(AND($L$711=0,$P$708=0),"",$L$711-1),IF($R$17="Distrato",$E1112,0))),0,YEARFRAC(MAX($P$708*($B1112+IF($R$17="Distrato",$I$38-1,0)),IF(AND($L$711=0,$P$708=0),"",$L$711-1),IF($R$17="Distrato",$E1112,0)),MIN(AJ$38,$D$19),$P$20))-SUM($P1112:AI1112)</f>
        <v>#VALUE!</v>
      </c>
      <c r="AK1112" s="446" t="e">
        <f>IF(OR($B1112="",MIN(AK$38,$D$19)&lt;MAX($P$708*($B1112+IF($R$17="Distrato",$I$38-1,0)),IF(AND($L$711=0,$P$708=0),"",$L$711-1),IF($R$17="Distrato",$E1112,0))),0,YEARFRAC(MAX($P$708*($B1112+IF($R$17="Distrato",$I$38-1,0)),IF(AND($L$711=0,$P$708=0),"",$L$711-1),IF($R$17="Distrato",$E1112,0)),MIN(AK$38,$D$19),$P$20))-SUM($P1112:AJ1112)</f>
        <v>#VALUE!</v>
      </c>
      <c r="AL1112" s="446" t="e">
        <f>IF(OR($B1112="",MIN(AL$38,$D$19)&lt;MAX($P$708*($B1112+IF($R$17="Distrato",$I$38-1,0)),IF(AND($L$711=0,$P$708=0),"",$L$711-1),IF($R$17="Distrato",$E1112,0))),0,YEARFRAC(MAX($P$708*($B1112+IF($R$17="Distrato",$I$38-1,0)),IF(AND($L$711=0,$P$708=0),"",$L$711-1),IF($R$17="Distrato",$E1112,0)),MIN(AL$38,$D$19),$P$20))-SUM($P1112:AK1112)</f>
        <v>#VALUE!</v>
      </c>
      <c r="AM1112" s="446" t="e">
        <f>IF(OR($B1112="",MIN(AM$38,$D$19)&lt;MAX($P$708*($B1112+IF($R$17="Distrato",$I$38-1,0)),IF(AND($L$711=0,$P$708=0),"",$L$711-1),IF($R$17="Distrato",$E1112,0))),0,YEARFRAC(MAX($P$708*($B1112+IF($R$17="Distrato",$I$38-1,0)),IF(AND($L$711=0,$P$708=0),"",$L$711-1),IF($R$17="Distrato",$E1112,0)),MIN(AM$38,$D$19),$P$20))-SUM($P1112:AL1112)</f>
        <v>#VALUE!</v>
      </c>
      <c r="AN1112" s="446" t="e">
        <f>IF(OR($B1112="",MIN(AN$38,$D$19)&lt;MAX($P$708*($B1112+IF($R$17="Distrato",$I$38-1,0)),IF(AND($L$711=0,$P$708=0),"",$L$711-1),IF($R$17="Distrato",$E1112,0))),0,YEARFRAC(MAX($P$708*($B1112+IF($R$17="Distrato",$I$38-1,0)),IF(AND($L$711=0,$P$708=0),"",$L$711-1),IF($R$17="Distrato",$E1112,0)),MIN(AN$38,$D$19),$P$20))-SUM($P1112:AM1112)</f>
        <v>#VALUE!</v>
      </c>
      <c r="AO1112" s="446" t="e">
        <f>IF(OR($B1112="",MIN(AO$38,$D$19)&lt;MAX($P$708*($B1112+IF($R$17="Distrato",$I$38-1,0)),IF(AND($L$711=0,$P$708=0),"",$L$711-1),IF($R$17="Distrato",$E1112,0))),0,YEARFRAC(MAX($P$708*($B1112+IF($R$17="Distrato",$I$38-1,0)),IF(AND($L$711=0,$P$708=0),"",$L$711-1),IF($R$17="Distrato",$E1112,0)),MIN(AO$38,$D$19),$P$20))-SUM($P1112:AN1112)</f>
        <v>#VALUE!</v>
      </c>
      <c r="AP1112" s="446" t="e">
        <f>IF(OR($B1112="",MIN(AP$38,$D$19)&lt;MAX($P$708*($B1112+IF($R$17="Distrato",$I$38-1,0)),IF(AND($L$711=0,$P$708=0),"",$L$711-1),IF($R$17="Distrato",$E1112,0))),0,YEARFRAC(MAX($P$708*($B1112+IF($R$17="Distrato",$I$38-1,0)),IF(AND($L$711=0,$P$708=0),"",$L$711-1),IF($R$17="Distrato",$E1112,0)),MIN(AP$38,$D$19),$P$20))-SUM($P1112:AO1112)</f>
        <v>#VALUE!</v>
      </c>
      <c r="AQ1112" s="446" t="e">
        <f>IF(OR($B1112="",MIN(AQ$38,$D$19)&lt;MAX($P$708*($B1112+IF($R$17="Distrato",$I$38-1,0)),IF(AND($L$711=0,$P$708=0),"",$L$711-1),IF($R$17="Distrato",$E1112,0))),0,YEARFRAC(MAX($P$708*($B1112+IF($R$17="Distrato",$I$38-1,0)),IF(AND($L$711=0,$P$708=0),"",$L$711-1),IF($R$17="Distrato",$E1112,0)),MIN(AQ$38,$D$19),$P$20))-SUM($P1112:AP1112)</f>
        <v>#VALUE!</v>
      </c>
      <c r="AR1112" s="446" t="e">
        <f>IF(OR($B1112="",MIN(AR$38,$D$19)&lt;MAX($P$708*($B1112+IF($R$17="Distrato",$I$38-1,0)),IF(AND($L$711=0,$P$708=0),"",$L$711-1),IF($R$17="Distrato",$E1112,0))),0,YEARFRAC(MAX($P$708*($B1112+IF($R$17="Distrato",$I$38-1,0)),IF(AND($L$711=0,$P$708=0),"",$L$711-1),IF($R$17="Distrato",$E1112,0)),MIN(AR$38,$D$19),$P$20))-SUM($P1112:AQ1112)</f>
        <v>#VALUE!</v>
      </c>
      <c r="AS1112" s="446" t="e">
        <f>IF(OR($B1112="",MIN(AS$38,$D$19)&lt;MAX($P$708*($B1112+IF($R$17="Distrato",$I$38-1,0)),IF(AND($L$711=0,$P$708=0),"",$L$711-1),IF($R$17="Distrato",$E1112,0))),0,YEARFRAC(MAX($P$708*($B1112+IF($R$17="Distrato",$I$38-1,0)),IF(AND($L$711=0,$P$708=0),"",$L$711-1),IF($R$17="Distrato",$E1112,0)),MIN(AS$38,$D$19),$P$20))-SUM($P1112:AR1112)</f>
        <v>#VALUE!</v>
      </c>
      <c r="AT1112" s="446" t="e">
        <f>IF(OR($B1112="",MIN(AT$38,$D$19)&lt;MAX($P$708*($B1112+IF($R$17="Distrato",$I$38-1,0)),IF(AND($L$711=0,$P$708=0),"",$L$711-1),IF($R$17="Distrato",$E1112,0))),0,YEARFRAC(MAX($P$708*($B1112+IF($R$17="Distrato",$I$38-1,0)),IF(AND($L$711=0,$P$708=0),"",$L$711-1),IF($R$17="Distrato",$E1112,0)),MIN(AT$38,$D$19),$P$20))-SUM($P1112:AS1112)</f>
        <v>#VALUE!</v>
      </c>
      <c r="AU1112" s="446" t="e">
        <f>IF(OR($B1112="",MIN(AU$38,$D$19)&lt;MAX($P$708*($B1112+IF($R$17="Distrato",$I$38-1,0)),IF(AND($L$711=0,$P$708=0),"",$L$711-1),IF($R$17="Distrato",$E1112,0))),0,YEARFRAC(MAX($P$708*($B1112+IF($R$17="Distrato",$I$38-1,0)),IF(AND($L$711=0,$P$708=0),"",$L$711-1),IF($R$17="Distrato",$E1112,0)),MIN(AU$38,$D$19),$P$20))-SUM($P1112:AT1112)</f>
        <v>#VALUE!</v>
      </c>
      <c r="AV1112" s="446" t="e">
        <f>IF(OR($B1112="",MIN(AV$38,$D$19)&lt;MAX($P$708*($B1112+IF($R$17="Distrato",$I$38-1,0)),IF(AND($L$711=0,$P$708=0),"",$L$711-1),IF($R$17="Distrato",$E1112,0))),0,YEARFRAC(MAX($P$708*($B1112+IF($R$17="Distrato",$I$38-1,0)),IF(AND($L$711=0,$P$708=0),"",$L$711-1),IF($R$17="Distrato",$E1112,0)),MIN(AV$38,$D$19),$P$20))-SUM($P1112:AU1112)</f>
        <v>#VALUE!</v>
      </c>
      <c r="AW1112" s="446" t="e">
        <f>IF(OR($B1112="",MIN(AW$38,$D$19)&lt;MAX($P$708*($B1112+IF($R$17="Distrato",$I$38-1,0)),IF(AND($L$711=0,$P$708=0),"",$L$711-1),IF($R$17="Distrato",$E1112,0))),0,YEARFRAC(MAX($P$708*($B1112+IF($R$17="Distrato",$I$38-1,0)),IF(AND($L$711=0,$P$708=0),"",$L$711-1),IF($R$17="Distrato",$E1112,0)),MIN(AW$38,$D$19),$P$20))-SUM($P1112:AV1112)</f>
        <v>#VALUE!</v>
      </c>
      <c r="AX1112" s="446" t="e">
        <f>IF(OR($B1112="",MIN(AX$38,$D$19)&lt;MAX($P$708*($B1112+IF($R$17="Distrato",$I$38-1,0)),IF(AND($L$711=0,$P$708=0),"",$L$711-1),IF($R$17="Distrato",$E1112,0))),0,YEARFRAC(MAX($P$708*($B1112+IF($R$17="Distrato",$I$38-1,0)),IF(AND($L$711=0,$P$708=0),"",$L$711-1),IF($R$17="Distrato",$E1112,0)),MIN(AX$38,$D$19),$P$20))-SUM($P1112:AW1112)</f>
        <v>#VALUE!</v>
      </c>
      <c r="AY1112" s="446" t="e">
        <f>IF(OR($B1112="",MIN(AY$38,$D$19)&lt;MAX($P$708*($B1112+IF($R$17="Distrato",$I$38-1,0)),IF(AND($L$711=0,$P$708=0),"",$L$711-1),IF($R$17="Distrato",$E1112,0))),0,YEARFRAC(MAX($P$708*($B1112+IF($R$17="Distrato",$I$38-1,0)),IF(AND($L$711=0,$P$708=0),"",$L$711-1),IF($R$17="Distrato",$E1112,0)),MIN(AY$38,$D$19),$P$20))-SUM($P1112:AX1112)</f>
        <v>#VALUE!</v>
      </c>
      <c r="AZ1112" s="446" t="e">
        <f>IF(OR($B1112="",MIN(AZ$38,$D$19)&lt;MAX($P$708*($B1112+IF($R$17="Distrato",$I$38-1,0)),IF(AND($L$711=0,$P$708=0),"",$L$711-1),IF($R$17="Distrato",$E1112,0))),0,YEARFRAC(MAX($P$708*($B1112+IF($R$17="Distrato",$I$38-1,0)),IF(AND($L$711=0,$P$708=0),"",$L$711-1),IF($R$17="Distrato",$E1112,0)),MIN(AZ$38,$D$19),$P$20))-SUM($P1112:AY1112)</f>
        <v>#VALUE!</v>
      </c>
      <c r="BA1112" s="446" t="e">
        <f>IF(OR($B1112="",MIN(BA$38,$D$19)&lt;MAX($P$708*($B1112+IF($R$17="Distrato",$I$38-1,0)),IF(AND($L$711=0,$P$708=0),"",$L$711-1),IF($R$17="Distrato",$E1112,0))),0,YEARFRAC(MAX($P$708*($B1112+IF($R$17="Distrato",$I$38-1,0)),IF(AND($L$711=0,$P$708=0),"",$L$711-1),IF($R$17="Distrato",$E1112,0)),MIN(BA$38,$D$19),$P$20))-SUM($P1112:AZ1112)</f>
        <v>#VALUE!</v>
      </c>
      <c r="BB1112" s="447"/>
    </row>
    <row r="1113" spans="1:54" s="446" customFormat="1" ht="11.25" hidden="1" customHeight="1" x14ac:dyDescent="0.2">
      <c r="A1113" s="235"/>
      <c r="B1113" s="236"/>
      <c r="C1113" s="29" t="str">
        <f>IF(B1113="","",IF($L$709=$BL$25,VLOOKUP(DATE(YEAR($D$19),MONTH($D$19)-1,1),ÍNDICES!$A:$DE,HLOOKUP($BL$25,ÍNDICES!$B$3:$T$4,2)+11)-VLOOKUP(B1113,ÍNDICES!$A:$DE,HLOOKUP($BL$25,ÍNDICES!$B$3:$T$4,2)+11)+1%,IF(C$712=$W$26,$J$35,IF(ISERROR(IF(B1113&gt;$D$19,1,VLOOKUP(DATE(YEAR(B1113),MONTH(B1113)+IF($C$709=$S$23,1,0),1),ÍNDICES!$A:$DE,$Z$709+1))),"",IF(B1113&gt;$D$19,1,VLOOKUP(DATE(YEAR(B1113),MONTH(B1113)+IF($C$709=$S$23,1,0),1),ÍNDICES!$A:$DE,$Z$709+1))))))</f>
        <v/>
      </c>
      <c r="D1113" s="155"/>
      <c r="E1113" s="88"/>
      <c r="F1113" s="88"/>
      <c r="G1113" s="88"/>
      <c r="H1113" s="118"/>
      <c r="I1113" s="182">
        <f t="shared" si="157"/>
        <v>0</v>
      </c>
      <c r="J1113" s="20">
        <f t="shared" ca="1" si="158"/>
        <v>0</v>
      </c>
      <c r="K1113" s="5">
        <f t="shared" ca="1" si="159"/>
        <v>0</v>
      </c>
      <c r="L1113" s="61">
        <f t="shared" ca="1" si="160"/>
        <v>0</v>
      </c>
      <c r="M1113" s="64">
        <f t="shared" si="161"/>
        <v>0</v>
      </c>
      <c r="N1113" s="151"/>
      <c r="O1113" s="5">
        <f t="shared" ca="1" si="162"/>
        <v>0</v>
      </c>
      <c r="P1113" s="446" t="e">
        <f t="shared" si="163"/>
        <v>#VALUE!</v>
      </c>
      <c r="Q1113" s="446" t="e">
        <f>IF(OR($B1113="",MIN(Q$38,$D$19)&lt;MAX($P$708*($B1113+IF($R$17="Distrato",$I$38-1,0)),IF(AND($L$711=0,$P$708=0),"",$L$711-1),IF($R$17="Distrato",$E1113,0))),0,YEARFRAC(MAX($P$708*($B1113+IF($R$17="Distrato",$I$38-1,0)),IF(AND($L$711=0,$P$708=0),"",$L$711-1),IF($R$17="Distrato",$E1113,0)),MIN(Q$38,$D$19),$P$20))-SUM($P1113:P1113)</f>
        <v>#VALUE!</v>
      </c>
      <c r="R1113" s="446" t="e">
        <f>IF(OR($B1113="",MIN(R$38,$D$19)&lt;MAX($P$708*($B1113+IF($R$17="Distrato",$I$38-1,0)),IF(AND($L$711=0,$P$708=0),"",$L$711-1),IF($R$17="Distrato",$E1113,0))),0,YEARFRAC(MAX($P$708*($B1113+IF($R$17="Distrato",$I$38-1,0)),IF(AND($L$711=0,$P$708=0),"",$L$711-1),IF($R$17="Distrato",$E1113,0)),MIN(R$38,$D$19),$P$20))-SUM($P1113:Q1113)</f>
        <v>#VALUE!</v>
      </c>
      <c r="S1113" s="446" t="e">
        <f>IF(OR($B1113="",MIN(S$38,$D$19)&lt;MAX($P$708*($B1113+IF($R$17="Distrato",$I$38-1,0)),IF(AND($L$711=0,$P$708=0),"",$L$711-1),IF($R$17="Distrato",$E1113,0))),0,YEARFRAC(MAX($P$708*($B1113+IF($R$17="Distrato",$I$38-1,0)),IF(AND($L$711=0,$P$708=0),"",$L$711-1),IF($R$17="Distrato",$E1113,0)),MIN(S$38,$D$19),$P$20))-SUM($P1113:R1113)</f>
        <v>#VALUE!</v>
      </c>
      <c r="T1113" s="446" t="e">
        <f>IF(OR($B1113="",MIN(T$38,$D$19)&lt;MAX($P$708*($B1113+IF($R$17="Distrato",$I$38-1,0)),IF(AND($L$711=0,$P$708=0),"",$L$711-1),IF($R$17="Distrato",$E1113,0))),0,YEARFRAC(MAX($P$708*($B1113+IF($R$17="Distrato",$I$38-1,0)),IF(AND($L$711=0,$P$708=0),"",$L$711-1),IF($R$17="Distrato",$E1113,0)),MIN(T$38,$D$19),$P$20))-SUM($P1113:S1113)</f>
        <v>#VALUE!</v>
      </c>
      <c r="U1113" s="446" t="e">
        <f>IF(OR($B1113="",MIN(U$38,$D$19)&lt;MAX($P$708*($B1113+IF($R$17="Distrato",$I$38-1,0)),IF(AND($L$711=0,$P$708=0),"",$L$711-1),IF($R$17="Distrato",$E1113,0))),0,YEARFRAC(MAX($P$708*($B1113+IF($R$17="Distrato",$I$38-1,0)),IF(AND($L$711=0,$P$708=0),"",$L$711-1),IF($R$17="Distrato",$E1113,0)),MIN(U$38,$D$19),$P$20))-SUM($P1113:T1113)</f>
        <v>#VALUE!</v>
      </c>
      <c r="V1113" s="446" t="e">
        <f>IF(OR($B1113="",MIN(V$38,$D$19)&lt;MAX($P$708*($B1113+IF($R$17="Distrato",$I$38-1,0)),IF(AND($L$711=0,$P$708=0),"",$L$711-1),IF($R$17="Distrato",$E1113,0))),0,YEARFRAC(MAX($P$708*($B1113+IF($R$17="Distrato",$I$38-1,0)),IF(AND($L$711=0,$P$708=0),"",$L$711-1),IF($R$17="Distrato",$E1113,0)),MIN(V$38,$D$19),$P$20))-SUM($P1113:U1113)</f>
        <v>#VALUE!</v>
      </c>
      <c r="W1113" s="446" t="e">
        <f>IF(OR($B1113="",MIN(W$38,$D$19)&lt;MAX($P$708*($B1113+IF($R$17="Distrato",$I$38-1,0)),IF(AND($L$711=0,$P$708=0),"",$L$711-1),IF($R$17="Distrato",$E1113,0))),0,YEARFRAC(MAX($P$708*($B1113+IF($R$17="Distrato",$I$38-1,0)),IF(AND($L$711=0,$P$708=0),"",$L$711-1),IF($R$17="Distrato",$E1113,0)),MIN(W$38,$D$19),$P$20))-SUM($P1113:V1113)</f>
        <v>#VALUE!</v>
      </c>
      <c r="X1113" s="446" t="e">
        <f>IF(OR($B1113="",MIN(X$38,$D$19)&lt;MAX($P$708*($B1113+IF($R$17="Distrato",$I$38-1,0)),IF(AND($L$711=0,$P$708=0),"",$L$711-1),IF($R$17="Distrato",$E1113,0))),0,YEARFRAC(MAX($P$708*($B1113+IF($R$17="Distrato",$I$38-1,0)),IF(AND($L$711=0,$P$708=0),"",$L$711-1),IF($R$17="Distrato",$E1113,0)),MIN(X$38,$D$19),$P$20))-SUM($P1113:W1113)</f>
        <v>#VALUE!</v>
      </c>
      <c r="Y1113" s="446" t="e">
        <f>IF(OR($B1113="",MIN(Y$38,$D$19)&lt;MAX($P$708*($B1113+IF($R$17="Distrato",$I$38-1,0)),IF(AND($L$711=0,$P$708=0),"",$L$711-1),IF($R$17="Distrato",$E1113,0))),0,YEARFRAC(MAX($P$708*($B1113+IF($R$17="Distrato",$I$38-1,0)),IF(AND($L$711=0,$P$708=0),"",$L$711-1),IF($R$17="Distrato",$E1113,0)),MIN(Y$38,$D$19),$P$20))-SUM($P1113:X1113)</f>
        <v>#VALUE!</v>
      </c>
      <c r="Z1113" s="446" t="e">
        <f>IF(OR($B1113="",MIN(Z$38,$D$19)&lt;MAX($P$708*($B1113+IF($R$17="Distrato",$I$38-1,0)),IF(AND($L$711=0,$P$708=0),"",$L$711-1),IF($R$17="Distrato",$E1113,0))),0,YEARFRAC(MAX($P$708*($B1113+IF($R$17="Distrato",$I$38-1,0)),IF(AND($L$711=0,$P$708=0),"",$L$711-1),IF($R$17="Distrato",$E1113,0)),MIN(Z$38,$D$19),$P$20))-SUM($P1113:Y1113)</f>
        <v>#VALUE!</v>
      </c>
      <c r="AA1113" s="446" t="e">
        <f>IF(OR($B1113="",MIN(AA$38,$D$19)&lt;MAX($P$708*($B1113+IF($R$17="Distrato",$I$38-1,0)),IF(AND($L$711=0,$P$708=0),"",$L$711-1),IF($R$17="Distrato",$E1113,0))),0,YEARFRAC(MAX($P$708*($B1113+IF($R$17="Distrato",$I$38-1,0)),IF(AND($L$711=0,$P$708=0),"",$L$711-1),IF($R$17="Distrato",$E1113,0)),MIN(AA$38,$D$19),$P$20))-SUM($P1113:Z1113)</f>
        <v>#VALUE!</v>
      </c>
      <c r="AB1113" s="446" t="e">
        <f>IF(OR($B1113="",MIN(AB$38,$D$19)&lt;MAX($P$708*($B1113+IF($R$17="Distrato",$I$38-1,0)),IF(AND($L$711=0,$P$708=0),"",$L$711-1),IF($R$17="Distrato",$E1113,0))),0,YEARFRAC(MAX($P$708*($B1113+IF($R$17="Distrato",$I$38-1,0)),IF(AND($L$711=0,$P$708=0),"",$L$711-1),IF($R$17="Distrato",$E1113,0)),MIN(AB$38,$D$19),$P$20))-SUM($P1113:AA1113)</f>
        <v>#VALUE!</v>
      </c>
      <c r="AC1113" s="446" t="e">
        <f>IF(OR($B1113="",MIN(AC$38,$D$19)&lt;MAX($P$708*($B1113+IF($R$17="Distrato",$I$38-1,0)),IF(AND($L$711=0,$P$708=0),"",$L$711-1),IF($R$17="Distrato",$E1113,0))),0,YEARFRAC(MAX($P$708*($B1113+IF($R$17="Distrato",$I$38-1,0)),IF(AND($L$711=0,$P$708=0),"",$L$711-1),IF($R$17="Distrato",$E1113,0)),MIN(AC$38,$D$19),$P$20))-SUM($P1113:AB1113)</f>
        <v>#VALUE!</v>
      </c>
      <c r="AD1113" s="446" t="e">
        <f>IF(OR($B1113="",MIN(AD$38,$D$19)&lt;MAX($P$708*($B1113+IF($R$17="Distrato",$I$38-1,0)),IF(AND($L$711=0,$P$708=0),"",$L$711-1),IF($R$17="Distrato",$E1113,0))),0,YEARFRAC(MAX($P$708*($B1113+IF($R$17="Distrato",$I$38-1,0)),IF(AND($L$711=0,$P$708=0),"",$L$711-1),IF($R$17="Distrato",$E1113,0)),MIN(AD$38,$D$19),$P$20))-SUM($P1113:AC1113)</f>
        <v>#VALUE!</v>
      </c>
      <c r="AE1113" s="446" t="e">
        <f>IF(OR($B1113="",MIN(AE$38,$D$19)&lt;MAX($P$708*($B1113+IF($R$17="Distrato",$I$38-1,0)),IF(AND($L$711=0,$P$708=0),"",$L$711-1),IF($R$17="Distrato",$E1113,0))),0,YEARFRAC(MAX($P$708*($B1113+IF($R$17="Distrato",$I$38-1,0)),IF(AND($L$711=0,$P$708=0),"",$L$711-1),IF($R$17="Distrato",$E1113,0)),MIN(AE$38,$D$19),$P$20))-SUM($P1113:AD1113)</f>
        <v>#VALUE!</v>
      </c>
      <c r="AF1113" s="446" t="e">
        <f>IF(OR($B1113="",MIN(AF$38,$D$19)&lt;MAX($P$708*($B1113+IF($R$17="Distrato",$I$38-1,0)),IF(AND($L$711=0,$P$708=0),"",$L$711-1),IF($R$17="Distrato",$E1113,0))),0,YEARFRAC(MAX($P$708*($B1113+IF($R$17="Distrato",$I$38-1,0)),IF(AND($L$711=0,$P$708=0),"",$L$711-1),IF($R$17="Distrato",$E1113,0)),MIN(AF$38,$D$19),$P$20))-SUM($P1113:AE1113)</f>
        <v>#VALUE!</v>
      </c>
      <c r="AG1113" s="446" t="e">
        <f>IF(OR($B1113="",MIN(AG$38,$D$19)&lt;MAX($P$708*($B1113+IF($R$17="Distrato",$I$38-1,0)),IF(AND($L$711=0,$P$708=0),"",$L$711-1),IF($R$17="Distrato",$E1113,0))),0,YEARFRAC(MAX($P$708*($B1113+IF($R$17="Distrato",$I$38-1,0)),IF(AND($L$711=0,$P$708=0),"",$L$711-1),IF($R$17="Distrato",$E1113,0)),MIN(AG$38,$D$19),$P$20))-SUM($P1113:AF1113)</f>
        <v>#VALUE!</v>
      </c>
      <c r="AH1113" s="446" t="e">
        <f>IF(OR($B1113="",MIN(AH$38,$D$19)&lt;MAX($P$708*($B1113+IF($R$17="Distrato",$I$38-1,0)),IF(AND($L$711=0,$P$708=0),"",$L$711-1),IF($R$17="Distrato",$E1113,0))),0,YEARFRAC(MAX($P$708*($B1113+IF($R$17="Distrato",$I$38-1,0)),IF(AND($L$711=0,$P$708=0),"",$L$711-1),IF($R$17="Distrato",$E1113,0)),MIN(AH$38,$D$19),$P$20))-SUM($P1113:AG1113)</f>
        <v>#VALUE!</v>
      </c>
      <c r="AI1113" s="446" t="e">
        <f>IF(OR($B1113="",MIN(AI$38,$D$19)&lt;MAX($P$708*($B1113+IF($R$17="Distrato",$I$38-1,0)),IF(AND($L$711=0,$P$708=0),"",$L$711-1),IF($R$17="Distrato",$E1113,0))),0,YEARFRAC(MAX($P$708*($B1113+IF($R$17="Distrato",$I$38-1,0)),IF(AND($L$711=0,$P$708=0),"",$L$711-1),IF($R$17="Distrato",$E1113,0)),MIN(AI$38,$D$19),$P$20))-SUM($P1113:AH1113)</f>
        <v>#VALUE!</v>
      </c>
      <c r="AJ1113" s="446" t="e">
        <f>IF(OR($B1113="",MIN(AJ$38,$D$19)&lt;MAX($P$708*($B1113+IF($R$17="Distrato",$I$38-1,0)),IF(AND($L$711=0,$P$708=0),"",$L$711-1),IF($R$17="Distrato",$E1113,0))),0,YEARFRAC(MAX($P$708*($B1113+IF($R$17="Distrato",$I$38-1,0)),IF(AND($L$711=0,$P$708=0),"",$L$711-1),IF($R$17="Distrato",$E1113,0)),MIN(AJ$38,$D$19),$P$20))-SUM($P1113:AI1113)</f>
        <v>#VALUE!</v>
      </c>
      <c r="AK1113" s="446" t="e">
        <f>IF(OR($B1113="",MIN(AK$38,$D$19)&lt;MAX($P$708*($B1113+IF($R$17="Distrato",$I$38-1,0)),IF(AND($L$711=0,$P$708=0),"",$L$711-1),IF($R$17="Distrato",$E1113,0))),0,YEARFRAC(MAX($P$708*($B1113+IF($R$17="Distrato",$I$38-1,0)),IF(AND($L$711=0,$P$708=0),"",$L$711-1),IF($R$17="Distrato",$E1113,0)),MIN(AK$38,$D$19),$P$20))-SUM($P1113:AJ1113)</f>
        <v>#VALUE!</v>
      </c>
      <c r="AL1113" s="446" t="e">
        <f>IF(OR($B1113="",MIN(AL$38,$D$19)&lt;MAX($P$708*($B1113+IF($R$17="Distrato",$I$38-1,0)),IF(AND($L$711=0,$P$708=0),"",$L$711-1),IF($R$17="Distrato",$E1113,0))),0,YEARFRAC(MAX($P$708*($B1113+IF($R$17="Distrato",$I$38-1,0)),IF(AND($L$711=0,$P$708=0),"",$L$711-1),IF($R$17="Distrato",$E1113,0)),MIN(AL$38,$D$19),$P$20))-SUM($P1113:AK1113)</f>
        <v>#VALUE!</v>
      </c>
      <c r="AM1113" s="446" t="e">
        <f>IF(OR($B1113="",MIN(AM$38,$D$19)&lt;MAX($P$708*($B1113+IF($R$17="Distrato",$I$38-1,0)),IF(AND($L$711=0,$P$708=0),"",$L$711-1),IF($R$17="Distrato",$E1113,0))),0,YEARFRAC(MAX($P$708*($B1113+IF($R$17="Distrato",$I$38-1,0)),IF(AND($L$711=0,$P$708=0),"",$L$711-1),IF($R$17="Distrato",$E1113,0)),MIN(AM$38,$D$19),$P$20))-SUM($P1113:AL1113)</f>
        <v>#VALUE!</v>
      </c>
      <c r="AN1113" s="446" t="e">
        <f>IF(OR($B1113="",MIN(AN$38,$D$19)&lt;MAX($P$708*($B1113+IF($R$17="Distrato",$I$38-1,0)),IF(AND($L$711=0,$P$708=0),"",$L$711-1),IF($R$17="Distrato",$E1113,0))),0,YEARFRAC(MAX($P$708*($B1113+IF($R$17="Distrato",$I$38-1,0)),IF(AND($L$711=0,$P$708=0),"",$L$711-1),IF($R$17="Distrato",$E1113,0)),MIN(AN$38,$D$19),$P$20))-SUM($P1113:AM1113)</f>
        <v>#VALUE!</v>
      </c>
      <c r="AO1113" s="446" t="e">
        <f>IF(OR($B1113="",MIN(AO$38,$D$19)&lt;MAX($P$708*($B1113+IF($R$17="Distrato",$I$38-1,0)),IF(AND($L$711=0,$P$708=0),"",$L$711-1),IF($R$17="Distrato",$E1113,0))),0,YEARFRAC(MAX($P$708*($B1113+IF($R$17="Distrato",$I$38-1,0)),IF(AND($L$711=0,$P$708=0),"",$L$711-1),IF($R$17="Distrato",$E1113,0)),MIN(AO$38,$D$19),$P$20))-SUM($P1113:AN1113)</f>
        <v>#VALUE!</v>
      </c>
      <c r="AP1113" s="446" t="e">
        <f>IF(OR($B1113="",MIN(AP$38,$D$19)&lt;MAX($P$708*($B1113+IF($R$17="Distrato",$I$38-1,0)),IF(AND($L$711=0,$P$708=0),"",$L$711-1),IF($R$17="Distrato",$E1113,0))),0,YEARFRAC(MAX($P$708*($B1113+IF($R$17="Distrato",$I$38-1,0)),IF(AND($L$711=0,$P$708=0),"",$L$711-1),IF($R$17="Distrato",$E1113,0)),MIN(AP$38,$D$19),$P$20))-SUM($P1113:AO1113)</f>
        <v>#VALUE!</v>
      </c>
      <c r="AQ1113" s="446" t="e">
        <f>IF(OR($B1113="",MIN(AQ$38,$D$19)&lt;MAX($P$708*($B1113+IF($R$17="Distrato",$I$38-1,0)),IF(AND($L$711=0,$P$708=0),"",$L$711-1),IF($R$17="Distrato",$E1113,0))),0,YEARFRAC(MAX($P$708*($B1113+IF($R$17="Distrato",$I$38-1,0)),IF(AND($L$711=0,$P$708=0),"",$L$711-1),IF($R$17="Distrato",$E1113,0)),MIN(AQ$38,$D$19),$P$20))-SUM($P1113:AP1113)</f>
        <v>#VALUE!</v>
      </c>
      <c r="AR1113" s="446" t="e">
        <f>IF(OR($B1113="",MIN(AR$38,$D$19)&lt;MAX($P$708*($B1113+IF($R$17="Distrato",$I$38-1,0)),IF(AND($L$711=0,$P$708=0),"",$L$711-1),IF($R$17="Distrato",$E1113,0))),0,YEARFRAC(MAX($P$708*($B1113+IF($R$17="Distrato",$I$38-1,0)),IF(AND($L$711=0,$P$708=0),"",$L$711-1),IF($R$17="Distrato",$E1113,0)),MIN(AR$38,$D$19),$P$20))-SUM($P1113:AQ1113)</f>
        <v>#VALUE!</v>
      </c>
      <c r="AS1113" s="446" t="e">
        <f>IF(OR($B1113="",MIN(AS$38,$D$19)&lt;MAX($P$708*($B1113+IF($R$17="Distrato",$I$38-1,0)),IF(AND($L$711=0,$P$708=0),"",$L$711-1),IF($R$17="Distrato",$E1113,0))),0,YEARFRAC(MAX($P$708*($B1113+IF($R$17="Distrato",$I$38-1,0)),IF(AND($L$711=0,$P$708=0),"",$L$711-1),IF($R$17="Distrato",$E1113,0)),MIN(AS$38,$D$19),$P$20))-SUM($P1113:AR1113)</f>
        <v>#VALUE!</v>
      </c>
      <c r="AT1113" s="446" t="e">
        <f>IF(OR($B1113="",MIN(AT$38,$D$19)&lt;MAX($P$708*($B1113+IF($R$17="Distrato",$I$38-1,0)),IF(AND($L$711=0,$P$708=0),"",$L$711-1),IF($R$17="Distrato",$E1113,0))),0,YEARFRAC(MAX($P$708*($B1113+IF($R$17="Distrato",$I$38-1,0)),IF(AND($L$711=0,$P$708=0),"",$L$711-1),IF($R$17="Distrato",$E1113,0)),MIN(AT$38,$D$19),$P$20))-SUM($P1113:AS1113)</f>
        <v>#VALUE!</v>
      </c>
      <c r="AU1113" s="446" t="e">
        <f>IF(OR($B1113="",MIN(AU$38,$D$19)&lt;MAX($P$708*($B1113+IF($R$17="Distrato",$I$38-1,0)),IF(AND($L$711=0,$P$708=0),"",$L$711-1),IF($R$17="Distrato",$E1113,0))),0,YEARFRAC(MAX($P$708*($B1113+IF($R$17="Distrato",$I$38-1,0)),IF(AND($L$711=0,$P$708=0),"",$L$711-1),IF($R$17="Distrato",$E1113,0)),MIN(AU$38,$D$19),$P$20))-SUM($P1113:AT1113)</f>
        <v>#VALUE!</v>
      </c>
      <c r="AV1113" s="446" t="e">
        <f>IF(OR($B1113="",MIN(AV$38,$D$19)&lt;MAX($P$708*($B1113+IF($R$17="Distrato",$I$38-1,0)),IF(AND($L$711=0,$P$708=0),"",$L$711-1),IF($R$17="Distrato",$E1113,0))),0,YEARFRAC(MAX($P$708*($B1113+IF($R$17="Distrato",$I$38-1,0)),IF(AND($L$711=0,$P$708=0),"",$L$711-1),IF($R$17="Distrato",$E1113,0)),MIN(AV$38,$D$19),$P$20))-SUM($P1113:AU1113)</f>
        <v>#VALUE!</v>
      </c>
      <c r="AW1113" s="446" t="e">
        <f>IF(OR($B1113="",MIN(AW$38,$D$19)&lt;MAX($P$708*($B1113+IF($R$17="Distrato",$I$38-1,0)),IF(AND($L$711=0,$P$708=0),"",$L$711-1),IF($R$17="Distrato",$E1113,0))),0,YEARFRAC(MAX($P$708*($B1113+IF($R$17="Distrato",$I$38-1,0)),IF(AND($L$711=0,$P$708=0),"",$L$711-1),IF($R$17="Distrato",$E1113,0)),MIN(AW$38,$D$19),$P$20))-SUM($P1113:AV1113)</f>
        <v>#VALUE!</v>
      </c>
      <c r="AX1113" s="446" t="e">
        <f>IF(OR($B1113="",MIN(AX$38,$D$19)&lt;MAX($P$708*($B1113+IF($R$17="Distrato",$I$38-1,0)),IF(AND($L$711=0,$P$708=0),"",$L$711-1),IF($R$17="Distrato",$E1113,0))),0,YEARFRAC(MAX($P$708*($B1113+IF($R$17="Distrato",$I$38-1,0)),IF(AND($L$711=0,$P$708=0),"",$L$711-1),IF($R$17="Distrato",$E1113,0)),MIN(AX$38,$D$19),$P$20))-SUM($P1113:AW1113)</f>
        <v>#VALUE!</v>
      </c>
      <c r="AY1113" s="446" t="e">
        <f>IF(OR($B1113="",MIN(AY$38,$D$19)&lt;MAX($P$708*($B1113+IF($R$17="Distrato",$I$38-1,0)),IF(AND($L$711=0,$P$708=0),"",$L$711-1),IF($R$17="Distrato",$E1113,0))),0,YEARFRAC(MAX($P$708*($B1113+IF($R$17="Distrato",$I$38-1,0)),IF(AND($L$711=0,$P$708=0),"",$L$711-1),IF($R$17="Distrato",$E1113,0)),MIN(AY$38,$D$19),$P$20))-SUM($P1113:AX1113)</f>
        <v>#VALUE!</v>
      </c>
      <c r="AZ1113" s="446" t="e">
        <f>IF(OR($B1113="",MIN(AZ$38,$D$19)&lt;MAX($P$708*($B1113+IF($R$17="Distrato",$I$38-1,0)),IF(AND($L$711=0,$P$708=0),"",$L$711-1),IF($R$17="Distrato",$E1113,0))),0,YEARFRAC(MAX($P$708*($B1113+IF($R$17="Distrato",$I$38-1,0)),IF(AND($L$711=0,$P$708=0),"",$L$711-1),IF($R$17="Distrato",$E1113,0)),MIN(AZ$38,$D$19),$P$20))-SUM($P1113:AY1113)</f>
        <v>#VALUE!</v>
      </c>
      <c r="BA1113" s="446" t="e">
        <f>IF(OR($B1113="",MIN(BA$38,$D$19)&lt;MAX($P$708*($B1113+IF($R$17="Distrato",$I$38-1,0)),IF(AND($L$711=0,$P$708=0),"",$L$711-1),IF($R$17="Distrato",$E1113,0))),0,YEARFRAC(MAX($P$708*($B1113+IF($R$17="Distrato",$I$38-1,0)),IF(AND($L$711=0,$P$708=0),"",$L$711-1),IF($R$17="Distrato",$E1113,0)),MIN(BA$38,$D$19),$P$20))-SUM($P1113:AZ1113)</f>
        <v>#VALUE!</v>
      </c>
      <c r="BB1113" s="447"/>
    </row>
    <row r="1114" spans="1:54" s="446" customFormat="1" ht="11.25" hidden="1" customHeight="1" x14ac:dyDescent="0.2">
      <c r="A1114" s="235"/>
      <c r="B1114" s="236"/>
      <c r="C1114" s="29" t="str">
        <f>IF(B1114="","",IF($L$709=$BL$25,VLOOKUP(DATE(YEAR($D$19),MONTH($D$19)-1,1),ÍNDICES!$A:$DE,HLOOKUP($BL$25,ÍNDICES!$B$3:$T$4,2)+11)-VLOOKUP(B1114,ÍNDICES!$A:$DE,HLOOKUP($BL$25,ÍNDICES!$B$3:$T$4,2)+11)+1%,IF(C$712=$W$26,$J$35,IF(ISERROR(IF(B1114&gt;$D$19,1,VLOOKUP(DATE(YEAR(B1114),MONTH(B1114)+IF($C$709=$S$23,1,0),1),ÍNDICES!$A:$DE,$Z$709+1))),"",IF(B1114&gt;$D$19,1,VLOOKUP(DATE(YEAR(B1114),MONTH(B1114)+IF($C$709=$S$23,1,0),1),ÍNDICES!$A:$DE,$Z$709+1))))))</f>
        <v/>
      </c>
      <c r="D1114" s="155"/>
      <c r="E1114" s="88"/>
      <c r="F1114" s="88"/>
      <c r="G1114" s="88"/>
      <c r="H1114" s="118"/>
      <c r="I1114" s="182">
        <f t="shared" si="157"/>
        <v>0</v>
      </c>
      <c r="J1114" s="20">
        <f t="shared" ca="1" si="158"/>
        <v>0</v>
      </c>
      <c r="K1114" s="5">
        <f t="shared" ca="1" si="159"/>
        <v>0</v>
      </c>
      <c r="L1114" s="61">
        <f t="shared" ca="1" si="160"/>
        <v>0</v>
      </c>
      <c r="M1114" s="64">
        <f t="shared" si="161"/>
        <v>0</v>
      </c>
      <c r="N1114" s="151"/>
      <c r="O1114" s="5">
        <f t="shared" ca="1" si="162"/>
        <v>0</v>
      </c>
      <c r="P1114" s="446" t="e">
        <f t="shared" si="163"/>
        <v>#VALUE!</v>
      </c>
      <c r="Q1114" s="446" t="e">
        <f>IF(OR($B1114="",MIN(Q$38,$D$19)&lt;MAX($P$708*($B1114+IF($R$17="Distrato",$I$38-1,0)),IF(AND($L$711=0,$P$708=0),"",$L$711-1),IF($R$17="Distrato",$E1114,0))),0,YEARFRAC(MAX($P$708*($B1114+IF($R$17="Distrato",$I$38-1,0)),IF(AND($L$711=0,$P$708=0),"",$L$711-1),IF($R$17="Distrato",$E1114,0)),MIN(Q$38,$D$19),$P$20))-SUM($P1114:P1114)</f>
        <v>#VALUE!</v>
      </c>
      <c r="R1114" s="446" t="e">
        <f>IF(OR($B1114="",MIN(R$38,$D$19)&lt;MAX($P$708*($B1114+IF($R$17="Distrato",$I$38-1,0)),IF(AND($L$711=0,$P$708=0),"",$L$711-1),IF($R$17="Distrato",$E1114,0))),0,YEARFRAC(MAX($P$708*($B1114+IF($R$17="Distrato",$I$38-1,0)),IF(AND($L$711=0,$P$708=0),"",$L$711-1),IF($R$17="Distrato",$E1114,0)),MIN(R$38,$D$19),$P$20))-SUM($P1114:Q1114)</f>
        <v>#VALUE!</v>
      </c>
      <c r="S1114" s="446" t="e">
        <f>IF(OR($B1114="",MIN(S$38,$D$19)&lt;MAX($P$708*($B1114+IF($R$17="Distrato",$I$38-1,0)),IF(AND($L$711=0,$P$708=0),"",$L$711-1),IF($R$17="Distrato",$E1114,0))),0,YEARFRAC(MAX($P$708*($B1114+IF($R$17="Distrato",$I$38-1,0)),IF(AND($L$711=0,$P$708=0),"",$L$711-1),IF($R$17="Distrato",$E1114,0)),MIN(S$38,$D$19),$P$20))-SUM($P1114:R1114)</f>
        <v>#VALUE!</v>
      </c>
      <c r="T1114" s="446" t="e">
        <f>IF(OR($B1114="",MIN(T$38,$D$19)&lt;MAX($P$708*($B1114+IF($R$17="Distrato",$I$38-1,0)),IF(AND($L$711=0,$P$708=0),"",$L$711-1),IF($R$17="Distrato",$E1114,0))),0,YEARFRAC(MAX($P$708*($B1114+IF($R$17="Distrato",$I$38-1,0)),IF(AND($L$711=0,$P$708=0),"",$L$711-1),IF($R$17="Distrato",$E1114,0)),MIN(T$38,$D$19),$P$20))-SUM($P1114:S1114)</f>
        <v>#VALUE!</v>
      </c>
      <c r="U1114" s="446" t="e">
        <f>IF(OR($B1114="",MIN(U$38,$D$19)&lt;MAX($P$708*($B1114+IF($R$17="Distrato",$I$38-1,0)),IF(AND($L$711=0,$P$708=0),"",$L$711-1),IF($R$17="Distrato",$E1114,0))),0,YEARFRAC(MAX($P$708*($B1114+IF($R$17="Distrato",$I$38-1,0)),IF(AND($L$711=0,$P$708=0),"",$L$711-1),IF($R$17="Distrato",$E1114,0)),MIN(U$38,$D$19),$P$20))-SUM($P1114:T1114)</f>
        <v>#VALUE!</v>
      </c>
      <c r="V1114" s="446" t="e">
        <f>IF(OR($B1114="",MIN(V$38,$D$19)&lt;MAX($P$708*($B1114+IF($R$17="Distrato",$I$38-1,0)),IF(AND($L$711=0,$P$708=0),"",$L$711-1),IF($R$17="Distrato",$E1114,0))),0,YEARFRAC(MAX($P$708*($B1114+IF($R$17="Distrato",$I$38-1,0)),IF(AND($L$711=0,$P$708=0),"",$L$711-1),IF($R$17="Distrato",$E1114,0)),MIN(V$38,$D$19),$P$20))-SUM($P1114:U1114)</f>
        <v>#VALUE!</v>
      </c>
      <c r="W1114" s="446" t="e">
        <f>IF(OR($B1114="",MIN(W$38,$D$19)&lt;MAX($P$708*($B1114+IF($R$17="Distrato",$I$38-1,0)),IF(AND($L$711=0,$P$708=0),"",$L$711-1),IF($R$17="Distrato",$E1114,0))),0,YEARFRAC(MAX($P$708*($B1114+IF($R$17="Distrato",$I$38-1,0)),IF(AND($L$711=0,$P$708=0),"",$L$711-1),IF($R$17="Distrato",$E1114,0)),MIN(W$38,$D$19),$P$20))-SUM($P1114:V1114)</f>
        <v>#VALUE!</v>
      </c>
      <c r="X1114" s="446" t="e">
        <f>IF(OR($B1114="",MIN(X$38,$D$19)&lt;MAX($P$708*($B1114+IF($R$17="Distrato",$I$38-1,0)),IF(AND($L$711=0,$P$708=0),"",$L$711-1),IF($R$17="Distrato",$E1114,0))),0,YEARFRAC(MAX($P$708*($B1114+IF($R$17="Distrato",$I$38-1,0)),IF(AND($L$711=0,$P$708=0),"",$L$711-1),IF($R$17="Distrato",$E1114,0)),MIN(X$38,$D$19),$P$20))-SUM($P1114:W1114)</f>
        <v>#VALUE!</v>
      </c>
      <c r="Y1114" s="446" t="e">
        <f>IF(OR($B1114="",MIN(Y$38,$D$19)&lt;MAX($P$708*($B1114+IF($R$17="Distrato",$I$38-1,0)),IF(AND($L$711=0,$P$708=0),"",$L$711-1),IF($R$17="Distrato",$E1114,0))),0,YEARFRAC(MAX($P$708*($B1114+IF($R$17="Distrato",$I$38-1,0)),IF(AND($L$711=0,$P$708=0),"",$L$711-1),IF($R$17="Distrato",$E1114,0)),MIN(Y$38,$D$19),$P$20))-SUM($P1114:X1114)</f>
        <v>#VALUE!</v>
      </c>
      <c r="Z1114" s="446" t="e">
        <f>IF(OR($B1114="",MIN(Z$38,$D$19)&lt;MAX($P$708*($B1114+IF($R$17="Distrato",$I$38-1,0)),IF(AND($L$711=0,$P$708=0),"",$L$711-1),IF($R$17="Distrato",$E1114,0))),0,YEARFRAC(MAX($P$708*($B1114+IF($R$17="Distrato",$I$38-1,0)),IF(AND($L$711=0,$P$708=0),"",$L$711-1),IF($R$17="Distrato",$E1114,0)),MIN(Z$38,$D$19),$P$20))-SUM($P1114:Y1114)</f>
        <v>#VALUE!</v>
      </c>
      <c r="AA1114" s="446" t="e">
        <f>IF(OR($B1114="",MIN(AA$38,$D$19)&lt;MAX($P$708*($B1114+IF($R$17="Distrato",$I$38-1,0)),IF(AND($L$711=0,$P$708=0),"",$L$711-1),IF($R$17="Distrato",$E1114,0))),0,YEARFRAC(MAX($P$708*($B1114+IF($R$17="Distrato",$I$38-1,0)),IF(AND($L$711=0,$P$708=0),"",$L$711-1),IF($R$17="Distrato",$E1114,0)),MIN(AA$38,$D$19),$P$20))-SUM($P1114:Z1114)</f>
        <v>#VALUE!</v>
      </c>
      <c r="AB1114" s="446" t="e">
        <f>IF(OR($B1114="",MIN(AB$38,$D$19)&lt;MAX($P$708*($B1114+IF($R$17="Distrato",$I$38-1,0)),IF(AND($L$711=0,$P$708=0),"",$L$711-1),IF($R$17="Distrato",$E1114,0))),0,YEARFRAC(MAX($P$708*($B1114+IF($R$17="Distrato",$I$38-1,0)),IF(AND($L$711=0,$P$708=0),"",$L$711-1),IF($R$17="Distrato",$E1114,0)),MIN(AB$38,$D$19),$P$20))-SUM($P1114:AA1114)</f>
        <v>#VALUE!</v>
      </c>
      <c r="AC1114" s="446" t="e">
        <f>IF(OR($B1114="",MIN(AC$38,$D$19)&lt;MAX($P$708*($B1114+IF($R$17="Distrato",$I$38-1,0)),IF(AND($L$711=0,$P$708=0),"",$L$711-1),IF($R$17="Distrato",$E1114,0))),0,YEARFRAC(MAX($P$708*($B1114+IF($R$17="Distrato",$I$38-1,0)),IF(AND($L$711=0,$P$708=0),"",$L$711-1),IF($R$17="Distrato",$E1114,0)),MIN(AC$38,$D$19),$P$20))-SUM($P1114:AB1114)</f>
        <v>#VALUE!</v>
      </c>
      <c r="AD1114" s="446" t="e">
        <f>IF(OR($B1114="",MIN(AD$38,$D$19)&lt;MAX($P$708*($B1114+IF($R$17="Distrato",$I$38-1,0)),IF(AND($L$711=0,$P$708=0),"",$L$711-1),IF($R$17="Distrato",$E1114,0))),0,YEARFRAC(MAX($P$708*($B1114+IF($R$17="Distrato",$I$38-1,0)),IF(AND($L$711=0,$P$708=0),"",$L$711-1),IF($R$17="Distrato",$E1114,0)),MIN(AD$38,$D$19),$P$20))-SUM($P1114:AC1114)</f>
        <v>#VALUE!</v>
      </c>
      <c r="AE1114" s="446" t="e">
        <f>IF(OR($B1114="",MIN(AE$38,$D$19)&lt;MAX($P$708*($B1114+IF($R$17="Distrato",$I$38-1,0)),IF(AND($L$711=0,$P$708=0),"",$L$711-1),IF($R$17="Distrato",$E1114,0))),0,YEARFRAC(MAX($P$708*($B1114+IF($R$17="Distrato",$I$38-1,0)),IF(AND($L$711=0,$P$708=0),"",$L$711-1),IF($R$17="Distrato",$E1114,0)),MIN(AE$38,$D$19),$P$20))-SUM($P1114:AD1114)</f>
        <v>#VALUE!</v>
      </c>
      <c r="AF1114" s="446" t="e">
        <f>IF(OR($B1114="",MIN(AF$38,$D$19)&lt;MAX($P$708*($B1114+IF($R$17="Distrato",$I$38-1,0)),IF(AND($L$711=0,$P$708=0),"",$L$711-1),IF($R$17="Distrato",$E1114,0))),0,YEARFRAC(MAX($P$708*($B1114+IF($R$17="Distrato",$I$38-1,0)),IF(AND($L$711=0,$P$708=0),"",$L$711-1),IF($R$17="Distrato",$E1114,0)),MIN(AF$38,$D$19),$P$20))-SUM($P1114:AE1114)</f>
        <v>#VALUE!</v>
      </c>
      <c r="AG1114" s="446" t="e">
        <f>IF(OR($B1114="",MIN(AG$38,$D$19)&lt;MAX($P$708*($B1114+IF($R$17="Distrato",$I$38-1,0)),IF(AND($L$711=0,$P$708=0),"",$L$711-1),IF($R$17="Distrato",$E1114,0))),0,YEARFRAC(MAX($P$708*($B1114+IF($R$17="Distrato",$I$38-1,0)),IF(AND($L$711=0,$P$708=0),"",$L$711-1),IF($R$17="Distrato",$E1114,0)),MIN(AG$38,$D$19),$P$20))-SUM($P1114:AF1114)</f>
        <v>#VALUE!</v>
      </c>
      <c r="AH1114" s="446" t="e">
        <f>IF(OR($B1114="",MIN(AH$38,$D$19)&lt;MAX($P$708*($B1114+IF($R$17="Distrato",$I$38-1,0)),IF(AND($L$711=0,$P$708=0),"",$L$711-1),IF($R$17="Distrato",$E1114,0))),0,YEARFRAC(MAX($P$708*($B1114+IF($R$17="Distrato",$I$38-1,0)),IF(AND($L$711=0,$P$708=0),"",$L$711-1),IF($R$17="Distrato",$E1114,0)),MIN(AH$38,$D$19),$P$20))-SUM($P1114:AG1114)</f>
        <v>#VALUE!</v>
      </c>
      <c r="AI1114" s="446" t="e">
        <f>IF(OR($B1114="",MIN(AI$38,$D$19)&lt;MAX($P$708*($B1114+IF($R$17="Distrato",$I$38-1,0)),IF(AND($L$711=0,$P$708=0),"",$L$711-1),IF($R$17="Distrato",$E1114,0))),0,YEARFRAC(MAX($P$708*($B1114+IF($R$17="Distrato",$I$38-1,0)),IF(AND($L$711=0,$P$708=0),"",$L$711-1),IF($R$17="Distrato",$E1114,0)),MIN(AI$38,$D$19),$P$20))-SUM($P1114:AH1114)</f>
        <v>#VALUE!</v>
      </c>
      <c r="AJ1114" s="446" t="e">
        <f>IF(OR($B1114="",MIN(AJ$38,$D$19)&lt;MAX($P$708*($B1114+IF($R$17="Distrato",$I$38-1,0)),IF(AND($L$711=0,$P$708=0),"",$L$711-1),IF($R$17="Distrato",$E1114,0))),0,YEARFRAC(MAX($P$708*($B1114+IF($R$17="Distrato",$I$38-1,0)),IF(AND($L$711=0,$P$708=0),"",$L$711-1),IF($R$17="Distrato",$E1114,0)),MIN(AJ$38,$D$19),$P$20))-SUM($P1114:AI1114)</f>
        <v>#VALUE!</v>
      </c>
      <c r="AK1114" s="446" t="e">
        <f>IF(OR($B1114="",MIN(AK$38,$D$19)&lt;MAX($P$708*($B1114+IF($R$17="Distrato",$I$38-1,0)),IF(AND($L$711=0,$P$708=0),"",$L$711-1),IF($R$17="Distrato",$E1114,0))),0,YEARFRAC(MAX($P$708*($B1114+IF($R$17="Distrato",$I$38-1,0)),IF(AND($L$711=0,$P$708=0),"",$L$711-1),IF($R$17="Distrato",$E1114,0)),MIN(AK$38,$D$19),$P$20))-SUM($P1114:AJ1114)</f>
        <v>#VALUE!</v>
      </c>
      <c r="AL1114" s="446" t="e">
        <f>IF(OR($B1114="",MIN(AL$38,$D$19)&lt;MAX($P$708*($B1114+IF($R$17="Distrato",$I$38-1,0)),IF(AND($L$711=0,$P$708=0),"",$L$711-1),IF($R$17="Distrato",$E1114,0))),0,YEARFRAC(MAX($P$708*($B1114+IF($R$17="Distrato",$I$38-1,0)),IF(AND($L$711=0,$P$708=0),"",$L$711-1),IF($R$17="Distrato",$E1114,0)),MIN(AL$38,$D$19),$P$20))-SUM($P1114:AK1114)</f>
        <v>#VALUE!</v>
      </c>
      <c r="AM1114" s="446" t="e">
        <f>IF(OR($B1114="",MIN(AM$38,$D$19)&lt;MAX($P$708*($B1114+IF($R$17="Distrato",$I$38-1,0)),IF(AND($L$711=0,$P$708=0),"",$L$711-1),IF($R$17="Distrato",$E1114,0))),0,YEARFRAC(MAX($P$708*($B1114+IF($R$17="Distrato",$I$38-1,0)),IF(AND($L$711=0,$P$708=0),"",$L$711-1),IF($R$17="Distrato",$E1114,0)),MIN(AM$38,$D$19),$P$20))-SUM($P1114:AL1114)</f>
        <v>#VALUE!</v>
      </c>
      <c r="AN1114" s="446" t="e">
        <f>IF(OR($B1114="",MIN(AN$38,$D$19)&lt;MAX($P$708*($B1114+IF($R$17="Distrato",$I$38-1,0)),IF(AND($L$711=0,$P$708=0),"",$L$711-1),IF($R$17="Distrato",$E1114,0))),0,YEARFRAC(MAX($P$708*($B1114+IF($R$17="Distrato",$I$38-1,0)),IF(AND($L$711=0,$P$708=0),"",$L$711-1),IF($R$17="Distrato",$E1114,0)),MIN(AN$38,$D$19),$P$20))-SUM($P1114:AM1114)</f>
        <v>#VALUE!</v>
      </c>
      <c r="AO1114" s="446" t="e">
        <f>IF(OR($B1114="",MIN(AO$38,$D$19)&lt;MAX($P$708*($B1114+IF($R$17="Distrato",$I$38-1,0)),IF(AND($L$711=0,$P$708=0),"",$L$711-1),IF($R$17="Distrato",$E1114,0))),0,YEARFRAC(MAX($P$708*($B1114+IF($R$17="Distrato",$I$38-1,0)),IF(AND($L$711=0,$P$708=0),"",$L$711-1),IF($R$17="Distrato",$E1114,0)),MIN(AO$38,$D$19),$P$20))-SUM($P1114:AN1114)</f>
        <v>#VALUE!</v>
      </c>
      <c r="AP1114" s="446" t="e">
        <f>IF(OR($B1114="",MIN(AP$38,$D$19)&lt;MAX($P$708*($B1114+IF($R$17="Distrato",$I$38-1,0)),IF(AND($L$711=0,$P$708=0),"",$L$711-1),IF($R$17="Distrato",$E1114,0))),0,YEARFRAC(MAX($P$708*($B1114+IF($R$17="Distrato",$I$38-1,0)),IF(AND($L$711=0,$P$708=0),"",$L$711-1),IF($R$17="Distrato",$E1114,0)),MIN(AP$38,$D$19),$P$20))-SUM($P1114:AO1114)</f>
        <v>#VALUE!</v>
      </c>
      <c r="AQ1114" s="446" t="e">
        <f>IF(OR($B1114="",MIN(AQ$38,$D$19)&lt;MAX($P$708*($B1114+IF($R$17="Distrato",$I$38-1,0)),IF(AND($L$711=0,$P$708=0),"",$L$711-1),IF($R$17="Distrato",$E1114,0))),0,YEARFRAC(MAX($P$708*($B1114+IF($R$17="Distrato",$I$38-1,0)),IF(AND($L$711=0,$P$708=0),"",$L$711-1),IF($R$17="Distrato",$E1114,0)),MIN(AQ$38,$D$19),$P$20))-SUM($P1114:AP1114)</f>
        <v>#VALUE!</v>
      </c>
      <c r="AR1114" s="446" t="e">
        <f>IF(OR($B1114="",MIN(AR$38,$D$19)&lt;MAX($P$708*($B1114+IF($R$17="Distrato",$I$38-1,0)),IF(AND($L$711=0,$P$708=0),"",$L$711-1),IF($R$17="Distrato",$E1114,0))),0,YEARFRAC(MAX($P$708*($B1114+IF($R$17="Distrato",$I$38-1,0)),IF(AND($L$711=0,$P$708=0),"",$L$711-1),IF($R$17="Distrato",$E1114,0)),MIN(AR$38,$D$19),$P$20))-SUM($P1114:AQ1114)</f>
        <v>#VALUE!</v>
      </c>
      <c r="AS1114" s="446" t="e">
        <f>IF(OR($B1114="",MIN(AS$38,$D$19)&lt;MAX($P$708*($B1114+IF($R$17="Distrato",$I$38-1,0)),IF(AND($L$711=0,$P$708=0),"",$L$711-1),IF($R$17="Distrato",$E1114,0))),0,YEARFRAC(MAX($P$708*($B1114+IF($R$17="Distrato",$I$38-1,0)),IF(AND($L$711=0,$P$708=0),"",$L$711-1),IF($R$17="Distrato",$E1114,0)),MIN(AS$38,$D$19),$P$20))-SUM($P1114:AR1114)</f>
        <v>#VALUE!</v>
      </c>
      <c r="AT1114" s="446" t="e">
        <f>IF(OR($B1114="",MIN(AT$38,$D$19)&lt;MAX($P$708*($B1114+IF($R$17="Distrato",$I$38-1,0)),IF(AND($L$711=0,$P$708=0),"",$L$711-1),IF($R$17="Distrato",$E1114,0))),0,YEARFRAC(MAX($P$708*($B1114+IF($R$17="Distrato",$I$38-1,0)),IF(AND($L$711=0,$P$708=0),"",$L$711-1),IF($R$17="Distrato",$E1114,0)),MIN(AT$38,$D$19),$P$20))-SUM($P1114:AS1114)</f>
        <v>#VALUE!</v>
      </c>
      <c r="AU1114" s="446" t="e">
        <f>IF(OR($B1114="",MIN(AU$38,$D$19)&lt;MAX($P$708*($B1114+IF($R$17="Distrato",$I$38-1,0)),IF(AND($L$711=0,$P$708=0),"",$L$711-1),IF($R$17="Distrato",$E1114,0))),0,YEARFRAC(MAX($P$708*($B1114+IF($R$17="Distrato",$I$38-1,0)),IF(AND($L$711=0,$P$708=0),"",$L$711-1),IF($R$17="Distrato",$E1114,0)),MIN(AU$38,$D$19),$P$20))-SUM($P1114:AT1114)</f>
        <v>#VALUE!</v>
      </c>
      <c r="AV1114" s="446" t="e">
        <f>IF(OR($B1114="",MIN(AV$38,$D$19)&lt;MAX($P$708*($B1114+IF($R$17="Distrato",$I$38-1,0)),IF(AND($L$711=0,$P$708=0),"",$L$711-1),IF($R$17="Distrato",$E1114,0))),0,YEARFRAC(MAX($P$708*($B1114+IF($R$17="Distrato",$I$38-1,0)),IF(AND($L$711=0,$P$708=0),"",$L$711-1),IF($R$17="Distrato",$E1114,0)),MIN(AV$38,$D$19),$P$20))-SUM($P1114:AU1114)</f>
        <v>#VALUE!</v>
      </c>
      <c r="AW1114" s="446" t="e">
        <f>IF(OR($B1114="",MIN(AW$38,$D$19)&lt;MAX($P$708*($B1114+IF($R$17="Distrato",$I$38-1,0)),IF(AND($L$711=0,$P$708=0),"",$L$711-1),IF($R$17="Distrato",$E1114,0))),0,YEARFRAC(MAX($P$708*($B1114+IF($R$17="Distrato",$I$38-1,0)),IF(AND($L$711=0,$P$708=0),"",$L$711-1),IF($R$17="Distrato",$E1114,0)),MIN(AW$38,$D$19),$P$20))-SUM($P1114:AV1114)</f>
        <v>#VALUE!</v>
      </c>
      <c r="AX1114" s="446" t="e">
        <f>IF(OR($B1114="",MIN(AX$38,$D$19)&lt;MAX($P$708*($B1114+IF($R$17="Distrato",$I$38-1,0)),IF(AND($L$711=0,$P$708=0),"",$L$711-1),IF($R$17="Distrato",$E1114,0))),0,YEARFRAC(MAX($P$708*($B1114+IF($R$17="Distrato",$I$38-1,0)),IF(AND($L$711=0,$P$708=0),"",$L$711-1),IF($R$17="Distrato",$E1114,0)),MIN(AX$38,$D$19),$P$20))-SUM($P1114:AW1114)</f>
        <v>#VALUE!</v>
      </c>
      <c r="AY1114" s="446" t="e">
        <f>IF(OR($B1114="",MIN(AY$38,$D$19)&lt;MAX($P$708*($B1114+IF($R$17="Distrato",$I$38-1,0)),IF(AND($L$711=0,$P$708=0),"",$L$711-1),IF($R$17="Distrato",$E1114,0))),0,YEARFRAC(MAX($P$708*($B1114+IF($R$17="Distrato",$I$38-1,0)),IF(AND($L$711=0,$P$708=0),"",$L$711-1),IF($R$17="Distrato",$E1114,0)),MIN(AY$38,$D$19),$P$20))-SUM($P1114:AX1114)</f>
        <v>#VALUE!</v>
      </c>
      <c r="AZ1114" s="446" t="e">
        <f>IF(OR($B1114="",MIN(AZ$38,$D$19)&lt;MAX($P$708*($B1114+IF($R$17="Distrato",$I$38-1,0)),IF(AND($L$711=0,$P$708=0),"",$L$711-1),IF($R$17="Distrato",$E1114,0))),0,YEARFRAC(MAX($P$708*($B1114+IF($R$17="Distrato",$I$38-1,0)),IF(AND($L$711=0,$P$708=0),"",$L$711-1),IF($R$17="Distrato",$E1114,0)),MIN(AZ$38,$D$19),$P$20))-SUM($P1114:AY1114)</f>
        <v>#VALUE!</v>
      </c>
      <c r="BA1114" s="446" t="e">
        <f>IF(OR($B1114="",MIN(BA$38,$D$19)&lt;MAX($P$708*($B1114+IF($R$17="Distrato",$I$38-1,0)),IF(AND($L$711=0,$P$708=0),"",$L$711-1),IF($R$17="Distrato",$E1114,0))),0,YEARFRAC(MAX($P$708*($B1114+IF($R$17="Distrato",$I$38-1,0)),IF(AND($L$711=0,$P$708=0),"",$L$711-1),IF($R$17="Distrato",$E1114,0)),MIN(BA$38,$D$19),$P$20))-SUM($P1114:AZ1114)</f>
        <v>#VALUE!</v>
      </c>
      <c r="BB1114" s="447"/>
    </row>
    <row r="1115" spans="1:54" s="446" customFormat="1" ht="11.25" hidden="1" customHeight="1" x14ac:dyDescent="0.2">
      <c r="A1115" s="235"/>
      <c r="B1115" s="236"/>
      <c r="C1115" s="29" t="str">
        <f>IF(B1115="","",IF($L$709=$BL$25,VLOOKUP(DATE(YEAR($D$19),MONTH($D$19)-1,1),ÍNDICES!$A:$DE,HLOOKUP($BL$25,ÍNDICES!$B$3:$T$4,2)+11)-VLOOKUP(B1115,ÍNDICES!$A:$DE,HLOOKUP($BL$25,ÍNDICES!$B$3:$T$4,2)+11)+1%,IF(C$712=$W$26,$J$35,IF(ISERROR(IF(B1115&gt;$D$19,1,VLOOKUP(DATE(YEAR(B1115),MONTH(B1115)+IF($C$709=$S$23,1,0),1),ÍNDICES!$A:$DE,$Z$709+1))),"",IF(B1115&gt;$D$19,1,VLOOKUP(DATE(YEAR(B1115),MONTH(B1115)+IF($C$709=$S$23,1,0),1),ÍNDICES!$A:$DE,$Z$709+1))))))</f>
        <v/>
      </c>
      <c r="D1115" s="155"/>
      <c r="E1115" s="88"/>
      <c r="F1115" s="88"/>
      <c r="G1115" s="88"/>
      <c r="H1115" s="118"/>
      <c r="I1115" s="182">
        <f t="shared" si="157"/>
        <v>0</v>
      </c>
      <c r="J1115" s="20">
        <f t="shared" ca="1" si="158"/>
        <v>0</v>
      </c>
      <c r="K1115" s="5">
        <f t="shared" ca="1" si="159"/>
        <v>0</v>
      </c>
      <c r="L1115" s="61">
        <f t="shared" ca="1" si="160"/>
        <v>0</v>
      </c>
      <c r="M1115" s="64">
        <f t="shared" si="161"/>
        <v>0</v>
      </c>
      <c r="N1115" s="151"/>
      <c r="O1115" s="5">
        <f t="shared" ca="1" si="162"/>
        <v>0</v>
      </c>
      <c r="P1115" s="446" t="e">
        <f t="shared" si="163"/>
        <v>#VALUE!</v>
      </c>
      <c r="Q1115" s="446" t="e">
        <f>IF(OR($B1115="",MIN(Q$38,$D$19)&lt;MAX($P$708*($B1115+IF($R$17="Distrato",$I$38-1,0)),IF(AND($L$711=0,$P$708=0),"",$L$711-1),IF($R$17="Distrato",$E1115,0))),0,YEARFRAC(MAX($P$708*($B1115+IF($R$17="Distrato",$I$38-1,0)),IF(AND($L$711=0,$P$708=0),"",$L$711-1),IF($R$17="Distrato",$E1115,0)),MIN(Q$38,$D$19),$P$20))-SUM($P1115:P1115)</f>
        <v>#VALUE!</v>
      </c>
      <c r="R1115" s="446" t="e">
        <f>IF(OR($B1115="",MIN(R$38,$D$19)&lt;MAX($P$708*($B1115+IF($R$17="Distrato",$I$38-1,0)),IF(AND($L$711=0,$P$708=0),"",$L$711-1),IF($R$17="Distrato",$E1115,0))),0,YEARFRAC(MAX($P$708*($B1115+IF($R$17="Distrato",$I$38-1,0)),IF(AND($L$711=0,$P$708=0),"",$L$711-1),IF($R$17="Distrato",$E1115,0)),MIN(R$38,$D$19),$P$20))-SUM($P1115:Q1115)</f>
        <v>#VALUE!</v>
      </c>
      <c r="S1115" s="446" t="e">
        <f>IF(OR($B1115="",MIN(S$38,$D$19)&lt;MAX($P$708*($B1115+IF($R$17="Distrato",$I$38-1,0)),IF(AND($L$711=0,$P$708=0),"",$L$711-1),IF($R$17="Distrato",$E1115,0))),0,YEARFRAC(MAX($P$708*($B1115+IF($R$17="Distrato",$I$38-1,0)),IF(AND($L$711=0,$P$708=0),"",$L$711-1),IF($R$17="Distrato",$E1115,0)),MIN(S$38,$D$19),$P$20))-SUM($P1115:R1115)</f>
        <v>#VALUE!</v>
      </c>
      <c r="T1115" s="446" t="e">
        <f>IF(OR($B1115="",MIN(T$38,$D$19)&lt;MAX($P$708*($B1115+IF($R$17="Distrato",$I$38-1,0)),IF(AND($L$711=0,$P$708=0),"",$L$711-1),IF($R$17="Distrato",$E1115,0))),0,YEARFRAC(MAX($P$708*($B1115+IF($R$17="Distrato",$I$38-1,0)),IF(AND($L$711=0,$P$708=0),"",$L$711-1),IF($R$17="Distrato",$E1115,0)),MIN(T$38,$D$19),$P$20))-SUM($P1115:S1115)</f>
        <v>#VALUE!</v>
      </c>
      <c r="U1115" s="446" t="e">
        <f>IF(OR($B1115="",MIN(U$38,$D$19)&lt;MAX($P$708*($B1115+IF($R$17="Distrato",$I$38-1,0)),IF(AND($L$711=0,$P$708=0),"",$L$711-1),IF($R$17="Distrato",$E1115,0))),0,YEARFRAC(MAX($P$708*($B1115+IF($R$17="Distrato",$I$38-1,0)),IF(AND($L$711=0,$P$708=0),"",$L$711-1),IF($R$17="Distrato",$E1115,0)),MIN(U$38,$D$19),$P$20))-SUM($P1115:T1115)</f>
        <v>#VALUE!</v>
      </c>
      <c r="V1115" s="446" t="e">
        <f>IF(OR($B1115="",MIN(V$38,$D$19)&lt;MAX($P$708*($B1115+IF($R$17="Distrato",$I$38-1,0)),IF(AND($L$711=0,$P$708=0),"",$L$711-1),IF($R$17="Distrato",$E1115,0))),0,YEARFRAC(MAX($P$708*($B1115+IF($R$17="Distrato",$I$38-1,0)),IF(AND($L$711=0,$P$708=0),"",$L$711-1),IF($R$17="Distrato",$E1115,0)),MIN(V$38,$D$19),$P$20))-SUM($P1115:U1115)</f>
        <v>#VALUE!</v>
      </c>
      <c r="W1115" s="446" t="e">
        <f>IF(OR($B1115="",MIN(W$38,$D$19)&lt;MAX($P$708*($B1115+IF($R$17="Distrato",$I$38-1,0)),IF(AND($L$711=0,$P$708=0),"",$L$711-1),IF($R$17="Distrato",$E1115,0))),0,YEARFRAC(MAX($P$708*($B1115+IF($R$17="Distrato",$I$38-1,0)),IF(AND($L$711=0,$P$708=0),"",$L$711-1),IF($R$17="Distrato",$E1115,0)),MIN(W$38,$D$19),$P$20))-SUM($P1115:V1115)</f>
        <v>#VALUE!</v>
      </c>
      <c r="X1115" s="446" t="e">
        <f>IF(OR($B1115="",MIN(X$38,$D$19)&lt;MAX($P$708*($B1115+IF($R$17="Distrato",$I$38-1,0)),IF(AND($L$711=0,$P$708=0),"",$L$711-1),IF($R$17="Distrato",$E1115,0))),0,YEARFRAC(MAX($P$708*($B1115+IF($R$17="Distrato",$I$38-1,0)),IF(AND($L$711=0,$P$708=0),"",$L$711-1),IF($R$17="Distrato",$E1115,0)),MIN(X$38,$D$19),$P$20))-SUM($P1115:W1115)</f>
        <v>#VALUE!</v>
      </c>
      <c r="Y1115" s="446" t="e">
        <f>IF(OR($B1115="",MIN(Y$38,$D$19)&lt;MAX($P$708*($B1115+IF($R$17="Distrato",$I$38-1,0)),IF(AND($L$711=0,$P$708=0),"",$L$711-1),IF($R$17="Distrato",$E1115,0))),0,YEARFRAC(MAX($P$708*($B1115+IF($R$17="Distrato",$I$38-1,0)),IF(AND($L$711=0,$P$708=0),"",$L$711-1),IF($R$17="Distrato",$E1115,0)),MIN(Y$38,$D$19),$P$20))-SUM($P1115:X1115)</f>
        <v>#VALUE!</v>
      </c>
      <c r="Z1115" s="446" t="e">
        <f>IF(OR($B1115="",MIN(Z$38,$D$19)&lt;MAX($P$708*($B1115+IF($R$17="Distrato",$I$38-1,0)),IF(AND($L$711=0,$P$708=0),"",$L$711-1),IF($R$17="Distrato",$E1115,0))),0,YEARFRAC(MAX($P$708*($B1115+IF($R$17="Distrato",$I$38-1,0)),IF(AND($L$711=0,$P$708=0),"",$L$711-1),IF($R$17="Distrato",$E1115,0)),MIN(Z$38,$D$19),$P$20))-SUM($P1115:Y1115)</f>
        <v>#VALUE!</v>
      </c>
      <c r="AA1115" s="446" t="e">
        <f>IF(OR($B1115="",MIN(AA$38,$D$19)&lt;MAX($P$708*($B1115+IF($R$17="Distrato",$I$38-1,0)),IF(AND($L$711=0,$P$708=0),"",$L$711-1),IF($R$17="Distrato",$E1115,0))),0,YEARFRAC(MAX($P$708*($B1115+IF($R$17="Distrato",$I$38-1,0)),IF(AND($L$711=0,$P$708=0),"",$L$711-1),IF($R$17="Distrato",$E1115,0)),MIN(AA$38,$D$19),$P$20))-SUM($P1115:Z1115)</f>
        <v>#VALUE!</v>
      </c>
      <c r="AB1115" s="446" t="e">
        <f>IF(OR($B1115="",MIN(AB$38,$D$19)&lt;MAX($P$708*($B1115+IF($R$17="Distrato",$I$38-1,0)),IF(AND($L$711=0,$P$708=0),"",$L$711-1),IF($R$17="Distrato",$E1115,0))),0,YEARFRAC(MAX($P$708*($B1115+IF($R$17="Distrato",$I$38-1,0)),IF(AND($L$711=0,$P$708=0),"",$L$711-1),IF($R$17="Distrato",$E1115,0)),MIN(AB$38,$D$19),$P$20))-SUM($P1115:AA1115)</f>
        <v>#VALUE!</v>
      </c>
      <c r="AC1115" s="446" t="e">
        <f>IF(OR($B1115="",MIN(AC$38,$D$19)&lt;MAX($P$708*($B1115+IF($R$17="Distrato",$I$38-1,0)),IF(AND($L$711=0,$P$708=0),"",$L$711-1),IF($R$17="Distrato",$E1115,0))),0,YEARFRAC(MAX($P$708*($B1115+IF($R$17="Distrato",$I$38-1,0)),IF(AND($L$711=0,$P$708=0),"",$L$711-1),IF($R$17="Distrato",$E1115,0)),MIN(AC$38,$D$19),$P$20))-SUM($P1115:AB1115)</f>
        <v>#VALUE!</v>
      </c>
      <c r="AD1115" s="446" t="e">
        <f>IF(OR($B1115="",MIN(AD$38,$D$19)&lt;MAX($P$708*($B1115+IF($R$17="Distrato",$I$38-1,0)),IF(AND($L$711=0,$P$708=0),"",$L$711-1),IF($R$17="Distrato",$E1115,0))),0,YEARFRAC(MAX($P$708*($B1115+IF($R$17="Distrato",$I$38-1,0)),IF(AND($L$711=0,$P$708=0),"",$L$711-1),IF($R$17="Distrato",$E1115,0)),MIN(AD$38,$D$19),$P$20))-SUM($P1115:AC1115)</f>
        <v>#VALUE!</v>
      </c>
      <c r="AE1115" s="446" t="e">
        <f>IF(OR($B1115="",MIN(AE$38,$D$19)&lt;MAX($P$708*($B1115+IF($R$17="Distrato",$I$38-1,0)),IF(AND($L$711=0,$P$708=0),"",$L$711-1),IF($R$17="Distrato",$E1115,0))),0,YEARFRAC(MAX($P$708*($B1115+IF($R$17="Distrato",$I$38-1,0)),IF(AND($L$711=0,$P$708=0),"",$L$711-1),IF($R$17="Distrato",$E1115,0)),MIN(AE$38,$D$19),$P$20))-SUM($P1115:AD1115)</f>
        <v>#VALUE!</v>
      </c>
      <c r="AF1115" s="446" t="e">
        <f>IF(OR($B1115="",MIN(AF$38,$D$19)&lt;MAX($P$708*($B1115+IF($R$17="Distrato",$I$38-1,0)),IF(AND($L$711=0,$P$708=0),"",$L$711-1),IF($R$17="Distrato",$E1115,0))),0,YEARFRAC(MAX($P$708*($B1115+IF($R$17="Distrato",$I$38-1,0)),IF(AND($L$711=0,$P$708=0),"",$L$711-1),IF($R$17="Distrato",$E1115,0)),MIN(AF$38,$D$19),$P$20))-SUM($P1115:AE1115)</f>
        <v>#VALUE!</v>
      </c>
      <c r="AG1115" s="446" t="e">
        <f>IF(OR($B1115="",MIN(AG$38,$D$19)&lt;MAX($P$708*($B1115+IF($R$17="Distrato",$I$38-1,0)),IF(AND($L$711=0,$P$708=0),"",$L$711-1),IF($R$17="Distrato",$E1115,0))),0,YEARFRAC(MAX($P$708*($B1115+IF($R$17="Distrato",$I$38-1,0)),IF(AND($L$711=0,$P$708=0),"",$L$711-1),IF($R$17="Distrato",$E1115,0)),MIN(AG$38,$D$19),$P$20))-SUM($P1115:AF1115)</f>
        <v>#VALUE!</v>
      </c>
      <c r="AH1115" s="446" t="e">
        <f>IF(OR($B1115="",MIN(AH$38,$D$19)&lt;MAX($P$708*($B1115+IF($R$17="Distrato",$I$38-1,0)),IF(AND($L$711=0,$P$708=0),"",$L$711-1),IF($R$17="Distrato",$E1115,0))),0,YEARFRAC(MAX($P$708*($B1115+IF($R$17="Distrato",$I$38-1,0)),IF(AND($L$711=0,$P$708=0),"",$L$711-1),IF($R$17="Distrato",$E1115,0)),MIN(AH$38,$D$19),$P$20))-SUM($P1115:AG1115)</f>
        <v>#VALUE!</v>
      </c>
      <c r="AI1115" s="446" t="e">
        <f>IF(OR($B1115="",MIN(AI$38,$D$19)&lt;MAX($P$708*($B1115+IF($R$17="Distrato",$I$38-1,0)),IF(AND($L$711=0,$P$708=0),"",$L$711-1),IF($R$17="Distrato",$E1115,0))),0,YEARFRAC(MAX($P$708*($B1115+IF($R$17="Distrato",$I$38-1,0)),IF(AND($L$711=0,$P$708=0),"",$L$711-1),IF($R$17="Distrato",$E1115,0)),MIN(AI$38,$D$19),$P$20))-SUM($P1115:AH1115)</f>
        <v>#VALUE!</v>
      </c>
      <c r="AJ1115" s="446" t="e">
        <f>IF(OR($B1115="",MIN(AJ$38,$D$19)&lt;MAX($P$708*($B1115+IF($R$17="Distrato",$I$38-1,0)),IF(AND($L$711=0,$P$708=0),"",$L$711-1),IF($R$17="Distrato",$E1115,0))),0,YEARFRAC(MAX($P$708*($B1115+IF($R$17="Distrato",$I$38-1,0)),IF(AND($L$711=0,$P$708=0),"",$L$711-1),IF($R$17="Distrato",$E1115,0)),MIN(AJ$38,$D$19),$P$20))-SUM($P1115:AI1115)</f>
        <v>#VALUE!</v>
      </c>
      <c r="AK1115" s="446" t="e">
        <f>IF(OR($B1115="",MIN(AK$38,$D$19)&lt;MAX($P$708*($B1115+IF($R$17="Distrato",$I$38-1,0)),IF(AND($L$711=0,$P$708=0),"",$L$711-1),IF($R$17="Distrato",$E1115,0))),0,YEARFRAC(MAX($P$708*($B1115+IF($R$17="Distrato",$I$38-1,0)),IF(AND($L$711=0,$P$708=0),"",$L$711-1),IF($R$17="Distrato",$E1115,0)),MIN(AK$38,$D$19),$P$20))-SUM($P1115:AJ1115)</f>
        <v>#VALUE!</v>
      </c>
      <c r="AL1115" s="446" t="e">
        <f>IF(OR($B1115="",MIN(AL$38,$D$19)&lt;MAX($P$708*($B1115+IF($R$17="Distrato",$I$38-1,0)),IF(AND($L$711=0,$P$708=0),"",$L$711-1),IF($R$17="Distrato",$E1115,0))),0,YEARFRAC(MAX($P$708*($B1115+IF($R$17="Distrato",$I$38-1,0)),IF(AND($L$711=0,$P$708=0),"",$L$711-1),IF($R$17="Distrato",$E1115,0)),MIN(AL$38,$D$19),$P$20))-SUM($P1115:AK1115)</f>
        <v>#VALUE!</v>
      </c>
      <c r="AM1115" s="446" t="e">
        <f>IF(OR($B1115="",MIN(AM$38,$D$19)&lt;MAX($P$708*($B1115+IF($R$17="Distrato",$I$38-1,0)),IF(AND($L$711=0,$P$708=0),"",$L$711-1),IF($R$17="Distrato",$E1115,0))),0,YEARFRAC(MAX($P$708*($B1115+IF($R$17="Distrato",$I$38-1,0)),IF(AND($L$711=0,$P$708=0),"",$L$711-1),IF($R$17="Distrato",$E1115,0)),MIN(AM$38,$D$19),$P$20))-SUM($P1115:AL1115)</f>
        <v>#VALUE!</v>
      </c>
      <c r="AN1115" s="446" t="e">
        <f>IF(OR($B1115="",MIN(AN$38,$D$19)&lt;MAX($P$708*($B1115+IF($R$17="Distrato",$I$38-1,0)),IF(AND($L$711=0,$P$708=0),"",$L$711-1),IF($R$17="Distrato",$E1115,0))),0,YEARFRAC(MAX($P$708*($B1115+IF($R$17="Distrato",$I$38-1,0)),IF(AND($L$711=0,$P$708=0),"",$L$711-1),IF($R$17="Distrato",$E1115,0)),MIN(AN$38,$D$19),$P$20))-SUM($P1115:AM1115)</f>
        <v>#VALUE!</v>
      </c>
      <c r="AO1115" s="446" t="e">
        <f>IF(OR($B1115="",MIN(AO$38,$D$19)&lt;MAX($P$708*($B1115+IF($R$17="Distrato",$I$38-1,0)),IF(AND($L$711=0,$P$708=0),"",$L$711-1),IF($R$17="Distrato",$E1115,0))),0,YEARFRAC(MAX($P$708*($B1115+IF($R$17="Distrato",$I$38-1,0)),IF(AND($L$711=0,$P$708=0),"",$L$711-1),IF($R$17="Distrato",$E1115,0)),MIN(AO$38,$D$19),$P$20))-SUM($P1115:AN1115)</f>
        <v>#VALUE!</v>
      </c>
      <c r="AP1115" s="446" t="e">
        <f>IF(OR($B1115="",MIN(AP$38,$D$19)&lt;MAX($P$708*($B1115+IF($R$17="Distrato",$I$38-1,0)),IF(AND($L$711=0,$P$708=0),"",$L$711-1),IF($R$17="Distrato",$E1115,0))),0,YEARFRAC(MAX($P$708*($B1115+IF($R$17="Distrato",$I$38-1,0)),IF(AND($L$711=0,$P$708=0),"",$L$711-1),IF($R$17="Distrato",$E1115,0)),MIN(AP$38,$D$19),$P$20))-SUM($P1115:AO1115)</f>
        <v>#VALUE!</v>
      </c>
      <c r="AQ1115" s="446" t="e">
        <f>IF(OR($B1115="",MIN(AQ$38,$D$19)&lt;MAX($P$708*($B1115+IF($R$17="Distrato",$I$38-1,0)),IF(AND($L$711=0,$P$708=0),"",$L$711-1),IF($R$17="Distrato",$E1115,0))),0,YEARFRAC(MAX($P$708*($B1115+IF($R$17="Distrato",$I$38-1,0)),IF(AND($L$711=0,$P$708=0),"",$L$711-1),IF($R$17="Distrato",$E1115,0)),MIN(AQ$38,$D$19),$P$20))-SUM($P1115:AP1115)</f>
        <v>#VALUE!</v>
      </c>
      <c r="AR1115" s="446" t="e">
        <f>IF(OR($B1115="",MIN(AR$38,$D$19)&lt;MAX($P$708*($B1115+IF($R$17="Distrato",$I$38-1,0)),IF(AND($L$711=0,$P$708=0),"",$L$711-1),IF($R$17="Distrato",$E1115,0))),0,YEARFRAC(MAX($P$708*($B1115+IF($R$17="Distrato",$I$38-1,0)),IF(AND($L$711=0,$P$708=0),"",$L$711-1),IF($R$17="Distrato",$E1115,0)),MIN(AR$38,$D$19),$P$20))-SUM($P1115:AQ1115)</f>
        <v>#VALUE!</v>
      </c>
      <c r="AS1115" s="446" t="e">
        <f>IF(OR($B1115="",MIN(AS$38,$D$19)&lt;MAX($P$708*($B1115+IF($R$17="Distrato",$I$38-1,0)),IF(AND($L$711=0,$P$708=0),"",$L$711-1),IF($R$17="Distrato",$E1115,0))),0,YEARFRAC(MAX($P$708*($B1115+IF($R$17="Distrato",$I$38-1,0)),IF(AND($L$711=0,$P$708=0),"",$L$711-1),IF($R$17="Distrato",$E1115,0)),MIN(AS$38,$D$19),$P$20))-SUM($P1115:AR1115)</f>
        <v>#VALUE!</v>
      </c>
      <c r="AT1115" s="446" t="e">
        <f>IF(OR($B1115="",MIN(AT$38,$D$19)&lt;MAX($P$708*($B1115+IF($R$17="Distrato",$I$38-1,0)),IF(AND($L$711=0,$P$708=0),"",$L$711-1),IF($R$17="Distrato",$E1115,0))),0,YEARFRAC(MAX($P$708*($B1115+IF($R$17="Distrato",$I$38-1,0)),IF(AND($L$711=0,$P$708=0),"",$L$711-1),IF($R$17="Distrato",$E1115,0)),MIN(AT$38,$D$19),$P$20))-SUM($P1115:AS1115)</f>
        <v>#VALUE!</v>
      </c>
      <c r="AU1115" s="446" t="e">
        <f>IF(OR($B1115="",MIN(AU$38,$D$19)&lt;MAX($P$708*($B1115+IF($R$17="Distrato",$I$38-1,0)),IF(AND($L$711=0,$P$708=0),"",$L$711-1),IF($R$17="Distrato",$E1115,0))),0,YEARFRAC(MAX($P$708*($B1115+IF($R$17="Distrato",$I$38-1,0)),IF(AND($L$711=0,$P$708=0),"",$L$711-1),IF($R$17="Distrato",$E1115,0)),MIN(AU$38,$D$19),$P$20))-SUM($P1115:AT1115)</f>
        <v>#VALUE!</v>
      </c>
      <c r="AV1115" s="446" t="e">
        <f>IF(OR($B1115="",MIN(AV$38,$D$19)&lt;MAX($P$708*($B1115+IF($R$17="Distrato",$I$38-1,0)),IF(AND($L$711=0,$P$708=0),"",$L$711-1),IF($R$17="Distrato",$E1115,0))),0,YEARFRAC(MAX($P$708*($B1115+IF($R$17="Distrato",$I$38-1,0)),IF(AND($L$711=0,$P$708=0),"",$L$711-1),IF($R$17="Distrato",$E1115,0)),MIN(AV$38,$D$19),$P$20))-SUM($P1115:AU1115)</f>
        <v>#VALUE!</v>
      </c>
      <c r="AW1115" s="446" t="e">
        <f>IF(OR($B1115="",MIN(AW$38,$D$19)&lt;MAX($P$708*($B1115+IF($R$17="Distrato",$I$38-1,0)),IF(AND($L$711=0,$P$708=0),"",$L$711-1),IF($R$17="Distrato",$E1115,0))),0,YEARFRAC(MAX($P$708*($B1115+IF($R$17="Distrato",$I$38-1,0)),IF(AND($L$711=0,$P$708=0),"",$L$711-1),IF($R$17="Distrato",$E1115,0)),MIN(AW$38,$D$19),$P$20))-SUM($P1115:AV1115)</f>
        <v>#VALUE!</v>
      </c>
      <c r="AX1115" s="446" t="e">
        <f>IF(OR($B1115="",MIN(AX$38,$D$19)&lt;MAX($P$708*($B1115+IF($R$17="Distrato",$I$38-1,0)),IF(AND($L$711=0,$P$708=0),"",$L$711-1),IF($R$17="Distrato",$E1115,0))),0,YEARFRAC(MAX($P$708*($B1115+IF($R$17="Distrato",$I$38-1,0)),IF(AND($L$711=0,$P$708=0),"",$L$711-1),IF($R$17="Distrato",$E1115,0)),MIN(AX$38,$D$19),$P$20))-SUM($P1115:AW1115)</f>
        <v>#VALUE!</v>
      </c>
      <c r="AY1115" s="446" t="e">
        <f>IF(OR($B1115="",MIN(AY$38,$D$19)&lt;MAX($P$708*($B1115+IF($R$17="Distrato",$I$38-1,0)),IF(AND($L$711=0,$P$708=0),"",$L$711-1),IF($R$17="Distrato",$E1115,0))),0,YEARFRAC(MAX($P$708*($B1115+IF($R$17="Distrato",$I$38-1,0)),IF(AND($L$711=0,$P$708=0),"",$L$711-1),IF($R$17="Distrato",$E1115,0)),MIN(AY$38,$D$19),$P$20))-SUM($P1115:AX1115)</f>
        <v>#VALUE!</v>
      </c>
      <c r="AZ1115" s="446" t="e">
        <f>IF(OR($B1115="",MIN(AZ$38,$D$19)&lt;MAX($P$708*($B1115+IF($R$17="Distrato",$I$38-1,0)),IF(AND($L$711=0,$P$708=0),"",$L$711-1),IF($R$17="Distrato",$E1115,0))),0,YEARFRAC(MAX($P$708*($B1115+IF($R$17="Distrato",$I$38-1,0)),IF(AND($L$711=0,$P$708=0),"",$L$711-1),IF($R$17="Distrato",$E1115,0)),MIN(AZ$38,$D$19),$P$20))-SUM($P1115:AY1115)</f>
        <v>#VALUE!</v>
      </c>
      <c r="BA1115" s="446" t="e">
        <f>IF(OR($B1115="",MIN(BA$38,$D$19)&lt;MAX($P$708*($B1115+IF($R$17="Distrato",$I$38-1,0)),IF(AND($L$711=0,$P$708=0),"",$L$711-1),IF($R$17="Distrato",$E1115,0))),0,YEARFRAC(MAX($P$708*($B1115+IF($R$17="Distrato",$I$38-1,0)),IF(AND($L$711=0,$P$708=0),"",$L$711-1),IF($R$17="Distrato",$E1115,0)),MIN(BA$38,$D$19),$P$20))-SUM($P1115:AZ1115)</f>
        <v>#VALUE!</v>
      </c>
      <c r="BB1115" s="447"/>
    </row>
    <row r="1116" spans="1:54" s="446" customFormat="1" ht="11.25" hidden="1" customHeight="1" x14ac:dyDescent="0.2">
      <c r="A1116" s="235"/>
      <c r="B1116" s="236"/>
      <c r="C1116" s="29" t="str">
        <f>IF(B1116="","",IF($L$709=$BL$25,VLOOKUP(DATE(YEAR($D$19),MONTH($D$19)-1,1),ÍNDICES!$A:$DE,HLOOKUP($BL$25,ÍNDICES!$B$3:$T$4,2)+11)-VLOOKUP(B1116,ÍNDICES!$A:$DE,HLOOKUP($BL$25,ÍNDICES!$B$3:$T$4,2)+11)+1%,IF(C$712=$W$26,$J$35,IF(ISERROR(IF(B1116&gt;$D$19,1,VLOOKUP(DATE(YEAR(B1116),MONTH(B1116)+IF($C$709=$S$23,1,0),1),ÍNDICES!$A:$DE,$Z$709+1))),"",IF(B1116&gt;$D$19,1,VLOOKUP(DATE(YEAR(B1116),MONTH(B1116)+IF($C$709=$S$23,1,0),1),ÍNDICES!$A:$DE,$Z$709+1))))))</f>
        <v/>
      </c>
      <c r="D1116" s="155"/>
      <c r="E1116" s="88"/>
      <c r="F1116" s="88"/>
      <c r="G1116" s="88"/>
      <c r="H1116" s="118"/>
      <c r="I1116" s="182">
        <f t="shared" si="157"/>
        <v>0</v>
      </c>
      <c r="J1116" s="20">
        <f t="shared" ca="1" si="158"/>
        <v>0</v>
      </c>
      <c r="K1116" s="5">
        <f t="shared" ca="1" si="159"/>
        <v>0</v>
      </c>
      <c r="L1116" s="61">
        <f t="shared" ca="1" si="160"/>
        <v>0</v>
      </c>
      <c r="M1116" s="64">
        <f t="shared" si="161"/>
        <v>0</v>
      </c>
      <c r="N1116" s="151"/>
      <c r="O1116" s="5">
        <f t="shared" ca="1" si="162"/>
        <v>0</v>
      </c>
      <c r="P1116" s="446" t="e">
        <f t="shared" si="163"/>
        <v>#VALUE!</v>
      </c>
      <c r="Q1116" s="446" t="e">
        <f>IF(OR($B1116="",MIN(Q$38,$D$19)&lt;MAX($P$708*($B1116+IF($R$17="Distrato",$I$38-1,0)),IF(AND($L$711=0,$P$708=0),"",$L$711-1),IF($R$17="Distrato",$E1116,0))),0,YEARFRAC(MAX($P$708*($B1116+IF($R$17="Distrato",$I$38-1,0)),IF(AND($L$711=0,$P$708=0),"",$L$711-1),IF($R$17="Distrato",$E1116,0)),MIN(Q$38,$D$19),$P$20))-SUM($P1116:P1116)</f>
        <v>#VALUE!</v>
      </c>
      <c r="R1116" s="446" t="e">
        <f>IF(OR($B1116="",MIN(R$38,$D$19)&lt;MAX($P$708*($B1116+IF($R$17="Distrato",$I$38-1,0)),IF(AND($L$711=0,$P$708=0),"",$L$711-1),IF($R$17="Distrato",$E1116,0))),0,YEARFRAC(MAX($P$708*($B1116+IF($R$17="Distrato",$I$38-1,0)),IF(AND($L$711=0,$P$708=0),"",$L$711-1),IF($R$17="Distrato",$E1116,0)),MIN(R$38,$D$19),$P$20))-SUM($P1116:Q1116)</f>
        <v>#VALUE!</v>
      </c>
      <c r="S1116" s="446" t="e">
        <f>IF(OR($B1116="",MIN(S$38,$D$19)&lt;MAX($P$708*($B1116+IF($R$17="Distrato",$I$38-1,0)),IF(AND($L$711=0,$P$708=0),"",$L$711-1),IF($R$17="Distrato",$E1116,0))),0,YEARFRAC(MAX($P$708*($B1116+IF($R$17="Distrato",$I$38-1,0)),IF(AND($L$711=0,$P$708=0),"",$L$711-1),IF($R$17="Distrato",$E1116,0)),MIN(S$38,$D$19),$P$20))-SUM($P1116:R1116)</f>
        <v>#VALUE!</v>
      </c>
      <c r="T1116" s="446" t="e">
        <f>IF(OR($B1116="",MIN(T$38,$D$19)&lt;MAX($P$708*($B1116+IF($R$17="Distrato",$I$38-1,0)),IF(AND($L$711=0,$P$708=0),"",$L$711-1),IF($R$17="Distrato",$E1116,0))),0,YEARFRAC(MAX($P$708*($B1116+IF($R$17="Distrato",$I$38-1,0)),IF(AND($L$711=0,$P$708=0),"",$L$711-1),IF($R$17="Distrato",$E1116,0)),MIN(T$38,$D$19),$P$20))-SUM($P1116:S1116)</f>
        <v>#VALUE!</v>
      </c>
      <c r="U1116" s="446" t="e">
        <f>IF(OR($B1116="",MIN(U$38,$D$19)&lt;MAX($P$708*($B1116+IF($R$17="Distrato",$I$38-1,0)),IF(AND($L$711=0,$P$708=0),"",$L$711-1),IF($R$17="Distrato",$E1116,0))),0,YEARFRAC(MAX($P$708*($B1116+IF($R$17="Distrato",$I$38-1,0)),IF(AND($L$711=0,$P$708=0),"",$L$711-1),IF($R$17="Distrato",$E1116,0)),MIN(U$38,$D$19),$P$20))-SUM($P1116:T1116)</f>
        <v>#VALUE!</v>
      </c>
      <c r="V1116" s="446" t="e">
        <f>IF(OR($B1116="",MIN(V$38,$D$19)&lt;MAX($P$708*($B1116+IF($R$17="Distrato",$I$38-1,0)),IF(AND($L$711=0,$P$708=0),"",$L$711-1),IF($R$17="Distrato",$E1116,0))),0,YEARFRAC(MAX($P$708*($B1116+IF($R$17="Distrato",$I$38-1,0)),IF(AND($L$711=0,$P$708=0),"",$L$711-1),IF($R$17="Distrato",$E1116,0)),MIN(V$38,$D$19),$P$20))-SUM($P1116:U1116)</f>
        <v>#VALUE!</v>
      </c>
      <c r="W1116" s="446" t="e">
        <f>IF(OR($B1116="",MIN(W$38,$D$19)&lt;MAX($P$708*($B1116+IF($R$17="Distrato",$I$38-1,0)),IF(AND($L$711=0,$P$708=0),"",$L$711-1),IF($R$17="Distrato",$E1116,0))),0,YEARFRAC(MAX($P$708*($B1116+IF($R$17="Distrato",$I$38-1,0)),IF(AND($L$711=0,$P$708=0),"",$L$711-1),IF($R$17="Distrato",$E1116,0)),MIN(W$38,$D$19),$P$20))-SUM($P1116:V1116)</f>
        <v>#VALUE!</v>
      </c>
      <c r="X1116" s="446" t="e">
        <f>IF(OR($B1116="",MIN(X$38,$D$19)&lt;MAX($P$708*($B1116+IF($R$17="Distrato",$I$38-1,0)),IF(AND($L$711=0,$P$708=0),"",$L$711-1),IF($R$17="Distrato",$E1116,0))),0,YEARFRAC(MAX($P$708*($B1116+IF($R$17="Distrato",$I$38-1,0)),IF(AND($L$711=0,$P$708=0),"",$L$711-1),IF($R$17="Distrato",$E1116,0)),MIN(X$38,$D$19),$P$20))-SUM($P1116:W1116)</f>
        <v>#VALUE!</v>
      </c>
      <c r="Y1116" s="446" t="e">
        <f>IF(OR($B1116="",MIN(Y$38,$D$19)&lt;MAX($P$708*($B1116+IF($R$17="Distrato",$I$38-1,0)),IF(AND($L$711=0,$P$708=0),"",$L$711-1),IF($R$17="Distrato",$E1116,0))),0,YEARFRAC(MAX($P$708*($B1116+IF($R$17="Distrato",$I$38-1,0)),IF(AND($L$711=0,$P$708=0),"",$L$711-1),IF($R$17="Distrato",$E1116,0)),MIN(Y$38,$D$19),$P$20))-SUM($P1116:X1116)</f>
        <v>#VALUE!</v>
      </c>
      <c r="Z1116" s="446" t="e">
        <f>IF(OR($B1116="",MIN(Z$38,$D$19)&lt;MAX($P$708*($B1116+IF($R$17="Distrato",$I$38-1,0)),IF(AND($L$711=0,$P$708=0),"",$L$711-1),IF($R$17="Distrato",$E1116,0))),0,YEARFRAC(MAX($P$708*($B1116+IF($R$17="Distrato",$I$38-1,0)),IF(AND($L$711=0,$P$708=0),"",$L$711-1),IF($R$17="Distrato",$E1116,0)),MIN(Z$38,$D$19),$P$20))-SUM($P1116:Y1116)</f>
        <v>#VALUE!</v>
      </c>
      <c r="AA1116" s="446" t="e">
        <f>IF(OR($B1116="",MIN(AA$38,$D$19)&lt;MAX($P$708*($B1116+IF($R$17="Distrato",$I$38-1,0)),IF(AND($L$711=0,$P$708=0),"",$L$711-1),IF($R$17="Distrato",$E1116,0))),0,YEARFRAC(MAX($P$708*($B1116+IF($R$17="Distrato",$I$38-1,0)),IF(AND($L$711=0,$P$708=0),"",$L$711-1),IF($R$17="Distrato",$E1116,0)),MIN(AA$38,$D$19),$P$20))-SUM($P1116:Z1116)</f>
        <v>#VALUE!</v>
      </c>
      <c r="AB1116" s="446" t="e">
        <f>IF(OR($B1116="",MIN(AB$38,$D$19)&lt;MAX($P$708*($B1116+IF($R$17="Distrato",$I$38-1,0)),IF(AND($L$711=0,$P$708=0),"",$L$711-1),IF($R$17="Distrato",$E1116,0))),0,YEARFRAC(MAX($P$708*($B1116+IF($R$17="Distrato",$I$38-1,0)),IF(AND($L$711=0,$P$708=0),"",$L$711-1),IF($R$17="Distrato",$E1116,0)),MIN(AB$38,$D$19),$P$20))-SUM($P1116:AA1116)</f>
        <v>#VALUE!</v>
      </c>
      <c r="AC1116" s="446" t="e">
        <f>IF(OR($B1116="",MIN(AC$38,$D$19)&lt;MAX($P$708*($B1116+IF($R$17="Distrato",$I$38-1,0)),IF(AND($L$711=0,$P$708=0),"",$L$711-1),IF($R$17="Distrato",$E1116,0))),0,YEARFRAC(MAX($P$708*($B1116+IF($R$17="Distrato",$I$38-1,0)),IF(AND($L$711=0,$P$708=0),"",$L$711-1),IF($R$17="Distrato",$E1116,0)),MIN(AC$38,$D$19),$P$20))-SUM($P1116:AB1116)</f>
        <v>#VALUE!</v>
      </c>
      <c r="AD1116" s="446" t="e">
        <f>IF(OR($B1116="",MIN(AD$38,$D$19)&lt;MAX($P$708*($B1116+IF($R$17="Distrato",$I$38-1,0)),IF(AND($L$711=0,$P$708=0),"",$L$711-1),IF($R$17="Distrato",$E1116,0))),0,YEARFRAC(MAX($P$708*($B1116+IF($R$17="Distrato",$I$38-1,0)),IF(AND($L$711=0,$P$708=0),"",$L$711-1),IF($R$17="Distrato",$E1116,0)),MIN(AD$38,$D$19),$P$20))-SUM($P1116:AC1116)</f>
        <v>#VALUE!</v>
      </c>
      <c r="AE1116" s="446" t="e">
        <f>IF(OR($B1116="",MIN(AE$38,$D$19)&lt;MAX($P$708*($B1116+IF($R$17="Distrato",$I$38-1,0)),IF(AND($L$711=0,$P$708=0),"",$L$711-1),IF($R$17="Distrato",$E1116,0))),0,YEARFRAC(MAX($P$708*($B1116+IF($R$17="Distrato",$I$38-1,0)),IF(AND($L$711=0,$P$708=0),"",$L$711-1),IF($R$17="Distrato",$E1116,0)),MIN(AE$38,$D$19),$P$20))-SUM($P1116:AD1116)</f>
        <v>#VALUE!</v>
      </c>
      <c r="AF1116" s="446" t="e">
        <f>IF(OR($B1116="",MIN(AF$38,$D$19)&lt;MAX($P$708*($B1116+IF($R$17="Distrato",$I$38-1,0)),IF(AND($L$711=0,$P$708=0),"",$L$711-1),IF($R$17="Distrato",$E1116,0))),0,YEARFRAC(MAX($P$708*($B1116+IF($R$17="Distrato",$I$38-1,0)),IF(AND($L$711=0,$P$708=0),"",$L$711-1),IF($R$17="Distrato",$E1116,0)),MIN(AF$38,$D$19),$P$20))-SUM($P1116:AE1116)</f>
        <v>#VALUE!</v>
      </c>
      <c r="AG1116" s="446" t="e">
        <f>IF(OR($B1116="",MIN(AG$38,$D$19)&lt;MAX($P$708*($B1116+IF($R$17="Distrato",$I$38-1,0)),IF(AND($L$711=0,$P$708=0),"",$L$711-1),IF($R$17="Distrato",$E1116,0))),0,YEARFRAC(MAX($P$708*($B1116+IF($R$17="Distrato",$I$38-1,0)),IF(AND($L$711=0,$P$708=0),"",$L$711-1),IF($R$17="Distrato",$E1116,0)),MIN(AG$38,$D$19),$P$20))-SUM($P1116:AF1116)</f>
        <v>#VALUE!</v>
      </c>
      <c r="AH1116" s="446" t="e">
        <f>IF(OR($B1116="",MIN(AH$38,$D$19)&lt;MAX($P$708*($B1116+IF($R$17="Distrato",$I$38-1,0)),IF(AND($L$711=0,$P$708=0),"",$L$711-1),IF($R$17="Distrato",$E1116,0))),0,YEARFRAC(MAX($P$708*($B1116+IF($R$17="Distrato",$I$38-1,0)),IF(AND($L$711=0,$P$708=0),"",$L$711-1),IF($R$17="Distrato",$E1116,0)),MIN(AH$38,$D$19),$P$20))-SUM($P1116:AG1116)</f>
        <v>#VALUE!</v>
      </c>
      <c r="AI1116" s="446" t="e">
        <f>IF(OR($B1116="",MIN(AI$38,$D$19)&lt;MAX($P$708*($B1116+IF($R$17="Distrato",$I$38-1,0)),IF(AND($L$711=0,$P$708=0),"",$L$711-1),IF($R$17="Distrato",$E1116,0))),0,YEARFRAC(MAX($P$708*($B1116+IF($R$17="Distrato",$I$38-1,0)),IF(AND($L$711=0,$P$708=0),"",$L$711-1),IF($R$17="Distrato",$E1116,0)),MIN(AI$38,$D$19),$P$20))-SUM($P1116:AH1116)</f>
        <v>#VALUE!</v>
      </c>
      <c r="AJ1116" s="446" t="e">
        <f>IF(OR($B1116="",MIN(AJ$38,$D$19)&lt;MAX($P$708*($B1116+IF($R$17="Distrato",$I$38-1,0)),IF(AND($L$711=0,$P$708=0),"",$L$711-1),IF($R$17="Distrato",$E1116,0))),0,YEARFRAC(MAX($P$708*($B1116+IF($R$17="Distrato",$I$38-1,0)),IF(AND($L$711=0,$P$708=0),"",$L$711-1),IF($R$17="Distrato",$E1116,0)),MIN(AJ$38,$D$19),$P$20))-SUM($P1116:AI1116)</f>
        <v>#VALUE!</v>
      </c>
      <c r="AK1116" s="446" t="e">
        <f>IF(OR($B1116="",MIN(AK$38,$D$19)&lt;MAX($P$708*($B1116+IF($R$17="Distrato",$I$38-1,0)),IF(AND($L$711=0,$P$708=0),"",$L$711-1),IF($R$17="Distrato",$E1116,0))),0,YEARFRAC(MAX($P$708*($B1116+IF($R$17="Distrato",$I$38-1,0)),IF(AND($L$711=0,$P$708=0),"",$L$711-1),IF($R$17="Distrato",$E1116,0)),MIN(AK$38,$D$19),$P$20))-SUM($P1116:AJ1116)</f>
        <v>#VALUE!</v>
      </c>
      <c r="AL1116" s="446" t="e">
        <f>IF(OR($B1116="",MIN(AL$38,$D$19)&lt;MAX($P$708*($B1116+IF($R$17="Distrato",$I$38-1,0)),IF(AND($L$711=0,$P$708=0),"",$L$711-1),IF($R$17="Distrato",$E1116,0))),0,YEARFRAC(MAX($P$708*($B1116+IF($R$17="Distrato",$I$38-1,0)),IF(AND($L$711=0,$P$708=0),"",$L$711-1),IF($R$17="Distrato",$E1116,0)),MIN(AL$38,$D$19),$P$20))-SUM($P1116:AK1116)</f>
        <v>#VALUE!</v>
      </c>
      <c r="AM1116" s="446" t="e">
        <f>IF(OR($B1116="",MIN(AM$38,$D$19)&lt;MAX($P$708*($B1116+IF($R$17="Distrato",$I$38-1,0)),IF(AND($L$711=0,$P$708=0),"",$L$711-1),IF($R$17="Distrato",$E1116,0))),0,YEARFRAC(MAX($P$708*($B1116+IF($R$17="Distrato",$I$38-1,0)),IF(AND($L$711=0,$P$708=0),"",$L$711-1),IF($R$17="Distrato",$E1116,0)),MIN(AM$38,$D$19),$P$20))-SUM($P1116:AL1116)</f>
        <v>#VALUE!</v>
      </c>
      <c r="AN1116" s="446" t="e">
        <f>IF(OR($B1116="",MIN(AN$38,$D$19)&lt;MAX($P$708*($B1116+IF($R$17="Distrato",$I$38-1,0)),IF(AND($L$711=0,$P$708=0),"",$L$711-1),IF($R$17="Distrato",$E1116,0))),0,YEARFRAC(MAX($P$708*($B1116+IF($R$17="Distrato",$I$38-1,0)),IF(AND($L$711=0,$P$708=0),"",$L$711-1),IF($R$17="Distrato",$E1116,0)),MIN(AN$38,$D$19),$P$20))-SUM($P1116:AM1116)</f>
        <v>#VALUE!</v>
      </c>
      <c r="AO1116" s="446" t="e">
        <f>IF(OR($B1116="",MIN(AO$38,$D$19)&lt;MAX($P$708*($B1116+IF($R$17="Distrato",$I$38-1,0)),IF(AND($L$711=0,$P$708=0),"",$L$711-1),IF($R$17="Distrato",$E1116,0))),0,YEARFRAC(MAX($P$708*($B1116+IF($R$17="Distrato",$I$38-1,0)),IF(AND($L$711=0,$P$708=0),"",$L$711-1),IF($R$17="Distrato",$E1116,0)),MIN(AO$38,$D$19),$P$20))-SUM($P1116:AN1116)</f>
        <v>#VALUE!</v>
      </c>
      <c r="AP1116" s="446" t="e">
        <f>IF(OR($B1116="",MIN(AP$38,$D$19)&lt;MAX($P$708*($B1116+IF($R$17="Distrato",$I$38-1,0)),IF(AND($L$711=0,$P$708=0),"",$L$711-1),IF($R$17="Distrato",$E1116,0))),0,YEARFRAC(MAX($P$708*($B1116+IF($R$17="Distrato",$I$38-1,0)),IF(AND($L$711=0,$P$708=0),"",$L$711-1),IF($R$17="Distrato",$E1116,0)),MIN(AP$38,$D$19),$P$20))-SUM($P1116:AO1116)</f>
        <v>#VALUE!</v>
      </c>
      <c r="AQ1116" s="446" t="e">
        <f>IF(OR($B1116="",MIN(AQ$38,$D$19)&lt;MAX($P$708*($B1116+IF($R$17="Distrato",$I$38-1,0)),IF(AND($L$711=0,$P$708=0),"",$L$711-1),IF($R$17="Distrato",$E1116,0))),0,YEARFRAC(MAX($P$708*($B1116+IF($R$17="Distrato",$I$38-1,0)),IF(AND($L$711=0,$P$708=0),"",$L$711-1),IF($R$17="Distrato",$E1116,0)),MIN(AQ$38,$D$19),$P$20))-SUM($P1116:AP1116)</f>
        <v>#VALUE!</v>
      </c>
      <c r="AR1116" s="446" t="e">
        <f>IF(OR($B1116="",MIN(AR$38,$D$19)&lt;MAX($P$708*($B1116+IF($R$17="Distrato",$I$38-1,0)),IF(AND($L$711=0,$P$708=0),"",$L$711-1),IF($R$17="Distrato",$E1116,0))),0,YEARFRAC(MAX($P$708*($B1116+IF($R$17="Distrato",$I$38-1,0)),IF(AND($L$711=0,$P$708=0),"",$L$711-1),IF($R$17="Distrato",$E1116,0)),MIN(AR$38,$D$19),$P$20))-SUM($P1116:AQ1116)</f>
        <v>#VALUE!</v>
      </c>
      <c r="AS1116" s="446" t="e">
        <f>IF(OR($B1116="",MIN(AS$38,$D$19)&lt;MAX($P$708*($B1116+IF($R$17="Distrato",$I$38-1,0)),IF(AND($L$711=0,$P$708=0),"",$L$711-1),IF($R$17="Distrato",$E1116,0))),0,YEARFRAC(MAX($P$708*($B1116+IF($R$17="Distrato",$I$38-1,0)),IF(AND($L$711=0,$P$708=0),"",$L$711-1),IF($R$17="Distrato",$E1116,0)),MIN(AS$38,$D$19),$P$20))-SUM($P1116:AR1116)</f>
        <v>#VALUE!</v>
      </c>
      <c r="AT1116" s="446" t="e">
        <f>IF(OR($B1116="",MIN(AT$38,$D$19)&lt;MAX($P$708*($B1116+IF($R$17="Distrato",$I$38-1,0)),IF(AND($L$711=0,$P$708=0),"",$L$711-1),IF($R$17="Distrato",$E1116,0))),0,YEARFRAC(MAX($P$708*($B1116+IF($R$17="Distrato",$I$38-1,0)),IF(AND($L$711=0,$P$708=0),"",$L$711-1),IF($R$17="Distrato",$E1116,0)),MIN(AT$38,$D$19),$P$20))-SUM($P1116:AS1116)</f>
        <v>#VALUE!</v>
      </c>
      <c r="AU1116" s="446" t="e">
        <f>IF(OR($B1116="",MIN(AU$38,$D$19)&lt;MAX($P$708*($B1116+IF($R$17="Distrato",$I$38-1,0)),IF(AND($L$711=0,$P$708=0),"",$L$711-1),IF($R$17="Distrato",$E1116,0))),0,YEARFRAC(MAX($P$708*($B1116+IF($R$17="Distrato",$I$38-1,0)),IF(AND($L$711=0,$P$708=0),"",$L$711-1),IF($R$17="Distrato",$E1116,0)),MIN(AU$38,$D$19),$P$20))-SUM($P1116:AT1116)</f>
        <v>#VALUE!</v>
      </c>
      <c r="AV1116" s="446" t="e">
        <f>IF(OR($B1116="",MIN(AV$38,$D$19)&lt;MAX($P$708*($B1116+IF($R$17="Distrato",$I$38-1,0)),IF(AND($L$711=0,$P$708=0),"",$L$711-1),IF($R$17="Distrato",$E1116,0))),0,YEARFRAC(MAX($P$708*($B1116+IF($R$17="Distrato",$I$38-1,0)),IF(AND($L$711=0,$P$708=0),"",$L$711-1),IF($R$17="Distrato",$E1116,0)),MIN(AV$38,$D$19),$P$20))-SUM($P1116:AU1116)</f>
        <v>#VALUE!</v>
      </c>
      <c r="AW1116" s="446" t="e">
        <f>IF(OR($B1116="",MIN(AW$38,$D$19)&lt;MAX($P$708*($B1116+IF($R$17="Distrato",$I$38-1,0)),IF(AND($L$711=0,$P$708=0),"",$L$711-1),IF($R$17="Distrato",$E1116,0))),0,YEARFRAC(MAX($P$708*($B1116+IF($R$17="Distrato",$I$38-1,0)),IF(AND($L$711=0,$P$708=0),"",$L$711-1),IF($R$17="Distrato",$E1116,0)),MIN(AW$38,$D$19),$P$20))-SUM($P1116:AV1116)</f>
        <v>#VALUE!</v>
      </c>
      <c r="AX1116" s="446" t="e">
        <f>IF(OR($B1116="",MIN(AX$38,$D$19)&lt;MAX($P$708*($B1116+IF($R$17="Distrato",$I$38-1,0)),IF(AND($L$711=0,$P$708=0),"",$L$711-1),IF($R$17="Distrato",$E1116,0))),0,YEARFRAC(MAX($P$708*($B1116+IF($R$17="Distrato",$I$38-1,0)),IF(AND($L$711=0,$P$708=0),"",$L$711-1),IF($R$17="Distrato",$E1116,0)),MIN(AX$38,$D$19),$P$20))-SUM($P1116:AW1116)</f>
        <v>#VALUE!</v>
      </c>
      <c r="AY1116" s="446" t="e">
        <f>IF(OR($B1116="",MIN(AY$38,$D$19)&lt;MAX($P$708*($B1116+IF($R$17="Distrato",$I$38-1,0)),IF(AND($L$711=0,$P$708=0),"",$L$711-1),IF($R$17="Distrato",$E1116,0))),0,YEARFRAC(MAX($P$708*($B1116+IF($R$17="Distrato",$I$38-1,0)),IF(AND($L$711=0,$P$708=0),"",$L$711-1),IF($R$17="Distrato",$E1116,0)),MIN(AY$38,$D$19),$P$20))-SUM($P1116:AX1116)</f>
        <v>#VALUE!</v>
      </c>
      <c r="AZ1116" s="446" t="e">
        <f>IF(OR($B1116="",MIN(AZ$38,$D$19)&lt;MAX($P$708*($B1116+IF($R$17="Distrato",$I$38-1,0)),IF(AND($L$711=0,$P$708=0),"",$L$711-1),IF($R$17="Distrato",$E1116,0))),0,YEARFRAC(MAX($P$708*($B1116+IF($R$17="Distrato",$I$38-1,0)),IF(AND($L$711=0,$P$708=0),"",$L$711-1),IF($R$17="Distrato",$E1116,0)),MIN(AZ$38,$D$19),$P$20))-SUM($P1116:AY1116)</f>
        <v>#VALUE!</v>
      </c>
      <c r="BA1116" s="446" t="e">
        <f>IF(OR($B1116="",MIN(BA$38,$D$19)&lt;MAX($P$708*($B1116+IF($R$17="Distrato",$I$38-1,0)),IF(AND($L$711=0,$P$708=0),"",$L$711-1),IF($R$17="Distrato",$E1116,0))),0,YEARFRAC(MAX($P$708*($B1116+IF($R$17="Distrato",$I$38-1,0)),IF(AND($L$711=0,$P$708=0),"",$L$711-1),IF($R$17="Distrato",$E1116,0)),MIN(BA$38,$D$19),$P$20))-SUM($P1116:AZ1116)</f>
        <v>#VALUE!</v>
      </c>
      <c r="BB1116" s="447"/>
    </row>
    <row r="1117" spans="1:54" s="446" customFormat="1" ht="11.25" hidden="1" customHeight="1" x14ac:dyDescent="0.2">
      <c r="A1117" s="235"/>
      <c r="B1117" s="236"/>
      <c r="C1117" s="29" t="str">
        <f>IF(B1117="","",IF($L$709=$BL$25,VLOOKUP(DATE(YEAR($D$19),MONTH($D$19)-1,1),ÍNDICES!$A:$DE,HLOOKUP($BL$25,ÍNDICES!$B$3:$T$4,2)+11)-VLOOKUP(B1117,ÍNDICES!$A:$DE,HLOOKUP($BL$25,ÍNDICES!$B$3:$T$4,2)+11)+1%,IF(C$712=$W$26,$J$35,IF(ISERROR(IF(B1117&gt;$D$19,1,VLOOKUP(DATE(YEAR(B1117),MONTH(B1117)+IF($C$709=$S$23,1,0),1),ÍNDICES!$A:$DE,$Z$709+1))),"",IF(B1117&gt;$D$19,1,VLOOKUP(DATE(YEAR(B1117),MONTH(B1117)+IF($C$709=$S$23,1,0),1),ÍNDICES!$A:$DE,$Z$709+1))))))</f>
        <v/>
      </c>
      <c r="D1117" s="155"/>
      <c r="E1117" s="88"/>
      <c r="F1117" s="88"/>
      <c r="G1117" s="88"/>
      <c r="H1117" s="118"/>
      <c r="I1117" s="182">
        <f t="shared" si="157"/>
        <v>0</v>
      </c>
      <c r="J1117" s="20">
        <f t="shared" ca="1" si="158"/>
        <v>0</v>
      </c>
      <c r="K1117" s="5">
        <f t="shared" ca="1" si="159"/>
        <v>0</v>
      </c>
      <c r="L1117" s="61">
        <f t="shared" ca="1" si="160"/>
        <v>0</v>
      </c>
      <c r="M1117" s="64">
        <f t="shared" si="161"/>
        <v>0</v>
      </c>
      <c r="N1117" s="151"/>
      <c r="O1117" s="5">
        <f t="shared" ca="1" si="162"/>
        <v>0</v>
      </c>
      <c r="P1117" s="446" t="e">
        <f t="shared" si="163"/>
        <v>#VALUE!</v>
      </c>
      <c r="Q1117" s="446" t="e">
        <f>IF(OR($B1117="",MIN(Q$38,$D$19)&lt;MAX($P$708*($B1117+IF($R$17="Distrato",$I$38-1,0)),IF(AND($L$711=0,$P$708=0),"",$L$711-1),IF($R$17="Distrato",$E1117,0))),0,YEARFRAC(MAX($P$708*($B1117+IF($R$17="Distrato",$I$38-1,0)),IF(AND($L$711=0,$P$708=0),"",$L$711-1),IF($R$17="Distrato",$E1117,0)),MIN(Q$38,$D$19),$P$20))-SUM($P1117:P1117)</f>
        <v>#VALUE!</v>
      </c>
      <c r="R1117" s="446" t="e">
        <f>IF(OR($B1117="",MIN(R$38,$D$19)&lt;MAX($P$708*($B1117+IF($R$17="Distrato",$I$38-1,0)),IF(AND($L$711=0,$P$708=0),"",$L$711-1),IF($R$17="Distrato",$E1117,0))),0,YEARFRAC(MAX($P$708*($B1117+IF($R$17="Distrato",$I$38-1,0)),IF(AND($L$711=0,$P$708=0),"",$L$711-1),IF($R$17="Distrato",$E1117,0)),MIN(R$38,$D$19),$P$20))-SUM($P1117:Q1117)</f>
        <v>#VALUE!</v>
      </c>
      <c r="S1117" s="446" t="e">
        <f>IF(OR($B1117="",MIN(S$38,$D$19)&lt;MAX($P$708*($B1117+IF($R$17="Distrato",$I$38-1,0)),IF(AND($L$711=0,$P$708=0),"",$L$711-1),IF($R$17="Distrato",$E1117,0))),0,YEARFRAC(MAX($P$708*($B1117+IF($R$17="Distrato",$I$38-1,0)),IF(AND($L$711=0,$P$708=0),"",$L$711-1),IF($R$17="Distrato",$E1117,0)),MIN(S$38,$D$19),$P$20))-SUM($P1117:R1117)</f>
        <v>#VALUE!</v>
      </c>
      <c r="T1117" s="446" t="e">
        <f>IF(OR($B1117="",MIN(T$38,$D$19)&lt;MAX($P$708*($B1117+IF($R$17="Distrato",$I$38-1,0)),IF(AND($L$711=0,$P$708=0),"",$L$711-1),IF($R$17="Distrato",$E1117,0))),0,YEARFRAC(MAX($P$708*($B1117+IF($R$17="Distrato",$I$38-1,0)),IF(AND($L$711=0,$P$708=0),"",$L$711-1),IF($R$17="Distrato",$E1117,0)),MIN(T$38,$D$19),$P$20))-SUM($P1117:S1117)</f>
        <v>#VALUE!</v>
      </c>
      <c r="U1117" s="446" t="e">
        <f>IF(OR($B1117="",MIN(U$38,$D$19)&lt;MAX($P$708*($B1117+IF($R$17="Distrato",$I$38-1,0)),IF(AND($L$711=0,$P$708=0),"",$L$711-1),IF($R$17="Distrato",$E1117,0))),0,YEARFRAC(MAX($P$708*($B1117+IF($R$17="Distrato",$I$38-1,0)),IF(AND($L$711=0,$P$708=0),"",$L$711-1),IF($R$17="Distrato",$E1117,0)),MIN(U$38,$D$19),$P$20))-SUM($P1117:T1117)</f>
        <v>#VALUE!</v>
      </c>
      <c r="V1117" s="446" t="e">
        <f>IF(OR($B1117="",MIN(V$38,$D$19)&lt;MAX($P$708*($B1117+IF($R$17="Distrato",$I$38-1,0)),IF(AND($L$711=0,$P$708=0),"",$L$711-1),IF($R$17="Distrato",$E1117,0))),0,YEARFRAC(MAX($P$708*($B1117+IF($R$17="Distrato",$I$38-1,0)),IF(AND($L$711=0,$P$708=0),"",$L$711-1),IF($R$17="Distrato",$E1117,0)),MIN(V$38,$D$19),$P$20))-SUM($P1117:U1117)</f>
        <v>#VALUE!</v>
      </c>
      <c r="W1117" s="446" t="e">
        <f>IF(OR($B1117="",MIN(W$38,$D$19)&lt;MAX($P$708*($B1117+IF($R$17="Distrato",$I$38-1,0)),IF(AND($L$711=0,$P$708=0),"",$L$711-1),IF($R$17="Distrato",$E1117,0))),0,YEARFRAC(MAX($P$708*($B1117+IF($R$17="Distrato",$I$38-1,0)),IF(AND($L$711=0,$P$708=0),"",$L$711-1),IF($R$17="Distrato",$E1117,0)),MIN(W$38,$D$19),$P$20))-SUM($P1117:V1117)</f>
        <v>#VALUE!</v>
      </c>
      <c r="X1117" s="446" t="e">
        <f>IF(OR($B1117="",MIN(X$38,$D$19)&lt;MAX($P$708*($B1117+IF($R$17="Distrato",$I$38-1,0)),IF(AND($L$711=0,$P$708=0),"",$L$711-1),IF($R$17="Distrato",$E1117,0))),0,YEARFRAC(MAX($P$708*($B1117+IF($R$17="Distrato",$I$38-1,0)),IF(AND($L$711=0,$P$708=0),"",$L$711-1),IF($R$17="Distrato",$E1117,0)),MIN(X$38,$D$19),$P$20))-SUM($P1117:W1117)</f>
        <v>#VALUE!</v>
      </c>
      <c r="Y1117" s="446" t="e">
        <f>IF(OR($B1117="",MIN(Y$38,$D$19)&lt;MAX($P$708*($B1117+IF($R$17="Distrato",$I$38-1,0)),IF(AND($L$711=0,$P$708=0),"",$L$711-1),IF($R$17="Distrato",$E1117,0))),0,YEARFRAC(MAX($P$708*($B1117+IF($R$17="Distrato",$I$38-1,0)),IF(AND($L$711=0,$P$708=0),"",$L$711-1),IF($R$17="Distrato",$E1117,0)),MIN(Y$38,$D$19),$P$20))-SUM($P1117:X1117)</f>
        <v>#VALUE!</v>
      </c>
      <c r="Z1117" s="446" t="e">
        <f>IF(OR($B1117="",MIN(Z$38,$D$19)&lt;MAX($P$708*($B1117+IF($R$17="Distrato",$I$38-1,0)),IF(AND($L$711=0,$P$708=0),"",$L$711-1),IF($R$17="Distrato",$E1117,0))),0,YEARFRAC(MAX($P$708*($B1117+IF($R$17="Distrato",$I$38-1,0)),IF(AND($L$711=0,$P$708=0),"",$L$711-1),IF($R$17="Distrato",$E1117,0)),MIN(Z$38,$D$19),$P$20))-SUM($P1117:Y1117)</f>
        <v>#VALUE!</v>
      </c>
      <c r="AA1117" s="446" t="e">
        <f>IF(OR($B1117="",MIN(AA$38,$D$19)&lt;MAX($P$708*($B1117+IF($R$17="Distrato",$I$38-1,0)),IF(AND($L$711=0,$P$708=0),"",$L$711-1),IF($R$17="Distrato",$E1117,0))),0,YEARFRAC(MAX($P$708*($B1117+IF($R$17="Distrato",$I$38-1,0)),IF(AND($L$711=0,$P$708=0),"",$L$711-1),IF($R$17="Distrato",$E1117,0)),MIN(AA$38,$D$19),$P$20))-SUM($P1117:Z1117)</f>
        <v>#VALUE!</v>
      </c>
      <c r="AB1117" s="446" t="e">
        <f>IF(OR($B1117="",MIN(AB$38,$D$19)&lt;MAX($P$708*($B1117+IF($R$17="Distrato",$I$38-1,0)),IF(AND($L$711=0,$P$708=0),"",$L$711-1),IF($R$17="Distrato",$E1117,0))),0,YEARFRAC(MAX($P$708*($B1117+IF($R$17="Distrato",$I$38-1,0)),IF(AND($L$711=0,$P$708=0),"",$L$711-1),IF($R$17="Distrato",$E1117,0)),MIN(AB$38,$D$19),$P$20))-SUM($P1117:AA1117)</f>
        <v>#VALUE!</v>
      </c>
      <c r="AC1117" s="446" t="e">
        <f>IF(OR($B1117="",MIN(AC$38,$D$19)&lt;MAX($P$708*($B1117+IF($R$17="Distrato",$I$38-1,0)),IF(AND($L$711=0,$P$708=0),"",$L$711-1),IF($R$17="Distrato",$E1117,0))),0,YEARFRAC(MAX($P$708*($B1117+IF($R$17="Distrato",$I$38-1,0)),IF(AND($L$711=0,$P$708=0),"",$L$711-1),IF($R$17="Distrato",$E1117,0)),MIN(AC$38,$D$19),$P$20))-SUM($P1117:AB1117)</f>
        <v>#VALUE!</v>
      </c>
      <c r="AD1117" s="446" t="e">
        <f>IF(OR($B1117="",MIN(AD$38,$D$19)&lt;MAX($P$708*($B1117+IF($R$17="Distrato",$I$38-1,0)),IF(AND($L$711=0,$P$708=0),"",$L$711-1),IF($R$17="Distrato",$E1117,0))),0,YEARFRAC(MAX($P$708*($B1117+IF($R$17="Distrato",$I$38-1,0)),IF(AND($L$711=0,$P$708=0),"",$L$711-1),IF($R$17="Distrato",$E1117,0)),MIN(AD$38,$D$19),$P$20))-SUM($P1117:AC1117)</f>
        <v>#VALUE!</v>
      </c>
      <c r="AE1117" s="446" t="e">
        <f>IF(OR($B1117="",MIN(AE$38,$D$19)&lt;MAX($P$708*($B1117+IF($R$17="Distrato",$I$38-1,0)),IF(AND($L$711=0,$P$708=0),"",$L$711-1),IF($R$17="Distrato",$E1117,0))),0,YEARFRAC(MAX($P$708*($B1117+IF($R$17="Distrato",$I$38-1,0)),IF(AND($L$711=0,$P$708=0),"",$L$711-1),IF($R$17="Distrato",$E1117,0)),MIN(AE$38,$D$19),$P$20))-SUM($P1117:AD1117)</f>
        <v>#VALUE!</v>
      </c>
      <c r="AF1117" s="446" t="e">
        <f>IF(OR($B1117="",MIN(AF$38,$D$19)&lt;MAX($P$708*($B1117+IF($R$17="Distrato",$I$38-1,0)),IF(AND($L$711=0,$P$708=0),"",$L$711-1),IF($R$17="Distrato",$E1117,0))),0,YEARFRAC(MAX($P$708*($B1117+IF($R$17="Distrato",$I$38-1,0)),IF(AND($L$711=0,$P$708=0),"",$L$711-1),IF($R$17="Distrato",$E1117,0)),MIN(AF$38,$D$19),$P$20))-SUM($P1117:AE1117)</f>
        <v>#VALUE!</v>
      </c>
      <c r="AG1117" s="446" t="e">
        <f>IF(OR($B1117="",MIN(AG$38,$D$19)&lt;MAX($P$708*($B1117+IF($R$17="Distrato",$I$38-1,0)),IF(AND($L$711=0,$P$708=0),"",$L$711-1),IF($R$17="Distrato",$E1117,0))),0,YEARFRAC(MAX($P$708*($B1117+IF($R$17="Distrato",$I$38-1,0)),IF(AND($L$711=0,$P$708=0),"",$L$711-1),IF($R$17="Distrato",$E1117,0)),MIN(AG$38,$D$19),$P$20))-SUM($P1117:AF1117)</f>
        <v>#VALUE!</v>
      </c>
      <c r="AH1117" s="446" t="e">
        <f>IF(OR($B1117="",MIN(AH$38,$D$19)&lt;MAX($P$708*($B1117+IF($R$17="Distrato",$I$38-1,0)),IF(AND($L$711=0,$P$708=0),"",$L$711-1),IF($R$17="Distrato",$E1117,0))),0,YEARFRAC(MAX($P$708*($B1117+IF($R$17="Distrato",$I$38-1,0)),IF(AND($L$711=0,$P$708=0),"",$L$711-1),IF($R$17="Distrato",$E1117,0)),MIN(AH$38,$D$19),$P$20))-SUM($P1117:AG1117)</f>
        <v>#VALUE!</v>
      </c>
      <c r="AI1117" s="446" t="e">
        <f>IF(OR($B1117="",MIN(AI$38,$D$19)&lt;MAX($P$708*($B1117+IF($R$17="Distrato",$I$38-1,0)),IF(AND($L$711=0,$P$708=0),"",$L$711-1),IF($R$17="Distrato",$E1117,0))),0,YEARFRAC(MAX($P$708*($B1117+IF($R$17="Distrato",$I$38-1,0)),IF(AND($L$711=0,$P$708=0),"",$L$711-1),IF($R$17="Distrato",$E1117,0)),MIN(AI$38,$D$19),$P$20))-SUM($P1117:AH1117)</f>
        <v>#VALUE!</v>
      </c>
      <c r="AJ1117" s="446" t="e">
        <f>IF(OR($B1117="",MIN(AJ$38,$D$19)&lt;MAX($P$708*($B1117+IF($R$17="Distrato",$I$38-1,0)),IF(AND($L$711=0,$P$708=0),"",$L$711-1),IF($R$17="Distrato",$E1117,0))),0,YEARFRAC(MAX($P$708*($B1117+IF($R$17="Distrato",$I$38-1,0)),IF(AND($L$711=0,$P$708=0),"",$L$711-1),IF($R$17="Distrato",$E1117,0)),MIN(AJ$38,$D$19),$P$20))-SUM($P1117:AI1117)</f>
        <v>#VALUE!</v>
      </c>
      <c r="AK1117" s="446" t="e">
        <f>IF(OR($B1117="",MIN(AK$38,$D$19)&lt;MAX($P$708*($B1117+IF($R$17="Distrato",$I$38-1,0)),IF(AND($L$711=0,$P$708=0),"",$L$711-1),IF($R$17="Distrato",$E1117,0))),0,YEARFRAC(MAX($P$708*($B1117+IF($R$17="Distrato",$I$38-1,0)),IF(AND($L$711=0,$P$708=0),"",$L$711-1),IF($R$17="Distrato",$E1117,0)),MIN(AK$38,$D$19),$P$20))-SUM($P1117:AJ1117)</f>
        <v>#VALUE!</v>
      </c>
      <c r="AL1117" s="446" t="e">
        <f>IF(OR($B1117="",MIN(AL$38,$D$19)&lt;MAX($P$708*($B1117+IF($R$17="Distrato",$I$38-1,0)),IF(AND($L$711=0,$P$708=0),"",$L$711-1),IF($R$17="Distrato",$E1117,0))),0,YEARFRAC(MAX($P$708*($B1117+IF($R$17="Distrato",$I$38-1,0)),IF(AND($L$711=0,$P$708=0),"",$L$711-1),IF($R$17="Distrato",$E1117,0)),MIN(AL$38,$D$19),$P$20))-SUM($P1117:AK1117)</f>
        <v>#VALUE!</v>
      </c>
      <c r="AM1117" s="446" t="e">
        <f>IF(OR($B1117="",MIN(AM$38,$D$19)&lt;MAX($P$708*($B1117+IF($R$17="Distrato",$I$38-1,0)),IF(AND($L$711=0,$P$708=0),"",$L$711-1),IF($R$17="Distrato",$E1117,0))),0,YEARFRAC(MAX($P$708*($B1117+IF($R$17="Distrato",$I$38-1,0)),IF(AND($L$711=0,$P$708=0),"",$L$711-1),IF($R$17="Distrato",$E1117,0)),MIN(AM$38,$D$19),$P$20))-SUM($P1117:AL1117)</f>
        <v>#VALUE!</v>
      </c>
      <c r="AN1117" s="446" t="e">
        <f>IF(OR($B1117="",MIN(AN$38,$D$19)&lt;MAX($P$708*($B1117+IF($R$17="Distrato",$I$38-1,0)),IF(AND($L$711=0,$P$708=0),"",$L$711-1),IF($R$17="Distrato",$E1117,0))),0,YEARFRAC(MAX($P$708*($B1117+IF($R$17="Distrato",$I$38-1,0)),IF(AND($L$711=0,$P$708=0),"",$L$711-1),IF($R$17="Distrato",$E1117,0)),MIN(AN$38,$D$19),$P$20))-SUM($P1117:AM1117)</f>
        <v>#VALUE!</v>
      </c>
      <c r="AO1117" s="446" t="e">
        <f>IF(OR($B1117="",MIN(AO$38,$D$19)&lt;MAX($P$708*($B1117+IF($R$17="Distrato",$I$38-1,0)),IF(AND($L$711=0,$P$708=0),"",$L$711-1),IF($R$17="Distrato",$E1117,0))),0,YEARFRAC(MAX($P$708*($B1117+IF($R$17="Distrato",$I$38-1,0)),IF(AND($L$711=0,$P$708=0),"",$L$711-1),IF($R$17="Distrato",$E1117,0)),MIN(AO$38,$D$19),$P$20))-SUM($P1117:AN1117)</f>
        <v>#VALUE!</v>
      </c>
      <c r="AP1117" s="446" t="e">
        <f>IF(OR($B1117="",MIN(AP$38,$D$19)&lt;MAX($P$708*($B1117+IF($R$17="Distrato",$I$38-1,0)),IF(AND($L$711=0,$P$708=0),"",$L$711-1),IF($R$17="Distrato",$E1117,0))),0,YEARFRAC(MAX($P$708*($B1117+IF($R$17="Distrato",$I$38-1,0)),IF(AND($L$711=0,$P$708=0),"",$L$711-1),IF($R$17="Distrato",$E1117,0)),MIN(AP$38,$D$19),$P$20))-SUM($P1117:AO1117)</f>
        <v>#VALUE!</v>
      </c>
      <c r="AQ1117" s="446" t="e">
        <f>IF(OR($B1117="",MIN(AQ$38,$D$19)&lt;MAX($P$708*($B1117+IF($R$17="Distrato",$I$38-1,0)),IF(AND($L$711=0,$P$708=0),"",$L$711-1),IF($R$17="Distrato",$E1117,0))),0,YEARFRAC(MAX($P$708*($B1117+IF($R$17="Distrato",$I$38-1,0)),IF(AND($L$711=0,$P$708=0),"",$L$711-1),IF($R$17="Distrato",$E1117,0)),MIN(AQ$38,$D$19),$P$20))-SUM($P1117:AP1117)</f>
        <v>#VALUE!</v>
      </c>
      <c r="AR1117" s="446" t="e">
        <f>IF(OR($B1117="",MIN(AR$38,$D$19)&lt;MAX($P$708*($B1117+IF($R$17="Distrato",$I$38-1,0)),IF(AND($L$711=0,$P$708=0),"",$L$711-1),IF($R$17="Distrato",$E1117,0))),0,YEARFRAC(MAX($P$708*($B1117+IF($R$17="Distrato",$I$38-1,0)),IF(AND($L$711=0,$P$708=0),"",$L$711-1),IF($R$17="Distrato",$E1117,0)),MIN(AR$38,$D$19),$P$20))-SUM($P1117:AQ1117)</f>
        <v>#VALUE!</v>
      </c>
      <c r="AS1117" s="446" t="e">
        <f>IF(OR($B1117="",MIN(AS$38,$D$19)&lt;MAX($P$708*($B1117+IF($R$17="Distrato",$I$38-1,0)),IF(AND($L$711=0,$P$708=0),"",$L$711-1),IF($R$17="Distrato",$E1117,0))),0,YEARFRAC(MAX($P$708*($B1117+IF($R$17="Distrato",$I$38-1,0)),IF(AND($L$711=0,$P$708=0),"",$L$711-1),IF($R$17="Distrato",$E1117,0)),MIN(AS$38,$D$19),$P$20))-SUM($P1117:AR1117)</f>
        <v>#VALUE!</v>
      </c>
      <c r="AT1117" s="446" t="e">
        <f>IF(OR($B1117="",MIN(AT$38,$D$19)&lt;MAX($P$708*($B1117+IF($R$17="Distrato",$I$38-1,0)),IF(AND($L$711=0,$P$708=0),"",$L$711-1),IF($R$17="Distrato",$E1117,0))),0,YEARFRAC(MAX($P$708*($B1117+IF($R$17="Distrato",$I$38-1,0)),IF(AND($L$711=0,$P$708=0),"",$L$711-1),IF($R$17="Distrato",$E1117,0)),MIN(AT$38,$D$19),$P$20))-SUM($P1117:AS1117)</f>
        <v>#VALUE!</v>
      </c>
      <c r="AU1117" s="446" t="e">
        <f>IF(OR($B1117="",MIN(AU$38,$D$19)&lt;MAX($P$708*($B1117+IF($R$17="Distrato",$I$38-1,0)),IF(AND($L$711=0,$P$708=0),"",$L$711-1),IF($R$17="Distrato",$E1117,0))),0,YEARFRAC(MAX($P$708*($B1117+IF($R$17="Distrato",$I$38-1,0)),IF(AND($L$711=0,$P$708=0),"",$L$711-1),IF($R$17="Distrato",$E1117,0)),MIN(AU$38,$D$19),$P$20))-SUM($P1117:AT1117)</f>
        <v>#VALUE!</v>
      </c>
      <c r="AV1117" s="446" t="e">
        <f>IF(OR($B1117="",MIN(AV$38,$D$19)&lt;MAX($P$708*($B1117+IF($R$17="Distrato",$I$38-1,0)),IF(AND($L$711=0,$P$708=0),"",$L$711-1),IF($R$17="Distrato",$E1117,0))),0,YEARFRAC(MAX($P$708*($B1117+IF($R$17="Distrato",$I$38-1,0)),IF(AND($L$711=0,$P$708=0),"",$L$711-1),IF($R$17="Distrato",$E1117,0)),MIN(AV$38,$D$19),$P$20))-SUM($P1117:AU1117)</f>
        <v>#VALUE!</v>
      </c>
      <c r="AW1117" s="446" t="e">
        <f>IF(OR($B1117="",MIN(AW$38,$D$19)&lt;MAX($P$708*($B1117+IF($R$17="Distrato",$I$38-1,0)),IF(AND($L$711=0,$P$708=0),"",$L$711-1),IF($R$17="Distrato",$E1117,0))),0,YEARFRAC(MAX($P$708*($B1117+IF($R$17="Distrato",$I$38-1,0)),IF(AND($L$711=0,$P$708=0),"",$L$711-1),IF($R$17="Distrato",$E1117,0)),MIN(AW$38,$D$19),$P$20))-SUM($P1117:AV1117)</f>
        <v>#VALUE!</v>
      </c>
      <c r="AX1117" s="446" t="e">
        <f>IF(OR($B1117="",MIN(AX$38,$D$19)&lt;MAX($P$708*($B1117+IF($R$17="Distrato",$I$38-1,0)),IF(AND($L$711=0,$P$708=0),"",$L$711-1),IF($R$17="Distrato",$E1117,0))),0,YEARFRAC(MAX($P$708*($B1117+IF($R$17="Distrato",$I$38-1,0)),IF(AND($L$711=0,$P$708=0),"",$L$711-1),IF($R$17="Distrato",$E1117,0)),MIN(AX$38,$D$19),$P$20))-SUM($P1117:AW1117)</f>
        <v>#VALUE!</v>
      </c>
      <c r="AY1117" s="446" t="e">
        <f>IF(OR($B1117="",MIN(AY$38,$D$19)&lt;MAX($P$708*($B1117+IF($R$17="Distrato",$I$38-1,0)),IF(AND($L$711=0,$P$708=0),"",$L$711-1),IF($R$17="Distrato",$E1117,0))),0,YEARFRAC(MAX($P$708*($B1117+IF($R$17="Distrato",$I$38-1,0)),IF(AND($L$711=0,$P$708=0),"",$L$711-1),IF($R$17="Distrato",$E1117,0)),MIN(AY$38,$D$19),$P$20))-SUM($P1117:AX1117)</f>
        <v>#VALUE!</v>
      </c>
      <c r="AZ1117" s="446" t="e">
        <f>IF(OR($B1117="",MIN(AZ$38,$D$19)&lt;MAX($P$708*($B1117+IF($R$17="Distrato",$I$38-1,0)),IF(AND($L$711=0,$P$708=0),"",$L$711-1),IF($R$17="Distrato",$E1117,0))),0,YEARFRAC(MAX($P$708*($B1117+IF($R$17="Distrato",$I$38-1,0)),IF(AND($L$711=0,$P$708=0),"",$L$711-1),IF($R$17="Distrato",$E1117,0)),MIN(AZ$38,$D$19),$P$20))-SUM($P1117:AY1117)</f>
        <v>#VALUE!</v>
      </c>
      <c r="BA1117" s="446" t="e">
        <f>IF(OR($B1117="",MIN(BA$38,$D$19)&lt;MAX($P$708*($B1117+IF($R$17="Distrato",$I$38-1,0)),IF(AND($L$711=0,$P$708=0),"",$L$711-1),IF($R$17="Distrato",$E1117,0))),0,YEARFRAC(MAX($P$708*($B1117+IF($R$17="Distrato",$I$38-1,0)),IF(AND($L$711=0,$P$708=0),"",$L$711-1),IF($R$17="Distrato",$E1117,0)),MIN(BA$38,$D$19),$P$20))-SUM($P1117:AZ1117)</f>
        <v>#VALUE!</v>
      </c>
      <c r="BB1117" s="447"/>
    </row>
    <row r="1118" spans="1:54" s="446" customFormat="1" ht="11.25" hidden="1" customHeight="1" x14ac:dyDescent="0.2">
      <c r="A1118" s="235"/>
      <c r="B1118" s="236"/>
      <c r="C1118" s="29" t="str">
        <f>IF(B1118="","",IF($L$709=$BL$25,VLOOKUP(DATE(YEAR($D$19),MONTH($D$19)-1,1),ÍNDICES!$A:$DE,HLOOKUP($BL$25,ÍNDICES!$B$3:$T$4,2)+11)-VLOOKUP(B1118,ÍNDICES!$A:$DE,HLOOKUP($BL$25,ÍNDICES!$B$3:$T$4,2)+11)+1%,IF(C$712=$W$26,$J$35,IF(ISERROR(IF(B1118&gt;$D$19,1,VLOOKUP(DATE(YEAR(B1118),MONTH(B1118)+IF($C$709=$S$23,1,0),1),ÍNDICES!$A:$DE,$Z$709+1))),"",IF(B1118&gt;$D$19,1,VLOOKUP(DATE(YEAR(B1118),MONTH(B1118)+IF($C$709=$S$23,1,0),1),ÍNDICES!$A:$DE,$Z$709+1))))))</f>
        <v/>
      </c>
      <c r="D1118" s="155"/>
      <c r="E1118" s="88"/>
      <c r="F1118" s="88"/>
      <c r="G1118" s="88"/>
      <c r="H1118" s="118"/>
      <c r="I1118" s="182">
        <f t="shared" si="157"/>
        <v>0</v>
      </c>
      <c r="J1118" s="20">
        <f t="shared" ca="1" si="158"/>
        <v>0</v>
      </c>
      <c r="K1118" s="5">
        <f t="shared" ca="1" si="159"/>
        <v>0</v>
      </c>
      <c r="L1118" s="61">
        <f t="shared" ca="1" si="160"/>
        <v>0</v>
      </c>
      <c r="M1118" s="64">
        <f t="shared" si="161"/>
        <v>0</v>
      </c>
      <c r="N1118" s="151"/>
      <c r="O1118" s="5">
        <f t="shared" ca="1" si="162"/>
        <v>0</v>
      </c>
      <c r="P1118" s="446" t="e">
        <f t="shared" si="163"/>
        <v>#VALUE!</v>
      </c>
      <c r="Q1118" s="446" t="e">
        <f>IF(OR($B1118="",MIN(Q$38,$D$19)&lt;MAX($P$708*($B1118+IF($R$17="Distrato",$I$38-1,0)),IF(AND($L$711=0,$P$708=0),"",$L$711-1),IF($R$17="Distrato",$E1118,0))),0,YEARFRAC(MAX($P$708*($B1118+IF($R$17="Distrato",$I$38-1,0)),IF(AND($L$711=0,$P$708=0),"",$L$711-1),IF($R$17="Distrato",$E1118,0)),MIN(Q$38,$D$19),$P$20))-SUM($P1118:P1118)</f>
        <v>#VALUE!</v>
      </c>
      <c r="R1118" s="446" t="e">
        <f>IF(OR($B1118="",MIN(R$38,$D$19)&lt;MAX($P$708*($B1118+IF($R$17="Distrato",$I$38-1,0)),IF(AND($L$711=0,$P$708=0),"",$L$711-1),IF($R$17="Distrato",$E1118,0))),0,YEARFRAC(MAX($P$708*($B1118+IF($R$17="Distrato",$I$38-1,0)),IF(AND($L$711=0,$P$708=0),"",$L$711-1),IF($R$17="Distrato",$E1118,0)),MIN(R$38,$D$19),$P$20))-SUM($P1118:Q1118)</f>
        <v>#VALUE!</v>
      </c>
      <c r="S1118" s="446" t="e">
        <f>IF(OR($B1118="",MIN(S$38,$D$19)&lt;MAX($P$708*($B1118+IF($R$17="Distrato",$I$38-1,0)),IF(AND($L$711=0,$P$708=0),"",$L$711-1),IF($R$17="Distrato",$E1118,0))),0,YEARFRAC(MAX($P$708*($B1118+IF($R$17="Distrato",$I$38-1,0)),IF(AND($L$711=0,$P$708=0),"",$L$711-1),IF($R$17="Distrato",$E1118,0)),MIN(S$38,$D$19),$P$20))-SUM($P1118:R1118)</f>
        <v>#VALUE!</v>
      </c>
      <c r="T1118" s="446" t="e">
        <f>IF(OR($B1118="",MIN(T$38,$D$19)&lt;MAX($P$708*($B1118+IF($R$17="Distrato",$I$38-1,0)),IF(AND($L$711=0,$P$708=0),"",$L$711-1),IF($R$17="Distrato",$E1118,0))),0,YEARFRAC(MAX($P$708*($B1118+IF($R$17="Distrato",$I$38-1,0)),IF(AND($L$711=0,$P$708=0),"",$L$711-1),IF($R$17="Distrato",$E1118,0)),MIN(T$38,$D$19),$P$20))-SUM($P1118:S1118)</f>
        <v>#VALUE!</v>
      </c>
      <c r="U1118" s="446" t="e">
        <f>IF(OR($B1118="",MIN(U$38,$D$19)&lt;MAX($P$708*($B1118+IF($R$17="Distrato",$I$38-1,0)),IF(AND($L$711=0,$P$708=0),"",$L$711-1),IF($R$17="Distrato",$E1118,0))),0,YEARFRAC(MAX($P$708*($B1118+IF($R$17="Distrato",$I$38-1,0)),IF(AND($L$711=0,$P$708=0),"",$L$711-1),IF($R$17="Distrato",$E1118,0)),MIN(U$38,$D$19),$P$20))-SUM($P1118:T1118)</f>
        <v>#VALUE!</v>
      </c>
      <c r="V1118" s="446" t="e">
        <f>IF(OR($B1118="",MIN(V$38,$D$19)&lt;MAX($P$708*($B1118+IF($R$17="Distrato",$I$38-1,0)),IF(AND($L$711=0,$P$708=0),"",$L$711-1),IF($R$17="Distrato",$E1118,0))),0,YEARFRAC(MAX($P$708*($B1118+IF($R$17="Distrato",$I$38-1,0)),IF(AND($L$711=0,$P$708=0),"",$L$711-1),IF($R$17="Distrato",$E1118,0)),MIN(V$38,$D$19),$P$20))-SUM($P1118:U1118)</f>
        <v>#VALUE!</v>
      </c>
      <c r="W1118" s="446" t="e">
        <f>IF(OR($B1118="",MIN(W$38,$D$19)&lt;MAX($P$708*($B1118+IF($R$17="Distrato",$I$38-1,0)),IF(AND($L$711=0,$P$708=0),"",$L$711-1),IF($R$17="Distrato",$E1118,0))),0,YEARFRAC(MAX($P$708*($B1118+IF($R$17="Distrato",$I$38-1,0)),IF(AND($L$711=0,$P$708=0),"",$L$711-1),IF($R$17="Distrato",$E1118,0)),MIN(W$38,$D$19),$P$20))-SUM($P1118:V1118)</f>
        <v>#VALUE!</v>
      </c>
      <c r="X1118" s="446" t="e">
        <f>IF(OR($B1118="",MIN(X$38,$D$19)&lt;MAX($P$708*($B1118+IF($R$17="Distrato",$I$38-1,0)),IF(AND($L$711=0,$P$708=0),"",$L$711-1),IF($R$17="Distrato",$E1118,0))),0,YEARFRAC(MAX($P$708*($B1118+IF($R$17="Distrato",$I$38-1,0)),IF(AND($L$711=0,$P$708=0),"",$L$711-1),IF($R$17="Distrato",$E1118,0)),MIN(X$38,$D$19),$P$20))-SUM($P1118:W1118)</f>
        <v>#VALUE!</v>
      </c>
      <c r="Y1118" s="446" t="e">
        <f>IF(OR($B1118="",MIN(Y$38,$D$19)&lt;MAX($P$708*($B1118+IF($R$17="Distrato",$I$38-1,0)),IF(AND($L$711=0,$P$708=0),"",$L$711-1),IF($R$17="Distrato",$E1118,0))),0,YEARFRAC(MAX($P$708*($B1118+IF($R$17="Distrato",$I$38-1,0)),IF(AND($L$711=0,$P$708=0),"",$L$711-1),IF($R$17="Distrato",$E1118,0)),MIN(Y$38,$D$19),$P$20))-SUM($P1118:X1118)</f>
        <v>#VALUE!</v>
      </c>
      <c r="Z1118" s="446" t="e">
        <f>IF(OR($B1118="",MIN(Z$38,$D$19)&lt;MAX($P$708*($B1118+IF($R$17="Distrato",$I$38-1,0)),IF(AND($L$711=0,$P$708=0),"",$L$711-1),IF($R$17="Distrato",$E1118,0))),0,YEARFRAC(MAX($P$708*($B1118+IF($R$17="Distrato",$I$38-1,0)),IF(AND($L$711=0,$P$708=0),"",$L$711-1),IF($R$17="Distrato",$E1118,0)),MIN(Z$38,$D$19),$P$20))-SUM($P1118:Y1118)</f>
        <v>#VALUE!</v>
      </c>
      <c r="AA1118" s="446" t="e">
        <f>IF(OR($B1118="",MIN(AA$38,$D$19)&lt;MAX($P$708*($B1118+IF($R$17="Distrato",$I$38-1,0)),IF(AND($L$711=0,$P$708=0),"",$L$711-1),IF($R$17="Distrato",$E1118,0))),0,YEARFRAC(MAX($P$708*($B1118+IF($R$17="Distrato",$I$38-1,0)),IF(AND($L$711=0,$P$708=0),"",$L$711-1),IF($R$17="Distrato",$E1118,0)),MIN(AA$38,$D$19),$P$20))-SUM($P1118:Z1118)</f>
        <v>#VALUE!</v>
      </c>
      <c r="AB1118" s="446" t="e">
        <f>IF(OR($B1118="",MIN(AB$38,$D$19)&lt;MAX($P$708*($B1118+IF($R$17="Distrato",$I$38-1,0)),IF(AND($L$711=0,$P$708=0),"",$L$711-1),IF($R$17="Distrato",$E1118,0))),0,YEARFRAC(MAX($P$708*($B1118+IF($R$17="Distrato",$I$38-1,0)),IF(AND($L$711=0,$P$708=0),"",$L$711-1),IF($R$17="Distrato",$E1118,0)),MIN(AB$38,$D$19),$P$20))-SUM($P1118:AA1118)</f>
        <v>#VALUE!</v>
      </c>
      <c r="AC1118" s="446" t="e">
        <f>IF(OR($B1118="",MIN(AC$38,$D$19)&lt;MAX($P$708*($B1118+IF($R$17="Distrato",$I$38-1,0)),IF(AND($L$711=0,$P$708=0),"",$L$711-1),IF($R$17="Distrato",$E1118,0))),0,YEARFRAC(MAX($P$708*($B1118+IF($R$17="Distrato",$I$38-1,0)),IF(AND($L$711=0,$P$708=0),"",$L$711-1),IF($R$17="Distrato",$E1118,0)),MIN(AC$38,$D$19),$P$20))-SUM($P1118:AB1118)</f>
        <v>#VALUE!</v>
      </c>
      <c r="AD1118" s="446" t="e">
        <f>IF(OR($B1118="",MIN(AD$38,$D$19)&lt;MAX($P$708*($B1118+IF($R$17="Distrato",$I$38-1,0)),IF(AND($L$711=0,$P$708=0),"",$L$711-1),IF($R$17="Distrato",$E1118,0))),0,YEARFRAC(MAX($P$708*($B1118+IF($R$17="Distrato",$I$38-1,0)),IF(AND($L$711=0,$P$708=0),"",$L$711-1),IF($R$17="Distrato",$E1118,0)),MIN(AD$38,$D$19),$P$20))-SUM($P1118:AC1118)</f>
        <v>#VALUE!</v>
      </c>
      <c r="AE1118" s="446" t="e">
        <f>IF(OR($B1118="",MIN(AE$38,$D$19)&lt;MAX($P$708*($B1118+IF($R$17="Distrato",$I$38-1,0)),IF(AND($L$711=0,$P$708=0),"",$L$711-1),IF($R$17="Distrato",$E1118,0))),0,YEARFRAC(MAX($P$708*($B1118+IF($R$17="Distrato",$I$38-1,0)),IF(AND($L$711=0,$P$708=0),"",$L$711-1),IF($R$17="Distrato",$E1118,0)),MIN(AE$38,$D$19),$P$20))-SUM($P1118:AD1118)</f>
        <v>#VALUE!</v>
      </c>
      <c r="AF1118" s="446" t="e">
        <f>IF(OR($B1118="",MIN(AF$38,$D$19)&lt;MAX($P$708*($B1118+IF($R$17="Distrato",$I$38-1,0)),IF(AND($L$711=0,$P$708=0),"",$L$711-1),IF($R$17="Distrato",$E1118,0))),0,YEARFRAC(MAX($P$708*($B1118+IF($R$17="Distrato",$I$38-1,0)),IF(AND($L$711=0,$P$708=0),"",$L$711-1),IF($R$17="Distrato",$E1118,0)),MIN(AF$38,$D$19),$P$20))-SUM($P1118:AE1118)</f>
        <v>#VALUE!</v>
      </c>
      <c r="AG1118" s="446" t="e">
        <f>IF(OR($B1118="",MIN(AG$38,$D$19)&lt;MAX($P$708*($B1118+IF($R$17="Distrato",$I$38-1,0)),IF(AND($L$711=0,$P$708=0),"",$L$711-1),IF($R$17="Distrato",$E1118,0))),0,YEARFRAC(MAX($P$708*($B1118+IF($R$17="Distrato",$I$38-1,0)),IF(AND($L$711=0,$P$708=0),"",$L$711-1),IF($R$17="Distrato",$E1118,0)),MIN(AG$38,$D$19),$P$20))-SUM($P1118:AF1118)</f>
        <v>#VALUE!</v>
      </c>
      <c r="AH1118" s="446" t="e">
        <f>IF(OR($B1118="",MIN(AH$38,$D$19)&lt;MAX($P$708*($B1118+IF($R$17="Distrato",$I$38-1,0)),IF(AND($L$711=0,$P$708=0),"",$L$711-1),IF($R$17="Distrato",$E1118,0))),0,YEARFRAC(MAX($P$708*($B1118+IF($R$17="Distrato",$I$38-1,0)),IF(AND($L$711=0,$P$708=0),"",$L$711-1),IF($R$17="Distrato",$E1118,0)),MIN(AH$38,$D$19),$P$20))-SUM($P1118:AG1118)</f>
        <v>#VALUE!</v>
      </c>
      <c r="AI1118" s="446" t="e">
        <f>IF(OR($B1118="",MIN(AI$38,$D$19)&lt;MAX($P$708*($B1118+IF($R$17="Distrato",$I$38-1,0)),IF(AND($L$711=0,$P$708=0),"",$L$711-1),IF($R$17="Distrato",$E1118,0))),0,YEARFRAC(MAX($P$708*($B1118+IF($R$17="Distrato",$I$38-1,0)),IF(AND($L$711=0,$P$708=0),"",$L$711-1),IF($R$17="Distrato",$E1118,0)),MIN(AI$38,$D$19),$P$20))-SUM($P1118:AH1118)</f>
        <v>#VALUE!</v>
      </c>
      <c r="AJ1118" s="446" t="e">
        <f>IF(OR($B1118="",MIN(AJ$38,$D$19)&lt;MAX($P$708*($B1118+IF($R$17="Distrato",$I$38-1,0)),IF(AND($L$711=0,$P$708=0),"",$L$711-1),IF($R$17="Distrato",$E1118,0))),0,YEARFRAC(MAX($P$708*($B1118+IF($R$17="Distrato",$I$38-1,0)),IF(AND($L$711=0,$P$708=0),"",$L$711-1),IF($R$17="Distrato",$E1118,0)),MIN(AJ$38,$D$19),$P$20))-SUM($P1118:AI1118)</f>
        <v>#VALUE!</v>
      </c>
      <c r="AK1118" s="446" t="e">
        <f>IF(OR($B1118="",MIN(AK$38,$D$19)&lt;MAX($P$708*($B1118+IF($R$17="Distrato",$I$38-1,0)),IF(AND($L$711=0,$P$708=0),"",$L$711-1),IF($R$17="Distrato",$E1118,0))),0,YEARFRAC(MAX($P$708*($B1118+IF($R$17="Distrato",$I$38-1,0)),IF(AND($L$711=0,$P$708=0),"",$L$711-1),IF($R$17="Distrato",$E1118,0)),MIN(AK$38,$D$19),$P$20))-SUM($P1118:AJ1118)</f>
        <v>#VALUE!</v>
      </c>
      <c r="AL1118" s="446" t="e">
        <f>IF(OR($B1118="",MIN(AL$38,$D$19)&lt;MAX($P$708*($B1118+IF($R$17="Distrato",$I$38-1,0)),IF(AND($L$711=0,$P$708=0),"",$L$711-1),IF($R$17="Distrato",$E1118,0))),0,YEARFRAC(MAX($P$708*($B1118+IF($R$17="Distrato",$I$38-1,0)),IF(AND($L$711=0,$P$708=0),"",$L$711-1),IF($R$17="Distrato",$E1118,0)),MIN(AL$38,$D$19),$P$20))-SUM($P1118:AK1118)</f>
        <v>#VALUE!</v>
      </c>
      <c r="AM1118" s="446" t="e">
        <f>IF(OR($B1118="",MIN(AM$38,$D$19)&lt;MAX($P$708*($B1118+IF($R$17="Distrato",$I$38-1,0)),IF(AND($L$711=0,$P$708=0),"",$L$711-1),IF($R$17="Distrato",$E1118,0))),0,YEARFRAC(MAX($P$708*($B1118+IF($R$17="Distrato",$I$38-1,0)),IF(AND($L$711=0,$P$708=0),"",$L$711-1),IF($R$17="Distrato",$E1118,0)),MIN(AM$38,$D$19),$P$20))-SUM($P1118:AL1118)</f>
        <v>#VALUE!</v>
      </c>
      <c r="AN1118" s="446" t="e">
        <f>IF(OR($B1118="",MIN(AN$38,$D$19)&lt;MAX($P$708*($B1118+IF($R$17="Distrato",$I$38-1,0)),IF(AND($L$711=0,$P$708=0),"",$L$711-1),IF($R$17="Distrato",$E1118,0))),0,YEARFRAC(MAX($P$708*($B1118+IF($R$17="Distrato",$I$38-1,0)),IF(AND($L$711=0,$P$708=0),"",$L$711-1),IF($R$17="Distrato",$E1118,0)),MIN(AN$38,$D$19),$P$20))-SUM($P1118:AM1118)</f>
        <v>#VALUE!</v>
      </c>
      <c r="AO1118" s="446" t="e">
        <f>IF(OR($B1118="",MIN(AO$38,$D$19)&lt;MAX($P$708*($B1118+IF($R$17="Distrato",$I$38-1,0)),IF(AND($L$711=0,$P$708=0),"",$L$711-1),IF($R$17="Distrato",$E1118,0))),0,YEARFRAC(MAX($P$708*($B1118+IF($R$17="Distrato",$I$38-1,0)),IF(AND($L$711=0,$P$708=0),"",$L$711-1),IF($R$17="Distrato",$E1118,0)),MIN(AO$38,$D$19),$P$20))-SUM($P1118:AN1118)</f>
        <v>#VALUE!</v>
      </c>
      <c r="AP1118" s="446" t="e">
        <f>IF(OR($B1118="",MIN(AP$38,$D$19)&lt;MAX($P$708*($B1118+IF($R$17="Distrato",$I$38-1,0)),IF(AND($L$711=0,$P$708=0),"",$L$711-1),IF($R$17="Distrato",$E1118,0))),0,YEARFRAC(MAX($P$708*($B1118+IF($R$17="Distrato",$I$38-1,0)),IF(AND($L$711=0,$P$708=0),"",$L$711-1),IF($R$17="Distrato",$E1118,0)),MIN(AP$38,$D$19),$P$20))-SUM($P1118:AO1118)</f>
        <v>#VALUE!</v>
      </c>
      <c r="AQ1118" s="446" t="e">
        <f>IF(OR($B1118="",MIN(AQ$38,$D$19)&lt;MAX($P$708*($B1118+IF($R$17="Distrato",$I$38-1,0)),IF(AND($L$711=0,$P$708=0),"",$L$711-1),IF($R$17="Distrato",$E1118,0))),0,YEARFRAC(MAX($P$708*($B1118+IF($R$17="Distrato",$I$38-1,0)),IF(AND($L$711=0,$P$708=0),"",$L$711-1),IF($R$17="Distrato",$E1118,0)),MIN(AQ$38,$D$19),$P$20))-SUM($P1118:AP1118)</f>
        <v>#VALUE!</v>
      </c>
      <c r="AR1118" s="446" t="e">
        <f>IF(OR($B1118="",MIN(AR$38,$D$19)&lt;MAX($P$708*($B1118+IF($R$17="Distrato",$I$38-1,0)),IF(AND($L$711=0,$P$708=0),"",$L$711-1),IF($R$17="Distrato",$E1118,0))),0,YEARFRAC(MAX($P$708*($B1118+IF($R$17="Distrato",$I$38-1,0)),IF(AND($L$711=0,$P$708=0),"",$L$711-1),IF($R$17="Distrato",$E1118,0)),MIN(AR$38,$D$19),$P$20))-SUM($P1118:AQ1118)</f>
        <v>#VALUE!</v>
      </c>
      <c r="AS1118" s="446" t="e">
        <f>IF(OR($B1118="",MIN(AS$38,$D$19)&lt;MAX($P$708*($B1118+IF($R$17="Distrato",$I$38-1,0)),IF(AND($L$711=0,$P$708=0),"",$L$711-1),IF($R$17="Distrato",$E1118,0))),0,YEARFRAC(MAX($P$708*($B1118+IF($R$17="Distrato",$I$38-1,0)),IF(AND($L$711=0,$P$708=0),"",$L$711-1),IF($R$17="Distrato",$E1118,0)),MIN(AS$38,$D$19),$P$20))-SUM($P1118:AR1118)</f>
        <v>#VALUE!</v>
      </c>
      <c r="AT1118" s="446" t="e">
        <f>IF(OR($B1118="",MIN(AT$38,$D$19)&lt;MAX($P$708*($B1118+IF($R$17="Distrato",$I$38-1,0)),IF(AND($L$711=0,$P$708=0),"",$L$711-1),IF($R$17="Distrato",$E1118,0))),0,YEARFRAC(MAX($P$708*($B1118+IF($R$17="Distrato",$I$38-1,0)),IF(AND($L$711=0,$P$708=0),"",$L$711-1),IF($R$17="Distrato",$E1118,0)),MIN(AT$38,$D$19),$P$20))-SUM($P1118:AS1118)</f>
        <v>#VALUE!</v>
      </c>
      <c r="AU1118" s="446" t="e">
        <f>IF(OR($B1118="",MIN(AU$38,$D$19)&lt;MAX($P$708*($B1118+IF($R$17="Distrato",$I$38-1,0)),IF(AND($L$711=0,$P$708=0),"",$L$711-1),IF($R$17="Distrato",$E1118,0))),0,YEARFRAC(MAX($P$708*($B1118+IF($R$17="Distrato",$I$38-1,0)),IF(AND($L$711=0,$P$708=0),"",$L$711-1),IF($R$17="Distrato",$E1118,0)),MIN(AU$38,$D$19),$P$20))-SUM($P1118:AT1118)</f>
        <v>#VALUE!</v>
      </c>
      <c r="AV1118" s="446" t="e">
        <f>IF(OR($B1118="",MIN(AV$38,$D$19)&lt;MAX($P$708*($B1118+IF($R$17="Distrato",$I$38-1,0)),IF(AND($L$711=0,$P$708=0),"",$L$711-1),IF($R$17="Distrato",$E1118,0))),0,YEARFRAC(MAX($P$708*($B1118+IF($R$17="Distrato",$I$38-1,0)),IF(AND($L$711=0,$P$708=0),"",$L$711-1),IF($R$17="Distrato",$E1118,0)),MIN(AV$38,$D$19),$P$20))-SUM($P1118:AU1118)</f>
        <v>#VALUE!</v>
      </c>
      <c r="AW1118" s="446" t="e">
        <f>IF(OR($B1118="",MIN(AW$38,$D$19)&lt;MAX($P$708*($B1118+IF($R$17="Distrato",$I$38-1,0)),IF(AND($L$711=0,$P$708=0),"",$L$711-1),IF($R$17="Distrato",$E1118,0))),0,YEARFRAC(MAX($P$708*($B1118+IF($R$17="Distrato",$I$38-1,0)),IF(AND($L$711=0,$P$708=0),"",$L$711-1),IF($R$17="Distrato",$E1118,0)),MIN(AW$38,$D$19),$P$20))-SUM($P1118:AV1118)</f>
        <v>#VALUE!</v>
      </c>
      <c r="AX1118" s="446" t="e">
        <f>IF(OR($B1118="",MIN(AX$38,$D$19)&lt;MAX($P$708*($B1118+IF($R$17="Distrato",$I$38-1,0)),IF(AND($L$711=0,$P$708=0),"",$L$711-1),IF($R$17="Distrato",$E1118,0))),0,YEARFRAC(MAX($P$708*($B1118+IF($R$17="Distrato",$I$38-1,0)),IF(AND($L$711=0,$P$708=0),"",$L$711-1),IF($R$17="Distrato",$E1118,0)),MIN(AX$38,$D$19),$P$20))-SUM($P1118:AW1118)</f>
        <v>#VALUE!</v>
      </c>
      <c r="AY1118" s="446" t="e">
        <f>IF(OR($B1118="",MIN(AY$38,$D$19)&lt;MAX($P$708*($B1118+IF($R$17="Distrato",$I$38-1,0)),IF(AND($L$711=0,$P$708=0),"",$L$711-1),IF($R$17="Distrato",$E1118,0))),0,YEARFRAC(MAX($P$708*($B1118+IF($R$17="Distrato",$I$38-1,0)),IF(AND($L$711=0,$P$708=0),"",$L$711-1),IF($R$17="Distrato",$E1118,0)),MIN(AY$38,$D$19),$P$20))-SUM($P1118:AX1118)</f>
        <v>#VALUE!</v>
      </c>
      <c r="AZ1118" s="446" t="e">
        <f>IF(OR($B1118="",MIN(AZ$38,$D$19)&lt;MAX($P$708*($B1118+IF($R$17="Distrato",$I$38-1,0)),IF(AND($L$711=0,$P$708=0),"",$L$711-1),IF($R$17="Distrato",$E1118,0))),0,YEARFRAC(MAX($P$708*($B1118+IF($R$17="Distrato",$I$38-1,0)),IF(AND($L$711=0,$P$708=0),"",$L$711-1),IF($R$17="Distrato",$E1118,0)),MIN(AZ$38,$D$19),$P$20))-SUM($P1118:AY1118)</f>
        <v>#VALUE!</v>
      </c>
      <c r="BA1118" s="446" t="e">
        <f>IF(OR($B1118="",MIN(BA$38,$D$19)&lt;MAX($P$708*($B1118+IF($R$17="Distrato",$I$38-1,0)),IF(AND($L$711=0,$P$708=0),"",$L$711-1),IF($R$17="Distrato",$E1118,0))),0,YEARFRAC(MAX($P$708*($B1118+IF($R$17="Distrato",$I$38-1,0)),IF(AND($L$711=0,$P$708=0),"",$L$711-1),IF($R$17="Distrato",$E1118,0)),MIN(BA$38,$D$19),$P$20))-SUM($P1118:AZ1118)</f>
        <v>#VALUE!</v>
      </c>
      <c r="BB1118" s="447"/>
    </row>
    <row r="1119" spans="1:54" s="446" customFormat="1" ht="11.25" hidden="1" customHeight="1" x14ac:dyDescent="0.2">
      <c r="A1119" s="235"/>
      <c r="B1119" s="236"/>
      <c r="C1119" s="29" t="str">
        <f>IF(B1119="","",IF($L$709=$BL$25,VLOOKUP(DATE(YEAR($D$19),MONTH($D$19)-1,1),ÍNDICES!$A:$DE,HLOOKUP($BL$25,ÍNDICES!$B$3:$T$4,2)+11)-VLOOKUP(B1119,ÍNDICES!$A:$DE,HLOOKUP($BL$25,ÍNDICES!$B$3:$T$4,2)+11)+1%,IF(C$712=$W$26,$J$35,IF(ISERROR(IF(B1119&gt;$D$19,1,VLOOKUP(DATE(YEAR(B1119),MONTH(B1119)+IF($C$709=$S$23,1,0),1),ÍNDICES!$A:$DE,$Z$709+1))),"",IF(B1119&gt;$D$19,1,VLOOKUP(DATE(YEAR(B1119),MONTH(B1119)+IF($C$709=$S$23,1,0),1),ÍNDICES!$A:$DE,$Z$709+1))))))</f>
        <v/>
      </c>
      <c r="D1119" s="155"/>
      <c r="E1119" s="88"/>
      <c r="F1119" s="88"/>
      <c r="G1119" s="88"/>
      <c r="H1119" s="118"/>
      <c r="I1119" s="182">
        <f t="shared" si="157"/>
        <v>0</v>
      </c>
      <c r="J1119" s="20">
        <f t="shared" ca="1" si="158"/>
        <v>0</v>
      </c>
      <c r="K1119" s="5">
        <f t="shared" ca="1" si="159"/>
        <v>0</v>
      </c>
      <c r="L1119" s="61">
        <f t="shared" ca="1" si="160"/>
        <v>0</v>
      </c>
      <c r="M1119" s="64">
        <f t="shared" si="161"/>
        <v>0</v>
      </c>
      <c r="N1119" s="151"/>
      <c r="O1119" s="5">
        <f t="shared" ca="1" si="162"/>
        <v>0</v>
      </c>
      <c r="P1119" s="446" t="e">
        <f t="shared" si="163"/>
        <v>#VALUE!</v>
      </c>
      <c r="Q1119" s="446" t="e">
        <f>IF(OR($B1119="",MIN(Q$38,$D$19)&lt;MAX($P$708*($B1119+IF($R$17="Distrato",$I$38-1,0)),IF(AND($L$711=0,$P$708=0),"",$L$711-1),IF($R$17="Distrato",$E1119,0))),0,YEARFRAC(MAX($P$708*($B1119+IF($R$17="Distrato",$I$38-1,0)),IF(AND($L$711=0,$P$708=0),"",$L$711-1),IF($R$17="Distrato",$E1119,0)),MIN(Q$38,$D$19),$P$20))-SUM($P1119:P1119)</f>
        <v>#VALUE!</v>
      </c>
      <c r="R1119" s="446" t="e">
        <f>IF(OR($B1119="",MIN(R$38,$D$19)&lt;MAX($P$708*($B1119+IF($R$17="Distrato",$I$38-1,0)),IF(AND($L$711=0,$P$708=0),"",$L$711-1),IF($R$17="Distrato",$E1119,0))),0,YEARFRAC(MAX($P$708*($B1119+IF($R$17="Distrato",$I$38-1,0)),IF(AND($L$711=0,$P$708=0),"",$L$711-1),IF($R$17="Distrato",$E1119,0)),MIN(R$38,$D$19),$P$20))-SUM($P1119:Q1119)</f>
        <v>#VALUE!</v>
      </c>
      <c r="S1119" s="446" t="e">
        <f>IF(OR($B1119="",MIN(S$38,$D$19)&lt;MAX($P$708*($B1119+IF($R$17="Distrato",$I$38-1,0)),IF(AND($L$711=0,$P$708=0),"",$L$711-1),IF($R$17="Distrato",$E1119,0))),0,YEARFRAC(MAX($P$708*($B1119+IF($R$17="Distrato",$I$38-1,0)),IF(AND($L$711=0,$P$708=0),"",$L$711-1),IF($R$17="Distrato",$E1119,0)),MIN(S$38,$D$19),$P$20))-SUM($P1119:R1119)</f>
        <v>#VALUE!</v>
      </c>
      <c r="T1119" s="446" t="e">
        <f>IF(OR($B1119="",MIN(T$38,$D$19)&lt;MAX($P$708*($B1119+IF($R$17="Distrato",$I$38-1,0)),IF(AND($L$711=0,$P$708=0),"",$L$711-1),IF($R$17="Distrato",$E1119,0))),0,YEARFRAC(MAX($P$708*($B1119+IF($R$17="Distrato",$I$38-1,0)),IF(AND($L$711=0,$P$708=0),"",$L$711-1),IF($R$17="Distrato",$E1119,0)),MIN(T$38,$D$19),$P$20))-SUM($P1119:S1119)</f>
        <v>#VALUE!</v>
      </c>
      <c r="U1119" s="446" t="e">
        <f>IF(OR($B1119="",MIN(U$38,$D$19)&lt;MAX($P$708*($B1119+IF($R$17="Distrato",$I$38-1,0)),IF(AND($L$711=0,$P$708=0),"",$L$711-1),IF($R$17="Distrato",$E1119,0))),0,YEARFRAC(MAX($P$708*($B1119+IF($R$17="Distrato",$I$38-1,0)),IF(AND($L$711=0,$P$708=0),"",$L$711-1),IF($R$17="Distrato",$E1119,0)),MIN(U$38,$D$19),$P$20))-SUM($P1119:T1119)</f>
        <v>#VALUE!</v>
      </c>
      <c r="V1119" s="446" t="e">
        <f>IF(OR($B1119="",MIN(V$38,$D$19)&lt;MAX($P$708*($B1119+IF($R$17="Distrato",$I$38-1,0)),IF(AND($L$711=0,$P$708=0),"",$L$711-1),IF($R$17="Distrato",$E1119,0))),0,YEARFRAC(MAX($P$708*($B1119+IF($R$17="Distrato",$I$38-1,0)),IF(AND($L$711=0,$P$708=0),"",$L$711-1),IF($R$17="Distrato",$E1119,0)),MIN(V$38,$D$19),$P$20))-SUM($P1119:U1119)</f>
        <v>#VALUE!</v>
      </c>
      <c r="W1119" s="446" t="e">
        <f>IF(OR($B1119="",MIN(W$38,$D$19)&lt;MAX($P$708*($B1119+IF($R$17="Distrato",$I$38-1,0)),IF(AND($L$711=0,$P$708=0),"",$L$711-1),IF($R$17="Distrato",$E1119,0))),0,YEARFRAC(MAX($P$708*($B1119+IF($R$17="Distrato",$I$38-1,0)),IF(AND($L$711=0,$P$708=0),"",$L$711-1),IF($R$17="Distrato",$E1119,0)),MIN(W$38,$D$19),$P$20))-SUM($P1119:V1119)</f>
        <v>#VALUE!</v>
      </c>
      <c r="X1119" s="446" t="e">
        <f>IF(OR($B1119="",MIN(X$38,$D$19)&lt;MAX($P$708*($B1119+IF($R$17="Distrato",$I$38-1,0)),IF(AND($L$711=0,$P$708=0),"",$L$711-1),IF($R$17="Distrato",$E1119,0))),0,YEARFRAC(MAX($P$708*($B1119+IF($R$17="Distrato",$I$38-1,0)),IF(AND($L$711=0,$P$708=0),"",$L$711-1),IF($R$17="Distrato",$E1119,0)),MIN(X$38,$D$19),$P$20))-SUM($P1119:W1119)</f>
        <v>#VALUE!</v>
      </c>
      <c r="Y1119" s="446" t="e">
        <f>IF(OR($B1119="",MIN(Y$38,$D$19)&lt;MAX($P$708*($B1119+IF($R$17="Distrato",$I$38-1,0)),IF(AND($L$711=0,$P$708=0),"",$L$711-1),IF($R$17="Distrato",$E1119,0))),0,YEARFRAC(MAX($P$708*($B1119+IF($R$17="Distrato",$I$38-1,0)),IF(AND($L$711=0,$P$708=0),"",$L$711-1),IF($R$17="Distrato",$E1119,0)),MIN(Y$38,$D$19),$P$20))-SUM($P1119:X1119)</f>
        <v>#VALUE!</v>
      </c>
      <c r="Z1119" s="446" t="e">
        <f>IF(OR($B1119="",MIN(Z$38,$D$19)&lt;MAX($P$708*($B1119+IF($R$17="Distrato",$I$38-1,0)),IF(AND($L$711=0,$P$708=0),"",$L$711-1),IF($R$17="Distrato",$E1119,0))),0,YEARFRAC(MAX($P$708*($B1119+IF($R$17="Distrato",$I$38-1,0)),IF(AND($L$711=0,$P$708=0),"",$L$711-1),IF($R$17="Distrato",$E1119,0)),MIN(Z$38,$D$19),$P$20))-SUM($P1119:Y1119)</f>
        <v>#VALUE!</v>
      </c>
      <c r="AA1119" s="446" t="e">
        <f>IF(OR($B1119="",MIN(AA$38,$D$19)&lt;MAX($P$708*($B1119+IF($R$17="Distrato",$I$38-1,0)),IF(AND($L$711=0,$P$708=0),"",$L$711-1),IF($R$17="Distrato",$E1119,0))),0,YEARFRAC(MAX($P$708*($B1119+IF($R$17="Distrato",$I$38-1,0)),IF(AND($L$711=0,$P$708=0),"",$L$711-1),IF($R$17="Distrato",$E1119,0)),MIN(AA$38,$D$19),$P$20))-SUM($P1119:Z1119)</f>
        <v>#VALUE!</v>
      </c>
      <c r="AB1119" s="446" t="e">
        <f>IF(OR($B1119="",MIN(AB$38,$D$19)&lt;MAX($P$708*($B1119+IF($R$17="Distrato",$I$38-1,0)),IF(AND($L$711=0,$P$708=0),"",$L$711-1),IF($R$17="Distrato",$E1119,0))),0,YEARFRAC(MAX($P$708*($B1119+IF($R$17="Distrato",$I$38-1,0)),IF(AND($L$711=0,$P$708=0),"",$L$711-1),IF($R$17="Distrato",$E1119,0)),MIN(AB$38,$D$19),$P$20))-SUM($P1119:AA1119)</f>
        <v>#VALUE!</v>
      </c>
      <c r="AC1119" s="446" t="e">
        <f>IF(OR($B1119="",MIN(AC$38,$D$19)&lt;MAX($P$708*($B1119+IF($R$17="Distrato",$I$38-1,0)),IF(AND($L$711=0,$P$708=0),"",$L$711-1),IF($R$17="Distrato",$E1119,0))),0,YEARFRAC(MAX($P$708*($B1119+IF($R$17="Distrato",$I$38-1,0)),IF(AND($L$711=0,$P$708=0),"",$L$711-1),IF($R$17="Distrato",$E1119,0)),MIN(AC$38,$D$19),$P$20))-SUM($P1119:AB1119)</f>
        <v>#VALUE!</v>
      </c>
      <c r="AD1119" s="446" t="e">
        <f>IF(OR($B1119="",MIN(AD$38,$D$19)&lt;MAX($P$708*($B1119+IF($R$17="Distrato",$I$38-1,0)),IF(AND($L$711=0,$P$708=0),"",$L$711-1),IF($R$17="Distrato",$E1119,0))),0,YEARFRAC(MAX($P$708*($B1119+IF($R$17="Distrato",$I$38-1,0)),IF(AND($L$711=0,$P$708=0),"",$L$711-1),IF($R$17="Distrato",$E1119,0)),MIN(AD$38,$D$19),$P$20))-SUM($P1119:AC1119)</f>
        <v>#VALUE!</v>
      </c>
      <c r="AE1119" s="446" t="e">
        <f>IF(OR($B1119="",MIN(AE$38,$D$19)&lt;MAX($P$708*($B1119+IF($R$17="Distrato",$I$38-1,0)),IF(AND($L$711=0,$P$708=0),"",$L$711-1),IF($R$17="Distrato",$E1119,0))),0,YEARFRAC(MAX($P$708*($B1119+IF($R$17="Distrato",$I$38-1,0)),IF(AND($L$711=0,$P$708=0),"",$L$711-1),IF($R$17="Distrato",$E1119,0)),MIN(AE$38,$D$19),$P$20))-SUM($P1119:AD1119)</f>
        <v>#VALUE!</v>
      </c>
      <c r="AF1119" s="446" t="e">
        <f>IF(OR($B1119="",MIN(AF$38,$D$19)&lt;MAX($P$708*($B1119+IF($R$17="Distrato",$I$38-1,0)),IF(AND($L$711=0,$P$708=0),"",$L$711-1),IF($R$17="Distrato",$E1119,0))),0,YEARFRAC(MAX($P$708*($B1119+IF($R$17="Distrato",$I$38-1,0)),IF(AND($L$711=0,$P$708=0),"",$L$711-1),IF($R$17="Distrato",$E1119,0)),MIN(AF$38,$D$19),$P$20))-SUM($P1119:AE1119)</f>
        <v>#VALUE!</v>
      </c>
      <c r="AG1119" s="446" t="e">
        <f>IF(OR($B1119="",MIN(AG$38,$D$19)&lt;MAX($P$708*($B1119+IF($R$17="Distrato",$I$38-1,0)),IF(AND($L$711=0,$P$708=0),"",$L$711-1),IF($R$17="Distrato",$E1119,0))),0,YEARFRAC(MAX($P$708*($B1119+IF($R$17="Distrato",$I$38-1,0)),IF(AND($L$711=0,$P$708=0),"",$L$711-1),IF($R$17="Distrato",$E1119,0)),MIN(AG$38,$D$19),$P$20))-SUM($P1119:AF1119)</f>
        <v>#VALUE!</v>
      </c>
      <c r="AH1119" s="446" t="e">
        <f>IF(OR($B1119="",MIN(AH$38,$D$19)&lt;MAX($P$708*($B1119+IF($R$17="Distrato",$I$38-1,0)),IF(AND($L$711=0,$P$708=0),"",$L$711-1),IF($R$17="Distrato",$E1119,0))),0,YEARFRAC(MAX($P$708*($B1119+IF($R$17="Distrato",$I$38-1,0)),IF(AND($L$711=0,$P$708=0),"",$L$711-1),IF($R$17="Distrato",$E1119,0)),MIN(AH$38,$D$19),$P$20))-SUM($P1119:AG1119)</f>
        <v>#VALUE!</v>
      </c>
      <c r="AI1119" s="446" t="e">
        <f>IF(OR($B1119="",MIN(AI$38,$D$19)&lt;MAX($P$708*($B1119+IF($R$17="Distrato",$I$38-1,0)),IF(AND($L$711=0,$P$708=0),"",$L$711-1),IF($R$17="Distrato",$E1119,0))),0,YEARFRAC(MAX($P$708*($B1119+IF($R$17="Distrato",$I$38-1,0)),IF(AND($L$711=0,$P$708=0),"",$L$711-1),IF($R$17="Distrato",$E1119,0)),MIN(AI$38,$D$19),$P$20))-SUM($P1119:AH1119)</f>
        <v>#VALUE!</v>
      </c>
      <c r="AJ1119" s="446" t="e">
        <f>IF(OR($B1119="",MIN(AJ$38,$D$19)&lt;MAX($P$708*($B1119+IF($R$17="Distrato",$I$38-1,0)),IF(AND($L$711=0,$P$708=0),"",$L$711-1),IF($R$17="Distrato",$E1119,0))),0,YEARFRAC(MAX($P$708*($B1119+IF($R$17="Distrato",$I$38-1,0)),IF(AND($L$711=0,$P$708=0),"",$L$711-1),IF($R$17="Distrato",$E1119,0)),MIN(AJ$38,$D$19),$P$20))-SUM($P1119:AI1119)</f>
        <v>#VALUE!</v>
      </c>
      <c r="AK1119" s="446" t="e">
        <f>IF(OR($B1119="",MIN(AK$38,$D$19)&lt;MAX($P$708*($B1119+IF($R$17="Distrato",$I$38-1,0)),IF(AND($L$711=0,$P$708=0),"",$L$711-1),IF($R$17="Distrato",$E1119,0))),0,YEARFRAC(MAX($P$708*($B1119+IF($R$17="Distrato",$I$38-1,0)),IF(AND($L$711=0,$P$708=0),"",$L$711-1),IF($R$17="Distrato",$E1119,0)),MIN(AK$38,$D$19),$P$20))-SUM($P1119:AJ1119)</f>
        <v>#VALUE!</v>
      </c>
      <c r="AL1119" s="446" t="e">
        <f>IF(OR($B1119="",MIN(AL$38,$D$19)&lt;MAX($P$708*($B1119+IF($R$17="Distrato",$I$38-1,0)),IF(AND($L$711=0,$P$708=0),"",$L$711-1),IF($R$17="Distrato",$E1119,0))),0,YEARFRAC(MAX($P$708*($B1119+IF($R$17="Distrato",$I$38-1,0)),IF(AND($L$711=0,$P$708=0),"",$L$711-1),IF($R$17="Distrato",$E1119,0)),MIN(AL$38,$D$19),$P$20))-SUM($P1119:AK1119)</f>
        <v>#VALUE!</v>
      </c>
      <c r="AM1119" s="446" t="e">
        <f>IF(OR($B1119="",MIN(AM$38,$D$19)&lt;MAX($P$708*($B1119+IF($R$17="Distrato",$I$38-1,0)),IF(AND($L$711=0,$P$708=0),"",$L$711-1),IF($R$17="Distrato",$E1119,0))),0,YEARFRAC(MAX($P$708*($B1119+IF($R$17="Distrato",$I$38-1,0)),IF(AND($L$711=0,$P$708=0),"",$L$711-1),IF($R$17="Distrato",$E1119,0)),MIN(AM$38,$D$19),$P$20))-SUM($P1119:AL1119)</f>
        <v>#VALUE!</v>
      </c>
      <c r="AN1119" s="446" t="e">
        <f>IF(OR($B1119="",MIN(AN$38,$D$19)&lt;MAX($P$708*($B1119+IF($R$17="Distrato",$I$38-1,0)),IF(AND($L$711=0,$P$708=0),"",$L$711-1),IF($R$17="Distrato",$E1119,0))),0,YEARFRAC(MAX($P$708*($B1119+IF($R$17="Distrato",$I$38-1,0)),IF(AND($L$711=0,$P$708=0),"",$L$711-1),IF($R$17="Distrato",$E1119,0)),MIN(AN$38,$D$19),$P$20))-SUM($P1119:AM1119)</f>
        <v>#VALUE!</v>
      </c>
      <c r="AO1119" s="446" t="e">
        <f>IF(OR($B1119="",MIN(AO$38,$D$19)&lt;MAX($P$708*($B1119+IF($R$17="Distrato",$I$38-1,0)),IF(AND($L$711=0,$P$708=0),"",$L$711-1),IF($R$17="Distrato",$E1119,0))),0,YEARFRAC(MAX($P$708*($B1119+IF($R$17="Distrato",$I$38-1,0)),IF(AND($L$711=0,$P$708=0),"",$L$711-1),IF($R$17="Distrato",$E1119,0)),MIN(AO$38,$D$19),$P$20))-SUM($P1119:AN1119)</f>
        <v>#VALUE!</v>
      </c>
      <c r="AP1119" s="446" t="e">
        <f>IF(OR($B1119="",MIN(AP$38,$D$19)&lt;MAX($P$708*($B1119+IF($R$17="Distrato",$I$38-1,0)),IF(AND($L$711=0,$P$708=0),"",$L$711-1),IF($R$17="Distrato",$E1119,0))),0,YEARFRAC(MAX($P$708*($B1119+IF($R$17="Distrato",$I$38-1,0)),IF(AND($L$711=0,$P$708=0),"",$L$711-1),IF($R$17="Distrato",$E1119,0)),MIN(AP$38,$D$19),$P$20))-SUM($P1119:AO1119)</f>
        <v>#VALUE!</v>
      </c>
      <c r="AQ1119" s="446" t="e">
        <f>IF(OR($B1119="",MIN(AQ$38,$D$19)&lt;MAX($P$708*($B1119+IF($R$17="Distrato",$I$38-1,0)),IF(AND($L$711=0,$P$708=0),"",$L$711-1),IF($R$17="Distrato",$E1119,0))),0,YEARFRAC(MAX($P$708*($B1119+IF($R$17="Distrato",$I$38-1,0)),IF(AND($L$711=0,$P$708=0),"",$L$711-1),IF($R$17="Distrato",$E1119,0)),MIN(AQ$38,$D$19),$P$20))-SUM($P1119:AP1119)</f>
        <v>#VALUE!</v>
      </c>
      <c r="AR1119" s="446" t="e">
        <f>IF(OR($B1119="",MIN(AR$38,$D$19)&lt;MAX($P$708*($B1119+IF($R$17="Distrato",$I$38-1,0)),IF(AND($L$711=0,$P$708=0),"",$L$711-1),IF($R$17="Distrato",$E1119,0))),0,YEARFRAC(MAX($P$708*($B1119+IF($R$17="Distrato",$I$38-1,0)),IF(AND($L$711=0,$P$708=0),"",$L$711-1),IF($R$17="Distrato",$E1119,0)),MIN(AR$38,$D$19),$P$20))-SUM($P1119:AQ1119)</f>
        <v>#VALUE!</v>
      </c>
      <c r="AS1119" s="446" t="e">
        <f>IF(OR($B1119="",MIN(AS$38,$D$19)&lt;MAX($P$708*($B1119+IF($R$17="Distrato",$I$38-1,0)),IF(AND($L$711=0,$P$708=0),"",$L$711-1),IF($R$17="Distrato",$E1119,0))),0,YEARFRAC(MAX($P$708*($B1119+IF($R$17="Distrato",$I$38-1,0)),IF(AND($L$711=0,$P$708=0),"",$L$711-1),IF($R$17="Distrato",$E1119,0)),MIN(AS$38,$D$19),$P$20))-SUM($P1119:AR1119)</f>
        <v>#VALUE!</v>
      </c>
      <c r="AT1119" s="446" t="e">
        <f>IF(OR($B1119="",MIN(AT$38,$D$19)&lt;MAX($P$708*($B1119+IF($R$17="Distrato",$I$38-1,0)),IF(AND($L$711=0,$P$708=0),"",$L$711-1),IF($R$17="Distrato",$E1119,0))),0,YEARFRAC(MAX($P$708*($B1119+IF($R$17="Distrato",$I$38-1,0)),IF(AND($L$711=0,$P$708=0),"",$L$711-1),IF($R$17="Distrato",$E1119,0)),MIN(AT$38,$D$19),$P$20))-SUM($P1119:AS1119)</f>
        <v>#VALUE!</v>
      </c>
      <c r="AU1119" s="446" t="e">
        <f>IF(OR($B1119="",MIN(AU$38,$D$19)&lt;MAX($P$708*($B1119+IF($R$17="Distrato",$I$38-1,0)),IF(AND($L$711=0,$P$708=0),"",$L$711-1),IF($R$17="Distrato",$E1119,0))),0,YEARFRAC(MAX($P$708*($B1119+IF($R$17="Distrato",$I$38-1,0)),IF(AND($L$711=0,$P$708=0),"",$L$711-1),IF($R$17="Distrato",$E1119,0)),MIN(AU$38,$D$19),$P$20))-SUM($P1119:AT1119)</f>
        <v>#VALUE!</v>
      </c>
      <c r="AV1119" s="446" t="e">
        <f>IF(OR($B1119="",MIN(AV$38,$D$19)&lt;MAX($P$708*($B1119+IF($R$17="Distrato",$I$38-1,0)),IF(AND($L$711=0,$P$708=0),"",$L$711-1),IF($R$17="Distrato",$E1119,0))),0,YEARFRAC(MAX($P$708*($B1119+IF($R$17="Distrato",$I$38-1,0)),IF(AND($L$711=0,$P$708=0),"",$L$711-1),IF($R$17="Distrato",$E1119,0)),MIN(AV$38,$D$19),$P$20))-SUM($P1119:AU1119)</f>
        <v>#VALUE!</v>
      </c>
      <c r="AW1119" s="446" t="e">
        <f>IF(OR($B1119="",MIN(AW$38,$D$19)&lt;MAX($P$708*($B1119+IF($R$17="Distrato",$I$38-1,0)),IF(AND($L$711=0,$P$708=0),"",$L$711-1),IF($R$17="Distrato",$E1119,0))),0,YEARFRAC(MAX($P$708*($B1119+IF($R$17="Distrato",$I$38-1,0)),IF(AND($L$711=0,$P$708=0),"",$L$711-1),IF($R$17="Distrato",$E1119,0)),MIN(AW$38,$D$19),$P$20))-SUM($P1119:AV1119)</f>
        <v>#VALUE!</v>
      </c>
      <c r="AX1119" s="446" t="e">
        <f>IF(OR($B1119="",MIN(AX$38,$D$19)&lt;MAX($P$708*($B1119+IF($R$17="Distrato",$I$38-1,0)),IF(AND($L$711=0,$P$708=0),"",$L$711-1),IF($R$17="Distrato",$E1119,0))),0,YEARFRAC(MAX($P$708*($B1119+IF($R$17="Distrato",$I$38-1,0)),IF(AND($L$711=0,$P$708=0),"",$L$711-1),IF($R$17="Distrato",$E1119,0)),MIN(AX$38,$D$19),$P$20))-SUM($P1119:AW1119)</f>
        <v>#VALUE!</v>
      </c>
      <c r="AY1119" s="446" t="e">
        <f>IF(OR($B1119="",MIN(AY$38,$D$19)&lt;MAX($P$708*($B1119+IF($R$17="Distrato",$I$38-1,0)),IF(AND($L$711=0,$P$708=0),"",$L$711-1),IF($R$17="Distrato",$E1119,0))),0,YEARFRAC(MAX($P$708*($B1119+IF($R$17="Distrato",$I$38-1,0)),IF(AND($L$711=0,$P$708=0),"",$L$711-1),IF($R$17="Distrato",$E1119,0)),MIN(AY$38,$D$19),$P$20))-SUM($P1119:AX1119)</f>
        <v>#VALUE!</v>
      </c>
      <c r="AZ1119" s="446" t="e">
        <f>IF(OR($B1119="",MIN(AZ$38,$D$19)&lt;MAX($P$708*($B1119+IF($R$17="Distrato",$I$38-1,0)),IF(AND($L$711=0,$P$708=0),"",$L$711-1),IF($R$17="Distrato",$E1119,0))),0,YEARFRAC(MAX($P$708*($B1119+IF($R$17="Distrato",$I$38-1,0)),IF(AND($L$711=0,$P$708=0),"",$L$711-1),IF($R$17="Distrato",$E1119,0)),MIN(AZ$38,$D$19),$P$20))-SUM($P1119:AY1119)</f>
        <v>#VALUE!</v>
      </c>
      <c r="BA1119" s="446" t="e">
        <f>IF(OR($B1119="",MIN(BA$38,$D$19)&lt;MAX($P$708*($B1119+IF($R$17="Distrato",$I$38-1,0)),IF(AND($L$711=0,$P$708=0),"",$L$711-1),IF($R$17="Distrato",$E1119,0))),0,YEARFRAC(MAX($P$708*($B1119+IF($R$17="Distrato",$I$38-1,0)),IF(AND($L$711=0,$P$708=0),"",$L$711-1),IF($R$17="Distrato",$E1119,0)),MIN(BA$38,$D$19),$P$20))-SUM($P1119:AZ1119)</f>
        <v>#VALUE!</v>
      </c>
      <c r="BB1119" s="447"/>
    </row>
    <row r="1120" spans="1:54" s="446" customFormat="1" ht="11.25" hidden="1" customHeight="1" x14ac:dyDescent="0.2">
      <c r="A1120" s="235"/>
      <c r="B1120" s="236"/>
      <c r="C1120" s="29" t="str">
        <f>IF(B1120="","",IF($L$709=$BL$25,VLOOKUP(DATE(YEAR($D$19),MONTH($D$19)-1,1),ÍNDICES!$A:$DE,HLOOKUP($BL$25,ÍNDICES!$B$3:$T$4,2)+11)-VLOOKUP(B1120,ÍNDICES!$A:$DE,HLOOKUP($BL$25,ÍNDICES!$B$3:$T$4,2)+11)+1%,IF(C$712=$W$26,$J$35,IF(ISERROR(IF(B1120&gt;$D$19,1,VLOOKUP(DATE(YEAR(B1120),MONTH(B1120)+IF($C$709=$S$23,1,0),1),ÍNDICES!$A:$DE,$Z$709+1))),"",IF(B1120&gt;$D$19,1,VLOOKUP(DATE(YEAR(B1120),MONTH(B1120)+IF($C$709=$S$23,1,0),1),ÍNDICES!$A:$DE,$Z$709+1))))))</f>
        <v/>
      </c>
      <c r="D1120" s="155"/>
      <c r="E1120" s="88"/>
      <c r="F1120" s="88"/>
      <c r="G1120" s="88"/>
      <c r="H1120" s="118"/>
      <c r="I1120" s="182">
        <f t="shared" si="157"/>
        <v>0</v>
      </c>
      <c r="J1120" s="20">
        <f t="shared" ca="1" si="158"/>
        <v>0</v>
      </c>
      <c r="K1120" s="5">
        <f t="shared" ca="1" si="159"/>
        <v>0</v>
      </c>
      <c r="L1120" s="61">
        <f t="shared" ca="1" si="160"/>
        <v>0</v>
      </c>
      <c r="M1120" s="64">
        <f t="shared" si="161"/>
        <v>0</v>
      </c>
      <c r="N1120" s="151"/>
      <c r="O1120" s="5">
        <f t="shared" ca="1" si="162"/>
        <v>0</v>
      </c>
      <c r="P1120" s="446" t="e">
        <f t="shared" si="163"/>
        <v>#VALUE!</v>
      </c>
      <c r="Q1120" s="446" t="e">
        <f>IF(OR($B1120="",MIN(Q$38,$D$19)&lt;MAX($P$708*($B1120+IF($R$17="Distrato",$I$38-1,0)),IF(AND($L$711=0,$P$708=0),"",$L$711-1),IF($R$17="Distrato",$E1120,0))),0,YEARFRAC(MAX($P$708*($B1120+IF($R$17="Distrato",$I$38-1,0)),IF(AND($L$711=0,$P$708=0),"",$L$711-1),IF($R$17="Distrato",$E1120,0)),MIN(Q$38,$D$19),$P$20))-SUM($P1120:P1120)</f>
        <v>#VALUE!</v>
      </c>
      <c r="R1120" s="446" t="e">
        <f>IF(OR($B1120="",MIN(R$38,$D$19)&lt;MAX($P$708*($B1120+IF($R$17="Distrato",$I$38-1,0)),IF(AND($L$711=0,$P$708=0),"",$L$711-1),IF($R$17="Distrato",$E1120,0))),0,YEARFRAC(MAX($P$708*($B1120+IF($R$17="Distrato",$I$38-1,0)),IF(AND($L$711=0,$P$708=0),"",$L$711-1),IF($R$17="Distrato",$E1120,0)),MIN(R$38,$D$19),$P$20))-SUM($P1120:Q1120)</f>
        <v>#VALUE!</v>
      </c>
      <c r="S1120" s="446" t="e">
        <f>IF(OR($B1120="",MIN(S$38,$D$19)&lt;MAX($P$708*($B1120+IF($R$17="Distrato",$I$38-1,0)),IF(AND($L$711=0,$P$708=0),"",$L$711-1),IF($R$17="Distrato",$E1120,0))),0,YEARFRAC(MAX($P$708*($B1120+IF($R$17="Distrato",$I$38-1,0)),IF(AND($L$711=0,$P$708=0),"",$L$711-1),IF($R$17="Distrato",$E1120,0)),MIN(S$38,$D$19),$P$20))-SUM($P1120:R1120)</f>
        <v>#VALUE!</v>
      </c>
      <c r="T1120" s="446" t="e">
        <f>IF(OR($B1120="",MIN(T$38,$D$19)&lt;MAX($P$708*($B1120+IF($R$17="Distrato",$I$38-1,0)),IF(AND($L$711=0,$P$708=0),"",$L$711-1),IF($R$17="Distrato",$E1120,0))),0,YEARFRAC(MAX($P$708*($B1120+IF($R$17="Distrato",$I$38-1,0)),IF(AND($L$711=0,$P$708=0),"",$L$711-1),IF($R$17="Distrato",$E1120,0)),MIN(T$38,$D$19),$P$20))-SUM($P1120:S1120)</f>
        <v>#VALUE!</v>
      </c>
      <c r="U1120" s="446" t="e">
        <f>IF(OR($B1120="",MIN(U$38,$D$19)&lt;MAX($P$708*($B1120+IF($R$17="Distrato",$I$38-1,0)),IF(AND($L$711=0,$P$708=0),"",$L$711-1),IF($R$17="Distrato",$E1120,0))),0,YEARFRAC(MAX($P$708*($B1120+IF($R$17="Distrato",$I$38-1,0)),IF(AND($L$711=0,$P$708=0),"",$L$711-1),IF($R$17="Distrato",$E1120,0)),MIN(U$38,$D$19),$P$20))-SUM($P1120:T1120)</f>
        <v>#VALUE!</v>
      </c>
      <c r="V1120" s="446" t="e">
        <f>IF(OR($B1120="",MIN(V$38,$D$19)&lt;MAX($P$708*($B1120+IF($R$17="Distrato",$I$38-1,0)),IF(AND($L$711=0,$P$708=0),"",$L$711-1),IF($R$17="Distrato",$E1120,0))),0,YEARFRAC(MAX($P$708*($B1120+IF($R$17="Distrato",$I$38-1,0)),IF(AND($L$711=0,$P$708=0),"",$L$711-1),IF($R$17="Distrato",$E1120,0)),MIN(V$38,$D$19),$P$20))-SUM($P1120:U1120)</f>
        <v>#VALUE!</v>
      </c>
      <c r="W1120" s="446" t="e">
        <f>IF(OR($B1120="",MIN(W$38,$D$19)&lt;MAX($P$708*($B1120+IF($R$17="Distrato",$I$38-1,0)),IF(AND($L$711=0,$P$708=0),"",$L$711-1),IF($R$17="Distrato",$E1120,0))),0,YEARFRAC(MAX($P$708*($B1120+IF($R$17="Distrato",$I$38-1,0)),IF(AND($L$711=0,$P$708=0),"",$L$711-1),IF($R$17="Distrato",$E1120,0)),MIN(W$38,$D$19),$P$20))-SUM($P1120:V1120)</f>
        <v>#VALUE!</v>
      </c>
      <c r="X1120" s="446" t="e">
        <f>IF(OR($B1120="",MIN(X$38,$D$19)&lt;MAX($P$708*($B1120+IF($R$17="Distrato",$I$38-1,0)),IF(AND($L$711=0,$P$708=0),"",$L$711-1),IF($R$17="Distrato",$E1120,0))),0,YEARFRAC(MAX($P$708*($B1120+IF($R$17="Distrato",$I$38-1,0)),IF(AND($L$711=0,$P$708=0),"",$L$711-1),IF($R$17="Distrato",$E1120,0)),MIN(X$38,$D$19),$P$20))-SUM($P1120:W1120)</f>
        <v>#VALUE!</v>
      </c>
      <c r="Y1120" s="446" t="e">
        <f>IF(OR($B1120="",MIN(Y$38,$D$19)&lt;MAX($P$708*($B1120+IF($R$17="Distrato",$I$38-1,0)),IF(AND($L$711=0,$P$708=0),"",$L$711-1),IF($R$17="Distrato",$E1120,0))),0,YEARFRAC(MAX($P$708*($B1120+IF($R$17="Distrato",$I$38-1,0)),IF(AND($L$711=0,$P$708=0),"",$L$711-1),IF($R$17="Distrato",$E1120,0)),MIN(Y$38,$D$19),$P$20))-SUM($P1120:X1120)</f>
        <v>#VALUE!</v>
      </c>
      <c r="Z1120" s="446" t="e">
        <f>IF(OR($B1120="",MIN(Z$38,$D$19)&lt;MAX($P$708*($B1120+IF($R$17="Distrato",$I$38-1,0)),IF(AND($L$711=0,$P$708=0),"",$L$711-1),IF($R$17="Distrato",$E1120,0))),0,YEARFRAC(MAX($P$708*($B1120+IF($R$17="Distrato",$I$38-1,0)),IF(AND($L$711=0,$P$708=0),"",$L$711-1),IF($R$17="Distrato",$E1120,0)),MIN(Z$38,$D$19),$P$20))-SUM($P1120:Y1120)</f>
        <v>#VALUE!</v>
      </c>
      <c r="AA1120" s="446" t="e">
        <f>IF(OR($B1120="",MIN(AA$38,$D$19)&lt;MAX($P$708*($B1120+IF($R$17="Distrato",$I$38-1,0)),IF(AND($L$711=0,$P$708=0),"",$L$711-1),IF($R$17="Distrato",$E1120,0))),0,YEARFRAC(MAX($P$708*($B1120+IF($R$17="Distrato",$I$38-1,0)),IF(AND($L$711=0,$P$708=0),"",$L$711-1),IF($R$17="Distrato",$E1120,0)),MIN(AA$38,$D$19),$P$20))-SUM($P1120:Z1120)</f>
        <v>#VALUE!</v>
      </c>
      <c r="AB1120" s="446" t="e">
        <f>IF(OR($B1120="",MIN(AB$38,$D$19)&lt;MAX($P$708*($B1120+IF($R$17="Distrato",$I$38-1,0)),IF(AND($L$711=0,$P$708=0),"",$L$711-1),IF($R$17="Distrato",$E1120,0))),0,YEARFRAC(MAX($P$708*($B1120+IF($R$17="Distrato",$I$38-1,0)),IF(AND($L$711=0,$P$708=0),"",$L$711-1),IF($R$17="Distrato",$E1120,0)),MIN(AB$38,$D$19),$P$20))-SUM($P1120:AA1120)</f>
        <v>#VALUE!</v>
      </c>
      <c r="AC1120" s="446" t="e">
        <f>IF(OR($B1120="",MIN(AC$38,$D$19)&lt;MAX($P$708*($B1120+IF($R$17="Distrato",$I$38-1,0)),IF(AND($L$711=0,$P$708=0),"",$L$711-1),IF($R$17="Distrato",$E1120,0))),0,YEARFRAC(MAX($P$708*($B1120+IF($R$17="Distrato",$I$38-1,0)),IF(AND($L$711=0,$P$708=0),"",$L$711-1),IF($R$17="Distrato",$E1120,0)),MIN(AC$38,$D$19),$P$20))-SUM($P1120:AB1120)</f>
        <v>#VALUE!</v>
      </c>
      <c r="AD1120" s="446" t="e">
        <f>IF(OR($B1120="",MIN(AD$38,$D$19)&lt;MAX($P$708*($B1120+IF($R$17="Distrato",$I$38-1,0)),IF(AND($L$711=0,$P$708=0),"",$L$711-1),IF($R$17="Distrato",$E1120,0))),0,YEARFRAC(MAX($P$708*($B1120+IF($R$17="Distrato",$I$38-1,0)),IF(AND($L$711=0,$P$708=0),"",$L$711-1),IF($R$17="Distrato",$E1120,0)),MIN(AD$38,$D$19),$P$20))-SUM($P1120:AC1120)</f>
        <v>#VALUE!</v>
      </c>
      <c r="AE1120" s="446" t="e">
        <f>IF(OR($B1120="",MIN(AE$38,$D$19)&lt;MAX($P$708*($B1120+IF($R$17="Distrato",$I$38-1,0)),IF(AND($L$711=0,$P$708=0),"",$L$711-1),IF($R$17="Distrato",$E1120,0))),0,YEARFRAC(MAX($P$708*($B1120+IF($R$17="Distrato",$I$38-1,0)),IF(AND($L$711=0,$P$708=0),"",$L$711-1),IF($R$17="Distrato",$E1120,0)),MIN(AE$38,$D$19),$P$20))-SUM($P1120:AD1120)</f>
        <v>#VALUE!</v>
      </c>
      <c r="AF1120" s="446" t="e">
        <f>IF(OR($B1120="",MIN(AF$38,$D$19)&lt;MAX($P$708*($B1120+IF($R$17="Distrato",$I$38-1,0)),IF(AND($L$711=0,$P$708=0),"",$L$711-1),IF($R$17="Distrato",$E1120,0))),0,YEARFRAC(MAX($P$708*($B1120+IF($R$17="Distrato",$I$38-1,0)),IF(AND($L$711=0,$P$708=0),"",$L$711-1),IF($R$17="Distrato",$E1120,0)),MIN(AF$38,$D$19),$P$20))-SUM($P1120:AE1120)</f>
        <v>#VALUE!</v>
      </c>
      <c r="AG1120" s="446" t="e">
        <f>IF(OR($B1120="",MIN(AG$38,$D$19)&lt;MAX($P$708*($B1120+IF($R$17="Distrato",$I$38-1,0)),IF(AND($L$711=0,$P$708=0),"",$L$711-1),IF($R$17="Distrato",$E1120,0))),0,YEARFRAC(MAX($P$708*($B1120+IF($R$17="Distrato",$I$38-1,0)),IF(AND($L$711=0,$P$708=0),"",$L$711-1),IF($R$17="Distrato",$E1120,0)),MIN(AG$38,$D$19),$P$20))-SUM($P1120:AF1120)</f>
        <v>#VALUE!</v>
      </c>
      <c r="AH1120" s="446" t="e">
        <f>IF(OR($B1120="",MIN(AH$38,$D$19)&lt;MAX($P$708*($B1120+IF($R$17="Distrato",$I$38-1,0)),IF(AND($L$711=0,$P$708=0),"",$L$711-1),IF($R$17="Distrato",$E1120,0))),0,YEARFRAC(MAX($P$708*($B1120+IF($R$17="Distrato",$I$38-1,0)),IF(AND($L$711=0,$P$708=0),"",$L$711-1),IF($R$17="Distrato",$E1120,0)),MIN(AH$38,$D$19),$P$20))-SUM($P1120:AG1120)</f>
        <v>#VALUE!</v>
      </c>
      <c r="AI1120" s="446" t="e">
        <f>IF(OR($B1120="",MIN(AI$38,$D$19)&lt;MAX($P$708*($B1120+IF($R$17="Distrato",$I$38-1,0)),IF(AND($L$711=0,$P$708=0),"",$L$711-1),IF($R$17="Distrato",$E1120,0))),0,YEARFRAC(MAX($P$708*($B1120+IF($R$17="Distrato",$I$38-1,0)),IF(AND($L$711=0,$P$708=0),"",$L$711-1),IF($R$17="Distrato",$E1120,0)),MIN(AI$38,$D$19),$P$20))-SUM($P1120:AH1120)</f>
        <v>#VALUE!</v>
      </c>
      <c r="AJ1120" s="446" t="e">
        <f>IF(OR($B1120="",MIN(AJ$38,$D$19)&lt;MAX($P$708*($B1120+IF($R$17="Distrato",$I$38-1,0)),IF(AND($L$711=0,$P$708=0),"",$L$711-1),IF($R$17="Distrato",$E1120,0))),0,YEARFRAC(MAX($P$708*($B1120+IF($R$17="Distrato",$I$38-1,0)),IF(AND($L$711=0,$P$708=0),"",$L$711-1),IF($R$17="Distrato",$E1120,0)),MIN(AJ$38,$D$19),$P$20))-SUM($P1120:AI1120)</f>
        <v>#VALUE!</v>
      </c>
      <c r="AK1120" s="446" t="e">
        <f>IF(OR($B1120="",MIN(AK$38,$D$19)&lt;MAX($P$708*($B1120+IF($R$17="Distrato",$I$38-1,0)),IF(AND($L$711=0,$P$708=0),"",$L$711-1),IF($R$17="Distrato",$E1120,0))),0,YEARFRAC(MAX($P$708*($B1120+IF($R$17="Distrato",$I$38-1,0)),IF(AND($L$711=0,$P$708=0),"",$L$711-1),IF($R$17="Distrato",$E1120,0)),MIN(AK$38,$D$19),$P$20))-SUM($P1120:AJ1120)</f>
        <v>#VALUE!</v>
      </c>
      <c r="AL1120" s="446" t="e">
        <f>IF(OR($B1120="",MIN(AL$38,$D$19)&lt;MAX($P$708*($B1120+IF($R$17="Distrato",$I$38-1,0)),IF(AND($L$711=0,$P$708=0),"",$L$711-1),IF($R$17="Distrato",$E1120,0))),0,YEARFRAC(MAX($P$708*($B1120+IF($R$17="Distrato",$I$38-1,0)),IF(AND($L$711=0,$P$708=0),"",$L$711-1),IF($R$17="Distrato",$E1120,0)),MIN(AL$38,$D$19),$P$20))-SUM($P1120:AK1120)</f>
        <v>#VALUE!</v>
      </c>
      <c r="AM1120" s="446" t="e">
        <f>IF(OR($B1120="",MIN(AM$38,$D$19)&lt;MAX($P$708*($B1120+IF($R$17="Distrato",$I$38-1,0)),IF(AND($L$711=0,$P$708=0),"",$L$711-1),IF($R$17="Distrato",$E1120,0))),0,YEARFRAC(MAX($P$708*($B1120+IF($R$17="Distrato",$I$38-1,0)),IF(AND($L$711=0,$P$708=0),"",$L$711-1),IF($R$17="Distrato",$E1120,0)),MIN(AM$38,$D$19),$P$20))-SUM($P1120:AL1120)</f>
        <v>#VALUE!</v>
      </c>
      <c r="AN1120" s="446" t="e">
        <f>IF(OR($B1120="",MIN(AN$38,$D$19)&lt;MAX($P$708*($B1120+IF($R$17="Distrato",$I$38-1,0)),IF(AND($L$711=0,$P$708=0),"",$L$711-1),IF($R$17="Distrato",$E1120,0))),0,YEARFRAC(MAX($P$708*($B1120+IF($R$17="Distrato",$I$38-1,0)),IF(AND($L$711=0,$P$708=0),"",$L$711-1),IF($R$17="Distrato",$E1120,0)),MIN(AN$38,$D$19),$P$20))-SUM($P1120:AM1120)</f>
        <v>#VALUE!</v>
      </c>
      <c r="AO1120" s="446" t="e">
        <f>IF(OR($B1120="",MIN(AO$38,$D$19)&lt;MAX($P$708*($B1120+IF($R$17="Distrato",$I$38-1,0)),IF(AND($L$711=0,$P$708=0),"",$L$711-1),IF($R$17="Distrato",$E1120,0))),0,YEARFRAC(MAX($P$708*($B1120+IF($R$17="Distrato",$I$38-1,0)),IF(AND($L$711=0,$P$708=0),"",$L$711-1),IF($R$17="Distrato",$E1120,0)),MIN(AO$38,$D$19),$P$20))-SUM($P1120:AN1120)</f>
        <v>#VALUE!</v>
      </c>
      <c r="AP1120" s="446" t="e">
        <f>IF(OR($B1120="",MIN(AP$38,$D$19)&lt;MAX($P$708*($B1120+IF($R$17="Distrato",$I$38-1,0)),IF(AND($L$711=0,$P$708=0),"",$L$711-1),IF($R$17="Distrato",$E1120,0))),0,YEARFRAC(MAX($P$708*($B1120+IF($R$17="Distrato",$I$38-1,0)),IF(AND($L$711=0,$P$708=0),"",$L$711-1),IF($R$17="Distrato",$E1120,0)),MIN(AP$38,$D$19),$P$20))-SUM($P1120:AO1120)</f>
        <v>#VALUE!</v>
      </c>
      <c r="AQ1120" s="446" t="e">
        <f>IF(OR($B1120="",MIN(AQ$38,$D$19)&lt;MAX($P$708*($B1120+IF($R$17="Distrato",$I$38-1,0)),IF(AND($L$711=0,$P$708=0),"",$L$711-1),IF($R$17="Distrato",$E1120,0))),0,YEARFRAC(MAX($P$708*($B1120+IF($R$17="Distrato",$I$38-1,0)),IF(AND($L$711=0,$P$708=0),"",$L$711-1),IF($R$17="Distrato",$E1120,0)),MIN(AQ$38,$D$19),$P$20))-SUM($P1120:AP1120)</f>
        <v>#VALUE!</v>
      </c>
      <c r="AR1120" s="446" t="e">
        <f>IF(OR($B1120="",MIN(AR$38,$D$19)&lt;MAX($P$708*($B1120+IF($R$17="Distrato",$I$38-1,0)),IF(AND($L$711=0,$P$708=0),"",$L$711-1),IF($R$17="Distrato",$E1120,0))),0,YEARFRAC(MAX($P$708*($B1120+IF($R$17="Distrato",$I$38-1,0)),IF(AND($L$711=0,$P$708=0),"",$L$711-1),IF($R$17="Distrato",$E1120,0)),MIN(AR$38,$D$19),$P$20))-SUM($P1120:AQ1120)</f>
        <v>#VALUE!</v>
      </c>
      <c r="AS1120" s="446" t="e">
        <f>IF(OR($B1120="",MIN(AS$38,$D$19)&lt;MAX($P$708*($B1120+IF($R$17="Distrato",$I$38-1,0)),IF(AND($L$711=0,$P$708=0),"",$L$711-1),IF($R$17="Distrato",$E1120,0))),0,YEARFRAC(MAX($P$708*($B1120+IF($R$17="Distrato",$I$38-1,0)),IF(AND($L$711=0,$P$708=0),"",$L$711-1),IF($R$17="Distrato",$E1120,0)),MIN(AS$38,$D$19),$P$20))-SUM($P1120:AR1120)</f>
        <v>#VALUE!</v>
      </c>
      <c r="AT1120" s="446" t="e">
        <f>IF(OR($B1120="",MIN(AT$38,$D$19)&lt;MAX($P$708*($B1120+IF($R$17="Distrato",$I$38-1,0)),IF(AND($L$711=0,$P$708=0),"",$L$711-1),IF($R$17="Distrato",$E1120,0))),0,YEARFRAC(MAX($P$708*($B1120+IF($R$17="Distrato",$I$38-1,0)),IF(AND($L$711=0,$P$708=0),"",$L$711-1),IF($R$17="Distrato",$E1120,0)),MIN(AT$38,$D$19),$P$20))-SUM($P1120:AS1120)</f>
        <v>#VALUE!</v>
      </c>
      <c r="AU1120" s="446" t="e">
        <f>IF(OR($B1120="",MIN(AU$38,$D$19)&lt;MAX($P$708*($B1120+IF($R$17="Distrato",$I$38-1,0)),IF(AND($L$711=0,$P$708=0),"",$L$711-1),IF($R$17="Distrato",$E1120,0))),0,YEARFRAC(MAX($P$708*($B1120+IF($R$17="Distrato",$I$38-1,0)),IF(AND($L$711=0,$P$708=0),"",$L$711-1),IF($R$17="Distrato",$E1120,0)),MIN(AU$38,$D$19),$P$20))-SUM($P1120:AT1120)</f>
        <v>#VALUE!</v>
      </c>
      <c r="AV1120" s="446" t="e">
        <f>IF(OR($B1120="",MIN(AV$38,$D$19)&lt;MAX($P$708*($B1120+IF($R$17="Distrato",$I$38-1,0)),IF(AND($L$711=0,$P$708=0),"",$L$711-1),IF($R$17="Distrato",$E1120,0))),0,YEARFRAC(MAX($P$708*($B1120+IF($R$17="Distrato",$I$38-1,0)),IF(AND($L$711=0,$P$708=0),"",$L$711-1),IF($R$17="Distrato",$E1120,0)),MIN(AV$38,$D$19),$P$20))-SUM($P1120:AU1120)</f>
        <v>#VALUE!</v>
      </c>
      <c r="AW1120" s="446" t="e">
        <f>IF(OR($B1120="",MIN(AW$38,$D$19)&lt;MAX($P$708*($B1120+IF($R$17="Distrato",$I$38-1,0)),IF(AND($L$711=0,$P$708=0),"",$L$711-1),IF($R$17="Distrato",$E1120,0))),0,YEARFRAC(MAX($P$708*($B1120+IF($R$17="Distrato",$I$38-1,0)),IF(AND($L$711=0,$P$708=0),"",$L$711-1),IF($R$17="Distrato",$E1120,0)),MIN(AW$38,$D$19),$P$20))-SUM($P1120:AV1120)</f>
        <v>#VALUE!</v>
      </c>
      <c r="AX1120" s="446" t="e">
        <f>IF(OR($B1120="",MIN(AX$38,$D$19)&lt;MAX($P$708*($B1120+IF($R$17="Distrato",$I$38-1,0)),IF(AND($L$711=0,$P$708=0),"",$L$711-1),IF($R$17="Distrato",$E1120,0))),0,YEARFRAC(MAX($P$708*($B1120+IF($R$17="Distrato",$I$38-1,0)),IF(AND($L$711=0,$P$708=0),"",$L$711-1),IF($R$17="Distrato",$E1120,0)),MIN(AX$38,$D$19),$P$20))-SUM($P1120:AW1120)</f>
        <v>#VALUE!</v>
      </c>
      <c r="AY1120" s="446" t="e">
        <f>IF(OR($B1120="",MIN(AY$38,$D$19)&lt;MAX($P$708*($B1120+IF($R$17="Distrato",$I$38-1,0)),IF(AND($L$711=0,$P$708=0),"",$L$711-1),IF($R$17="Distrato",$E1120,0))),0,YEARFRAC(MAX($P$708*($B1120+IF($R$17="Distrato",$I$38-1,0)),IF(AND($L$711=0,$P$708=0),"",$L$711-1),IF($R$17="Distrato",$E1120,0)),MIN(AY$38,$D$19),$P$20))-SUM($P1120:AX1120)</f>
        <v>#VALUE!</v>
      </c>
      <c r="AZ1120" s="446" t="e">
        <f>IF(OR($B1120="",MIN(AZ$38,$D$19)&lt;MAX($P$708*($B1120+IF($R$17="Distrato",$I$38-1,0)),IF(AND($L$711=0,$P$708=0),"",$L$711-1),IF($R$17="Distrato",$E1120,0))),0,YEARFRAC(MAX($P$708*($B1120+IF($R$17="Distrato",$I$38-1,0)),IF(AND($L$711=0,$P$708=0),"",$L$711-1),IF($R$17="Distrato",$E1120,0)),MIN(AZ$38,$D$19),$P$20))-SUM($P1120:AY1120)</f>
        <v>#VALUE!</v>
      </c>
      <c r="BA1120" s="446" t="e">
        <f>IF(OR($B1120="",MIN(BA$38,$D$19)&lt;MAX($P$708*($B1120+IF($R$17="Distrato",$I$38-1,0)),IF(AND($L$711=0,$P$708=0),"",$L$711-1),IF($R$17="Distrato",$E1120,0))),0,YEARFRAC(MAX($P$708*($B1120+IF($R$17="Distrato",$I$38-1,0)),IF(AND($L$711=0,$P$708=0),"",$L$711-1),IF($R$17="Distrato",$E1120,0)),MIN(BA$38,$D$19),$P$20))-SUM($P1120:AZ1120)</f>
        <v>#VALUE!</v>
      </c>
      <c r="BB1120" s="447"/>
    </row>
    <row r="1121" spans="1:54" s="446" customFormat="1" ht="11.25" hidden="1" customHeight="1" x14ac:dyDescent="0.2">
      <c r="A1121" s="235"/>
      <c r="B1121" s="236"/>
      <c r="C1121" s="29" t="str">
        <f>IF(B1121="","",IF($L$709=$BL$25,VLOOKUP(DATE(YEAR($D$19),MONTH($D$19)-1,1),ÍNDICES!$A:$DE,HLOOKUP($BL$25,ÍNDICES!$B$3:$T$4,2)+11)-VLOOKUP(B1121,ÍNDICES!$A:$DE,HLOOKUP($BL$25,ÍNDICES!$B$3:$T$4,2)+11)+1%,IF(C$712=$W$26,$J$35,IF(ISERROR(IF(B1121&gt;$D$19,1,VLOOKUP(DATE(YEAR(B1121),MONTH(B1121)+IF($C$709=$S$23,1,0),1),ÍNDICES!$A:$DE,$Z$709+1))),"",IF(B1121&gt;$D$19,1,VLOOKUP(DATE(YEAR(B1121),MONTH(B1121)+IF($C$709=$S$23,1,0),1),ÍNDICES!$A:$DE,$Z$709+1))))))</f>
        <v/>
      </c>
      <c r="D1121" s="155"/>
      <c r="E1121" s="88"/>
      <c r="F1121" s="88"/>
      <c r="G1121" s="88"/>
      <c r="H1121" s="118"/>
      <c r="I1121" s="182">
        <f t="shared" si="157"/>
        <v>0</v>
      </c>
      <c r="J1121" s="20">
        <f t="shared" ca="1" si="158"/>
        <v>0</v>
      </c>
      <c r="K1121" s="5">
        <f t="shared" ca="1" si="159"/>
        <v>0</v>
      </c>
      <c r="L1121" s="61">
        <f t="shared" ca="1" si="160"/>
        <v>0</v>
      </c>
      <c r="M1121" s="64">
        <f t="shared" si="161"/>
        <v>0</v>
      </c>
      <c r="N1121" s="151"/>
      <c r="O1121" s="5">
        <f t="shared" ca="1" si="162"/>
        <v>0</v>
      </c>
      <c r="P1121" s="446" t="e">
        <f t="shared" si="163"/>
        <v>#VALUE!</v>
      </c>
      <c r="Q1121" s="446" t="e">
        <f>IF(OR($B1121="",MIN(Q$38,$D$19)&lt;MAX($P$708*($B1121+IF($R$17="Distrato",$I$38-1,0)),IF(AND($L$711=0,$P$708=0),"",$L$711-1),IF($R$17="Distrato",$E1121,0))),0,YEARFRAC(MAX($P$708*($B1121+IF($R$17="Distrato",$I$38-1,0)),IF(AND($L$711=0,$P$708=0),"",$L$711-1),IF($R$17="Distrato",$E1121,0)),MIN(Q$38,$D$19),$P$20))-SUM($P1121:P1121)</f>
        <v>#VALUE!</v>
      </c>
      <c r="R1121" s="446" t="e">
        <f>IF(OR($B1121="",MIN(R$38,$D$19)&lt;MAX($P$708*($B1121+IF($R$17="Distrato",$I$38-1,0)),IF(AND($L$711=0,$P$708=0),"",$L$711-1),IF($R$17="Distrato",$E1121,0))),0,YEARFRAC(MAX($P$708*($B1121+IF($R$17="Distrato",$I$38-1,0)),IF(AND($L$711=0,$P$708=0),"",$L$711-1),IF($R$17="Distrato",$E1121,0)),MIN(R$38,$D$19),$P$20))-SUM($P1121:Q1121)</f>
        <v>#VALUE!</v>
      </c>
      <c r="S1121" s="446" t="e">
        <f>IF(OR($B1121="",MIN(S$38,$D$19)&lt;MAX($P$708*($B1121+IF($R$17="Distrato",$I$38-1,0)),IF(AND($L$711=0,$P$708=0),"",$L$711-1),IF($R$17="Distrato",$E1121,0))),0,YEARFRAC(MAX($P$708*($B1121+IF($R$17="Distrato",$I$38-1,0)),IF(AND($L$711=0,$P$708=0),"",$L$711-1),IF($R$17="Distrato",$E1121,0)),MIN(S$38,$D$19),$P$20))-SUM($P1121:R1121)</f>
        <v>#VALUE!</v>
      </c>
      <c r="T1121" s="446" t="e">
        <f>IF(OR($B1121="",MIN(T$38,$D$19)&lt;MAX($P$708*($B1121+IF($R$17="Distrato",$I$38-1,0)),IF(AND($L$711=0,$P$708=0),"",$L$711-1),IF($R$17="Distrato",$E1121,0))),0,YEARFRAC(MAX($P$708*($B1121+IF($R$17="Distrato",$I$38-1,0)),IF(AND($L$711=0,$P$708=0),"",$L$711-1),IF($R$17="Distrato",$E1121,0)),MIN(T$38,$D$19),$P$20))-SUM($P1121:S1121)</f>
        <v>#VALUE!</v>
      </c>
      <c r="U1121" s="446" t="e">
        <f>IF(OR($B1121="",MIN(U$38,$D$19)&lt;MAX($P$708*($B1121+IF($R$17="Distrato",$I$38-1,0)),IF(AND($L$711=0,$P$708=0),"",$L$711-1),IF($R$17="Distrato",$E1121,0))),0,YEARFRAC(MAX($P$708*($B1121+IF($R$17="Distrato",$I$38-1,0)),IF(AND($L$711=0,$P$708=0),"",$L$711-1),IF($R$17="Distrato",$E1121,0)),MIN(U$38,$D$19),$P$20))-SUM($P1121:T1121)</f>
        <v>#VALUE!</v>
      </c>
      <c r="V1121" s="446" t="e">
        <f>IF(OR($B1121="",MIN(V$38,$D$19)&lt;MAX($P$708*($B1121+IF($R$17="Distrato",$I$38-1,0)),IF(AND($L$711=0,$P$708=0),"",$L$711-1),IF($R$17="Distrato",$E1121,0))),0,YEARFRAC(MAX($P$708*($B1121+IF($R$17="Distrato",$I$38-1,0)),IF(AND($L$711=0,$P$708=0),"",$L$711-1),IF($R$17="Distrato",$E1121,0)),MIN(V$38,$D$19),$P$20))-SUM($P1121:U1121)</f>
        <v>#VALUE!</v>
      </c>
      <c r="W1121" s="446" t="e">
        <f>IF(OR($B1121="",MIN(W$38,$D$19)&lt;MAX($P$708*($B1121+IF($R$17="Distrato",$I$38-1,0)),IF(AND($L$711=0,$P$708=0),"",$L$711-1),IF($R$17="Distrato",$E1121,0))),0,YEARFRAC(MAX($P$708*($B1121+IF($R$17="Distrato",$I$38-1,0)),IF(AND($L$711=0,$P$708=0),"",$L$711-1),IF($R$17="Distrato",$E1121,0)),MIN(W$38,$D$19),$P$20))-SUM($P1121:V1121)</f>
        <v>#VALUE!</v>
      </c>
      <c r="X1121" s="446" t="e">
        <f>IF(OR($B1121="",MIN(X$38,$D$19)&lt;MAX($P$708*($B1121+IF($R$17="Distrato",$I$38-1,0)),IF(AND($L$711=0,$P$708=0),"",$L$711-1),IF($R$17="Distrato",$E1121,0))),0,YEARFRAC(MAX($P$708*($B1121+IF($R$17="Distrato",$I$38-1,0)),IF(AND($L$711=0,$P$708=0),"",$L$711-1),IF($R$17="Distrato",$E1121,0)),MIN(X$38,$D$19),$P$20))-SUM($P1121:W1121)</f>
        <v>#VALUE!</v>
      </c>
      <c r="Y1121" s="446" t="e">
        <f>IF(OR($B1121="",MIN(Y$38,$D$19)&lt;MAX($P$708*($B1121+IF($R$17="Distrato",$I$38-1,0)),IF(AND($L$711=0,$P$708=0),"",$L$711-1),IF($R$17="Distrato",$E1121,0))),0,YEARFRAC(MAX($P$708*($B1121+IF($R$17="Distrato",$I$38-1,0)),IF(AND($L$711=0,$P$708=0),"",$L$711-1),IF($R$17="Distrato",$E1121,0)),MIN(Y$38,$D$19),$P$20))-SUM($P1121:X1121)</f>
        <v>#VALUE!</v>
      </c>
      <c r="Z1121" s="446" t="e">
        <f>IF(OR($B1121="",MIN(Z$38,$D$19)&lt;MAX($P$708*($B1121+IF($R$17="Distrato",$I$38-1,0)),IF(AND($L$711=0,$P$708=0),"",$L$711-1),IF($R$17="Distrato",$E1121,0))),0,YEARFRAC(MAX($P$708*($B1121+IF($R$17="Distrato",$I$38-1,0)),IF(AND($L$711=0,$P$708=0),"",$L$711-1),IF($R$17="Distrato",$E1121,0)),MIN(Z$38,$D$19),$P$20))-SUM($P1121:Y1121)</f>
        <v>#VALUE!</v>
      </c>
      <c r="AA1121" s="446" t="e">
        <f>IF(OR($B1121="",MIN(AA$38,$D$19)&lt;MAX($P$708*($B1121+IF($R$17="Distrato",$I$38-1,0)),IF(AND($L$711=0,$P$708=0),"",$L$711-1),IF($R$17="Distrato",$E1121,0))),0,YEARFRAC(MAX($P$708*($B1121+IF($R$17="Distrato",$I$38-1,0)),IF(AND($L$711=0,$P$708=0),"",$L$711-1),IF($R$17="Distrato",$E1121,0)),MIN(AA$38,$D$19),$P$20))-SUM($P1121:Z1121)</f>
        <v>#VALUE!</v>
      </c>
      <c r="AB1121" s="446" t="e">
        <f>IF(OR($B1121="",MIN(AB$38,$D$19)&lt;MAX($P$708*($B1121+IF($R$17="Distrato",$I$38-1,0)),IF(AND($L$711=0,$P$708=0),"",$L$711-1),IF($R$17="Distrato",$E1121,0))),0,YEARFRAC(MAX($P$708*($B1121+IF($R$17="Distrato",$I$38-1,0)),IF(AND($L$711=0,$P$708=0),"",$L$711-1),IF($R$17="Distrato",$E1121,0)),MIN(AB$38,$D$19),$P$20))-SUM($P1121:AA1121)</f>
        <v>#VALUE!</v>
      </c>
      <c r="AC1121" s="446" t="e">
        <f>IF(OR($B1121="",MIN(AC$38,$D$19)&lt;MAX($P$708*($B1121+IF($R$17="Distrato",$I$38-1,0)),IF(AND($L$711=0,$P$708=0),"",$L$711-1),IF($R$17="Distrato",$E1121,0))),0,YEARFRAC(MAX($P$708*($B1121+IF($R$17="Distrato",$I$38-1,0)),IF(AND($L$711=0,$P$708=0),"",$L$711-1),IF($R$17="Distrato",$E1121,0)),MIN(AC$38,$D$19),$P$20))-SUM($P1121:AB1121)</f>
        <v>#VALUE!</v>
      </c>
      <c r="AD1121" s="446" t="e">
        <f>IF(OR($B1121="",MIN(AD$38,$D$19)&lt;MAX($P$708*($B1121+IF($R$17="Distrato",$I$38-1,0)),IF(AND($L$711=0,$P$708=0),"",$L$711-1),IF($R$17="Distrato",$E1121,0))),0,YEARFRAC(MAX($P$708*($B1121+IF($R$17="Distrato",$I$38-1,0)),IF(AND($L$711=0,$P$708=0),"",$L$711-1),IF($R$17="Distrato",$E1121,0)),MIN(AD$38,$D$19),$P$20))-SUM($P1121:AC1121)</f>
        <v>#VALUE!</v>
      </c>
      <c r="AE1121" s="446" t="e">
        <f>IF(OR($B1121="",MIN(AE$38,$D$19)&lt;MAX($P$708*($B1121+IF($R$17="Distrato",$I$38-1,0)),IF(AND($L$711=0,$P$708=0),"",$L$711-1),IF($R$17="Distrato",$E1121,0))),0,YEARFRAC(MAX($P$708*($B1121+IF($R$17="Distrato",$I$38-1,0)),IF(AND($L$711=0,$P$708=0),"",$L$711-1),IF($R$17="Distrato",$E1121,0)),MIN(AE$38,$D$19),$P$20))-SUM($P1121:AD1121)</f>
        <v>#VALUE!</v>
      </c>
      <c r="AF1121" s="446" t="e">
        <f>IF(OR($B1121="",MIN(AF$38,$D$19)&lt;MAX($P$708*($B1121+IF($R$17="Distrato",$I$38-1,0)),IF(AND($L$711=0,$P$708=0),"",$L$711-1),IF($R$17="Distrato",$E1121,0))),0,YEARFRAC(MAX($P$708*($B1121+IF($R$17="Distrato",$I$38-1,0)),IF(AND($L$711=0,$P$708=0),"",$L$711-1),IF($R$17="Distrato",$E1121,0)),MIN(AF$38,$D$19),$P$20))-SUM($P1121:AE1121)</f>
        <v>#VALUE!</v>
      </c>
      <c r="AG1121" s="446" t="e">
        <f>IF(OR($B1121="",MIN(AG$38,$D$19)&lt;MAX($P$708*($B1121+IF($R$17="Distrato",$I$38-1,0)),IF(AND($L$711=0,$P$708=0),"",$L$711-1),IF($R$17="Distrato",$E1121,0))),0,YEARFRAC(MAX($P$708*($B1121+IF($R$17="Distrato",$I$38-1,0)),IF(AND($L$711=0,$P$708=0),"",$L$711-1),IF($R$17="Distrato",$E1121,0)),MIN(AG$38,$D$19),$P$20))-SUM($P1121:AF1121)</f>
        <v>#VALUE!</v>
      </c>
      <c r="AH1121" s="446" t="e">
        <f>IF(OR($B1121="",MIN(AH$38,$D$19)&lt;MAX($P$708*($B1121+IF($R$17="Distrato",$I$38-1,0)),IF(AND($L$711=0,$P$708=0),"",$L$711-1),IF($R$17="Distrato",$E1121,0))),0,YEARFRAC(MAX($P$708*($B1121+IF($R$17="Distrato",$I$38-1,0)),IF(AND($L$711=0,$P$708=0),"",$L$711-1),IF($R$17="Distrato",$E1121,0)),MIN(AH$38,$D$19),$P$20))-SUM($P1121:AG1121)</f>
        <v>#VALUE!</v>
      </c>
      <c r="AI1121" s="446" t="e">
        <f>IF(OR($B1121="",MIN(AI$38,$D$19)&lt;MAX($P$708*($B1121+IF($R$17="Distrato",$I$38-1,0)),IF(AND($L$711=0,$P$708=0),"",$L$711-1),IF($R$17="Distrato",$E1121,0))),0,YEARFRAC(MAX($P$708*($B1121+IF($R$17="Distrato",$I$38-1,0)),IF(AND($L$711=0,$P$708=0),"",$L$711-1),IF($R$17="Distrato",$E1121,0)),MIN(AI$38,$D$19),$P$20))-SUM($P1121:AH1121)</f>
        <v>#VALUE!</v>
      </c>
      <c r="AJ1121" s="446" t="e">
        <f>IF(OR($B1121="",MIN(AJ$38,$D$19)&lt;MAX($P$708*($B1121+IF($R$17="Distrato",$I$38-1,0)),IF(AND($L$711=0,$P$708=0),"",$L$711-1),IF($R$17="Distrato",$E1121,0))),0,YEARFRAC(MAX($P$708*($B1121+IF($R$17="Distrato",$I$38-1,0)),IF(AND($L$711=0,$P$708=0),"",$L$711-1),IF($R$17="Distrato",$E1121,0)),MIN(AJ$38,$D$19),$P$20))-SUM($P1121:AI1121)</f>
        <v>#VALUE!</v>
      </c>
      <c r="AK1121" s="446" t="e">
        <f>IF(OR($B1121="",MIN(AK$38,$D$19)&lt;MAX($P$708*($B1121+IF($R$17="Distrato",$I$38-1,0)),IF(AND($L$711=0,$P$708=0),"",$L$711-1),IF($R$17="Distrato",$E1121,0))),0,YEARFRAC(MAX($P$708*($B1121+IF($R$17="Distrato",$I$38-1,0)),IF(AND($L$711=0,$P$708=0),"",$L$711-1),IF($R$17="Distrato",$E1121,0)),MIN(AK$38,$D$19),$P$20))-SUM($P1121:AJ1121)</f>
        <v>#VALUE!</v>
      </c>
      <c r="AL1121" s="446" t="e">
        <f>IF(OR($B1121="",MIN(AL$38,$D$19)&lt;MAX($P$708*($B1121+IF($R$17="Distrato",$I$38-1,0)),IF(AND($L$711=0,$P$708=0),"",$L$711-1),IF($R$17="Distrato",$E1121,0))),0,YEARFRAC(MAX($P$708*($B1121+IF($R$17="Distrato",$I$38-1,0)),IF(AND($L$711=0,$P$708=0),"",$L$711-1),IF($R$17="Distrato",$E1121,0)),MIN(AL$38,$D$19),$P$20))-SUM($P1121:AK1121)</f>
        <v>#VALUE!</v>
      </c>
      <c r="AM1121" s="446" t="e">
        <f>IF(OR($B1121="",MIN(AM$38,$D$19)&lt;MAX($P$708*($B1121+IF($R$17="Distrato",$I$38-1,0)),IF(AND($L$711=0,$P$708=0),"",$L$711-1),IF($R$17="Distrato",$E1121,0))),0,YEARFRAC(MAX($P$708*($B1121+IF($R$17="Distrato",$I$38-1,0)),IF(AND($L$711=0,$P$708=0),"",$L$711-1),IF($R$17="Distrato",$E1121,0)),MIN(AM$38,$D$19),$P$20))-SUM($P1121:AL1121)</f>
        <v>#VALUE!</v>
      </c>
      <c r="AN1121" s="446" t="e">
        <f>IF(OR($B1121="",MIN(AN$38,$D$19)&lt;MAX($P$708*($B1121+IF($R$17="Distrato",$I$38-1,0)),IF(AND($L$711=0,$P$708=0),"",$L$711-1),IF($R$17="Distrato",$E1121,0))),0,YEARFRAC(MAX($P$708*($B1121+IF($R$17="Distrato",$I$38-1,0)),IF(AND($L$711=0,$P$708=0),"",$L$711-1),IF($R$17="Distrato",$E1121,0)),MIN(AN$38,$D$19),$P$20))-SUM($P1121:AM1121)</f>
        <v>#VALUE!</v>
      </c>
      <c r="AO1121" s="446" t="e">
        <f>IF(OR($B1121="",MIN(AO$38,$D$19)&lt;MAX($P$708*($B1121+IF($R$17="Distrato",$I$38-1,0)),IF(AND($L$711=0,$P$708=0),"",$L$711-1),IF($R$17="Distrato",$E1121,0))),0,YEARFRAC(MAX($P$708*($B1121+IF($R$17="Distrato",$I$38-1,0)),IF(AND($L$711=0,$P$708=0),"",$L$711-1),IF($R$17="Distrato",$E1121,0)),MIN(AO$38,$D$19),$P$20))-SUM($P1121:AN1121)</f>
        <v>#VALUE!</v>
      </c>
      <c r="AP1121" s="446" t="e">
        <f>IF(OR($B1121="",MIN(AP$38,$D$19)&lt;MAX($P$708*($B1121+IF($R$17="Distrato",$I$38-1,0)),IF(AND($L$711=0,$P$708=0),"",$L$711-1),IF($R$17="Distrato",$E1121,0))),0,YEARFRAC(MAX($P$708*($B1121+IF($R$17="Distrato",$I$38-1,0)),IF(AND($L$711=0,$P$708=0),"",$L$711-1),IF($R$17="Distrato",$E1121,0)),MIN(AP$38,$D$19),$P$20))-SUM($P1121:AO1121)</f>
        <v>#VALUE!</v>
      </c>
      <c r="AQ1121" s="446" t="e">
        <f>IF(OR($B1121="",MIN(AQ$38,$D$19)&lt;MAX($P$708*($B1121+IF($R$17="Distrato",$I$38-1,0)),IF(AND($L$711=0,$P$708=0),"",$L$711-1),IF($R$17="Distrato",$E1121,0))),0,YEARFRAC(MAX($P$708*($B1121+IF($R$17="Distrato",$I$38-1,0)),IF(AND($L$711=0,$P$708=0),"",$L$711-1),IF($R$17="Distrato",$E1121,0)),MIN(AQ$38,$D$19),$P$20))-SUM($P1121:AP1121)</f>
        <v>#VALUE!</v>
      </c>
      <c r="AR1121" s="446" t="e">
        <f>IF(OR($B1121="",MIN(AR$38,$D$19)&lt;MAX($P$708*($B1121+IF($R$17="Distrato",$I$38-1,0)),IF(AND($L$711=0,$P$708=0),"",$L$711-1),IF($R$17="Distrato",$E1121,0))),0,YEARFRAC(MAX($P$708*($B1121+IF($R$17="Distrato",$I$38-1,0)),IF(AND($L$711=0,$P$708=0),"",$L$711-1),IF($R$17="Distrato",$E1121,0)),MIN(AR$38,$D$19),$P$20))-SUM($P1121:AQ1121)</f>
        <v>#VALUE!</v>
      </c>
      <c r="AS1121" s="446" t="e">
        <f>IF(OR($B1121="",MIN(AS$38,$D$19)&lt;MAX($P$708*($B1121+IF($R$17="Distrato",$I$38-1,0)),IF(AND($L$711=0,$P$708=0),"",$L$711-1),IF($R$17="Distrato",$E1121,0))),0,YEARFRAC(MAX($P$708*($B1121+IF($R$17="Distrato",$I$38-1,0)),IF(AND($L$711=0,$P$708=0),"",$L$711-1),IF($R$17="Distrato",$E1121,0)),MIN(AS$38,$D$19),$P$20))-SUM($P1121:AR1121)</f>
        <v>#VALUE!</v>
      </c>
      <c r="AT1121" s="446" t="e">
        <f>IF(OR($B1121="",MIN(AT$38,$D$19)&lt;MAX($P$708*($B1121+IF($R$17="Distrato",$I$38-1,0)),IF(AND($L$711=0,$P$708=0),"",$L$711-1),IF($R$17="Distrato",$E1121,0))),0,YEARFRAC(MAX($P$708*($B1121+IF($R$17="Distrato",$I$38-1,0)),IF(AND($L$711=0,$P$708=0),"",$L$711-1),IF($R$17="Distrato",$E1121,0)),MIN(AT$38,$D$19),$P$20))-SUM($P1121:AS1121)</f>
        <v>#VALUE!</v>
      </c>
      <c r="AU1121" s="446" t="e">
        <f>IF(OR($B1121="",MIN(AU$38,$D$19)&lt;MAX($P$708*($B1121+IF($R$17="Distrato",$I$38-1,0)),IF(AND($L$711=0,$P$708=0),"",$L$711-1),IF($R$17="Distrato",$E1121,0))),0,YEARFRAC(MAX($P$708*($B1121+IF($R$17="Distrato",$I$38-1,0)),IF(AND($L$711=0,$P$708=0),"",$L$711-1),IF($R$17="Distrato",$E1121,0)),MIN(AU$38,$D$19),$P$20))-SUM($P1121:AT1121)</f>
        <v>#VALUE!</v>
      </c>
      <c r="AV1121" s="446" t="e">
        <f>IF(OR($B1121="",MIN(AV$38,$D$19)&lt;MAX($P$708*($B1121+IF($R$17="Distrato",$I$38-1,0)),IF(AND($L$711=0,$P$708=0),"",$L$711-1),IF($R$17="Distrato",$E1121,0))),0,YEARFRAC(MAX($P$708*($B1121+IF($R$17="Distrato",$I$38-1,0)),IF(AND($L$711=0,$P$708=0),"",$L$711-1),IF($R$17="Distrato",$E1121,0)),MIN(AV$38,$D$19),$P$20))-SUM($P1121:AU1121)</f>
        <v>#VALUE!</v>
      </c>
      <c r="AW1121" s="446" t="e">
        <f>IF(OR($B1121="",MIN(AW$38,$D$19)&lt;MAX($P$708*($B1121+IF($R$17="Distrato",$I$38-1,0)),IF(AND($L$711=0,$P$708=0),"",$L$711-1),IF($R$17="Distrato",$E1121,0))),0,YEARFRAC(MAX($P$708*($B1121+IF($R$17="Distrato",$I$38-1,0)),IF(AND($L$711=0,$P$708=0),"",$L$711-1),IF($R$17="Distrato",$E1121,0)),MIN(AW$38,$D$19),$P$20))-SUM($P1121:AV1121)</f>
        <v>#VALUE!</v>
      </c>
      <c r="AX1121" s="446" t="e">
        <f>IF(OR($B1121="",MIN(AX$38,$D$19)&lt;MAX($P$708*($B1121+IF($R$17="Distrato",$I$38-1,0)),IF(AND($L$711=0,$P$708=0),"",$L$711-1),IF($R$17="Distrato",$E1121,0))),0,YEARFRAC(MAX($P$708*($B1121+IF($R$17="Distrato",$I$38-1,0)),IF(AND($L$711=0,$P$708=0),"",$L$711-1),IF($R$17="Distrato",$E1121,0)),MIN(AX$38,$D$19),$P$20))-SUM($P1121:AW1121)</f>
        <v>#VALUE!</v>
      </c>
      <c r="AY1121" s="446" t="e">
        <f>IF(OR($B1121="",MIN(AY$38,$D$19)&lt;MAX($P$708*($B1121+IF($R$17="Distrato",$I$38-1,0)),IF(AND($L$711=0,$P$708=0),"",$L$711-1),IF($R$17="Distrato",$E1121,0))),0,YEARFRAC(MAX($P$708*($B1121+IF($R$17="Distrato",$I$38-1,0)),IF(AND($L$711=0,$P$708=0),"",$L$711-1),IF($R$17="Distrato",$E1121,0)),MIN(AY$38,$D$19),$P$20))-SUM($P1121:AX1121)</f>
        <v>#VALUE!</v>
      </c>
      <c r="AZ1121" s="446" t="e">
        <f>IF(OR($B1121="",MIN(AZ$38,$D$19)&lt;MAX($P$708*($B1121+IF($R$17="Distrato",$I$38-1,0)),IF(AND($L$711=0,$P$708=0),"",$L$711-1),IF($R$17="Distrato",$E1121,0))),0,YEARFRAC(MAX($P$708*($B1121+IF($R$17="Distrato",$I$38-1,0)),IF(AND($L$711=0,$P$708=0),"",$L$711-1),IF($R$17="Distrato",$E1121,0)),MIN(AZ$38,$D$19),$P$20))-SUM($P1121:AY1121)</f>
        <v>#VALUE!</v>
      </c>
      <c r="BA1121" s="446" t="e">
        <f>IF(OR($B1121="",MIN(BA$38,$D$19)&lt;MAX($P$708*($B1121+IF($R$17="Distrato",$I$38-1,0)),IF(AND($L$711=0,$P$708=0),"",$L$711-1),IF($R$17="Distrato",$E1121,0))),0,YEARFRAC(MAX($P$708*($B1121+IF($R$17="Distrato",$I$38-1,0)),IF(AND($L$711=0,$P$708=0),"",$L$711-1),IF($R$17="Distrato",$E1121,0)),MIN(BA$38,$D$19),$P$20))-SUM($P1121:AZ1121)</f>
        <v>#VALUE!</v>
      </c>
      <c r="BB1121" s="447"/>
    </row>
    <row r="1122" spans="1:54" s="446" customFormat="1" ht="11.25" hidden="1" customHeight="1" x14ac:dyDescent="0.2">
      <c r="A1122" s="235"/>
      <c r="B1122" s="236"/>
      <c r="C1122" s="29" t="str">
        <f>IF(B1122="","",IF($L$709=$BL$25,VLOOKUP(DATE(YEAR($D$19),MONTH($D$19)-1,1),ÍNDICES!$A:$DE,HLOOKUP($BL$25,ÍNDICES!$B$3:$T$4,2)+11)-VLOOKUP(B1122,ÍNDICES!$A:$DE,HLOOKUP($BL$25,ÍNDICES!$B$3:$T$4,2)+11)+1%,IF(C$712=$W$26,$J$35,IF(ISERROR(IF(B1122&gt;$D$19,1,VLOOKUP(DATE(YEAR(B1122),MONTH(B1122)+IF($C$709=$S$23,1,0),1),ÍNDICES!$A:$DE,$Z$709+1))),"",IF(B1122&gt;$D$19,1,VLOOKUP(DATE(YEAR(B1122),MONTH(B1122)+IF($C$709=$S$23,1,0),1),ÍNDICES!$A:$DE,$Z$709+1))))))</f>
        <v/>
      </c>
      <c r="D1122" s="155"/>
      <c r="E1122" s="88"/>
      <c r="F1122" s="88"/>
      <c r="G1122" s="88"/>
      <c r="H1122" s="118"/>
      <c r="I1122" s="182">
        <f t="shared" si="157"/>
        <v>0</v>
      </c>
      <c r="J1122" s="20">
        <f t="shared" ca="1" si="158"/>
        <v>0</v>
      </c>
      <c r="K1122" s="5">
        <f t="shared" ca="1" si="159"/>
        <v>0</v>
      </c>
      <c r="L1122" s="61">
        <f t="shared" ca="1" si="160"/>
        <v>0</v>
      </c>
      <c r="M1122" s="64">
        <f t="shared" si="161"/>
        <v>0</v>
      </c>
      <c r="N1122" s="151"/>
      <c r="O1122" s="5">
        <f t="shared" ca="1" si="162"/>
        <v>0</v>
      </c>
      <c r="P1122" s="446" t="e">
        <f t="shared" si="163"/>
        <v>#VALUE!</v>
      </c>
      <c r="Q1122" s="446" t="e">
        <f>IF(OR($B1122="",MIN(Q$38,$D$19)&lt;MAX($P$708*($B1122+IF($R$17="Distrato",$I$38-1,0)),IF(AND($L$711=0,$P$708=0),"",$L$711-1),IF($R$17="Distrato",$E1122,0))),0,YEARFRAC(MAX($P$708*($B1122+IF($R$17="Distrato",$I$38-1,0)),IF(AND($L$711=0,$P$708=0),"",$L$711-1),IF($R$17="Distrato",$E1122,0)),MIN(Q$38,$D$19),$P$20))-SUM($P1122:P1122)</f>
        <v>#VALUE!</v>
      </c>
      <c r="R1122" s="446" t="e">
        <f>IF(OR($B1122="",MIN(R$38,$D$19)&lt;MAX($P$708*($B1122+IF($R$17="Distrato",$I$38-1,0)),IF(AND($L$711=0,$P$708=0),"",$L$711-1),IF($R$17="Distrato",$E1122,0))),0,YEARFRAC(MAX($P$708*($B1122+IF($R$17="Distrato",$I$38-1,0)),IF(AND($L$711=0,$P$708=0),"",$L$711-1),IF($R$17="Distrato",$E1122,0)),MIN(R$38,$D$19),$P$20))-SUM($P1122:Q1122)</f>
        <v>#VALUE!</v>
      </c>
      <c r="S1122" s="446" t="e">
        <f>IF(OR($B1122="",MIN(S$38,$D$19)&lt;MAX($P$708*($B1122+IF($R$17="Distrato",$I$38-1,0)),IF(AND($L$711=0,$P$708=0),"",$L$711-1),IF($R$17="Distrato",$E1122,0))),0,YEARFRAC(MAX($P$708*($B1122+IF($R$17="Distrato",$I$38-1,0)),IF(AND($L$711=0,$P$708=0),"",$L$711-1),IF($R$17="Distrato",$E1122,0)),MIN(S$38,$D$19),$P$20))-SUM($P1122:R1122)</f>
        <v>#VALUE!</v>
      </c>
      <c r="T1122" s="446" t="e">
        <f>IF(OR($B1122="",MIN(T$38,$D$19)&lt;MAX($P$708*($B1122+IF($R$17="Distrato",$I$38-1,0)),IF(AND($L$711=0,$P$708=0),"",$L$711-1),IF($R$17="Distrato",$E1122,0))),0,YEARFRAC(MAX($P$708*($B1122+IF($R$17="Distrato",$I$38-1,0)),IF(AND($L$711=0,$P$708=0),"",$L$711-1),IF($R$17="Distrato",$E1122,0)),MIN(T$38,$D$19),$P$20))-SUM($P1122:S1122)</f>
        <v>#VALUE!</v>
      </c>
      <c r="U1122" s="446" t="e">
        <f>IF(OR($B1122="",MIN(U$38,$D$19)&lt;MAX($P$708*($B1122+IF($R$17="Distrato",$I$38-1,0)),IF(AND($L$711=0,$P$708=0),"",$L$711-1),IF($R$17="Distrato",$E1122,0))),0,YEARFRAC(MAX($P$708*($B1122+IF($R$17="Distrato",$I$38-1,0)),IF(AND($L$711=0,$P$708=0),"",$L$711-1),IF($R$17="Distrato",$E1122,0)),MIN(U$38,$D$19),$P$20))-SUM($P1122:T1122)</f>
        <v>#VALUE!</v>
      </c>
      <c r="V1122" s="446" t="e">
        <f>IF(OR($B1122="",MIN(V$38,$D$19)&lt;MAX($P$708*($B1122+IF($R$17="Distrato",$I$38-1,0)),IF(AND($L$711=0,$P$708=0),"",$L$711-1),IF($R$17="Distrato",$E1122,0))),0,YEARFRAC(MAX($P$708*($B1122+IF($R$17="Distrato",$I$38-1,0)),IF(AND($L$711=0,$P$708=0),"",$L$711-1),IF($R$17="Distrato",$E1122,0)),MIN(V$38,$D$19),$P$20))-SUM($P1122:U1122)</f>
        <v>#VALUE!</v>
      </c>
      <c r="W1122" s="446" t="e">
        <f>IF(OR($B1122="",MIN(W$38,$D$19)&lt;MAX($P$708*($B1122+IF($R$17="Distrato",$I$38-1,0)),IF(AND($L$711=0,$P$708=0),"",$L$711-1),IF($R$17="Distrato",$E1122,0))),0,YEARFRAC(MAX($P$708*($B1122+IF($R$17="Distrato",$I$38-1,0)),IF(AND($L$711=0,$P$708=0),"",$L$711-1),IF($R$17="Distrato",$E1122,0)),MIN(W$38,$D$19),$P$20))-SUM($P1122:V1122)</f>
        <v>#VALUE!</v>
      </c>
      <c r="X1122" s="446" t="e">
        <f>IF(OR($B1122="",MIN(X$38,$D$19)&lt;MAX($P$708*($B1122+IF($R$17="Distrato",$I$38-1,0)),IF(AND($L$711=0,$P$708=0),"",$L$711-1),IF($R$17="Distrato",$E1122,0))),0,YEARFRAC(MAX($P$708*($B1122+IF($R$17="Distrato",$I$38-1,0)),IF(AND($L$711=0,$P$708=0),"",$L$711-1),IF($R$17="Distrato",$E1122,0)),MIN(X$38,$D$19),$P$20))-SUM($P1122:W1122)</f>
        <v>#VALUE!</v>
      </c>
      <c r="Y1122" s="446" t="e">
        <f>IF(OR($B1122="",MIN(Y$38,$D$19)&lt;MAX($P$708*($B1122+IF($R$17="Distrato",$I$38-1,0)),IF(AND($L$711=0,$P$708=0),"",$L$711-1),IF($R$17="Distrato",$E1122,0))),0,YEARFRAC(MAX($P$708*($B1122+IF($R$17="Distrato",$I$38-1,0)),IF(AND($L$711=0,$P$708=0),"",$L$711-1),IF($R$17="Distrato",$E1122,0)),MIN(Y$38,$D$19),$P$20))-SUM($P1122:X1122)</f>
        <v>#VALUE!</v>
      </c>
      <c r="Z1122" s="446" t="e">
        <f>IF(OR($B1122="",MIN(Z$38,$D$19)&lt;MAX($P$708*($B1122+IF($R$17="Distrato",$I$38-1,0)),IF(AND($L$711=0,$P$708=0),"",$L$711-1),IF($R$17="Distrato",$E1122,0))),0,YEARFRAC(MAX($P$708*($B1122+IF($R$17="Distrato",$I$38-1,0)),IF(AND($L$711=0,$P$708=0),"",$L$711-1),IF($R$17="Distrato",$E1122,0)),MIN(Z$38,$D$19),$P$20))-SUM($P1122:Y1122)</f>
        <v>#VALUE!</v>
      </c>
      <c r="AA1122" s="446" t="e">
        <f>IF(OR($B1122="",MIN(AA$38,$D$19)&lt;MAX($P$708*($B1122+IF($R$17="Distrato",$I$38-1,0)),IF(AND($L$711=0,$P$708=0),"",$L$711-1),IF($R$17="Distrato",$E1122,0))),0,YEARFRAC(MAX($P$708*($B1122+IF($R$17="Distrato",$I$38-1,0)),IF(AND($L$711=0,$P$708=0),"",$L$711-1),IF($R$17="Distrato",$E1122,0)),MIN(AA$38,$D$19),$P$20))-SUM($P1122:Z1122)</f>
        <v>#VALUE!</v>
      </c>
      <c r="AB1122" s="446" t="e">
        <f>IF(OR($B1122="",MIN(AB$38,$D$19)&lt;MAX($P$708*($B1122+IF($R$17="Distrato",$I$38-1,0)),IF(AND($L$711=0,$P$708=0),"",$L$711-1),IF($R$17="Distrato",$E1122,0))),0,YEARFRAC(MAX($P$708*($B1122+IF($R$17="Distrato",$I$38-1,0)),IF(AND($L$711=0,$P$708=0),"",$L$711-1),IF($R$17="Distrato",$E1122,0)),MIN(AB$38,$D$19),$P$20))-SUM($P1122:AA1122)</f>
        <v>#VALUE!</v>
      </c>
      <c r="AC1122" s="446" t="e">
        <f>IF(OR($B1122="",MIN(AC$38,$D$19)&lt;MAX($P$708*($B1122+IF($R$17="Distrato",$I$38-1,0)),IF(AND($L$711=0,$P$708=0),"",$L$711-1),IF($R$17="Distrato",$E1122,0))),0,YEARFRAC(MAX($P$708*($B1122+IF($R$17="Distrato",$I$38-1,0)),IF(AND($L$711=0,$P$708=0),"",$L$711-1),IF($R$17="Distrato",$E1122,0)),MIN(AC$38,$D$19),$P$20))-SUM($P1122:AB1122)</f>
        <v>#VALUE!</v>
      </c>
      <c r="AD1122" s="446" t="e">
        <f>IF(OR($B1122="",MIN(AD$38,$D$19)&lt;MAX($P$708*($B1122+IF($R$17="Distrato",$I$38-1,0)),IF(AND($L$711=0,$P$708=0),"",$L$711-1),IF($R$17="Distrato",$E1122,0))),0,YEARFRAC(MAX($P$708*($B1122+IF($R$17="Distrato",$I$38-1,0)),IF(AND($L$711=0,$P$708=0),"",$L$711-1),IF($R$17="Distrato",$E1122,0)),MIN(AD$38,$D$19),$P$20))-SUM($P1122:AC1122)</f>
        <v>#VALUE!</v>
      </c>
      <c r="AE1122" s="446" t="e">
        <f>IF(OR($B1122="",MIN(AE$38,$D$19)&lt;MAX($P$708*($B1122+IF($R$17="Distrato",$I$38-1,0)),IF(AND($L$711=0,$P$708=0),"",$L$711-1),IF($R$17="Distrato",$E1122,0))),0,YEARFRAC(MAX($P$708*($B1122+IF($R$17="Distrato",$I$38-1,0)),IF(AND($L$711=0,$P$708=0),"",$L$711-1),IF($R$17="Distrato",$E1122,0)),MIN(AE$38,$D$19),$P$20))-SUM($P1122:AD1122)</f>
        <v>#VALUE!</v>
      </c>
      <c r="AF1122" s="446" t="e">
        <f>IF(OR($B1122="",MIN(AF$38,$D$19)&lt;MAX($P$708*($B1122+IF($R$17="Distrato",$I$38-1,0)),IF(AND($L$711=0,$P$708=0),"",$L$711-1),IF($R$17="Distrato",$E1122,0))),0,YEARFRAC(MAX($P$708*($B1122+IF($R$17="Distrato",$I$38-1,0)),IF(AND($L$711=0,$P$708=0),"",$L$711-1),IF($R$17="Distrato",$E1122,0)),MIN(AF$38,$D$19),$P$20))-SUM($P1122:AE1122)</f>
        <v>#VALUE!</v>
      </c>
      <c r="AG1122" s="446" t="e">
        <f>IF(OR($B1122="",MIN(AG$38,$D$19)&lt;MAX($P$708*($B1122+IF($R$17="Distrato",$I$38-1,0)),IF(AND($L$711=0,$P$708=0),"",$L$711-1),IF($R$17="Distrato",$E1122,0))),0,YEARFRAC(MAX($P$708*($B1122+IF($R$17="Distrato",$I$38-1,0)),IF(AND($L$711=0,$P$708=0),"",$L$711-1),IF($R$17="Distrato",$E1122,0)),MIN(AG$38,$D$19),$P$20))-SUM($P1122:AF1122)</f>
        <v>#VALUE!</v>
      </c>
      <c r="AH1122" s="446" t="e">
        <f>IF(OR($B1122="",MIN(AH$38,$D$19)&lt;MAX($P$708*($B1122+IF($R$17="Distrato",$I$38-1,0)),IF(AND($L$711=0,$P$708=0),"",$L$711-1),IF($R$17="Distrato",$E1122,0))),0,YEARFRAC(MAX($P$708*($B1122+IF($R$17="Distrato",$I$38-1,0)),IF(AND($L$711=0,$P$708=0),"",$L$711-1),IF($R$17="Distrato",$E1122,0)),MIN(AH$38,$D$19),$P$20))-SUM($P1122:AG1122)</f>
        <v>#VALUE!</v>
      </c>
      <c r="AI1122" s="446" t="e">
        <f>IF(OR($B1122="",MIN(AI$38,$D$19)&lt;MAX($P$708*($B1122+IF($R$17="Distrato",$I$38-1,0)),IF(AND($L$711=0,$P$708=0),"",$L$711-1),IF($R$17="Distrato",$E1122,0))),0,YEARFRAC(MAX($P$708*($B1122+IF($R$17="Distrato",$I$38-1,0)),IF(AND($L$711=0,$P$708=0),"",$L$711-1),IF($R$17="Distrato",$E1122,0)),MIN(AI$38,$D$19),$P$20))-SUM($P1122:AH1122)</f>
        <v>#VALUE!</v>
      </c>
      <c r="AJ1122" s="446" t="e">
        <f>IF(OR($B1122="",MIN(AJ$38,$D$19)&lt;MAX($P$708*($B1122+IF($R$17="Distrato",$I$38-1,0)),IF(AND($L$711=0,$P$708=0),"",$L$711-1),IF($R$17="Distrato",$E1122,0))),0,YEARFRAC(MAX($P$708*($B1122+IF($R$17="Distrato",$I$38-1,0)),IF(AND($L$711=0,$P$708=0),"",$L$711-1),IF($R$17="Distrato",$E1122,0)),MIN(AJ$38,$D$19),$P$20))-SUM($P1122:AI1122)</f>
        <v>#VALUE!</v>
      </c>
      <c r="AK1122" s="446" t="e">
        <f>IF(OR($B1122="",MIN(AK$38,$D$19)&lt;MAX($P$708*($B1122+IF($R$17="Distrato",$I$38-1,0)),IF(AND($L$711=0,$P$708=0),"",$L$711-1),IF($R$17="Distrato",$E1122,0))),0,YEARFRAC(MAX($P$708*($B1122+IF($R$17="Distrato",$I$38-1,0)),IF(AND($L$711=0,$P$708=0),"",$L$711-1),IF($R$17="Distrato",$E1122,0)),MIN(AK$38,$D$19),$P$20))-SUM($P1122:AJ1122)</f>
        <v>#VALUE!</v>
      </c>
      <c r="AL1122" s="446" t="e">
        <f>IF(OR($B1122="",MIN(AL$38,$D$19)&lt;MAX($P$708*($B1122+IF($R$17="Distrato",$I$38-1,0)),IF(AND($L$711=0,$P$708=0),"",$L$711-1),IF($R$17="Distrato",$E1122,0))),0,YEARFRAC(MAX($P$708*($B1122+IF($R$17="Distrato",$I$38-1,0)),IF(AND($L$711=0,$P$708=0),"",$L$711-1),IF($R$17="Distrato",$E1122,0)),MIN(AL$38,$D$19),$P$20))-SUM($P1122:AK1122)</f>
        <v>#VALUE!</v>
      </c>
      <c r="AM1122" s="446" t="e">
        <f>IF(OR($B1122="",MIN(AM$38,$D$19)&lt;MAX($P$708*($B1122+IF($R$17="Distrato",$I$38-1,0)),IF(AND($L$711=0,$P$708=0),"",$L$711-1),IF($R$17="Distrato",$E1122,0))),0,YEARFRAC(MAX($P$708*($B1122+IF($R$17="Distrato",$I$38-1,0)),IF(AND($L$711=0,$P$708=0),"",$L$711-1),IF($R$17="Distrato",$E1122,0)),MIN(AM$38,$D$19),$P$20))-SUM($P1122:AL1122)</f>
        <v>#VALUE!</v>
      </c>
      <c r="AN1122" s="446" t="e">
        <f>IF(OR($B1122="",MIN(AN$38,$D$19)&lt;MAX($P$708*($B1122+IF($R$17="Distrato",$I$38-1,0)),IF(AND($L$711=0,$P$708=0),"",$L$711-1),IF($R$17="Distrato",$E1122,0))),0,YEARFRAC(MAX($P$708*($B1122+IF($R$17="Distrato",$I$38-1,0)),IF(AND($L$711=0,$P$708=0),"",$L$711-1),IF($R$17="Distrato",$E1122,0)),MIN(AN$38,$D$19),$P$20))-SUM($P1122:AM1122)</f>
        <v>#VALUE!</v>
      </c>
      <c r="AO1122" s="446" t="e">
        <f>IF(OR($B1122="",MIN(AO$38,$D$19)&lt;MAX($P$708*($B1122+IF($R$17="Distrato",$I$38-1,0)),IF(AND($L$711=0,$P$708=0),"",$L$711-1),IF($R$17="Distrato",$E1122,0))),0,YEARFRAC(MAX($P$708*($B1122+IF($R$17="Distrato",$I$38-1,0)),IF(AND($L$711=0,$P$708=0),"",$L$711-1),IF($R$17="Distrato",$E1122,0)),MIN(AO$38,$D$19),$P$20))-SUM($P1122:AN1122)</f>
        <v>#VALUE!</v>
      </c>
      <c r="AP1122" s="446" t="e">
        <f>IF(OR($B1122="",MIN(AP$38,$D$19)&lt;MAX($P$708*($B1122+IF($R$17="Distrato",$I$38-1,0)),IF(AND($L$711=0,$P$708=0),"",$L$711-1),IF($R$17="Distrato",$E1122,0))),0,YEARFRAC(MAX($P$708*($B1122+IF($R$17="Distrato",$I$38-1,0)),IF(AND($L$711=0,$P$708=0),"",$L$711-1),IF($R$17="Distrato",$E1122,0)),MIN(AP$38,$D$19),$P$20))-SUM($P1122:AO1122)</f>
        <v>#VALUE!</v>
      </c>
      <c r="AQ1122" s="446" t="e">
        <f>IF(OR($B1122="",MIN(AQ$38,$D$19)&lt;MAX($P$708*($B1122+IF($R$17="Distrato",$I$38-1,0)),IF(AND($L$711=0,$P$708=0),"",$L$711-1),IF($R$17="Distrato",$E1122,0))),0,YEARFRAC(MAX($P$708*($B1122+IF($R$17="Distrato",$I$38-1,0)),IF(AND($L$711=0,$P$708=0),"",$L$711-1),IF($R$17="Distrato",$E1122,0)),MIN(AQ$38,$D$19),$P$20))-SUM($P1122:AP1122)</f>
        <v>#VALUE!</v>
      </c>
      <c r="AR1122" s="446" t="e">
        <f>IF(OR($B1122="",MIN(AR$38,$D$19)&lt;MAX($P$708*($B1122+IF($R$17="Distrato",$I$38-1,0)),IF(AND($L$711=0,$P$708=0),"",$L$711-1),IF($R$17="Distrato",$E1122,0))),0,YEARFRAC(MAX($P$708*($B1122+IF($R$17="Distrato",$I$38-1,0)),IF(AND($L$711=0,$P$708=0),"",$L$711-1),IF($R$17="Distrato",$E1122,0)),MIN(AR$38,$D$19),$P$20))-SUM($P1122:AQ1122)</f>
        <v>#VALUE!</v>
      </c>
      <c r="AS1122" s="446" t="e">
        <f>IF(OR($B1122="",MIN(AS$38,$D$19)&lt;MAX($P$708*($B1122+IF($R$17="Distrato",$I$38-1,0)),IF(AND($L$711=0,$P$708=0),"",$L$711-1),IF($R$17="Distrato",$E1122,0))),0,YEARFRAC(MAX($P$708*($B1122+IF($R$17="Distrato",$I$38-1,0)),IF(AND($L$711=0,$P$708=0),"",$L$711-1),IF($R$17="Distrato",$E1122,0)),MIN(AS$38,$D$19),$P$20))-SUM($P1122:AR1122)</f>
        <v>#VALUE!</v>
      </c>
      <c r="AT1122" s="446" t="e">
        <f>IF(OR($B1122="",MIN(AT$38,$D$19)&lt;MAX($P$708*($B1122+IF($R$17="Distrato",$I$38-1,0)),IF(AND($L$711=0,$P$708=0),"",$L$711-1),IF($R$17="Distrato",$E1122,0))),0,YEARFRAC(MAX($P$708*($B1122+IF($R$17="Distrato",$I$38-1,0)),IF(AND($L$711=0,$P$708=0),"",$L$711-1),IF($R$17="Distrato",$E1122,0)),MIN(AT$38,$D$19),$P$20))-SUM($P1122:AS1122)</f>
        <v>#VALUE!</v>
      </c>
      <c r="AU1122" s="446" t="e">
        <f>IF(OR($B1122="",MIN(AU$38,$D$19)&lt;MAX($P$708*($B1122+IF($R$17="Distrato",$I$38-1,0)),IF(AND($L$711=0,$P$708=0),"",$L$711-1),IF($R$17="Distrato",$E1122,0))),0,YEARFRAC(MAX($P$708*($B1122+IF($R$17="Distrato",$I$38-1,0)),IF(AND($L$711=0,$P$708=0),"",$L$711-1),IF($R$17="Distrato",$E1122,0)),MIN(AU$38,$D$19),$P$20))-SUM($P1122:AT1122)</f>
        <v>#VALUE!</v>
      </c>
      <c r="AV1122" s="446" t="e">
        <f>IF(OR($B1122="",MIN(AV$38,$D$19)&lt;MAX($P$708*($B1122+IF($R$17="Distrato",$I$38-1,0)),IF(AND($L$711=0,$P$708=0),"",$L$711-1),IF($R$17="Distrato",$E1122,0))),0,YEARFRAC(MAX($P$708*($B1122+IF($R$17="Distrato",$I$38-1,0)),IF(AND($L$711=0,$P$708=0),"",$L$711-1),IF($R$17="Distrato",$E1122,0)),MIN(AV$38,$D$19),$P$20))-SUM($P1122:AU1122)</f>
        <v>#VALUE!</v>
      </c>
      <c r="AW1122" s="446" t="e">
        <f>IF(OR($B1122="",MIN(AW$38,$D$19)&lt;MAX($P$708*($B1122+IF($R$17="Distrato",$I$38-1,0)),IF(AND($L$711=0,$P$708=0),"",$L$711-1),IF($R$17="Distrato",$E1122,0))),0,YEARFRAC(MAX($P$708*($B1122+IF($R$17="Distrato",$I$38-1,0)),IF(AND($L$711=0,$P$708=0),"",$L$711-1),IF($R$17="Distrato",$E1122,0)),MIN(AW$38,$D$19),$P$20))-SUM($P1122:AV1122)</f>
        <v>#VALUE!</v>
      </c>
      <c r="AX1122" s="446" t="e">
        <f>IF(OR($B1122="",MIN(AX$38,$D$19)&lt;MAX($P$708*($B1122+IF($R$17="Distrato",$I$38-1,0)),IF(AND($L$711=0,$P$708=0),"",$L$711-1),IF($R$17="Distrato",$E1122,0))),0,YEARFRAC(MAX($P$708*($B1122+IF($R$17="Distrato",$I$38-1,0)),IF(AND($L$711=0,$P$708=0),"",$L$711-1),IF($R$17="Distrato",$E1122,0)),MIN(AX$38,$D$19),$P$20))-SUM($P1122:AW1122)</f>
        <v>#VALUE!</v>
      </c>
      <c r="AY1122" s="446" t="e">
        <f>IF(OR($B1122="",MIN(AY$38,$D$19)&lt;MAX($P$708*($B1122+IF($R$17="Distrato",$I$38-1,0)),IF(AND($L$711=0,$P$708=0),"",$L$711-1),IF($R$17="Distrato",$E1122,0))),0,YEARFRAC(MAX($P$708*($B1122+IF($R$17="Distrato",$I$38-1,0)),IF(AND($L$711=0,$P$708=0),"",$L$711-1),IF($R$17="Distrato",$E1122,0)),MIN(AY$38,$D$19),$P$20))-SUM($P1122:AX1122)</f>
        <v>#VALUE!</v>
      </c>
      <c r="AZ1122" s="446" t="e">
        <f>IF(OR($B1122="",MIN(AZ$38,$D$19)&lt;MAX($P$708*($B1122+IF($R$17="Distrato",$I$38-1,0)),IF(AND($L$711=0,$P$708=0),"",$L$711-1),IF($R$17="Distrato",$E1122,0))),0,YEARFRAC(MAX($P$708*($B1122+IF($R$17="Distrato",$I$38-1,0)),IF(AND($L$711=0,$P$708=0),"",$L$711-1),IF($R$17="Distrato",$E1122,0)),MIN(AZ$38,$D$19),$P$20))-SUM($P1122:AY1122)</f>
        <v>#VALUE!</v>
      </c>
      <c r="BA1122" s="446" t="e">
        <f>IF(OR($B1122="",MIN(BA$38,$D$19)&lt;MAX($P$708*($B1122+IF($R$17="Distrato",$I$38-1,0)),IF(AND($L$711=0,$P$708=0),"",$L$711-1),IF($R$17="Distrato",$E1122,0))),0,YEARFRAC(MAX($P$708*($B1122+IF($R$17="Distrato",$I$38-1,0)),IF(AND($L$711=0,$P$708=0),"",$L$711-1),IF($R$17="Distrato",$E1122,0)),MIN(BA$38,$D$19),$P$20))-SUM($P1122:AZ1122)</f>
        <v>#VALUE!</v>
      </c>
      <c r="BB1122" s="447"/>
    </row>
    <row r="1123" spans="1:54" s="446" customFormat="1" ht="11.25" hidden="1" customHeight="1" x14ac:dyDescent="0.2">
      <c r="A1123" s="235"/>
      <c r="B1123" s="236"/>
      <c r="C1123" s="29" t="str">
        <f>IF(B1123="","",IF($L$709=$BL$25,VLOOKUP(DATE(YEAR($D$19),MONTH($D$19)-1,1),ÍNDICES!$A:$DE,HLOOKUP($BL$25,ÍNDICES!$B$3:$T$4,2)+11)-VLOOKUP(B1123,ÍNDICES!$A:$DE,HLOOKUP($BL$25,ÍNDICES!$B$3:$T$4,2)+11)+1%,IF(C$712=$W$26,$J$35,IF(ISERROR(IF(B1123&gt;$D$19,1,VLOOKUP(DATE(YEAR(B1123),MONTH(B1123)+IF($C$709=$S$23,1,0),1),ÍNDICES!$A:$DE,$Z$709+1))),"",IF(B1123&gt;$D$19,1,VLOOKUP(DATE(YEAR(B1123),MONTH(B1123)+IF($C$709=$S$23,1,0),1),ÍNDICES!$A:$DE,$Z$709+1))))))</f>
        <v/>
      </c>
      <c r="D1123" s="155"/>
      <c r="E1123" s="88"/>
      <c r="F1123" s="88"/>
      <c r="G1123" s="88"/>
      <c r="H1123" s="118"/>
      <c r="I1123" s="182">
        <f t="shared" si="157"/>
        <v>0</v>
      </c>
      <c r="J1123" s="20">
        <f t="shared" ca="1" si="158"/>
        <v>0</v>
      </c>
      <c r="K1123" s="5">
        <f t="shared" ca="1" si="159"/>
        <v>0</v>
      </c>
      <c r="L1123" s="61">
        <f t="shared" ca="1" si="160"/>
        <v>0</v>
      </c>
      <c r="M1123" s="64">
        <f t="shared" si="161"/>
        <v>0</v>
      </c>
      <c r="N1123" s="151"/>
      <c r="O1123" s="5">
        <f t="shared" ca="1" si="162"/>
        <v>0</v>
      </c>
      <c r="P1123" s="446" t="e">
        <f t="shared" si="163"/>
        <v>#VALUE!</v>
      </c>
      <c r="Q1123" s="446" t="e">
        <f>IF(OR($B1123="",MIN(Q$38,$D$19)&lt;MAX($P$708*($B1123+IF($R$17="Distrato",$I$38-1,0)),IF(AND($L$711=0,$P$708=0),"",$L$711-1),IF($R$17="Distrato",$E1123,0))),0,YEARFRAC(MAX($P$708*($B1123+IF($R$17="Distrato",$I$38-1,0)),IF(AND($L$711=0,$P$708=0),"",$L$711-1),IF($R$17="Distrato",$E1123,0)),MIN(Q$38,$D$19),$P$20))-SUM($P1123:P1123)</f>
        <v>#VALUE!</v>
      </c>
      <c r="R1123" s="446" t="e">
        <f>IF(OR($B1123="",MIN(R$38,$D$19)&lt;MAX($P$708*($B1123+IF($R$17="Distrato",$I$38-1,0)),IF(AND($L$711=0,$P$708=0),"",$L$711-1),IF($R$17="Distrato",$E1123,0))),0,YEARFRAC(MAX($P$708*($B1123+IF($R$17="Distrato",$I$38-1,0)),IF(AND($L$711=0,$P$708=0),"",$L$711-1),IF($R$17="Distrato",$E1123,0)),MIN(R$38,$D$19),$P$20))-SUM($P1123:Q1123)</f>
        <v>#VALUE!</v>
      </c>
      <c r="S1123" s="446" t="e">
        <f>IF(OR($B1123="",MIN(S$38,$D$19)&lt;MAX($P$708*($B1123+IF($R$17="Distrato",$I$38-1,0)),IF(AND($L$711=0,$P$708=0),"",$L$711-1),IF($R$17="Distrato",$E1123,0))),0,YEARFRAC(MAX($P$708*($B1123+IF($R$17="Distrato",$I$38-1,0)),IF(AND($L$711=0,$P$708=0),"",$L$711-1),IF($R$17="Distrato",$E1123,0)),MIN(S$38,$D$19),$P$20))-SUM($P1123:R1123)</f>
        <v>#VALUE!</v>
      </c>
      <c r="T1123" s="446" t="e">
        <f>IF(OR($B1123="",MIN(T$38,$D$19)&lt;MAX($P$708*($B1123+IF($R$17="Distrato",$I$38-1,0)),IF(AND($L$711=0,$P$708=0),"",$L$711-1),IF($R$17="Distrato",$E1123,0))),0,YEARFRAC(MAX($P$708*($B1123+IF($R$17="Distrato",$I$38-1,0)),IF(AND($L$711=0,$P$708=0),"",$L$711-1),IF($R$17="Distrato",$E1123,0)),MIN(T$38,$D$19),$P$20))-SUM($P1123:S1123)</f>
        <v>#VALUE!</v>
      </c>
      <c r="U1123" s="446" t="e">
        <f>IF(OR($B1123="",MIN(U$38,$D$19)&lt;MAX($P$708*($B1123+IF($R$17="Distrato",$I$38-1,0)),IF(AND($L$711=0,$P$708=0),"",$L$711-1),IF($R$17="Distrato",$E1123,0))),0,YEARFRAC(MAX($P$708*($B1123+IF($R$17="Distrato",$I$38-1,0)),IF(AND($L$711=0,$P$708=0),"",$L$711-1),IF($R$17="Distrato",$E1123,0)),MIN(U$38,$D$19),$P$20))-SUM($P1123:T1123)</f>
        <v>#VALUE!</v>
      </c>
      <c r="V1123" s="446" t="e">
        <f>IF(OR($B1123="",MIN(V$38,$D$19)&lt;MAX($P$708*($B1123+IF($R$17="Distrato",$I$38-1,0)),IF(AND($L$711=0,$P$708=0),"",$L$711-1),IF($R$17="Distrato",$E1123,0))),0,YEARFRAC(MAX($P$708*($B1123+IF($R$17="Distrato",$I$38-1,0)),IF(AND($L$711=0,$P$708=0),"",$L$711-1),IF($R$17="Distrato",$E1123,0)),MIN(V$38,$D$19),$P$20))-SUM($P1123:U1123)</f>
        <v>#VALUE!</v>
      </c>
      <c r="W1123" s="446" t="e">
        <f>IF(OR($B1123="",MIN(W$38,$D$19)&lt;MAX($P$708*($B1123+IF($R$17="Distrato",$I$38-1,0)),IF(AND($L$711=0,$P$708=0),"",$L$711-1),IF($R$17="Distrato",$E1123,0))),0,YEARFRAC(MAX($P$708*($B1123+IF($R$17="Distrato",$I$38-1,0)),IF(AND($L$711=0,$P$708=0),"",$L$711-1),IF($R$17="Distrato",$E1123,0)),MIN(W$38,$D$19),$P$20))-SUM($P1123:V1123)</f>
        <v>#VALUE!</v>
      </c>
      <c r="X1123" s="446" t="e">
        <f>IF(OR($B1123="",MIN(X$38,$D$19)&lt;MAX($P$708*($B1123+IF($R$17="Distrato",$I$38-1,0)),IF(AND($L$711=0,$P$708=0),"",$L$711-1),IF($R$17="Distrato",$E1123,0))),0,YEARFRAC(MAX($P$708*($B1123+IF($R$17="Distrato",$I$38-1,0)),IF(AND($L$711=0,$P$708=0),"",$L$711-1),IF($R$17="Distrato",$E1123,0)),MIN(X$38,$D$19),$P$20))-SUM($P1123:W1123)</f>
        <v>#VALUE!</v>
      </c>
      <c r="Y1123" s="446" t="e">
        <f>IF(OR($B1123="",MIN(Y$38,$D$19)&lt;MAX($P$708*($B1123+IF($R$17="Distrato",$I$38-1,0)),IF(AND($L$711=0,$P$708=0),"",$L$711-1),IF($R$17="Distrato",$E1123,0))),0,YEARFRAC(MAX($P$708*($B1123+IF($R$17="Distrato",$I$38-1,0)),IF(AND($L$711=0,$P$708=0),"",$L$711-1),IF($R$17="Distrato",$E1123,0)),MIN(Y$38,$D$19),$P$20))-SUM($P1123:X1123)</f>
        <v>#VALUE!</v>
      </c>
      <c r="Z1123" s="446" t="e">
        <f>IF(OR($B1123="",MIN(Z$38,$D$19)&lt;MAX($P$708*($B1123+IF($R$17="Distrato",$I$38-1,0)),IF(AND($L$711=0,$P$708=0),"",$L$711-1),IF($R$17="Distrato",$E1123,0))),0,YEARFRAC(MAX($P$708*($B1123+IF($R$17="Distrato",$I$38-1,0)),IF(AND($L$711=0,$P$708=0),"",$L$711-1),IF($R$17="Distrato",$E1123,0)),MIN(Z$38,$D$19),$P$20))-SUM($P1123:Y1123)</f>
        <v>#VALUE!</v>
      </c>
      <c r="AA1123" s="446" t="e">
        <f>IF(OR($B1123="",MIN(AA$38,$D$19)&lt;MAX($P$708*($B1123+IF($R$17="Distrato",$I$38-1,0)),IF(AND($L$711=0,$P$708=0),"",$L$711-1),IF($R$17="Distrato",$E1123,0))),0,YEARFRAC(MAX($P$708*($B1123+IF($R$17="Distrato",$I$38-1,0)),IF(AND($L$711=0,$P$708=0),"",$L$711-1),IF($R$17="Distrato",$E1123,0)),MIN(AA$38,$D$19),$P$20))-SUM($P1123:Z1123)</f>
        <v>#VALUE!</v>
      </c>
      <c r="AB1123" s="446" t="e">
        <f>IF(OR($B1123="",MIN(AB$38,$D$19)&lt;MAX($P$708*($B1123+IF($R$17="Distrato",$I$38-1,0)),IF(AND($L$711=0,$P$708=0),"",$L$711-1),IF($R$17="Distrato",$E1123,0))),0,YEARFRAC(MAX($P$708*($B1123+IF($R$17="Distrato",$I$38-1,0)),IF(AND($L$711=0,$P$708=0),"",$L$711-1),IF($R$17="Distrato",$E1123,0)),MIN(AB$38,$D$19),$P$20))-SUM($P1123:AA1123)</f>
        <v>#VALUE!</v>
      </c>
      <c r="AC1123" s="446" t="e">
        <f>IF(OR($B1123="",MIN(AC$38,$D$19)&lt;MAX($P$708*($B1123+IF($R$17="Distrato",$I$38-1,0)),IF(AND($L$711=0,$P$708=0),"",$L$711-1),IF($R$17="Distrato",$E1123,0))),0,YEARFRAC(MAX($P$708*($B1123+IF($R$17="Distrato",$I$38-1,0)),IF(AND($L$711=0,$P$708=0),"",$L$711-1),IF($R$17="Distrato",$E1123,0)),MIN(AC$38,$D$19),$P$20))-SUM($P1123:AB1123)</f>
        <v>#VALUE!</v>
      </c>
      <c r="AD1123" s="446" t="e">
        <f>IF(OR($B1123="",MIN(AD$38,$D$19)&lt;MAX($P$708*($B1123+IF($R$17="Distrato",$I$38-1,0)),IF(AND($L$711=0,$P$708=0),"",$L$711-1),IF($R$17="Distrato",$E1123,0))),0,YEARFRAC(MAX($P$708*($B1123+IF($R$17="Distrato",$I$38-1,0)),IF(AND($L$711=0,$P$708=0),"",$L$711-1),IF($R$17="Distrato",$E1123,0)),MIN(AD$38,$D$19),$P$20))-SUM($P1123:AC1123)</f>
        <v>#VALUE!</v>
      </c>
      <c r="AE1123" s="446" t="e">
        <f>IF(OR($B1123="",MIN(AE$38,$D$19)&lt;MAX($P$708*($B1123+IF($R$17="Distrato",$I$38-1,0)),IF(AND($L$711=0,$P$708=0),"",$L$711-1),IF($R$17="Distrato",$E1123,0))),0,YEARFRAC(MAX($P$708*($B1123+IF($R$17="Distrato",$I$38-1,0)),IF(AND($L$711=0,$P$708=0),"",$L$711-1),IF($R$17="Distrato",$E1123,0)),MIN(AE$38,$D$19),$P$20))-SUM($P1123:AD1123)</f>
        <v>#VALUE!</v>
      </c>
      <c r="AF1123" s="446" t="e">
        <f>IF(OR($B1123="",MIN(AF$38,$D$19)&lt;MAX($P$708*($B1123+IF($R$17="Distrato",$I$38-1,0)),IF(AND($L$711=0,$P$708=0),"",$L$711-1),IF($R$17="Distrato",$E1123,0))),0,YEARFRAC(MAX($P$708*($B1123+IF($R$17="Distrato",$I$38-1,0)),IF(AND($L$711=0,$P$708=0),"",$L$711-1),IF($R$17="Distrato",$E1123,0)),MIN(AF$38,$D$19),$P$20))-SUM($P1123:AE1123)</f>
        <v>#VALUE!</v>
      </c>
      <c r="AG1123" s="446" t="e">
        <f>IF(OR($B1123="",MIN(AG$38,$D$19)&lt;MAX($P$708*($B1123+IF($R$17="Distrato",$I$38-1,0)),IF(AND($L$711=0,$P$708=0),"",$L$711-1),IF($R$17="Distrato",$E1123,0))),0,YEARFRAC(MAX($P$708*($B1123+IF($R$17="Distrato",$I$38-1,0)),IF(AND($L$711=0,$P$708=0),"",$L$711-1),IF($R$17="Distrato",$E1123,0)),MIN(AG$38,$D$19),$P$20))-SUM($P1123:AF1123)</f>
        <v>#VALUE!</v>
      </c>
      <c r="AH1123" s="446" t="e">
        <f>IF(OR($B1123="",MIN(AH$38,$D$19)&lt;MAX($P$708*($B1123+IF($R$17="Distrato",$I$38-1,0)),IF(AND($L$711=0,$P$708=0),"",$L$711-1),IF($R$17="Distrato",$E1123,0))),0,YEARFRAC(MAX($P$708*($B1123+IF($R$17="Distrato",$I$38-1,0)),IF(AND($L$711=0,$P$708=0),"",$L$711-1),IF($R$17="Distrato",$E1123,0)),MIN(AH$38,$D$19),$P$20))-SUM($P1123:AG1123)</f>
        <v>#VALUE!</v>
      </c>
      <c r="AI1123" s="446" t="e">
        <f>IF(OR($B1123="",MIN(AI$38,$D$19)&lt;MAX($P$708*($B1123+IF($R$17="Distrato",$I$38-1,0)),IF(AND($L$711=0,$P$708=0),"",$L$711-1),IF($R$17="Distrato",$E1123,0))),0,YEARFRAC(MAX($P$708*($B1123+IF($R$17="Distrato",$I$38-1,0)),IF(AND($L$711=0,$P$708=0),"",$L$711-1),IF($R$17="Distrato",$E1123,0)),MIN(AI$38,$D$19),$P$20))-SUM($P1123:AH1123)</f>
        <v>#VALUE!</v>
      </c>
      <c r="AJ1123" s="446" t="e">
        <f>IF(OR($B1123="",MIN(AJ$38,$D$19)&lt;MAX($P$708*($B1123+IF($R$17="Distrato",$I$38-1,0)),IF(AND($L$711=0,$P$708=0),"",$L$711-1),IF($R$17="Distrato",$E1123,0))),0,YEARFRAC(MAX($P$708*($B1123+IF($R$17="Distrato",$I$38-1,0)),IF(AND($L$711=0,$P$708=0),"",$L$711-1),IF($R$17="Distrato",$E1123,0)),MIN(AJ$38,$D$19),$P$20))-SUM($P1123:AI1123)</f>
        <v>#VALUE!</v>
      </c>
      <c r="AK1123" s="446" t="e">
        <f>IF(OR($B1123="",MIN(AK$38,$D$19)&lt;MAX($P$708*($B1123+IF($R$17="Distrato",$I$38-1,0)),IF(AND($L$711=0,$P$708=0),"",$L$711-1),IF($R$17="Distrato",$E1123,0))),0,YEARFRAC(MAX($P$708*($B1123+IF($R$17="Distrato",$I$38-1,0)),IF(AND($L$711=0,$P$708=0),"",$L$711-1),IF($R$17="Distrato",$E1123,0)),MIN(AK$38,$D$19),$P$20))-SUM($P1123:AJ1123)</f>
        <v>#VALUE!</v>
      </c>
      <c r="AL1123" s="446" t="e">
        <f>IF(OR($B1123="",MIN(AL$38,$D$19)&lt;MAX($P$708*($B1123+IF($R$17="Distrato",$I$38-1,0)),IF(AND($L$711=0,$P$708=0),"",$L$711-1),IF($R$17="Distrato",$E1123,0))),0,YEARFRAC(MAX($P$708*($B1123+IF($R$17="Distrato",$I$38-1,0)),IF(AND($L$711=0,$P$708=0),"",$L$711-1),IF($R$17="Distrato",$E1123,0)),MIN(AL$38,$D$19),$P$20))-SUM($P1123:AK1123)</f>
        <v>#VALUE!</v>
      </c>
      <c r="AM1123" s="446" t="e">
        <f>IF(OR($B1123="",MIN(AM$38,$D$19)&lt;MAX($P$708*($B1123+IF($R$17="Distrato",$I$38-1,0)),IF(AND($L$711=0,$P$708=0),"",$L$711-1),IF($R$17="Distrato",$E1123,0))),0,YEARFRAC(MAX($P$708*($B1123+IF($R$17="Distrato",$I$38-1,0)),IF(AND($L$711=0,$P$708=0),"",$L$711-1),IF($R$17="Distrato",$E1123,0)),MIN(AM$38,$D$19),$P$20))-SUM($P1123:AL1123)</f>
        <v>#VALUE!</v>
      </c>
      <c r="AN1123" s="446" t="e">
        <f>IF(OR($B1123="",MIN(AN$38,$D$19)&lt;MAX($P$708*($B1123+IF($R$17="Distrato",$I$38-1,0)),IF(AND($L$711=0,$P$708=0),"",$L$711-1),IF($R$17="Distrato",$E1123,0))),0,YEARFRAC(MAX($P$708*($B1123+IF($R$17="Distrato",$I$38-1,0)),IF(AND($L$711=0,$P$708=0),"",$L$711-1),IF($R$17="Distrato",$E1123,0)),MIN(AN$38,$D$19),$P$20))-SUM($P1123:AM1123)</f>
        <v>#VALUE!</v>
      </c>
      <c r="AO1123" s="446" t="e">
        <f>IF(OR($B1123="",MIN(AO$38,$D$19)&lt;MAX($P$708*($B1123+IF($R$17="Distrato",$I$38-1,0)),IF(AND($L$711=0,$P$708=0),"",$L$711-1),IF($R$17="Distrato",$E1123,0))),0,YEARFRAC(MAX($P$708*($B1123+IF($R$17="Distrato",$I$38-1,0)),IF(AND($L$711=0,$P$708=0),"",$L$711-1),IF($R$17="Distrato",$E1123,0)),MIN(AO$38,$D$19),$P$20))-SUM($P1123:AN1123)</f>
        <v>#VALUE!</v>
      </c>
      <c r="AP1123" s="446" t="e">
        <f>IF(OR($B1123="",MIN(AP$38,$D$19)&lt;MAX($P$708*($B1123+IF($R$17="Distrato",$I$38-1,0)),IF(AND($L$711=0,$P$708=0),"",$L$711-1),IF($R$17="Distrato",$E1123,0))),0,YEARFRAC(MAX($P$708*($B1123+IF($R$17="Distrato",$I$38-1,0)),IF(AND($L$711=0,$P$708=0),"",$L$711-1),IF($R$17="Distrato",$E1123,0)),MIN(AP$38,$D$19),$P$20))-SUM($P1123:AO1123)</f>
        <v>#VALUE!</v>
      </c>
      <c r="AQ1123" s="446" t="e">
        <f>IF(OR($B1123="",MIN(AQ$38,$D$19)&lt;MAX($P$708*($B1123+IF($R$17="Distrato",$I$38-1,0)),IF(AND($L$711=0,$P$708=0),"",$L$711-1),IF($R$17="Distrato",$E1123,0))),0,YEARFRAC(MAX($P$708*($B1123+IF($R$17="Distrato",$I$38-1,0)),IF(AND($L$711=0,$P$708=0),"",$L$711-1),IF($R$17="Distrato",$E1123,0)),MIN(AQ$38,$D$19),$P$20))-SUM($P1123:AP1123)</f>
        <v>#VALUE!</v>
      </c>
      <c r="AR1123" s="446" t="e">
        <f>IF(OR($B1123="",MIN(AR$38,$D$19)&lt;MAX($P$708*($B1123+IF($R$17="Distrato",$I$38-1,0)),IF(AND($L$711=0,$P$708=0),"",$L$711-1),IF($R$17="Distrato",$E1123,0))),0,YEARFRAC(MAX($P$708*($B1123+IF($R$17="Distrato",$I$38-1,0)),IF(AND($L$711=0,$P$708=0),"",$L$711-1),IF($R$17="Distrato",$E1123,0)),MIN(AR$38,$D$19),$P$20))-SUM($P1123:AQ1123)</f>
        <v>#VALUE!</v>
      </c>
      <c r="AS1123" s="446" t="e">
        <f>IF(OR($B1123="",MIN(AS$38,$D$19)&lt;MAX($P$708*($B1123+IF($R$17="Distrato",$I$38-1,0)),IF(AND($L$711=0,$P$708=0),"",$L$711-1),IF($R$17="Distrato",$E1123,0))),0,YEARFRAC(MAX($P$708*($B1123+IF($R$17="Distrato",$I$38-1,0)),IF(AND($L$711=0,$P$708=0),"",$L$711-1),IF($R$17="Distrato",$E1123,0)),MIN(AS$38,$D$19),$P$20))-SUM($P1123:AR1123)</f>
        <v>#VALUE!</v>
      </c>
      <c r="AT1123" s="446" t="e">
        <f>IF(OR($B1123="",MIN(AT$38,$D$19)&lt;MAX($P$708*($B1123+IF($R$17="Distrato",$I$38-1,0)),IF(AND($L$711=0,$P$708=0),"",$L$711-1),IF($R$17="Distrato",$E1123,0))),0,YEARFRAC(MAX($P$708*($B1123+IF($R$17="Distrato",$I$38-1,0)),IF(AND($L$711=0,$P$708=0),"",$L$711-1),IF($R$17="Distrato",$E1123,0)),MIN(AT$38,$D$19),$P$20))-SUM($P1123:AS1123)</f>
        <v>#VALUE!</v>
      </c>
      <c r="AU1123" s="446" t="e">
        <f>IF(OR($B1123="",MIN(AU$38,$D$19)&lt;MAX($P$708*($B1123+IF($R$17="Distrato",$I$38-1,0)),IF(AND($L$711=0,$P$708=0),"",$L$711-1),IF($R$17="Distrato",$E1123,0))),0,YEARFRAC(MAX($P$708*($B1123+IF($R$17="Distrato",$I$38-1,0)),IF(AND($L$711=0,$P$708=0),"",$L$711-1),IF($R$17="Distrato",$E1123,0)),MIN(AU$38,$D$19),$P$20))-SUM($P1123:AT1123)</f>
        <v>#VALUE!</v>
      </c>
      <c r="AV1123" s="446" t="e">
        <f>IF(OR($B1123="",MIN(AV$38,$D$19)&lt;MAX($P$708*($B1123+IF($R$17="Distrato",$I$38-1,0)),IF(AND($L$711=0,$P$708=0),"",$L$711-1),IF($R$17="Distrato",$E1123,0))),0,YEARFRAC(MAX($P$708*($B1123+IF($R$17="Distrato",$I$38-1,0)),IF(AND($L$711=0,$P$708=0),"",$L$711-1),IF($R$17="Distrato",$E1123,0)),MIN(AV$38,$D$19),$P$20))-SUM($P1123:AU1123)</f>
        <v>#VALUE!</v>
      </c>
      <c r="AW1123" s="446" t="e">
        <f>IF(OR($B1123="",MIN(AW$38,$D$19)&lt;MAX($P$708*($B1123+IF($R$17="Distrato",$I$38-1,0)),IF(AND($L$711=0,$P$708=0),"",$L$711-1),IF($R$17="Distrato",$E1123,0))),0,YEARFRAC(MAX($P$708*($B1123+IF($R$17="Distrato",$I$38-1,0)),IF(AND($L$711=0,$P$708=0),"",$L$711-1),IF($R$17="Distrato",$E1123,0)),MIN(AW$38,$D$19),$P$20))-SUM($P1123:AV1123)</f>
        <v>#VALUE!</v>
      </c>
      <c r="AX1123" s="446" t="e">
        <f>IF(OR($B1123="",MIN(AX$38,$D$19)&lt;MAX($P$708*($B1123+IF($R$17="Distrato",$I$38-1,0)),IF(AND($L$711=0,$P$708=0),"",$L$711-1),IF($R$17="Distrato",$E1123,0))),0,YEARFRAC(MAX($P$708*($B1123+IF($R$17="Distrato",$I$38-1,0)),IF(AND($L$711=0,$P$708=0),"",$L$711-1),IF($R$17="Distrato",$E1123,0)),MIN(AX$38,$D$19),$P$20))-SUM($P1123:AW1123)</f>
        <v>#VALUE!</v>
      </c>
      <c r="AY1123" s="446" t="e">
        <f>IF(OR($B1123="",MIN(AY$38,$D$19)&lt;MAX($P$708*($B1123+IF($R$17="Distrato",$I$38-1,0)),IF(AND($L$711=0,$P$708=0),"",$L$711-1),IF($R$17="Distrato",$E1123,0))),0,YEARFRAC(MAX($P$708*($B1123+IF($R$17="Distrato",$I$38-1,0)),IF(AND($L$711=0,$P$708=0),"",$L$711-1),IF($R$17="Distrato",$E1123,0)),MIN(AY$38,$D$19),$P$20))-SUM($P1123:AX1123)</f>
        <v>#VALUE!</v>
      </c>
      <c r="AZ1123" s="446" t="e">
        <f>IF(OR($B1123="",MIN(AZ$38,$D$19)&lt;MAX($P$708*($B1123+IF($R$17="Distrato",$I$38-1,0)),IF(AND($L$711=0,$P$708=0),"",$L$711-1),IF($R$17="Distrato",$E1123,0))),0,YEARFRAC(MAX($P$708*($B1123+IF($R$17="Distrato",$I$38-1,0)),IF(AND($L$711=0,$P$708=0),"",$L$711-1),IF($R$17="Distrato",$E1123,0)),MIN(AZ$38,$D$19),$P$20))-SUM($P1123:AY1123)</f>
        <v>#VALUE!</v>
      </c>
      <c r="BA1123" s="446" t="e">
        <f>IF(OR($B1123="",MIN(BA$38,$D$19)&lt;MAX($P$708*($B1123+IF($R$17="Distrato",$I$38-1,0)),IF(AND($L$711=0,$P$708=0),"",$L$711-1),IF($R$17="Distrato",$E1123,0))),0,YEARFRAC(MAX($P$708*($B1123+IF($R$17="Distrato",$I$38-1,0)),IF(AND($L$711=0,$P$708=0),"",$L$711-1),IF($R$17="Distrato",$E1123,0)),MIN(BA$38,$D$19),$P$20))-SUM($P1123:AZ1123)</f>
        <v>#VALUE!</v>
      </c>
      <c r="BB1123" s="447"/>
    </row>
    <row r="1124" spans="1:54" s="446" customFormat="1" ht="11.25" hidden="1" customHeight="1" x14ac:dyDescent="0.2">
      <c r="A1124" s="235"/>
      <c r="B1124" s="236"/>
      <c r="C1124" s="29" t="str">
        <f>IF(B1124="","",IF($L$709=$BL$25,VLOOKUP(DATE(YEAR($D$19),MONTH($D$19)-1,1),ÍNDICES!$A:$DE,HLOOKUP($BL$25,ÍNDICES!$B$3:$T$4,2)+11)-VLOOKUP(B1124,ÍNDICES!$A:$DE,HLOOKUP($BL$25,ÍNDICES!$B$3:$T$4,2)+11)+1%,IF(C$712=$W$26,$J$35,IF(ISERROR(IF(B1124&gt;$D$19,1,VLOOKUP(DATE(YEAR(B1124),MONTH(B1124)+IF($C$709=$S$23,1,0),1),ÍNDICES!$A:$DE,$Z$709+1))),"",IF(B1124&gt;$D$19,1,VLOOKUP(DATE(YEAR(B1124),MONTH(B1124)+IF($C$709=$S$23,1,0),1),ÍNDICES!$A:$DE,$Z$709+1))))))</f>
        <v/>
      </c>
      <c r="D1124" s="155"/>
      <c r="E1124" s="88"/>
      <c r="F1124" s="88"/>
      <c r="G1124" s="88"/>
      <c r="H1124" s="118"/>
      <c r="I1124" s="182">
        <f t="shared" si="157"/>
        <v>0</v>
      </c>
      <c r="J1124" s="20">
        <f t="shared" ca="1" si="158"/>
        <v>0</v>
      </c>
      <c r="K1124" s="5">
        <f t="shared" ca="1" si="159"/>
        <v>0</v>
      </c>
      <c r="L1124" s="61">
        <f t="shared" ca="1" si="160"/>
        <v>0</v>
      </c>
      <c r="M1124" s="64">
        <f t="shared" si="161"/>
        <v>0</v>
      </c>
      <c r="N1124" s="151"/>
      <c r="O1124" s="5">
        <f t="shared" ca="1" si="162"/>
        <v>0</v>
      </c>
      <c r="P1124" s="446" t="e">
        <f t="shared" si="163"/>
        <v>#VALUE!</v>
      </c>
      <c r="Q1124" s="446" t="e">
        <f>IF(OR($B1124="",MIN(Q$38,$D$19)&lt;MAX($P$708*($B1124+IF($R$17="Distrato",$I$38-1,0)),IF(AND($L$711=0,$P$708=0),"",$L$711-1),IF($R$17="Distrato",$E1124,0))),0,YEARFRAC(MAX($P$708*($B1124+IF($R$17="Distrato",$I$38-1,0)),IF(AND($L$711=0,$P$708=0),"",$L$711-1),IF($R$17="Distrato",$E1124,0)),MIN(Q$38,$D$19),$P$20))-SUM($P1124:P1124)</f>
        <v>#VALUE!</v>
      </c>
      <c r="R1124" s="446" t="e">
        <f>IF(OR($B1124="",MIN(R$38,$D$19)&lt;MAX($P$708*($B1124+IF($R$17="Distrato",$I$38-1,0)),IF(AND($L$711=0,$P$708=0),"",$L$711-1),IF($R$17="Distrato",$E1124,0))),0,YEARFRAC(MAX($P$708*($B1124+IF($R$17="Distrato",$I$38-1,0)),IF(AND($L$711=0,$P$708=0),"",$L$711-1),IF($R$17="Distrato",$E1124,0)),MIN(R$38,$D$19),$P$20))-SUM($P1124:Q1124)</f>
        <v>#VALUE!</v>
      </c>
      <c r="S1124" s="446" t="e">
        <f>IF(OR($B1124="",MIN(S$38,$D$19)&lt;MAX($P$708*($B1124+IF($R$17="Distrato",$I$38-1,0)),IF(AND($L$711=0,$P$708=0),"",$L$711-1),IF($R$17="Distrato",$E1124,0))),0,YEARFRAC(MAX($P$708*($B1124+IF($R$17="Distrato",$I$38-1,0)),IF(AND($L$711=0,$P$708=0),"",$L$711-1),IF($R$17="Distrato",$E1124,0)),MIN(S$38,$D$19),$P$20))-SUM($P1124:R1124)</f>
        <v>#VALUE!</v>
      </c>
      <c r="T1124" s="446" t="e">
        <f>IF(OR($B1124="",MIN(T$38,$D$19)&lt;MAX($P$708*($B1124+IF($R$17="Distrato",$I$38-1,0)),IF(AND($L$711=0,$P$708=0),"",$L$711-1),IF($R$17="Distrato",$E1124,0))),0,YEARFRAC(MAX($P$708*($B1124+IF($R$17="Distrato",$I$38-1,0)),IF(AND($L$711=0,$P$708=0),"",$L$711-1),IF($R$17="Distrato",$E1124,0)),MIN(T$38,$D$19),$P$20))-SUM($P1124:S1124)</f>
        <v>#VALUE!</v>
      </c>
      <c r="U1124" s="446" t="e">
        <f>IF(OR($B1124="",MIN(U$38,$D$19)&lt;MAX($P$708*($B1124+IF($R$17="Distrato",$I$38-1,0)),IF(AND($L$711=0,$P$708=0),"",$L$711-1),IF($R$17="Distrato",$E1124,0))),0,YEARFRAC(MAX($P$708*($B1124+IF($R$17="Distrato",$I$38-1,0)),IF(AND($L$711=0,$P$708=0),"",$L$711-1),IF($R$17="Distrato",$E1124,0)),MIN(U$38,$D$19),$P$20))-SUM($P1124:T1124)</f>
        <v>#VALUE!</v>
      </c>
      <c r="V1124" s="446" t="e">
        <f>IF(OR($B1124="",MIN(V$38,$D$19)&lt;MAX($P$708*($B1124+IF($R$17="Distrato",$I$38-1,0)),IF(AND($L$711=0,$P$708=0),"",$L$711-1),IF($R$17="Distrato",$E1124,0))),0,YEARFRAC(MAX($P$708*($B1124+IF($R$17="Distrato",$I$38-1,0)),IF(AND($L$711=0,$P$708=0),"",$L$711-1),IF($R$17="Distrato",$E1124,0)),MIN(V$38,$D$19),$P$20))-SUM($P1124:U1124)</f>
        <v>#VALUE!</v>
      </c>
      <c r="W1124" s="446" t="e">
        <f>IF(OR($B1124="",MIN(W$38,$D$19)&lt;MAX($P$708*($B1124+IF($R$17="Distrato",$I$38-1,0)),IF(AND($L$711=0,$P$708=0),"",$L$711-1),IF($R$17="Distrato",$E1124,0))),0,YEARFRAC(MAX($P$708*($B1124+IF($R$17="Distrato",$I$38-1,0)),IF(AND($L$711=0,$P$708=0),"",$L$711-1),IF($R$17="Distrato",$E1124,0)),MIN(W$38,$D$19),$P$20))-SUM($P1124:V1124)</f>
        <v>#VALUE!</v>
      </c>
      <c r="X1124" s="446" t="e">
        <f>IF(OR($B1124="",MIN(X$38,$D$19)&lt;MAX($P$708*($B1124+IF($R$17="Distrato",$I$38-1,0)),IF(AND($L$711=0,$P$708=0),"",$L$711-1),IF($R$17="Distrato",$E1124,0))),0,YEARFRAC(MAX($P$708*($B1124+IF($R$17="Distrato",$I$38-1,0)),IF(AND($L$711=0,$P$708=0),"",$L$711-1),IF($R$17="Distrato",$E1124,0)),MIN(X$38,$D$19),$P$20))-SUM($P1124:W1124)</f>
        <v>#VALUE!</v>
      </c>
      <c r="Y1124" s="446" t="e">
        <f>IF(OR($B1124="",MIN(Y$38,$D$19)&lt;MAX($P$708*($B1124+IF($R$17="Distrato",$I$38-1,0)),IF(AND($L$711=0,$P$708=0),"",$L$711-1),IF($R$17="Distrato",$E1124,0))),0,YEARFRAC(MAX($P$708*($B1124+IF($R$17="Distrato",$I$38-1,0)),IF(AND($L$711=0,$P$708=0),"",$L$711-1),IF($R$17="Distrato",$E1124,0)),MIN(Y$38,$D$19),$P$20))-SUM($P1124:X1124)</f>
        <v>#VALUE!</v>
      </c>
      <c r="Z1124" s="446" t="e">
        <f>IF(OR($B1124="",MIN(Z$38,$D$19)&lt;MAX($P$708*($B1124+IF($R$17="Distrato",$I$38-1,0)),IF(AND($L$711=0,$P$708=0),"",$L$711-1),IF($R$17="Distrato",$E1124,0))),0,YEARFRAC(MAX($P$708*($B1124+IF($R$17="Distrato",$I$38-1,0)),IF(AND($L$711=0,$P$708=0),"",$L$711-1),IF($R$17="Distrato",$E1124,0)),MIN(Z$38,$D$19),$P$20))-SUM($P1124:Y1124)</f>
        <v>#VALUE!</v>
      </c>
      <c r="AA1124" s="446" t="e">
        <f>IF(OR($B1124="",MIN(AA$38,$D$19)&lt;MAX($P$708*($B1124+IF($R$17="Distrato",$I$38-1,0)),IF(AND($L$711=0,$P$708=0),"",$L$711-1),IF($R$17="Distrato",$E1124,0))),0,YEARFRAC(MAX($P$708*($B1124+IF($R$17="Distrato",$I$38-1,0)),IF(AND($L$711=0,$P$708=0),"",$L$711-1),IF($R$17="Distrato",$E1124,0)),MIN(AA$38,$D$19),$P$20))-SUM($P1124:Z1124)</f>
        <v>#VALUE!</v>
      </c>
      <c r="AB1124" s="446" t="e">
        <f>IF(OR($B1124="",MIN(AB$38,$D$19)&lt;MAX($P$708*($B1124+IF($R$17="Distrato",$I$38-1,0)),IF(AND($L$711=0,$P$708=0),"",$L$711-1),IF($R$17="Distrato",$E1124,0))),0,YEARFRAC(MAX($P$708*($B1124+IF($R$17="Distrato",$I$38-1,0)),IF(AND($L$711=0,$P$708=0),"",$L$711-1),IF($R$17="Distrato",$E1124,0)),MIN(AB$38,$D$19),$P$20))-SUM($P1124:AA1124)</f>
        <v>#VALUE!</v>
      </c>
      <c r="AC1124" s="446" t="e">
        <f>IF(OR($B1124="",MIN(AC$38,$D$19)&lt;MAX($P$708*($B1124+IF($R$17="Distrato",$I$38-1,0)),IF(AND($L$711=0,$P$708=0),"",$L$711-1),IF($R$17="Distrato",$E1124,0))),0,YEARFRAC(MAX($P$708*($B1124+IF($R$17="Distrato",$I$38-1,0)),IF(AND($L$711=0,$P$708=0),"",$L$711-1),IF($R$17="Distrato",$E1124,0)),MIN(AC$38,$D$19),$P$20))-SUM($P1124:AB1124)</f>
        <v>#VALUE!</v>
      </c>
      <c r="AD1124" s="446" t="e">
        <f>IF(OR($B1124="",MIN(AD$38,$D$19)&lt;MAX($P$708*($B1124+IF($R$17="Distrato",$I$38-1,0)),IF(AND($L$711=0,$P$708=0),"",$L$711-1),IF($R$17="Distrato",$E1124,0))),0,YEARFRAC(MAX($P$708*($B1124+IF($R$17="Distrato",$I$38-1,0)),IF(AND($L$711=0,$P$708=0),"",$L$711-1),IF($R$17="Distrato",$E1124,0)),MIN(AD$38,$D$19),$P$20))-SUM($P1124:AC1124)</f>
        <v>#VALUE!</v>
      </c>
      <c r="AE1124" s="446" t="e">
        <f>IF(OR($B1124="",MIN(AE$38,$D$19)&lt;MAX($P$708*($B1124+IF($R$17="Distrato",$I$38-1,0)),IF(AND($L$711=0,$P$708=0),"",$L$711-1),IF($R$17="Distrato",$E1124,0))),0,YEARFRAC(MAX($P$708*($B1124+IF($R$17="Distrato",$I$38-1,0)),IF(AND($L$711=0,$P$708=0),"",$L$711-1),IF($R$17="Distrato",$E1124,0)),MIN(AE$38,$D$19),$P$20))-SUM($P1124:AD1124)</f>
        <v>#VALUE!</v>
      </c>
      <c r="AF1124" s="446" t="e">
        <f>IF(OR($B1124="",MIN(AF$38,$D$19)&lt;MAX($P$708*($B1124+IF($R$17="Distrato",$I$38-1,0)),IF(AND($L$711=0,$P$708=0),"",$L$711-1),IF($R$17="Distrato",$E1124,0))),0,YEARFRAC(MAX($P$708*($B1124+IF($R$17="Distrato",$I$38-1,0)),IF(AND($L$711=0,$P$708=0),"",$L$711-1),IF($R$17="Distrato",$E1124,0)),MIN(AF$38,$D$19),$P$20))-SUM($P1124:AE1124)</f>
        <v>#VALUE!</v>
      </c>
      <c r="AG1124" s="446" t="e">
        <f>IF(OR($B1124="",MIN(AG$38,$D$19)&lt;MAX($P$708*($B1124+IF($R$17="Distrato",$I$38-1,0)),IF(AND($L$711=0,$P$708=0),"",$L$711-1),IF($R$17="Distrato",$E1124,0))),0,YEARFRAC(MAX($P$708*($B1124+IF($R$17="Distrato",$I$38-1,0)),IF(AND($L$711=0,$P$708=0),"",$L$711-1),IF($R$17="Distrato",$E1124,0)),MIN(AG$38,$D$19),$P$20))-SUM($P1124:AF1124)</f>
        <v>#VALUE!</v>
      </c>
      <c r="AH1124" s="446" t="e">
        <f>IF(OR($B1124="",MIN(AH$38,$D$19)&lt;MAX($P$708*($B1124+IF($R$17="Distrato",$I$38-1,0)),IF(AND($L$711=0,$P$708=0),"",$L$711-1),IF($R$17="Distrato",$E1124,0))),0,YEARFRAC(MAX($P$708*($B1124+IF($R$17="Distrato",$I$38-1,0)),IF(AND($L$711=0,$P$708=0),"",$L$711-1),IF($R$17="Distrato",$E1124,0)),MIN(AH$38,$D$19),$P$20))-SUM($P1124:AG1124)</f>
        <v>#VALUE!</v>
      </c>
      <c r="AI1124" s="446" t="e">
        <f>IF(OR($B1124="",MIN(AI$38,$D$19)&lt;MAX($P$708*($B1124+IF($R$17="Distrato",$I$38-1,0)),IF(AND($L$711=0,$P$708=0),"",$L$711-1),IF($R$17="Distrato",$E1124,0))),0,YEARFRAC(MAX($P$708*($B1124+IF($R$17="Distrato",$I$38-1,0)),IF(AND($L$711=0,$P$708=0),"",$L$711-1),IF($R$17="Distrato",$E1124,0)),MIN(AI$38,$D$19),$P$20))-SUM($P1124:AH1124)</f>
        <v>#VALUE!</v>
      </c>
      <c r="AJ1124" s="446" t="e">
        <f>IF(OR($B1124="",MIN(AJ$38,$D$19)&lt;MAX($P$708*($B1124+IF($R$17="Distrato",$I$38-1,0)),IF(AND($L$711=0,$P$708=0),"",$L$711-1),IF($R$17="Distrato",$E1124,0))),0,YEARFRAC(MAX($P$708*($B1124+IF($R$17="Distrato",$I$38-1,0)),IF(AND($L$711=0,$P$708=0),"",$L$711-1),IF($R$17="Distrato",$E1124,0)),MIN(AJ$38,$D$19),$P$20))-SUM($P1124:AI1124)</f>
        <v>#VALUE!</v>
      </c>
      <c r="AK1124" s="446" t="e">
        <f>IF(OR($B1124="",MIN(AK$38,$D$19)&lt;MAX($P$708*($B1124+IF($R$17="Distrato",$I$38-1,0)),IF(AND($L$711=0,$P$708=0),"",$L$711-1),IF($R$17="Distrato",$E1124,0))),0,YEARFRAC(MAX($P$708*($B1124+IF($R$17="Distrato",$I$38-1,0)),IF(AND($L$711=0,$P$708=0),"",$L$711-1),IF($R$17="Distrato",$E1124,0)),MIN(AK$38,$D$19),$P$20))-SUM($P1124:AJ1124)</f>
        <v>#VALUE!</v>
      </c>
      <c r="AL1124" s="446" t="e">
        <f>IF(OR($B1124="",MIN(AL$38,$D$19)&lt;MAX($P$708*($B1124+IF($R$17="Distrato",$I$38-1,0)),IF(AND($L$711=0,$P$708=0),"",$L$711-1),IF($R$17="Distrato",$E1124,0))),0,YEARFRAC(MAX($P$708*($B1124+IF($R$17="Distrato",$I$38-1,0)),IF(AND($L$711=0,$P$708=0),"",$L$711-1),IF($R$17="Distrato",$E1124,0)),MIN(AL$38,$D$19),$P$20))-SUM($P1124:AK1124)</f>
        <v>#VALUE!</v>
      </c>
      <c r="AM1124" s="446" t="e">
        <f>IF(OR($B1124="",MIN(AM$38,$D$19)&lt;MAX($P$708*($B1124+IF($R$17="Distrato",$I$38-1,0)),IF(AND($L$711=0,$P$708=0),"",$L$711-1),IF($R$17="Distrato",$E1124,0))),0,YEARFRAC(MAX($P$708*($B1124+IF($R$17="Distrato",$I$38-1,0)),IF(AND($L$711=0,$P$708=0),"",$L$711-1),IF($R$17="Distrato",$E1124,0)),MIN(AM$38,$D$19),$P$20))-SUM($P1124:AL1124)</f>
        <v>#VALUE!</v>
      </c>
      <c r="AN1124" s="446" t="e">
        <f>IF(OR($B1124="",MIN(AN$38,$D$19)&lt;MAX($P$708*($B1124+IF($R$17="Distrato",$I$38-1,0)),IF(AND($L$711=0,$P$708=0),"",$L$711-1),IF($R$17="Distrato",$E1124,0))),0,YEARFRAC(MAX($P$708*($B1124+IF($R$17="Distrato",$I$38-1,0)),IF(AND($L$711=0,$P$708=0),"",$L$711-1),IF($R$17="Distrato",$E1124,0)),MIN(AN$38,$D$19),$P$20))-SUM($P1124:AM1124)</f>
        <v>#VALUE!</v>
      </c>
      <c r="AO1124" s="446" t="e">
        <f>IF(OR($B1124="",MIN(AO$38,$D$19)&lt;MAX($P$708*($B1124+IF($R$17="Distrato",$I$38-1,0)),IF(AND($L$711=0,$P$708=0),"",$L$711-1),IF($R$17="Distrato",$E1124,0))),0,YEARFRAC(MAX($P$708*($B1124+IF($R$17="Distrato",$I$38-1,0)),IF(AND($L$711=0,$P$708=0),"",$L$711-1),IF($R$17="Distrato",$E1124,0)),MIN(AO$38,$D$19),$P$20))-SUM($P1124:AN1124)</f>
        <v>#VALUE!</v>
      </c>
      <c r="AP1124" s="446" t="e">
        <f>IF(OR($B1124="",MIN(AP$38,$D$19)&lt;MAX($P$708*($B1124+IF($R$17="Distrato",$I$38-1,0)),IF(AND($L$711=0,$P$708=0),"",$L$711-1),IF($R$17="Distrato",$E1124,0))),0,YEARFRAC(MAX($P$708*($B1124+IF($R$17="Distrato",$I$38-1,0)),IF(AND($L$711=0,$P$708=0),"",$L$711-1),IF($R$17="Distrato",$E1124,0)),MIN(AP$38,$D$19),$P$20))-SUM($P1124:AO1124)</f>
        <v>#VALUE!</v>
      </c>
      <c r="AQ1124" s="446" t="e">
        <f>IF(OR($B1124="",MIN(AQ$38,$D$19)&lt;MAX($P$708*($B1124+IF($R$17="Distrato",$I$38-1,0)),IF(AND($L$711=0,$P$708=0),"",$L$711-1),IF($R$17="Distrato",$E1124,0))),0,YEARFRAC(MAX($P$708*($B1124+IF($R$17="Distrato",$I$38-1,0)),IF(AND($L$711=0,$P$708=0),"",$L$711-1),IF($R$17="Distrato",$E1124,0)),MIN(AQ$38,$D$19),$P$20))-SUM($P1124:AP1124)</f>
        <v>#VALUE!</v>
      </c>
      <c r="AR1124" s="446" t="e">
        <f>IF(OR($B1124="",MIN(AR$38,$D$19)&lt;MAX($P$708*($B1124+IF($R$17="Distrato",$I$38-1,0)),IF(AND($L$711=0,$P$708=0),"",$L$711-1),IF($R$17="Distrato",$E1124,0))),0,YEARFRAC(MAX($P$708*($B1124+IF($R$17="Distrato",$I$38-1,0)),IF(AND($L$711=0,$P$708=0),"",$L$711-1),IF($R$17="Distrato",$E1124,0)),MIN(AR$38,$D$19),$P$20))-SUM($P1124:AQ1124)</f>
        <v>#VALUE!</v>
      </c>
      <c r="AS1124" s="446" t="e">
        <f>IF(OR($B1124="",MIN(AS$38,$D$19)&lt;MAX($P$708*($B1124+IF($R$17="Distrato",$I$38-1,0)),IF(AND($L$711=0,$P$708=0),"",$L$711-1),IF($R$17="Distrato",$E1124,0))),0,YEARFRAC(MAX($P$708*($B1124+IF($R$17="Distrato",$I$38-1,0)),IF(AND($L$711=0,$P$708=0),"",$L$711-1),IF($R$17="Distrato",$E1124,0)),MIN(AS$38,$D$19),$P$20))-SUM($P1124:AR1124)</f>
        <v>#VALUE!</v>
      </c>
      <c r="AT1124" s="446" t="e">
        <f>IF(OR($B1124="",MIN(AT$38,$D$19)&lt;MAX($P$708*($B1124+IF($R$17="Distrato",$I$38-1,0)),IF(AND($L$711=0,$P$708=0),"",$L$711-1),IF($R$17="Distrato",$E1124,0))),0,YEARFRAC(MAX($P$708*($B1124+IF($R$17="Distrato",$I$38-1,0)),IF(AND($L$711=0,$P$708=0),"",$L$711-1),IF($R$17="Distrato",$E1124,0)),MIN(AT$38,$D$19),$P$20))-SUM($P1124:AS1124)</f>
        <v>#VALUE!</v>
      </c>
      <c r="AU1124" s="446" t="e">
        <f>IF(OR($B1124="",MIN(AU$38,$D$19)&lt;MAX($P$708*($B1124+IF($R$17="Distrato",$I$38-1,0)),IF(AND($L$711=0,$P$708=0),"",$L$711-1),IF($R$17="Distrato",$E1124,0))),0,YEARFRAC(MAX($P$708*($B1124+IF($R$17="Distrato",$I$38-1,0)),IF(AND($L$711=0,$P$708=0),"",$L$711-1),IF($R$17="Distrato",$E1124,0)),MIN(AU$38,$D$19),$P$20))-SUM($P1124:AT1124)</f>
        <v>#VALUE!</v>
      </c>
      <c r="AV1124" s="446" t="e">
        <f>IF(OR($B1124="",MIN(AV$38,$D$19)&lt;MAX($P$708*($B1124+IF($R$17="Distrato",$I$38-1,0)),IF(AND($L$711=0,$P$708=0),"",$L$711-1),IF($R$17="Distrato",$E1124,0))),0,YEARFRAC(MAX($P$708*($B1124+IF($R$17="Distrato",$I$38-1,0)),IF(AND($L$711=0,$P$708=0),"",$L$711-1),IF($R$17="Distrato",$E1124,0)),MIN(AV$38,$D$19),$P$20))-SUM($P1124:AU1124)</f>
        <v>#VALUE!</v>
      </c>
      <c r="AW1124" s="446" t="e">
        <f>IF(OR($B1124="",MIN(AW$38,$D$19)&lt;MAX($P$708*($B1124+IF($R$17="Distrato",$I$38-1,0)),IF(AND($L$711=0,$P$708=0),"",$L$711-1),IF($R$17="Distrato",$E1124,0))),0,YEARFRAC(MAX($P$708*($B1124+IF($R$17="Distrato",$I$38-1,0)),IF(AND($L$711=0,$P$708=0),"",$L$711-1),IF($R$17="Distrato",$E1124,0)),MIN(AW$38,$D$19),$P$20))-SUM($P1124:AV1124)</f>
        <v>#VALUE!</v>
      </c>
      <c r="AX1124" s="446" t="e">
        <f>IF(OR($B1124="",MIN(AX$38,$D$19)&lt;MAX($P$708*($B1124+IF($R$17="Distrato",$I$38-1,0)),IF(AND($L$711=0,$P$708=0),"",$L$711-1),IF($R$17="Distrato",$E1124,0))),0,YEARFRAC(MAX($P$708*($B1124+IF($R$17="Distrato",$I$38-1,0)),IF(AND($L$711=0,$P$708=0),"",$L$711-1),IF($R$17="Distrato",$E1124,0)),MIN(AX$38,$D$19),$P$20))-SUM($P1124:AW1124)</f>
        <v>#VALUE!</v>
      </c>
      <c r="AY1124" s="446" t="e">
        <f>IF(OR($B1124="",MIN(AY$38,$D$19)&lt;MAX($P$708*($B1124+IF($R$17="Distrato",$I$38-1,0)),IF(AND($L$711=0,$P$708=0),"",$L$711-1),IF($R$17="Distrato",$E1124,0))),0,YEARFRAC(MAX($P$708*($B1124+IF($R$17="Distrato",$I$38-1,0)),IF(AND($L$711=0,$P$708=0),"",$L$711-1),IF($R$17="Distrato",$E1124,0)),MIN(AY$38,$D$19),$P$20))-SUM($P1124:AX1124)</f>
        <v>#VALUE!</v>
      </c>
      <c r="AZ1124" s="446" t="e">
        <f>IF(OR($B1124="",MIN(AZ$38,$D$19)&lt;MAX($P$708*($B1124+IF($R$17="Distrato",$I$38-1,0)),IF(AND($L$711=0,$P$708=0),"",$L$711-1),IF($R$17="Distrato",$E1124,0))),0,YEARFRAC(MAX($P$708*($B1124+IF($R$17="Distrato",$I$38-1,0)),IF(AND($L$711=0,$P$708=0),"",$L$711-1),IF($R$17="Distrato",$E1124,0)),MIN(AZ$38,$D$19),$P$20))-SUM($P1124:AY1124)</f>
        <v>#VALUE!</v>
      </c>
      <c r="BA1124" s="446" t="e">
        <f>IF(OR($B1124="",MIN(BA$38,$D$19)&lt;MAX($P$708*($B1124+IF($R$17="Distrato",$I$38-1,0)),IF(AND($L$711=0,$P$708=0),"",$L$711-1),IF($R$17="Distrato",$E1124,0))),0,YEARFRAC(MAX($P$708*($B1124+IF($R$17="Distrato",$I$38-1,0)),IF(AND($L$711=0,$P$708=0),"",$L$711-1),IF($R$17="Distrato",$E1124,0)),MIN(BA$38,$D$19),$P$20))-SUM($P1124:AZ1124)</f>
        <v>#VALUE!</v>
      </c>
      <c r="BB1124" s="447"/>
    </row>
    <row r="1125" spans="1:54" s="446" customFormat="1" ht="11.25" hidden="1" customHeight="1" x14ac:dyDescent="0.2">
      <c r="A1125" s="235"/>
      <c r="B1125" s="236"/>
      <c r="C1125" s="29" t="str">
        <f>IF(B1125="","",IF($L$709=$BL$25,VLOOKUP(DATE(YEAR($D$19),MONTH($D$19)-1,1),ÍNDICES!$A:$DE,HLOOKUP($BL$25,ÍNDICES!$B$3:$T$4,2)+11)-VLOOKUP(B1125,ÍNDICES!$A:$DE,HLOOKUP($BL$25,ÍNDICES!$B$3:$T$4,2)+11)+1%,IF(C$712=$W$26,$J$35,IF(ISERROR(IF(B1125&gt;$D$19,1,VLOOKUP(DATE(YEAR(B1125),MONTH(B1125)+IF($C$709=$S$23,1,0),1),ÍNDICES!$A:$DE,$Z$709+1))),"",IF(B1125&gt;$D$19,1,VLOOKUP(DATE(YEAR(B1125),MONTH(B1125)+IF($C$709=$S$23,1,0),1),ÍNDICES!$A:$DE,$Z$709+1))))))</f>
        <v/>
      </c>
      <c r="D1125" s="155"/>
      <c r="E1125" s="88"/>
      <c r="F1125" s="88"/>
      <c r="G1125" s="88"/>
      <c r="H1125" s="118"/>
      <c r="I1125" s="182">
        <f t="shared" si="157"/>
        <v>0</v>
      </c>
      <c r="J1125" s="20">
        <f t="shared" ca="1" si="158"/>
        <v>0</v>
      </c>
      <c r="K1125" s="5">
        <f t="shared" ca="1" si="159"/>
        <v>0</v>
      </c>
      <c r="L1125" s="61">
        <f t="shared" ca="1" si="160"/>
        <v>0</v>
      </c>
      <c r="M1125" s="64">
        <f t="shared" si="161"/>
        <v>0</v>
      </c>
      <c r="N1125" s="151"/>
      <c r="O1125" s="5">
        <f t="shared" ca="1" si="162"/>
        <v>0</v>
      </c>
      <c r="P1125" s="446" t="e">
        <f t="shared" si="163"/>
        <v>#VALUE!</v>
      </c>
      <c r="Q1125" s="446" t="e">
        <f>IF(OR($B1125="",MIN(Q$38,$D$19)&lt;MAX($P$708*($B1125+IF($R$17="Distrato",$I$38-1,0)),IF(AND($L$711=0,$P$708=0),"",$L$711-1),IF($R$17="Distrato",$E1125,0))),0,YEARFRAC(MAX($P$708*($B1125+IF($R$17="Distrato",$I$38-1,0)),IF(AND($L$711=0,$P$708=0),"",$L$711-1),IF($R$17="Distrato",$E1125,0)),MIN(Q$38,$D$19),$P$20))-SUM($P1125:P1125)</f>
        <v>#VALUE!</v>
      </c>
      <c r="R1125" s="446" t="e">
        <f>IF(OR($B1125="",MIN(R$38,$D$19)&lt;MAX($P$708*($B1125+IF($R$17="Distrato",$I$38-1,0)),IF(AND($L$711=0,$P$708=0),"",$L$711-1),IF($R$17="Distrato",$E1125,0))),0,YEARFRAC(MAX($P$708*($B1125+IF($R$17="Distrato",$I$38-1,0)),IF(AND($L$711=0,$P$708=0),"",$L$711-1),IF($R$17="Distrato",$E1125,0)),MIN(R$38,$D$19),$P$20))-SUM($P1125:Q1125)</f>
        <v>#VALUE!</v>
      </c>
      <c r="S1125" s="446" t="e">
        <f>IF(OR($B1125="",MIN(S$38,$D$19)&lt;MAX($P$708*($B1125+IF($R$17="Distrato",$I$38-1,0)),IF(AND($L$711=0,$P$708=0),"",$L$711-1),IF($R$17="Distrato",$E1125,0))),0,YEARFRAC(MAX($P$708*($B1125+IF($R$17="Distrato",$I$38-1,0)),IF(AND($L$711=0,$P$708=0),"",$L$711-1),IF($R$17="Distrato",$E1125,0)),MIN(S$38,$D$19),$P$20))-SUM($P1125:R1125)</f>
        <v>#VALUE!</v>
      </c>
      <c r="T1125" s="446" t="e">
        <f>IF(OR($B1125="",MIN(T$38,$D$19)&lt;MAX($P$708*($B1125+IF($R$17="Distrato",$I$38-1,0)),IF(AND($L$711=0,$P$708=0),"",$L$711-1),IF($R$17="Distrato",$E1125,0))),0,YEARFRAC(MAX($P$708*($B1125+IF($R$17="Distrato",$I$38-1,0)),IF(AND($L$711=0,$P$708=0),"",$L$711-1),IF($R$17="Distrato",$E1125,0)),MIN(T$38,$D$19),$P$20))-SUM($P1125:S1125)</f>
        <v>#VALUE!</v>
      </c>
      <c r="U1125" s="446" t="e">
        <f>IF(OR($B1125="",MIN(U$38,$D$19)&lt;MAX($P$708*($B1125+IF($R$17="Distrato",$I$38-1,0)),IF(AND($L$711=0,$P$708=0),"",$L$711-1),IF($R$17="Distrato",$E1125,0))),0,YEARFRAC(MAX($P$708*($B1125+IF($R$17="Distrato",$I$38-1,0)),IF(AND($L$711=0,$P$708=0),"",$L$711-1),IF($R$17="Distrato",$E1125,0)),MIN(U$38,$D$19),$P$20))-SUM($P1125:T1125)</f>
        <v>#VALUE!</v>
      </c>
      <c r="V1125" s="446" t="e">
        <f>IF(OR($B1125="",MIN(V$38,$D$19)&lt;MAX($P$708*($B1125+IF($R$17="Distrato",$I$38-1,0)),IF(AND($L$711=0,$P$708=0),"",$L$711-1),IF($R$17="Distrato",$E1125,0))),0,YEARFRAC(MAX($P$708*($B1125+IF($R$17="Distrato",$I$38-1,0)),IF(AND($L$711=0,$P$708=0),"",$L$711-1),IF($R$17="Distrato",$E1125,0)),MIN(V$38,$D$19),$P$20))-SUM($P1125:U1125)</f>
        <v>#VALUE!</v>
      </c>
      <c r="W1125" s="446" t="e">
        <f>IF(OR($B1125="",MIN(W$38,$D$19)&lt;MAX($P$708*($B1125+IF($R$17="Distrato",$I$38-1,0)),IF(AND($L$711=0,$P$708=0),"",$L$711-1),IF($R$17="Distrato",$E1125,0))),0,YEARFRAC(MAX($P$708*($B1125+IF($R$17="Distrato",$I$38-1,0)),IF(AND($L$711=0,$P$708=0),"",$L$711-1),IF($R$17="Distrato",$E1125,0)),MIN(W$38,$D$19),$P$20))-SUM($P1125:V1125)</f>
        <v>#VALUE!</v>
      </c>
      <c r="X1125" s="446" t="e">
        <f>IF(OR($B1125="",MIN(X$38,$D$19)&lt;MAX($P$708*($B1125+IF($R$17="Distrato",$I$38-1,0)),IF(AND($L$711=0,$P$708=0),"",$L$711-1),IF($R$17="Distrato",$E1125,0))),0,YEARFRAC(MAX($P$708*($B1125+IF($R$17="Distrato",$I$38-1,0)),IF(AND($L$711=0,$P$708=0),"",$L$711-1),IF($R$17="Distrato",$E1125,0)),MIN(X$38,$D$19),$P$20))-SUM($P1125:W1125)</f>
        <v>#VALUE!</v>
      </c>
      <c r="Y1125" s="446" t="e">
        <f>IF(OR($B1125="",MIN(Y$38,$D$19)&lt;MAX($P$708*($B1125+IF($R$17="Distrato",$I$38-1,0)),IF(AND($L$711=0,$P$708=0),"",$L$711-1),IF($R$17="Distrato",$E1125,0))),0,YEARFRAC(MAX($P$708*($B1125+IF($R$17="Distrato",$I$38-1,0)),IF(AND($L$711=0,$P$708=0),"",$L$711-1),IF($R$17="Distrato",$E1125,0)),MIN(Y$38,$D$19),$P$20))-SUM($P1125:X1125)</f>
        <v>#VALUE!</v>
      </c>
      <c r="Z1125" s="446" t="e">
        <f>IF(OR($B1125="",MIN(Z$38,$D$19)&lt;MAX($P$708*($B1125+IF($R$17="Distrato",$I$38-1,0)),IF(AND($L$711=0,$P$708=0),"",$L$711-1),IF($R$17="Distrato",$E1125,0))),0,YEARFRAC(MAX($P$708*($B1125+IF($R$17="Distrato",$I$38-1,0)),IF(AND($L$711=0,$P$708=0),"",$L$711-1),IF($R$17="Distrato",$E1125,0)),MIN(Z$38,$D$19),$P$20))-SUM($P1125:Y1125)</f>
        <v>#VALUE!</v>
      </c>
      <c r="AA1125" s="446" t="e">
        <f>IF(OR($B1125="",MIN(AA$38,$D$19)&lt;MAX($P$708*($B1125+IF($R$17="Distrato",$I$38-1,0)),IF(AND($L$711=0,$P$708=0),"",$L$711-1),IF($R$17="Distrato",$E1125,0))),0,YEARFRAC(MAX($P$708*($B1125+IF($R$17="Distrato",$I$38-1,0)),IF(AND($L$711=0,$P$708=0),"",$L$711-1),IF($R$17="Distrato",$E1125,0)),MIN(AA$38,$D$19),$P$20))-SUM($P1125:Z1125)</f>
        <v>#VALUE!</v>
      </c>
      <c r="AB1125" s="446" t="e">
        <f>IF(OR($B1125="",MIN(AB$38,$D$19)&lt;MAX($P$708*($B1125+IF($R$17="Distrato",$I$38-1,0)),IF(AND($L$711=0,$P$708=0),"",$L$711-1),IF($R$17="Distrato",$E1125,0))),0,YEARFRAC(MAX($P$708*($B1125+IF($R$17="Distrato",$I$38-1,0)),IF(AND($L$711=0,$P$708=0),"",$L$711-1),IF($R$17="Distrato",$E1125,0)),MIN(AB$38,$D$19),$P$20))-SUM($P1125:AA1125)</f>
        <v>#VALUE!</v>
      </c>
      <c r="AC1125" s="446" t="e">
        <f>IF(OR($B1125="",MIN(AC$38,$D$19)&lt;MAX($P$708*($B1125+IF($R$17="Distrato",$I$38-1,0)),IF(AND($L$711=0,$P$708=0),"",$L$711-1),IF($R$17="Distrato",$E1125,0))),0,YEARFRAC(MAX($P$708*($B1125+IF($R$17="Distrato",$I$38-1,0)),IF(AND($L$711=0,$P$708=0),"",$L$711-1),IF($R$17="Distrato",$E1125,0)),MIN(AC$38,$D$19),$P$20))-SUM($P1125:AB1125)</f>
        <v>#VALUE!</v>
      </c>
      <c r="AD1125" s="446" t="e">
        <f>IF(OR($B1125="",MIN(AD$38,$D$19)&lt;MAX($P$708*($B1125+IF($R$17="Distrato",$I$38-1,0)),IF(AND($L$711=0,$P$708=0),"",$L$711-1),IF($R$17="Distrato",$E1125,0))),0,YEARFRAC(MAX($P$708*($B1125+IF($R$17="Distrato",$I$38-1,0)),IF(AND($L$711=0,$P$708=0),"",$L$711-1),IF($R$17="Distrato",$E1125,0)),MIN(AD$38,$D$19),$P$20))-SUM($P1125:AC1125)</f>
        <v>#VALUE!</v>
      </c>
      <c r="AE1125" s="446" t="e">
        <f>IF(OR($B1125="",MIN(AE$38,$D$19)&lt;MAX($P$708*($B1125+IF($R$17="Distrato",$I$38-1,0)),IF(AND($L$711=0,$P$708=0),"",$L$711-1),IF($R$17="Distrato",$E1125,0))),0,YEARFRAC(MAX($P$708*($B1125+IF($R$17="Distrato",$I$38-1,0)),IF(AND($L$711=0,$P$708=0),"",$L$711-1),IF($R$17="Distrato",$E1125,0)),MIN(AE$38,$D$19),$P$20))-SUM($P1125:AD1125)</f>
        <v>#VALUE!</v>
      </c>
      <c r="AF1125" s="446" t="e">
        <f>IF(OR($B1125="",MIN(AF$38,$D$19)&lt;MAX($P$708*($B1125+IF($R$17="Distrato",$I$38-1,0)),IF(AND($L$711=0,$P$708=0),"",$L$711-1),IF($R$17="Distrato",$E1125,0))),0,YEARFRAC(MAX($P$708*($B1125+IF($R$17="Distrato",$I$38-1,0)),IF(AND($L$711=0,$P$708=0),"",$L$711-1),IF($R$17="Distrato",$E1125,0)),MIN(AF$38,$D$19),$P$20))-SUM($P1125:AE1125)</f>
        <v>#VALUE!</v>
      </c>
      <c r="AG1125" s="446" t="e">
        <f>IF(OR($B1125="",MIN(AG$38,$D$19)&lt;MAX($P$708*($B1125+IF($R$17="Distrato",$I$38-1,0)),IF(AND($L$711=0,$P$708=0),"",$L$711-1),IF($R$17="Distrato",$E1125,0))),0,YEARFRAC(MAX($P$708*($B1125+IF($R$17="Distrato",$I$38-1,0)),IF(AND($L$711=0,$P$708=0),"",$L$711-1),IF($R$17="Distrato",$E1125,0)),MIN(AG$38,$D$19),$P$20))-SUM($P1125:AF1125)</f>
        <v>#VALUE!</v>
      </c>
      <c r="AH1125" s="446" t="e">
        <f>IF(OR($B1125="",MIN(AH$38,$D$19)&lt;MAX($P$708*($B1125+IF($R$17="Distrato",$I$38-1,0)),IF(AND($L$711=0,$P$708=0),"",$L$711-1),IF($R$17="Distrato",$E1125,0))),0,YEARFRAC(MAX($P$708*($B1125+IF($R$17="Distrato",$I$38-1,0)),IF(AND($L$711=0,$P$708=0),"",$L$711-1),IF($R$17="Distrato",$E1125,0)),MIN(AH$38,$D$19),$P$20))-SUM($P1125:AG1125)</f>
        <v>#VALUE!</v>
      </c>
      <c r="AI1125" s="446" t="e">
        <f>IF(OR($B1125="",MIN(AI$38,$D$19)&lt;MAX($P$708*($B1125+IF($R$17="Distrato",$I$38-1,0)),IF(AND($L$711=0,$P$708=0),"",$L$711-1),IF($R$17="Distrato",$E1125,0))),0,YEARFRAC(MAX($P$708*($B1125+IF($R$17="Distrato",$I$38-1,0)),IF(AND($L$711=0,$P$708=0),"",$L$711-1),IF($R$17="Distrato",$E1125,0)),MIN(AI$38,$D$19),$P$20))-SUM($P1125:AH1125)</f>
        <v>#VALUE!</v>
      </c>
      <c r="AJ1125" s="446" t="e">
        <f>IF(OR($B1125="",MIN(AJ$38,$D$19)&lt;MAX($P$708*($B1125+IF($R$17="Distrato",$I$38-1,0)),IF(AND($L$711=0,$P$708=0),"",$L$711-1),IF($R$17="Distrato",$E1125,0))),0,YEARFRAC(MAX($P$708*($B1125+IF($R$17="Distrato",$I$38-1,0)),IF(AND($L$711=0,$P$708=0),"",$L$711-1),IF($R$17="Distrato",$E1125,0)),MIN(AJ$38,$D$19),$P$20))-SUM($P1125:AI1125)</f>
        <v>#VALUE!</v>
      </c>
      <c r="AK1125" s="446" t="e">
        <f>IF(OR($B1125="",MIN(AK$38,$D$19)&lt;MAX($P$708*($B1125+IF($R$17="Distrato",$I$38-1,0)),IF(AND($L$711=0,$P$708=0),"",$L$711-1),IF($R$17="Distrato",$E1125,0))),0,YEARFRAC(MAX($P$708*($B1125+IF($R$17="Distrato",$I$38-1,0)),IF(AND($L$711=0,$P$708=0),"",$L$711-1),IF($R$17="Distrato",$E1125,0)),MIN(AK$38,$D$19),$P$20))-SUM($P1125:AJ1125)</f>
        <v>#VALUE!</v>
      </c>
      <c r="AL1125" s="446" t="e">
        <f>IF(OR($B1125="",MIN(AL$38,$D$19)&lt;MAX($P$708*($B1125+IF($R$17="Distrato",$I$38-1,0)),IF(AND($L$711=0,$P$708=0),"",$L$711-1),IF($R$17="Distrato",$E1125,0))),0,YEARFRAC(MAX($P$708*($B1125+IF($R$17="Distrato",$I$38-1,0)),IF(AND($L$711=0,$P$708=0),"",$L$711-1),IF($R$17="Distrato",$E1125,0)),MIN(AL$38,$D$19),$P$20))-SUM($P1125:AK1125)</f>
        <v>#VALUE!</v>
      </c>
      <c r="AM1125" s="446" t="e">
        <f>IF(OR($B1125="",MIN(AM$38,$D$19)&lt;MAX($P$708*($B1125+IF($R$17="Distrato",$I$38-1,0)),IF(AND($L$711=0,$P$708=0),"",$L$711-1),IF($R$17="Distrato",$E1125,0))),0,YEARFRAC(MAX($P$708*($B1125+IF($R$17="Distrato",$I$38-1,0)),IF(AND($L$711=0,$P$708=0),"",$L$711-1),IF($R$17="Distrato",$E1125,0)),MIN(AM$38,$D$19),$P$20))-SUM($P1125:AL1125)</f>
        <v>#VALUE!</v>
      </c>
      <c r="AN1125" s="446" t="e">
        <f>IF(OR($B1125="",MIN(AN$38,$D$19)&lt;MAX($P$708*($B1125+IF($R$17="Distrato",$I$38-1,0)),IF(AND($L$711=0,$P$708=0),"",$L$711-1),IF($R$17="Distrato",$E1125,0))),0,YEARFRAC(MAX($P$708*($B1125+IF($R$17="Distrato",$I$38-1,0)),IF(AND($L$711=0,$P$708=0),"",$L$711-1),IF($R$17="Distrato",$E1125,0)),MIN(AN$38,$D$19),$P$20))-SUM($P1125:AM1125)</f>
        <v>#VALUE!</v>
      </c>
      <c r="AO1125" s="446" t="e">
        <f>IF(OR($B1125="",MIN(AO$38,$D$19)&lt;MAX($P$708*($B1125+IF($R$17="Distrato",$I$38-1,0)),IF(AND($L$711=0,$P$708=0),"",$L$711-1),IF($R$17="Distrato",$E1125,0))),0,YEARFRAC(MAX($P$708*($B1125+IF($R$17="Distrato",$I$38-1,0)),IF(AND($L$711=0,$P$708=0),"",$L$711-1),IF($R$17="Distrato",$E1125,0)),MIN(AO$38,$D$19),$P$20))-SUM($P1125:AN1125)</f>
        <v>#VALUE!</v>
      </c>
      <c r="AP1125" s="446" t="e">
        <f>IF(OR($B1125="",MIN(AP$38,$D$19)&lt;MAX($P$708*($B1125+IF($R$17="Distrato",$I$38-1,0)),IF(AND($L$711=0,$P$708=0),"",$L$711-1),IF($R$17="Distrato",$E1125,0))),0,YEARFRAC(MAX($P$708*($B1125+IF($R$17="Distrato",$I$38-1,0)),IF(AND($L$711=0,$P$708=0),"",$L$711-1),IF($R$17="Distrato",$E1125,0)),MIN(AP$38,$D$19),$P$20))-SUM($P1125:AO1125)</f>
        <v>#VALUE!</v>
      </c>
      <c r="AQ1125" s="446" t="e">
        <f>IF(OR($B1125="",MIN(AQ$38,$D$19)&lt;MAX($P$708*($B1125+IF($R$17="Distrato",$I$38-1,0)),IF(AND($L$711=0,$P$708=0),"",$L$711-1),IF($R$17="Distrato",$E1125,0))),0,YEARFRAC(MAX($P$708*($B1125+IF($R$17="Distrato",$I$38-1,0)),IF(AND($L$711=0,$P$708=0),"",$L$711-1),IF($R$17="Distrato",$E1125,0)),MIN(AQ$38,$D$19),$P$20))-SUM($P1125:AP1125)</f>
        <v>#VALUE!</v>
      </c>
      <c r="AR1125" s="446" t="e">
        <f>IF(OR($B1125="",MIN(AR$38,$D$19)&lt;MAX($P$708*($B1125+IF($R$17="Distrato",$I$38-1,0)),IF(AND($L$711=0,$P$708=0),"",$L$711-1),IF($R$17="Distrato",$E1125,0))),0,YEARFRAC(MAX($P$708*($B1125+IF($R$17="Distrato",$I$38-1,0)),IF(AND($L$711=0,$P$708=0),"",$L$711-1),IF($R$17="Distrato",$E1125,0)),MIN(AR$38,$D$19),$P$20))-SUM($P1125:AQ1125)</f>
        <v>#VALUE!</v>
      </c>
      <c r="AS1125" s="446" t="e">
        <f>IF(OR($B1125="",MIN(AS$38,$D$19)&lt;MAX($P$708*($B1125+IF($R$17="Distrato",$I$38-1,0)),IF(AND($L$711=0,$P$708=0),"",$L$711-1),IF($R$17="Distrato",$E1125,0))),0,YEARFRAC(MAX($P$708*($B1125+IF($R$17="Distrato",$I$38-1,0)),IF(AND($L$711=0,$P$708=0),"",$L$711-1),IF($R$17="Distrato",$E1125,0)),MIN(AS$38,$D$19),$P$20))-SUM($P1125:AR1125)</f>
        <v>#VALUE!</v>
      </c>
      <c r="AT1125" s="446" t="e">
        <f>IF(OR($B1125="",MIN(AT$38,$D$19)&lt;MAX($P$708*($B1125+IF($R$17="Distrato",$I$38-1,0)),IF(AND($L$711=0,$P$708=0),"",$L$711-1),IF($R$17="Distrato",$E1125,0))),0,YEARFRAC(MAX($P$708*($B1125+IF($R$17="Distrato",$I$38-1,0)),IF(AND($L$711=0,$P$708=0),"",$L$711-1),IF($R$17="Distrato",$E1125,0)),MIN(AT$38,$D$19),$P$20))-SUM($P1125:AS1125)</f>
        <v>#VALUE!</v>
      </c>
      <c r="AU1125" s="446" t="e">
        <f>IF(OR($B1125="",MIN(AU$38,$D$19)&lt;MAX($P$708*($B1125+IF($R$17="Distrato",$I$38-1,0)),IF(AND($L$711=0,$P$708=0),"",$L$711-1),IF($R$17="Distrato",$E1125,0))),0,YEARFRAC(MAX($P$708*($B1125+IF($R$17="Distrato",$I$38-1,0)),IF(AND($L$711=0,$P$708=0),"",$L$711-1),IF($R$17="Distrato",$E1125,0)),MIN(AU$38,$D$19),$P$20))-SUM($P1125:AT1125)</f>
        <v>#VALUE!</v>
      </c>
      <c r="AV1125" s="446" t="e">
        <f>IF(OR($B1125="",MIN(AV$38,$D$19)&lt;MAX($P$708*($B1125+IF($R$17="Distrato",$I$38-1,0)),IF(AND($L$711=0,$P$708=0),"",$L$711-1),IF($R$17="Distrato",$E1125,0))),0,YEARFRAC(MAX($P$708*($B1125+IF($R$17="Distrato",$I$38-1,0)),IF(AND($L$711=0,$P$708=0),"",$L$711-1),IF($R$17="Distrato",$E1125,0)),MIN(AV$38,$D$19),$P$20))-SUM($P1125:AU1125)</f>
        <v>#VALUE!</v>
      </c>
      <c r="AW1125" s="446" t="e">
        <f>IF(OR($B1125="",MIN(AW$38,$D$19)&lt;MAX($P$708*($B1125+IF($R$17="Distrato",$I$38-1,0)),IF(AND($L$711=0,$P$708=0),"",$L$711-1),IF($R$17="Distrato",$E1125,0))),0,YEARFRAC(MAX($P$708*($B1125+IF($R$17="Distrato",$I$38-1,0)),IF(AND($L$711=0,$P$708=0),"",$L$711-1),IF($R$17="Distrato",$E1125,0)),MIN(AW$38,$D$19),$P$20))-SUM($P1125:AV1125)</f>
        <v>#VALUE!</v>
      </c>
      <c r="AX1125" s="446" t="e">
        <f>IF(OR($B1125="",MIN(AX$38,$D$19)&lt;MAX($P$708*($B1125+IF($R$17="Distrato",$I$38-1,0)),IF(AND($L$711=0,$P$708=0),"",$L$711-1),IF($R$17="Distrato",$E1125,0))),0,YEARFRAC(MAX($P$708*($B1125+IF($R$17="Distrato",$I$38-1,0)),IF(AND($L$711=0,$P$708=0),"",$L$711-1),IF($R$17="Distrato",$E1125,0)),MIN(AX$38,$D$19),$P$20))-SUM($P1125:AW1125)</f>
        <v>#VALUE!</v>
      </c>
      <c r="AY1125" s="446" t="e">
        <f>IF(OR($B1125="",MIN(AY$38,$D$19)&lt;MAX($P$708*($B1125+IF($R$17="Distrato",$I$38-1,0)),IF(AND($L$711=0,$P$708=0),"",$L$711-1),IF($R$17="Distrato",$E1125,0))),0,YEARFRAC(MAX($P$708*($B1125+IF($R$17="Distrato",$I$38-1,0)),IF(AND($L$711=0,$P$708=0),"",$L$711-1),IF($R$17="Distrato",$E1125,0)),MIN(AY$38,$D$19),$P$20))-SUM($P1125:AX1125)</f>
        <v>#VALUE!</v>
      </c>
      <c r="AZ1125" s="446" t="e">
        <f>IF(OR($B1125="",MIN(AZ$38,$D$19)&lt;MAX($P$708*($B1125+IF($R$17="Distrato",$I$38-1,0)),IF(AND($L$711=0,$P$708=0),"",$L$711-1),IF($R$17="Distrato",$E1125,0))),0,YEARFRAC(MAX($P$708*($B1125+IF($R$17="Distrato",$I$38-1,0)),IF(AND($L$711=0,$P$708=0),"",$L$711-1),IF($R$17="Distrato",$E1125,0)),MIN(AZ$38,$D$19),$P$20))-SUM($P1125:AY1125)</f>
        <v>#VALUE!</v>
      </c>
      <c r="BA1125" s="446" t="e">
        <f>IF(OR($B1125="",MIN(BA$38,$D$19)&lt;MAX($P$708*($B1125+IF($R$17="Distrato",$I$38-1,0)),IF(AND($L$711=0,$P$708=0),"",$L$711-1),IF($R$17="Distrato",$E1125,0))),0,YEARFRAC(MAX($P$708*($B1125+IF($R$17="Distrato",$I$38-1,0)),IF(AND($L$711=0,$P$708=0),"",$L$711-1),IF($R$17="Distrato",$E1125,0)),MIN(BA$38,$D$19),$P$20))-SUM($P1125:AZ1125)</f>
        <v>#VALUE!</v>
      </c>
      <c r="BB1125" s="447"/>
    </row>
    <row r="1126" spans="1:54" s="446" customFormat="1" ht="11.25" hidden="1" customHeight="1" x14ac:dyDescent="0.2">
      <c r="A1126" s="235"/>
      <c r="B1126" s="236"/>
      <c r="C1126" s="29" t="str">
        <f>IF(B1126="","",IF($L$709=$BL$25,VLOOKUP(DATE(YEAR($D$19),MONTH($D$19)-1,1),ÍNDICES!$A:$DE,HLOOKUP($BL$25,ÍNDICES!$B$3:$T$4,2)+11)-VLOOKUP(B1126,ÍNDICES!$A:$DE,HLOOKUP($BL$25,ÍNDICES!$B$3:$T$4,2)+11)+1%,IF(C$712=$W$26,$J$35,IF(ISERROR(IF(B1126&gt;$D$19,1,VLOOKUP(DATE(YEAR(B1126),MONTH(B1126)+IF($C$709=$S$23,1,0),1),ÍNDICES!$A:$DE,$Z$709+1))),"",IF(B1126&gt;$D$19,1,VLOOKUP(DATE(YEAR(B1126),MONTH(B1126)+IF($C$709=$S$23,1,0),1),ÍNDICES!$A:$DE,$Z$709+1))))))</f>
        <v/>
      </c>
      <c r="D1126" s="155"/>
      <c r="E1126" s="88"/>
      <c r="F1126" s="88"/>
      <c r="G1126" s="88"/>
      <c r="H1126" s="118"/>
      <c r="I1126" s="182">
        <f t="shared" si="157"/>
        <v>0</v>
      </c>
      <c r="J1126" s="20">
        <f t="shared" ca="1" si="158"/>
        <v>0</v>
      </c>
      <c r="K1126" s="5">
        <f t="shared" ca="1" si="159"/>
        <v>0</v>
      </c>
      <c r="L1126" s="61">
        <f t="shared" ca="1" si="160"/>
        <v>0</v>
      </c>
      <c r="M1126" s="64">
        <f t="shared" si="161"/>
        <v>0</v>
      </c>
      <c r="N1126" s="151"/>
      <c r="O1126" s="5">
        <f t="shared" ca="1" si="162"/>
        <v>0</v>
      </c>
      <c r="P1126" s="446" t="e">
        <f t="shared" si="163"/>
        <v>#VALUE!</v>
      </c>
      <c r="Q1126" s="446" t="e">
        <f>IF(OR($B1126="",MIN(Q$38,$D$19)&lt;MAX($P$708*($B1126+IF($R$17="Distrato",$I$38-1,0)),IF(AND($L$711=0,$P$708=0),"",$L$711-1),IF($R$17="Distrato",$E1126,0))),0,YEARFRAC(MAX($P$708*($B1126+IF($R$17="Distrato",$I$38-1,0)),IF(AND($L$711=0,$P$708=0),"",$L$711-1),IF($R$17="Distrato",$E1126,0)),MIN(Q$38,$D$19),$P$20))-SUM($P1126:P1126)</f>
        <v>#VALUE!</v>
      </c>
      <c r="R1126" s="446" t="e">
        <f>IF(OR($B1126="",MIN(R$38,$D$19)&lt;MAX($P$708*($B1126+IF($R$17="Distrato",$I$38-1,0)),IF(AND($L$711=0,$P$708=0),"",$L$711-1),IF($R$17="Distrato",$E1126,0))),0,YEARFRAC(MAX($P$708*($B1126+IF($R$17="Distrato",$I$38-1,0)),IF(AND($L$711=0,$P$708=0),"",$L$711-1),IF($R$17="Distrato",$E1126,0)),MIN(R$38,$D$19),$P$20))-SUM($P1126:Q1126)</f>
        <v>#VALUE!</v>
      </c>
      <c r="S1126" s="446" t="e">
        <f>IF(OR($B1126="",MIN(S$38,$D$19)&lt;MAX($P$708*($B1126+IF($R$17="Distrato",$I$38-1,0)),IF(AND($L$711=0,$P$708=0),"",$L$711-1),IF($R$17="Distrato",$E1126,0))),0,YEARFRAC(MAX($P$708*($B1126+IF($R$17="Distrato",$I$38-1,0)),IF(AND($L$711=0,$P$708=0),"",$L$711-1),IF($R$17="Distrato",$E1126,0)),MIN(S$38,$D$19),$P$20))-SUM($P1126:R1126)</f>
        <v>#VALUE!</v>
      </c>
      <c r="T1126" s="446" t="e">
        <f>IF(OR($B1126="",MIN(T$38,$D$19)&lt;MAX($P$708*($B1126+IF($R$17="Distrato",$I$38-1,0)),IF(AND($L$711=0,$P$708=0),"",$L$711-1),IF($R$17="Distrato",$E1126,0))),0,YEARFRAC(MAX($P$708*($B1126+IF($R$17="Distrato",$I$38-1,0)),IF(AND($L$711=0,$P$708=0),"",$L$711-1),IF($R$17="Distrato",$E1126,0)),MIN(T$38,$D$19),$P$20))-SUM($P1126:S1126)</f>
        <v>#VALUE!</v>
      </c>
      <c r="U1126" s="446" t="e">
        <f>IF(OR($B1126="",MIN(U$38,$D$19)&lt;MAX($P$708*($B1126+IF($R$17="Distrato",$I$38-1,0)),IF(AND($L$711=0,$P$708=0),"",$L$711-1),IF($R$17="Distrato",$E1126,0))),0,YEARFRAC(MAX($P$708*($B1126+IF($R$17="Distrato",$I$38-1,0)),IF(AND($L$711=0,$P$708=0),"",$L$711-1),IF($R$17="Distrato",$E1126,0)),MIN(U$38,$D$19),$P$20))-SUM($P1126:T1126)</f>
        <v>#VALUE!</v>
      </c>
      <c r="V1126" s="446" t="e">
        <f>IF(OR($B1126="",MIN(V$38,$D$19)&lt;MAX($P$708*($B1126+IF($R$17="Distrato",$I$38-1,0)),IF(AND($L$711=0,$P$708=0),"",$L$711-1),IF($R$17="Distrato",$E1126,0))),0,YEARFRAC(MAX($P$708*($B1126+IF($R$17="Distrato",$I$38-1,0)),IF(AND($L$711=0,$P$708=0),"",$L$711-1),IF($R$17="Distrato",$E1126,0)),MIN(V$38,$D$19),$P$20))-SUM($P1126:U1126)</f>
        <v>#VALUE!</v>
      </c>
      <c r="W1126" s="446" t="e">
        <f>IF(OR($B1126="",MIN(W$38,$D$19)&lt;MAX($P$708*($B1126+IF($R$17="Distrato",$I$38-1,0)),IF(AND($L$711=0,$P$708=0),"",$L$711-1),IF($R$17="Distrato",$E1126,0))),0,YEARFRAC(MAX($P$708*($B1126+IF($R$17="Distrato",$I$38-1,0)),IF(AND($L$711=0,$P$708=0),"",$L$711-1),IF($R$17="Distrato",$E1126,0)),MIN(W$38,$D$19),$P$20))-SUM($P1126:V1126)</f>
        <v>#VALUE!</v>
      </c>
      <c r="X1126" s="446" t="e">
        <f>IF(OR($B1126="",MIN(X$38,$D$19)&lt;MAX($P$708*($B1126+IF($R$17="Distrato",$I$38-1,0)),IF(AND($L$711=0,$P$708=0),"",$L$711-1),IF($R$17="Distrato",$E1126,0))),0,YEARFRAC(MAX($P$708*($B1126+IF($R$17="Distrato",$I$38-1,0)),IF(AND($L$711=0,$P$708=0),"",$L$711-1),IF($R$17="Distrato",$E1126,0)),MIN(X$38,$D$19),$P$20))-SUM($P1126:W1126)</f>
        <v>#VALUE!</v>
      </c>
      <c r="Y1126" s="446" t="e">
        <f>IF(OR($B1126="",MIN(Y$38,$D$19)&lt;MAX($P$708*($B1126+IF($R$17="Distrato",$I$38-1,0)),IF(AND($L$711=0,$P$708=0),"",$L$711-1),IF($R$17="Distrato",$E1126,0))),0,YEARFRAC(MAX($P$708*($B1126+IF($R$17="Distrato",$I$38-1,0)),IF(AND($L$711=0,$P$708=0),"",$L$711-1),IF($R$17="Distrato",$E1126,0)),MIN(Y$38,$D$19),$P$20))-SUM($P1126:X1126)</f>
        <v>#VALUE!</v>
      </c>
      <c r="Z1126" s="446" t="e">
        <f>IF(OR($B1126="",MIN(Z$38,$D$19)&lt;MAX($P$708*($B1126+IF($R$17="Distrato",$I$38-1,0)),IF(AND($L$711=0,$P$708=0),"",$L$711-1),IF($R$17="Distrato",$E1126,0))),0,YEARFRAC(MAX($P$708*($B1126+IF($R$17="Distrato",$I$38-1,0)),IF(AND($L$711=0,$P$708=0),"",$L$711-1),IF($R$17="Distrato",$E1126,0)),MIN(Z$38,$D$19),$P$20))-SUM($P1126:Y1126)</f>
        <v>#VALUE!</v>
      </c>
      <c r="AA1126" s="446" t="e">
        <f>IF(OR($B1126="",MIN(AA$38,$D$19)&lt;MAX($P$708*($B1126+IF($R$17="Distrato",$I$38-1,0)),IF(AND($L$711=0,$P$708=0),"",$L$711-1),IF($R$17="Distrato",$E1126,0))),0,YEARFRAC(MAX($P$708*($B1126+IF($R$17="Distrato",$I$38-1,0)),IF(AND($L$711=0,$P$708=0),"",$L$711-1),IF($R$17="Distrato",$E1126,0)),MIN(AA$38,$D$19),$P$20))-SUM($P1126:Z1126)</f>
        <v>#VALUE!</v>
      </c>
      <c r="AB1126" s="446" t="e">
        <f>IF(OR($B1126="",MIN(AB$38,$D$19)&lt;MAX($P$708*($B1126+IF($R$17="Distrato",$I$38-1,0)),IF(AND($L$711=0,$P$708=0),"",$L$711-1),IF($R$17="Distrato",$E1126,0))),0,YEARFRAC(MAX($P$708*($B1126+IF($R$17="Distrato",$I$38-1,0)),IF(AND($L$711=0,$P$708=0),"",$L$711-1),IF($R$17="Distrato",$E1126,0)),MIN(AB$38,$D$19),$P$20))-SUM($P1126:AA1126)</f>
        <v>#VALUE!</v>
      </c>
      <c r="AC1126" s="446" t="e">
        <f>IF(OR($B1126="",MIN(AC$38,$D$19)&lt;MAX($P$708*($B1126+IF($R$17="Distrato",$I$38-1,0)),IF(AND($L$711=0,$P$708=0),"",$L$711-1),IF($R$17="Distrato",$E1126,0))),0,YEARFRAC(MAX($P$708*($B1126+IF($R$17="Distrato",$I$38-1,0)),IF(AND($L$711=0,$P$708=0),"",$L$711-1),IF($R$17="Distrato",$E1126,0)),MIN(AC$38,$D$19),$P$20))-SUM($P1126:AB1126)</f>
        <v>#VALUE!</v>
      </c>
      <c r="AD1126" s="446" t="e">
        <f>IF(OR($B1126="",MIN(AD$38,$D$19)&lt;MAX($P$708*($B1126+IF($R$17="Distrato",$I$38-1,0)),IF(AND($L$711=0,$P$708=0),"",$L$711-1),IF($R$17="Distrato",$E1126,0))),0,YEARFRAC(MAX($P$708*($B1126+IF($R$17="Distrato",$I$38-1,0)),IF(AND($L$711=0,$P$708=0),"",$L$711-1),IF($R$17="Distrato",$E1126,0)),MIN(AD$38,$D$19),$P$20))-SUM($P1126:AC1126)</f>
        <v>#VALUE!</v>
      </c>
      <c r="AE1126" s="446" t="e">
        <f>IF(OR($B1126="",MIN(AE$38,$D$19)&lt;MAX($P$708*($B1126+IF($R$17="Distrato",$I$38-1,0)),IF(AND($L$711=0,$P$708=0),"",$L$711-1),IF($R$17="Distrato",$E1126,0))),0,YEARFRAC(MAX($P$708*($B1126+IF($R$17="Distrato",$I$38-1,0)),IF(AND($L$711=0,$P$708=0),"",$L$711-1),IF($R$17="Distrato",$E1126,0)),MIN(AE$38,$D$19),$P$20))-SUM($P1126:AD1126)</f>
        <v>#VALUE!</v>
      </c>
      <c r="AF1126" s="446" t="e">
        <f>IF(OR($B1126="",MIN(AF$38,$D$19)&lt;MAX($P$708*($B1126+IF($R$17="Distrato",$I$38-1,0)),IF(AND($L$711=0,$P$708=0),"",$L$711-1),IF($R$17="Distrato",$E1126,0))),0,YEARFRAC(MAX($P$708*($B1126+IF($R$17="Distrato",$I$38-1,0)),IF(AND($L$711=0,$P$708=0),"",$L$711-1),IF($R$17="Distrato",$E1126,0)),MIN(AF$38,$D$19),$P$20))-SUM($P1126:AE1126)</f>
        <v>#VALUE!</v>
      </c>
      <c r="AG1126" s="446" t="e">
        <f>IF(OR($B1126="",MIN(AG$38,$D$19)&lt;MAX($P$708*($B1126+IF($R$17="Distrato",$I$38-1,0)),IF(AND($L$711=0,$P$708=0),"",$L$711-1),IF($R$17="Distrato",$E1126,0))),0,YEARFRAC(MAX($P$708*($B1126+IF($R$17="Distrato",$I$38-1,0)),IF(AND($L$711=0,$P$708=0),"",$L$711-1),IF($R$17="Distrato",$E1126,0)),MIN(AG$38,$D$19),$P$20))-SUM($P1126:AF1126)</f>
        <v>#VALUE!</v>
      </c>
      <c r="AH1126" s="446" t="e">
        <f>IF(OR($B1126="",MIN(AH$38,$D$19)&lt;MAX($P$708*($B1126+IF($R$17="Distrato",$I$38-1,0)),IF(AND($L$711=0,$P$708=0),"",$L$711-1),IF($R$17="Distrato",$E1126,0))),0,YEARFRAC(MAX($P$708*($B1126+IF($R$17="Distrato",$I$38-1,0)),IF(AND($L$711=0,$P$708=0),"",$L$711-1),IF($R$17="Distrato",$E1126,0)),MIN(AH$38,$D$19),$P$20))-SUM($P1126:AG1126)</f>
        <v>#VALUE!</v>
      </c>
      <c r="AI1126" s="446" t="e">
        <f>IF(OR($B1126="",MIN(AI$38,$D$19)&lt;MAX($P$708*($B1126+IF($R$17="Distrato",$I$38-1,0)),IF(AND($L$711=0,$P$708=0),"",$L$711-1),IF($R$17="Distrato",$E1126,0))),0,YEARFRAC(MAX($P$708*($B1126+IF($R$17="Distrato",$I$38-1,0)),IF(AND($L$711=0,$P$708=0),"",$L$711-1),IF($R$17="Distrato",$E1126,0)),MIN(AI$38,$D$19),$P$20))-SUM($P1126:AH1126)</f>
        <v>#VALUE!</v>
      </c>
      <c r="AJ1126" s="446" t="e">
        <f>IF(OR($B1126="",MIN(AJ$38,$D$19)&lt;MAX($P$708*($B1126+IF($R$17="Distrato",$I$38-1,0)),IF(AND($L$711=0,$P$708=0),"",$L$711-1),IF($R$17="Distrato",$E1126,0))),0,YEARFRAC(MAX($P$708*($B1126+IF($R$17="Distrato",$I$38-1,0)),IF(AND($L$711=0,$P$708=0),"",$L$711-1),IF($R$17="Distrato",$E1126,0)),MIN(AJ$38,$D$19),$P$20))-SUM($P1126:AI1126)</f>
        <v>#VALUE!</v>
      </c>
      <c r="AK1126" s="446" t="e">
        <f>IF(OR($B1126="",MIN(AK$38,$D$19)&lt;MAX($P$708*($B1126+IF($R$17="Distrato",$I$38-1,0)),IF(AND($L$711=0,$P$708=0),"",$L$711-1),IF($R$17="Distrato",$E1126,0))),0,YEARFRAC(MAX($P$708*($B1126+IF($R$17="Distrato",$I$38-1,0)),IF(AND($L$711=0,$P$708=0),"",$L$711-1),IF($R$17="Distrato",$E1126,0)),MIN(AK$38,$D$19),$P$20))-SUM($P1126:AJ1126)</f>
        <v>#VALUE!</v>
      </c>
      <c r="AL1126" s="446" t="e">
        <f>IF(OR($B1126="",MIN(AL$38,$D$19)&lt;MAX($P$708*($B1126+IF($R$17="Distrato",$I$38-1,0)),IF(AND($L$711=0,$P$708=0),"",$L$711-1),IF($R$17="Distrato",$E1126,0))),0,YEARFRAC(MAX($P$708*($B1126+IF($R$17="Distrato",$I$38-1,0)),IF(AND($L$711=0,$P$708=0),"",$L$711-1),IF($R$17="Distrato",$E1126,0)),MIN(AL$38,$D$19),$P$20))-SUM($P1126:AK1126)</f>
        <v>#VALUE!</v>
      </c>
      <c r="AM1126" s="446" t="e">
        <f>IF(OR($B1126="",MIN(AM$38,$D$19)&lt;MAX($P$708*($B1126+IF($R$17="Distrato",$I$38-1,0)),IF(AND($L$711=0,$P$708=0),"",$L$711-1),IF($R$17="Distrato",$E1126,0))),0,YEARFRAC(MAX($P$708*($B1126+IF($R$17="Distrato",$I$38-1,0)),IF(AND($L$711=0,$P$708=0),"",$L$711-1),IF($R$17="Distrato",$E1126,0)),MIN(AM$38,$D$19),$P$20))-SUM($P1126:AL1126)</f>
        <v>#VALUE!</v>
      </c>
      <c r="AN1126" s="446" t="e">
        <f>IF(OR($B1126="",MIN(AN$38,$D$19)&lt;MAX($P$708*($B1126+IF($R$17="Distrato",$I$38-1,0)),IF(AND($L$711=0,$P$708=0),"",$L$711-1),IF($R$17="Distrato",$E1126,0))),0,YEARFRAC(MAX($P$708*($B1126+IF($R$17="Distrato",$I$38-1,0)),IF(AND($L$711=0,$P$708=0),"",$L$711-1),IF($R$17="Distrato",$E1126,0)),MIN(AN$38,$D$19),$P$20))-SUM($P1126:AM1126)</f>
        <v>#VALUE!</v>
      </c>
      <c r="AO1126" s="446" t="e">
        <f>IF(OR($B1126="",MIN(AO$38,$D$19)&lt;MAX($P$708*($B1126+IF($R$17="Distrato",$I$38-1,0)),IF(AND($L$711=0,$P$708=0),"",$L$711-1),IF($R$17="Distrato",$E1126,0))),0,YEARFRAC(MAX($P$708*($B1126+IF($R$17="Distrato",$I$38-1,0)),IF(AND($L$711=0,$P$708=0),"",$L$711-1),IF($R$17="Distrato",$E1126,0)),MIN(AO$38,$D$19),$P$20))-SUM($P1126:AN1126)</f>
        <v>#VALUE!</v>
      </c>
      <c r="AP1126" s="446" t="e">
        <f>IF(OR($B1126="",MIN(AP$38,$D$19)&lt;MAX($P$708*($B1126+IF($R$17="Distrato",$I$38-1,0)),IF(AND($L$711=0,$P$708=0),"",$L$711-1),IF($R$17="Distrato",$E1126,0))),0,YEARFRAC(MAX($P$708*($B1126+IF($R$17="Distrato",$I$38-1,0)),IF(AND($L$711=0,$P$708=0),"",$L$711-1),IF($R$17="Distrato",$E1126,0)),MIN(AP$38,$D$19),$P$20))-SUM($P1126:AO1126)</f>
        <v>#VALUE!</v>
      </c>
      <c r="AQ1126" s="446" t="e">
        <f>IF(OR($B1126="",MIN(AQ$38,$D$19)&lt;MAX($P$708*($B1126+IF($R$17="Distrato",$I$38-1,0)),IF(AND($L$711=0,$P$708=0),"",$L$711-1),IF($R$17="Distrato",$E1126,0))),0,YEARFRAC(MAX($P$708*($B1126+IF($R$17="Distrato",$I$38-1,0)),IF(AND($L$711=0,$P$708=0),"",$L$711-1),IF($R$17="Distrato",$E1126,0)),MIN(AQ$38,$D$19),$P$20))-SUM($P1126:AP1126)</f>
        <v>#VALUE!</v>
      </c>
      <c r="AR1126" s="446" t="e">
        <f>IF(OR($B1126="",MIN(AR$38,$D$19)&lt;MAX($P$708*($B1126+IF($R$17="Distrato",$I$38-1,0)),IF(AND($L$711=0,$P$708=0),"",$L$711-1),IF($R$17="Distrato",$E1126,0))),0,YEARFRAC(MAX($P$708*($B1126+IF($R$17="Distrato",$I$38-1,0)),IF(AND($L$711=0,$P$708=0),"",$L$711-1),IF($R$17="Distrato",$E1126,0)),MIN(AR$38,$D$19),$P$20))-SUM($P1126:AQ1126)</f>
        <v>#VALUE!</v>
      </c>
      <c r="AS1126" s="446" t="e">
        <f>IF(OR($B1126="",MIN(AS$38,$D$19)&lt;MAX($P$708*($B1126+IF($R$17="Distrato",$I$38-1,0)),IF(AND($L$711=0,$P$708=0),"",$L$711-1),IF($R$17="Distrato",$E1126,0))),0,YEARFRAC(MAX($P$708*($B1126+IF($R$17="Distrato",$I$38-1,0)),IF(AND($L$711=0,$P$708=0),"",$L$711-1),IF($R$17="Distrato",$E1126,0)),MIN(AS$38,$D$19),$P$20))-SUM($P1126:AR1126)</f>
        <v>#VALUE!</v>
      </c>
      <c r="AT1126" s="446" t="e">
        <f>IF(OR($B1126="",MIN(AT$38,$D$19)&lt;MAX($P$708*($B1126+IF($R$17="Distrato",$I$38-1,0)),IF(AND($L$711=0,$P$708=0),"",$L$711-1),IF($R$17="Distrato",$E1126,0))),0,YEARFRAC(MAX($P$708*($B1126+IF($R$17="Distrato",$I$38-1,0)),IF(AND($L$711=0,$P$708=0),"",$L$711-1),IF($R$17="Distrato",$E1126,0)),MIN(AT$38,$D$19),$P$20))-SUM($P1126:AS1126)</f>
        <v>#VALUE!</v>
      </c>
      <c r="AU1126" s="446" t="e">
        <f>IF(OR($B1126="",MIN(AU$38,$D$19)&lt;MAX($P$708*($B1126+IF($R$17="Distrato",$I$38-1,0)),IF(AND($L$711=0,$P$708=0),"",$L$711-1),IF($R$17="Distrato",$E1126,0))),0,YEARFRAC(MAX($P$708*($B1126+IF($R$17="Distrato",$I$38-1,0)),IF(AND($L$711=0,$P$708=0),"",$L$711-1),IF($R$17="Distrato",$E1126,0)),MIN(AU$38,$D$19),$P$20))-SUM($P1126:AT1126)</f>
        <v>#VALUE!</v>
      </c>
      <c r="AV1126" s="446" t="e">
        <f>IF(OR($B1126="",MIN(AV$38,$D$19)&lt;MAX($P$708*($B1126+IF($R$17="Distrato",$I$38-1,0)),IF(AND($L$711=0,$P$708=0),"",$L$711-1),IF($R$17="Distrato",$E1126,0))),0,YEARFRAC(MAX($P$708*($B1126+IF($R$17="Distrato",$I$38-1,0)),IF(AND($L$711=0,$P$708=0),"",$L$711-1),IF($R$17="Distrato",$E1126,0)),MIN(AV$38,$D$19),$P$20))-SUM($P1126:AU1126)</f>
        <v>#VALUE!</v>
      </c>
      <c r="AW1126" s="446" t="e">
        <f>IF(OR($B1126="",MIN(AW$38,$D$19)&lt;MAX($P$708*($B1126+IF($R$17="Distrato",$I$38-1,0)),IF(AND($L$711=0,$P$708=0),"",$L$711-1),IF($R$17="Distrato",$E1126,0))),0,YEARFRAC(MAX($P$708*($B1126+IF($R$17="Distrato",$I$38-1,0)),IF(AND($L$711=0,$P$708=0),"",$L$711-1),IF($R$17="Distrato",$E1126,0)),MIN(AW$38,$D$19),$P$20))-SUM($P1126:AV1126)</f>
        <v>#VALUE!</v>
      </c>
      <c r="AX1126" s="446" t="e">
        <f>IF(OR($B1126="",MIN(AX$38,$D$19)&lt;MAX($P$708*($B1126+IF($R$17="Distrato",$I$38-1,0)),IF(AND($L$711=0,$P$708=0),"",$L$711-1),IF($R$17="Distrato",$E1126,0))),0,YEARFRAC(MAX($P$708*($B1126+IF($R$17="Distrato",$I$38-1,0)),IF(AND($L$711=0,$P$708=0),"",$L$711-1),IF($R$17="Distrato",$E1126,0)),MIN(AX$38,$D$19),$P$20))-SUM($P1126:AW1126)</f>
        <v>#VALUE!</v>
      </c>
      <c r="AY1126" s="446" t="e">
        <f>IF(OR($B1126="",MIN(AY$38,$D$19)&lt;MAX($P$708*($B1126+IF($R$17="Distrato",$I$38-1,0)),IF(AND($L$711=0,$P$708=0),"",$L$711-1),IF($R$17="Distrato",$E1126,0))),0,YEARFRAC(MAX($P$708*($B1126+IF($R$17="Distrato",$I$38-1,0)),IF(AND($L$711=0,$P$708=0),"",$L$711-1),IF($R$17="Distrato",$E1126,0)),MIN(AY$38,$D$19),$P$20))-SUM($P1126:AX1126)</f>
        <v>#VALUE!</v>
      </c>
      <c r="AZ1126" s="446" t="e">
        <f>IF(OR($B1126="",MIN(AZ$38,$D$19)&lt;MAX($P$708*($B1126+IF($R$17="Distrato",$I$38-1,0)),IF(AND($L$711=0,$P$708=0),"",$L$711-1),IF($R$17="Distrato",$E1126,0))),0,YEARFRAC(MAX($P$708*($B1126+IF($R$17="Distrato",$I$38-1,0)),IF(AND($L$711=0,$P$708=0),"",$L$711-1),IF($R$17="Distrato",$E1126,0)),MIN(AZ$38,$D$19),$P$20))-SUM($P1126:AY1126)</f>
        <v>#VALUE!</v>
      </c>
      <c r="BA1126" s="446" t="e">
        <f>IF(OR($B1126="",MIN(BA$38,$D$19)&lt;MAX($P$708*($B1126+IF($R$17="Distrato",$I$38-1,0)),IF(AND($L$711=0,$P$708=0),"",$L$711-1),IF($R$17="Distrato",$E1126,0))),0,YEARFRAC(MAX($P$708*($B1126+IF($R$17="Distrato",$I$38-1,0)),IF(AND($L$711=0,$P$708=0),"",$L$711-1),IF($R$17="Distrato",$E1126,0)),MIN(BA$38,$D$19),$P$20))-SUM($P1126:AZ1126)</f>
        <v>#VALUE!</v>
      </c>
      <c r="BB1126" s="447"/>
    </row>
    <row r="1127" spans="1:54" s="446" customFormat="1" ht="11.25" hidden="1" customHeight="1" x14ac:dyDescent="0.2">
      <c r="A1127" s="235"/>
      <c r="B1127" s="236"/>
      <c r="C1127" s="29" t="str">
        <f>IF(B1127="","",IF($L$709=$BL$25,VLOOKUP(DATE(YEAR($D$19),MONTH($D$19)-1,1),ÍNDICES!$A:$DE,HLOOKUP($BL$25,ÍNDICES!$B$3:$T$4,2)+11)-VLOOKUP(B1127,ÍNDICES!$A:$DE,HLOOKUP($BL$25,ÍNDICES!$B$3:$T$4,2)+11)+1%,IF(C$712=$W$26,$J$35,IF(ISERROR(IF(B1127&gt;$D$19,1,VLOOKUP(DATE(YEAR(B1127),MONTH(B1127)+IF($C$709=$S$23,1,0),1),ÍNDICES!$A:$DE,$Z$709+1))),"",IF(B1127&gt;$D$19,1,VLOOKUP(DATE(YEAR(B1127),MONTH(B1127)+IF($C$709=$S$23,1,0),1),ÍNDICES!$A:$DE,$Z$709+1))))))</f>
        <v/>
      </c>
      <c r="D1127" s="155"/>
      <c r="E1127" s="88"/>
      <c r="F1127" s="88"/>
      <c r="G1127" s="88"/>
      <c r="H1127" s="118"/>
      <c r="I1127" s="182">
        <f t="shared" si="157"/>
        <v>0</v>
      </c>
      <c r="J1127" s="20">
        <f t="shared" ca="1" si="158"/>
        <v>0</v>
      </c>
      <c r="K1127" s="5">
        <f t="shared" ca="1" si="159"/>
        <v>0</v>
      </c>
      <c r="L1127" s="61">
        <f t="shared" ca="1" si="160"/>
        <v>0</v>
      </c>
      <c r="M1127" s="64">
        <f t="shared" si="161"/>
        <v>0</v>
      </c>
      <c r="N1127" s="151"/>
      <c r="O1127" s="5">
        <f t="shared" ca="1" si="162"/>
        <v>0</v>
      </c>
      <c r="P1127" s="446" t="e">
        <f t="shared" si="163"/>
        <v>#VALUE!</v>
      </c>
      <c r="Q1127" s="446" t="e">
        <f>IF(OR($B1127="",MIN(Q$38,$D$19)&lt;MAX($P$708*($B1127+IF($R$17="Distrato",$I$38-1,0)),IF(AND($L$711=0,$P$708=0),"",$L$711-1),IF($R$17="Distrato",$E1127,0))),0,YEARFRAC(MAX($P$708*($B1127+IF($R$17="Distrato",$I$38-1,0)),IF(AND($L$711=0,$P$708=0),"",$L$711-1),IF($R$17="Distrato",$E1127,0)),MIN(Q$38,$D$19),$P$20))-SUM($P1127:P1127)</f>
        <v>#VALUE!</v>
      </c>
      <c r="R1127" s="446" t="e">
        <f>IF(OR($B1127="",MIN(R$38,$D$19)&lt;MAX($P$708*($B1127+IF($R$17="Distrato",$I$38-1,0)),IF(AND($L$711=0,$P$708=0),"",$L$711-1),IF($R$17="Distrato",$E1127,0))),0,YEARFRAC(MAX($P$708*($B1127+IF($R$17="Distrato",$I$38-1,0)),IF(AND($L$711=0,$P$708=0),"",$L$711-1),IF($R$17="Distrato",$E1127,0)),MIN(R$38,$D$19),$P$20))-SUM($P1127:Q1127)</f>
        <v>#VALUE!</v>
      </c>
      <c r="S1127" s="446" t="e">
        <f>IF(OR($B1127="",MIN(S$38,$D$19)&lt;MAX($P$708*($B1127+IF($R$17="Distrato",$I$38-1,0)),IF(AND($L$711=0,$P$708=0),"",$L$711-1),IF($R$17="Distrato",$E1127,0))),0,YEARFRAC(MAX($P$708*($B1127+IF($R$17="Distrato",$I$38-1,0)),IF(AND($L$711=0,$P$708=0),"",$L$711-1),IF($R$17="Distrato",$E1127,0)),MIN(S$38,$D$19),$P$20))-SUM($P1127:R1127)</f>
        <v>#VALUE!</v>
      </c>
      <c r="T1127" s="446" t="e">
        <f>IF(OR($B1127="",MIN(T$38,$D$19)&lt;MAX($P$708*($B1127+IF($R$17="Distrato",$I$38-1,0)),IF(AND($L$711=0,$P$708=0),"",$L$711-1),IF($R$17="Distrato",$E1127,0))),0,YEARFRAC(MAX($P$708*($B1127+IF($R$17="Distrato",$I$38-1,0)),IF(AND($L$711=0,$P$708=0),"",$L$711-1),IF($R$17="Distrato",$E1127,0)),MIN(T$38,$D$19),$P$20))-SUM($P1127:S1127)</f>
        <v>#VALUE!</v>
      </c>
      <c r="U1127" s="446" t="e">
        <f>IF(OR($B1127="",MIN(U$38,$D$19)&lt;MAX($P$708*($B1127+IF($R$17="Distrato",$I$38-1,0)),IF(AND($L$711=0,$P$708=0),"",$L$711-1),IF($R$17="Distrato",$E1127,0))),0,YEARFRAC(MAX($P$708*($B1127+IF($R$17="Distrato",$I$38-1,0)),IF(AND($L$711=0,$P$708=0),"",$L$711-1),IF($R$17="Distrato",$E1127,0)),MIN(U$38,$D$19),$P$20))-SUM($P1127:T1127)</f>
        <v>#VALUE!</v>
      </c>
      <c r="V1127" s="446" t="e">
        <f>IF(OR($B1127="",MIN(V$38,$D$19)&lt;MAX($P$708*($B1127+IF($R$17="Distrato",$I$38-1,0)),IF(AND($L$711=0,$P$708=0),"",$L$711-1),IF($R$17="Distrato",$E1127,0))),0,YEARFRAC(MAX($P$708*($B1127+IF($R$17="Distrato",$I$38-1,0)),IF(AND($L$711=0,$P$708=0),"",$L$711-1),IF($R$17="Distrato",$E1127,0)),MIN(V$38,$D$19),$P$20))-SUM($P1127:U1127)</f>
        <v>#VALUE!</v>
      </c>
      <c r="W1127" s="446" t="e">
        <f>IF(OR($B1127="",MIN(W$38,$D$19)&lt;MAX($P$708*($B1127+IF($R$17="Distrato",$I$38-1,0)),IF(AND($L$711=0,$P$708=0),"",$L$711-1),IF($R$17="Distrato",$E1127,0))),0,YEARFRAC(MAX($P$708*($B1127+IF($R$17="Distrato",$I$38-1,0)),IF(AND($L$711=0,$P$708=0),"",$L$711-1),IF($R$17="Distrato",$E1127,0)),MIN(W$38,$D$19),$P$20))-SUM($P1127:V1127)</f>
        <v>#VALUE!</v>
      </c>
      <c r="X1127" s="446" t="e">
        <f>IF(OR($B1127="",MIN(X$38,$D$19)&lt;MAX($P$708*($B1127+IF($R$17="Distrato",$I$38-1,0)),IF(AND($L$711=0,$P$708=0),"",$L$711-1),IF($R$17="Distrato",$E1127,0))),0,YEARFRAC(MAX($P$708*($B1127+IF($R$17="Distrato",$I$38-1,0)),IF(AND($L$711=0,$P$708=0),"",$L$711-1),IF($R$17="Distrato",$E1127,0)),MIN(X$38,$D$19),$P$20))-SUM($P1127:W1127)</f>
        <v>#VALUE!</v>
      </c>
      <c r="Y1127" s="446" t="e">
        <f>IF(OR($B1127="",MIN(Y$38,$D$19)&lt;MAX($P$708*($B1127+IF($R$17="Distrato",$I$38-1,0)),IF(AND($L$711=0,$P$708=0),"",$L$711-1),IF($R$17="Distrato",$E1127,0))),0,YEARFRAC(MAX($P$708*($B1127+IF($R$17="Distrato",$I$38-1,0)),IF(AND($L$711=0,$P$708=0),"",$L$711-1),IF($R$17="Distrato",$E1127,0)),MIN(Y$38,$D$19),$P$20))-SUM($P1127:X1127)</f>
        <v>#VALUE!</v>
      </c>
      <c r="Z1127" s="446" t="e">
        <f>IF(OR($B1127="",MIN(Z$38,$D$19)&lt;MAX($P$708*($B1127+IF($R$17="Distrato",$I$38-1,0)),IF(AND($L$711=0,$P$708=0),"",$L$711-1),IF($R$17="Distrato",$E1127,0))),0,YEARFRAC(MAX($P$708*($B1127+IF($R$17="Distrato",$I$38-1,0)),IF(AND($L$711=0,$P$708=0),"",$L$711-1),IF($R$17="Distrato",$E1127,0)),MIN(Z$38,$D$19),$P$20))-SUM($P1127:Y1127)</f>
        <v>#VALUE!</v>
      </c>
      <c r="AA1127" s="446" t="e">
        <f>IF(OR($B1127="",MIN(AA$38,$D$19)&lt;MAX($P$708*($B1127+IF($R$17="Distrato",$I$38-1,0)),IF(AND($L$711=0,$P$708=0),"",$L$711-1),IF($R$17="Distrato",$E1127,0))),0,YEARFRAC(MAX($P$708*($B1127+IF($R$17="Distrato",$I$38-1,0)),IF(AND($L$711=0,$P$708=0),"",$L$711-1),IF($R$17="Distrato",$E1127,0)),MIN(AA$38,$D$19),$P$20))-SUM($P1127:Z1127)</f>
        <v>#VALUE!</v>
      </c>
      <c r="AB1127" s="446" t="e">
        <f>IF(OR($B1127="",MIN(AB$38,$D$19)&lt;MAX($P$708*($B1127+IF($R$17="Distrato",$I$38-1,0)),IF(AND($L$711=0,$P$708=0),"",$L$711-1),IF($R$17="Distrato",$E1127,0))),0,YEARFRAC(MAX($P$708*($B1127+IF($R$17="Distrato",$I$38-1,0)),IF(AND($L$711=0,$P$708=0),"",$L$711-1),IF($R$17="Distrato",$E1127,0)),MIN(AB$38,$D$19),$P$20))-SUM($P1127:AA1127)</f>
        <v>#VALUE!</v>
      </c>
      <c r="AC1127" s="446" t="e">
        <f>IF(OR($B1127="",MIN(AC$38,$D$19)&lt;MAX($P$708*($B1127+IF($R$17="Distrato",$I$38-1,0)),IF(AND($L$711=0,$P$708=0),"",$L$711-1),IF($R$17="Distrato",$E1127,0))),0,YEARFRAC(MAX($P$708*($B1127+IF($R$17="Distrato",$I$38-1,0)),IF(AND($L$711=0,$P$708=0),"",$L$711-1),IF($R$17="Distrato",$E1127,0)),MIN(AC$38,$D$19),$P$20))-SUM($P1127:AB1127)</f>
        <v>#VALUE!</v>
      </c>
      <c r="AD1127" s="446" t="e">
        <f>IF(OR($B1127="",MIN(AD$38,$D$19)&lt;MAX($P$708*($B1127+IF($R$17="Distrato",$I$38-1,0)),IF(AND($L$711=0,$P$708=0),"",$L$711-1),IF($R$17="Distrato",$E1127,0))),0,YEARFRAC(MAX($P$708*($B1127+IF($R$17="Distrato",$I$38-1,0)),IF(AND($L$711=0,$P$708=0),"",$L$711-1),IF($R$17="Distrato",$E1127,0)),MIN(AD$38,$D$19),$P$20))-SUM($P1127:AC1127)</f>
        <v>#VALUE!</v>
      </c>
      <c r="AE1127" s="446" t="e">
        <f>IF(OR($B1127="",MIN(AE$38,$D$19)&lt;MAX($P$708*($B1127+IF($R$17="Distrato",$I$38-1,0)),IF(AND($L$711=0,$P$708=0),"",$L$711-1),IF($R$17="Distrato",$E1127,0))),0,YEARFRAC(MAX($P$708*($B1127+IF($R$17="Distrato",$I$38-1,0)),IF(AND($L$711=0,$P$708=0),"",$L$711-1),IF($R$17="Distrato",$E1127,0)),MIN(AE$38,$D$19),$P$20))-SUM($P1127:AD1127)</f>
        <v>#VALUE!</v>
      </c>
      <c r="AF1127" s="446" t="e">
        <f>IF(OR($B1127="",MIN(AF$38,$D$19)&lt;MAX($P$708*($B1127+IF($R$17="Distrato",$I$38-1,0)),IF(AND($L$711=0,$P$708=0),"",$L$711-1),IF($R$17="Distrato",$E1127,0))),0,YEARFRAC(MAX($P$708*($B1127+IF($R$17="Distrato",$I$38-1,0)),IF(AND($L$711=0,$P$708=0),"",$L$711-1),IF($R$17="Distrato",$E1127,0)),MIN(AF$38,$D$19),$P$20))-SUM($P1127:AE1127)</f>
        <v>#VALUE!</v>
      </c>
      <c r="AG1127" s="446" t="e">
        <f>IF(OR($B1127="",MIN(AG$38,$D$19)&lt;MAX($P$708*($B1127+IF($R$17="Distrato",$I$38-1,0)),IF(AND($L$711=0,$P$708=0),"",$L$711-1),IF($R$17="Distrato",$E1127,0))),0,YEARFRAC(MAX($P$708*($B1127+IF($R$17="Distrato",$I$38-1,0)),IF(AND($L$711=0,$P$708=0),"",$L$711-1),IF($R$17="Distrato",$E1127,0)),MIN(AG$38,$D$19),$P$20))-SUM($P1127:AF1127)</f>
        <v>#VALUE!</v>
      </c>
      <c r="AH1127" s="446" t="e">
        <f>IF(OR($B1127="",MIN(AH$38,$D$19)&lt;MAX($P$708*($B1127+IF($R$17="Distrato",$I$38-1,0)),IF(AND($L$711=0,$P$708=0),"",$L$711-1),IF($R$17="Distrato",$E1127,0))),0,YEARFRAC(MAX($P$708*($B1127+IF($R$17="Distrato",$I$38-1,0)),IF(AND($L$711=0,$P$708=0),"",$L$711-1),IF($R$17="Distrato",$E1127,0)),MIN(AH$38,$D$19),$P$20))-SUM($P1127:AG1127)</f>
        <v>#VALUE!</v>
      </c>
      <c r="AI1127" s="446" t="e">
        <f>IF(OR($B1127="",MIN(AI$38,$D$19)&lt;MAX($P$708*($B1127+IF($R$17="Distrato",$I$38-1,0)),IF(AND($L$711=0,$P$708=0),"",$L$711-1),IF($R$17="Distrato",$E1127,0))),0,YEARFRAC(MAX($P$708*($B1127+IF($R$17="Distrato",$I$38-1,0)),IF(AND($L$711=0,$P$708=0),"",$L$711-1),IF($R$17="Distrato",$E1127,0)),MIN(AI$38,$D$19),$P$20))-SUM($P1127:AH1127)</f>
        <v>#VALUE!</v>
      </c>
      <c r="AJ1127" s="446" t="e">
        <f>IF(OR($B1127="",MIN(AJ$38,$D$19)&lt;MAX($P$708*($B1127+IF($R$17="Distrato",$I$38-1,0)),IF(AND($L$711=0,$P$708=0),"",$L$711-1),IF($R$17="Distrato",$E1127,0))),0,YEARFRAC(MAX($P$708*($B1127+IF($R$17="Distrato",$I$38-1,0)),IF(AND($L$711=0,$P$708=0),"",$L$711-1),IF($R$17="Distrato",$E1127,0)),MIN(AJ$38,$D$19),$P$20))-SUM($P1127:AI1127)</f>
        <v>#VALUE!</v>
      </c>
      <c r="AK1127" s="446" t="e">
        <f>IF(OR($B1127="",MIN(AK$38,$D$19)&lt;MAX($P$708*($B1127+IF($R$17="Distrato",$I$38-1,0)),IF(AND($L$711=0,$P$708=0),"",$L$711-1),IF($R$17="Distrato",$E1127,0))),0,YEARFRAC(MAX($P$708*($B1127+IF($R$17="Distrato",$I$38-1,0)),IF(AND($L$711=0,$P$708=0),"",$L$711-1),IF($R$17="Distrato",$E1127,0)),MIN(AK$38,$D$19),$P$20))-SUM($P1127:AJ1127)</f>
        <v>#VALUE!</v>
      </c>
      <c r="AL1127" s="446" t="e">
        <f>IF(OR($B1127="",MIN(AL$38,$D$19)&lt;MAX($P$708*($B1127+IF($R$17="Distrato",$I$38-1,0)),IF(AND($L$711=0,$P$708=0),"",$L$711-1),IF($R$17="Distrato",$E1127,0))),0,YEARFRAC(MAX($P$708*($B1127+IF($R$17="Distrato",$I$38-1,0)),IF(AND($L$711=0,$P$708=0),"",$L$711-1),IF($R$17="Distrato",$E1127,0)),MIN(AL$38,$D$19),$P$20))-SUM($P1127:AK1127)</f>
        <v>#VALUE!</v>
      </c>
      <c r="AM1127" s="446" t="e">
        <f>IF(OR($B1127="",MIN(AM$38,$D$19)&lt;MAX($P$708*($B1127+IF($R$17="Distrato",$I$38-1,0)),IF(AND($L$711=0,$P$708=0),"",$L$711-1),IF($R$17="Distrato",$E1127,0))),0,YEARFRAC(MAX($P$708*($B1127+IF($R$17="Distrato",$I$38-1,0)),IF(AND($L$711=0,$P$708=0),"",$L$711-1),IF($R$17="Distrato",$E1127,0)),MIN(AM$38,$D$19),$P$20))-SUM($P1127:AL1127)</f>
        <v>#VALUE!</v>
      </c>
      <c r="AN1127" s="446" t="e">
        <f>IF(OR($B1127="",MIN(AN$38,$D$19)&lt;MAX($P$708*($B1127+IF($R$17="Distrato",$I$38-1,0)),IF(AND($L$711=0,$P$708=0),"",$L$711-1),IF($R$17="Distrato",$E1127,0))),0,YEARFRAC(MAX($P$708*($B1127+IF($R$17="Distrato",$I$38-1,0)),IF(AND($L$711=0,$P$708=0),"",$L$711-1),IF($R$17="Distrato",$E1127,0)),MIN(AN$38,$D$19),$P$20))-SUM($P1127:AM1127)</f>
        <v>#VALUE!</v>
      </c>
      <c r="AO1127" s="446" t="e">
        <f>IF(OR($B1127="",MIN(AO$38,$D$19)&lt;MAX($P$708*($B1127+IF($R$17="Distrato",$I$38-1,0)),IF(AND($L$711=0,$P$708=0),"",$L$711-1),IF($R$17="Distrato",$E1127,0))),0,YEARFRAC(MAX($P$708*($B1127+IF($R$17="Distrato",$I$38-1,0)),IF(AND($L$711=0,$P$708=0),"",$L$711-1),IF($R$17="Distrato",$E1127,0)),MIN(AO$38,$D$19),$P$20))-SUM($P1127:AN1127)</f>
        <v>#VALUE!</v>
      </c>
      <c r="AP1127" s="446" t="e">
        <f>IF(OR($B1127="",MIN(AP$38,$D$19)&lt;MAX($P$708*($B1127+IF($R$17="Distrato",$I$38-1,0)),IF(AND($L$711=0,$P$708=0),"",$L$711-1),IF($R$17="Distrato",$E1127,0))),0,YEARFRAC(MAX($P$708*($B1127+IF($R$17="Distrato",$I$38-1,0)),IF(AND($L$711=0,$P$708=0),"",$L$711-1),IF($R$17="Distrato",$E1127,0)),MIN(AP$38,$D$19),$P$20))-SUM($P1127:AO1127)</f>
        <v>#VALUE!</v>
      </c>
      <c r="AQ1127" s="446" t="e">
        <f>IF(OR($B1127="",MIN(AQ$38,$D$19)&lt;MAX($P$708*($B1127+IF($R$17="Distrato",$I$38-1,0)),IF(AND($L$711=0,$P$708=0),"",$L$711-1),IF($R$17="Distrato",$E1127,0))),0,YEARFRAC(MAX($P$708*($B1127+IF($R$17="Distrato",$I$38-1,0)),IF(AND($L$711=0,$P$708=0),"",$L$711-1),IF($R$17="Distrato",$E1127,0)),MIN(AQ$38,$D$19),$P$20))-SUM($P1127:AP1127)</f>
        <v>#VALUE!</v>
      </c>
      <c r="AR1127" s="446" t="e">
        <f>IF(OR($B1127="",MIN(AR$38,$D$19)&lt;MAX($P$708*($B1127+IF($R$17="Distrato",$I$38-1,0)),IF(AND($L$711=0,$P$708=0),"",$L$711-1),IF($R$17="Distrato",$E1127,0))),0,YEARFRAC(MAX($P$708*($B1127+IF($R$17="Distrato",$I$38-1,0)),IF(AND($L$711=0,$P$708=0),"",$L$711-1),IF($R$17="Distrato",$E1127,0)),MIN(AR$38,$D$19),$P$20))-SUM($P1127:AQ1127)</f>
        <v>#VALUE!</v>
      </c>
      <c r="AS1127" s="446" t="e">
        <f>IF(OR($B1127="",MIN(AS$38,$D$19)&lt;MAX($P$708*($B1127+IF($R$17="Distrato",$I$38-1,0)),IF(AND($L$711=0,$P$708=0),"",$L$711-1),IF($R$17="Distrato",$E1127,0))),0,YEARFRAC(MAX($P$708*($B1127+IF($R$17="Distrato",$I$38-1,0)),IF(AND($L$711=0,$P$708=0),"",$L$711-1),IF($R$17="Distrato",$E1127,0)),MIN(AS$38,$D$19),$P$20))-SUM($P1127:AR1127)</f>
        <v>#VALUE!</v>
      </c>
      <c r="AT1127" s="446" t="e">
        <f>IF(OR($B1127="",MIN(AT$38,$D$19)&lt;MAX($P$708*($B1127+IF($R$17="Distrato",$I$38-1,0)),IF(AND($L$711=0,$P$708=0),"",$L$711-1),IF($R$17="Distrato",$E1127,0))),0,YEARFRAC(MAX($P$708*($B1127+IF($R$17="Distrato",$I$38-1,0)),IF(AND($L$711=0,$P$708=0),"",$L$711-1),IF($R$17="Distrato",$E1127,0)),MIN(AT$38,$D$19),$P$20))-SUM($P1127:AS1127)</f>
        <v>#VALUE!</v>
      </c>
      <c r="AU1127" s="446" t="e">
        <f>IF(OR($B1127="",MIN(AU$38,$D$19)&lt;MAX($P$708*($B1127+IF($R$17="Distrato",$I$38-1,0)),IF(AND($L$711=0,$P$708=0),"",$L$711-1),IF($R$17="Distrato",$E1127,0))),0,YEARFRAC(MAX($P$708*($B1127+IF($R$17="Distrato",$I$38-1,0)),IF(AND($L$711=0,$P$708=0),"",$L$711-1),IF($R$17="Distrato",$E1127,0)),MIN(AU$38,$D$19),$P$20))-SUM($P1127:AT1127)</f>
        <v>#VALUE!</v>
      </c>
      <c r="AV1127" s="446" t="e">
        <f>IF(OR($B1127="",MIN(AV$38,$D$19)&lt;MAX($P$708*($B1127+IF($R$17="Distrato",$I$38-1,0)),IF(AND($L$711=0,$P$708=0),"",$L$711-1),IF($R$17="Distrato",$E1127,0))),0,YEARFRAC(MAX($P$708*($B1127+IF($R$17="Distrato",$I$38-1,0)),IF(AND($L$711=0,$P$708=0),"",$L$711-1),IF($R$17="Distrato",$E1127,0)),MIN(AV$38,$D$19),$P$20))-SUM($P1127:AU1127)</f>
        <v>#VALUE!</v>
      </c>
      <c r="AW1127" s="446" t="e">
        <f>IF(OR($B1127="",MIN(AW$38,$D$19)&lt;MAX($P$708*($B1127+IF($R$17="Distrato",$I$38-1,0)),IF(AND($L$711=0,$P$708=0),"",$L$711-1),IF($R$17="Distrato",$E1127,0))),0,YEARFRAC(MAX($P$708*($B1127+IF($R$17="Distrato",$I$38-1,0)),IF(AND($L$711=0,$P$708=0),"",$L$711-1),IF($R$17="Distrato",$E1127,0)),MIN(AW$38,$D$19),$P$20))-SUM($P1127:AV1127)</f>
        <v>#VALUE!</v>
      </c>
      <c r="AX1127" s="446" t="e">
        <f>IF(OR($B1127="",MIN(AX$38,$D$19)&lt;MAX($P$708*($B1127+IF($R$17="Distrato",$I$38-1,0)),IF(AND($L$711=0,$P$708=0),"",$L$711-1),IF($R$17="Distrato",$E1127,0))),0,YEARFRAC(MAX($P$708*($B1127+IF($R$17="Distrato",$I$38-1,0)),IF(AND($L$711=0,$P$708=0),"",$L$711-1),IF($R$17="Distrato",$E1127,0)),MIN(AX$38,$D$19),$P$20))-SUM($P1127:AW1127)</f>
        <v>#VALUE!</v>
      </c>
      <c r="AY1127" s="446" t="e">
        <f>IF(OR($B1127="",MIN(AY$38,$D$19)&lt;MAX($P$708*($B1127+IF($R$17="Distrato",$I$38-1,0)),IF(AND($L$711=0,$P$708=0),"",$L$711-1),IF($R$17="Distrato",$E1127,0))),0,YEARFRAC(MAX($P$708*($B1127+IF($R$17="Distrato",$I$38-1,0)),IF(AND($L$711=0,$P$708=0),"",$L$711-1),IF($R$17="Distrato",$E1127,0)),MIN(AY$38,$D$19),$P$20))-SUM($P1127:AX1127)</f>
        <v>#VALUE!</v>
      </c>
      <c r="AZ1127" s="446" t="e">
        <f>IF(OR($B1127="",MIN(AZ$38,$D$19)&lt;MAX($P$708*($B1127+IF($R$17="Distrato",$I$38-1,0)),IF(AND($L$711=0,$P$708=0),"",$L$711-1),IF($R$17="Distrato",$E1127,0))),0,YEARFRAC(MAX($P$708*($B1127+IF($R$17="Distrato",$I$38-1,0)),IF(AND($L$711=0,$P$708=0),"",$L$711-1),IF($R$17="Distrato",$E1127,0)),MIN(AZ$38,$D$19),$P$20))-SUM($P1127:AY1127)</f>
        <v>#VALUE!</v>
      </c>
      <c r="BA1127" s="446" t="e">
        <f>IF(OR($B1127="",MIN(BA$38,$D$19)&lt;MAX($P$708*($B1127+IF($R$17="Distrato",$I$38-1,0)),IF(AND($L$711=0,$P$708=0),"",$L$711-1),IF($R$17="Distrato",$E1127,0))),0,YEARFRAC(MAX($P$708*($B1127+IF($R$17="Distrato",$I$38-1,0)),IF(AND($L$711=0,$P$708=0),"",$L$711-1),IF($R$17="Distrato",$E1127,0)),MIN(BA$38,$D$19),$P$20))-SUM($P1127:AZ1127)</f>
        <v>#VALUE!</v>
      </c>
      <c r="BB1127" s="447"/>
    </row>
    <row r="1128" spans="1:54" s="446" customFormat="1" ht="11.25" hidden="1" customHeight="1" x14ac:dyDescent="0.2">
      <c r="A1128" s="235"/>
      <c r="B1128" s="236"/>
      <c r="C1128" s="29" t="str">
        <f>IF(B1128="","",IF($L$709=$BL$25,VLOOKUP(DATE(YEAR($D$19),MONTH($D$19)-1,1),ÍNDICES!$A:$DE,HLOOKUP($BL$25,ÍNDICES!$B$3:$T$4,2)+11)-VLOOKUP(B1128,ÍNDICES!$A:$DE,HLOOKUP($BL$25,ÍNDICES!$B$3:$T$4,2)+11)+1%,IF(C$712=$W$26,$J$35,IF(ISERROR(IF(B1128&gt;$D$19,1,VLOOKUP(DATE(YEAR(B1128),MONTH(B1128)+IF($C$709=$S$23,1,0),1),ÍNDICES!$A:$DE,$Z$709+1))),"",IF(B1128&gt;$D$19,1,VLOOKUP(DATE(YEAR(B1128),MONTH(B1128)+IF($C$709=$S$23,1,0),1),ÍNDICES!$A:$DE,$Z$709+1))))))</f>
        <v/>
      </c>
      <c r="D1128" s="155"/>
      <c r="E1128" s="88"/>
      <c r="F1128" s="88"/>
      <c r="G1128" s="88"/>
      <c r="H1128" s="118"/>
      <c r="I1128" s="182">
        <f t="shared" si="157"/>
        <v>0</v>
      </c>
      <c r="J1128" s="20">
        <f t="shared" ca="1" si="158"/>
        <v>0</v>
      </c>
      <c r="K1128" s="5">
        <f t="shared" ca="1" si="159"/>
        <v>0</v>
      </c>
      <c r="L1128" s="61">
        <f t="shared" ca="1" si="160"/>
        <v>0</v>
      </c>
      <c r="M1128" s="64">
        <f t="shared" si="161"/>
        <v>0</v>
      </c>
      <c r="N1128" s="151"/>
      <c r="O1128" s="5">
        <f t="shared" ca="1" si="162"/>
        <v>0</v>
      </c>
      <c r="P1128" s="446" t="e">
        <f t="shared" si="163"/>
        <v>#VALUE!</v>
      </c>
      <c r="Q1128" s="446" t="e">
        <f>IF(OR($B1128="",MIN(Q$38,$D$19)&lt;MAX($P$708*($B1128+IF($R$17="Distrato",$I$38-1,0)),IF(AND($L$711=0,$P$708=0),"",$L$711-1),IF($R$17="Distrato",$E1128,0))),0,YEARFRAC(MAX($P$708*($B1128+IF($R$17="Distrato",$I$38-1,0)),IF(AND($L$711=0,$P$708=0),"",$L$711-1),IF($R$17="Distrato",$E1128,0)),MIN(Q$38,$D$19),$P$20))-SUM($P1128:P1128)</f>
        <v>#VALUE!</v>
      </c>
      <c r="R1128" s="446" t="e">
        <f>IF(OR($B1128="",MIN(R$38,$D$19)&lt;MAX($P$708*($B1128+IF($R$17="Distrato",$I$38-1,0)),IF(AND($L$711=0,$P$708=0),"",$L$711-1),IF($R$17="Distrato",$E1128,0))),0,YEARFRAC(MAX($P$708*($B1128+IF($R$17="Distrato",$I$38-1,0)),IF(AND($L$711=0,$P$708=0),"",$L$711-1),IF($R$17="Distrato",$E1128,0)),MIN(R$38,$D$19),$P$20))-SUM($P1128:Q1128)</f>
        <v>#VALUE!</v>
      </c>
      <c r="S1128" s="446" t="e">
        <f>IF(OR($B1128="",MIN(S$38,$D$19)&lt;MAX($P$708*($B1128+IF($R$17="Distrato",$I$38-1,0)),IF(AND($L$711=0,$P$708=0),"",$L$711-1),IF($R$17="Distrato",$E1128,0))),0,YEARFRAC(MAX($P$708*($B1128+IF($R$17="Distrato",$I$38-1,0)),IF(AND($L$711=0,$P$708=0),"",$L$711-1),IF($R$17="Distrato",$E1128,0)),MIN(S$38,$D$19),$P$20))-SUM($P1128:R1128)</f>
        <v>#VALUE!</v>
      </c>
      <c r="T1128" s="446" t="e">
        <f>IF(OR($B1128="",MIN(T$38,$D$19)&lt;MAX($P$708*($B1128+IF($R$17="Distrato",$I$38-1,0)),IF(AND($L$711=0,$P$708=0),"",$L$711-1),IF($R$17="Distrato",$E1128,0))),0,YEARFRAC(MAX($P$708*($B1128+IF($R$17="Distrato",$I$38-1,0)),IF(AND($L$711=0,$P$708=0),"",$L$711-1),IF($R$17="Distrato",$E1128,0)),MIN(T$38,$D$19),$P$20))-SUM($P1128:S1128)</f>
        <v>#VALUE!</v>
      </c>
      <c r="U1128" s="446" t="e">
        <f>IF(OR($B1128="",MIN(U$38,$D$19)&lt;MAX($P$708*($B1128+IF($R$17="Distrato",$I$38-1,0)),IF(AND($L$711=0,$P$708=0),"",$L$711-1),IF($R$17="Distrato",$E1128,0))),0,YEARFRAC(MAX($P$708*($B1128+IF($R$17="Distrato",$I$38-1,0)),IF(AND($L$711=0,$P$708=0),"",$L$711-1),IF($R$17="Distrato",$E1128,0)),MIN(U$38,$D$19),$P$20))-SUM($P1128:T1128)</f>
        <v>#VALUE!</v>
      </c>
      <c r="V1128" s="446" t="e">
        <f>IF(OR($B1128="",MIN(V$38,$D$19)&lt;MAX($P$708*($B1128+IF($R$17="Distrato",$I$38-1,0)),IF(AND($L$711=0,$P$708=0),"",$L$711-1),IF($R$17="Distrato",$E1128,0))),0,YEARFRAC(MAX($P$708*($B1128+IF($R$17="Distrato",$I$38-1,0)),IF(AND($L$711=0,$P$708=0),"",$L$711-1),IF($R$17="Distrato",$E1128,0)),MIN(V$38,$D$19),$P$20))-SUM($P1128:U1128)</f>
        <v>#VALUE!</v>
      </c>
      <c r="W1128" s="446" t="e">
        <f>IF(OR($B1128="",MIN(W$38,$D$19)&lt;MAX($P$708*($B1128+IF($R$17="Distrato",$I$38-1,0)),IF(AND($L$711=0,$P$708=0),"",$L$711-1),IF($R$17="Distrato",$E1128,0))),0,YEARFRAC(MAX($P$708*($B1128+IF($R$17="Distrato",$I$38-1,0)),IF(AND($L$711=0,$P$708=0),"",$L$711-1),IF($R$17="Distrato",$E1128,0)),MIN(W$38,$D$19),$P$20))-SUM($P1128:V1128)</f>
        <v>#VALUE!</v>
      </c>
      <c r="X1128" s="446" t="e">
        <f>IF(OR($B1128="",MIN(X$38,$D$19)&lt;MAX($P$708*($B1128+IF($R$17="Distrato",$I$38-1,0)),IF(AND($L$711=0,$P$708=0),"",$L$711-1),IF($R$17="Distrato",$E1128,0))),0,YEARFRAC(MAX($P$708*($B1128+IF($R$17="Distrato",$I$38-1,0)),IF(AND($L$711=0,$P$708=0),"",$L$711-1),IF($R$17="Distrato",$E1128,0)),MIN(X$38,$D$19),$P$20))-SUM($P1128:W1128)</f>
        <v>#VALUE!</v>
      </c>
      <c r="Y1128" s="446" t="e">
        <f>IF(OR($B1128="",MIN(Y$38,$D$19)&lt;MAX($P$708*($B1128+IF($R$17="Distrato",$I$38-1,0)),IF(AND($L$711=0,$P$708=0),"",$L$711-1),IF($R$17="Distrato",$E1128,0))),0,YEARFRAC(MAX($P$708*($B1128+IF($R$17="Distrato",$I$38-1,0)),IF(AND($L$711=0,$P$708=0),"",$L$711-1),IF($R$17="Distrato",$E1128,0)),MIN(Y$38,$D$19),$P$20))-SUM($P1128:X1128)</f>
        <v>#VALUE!</v>
      </c>
      <c r="Z1128" s="446" t="e">
        <f>IF(OR($B1128="",MIN(Z$38,$D$19)&lt;MAX($P$708*($B1128+IF($R$17="Distrato",$I$38-1,0)),IF(AND($L$711=0,$P$708=0),"",$L$711-1),IF($R$17="Distrato",$E1128,0))),0,YEARFRAC(MAX($P$708*($B1128+IF($R$17="Distrato",$I$38-1,0)),IF(AND($L$711=0,$P$708=0),"",$L$711-1),IF($R$17="Distrato",$E1128,0)),MIN(Z$38,$D$19),$P$20))-SUM($P1128:Y1128)</f>
        <v>#VALUE!</v>
      </c>
      <c r="AA1128" s="446" t="e">
        <f>IF(OR($B1128="",MIN(AA$38,$D$19)&lt;MAX($P$708*($B1128+IF($R$17="Distrato",$I$38-1,0)),IF(AND($L$711=0,$P$708=0),"",$L$711-1),IF($R$17="Distrato",$E1128,0))),0,YEARFRAC(MAX($P$708*($B1128+IF($R$17="Distrato",$I$38-1,0)),IF(AND($L$711=0,$P$708=0),"",$L$711-1),IF($R$17="Distrato",$E1128,0)),MIN(AA$38,$D$19),$P$20))-SUM($P1128:Z1128)</f>
        <v>#VALUE!</v>
      </c>
      <c r="AB1128" s="446" t="e">
        <f>IF(OR($B1128="",MIN(AB$38,$D$19)&lt;MAX($P$708*($B1128+IF($R$17="Distrato",$I$38-1,0)),IF(AND($L$711=0,$P$708=0),"",$L$711-1),IF($R$17="Distrato",$E1128,0))),0,YEARFRAC(MAX($P$708*($B1128+IF($R$17="Distrato",$I$38-1,0)),IF(AND($L$711=0,$P$708=0),"",$L$711-1),IF($R$17="Distrato",$E1128,0)),MIN(AB$38,$D$19),$P$20))-SUM($P1128:AA1128)</f>
        <v>#VALUE!</v>
      </c>
      <c r="AC1128" s="446" t="e">
        <f>IF(OR($B1128="",MIN(AC$38,$D$19)&lt;MAX($P$708*($B1128+IF($R$17="Distrato",$I$38-1,0)),IF(AND($L$711=0,$P$708=0),"",$L$711-1),IF($R$17="Distrato",$E1128,0))),0,YEARFRAC(MAX($P$708*($B1128+IF($R$17="Distrato",$I$38-1,0)),IF(AND($L$711=0,$P$708=0),"",$L$711-1),IF($R$17="Distrato",$E1128,0)),MIN(AC$38,$D$19),$P$20))-SUM($P1128:AB1128)</f>
        <v>#VALUE!</v>
      </c>
      <c r="AD1128" s="446" t="e">
        <f>IF(OR($B1128="",MIN(AD$38,$D$19)&lt;MAX($P$708*($B1128+IF($R$17="Distrato",$I$38-1,0)),IF(AND($L$711=0,$P$708=0),"",$L$711-1),IF($R$17="Distrato",$E1128,0))),0,YEARFRAC(MAX($P$708*($B1128+IF($R$17="Distrato",$I$38-1,0)),IF(AND($L$711=0,$P$708=0),"",$L$711-1),IF($R$17="Distrato",$E1128,0)),MIN(AD$38,$D$19),$P$20))-SUM($P1128:AC1128)</f>
        <v>#VALUE!</v>
      </c>
      <c r="AE1128" s="446" t="e">
        <f>IF(OR($B1128="",MIN(AE$38,$D$19)&lt;MAX($P$708*($B1128+IF($R$17="Distrato",$I$38-1,0)),IF(AND($L$711=0,$P$708=0),"",$L$711-1),IF($R$17="Distrato",$E1128,0))),0,YEARFRAC(MAX($P$708*($B1128+IF($R$17="Distrato",$I$38-1,0)),IF(AND($L$711=0,$P$708=0),"",$L$711-1),IF($R$17="Distrato",$E1128,0)),MIN(AE$38,$D$19),$P$20))-SUM($P1128:AD1128)</f>
        <v>#VALUE!</v>
      </c>
      <c r="AF1128" s="446" t="e">
        <f>IF(OR($B1128="",MIN(AF$38,$D$19)&lt;MAX($P$708*($B1128+IF($R$17="Distrato",$I$38-1,0)),IF(AND($L$711=0,$P$708=0),"",$L$711-1),IF($R$17="Distrato",$E1128,0))),0,YEARFRAC(MAX($P$708*($B1128+IF($R$17="Distrato",$I$38-1,0)),IF(AND($L$711=0,$P$708=0),"",$L$711-1),IF($R$17="Distrato",$E1128,0)),MIN(AF$38,$D$19),$P$20))-SUM($P1128:AE1128)</f>
        <v>#VALUE!</v>
      </c>
      <c r="AG1128" s="446" t="e">
        <f>IF(OR($B1128="",MIN(AG$38,$D$19)&lt;MAX($P$708*($B1128+IF($R$17="Distrato",$I$38-1,0)),IF(AND($L$711=0,$P$708=0),"",$L$711-1),IF($R$17="Distrato",$E1128,0))),0,YEARFRAC(MAX($P$708*($B1128+IF($R$17="Distrato",$I$38-1,0)),IF(AND($L$711=0,$P$708=0),"",$L$711-1),IF($R$17="Distrato",$E1128,0)),MIN(AG$38,$D$19),$P$20))-SUM($P1128:AF1128)</f>
        <v>#VALUE!</v>
      </c>
      <c r="AH1128" s="446" t="e">
        <f>IF(OR($B1128="",MIN(AH$38,$D$19)&lt;MAX($P$708*($B1128+IF($R$17="Distrato",$I$38-1,0)),IF(AND($L$711=0,$P$708=0),"",$L$711-1),IF($R$17="Distrato",$E1128,0))),0,YEARFRAC(MAX($P$708*($B1128+IF($R$17="Distrato",$I$38-1,0)),IF(AND($L$711=0,$P$708=0),"",$L$711-1),IF($R$17="Distrato",$E1128,0)),MIN(AH$38,$D$19),$P$20))-SUM($P1128:AG1128)</f>
        <v>#VALUE!</v>
      </c>
      <c r="AI1128" s="446" t="e">
        <f>IF(OR($B1128="",MIN(AI$38,$D$19)&lt;MAX($P$708*($B1128+IF($R$17="Distrato",$I$38-1,0)),IF(AND($L$711=0,$P$708=0),"",$L$711-1),IF($R$17="Distrato",$E1128,0))),0,YEARFRAC(MAX($P$708*($B1128+IF($R$17="Distrato",$I$38-1,0)),IF(AND($L$711=0,$P$708=0),"",$L$711-1),IF($R$17="Distrato",$E1128,0)),MIN(AI$38,$D$19),$P$20))-SUM($P1128:AH1128)</f>
        <v>#VALUE!</v>
      </c>
      <c r="AJ1128" s="446" t="e">
        <f>IF(OR($B1128="",MIN(AJ$38,$D$19)&lt;MAX($P$708*($B1128+IF($R$17="Distrato",$I$38-1,0)),IF(AND($L$711=0,$P$708=0),"",$L$711-1),IF($R$17="Distrato",$E1128,0))),0,YEARFRAC(MAX($P$708*($B1128+IF($R$17="Distrato",$I$38-1,0)),IF(AND($L$711=0,$P$708=0),"",$L$711-1),IF($R$17="Distrato",$E1128,0)),MIN(AJ$38,$D$19),$P$20))-SUM($P1128:AI1128)</f>
        <v>#VALUE!</v>
      </c>
      <c r="AK1128" s="446" t="e">
        <f>IF(OR($B1128="",MIN(AK$38,$D$19)&lt;MAX($P$708*($B1128+IF($R$17="Distrato",$I$38-1,0)),IF(AND($L$711=0,$P$708=0),"",$L$711-1),IF($R$17="Distrato",$E1128,0))),0,YEARFRAC(MAX($P$708*($B1128+IF($R$17="Distrato",$I$38-1,0)),IF(AND($L$711=0,$P$708=0),"",$L$711-1),IF($R$17="Distrato",$E1128,0)),MIN(AK$38,$D$19),$P$20))-SUM($P1128:AJ1128)</f>
        <v>#VALUE!</v>
      </c>
      <c r="AL1128" s="446" t="e">
        <f>IF(OR($B1128="",MIN(AL$38,$D$19)&lt;MAX($P$708*($B1128+IF($R$17="Distrato",$I$38-1,0)),IF(AND($L$711=0,$P$708=0),"",$L$711-1),IF($R$17="Distrato",$E1128,0))),0,YEARFRAC(MAX($P$708*($B1128+IF($R$17="Distrato",$I$38-1,0)),IF(AND($L$711=0,$P$708=0),"",$L$711-1),IF($R$17="Distrato",$E1128,0)),MIN(AL$38,$D$19),$P$20))-SUM($P1128:AK1128)</f>
        <v>#VALUE!</v>
      </c>
      <c r="AM1128" s="446" t="e">
        <f>IF(OR($B1128="",MIN(AM$38,$D$19)&lt;MAX($P$708*($B1128+IF($R$17="Distrato",$I$38-1,0)),IF(AND($L$711=0,$P$708=0),"",$L$711-1),IF($R$17="Distrato",$E1128,0))),0,YEARFRAC(MAX($P$708*($B1128+IF($R$17="Distrato",$I$38-1,0)),IF(AND($L$711=0,$P$708=0),"",$L$711-1),IF($R$17="Distrato",$E1128,0)),MIN(AM$38,$D$19),$P$20))-SUM($P1128:AL1128)</f>
        <v>#VALUE!</v>
      </c>
      <c r="AN1128" s="446" t="e">
        <f>IF(OR($B1128="",MIN(AN$38,$D$19)&lt;MAX($P$708*($B1128+IF($R$17="Distrato",$I$38-1,0)),IF(AND($L$711=0,$P$708=0),"",$L$711-1),IF($R$17="Distrato",$E1128,0))),0,YEARFRAC(MAX($P$708*($B1128+IF($R$17="Distrato",$I$38-1,0)),IF(AND($L$711=0,$P$708=0),"",$L$711-1),IF($R$17="Distrato",$E1128,0)),MIN(AN$38,$D$19),$P$20))-SUM($P1128:AM1128)</f>
        <v>#VALUE!</v>
      </c>
      <c r="AO1128" s="446" t="e">
        <f>IF(OR($B1128="",MIN(AO$38,$D$19)&lt;MAX($P$708*($B1128+IF($R$17="Distrato",$I$38-1,0)),IF(AND($L$711=0,$P$708=0),"",$L$711-1),IF($R$17="Distrato",$E1128,0))),0,YEARFRAC(MAX($P$708*($B1128+IF($R$17="Distrato",$I$38-1,0)),IF(AND($L$711=0,$P$708=0),"",$L$711-1),IF($R$17="Distrato",$E1128,0)),MIN(AO$38,$D$19),$P$20))-SUM($P1128:AN1128)</f>
        <v>#VALUE!</v>
      </c>
      <c r="AP1128" s="446" t="e">
        <f>IF(OR($B1128="",MIN(AP$38,$D$19)&lt;MAX($P$708*($B1128+IF($R$17="Distrato",$I$38-1,0)),IF(AND($L$711=0,$P$708=0),"",$L$711-1),IF($R$17="Distrato",$E1128,0))),0,YEARFRAC(MAX($P$708*($B1128+IF($R$17="Distrato",$I$38-1,0)),IF(AND($L$711=0,$P$708=0),"",$L$711-1),IF($R$17="Distrato",$E1128,0)),MIN(AP$38,$D$19),$P$20))-SUM($P1128:AO1128)</f>
        <v>#VALUE!</v>
      </c>
      <c r="AQ1128" s="446" t="e">
        <f>IF(OR($B1128="",MIN(AQ$38,$D$19)&lt;MAX($P$708*($B1128+IF($R$17="Distrato",$I$38-1,0)),IF(AND($L$711=0,$P$708=0),"",$L$711-1),IF($R$17="Distrato",$E1128,0))),0,YEARFRAC(MAX($P$708*($B1128+IF($R$17="Distrato",$I$38-1,0)),IF(AND($L$711=0,$P$708=0),"",$L$711-1),IF($R$17="Distrato",$E1128,0)),MIN(AQ$38,$D$19),$P$20))-SUM($P1128:AP1128)</f>
        <v>#VALUE!</v>
      </c>
      <c r="AR1128" s="446" t="e">
        <f>IF(OR($B1128="",MIN(AR$38,$D$19)&lt;MAX($P$708*($B1128+IF($R$17="Distrato",$I$38-1,0)),IF(AND($L$711=0,$P$708=0),"",$L$711-1),IF($R$17="Distrato",$E1128,0))),0,YEARFRAC(MAX($P$708*($B1128+IF($R$17="Distrato",$I$38-1,0)),IF(AND($L$711=0,$P$708=0),"",$L$711-1),IF($R$17="Distrato",$E1128,0)),MIN(AR$38,$D$19),$P$20))-SUM($P1128:AQ1128)</f>
        <v>#VALUE!</v>
      </c>
      <c r="AS1128" s="446" t="e">
        <f>IF(OR($B1128="",MIN(AS$38,$D$19)&lt;MAX($P$708*($B1128+IF($R$17="Distrato",$I$38-1,0)),IF(AND($L$711=0,$P$708=0),"",$L$711-1),IF($R$17="Distrato",$E1128,0))),0,YEARFRAC(MAX($P$708*($B1128+IF($R$17="Distrato",$I$38-1,0)),IF(AND($L$711=0,$P$708=0),"",$L$711-1),IF($R$17="Distrato",$E1128,0)),MIN(AS$38,$D$19),$P$20))-SUM($P1128:AR1128)</f>
        <v>#VALUE!</v>
      </c>
      <c r="AT1128" s="446" t="e">
        <f>IF(OR($B1128="",MIN(AT$38,$D$19)&lt;MAX($P$708*($B1128+IF($R$17="Distrato",$I$38-1,0)),IF(AND($L$711=0,$P$708=0),"",$L$711-1),IF($R$17="Distrato",$E1128,0))),0,YEARFRAC(MAX($P$708*($B1128+IF($R$17="Distrato",$I$38-1,0)),IF(AND($L$711=0,$P$708=0),"",$L$711-1),IF($R$17="Distrato",$E1128,0)),MIN(AT$38,$D$19),$P$20))-SUM($P1128:AS1128)</f>
        <v>#VALUE!</v>
      </c>
      <c r="AU1128" s="446" t="e">
        <f>IF(OR($B1128="",MIN(AU$38,$D$19)&lt;MAX($P$708*($B1128+IF($R$17="Distrato",$I$38-1,0)),IF(AND($L$711=0,$P$708=0),"",$L$711-1),IF($R$17="Distrato",$E1128,0))),0,YEARFRAC(MAX($P$708*($B1128+IF($R$17="Distrato",$I$38-1,0)),IF(AND($L$711=0,$P$708=0),"",$L$711-1),IF($R$17="Distrato",$E1128,0)),MIN(AU$38,$D$19),$P$20))-SUM($P1128:AT1128)</f>
        <v>#VALUE!</v>
      </c>
      <c r="AV1128" s="446" t="e">
        <f>IF(OR($B1128="",MIN(AV$38,$D$19)&lt;MAX($P$708*($B1128+IF($R$17="Distrato",$I$38-1,0)),IF(AND($L$711=0,$P$708=0),"",$L$711-1),IF($R$17="Distrato",$E1128,0))),0,YEARFRAC(MAX($P$708*($B1128+IF($R$17="Distrato",$I$38-1,0)),IF(AND($L$711=0,$P$708=0),"",$L$711-1),IF($R$17="Distrato",$E1128,0)),MIN(AV$38,$D$19),$P$20))-SUM($P1128:AU1128)</f>
        <v>#VALUE!</v>
      </c>
      <c r="AW1128" s="446" t="e">
        <f>IF(OR($B1128="",MIN(AW$38,$D$19)&lt;MAX($P$708*($B1128+IF($R$17="Distrato",$I$38-1,0)),IF(AND($L$711=0,$P$708=0),"",$L$711-1),IF($R$17="Distrato",$E1128,0))),0,YEARFRAC(MAX($P$708*($B1128+IF($R$17="Distrato",$I$38-1,0)),IF(AND($L$711=0,$P$708=0),"",$L$711-1),IF($R$17="Distrato",$E1128,0)),MIN(AW$38,$D$19),$P$20))-SUM($P1128:AV1128)</f>
        <v>#VALUE!</v>
      </c>
      <c r="AX1128" s="446" t="e">
        <f>IF(OR($B1128="",MIN(AX$38,$D$19)&lt;MAX($P$708*($B1128+IF($R$17="Distrato",$I$38-1,0)),IF(AND($L$711=0,$P$708=0),"",$L$711-1),IF($R$17="Distrato",$E1128,0))),0,YEARFRAC(MAX($P$708*($B1128+IF($R$17="Distrato",$I$38-1,0)),IF(AND($L$711=0,$P$708=0),"",$L$711-1),IF($R$17="Distrato",$E1128,0)),MIN(AX$38,$D$19),$P$20))-SUM($P1128:AW1128)</f>
        <v>#VALUE!</v>
      </c>
      <c r="AY1128" s="446" t="e">
        <f>IF(OR($B1128="",MIN(AY$38,$D$19)&lt;MAX($P$708*($B1128+IF($R$17="Distrato",$I$38-1,0)),IF(AND($L$711=0,$P$708=0),"",$L$711-1),IF($R$17="Distrato",$E1128,0))),0,YEARFRAC(MAX($P$708*($B1128+IF($R$17="Distrato",$I$38-1,0)),IF(AND($L$711=0,$P$708=0),"",$L$711-1),IF($R$17="Distrato",$E1128,0)),MIN(AY$38,$D$19),$P$20))-SUM($P1128:AX1128)</f>
        <v>#VALUE!</v>
      </c>
      <c r="AZ1128" s="446" t="e">
        <f>IF(OR($B1128="",MIN(AZ$38,$D$19)&lt;MAX($P$708*($B1128+IF($R$17="Distrato",$I$38-1,0)),IF(AND($L$711=0,$P$708=0),"",$L$711-1),IF($R$17="Distrato",$E1128,0))),0,YEARFRAC(MAX($P$708*($B1128+IF($R$17="Distrato",$I$38-1,0)),IF(AND($L$711=0,$P$708=0),"",$L$711-1),IF($R$17="Distrato",$E1128,0)),MIN(AZ$38,$D$19),$P$20))-SUM($P1128:AY1128)</f>
        <v>#VALUE!</v>
      </c>
      <c r="BA1128" s="446" t="e">
        <f>IF(OR($B1128="",MIN(BA$38,$D$19)&lt;MAX($P$708*($B1128+IF($R$17="Distrato",$I$38-1,0)),IF(AND($L$711=0,$P$708=0),"",$L$711-1),IF($R$17="Distrato",$E1128,0))),0,YEARFRAC(MAX($P$708*($B1128+IF($R$17="Distrato",$I$38-1,0)),IF(AND($L$711=0,$P$708=0),"",$L$711-1),IF($R$17="Distrato",$E1128,0)),MIN(BA$38,$D$19),$P$20))-SUM($P1128:AZ1128)</f>
        <v>#VALUE!</v>
      </c>
      <c r="BB1128" s="447"/>
    </row>
    <row r="1129" spans="1:54" s="446" customFormat="1" ht="11.25" hidden="1" customHeight="1" x14ac:dyDescent="0.2">
      <c r="A1129" s="235"/>
      <c r="B1129" s="236"/>
      <c r="C1129" s="29" t="str">
        <f>IF(B1129="","",IF($L$709=$BL$25,VLOOKUP(DATE(YEAR($D$19),MONTH($D$19)-1,1),ÍNDICES!$A:$DE,HLOOKUP($BL$25,ÍNDICES!$B$3:$T$4,2)+11)-VLOOKUP(B1129,ÍNDICES!$A:$DE,HLOOKUP($BL$25,ÍNDICES!$B$3:$T$4,2)+11)+1%,IF(C$712=$W$26,$J$35,IF(ISERROR(IF(B1129&gt;$D$19,1,VLOOKUP(DATE(YEAR(B1129),MONTH(B1129)+IF($C$709=$S$23,1,0),1),ÍNDICES!$A:$DE,$Z$709+1))),"",IF(B1129&gt;$D$19,1,VLOOKUP(DATE(YEAR(B1129),MONTH(B1129)+IF($C$709=$S$23,1,0),1),ÍNDICES!$A:$DE,$Z$709+1))))))</f>
        <v/>
      </c>
      <c r="D1129" s="155"/>
      <c r="E1129" s="88"/>
      <c r="F1129" s="88"/>
      <c r="G1129" s="88"/>
      <c r="H1129" s="118"/>
      <c r="I1129" s="182">
        <f t="shared" si="157"/>
        <v>0</v>
      </c>
      <c r="J1129" s="20">
        <f t="shared" ca="1" si="158"/>
        <v>0</v>
      </c>
      <c r="K1129" s="5">
        <f t="shared" ca="1" si="159"/>
        <v>0</v>
      </c>
      <c r="L1129" s="61">
        <f t="shared" ca="1" si="160"/>
        <v>0</v>
      </c>
      <c r="M1129" s="64">
        <f t="shared" si="161"/>
        <v>0</v>
      </c>
      <c r="N1129" s="151"/>
      <c r="O1129" s="5">
        <f t="shared" ca="1" si="162"/>
        <v>0</v>
      </c>
      <c r="P1129" s="446" t="e">
        <f t="shared" si="163"/>
        <v>#VALUE!</v>
      </c>
      <c r="Q1129" s="446" t="e">
        <f>IF(OR($B1129="",MIN(Q$38,$D$19)&lt;MAX($P$708*($B1129+IF($R$17="Distrato",$I$38-1,0)),IF(AND($L$711=0,$P$708=0),"",$L$711-1),IF($R$17="Distrato",$E1129,0))),0,YEARFRAC(MAX($P$708*($B1129+IF($R$17="Distrato",$I$38-1,0)),IF(AND($L$711=0,$P$708=0),"",$L$711-1),IF($R$17="Distrato",$E1129,0)),MIN(Q$38,$D$19),$P$20))-SUM($P1129:P1129)</f>
        <v>#VALUE!</v>
      </c>
      <c r="R1129" s="446" t="e">
        <f>IF(OR($B1129="",MIN(R$38,$D$19)&lt;MAX($P$708*($B1129+IF($R$17="Distrato",$I$38-1,0)),IF(AND($L$711=0,$P$708=0),"",$L$711-1),IF($R$17="Distrato",$E1129,0))),0,YEARFRAC(MAX($P$708*($B1129+IF($R$17="Distrato",$I$38-1,0)),IF(AND($L$711=0,$P$708=0),"",$L$711-1),IF($R$17="Distrato",$E1129,0)),MIN(R$38,$D$19),$P$20))-SUM($P1129:Q1129)</f>
        <v>#VALUE!</v>
      </c>
      <c r="S1129" s="446" t="e">
        <f>IF(OR($B1129="",MIN(S$38,$D$19)&lt;MAX($P$708*($B1129+IF($R$17="Distrato",$I$38-1,0)),IF(AND($L$711=0,$P$708=0),"",$L$711-1),IF($R$17="Distrato",$E1129,0))),0,YEARFRAC(MAX($P$708*($B1129+IF($R$17="Distrato",$I$38-1,0)),IF(AND($L$711=0,$P$708=0),"",$L$711-1),IF($R$17="Distrato",$E1129,0)),MIN(S$38,$D$19),$P$20))-SUM($P1129:R1129)</f>
        <v>#VALUE!</v>
      </c>
      <c r="T1129" s="446" t="e">
        <f>IF(OR($B1129="",MIN(T$38,$D$19)&lt;MAX($P$708*($B1129+IF($R$17="Distrato",$I$38-1,0)),IF(AND($L$711=0,$P$708=0),"",$L$711-1),IF($R$17="Distrato",$E1129,0))),0,YEARFRAC(MAX($P$708*($B1129+IF($R$17="Distrato",$I$38-1,0)),IF(AND($L$711=0,$P$708=0),"",$L$711-1),IF($R$17="Distrato",$E1129,0)),MIN(T$38,$D$19),$P$20))-SUM($P1129:S1129)</f>
        <v>#VALUE!</v>
      </c>
      <c r="U1129" s="446" t="e">
        <f>IF(OR($B1129="",MIN(U$38,$D$19)&lt;MAX($P$708*($B1129+IF($R$17="Distrato",$I$38-1,0)),IF(AND($L$711=0,$P$708=0),"",$L$711-1),IF($R$17="Distrato",$E1129,0))),0,YEARFRAC(MAX($P$708*($B1129+IF($R$17="Distrato",$I$38-1,0)),IF(AND($L$711=0,$P$708=0),"",$L$711-1),IF($R$17="Distrato",$E1129,0)),MIN(U$38,$D$19),$P$20))-SUM($P1129:T1129)</f>
        <v>#VALUE!</v>
      </c>
      <c r="V1129" s="446" t="e">
        <f>IF(OR($B1129="",MIN(V$38,$D$19)&lt;MAX($P$708*($B1129+IF($R$17="Distrato",$I$38-1,0)),IF(AND($L$711=0,$P$708=0),"",$L$711-1),IF($R$17="Distrato",$E1129,0))),0,YEARFRAC(MAX($P$708*($B1129+IF($R$17="Distrato",$I$38-1,0)),IF(AND($L$711=0,$P$708=0),"",$L$711-1),IF($R$17="Distrato",$E1129,0)),MIN(V$38,$D$19),$P$20))-SUM($P1129:U1129)</f>
        <v>#VALUE!</v>
      </c>
      <c r="W1129" s="446" t="e">
        <f>IF(OR($B1129="",MIN(W$38,$D$19)&lt;MAX($P$708*($B1129+IF($R$17="Distrato",$I$38-1,0)),IF(AND($L$711=0,$P$708=0),"",$L$711-1),IF($R$17="Distrato",$E1129,0))),0,YEARFRAC(MAX($P$708*($B1129+IF($R$17="Distrato",$I$38-1,0)),IF(AND($L$711=0,$P$708=0),"",$L$711-1),IF($R$17="Distrato",$E1129,0)),MIN(W$38,$D$19),$P$20))-SUM($P1129:V1129)</f>
        <v>#VALUE!</v>
      </c>
      <c r="X1129" s="446" t="e">
        <f>IF(OR($B1129="",MIN(X$38,$D$19)&lt;MAX($P$708*($B1129+IF($R$17="Distrato",$I$38-1,0)),IF(AND($L$711=0,$P$708=0),"",$L$711-1),IF($R$17="Distrato",$E1129,0))),0,YEARFRAC(MAX($P$708*($B1129+IF($R$17="Distrato",$I$38-1,0)),IF(AND($L$711=0,$P$708=0),"",$L$711-1),IF($R$17="Distrato",$E1129,0)),MIN(X$38,$D$19),$P$20))-SUM($P1129:W1129)</f>
        <v>#VALUE!</v>
      </c>
      <c r="Y1129" s="446" t="e">
        <f>IF(OR($B1129="",MIN(Y$38,$D$19)&lt;MAX($P$708*($B1129+IF($R$17="Distrato",$I$38-1,0)),IF(AND($L$711=0,$P$708=0),"",$L$711-1),IF($R$17="Distrato",$E1129,0))),0,YEARFRAC(MAX($P$708*($B1129+IF($R$17="Distrato",$I$38-1,0)),IF(AND($L$711=0,$P$708=0),"",$L$711-1),IF($R$17="Distrato",$E1129,0)),MIN(Y$38,$D$19),$P$20))-SUM($P1129:X1129)</f>
        <v>#VALUE!</v>
      </c>
      <c r="Z1129" s="446" t="e">
        <f>IF(OR($B1129="",MIN(Z$38,$D$19)&lt;MAX($P$708*($B1129+IF($R$17="Distrato",$I$38-1,0)),IF(AND($L$711=0,$P$708=0),"",$L$711-1),IF($R$17="Distrato",$E1129,0))),0,YEARFRAC(MAX($P$708*($B1129+IF($R$17="Distrato",$I$38-1,0)),IF(AND($L$711=0,$P$708=0),"",$L$711-1),IF($R$17="Distrato",$E1129,0)),MIN(Z$38,$D$19),$P$20))-SUM($P1129:Y1129)</f>
        <v>#VALUE!</v>
      </c>
      <c r="AA1129" s="446" t="e">
        <f>IF(OR($B1129="",MIN(AA$38,$D$19)&lt;MAX($P$708*($B1129+IF($R$17="Distrato",$I$38-1,0)),IF(AND($L$711=0,$P$708=0),"",$L$711-1),IF($R$17="Distrato",$E1129,0))),0,YEARFRAC(MAX($P$708*($B1129+IF($R$17="Distrato",$I$38-1,0)),IF(AND($L$711=0,$P$708=0),"",$L$711-1),IF($R$17="Distrato",$E1129,0)),MIN(AA$38,$D$19),$P$20))-SUM($P1129:Z1129)</f>
        <v>#VALUE!</v>
      </c>
      <c r="AB1129" s="446" t="e">
        <f>IF(OR($B1129="",MIN(AB$38,$D$19)&lt;MAX($P$708*($B1129+IF($R$17="Distrato",$I$38-1,0)),IF(AND($L$711=0,$P$708=0),"",$L$711-1),IF($R$17="Distrato",$E1129,0))),0,YEARFRAC(MAX($P$708*($B1129+IF($R$17="Distrato",$I$38-1,0)),IF(AND($L$711=0,$P$708=0),"",$L$711-1),IF($R$17="Distrato",$E1129,0)),MIN(AB$38,$D$19),$P$20))-SUM($P1129:AA1129)</f>
        <v>#VALUE!</v>
      </c>
      <c r="AC1129" s="446" t="e">
        <f>IF(OR($B1129="",MIN(AC$38,$D$19)&lt;MAX($P$708*($B1129+IF($R$17="Distrato",$I$38-1,0)),IF(AND($L$711=0,$P$708=0),"",$L$711-1),IF($R$17="Distrato",$E1129,0))),0,YEARFRAC(MAX($P$708*($B1129+IF($R$17="Distrato",$I$38-1,0)),IF(AND($L$711=0,$P$708=0),"",$L$711-1),IF($R$17="Distrato",$E1129,0)),MIN(AC$38,$D$19),$P$20))-SUM($P1129:AB1129)</f>
        <v>#VALUE!</v>
      </c>
      <c r="AD1129" s="446" t="e">
        <f>IF(OR($B1129="",MIN(AD$38,$D$19)&lt;MAX($P$708*($B1129+IF($R$17="Distrato",$I$38-1,0)),IF(AND($L$711=0,$P$708=0),"",$L$711-1),IF($R$17="Distrato",$E1129,0))),0,YEARFRAC(MAX($P$708*($B1129+IF($R$17="Distrato",$I$38-1,0)),IF(AND($L$711=0,$P$708=0),"",$L$711-1),IF($R$17="Distrato",$E1129,0)),MIN(AD$38,$D$19),$P$20))-SUM($P1129:AC1129)</f>
        <v>#VALUE!</v>
      </c>
      <c r="AE1129" s="446" t="e">
        <f>IF(OR($B1129="",MIN(AE$38,$D$19)&lt;MAX($P$708*($B1129+IF($R$17="Distrato",$I$38-1,0)),IF(AND($L$711=0,$P$708=0),"",$L$711-1),IF($R$17="Distrato",$E1129,0))),0,YEARFRAC(MAX($P$708*($B1129+IF($R$17="Distrato",$I$38-1,0)),IF(AND($L$711=0,$P$708=0),"",$L$711-1),IF($R$17="Distrato",$E1129,0)),MIN(AE$38,$D$19),$P$20))-SUM($P1129:AD1129)</f>
        <v>#VALUE!</v>
      </c>
      <c r="AF1129" s="446" t="e">
        <f>IF(OR($B1129="",MIN(AF$38,$D$19)&lt;MAX($P$708*($B1129+IF($R$17="Distrato",$I$38-1,0)),IF(AND($L$711=0,$P$708=0),"",$L$711-1),IF($R$17="Distrato",$E1129,0))),0,YEARFRAC(MAX($P$708*($B1129+IF($R$17="Distrato",$I$38-1,0)),IF(AND($L$711=0,$P$708=0),"",$L$711-1),IF($R$17="Distrato",$E1129,0)),MIN(AF$38,$D$19),$P$20))-SUM($P1129:AE1129)</f>
        <v>#VALUE!</v>
      </c>
      <c r="AG1129" s="446" t="e">
        <f>IF(OR($B1129="",MIN(AG$38,$D$19)&lt;MAX($P$708*($B1129+IF($R$17="Distrato",$I$38-1,0)),IF(AND($L$711=0,$P$708=0),"",$L$711-1),IF($R$17="Distrato",$E1129,0))),0,YEARFRAC(MAX($P$708*($B1129+IF($R$17="Distrato",$I$38-1,0)),IF(AND($L$711=0,$P$708=0),"",$L$711-1),IF($R$17="Distrato",$E1129,0)),MIN(AG$38,$D$19),$P$20))-SUM($P1129:AF1129)</f>
        <v>#VALUE!</v>
      </c>
      <c r="AH1129" s="446" t="e">
        <f>IF(OR($B1129="",MIN(AH$38,$D$19)&lt;MAX($P$708*($B1129+IF($R$17="Distrato",$I$38-1,0)),IF(AND($L$711=0,$P$708=0),"",$L$711-1),IF($R$17="Distrato",$E1129,0))),0,YEARFRAC(MAX($P$708*($B1129+IF($R$17="Distrato",$I$38-1,0)),IF(AND($L$711=0,$P$708=0),"",$L$711-1),IF($R$17="Distrato",$E1129,0)),MIN(AH$38,$D$19),$P$20))-SUM($P1129:AG1129)</f>
        <v>#VALUE!</v>
      </c>
      <c r="AI1129" s="446" t="e">
        <f>IF(OR($B1129="",MIN(AI$38,$D$19)&lt;MAX($P$708*($B1129+IF($R$17="Distrato",$I$38-1,0)),IF(AND($L$711=0,$P$708=0),"",$L$711-1),IF($R$17="Distrato",$E1129,0))),0,YEARFRAC(MAX($P$708*($B1129+IF($R$17="Distrato",$I$38-1,0)),IF(AND($L$711=0,$P$708=0),"",$L$711-1),IF($R$17="Distrato",$E1129,0)),MIN(AI$38,$D$19),$P$20))-SUM($P1129:AH1129)</f>
        <v>#VALUE!</v>
      </c>
      <c r="AJ1129" s="446" t="e">
        <f>IF(OR($B1129="",MIN(AJ$38,$D$19)&lt;MAX($P$708*($B1129+IF($R$17="Distrato",$I$38-1,0)),IF(AND($L$711=0,$P$708=0),"",$L$711-1),IF($R$17="Distrato",$E1129,0))),0,YEARFRAC(MAX($P$708*($B1129+IF($R$17="Distrato",$I$38-1,0)),IF(AND($L$711=0,$P$708=0),"",$L$711-1),IF($R$17="Distrato",$E1129,0)),MIN(AJ$38,$D$19),$P$20))-SUM($P1129:AI1129)</f>
        <v>#VALUE!</v>
      </c>
      <c r="AK1129" s="446" t="e">
        <f>IF(OR($B1129="",MIN(AK$38,$D$19)&lt;MAX($P$708*($B1129+IF($R$17="Distrato",$I$38-1,0)),IF(AND($L$711=0,$P$708=0),"",$L$711-1),IF($R$17="Distrato",$E1129,0))),0,YEARFRAC(MAX($P$708*($B1129+IF($R$17="Distrato",$I$38-1,0)),IF(AND($L$711=0,$P$708=0),"",$L$711-1),IF($R$17="Distrato",$E1129,0)),MIN(AK$38,$D$19),$P$20))-SUM($P1129:AJ1129)</f>
        <v>#VALUE!</v>
      </c>
      <c r="AL1129" s="446" t="e">
        <f>IF(OR($B1129="",MIN(AL$38,$D$19)&lt;MAX($P$708*($B1129+IF($R$17="Distrato",$I$38-1,0)),IF(AND($L$711=0,$P$708=0),"",$L$711-1),IF($R$17="Distrato",$E1129,0))),0,YEARFRAC(MAX($P$708*($B1129+IF($R$17="Distrato",$I$38-1,0)),IF(AND($L$711=0,$P$708=0),"",$L$711-1),IF($R$17="Distrato",$E1129,0)),MIN(AL$38,$D$19),$P$20))-SUM($P1129:AK1129)</f>
        <v>#VALUE!</v>
      </c>
      <c r="AM1129" s="446" t="e">
        <f>IF(OR($B1129="",MIN(AM$38,$D$19)&lt;MAX($P$708*($B1129+IF($R$17="Distrato",$I$38-1,0)),IF(AND($L$711=0,$P$708=0),"",$L$711-1),IF($R$17="Distrato",$E1129,0))),0,YEARFRAC(MAX($P$708*($B1129+IF($R$17="Distrato",$I$38-1,0)),IF(AND($L$711=0,$P$708=0),"",$L$711-1),IF($R$17="Distrato",$E1129,0)),MIN(AM$38,$D$19),$P$20))-SUM($P1129:AL1129)</f>
        <v>#VALUE!</v>
      </c>
      <c r="AN1129" s="446" t="e">
        <f>IF(OR($B1129="",MIN(AN$38,$D$19)&lt;MAX($P$708*($B1129+IF($R$17="Distrato",$I$38-1,0)),IF(AND($L$711=0,$P$708=0),"",$L$711-1),IF($R$17="Distrato",$E1129,0))),0,YEARFRAC(MAX($P$708*($B1129+IF($R$17="Distrato",$I$38-1,0)),IF(AND($L$711=0,$P$708=0),"",$L$711-1),IF($R$17="Distrato",$E1129,0)),MIN(AN$38,$D$19),$P$20))-SUM($P1129:AM1129)</f>
        <v>#VALUE!</v>
      </c>
      <c r="AO1129" s="446" t="e">
        <f>IF(OR($B1129="",MIN(AO$38,$D$19)&lt;MAX($P$708*($B1129+IF($R$17="Distrato",$I$38-1,0)),IF(AND($L$711=0,$P$708=0),"",$L$711-1),IF($R$17="Distrato",$E1129,0))),0,YEARFRAC(MAX($P$708*($B1129+IF($R$17="Distrato",$I$38-1,0)),IF(AND($L$711=0,$P$708=0),"",$L$711-1),IF($R$17="Distrato",$E1129,0)),MIN(AO$38,$D$19),$P$20))-SUM($P1129:AN1129)</f>
        <v>#VALUE!</v>
      </c>
      <c r="AP1129" s="446" t="e">
        <f>IF(OR($B1129="",MIN(AP$38,$D$19)&lt;MAX($P$708*($B1129+IF($R$17="Distrato",$I$38-1,0)),IF(AND($L$711=0,$P$708=0),"",$L$711-1),IF($R$17="Distrato",$E1129,0))),0,YEARFRAC(MAX($P$708*($B1129+IF($R$17="Distrato",$I$38-1,0)),IF(AND($L$711=0,$P$708=0),"",$L$711-1),IF($R$17="Distrato",$E1129,0)),MIN(AP$38,$D$19),$P$20))-SUM($P1129:AO1129)</f>
        <v>#VALUE!</v>
      </c>
      <c r="AQ1129" s="446" t="e">
        <f>IF(OR($B1129="",MIN(AQ$38,$D$19)&lt;MAX($P$708*($B1129+IF($R$17="Distrato",$I$38-1,0)),IF(AND($L$711=0,$P$708=0),"",$L$711-1),IF($R$17="Distrato",$E1129,0))),0,YEARFRAC(MAX($P$708*($B1129+IF($R$17="Distrato",$I$38-1,0)),IF(AND($L$711=0,$P$708=0),"",$L$711-1),IF($R$17="Distrato",$E1129,0)),MIN(AQ$38,$D$19),$P$20))-SUM($P1129:AP1129)</f>
        <v>#VALUE!</v>
      </c>
      <c r="AR1129" s="446" t="e">
        <f>IF(OR($B1129="",MIN(AR$38,$D$19)&lt;MAX($P$708*($B1129+IF($R$17="Distrato",$I$38-1,0)),IF(AND($L$711=0,$P$708=0),"",$L$711-1),IF($R$17="Distrato",$E1129,0))),0,YEARFRAC(MAX($P$708*($B1129+IF($R$17="Distrato",$I$38-1,0)),IF(AND($L$711=0,$P$708=0),"",$L$711-1),IF($R$17="Distrato",$E1129,0)),MIN(AR$38,$D$19),$P$20))-SUM($P1129:AQ1129)</f>
        <v>#VALUE!</v>
      </c>
      <c r="AS1129" s="446" t="e">
        <f>IF(OR($B1129="",MIN(AS$38,$D$19)&lt;MAX($P$708*($B1129+IF($R$17="Distrato",$I$38-1,0)),IF(AND($L$711=0,$P$708=0),"",$L$711-1),IF($R$17="Distrato",$E1129,0))),0,YEARFRAC(MAX($P$708*($B1129+IF($R$17="Distrato",$I$38-1,0)),IF(AND($L$711=0,$P$708=0),"",$L$711-1),IF($R$17="Distrato",$E1129,0)),MIN(AS$38,$D$19),$P$20))-SUM($P1129:AR1129)</f>
        <v>#VALUE!</v>
      </c>
      <c r="AT1129" s="446" t="e">
        <f>IF(OR($B1129="",MIN(AT$38,$D$19)&lt;MAX($P$708*($B1129+IF($R$17="Distrato",$I$38-1,0)),IF(AND($L$711=0,$P$708=0),"",$L$711-1),IF($R$17="Distrato",$E1129,0))),0,YEARFRAC(MAX($P$708*($B1129+IF($R$17="Distrato",$I$38-1,0)),IF(AND($L$711=0,$P$708=0),"",$L$711-1),IF($R$17="Distrato",$E1129,0)),MIN(AT$38,$D$19),$P$20))-SUM($P1129:AS1129)</f>
        <v>#VALUE!</v>
      </c>
      <c r="AU1129" s="446" t="e">
        <f>IF(OR($B1129="",MIN(AU$38,$D$19)&lt;MAX($P$708*($B1129+IF($R$17="Distrato",$I$38-1,0)),IF(AND($L$711=0,$P$708=0),"",$L$711-1),IF($R$17="Distrato",$E1129,0))),0,YEARFRAC(MAX($P$708*($B1129+IF($R$17="Distrato",$I$38-1,0)),IF(AND($L$711=0,$P$708=0),"",$L$711-1),IF($R$17="Distrato",$E1129,0)),MIN(AU$38,$D$19),$P$20))-SUM($P1129:AT1129)</f>
        <v>#VALUE!</v>
      </c>
      <c r="AV1129" s="446" t="e">
        <f>IF(OR($B1129="",MIN(AV$38,$D$19)&lt;MAX($P$708*($B1129+IF($R$17="Distrato",$I$38-1,0)),IF(AND($L$711=0,$P$708=0),"",$L$711-1),IF($R$17="Distrato",$E1129,0))),0,YEARFRAC(MAX($P$708*($B1129+IF($R$17="Distrato",$I$38-1,0)),IF(AND($L$711=0,$P$708=0),"",$L$711-1),IF($R$17="Distrato",$E1129,0)),MIN(AV$38,$D$19),$P$20))-SUM($P1129:AU1129)</f>
        <v>#VALUE!</v>
      </c>
      <c r="AW1129" s="446" t="e">
        <f>IF(OR($B1129="",MIN(AW$38,$D$19)&lt;MAX($P$708*($B1129+IF($R$17="Distrato",$I$38-1,0)),IF(AND($L$711=0,$P$708=0),"",$L$711-1),IF($R$17="Distrato",$E1129,0))),0,YEARFRAC(MAX($P$708*($B1129+IF($R$17="Distrato",$I$38-1,0)),IF(AND($L$711=0,$P$708=0),"",$L$711-1),IF($R$17="Distrato",$E1129,0)),MIN(AW$38,$D$19),$P$20))-SUM($P1129:AV1129)</f>
        <v>#VALUE!</v>
      </c>
      <c r="AX1129" s="446" t="e">
        <f>IF(OR($B1129="",MIN(AX$38,$D$19)&lt;MAX($P$708*($B1129+IF($R$17="Distrato",$I$38-1,0)),IF(AND($L$711=0,$P$708=0),"",$L$711-1),IF($R$17="Distrato",$E1129,0))),0,YEARFRAC(MAX($P$708*($B1129+IF($R$17="Distrato",$I$38-1,0)),IF(AND($L$711=0,$P$708=0),"",$L$711-1),IF($R$17="Distrato",$E1129,0)),MIN(AX$38,$D$19),$P$20))-SUM($P1129:AW1129)</f>
        <v>#VALUE!</v>
      </c>
      <c r="AY1129" s="446" t="e">
        <f>IF(OR($B1129="",MIN(AY$38,$D$19)&lt;MAX($P$708*($B1129+IF($R$17="Distrato",$I$38-1,0)),IF(AND($L$711=0,$P$708=0),"",$L$711-1),IF($R$17="Distrato",$E1129,0))),0,YEARFRAC(MAX($P$708*($B1129+IF($R$17="Distrato",$I$38-1,0)),IF(AND($L$711=0,$P$708=0),"",$L$711-1),IF($R$17="Distrato",$E1129,0)),MIN(AY$38,$D$19),$P$20))-SUM($P1129:AX1129)</f>
        <v>#VALUE!</v>
      </c>
      <c r="AZ1129" s="446" t="e">
        <f>IF(OR($B1129="",MIN(AZ$38,$D$19)&lt;MAX($P$708*($B1129+IF($R$17="Distrato",$I$38-1,0)),IF(AND($L$711=0,$P$708=0),"",$L$711-1),IF($R$17="Distrato",$E1129,0))),0,YEARFRAC(MAX($P$708*($B1129+IF($R$17="Distrato",$I$38-1,0)),IF(AND($L$711=0,$P$708=0),"",$L$711-1),IF($R$17="Distrato",$E1129,0)),MIN(AZ$38,$D$19),$P$20))-SUM($P1129:AY1129)</f>
        <v>#VALUE!</v>
      </c>
      <c r="BA1129" s="446" t="e">
        <f>IF(OR($B1129="",MIN(BA$38,$D$19)&lt;MAX($P$708*($B1129+IF($R$17="Distrato",$I$38-1,0)),IF(AND($L$711=0,$P$708=0),"",$L$711-1),IF($R$17="Distrato",$E1129,0))),0,YEARFRAC(MAX($P$708*($B1129+IF($R$17="Distrato",$I$38-1,0)),IF(AND($L$711=0,$P$708=0),"",$L$711-1),IF($R$17="Distrato",$E1129,0)),MIN(BA$38,$D$19),$P$20))-SUM($P1129:AZ1129)</f>
        <v>#VALUE!</v>
      </c>
      <c r="BB1129" s="447"/>
    </row>
    <row r="1130" spans="1:54" s="446" customFormat="1" ht="11.25" hidden="1" customHeight="1" x14ac:dyDescent="0.2">
      <c r="A1130" s="235"/>
      <c r="B1130" s="236"/>
      <c r="C1130" s="29" t="str">
        <f>IF(B1130="","",IF($L$709=$BL$25,VLOOKUP(DATE(YEAR($D$19),MONTH($D$19)-1,1),ÍNDICES!$A:$DE,HLOOKUP($BL$25,ÍNDICES!$B$3:$T$4,2)+11)-VLOOKUP(B1130,ÍNDICES!$A:$DE,HLOOKUP($BL$25,ÍNDICES!$B$3:$T$4,2)+11)+1%,IF(C$712=$W$26,$J$35,IF(ISERROR(IF(B1130&gt;$D$19,1,VLOOKUP(DATE(YEAR(B1130),MONTH(B1130)+IF($C$709=$S$23,1,0),1),ÍNDICES!$A:$DE,$Z$709+1))),"",IF(B1130&gt;$D$19,1,VLOOKUP(DATE(YEAR(B1130),MONTH(B1130)+IF($C$709=$S$23,1,0),1),ÍNDICES!$A:$DE,$Z$709+1))))))</f>
        <v/>
      </c>
      <c r="D1130" s="155"/>
      <c r="E1130" s="88"/>
      <c r="F1130" s="88"/>
      <c r="G1130" s="88"/>
      <c r="H1130" s="118"/>
      <c r="I1130" s="182">
        <f t="shared" si="157"/>
        <v>0</v>
      </c>
      <c r="J1130" s="20">
        <f t="shared" ca="1" si="158"/>
        <v>0</v>
      </c>
      <c r="K1130" s="5">
        <f t="shared" ca="1" si="159"/>
        <v>0</v>
      </c>
      <c r="L1130" s="61">
        <f t="shared" ca="1" si="160"/>
        <v>0</v>
      </c>
      <c r="M1130" s="64">
        <f t="shared" si="161"/>
        <v>0</v>
      </c>
      <c r="N1130" s="151"/>
      <c r="O1130" s="5">
        <f t="shared" ca="1" si="162"/>
        <v>0</v>
      </c>
      <c r="P1130" s="446" t="e">
        <f t="shared" si="163"/>
        <v>#VALUE!</v>
      </c>
      <c r="Q1130" s="446" t="e">
        <f>IF(OR($B1130="",MIN(Q$38,$D$19)&lt;MAX($P$708*($B1130+IF($R$17="Distrato",$I$38-1,0)),IF(AND($L$711=0,$P$708=0),"",$L$711-1),IF($R$17="Distrato",$E1130,0))),0,YEARFRAC(MAX($P$708*($B1130+IF($R$17="Distrato",$I$38-1,0)),IF(AND($L$711=0,$P$708=0),"",$L$711-1),IF($R$17="Distrato",$E1130,0)),MIN(Q$38,$D$19),$P$20))-SUM($P1130:P1130)</f>
        <v>#VALUE!</v>
      </c>
      <c r="R1130" s="446" t="e">
        <f>IF(OR($B1130="",MIN(R$38,$D$19)&lt;MAX($P$708*($B1130+IF($R$17="Distrato",$I$38-1,0)),IF(AND($L$711=0,$P$708=0),"",$L$711-1),IF($R$17="Distrato",$E1130,0))),0,YEARFRAC(MAX($P$708*($B1130+IF($R$17="Distrato",$I$38-1,0)),IF(AND($L$711=0,$P$708=0),"",$L$711-1),IF($R$17="Distrato",$E1130,0)),MIN(R$38,$D$19),$P$20))-SUM($P1130:Q1130)</f>
        <v>#VALUE!</v>
      </c>
      <c r="S1130" s="446" t="e">
        <f>IF(OR($B1130="",MIN(S$38,$D$19)&lt;MAX($P$708*($B1130+IF($R$17="Distrato",$I$38-1,0)),IF(AND($L$711=0,$P$708=0),"",$L$711-1),IF($R$17="Distrato",$E1130,0))),0,YEARFRAC(MAX($P$708*($B1130+IF($R$17="Distrato",$I$38-1,0)),IF(AND($L$711=0,$P$708=0),"",$L$711-1),IF($R$17="Distrato",$E1130,0)),MIN(S$38,$D$19),$P$20))-SUM($P1130:R1130)</f>
        <v>#VALUE!</v>
      </c>
      <c r="T1130" s="446" t="e">
        <f>IF(OR($B1130="",MIN(T$38,$D$19)&lt;MAX($P$708*($B1130+IF($R$17="Distrato",$I$38-1,0)),IF(AND($L$711=0,$P$708=0),"",$L$711-1),IF($R$17="Distrato",$E1130,0))),0,YEARFRAC(MAX($P$708*($B1130+IF($R$17="Distrato",$I$38-1,0)),IF(AND($L$711=0,$P$708=0),"",$L$711-1),IF($R$17="Distrato",$E1130,0)),MIN(T$38,$D$19),$P$20))-SUM($P1130:S1130)</f>
        <v>#VALUE!</v>
      </c>
      <c r="U1130" s="446" t="e">
        <f>IF(OR($B1130="",MIN(U$38,$D$19)&lt;MAX($P$708*($B1130+IF($R$17="Distrato",$I$38-1,0)),IF(AND($L$711=0,$P$708=0),"",$L$711-1),IF($R$17="Distrato",$E1130,0))),0,YEARFRAC(MAX($P$708*($B1130+IF($R$17="Distrato",$I$38-1,0)),IF(AND($L$711=0,$P$708=0),"",$L$711-1),IF($R$17="Distrato",$E1130,0)),MIN(U$38,$D$19),$P$20))-SUM($P1130:T1130)</f>
        <v>#VALUE!</v>
      </c>
      <c r="V1130" s="446" t="e">
        <f>IF(OR($B1130="",MIN(V$38,$D$19)&lt;MAX($P$708*($B1130+IF($R$17="Distrato",$I$38-1,0)),IF(AND($L$711=0,$P$708=0),"",$L$711-1),IF($R$17="Distrato",$E1130,0))),0,YEARFRAC(MAX($P$708*($B1130+IF($R$17="Distrato",$I$38-1,0)),IF(AND($L$711=0,$P$708=0),"",$L$711-1),IF($R$17="Distrato",$E1130,0)),MIN(V$38,$D$19),$P$20))-SUM($P1130:U1130)</f>
        <v>#VALUE!</v>
      </c>
      <c r="W1130" s="446" t="e">
        <f>IF(OR($B1130="",MIN(W$38,$D$19)&lt;MAX($P$708*($B1130+IF($R$17="Distrato",$I$38-1,0)),IF(AND($L$711=0,$P$708=0),"",$L$711-1),IF($R$17="Distrato",$E1130,0))),0,YEARFRAC(MAX($P$708*($B1130+IF($R$17="Distrato",$I$38-1,0)),IF(AND($L$711=0,$P$708=0),"",$L$711-1),IF($R$17="Distrato",$E1130,0)),MIN(W$38,$D$19),$P$20))-SUM($P1130:V1130)</f>
        <v>#VALUE!</v>
      </c>
      <c r="X1130" s="446" t="e">
        <f>IF(OR($B1130="",MIN(X$38,$D$19)&lt;MAX($P$708*($B1130+IF($R$17="Distrato",$I$38-1,0)),IF(AND($L$711=0,$P$708=0),"",$L$711-1),IF($R$17="Distrato",$E1130,0))),0,YEARFRAC(MAX($P$708*($B1130+IF($R$17="Distrato",$I$38-1,0)),IF(AND($L$711=0,$P$708=0),"",$L$711-1),IF($R$17="Distrato",$E1130,0)),MIN(X$38,$D$19),$P$20))-SUM($P1130:W1130)</f>
        <v>#VALUE!</v>
      </c>
      <c r="Y1130" s="446" t="e">
        <f>IF(OR($B1130="",MIN(Y$38,$D$19)&lt;MAX($P$708*($B1130+IF($R$17="Distrato",$I$38-1,0)),IF(AND($L$711=0,$P$708=0),"",$L$711-1),IF($R$17="Distrato",$E1130,0))),0,YEARFRAC(MAX($P$708*($B1130+IF($R$17="Distrato",$I$38-1,0)),IF(AND($L$711=0,$P$708=0),"",$L$711-1),IF($R$17="Distrato",$E1130,0)),MIN(Y$38,$D$19),$P$20))-SUM($P1130:X1130)</f>
        <v>#VALUE!</v>
      </c>
      <c r="Z1130" s="446" t="e">
        <f>IF(OR($B1130="",MIN(Z$38,$D$19)&lt;MAX($P$708*($B1130+IF($R$17="Distrato",$I$38-1,0)),IF(AND($L$711=0,$P$708=0),"",$L$711-1),IF($R$17="Distrato",$E1130,0))),0,YEARFRAC(MAX($P$708*($B1130+IF($R$17="Distrato",$I$38-1,0)),IF(AND($L$711=0,$P$708=0),"",$L$711-1),IF($R$17="Distrato",$E1130,0)),MIN(Z$38,$D$19),$P$20))-SUM($P1130:Y1130)</f>
        <v>#VALUE!</v>
      </c>
      <c r="AA1130" s="446" t="e">
        <f>IF(OR($B1130="",MIN(AA$38,$D$19)&lt;MAX($P$708*($B1130+IF($R$17="Distrato",$I$38-1,0)),IF(AND($L$711=0,$P$708=0),"",$L$711-1),IF($R$17="Distrato",$E1130,0))),0,YEARFRAC(MAX($P$708*($B1130+IF($R$17="Distrato",$I$38-1,0)),IF(AND($L$711=0,$P$708=0),"",$L$711-1),IF($R$17="Distrato",$E1130,0)),MIN(AA$38,$D$19),$P$20))-SUM($P1130:Z1130)</f>
        <v>#VALUE!</v>
      </c>
      <c r="AB1130" s="446" t="e">
        <f>IF(OR($B1130="",MIN(AB$38,$D$19)&lt;MAX($P$708*($B1130+IF($R$17="Distrato",$I$38-1,0)),IF(AND($L$711=0,$P$708=0),"",$L$711-1),IF($R$17="Distrato",$E1130,0))),0,YEARFRAC(MAX($P$708*($B1130+IF($R$17="Distrato",$I$38-1,0)),IF(AND($L$711=0,$P$708=0),"",$L$711-1),IF($R$17="Distrato",$E1130,0)),MIN(AB$38,$D$19),$P$20))-SUM($P1130:AA1130)</f>
        <v>#VALUE!</v>
      </c>
      <c r="AC1130" s="446" t="e">
        <f>IF(OR($B1130="",MIN(AC$38,$D$19)&lt;MAX($P$708*($B1130+IF($R$17="Distrato",$I$38-1,0)),IF(AND($L$711=0,$P$708=0),"",$L$711-1),IF($R$17="Distrato",$E1130,0))),0,YEARFRAC(MAX($P$708*($B1130+IF($R$17="Distrato",$I$38-1,0)),IF(AND($L$711=0,$P$708=0),"",$L$711-1),IF($R$17="Distrato",$E1130,0)),MIN(AC$38,$D$19),$P$20))-SUM($P1130:AB1130)</f>
        <v>#VALUE!</v>
      </c>
      <c r="AD1130" s="446" t="e">
        <f>IF(OR($B1130="",MIN(AD$38,$D$19)&lt;MAX($P$708*($B1130+IF($R$17="Distrato",$I$38-1,0)),IF(AND($L$711=0,$P$708=0),"",$L$711-1),IF($R$17="Distrato",$E1130,0))),0,YEARFRAC(MAX($P$708*($B1130+IF($R$17="Distrato",$I$38-1,0)),IF(AND($L$711=0,$P$708=0),"",$L$711-1),IF($R$17="Distrato",$E1130,0)),MIN(AD$38,$D$19),$P$20))-SUM($P1130:AC1130)</f>
        <v>#VALUE!</v>
      </c>
      <c r="AE1130" s="446" t="e">
        <f>IF(OR($B1130="",MIN(AE$38,$D$19)&lt;MAX($P$708*($B1130+IF($R$17="Distrato",$I$38-1,0)),IF(AND($L$711=0,$P$708=0),"",$L$711-1),IF($R$17="Distrato",$E1130,0))),0,YEARFRAC(MAX($P$708*($B1130+IF($R$17="Distrato",$I$38-1,0)),IF(AND($L$711=0,$P$708=0),"",$L$711-1),IF($R$17="Distrato",$E1130,0)),MIN(AE$38,$D$19),$P$20))-SUM($P1130:AD1130)</f>
        <v>#VALUE!</v>
      </c>
      <c r="AF1130" s="446" t="e">
        <f>IF(OR($B1130="",MIN(AF$38,$D$19)&lt;MAX($P$708*($B1130+IF($R$17="Distrato",$I$38-1,0)),IF(AND($L$711=0,$P$708=0),"",$L$711-1),IF($R$17="Distrato",$E1130,0))),0,YEARFRAC(MAX($P$708*($B1130+IF($R$17="Distrato",$I$38-1,0)),IF(AND($L$711=0,$P$708=0),"",$L$711-1),IF($R$17="Distrato",$E1130,0)),MIN(AF$38,$D$19),$P$20))-SUM($P1130:AE1130)</f>
        <v>#VALUE!</v>
      </c>
      <c r="AG1130" s="446" t="e">
        <f>IF(OR($B1130="",MIN(AG$38,$D$19)&lt;MAX($P$708*($B1130+IF($R$17="Distrato",$I$38-1,0)),IF(AND($L$711=0,$P$708=0),"",$L$711-1),IF($R$17="Distrato",$E1130,0))),0,YEARFRAC(MAX($P$708*($B1130+IF($R$17="Distrato",$I$38-1,0)),IF(AND($L$711=0,$P$708=0),"",$L$711-1),IF($R$17="Distrato",$E1130,0)),MIN(AG$38,$D$19),$P$20))-SUM($P1130:AF1130)</f>
        <v>#VALUE!</v>
      </c>
      <c r="AH1130" s="446" t="e">
        <f>IF(OR($B1130="",MIN(AH$38,$D$19)&lt;MAX($P$708*($B1130+IF($R$17="Distrato",$I$38-1,0)),IF(AND($L$711=0,$P$708=0),"",$L$711-1),IF($R$17="Distrato",$E1130,0))),0,YEARFRAC(MAX($P$708*($B1130+IF($R$17="Distrato",$I$38-1,0)),IF(AND($L$711=0,$P$708=0),"",$L$711-1),IF($R$17="Distrato",$E1130,0)),MIN(AH$38,$D$19),$P$20))-SUM($P1130:AG1130)</f>
        <v>#VALUE!</v>
      </c>
      <c r="AI1130" s="446" t="e">
        <f>IF(OR($B1130="",MIN(AI$38,$D$19)&lt;MAX($P$708*($B1130+IF($R$17="Distrato",$I$38-1,0)),IF(AND($L$711=0,$P$708=0),"",$L$711-1),IF($R$17="Distrato",$E1130,0))),0,YEARFRAC(MAX($P$708*($B1130+IF($R$17="Distrato",$I$38-1,0)),IF(AND($L$711=0,$P$708=0),"",$L$711-1),IF($R$17="Distrato",$E1130,0)),MIN(AI$38,$D$19),$P$20))-SUM($P1130:AH1130)</f>
        <v>#VALUE!</v>
      </c>
      <c r="AJ1130" s="446" t="e">
        <f>IF(OR($B1130="",MIN(AJ$38,$D$19)&lt;MAX($P$708*($B1130+IF($R$17="Distrato",$I$38-1,0)),IF(AND($L$711=0,$P$708=0),"",$L$711-1),IF($R$17="Distrato",$E1130,0))),0,YEARFRAC(MAX($P$708*($B1130+IF($R$17="Distrato",$I$38-1,0)),IF(AND($L$711=0,$P$708=0),"",$L$711-1),IF($R$17="Distrato",$E1130,0)),MIN(AJ$38,$D$19),$P$20))-SUM($P1130:AI1130)</f>
        <v>#VALUE!</v>
      </c>
      <c r="AK1130" s="446" t="e">
        <f>IF(OR($B1130="",MIN(AK$38,$D$19)&lt;MAX($P$708*($B1130+IF($R$17="Distrato",$I$38-1,0)),IF(AND($L$711=0,$P$708=0),"",$L$711-1),IF($R$17="Distrato",$E1130,0))),0,YEARFRAC(MAX($P$708*($B1130+IF($R$17="Distrato",$I$38-1,0)),IF(AND($L$711=0,$P$708=0),"",$L$711-1),IF($R$17="Distrato",$E1130,0)),MIN(AK$38,$D$19),$P$20))-SUM($P1130:AJ1130)</f>
        <v>#VALUE!</v>
      </c>
      <c r="AL1130" s="446" t="e">
        <f>IF(OR($B1130="",MIN(AL$38,$D$19)&lt;MAX($P$708*($B1130+IF($R$17="Distrato",$I$38-1,0)),IF(AND($L$711=0,$P$708=0),"",$L$711-1),IF($R$17="Distrato",$E1130,0))),0,YEARFRAC(MAX($P$708*($B1130+IF($R$17="Distrato",$I$38-1,0)),IF(AND($L$711=0,$P$708=0),"",$L$711-1),IF($R$17="Distrato",$E1130,0)),MIN(AL$38,$D$19),$P$20))-SUM($P1130:AK1130)</f>
        <v>#VALUE!</v>
      </c>
      <c r="AM1130" s="446" t="e">
        <f>IF(OR($B1130="",MIN(AM$38,$D$19)&lt;MAX($P$708*($B1130+IF($R$17="Distrato",$I$38-1,0)),IF(AND($L$711=0,$P$708=0),"",$L$711-1),IF($R$17="Distrato",$E1130,0))),0,YEARFRAC(MAX($P$708*($B1130+IF($R$17="Distrato",$I$38-1,0)),IF(AND($L$711=0,$P$708=0),"",$L$711-1),IF($R$17="Distrato",$E1130,0)),MIN(AM$38,$D$19),$P$20))-SUM($P1130:AL1130)</f>
        <v>#VALUE!</v>
      </c>
      <c r="AN1130" s="446" t="e">
        <f>IF(OR($B1130="",MIN(AN$38,$D$19)&lt;MAX($P$708*($B1130+IF($R$17="Distrato",$I$38-1,0)),IF(AND($L$711=0,$P$708=0),"",$L$711-1),IF($R$17="Distrato",$E1130,0))),0,YEARFRAC(MAX($P$708*($B1130+IF($R$17="Distrato",$I$38-1,0)),IF(AND($L$711=0,$P$708=0),"",$L$711-1),IF($R$17="Distrato",$E1130,0)),MIN(AN$38,$D$19),$P$20))-SUM($P1130:AM1130)</f>
        <v>#VALUE!</v>
      </c>
      <c r="AO1130" s="446" t="e">
        <f>IF(OR($B1130="",MIN(AO$38,$D$19)&lt;MAX($P$708*($B1130+IF($R$17="Distrato",$I$38-1,0)),IF(AND($L$711=0,$P$708=0),"",$L$711-1),IF($R$17="Distrato",$E1130,0))),0,YEARFRAC(MAX($P$708*($B1130+IF($R$17="Distrato",$I$38-1,0)),IF(AND($L$711=0,$P$708=0),"",$L$711-1),IF($R$17="Distrato",$E1130,0)),MIN(AO$38,$D$19),$P$20))-SUM($P1130:AN1130)</f>
        <v>#VALUE!</v>
      </c>
      <c r="AP1130" s="446" t="e">
        <f>IF(OR($B1130="",MIN(AP$38,$D$19)&lt;MAX($P$708*($B1130+IF($R$17="Distrato",$I$38-1,0)),IF(AND($L$711=0,$P$708=0),"",$L$711-1),IF($R$17="Distrato",$E1130,0))),0,YEARFRAC(MAX($P$708*($B1130+IF($R$17="Distrato",$I$38-1,0)),IF(AND($L$711=0,$P$708=0),"",$L$711-1),IF($R$17="Distrato",$E1130,0)),MIN(AP$38,$D$19),$P$20))-SUM($P1130:AO1130)</f>
        <v>#VALUE!</v>
      </c>
      <c r="AQ1130" s="446" t="e">
        <f>IF(OR($B1130="",MIN(AQ$38,$D$19)&lt;MAX($P$708*($B1130+IF($R$17="Distrato",$I$38-1,0)),IF(AND($L$711=0,$P$708=0),"",$L$711-1),IF($R$17="Distrato",$E1130,0))),0,YEARFRAC(MAX($P$708*($B1130+IF($R$17="Distrato",$I$38-1,0)),IF(AND($L$711=0,$P$708=0),"",$L$711-1),IF($R$17="Distrato",$E1130,0)),MIN(AQ$38,$D$19),$P$20))-SUM($P1130:AP1130)</f>
        <v>#VALUE!</v>
      </c>
      <c r="AR1130" s="446" t="e">
        <f>IF(OR($B1130="",MIN(AR$38,$D$19)&lt;MAX($P$708*($B1130+IF($R$17="Distrato",$I$38-1,0)),IF(AND($L$711=0,$P$708=0),"",$L$711-1),IF($R$17="Distrato",$E1130,0))),0,YEARFRAC(MAX($P$708*($B1130+IF($R$17="Distrato",$I$38-1,0)),IF(AND($L$711=0,$P$708=0),"",$L$711-1),IF($R$17="Distrato",$E1130,0)),MIN(AR$38,$D$19),$P$20))-SUM($P1130:AQ1130)</f>
        <v>#VALUE!</v>
      </c>
      <c r="AS1130" s="446" t="e">
        <f>IF(OR($B1130="",MIN(AS$38,$D$19)&lt;MAX($P$708*($B1130+IF($R$17="Distrato",$I$38-1,0)),IF(AND($L$711=0,$P$708=0),"",$L$711-1),IF($R$17="Distrato",$E1130,0))),0,YEARFRAC(MAX($P$708*($B1130+IF($R$17="Distrato",$I$38-1,0)),IF(AND($L$711=0,$P$708=0),"",$L$711-1),IF($R$17="Distrato",$E1130,0)),MIN(AS$38,$D$19),$P$20))-SUM($P1130:AR1130)</f>
        <v>#VALUE!</v>
      </c>
      <c r="AT1130" s="446" t="e">
        <f>IF(OR($B1130="",MIN(AT$38,$D$19)&lt;MAX($P$708*($B1130+IF($R$17="Distrato",$I$38-1,0)),IF(AND($L$711=0,$P$708=0),"",$L$711-1),IF($R$17="Distrato",$E1130,0))),0,YEARFRAC(MAX($P$708*($B1130+IF($R$17="Distrato",$I$38-1,0)),IF(AND($L$711=0,$P$708=0),"",$L$711-1),IF($R$17="Distrato",$E1130,0)),MIN(AT$38,$D$19),$P$20))-SUM($P1130:AS1130)</f>
        <v>#VALUE!</v>
      </c>
      <c r="AU1130" s="446" t="e">
        <f>IF(OR($B1130="",MIN(AU$38,$D$19)&lt;MAX($P$708*($B1130+IF($R$17="Distrato",$I$38-1,0)),IF(AND($L$711=0,$P$708=0),"",$L$711-1),IF($R$17="Distrato",$E1130,0))),0,YEARFRAC(MAX($P$708*($B1130+IF($R$17="Distrato",$I$38-1,0)),IF(AND($L$711=0,$P$708=0),"",$L$711-1),IF($R$17="Distrato",$E1130,0)),MIN(AU$38,$D$19),$P$20))-SUM($P1130:AT1130)</f>
        <v>#VALUE!</v>
      </c>
      <c r="AV1130" s="446" t="e">
        <f>IF(OR($B1130="",MIN(AV$38,$D$19)&lt;MAX($P$708*($B1130+IF($R$17="Distrato",$I$38-1,0)),IF(AND($L$711=0,$P$708=0),"",$L$711-1),IF($R$17="Distrato",$E1130,0))),0,YEARFRAC(MAX($P$708*($B1130+IF($R$17="Distrato",$I$38-1,0)),IF(AND($L$711=0,$P$708=0),"",$L$711-1),IF($R$17="Distrato",$E1130,0)),MIN(AV$38,$D$19),$P$20))-SUM($P1130:AU1130)</f>
        <v>#VALUE!</v>
      </c>
      <c r="AW1130" s="446" t="e">
        <f>IF(OR($B1130="",MIN(AW$38,$D$19)&lt;MAX($P$708*($B1130+IF($R$17="Distrato",$I$38-1,0)),IF(AND($L$711=0,$P$708=0),"",$L$711-1),IF($R$17="Distrato",$E1130,0))),0,YEARFRAC(MAX($P$708*($B1130+IF($R$17="Distrato",$I$38-1,0)),IF(AND($L$711=0,$P$708=0),"",$L$711-1),IF($R$17="Distrato",$E1130,0)),MIN(AW$38,$D$19),$P$20))-SUM($P1130:AV1130)</f>
        <v>#VALUE!</v>
      </c>
      <c r="AX1130" s="446" t="e">
        <f>IF(OR($B1130="",MIN(AX$38,$D$19)&lt;MAX($P$708*($B1130+IF($R$17="Distrato",$I$38-1,0)),IF(AND($L$711=0,$P$708=0),"",$L$711-1),IF($R$17="Distrato",$E1130,0))),0,YEARFRAC(MAX($P$708*($B1130+IF($R$17="Distrato",$I$38-1,0)),IF(AND($L$711=0,$P$708=0),"",$L$711-1),IF($R$17="Distrato",$E1130,0)),MIN(AX$38,$D$19),$P$20))-SUM($P1130:AW1130)</f>
        <v>#VALUE!</v>
      </c>
      <c r="AY1130" s="446" t="e">
        <f>IF(OR($B1130="",MIN(AY$38,$D$19)&lt;MAX($P$708*($B1130+IF($R$17="Distrato",$I$38-1,0)),IF(AND($L$711=0,$P$708=0),"",$L$711-1),IF($R$17="Distrato",$E1130,0))),0,YEARFRAC(MAX($P$708*($B1130+IF($R$17="Distrato",$I$38-1,0)),IF(AND($L$711=0,$P$708=0),"",$L$711-1),IF($R$17="Distrato",$E1130,0)),MIN(AY$38,$D$19),$P$20))-SUM($P1130:AX1130)</f>
        <v>#VALUE!</v>
      </c>
      <c r="AZ1130" s="446" t="e">
        <f>IF(OR($B1130="",MIN(AZ$38,$D$19)&lt;MAX($P$708*($B1130+IF($R$17="Distrato",$I$38-1,0)),IF(AND($L$711=0,$P$708=0),"",$L$711-1),IF($R$17="Distrato",$E1130,0))),0,YEARFRAC(MAX($P$708*($B1130+IF($R$17="Distrato",$I$38-1,0)),IF(AND($L$711=0,$P$708=0),"",$L$711-1),IF($R$17="Distrato",$E1130,0)),MIN(AZ$38,$D$19),$P$20))-SUM($P1130:AY1130)</f>
        <v>#VALUE!</v>
      </c>
      <c r="BA1130" s="446" t="e">
        <f>IF(OR($B1130="",MIN(BA$38,$D$19)&lt;MAX($P$708*($B1130+IF($R$17="Distrato",$I$38-1,0)),IF(AND($L$711=0,$P$708=0),"",$L$711-1),IF($R$17="Distrato",$E1130,0))),0,YEARFRAC(MAX($P$708*($B1130+IF($R$17="Distrato",$I$38-1,0)),IF(AND($L$711=0,$P$708=0),"",$L$711-1),IF($R$17="Distrato",$E1130,0)),MIN(BA$38,$D$19),$P$20))-SUM($P1130:AZ1130)</f>
        <v>#VALUE!</v>
      </c>
      <c r="BB1130" s="447"/>
    </row>
    <row r="1131" spans="1:54" s="446" customFormat="1" ht="11.25" hidden="1" customHeight="1" x14ac:dyDescent="0.2">
      <c r="A1131" s="235"/>
      <c r="B1131" s="236"/>
      <c r="C1131" s="29" t="str">
        <f>IF(B1131="","",IF($L$709=$BL$25,VLOOKUP(DATE(YEAR($D$19),MONTH($D$19)-1,1),ÍNDICES!$A:$DE,HLOOKUP($BL$25,ÍNDICES!$B$3:$T$4,2)+11)-VLOOKUP(B1131,ÍNDICES!$A:$DE,HLOOKUP($BL$25,ÍNDICES!$B$3:$T$4,2)+11)+1%,IF(C$712=$W$26,$J$35,IF(ISERROR(IF(B1131&gt;$D$19,1,VLOOKUP(DATE(YEAR(B1131),MONTH(B1131)+IF($C$709=$S$23,1,0),1),ÍNDICES!$A:$DE,$Z$709+1))),"",IF(B1131&gt;$D$19,1,VLOOKUP(DATE(YEAR(B1131),MONTH(B1131)+IF($C$709=$S$23,1,0),1),ÍNDICES!$A:$DE,$Z$709+1))))))</f>
        <v/>
      </c>
      <c r="D1131" s="155"/>
      <c r="E1131" s="88"/>
      <c r="F1131" s="88"/>
      <c r="G1131" s="88"/>
      <c r="H1131" s="118"/>
      <c r="I1131" s="182">
        <f t="shared" si="157"/>
        <v>0</v>
      </c>
      <c r="J1131" s="20">
        <f t="shared" ca="1" si="158"/>
        <v>0</v>
      </c>
      <c r="K1131" s="5">
        <f t="shared" ca="1" si="159"/>
        <v>0</v>
      </c>
      <c r="L1131" s="61">
        <f t="shared" ca="1" si="160"/>
        <v>0</v>
      </c>
      <c r="M1131" s="64">
        <f t="shared" si="161"/>
        <v>0</v>
      </c>
      <c r="N1131" s="151"/>
      <c r="O1131" s="5">
        <f t="shared" ca="1" si="162"/>
        <v>0</v>
      </c>
      <c r="P1131" s="446" t="e">
        <f t="shared" si="163"/>
        <v>#VALUE!</v>
      </c>
      <c r="Q1131" s="446" t="e">
        <f>IF(OR($B1131="",MIN(Q$38,$D$19)&lt;MAX($P$708*($B1131+IF($R$17="Distrato",$I$38-1,0)),IF(AND($L$711=0,$P$708=0),"",$L$711-1),IF($R$17="Distrato",$E1131,0))),0,YEARFRAC(MAX($P$708*($B1131+IF($R$17="Distrato",$I$38-1,0)),IF(AND($L$711=0,$P$708=0),"",$L$711-1),IF($R$17="Distrato",$E1131,0)),MIN(Q$38,$D$19),$P$20))-SUM($P1131:P1131)</f>
        <v>#VALUE!</v>
      </c>
      <c r="R1131" s="446" t="e">
        <f>IF(OR($B1131="",MIN(R$38,$D$19)&lt;MAX($P$708*($B1131+IF($R$17="Distrato",$I$38-1,0)),IF(AND($L$711=0,$P$708=0),"",$L$711-1),IF($R$17="Distrato",$E1131,0))),0,YEARFRAC(MAX($P$708*($B1131+IF($R$17="Distrato",$I$38-1,0)),IF(AND($L$711=0,$P$708=0),"",$L$711-1),IF($R$17="Distrato",$E1131,0)),MIN(R$38,$D$19),$P$20))-SUM($P1131:Q1131)</f>
        <v>#VALUE!</v>
      </c>
      <c r="S1131" s="446" t="e">
        <f>IF(OR($B1131="",MIN(S$38,$D$19)&lt;MAX($P$708*($B1131+IF($R$17="Distrato",$I$38-1,0)),IF(AND($L$711=0,$P$708=0),"",$L$711-1),IF($R$17="Distrato",$E1131,0))),0,YEARFRAC(MAX($P$708*($B1131+IF($R$17="Distrato",$I$38-1,0)),IF(AND($L$711=0,$P$708=0),"",$L$711-1),IF($R$17="Distrato",$E1131,0)),MIN(S$38,$D$19),$P$20))-SUM($P1131:R1131)</f>
        <v>#VALUE!</v>
      </c>
      <c r="T1131" s="446" t="e">
        <f>IF(OR($B1131="",MIN(T$38,$D$19)&lt;MAX($P$708*($B1131+IF($R$17="Distrato",$I$38-1,0)),IF(AND($L$711=0,$P$708=0),"",$L$711-1),IF($R$17="Distrato",$E1131,0))),0,YEARFRAC(MAX($P$708*($B1131+IF($R$17="Distrato",$I$38-1,0)),IF(AND($L$711=0,$P$708=0),"",$L$711-1),IF($R$17="Distrato",$E1131,0)),MIN(T$38,$D$19),$P$20))-SUM($P1131:S1131)</f>
        <v>#VALUE!</v>
      </c>
      <c r="U1131" s="446" t="e">
        <f>IF(OR($B1131="",MIN(U$38,$D$19)&lt;MAX($P$708*($B1131+IF($R$17="Distrato",$I$38-1,0)),IF(AND($L$711=0,$P$708=0),"",$L$711-1),IF($R$17="Distrato",$E1131,0))),0,YEARFRAC(MAX($P$708*($B1131+IF($R$17="Distrato",$I$38-1,0)),IF(AND($L$711=0,$P$708=0),"",$L$711-1),IF($R$17="Distrato",$E1131,0)),MIN(U$38,$D$19),$P$20))-SUM($P1131:T1131)</f>
        <v>#VALUE!</v>
      </c>
      <c r="V1131" s="446" t="e">
        <f>IF(OR($B1131="",MIN(V$38,$D$19)&lt;MAX($P$708*($B1131+IF($R$17="Distrato",$I$38-1,0)),IF(AND($L$711=0,$P$708=0),"",$L$711-1),IF($R$17="Distrato",$E1131,0))),0,YEARFRAC(MAX($P$708*($B1131+IF($R$17="Distrato",$I$38-1,0)),IF(AND($L$711=0,$P$708=0),"",$L$711-1),IF($R$17="Distrato",$E1131,0)),MIN(V$38,$D$19),$P$20))-SUM($P1131:U1131)</f>
        <v>#VALUE!</v>
      </c>
      <c r="W1131" s="446" t="e">
        <f>IF(OR($B1131="",MIN(W$38,$D$19)&lt;MAX($P$708*($B1131+IF($R$17="Distrato",$I$38-1,0)),IF(AND($L$711=0,$P$708=0),"",$L$711-1),IF($R$17="Distrato",$E1131,0))),0,YEARFRAC(MAX($P$708*($B1131+IF($R$17="Distrato",$I$38-1,0)),IF(AND($L$711=0,$P$708=0),"",$L$711-1),IF($R$17="Distrato",$E1131,0)),MIN(W$38,$D$19),$P$20))-SUM($P1131:V1131)</f>
        <v>#VALUE!</v>
      </c>
      <c r="X1131" s="446" t="e">
        <f>IF(OR($B1131="",MIN(X$38,$D$19)&lt;MAX($P$708*($B1131+IF($R$17="Distrato",$I$38-1,0)),IF(AND($L$711=0,$P$708=0),"",$L$711-1),IF($R$17="Distrato",$E1131,0))),0,YEARFRAC(MAX($P$708*($B1131+IF($R$17="Distrato",$I$38-1,0)),IF(AND($L$711=0,$P$708=0),"",$L$711-1),IF($R$17="Distrato",$E1131,0)),MIN(X$38,$D$19),$P$20))-SUM($P1131:W1131)</f>
        <v>#VALUE!</v>
      </c>
      <c r="Y1131" s="446" t="e">
        <f>IF(OR($B1131="",MIN(Y$38,$D$19)&lt;MAX($P$708*($B1131+IF($R$17="Distrato",$I$38-1,0)),IF(AND($L$711=0,$P$708=0),"",$L$711-1),IF($R$17="Distrato",$E1131,0))),0,YEARFRAC(MAX($P$708*($B1131+IF($R$17="Distrato",$I$38-1,0)),IF(AND($L$711=0,$P$708=0),"",$L$711-1),IF($R$17="Distrato",$E1131,0)),MIN(Y$38,$D$19),$P$20))-SUM($P1131:X1131)</f>
        <v>#VALUE!</v>
      </c>
      <c r="Z1131" s="446" t="e">
        <f>IF(OR($B1131="",MIN(Z$38,$D$19)&lt;MAX($P$708*($B1131+IF($R$17="Distrato",$I$38-1,0)),IF(AND($L$711=0,$P$708=0),"",$L$711-1),IF($R$17="Distrato",$E1131,0))),0,YEARFRAC(MAX($P$708*($B1131+IF($R$17="Distrato",$I$38-1,0)),IF(AND($L$711=0,$P$708=0),"",$L$711-1),IF($R$17="Distrato",$E1131,0)),MIN(Z$38,$D$19),$P$20))-SUM($P1131:Y1131)</f>
        <v>#VALUE!</v>
      </c>
      <c r="AA1131" s="446" t="e">
        <f>IF(OR($B1131="",MIN(AA$38,$D$19)&lt;MAX($P$708*($B1131+IF($R$17="Distrato",$I$38-1,0)),IF(AND($L$711=0,$P$708=0),"",$L$711-1),IF($R$17="Distrato",$E1131,0))),0,YEARFRAC(MAX($P$708*($B1131+IF($R$17="Distrato",$I$38-1,0)),IF(AND($L$711=0,$P$708=0),"",$L$711-1),IF($R$17="Distrato",$E1131,0)),MIN(AA$38,$D$19),$P$20))-SUM($P1131:Z1131)</f>
        <v>#VALUE!</v>
      </c>
      <c r="AB1131" s="446" t="e">
        <f>IF(OR($B1131="",MIN(AB$38,$D$19)&lt;MAX($P$708*($B1131+IF($R$17="Distrato",$I$38-1,0)),IF(AND($L$711=0,$P$708=0),"",$L$711-1),IF($R$17="Distrato",$E1131,0))),0,YEARFRAC(MAX($P$708*($B1131+IF($R$17="Distrato",$I$38-1,0)),IF(AND($L$711=0,$P$708=0),"",$L$711-1),IF($R$17="Distrato",$E1131,0)),MIN(AB$38,$D$19),$P$20))-SUM($P1131:AA1131)</f>
        <v>#VALUE!</v>
      </c>
      <c r="AC1131" s="446" t="e">
        <f>IF(OR($B1131="",MIN(AC$38,$D$19)&lt;MAX($P$708*($B1131+IF($R$17="Distrato",$I$38-1,0)),IF(AND($L$711=0,$P$708=0),"",$L$711-1),IF($R$17="Distrato",$E1131,0))),0,YEARFRAC(MAX($P$708*($B1131+IF($R$17="Distrato",$I$38-1,0)),IF(AND($L$711=0,$P$708=0),"",$L$711-1),IF($R$17="Distrato",$E1131,0)),MIN(AC$38,$D$19),$P$20))-SUM($P1131:AB1131)</f>
        <v>#VALUE!</v>
      </c>
      <c r="AD1131" s="446" t="e">
        <f>IF(OR($B1131="",MIN(AD$38,$D$19)&lt;MAX($P$708*($B1131+IF($R$17="Distrato",$I$38-1,0)),IF(AND($L$711=0,$P$708=0),"",$L$711-1),IF($R$17="Distrato",$E1131,0))),0,YEARFRAC(MAX($P$708*($B1131+IF($R$17="Distrato",$I$38-1,0)),IF(AND($L$711=0,$P$708=0),"",$L$711-1),IF($R$17="Distrato",$E1131,0)),MIN(AD$38,$D$19),$P$20))-SUM($P1131:AC1131)</f>
        <v>#VALUE!</v>
      </c>
      <c r="AE1131" s="446" t="e">
        <f>IF(OR($B1131="",MIN(AE$38,$D$19)&lt;MAX($P$708*($B1131+IF($R$17="Distrato",$I$38-1,0)),IF(AND($L$711=0,$P$708=0),"",$L$711-1),IF($R$17="Distrato",$E1131,0))),0,YEARFRAC(MAX($P$708*($B1131+IF($R$17="Distrato",$I$38-1,0)),IF(AND($L$711=0,$P$708=0),"",$L$711-1),IF($R$17="Distrato",$E1131,0)),MIN(AE$38,$D$19),$P$20))-SUM($P1131:AD1131)</f>
        <v>#VALUE!</v>
      </c>
      <c r="AF1131" s="446" t="e">
        <f>IF(OR($B1131="",MIN(AF$38,$D$19)&lt;MAX($P$708*($B1131+IF($R$17="Distrato",$I$38-1,0)),IF(AND($L$711=0,$P$708=0),"",$L$711-1),IF($R$17="Distrato",$E1131,0))),0,YEARFRAC(MAX($P$708*($B1131+IF($R$17="Distrato",$I$38-1,0)),IF(AND($L$711=0,$P$708=0),"",$L$711-1),IF($R$17="Distrato",$E1131,0)),MIN(AF$38,$D$19),$P$20))-SUM($P1131:AE1131)</f>
        <v>#VALUE!</v>
      </c>
      <c r="AG1131" s="446" t="e">
        <f>IF(OR($B1131="",MIN(AG$38,$D$19)&lt;MAX($P$708*($B1131+IF($R$17="Distrato",$I$38-1,0)),IF(AND($L$711=0,$P$708=0),"",$L$711-1),IF($R$17="Distrato",$E1131,0))),0,YEARFRAC(MAX($P$708*($B1131+IF($R$17="Distrato",$I$38-1,0)),IF(AND($L$711=0,$P$708=0),"",$L$711-1),IF($R$17="Distrato",$E1131,0)),MIN(AG$38,$D$19),$P$20))-SUM($P1131:AF1131)</f>
        <v>#VALUE!</v>
      </c>
      <c r="AH1131" s="446" t="e">
        <f>IF(OR($B1131="",MIN(AH$38,$D$19)&lt;MAX($P$708*($B1131+IF($R$17="Distrato",$I$38-1,0)),IF(AND($L$711=0,$P$708=0),"",$L$711-1),IF($R$17="Distrato",$E1131,0))),0,YEARFRAC(MAX($P$708*($B1131+IF($R$17="Distrato",$I$38-1,0)),IF(AND($L$711=0,$P$708=0),"",$L$711-1),IF($R$17="Distrato",$E1131,0)),MIN(AH$38,$D$19),$P$20))-SUM($P1131:AG1131)</f>
        <v>#VALUE!</v>
      </c>
      <c r="AI1131" s="446" t="e">
        <f>IF(OR($B1131="",MIN(AI$38,$D$19)&lt;MAX($P$708*($B1131+IF($R$17="Distrato",$I$38-1,0)),IF(AND($L$711=0,$P$708=0),"",$L$711-1),IF($R$17="Distrato",$E1131,0))),0,YEARFRAC(MAX($P$708*($B1131+IF($R$17="Distrato",$I$38-1,0)),IF(AND($L$711=0,$P$708=0),"",$L$711-1),IF($R$17="Distrato",$E1131,0)),MIN(AI$38,$D$19),$P$20))-SUM($P1131:AH1131)</f>
        <v>#VALUE!</v>
      </c>
      <c r="AJ1131" s="446" t="e">
        <f>IF(OR($B1131="",MIN(AJ$38,$D$19)&lt;MAX($P$708*($B1131+IF($R$17="Distrato",$I$38-1,0)),IF(AND($L$711=0,$P$708=0),"",$L$711-1),IF($R$17="Distrato",$E1131,0))),0,YEARFRAC(MAX($P$708*($B1131+IF($R$17="Distrato",$I$38-1,0)),IF(AND($L$711=0,$P$708=0),"",$L$711-1),IF($R$17="Distrato",$E1131,0)),MIN(AJ$38,$D$19),$P$20))-SUM($P1131:AI1131)</f>
        <v>#VALUE!</v>
      </c>
      <c r="AK1131" s="446" t="e">
        <f>IF(OR($B1131="",MIN(AK$38,$D$19)&lt;MAX($P$708*($B1131+IF($R$17="Distrato",$I$38-1,0)),IF(AND($L$711=0,$P$708=0),"",$L$711-1),IF($R$17="Distrato",$E1131,0))),0,YEARFRAC(MAX($P$708*($B1131+IF($R$17="Distrato",$I$38-1,0)),IF(AND($L$711=0,$P$708=0),"",$L$711-1),IF($R$17="Distrato",$E1131,0)),MIN(AK$38,$D$19),$P$20))-SUM($P1131:AJ1131)</f>
        <v>#VALUE!</v>
      </c>
      <c r="AL1131" s="446" t="e">
        <f>IF(OR($B1131="",MIN(AL$38,$D$19)&lt;MAX($P$708*($B1131+IF($R$17="Distrato",$I$38-1,0)),IF(AND($L$711=0,$P$708=0),"",$L$711-1),IF($R$17="Distrato",$E1131,0))),0,YEARFRAC(MAX($P$708*($B1131+IF($R$17="Distrato",$I$38-1,0)),IF(AND($L$711=0,$P$708=0),"",$L$711-1),IF($R$17="Distrato",$E1131,0)),MIN(AL$38,$D$19),$P$20))-SUM($P1131:AK1131)</f>
        <v>#VALUE!</v>
      </c>
      <c r="AM1131" s="446" t="e">
        <f>IF(OR($B1131="",MIN(AM$38,$D$19)&lt;MAX($P$708*($B1131+IF($R$17="Distrato",$I$38-1,0)),IF(AND($L$711=0,$P$708=0),"",$L$711-1),IF($R$17="Distrato",$E1131,0))),0,YEARFRAC(MAX($P$708*($B1131+IF($R$17="Distrato",$I$38-1,0)),IF(AND($L$711=0,$P$708=0),"",$L$711-1),IF($R$17="Distrato",$E1131,0)),MIN(AM$38,$D$19),$P$20))-SUM($P1131:AL1131)</f>
        <v>#VALUE!</v>
      </c>
      <c r="AN1131" s="446" t="e">
        <f>IF(OR($B1131="",MIN(AN$38,$D$19)&lt;MAX($P$708*($B1131+IF($R$17="Distrato",$I$38-1,0)),IF(AND($L$711=0,$P$708=0),"",$L$711-1),IF($R$17="Distrato",$E1131,0))),0,YEARFRAC(MAX($P$708*($B1131+IF($R$17="Distrato",$I$38-1,0)),IF(AND($L$711=0,$P$708=0),"",$L$711-1),IF($R$17="Distrato",$E1131,0)),MIN(AN$38,$D$19),$P$20))-SUM($P1131:AM1131)</f>
        <v>#VALUE!</v>
      </c>
      <c r="AO1131" s="446" t="e">
        <f>IF(OR($B1131="",MIN(AO$38,$D$19)&lt;MAX($P$708*($B1131+IF($R$17="Distrato",$I$38-1,0)),IF(AND($L$711=0,$P$708=0),"",$L$711-1),IF($R$17="Distrato",$E1131,0))),0,YEARFRAC(MAX($P$708*($B1131+IF($R$17="Distrato",$I$38-1,0)),IF(AND($L$711=0,$P$708=0),"",$L$711-1),IF($R$17="Distrato",$E1131,0)),MIN(AO$38,$D$19),$P$20))-SUM($P1131:AN1131)</f>
        <v>#VALUE!</v>
      </c>
      <c r="AP1131" s="446" t="e">
        <f>IF(OR($B1131="",MIN(AP$38,$D$19)&lt;MAX($P$708*($B1131+IF($R$17="Distrato",$I$38-1,0)),IF(AND($L$711=0,$P$708=0),"",$L$711-1),IF($R$17="Distrato",$E1131,0))),0,YEARFRAC(MAX($P$708*($B1131+IF($R$17="Distrato",$I$38-1,0)),IF(AND($L$711=0,$P$708=0),"",$L$711-1),IF($R$17="Distrato",$E1131,0)),MIN(AP$38,$D$19),$P$20))-SUM($P1131:AO1131)</f>
        <v>#VALUE!</v>
      </c>
      <c r="AQ1131" s="446" t="e">
        <f>IF(OR($B1131="",MIN(AQ$38,$D$19)&lt;MAX($P$708*($B1131+IF($R$17="Distrato",$I$38-1,0)),IF(AND($L$711=0,$P$708=0),"",$L$711-1),IF($R$17="Distrato",$E1131,0))),0,YEARFRAC(MAX($P$708*($B1131+IF($R$17="Distrato",$I$38-1,0)),IF(AND($L$711=0,$P$708=0),"",$L$711-1),IF($R$17="Distrato",$E1131,0)),MIN(AQ$38,$D$19),$P$20))-SUM($P1131:AP1131)</f>
        <v>#VALUE!</v>
      </c>
      <c r="AR1131" s="446" t="e">
        <f>IF(OR($B1131="",MIN(AR$38,$D$19)&lt;MAX($P$708*($B1131+IF($R$17="Distrato",$I$38-1,0)),IF(AND($L$711=0,$P$708=0),"",$L$711-1),IF($R$17="Distrato",$E1131,0))),0,YEARFRAC(MAX($P$708*($B1131+IF($R$17="Distrato",$I$38-1,0)),IF(AND($L$711=0,$P$708=0),"",$L$711-1),IF($R$17="Distrato",$E1131,0)),MIN(AR$38,$D$19),$P$20))-SUM($P1131:AQ1131)</f>
        <v>#VALUE!</v>
      </c>
      <c r="AS1131" s="446" t="e">
        <f>IF(OR($B1131="",MIN(AS$38,$D$19)&lt;MAX($P$708*($B1131+IF($R$17="Distrato",$I$38-1,0)),IF(AND($L$711=0,$P$708=0),"",$L$711-1),IF($R$17="Distrato",$E1131,0))),0,YEARFRAC(MAX($P$708*($B1131+IF($R$17="Distrato",$I$38-1,0)),IF(AND($L$711=0,$P$708=0),"",$L$711-1),IF($R$17="Distrato",$E1131,0)),MIN(AS$38,$D$19),$P$20))-SUM($P1131:AR1131)</f>
        <v>#VALUE!</v>
      </c>
      <c r="AT1131" s="446" t="e">
        <f>IF(OR($B1131="",MIN(AT$38,$D$19)&lt;MAX($P$708*($B1131+IF($R$17="Distrato",$I$38-1,0)),IF(AND($L$711=0,$P$708=0),"",$L$711-1),IF($R$17="Distrato",$E1131,0))),0,YEARFRAC(MAX($P$708*($B1131+IF($R$17="Distrato",$I$38-1,0)),IF(AND($L$711=0,$P$708=0),"",$L$711-1),IF($R$17="Distrato",$E1131,0)),MIN(AT$38,$D$19),$P$20))-SUM($P1131:AS1131)</f>
        <v>#VALUE!</v>
      </c>
      <c r="AU1131" s="446" t="e">
        <f>IF(OR($B1131="",MIN(AU$38,$D$19)&lt;MAX($P$708*($B1131+IF($R$17="Distrato",$I$38-1,0)),IF(AND($L$711=0,$P$708=0),"",$L$711-1),IF($R$17="Distrato",$E1131,0))),0,YEARFRAC(MAX($P$708*($B1131+IF($R$17="Distrato",$I$38-1,0)),IF(AND($L$711=0,$P$708=0),"",$L$711-1),IF($R$17="Distrato",$E1131,0)),MIN(AU$38,$D$19),$P$20))-SUM($P1131:AT1131)</f>
        <v>#VALUE!</v>
      </c>
      <c r="AV1131" s="446" t="e">
        <f>IF(OR($B1131="",MIN(AV$38,$D$19)&lt;MAX($P$708*($B1131+IF($R$17="Distrato",$I$38-1,0)),IF(AND($L$711=0,$P$708=0),"",$L$711-1),IF($R$17="Distrato",$E1131,0))),0,YEARFRAC(MAX($P$708*($B1131+IF($R$17="Distrato",$I$38-1,0)),IF(AND($L$711=0,$P$708=0),"",$L$711-1),IF($R$17="Distrato",$E1131,0)),MIN(AV$38,$D$19),$P$20))-SUM($P1131:AU1131)</f>
        <v>#VALUE!</v>
      </c>
      <c r="AW1131" s="446" t="e">
        <f>IF(OR($B1131="",MIN(AW$38,$D$19)&lt;MAX($P$708*($B1131+IF($R$17="Distrato",$I$38-1,0)),IF(AND($L$711=0,$P$708=0),"",$L$711-1),IF($R$17="Distrato",$E1131,0))),0,YEARFRAC(MAX($P$708*($B1131+IF($R$17="Distrato",$I$38-1,0)),IF(AND($L$711=0,$P$708=0),"",$L$711-1),IF($R$17="Distrato",$E1131,0)),MIN(AW$38,$D$19),$P$20))-SUM($P1131:AV1131)</f>
        <v>#VALUE!</v>
      </c>
      <c r="AX1131" s="446" t="e">
        <f>IF(OR($B1131="",MIN(AX$38,$D$19)&lt;MAX($P$708*($B1131+IF($R$17="Distrato",$I$38-1,0)),IF(AND($L$711=0,$P$708=0),"",$L$711-1),IF($R$17="Distrato",$E1131,0))),0,YEARFRAC(MAX($P$708*($B1131+IF($R$17="Distrato",$I$38-1,0)),IF(AND($L$711=0,$P$708=0),"",$L$711-1),IF($R$17="Distrato",$E1131,0)),MIN(AX$38,$D$19),$P$20))-SUM($P1131:AW1131)</f>
        <v>#VALUE!</v>
      </c>
      <c r="AY1131" s="446" t="e">
        <f>IF(OR($B1131="",MIN(AY$38,$D$19)&lt;MAX($P$708*($B1131+IF($R$17="Distrato",$I$38-1,0)),IF(AND($L$711=0,$P$708=0),"",$L$711-1),IF($R$17="Distrato",$E1131,0))),0,YEARFRAC(MAX($P$708*($B1131+IF($R$17="Distrato",$I$38-1,0)),IF(AND($L$711=0,$P$708=0),"",$L$711-1),IF($R$17="Distrato",$E1131,0)),MIN(AY$38,$D$19),$P$20))-SUM($P1131:AX1131)</f>
        <v>#VALUE!</v>
      </c>
      <c r="AZ1131" s="446" t="e">
        <f>IF(OR($B1131="",MIN(AZ$38,$D$19)&lt;MAX($P$708*($B1131+IF($R$17="Distrato",$I$38-1,0)),IF(AND($L$711=0,$P$708=0),"",$L$711-1),IF($R$17="Distrato",$E1131,0))),0,YEARFRAC(MAX($P$708*($B1131+IF($R$17="Distrato",$I$38-1,0)),IF(AND($L$711=0,$P$708=0),"",$L$711-1),IF($R$17="Distrato",$E1131,0)),MIN(AZ$38,$D$19),$P$20))-SUM($P1131:AY1131)</f>
        <v>#VALUE!</v>
      </c>
      <c r="BA1131" s="446" t="e">
        <f>IF(OR($B1131="",MIN(BA$38,$D$19)&lt;MAX($P$708*($B1131+IF($R$17="Distrato",$I$38-1,0)),IF(AND($L$711=0,$P$708=0),"",$L$711-1),IF($R$17="Distrato",$E1131,0))),0,YEARFRAC(MAX($P$708*($B1131+IF($R$17="Distrato",$I$38-1,0)),IF(AND($L$711=0,$P$708=0),"",$L$711-1),IF($R$17="Distrato",$E1131,0)),MIN(BA$38,$D$19),$P$20))-SUM($P1131:AZ1131)</f>
        <v>#VALUE!</v>
      </c>
      <c r="BB1131" s="447"/>
    </row>
    <row r="1132" spans="1:54" s="446" customFormat="1" ht="11.25" hidden="1" customHeight="1" x14ac:dyDescent="0.2">
      <c r="A1132" s="235"/>
      <c r="B1132" s="236"/>
      <c r="C1132" s="29" t="str">
        <f>IF(B1132="","",IF($L$709=$BL$25,VLOOKUP(DATE(YEAR($D$19),MONTH($D$19)-1,1),ÍNDICES!$A:$DE,HLOOKUP($BL$25,ÍNDICES!$B$3:$T$4,2)+11)-VLOOKUP(B1132,ÍNDICES!$A:$DE,HLOOKUP($BL$25,ÍNDICES!$B$3:$T$4,2)+11)+1%,IF(C$712=$W$26,$J$35,IF(ISERROR(IF(B1132&gt;$D$19,1,VLOOKUP(DATE(YEAR(B1132),MONTH(B1132)+IF($C$709=$S$23,1,0),1),ÍNDICES!$A:$DE,$Z$709+1))),"",IF(B1132&gt;$D$19,1,VLOOKUP(DATE(YEAR(B1132),MONTH(B1132)+IF($C$709=$S$23,1,0),1),ÍNDICES!$A:$DE,$Z$709+1))))))</f>
        <v/>
      </c>
      <c r="D1132" s="155"/>
      <c r="E1132" s="88"/>
      <c r="F1132" s="88"/>
      <c r="G1132" s="88"/>
      <c r="H1132" s="118"/>
      <c r="I1132" s="182">
        <f t="shared" si="157"/>
        <v>0</v>
      </c>
      <c r="J1132" s="20">
        <f t="shared" ca="1" si="158"/>
        <v>0</v>
      </c>
      <c r="K1132" s="5">
        <f t="shared" ca="1" si="159"/>
        <v>0</v>
      </c>
      <c r="L1132" s="61">
        <f t="shared" ca="1" si="160"/>
        <v>0</v>
      </c>
      <c r="M1132" s="64">
        <f t="shared" si="161"/>
        <v>0</v>
      </c>
      <c r="N1132" s="151"/>
      <c r="O1132" s="5">
        <f t="shared" ca="1" si="162"/>
        <v>0</v>
      </c>
      <c r="P1132" s="446" t="e">
        <f t="shared" si="163"/>
        <v>#VALUE!</v>
      </c>
      <c r="Q1132" s="446" t="e">
        <f>IF(OR($B1132="",MIN(Q$38,$D$19)&lt;MAX($P$708*($B1132+IF($R$17="Distrato",$I$38-1,0)),IF(AND($L$711=0,$P$708=0),"",$L$711-1),IF($R$17="Distrato",$E1132,0))),0,YEARFRAC(MAX($P$708*($B1132+IF($R$17="Distrato",$I$38-1,0)),IF(AND($L$711=0,$P$708=0),"",$L$711-1),IF($R$17="Distrato",$E1132,0)),MIN(Q$38,$D$19),$P$20))-SUM($P1132:P1132)</f>
        <v>#VALUE!</v>
      </c>
      <c r="R1132" s="446" t="e">
        <f>IF(OR($B1132="",MIN(R$38,$D$19)&lt;MAX($P$708*($B1132+IF($R$17="Distrato",$I$38-1,0)),IF(AND($L$711=0,$P$708=0),"",$L$711-1),IF($R$17="Distrato",$E1132,0))),0,YEARFRAC(MAX($P$708*($B1132+IF($R$17="Distrato",$I$38-1,0)),IF(AND($L$711=0,$P$708=0),"",$L$711-1),IF($R$17="Distrato",$E1132,0)),MIN(R$38,$D$19),$P$20))-SUM($P1132:Q1132)</f>
        <v>#VALUE!</v>
      </c>
      <c r="S1132" s="446" t="e">
        <f>IF(OR($B1132="",MIN(S$38,$D$19)&lt;MAX($P$708*($B1132+IF($R$17="Distrato",$I$38-1,0)),IF(AND($L$711=0,$P$708=0),"",$L$711-1),IF($R$17="Distrato",$E1132,0))),0,YEARFRAC(MAX($P$708*($B1132+IF($R$17="Distrato",$I$38-1,0)),IF(AND($L$711=0,$P$708=0),"",$L$711-1),IF($R$17="Distrato",$E1132,0)),MIN(S$38,$D$19),$P$20))-SUM($P1132:R1132)</f>
        <v>#VALUE!</v>
      </c>
      <c r="T1132" s="446" t="e">
        <f>IF(OR($B1132="",MIN(T$38,$D$19)&lt;MAX($P$708*($B1132+IF($R$17="Distrato",$I$38-1,0)),IF(AND($L$711=0,$P$708=0),"",$L$711-1),IF($R$17="Distrato",$E1132,0))),0,YEARFRAC(MAX($P$708*($B1132+IF($R$17="Distrato",$I$38-1,0)),IF(AND($L$711=0,$P$708=0),"",$L$711-1),IF($R$17="Distrato",$E1132,0)),MIN(T$38,$D$19),$P$20))-SUM($P1132:S1132)</f>
        <v>#VALUE!</v>
      </c>
      <c r="U1132" s="446" t="e">
        <f>IF(OR($B1132="",MIN(U$38,$D$19)&lt;MAX($P$708*($B1132+IF($R$17="Distrato",$I$38-1,0)),IF(AND($L$711=0,$P$708=0),"",$L$711-1),IF($R$17="Distrato",$E1132,0))),0,YEARFRAC(MAX($P$708*($B1132+IF($R$17="Distrato",$I$38-1,0)),IF(AND($L$711=0,$P$708=0),"",$L$711-1),IF($R$17="Distrato",$E1132,0)),MIN(U$38,$D$19),$P$20))-SUM($P1132:T1132)</f>
        <v>#VALUE!</v>
      </c>
      <c r="V1132" s="446" t="e">
        <f>IF(OR($B1132="",MIN(V$38,$D$19)&lt;MAX($P$708*($B1132+IF($R$17="Distrato",$I$38-1,0)),IF(AND($L$711=0,$P$708=0),"",$L$711-1),IF($R$17="Distrato",$E1132,0))),0,YEARFRAC(MAX($P$708*($B1132+IF($R$17="Distrato",$I$38-1,0)),IF(AND($L$711=0,$P$708=0),"",$L$711-1),IF($R$17="Distrato",$E1132,0)),MIN(V$38,$D$19),$P$20))-SUM($P1132:U1132)</f>
        <v>#VALUE!</v>
      </c>
      <c r="W1132" s="446" t="e">
        <f>IF(OR($B1132="",MIN(W$38,$D$19)&lt;MAX($P$708*($B1132+IF($R$17="Distrato",$I$38-1,0)),IF(AND($L$711=0,$P$708=0),"",$L$711-1),IF($R$17="Distrato",$E1132,0))),0,YEARFRAC(MAX($P$708*($B1132+IF($R$17="Distrato",$I$38-1,0)),IF(AND($L$711=0,$P$708=0),"",$L$711-1),IF($R$17="Distrato",$E1132,0)),MIN(W$38,$D$19),$P$20))-SUM($P1132:V1132)</f>
        <v>#VALUE!</v>
      </c>
      <c r="X1132" s="446" t="e">
        <f>IF(OR($B1132="",MIN(X$38,$D$19)&lt;MAX($P$708*($B1132+IF($R$17="Distrato",$I$38-1,0)),IF(AND($L$711=0,$P$708=0),"",$L$711-1),IF($R$17="Distrato",$E1132,0))),0,YEARFRAC(MAX($P$708*($B1132+IF($R$17="Distrato",$I$38-1,0)),IF(AND($L$711=0,$P$708=0),"",$L$711-1),IF($R$17="Distrato",$E1132,0)),MIN(X$38,$D$19),$P$20))-SUM($P1132:W1132)</f>
        <v>#VALUE!</v>
      </c>
      <c r="Y1132" s="446" t="e">
        <f>IF(OR($B1132="",MIN(Y$38,$D$19)&lt;MAX($P$708*($B1132+IF($R$17="Distrato",$I$38-1,0)),IF(AND($L$711=0,$P$708=0),"",$L$711-1),IF($R$17="Distrato",$E1132,0))),0,YEARFRAC(MAX($P$708*($B1132+IF($R$17="Distrato",$I$38-1,0)),IF(AND($L$711=0,$P$708=0),"",$L$711-1),IF($R$17="Distrato",$E1132,0)),MIN(Y$38,$D$19),$P$20))-SUM($P1132:X1132)</f>
        <v>#VALUE!</v>
      </c>
      <c r="Z1132" s="446" t="e">
        <f>IF(OR($B1132="",MIN(Z$38,$D$19)&lt;MAX($P$708*($B1132+IF($R$17="Distrato",$I$38-1,0)),IF(AND($L$711=0,$P$708=0),"",$L$711-1),IF($R$17="Distrato",$E1132,0))),0,YEARFRAC(MAX($P$708*($B1132+IF($R$17="Distrato",$I$38-1,0)),IF(AND($L$711=0,$P$708=0),"",$L$711-1),IF($R$17="Distrato",$E1132,0)),MIN(Z$38,$D$19),$P$20))-SUM($P1132:Y1132)</f>
        <v>#VALUE!</v>
      </c>
      <c r="AA1132" s="446" t="e">
        <f>IF(OR($B1132="",MIN(AA$38,$D$19)&lt;MAX($P$708*($B1132+IF($R$17="Distrato",$I$38-1,0)),IF(AND($L$711=0,$P$708=0),"",$L$711-1),IF($R$17="Distrato",$E1132,0))),0,YEARFRAC(MAX($P$708*($B1132+IF($R$17="Distrato",$I$38-1,0)),IF(AND($L$711=0,$P$708=0),"",$L$711-1),IF($R$17="Distrato",$E1132,0)),MIN(AA$38,$D$19),$P$20))-SUM($P1132:Z1132)</f>
        <v>#VALUE!</v>
      </c>
      <c r="AB1132" s="446" t="e">
        <f>IF(OR($B1132="",MIN(AB$38,$D$19)&lt;MAX($P$708*($B1132+IF($R$17="Distrato",$I$38-1,0)),IF(AND($L$711=0,$P$708=0),"",$L$711-1),IF($R$17="Distrato",$E1132,0))),0,YEARFRAC(MAX($P$708*($B1132+IF($R$17="Distrato",$I$38-1,0)),IF(AND($L$711=0,$P$708=0),"",$L$711-1),IF($R$17="Distrato",$E1132,0)),MIN(AB$38,$D$19),$P$20))-SUM($P1132:AA1132)</f>
        <v>#VALUE!</v>
      </c>
      <c r="AC1132" s="446" t="e">
        <f>IF(OR($B1132="",MIN(AC$38,$D$19)&lt;MAX($P$708*($B1132+IF($R$17="Distrato",$I$38-1,0)),IF(AND($L$711=0,$P$708=0),"",$L$711-1),IF($R$17="Distrato",$E1132,0))),0,YEARFRAC(MAX($P$708*($B1132+IF($R$17="Distrato",$I$38-1,0)),IF(AND($L$711=0,$P$708=0),"",$L$711-1),IF($R$17="Distrato",$E1132,0)),MIN(AC$38,$D$19),$P$20))-SUM($P1132:AB1132)</f>
        <v>#VALUE!</v>
      </c>
      <c r="AD1132" s="446" t="e">
        <f>IF(OR($B1132="",MIN(AD$38,$D$19)&lt;MAX($P$708*($B1132+IF($R$17="Distrato",$I$38-1,0)),IF(AND($L$711=0,$P$708=0),"",$L$711-1),IF($R$17="Distrato",$E1132,0))),0,YEARFRAC(MAX($P$708*($B1132+IF($R$17="Distrato",$I$38-1,0)),IF(AND($L$711=0,$P$708=0),"",$L$711-1),IF($R$17="Distrato",$E1132,0)),MIN(AD$38,$D$19),$P$20))-SUM($P1132:AC1132)</f>
        <v>#VALUE!</v>
      </c>
      <c r="AE1132" s="446" t="e">
        <f>IF(OR($B1132="",MIN(AE$38,$D$19)&lt;MAX($P$708*($B1132+IF($R$17="Distrato",$I$38-1,0)),IF(AND($L$711=0,$P$708=0),"",$L$711-1),IF($R$17="Distrato",$E1132,0))),0,YEARFRAC(MAX($P$708*($B1132+IF($R$17="Distrato",$I$38-1,0)),IF(AND($L$711=0,$P$708=0),"",$L$711-1),IF($R$17="Distrato",$E1132,0)),MIN(AE$38,$D$19),$P$20))-SUM($P1132:AD1132)</f>
        <v>#VALUE!</v>
      </c>
      <c r="AF1132" s="446" t="e">
        <f>IF(OR($B1132="",MIN(AF$38,$D$19)&lt;MAX($P$708*($B1132+IF($R$17="Distrato",$I$38-1,0)),IF(AND($L$711=0,$P$708=0),"",$L$711-1),IF($R$17="Distrato",$E1132,0))),0,YEARFRAC(MAX($P$708*($B1132+IF($R$17="Distrato",$I$38-1,0)),IF(AND($L$711=0,$P$708=0),"",$L$711-1),IF($R$17="Distrato",$E1132,0)),MIN(AF$38,$D$19),$P$20))-SUM($P1132:AE1132)</f>
        <v>#VALUE!</v>
      </c>
      <c r="AG1132" s="446" t="e">
        <f>IF(OR($B1132="",MIN(AG$38,$D$19)&lt;MAX($P$708*($B1132+IF($R$17="Distrato",$I$38-1,0)),IF(AND($L$711=0,$P$708=0),"",$L$711-1),IF($R$17="Distrato",$E1132,0))),0,YEARFRAC(MAX($P$708*($B1132+IF($R$17="Distrato",$I$38-1,0)),IF(AND($L$711=0,$P$708=0),"",$L$711-1),IF($R$17="Distrato",$E1132,0)),MIN(AG$38,$D$19),$P$20))-SUM($P1132:AF1132)</f>
        <v>#VALUE!</v>
      </c>
      <c r="AH1132" s="446" t="e">
        <f>IF(OR($B1132="",MIN(AH$38,$D$19)&lt;MAX($P$708*($B1132+IF($R$17="Distrato",$I$38-1,0)),IF(AND($L$711=0,$P$708=0),"",$L$711-1),IF($R$17="Distrato",$E1132,0))),0,YEARFRAC(MAX($P$708*($B1132+IF($R$17="Distrato",$I$38-1,0)),IF(AND($L$711=0,$P$708=0),"",$L$711-1),IF($R$17="Distrato",$E1132,0)),MIN(AH$38,$D$19),$P$20))-SUM($P1132:AG1132)</f>
        <v>#VALUE!</v>
      </c>
      <c r="AI1132" s="446" t="e">
        <f>IF(OR($B1132="",MIN(AI$38,$D$19)&lt;MAX($P$708*($B1132+IF($R$17="Distrato",$I$38-1,0)),IF(AND($L$711=0,$P$708=0),"",$L$711-1),IF($R$17="Distrato",$E1132,0))),0,YEARFRAC(MAX($P$708*($B1132+IF($R$17="Distrato",$I$38-1,0)),IF(AND($L$711=0,$P$708=0),"",$L$711-1),IF($R$17="Distrato",$E1132,0)),MIN(AI$38,$D$19),$P$20))-SUM($P1132:AH1132)</f>
        <v>#VALUE!</v>
      </c>
      <c r="AJ1132" s="446" t="e">
        <f>IF(OR($B1132="",MIN(AJ$38,$D$19)&lt;MAX($P$708*($B1132+IF($R$17="Distrato",$I$38-1,0)),IF(AND($L$711=0,$P$708=0),"",$L$711-1),IF($R$17="Distrato",$E1132,0))),0,YEARFRAC(MAX($P$708*($B1132+IF($R$17="Distrato",$I$38-1,0)),IF(AND($L$711=0,$P$708=0),"",$L$711-1),IF($R$17="Distrato",$E1132,0)),MIN(AJ$38,$D$19),$P$20))-SUM($P1132:AI1132)</f>
        <v>#VALUE!</v>
      </c>
      <c r="AK1132" s="446" t="e">
        <f>IF(OR($B1132="",MIN(AK$38,$D$19)&lt;MAX($P$708*($B1132+IF($R$17="Distrato",$I$38-1,0)),IF(AND($L$711=0,$P$708=0),"",$L$711-1),IF($R$17="Distrato",$E1132,0))),0,YEARFRAC(MAX($P$708*($B1132+IF($R$17="Distrato",$I$38-1,0)),IF(AND($L$711=0,$P$708=0),"",$L$711-1),IF($R$17="Distrato",$E1132,0)),MIN(AK$38,$D$19),$P$20))-SUM($P1132:AJ1132)</f>
        <v>#VALUE!</v>
      </c>
      <c r="AL1132" s="446" t="e">
        <f>IF(OR($B1132="",MIN(AL$38,$D$19)&lt;MAX($P$708*($B1132+IF($R$17="Distrato",$I$38-1,0)),IF(AND($L$711=0,$P$708=0),"",$L$711-1),IF($R$17="Distrato",$E1132,0))),0,YEARFRAC(MAX($P$708*($B1132+IF($R$17="Distrato",$I$38-1,0)),IF(AND($L$711=0,$P$708=0),"",$L$711-1),IF($R$17="Distrato",$E1132,0)),MIN(AL$38,$D$19),$P$20))-SUM($P1132:AK1132)</f>
        <v>#VALUE!</v>
      </c>
      <c r="AM1132" s="446" t="e">
        <f>IF(OR($B1132="",MIN(AM$38,$D$19)&lt;MAX($P$708*($B1132+IF($R$17="Distrato",$I$38-1,0)),IF(AND($L$711=0,$P$708=0),"",$L$711-1),IF($R$17="Distrato",$E1132,0))),0,YEARFRAC(MAX($P$708*($B1132+IF($R$17="Distrato",$I$38-1,0)),IF(AND($L$711=0,$P$708=0),"",$L$711-1),IF($R$17="Distrato",$E1132,0)),MIN(AM$38,$D$19),$P$20))-SUM($P1132:AL1132)</f>
        <v>#VALUE!</v>
      </c>
      <c r="AN1132" s="446" t="e">
        <f>IF(OR($B1132="",MIN(AN$38,$D$19)&lt;MAX($P$708*($B1132+IF($R$17="Distrato",$I$38-1,0)),IF(AND($L$711=0,$P$708=0),"",$L$711-1),IF($R$17="Distrato",$E1132,0))),0,YEARFRAC(MAX($P$708*($B1132+IF($R$17="Distrato",$I$38-1,0)),IF(AND($L$711=0,$P$708=0),"",$L$711-1),IF($R$17="Distrato",$E1132,0)),MIN(AN$38,$D$19),$P$20))-SUM($P1132:AM1132)</f>
        <v>#VALUE!</v>
      </c>
      <c r="AO1132" s="446" t="e">
        <f>IF(OR($B1132="",MIN(AO$38,$D$19)&lt;MAX($P$708*($B1132+IF($R$17="Distrato",$I$38-1,0)),IF(AND($L$711=0,$P$708=0),"",$L$711-1),IF($R$17="Distrato",$E1132,0))),0,YEARFRAC(MAX($P$708*($B1132+IF($R$17="Distrato",$I$38-1,0)),IF(AND($L$711=0,$P$708=0),"",$L$711-1),IF($R$17="Distrato",$E1132,0)),MIN(AO$38,$D$19),$P$20))-SUM($P1132:AN1132)</f>
        <v>#VALUE!</v>
      </c>
      <c r="AP1132" s="446" t="e">
        <f>IF(OR($B1132="",MIN(AP$38,$D$19)&lt;MAX($P$708*($B1132+IF($R$17="Distrato",$I$38-1,0)),IF(AND($L$711=0,$P$708=0),"",$L$711-1),IF($R$17="Distrato",$E1132,0))),0,YEARFRAC(MAX($P$708*($B1132+IF($R$17="Distrato",$I$38-1,0)),IF(AND($L$711=0,$P$708=0),"",$L$711-1),IF($R$17="Distrato",$E1132,0)),MIN(AP$38,$D$19),$P$20))-SUM($P1132:AO1132)</f>
        <v>#VALUE!</v>
      </c>
      <c r="AQ1132" s="446" t="e">
        <f>IF(OR($B1132="",MIN(AQ$38,$D$19)&lt;MAX($P$708*($B1132+IF($R$17="Distrato",$I$38-1,0)),IF(AND($L$711=0,$P$708=0),"",$L$711-1),IF($R$17="Distrato",$E1132,0))),0,YEARFRAC(MAX($P$708*($B1132+IF($R$17="Distrato",$I$38-1,0)),IF(AND($L$711=0,$P$708=0),"",$L$711-1),IF($R$17="Distrato",$E1132,0)),MIN(AQ$38,$D$19),$P$20))-SUM($P1132:AP1132)</f>
        <v>#VALUE!</v>
      </c>
      <c r="AR1132" s="446" t="e">
        <f>IF(OR($B1132="",MIN(AR$38,$D$19)&lt;MAX($P$708*($B1132+IF($R$17="Distrato",$I$38-1,0)),IF(AND($L$711=0,$P$708=0),"",$L$711-1),IF($R$17="Distrato",$E1132,0))),0,YEARFRAC(MAX($P$708*($B1132+IF($R$17="Distrato",$I$38-1,0)),IF(AND($L$711=0,$P$708=0),"",$L$711-1),IF($R$17="Distrato",$E1132,0)),MIN(AR$38,$D$19),$P$20))-SUM($P1132:AQ1132)</f>
        <v>#VALUE!</v>
      </c>
      <c r="AS1132" s="446" t="e">
        <f>IF(OR($B1132="",MIN(AS$38,$D$19)&lt;MAX($P$708*($B1132+IF($R$17="Distrato",$I$38-1,0)),IF(AND($L$711=0,$P$708=0),"",$L$711-1),IF($R$17="Distrato",$E1132,0))),0,YEARFRAC(MAX($P$708*($B1132+IF($R$17="Distrato",$I$38-1,0)),IF(AND($L$711=0,$P$708=0),"",$L$711-1),IF($R$17="Distrato",$E1132,0)),MIN(AS$38,$D$19),$P$20))-SUM($P1132:AR1132)</f>
        <v>#VALUE!</v>
      </c>
      <c r="AT1132" s="446" t="e">
        <f>IF(OR($B1132="",MIN(AT$38,$D$19)&lt;MAX($P$708*($B1132+IF($R$17="Distrato",$I$38-1,0)),IF(AND($L$711=0,$P$708=0),"",$L$711-1),IF($R$17="Distrato",$E1132,0))),0,YEARFRAC(MAX($P$708*($B1132+IF($R$17="Distrato",$I$38-1,0)),IF(AND($L$711=0,$P$708=0),"",$L$711-1),IF($R$17="Distrato",$E1132,0)),MIN(AT$38,$D$19),$P$20))-SUM($P1132:AS1132)</f>
        <v>#VALUE!</v>
      </c>
      <c r="AU1132" s="446" t="e">
        <f>IF(OR($B1132="",MIN(AU$38,$D$19)&lt;MAX($P$708*($B1132+IF($R$17="Distrato",$I$38-1,0)),IF(AND($L$711=0,$P$708=0),"",$L$711-1),IF($R$17="Distrato",$E1132,0))),0,YEARFRAC(MAX($P$708*($B1132+IF($R$17="Distrato",$I$38-1,0)),IF(AND($L$711=0,$P$708=0),"",$L$711-1),IF($R$17="Distrato",$E1132,0)),MIN(AU$38,$D$19),$P$20))-SUM($P1132:AT1132)</f>
        <v>#VALUE!</v>
      </c>
      <c r="AV1132" s="446" t="e">
        <f>IF(OR($B1132="",MIN(AV$38,$D$19)&lt;MAX($P$708*($B1132+IF($R$17="Distrato",$I$38-1,0)),IF(AND($L$711=0,$P$708=0),"",$L$711-1),IF($R$17="Distrato",$E1132,0))),0,YEARFRAC(MAX($P$708*($B1132+IF($R$17="Distrato",$I$38-1,0)),IF(AND($L$711=0,$P$708=0),"",$L$711-1),IF($R$17="Distrato",$E1132,0)),MIN(AV$38,$D$19),$P$20))-SUM($P1132:AU1132)</f>
        <v>#VALUE!</v>
      </c>
      <c r="AW1132" s="446" t="e">
        <f>IF(OR($B1132="",MIN(AW$38,$D$19)&lt;MAX($P$708*($B1132+IF($R$17="Distrato",$I$38-1,0)),IF(AND($L$711=0,$P$708=0),"",$L$711-1),IF($R$17="Distrato",$E1132,0))),0,YEARFRAC(MAX($P$708*($B1132+IF($R$17="Distrato",$I$38-1,0)),IF(AND($L$711=0,$P$708=0),"",$L$711-1),IF($R$17="Distrato",$E1132,0)),MIN(AW$38,$D$19),$P$20))-SUM($P1132:AV1132)</f>
        <v>#VALUE!</v>
      </c>
      <c r="AX1132" s="446" t="e">
        <f>IF(OR($B1132="",MIN(AX$38,$D$19)&lt;MAX($P$708*($B1132+IF($R$17="Distrato",$I$38-1,0)),IF(AND($L$711=0,$P$708=0),"",$L$711-1),IF($R$17="Distrato",$E1132,0))),0,YEARFRAC(MAX($P$708*($B1132+IF($R$17="Distrato",$I$38-1,0)),IF(AND($L$711=0,$P$708=0),"",$L$711-1),IF($R$17="Distrato",$E1132,0)),MIN(AX$38,$D$19),$P$20))-SUM($P1132:AW1132)</f>
        <v>#VALUE!</v>
      </c>
      <c r="AY1132" s="446" t="e">
        <f>IF(OR($B1132="",MIN(AY$38,$D$19)&lt;MAX($P$708*($B1132+IF($R$17="Distrato",$I$38-1,0)),IF(AND($L$711=0,$P$708=0),"",$L$711-1),IF($R$17="Distrato",$E1132,0))),0,YEARFRAC(MAX($P$708*($B1132+IF($R$17="Distrato",$I$38-1,0)),IF(AND($L$711=0,$P$708=0),"",$L$711-1),IF($R$17="Distrato",$E1132,0)),MIN(AY$38,$D$19),$P$20))-SUM($P1132:AX1132)</f>
        <v>#VALUE!</v>
      </c>
      <c r="AZ1132" s="446" t="e">
        <f>IF(OR($B1132="",MIN(AZ$38,$D$19)&lt;MAX($P$708*($B1132+IF($R$17="Distrato",$I$38-1,0)),IF(AND($L$711=0,$P$708=0),"",$L$711-1),IF($R$17="Distrato",$E1132,0))),0,YEARFRAC(MAX($P$708*($B1132+IF($R$17="Distrato",$I$38-1,0)),IF(AND($L$711=0,$P$708=0),"",$L$711-1),IF($R$17="Distrato",$E1132,0)),MIN(AZ$38,$D$19),$P$20))-SUM($P1132:AY1132)</f>
        <v>#VALUE!</v>
      </c>
      <c r="BA1132" s="446" t="e">
        <f>IF(OR($B1132="",MIN(BA$38,$D$19)&lt;MAX($P$708*($B1132+IF($R$17="Distrato",$I$38-1,0)),IF(AND($L$711=0,$P$708=0),"",$L$711-1),IF($R$17="Distrato",$E1132,0))),0,YEARFRAC(MAX($P$708*($B1132+IF($R$17="Distrato",$I$38-1,0)),IF(AND($L$711=0,$P$708=0),"",$L$711-1),IF($R$17="Distrato",$E1132,0)),MIN(BA$38,$D$19),$P$20))-SUM($P1132:AZ1132)</f>
        <v>#VALUE!</v>
      </c>
      <c r="BB1132" s="447"/>
    </row>
    <row r="1133" spans="1:54" s="446" customFormat="1" ht="11.25" hidden="1" customHeight="1" x14ac:dyDescent="0.2">
      <c r="A1133" s="235"/>
      <c r="B1133" s="236"/>
      <c r="C1133" s="29" t="str">
        <f>IF(B1133="","",IF($L$709=$BL$25,VLOOKUP(DATE(YEAR($D$19),MONTH($D$19)-1,1),ÍNDICES!$A:$DE,HLOOKUP($BL$25,ÍNDICES!$B$3:$T$4,2)+11)-VLOOKUP(B1133,ÍNDICES!$A:$DE,HLOOKUP($BL$25,ÍNDICES!$B$3:$T$4,2)+11)+1%,IF(C$712=$W$26,$J$35,IF(ISERROR(IF(B1133&gt;$D$19,1,VLOOKUP(DATE(YEAR(B1133),MONTH(B1133)+IF($C$709=$S$23,1,0),1),ÍNDICES!$A:$DE,$Z$709+1))),"",IF(B1133&gt;$D$19,1,VLOOKUP(DATE(YEAR(B1133),MONTH(B1133)+IF($C$709=$S$23,1,0),1),ÍNDICES!$A:$DE,$Z$709+1))))))</f>
        <v/>
      </c>
      <c r="D1133" s="155"/>
      <c r="E1133" s="88"/>
      <c r="F1133" s="88"/>
      <c r="G1133" s="88"/>
      <c r="H1133" s="118"/>
      <c r="I1133" s="182">
        <f t="shared" si="157"/>
        <v>0</v>
      </c>
      <c r="J1133" s="20">
        <f t="shared" ca="1" si="158"/>
        <v>0</v>
      </c>
      <c r="K1133" s="5">
        <f t="shared" ca="1" si="159"/>
        <v>0</v>
      </c>
      <c r="L1133" s="61">
        <f t="shared" ca="1" si="160"/>
        <v>0</v>
      </c>
      <c r="M1133" s="64">
        <f t="shared" si="161"/>
        <v>0</v>
      </c>
      <c r="N1133" s="151"/>
      <c r="O1133" s="5">
        <f t="shared" ca="1" si="162"/>
        <v>0</v>
      </c>
      <c r="P1133" s="446" t="e">
        <f t="shared" si="163"/>
        <v>#VALUE!</v>
      </c>
      <c r="Q1133" s="446" t="e">
        <f>IF(OR($B1133="",MIN(Q$38,$D$19)&lt;MAX($P$708*($B1133+IF($R$17="Distrato",$I$38-1,0)),IF(AND($L$711=0,$P$708=0),"",$L$711-1),IF($R$17="Distrato",$E1133,0))),0,YEARFRAC(MAX($P$708*($B1133+IF($R$17="Distrato",$I$38-1,0)),IF(AND($L$711=0,$P$708=0),"",$L$711-1),IF($R$17="Distrato",$E1133,0)),MIN(Q$38,$D$19),$P$20))-SUM($P1133:P1133)</f>
        <v>#VALUE!</v>
      </c>
      <c r="R1133" s="446" t="e">
        <f>IF(OR($B1133="",MIN(R$38,$D$19)&lt;MAX($P$708*($B1133+IF($R$17="Distrato",$I$38-1,0)),IF(AND($L$711=0,$P$708=0),"",$L$711-1),IF($R$17="Distrato",$E1133,0))),0,YEARFRAC(MAX($P$708*($B1133+IF($R$17="Distrato",$I$38-1,0)),IF(AND($L$711=0,$P$708=0),"",$L$711-1),IF($R$17="Distrato",$E1133,0)),MIN(R$38,$D$19),$P$20))-SUM($P1133:Q1133)</f>
        <v>#VALUE!</v>
      </c>
      <c r="S1133" s="446" t="e">
        <f>IF(OR($B1133="",MIN(S$38,$D$19)&lt;MAX($P$708*($B1133+IF($R$17="Distrato",$I$38-1,0)),IF(AND($L$711=0,$P$708=0),"",$L$711-1),IF($R$17="Distrato",$E1133,0))),0,YEARFRAC(MAX($P$708*($B1133+IF($R$17="Distrato",$I$38-1,0)),IF(AND($L$711=0,$P$708=0),"",$L$711-1),IF($R$17="Distrato",$E1133,0)),MIN(S$38,$D$19),$P$20))-SUM($P1133:R1133)</f>
        <v>#VALUE!</v>
      </c>
      <c r="T1133" s="446" t="e">
        <f>IF(OR($B1133="",MIN(T$38,$D$19)&lt;MAX($P$708*($B1133+IF($R$17="Distrato",$I$38-1,0)),IF(AND($L$711=0,$P$708=0),"",$L$711-1),IF($R$17="Distrato",$E1133,0))),0,YEARFRAC(MAX($P$708*($B1133+IF($R$17="Distrato",$I$38-1,0)),IF(AND($L$711=0,$P$708=0),"",$L$711-1),IF($R$17="Distrato",$E1133,0)),MIN(T$38,$D$19),$P$20))-SUM($P1133:S1133)</f>
        <v>#VALUE!</v>
      </c>
      <c r="U1133" s="446" t="e">
        <f>IF(OR($B1133="",MIN(U$38,$D$19)&lt;MAX($P$708*($B1133+IF($R$17="Distrato",$I$38-1,0)),IF(AND($L$711=0,$P$708=0),"",$L$711-1),IF($R$17="Distrato",$E1133,0))),0,YEARFRAC(MAX($P$708*($B1133+IF($R$17="Distrato",$I$38-1,0)),IF(AND($L$711=0,$P$708=0),"",$L$711-1),IF($R$17="Distrato",$E1133,0)),MIN(U$38,$D$19),$P$20))-SUM($P1133:T1133)</f>
        <v>#VALUE!</v>
      </c>
      <c r="V1133" s="446" t="e">
        <f>IF(OR($B1133="",MIN(V$38,$D$19)&lt;MAX($P$708*($B1133+IF($R$17="Distrato",$I$38-1,0)),IF(AND($L$711=0,$P$708=0),"",$L$711-1),IF($R$17="Distrato",$E1133,0))),0,YEARFRAC(MAX($P$708*($B1133+IF($R$17="Distrato",$I$38-1,0)),IF(AND($L$711=0,$P$708=0),"",$L$711-1),IF($R$17="Distrato",$E1133,0)),MIN(V$38,$D$19),$P$20))-SUM($P1133:U1133)</f>
        <v>#VALUE!</v>
      </c>
      <c r="W1133" s="446" t="e">
        <f>IF(OR($B1133="",MIN(W$38,$D$19)&lt;MAX($P$708*($B1133+IF($R$17="Distrato",$I$38-1,0)),IF(AND($L$711=0,$P$708=0),"",$L$711-1),IF($R$17="Distrato",$E1133,0))),0,YEARFRAC(MAX($P$708*($B1133+IF($R$17="Distrato",$I$38-1,0)),IF(AND($L$711=0,$P$708=0),"",$L$711-1),IF($R$17="Distrato",$E1133,0)),MIN(W$38,$D$19),$P$20))-SUM($P1133:V1133)</f>
        <v>#VALUE!</v>
      </c>
      <c r="X1133" s="446" t="e">
        <f>IF(OR($B1133="",MIN(X$38,$D$19)&lt;MAX($P$708*($B1133+IF($R$17="Distrato",$I$38-1,0)),IF(AND($L$711=0,$P$708=0),"",$L$711-1),IF($R$17="Distrato",$E1133,0))),0,YEARFRAC(MAX($P$708*($B1133+IF($R$17="Distrato",$I$38-1,0)),IF(AND($L$711=0,$P$708=0),"",$L$711-1),IF($R$17="Distrato",$E1133,0)),MIN(X$38,$D$19),$P$20))-SUM($P1133:W1133)</f>
        <v>#VALUE!</v>
      </c>
      <c r="Y1133" s="446" t="e">
        <f>IF(OR($B1133="",MIN(Y$38,$D$19)&lt;MAX($P$708*($B1133+IF($R$17="Distrato",$I$38-1,0)),IF(AND($L$711=0,$P$708=0),"",$L$711-1),IF($R$17="Distrato",$E1133,0))),0,YEARFRAC(MAX($P$708*($B1133+IF($R$17="Distrato",$I$38-1,0)),IF(AND($L$711=0,$P$708=0),"",$L$711-1),IF($R$17="Distrato",$E1133,0)),MIN(Y$38,$D$19),$P$20))-SUM($P1133:X1133)</f>
        <v>#VALUE!</v>
      </c>
      <c r="Z1133" s="446" t="e">
        <f>IF(OR($B1133="",MIN(Z$38,$D$19)&lt;MAX($P$708*($B1133+IF($R$17="Distrato",$I$38-1,0)),IF(AND($L$711=0,$P$708=0),"",$L$711-1),IF($R$17="Distrato",$E1133,0))),0,YEARFRAC(MAX($P$708*($B1133+IF($R$17="Distrato",$I$38-1,0)),IF(AND($L$711=0,$P$708=0),"",$L$711-1),IF($R$17="Distrato",$E1133,0)),MIN(Z$38,$D$19),$P$20))-SUM($P1133:Y1133)</f>
        <v>#VALUE!</v>
      </c>
      <c r="AA1133" s="446" t="e">
        <f>IF(OR($B1133="",MIN(AA$38,$D$19)&lt;MAX($P$708*($B1133+IF($R$17="Distrato",$I$38-1,0)),IF(AND($L$711=0,$P$708=0),"",$L$711-1),IF($R$17="Distrato",$E1133,0))),0,YEARFRAC(MAX($P$708*($B1133+IF($R$17="Distrato",$I$38-1,0)),IF(AND($L$711=0,$P$708=0),"",$L$711-1),IF($R$17="Distrato",$E1133,0)),MIN(AA$38,$D$19),$P$20))-SUM($P1133:Z1133)</f>
        <v>#VALUE!</v>
      </c>
      <c r="AB1133" s="446" t="e">
        <f>IF(OR($B1133="",MIN(AB$38,$D$19)&lt;MAX($P$708*($B1133+IF($R$17="Distrato",$I$38-1,0)),IF(AND($L$711=0,$P$708=0),"",$L$711-1),IF($R$17="Distrato",$E1133,0))),0,YEARFRAC(MAX($P$708*($B1133+IF($R$17="Distrato",$I$38-1,0)),IF(AND($L$711=0,$P$708=0),"",$L$711-1),IF($R$17="Distrato",$E1133,0)),MIN(AB$38,$D$19),$P$20))-SUM($P1133:AA1133)</f>
        <v>#VALUE!</v>
      </c>
      <c r="AC1133" s="446" t="e">
        <f>IF(OR($B1133="",MIN(AC$38,$D$19)&lt;MAX($P$708*($B1133+IF($R$17="Distrato",$I$38-1,0)),IF(AND($L$711=0,$P$708=0),"",$L$711-1),IF($R$17="Distrato",$E1133,0))),0,YEARFRAC(MAX($P$708*($B1133+IF($R$17="Distrato",$I$38-1,0)),IF(AND($L$711=0,$P$708=0),"",$L$711-1),IF($R$17="Distrato",$E1133,0)),MIN(AC$38,$D$19),$P$20))-SUM($P1133:AB1133)</f>
        <v>#VALUE!</v>
      </c>
      <c r="AD1133" s="446" t="e">
        <f>IF(OR($B1133="",MIN(AD$38,$D$19)&lt;MAX($P$708*($B1133+IF($R$17="Distrato",$I$38-1,0)),IF(AND($L$711=0,$P$708=0),"",$L$711-1),IF($R$17="Distrato",$E1133,0))),0,YEARFRAC(MAX($P$708*($B1133+IF($R$17="Distrato",$I$38-1,0)),IF(AND($L$711=0,$P$708=0),"",$L$711-1),IF($R$17="Distrato",$E1133,0)),MIN(AD$38,$D$19),$P$20))-SUM($P1133:AC1133)</f>
        <v>#VALUE!</v>
      </c>
      <c r="AE1133" s="446" t="e">
        <f>IF(OR($B1133="",MIN(AE$38,$D$19)&lt;MAX($P$708*($B1133+IF($R$17="Distrato",$I$38-1,0)),IF(AND($L$711=0,$P$708=0),"",$L$711-1),IF($R$17="Distrato",$E1133,0))),0,YEARFRAC(MAX($P$708*($B1133+IF($R$17="Distrato",$I$38-1,0)),IF(AND($L$711=0,$P$708=0),"",$L$711-1),IF($R$17="Distrato",$E1133,0)),MIN(AE$38,$D$19),$P$20))-SUM($P1133:AD1133)</f>
        <v>#VALUE!</v>
      </c>
      <c r="AF1133" s="446" t="e">
        <f>IF(OR($B1133="",MIN(AF$38,$D$19)&lt;MAX($P$708*($B1133+IF($R$17="Distrato",$I$38-1,0)),IF(AND($L$711=0,$P$708=0),"",$L$711-1),IF($R$17="Distrato",$E1133,0))),0,YEARFRAC(MAX($P$708*($B1133+IF($R$17="Distrato",$I$38-1,0)),IF(AND($L$711=0,$P$708=0),"",$L$711-1),IF($R$17="Distrato",$E1133,0)),MIN(AF$38,$D$19),$P$20))-SUM($P1133:AE1133)</f>
        <v>#VALUE!</v>
      </c>
      <c r="AG1133" s="446" t="e">
        <f>IF(OR($B1133="",MIN(AG$38,$D$19)&lt;MAX($P$708*($B1133+IF($R$17="Distrato",$I$38-1,0)),IF(AND($L$711=0,$P$708=0),"",$L$711-1),IF($R$17="Distrato",$E1133,0))),0,YEARFRAC(MAX($P$708*($B1133+IF($R$17="Distrato",$I$38-1,0)),IF(AND($L$711=0,$P$708=0),"",$L$711-1),IF($R$17="Distrato",$E1133,0)),MIN(AG$38,$D$19),$P$20))-SUM($P1133:AF1133)</f>
        <v>#VALUE!</v>
      </c>
      <c r="AH1133" s="446" t="e">
        <f>IF(OR($B1133="",MIN(AH$38,$D$19)&lt;MAX($P$708*($B1133+IF($R$17="Distrato",$I$38-1,0)),IF(AND($L$711=0,$P$708=0),"",$L$711-1),IF($R$17="Distrato",$E1133,0))),0,YEARFRAC(MAX($P$708*($B1133+IF($R$17="Distrato",$I$38-1,0)),IF(AND($L$711=0,$P$708=0),"",$L$711-1),IF($R$17="Distrato",$E1133,0)),MIN(AH$38,$D$19),$P$20))-SUM($P1133:AG1133)</f>
        <v>#VALUE!</v>
      </c>
      <c r="AI1133" s="446" t="e">
        <f>IF(OR($B1133="",MIN(AI$38,$D$19)&lt;MAX($P$708*($B1133+IF($R$17="Distrato",$I$38-1,0)),IF(AND($L$711=0,$P$708=0),"",$L$711-1),IF($R$17="Distrato",$E1133,0))),0,YEARFRAC(MAX($P$708*($B1133+IF($R$17="Distrato",$I$38-1,0)),IF(AND($L$711=0,$P$708=0),"",$L$711-1),IF($R$17="Distrato",$E1133,0)),MIN(AI$38,$D$19),$P$20))-SUM($P1133:AH1133)</f>
        <v>#VALUE!</v>
      </c>
      <c r="AJ1133" s="446" t="e">
        <f>IF(OR($B1133="",MIN(AJ$38,$D$19)&lt;MAX($P$708*($B1133+IF($R$17="Distrato",$I$38-1,0)),IF(AND($L$711=0,$P$708=0),"",$L$711-1),IF($R$17="Distrato",$E1133,0))),0,YEARFRAC(MAX($P$708*($B1133+IF($R$17="Distrato",$I$38-1,0)),IF(AND($L$711=0,$P$708=0),"",$L$711-1),IF($R$17="Distrato",$E1133,0)),MIN(AJ$38,$D$19),$P$20))-SUM($P1133:AI1133)</f>
        <v>#VALUE!</v>
      </c>
      <c r="AK1133" s="446" t="e">
        <f>IF(OR($B1133="",MIN(AK$38,$D$19)&lt;MAX($P$708*($B1133+IF($R$17="Distrato",$I$38-1,0)),IF(AND($L$711=0,$P$708=0),"",$L$711-1),IF($R$17="Distrato",$E1133,0))),0,YEARFRAC(MAX($P$708*($B1133+IF($R$17="Distrato",$I$38-1,0)),IF(AND($L$711=0,$P$708=0),"",$L$711-1),IF($R$17="Distrato",$E1133,0)),MIN(AK$38,$D$19),$P$20))-SUM($P1133:AJ1133)</f>
        <v>#VALUE!</v>
      </c>
      <c r="AL1133" s="446" t="e">
        <f>IF(OR($B1133="",MIN(AL$38,$D$19)&lt;MAX($P$708*($B1133+IF($R$17="Distrato",$I$38-1,0)),IF(AND($L$711=0,$P$708=0),"",$L$711-1),IF($R$17="Distrato",$E1133,0))),0,YEARFRAC(MAX($P$708*($B1133+IF($R$17="Distrato",$I$38-1,0)),IF(AND($L$711=0,$P$708=0),"",$L$711-1),IF($R$17="Distrato",$E1133,0)),MIN(AL$38,$D$19),$P$20))-SUM($P1133:AK1133)</f>
        <v>#VALUE!</v>
      </c>
      <c r="AM1133" s="446" t="e">
        <f>IF(OR($B1133="",MIN(AM$38,$D$19)&lt;MAX($P$708*($B1133+IF($R$17="Distrato",$I$38-1,0)),IF(AND($L$711=0,$P$708=0),"",$L$711-1),IF($R$17="Distrato",$E1133,0))),0,YEARFRAC(MAX($P$708*($B1133+IF($R$17="Distrato",$I$38-1,0)),IF(AND($L$711=0,$P$708=0),"",$L$711-1),IF($R$17="Distrato",$E1133,0)),MIN(AM$38,$D$19),$P$20))-SUM($P1133:AL1133)</f>
        <v>#VALUE!</v>
      </c>
      <c r="AN1133" s="446" t="e">
        <f>IF(OR($B1133="",MIN(AN$38,$D$19)&lt;MAX($P$708*($B1133+IF($R$17="Distrato",$I$38-1,0)),IF(AND($L$711=0,$P$708=0),"",$L$711-1),IF($R$17="Distrato",$E1133,0))),0,YEARFRAC(MAX($P$708*($B1133+IF($R$17="Distrato",$I$38-1,0)),IF(AND($L$711=0,$P$708=0),"",$L$711-1),IF($R$17="Distrato",$E1133,0)),MIN(AN$38,$D$19),$P$20))-SUM($P1133:AM1133)</f>
        <v>#VALUE!</v>
      </c>
      <c r="AO1133" s="446" t="e">
        <f>IF(OR($B1133="",MIN(AO$38,$D$19)&lt;MAX($P$708*($B1133+IF($R$17="Distrato",$I$38-1,0)),IF(AND($L$711=0,$P$708=0),"",$L$711-1),IF($R$17="Distrato",$E1133,0))),0,YEARFRAC(MAX($P$708*($B1133+IF($R$17="Distrato",$I$38-1,0)),IF(AND($L$711=0,$P$708=0),"",$L$711-1),IF($R$17="Distrato",$E1133,0)),MIN(AO$38,$D$19),$P$20))-SUM($P1133:AN1133)</f>
        <v>#VALUE!</v>
      </c>
      <c r="AP1133" s="446" t="e">
        <f>IF(OR($B1133="",MIN(AP$38,$D$19)&lt;MAX($P$708*($B1133+IF($R$17="Distrato",$I$38-1,0)),IF(AND($L$711=0,$P$708=0),"",$L$711-1),IF($R$17="Distrato",$E1133,0))),0,YEARFRAC(MAX($P$708*($B1133+IF($R$17="Distrato",$I$38-1,0)),IF(AND($L$711=0,$P$708=0),"",$L$711-1),IF($R$17="Distrato",$E1133,0)),MIN(AP$38,$D$19),$P$20))-SUM($P1133:AO1133)</f>
        <v>#VALUE!</v>
      </c>
      <c r="AQ1133" s="446" t="e">
        <f>IF(OR($B1133="",MIN(AQ$38,$D$19)&lt;MAX($P$708*($B1133+IF($R$17="Distrato",$I$38-1,0)),IF(AND($L$711=0,$P$708=0),"",$L$711-1),IF($R$17="Distrato",$E1133,0))),0,YEARFRAC(MAX($P$708*($B1133+IF($R$17="Distrato",$I$38-1,0)),IF(AND($L$711=0,$P$708=0),"",$L$711-1),IF($R$17="Distrato",$E1133,0)),MIN(AQ$38,$D$19),$P$20))-SUM($P1133:AP1133)</f>
        <v>#VALUE!</v>
      </c>
      <c r="AR1133" s="446" t="e">
        <f>IF(OR($B1133="",MIN(AR$38,$D$19)&lt;MAX($P$708*($B1133+IF($R$17="Distrato",$I$38-1,0)),IF(AND($L$711=0,$P$708=0),"",$L$711-1),IF($R$17="Distrato",$E1133,0))),0,YEARFRAC(MAX($P$708*($B1133+IF($R$17="Distrato",$I$38-1,0)),IF(AND($L$711=0,$P$708=0),"",$L$711-1),IF($R$17="Distrato",$E1133,0)),MIN(AR$38,$D$19),$P$20))-SUM($P1133:AQ1133)</f>
        <v>#VALUE!</v>
      </c>
      <c r="AS1133" s="446" t="e">
        <f>IF(OR($B1133="",MIN(AS$38,$D$19)&lt;MAX($P$708*($B1133+IF($R$17="Distrato",$I$38-1,0)),IF(AND($L$711=0,$P$708=0),"",$L$711-1),IF($R$17="Distrato",$E1133,0))),0,YEARFRAC(MAX($P$708*($B1133+IF($R$17="Distrato",$I$38-1,0)),IF(AND($L$711=0,$P$708=0),"",$L$711-1),IF($R$17="Distrato",$E1133,0)),MIN(AS$38,$D$19),$P$20))-SUM($P1133:AR1133)</f>
        <v>#VALUE!</v>
      </c>
      <c r="AT1133" s="446" t="e">
        <f>IF(OR($B1133="",MIN(AT$38,$D$19)&lt;MAX($P$708*($B1133+IF($R$17="Distrato",$I$38-1,0)),IF(AND($L$711=0,$P$708=0),"",$L$711-1),IF($R$17="Distrato",$E1133,0))),0,YEARFRAC(MAX($P$708*($B1133+IF($R$17="Distrato",$I$38-1,0)),IF(AND($L$711=0,$P$708=0),"",$L$711-1),IF($R$17="Distrato",$E1133,0)),MIN(AT$38,$D$19),$P$20))-SUM($P1133:AS1133)</f>
        <v>#VALUE!</v>
      </c>
      <c r="AU1133" s="446" t="e">
        <f>IF(OR($B1133="",MIN(AU$38,$D$19)&lt;MAX($P$708*($B1133+IF($R$17="Distrato",$I$38-1,0)),IF(AND($L$711=0,$P$708=0),"",$L$711-1),IF($R$17="Distrato",$E1133,0))),0,YEARFRAC(MAX($P$708*($B1133+IF($R$17="Distrato",$I$38-1,0)),IF(AND($L$711=0,$P$708=0),"",$L$711-1),IF($R$17="Distrato",$E1133,0)),MIN(AU$38,$D$19),$P$20))-SUM($P1133:AT1133)</f>
        <v>#VALUE!</v>
      </c>
      <c r="AV1133" s="446" t="e">
        <f>IF(OR($B1133="",MIN(AV$38,$D$19)&lt;MAX($P$708*($B1133+IF($R$17="Distrato",$I$38-1,0)),IF(AND($L$711=0,$P$708=0),"",$L$711-1),IF($R$17="Distrato",$E1133,0))),0,YEARFRAC(MAX($P$708*($B1133+IF($R$17="Distrato",$I$38-1,0)),IF(AND($L$711=0,$P$708=0),"",$L$711-1),IF($R$17="Distrato",$E1133,0)),MIN(AV$38,$D$19),$P$20))-SUM($P1133:AU1133)</f>
        <v>#VALUE!</v>
      </c>
      <c r="AW1133" s="446" t="e">
        <f>IF(OR($B1133="",MIN(AW$38,$D$19)&lt;MAX($P$708*($B1133+IF($R$17="Distrato",$I$38-1,0)),IF(AND($L$711=0,$P$708=0),"",$L$711-1),IF($R$17="Distrato",$E1133,0))),0,YEARFRAC(MAX($P$708*($B1133+IF($R$17="Distrato",$I$38-1,0)),IF(AND($L$711=0,$P$708=0),"",$L$711-1),IF($R$17="Distrato",$E1133,0)),MIN(AW$38,$D$19),$P$20))-SUM($P1133:AV1133)</f>
        <v>#VALUE!</v>
      </c>
      <c r="AX1133" s="446" t="e">
        <f>IF(OR($B1133="",MIN(AX$38,$D$19)&lt;MAX($P$708*($B1133+IF($R$17="Distrato",$I$38-1,0)),IF(AND($L$711=0,$P$708=0),"",$L$711-1),IF($R$17="Distrato",$E1133,0))),0,YEARFRAC(MAX($P$708*($B1133+IF($R$17="Distrato",$I$38-1,0)),IF(AND($L$711=0,$P$708=0),"",$L$711-1),IF($R$17="Distrato",$E1133,0)),MIN(AX$38,$D$19),$P$20))-SUM($P1133:AW1133)</f>
        <v>#VALUE!</v>
      </c>
      <c r="AY1133" s="446" t="e">
        <f>IF(OR($B1133="",MIN(AY$38,$D$19)&lt;MAX($P$708*($B1133+IF($R$17="Distrato",$I$38-1,0)),IF(AND($L$711=0,$P$708=0),"",$L$711-1),IF($R$17="Distrato",$E1133,0))),0,YEARFRAC(MAX($P$708*($B1133+IF($R$17="Distrato",$I$38-1,0)),IF(AND($L$711=0,$P$708=0),"",$L$711-1),IF($R$17="Distrato",$E1133,0)),MIN(AY$38,$D$19),$P$20))-SUM($P1133:AX1133)</f>
        <v>#VALUE!</v>
      </c>
      <c r="AZ1133" s="446" t="e">
        <f>IF(OR($B1133="",MIN(AZ$38,$D$19)&lt;MAX($P$708*($B1133+IF($R$17="Distrato",$I$38-1,0)),IF(AND($L$711=0,$P$708=0),"",$L$711-1),IF($R$17="Distrato",$E1133,0))),0,YEARFRAC(MAX($P$708*($B1133+IF($R$17="Distrato",$I$38-1,0)),IF(AND($L$711=0,$P$708=0),"",$L$711-1),IF($R$17="Distrato",$E1133,0)),MIN(AZ$38,$D$19),$P$20))-SUM($P1133:AY1133)</f>
        <v>#VALUE!</v>
      </c>
      <c r="BA1133" s="446" t="e">
        <f>IF(OR($B1133="",MIN(BA$38,$D$19)&lt;MAX($P$708*($B1133+IF($R$17="Distrato",$I$38-1,0)),IF(AND($L$711=0,$P$708=0),"",$L$711-1),IF($R$17="Distrato",$E1133,0))),0,YEARFRAC(MAX($P$708*($B1133+IF($R$17="Distrato",$I$38-1,0)),IF(AND($L$711=0,$P$708=0),"",$L$711-1),IF($R$17="Distrato",$E1133,0)),MIN(BA$38,$D$19),$P$20))-SUM($P1133:AZ1133)</f>
        <v>#VALUE!</v>
      </c>
      <c r="BB1133" s="447"/>
    </row>
    <row r="1134" spans="1:54" s="446" customFormat="1" ht="11.25" hidden="1" customHeight="1" x14ac:dyDescent="0.2">
      <c r="A1134" s="235"/>
      <c r="B1134" s="236"/>
      <c r="C1134" s="29" t="str">
        <f>IF(B1134="","",IF($L$709=$BL$25,VLOOKUP(DATE(YEAR($D$19),MONTH($D$19)-1,1),ÍNDICES!$A:$DE,HLOOKUP($BL$25,ÍNDICES!$B$3:$T$4,2)+11)-VLOOKUP(B1134,ÍNDICES!$A:$DE,HLOOKUP($BL$25,ÍNDICES!$B$3:$T$4,2)+11)+1%,IF(C$712=$W$26,$J$35,IF(ISERROR(IF(B1134&gt;$D$19,1,VLOOKUP(DATE(YEAR(B1134),MONTH(B1134)+IF($C$709=$S$23,1,0),1),ÍNDICES!$A:$DE,$Z$709+1))),"",IF(B1134&gt;$D$19,1,VLOOKUP(DATE(YEAR(B1134),MONTH(B1134)+IF($C$709=$S$23,1,0),1),ÍNDICES!$A:$DE,$Z$709+1))))))</f>
        <v/>
      </c>
      <c r="D1134" s="155"/>
      <c r="E1134" s="88"/>
      <c r="F1134" s="88"/>
      <c r="G1134" s="88"/>
      <c r="H1134" s="118"/>
      <c r="I1134" s="182">
        <f t="shared" si="157"/>
        <v>0</v>
      </c>
      <c r="J1134" s="20">
        <f t="shared" ca="1" si="158"/>
        <v>0</v>
      </c>
      <c r="K1134" s="5">
        <f t="shared" ca="1" si="159"/>
        <v>0</v>
      </c>
      <c r="L1134" s="61">
        <f t="shared" ca="1" si="160"/>
        <v>0</v>
      </c>
      <c r="M1134" s="64">
        <f t="shared" si="161"/>
        <v>0</v>
      </c>
      <c r="N1134" s="151"/>
      <c r="O1134" s="5">
        <f t="shared" ca="1" si="162"/>
        <v>0</v>
      </c>
      <c r="P1134" s="446" t="e">
        <f t="shared" si="163"/>
        <v>#VALUE!</v>
      </c>
      <c r="Q1134" s="446" t="e">
        <f>IF(OR($B1134="",MIN(Q$38,$D$19)&lt;MAX($P$708*($B1134+IF($R$17="Distrato",$I$38-1,0)),IF(AND($L$711=0,$P$708=0),"",$L$711-1),IF($R$17="Distrato",$E1134,0))),0,YEARFRAC(MAX($P$708*($B1134+IF($R$17="Distrato",$I$38-1,0)),IF(AND($L$711=0,$P$708=0),"",$L$711-1),IF($R$17="Distrato",$E1134,0)),MIN(Q$38,$D$19),$P$20))-SUM($P1134:P1134)</f>
        <v>#VALUE!</v>
      </c>
      <c r="R1134" s="446" t="e">
        <f>IF(OR($B1134="",MIN(R$38,$D$19)&lt;MAX($P$708*($B1134+IF($R$17="Distrato",$I$38-1,0)),IF(AND($L$711=0,$P$708=0),"",$L$711-1),IF($R$17="Distrato",$E1134,0))),0,YEARFRAC(MAX($P$708*($B1134+IF($R$17="Distrato",$I$38-1,0)),IF(AND($L$711=0,$P$708=0),"",$L$711-1),IF($R$17="Distrato",$E1134,0)),MIN(R$38,$D$19),$P$20))-SUM($P1134:Q1134)</f>
        <v>#VALUE!</v>
      </c>
      <c r="S1134" s="446" t="e">
        <f>IF(OR($B1134="",MIN(S$38,$D$19)&lt;MAX($P$708*($B1134+IF($R$17="Distrato",$I$38-1,0)),IF(AND($L$711=0,$P$708=0),"",$L$711-1),IF($R$17="Distrato",$E1134,0))),0,YEARFRAC(MAX($P$708*($B1134+IF($R$17="Distrato",$I$38-1,0)),IF(AND($L$711=0,$P$708=0),"",$L$711-1),IF($R$17="Distrato",$E1134,0)),MIN(S$38,$D$19),$P$20))-SUM($P1134:R1134)</f>
        <v>#VALUE!</v>
      </c>
      <c r="T1134" s="446" t="e">
        <f>IF(OR($B1134="",MIN(T$38,$D$19)&lt;MAX($P$708*($B1134+IF($R$17="Distrato",$I$38-1,0)),IF(AND($L$711=0,$P$708=0),"",$L$711-1),IF($R$17="Distrato",$E1134,0))),0,YEARFRAC(MAX($P$708*($B1134+IF($R$17="Distrato",$I$38-1,0)),IF(AND($L$711=0,$P$708=0),"",$L$711-1),IF($R$17="Distrato",$E1134,0)),MIN(T$38,$D$19),$P$20))-SUM($P1134:S1134)</f>
        <v>#VALUE!</v>
      </c>
      <c r="U1134" s="446" t="e">
        <f>IF(OR($B1134="",MIN(U$38,$D$19)&lt;MAX($P$708*($B1134+IF($R$17="Distrato",$I$38-1,0)),IF(AND($L$711=0,$P$708=0),"",$L$711-1),IF($R$17="Distrato",$E1134,0))),0,YEARFRAC(MAX($P$708*($B1134+IF($R$17="Distrato",$I$38-1,0)),IF(AND($L$711=0,$P$708=0),"",$L$711-1),IF($R$17="Distrato",$E1134,0)),MIN(U$38,$D$19),$P$20))-SUM($P1134:T1134)</f>
        <v>#VALUE!</v>
      </c>
      <c r="V1134" s="446" t="e">
        <f>IF(OR($B1134="",MIN(V$38,$D$19)&lt;MAX($P$708*($B1134+IF($R$17="Distrato",$I$38-1,0)),IF(AND($L$711=0,$P$708=0),"",$L$711-1),IF($R$17="Distrato",$E1134,0))),0,YEARFRAC(MAX($P$708*($B1134+IF($R$17="Distrato",$I$38-1,0)),IF(AND($L$711=0,$P$708=0),"",$L$711-1),IF($R$17="Distrato",$E1134,0)),MIN(V$38,$D$19),$P$20))-SUM($P1134:U1134)</f>
        <v>#VALUE!</v>
      </c>
      <c r="W1134" s="446" t="e">
        <f>IF(OR($B1134="",MIN(W$38,$D$19)&lt;MAX($P$708*($B1134+IF($R$17="Distrato",$I$38-1,0)),IF(AND($L$711=0,$P$708=0),"",$L$711-1),IF($R$17="Distrato",$E1134,0))),0,YEARFRAC(MAX($P$708*($B1134+IF($R$17="Distrato",$I$38-1,0)),IF(AND($L$711=0,$P$708=0),"",$L$711-1),IF($R$17="Distrato",$E1134,0)),MIN(W$38,$D$19),$P$20))-SUM($P1134:V1134)</f>
        <v>#VALUE!</v>
      </c>
      <c r="X1134" s="446" t="e">
        <f>IF(OR($B1134="",MIN(X$38,$D$19)&lt;MAX($P$708*($B1134+IF($R$17="Distrato",$I$38-1,0)),IF(AND($L$711=0,$P$708=0),"",$L$711-1),IF($R$17="Distrato",$E1134,0))),0,YEARFRAC(MAX($P$708*($B1134+IF($R$17="Distrato",$I$38-1,0)),IF(AND($L$711=0,$P$708=0),"",$L$711-1),IF($R$17="Distrato",$E1134,0)),MIN(X$38,$D$19),$P$20))-SUM($P1134:W1134)</f>
        <v>#VALUE!</v>
      </c>
      <c r="Y1134" s="446" t="e">
        <f>IF(OR($B1134="",MIN(Y$38,$D$19)&lt;MAX($P$708*($B1134+IF($R$17="Distrato",$I$38-1,0)),IF(AND($L$711=0,$P$708=0),"",$L$711-1),IF($R$17="Distrato",$E1134,0))),0,YEARFRAC(MAX($P$708*($B1134+IF($R$17="Distrato",$I$38-1,0)),IF(AND($L$711=0,$P$708=0),"",$L$711-1),IF($R$17="Distrato",$E1134,0)),MIN(Y$38,$D$19),$P$20))-SUM($P1134:X1134)</f>
        <v>#VALUE!</v>
      </c>
      <c r="Z1134" s="446" t="e">
        <f>IF(OR($B1134="",MIN(Z$38,$D$19)&lt;MAX($P$708*($B1134+IF($R$17="Distrato",$I$38-1,0)),IF(AND($L$711=0,$P$708=0),"",$L$711-1),IF($R$17="Distrato",$E1134,0))),0,YEARFRAC(MAX($P$708*($B1134+IF($R$17="Distrato",$I$38-1,0)),IF(AND($L$711=0,$P$708=0),"",$L$711-1),IF($R$17="Distrato",$E1134,0)),MIN(Z$38,$D$19),$P$20))-SUM($P1134:Y1134)</f>
        <v>#VALUE!</v>
      </c>
      <c r="AA1134" s="446" t="e">
        <f>IF(OR($B1134="",MIN(AA$38,$D$19)&lt;MAX($P$708*($B1134+IF($R$17="Distrato",$I$38-1,0)),IF(AND($L$711=0,$P$708=0),"",$L$711-1),IF($R$17="Distrato",$E1134,0))),0,YEARFRAC(MAX($P$708*($B1134+IF($R$17="Distrato",$I$38-1,0)),IF(AND($L$711=0,$P$708=0),"",$L$711-1),IF($R$17="Distrato",$E1134,0)),MIN(AA$38,$D$19),$P$20))-SUM($P1134:Z1134)</f>
        <v>#VALUE!</v>
      </c>
      <c r="AB1134" s="446" t="e">
        <f>IF(OR($B1134="",MIN(AB$38,$D$19)&lt;MAX($P$708*($B1134+IF($R$17="Distrato",$I$38-1,0)),IF(AND($L$711=0,$P$708=0),"",$L$711-1),IF($R$17="Distrato",$E1134,0))),0,YEARFRAC(MAX($P$708*($B1134+IF($R$17="Distrato",$I$38-1,0)),IF(AND($L$711=0,$P$708=0),"",$L$711-1),IF($R$17="Distrato",$E1134,0)),MIN(AB$38,$D$19),$P$20))-SUM($P1134:AA1134)</f>
        <v>#VALUE!</v>
      </c>
      <c r="AC1134" s="446" t="e">
        <f>IF(OR($B1134="",MIN(AC$38,$D$19)&lt;MAX($P$708*($B1134+IF($R$17="Distrato",$I$38-1,0)),IF(AND($L$711=0,$P$708=0),"",$L$711-1),IF($R$17="Distrato",$E1134,0))),0,YEARFRAC(MAX($P$708*($B1134+IF($R$17="Distrato",$I$38-1,0)),IF(AND($L$711=0,$P$708=0),"",$L$711-1),IF($R$17="Distrato",$E1134,0)),MIN(AC$38,$D$19),$P$20))-SUM($P1134:AB1134)</f>
        <v>#VALUE!</v>
      </c>
      <c r="AD1134" s="446" t="e">
        <f>IF(OR($B1134="",MIN(AD$38,$D$19)&lt;MAX($P$708*($B1134+IF($R$17="Distrato",$I$38-1,0)),IF(AND($L$711=0,$P$708=0),"",$L$711-1),IF($R$17="Distrato",$E1134,0))),0,YEARFRAC(MAX($P$708*($B1134+IF($R$17="Distrato",$I$38-1,0)),IF(AND($L$711=0,$P$708=0),"",$L$711-1),IF($R$17="Distrato",$E1134,0)),MIN(AD$38,$D$19),$P$20))-SUM($P1134:AC1134)</f>
        <v>#VALUE!</v>
      </c>
      <c r="AE1134" s="446" t="e">
        <f>IF(OR($B1134="",MIN(AE$38,$D$19)&lt;MAX($P$708*($B1134+IF($R$17="Distrato",$I$38-1,0)),IF(AND($L$711=0,$P$708=0),"",$L$711-1),IF($R$17="Distrato",$E1134,0))),0,YEARFRAC(MAX($P$708*($B1134+IF($R$17="Distrato",$I$38-1,0)),IF(AND($L$711=0,$P$708=0),"",$L$711-1),IF($R$17="Distrato",$E1134,0)),MIN(AE$38,$D$19),$P$20))-SUM($P1134:AD1134)</f>
        <v>#VALUE!</v>
      </c>
      <c r="AF1134" s="446" t="e">
        <f>IF(OR($B1134="",MIN(AF$38,$D$19)&lt;MAX($P$708*($B1134+IF($R$17="Distrato",$I$38-1,0)),IF(AND($L$711=0,$P$708=0),"",$L$711-1),IF($R$17="Distrato",$E1134,0))),0,YEARFRAC(MAX($P$708*($B1134+IF($R$17="Distrato",$I$38-1,0)),IF(AND($L$711=0,$P$708=0),"",$L$711-1),IF($R$17="Distrato",$E1134,0)),MIN(AF$38,$D$19),$P$20))-SUM($P1134:AE1134)</f>
        <v>#VALUE!</v>
      </c>
      <c r="AG1134" s="446" t="e">
        <f>IF(OR($B1134="",MIN(AG$38,$D$19)&lt;MAX($P$708*($B1134+IF($R$17="Distrato",$I$38-1,0)),IF(AND($L$711=0,$P$708=0),"",$L$711-1),IF($R$17="Distrato",$E1134,0))),0,YEARFRAC(MAX($P$708*($B1134+IF($R$17="Distrato",$I$38-1,0)),IF(AND($L$711=0,$P$708=0),"",$L$711-1),IF($R$17="Distrato",$E1134,0)),MIN(AG$38,$D$19),$P$20))-SUM($P1134:AF1134)</f>
        <v>#VALUE!</v>
      </c>
      <c r="AH1134" s="446" t="e">
        <f>IF(OR($B1134="",MIN(AH$38,$D$19)&lt;MAX($P$708*($B1134+IF($R$17="Distrato",$I$38-1,0)),IF(AND($L$711=0,$P$708=0),"",$L$711-1),IF($R$17="Distrato",$E1134,0))),0,YEARFRAC(MAX($P$708*($B1134+IF($R$17="Distrato",$I$38-1,0)),IF(AND($L$711=0,$P$708=0),"",$L$711-1),IF($R$17="Distrato",$E1134,0)),MIN(AH$38,$D$19),$P$20))-SUM($P1134:AG1134)</f>
        <v>#VALUE!</v>
      </c>
      <c r="AI1134" s="446" t="e">
        <f>IF(OR($B1134="",MIN(AI$38,$D$19)&lt;MAX($P$708*($B1134+IF($R$17="Distrato",$I$38-1,0)),IF(AND($L$711=0,$P$708=0),"",$L$711-1),IF($R$17="Distrato",$E1134,0))),0,YEARFRAC(MAX($P$708*($B1134+IF($R$17="Distrato",$I$38-1,0)),IF(AND($L$711=0,$P$708=0),"",$L$711-1),IF($R$17="Distrato",$E1134,0)),MIN(AI$38,$D$19),$P$20))-SUM($P1134:AH1134)</f>
        <v>#VALUE!</v>
      </c>
      <c r="AJ1134" s="446" t="e">
        <f>IF(OR($B1134="",MIN(AJ$38,$D$19)&lt;MAX($P$708*($B1134+IF($R$17="Distrato",$I$38-1,0)),IF(AND($L$711=0,$P$708=0),"",$L$711-1),IF($R$17="Distrato",$E1134,0))),0,YEARFRAC(MAX($P$708*($B1134+IF($R$17="Distrato",$I$38-1,0)),IF(AND($L$711=0,$P$708=0),"",$L$711-1),IF($R$17="Distrato",$E1134,0)),MIN(AJ$38,$D$19),$P$20))-SUM($P1134:AI1134)</f>
        <v>#VALUE!</v>
      </c>
      <c r="AK1134" s="446" t="e">
        <f>IF(OR($B1134="",MIN(AK$38,$D$19)&lt;MAX($P$708*($B1134+IF($R$17="Distrato",$I$38-1,0)),IF(AND($L$711=0,$P$708=0),"",$L$711-1),IF($R$17="Distrato",$E1134,0))),0,YEARFRAC(MAX($P$708*($B1134+IF($R$17="Distrato",$I$38-1,0)),IF(AND($L$711=0,$P$708=0),"",$L$711-1),IF($R$17="Distrato",$E1134,0)),MIN(AK$38,$D$19),$P$20))-SUM($P1134:AJ1134)</f>
        <v>#VALUE!</v>
      </c>
      <c r="AL1134" s="446" t="e">
        <f>IF(OR($B1134="",MIN(AL$38,$D$19)&lt;MAX($P$708*($B1134+IF($R$17="Distrato",$I$38-1,0)),IF(AND($L$711=0,$P$708=0),"",$L$711-1),IF($R$17="Distrato",$E1134,0))),0,YEARFRAC(MAX($P$708*($B1134+IF($R$17="Distrato",$I$38-1,0)),IF(AND($L$711=0,$P$708=0),"",$L$711-1),IF($R$17="Distrato",$E1134,0)),MIN(AL$38,$D$19),$P$20))-SUM($P1134:AK1134)</f>
        <v>#VALUE!</v>
      </c>
      <c r="AM1134" s="446" t="e">
        <f>IF(OR($B1134="",MIN(AM$38,$D$19)&lt;MAX($P$708*($B1134+IF($R$17="Distrato",$I$38-1,0)),IF(AND($L$711=0,$P$708=0),"",$L$711-1),IF($R$17="Distrato",$E1134,0))),0,YEARFRAC(MAX($P$708*($B1134+IF($R$17="Distrato",$I$38-1,0)),IF(AND($L$711=0,$P$708=0),"",$L$711-1),IF($R$17="Distrato",$E1134,0)),MIN(AM$38,$D$19),$P$20))-SUM($P1134:AL1134)</f>
        <v>#VALUE!</v>
      </c>
      <c r="AN1134" s="446" t="e">
        <f>IF(OR($B1134="",MIN(AN$38,$D$19)&lt;MAX($P$708*($B1134+IF($R$17="Distrato",$I$38-1,0)),IF(AND($L$711=0,$P$708=0),"",$L$711-1),IF($R$17="Distrato",$E1134,0))),0,YEARFRAC(MAX($P$708*($B1134+IF($R$17="Distrato",$I$38-1,0)),IF(AND($L$711=0,$P$708=0),"",$L$711-1),IF($R$17="Distrato",$E1134,0)),MIN(AN$38,$D$19),$P$20))-SUM($P1134:AM1134)</f>
        <v>#VALUE!</v>
      </c>
      <c r="AO1134" s="446" t="e">
        <f>IF(OR($B1134="",MIN(AO$38,$D$19)&lt;MAX($P$708*($B1134+IF($R$17="Distrato",$I$38-1,0)),IF(AND($L$711=0,$P$708=0),"",$L$711-1),IF($R$17="Distrato",$E1134,0))),0,YEARFRAC(MAX($P$708*($B1134+IF($R$17="Distrato",$I$38-1,0)),IF(AND($L$711=0,$P$708=0),"",$L$711-1),IF($R$17="Distrato",$E1134,0)),MIN(AO$38,$D$19),$P$20))-SUM($P1134:AN1134)</f>
        <v>#VALUE!</v>
      </c>
      <c r="AP1134" s="446" t="e">
        <f>IF(OR($B1134="",MIN(AP$38,$D$19)&lt;MAX($P$708*($B1134+IF($R$17="Distrato",$I$38-1,0)),IF(AND($L$711=0,$P$708=0),"",$L$711-1),IF($R$17="Distrato",$E1134,0))),0,YEARFRAC(MAX($P$708*($B1134+IF($R$17="Distrato",$I$38-1,0)),IF(AND($L$711=0,$P$708=0),"",$L$711-1),IF($R$17="Distrato",$E1134,0)),MIN(AP$38,$D$19),$P$20))-SUM($P1134:AO1134)</f>
        <v>#VALUE!</v>
      </c>
      <c r="AQ1134" s="446" t="e">
        <f>IF(OR($B1134="",MIN(AQ$38,$D$19)&lt;MAX($P$708*($B1134+IF($R$17="Distrato",$I$38-1,0)),IF(AND($L$711=0,$P$708=0),"",$L$711-1),IF($R$17="Distrato",$E1134,0))),0,YEARFRAC(MAX($P$708*($B1134+IF($R$17="Distrato",$I$38-1,0)),IF(AND($L$711=0,$P$708=0),"",$L$711-1),IF($R$17="Distrato",$E1134,0)),MIN(AQ$38,$D$19),$P$20))-SUM($P1134:AP1134)</f>
        <v>#VALUE!</v>
      </c>
      <c r="AR1134" s="446" t="e">
        <f>IF(OR($B1134="",MIN(AR$38,$D$19)&lt;MAX($P$708*($B1134+IF($R$17="Distrato",$I$38-1,0)),IF(AND($L$711=0,$P$708=0),"",$L$711-1),IF($R$17="Distrato",$E1134,0))),0,YEARFRAC(MAX($P$708*($B1134+IF($R$17="Distrato",$I$38-1,0)),IF(AND($L$711=0,$P$708=0),"",$L$711-1),IF($R$17="Distrato",$E1134,0)),MIN(AR$38,$D$19),$P$20))-SUM($P1134:AQ1134)</f>
        <v>#VALUE!</v>
      </c>
      <c r="AS1134" s="446" t="e">
        <f>IF(OR($B1134="",MIN(AS$38,$D$19)&lt;MAX($P$708*($B1134+IF($R$17="Distrato",$I$38-1,0)),IF(AND($L$711=0,$P$708=0),"",$L$711-1),IF($R$17="Distrato",$E1134,0))),0,YEARFRAC(MAX($P$708*($B1134+IF($R$17="Distrato",$I$38-1,0)),IF(AND($L$711=0,$P$708=0),"",$L$711-1),IF($R$17="Distrato",$E1134,0)),MIN(AS$38,$D$19),$P$20))-SUM($P1134:AR1134)</f>
        <v>#VALUE!</v>
      </c>
      <c r="AT1134" s="446" t="e">
        <f>IF(OR($B1134="",MIN(AT$38,$D$19)&lt;MAX($P$708*($B1134+IF($R$17="Distrato",$I$38-1,0)),IF(AND($L$711=0,$P$708=0),"",$L$711-1),IF($R$17="Distrato",$E1134,0))),0,YEARFRAC(MAX($P$708*($B1134+IF($R$17="Distrato",$I$38-1,0)),IF(AND($L$711=0,$P$708=0),"",$L$711-1),IF($R$17="Distrato",$E1134,0)),MIN(AT$38,$D$19),$P$20))-SUM($P1134:AS1134)</f>
        <v>#VALUE!</v>
      </c>
      <c r="AU1134" s="446" t="e">
        <f>IF(OR($B1134="",MIN(AU$38,$D$19)&lt;MAX($P$708*($B1134+IF($R$17="Distrato",$I$38-1,0)),IF(AND($L$711=0,$P$708=0),"",$L$711-1),IF($R$17="Distrato",$E1134,0))),0,YEARFRAC(MAX($P$708*($B1134+IF($R$17="Distrato",$I$38-1,0)),IF(AND($L$711=0,$P$708=0),"",$L$711-1),IF($R$17="Distrato",$E1134,0)),MIN(AU$38,$D$19),$P$20))-SUM($P1134:AT1134)</f>
        <v>#VALUE!</v>
      </c>
      <c r="AV1134" s="446" t="e">
        <f>IF(OR($B1134="",MIN(AV$38,$D$19)&lt;MAX($P$708*($B1134+IF($R$17="Distrato",$I$38-1,0)),IF(AND($L$711=0,$P$708=0),"",$L$711-1),IF($R$17="Distrato",$E1134,0))),0,YEARFRAC(MAX($P$708*($B1134+IF($R$17="Distrato",$I$38-1,0)),IF(AND($L$711=0,$P$708=0),"",$L$711-1),IF($R$17="Distrato",$E1134,0)),MIN(AV$38,$D$19),$P$20))-SUM($P1134:AU1134)</f>
        <v>#VALUE!</v>
      </c>
      <c r="AW1134" s="446" t="e">
        <f>IF(OR($B1134="",MIN(AW$38,$D$19)&lt;MAX($P$708*($B1134+IF($R$17="Distrato",$I$38-1,0)),IF(AND($L$711=0,$P$708=0),"",$L$711-1),IF($R$17="Distrato",$E1134,0))),0,YEARFRAC(MAX($P$708*($B1134+IF($R$17="Distrato",$I$38-1,0)),IF(AND($L$711=0,$P$708=0),"",$L$711-1),IF($R$17="Distrato",$E1134,0)),MIN(AW$38,$D$19),$P$20))-SUM($P1134:AV1134)</f>
        <v>#VALUE!</v>
      </c>
      <c r="AX1134" s="446" t="e">
        <f>IF(OR($B1134="",MIN(AX$38,$D$19)&lt;MAX($P$708*($B1134+IF($R$17="Distrato",$I$38-1,0)),IF(AND($L$711=0,$P$708=0),"",$L$711-1),IF($R$17="Distrato",$E1134,0))),0,YEARFRAC(MAX($P$708*($B1134+IF($R$17="Distrato",$I$38-1,0)),IF(AND($L$711=0,$P$708=0),"",$L$711-1),IF($R$17="Distrato",$E1134,0)),MIN(AX$38,$D$19),$P$20))-SUM($P1134:AW1134)</f>
        <v>#VALUE!</v>
      </c>
      <c r="AY1134" s="446" t="e">
        <f>IF(OR($B1134="",MIN(AY$38,$D$19)&lt;MAX($P$708*($B1134+IF($R$17="Distrato",$I$38-1,0)),IF(AND($L$711=0,$P$708=0),"",$L$711-1),IF($R$17="Distrato",$E1134,0))),0,YEARFRAC(MAX($P$708*($B1134+IF($R$17="Distrato",$I$38-1,0)),IF(AND($L$711=0,$P$708=0),"",$L$711-1),IF($R$17="Distrato",$E1134,0)),MIN(AY$38,$D$19),$P$20))-SUM($P1134:AX1134)</f>
        <v>#VALUE!</v>
      </c>
      <c r="AZ1134" s="446" t="e">
        <f>IF(OR($B1134="",MIN(AZ$38,$D$19)&lt;MAX($P$708*($B1134+IF($R$17="Distrato",$I$38-1,0)),IF(AND($L$711=0,$P$708=0),"",$L$711-1),IF($R$17="Distrato",$E1134,0))),0,YEARFRAC(MAX($P$708*($B1134+IF($R$17="Distrato",$I$38-1,0)),IF(AND($L$711=0,$P$708=0),"",$L$711-1),IF($R$17="Distrato",$E1134,0)),MIN(AZ$38,$D$19),$P$20))-SUM($P1134:AY1134)</f>
        <v>#VALUE!</v>
      </c>
      <c r="BA1134" s="446" t="e">
        <f>IF(OR($B1134="",MIN(BA$38,$D$19)&lt;MAX($P$708*($B1134+IF($R$17="Distrato",$I$38-1,0)),IF(AND($L$711=0,$P$708=0),"",$L$711-1),IF($R$17="Distrato",$E1134,0))),0,YEARFRAC(MAX($P$708*($B1134+IF($R$17="Distrato",$I$38-1,0)),IF(AND($L$711=0,$P$708=0),"",$L$711-1),IF($R$17="Distrato",$E1134,0)),MIN(BA$38,$D$19),$P$20))-SUM($P1134:AZ1134)</f>
        <v>#VALUE!</v>
      </c>
      <c r="BB1134" s="447"/>
    </row>
    <row r="1135" spans="1:54" s="446" customFormat="1" ht="11.25" hidden="1" customHeight="1" x14ac:dyDescent="0.2">
      <c r="A1135" s="235"/>
      <c r="B1135" s="236"/>
      <c r="C1135" s="29" t="str">
        <f>IF(B1135="","",IF($L$709=$BL$25,VLOOKUP(DATE(YEAR($D$19),MONTH($D$19)-1,1),ÍNDICES!$A:$DE,HLOOKUP($BL$25,ÍNDICES!$B$3:$T$4,2)+11)-VLOOKUP(B1135,ÍNDICES!$A:$DE,HLOOKUP($BL$25,ÍNDICES!$B$3:$T$4,2)+11)+1%,IF(C$712=$W$26,$J$35,IF(ISERROR(IF(B1135&gt;$D$19,1,VLOOKUP(DATE(YEAR(B1135),MONTH(B1135)+IF($C$709=$S$23,1,0),1),ÍNDICES!$A:$DE,$Z$709+1))),"",IF(B1135&gt;$D$19,1,VLOOKUP(DATE(YEAR(B1135),MONTH(B1135)+IF($C$709=$S$23,1,0),1),ÍNDICES!$A:$DE,$Z$709+1))))))</f>
        <v/>
      </c>
      <c r="D1135" s="155"/>
      <c r="E1135" s="88"/>
      <c r="F1135" s="88"/>
      <c r="G1135" s="88"/>
      <c r="H1135" s="118"/>
      <c r="I1135" s="182">
        <f t="shared" si="157"/>
        <v>0</v>
      </c>
      <c r="J1135" s="20">
        <f t="shared" ca="1" si="158"/>
        <v>0</v>
      </c>
      <c r="K1135" s="5">
        <f t="shared" ca="1" si="159"/>
        <v>0</v>
      </c>
      <c r="L1135" s="61">
        <f t="shared" ca="1" si="160"/>
        <v>0</v>
      </c>
      <c r="M1135" s="64">
        <f t="shared" si="161"/>
        <v>0</v>
      </c>
      <c r="N1135" s="151"/>
      <c r="O1135" s="5">
        <f t="shared" ca="1" si="162"/>
        <v>0</v>
      </c>
      <c r="P1135" s="446" t="e">
        <f t="shared" si="163"/>
        <v>#VALUE!</v>
      </c>
      <c r="Q1135" s="446" t="e">
        <f>IF(OR($B1135="",MIN(Q$38,$D$19)&lt;MAX($P$708*($B1135+IF($R$17="Distrato",$I$38-1,0)),IF(AND($L$711=0,$P$708=0),"",$L$711-1),IF($R$17="Distrato",$E1135,0))),0,YEARFRAC(MAX($P$708*($B1135+IF($R$17="Distrato",$I$38-1,0)),IF(AND($L$711=0,$P$708=0),"",$L$711-1),IF($R$17="Distrato",$E1135,0)),MIN(Q$38,$D$19),$P$20))-SUM($P1135:P1135)</f>
        <v>#VALUE!</v>
      </c>
      <c r="R1135" s="446" t="e">
        <f>IF(OR($B1135="",MIN(R$38,$D$19)&lt;MAX($P$708*($B1135+IF($R$17="Distrato",$I$38-1,0)),IF(AND($L$711=0,$P$708=0),"",$L$711-1),IF($R$17="Distrato",$E1135,0))),0,YEARFRAC(MAX($P$708*($B1135+IF($R$17="Distrato",$I$38-1,0)),IF(AND($L$711=0,$P$708=0),"",$L$711-1),IF($R$17="Distrato",$E1135,0)),MIN(R$38,$D$19),$P$20))-SUM($P1135:Q1135)</f>
        <v>#VALUE!</v>
      </c>
      <c r="S1135" s="446" t="e">
        <f>IF(OR($B1135="",MIN(S$38,$D$19)&lt;MAX($P$708*($B1135+IF($R$17="Distrato",$I$38-1,0)),IF(AND($L$711=0,$P$708=0),"",$L$711-1),IF($R$17="Distrato",$E1135,0))),0,YEARFRAC(MAX($P$708*($B1135+IF($R$17="Distrato",$I$38-1,0)),IF(AND($L$711=0,$P$708=0),"",$L$711-1),IF($R$17="Distrato",$E1135,0)),MIN(S$38,$D$19),$P$20))-SUM($P1135:R1135)</f>
        <v>#VALUE!</v>
      </c>
      <c r="T1135" s="446" t="e">
        <f>IF(OR($B1135="",MIN(T$38,$D$19)&lt;MAX($P$708*($B1135+IF($R$17="Distrato",$I$38-1,0)),IF(AND($L$711=0,$P$708=0),"",$L$711-1),IF($R$17="Distrato",$E1135,0))),0,YEARFRAC(MAX($P$708*($B1135+IF($R$17="Distrato",$I$38-1,0)),IF(AND($L$711=0,$P$708=0),"",$L$711-1),IF($R$17="Distrato",$E1135,0)),MIN(T$38,$D$19),$P$20))-SUM($P1135:S1135)</f>
        <v>#VALUE!</v>
      </c>
      <c r="U1135" s="446" t="e">
        <f>IF(OR($B1135="",MIN(U$38,$D$19)&lt;MAX($P$708*($B1135+IF($R$17="Distrato",$I$38-1,0)),IF(AND($L$711=0,$P$708=0),"",$L$711-1),IF($R$17="Distrato",$E1135,0))),0,YEARFRAC(MAX($P$708*($B1135+IF($R$17="Distrato",$I$38-1,0)),IF(AND($L$711=0,$P$708=0),"",$L$711-1),IF($R$17="Distrato",$E1135,0)),MIN(U$38,$D$19),$P$20))-SUM($P1135:T1135)</f>
        <v>#VALUE!</v>
      </c>
      <c r="V1135" s="446" t="e">
        <f>IF(OR($B1135="",MIN(V$38,$D$19)&lt;MAX($P$708*($B1135+IF($R$17="Distrato",$I$38-1,0)),IF(AND($L$711=0,$P$708=0),"",$L$711-1),IF($R$17="Distrato",$E1135,0))),0,YEARFRAC(MAX($P$708*($B1135+IF($R$17="Distrato",$I$38-1,0)),IF(AND($L$711=0,$P$708=0),"",$L$711-1),IF($R$17="Distrato",$E1135,0)),MIN(V$38,$D$19),$P$20))-SUM($P1135:U1135)</f>
        <v>#VALUE!</v>
      </c>
      <c r="W1135" s="446" t="e">
        <f>IF(OR($B1135="",MIN(W$38,$D$19)&lt;MAX($P$708*($B1135+IF($R$17="Distrato",$I$38-1,0)),IF(AND($L$711=0,$P$708=0),"",$L$711-1),IF($R$17="Distrato",$E1135,0))),0,YEARFRAC(MAX($P$708*($B1135+IF($R$17="Distrato",$I$38-1,0)),IF(AND($L$711=0,$P$708=0),"",$L$711-1),IF($R$17="Distrato",$E1135,0)),MIN(W$38,$D$19),$P$20))-SUM($P1135:V1135)</f>
        <v>#VALUE!</v>
      </c>
      <c r="X1135" s="446" t="e">
        <f>IF(OR($B1135="",MIN(X$38,$D$19)&lt;MAX($P$708*($B1135+IF($R$17="Distrato",$I$38-1,0)),IF(AND($L$711=0,$P$708=0),"",$L$711-1),IF($R$17="Distrato",$E1135,0))),0,YEARFRAC(MAX($P$708*($B1135+IF($R$17="Distrato",$I$38-1,0)),IF(AND($L$711=0,$P$708=0),"",$L$711-1),IF($R$17="Distrato",$E1135,0)),MIN(X$38,$D$19),$P$20))-SUM($P1135:W1135)</f>
        <v>#VALUE!</v>
      </c>
      <c r="Y1135" s="446" t="e">
        <f>IF(OR($B1135="",MIN(Y$38,$D$19)&lt;MAX($P$708*($B1135+IF($R$17="Distrato",$I$38-1,0)),IF(AND($L$711=0,$P$708=0),"",$L$711-1),IF($R$17="Distrato",$E1135,0))),0,YEARFRAC(MAX($P$708*($B1135+IF($R$17="Distrato",$I$38-1,0)),IF(AND($L$711=0,$P$708=0),"",$L$711-1),IF($R$17="Distrato",$E1135,0)),MIN(Y$38,$D$19),$P$20))-SUM($P1135:X1135)</f>
        <v>#VALUE!</v>
      </c>
      <c r="Z1135" s="446" t="e">
        <f>IF(OR($B1135="",MIN(Z$38,$D$19)&lt;MAX($P$708*($B1135+IF($R$17="Distrato",$I$38-1,0)),IF(AND($L$711=0,$P$708=0),"",$L$711-1),IF($R$17="Distrato",$E1135,0))),0,YEARFRAC(MAX($P$708*($B1135+IF($R$17="Distrato",$I$38-1,0)),IF(AND($L$711=0,$P$708=0),"",$L$711-1),IF($R$17="Distrato",$E1135,0)),MIN(Z$38,$D$19),$P$20))-SUM($P1135:Y1135)</f>
        <v>#VALUE!</v>
      </c>
      <c r="AA1135" s="446" t="e">
        <f>IF(OR($B1135="",MIN(AA$38,$D$19)&lt;MAX($P$708*($B1135+IF($R$17="Distrato",$I$38-1,0)),IF(AND($L$711=0,$P$708=0),"",$L$711-1),IF($R$17="Distrato",$E1135,0))),0,YEARFRAC(MAX($P$708*($B1135+IF($R$17="Distrato",$I$38-1,0)),IF(AND($L$711=0,$P$708=0),"",$L$711-1),IF($R$17="Distrato",$E1135,0)),MIN(AA$38,$D$19),$P$20))-SUM($P1135:Z1135)</f>
        <v>#VALUE!</v>
      </c>
      <c r="AB1135" s="446" t="e">
        <f>IF(OR($B1135="",MIN(AB$38,$D$19)&lt;MAX($P$708*($B1135+IF($R$17="Distrato",$I$38-1,0)),IF(AND($L$711=0,$P$708=0),"",$L$711-1),IF($R$17="Distrato",$E1135,0))),0,YEARFRAC(MAX($P$708*($B1135+IF($R$17="Distrato",$I$38-1,0)),IF(AND($L$711=0,$P$708=0),"",$L$711-1),IF($R$17="Distrato",$E1135,0)),MIN(AB$38,$D$19),$P$20))-SUM($P1135:AA1135)</f>
        <v>#VALUE!</v>
      </c>
      <c r="AC1135" s="446" t="e">
        <f>IF(OR($B1135="",MIN(AC$38,$D$19)&lt;MAX($P$708*($B1135+IF($R$17="Distrato",$I$38-1,0)),IF(AND($L$711=0,$P$708=0),"",$L$711-1),IF($R$17="Distrato",$E1135,0))),0,YEARFRAC(MAX($P$708*($B1135+IF($R$17="Distrato",$I$38-1,0)),IF(AND($L$711=0,$P$708=0),"",$L$711-1),IF($R$17="Distrato",$E1135,0)),MIN(AC$38,$D$19),$P$20))-SUM($P1135:AB1135)</f>
        <v>#VALUE!</v>
      </c>
      <c r="AD1135" s="446" t="e">
        <f>IF(OR($B1135="",MIN(AD$38,$D$19)&lt;MAX($P$708*($B1135+IF($R$17="Distrato",$I$38-1,0)),IF(AND($L$711=0,$P$708=0),"",$L$711-1),IF($R$17="Distrato",$E1135,0))),0,YEARFRAC(MAX($P$708*($B1135+IF($R$17="Distrato",$I$38-1,0)),IF(AND($L$711=0,$P$708=0),"",$L$711-1),IF($R$17="Distrato",$E1135,0)),MIN(AD$38,$D$19),$P$20))-SUM($P1135:AC1135)</f>
        <v>#VALUE!</v>
      </c>
      <c r="AE1135" s="446" t="e">
        <f>IF(OR($B1135="",MIN(AE$38,$D$19)&lt;MAX($P$708*($B1135+IF($R$17="Distrato",$I$38-1,0)),IF(AND($L$711=0,$P$708=0),"",$L$711-1),IF($R$17="Distrato",$E1135,0))),0,YEARFRAC(MAX($P$708*($B1135+IF($R$17="Distrato",$I$38-1,0)),IF(AND($L$711=0,$P$708=0),"",$L$711-1),IF($R$17="Distrato",$E1135,0)),MIN(AE$38,$D$19),$P$20))-SUM($P1135:AD1135)</f>
        <v>#VALUE!</v>
      </c>
      <c r="AF1135" s="446" t="e">
        <f>IF(OR($B1135="",MIN(AF$38,$D$19)&lt;MAX($P$708*($B1135+IF($R$17="Distrato",$I$38-1,0)),IF(AND($L$711=0,$P$708=0),"",$L$711-1),IF($R$17="Distrato",$E1135,0))),0,YEARFRAC(MAX($P$708*($B1135+IF($R$17="Distrato",$I$38-1,0)),IF(AND($L$711=0,$P$708=0),"",$L$711-1),IF($R$17="Distrato",$E1135,0)),MIN(AF$38,$D$19),$P$20))-SUM($P1135:AE1135)</f>
        <v>#VALUE!</v>
      </c>
      <c r="AG1135" s="446" t="e">
        <f>IF(OR($B1135="",MIN(AG$38,$D$19)&lt;MAX($P$708*($B1135+IF($R$17="Distrato",$I$38-1,0)),IF(AND($L$711=0,$P$708=0),"",$L$711-1),IF($R$17="Distrato",$E1135,0))),0,YEARFRAC(MAX($P$708*($B1135+IF($R$17="Distrato",$I$38-1,0)),IF(AND($L$711=0,$P$708=0),"",$L$711-1),IF($R$17="Distrato",$E1135,0)),MIN(AG$38,$D$19),$P$20))-SUM($P1135:AF1135)</f>
        <v>#VALUE!</v>
      </c>
      <c r="AH1135" s="446" t="e">
        <f>IF(OR($B1135="",MIN(AH$38,$D$19)&lt;MAX($P$708*($B1135+IF($R$17="Distrato",$I$38-1,0)),IF(AND($L$711=0,$P$708=0),"",$L$711-1),IF($R$17="Distrato",$E1135,0))),0,YEARFRAC(MAX($P$708*($B1135+IF($R$17="Distrato",$I$38-1,0)),IF(AND($L$711=0,$P$708=0),"",$L$711-1),IF($R$17="Distrato",$E1135,0)),MIN(AH$38,$D$19),$P$20))-SUM($P1135:AG1135)</f>
        <v>#VALUE!</v>
      </c>
      <c r="AI1135" s="446" t="e">
        <f>IF(OR($B1135="",MIN(AI$38,$D$19)&lt;MAX($P$708*($B1135+IF($R$17="Distrato",$I$38-1,0)),IF(AND($L$711=0,$P$708=0),"",$L$711-1),IF($R$17="Distrato",$E1135,0))),0,YEARFRAC(MAX($P$708*($B1135+IF($R$17="Distrato",$I$38-1,0)),IF(AND($L$711=0,$P$708=0),"",$L$711-1),IF($R$17="Distrato",$E1135,0)),MIN(AI$38,$D$19),$P$20))-SUM($P1135:AH1135)</f>
        <v>#VALUE!</v>
      </c>
      <c r="AJ1135" s="446" t="e">
        <f>IF(OR($B1135="",MIN(AJ$38,$D$19)&lt;MAX($P$708*($B1135+IF($R$17="Distrato",$I$38-1,0)),IF(AND($L$711=0,$P$708=0),"",$L$711-1),IF($R$17="Distrato",$E1135,0))),0,YEARFRAC(MAX($P$708*($B1135+IF($R$17="Distrato",$I$38-1,0)),IF(AND($L$711=0,$P$708=0),"",$L$711-1),IF($R$17="Distrato",$E1135,0)),MIN(AJ$38,$D$19),$P$20))-SUM($P1135:AI1135)</f>
        <v>#VALUE!</v>
      </c>
      <c r="AK1135" s="446" t="e">
        <f>IF(OR($B1135="",MIN(AK$38,$D$19)&lt;MAX($P$708*($B1135+IF($R$17="Distrato",$I$38-1,0)),IF(AND($L$711=0,$P$708=0),"",$L$711-1),IF($R$17="Distrato",$E1135,0))),0,YEARFRAC(MAX($P$708*($B1135+IF($R$17="Distrato",$I$38-1,0)),IF(AND($L$711=0,$P$708=0),"",$L$711-1),IF($R$17="Distrato",$E1135,0)),MIN(AK$38,$D$19),$P$20))-SUM($P1135:AJ1135)</f>
        <v>#VALUE!</v>
      </c>
      <c r="AL1135" s="446" t="e">
        <f>IF(OR($B1135="",MIN(AL$38,$D$19)&lt;MAX($P$708*($B1135+IF($R$17="Distrato",$I$38-1,0)),IF(AND($L$711=0,$P$708=0),"",$L$711-1),IF($R$17="Distrato",$E1135,0))),0,YEARFRAC(MAX($P$708*($B1135+IF($R$17="Distrato",$I$38-1,0)),IF(AND($L$711=0,$P$708=0),"",$L$711-1),IF($R$17="Distrato",$E1135,0)),MIN(AL$38,$D$19),$P$20))-SUM($P1135:AK1135)</f>
        <v>#VALUE!</v>
      </c>
      <c r="AM1135" s="446" t="e">
        <f>IF(OR($B1135="",MIN(AM$38,$D$19)&lt;MAX($P$708*($B1135+IF($R$17="Distrato",$I$38-1,0)),IF(AND($L$711=0,$P$708=0),"",$L$711-1),IF($R$17="Distrato",$E1135,0))),0,YEARFRAC(MAX($P$708*($B1135+IF($R$17="Distrato",$I$38-1,0)),IF(AND($L$711=0,$P$708=0),"",$L$711-1),IF($R$17="Distrato",$E1135,0)),MIN(AM$38,$D$19),$P$20))-SUM($P1135:AL1135)</f>
        <v>#VALUE!</v>
      </c>
      <c r="AN1135" s="446" t="e">
        <f>IF(OR($B1135="",MIN(AN$38,$D$19)&lt;MAX($P$708*($B1135+IF($R$17="Distrato",$I$38-1,0)),IF(AND($L$711=0,$P$708=0),"",$L$711-1),IF($R$17="Distrato",$E1135,0))),0,YEARFRAC(MAX($P$708*($B1135+IF($R$17="Distrato",$I$38-1,0)),IF(AND($L$711=0,$P$708=0),"",$L$711-1),IF($R$17="Distrato",$E1135,0)),MIN(AN$38,$D$19),$P$20))-SUM($P1135:AM1135)</f>
        <v>#VALUE!</v>
      </c>
      <c r="AO1135" s="446" t="e">
        <f>IF(OR($B1135="",MIN(AO$38,$D$19)&lt;MAX($P$708*($B1135+IF($R$17="Distrato",$I$38-1,0)),IF(AND($L$711=0,$P$708=0),"",$L$711-1),IF($R$17="Distrato",$E1135,0))),0,YEARFRAC(MAX($P$708*($B1135+IF($R$17="Distrato",$I$38-1,0)),IF(AND($L$711=0,$P$708=0),"",$L$711-1),IF($R$17="Distrato",$E1135,0)),MIN(AO$38,$D$19),$P$20))-SUM($P1135:AN1135)</f>
        <v>#VALUE!</v>
      </c>
      <c r="AP1135" s="446" t="e">
        <f>IF(OR($B1135="",MIN(AP$38,$D$19)&lt;MAX($P$708*($B1135+IF($R$17="Distrato",$I$38-1,0)),IF(AND($L$711=0,$P$708=0),"",$L$711-1),IF($R$17="Distrato",$E1135,0))),0,YEARFRAC(MAX($P$708*($B1135+IF($R$17="Distrato",$I$38-1,0)),IF(AND($L$711=0,$P$708=0),"",$L$711-1),IF($R$17="Distrato",$E1135,0)),MIN(AP$38,$D$19),$P$20))-SUM($P1135:AO1135)</f>
        <v>#VALUE!</v>
      </c>
      <c r="AQ1135" s="446" t="e">
        <f>IF(OR($B1135="",MIN(AQ$38,$D$19)&lt;MAX($P$708*($B1135+IF($R$17="Distrato",$I$38-1,0)),IF(AND($L$711=0,$P$708=0),"",$L$711-1),IF($R$17="Distrato",$E1135,0))),0,YEARFRAC(MAX($P$708*($B1135+IF($R$17="Distrato",$I$38-1,0)),IF(AND($L$711=0,$P$708=0),"",$L$711-1),IF($R$17="Distrato",$E1135,0)),MIN(AQ$38,$D$19),$P$20))-SUM($P1135:AP1135)</f>
        <v>#VALUE!</v>
      </c>
      <c r="AR1135" s="446" t="e">
        <f>IF(OR($B1135="",MIN(AR$38,$D$19)&lt;MAX($P$708*($B1135+IF($R$17="Distrato",$I$38-1,0)),IF(AND($L$711=0,$P$708=0),"",$L$711-1),IF($R$17="Distrato",$E1135,0))),0,YEARFRAC(MAX($P$708*($B1135+IF($R$17="Distrato",$I$38-1,0)),IF(AND($L$711=0,$P$708=0),"",$L$711-1),IF($R$17="Distrato",$E1135,0)),MIN(AR$38,$D$19),$P$20))-SUM($P1135:AQ1135)</f>
        <v>#VALUE!</v>
      </c>
      <c r="AS1135" s="446" t="e">
        <f>IF(OR($B1135="",MIN(AS$38,$D$19)&lt;MAX($P$708*($B1135+IF($R$17="Distrato",$I$38-1,0)),IF(AND($L$711=0,$P$708=0),"",$L$711-1),IF($R$17="Distrato",$E1135,0))),0,YEARFRAC(MAX($P$708*($B1135+IF($R$17="Distrato",$I$38-1,0)),IF(AND($L$711=0,$P$708=0),"",$L$711-1),IF($R$17="Distrato",$E1135,0)),MIN(AS$38,$D$19),$P$20))-SUM($P1135:AR1135)</f>
        <v>#VALUE!</v>
      </c>
      <c r="AT1135" s="446" t="e">
        <f>IF(OR($B1135="",MIN(AT$38,$D$19)&lt;MAX($P$708*($B1135+IF($R$17="Distrato",$I$38-1,0)),IF(AND($L$711=0,$P$708=0),"",$L$711-1),IF($R$17="Distrato",$E1135,0))),0,YEARFRAC(MAX($P$708*($B1135+IF($R$17="Distrato",$I$38-1,0)),IF(AND($L$711=0,$P$708=0),"",$L$711-1),IF($R$17="Distrato",$E1135,0)),MIN(AT$38,$D$19),$P$20))-SUM($P1135:AS1135)</f>
        <v>#VALUE!</v>
      </c>
      <c r="AU1135" s="446" t="e">
        <f>IF(OR($B1135="",MIN(AU$38,$D$19)&lt;MAX($P$708*($B1135+IF($R$17="Distrato",$I$38-1,0)),IF(AND($L$711=0,$P$708=0),"",$L$711-1),IF($R$17="Distrato",$E1135,0))),0,YEARFRAC(MAX($P$708*($B1135+IF($R$17="Distrato",$I$38-1,0)),IF(AND($L$711=0,$P$708=0),"",$L$711-1),IF($R$17="Distrato",$E1135,0)),MIN(AU$38,$D$19),$P$20))-SUM($P1135:AT1135)</f>
        <v>#VALUE!</v>
      </c>
      <c r="AV1135" s="446" t="e">
        <f>IF(OR($B1135="",MIN(AV$38,$D$19)&lt;MAX($P$708*($B1135+IF($R$17="Distrato",$I$38-1,0)),IF(AND($L$711=0,$P$708=0),"",$L$711-1),IF($R$17="Distrato",$E1135,0))),0,YEARFRAC(MAX($P$708*($B1135+IF($R$17="Distrato",$I$38-1,0)),IF(AND($L$711=0,$P$708=0),"",$L$711-1),IF($R$17="Distrato",$E1135,0)),MIN(AV$38,$D$19),$P$20))-SUM($P1135:AU1135)</f>
        <v>#VALUE!</v>
      </c>
      <c r="AW1135" s="446" t="e">
        <f>IF(OR($B1135="",MIN(AW$38,$D$19)&lt;MAX($P$708*($B1135+IF($R$17="Distrato",$I$38-1,0)),IF(AND($L$711=0,$P$708=0),"",$L$711-1),IF($R$17="Distrato",$E1135,0))),0,YEARFRAC(MAX($P$708*($B1135+IF($R$17="Distrato",$I$38-1,0)),IF(AND($L$711=0,$P$708=0),"",$L$711-1),IF($R$17="Distrato",$E1135,0)),MIN(AW$38,$D$19),$P$20))-SUM($P1135:AV1135)</f>
        <v>#VALUE!</v>
      </c>
      <c r="AX1135" s="446" t="e">
        <f>IF(OR($B1135="",MIN(AX$38,$D$19)&lt;MAX($P$708*($B1135+IF($R$17="Distrato",$I$38-1,0)),IF(AND($L$711=0,$P$708=0),"",$L$711-1),IF($R$17="Distrato",$E1135,0))),0,YEARFRAC(MAX($P$708*($B1135+IF($R$17="Distrato",$I$38-1,0)),IF(AND($L$711=0,$P$708=0),"",$L$711-1),IF($R$17="Distrato",$E1135,0)),MIN(AX$38,$D$19),$P$20))-SUM($P1135:AW1135)</f>
        <v>#VALUE!</v>
      </c>
      <c r="AY1135" s="446" t="e">
        <f>IF(OR($B1135="",MIN(AY$38,$D$19)&lt;MAX($P$708*($B1135+IF($R$17="Distrato",$I$38-1,0)),IF(AND($L$711=0,$P$708=0),"",$L$711-1),IF($R$17="Distrato",$E1135,0))),0,YEARFRAC(MAX($P$708*($B1135+IF($R$17="Distrato",$I$38-1,0)),IF(AND($L$711=0,$P$708=0),"",$L$711-1),IF($R$17="Distrato",$E1135,0)),MIN(AY$38,$D$19),$P$20))-SUM($P1135:AX1135)</f>
        <v>#VALUE!</v>
      </c>
      <c r="AZ1135" s="446" t="e">
        <f>IF(OR($B1135="",MIN(AZ$38,$D$19)&lt;MAX($P$708*($B1135+IF($R$17="Distrato",$I$38-1,0)),IF(AND($L$711=0,$P$708=0),"",$L$711-1),IF($R$17="Distrato",$E1135,0))),0,YEARFRAC(MAX($P$708*($B1135+IF($R$17="Distrato",$I$38-1,0)),IF(AND($L$711=0,$P$708=0),"",$L$711-1),IF($R$17="Distrato",$E1135,0)),MIN(AZ$38,$D$19),$P$20))-SUM($P1135:AY1135)</f>
        <v>#VALUE!</v>
      </c>
      <c r="BA1135" s="446" t="e">
        <f>IF(OR($B1135="",MIN(BA$38,$D$19)&lt;MAX($P$708*($B1135+IF($R$17="Distrato",$I$38-1,0)),IF(AND($L$711=0,$P$708=0),"",$L$711-1),IF($R$17="Distrato",$E1135,0))),0,YEARFRAC(MAX($P$708*($B1135+IF($R$17="Distrato",$I$38-1,0)),IF(AND($L$711=0,$P$708=0),"",$L$711-1),IF($R$17="Distrato",$E1135,0)),MIN(BA$38,$D$19),$P$20))-SUM($P1135:AZ1135)</f>
        <v>#VALUE!</v>
      </c>
      <c r="BB1135" s="447"/>
    </row>
    <row r="1136" spans="1:54" s="446" customFormat="1" ht="11.25" hidden="1" customHeight="1" x14ac:dyDescent="0.2">
      <c r="A1136" s="235"/>
      <c r="B1136" s="236"/>
      <c r="C1136" s="29" t="str">
        <f>IF(B1136="","",IF($L$709=$BL$25,VLOOKUP(DATE(YEAR($D$19),MONTH($D$19)-1,1),ÍNDICES!$A:$DE,HLOOKUP($BL$25,ÍNDICES!$B$3:$T$4,2)+11)-VLOOKUP(B1136,ÍNDICES!$A:$DE,HLOOKUP($BL$25,ÍNDICES!$B$3:$T$4,2)+11)+1%,IF(C$712=$W$26,$J$35,IF(ISERROR(IF(B1136&gt;$D$19,1,VLOOKUP(DATE(YEAR(B1136),MONTH(B1136)+IF($C$709=$S$23,1,0),1),ÍNDICES!$A:$DE,$Z$709+1))),"",IF(B1136&gt;$D$19,1,VLOOKUP(DATE(YEAR(B1136),MONTH(B1136)+IF($C$709=$S$23,1,0),1),ÍNDICES!$A:$DE,$Z$709+1))))))</f>
        <v/>
      </c>
      <c r="D1136" s="155"/>
      <c r="E1136" s="88"/>
      <c r="F1136" s="88"/>
      <c r="G1136" s="88"/>
      <c r="H1136" s="118"/>
      <c r="I1136" s="182">
        <f t="shared" si="157"/>
        <v>0</v>
      </c>
      <c r="J1136" s="20">
        <f t="shared" ca="1" si="158"/>
        <v>0</v>
      </c>
      <c r="K1136" s="5">
        <f t="shared" ca="1" si="159"/>
        <v>0</v>
      </c>
      <c r="L1136" s="61">
        <f t="shared" ca="1" si="160"/>
        <v>0</v>
      </c>
      <c r="M1136" s="64">
        <f t="shared" si="161"/>
        <v>0</v>
      </c>
      <c r="N1136" s="151"/>
      <c r="O1136" s="5">
        <f t="shared" ca="1" si="162"/>
        <v>0</v>
      </c>
      <c r="P1136" s="446" t="e">
        <f t="shared" si="163"/>
        <v>#VALUE!</v>
      </c>
      <c r="Q1136" s="446" t="e">
        <f>IF(OR($B1136="",MIN(Q$38,$D$19)&lt;MAX($P$708*($B1136+IF($R$17="Distrato",$I$38-1,0)),IF(AND($L$711=0,$P$708=0),"",$L$711-1),IF($R$17="Distrato",$E1136,0))),0,YEARFRAC(MAX($P$708*($B1136+IF($R$17="Distrato",$I$38-1,0)),IF(AND($L$711=0,$P$708=0),"",$L$711-1),IF($R$17="Distrato",$E1136,0)),MIN(Q$38,$D$19),$P$20))-SUM($P1136:P1136)</f>
        <v>#VALUE!</v>
      </c>
      <c r="R1136" s="446" t="e">
        <f>IF(OR($B1136="",MIN(R$38,$D$19)&lt;MAX($P$708*($B1136+IF($R$17="Distrato",$I$38-1,0)),IF(AND($L$711=0,$P$708=0),"",$L$711-1),IF($R$17="Distrato",$E1136,0))),0,YEARFRAC(MAX($P$708*($B1136+IF($R$17="Distrato",$I$38-1,0)),IF(AND($L$711=0,$P$708=0),"",$L$711-1),IF($R$17="Distrato",$E1136,0)),MIN(R$38,$D$19),$P$20))-SUM($P1136:Q1136)</f>
        <v>#VALUE!</v>
      </c>
      <c r="S1136" s="446" t="e">
        <f>IF(OR($B1136="",MIN(S$38,$D$19)&lt;MAX($P$708*($B1136+IF($R$17="Distrato",$I$38-1,0)),IF(AND($L$711=0,$P$708=0),"",$L$711-1),IF($R$17="Distrato",$E1136,0))),0,YEARFRAC(MAX($P$708*($B1136+IF($R$17="Distrato",$I$38-1,0)),IF(AND($L$711=0,$P$708=0),"",$L$711-1),IF($R$17="Distrato",$E1136,0)),MIN(S$38,$D$19),$P$20))-SUM($P1136:R1136)</f>
        <v>#VALUE!</v>
      </c>
      <c r="T1136" s="446" t="e">
        <f>IF(OR($B1136="",MIN(T$38,$D$19)&lt;MAX($P$708*($B1136+IF($R$17="Distrato",$I$38-1,0)),IF(AND($L$711=0,$P$708=0),"",$L$711-1),IF($R$17="Distrato",$E1136,0))),0,YEARFRAC(MAX($P$708*($B1136+IF($R$17="Distrato",$I$38-1,0)),IF(AND($L$711=0,$P$708=0),"",$L$711-1),IF($R$17="Distrato",$E1136,0)),MIN(T$38,$D$19),$P$20))-SUM($P1136:S1136)</f>
        <v>#VALUE!</v>
      </c>
      <c r="U1136" s="446" t="e">
        <f>IF(OR($B1136="",MIN(U$38,$D$19)&lt;MAX($P$708*($B1136+IF($R$17="Distrato",$I$38-1,0)),IF(AND($L$711=0,$P$708=0),"",$L$711-1),IF($R$17="Distrato",$E1136,0))),0,YEARFRAC(MAX($P$708*($B1136+IF($R$17="Distrato",$I$38-1,0)),IF(AND($L$711=0,$P$708=0),"",$L$711-1),IF($R$17="Distrato",$E1136,0)),MIN(U$38,$D$19),$P$20))-SUM($P1136:T1136)</f>
        <v>#VALUE!</v>
      </c>
      <c r="V1136" s="446" t="e">
        <f>IF(OR($B1136="",MIN(V$38,$D$19)&lt;MAX($P$708*($B1136+IF($R$17="Distrato",$I$38-1,0)),IF(AND($L$711=0,$P$708=0),"",$L$711-1),IF($R$17="Distrato",$E1136,0))),0,YEARFRAC(MAX($P$708*($B1136+IF($R$17="Distrato",$I$38-1,0)),IF(AND($L$711=0,$P$708=0),"",$L$711-1),IF($R$17="Distrato",$E1136,0)),MIN(V$38,$D$19),$P$20))-SUM($P1136:U1136)</f>
        <v>#VALUE!</v>
      </c>
      <c r="W1136" s="446" t="e">
        <f>IF(OR($B1136="",MIN(W$38,$D$19)&lt;MAX($P$708*($B1136+IF($R$17="Distrato",$I$38-1,0)),IF(AND($L$711=0,$P$708=0),"",$L$711-1),IF($R$17="Distrato",$E1136,0))),0,YEARFRAC(MAX($P$708*($B1136+IF($R$17="Distrato",$I$38-1,0)),IF(AND($L$711=0,$P$708=0),"",$L$711-1),IF($R$17="Distrato",$E1136,0)),MIN(W$38,$D$19),$P$20))-SUM($P1136:V1136)</f>
        <v>#VALUE!</v>
      </c>
      <c r="X1136" s="446" t="e">
        <f>IF(OR($B1136="",MIN(X$38,$D$19)&lt;MAX($P$708*($B1136+IF($R$17="Distrato",$I$38-1,0)),IF(AND($L$711=0,$P$708=0),"",$L$711-1),IF($R$17="Distrato",$E1136,0))),0,YEARFRAC(MAX($P$708*($B1136+IF($R$17="Distrato",$I$38-1,0)),IF(AND($L$711=0,$P$708=0),"",$L$711-1),IF($R$17="Distrato",$E1136,0)),MIN(X$38,$D$19),$P$20))-SUM($P1136:W1136)</f>
        <v>#VALUE!</v>
      </c>
      <c r="Y1136" s="446" t="e">
        <f>IF(OR($B1136="",MIN(Y$38,$D$19)&lt;MAX($P$708*($B1136+IF($R$17="Distrato",$I$38-1,0)),IF(AND($L$711=0,$P$708=0),"",$L$711-1),IF($R$17="Distrato",$E1136,0))),0,YEARFRAC(MAX($P$708*($B1136+IF($R$17="Distrato",$I$38-1,0)),IF(AND($L$711=0,$P$708=0),"",$L$711-1),IF($R$17="Distrato",$E1136,0)),MIN(Y$38,$D$19),$P$20))-SUM($P1136:X1136)</f>
        <v>#VALUE!</v>
      </c>
      <c r="Z1136" s="446" t="e">
        <f>IF(OR($B1136="",MIN(Z$38,$D$19)&lt;MAX($P$708*($B1136+IF($R$17="Distrato",$I$38-1,0)),IF(AND($L$711=0,$P$708=0),"",$L$711-1),IF($R$17="Distrato",$E1136,0))),0,YEARFRAC(MAX($P$708*($B1136+IF($R$17="Distrato",$I$38-1,0)),IF(AND($L$711=0,$P$708=0),"",$L$711-1),IF($R$17="Distrato",$E1136,0)),MIN(Z$38,$D$19),$P$20))-SUM($P1136:Y1136)</f>
        <v>#VALUE!</v>
      </c>
      <c r="AA1136" s="446" t="e">
        <f>IF(OR($B1136="",MIN(AA$38,$D$19)&lt;MAX($P$708*($B1136+IF($R$17="Distrato",$I$38-1,0)),IF(AND($L$711=0,$P$708=0),"",$L$711-1),IF($R$17="Distrato",$E1136,0))),0,YEARFRAC(MAX($P$708*($B1136+IF($R$17="Distrato",$I$38-1,0)),IF(AND($L$711=0,$P$708=0),"",$L$711-1),IF($R$17="Distrato",$E1136,0)),MIN(AA$38,$D$19),$P$20))-SUM($P1136:Z1136)</f>
        <v>#VALUE!</v>
      </c>
      <c r="AB1136" s="446" t="e">
        <f>IF(OR($B1136="",MIN(AB$38,$D$19)&lt;MAX($P$708*($B1136+IF($R$17="Distrato",$I$38-1,0)),IF(AND($L$711=0,$P$708=0),"",$L$711-1),IF($R$17="Distrato",$E1136,0))),0,YEARFRAC(MAX($P$708*($B1136+IF($R$17="Distrato",$I$38-1,0)),IF(AND($L$711=0,$P$708=0),"",$L$711-1),IF($R$17="Distrato",$E1136,0)),MIN(AB$38,$D$19),$P$20))-SUM($P1136:AA1136)</f>
        <v>#VALUE!</v>
      </c>
      <c r="AC1136" s="446" t="e">
        <f>IF(OR($B1136="",MIN(AC$38,$D$19)&lt;MAX($P$708*($B1136+IF($R$17="Distrato",$I$38-1,0)),IF(AND($L$711=0,$P$708=0),"",$L$711-1),IF($R$17="Distrato",$E1136,0))),0,YEARFRAC(MAX($P$708*($B1136+IF($R$17="Distrato",$I$38-1,0)),IF(AND($L$711=0,$P$708=0),"",$L$711-1),IF($R$17="Distrato",$E1136,0)),MIN(AC$38,$D$19),$P$20))-SUM($P1136:AB1136)</f>
        <v>#VALUE!</v>
      </c>
      <c r="AD1136" s="446" t="e">
        <f>IF(OR($B1136="",MIN(AD$38,$D$19)&lt;MAX($P$708*($B1136+IF($R$17="Distrato",$I$38-1,0)),IF(AND($L$711=0,$P$708=0),"",$L$711-1),IF($R$17="Distrato",$E1136,0))),0,YEARFRAC(MAX($P$708*($B1136+IF($R$17="Distrato",$I$38-1,0)),IF(AND($L$711=0,$P$708=0),"",$L$711-1),IF($R$17="Distrato",$E1136,0)),MIN(AD$38,$D$19),$P$20))-SUM($P1136:AC1136)</f>
        <v>#VALUE!</v>
      </c>
      <c r="AE1136" s="446" t="e">
        <f>IF(OR($B1136="",MIN(AE$38,$D$19)&lt;MAX($P$708*($B1136+IF($R$17="Distrato",$I$38-1,0)),IF(AND($L$711=0,$P$708=0),"",$L$711-1),IF($R$17="Distrato",$E1136,0))),0,YEARFRAC(MAX($P$708*($B1136+IF($R$17="Distrato",$I$38-1,0)),IF(AND($L$711=0,$P$708=0),"",$L$711-1),IF($R$17="Distrato",$E1136,0)),MIN(AE$38,$D$19),$P$20))-SUM($P1136:AD1136)</f>
        <v>#VALUE!</v>
      </c>
      <c r="AF1136" s="446" t="e">
        <f>IF(OR($B1136="",MIN(AF$38,$D$19)&lt;MAX($P$708*($B1136+IF($R$17="Distrato",$I$38-1,0)),IF(AND($L$711=0,$P$708=0),"",$L$711-1),IF($R$17="Distrato",$E1136,0))),0,YEARFRAC(MAX($P$708*($B1136+IF($R$17="Distrato",$I$38-1,0)),IF(AND($L$711=0,$P$708=0),"",$L$711-1),IF($R$17="Distrato",$E1136,0)),MIN(AF$38,$D$19),$P$20))-SUM($P1136:AE1136)</f>
        <v>#VALUE!</v>
      </c>
      <c r="AG1136" s="446" t="e">
        <f>IF(OR($B1136="",MIN(AG$38,$D$19)&lt;MAX($P$708*($B1136+IF($R$17="Distrato",$I$38-1,0)),IF(AND($L$711=0,$P$708=0),"",$L$711-1),IF($R$17="Distrato",$E1136,0))),0,YEARFRAC(MAX($P$708*($B1136+IF($R$17="Distrato",$I$38-1,0)),IF(AND($L$711=0,$P$708=0),"",$L$711-1),IF($R$17="Distrato",$E1136,0)),MIN(AG$38,$D$19),$P$20))-SUM($P1136:AF1136)</f>
        <v>#VALUE!</v>
      </c>
      <c r="AH1136" s="446" t="e">
        <f>IF(OR($B1136="",MIN(AH$38,$D$19)&lt;MAX($P$708*($B1136+IF($R$17="Distrato",$I$38-1,0)),IF(AND($L$711=0,$P$708=0),"",$L$711-1),IF($R$17="Distrato",$E1136,0))),0,YEARFRAC(MAX($P$708*($B1136+IF($R$17="Distrato",$I$38-1,0)),IF(AND($L$711=0,$P$708=0),"",$L$711-1),IF($R$17="Distrato",$E1136,0)),MIN(AH$38,$D$19),$P$20))-SUM($P1136:AG1136)</f>
        <v>#VALUE!</v>
      </c>
      <c r="AI1136" s="446" t="e">
        <f>IF(OR($B1136="",MIN(AI$38,$D$19)&lt;MAX($P$708*($B1136+IF($R$17="Distrato",$I$38-1,0)),IF(AND($L$711=0,$P$708=0),"",$L$711-1),IF($R$17="Distrato",$E1136,0))),0,YEARFRAC(MAX($P$708*($B1136+IF($R$17="Distrato",$I$38-1,0)),IF(AND($L$711=0,$P$708=0),"",$L$711-1),IF($R$17="Distrato",$E1136,0)),MIN(AI$38,$D$19),$P$20))-SUM($P1136:AH1136)</f>
        <v>#VALUE!</v>
      </c>
      <c r="AJ1136" s="446" t="e">
        <f>IF(OR($B1136="",MIN(AJ$38,$D$19)&lt;MAX($P$708*($B1136+IF($R$17="Distrato",$I$38-1,0)),IF(AND($L$711=0,$P$708=0),"",$L$711-1),IF($R$17="Distrato",$E1136,0))),0,YEARFRAC(MAX($P$708*($B1136+IF($R$17="Distrato",$I$38-1,0)),IF(AND($L$711=0,$P$708=0),"",$L$711-1),IF($R$17="Distrato",$E1136,0)),MIN(AJ$38,$D$19),$P$20))-SUM($P1136:AI1136)</f>
        <v>#VALUE!</v>
      </c>
      <c r="AK1136" s="446" t="e">
        <f>IF(OR($B1136="",MIN(AK$38,$D$19)&lt;MAX($P$708*($B1136+IF($R$17="Distrato",$I$38-1,0)),IF(AND($L$711=0,$P$708=0),"",$L$711-1),IF($R$17="Distrato",$E1136,0))),0,YEARFRAC(MAX($P$708*($B1136+IF($R$17="Distrato",$I$38-1,0)),IF(AND($L$711=0,$P$708=0),"",$L$711-1),IF($R$17="Distrato",$E1136,0)),MIN(AK$38,$D$19),$P$20))-SUM($P1136:AJ1136)</f>
        <v>#VALUE!</v>
      </c>
      <c r="AL1136" s="446" t="e">
        <f>IF(OR($B1136="",MIN(AL$38,$D$19)&lt;MAX($P$708*($B1136+IF($R$17="Distrato",$I$38-1,0)),IF(AND($L$711=0,$P$708=0),"",$L$711-1),IF($R$17="Distrato",$E1136,0))),0,YEARFRAC(MAX($P$708*($B1136+IF($R$17="Distrato",$I$38-1,0)),IF(AND($L$711=0,$P$708=0),"",$L$711-1),IF($R$17="Distrato",$E1136,0)),MIN(AL$38,$D$19),$P$20))-SUM($P1136:AK1136)</f>
        <v>#VALUE!</v>
      </c>
      <c r="AM1136" s="446" t="e">
        <f>IF(OR($B1136="",MIN(AM$38,$D$19)&lt;MAX($P$708*($B1136+IF($R$17="Distrato",$I$38-1,0)),IF(AND($L$711=0,$P$708=0),"",$L$711-1),IF($R$17="Distrato",$E1136,0))),0,YEARFRAC(MAX($P$708*($B1136+IF($R$17="Distrato",$I$38-1,0)),IF(AND($L$711=0,$P$708=0),"",$L$711-1),IF($R$17="Distrato",$E1136,0)),MIN(AM$38,$D$19),$P$20))-SUM($P1136:AL1136)</f>
        <v>#VALUE!</v>
      </c>
      <c r="AN1136" s="446" t="e">
        <f>IF(OR($B1136="",MIN(AN$38,$D$19)&lt;MAX($P$708*($B1136+IF($R$17="Distrato",$I$38-1,0)),IF(AND($L$711=0,$P$708=0),"",$L$711-1),IF($R$17="Distrato",$E1136,0))),0,YEARFRAC(MAX($P$708*($B1136+IF($R$17="Distrato",$I$38-1,0)),IF(AND($L$711=0,$P$708=0),"",$L$711-1),IF($R$17="Distrato",$E1136,0)),MIN(AN$38,$D$19),$P$20))-SUM($P1136:AM1136)</f>
        <v>#VALUE!</v>
      </c>
      <c r="AO1136" s="446" t="e">
        <f>IF(OR($B1136="",MIN(AO$38,$D$19)&lt;MAX($P$708*($B1136+IF($R$17="Distrato",$I$38-1,0)),IF(AND($L$711=0,$P$708=0),"",$L$711-1),IF($R$17="Distrato",$E1136,0))),0,YEARFRAC(MAX($P$708*($B1136+IF($R$17="Distrato",$I$38-1,0)),IF(AND($L$711=0,$P$708=0),"",$L$711-1),IF($R$17="Distrato",$E1136,0)),MIN(AO$38,$D$19),$P$20))-SUM($P1136:AN1136)</f>
        <v>#VALUE!</v>
      </c>
      <c r="AP1136" s="446" t="e">
        <f>IF(OR($B1136="",MIN(AP$38,$D$19)&lt;MAX($P$708*($B1136+IF($R$17="Distrato",$I$38-1,0)),IF(AND($L$711=0,$P$708=0),"",$L$711-1),IF($R$17="Distrato",$E1136,0))),0,YEARFRAC(MAX($P$708*($B1136+IF($R$17="Distrato",$I$38-1,0)),IF(AND($L$711=0,$P$708=0),"",$L$711-1),IF($R$17="Distrato",$E1136,0)),MIN(AP$38,$D$19),$P$20))-SUM($P1136:AO1136)</f>
        <v>#VALUE!</v>
      </c>
      <c r="AQ1136" s="446" t="e">
        <f>IF(OR($B1136="",MIN(AQ$38,$D$19)&lt;MAX($P$708*($B1136+IF($R$17="Distrato",$I$38-1,0)),IF(AND($L$711=0,$P$708=0),"",$L$711-1),IF($R$17="Distrato",$E1136,0))),0,YEARFRAC(MAX($P$708*($B1136+IF($R$17="Distrato",$I$38-1,0)),IF(AND($L$711=0,$P$708=0),"",$L$711-1),IF($R$17="Distrato",$E1136,0)),MIN(AQ$38,$D$19),$P$20))-SUM($P1136:AP1136)</f>
        <v>#VALUE!</v>
      </c>
      <c r="AR1136" s="446" t="e">
        <f>IF(OR($B1136="",MIN(AR$38,$D$19)&lt;MAX($P$708*($B1136+IF($R$17="Distrato",$I$38-1,0)),IF(AND($L$711=0,$P$708=0),"",$L$711-1),IF($R$17="Distrato",$E1136,0))),0,YEARFRAC(MAX($P$708*($B1136+IF($R$17="Distrato",$I$38-1,0)),IF(AND($L$711=0,$P$708=0),"",$L$711-1),IF($R$17="Distrato",$E1136,0)),MIN(AR$38,$D$19),$P$20))-SUM($P1136:AQ1136)</f>
        <v>#VALUE!</v>
      </c>
      <c r="AS1136" s="446" t="e">
        <f>IF(OR($B1136="",MIN(AS$38,$D$19)&lt;MAX($P$708*($B1136+IF($R$17="Distrato",$I$38-1,0)),IF(AND($L$711=0,$P$708=0),"",$L$711-1),IF($R$17="Distrato",$E1136,0))),0,YEARFRAC(MAX($P$708*($B1136+IF($R$17="Distrato",$I$38-1,0)),IF(AND($L$711=0,$P$708=0),"",$L$711-1),IF($R$17="Distrato",$E1136,0)),MIN(AS$38,$D$19),$P$20))-SUM($P1136:AR1136)</f>
        <v>#VALUE!</v>
      </c>
      <c r="AT1136" s="446" t="e">
        <f>IF(OR($B1136="",MIN(AT$38,$D$19)&lt;MAX($P$708*($B1136+IF($R$17="Distrato",$I$38-1,0)),IF(AND($L$711=0,$P$708=0),"",$L$711-1),IF($R$17="Distrato",$E1136,0))),0,YEARFRAC(MAX($P$708*($B1136+IF($R$17="Distrato",$I$38-1,0)),IF(AND($L$711=0,$P$708=0),"",$L$711-1),IF($R$17="Distrato",$E1136,0)),MIN(AT$38,$D$19),$P$20))-SUM($P1136:AS1136)</f>
        <v>#VALUE!</v>
      </c>
      <c r="AU1136" s="446" t="e">
        <f>IF(OR($B1136="",MIN(AU$38,$D$19)&lt;MAX($P$708*($B1136+IF($R$17="Distrato",$I$38-1,0)),IF(AND($L$711=0,$P$708=0),"",$L$711-1),IF($R$17="Distrato",$E1136,0))),0,YEARFRAC(MAX($P$708*($B1136+IF($R$17="Distrato",$I$38-1,0)),IF(AND($L$711=0,$P$708=0),"",$L$711-1),IF($R$17="Distrato",$E1136,0)),MIN(AU$38,$D$19),$P$20))-SUM($P1136:AT1136)</f>
        <v>#VALUE!</v>
      </c>
      <c r="AV1136" s="446" t="e">
        <f>IF(OR($B1136="",MIN(AV$38,$D$19)&lt;MAX($P$708*($B1136+IF($R$17="Distrato",$I$38-1,0)),IF(AND($L$711=0,$P$708=0),"",$L$711-1),IF($R$17="Distrato",$E1136,0))),0,YEARFRAC(MAX($P$708*($B1136+IF($R$17="Distrato",$I$38-1,0)),IF(AND($L$711=0,$P$708=0),"",$L$711-1),IF($R$17="Distrato",$E1136,0)),MIN(AV$38,$D$19),$P$20))-SUM($P1136:AU1136)</f>
        <v>#VALUE!</v>
      </c>
      <c r="AW1136" s="446" t="e">
        <f>IF(OR($B1136="",MIN(AW$38,$D$19)&lt;MAX($P$708*($B1136+IF($R$17="Distrato",$I$38-1,0)),IF(AND($L$711=0,$P$708=0),"",$L$711-1),IF($R$17="Distrato",$E1136,0))),0,YEARFRAC(MAX($P$708*($B1136+IF($R$17="Distrato",$I$38-1,0)),IF(AND($L$711=0,$P$708=0),"",$L$711-1),IF($R$17="Distrato",$E1136,0)),MIN(AW$38,$D$19),$P$20))-SUM($P1136:AV1136)</f>
        <v>#VALUE!</v>
      </c>
      <c r="AX1136" s="446" t="e">
        <f>IF(OR($B1136="",MIN(AX$38,$D$19)&lt;MAX($P$708*($B1136+IF($R$17="Distrato",$I$38-1,0)),IF(AND($L$711=0,$P$708=0),"",$L$711-1),IF($R$17="Distrato",$E1136,0))),0,YEARFRAC(MAX($P$708*($B1136+IF($R$17="Distrato",$I$38-1,0)),IF(AND($L$711=0,$P$708=0),"",$L$711-1),IF($R$17="Distrato",$E1136,0)),MIN(AX$38,$D$19),$P$20))-SUM($P1136:AW1136)</f>
        <v>#VALUE!</v>
      </c>
      <c r="AY1136" s="446" t="e">
        <f>IF(OR($B1136="",MIN(AY$38,$D$19)&lt;MAX($P$708*($B1136+IF($R$17="Distrato",$I$38-1,0)),IF(AND($L$711=0,$P$708=0),"",$L$711-1),IF($R$17="Distrato",$E1136,0))),0,YEARFRAC(MAX($P$708*($B1136+IF($R$17="Distrato",$I$38-1,0)),IF(AND($L$711=0,$P$708=0),"",$L$711-1),IF($R$17="Distrato",$E1136,0)),MIN(AY$38,$D$19),$P$20))-SUM($P1136:AX1136)</f>
        <v>#VALUE!</v>
      </c>
      <c r="AZ1136" s="446" t="e">
        <f>IF(OR($B1136="",MIN(AZ$38,$D$19)&lt;MAX($P$708*($B1136+IF($R$17="Distrato",$I$38-1,0)),IF(AND($L$711=0,$P$708=0),"",$L$711-1),IF($R$17="Distrato",$E1136,0))),0,YEARFRAC(MAX($P$708*($B1136+IF($R$17="Distrato",$I$38-1,0)),IF(AND($L$711=0,$P$708=0),"",$L$711-1),IF($R$17="Distrato",$E1136,0)),MIN(AZ$38,$D$19),$P$20))-SUM($P1136:AY1136)</f>
        <v>#VALUE!</v>
      </c>
      <c r="BA1136" s="446" t="e">
        <f>IF(OR($B1136="",MIN(BA$38,$D$19)&lt;MAX($P$708*($B1136+IF($R$17="Distrato",$I$38-1,0)),IF(AND($L$711=0,$P$708=0),"",$L$711-1),IF($R$17="Distrato",$E1136,0))),0,YEARFRAC(MAX($P$708*($B1136+IF($R$17="Distrato",$I$38-1,0)),IF(AND($L$711=0,$P$708=0),"",$L$711-1),IF($R$17="Distrato",$E1136,0)),MIN(BA$38,$D$19),$P$20))-SUM($P1136:AZ1136)</f>
        <v>#VALUE!</v>
      </c>
      <c r="BB1136" s="447"/>
    </row>
    <row r="1137" spans="1:54" s="446" customFormat="1" ht="11.25" hidden="1" customHeight="1" x14ac:dyDescent="0.2">
      <c r="A1137" s="235"/>
      <c r="B1137" s="236"/>
      <c r="C1137" s="29" t="str">
        <f>IF(B1137="","",IF($L$709=$BL$25,VLOOKUP(DATE(YEAR($D$19),MONTH($D$19)-1,1),ÍNDICES!$A:$DE,HLOOKUP($BL$25,ÍNDICES!$B$3:$T$4,2)+11)-VLOOKUP(B1137,ÍNDICES!$A:$DE,HLOOKUP($BL$25,ÍNDICES!$B$3:$T$4,2)+11)+1%,IF(C$712=$W$26,$J$35,IF(ISERROR(IF(B1137&gt;$D$19,1,VLOOKUP(DATE(YEAR(B1137),MONTH(B1137)+IF($C$709=$S$23,1,0),1),ÍNDICES!$A:$DE,$Z$709+1))),"",IF(B1137&gt;$D$19,1,VLOOKUP(DATE(YEAR(B1137),MONTH(B1137)+IF($C$709=$S$23,1,0),1),ÍNDICES!$A:$DE,$Z$709+1))))))</f>
        <v/>
      </c>
      <c r="D1137" s="155"/>
      <c r="E1137" s="88"/>
      <c r="F1137" s="88"/>
      <c r="G1137" s="88"/>
      <c r="H1137" s="118"/>
      <c r="I1137" s="182">
        <f t="shared" si="157"/>
        <v>0</v>
      </c>
      <c r="J1137" s="20">
        <f t="shared" ca="1" si="158"/>
        <v>0</v>
      </c>
      <c r="K1137" s="5">
        <f t="shared" ca="1" si="159"/>
        <v>0</v>
      </c>
      <c r="L1137" s="61">
        <f t="shared" ca="1" si="160"/>
        <v>0</v>
      </c>
      <c r="M1137" s="64">
        <f t="shared" si="161"/>
        <v>0</v>
      </c>
      <c r="N1137" s="151"/>
      <c r="O1137" s="5">
        <f t="shared" ca="1" si="162"/>
        <v>0</v>
      </c>
      <c r="P1137" s="446" t="e">
        <f t="shared" si="163"/>
        <v>#VALUE!</v>
      </c>
      <c r="Q1137" s="446" t="e">
        <f>IF(OR($B1137="",MIN(Q$38,$D$19)&lt;MAX($P$708*($B1137+IF($R$17="Distrato",$I$38-1,0)),IF(AND($L$711=0,$P$708=0),"",$L$711-1),IF($R$17="Distrato",$E1137,0))),0,YEARFRAC(MAX($P$708*($B1137+IF($R$17="Distrato",$I$38-1,0)),IF(AND($L$711=0,$P$708=0),"",$L$711-1),IF($R$17="Distrato",$E1137,0)),MIN(Q$38,$D$19),$P$20))-SUM($P1137:P1137)</f>
        <v>#VALUE!</v>
      </c>
      <c r="R1137" s="446" t="e">
        <f>IF(OR($B1137="",MIN(R$38,$D$19)&lt;MAX($P$708*($B1137+IF($R$17="Distrato",$I$38-1,0)),IF(AND($L$711=0,$P$708=0),"",$L$711-1),IF($R$17="Distrato",$E1137,0))),0,YEARFRAC(MAX($P$708*($B1137+IF($R$17="Distrato",$I$38-1,0)),IF(AND($L$711=0,$P$708=0),"",$L$711-1),IF($R$17="Distrato",$E1137,0)),MIN(R$38,$D$19),$P$20))-SUM($P1137:Q1137)</f>
        <v>#VALUE!</v>
      </c>
      <c r="S1137" s="446" t="e">
        <f>IF(OR($B1137="",MIN(S$38,$D$19)&lt;MAX($P$708*($B1137+IF($R$17="Distrato",$I$38-1,0)),IF(AND($L$711=0,$P$708=0),"",$L$711-1),IF($R$17="Distrato",$E1137,0))),0,YEARFRAC(MAX($P$708*($B1137+IF($R$17="Distrato",$I$38-1,0)),IF(AND($L$711=0,$P$708=0),"",$L$711-1),IF($R$17="Distrato",$E1137,0)),MIN(S$38,$D$19),$P$20))-SUM($P1137:R1137)</f>
        <v>#VALUE!</v>
      </c>
      <c r="T1137" s="446" t="e">
        <f>IF(OR($B1137="",MIN(T$38,$D$19)&lt;MAX($P$708*($B1137+IF($R$17="Distrato",$I$38-1,0)),IF(AND($L$711=0,$P$708=0),"",$L$711-1),IF($R$17="Distrato",$E1137,0))),0,YEARFRAC(MAX($P$708*($B1137+IF($R$17="Distrato",$I$38-1,0)),IF(AND($L$711=0,$P$708=0),"",$L$711-1),IF($R$17="Distrato",$E1137,0)),MIN(T$38,$D$19),$P$20))-SUM($P1137:S1137)</f>
        <v>#VALUE!</v>
      </c>
      <c r="U1137" s="446" t="e">
        <f>IF(OR($B1137="",MIN(U$38,$D$19)&lt;MAX($P$708*($B1137+IF($R$17="Distrato",$I$38-1,0)),IF(AND($L$711=0,$P$708=0),"",$L$711-1),IF($R$17="Distrato",$E1137,0))),0,YEARFRAC(MAX($P$708*($B1137+IF($R$17="Distrato",$I$38-1,0)),IF(AND($L$711=0,$P$708=0),"",$L$711-1),IF($R$17="Distrato",$E1137,0)),MIN(U$38,$D$19),$P$20))-SUM($P1137:T1137)</f>
        <v>#VALUE!</v>
      </c>
      <c r="V1137" s="446" t="e">
        <f>IF(OR($B1137="",MIN(V$38,$D$19)&lt;MAX($P$708*($B1137+IF($R$17="Distrato",$I$38-1,0)),IF(AND($L$711=0,$P$708=0),"",$L$711-1),IF($R$17="Distrato",$E1137,0))),0,YEARFRAC(MAX($P$708*($B1137+IF($R$17="Distrato",$I$38-1,0)),IF(AND($L$711=0,$P$708=0),"",$L$711-1),IF($R$17="Distrato",$E1137,0)),MIN(V$38,$D$19),$P$20))-SUM($P1137:U1137)</f>
        <v>#VALUE!</v>
      </c>
      <c r="W1137" s="446" t="e">
        <f>IF(OR($B1137="",MIN(W$38,$D$19)&lt;MAX($P$708*($B1137+IF($R$17="Distrato",$I$38-1,0)),IF(AND($L$711=0,$P$708=0),"",$L$711-1),IF($R$17="Distrato",$E1137,0))),0,YEARFRAC(MAX($P$708*($B1137+IF($R$17="Distrato",$I$38-1,0)),IF(AND($L$711=0,$P$708=0),"",$L$711-1),IF($R$17="Distrato",$E1137,0)),MIN(W$38,$D$19),$P$20))-SUM($P1137:V1137)</f>
        <v>#VALUE!</v>
      </c>
      <c r="X1137" s="446" t="e">
        <f>IF(OR($B1137="",MIN(X$38,$D$19)&lt;MAX($P$708*($B1137+IF($R$17="Distrato",$I$38-1,0)),IF(AND($L$711=0,$P$708=0),"",$L$711-1),IF($R$17="Distrato",$E1137,0))),0,YEARFRAC(MAX($P$708*($B1137+IF($R$17="Distrato",$I$38-1,0)),IF(AND($L$711=0,$P$708=0),"",$L$711-1),IF($R$17="Distrato",$E1137,0)),MIN(X$38,$D$19),$P$20))-SUM($P1137:W1137)</f>
        <v>#VALUE!</v>
      </c>
      <c r="Y1137" s="446" t="e">
        <f>IF(OR($B1137="",MIN(Y$38,$D$19)&lt;MAX($P$708*($B1137+IF($R$17="Distrato",$I$38-1,0)),IF(AND($L$711=0,$P$708=0),"",$L$711-1),IF($R$17="Distrato",$E1137,0))),0,YEARFRAC(MAX($P$708*($B1137+IF($R$17="Distrato",$I$38-1,0)),IF(AND($L$711=0,$P$708=0),"",$L$711-1),IF($R$17="Distrato",$E1137,0)),MIN(Y$38,$D$19),$P$20))-SUM($P1137:X1137)</f>
        <v>#VALUE!</v>
      </c>
      <c r="Z1137" s="446" t="e">
        <f>IF(OR($B1137="",MIN(Z$38,$D$19)&lt;MAX($P$708*($B1137+IF($R$17="Distrato",$I$38-1,0)),IF(AND($L$711=0,$P$708=0),"",$L$711-1),IF($R$17="Distrato",$E1137,0))),0,YEARFRAC(MAX($P$708*($B1137+IF($R$17="Distrato",$I$38-1,0)),IF(AND($L$711=0,$P$708=0),"",$L$711-1),IF($R$17="Distrato",$E1137,0)),MIN(Z$38,$D$19),$P$20))-SUM($P1137:Y1137)</f>
        <v>#VALUE!</v>
      </c>
      <c r="AA1137" s="446" t="e">
        <f>IF(OR($B1137="",MIN(AA$38,$D$19)&lt;MAX($P$708*($B1137+IF($R$17="Distrato",$I$38-1,0)),IF(AND($L$711=0,$P$708=0),"",$L$711-1),IF($R$17="Distrato",$E1137,0))),0,YEARFRAC(MAX($P$708*($B1137+IF($R$17="Distrato",$I$38-1,0)),IF(AND($L$711=0,$P$708=0),"",$L$711-1),IF($R$17="Distrato",$E1137,0)),MIN(AA$38,$D$19),$P$20))-SUM($P1137:Z1137)</f>
        <v>#VALUE!</v>
      </c>
      <c r="AB1137" s="446" t="e">
        <f>IF(OR($B1137="",MIN(AB$38,$D$19)&lt;MAX($P$708*($B1137+IF($R$17="Distrato",$I$38-1,0)),IF(AND($L$711=0,$P$708=0),"",$L$711-1),IF($R$17="Distrato",$E1137,0))),0,YEARFRAC(MAX($P$708*($B1137+IF($R$17="Distrato",$I$38-1,0)),IF(AND($L$711=0,$P$708=0),"",$L$711-1),IF($R$17="Distrato",$E1137,0)),MIN(AB$38,$D$19),$P$20))-SUM($P1137:AA1137)</f>
        <v>#VALUE!</v>
      </c>
      <c r="AC1137" s="446" t="e">
        <f>IF(OR($B1137="",MIN(AC$38,$D$19)&lt;MAX($P$708*($B1137+IF($R$17="Distrato",$I$38-1,0)),IF(AND($L$711=0,$P$708=0),"",$L$711-1),IF($R$17="Distrato",$E1137,0))),0,YEARFRAC(MAX($P$708*($B1137+IF($R$17="Distrato",$I$38-1,0)),IF(AND($L$711=0,$P$708=0),"",$L$711-1),IF($R$17="Distrato",$E1137,0)),MIN(AC$38,$D$19),$P$20))-SUM($P1137:AB1137)</f>
        <v>#VALUE!</v>
      </c>
      <c r="AD1137" s="446" t="e">
        <f>IF(OR($B1137="",MIN(AD$38,$D$19)&lt;MAX($P$708*($B1137+IF($R$17="Distrato",$I$38-1,0)),IF(AND($L$711=0,$P$708=0),"",$L$711-1),IF($R$17="Distrato",$E1137,0))),0,YEARFRAC(MAX($P$708*($B1137+IF($R$17="Distrato",$I$38-1,0)),IF(AND($L$711=0,$P$708=0),"",$L$711-1),IF($R$17="Distrato",$E1137,0)),MIN(AD$38,$D$19),$P$20))-SUM($P1137:AC1137)</f>
        <v>#VALUE!</v>
      </c>
      <c r="AE1137" s="446" t="e">
        <f>IF(OR($B1137="",MIN(AE$38,$D$19)&lt;MAX($P$708*($B1137+IF($R$17="Distrato",$I$38-1,0)),IF(AND($L$711=0,$P$708=0),"",$L$711-1),IF($R$17="Distrato",$E1137,0))),0,YEARFRAC(MAX($P$708*($B1137+IF($R$17="Distrato",$I$38-1,0)),IF(AND($L$711=0,$P$708=0),"",$L$711-1),IF($R$17="Distrato",$E1137,0)),MIN(AE$38,$D$19),$P$20))-SUM($P1137:AD1137)</f>
        <v>#VALUE!</v>
      </c>
      <c r="AF1137" s="446" t="e">
        <f>IF(OR($B1137="",MIN(AF$38,$D$19)&lt;MAX($P$708*($B1137+IF($R$17="Distrato",$I$38-1,0)),IF(AND($L$711=0,$P$708=0),"",$L$711-1),IF($R$17="Distrato",$E1137,0))),0,YEARFRAC(MAX($P$708*($B1137+IF($R$17="Distrato",$I$38-1,0)),IF(AND($L$711=0,$P$708=0),"",$L$711-1),IF($R$17="Distrato",$E1137,0)),MIN(AF$38,$D$19),$P$20))-SUM($P1137:AE1137)</f>
        <v>#VALUE!</v>
      </c>
      <c r="AG1137" s="446" t="e">
        <f>IF(OR($B1137="",MIN(AG$38,$D$19)&lt;MAX($P$708*($B1137+IF($R$17="Distrato",$I$38-1,0)),IF(AND($L$711=0,$P$708=0),"",$L$711-1),IF($R$17="Distrato",$E1137,0))),0,YEARFRAC(MAX($P$708*($B1137+IF($R$17="Distrato",$I$38-1,0)),IF(AND($L$711=0,$P$708=0),"",$L$711-1),IF($R$17="Distrato",$E1137,0)),MIN(AG$38,$D$19),$P$20))-SUM($P1137:AF1137)</f>
        <v>#VALUE!</v>
      </c>
      <c r="AH1137" s="446" t="e">
        <f>IF(OR($B1137="",MIN(AH$38,$D$19)&lt;MAX($P$708*($B1137+IF($R$17="Distrato",$I$38-1,0)),IF(AND($L$711=0,$P$708=0),"",$L$711-1),IF($R$17="Distrato",$E1137,0))),0,YEARFRAC(MAX($P$708*($B1137+IF($R$17="Distrato",$I$38-1,0)),IF(AND($L$711=0,$P$708=0),"",$L$711-1),IF($R$17="Distrato",$E1137,0)),MIN(AH$38,$D$19),$P$20))-SUM($P1137:AG1137)</f>
        <v>#VALUE!</v>
      </c>
      <c r="AI1137" s="446" t="e">
        <f>IF(OR($B1137="",MIN(AI$38,$D$19)&lt;MAX($P$708*($B1137+IF($R$17="Distrato",$I$38-1,0)),IF(AND($L$711=0,$P$708=0),"",$L$711-1),IF($R$17="Distrato",$E1137,0))),0,YEARFRAC(MAX($P$708*($B1137+IF($R$17="Distrato",$I$38-1,0)),IF(AND($L$711=0,$P$708=0),"",$L$711-1),IF($R$17="Distrato",$E1137,0)),MIN(AI$38,$D$19),$P$20))-SUM($P1137:AH1137)</f>
        <v>#VALUE!</v>
      </c>
      <c r="AJ1137" s="446" t="e">
        <f>IF(OR($B1137="",MIN(AJ$38,$D$19)&lt;MAX($P$708*($B1137+IF($R$17="Distrato",$I$38-1,0)),IF(AND($L$711=0,$P$708=0),"",$L$711-1),IF($R$17="Distrato",$E1137,0))),0,YEARFRAC(MAX($P$708*($B1137+IF($R$17="Distrato",$I$38-1,0)),IF(AND($L$711=0,$P$708=0),"",$L$711-1),IF($R$17="Distrato",$E1137,0)),MIN(AJ$38,$D$19),$P$20))-SUM($P1137:AI1137)</f>
        <v>#VALUE!</v>
      </c>
      <c r="AK1137" s="446" t="e">
        <f>IF(OR($B1137="",MIN(AK$38,$D$19)&lt;MAX($P$708*($B1137+IF($R$17="Distrato",$I$38-1,0)),IF(AND($L$711=0,$P$708=0),"",$L$711-1),IF($R$17="Distrato",$E1137,0))),0,YEARFRAC(MAX($P$708*($B1137+IF($R$17="Distrato",$I$38-1,0)),IF(AND($L$711=0,$P$708=0),"",$L$711-1),IF($R$17="Distrato",$E1137,0)),MIN(AK$38,$D$19),$P$20))-SUM($P1137:AJ1137)</f>
        <v>#VALUE!</v>
      </c>
      <c r="AL1137" s="446" t="e">
        <f>IF(OR($B1137="",MIN(AL$38,$D$19)&lt;MAX($P$708*($B1137+IF($R$17="Distrato",$I$38-1,0)),IF(AND($L$711=0,$P$708=0),"",$L$711-1),IF($R$17="Distrato",$E1137,0))),0,YEARFRAC(MAX($P$708*($B1137+IF($R$17="Distrato",$I$38-1,0)),IF(AND($L$711=0,$P$708=0),"",$L$711-1),IF($R$17="Distrato",$E1137,0)),MIN(AL$38,$D$19),$P$20))-SUM($P1137:AK1137)</f>
        <v>#VALUE!</v>
      </c>
      <c r="AM1137" s="446" t="e">
        <f>IF(OR($B1137="",MIN(AM$38,$D$19)&lt;MAX($P$708*($B1137+IF($R$17="Distrato",$I$38-1,0)),IF(AND($L$711=0,$P$708=0),"",$L$711-1),IF($R$17="Distrato",$E1137,0))),0,YEARFRAC(MAX($P$708*($B1137+IF($R$17="Distrato",$I$38-1,0)),IF(AND($L$711=0,$P$708=0),"",$L$711-1),IF($R$17="Distrato",$E1137,0)),MIN(AM$38,$D$19),$P$20))-SUM($P1137:AL1137)</f>
        <v>#VALUE!</v>
      </c>
      <c r="AN1137" s="446" t="e">
        <f>IF(OR($B1137="",MIN(AN$38,$D$19)&lt;MAX($P$708*($B1137+IF($R$17="Distrato",$I$38-1,0)),IF(AND($L$711=0,$P$708=0),"",$L$711-1),IF($R$17="Distrato",$E1137,0))),0,YEARFRAC(MAX($P$708*($B1137+IF($R$17="Distrato",$I$38-1,0)),IF(AND($L$711=0,$P$708=0),"",$L$711-1),IF($R$17="Distrato",$E1137,0)),MIN(AN$38,$D$19),$P$20))-SUM($P1137:AM1137)</f>
        <v>#VALUE!</v>
      </c>
      <c r="AO1137" s="446" t="e">
        <f>IF(OR($B1137="",MIN(AO$38,$D$19)&lt;MAX($P$708*($B1137+IF($R$17="Distrato",$I$38-1,0)),IF(AND($L$711=0,$P$708=0),"",$L$711-1),IF($R$17="Distrato",$E1137,0))),0,YEARFRAC(MAX($P$708*($B1137+IF($R$17="Distrato",$I$38-1,0)),IF(AND($L$711=0,$P$708=0),"",$L$711-1),IF($R$17="Distrato",$E1137,0)),MIN(AO$38,$D$19),$P$20))-SUM($P1137:AN1137)</f>
        <v>#VALUE!</v>
      </c>
      <c r="AP1137" s="446" t="e">
        <f>IF(OR($B1137="",MIN(AP$38,$D$19)&lt;MAX($P$708*($B1137+IF($R$17="Distrato",$I$38-1,0)),IF(AND($L$711=0,$P$708=0),"",$L$711-1),IF($R$17="Distrato",$E1137,0))),0,YEARFRAC(MAX($P$708*($B1137+IF($R$17="Distrato",$I$38-1,0)),IF(AND($L$711=0,$P$708=0),"",$L$711-1),IF($R$17="Distrato",$E1137,0)),MIN(AP$38,$D$19),$P$20))-SUM($P1137:AO1137)</f>
        <v>#VALUE!</v>
      </c>
      <c r="AQ1137" s="446" t="e">
        <f>IF(OR($B1137="",MIN(AQ$38,$D$19)&lt;MAX($P$708*($B1137+IF($R$17="Distrato",$I$38-1,0)),IF(AND($L$711=0,$P$708=0),"",$L$711-1),IF($R$17="Distrato",$E1137,0))),0,YEARFRAC(MAX($P$708*($B1137+IF($R$17="Distrato",$I$38-1,0)),IF(AND($L$711=0,$P$708=0),"",$L$711-1),IF($R$17="Distrato",$E1137,0)),MIN(AQ$38,$D$19),$P$20))-SUM($P1137:AP1137)</f>
        <v>#VALUE!</v>
      </c>
      <c r="AR1137" s="446" t="e">
        <f>IF(OR($B1137="",MIN(AR$38,$D$19)&lt;MAX($P$708*($B1137+IF($R$17="Distrato",$I$38-1,0)),IF(AND($L$711=0,$P$708=0),"",$L$711-1),IF($R$17="Distrato",$E1137,0))),0,YEARFRAC(MAX($P$708*($B1137+IF($R$17="Distrato",$I$38-1,0)),IF(AND($L$711=0,$P$708=0),"",$L$711-1),IF($R$17="Distrato",$E1137,0)),MIN(AR$38,$D$19),$P$20))-SUM($P1137:AQ1137)</f>
        <v>#VALUE!</v>
      </c>
      <c r="AS1137" s="446" t="e">
        <f>IF(OR($B1137="",MIN(AS$38,$D$19)&lt;MAX($P$708*($B1137+IF($R$17="Distrato",$I$38-1,0)),IF(AND($L$711=0,$P$708=0),"",$L$711-1),IF($R$17="Distrato",$E1137,0))),0,YEARFRAC(MAX($P$708*($B1137+IF($R$17="Distrato",$I$38-1,0)),IF(AND($L$711=0,$P$708=0),"",$L$711-1),IF($R$17="Distrato",$E1137,0)),MIN(AS$38,$D$19),$P$20))-SUM($P1137:AR1137)</f>
        <v>#VALUE!</v>
      </c>
      <c r="AT1137" s="446" t="e">
        <f>IF(OR($B1137="",MIN(AT$38,$D$19)&lt;MAX($P$708*($B1137+IF($R$17="Distrato",$I$38-1,0)),IF(AND($L$711=0,$P$708=0),"",$L$711-1),IF($R$17="Distrato",$E1137,0))),0,YEARFRAC(MAX($P$708*($B1137+IF($R$17="Distrato",$I$38-1,0)),IF(AND($L$711=0,$P$708=0),"",$L$711-1),IF($R$17="Distrato",$E1137,0)),MIN(AT$38,$D$19),$P$20))-SUM($P1137:AS1137)</f>
        <v>#VALUE!</v>
      </c>
      <c r="AU1137" s="446" t="e">
        <f>IF(OR($B1137="",MIN(AU$38,$D$19)&lt;MAX($P$708*($B1137+IF($R$17="Distrato",$I$38-1,0)),IF(AND($L$711=0,$P$708=0),"",$L$711-1),IF($R$17="Distrato",$E1137,0))),0,YEARFRAC(MAX($P$708*($B1137+IF($R$17="Distrato",$I$38-1,0)),IF(AND($L$711=0,$P$708=0),"",$L$711-1),IF($R$17="Distrato",$E1137,0)),MIN(AU$38,$D$19),$P$20))-SUM($P1137:AT1137)</f>
        <v>#VALUE!</v>
      </c>
      <c r="AV1137" s="446" t="e">
        <f>IF(OR($B1137="",MIN(AV$38,$D$19)&lt;MAX($P$708*($B1137+IF($R$17="Distrato",$I$38-1,0)),IF(AND($L$711=0,$P$708=0),"",$L$711-1),IF($R$17="Distrato",$E1137,0))),0,YEARFRAC(MAX($P$708*($B1137+IF($R$17="Distrato",$I$38-1,0)),IF(AND($L$711=0,$P$708=0),"",$L$711-1),IF($R$17="Distrato",$E1137,0)),MIN(AV$38,$D$19),$P$20))-SUM($P1137:AU1137)</f>
        <v>#VALUE!</v>
      </c>
      <c r="AW1137" s="446" t="e">
        <f>IF(OR($B1137="",MIN(AW$38,$D$19)&lt;MAX($P$708*($B1137+IF($R$17="Distrato",$I$38-1,0)),IF(AND($L$711=0,$P$708=0),"",$L$711-1),IF($R$17="Distrato",$E1137,0))),0,YEARFRAC(MAX($P$708*($B1137+IF($R$17="Distrato",$I$38-1,0)),IF(AND($L$711=0,$P$708=0),"",$L$711-1),IF($R$17="Distrato",$E1137,0)),MIN(AW$38,$D$19),$P$20))-SUM($P1137:AV1137)</f>
        <v>#VALUE!</v>
      </c>
      <c r="AX1137" s="446" t="e">
        <f>IF(OR($B1137="",MIN(AX$38,$D$19)&lt;MAX($P$708*($B1137+IF($R$17="Distrato",$I$38-1,0)),IF(AND($L$711=0,$P$708=0),"",$L$711-1),IF($R$17="Distrato",$E1137,0))),0,YEARFRAC(MAX($P$708*($B1137+IF($R$17="Distrato",$I$38-1,0)),IF(AND($L$711=0,$P$708=0),"",$L$711-1),IF($R$17="Distrato",$E1137,0)),MIN(AX$38,$D$19),$P$20))-SUM($P1137:AW1137)</f>
        <v>#VALUE!</v>
      </c>
      <c r="AY1137" s="446" t="e">
        <f>IF(OR($B1137="",MIN(AY$38,$D$19)&lt;MAX($P$708*($B1137+IF($R$17="Distrato",$I$38-1,0)),IF(AND($L$711=0,$P$708=0),"",$L$711-1),IF($R$17="Distrato",$E1137,0))),0,YEARFRAC(MAX($P$708*($B1137+IF($R$17="Distrato",$I$38-1,0)),IF(AND($L$711=0,$P$708=0),"",$L$711-1),IF($R$17="Distrato",$E1137,0)),MIN(AY$38,$D$19),$P$20))-SUM($P1137:AX1137)</f>
        <v>#VALUE!</v>
      </c>
      <c r="AZ1137" s="446" t="e">
        <f>IF(OR($B1137="",MIN(AZ$38,$D$19)&lt;MAX($P$708*($B1137+IF($R$17="Distrato",$I$38-1,0)),IF(AND($L$711=0,$P$708=0),"",$L$711-1),IF($R$17="Distrato",$E1137,0))),0,YEARFRAC(MAX($P$708*($B1137+IF($R$17="Distrato",$I$38-1,0)),IF(AND($L$711=0,$P$708=0),"",$L$711-1),IF($R$17="Distrato",$E1137,0)),MIN(AZ$38,$D$19),$P$20))-SUM($P1137:AY1137)</f>
        <v>#VALUE!</v>
      </c>
      <c r="BA1137" s="446" t="e">
        <f>IF(OR($B1137="",MIN(BA$38,$D$19)&lt;MAX($P$708*($B1137+IF($R$17="Distrato",$I$38-1,0)),IF(AND($L$711=0,$P$708=0),"",$L$711-1),IF($R$17="Distrato",$E1137,0))),0,YEARFRAC(MAX($P$708*($B1137+IF($R$17="Distrato",$I$38-1,0)),IF(AND($L$711=0,$P$708=0),"",$L$711-1),IF($R$17="Distrato",$E1137,0)),MIN(BA$38,$D$19),$P$20))-SUM($P1137:AZ1137)</f>
        <v>#VALUE!</v>
      </c>
      <c r="BB1137" s="447"/>
    </row>
    <row r="1138" spans="1:54" s="446" customFormat="1" ht="11.25" hidden="1" customHeight="1" x14ac:dyDescent="0.2">
      <c r="A1138" s="235"/>
      <c r="B1138" s="236"/>
      <c r="C1138" s="29" t="str">
        <f>IF(B1138="","",IF($L$709=$BL$25,VLOOKUP(DATE(YEAR($D$19),MONTH($D$19)-1,1),ÍNDICES!$A:$DE,HLOOKUP($BL$25,ÍNDICES!$B$3:$T$4,2)+11)-VLOOKUP(B1138,ÍNDICES!$A:$DE,HLOOKUP($BL$25,ÍNDICES!$B$3:$T$4,2)+11)+1%,IF(C$712=$W$26,$J$35,IF(ISERROR(IF(B1138&gt;$D$19,1,VLOOKUP(DATE(YEAR(B1138),MONTH(B1138)+IF($C$709=$S$23,1,0),1),ÍNDICES!$A:$DE,$Z$709+1))),"",IF(B1138&gt;$D$19,1,VLOOKUP(DATE(YEAR(B1138),MONTH(B1138)+IF($C$709=$S$23,1,0),1),ÍNDICES!$A:$DE,$Z$709+1))))))</f>
        <v/>
      </c>
      <c r="D1138" s="155"/>
      <c r="E1138" s="88"/>
      <c r="F1138" s="88"/>
      <c r="G1138" s="88"/>
      <c r="H1138" s="118"/>
      <c r="I1138" s="182">
        <f t="shared" si="157"/>
        <v>0</v>
      </c>
      <c r="J1138" s="20">
        <f t="shared" ca="1" si="158"/>
        <v>0</v>
      </c>
      <c r="K1138" s="5">
        <f t="shared" ca="1" si="159"/>
        <v>0</v>
      </c>
      <c r="L1138" s="61">
        <f t="shared" ca="1" si="160"/>
        <v>0</v>
      </c>
      <c r="M1138" s="64">
        <f t="shared" si="161"/>
        <v>0</v>
      </c>
      <c r="N1138" s="151"/>
      <c r="O1138" s="5">
        <f t="shared" ca="1" si="162"/>
        <v>0</v>
      </c>
      <c r="P1138" s="446" t="e">
        <f t="shared" si="163"/>
        <v>#VALUE!</v>
      </c>
      <c r="Q1138" s="446" t="e">
        <f>IF(OR($B1138="",MIN(Q$38,$D$19)&lt;MAX($P$708*($B1138+IF($R$17="Distrato",$I$38-1,0)),IF(AND($L$711=0,$P$708=0),"",$L$711-1),IF($R$17="Distrato",$E1138,0))),0,YEARFRAC(MAX($P$708*($B1138+IF($R$17="Distrato",$I$38-1,0)),IF(AND($L$711=0,$P$708=0),"",$L$711-1),IF($R$17="Distrato",$E1138,0)),MIN(Q$38,$D$19),$P$20))-SUM($P1138:P1138)</f>
        <v>#VALUE!</v>
      </c>
      <c r="R1138" s="446" t="e">
        <f>IF(OR($B1138="",MIN(R$38,$D$19)&lt;MAX($P$708*($B1138+IF($R$17="Distrato",$I$38-1,0)),IF(AND($L$711=0,$P$708=0),"",$L$711-1),IF($R$17="Distrato",$E1138,0))),0,YEARFRAC(MAX($P$708*($B1138+IF($R$17="Distrato",$I$38-1,0)),IF(AND($L$711=0,$P$708=0),"",$L$711-1),IF($R$17="Distrato",$E1138,0)),MIN(R$38,$D$19),$P$20))-SUM($P1138:Q1138)</f>
        <v>#VALUE!</v>
      </c>
      <c r="S1138" s="446" t="e">
        <f>IF(OR($B1138="",MIN(S$38,$D$19)&lt;MAX($P$708*($B1138+IF($R$17="Distrato",$I$38-1,0)),IF(AND($L$711=0,$P$708=0),"",$L$711-1),IF($R$17="Distrato",$E1138,0))),0,YEARFRAC(MAX($P$708*($B1138+IF($R$17="Distrato",$I$38-1,0)),IF(AND($L$711=0,$P$708=0),"",$L$711-1),IF($R$17="Distrato",$E1138,0)),MIN(S$38,$D$19),$P$20))-SUM($P1138:R1138)</f>
        <v>#VALUE!</v>
      </c>
      <c r="T1138" s="446" t="e">
        <f>IF(OR($B1138="",MIN(T$38,$D$19)&lt;MAX($P$708*($B1138+IF($R$17="Distrato",$I$38-1,0)),IF(AND($L$711=0,$P$708=0),"",$L$711-1),IF($R$17="Distrato",$E1138,0))),0,YEARFRAC(MAX($P$708*($B1138+IF($R$17="Distrato",$I$38-1,0)),IF(AND($L$711=0,$P$708=0),"",$L$711-1),IF($R$17="Distrato",$E1138,0)),MIN(T$38,$D$19),$P$20))-SUM($P1138:S1138)</f>
        <v>#VALUE!</v>
      </c>
      <c r="U1138" s="446" t="e">
        <f>IF(OR($B1138="",MIN(U$38,$D$19)&lt;MAX($P$708*($B1138+IF($R$17="Distrato",$I$38-1,0)),IF(AND($L$711=0,$P$708=0),"",$L$711-1),IF($R$17="Distrato",$E1138,0))),0,YEARFRAC(MAX($P$708*($B1138+IF($R$17="Distrato",$I$38-1,0)),IF(AND($L$711=0,$P$708=0),"",$L$711-1),IF($R$17="Distrato",$E1138,0)),MIN(U$38,$D$19),$P$20))-SUM($P1138:T1138)</f>
        <v>#VALUE!</v>
      </c>
      <c r="V1138" s="446" t="e">
        <f>IF(OR($B1138="",MIN(V$38,$D$19)&lt;MAX($P$708*($B1138+IF($R$17="Distrato",$I$38-1,0)),IF(AND($L$711=0,$P$708=0),"",$L$711-1),IF($R$17="Distrato",$E1138,0))),0,YEARFRAC(MAX($P$708*($B1138+IF($R$17="Distrato",$I$38-1,0)),IF(AND($L$711=0,$P$708=0),"",$L$711-1),IF($R$17="Distrato",$E1138,0)),MIN(V$38,$D$19),$P$20))-SUM($P1138:U1138)</f>
        <v>#VALUE!</v>
      </c>
      <c r="W1138" s="446" t="e">
        <f>IF(OR($B1138="",MIN(W$38,$D$19)&lt;MAX($P$708*($B1138+IF($R$17="Distrato",$I$38-1,0)),IF(AND($L$711=0,$P$708=0),"",$L$711-1),IF($R$17="Distrato",$E1138,0))),0,YEARFRAC(MAX($P$708*($B1138+IF($R$17="Distrato",$I$38-1,0)),IF(AND($L$711=0,$P$708=0),"",$L$711-1),IF($R$17="Distrato",$E1138,0)),MIN(W$38,$D$19),$P$20))-SUM($P1138:V1138)</f>
        <v>#VALUE!</v>
      </c>
      <c r="X1138" s="446" t="e">
        <f>IF(OR($B1138="",MIN(X$38,$D$19)&lt;MAX($P$708*($B1138+IF($R$17="Distrato",$I$38-1,0)),IF(AND($L$711=0,$P$708=0),"",$L$711-1),IF($R$17="Distrato",$E1138,0))),0,YEARFRAC(MAX($P$708*($B1138+IF($R$17="Distrato",$I$38-1,0)),IF(AND($L$711=0,$P$708=0),"",$L$711-1),IF($R$17="Distrato",$E1138,0)),MIN(X$38,$D$19),$P$20))-SUM($P1138:W1138)</f>
        <v>#VALUE!</v>
      </c>
      <c r="Y1138" s="446" t="e">
        <f>IF(OR($B1138="",MIN(Y$38,$D$19)&lt;MAX($P$708*($B1138+IF($R$17="Distrato",$I$38-1,0)),IF(AND($L$711=0,$P$708=0),"",$L$711-1),IF($R$17="Distrato",$E1138,0))),0,YEARFRAC(MAX($P$708*($B1138+IF($R$17="Distrato",$I$38-1,0)),IF(AND($L$711=0,$P$708=0),"",$L$711-1),IF($R$17="Distrato",$E1138,0)),MIN(Y$38,$D$19),$P$20))-SUM($P1138:X1138)</f>
        <v>#VALUE!</v>
      </c>
      <c r="Z1138" s="446" t="e">
        <f>IF(OR($B1138="",MIN(Z$38,$D$19)&lt;MAX($P$708*($B1138+IF($R$17="Distrato",$I$38-1,0)),IF(AND($L$711=0,$P$708=0),"",$L$711-1),IF($R$17="Distrato",$E1138,0))),0,YEARFRAC(MAX($P$708*($B1138+IF($R$17="Distrato",$I$38-1,0)),IF(AND($L$711=0,$P$708=0),"",$L$711-1),IF($R$17="Distrato",$E1138,0)),MIN(Z$38,$D$19),$P$20))-SUM($P1138:Y1138)</f>
        <v>#VALUE!</v>
      </c>
      <c r="AA1138" s="446" t="e">
        <f>IF(OR($B1138="",MIN(AA$38,$D$19)&lt;MAX($P$708*($B1138+IF($R$17="Distrato",$I$38-1,0)),IF(AND($L$711=0,$P$708=0),"",$L$711-1),IF($R$17="Distrato",$E1138,0))),0,YEARFRAC(MAX($P$708*($B1138+IF($R$17="Distrato",$I$38-1,0)),IF(AND($L$711=0,$P$708=0),"",$L$711-1),IF($R$17="Distrato",$E1138,0)),MIN(AA$38,$D$19),$P$20))-SUM($P1138:Z1138)</f>
        <v>#VALUE!</v>
      </c>
      <c r="AB1138" s="446" t="e">
        <f>IF(OR($B1138="",MIN(AB$38,$D$19)&lt;MAX($P$708*($B1138+IF($R$17="Distrato",$I$38-1,0)),IF(AND($L$711=0,$P$708=0),"",$L$711-1),IF($R$17="Distrato",$E1138,0))),0,YEARFRAC(MAX($P$708*($B1138+IF($R$17="Distrato",$I$38-1,0)),IF(AND($L$711=0,$P$708=0),"",$L$711-1),IF($R$17="Distrato",$E1138,0)),MIN(AB$38,$D$19),$P$20))-SUM($P1138:AA1138)</f>
        <v>#VALUE!</v>
      </c>
      <c r="AC1138" s="446" t="e">
        <f>IF(OR($B1138="",MIN(AC$38,$D$19)&lt;MAX($P$708*($B1138+IF($R$17="Distrato",$I$38-1,0)),IF(AND($L$711=0,$P$708=0),"",$L$711-1),IF($R$17="Distrato",$E1138,0))),0,YEARFRAC(MAX($P$708*($B1138+IF($R$17="Distrato",$I$38-1,0)),IF(AND($L$711=0,$P$708=0),"",$L$711-1),IF($R$17="Distrato",$E1138,0)),MIN(AC$38,$D$19),$P$20))-SUM($P1138:AB1138)</f>
        <v>#VALUE!</v>
      </c>
      <c r="AD1138" s="446" t="e">
        <f>IF(OR($B1138="",MIN(AD$38,$D$19)&lt;MAX($P$708*($B1138+IF($R$17="Distrato",$I$38-1,0)),IF(AND($L$711=0,$P$708=0),"",$L$711-1),IF($R$17="Distrato",$E1138,0))),0,YEARFRAC(MAX($P$708*($B1138+IF($R$17="Distrato",$I$38-1,0)),IF(AND($L$711=0,$P$708=0),"",$L$711-1),IF($R$17="Distrato",$E1138,0)),MIN(AD$38,$D$19),$P$20))-SUM($P1138:AC1138)</f>
        <v>#VALUE!</v>
      </c>
      <c r="AE1138" s="446" t="e">
        <f>IF(OR($B1138="",MIN(AE$38,$D$19)&lt;MAX($P$708*($B1138+IF($R$17="Distrato",$I$38-1,0)),IF(AND($L$711=0,$P$708=0),"",$L$711-1),IF($R$17="Distrato",$E1138,0))),0,YEARFRAC(MAX($P$708*($B1138+IF($R$17="Distrato",$I$38-1,0)),IF(AND($L$711=0,$P$708=0),"",$L$711-1),IF($R$17="Distrato",$E1138,0)),MIN(AE$38,$D$19),$P$20))-SUM($P1138:AD1138)</f>
        <v>#VALUE!</v>
      </c>
      <c r="AF1138" s="446" t="e">
        <f>IF(OR($B1138="",MIN(AF$38,$D$19)&lt;MAX($P$708*($B1138+IF($R$17="Distrato",$I$38-1,0)),IF(AND($L$711=0,$P$708=0),"",$L$711-1),IF($R$17="Distrato",$E1138,0))),0,YEARFRAC(MAX($P$708*($B1138+IF($R$17="Distrato",$I$38-1,0)),IF(AND($L$711=0,$P$708=0),"",$L$711-1),IF($R$17="Distrato",$E1138,0)),MIN(AF$38,$D$19),$P$20))-SUM($P1138:AE1138)</f>
        <v>#VALUE!</v>
      </c>
      <c r="AG1138" s="446" t="e">
        <f>IF(OR($B1138="",MIN(AG$38,$D$19)&lt;MAX($P$708*($B1138+IF($R$17="Distrato",$I$38-1,0)),IF(AND($L$711=0,$P$708=0),"",$L$711-1),IF($R$17="Distrato",$E1138,0))),0,YEARFRAC(MAX($P$708*($B1138+IF($R$17="Distrato",$I$38-1,0)),IF(AND($L$711=0,$P$708=0),"",$L$711-1),IF($R$17="Distrato",$E1138,0)),MIN(AG$38,$D$19),$P$20))-SUM($P1138:AF1138)</f>
        <v>#VALUE!</v>
      </c>
      <c r="AH1138" s="446" t="e">
        <f>IF(OR($B1138="",MIN(AH$38,$D$19)&lt;MAX($P$708*($B1138+IF($R$17="Distrato",$I$38-1,0)),IF(AND($L$711=0,$P$708=0),"",$L$711-1),IF($R$17="Distrato",$E1138,0))),0,YEARFRAC(MAX($P$708*($B1138+IF($R$17="Distrato",$I$38-1,0)),IF(AND($L$711=0,$P$708=0),"",$L$711-1),IF($R$17="Distrato",$E1138,0)),MIN(AH$38,$D$19),$P$20))-SUM($P1138:AG1138)</f>
        <v>#VALUE!</v>
      </c>
      <c r="AI1138" s="446" t="e">
        <f>IF(OR($B1138="",MIN(AI$38,$D$19)&lt;MAX($P$708*($B1138+IF($R$17="Distrato",$I$38-1,0)),IF(AND($L$711=0,$P$708=0),"",$L$711-1),IF($R$17="Distrato",$E1138,0))),0,YEARFRAC(MAX($P$708*($B1138+IF($R$17="Distrato",$I$38-1,0)),IF(AND($L$711=0,$P$708=0),"",$L$711-1),IF($R$17="Distrato",$E1138,0)),MIN(AI$38,$D$19),$P$20))-SUM($P1138:AH1138)</f>
        <v>#VALUE!</v>
      </c>
      <c r="AJ1138" s="446" t="e">
        <f>IF(OR($B1138="",MIN(AJ$38,$D$19)&lt;MAX($P$708*($B1138+IF($R$17="Distrato",$I$38-1,0)),IF(AND($L$711=0,$P$708=0),"",$L$711-1),IF($R$17="Distrato",$E1138,0))),0,YEARFRAC(MAX($P$708*($B1138+IF($R$17="Distrato",$I$38-1,0)),IF(AND($L$711=0,$P$708=0),"",$L$711-1),IF($R$17="Distrato",$E1138,0)),MIN(AJ$38,$D$19),$P$20))-SUM($P1138:AI1138)</f>
        <v>#VALUE!</v>
      </c>
      <c r="AK1138" s="446" t="e">
        <f>IF(OR($B1138="",MIN(AK$38,$D$19)&lt;MAX($P$708*($B1138+IF($R$17="Distrato",$I$38-1,0)),IF(AND($L$711=0,$P$708=0),"",$L$711-1),IF($R$17="Distrato",$E1138,0))),0,YEARFRAC(MAX($P$708*($B1138+IF($R$17="Distrato",$I$38-1,0)),IF(AND($L$711=0,$P$708=0),"",$L$711-1),IF($R$17="Distrato",$E1138,0)),MIN(AK$38,$D$19),$P$20))-SUM($P1138:AJ1138)</f>
        <v>#VALUE!</v>
      </c>
      <c r="AL1138" s="446" t="e">
        <f>IF(OR($B1138="",MIN(AL$38,$D$19)&lt;MAX($P$708*($B1138+IF($R$17="Distrato",$I$38-1,0)),IF(AND($L$711=0,$P$708=0),"",$L$711-1),IF($R$17="Distrato",$E1138,0))),0,YEARFRAC(MAX($P$708*($B1138+IF($R$17="Distrato",$I$38-1,0)),IF(AND($L$711=0,$P$708=0),"",$L$711-1),IF($R$17="Distrato",$E1138,0)),MIN(AL$38,$D$19),$P$20))-SUM($P1138:AK1138)</f>
        <v>#VALUE!</v>
      </c>
      <c r="AM1138" s="446" t="e">
        <f>IF(OR($B1138="",MIN(AM$38,$D$19)&lt;MAX($P$708*($B1138+IF($R$17="Distrato",$I$38-1,0)),IF(AND($L$711=0,$P$708=0),"",$L$711-1),IF($R$17="Distrato",$E1138,0))),0,YEARFRAC(MAX($P$708*($B1138+IF($R$17="Distrato",$I$38-1,0)),IF(AND($L$711=0,$P$708=0),"",$L$711-1),IF($R$17="Distrato",$E1138,0)),MIN(AM$38,$D$19),$P$20))-SUM($P1138:AL1138)</f>
        <v>#VALUE!</v>
      </c>
      <c r="AN1138" s="446" t="e">
        <f>IF(OR($B1138="",MIN(AN$38,$D$19)&lt;MAX($P$708*($B1138+IF($R$17="Distrato",$I$38-1,0)),IF(AND($L$711=0,$P$708=0),"",$L$711-1),IF($R$17="Distrato",$E1138,0))),0,YEARFRAC(MAX($P$708*($B1138+IF($R$17="Distrato",$I$38-1,0)),IF(AND($L$711=0,$P$708=0),"",$L$711-1),IF($R$17="Distrato",$E1138,0)),MIN(AN$38,$D$19),$P$20))-SUM($P1138:AM1138)</f>
        <v>#VALUE!</v>
      </c>
      <c r="AO1138" s="446" t="e">
        <f>IF(OR($B1138="",MIN(AO$38,$D$19)&lt;MAX($P$708*($B1138+IF($R$17="Distrato",$I$38-1,0)),IF(AND($L$711=0,$P$708=0),"",$L$711-1),IF($R$17="Distrato",$E1138,0))),0,YEARFRAC(MAX($P$708*($B1138+IF($R$17="Distrato",$I$38-1,0)),IF(AND($L$711=0,$P$708=0),"",$L$711-1),IF($R$17="Distrato",$E1138,0)),MIN(AO$38,$D$19),$P$20))-SUM($P1138:AN1138)</f>
        <v>#VALUE!</v>
      </c>
      <c r="AP1138" s="446" t="e">
        <f>IF(OR($B1138="",MIN(AP$38,$D$19)&lt;MAX($P$708*($B1138+IF($R$17="Distrato",$I$38-1,0)),IF(AND($L$711=0,$P$708=0),"",$L$711-1),IF($R$17="Distrato",$E1138,0))),0,YEARFRAC(MAX($P$708*($B1138+IF($R$17="Distrato",$I$38-1,0)),IF(AND($L$711=0,$P$708=0),"",$L$711-1),IF($R$17="Distrato",$E1138,0)),MIN(AP$38,$D$19),$P$20))-SUM($P1138:AO1138)</f>
        <v>#VALUE!</v>
      </c>
      <c r="AQ1138" s="446" t="e">
        <f>IF(OR($B1138="",MIN(AQ$38,$D$19)&lt;MAX($P$708*($B1138+IF($R$17="Distrato",$I$38-1,0)),IF(AND($L$711=0,$P$708=0),"",$L$711-1),IF($R$17="Distrato",$E1138,0))),0,YEARFRAC(MAX($P$708*($B1138+IF($R$17="Distrato",$I$38-1,0)),IF(AND($L$711=0,$P$708=0),"",$L$711-1),IF($R$17="Distrato",$E1138,0)),MIN(AQ$38,$D$19),$P$20))-SUM($P1138:AP1138)</f>
        <v>#VALUE!</v>
      </c>
      <c r="AR1138" s="446" t="e">
        <f>IF(OR($B1138="",MIN(AR$38,$D$19)&lt;MAX($P$708*($B1138+IF($R$17="Distrato",$I$38-1,0)),IF(AND($L$711=0,$P$708=0),"",$L$711-1),IF($R$17="Distrato",$E1138,0))),0,YEARFRAC(MAX($P$708*($B1138+IF($R$17="Distrato",$I$38-1,0)),IF(AND($L$711=0,$P$708=0),"",$L$711-1),IF($R$17="Distrato",$E1138,0)),MIN(AR$38,$D$19),$P$20))-SUM($P1138:AQ1138)</f>
        <v>#VALUE!</v>
      </c>
      <c r="AS1138" s="446" t="e">
        <f>IF(OR($B1138="",MIN(AS$38,$D$19)&lt;MAX($P$708*($B1138+IF($R$17="Distrato",$I$38-1,0)),IF(AND($L$711=0,$P$708=0),"",$L$711-1),IF($R$17="Distrato",$E1138,0))),0,YEARFRAC(MAX($P$708*($B1138+IF($R$17="Distrato",$I$38-1,0)),IF(AND($L$711=0,$P$708=0),"",$L$711-1),IF($R$17="Distrato",$E1138,0)),MIN(AS$38,$D$19),$P$20))-SUM($P1138:AR1138)</f>
        <v>#VALUE!</v>
      </c>
      <c r="AT1138" s="446" t="e">
        <f>IF(OR($B1138="",MIN(AT$38,$D$19)&lt;MAX($P$708*($B1138+IF($R$17="Distrato",$I$38-1,0)),IF(AND($L$711=0,$P$708=0),"",$L$711-1),IF($R$17="Distrato",$E1138,0))),0,YEARFRAC(MAX($P$708*($B1138+IF($R$17="Distrato",$I$38-1,0)),IF(AND($L$711=0,$P$708=0),"",$L$711-1),IF($R$17="Distrato",$E1138,0)),MIN(AT$38,$D$19),$P$20))-SUM($P1138:AS1138)</f>
        <v>#VALUE!</v>
      </c>
      <c r="AU1138" s="446" t="e">
        <f>IF(OR($B1138="",MIN(AU$38,$D$19)&lt;MAX($P$708*($B1138+IF($R$17="Distrato",$I$38-1,0)),IF(AND($L$711=0,$P$708=0),"",$L$711-1),IF($R$17="Distrato",$E1138,0))),0,YEARFRAC(MAX($P$708*($B1138+IF($R$17="Distrato",$I$38-1,0)),IF(AND($L$711=0,$P$708=0),"",$L$711-1),IF($R$17="Distrato",$E1138,0)),MIN(AU$38,$D$19),$P$20))-SUM($P1138:AT1138)</f>
        <v>#VALUE!</v>
      </c>
      <c r="AV1138" s="446" t="e">
        <f>IF(OR($B1138="",MIN(AV$38,$D$19)&lt;MAX($P$708*($B1138+IF($R$17="Distrato",$I$38-1,0)),IF(AND($L$711=0,$P$708=0),"",$L$711-1),IF($R$17="Distrato",$E1138,0))),0,YEARFRAC(MAX($P$708*($B1138+IF($R$17="Distrato",$I$38-1,0)),IF(AND($L$711=0,$P$708=0),"",$L$711-1),IF($R$17="Distrato",$E1138,0)),MIN(AV$38,$D$19),$P$20))-SUM($P1138:AU1138)</f>
        <v>#VALUE!</v>
      </c>
      <c r="AW1138" s="446" t="e">
        <f>IF(OR($B1138="",MIN(AW$38,$D$19)&lt;MAX($P$708*($B1138+IF($R$17="Distrato",$I$38-1,0)),IF(AND($L$711=0,$P$708=0),"",$L$711-1),IF($R$17="Distrato",$E1138,0))),0,YEARFRAC(MAX($P$708*($B1138+IF($R$17="Distrato",$I$38-1,0)),IF(AND($L$711=0,$P$708=0),"",$L$711-1),IF($R$17="Distrato",$E1138,0)),MIN(AW$38,$D$19),$P$20))-SUM($P1138:AV1138)</f>
        <v>#VALUE!</v>
      </c>
      <c r="AX1138" s="446" t="e">
        <f>IF(OR($B1138="",MIN(AX$38,$D$19)&lt;MAX($P$708*($B1138+IF($R$17="Distrato",$I$38-1,0)),IF(AND($L$711=0,$P$708=0),"",$L$711-1),IF($R$17="Distrato",$E1138,0))),0,YEARFRAC(MAX($P$708*($B1138+IF($R$17="Distrato",$I$38-1,0)),IF(AND($L$711=0,$P$708=0),"",$L$711-1),IF($R$17="Distrato",$E1138,0)),MIN(AX$38,$D$19),$P$20))-SUM($P1138:AW1138)</f>
        <v>#VALUE!</v>
      </c>
      <c r="AY1138" s="446" t="e">
        <f>IF(OR($B1138="",MIN(AY$38,$D$19)&lt;MAX($P$708*($B1138+IF($R$17="Distrato",$I$38-1,0)),IF(AND($L$711=0,$P$708=0),"",$L$711-1),IF($R$17="Distrato",$E1138,0))),0,YEARFRAC(MAX($P$708*($B1138+IF($R$17="Distrato",$I$38-1,0)),IF(AND($L$711=0,$P$708=0),"",$L$711-1),IF($R$17="Distrato",$E1138,0)),MIN(AY$38,$D$19),$P$20))-SUM($P1138:AX1138)</f>
        <v>#VALUE!</v>
      </c>
      <c r="AZ1138" s="446" t="e">
        <f>IF(OR($B1138="",MIN(AZ$38,$D$19)&lt;MAX($P$708*($B1138+IF($R$17="Distrato",$I$38-1,0)),IF(AND($L$711=0,$P$708=0),"",$L$711-1),IF($R$17="Distrato",$E1138,0))),0,YEARFRAC(MAX($P$708*($B1138+IF($R$17="Distrato",$I$38-1,0)),IF(AND($L$711=0,$P$708=0),"",$L$711-1),IF($R$17="Distrato",$E1138,0)),MIN(AZ$38,$D$19),$P$20))-SUM($P1138:AY1138)</f>
        <v>#VALUE!</v>
      </c>
      <c r="BA1138" s="446" t="e">
        <f>IF(OR($B1138="",MIN(BA$38,$D$19)&lt;MAX($P$708*($B1138+IF($R$17="Distrato",$I$38-1,0)),IF(AND($L$711=0,$P$708=0),"",$L$711-1),IF($R$17="Distrato",$E1138,0))),0,YEARFRAC(MAX($P$708*($B1138+IF($R$17="Distrato",$I$38-1,0)),IF(AND($L$711=0,$P$708=0),"",$L$711-1),IF($R$17="Distrato",$E1138,0)),MIN(BA$38,$D$19),$P$20))-SUM($P1138:AZ1138)</f>
        <v>#VALUE!</v>
      </c>
      <c r="BB1138" s="447"/>
    </row>
    <row r="1139" spans="1:54" s="446" customFormat="1" ht="11.25" hidden="1" customHeight="1" x14ac:dyDescent="0.2">
      <c r="A1139" s="235"/>
      <c r="B1139" s="236"/>
      <c r="C1139" s="29" t="str">
        <f>IF(B1139="","",IF($L$709=$BL$25,VLOOKUP(DATE(YEAR($D$19),MONTH($D$19)-1,1),ÍNDICES!$A:$DE,HLOOKUP($BL$25,ÍNDICES!$B$3:$T$4,2)+11)-VLOOKUP(B1139,ÍNDICES!$A:$DE,HLOOKUP($BL$25,ÍNDICES!$B$3:$T$4,2)+11)+1%,IF(C$712=$W$26,$J$35,IF(ISERROR(IF(B1139&gt;$D$19,1,VLOOKUP(DATE(YEAR(B1139),MONTH(B1139)+IF($C$709=$S$23,1,0),1),ÍNDICES!$A:$DE,$Z$709+1))),"",IF(B1139&gt;$D$19,1,VLOOKUP(DATE(YEAR(B1139),MONTH(B1139)+IF($C$709=$S$23,1,0),1),ÍNDICES!$A:$DE,$Z$709+1))))))</f>
        <v/>
      </c>
      <c r="D1139" s="155"/>
      <c r="E1139" s="88"/>
      <c r="F1139" s="88"/>
      <c r="G1139" s="88"/>
      <c r="H1139" s="118"/>
      <c r="I1139" s="182">
        <f t="shared" si="157"/>
        <v>0</v>
      </c>
      <c r="J1139" s="20">
        <f t="shared" ca="1" si="158"/>
        <v>0</v>
      </c>
      <c r="K1139" s="5">
        <f t="shared" ca="1" si="159"/>
        <v>0</v>
      </c>
      <c r="L1139" s="61">
        <f t="shared" ca="1" si="160"/>
        <v>0</v>
      </c>
      <c r="M1139" s="64">
        <f t="shared" si="161"/>
        <v>0</v>
      </c>
      <c r="N1139" s="151"/>
      <c r="O1139" s="5">
        <f t="shared" ca="1" si="162"/>
        <v>0</v>
      </c>
      <c r="P1139" s="446" t="e">
        <f t="shared" si="163"/>
        <v>#VALUE!</v>
      </c>
      <c r="Q1139" s="446" t="e">
        <f>IF(OR($B1139="",MIN(Q$38,$D$19)&lt;MAX($P$708*($B1139+IF($R$17="Distrato",$I$38-1,0)),IF(AND($L$711=0,$P$708=0),"",$L$711-1),IF($R$17="Distrato",$E1139,0))),0,YEARFRAC(MAX($P$708*($B1139+IF($R$17="Distrato",$I$38-1,0)),IF(AND($L$711=0,$P$708=0),"",$L$711-1),IF($R$17="Distrato",$E1139,0)),MIN(Q$38,$D$19),$P$20))-SUM($P1139:P1139)</f>
        <v>#VALUE!</v>
      </c>
      <c r="R1139" s="446" t="e">
        <f>IF(OR($B1139="",MIN(R$38,$D$19)&lt;MAX($P$708*($B1139+IF($R$17="Distrato",$I$38-1,0)),IF(AND($L$711=0,$P$708=0),"",$L$711-1),IF($R$17="Distrato",$E1139,0))),0,YEARFRAC(MAX($P$708*($B1139+IF($R$17="Distrato",$I$38-1,0)),IF(AND($L$711=0,$P$708=0),"",$L$711-1),IF($R$17="Distrato",$E1139,0)),MIN(R$38,$D$19),$P$20))-SUM($P1139:Q1139)</f>
        <v>#VALUE!</v>
      </c>
      <c r="S1139" s="446" t="e">
        <f>IF(OR($B1139="",MIN(S$38,$D$19)&lt;MAX($P$708*($B1139+IF($R$17="Distrato",$I$38-1,0)),IF(AND($L$711=0,$P$708=0),"",$L$711-1),IF($R$17="Distrato",$E1139,0))),0,YEARFRAC(MAX($P$708*($B1139+IF($R$17="Distrato",$I$38-1,0)),IF(AND($L$711=0,$P$708=0),"",$L$711-1),IF($R$17="Distrato",$E1139,0)),MIN(S$38,$D$19),$P$20))-SUM($P1139:R1139)</f>
        <v>#VALUE!</v>
      </c>
      <c r="T1139" s="446" t="e">
        <f>IF(OR($B1139="",MIN(T$38,$D$19)&lt;MAX($P$708*($B1139+IF($R$17="Distrato",$I$38-1,0)),IF(AND($L$711=0,$P$708=0),"",$L$711-1),IF($R$17="Distrato",$E1139,0))),0,YEARFRAC(MAX($P$708*($B1139+IF($R$17="Distrato",$I$38-1,0)),IF(AND($L$711=0,$P$708=0),"",$L$711-1),IF($R$17="Distrato",$E1139,0)),MIN(T$38,$D$19),$P$20))-SUM($P1139:S1139)</f>
        <v>#VALUE!</v>
      </c>
      <c r="U1139" s="446" t="e">
        <f>IF(OR($B1139="",MIN(U$38,$D$19)&lt;MAX($P$708*($B1139+IF($R$17="Distrato",$I$38-1,0)),IF(AND($L$711=0,$P$708=0),"",$L$711-1),IF($R$17="Distrato",$E1139,0))),0,YEARFRAC(MAX($P$708*($B1139+IF($R$17="Distrato",$I$38-1,0)),IF(AND($L$711=0,$P$708=0),"",$L$711-1),IF($R$17="Distrato",$E1139,0)),MIN(U$38,$D$19),$P$20))-SUM($P1139:T1139)</f>
        <v>#VALUE!</v>
      </c>
      <c r="V1139" s="446" t="e">
        <f>IF(OR($B1139="",MIN(V$38,$D$19)&lt;MAX($P$708*($B1139+IF($R$17="Distrato",$I$38-1,0)),IF(AND($L$711=0,$P$708=0),"",$L$711-1),IF($R$17="Distrato",$E1139,0))),0,YEARFRAC(MAX($P$708*($B1139+IF($R$17="Distrato",$I$38-1,0)),IF(AND($L$711=0,$P$708=0),"",$L$711-1),IF($R$17="Distrato",$E1139,0)),MIN(V$38,$D$19),$P$20))-SUM($P1139:U1139)</f>
        <v>#VALUE!</v>
      </c>
      <c r="W1139" s="446" t="e">
        <f>IF(OR($B1139="",MIN(W$38,$D$19)&lt;MAX($P$708*($B1139+IF($R$17="Distrato",$I$38-1,0)),IF(AND($L$711=0,$P$708=0),"",$L$711-1),IF($R$17="Distrato",$E1139,0))),0,YEARFRAC(MAX($P$708*($B1139+IF($R$17="Distrato",$I$38-1,0)),IF(AND($L$711=0,$P$708=0),"",$L$711-1),IF($R$17="Distrato",$E1139,0)),MIN(W$38,$D$19),$P$20))-SUM($P1139:V1139)</f>
        <v>#VALUE!</v>
      </c>
      <c r="X1139" s="446" t="e">
        <f>IF(OR($B1139="",MIN(X$38,$D$19)&lt;MAX($P$708*($B1139+IF($R$17="Distrato",$I$38-1,0)),IF(AND($L$711=0,$P$708=0),"",$L$711-1),IF($R$17="Distrato",$E1139,0))),0,YEARFRAC(MAX($P$708*($B1139+IF($R$17="Distrato",$I$38-1,0)),IF(AND($L$711=0,$P$708=0),"",$L$711-1),IF($R$17="Distrato",$E1139,0)),MIN(X$38,$D$19),$P$20))-SUM($P1139:W1139)</f>
        <v>#VALUE!</v>
      </c>
      <c r="Y1139" s="446" t="e">
        <f>IF(OR($B1139="",MIN(Y$38,$D$19)&lt;MAX($P$708*($B1139+IF($R$17="Distrato",$I$38-1,0)),IF(AND($L$711=0,$P$708=0),"",$L$711-1),IF($R$17="Distrato",$E1139,0))),0,YEARFRAC(MAX($P$708*($B1139+IF($R$17="Distrato",$I$38-1,0)),IF(AND($L$711=0,$P$708=0),"",$L$711-1),IF($R$17="Distrato",$E1139,0)),MIN(Y$38,$D$19),$P$20))-SUM($P1139:X1139)</f>
        <v>#VALUE!</v>
      </c>
      <c r="Z1139" s="446" t="e">
        <f>IF(OR($B1139="",MIN(Z$38,$D$19)&lt;MAX($P$708*($B1139+IF($R$17="Distrato",$I$38-1,0)),IF(AND($L$711=0,$P$708=0),"",$L$711-1),IF($R$17="Distrato",$E1139,0))),0,YEARFRAC(MAX($P$708*($B1139+IF($R$17="Distrato",$I$38-1,0)),IF(AND($L$711=0,$P$708=0),"",$L$711-1),IF($R$17="Distrato",$E1139,0)),MIN(Z$38,$D$19),$P$20))-SUM($P1139:Y1139)</f>
        <v>#VALUE!</v>
      </c>
      <c r="AA1139" s="446" t="e">
        <f>IF(OR($B1139="",MIN(AA$38,$D$19)&lt;MAX($P$708*($B1139+IF($R$17="Distrato",$I$38-1,0)),IF(AND($L$711=0,$P$708=0),"",$L$711-1),IF($R$17="Distrato",$E1139,0))),0,YEARFRAC(MAX($P$708*($B1139+IF($R$17="Distrato",$I$38-1,0)),IF(AND($L$711=0,$P$708=0),"",$L$711-1),IF($R$17="Distrato",$E1139,0)),MIN(AA$38,$D$19),$P$20))-SUM($P1139:Z1139)</f>
        <v>#VALUE!</v>
      </c>
      <c r="AB1139" s="446" t="e">
        <f>IF(OR($B1139="",MIN(AB$38,$D$19)&lt;MAX($P$708*($B1139+IF($R$17="Distrato",$I$38-1,0)),IF(AND($L$711=0,$P$708=0),"",$L$711-1),IF($R$17="Distrato",$E1139,0))),0,YEARFRAC(MAX($P$708*($B1139+IF($R$17="Distrato",$I$38-1,0)),IF(AND($L$711=0,$P$708=0),"",$L$711-1),IF($R$17="Distrato",$E1139,0)),MIN(AB$38,$D$19),$P$20))-SUM($P1139:AA1139)</f>
        <v>#VALUE!</v>
      </c>
      <c r="AC1139" s="446" t="e">
        <f>IF(OR($B1139="",MIN(AC$38,$D$19)&lt;MAX($P$708*($B1139+IF($R$17="Distrato",$I$38-1,0)),IF(AND($L$711=0,$P$708=0),"",$L$711-1),IF($R$17="Distrato",$E1139,0))),0,YEARFRAC(MAX($P$708*($B1139+IF($R$17="Distrato",$I$38-1,0)),IF(AND($L$711=0,$P$708=0),"",$L$711-1),IF($R$17="Distrato",$E1139,0)),MIN(AC$38,$D$19),$P$20))-SUM($P1139:AB1139)</f>
        <v>#VALUE!</v>
      </c>
      <c r="AD1139" s="446" t="e">
        <f>IF(OR($B1139="",MIN(AD$38,$D$19)&lt;MAX($P$708*($B1139+IF($R$17="Distrato",$I$38-1,0)),IF(AND($L$711=0,$P$708=0),"",$L$711-1),IF($R$17="Distrato",$E1139,0))),0,YEARFRAC(MAX($P$708*($B1139+IF($R$17="Distrato",$I$38-1,0)),IF(AND($L$711=0,$P$708=0),"",$L$711-1),IF($R$17="Distrato",$E1139,0)),MIN(AD$38,$D$19),$P$20))-SUM($P1139:AC1139)</f>
        <v>#VALUE!</v>
      </c>
      <c r="AE1139" s="446" t="e">
        <f>IF(OR($B1139="",MIN(AE$38,$D$19)&lt;MAX($P$708*($B1139+IF($R$17="Distrato",$I$38-1,0)),IF(AND($L$711=0,$P$708=0),"",$L$711-1),IF($R$17="Distrato",$E1139,0))),0,YEARFRAC(MAX($P$708*($B1139+IF($R$17="Distrato",$I$38-1,0)),IF(AND($L$711=0,$P$708=0),"",$L$711-1),IF($R$17="Distrato",$E1139,0)),MIN(AE$38,$D$19),$P$20))-SUM($P1139:AD1139)</f>
        <v>#VALUE!</v>
      </c>
      <c r="AF1139" s="446" t="e">
        <f>IF(OR($B1139="",MIN(AF$38,$D$19)&lt;MAX($P$708*($B1139+IF($R$17="Distrato",$I$38-1,0)),IF(AND($L$711=0,$P$708=0),"",$L$711-1),IF($R$17="Distrato",$E1139,0))),0,YEARFRAC(MAX($P$708*($B1139+IF($R$17="Distrato",$I$38-1,0)),IF(AND($L$711=0,$P$708=0),"",$L$711-1),IF($R$17="Distrato",$E1139,0)),MIN(AF$38,$D$19),$P$20))-SUM($P1139:AE1139)</f>
        <v>#VALUE!</v>
      </c>
      <c r="AG1139" s="446" t="e">
        <f>IF(OR($B1139="",MIN(AG$38,$D$19)&lt;MAX($P$708*($B1139+IF($R$17="Distrato",$I$38-1,0)),IF(AND($L$711=0,$P$708=0),"",$L$711-1),IF($R$17="Distrato",$E1139,0))),0,YEARFRAC(MAX($P$708*($B1139+IF($R$17="Distrato",$I$38-1,0)),IF(AND($L$711=0,$P$708=0),"",$L$711-1),IF($R$17="Distrato",$E1139,0)),MIN(AG$38,$D$19),$P$20))-SUM($P1139:AF1139)</f>
        <v>#VALUE!</v>
      </c>
      <c r="AH1139" s="446" t="e">
        <f>IF(OR($B1139="",MIN(AH$38,$D$19)&lt;MAX($P$708*($B1139+IF($R$17="Distrato",$I$38-1,0)),IF(AND($L$711=0,$P$708=0),"",$L$711-1),IF($R$17="Distrato",$E1139,0))),0,YEARFRAC(MAX($P$708*($B1139+IF($R$17="Distrato",$I$38-1,0)),IF(AND($L$711=0,$P$708=0),"",$L$711-1),IF($R$17="Distrato",$E1139,0)),MIN(AH$38,$D$19),$P$20))-SUM($P1139:AG1139)</f>
        <v>#VALUE!</v>
      </c>
      <c r="AI1139" s="446" t="e">
        <f>IF(OR($B1139="",MIN(AI$38,$D$19)&lt;MAX($P$708*($B1139+IF($R$17="Distrato",$I$38-1,0)),IF(AND($L$711=0,$P$708=0),"",$L$711-1),IF($R$17="Distrato",$E1139,0))),0,YEARFRAC(MAX($P$708*($B1139+IF($R$17="Distrato",$I$38-1,0)),IF(AND($L$711=0,$P$708=0),"",$L$711-1),IF($R$17="Distrato",$E1139,0)),MIN(AI$38,$D$19),$P$20))-SUM($P1139:AH1139)</f>
        <v>#VALUE!</v>
      </c>
      <c r="AJ1139" s="446" t="e">
        <f>IF(OR($B1139="",MIN(AJ$38,$D$19)&lt;MAX($P$708*($B1139+IF($R$17="Distrato",$I$38-1,0)),IF(AND($L$711=0,$P$708=0),"",$L$711-1),IF($R$17="Distrato",$E1139,0))),0,YEARFRAC(MAX($P$708*($B1139+IF($R$17="Distrato",$I$38-1,0)),IF(AND($L$711=0,$P$708=0),"",$L$711-1),IF($R$17="Distrato",$E1139,0)),MIN(AJ$38,$D$19),$P$20))-SUM($P1139:AI1139)</f>
        <v>#VALUE!</v>
      </c>
      <c r="AK1139" s="446" t="e">
        <f>IF(OR($B1139="",MIN(AK$38,$D$19)&lt;MAX($P$708*($B1139+IF($R$17="Distrato",$I$38-1,0)),IF(AND($L$711=0,$P$708=0),"",$L$711-1),IF($R$17="Distrato",$E1139,0))),0,YEARFRAC(MAX($P$708*($B1139+IF($R$17="Distrato",$I$38-1,0)),IF(AND($L$711=0,$P$708=0),"",$L$711-1),IF($R$17="Distrato",$E1139,0)),MIN(AK$38,$D$19),$P$20))-SUM($P1139:AJ1139)</f>
        <v>#VALUE!</v>
      </c>
      <c r="AL1139" s="446" t="e">
        <f>IF(OR($B1139="",MIN(AL$38,$D$19)&lt;MAX($P$708*($B1139+IF($R$17="Distrato",$I$38-1,0)),IF(AND($L$711=0,$P$708=0),"",$L$711-1),IF($R$17="Distrato",$E1139,0))),0,YEARFRAC(MAX($P$708*($B1139+IF($R$17="Distrato",$I$38-1,0)),IF(AND($L$711=0,$P$708=0),"",$L$711-1),IF($R$17="Distrato",$E1139,0)),MIN(AL$38,$D$19),$P$20))-SUM($P1139:AK1139)</f>
        <v>#VALUE!</v>
      </c>
      <c r="AM1139" s="446" t="e">
        <f>IF(OR($B1139="",MIN(AM$38,$D$19)&lt;MAX($P$708*($B1139+IF($R$17="Distrato",$I$38-1,0)),IF(AND($L$711=0,$P$708=0),"",$L$711-1),IF($R$17="Distrato",$E1139,0))),0,YEARFRAC(MAX($P$708*($B1139+IF($R$17="Distrato",$I$38-1,0)),IF(AND($L$711=0,$P$708=0),"",$L$711-1),IF($R$17="Distrato",$E1139,0)),MIN(AM$38,$D$19),$P$20))-SUM($P1139:AL1139)</f>
        <v>#VALUE!</v>
      </c>
      <c r="AN1139" s="446" t="e">
        <f>IF(OR($B1139="",MIN(AN$38,$D$19)&lt;MAX($P$708*($B1139+IF($R$17="Distrato",$I$38-1,0)),IF(AND($L$711=0,$P$708=0),"",$L$711-1),IF($R$17="Distrato",$E1139,0))),0,YEARFRAC(MAX($P$708*($B1139+IF($R$17="Distrato",$I$38-1,0)),IF(AND($L$711=0,$P$708=0),"",$L$711-1),IF($R$17="Distrato",$E1139,0)),MIN(AN$38,$D$19),$P$20))-SUM($P1139:AM1139)</f>
        <v>#VALUE!</v>
      </c>
      <c r="AO1139" s="446" t="e">
        <f>IF(OR($B1139="",MIN(AO$38,$D$19)&lt;MAX($P$708*($B1139+IF($R$17="Distrato",$I$38-1,0)),IF(AND($L$711=0,$P$708=0),"",$L$711-1),IF($R$17="Distrato",$E1139,0))),0,YEARFRAC(MAX($P$708*($B1139+IF($R$17="Distrato",$I$38-1,0)),IF(AND($L$711=0,$P$708=0),"",$L$711-1),IF($R$17="Distrato",$E1139,0)),MIN(AO$38,$D$19),$P$20))-SUM($P1139:AN1139)</f>
        <v>#VALUE!</v>
      </c>
      <c r="AP1139" s="446" t="e">
        <f>IF(OR($B1139="",MIN(AP$38,$D$19)&lt;MAX($P$708*($B1139+IF($R$17="Distrato",$I$38-1,0)),IF(AND($L$711=0,$P$708=0),"",$L$711-1),IF($R$17="Distrato",$E1139,0))),0,YEARFRAC(MAX($P$708*($B1139+IF($R$17="Distrato",$I$38-1,0)),IF(AND($L$711=0,$P$708=0),"",$L$711-1),IF($R$17="Distrato",$E1139,0)),MIN(AP$38,$D$19),$P$20))-SUM($P1139:AO1139)</f>
        <v>#VALUE!</v>
      </c>
      <c r="AQ1139" s="446" t="e">
        <f>IF(OR($B1139="",MIN(AQ$38,$D$19)&lt;MAX($P$708*($B1139+IF($R$17="Distrato",$I$38-1,0)),IF(AND($L$711=0,$P$708=0),"",$L$711-1),IF($R$17="Distrato",$E1139,0))),0,YEARFRAC(MAX($P$708*($B1139+IF($R$17="Distrato",$I$38-1,0)),IF(AND($L$711=0,$P$708=0),"",$L$711-1),IF($R$17="Distrato",$E1139,0)),MIN(AQ$38,$D$19),$P$20))-SUM($P1139:AP1139)</f>
        <v>#VALUE!</v>
      </c>
      <c r="AR1139" s="446" t="e">
        <f>IF(OR($B1139="",MIN(AR$38,$D$19)&lt;MAX($P$708*($B1139+IF($R$17="Distrato",$I$38-1,0)),IF(AND($L$711=0,$P$708=0),"",$L$711-1),IF($R$17="Distrato",$E1139,0))),0,YEARFRAC(MAX($P$708*($B1139+IF($R$17="Distrato",$I$38-1,0)),IF(AND($L$711=0,$P$708=0),"",$L$711-1),IF($R$17="Distrato",$E1139,0)),MIN(AR$38,$D$19),$P$20))-SUM($P1139:AQ1139)</f>
        <v>#VALUE!</v>
      </c>
      <c r="AS1139" s="446" t="e">
        <f>IF(OR($B1139="",MIN(AS$38,$D$19)&lt;MAX($P$708*($B1139+IF($R$17="Distrato",$I$38-1,0)),IF(AND($L$711=0,$P$708=0),"",$L$711-1),IF($R$17="Distrato",$E1139,0))),0,YEARFRAC(MAX($P$708*($B1139+IF($R$17="Distrato",$I$38-1,0)),IF(AND($L$711=0,$P$708=0),"",$L$711-1),IF($R$17="Distrato",$E1139,0)),MIN(AS$38,$D$19),$P$20))-SUM($P1139:AR1139)</f>
        <v>#VALUE!</v>
      </c>
      <c r="AT1139" s="446" t="e">
        <f>IF(OR($B1139="",MIN(AT$38,$D$19)&lt;MAX($P$708*($B1139+IF($R$17="Distrato",$I$38-1,0)),IF(AND($L$711=0,$P$708=0),"",$L$711-1),IF($R$17="Distrato",$E1139,0))),0,YEARFRAC(MAX($P$708*($B1139+IF($R$17="Distrato",$I$38-1,0)),IF(AND($L$711=0,$P$708=0),"",$L$711-1),IF($R$17="Distrato",$E1139,0)),MIN(AT$38,$D$19),$P$20))-SUM($P1139:AS1139)</f>
        <v>#VALUE!</v>
      </c>
      <c r="AU1139" s="446" t="e">
        <f>IF(OR($B1139="",MIN(AU$38,$D$19)&lt;MAX($P$708*($B1139+IF($R$17="Distrato",$I$38-1,0)),IF(AND($L$711=0,$P$708=0),"",$L$711-1),IF($R$17="Distrato",$E1139,0))),0,YEARFRAC(MAX($P$708*($B1139+IF($R$17="Distrato",$I$38-1,0)),IF(AND($L$711=0,$P$708=0),"",$L$711-1),IF($R$17="Distrato",$E1139,0)),MIN(AU$38,$D$19),$P$20))-SUM($P1139:AT1139)</f>
        <v>#VALUE!</v>
      </c>
      <c r="AV1139" s="446" t="e">
        <f>IF(OR($B1139="",MIN(AV$38,$D$19)&lt;MAX($P$708*($B1139+IF($R$17="Distrato",$I$38-1,0)),IF(AND($L$711=0,$P$708=0),"",$L$711-1),IF($R$17="Distrato",$E1139,0))),0,YEARFRAC(MAX($P$708*($B1139+IF($R$17="Distrato",$I$38-1,0)),IF(AND($L$711=0,$P$708=0),"",$L$711-1),IF($R$17="Distrato",$E1139,0)),MIN(AV$38,$D$19),$P$20))-SUM($P1139:AU1139)</f>
        <v>#VALUE!</v>
      </c>
      <c r="AW1139" s="446" t="e">
        <f>IF(OR($B1139="",MIN(AW$38,$D$19)&lt;MAX($P$708*($B1139+IF($R$17="Distrato",$I$38-1,0)),IF(AND($L$711=0,$P$708=0),"",$L$711-1),IF($R$17="Distrato",$E1139,0))),0,YEARFRAC(MAX($P$708*($B1139+IF($R$17="Distrato",$I$38-1,0)),IF(AND($L$711=0,$P$708=0),"",$L$711-1),IF($R$17="Distrato",$E1139,0)),MIN(AW$38,$D$19),$P$20))-SUM($P1139:AV1139)</f>
        <v>#VALUE!</v>
      </c>
      <c r="AX1139" s="446" t="e">
        <f>IF(OR($B1139="",MIN(AX$38,$D$19)&lt;MAX($P$708*($B1139+IF($R$17="Distrato",$I$38-1,0)),IF(AND($L$711=0,$P$708=0),"",$L$711-1),IF($R$17="Distrato",$E1139,0))),0,YEARFRAC(MAX($P$708*($B1139+IF($R$17="Distrato",$I$38-1,0)),IF(AND($L$711=0,$P$708=0),"",$L$711-1),IF($R$17="Distrato",$E1139,0)),MIN(AX$38,$D$19),$P$20))-SUM($P1139:AW1139)</f>
        <v>#VALUE!</v>
      </c>
      <c r="AY1139" s="446" t="e">
        <f>IF(OR($B1139="",MIN(AY$38,$D$19)&lt;MAX($P$708*($B1139+IF($R$17="Distrato",$I$38-1,0)),IF(AND($L$711=0,$P$708=0),"",$L$711-1),IF($R$17="Distrato",$E1139,0))),0,YEARFRAC(MAX($P$708*($B1139+IF($R$17="Distrato",$I$38-1,0)),IF(AND($L$711=0,$P$708=0),"",$L$711-1),IF($R$17="Distrato",$E1139,0)),MIN(AY$38,$D$19),$P$20))-SUM($P1139:AX1139)</f>
        <v>#VALUE!</v>
      </c>
      <c r="AZ1139" s="446" t="e">
        <f>IF(OR($B1139="",MIN(AZ$38,$D$19)&lt;MAX($P$708*($B1139+IF($R$17="Distrato",$I$38-1,0)),IF(AND($L$711=0,$P$708=0),"",$L$711-1),IF($R$17="Distrato",$E1139,0))),0,YEARFRAC(MAX($P$708*($B1139+IF($R$17="Distrato",$I$38-1,0)),IF(AND($L$711=0,$P$708=0),"",$L$711-1),IF($R$17="Distrato",$E1139,0)),MIN(AZ$38,$D$19),$P$20))-SUM($P1139:AY1139)</f>
        <v>#VALUE!</v>
      </c>
      <c r="BA1139" s="446" t="e">
        <f>IF(OR($B1139="",MIN(BA$38,$D$19)&lt;MAX($P$708*($B1139+IF($R$17="Distrato",$I$38-1,0)),IF(AND($L$711=0,$P$708=0),"",$L$711-1),IF($R$17="Distrato",$E1139,0))),0,YEARFRAC(MAX($P$708*($B1139+IF($R$17="Distrato",$I$38-1,0)),IF(AND($L$711=0,$P$708=0),"",$L$711-1),IF($R$17="Distrato",$E1139,0)),MIN(BA$38,$D$19),$P$20))-SUM($P1139:AZ1139)</f>
        <v>#VALUE!</v>
      </c>
      <c r="BB1139" s="447"/>
    </row>
    <row r="1140" spans="1:54" s="446" customFormat="1" ht="11.25" hidden="1" customHeight="1" x14ac:dyDescent="0.2">
      <c r="A1140" s="235"/>
      <c r="B1140" s="236"/>
      <c r="C1140" s="29" t="str">
        <f>IF(B1140="","",IF($L$709=$BL$25,VLOOKUP(DATE(YEAR($D$19),MONTH($D$19)-1,1),ÍNDICES!$A:$DE,HLOOKUP($BL$25,ÍNDICES!$B$3:$T$4,2)+11)-VLOOKUP(B1140,ÍNDICES!$A:$DE,HLOOKUP($BL$25,ÍNDICES!$B$3:$T$4,2)+11)+1%,IF(C$712=$W$26,$J$35,IF(ISERROR(IF(B1140&gt;$D$19,1,VLOOKUP(DATE(YEAR(B1140),MONTH(B1140)+IF($C$709=$S$23,1,0),1),ÍNDICES!$A:$DE,$Z$709+1))),"",IF(B1140&gt;$D$19,1,VLOOKUP(DATE(YEAR(B1140),MONTH(B1140)+IF($C$709=$S$23,1,0),1),ÍNDICES!$A:$DE,$Z$709+1))))))</f>
        <v/>
      </c>
      <c r="D1140" s="155"/>
      <c r="E1140" s="88"/>
      <c r="F1140" s="88"/>
      <c r="G1140" s="88"/>
      <c r="H1140" s="118"/>
      <c r="I1140" s="182">
        <f t="shared" si="157"/>
        <v>0</v>
      </c>
      <c r="J1140" s="20">
        <f t="shared" ca="1" si="158"/>
        <v>0</v>
      </c>
      <c r="K1140" s="5">
        <f t="shared" ca="1" si="159"/>
        <v>0</v>
      </c>
      <c r="L1140" s="61">
        <f t="shared" ca="1" si="160"/>
        <v>0</v>
      </c>
      <c r="M1140" s="64">
        <f t="shared" si="161"/>
        <v>0</v>
      </c>
      <c r="N1140" s="151"/>
      <c r="O1140" s="5">
        <f t="shared" ca="1" si="162"/>
        <v>0</v>
      </c>
      <c r="P1140" s="446" t="e">
        <f t="shared" si="163"/>
        <v>#VALUE!</v>
      </c>
      <c r="Q1140" s="446" t="e">
        <f>IF(OR($B1140="",MIN(Q$38,$D$19)&lt;MAX($P$708*($B1140+IF($R$17="Distrato",$I$38-1,0)),IF(AND($L$711=0,$P$708=0),"",$L$711-1),IF($R$17="Distrato",$E1140,0))),0,YEARFRAC(MAX($P$708*($B1140+IF($R$17="Distrato",$I$38-1,0)),IF(AND($L$711=0,$P$708=0),"",$L$711-1),IF($R$17="Distrato",$E1140,0)),MIN(Q$38,$D$19),$P$20))-SUM($P1140:P1140)</f>
        <v>#VALUE!</v>
      </c>
      <c r="R1140" s="446" t="e">
        <f>IF(OR($B1140="",MIN(R$38,$D$19)&lt;MAX($P$708*($B1140+IF($R$17="Distrato",$I$38-1,0)),IF(AND($L$711=0,$P$708=0),"",$L$711-1),IF($R$17="Distrato",$E1140,0))),0,YEARFRAC(MAX($P$708*($B1140+IF($R$17="Distrato",$I$38-1,0)),IF(AND($L$711=0,$P$708=0),"",$L$711-1),IF($R$17="Distrato",$E1140,0)),MIN(R$38,$D$19),$P$20))-SUM($P1140:Q1140)</f>
        <v>#VALUE!</v>
      </c>
      <c r="S1140" s="446" t="e">
        <f>IF(OR($B1140="",MIN(S$38,$D$19)&lt;MAX($P$708*($B1140+IF($R$17="Distrato",$I$38-1,0)),IF(AND($L$711=0,$P$708=0),"",$L$711-1),IF($R$17="Distrato",$E1140,0))),0,YEARFRAC(MAX($P$708*($B1140+IF($R$17="Distrato",$I$38-1,0)),IF(AND($L$711=0,$P$708=0),"",$L$711-1),IF($R$17="Distrato",$E1140,0)),MIN(S$38,$D$19),$P$20))-SUM($P1140:R1140)</f>
        <v>#VALUE!</v>
      </c>
      <c r="T1140" s="446" t="e">
        <f>IF(OR($B1140="",MIN(T$38,$D$19)&lt;MAX($P$708*($B1140+IF($R$17="Distrato",$I$38-1,0)),IF(AND($L$711=0,$P$708=0),"",$L$711-1),IF($R$17="Distrato",$E1140,0))),0,YEARFRAC(MAX($P$708*($B1140+IF($R$17="Distrato",$I$38-1,0)),IF(AND($L$711=0,$P$708=0),"",$L$711-1),IF($R$17="Distrato",$E1140,0)),MIN(T$38,$D$19),$P$20))-SUM($P1140:S1140)</f>
        <v>#VALUE!</v>
      </c>
      <c r="U1140" s="446" t="e">
        <f>IF(OR($B1140="",MIN(U$38,$D$19)&lt;MAX($P$708*($B1140+IF($R$17="Distrato",$I$38-1,0)),IF(AND($L$711=0,$P$708=0),"",$L$711-1),IF($R$17="Distrato",$E1140,0))),0,YEARFRAC(MAX($P$708*($B1140+IF($R$17="Distrato",$I$38-1,0)),IF(AND($L$711=0,$P$708=0),"",$L$711-1),IF($R$17="Distrato",$E1140,0)),MIN(U$38,$D$19),$P$20))-SUM($P1140:T1140)</f>
        <v>#VALUE!</v>
      </c>
      <c r="V1140" s="446" t="e">
        <f>IF(OR($B1140="",MIN(V$38,$D$19)&lt;MAX($P$708*($B1140+IF($R$17="Distrato",$I$38-1,0)),IF(AND($L$711=0,$P$708=0),"",$L$711-1),IF($R$17="Distrato",$E1140,0))),0,YEARFRAC(MAX($P$708*($B1140+IF($R$17="Distrato",$I$38-1,0)),IF(AND($L$711=0,$P$708=0),"",$L$711-1),IF($R$17="Distrato",$E1140,0)),MIN(V$38,$D$19),$P$20))-SUM($P1140:U1140)</f>
        <v>#VALUE!</v>
      </c>
      <c r="W1140" s="446" t="e">
        <f>IF(OR($B1140="",MIN(W$38,$D$19)&lt;MAX($P$708*($B1140+IF($R$17="Distrato",$I$38-1,0)),IF(AND($L$711=0,$P$708=0),"",$L$711-1),IF($R$17="Distrato",$E1140,0))),0,YEARFRAC(MAX($P$708*($B1140+IF($R$17="Distrato",$I$38-1,0)),IF(AND($L$711=0,$P$708=0),"",$L$711-1),IF($R$17="Distrato",$E1140,0)),MIN(W$38,$D$19),$P$20))-SUM($P1140:V1140)</f>
        <v>#VALUE!</v>
      </c>
      <c r="X1140" s="446" t="e">
        <f>IF(OR($B1140="",MIN(X$38,$D$19)&lt;MAX($P$708*($B1140+IF($R$17="Distrato",$I$38-1,0)),IF(AND($L$711=0,$P$708=0),"",$L$711-1),IF($R$17="Distrato",$E1140,0))),0,YEARFRAC(MAX($P$708*($B1140+IF($R$17="Distrato",$I$38-1,0)),IF(AND($L$711=0,$P$708=0),"",$L$711-1),IF($R$17="Distrato",$E1140,0)),MIN(X$38,$D$19),$P$20))-SUM($P1140:W1140)</f>
        <v>#VALUE!</v>
      </c>
      <c r="Y1140" s="446" t="e">
        <f>IF(OR($B1140="",MIN(Y$38,$D$19)&lt;MAX($P$708*($B1140+IF($R$17="Distrato",$I$38-1,0)),IF(AND($L$711=0,$P$708=0),"",$L$711-1),IF($R$17="Distrato",$E1140,0))),0,YEARFRAC(MAX($P$708*($B1140+IF($R$17="Distrato",$I$38-1,0)),IF(AND($L$711=0,$P$708=0),"",$L$711-1),IF($R$17="Distrato",$E1140,0)),MIN(Y$38,$D$19),$P$20))-SUM($P1140:X1140)</f>
        <v>#VALUE!</v>
      </c>
      <c r="Z1140" s="446" t="e">
        <f>IF(OR($B1140="",MIN(Z$38,$D$19)&lt;MAX($P$708*($B1140+IF($R$17="Distrato",$I$38-1,0)),IF(AND($L$711=0,$P$708=0),"",$L$711-1),IF($R$17="Distrato",$E1140,0))),0,YEARFRAC(MAX($P$708*($B1140+IF($R$17="Distrato",$I$38-1,0)),IF(AND($L$711=0,$P$708=0),"",$L$711-1),IF($R$17="Distrato",$E1140,0)),MIN(Z$38,$D$19),$P$20))-SUM($P1140:Y1140)</f>
        <v>#VALUE!</v>
      </c>
      <c r="AA1140" s="446" t="e">
        <f>IF(OR($B1140="",MIN(AA$38,$D$19)&lt;MAX($P$708*($B1140+IF($R$17="Distrato",$I$38-1,0)),IF(AND($L$711=0,$P$708=0),"",$L$711-1),IF($R$17="Distrato",$E1140,0))),0,YEARFRAC(MAX($P$708*($B1140+IF($R$17="Distrato",$I$38-1,0)),IF(AND($L$711=0,$P$708=0),"",$L$711-1),IF($R$17="Distrato",$E1140,0)),MIN(AA$38,$D$19),$P$20))-SUM($P1140:Z1140)</f>
        <v>#VALUE!</v>
      </c>
      <c r="AB1140" s="446" t="e">
        <f>IF(OR($B1140="",MIN(AB$38,$D$19)&lt;MAX($P$708*($B1140+IF($R$17="Distrato",$I$38-1,0)),IF(AND($L$711=0,$P$708=0),"",$L$711-1),IF($R$17="Distrato",$E1140,0))),0,YEARFRAC(MAX($P$708*($B1140+IF($R$17="Distrato",$I$38-1,0)),IF(AND($L$711=0,$P$708=0),"",$L$711-1),IF($R$17="Distrato",$E1140,0)),MIN(AB$38,$D$19),$P$20))-SUM($P1140:AA1140)</f>
        <v>#VALUE!</v>
      </c>
      <c r="AC1140" s="446" t="e">
        <f>IF(OR($B1140="",MIN(AC$38,$D$19)&lt;MAX($P$708*($B1140+IF($R$17="Distrato",$I$38-1,0)),IF(AND($L$711=0,$P$708=0),"",$L$711-1),IF($R$17="Distrato",$E1140,0))),0,YEARFRAC(MAX($P$708*($B1140+IF($R$17="Distrato",$I$38-1,0)),IF(AND($L$711=0,$P$708=0),"",$L$711-1),IF($R$17="Distrato",$E1140,0)),MIN(AC$38,$D$19),$P$20))-SUM($P1140:AB1140)</f>
        <v>#VALUE!</v>
      </c>
      <c r="AD1140" s="446" t="e">
        <f>IF(OR($B1140="",MIN(AD$38,$D$19)&lt;MAX($P$708*($B1140+IF($R$17="Distrato",$I$38-1,0)),IF(AND($L$711=0,$P$708=0),"",$L$711-1),IF($R$17="Distrato",$E1140,0))),0,YEARFRAC(MAX($P$708*($B1140+IF($R$17="Distrato",$I$38-1,0)),IF(AND($L$711=0,$P$708=0),"",$L$711-1),IF($R$17="Distrato",$E1140,0)),MIN(AD$38,$D$19),$P$20))-SUM($P1140:AC1140)</f>
        <v>#VALUE!</v>
      </c>
      <c r="AE1140" s="446" t="e">
        <f>IF(OR($B1140="",MIN(AE$38,$D$19)&lt;MAX($P$708*($B1140+IF($R$17="Distrato",$I$38-1,0)),IF(AND($L$711=0,$P$708=0),"",$L$711-1),IF($R$17="Distrato",$E1140,0))),0,YEARFRAC(MAX($P$708*($B1140+IF($R$17="Distrato",$I$38-1,0)),IF(AND($L$711=0,$P$708=0),"",$L$711-1),IF($R$17="Distrato",$E1140,0)),MIN(AE$38,$D$19),$P$20))-SUM($P1140:AD1140)</f>
        <v>#VALUE!</v>
      </c>
      <c r="AF1140" s="446" t="e">
        <f>IF(OR($B1140="",MIN(AF$38,$D$19)&lt;MAX($P$708*($B1140+IF($R$17="Distrato",$I$38-1,0)),IF(AND($L$711=0,$P$708=0),"",$L$711-1),IF($R$17="Distrato",$E1140,0))),0,YEARFRAC(MAX($P$708*($B1140+IF($R$17="Distrato",$I$38-1,0)),IF(AND($L$711=0,$P$708=0),"",$L$711-1),IF($R$17="Distrato",$E1140,0)),MIN(AF$38,$D$19),$P$20))-SUM($P1140:AE1140)</f>
        <v>#VALUE!</v>
      </c>
      <c r="AG1140" s="446" t="e">
        <f>IF(OR($B1140="",MIN(AG$38,$D$19)&lt;MAX($P$708*($B1140+IF($R$17="Distrato",$I$38-1,0)),IF(AND($L$711=0,$P$708=0),"",$L$711-1),IF($R$17="Distrato",$E1140,0))),0,YEARFRAC(MAX($P$708*($B1140+IF($R$17="Distrato",$I$38-1,0)),IF(AND($L$711=0,$P$708=0),"",$L$711-1),IF($R$17="Distrato",$E1140,0)),MIN(AG$38,$D$19),$P$20))-SUM($P1140:AF1140)</f>
        <v>#VALUE!</v>
      </c>
      <c r="AH1140" s="446" t="e">
        <f>IF(OR($B1140="",MIN(AH$38,$D$19)&lt;MAX($P$708*($B1140+IF($R$17="Distrato",$I$38-1,0)),IF(AND($L$711=0,$P$708=0),"",$L$711-1),IF($R$17="Distrato",$E1140,0))),0,YEARFRAC(MAX($P$708*($B1140+IF($R$17="Distrato",$I$38-1,0)),IF(AND($L$711=0,$P$708=0),"",$L$711-1),IF($R$17="Distrato",$E1140,0)),MIN(AH$38,$D$19),$P$20))-SUM($P1140:AG1140)</f>
        <v>#VALUE!</v>
      </c>
      <c r="AI1140" s="446" t="e">
        <f>IF(OR($B1140="",MIN(AI$38,$D$19)&lt;MAX($P$708*($B1140+IF($R$17="Distrato",$I$38-1,0)),IF(AND($L$711=0,$P$708=0),"",$L$711-1),IF($R$17="Distrato",$E1140,0))),0,YEARFRAC(MAX($P$708*($B1140+IF($R$17="Distrato",$I$38-1,0)),IF(AND($L$711=0,$P$708=0),"",$L$711-1),IF($R$17="Distrato",$E1140,0)),MIN(AI$38,$D$19),$P$20))-SUM($P1140:AH1140)</f>
        <v>#VALUE!</v>
      </c>
      <c r="AJ1140" s="446" t="e">
        <f>IF(OR($B1140="",MIN(AJ$38,$D$19)&lt;MAX($P$708*($B1140+IF($R$17="Distrato",$I$38-1,0)),IF(AND($L$711=0,$P$708=0),"",$L$711-1),IF($R$17="Distrato",$E1140,0))),0,YEARFRAC(MAX($P$708*($B1140+IF($R$17="Distrato",$I$38-1,0)),IF(AND($L$711=0,$P$708=0),"",$L$711-1),IF($R$17="Distrato",$E1140,0)),MIN(AJ$38,$D$19),$P$20))-SUM($P1140:AI1140)</f>
        <v>#VALUE!</v>
      </c>
      <c r="AK1140" s="446" t="e">
        <f>IF(OR($B1140="",MIN(AK$38,$D$19)&lt;MAX($P$708*($B1140+IF($R$17="Distrato",$I$38-1,0)),IF(AND($L$711=0,$P$708=0),"",$L$711-1),IF($R$17="Distrato",$E1140,0))),0,YEARFRAC(MAX($P$708*($B1140+IF($R$17="Distrato",$I$38-1,0)),IF(AND($L$711=0,$P$708=0),"",$L$711-1),IF($R$17="Distrato",$E1140,0)),MIN(AK$38,$D$19),$P$20))-SUM($P1140:AJ1140)</f>
        <v>#VALUE!</v>
      </c>
      <c r="AL1140" s="446" t="e">
        <f>IF(OR($B1140="",MIN(AL$38,$D$19)&lt;MAX($P$708*($B1140+IF($R$17="Distrato",$I$38-1,0)),IF(AND($L$711=0,$P$708=0),"",$L$711-1),IF($R$17="Distrato",$E1140,0))),0,YEARFRAC(MAX($P$708*($B1140+IF($R$17="Distrato",$I$38-1,0)),IF(AND($L$711=0,$P$708=0),"",$L$711-1),IF($R$17="Distrato",$E1140,0)),MIN(AL$38,$D$19),$P$20))-SUM($P1140:AK1140)</f>
        <v>#VALUE!</v>
      </c>
      <c r="AM1140" s="446" t="e">
        <f>IF(OR($B1140="",MIN(AM$38,$D$19)&lt;MAX($P$708*($B1140+IF($R$17="Distrato",$I$38-1,0)),IF(AND($L$711=0,$P$708=0),"",$L$711-1),IF($R$17="Distrato",$E1140,0))),0,YEARFRAC(MAX($P$708*($B1140+IF($R$17="Distrato",$I$38-1,0)),IF(AND($L$711=0,$P$708=0),"",$L$711-1),IF($R$17="Distrato",$E1140,0)),MIN(AM$38,$D$19),$P$20))-SUM($P1140:AL1140)</f>
        <v>#VALUE!</v>
      </c>
      <c r="AN1140" s="446" t="e">
        <f>IF(OR($B1140="",MIN(AN$38,$D$19)&lt;MAX($P$708*($B1140+IF($R$17="Distrato",$I$38-1,0)),IF(AND($L$711=0,$P$708=0),"",$L$711-1),IF($R$17="Distrato",$E1140,0))),0,YEARFRAC(MAX($P$708*($B1140+IF($R$17="Distrato",$I$38-1,0)),IF(AND($L$711=0,$P$708=0),"",$L$711-1),IF($R$17="Distrato",$E1140,0)),MIN(AN$38,$D$19),$P$20))-SUM($P1140:AM1140)</f>
        <v>#VALUE!</v>
      </c>
      <c r="AO1140" s="446" t="e">
        <f>IF(OR($B1140="",MIN(AO$38,$D$19)&lt;MAX($P$708*($B1140+IF($R$17="Distrato",$I$38-1,0)),IF(AND($L$711=0,$P$708=0),"",$L$711-1),IF($R$17="Distrato",$E1140,0))),0,YEARFRAC(MAX($P$708*($B1140+IF($R$17="Distrato",$I$38-1,0)),IF(AND($L$711=0,$P$708=0),"",$L$711-1),IF($R$17="Distrato",$E1140,0)),MIN(AO$38,$D$19),$P$20))-SUM($P1140:AN1140)</f>
        <v>#VALUE!</v>
      </c>
      <c r="AP1140" s="446" t="e">
        <f>IF(OR($B1140="",MIN(AP$38,$D$19)&lt;MAX($P$708*($B1140+IF($R$17="Distrato",$I$38-1,0)),IF(AND($L$711=0,$P$708=0),"",$L$711-1),IF($R$17="Distrato",$E1140,0))),0,YEARFRAC(MAX($P$708*($B1140+IF($R$17="Distrato",$I$38-1,0)),IF(AND($L$711=0,$P$708=0),"",$L$711-1),IF($R$17="Distrato",$E1140,0)),MIN(AP$38,$D$19),$P$20))-SUM($P1140:AO1140)</f>
        <v>#VALUE!</v>
      </c>
      <c r="AQ1140" s="446" t="e">
        <f>IF(OR($B1140="",MIN(AQ$38,$D$19)&lt;MAX($P$708*($B1140+IF($R$17="Distrato",$I$38-1,0)),IF(AND($L$711=0,$P$708=0),"",$L$711-1),IF($R$17="Distrato",$E1140,0))),0,YEARFRAC(MAX($P$708*($B1140+IF($R$17="Distrato",$I$38-1,0)),IF(AND($L$711=0,$P$708=0),"",$L$711-1),IF($R$17="Distrato",$E1140,0)),MIN(AQ$38,$D$19),$P$20))-SUM($P1140:AP1140)</f>
        <v>#VALUE!</v>
      </c>
      <c r="AR1140" s="446" t="e">
        <f>IF(OR($B1140="",MIN(AR$38,$D$19)&lt;MAX($P$708*($B1140+IF($R$17="Distrato",$I$38-1,0)),IF(AND($L$711=0,$P$708=0),"",$L$711-1),IF($R$17="Distrato",$E1140,0))),0,YEARFRAC(MAX($P$708*($B1140+IF($R$17="Distrato",$I$38-1,0)),IF(AND($L$711=0,$P$708=0),"",$L$711-1),IF($R$17="Distrato",$E1140,0)),MIN(AR$38,$D$19),$P$20))-SUM($P1140:AQ1140)</f>
        <v>#VALUE!</v>
      </c>
      <c r="AS1140" s="446" t="e">
        <f>IF(OR($B1140="",MIN(AS$38,$D$19)&lt;MAX($P$708*($B1140+IF($R$17="Distrato",$I$38-1,0)),IF(AND($L$711=0,$P$708=0),"",$L$711-1),IF($R$17="Distrato",$E1140,0))),0,YEARFRAC(MAX($P$708*($B1140+IF($R$17="Distrato",$I$38-1,0)),IF(AND($L$711=0,$P$708=0),"",$L$711-1),IF($R$17="Distrato",$E1140,0)),MIN(AS$38,$D$19),$P$20))-SUM($P1140:AR1140)</f>
        <v>#VALUE!</v>
      </c>
      <c r="AT1140" s="446" t="e">
        <f>IF(OR($B1140="",MIN(AT$38,$D$19)&lt;MAX($P$708*($B1140+IF($R$17="Distrato",$I$38-1,0)),IF(AND($L$711=0,$P$708=0),"",$L$711-1),IF($R$17="Distrato",$E1140,0))),0,YEARFRAC(MAX($P$708*($B1140+IF($R$17="Distrato",$I$38-1,0)),IF(AND($L$711=0,$P$708=0),"",$L$711-1),IF($R$17="Distrato",$E1140,0)),MIN(AT$38,$D$19),$P$20))-SUM($P1140:AS1140)</f>
        <v>#VALUE!</v>
      </c>
      <c r="AU1140" s="446" t="e">
        <f>IF(OR($B1140="",MIN(AU$38,$D$19)&lt;MAX($P$708*($B1140+IF($R$17="Distrato",$I$38-1,0)),IF(AND($L$711=0,$P$708=0),"",$L$711-1),IF($R$17="Distrato",$E1140,0))),0,YEARFRAC(MAX($P$708*($B1140+IF($R$17="Distrato",$I$38-1,0)),IF(AND($L$711=0,$P$708=0),"",$L$711-1),IF($R$17="Distrato",$E1140,0)),MIN(AU$38,$D$19),$P$20))-SUM($P1140:AT1140)</f>
        <v>#VALUE!</v>
      </c>
      <c r="AV1140" s="446" t="e">
        <f>IF(OR($B1140="",MIN(AV$38,$D$19)&lt;MAX($P$708*($B1140+IF($R$17="Distrato",$I$38-1,0)),IF(AND($L$711=0,$P$708=0),"",$L$711-1),IF($R$17="Distrato",$E1140,0))),0,YEARFRAC(MAX($P$708*($B1140+IF($R$17="Distrato",$I$38-1,0)),IF(AND($L$711=0,$P$708=0),"",$L$711-1),IF($R$17="Distrato",$E1140,0)),MIN(AV$38,$D$19),$P$20))-SUM($P1140:AU1140)</f>
        <v>#VALUE!</v>
      </c>
      <c r="AW1140" s="446" t="e">
        <f>IF(OR($B1140="",MIN(AW$38,$D$19)&lt;MAX($P$708*($B1140+IF($R$17="Distrato",$I$38-1,0)),IF(AND($L$711=0,$P$708=0),"",$L$711-1),IF($R$17="Distrato",$E1140,0))),0,YEARFRAC(MAX($P$708*($B1140+IF($R$17="Distrato",$I$38-1,0)),IF(AND($L$711=0,$P$708=0),"",$L$711-1),IF($R$17="Distrato",$E1140,0)),MIN(AW$38,$D$19),$P$20))-SUM($P1140:AV1140)</f>
        <v>#VALUE!</v>
      </c>
      <c r="AX1140" s="446" t="e">
        <f>IF(OR($B1140="",MIN(AX$38,$D$19)&lt;MAX($P$708*($B1140+IF($R$17="Distrato",$I$38-1,0)),IF(AND($L$711=0,$P$708=0),"",$L$711-1),IF($R$17="Distrato",$E1140,0))),0,YEARFRAC(MAX($P$708*($B1140+IF($R$17="Distrato",$I$38-1,0)),IF(AND($L$711=0,$P$708=0),"",$L$711-1),IF($R$17="Distrato",$E1140,0)),MIN(AX$38,$D$19),$P$20))-SUM($P1140:AW1140)</f>
        <v>#VALUE!</v>
      </c>
      <c r="AY1140" s="446" t="e">
        <f>IF(OR($B1140="",MIN(AY$38,$D$19)&lt;MAX($P$708*($B1140+IF($R$17="Distrato",$I$38-1,0)),IF(AND($L$711=0,$P$708=0),"",$L$711-1),IF($R$17="Distrato",$E1140,0))),0,YEARFRAC(MAX($P$708*($B1140+IF($R$17="Distrato",$I$38-1,0)),IF(AND($L$711=0,$P$708=0),"",$L$711-1),IF($R$17="Distrato",$E1140,0)),MIN(AY$38,$D$19),$P$20))-SUM($P1140:AX1140)</f>
        <v>#VALUE!</v>
      </c>
      <c r="AZ1140" s="446" t="e">
        <f>IF(OR($B1140="",MIN(AZ$38,$D$19)&lt;MAX($P$708*($B1140+IF($R$17="Distrato",$I$38-1,0)),IF(AND($L$711=0,$P$708=0),"",$L$711-1),IF($R$17="Distrato",$E1140,0))),0,YEARFRAC(MAX($P$708*($B1140+IF($R$17="Distrato",$I$38-1,0)),IF(AND($L$711=0,$P$708=0),"",$L$711-1),IF($R$17="Distrato",$E1140,0)),MIN(AZ$38,$D$19),$P$20))-SUM($P1140:AY1140)</f>
        <v>#VALUE!</v>
      </c>
      <c r="BA1140" s="446" t="e">
        <f>IF(OR($B1140="",MIN(BA$38,$D$19)&lt;MAX($P$708*($B1140+IF($R$17="Distrato",$I$38-1,0)),IF(AND($L$711=0,$P$708=0),"",$L$711-1),IF($R$17="Distrato",$E1140,0))),0,YEARFRAC(MAX($P$708*($B1140+IF($R$17="Distrato",$I$38-1,0)),IF(AND($L$711=0,$P$708=0),"",$L$711-1),IF($R$17="Distrato",$E1140,0)),MIN(BA$38,$D$19),$P$20))-SUM($P1140:AZ1140)</f>
        <v>#VALUE!</v>
      </c>
      <c r="BB1140" s="447"/>
    </row>
    <row r="1141" spans="1:54" s="446" customFormat="1" ht="11.25" hidden="1" customHeight="1" x14ac:dyDescent="0.2">
      <c r="A1141" s="235"/>
      <c r="B1141" s="236"/>
      <c r="C1141" s="29" t="str">
        <f>IF(B1141="","",IF($L$709=$BL$25,VLOOKUP(DATE(YEAR($D$19),MONTH($D$19)-1,1),ÍNDICES!$A:$DE,HLOOKUP($BL$25,ÍNDICES!$B$3:$T$4,2)+11)-VLOOKUP(B1141,ÍNDICES!$A:$DE,HLOOKUP($BL$25,ÍNDICES!$B$3:$T$4,2)+11)+1%,IF(C$712=$W$26,$J$35,IF(ISERROR(IF(B1141&gt;$D$19,1,VLOOKUP(DATE(YEAR(B1141),MONTH(B1141)+IF($C$709=$S$23,1,0),1),ÍNDICES!$A:$DE,$Z$709+1))),"",IF(B1141&gt;$D$19,1,VLOOKUP(DATE(YEAR(B1141),MONTH(B1141)+IF($C$709=$S$23,1,0),1),ÍNDICES!$A:$DE,$Z$709+1))))))</f>
        <v/>
      </c>
      <c r="D1141" s="155"/>
      <c r="E1141" s="88"/>
      <c r="F1141" s="88"/>
      <c r="G1141" s="88"/>
      <c r="H1141" s="118"/>
      <c r="I1141" s="182">
        <f t="shared" si="157"/>
        <v>0</v>
      </c>
      <c r="J1141" s="20">
        <f t="shared" ca="1" si="158"/>
        <v>0</v>
      </c>
      <c r="K1141" s="5">
        <f t="shared" ca="1" si="159"/>
        <v>0</v>
      </c>
      <c r="L1141" s="61">
        <f t="shared" ca="1" si="160"/>
        <v>0</v>
      </c>
      <c r="M1141" s="64">
        <f t="shared" si="161"/>
        <v>0</v>
      </c>
      <c r="N1141" s="151"/>
      <c r="O1141" s="5">
        <f t="shared" ca="1" si="162"/>
        <v>0</v>
      </c>
      <c r="P1141" s="446" t="e">
        <f t="shared" si="163"/>
        <v>#VALUE!</v>
      </c>
      <c r="Q1141" s="446" t="e">
        <f>IF(OR($B1141="",MIN(Q$38,$D$19)&lt;MAX($P$708*($B1141+IF($R$17="Distrato",$I$38-1,0)),IF(AND($L$711=0,$P$708=0),"",$L$711-1),IF($R$17="Distrato",$E1141,0))),0,YEARFRAC(MAX($P$708*($B1141+IF($R$17="Distrato",$I$38-1,0)),IF(AND($L$711=0,$P$708=0),"",$L$711-1),IF($R$17="Distrato",$E1141,0)),MIN(Q$38,$D$19),$P$20))-SUM($P1141:P1141)</f>
        <v>#VALUE!</v>
      </c>
      <c r="R1141" s="446" t="e">
        <f>IF(OR($B1141="",MIN(R$38,$D$19)&lt;MAX($P$708*($B1141+IF($R$17="Distrato",$I$38-1,0)),IF(AND($L$711=0,$P$708=0),"",$L$711-1),IF($R$17="Distrato",$E1141,0))),0,YEARFRAC(MAX($P$708*($B1141+IF($R$17="Distrato",$I$38-1,0)),IF(AND($L$711=0,$P$708=0),"",$L$711-1),IF($R$17="Distrato",$E1141,0)),MIN(R$38,$D$19),$P$20))-SUM($P1141:Q1141)</f>
        <v>#VALUE!</v>
      </c>
      <c r="S1141" s="446" t="e">
        <f>IF(OR($B1141="",MIN(S$38,$D$19)&lt;MAX($P$708*($B1141+IF($R$17="Distrato",$I$38-1,0)),IF(AND($L$711=0,$P$708=0),"",$L$711-1),IF($R$17="Distrato",$E1141,0))),0,YEARFRAC(MAX($P$708*($B1141+IF($R$17="Distrato",$I$38-1,0)),IF(AND($L$711=0,$P$708=0),"",$L$711-1),IF($R$17="Distrato",$E1141,0)),MIN(S$38,$D$19),$P$20))-SUM($P1141:R1141)</f>
        <v>#VALUE!</v>
      </c>
      <c r="T1141" s="446" t="e">
        <f>IF(OR($B1141="",MIN(T$38,$D$19)&lt;MAX($P$708*($B1141+IF($R$17="Distrato",$I$38-1,0)),IF(AND($L$711=0,$P$708=0),"",$L$711-1),IF($R$17="Distrato",$E1141,0))),0,YEARFRAC(MAX($P$708*($B1141+IF($R$17="Distrato",$I$38-1,0)),IF(AND($L$711=0,$P$708=0),"",$L$711-1),IF($R$17="Distrato",$E1141,0)),MIN(T$38,$D$19),$P$20))-SUM($P1141:S1141)</f>
        <v>#VALUE!</v>
      </c>
      <c r="U1141" s="446" t="e">
        <f>IF(OR($B1141="",MIN(U$38,$D$19)&lt;MAX($P$708*($B1141+IF($R$17="Distrato",$I$38-1,0)),IF(AND($L$711=0,$P$708=0),"",$L$711-1),IF($R$17="Distrato",$E1141,0))),0,YEARFRAC(MAX($P$708*($B1141+IF($R$17="Distrato",$I$38-1,0)),IF(AND($L$711=0,$P$708=0),"",$L$711-1),IF($R$17="Distrato",$E1141,0)),MIN(U$38,$D$19),$P$20))-SUM($P1141:T1141)</f>
        <v>#VALUE!</v>
      </c>
      <c r="V1141" s="446" t="e">
        <f>IF(OR($B1141="",MIN(V$38,$D$19)&lt;MAX($P$708*($B1141+IF($R$17="Distrato",$I$38-1,0)),IF(AND($L$711=0,$P$708=0),"",$L$711-1),IF($R$17="Distrato",$E1141,0))),0,YEARFRAC(MAX($P$708*($B1141+IF($R$17="Distrato",$I$38-1,0)),IF(AND($L$711=0,$P$708=0),"",$L$711-1),IF($R$17="Distrato",$E1141,0)),MIN(V$38,$D$19),$P$20))-SUM($P1141:U1141)</f>
        <v>#VALUE!</v>
      </c>
      <c r="W1141" s="446" t="e">
        <f>IF(OR($B1141="",MIN(W$38,$D$19)&lt;MAX($P$708*($B1141+IF($R$17="Distrato",$I$38-1,0)),IF(AND($L$711=0,$P$708=0),"",$L$711-1),IF($R$17="Distrato",$E1141,0))),0,YEARFRAC(MAX($P$708*($B1141+IF($R$17="Distrato",$I$38-1,0)),IF(AND($L$711=0,$P$708=0),"",$L$711-1),IF($R$17="Distrato",$E1141,0)),MIN(W$38,$D$19),$P$20))-SUM($P1141:V1141)</f>
        <v>#VALUE!</v>
      </c>
      <c r="X1141" s="446" t="e">
        <f>IF(OR($B1141="",MIN(X$38,$D$19)&lt;MAX($P$708*($B1141+IF($R$17="Distrato",$I$38-1,0)),IF(AND($L$711=0,$P$708=0),"",$L$711-1),IF($R$17="Distrato",$E1141,0))),0,YEARFRAC(MAX($P$708*($B1141+IF($R$17="Distrato",$I$38-1,0)),IF(AND($L$711=0,$P$708=0),"",$L$711-1),IF($R$17="Distrato",$E1141,0)),MIN(X$38,$D$19),$P$20))-SUM($P1141:W1141)</f>
        <v>#VALUE!</v>
      </c>
      <c r="Y1141" s="446" t="e">
        <f>IF(OR($B1141="",MIN(Y$38,$D$19)&lt;MAX($P$708*($B1141+IF($R$17="Distrato",$I$38-1,0)),IF(AND($L$711=0,$P$708=0),"",$L$711-1),IF($R$17="Distrato",$E1141,0))),0,YEARFRAC(MAX($P$708*($B1141+IF($R$17="Distrato",$I$38-1,0)),IF(AND($L$711=0,$P$708=0),"",$L$711-1),IF($R$17="Distrato",$E1141,0)),MIN(Y$38,$D$19),$P$20))-SUM($P1141:X1141)</f>
        <v>#VALUE!</v>
      </c>
      <c r="Z1141" s="446" t="e">
        <f>IF(OR($B1141="",MIN(Z$38,$D$19)&lt;MAX($P$708*($B1141+IF($R$17="Distrato",$I$38-1,0)),IF(AND($L$711=0,$P$708=0),"",$L$711-1),IF($R$17="Distrato",$E1141,0))),0,YEARFRAC(MAX($P$708*($B1141+IF($R$17="Distrato",$I$38-1,0)),IF(AND($L$711=0,$P$708=0),"",$L$711-1),IF($R$17="Distrato",$E1141,0)),MIN(Z$38,$D$19),$P$20))-SUM($P1141:Y1141)</f>
        <v>#VALUE!</v>
      </c>
      <c r="AA1141" s="446" t="e">
        <f>IF(OR($B1141="",MIN(AA$38,$D$19)&lt;MAX($P$708*($B1141+IF($R$17="Distrato",$I$38-1,0)),IF(AND($L$711=0,$P$708=0),"",$L$711-1),IF($R$17="Distrato",$E1141,0))),0,YEARFRAC(MAX($P$708*($B1141+IF($R$17="Distrato",$I$38-1,0)),IF(AND($L$711=0,$P$708=0),"",$L$711-1),IF($R$17="Distrato",$E1141,0)),MIN(AA$38,$D$19),$P$20))-SUM($P1141:Z1141)</f>
        <v>#VALUE!</v>
      </c>
      <c r="AB1141" s="446" t="e">
        <f>IF(OR($B1141="",MIN(AB$38,$D$19)&lt;MAX($P$708*($B1141+IF($R$17="Distrato",$I$38-1,0)),IF(AND($L$711=0,$P$708=0),"",$L$711-1),IF($R$17="Distrato",$E1141,0))),0,YEARFRAC(MAX($P$708*($B1141+IF($R$17="Distrato",$I$38-1,0)),IF(AND($L$711=0,$P$708=0),"",$L$711-1),IF($R$17="Distrato",$E1141,0)),MIN(AB$38,$D$19),$P$20))-SUM($P1141:AA1141)</f>
        <v>#VALUE!</v>
      </c>
      <c r="AC1141" s="446" t="e">
        <f>IF(OR($B1141="",MIN(AC$38,$D$19)&lt;MAX($P$708*($B1141+IF($R$17="Distrato",$I$38-1,0)),IF(AND($L$711=0,$P$708=0),"",$L$711-1),IF($R$17="Distrato",$E1141,0))),0,YEARFRAC(MAX($P$708*($B1141+IF($R$17="Distrato",$I$38-1,0)),IF(AND($L$711=0,$P$708=0),"",$L$711-1),IF($R$17="Distrato",$E1141,0)),MIN(AC$38,$D$19),$P$20))-SUM($P1141:AB1141)</f>
        <v>#VALUE!</v>
      </c>
      <c r="AD1141" s="446" t="e">
        <f>IF(OR($B1141="",MIN(AD$38,$D$19)&lt;MAX($P$708*($B1141+IF($R$17="Distrato",$I$38-1,0)),IF(AND($L$711=0,$P$708=0),"",$L$711-1),IF($R$17="Distrato",$E1141,0))),0,YEARFRAC(MAX($P$708*($B1141+IF($R$17="Distrato",$I$38-1,0)),IF(AND($L$711=0,$P$708=0),"",$L$711-1),IF($R$17="Distrato",$E1141,0)),MIN(AD$38,$D$19),$P$20))-SUM($P1141:AC1141)</f>
        <v>#VALUE!</v>
      </c>
      <c r="AE1141" s="446" t="e">
        <f>IF(OR($B1141="",MIN(AE$38,$D$19)&lt;MAX($P$708*($B1141+IF($R$17="Distrato",$I$38-1,0)),IF(AND($L$711=0,$P$708=0),"",$L$711-1),IF($R$17="Distrato",$E1141,0))),0,YEARFRAC(MAX($P$708*($B1141+IF($R$17="Distrato",$I$38-1,0)),IF(AND($L$711=0,$P$708=0),"",$L$711-1),IF($R$17="Distrato",$E1141,0)),MIN(AE$38,$D$19),$P$20))-SUM($P1141:AD1141)</f>
        <v>#VALUE!</v>
      </c>
      <c r="AF1141" s="446" t="e">
        <f>IF(OR($B1141="",MIN(AF$38,$D$19)&lt;MAX($P$708*($B1141+IF($R$17="Distrato",$I$38-1,0)),IF(AND($L$711=0,$P$708=0),"",$L$711-1),IF($R$17="Distrato",$E1141,0))),0,YEARFRAC(MAX($P$708*($B1141+IF($R$17="Distrato",$I$38-1,0)),IF(AND($L$711=0,$P$708=0),"",$L$711-1),IF($R$17="Distrato",$E1141,0)),MIN(AF$38,$D$19),$P$20))-SUM($P1141:AE1141)</f>
        <v>#VALUE!</v>
      </c>
      <c r="AG1141" s="446" t="e">
        <f>IF(OR($B1141="",MIN(AG$38,$D$19)&lt;MAX($P$708*($B1141+IF($R$17="Distrato",$I$38-1,0)),IF(AND($L$711=0,$P$708=0),"",$L$711-1),IF($R$17="Distrato",$E1141,0))),0,YEARFRAC(MAX($P$708*($B1141+IF($R$17="Distrato",$I$38-1,0)),IF(AND($L$711=0,$P$708=0),"",$L$711-1),IF($R$17="Distrato",$E1141,0)),MIN(AG$38,$D$19),$P$20))-SUM($P1141:AF1141)</f>
        <v>#VALUE!</v>
      </c>
      <c r="AH1141" s="446" t="e">
        <f>IF(OR($B1141="",MIN(AH$38,$D$19)&lt;MAX($P$708*($B1141+IF($R$17="Distrato",$I$38-1,0)),IF(AND($L$711=0,$P$708=0),"",$L$711-1),IF($R$17="Distrato",$E1141,0))),0,YEARFRAC(MAX($P$708*($B1141+IF($R$17="Distrato",$I$38-1,0)),IF(AND($L$711=0,$P$708=0),"",$L$711-1),IF($R$17="Distrato",$E1141,0)),MIN(AH$38,$D$19),$P$20))-SUM($P1141:AG1141)</f>
        <v>#VALUE!</v>
      </c>
      <c r="AI1141" s="446" t="e">
        <f>IF(OR($B1141="",MIN(AI$38,$D$19)&lt;MAX($P$708*($B1141+IF($R$17="Distrato",$I$38-1,0)),IF(AND($L$711=0,$P$708=0),"",$L$711-1),IF($R$17="Distrato",$E1141,0))),0,YEARFRAC(MAX($P$708*($B1141+IF($R$17="Distrato",$I$38-1,0)),IF(AND($L$711=0,$P$708=0),"",$L$711-1),IF($R$17="Distrato",$E1141,0)),MIN(AI$38,$D$19),$P$20))-SUM($P1141:AH1141)</f>
        <v>#VALUE!</v>
      </c>
      <c r="AJ1141" s="446" t="e">
        <f>IF(OR($B1141="",MIN(AJ$38,$D$19)&lt;MAX($P$708*($B1141+IF($R$17="Distrato",$I$38-1,0)),IF(AND($L$711=0,$P$708=0),"",$L$711-1),IF($R$17="Distrato",$E1141,0))),0,YEARFRAC(MAX($P$708*($B1141+IF($R$17="Distrato",$I$38-1,0)),IF(AND($L$711=0,$P$708=0),"",$L$711-1),IF($R$17="Distrato",$E1141,0)),MIN(AJ$38,$D$19),$P$20))-SUM($P1141:AI1141)</f>
        <v>#VALUE!</v>
      </c>
      <c r="AK1141" s="446" t="e">
        <f>IF(OR($B1141="",MIN(AK$38,$D$19)&lt;MAX($P$708*($B1141+IF($R$17="Distrato",$I$38-1,0)),IF(AND($L$711=0,$P$708=0),"",$L$711-1),IF($R$17="Distrato",$E1141,0))),0,YEARFRAC(MAX($P$708*($B1141+IF($R$17="Distrato",$I$38-1,0)),IF(AND($L$711=0,$P$708=0),"",$L$711-1),IF($R$17="Distrato",$E1141,0)),MIN(AK$38,$D$19),$P$20))-SUM($P1141:AJ1141)</f>
        <v>#VALUE!</v>
      </c>
      <c r="AL1141" s="446" t="e">
        <f>IF(OR($B1141="",MIN(AL$38,$D$19)&lt;MAX($P$708*($B1141+IF($R$17="Distrato",$I$38-1,0)),IF(AND($L$711=0,$P$708=0),"",$L$711-1),IF($R$17="Distrato",$E1141,0))),0,YEARFRAC(MAX($P$708*($B1141+IF($R$17="Distrato",$I$38-1,0)),IF(AND($L$711=0,$P$708=0),"",$L$711-1),IF($R$17="Distrato",$E1141,0)),MIN(AL$38,$D$19),$P$20))-SUM($P1141:AK1141)</f>
        <v>#VALUE!</v>
      </c>
      <c r="AM1141" s="446" t="e">
        <f>IF(OR($B1141="",MIN(AM$38,$D$19)&lt;MAX($P$708*($B1141+IF($R$17="Distrato",$I$38-1,0)),IF(AND($L$711=0,$P$708=0),"",$L$711-1),IF($R$17="Distrato",$E1141,0))),0,YEARFRAC(MAX($P$708*($B1141+IF($R$17="Distrato",$I$38-1,0)),IF(AND($L$711=0,$P$708=0),"",$L$711-1),IF($R$17="Distrato",$E1141,0)),MIN(AM$38,$D$19),$P$20))-SUM($P1141:AL1141)</f>
        <v>#VALUE!</v>
      </c>
      <c r="AN1141" s="446" t="e">
        <f>IF(OR($B1141="",MIN(AN$38,$D$19)&lt;MAX($P$708*($B1141+IF($R$17="Distrato",$I$38-1,0)),IF(AND($L$711=0,$P$708=0),"",$L$711-1),IF($R$17="Distrato",$E1141,0))),0,YEARFRAC(MAX($P$708*($B1141+IF($R$17="Distrato",$I$38-1,0)),IF(AND($L$711=0,$P$708=0),"",$L$711-1),IF($R$17="Distrato",$E1141,0)),MIN(AN$38,$D$19),$P$20))-SUM($P1141:AM1141)</f>
        <v>#VALUE!</v>
      </c>
      <c r="AO1141" s="446" t="e">
        <f>IF(OR($B1141="",MIN(AO$38,$D$19)&lt;MAX($P$708*($B1141+IF($R$17="Distrato",$I$38-1,0)),IF(AND($L$711=0,$P$708=0),"",$L$711-1),IF($R$17="Distrato",$E1141,0))),0,YEARFRAC(MAX($P$708*($B1141+IF($R$17="Distrato",$I$38-1,0)),IF(AND($L$711=0,$P$708=0),"",$L$711-1),IF($R$17="Distrato",$E1141,0)),MIN(AO$38,$D$19),$P$20))-SUM($P1141:AN1141)</f>
        <v>#VALUE!</v>
      </c>
      <c r="AP1141" s="446" t="e">
        <f>IF(OR($B1141="",MIN(AP$38,$D$19)&lt;MAX($P$708*($B1141+IF($R$17="Distrato",$I$38-1,0)),IF(AND($L$711=0,$P$708=0),"",$L$711-1),IF($R$17="Distrato",$E1141,0))),0,YEARFRAC(MAX($P$708*($B1141+IF($R$17="Distrato",$I$38-1,0)),IF(AND($L$711=0,$P$708=0),"",$L$711-1),IF($R$17="Distrato",$E1141,0)),MIN(AP$38,$D$19),$P$20))-SUM($P1141:AO1141)</f>
        <v>#VALUE!</v>
      </c>
      <c r="AQ1141" s="446" t="e">
        <f>IF(OR($B1141="",MIN(AQ$38,$D$19)&lt;MAX($P$708*($B1141+IF($R$17="Distrato",$I$38-1,0)),IF(AND($L$711=0,$P$708=0),"",$L$711-1),IF($R$17="Distrato",$E1141,0))),0,YEARFRAC(MAX($P$708*($B1141+IF($R$17="Distrato",$I$38-1,0)),IF(AND($L$711=0,$P$708=0),"",$L$711-1),IF($R$17="Distrato",$E1141,0)),MIN(AQ$38,$D$19),$P$20))-SUM($P1141:AP1141)</f>
        <v>#VALUE!</v>
      </c>
      <c r="AR1141" s="446" t="e">
        <f>IF(OR($B1141="",MIN(AR$38,$D$19)&lt;MAX($P$708*($B1141+IF($R$17="Distrato",$I$38-1,0)),IF(AND($L$711=0,$P$708=0),"",$L$711-1),IF($R$17="Distrato",$E1141,0))),0,YEARFRAC(MAX($P$708*($B1141+IF($R$17="Distrato",$I$38-1,0)),IF(AND($L$711=0,$P$708=0),"",$L$711-1),IF($R$17="Distrato",$E1141,0)),MIN(AR$38,$D$19),$P$20))-SUM($P1141:AQ1141)</f>
        <v>#VALUE!</v>
      </c>
      <c r="AS1141" s="446" t="e">
        <f>IF(OR($B1141="",MIN(AS$38,$D$19)&lt;MAX($P$708*($B1141+IF($R$17="Distrato",$I$38-1,0)),IF(AND($L$711=0,$P$708=0),"",$L$711-1),IF($R$17="Distrato",$E1141,0))),0,YEARFRAC(MAX($P$708*($B1141+IF($R$17="Distrato",$I$38-1,0)),IF(AND($L$711=0,$P$708=0),"",$L$711-1),IF($R$17="Distrato",$E1141,0)),MIN(AS$38,$D$19),$P$20))-SUM($P1141:AR1141)</f>
        <v>#VALUE!</v>
      </c>
      <c r="AT1141" s="446" t="e">
        <f>IF(OR($B1141="",MIN(AT$38,$D$19)&lt;MAX($P$708*($B1141+IF($R$17="Distrato",$I$38-1,0)),IF(AND($L$711=0,$P$708=0),"",$L$711-1),IF($R$17="Distrato",$E1141,0))),0,YEARFRAC(MAX($P$708*($B1141+IF($R$17="Distrato",$I$38-1,0)),IF(AND($L$711=0,$P$708=0),"",$L$711-1),IF($R$17="Distrato",$E1141,0)),MIN(AT$38,$D$19),$P$20))-SUM($P1141:AS1141)</f>
        <v>#VALUE!</v>
      </c>
      <c r="AU1141" s="446" t="e">
        <f>IF(OR($B1141="",MIN(AU$38,$D$19)&lt;MAX($P$708*($B1141+IF($R$17="Distrato",$I$38-1,0)),IF(AND($L$711=0,$P$708=0),"",$L$711-1),IF($R$17="Distrato",$E1141,0))),0,YEARFRAC(MAX($P$708*($B1141+IF($R$17="Distrato",$I$38-1,0)),IF(AND($L$711=0,$P$708=0),"",$L$711-1),IF($R$17="Distrato",$E1141,0)),MIN(AU$38,$D$19),$P$20))-SUM($P1141:AT1141)</f>
        <v>#VALUE!</v>
      </c>
      <c r="AV1141" s="446" t="e">
        <f>IF(OR($B1141="",MIN(AV$38,$D$19)&lt;MAX($P$708*($B1141+IF($R$17="Distrato",$I$38-1,0)),IF(AND($L$711=0,$P$708=0),"",$L$711-1),IF($R$17="Distrato",$E1141,0))),0,YEARFRAC(MAX($P$708*($B1141+IF($R$17="Distrato",$I$38-1,0)),IF(AND($L$711=0,$P$708=0),"",$L$711-1),IF($R$17="Distrato",$E1141,0)),MIN(AV$38,$D$19),$P$20))-SUM($P1141:AU1141)</f>
        <v>#VALUE!</v>
      </c>
      <c r="AW1141" s="446" t="e">
        <f>IF(OR($B1141="",MIN(AW$38,$D$19)&lt;MAX($P$708*($B1141+IF($R$17="Distrato",$I$38-1,0)),IF(AND($L$711=0,$P$708=0),"",$L$711-1),IF($R$17="Distrato",$E1141,0))),0,YEARFRAC(MAX($P$708*($B1141+IF($R$17="Distrato",$I$38-1,0)),IF(AND($L$711=0,$P$708=0),"",$L$711-1),IF($R$17="Distrato",$E1141,0)),MIN(AW$38,$D$19),$P$20))-SUM($P1141:AV1141)</f>
        <v>#VALUE!</v>
      </c>
      <c r="AX1141" s="446" t="e">
        <f>IF(OR($B1141="",MIN(AX$38,$D$19)&lt;MAX($P$708*($B1141+IF($R$17="Distrato",$I$38-1,0)),IF(AND($L$711=0,$P$708=0),"",$L$711-1),IF($R$17="Distrato",$E1141,0))),0,YEARFRAC(MAX($P$708*($B1141+IF($R$17="Distrato",$I$38-1,0)),IF(AND($L$711=0,$P$708=0),"",$L$711-1),IF($R$17="Distrato",$E1141,0)),MIN(AX$38,$D$19),$P$20))-SUM($P1141:AW1141)</f>
        <v>#VALUE!</v>
      </c>
      <c r="AY1141" s="446" t="e">
        <f>IF(OR($B1141="",MIN(AY$38,$D$19)&lt;MAX($P$708*($B1141+IF($R$17="Distrato",$I$38-1,0)),IF(AND($L$711=0,$P$708=0),"",$L$711-1),IF($R$17="Distrato",$E1141,0))),0,YEARFRAC(MAX($P$708*($B1141+IF($R$17="Distrato",$I$38-1,0)),IF(AND($L$711=0,$P$708=0),"",$L$711-1),IF($R$17="Distrato",$E1141,0)),MIN(AY$38,$D$19),$P$20))-SUM($P1141:AX1141)</f>
        <v>#VALUE!</v>
      </c>
      <c r="AZ1141" s="446" t="e">
        <f>IF(OR($B1141="",MIN(AZ$38,$D$19)&lt;MAX($P$708*($B1141+IF($R$17="Distrato",$I$38-1,0)),IF(AND($L$711=0,$P$708=0),"",$L$711-1),IF($R$17="Distrato",$E1141,0))),0,YEARFRAC(MAX($P$708*($B1141+IF($R$17="Distrato",$I$38-1,0)),IF(AND($L$711=0,$P$708=0),"",$L$711-1),IF($R$17="Distrato",$E1141,0)),MIN(AZ$38,$D$19),$P$20))-SUM($P1141:AY1141)</f>
        <v>#VALUE!</v>
      </c>
      <c r="BA1141" s="446" t="e">
        <f>IF(OR($B1141="",MIN(BA$38,$D$19)&lt;MAX($P$708*($B1141+IF($R$17="Distrato",$I$38-1,0)),IF(AND($L$711=0,$P$708=0),"",$L$711-1),IF($R$17="Distrato",$E1141,0))),0,YEARFRAC(MAX($P$708*($B1141+IF($R$17="Distrato",$I$38-1,0)),IF(AND($L$711=0,$P$708=0),"",$L$711-1),IF($R$17="Distrato",$E1141,0)),MIN(BA$38,$D$19),$P$20))-SUM($P1141:AZ1141)</f>
        <v>#VALUE!</v>
      </c>
      <c r="BB1141" s="447"/>
    </row>
    <row r="1142" spans="1:54" s="446" customFormat="1" ht="11.25" hidden="1" customHeight="1" x14ac:dyDescent="0.2">
      <c r="A1142" s="235"/>
      <c r="B1142" s="236"/>
      <c r="C1142" s="29" t="str">
        <f>IF(B1142="","",IF($L$709=$BL$25,VLOOKUP(DATE(YEAR($D$19),MONTH($D$19)-1,1),ÍNDICES!$A:$DE,HLOOKUP($BL$25,ÍNDICES!$B$3:$T$4,2)+11)-VLOOKUP(B1142,ÍNDICES!$A:$DE,HLOOKUP($BL$25,ÍNDICES!$B$3:$T$4,2)+11)+1%,IF(C$712=$W$26,$J$35,IF(ISERROR(IF(B1142&gt;$D$19,1,VLOOKUP(DATE(YEAR(B1142),MONTH(B1142)+IF($C$709=$S$23,1,0),1),ÍNDICES!$A:$DE,$Z$709+1))),"",IF(B1142&gt;$D$19,1,VLOOKUP(DATE(YEAR(B1142),MONTH(B1142)+IF($C$709=$S$23,1,0),1),ÍNDICES!$A:$DE,$Z$709+1))))))</f>
        <v/>
      </c>
      <c r="D1142" s="155"/>
      <c r="E1142" s="88"/>
      <c r="F1142" s="88"/>
      <c r="G1142" s="88"/>
      <c r="H1142" s="118"/>
      <c r="I1142" s="182">
        <f t="shared" si="157"/>
        <v>0</v>
      </c>
      <c r="J1142" s="20">
        <f t="shared" ca="1" si="158"/>
        <v>0</v>
      </c>
      <c r="K1142" s="5">
        <f t="shared" ca="1" si="159"/>
        <v>0</v>
      </c>
      <c r="L1142" s="61">
        <f t="shared" ca="1" si="160"/>
        <v>0</v>
      </c>
      <c r="M1142" s="64">
        <f t="shared" si="161"/>
        <v>0</v>
      </c>
      <c r="N1142" s="151"/>
      <c r="O1142" s="5">
        <f t="shared" ca="1" si="162"/>
        <v>0</v>
      </c>
      <c r="P1142" s="446" t="e">
        <f t="shared" si="163"/>
        <v>#VALUE!</v>
      </c>
      <c r="Q1142" s="446" t="e">
        <f>IF(OR($B1142="",MIN(Q$38,$D$19)&lt;MAX($P$708*($B1142+IF($R$17="Distrato",$I$38-1,0)),IF(AND($L$711=0,$P$708=0),"",$L$711-1),IF($R$17="Distrato",$E1142,0))),0,YEARFRAC(MAX($P$708*($B1142+IF($R$17="Distrato",$I$38-1,0)),IF(AND($L$711=0,$P$708=0),"",$L$711-1),IF($R$17="Distrato",$E1142,0)),MIN(Q$38,$D$19),$P$20))-SUM($P1142:P1142)</f>
        <v>#VALUE!</v>
      </c>
      <c r="R1142" s="446" t="e">
        <f>IF(OR($B1142="",MIN(R$38,$D$19)&lt;MAX($P$708*($B1142+IF($R$17="Distrato",$I$38-1,0)),IF(AND($L$711=0,$P$708=0),"",$L$711-1),IF($R$17="Distrato",$E1142,0))),0,YEARFRAC(MAX($P$708*($B1142+IF($R$17="Distrato",$I$38-1,0)),IF(AND($L$711=0,$P$708=0),"",$L$711-1),IF($R$17="Distrato",$E1142,0)),MIN(R$38,$D$19),$P$20))-SUM($P1142:Q1142)</f>
        <v>#VALUE!</v>
      </c>
      <c r="S1142" s="446" t="e">
        <f>IF(OR($B1142="",MIN(S$38,$D$19)&lt;MAX($P$708*($B1142+IF($R$17="Distrato",$I$38-1,0)),IF(AND($L$711=0,$P$708=0),"",$L$711-1),IF($R$17="Distrato",$E1142,0))),0,YEARFRAC(MAX($P$708*($B1142+IF($R$17="Distrato",$I$38-1,0)),IF(AND($L$711=0,$P$708=0),"",$L$711-1),IF($R$17="Distrato",$E1142,0)),MIN(S$38,$D$19),$P$20))-SUM($P1142:R1142)</f>
        <v>#VALUE!</v>
      </c>
      <c r="T1142" s="446" t="e">
        <f>IF(OR($B1142="",MIN(T$38,$D$19)&lt;MAX($P$708*($B1142+IF($R$17="Distrato",$I$38-1,0)),IF(AND($L$711=0,$P$708=0),"",$L$711-1),IF($R$17="Distrato",$E1142,0))),0,YEARFRAC(MAX($P$708*($B1142+IF($R$17="Distrato",$I$38-1,0)),IF(AND($L$711=0,$P$708=0),"",$L$711-1),IF($R$17="Distrato",$E1142,0)),MIN(T$38,$D$19),$P$20))-SUM($P1142:S1142)</f>
        <v>#VALUE!</v>
      </c>
      <c r="U1142" s="446" t="e">
        <f>IF(OR($B1142="",MIN(U$38,$D$19)&lt;MAX($P$708*($B1142+IF($R$17="Distrato",$I$38-1,0)),IF(AND($L$711=0,$P$708=0),"",$L$711-1),IF($R$17="Distrato",$E1142,0))),0,YEARFRAC(MAX($P$708*($B1142+IF($R$17="Distrato",$I$38-1,0)),IF(AND($L$711=0,$P$708=0),"",$L$711-1),IF($R$17="Distrato",$E1142,0)),MIN(U$38,$D$19),$P$20))-SUM($P1142:T1142)</f>
        <v>#VALUE!</v>
      </c>
      <c r="V1142" s="446" t="e">
        <f>IF(OR($B1142="",MIN(V$38,$D$19)&lt;MAX($P$708*($B1142+IF($R$17="Distrato",$I$38-1,0)),IF(AND($L$711=0,$P$708=0),"",$L$711-1),IF($R$17="Distrato",$E1142,0))),0,YEARFRAC(MAX($P$708*($B1142+IF($R$17="Distrato",$I$38-1,0)),IF(AND($L$711=0,$P$708=0),"",$L$711-1),IF($R$17="Distrato",$E1142,0)),MIN(V$38,$D$19),$P$20))-SUM($P1142:U1142)</f>
        <v>#VALUE!</v>
      </c>
      <c r="W1142" s="446" t="e">
        <f>IF(OR($B1142="",MIN(W$38,$D$19)&lt;MAX($P$708*($B1142+IF($R$17="Distrato",$I$38-1,0)),IF(AND($L$711=0,$P$708=0),"",$L$711-1),IF($R$17="Distrato",$E1142,0))),0,YEARFRAC(MAX($P$708*($B1142+IF($R$17="Distrato",$I$38-1,0)),IF(AND($L$711=0,$P$708=0),"",$L$711-1),IF($R$17="Distrato",$E1142,0)),MIN(W$38,$D$19),$P$20))-SUM($P1142:V1142)</f>
        <v>#VALUE!</v>
      </c>
      <c r="X1142" s="446" t="e">
        <f>IF(OR($B1142="",MIN(X$38,$D$19)&lt;MAX($P$708*($B1142+IF($R$17="Distrato",$I$38-1,0)),IF(AND($L$711=0,$P$708=0),"",$L$711-1),IF($R$17="Distrato",$E1142,0))),0,YEARFRAC(MAX($P$708*($B1142+IF($R$17="Distrato",$I$38-1,0)),IF(AND($L$711=0,$P$708=0),"",$L$711-1),IF($R$17="Distrato",$E1142,0)),MIN(X$38,$D$19),$P$20))-SUM($P1142:W1142)</f>
        <v>#VALUE!</v>
      </c>
      <c r="Y1142" s="446" t="e">
        <f>IF(OR($B1142="",MIN(Y$38,$D$19)&lt;MAX($P$708*($B1142+IF($R$17="Distrato",$I$38-1,0)),IF(AND($L$711=0,$P$708=0),"",$L$711-1),IF($R$17="Distrato",$E1142,0))),0,YEARFRAC(MAX($P$708*($B1142+IF($R$17="Distrato",$I$38-1,0)),IF(AND($L$711=0,$P$708=0),"",$L$711-1),IF($R$17="Distrato",$E1142,0)),MIN(Y$38,$D$19),$P$20))-SUM($P1142:X1142)</f>
        <v>#VALUE!</v>
      </c>
      <c r="Z1142" s="446" t="e">
        <f>IF(OR($B1142="",MIN(Z$38,$D$19)&lt;MAX($P$708*($B1142+IF($R$17="Distrato",$I$38-1,0)),IF(AND($L$711=0,$P$708=0),"",$L$711-1),IF($R$17="Distrato",$E1142,0))),0,YEARFRAC(MAX($P$708*($B1142+IF($R$17="Distrato",$I$38-1,0)),IF(AND($L$711=0,$P$708=0),"",$L$711-1),IF($R$17="Distrato",$E1142,0)),MIN(Z$38,$D$19),$P$20))-SUM($P1142:Y1142)</f>
        <v>#VALUE!</v>
      </c>
      <c r="AA1142" s="446" t="e">
        <f>IF(OR($B1142="",MIN(AA$38,$D$19)&lt;MAX($P$708*($B1142+IF($R$17="Distrato",$I$38-1,0)),IF(AND($L$711=0,$P$708=0),"",$L$711-1),IF($R$17="Distrato",$E1142,0))),0,YEARFRAC(MAX($P$708*($B1142+IF($R$17="Distrato",$I$38-1,0)),IF(AND($L$711=0,$P$708=0),"",$L$711-1),IF($R$17="Distrato",$E1142,0)),MIN(AA$38,$D$19),$P$20))-SUM($P1142:Z1142)</f>
        <v>#VALUE!</v>
      </c>
      <c r="AB1142" s="446" t="e">
        <f>IF(OR($B1142="",MIN(AB$38,$D$19)&lt;MAX($P$708*($B1142+IF($R$17="Distrato",$I$38-1,0)),IF(AND($L$711=0,$P$708=0),"",$L$711-1),IF($R$17="Distrato",$E1142,0))),0,YEARFRAC(MAX($P$708*($B1142+IF($R$17="Distrato",$I$38-1,0)),IF(AND($L$711=0,$P$708=0),"",$L$711-1),IF($R$17="Distrato",$E1142,0)),MIN(AB$38,$D$19),$P$20))-SUM($P1142:AA1142)</f>
        <v>#VALUE!</v>
      </c>
      <c r="AC1142" s="446" t="e">
        <f>IF(OR($B1142="",MIN(AC$38,$D$19)&lt;MAX($P$708*($B1142+IF($R$17="Distrato",$I$38-1,0)),IF(AND($L$711=0,$P$708=0),"",$L$711-1),IF($R$17="Distrato",$E1142,0))),0,YEARFRAC(MAX($P$708*($B1142+IF($R$17="Distrato",$I$38-1,0)),IF(AND($L$711=0,$P$708=0),"",$L$711-1),IF($R$17="Distrato",$E1142,0)),MIN(AC$38,$D$19),$P$20))-SUM($P1142:AB1142)</f>
        <v>#VALUE!</v>
      </c>
      <c r="AD1142" s="446" t="e">
        <f>IF(OR($B1142="",MIN(AD$38,$D$19)&lt;MAX($P$708*($B1142+IF($R$17="Distrato",$I$38-1,0)),IF(AND($L$711=0,$P$708=0),"",$L$711-1),IF($R$17="Distrato",$E1142,0))),0,YEARFRAC(MAX($P$708*($B1142+IF($R$17="Distrato",$I$38-1,0)),IF(AND($L$711=0,$P$708=0),"",$L$711-1),IF($R$17="Distrato",$E1142,0)),MIN(AD$38,$D$19),$P$20))-SUM($P1142:AC1142)</f>
        <v>#VALUE!</v>
      </c>
      <c r="AE1142" s="446" t="e">
        <f>IF(OR($B1142="",MIN(AE$38,$D$19)&lt;MAX($P$708*($B1142+IF($R$17="Distrato",$I$38-1,0)),IF(AND($L$711=0,$P$708=0),"",$L$711-1),IF($R$17="Distrato",$E1142,0))),0,YEARFRAC(MAX($P$708*($B1142+IF($R$17="Distrato",$I$38-1,0)),IF(AND($L$711=0,$P$708=0),"",$L$711-1),IF($R$17="Distrato",$E1142,0)),MIN(AE$38,$D$19),$P$20))-SUM($P1142:AD1142)</f>
        <v>#VALUE!</v>
      </c>
      <c r="AF1142" s="446" t="e">
        <f>IF(OR($B1142="",MIN(AF$38,$D$19)&lt;MAX($P$708*($B1142+IF($R$17="Distrato",$I$38-1,0)),IF(AND($L$711=0,$P$708=0),"",$L$711-1),IF($R$17="Distrato",$E1142,0))),0,YEARFRAC(MAX($P$708*($B1142+IF($R$17="Distrato",$I$38-1,0)),IF(AND($L$711=0,$P$708=0),"",$L$711-1),IF($R$17="Distrato",$E1142,0)),MIN(AF$38,$D$19),$P$20))-SUM($P1142:AE1142)</f>
        <v>#VALUE!</v>
      </c>
      <c r="AG1142" s="446" t="e">
        <f>IF(OR($B1142="",MIN(AG$38,$D$19)&lt;MAX($P$708*($B1142+IF($R$17="Distrato",$I$38-1,0)),IF(AND($L$711=0,$P$708=0),"",$L$711-1),IF($R$17="Distrato",$E1142,0))),0,YEARFRAC(MAX($P$708*($B1142+IF($R$17="Distrato",$I$38-1,0)),IF(AND($L$711=0,$P$708=0),"",$L$711-1),IF($R$17="Distrato",$E1142,0)),MIN(AG$38,$D$19),$P$20))-SUM($P1142:AF1142)</f>
        <v>#VALUE!</v>
      </c>
      <c r="AH1142" s="446" t="e">
        <f>IF(OR($B1142="",MIN(AH$38,$D$19)&lt;MAX($P$708*($B1142+IF($R$17="Distrato",$I$38-1,0)),IF(AND($L$711=0,$P$708=0),"",$L$711-1),IF($R$17="Distrato",$E1142,0))),0,YEARFRAC(MAX($P$708*($B1142+IF($R$17="Distrato",$I$38-1,0)),IF(AND($L$711=0,$P$708=0),"",$L$711-1),IF($R$17="Distrato",$E1142,0)),MIN(AH$38,$D$19),$P$20))-SUM($P1142:AG1142)</f>
        <v>#VALUE!</v>
      </c>
      <c r="AI1142" s="446" t="e">
        <f>IF(OR($B1142="",MIN(AI$38,$D$19)&lt;MAX($P$708*($B1142+IF($R$17="Distrato",$I$38-1,0)),IF(AND($L$711=0,$P$708=0),"",$L$711-1),IF($R$17="Distrato",$E1142,0))),0,YEARFRAC(MAX($P$708*($B1142+IF($R$17="Distrato",$I$38-1,0)),IF(AND($L$711=0,$P$708=0),"",$L$711-1),IF($R$17="Distrato",$E1142,0)),MIN(AI$38,$D$19),$P$20))-SUM($P1142:AH1142)</f>
        <v>#VALUE!</v>
      </c>
      <c r="AJ1142" s="446" t="e">
        <f>IF(OR($B1142="",MIN(AJ$38,$D$19)&lt;MAX($P$708*($B1142+IF($R$17="Distrato",$I$38-1,0)),IF(AND($L$711=0,$P$708=0),"",$L$711-1),IF($R$17="Distrato",$E1142,0))),0,YEARFRAC(MAX($P$708*($B1142+IF($R$17="Distrato",$I$38-1,0)),IF(AND($L$711=0,$P$708=0),"",$L$711-1),IF($R$17="Distrato",$E1142,0)),MIN(AJ$38,$D$19),$P$20))-SUM($P1142:AI1142)</f>
        <v>#VALUE!</v>
      </c>
      <c r="AK1142" s="446" t="e">
        <f>IF(OR($B1142="",MIN(AK$38,$D$19)&lt;MAX($P$708*($B1142+IF($R$17="Distrato",$I$38-1,0)),IF(AND($L$711=0,$P$708=0),"",$L$711-1),IF($R$17="Distrato",$E1142,0))),0,YEARFRAC(MAX($P$708*($B1142+IF($R$17="Distrato",$I$38-1,0)),IF(AND($L$711=0,$P$708=0),"",$L$711-1),IF($R$17="Distrato",$E1142,0)),MIN(AK$38,$D$19),$P$20))-SUM($P1142:AJ1142)</f>
        <v>#VALUE!</v>
      </c>
      <c r="AL1142" s="446" t="e">
        <f>IF(OR($B1142="",MIN(AL$38,$D$19)&lt;MAX($P$708*($B1142+IF($R$17="Distrato",$I$38-1,0)),IF(AND($L$711=0,$P$708=0),"",$L$711-1),IF($R$17="Distrato",$E1142,0))),0,YEARFRAC(MAX($P$708*($B1142+IF($R$17="Distrato",$I$38-1,0)),IF(AND($L$711=0,$P$708=0),"",$L$711-1),IF($R$17="Distrato",$E1142,0)),MIN(AL$38,$D$19),$P$20))-SUM($P1142:AK1142)</f>
        <v>#VALUE!</v>
      </c>
      <c r="AM1142" s="446" t="e">
        <f>IF(OR($B1142="",MIN(AM$38,$D$19)&lt;MAX($P$708*($B1142+IF($R$17="Distrato",$I$38-1,0)),IF(AND($L$711=0,$P$708=0),"",$L$711-1),IF($R$17="Distrato",$E1142,0))),0,YEARFRAC(MAX($P$708*($B1142+IF($R$17="Distrato",$I$38-1,0)),IF(AND($L$711=0,$P$708=0),"",$L$711-1),IF($R$17="Distrato",$E1142,0)),MIN(AM$38,$D$19),$P$20))-SUM($P1142:AL1142)</f>
        <v>#VALUE!</v>
      </c>
      <c r="AN1142" s="446" t="e">
        <f>IF(OR($B1142="",MIN(AN$38,$D$19)&lt;MAX($P$708*($B1142+IF($R$17="Distrato",$I$38-1,0)),IF(AND($L$711=0,$P$708=0),"",$L$711-1),IF($R$17="Distrato",$E1142,0))),0,YEARFRAC(MAX($P$708*($B1142+IF($R$17="Distrato",$I$38-1,0)),IF(AND($L$711=0,$P$708=0),"",$L$711-1),IF($R$17="Distrato",$E1142,0)),MIN(AN$38,$D$19),$P$20))-SUM($P1142:AM1142)</f>
        <v>#VALUE!</v>
      </c>
      <c r="AO1142" s="446" t="e">
        <f>IF(OR($B1142="",MIN(AO$38,$D$19)&lt;MAX($P$708*($B1142+IF($R$17="Distrato",$I$38-1,0)),IF(AND($L$711=0,$P$708=0),"",$L$711-1),IF($R$17="Distrato",$E1142,0))),0,YEARFRAC(MAX($P$708*($B1142+IF($R$17="Distrato",$I$38-1,0)),IF(AND($L$711=0,$P$708=0),"",$L$711-1),IF($R$17="Distrato",$E1142,0)),MIN(AO$38,$D$19),$P$20))-SUM($P1142:AN1142)</f>
        <v>#VALUE!</v>
      </c>
      <c r="AP1142" s="446" t="e">
        <f>IF(OR($B1142="",MIN(AP$38,$D$19)&lt;MAX($P$708*($B1142+IF($R$17="Distrato",$I$38-1,0)),IF(AND($L$711=0,$P$708=0),"",$L$711-1),IF($R$17="Distrato",$E1142,0))),0,YEARFRAC(MAX($P$708*($B1142+IF($R$17="Distrato",$I$38-1,0)),IF(AND($L$711=0,$P$708=0),"",$L$711-1),IF($R$17="Distrato",$E1142,0)),MIN(AP$38,$D$19),$P$20))-SUM($P1142:AO1142)</f>
        <v>#VALUE!</v>
      </c>
      <c r="AQ1142" s="446" t="e">
        <f>IF(OR($B1142="",MIN(AQ$38,$D$19)&lt;MAX($P$708*($B1142+IF($R$17="Distrato",$I$38-1,0)),IF(AND($L$711=0,$P$708=0),"",$L$711-1),IF($R$17="Distrato",$E1142,0))),0,YEARFRAC(MAX($P$708*($B1142+IF($R$17="Distrato",$I$38-1,0)),IF(AND($L$711=0,$P$708=0),"",$L$711-1),IF($R$17="Distrato",$E1142,0)),MIN(AQ$38,$D$19),$P$20))-SUM($P1142:AP1142)</f>
        <v>#VALUE!</v>
      </c>
      <c r="AR1142" s="446" t="e">
        <f>IF(OR($B1142="",MIN(AR$38,$D$19)&lt;MAX($P$708*($B1142+IF($R$17="Distrato",$I$38-1,0)),IF(AND($L$711=0,$P$708=0),"",$L$711-1),IF($R$17="Distrato",$E1142,0))),0,YEARFRAC(MAX($P$708*($B1142+IF($R$17="Distrato",$I$38-1,0)),IF(AND($L$711=0,$P$708=0),"",$L$711-1),IF($R$17="Distrato",$E1142,0)),MIN(AR$38,$D$19),$P$20))-SUM($P1142:AQ1142)</f>
        <v>#VALUE!</v>
      </c>
      <c r="AS1142" s="446" t="e">
        <f>IF(OR($B1142="",MIN(AS$38,$D$19)&lt;MAX($P$708*($B1142+IF($R$17="Distrato",$I$38-1,0)),IF(AND($L$711=0,$P$708=0),"",$L$711-1),IF($R$17="Distrato",$E1142,0))),0,YEARFRAC(MAX($P$708*($B1142+IF($R$17="Distrato",$I$38-1,0)),IF(AND($L$711=0,$P$708=0),"",$L$711-1),IF($R$17="Distrato",$E1142,0)),MIN(AS$38,$D$19),$P$20))-SUM($P1142:AR1142)</f>
        <v>#VALUE!</v>
      </c>
      <c r="AT1142" s="446" t="e">
        <f>IF(OR($B1142="",MIN(AT$38,$D$19)&lt;MAX($P$708*($B1142+IF($R$17="Distrato",$I$38-1,0)),IF(AND($L$711=0,$P$708=0),"",$L$711-1),IF($R$17="Distrato",$E1142,0))),0,YEARFRAC(MAX($P$708*($B1142+IF($R$17="Distrato",$I$38-1,0)),IF(AND($L$711=0,$P$708=0),"",$L$711-1),IF($R$17="Distrato",$E1142,0)),MIN(AT$38,$D$19),$P$20))-SUM($P1142:AS1142)</f>
        <v>#VALUE!</v>
      </c>
      <c r="AU1142" s="446" t="e">
        <f>IF(OR($B1142="",MIN(AU$38,$D$19)&lt;MAX($P$708*($B1142+IF($R$17="Distrato",$I$38-1,0)),IF(AND($L$711=0,$P$708=0),"",$L$711-1),IF($R$17="Distrato",$E1142,0))),0,YEARFRAC(MAX($P$708*($B1142+IF($R$17="Distrato",$I$38-1,0)),IF(AND($L$711=0,$P$708=0),"",$L$711-1),IF($R$17="Distrato",$E1142,0)),MIN(AU$38,$D$19),$P$20))-SUM($P1142:AT1142)</f>
        <v>#VALUE!</v>
      </c>
      <c r="AV1142" s="446" t="e">
        <f>IF(OR($B1142="",MIN(AV$38,$D$19)&lt;MAX($P$708*($B1142+IF($R$17="Distrato",$I$38-1,0)),IF(AND($L$711=0,$P$708=0),"",$L$711-1),IF($R$17="Distrato",$E1142,0))),0,YEARFRAC(MAX($P$708*($B1142+IF($R$17="Distrato",$I$38-1,0)),IF(AND($L$711=0,$P$708=0),"",$L$711-1),IF($R$17="Distrato",$E1142,0)),MIN(AV$38,$D$19),$P$20))-SUM($P1142:AU1142)</f>
        <v>#VALUE!</v>
      </c>
      <c r="AW1142" s="446" t="e">
        <f>IF(OR($B1142="",MIN(AW$38,$D$19)&lt;MAX($P$708*($B1142+IF($R$17="Distrato",$I$38-1,0)),IF(AND($L$711=0,$P$708=0),"",$L$711-1),IF($R$17="Distrato",$E1142,0))),0,YEARFRAC(MAX($P$708*($B1142+IF($R$17="Distrato",$I$38-1,0)),IF(AND($L$711=0,$P$708=0),"",$L$711-1),IF($R$17="Distrato",$E1142,0)),MIN(AW$38,$D$19),$P$20))-SUM($P1142:AV1142)</f>
        <v>#VALUE!</v>
      </c>
      <c r="AX1142" s="446" t="e">
        <f>IF(OR($B1142="",MIN(AX$38,$D$19)&lt;MAX($P$708*($B1142+IF($R$17="Distrato",$I$38-1,0)),IF(AND($L$711=0,$P$708=0),"",$L$711-1),IF($R$17="Distrato",$E1142,0))),0,YEARFRAC(MAX($P$708*($B1142+IF($R$17="Distrato",$I$38-1,0)),IF(AND($L$711=0,$P$708=0),"",$L$711-1),IF($R$17="Distrato",$E1142,0)),MIN(AX$38,$D$19),$P$20))-SUM($P1142:AW1142)</f>
        <v>#VALUE!</v>
      </c>
      <c r="AY1142" s="446" t="e">
        <f>IF(OR($B1142="",MIN(AY$38,$D$19)&lt;MAX($P$708*($B1142+IF($R$17="Distrato",$I$38-1,0)),IF(AND($L$711=0,$P$708=0),"",$L$711-1),IF($R$17="Distrato",$E1142,0))),0,YEARFRAC(MAX($P$708*($B1142+IF($R$17="Distrato",$I$38-1,0)),IF(AND($L$711=0,$P$708=0),"",$L$711-1),IF($R$17="Distrato",$E1142,0)),MIN(AY$38,$D$19),$P$20))-SUM($P1142:AX1142)</f>
        <v>#VALUE!</v>
      </c>
      <c r="AZ1142" s="446" t="e">
        <f>IF(OR($B1142="",MIN(AZ$38,$D$19)&lt;MAX($P$708*($B1142+IF($R$17="Distrato",$I$38-1,0)),IF(AND($L$711=0,$P$708=0),"",$L$711-1),IF($R$17="Distrato",$E1142,0))),0,YEARFRAC(MAX($P$708*($B1142+IF($R$17="Distrato",$I$38-1,0)),IF(AND($L$711=0,$P$708=0),"",$L$711-1),IF($R$17="Distrato",$E1142,0)),MIN(AZ$38,$D$19),$P$20))-SUM($P1142:AY1142)</f>
        <v>#VALUE!</v>
      </c>
      <c r="BA1142" s="446" t="e">
        <f>IF(OR($B1142="",MIN(BA$38,$D$19)&lt;MAX($P$708*($B1142+IF($R$17="Distrato",$I$38-1,0)),IF(AND($L$711=0,$P$708=0),"",$L$711-1),IF($R$17="Distrato",$E1142,0))),0,YEARFRAC(MAX($P$708*($B1142+IF($R$17="Distrato",$I$38-1,0)),IF(AND($L$711=0,$P$708=0),"",$L$711-1),IF($R$17="Distrato",$E1142,0)),MIN(BA$38,$D$19),$P$20))-SUM($P1142:AZ1142)</f>
        <v>#VALUE!</v>
      </c>
      <c r="BB1142" s="447"/>
    </row>
    <row r="1143" spans="1:54" s="446" customFormat="1" ht="11.25" hidden="1" customHeight="1" x14ac:dyDescent="0.2">
      <c r="A1143" s="235"/>
      <c r="B1143" s="236"/>
      <c r="C1143" s="29" t="str">
        <f>IF(B1143="","",IF($L$709=$BL$25,VLOOKUP(DATE(YEAR($D$19),MONTH($D$19)-1,1),ÍNDICES!$A:$DE,HLOOKUP($BL$25,ÍNDICES!$B$3:$T$4,2)+11)-VLOOKUP(B1143,ÍNDICES!$A:$DE,HLOOKUP($BL$25,ÍNDICES!$B$3:$T$4,2)+11)+1%,IF(C$712=$W$26,$J$35,IF(ISERROR(IF(B1143&gt;$D$19,1,VLOOKUP(DATE(YEAR(B1143),MONTH(B1143)+IF($C$709=$S$23,1,0),1),ÍNDICES!$A:$DE,$Z$709+1))),"",IF(B1143&gt;$D$19,1,VLOOKUP(DATE(YEAR(B1143),MONTH(B1143)+IF($C$709=$S$23,1,0),1),ÍNDICES!$A:$DE,$Z$709+1))))))</f>
        <v/>
      </c>
      <c r="D1143" s="155"/>
      <c r="E1143" s="88"/>
      <c r="F1143" s="88"/>
      <c r="G1143" s="88"/>
      <c r="H1143" s="118"/>
      <c r="I1143" s="182">
        <f t="shared" si="157"/>
        <v>0</v>
      </c>
      <c r="J1143" s="20">
        <f t="shared" ca="1" si="158"/>
        <v>0</v>
      </c>
      <c r="K1143" s="5">
        <f t="shared" ca="1" si="159"/>
        <v>0</v>
      </c>
      <c r="L1143" s="61">
        <f t="shared" ca="1" si="160"/>
        <v>0</v>
      </c>
      <c r="M1143" s="64">
        <f t="shared" si="161"/>
        <v>0</v>
      </c>
      <c r="N1143" s="151"/>
      <c r="O1143" s="5">
        <f t="shared" ca="1" si="162"/>
        <v>0</v>
      </c>
      <c r="P1143" s="446" t="e">
        <f t="shared" si="163"/>
        <v>#VALUE!</v>
      </c>
      <c r="Q1143" s="446" t="e">
        <f>IF(OR($B1143="",MIN(Q$38,$D$19)&lt;MAX($P$708*($B1143+IF($R$17="Distrato",$I$38-1,0)),IF(AND($L$711=0,$P$708=0),"",$L$711-1),IF($R$17="Distrato",$E1143,0))),0,YEARFRAC(MAX($P$708*($B1143+IF($R$17="Distrato",$I$38-1,0)),IF(AND($L$711=0,$P$708=0),"",$L$711-1),IF($R$17="Distrato",$E1143,0)),MIN(Q$38,$D$19),$P$20))-SUM($P1143:P1143)</f>
        <v>#VALUE!</v>
      </c>
      <c r="R1143" s="446" t="e">
        <f>IF(OR($B1143="",MIN(R$38,$D$19)&lt;MAX($P$708*($B1143+IF($R$17="Distrato",$I$38-1,0)),IF(AND($L$711=0,$P$708=0),"",$L$711-1),IF($R$17="Distrato",$E1143,0))),0,YEARFRAC(MAX($P$708*($B1143+IF($R$17="Distrato",$I$38-1,0)),IF(AND($L$711=0,$P$708=0),"",$L$711-1),IF($R$17="Distrato",$E1143,0)),MIN(R$38,$D$19),$P$20))-SUM($P1143:Q1143)</f>
        <v>#VALUE!</v>
      </c>
      <c r="S1143" s="446" t="e">
        <f>IF(OR($B1143="",MIN(S$38,$D$19)&lt;MAX($P$708*($B1143+IF($R$17="Distrato",$I$38-1,0)),IF(AND($L$711=0,$P$708=0),"",$L$711-1),IF($R$17="Distrato",$E1143,0))),0,YEARFRAC(MAX($P$708*($B1143+IF($R$17="Distrato",$I$38-1,0)),IF(AND($L$711=0,$P$708=0),"",$L$711-1),IF($R$17="Distrato",$E1143,0)),MIN(S$38,$D$19),$P$20))-SUM($P1143:R1143)</f>
        <v>#VALUE!</v>
      </c>
      <c r="T1143" s="446" t="e">
        <f>IF(OR($B1143="",MIN(T$38,$D$19)&lt;MAX($P$708*($B1143+IF($R$17="Distrato",$I$38-1,0)),IF(AND($L$711=0,$P$708=0),"",$L$711-1),IF($R$17="Distrato",$E1143,0))),0,YEARFRAC(MAX($P$708*($B1143+IF($R$17="Distrato",$I$38-1,0)),IF(AND($L$711=0,$P$708=0),"",$L$711-1),IF($R$17="Distrato",$E1143,0)),MIN(T$38,$D$19),$P$20))-SUM($P1143:S1143)</f>
        <v>#VALUE!</v>
      </c>
      <c r="U1143" s="446" t="e">
        <f>IF(OR($B1143="",MIN(U$38,$D$19)&lt;MAX($P$708*($B1143+IF($R$17="Distrato",$I$38-1,0)),IF(AND($L$711=0,$P$708=0),"",$L$711-1),IF($R$17="Distrato",$E1143,0))),0,YEARFRAC(MAX($P$708*($B1143+IF($R$17="Distrato",$I$38-1,0)),IF(AND($L$711=0,$P$708=0),"",$L$711-1),IF($R$17="Distrato",$E1143,0)),MIN(U$38,$D$19),$P$20))-SUM($P1143:T1143)</f>
        <v>#VALUE!</v>
      </c>
      <c r="V1143" s="446" t="e">
        <f>IF(OR($B1143="",MIN(V$38,$D$19)&lt;MAX($P$708*($B1143+IF($R$17="Distrato",$I$38-1,0)),IF(AND($L$711=0,$P$708=0),"",$L$711-1),IF($R$17="Distrato",$E1143,0))),0,YEARFRAC(MAX($P$708*($B1143+IF($R$17="Distrato",$I$38-1,0)),IF(AND($L$711=0,$P$708=0),"",$L$711-1),IF($R$17="Distrato",$E1143,0)),MIN(V$38,$D$19),$P$20))-SUM($P1143:U1143)</f>
        <v>#VALUE!</v>
      </c>
      <c r="W1143" s="446" t="e">
        <f>IF(OR($B1143="",MIN(W$38,$D$19)&lt;MAX($P$708*($B1143+IF($R$17="Distrato",$I$38-1,0)),IF(AND($L$711=0,$P$708=0),"",$L$711-1),IF($R$17="Distrato",$E1143,0))),0,YEARFRAC(MAX($P$708*($B1143+IF($R$17="Distrato",$I$38-1,0)),IF(AND($L$711=0,$P$708=0),"",$L$711-1),IF($R$17="Distrato",$E1143,0)),MIN(W$38,$D$19),$P$20))-SUM($P1143:V1143)</f>
        <v>#VALUE!</v>
      </c>
      <c r="X1143" s="446" t="e">
        <f>IF(OR($B1143="",MIN(X$38,$D$19)&lt;MAX($P$708*($B1143+IF($R$17="Distrato",$I$38-1,0)),IF(AND($L$711=0,$P$708=0),"",$L$711-1),IF($R$17="Distrato",$E1143,0))),0,YEARFRAC(MAX($P$708*($B1143+IF($R$17="Distrato",$I$38-1,0)),IF(AND($L$711=0,$P$708=0),"",$L$711-1),IF($R$17="Distrato",$E1143,0)),MIN(X$38,$D$19),$P$20))-SUM($P1143:W1143)</f>
        <v>#VALUE!</v>
      </c>
      <c r="Y1143" s="446" t="e">
        <f>IF(OR($B1143="",MIN(Y$38,$D$19)&lt;MAX($P$708*($B1143+IF($R$17="Distrato",$I$38-1,0)),IF(AND($L$711=0,$P$708=0),"",$L$711-1),IF($R$17="Distrato",$E1143,0))),0,YEARFRAC(MAX($P$708*($B1143+IF($R$17="Distrato",$I$38-1,0)),IF(AND($L$711=0,$P$708=0),"",$L$711-1),IF($R$17="Distrato",$E1143,0)),MIN(Y$38,$D$19),$P$20))-SUM($P1143:X1143)</f>
        <v>#VALUE!</v>
      </c>
      <c r="Z1143" s="446" t="e">
        <f>IF(OR($B1143="",MIN(Z$38,$D$19)&lt;MAX($P$708*($B1143+IF($R$17="Distrato",$I$38-1,0)),IF(AND($L$711=0,$P$708=0),"",$L$711-1),IF($R$17="Distrato",$E1143,0))),0,YEARFRAC(MAX($P$708*($B1143+IF($R$17="Distrato",$I$38-1,0)),IF(AND($L$711=0,$P$708=0),"",$L$711-1),IF($R$17="Distrato",$E1143,0)),MIN(Z$38,$D$19),$P$20))-SUM($P1143:Y1143)</f>
        <v>#VALUE!</v>
      </c>
      <c r="AA1143" s="446" t="e">
        <f>IF(OR($B1143="",MIN(AA$38,$D$19)&lt;MAX($P$708*($B1143+IF($R$17="Distrato",$I$38-1,0)),IF(AND($L$711=0,$P$708=0),"",$L$711-1),IF($R$17="Distrato",$E1143,0))),0,YEARFRAC(MAX($P$708*($B1143+IF($R$17="Distrato",$I$38-1,0)),IF(AND($L$711=0,$P$708=0),"",$L$711-1),IF($R$17="Distrato",$E1143,0)),MIN(AA$38,$D$19),$P$20))-SUM($P1143:Z1143)</f>
        <v>#VALUE!</v>
      </c>
      <c r="AB1143" s="446" t="e">
        <f>IF(OR($B1143="",MIN(AB$38,$D$19)&lt;MAX($P$708*($B1143+IF($R$17="Distrato",$I$38-1,0)),IF(AND($L$711=0,$P$708=0),"",$L$711-1),IF($R$17="Distrato",$E1143,0))),0,YEARFRAC(MAX($P$708*($B1143+IF($R$17="Distrato",$I$38-1,0)),IF(AND($L$711=0,$P$708=0),"",$L$711-1),IF($R$17="Distrato",$E1143,0)),MIN(AB$38,$D$19),$P$20))-SUM($P1143:AA1143)</f>
        <v>#VALUE!</v>
      </c>
      <c r="AC1143" s="446" t="e">
        <f>IF(OR($B1143="",MIN(AC$38,$D$19)&lt;MAX($P$708*($B1143+IF($R$17="Distrato",$I$38-1,0)),IF(AND($L$711=0,$P$708=0),"",$L$711-1),IF($R$17="Distrato",$E1143,0))),0,YEARFRAC(MAX($P$708*($B1143+IF($R$17="Distrato",$I$38-1,0)),IF(AND($L$711=0,$P$708=0),"",$L$711-1),IF($R$17="Distrato",$E1143,0)),MIN(AC$38,$D$19),$P$20))-SUM($P1143:AB1143)</f>
        <v>#VALUE!</v>
      </c>
      <c r="AD1143" s="446" t="e">
        <f>IF(OR($B1143="",MIN(AD$38,$D$19)&lt;MAX($P$708*($B1143+IF($R$17="Distrato",$I$38-1,0)),IF(AND($L$711=0,$P$708=0),"",$L$711-1),IF($R$17="Distrato",$E1143,0))),0,YEARFRAC(MAX($P$708*($B1143+IF($R$17="Distrato",$I$38-1,0)),IF(AND($L$711=0,$P$708=0),"",$L$711-1),IF($R$17="Distrato",$E1143,0)),MIN(AD$38,$D$19),$P$20))-SUM($P1143:AC1143)</f>
        <v>#VALUE!</v>
      </c>
      <c r="AE1143" s="446" t="e">
        <f>IF(OR($B1143="",MIN(AE$38,$D$19)&lt;MAX($P$708*($B1143+IF($R$17="Distrato",$I$38-1,0)),IF(AND($L$711=0,$P$708=0),"",$L$711-1),IF($R$17="Distrato",$E1143,0))),0,YEARFRAC(MAX($P$708*($B1143+IF($R$17="Distrato",$I$38-1,0)),IF(AND($L$711=0,$P$708=0),"",$L$711-1),IF($R$17="Distrato",$E1143,0)),MIN(AE$38,$D$19),$P$20))-SUM($P1143:AD1143)</f>
        <v>#VALUE!</v>
      </c>
      <c r="AF1143" s="446" t="e">
        <f>IF(OR($B1143="",MIN(AF$38,$D$19)&lt;MAX($P$708*($B1143+IF($R$17="Distrato",$I$38-1,0)),IF(AND($L$711=0,$P$708=0),"",$L$711-1),IF($R$17="Distrato",$E1143,0))),0,YEARFRAC(MAX($P$708*($B1143+IF($R$17="Distrato",$I$38-1,0)),IF(AND($L$711=0,$P$708=0),"",$L$711-1),IF($R$17="Distrato",$E1143,0)),MIN(AF$38,$D$19),$P$20))-SUM($P1143:AE1143)</f>
        <v>#VALUE!</v>
      </c>
      <c r="AG1143" s="446" t="e">
        <f>IF(OR($B1143="",MIN(AG$38,$D$19)&lt;MAX($P$708*($B1143+IF($R$17="Distrato",$I$38-1,0)),IF(AND($L$711=0,$P$708=0),"",$L$711-1),IF($R$17="Distrato",$E1143,0))),0,YEARFRAC(MAX($P$708*($B1143+IF($R$17="Distrato",$I$38-1,0)),IF(AND($L$711=0,$P$708=0),"",$L$711-1),IF($R$17="Distrato",$E1143,0)),MIN(AG$38,$D$19),$P$20))-SUM($P1143:AF1143)</f>
        <v>#VALUE!</v>
      </c>
      <c r="AH1143" s="446" t="e">
        <f>IF(OR($B1143="",MIN(AH$38,$D$19)&lt;MAX($P$708*($B1143+IF($R$17="Distrato",$I$38-1,0)),IF(AND($L$711=0,$P$708=0),"",$L$711-1),IF($R$17="Distrato",$E1143,0))),0,YEARFRAC(MAX($P$708*($B1143+IF($R$17="Distrato",$I$38-1,0)),IF(AND($L$711=0,$P$708=0),"",$L$711-1),IF($R$17="Distrato",$E1143,0)),MIN(AH$38,$D$19),$P$20))-SUM($P1143:AG1143)</f>
        <v>#VALUE!</v>
      </c>
      <c r="AI1143" s="446" t="e">
        <f>IF(OR($B1143="",MIN(AI$38,$D$19)&lt;MAX($P$708*($B1143+IF($R$17="Distrato",$I$38-1,0)),IF(AND($L$711=0,$P$708=0),"",$L$711-1),IF($R$17="Distrato",$E1143,0))),0,YEARFRAC(MAX($P$708*($B1143+IF($R$17="Distrato",$I$38-1,0)),IF(AND($L$711=0,$P$708=0),"",$L$711-1),IF($R$17="Distrato",$E1143,0)),MIN(AI$38,$D$19),$P$20))-SUM($P1143:AH1143)</f>
        <v>#VALUE!</v>
      </c>
      <c r="AJ1143" s="446" t="e">
        <f>IF(OR($B1143="",MIN(AJ$38,$D$19)&lt;MAX($P$708*($B1143+IF($R$17="Distrato",$I$38-1,0)),IF(AND($L$711=0,$P$708=0),"",$L$711-1),IF($R$17="Distrato",$E1143,0))),0,YEARFRAC(MAX($P$708*($B1143+IF($R$17="Distrato",$I$38-1,0)),IF(AND($L$711=0,$P$708=0),"",$L$711-1),IF($R$17="Distrato",$E1143,0)),MIN(AJ$38,$D$19),$P$20))-SUM($P1143:AI1143)</f>
        <v>#VALUE!</v>
      </c>
      <c r="AK1143" s="446" t="e">
        <f>IF(OR($B1143="",MIN(AK$38,$D$19)&lt;MAX($P$708*($B1143+IF($R$17="Distrato",$I$38-1,0)),IF(AND($L$711=0,$P$708=0),"",$L$711-1),IF($R$17="Distrato",$E1143,0))),0,YEARFRAC(MAX($P$708*($B1143+IF($R$17="Distrato",$I$38-1,0)),IF(AND($L$711=0,$P$708=0),"",$L$711-1),IF($R$17="Distrato",$E1143,0)),MIN(AK$38,$D$19),$P$20))-SUM($P1143:AJ1143)</f>
        <v>#VALUE!</v>
      </c>
      <c r="AL1143" s="446" t="e">
        <f>IF(OR($B1143="",MIN(AL$38,$D$19)&lt;MAX($P$708*($B1143+IF($R$17="Distrato",$I$38-1,0)),IF(AND($L$711=0,$P$708=0),"",$L$711-1),IF($R$17="Distrato",$E1143,0))),0,YEARFRAC(MAX($P$708*($B1143+IF($R$17="Distrato",$I$38-1,0)),IF(AND($L$711=0,$P$708=0),"",$L$711-1),IF($R$17="Distrato",$E1143,0)),MIN(AL$38,$D$19),$P$20))-SUM($P1143:AK1143)</f>
        <v>#VALUE!</v>
      </c>
      <c r="AM1143" s="446" t="e">
        <f>IF(OR($B1143="",MIN(AM$38,$D$19)&lt;MAX($P$708*($B1143+IF($R$17="Distrato",$I$38-1,0)),IF(AND($L$711=0,$P$708=0),"",$L$711-1),IF($R$17="Distrato",$E1143,0))),0,YEARFRAC(MAX($P$708*($B1143+IF($R$17="Distrato",$I$38-1,0)),IF(AND($L$711=0,$P$708=0),"",$L$711-1),IF($R$17="Distrato",$E1143,0)),MIN(AM$38,$D$19),$P$20))-SUM($P1143:AL1143)</f>
        <v>#VALUE!</v>
      </c>
      <c r="AN1143" s="446" t="e">
        <f>IF(OR($B1143="",MIN(AN$38,$D$19)&lt;MAX($P$708*($B1143+IF($R$17="Distrato",$I$38-1,0)),IF(AND($L$711=0,$P$708=0),"",$L$711-1),IF($R$17="Distrato",$E1143,0))),0,YEARFRAC(MAX($P$708*($B1143+IF($R$17="Distrato",$I$38-1,0)),IF(AND($L$711=0,$P$708=0),"",$L$711-1),IF($R$17="Distrato",$E1143,0)),MIN(AN$38,$D$19),$P$20))-SUM($P1143:AM1143)</f>
        <v>#VALUE!</v>
      </c>
      <c r="AO1143" s="446" t="e">
        <f>IF(OR($B1143="",MIN(AO$38,$D$19)&lt;MAX($P$708*($B1143+IF($R$17="Distrato",$I$38-1,0)),IF(AND($L$711=0,$P$708=0),"",$L$711-1),IF($R$17="Distrato",$E1143,0))),0,YEARFRAC(MAX($P$708*($B1143+IF($R$17="Distrato",$I$38-1,0)),IF(AND($L$711=0,$P$708=0),"",$L$711-1),IF($R$17="Distrato",$E1143,0)),MIN(AO$38,$D$19),$P$20))-SUM($P1143:AN1143)</f>
        <v>#VALUE!</v>
      </c>
      <c r="AP1143" s="446" t="e">
        <f>IF(OR($B1143="",MIN(AP$38,$D$19)&lt;MAX($P$708*($B1143+IF($R$17="Distrato",$I$38-1,0)),IF(AND($L$711=0,$P$708=0),"",$L$711-1),IF($R$17="Distrato",$E1143,0))),0,YEARFRAC(MAX($P$708*($B1143+IF($R$17="Distrato",$I$38-1,0)),IF(AND($L$711=0,$P$708=0),"",$L$711-1),IF($R$17="Distrato",$E1143,0)),MIN(AP$38,$D$19),$P$20))-SUM($P1143:AO1143)</f>
        <v>#VALUE!</v>
      </c>
      <c r="AQ1143" s="446" t="e">
        <f>IF(OR($B1143="",MIN(AQ$38,$D$19)&lt;MAX($P$708*($B1143+IF($R$17="Distrato",$I$38-1,0)),IF(AND($L$711=0,$P$708=0),"",$L$711-1),IF($R$17="Distrato",$E1143,0))),0,YEARFRAC(MAX($P$708*($B1143+IF($R$17="Distrato",$I$38-1,0)),IF(AND($L$711=0,$P$708=0),"",$L$711-1),IF($R$17="Distrato",$E1143,0)),MIN(AQ$38,$D$19),$P$20))-SUM($P1143:AP1143)</f>
        <v>#VALUE!</v>
      </c>
      <c r="AR1143" s="446" t="e">
        <f>IF(OR($B1143="",MIN(AR$38,$D$19)&lt;MAX($P$708*($B1143+IF($R$17="Distrato",$I$38-1,0)),IF(AND($L$711=0,$P$708=0),"",$L$711-1),IF($R$17="Distrato",$E1143,0))),0,YEARFRAC(MAX($P$708*($B1143+IF($R$17="Distrato",$I$38-1,0)),IF(AND($L$711=0,$P$708=0),"",$L$711-1),IF($R$17="Distrato",$E1143,0)),MIN(AR$38,$D$19),$P$20))-SUM($P1143:AQ1143)</f>
        <v>#VALUE!</v>
      </c>
      <c r="AS1143" s="446" t="e">
        <f>IF(OR($B1143="",MIN(AS$38,$D$19)&lt;MAX($P$708*($B1143+IF($R$17="Distrato",$I$38-1,0)),IF(AND($L$711=0,$P$708=0),"",$L$711-1),IF($R$17="Distrato",$E1143,0))),0,YEARFRAC(MAX($P$708*($B1143+IF($R$17="Distrato",$I$38-1,0)),IF(AND($L$711=0,$P$708=0),"",$L$711-1),IF($R$17="Distrato",$E1143,0)),MIN(AS$38,$D$19),$P$20))-SUM($P1143:AR1143)</f>
        <v>#VALUE!</v>
      </c>
      <c r="AT1143" s="446" t="e">
        <f>IF(OR($B1143="",MIN(AT$38,$D$19)&lt;MAX($P$708*($B1143+IF($R$17="Distrato",$I$38-1,0)),IF(AND($L$711=0,$P$708=0),"",$L$711-1),IF($R$17="Distrato",$E1143,0))),0,YEARFRAC(MAX($P$708*($B1143+IF($R$17="Distrato",$I$38-1,0)),IF(AND($L$711=0,$P$708=0),"",$L$711-1),IF($R$17="Distrato",$E1143,0)),MIN(AT$38,$D$19),$P$20))-SUM($P1143:AS1143)</f>
        <v>#VALUE!</v>
      </c>
      <c r="AU1143" s="446" t="e">
        <f>IF(OR($B1143="",MIN(AU$38,$D$19)&lt;MAX($P$708*($B1143+IF($R$17="Distrato",$I$38-1,0)),IF(AND($L$711=0,$P$708=0),"",$L$711-1),IF($R$17="Distrato",$E1143,0))),0,YEARFRAC(MAX($P$708*($B1143+IF($R$17="Distrato",$I$38-1,0)),IF(AND($L$711=0,$P$708=0),"",$L$711-1),IF($R$17="Distrato",$E1143,0)),MIN(AU$38,$D$19),$P$20))-SUM($P1143:AT1143)</f>
        <v>#VALUE!</v>
      </c>
      <c r="AV1143" s="446" t="e">
        <f>IF(OR($B1143="",MIN(AV$38,$D$19)&lt;MAX($P$708*($B1143+IF($R$17="Distrato",$I$38-1,0)),IF(AND($L$711=0,$P$708=0),"",$L$711-1),IF($R$17="Distrato",$E1143,0))),0,YEARFRAC(MAX($P$708*($B1143+IF($R$17="Distrato",$I$38-1,0)),IF(AND($L$711=0,$P$708=0),"",$L$711-1),IF($R$17="Distrato",$E1143,0)),MIN(AV$38,$D$19),$P$20))-SUM($P1143:AU1143)</f>
        <v>#VALUE!</v>
      </c>
      <c r="AW1143" s="446" t="e">
        <f>IF(OR($B1143="",MIN(AW$38,$D$19)&lt;MAX($P$708*($B1143+IF($R$17="Distrato",$I$38-1,0)),IF(AND($L$711=0,$P$708=0),"",$L$711-1),IF($R$17="Distrato",$E1143,0))),0,YEARFRAC(MAX($P$708*($B1143+IF($R$17="Distrato",$I$38-1,0)),IF(AND($L$711=0,$P$708=0),"",$L$711-1),IF($R$17="Distrato",$E1143,0)),MIN(AW$38,$D$19),$P$20))-SUM($P1143:AV1143)</f>
        <v>#VALUE!</v>
      </c>
      <c r="AX1143" s="446" t="e">
        <f>IF(OR($B1143="",MIN(AX$38,$D$19)&lt;MAX($P$708*($B1143+IF($R$17="Distrato",$I$38-1,0)),IF(AND($L$711=0,$P$708=0),"",$L$711-1),IF($R$17="Distrato",$E1143,0))),0,YEARFRAC(MAX($P$708*($B1143+IF($R$17="Distrato",$I$38-1,0)),IF(AND($L$711=0,$P$708=0),"",$L$711-1),IF($R$17="Distrato",$E1143,0)),MIN(AX$38,$D$19),$P$20))-SUM($P1143:AW1143)</f>
        <v>#VALUE!</v>
      </c>
      <c r="AY1143" s="446" t="e">
        <f>IF(OR($B1143="",MIN(AY$38,$D$19)&lt;MAX($P$708*($B1143+IF($R$17="Distrato",$I$38-1,0)),IF(AND($L$711=0,$P$708=0),"",$L$711-1),IF($R$17="Distrato",$E1143,0))),0,YEARFRAC(MAX($P$708*($B1143+IF($R$17="Distrato",$I$38-1,0)),IF(AND($L$711=0,$P$708=0),"",$L$711-1),IF($R$17="Distrato",$E1143,0)),MIN(AY$38,$D$19),$P$20))-SUM($P1143:AX1143)</f>
        <v>#VALUE!</v>
      </c>
      <c r="AZ1143" s="446" t="e">
        <f>IF(OR($B1143="",MIN(AZ$38,$D$19)&lt;MAX($P$708*($B1143+IF($R$17="Distrato",$I$38-1,0)),IF(AND($L$711=0,$P$708=0),"",$L$711-1),IF($R$17="Distrato",$E1143,0))),0,YEARFRAC(MAX($P$708*($B1143+IF($R$17="Distrato",$I$38-1,0)),IF(AND($L$711=0,$P$708=0),"",$L$711-1),IF($R$17="Distrato",$E1143,0)),MIN(AZ$38,$D$19),$P$20))-SUM($P1143:AY1143)</f>
        <v>#VALUE!</v>
      </c>
      <c r="BA1143" s="446" t="e">
        <f>IF(OR($B1143="",MIN(BA$38,$D$19)&lt;MAX($P$708*($B1143+IF($R$17="Distrato",$I$38-1,0)),IF(AND($L$711=0,$P$708=0),"",$L$711-1),IF($R$17="Distrato",$E1143,0))),0,YEARFRAC(MAX($P$708*($B1143+IF($R$17="Distrato",$I$38-1,0)),IF(AND($L$711=0,$P$708=0),"",$L$711-1),IF($R$17="Distrato",$E1143,0)),MIN(BA$38,$D$19),$P$20))-SUM($P1143:AZ1143)</f>
        <v>#VALUE!</v>
      </c>
      <c r="BB1143" s="447"/>
    </row>
    <row r="1144" spans="1:54" s="446" customFormat="1" ht="11.25" hidden="1" customHeight="1" x14ac:dyDescent="0.2">
      <c r="A1144" s="235"/>
      <c r="B1144" s="236"/>
      <c r="C1144" s="29" t="str">
        <f>IF(B1144="","",IF($L$709=$BL$25,VLOOKUP(DATE(YEAR($D$19),MONTH($D$19)-1,1),ÍNDICES!$A:$DE,HLOOKUP($BL$25,ÍNDICES!$B$3:$T$4,2)+11)-VLOOKUP(B1144,ÍNDICES!$A:$DE,HLOOKUP($BL$25,ÍNDICES!$B$3:$T$4,2)+11)+1%,IF(C$712=$W$26,$J$35,IF(ISERROR(IF(B1144&gt;$D$19,1,VLOOKUP(DATE(YEAR(B1144),MONTH(B1144)+IF($C$709=$S$23,1,0),1),ÍNDICES!$A:$DE,$Z$709+1))),"",IF(B1144&gt;$D$19,1,VLOOKUP(DATE(YEAR(B1144),MONTH(B1144)+IF($C$709=$S$23,1,0),1),ÍNDICES!$A:$DE,$Z$709+1))))))</f>
        <v/>
      </c>
      <c r="D1144" s="155"/>
      <c r="E1144" s="88"/>
      <c r="F1144" s="88"/>
      <c r="G1144" s="88"/>
      <c r="H1144" s="118"/>
      <c r="I1144" s="182">
        <f t="shared" si="157"/>
        <v>0</v>
      </c>
      <c r="J1144" s="20">
        <f t="shared" ca="1" si="158"/>
        <v>0</v>
      </c>
      <c r="K1144" s="5">
        <f t="shared" ca="1" si="159"/>
        <v>0</v>
      </c>
      <c r="L1144" s="61">
        <f t="shared" ca="1" si="160"/>
        <v>0</v>
      </c>
      <c r="M1144" s="64">
        <f t="shared" si="161"/>
        <v>0</v>
      </c>
      <c r="N1144" s="151"/>
      <c r="O1144" s="5">
        <f t="shared" ca="1" si="162"/>
        <v>0</v>
      </c>
      <c r="P1144" s="446" t="e">
        <f t="shared" si="163"/>
        <v>#VALUE!</v>
      </c>
      <c r="Q1144" s="446" t="e">
        <f>IF(OR($B1144="",MIN(Q$38,$D$19)&lt;MAX($P$708*($B1144+IF($R$17="Distrato",$I$38-1,0)),IF(AND($L$711=0,$P$708=0),"",$L$711-1),IF($R$17="Distrato",$E1144,0))),0,YEARFRAC(MAX($P$708*($B1144+IF($R$17="Distrato",$I$38-1,0)),IF(AND($L$711=0,$P$708=0),"",$L$711-1),IF($R$17="Distrato",$E1144,0)),MIN(Q$38,$D$19),$P$20))-SUM($P1144:P1144)</f>
        <v>#VALUE!</v>
      </c>
      <c r="R1144" s="446" t="e">
        <f>IF(OR($B1144="",MIN(R$38,$D$19)&lt;MAX($P$708*($B1144+IF($R$17="Distrato",$I$38-1,0)),IF(AND($L$711=0,$P$708=0),"",$L$711-1),IF($R$17="Distrato",$E1144,0))),0,YEARFRAC(MAX($P$708*($B1144+IF($R$17="Distrato",$I$38-1,0)),IF(AND($L$711=0,$P$708=0),"",$L$711-1),IF($R$17="Distrato",$E1144,0)),MIN(R$38,$D$19),$P$20))-SUM($P1144:Q1144)</f>
        <v>#VALUE!</v>
      </c>
      <c r="S1144" s="446" t="e">
        <f>IF(OR($B1144="",MIN(S$38,$D$19)&lt;MAX($P$708*($B1144+IF($R$17="Distrato",$I$38-1,0)),IF(AND($L$711=0,$P$708=0),"",$L$711-1),IF($R$17="Distrato",$E1144,0))),0,YEARFRAC(MAX($P$708*($B1144+IF($R$17="Distrato",$I$38-1,0)),IF(AND($L$711=0,$P$708=0),"",$L$711-1),IF($R$17="Distrato",$E1144,0)),MIN(S$38,$D$19),$P$20))-SUM($P1144:R1144)</f>
        <v>#VALUE!</v>
      </c>
      <c r="T1144" s="446" t="e">
        <f>IF(OR($B1144="",MIN(T$38,$D$19)&lt;MAX($P$708*($B1144+IF($R$17="Distrato",$I$38-1,0)),IF(AND($L$711=0,$P$708=0),"",$L$711-1),IF($R$17="Distrato",$E1144,0))),0,YEARFRAC(MAX($P$708*($B1144+IF($R$17="Distrato",$I$38-1,0)),IF(AND($L$711=0,$P$708=0),"",$L$711-1),IF($R$17="Distrato",$E1144,0)),MIN(T$38,$D$19),$P$20))-SUM($P1144:S1144)</f>
        <v>#VALUE!</v>
      </c>
      <c r="U1144" s="446" t="e">
        <f>IF(OR($B1144="",MIN(U$38,$D$19)&lt;MAX($P$708*($B1144+IF($R$17="Distrato",$I$38-1,0)),IF(AND($L$711=0,$P$708=0),"",$L$711-1),IF($R$17="Distrato",$E1144,0))),0,YEARFRAC(MAX($P$708*($B1144+IF($R$17="Distrato",$I$38-1,0)),IF(AND($L$711=0,$P$708=0),"",$L$711-1),IF($R$17="Distrato",$E1144,0)),MIN(U$38,$D$19),$P$20))-SUM($P1144:T1144)</f>
        <v>#VALUE!</v>
      </c>
      <c r="V1144" s="446" t="e">
        <f>IF(OR($B1144="",MIN(V$38,$D$19)&lt;MAX($P$708*($B1144+IF($R$17="Distrato",$I$38-1,0)),IF(AND($L$711=0,$P$708=0),"",$L$711-1),IF($R$17="Distrato",$E1144,0))),0,YEARFRAC(MAX($P$708*($B1144+IF($R$17="Distrato",$I$38-1,0)),IF(AND($L$711=0,$P$708=0),"",$L$711-1),IF($R$17="Distrato",$E1144,0)),MIN(V$38,$D$19),$P$20))-SUM($P1144:U1144)</f>
        <v>#VALUE!</v>
      </c>
      <c r="W1144" s="446" t="e">
        <f>IF(OR($B1144="",MIN(W$38,$D$19)&lt;MAX($P$708*($B1144+IF($R$17="Distrato",$I$38-1,0)),IF(AND($L$711=0,$P$708=0),"",$L$711-1),IF($R$17="Distrato",$E1144,0))),0,YEARFRAC(MAX($P$708*($B1144+IF($R$17="Distrato",$I$38-1,0)),IF(AND($L$711=0,$P$708=0),"",$L$711-1),IF($R$17="Distrato",$E1144,0)),MIN(W$38,$D$19),$P$20))-SUM($P1144:V1144)</f>
        <v>#VALUE!</v>
      </c>
      <c r="X1144" s="446" t="e">
        <f>IF(OR($B1144="",MIN(X$38,$D$19)&lt;MAX($P$708*($B1144+IF($R$17="Distrato",$I$38-1,0)),IF(AND($L$711=0,$P$708=0),"",$L$711-1),IF($R$17="Distrato",$E1144,0))),0,YEARFRAC(MAX($P$708*($B1144+IF($R$17="Distrato",$I$38-1,0)),IF(AND($L$711=0,$P$708=0),"",$L$711-1),IF($R$17="Distrato",$E1144,0)),MIN(X$38,$D$19),$P$20))-SUM($P1144:W1144)</f>
        <v>#VALUE!</v>
      </c>
      <c r="Y1144" s="446" t="e">
        <f>IF(OR($B1144="",MIN(Y$38,$D$19)&lt;MAX($P$708*($B1144+IF($R$17="Distrato",$I$38-1,0)),IF(AND($L$711=0,$P$708=0),"",$L$711-1),IF($R$17="Distrato",$E1144,0))),0,YEARFRAC(MAX($P$708*($B1144+IF($R$17="Distrato",$I$38-1,0)),IF(AND($L$711=0,$P$708=0),"",$L$711-1),IF($R$17="Distrato",$E1144,0)),MIN(Y$38,$D$19),$P$20))-SUM($P1144:X1144)</f>
        <v>#VALUE!</v>
      </c>
      <c r="Z1144" s="446" t="e">
        <f>IF(OR($B1144="",MIN(Z$38,$D$19)&lt;MAX($P$708*($B1144+IF($R$17="Distrato",$I$38-1,0)),IF(AND($L$711=0,$P$708=0),"",$L$711-1),IF($R$17="Distrato",$E1144,0))),0,YEARFRAC(MAX($P$708*($B1144+IF($R$17="Distrato",$I$38-1,0)),IF(AND($L$711=0,$P$708=0),"",$L$711-1),IF($R$17="Distrato",$E1144,0)),MIN(Z$38,$D$19),$P$20))-SUM($P1144:Y1144)</f>
        <v>#VALUE!</v>
      </c>
      <c r="AA1144" s="446" t="e">
        <f>IF(OR($B1144="",MIN(AA$38,$D$19)&lt;MAX($P$708*($B1144+IF($R$17="Distrato",$I$38-1,0)),IF(AND($L$711=0,$P$708=0),"",$L$711-1),IF($R$17="Distrato",$E1144,0))),0,YEARFRAC(MAX($P$708*($B1144+IF($R$17="Distrato",$I$38-1,0)),IF(AND($L$711=0,$P$708=0),"",$L$711-1),IF($R$17="Distrato",$E1144,0)),MIN(AA$38,$D$19),$P$20))-SUM($P1144:Z1144)</f>
        <v>#VALUE!</v>
      </c>
      <c r="AB1144" s="446" t="e">
        <f>IF(OR($B1144="",MIN(AB$38,$D$19)&lt;MAX($P$708*($B1144+IF($R$17="Distrato",$I$38-1,0)),IF(AND($L$711=0,$P$708=0),"",$L$711-1),IF($R$17="Distrato",$E1144,0))),0,YEARFRAC(MAX($P$708*($B1144+IF($R$17="Distrato",$I$38-1,0)),IF(AND($L$711=0,$P$708=0),"",$L$711-1),IF($R$17="Distrato",$E1144,0)),MIN(AB$38,$D$19),$P$20))-SUM($P1144:AA1144)</f>
        <v>#VALUE!</v>
      </c>
      <c r="AC1144" s="446" t="e">
        <f>IF(OR($B1144="",MIN(AC$38,$D$19)&lt;MAX($P$708*($B1144+IF($R$17="Distrato",$I$38-1,0)),IF(AND($L$711=0,$P$708=0),"",$L$711-1),IF($R$17="Distrato",$E1144,0))),0,YEARFRAC(MAX($P$708*($B1144+IF($R$17="Distrato",$I$38-1,0)),IF(AND($L$711=0,$P$708=0),"",$L$711-1),IF($R$17="Distrato",$E1144,0)),MIN(AC$38,$D$19),$P$20))-SUM($P1144:AB1144)</f>
        <v>#VALUE!</v>
      </c>
      <c r="AD1144" s="446" t="e">
        <f>IF(OR($B1144="",MIN(AD$38,$D$19)&lt;MAX($P$708*($B1144+IF($R$17="Distrato",$I$38-1,0)),IF(AND($L$711=0,$P$708=0),"",$L$711-1),IF($R$17="Distrato",$E1144,0))),0,YEARFRAC(MAX($P$708*($B1144+IF($R$17="Distrato",$I$38-1,0)),IF(AND($L$711=0,$P$708=0),"",$L$711-1),IF($R$17="Distrato",$E1144,0)),MIN(AD$38,$D$19),$P$20))-SUM($P1144:AC1144)</f>
        <v>#VALUE!</v>
      </c>
      <c r="AE1144" s="446" t="e">
        <f>IF(OR($B1144="",MIN(AE$38,$D$19)&lt;MAX($P$708*($B1144+IF($R$17="Distrato",$I$38-1,0)),IF(AND($L$711=0,$P$708=0),"",$L$711-1),IF($R$17="Distrato",$E1144,0))),0,YEARFRAC(MAX($P$708*($B1144+IF($R$17="Distrato",$I$38-1,0)),IF(AND($L$711=0,$P$708=0),"",$L$711-1),IF($R$17="Distrato",$E1144,0)),MIN(AE$38,$D$19),$P$20))-SUM($P1144:AD1144)</f>
        <v>#VALUE!</v>
      </c>
      <c r="AF1144" s="446" t="e">
        <f>IF(OR($B1144="",MIN(AF$38,$D$19)&lt;MAX($P$708*($B1144+IF($R$17="Distrato",$I$38-1,0)),IF(AND($L$711=0,$P$708=0),"",$L$711-1),IF($R$17="Distrato",$E1144,0))),0,YEARFRAC(MAX($P$708*($B1144+IF($R$17="Distrato",$I$38-1,0)),IF(AND($L$711=0,$P$708=0),"",$L$711-1),IF($R$17="Distrato",$E1144,0)),MIN(AF$38,$D$19),$P$20))-SUM($P1144:AE1144)</f>
        <v>#VALUE!</v>
      </c>
      <c r="AG1144" s="446" t="e">
        <f>IF(OR($B1144="",MIN(AG$38,$D$19)&lt;MAX($P$708*($B1144+IF($R$17="Distrato",$I$38-1,0)),IF(AND($L$711=0,$P$708=0),"",$L$711-1),IF($R$17="Distrato",$E1144,0))),0,YEARFRAC(MAX($P$708*($B1144+IF($R$17="Distrato",$I$38-1,0)),IF(AND($L$711=0,$P$708=0),"",$L$711-1),IF($R$17="Distrato",$E1144,0)),MIN(AG$38,$D$19),$P$20))-SUM($P1144:AF1144)</f>
        <v>#VALUE!</v>
      </c>
      <c r="AH1144" s="446" t="e">
        <f>IF(OR($B1144="",MIN(AH$38,$D$19)&lt;MAX($P$708*($B1144+IF($R$17="Distrato",$I$38-1,0)),IF(AND($L$711=0,$P$708=0),"",$L$711-1),IF($R$17="Distrato",$E1144,0))),0,YEARFRAC(MAX($P$708*($B1144+IF($R$17="Distrato",$I$38-1,0)),IF(AND($L$711=0,$P$708=0),"",$L$711-1),IF($R$17="Distrato",$E1144,0)),MIN(AH$38,$D$19),$P$20))-SUM($P1144:AG1144)</f>
        <v>#VALUE!</v>
      </c>
      <c r="AI1144" s="446" t="e">
        <f>IF(OR($B1144="",MIN(AI$38,$D$19)&lt;MAX($P$708*($B1144+IF($R$17="Distrato",$I$38-1,0)),IF(AND($L$711=0,$P$708=0),"",$L$711-1),IF($R$17="Distrato",$E1144,0))),0,YEARFRAC(MAX($P$708*($B1144+IF($R$17="Distrato",$I$38-1,0)),IF(AND($L$711=0,$P$708=0),"",$L$711-1),IF($R$17="Distrato",$E1144,0)),MIN(AI$38,$D$19),$P$20))-SUM($P1144:AH1144)</f>
        <v>#VALUE!</v>
      </c>
      <c r="AJ1144" s="446" t="e">
        <f>IF(OR($B1144="",MIN(AJ$38,$D$19)&lt;MAX($P$708*($B1144+IF($R$17="Distrato",$I$38-1,0)),IF(AND($L$711=0,$P$708=0),"",$L$711-1),IF($R$17="Distrato",$E1144,0))),0,YEARFRAC(MAX($P$708*($B1144+IF($R$17="Distrato",$I$38-1,0)),IF(AND($L$711=0,$P$708=0),"",$L$711-1),IF($R$17="Distrato",$E1144,0)),MIN(AJ$38,$D$19),$P$20))-SUM($P1144:AI1144)</f>
        <v>#VALUE!</v>
      </c>
      <c r="AK1144" s="446" t="e">
        <f>IF(OR($B1144="",MIN(AK$38,$D$19)&lt;MAX($P$708*($B1144+IF($R$17="Distrato",$I$38-1,0)),IF(AND($L$711=0,$P$708=0),"",$L$711-1),IF($R$17="Distrato",$E1144,0))),0,YEARFRAC(MAX($P$708*($B1144+IF($R$17="Distrato",$I$38-1,0)),IF(AND($L$711=0,$P$708=0),"",$L$711-1),IF($R$17="Distrato",$E1144,0)),MIN(AK$38,$D$19),$P$20))-SUM($P1144:AJ1144)</f>
        <v>#VALUE!</v>
      </c>
      <c r="AL1144" s="446" t="e">
        <f>IF(OR($B1144="",MIN(AL$38,$D$19)&lt;MAX($P$708*($B1144+IF($R$17="Distrato",$I$38-1,0)),IF(AND($L$711=0,$P$708=0),"",$L$711-1),IF($R$17="Distrato",$E1144,0))),0,YEARFRAC(MAX($P$708*($B1144+IF($R$17="Distrato",$I$38-1,0)),IF(AND($L$711=0,$P$708=0),"",$L$711-1),IF($R$17="Distrato",$E1144,0)),MIN(AL$38,$D$19),$P$20))-SUM($P1144:AK1144)</f>
        <v>#VALUE!</v>
      </c>
      <c r="AM1144" s="446" t="e">
        <f>IF(OR($B1144="",MIN(AM$38,$D$19)&lt;MAX($P$708*($B1144+IF($R$17="Distrato",$I$38-1,0)),IF(AND($L$711=0,$P$708=0),"",$L$711-1),IF($R$17="Distrato",$E1144,0))),0,YEARFRAC(MAX($P$708*($B1144+IF($R$17="Distrato",$I$38-1,0)),IF(AND($L$711=0,$P$708=0),"",$L$711-1),IF($R$17="Distrato",$E1144,0)),MIN(AM$38,$D$19),$P$20))-SUM($P1144:AL1144)</f>
        <v>#VALUE!</v>
      </c>
      <c r="AN1144" s="446" t="e">
        <f>IF(OR($B1144="",MIN(AN$38,$D$19)&lt;MAX($P$708*($B1144+IF($R$17="Distrato",$I$38-1,0)),IF(AND($L$711=0,$P$708=0),"",$L$711-1),IF($R$17="Distrato",$E1144,0))),0,YEARFRAC(MAX($P$708*($B1144+IF($R$17="Distrato",$I$38-1,0)),IF(AND($L$711=0,$P$708=0),"",$L$711-1),IF($R$17="Distrato",$E1144,0)),MIN(AN$38,$D$19),$P$20))-SUM($P1144:AM1144)</f>
        <v>#VALUE!</v>
      </c>
      <c r="AO1144" s="446" t="e">
        <f>IF(OR($B1144="",MIN(AO$38,$D$19)&lt;MAX($P$708*($B1144+IF($R$17="Distrato",$I$38-1,0)),IF(AND($L$711=0,$P$708=0),"",$L$711-1),IF($R$17="Distrato",$E1144,0))),0,YEARFRAC(MAX($P$708*($B1144+IF($R$17="Distrato",$I$38-1,0)),IF(AND($L$711=0,$P$708=0),"",$L$711-1),IF($R$17="Distrato",$E1144,0)),MIN(AO$38,$D$19),$P$20))-SUM($P1144:AN1144)</f>
        <v>#VALUE!</v>
      </c>
      <c r="AP1144" s="446" t="e">
        <f>IF(OR($B1144="",MIN(AP$38,$D$19)&lt;MAX($P$708*($B1144+IF($R$17="Distrato",$I$38-1,0)),IF(AND($L$711=0,$P$708=0),"",$L$711-1),IF($R$17="Distrato",$E1144,0))),0,YEARFRAC(MAX($P$708*($B1144+IF($R$17="Distrato",$I$38-1,0)),IF(AND($L$711=0,$P$708=0),"",$L$711-1),IF($R$17="Distrato",$E1144,0)),MIN(AP$38,$D$19),$P$20))-SUM($P1144:AO1144)</f>
        <v>#VALUE!</v>
      </c>
      <c r="AQ1144" s="446" t="e">
        <f>IF(OR($B1144="",MIN(AQ$38,$D$19)&lt;MAX($P$708*($B1144+IF($R$17="Distrato",$I$38-1,0)),IF(AND($L$711=0,$P$708=0),"",$L$711-1),IF($R$17="Distrato",$E1144,0))),0,YEARFRAC(MAX($P$708*($B1144+IF($R$17="Distrato",$I$38-1,0)),IF(AND($L$711=0,$P$708=0),"",$L$711-1),IF($R$17="Distrato",$E1144,0)),MIN(AQ$38,$D$19),$P$20))-SUM($P1144:AP1144)</f>
        <v>#VALUE!</v>
      </c>
      <c r="AR1144" s="446" t="e">
        <f>IF(OR($B1144="",MIN(AR$38,$D$19)&lt;MAX($P$708*($B1144+IF($R$17="Distrato",$I$38-1,0)),IF(AND($L$711=0,$P$708=0),"",$L$711-1),IF($R$17="Distrato",$E1144,0))),0,YEARFRAC(MAX($P$708*($B1144+IF($R$17="Distrato",$I$38-1,0)),IF(AND($L$711=0,$P$708=0),"",$L$711-1),IF($R$17="Distrato",$E1144,0)),MIN(AR$38,$D$19),$P$20))-SUM($P1144:AQ1144)</f>
        <v>#VALUE!</v>
      </c>
      <c r="AS1144" s="446" t="e">
        <f>IF(OR($B1144="",MIN(AS$38,$D$19)&lt;MAX($P$708*($B1144+IF($R$17="Distrato",$I$38-1,0)),IF(AND($L$711=0,$P$708=0),"",$L$711-1),IF($R$17="Distrato",$E1144,0))),0,YEARFRAC(MAX($P$708*($B1144+IF($R$17="Distrato",$I$38-1,0)),IF(AND($L$711=0,$P$708=0),"",$L$711-1),IF($R$17="Distrato",$E1144,0)),MIN(AS$38,$D$19),$P$20))-SUM($P1144:AR1144)</f>
        <v>#VALUE!</v>
      </c>
      <c r="AT1144" s="446" t="e">
        <f>IF(OR($B1144="",MIN(AT$38,$D$19)&lt;MAX($P$708*($B1144+IF($R$17="Distrato",$I$38-1,0)),IF(AND($L$711=0,$P$708=0),"",$L$711-1),IF($R$17="Distrato",$E1144,0))),0,YEARFRAC(MAX($P$708*($B1144+IF($R$17="Distrato",$I$38-1,0)),IF(AND($L$711=0,$P$708=0),"",$L$711-1),IF($R$17="Distrato",$E1144,0)),MIN(AT$38,$D$19),$P$20))-SUM($P1144:AS1144)</f>
        <v>#VALUE!</v>
      </c>
      <c r="AU1144" s="446" t="e">
        <f>IF(OR($B1144="",MIN(AU$38,$D$19)&lt;MAX($P$708*($B1144+IF($R$17="Distrato",$I$38-1,0)),IF(AND($L$711=0,$P$708=0),"",$L$711-1),IF($R$17="Distrato",$E1144,0))),0,YEARFRAC(MAX($P$708*($B1144+IF($R$17="Distrato",$I$38-1,0)),IF(AND($L$711=0,$P$708=0),"",$L$711-1),IF($R$17="Distrato",$E1144,0)),MIN(AU$38,$D$19),$P$20))-SUM($P1144:AT1144)</f>
        <v>#VALUE!</v>
      </c>
      <c r="AV1144" s="446" t="e">
        <f>IF(OR($B1144="",MIN(AV$38,$D$19)&lt;MAX($P$708*($B1144+IF($R$17="Distrato",$I$38-1,0)),IF(AND($L$711=0,$P$708=0),"",$L$711-1),IF($R$17="Distrato",$E1144,0))),0,YEARFRAC(MAX($P$708*($B1144+IF($R$17="Distrato",$I$38-1,0)),IF(AND($L$711=0,$P$708=0),"",$L$711-1),IF($R$17="Distrato",$E1144,0)),MIN(AV$38,$D$19),$P$20))-SUM($P1144:AU1144)</f>
        <v>#VALUE!</v>
      </c>
      <c r="AW1144" s="446" t="e">
        <f>IF(OR($B1144="",MIN(AW$38,$D$19)&lt;MAX($P$708*($B1144+IF($R$17="Distrato",$I$38-1,0)),IF(AND($L$711=0,$P$708=0),"",$L$711-1),IF($R$17="Distrato",$E1144,0))),0,YEARFRAC(MAX($P$708*($B1144+IF($R$17="Distrato",$I$38-1,0)),IF(AND($L$711=0,$P$708=0),"",$L$711-1),IF($R$17="Distrato",$E1144,0)),MIN(AW$38,$D$19),$P$20))-SUM($P1144:AV1144)</f>
        <v>#VALUE!</v>
      </c>
      <c r="AX1144" s="446" t="e">
        <f>IF(OR($B1144="",MIN(AX$38,$D$19)&lt;MAX($P$708*($B1144+IF($R$17="Distrato",$I$38-1,0)),IF(AND($L$711=0,$P$708=0),"",$L$711-1),IF($R$17="Distrato",$E1144,0))),0,YEARFRAC(MAX($P$708*($B1144+IF($R$17="Distrato",$I$38-1,0)),IF(AND($L$711=0,$P$708=0),"",$L$711-1),IF($R$17="Distrato",$E1144,0)),MIN(AX$38,$D$19),$P$20))-SUM($P1144:AW1144)</f>
        <v>#VALUE!</v>
      </c>
      <c r="AY1144" s="446" t="e">
        <f>IF(OR($B1144="",MIN(AY$38,$D$19)&lt;MAX($P$708*($B1144+IF($R$17="Distrato",$I$38-1,0)),IF(AND($L$711=0,$P$708=0),"",$L$711-1),IF($R$17="Distrato",$E1144,0))),0,YEARFRAC(MAX($P$708*($B1144+IF($R$17="Distrato",$I$38-1,0)),IF(AND($L$711=0,$P$708=0),"",$L$711-1),IF($R$17="Distrato",$E1144,0)),MIN(AY$38,$D$19),$P$20))-SUM($P1144:AX1144)</f>
        <v>#VALUE!</v>
      </c>
      <c r="AZ1144" s="446" t="e">
        <f>IF(OR($B1144="",MIN(AZ$38,$D$19)&lt;MAX($P$708*($B1144+IF($R$17="Distrato",$I$38-1,0)),IF(AND($L$711=0,$P$708=0),"",$L$711-1),IF($R$17="Distrato",$E1144,0))),0,YEARFRAC(MAX($P$708*($B1144+IF($R$17="Distrato",$I$38-1,0)),IF(AND($L$711=0,$P$708=0),"",$L$711-1),IF($R$17="Distrato",$E1144,0)),MIN(AZ$38,$D$19),$P$20))-SUM($P1144:AY1144)</f>
        <v>#VALUE!</v>
      </c>
      <c r="BA1144" s="446" t="e">
        <f>IF(OR($B1144="",MIN(BA$38,$D$19)&lt;MAX($P$708*($B1144+IF($R$17="Distrato",$I$38-1,0)),IF(AND($L$711=0,$P$708=0),"",$L$711-1),IF($R$17="Distrato",$E1144,0))),0,YEARFRAC(MAX($P$708*($B1144+IF($R$17="Distrato",$I$38-1,0)),IF(AND($L$711=0,$P$708=0),"",$L$711-1),IF($R$17="Distrato",$E1144,0)),MIN(BA$38,$D$19),$P$20))-SUM($P1144:AZ1144)</f>
        <v>#VALUE!</v>
      </c>
      <c r="BB1144" s="447"/>
    </row>
    <row r="1145" spans="1:54" s="446" customFormat="1" ht="11.25" hidden="1" customHeight="1" x14ac:dyDescent="0.2">
      <c r="A1145" s="235"/>
      <c r="B1145" s="236"/>
      <c r="C1145" s="29" t="str">
        <f>IF(B1145="","",IF($L$709=$BL$25,VLOOKUP(DATE(YEAR($D$19),MONTH($D$19)-1,1),ÍNDICES!$A:$DE,HLOOKUP($BL$25,ÍNDICES!$B$3:$T$4,2)+11)-VLOOKUP(B1145,ÍNDICES!$A:$DE,HLOOKUP($BL$25,ÍNDICES!$B$3:$T$4,2)+11)+1%,IF(C$712=$W$26,$J$35,IF(ISERROR(IF(B1145&gt;$D$19,1,VLOOKUP(DATE(YEAR(B1145),MONTH(B1145)+IF($C$709=$S$23,1,0),1),ÍNDICES!$A:$DE,$Z$709+1))),"",IF(B1145&gt;$D$19,1,VLOOKUP(DATE(YEAR(B1145),MONTH(B1145)+IF($C$709=$S$23,1,0),1),ÍNDICES!$A:$DE,$Z$709+1))))))</f>
        <v/>
      </c>
      <c r="D1145" s="155"/>
      <c r="E1145" s="88"/>
      <c r="F1145" s="88"/>
      <c r="G1145" s="88"/>
      <c r="H1145" s="118"/>
      <c r="I1145" s="182">
        <f t="shared" si="157"/>
        <v>0</v>
      </c>
      <c r="J1145" s="20">
        <f t="shared" ca="1" si="158"/>
        <v>0</v>
      </c>
      <c r="K1145" s="5">
        <f t="shared" ca="1" si="159"/>
        <v>0</v>
      </c>
      <c r="L1145" s="61">
        <f t="shared" ca="1" si="160"/>
        <v>0</v>
      </c>
      <c r="M1145" s="64">
        <f t="shared" si="161"/>
        <v>0</v>
      </c>
      <c r="N1145" s="151"/>
      <c r="O1145" s="5">
        <f t="shared" ca="1" si="162"/>
        <v>0</v>
      </c>
      <c r="P1145" s="446" t="e">
        <f t="shared" si="163"/>
        <v>#VALUE!</v>
      </c>
      <c r="Q1145" s="446" t="e">
        <f>IF(OR($B1145="",MIN(Q$38,$D$19)&lt;MAX($P$708*($B1145+IF($R$17="Distrato",$I$38-1,0)),IF(AND($L$711=0,$P$708=0),"",$L$711-1),IF($R$17="Distrato",$E1145,0))),0,YEARFRAC(MAX($P$708*($B1145+IF($R$17="Distrato",$I$38-1,0)),IF(AND($L$711=0,$P$708=0),"",$L$711-1),IF($R$17="Distrato",$E1145,0)),MIN(Q$38,$D$19),$P$20))-SUM($P1145:P1145)</f>
        <v>#VALUE!</v>
      </c>
      <c r="R1145" s="446" t="e">
        <f>IF(OR($B1145="",MIN(R$38,$D$19)&lt;MAX($P$708*($B1145+IF($R$17="Distrato",$I$38-1,0)),IF(AND($L$711=0,$P$708=0),"",$L$711-1),IF($R$17="Distrato",$E1145,0))),0,YEARFRAC(MAX($P$708*($B1145+IF($R$17="Distrato",$I$38-1,0)),IF(AND($L$711=0,$P$708=0),"",$L$711-1),IF($R$17="Distrato",$E1145,0)),MIN(R$38,$D$19),$P$20))-SUM($P1145:Q1145)</f>
        <v>#VALUE!</v>
      </c>
      <c r="S1145" s="446" t="e">
        <f>IF(OR($B1145="",MIN(S$38,$D$19)&lt;MAX($P$708*($B1145+IF($R$17="Distrato",$I$38-1,0)),IF(AND($L$711=0,$P$708=0),"",$L$711-1),IF($R$17="Distrato",$E1145,0))),0,YEARFRAC(MAX($P$708*($B1145+IF($R$17="Distrato",$I$38-1,0)),IF(AND($L$711=0,$P$708=0),"",$L$711-1),IF($R$17="Distrato",$E1145,0)),MIN(S$38,$D$19),$P$20))-SUM($P1145:R1145)</f>
        <v>#VALUE!</v>
      </c>
      <c r="T1145" s="446" t="e">
        <f>IF(OR($B1145="",MIN(T$38,$D$19)&lt;MAX($P$708*($B1145+IF($R$17="Distrato",$I$38-1,0)),IF(AND($L$711=0,$P$708=0),"",$L$711-1),IF($R$17="Distrato",$E1145,0))),0,YEARFRAC(MAX($P$708*($B1145+IF($R$17="Distrato",$I$38-1,0)),IF(AND($L$711=0,$P$708=0),"",$L$711-1),IF($R$17="Distrato",$E1145,0)),MIN(T$38,$D$19),$P$20))-SUM($P1145:S1145)</f>
        <v>#VALUE!</v>
      </c>
      <c r="U1145" s="446" t="e">
        <f>IF(OR($B1145="",MIN(U$38,$D$19)&lt;MAX($P$708*($B1145+IF($R$17="Distrato",$I$38-1,0)),IF(AND($L$711=0,$P$708=0),"",$L$711-1),IF($R$17="Distrato",$E1145,0))),0,YEARFRAC(MAX($P$708*($B1145+IF($R$17="Distrato",$I$38-1,0)),IF(AND($L$711=0,$P$708=0),"",$L$711-1),IF($R$17="Distrato",$E1145,0)),MIN(U$38,$D$19),$P$20))-SUM($P1145:T1145)</f>
        <v>#VALUE!</v>
      </c>
      <c r="V1145" s="446" t="e">
        <f>IF(OR($B1145="",MIN(V$38,$D$19)&lt;MAX($P$708*($B1145+IF($R$17="Distrato",$I$38-1,0)),IF(AND($L$711=0,$P$708=0),"",$L$711-1),IF($R$17="Distrato",$E1145,0))),0,YEARFRAC(MAX($P$708*($B1145+IF($R$17="Distrato",$I$38-1,0)),IF(AND($L$711=0,$P$708=0),"",$L$711-1),IF($R$17="Distrato",$E1145,0)),MIN(V$38,$D$19),$P$20))-SUM($P1145:U1145)</f>
        <v>#VALUE!</v>
      </c>
      <c r="W1145" s="446" t="e">
        <f>IF(OR($B1145="",MIN(W$38,$D$19)&lt;MAX($P$708*($B1145+IF($R$17="Distrato",$I$38-1,0)),IF(AND($L$711=0,$P$708=0),"",$L$711-1),IF($R$17="Distrato",$E1145,0))),0,YEARFRAC(MAX($P$708*($B1145+IF($R$17="Distrato",$I$38-1,0)),IF(AND($L$711=0,$P$708=0),"",$L$711-1),IF($R$17="Distrato",$E1145,0)),MIN(W$38,$D$19),$P$20))-SUM($P1145:V1145)</f>
        <v>#VALUE!</v>
      </c>
      <c r="X1145" s="446" t="e">
        <f>IF(OR($B1145="",MIN(X$38,$D$19)&lt;MAX($P$708*($B1145+IF($R$17="Distrato",$I$38-1,0)),IF(AND($L$711=0,$P$708=0),"",$L$711-1),IF($R$17="Distrato",$E1145,0))),0,YEARFRAC(MAX($P$708*($B1145+IF($R$17="Distrato",$I$38-1,0)),IF(AND($L$711=0,$P$708=0),"",$L$711-1),IF($R$17="Distrato",$E1145,0)),MIN(X$38,$D$19),$P$20))-SUM($P1145:W1145)</f>
        <v>#VALUE!</v>
      </c>
      <c r="Y1145" s="446" t="e">
        <f>IF(OR($B1145="",MIN(Y$38,$D$19)&lt;MAX($P$708*($B1145+IF($R$17="Distrato",$I$38-1,0)),IF(AND($L$711=0,$P$708=0),"",$L$711-1),IF($R$17="Distrato",$E1145,0))),0,YEARFRAC(MAX($P$708*($B1145+IF($R$17="Distrato",$I$38-1,0)),IF(AND($L$711=0,$P$708=0),"",$L$711-1),IF($R$17="Distrato",$E1145,0)),MIN(Y$38,$D$19),$P$20))-SUM($P1145:X1145)</f>
        <v>#VALUE!</v>
      </c>
      <c r="Z1145" s="446" t="e">
        <f>IF(OR($B1145="",MIN(Z$38,$D$19)&lt;MAX($P$708*($B1145+IF($R$17="Distrato",$I$38-1,0)),IF(AND($L$711=0,$P$708=0),"",$L$711-1),IF($R$17="Distrato",$E1145,0))),0,YEARFRAC(MAX($P$708*($B1145+IF($R$17="Distrato",$I$38-1,0)),IF(AND($L$711=0,$P$708=0),"",$L$711-1),IF($R$17="Distrato",$E1145,0)),MIN(Z$38,$D$19),$P$20))-SUM($P1145:Y1145)</f>
        <v>#VALUE!</v>
      </c>
      <c r="AA1145" s="446" t="e">
        <f>IF(OR($B1145="",MIN(AA$38,$D$19)&lt;MAX($P$708*($B1145+IF($R$17="Distrato",$I$38-1,0)),IF(AND($L$711=0,$P$708=0),"",$L$711-1),IF($R$17="Distrato",$E1145,0))),0,YEARFRAC(MAX($P$708*($B1145+IF($R$17="Distrato",$I$38-1,0)),IF(AND($L$711=0,$P$708=0),"",$L$711-1),IF($R$17="Distrato",$E1145,0)),MIN(AA$38,$D$19),$P$20))-SUM($P1145:Z1145)</f>
        <v>#VALUE!</v>
      </c>
      <c r="AB1145" s="446" t="e">
        <f>IF(OR($B1145="",MIN(AB$38,$D$19)&lt;MAX($P$708*($B1145+IF($R$17="Distrato",$I$38-1,0)),IF(AND($L$711=0,$P$708=0),"",$L$711-1),IF($R$17="Distrato",$E1145,0))),0,YEARFRAC(MAX($P$708*($B1145+IF($R$17="Distrato",$I$38-1,0)),IF(AND($L$711=0,$P$708=0),"",$L$711-1),IF($R$17="Distrato",$E1145,0)),MIN(AB$38,$D$19),$P$20))-SUM($P1145:AA1145)</f>
        <v>#VALUE!</v>
      </c>
      <c r="AC1145" s="446" t="e">
        <f>IF(OR($B1145="",MIN(AC$38,$D$19)&lt;MAX($P$708*($B1145+IF($R$17="Distrato",$I$38-1,0)),IF(AND($L$711=0,$P$708=0),"",$L$711-1),IF($R$17="Distrato",$E1145,0))),0,YEARFRAC(MAX($P$708*($B1145+IF($R$17="Distrato",$I$38-1,0)),IF(AND($L$711=0,$P$708=0),"",$L$711-1),IF($R$17="Distrato",$E1145,0)),MIN(AC$38,$D$19),$P$20))-SUM($P1145:AB1145)</f>
        <v>#VALUE!</v>
      </c>
      <c r="AD1145" s="446" t="e">
        <f>IF(OR($B1145="",MIN(AD$38,$D$19)&lt;MAX($P$708*($B1145+IF($R$17="Distrato",$I$38-1,0)),IF(AND($L$711=0,$P$708=0),"",$L$711-1),IF($R$17="Distrato",$E1145,0))),0,YEARFRAC(MAX($P$708*($B1145+IF($R$17="Distrato",$I$38-1,0)),IF(AND($L$711=0,$P$708=0),"",$L$711-1),IF($R$17="Distrato",$E1145,0)),MIN(AD$38,$D$19),$P$20))-SUM($P1145:AC1145)</f>
        <v>#VALUE!</v>
      </c>
      <c r="AE1145" s="446" t="e">
        <f>IF(OR($B1145="",MIN(AE$38,$D$19)&lt;MAX($P$708*($B1145+IF($R$17="Distrato",$I$38-1,0)),IF(AND($L$711=0,$P$708=0),"",$L$711-1),IF($R$17="Distrato",$E1145,0))),0,YEARFRAC(MAX($P$708*($B1145+IF($R$17="Distrato",$I$38-1,0)),IF(AND($L$711=0,$P$708=0),"",$L$711-1),IF($R$17="Distrato",$E1145,0)),MIN(AE$38,$D$19),$P$20))-SUM($P1145:AD1145)</f>
        <v>#VALUE!</v>
      </c>
      <c r="AF1145" s="446" t="e">
        <f>IF(OR($B1145="",MIN(AF$38,$D$19)&lt;MAX($P$708*($B1145+IF($R$17="Distrato",$I$38-1,0)),IF(AND($L$711=0,$P$708=0),"",$L$711-1),IF($R$17="Distrato",$E1145,0))),0,YEARFRAC(MAX($P$708*($B1145+IF($R$17="Distrato",$I$38-1,0)),IF(AND($L$711=0,$P$708=0),"",$L$711-1),IF($R$17="Distrato",$E1145,0)),MIN(AF$38,$D$19),$P$20))-SUM($P1145:AE1145)</f>
        <v>#VALUE!</v>
      </c>
      <c r="AG1145" s="446" t="e">
        <f>IF(OR($B1145="",MIN(AG$38,$D$19)&lt;MAX($P$708*($B1145+IF($R$17="Distrato",$I$38-1,0)),IF(AND($L$711=0,$P$708=0),"",$L$711-1),IF($R$17="Distrato",$E1145,0))),0,YEARFRAC(MAX($P$708*($B1145+IF($R$17="Distrato",$I$38-1,0)),IF(AND($L$711=0,$P$708=0),"",$L$711-1),IF($R$17="Distrato",$E1145,0)),MIN(AG$38,$D$19),$P$20))-SUM($P1145:AF1145)</f>
        <v>#VALUE!</v>
      </c>
      <c r="AH1145" s="446" t="e">
        <f>IF(OR($B1145="",MIN(AH$38,$D$19)&lt;MAX($P$708*($B1145+IF($R$17="Distrato",$I$38-1,0)),IF(AND($L$711=0,$P$708=0),"",$L$711-1),IF($R$17="Distrato",$E1145,0))),0,YEARFRAC(MAX($P$708*($B1145+IF($R$17="Distrato",$I$38-1,0)),IF(AND($L$711=0,$P$708=0),"",$L$711-1),IF($R$17="Distrato",$E1145,0)),MIN(AH$38,$D$19),$P$20))-SUM($P1145:AG1145)</f>
        <v>#VALUE!</v>
      </c>
      <c r="AI1145" s="446" t="e">
        <f>IF(OR($B1145="",MIN(AI$38,$D$19)&lt;MAX($P$708*($B1145+IF($R$17="Distrato",$I$38-1,0)),IF(AND($L$711=0,$P$708=0),"",$L$711-1),IF($R$17="Distrato",$E1145,0))),0,YEARFRAC(MAX($P$708*($B1145+IF($R$17="Distrato",$I$38-1,0)),IF(AND($L$711=0,$P$708=0),"",$L$711-1),IF($R$17="Distrato",$E1145,0)),MIN(AI$38,$D$19),$P$20))-SUM($P1145:AH1145)</f>
        <v>#VALUE!</v>
      </c>
      <c r="AJ1145" s="446" t="e">
        <f>IF(OR($B1145="",MIN(AJ$38,$D$19)&lt;MAX($P$708*($B1145+IF($R$17="Distrato",$I$38-1,0)),IF(AND($L$711=0,$P$708=0),"",$L$711-1),IF($R$17="Distrato",$E1145,0))),0,YEARFRAC(MAX($P$708*($B1145+IF($R$17="Distrato",$I$38-1,0)),IF(AND($L$711=0,$P$708=0),"",$L$711-1),IF($R$17="Distrato",$E1145,0)),MIN(AJ$38,$D$19),$P$20))-SUM($P1145:AI1145)</f>
        <v>#VALUE!</v>
      </c>
      <c r="AK1145" s="446" t="e">
        <f>IF(OR($B1145="",MIN(AK$38,$D$19)&lt;MAX($P$708*($B1145+IF($R$17="Distrato",$I$38-1,0)),IF(AND($L$711=0,$P$708=0),"",$L$711-1),IF($R$17="Distrato",$E1145,0))),0,YEARFRAC(MAX($P$708*($B1145+IF($R$17="Distrato",$I$38-1,0)),IF(AND($L$711=0,$P$708=0),"",$L$711-1),IF($R$17="Distrato",$E1145,0)),MIN(AK$38,$D$19),$P$20))-SUM($P1145:AJ1145)</f>
        <v>#VALUE!</v>
      </c>
      <c r="AL1145" s="446" t="e">
        <f>IF(OR($B1145="",MIN(AL$38,$D$19)&lt;MAX($P$708*($B1145+IF($R$17="Distrato",$I$38-1,0)),IF(AND($L$711=0,$P$708=0),"",$L$711-1),IF($R$17="Distrato",$E1145,0))),0,YEARFRAC(MAX($P$708*($B1145+IF($R$17="Distrato",$I$38-1,0)),IF(AND($L$711=0,$P$708=0),"",$L$711-1),IF($R$17="Distrato",$E1145,0)),MIN(AL$38,$D$19),$P$20))-SUM($P1145:AK1145)</f>
        <v>#VALUE!</v>
      </c>
      <c r="AM1145" s="446" t="e">
        <f>IF(OR($B1145="",MIN(AM$38,$D$19)&lt;MAX($P$708*($B1145+IF($R$17="Distrato",$I$38-1,0)),IF(AND($L$711=0,$P$708=0),"",$L$711-1),IF($R$17="Distrato",$E1145,0))),0,YEARFRAC(MAX($P$708*($B1145+IF($R$17="Distrato",$I$38-1,0)),IF(AND($L$711=0,$P$708=0),"",$L$711-1),IF($R$17="Distrato",$E1145,0)),MIN(AM$38,$D$19),$P$20))-SUM($P1145:AL1145)</f>
        <v>#VALUE!</v>
      </c>
      <c r="AN1145" s="446" t="e">
        <f>IF(OR($B1145="",MIN(AN$38,$D$19)&lt;MAX($P$708*($B1145+IF($R$17="Distrato",$I$38-1,0)),IF(AND($L$711=0,$P$708=0),"",$L$711-1),IF($R$17="Distrato",$E1145,0))),0,YEARFRAC(MAX($P$708*($B1145+IF($R$17="Distrato",$I$38-1,0)),IF(AND($L$711=0,$P$708=0),"",$L$711-1),IF($R$17="Distrato",$E1145,0)),MIN(AN$38,$D$19),$P$20))-SUM($P1145:AM1145)</f>
        <v>#VALUE!</v>
      </c>
      <c r="AO1145" s="446" t="e">
        <f>IF(OR($B1145="",MIN(AO$38,$D$19)&lt;MAX($P$708*($B1145+IF($R$17="Distrato",$I$38-1,0)),IF(AND($L$711=0,$P$708=0),"",$L$711-1),IF($R$17="Distrato",$E1145,0))),0,YEARFRAC(MAX($P$708*($B1145+IF($R$17="Distrato",$I$38-1,0)),IF(AND($L$711=0,$P$708=0),"",$L$711-1),IF($R$17="Distrato",$E1145,0)),MIN(AO$38,$D$19),$P$20))-SUM($P1145:AN1145)</f>
        <v>#VALUE!</v>
      </c>
      <c r="AP1145" s="446" t="e">
        <f>IF(OR($B1145="",MIN(AP$38,$D$19)&lt;MAX($P$708*($B1145+IF($R$17="Distrato",$I$38-1,0)),IF(AND($L$711=0,$P$708=0),"",$L$711-1),IF($R$17="Distrato",$E1145,0))),0,YEARFRAC(MAX($P$708*($B1145+IF($R$17="Distrato",$I$38-1,0)),IF(AND($L$711=0,$P$708=0),"",$L$711-1),IF($R$17="Distrato",$E1145,0)),MIN(AP$38,$D$19),$P$20))-SUM($P1145:AO1145)</f>
        <v>#VALUE!</v>
      </c>
      <c r="AQ1145" s="446" t="e">
        <f>IF(OR($B1145="",MIN(AQ$38,$D$19)&lt;MAX($P$708*($B1145+IF($R$17="Distrato",$I$38-1,0)),IF(AND($L$711=0,$P$708=0),"",$L$711-1),IF($R$17="Distrato",$E1145,0))),0,YEARFRAC(MAX($P$708*($B1145+IF($R$17="Distrato",$I$38-1,0)),IF(AND($L$711=0,$P$708=0),"",$L$711-1),IF($R$17="Distrato",$E1145,0)),MIN(AQ$38,$D$19),$P$20))-SUM($P1145:AP1145)</f>
        <v>#VALUE!</v>
      </c>
      <c r="AR1145" s="446" t="e">
        <f>IF(OR($B1145="",MIN(AR$38,$D$19)&lt;MAX($P$708*($B1145+IF($R$17="Distrato",$I$38-1,0)),IF(AND($L$711=0,$P$708=0),"",$L$711-1),IF($R$17="Distrato",$E1145,0))),0,YEARFRAC(MAX($P$708*($B1145+IF($R$17="Distrato",$I$38-1,0)),IF(AND($L$711=0,$P$708=0),"",$L$711-1),IF($R$17="Distrato",$E1145,0)),MIN(AR$38,$D$19),$P$20))-SUM($P1145:AQ1145)</f>
        <v>#VALUE!</v>
      </c>
      <c r="AS1145" s="446" t="e">
        <f>IF(OR($B1145="",MIN(AS$38,$D$19)&lt;MAX($P$708*($B1145+IF($R$17="Distrato",$I$38-1,0)),IF(AND($L$711=0,$P$708=0),"",$L$711-1),IF($R$17="Distrato",$E1145,0))),0,YEARFRAC(MAX($P$708*($B1145+IF($R$17="Distrato",$I$38-1,0)),IF(AND($L$711=0,$P$708=0),"",$L$711-1),IF($R$17="Distrato",$E1145,0)),MIN(AS$38,$D$19),$P$20))-SUM($P1145:AR1145)</f>
        <v>#VALUE!</v>
      </c>
      <c r="AT1145" s="446" t="e">
        <f>IF(OR($B1145="",MIN(AT$38,$D$19)&lt;MAX($P$708*($B1145+IF($R$17="Distrato",$I$38-1,0)),IF(AND($L$711=0,$P$708=0),"",$L$711-1),IF($R$17="Distrato",$E1145,0))),0,YEARFRAC(MAX($P$708*($B1145+IF($R$17="Distrato",$I$38-1,0)),IF(AND($L$711=0,$P$708=0),"",$L$711-1),IF($R$17="Distrato",$E1145,0)),MIN(AT$38,$D$19),$P$20))-SUM($P1145:AS1145)</f>
        <v>#VALUE!</v>
      </c>
      <c r="AU1145" s="446" t="e">
        <f>IF(OR($B1145="",MIN(AU$38,$D$19)&lt;MAX($P$708*($B1145+IF($R$17="Distrato",$I$38-1,0)),IF(AND($L$711=0,$P$708=0),"",$L$711-1),IF($R$17="Distrato",$E1145,0))),0,YEARFRAC(MAX($P$708*($B1145+IF($R$17="Distrato",$I$38-1,0)),IF(AND($L$711=0,$P$708=0),"",$L$711-1),IF($R$17="Distrato",$E1145,0)),MIN(AU$38,$D$19),$P$20))-SUM($P1145:AT1145)</f>
        <v>#VALUE!</v>
      </c>
      <c r="AV1145" s="446" t="e">
        <f>IF(OR($B1145="",MIN(AV$38,$D$19)&lt;MAX($P$708*($B1145+IF($R$17="Distrato",$I$38-1,0)),IF(AND($L$711=0,$P$708=0),"",$L$711-1),IF($R$17="Distrato",$E1145,0))),0,YEARFRAC(MAX($P$708*($B1145+IF($R$17="Distrato",$I$38-1,0)),IF(AND($L$711=0,$P$708=0),"",$L$711-1),IF($R$17="Distrato",$E1145,0)),MIN(AV$38,$D$19),$P$20))-SUM($P1145:AU1145)</f>
        <v>#VALUE!</v>
      </c>
      <c r="AW1145" s="446" t="e">
        <f>IF(OR($B1145="",MIN(AW$38,$D$19)&lt;MAX($P$708*($B1145+IF($R$17="Distrato",$I$38-1,0)),IF(AND($L$711=0,$P$708=0),"",$L$711-1),IF($R$17="Distrato",$E1145,0))),0,YEARFRAC(MAX($P$708*($B1145+IF($R$17="Distrato",$I$38-1,0)),IF(AND($L$711=0,$P$708=0),"",$L$711-1),IF($R$17="Distrato",$E1145,0)),MIN(AW$38,$D$19),$P$20))-SUM($P1145:AV1145)</f>
        <v>#VALUE!</v>
      </c>
      <c r="AX1145" s="446" t="e">
        <f>IF(OR($B1145="",MIN(AX$38,$D$19)&lt;MAX($P$708*($B1145+IF($R$17="Distrato",$I$38-1,0)),IF(AND($L$711=0,$P$708=0),"",$L$711-1),IF($R$17="Distrato",$E1145,0))),0,YEARFRAC(MAX($P$708*($B1145+IF($R$17="Distrato",$I$38-1,0)),IF(AND($L$711=0,$P$708=0),"",$L$711-1),IF($R$17="Distrato",$E1145,0)),MIN(AX$38,$D$19),$P$20))-SUM($P1145:AW1145)</f>
        <v>#VALUE!</v>
      </c>
      <c r="AY1145" s="446" t="e">
        <f>IF(OR($B1145="",MIN(AY$38,$D$19)&lt;MAX($P$708*($B1145+IF($R$17="Distrato",$I$38-1,0)),IF(AND($L$711=0,$P$708=0),"",$L$711-1),IF($R$17="Distrato",$E1145,0))),0,YEARFRAC(MAX($P$708*($B1145+IF($R$17="Distrato",$I$38-1,0)),IF(AND($L$711=0,$P$708=0),"",$L$711-1),IF($R$17="Distrato",$E1145,0)),MIN(AY$38,$D$19),$P$20))-SUM($P1145:AX1145)</f>
        <v>#VALUE!</v>
      </c>
      <c r="AZ1145" s="446" t="e">
        <f>IF(OR($B1145="",MIN(AZ$38,$D$19)&lt;MAX($P$708*($B1145+IF($R$17="Distrato",$I$38-1,0)),IF(AND($L$711=0,$P$708=0),"",$L$711-1),IF($R$17="Distrato",$E1145,0))),0,YEARFRAC(MAX($P$708*($B1145+IF($R$17="Distrato",$I$38-1,0)),IF(AND($L$711=0,$P$708=0),"",$L$711-1),IF($R$17="Distrato",$E1145,0)),MIN(AZ$38,$D$19),$P$20))-SUM($P1145:AY1145)</f>
        <v>#VALUE!</v>
      </c>
      <c r="BA1145" s="446" t="e">
        <f>IF(OR($B1145="",MIN(BA$38,$D$19)&lt;MAX($P$708*($B1145+IF($R$17="Distrato",$I$38-1,0)),IF(AND($L$711=0,$P$708=0),"",$L$711-1),IF($R$17="Distrato",$E1145,0))),0,YEARFRAC(MAX($P$708*($B1145+IF($R$17="Distrato",$I$38-1,0)),IF(AND($L$711=0,$P$708=0),"",$L$711-1),IF($R$17="Distrato",$E1145,0)),MIN(BA$38,$D$19),$P$20))-SUM($P1145:AZ1145)</f>
        <v>#VALUE!</v>
      </c>
      <c r="BB1145" s="447"/>
    </row>
    <row r="1146" spans="1:54" s="446" customFormat="1" ht="11.25" hidden="1" customHeight="1" x14ac:dyDescent="0.2">
      <c r="A1146" s="235"/>
      <c r="B1146" s="236"/>
      <c r="C1146" s="29" t="str">
        <f>IF(B1146="","",IF($L$709=$BL$25,VLOOKUP(DATE(YEAR($D$19),MONTH($D$19)-1,1),ÍNDICES!$A:$DE,HLOOKUP($BL$25,ÍNDICES!$B$3:$T$4,2)+11)-VLOOKUP(B1146,ÍNDICES!$A:$DE,HLOOKUP($BL$25,ÍNDICES!$B$3:$T$4,2)+11)+1%,IF(C$712=$W$26,$J$35,IF(ISERROR(IF(B1146&gt;$D$19,1,VLOOKUP(DATE(YEAR(B1146),MONTH(B1146)+IF($C$709=$S$23,1,0),1),ÍNDICES!$A:$DE,$Z$709+1))),"",IF(B1146&gt;$D$19,1,VLOOKUP(DATE(YEAR(B1146),MONTH(B1146)+IF($C$709=$S$23,1,0),1),ÍNDICES!$A:$DE,$Z$709+1))))))</f>
        <v/>
      </c>
      <c r="D1146" s="155"/>
      <c r="E1146" s="88"/>
      <c r="F1146" s="88"/>
      <c r="G1146" s="88"/>
      <c r="H1146" s="118"/>
      <c r="I1146" s="182">
        <f t="shared" si="157"/>
        <v>0</v>
      </c>
      <c r="J1146" s="20">
        <f t="shared" ca="1" si="158"/>
        <v>0</v>
      </c>
      <c r="K1146" s="5">
        <f t="shared" ca="1" si="159"/>
        <v>0</v>
      </c>
      <c r="L1146" s="61">
        <f t="shared" ca="1" si="160"/>
        <v>0</v>
      </c>
      <c r="M1146" s="64">
        <f t="shared" si="161"/>
        <v>0</v>
      </c>
      <c r="N1146" s="151"/>
      <c r="O1146" s="5">
        <f t="shared" ca="1" si="162"/>
        <v>0</v>
      </c>
      <c r="P1146" s="446" t="e">
        <f t="shared" si="163"/>
        <v>#VALUE!</v>
      </c>
      <c r="Q1146" s="446" t="e">
        <f>IF(OR($B1146="",MIN(Q$38,$D$19)&lt;MAX($P$708*($B1146+IF($R$17="Distrato",$I$38-1,0)),IF(AND($L$711=0,$P$708=0),"",$L$711-1),IF($R$17="Distrato",$E1146,0))),0,YEARFRAC(MAX($P$708*($B1146+IF($R$17="Distrato",$I$38-1,0)),IF(AND($L$711=0,$P$708=0),"",$L$711-1),IF($R$17="Distrato",$E1146,0)),MIN(Q$38,$D$19),$P$20))-SUM($P1146:P1146)</f>
        <v>#VALUE!</v>
      </c>
      <c r="R1146" s="446" t="e">
        <f>IF(OR($B1146="",MIN(R$38,$D$19)&lt;MAX($P$708*($B1146+IF($R$17="Distrato",$I$38-1,0)),IF(AND($L$711=0,$P$708=0),"",$L$711-1),IF($R$17="Distrato",$E1146,0))),0,YEARFRAC(MAX($P$708*($B1146+IF($R$17="Distrato",$I$38-1,0)),IF(AND($L$711=0,$P$708=0),"",$L$711-1),IF($R$17="Distrato",$E1146,0)),MIN(R$38,$D$19),$P$20))-SUM($P1146:Q1146)</f>
        <v>#VALUE!</v>
      </c>
      <c r="S1146" s="446" t="e">
        <f>IF(OR($B1146="",MIN(S$38,$D$19)&lt;MAX($P$708*($B1146+IF($R$17="Distrato",$I$38-1,0)),IF(AND($L$711=0,$P$708=0),"",$L$711-1),IF($R$17="Distrato",$E1146,0))),0,YEARFRAC(MAX($P$708*($B1146+IF($R$17="Distrato",$I$38-1,0)),IF(AND($L$711=0,$P$708=0),"",$L$711-1),IF($R$17="Distrato",$E1146,0)),MIN(S$38,$D$19),$P$20))-SUM($P1146:R1146)</f>
        <v>#VALUE!</v>
      </c>
      <c r="T1146" s="446" t="e">
        <f>IF(OR($B1146="",MIN(T$38,$D$19)&lt;MAX($P$708*($B1146+IF($R$17="Distrato",$I$38-1,0)),IF(AND($L$711=0,$P$708=0),"",$L$711-1),IF($R$17="Distrato",$E1146,0))),0,YEARFRAC(MAX($P$708*($B1146+IF($R$17="Distrato",$I$38-1,0)),IF(AND($L$711=0,$P$708=0),"",$L$711-1),IF($R$17="Distrato",$E1146,0)),MIN(T$38,$D$19),$P$20))-SUM($P1146:S1146)</f>
        <v>#VALUE!</v>
      </c>
      <c r="U1146" s="446" t="e">
        <f>IF(OR($B1146="",MIN(U$38,$D$19)&lt;MAX($P$708*($B1146+IF($R$17="Distrato",$I$38-1,0)),IF(AND($L$711=0,$P$708=0),"",$L$711-1),IF($R$17="Distrato",$E1146,0))),0,YEARFRAC(MAX($P$708*($B1146+IF($R$17="Distrato",$I$38-1,0)),IF(AND($L$711=0,$P$708=0),"",$L$711-1),IF($R$17="Distrato",$E1146,0)),MIN(U$38,$D$19),$P$20))-SUM($P1146:T1146)</f>
        <v>#VALUE!</v>
      </c>
      <c r="V1146" s="446" t="e">
        <f>IF(OR($B1146="",MIN(V$38,$D$19)&lt;MAX($P$708*($B1146+IF($R$17="Distrato",$I$38-1,0)),IF(AND($L$711=0,$P$708=0),"",$L$711-1),IF($R$17="Distrato",$E1146,0))),0,YEARFRAC(MAX($P$708*($B1146+IF($R$17="Distrato",$I$38-1,0)),IF(AND($L$711=0,$P$708=0),"",$L$711-1),IF($R$17="Distrato",$E1146,0)),MIN(V$38,$D$19),$P$20))-SUM($P1146:U1146)</f>
        <v>#VALUE!</v>
      </c>
      <c r="W1146" s="446" t="e">
        <f>IF(OR($B1146="",MIN(W$38,$D$19)&lt;MAX($P$708*($B1146+IF($R$17="Distrato",$I$38-1,0)),IF(AND($L$711=0,$P$708=0),"",$L$711-1),IF($R$17="Distrato",$E1146,0))),0,YEARFRAC(MAX($P$708*($B1146+IF($R$17="Distrato",$I$38-1,0)),IF(AND($L$711=0,$P$708=0),"",$L$711-1),IF($R$17="Distrato",$E1146,0)),MIN(W$38,$D$19),$P$20))-SUM($P1146:V1146)</f>
        <v>#VALUE!</v>
      </c>
      <c r="X1146" s="446" t="e">
        <f>IF(OR($B1146="",MIN(X$38,$D$19)&lt;MAX($P$708*($B1146+IF($R$17="Distrato",$I$38-1,0)),IF(AND($L$711=0,$P$708=0),"",$L$711-1),IF($R$17="Distrato",$E1146,0))),0,YEARFRAC(MAX($P$708*($B1146+IF($R$17="Distrato",$I$38-1,0)),IF(AND($L$711=0,$P$708=0),"",$L$711-1),IF($R$17="Distrato",$E1146,0)),MIN(X$38,$D$19),$P$20))-SUM($P1146:W1146)</f>
        <v>#VALUE!</v>
      </c>
      <c r="Y1146" s="446" t="e">
        <f>IF(OR($B1146="",MIN(Y$38,$D$19)&lt;MAX($P$708*($B1146+IF($R$17="Distrato",$I$38-1,0)),IF(AND($L$711=0,$P$708=0),"",$L$711-1),IF($R$17="Distrato",$E1146,0))),0,YEARFRAC(MAX($P$708*($B1146+IF($R$17="Distrato",$I$38-1,0)),IF(AND($L$711=0,$P$708=0),"",$L$711-1),IF($R$17="Distrato",$E1146,0)),MIN(Y$38,$D$19),$P$20))-SUM($P1146:X1146)</f>
        <v>#VALUE!</v>
      </c>
      <c r="Z1146" s="446" t="e">
        <f>IF(OR($B1146="",MIN(Z$38,$D$19)&lt;MAX($P$708*($B1146+IF($R$17="Distrato",$I$38-1,0)),IF(AND($L$711=0,$P$708=0),"",$L$711-1),IF($R$17="Distrato",$E1146,0))),0,YEARFRAC(MAX($P$708*($B1146+IF($R$17="Distrato",$I$38-1,0)),IF(AND($L$711=0,$P$708=0),"",$L$711-1),IF($R$17="Distrato",$E1146,0)),MIN(Z$38,$D$19),$P$20))-SUM($P1146:Y1146)</f>
        <v>#VALUE!</v>
      </c>
      <c r="AA1146" s="446" t="e">
        <f>IF(OR($B1146="",MIN(AA$38,$D$19)&lt;MAX($P$708*($B1146+IF($R$17="Distrato",$I$38-1,0)),IF(AND($L$711=0,$P$708=0),"",$L$711-1),IF($R$17="Distrato",$E1146,0))),0,YEARFRAC(MAX($P$708*($B1146+IF($R$17="Distrato",$I$38-1,0)),IF(AND($L$711=0,$P$708=0),"",$L$711-1),IF($R$17="Distrato",$E1146,0)),MIN(AA$38,$D$19),$P$20))-SUM($P1146:Z1146)</f>
        <v>#VALUE!</v>
      </c>
      <c r="AB1146" s="446" t="e">
        <f>IF(OR($B1146="",MIN(AB$38,$D$19)&lt;MAX($P$708*($B1146+IF($R$17="Distrato",$I$38-1,0)),IF(AND($L$711=0,$P$708=0),"",$L$711-1),IF($R$17="Distrato",$E1146,0))),0,YEARFRAC(MAX($P$708*($B1146+IF($R$17="Distrato",$I$38-1,0)),IF(AND($L$711=0,$P$708=0),"",$L$711-1),IF($R$17="Distrato",$E1146,0)),MIN(AB$38,$D$19),$P$20))-SUM($P1146:AA1146)</f>
        <v>#VALUE!</v>
      </c>
      <c r="AC1146" s="446" t="e">
        <f>IF(OR($B1146="",MIN(AC$38,$D$19)&lt;MAX($P$708*($B1146+IF($R$17="Distrato",$I$38-1,0)),IF(AND($L$711=0,$P$708=0),"",$L$711-1),IF($R$17="Distrato",$E1146,0))),0,YEARFRAC(MAX($P$708*($B1146+IF($R$17="Distrato",$I$38-1,0)),IF(AND($L$711=0,$P$708=0),"",$L$711-1),IF($R$17="Distrato",$E1146,0)),MIN(AC$38,$D$19),$P$20))-SUM($P1146:AB1146)</f>
        <v>#VALUE!</v>
      </c>
      <c r="AD1146" s="446" t="e">
        <f>IF(OR($B1146="",MIN(AD$38,$D$19)&lt;MAX($P$708*($B1146+IF($R$17="Distrato",$I$38-1,0)),IF(AND($L$711=0,$P$708=0),"",$L$711-1),IF($R$17="Distrato",$E1146,0))),0,YEARFRAC(MAX($P$708*($B1146+IF($R$17="Distrato",$I$38-1,0)),IF(AND($L$711=0,$P$708=0),"",$L$711-1),IF($R$17="Distrato",$E1146,0)),MIN(AD$38,$D$19),$P$20))-SUM($P1146:AC1146)</f>
        <v>#VALUE!</v>
      </c>
      <c r="AE1146" s="446" t="e">
        <f>IF(OR($B1146="",MIN(AE$38,$D$19)&lt;MAX($P$708*($B1146+IF($R$17="Distrato",$I$38-1,0)),IF(AND($L$711=0,$P$708=0),"",$L$711-1),IF($R$17="Distrato",$E1146,0))),0,YEARFRAC(MAX($P$708*($B1146+IF($R$17="Distrato",$I$38-1,0)),IF(AND($L$711=0,$P$708=0),"",$L$711-1),IF($R$17="Distrato",$E1146,0)),MIN(AE$38,$D$19),$P$20))-SUM($P1146:AD1146)</f>
        <v>#VALUE!</v>
      </c>
      <c r="AF1146" s="446" t="e">
        <f>IF(OR($B1146="",MIN(AF$38,$D$19)&lt;MAX($P$708*($B1146+IF($R$17="Distrato",$I$38-1,0)),IF(AND($L$711=0,$P$708=0),"",$L$711-1),IF($R$17="Distrato",$E1146,0))),0,YEARFRAC(MAX($P$708*($B1146+IF($R$17="Distrato",$I$38-1,0)),IF(AND($L$711=0,$P$708=0),"",$L$711-1),IF($R$17="Distrato",$E1146,0)),MIN(AF$38,$D$19),$P$20))-SUM($P1146:AE1146)</f>
        <v>#VALUE!</v>
      </c>
      <c r="AG1146" s="446" t="e">
        <f>IF(OR($B1146="",MIN(AG$38,$D$19)&lt;MAX($P$708*($B1146+IF($R$17="Distrato",$I$38-1,0)),IF(AND($L$711=0,$P$708=0),"",$L$711-1),IF($R$17="Distrato",$E1146,0))),0,YEARFRAC(MAX($P$708*($B1146+IF($R$17="Distrato",$I$38-1,0)),IF(AND($L$711=0,$P$708=0),"",$L$711-1),IF($R$17="Distrato",$E1146,0)),MIN(AG$38,$D$19),$P$20))-SUM($P1146:AF1146)</f>
        <v>#VALUE!</v>
      </c>
      <c r="AH1146" s="446" t="e">
        <f>IF(OR($B1146="",MIN(AH$38,$D$19)&lt;MAX($P$708*($B1146+IF($R$17="Distrato",$I$38-1,0)),IF(AND($L$711=0,$P$708=0),"",$L$711-1),IF($R$17="Distrato",$E1146,0))),0,YEARFRAC(MAX($P$708*($B1146+IF($R$17="Distrato",$I$38-1,0)),IF(AND($L$711=0,$P$708=0),"",$L$711-1),IF($R$17="Distrato",$E1146,0)),MIN(AH$38,$D$19),$P$20))-SUM($P1146:AG1146)</f>
        <v>#VALUE!</v>
      </c>
      <c r="AI1146" s="446" t="e">
        <f>IF(OR($B1146="",MIN(AI$38,$D$19)&lt;MAX($P$708*($B1146+IF($R$17="Distrato",$I$38-1,0)),IF(AND($L$711=0,$P$708=0),"",$L$711-1),IF($R$17="Distrato",$E1146,0))),0,YEARFRAC(MAX($P$708*($B1146+IF($R$17="Distrato",$I$38-1,0)),IF(AND($L$711=0,$P$708=0),"",$L$711-1),IF($R$17="Distrato",$E1146,0)),MIN(AI$38,$D$19),$P$20))-SUM($P1146:AH1146)</f>
        <v>#VALUE!</v>
      </c>
      <c r="AJ1146" s="446" t="e">
        <f>IF(OR($B1146="",MIN(AJ$38,$D$19)&lt;MAX($P$708*($B1146+IF($R$17="Distrato",$I$38-1,0)),IF(AND($L$711=0,$P$708=0),"",$L$711-1),IF($R$17="Distrato",$E1146,0))),0,YEARFRAC(MAX($P$708*($B1146+IF($R$17="Distrato",$I$38-1,0)),IF(AND($L$711=0,$P$708=0),"",$L$711-1),IF($R$17="Distrato",$E1146,0)),MIN(AJ$38,$D$19),$P$20))-SUM($P1146:AI1146)</f>
        <v>#VALUE!</v>
      </c>
      <c r="AK1146" s="446" t="e">
        <f>IF(OR($B1146="",MIN(AK$38,$D$19)&lt;MAX($P$708*($B1146+IF($R$17="Distrato",$I$38-1,0)),IF(AND($L$711=0,$P$708=0),"",$L$711-1),IF($R$17="Distrato",$E1146,0))),0,YEARFRAC(MAX($P$708*($B1146+IF($R$17="Distrato",$I$38-1,0)),IF(AND($L$711=0,$P$708=0),"",$L$711-1),IF($R$17="Distrato",$E1146,0)),MIN(AK$38,$D$19),$P$20))-SUM($P1146:AJ1146)</f>
        <v>#VALUE!</v>
      </c>
      <c r="AL1146" s="446" t="e">
        <f>IF(OR($B1146="",MIN(AL$38,$D$19)&lt;MAX($P$708*($B1146+IF($R$17="Distrato",$I$38-1,0)),IF(AND($L$711=0,$P$708=0),"",$L$711-1),IF($R$17="Distrato",$E1146,0))),0,YEARFRAC(MAX($P$708*($B1146+IF($R$17="Distrato",$I$38-1,0)),IF(AND($L$711=0,$P$708=0),"",$L$711-1),IF($R$17="Distrato",$E1146,0)),MIN(AL$38,$D$19),$P$20))-SUM($P1146:AK1146)</f>
        <v>#VALUE!</v>
      </c>
      <c r="AM1146" s="446" t="e">
        <f>IF(OR($B1146="",MIN(AM$38,$D$19)&lt;MAX($P$708*($B1146+IF($R$17="Distrato",$I$38-1,0)),IF(AND($L$711=0,$P$708=0),"",$L$711-1),IF($R$17="Distrato",$E1146,0))),0,YEARFRAC(MAX($P$708*($B1146+IF($R$17="Distrato",$I$38-1,0)),IF(AND($L$711=0,$P$708=0),"",$L$711-1),IF($R$17="Distrato",$E1146,0)),MIN(AM$38,$D$19),$P$20))-SUM($P1146:AL1146)</f>
        <v>#VALUE!</v>
      </c>
      <c r="AN1146" s="446" t="e">
        <f>IF(OR($B1146="",MIN(AN$38,$D$19)&lt;MAX($P$708*($B1146+IF($R$17="Distrato",$I$38-1,0)),IF(AND($L$711=0,$P$708=0),"",$L$711-1),IF($R$17="Distrato",$E1146,0))),0,YEARFRAC(MAX($P$708*($B1146+IF($R$17="Distrato",$I$38-1,0)),IF(AND($L$711=0,$P$708=0),"",$L$711-1),IF($R$17="Distrato",$E1146,0)),MIN(AN$38,$D$19),$P$20))-SUM($P1146:AM1146)</f>
        <v>#VALUE!</v>
      </c>
      <c r="AO1146" s="446" t="e">
        <f>IF(OR($B1146="",MIN(AO$38,$D$19)&lt;MAX($P$708*($B1146+IF($R$17="Distrato",$I$38-1,0)),IF(AND($L$711=0,$P$708=0),"",$L$711-1),IF($R$17="Distrato",$E1146,0))),0,YEARFRAC(MAX($P$708*($B1146+IF($R$17="Distrato",$I$38-1,0)),IF(AND($L$711=0,$P$708=0),"",$L$711-1),IF($R$17="Distrato",$E1146,0)),MIN(AO$38,$D$19),$P$20))-SUM($P1146:AN1146)</f>
        <v>#VALUE!</v>
      </c>
      <c r="AP1146" s="446" t="e">
        <f>IF(OR($B1146="",MIN(AP$38,$D$19)&lt;MAX($P$708*($B1146+IF($R$17="Distrato",$I$38-1,0)),IF(AND($L$711=0,$P$708=0),"",$L$711-1),IF($R$17="Distrato",$E1146,0))),0,YEARFRAC(MAX($P$708*($B1146+IF($R$17="Distrato",$I$38-1,0)),IF(AND($L$711=0,$P$708=0),"",$L$711-1),IF($R$17="Distrato",$E1146,0)),MIN(AP$38,$D$19),$P$20))-SUM($P1146:AO1146)</f>
        <v>#VALUE!</v>
      </c>
      <c r="AQ1146" s="446" t="e">
        <f>IF(OR($B1146="",MIN(AQ$38,$D$19)&lt;MAX($P$708*($B1146+IF($R$17="Distrato",$I$38-1,0)),IF(AND($L$711=0,$P$708=0),"",$L$711-1),IF($R$17="Distrato",$E1146,0))),0,YEARFRAC(MAX($P$708*($B1146+IF($R$17="Distrato",$I$38-1,0)),IF(AND($L$711=0,$P$708=0),"",$L$711-1),IF($R$17="Distrato",$E1146,0)),MIN(AQ$38,$D$19),$P$20))-SUM($P1146:AP1146)</f>
        <v>#VALUE!</v>
      </c>
      <c r="AR1146" s="446" t="e">
        <f>IF(OR($B1146="",MIN(AR$38,$D$19)&lt;MAX($P$708*($B1146+IF($R$17="Distrato",$I$38-1,0)),IF(AND($L$711=0,$P$708=0),"",$L$711-1),IF($R$17="Distrato",$E1146,0))),0,YEARFRAC(MAX($P$708*($B1146+IF($R$17="Distrato",$I$38-1,0)),IF(AND($L$711=0,$P$708=0),"",$L$711-1),IF($R$17="Distrato",$E1146,0)),MIN(AR$38,$D$19),$P$20))-SUM($P1146:AQ1146)</f>
        <v>#VALUE!</v>
      </c>
      <c r="AS1146" s="446" t="e">
        <f>IF(OR($B1146="",MIN(AS$38,$D$19)&lt;MAX($P$708*($B1146+IF($R$17="Distrato",$I$38-1,0)),IF(AND($L$711=0,$P$708=0),"",$L$711-1),IF($R$17="Distrato",$E1146,0))),0,YEARFRAC(MAX($P$708*($B1146+IF($R$17="Distrato",$I$38-1,0)),IF(AND($L$711=0,$P$708=0),"",$L$711-1),IF($R$17="Distrato",$E1146,0)),MIN(AS$38,$D$19),$P$20))-SUM($P1146:AR1146)</f>
        <v>#VALUE!</v>
      </c>
      <c r="AT1146" s="446" t="e">
        <f>IF(OR($B1146="",MIN(AT$38,$D$19)&lt;MAX($P$708*($B1146+IF($R$17="Distrato",$I$38-1,0)),IF(AND($L$711=0,$P$708=0),"",$L$711-1),IF($R$17="Distrato",$E1146,0))),0,YEARFRAC(MAX($P$708*($B1146+IF($R$17="Distrato",$I$38-1,0)),IF(AND($L$711=0,$P$708=0),"",$L$711-1),IF($R$17="Distrato",$E1146,0)),MIN(AT$38,$D$19),$P$20))-SUM($P1146:AS1146)</f>
        <v>#VALUE!</v>
      </c>
      <c r="AU1146" s="446" t="e">
        <f>IF(OR($B1146="",MIN(AU$38,$D$19)&lt;MAX($P$708*($B1146+IF($R$17="Distrato",$I$38-1,0)),IF(AND($L$711=0,$P$708=0),"",$L$711-1),IF($R$17="Distrato",$E1146,0))),0,YEARFRAC(MAX($P$708*($B1146+IF($R$17="Distrato",$I$38-1,0)),IF(AND($L$711=0,$P$708=0),"",$L$711-1),IF($R$17="Distrato",$E1146,0)),MIN(AU$38,$D$19),$P$20))-SUM($P1146:AT1146)</f>
        <v>#VALUE!</v>
      </c>
      <c r="AV1146" s="446" t="e">
        <f>IF(OR($B1146="",MIN(AV$38,$D$19)&lt;MAX($P$708*($B1146+IF($R$17="Distrato",$I$38-1,0)),IF(AND($L$711=0,$P$708=0),"",$L$711-1),IF($R$17="Distrato",$E1146,0))),0,YEARFRAC(MAX($P$708*($B1146+IF($R$17="Distrato",$I$38-1,0)),IF(AND($L$711=0,$P$708=0),"",$L$711-1),IF($R$17="Distrato",$E1146,0)),MIN(AV$38,$D$19),$P$20))-SUM($P1146:AU1146)</f>
        <v>#VALUE!</v>
      </c>
      <c r="AW1146" s="446" t="e">
        <f>IF(OR($B1146="",MIN(AW$38,$D$19)&lt;MAX($P$708*($B1146+IF($R$17="Distrato",$I$38-1,0)),IF(AND($L$711=0,$P$708=0),"",$L$711-1),IF($R$17="Distrato",$E1146,0))),0,YEARFRAC(MAX($P$708*($B1146+IF($R$17="Distrato",$I$38-1,0)),IF(AND($L$711=0,$P$708=0),"",$L$711-1),IF($R$17="Distrato",$E1146,0)),MIN(AW$38,$D$19),$P$20))-SUM($P1146:AV1146)</f>
        <v>#VALUE!</v>
      </c>
      <c r="AX1146" s="446" t="e">
        <f>IF(OR($B1146="",MIN(AX$38,$D$19)&lt;MAX($P$708*($B1146+IF($R$17="Distrato",$I$38-1,0)),IF(AND($L$711=0,$P$708=0),"",$L$711-1),IF($R$17="Distrato",$E1146,0))),0,YEARFRAC(MAX($P$708*($B1146+IF($R$17="Distrato",$I$38-1,0)),IF(AND($L$711=0,$P$708=0),"",$L$711-1),IF($R$17="Distrato",$E1146,0)),MIN(AX$38,$D$19),$P$20))-SUM($P1146:AW1146)</f>
        <v>#VALUE!</v>
      </c>
      <c r="AY1146" s="446" t="e">
        <f>IF(OR($B1146="",MIN(AY$38,$D$19)&lt;MAX($P$708*($B1146+IF($R$17="Distrato",$I$38-1,0)),IF(AND($L$711=0,$P$708=0),"",$L$711-1),IF($R$17="Distrato",$E1146,0))),0,YEARFRAC(MAX($P$708*($B1146+IF($R$17="Distrato",$I$38-1,0)),IF(AND($L$711=0,$P$708=0),"",$L$711-1),IF($R$17="Distrato",$E1146,0)),MIN(AY$38,$D$19),$P$20))-SUM($P1146:AX1146)</f>
        <v>#VALUE!</v>
      </c>
      <c r="AZ1146" s="446" t="e">
        <f>IF(OR($B1146="",MIN(AZ$38,$D$19)&lt;MAX($P$708*($B1146+IF($R$17="Distrato",$I$38-1,0)),IF(AND($L$711=0,$P$708=0),"",$L$711-1),IF($R$17="Distrato",$E1146,0))),0,YEARFRAC(MAX($P$708*($B1146+IF($R$17="Distrato",$I$38-1,0)),IF(AND($L$711=0,$P$708=0),"",$L$711-1),IF($R$17="Distrato",$E1146,0)),MIN(AZ$38,$D$19),$P$20))-SUM($P1146:AY1146)</f>
        <v>#VALUE!</v>
      </c>
      <c r="BA1146" s="446" t="e">
        <f>IF(OR($B1146="",MIN(BA$38,$D$19)&lt;MAX($P$708*($B1146+IF($R$17="Distrato",$I$38-1,0)),IF(AND($L$711=0,$P$708=0),"",$L$711-1),IF($R$17="Distrato",$E1146,0))),0,YEARFRAC(MAX($P$708*($B1146+IF($R$17="Distrato",$I$38-1,0)),IF(AND($L$711=0,$P$708=0),"",$L$711-1),IF($R$17="Distrato",$E1146,0)),MIN(BA$38,$D$19),$P$20))-SUM($P1146:AZ1146)</f>
        <v>#VALUE!</v>
      </c>
      <c r="BB1146" s="447"/>
    </row>
    <row r="1147" spans="1:54" s="446" customFormat="1" ht="11.25" hidden="1" customHeight="1" x14ac:dyDescent="0.2">
      <c r="A1147" s="235"/>
      <c r="B1147" s="236"/>
      <c r="C1147" s="29" t="str">
        <f>IF(B1147="","",IF($L$709=$BL$25,VLOOKUP(DATE(YEAR($D$19),MONTH($D$19)-1,1),ÍNDICES!$A:$DE,HLOOKUP($BL$25,ÍNDICES!$B$3:$T$4,2)+11)-VLOOKUP(B1147,ÍNDICES!$A:$DE,HLOOKUP($BL$25,ÍNDICES!$B$3:$T$4,2)+11)+1%,IF(C$712=$W$26,$J$35,IF(ISERROR(IF(B1147&gt;$D$19,1,VLOOKUP(DATE(YEAR(B1147),MONTH(B1147)+IF($C$709=$S$23,1,0),1),ÍNDICES!$A:$DE,$Z$709+1))),"",IF(B1147&gt;$D$19,1,VLOOKUP(DATE(YEAR(B1147),MONTH(B1147)+IF($C$709=$S$23,1,0),1),ÍNDICES!$A:$DE,$Z$709+1))))))</f>
        <v/>
      </c>
      <c r="D1147" s="155"/>
      <c r="E1147" s="88"/>
      <c r="F1147" s="88"/>
      <c r="G1147" s="88"/>
      <c r="H1147" s="118"/>
      <c r="I1147" s="182">
        <f t="shared" si="157"/>
        <v>0</v>
      </c>
      <c r="J1147" s="20">
        <f t="shared" ca="1" si="158"/>
        <v>0</v>
      </c>
      <c r="K1147" s="5">
        <f t="shared" ca="1" si="159"/>
        <v>0</v>
      </c>
      <c r="L1147" s="61">
        <f t="shared" ca="1" si="160"/>
        <v>0</v>
      </c>
      <c r="M1147" s="64">
        <f t="shared" si="161"/>
        <v>0</v>
      </c>
      <c r="N1147" s="151"/>
      <c r="O1147" s="5">
        <f t="shared" ca="1" si="162"/>
        <v>0</v>
      </c>
      <c r="P1147" s="446" t="e">
        <f t="shared" si="163"/>
        <v>#VALUE!</v>
      </c>
      <c r="Q1147" s="446" t="e">
        <f>IF(OR($B1147="",MIN(Q$38,$D$19)&lt;MAX($P$708*($B1147+IF($R$17="Distrato",$I$38-1,0)),IF(AND($L$711=0,$P$708=0),"",$L$711-1),IF($R$17="Distrato",$E1147,0))),0,YEARFRAC(MAX($P$708*($B1147+IF($R$17="Distrato",$I$38-1,0)),IF(AND($L$711=0,$P$708=0),"",$L$711-1),IF($R$17="Distrato",$E1147,0)),MIN(Q$38,$D$19),$P$20))-SUM($P1147:P1147)</f>
        <v>#VALUE!</v>
      </c>
      <c r="R1147" s="446" t="e">
        <f>IF(OR($B1147="",MIN(R$38,$D$19)&lt;MAX($P$708*($B1147+IF($R$17="Distrato",$I$38-1,0)),IF(AND($L$711=0,$P$708=0),"",$L$711-1),IF($R$17="Distrato",$E1147,0))),0,YEARFRAC(MAX($P$708*($B1147+IF($R$17="Distrato",$I$38-1,0)),IF(AND($L$711=0,$P$708=0),"",$L$711-1),IF($R$17="Distrato",$E1147,0)),MIN(R$38,$D$19),$P$20))-SUM($P1147:Q1147)</f>
        <v>#VALUE!</v>
      </c>
      <c r="S1147" s="446" t="e">
        <f>IF(OR($B1147="",MIN(S$38,$D$19)&lt;MAX($P$708*($B1147+IF($R$17="Distrato",$I$38-1,0)),IF(AND($L$711=0,$P$708=0),"",$L$711-1),IF($R$17="Distrato",$E1147,0))),0,YEARFRAC(MAX($P$708*($B1147+IF($R$17="Distrato",$I$38-1,0)),IF(AND($L$711=0,$P$708=0),"",$L$711-1),IF($R$17="Distrato",$E1147,0)),MIN(S$38,$D$19),$P$20))-SUM($P1147:R1147)</f>
        <v>#VALUE!</v>
      </c>
      <c r="T1147" s="446" t="e">
        <f>IF(OR($B1147="",MIN(T$38,$D$19)&lt;MAX($P$708*($B1147+IF($R$17="Distrato",$I$38-1,0)),IF(AND($L$711=0,$P$708=0),"",$L$711-1),IF($R$17="Distrato",$E1147,0))),0,YEARFRAC(MAX($P$708*($B1147+IF($R$17="Distrato",$I$38-1,0)),IF(AND($L$711=0,$P$708=0),"",$L$711-1),IF($R$17="Distrato",$E1147,0)),MIN(T$38,$D$19),$P$20))-SUM($P1147:S1147)</f>
        <v>#VALUE!</v>
      </c>
      <c r="U1147" s="446" t="e">
        <f>IF(OR($B1147="",MIN(U$38,$D$19)&lt;MAX($P$708*($B1147+IF($R$17="Distrato",$I$38-1,0)),IF(AND($L$711=0,$P$708=0),"",$L$711-1),IF($R$17="Distrato",$E1147,0))),0,YEARFRAC(MAX($P$708*($B1147+IF($R$17="Distrato",$I$38-1,0)),IF(AND($L$711=0,$P$708=0),"",$L$711-1),IF($R$17="Distrato",$E1147,0)),MIN(U$38,$D$19),$P$20))-SUM($P1147:T1147)</f>
        <v>#VALUE!</v>
      </c>
      <c r="V1147" s="446" t="e">
        <f>IF(OR($B1147="",MIN(V$38,$D$19)&lt;MAX($P$708*($B1147+IF($R$17="Distrato",$I$38-1,0)),IF(AND($L$711=0,$P$708=0),"",$L$711-1),IF($R$17="Distrato",$E1147,0))),0,YEARFRAC(MAX($P$708*($B1147+IF($R$17="Distrato",$I$38-1,0)),IF(AND($L$711=0,$P$708=0),"",$L$711-1),IF($R$17="Distrato",$E1147,0)),MIN(V$38,$D$19),$P$20))-SUM($P1147:U1147)</f>
        <v>#VALUE!</v>
      </c>
      <c r="W1147" s="446" t="e">
        <f>IF(OR($B1147="",MIN(W$38,$D$19)&lt;MAX($P$708*($B1147+IF($R$17="Distrato",$I$38-1,0)),IF(AND($L$711=0,$P$708=0),"",$L$711-1),IF($R$17="Distrato",$E1147,0))),0,YEARFRAC(MAX($P$708*($B1147+IF($R$17="Distrato",$I$38-1,0)),IF(AND($L$711=0,$P$708=0),"",$L$711-1),IF($R$17="Distrato",$E1147,0)),MIN(W$38,$D$19),$P$20))-SUM($P1147:V1147)</f>
        <v>#VALUE!</v>
      </c>
      <c r="X1147" s="446" t="e">
        <f>IF(OR($B1147="",MIN(X$38,$D$19)&lt;MAX($P$708*($B1147+IF($R$17="Distrato",$I$38-1,0)),IF(AND($L$711=0,$P$708=0),"",$L$711-1),IF($R$17="Distrato",$E1147,0))),0,YEARFRAC(MAX($P$708*($B1147+IF($R$17="Distrato",$I$38-1,0)),IF(AND($L$711=0,$P$708=0),"",$L$711-1),IF($R$17="Distrato",$E1147,0)),MIN(X$38,$D$19),$P$20))-SUM($P1147:W1147)</f>
        <v>#VALUE!</v>
      </c>
      <c r="Y1147" s="446" t="e">
        <f>IF(OR($B1147="",MIN(Y$38,$D$19)&lt;MAX($P$708*($B1147+IF($R$17="Distrato",$I$38-1,0)),IF(AND($L$711=0,$P$708=0),"",$L$711-1),IF($R$17="Distrato",$E1147,0))),0,YEARFRAC(MAX($P$708*($B1147+IF($R$17="Distrato",$I$38-1,0)),IF(AND($L$711=0,$P$708=0),"",$L$711-1),IF($R$17="Distrato",$E1147,0)),MIN(Y$38,$D$19),$P$20))-SUM($P1147:X1147)</f>
        <v>#VALUE!</v>
      </c>
      <c r="Z1147" s="446" t="e">
        <f>IF(OR($B1147="",MIN(Z$38,$D$19)&lt;MAX($P$708*($B1147+IF($R$17="Distrato",$I$38-1,0)),IF(AND($L$711=0,$P$708=0),"",$L$711-1),IF($R$17="Distrato",$E1147,0))),0,YEARFRAC(MAX($P$708*($B1147+IF($R$17="Distrato",$I$38-1,0)),IF(AND($L$711=0,$P$708=0),"",$L$711-1),IF($R$17="Distrato",$E1147,0)),MIN(Z$38,$D$19),$P$20))-SUM($P1147:Y1147)</f>
        <v>#VALUE!</v>
      </c>
      <c r="AA1147" s="446" t="e">
        <f>IF(OR($B1147="",MIN(AA$38,$D$19)&lt;MAX($P$708*($B1147+IF($R$17="Distrato",$I$38-1,0)),IF(AND($L$711=0,$P$708=0),"",$L$711-1),IF($R$17="Distrato",$E1147,0))),0,YEARFRAC(MAX($P$708*($B1147+IF($R$17="Distrato",$I$38-1,0)),IF(AND($L$711=0,$P$708=0),"",$L$711-1),IF($R$17="Distrato",$E1147,0)),MIN(AA$38,$D$19),$P$20))-SUM($P1147:Z1147)</f>
        <v>#VALUE!</v>
      </c>
      <c r="AB1147" s="446" t="e">
        <f>IF(OR($B1147="",MIN(AB$38,$D$19)&lt;MAX($P$708*($B1147+IF($R$17="Distrato",$I$38-1,0)),IF(AND($L$711=0,$P$708=0),"",$L$711-1),IF($R$17="Distrato",$E1147,0))),0,YEARFRAC(MAX($P$708*($B1147+IF($R$17="Distrato",$I$38-1,0)),IF(AND($L$711=0,$P$708=0),"",$L$711-1),IF($R$17="Distrato",$E1147,0)),MIN(AB$38,$D$19),$P$20))-SUM($P1147:AA1147)</f>
        <v>#VALUE!</v>
      </c>
      <c r="AC1147" s="446" t="e">
        <f>IF(OR($B1147="",MIN(AC$38,$D$19)&lt;MAX($P$708*($B1147+IF($R$17="Distrato",$I$38-1,0)),IF(AND($L$711=0,$P$708=0),"",$L$711-1),IF($R$17="Distrato",$E1147,0))),0,YEARFRAC(MAX($P$708*($B1147+IF($R$17="Distrato",$I$38-1,0)),IF(AND($L$711=0,$P$708=0),"",$L$711-1),IF($R$17="Distrato",$E1147,0)),MIN(AC$38,$D$19),$P$20))-SUM($P1147:AB1147)</f>
        <v>#VALUE!</v>
      </c>
      <c r="AD1147" s="446" t="e">
        <f>IF(OR($B1147="",MIN(AD$38,$D$19)&lt;MAX($P$708*($B1147+IF($R$17="Distrato",$I$38-1,0)),IF(AND($L$711=0,$P$708=0),"",$L$711-1),IF($R$17="Distrato",$E1147,0))),0,YEARFRAC(MAX($P$708*($B1147+IF($R$17="Distrato",$I$38-1,0)),IF(AND($L$711=0,$P$708=0),"",$L$711-1),IF($R$17="Distrato",$E1147,0)),MIN(AD$38,$D$19),$P$20))-SUM($P1147:AC1147)</f>
        <v>#VALUE!</v>
      </c>
      <c r="AE1147" s="446" t="e">
        <f>IF(OR($B1147="",MIN(AE$38,$D$19)&lt;MAX($P$708*($B1147+IF($R$17="Distrato",$I$38-1,0)),IF(AND($L$711=0,$P$708=0),"",$L$711-1),IF($R$17="Distrato",$E1147,0))),0,YEARFRAC(MAX($P$708*($B1147+IF($R$17="Distrato",$I$38-1,0)),IF(AND($L$711=0,$P$708=0),"",$L$711-1),IF($R$17="Distrato",$E1147,0)),MIN(AE$38,$D$19),$P$20))-SUM($P1147:AD1147)</f>
        <v>#VALUE!</v>
      </c>
      <c r="AF1147" s="446" t="e">
        <f>IF(OR($B1147="",MIN(AF$38,$D$19)&lt;MAX($P$708*($B1147+IF($R$17="Distrato",$I$38-1,0)),IF(AND($L$711=0,$P$708=0),"",$L$711-1),IF($R$17="Distrato",$E1147,0))),0,YEARFRAC(MAX($P$708*($B1147+IF($R$17="Distrato",$I$38-1,0)),IF(AND($L$711=0,$P$708=0),"",$L$711-1),IF($R$17="Distrato",$E1147,0)),MIN(AF$38,$D$19),$P$20))-SUM($P1147:AE1147)</f>
        <v>#VALUE!</v>
      </c>
      <c r="AG1147" s="446" t="e">
        <f>IF(OR($B1147="",MIN(AG$38,$D$19)&lt;MAX($P$708*($B1147+IF($R$17="Distrato",$I$38-1,0)),IF(AND($L$711=0,$P$708=0),"",$L$711-1),IF($R$17="Distrato",$E1147,0))),0,YEARFRAC(MAX($P$708*($B1147+IF($R$17="Distrato",$I$38-1,0)),IF(AND($L$711=0,$P$708=0),"",$L$711-1),IF($R$17="Distrato",$E1147,0)),MIN(AG$38,$D$19),$P$20))-SUM($P1147:AF1147)</f>
        <v>#VALUE!</v>
      </c>
      <c r="AH1147" s="446" t="e">
        <f>IF(OR($B1147="",MIN(AH$38,$D$19)&lt;MAX($P$708*($B1147+IF($R$17="Distrato",$I$38-1,0)),IF(AND($L$711=0,$P$708=0),"",$L$711-1),IF($R$17="Distrato",$E1147,0))),0,YEARFRAC(MAX($P$708*($B1147+IF($R$17="Distrato",$I$38-1,0)),IF(AND($L$711=0,$P$708=0),"",$L$711-1),IF($R$17="Distrato",$E1147,0)),MIN(AH$38,$D$19),$P$20))-SUM($P1147:AG1147)</f>
        <v>#VALUE!</v>
      </c>
      <c r="AI1147" s="446" t="e">
        <f>IF(OR($B1147="",MIN(AI$38,$D$19)&lt;MAX($P$708*($B1147+IF($R$17="Distrato",$I$38-1,0)),IF(AND($L$711=0,$P$708=0),"",$L$711-1),IF($R$17="Distrato",$E1147,0))),0,YEARFRAC(MAX($P$708*($B1147+IF($R$17="Distrato",$I$38-1,0)),IF(AND($L$711=0,$P$708=0),"",$L$711-1),IF($R$17="Distrato",$E1147,0)),MIN(AI$38,$D$19),$P$20))-SUM($P1147:AH1147)</f>
        <v>#VALUE!</v>
      </c>
      <c r="AJ1147" s="446" t="e">
        <f>IF(OR($B1147="",MIN(AJ$38,$D$19)&lt;MAX($P$708*($B1147+IF($R$17="Distrato",$I$38-1,0)),IF(AND($L$711=0,$P$708=0),"",$L$711-1),IF($R$17="Distrato",$E1147,0))),0,YEARFRAC(MAX($P$708*($B1147+IF($R$17="Distrato",$I$38-1,0)),IF(AND($L$711=0,$P$708=0),"",$L$711-1),IF($R$17="Distrato",$E1147,0)),MIN(AJ$38,$D$19),$P$20))-SUM($P1147:AI1147)</f>
        <v>#VALUE!</v>
      </c>
      <c r="AK1147" s="446" t="e">
        <f>IF(OR($B1147="",MIN(AK$38,$D$19)&lt;MAX($P$708*($B1147+IF($R$17="Distrato",$I$38-1,0)),IF(AND($L$711=0,$P$708=0),"",$L$711-1),IF($R$17="Distrato",$E1147,0))),0,YEARFRAC(MAX($P$708*($B1147+IF($R$17="Distrato",$I$38-1,0)),IF(AND($L$711=0,$P$708=0),"",$L$711-1),IF($R$17="Distrato",$E1147,0)),MIN(AK$38,$D$19),$P$20))-SUM($P1147:AJ1147)</f>
        <v>#VALUE!</v>
      </c>
      <c r="AL1147" s="446" t="e">
        <f>IF(OR($B1147="",MIN(AL$38,$D$19)&lt;MAX($P$708*($B1147+IF($R$17="Distrato",$I$38-1,0)),IF(AND($L$711=0,$P$708=0),"",$L$711-1),IF($R$17="Distrato",$E1147,0))),0,YEARFRAC(MAX($P$708*($B1147+IF($R$17="Distrato",$I$38-1,0)),IF(AND($L$711=0,$P$708=0),"",$L$711-1),IF($R$17="Distrato",$E1147,0)),MIN(AL$38,$D$19),$P$20))-SUM($P1147:AK1147)</f>
        <v>#VALUE!</v>
      </c>
      <c r="AM1147" s="446" t="e">
        <f>IF(OR($B1147="",MIN(AM$38,$D$19)&lt;MAX($P$708*($B1147+IF($R$17="Distrato",$I$38-1,0)),IF(AND($L$711=0,$P$708=0),"",$L$711-1),IF($R$17="Distrato",$E1147,0))),0,YEARFRAC(MAX($P$708*($B1147+IF($R$17="Distrato",$I$38-1,0)),IF(AND($L$711=0,$P$708=0),"",$L$711-1),IF($R$17="Distrato",$E1147,0)),MIN(AM$38,$D$19),$P$20))-SUM($P1147:AL1147)</f>
        <v>#VALUE!</v>
      </c>
      <c r="AN1147" s="446" t="e">
        <f>IF(OR($B1147="",MIN(AN$38,$D$19)&lt;MAX($P$708*($B1147+IF($R$17="Distrato",$I$38-1,0)),IF(AND($L$711=0,$P$708=0),"",$L$711-1),IF($R$17="Distrato",$E1147,0))),0,YEARFRAC(MAX($P$708*($B1147+IF($R$17="Distrato",$I$38-1,0)),IF(AND($L$711=0,$P$708=0),"",$L$711-1),IF($R$17="Distrato",$E1147,0)),MIN(AN$38,$D$19),$P$20))-SUM($P1147:AM1147)</f>
        <v>#VALUE!</v>
      </c>
      <c r="AO1147" s="446" t="e">
        <f>IF(OR($B1147="",MIN(AO$38,$D$19)&lt;MAX($P$708*($B1147+IF($R$17="Distrato",$I$38-1,0)),IF(AND($L$711=0,$P$708=0),"",$L$711-1),IF($R$17="Distrato",$E1147,0))),0,YEARFRAC(MAX($P$708*($B1147+IF($R$17="Distrato",$I$38-1,0)),IF(AND($L$711=0,$P$708=0),"",$L$711-1),IF($R$17="Distrato",$E1147,0)),MIN(AO$38,$D$19),$P$20))-SUM($P1147:AN1147)</f>
        <v>#VALUE!</v>
      </c>
      <c r="AP1147" s="446" t="e">
        <f>IF(OR($B1147="",MIN(AP$38,$D$19)&lt;MAX($P$708*($B1147+IF($R$17="Distrato",$I$38-1,0)),IF(AND($L$711=0,$P$708=0),"",$L$711-1),IF($R$17="Distrato",$E1147,0))),0,YEARFRAC(MAX($P$708*($B1147+IF($R$17="Distrato",$I$38-1,0)),IF(AND($L$711=0,$P$708=0),"",$L$711-1),IF($R$17="Distrato",$E1147,0)),MIN(AP$38,$D$19),$P$20))-SUM($P1147:AO1147)</f>
        <v>#VALUE!</v>
      </c>
      <c r="AQ1147" s="446" t="e">
        <f>IF(OR($B1147="",MIN(AQ$38,$D$19)&lt;MAX($P$708*($B1147+IF($R$17="Distrato",$I$38-1,0)),IF(AND($L$711=0,$P$708=0),"",$L$711-1),IF($R$17="Distrato",$E1147,0))),0,YEARFRAC(MAX($P$708*($B1147+IF($R$17="Distrato",$I$38-1,0)),IF(AND($L$711=0,$P$708=0),"",$L$711-1),IF($R$17="Distrato",$E1147,0)),MIN(AQ$38,$D$19),$P$20))-SUM($P1147:AP1147)</f>
        <v>#VALUE!</v>
      </c>
      <c r="AR1147" s="446" t="e">
        <f>IF(OR($B1147="",MIN(AR$38,$D$19)&lt;MAX($P$708*($B1147+IF($R$17="Distrato",$I$38-1,0)),IF(AND($L$711=0,$P$708=0),"",$L$711-1),IF($R$17="Distrato",$E1147,0))),0,YEARFRAC(MAX($P$708*($B1147+IF($R$17="Distrato",$I$38-1,0)),IF(AND($L$711=0,$P$708=0),"",$L$711-1),IF($R$17="Distrato",$E1147,0)),MIN(AR$38,$D$19),$P$20))-SUM($P1147:AQ1147)</f>
        <v>#VALUE!</v>
      </c>
      <c r="AS1147" s="446" t="e">
        <f>IF(OR($B1147="",MIN(AS$38,$D$19)&lt;MAX($P$708*($B1147+IF($R$17="Distrato",$I$38-1,0)),IF(AND($L$711=0,$P$708=0),"",$L$711-1),IF($R$17="Distrato",$E1147,0))),0,YEARFRAC(MAX($P$708*($B1147+IF($R$17="Distrato",$I$38-1,0)),IF(AND($L$711=0,$P$708=0),"",$L$711-1),IF($R$17="Distrato",$E1147,0)),MIN(AS$38,$D$19),$P$20))-SUM($P1147:AR1147)</f>
        <v>#VALUE!</v>
      </c>
      <c r="AT1147" s="446" t="e">
        <f>IF(OR($B1147="",MIN(AT$38,$D$19)&lt;MAX($P$708*($B1147+IF($R$17="Distrato",$I$38-1,0)),IF(AND($L$711=0,$P$708=0),"",$L$711-1),IF($R$17="Distrato",$E1147,0))),0,YEARFRAC(MAX($P$708*($B1147+IF($R$17="Distrato",$I$38-1,0)),IF(AND($L$711=0,$P$708=0),"",$L$711-1),IF($R$17="Distrato",$E1147,0)),MIN(AT$38,$D$19),$P$20))-SUM($P1147:AS1147)</f>
        <v>#VALUE!</v>
      </c>
      <c r="AU1147" s="446" t="e">
        <f>IF(OR($B1147="",MIN(AU$38,$D$19)&lt;MAX($P$708*($B1147+IF($R$17="Distrato",$I$38-1,0)),IF(AND($L$711=0,$P$708=0),"",$L$711-1),IF($R$17="Distrato",$E1147,0))),0,YEARFRAC(MAX($P$708*($B1147+IF($R$17="Distrato",$I$38-1,0)),IF(AND($L$711=0,$P$708=0),"",$L$711-1),IF($R$17="Distrato",$E1147,0)),MIN(AU$38,$D$19),$P$20))-SUM($P1147:AT1147)</f>
        <v>#VALUE!</v>
      </c>
      <c r="AV1147" s="446" t="e">
        <f>IF(OR($B1147="",MIN(AV$38,$D$19)&lt;MAX($P$708*($B1147+IF($R$17="Distrato",$I$38-1,0)),IF(AND($L$711=0,$P$708=0),"",$L$711-1),IF($R$17="Distrato",$E1147,0))),0,YEARFRAC(MAX($P$708*($B1147+IF($R$17="Distrato",$I$38-1,0)),IF(AND($L$711=0,$P$708=0),"",$L$711-1),IF($R$17="Distrato",$E1147,0)),MIN(AV$38,$D$19),$P$20))-SUM($P1147:AU1147)</f>
        <v>#VALUE!</v>
      </c>
      <c r="AW1147" s="446" t="e">
        <f>IF(OR($B1147="",MIN(AW$38,$D$19)&lt;MAX($P$708*($B1147+IF($R$17="Distrato",$I$38-1,0)),IF(AND($L$711=0,$P$708=0),"",$L$711-1),IF($R$17="Distrato",$E1147,0))),0,YEARFRAC(MAX($P$708*($B1147+IF($R$17="Distrato",$I$38-1,0)),IF(AND($L$711=0,$P$708=0),"",$L$711-1),IF($R$17="Distrato",$E1147,0)),MIN(AW$38,$D$19),$P$20))-SUM($P1147:AV1147)</f>
        <v>#VALUE!</v>
      </c>
      <c r="AX1147" s="446" t="e">
        <f>IF(OR($B1147="",MIN(AX$38,$D$19)&lt;MAX($P$708*($B1147+IF($R$17="Distrato",$I$38-1,0)),IF(AND($L$711=0,$P$708=0),"",$L$711-1),IF($R$17="Distrato",$E1147,0))),0,YEARFRAC(MAX($P$708*($B1147+IF($R$17="Distrato",$I$38-1,0)),IF(AND($L$711=0,$P$708=0),"",$L$711-1),IF($R$17="Distrato",$E1147,0)),MIN(AX$38,$D$19),$P$20))-SUM($P1147:AW1147)</f>
        <v>#VALUE!</v>
      </c>
      <c r="AY1147" s="446" t="e">
        <f>IF(OR($B1147="",MIN(AY$38,$D$19)&lt;MAX($P$708*($B1147+IF($R$17="Distrato",$I$38-1,0)),IF(AND($L$711=0,$P$708=0),"",$L$711-1),IF($R$17="Distrato",$E1147,0))),0,YEARFRAC(MAX($P$708*($B1147+IF($R$17="Distrato",$I$38-1,0)),IF(AND($L$711=0,$P$708=0),"",$L$711-1),IF($R$17="Distrato",$E1147,0)),MIN(AY$38,$D$19),$P$20))-SUM($P1147:AX1147)</f>
        <v>#VALUE!</v>
      </c>
      <c r="AZ1147" s="446" t="e">
        <f>IF(OR($B1147="",MIN(AZ$38,$D$19)&lt;MAX($P$708*($B1147+IF($R$17="Distrato",$I$38-1,0)),IF(AND($L$711=0,$P$708=0),"",$L$711-1),IF($R$17="Distrato",$E1147,0))),0,YEARFRAC(MAX($P$708*($B1147+IF($R$17="Distrato",$I$38-1,0)),IF(AND($L$711=0,$P$708=0),"",$L$711-1),IF($R$17="Distrato",$E1147,0)),MIN(AZ$38,$D$19),$P$20))-SUM($P1147:AY1147)</f>
        <v>#VALUE!</v>
      </c>
      <c r="BA1147" s="446" t="e">
        <f>IF(OR($B1147="",MIN(BA$38,$D$19)&lt;MAX($P$708*($B1147+IF($R$17="Distrato",$I$38-1,0)),IF(AND($L$711=0,$P$708=0),"",$L$711-1),IF($R$17="Distrato",$E1147,0))),0,YEARFRAC(MAX($P$708*($B1147+IF($R$17="Distrato",$I$38-1,0)),IF(AND($L$711=0,$P$708=0),"",$L$711-1),IF($R$17="Distrato",$E1147,0)),MIN(BA$38,$D$19),$P$20))-SUM($P1147:AZ1147)</f>
        <v>#VALUE!</v>
      </c>
      <c r="BB1147" s="447"/>
    </row>
    <row r="1148" spans="1:54" s="446" customFormat="1" ht="11.25" hidden="1" customHeight="1" x14ac:dyDescent="0.2">
      <c r="A1148" s="235"/>
      <c r="B1148" s="236"/>
      <c r="C1148" s="29" t="str">
        <f>IF(B1148="","",IF($L$709=$BL$25,VLOOKUP(DATE(YEAR($D$19),MONTH($D$19)-1,1),ÍNDICES!$A:$DE,HLOOKUP($BL$25,ÍNDICES!$B$3:$T$4,2)+11)-VLOOKUP(B1148,ÍNDICES!$A:$DE,HLOOKUP($BL$25,ÍNDICES!$B$3:$T$4,2)+11)+1%,IF(C$712=$W$26,$J$35,IF(ISERROR(IF(B1148&gt;$D$19,1,VLOOKUP(DATE(YEAR(B1148),MONTH(B1148)+IF($C$709=$S$23,1,0),1),ÍNDICES!$A:$DE,$Z$709+1))),"",IF(B1148&gt;$D$19,1,VLOOKUP(DATE(YEAR(B1148),MONTH(B1148)+IF($C$709=$S$23,1,0),1),ÍNDICES!$A:$DE,$Z$709+1))))))</f>
        <v/>
      </c>
      <c r="D1148" s="155"/>
      <c r="E1148" s="88"/>
      <c r="F1148" s="88"/>
      <c r="G1148" s="88"/>
      <c r="H1148" s="118"/>
      <c r="I1148" s="182">
        <f t="shared" si="157"/>
        <v>0</v>
      </c>
      <c r="J1148" s="20">
        <f t="shared" ca="1" si="158"/>
        <v>0</v>
      </c>
      <c r="K1148" s="5">
        <f t="shared" ca="1" si="159"/>
        <v>0</v>
      </c>
      <c r="L1148" s="61">
        <f t="shared" ca="1" si="160"/>
        <v>0</v>
      </c>
      <c r="M1148" s="64">
        <f t="shared" si="161"/>
        <v>0</v>
      </c>
      <c r="N1148" s="151"/>
      <c r="O1148" s="5">
        <f t="shared" ca="1" si="162"/>
        <v>0</v>
      </c>
      <c r="P1148" s="446" t="e">
        <f t="shared" si="163"/>
        <v>#VALUE!</v>
      </c>
      <c r="Q1148" s="446" t="e">
        <f>IF(OR($B1148="",MIN(Q$38,$D$19)&lt;MAX($P$708*($B1148+IF($R$17="Distrato",$I$38-1,0)),IF(AND($L$711=0,$P$708=0),"",$L$711-1),IF($R$17="Distrato",$E1148,0))),0,YEARFRAC(MAX($P$708*($B1148+IF($R$17="Distrato",$I$38-1,0)),IF(AND($L$711=0,$P$708=0),"",$L$711-1),IF($R$17="Distrato",$E1148,0)),MIN(Q$38,$D$19),$P$20))-SUM($P1148:P1148)</f>
        <v>#VALUE!</v>
      </c>
      <c r="R1148" s="446" t="e">
        <f>IF(OR($B1148="",MIN(R$38,$D$19)&lt;MAX($P$708*($B1148+IF($R$17="Distrato",$I$38-1,0)),IF(AND($L$711=0,$P$708=0),"",$L$711-1),IF($R$17="Distrato",$E1148,0))),0,YEARFRAC(MAX($P$708*($B1148+IF($R$17="Distrato",$I$38-1,0)),IF(AND($L$711=0,$P$708=0),"",$L$711-1),IF($R$17="Distrato",$E1148,0)),MIN(R$38,$D$19),$P$20))-SUM($P1148:Q1148)</f>
        <v>#VALUE!</v>
      </c>
      <c r="S1148" s="446" t="e">
        <f>IF(OR($B1148="",MIN(S$38,$D$19)&lt;MAX($P$708*($B1148+IF($R$17="Distrato",$I$38-1,0)),IF(AND($L$711=0,$P$708=0),"",$L$711-1),IF($R$17="Distrato",$E1148,0))),0,YEARFRAC(MAX($P$708*($B1148+IF($R$17="Distrato",$I$38-1,0)),IF(AND($L$711=0,$P$708=0),"",$L$711-1),IF($R$17="Distrato",$E1148,0)),MIN(S$38,$D$19),$P$20))-SUM($P1148:R1148)</f>
        <v>#VALUE!</v>
      </c>
      <c r="T1148" s="446" t="e">
        <f>IF(OR($B1148="",MIN(T$38,$D$19)&lt;MAX($P$708*($B1148+IF($R$17="Distrato",$I$38-1,0)),IF(AND($L$711=0,$P$708=0),"",$L$711-1),IF($R$17="Distrato",$E1148,0))),0,YEARFRAC(MAX($P$708*($B1148+IF($R$17="Distrato",$I$38-1,0)),IF(AND($L$711=0,$P$708=0),"",$L$711-1),IF($R$17="Distrato",$E1148,0)),MIN(T$38,$D$19),$P$20))-SUM($P1148:S1148)</f>
        <v>#VALUE!</v>
      </c>
      <c r="U1148" s="446" t="e">
        <f>IF(OR($B1148="",MIN(U$38,$D$19)&lt;MAX($P$708*($B1148+IF($R$17="Distrato",$I$38-1,0)),IF(AND($L$711=0,$P$708=0),"",$L$711-1),IF($R$17="Distrato",$E1148,0))),0,YEARFRAC(MAX($P$708*($B1148+IF($R$17="Distrato",$I$38-1,0)),IF(AND($L$711=0,$P$708=0),"",$L$711-1),IF($R$17="Distrato",$E1148,0)),MIN(U$38,$D$19),$P$20))-SUM($P1148:T1148)</f>
        <v>#VALUE!</v>
      </c>
      <c r="V1148" s="446" t="e">
        <f>IF(OR($B1148="",MIN(V$38,$D$19)&lt;MAX($P$708*($B1148+IF($R$17="Distrato",$I$38-1,0)),IF(AND($L$711=0,$P$708=0),"",$L$711-1),IF($R$17="Distrato",$E1148,0))),0,YEARFRAC(MAX($P$708*($B1148+IF($R$17="Distrato",$I$38-1,0)),IF(AND($L$711=0,$P$708=0),"",$L$711-1),IF($R$17="Distrato",$E1148,0)),MIN(V$38,$D$19),$P$20))-SUM($P1148:U1148)</f>
        <v>#VALUE!</v>
      </c>
      <c r="W1148" s="446" t="e">
        <f>IF(OR($B1148="",MIN(W$38,$D$19)&lt;MAX($P$708*($B1148+IF($R$17="Distrato",$I$38-1,0)),IF(AND($L$711=0,$P$708=0),"",$L$711-1),IF($R$17="Distrato",$E1148,0))),0,YEARFRAC(MAX($P$708*($B1148+IF($R$17="Distrato",$I$38-1,0)),IF(AND($L$711=0,$P$708=0),"",$L$711-1),IF($R$17="Distrato",$E1148,0)),MIN(W$38,$D$19),$P$20))-SUM($P1148:V1148)</f>
        <v>#VALUE!</v>
      </c>
      <c r="X1148" s="446" t="e">
        <f>IF(OR($B1148="",MIN(X$38,$D$19)&lt;MAX($P$708*($B1148+IF($R$17="Distrato",$I$38-1,0)),IF(AND($L$711=0,$P$708=0),"",$L$711-1),IF($R$17="Distrato",$E1148,0))),0,YEARFRAC(MAX($P$708*($B1148+IF($R$17="Distrato",$I$38-1,0)),IF(AND($L$711=0,$P$708=0),"",$L$711-1),IF($R$17="Distrato",$E1148,0)),MIN(X$38,$D$19),$P$20))-SUM($P1148:W1148)</f>
        <v>#VALUE!</v>
      </c>
      <c r="Y1148" s="446" t="e">
        <f>IF(OR($B1148="",MIN(Y$38,$D$19)&lt;MAX($P$708*($B1148+IF($R$17="Distrato",$I$38-1,0)),IF(AND($L$711=0,$P$708=0),"",$L$711-1),IF($R$17="Distrato",$E1148,0))),0,YEARFRAC(MAX($P$708*($B1148+IF($R$17="Distrato",$I$38-1,0)),IF(AND($L$711=0,$P$708=0),"",$L$711-1),IF($R$17="Distrato",$E1148,0)),MIN(Y$38,$D$19),$P$20))-SUM($P1148:X1148)</f>
        <v>#VALUE!</v>
      </c>
      <c r="Z1148" s="446" t="e">
        <f>IF(OR($B1148="",MIN(Z$38,$D$19)&lt;MAX($P$708*($B1148+IF($R$17="Distrato",$I$38-1,0)),IF(AND($L$711=0,$P$708=0),"",$L$711-1),IF($R$17="Distrato",$E1148,0))),0,YEARFRAC(MAX($P$708*($B1148+IF($R$17="Distrato",$I$38-1,0)),IF(AND($L$711=0,$P$708=0),"",$L$711-1),IF($R$17="Distrato",$E1148,0)),MIN(Z$38,$D$19),$P$20))-SUM($P1148:Y1148)</f>
        <v>#VALUE!</v>
      </c>
      <c r="AA1148" s="446" t="e">
        <f>IF(OR($B1148="",MIN(AA$38,$D$19)&lt;MAX($P$708*($B1148+IF($R$17="Distrato",$I$38-1,0)),IF(AND($L$711=0,$P$708=0),"",$L$711-1),IF($R$17="Distrato",$E1148,0))),0,YEARFRAC(MAX($P$708*($B1148+IF($R$17="Distrato",$I$38-1,0)),IF(AND($L$711=0,$P$708=0),"",$L$711-1),IF($R$17="Distrato",$E1148,0)),MIN(AA$38,$D$19),$P$20))-SUM($P1148:Z1148)</f>
        <v>#VALUE!</v>
      </c>
      <c r="AB1148" s="446" t="e">
        <f>IF(OR($B1148="",MIN(AB$38,$D$19)&lt;MAX($P$708*($B1148+IF($R$17="Distrato",$I$38-1,0)),IF(AND($L$711=0,$P$708=0),"",$L$711-1),IF($R$17="Distrato",$E1148,0))),0,YEARFRAC(MAX($P$708*($B1148+IF($R$17="Distrato",$I$38-1,0)),IF(AND($L$711=0,$P$708=0),"",$L$711-1),IF($R$17="Distrato",$E1148,0)),MIN(AB$38,$D$19),$P$20))-SUM($P1148:AA1148)</f>
        <v>#VALUE!</v>
      </c>
      <c r="AC1148" s="446" t="e">
        <f>IF(OR($B1148="",MIN(AC$38,$D$19)&lt;MAX($P$708*($B1148+IF($R$17="Distrato",$I$38-1,0)),IF(AND($L$711=0,$P$708=0),"",$L$711-1),IF($R$17="Distrato",$E1148,0))),0,YEARFRAC(MAX($P$708*($B1148+IF($R$17="Distrato",$I$38-1,0)),IF(AND($L$711=0,$P$708=0),"",$L$711-1),IF($R$17="Distrato",$E1148,0)),MIN(AC$38,$D$19),$P$20))-SUM($P1148:AB1148)</f>
        <v>#VALUE!</v>
      </c>
      <c r="AD1148" s="446" t="e">
        <f>IF(OR($B1148="",MIN(AD$38,$D$19)&lt;MAX($P$708*($B1148+IF($R$17="Distrato",$I$38-1,0)),IF(AND($L$711=0,$P$708=0),"",$L$711-1),IF($R$17="Distrato",$E1148,0))),0,YEARFRAC(MAX($P$708*($B1148+IF($R$17="Distrato",$I$38-1,0)),IF(AND($L$711=0,$P$708=0),"",$L$711-1),IF($R$17="Distrato",$E1148,0)),MIN(AD$38,$D$19),$P$20))-SUM($P1148:AC1148)</f>
        <v>#VALUE!</v>
      </c>
      <c r="AE1148" s="446" t="e">
        <f>IF(OR($B1148="",MIN(AE$38,$D$19)&lt;MAX($P$708*($B1148+IF($R$17="Distrato",$I$38-1,0)),IF(AND($L$711=0,$P$708=0),"",$L$711-1),IF($R$17="Distrato",$E1148,0))),0,YEARFRAC(MAX($P$708*($B1148+IF($R$17="Distrato",$I$38-1,0)),IF(AND($L$711=0,$P$708=0),"",$L$711-1),IF($R$17="Distrato",$E1148,0)),MIN(AE$38,$D$19),$P$20))-SUM($P1148:AD1148)</f>
        <v>#VALUE!</v>
      </c>
      <c r="AF1148" s="446" t="e">
        <f>IF(OR($B1148="",MIN(AF$38,$D$19)&lt;MAX($P$708*($B1148+IF($R$17="Distrato",$I$38-1,0)),IF(AND($L$711=0,$P$708=0),"",$L$711-1),IF($R$17="Distrato",$E1148,0))),0,YEARFRAC(MAX($P$708*($B1148+IF($R$17="Distrato",$I$38-1,0)),IF(AND($L$711=0,$P$708=0),"",$L$711-1),IF($R$17="Distrato",$E1148,0)),MIN(AF$38,$D$19),$P$20))-SUM($P1148:AE1148)</f>
        <v>#VALUE!</v>
      </c>
      <c r="AG1148" s="446" t="e">
        <f>IF(OR($B1148="",MIN(AG$38,$D$19)&lt;MAX($P$708*($B1148+IF($R$17="Distrato",$I$38-1,0)),IF(AND($L$711=0,$P$708=0),"",$L$711-1),IF($R$17="Distrato",$E1148,0))),0,YEARFRAC(MAX($P$708*($B1148+IF($R$17="Distrato",$I$38-1,0)),IF(AND($L$711=0,$P$708=0),"",$L$711-1),IF($R$17="Distrato",$E1148,0)),MIN(AG$38,$D$19),$P$20))-SUM($P1148:AF1148)</f>
        <v>#VALUE!</v>
      </c>
      <c r="AH1148" s="446" t="e">
        <f>IF(OR($B1148="",MIN(AH$38,$D$19)&lt;MAX($P$708*($B1148+IF($R$17="Distrato",$I$38-1,0)),IF(AND($L$711=0,$P$708=0),"",$L$711-1),IF($R$17="Distrato",$E1148,0))),0,YEARFRAC(MAX($P$708*($B1148+IF($R$17="Distrato",$I$38-1,0)),IF(AND($L$711=0,$P$708=0),"",$L$711-1),IF($R$17="Distrato",$E1148,0)),MIN(AH$38,$D$19),$P$20))-SUM($P1148:AG1148)</f>
        <v>#VALUE!</v>
      </c>
      <c r="AI1148" s="446" t="e">
        <f>IF(OR($B1148="",MIN(AI$38,$D$19)&lt;MAX($P$708*($B1148+IF($R$17="Distrato",$I$38-1,0)),IF(AND($L$711=0,$P$708=0),"",$L$711-1),IF($R$17="Distrato",$E1148,0))),0,YEARFRAC(MAX($P$708*($B1148+IF($R$17="Distrato",$I$38-1,0)),IF(AND($L$711=0,$P$708=0),"",$L$711-1),IF($R$17="Distrato",$E1148,0)),MIN(AI$38,$D$19),$P$20))-SUM($P1148:AH1148)</f>
        <v>#VALUE!</v>
      </c>
      <c r="AJ1148" s="446" t="e">
        <f>IF(OR($B1148="",MIN(AJ$38,$D$19)&lt;MAX($P$708*($B1148+IF($R$17="Distrato",$I$38-1,0)),IF(AND($L$711=0,$P$708=0),"",$L$711-1),IF($R$17="Distrato",$E1148,0))),0,YEARFRAC(MAX($P$708*($B1148+IF($R$17="Distrato",$I$38-1,0)),IF(AND($L$711=0,$P$708=0),"",$L$711-1),IF($R$17="Distrato",$E1148,0)),MIN(AJ$38,$D$19),$P$20))-SUM($P1148:AI1148)</f>
        <v>#VALUE!</v>
      </c>
      <c r="AK1148" s="446" t="e">
        <f>IF(OR($B1148="",MIN(AK$38,$D$19)&lt;MAX($P$708*($B1148+IF($R$17="Distrato",$I$38-1,0)),IF(AND($L$711=0,$P$708=0),"",$L$711-1),IF($R$17="Distrato",$E1148,0))),0,YEARFRAC(MAX($P$708*($B1148+IF($R$17="Distrato",$I$38-1,0)),IF(AND($L$711=0,$P$708=0),"",$L$711-1),IF($R$17="Distrato",$E1148,0)),MIN(AK$38,$D$19),$P$20))-SUM($P1148:AJ1148)</f>
        <v>#VALUE!</v>
      </c>
      <c r="AL1148" s="446" t="e">
        <f>IF(OR($B1148="",MIN(AL$38,$D$19)&lt;MAX($P$708*($B1148+IF($R$17="Distrato",$I$38-1,0)),IF(AND($L$711=0,$P$708=0),"",$L$711-1),IF($R$17="Distrato",$E1148,0))),0,YEARFRAC(MAX($P$708*($B1148+IF($R$17="Distrato",$I$38-1,0)),IF(AND($L$711=0,$P$708=0),"",$L$711-1),IF($R$17="Distrato",$E1148,0)),MIN(AL$38,$D$19),$P$20))-SUM($P1148:AK1148)</f>
        <v>#VALUE!</v>
      </c>
      <c r="AM1148" s="446" t="e">
        <f>IF(OR($B1148="",MIN(AM$38,$D$19)&lt;MAX($P$708*($B1148+IF($R$17="Distrato",$I$38-1,0)),IF(AND($L$711=0,$P$708=0),"",$L$711-1),IF($R$17="Distrato",$E1148,0))),0,YEARFRAC(MAX($P$708*($B1148+IF($R$17="Distrato",$I$38-1,0)),IF(AND($L$711=0,$P$708=0),"",$L$711-1),IF($R$17="Distrato",$E1148,0)),MIN(AM$38,$D$19),$P$20))-SUM($P1148:AL1148)</f>
        <v>#VALUE!</v>
      </c>
      <c r="AN1148" s="446" t="e">
        <f>IF(OR($B1148="",MIN(AN$38,$D$19)&lt;MAX($P$708*($B1148+IF($R$17="Distrato",$I$38-1,0)),IF(AND($L$711=0,$P$708=0),"",$L$711-1),IF($R$17="Distrato",$E1148,0))),0,YEARFRAC(MAX($P$708*($B1148+IF($R$17="Distrato",$I$38-1,0)),IF(AND($L$711=0,$P$708=0),"",$L$711-1),IF($R$17="Distrato",$E1148,0)),MIN(AN$38,$D$19),$P$20))-SUM($P1148:AM1148)</f>
        <v>#VALUE!</v>
      </c>
      <c r="AO1148" s="446" t="e">
        <f>IF(OR($B1148="",MIN(AO$38,$D$19)&lt;MAX($P$708*($B1148+IF($R$17="Distrato",$I$38-1,0)),IF(AND($L$711=0,$P$708=0),"",$L$711-1),IF($R$17="Distrato",$E1148,0))),0,YEARFRAC(MAX($P$708*($B1148+IF($R$17="Distrato",$I$38-1,0)),IF(AND($L$711=0,$P$708=0),"",$L$711-1),IF($R$17="Distrato",$E1148,0)),MIN(AO$38,$D$19),$P$20))-SUM($P1148:AN1148)</f>
        <v>#VALUE!</v>
      </c>
      <c r="AP1148" s="446" t="e">
        <f>IF(OR($B1148="",MIN(AP$38,$D$19)&lt;MAX($P$708*($B1148+IF($R$17="Distrato",$I$38-1,0)),IF(AND($L$711=0,$P$708=0),"",$L$711-1),IF($R$17="Distrato",$E1148,0))),0,YEARFRAC(MAX($P$708*($B1148+IF($R$17="Distrato",$I$38-1,0)),IF(AND($L$711=0,$P$708=0),"",$L$711-1),IF($R$17="Distrato",$E1148,0)),MIN(AP$38,$D$19),$P$20))-SUM($P1148:AO1148)</f>
        <v>#VALUE!</v>
      </c>
      <c r="AQ1148" s="446" t="e">
        <f>IF(OR($B1148="",MIN(AQ$38,$D$19)&lt;MAX($P$708*($B1148+IF($R$17="Distrato",$I$38-1,0)),IF(AND($L$711=0,$P$708=0),"",$L$711-1),IF($R$17="Distrato",$E1148,0))),0,YEARFRAC(MAX($P$708*($B1148+IF($R$17="Distrato",$I$38-1,0)),IF(AND($L$711=0,$P$708=0),"",$L$711-1),IF($R$17="Distrato",$E1148,0)),MIN(AQ$38,$D$19),$P$20))-SUM($P1148:AP1148)</f>
        <v>#VALUE!</v>
      </c>
      <c r="AR1148" s="446" t="e">
        <f>IF(OR($B1148="",MIN(AR$38,$D$19)&lt;MAX($P$708*($B1148+IF($R$17="Distrato",$I$38-1,0)),IF(AND($L$711=0,$P$708=0),"",$L$711-1),IF($R$17="Distrato",$E1148,0))),0,YEARFRAC(MAX($P$708*($B1148+IF($R$17="Distrato",$I$38-1,0)),IF(AND($L$711=0,$P$708=0),"",$L$711-1),IF($R$17="Distrato",$E1148,0)),MIN(AR$38,$D$19),$P$20))-SUM($P1148:AQ1148)</f>
        <v>#VALUE!</v>
      </c>
      <c r="AS1148" s="446" t="e">
        <f>IF(OR($B1148="",MIN(AS$38,$D$19)&lt;MAX($P$708*($B1148+IF($R$17="Distrato",$I$38-1,0)),IF(AND($L$711=0,$P$708=0),"",$L$711-1),IF($R$17="Distrato",$E1148,0))),0,YEARFRAC(MAX($P$708*($B1148+IF($R$17="Distrato",$I$38-1,0)),IF(AND($L$711=0,$P$708=0),"",$L$711-1),IF($R$17="Distrato",$E1148,0)),MIN(AS$38,$D$19),$P$20))-SUM($P1148:AR1148)</f>
        <v>#VALUE!</v>
      </c>
      <c r="AT1148" s="446" t="e">
        <f>IF(OR($B1148="",MIN(AT$38,$D$19)&lt;MAX($P$708*($B1148+IF($R$17="Distrato",$I$38-1,0)),IF(AND($L$711=0,$P$708=0),"",$L$711-1),IF($R$17="Distrato",$E1148,0))),0,YEARFRAC(MAX($P$708*($B1148+IF($R$17="Distrato",$I$38-1,0)),IF(AND($L$711=0,$P$708=0),"",$L$711-1),IF($R$17="Distrato",$E1148,0)),MIN(AT$38,$D$19),$P$20))-SUM($P1148:AS1148)</f>
        <v>#VALUE!</v>
      </c>
      <c r="AU1148" s="446" t="e">
        <f>IF(OR($B1148="",MIN(AU$38,$D$19)&lt;MAX($P$708*($B1148+IF($R$17="Distrato",$I$38-1,0)),IF(AND($L$711=0,$P$708=0),"",$L$711-1),IF($R$17="Distrato",$E1148,0))),0,YEARFRAC(MAX($P$708*($B1148+IF($R$17="Distrato",$I$38-1,0)),IF(AND($L$711=0,$P$708=0),"",$L$711-1),IF($R$17="Distrato",$E1148,0)),MIN(AU$38,$D$19),$P$20))-SUM($P1148:AT1148)</f>
        <v>#VALUE!</v>
      </c>
      <c r="AV1148" s="446" t="e">
        <f>IF(OR($B1148="",MIN(AV$38,$D$19)&lt;MAX($P$708*($B1148+IF($R$17="Distrato",$I$38-1,0)),IF(AND($L$711=0,$P$708=0),"",$L$711-1),IF($R$17="Distrato",$E1148,0))),0,YEARFRAC(MAX($P$708*($B1148+IF($R$17="Distrato",$I$38-1,0)),IF(AND($L$711=0,$P$708=0),"",$L$711-1),IF($R$17="Distrato",$E1148,0)),MIN(AV$38,$D$19),$P$20))-SUM($P1148:AU1148)</f>
        <v>#VALUE!</v>
      </c>
      <c r="AW1148" s="446" t="e">
        <f>IF(OR($B1148="",MIN(AW$38,$D$19)&lt;MAX($P$708*($B1148+IF($R$17="Distrato",$I$38-1,0)),IF(AND($L$711=0,$P$708=0),"",$L$711-1),IF($R$17="Distrato",$E1148,0))),0,YEARFRAC(MAX($P$708*($B1148+IF($R$17="Distrato",$I$38-1,0)),IF(AND($L$711=0,$P$708=0),"",$L$711-1),IF($R$17="Distrato",$E1148,0)),MIN(AW$38,$D$19),$P$20))-SUM($P1148:AV1148)</f>
        <v>#VALUE!</v>
      </c>
      <c r="AX1148" s="446" t="e">
        <f>IF(OR($B1148="",MIN(AX$38,$D$19)&lt;MAX($P$708*($B1148+IF($R$17="Distrato",$I$38-1,0)),IF(AND($L$711=0,$P$708=0),"",$L$711-1),IF($R$17="Distrato",$E1148,0))),0,YEARFRAC(MAX($P$708*($B1148+IF($R$17="Distrato",$I$38-1,0)),IF(AND($L$711=0,$P$708=0),"",$L$711-1),IF($R$17="Distrato",$E1148,0)),MIN(AX$38,$D$19),$P$20))-SUM($P1148:AW1148)</f>
        <v>#VALUE!</v>
      </c>
      <c r="AY1148" s="446" t="e">
        <f>IF(OR($B1148="",MIN(AY$38,$D$19)&lt;MAX($P$708*($B1148+IF($R$17="Distrato",$I$38-1,0)),IF(AND($L$711=0,$P$708=0),"",$L$711-1),IF($R$17="Distrato",$E1148,0))),0,YEARFRAC(MAX($P$708*($B1148+IF($R$17="Distrato",$I$38-1,0)),IF(AND($L$711=0,$P$708=0),"",$L$711-1),IF($R$17="Distrato",$E1148,0)),MIN(AY$38,$D$19),$P$20))-SUM($P1148:AX1148)</f>
        <v>#VALUE!</v>
      </c>
      <c r="AZ1148" s="446" t="e">
        <f>IF(OR($B1148="",MIN(AZ$38,$D$19)&lt;MAX($P$708*($B1148+IF($R$17="Distrato",$I$38-1,0)),IF(AND($L$711=0,$P$708=0),"",$L$711-1),IF($R$17="Distrato",$E1148,0))),0,YEARFRAC(MAX($P$708*($B1148+IF($R$17="Distrato",$I$38-1,0)),IF(AND($L$711=0,$P$708=0),"",$L$711-1),IF($R$17="Distrato",$E1148,0)),MIN(AZ$38,$D$19),$P$20))-SUM($P1148:AY1148)</f>
        <v>#VALUE!</v>
      </c>
      <c r="BA1148" s="446" t="e">
        <f>IF(OR($B1148="",MIN(BA$38,$D$19)&lt;MAX($P$708*($B1148+IF($R$17="Distrato",$I$38-1,0)),IF(AND($L$711=0,$P$708=0),"",$L$711-1),IF($R$17="Distrato",$E1148,0))),0,YEARFRAC(MAX($P$708*($B1148+IF($R$17="Distrato",$I$38-1,0)),IF(AND($L$711=0,$P$708=0),"",$L$711-1),IF($R$17="Distrato",$E1148,0)),MIN(BA$38,$D$19),$P$20))-SUM($P1148:AZ1148)</f>
        <v>#VALUE!</v>
      </c>
      <c r="BB1148" s="447"/>
    </row>
    <row r="1149" spans="1:54" s="446" customFormat="1" ht="11.25" hidden="1" customHeight="1" x14ac:dyDescent="0.2">
      <c r="A1149" s="235"/>
      <c r="B1149" s="236"/>
      <c r="C1149" s="29" t="str">
        <f>IF(B1149="","",IF($L$709=$BL$25,VLOOKUP(DATE(YEAR($D$19),MONTH($D$19)-1,1),ÍNDICES!$A:$DE,HLOOKUP($BL$25,ÍNDICES!$B$3:$T$4,2)+11)-VLOOKUP(B1149,ÍNDICES!$A:$DE,HLOOKUP($BL$25,ÍNDICES!$B$3:$T$4,2)+11)+1%,IF(C$712=$W$26,$J$35,IF(ISERROR(IF(B1149&gt;$D$19,1,VLOOKUP(DATE(YEAR(B1149),MONTH(B1149)+IF($C$709=$S$23,1,0),1),ÍNDICES!$A:$DE,$Z$709+1))),"",IF(B1149&gt;$D$19,1,VLOOKUP(DATE(YEAR(B1149),MONTH(B1149)+IF($C$709=$S$23,1,0),1),ÍNDICES!$A:$DE,$Z$709+1))))))</f>
        <v/>
      </c>
      <c r="D1149" s="155"/>
      <c r="E1149" s="88"/>
      <c r="F1149" s="88"/>
      <c r="G1149" s="88"/>
      <c r="H1149" s="118"/>
      <c r="I1149" s="182">
        <f t="shared" si="157"/>
        <v>0</v>
      </c>
      <c r="J1149" s="20">
        <f t="shared" ca="1" si="158"/>
        <v>0</v>
      </c>
      <c r="K1149" s="5">
        <f t="shared" ca="1" si="159"/>
        <v>0</v>
      </c>
      <c r="L1149" s="61">
        <f t="shared" ca="1" si="160"/>
        <v>0</v>
      </c>
      <c r="M1149" s="64">
        <f t="shared" si="161"/>
        <v>0</v>
      </c>
      <c r="N1149" s="151"/>
      <c r="O1149" s="5">
        <f t="shared" ca="1" si="162"/>
        <v>0</v>
      </c>
      <c r="P1149" s="446" t="e">
        <f t="shared" si="163"/>
        <v>#VALUE!</v>
      </c>
      <c r="Q1149" s="446" t="e">
        <f>IF(OR($B1149="",MIN(Q$38,$D$19)&lt;MAX($P$708*($B1149+IF($R$17="Distrato",$I$38-1,0)),IF(AND($L$711=0,$P$708=0),"",$L$711-1),IF($R$17="Distrato",$E1149,0))),0,YEARFRAC(MAX($P$708*($B1149+IF($R$17="Distrato",$I$38-1,0)),IF(AND($L$711=0,$P$708=0),"",$L$711-1),IF($R$17="Distrato",$E1149,0)),MIN(Q$38,$D$19),$P$20))-SUM($P1149:P1149)</f>
        <v>#VALUE!</v>
      </c>
      <c r="R1149" s="446" t="e">
        <f>IF(OR($B1149="",MIN(R$38,$D$19)&lt;MAX($P$708*($B1149+IF($R$17="Distrato",$I$38-1,0)),IF(AND($L$711=0,$P$708=0),"",$L$711-1),IF($R$17="Distrato",$E1149,0))),0,YEARFRAC(MAX($P$708*($B1149+IF($R$17="Distrato",$I$38-1,0)),IF(AND($L$711=0,$P$708=0),"",$L$711-1),IF($R$17="Distrato",$E1149,0)),MIN(R$38,$D$19),$P$20))-SUM($P1149:Q1149)</f>
        <v>#VALUE!</v>
      </c>
      <c r="S1149" s="446" t="e">
        <f>IF(OR($B1149="",MIN(S$38,$D$19)&lt;MAX($P$708*($B1149+IF($R$17="Distrato",$I$38-1,0)),IF(AND($L$711=0,$P$708=0),"",$L$711-1),IF($R$17="Distrato",$E1149,0))),0,YEARFRAC(MAX($P$708*($B1149+IF($R$17="Distrato",$I$38-1,0)),IF(AND($L$711=0,$P$708=0),"",$L$711-1),IF($R$17="Distrato",$E1149,0)),MIN(S$38,$D$19),$P$20))-SUM($P1149:R1149)</f>
        <v>#VALUE!</v>
      </c>
      <c r="T1149" s="446" t="e">
        <f>IF(OR($B1149="",MIN(T$38,$D$19)&lt;MAX($P$708*($B1149+IF($R$17="Distrato",$I$38-1,0)),IF(AND($L$711=0,$P$708=0),"",$L$711-1),IF($R$17="Distrato",$E1149,0))),0,YEARFRAC(MAX($P$708*($B1149+IF($R$17="Distrato",$I$38-1,0)),IF(AND($L$711=0,$P$708=0),"",$L$711-1),IF($R$17="Distrato",$E1149,0)),MIN(T$38,$D$19),$P$20))-SUM($P1149:S1149)</f>
        <v>#VALUE!</v>
      </c>
      <c r="U1149" s="446" t="e">
        <f>IF(OR($B1149="",MIN(U$38,$D$19)&lt;MAX($P$708*($B1149+IF($R$17="Distrato",$I$38-1,0)),IF(AND($L$711=0,$P$708=0),"",$L$711-1),IF($R$17="Distrato",$E1149,0))),0,YEARFRAC(MAX($P$708*($B1149+IF($R$17="Distrato",$I$38-1,0)),IF(AND($L$711=0,$P$708=0),"",$L$711-1),IF($R$17="Distrato",$E1149,0)),MIN(U$38,$D$19),$P$20))-SUM($P1149:T1149)</f>
        <v>#VALUE!</v>
      </c>
      <c r="V1149" s="446" t="e">
        <f>IF(OR($B1149="",MIN(V$38,$D$19)&lt;MAX($P$708*($B1149+IF($R$17="Distrato",$I$38-1,0)),IF(AND($L$711=0,$P$708=0),"",$L$711-1),IF($R$17="Distrato",$E1149,0))),0,YEARFRAC(MAX($P$708*($B1149+IF($R$17="Distrato",$I$38-1,0)),IF(AND($L$711=0,$P$708=0),"",$L$711-1),IF($R$17="Distrato",$E1149,0)),MIN(V$38,$D$19),$P$20))-SUM($P1149:U1149)</f>
        <v>#VALUE!</v>
      </c>
      <c r="W1149" s="446" t="e">
        <f>IF(OR($B1149="",MIN(W$38,$D$19)&lt;MAX($P$708*($B1149+IF($R$17="Distrato",$I$38-1,0)),IF(AND($L$711=0,$P$708=0),"",$L$711-1),IF($R$17="Distrato",$E1149,0))),0,YEARFRAC(MAX($P$708*($B1149+IF($R$17="Distrato",$I$38-1,0)),IF(AND($L$711=0,$P$708=0),"",$L$711-1),IF($R$17="Distrato",$E1149,0)),MIN(W$38,$D$19),$P$20))-SUM($P1149:V1149)</f>
        <v>#VALUE!</v>
      </c>
      <c r="X1149" s="446" t="e">
        <f>IF(OR($B1149="",MIN(X$38,$D$19)&lt;MAX($P$708*($B1149+IF($R$17="Distrato",$I$38-1,0)),IF(AND($L$711=0,$P$708=0),"",$L$711-1),IF($R$17="Distrato",$E1149,0))),0,YEARFRAC(MAX($P$708*($B1149+IF($R$17="Distrato",$I$38-1,0)),IF(AND($L$711=0,$P$708=0),"",$L$711-1),IF($R$17="Distrato",$E1149,0)),MIN(X$38,$D$19),$P$20))-SUM($P1149:W1149)</f>
        <v>#VALUE!</v>
      </c>
      <c r="Y1149" s="446" t="e">
        <f>IF(OR($B1149="",MIN(Y$38,$D$19)&lt;MAX($P$708*($B1149+IF($R$17="Distrato",$I$38-1,0)),IF(AND($L$711=0,$P$708=0),"",$L$711-1),IF($R$17="Distrato",$E1149,0))),0,YEARFRAC(MAX($P$708*($B1149+IF($R$17="Distrato",$I$38-1,0)),IF(AND($L$711=0,$P$708=0),"",$L$711-1),IF($R$17="Distrato",$E1149,0)),MIN(Y$38,$D$19),$P$20))-SUM($P1149:X1149)</f>
        <v>#VALUE!</v>
      </c>
      <c r="Z1149" s="446" t="e">
        <f>IF(OR($B1149="",MIN(Z$38,$D$19)&lt;MAX($P$708*($B1149+IF($R$17="Distrato",$I$38-1,0)),IF(AND($L$711=0,$P$708=0),"",$L$711-1),IF($R$17="Distrato",$E1149,0))),0,YEARFRAC(MAX($P$708*($B1149+IF($R$17="Distrato",$I$38-1,0)),IF(AND($L$711=0,$P$708=0),"",$L$711-1),IF($R$17="Distrato",$E1149,0)),MIN(Z$38,$D$19),$P$20))-SUM($P1149:Y1149)</f>
        <v>#VALUE!</v>
      </c>
      <c r="AA1149" s="446" t="e">
        <f>IF(OR($B1149="",MIN(AA$38,$D$19)&lt;MAX($P$708*($B1149+IF($R$17="Distrato",$I$38-1,0)),IF(AND($L$711=0,$P$708=0),"",$L$711-1),IF($R$17="Distrato",$E1149,0))),0,YEARFRAC(MAX($P$708*($B1149+IF($R$17="Distrato",$I$38-1,0)),IF(AND($L$711=0,$P$708=0),"",$L$711-1),IF($R$17="Distrato",$E1149,0)),MIN(AA$38,$D$19),$P$20))-SUM($P1149:Z1149)</f>
        <v>#VALUE!</v>
      </c>
      <c r="AB1149" s="446" t="e">
        <f>IF(OR($B1149="",MIN(AB$38,$D$19)&lt;MAX($P$708*($B1149+IF($R$17="Distrato",$I$38-1,0)),IF(AND($L$711=0,$P$708=0),"",$L$711-1),IF($R$17="Distrato",$E1149,0))),0,YEARFRAC(MAX($P$708*($B1149+IF($R$17="Distrato",$I$38-1,0)),IF(AND($L$711=0,$P$708=0),"",$L$711-1),IF($R$17="Distrato",$E1149,0)),MIN(AB$38,$D$19),$P$20))-SUM($P1149:AA1149)</f>
        <v>#VALUE!</v>
      </c>
      <c r="AC1149" s="446" t="e">
        <f>IF(OR($B1149="",MIN(AC$38,$D$19)&lt;MAX($P$708*($B1149+IF($R$17="Distrato",$I$38-1,0)),IF(AND($L$711=0,$P$708=0),"",$L$711-1),IF($R$17="Distrato",$E1149,0))),0,YEARFRAC(MAX($P$708*($B1149+IF($R$17="Distrato",$I$38-1,0)),IF(AND($L$711=0,$P$708=0),"",$L$711-1),IF($R$17="Distrato",$E1149,0)),MIN(AC$38,$D$19),$P$20))-SUM($P1149:AB1149)</f>
        <v>#VALUE!</v>
      </c>
      <c r="AD1149" s="446" t="e">
        <f>IF(OR($B1149="",MIN(AD$38,$D$19)&lt;MAX($P$708*($B1149+IF($R$17="Distrato",$I$38-1,0)),IF(AND($L$711=0,$P$708=0),"",$L$711-1),IF($R$17="Distrato",$E1149,0))),0,YEARFRAC(MAX($P$708*($B1149+IF($R$17="Distrato",$I$38-1,0)),IF(AND($L$711=0,$P$708=0),"",$L$711-1),IF($R$17="Distrato",$E1149,0)),MIN(AD$38,$D$19),$P$20))-SUM($P1149:AC1149)</f>
        <v>#VALUE!</v>
      </c>
      <c r="AE1149" s="446" t="e">
        <f>IF(OR($B1149="",MIN(AE$38,$D$19)&lt;MAX($P$708*($B1149+IF($R$17="Distrato",$I$38-1,0)),IF(AND($L$711=0,$P$708=0),"",$L$711-1),IF($R$17="Distrato",$E1149,0))),0,YEARFRAC(MAX($P$708*($B1149+IF($R$17="Distrato",$I$38-1,0)),IF(AND($L$711=0,$P$708=0),"",$L$711-1),IF($R$17="Distrato",$E1149,0)),MIN(AE$38,$D$19),$P$20))-SUM($P1149:AD1149)</f>
        <v>#VALUE!</v>
      </c>
      <c r="AF1149" s="446" t="e">
        <f>IF(OR($B1149="",MIN(AF$38,$D$19)&lt;MAX($P$708*($B1149+IF($R$17="Distrato",$I$38-1,0)),IF(AND($L$711=0,$P$708=0),"",$L$711-1),IF($R$17="Distrato",$E1149,0))),0,YEARFRAC(MAX($P$708*($B1149+IF($R$17="Distrato",$I$38-1,0)),IF(AND($L$711=0,$P$708=0),"",$L$711-1),IF($R$17="Distrato",$E1149,0)),MIN(AF$38,$D$19),$P$20))-SUM($P1149:AE1149)</f>
        <v>#VALUE!</v>
      </c>
      <c r="AG1149" s="446" t="e">
        <f>IF(OR($B1149="",MIN(AG$38,$D$19)&lt;MAX($P$708*($B1149+IF($R$17="Distrato",$I$38-1,0)),IF(AND($L$711=0,$P$708=0),"",$L$711-1),IF($R$17="Distrato",$E1149,0))),0,YEARFRAC(MAX($P$708*($B1149+IF($R$17="Distrato",$I$38-1,0)),IF(AND($L$711=0,$P$708=0),"",$L$711-1),IF($R$17="Distrato",$E1149,0)),MIN(AG$38,$D$19),$P$20))-SUM($P1149:AF1149)</f>
        <v>#VALUE!</v>
      </c>
      <c r="AH1149" s="446" t="e">
        <f>IF(OR($B1149="",MIN(AH$38,$D$19)&lt;MAX($P$708*($B1149+IF($R$17="Distrato",$I$38-1,0)),IF(AND($L$711=0,$P$708=0),"",$L$711-1),IF($R$17="Distrato",$E1149,0))),0,YEARFRAC(MAX($P$708*($B1149+IF($R$17="Distrato",$I$38-1,0)),IF(AND($L$711=0,$P$708=0),"",$L$711-1),IF($R$17="Distrato",$E1149,0)),MIN(AH$38,$D$19),$P$20))-SUM($P1149:AG1149)</f>
        <v>#VALUE!</v>
      </c>
      <c r="AI1149" s="446" t="e">
        <f>IF(OR($B1149="",MIN(AI$38,$D$19)&lt;MAX($P$708*($B1149+IF($R$17="Distrato",$I$38-1,0)),IF(AND($L$711=0,$P$708=0),"",$L$711-1),IF($R$17="Distrato",$E1149,0))),0,YEARFRAC(MAX($P$708*($B1149+IF($R$17="Distrato",$I$38-1,0)),IF(AND($L$711=0,$P$708=0),"",$L$711-1),IF($R$17="Distrato",$E1149,0)),MIN(AI$38,$D$19),$P$20))-SUM($P1149:AH1149)</f>
        <v>#VALUE!</v>
      </c>
      <c r="AJ1149" s="446" t="e">
        <f>IF(OR($B1149="",MIN(AJ$38,$D$19)&lt;MAX($P$708*($B1149+IF($R$17="Distrato",$I$38-1,0)),IF(AND($L$711=0,$P$708=0),"",$L$711-1),IF($R$17="Distrato",$E1149,0))),0,YEARFRAC(MAX($P$708*($B1149+IF($R$17="Distrato",$I$38-1,0)),IF(AND($L$711=0,$P$708=0),"",$L$711-1),IF($R$17="Distrato",$E1149,0)),MIN(AJ$38,$D$19),$P$20))-SUM($P1149:AI1149)</f>
        <v>#VALUE!</v>
      </c>
      <c r="AK1149" s="446" t="e">
        <f>IF(OR($B1149="",MIN(AK$38,$D$19)&lt;MAX($P$708*($B1149+IF($R$17="Distrato",$I$38-1,0)),IF(AND($L$711=0,$P$708=0),"",$L$711-1),IF($R$17="Distrato",$E1149,0))),0,YEARFRAC(MAX($P$708*($B1149+IF($R$17="Distrato",$I$38-1,0)),IF(AND($L$711=0,$P$708=0),"",$L$711-1),IF($R$17="Distrato",$E1149,0)),MIN(AK$38,$D$19),$P$20))-SUM($P1149:AJ1149)</f>
        <v>#VALUE!</v>
      </c>
      <c r="AL1149" s="446" t="e">
        <f>IF(OR($B1149="",MIN(AL$38,$D$19)&lt;MAX($P$708*($B1149+IF($R$17="Distrato",$I$38-1,0)),IF(AND($L$711=0,$P$708=0),"",$L$711-1),IF($R$17="Distrato",$E1149,0))),0,YEARFRAC(MAX($P$708*($B1149+IF($R$17="Distrato",$I$38-1,0)),IF(AND($L$711=0,$P$708=0),"",$L$711-1),IF($R$17="Distrato",$E1149,0)),MIN(AL$38,$D$19),$P$20))-SUM($P1149:AK1149)</f>
        <v>#VALUE!</v>
      </c>
      <c r="AM1149" s="446" t="e">
        <f>IF(OR($B1149="",MIN(AM$38,$D$19)&lt;MAX($P$708*($B1149+IF($R$17="Distrato",$I$38-1,0)),IF(AND($L$711=0,$P$708=0),"",$L$711-1),IF($R$17="Distrato",$E1149,0))),0,YEARFRAC(MAX($P$708*($B1149+IF($R$17="Distrato",$I$38-1,0)),IF(AND($L$711=0,$P$708=0),"",$L$711-1),IF($R$17="Distrato",$E1149,0)),MIN(AM$38,$D$19),$P$20))-SUM($P1149:AL1149)</f>
        <v>#VALUE!</v>
      </c>
      <c r="AN1149" s="446" t="e">
        <f>IF(OR($B1149="",MIN(AN$38,$D$19)&lt;MAX($P$708*($B1149+IF($R$17="Distrato",$I$38-1,0)),IF(AND($L$711=0,$P$708=0),"",$L$711-1),IF($R$17="Distrato",$E1149,0))),0,YEARFRAC(MAX($P$708*($B1149+IF($R$17="Distrato",$I$38-1,0)),IF(AND($L$711=0,$P$708=0),"",$L$711-1),IF($R$17="Distrato",$E1149,0)),MIN(AN$38,$D$19),$P$20))-SUM($P1149:AM1149)</f>
        <v>#VALUE!</v>
      </c>
      <c r="AO1149" s="446" t="e">
        <f>IF(OR($B1149="",MIN(AO$38,$D$19)&lt;MAX($P$708*($B1149+IF($R$17="Distrato",$I$38-1,0)),IF(AND($L$711=0,$P$708=0),"",$L$711-1),IF($R$17="Distrato",$E1149,0))),0,YEARFRAC(MAX($P$708*($B1149+IF($R$17="Distrato",$I$38-1,0)),IF(AND($L$711=0,$P$708=0),"",$L$711-1),IF($R$17="Distrato",$E1149,0)),MIN(AO$38,$D$19),$P$20))-SUM($P1149:AN1149)</f>
        <v>#VALUE!</v>
      </c>
      <c r="AP1149" s="446" t="e">
        <f>IF(OR($B1149="",MIN(AP$38,$D$19)&lt;MAX($P$708*($B1149+IF($R$17="Distrato",$I$38-1,0)),IF(AND($L$711=0,$P$708=0),"",$L$711-1),IF($R$17="Distrato",$E1149,0))),0,YEARFRAC(MAX($P$708*($B1149+IF($R$17="Distrato",$I$38-1,0)),IF(AND($L$711=0,$P$708=0),"",$L$711-1),IF($R$17="Distrato",$E1149,0)),MIN(AP$38,$D$19),$P$20))-SUM($P1149:AO1149)</f>
        <v>#VALUE!</v>
      </c>
      <c r="AQ1149" s="446" t="e">
        <f>IF(OR($B1149="",MIN(AQ$38,$D$19)&lt;MAX($P$708*($B1149+IF($R$17="Distrato",$I$38-1,0)),IF(AND($L$711=0,$P$708=0),"",$L$711-1),IF($R$17="Distrato",$E1149,0))),0,YEARFRAC(MAX($P$708*($B1149+IF($R$17="Distrato",$I$38-1,0)),IF(AND($L$711=0,$P$708=0),"",$L$711-1),IF($R$17="Distrato",$E1149,0)),MIN(AQ$38,$D$19),$P$20))-SUM($P1149:AP1149)</f>
        <v>#VALUE!</v>
      </c>
      <c r="AR1149" s="446" t="e">
        <f>IF(OR($B1149="",MIN(AR$38,$D$19)&lt;MAX($P$708*($B1149+IF($R$17="Distrato",$I$38-1,0)),IF(AND($L$711=0,$P$708=0),"",$L$711-1),IF($R$17="Distrato",$E1149,0))),0,YEARFRAC(MAX($P$708*($B1149+IF($R$17="Distrato",$I$38-1,0)),IF(AND($L$711=0,$P$708=0),"",$L$711-1),IF($R$17="Distrato",$E1149,0)),MIN(AR$38,$D$19),$P$20))-SUM($P1149:AQ1149)</f>
        <v>#VALUE!</v>
      </c>
      <c r="AS1149" s="446" t="e">
        <f>IF(OR($B1149="",MIN(AS$38,$D$19)&lt;MAX($P$708*($B1149+IF($R$17="Distrato",$I$38-1,0)),IF(AND($L$711=0,$P$708=0),"",$L$711-1),IF($R$17="Distrato",$E1149,0))),0,YEARFRAC(MAX($P$708*($B1149+IF($R$17="Distrato",$I$38-1,0)),IF(AND($L$711=0,$P$708=0),"",$L$711-1),IF($R$17="Distrato",$E1149,0)),MIN(AS$38,$D$19),$P$20))-SUM($P1149:AR1149)</f>
        <v>#VALUE!</v>
      </c>
      <c r="AT1149" s="446" t="e">
        <f>IF(OR($B1149="",MIN(AT$38,$D$19)&lt;MAX($P$708*($B1149+IF($R$17="Distrato",$I$38-1,0)),IF(AND($L$711=0,$P$708=0),"",$L$711-1),IF($R$17="Distrato",$E1149,0))),0,YEARFRAC(MAX($P$708*($B1149+IF($R$17="Distrato",$I$38-1,0)),IF(AND($L$711=0,$P$708=0),"",$L$711-1),IF($R$17="Distrato",$E1149,0)),MIN(AT$38,$D$19),$P$20))-SUM($P1149:AS1149)</f>
        <v>#VALUE!</v>
      </c>
      <c r="AU1149" s="446" t="e">
        <f>IF(OR($B1149="",MIN(AU$38,$D$19)&lt;MAX($P$708*($B1149+IF($R$17="Distrato",$I$38-1,0)),IF(AND($L$711=0,$P$708=0),"",$L$711-1),IF($R$17="Distrato",$E1149,0))),0,YEARFRAC(MAX($P$708*($B1149+IF($R$17="Distrato",$I$38-1,0)),IF(AND($L$711=0,$P$708=0),"",$L$711-1),IF($R$17="Distrato",$E1149,0)),MIN(AU$38,$D$19),$P$20))-SUM($P1149:AT1149)</f>
        <v>#VALUE!</v>
      </c>
      <c r="AV1149" s="446" t="e">
        <f>IF(OR($B1149="",MIN(AV$38,$D$19)&lt;MAX($P$708*($B1149+IF($R$17="Distrato",$I$38-1,0)),IF(AND($L$711=0,$P$708=0),"",$L$711-1),IF($R$17="Distrato",$E1149,0))),0,YEARFRAC(MAX($P$708*($B1149+IF($R$17="Distrato",$I$38-1,0)),IF(AND($L$711=0,$P$708=0),"",$L$711-1),IF($R$17="Distrato",$E1149,0)),MIN(AV$38,$D$19),$P$20))-SUM($P1149:AU1149)</f>
        <v>#VALUE!</v>
      </c>
      <c r="AW1149" s="446" t="e">
        <f>IF(OR($B1149="",MIN(AW$38,$D$19)&lt;MAX($P$708*($B1149+IF($R$17="Distrato",$I$38-1,0)),IF(AND($L$711=0,$P$708=0),"",$L$711-1),IF($R$17="Distrato",$E1149,0))),0,YEARFRAC(MAX($P$708*($B1149+IF($R$17="Distrato",$I$38-1,0)),IF(AND($L$711=0,$P$708=0),"",$L$711-1),IF($R$17="Distrato",$E1149,0)),MIN(AW$38,$D$19),$P$20))-SUM($P1149:AV1149)</f>
        <v>#VALUE!</v>
      </c>
      <c r="AX1149" s="446" t="e">
        <f>IF(OR($B1149="",MIN(AX$38,$D$19)&lt;MAX($P$708*($B1149+IF($R$17="Distrato",$I$38-1,0)),IF(AND($L$711=0,$P$708=0),"",$L$711-1),IF($R$17="Distrato",$E1149,0))),0,YEARFRAC(MAX($P$708*($B1149+IF($R$17="Distrato",$I$38-1,0)),IF(AND($L$711=0,$P$708=0),"",$L$711-1),IF($R$17="Distrato",$E1149,0)),MIN(AX$38,$D$19),$P$20))-SUM($P1149:AW1149)</f>
        <v>#VALUE!</v>
      </c>
      <c r="AY1149" s="446" t="e">
        <f>IF(OR($B1149="",MIN(AY$38,$D$19)&lt;MAX($P$708*($B1149+IF($R$17="Distrato",$I$38-1,0)),IF(AND($L$711=0,$P$708=0),"",$L$711-1),IF($R$17="Distrato",$E1149,0))),0,YEARFRAC(MAX($P$708*($B1149+IF($R$17="Distrato",$I$38-1,0)),IF(AND($L$711=0,$P$708=0),"",$L$711-1),IF($R$17="Distrato",$E1149,0)),MIN(AY$38,$D$19),$P$20))-SUM($P1149:AX1149)</f>
        <v>#VALUE!</v>
      </c>
      <c r="AZ1149" s="446" t="e">
        <f>IF(OR($B1149="",MIN(AZ$38,$D$19)&lt;MAX($P$708*($B1149+IF($R$17="Distrato",$I$38-1,0)),IF(AND($L$711=0,$P$708=0),"",$L$711-1),IF($R$17="Distrato",$E1149,0))),0,YEARFRAC(MAX($P$708*($B1149+IF($R$17="Distrato",$I$38-1,0)),IF(AND($L$711=0,$P$708=0),"",$L$711-1),IF($R$17="Distrato",$E1149,0)),MIN(AZ$38,$D$19),$P$20))-SUM($P1149:AY1149)</f>
        <v>#VALUE!</v>
      </c>
      <c r="BA1149" s="446" t="e">
        <f>IF(OR($B1149="",MIN(BA$38,$D$19)&lt;MAX($P$708*($B1149+IF($R$17="Distrato",$I$38-1,0)),IF(AND($L$711=0,$P$708=0),"",$L$711-1),IF($R$17="Distrato",$E1149,0))),0,YEARFRAC(MAX($P$708*($B1149+IF($R$17="Distrato",$I$38-1,0)),IF(AND($L$711=0,$P$708=0),"",$L$711-1),IF($R$17="Distrato",$E1149,0)),MIN(BA$38,$D$19),$P$20))-SUM($P1149:AZ1149)</f>
        <v>#VALUE!</v>
      </c>
      <c r="BB1149" s="447"/>
    </row>
    <row r="1150" spans="1:54" s="446" customFormat="1" ht="11.25" hidden="1" customHeight="1" x14ac:dyDescent="0.2">
      <c r="A1150" s="235"/>
      <c r="B1150" s="236"/>
      <c r="C1150" s="29" t="str">
        <f>IF(B1150="","",IF($L$709=$BL$25,VLOOKUP(DATE(YEAR($D$19),MONTH($D$19)-1,1),ÍNDICES!$A:$DE,HLOOKUP($BL$25,ÍNDICES!$B$3:$T$4,2)+11)-VLOOKUP(B1150,ÍNDICES!$A:$DE,HLOOKUP($BL$25,ÍNDICES!$B$3:$T$4,2)+11)+1%,IF(C$712=$W$26,$J$35,IF(ISERROR(IF(B1150&gt;$D$19,1,VLOOKUP(DATE(YEAR(B1150),MONTH(B1150)+IF($C$709=$S$23,1,0),1),ÍNDICES!$A:$DE,$Z$709+1))),"",IF(B1150&gt;$D$19,1,VLOOKUP(DATE(YEAR(B1150),MONTH(B1150)+IF($C$709=$S$23,1,0),1),ÍNDICES!$A:$DE,$Z$709+1))))))</f>
        <v/>
      </c>
      <c r="D1150" s="155"/>
      <c r="E1150" s="88"/>
      <c r="F1150" s="88"/>
      <c r="G1150" s="88"/>
      <c r="H1150" s="118"/>
      <c r="I1150" s="182">
        <f t="shared" si="157"/>
        <v>0</v>
      </c>
      <c r="J1150" s="20">
        <f t="shared" ca="1" si="158"/>
        <v>0</v>
      </c>
      <c r="K1150" s="5">
        <f t="shared" ca="1" si="159"/>
        <v>0</v>
      </c>
      <c r="L1150" s="61">
        <f t="shared" ca="1" si="160"/>
        <v>0</v>
      </c>
      <c r="M1150" s="64">
        <f t="shared" si="161"/>
        <v>0</v>
      </c>
      <c r="N1150" s="151"/>
      <c r="O1150" s="5">
        <f t="shared" ca="1" si="162"/>
        <v>0</v>
      </c>
      <c r="P1150" s="446" t="e">
        <f t="shared" si="163"/>
        <v>#VALUE!</v>
      </c>
      <c r="Q1150" s="446" t="e">
        <f>IF(OR($B1150="",MIN(Q$38,$D$19)&lt;MAX($P$708*($B1150+IF($R$17="Distrato",$I$38-1,0)),IF(AND($L$711=0,$P$708=0),"",$L$711-1),IF($R$17="Distrato",$E1150,0))),0,YEARFRAC(MAX($P$708*($B1150+IF($R$17="Distrato",$I$38-1,0)),IF(AND($L$711=0,$P$708=0),"",$L$711-1),IF($R$17="Distrato",$E1150,0)),MIN(Q$38,$D$19),$P$20))-SUM($P1150:P1150)</f>
        <v>#VALUE!</v>
      </c>
      <c r="R1150" s="446" t="e">
        <f>IF(OR($B1150="",MIN(R$38,$D$19)&lt;MAX($P$708*($B1150+IF($R$17="Distrato",$I$38-1,0)),IF(AND($L$711=0,$P$708=0),"",$L$711-1),IF($R$17="Distrato",$E1150,0))),0,YEARFRAC(MAX($P$708*($B1150+IF($R$17="Distrato",$I$38-1,0)),IF(AND($L$711=0,$P$708=0),"",$L$711-1),IF($R$17="Distrato",$E1150,0)),MIN(R$38,$D$19),$P$20))-SUM($P1150:Q1150)</f>
        <v>#VALUE!</v>
      </c>
      <c r="S1150" s="446" t="e">
        <f>IF(OR($B1150="",MIN(S$38,$D$19)&lt;MAX($P$708*($B1150+IF($R$17="Distrato",$I$38-1,0)),IF(AND($L$711=0,$P$708=0),"",$L$711-1),IF($R$17="Distrato",$E1150,0))),0,YEARFRAC(MAX($P$708*($B1150+IF($R$17="Distrato",$I$38-1,0)),IF(AND($L$711=0,$P$708=0),"",$L$711-1),IF($R$17="Distrato",$E1150,0)),MIN(S$38,$D$19),$P$20))-SUM($P1150:R1150)</f>
        <v>#VALUE!</v>
      </c>
      <c r="T1150" s="446" t="e">
        <f>IF(OR($B1150="",MIN(T$38,$D$19)&lt;MAX($P$708*($B1150+IF($R$17="Distrato",$I$38-1,0)),IF(AND($L$711=0,$P$708=0),"",$L$711-1),IF($R$17="Distrato",$E1150,0))),0,YEARFRAC(MAX($P$708*($B1150+IF($R$17="Distrato",$I$38-1,0)),IF(AND($L$711=0,$P$708=0),"",$L$711-1),IF($R$17="Distrato",$E1150,0)),MIN(T$38,$D$19),$P$20))-SUM($P1150:S1150)</f>
        <v>#VALUE!</v>
      </c>
      <c r="U1150" s="446" t="e">
        <f>IF(OR($B1150="",MIN(U$38,$D$19)&lt;MAX($P$708*($B1150+IF($R$17="Distrato",$I$38-1,0)),IF(AND($L$711=0,$P$708=0),"",$L$711-1),IF($R$17="Distrato",$E1150,0))),0,YEARFRAC(MAX($P$708*($B1150+IF($R$17="Distrato",$I$38-1,0)),IF(AND($L$711=0,$P$708=0),"",$L$711-1),IF($R$17="Distrato",$E1150,0)),MIN(U$38,$D$19),$P$20))-SUM($P1150:T1150)</f>
        <v>#VALUE!</v>
      </c>
      <c r="V1150" s="446" t="e">
        <f>IF(OR($B1150="",MIN(V$38,$D$19)&lt;MAX($P$708*($B1150+IF($R$17="Distrato",$I$38-1,0)),IF(AND($L$711=0,$P$708=0),"",$L$711-1),IF($R$17="Distrato",$E1150,0))),0,YEARFRAC(MAX($P$708*($B1150+IF($R$17="Distrato",$I$38-1,0)),IF(AND($L$711=0,$P$708=0),"",$L$711-1),IF($R$17="Distrato",$E1150,0)),MIN(V$38,$D$19),$P$20))-SUM($P1150:U1150)</f>
        <v>#VALUE!</v>
      </c>
      <c r="W1150" s="446" t="e">
        <f>IF(OR($B1150="",MIN(W$38,$D$19)&lt;MAX($P$708*($B1150+IF($R$17="Distrato",$I$38-1,0)),IF(AND($L$711=0,$P$708=0),"",$L$711-1),IF($R$17="Distrato",$E1150,0))),0,YEARFRAC(MAX($P$708*($B1150+IF($R$17="Distrato",$I$38-1,0)),IF(AND($L$711=0,$P$708=0),"",$L$711-1),IF($R$17="Distrato",$E1150,0)),MIN(W$38,$D$19),$P$20))-SUM($P1150:V1150)</f>
        <v>#VALUE!</v>
      </c>
      <c r="X1150" s="446" t="e">
        <f>IF(OR($B1150="",MIN(X$38,$D$19)&lt;MAX($P$708*($B1150+IF($R$17="Distrato",$I$38-1,0)),IF(AND($L$711=0,$P$708=0),"",$L$711-1),IF($R$17="Distrato",$E1150,0))),0,YEARFRAC(MAX($P$708*($B1150+IF($R$17="Distrato",$I$38-1,0)),IF(AND($L$711=0,$P$708=0),"",$L$711-1),IF($R$17="Distrato",$E1150,0)),MIN(X$38,$D$19),$P$20))-SUM($P1150:W1150)</f>
        <v>#VALUE!</v>
      </c>
      <c r="Y1150" s="446" t="e">
        <f>IF(OR($B1150="",MIN(Y$38,$D$19)&lt;MAX($P$708*($B1150+IF($R$17="Distrato",$I$38-1,0)),IF(AND($L$711=0,$P$708=0),"",$L$711-1),IF($R$17="Distrato",$E1150,0))),0,YEARFRAC(MAX($P$708*($B1150+IF($R$17="Distrato",$I$38-1,0)),IF(AND($L$711=0,$P$708=0),"",$L$711-1),IF($R$17="Distrato",$E1150,0)),MIN(Y$38,$D$19),$P$20))-SUM($P1150:X1150)</f>
        <v>#VALUE!</v>
      </c>
      <c r="Z1150" s="446" t="e">
        <f>IF(OR($B1150="",MIN(Z$38,$D$19)&lt;MAX($P$708*($B1150+IF($R$17="Distrato",$I$38-1,0)),IF(AND($L$711=0,$P$708=0),"",$L$711-1),IF($R$17="Distrato",$E1150,0))),0,YEARFRAC(MAX($P$708*($B1150+IF($R$17="Distrato",$I$38-1,0)),IF(AND($L$711=0,$P$708=0),"",$L$711-1),IF($R$17="Distrato",$E1150,0)),MIN(Z$38,$D$19),$P$20))-SUM($P1150:Y1150)</f>
        <v>#VALUE!</v>
      </c>
      <c r="AA1150" s="446" t="e">
        <f>IF(OR($B1150="",MIN(AA$38,$D$19)&lt;MAX($P$708*($B1150+IF($R$17="Distrato",$I$38-1,0)),IF(AND($L$711=0,$P$708=0),"",$L$711-1),IF($R$17="Distrato",$E1150,0))),0,YEARFRAC(MAX($P$708*($B1150+IF($R$17="Distrato",$I$38-1,0)),IF(AND($L$711=0,$P$708=0),"",$L$711-1),IF($R$17="Distrato",$E1150,0)),MIN(AA$38,$D$19),$P$20))-SUM($P1150:Z1150)</f>
        <v>#VALUE!</v>
      </c>
      <c r="AB1150" s="446" t="e">
        <f>IF(OR($B1150="",MIN(AB$38,$D$19)&lt;MAX($P$708*($B1150+IF($R$17="Distrato",$I$38-1,0)),IF(AND($L$711=0,$P$708=0),"",$L$711-1),IF($R$17="Distrato",$E1150,0))),0,YEARFRAC(MAX($P$708*($B1150+IF($R$17="Distrato",$I$38-1,0)),IF(AND($L$711=0,$P$708=0),"",$L$711-1),IF($R$17="Distrato",$E1150,0)),MIN(AB$38,$D$19),$P$20))-SUM($P1150:AA1150)</f>
        <v>#VALUE!</v>
      </c>
      <c r="AC1150" s="446" t="e">
        <f>IF(OR($B1150="",MIN(AC$38,$D$19)&lt;MAX($P$708*($B1150+IF($R$17="Distrato",$I$38-1,0)),IF(AND($L$711=0,$P$708=0),"",$L$711-1),IF($R$17="Distrato",$E1150,0))),0,YEARFRAC(MAX($P$708*($B1150+IF($R$17="Distrato",$I$38-1,0)),IF(AND($L$711=0,$P$708=0),"",$L$711-1),IF($R$17="Distrato",$E1150,0)),MIN(AC$38,$D$19),$P$20))-SUM($P1150:AB1150)</f>
        <v>#VALUE!</v>
      </c>
      <c r="AD1150" s="446" t="e">
        <f>IF(OR($B1150="",MIN(AD$38,$D$19)&lt;MAX($P$708*($B1150+IF($R$17="Distrato",$I$38-1,0)),IF(AND($L$711=0,$P$708=0),"",$L$711-1),IF($R$17="Distrato",$E1150,0))),0,YEARFRAC(MAX($P$708*($B1150+IF($R$17="Distrato",$I$38-1,0)),IF(AND($L$711=0,$P$708=0),"",$L$711-1),IF($R$17="Distrato",$E1150,0)),MIN(AD$38,$D$19),$P$20))-SUM($P1150:AC1150)</f>
        <v>#VALUE!</v>
      </c>
      <c r="AE1150" s="446" t="e">
        <f>IF(OR($B1150="",MIN(AE$38,$D$19)&lt;MAX($P$708*($B1150+IF($R$17="Distrato",$I$38-1,0)),IF(AND($L$711=0,$P$708=0),"",$L$711-1),IF($R$17="Distrato",$E1150,0))),0,YEARFRAC(MAX($P$708*($B1150+IF($R$17="Distrato",$I$38-1,0)),IF(AND($L$711=0,$P$708=0),"",$L$711-1),IF($R$17="Distrato",$E1150,0)),MIN(AE$38,$D$19),$P$20))-SUM($P1150:AD1150)</f>
        <v>#VALUE!</v>
      </c>
      <c r="AF1150" s="446" t="e">
        <f>IF(OR($B1150="",MIN(AF$38,$D$19)&lt;MAX($P$708*($B1150+IF($R$17="Distrato",$I$38-1,0)),IF(AND($L$711=0,$P$708=0),"",$L$711-1),IF($R$17="Distrato",$E1150,0))),0,YEARFRAC(MAX($P$708*($B1150+IF($R$17="Distrato",$I$38-1,0)),IF(AND($L$711=0,$P$708=0),"",$L$711-1),IF($R$17="Distrato",$E1150,0)),MIN(AF$38,$D$19),$P$20))-SUM($P1150:AE1150)</f>
        <v>#VALUE!</v>
      </c>
      <c r="AG1150" s="446" t="e">
        <f>IF(OR($B1150="",MIN(AG$38,$D$19)&lt;MAX($P$708*($B1150+IF($R$17="Distrato",$I$38-1,0)),IF(AND($L$711=0,$P$708=0),"",$L$711-1),IF($R$17="Distrato",$E1150,0))),0,YEARFRAC(MAX($P$708*($B1150+IF($R$17="Distrato",$I$38-1,0)),IF(AND($L$711=0,$P$708=0),"",$L$711-1),IF($R$17="Distrato",$E1150,0)),MIN(AG$38,$D$19),$P$20))-SUM($P1150:AF1150)</f>
        <v>#VALUE!</v>
      </c>
      <c r="AH1150" s="446" t="e">
        <f>IF(OR($B1150="",MIN(AH$38,$D$19)&lt;MAX($P$708*($B1150+IF($R$17="Distrato",$I$38-1,0)),IF(AND($L$711=0,$P$708=0),"",$L$711-1),IF($R$17="Distrato",$E1150,0))),0,YEARFRAC(MAX($P$708*($B1150+IF($R$17="Distrato",$I$38-1,0)),IF(AND($L$711=0,$P$708=0),"",$L$711-1),IF($R$17="Distrato",$E1150,0)),MIN(AH$38,$D$19),$P$20))-SUM($P1150:AG1150)</f>
        <v>#VALUE!</v>
      </c>
      <c r="AI1150" s="446" t="e">
        <f>IF(OR($B1150="",MIN(AI$38,$D$19)&lt;MAX($P$708*($B1150+IF($R$17="Distrato",$I$38-1,0)),IF(AND($L$711=0,$P$708=0),"",$L$711-1),IF($R$17="Distrato",$E1150,0))),0,YEARFRAC(MAX($P$708*($B1150+IF($R$17="Distrato",$I$38-1,0)),IF(AND($L$711=0,$P$708=0),"",$L$711-1),IF($R$17="Distrato",$E1150,0)),MIN(AI$38,$D$19),$P$20))-SUM($P1150:AH1150)</f>
        <v>#VALUE!</v>
      </c>
      <c r="AJ1150" s="446" t="e">
        <f>IF(OR($B1150="",MIN(AJ$38,$D$19)&lt;MAX($P$708*($B1150+IF($R$17="Distrato",$I$38-1,0)),IF(AND($L$711=0,$P$708=0),"",$L$711-1),IF($R$17="Distrato",$E1150,0))),0,YEARFRAC(MAX($P$708*($B1150+IF($R$17="Distrato",$I$38-1,0)),IF(AND($L$711=0,$P$708=0),"",$L$711-1),IF($R$17="Distrato",$E1150,0)),MIN(AJ$38,$D$19),$P$20))-SUM($P1150:AI1150)</f>
        <v>#VALUE!</v>
      </c>
      <c r="AK1150" s="446" t="e">
        <f>IF(OR($B1150="",MIN(AK$38,$D$19)&lt;MAX($P$708*($B1150+IF($R$17="Distrato",$I$38-1,0)),IF(AND($L$711=0,$P$708=0),"",$L$711-1),IF($R$17="Distrato",$E1150,0))),0,YEARFRAC(MAX($P$708*($B1150+IF($R$17="Distrato",$I$38-1,0)),IF(AND($L$711=0,$P$708=0),"",$L$711-1),IF($R$17="Distrato",$E1150,0)),MIN(AK$38,$D$19),$P$20))-SUM($P1150:AJ1150)</f>
        <v>#VALUE!</v>
      </c>
      <c r="AL1150" s="446" t="e">
        <f>IF(OR($B1150="",MIN(AL$38,$D$19)&lt;MAX($P$708*($B1150+IF($R$17="Distrato",$I$38-1,0)),IF(AND($L$711=0,$P$708=0),"",$L$711-1),IF($R$17="Distrato",$E1150,0))),0,YEARFRAC(MAX($P$708*($B1150+IF($R$17="Distrato",$I$38-1,0)),IF(AND($L$711=0,$P$708=0),"",$L$711-1),IF($R$17="Distrato",$E1150,0)),MIN(AL$38,$D$19),$P$20))-SUM($P1150:AK1150)</f>
        <v>#VALUE!</v>
      </c>
      <c r="AM1150" s="446" t="e">
        <f>IF(OR($B1150="",MIN(AM$38,$D$19)&lt;MAX($P$708*($B1150+IF($R$17="Distrato",$I$38-1,0)),IF(AND($L$711=0,$P$708=0),"",$L$711-1),IF($R$17="Distrato",$E1150,0))),0,YEARFRAC(MAX($P$708*($B1150+IF($R$17="Distrato",$I$38-1,0)),IF(AND($L$711=0,$P$708=0),"",$L$711-1),IF($R$17="Distrato",$E1150,0)),MIN(AM$38,$D$19),$P$20))-SUM($P1150:AL1150)</f>
        <v>#VALUE!</v>
      </c>
      <c r="AN1150" s="446" t="e">
        <f>IF(OR($B1150="",MIN(AN$38,$D$19)&lt;MAX($P$708*($B1150+IF($R$17="Distrato",$I$38-1,0)),IF(AND($L$711=0,$P$708=0),"",$L$711-1),IF($R$17="Distrato",$E1150,0))),0,YEARFRAC(MAX($P$708*($B1150+IF($R$17="Distrato",$I$38-1,0)),IF(AND($L$711=0,$P$708=0),"",$L$711-1),IF($R$17="Distrato",$E1150,0)),MIN(AN$38,$D$19),$P$20))-SUM($P1150:AM1150)</f>
        <v>#VALUE!</v>
      </c>
      <c r="AO1150" s="446" t="e">
        <f>IF(OR($B1150="",MIN(AO$38,$D$19)&lt;MAX($P$708*($B1150+IF($R$17="Distrato",$I$38-1,0)),IF(AND($L$711=0,$P$708=0),"",$L$711-1),IF($R$17="Distrato",$E1150,0))),0,YEARFRAC(MAX($P$708*($B1150+IF($R$17="Distrato",$I$38-1,0)),IF(AND($L$711=0,$P$708=0),"",$L$711-1),IF($R$17="Distrato",$E1150,0)),MIN(AO$38,$D$19),$P$20))-SUM($P1150:AN1150)</f>
        <v>#VALUE!</v>
      </c>
      <c r="AP1150" s="446" t="e">
        <f>IF(OR($B1150="",MIN(AP$38,$D$19)&lt;MAX($P$708*($B1150+IF($R$17="Distrato",$I$38-1,0)),IF(AND($L$711=0,$P$708=0),"",$L$711-1),IF($R$17="Distrato",$E1150,0))),0,YEARFRAC(MAX($P$708*($B1150+IF($R$17="Distrato",$I$38-1,0)),IF(AND($L$711=0,$P$708=0),"",$L$711-1),IF($R$17="Distrato",$E1150,0)),MIN(AP$38,$D$19),$P$20))-SUM($P1150:AO1150)</f>
        <v>#VALUE!</v>
      </c>
      <c r="AQ1150" s="446" t="e">
        <f>IF(OR($B1150="",MIN(AQ$38,$D$19)&lt;MAX($P$708*($B1150+IF($R$17="Distrato",$I$38-1,0)),IF(AND($L$711=0,$P$708=0),"",$L$711-1),IF($R$17="Distrato",$E1150,0))),0,YEARFRAC(MAX($P$708*($B1150+IF($R$17="Distrato",$I$38-1,0)),IF(AND($L$711=0,$P$708=0),"",$L$711-1),IF($R$17="Distrato",$E1150,0)),MIN(AQ$38,$D$19),$P$20))-SUM($P1150:AP1150)</f>
        <v>#VALUE!</v>
      </c>
      <c r="AR1150" s="446" t="e">
        <f>IF(OR($B1150="",MIN(AR$38,$D$19)&lt;MAX($P$708*($B1150+IF($R$17="Distrato",$I$38-1,0)),IF(AND($L$711=0,$P$708=0),"",$L$711-1),IF($R$17="Distrato",$E1150,0))),0,YEARFRAC(MAX($P$708*($B1150+IF($R$17="Distrato",$I$38-1,0)),IF(AND($L$711=0,$P$708=0),"",$L$711-1),IF($R$17="Distrato",$E1150,0)),MIN(AR$38,$D$19),$P$20))-SUM($P1150:AQ1150)</f>
        <v>#VALUE!</v>
      </c>
      <c r="AS1150" s="446" t="e">
        <f>IF(OR($B1150="",MIN(AS$38,$D$19)&lt;MAX($P$708*($B1150+IF($R$17="Distrato",$I$38-1,0)),IF(AND($L$711=0,$P$708=0),"",$L$711-1),IF($R$17="Distrato",$E1150,0))),0,YEARFRAC(MAX($P$708*($B1150+IF($R$17="Distrato",$I$38-1,0)),IF(AND($L$711=0,$P$708=0),"",$L$711-1),IF($R$17="Distrato",$E1150,0)),MIN(AS$38,$D$19),$P$20))-SUM($P1150:AR1150)</f>
        <v>#VALUE!</v>
      </c>
      <c r="AT1150" s="446" t="e">
        <f>IF(OR($B1150="",MIN(AT$38,$D$19)&lt;MAX($P$708*($B1150+IF($R$17="Distrato",$I$38-1,0)),IF(AND($L$711=0,$P$708=0),"",$L$711-1),IF($R$17="Distrato",$E1150,0))),0,YEARFRAC(MAX($P$708*($B1150+IF($R$17="Distrato",$I$38-1,0)),IF(AND($L$711=0,$P$708=0),"",$L$711-1),IF($R$17="Distrato",$E1150,0)),MIN(AT$38,$D$19),$P$20))-SUM($P1150:AS1150)</f>
        <v>#VALUE!</v>
      </c>
      <c r="AU1150" s="446" t="e">
        <f>IF(OR($B1150="",MIN(AU$38,$D$19)&lt;MAX($P$708*($B1150+IF($R$17="Distrato",$I$38-1,0)),IF(AND($L$711=0,$P$708=0),"",$L$711-1),IF($R$17="Distrato",$E1150,0))),0,YEARFRAC(MAX($P$708*($B1150+IF($R$17="Distrato",$I$38-1,0)),IF(AND($L$711=0,$P$708=0),"",$L$711-1),IF($R$17="Distrato",$E1150,0)),MIN(AU$38,$D$19),$P$20))-SUM($P1150:AT1150)</f>
        <v>#VALUE!</v>
      </c>
      <c r="AV1150" s="446" t="e">
        <f>IF(OR($B1150="",MIN(AV$38,$D$19)&lt;MAX($P$708*($B1150+IF($R$17="Distrato",$I$38-1,0)),IF(AND($L$711=0,$P$708=0),"",$L$711-1),IF($R$17="Distrato",$E1150,0))),0,YEARFRAC(MAX($P$708*($B1150+IF($R$17="Distrato",$I$38-1,0)),IF(AND($L$711=0,$P$708=0),"",$L$711-1),IF($R$17="Distrato",$E1150,0)),MIN(AV$38,$D$19),$P$20))-SUM($P1150:AU1150)</f>
        <v>#VALUE!</v>
      </c>
      <c r="AW1150" s="446" t="e">
        <f>IF(OR($B1150="",MIN(AW$38,$D$19)&lt;MAX($P$708*($B1150+IF($R$17="Distrato",$I$38-1,0)),IF(AND($L$711=0,$P$708=0),"",$L$711-1),IF($R$17="Distrato",$E1150,0))),0,YEARFRAC(MAX($P$708*($B1150+IF($R$17="Distrato",$I$38-1,0)),IF(AND($L$711=0,$P$708=0),"",$L$711-1),IF($R$17="Distrato",$E1150,0)),MIN(AW$38,$D$19),$P$20))-SUM($P1150:AV1150)</f>
        <v>#VALUE!</v>
      </c>
      <c r="AX1150" s="446" t="e">
        <f>IF(OR($B1150="",MIN(AX$38,$D$19)&lt;MAX($P$708*($B1150+IF($R$17="Distrato",$I$38-1,0)),IF(AND($L$711=0,$P$708=0),"",$L$711-1),IF($R$17="Distrato",$E1150,0))),0,YEARFRAC(MAX($P$708*($B1150+IF($R$17="Distrato",$I$38-1,0)),IF(AND($L$711=0,$P$708=0),"",$L$711-1),IF($R$17="Distrato",$E1150,0)),MIN(AX$38,$D$19),$P$20))-SUM($P1150:AW1150)</f>
        <v>#VALUE!</v>
      </c>
      <c r="AY1150" s="446" t="e">
        <f>IF(OR($B1150="",MIN(AY$38,$D$19)&lt;MAX($P$708*($B1150+IF($R$17="Distrato",$I$38-1,0)),IF(AND($L$711=0,$P$708=0),"",$L$711-1),IF($R$17="Distrato",$E1150,0))),0,YEARFRAC(MAX($P$708*($B1150+IF($R$17="Distrato",$I$38-1,0)),IF(AND($L$711=0,$P$708=0),"",$L$711-1),IF($R$17="Distrato",$E1150,0)),MIN(AY$38,$D$19),$P$20))-SUM($P1150:AX1150)</f>
        <v>#VALUE!</v>
      </c>
      <c r="AZ1150" s="446" t="e">
        <f>IF(OR($B1150="",MIN(AZ$38,$D$19)&lt;MAX($P$708*($B1150+IF($R$17="Distrato",$I$38-1,0)),IF(AND($L$711=0,$P$708=0),"",$L$711-1),IF($R$17="Distrato",$E1150,0))),0,YEARFRAC(MAX($P$708*($B1150+IF($R$17="Distrato",$I$38-1,0)),IF(AND($L$711=0,$P$708=0),"",$L$711-1),IF($R$17="Distrato",$E1150,0)),MIN(AZ$38,$D$19),$P$20))-SUM($P1150:AY1150)</f>
        <v>#VALUE!</v>
      </c>
      <c r="BA1150" s="446" t="e">
        <f>IF(OR($B1150="",MIN(BA$38,$D$19)&lt;MAX($P$708*($B1150+IF($R$17="Distrato",$I$38-1,0)),IF(AND($L$711=0,$P$708=0),"",$L$711-1),IF($R$17="Distrato",$E1150,0))),0,YEARFRAC(MAX($P$708*($B1150+IF($R$17="Distrato",$I$38-1,0)),IF(AND($L$711=0,$P$708=0),"",$L$711-1),IF($R$17="Distrato",$E1150,0)),MIN(BA$38,$D$19),$P$20))-SUM($P1150:AZ1150)</f>
        <v>#VALUE!</v>
      </c>
      <c r="BB1150" s="447"/>
    </row>
    <row r="1151" spans="1:54" s="446" customFormat="1" ht="11.25" hidden="1" customHeight="1" x14ac:dyDescent="0.2">
      <c r="A1151" s="235"/>
      <c r="B1151" s="236"/>
      <c r="C1151" s="29" t="str">
        <f>IF(B1151="","",IF($L$709=$BL$25,VLOOKUP(DATE(YEAR($D$19),MONTH($D$19)-1,1),ÍNDICES!$A:$DE,HLOOKUP($BL$25,ÍNDICES!$B$3:$T$4,2)+11)-VLOOKUP(B1151,ÍNDICES!$A:$DE,HLOOKUP($BL$25,ÍNDICES!$B$3:$T$4,2)+11)+1%,IF(C$712=$W$26,$J$35,IF(ISERROR(IF(B1151&gt;$D$19,1,VLOOKUP(DATE(YEAR(B1151),MONTH(B1151)+IF($C$709=$S$23,1,0),1),ÍNDICES!$A:$DE,$Z$709+1))),"",IF(B1151&gt;$D$19,1,VLOOKUP(DATE(YEAR(B1151),MONTH(B1151)+IF($C$709=$S$23,1,0),1),ÍNDICES!$A:$DE,$Z$709+1))))))</f>
        <v/>
      </c>
      <c r="D1151" s="155"/>
      <c r="E1151" s="88"/>
      <c r="F1151" s="88"/>
      <c r="G1151" s="88"/>
      <c r="H1151" s="118"/>
      <c r="I1151" s="182">
        <f t="shared" si="157"/>
        <v>0</v>
      </c>
      <c r="J1151" s="20">
        <f t="shared" ca="1" si="158"/>
        <v>0</v>
      </c>
      <c r="K1151" s="5">
        <f t="shared" ca="1" si="159"/>
        <v>0</v>
      </c>
      <c r="L1151" s="61">
        <f t="shared" ca="1" si="160"/>
        <v>0</v>
      </c>
      <c r="M1151" s="64">
        <f t="shared" si="161"/>
        <v>0</v>
      </c>
      <c r="N1151" s="151"/>
      <c r="O1151" s="5">
        <f t="shared" ca="1" si="162"/>
        <v>0</v>
      </c>
      <c r="P1151" s="446" t="e">
        <f t="shared" si="163"/>
        <v>#VALUE!</v>
      </c>
      <c r="Q1151" s="446" t="e">
        <f>IF(OR($B1151="",MIN(Q$38,$D$19)&lt;MAX($P$708*($B1151+IF($R$17="Distrato",$I$38-1,0)),IF(AND($L$711=0,$P$708=0),"",$L$711-1),IF($R$17="Distrato",$E1151,0))),0,YEARFRAC(MAX($P$708*($B1151+IF($R$17="Distrato",$I$38-1,0)),IF(AND($L$711=0,$P$708=0),"",$L$711-1),IF($R$17="Distrato",$E1151,0)),MIN(Q$38,$D$19),$P$20))-SUM($P1151:P1151)</f>
        <v>#VALUE!</v>
      </c>
      <c r="R1151" s="446" t="e">
        <f>IF(OR($B1151="",MIN(R$38,$D$19)&lt;MAX($P$708*($B1151+IF($R$17="Distrato",$I$38-1,0)),IF(AND($L$711=0,$P$708=0),"",$L$711-1),IF($R$17="Distrato",$E1151,0))),0,YEARFRAC(MAX($P$708*($B1151+IF($R$17="Distrato",$I$38-1,0)),IF(AND($L$711=0,$P$708=0),"",$L$711-1),IF($R$17="Distrato",$E1151,0)),MIN(R$38,$D$19),$P$20))-SUM($P1151:Q1151)</f>
        <v>#VALUE!</v>
      </c>
      <c r="S1151" s="446" t="e">
        <f>IF(OR($B1151="",MIN(S$38,$D$19)&lt;MAX($P$708*($B1151+IF($R$17="Distrato",$I$38-1,0)),IF(AND($L$711=0,$P$708=0),"",$L$711-1),IF($R$17="Distrato",$E1151,0))),0,YEARFRAC(MAX($P$708*($B1151+IF($R$17="Distrato",$I$38-1,0)),IF(AND($L$711=0,$P$708=0),"",$L$711-1),IF($R$17="Distrato",$E1151,0)),MIN(S$38,$D$19),$P$20))-SUM($P1151:R1151)</f>
        <v>#VALUE!</v>
      </c>
      <c r="T1151" s="446" t="e">
        <f>IF(OR($B1151="",MIN(T$38,$D$19)&lt;MAX($P$708*($B1151+IF($R$17="Distrato",$I$38-1,0)),IF(AND($L$711=0,$P$708=0),"",$L$711-1),IF($R$17="Distrato",$E1151,0))),0,YEARFRAC(MAX($P$708*($B1151+IF($R$17="Distrato",$I$38-1,0)),IF(AND($L$711=0,$P$708=0),"",$L$711-1),IF($R$17="Distrato",$E1151,0)),MIN(T$38,$D$19),$P$20))-SUM($P1151:S1151)</f>
        <v>#VALUE!</v>
      </c>
      <c r="U1151" s="446" t="e">
        <f>IF(OR($B1151="",MIN(U$38,$D$19)&lt;MAX($P$708*($B1151+IF($R$17="Distrato",$I$38-1,0)),IF(AND($L$711=0,$P$708=0),"",$L$711-1),IF($R$17="Distrato",$E1151,0))),0,YEARFRAC(MAX($P$708*($B1151+IF($R$17="Distrato",$I$38-1,0)),IF(AND($L$711=0,$P$708=0),"",$L$711-1),IF($R$17="Distrato",$E1151,0)),MIN(U$38,$D$19),$P$20))-SUM($P1151:T1151)</f>
        <v>#VALUE!</v>
      </c>
      <c r="V1151" s="446" t="e">
        <f>IF(OR($B1151="",MIN(V$38,$D$19)&lt;MAX($P$708*($B1151+IF($R$17="Distrato",$I$38-1,0)),IF(AND($L$711=0,$P$708=0),"",$L$711-1),IF($R$17="Distrato",$E1151,0))),0,YEARFRAC(MAX($P$708*($B1151+IF($R$17="Distrato",$I$38-1,0)),IF(AND($L$711=0,$P$708=0),"",$L$711-1),IF($R$17="Distrato",$E1151,0)),MIN(V$38,$D$19),$P$20))-SUM($P1151:U1151)</f>
        <v>#VALUE!</v>
      </c>
      <c r="W1151" s="446" t="e">
        <f>IF(OR($B1151="",MIN(W$38,$D$19)&lt;MAX($P$708*($B1151+IF($R$17="Distrato",$I$38-1,0)),IF(AND($L$711=0,$P$708=0),"",$L$711-1),IF($R$17="Distrato",$E1151,0))),0,YEARFRAC(MAX($P$708*($B1151+IF($R$17="Distrato",$I$38-1,0)),IF(AND($L$711=0,$P$708=0),"",$L$711-1),IF($R$17="Distrato",$E1151,0)),MIN(W$38,$D$19),$P$20))-SUM($P1151:V1151)</f>
        <v>#VALUE!</v>
      </c>
      <c r="X1151" s="446" t="e">
        <f>IF(OR($B1151="",MIN(X$38,$D$19)&lt;MAX($P$708*($B1151+IF($R$17="Distrato",$I$38-1,0)),IF(AND($L$711=0,$P$708=0),"",$L$711-1),IF($R$17="Distrato",$E1151,0))),0,YEARFRAC(MAX($P$708*($B1151+IF($R$17="Distrato",$I$38-1,0)),IF(AND($L$711=0,$P$708=0),"",$L$711-1),IF($R$17="Distrato",$E1151,0)),MIN(X$38,$D$19),$P$20))-SUM($P1151:W1151)</f>
        <v>#VALUE!</v>
      </c>
      <c r="Y1151" s="446" t="e">
        <f>IF(OR($B1151="",MIN(Y$38,$D$19)&lt;MAX($P$708*($B1151+IF($R$17="Distrato",$I$38-1,0)),IF(AND($L$711=0,$P$708=0),"",$L$711-1),IF($R$17="Distrato",$E1151,0))),0,YEARFRAC(MAX($P$708*($B1151+IF($R$17="Distrato",$I$38-1,0)),IF(AND($L$711=0,$P$708=0),"",$L$711-1),IF($R$17="Distrato",$E1151,0)),MIN(Y$38,$D$19),$P$20))-SUM($P1151:X1151)</f>
        <v>#VALUE!</v>
      </c>
      <c r="Z1151" s="446" t="e">
        <f>IF(OR($B1151="",MIN(Z$38,$D$19)&lt;MAX($P$708*($B1151+IF($R$17="Distrato",$I$38-1,0)),IF(AND($L$711=0,$P$708=0),"",$L$711-1),IF($R$17="Distrato",$E1151,0))),0,YEARFRAC(MAX($P$708*($B1151+IF($R$17="Distrato",$I$38-1,0)),IF(AND($L$711=0,$P$708=0),"",$L$711-1),IF($R$17="Distrato",$E1151,0)),MIN(Z$38,$D$19),$P$20))-SUM($P1151:Y1151)</f>
        <v>#VALUE!</v>
      </c>
      <c r="AA1151" s="446" t="e">
        <f>IF(OR($B1151="",MIN(AA$38,$D$19)&lt;MAX($P$708*($B1151+IF($R$17="Distrato",$I$38-1,0)),IF(AND($L$711=0,$P$708=0),"",$L$711-1),IF($R$17="Distrato",$E1151,0))),0,YEARFRAC(MAX($P$708*($B1151+IF($R$17="Distrato",$I$38-1,0)),IF(AND($L$711=0,$P$708=0),"",$L$711-1),IF($R$17="Distrato",$E1151,0)),MIN(AA$38,$D$19),$P$20))-SUM($P1151:Z1151)</f>
        <v>#VALUE!</v>
      </c>
      <c r="AB1151" s="446" t="e">
        <f>IF(OR($B1151="",MIN(AB$38,$D$19)&lt;MAX($P$708*($B1151+IF($R$17="Distrato",$I$38-1,0)),IF(AND($L$711=0,$P$708=0),"",$L$711-1),IF($R$17="Distrato",$E1151,0))),0,YEARFRAC(MAX($P$708*($B1151+IF($R$17="Distrato",$I$38-1,0)),IF(AND($L$711=0,$P$708=0),"",$L$711-1),IF($R$17="Distrato",$E1151,0)),MIN(AB$38,$D$19),$P$20))-SUM($P1151:AA1151)</f>
        <v>#VALUE!</v>
      </c>
      <c r="AC1151" s="446" t="e">
        <f>IF(OR($B1151="",MIN(AC$38,$D$19)&lt;MAX($P$708*($B1151+IF($R$17="Distrato",$I$38-1,0)),IF(AND($L$711=0,$P$708=0),"",$L$711-1),IF($R$17="Distrato",$E1151,0))),0,YEARFRAC(MAX($P$708*($B1151+IF($R$17="Distrato",$I$38-1,0)),IF(AND($L$711=0,$P$708=0),"",$L$711-1),IF($R$17="Distrato",$E1151,0)),MIN(AC$38,$D$19),$P$20))-SUM($P1151:AB1151)</f>
        <v>#VALUE!</v>
      </c>
      <c r="AD1151" s="446" t="e">
        <f>IF(OR($B1151="",MIN(AD$38,$D$19)&lt;MAX($P$708*($B1151+IF($R$17="Distrato",$I$38-1,0)),IF(AND($L$711=0,$P$708=0),"",$L$711-1),IF($R$17="Distrato",$E1151,0))),0,YEARFRAC(MAX($P$708*($B1151+IF($R$17="Distrato",$I$38-1,0)),IF(AND($L$711=0,$P$708=0),"",$L$711-1),IF($R$17="Distrato",$E1151,0)),MIN(AD$38,$D$19),$P$20))-SUM($P1151:AC1151)</f>
        <v>#VALUE!</v>
      </c>
      <c r="AE1151" s="446" t="e">
        <f>IF(OR($B1151="",MIN(AE$38,$D$19)&lt;MAX($P$708*($B1151+IF($R$17="Distrato",$I$38-1,0)),IF(AND($L$711=0,$P$708=0),"",$L$711-1),IF($R$17="Distrato",$E1151,0))),0,YEARFRAC(MAX($P$708*($B1151+IF($R$17="Distrato",$I$38-1,0)),IF(AND($L$711=0,$P$708=0),"",$L$711-1),IF($R$17="Distrato",$E1151,0)),MIN(AE$38,$D$19),$P$20))-SUM($P1151:AD1151)</f>
        <v>#VALUE!</v>
      </c>
      <c r="AF1151" s="446" t="e">
        <f>IF(OR($B1151="",MIN(AF$38,$D$19)&lt;MAX($P$708*($B1151+IF($R$17="Distrato",$I$38-1,0)),IF(AND($L$711=0,$P$708=0),"",$L$711-1),IF($R$17="Distrato",$E1151,0))),0,YEARFRAC(MAX($P$708*($B1151+IF($R$17="Distrato",$I$38-1,0)),IF(AND($L$711=0,$P$708=0),"",$L$711-1),IF($R$17="Distrato",$E1151,0)),MIN(AF$38,$D$19),$P$20))-SUM($P1151:AE1151)</f>
        <v>#VALUE!</v>
      </c>
      <c r="AG1151" s="446" t="e">
        <f>IF(OR($B1151="",MIN(AG$38,$D$19)&lt;MAX($P$708*($B1151+IF($R$17="Distrato",$I$38-1,0)),IF(AND($L$711=0,$P$708=0),"",$L$711-1),IF($R$17="Distrato",$E1151,0))),0,YEARFRAC(MAX($P$708*($B1151+IF($R$17="Distrato",$I$38-1,0)),IF(AND($L$711=0,$P$708=0),"",$L$711-1),IF($R$17="Distrato",$E1151,0)),MIN(AG$38,$D$19),$P$20))-SUM($P1151:AF1151)</f>
        <v>#VALUE!</v>
      </c>
      <c r="AH1151" s="446" t="e">
        <f>IF(OR($B1151="",MIN(AH$38,$D$19)&lt;MAX($P$708*($B1151+IF($R$17="Distrato",$I$38-1,0)),IF(AND($L$711=0,$P$708=0),"",$L$711-1),IF($R$17="Distrato",$E1151,0))),0,YEARFRAC(MAX($P$708*($B1151+IF($R$17="Distrato",$I$38-1,0)),IF(AND($L$711=0,$P$708=0),"",$L$711-1),IF($R$17="Distrato",$E1151,0)),MIN(AH$38,$D$19),$P$20))-SUM($P1151:AG1151)</f>
        <v>#VALUE!</v>
      </c>
      <c r="AI1151" s="446" t="e">
        <f>IF(OR($B1151="",MIN(AI$38,$D$19)&lt;MAX($P$708*($B1151+IF($R$17="Distrato",$I$38-1,0)),IF(AND($L$711=0,$P$708=0),"",$L$711-1),IF($R$17="Distrato",$E1151,0))),0,YEARFRAC(MAX($P$708*($B1151+IF($R$17="Distrato",$I$38-1,0)),IF(AND($L$711=0,$P$708=0),"",$L$711-1),IF($R$17="Distrato",$E1151,0)),MIN(AI$38,$D$19),$P$20))-SUM($P1151:AH1151)</f>
        <v>#VALUE!</v>
      </c>
      <c r="AJ1151" s="446" t="e">
        <f>IF(OR($B1151="",MIN(AJ$38,$D$19)&lt;MAX($P$708*($B1151+IF($R$17="Distrato",$I$38-1,0)),IF(AND($L$711=0,$P$708=0),"",$L$711-1),IF($R$17="Distrato",$E1151,0))),0,YEARFRAC(MAX($P$708*($B1151+IF($R$17="Distrato",$I$38-1,0)),IF(AND($L$711=0,$P$708=0),"",$L$711-1),IF($R$17="Distrato",$E1151,0)),MIN(AJ$38,$D$19),$P$20))-SUM($P1151:AI1151)</f>
        <v>#VALUE!</v>
      </c>
      <c r="AK1151" s="446" t="e">
        <f>IF(OR($B1151="",MIN(AK$38,$D$19)&lt;MAX($P$708*($B1151+IF($R$17="Distrato",$I$38-1,0)),IF(AND($L$711=0,$P$708=0),"",$L$711-1),IF($R$17="Distrato",$E1151,0))),0,YEARFRAC(MAX($P$708*($B1151+IF($R$17="Distrato",$I$38-1,0)),IF(AND($L$711=0,$P$708=0),"",$L$711-1),IF($R$17="Distrato",$E1151,0)),MIN(AK$38,$D$19),$P$20))-SUM($P1151:AJ1151)</f>
        <v>#VALUE!</v>
      </c>
      <c r="AL1151" s="446" t="e">
        <f>IF(OR($B1151="",MIN(AL$38,$D$19)&lt;MAX($P$708*($B1151+IF($R$17="Distrato",$I$38-1,0)),IF(AND($L$711=0,$P$708=0),"",$L$711-1),IF($R$17="Distrato",$E1151,0))),0,YEARFRAC(MAX($P$708*($B1151+IF($R$17="Distrato",$I$38-1,0)),IF(AND($L$711=0,$P$708=0),"",$L$711-1),IF($R$17="Distrato",$E1151,0)),MIN(AL$38,$D$19),$P$20))-SUM($P1151:AK1151)</f>
        <v>#VALUE!</v>
      </c>
      <c r="AM1151" s="446" t="e">
        <f>IF(OR($B1151="",MIN(AM$38,$D$19)&lt;MAX($P$708*($B1151+IF($R$17="Distrato",$I$38-1,0)),IF(AND($L$711=0,$P$708=0),"",$L$711-1),IF($R$17="Distrato",$E1151,0))),0,YEARFRAC(MAX($P$708*($B1151+IF($R$17="Distrato",$I$38-1,0)),IF(AND($L$711=0,$P$708=0),"",$L$711-1),IF($R$17="Distrato",$E1151,0)),MIN(AM$38,$D$19),$P$20))-SUM($P1151:AL1151)</f>
        <v>#VALUE!</v>
      </c>
      <c r="AN1151" s="446" t="e">
        <f>IF(OR($B1151="",MIN(AN$38,$D$19)&lt;MAX($P$708*($B1151+IF($R$17="Distrato",$I$38-1,0)),IF(AND($L$711=0,$P$708=0),"",$L$711-1),IF($R$17="Distrato",$E1151,0))),0,YEARFRAC(MAX($P$708*($B1151+IF($R$17="Distrato",$I$38-1,0)),IF(AND($L$711=0,$P$708=0),"",$L$711-1),IF($R$17="Distrato",$E1151,0)),MIN(AN$38,$D$19),$P$20))-SUM($P1151:AM1151)</f>
        <v>#VALUE!</v>
      </c>
      <c r="AO1151" s="446" t="e">
        <f>IF(OR($B1151="",MIN(AO$38,$D$19)&lt;MAX($P$708*($B1151+IF($R$17="Distrato",$I$38-1,0)),IF(AND($L$711=0,$P$708=0),"",$L$711-1),IF($R$17="Distrato",$E1151,0))),0,YEARFRAC(MAX($P$708*($B1151+IF($R$17="Distrato",$I$38-1,0)),IF(AND($L$711=0,$P$708=0),"",$L$711-1),IF($R$17="Distrato",$E1151,0)),MIN(AO$38,$D$19),$P$20))-SUM($P1151:AN1151)</f>
        <v>#VALUE!</v>
      </c>
      <c r="AP1151" s="446" t="e">
        <f>IF(OR($B1151="",MIN(AP$38,$D$19)&lt;MAX($P$708*($B1151+IF($R$17="Distrato",$I$38-1,0)),IF(AND($L$711=0,$P$708=0),"",$L$711-1),IF($R$17="Distrato",$E1151,0))),0,YEARFRAC(MAX($P$708*($B1151+IF($R$17="Distrato",$I$38-1,0)),IF(AND($L$711=0,$P$708=0),"",$L$711-1),IF($R$17="Distrato",$E1151,0)),MIN(AP$38,$D$19),$P$20))-SUM($P1151:AO1151)</f>
        <v>#VALUE!</v>
      </c>
      <c r="AQ1151" s="446" t="e">
        <f>IF(OR($B1151="",MIN(AQ$38,$D$19)&lt;MAX($P$708*($B1151+IF($R$17="Distrato",$I$38-1,0)),IF(AND($L$711=0,$P$708=0),"",$L$711-1),IF($R$17="Distrato",$E1151,0))),0,YEARFRAC(MAX($P$708*($B1151+IF($R$17="Distrato",$I$38-1,0)),IF(AND($L$711=0,$P$708=0),"",$L$711-1),IF($R$17="Distrato",$E1151,0)),MIN(AQ$38,$D$19),$P$20))-SUM($P1151:AP1151)</f>
        <v>#VALUE!</v>
      </c>
      <c r="AR1151" s="446" t="e">
        <f>IF(OR($B1151="",MIN(AR$38,$D$19)&lt;MAX($P$708*($B1151+IF($R$17="Distrato",$I$38-1,0)),IF(AND($L$711=0,$P$708=0),"",$L$711-1),IF($R$17="Distrato",$E1151,0))),0,YEARFRAC(MAX($P$708*($B1151+IF($R$17="Distrato",$I$38-1,0)),IF(AND($L$711=0,$P$708=0),"",$L$711-1),IF($R$17="Distrato",$E1151,0)),MIN(AR$38,$D$19),$P$20))-SUM($P1151:AQ1151)</f>
        <v>#VALUE!</v>
      </c>
      <c r="AS1151" s="446" t="e">
        <f>IF(OR($B1151="",MIN(AS$38,$D$19)&lt;MAX($P$708*($B1151+IF($R$17="Distrato",$I$38-1,0)),IF(AND($L$711=0,$P$708=0),"",$L$711-1),IF($R$17="Distrato",$E1151,0))),0,YEARFRAC(MAX($P$708*($B1151+IF($R$17="Distrato",$I$38-1,0)),IF(AND($L$711=0,$P$708=0),"",$L$711-1),IF($R$17="Distrato",$E1151,0)),MIN(AS$38,$D$19),$P$20))-SUM($P1151:AR1151)</f>
        <v>#VALUE!</v>
      </c>
      <c r="AT1151" s="446" t="e">
        <f>IF(OR($B1151="",MIN(AT$38,$D$19)&lt;MAX($P$708*($B1151+IF($R$17="Distrato",$I$38-1,0)),IF(AND($L$711=0,$P$708=0),"",$L$711-1),IF($R$17="Distrato",$E1151,0))),0,YEARFRAC(MAX($P$708*($B1151+IF($R$17="Distrato",$I$38-1,0)),IF(AND($L$711=0,$P$708=0),"",$L$711-1),IF($R$17="Distrato",$E1151,0)),MIN(AT$38,$D$19),$P$20))-SUM($P1151:AS1151)</f>
        <v>#VALUE!</v>
      </c>
      <c r="AU1151" s="446" t="e">
        <f>IF(OR($B1151="",MIN(AU$38,$D$19)&lt;MAX($P$708*($B1151+IF($R$17="Distrato",$I$38-1,0)),IF(AND($L$711=0,$P$708=0),"",$L$711-1),IF($R$17="Distrato",$E1151,0))),0,YEARFRAC(MAX($P$708*($B1151+IF($R$17="Distrato",$I$38-1,0)),IF(AND($L$711=0,$P$708=0),"",$L$711-1),IF($R$17="Distrato",$E1151,0)),MIN(AU$38,$D$19),$P$20))-SUM($P1151:AT1151)</f>
        <v>#VALUE!</v>
      </c>
      <c r="AV1151" s="446" t="e">
        <f>IF(OR($B1151="",MIN(AV$38,$D$19)&lt;MAX($P$708*($B1151+IF($R$17="Distrato",$I$38-1,0)),IF(AND($L$711=0,$P$708=0),"",$L$711-1),IF($R$17="Distrato",$E1151,0))),0,YEARFRAC(MAX($P$708*($B1151+IF($R$17="Distrato",$I$38-1,0)),IF(AND($L$711=0,$P$708=0),"",$L$711-1),IF($R$17="Distrato",$E1151,0)),MIN(AV$38,$D$19),$P$20))-SUM($P1151:AU1151)</f>
        <v>#VALUE!</v>
      </c>
      <c r="AW1151" s="446" t="e">
        <f>IF(OR($B1151="",MIN(AW$38,$D$19)&lt;MAX($P$708*($B1151+IF($R$17="Distrato",$I$38-1,0)),IF(AND($L$711=0,$P$708=0),"",$L$711-1),IF($R$17="Distrato",$E1151,0))),0,YEARFRAC(MAX($P$708*($B1151+IF($R$17="Distrato",$I$38-1,0)),IF(AND($L$711=0,$P$708=0),"",$L$711-1),IF($R$17="Distrato",$E1151,0)),MIN(AW$38,$D$19),$P$20))-SUM($P1151:AV1151)</f>
        <v>#VALUE!</v>
      </c>
      <c r="AX1151" s="446" t="e">
        <f>IF(OR($B1151="",MIN(AX$38,$D$19)&lt;MAX($P$708*($B1151+IF($R$17="Distrato",$I$38-1,0)),IF(AND($L$711=0,$P$708=0),"",$L$711-1),IF($R$17="Distrato",$E1151,0))),0,YEARFRAC(MAX($P$708*($B1151+IF($R$17="Distrato",$I$38-1,0)),IF(AND($L$711=0,$P$708=0),"",$L$711-1),IF($R$17="Distrato",$E1151,0)),MIN(AX$38,$D$19),$P$20))-SUM($P1151:AW1151)</f>
        <v>#VALUE!</v>
      </c>
      <c r="AY1151" s="446" t="e">
        <f>IF(OR($B1151="",MIN(AY$38,$D$19)&lt;MAX($P$708*($B1151+IF($R$17="Distrato",$I$38-1,0)),IF(AND($L$711=0,$P$708=0),"",$L$711-1),IF($R$17="Distrato",$E1151,0))),0,YEARFRAC(MAX($P$708*($B1151+IF($R$17="Distrato",$I$38-1,0)),IF(AND($L$711=0,$P$708=0),"",$L$711-1),IF($R$17="Distrato",$E1151,0)),MIN(AY$38,$D$19),$P$20))-SUM($P1151:AX1151)</f>
        <v>#VALUE!</v>
      </c>
      <c r="AZ1151" s="446" t="e">
        <f>IF(OR($B1151="",MIN(AZ$38,$D$19)&lt;MAX($P$708*($B1151+IF($R$17="Distrato",$I$38-1,0)),IF(AND($L$711=0,$P$708=0),"",$L$711-1),IF($R$17="Distrato",$E1151,0))),0,YEARFRAC(MAX($P$708*($B1151+IF($R$17="Distrato",$I$38-1,0)),IF(AND($L$711=0,$P$708=0),"",$L$711-1),IF($R$17="Distrato",$E1151,0)),MIN(AZ$38,$D$19),$P$20))-SUM($P1151:AY1151)</f>
        <v>#VALUE!</v>
      </c>
      <c r="BA1151" s="446" t="e">
        <f>IF(OR($B1151="",MIN(BA$38,$D$19)&lt;MAX($P$708*($B1151+IF($R$17="Distrato",$I$38-1,0)),IF(AND($L$711=0,$P$708=0),"",$L$711-1),IF($R$17="Distrato",$E1151,0))),0,YEARFRAC(MAX($P$708*($B1151+IF($R$17="Distrato",$I$38-1,0)),IF(AND($L$711=0,$P$708=0),"",$L$711-1),IF($R$17="Distrato",$E1151,0)),MIN(BA$38,$D$19),$P$20))-SUM($P1151:AZ1151)</f>
        <v>#VALUE!</v>
      </c>
      <c r="BB1151" s="447"/>
    </row>
    <row r="1152" spans="1:54" s="446" customFormat="1" ht="11.25" hidden="1" customHeight="1" x14ac:dyDescent="0.2">
      <c r="A1152" s="235"/>
      <c r="B1152" s="236"/>
      <c r="C1152" s="29" t="str">
        <f>IF(B1152="","",IF($L$709=$BL$25,VLOOKUP(DATE(YEAR($D$19),MONTH($D$19)-1,1),ÍNDICES!$A:$DE,HLOOKUP($BL$25,ÍNDICES!$B$3:$T$4,2)+11)-VLOOKUP(B1152,ÍNDICES!$A:$DE,HLOOKUP($BL$25,ÍNDICES!$B$3:$T$4,2)+11)+1%,IF(C$712=$W$26,$J$35,IF(ISERROR(IF(B1152&gt;$D$19,1,VLOOKUP(DATE(YEAR(B1152),MONTH(B1152)+IF($C$709=$S$23,1,0),1),ÍNDICES!$A:$DE,$Z$709+1))),"",IF(B1152&gt;$D$19,1,VLOOKUP(DATE(YEAR(B1152),MONTH(B1152)+IF($C$709=$S$23,1,0),1),ÍNDICES!$A:$DE,$Z$709+1))))))</f>
        <v/>
      </c>
      <c r="D1152" s="155"/>
      <c r="E1152" s="88"/>
      <c r="F1152" s="88"/>
      <c r="G1152" s="88"/>
      <c r="H1152" s="118"/>
      <c r="I1152" s="182">
        <f t="shared" si="157"/>
        <v>0</v>
      </c>
      <c r="J1152" s="20">
        <f t="shared" ca="1" si="158"/>
        <v>0</v>
      </c>
      <c r="K1152" s="5">
        <f t="shared" ca="1" si="159"/>
        <v>0</v>
      </c>
      <c r="L1152" s="61">
        <f t="shared" ca="1" si="160"/>
        <v>0</v>
      </c>
      <c r="M1152" s="64">
        <f t="shared" si="161"/>
        <v>0</v>
      </c>
      <c r="N1152" s="151"/>
      <c r="O1152" s="5">
        <f t="shared" ca="1" si="162"/>
        <v>0</v>
      </c>
      <c r="P1152" s="446" t="e">
        <f t="shared" si="163"/>
        <v>#VALUE!</v>
      </c>
      <c r="Q1152" s="446" t="e">
        <f>IF(OR($B1152="",MIN(Q$38,$D$19)&lt;MAX($P$708*($B1152+IF($R$17="Distrato",$I$38-1,0)),IF(AND($L$711=0,$P$708=0),"",$L$711-1),IF($R$17="Distrato",$E1152,0))),0,YEARFRAC(MAX($P$708*($B1152+IF($R$17="Distrato",$I$38-1,0)),IF(AND($L$711=0,$P$708=0),"",$L$711-1),IF($R$17="Distrato",$E1152,0)),MIN(Q$38,$D$19),$P$20))-SUM($P1152:P1152)</f>
        <v>#VALUE!</v>
      </c>
      <c r="R1152" s="446" t="e">
        <f>IF(OR($B1152="",MIN(R$38,$D$19)&lt;MAX($P$708*($B1152+IF($R$17="Distrato",$I$38-1,0)),IF(AND($L$711=0,$P$708=0),"",$L$711-1),IF($R$17="Distrato",$E1152,0))),0,YEARFRAC(MAX($P$708*($B1152+IF($R$17="Distrato",$I$38-1,0)),IF(AND($L$711=0,$P$708=0),"",$L$711-1),IF($R$17="Distrato",$E1152,0)),MIN(R$38,$D$19),$P$20))-SUM($P1152:Q1152)</f>
        <v>#VALUE!</v>
      </c>
      <c r="S1152" s="446" t="e">
        <f>IF(OR($B1152="",MIN(S$38,$D$19)&lt;MAX($P$708*($B1152+IF($R$17="Distrato",$I$38-1,0)),IF(AND($L$711=0,$P$708=0),"",$L$711-1),IF($R$17="Distrato",$E1152,0))),0,YEARFRAC(MAX($P$708*($B1152+IF($R$17="Distrato",$I$38-1,0)),IF(AND($L$711=0,$P$708=0),"",$L$711-1),IF($R$17="Distrato",$E1152,0)),MIN(S$38,$D$19),$P$20))-SUM($P1152:R1152)</f>
        <v>#VALUE!</v>
      </c>
      <c r="T1152" s="446" t="e">
        <f>IF(OR($B1152="",MIN(T$38,$D$19)&lt;MAX($P$708*($B1152+IF($R$17="Distrato",$I$38-1,0)),IF(AND($L$711=0,$P$708=0),"",$L$711-1),IF($R$17="Distrato",$E1152,0))),0,YEARFRAC(MAX($P$708*($B1152+IF($R$17="Distrato",$I$38-1,0)),IF(AND($L$711=0,$P$708=0),"",$L$711-1),IF($R$17="Distrato",$E1152,0)),MIN(T$38,$D$19),$P$20))-SUM($P1152:S1152)</f>
        <v>#VALUE!</v>
      </c>
      <c r="U1152" s="446" t="e">
        <f>IF(OR($B1152="",MIN(U$38,$D$19)&lt;MAX($P$708*($B1152+IF($R$17="Distrato",$I$38-1,0)),IF(AND($L$711=0,$P$708=0),"",$L$711-1),IF($R$17="Distrato",$E1152,0))),0,YEARFRAC(MAX($P$708*($B1152+IF($R$17="Distrato",$I$38-1,0)),IF(AND($L$711=0,$P$708=0),"",$L$711-1),IF($R$17="Distrato",$E1152,0)),MIN(U$38,$D$19),$P$20))-SUM($P1152:T1152)</f>
        <v>#VALUE!</v>
      </c>
      <c r="V1152" s="446" t="e">
        <f>IF(OR($B1152="",MIN(V$38,$D$19)&lt;MAX($P$708*($B1152+IF($R$17="Distrato",$I$38-1,0)),IF(AND($L$711=0,$P$708=0),"",$L$711-1),IF($R$17="Distrato",$E1152,0))),0,YEARFRAC(MAX($P$708*($B1152+IF($R$17="Distrato",$I$38-1,0)),IF(AND($L$711=0,$P$708=0),"",$L$711-1),IF($R$17="Distrato",$E1152,0)),MIN(V$38,$D$19),$P$20))-SUM($P1152:U1152)</f>
        <v>#VALUE!</v>
      </c>
      <c r="W1152" s="446" t="e">
        <f>IF(OR($B1152="",MIN(W$38,$D$19)&lt;MAX($P$708*($B1152+IF($R$17="Distrato",$I$38-1,0)),IF(AND($L$711=0,$P$708=0),"",$L$711-1),IF($R$17="Distrato",$E1152,0))),0,YEARFRAC(MAX($P$708*($B1152+IF($R$17="Distrato",$I$38-1,0)),IF(AND($L$711=0,$P$708=0),"",$L$711-1),IF($R$17="Distrato",$E1152,0)),MIN(W$38,$D$19),$P$20))-SUM($P1152:V1152)</f>
        <v>#VALUE!</v>
      </c>
      <c r="X1152" s="446" t="e">
        <f>IF(OR($B1152="",MIN(X$38,$D$19)&lt;MAX($P$708*($B1152+IF($R$17="Distrato",$I$38-1,0)),IF(AND($L$711=0,$P$708=0),"",$L$711-1),IF($R$17="Distrato",$E1152,0))),0,YEARFRAC(MAX($P$708*($B1152+IF($R$17="Distrato",$I$38-1,0)),IF(AND($L$711=0,$P$708=0),"",$L$711-1),IF($R$17="Distrato",$E1152,0)),MIN(X$38,$D$19),$P$20))-SUM($P1152:W1152)</f>
        <v>#VALUE!</v>
      </c>
      <c r="Y1152" s="446" t="e">
        <f>IF(OR($B1152="",MIN(Y$38,$D$19)&lt;MAX($P$708*($B1152+IF($R$17="Distrato",$I$38-1,0)),IF(AND($L$711=0,$P$708=0),"",$L$711-1),IF($R$17="Distrato",$E1152,0))),0,YEARFRAC(MAX($P$708*($B1152+IF($R$17="Distrato",$I$38-1,0)),IF(AND($L$711=0,$P$708=0),"",$L$711-1),IF($R$17="Distrato",$E1152,0)),MIN(Y$38,$D$19),$P$20))-SUM($P1152:X1152)</f>
        <v>#VALUE!</v>
      </c>
      <c r="Z1152" s="446" t="e">
        <f>IF(OR($B1152="",MIN(Z$38,$D$19)&lt;MAX($P$708*($B1152+IF($R$17="Distrato",$I$38-1,0)),IF(AND($L$711=0,$P$708=0),"",$L$711-1),IF($R$17="Distrato",$E1152,0))),0,YEARFRAC(MAX($P$708*($B1152+IF($R$17="Distrato",$I$38-1,0)),IF(AND($L$711=0,$P$708=0),"",$L$711-1),IF($R$17="Distrato",$E1152,0)),MIN(Z$38,$D$19),$P$20))-SUM($P1152:Y1152)</f>
        <v>#VALUE!</v>
      </c>
      <c r="AA1152" s="446" t="e">
        <f>IF(OR($B1152="",MIN(AA$38,$D$19)&lt;MAX($P$708*($B1152+IF($R$17="Distrato",$I$38-1,0)),IF(AND($L$711=0,$P$708=0),"",$L$711-1),IF($R$17="Distrato",$E1152,0))),0,YEARFRAC(MAX($P$708*($B1152+IF($R$17="Distrato",$I$38-1,0)),IF(AND($L$711=0,$P$708=0),"",$L$711-1),IF($R$17="Distrato",$E1152,0)),MIN(AA$38,$D$19),$P$20))-SUM($P1152:Z1152)</f>
        <v>#VALUE!</v>
      </c>
      <c r="AB1152" s="446" t="e">
        <f>IF(OR($B1152="",MIN(AB$38,$D$19)&lt;MAX($P$708*($B1152+IF($R$17="Distrato",$I$38-1,0)),IF(AND($L$711=0,$P$708=0),"",$L$711-1),IF($R$17="Distrato",$E1152,0))),0,YEARFRAC(MAX($P$708*($B1152+IF($R$17="Distrato",$I$38-1,0)),IF(AND($L$711=0,$P$708=0),"",$L$711-1),IF($R$17="Distrato",$E1152,0)),MIN(AB$38,$D$19),$P$20))-SUM($P1152:AA1152)</f>
        <v>#VALUE!</v>
      </c>
      <c r="AC1152" s="446" t="e">
        <f>IF(OR($B1152="",MIN(AC$38,$D$19)&lt;MAX($P$708*($B1152+IF($R$17="Distrato",$I$38-1,0)),IF(AND($L$711=0,$P$708=0),"",$L$711-1),IF($R$17="Distrato",$E1152,0))),0,YEARFRAC(MAX($P$708*($B1152+IF($R$17="Distrato",$I$38-1,0)),IF(AND($L$711=0,$P$708=0),"",$L$711-1),IF($R$17="Distrato",$E1152,0)),MIN(AC$38,$D$19),$P$20))-SUM($P1152:AB1152)</f>
        <v>#VALUE!</v>
      </c>
      <c r="AD1152" s="446" t="e">
        <f>IF(OR($B1152="",MIN(AD$38,$D$19)&lt;MAX($P$708*($B1152+IF($R$17="Distrato",$I$38-1,0)),IF(AND($L$711=0,$P$708=0),"",$L$711-1),IF($R$17="Distrato",$E1152,0))),0,YEARFRAC(MAX($P$708*($B1152+IF($R$17="Distrato",$I$38-1,0)),IF(AND($L$711=0,$P$708=0),"",$L$711-1),IF($R$17="Distrato",$E1152,0)),MIN(AD$38,$D$19),$P$20))-SUM($P1152:AC1152)</f>
        <v>#VALUE!</v>
      </c>
      <c r="AE1152" s="446" t="e">
        <f>IF(OR($B1152="",MIN(AE$38,$D$19)&lt;MAX($P$708*($B1152+IF($R$17="Distrato",$I$38-1,0)),IF(AND($L$711=0,$P$708=0),"",$L$711-1),IF($R$17="Distrato",$E1152,0))),0,YEARFRAC(MAX($P$708*($B1152+IF($R$17="Distrato",$I$38-1,0)),IF(AND($L$711=0,$P$708=0),"",$L$711-1),IF($R$17="Distrato",$E1152,0)),MIN(AE$38,$D$19),$P$20))-SUM($P1152:AD1152)</f>
        <v>#VALUE!</v>
      </c>
      <c r="AF1152" s="446" t="e">
        <f>IF(OR($B1152="",MIN(AF$38,$D$19)&lt;MAX($P$708*($B1152+IF($R$17="Distrato",$I$38-1,0)),IF(AND($L$711=0,$P$708=0),"",$L$711-1),IF($R$17="Distrato",$E1152,0))),0,YEARFRAC(MAX($P$708*($B1152+IF($R$17="Distrato",$I$38-1,0)),IF(AND($L$711=0,$P$708=0),"",$L$711-1),IF($R$17="Distrato",$E1152,0)),MIN(AF$38,$D$19),$P$20))-SUM($P1152:AE1152)</f>
        <v>#VALUE!</v>
      </c>
      <c r="AG1152" s="446" t="e">
        <f>IF(OR($B1152="",MIN(AG$38,$D$19)&lt;MAX($P$708*($B1152+IF($R$17="Distrato",$I$38-1,0)),IF(AND($L$711=0,$P$708=0),"",$L$711-1),IF($R$17="Distrato",$E1152,0))),0,YEARFRAC(MAX($P$708*($B1152+IF($R$17="Distrato",$I$38-1,0)),IF(AND($L$711=0,$P$708=0),"",$L$711-1),IF($R$17="Distrato",$E1152,0)),MIN(AG$38,$D$19),$P$20))-SUM($P1152:AF1152)</f>
        <v>#VALUE!</v>
      </c>
      <c r="AH1152" s="446" t="e">
        <f>IF(OR($B1152="",MIN(AH$38,$D$19)&lt;MAX($P$708*($B1152+IF($R$17="Distrato",$I$38-1,0)),IF(AND($L$711=0,$P$708=0),"",$L$711-1),IF($R$17="Distrato",$E1152,0))),0,YEARFRAC(MAX($P$708*($B1152+IF($R$17="Distrato",$I$38-1,0)),IF(AND($L$711=0,$P$708=0),"",$L$711-1),IF($R$17="Distrato",$E1152,0)),MIN(AH$38,$D$19),$P$20))-SUM($P1152:AG1152)</f>
        <v>#VALUE!</v>
      </c>
      <c r="AI1152" s="446" t="e">
        <f>IF(OR($B1152="",MIN(AI$38,$D$19)&lt;MAX($P$708*($B1152+IF($R$17="Distrato",$I$38-1,0)),IF(AND($L$711=0,$P$708=0),"",$L$711-1),IF($R$17="Distrato",$E1152,0))),0,YEARFRAC(MAX($P$708*($B1152+IF($R$17="Distrato",$I$38-1,0)),IF(AND($L$711=0,$P$708=0),"",$L$711-1),IF($R$17="Distrato",$E1152,0)),MIN(AI$38,$D$19),$P$20))-SUM($P1152:AH1152)</f>
        <v>#VALUE!</v>
      </c>
      <c r="AJ1152" s="446" t="e">
        <f>IF(OR($B1152="",MIN(AJ$38,$D$19)&lt;MAX($P$708*($B1152+IF($R$17="Distrato",$I$38-1,0)),IF(AND($L$711=0,$P$708=0),"",$L$711-1),IF($R$17="Distrato",$E1152,0))),0,YEARFRAC(MAX($P$708*($B1152+IF($R$17="Distrato",$I$38-1,0)),IF(AND($L$711=0,$P$708=0),"",$L$711-1),IF($R$17="Distrato",$E1152,0)),MIN(AJ$38,$D$19),$P$20))-SUM($P1152:AI1152)</f>
        <v>#VALUE!</v>
      </c>
      <c r="AK1152" s="446" t="e">
        <f>IF(OR($B1152="",MIN(AK$38,$D$19)&lt;MAX($P$708*($B1152+IF($R$17="Distrato",$I$38-1,0)),IF(AND($L$711=0,$P$708=0),"",$L$711-1),IF($R$17="Distrato",$E1152,0))),0,YEARFRAC(MAX($P$708*($B1152+IF($R$17="Distrato",$I$38-1,0)),IF(AND($L$711=0,$P$708=0),"",$L$711-1),IF($R$17="Distrato",$E1152,0)),MIN(AK$38,$D$19),$P$20))-SUM($P1152:AJ1152)</f>
        <v>#VALUE!</v>
      </c>
      <c r="AL1152" s="446" t="e">
        <f>IF(OR($B1152="",MIN(AL$38,$D$19)&lt;MAX($P$708*($B1152+IF($R$17="Distrato",$I$38-1,0)),IF(AND($L$711=0,$P$708=0),"",$L$711-1),IF($R$17="Distrato",$E1152,0))),0,YEARFRAC(MAX($P$708*($B1152+IF($R$17="Distrato",$I$38-1,0)),IF(AND($L$711=0,$P$708=0),"",$L$711-1),IF($R$17="Distrato",$E1152,0)),MIN(AL$38,$D$19),$P$20))-SUM($P1152:AK1152)</f>
        <v>#VALUE!</v>
      </c>
      <c r="AM1152" s="446" t="e">
        <f>IF(OR($B1152="",MIN(AM$38,$D$19)&lt;MAX($P$708*($B1152+IF($R$17="Distrato",$I$38-1,0)),IF(AND($L$711=0,$P$708=0),"",$L$711-1),IF($R$17="Distrato",$E1152,0))),0,YEARFRAC(MAX($P$708*($B1152+IF($R$17="Distrato",$I$38-1,0)),IF(AND($L$711=0,$P$708=0),"",$L$711-1),IF($R$17="Distrato",$E1152,0)),MIN(AM$38,$D$19),$P$20))-SUM($P1152:AL1152)</f>
        <v>#VALUE!</v>
      </c>
      <c r="AN1152" s="446" t="e">
        <f>IF(OR($B1152="",MIN(AN$38,$D$19)&lt;MAX($P$708*($B1152+IF($R$17="Distrato",$I$38-1,0)),IF(AND($L$711=0,$P$708=0),"",$L$711-1),IF($R$17="Distrato",$E1152,0))),0,YEARFRAC(MAX($P$708*($B1152+IF($R$17="Distrato",$I$38-1,0)),IF(AND($L$711=0,$P$708=0),"",$L$711-1),IF($R$17="Distrato",$E1152,0)),MIN(AN$38,$D$19),$P$20))-SUM($P1152:AM1152)</f>
        <v>#VALUE!</v>
      </c>
      <c r="AO1152" s="446" t="e">
        <f>IF(OR($B1152="",MIN(AO$38,$D$19)&lt;MAX($P$708*($B1152+IF($R$17="Distrato",$I$38-1,0)),IF(AND($L$711=0,$P$708=0),"",$L$711-1),IF($R$17="Distrato",$E1152,0))),0,YEARFRAC(MAX($P$708*($B1152+IF($R$17="Distrato",$I$38-1,0)),IF(AND($L$711=0,$P$708=0),"",$L$711-1),IF($R$17="Distrato",$E1152,0)),MIN(AO$38,$D$19),$P$20))-SUM($P1152:AN1152)</f>
        <v>#VALUE!</v>
      </c>
      <c r="AP1152" s="446" t="e">
        <f>IF(OR($B1152="",MIN(AP$38,$D$19)&lt;MAX($P$708*($B1152+IF($R$17="Distrato",$I$38-1,0)),IF(AND($L$711=0,$P$708=0),"",$L$711-1),IF($R$17="Distrato",$E1152,0))),0,YEARFRAC(MAX($P$708*($B1152+IF($R$17="Distrato",$I$38-1,0)),IF(AND($L$711=0,$P$708=0),"",$L$711-1),IF($R$17="Distrato",$E1152,0)),MIN(AP$38,$D$19),$P$20))-SUM($P1152:AO1152)</f>
        <v>#VALUE!</v>
      </c>
      <c r="AQ1152" s="446" t="e">
        <f>IF(OR($B1152="",MIN(AQ$38,$D$19)&lt;MAX($P$708*($B1152+IF($R$17="Distrato",$I$38-1,0)),IF(AND($L$711=0,$P$708=0),"",$L$711-1),IF($R$17="Distrato",$E1152,0))),0,YEARFRAC(MAX($P$708*($B1152+IF($R$17="Distrato",$I$38-1,0)),IF(AND($L$711=0,$P$708=0),"",$L$711-1),IF($R$17="Distrato",$E1152,0)),MIN(AQ$38,$D$19),$P$20))-SUM($P1152:AP1152)</f>
        <v>#VALUE!</v>
      </c>
      <c r="AR1152" s="446" t="e">
        <f>IF(OR($B1152="",MIN(AR$38,$D$19)&lt;MAX($P$708*($B1152+IF($R$17="Distrato",$I$38-1,0)),IF(AND($L$711=0,$P$708=0),"",$L$711-1),IF($R$17="Distrato",$E1152,0))),0,YEARFRAC(MAX($P$708*($B1152+IF($R$17="Distrato",$I$38-1,0)),IF(AND($L$711=0,$P$708=0),"",$L$711-1),IF($R$17="Distrato",$E1152,0)),MIN(AR$38,$D$19),$P$20))-SUM($P1152:AQ1152)</f>
        <v>#VALUE!</v>
      </c>
      <c r="AS1152" s="446" t="e">
        <f>IF(OR($B1152="",MIN(AS$38,$D$19)&lt;MAX($P$708*($B1152+IF($R$17="Distrato",$I$38-1,0)),IF(AND($L$711=0,$P$708=0),"",$L$711-1),IF($R$17="Distrato",$E1152,0))),0,YEARFRAC(MAX($P$708*($B1152+IF($R$17="Distrato",$I$38-1,0)),IF(AND($L$711=0,$P$708=0),"",$L$711-1),IF($R$17="Distrato",$E1152,0)),MIN(AS$38,$D$19),$P$20))-SUM($P1152:AR1152)</f>
        <v>#VALUE!</v>
      </c>
      <c r="AT1152" s="446" t="e">
        <f>IF(OR($B1152="",MIN(AT$38,$D$19)&lt;MAX($P$708*($B1152+IF($R$17="Distrato",$I$38-1,0)),IF(AND($L$711=0,$P$708=0),"",$L$711-1),IF($R$17="Distrato",$E1152,0))),0,YEARFRAC(MAX($P$708*($B1152+IF($R$17="Distrato",$I$38-1,0)),IF(AND($L$711=0,$P$708=0),"",$L$711-1),IF($R$17="Distrato",$E1152,0)),MIN(AT$38,$D$19),$P$20))-SUM($P1152:AS1152)</f>
        <v>#VALUE!</v>
      </c>
      <c r="AU1152" s="446" t="e">
        <f>IF(OR($B1152="",MIN(AU$38,$D$19)&lt;MAX($P$708*($B1152+IF($R$17="Distrato",$I$38-1,0)),IF(AND($L$711=0,$P$708=0),"",$L$711-1),IF($R$17="Distrato",$E1152,0))),0,YEARFRAC(MAX($P$708*($B1152+IF($R$17="Distrato",$I$38-1,0)),IF(AND($L$711=0,$P$708=0),"",$L$711-1),IF($R$17="Distrato",$E1152,0)),MIN(AU$38,$D$19),$P$20))-SUM($P1152:AT1152)</f>
        <v>#VALUE!</v>
      </c>
      <c r="AV1152" s="446" t="e">
        <f>IF(OR($B1152="",MIN(AV$38,$D$19)&lt;MAX($P$708*($B1152+IF($R$17="Distrato",$I$38-1,0)),IF(AND($L$711=0,$P$708=0),"",$L$711-1),IF($R$17="Distrato",$E1152,0))),0,YEARFRAC(MAX($P$708*($B1152+IF($R$17="Distrato",$I$38-1,0)),IF(AND($L$711=0,$P$708=0),"",$L$711-1),IF($R$17="Distrato",$E1152,0)),MIN(AV$38,$D$19),$P$20))-SUM($P1152:AU1152)</f>
        <v>#VALUE!</v>
      </c>
      <c r="AW1152" s="446" t="e">
        <f>IF(OR($B1152="",MIN(AW$38,$D$19)&lt;MAX($P$708*($B1152+IF($R$17="Distrato",$I$38-1,0)),IF(AND($L$711=0,$P$708=0),"",$L$711-1),IF($R$17="Distrato",$E1152,0))),0,YEARFRAC(MAX($P$708*($B1152+IF($R$17="Distrato",$I$38-1,0)),IF(AND($L$711=0,$P$708=0),"",$L$711-1),IF($R$17="Distrato",$E1152,0)),MIN(AW$38,$D$19),$P$20))-SUM($P1152:AV1152)</f>
        <v>#VALUE!</v>
      </c>
      <c r="AX1152" s="446" t="e">
        <f>IF(OR($B1152="",MIN(AX$38,$D$19)&lt;MAX($P$708*($B1152+IF($R$17="Distrato",$I$38-1,0)),IF(AND($L$711=0,$P$708=0),"",$L$711-1),IF($R$17="Distrato",$E1152,0))),0,YEARFRAC(MAX($P$708*($B1152+IF($R$17="Distrato",$I$38-1,0)),IF(AND($L$711=0,$P$708=0),"",$L$711-1),IF($R$17="Distrato",$E1152,0)),MIN(AX$38,$D$19),$P$20))-SUM($P1152:AW1152)</f>
        <v>#VALUE!</v>
      </c>
      <c r="AY1152" s="446" t="e">
        <f>IF(OR($B1152="",MIN(AY$38,$D$19)&lt;MAX($P$708*($B1152+IF($R$17="Distrato",$I$38-1,0)),IF(AND($L$711=0,$P$708=0),"",$L$711-1),IF($R$17="Distrato",$E1152,0))),0,YEARFRAC(MAX($P$708*($B1152+IF($R$17="Distrato",$I$38-1,0)),IF(AND($L$711=0,$P$708=0),"",$L$711-1),IF($R$17="Distrato",$E1152,0)),MIN(AY$38,$D$19),$P$20))-SUM($P1152:AX1152)</f>
        <v>#VALUE!</v>
      </c>
      <c r="AZ1152" s="446" t="e">
        <f>IF(OR($B1152="",MIN(AZ$38,$D$19)&lt;MAX($P$708*($B1152+IF($R$17="Distrato",$I$38-1,0)),IF(AND($L$711=0,$P$708=0),"",$L$711-1),IF($R$17="Distrato",$E1152,0))),0,YEARFRAC(MAX($P$708*($B1152+IF($R$17="Distrato",$I$38-1,0)),IF(AND($L$711=0,$P$708=0),"",$L$711-1),IF($R$17="Distrato",$E1152,0)),MIN(AZ$38,$D$19),$P$20))-SUM($P1152:AY1152)</f>
        <v>#VALUE!</v>
      </c>
      <c r="BA1152" s="446" t="e">
        <f>IF(OR($B1152="",MIN(BA$38,$D$19)&lt;MAX($P$708*($B1152+IF($R$17="Distrato",$I$38-1,0)),IF(AND($L$711=0,$P$708=0),"",$L$711-1),IF($R$17="Distrato",$E1152,0))),0,YEARFRAC(MAX($P$708*($B1152+IF($R$17="Distrato",$I$38-1,0)),IF(AND($L$711=0,$P$708=0),"",$L$711-1),IF($R$17="Distrato",$E1152,0)),MIN(BA$38,$D$19),$P$20))-SUM($P1152:AZ1152)</f>
        <v>#VALUE!</v>
      </c>
      <c r="BB1152" s="447"/>
    </row>
    <row r="1153" spans="1:54" s="446" customFormat="1" ht="11.25" hidden="1" customHeight="1" x14ac:dyDescent="0.2">
      <c r="A1153" s="235"/>
      <c r="B1153" s="236"/>
      <c r="C1153" s="29" t="str">
        <f>IF(B1153="","",IF($L$709=$BL$25,VLOOKUP(DATE(YEAR($D$19),MONTH($D$19)-1,1),ÍNDICES!$A:$DE,HLOOKUP($BL$25,ÍNDICES!$B$3:$T$4,2)+11)-VLOOKUP(B1153,ÍNDICES!$A:$DE,HLOOKUP($BL$25,ÍNDICES!$B$3:$T$4,2)+11)+1%,IF(C$712=$W$26,$J$35,IF(ISERROR(IF(B1153&gt;$D$19,1,VLOOKUP(DATE(YEAR(B1153),MONTH(B1153)+IF($C$709=$S$23,1,0),1),ÍNDICES!$A:$DE,$Z$709+1))),"",IF(B1153&gt;$D$19,1,VLOOKUP(DATE(YEAR(B1153),MONTH(B1153)+IF($C$709=$S$23,1,0),1),ÍNDICES!$A:$DE,$Z$709+1))))))</f>
        <v/>
      </c>
      <c r="D1153" s="155"/>
      <c r="E1153" s="88"/>
      <c r="F1153" s="88"/>
      <c r="G1153" s="88"/>
      <c r="H1153" s="118"/>
      <c r="I1153" s="182">
        <f t="shared" si="157"/>
        <v>0</v>
      </c>
      <c r="J1153" s="20">
        <f t="shared" ca="1" si="158"/>
        <v>0</v>
      </c>
      <c r="K1153" s="5">
        <f t="shared" ca="1" si="159"/>
        <v>0</v>
      </c>
      <c r="L1153" s="61">
        <f t="shared" ca="1" si="160"/>
        <v>0</v>
      </c>
      <c r="M1153" s="64">
        <f t="shared" si="161"/>
        <v>0</v>
      </c>
      <c r="N1153" s="151"/>
      <c r="O1153" s="5">
        <f t="shared" ca="1" si="162"/>
        <v>0</v>
      </c>
      <c r="P1153" s="446" t="e">
        <f t="shared" si="163"/>
        <v>#VALUE!</v>
      </c>
      <c r="Q1153" s="446" t="e">
        <f>IF(OR($B1153="",MIN(Q$38,$D$19)&lt;MAX($P$708*($B1153+IF($R$17="Distrato",$I$38-1,0)),IF(AND($L$711=0,$P$708=0),"",$L$711-1),IF($R$17="Distrato",$E1153,0))),0,YEARFRAC(MAX($P$708*($B1153+IF($R$17="Distrato",$I$38-1,0)),IF(AND($L$711=0,$P$708=0),"",$L$711-1),IF($R$17="Distrato",$E1153,0)),MIN(Q$38,$D$19),$P$20))-SUM($P1153:P1153)</f>
        <v>#VALUE!</v>
      </c>
      <c r="R1153" s="446" t="e">
        <f>IF(OR($B1153="",MIN(R$38,$D$19)&lt;MAX($P$708*($B1153+IF($R$17="Distrato",$I$38-1,0)),IF(AND($L$711=0,$P$708=0),"",$L$711-1),IF($R$17="Distrato",$E1153,0))),0,YEARFRAC(MAX($P$708*($B1153+IF($R$17="Distrato",$I$38-1,0)),IF(AND($L$711=0,$P$708=0),"",$L$711-1),IF($R$17="Distrato",$E1153,0)),MIN(R$38,$D$19),$P$20))-SUM($P1153:Q1153)</f>
        <v>#VALUE!</v>
      </c>
      <c r="S1153" s="446" t="e">
        <f>IF(OR($B1153="",MIN(S$38,$D$19)&lt;MAX($P$708*($B1153+IF($R$17="Distrato",$I$38-1,0)),IF(AND($L$711=0,$P$708=0),"",$L$711-1),IF($R$17="Distrato",$E1153,0))),0,YEARFRAC(MAX($P$708*($B1153+IF($R$17="Distrato",$I$38-1,0)),IF(AND($L$711=0,$P$708=0),"",$L$711-1),IF($R$17="Distrato",$E1153,0)),MIN(S$38,$D$19),$P$20))-SUM($P1153:R1153)</f>
        <v>#VALUE!</v>
      </c>
      <c r="T1153" s="446" t="e">
        <f>IF(OR($B1153="",MIN(T$38,$D$19)&lt;MAX($P$708*($B1153+IF($R$17="Distrato",$I$38-1,0)),IF(AND($L$711=0,$P$708=0),"",$L$711-1),IF($R$17="Distrato",$E1153,0))),0,YEARFRAC(MAX($P$708*($B1153+IF($R$17="Distrato",$I$38-1,0)),IF(AND($L$711=0,$P$708=0),"",$L$711-1),IF($R$17="Distrato",$E1153,0)),MIN(T$38,$D$19),$P$20))-SUM($P1153:S1153)</f>
        <v>#VALUE!</v>
      </c>
      <c r="U1153" s="446" t="e">
        <f>IF(OR($B1153="",MIN(U$38,$D$19)&lt;MAX($P$708*($B1153+IF($R$17="Distrato",$I$38-1,0)),IF(AND($L$711=0,$P$708=0),"",$L$711-1),IF($R$17="Distrato",$E1153,0))),0,YEARFRAC(MAX($P$708*($B1153+IF($R$17="Distrato",$I$38-1,0)),IF(AND($L$711=0,$P$708=0),"",$L$711-1),IF($R$17="Distrato",$E1153,0)),MIN(U$38,$D$19),$P$20))-SUM($P1153:T1153)</f>
        <v>#VALUE!</v>
      </c>
      <c r="V1153" s="446" t="e">
        <f>IF(OR($B1153="",MIN(V$38,$D$19)&lt;MAX($P$708*($B1153+IF($R$17="Distrato",$I$38-1,0)),IF(AND($L$711=0,$P$708=0),"",$L$711-1),IF($R$17="Distrato",$E1153,0))),0,YEARFRAC(MAX($P$708*($B1153+IF($R$17="Distrato",$I$38-1,0)),IF(AND($L$711=0,$P$708=0),"",$L$711-1),IF($R$17="Distrato",$E1153,0)),MIN(V$38,$D$19),$P$20))-SUM($P1153:U1153)</f>
        <v>#VALUE!</v>
      </c>
      <c r="W1153" s="446" t="e">
        <f>IF(OR($B1153="",MIN(W$38,$D$19)&lt;MAX($P$708*($B1153+IF($R$17="Distrato",$I$38-1,0)),IF(AND($L$711=0,$P$708=0),"",$L$711-1),IF($R$17="Distrato",$E1153,0))),0,YEARFRAC(MAX($P$708*($B1153+IF($R$17="Distrato",$I$38-1,0)),IF(AND($L$711=0,$P$708=0),"",$L$711-1),IF($R$17="Distrato",$E1153,0)),MIN(W$38,$D$19),$P$20))-SUM($P1153:V1153)</f>
        <v>#VALUE!</v>
      </c>
      <c r="X1153" s="446" t="e">
        <f>IF(OR($B1153="",MIN(X$38,$D$19)&lt;MAX($P$708*($B1153+IF($R$17="Distrato",$I$38-1,0)),IF(AND($L$711=0,$P$708=0),"",$L$711-1),IF($R$17="Distrato",$E1153,0))),0,YEARFRAC(MAX($P$708*($B1153+IF($R$17="Distrato",$I$38-1,0)),IF(AND($L$711=0,$P$708=0),"",$L$711-1),IF($R$17="Distrato",$E1153,0)),MIN(X$38,$D$19),$P$20))-SUM($P1153:W1153)</f>
        <v>#VALUE!</v>
      </c>
      <c r="Y1153" s="446" t="e">
        <f>IF(OR($B1153="",MIN(Y$38,$D$19)&lt;MAX($P$708*($B1153+IF($R$17="Distrato",$I$38-1,0)),IF(AND($L$711=0,$P$708=0),"",$L$711-1),IF($R$17="Distrato",$E1153,0))),0,YEARFRAC(MAX($P$708*($B1153+IF($R$17="Distrato",$I$38-1,0)),IF(AND($L$711=0,$P$708=0),"",$L$711-1),IF($R$17="Distrato",$E1153,0)),MIN(Y$38,$D$19),$P$20))-SUM($P1153:X1153)</f>
        <v>#VALUE!</v>
      </c>
      <c r="Z1153" s="446" t="e">
        <f>IF(OR($B1153="",MIN(Z$38,$D$19)&lt;MAX($P$708*($B1153+IF($R$17="Distrato",$I$38-1,0)),IF(AND($L$711=0,$P$708=0),"",$L$711-1),IF($R$17="Distrato",$E1153,0))),0,YEARFRAC(MAX($P$708*($B1153+IF($R$17="Distrato",$I$38-1,0)),IF(AND($L$711=0,$P$708=0),"",$L$711-1),IF($R$17="Distrato",$E1153,0)),MIN(Z$38,$D$19),$P$20))-SUM($P1153:Y1153)</f>
        <v>#VALUE!</v>
      </c>
      <c r="AA1153" s="446" t="e">
        <f>IF(OR($B1153="",MIN(AA$38,$D$19)&lt;MAX($P$708*($B1153+IF($R$17="Distrato",$I$38-1,0)),IF(AND($L$711=0,$P$708=0),"",$L$711-1),IF($R$17="Distrato",$E1153,0))),0,YEARFRAC(MAX($P$708*($B1153+IF($R$17="Distrato",$I$38-1,0)),IF(AND($L$711=0,$P$708=0),"",$L$711-1),IF($R$17="Distrato",$E1153,0)),MIN(AA$38,$D$19),$P$20))-SUM($P1153:Z1153)</f>
        <v>#VALUE!</v>
      </c>
      <c r="AB1153" s="446" t="e">
        <f>IF(OR($B1153="",MIN(AB$38,$D$19)&lt;MAX($P$708*($B1153+IF($R$17="Distrato",$I$38-1,0)),IF(AND($L$711=0,$P$708=0),"",$L$711-1),IF($R$17="Distrato",$E1153,0))),0,YEARFRAC(MAX($P$708*($B1153+IF($R$17="Distrato",$I$38-1,0)),IF(AND($L$711=0,$P$708=0),"",$L$711-1),IF($R$17="Distrato",$E1153,0)),MIN(AB$38,$D$19),$P$20))-SUM($P1153:AA1153)</f>
        <v>#VALUE!</v>
      </c>
      <c r="AC1153" s="446" t="e">
        <f>IF(OR($B1153="",MIN(AC$38,$D$19)&lt;MAX($P$708*($B1153+IF($R$17="Distrato",$I$38-1,0)),IF(AND($L$711=0,$P$708=0),"",$L$711-1),IF($R$17="Distrato",$E1153,0))),0,YEARFRAC(MAX($P$708*($B1153+IF($R$17="Distrato",$I$38-1,0)),IF(AND($L$711=0,$P$708=0),"",$L$711-1),IF($R$17="Distrato",$E1153,0)),MIN(AC$38,$D$19),$P$20))-SUM($P1153:AB1153)</f>
        <v>#VALUE!</v>
      </c>
      <c r="AD1153" s="446" t="e">
        <f>IF(OR($B1153="",MIN(AD$38,$D$19)&lt;MAX($P$708*($B1153+IF($R$17="Distrato",$I$38-1,0)),IF(AND($L$711=0,$P$708=0),"",$L$711-1),IF($R$17="Distrato",$E1153,0))),0,YEARFRAC(MAX($P$708*($B1153+IF($R$17="Distrato",$I$38-1,0)),IF(AND($L$711=0,$P$708=0),"",$L$711-1),IF($R$17="Distrato",$E1153,0)),MIN(AD$38,$D$19),$P$20))-SUM($P1153:AC1153)</f>
        <v>#VALUE!</v>
      </c>
      <c r="AE1153" s="446" t="e">
        <f>IF(OR($B1153="",MIN(AE$38,$D$19)&lt;MAX($P$708*($B1153+IF($R$17="Distrato",$I$38-1,0)),IF(AND($L$711=0,$P$708=0),"",$L$711-1),IF($R$17="Distrato",$E1153,0))),0,YEARFRAC(MAX($P$708*($B1153+IF($R$17="Distrato",$I$38-1,0)),IF(AND($L$711=0,$P$708=0),"",$L$711-1),IF($R$17="Distrato",$E1153,0)),MIN(AE$38,$D$19),$P$20))-SUM($P1153:AD1153)</f>
        <v>#VALUE!</v>
      </c>
      <c r="AF1153" s="446" t="e">
        <f>IF(OR($B1153="",MIN(AF$38,$D$19)&lt;MAX($P$708*($B1153+IF($R$17="Distrato",$I$38-1,0)),IF(AND($L$711=0,$P$708=0),"",$L$711-1),IF($R$17="Distrato",$E1153,0))),0,YEARFRAC(MAX($P$708*($B1153+IF($R$17="Distrato",$I$38-1,0)),IF(AND($L$711=0,$P$708=0),"",$L$711-1),IF($R$17="Distrato",$E1153,0)),MIN(AF$38,$D$19),$P$20))-SUM($P1153:AE1153)</f>
        <v>#VALUE!</v>
      </c>
      <c r="AG1153" s="446" t="e">
        <f>IF(OR($B1153="",MIN(AG$38,$D$19)&lt;MAX($P$708*($B1153+IF($R$17="Distrato",$I$38-1,0)),IF(AND($L$711=0,$P$708=0),"",$L$711-1),IF($R$17="Distrato",$E1153,0))),0,YEARFRAC(MAX($P$708*($B1153+IF($R$17="Distrato",$I$38-1,0)),IF(AND($L$711=0,$P$708=0),"",$L$711-1),IF($R$17="Distrato",$E1153,0)),MIN(AG$38,$D$19),$P$20))-SUM($P1153:AF1153)</f>
        <v>#VALUE!</v>
      </c>
      <c r="AH1153" s="446" t="e">
        <f>IF(OR($B1153="",MIN(AH$38,$D$19)&lt;MAX($P$708*($B1153+IF($R$17="Distrato",$I$38-1,0)),IF(AND($L$711=0,$P$708=0),"",$L$711-1),IF($R$17="Distrato",$E1153,0))),0,YEARFRAC(MAX($P$708*($B1153+IF($R$17="Distrato",$I$38-1,0)),IF(AND($L$711=0,$P$708=0),"",$L$711-1),IF($R$17="Distrato",$E1153,0)),MIN(AH$38,$D$19),$P$20))-SUM($P1153:AG1153)</f>
        <v>#VALUE!</v>
      </c>
      <c r="AI1153" s="446" t="e">
        <f>IF(OR($B1153="",MIN(AI$38,$D$19)&lt;MAX($P$708*($B1153+IF($R$17="Distrato",$I$38-1,0)),IF(AND($L$711=0,$P$708=0),"",$L$711-1),IF($R$17="Distrato",$E1153,0))),0,YEARFRAC(MAX($P$708*($B1153+IF($R$17="Distrato",$I$38-1,0)),IF(AND($L$711=0,$P$708=0),"",$L$711-1),IF($R$17="Distrato",$E1153,0)),MIN(AI$38,$D$19),$P$20))-SUM($P1153:AH1153)</f>
        <v>#VALUE!</v>
      </c>
      <c r="AJ1153" s="446" t="e">
        <f>IF(OR($B1153="",MIN(AJ$38,$D$19)&lt;MAX($P$708*($B1153+IF($R$17="Distrato",$I$38-1,0)),IF(AND($L$711=0,$P$708=0),"",$L$711-1),IF($R$17="Distrato",$E1153,0))),0,YEARFRAC(MAX($P$708*($B1153+IF($R$17="Distrato",$I$38-1,0)),IF(AND($L$711=0,$P$708=0),"",$L$711-1),IF($R$17="Distrato",$E1153,0)),MIN(AJ$38,$D$19),$P$20))-SUM($P1153:AI1153)</f>
        <v>#VALUE!</v>
      </c>
      <c r="AK1153" s="446" t="e">
        <f>IF(OR($B1153="",MIN(AK$38,$D$19)&lt;MAX($P$708*($B1153+IF($R$17="Distrato",$I$38-1,0)),IF(AND($L$711=0,$P$708=0),"",$L$711-1),IF($R$17="Distrato",$E1153,0))),0,YEARFRAC(MAX($P$708*($B1153+IF($R$17="Distrato",$I$38-1,0)),IF(AND($L$711=0,$P$708=0),"",$L$711-1),IF($R$17="Distrato",$E1153,0)),MIN(AK$38,$D$19),$P$20))-SUM($P1153:AJ1153)</f>
        <v>#VALUE!</v>
      </c>
      <c r="AL1153" s="446" t="e">
        <f>IF(OR($B1153="",MIN(AL$38,$D$19)&lt;MAX($P$708*($B1153+IF($R$17="Distrato",$I$38-1,0)),IF(AND($L$711=0,$P$708=0),"",$L$711-1),IF($R$17="Distrato",$E1153,0))),0,YEARFRAC(MAX($P$708*($B1153+IF($R$17="Distrato",$I$38-1,0)),IF(AND($L$711=0,$P$708=0),"",$L$711-1),IF($R$17="Distrato",$E1153,0)),MIN(AL$38,$D$19),$P$20))-SUM($P1153:AK1153)</f>
        <v>#VALUE!</v>
      </c>
      <c r="AM1153" s="446" t="e">
        <f>IF(OR($B1153="",MIN(AM$38,$D$19)&lt;MAX($P$708*($B1153+IF($R$17="Distrato",$I$38-1,0)),IF(AND($L$711=0,$P$708=0),"",$L$711-1),IF($R$17="Distrato",$E1153,0))),0,YEARFRAC(MAX($P$708*($B1153+IF($R$17="Distrato",$I$38-1,0)),IF(AND($L$711=0,$P$708=0),"",$L$711-1),IF($R$17="Distrato",$E1153,0)),MIN(AM$38,$D$19),$P$20))-SUM($P1153:AL1153)</f>
        <v>#VALUE!</v>
      </c>
      <c r="AN1153" s="446" t="e">
        <f>IF(OR($B1153="",MIN(AN$38,$D$19)&lt;MAX($P$708*($B1153+IF($R$17="Distrato",$I$38-1,0)),IF(AND($L$711=0,$P$708=0),"",$L$711-1),IF($R$17="Distrato",$E1153,0))),0,YEARFRAC(MAX($P$708*($B1153+IF($R$17="Distrato",$I$38-1,0)),IF(AND($L$711=0,$P$708=0),"",$L$711-1),IF($R$17="Distrato",$E1153,0)),MIN(AN$38,$D$19),$P$20))-SUM($P1153:AM1153)</f>
        <v>#VALUE!</v>
      </c>
      <c r="AO1153" s="446" t="e">
        <f>IF(OR($B1153="",MIN(AO$38,$D$19)&lt;MAX($P$708*($B1153+IF($R$17="Distrato",$I$38-1,0)),IF(AND($L$711=0,$P$708=0),"",$L$711-1),IF($R$17="Distrato",$E1153,0))),0,YEARFRAC(MAX($P$708*($B1153+IF($R$17="Distrato",$I$38-1,0)),IF(AND($L$711=0,$P$708=0),"",$L$711-1),IF($R$17="Distrato",$E1153,0)),MIN(AO$38,$D$19),$P$20))-SUM($P1153:AN1153)</f>
        <v>#VALUE!</v>
      </c>
      <c r="AP1153" s="446" t="e">
        <f>IF(OR($B1153="",MIN(AP$38,$D$19)&lt;MAX($P$708*($B1153+IF($R$17="Distrato",$I$38-1,0)),IF(AND($L$711=0,$P$708=0),"",$L$711-1),IF($R$17="Distrato",$E1153,0))),0,YEARFRAC(MAX($P$708*($B1153+IF($R$17="Distrato",$I$38-1,0)),IF(AND($L$711=0,$P$708=0),"",$L$711-1),IF($R$17="Distrato",$E1153,0)),MIN(AP$38,$D$19),$P$20))-SUM($P1153:AO1153)</f>
        <v>#VALUE!</v>
      </c>
      <c r="AQ1153" s="446" t="e">
        <f>IF(OR($B1153="",MIN(AQ$38,$D$19)&lt;MAX($P$708*($B1153+IF($R$17="Distrato",$I$38-1,0)),IF(AND($L$711=0,$P$708=0),"",$L$711-1),IF($R$17="Distrato",$E1153,0))),0,YEARFRAC(MAX($P$708*($B1153+IF($R$17="Distrato",$I$38-1,0)),IF(AND($L$711=0,$P$708=0),"",$L$711-1),IF($R$17="Distrato",$E1153,0)),MIN(AQ$38,$D$19),$P$20))-SUM($P1153:AP1153)</f>
        <v>#VALUE!</v>
      </c>
      <c r="AR1153" s="446" t="e">
        <f>IF(OR($B1153="",MIN(AR$38,$D$19)&lt;MAX($P$708*($B1153+IF($R$17="Distrato",$I$38-1,0)),IF(AND($L$711=0,$P$708=0),"",$L$711-1),IF($R$17="Distrato",$E1153,0))),0,YEARFRAC(MAX($P$708*($B1153+IF($R$17="Distrato",$I$38-1,0)),IF(AND($L$711=0,$P$708=0),"",$L$711-1),IF($R$17="Distrato",$E1153,0)),MIN(AR$38,$D$19),$P$20))-SUM($P1153:AQ1153)</f>
        <v>#VALUE!</v>
      </c>
      <c r="AS1153" s="446" t="e">
        <f>IF(OR($B1153="",MIN(AS$38,$D$19)&lt;MAX($P$708*($B1153+IF($R$17="Distrato",$I$38-1,0)),IF(AND($L$711=0,$P$708=0),"",$L$711-1),IF($R$17="Distrato",$E1153,0))),0,YEARFRAC(MAX($P$708*($B1153+IF($R$17="Distrato",$I$38-1,0)),IF(AND($L$711=0,$P$708=0),"",$L$711-1),IF($R$17="Distrato",$E1153,0)),MIN(AS$38,$D$19),$P$20))-SUM($P1153:AR1153)</f>
        <v>#VALUE!</v>
      </c>
      <c r="AT1153" s="446" t="e">
        <f>IF(OR($B1153="",MIN(AT$38,$D$19)&lt;MAX($P$708*($B1153+IF($R$17="Distrato",$I$38-1,0)),IF(AND($L$711=0,$P$708=0),"",$L$711-1),IF($R$17="Distrato",$E1153,0))),0,YEARFRAC(MAX($P$708*($B1153+IF($R$17="Distrato",$I$38-1,0)),IF(AND($L$711=0,$P$708=0),"",$L$711-1),IF($R$17="Distrato",$E1153,0)),MIN(AT$38,$D$19),$P$20))-SUM($P1153:AS1153)</f>
        <v>#VALUE!</v>
      </c>
      <c r="AU1153" s="446" t="e">
        <f>IF(OR($B1153="",MIN(AU$38,$D$19)&lt;MAX($P$708*($B1153+IF($R$17="Distrato",$I$38-1,0)),IF(AND($L$711=0,$P$708=0),"",$L$711-1),IF($R$17="Distrato",$E1153,0))),0,YEARFRAC(MAX($P$708*($B1153+IF($R$17="Distrato",$I$38-1,0)),IF(AND($L$711=0,$P$708=0),"",$L$711-1),IF($R$17="Distrato",$E1153,0)),MIN(AU$38,$D$19),$P$20))-SUM($P1153:AT1153)</f>
        <v>#VALUE!</v>
      </c>
      <c r="AV1153" s="446" t="e">
        <f>IF(OR($B1153="",MIN(AV$38,$D$19)&lt;MAX($P$708*($B1153+IF($R$17="Distrato",$I$38-1,0)),IF(AND($L$711=0,$P$708=0),"",$L$711-1),IF($R$17="Distrato",$E1153,0))),0,YEARFRAC(MAX($P$708*($B1153+IF($R$17="Distrato",$I$38-1,0)),IF(AND($L$711=0,$P$708=0),"",$L$711-1),IF($R$17="Distrato",$E1153,0)),MIN(AV$38,$D$19),$P$20))-SUM($P1153:AU1153)</f>
        <v>#VALUE!</v>
      </c>
      <c r="AW1153" s="446" t="e">
        <f>IF(OR($B1153="",MIN(AW$38,$D$19)&lt;MAX($P$708*($B1153+IF($R$17="Distrato",$I$38-1,0)),IF(AND($L$711=0,$P$708=0),"",$L$711-1),IF($R$17="Distrato",$E1153,0))),0,YEARFRAC(MAX($P$708*($B1153+IF($R$17="Distrato",$I$38-1,0)),IF(AND($L$711=0,$P$708=0),"",$L$711-1),IF($R$17="Distrato",$E1153,0)),MIN(AW$38,$D$19),$P$20))-SUM($P1153:AV1153)</f>
        <v>#VALUE!</v>
      </c>
      <c r="AX1153" s="446" t="e">
        <f>IF(OR($B1153="",MIN(AX$38,$D$19)&lt;MAX($P$708*($B1153+IF($R$17="Distrato",$I$38-1,0)),IF(AND($L$711=0,$P$708=0),"",$L$711-1),IF($R$17="Distrato",$E1153,0))),0,YEARFRAC(MAX($P$708*($B1153+IF($R$17="Distrato",$I$38-1,0)),IF(AND($L$711=0,$P$708=0),"",$L$711-1),IF($R$17="Distrato",$E1153,0)),MIN(AX$38,$D$19),$P$20))-SUM($P1153:AW1153)</f>
        <v>#VALUE!</v>
      </c>
      <c r="AY1153" s="446" t="e">
        <f>IF(OR($B1153="",MIN(AY$38,$D$19)&lt;MAX($P$708*($B1153+IF($R$17="Distrato",$I$38-1,0)),IF(AND($L$711=0,$P$708=0),"",$L$711-1),IF($R$17="Distrato",$E1153,0))),0,YEARFRAC(MAX($P$708*($B1153+IF($R$17="Distrato",$I$38-1,0)),IF(AND($L$711=0,$P$708=0),"",$L$711-1),IF($R$17="Distrato",$E1153,0)),MIN(AY$38,$D$19),$P$20))-SUM($P1153:AX1153)</f>
        <v>#VALUE!</v>
      </c>
      <c r="AZ1153" s="446" t="e">
        <f>IF(OR($B1153="",MIN(AZ$38,$D$19)&lt;MAX($P$708*($B1153+IF($R$17="Distrato",$I$38-1,0)),IF(AND($L$711=0,$P$708=0),"",$L$711-1),IF($R$17="Distrato",$E1153,0))),0,YEARFRAC(MAX($P$708*($B1153+IF($R$17="Distrato",$I$38-1,0)),IF(AND($L$711=0,$P$708=0),"",$L$711-1),IF($R$17="Distrato",$E1153,0)),MIN(AZ$38,$D$19),$P$20))-SUM($P1153:AY1153)</f>
        <v>#VALUE!</v>
      </c>
      <c r="BA1153" s="446" t="e">
        <f>IF(OR($B1153="",MIN(BA$38,$D$19)&lt;MAX($P$708*($B1153+IF($R$17="Distrato",$I$38-1,0)),IF(AND($L$711=0,$P$708=0),"",$L$711-1),IF($R$17="Distrato",$E1153,0))),0,YEARFRAC(MAX($P$708*($B1153+IF($R$17="Distrato",$I$38-1,0)),IF(AND($L$711=0,$P$708=0),"",$L$711-1),IF($R$17="Distrato",$E1153,0)),MIN(BA$38,$D$19),$P$20))-SUM($P1153:AZ1153)</f>
        <v>#VALUE!</v>
      </c>
      <c r="BB1153" s="447"/>
    </row>
    <row r="1154" spans="1:54" s="446" customFormat="1" ht="11.25" hidden="1" customHeight="1" x14ac:dyDescent="0.2">
      <c r="A1154" s="235"/>
      <c r="B1154" s="236"/>
      <c r="C1154" s="29" t="str">
        <f>IF(B1154="","",IF($L$709=$BL$25,VLOOKUP(DATE(YEAR($D$19),MONTH($D$19)-1,1),ÍNDICES!$A:$DE,HLOOKUP($BL$25,ÍNDICES!$B$3:$T$4,2)+11)-VLOOKUP(B1154,ÍNDICES!$A:$DE,HLOOKUP($BL$25,ÍNDICES!$B$3:$T$4,2)+11)+1%,IF(C$712=$W$26,$J$35,IF(ISERROR(IF(B1154&gt;$D$19,1,VLOOKUP(DATE(YEAR(B1154),MONTH(B1154)+IF($C$709=$S$23,1,0),1),ÍNDICES!$A:$DE,$Z$709+1))),"",IF(B1154&gt;$D$19,1,VLOOKUP(DATE(YEAR(B1154),MONTH(B1154)+IF($C$709=$S$23,1,0),1),ÍNDICES!$A:$DE,$Z$709+1))))))</f>
        <v/>
      </c>
      <c r="D1154" s="155"/>
      <c r="E1154" s="88"/>
      <c r="F1154" s="88"/>
      <c r="G1154" s="88"/>
      <c r="H1154" s="118"/>
      <c r="I1154" s="182">
        <f t="shared" si="157"/>
        <v>0</v>
      </c>
      <c r="J1154" s="20">
        <f t="shared" ca="1" si="158"/>
        <v>0</v>
      </c>
      <c r="K1154" s="5">
        <f t="shared" ca="1" si="159"/>
        <v>0</v>
      </c>
      <c r="L1154" s="61">
        <f t="shared" ca="1" si="160"/>
        <v>0</v>
      </c>
      <c r="M1154" s="64">
        <f t="shared" si="161"/>
        <v>0</v>
      </c>
      <c r="N1154" s="151"/>
      <c r="O1154" s="5">
        <f t="shared" ca="1" si="162"/>
        <v>0</v>
      </c>
      <c r="P1154" s="446" t="e">
        <f t="shared" si="163"/>
        <v>#VALUE!</v>
      </c>
      <c r="Q1154" s="446" t="e">
        <f>IF(OR($B1154="",MIN(Q$38,$D$19)&lt;MAX($P$708*($B1154+IF($R$17="Distrato",$I$38-1,0)),IF(AND($L$711=0,$P$708=0),"",$L$711-1),IF($R$17="Distrato",$E1154,0))),0,YEARFRAC(MAX($P$708*($B1154+IF($R$17="Distrato",$I$38-1,0)),IF(AND($L$711=0,$P$708=0),"",$L$711-1),IF($R$17="Distrato",$E1154,0)),MIN(Q$38,$D$19),$P$20))-SUM($P1154:P1154)</f>
        <v>#VALUE!</v>
      </c>
      <c r="R1154" s="446" t="e">
        <f>IF(OR($B1154="",MIN(R$38,$D$19)&lt;MAX($P$708*($B1154+IF($R$17="Distrato",$I$38-1,0)),IF(AND($L$711=0,$P$708=0),"",$L$711-1),IF($R$17="Distrato",$E1154,0))),0,YEARFRAC(MAX($P$708*($B1154+IF($R$17="Distrato",$I$38-1,0)),IF(AND($L$711=0,$P$708=0),"",$L$711-1),IF($R$17="Distrato",$E1154,0)),MIN(R$38,$D$19),$P$20))-SUM($P1154:Q1154)</f>
        <v>#VALUE!</v>
      </c>
      <c r="S1154" s="446" t="e">
        <f>IF(OR($B1154="",MIN(S$38,$D$19)&lt;MAX($P$708*($B1154+IF($R$17="Distrato",$I$38-1,0)),IF(AND($L$711=0,$P$708=0),"",$L$711-1),IF($R$17="Distrato",$E1154,0))),0,YEARFRAC(MAX($P$708*($B1154+IF($R$17="Distrato",$I$38-1,0)),IF(AND($L$711=0,$P$708=0),"",$L$711-1),IF($R$17="Distrato",$E1154,0)),MIN(S$38,$D$19),$P$20))-SUM($P1154:R1154)</f>
        <v>#VALUE!</v>
      </c>
      <c r="T1154" s="446" t="e">
        <f>IF(OR($B1154="",MIN(T$38,$D$19)&lt;MAX($P$708*($B1154+IF($R$17="Distrato",$I$38-1,0)),IF(AND($L$711=0,$P$708=0),"",$L$711-1),IF($R$17="Distrato",$E1154,0))),0,YEARFRAC(MAX($P$708*($B1154+IF($R$17="Distrato",$I$38-1,0)),IF(AND($L$711=0,$P$708=0),"",$L$711-1),IF($R$17="Distrato",$E1154,0)),MIN(T$38,$D$19),$P$20))-SUM($P1154:S1154)</f>
        <v>#VALUE!</v>
      </c>
      <c r="U1154" s="446" t="e">
        <f>IF(OR($B1154="",MIN(U$38,$D$19)&lt;MAX($P$708*($B1154+IF($R$17="Distrato",$I$38-1,0)),IF(AND($L$711=0,$P$708=0),"",$L$711-1),IF($R$17="Distrato",$E1154,0))),0,YEARFRAC(MAX($P$708*($B1154+IF($R$17="Distrato",$I$38-1,0)),IF(AND($L$711=0,$P$708=0),"",$L$711-1),IF($R$17="Distrato",$E1154,0)),MIN(U$38,$D$19),$P$20))-SUM($P1154:T1154)</f>
        <v>#VALUE!</v>
      </c>
      <c r="V1154" s="446" t="e">
        <f>IF(OR($B1154="",MIN(V$38,$D$19)&lt;MAX($P$708*($B1154+IF($R$17="Distrato",$I$38-1,0)),IF(AND($L$711=0,$P$708=0),"",$L$711-1),IF($R$17="Distrato",$E1154,0))),0,YEARFRAC(MAX($P$708*($B1154+IF($R$17="Distrato",$I$38-1,0)),IF(AND($L$711=0,$P$708=0),"",$L$711-1),IF($R$17="Distrato",$E1154,0)),MIN(V$38,$D$19),$P$20))-SUM($P1154:U1154)</f>
        <v>#VALUE!</v>
      </c>
      <c r="W1154" s="446" t="e">
        <f>IF(OR($B1154="",MIN(W$38,$D$19)&lt;MAX($P$708*($B1154+IF($R$17="Distrato",$I$38-1,0)),IF(AND($L$711=0,$P$708=0),"",$L$711-1),IF($R$17="Distrato",$E1154,0))),0,YEARFRAC(MAX($P$708*($B1154+IF($R$17="Distrato",$I$38-1,0)),IF(AND($L$711=0,$P$708=0),"",$L$711-1),IF($R$17="Distrato",$E1154,0)),MIN(W$38,$D$19),$P$20))-SUM($P1154:V1154)</f>
        <v>#VALUE!</v>
      </c>
      <c r="X1154" s="446" t="e">
        <f>IF(OR($B1154="",MIN(X$38,$D$19)&lt;MAX($P$708*($B1154+IF($R$17="Distrato",$I$38-1,0)),IF(AND($L$711=0,$P$708=0),"",$L$711-1),IF($R$17="Distrato",$E1154,0))),0,YEARFRAC(MAX($P$708*($B1154+IF($R$17="Distrato",$I$38-1,0)),IF(AND($L$711=0,$P$708=0),"",$L$711-1),IF($R$17="Distrato",$E1154,0)),MIN(X$38,$D$19),$P$20))-SUM($P1154:W1154)</f>
        <v>#VALUE!</v>
      </c>
      <c r="Y1154" s="446" t="e">
        <f>IF(OR($B1154="",MIN(Y$38,$D$19)&lt;MAX($P$708*($B1154+IF($R$17="Distrato",$I$38-1,0)),IF(AND($L$711=0,$P$708=0),"",$L$711-1),IF($R$17="Distrato",$E1154,0))),0,YEARFRAC(MAX($P$708*($B1154+IF($R$17="Distrato",$I$38-1,0)),IF(AND($L$711=0,$P$708=0),"",$L$711-1),IF($R$17="Distrato",$E1154,0)),MIN(Y$38,$D$19),$P$20))-SUM($P1154:X1154)</f>
        <v>#VALUE!</v>
      </c>
      <c r="Z1154" s="446" t="e">
        <f>IF(OR($B1154="",MIN(Z$38,$D$19)&lt;MAX($P$708*($B1154+IF($R$17="Distrato",$I$38-1,0)),IF(AND($L$711=0,$P$708=0),"",$L$711-1),IF($R$17="Distrato",$E1154,0))),0,YEARFRAC(MAX($P$708*($B1154+IF($R$17="Distrato",$I$38-1,0)),IF(AND($L$711=0,$P$708=0),"",$L$711-1),IF($R$17="Distrato",$E1154,0)),MIN(Z$38,$D$19),$P$20))-SUM($P1154:Y1154)</f>
        <v>#VALUE!</v>
      </c>
      <c r="AA1154" s="446" t="e">
        <f>IF(OR($B1154="",MIN(AA$38,$D$19)&lt;MAX($P$708*($B1154+IF($R$17="Distrato",$I$38-1,0)),IF(AND($L$711=0,$P$708=0),"",$L$711-1),IF($R$17="Distrato",$E1154,0))),0,YEARFRAC(MAX($P$708*($B1154+IF($R$17="Distrato",$I$38-1,0)),IF(AND($L$711=0,$P$708=0),"",$L$711-1),IF($R$17="Distrato",$E1154,0)),MIN(AA$38,$D$19),$P$20))-SUM($P1154:Z1154)</f>
        <v>#VALUE!</v>
      </c>
      <c r="AB1154" s="446" t="e">
        <f>IF(OR($B1154="",MIN(AB$38,$D$19)&lt;MAX($P$708*($B1154+IF($R$17="Distrato",$I$38-1,0)),IF(AND($L$711=0,$P$708=0),"",$L$711-1),IF($R$17="Distrato",$E1154,0))),0,YEARFRAC(MAX($P$708*($B1154+IF($R$17="Distrato",$I$38-1,0)),IF(AND($L$711=0,$P$708=0),"",$L$711-1),IF($R$17="Distrato",$E1154,0)),MIN(AB$38,$D$19),$P$20))-SUM($P1154:AA1154)</f>
        <v>#VALUE!</v>
      </c>
      <c r="AC1154" s="446" t="e">
        <f>IF(OR($B1154="",MIN(AC$38,$D$19)&lt;MAX($P$708*($B1154+IF($R$17="Distrato",$I$38-1,0)),IF(AND($L$711=0,$P$708=0),"",$L$711-1),IF($R$17="Distrato",$E1154,0))),0,YEARFRAC(MAX($P$708*($B1154+IF($R$17="Distrato",$I$38-1,0)),IF(AND($L$711=0,$P$708=0),"",$L$711-1),IF($R$17="Distrato",$E1154,0)),MIN(AC$38,$D$19),$P$20))-SUM($P1154:AB1154)</f>
        <v>#VALUE!</v>
      </c>
      <c r="AD1154" s="446" t="e">
        <f>IF(OR($B1154="",MIN(AD$38,$D$19)&lt;MAX($P$708*($B1154+IF($R$17="Distrato",$I$38-1,0)),IF(AND($L$711=0,$P$708=0),"",$L$711-1),IF($R$17="Distrato",$E1154,0))),0,YEARFRAC(MAX($P$708*($B1154+IF($R$17="Distrato",$I$38-1,0)),IF(AND($L$711=0,$P$708=0),"",$L$711-1),IF($R$17="Distrato",$E1154,0)),MIN(AD$38,$D$19),$P$20))-SUM($P1154:AC1154)</f>
        <v>#VALUE!</v>
      </c>
      <c r="AE1154" s="446" t="e">
        <f>IF(OR($B1154="",MIN(AE$38,$D$19)&lt;MAX($P$708*($B1154+IF($R$17="Distrato",$I$38-1,0)),IF(AND($L$711=0,$P$708=0),"",$L$711-1),IF($R$17="Distrato",$E1154,0))),0,YEARFRAC(MAX($P$708*($B1154+IF($R$17="Distrato",$I$38-1,0)),IF(AND($L$711=0,$P$708=0),"",$L$711-1),IF($R$17="Distrato",$E1154,0)),MIN(AE$38,$D$19),$P$20))-SUM($P1154:AD1154)</f>
        <v>#VALUE!</v>
      </c>
      <c r="AF1154" s="446" t="e">
        <f>IF(OR($B1154="",MIN(AF$38,$D$19)&lt;MAX($P$708*($B1154+IF($R$17="Distrato",$I$38-1,0)),IF(AND($L$711=0,$P$708=0),"",$L$711-1),IF($R$17="Distrato",$E1154,0))),0,YEARFRAC(MAX($P$708*($B1154+IF($R$17="Distrato",$I$38-1,0)),IF(AND($L$711=0,$P$708=0),"",$L$711-1),IF($R$17="Distrato",$E1154,0)),MIN(AF$38,$D$19),$P$20))-SUM($P1154:AE1154)</f>
        <v>#VALUE!</v>
      </c>
      <c r="AG1154" s="446" t="e">
        <f>IF(OR($B1154="",MIN(AG$38,$D$19)&lt;MAX($P$708*($B1154+IF($R$17="Distrato",$I$38-1,0)),IF(AND($L$711=0,$P$708=0),"",$L$711-1),IF($R$17="Distrato",$E1154,0))),0,YEARFRAC(MAX($P$708*($B1154+IF($R$17="Distrato",$I$38-1,0)),IF(AND($L$711=0,$P$708=0),"",$L$711-1),IF($R$17="Distrato",$E1154,0)),MIN(AG$38,$D$19),$P$20))-SUM($P1154:AF1154)</f>
        <v>#VALUE!</v>
      </c>
      <c r="AH1154" s="446" t="e">
        <f>IF(OR($B1154="",MIN(AH$38,$D$19)&lt;MAX($P$708*($B1154+IF($R$17="Distrato",$I$38-1,0)),IF(AND($L$711=0,$P$708=0),"",$L$711-1),IF($R$17="Distrato",$E1154,0))),0,YEARFRAC(MAX($P$708*($B1154+IF($R$17="Distrato",$I$38-1,0)),IF(AND($L$711=0,$P$708=0),"",$L$711-1),IF($R$17="Distrato",$E1154,0)),MIN(AH$38,$D$19),$P$20))-SUM($P1154:AG1154)</f>
        <v>#VALUE!</v>
      </c>
      <c r="AI1154" s="446" t="e">
        <f>IF(OR($B1154="",MIN(AI$38,$D$19)&lt;MAX($P$708*($B1154+IF($R$17="Distrato",$I$38-1,0)),IF(AND($L$711=0,$P$708=0),"",$L$711-1),IF($R$17="Distrato",$E1154,0))),0,YEARFRAC(MAX($P$708*($B1154+IF($R$17="Distrato",$I$38-1,0)),IF(AND($L$711=0,$P$708=0),"",$L$711-1),IF($R$17="Distrato",$E1154,0)),MIN(AI$38,$D$19),$P$20))-SUM($P1154:AH1154)</f>
        <v>#VALUE!</v>
      </c>
      <c r="AJ1154" s="446" t="e">
        <f>IF(OR($B1154="",MIN(AJ$38,$D$19)&lt;MAX($P$708*($B1154+IF($R$17="Distrato",$I$38-1,0)),IF(AND($L$711=0,$P$708=0),"",$L$711-1),IF($R$17="Distrato",$E1154,0))),0,YEARFRAC(MAX($P$708*($B1154+IF($R$17="Distrato",$I$38-1,0)),IF(AND($L$711=0,$P$708=0),"",$L$711-1),IF($R$17="Distrato",$E1154,0)),MIN(AJ$38,$D$19),$P$20))-SUM($P1154:AI1154)</f>
        <v>#VALUE!</v>
      </c>
      <c r="AK1154" s="446" t="e">
        <f>IF(OR($B1154="",MIN(AK$38,$D$19)&lt;MAX($P$708*($B1154+IF($R$17="Distrato",$I$38-1,0)),IF(AND($L$711=0,$P$708=0),"",$L$711-1),IF($R$17="Distrato",$E1154,0))),0,YEARFRAC(MAX($P$708*($B1154+IF($R$17="Distrato",$I$38-1,0)),IF(AND($L$711=0,$P$708=0),"",$L$711-1),IF($R$17="Distrato",$E1154,0)),MIN(AK$38,$D$19),$P$20))-SUM($P1154:AJ1154)</f>
        <v>#VALUE!</v>
      </c>
      <c r="AL1154" s="446" t="e">
        <f>IF(OR($B1154="",MIN(AL$38,$D$19)&lt;MAX($P$708*($B1154+IF($R$17="Distrato",$I$38-1,0)),IF(AND($L$711=0,$P$708=0),"",$L$711-1),IF($R$17="Distrato",$E1154,0))),0,YEARFRAC(MAX($P$708*($B1154+IF($R$17="Distrato",$I$38-1,0)),IF(AND($L$711=0,$P$708=0),"",$L$711-1),IF($R$17="Distrato",$E1154,0)),MIN(AL$38,$D$19),$P$20))-SUM($P1154:AK1154)</f>
        <v>#VALUE!</v>
      </c>
      <c r="AM1154" s="446" t="e">
        <f>IF(OR($B1154="",MIN(AM$38,$D$19)&lt;MAX($P$708*($B1154+IF($R$17="Distrato",$I$38-1,0)),IF(AND($L$711=0,$P$708=0),"",$L$711-1),IF($R$17="Distrato",$E1154,0))),0,YEARFRAC(MAX($P$708*($B1154+IF($R$17="Distrato",$I$38-1,0)),IF(AND($L$711=0,$P$708=0),"",$L$711-1),IF($R$17="Distrato",$E1154,0)),MIN(AM$38,$D$19),$P$20))-SUM($P1154:AL1154)</f>
        <v>#VALUE!</v>
      </c>
      <c r="AN1154" s="446" t="e">
        <f>IF(OR($B1154="",MIN(AN$38,$D$19)&lt;MAX($P$708*($B1154+IF($R$17="Distrato",$I$38-1,0)),IF(AND($L$711=0,$P$708=0),"",$L$711-1),IF($R$17="Distrato",$E1154,0))),0,YEARFRAC(MAX($P$708*($B1154+IF($R$17="Distrato",$I$38-1,0)),IF(AND($L$711=0,$P$708=0),"",$L$711-1),IF($R$17="Distrato",$E1154,0)),MIN(AN$38,$D$19),$P$20))-SUM($P1154:AM1154)</f>
        <v>#VALUE!</v>
      </c>
      <c r="AO1154" s="446" t="e">
        <f>IF(OR($B1154="",MIN(AO$38,$D$19)&lt;MAX($P$708*($B1154+IF($R$17="Distrato",$I$38-1,0)),IF(AND($L$711=0,$P$708=0),"",$L$711-1),IF($R$17="Distrato",$E1154,0))),0,YEARFRAC(MAX($P$708*($B1154+IF($R$17="Distrato",$I$38-1,0)),IF(AND($L$711=0,$P$708=0),"",$L$711-1),IF($R$17="Distrato",$E1154,0)),MIN(AO$38,$D$19),$P$20))-SUM($P1154:AN1154)</f>
        <v>#VALUE!</v>
      </c>
      <c r="AP1154" s="446" t="e">
        <f>IF(OR($B1154="",MIN(AP$38,$D$19)&lt;MAX($P$708*($B1154+IF($R$17="Distrato",$I$38-1,0)),IF(AND($L$711=0,$P$708=0),"",$L$711-1),IF($R$17="Distrato",$E1154,0))),0,YEARFRAC(MAX($P$708*($B1154+IF($R$17="Distrato",$I$38-1,0)),IF(AND($L$711=0,$P$708=0),"",$L$711-1),IF($R$17="Distrato",$E1154,0)),MIN(AP$38,$D$19),$P$20))-SUM($P1154:AO1154)</f>
        <v>#VALUE!</v>
      </c>
      <c r="AQ1154" s="446" t="e">
        <f>IF(OR($B1154="",MIN(AQ$38,$D$19)&lt;MAX($P$708*($B1154+IF($R$17="Distrato",$I$38-1,0)),IF(AND($L$711=0,$P$708=0),"",$L$711-1),IF($R$17="Distrato",$E1154,0))),0,YEARFRAC(MAX($P$708*($B1154+IF($R$17="Distrato",$I$38-1,0)),IF(AND($L$711=0,$P$708=0),"",$L$711-1),IF($R$17="Distrato",$E1154,0)),MIN(AQ$38,$D$19),$P$20))-SUM($P1154:AP1154)</f>
        <v>#VALUE!</v>
      </c>
      <c r="AR1154" s="446" t="e">
        <f>IF(OR($B1154="",MIN(AR$38,$D$19)&lt;MAX($P$708*($B1154+IF($R$17="Distrato",$I$38-1,0)),IF(AND($L$711=0,$P$708=0),"",$L$711-1),IF($R$17="Distrato",$E1154,0))),0,YEARFRAC(MAX($P$708*($B1154+IF($R$17="Distrato",$I$38-1,0)),IF(AND($L$711=0,$P$708=0),"",$L$711-1),IF($R$17="Distrato",$E1154,0)),MIN(AR$38,$D$19),$P$20))-SUM($P1154:AQ1154)</f>
        <v>#VALUE!</v>
      </c>
      <c r="AS1154" s="446" t="e">
        <f>IF(OR($B1154="",MIN(AS$38,$D$19)&lt;MAX($P$708*($B1154+IF($R$17="Distrato",$I$38-1,0)),IF(AND($L$711=0,$P$708=0),"",$L$711-1),IF($R$17="Distrato",$E1154,0))),0,YEARFRAC(MAX($P$708*($B1154+IF($R$17="Distrato",$I$38-1,0)),IF(AND($L$711=0,$P$708=0),"",$L$711-1),IF($R$17="Distrato",$E1154,0)),MIN(AS$38,$D$19),$P$20))-SUM($P1154:AR1154)</f>
        <v>#VALUE!</v>
      </c>
      <c r="AT1154" s="446" t="e">
        <f>IF(OR($B1154="",MIN(AT$38,$D$19)&lt;MAX($P$708*($B1154+IF($R$17="Distrato",$I$38-1,0)),IF(AND($L$711=0,$P$708=0),"",$L$711-1),IF($R$17="Distrato",$E1154,0))),0,YEARFRAC(MAX($P$708*($B1154+IF($R$17="Distrato",$I$38-1,0)),IF(AND($L$711=0,$P$708=0),"",$L$711-1),IF($R$17="Distrato",$E1154,0)),MIN(AT$38,$D$19),$P$20))-SUM($P1154:AS1154)</f>
        <v>#VALUE!</v>
      </c>
      <c r="AU1154" s="446" t="e">
        <f>IF(OR($B1154="",MIN(AU$38,$D$19)&lt;MAX($P$708*($B1154+IF($R$17="Distrato",$I$38-1,0)),IF(AND($L$711=0,$P$708=0),"",$L$711-1),IF($R$17="Distrato",$E1154,0))),0,YEARFRAC(MAX($P$708*($B1154+IF($R$17="Distrato",$I$38-1,0)),IF(AND($L$711=0,$P$708=0),"",$L$711-1),IF($R$17="Distrato",$E1154,0)),MIN(AU$38,$D$19),$P$20))-SUM($P1154:AT1154)</f>
        <v>#VALUE!</v>
      </c>
      <c r="AV1154" s="446" t="e">
        <f>IF(OR($B1154="",MIN(AV$38,$D$19)&lt;MAX($P$708*($B1154+IF($R$17="Distrato",$I$38-1,0)),IF(AND($L$711=0,$P$708=0),"",$L$711-1),IF($R$17="Distrato",$E1154,0))),0,YEARFRAC(MAX($P$708*($B1154+IF($R$17="Distrato",$I$38-1,0)),IF(AND($L$711=0,$P$708=0),"",$L$711-1),IF($R$17="Distrato",$E1154,0)),MIN(AV$38,$D$19),$P$20))-SUM($P1154:AU1154)</f>
        <v>#VALUE!</v>
      </c>
      <c r="AW1154" s="446" t="e">
        <f>IF(OR($B1154="",MIN(AW$38,$D$19)&lt;MAX($P$708*($B1154+IF($R$17="Distrato",$I$38-1,0)),IF(AND($L$711=0,$P$708=0),"",$L$711-1),IF($R$17="Distrato",$E1154,0))),0,YEARFRAC(MAX($P$708*($B1154+IF($R$17="Distrato",$I$38-1,0)),IF(AND($L$711=0,$P$708=0),"",$L$711-1),IF($R$17="Distrato",$E1154,0)),MIN(AW$38,$D$19),$P$20))-SUM($P1154:AV1154)</f>
        <v>#VALUE!</v>
      </c>
      <c r="AX1154" s="446" t="e">
        <f>IF(OR($B1154="",MIN(AX$38,$D$19)&lt;MAX($P$708*($B1154+IF($R$17="Distrato",$I$38-1,0)),IF(AND($L$711=0,$P$708=0),"",$L$711-1),IF($R$17="Distrato",$E1154,0))),0,YEARFRAC(MAX($P$708*($B1154+IF($R$17="Distrato",$I$38-1,0)),IF(AND($L$711=0,$P$708=0),"",$L$711-1),IF($R$17="Distrato",$E1154,0)),MIN(AX$38,$D$19),$P$20))-SUM($P1154:AW1154)</f>
        <v>#VALUE!</v>
      </c>
      <c r="AY1154" s="446" t="e">
        <f>IF(OR($B1154="",MIN(AY$38,$D$19)&lt;MAX($P$708*($B1154+IF($R$17="Distrato",$I$38-1,0)),IF(AND($L$711=0,$P$708=0),"",$L$711-1),IF($R$17="Distrato",$E1154,0))),0,YEARFRAC(MAX($P$708*($B1154+IF($R$17="Distrato",$I$38-1,0)),IF(AND($L$711=0,$P$708=0),"",$L$711-1),IF($R$17="Distrato",$E1154,0)),MIN(AY$38,$D$19),$P$20))-SUM($P1154:AX1154)</f>
        <v>#VALUE!</v>
      </c>
      <c r="AZ1154" s="446" t="e">
        <f>IF(OR($B1154="",MIN(AZ$38,$D$19)&lt;MAX($P$708*($B1154+IF($R$17="Distrato",$I$38-1,0)),IF(AND($L$711=0,$P$708=0),"",$L$711-1),IF($R$17="Distrato",$E1154,0))),0,YEARFRAC(MAX($P$708*($B1154+IF($R$17="Distrato",$I$38-1,0)),IF(AND($L$711=0,$P$708=0),"",$L$711-1),IF($R$17="Distrato",$E1154,0)),MIN(AZ$38,$D$19),$P$20))-SUM($P1154:AY1154)</f>
        <v>#VALUE!</v>
      </c>
      <c r="BA1154" s="446" t="e">
        <f>IF(OR($B1154="",MIN(BA$38,$D$19)&lt;MAX($P$708*($B1154+IF($R$17="Distrato",$I$38-1,0)),IF(AND($L$711=0,$P$708=0),"",$L$711-1),IF($R$17="Distrato",$E1154,0))),0,YEARFRAC(MAX($P$708*($B1154+IF($R$17="Distrato",$I$38-1,0)),IF(AND($L$711=0,$P$708=0),"",$L$711-1),IF($R$17="Distrato",$E1154,0)),MIN(BA$38,$D$19),$P$20))-SUM($P1154:AZ1154)</f>
        <v>#VALUE!</v>
      </c>
      <c r="BB1154" s="447"/>
    </row>
    <row r="1155" spans="1:54" s="446" customFormat="1" ht="11.25" hidden="1" customHeight="1" x14ac:dyDescent="0.2">
      <c r="A1155" s="235"/>
      <c r="B1155" s="236"/>
      <c r="C1155" s="29" t="str">
        <f>IF(B1155="","",IF($L$709=$BL$25,VLOOKUP(DATE(YEAR($D$19),MONTH($D$19)-1,1),ÍNDICES!$A:$DE,HLOOKUP($BL$25,ÍNDICES!$B$3:$T$4,2)+11)-VLOOKUP(B1155,ÍNDICES!$A:$DE,HLOOKUP($BL$25,ÍNDICES!$B$3:$T$4,2)+11)+1%,IF(C$712=$W$26,$J$35,IF(ISERROR(IF(B1155&gt;$D$19,1,VLOOKUP(DATE(YEAR(B1155),MONTH(B1155)+IF($C$709=$S$23,1,0),1),ÍNDICES!$A:$DE,$Z$709+1))),"",IF(B1155&gt;$D$19,1,VLOOKUP(DATE(YEAR(B1155),MONTH(B1155)+IF($C$709=$S$23,1,0),1),ÍNDICES!$A:$DE,$Z$709+1))))))</f>
        <v/>
      </c>
      <c r="D1155" s="155"/>
      <c r="E1155" s="88"/>
      <c r="F1155" s="88"/>
      <c r="G1155" s="88"/>
      <c r="H1155" s="118"/>
      <c r="I1155" s="182">
        <f t="shared" si="157"/>
        <v>0</v>
      </c>
      <c r="J1155" s="20">
        <f t="shared" ca="1" si="158"/>
        <v>0</v>
      </c>
      <c r="K1155" s="5">
        <f t="shared" ca="1" si="159"/>
        <v>0</v>
      </c>
      <c r="L1155" s="61">
        <f t="shared" ca="1" si="160"/>
        <v>0</v>
      </c>
      <c r="M1155" s="64">
        <f t="shared" si="161"/>
        <v>0</v>
      </c>
      <c r="N1155" s="151"/>
      <c r="O1155" s="5">
        <f t="shared" ca="1" si="162"/>
        <v>0</v>
      </c>
      <c r="P1155" s="446" t="e">
        <f t="shared" si="163"/>
        <v>#VALUE!</v>
      </c>
      <c r="Q1155" s="446" t="e">
        <f>IF(OR($B1155="",MIN(Q$38,$D$19)&lt;MAX($P$708*($B1155+IF($R$17="Distrato",$I$38-1,0)),IF(AND($L$711=0,$P$708=0),"",$L$711-1),IF($R$17="Distrato",$E1155,0))),0,YEARFRAC(MAX($P$708*($B1155+IF($R$17="Distrato",$I$38-1,0)),IF(AND($L$711=0,$P$708=0),"",$L$711-1),IF($R$17="Distrato",$E1155,0)),MIN(Q$38,$D$19),$P$20))-SUM($P1155:P1155)</f>
        <v>#VALUE!</v>
      </c>
      <c r="R1155" s="446" t="e">
        <f>IF(OR($B1155="",MIN(R$38,$D$19)&lt;MAX($P$708*($B1155+IF($R$17="Distrato",$I$38-1,0)),IF(AND($L$711=0,$P$708=0),"",$L$711-1),IF($R$17="Distrato",$E1155,0))),0,YEARFRAC(MAX($P$708*($B1155+IF($R$17="Distrato",$I$38-1,0)),IF(AND($L$711=0,$P$708=0),"",$L$711-1),IF($R$17="Distrato",$E1155,0)),MIN(R$38,$D$19),$P$20))-SUM($P1155:Q1155)</f>
        <v>#VALUE!</v>
      </c>
      <c r="S1155" s="446" t="e">
        <f>IF(OR($B1155="",MIN(S$38,$D$19)&lt;MAX($P$708*($B1155+IF($R$17="Distrato",$I$38-1,0)),IF(AND($L$711=0,$P$708=0),"",$L$711-1),IF($R$17="Distrato",$E1155,0))),0,YEARFRAC(MAX($P$708*($B1155+IF($R$17="Distrato",$I$38-1,0)),IF(AND($L$711=0,$P$708=0),"",$L$711-1),IF($R$17="Distrato",$E1155,0)),MIN(S$38,$D$19),$P$20))-SUM($P1155:R1155)</f>
        <v>#VALUE!</v>
      </c>
      <c r="T1155" s="446" t="e">
        <f>IF(OR($B1155="",MIN(T$38,$D$19)&lt;MAX($P$708*($B1155+IF($R$17="Distrato",$I$38-1,0)),IF(AND($L$711=0,$P$708=0),"",$L$711-1),IF($R$17="Distrato",$E1155,0))),0,YEARFRAC(MAX($P$708*($B1155+IF($R$17="Distrato",$I$38-1,0)),IF(AND($L$711=0,$P$708=0),"",$L$711-1),IF($R$17="Distrato",$E1155,0)),MIN(T$38,$D$19),$P$20))-SUM($P1155:S1155)</f>
        <v>#VALUE!</v>
      </c>
      <c r="U1155" s="446" t="e">
        <f>IF(OR($B1155="",MIN(U$38,$D$19)&lt;MAX($P$708*($B1155+IF($R$17="Distrato",$I$38-1,0)),IF(AND($L$711=0,$P$708=0),"",$L$711-1),IF($R$17="Distrato",$E1155,0))),0,YEARFRAC(MAX($P$708*($B1155+IF($R$17="Distrato",$I$38-1,0)),IF(AND($L$711=0,$P$708=0),"",$L$711-1),IF($R$17="Distrato",$E1155,0)),MIN(U$38,$D$19),$P$20))-SUM($P1155:T1155)</f>
        <v>#VALUE!</v>
      </c>
      <c r="V1155" s="446" t="e">
        <f>IF(OR($B1155="",MIN(V$38,$D$19)&lt;MAX($P$708*($B1155+IF($R$17="Distrato",$I$38-1,0)),IF(AND($L$711=0,$P$708=0),"",$L$711-1),IF($R$17="Distrato",$E1155,0))),0,YEARFRAC(MAX($P$708*($B1155+IF($R$17="Distrato",$I$38-1,0)),IF(AND($L$711=0,$P$708=0),"",$L$711-1),IF($R$17="Distrato",$E1155,0)),MIN(V$38,$D$19),$P$20))-SUM($P1155:U1155)</f>
        <v>#VALUE!</v>
      </c>
      <c r="W1155" s="446" t="e">
        <f>IF(OR($B1155="",MIN(W$38,$D$19)&lt;MAX($P$708*($B1155+IF($R$17="Distrato",$I$38-1,0)),IF(AND($L$711=0,$P$708=0),"",$L$711-1),IF($R$17="Distrato",$E1155,0))),0,YEARFRAC(MAX($P$708*($B1155+IF($R$17="Distrato",$I$38-1,0)),IF(AND($L$711=0,$P$708=0),"",$L$711-1),IF($R$17="Distrato",$E1155,0)),MIN(W$38,$D$19),$P$20))-SUM($P1155:V1155)</f>
        <v>#VALUE!</v>
      </c>
      <c r="X1155" s="446" t="e">
        <f>IF(OR($B1155="",MIN(X$38,$D$19)&lt;MAX($P$708*($B1155+IF($R$17="Distrato",$I$38-1,0)),IF(AND($L$711=0,$P$708=0),"",$L$711-1),IF($R$17="Distrato",$E1155,0))),0,YEARFRAC(MAX($P$708*($B1155+IF($R$17="Distrato",$I$38-1,0)),IF(AND($L$711=0,$P$708=0),"",$L$711-1),IF($R$17="Distrato",$E1155,0)),MIN(X$38,$D$19),$P$20))-SUM($P1155:W1155)</f>
        <v>#VALUE!</v>
      </c>
      <c r="Y1155" s="446" t="e">
        <f>IF(OR($B1155="",MIN(Y$38,$D$19)&lt;MAX($P$708*($B1155+IF($R$17="Distrato",$I$38-1,0)),IF(AND($L$711=0,$P$708=0),"",$L$711-1),IF($R$17="Distrato",$E1155,0))),0,YEARFRAC(MAX($P$708*($B1155+IF($R$17="Distrato",$I$38-1,0)),IF(AND($L$711=0,$P$708=0),"",$L$711-1),IF($R$17="Distrato",$E1155,0)),MIN(Y$38,$D$19),$P$20))-SUM($P1155:X1155)</f>
        <v>#VALUE!</v>
      </c>
      <c r="Z1155" s="446" t="e">
        <f>IF(OR($B1155="",MIN(Z$38,$D$19)&lt;MAX($P$708*($B1155+IF($R$17="Distrato",$I$38-1,0)),IF(AND($L$711=0,$P$708=0),"",$L$711-1),IF($R$17="Distrato",$E1155,0))),0,YEARFRAC(MAX($P$708*($B1155+IF($R$17="Distrato",$I$38-1,0)),IF(AND($L$711=0,$P$708=0),"",$L$711-1),IF($R$17="Distrato",$E1155,0)),MIN(Z$38,$D$19),$P$20))-SUM($P1155:Y1155)</f>
        <v>#VALUE!</v>
      </c>
      <c r="AA1155" s="446" t="e">
        <f>IF(OR($B1155="",MIN(AA$38,$D$19)&lt;MAX($P$708*($B1155+IF($R$17="Distrato",$I$38-1,0)),IF(AND($L$711=0,$P$708=0),"",$L$711-1),IF($R$17="Distrato",$E1155,0))),0,YEARFRAC(MAX($P$708*($B1155+IF($R$17="Distrato",$I$38-1,0)),IF(AND($L$711=0,$P$708=0),"",$L$711-1),IF($R$17="Distrato",$E1155,0)),MIN(AA$38,$D$19),$P$20))-SUM($P1155:Z1155)</f>
        <v>#VALUE!</v>
      </c>
      <c r="AB1155" s="446" t="e">
        <f>IF(OR($B1155="",MIN(AB$38,$D$19)&lt;MAX($P$708*($B1155+IF($R$17="Distrato",$I$38-1,0)),IF(AND($L$711=0,$P$708=0),"",$L$711-1),IF($R$17="Distrato",$E1155,0))),0,YEARFRAC(MAX($P$708*($B1155+IF($R$17="Distrato",$I$38-1,0)),IF(AND($L$711=0,$P$708=0),"",$L$711-1),IF($R$17="Distrato",$E1155,0)),MIN(AB$38,$D$19),$P$20))-SUM($P1155:AA1155)</f>
        <v>#VALUE!</v>
      </c>
      <c r="AC1155" s="446" t="e">
        <f>IF(OR($B1155="",MIN(AC$38,$D$19)&lt;MAX($P$708*($B1155+IF($R$17="Distrato",$I$38-1,0)),IF(AND($L$711=0,$P$708=0),"",$L$711-1),IF($R$17="Distrato",$E1155,0))),0,YEARFRAC(MAX($P$708*($B1155+IF($R$17="Distrato",$I$38-1,0)),IF(AND($L$711=0,$P$708=0),"",$L$711-1),IF($R$17="Distrato",$E1155,0)),MIN(AC$38,$D$19),$P$20))-SUM($P1155:AB1155)</f>
        <v>#VALUE!</v>
      </c>
      <c r="AD1155" s="446" t="e">
        <f>IF(OR($B1155="",MIN(AD$38,$D$19)&lt;MAX($P$708*($B1155+IF($R$17="Distrato",$I$38-1,0)),IF(AND($L$711=0,$P$708=0),"",$L$711-1),IF($R$17="Distrato",$E1155,0))),0,YEARFRAC(MAX($P$708*($B1155+IF($R$17="Distrato",$I$38-1,0)),IF(AND($L$711=0,$P$708=0),"",$L$711-1),IF($R$17="Distrato",$E1155,0)),MIN(AD$38,$D$19),$P$20))-SUM($P1155:AC1155)</f>
        <v>#VALUE!</v>
      </c>
      <c r="AE1155" s="446" t="e">
        <f>IF(OR($B1155="",MIN(AE$38,$D$19)&lt;MAX($P$708*($B1155+IF($R$17="Distrato",$I$38-1,0)),IF(AND($L$711=0,$P$708=0),"",$L$711-1),IF($R$17="Distrato",$E1155,0))),0,YEARFRAC(MAX($P$708*($B1155+IF($R$17="Distrato",$I$38-1,0)),IF(AND($L$711=0,$P$708=0),"",$L$711-1),IF($R$17="Distrato",$E1155,0)),MIN(AE$38,$D$19),$P$20))-SUM($P1155:AD1155)</f>
        <v>#VALUE!</v>
      </c>
      <c r="AF1155" s="446" t="e">
        <f>IF(OR($B1155="",MIN(AF$38,$D$19)&lt;MAX($P$708*($B1155+IF($R$17="Distrato",$I$38-1,0)),IF(AND($L$711=0,$P$708=0),"",$L$711-1),IF($R$17="Distrato",$E1155,0))),0,YEARFRAC(MAX($P$708*($B1155+IF($R$17="Distrato",$I$38-1,0)),IF(AND($L$711=0,$P$708=0),"",$L$711-1),IF($R$17="Distrato",$E1155,0)),MIN(AF$38,$D$19),$P$20))-SUM($P1155:AE1155)</f>
        <v>#VALUE!</v>
      </c>
      <c r="AG1155" s="446" t="e">
        <f>IF(OR($B1155="",MIN(AG$38,$D$19)&lt;MAX($P$708*($B1155+IF($R$17="Distrato",$I$38-1,0)),IF(AND($L$711=0,$P$708=0),"",$L$711-1),IF($R$17="Distrato",$E1155,0))),0,YEARFRAC(MAX($P$708*($B1155+IF($R$17="Distrato",$I$38-1,0)),IF(AND($L$711=0,$P$708=0),"",$L$711-1),IF($R$17="Distrato",$E1155,0)),MIN(AG$38,$D$19),$P$20))-SUM($P1155:AF1155)</f>
        <v>#VALUE!</v>
      </c>
      <c r="AH1155" s="446" t="e">
        <f>IF(OR($B1155="",MIN(AH$38,$D$19)&lt;MAX($P$708*($B1155+IF($R$17="Distrato",$I$38-1,0)),IF(AND($L$711=0,$P$708=0),"",$L$711-1),IF($R$17="Distrato",$E1155,0))),0,YEARFRAC(MAX($P$708*($B1155+IF($R$17="Distrato",$I$38-1,0)),IF(AND($L$711=0,$P$708=0),"",$L$711-1),IF($R$17="Distrato",$E1155,0)),MIN(AH$38,$D$19),$P$20))-SUM($P1155:AG1155)</f>
        <v>#VALUE!</v>
      </c>
      <c r="AI1155" s="446" t="e">
        <f>IF(OR($B1155="",MIN(AI$38,$D$19)&lt;MAX($P$708*($B1155+IF($R$17="Distrato",$I$38-1,0)),IF(AND($L$711=0,$P$708=0),"",$L$711-1),IF($R$17="Distrato",$E1155,0))),0,YEARFRAC(MAX($P$708*($B1155+IF($R$17="Distrato",$I$38-1,0)),IF(AND($L$711=0,$P$708=0),"",$L$711-1),IF($R$17="Distrato",$E1155,0)),MIN(AI$38,$D$19),$P$20))-SUM($P1155:AH1155)</f>
        <v>#VALUE!</v>
      </c>
      <c r="AJ1155" s="446" t="e">
        <f>IF(OR($B1155="",MIN(AJ$38,$D$19)&lt;MAX($P$708*($B1155+IF($R$17="Distrato",$I$38-1,0)),IF(AND($L$711=0,$P$708=0),"",$L$711-1),IF($R$17="Distrato",$E1155,0))),0,YEARFRAC(MAX($P$708*($B1155+IF($R$17="Distrato",$I$38-1,0)),IF(AND($L$711=0,$P$708=0),"",$L$711-1),IF($R$17="Distrato",$E1155,0)),MIN(AJ$38,$D$19),$P$20))-SUM($P1155:AI1155)</f>
        <v>#VALUE!</v>
      </c>
      <c r="AK1155" s="446" t="e">
        <f>IF(OR($B1155="",MIN(AK$38,$D$19)&lt;MAX($P$708*($B1155+IF($R$17="Distrato",$I$38-1,0)),IF(AND($L$711=0,$P$708=0),"",$L$711-1),IF($R$17="Distrato",$E1155,0))),0,YEARFRAC(MAX($P$708*($B1155+IF($R$17="Distrato",$I$38-1,0)),IF(AND($L$711=0,$P$708=0),"",$L$711-1),IF($R$17="Distrato",$E1155,0)),MIN(AK$38,$D$19),$P$20))-SUM($P1155:AJ1155)</f>
        <v>#VALUE!</v>
      </c>
      <c r="AL1155" s="446" t="e">
        <f>IF(OR($B1155="",MIN(AL$38,$D$19)&lt;MAX($P$708*($B1155+IF($R$17="Distrato",$I$38-1,0)),IF(AND($L$711=0,$P$708=0),"",$L$711-1),IF($R$17="Distrato",$E1155,0))),0,YEARFRAC(MAX($P$708*($B1155+IF($R$17="Distrato",$I$38-1,0)),IF(AND($L$711=0,$P$708=0),"",$L$711-1),IF($R$17="Distrato",$E1155,0)),MIN(AL$38,$D$19),$P$20))-SUM($P1155:AK1155)</f>
        <v>#VALUE!</v>
      </c>
      <c r="AM1155" s="446" t="e">
        <f>IF(OR($B1155="",MIN(AM$38,$D$19)&lt;MAX($P$708*($B1155+IF($R$17="Distrato",$I$38-1,0)),IF(AND($L$711=0,$P$708=0),"",$L$711-1),IF($R$17="Distrato",$E1155,0))),0,YEARFRAC(MAX($P$708*($B1155+IF($R$17="Distrato",$I$38-1,0)),IF(AND($L$711=0,$P$708=0),"",$L$711-1),IF($R$17="Distrato",$E1155,0)),MIN(AM$38,$D$19),$P$20))-SUM($P1155:AL1155)</f>
        <v>#VALUE!</v>
      </c>
      <c r="AN1155" s="446" t="e">
        <f>IF(OR($B1155="",MIN(AN$38,$D$19)&lt;MAX($P$708*($B1155+IF($R$17="Distrato",$I$38-1,0)),IF(AND($L$711=0,$P$708=0),"",$L$711-1),IF($R$17="Distrato",$E1155,0))),0,YEARFRAC(MAX($P$708*($B1155+IF($R$17="Distrato",$I$38-1,0)),IF(AND($L$711=0,$P$708=0),"",$L$711-1),IF($R$17="Distrato",$E1155,0)),MIN(AN$38,$D$19),$P$20))-SUM($P1155:AM1155)</f>
        <v>#VALUE!</v>
      </c>
      <c r="AO1155" s="446" t="e">
        <f>IF(OR($B1155="",MIN(AO$38,$D$19)&lt;MAX($P$708*($B1155+IF($R$17="Distrato",$I$38-1,0)),IF(AND($L$711=0,$P$708=0),"",$L$711-1),IF($R$17="Distrato",$E1155,0))),0,YEARFRAC(MAX($P$708*($B1155+IF($R$17="Distrato",$I$38-1,0)),IF(AND($L$711=0,$P$708=0),"",$L$711-1),IF($R$17="Distrato",$E1155,0)),MIN(AO$38,$D$19),$P$20))-SUM($P1155:AN1155)</f>
        <v>#VALUE!</v>
      </c>
      <c r="AP1155" s="446" t="e">
        <f>IF(OR($B1155="",MIN(AP$38,$D$19)&lt;MAX($P$708*($B1155+IF($R$17="Distrato",$I$38-1,0)),IF(AND($L$711=0,$P$708=0),"",$L$711-1),IF($R$17="Distrato",$E1155,0))),0,YEARFRAC(MAX($P$708*($B1155+IF($R$17="Distrato",$I$38-1,0)),IF(AND($L$711=0,$P$708=0),"",$L$711-1),IF($R$17="Distrato",$E1155,0)),MIN(AP$38,$D$19),$P$20))-SUM($P1155:AO1155)</f>
        <v>#VALUE!</v>
      </c>
      <c r="AQ1155" s="446" t="e">
        <f>IF(OR($B1155="",MIN(AQ$38,$D$19)&lt;MAX($P$708*($B1155+IF($R$17="Distrato",$I$38-1,0)),IF(AND($L$711=0,$P$708=0),"",$L$711-1),IF($R$17="Distrato",$E1155,0))),0,YEARFRAC(MAX($P$708*($B1155+IF($R$17="Distrato",$I$38-1,0)),IF(AND($L$711=0,$P$708=0),"",$L$711-1),IF($R$17="Distrato",$E1155,0)),MIN(AQ$38,$D$19),$P$20))-SUM($P1155:AP1155)</f>
        <v>#VALUE!</v>
      </c>
      <c r="AR1155" s="446" t="e">
        <f>IF(OR($B1155="",MIN(AR$38,$D$19)&lt;MAX($P$708*($B1155+IF($R$17="Distrato",$I$38-1,0)),IF(AND($L$711=0,$P$708=0),"",$L$711-1),IF($R$17="Distrato",$E1155,0))),0,YEARFRAC(MAX($P$708*($B1155+IF($R$17="Distrato",$I$38-1,0)),IF(AND($L$711=0,$P$708=0),"",$L$711-1),IF($R$17="Distrato",$E1155,0)),MIN(AR$38,$D$19),$P$20))-SUM($P1155:AQ1155)</f>
        <v>#VALUE!</v>
      </c>
      <c r="AS1155" s="446" t="e">
        <f>IF(OR($B1155="",MIN(AS$38,$D$19)&lt;MAX($P$708*($B1155+IF($R$17="Distrato",$I$38-1,0)),IF(AND($L$711=0,$P$708=0),"",$L$711-1),IF($R$17="Distrato",$E1155,0))),0,YEARFRAC(MAX($P$708*($B1155+IF($R$17="Distrato",$I$38-1,0)),IF(AND($L$711=0,$P$708=0),"",$L$711-1),IF($R$17="Distrato",$E1155,0)),MIN(AS$38,$D$19),$P$20))-SUM($P1155:AR1155)</f>
        <v>#VALUE!</v>
      </c>
      <c r="AT1155" s="446" t="e">
        <f>IF(OR($B1155="",MIN(AT$38,$D$19)&lt;MAX($P$708*($B1155+IF($R$17="Distrato",$I$38-1,0)),IF(AND($L$711=0,$P$708=0),"",$L$711-1),IF($R$17="Distrato",$E1155,0))),0,YEARFRAC(MAX($P$708*($B1155+IF($R$17="Distrato",$I$38-1,0)),IF(AND($L$711=0,$P$708=0),"",$L$711-1),IF($R$17="Distrato",$E1155,0)),MIN(AT$38,$D$19),$P$20))-SUM($P1155:AS1155)</f>
        <v>#VALUE!</v>
      </c>
      <c r="AU1155" s="446" t="e">
        <f>IF(OR($B1155="",MIN(AU$38,$D$19)&lt;MAX($P$708*($B1155+IF($R$17="Distrato",$I$38-1,0)),IF(AND($L$711=0,$P$708=0),"",$L$711-1),IF($R$17="Distrato",$E1155,0))),0,YEARFRAC(MAX($P$708*($B1155+IF($R$17="Distrato",$I$38-1,0)),IF(AND($L$711=0,$P$708=0),"",$L$711-1),IF($R$17="Distrato",$E1155,0)),MIN(AU$38,$D$19),$P$20))-SUM($P1155:AT1155)</f>
        <v>#VALUE!</v>
      </c>
      <c r="AV1155" s="446" t="e">
        <f>IF(OR($B1155="",MIN(AV$38,$D$19)&lt;MAX($P$708*($B1155+IF($R$17="Distrato",$I$38-1,0)),IF(AND($L$711=0,$P$708=0),"",$L$711-1),IF($R$17="Distrato",$E1155,0))),0,YEARFRAC(MAX($P$708*($B1155+IF($R$17="Distrato",$I$38-1,0)),IF(AND($L$711=0,$P$708=0),"",$L$711-1),IF($R$17="Distrato",$E1155,0)),MIN(AV$38,$D$19),$P$20))-SUM($P1155:AU1155)</f>
        <v>#VALUE!</v>
      </c>
      <c r="AW1155" s="446" t="e">
        <f>IF(OR($B1155="",MIN(AW$38,$D$19)&lt;MAX($P$708*($B1155+IF($R$17="Distrato",$I$38-1,0)),IF(AND($L$711=0,$P$708=0),"",$L$711-1),IF($R$17="Distrato",$E1155,0))),0,YEARFRAC(MAX($P$708*($B1155+IF($R$17="Distrato",$I$38-1,0)),IF(AND($L$711=0,$P$708=0),"",$L$711-1),IF($R$17="Distrato",$E1155,0)),MIN(AW$38,$D$19),$P$20))-SUM($P1155:AV1155)</f>
        <v>#VALUE!</v>
      </c>
      <c r="AX1155" s="446" t="e">
        <f>IF(OR($B1155="",MIN(AX$38,$D$19)&lt;MAX($P$708*($B1155+IF($R$17="Distrato",$I$38-1,0)),IF(AND($L$711=0,$P$708=0),"",$L$711-1),IF($R$17="Distrato",$E1155,0))),0,YEARFRAC(MAX($P$708*($B1155+IF($R$17="Distrato",$I$38-1,0)),IF(AND($L$711=0,$P$708=0),"",$L$711-1),IF($R$17="Distrato",$E1155,0)),MIN(AX$38,$D$19),$P$20))-SUM($P1155:AW1155)</f>
        <v>#VALUE!</v>
      </c>
      <c r="AY1155" s="446" t="e">
        <f>IF(OR($B1155="",MIN(AY$38,$D$19)&lt;MAX($P$708*($B1155+IF($R$17="Distrato",$I$38-1,0)),IF(AND($L$711=0,$P$708=0),"",$L$711-1),IF($R$17="Distrato",$E1155,0))),0,YEARFRAC(MAX($P$708*($B1155+IF($R$17="Distrato",$I$38-1,0)),IF(AND($L$711=0,$P$708=0),"",$L$711-1),IF($R$17="Distrato",$E1155,0)),MIN(AY$38,$D$19),$P$20))-SUM($P1155:AX1155)</f>
        <v>#VALUE!</v>
      </c>
      <c r="AZ1155" s="446" t="e">
        <f>IF(OR($B1155="",MIN(AZ$38,$D$19)&lt;MAX($P$708*($B1155+IF($R$17="Distrato",$I$38-1,0)),IF(AND($L$711=0,$P$708=0),"",$L$711-1),IF($R$17="Distrato",$E1155,0))),0,YEARFRAC(MAX($P$708*($B1155+IF($R$17="Distrato",$I$38-1,0)),IF(AND($L$711=0,$P$708=0),"",$L$711-1),IF($R$17="Distrato",$E1155,0)),MIN(AZ$38,$D$19),$P$20))-SUM($P1155:AY1155)</f>
        <v>#VALUE!</v>
      </c>
      <c r="BA1155" s="446" t="e">
        <f>IF(OR($B1155="",MIN(BA$38,$D$19)&lt;MAX($P$708*($B1155+IF($R$17="Distrato",$I$38-1,0)),IF(AND($L$711=0,$P$708=0),"",$L$711-1),IF($R$17="Distrato",$E1155,0))),0,YEARFRAC(MAX($P$708*($B1155+IF($R$17="Distrato",$I$38-1,0)),IF(AND($L$711=0,$P$708=0),"",$L$711-1),IF($R$17="Distrato",$E1155,0)),MIN(BA$38,$D$19),$P$20))-SUM($P1155:AZ1155)</f>
        <v>#VALUE!</v>
      </c>
      <c r="BB1155" s="447"/>
    </row>
    <row r="1156" spans="1:54" s="446" customFormat="1" ht="11.25" hidden="1" customHeight="1" x14ac:dyDescent="0.2">
      <c r="A1156" s="235"/>
      <c r="B1156" s="236"/>
      <c r="C1156" s="29" t="str">
        <f>IF(B1156="","",IF($L$709=$BL$25,VLOOKUP(DATE(YEAR($D$19),MONTH($D$19)-1,1),ÍNDICES!$A:$DE,HLOOKUP($BL$25,ÍNDICES!$B$3:$T$4,2)+11)-VLOOKUP(B1156,ÍNDICES!$A:$DE,HLOOKUP($BL$25,ÍNDICES!$B$3:$T$4,2)+11)+1%,IF(C$712=$W$26,$J$35,IF(ISERROR(IF(B1156&gt;$D$19,1,VLOOKUP(DATE(YEAR(B1156),MONTH(B1156)+IF($C$709=$S$23,1,0),1),ÍNDICES!$A:$DE,$Z$709+1))),"",IF(B1156&gt;$D$19,1,VLOOKUP(DATE(YEAR(B1156),MONTH(B1156)+IF($C$709=$S$23,1,0),1),ÍNDICES!$A:$DE,$Z$709+1))))))</f>
        <v/>
      </c>
      <c r="D1156" s="155"/>
      <c r="E1156" s="88"/>
      <c r="F1156" s="88"/>
      <c r="G1156" s="88"/>
      <c r="H1156" s="118"/>
      <c r="I1156" s="182">
        <f t="shared" si="157"/>
        <v>0</v>
      </c>
      <c r="J1156" s="20">
        <f t="shared" ca="1" si="158"/>
        <v>0</v>
      </c>
      <c r="K1156" s="5">
        <f t="shared" ca="1" si="159"/>
        <v>0</v>
      </c>
      <c r="L1156" s="61">
        <f t="shared" ca="1" si="160"/>
        <v>0</v>
      </c>
      <c r="M1156" s="64">
        <f t="shared" si="161"/>
        <v>0</v>
      </c>
      <c r="N1156" s="151"/>
      <c r="O1156" s="5">
        <f t="shared" ca="1" si="162"/>
        <v>0</v>
      </c>
      <c r="P1156" s="446" t="e">
        <f t="shared" si="163"/>
        <v>#VALUE!</v>
      </c>
      <c r="Q1156" s="446" t="e">
        <f>IF(OR($B1156="",MIN(Q$38,$D$19)&lt;MAX($P$708*($B1156+IF($R$17="Distrato",$I$38-1,0)),IF(AND($L$711=0,$P$708=0),"",$L$711-1),IF($R$17="Distrato",$E1156,0))),0,YEARFRAC(MAX($P$708*($B1156+IF($R$17="Distrato",$I$38-1,0)),IF(AND($L$711=0,$P$708=0),"",$L$711-1),IF($R$17="Distrato",$E1156,0)),MIN(Q$38,$D$19),$P$20))-SUM($P1156:P1156)</f>
        <v>#VALUE!</v>
      </c>
      <c r="R1156" s="446" t="e">
        <f>IF(OR($B1156="",MIN(R$38,$D$19)&lt;MAX($P$708*($B1156+IF($R$17="Distrato",$I$38-1,0)),IF(AND($L$711=0,$P$708=0),"",$L$711-1),IF($R$17="Distrato",$E1156,0))),0,YEARFRAC(MAX($P$708*($B1156+IF($R$17="Distrato",$I$38-1,0)),IF(AND($L$711=0,$P$708=0),"",$L$711-1),IF($R$17="Distrato",$E1156,0)),MIN(R$38,$D$19),$P$20))-SUM($P1156:Q1156)</f>
        <v>#VALUE!</v>
      </c>
      <c r="S1156" s="446" t="e">
        <f>IF(OR($B1156="",MIN(S$38,$D$19)&lt;MAX($P$708*($B1156+IF($R$17="Distrato",$I$38-1,0)),IF(AND($L$711=0,$P$708=0),"",$L$711-1),IF($R$17="Distrato",$E1156,0))),0,YEARFRAC(MAX($P$708*($B1156+IF($R$17="Distrato",$I$38-1,0)),IF(AND($L$711=0,$P$708=0),"",$L$711-1),IF($R$17="Distrato",$E1156,0)),MIN(S$38,$D$19),$P$20))-SUM($P1156:R1156)</f>
        <v>#VALUE!</v>
      </c>
      <c r="T1156" s="446" t="e">
        <f>IF(OR($B1156="",MIN(T$38,$D$19)&lt;MAX($P$708*($B1156+IF($R$17="Distrato",$I$38-1,0)),IF(AND($L$711=0,$P$708=0),"",$L$711-1),IF($R$17="Distrato",$E1156,0))),0,YEARFRAC(MAX($P$708*($B1156+IF($R$17="Distrato",$I$38-1,0)),IF(AND($L$711=0,$P$708=0),"",$L$711-1),IF($R$17="Distrato",$E1156,0)),MIN(T$38,$D$19),$P$20))-SUM($P1156:S1156)</f>
        <v>#VALUE!</v>
      </c>
      <c r="U1156" s="446" t="e">
        <f>IF(OR($B1156="",MIN(U$38,$D$19)&lt;MAX($P$708*($B1156+IF($R$17="Distrato",$I$38-1,0)),IF(AND($L$711=0,$P$708=0),"",$L$711-1),IF($R$17="Distrato",$E1156,0))),0,YEARFRAC(MAX($P$708*($B1156+IF($R$17="Distrato",$I$38-1,0)),IF(AND($L$711=0,$P$708=0),"",$L$711-1),IF($R$17="Distrato",$E1156,0)),MIN(U$38,$D$19),$P$20))-SUM($P1156:T1156)</f>
        <v>#VALUE!</v>
      </c>
      <c r="V1156" s="446" t="e">
        <f>IF(OR($B1156="",MIN(V$38,$D$19)&lt;MAX($P$708*($B1156+IF($R$17="Distrato",$I$38-1,0)),IF(AND($L$711=0,$P$708=0),"",$L$711-1),IF($R$17="Distrato",$E1156,0))),0,YEARFRAC(MAX($P$708*($B1156+IF($R$17="Distrato",$I$38-1,0)),IF(AND($L$711=0,$P$708=0),"",$L$711-1),IF($R$17="Distrato",$E1156,0)),MIN(V$38,$D$19),$P$20))-SUM($P1156:U1156)</f>
        <v>#VALUE!</v>
      </c>
      <c r="W1156" s="446" t="e">
        <f>IF(OR($B1156="",MIN(W$38,$D$19)&lt;MAX($P$708*($B1156+IF($R$17="Distrato",$I$38-1,0)),IF(AND($L$711=0,$P$708=0),"",$L$711-1),IF($R$17="Distrato",$E1156,0))),0,YEARFRAC(MAX($P$708*($B1156+IF($R$17="Distrato",$I$38-1,0)),IF(AND($L$711=0,$P$708=0),"",$L$711-1),IF($R$17="Distrato",$E1156,0)),MIN(W$38,$D$19),$P$20))-SUM($P1156:V1156)</f>
        <v>#VALUE!</v>
      </c>
      <c r="X1156" s="446" t="e">
        <f>IF(OR($B1156="",MIN(X$38,$D$19)&lt;MAX($P$708*($B1156+IF($R$17="Distrato",$I$38-1,0)),IF(AND($L$711=0,$P$708=0),"",$L$711-1),IF($R$17="Distrato",$E1156,0))),0,YEARFRAC(MAX($P$708*($B1156+IF($R$17="Distrato",$I$38-1,0)),IF(AND($L$711=0,$P$708=0),"",$L$711-1),IF($R$17="Distrato",$E1156,0)),MIN(X$38,$D$19),$P$20))-SUM($P1156:W1156)</f>
        <v>#VALUE!</v>
      </c>
      <c r="Y1156" s="446" t="e">
        <f>IF(OR($B1156="",MIN(Y$38,$D$19)&lt;MAX($P$708*($B1156+IF($R$17="Distrato",$I$38-1,0)),IF(AND($L$711=0,$P$708=0),"",$L$711-1),IF($R$17="Distrato",$E1156,0))),0,YEARFRAC(MAX($P$708*($B1156+IF($R$17="Distrato",$I$38-1,0)),IF(AND($L$711=0,$P$708=0),"",$L$711-1),IF($R$17="Distrato",$E1156,0)),MIN(Y$38,$D$19),$P$20))-SUM($P1156:X1156)</f>
        <v>#VALUE!</v>
      </c>
      <c r="Z1156" s="446" t="e">
        <f>IF(OR($B1156="",MIN(Z$38,$D$19)&lt;MAX($P$708*($B1156+IF($R$17="Distrato",$I$38-1,0)),IF(AND($L$711=0,$P$708=0),"",$L$711-1),IF($R$17="Distrato",$E1156,0))),0,YEARFRAC(MAX($P$708*($B1156+IF($R$17="Distrato",$I$38-1,0)),IF(AND($L$711=0,$P$708=0),"",$L$711-1),IF($R$17="Distrato",$E1156,0)),MIN(Z$38,$D$19),$P$20))-SUM($P1156:Y1156)</f>
        <v>#VALUE!</v>
      </c>
      <c r="AA1156" s="446" t="e">
        <f>IF(OR($B1156="",MIN(AA$38,$D$19)&lt;MAX($P$708*($B1156+IF($R$17="Distrato",$I$38-1,0)),IF(AND($L$711=0,$P$708=0),"",$L$711-1),IF($R$17="Distrato",$E1156,0))),0,YEARFRAC(MAX($P$708*($B1156+IF($R$17="Distrato",$I$38-1,0)),IF(AND($L$711=0,$P$708=0),"",$L$711-1),IF($R$17="Distrato",$E1156,0)),MIN(AA$38,$D$19),$P$20))-SUM($P1156:Z1156)</f>
        <v>#VALUE!</v>
      </c>
      <c r="AB1156" s="446" t="e">
        <f>IF(OR($B1156="",MIN(AB$38,$D$19)&lt;MAX($P$708*($B1156+IF($R$17="Distrato",$I$38-1,0)),IF(AND($L$711=0,$P$708=0),"",$L$711-1),IF($R$17="Distrato",$E1156,0))),0,YEARFRAC(MAX($P$708*($B1156+IF($R$17="Distrato",$I$38-1,0)),IF(AND($L$711=0,$P$708=0),"",$L$711-1),IF($R$17="Distrato",$E1156,0)),MIN(AB$38,$D$19),$P$20))-SUM($P1156:AA1156)</f>
        <v>#VALUE!</v>
      </c>
      <c r="AC1156" s="446" t="e">
        <f>IF(OR($B1156="",MIN(AC$38,$D$19)&lt;MAX($P$708*($B1156+IF($R$17="Distrato",$I$38-1,0)),IF(AND($L$711=0,$P$708=0),"",$L$711-1),IF($R$17="Distrato",$E1156,0))),0,YEARFRAC(MAX($P$708*($B1156+IF($R$17="Distrato",$I$38-1,0)),IF(AND($L$711=0,$P$708=0),"",$L$711-1),IF($R$17="Distrato",$E1156,0)),MIN(AC$38,$D$19),$P$20))-SUM($P1156:AB1156)</f>
        <v>#VALUE!</v>
      </c>
      <c r="AD1156" s="446" t="e">
        <f>IF(OR($B1156="",MIN(AD$38,$D$19)&lt;MAX($P$708*($B1156+IF($R$17="Distrato",$I$38-1,0)),IF(AND($L$711=0,$P$708=0),"",$L$711-1),IF($R$17="Distrato",$E1156,0))),0,YEARFRAC(MAX($P$708*($B1156+IF($R$17="Distrato",$I$38-1,0)),IF(AND($L$711=0,$P$708=0),"",$L$711-1),IF($R$17="Distrato",$E1156,0)),MIN(AD$38,$D$19),$P$20))-SUM($P1156:AC1156)</f>
        <v>#VALUE!</v>
      </c>
      <c r="AE1156" s="446" t="e">
        <f>IF(OR($B1156="",MIN(AE$38,$D$19)&lt;MAX($P$708*($B1156+IF($R$17="Distrato",$I$38-1,0)),IF(AND($L$711=0,$P$708=0),"",$L$711-1),IF($R$17="Distrato",$E1156,0))),0,YEARFRAC(MAX($P$708*($B1156+IF($R$17="Distrato",$I$38-1,0)),IF(AND($L$711=0,$P$708=0),"",$L$711-1),IF($R$17="Distrato",$E1156,0)),MIN(AE$38,$D$19),$P$20))-SUM($P1156:AD1156)</f>
        <v>#VALUE!</v>
      </c>
      <c r="AF1156" s="446" t="e">
        <f>IF(OR($B1156="",MIN(AF$38,$D$19)&lt;MAX($P$708*($B1156+IF($R$17="Distrato",$I$38-1,0)),IF(AND($L$711=0,$P$708=0),"",$L$711-1),IF($R$17="Distrato",$E1156,0))),0,YEARFRAC(MAX($P$708*($B1156+IF($R$17="Distrato",$I$38-1,0)),IF(AND($L$711=0,$P$708=0),"",$L$711-1),IF($R$17="Distrato",$E1156,0)),MIN(AF$38,$D$19),$P$20))-SUM($P1156:AE1156)</f>
        <v>#VALUE!</v>
      </c>
      <c r="AG1156" s="446" t="e">
        <f>IF(OR($B1156="",MIN(AG$38,$D$19)&lt;MAX($P$708*($B1156+IF($R$17="Distrato",$I$38-1,0)),IF(AND($L$711=0,$P$708=0),"",$L$711-1),IF($R$17="Distrato",$E1156,0))),0,YEARFRAC(MAX($P$708*($B1156+IF($R$17="Distrato",$I$38-1,0)),IF(AND($L$711=0,$P$708=0),"",$L$711-1),IF($R$17="Distrato",$E1156,0)),MIN(AG$38,$D$19),$P$20))-SUM($P1156:AF1156)</f>
        <v>#VALUE!</v>
      </c>
      <c r="AH1156" s="446" t="e">
        <f>IF(OR($B1156="",MIN(AH$38,$D$19)&lt;MAX($P$708*($B1156+IF($R$17="Distrato",$I$38-1,0)),IF(AND($L$711=0,$P$708=0),"",$L$711-1),IF($R$17="Distrato",$E1156,0))),0,YEARFRAC(MAX($P$708*($B1156+IF($R$17="Distrato",$I$38-1,0)),IF(AND($L$711=0,$P$708=0),"",$L$711-1),IF($R$17="Distrato",$E1156,0)),MIN(AH$38,$D$19),$P$20))-SUM($P1156:AG1156)</f>
        <v>#VALUE!</v>
      </c>
      <c r="AI1156" s="446" t="e">
        <f>IF(OR($B1156="",MIN(AI$38,$D$19)&lt;MAX($P$708*($B1156+IF($R$17="Distrato",$I$38-1,0)),IF(AND($L$711=0,$P$708=0),"",$L$711-1),IF($R$17="Distrato",$E1156,0))),0,YEARFRAC(MAX($P$708*($B1156+IF($R$17="Distrato",$I$38-1,0)),IF(AND($L$711=0,$P$708=0),"",$L$711-1),IF($R$17="Distrato",$E1156,0)),MIN(AI$38,$D$19),$P$20))-SUM($P1156:AH1156)</f>
        <v>#VALUE!</v>
      </c>
      <c r="AJ1156" s="446" t="e">
        <f>IF(OR($B1156="",MIN(AJ$38,$D$19)&lt;MAX($P$708*($B1156+IF($R$17="Distrato",$I$38-1,0)),IF(AND($L$711=0,$P$708=0),"",$L$711-1),IF($R$17="Distrato",$E1156,0))),0,YEARFRAC(MAX($P$708*($B1156+IF($R$17="Distrato",$I$38-1,0)),IF(AND($L$711=0,$P$708=0),"",$L$711-1),IF($R$17="Distrato",$E1156,0)),MIN(AJ$38,$D$19),$P$20))-SUM($P1156:AI1156)</f>
        <v>#VALUE!</v>
      </c>
      <c r="AK1156" s="446" t="e">
        <f>IF(OR($B1156="",MIN(AK$38,$D$19)&lt;MAX($P$708*($B1156+IF($R$17="Distrato",$I$38-1,0)),IF(AND($L$711=0,$P$708=0),"",$L$711-1),IF($R$17="Distrato",$E1156,0))),0,YEARFRAC(MAX($P$708*($B1156+IF($R$17="Distrato",$I$38-1,0)),IF(AND($L$711=0,$P$708=0),"",$L$711-1),IF($R$17="Distrato",$E1156,0)),MIN(AK$38,$D$19),$P$20))-SUM($P1156:AJ1156)</f>
        <v>#VALUE!</v>
      </c>
      <c r="AL1156" s="446" t="e">
        <f>IF(OR($B1156="",MIN(AL$38,$D$19)&lt;MAX($P$708*($B1156+IF($R$17="Distrato",$I$38-1,0)),IF(AND($L$711=0,$P$708=0),"",$L$711-1),IF($R$17="Distrato",$E1156,0))),0,YEARFRAC(MAX($P$708*($B1156+IF($R$17="Distrato",$I$38-1,0)),IF(AND($L$711=0,$P$708=0),"",$L$711-1),IF($R$17="Distrato",$E1156,0)),MIN(AL$38,$D$19),$P$20))-SUM($P1156:AK1156)</f>
        <v>#VALUE!</v>
      </c>
      <c r="AM1156" s="446" t="e">
        <f>IF(OR($B1156="",MIN(AM$38,$D$19)&lt;MAX($P$708*($B1156+IF($R$17="Distrato",$I$38-1,0)),IF(AND($L$711=0,$P$708=0),"",$L$711-1),IF($R$17="Distrato",$E1156,0))),0,YEARFRAC(MAX($P$708*($B1156+IF($R$17="Distrato",$I$38-1,0)),IF(AND($L$711=0,$P$708=0),"",$L$711-1),IF($R$17="Distrato",$E1156,0)),MIN(AM$38,$D$19),$P$20))-SUM($P1156:AL1156)</f>
        <v>#VALUE!</v>
      </c>
      <c r="AN1156" s="446" t="e">
        <f>IF(OR($B1156="",MIN(AN$38,$D$19)&lt;MAX($P$708*($B1156+IF($R$17="Distrato",$I$38-1,0)),IF(AND($L$711=0,$P$708=0),"",$L$711-1),IF($R$17="Distrato",$E1156,0))),0,YEARFRAC(MAX($P$708*($B1156+IF($R$17="Distrato",$I$38-1,0)),IF(AND($L$711=0,$P$708=0),"",$L$711-1),IF($R$17="Distrato",$E1156,0)),MIN(AN$38,$D$19),$P$20))-SUM($P1156:AM1156)</f>
        <v>#VALUE!</v>
      </c>
      <c r="AO1156" s="446" t="e">
        <f>IF(OR($B1156="",MIN(AO$38,$D$19)&lt;MAX($P$708*($B1156+IF($R$17="Distrato",$I$38-1,0)),IF(AND($L$711=0,$P$708=0),"",$L$711-1),IF($R$17="Distrato",$E1156,0))),0,YEARFRAC(MAX($P$708*($B1156+IF($R$17="Distrato",$I$38-1,0)),IF(AND($L$711=0,$P$708=0),"",$L$711-1),IF($R$17="Distrato",$E1156,0)),MIN(AO$38,$D$19),$P$20))-SUM($P1156:AN1156)</f>
        <v>#VALUE!</v>
      </c>
      <c r="AP1156" s="446" t="e">
        <f>IF(OR($B1156="",MIN(AP$38,$D$19)&lt;MAX($P$708*($B1156+IF($R$17="Distrato",$I$38-1,0)),IF(AND($L$711=0,$P$708=0),"",$L$711-1),IF($R$17="Distrato",$E1156,0))),0,YEARFRAC(MAX($P$708*($B1156+IF($R$17="Distrato",$I$38-1,0)),IF(AND($L$711=0,$P$708=0),"",$L$711-1),IF($R$17="Distrato",$E1156,0)),MIN(AP$38,$D$19),$P$20))-SUM($P1156:AO1156)</f>
        <v>#VALUE!</v>
      </c>
      <c r="AQ1156" s="446" t="e">
        <f>IF(OR($B1156="",MIN(AQ$38,$D$19)&lt;MAX($P$708*($B1156+IF($R$17="Distrato",$I$38-1,0)),IF(AND($L$711=0,$P$708=0),"",$L$711-1),IF($R$17="Distrato",$E1156,0))),0,YEARFRAC(MAX($P$708*($B1156+IF($R$17="Distrato",$I$38-1,0)),IF(AND($L$711=0,$P$708=0),"",$L$711-1),IF($R$17="Distrato",$E1156,0)),MIN(AQ$38,$D$19),$P$20))-SUM($P1156:AP1156)</f>
        <v>#VALUE!</v>
      </c>
      <c r="AR1156" s="446" t="e">
        <f>IF(OR($B1156="",MIN(AR$38,$D$19)&lt;MAX($P$708*($B1156+IF($R$17="Distrato",$I$38-1,0)),IF(AND($L$711=0,$P$708=0),"",$L$711-1),IF($R$17="Distrato",$E1156,0))),0,YEARFRAC(MAX($P$708*($B1156+IF($R$17="Distrato",$I$38-1,0)),IF(AND($L$711=0,$P$708=0),"",$L$711-1),IF($R$17="Distrato",$E1156,0)),MIN(AR$38,$D$19),$P$20))-SUM($P1156:AQ1156)</f>
        <v>#VALUE!</v>
      </c>
      <c r="AS1156" s="446" t="e">
        <f>IF(OR($B1156="",MIN(AS$38,$D$19)&lt;MAX($P$708*($B1156+IF($R$17="Distrato",$I$38-1,0)),IF(AND($L$711=0,$P$708=0),"",$L$711-1),IF($R$17="Distrato",$E1156,0))),0,YEARFRAC(MAX($P$708*($B1156+IF($R$17="Distrato",$I$38-1,0)),IF(AND($L$711=0,$P$708=0),"",$L$711-1),IF($R$17="Distrato",$E1156,0)),MIN(AS$38,$D$19),$P$20))-SUM($P1156:AR1156)</f>
        <v>#VALUE!</v>
      </c>
      <c r="AT1156" s="446" t="e">
        <f>IF(OR($B1156="",MIN(AT$38,$D$19)&lt;MAX($P$708*($B1156+IF($R$17="Distrato",$I$38-1,0)),IF(AND($L$711=0,$P$708=0),"",$L$711-1),IF($R$17="Distrato",$E1156,0))),0,YEARFRAC(MAX($P$708*($B1156+IF($R$17="Distrato",$I$38-1,0)),IF(AND($L$711=0,$P$708=0),"",$L$711-1),IF($R$17="Distrato",$E1156,0)),MIN(AT$38,$D$19),$P$20))-SUM($P1156:AS1156)</f>
        <v>#VALUE!</v>
      </c>
      <c r="AU1156" s="446" t="e">
        <f>IF(OR($B1156="",MIN(AU$38,$D$19)&lt;MAX($P$708*($B1156+IF($R$17="Distrato",$I$38-1,0)),IF(AND($L$711=0,$P$708=0),"",$L$711-1),IF($R$17="Distrato",$E1156,0))),0,YEARFRAC(MAX($P$708*($B1156+IF($R$17="Distrato",$I$38-1,0)),IF(AND($L$711=0,$P$708=0),"",$L$711-1),IF($R$17="Distrato",$E1156,0)),MIN(AU$38,$D$19),$P$20))-SUM($P1156:AT1156)</f>
        <v>#VALUE!</v>
      </c>
      <c r="AV1156" s="446" t="e">
        <f>IF(OR($B1156="",MIN(AV$38,$D$19)&lt;MAX($P$708*($B1156+IF($R$17="Distrato",$I$38-1,0)),IF(AND($L$711=0,$P$708=0),"",$L$711-1),IF($R$17="Distrato",$E1156,0))),0,YEARFRAC(MAX($P$708*($B1156+IF($R$17="Distrato",$I$38-1,0)),IF(AND($L$711=0,$P$708=0),"",$L$711-1),IF($R$17="Distrato",$E1156,0)),MIN(AV$38,$D$19),$P$20))-SUM($P1156:AU1156)</f>
        <v>#VALUE!</v>
      </c>
      <c r="AW1156" s="446" t="e">
        <f>IF(OR($B1156="",MIN(AW$38,$D$19)&lt;MAX($P$708*($B1156+IF($R$17="Distrato",$I$38-1,0)),IF(AND($L$711=0,$P$708=0),"",$L$711-1),IF($R$17="Distrato",$E1156,0))),0,YEARFRAC(MAX($P$708*($B1156+IF($R$17="Distrato",$I$38-1,0)),IF(AND($L$711=0,$P$708=0),"",$L$711-1),IF($R$17="Distrato",$E1156,0)),MIN(AW$38,$D$19),$P$20))-SUM($P1156:AV1156)</f>
        <v>#VALUE!</v>
      </c>
      <c r="AX1156" s="446" t="e">
        <f>IF(OR($B1156="",MIN(AX$38,$D$19)&lt;MAX($P$708*($B1156+IF($R$17="Distrato",$I$38-1,0)),IF(AND($L$711=0,$P$708=0),"",$L$711-1),IF($R$17="Distrato",$E1156,0))),0,YEARFRAC(MAX($P$708*($B1156+IF($R$17="Distrato",$I$38-1,0)),IF(AND($L$711=0,$P$708=0),"",$L$711-1),IF($R$17="Distrato",$E1156,0)),MIN(AX$38,$D$19),$P$20))-SUM($P1156:AW1156)</f>
        <v>#VALUE!</v>
      </c>
      <c r="AY1156" s="446" t="e">
        <f>IF(OR($B1156="",MIN(AY$38,$D$19)&lt;MAX($P$708*($B1156+IF($R$17="Distrato",$I$38-1,0)),IF(AND($L$711=0,$P$708=0),"",$L$711-1),IF($R$17="Distrato",$E1156,0))),0,YEARFRAC(MAX($P$708*($B1156+IF($R$17="Distrato",$I$38-1,0)),IF(AND($L$711=0,$P$708=0),"",$L$711-1),IF($R$17="Distrato",$E1156,0)),MIN(AY$38,$D$19),$P$20))-SUM($P1156:AX1156)</f>
        <v>#VALUE!</v>
      </c>
      <c r="AZ1156" s="446" t="e">
        <f>IF(OR($B1156="",MIN(AZ$38,$D$19)&lt;MAX($P$708*($B1156+IF($R$17="Distrato",$I$38-1,0)),IF(AND($L$711=0,$P$708=0),"",$L$711-1),IF($R$17="Distrato",$E1156,0))),0,YEARFRAC(MAX($P$708*($B1156+IF($R$17="Distrato",$I$38-1,0)),IF(AND($L$711=0,$P$708=0),"",$L$711-1),IF($R$17="Distrato",$E1156,0)),MIN(AZ$38,$D$19),$P$20))-SUM($P1156:AY1156)</f>
        <v>#VALUE!</v>
      </c>
      <c r="BA1156" s="446" t="e">
        <f>IF(OR($B1156="",MIN(BA$38,$D$19)&lt;MAX($P$708*($B1156+IF($R$17="Distrato",$I$38-1,0)),IF(AND($L$711=0,$P$708=0),"",$L$711-1),IF($R$17="Distrato",$E1156,0))),0,YEARFRAC(MAX($P$708*($B1156+IF($R$17="Distrato",$I$38-1,0)),IF(AND($L$711=0,$P$708=0),"",$L$711-1),IF($R$17="Distrato",$E1156,0)),MIN(BA$38,$D$19),$P$20))-SUM($P1156:AZ1156)</f>
        <v>#VALUE!</v>
      </c>
      <c r="BB1156" s="447"/>
    </row>
    <row r="1157" spans="1:54" s="446" customFormat="1" ht="11.25" hidden="1" customHeight="1" x14ac:dyDescent="0.2">
      <c r="A1157" s="235"/>
      <c r="B1157" s="236"/>
      <c r="C1157" s="29" t="str">
        <f>IF(B1157="","",IF($L$709=$BL$25,VLOOKUP(DATE(YEAR($D$19),MONTH($D$19)-1,1),ÍNDICES!$A:$DE,HLOOKUP($BL$25,ÍNDICES!$B$3:$T$4,2)+11)-VLOOKUP(B1157,ÍNDICES!$A:$DE,HLOOKUP($BL$25,ÍNDICES!$B$3:$T$4,2)+11)+1%,IF(C$712=$W$26,$J$35,IF(ISERROR(IF(B1157&gt;$D$19,1,VLOOKUP(DATE(YEAR(B1157),MONTH(B1157)+IF($C$709=$S$23,1,0),1),ÍNDICES!$A:$DE,$Z$709+1))),"",IF(B1157&gt;$D$19,1,VLOOKUP(DATE(YEAR(B1157),MONTH(B1157)+IF($C$709=$S$23,1,0),1),ÍNDICES!$A:$DE,$Z$709+1))))))</f>
        <v/>
      </c>
      <c r="D1157" s="155"/>
      <c r="E1157" s="88"/>
      <c r="F1157" s="88"/>
      <c r="G1157" s="88"/>
      <c r="H1157" s="118"/>
      <c r="I1157" s="182">
        <f t="shared" si="157"/>
        <v>0</v>
      </c>
      <c r="J1157" s="20">
        <f t="shared" ca="1" si="158"/>
        <v>0</v>
      </c>
      <c r="K1157" s="5">
        <f t="shared" ca="1" si="159"/>
        <v>0</v>
      </c>
      <c r="L1157" s="61">
        <f t="shared" ca="1" si="160"/>
        <v>0</v>
      </c>
      <c r="M1157" s="64">
        <f t="shared" si="161"/>
        <v>0</v>
      </c>
      <c r="N1157" s="151"/>
      <c r="O1157" s="5">
        <f t="shared" ca="1" si="162"/>
        <v>0</v>
      </c>
      <c r="P1157" s="446" t="e">
        <f t="shared" si="163"/>
        <v>#VALUE!</v>
      </c>
      <c r="Q1157" s="446" t="e">
        <f>IF(OR($B1157="",MIN(Q$38,$D$19)&lt;MAX($P$708*($B1157+IF($R$17="Distrato",$I$38-1,0)),IF(AND($L$711=0,$P$708=0),"",$L$711-1),IF($R$17="Distrato",$E1157,0))),0,YEARFRAC(MAX($P$708*($B1157+IF($R$17="Distrato",$I$38-1,0)),IF(AND($L$711=0,$P$708=0),"",$L$711-1),IF($R$17="Distrato",$E1157,0)),MIN(Q$38,$D$19),$P$20))-SUM($P1157:P1157)</f>
        <v>#VALUE!</v>
      </c>
      <c r="R1157" s="446" t="e">
        <f>IF(OR($B1157="",MIN(R$38,$D$19)&lt;MAX($P$708*($B1157+IF($R$17="Distrato",$I$38-1,0)),IF(AND($L$711=0,$P$708=0),"",$L$711-1),IF($R$17="Distrato",$E1157,0))),0,YEARFRAC(MAX($P$708*($B1157+IF($R$17="Distrato",$I$38-1,0)),IF(AND($L$711=0,$P$708=0),"",$L$711-1),IF($R$17="Distrato",$E1157,0)),MIN(R$38,$D$19),$P$20))-SUM($P1157:Q1157)</f>
        <v>#VALUE!</v>
      </c>
      <c r="S1157" s="446" t="e">
        <f>IF(OR($B1157="",MIN(S$38,$D$19)&lt;MAX($P$708*($B1157+IF($R$17="Distrato",$I$38-1,0)),IF(AND($L$711=0,$P$708=0),"",$L$711-1),IF($R$17="Distrato",$E1157,0))),0,YEARFRAC(MAX($P$708*($B1157+IF($R$17="Distrato",$I$38-1,0)),IF(AND($L$711=0,$P$708=0),"",$L$711-1),IF($R$17="Distrato",$E1157,0)),MIN(S$38,$D$19),$P$20))-SUM($P1157:R1157)</f>
        <v>#VALUE!</v>
      </c>
      <c r="T1157" s="446" t="e">
        <f>IF(OR($B1157="",MIN(T$38,$D$19)&lt;MAX($P$708*($B1157+IF($R$17="Distrato",$I$38-1,0)),IF(AND($L$711=0,$P$708=0),"",$L$711-1),IF($R$17="Distrato",$E1157,0))),0,YEARFRAC(MAX($P$708*($B1157+IF($R$17="Distrato",$I$38-1,0)),IF(AND($L$711=0,$P$708=0),"",$L$711-1),IF($R$17="Distrato",$E1157,0)),MIN(T$38,$D$19),$P$20))-SUM($P1157:S1157)</f>
        <v>#VALUE!</v>
      </c>
      <c r="U1157" s="446" t="e">
        <f>IF(OR($B1157="",MIN(U$38,$D$19)&lt;MAX($P$708*($B1157+IF($R$17="Distrato",$I$38-1,0)),IF(AND($L$711=0,$P$708=0),"",$L$711-1),IF($R$17="Distrato",$E1157,0))),0,YEARFRAC(MAX($P$708*($B1157+IF($R$17="Distrato",$I$38-1,0)),IF(AND($L$711=0,$P$708=0),"",$L$711-1),IF($R$17="Distrato",$E1157,0)),MIN(U$38,$D$19),$P$20))-SUM($P1157:T1157)</f>
        <v>#VALUE!</v>
      </c>
      <c r="V1157" s="446" t="e">
        <f>IF(OR($B1157="",MIN(V$38,$D$19)&lt;MAX($P$708*($B1157+IF($R$17="Distrato",$I$38-1,0)),IF(AND($L$711=0,$P$708=0),"",$L$711-1),IF($R$17="Distrato",$E1157,0))),0,YEARFRAC(MAX($P$708*($B1157+IF($R$17="Distrato",$I$38-1,0)),IF(AND($L$711=0,$P$708=0),"",$L$711-1),IF($R$17="Distrato",$E1157,0)),MIN(V$38,$D$19),$P$20))-SUM($P1157:U1157)</f>
        <v>#VALUE!</v>
      </c>
      <c r="W1157" s="446" t="e">
        <f>IF(OR($B1157="",MIN(W$38,$D$19)&lt;MAX($P$708*($B1157+IF($R$17="Distrato",$I$38-1,0)),IF(AND($L$711=0,$P$708=0),"",$L$711-1),IF($R$17="Distrato",$E1157,0))),0,YEARFRAC(MAX($P$708*($B1157+IF($R$17="Distrato",$I$38-1,0)),IF(AND($L$711=0,$P$708=0),"",$L$711-1),IF($R$17="Distrato",$E1157,0)),MIN(W$38,$D$19),$P$20))-SUM($P1157:V1157)</f>
        <v>#VALUE!</v>
      </c>
      <c r="X1157" s="446" t="e">
        <f>IF(OR($B1157="",MIN(X$38,$D$19)&lt;MAX($P$708*($B1157+IF($R$17="Distrato",$I$38-1,0)),IF(AND($L$711=0,$P$708=0),"",$L$711-1),IF($R$17="Distrato",$E1157,0))),0,YEARFRAC(MAX($P$708*($B1157+IF($R$17="Distrato",$I$38-1,0)),IF(AND($L$711=0,$P$708=0),"",$L$711-1),IF($R$17="Distrato",$E1157,0)),MIN(X$38,$D$19),$P$20))-SUM($P1157:W1157)</f>
        <v>#VALUE!</v>
      </c>
      <c r="Y1157" s="446" t="e">
        <f>IF(OR($B1157="",MIN(Y$38,$D$19)&lt;MAX($P$708*($B1157+IF($R$17="Distrato",$I$38-1,0)),IF(AND($L$711=0,$P$708=0),"",$L$711-1),IF($R$17="Distrato",$E1157,0))),0,YEARFRAC(MAX($P$708*($B1157+IF($R$17="Distrato",$I$38-1,0)),IF(AND($L$711=0,$P$708=0),"",$L$711-1),IF($R$17="Distrato",$E1157,0)),MIN(Y$38,$D$19),$P$20))-SUM($P1157:X1157)</f>
        <v>#VALUE!</v>
      </c>
      <c r="Z1157" s="446" t="e">
        <f>IF(OR($B1157="",MIN(Z$38,$D$19)&lt;MAX($P$708*($B1157+IF($R$17="Distrato",$I$38-1,0)),IF(AND($L$711=0,$P$708=0),"",$L$711-1),IF($R$17="Distrato",$E1157,0))),0,YEARFRAC(MAX($P$708*($B1157+IF($R$17="Distrato",$I$38-1,0)),IF(AND($L$711=0,$P$708=0),"",$L$711-1),IF($R$17="Distrato",$E1157,0)),MIN(Z$38,$D$19),$P$20))-SUM($P1157:Y1157)</f>
        <v>#VALUE!</v>
      </c>
      <c r="AA1157" s="446" t="e">
        <f>IF(OR($B1157="",MIN(AA$38,$D$19)&lt;MAX($P$708*($B1157+IF($R$17="Distrato",$I$38-1,0)),IF(AND($L$711=0,$P$708=0),"",$L$711-1),IF($R$17="Distrato",$E1157,0))),0,YEARFRAC(MAX($P$708*($B1157+IF($R$17="Distrato",$I$38-1,0)),IF(AND($L$711=0,$P$708=0),"",$L$711-1),IF($R$17="Distrato",$E1157,0)),MIN(AA$38,$D$19),$P$20))-SUM($P1157:Z1157)</f>
        <v>#VALUE!</v>
      </c>
      <c r="AB1157" s="446" t="e">
        <f>IF(OR($B1157="",MIN(AB$38,$D$19)&lt;MAX($P$708*($B1157+IF($R$17="Distrato",$I$38-1,0)),IF(AND($L$711=0,$P$708=0),"",$L$711-1),IF($R$17="Distrato",$E1157,0))),0,YEARFRAC(MAX($P$708*($B1157+IF($R$17="Distrato",$I$38-1,0)),IF(AND($L$711=0,$P$708=0),"",$L$711-1),IF($R$17="Distrato",$E1157,0)),MIN(AB$38,$D$19),$P$20))-SUM($P1157:AA1157)</f>
        <v>#VALUE!</v>
      </c>
      <c r="AC1157" s="446" t="e">
        <f>IF(OR($B1157="",MIN(AC$38,$D$19)&lt;MAX($P$708*($B1157+IF($R$17="Distrato",$I$38-1,0)),IF(AND($L$711=0,$P$708=0),"",$L$711-1),IF($R$17="Distrato",$E1157,0))),0,YEARFRAC(MAX($P$708*($B1157+IF($R$17="Distrato",$I$38-1,0)),IF(AND($L$711=0,$P$708=0),"",$L$711-1),IF($R$17="Distrato",$E1157,0)),MIN(AC$38,$D$19),$P$20))-SUM($P1157:AB1157)</f>
        <v>#VALUE!</v>
      </c>
      <c r="AD1157" s="446" t="e">
        <f>IF(OR($B1157="",MIN(AD$38,$D$19)&lt;MAX($P$708*($B1157+IF($R$17="Distrato",$I$38-1,0)),IF(AND($L$711=0,$P$708=0),"",$L$711-1),IF($R$17="Distrato",$E1157,0))),0,YEARFRAC(MAX($P$708*($B1157+IF($R$17="Distrato",$I$38-1,0)),IF(AND($L$711=0,$P$708=0),"",$L$711-1),IF($R$17="Distrato",$E1157,0)),MIN(AD$38,$D$19),$P$20))-SUM($P1157:AC1157)</f>
        <v>#VALUE!</v>
      </c>
      <c r="AE1157" s="446" t="e">
        <f>IF(OR($B1157="",MIN(AE$38,$D$19)&lt;MAX($P$708*($B1157+IF($R$17="Distrato",$I$38-1,0)),IF(AND($L$711=0,$P$708=0),"",$L$711-1),IF($R$17="Distrato",$E1157,0))),0,YEARFRAC(MAX($P$708*($B1157+IF($R$17="Distrato",$I$38-1,0)),IF(AND($L$711=0,$P$708=0),"",$L$711-1),IF($R$17="Distrato",$E1157,0)),MIN(AE$38,$D$19),$P$20))-SUM($P1157:AD1157)</f>
        <v>#VALUE!</v>
      </c>
      <c r="AF1157" s="446" t="e">
        <f>IF(OR($B1157="",MIN(AF$38,$D$19)&lt;MAX($P$708*($B1157+IF($R$17="Distrato",$I$38-1,0)),IF(AND($L$711=0,$P$708=0),"",$L$711-1),IF($R$17="Distrato",$E1157,0))),0,YEARFRAC(MAX($P$708*($B1157+IF($R$17="Distrato",$I$38-1,0)),IF(AND($L$711=0,$P$708=0),"",$L$711-1),IF($R$17="Distrato",$E1157,0)),MIN(AF$38,$D$19),$P$20))-SUM($P1157:AE1157)</f>
        <v>#VALUE!</v>
      </c>
      <c r="AG1157" s="446" t="e">
        <f>IF(OR($B1157="",MIN(AG$38,$D$19)&lt;MAX($P$708*($B1157+IF($R$17="Distrato",$I$38-1,0)),IF(AND($L$711=0,$P$708=0),"",$L$711-1),IF($R$17="Distrato",$E1157,0))),0,YEARFRAC(MAX($P$708*($B1157+IF($R$17="Distrato",$I$38-1,0)),IF(AND($L$711=0,$P$708=0),"",$L$711-1),IF($R$17="Distrato",$E1157,0)),MIN(AG$38,$D$19),$P$20))-SUM($P1157:AF1157)</f>
        <v>#VALUE!</v>
      </c>
      <c r="AH1157" s="446" t="e">
        <f>IF(OR($B1157="",MIN(AH$38,$D$19)&lt;MAX($P$708*($B1157+IF($R$17="Distrato",$I$38-1,0)),IF(AND($L$711=0,$P$708=0),"",$L$711-1),IF($R$17="Distrato",$E1157,0))),0,YEARFRAC(MAX($P$708*($B1157+IF($R$17="Distrato",$I$38-1,0)),IF(AND($L$711=0,$P$708=0),"",$L$711-1),IF($R$17="Distrato",$E1157,0)),MIN(AH$38,$D$19),$P$20))-SUM($P1157:AG1157)</f>
        <v>#VALUE!</v>
      </c>
      <c r="AI1157" s="446" t="e">
        <f>IF(OR($B1157="",MIN(AI$38,$D$19)&lt;MAX($P$708*($B1157+IF($R$17="Distrato",$I$38-1,0)),IF(AND($L$711=0,$P$708=0),"",$L$711-1),IF($R$17="Distrato",$E1157,0))),0,YEARFRAC(MAX($P$708*($B1157+IF($R$17="Distrato",$I$38-1,0)),IF(AND($L$711=0,$P$708=0),"",$L$711-1),IF($R$17="Distrato",$E1157,0)),MIN(AI$38,$D$19),$P$20))-SUM($P1157:AH1157)</f>
        <v>#VALUE!</v>
      </c>
      <c r="AJ1157" s="446" t="e">
        <f>IF(OR($B1157="",MIN(AJ$38,$D$19)&lt;MAX($P$708*($B1157+IF($R$17="Distrato",$I$38-1,0)),IF(AND($L$711=0,$P$708=0),"",$L$711-1),IF($R$17="Distrato",$E1157,0))),0,YEARFRAC(MAX($P$708*($B1157+IF($R$17="Distrato",$I$38-1,0)),IF(AND($L$711=0,$P$708=0),"",$L$711-1),IF($R$17="Distrato",$E1157,0)),MIN(AJ$38,$D$19),$P$20))-SUM($P1157:AI1157)</f>
        <v>#VALUE!</v>
      </c>
      <c r="AK1157" s="446" t="e">
        <f>IF(OR($B1157="",MIN(AK$38,$D$19)&lt;MAX($P$708*($B1157+IF($R$17="Distrato",$I$38-1,0)),IF(AND($L$711=0,$P$708=0),"",$L$711-1),IF($R$17="Distrato",$E1157,0))),0,YEARFRAC(MAX($P$708*($B1157+IF($R$17="Distrato",$I$38-1,0)),IF(AND($L$711=0,$P$708=0),"",$L$711-1),IF($R$17="Distrato",$E1157,0)),MIN(AK$38,$D$19),$P$20))-SUM($P1157:AJ1157)</f>
        <v>#VALUE!</v>
      </c>
      <c r="AL1157" s="446" t="e">
        <f>IF(OR($B1157="",MIN(AL$38,$D$19)&lt;MAX($P$708*($B1157+IF($R$17="Distrato",$I$38-1,0)),IF(AND($L$711=0,$P$708=0),"",$L$711-1),IF($R$17="Distrato",$E1157,0))),0,YEARFRAC(MAX($P$708*($B1157+IF($R$17="Distrato",$I$38-1,0)),IF(AND($L$711=0,$P$708=0),"",$L$711-1),IF($R$17="Distrato",$E1157,0)),MIN(AL$38,$D$19),$P$20))-SUM($P1157:AK1157)</f>
        <v>#VALUE!</v>
      </c>
      <c r="AM1157" s="446" t="e">
        <f>IF(OR($B1157="",MIN(AM$38,$D$19)&lt;MAX($P$708*($B1157+IF($R$17="Distrato",$I$38-1,0)),IF(AND($L$711=0,$P$708=0),"",$L$711-1),IF($R$17="Distrato",$E1157,0))),0,YEARFRAC(MAX($P$708*($B1157+IF($R$17="Distrato",$I$38-1,0)),IF(AND($L$711=0,$P$708=0),"",$L$711-1),IF($R$17="Distrato",$E1157,0)),MIN(AM$38,$D$19),$P$20))-SUM($P1157:AL1157)</f>
        <v>#VALUE!</v>
      </c>
      <c r="AN1157" s="446" t="e">
        <f>IF(OR($B1157="",MIN(AN$38,$D$19)&lt;MAX($P$708*($B1157+IF($R$17="Distrato",$I$38-1,0)),IF(AND($L$711=0,$P$708=0),"",$L$711-1),IF($R$17="Distrato",$E1157,0))),0,YEARFRAC(MAX($P$708*($B1157+IF($R$17="Distrato",$I$38-1,0)),IF(AND($L$711=0,$P$708=0),"",$L$711-1),IF($R$17="Distrato",$E1157,0)),MIN(AN$38,$D$19),$P$20))-SUM($P1157:AM1157)</f>
        <v>#VALUE!</v>
      </c>
      <c r="AO1157" s="446" t="e">
        <f>IF(OR($B1157="",MIN(AO$38,$D$19)&lt;MAX($P$708*($B1157+IF($R$17="Distrato",$I$38-1,0)),IF(AND($L$711=0,$P$708=0),"",$L$711-1),IF($R$17="Distrato",$E1157,0))),0,YEARFRAC(MAX($P$708*($B1157+IF($R$17="Distrato",$I$38-1,0)),IF(AND($L$711=0,$P$708=0),"",$L$711-1),IF($R$17="Distrato",$E1157,0)),MIN(AO$38,$D$19),$P$20))-SUM($P1157:AN1157)</f>
        <v>#VALUE!</v>
      </c>
      <c r="AP1157" s="446" t="e">
        <f>IF(OR($B1157="",MIN(AP$38,$D$19)&lt;MAX($P$708*($B1157+IF($R$17="Distrato",$I$38-1,0)),IF(AND($L$711=0,$P$708=0),"",$L$711-1),IF($R$17="Distrato",$E1157,0))),0,YEARFRAC(MAX($P$708*($B1157+IF($R$17="Distrato",$I$38-1,0)),IF(AND($L$711=0,$P$708=0),"",$L$711-1),IF($R$17="Distrato",$E1157,0)),MIN(AP$38,$D$19),$P$20))-SUM($P1157:AO1157)</f>
        <v>#VALUE!</v>
      </c>
      <c r="AQ1157" s="446" t="e">
        <f>IF(OR($B1157="",MIN(AQ$38,$D$19)&lt;MAX($P$708*($B1157+IF($R$17="Distrato",$I$38-1,0)),IF(AND($L$711=0,$P$708=0),"",$L$711-1),IF($R$17="Distrato",$E1157,0))),0,YEARFRAC(MAX($P$708*($B1157+IF($R$17="Distrato",$I$38-1,0)),IF(AND($L$711=0,$P$708=0),"",$L$711-1),IF($R$17="Distrato",$E1157,0)),MIN(AQ$38,$D$19),$P$20))-SUM($P1157:AP1157)</f>
        <v>#VALUE!</v>
      </c>
      <c r="AR1157" s="446" t="e">
        <f>IF(OR($B1157="",MIN(AR$38,$D$19)&lt;MAX($P$708*($B1157+IF($R$17="Distrato",$I$38-1,0)),IF(AND($L$711=0,$P$708=0),"",$L$711-1),IF($R$17="Distrato",$E1157,0))),0,YEARFRAC(MAX($P$708*($B1157+IF($R$17="Distrato",$I$38-1,0)),IF(AND($L$711=0,$P$708=0),"",$L$711-1),IF($R$17="Distrato",$E1157,0)),MIN(AR$38,$D$19),$P$20))-SUM($P1157:AQ1157)</f>
        <v>#VALUE!</v>
      </c>
      <c r="AS1157" s="446" t="e">
        <f>IF(OR($B1157="",MIN(AS$38,$D$19)&lt;MAX($P$708*($B1157+IF($R$17="Distrato",$I$38-1,0)),IF(AND($L$711=0,$P$708=0),"",$L$711-1),IF($R$17="Distrato",$E1157,0))),0,YEARFRAC(MAX($P$708*($B1157+IF($R$17="Distrato",$I$38-1,0)),IF(AND($L$711=0,$P$708=0),"",$L$711-1),IF($R$17="Distrato",$E1157,0)),MIN(AS$38,$D$19),$P$20))-SUM($P1157:AR1157)</f>
        <v>#VALUE!</v>
      </c>
      <c r="AT1157" s="446" t="e">
        <f>IF(OR($B1157="",MIN(AT$38,$D$19)&lt;MAX($P$708*($B1157+IF($R$17="Distrato",$I$38-1,0)),IF(AND($L$711=0,$P$708=0),"",$L$711-1),IF($R$17="Distrato",$E1157,0))),0,YEARFRAC(MAX($P$708*($B1157+IF($R$17="Distrato",$I$38-1,0)),IF(AND($L$711=0,$P$708=0),"",$L$711-1),IF($R$17="Distrato",$E1157,0)),MIN(AT$38,$D$19),$P$20))-SUM($P1157:AS1157)</f>
        <v>#VALUE!</v>
      </c>
      <c r="AU1157" s="446" t="e">
        <f>IF(OR($B1157="",MIN(AU$38,$D$19)&lt;MAX($P$708*($B1157+IF($R$17="Distrato",$I$38-1,0)),IF(AND($L$711=0,$P$708=0),"",$L$711-1),IF($R$17="Distrato",$E1157,0))),0,YEARFRAC(MAX($P$708*($B1157+IF($R$17="Distrato",$I$38-1,0)),IF(AND($L$711=0,$P$708=0),"",$L$711-1),IF($R$17="Distrato",$E1157,0)),MIN(AU$38,$D$19),$P$20))-SUM($P1157:AT1157)</f>
        <v>#VALUE!</v>
      </c>
      <c r="AV1157" s="446" t="e">
        <f>IF(OR($B1157="",MIN(AV$38,$D$19)&lt;MAX($P$708*($B1157+IF($R$17="Distrato",$I$38-1,0)),IF(AND($L$711=0,$P$708=0),"",$L$711-1),IF($R$17="Distrato",$E1157,0))),0,YEARFRAC(MAX($P$708*($B1157+IF($R$17="Distrato",$I$38-1,0)),IF(AND($L$711=0,$P$708=0),"",$L$711-1),IF($R$17="Distrato",$E1157,0)),MIN(AV$38,$D$19),$P$20))-SUM($P1157:AU1157)</f>
        <v>#VALUE!</v>
      </c>
      <c r="AW1157" s="446" t="e">
        <f>IF(OR($B1157="",MIN(AW$38,$D$19)&lt;MAX($P$708*($B1157+IF($R$17="Distrato",$I$38-1,0)),IF(AND($L$711=0,$P$708=0),"",$L$711-1),IF($R$17="Distrato",$E1157,0))),0,YEARFRAC(MAX($P$708*($B1157+IF($R$17="Distrato",$I$38-1,0)),IF(AND($L$711=0,$P$708=0),"",$L$711-1),IF($R$17="Distrato",$E1157,0)),MIN(AW$38,$D$19),$P$20))-SUM($P1157:AV1157)</f>
        <v>#VALUE!</v>
      </c>
      <c r="AX1157" s="446" t="e">
        <f>IF(OR($B1157="",MIN(AX$38,$D$19)&lt;MAX($P$708*($B1157+IF($R$17="Distrato",$I$38-1,0)),IF(AND($L$711=0,$P$708=0),"",$L$711-1),IF($R$17="Distrato",$E1157,0))),0,YEARFRAC(MAX($P$708*($B1157+IF($R$17="Distrato",$I$38-1,0)),IF(AND($L$711=0,$P$708=0),"",$L$711-1),IF($R$17="Distrato",$E1157,0)),MIN(AX$38,$D$19),$P$20))-SUM($P1157:AW1157)</f>
        <v>#VALUE!</v>
      </c>
      <c r="AY1157" s="446" t="e">
        <f>IF(OR($B1157="",MIN(AY$38,$D$19)&lt;MAX($P$708*($B1157+IF($R$17="Distrato",$I$38-1,0)),IF(AND($L$711=0,$P$708=0),"",$L$711-1),IF($R$17="Distrato",$E1157,0))),0,YEARFRAC(MAX($P$708*($B1157+IF($R$17="Distrato",$I$38-1,0)),IF(AND($L$711=0,$P$708=0),"",$L$711-1),IF($R$17="Distrato",$E1157,0)),MIN(AY$38,$D$19),$P$20))-SUM($P1157:AX1157)</f>
        <v>#VALUE!</v>
      </c>
      <c r="AZ1157" s="446" t="e">
        <f>IF(OR($B1157="",MIN(AZ$38,$D$19)&lt;MAX($P$708*($B1157+IF($R$17="Distrato",$I$38-1,0)),IF(AND($L$711=0,$P$708=0),"",$L$711-1),IF($R$17="Distrato",$E1157,0))),0,YEARFRAC(MAX($P$708*($B1157+IF($R$17="Distrato",$I$38-1,0)),IF(AND($L$711=0,$P$708=0),"",$L$711-1),IF($R$17="Distrato",$E1157,0)),MIN(AZ$38,$D$19),$P$20))-SUM($P1157:AY1157)</f>
        <v>#VALUE!</v>
      </c>
      <c r="BA1157" s="446" t="e">
        <f>IF(OR($B1157="",MIN(BA$38,$D$19)&lt;MAX($P$708*($B1157+IF($R$17="Distrato",$I$38-1,0)),IF(AND($L$711=0,$P$708=0),"",$L$711-1),IF($R$17="Distrato",$E1157,0))),0,YEARFRAC(MAX($P$708*($B1157+IF($R$17="Distrato",$I$38-1,0)),IF(AND($L$711=0,$P$708=0),"",$L$711-1),IF($R$17="Distrato",$E1157,0)),MIN(BA$38,$D$19),$P$20))-SUM($P1157:AZ1157)</f>
        <v>#VALUE!</v>
      </c>
      <c r="BB1157" s="447"/>
    </row>
    <row r="1158" spans="1:54" s="446" customFormat="1" ht="11.25" hidden="1" customHeight="1" x14ac:dyDescent="0.2">
      <c r="A1158" s="235"/>
      <c r="B1158" s="236"/>
      <c r="C1158" s="29" t="str">
        <f>IF(B1158="","",IF($L$709=$BL$25,VLOOKUP(DATE(YEAR($D$19),MONTH($D$19)-1,1),ÍNDICES!$A:$DE,HLOOKUP($BL$25,ÍNDICES!$B$3:$T$4,2)+11)-VLOOKUP(B1158,ÍNDICES!$A:$DE,HLOOKUP($BL$25,ÍNDICES!$B$3:$T$4,2)+11)+1%,IF(C$712=$W$26,$J$35,IF(ISERROR(IF(B1158&gt;$D$19,1,VLOOKUP(DATE(YEAR(B1158),MONTH(B1158)+IF($C$709=$S$23,1,0),1),ÍNDICES!$A:$DE,$Z$709+1))),"",IF(B1158&gt;$D$19,1,VLOOKUP(DATE(YEAR(B1158),MONTH(B1158)+IF($C$709=$S$23,1,0),1),ÍNDICES!$A:$DE,$Z$709+1))))))</f>
        <v/>
      </c>
      <c r="D1158" s="155"/>
      <c r="E1158" s="88"/>
      <c r="F1158" s="88"/>
      <c r="G1158" s="88"/>
      <c r="H1158" s="118"/>
      <c r="I1158" s="182">
        <f t="shared" si="157"/>
        <v>0</v>
      </c>
      <c r="J1158" s="20">
        <f t="shared" ca="1" si="158"/>
        <v>0</v>
      </c>
      <c r="K1158" s="5">
        <f t="shared" ca="1" si="159"/>
        <v>0</v>
      </c>
      <c r="L1158" s="61">
        <f t="shared" ca="1" si="160"/>
        <v>0</v>
      </c>
      <c r="M1158" s="64">
        <f t="shared" si="161"/>
        <v>0</v>
      </c>
      <c r="N1158" s="151"/>
      <c r="O1158" s="5">
        <f t="shared" ca="1" si="162"/>
        <v>0</v>
      </c>
      <c r="P1158" s="446" t="e">
        <f t="shared" si="163"/>
        <v>#VALUE!</v>
      </c>
      <c r="Q1158" s="446" t="e">
        <f>IF(OR($B1158="",MIN(Q$38,$D$19)&lt;MAX($P$708*($B1158+IF($R$17="Distrato",$I$38-1,0)),IF(AND($L$711=0,$P$708=0),"",$L$711-1),IF($R$17="Distrato",$E1158,0))),0,YEARFRAC(MAX($P$708*($B1158+IF($R$17="Distrato",$I$38-1,0)),IF(AND($L$711=0,$P$708=0),"",$L$711-1),IF($R$17="Distrato",$E1158,0)),MIN(Q$38,$D$19),$P$20))-SUM($P1158:P1158)</f>
        <v>#VALUE!</v>
      </c>
      <c r="R1158" s="446" t="e">
        <f>IF(OR($B1158="",MIN(R$38,$D$19)&lt;MAX($P$708*($B1158+IF($R$17="Distrato",$I$38-1,0)),IF(AND($L$711=0,$P$708=0),"",$L$711-1),IF($R$17="Distrato",$E1158,0))),0,YEARFRAC(MAX($P$708*($B1158+IF($R$17="Distrato",$I$38-1,0)),IF(AND($L$711=0,$P$708=0),"",$L$711-1),IF($R$17="Distrato",$E1158,0)),MIN(R$38,$D$19),$P$20))-SUM($P1158:Q1158)</f>
        <v>#VALUE!</v>
      </c>
      <c r="S1158" s="446" t="e">
        <f>IF(OR($B1158="",MIN(S$38,$D$19)&lt;MAX($P$708*($B1158+IF($R$17="Distrato",$I$38-1,0)),IF(AND($L$711=0,$P$708=0),"",$L$711-1),IF($R$17="Distrato",$E1158,0))),0,YEARFRAC(MAX($P$708*($B1158+IF($R$17="Distrato",$I$38-1,0)),IF(AND($L$711=0,$P$708=0),"",$L$711-1),IF($R$17="Distrato",$E1158,0)),MIN(S$38,$D$19),$P$20))-SUM($P1158:R1158)</f>
        <v>#VALUE!</v>
      </c>
      <c r="T1158" s="446" t="e">
        <f>IF(OR($B1158="",MIN(T$38,$D$19)&lt;MAX($P$708*($B1158+IF($R$17="Distrato",$I$38-1,0)),IF(AND($L$711=0,$P$708=0),"",$L$711-1),IF($R$17="Distrato",$E1158,0))),0,YEARFRAC(MAX($P$708*($B1158+IF($R$17="Distrato",$I$38-1,0)),IF(AND($L$711=0,$P$708=0),"",$L$711-1),IF($R$17="Distrato",$E1158,0)),MIN(T$38,$D$19),$P$20))-SUM($P1158:S1158)</f>
        <v>#VALUE!</v>
      </c>
      <c r="U1158" s="446" t="e">
        <f>IF(OR($B1158="",MIN(U$38,$D$19)&lt;MAX($P$708*($B1158+IF($R$17="Distrato",$I$38-1,0)),IF(AND($L$711=0,$P$708=0),"",$L$711-1),IF($R$17="Distrato",$E1158,0))),0,YEARFRAC(MAX($P$708*($B1158+IF($R$17="Distrato",$I$38-1,0)),IF(AND($L$711=0,$P$708=0),"",$L$711-1),IF($R$17="Distrato",$E1158,0)),MIN(U$38,$D$19),$P$20))-SUM($P1158:T1158)</f>
        <v>#VALUE!</v>
      </c>
      <c r="V1158" s="446" t="e">
        <f>IF(OR($B1158="",MIN(V$38,$D$19)&lt;MAX($P$708*($B1158+IF($R$17="Distrato",$I$38-1,0)),IF(AND($L$711=0,$P$708=0),"",$L$711-1),IF($R$17="Distrato",$E1158,0))),0,YEARFRAC(MAX($P$708*($B1158+IF($R$17="Distrato",$I$38-1,0)),IF(AND($L$711=0,$P$708=0),"",$L$711-1),IF($R$17="Distrato",$E1158,0)),MIN(V$38,$D$19),$P$20))-SUM($P1158:U1158)</f>
        <v>#VALUE!</v>
      </c>
      <c r="W1158" s="446" t="e">
        <f>IF(OR($B1158="",MIN(W$38,$D$19)&lt;MAX($P$708*($B1158+IF($R$17="Distrato",$I$38-1,0)),IF(AND($L$711=0,$P$708=0),"",$L$711-1),IF($R$17="Distrato",$E1158,0))),0,YEARFRAC(MAX($P$708*($B1158+IF($R$17="Distrato",$I$38-1,0)),IF(AND($L$711=0,$P$708=0),"",$L$711-1),IF($R$17="Distrato",$E1158,0)),MIN(W$38,$D$19),$P$20))-SUM($P1158:V1158)</f>
        <v>#VALUE!</v>
      </c>
      <c r="X1158" s="446" t="e">
        <f>IF(OR($B1158="",MIN(X$38,$D$19)&lt;MAX($P$708*($B1158+IF($R$17="Distrato",$I$38-1,0)),IF(AND($L$711=0,$P$708=0),"",$L$711-1),IF($R$17="Distrato",$E1158,0))),0,YEARFRAC(MAX($P$708*($B1158+IF($R$17="Distrato",$I$38-1,0)),IF(AND($L$711=0,$P$708=0),"",$L$711-1),IF($R$17="Distrato",$E1158,0)),MIN(X$38,$D$19),$P$20))-SUM($P1158:W1158)</f>
        <v>#VALUE!</v>
      </c>
      <c r="Y1158" s="446" t="e">
        <f>IF(OR($B1158="",MIN(Y$38,$D$19)&lt;MAX($P$708*($B1158+IF($R$17="Distrato",$I$38-1,0)),IF(AND($L$711=0,$P$708=0),"",$L$711-1),IF($R$17="Distrato",$E1158,0))),0,YEARFRAC(MAX($P$708*($B1158+IF($R$17="Distrato",$I$38-1,0)),IF(AND($L$711=0,$P$708=0),"",$L$711-1),IF($R$17="Distrato",$E1158,0)),MIN(Y$38,$D$19),$P$20))-SUM($P1158:X1158)</f>
        <v>#VALUE!</v>
      </c>
      <c r="Z1158" s="446" t="e">
        <f>IF(OR($B1158="",MIN(Z$38,$D$19)&lt;MAX($P$708*($B1158+IF($R$17="Distrato",$I$38-1,0)),IF(AND($L$711=0,$P$708=0),"",$L$711-1),IF($R$17="Distrato",$E1158,0))),0,YEARFRAC(MAX($P$708*($B1158+IF($R$17="Distrato",$I$38-1,0)),IF(AND($L$711=0,$P$708=0),"",$L$711-1),IF($R$17="Distrato",$E1158,0)),MIN(Z$38,$D$19),$P$20))-SUM($P1158:Y1158)</f>
        <v>#VALUE!</v>
      </c>
      <c r="AA1158" s="446" t="e">
        <f>IF(OR($B1158="",MIN(AA$38,$D$19)&lt;MAX($P$708*($B1158+IF($R$17="Distrato",$I$38-1,0)),IF(AND($L$711=0,$P$708=0),"",$L$711-1),IF($R$17="Distrato",$E1158,0))),0,YEARFRAC(MAX($P$708*($B1158+IF($R$17="Distrato",$I$38-1,0)),IF(AND($L$711=0,$P$708=0),"",$L$711-1),IF($R$17="Distrato",$E1158,0)),MIN(AA$38,$D$19),$P$20))-SUM($P1158:Z1158)</f>
        <v>#VALUE!</v>
      </c>
      <c r="AB1158" s="446" t="e">
        <f>IF(OR($B1158="",MIN(AB$38,$D$19)&lt;MAX($P$708*($B1158+IF($R$17="Distrato",$I$38-1,0)),IF(AND($L$711=0,$P$708=0),"",$L$711-1),IF($R$17="Distrato",$E1158,0))),0,YEARFRAC(MAX($P$708*($B1158+IF($R$17="Distrato",$I$38-1,0)),IF(AND($L$711=0,$P$708=0),"",$L$711-1),IF($R$17="Distrato",$E1158,0)),MIN(AB$38,$D$19),$P$20))-SUM($P1158:AA1158)</f>
        <v>#VALUE!</v>
      </c>
      <c r="AC1158" s="446" t="e">
        <f>IF(OR($B1158="",MIN(AC$38,$D$19)&lt;MAX($P$708*($B1158+IF($R$17="Distrato",$I$38-1,0)),IF(AND($L$711=0,$P$708=0),"",$L$711-1),IF($R$17="Distrato",$E1158,0))),0,YEARFRAC(MAX($P$708*($B1158+IF($R$17="Distrato",$I$38-1,0)),IF(AND($L$711=0,$P$708=0),"",$L$711-1),IF($R$17="Distrato",$E1158,0)),MIN(AC$38,$D$19),$P$20))-SUM($P1158:AB1158)</f>
        <v>#VALUE!</v>
      </c>
      <c r="AD1158" s="446" t="e">
        <f>IF(OR($B1158="",MIN(AD$38,$D$19)&lt;MAX($P$708*($B1158+IF($R$17="Distrato",$I$38-1,0)),IF(AND($L$711=0,$P$708=0),"",$L$711-1),IF($R$17="Distrato",$E1158,0))),0,YEARFRAC(MAX($P$708*($B1158+IF($R$17="Distrato",$I$38-1,0)),IF(AND($L$711=0,$P$708=0),"",$L$711-1),IF($R$17="Distrato",$E1158,0)),MIN(AD$38,$D$19),$P$20))-SUM($P1158:AC1158)</f>
        <v>#VALUE!</v>
      </c>
      <c r="AE1158" s="446" t="e">
        <f>IF(OR($B1158="",MIN(AE$38,$D$19)&lt;MAX($P$708*($B1158+IF($R$17="Distrato",$I$38-1,0)),IF(AND($L$711=0,$P$708=0),"",$L$711-1),IF($R$17="Distrato",$E1158,0))),0,YEARFRAC(MAX($P$708*($B1158+IF($R$17="Distrato",$I$38-1,0)),IF(AND($L$711=0,$P$708=0),"",$L$711-1),IF($R$17="Distrato",$E1158,0)),MIN(AE$38,$D$19),$P$20))-SUM($P1158:AD1158)</f>
        <v>#VALUE!</v>
      </c>
      <c r="AF1158" s="446" t="e">
        <f>IF(OR($B1158="",MIN(AF$38,$D$19)&lt;MAX($P$708*($B1158+IF($R$17="Distrato",$I$38-1,0)),IF(AND($L$711=0,$P$708=0),"",$L$711-1),IF($R$17="Distrato",$E1158,0))),0,YEARFRAC(MAX($P$708*($B1158+IF($R$17="Distrato",$I$38-1,0)),IF(AND($L$711=0,$P$708=0),"",$L$711-1),IF($R$17="Distrato",$E1158,0)),MIN(AF$38,$D$19),$P$20))-SUM($P1158:AE1158)</f>
        <v>#VALUE!</v>
      </c>
      <c r="AG1158" s="446" t="e">
        <f>IF(OR($B1158="",MIN(AG$38,$D$19)&lt;MAX($P$708*($B1158+IF($R$17="Distrato",$I$38-1,0)),IF(AND($L$711=0,$P$708=0),"",$L$711-1),IF($R$17="Distrato",$E1158,0))),0,YEARFRAC(MAX($P$708*($B1158+IF($R$17="Distrato",$I$38-1,0)),IF(AND($L$711=0,$P$708=0),"",$L$711-1),IF($R$17="Distrato",$E1158,0)),MIN(AG$38,$D$19),$P$20))-SUM($P1158:AF1158)</f>
        <v>#VALUE!</v>
      </c>
      <c r="AH1158" s="446" t="e">
        <f>IF(OR($B1158="",MIN(AH$38,$D$19)&lt;MAX($P$708*($B1158+IF($R$17="Distrato",$I$38-1,0)),IF(AND($L$711=0,$P$708=0),"",$L$711-1),IF($R$17="Distrato",$E1158,0))),0,YEARFRAC(MAX($P$708*($B1158+IF($R$17="Distrato",$I$38-1,0)),IF(AND($L$711=0,$P$708=0),"",$L$711-1),IF($R$17="Distrato",$E1158,0)),MIN(AH$38,$D$19),$P$20))-SUM($P1158:AG1158)</f>
        <v>#VALUE!</v>
      </c>
      <c r="AI1158" s="446" t="e">
        <f>IF(OR($B1158="",MIN(AI$38,$D$19)&lt;MAX($P$708*($B1158+IF($R$17="Distrato",$I$38-1,0)),IF(AND($L$711=0,$P$708=0),"",$L$711-1),IF($R$17="Distrato",$E1158,0))),0,YEARFRAC(MAX($P$708*($B1158+IF($R$17="Distrato",$I$38-1,0)),IF(AND($L$711=0,$P$708=0),"",$L$711-1),IF($R$17="Distrato",$E1158,0)),MIN(AI$38,$D$19),$P$20))-SUM($P1158:AH1158)</f>
        <v>#VALUE!</v>
      </c>
      <c r="AJ1158" s="446" t="e">
        <f>IF(OR($B1158="",MIN(AJ$38,$D$19)&lt;MAX($P$708*($B1158+IF($R$17="Distrato",$I$38-1,0)),IF(AND($L$711=0,$P$708=0),"",$L$711-1),IF($R$17="Distrato",$E1158,0))),0,YEARFRAC(MAX($P$708*($B1158+IF($R$17="Distrato",$I$38-1,0)),IF(AND($L$711=0,$P$708=0),"",$L$711-1),IF($R$17="Distrato",$E1158,0)),MIN(AJ$38,$D$19),$P$20))-SUM($P1158:AI1158)</f>
        <v>#VALUE!</v>
      </c>
      <c r="AK1158" s="446" t="e">
        <f>IF(OR($B1158="",MIN(AK$38,$D$19)&lt;MAX($P$708*($B1158+IF($R$17="Distrato",$I$38-1,0)),IF(AND($L$711=0,$P$708=0),"",$L$711-1),IF($R$17="Distrato",$E1158,0))),0,YEARFRAC(MAX($P$708*($B1158+IF($R$17="Distrato",$I$38-1,0)),IF(AND($L$711=0,$P$708=0),"",$L$711-1),IF($R$17="Distrato",$E1158,0)),MIN(AK$38,$D$19),$P$20))-SUM($P1158:AJ1158)</f>
        <v>#VALUE!</v>
      </c>
      <c r="AL1158" s="446" t="e">
        <f>IF(OR($B1158="",MIN(AL$38,$D$19)&lt;MAX($P$708*($B1158+IF($R$17="Distrato",$I$38-1,0)),IF(AND($L$711=0,$P$708=0),"",$L$711-1),IF($R$17="Distrato",$E1158,0))),0,YEARFRAC(MAX($P$708*($B1158+IF($R$17="Distrato",$I$38-1,0)),IF(AND($L$711=0,$P$708=0),"",$L$711-1),IF($R$17="Distrato",$E1158,0)),MIN(AL$38,$D$19),$P$20))-SUM($P1158:AK1158)</f>
        <v>#VALUE!</v>
      </c>
      <c r="AM1158" s="446" t="e">
        <f>IF(OR($B1158="",MIN(AM$38,$D$19)&lt;MAX($P$708*($B1158+IF($R$17="Distrato",$I$38-1,0)),IF(AND($L$711=0,$P$708=0),"",$L$711-1),IF($R$17="Distrato",$E1158,0))),0,YEARFRAC(MAX($P$708*($B1158+IF($R$17="Distrato",$I$38-1,0)),IF(AND($L$711=0,$P$708=0),"",$L$711-1),IF($R$17="Distrato",$E1158,0)),MIN(AM$38,$D$19),$P$20))-SUM($P1158:AL1158)</f>
        <v>#VALUE!</v>
      </c>
      <c r="AN1158" s="446" t="e">
        <f>IF(OR($B1158="",MIN(AN$38,$D$19)&lt;MAX($P$708*($B1158+IF($R$17="Distrato",$I$38-1,0)),IF(AND($L$711=0,$P$708=0),"",$L$711-1),IF($R$17="Distrato",$E1158,0))),0,YEARFRAC(MAX($P$708*($B1158+IF($R$17="Distrato",$I$38-1,0)),IF(AND($L$711=0,$P$708=0),"",$L$711-1),IF($R$17="Distrato",$E1158,0)),MIN(AN$38,$D$19),$P$20))-SUM($P1158:AM1158)</f>
        <v>#VALUE!</v>
      </c>
      <c r="AO1158" s="446" t="e">
        <f>IF(OR($B1158="",MIN(AO$38,$D$19)&lt;MAX($P$708*($B1158+IF($R$17="Distrato",$I$38-1,0)),IF(AND($L$711=0,$P$708=0),"",$L$711-1),IF($R$17="Distrato",$E1158,0))),0,YEARFRAC(MAX($P$708*($B1158+IF($R$17="Distrato",$I$38-1,0)),IF(AND($L$711=0,$P$708=0),"",$L$711-1),IF($R$17="Distrato",$E1158,0)),MIN(AO$38,$D$19),$P$20))-SUM($P1158:AN1158)</f>
        <v>#VALUE!</v>
      </c>
      <c r="AP1158" s="446" t="e">
        <f>IF(OR($B1158="",MIN(AP$38,$D$19)&lt;MAX($P$708*($B1158+IF($R$17="Distrato",$I$38-1,0)),IF(AND($L$711=0,$P$708=0),"",$L$711-1),IF($R$17="Distrato",$E1158,0))),0,YEARFRAC(MAX($P$708*($B1158+IF($R$17="Distrato",$I$38-1,0)),IF(AND($L$711=0,$P$708=0),"",$L$711-1),IF($R$17="Distrato",$E1158,0)),MIN(AP$38,$D$19),$P$20))-SUM($P1158:AO1158)</f>
        <v>#VALUE!</v>
      </c>
      <c r="AQ1158" s="446" t="e">
        <f>IF(OR($B1158="",MIN(AQ$38,$D$19)&lt;MAX($P$708*($B1158+IF($R$17="Distrato",$I$38-1,0)),IF(AND($L$711=0,$P$708=0),"",$L$711-1),IF($R$17="Distrato",$E1158,0))),0,YEARFRAC(MAX($P$708*($B1158+IF($R$17="Distrato",$I$38-1,0)),IF(AND($L$711=0,$P$708=0),"",$L$711-1),IF($R$17="Distrato",$E1158,0)),MIN(AQ$38,$D$19),$P$20))-SUM($P1158:AP1158)</f>
        <v>#VALUE!</v>
      </c>
      <c r="AR1158" s="446" t="e">
        <f>IF(OR($B1158="",MIN(AR$38,$D$19)&lt;MAX($P$708*($B1158+IF($R$17="Distrato",$I$38-1,0)),IF(AND($L$711=0,$P$708=0),"",$L$711-1),IF($R$17="Distrato",$E1158,0))),0,YEARFRAC(MAX($P$708*($B1158+IF($R$17="Distrato",$I$38-1,0)),IF(AND($L$711=0,$P$708=0),"",$L$711-1),IF($R$17="Distrato",$E1158,0)),MIN(AR$38,$D$19),$P$20))-SUM($P1158:AQ1158)</f>
        <v>#VALUE!</v>
      </c>
      <c r="AS1158" s="446" t="e">
        <f>IF(OR($B1158="",MIN(AS$38,$D$19)&lt;MAX($P$708*($B1158+IF($R$17="Distrato",$I$38-1,0)),IF(AND($L$711=0,$P$708=0),"",$L$711-1),IF($R$17="Distrato",$E1158,0))),0,YEARFRAC(MAX($P$708*($B1158+IF($R$17="Distrato",$I$38-1,0)),IF(AND($L$711=0,$P$708=0),"",$L$711-1),IF($R$17="Distrato",$E1158,0)),MIN(AS$38,$D$19),$P$20))-SUM($P1158:AR1158)</f>
        <v>#VALUE!</v>
      </c>
      <c r="AT1158" s="446" t="e">
        <f>IF(OR($B1158="",MIN(AT$38,$D$19)&lt;MAX($P$708*($B1158+IF($R$17="Distrato",$I$38-1,0)),IF(AND($L$711=0,$P$708=0),"",$L$711-1),IF($R$17="Distrato",$E1158,0))),0,YEARFRAC(MAX($P$708*($B1158+IF($R$17="Distrato",$I$38-1,0)),IF(AND($L$711=0,$P$708=0),"",$L$711-1),IF($R$17="Distrato",$E1158,0)),MIN(AT$38,$D$19),$P$20))-SUM($P1158:AS1158)</f>
        <v>#VALUE!</v>
      </c>
      <c r="AU1158" s="446" t="e">
        <f>IF(OR($B1158="",MIN(AU$38,$D$19)&lt;MAX($P$708*($B1158+IF($R$17="Distrato",$I$38-1,0)),IF(AND($L$711=0,$P$708=0),"",$L$711-1),IF($R$17="Distrato",$E1158,0))),0,YEARFRAC(MAX($P$708*($B1158+IF($R$17="Distrato",$I$38-1,0)),IF(AND($L$711=0,$P$708=0),"",$L$711-1),IF($R$17="Distrato",$E1158,0)),MIN(AU$38,$D$19),$P$20))-SUM($P1158:AT1158)</f>
        <v>#VALUE!</v>
      </c>
      <c r="AV1158" s="446" t="e">
        <f>IF(OR($B1158="",MIN(AV$38,$D$19)&lt;MAX($P$708*($B1158+IF($R$17="Distrato",$I$38-1,0)),IF(AND($L$711=0,$P$708=0),"",$L$711-1),IF($R$17="Distrato",$E1158,0))),0,YEARFRAC(MAX($P$708*($B1158+IF($R$17="Distrato",$I$38-1,0)),IF(AND($L$711=0,$P$708=0),"",$L$711-1),IF($R$17="Distrato",$E1158,0)),MIN(AV$38,$D$19),$P$20))-SUM($P1158:AU1158)</f>
        <v>#VALUE!</v>
      </c>
      <c r="AW1158" s="446" t="e">
        <f>IF(OR($B1158="",MIN(AW$38,$D$19)&lt;MAX($P$708*($B1158+IF($R$17="Distrato",$I$38-1,0)),IF(AND($L$711=0,$P$708=0),"",$L$711-1),IF($R$17="Distrato",$E1158,0))),0,YEARFRAC(MAX($P$708*($B1158+IF($R$17="Distrato",$I$38-1,0)),IF(AND($L$711=0,$P$708=0),"",$L$711-1),IF($R$17="Distrato",$E1158,0)),MIN(AW$38,$D$19),$P$20))-SUM($P1158:AV1158)</f>
        <v>#VALUE!</v>
      </c>
      <c r="AX1158" s="446" t="e">
        <f>IF(OR($B1158="",MIN(AX$38,$D$19)&lt;MAX($P$708*($B1158+IF($R$17="Distrato",$I$38-1,0)),IF(AND($L$711=0,$P$708=0),"",$L$711-1),IF($R$17="Distrato",$E1158,0))),0,YEARFRAC(MAX($P$708*($B1158+IF($R$17="Distrato",$I$38-1,0)),IF(AND($L$711=0,$P$708=0),"",$L$711-1),IF($R$17="Distrato",$E1158,0)),MIN(AX$38,$D$19),$P$20))-SUM($P1158:AW1158)</f>
        <v>#VALUE!</v>
      </c>
      <c r="AY1158" s="446" t="e">
        <f>IF(OR($B1158="",MIN(AY$38,$D$19)&lt;MAX($P$708*($B1158+IF($R$17="Distrato",$I$38-1,0)),IF(AND($L$711=0,$P$708=0),"",$L$711-1),IF($R$17="Distrato",$E1158,0))),0,YEARFRAC(MAX($P$708*($B1158+IF($R$17="Distrato",$I$38-1,0)),IF(AND($L$711=0,$P$708=0),"",$L$711-1),IF($R$17="Distrato",$E1158,0)),MIN(AY$38,$D$19),$P$20))-SUM($P1158:AX1158)</f>
        <v>#VALUE!</v>
      </c>
      <c r="AZ1158" s="446" t="e">
        <f>IF(OR($B1158="",MIN(AZ$38,$D$19)&lt;MAX($P$708*($B1158+IF($R$17="Distrato",$I$38-1,0)),IF(AND($L$711=0,$P$708=0),"",$L$711-1),IF($R$17="Distrato",$E1158,0))),0,YEARFRAC(MAX($P$708*($B1158+IF($R$17="Distrato",$I$38-1,0)),IF(AND($L$711=0,$P$708=0),"",$L$711-1),IF($R$17="Distrato",$E1158,0)),MIN(AZ$38,$D$19),$P$20))-SUM($P1158:AY1158)</f>
        <v>#VALUE!</v>
      </c>
      <c r="BA1158" s="446" t="e">
        <f>IF(OR($B1158="",MIN(BA$38,$D$19)&lt;MAX($P$708*($B1158+IF($R$17="Distrato",$I$38-1,0)),IF(AND($L$711=0,$P$708=0),"",$L$711-1),IF($R$17="Distrato",$E1158,0))),0,YEARFRAC(MAX($P$708*($B1158+IF($R$17="Distrato",$I$38-1,0)),IF(AND($L$711=0,$P$708=0),"",$L$711-1),IF($R$17="Distrato",$E1158,0)),MIN(BA$38,$D$19),$P$20))-SUM($P1158:AZ1158)</f>
        <v>#VALUE!</v>
      </c>
      <c r="BB1158" s="447"/>
    </row>
    <row r="1159" spans="1:54" s="446" customFormat="1" ht="11.25" hidden="1" customHeight="1" x14ac:dyDescent="0.2">
      <c r="A1159" s="235"/>
      <c r="B1159" s="236"/>
      <c r="C1159" s="29" t="str">
        <f>IF(B1159="","",IF($L$709=$BL$25,VLOOKUP(DATE(YEAR($D$19),MONTH($D$19)-1,1),ÍNDICES!$A:$DE,HLOOKUP($BL$25,ÍNDICES!$B$3:$T$4,2)+11)-VLOOKUP(B1159,ÍNDICES!$A:$DE,HLOOKUP($BL$25,ÍNDICES!$B$3:$T$4,2)+11)+1%,IF(C$712=$W$26,$J$35,IF(ISERROR(IF(B1159&gt;$D$19,1,VLOOKUP(DATE(YEAR(B1159),MONTH(B1159)+IF($C$709=$S$23,1,0),1),ÍNDICES!$A:$DE,$Z$709+1))),"",IF(B1159&gt;$D$19,1,VLOOKUP(DATE(YEAR(B1159),MONTH(B1159)+IF($C$709=$S$23,1,0),1),ÍNDICES!$A:$DE,$Z$709+1))))))</f>
        <v/>
      </c>
      <c r="D1159" s="155"/>
      <c r="E1159" s="88"/>
      <c r="F1159" s="88"/>
      <c r="G1159" s="88"/>
      <c r="H1159" s="118"/>
      <c r="I1159" s="182">
        <f t="shared" si="157"/>
        <v>0</v>
      </c>
      <c r="J1159" s="20">
        <f t="shared" ca="1" si="158"/>
        <v>0</v>
      </c>
      <c r="K1159" s="5">
        <f t="shared" ca="1" si="159"/>
        <v>0</v>
      </c>
      <c r="L1159" s="61">
        <f t="shared" ca="1" si="160"/>
        <v>0</v>
      </c>
      <c r="M1159" s="64">
        <f t="shared" si="161"/>
        <v>0</v>
      </c>
      <c r="N1159" s="151"/>
      <c r="O1159" s="5">
        <f t="shared" ca="1" si="162"/>
        <v>0</v>
      </c>
      <c r="P1159" s="446" t="e">
        <f t="shared" si="163"/>
        <v>#VALUE!</v>
      </c>
      <c r="Q1159" s="446" t="e">
        <f>IF(OR($B1159="",MIN(Q$38,$D$19)&lt;MAX($P$708*($B1159+IF($R$17="Distrato",$I$38-1,0)),IF(AND($L$711=0,$P$708=0),"",$L$711-1),IF($R$17="Distrato",$E1159,0))),0,YEARFRAC(MAX($P$708*($B1159+IF($R$17="Distrato",$I$38-1,0)),IF(AND($L$711=0,$P$708=0),"",$L$711-1),IF($R$17="Distrato",$E1159,0)),MIN(Q$38,$D$19),$P$20))-SUM($P1159:P1159)</f>
        <v>#VALUE!</v>
      </c>
      <c r="R1159" s="446" t="e">
        <f>IF(OR($B1159="",MIN(R$38,$D$19)&lt;MAX($P$708*($B1159+IF($R$17="Distrato",$I$38-1,0)),IF(AND($L$711=0,$P$708=0),"",$L$711-1),IF($R$17="Distrato",$E1159,0))),0,YEARFRAC(MAX($P$708*($B1159+IF($R$17="Distrato",$I$38-1,0)),IF(AND($L$711=0,$P$708=0),"",$L$711-1),IF($R$17="Distrato",$E1159,0)),MIN(R$38,$D$19),$P$20))-SUM($P1159:Q1159)</f>
        <v>#VALUE!</v>
      </c>
      <c r="S1159" s="446" t="e">
        <f>IF(OR($B1159="",MIN(S$38,$D$19)&lt;MAX($P$708*($B1159+IF($R$17="Distrato",$I$38-1,0)),IF(AND($L$711=0,$P$708=0),"",$L$711-1),IF($R$17="Distrato",$E1159,0))),0,YEARFRAC(MAX($P$708*($B1159+IF($R$17="Distrato",$I$38-1,0)),IF(AND($L$711=0,$P$708=0),"",$L$711-1),IF($R$17="Distrato",$E1159,0)),MIN(S$38,$D$19),$P$20))-SUM($P1159:R1159)</f>
        <v>#VALUE!</v>
      </c>
      <c r="T1159" s="446" t="e">
        <f>IF(OR($B1159="",MIN(T$38,$D$19)&lt;MAX($P$708*($B1159+IF($R$17="Distrato",$I$38-1,0)),IF(AND($L$711=0,$P$708=0),"",$L$711-1),IF($R$17="Distrato",$E1159,0))),0,YEARFRAC(MAX($P$708*($B1159+IF($R$17="Distrato",$I$38-1,0)),IF(AND($L$711=0,$P$708=0),"",$L$711-1),IF($R$17="Distrato",$E1159,0)),MIN(T$38,$D$19),$P$20))-SUM($P1159:S1159)</f>
        <v>#VALUE!</v>
      </c>
      <c r="U1159" s="446" t="e">
        <f>IF(OR($B1159="",MIN(U$38,$D$19)&lt;MAX($P$708*($B1159+IF($R$17="Distrato",$I$38-1,0)),IF(AND($L$711=0,$P$708=0),"",$L$711-1),IF($R$17="Distrato",$E1159,0))),0,YEARFRAC(MAX($P$708*($B1159+IF($R$17="Distrato",$I$38-1,0)),IF(AND($L$711=0,$P$708=0),"",$L$711-1),IF($R$17="Distrato",$E1159,0)),MIN(U$38,$D$19),$P$20))-SUM($P1159:T1159)</f>
        <v>#VALUE!</v>
      </c>
      <c r="V1159" s="446" t="e">
        <f>IF(OR($B1159="",MIN(V$38,$D$19)&lt;MAX($P$708*($B1159+IF($R$17="Distrato",$I$38-1,0)),IF(AND($L$711=0,$P$708=0),"",$L$711-1),IF($R$17="Distrato",$E1159,0))),0,YEARFRAC(MAX($P$708*($B1159+IF($R$17="Distrato",$I$38-1,0)),IF(AND($L$711=0,$P$708=0),"",$L$711-1),IF($R$17="Distrato",$E1159,0)),MIN(V$38,$D$19),$P$20))-SUM($P1159:U1159)</f>
        <v>#VALUE!</v>
      </c>
      <c r="W1159" s="446" t="e">
        <f>IF(OR($B1159="",MIN(W$38,$D$19)&lt;MAX($P$708*($B1159+IF($R$17="Distrato",$I$38-1,0)),IF(AND($L$711=0,$P$708=0),"",$L$711-1),IF($R$17="Distrato",$E1159,0))),0,YEARFRAC(MAX($P$708*($B1159+IF($R$17="Distrato",$I$38-1,0)),IF(AND($L$711=0,$P$708=0),"",$L$711-1),IF($R$17="Distrato",$E1159,0)),MIN(W$38,$D$19),$P$20))-SUM($P1159:V1159)</f>
        <v>#VALUE!</v>
      </c>
      <c r="X1159" s="446" t="e">
        <f>IF(OR($B1159="",MIN(X$38,$D$19)&lt;MAX($P$708*($B1159+IF($R$17="Distrato",$I$38-1,0)),IF(AND($L$711=0,$P$708=0),"",$L$711-1),IF($R$17="Distrato",$E1159,0))),0,YEARFRAC(MAX($P$708*($B1159+IF($R$17="Distrato",$I$38-1,0)),IF(AND($L$711=0,$P$708=0),"",$L$711-1),IF($R$17="Distrato",$E1159,0)),MIN(X$38,$D$19),$P$20))-SUM($P1159:W1159)</f>
        <v>#VALUE!</v>
      </c>
      <c r="Y1159" s="446" t="e">
        <f>IF(OR($B1159="",MIN(Y$38,$D$19)&lt;MAX($P$708*($B1159+IF($R$17="Distrato",$I$38-1,0)),IF(AND($L$711=0,$P$708=0),"",$L$711-1),IF($R$17="Distrato",$E1159,0))),0,YEARFRAC(MAX($P$708*($B1159+IF($R$17="Distrato",$I$38-1,0)),IF(AND($L$711=0,$P$708=0),"",$L$711-1),IF($R$17="Distrato",$E1159,0)),MIN(Y$38,$D$19),$P$20))-SUM($P1159:X1159)</f>
        <v>#VALUE!</v>
      </c>
      <c r="Z1159" s="446" t="e">
        <f>IF(OR($B1159="",MIN(Z$38,$D$19)&lt;MAX($P$708*($B1159+IF($R$17="Distrato",$I$38-1,0)),IF(AND($L$711=0,$P$708=0),"",$L$711-1),IF($R$17="Distrato",$E1159,0))),0,YEARFRAC(MAX($P$708*($B1159+IF($R$17="Distrato",$I$38-1,0)),IF(AND($L$711=0,$P$708=0),"",$L$711-1),IF($R$17="Distrato",$E1159,0)),MIN(Z$38,$D$19),$P$20))-SUM($P1159:Y1159)</f>
        <v>#VALUE!</v>
      </c>
      <c r="AA1159" s="446" t="e">
        <f>IF(OR($B1159="",MIN(AA$38,$D$19)&lt;MAX($P$708*($B1159+IF($R$17="Distrato",$I$38-1,0)),IF(AND($L$711=0,$P$708=0),"",$L$711-1),IF($R$17="Distrato",$E1159,0))),0,YEARFRAC(MAX($P$708*($B1159+IF($R$17="Distrato",$I$38-1,0)),IF(AND($L$711=0,$P$708=0),"",$L$711-1),IF($R$17="Distrato",$E1159,0)),MIN(AA$38,$D$19),$P$20))-SUM($P1159:Z1159)</f>
        <v>#VALUE!</v>
      </c>
      <c r="AB1159" s="446" t="e">
        <f>IF(OR($B1159="",MIN(AB$38,$D$19)&lt;MAX($P$708*($B1159+IF($R$17="Distrato",$I$38-1,0)),IF(AND($L$711=0,$P$708=0),"",$L$711-1),IF($R$17="Distrato",$E1159,0))),0,YEARFRAC(MAX($P$708*($B1159+IF($R$17="Distrato",$I$38-1,0)),IF(AND($L$711=0,$P$708=0),"",$L$711-1),IF($R$17="Distrato",$E1159,0)),MIN(AB$38,$D$19),$P$20))-SUM($P1159:AA1159)</f>
        <v>#VALUE!</v>
      </c>
      <c r="AC1159" s="446" t="e">
        <f>IF(OR($B1159="",MIN(AC$38,$D$19)&lt;MAX($P$708*($B1159+IF($R$17="Distrato",$I$38-1,0)),IF(AND($L$711=0,$P$708=0),"",$L$711-1),IF($R$17="Distrato",$E1159,0))),0,YEARFRAC(MAX($P$708*($B1159+IF($R$17="Distrato",$I$38-1,0)),IF(AND($L$711=0,$P$708=0),"",$L$711-1),IF($R$17="Distrato",$E1159,0)),MIN(AC$38,$D$19),$P$20))-SUM($P1159:AB1159)</f>
        <v>#VALUE!</v>
      </c>
      <c r="AD1159" s="446" t="e">
        <f>IF(OR($B1159="",MIN(AD$38,$D$19)&lt;MAX($P$708*($B1159+IF($R$17="Distrato",$I$38-1,0)),IF(AND($L$711=0,$P$708=0),"",$L$711-1),IF($R$17="Distrato",$E1159,0))),0,YEARFRAC(MAX($P$708*($B1159+IF($R$17="Distrato",$I$38-1,0)),IF(AND($L$711=0,$P$708=0),"",$L$711-1),IF($R$17="Distrato",$E1159,0)),MIN(AD$38,$D$19),$P$20))-SUM($P1159:AC1159)</f>
        <v>#VALUE!</v>
      </c>
      <c r="AE1159" s="446" t="e">
        <f>IF(OR($B1159="",MIN(AE$38,$D$19)&lt;MAX($P$708*($B1159+IF($R$17="Distrato",$I$38-1,0)),IF(AND($L$711=0,$P$708=0),"",$L$711-1),IF($R$17="Distrato",$E1159,0))),0,YEARFRAC(MAX($P$708*($B1159+IF($R$17="Distrato",$I$38-1,0)),IF(AND($L$711=0,$P$708=0),"",$L$711-1),IF($R$17="Distrato",$E1159,0)),MIN(AE$38,$D$19),$P$20))-SUM($P1159:AD1159)</f>
        <v>#VALUE!</v>
      </c>
      <c r="AF1159" s="446" t="e">
        <f>IF(OR($B1159="",MIN(AF$38,$D$19)&lt;MAX($P$708*($B1159+IF($R$17="Distrato",$I$38-1,0)),IF(AND($L$711=0,$P$708=0),"",$L$711-1),IF($R$17="Distrato",$E1159,0))),0,YEARFRAC(MAX($P$708*($B1159+IF($R$17="Distrato",$I$38-1,0)),IF(AND($L$711=0,$P$708=0),"",$L$711-1),IF($R$17="Distrato",$E1159,0)),MIN(AF$38,$D$19),$P$20))-SUM($P1159:AE1159)</f>
        <v>#VALUE!</v>
      </c>
      <c r="AG1159" s="446" t="e">
        <f>IF(OR($B1159="",MIN(AG$38,$D$19)&lt;MAX($P$708*($B1159+IF($R$17="Distrato",$I$38-1,0)),IF(AND($L$711=0,$P$708=0),"",$L$711-1),IF($R$17="Distrato",$E1159,0))),0,YEARFRAC(MAX($P$708*($B1159+IF($R$17="Distrato",$I$38-1,0)),IF(AND($L$711=0,$P$708=0),"",$L$711-1),IF($R$17="Distrato",$E1159,0)),MIN(AG$38,$D$19),$P$20))-SUM($P1159:AF1159)</f>
        <v>#VALUE!</v>
      </c>
      <c r="AH1159" s="446" t="e">
        <f>IF(OR($B1159="",MIN(AH$38,$D$19)&lt;MAX($P$708*($B1159+IF($R$17="Distrato",$I$38-1,0)),IF(AND($L$711=0,$P$708=0),"",$L$711-1),IF($R$17="Distrato",$E1159,0))),0,YEARFRAC(MAX($P$708*($B1159+IF($R$17="Distrato",$I$38-1,0)),IF(AND($L$711=0,$P$708=0),"",$L$711-1),IF($R$17="Distrato",$E1159,0)),MIN(AH$38,$D$19),$P$20))-SUM($P1159:AG1159)</f>
        <v>#VALUE!</v>
      </c>
      <c r="AI1159" s="446" t="e">
        <f>IF(OR($B1159="",MIN(AI$38,$D$19)&lt;MAX($P$708*($B1159+IF($R$17="Distrato",$I$38-1,0)),IF(AND($L$711=0,$P$708=0),"",$L$711-1),IF($R$17="Distrato",$E1159,0))),0,YEARFRAC(MAX($P$708*($B1159+IF($R$17="Distrato",$I$38-1,0)),IF(AND($L$711=0,$P$708=0),"",$L$711-1),IF($R$17="Distrato",$E1159,0)),MIN(AI$38,$D$19),$P$20))-SUM($P1159:AH1159)</f>
        <v>#VALUE!</v>
      </c>
      <c r="AJ1159" s="446" t="e">
        <f>IF(OR($B1159="",MIN(AJ$38,$D$19)&lt;MAX($P$708*($B1159+IF($R$17="Distrato",$I$38-1,0)),IF(AND($L$711=0,$P$708=0),"",$L$711-1),IF($R$17="Distrato",$E1159,0))),0,YEARFRAC(MAX($P$708*($B1159+IF($R$17="Distrato",$I$38-1,0)),IF(AND($L$711=0,$P$708=0),"",$L$711-1),IF($R$17="Distrato",$E1159,0)),MIN(AJ$38,$D$19),$P$20))-SUM($P1159:AI1159)</f>
        <v>#VALUE!</v>
      </c>
      <c r="AK1159" s="446" t="e">
        <f>IF(OR($B1159="",MIN(AK$38,$D$19)&lt;MAX($P$708*($B1159+IF($R$17="Distrato",$I$38-1,0)),IF(AND($L$711=0,$P$708=0),"",$L$711-1),IF($R$17="Distrato",$E1159,0))),0,YEARFRAC(MAX($P$708*($B1159+IF($R$17="Distrato",$I$38-1,0)),IF(AND($L$711=0,$P$708=0),"",$L$711-1),IF($R$17="Distrato",$E1159,0)),MIN(AK$38,$D$19),$P$20))-SUM($P1159:AJ1159)</f>
        <v>#VALUE!</v>
      </c>
      <c r="AL1159" s="446" t="e">
        <f>IF(OR($B1159="",MIN(AL$38,$D$19)&lt;MAX($P$708*($B1159+IF($R$17="Distrato",$I$38-1,0)),IF(AND($L$711=0,$P$708=0),"",$L$711-1),IF($R$17="Distrato",$E1159,0))),0,YEARFRAC(MAX($P$708*($B1159+IF($R$17="Distrato",$I$38-1,0)),IF(AND($L$711=0,$P$708=0),"",$L$711-1),IF($R$17="Distrato",$E1159,0)),MIN(AL$38,$D$19),$P$20))-SUM($P1159:AK1159)</f>
        <v>#VALUE!</v>
      </c>
      <c r="AM1159" s="446" t="e">
        <f>IF(OR($B1159="",MIN(AM$38,$D$19)&lt;MAX($P$708*($B1159+IF($R$17="Distrato",$I$38-1,0)),IF(AND($L$711=0,$P$708=0),"",$L$711-1),IF($R$17="Distrato",$E1159,0))),0,YEARFRAC(MAX($P$708*($B1159+IF($R$17="Distrato",$I$38-1,0)),IF(AND($L$711=0,$P$708=0),"",$L$711-1),IF($R$17="Distrato",$E1159,0)),MIN(AM$38,$D$19),$P$20))-SUM($P1159:AL1159)</f>
        <v>#VALUE!</v>
      </c>
      <c r="AN1159" s="446" t="e">
        <f>IF(OR($B1159="",MIN(AN$38,$D$19)&lt;MAX($P$708*($B1159+IF($R$17="Distrato",$I$38-1,0)),IF(AND($L$711=0,$P$708=0),"",$L$711-1),IF($R$17="Distrato",$E1159,0))),0,YEARFRAC(MAX($P$708*($B1159+IF($R$17="Distrato",$I$38-1,0)),IF(AND($L$711=0,$P$708=0),"",$L$711-1),IF($R$17="Distrato",$E1159,0)),MIN(AN$38,$D$19),$P$20))-SUM($P1159:AM1159)</f>
        <v>#VALUE!</v>
      </c>
      <c r="AO1159" s="446" t="e">
        <f>IF(OR($B1159="",MIN(AO$38,$D$19)&lt;MAX($P$708*($B1159+IF($R$17="Distrato",$I$38-1,0)),IF(AND($L$711=0,$P$708=0),"",$L$711-1),IF($R$17="Distrato",$E1159,0))),0,YEARFRAC(MAX($P$708*($B1159+IF($R$17="Distrato",$I$38-1,0)),IF(AND($L$711=0,$P$708=0),"",$L$711-1),IF($R$17="Distrato",$E1159,0)),MIN(AO$38,$D$19),$P$20))-SUM($P1159:AN1159)</f>
        <v>#VALUE!</v>
      </c>
      <c r="AP1159" s="446" t="e">
        <f>IF(OR($B1159="",MIN(AP$38,$D$19)&lt;MAX($P$708*($B1159+IF($R$17="Distrato",$I$38-1,0)),IF(AND($L$711=0,$P$708=0),"",$L$711-1),IF($R$17="Distrato",$E1159,0))),0,YEARFRAC(MAX($P$708*($B1159+IF($R$17="Distrato",$I$38-1,0)),IF(AND($L$711=0,$P$708=0),"",$L$711-1),IF($R$17="Distrato",$E1159,0)),MIN(AP$38,$D$19),$P$20))-SUM($P1159:AO1159)</f>
        <v>#VALUE!</v>
      </c>
      <c r="AQ1159" s="446" t="e">
        <f>IF(OR($B1159="",MIN(AQ$38,$D$19)&lt;MAX($P$708*($B1159+IF($R$17="Distrato",$I$38-1,0)),IF(AND($L$711=0,$P$708=0),"",$L$711-1),IF($R$17="Distrato",$E1159,0))),0,YEARFRAC(MAX($P$708*($B1159+IF($R$17="Distrato",$I$38-1,0)),IF(AND($L$711=0,$P$708=0),"",$L$711-1),IF($R$17="Distrato",$E1159,0)),MIN(AQ$38,$D$19),$P$20))-SUM($P1159:AP1159)</f>
        <v>#VALUE!</v>
      </c>
      <c r="AR1159" s="446" t="e">
        <f>IF(OR($B1159="",MIN(AR$38,$D$19)&lt;MAX($P$708*($B1159+IF($R$17="Distrato",$I$38-1,0)),IF(AND($L$711=0,$P$708=0),"",$L$711-1),IF($R$17="Distrato",$E1159,0))),0,YEARFRAC(MAX($P$708*($B1159+IF($R$17="Distrato",$I$38-1,0)),IF(AND($L$711=0,$P$708=0),"",$L$711-1),IF($R$17="Distrato",$E1159,0)),MIN(AR$38,$D$19),$P$20))-SUM($P1159:AQ1159)</f>
        <v>#VALUE!</v>
      </c>
      <c r="AS1159" s="446" t="e">
        <f>IF(OR($B1159="",MIN(AS$38,$D$19)&lt;MAX($P$708*($B1159+IF($R$17="Distrato",$I$38-1,0)),IF(AND($L$711=0,$P$708=0),"",$L$711-1),IF($R$17="Distrato",$E1159,0))),0,YEARFRAC(MAX($P$708*($B1159+IF($R$17="Distrato",$I$38-1,0)),IF(AND($L$711=0,$P$708=0),"",$L$711-1),IF($R$17="Distrato",$E1159,0)),MIN(AS$38,$D$19),$P$20))-SUM($P1159:AR1159)</f>
        <v>#VALUE!</v>
      </c>
      <c r="AT1159" s="446" t="e">
        <f>IF(OR($B1159="",MIN(AT$38,$D$19)&lt;MAX($P$708*($B1159+IF($R$17="Distrato",$I$38-1,0)),IF(AND($L$711=0,$P$708=0),"",$L$711-1),IF($R$17="Distrato",$E1159,0))),0,YEARFRAC(MAX($P$708*($B1159+IF($R$17="Distrato",$I$38-1,0)),IF(AND($L$711=0,$P$708=0),"",$L$711-1),IF($R$17="Distrato",$E1159,0)),MIN(AT$38,$D$19),$P$20))-SUM($P1159:AS1159)</f>
        <v>#VALUE!</v>
      </c>
      <c r="AU1159" s="446" t="e">
        <f>IF(OR($B1159="",MIN(AU$38,$D$19)&lt;MAX($P$708*($B1159+IF($R$17="Distrato",$I$38-1,0)),IF(AND($L$711=0,$P$708=0),"",$L$711-1),IF($R$17="Distrato",$E1159,0))),0,YEARFRAC(MAX($P$708*($B1159+IF($R$17="Distrato",$I$38-1,0)),IF(AND($L$711=0,$P$708=0),"",$L$711-1),IF($R$17="Distrato",$E1159,0)),MIN(AU$38,$D$19),$P$20))-SUM($P1159:AT1159)</f>
        <v>#VALUE!</v>
      </c>
      <c r="AV1159" s="446" t="e">
        <f>IF(OR($B1159="",MIN(AV$38,$D$19)&lt;MAX($P$708*($B1159+IF($R$17="Distrato",$I$38-1,0)),IF(AND($L$711=0,$P$708=0),"",$L$711-1),IF($R$17="Distrato",$E1159,0))),0,YEARFRAC(MAX($P$708*($B1159+IF($R$17="Distrato",$I$38-1,0)),IF(AND($L$711=0,$P$708=0),"",$L$711-1),IF($R$17="Distrato",$E1159,0)),MIN(AV$38,$D$19),$P$20))-SUM($P1159:AU1159)</f>
        <v>#VALUE!</v>
      </c>
      <c r="AW1159" s="446" t="e">
        <f>IF(OR($B1159="",MIN(AW$38,$D$19)&lt;MAX($P$708*($B1159+IF($R$17="Distrato",$I$38-1,0)),IF(AND($L$711=0,$P$708=0),"",$L$711-1),IF($R$17="Distrato",$E1159,0))),0,YEARFRAC(MAX($P$708*($B1159+IF($R$17="Distrato",$I$38-1,0)),IF(AND($L$711=0,$P$708=0),"",$L$711-1),IF($R$17="Distrato",$E1159,0)),MIN(AW$38,$D$19),$P$20))-SUM($P1159:AV1159)</f>
        <v>#VALUE!</v>
      </c>
      <c r="AX1159" s="446" t="e">
        <f>IF(OR($B1159="",MIN(AX$38,$D$19)&lt;MAX($P$708*($B1159+IF($R$17="Distrato",$I$38-1,0)),IF(AND($L$711=0,$P$708=0),"",$L$711-1),IF($R$17="Distrato",$E1159,0))),0,YEARFRAC(MAX($P$708*($B1159+IF($R$17="Distrato",$I$38-1,0)),IF(AND($L$711=0,$P$708=0),"",$L$711-1),IF($R$17="Distrato",$E1159,0)),MIN(AX$38,$D$19),$P$20))-SUM($P1159:AW1159)</f>
        <v>#VALUE!</v>
      </c>
      <c r="AY1159" s="446" t="e">
        <f>IF(OR($B1159="",MIN(AY$38,$D$19)&lt;MAX($P$708*($B1159+IF($R$17="Distrato",$I$38-1,0)),IF(AND($L$711=0,$P$708=0),"",$L$711-1),IF($R$17="Distrato",$E1159,0))),0,YEARFRAC(MAX($P$708*($B1159+IF($R$17="Distrato",$I$38-1,0)),IF(AND($L$711=0,$P$708=0),"",$L$711-1),IF($R$17="Distrato",$E1159,0)),MIN(AY$38,$D$19),$P$20))-SUM($P1159:AX1159)</f>
        <v>#VALUE!</v>
      </c>
      <c r="AZ1159" s="446" t="e">
        <f>IF(OR($B1159="",MIN(AZ$38,$D$19)&lt;MAX($P$708*($B1159+IF($R$17="Distrato",$I$38-1,0)),IF(AND($L$711=0,$P$708=0),"",$L$711-1),IF($R$17="Distrato",$E1159,0))),0,YEARFRAC(MAX($P$708*($B1159+IF($R$17="Distrato",$I$38-1,0)),IF(AND($L$711=0,$P$708=0),"",$L$711-1),IF($R$17="Distrato",$E1159,0)),MIN(AZ$38,$D$19),$P$20))-SUM($P1159:AY1159)</f>
        <v>#VALUE!</v>
      </c>
      <c r="BA1159" s="446" t="e">
        <f>IF(OR($B1159="",MIN(BA$38,$D$19)&lt;MAX($P$708*($B1159+IF($R$17="Distrato",$I$38-1,0)),IF(AND($L$711=0,$P$708=0),"",$L$711-1),IF($R$17="Distrato",$E1159,0))),0,YEARFRAC(MAX($P$708*($B1159+IF($R$17="Distrato",$I$38-1,0)),IF(AND($L$711=0,$P$708=0),"",$L$711-1),IF($R$17="Distrato",$E1159,0)),MIN(BA$38,$D$19),$P$20))-SUM($P1159:AZ1159)</f>
        <v>#VALUE!</v>
      </c>
      <c r="BB1159" s="447"/>
    </row>
    <row r="1160" spans="1:54" s="446" customFormat="1" ht="11.25" hidden="1" customHeight="1" x14ac:dyDescent="0.2">
      <c r="A1160" s="235"/>
      <c r="B1160" s="236"/>
      <c r="C1160" s="29" t="str">
        <f>IF(B1160="","",IF($L$709=$BL$25,VLOOKUP(DATE(YEAR($D$19),MONTH($D$19)-1,1),ÍNDICES!$A:$DE,HLOOKUP($BL$25,ÍNDICES!$B$3:$T$4,2)+11)-VLOOKUP(B1160,ÍNDICES!$A:$DE,HLOOKUP($BL$25,ÍNDICES!$B$3:$T$4,2)+11)+1%,IF(C$712=$W$26,$J$35,IF(ISERROR(IF(B1160&gt;$D$19,1,VLOOKUP(DATE(YEAR(B1160),MONTH(B1160)+IF($C$709=$S$23,1,0),1),ÍNDICES!$A:$DE,$Z$709+1))),"",IF(B1160&gt;$D$19,1,VLOOKUP(DATE(YEAR(B1160),MONTH(B1160)+IF($C$709=$S$23,1,0),1),ÍNDICES!$A:$DE,$Z$709+1))))))</f>
        <v/>
      </c>
      <c r="D1160" s="155"/>
      <c r="E1160" s="88"/>
      <c r="F1160" s="88"/>
      <c r="G1160" s="88"/>
      <c r="H1160" s="118"/>
      <c r="I1160" s="182">
        <f t="shared" si="157"/>
        <v>0</v>
      </c>
      <c r="J1160" s="20">
        <f t="shared" ca="1" si="158"/>
        <v>0</v>
      </c>
      <c r="K1160" s="5">
        <f t="shared" ca="1" si="159"/>
        <v>0</v>
      </c>
      <c r="L1160" s="61">
        <f t="shared" ca="1" si="160"/>
        <v>0</v>
      </c>
      <c r="M1160" s="64">
        <f t="shared" si="161"/>
        <v>0</v>
      </c>
      <c r="N1160" s="151"/>
      <c r="O1160" s="5">
        <f t="shared" ca="1" si="162"/>
        <v>0</v>
      </c>
      <c r="P1160" s="446" t="e">
        <f t="shared" si="163"/>
        <v>#VALUE!</v>
      </c>
      <c r="Q1160" s="446" t="e">
        <f>IF(OR($B1160="",MIN(Q$38,$D$19)&lt;MAX($P$708*($B1160+IF($R$17="Distrato",$I$38-1,0)),IF(AND($L$711=0,$P$708=0),"",$L$711-1),IF($R$17="Distrato",$E1160,0))),0,YEARFRAC(MAX($P$708*($B1160+IF($R$17="Distrato",$I$38-1,0)),IF(AND($L$711=0,$P$708=0),"",$L$711-1),IF($R$17="Distrato",$E1160,0)),MIN(Q$38,$D$19),$P$20))-SUM($P1160:P1160)</f>
        <v>#VALUE!</v>
      </c>
      <c r="R1160" s="446" t="e">
        <f>IF(OR($B1160="",MIN(R$38,$D$19)&lt;MAX($P$708*($B1160+IF($R$17="Distrato",$I$38-1,0)),IF(AND($L$711=0,$P$708=0),"",$L$711-1),IF($R$17="Distrato",$E1160,0))),0,YEARFRAC(MAX($P$708*($B1160+IF($R$17="Distrato",$I$38-1,0)),IF(AND($L$711=0,$P$708=0),"",$L$711-1),IF($R$17="Distrato",$E1160,0)),MIN(R$38,$D$19),$P$20))-SUM($P1160:Q1160)</f>
        <v>#VALUE!</v>
      </c>
      <c r="S1160" s="446" t="e">
        <f>IF(OR($B1160="",MIN(S$38,$D$19)&lt;MAX($P$708*($B1160+IF($R$17="Distrato",$I$38-1,0)),IF(AND($L$711=0,$P$708=0),"",$L$711-1),IF($R$17="Distrato",$E1160,0))),0,YEARFRAC(MAX($P$708*($B1160+IF($R$17="Distrato",$I$38-1,0)),IF(AND($L$711=0,$P$708=0),"",$L$711-1),IF($R$17="Distrato",$E1160,0)),MIN(S$38,$D$19),$P$20))-SUM($P1160:R1160)</f>
        <v>#VALUE!</v>
      </c>
      <c r="T1160" s="446" t="e">
        <f>IF(OR($B1160="",MIN(T$38,$D$19)&lt;MAX($P$708*($B1160+IF($R$17="Distrato",$I$38-1,0)),IF(AND($L$711=0,$P$708=0),"",$L$711-1),IF($R$17="Distrato",$E1160,0))),0,YEARFRAC(MAX($P$708*($B1160+IF($R$17="Distrato",$I$38-1,0)),IF(AND($L$711=0,$P$708=0),"",$L$711-1),IF($R$17="Distrato",$E1160,0)),MIN(T$38,$D$19),$P$20))-SUM($P1160:S1160)</f>
        <v>#VALUE!</v>
      </c>
      <c r="U1160" s="446" t="e">
        <f>IF(OR($B1160="",MIN(U$38,$D$19)&lt;MAX($P$708*($B1160+IF($R$17="Distrato",$I$38-1,0)),IF(AND($L$711=0,$P$708=0),"",$L$711-1),IF($R$17="Distrato",$E1160,0))),0,YEARFRAC(MAX($P$708*($B1160+IF($R$17="Distrato",$I$38-1,0)),IF(AND($L$711=0,$P$708=0),"",$L$711-1),IF($R$17="Distrato",$E1160,0)),MIN(U$38,$D$19),$P$20))-SUM($P1160:T1160)</f>
        <v>#VALUE!</v>
      </c>
      <c r="V1160" s="446" t="e">
        <f>IF(OR($B1160="",MIN(V$38,$D$19)&lt;MAX($P$708*($B1160+IF($R$17="Distrato",$I$38-1,0)),IF(AND($L$711=0,$P$708=0),"",$L$711-1),IF($R$17="Distrato",$E1160,0))),0,YEARFRAC(MAX($P$708*($B1160+IF($R$17="Distrato",$I$38-1,0)),IF(AND($L$711=0,$P$708=0),"",$L$711-1),IF($R$17="Distrato",$E1160,0)),MIN(V$38,$D$19),$P$20))-SUM($P1160:U1160)</f>
        <v>#VALUE!</v>
      </c>
      <c r="W1160" s="446" t="e">
        <f>IF(OR($B1160="",MIN(W$38,$D$19)&lt;MAX($P$708*($B1160+IF($R$17="Distrato",$I$38-1,0)),IF(AND($L$711=0,$P$708=0),"",$L$711-1),IF($R$17="Distrato",$E1160,0))),0,YEARFRAC(MAX($P$708*($B1160+IF($R$17="Distrato",$I$38-1,0)),IF(AND($L$711=0,$P$708=0),"",$L$711-1),IF($R$17="Distrato",$E1160,0)),MIN(W$38,$D$19),$P$20))-SUM($P1160:V1160)</f>
        <v>#VALUE!</v>
      </c>
      <c r="X1160" s="446" t="e">
        <f>IF(OR($B1160="",MIN(X$38,$D$19)&lt;MAX($P$708*($B1160+IF($R$17="Distrato",$I$38-1,0)),IF(AND($L$711=0,$P$708=0),"",$L$711-1),IF($R$17="Distrato",$E1160,0))),0,YEARFRAC(MAX($P$708*($B1160+IF($R$17="Distrato",$I$38-1,0)),IF(AND($L$711=0,$P$708=0),"",$L$711-1),IF($R$17="Distrato",$E1160,0)),MIN(X$38,$D$19),$P$20))-SUM($P1160:W1160)</f>
        <v>#VALUE!</v>
      </c>
      <c r="Y1160" s="446" t="e">
        <f>IF(OR($B1160="",MIN(Y$38,$D$19)&lt;MAX($P$708*($B1160+IF($R$17="Distrato",$I$38-1,0)),IF(AND($L$711=0,$P$708=0),"",$L$711-1),IF($R$17="Distrato",$E1160,0))),0,YEARFRAC(MAX($P$708*($B1160+IF($R$17="Distrato",$I$38-1,0)),IF(AND($L$711=0,$P$708=0),"",$L$711-1),IF($R$17="Distrato",$E1160,0)),MIN(Y$38,$D$19),$P$20))-SUM($P1160:X1160)</f>
        <v>#VALUE!</v>
      </c>
      <c r="Z1160" s="446" t="e">
        <f>IF(OR($B1160="",MIN(Z$38,$D$19)&lt;MAX($P$708*($B1160+IF($R$17="Distrato",$I$38-1,0)),IF(AND($L$711=0,$P$708=0),"",$L$711-1),IF($R$17="Distrato",$E1160,0))),0,YEARFRAC(MAX($P$708*($B1160+IF($R$17="Distrato",$I$38-1,0)),IF(AND($L$711=0,$P$708=0),"",$L$711-1),IF($R$17="Distrato",$E1160,0)),MIN(Z$38,$D$19),$P$20))-SUM($P1160:Y1160)</f>
        <v>#VALUE!</v>
      </c>
      <c r="AA1160" s="446" t="e">
        <f>IF(OR($B1160="",MIN(AA$38,$D$19)&lt;MAX($P$708*($B1160+IF($R$17="Distrato",$I$38-1,0)),IF(AND($L$711=0,$P$708=0),"",$L$711-1),IF($R$17="Distrato",$E1160,0))),0,YEARFRAC(MAX($P$708*($B1160+IF($R$17="Distrato",$I$38-1,0)),IF(AND($L$711=0,$P$708=0),"",$L$711-1),IF($R$17="Distrato",$E1160,0)),MIN(AA$38,$D$19),$P$20))-SUM($P1160:Z1160)</f>
        <v>#VALUE!</v>
      </c>
      <c r="AB1160" s="446" t="e">
        <f>IF(OR($B1160="",MIN(AB$38,$D$19)&lt;MAX($P$708*($B1160+IF($R$17="Distrato",$I$38-1,0)),IF(AND($L$711=0,$P$708=0),"",$L$711-1),IF($R$17="Distrato",$E1160,0))),0,YEARFRAC(MAX($P$708*($B1160+IF($R$17="Distrato",$I$38-1,0)),IF(AND($L$711=0,$P$708=0),"",$L$711-1),IF($R$17="Distrato",$E1160,0)),MIN(AB$38,$D$19),$P$20))-SUM($P1160:AA1160)</f>
        <v>#VALUE!</v>
      </c>
      <c r="AC1160" s="446" t="e">
        <f>IF(OR($B1160="",MIN(AC$38,$D$19)&lt;MAX($P$708*($B1160+IF($R$17="Distrato",$I$38-1,0)),IF(AND($L$711=0,$P$708=0),"",$L$711-1),IF($R$17="Distrato",$E1160,0))),0,YEARFRAC(MAX($P$708*($B1160+IF($R$17="Distrato",$I$38-1,0)),IF(AND($L$711=0,$P$708=0),"",$L$711-1),IF($R$17="Distrato",$E1160,0)),MIN(AC$38,$D$19),$P$20))-SUM($P1160:AB1160)</f>
        <v>#VALUE!</v>
      </c>
      <c r="AD1160" s="446" t="e">
        <f>IF(OR($B1160="",MIN(AD$38,$D$19)&lt;MAX($P$708*($B1160+IF($R$17="Distrato",$I$38-1,0)),IF(AND($L$711=0,$P$708=0),"",$L$711-1),IF($R$17="Distrato",$E1160,0))),0,YEARFRAC(MAX($P$708*($B1160+IF($R$17="Distrato",$I$38-1,0)),IF(AND($L$711=0,$P$708=0),"",$L$711-1),IF($R$17="Distrato",$E1160,0)),MIN(AD$38,$D$19),$P$20))-SUM($P1160:AC1160)</f>
        <v>#VALUE!</v>
      </c>
      <c r="AE1160" s="446" t="e">
        <f>IF(OR($B1160="",MIN(AE$38,$D$19)&lt;MAX($P$708*($B1160+IF($R$17="Distrato",$I$38-1,0)),IF(AND($L$711=0,$P$708=0),"",$L$711-1),IF($R$17="Distrato",$E1160,0))),0,YEARFRAC(MAX($P$708*($B1160+IF($R$17="Distrato",$I$38-1,0)),IF(AND($L$711=0,$P$708=0),"",$L$711-1),IF($R$17="Distrato",$E1160,0)),MIN(AE$38,$D$19),$P$20))-SUM($P1160:AD1160)</f>
        <v>#VALUE!</v>
      </c>
      <c r="AF1160" s="446" t="e">
        <f>IF(OR($B1160="",MIN(AF$38,$D$19)&lt;MAX($P$708*($B1160+IF($R$17="Distrato",$I$38-1,0)),IF(AND($L$711=0,$P$708=0),"",$L$711-1),IF($R$17="Distrato",$E1160,0))),0,YEARFRAC(MAX($P$708*($B1160+IF($R$17="Distrato",$I$38-1,0)),IF(AND($L$711=0,$P$708=0),"",$L$711-1),IF($R$17="Distrato",$E1160,0)),MIN(AF$38,$D$19),$P$20))-SUM($P1160:AE1160)</f>
        <v>#VALUE!</v>
      </c>
      <c r="AG1160" s="446" t="e">
        <f>IF(OR($B1160="",MIN(AG$38,$D$19)&lt;MAX($P$708*($B1160+IF($R$17="Distrato",$I$38-1,0)),IF(AND($L$711=0,$P$708=0),"",$L$711-1),IF($R$17="Distrato",$E1160,0))),0,YEARFRAC(MAX($P$708*($B1160+IF($R$17="Distrato",$I$38-1,0)),IF(AND($L$711=0,$P$708=0),"",$L$711-1),IF($R$17="Distrato",$E1160,0)),MIN(AG$38,$D$19),$P$20))-SUM($P1160:AF1160)</f>
        <v>#VALUE!</v>
      </c>
      <c r="AH1160" s="446" t="e">
        <f>IF(OR($B1160="",MIN(AH$38,$D$19)&lt;MAX($P$708*($B1160+IF($R$17="Distrato",$I$38-1,0)),IF(AND($L$711=0,$P$708=0),"",$L$711-1),IF($R$17="Distrato",$E1160,0))),0,YEARFRAC(MAX($P$708*($B1160+IF($R$17="Distrato",$I$38-1,0)),IF(AND($L$711=0,$P$708=0),"",$L$711-1),IF($R$17="Distrato",$E1160,0)),MIN(AH$38,$D$19),$P$20))-SUM($P1160:AG1160)</f>
        <v>#VALUE!</v>
      </c>
      <c r="AI1160" s="446" t="e">
        <f>IF(OR($B1160="",MIN(AI$38,$D$19)&lt;MAX($P$708*($B1160+IF($R$17="Distrato",$I$38-1,0)),IF(AND($L$711=0,$P$708=0),"",$L$711-1),IF($R$17="Distrato",$E1160,0))),0,YEARFRAC(MAX($P$708*($B1160+IF($R$17="Distrato",$I$38-1,0)),IF(AND($L$711=0,$P$708=0),"",$L$711-1),IF($R$17="Distrato",$E1160,0)),MIN(AI$38,$D$19),$P$20))-SUM($P1160:AH1160)</f>
        <v>#VALUE!</v>
      </c>
      <c r="AJ1160" s="446" t="e">
        <f>IF(OR($B1160="",MIN(AJ$38,$D$19)&lt;MAX($P$708*($B1160+IF($R$17="Distrato",$I$38-1,0)),IF(AND($L$711=0,$P$708=0),"",$L$711-1),IF($R$17="Distrato",$E1160,0))),0,YEARFRAC(MAX($P$708*($B1160+IF($R$17="Distrato",$I$38-1,0)),IF(AND($L$711=0,$P$708=0),"",$L$711-1),IF($R$17="Distrato",$E1160,0)),MIN(AJ$38,$D$19),$P$20))-SUM($P1160:AI1160)</f>
        <v>#VALUE!</v>
      </c>
      <c r="AK1160" s="446" t="e">
        <f>IF(OR($B1160="",MIN(AK$38,$D$19)&lt;MAX($P$708*($B1160+IF($R$17="Distrato",$I$38-1,0)),IF(AND($L$711=0,$P$708=0),"",$L$711-1),IF($R$17="Distrato",$E1160,0))),0,YEARFRAC(MAX($P$708*($B1160+IF($R$17="Distrato",$I$38-1,0)),IF(AND($L$711=0,$P$708=0),"",$L$711-1),IF($R$17="Distrato",$E1160,0)),MIN(AK$38,$D$19),$P$20))-SUM($P1160:AJ1160)</f>
        <v>#VALUE!</v>
      </c>
      <c r="AL1160" s="446" t="e">
        <f>IF(OR($B1160="",MIN(AL$38,$D$19)&lt;MAX($P$708*($B1160+IF($R$17="Distrato",$I$38-1,0)),IF(AND($L$711=0,$P$708=0),"",$L$711-1),IF($R$17="Distrato",$E1160,0))),0,YEARFRAC(MAX($P$708*($B1160+IF($R$17="Distrato",$I$38-1,0)),IF(AND($L$711=0,$P$708=0),"",$L$711-1),IF($R$17="Distrato",$E1160,0)),MIN(AL$38,$D$19),$P$20))-SUM($P1160:AK1160)</f>
        <v>#VALUE!</v>
      </c>
      <c r="AM1160" s="446" t="e">
        <f>IF(OR($B1160="",MIN(AM$38,$D$19)&lt;MAX($P$708*($B1160+IF($R$17="Distrato",$I$38-1,0)),IF(AND($L$711=0,$P$708=0),"",$L$711-1),IF($R$17="Distrato",$E1160,0))),0,YEARFRAC(MAX($P$708*($B1160+IF($R$17="Distrato",$I$38-1,0)),IF(AND($L$711=0,$P$708=0),"",$L$711-1),IF($R$17="Distrato",$E1160,0)),MIN(AM$38,$D$19),$P$20))-SUM($P1160:AL1160)</f>
        <v>#VALUE!</v>
      </c>
      <c r="AN1160" s="446" t="e">
        <f>IF(OR($B1160="",MIN(AN$38,$D$19)&lt;MAX($P$708*($B1160+IF($R$17="Distrato",$I$38-1,0)),IF(AND($L$711=0,$P$708=0),"",$L$711-1),IF($R$17="Distrato",$E1160,0))),0,YEARFRAC(MAX($P$708*($B1160+IF($R$17="Distrato",$I$38-1,0)),IF(AND($L$711=0,$P$708=0),"",$L$711-1),IF($R$17="Distrato",$E1160,0)),MIN(AN$38,$D$19),$P$20))-SUM($P1160:AM1160)</f>
        <v>#VALUE!</v>
      </c>
      <c r="AO1160" s="446" t="e">
        <f>IF(OR($B1160="",MIN(AO$38,$D$19)&lt;MAX($P$708*($B1160+IF($R$17="Distrato",$I$38-1,0)),IF(AND($L$711=0,$P$708=0),"",$L$711-1),IF($R$17="Distrato",$E1160,0))),0,YEARFRAC(MAX($P$708*($B1160+IF($R$17="Distrato",$I$38-1,0)),IF(AND($L$711=0,$P$708=0),"",$L$711-1),IF($R$17="Distrato",$E1160,0)),MIN(AO$38,$D$19),$P$20))-SUM($P1160:AN1160)</f>
        <v>#VALUE!</v>
      </c>
      <c r="AP1160" s="446" t="e">
        <f>IF(OR($B1160="",MIN(AP$38,$D$19)&lt;MAX($P$708*($B1160+IF($R$17="Distrato",$I$38-1,0)),IF(AND($L$711=0,$P$708=0),"",$L$711-1),IF($R$17="Distrato",$E1160,0))),0,YEARFRAC(MAX($P$708*($B1160+IF($R$17="Distrato",$I$38-1,0)),IF(AND($L$711=0,$P$708=0),"",$L$711-1),IF($R$17="Distrato",$E1160,0)),MIN(AP$38,$D$19),$P$20))-SUM($P1160:AO1160)</f>
        <v>#VALUE!</v>
      </c>
      <c r="AQ1160" s="446" t="e">
        <f>IF(OR($B1160="",MIN(AQ$38,$D$19)&lt;MAX($P$708*($B1160+IF($R$17="Distrato",$I$38-1,0)),IF(AND($L$711=0,$P$708=0),"",$L$711-1),IF($R$17="Distrato",$E1160,0))),0,YEARFRAC(MAX($P$708*($B1160+IF($R$17="Distrato",$I$38-1,0)),IF(AND($L$711=0,$P$708=0),"",$L$711-1),IF($R$17="Distrato",$E1160,0)),MIN(AQ$38,$D$19),$P$20))-SUM($P1160:AP1160)</f>
        <v>#VALUE!</v>
      </c>
      <c r="AR1160" s="446" t="e">
        <f>IF(OR($B1160="",MIN(AR$38,$D$19)&lt;MAX($P$708*($B1160+IF($R$17="Distrato",$I$38-1,0)),IF(AND($L$711=0,$P$708=0),"",$L$711-1),IF($R$17="Distrato",$E1160,0))),0,YEARFRAC(MAX($P$708*($B1160+IF($R$17="Distrato",$I$38-1,0)),IF(AND($L$711=0,$P$708=0),"",$L$711-1),IF($R$17="Distrato",$E1160,0)),MIN(AR$38,$D$19),$P$20))-SUM($P1160:AQ1160)</f>
        <v>#VALUE!</v>
      </c>
      <c r="AS1160" s="446" t="e">
        <f>IF(OR($B1160="",MIN(AS$38,$D$19)&lt;MAX($P$708*($B1160+IF($R$17="Distrato",$I$38-1,0)),IF(AND($L$711=0,$P$708=0),"",$L$711-1),IF($R$17="Distrato",$E1160,0))),0,YEARFRAC(MAX($P$708*($B1160+IF($R$17="Distrato",$I$38-1,0)),IF(AND($L$711=0,$P$708=0),"",$L$711-1),IF($R$17="Distrato",$E1160,0)),MIN(AS$38,$D$19),$P$20))-SUM($P1160:AR1160)</f>
        <v>#VALUE!</v>
      </c>
      <c r="AT1160" s="446" t="e">
        <f>IF(OR($B1160="",MIN(AT$38,$D$19)&lt;MAX($P$708*($B1160+IF($R$17="Distrato",$I$38-1,0)),IF(AND($L$711=0,$P$708=0),"",$L$711-1),IF($R$17="Distrato",$E1160,0))),0,YEARFRAC(MAX($P$708*($B1160+IF($R$17="Distrato",$I$38-1,0)),IF(AND($L$711=0,$P$708=0),"",$L$711-1),IF($R$17="Distrato",$E1160,0)),MIN(AT$38,$D$19),$P$20))-SUM($P1160:AS1160)</f>
        <v>#VALUE!</v>
      </c>
      <c r="AU1160" s="446" t="e">
        <f>IF(OR($B1160="",MIN(AU$38,$D$19)&lt;MAX($P$708*($B1160+IF($R$17="Distrato",$I$38-1,0)),IF(AND($L$711=0,$P$708=0),"",$L$711-1),IF($R$17="Distrato",$E1160,0))),0,YEARFRAC(MAX($P$708*($B1160+IF($R$17="Distrato",$I$38-1,0)),IF(AND($L$711=0,$P$708=0),"",$L$711-1),IF($R$17="Distrato",$E1160,0)),MIN(AU$38,$D$19),$P$20))-SUM($P1160:AT1160)</f>
        <v>#VALUE!</v>
      </c>
      <c r="AV1160" s="446" t="e">
        <f>IF(OR($B1160="",MIN(AV$38,$D$19)&lt;MAX($P$708*($B1160+IF($R$17="Distrato",$I$38-1,0)),IF(AND($L$711=0,$P$708=0),"",$L$711-1),IF($R$17="Distrato",$E1160,0))),0,YEARFRAC(MAX($P$708*($B1160+IF($R$17="Distrato",$I$38-1,0)),IF(AND($L$711=0,$P$708=0),"",$L$711-1),IF($R$17="Distrato",$E1160,0)),MIN(AV$38,$D$19),$P$20))-SUM($P1160:AU1160)</f>
        <v>#VALUE!</v>
      </c>
      <c r="AW1160" s="446" t="e">
        <f>IF(OR($B1160="",MIN(AW$38,$D$19)&lt;MAX($P$708*($B1160+IF($R$17="Distrato",$I$38-1,0)),IF(AND($L$711=0,$P$708=0),"",$L$711-1),IF($R$17="Distrato",$E1160,0))),0,YEARFRAC(MAX($P$708*($B1160+IF($R$17="Distrato",$I$38-1,0)),IF(AND($L$711=0,$P$708=0),"",$L$711-1),IF($R$17="Distrato",$E1160,0)),MIN(AW$38,$D$19),$P$20))-SUM($P1160:AV1160)</f>
        <v>#VALUE!</v>
      </c>
      <c r="AX1160" s="446" t="e">
        <f>IF(OR($B1160="",MIN(AX$38,$D$19)&lt;MAX($P$708*($B1160+IF($R$17="Distrato",$I$38-1,0)),IF(AND($L$711=0,$P$708=0),"",$L$711-1),IF($R$17="Distrato",$E1160,0))),0,YEARFRAC(MAX($P$708*($B1160+IF($R$17="Distrato",$I$38-1,0)),IF(AND($L$711=0,$P$708=0),"",$L$711-1),IF($R$17="Distrato",$E1160,0)),MIN(AX$38,$D$19),$P$20))-SUM($P1160:AW1160)</f>
        <v>#VALUE!</v>
      </c>
      <c r="AY1160" s="446" t="e">
        <f>IF(OR($B1160="",MIN(AY$38,$D$19)&lt;MAX($P$708*($B1160+IF($R$17="Distrato",$I$38-1,0)),IF(AND($L$711=0,$P$708=0),"",$L$711-1),IF($R$17="Distrato",$E1160,0))),0,YEARFRAC(MAX($P$708*($B1160+IF($R$17="Distrato",$I$38-1,0)),IF(AND($L$711=0,$P$708=0),"",$L$711-1),IF($R$17="Distrato",$E1160,0)),MIN(AY$38,$D$19),$P$20))-SUM($P1160:AX1160)</f>
        <v>#VALUE!</v>
      </c>
      <c r="AZ1160" s="446" t="e">
        <f>IF(OR($B1160="",MIN(AZ$38,$D$19)&lt;MAX($P$708*($B1160+IF($R$17="Distrato",$I$38-1,0)),IF(AND($L$711=0,$P$708=0),"",$L$711-1),IF($R$17="Distrato",$E1160,0))),0,YEARFRAC(MAX($P$708*($B1160+IF($R$17="Distrato",$I$38-1,0)),IF(AND($L$711=0,$P$708=0),"",$L$711-1),IF($R$17="Distrato",$E1160,0)),MIN(AZ$38,$D$19),$P$20))-SUM($P1160:AY1160)</f>
        <v>#VALUE!</v>
      </c>
      <c r="BA1160" s="446" t="e">
        <f>IF(OR($B1160="",MIN(BA$38,$D$19)&lt;MAX($P$708*($B1160+IF($R$17="Distrato",$I$38-1,0)),IF(AND($L$711=0,$P$708=0),"",$L$711-1),IF($R$17="Distrato",$E1160,0))),0,YEARFRAC(MAX($P$708*($B1160+IF($R$17="Distrato",$I$38-1,0)),IF(AND($L$711=0,$P$708=0),"",$L$711-1),IF($R$17="Distrato",$E1160,0)),MIN(BA$38,$D$19),$P$20))-SUM($P1160:AZ1160)</f>
        <v>#VALUE!</v>
      </c>
      <c r="BB1160" s="447"/>
    </row>
    <row r="1161" spans="1:54" s="446" customFormat="1" ht="11.25" hidden="1" customHeight="1" x14ac:dyDescent="0.2">
      <c r="A1161" s="235"/>
      <c r="B1161" s="236"/>
      <c r="C1161" s="29" t="str">
        <f>IF(B1161="","",IF($L$709=$BL$25,VLOOKUP(DATE(YEAR($D$19),MONTH($D$19)-1,1),ÍNDICES!$A:$DE,HLOOKUP($BL$25,ÍNDICES!$B$3:$T$4,2)+11)-VLOOKUP(B1161,ÍNDICES!$A:$DE,HLOOKUP($BL$25,ÍNDICES!$B$3:$T$4,2)+11)+1%,IF(C$712=$W$26,$J$35,IF(ISERROR(IF(B1161&gt;$D$19,1,VLOOKUP(DATE(YEAR(B1161),MONTH(B1161)+IF($C$709=$S$23,1,0),1),ÍNDICES!$A:$DE,$Z$709+1))),"",IF(B1161&gt;$D$19,1,VLOOKUP(DATE(YEAR(B1161),MONTH(B1161)+IF($C$709=$S$23,1,0),1),ÍNDICES!$A:$DE,$Z$709+1))))))</f>
        <v/>
      </c>
      <c r="D1161" s="155"/>
      <c r="E1161" s="88"/>
      <c r="F1161" s="88"/>
      <c r="G1161" s="88"/>
      <c r="H1161" s="118"/>
      <c r="I1161" s="182">
        <f t="shared" si="157"/>
        <v>0</v>
      </c>
      <c r="J1161" s="20">
        <f t="shared" ca="1" si="158"/>
        <v>0</v>
      </c>
      <c r="K1161" s="5">
        <f t="shared" ca="1" si="159"/>
        <v>0</v>
      </c>
      <c r="L1161" s="61">
        <f t="shared" ca="1" si="160"/>
        <v>0</v>
      </c>
      <c r="M1161" s="64">
        <f t="shared" si="161"/>
        <v>0</v>
      </c>
      <c r="N1161" s="151"/>
      <c r="O1161" s="5">
        <f t="shared" ca="1" si="162"/>
        <v>0</v>
      </c>
      <c r="P1161" s="446" t="e">
        <f t="shared" si="163"/>
        <v>#VALUE!</v>
      </c>
      <c r="Q1161" s="446" t="e">
        <f>IF(OR($B1161="",MIN(Q$38,$D$19)&lt;MAX($P$708*($B1161+IF($R$17="Distrato",$I$38-1,0)),IF(AND($L$711=0,$P$708=0),"",$L$711-1),IF($R$17="Distrato",$E1161,0))),0,YEARFRAC(MAX($P$708*($B1161+IF($R$17="Distrato",$I$38-1,0)),IF(AND($L$711=0,$P$708=0),"",$L$711-1),IF($R$17="Distrato",$E1161,0)),MIN(Q$38,$D$19),$P$20))-SUM($P1161:P1161)</f>
        <v>#VALUE!</v>
      </c>
      <c r="R1161" s="446" t="e">
        <f>IF(OR($B1161="",MIN(R$38,$D$19)&lt;MAX($P$708*($B1161+IF($R$17="Distrato",$I$38-1,0)),IF(AND($L$711=0,$P$708=0),"",$L$711-1),IF($R$17="Distrato",$E1161,0))),0,YEARFRAC(MAX($P$708*($B1161+IF($R$17="Distrato",$I$38-1,0)),IF(AND($L$711=0,$P$708=0),"",$L$711-1),IF($R$17="Distrato",$E1161,0)),MIN(R$38,$D$19),$P$20))-SUM($P1161:Q1161)</f>
        <v>#VALUE!</v>
      </c>
      <c r="S1161" s="446" t="e">
        <f>IF(OR($B1161="",MIN(S$38,$D$19)&lt;MAX($P$708*($B1161+IF($R$17="Distrato",$I$38-1,0)),IF(AND($L$711=0,$P$708=0),"",$L$711-1),IF($R$17="Distrato",$E1161,0))),0,YEARFRAC(MAX($P$708*($B1161+IF($R$17="Distrato",$I$38-1,0)),IF(AND($L$711=0,$P$708=0),"",$L$711-1),IF($R$17="Distrato",$E1161,0)),MIN(S$38,$D$19),$P$20))-SUM($P1161:R1161)</f>
        <v>#VALUE!</v>
      </c>
      <c r="T1161" s="446" t="e">
        <f>IF(OR($B1161="",MIN(T$38,$D$19)&lt;MAX($P$708*($B1161+IF($R$17="Distrato",$I$38-1,0)),IF(AND($L$711=0,$P$708=0),"",$L$711-1),IF($R$17="Distrato",$E1161,0))),0,YEARFRAC(MAX($P$708*($B1161+IF($R$17="Distrato",$I$38-1,0)),IF(AND($L$711=0,$P$708=0),"",$L$711-1),IF($R$17="Distrato",$E1161,0)),MIN(T$38,$D$19),$P$20))-SUM($P1161:S1161)</f>
        <v>#VALUE!</v>
      </c>
      <c r="U1161" s="446" t="e">
        <f>IF(OR($B1161="",MIN(U$38,$D$19)&lt;MAX($P$708*($B1161+IF($R$17="Distrato",$I$38-1,0)),IF(AND($L$711=0,$P$708=0),"",$L$711-1),IF($R$17="Distrato",$E1161,0))),0,YEARFRAC(MAX($P$708*($B1161+IF($R$17="Distrato",$I$38-1,0)),IF(AND($L$711=0,$P$708=0),"",$L$711-1),IF($R$17="Distrato",$E1161,0)),MIN(U$38,$D$19),$P$20))-SUM($P1161:T1161)</f>
        <v>#VALUE!</v>
      </c>
      <c r="V1161" s="446" t="e">
        <f>IF(OR($B1161="",MIN(V$38,$D$19)&lt;MAX($P$708*($B1161+IF($R$17="Distrato",$I$38-1,0)),IF(AND($L$711=0,$P$708=0),"",$L$711-1),IF($R$17="Distrato",$E1161,0))),0,YEARFRAC(MAX($P$708*($B1161+IF($R$17="Distrato",$I$38-1,0)),IF(AND($L$711=0,$P$708=0),"",$L$711-1),IF($R$17="Distrato",$E1161,0)),MIN(V$38,$D$19),$P$20))-SUM($P1161:U1161)</f>
        <v>#VALUE!</v>
      </c>
      <c r="W1161" s="446" t="e">
        <f>IF(OR($B1161="",MIN(W$38,$D$19)&lt;MAX($P$708*($B1161+IF($R$17="Distrato",$I$38-1,0)),IF(AND($L$711=0,$P$708=0),"",$L$711-1),IF($R$17="Distrato",$E1161,0))),0,YEARFRAC(MAX($P$708*($B1161+IF($R$17="Distrato",$I$38-1,0)),IF(AND($L$711=0,$P$708=0),"",$L$711-1),IF($R$17="Distrato",$E1161,0)),MIN(W$38,$D$19),$P$20))-SUM($P1161:V1161)</f>
        <v>#VALUE!</v>
      </c>
      <c r="X1161" s="446" t="e">
        <f>IF(OR($B1161="",MIN(X$38,$D$19)&lt;MAX($P$708*($B1161+IF($R$17="Distrato",$I$38-1,0)),IF(AND($L$711=0,$P$708=0),"",$L$711-1),IF($R$17="Distrato",$E1161,0))),0,YEARFRAC(MAX($P$708*($B1161+IF($R$17="Distrato",$I$38-1,0)),IF(AND($L$711=0,$P$708=0),"",$L$711-1),IF($R$17="Distrato",$E1161,0)),MIN(X$38,$D$19),$P$20))-SUM($P1161:W1161)</f>
        <v>#VALUE!</v>
      </c>
      <c r="Y1161" s="446" t="e">
        <f>IF(OR($B1161="",MIN(Y$38,$D$19)&lt;MAX($P$708*($B1161+IF($R$17="Distrato",$I$38-1,0)),IF(AND($L$711=0,$P$708=0),"",$L$711-1),IF($R$17="Distrato",$E1161,0))),0,YEARFRAC(MAX($P$708*($B1161+IF($R$17="Distrato",$I$38-1,0)),IF(AND($L$711=0,$P$708=0),"",$L$711-1),IF($R$17="Distrato",$E1161,0)),MIN(Y$38,$D$19),$P$20))-SUM($P1161:X1161)</f>
        <v>#VALUE!</v>
      </c>
      <c r="Z1161" s="446" t="e">
        <f>IF(OR($B1161="",MIN(Z$38,$D$19)&lt;MAX($P$708*($B1161+IF($R$17="Distrato",$I$38-1,0)),IF(AND($L$711=0,$P$708=0),"",$L$711-1),IF($R$17="Distrato",$E1161,0))),0,YEARFRAC(MAX($P$708*($B1161+IF($R$17="Distrato",$I$38-1,0)),IF(AND($L$711=0,$P$708=0),"",$L$711-1),IF($R$17="Distrato",$E1161,0)),MIN(Z$38,$D$19),$P$20))-SUM($P1161:Y1161)</f>
        <v>#VALUE!</v>
      </c>
      <c r="AA1161" s="446" t="e">
        <f>IF(OR($B1161="",MIN(AA$38,$D$19)&lt;MAX($P$708*($B1161+IF($R$17="Distrato",$I$38-1,0)),IF(AND($L$711=0,$P$708=0),"",$L$711-1),IF($R$17="Distrato",$E1161,0))),0,YEARFRAC(MAX($P$708*($B1161+IF($R$17="Distrato",$I$38-1,0)),IF(AND($L$711=0,$P$708=0),"",$L$711-1),IF($R$17="Distrato",$E1161,0)),MIN(AA$38,$D$19),$P$20))-SUM($P1161:Z1161)</f>
        <v>#VALUE!</v>
      </c>
      <c r="AB1161" s="446" t="e">
        <f>IF(OR($B1161="",MIN(AB$38,$D$19)&lt;MAX($P$708*($B1161+IF($R$17="Distrato",$I$38-1,0)),IF(AND($L$711=0,$P$708=0),"",$L$711-1),IF($R$17="Distrato",$E1161,0))),0,YEARFRAC(MAX($P$708*($B1161+IF($R$17="Distrato",$I$38-1,0)),IF(AND($L$711=0,$P$708=0),"",$L$711-1),IF($R$17="Distrato",$E1161,0)),MIN(AB$38,$D$19),$P$20))-SUM($P1161:AA1161)</f>
        <v>#VALUE!</v>
      </c>
      <c r="AC1161" s="446" t="e">
        <f>IF(OR($B1161="",MIN(AC$38,$D$19)&lt;MAX($P$708*($B1161+IF($R$17="Distrato",$I$38-1,0)),IF(AND($L$711=0,$P$708=0),"",$L$711-1),IF($R$17="Distrato",$E1161,0))),0,YEARFRAC(MAX($P$708*($B1161+IF($R$17="Distrato",$I$38-1,0)),IF(AND($L$711=0,$P$708=0),"",$L$711-1),IF($R$17="Distrato",$E1161,0)),MIN(AC$38,$D$19),$P$20))-SUM($P1161:AB1161)</f>
        <v>#VALUE!</v>
      </c>
      <c r="AD1161" s="446" t="e">
        <f>IF(OR($B1161="",MIN(AD$38,$D$19)&lt;MAX($P$708*($B1161+IF($R$17="Distrato",$I$38-1,0)),IF(AND($L$711=0,$P$708=0),"",$L$711-1),IF($R$17="Distrato",$E1161,0))),0,YEARFRAC(MAX($P$708*($B1161+IF($R$17="Distrato",$I$38-1,0)),IF(AND($L$711=0,$P$708=0),"",$L$711-1),IF($R$17="Distrato",$E1161,0)),MIN(AD$38,$D$19),$P$20))-SUM($P1161:AC1161)</f>
        <v>#VALUE!</v>
      </c>
      <c r="AE1161" s="446" t="e">
        <f>IF(OR($B1161="",MIN(AE$38,$D$19)&lt;MAX($P$708*($B1161+IF($R$17="Distrato",$I$38-1,0)),IF(AND($L$711=0,$P$708=0),"",$L$711-1),IF($R$17="Distrato",$E1161,0))),0,YEARFRAC(MAX($P$708*($B1161+IF($R$17="Distrato",$I$38-1,0)),IF(AND($L$711=0,$P$708=0),"",$L$711-1),IF($R$17="Distrato",$E1161,0)),MIN(AE$38,$D$19),$P$20))-SUM($P1161:AD1161)</f>
        <v>#VALUE!</v>
      </c>
      <c r="AF1161" s="446" t="e">
        <f>IF(OR($B1161="",MIN(AF$38,$D$19)&lt;MAX($P$708*($B1161+IF($R$17="Distrato",$I$38-1,0)),IF(AND($L$711=0,$P$708=0),"",$L$711-1),IF($R$17="Distrato",$E1161,0))),0,YEARFRAC(MAX($P$708*($B1161+IF($R$17="Distrato",$I$38-1,0)),IF(AND($L$711=0,$P$708=0),"",$L$711-1),IF($R$17="Distrato",$E1161,0)),MIN(AF$38,$D$19),$P$20))-SUM($P1161:AE1161)</f>
        <v>#VALUE!</v>
      </c>
      <c r="AG1161" s="446" t="e">
        <f>IF(OR($B1161="",MIN(AG$38,$D$19)&lt;MAX($P$708*($B1161+IF($R$17="Distrato",$I$38-1,0)),IF(AND($L$711=0,$P$708=0),"",$L$711-1),IF($R$17="Distrato",$E1161,0))),0,YEARFRAC(MAX($P$708*($B1161+IF($R$17="Distrato",$I$38-1,0)),IF(AND($L$711=0,$P$708=0),"",$L$711-1),IF($R$17="Distrato",$E1161,0)),MIN(AG$38,$D$19),$P$20))-SUM($P1161:AF1161)</f>
        <v>#VALUE!</v>
      </c>
      <c r="AH1161" s="446" t="e">
        <f>IF(OR($B1161="",MIN(AH$38,$D$19)&lt;MAX($P$708*($B1161+IF($R$17="Distrato",$I$38-1,0)),IF(AND($L$711=0,$P$708=0),"",$L$711-1),IF($R$17="Distrato",$E1161,0))),0,YEARFRAC(MAX($P$708*($B1161+IF($R$17="Distrato",$I$38-1,0)),IF(AND($L$711=0,$P$708=0),"",$L$711-1),IF($R$17="Distrato",$E1161,0)),MIN(AH$38,$D$19),$P$20))-SUM($P1161:AG1161)</f>
        <v>#VALUE!</v>
      </c>
      <c r="AI1161" s="446" t="e">
        <f>IF(OR($B1161="",MIN(AI$38,$D$19)&lt;MAX($P$708*($B1161+IF($R$17="Distrato",$I$38-1,0)),IF(AND($L$711=0,$P$708=0),"",$L$711-1),IF($R$17="Distrato",$E1161,0))),0,YEARFRAC(MAX($P$708*($B1161+IF($R$17="Distrato",$I$38-1,0)),IF(AND($L$711=0,$P$708=0),"",$L$711-1),IF($R$17="Distrato",$E1161,0)),MIN(AI$38,$D$19),$P$20))-SUM($P1161:AH1161)</f>
        <v>#VALUE!</v>
      </c>
      <c r="AJ1161" s="446" t="e">
        <f>IF(OR($B1161="",MIN(AJ$38,$D$19)&lt;MAX($P$708*($B1161+IF($R$17="Distrato",$I$38-1,0)),IF(AND($L$711=0,$P$708=0),"",$L$711-1),IF($R$17="Distrato",$E1161,0))),0,YEARFRAC(MAX($P$708*($B1161+IF($R$17="Distrato",$I$38-1,0)),IF(AND($L$711=0,$P$708=0),"",$L$711-1),IF($R$17="Distrato",$E1161,0)),MIN(AJ$38,$D$19),$P$20))-SUM($P1161:AI1161)</f>
        <v>#VALUE!</v>
      </c>
      <c r="AK1161" s="446" t="e">
        <f>IF(OR($B1161="",MIN(AK$38,$D$19)&lt;MAX($P$708*($B1161+IF($R$17="Distrato",$I$38-1,0)),IF(AND($L$711=0,$P$708=0),"",$L$711-1),IF($R$17="Distrato",$E1161,0))),0,YEARFRAC(MAX($P$708*($B1161+IF($R$17="Distrato",$I$38-1,0)),IF(AND($L$711=0,$P$708=0),"",$L$711-1),IF($R$17="Distrato",$E1161,0)),MIN(AK$38,$D$19),$P$20))-SUM($P1161:AJ1161)</f>
        <v>#VALUE!</v>
      </c>
      <c r="AL1161" s="446" t="e">
        <f>IF(OR($B1161="",MIN(AL$38,$D$19)&lt;MAX($P$708*($B1161+IF($R$17="Distrato",$I$38-1,0)),IF(AND($L$711=0,$P$708=0),"",$L$711-1),IF($R$17="Distrato",$E1161,0))),0,YEARFRAC(MAX($P$708*($B1161+IF($R$17="Distrato",$I$38-1,0)),IF(AND($L$711=0,$P$708=0),"",$L$711-1),IF($R$17="Distrato",$E1161,0)),MIN(AL$38,$D$19),$P$20))-SUM($P1161:AK1161)</f>
        <v>#VALUE!</v>
      </c>
      <c r="AM1161" s="446" t="e">
        <f>IF(OR($B1161="",MIN(AM$38,$D$19)&lt;MAX($P$708*($B1161+IF($R$17="Distrato",$I$38-1,0)),IF(AND($L$711=0,$P$708=0),"",$L$711-1),IF($R$17="Distrato",$E1161,0))),0,YEARFRAC(MAX($P$708*($B1161+IF($R$17="Distrato",$I$38-1,0)),IF(AND($L$711=0,$P$708=0),"",$L$711-1),IF($R$17="Distrato",$E1161,0)),MIN(AM$38,$D$19),$P$20))-SUM($P1161:AL1161)</f>
        <v>#VALUE!</v>
      </c>
      <c r="AN1161" s="446" t="e">
        <f>IF(OR($B1161="",MIN(AN$38,$D$19)&lt;MAX($P$708*($B1161+IF($R$17="Distrato",$I$38-1,0)),IF(AND($L$711=0,$P$708=0),"",$L$711-1),IF($R$17="Distrato",$E1161,0))),0,YEARFRAC(MAX($P$708*($B1161+IF($R$17="Distrato",$I$38-1,0)),IF(AND($L$711=0,$P$708=0),"",$L$711-1),IF($R$17="Distrato",$E1161,0)),MIN(AN$38,$D$19),$P$20))-SUM($P1161:AM1161)</f>
        <v>#VALUE!</v>
      </c>
      <c r="AO1161" s="446" t="e">
        <f>IF(OR($B1161="",MIN(AO$38,$D$19)&lt;MAX($P$708*($B1161+IF($R$17="Distrato",$I$38-1,0)),IF(AND($L$711=0,$P$708=0),"",$L$711-1),IF($R$17="Distrato",$E1161,0))),0,YEARFRAC(MAX($P$708*($B1161+IF($R$17="Distrato",$I$38-1,0)),IF(AND($L$711=0,$P$708=0),"",$L$711-1),IF($R$17="Distrato",$E1161,0)),MIN(AO$38,$D$19),$P$20))-SUM($P1161:AN1161)</f>
        <v>#VALUE!</v>
      </c>
      <c r="AP1161" s="446" t="e">
        <f>IF(OR($B1161="",MIN(AP$38,$D$19)&lt;MAX($P$708*($B1161+IF($R$17="Distrato",$I$38-1,0)),IF(AND($L$711=0,$P$708=0),"",$L$711-1),IF($R$17="Distrato",$E1161,0))),0,YEARFRAC(MAX($P$708*($B1161+IF($R$17="Distrato",$I$38-1,0)),IF(AND($L$711=0,$P$708=0),"",$L$711-1),IF($R$17="Distrato",$E1161,0)),MIN(AP$38,$D$19),$P$20))-SUM($P1161:AO1161)</f>
        <v>#VALUE!</v>
      </c>
      <c r="AQ1161" s="446" t="e">
        <f>IF(OR($B1161="",MIN(AQ$38,$D$19)&lt;MAX($P$708*($B1161+IF($R$17="Distrato",$I$38-1,0)),IF(AND($L$711=0,$P$708=0),"",$L$711-1),IF($R$17="Distrato",$E1161,0))),0,YEARFRAC(MAX($P$708*($B1161+IF($R$17="Distrato",$I$38-1,0)),IF(AND($L$711=0,$P$708=0),"",$L$711-1),IF($R$17="Distrato",$E1161,0)),MIN(AQ$38,$D$19),$P$20))-SUM($P1161:AP1161)</f>
        <v>#VALUE!</v>
      </c>
      <c r="AR1161" s="446" t="e">
        <f>IF(OR($B1161="",MIN(AR$38,$D$19)&lt;MAX($P$708*($B1161+IF($R$17="Distrato",$I$38-1,0)),IF(AND($L$711=0,$P$708=0),"",$L$711-1),IF($R$17="Distrato",$E1161,0))),0,YEARFRAC(MAX($P$708*($B1161+IF($R$17="Distrato",$I$38-1,0)),IF(AND($L$711=0,$P$708=0),"",$L$711-1),IF($R$17="Distrato",$E1161,0)),MIN(AR$38,$D$19),$P$20))-SUM($P1161:AQ1161)</f>
        <v>#VALUE!</v>
      </c>
      <c r="AS1161" s="446" t="e">
        <f>IF(OR($B1161="",MIN(AS$38,$D$19)&lt;MAX($P$708*($B1161+IF($R$17="Distrato",$I$38-1,0)),IF(AND($L$711=0,$P$708=0),"",$L$711-1),IF($R$17="Distrato",$E1161,0))),0,YEARFRAC(MAX($P$708*($B1161+IF($R$17="Distrato",$I$38-1,0)),IF(AND($L$711=0,$P$708=0),"",$L$711-1),IF($R$17="Distrato",$E1161,0)),MIN(AS$38,$D$19),$P$20))-SUM($P1161:AR1161)</f>
        <v>#VALUE!</v>
      </c>
      <c r="AT1161" s="446" t="e">
        <f>IF(OR($B1161="",MIN(AT$38,$D$19)&lt;MAX($P$708*($B1161+IF($R$17="Distrato",$I$38-1,0)),IF(AND($L$711=0,$P$708=0),"",$L$711-1),IF($R$17="Distrato",$E1161,0))),0,YEARFRAC(MAX($P$708*($B1161+IF($R$17="Distrato",$I$38-1,0)),IF(AND($L$711=0,$P$708=0),"",$L$711-1),IF($R$17="Distrato",$E1161,0)),MIN(AT$38,$D$19),$P$20))-SUM($P1161:AS1161)</f>
        <v>#VALUE!</v>
      </c>
      <c r="AU1161" s="446" t="e">
        <f>IF(OR($B1161="",MIN(AU$38,$D$19)&lt;MAX($P$708*($B1161+IF($R$17="Distrato",$I$38-1,0)),IF(AND($L$711=0,$P$708=0),"",$L$711-1),IF($R$17="Distrato",$E1161,0))),0,YEARFRAC(MAX($P$708*($B1161+IF($R$17="Distrato",$I$38-1,0)),IF(AND($L$711=0,$P$708=0),"",$L$711-1),IF($R$17="Distrato",$E1161,0)),MIN(AU$38,$D$19),$P$20))-SUM($P1161:AT1161)</f>
        <v>#VALUE!</v>
      </c>
      <c r="AV1161" s="446" t="e">
        <f>IF(OR($B1161="",MIN(AV$38,$D$19)&lt;MAX($P$708*($B1161+IF($R$17="Distrato",$I$38-1,0)),IF(AND($L$711=0,$P$708=0),"",$L$711-1),IF($R$17="Distrato",$E1161,0))),0,YEARFRAC(MAX($P$708*($B1161+IF($R$17="Distrato",$I$38-1,0)),IF(AND($L$711=0,$P$708=0),"",$L$711-1),IF($R$17="Distrato",$E1161,0)),MIN(AV$38,$D$19),$P$20))-SUM($P1161:AU1161)</f>
        <v>#VALUE!</v>
      </c>
      <c r="AW1161" s="446" t="e">
        <f>IF(OR($B1161="",MIN(AW$38,$D$19)&lt;MAX($P$708*($B1161+IF($R$17="Distrato",$I$38-1,0)),IF(AND($L$711=0,$P$708=0),"",$L$711-1),IF($R$17="Distrato",$E1161,0))),0,YEARFRAC(MAX($P$708*($B1161+IF($R$17="Distrato",$I$38-1,0)),IF(AND($L$711=0,$P$708=0),"",$L$711-1),IF($R$17="Distrato",$E1161,0)),MIN(AW$38,$D$19),$P$20))-SUM($P1161:AV1161)</f>
        <v>#VALUE!</v>
      </c>
      <c r="AX1161" s="446" t="e">
        <f>IF(OR($B1161="",MIN(AX$38,$D$19)&lt;MAX($P$708*($B1161+IF($R$17="Distrato",$I$38-1,0)),IF(AND($L$711=0,$P$708=0),"",$L$711-1),IF($R$17="Distrato",$E1161,0))),0,YEARFRAC(MAX($P$708*($B1161+IF($R$17="Distrato",$I$38-1,0)),IF(AND($L$711=0,$P$708=0),"",$L$711-1),IF($R$17="Distrato",$E1161,0)),MIN(AX$38,$D$19),$P$20))-SUM($P1161:AW1161)</f>
        <v>#VALUE!</v>
      </c>
      <c r="AY1161" s="446" t="e">
        <f>IF(OR($B1161="",MIN(AY$38,$D$19)&lt;MAX($P$708*($B1161+IF($R$17="Distrato",$I$38-1,0)),IF(AND($L$711=0,$P$708=0),"",$L$711-1),IF($R$17="Distrato",$E1161,0))),0,YEARFRAC(MAX($P$708*($B1161+IF($R$17="Distrato",$I$38-1,0)),IF(AND($L$711=0,$P$708=0),"",$L$711-1),IF($R$17="Distrato",$E1161,0)),MIN(AY$38,$D$19),$P$20))-SUM($P1161:AX1161)</f>
        <v>#VALUE!</v>
      </c>
      <c r="AZ1161" s="446" t="e">
        <f>IF(OR($B1161="",MIN(AZ$38,$D$19)&lt;MAX($P$708*($B1161+IF($R$17="Distrato",$I$38-1,0)),IF(AND($L$711=0,$P$708=0),"",$L$711-1),IF($R$17="Distrato",$E1161,0))),0,YEARFRAC(MAX($P$708*($B1161+IF($R$17="Distrato",$I$38-1,0)),IF(AND($L$711=0,$P$708=0),"",$L$711-1),IF($R$17="Distrato",$E1161,0)),MIN(AZ$38,$D$19),$P$20))-SUM($P1161:AY1161)</f>
        <v>#VALUE!</v>
      </c>
      <c r="BA1161" s="446" t="e">
        <f>IF(OR($B1161="",MIN(BA$38,$D$19)&lt;MAX($P$708*($B1161+IF($R$17="Distrato",$I$38-1,0)),IF(AND($L$711=0,$P$708=0),"",$L$711-1),IF($R$17="Distrato",$E1161,0))),0,YEARFRAC(MAX($P$708*($B1161+IF($R$17="Distrato",$I$38-1,0)),IF(AND($L$711=0,$P$708=0),"",$L$711-1),IF($R$17="Distrato",$E1161,0)),MIN(BA$38,$D$19),$P$20))-SUM($P1161:AZ1161)</f>
        <v>#VALUE!</v>
      </c>
      <c r="BB1161" s="447"/>
    </row>
    <row r="1162" spans="1:54" s="446" customFormat="1" ht="11.25" hidden="1" customHeight="1" x14ac:dyDescent="0.2">
      <c r="A1162" s="235"/>
      <c r="B1162" s="236"/>
      <c r="C1162" s="29" t="str">
        <f>IF(B1162="","",IF($L$709=$BL$25,VLOOKUP(DATE(YEAR($D$19),MONTH($D$19)-1,1),ÍNDICES!$A:$DE,HLOOKUP($BL$25,ÍNDICES!$B$3:$T$4,2)+11)-VLOOKUP(B1162,ÍNDICES!$A:$DE,HLOOKUP($BL$25,ÍNDICES!$B$3:$T$4,2)+11)+1%,IF(C$712=$W$26,$J$35,IF(ISERROR(IF(B1162&gt;$D$19,1,VLOOKUP(DATE(YEAR(B1162),MONTH(B1162)+IF($C$709=$S$23,1,0),1),ÍNDICES!$A:$DE,$Z$709+1))),"",IF(B1162&gt;$D$19,1,VLOOKUP(DATE(YEAR(B1162),MONTH(B1162)+IF($C$709=$S$23,1,0),1),ÍNDICES!$A:$DE,$Z$709+1))))))</f>
        <v/>
      </c>
      <c r="D1162" s="155"/>
      <c r="E1162" s="88"/>
      <c r="F1162" s="88"/>
      <c r="G1162" s="88"/>
      <c r="H1162" s="118"/>
      <c r="I1162" s="182">
        <f t="shared" ref="I1162:I1213" si="164">IF(ISERROR(D1162-G1162),"",D1162-G1162)</f>
        <v>0</v>
      </c>
      <c r="J1162" s="20">
        <f t="shared" ref="J1162:J1213" ca="1" si="165">IF(ISERROR(IF(I1162="","",I1162*IF(B1162&gt;$D$19,1,$J$709)/C1162)),0,IF(I1162="","",I1162*IF(B1162&gt;$D$19,1,$J$709)/C1162))</f>
        <v>0</v>
      </c>
      <c r="K1162" s="5">
        <f t="shared" ref="K1162:K1213" ca="1" si="166">IF(ISERROR(J1162*K$712),0,J1162*K$712)</f>
        <v>0</v>
      </c>
      <c r="L1162" s="61">
        <f t="shared" ref="L1162:L1213" ca="1" si="167">IF(L$709="SELIC - TRIBUTOS",0,IFERROR(K1162*SUMPRODUCT($P$37:$BA$37,$P1162:$BA1162),0))</f>
        <v>0</v>
      </c>
      <c r="M1162" s="64">
        <f t="shared" ref="M1162:M1213" si="168">IFERROR(SUM(P1162:BA1162),0)</f>
        <v>0</v>
      </c>
      <c r="N1162" s="151"/>
      <c r="O1162" s="5">
        <f t="shared" ref="O1162:O1213" ca="1" si="169">IF(ISERROR((K1162+L1162)*N$712),"",(K1162+L1162)*N$712)</f>
        <v>0</v>
      </c>
      <c r="P1162" s="446" t="e">
        <f t="shared" ref="P1162:P1213" si="170">IF(OR($B1162="",MIN(P$38,$D$19)&lt;MAX($P$708*($B1162+IF($R$17="Distrato",$I$38-1,0)),IF(AND($L$711=0,$P$708=0),"",$L$711-1),IF($R$17="Distrato",$E1162,0))),0,YEARFRAC(MAX($P$708*($B1162+IF($R$17="Distrato",$I$38-1,0)),IF(AND($L$711=0,$P$708=0),"",$L$711-1),IF($R$17="Distrato",$E1162,0)),MIN(P$38,$D$19),$P$20))</f>
        <v>#VALUE!</v>
      </c>
      <c r="Q1162" s="446" t="e">
        <f>IF(OR($B1162="",MIN(Q$38,$D$19)&lt;MAX($P$708*($B1162+IF($R$17="Distrato",$I$38-1,0)),IF(AND($L$711=0,$P$708=0),"",$L$711-1),IF($R$17="Distrato",$E1162,0))),0,YEARFRAC(MAX($P$708*($B1162+IF($R$17="Distrato",$I$38-1,0)),IF(AND($L$711=0,$P$708=0),"",$L$711-1),IF($R$17="Distrato",$E1162,0)),MIN(Q$38,$D$19),$P$20))-SUM($P1162:P1162)</f>
        <v>#VALUE!</v>
      </c>
      <c r="R1162" s="446" t="e">
        <f>IF(OR($B1162="",MIN(R$38,$D$19)&lt;MAX($P$708*($B1162+IF($R$17="Distrato",$I$38-1,0)),IF(AND($L$711=0,$P$708=0),"",$L$711-1),IF($R$17="Distrato",$E1162,0))),0,YEARFRAC(MAX($P$708*($B1162+IF($R$17="Distrato",$I$38-1,0)),IF(AND($L$711=0,$P$708=0),"",$L$711-1),IF($R$17="Distrato",$E1162,0)),MIN(R$38,$D$19),$P$20))-SUM($P1162:Q1162)</f>
        <v>#VALUE!</v>
      </c>
      <c r="S1162" s="446" t="e">
        <f>IF(OR($B1162="",MIN(S$38,$D$19)&lt;MAX($P$708*($B1162+IF($R$17="Distrato",$I$38-1,0)),IF(AND($L$711=0,$P$708=0),"",$L$711-1),IF($R$17="Distrato",$E1162,0))),0,YEARFRAC(MAX($P$708*($B1162+IF($R$17="Distrato",$I$38-1,0)),IF(AND($L$711=0,$P$708=0),"",$L$711-1),IF($R$17="Distrato",$E1162,0)),MIN(S$38,$D$19),$P$20))-SUM($P1162:R1162)</f>
        <v>#VALUE!</v>
      </c>
      <c r="T1162" s="446" t="e">
        <f>IF(OR($B1162="",MIN(T$38,$D$19)&lt;MAX($P$708*($B1162+IF($R$17="Distrato",$I$38-1,0)),IF(AND($L$711=0,$P$708=0),"",$L$711-1),IF($R$17="Distrato",$E1162,0))),0,YEARFRAC(MAX($P$708*($B1162+IF($R$17="Distrato",$I$38-1,0)),IF(AND($L$711=0,$P$708=0),"",$L$711-1),IF($R$17="Distrato",$E1162,0)),MIN(T$38,$D$19),$P$20))-SUM($P1162:S1162)</f>
        <v>#VALUE!</v>
      </c>
      <c r="U1162" s="446" t="e">
        <f>IF(OR($B1162="",MIN(U$38,$D$19)&lt;MAX($P$708*($B1162+IF($R$17="Distrato",$I$38-1,0)),IF(AND($L$711=0,$P$708=0),"",$L$711-1),IF($R$17="Distrato",$E1162,0))),0,YEARFRAC(MAX($P$708*($B1162+IF($R$17="Distrato",$I$38-1,0)),IF(AND($L$711=0,$P$708=0),"",$L$711-1),IF($R$17="Distrato",$E1162,0)),MIN(U$38,$D$19),$P$20))-SUM($P1162:T1162)</f>
        <v>#VALUE!</v>
      </c>
      <c r="V1162" s="446" t="e">
        <f>IF(OR($B1162="",MIN(V$38,$D$19)&lt;MAX($P$708*($B1162+IF($R$17="Distrato",$I$38-1,0)),IF(AND($L$711=0,$P$708=0),"",$L$711-1),IF($R$17="Distrato",$E1162,0))),0,YEARFRAC(MAX($P$708*($B1162+IF($R$17="Distrato",$I$38-1,0)),IF(AND($L$711=0,$P$708=0),"",$L$711-1),IF($R$17="Distrato",$E1162,0)),MIN(V$38,$D$19),$P$20))-SUM($P1162:U1162)</f>
        <v>#VALUE!</v>
      </c>
      <c r="W1162" s="446" t="e">
        <f>IF(OR($B1162="",MIN(W$38,$D$19)&lt;MAX($P$708*($B1162+IF($R$17="Distrato",$I$38-1,0)),IF(AND($L$711=0,$P$708=0),"",$L$711-1),IF($R$17="Distrato",$E1162,0))),0,YEARFRAC(MAX($P$708*($B1162+IF($R$17="Distrato",$I$38-1,0)),IF(AND($L$711=0,$P$708=0),"",$L$711-1),IF($R$17="Distrato",$E1162,0)),MIN(W$38,$D$19),$P$20))-SUM($P1162:V1162)</f>
        <v>#VALUE!</v>
      </c>
      <c r="X1162" s="446" t="e">
        <f>IF(OR($B1162="",MIN(X$38,$D$19)&lt;MAX($P$708*($B1162+IF($R$17="Distrato",$I$38-1,0)),IF(AND($L$711=0,$P$708=0),"",$L$711-1),IF($R$17="Distrato",$E1162,0))),0,YEARFRAC(MAX($P$708*($B1162+IF($R$17="Distrato",$I$38-1,0)),IF(AND($L$711=0,$P$708=0),"",$L$711-1),IF($R$17="Distrato",$E1162,0)),MIN(X$38,$D$19),$P$20))-SUM($P1162:W1162)</f>
        <v>#VALUE!</v>
      </c>
      <c r="Y1162" s="446" t="e">
        <f>IF(OR($B1162="",MIN(Y$38,$D$19)&lt;MAX($P$708*($B1162+IF($R$17="Distrato",$I$38-1,0)),IF(AND($L$711=0,$P$708=0),"",$L$711-1),IF($R$17="Distrato",$E1162,0))),0,YEARFRAC(MAX($P$708*($B1162+IF($R$17="Distrato",$I$38-1,0)),IF(AND($L$711=0,$P$708=0),"",$L$711-1),IF($R$17="Distrato",$E1162,0)),MIN(Y$38,$D$19),$P$20))-SUM($P1162:X1162)</f>
        <v>#VALUE!</v>
      </c>
      <c r="Z1162" s="446" t="e">
        <f>IF(OR($B1162="",MIN(Z$38,$D$19)&lt;MAX($P$708*($B1162+IF($R$17="Distrato",$I$38-1,0)),IF(AND($L$711=0,$P$708=0),"",$L$711-1),IF($R$17="Distrato",$E1162,0))),0,YEARFRAC(MAX($P$708*($B1162+IF($R$17="Distrato",$I$38-1,0)),IF(AND($L$711=0,$P$708=0),"",$L$711-1),IF($R$17="Distrato",$E1162,0)),MIN(Z$38,$D$19),$P$20))-SUM($P1162:Y1162)</f>
        <v>#VALUE!</v>
      </c>
      <c r="AA1162" s="446" t="e">
        <f>IF(OR($B1162="",MIN(AA$38,$D$19)&lt;MAX($P$708*($B1162+IF($R$17="Distrato",$I$38-1,0)),IF(AND($L$711=0,$P$708=0),"",$L$711-1),IF($R$17="Distrato",$E1162,0))),0,YEARFRAC(MAX($P$708*($B1162+IF($R$17="Distrato",$I$38-1,0)),IF(AND($L$711=0,$P$708=0),"",$L$711-1),IF($R$17="Distrato",$E1162,0)),MIN(AA$38,$D$19),$P$20))-SUM($P1162:Z1162)</f>
        <v>#VALUE!</v>
      </c>
      <c r="AB1162" s="446" t="e">
        <f>IF(OR($B1162="",MIN(AB$38,$D$19)&lt;MAX($P$708*($B1162+IF($R$17="Distrato",$I$38-1,0)),IF(AND($L$711=0,$P$708=0),"",$L$711-1),IF($R$17="Distrato",$E1162,0))),0,YEARFRAC(MAX($P$708*($B1162+IF($R$17="Distrato",$I$38-1,0)),IF(AND($L$711=0,$P$708=0),"",$L$711-1),IF($R$17="Distrato",$E1162,0)),MIN(AB$38,$D$19),$P$20))-SUM($P1162:AA1162)</f>
        <v>#VALUE!</v>
      </c>
      <c r="AC1162" s="446" t="e">
        <f>IF(OR($B1162="",MIN(AC$38,$D$19)&lt;MAX($P$708*($B1162+IF($R$17="Distrato",$I$38-1,0)),IF(AND($L$711=0,$P$708=0),"",$L$711-1),IF($R$17="Distrato",$E1162,0))),0,YEARFRAC(MAX($P$708*($B1162+IF($R$17="Distrato",$I$38-1,0)),IF(AND($L$711=0,$P$708=0),"",$L$711-1),IF($R$17="Distrato",$E1162,0)),MIN(AC$38,$D$19),$P$20))-SUM($P1162:AB1162)</f>
        <v>#VALUE!</v>
      </c>
      <c r="AD1162" s="446" t="e">
        <f>IF(OR($B1162="",MIN(AD$38,$D$19)&lt;MAX($P$708*($B1162+IF($R$17="Distrato",$I$38-1,0)),IF(AND($L$711=0,$P$708=0),"",$L$711-1),IF($R$17="Distrato",$E1162,0))),0,YEARFRAC(MAX($P$708*($B1162+IF($R$17="Distrato",$I$38-1,0)),IF(AND($L$711=0,$P$708=0),"",$L$711-1),IF($R$17="Distrato",$E1162,0)),MIN(AD$38,$D$19),$P$20))-SUM($P1162:AC1162)</f>
        <v>#VALUE!</v>
      </c>
      <c r="AE1162" s="446" t="e">
        <f>IF(OR($B1162="",MIN(AE$38,$D$19)&lt;MAX($P$708*($B1162+IF($R$17="Distrato",$I$38-1,0)),IF(AND($L$711=0,$P$708=0),"",$L$711-1),IF($R$17="Distrato",$E1162,0))),0,YEARFRAC(MAX($P$708*($B1162+IF($R$17="Distrato",$I$38-1,0)),IF(AND($L$711=0,$P$708=0),"",$L$711-1),IF($R$17="Distrato",$E1162,0)),MIN(AE$38,$D$19),$P$20))-SUM($P1162:AD1162)</f>
        <v>#VALUE!</v>
      </c>
      <c r="AF1162" s="446" t="e">
        <f>IF(OR($B1162="",MIN(AF$38,$D$19)&lt;MAX($P$708*($B1162+IF($R$17="Distrato",$I$38-1,0)),IF(AND($L$711=0,$P$708=0),"",$L$711-1),IF($R$17="Distrato",$E1162,0))),0,YEARFRAC(MAX($P$708*($B1162+IF($R$17="Distrato",$I$38-1,0)),IF(AND($L$711=0,$P$708=0),"",$L$711-1),IF($R$17="Distrato",$E1162,0)),MIN(AF$38,$D$19),$P$20))-SUM($P1162:AE1162)</f>
        <v>#VALUE!</v>
      </c>
      <c r="AG1162" s="446" t="e">
        <f>IF(OR($B1162="",MIN(AG$38,$D$19)&lt;MAX($P$708*($B1162+IF($R$17="Distrato",$I$38-1,0)),IF(AND($L$711=0,$P$708=0),"",$L$711-1),IF($R$17="Distrato",$E1162,0))),0,YEARFRAC(MAX($P$708*($B1162+IF($R$17="Distrato",$I$38-1,0)),IF(AND($L$711=0,$P$708=0),"",$L$711-1),IF($R$17="Distrato",$E1162,0)),MIN(AG$38,$D$19),$P$20))-SUM($P1162:AF1162)</f>
        <v>#VALUE!</v>
      </c>
      <c r="AH1162" s="446" t="e">
        <f>IF(OR($B1162="",MIN(AH$38,$D$19)&lt;MAX($P$708*($B1162+IF($R$17="Distrato",$I$38-1,0)),IF(AND($L$711=0,$P$708=0),"",$L$711-1),IF($R$17="Distrato",$E1162,0))),0,YEARFRAC(MAX($P$708*($B1162+IF($R$17="Distrato",$I$38-1,0)),IF(AND($L$711=0,$P$708=0),"",$L$711-1),IF($R$17="Distrato",$E1162,0)),MIN(AH$38,$D$19),$P$20))-SUM($P1162:AG1162)</f>
        <v>#VALUE!</v>
      </c>
      <c r="AI1162" s="446" t="e">
        <f>IF(OR($B1162="",MIN(AI$38,$D$19)&lt;MAX($P$708*($B1162+IF($R$17="Distrato",$I$38-1,0)),IF(AND($L$711=0,$P$708=0),"",$L$711-1),IF($R$17="Distrato",$E1162,0))),0,YEARFRAC(MAX($P$708*($B1162+IF($R$17="Distrato",$I$38-1,0)),IF(AND($L$711=0,$P$708=0),"",$L$711-1),IF($R$17="Distrato",$E1162,0)),MIN(AI$38,$D$19),$P$20))-SUM($P1162:AH1162)</f>
        <v>#VALUE!</v>
      </c>
      <c r="AJ1162" s="446" t="e">
        <f>IF(OR($B1162="",MIN(AJ$38,$D$19)&lt;MAX($P$708*($B1162+IF($R$17="Distrato",$I$38-1,0)),IF(AND($L$711=0,$P$708=0),"",$L$711-1),IF($R$17="Distrato",$E1162,0))),0,YEARFRAC(MAX($P$708*($B1162+IF($R$17="Distrato",$I$38-1,0)),IF(AND($L$711=0,$P$708=0),"",$L$711-1),IF($R$17="Distrato",$E1162,0)),MIN(AJ$38,$D$19),$P$20))-SUM($P1162:AI1162)</f>
        <v>#VALUE!</v>
      </c>
      <c r="AK1162" s="446" t="e">
        <f>IF(OR($B1162="",MIN(AK$38,$D$19)&lt;MAX($P$708*($B1162+IF($R$17="Distrato",$I$38-1,0)),IF(AND($L$711=0,$P$708=0),"",$L$711-1),IF($R$17="Distrato",$E1162,0))),0,YEARFRAC(MAX($P$708*($B1162+IF($R$17="Distrato",$I$38-1,0)),IF(AND($L$711=0,$P$708=0),"",$L$711-1),IF($R$17="Distrato",$E1162,0)),MIN(AK$38,$D$19),$P$20))-SUM($P1162:AJ1162)</f>
        <v>#VALUE!</v>
      </c>
      <c r="AL1162" s="446" t="e">
        <f>IF(OR($B1162="",MIN(AL$38,$D$19)&lt;MAX($P$708*($B1162+IF($R$17="Distrato",$I$38-1,0)),IF(AND($L$711=0,$P$708=0),"",$L$711-1),IF($R$17="Distrato",$E1162,0))),0,YEARFRAC(MAX($P$708*($B1162+IF($R$17="Distrato",$I$38-1,0)),IF(AND($L$711=0,$P$708=0),"",$L$711-1),IF($R$17="Distrato",$E1162,0)),MIN(AL$38,$D$19),$P$20))-SUM($P1162:AK1162)</f>
        <v>#VALUE!</v>
      </c>
      <c r="AM1162" s="446" t="e">
        <f>IF(OR($B1162="",MIN(AM$38,$D$19)&lt;MAX($P$708*($B1162+IF($R$17="Distrato",$I$38-1,0)),IF(AND($L$711=0,$P$708=0),"",$L$711-1),IF($R$17="Distrato",$E1162,0))),0,YEARFRAC(MAX($P$708*($B1162+IF($R$17="Distrato",$I$38-1,0)),IF(AND($L$711=0,$P$708=0),"",$L$711-1),IF($R$17="Distrato",$E1162,0)),MIN(AM$38,$D$19),$P$20))-SUM($P1162:AL1162)</f>
        <v>#VALUE!</v>
      </c>
      <c r="AN1162" s="446" t="e">
        <f>IF(OR($B1162="",MIN(AN$38,$D$19)&lt;MAX($P$708*($B1162+IF($R$17="Distrato",$I$38-1,0)),IF(AND($L$711=0,$P$708=0),"",$L$711-1),IF($R$17="Distrato",$E1162,0))),0,YEARFRAC(MAX($P$708*($B1162+IF($R$17="Distrato",$I$38-1,0)),IF(AND($L$711=0,$P$708=0),"",$L$711-1),IF($R$17="Distrato",$E1162,0)),MIN(AN$38,$D$19),$P$20))-SUM($P1162:AM1162)</f>
        <v>#VALUE!</v>
      </c>
      <c r="AO1162" s="446" t="e">
        <f>IF(OR($B1162="",MIN(AO$38,$D$19)&lt;MAX($P$708*($B1162+IF($R$17="Distrato",$I$38-1,0)),IF(AND($L$711=0,$P$708=0),"",$L$711-1),IF($R$17="Distrato",$E1162,0))),0,YEARFRAC(MAX($P$708*($B1162+IF($R$17="Distrato",$I$38-1,0)),IF(AND($L$711=0,$P$708=0),"",$L$711-1),IF($R$17="Distrato",$E1162,0)),MIN(AO$38,$D$19),$P$20))-SUM($P1162:AN1162)</f>
        <v>#VALUE!</v>
      </c>
      <c r="AP1162" s="446" t="e">
        <f>IF(OR($B1162="",MIN(AP$38,$D$19)&lt;MAX($P$708*($B1162+IF($R$17="Distrato",$I$38-1,0)),IF(AND($L$711=0,$P$708=0),"",$L$711-1),IF($R$17="Distrato",$E1162,0))),0,YEARFRAC(MAX($P$708*($B1162+IF($R$17="Distrato",$I$38-1,0)),IF(AND($L$711=0,$P$708=0),"",$L$711-1),IF($R$17="Distrato",$E1162,0)),MIN(AP$38,$D$19),$P$20))-SUM($P1162:AO1162)</f>
        <v>#VALUE!</v>
      </c>
      <c r="AQ1162" s="446" t="e">
        <f>IF(OR($B1162="",MIN(AQ$38,$D$19)&lt;MAX($P$708*($B1162+IF($R$17="Distrato",$I$38-1,0)),IF(AND($L$711=0,$P$708=0),"",$L$711-1),IF($R$17="Distrato",$E1162,0))),0,YEARFRAC(MAX($P$708*($B1162+IF($R$17="Distrato",$I$38-1,0)),IF(AND($L$711=0,$P$708=0),"",$L$711-1),IF($R$17="Distrato",$E1162,0)),MIN(AQ$38,$D$19),$P$20))-SUM($P1162:AP1162)</f>
        <v>#VALUE!</v>
      </c>
      <c r="AR1162" s="446" t="e">
        <f>IF(OR($B1162="",MIN(AR$38,$D$19)&lt;MAX($P$708*($B1162+IF($R$17="Distrato",$I$38-1,0)),IF(AND($L$711=0,$P$708=0),"",$L$711-1),IF($R$17="Distrato",$E1162,0))),0,YEARFRAC(MAX($P$708*($B1162+IF($R$17="Distrato",$I$38-1,0)),IF(AND($L$711=0,$P$708=0),"",$L$711-1),IF($R$17="Distrato",$E1162,0)),MIN(AR$38,$D$19),$P$20))-SUM($P1162:AQ1162)</f>
        <v>#VALUE!</v>
      </c>
      <c r="AS1162" s="446" t="e">
        <f>IF(OR($B1162="",MIN(AS$38,$D$19)&lt;MAX($P$708*($B1162+IF($R$17="Distrato",$I$38-1,0)),IF(AND($L$711=0,$P$708=0),"",$L$711-1),IF($R$17="Distrato",$E1162,0))),0,YEARFRAC(MAX($P$708*($B1162+IF($R$17="Distrato",$I$38-1,0)),IF(AND($L$711=0,$P$708=0),"",$L$711-1),IF($R$17="Distrato",$E1162,0)),MIN(AS$38,$D$19),$P$20))-SUM($P1162:AR1162)</f>
        <v>#VALUE!</v>
      </c>
      <c r="AT1162" s="446" t="e">
        <f>IF(OR($B1162="",MIN(AT$38,$D$19)&lt;MAX($P$708*($B1162+IF($R$17="Distrato",$I$38-1,0)),IF(AND($L$711=0,$P$708=0),"",$L$711-1),IF($R$17="Distrato",$E1162,0))),0,YEARFRAC(MAX($P$708*($B1162+IF($R$17="Distrato",$I$38-1,0)),IF(AND($L$711=0,$P$708=0),"",$L$711-1),IF($R$17="Distrato",$E1162,0)),MIN(AT$38,$D$19),$P$20))-SUM($P1162:AS1162)</f>
        <v>#VALUE!</v>
      </c>
      <c r="AU1162" s="446" t="e">
        <f>IF(OR($B1162="",MIN(AU$38,$D$19)&lt;MAX($P$708*($B1162+IF($R$17="Distrato",$I$38-1,0)),IF(AND($L$711=0,$P$708=0),"",$L$711-1),IF($R$17="Distrato",$E1162,0))),0,YEARFRAC(MAX($P$708*($B1162+IF($R$17="Distrato",$I$38-1,0)),IF(AND($L$711=0,$P$708=0),"",$L$711-1),IF($R$17="Distrato",$E1162,0)),MIN(AU$38,$D$19),$P$20))-SUM($P1162:AT1162)</f>
        <v>#VALUE!</v>
      </c>
      <c r="AV1162" s="446" t="e">
        <f>IF(OR($B1162="",MIN(AV$38,$D$19)&lt;MAX($P$708*($B1162+IF($R$17="Distrato",$I$38-1,0)),IF(AND($L$711=0,$P$708=0),"",$L$711-1),IF($R$17="Distrato",$E1162,0))),0,YEARFRAC(MAX($P$708*($B1162+IF($R$17="Distrato",$I$38-1,0)),IF(AND($L$711=0,$P$708=0),"",$L$711-1),IF($R$17="Distrato",$E1162,0)),MIN(AV$38,$D$19),$P$20))-SUM($P1162:AU1162)</f>
        <v>#VALUE!</v>
      </c>
      <c r="AW1162" s="446" t="e">
        <f>IF(OR($B1162="",MIN(AW$38,$D$19)&lt;MAX($P$708*($B1162+IF($R$17="Distrato",$I$38-1,0)),IF(AND($L$711=0,$P$708=0),"",$L$711-1),IF($R$17="Distrato",$E1162,0))),0,YEARFRAC(MAX($P$708*($B1162+IF($R$17="Distrato",$I$38-1,0)),IF(AND($L$711=0,$P$708=0),"",$L$711-1),IF($R$17="Distrato",$E1162,0)),MIN(AW$38,$D$19),$P$20))-SUM($P1162:AV1162)</f>
        <v>#VALUE!</v>
      </c>
      <c r="AX1162" s="446" t="e">
        <f>IF(OR($B1162="",MIN(AX$38,$D$19)&lt;MAX($P$708*($B1162+IF($R$17="Distrato",$I$38-1,0)),IF(AND($L$711=0,$P$708=0),"",$L$711-1),IF($R$17="Distrato",$E1162,0))),0,YEARFRAC(MAX($P$708*($B1162+IF($R$17="Distrato",$I$38-1,0)),IF(AND($L$711=0,$P$708=0),"",$L$711-1),IF($R$17="Distrato",$E1162,0)),MIN(AX$38,$D$19),$P$20))-SUM($P1162:AW1162)</f>
        <v>#VALUE!</v>
      </c>
      <c r="AY1162" s="446" t="e">
        <f>IF(OR($B1162="",MIN(AY$38,$D$19)&lt;MAX($P$708*($B1162+IF($R$17="Distrato",$I$38-1,0)),IF(AND($L$711=0,$P$708=0),"",$L$711-1),IF($R$17="Distrato",$E1162,0))),0,YEARFRAC(MAX($P$708*($B1162+IF($R$17="Distrato",$I$38-1,0)),IF(AND($L$711=0,$P$708=0),"",$L$711-1),IF($R$17="Distrato",$E1162,0)),MIN(AY$38,$D$19),$P$20))-SUM($P1162:AX1162)</f>
        <v>#VALUE!</v>
      </c>
      <c r="AZ1162" s="446" t="e">
        <f>IF(OR($B1162="",MIN(AZ$38,$D$19)&lt;MAX($P$708*($B1162+IF($R$17="Distrato",$I$38-1,0)),IF(AND($L$711=0,$P$708=0),"",$L$711-1),IF($R$17="Distrato",$E1162,0))),0,YEARFRAC(MAX($P$708*($B1162+IF($R$17="Distrato",$I$38-1,0)),IF(AND($L$711=0,$P$708=0),"",$L$711-1),IF($R$17="Distrato",$E1162,0)),MIN(AZ$38,$D$19),$P$20))-SUM($P1162:AY1162)</f>
        <v>#VALUE!</v>
      </c>
      <c r="BA1162" s="446" t="e">
        <f>IF(OR($B1162="",MIN(BA$38,$D$19)&lt;MAX($P$708*($B1162+IF($R$17="Distrato",$I$38-1,0)),IF(AND($L$711=0,$P$708=0),"",$L$711-1),IF($R$17="Distrato",$E1162,0))),0,YEARFRAC(MAX($P$708*($B1162+IF($R$17="Distrato",$I$38-1,0)),IF(AND($L$711=0,$P$708=0),"",$L$711-1),IF($R$17="Distrato",$E1162,0)),MIN(BA$38,$D$19),$P$20))-SUM($P1162:AZ1162)</f>
        <v>#VALUE!</v>
      </c>
      <c r="BB1162" s="447"/>
    </row>
    <row r="1163" spans="1:54" s="446" customFormat="1" ht="11.25" hidden="1" customHeight="1" x14ac:dyDescent="0.2">
      <c r="A1163" s="235"/>
      <c r="B1163" s="236"/>
      <c r="C1163" s="29" t="str">
        <f>IF(B1163="","",IF($L$709=$BL$25,VLOOKUP(DATE(YEAR($D$19),MONTH($D$19)-1,1),ÍNDICES!$A:$DE,HLOOKUP($BL$25,ÍNDICES!$B$3:$T$4,2)+11)-VLOOKUP(B1163,ÍNDICES!$A:$DE,HLOOKUP($BL$25,ÍNDICES!$B$3:$T$4,2)+11)+1%,IF(C$712=$W$26,$J$35,IF(ISERROR(IF(B1163&gt;$D$19,1,VLOOKUP(DATE(YEAR(B1163),MONTH(B1163)+IF($C$709=$S$23,1,0),1),ÍNDICES!$A:$DE,$Z$709+1))),"",IF(B1163&gt;$D$19,1,VLOOKUP(DATE(YEAR(B1163),MONTH(B1163)+IF($C$709=$S$23,1,0),1),ÍNDICES!$A:$DE,$Z$709+1))))))</f>
        <v/>
      </c>
      <c r="D1163" s="155"/>
      <c r="E1163" s="88"/>
      <c r="F1163" s="88"/>
      <c r="G1163" s="88"/>
      <c r="H1163" s="118"/>
      <c r="I1163" s="182">
        <f t="shared" si="164"/>
        <v>0</v>
      </c>
      <c r="J1163" s="20">
        <f t="shared" ca="1" si="165"/>
        <v>0</v>
      </c>
      <c r="K1163" s="5">
        <f t="shared" ca="1" si="166"/>
        <v>0</v>
      </c>
      <c r="L1163" s="61">
        <f t="shared" ca="1" si="167"/>
        <v>0</v>
      </c>
      <c r="M1163" s="64">
        <f t="shared" si="168"/>
        <v>0</v>
      </c>
      <c r="N1163" s="151"/>
      <c r="O1163" s="5">
        <f t="shared" ca="1" si="169"/>
        <v>0</v>
      </c>
      <c r="P1163" s="446" t="e">
        <f t="shared" si="170"/>
        <v>#VALUE!</v>
      </c>
      <c r="Q1163" s="446" t="e">
        <f>IF(OR($B1163="",MIN(Q$38,$D$19)&lt;MAX($P$708*($B1163+IF($R$17="Distrato",$I$38-1,0)),IF(AND($L$711=0,$P$708=0),"",$L$711-1),IF($R$17="Distrato",$E1163,0))),0,YEARFRAC(MAX($P$708*($B1163+IF($R$17="Distrato",$I$38-1,0)),IF(AND($L$711=0,$P$708=0),"",$L$711-1),IF($R$17="Distrato",$E1163,0)),MIN(Q$38,$D$19),$P$20))-SUM($P1163:P1163)</f>
        <v>#VALUE!</v>
      </c>
      <c r="R1163" s="446" t="e">
        <f>IF(OR($B1163="",MIN(R$38,$D$19)&lt;MAX($P$708*($B1163+IF($R$17="Distrato",$I$38-1,0)),IF(AND($L$711=0,$P$708=0),"",$L$711-1),IF($R$17="Distrato",$E1163,0))),0,YEARFRAC(MAX($P$708*($B1163+IF($R$17="Distrato",$I$38-1,0)),IF(AND($L$711=0,$P$708=0),"",$L$711-1),IF($R$17="Distrato",$E1163,0)),MIN(R$38,$D$19),$P$20))-SUM($P1163:Q1163)</f>
        <v>#VALUE!</v>
      </c>
      <c r="S1163" s="446" t="e">
        <f>IF(OR($B1163="",MIN(S$38,$D$19)&lt;MAX($P$708*($B1163+IF($R$17="Distrato",$I$38-1,0)),IF(AND($L$711=0,$P$708=0),"",$L$711-1),IF($R$17="Distrato",$E1163,0))),0,YEARFRAC(MAX($P$708*($B1163+IF($R$17="Distrato",$I$38-1,0)),IF(AND($L$711=0,$P$708=0),"",$L$711-1),IF($R$17="Distrato",$E1163,0)),MIN(S$38,$D$19),$P$20))-SUM($P1163:R1163)</f>
        <v>#VALUE!</v>
      </c>
      <c r="T1163" s="446" t="e">
        <f>IF(OR($B1163="",MIN(T$38,$D$19)&lt;MAX($P$708*($B1163+IF($R$17="Distrato",$I$38-1,0)),IF(AND($L$711=0,$P$708=0),"",$L$711-1),IF($R$17="Distrato",$E1163,0))),0,YEARFRAC(MAX($P$708*($B1163+IF($R$17="Distrato",$I$38-1,0)),IF(AND($L$711=0,$P$708=0),"",$L$711-1),IF($R$17="Distrato",$E1163,0)),MIN(T$38,$D$19),$P$20))-SUM($P1163:S1163)</f>
        <v>#VALUE!</v>
      </c>
      <c r="U1163" s="446" t="e">
        <f>IF(OR($B1163="",MIN(U$38,$D$19)&lt;MAX($P$708*($B1163+IF($R$17="Distrato",$I$38-1,0)),IF(AND($L$711=0,$P$708=0),"",$L$711-1),IF($R$17="Distrato",$E1163,0))),0,YEARFRAC(MAX($P$708*($B1163+IF($R$17="Distrato",$I$38-1,0)),IF(AND($L$711=0,$P$708=0),"",$L$711-1),IF($R$17="Distrato",$E1163,0)),MIN(U$38,$D$19),$P$20))-SUM($P1163:T1163)</f>
        <v>#VALUE!</v>
      </c>
      <c r="V1163" s="446" t="e">
        <f>IF(OR($B1163="",MIN(V$38,$D$19)&lt;MAX($P$708*($B1163+IF($R$17="Distrato",$I$38-1,0)),IF(AND($L$711=0,$P$708=0),"",$L$711-1),IF($R$17="Distrato",$E1163,0))),0,YEARFRAC(MAX($P$708*($B1163+IF($R$17="Distrato",$I$38-1,0)),IF(AND($L$711=0,$P$708=0),"",$L$711-1),IF($R$17="Distrato",$E1163,0)),MIN(V$38,$D$19),$P$20))-SUM($P1163:U1163)</f>
        <v>#VALUE!</v>
      </c>
      <c r="W1163" s="446" t="e">
        <f>IF(OR($B1163="",MIN(W$38,$D$19)&lt;MAX($P$708*($B1163+IF($R$17="Distrato",$I$38-1,0)),IF(AND($L$711=0,$P$708=0),"",$L$711-1),IF($R$17="Distrato",$E1163,0))),0,YEARFRAC(MAX($P$708*($B1163+IF($R$17="Distrato",$I$38-1,0)),IF(AND($L$711=0,$P$708=0),"",$L$711-1),IF($R$17="Distrato",$E1163,0)),MIN(W$38,$D$19),$P$20))-SUM($P1163:V1163)</f>
        <v>#VALUE!</v>
      </c>
      <c r="X1163" s="446" t="e">
        <f>IF(OR($B1163="",MIN(X$38,$D$19)&lt;MAX($P$708*($B1163+IF($R$17="Distrato",$I$38-1,0)),IF(AND($L$711=0,$P$708=0),"",$L$711-1),IF($R$17="Distrato",$E1163,0))),0,YEARFRAC(MAX($P$708*($B1163+IF($R$17="Distrato",$I$38-1,0)),IF(AND($L$711=0,$P$708=0),"",$L$711-1),IF($R$17="Distrato",$E1163,0)),MIN(X$38,$D$19),$P$20))-SUM($P1163:W1163)</f>
        <v>#VALUE!</v>
      </c>
      <c r="Y1163" s="446" t="e">
        <f>IF(OR($B1163="",MIN(Y$38,$D$19)&lt;MAX($P$708*($B1163+IF($R$17="Distrato",$I$38-1,0)),IF(AND($L$711=0,$P$708=0),"",$L$711-1),IF($R$17="Distrato",$E1163,0))),0,YEARFRAC(MAX($P$708*($B1163+IF($R$17="Distrato",$I$38-1,0)),IF(AND($L$711=0,$P$708=0),"",$L$711-1),IF($R$17="Distrato",$E1163,0)),MIN(Y$38,$D$19),$P$20))-SUM($P1163:X1163)</f>
        <v>#VALUE!</v>
      </c>
      <c r="Z1163" s="446" t="e">
        <f>IF(OR($B1163="",MIN(Z$38,$D$19)&lt;MAX($P$708*($B1163+IF($R$17="Distrato",$I$38-1,0)),IF(AND($L$711=0,$P$708=0),"",$L$711-1),IF($R$17="Distrato",$E1163,0))),0,YEARFRAC(MAX($P$708*($B1163+IF($R$17="Distrato",$I$38-1,0)),IF(AND($L$711=0,$P$708=0),"",$L$711-1),IF($R$17="Distrato",$E1163,0)),MIN(Z$38,$D$19),$P$20))-SUM($P1163:Y1163)</f>
        <v>#VALUE!</v>
      </c>
      <c r="AA1163" s="446" t="e">
        <f>IF(OR($B1163="",MIN(AA$38,$D$19)&lt;MAX($P$708*($B1163+IF($R$17="Distrato",$I$38-1,0)),IF(AND($L$711=0,$P$708=0),"",$L$711-1),IF($R$17="Distrato",$E1163,0))),0,YEARFRAC(MAX($P$708*($B1163+IF($R$17="Distrato",$I$38-1,0)),IF(AND($L$711=0,$P$708=0),"",$L$711-1),IF($R$17="Distrato",$E1163,0)),MIN(AA$38,$D$19),$P$20))-SUM($P1163:Z1163)</f>
        <v>#VALUE!</v>
      </c>
      <c r="AB1163" s="446" t="e">
        <f>IF(OR($B1163="",MIN(AB$38,$D$19)&lt;MAX($P$708*($B1163+IF($R$17="Distrato",$I$38-1,0)),IF(AND($L$711=0,$P$708=0),"",$L$711-1),IF($R$17="Distrato",$E1163,0))),0,YEARFRAC(MAX($P$708*($B1163+IF($R$17="Distrato",$I$38-1,0)),IF(AND($L$711=0,$P$708=0),"",$L$711-1),IF($R$17="Distrato",$E1163,0)),MIN(AB$38,$D$19),$P$20))-SUM($P1163:AA1163)</f>
        <v>#VALUE!</v>
      </c>
      <c r="AC1163" s="446" t="e">
        <f>IF(OR($B1163="",MIN(AC$38,$D$19)&lt;MAX($P$708*($B1163+IF($R$17="Distrato",$I$38-1,0)),IF(AND($L$711=0,$P$708=0),"",$L$711-1),IF($R$17="Distrato",$E1163,0))),0,YEARFRAC(MAX($P$708*($B1163+IF($R$17="Distrato",$I$38-1,0)),IF(AND($L$711=0,$P$708=0),"",$L$711-1),IF($R$17="Distrato",$E1163,0)),MIN(AC$38,$D$19),$P$20))-SUM($P1163:AB1163)</f>
        <v>#VALUE!</v>
      </c>
      <c r="AD1163" s="446" t="e">
        <f>IF(OR($B1163="",MIN(AD$38,$D$19)&lt;MAX($P$708*($B1163+IF($R$17="Distrato",$I$38-1,0)),IF(AND($L$711=0,$P$708=0),"",$L$711-1),IF($R$17="Distrato",$E1163,0))),0,YEARFRAC(MAX($P$708*($B1163+IF($R$17="Distrato",$I$38-1,0)),IF(AND($L$711=0,$P$708=0),"",$L$711-1),IF($R$17="Distrato",$E1163,0)),MIN(AD$38,$D$19),$P$20))-SUM($P1163:AC1163)</f>
        <v>#VALUE!</v>
      </c>
      <c r="AE1163" s="446" t="e">
        <f>IF(OR($B1163="",MIN(AE$38,$D$19)&lt;MAX($P$708*($B1163+IF($R$17="Distrato",$I$38-1,0)),IF(AND($L$711=0,$P$708=0),"",$L$711-1),IF($R$17="Distrato",$E1163,0))),0,YEARFRAC(MAX($P$708*($B1163+IF($R$17="Distrato",$I$38-1,0)),IF(AND($L$711=0,$P$708=0),"",$L$711-1),IF($R$17="Distrato",$E1163,0)),MIN(AE$38,$D$19),$P$20))-SUM($P1163:AD1163)</f>
        <v>#VALUE!</v>
      </c>
      <c r="AF1163" s="446" t="e">
        <f>IF(OR($B1163="",MIN(AF$38,$D$19)&lt;MAX($P$708*($B1163+IF($R$17="Distrato",$I$38-1,0)),IF(AND($L$711=0,$P$708=0),"",$L$711-1),IF($R$17="Distrato",$E1163,0))),0,YEARFRAC(MAX($P$708*($B1163+IF($R$17="Distrato",$I$38-1,0)),IF(AND($L$711=0,$P$708=0),"",$L$711-1),IF($R$17="Distrato",$E1163,0)),MIN(AF$38,$D$19),$P$20))-SUM($P1163:AE1163)</f>
        <v>#VALUE!</v>
      </c>
      <c r="AG1163" s="446" t="e">
        <f>IF(OR($B1163="",MIN(AG$38,$D$19)&lt;MAX($P$708*($B1163+IF($R$17="Distrato",$I$38-1,0)),IF(AND($L$711=0,$P$708=0),"",$L$711-1),IF($R$17="Distrato",$E1163,0))),0,YEARFRAC(MAX($P$708*($B1163+IF($R$17="Distrato",$I$38-1,0)),IF(AND($L$711=0,$P$708=0),"",$L$711-1),IF($R$17="Distrato",$E1163,0)),MIN(AG$38,$D$19),$P$20))-SUM($P1163:AF1163)</f>
        <v>#VALUE!</v>
      </c>
      <c r="AH1163" s="446" t="e">
        <f>IF(OR($B1163="",MIN(AH$38,$D$19)&lt;MAX($P$708*($B1163+IF($R$17="Distrato",$I$38-1,0)),IF(AND($L$711=0,$P$708=0),"",$L$711-1),IF($R$17="Distrato",$E1163,0))),0,YEARFRAC(MAX($P$708*($B1163+IF($R$17="Distrato",$I$38-1,0)),IF(AND($L$711=0,$P$708=0),"",$L$711-1),IF($R$17="Distrato",$E1163,0)),MIN(AH$38,$D$19),$P$20))-SUM($P1163:AG1163)</f>
        <v>#VALUE!</v>
      </c>
      <c r="AI1163" s="446" t="e">
        <f>IF(OR($B1163="",MIN(AI$38,$D$19)&lt;MAX($P$708*($B1163+IF($R$17="Distrato",$I$38-1,0)),IF(AND($L$711=0,$P$708=0),"",$L$711-1),IF($R$17="Distrato",$E1163,0))),0,YEARFRAC(MAX($P$708*($B1163+IF($R$17="Distrato",$I$38-1,0)),IF(AND($L$711=0,$P$708=0),"",$L$711-1),IF($R$17="Distrato",$E1163,0)),MIN(AI$38,$D$19),$P$20))-SUM($P1163:AH1163)</f>
        <v>#VALUE!</v>
      </c>
      <c r="AJ1163" s="446" t="e">
        <f>IF(OR($B1163="",MIN(AJ$38,$D$19)&lt;MAX($P$708*($B1163+IF($R$17="Distrato",$I$38-1,0)),IF(AND($L$711=0,$P$708=0),"",$L$711-1),IF($R$17="Distrato",$E1163,0))),0,YEARFRAC(MAX($P$708*($B1163+IF($R$17="Distrato",$I$38-1,0)),IF(AND($L$711=0,$P$708=0),"",$L$711-1),IF($R$17="Distrato",$E1163,0)),MIN(AJ$38,$D$19),$P$20))-SUM($P1163:AI1163)</f>
        <v>#VALUE!</v>
      </c>
      <c r="AK1163" s="446" t="e">
        <f>IF(OR($B1163="",MIN(AK$38,$D$19)&lt;MAX($P$708*($B1163+IF($R$17="Distrato",$I$38-1,0)),IF(AND($L$711=0,$P$708=0),"",$L$711-1),IF($R$17="Distrato",$E1163,0))),0,YEARFRAC(MAX($P$708*($B1163+IF($R$17="Distrato",$I$38-1,0)),IF(AND($L$711=0,$P$708=0),"",$L$711-1),IF($R$17="Distrato",$E1163,0)),MIN(AK$38,$D$19),$P$20))-SUM($P1163:AJ1163)</f>
        <v>#VALUE!</v>
      </c>
      <c r="AL1163" s="446" t="e">
        <f>IF(OR($B1163="",MIN(AL$38,$D$19)&lt;MAX($P$708*($B1163+IF($R$17="Distrato",$I$38-1,0)),IF(AND($L$711=0,$P$708=0),"",$L$711-1),IF($R$17="Distrato",$E1163,0))),0,YEARFRAC(MAX($P$708*($B1163+IF($R$17="Distrato",$I$38-1,0)),IF(AND($L$711=0,$P$708=0),"",$L$711-1),IF($R$17="Distrato",$E1163,0)),MIN(AL$38,$D$19),$P$20))-SUM($P1163:AK1163)</f>
        <v>#VALUE!</v>
      </c>
      <c r="AM1163" s="446" t="e">
        <f>IF(OR($B1163="",MIN(AM$38,$D$19)&lt;MAX($P$708*($B1163+IF($R$17="Distrato",$I$38-1,0)),IF(AND($L$711=0,$P$708=0),"",$L$711-1),IF($R$17="Distrato",$E1163,0))),0,YEARFRAC(MAX($P$708*($B1163+IF($R$17="Distrato",$I$38-1,0)),IF(AND($L$711=0,$P$708=0),"",$L$711-1),IF($R$17="Distrato",$E1163,0)),MIN(AM$38,$D$19),$P$20))-SUM($P1163:AL1163)</f>
        <v>#VALUE!</v>
      </c>
      <c r="AN1163" s="446" t="e">
        <f>IF(OR($B1163="",MIN(AN$38,$D$19)&lt;MAX($P$708*($B1163+IF($R$17="Distrato",$I$38-1,0)),IF(AND($L$711=0,$P$708=0),"",$L$711-1),IF($R$17="Distrato",$E1163,0))),0,YEARFRAC(MAX($P$708*($B1163+IF($R$17="Distrato",$I$38-1,0)),IF(AND($L$711=0,$P$708=0),"",$L$711-1),IF($R$17="Distrato",$E1163,0)),MIN(AN$38,$D$19),$P$20))-SUM($P1163:AM1163)</f>
        <v>#VALUE!</v>
      </c>
      <c r="AO1163" s="446" t="e">
        <f>IF(OR($B1163="",MIN(AO$38,$D$19)&lt;MAX($P$708*($B1163+IF($R$17="Distrato",$I$38-1,0)),IF(AND($L$711=0,$P$708=0),"",$L$711-1),IF($R$17="Distrato",$E1163,0))),0,YEARFRAC(MAX($P$708*($B1163+IF($R$17="Distrato",$I$38-1,0)),IF(AND($L$711=0,$P$708=0),"",$L$711-1),IF($R$17="Distrato",$E1163,0)),MIN(AO$38,$D$19),$P$20))-SUM($P1163:AN1163)</f>
        <v>#VALUE!</v>
      </c>
      <c r="AP1163" s="446" t="e">
        <f>IF(OR($B1163="",MIN(AP$38,$D$19)&lt;MAX($P$708*($B1163+IF($R$17="Distrato",$I$38-1,0)),IF(AND($L$711=0,$P$708=0),"",$L$711-1),IF($R$17="Distrato",$E1163,0))),0,YEARFRAC(MAX($P$708*($B1163+IF($R$17="Distrato",$I$38-1,0)),IF(AND($L$711=0,$P$708=0),"",$L$711-1),IF($R$17="Distrato",$E1163,0)),MIN(AP$38,$D$19),$P$20))-SUM($P1163:AO1163)</f>
        <v>#VALUE!</v>
      </c>
      <c r="AQ1163" s="446" t="e">
        <f>IF(OR($B1163="",MIN(AQ$38,$D$19)&lt;MAX($P$708*($B1163+IF($R$17="Distrato",$I$38-1,0)),IF(AND($L$711=0,$P$708=0),"",$L$711-1),IF($R$17="Distrato",$E1163,0))),0,YEARFRAC(MAX($P$708*($B1163+IF($R$17="Distrato",$I$38-1,0)),IF(AND($L$711=0,$P$708=0),"",$L$711-1),IF($R$17="Distrato",$E1163,0)),MIN(AQ$38,$D$19),$P$20))-SUM($P1163:AP1163)</f>
        <v>#VALUE!</v>
      </c>
      <c r="AR1163" s="446" t="e">
        <f>IF(OR($B1163="",MIN(AR$38,$D$19)&lt;MAX($P$708*($B1163+IF($R$17="Distrato",$I$38-1,0)),IF(AND($L$711=0,$P$708=0),"",$L$711-1),IF($R$17="Distrato",$E1163,0))),0,YEARFRAC(MAX($P$708*($B1163+IF($R$17="Distrato",$I$38-1,0)),IF(AND($L$711=0,$P$708=0),"",$L$711-1),IF($R$17="Distrato",$E1163,0)),MIN(AR$38,$D$19),$P$20))-SUM($P1163:AQ1163)</f>
        <v>#VALUE!</v>
      </c>
      <c r="AS1163" s="446" t="e">
        <f>IF(OR($B1163="",MIN(AS$38,$D$19)&lt;MAX($P$708*($B1163+IF($R$17="Distrato",$I$38-1,0)),IF(AND($L$711=0,$P$708=0),"",$L$711-1),IF($R$17="Distrato",$E1163,0))),0,YEARFRAC(MAX($P$708*($B1163+IF($R$17="Distrato",$I$38-1,0)),IF(AND($L$711=0,$P$708=0),"",$L$711-1),IF($R$17="Distrato",$E1163,0)),MIN(AS$38,$D$19),$P$20))-SUM($P1163:AR1163)</f>
        <v>#VALUE!</v>
      </c>
      <c r="AT1163" s="446" t="e">
        <f>IF(OR($B1163="",MIN(AT$38,$D$19)&lt;MAX($P$708*($B1163+IF($R$17="Distrato",$I$38-1,0)),IF(AND($L$711=0,$P$708=0),"",$L$711-1),IF($R$17="Distrato",$E1163,0))),0,YEARFRAC(MAX($P$708*($B1163+IF($R$17="Distrato",$I$38-1,0)),IF(AND($L$711=0,$P$708=0),"",$L$711-1),IF($R$17="Distrato",$E1163,0)),MIN(AT$38,$D$19),$P$20))-SUM($P1163:AS1163)</f>
        <v>#VALUE!</v>
      </c>
      <c r="AU1163" s="446" t="e">
        <f>IF(OR($B1163="",MIN(AU$38,$D$19)&lt;MAX($P$708*($B1163+IF($R$17="Distrato",$I$38-1,0)),IF(AND($L$711=0,$P$708=0),"",$L$711-1),IF($R$17="Distrato",$E1163,0))),0,YEARFRAC(MAX($P$708*($B1163+IF($R$17="Distrato",$I$38-1,0)),IF(AND($L$711=0,$P$708=0),"",$L$711-1),IF($R$17="Distrato",$E1163,0)),MIN(AU$38,$D$19),$P$20))-SUM($P1163:AT1163)</f>
        <v>#VALUE!</v>
      </c>
      <c r="AV1163" s="446" t="e">
        <f>IF(OR($B1163="",MIN(AV$38,$D$19)&lt;MAX($P$708*($B1163+IF($R$17="Distrato",$I$38-1,0)),IF(AND($L$711=0,$P$708=0),"",$L$711-1),IF($R$17="Distrato",$E1163,0))),0,YEARFRAC(MAX($P$708*($B1163+IF($R$17="Distrato",$I$38-1,0)),IF(AND($L$711=0,$P$708=0),"",$L$711-1),IF($R$17="Distrato",$E1163,0)),MIN(AV$38,$D$19),$P$20))-SUM($P1163:AU1163)</f>
        <v>#VALUE!</v>
      </c>
      <c r="AW1163" s="446" t="e">
        <f>IF(OR($B1163="",MIN(AW$38,$D$19)&lt;MAX($P$708*($B1163+IF($R$17="Distrato",$I$38-1,0)),IF(AND($L$711=0,$P$708=0),"",$L$711-1),IF($R$17="Distrato",$E1163,0))),0,YEARFRAC(MAX($P$708*($B1163+IF($R$17="Distrato",$I$38-1,0)),IF(AND($L$711=0,$P$708=0),"",$L$711-1),IF($R$17="Distrato",$E1163,0)),MIN(AW$38,$D$19),$P$20))-SUM($P1163:AV1163)</f>
        <v>#VALUE!</v>
      </c>
      <c r="AX1163" s="446" t="e">
        <f>IF(OR($B1163="",MIN(AX$38,$D$19)&lt;MAX($P$708*($B1163+IF($R$17="Distrato",$I$38-1,0)),IF(AND($L$711=0,$P$708=0),"",$L$711-1),IF($R$17="Distrato",$E1163,0))),0,YEARFRAC(MAX($P$708*($B1163+IF($R$17="Distrato",$I$38-1,0)),IF(AND($L$711=0,$P$708=0),"",$L$711-1),IF($R$17="Distrato",$E1163,0)),MIN(AX$38,$D$19),$P$20))-SUM($P1163:AW1163)</f>
        <v>#VALUE!</v>
      </c>
      <c r="AY1163" s="446" t="e">
        <f>IF(OR($B1163="",MIN(AY$38,$D$19)&lt;MAX($P$708*($B1163+IF($R$17="Distrato",$I$38-1,0)),IF(AND($L$711=0,$P$708=0),"",$L$711-1),IF($R$17="Distrato",$E1163,0))),0,YEARFRAC(MAX($P$708*($B1163+IF($R$17="Distrato",$I$38-1,0)),IF(AND($L$711=0,$P$708=0),"",$L$711-1),IF($R$17="Distrato",$E1163,0)),MIN(AY$38,$D$19),$P$20))-SUM($P1163:AX1163)</f>
        <v>#VALUE!</v>
      </c>
      <c r="AZ1163" s="446" t="e">
        <f>IF(OR($B1163="",MIN(AZ$38,$D$19)&lt;MAX($P$708*($B1163+IF($R$17="Distrato",$I$38-1,0)),IF(AND($L$711=0,$P$708=0),"",$L$711-1),IF($R$17="Distrato",$E1163,0))),0,YEARFRAC(MAX($P$708*($B1163+IF($R$17="Distrato",$I$38-1,0)),IF(AND($L$711=0,$P$708=0),"",$L$711-1),IF($R$17="Distrato",$E1163,0)),MIN(AZ$38,$D$19),$P$20))-SUM($P1163:AY1163)</f>
        <v>#VALUE!</v>
      </c>
      <c r="BA1163" s="446" t="e">
        <f>IF(OR($B1163="",MIN(BA$38,$D$19)&lt;MAX($P$708*($B1163+IF($R$17="Distrato",$I$38-1,0)),IF(AND($L$711=0,$P$708=0),"",$L$711-1),IF($R$17="Distrato",$E1163,0))),0,YEARFRAC(MAX($P$708*($B1163+IF($R$17="Distrato",$I$38-1,0)),IF(AND($L$711=0,$P$708=0),"",$L$711-1),IF($R$17="Distrato",$E1163,0)),MIN(BA$38,$D$19),$P$20))-SUM($P1163:AZ1163)</f>
        <v>#VALUE!</v>
      </c>
      <c r="BB1163" s="447"/>
    </row>
    <row r="1164" spans="1:54" s="446" customFormat="1" ht="11.25" hidden="1" customHeight="1" x14ac:dyDescent="0.2">
      <c r="A1164" s="235"/>
      <c r="B1164" s="236"/>
      <c r="C1164" s="29" t="str">
        <f>IF(B1164="","",IF($L$709=$BL$25,VLOOKUP(DATE(YEAR($D$19),MONTH($D$19)-1,1),ÍNDICES!$A:$DE,HLOOKUP($BL$25,ÍNDICES!$B$3:$T$4,2)+11)-VLOOKUP(B1164,ÍNDICES!$A:$DE,HLOOKUP($BL$25,ÍNDICES!$B$3:$T$4,2)+11)+1%,IF(C$712=$W$26,$J$35,IF(ISERROR(IF(B1164&gt;$D$19,1,VLOOKUP(DATE(YEAR(B1164),MONTH(B1164)+IF($C$709=$S$23,1,0),1),ÍNDICES!$A:$DE,$Z$709+1))),"",IF(B1164&gt;$D$19,1,VLOOKUP(DATE(YEAR(B1164),MONTH(B1164)+IF($C$709=$S$23,1,0),1),ÍNDICES!$A:$DE,$Z$709+1))))))</f>
        <v/>
      </c>
      <c r="D1164" s="155"/>
      <c r="E1164" s="88"/>
      <c r="F1164" s="88"/>
      <c r="G1164" s="88"/>
      <c r="H1164" s="118"/>
      <c r="I1164" s="182">
        <f t="shared" si="164"/>
        <v>0</v>
      </c>
      <c r="J1164" s="20">
        <f t="shared" ca="1" si="165"/>
        <v>0</v>
      </c>
      <c r="K1164" s="5">
        <f t="shared" ca="1" si="166"/>
        <v>0</v>
      </c>
      <c r="L1164" s="61">
        <f t="shared" ca="1" si="167"/>
        <v>0</v>
      </c>
      <c r="M1164" s="64">
        <f t="shared" si="168"/>
        <v>0</v>
      </c>
      <c r="N1164" s="151"/>
      <c r="O1164" s="5">
        <f t="shared" ca="1" si="169"/>
        <v>0</v>
      </c>
      <c r="P1164" s="446" t="e">
        <f t="shared" si="170"/>
        <v>#VALUE!</v>
      </c>
      <c r="Q1164" s="446" t="e">
        <f>IF(OR($B1164="",MIN(Q$38,$D$19)&lt;MAX($P$708*($B1164+IF($R$17="Distrato",$I$38-1,0)),IF(AND($L$711=0,$P$708=0),"",$L$711-1),IF($R$17="Distrato",$E1164,0))),0,YEARFRAC(MAX($P$708*($B1164+IF($R$17="Distrato",$I$38-1,0)),IF(AND($L$711=0,$P$708=0),"",$L$711-1),IF($R$17="Distrato",$E1164,0)),MIN(Q$38,$D$19),$P$20))-SUM($P1164:P1164)</f>
        <v>#VALUE!</v>
      </c>
      <c r="R1164" s="446" t="e">
        <f>IF(OR($B1164="",MIN(R$38,$D$19)&lt;MAX($P$708*($B1164+IF($R$17="Distrato",$I$38-1,0)),IF(AND($L$711=0,$P$708=0),"",$L$711-1),IF($R$17="Distrato",$E1164,0))),0,YEARFRAC(MAX($P$708*($B1164+IF($R$17="Distrato",$I$38-1,0)),IF(AND($L$711=0,$P$708=0),"",$L$711-1),IF($R$17="Distrato",$E1164,0)),MIN(R$38,$D$19),$P$20))-SUM($P1164:Q1164)</f>
        <v>#VALUE!</v>
      </c>
      <c r="S1164" s="446" t="e">
        <f>IF(OR($B1164="",MIN(S$38,$D$19)&lt;MAX($P$708*($B1164+IF($R$17="Distrato",$I$38-1,0)),IF(AND($L$711=0,$P$708=0),"",$L$711-1),IF($R$17="Distrato",$E1164,0))),0,YEARFRAC(MAX($P$708*($B1164+IF($R$17="Distrato",$I$38-1,0)),IF(AND($L$711=0,$P$708=0),"",$L$711-1),IF($R$17="Distrato",$E1164,0)),MIN(S$38,$D$19),$P$20))-SUM($P1164:R1164)</f>
        <v>#VALUE!</v>
      </c>
      <c r="T1164" s="446" t="e">
        <f>IF(OR($B1164="",MIN(T$38,$D$19)&lt;MAX($P$708*($B1164+IF($R$17="Distrato",$I$38-1,0)),IF(AND($L$711=0,$P$708=0),"",$L$711-1),IF($R$17="Distrato",$E1164,0))),0,YEARFRAC(MAX($P$708*($B1164+IF($R$17="Distrato",$I$38-1,0)),IF(AND($L$711=0,$P$708=0),"",$L$711-1),IF($R$17="Distrato",$E1164,0)),MIN(T$38,$D$19),$P$20))-SUM($P1164:S1164)</f>
        <v>#VALUE!</v>
      </c>
      <c r="U1164" s="446" t="e">
        <f>IF(OR($B1164="",MIN(U$38,$D$19)&lt;MAX($P$708*($B1164+IF($R$17="Distrato",$I$38-1,0)),IF(AND($L$711=0,$P$708=0),"",$L$711-1),IF($R$17="Distrato",$E1164,0))),0,YEARFRAC(MAX($P$708*($B1164+IF($R$17="Distrato",$I$38-1,0)),IF(AND($L$711=0,$P$708=0),"",$L$711-1),IF($R$17="Distrato",$E1164,0)),MIN(U$38,$D$19),$P$20))-SUM($P1164:T1164)</f>
        <v>#VALUE!</v>
      </c>
      <c r="V1164" s="446" t="e">
        <f>IF(OR($B1164="",MIN(V$38,$D$19)&lt;MAX($P$708*($B1164+IF($R$17="Distrato",$I$38-1,0)),IF(AND($L$711=0,$P$708=0),"",$L$711-1),IF($R$17="Distrato",$E1164,0))),0,YEARFRAC(MAX($P$708*($B1164+IF($R$17="Distrato",$I$38-1,0)),IF(AND($L$711=0,$P$708=0),"",$L$711-1),IF($R$17="Distrato",$E1164,0)),MIN(V$38,$D$19),$P$20))-SUM($P1164:U1164)</f>
        <v>#VALUE!</v>
      </c>
      <c r="W1164" s="446" t="e">
        <f>IF(OR($B1164="",MIN(W$38,$D$19)&lt;MAX($P$708*($B1164+IF($R$17="Distrato",$I$38-1,0)),IF(AND($L$711=0,$P$708=0),"",$L$711-1),IF($R$17="Distrato",$E1164,0))),0,YEARFRAC(MAX($P$708*($B1164+IF($R$17="Distrato",$I$38-1,0)),IF(AND($L$711=0,$P$708=0),"",$L$711-1),IF($R$17="Distrato",$E1164,0)),MIN(W$38,$D$19),$P$20))-SUM($P1164:V1164)</f>
        <v>#VALUE!</v>
      </c>
      <c r="X1164" s="446" t="e">
        <f>IF(OR($B1164="",MIN(X$38,$D$19)&lt;MAX($P$708*($B1164+IF($R$17="Distrato",$I$38-1,0)),IF(AND($L$711=0,$P$708=0),"",$L$711-1),IF($R$17="Distrato",$E1164,0))),0,YEARFRAC(MAX($P$708*($B1164+IF($R$17="Distrato",$I$38-1,0)),IF(AND($L$711=0,$P$708=0),"",$L$711-1),IF($R$17="Distrato",$E1164,0)),MIN(X$38,$D$19),$P$20))-SUM($P1164:W1164)</f>
        <v>#VALUE!</v>
      </c>
      <c r="Y1164" s="446" t="e">
        <f>IF(OR($B1164="",MIN(Y$38,$D$19)&lt;MAX($P$708*($B1164+IF($R$17="Distrato",$I$38-1,0)),IF(AND($L$711=0,$P$708=0),"",$L$711-1),IF($R$17="Distrato",$E1164,0))),0,YEARFRAC(MAX($P$708*($B1164+IF($R$17="Distrato",$I$38-1,0)),IF(AND($L$711=0,$P$708=0),"",$L$711-1),IF($R$17="Distrato",$E1164,0)),MIN(Y$38,$D$19),$P$20))-SUM($P1164:X1164)</f>
        <v>#VALUE!</v>
      </c>
      <c r="Z1164" s="446" t="e">
        <f>IF(OR($B1164="",MIN(Z$38,$D$19)&lt;MAX($P$708*($B1164+IF($R$17="Distrato",$I$38-1,0)),IF(AND($L$711=0,$P$708=0),"",$L$711-1),IF($R$17="Distrato",$E1164,0))),0,YEARFRAC(MAX($P$708*($B1164+IF($R$17="Distrato",$I$38-1,0)),IF(AND($L$711=0,$P$708=0),"",$L$711-1),IF($R$17="Distrato",$E1164,0)),MIN(Z$38,$D$19),$P$20))-SUM($P1164:Y1164)</f>
        <v>#VALUE!</v>
      </c>
      <c r="AA1164" s="446" t="e">
        <f>IF(OR($B1164="",MIN(AA$38,$D$19)&lt;MAX($P$708*($B1164+IF($R$17="Distrato",$I$38-1,0)),IF(AND($L$711=0,$P$708=0),"",$L$711-1),IF($R$17="Distrato",$E1164,0))),0,YEARFRAC(MAX($P$708*($B1164+IF($R$17="Distrato",$I$38-1,0)),IF(AND($L$711=0,$P$708=0),"",$L$711-1),IF($R$17="Distrato",$E1164,0)),MIN(AA$38,$D$19),$P$20))-SUM($P1164:Z1164)</f>
        <v>#VALUE!</v>
      </c>
      <c r="AB1164" s="446" t="e">
        <f>IF(OR($B1164="",MIN(AB$38,$D$19)&lt;MAX($P$708*($B1164+IF($R$17="Distrato",$I$38-1,0)),IF(AND($L$711=0,$P$708=0),"",$L$711-1),IF($R$17="Distrato",$E1164,0))),0,YEARFRAC(MAX($P$708*($B1164+IF($R$17="Distrato",$I$38-1,0)),IF(AND($L$711=0,$P$708=0),"",$L$711-1),IF($R$17="Distrato",$E1164,0)),MIN(AB$38,$D$19),$P$20))-SUM($P1164:AA1164)</f>
        <v>#VALUE!</v>
      </c>
      <c r="AC1164" s="446" t="e">
        <f>IF(OR($B1164="",MIN(AC$38,$D$19)&lt;MAX($P$708*($B1164+IF($R$17="Distrato",$I$38-1,0)),IF(AND($L$711=0,$P$708=0),"",$L$711-1),IF($R$17="Distrato",$E1164,0))),0,YEARFRAC(MAX($P$708*($B1164+IF($R$17="Distrato",$I$38-1,0)),IF(AND($L$711=0,$P$708=0),"",$L$711-1),IF($R$17="Distrato",$E1164,0)),MIN(AC$38,$D$19),$P$20))-SUM($P1164:AB1164)</f>
        <v>#VALUE!</v>
      </c>
      <c r="AD1164" s="446" t="e">
        <f>IF(OR($B1164="",MIN(AD$38,$D$19)&lt;MAX($P$708*($B1164+IF($R$17="Distrato",$I$38-1,0)),IF(AND($L$711=0,$P$708=0),"",$L$711-1),IF($R$17="Distrato",$E1164,0))),0,YEARFRAC(MAX($P$708*($B1164+IF($R$17="Distrato",$I$38-1,0)),IF(AND($L$711=0,$P$708=0),"",$L$711-1),IF($R$17="Distrato",$E1164,0)),MIN(AD$38,$D$19),$P$20))-SUM($P1164:AC1164)</f>
        <v>#VALUE!</v>
      </c>
      <c r="AE1164" s="446" t="e">
        <f>IF(OR($B1164="",MIN(AE$38,$D$19)&lt;MAX($P$708*($B1164+IF($R$17="Distrato",$I$38-1,0)),IF(AND($L$711=0,$P$708=0),"",$L$711-1),IF($R$17="Distrato",$E1164,0))),0,YEARFRAC(MAX($P$708*($B1164+IF($R$17="Distrato",$I$38-1,0)),IF(AND($L$711=0,$P$708=0),"",$L$711-1),IF($R$17="Distrato",$E1164,0)),MIN(AE$38,$D$19),$P$20))-SUM($P1164:AD1164)</f>
        <v>#VALUE!</v>
      </c>
      <c r="AF1164" s="446" t="e">
        <f>IF(OR($B1164="",MIN(AF$38,$D$19)&lt;MAX($P$708*($B1164+IF($R$17="Distrato",$I$38-1,0)),IF(AND($L$711=0,$P$708=0),"",$L$711-1),IF($R$17="Distrato",$E1164,0))),0,YEARFRAC(MAX($P$708*($B1164+IF($R$17="Distrato",$I$38-1,0)),IF(AND($L$711=0,$P$708=0),"",$L$711-1),IF($R$17="Distrato",$E1164,0)),MIN(AF$38,$D$19),$P$20))-SUM($P1164:AE1164)</f>
        <v>#VALUE!</v>
      </c>
      <c r="AG1164" s="446" t="e">
        <f>IF(OR($B1164="",MIN(AG$38,$D$19)&lt;MAX($P$708*($B1164+IF($R$17="Distrato",$I$38-1,0)),IF(AND($L$711=0,$P$708=0),"",$L$711-1),IF($R$17="Distrato",$E1164,0))),0,YEARFRAC(MAX($P$708*($B1164+IF($R$17="Distrato",$I$38-1,0)),IF(AND($L$711=0,$P$708=0),"",$L$711-1),IF($R$17="Distrato",$E1164,0)),MIN(AG$38,$D$19),$P$20))-SUM($P1164:AF1164)</f>
        <v>#VALUE!</v>
      </c>
      <c r="AH1164" s="446" t="e">
        <f>IF(OR($B1164="",MIN(AH$38,$D$19)&lt;MAX($P$708*($B1164+IF($R$17="Distrato",$I$38-1,0)),IF(AND($L$711=0,$P$708=0),"",$L$711-1),IF($R$17="Distrato",$E1164,0))),0,YEARFRAC(MAX($P$708*($B1164+IF($R$17="Distrato",$I$38-1,0)),IF(AND($L$711=0,$P$708=0),"",$L$711-1),IF($R$17="Distrato",$E1164,0)),MIN(AH$38,$D$19),$P$20))-SUM($P1164:AG1164)</f>
        <v>#VALUE!</v>
      </c>
      <c r="AI1164" s="446" t="e">
        <f>IF(OR($B1164="",MIN(AI$38,$D$19)&lt;MAX($P$708*($B1164+IF($R$17="Distrato",$I$38-1,0)),IF(AND($L$711=0,$P$708=0),"",$L$711-1),IF($R$17="Distrato",$E1164,0))),0,YEARFRAC(MAX($P$708*($B1164+IF($R$17="Distrato",$I$38-1,0)),IF(AND($L$711=0,$P$708=0),"",$L$711-1),IF($R$17="Distrato",$E1164,0)),MIN(AI$38,$D$19),$P$20))-SUM($P1164:AH1164)</f>
        <v>#VALUE!</v>
      </c>
      <c r="AJ1164" s="446" t="e">
        <f>IF(OR($B1164="",MIN(AJ$38,$D$19)&lt;MAX($P$708*($B1164+IF($R$17="Distrato",$I$38-1,0)),IF(AND($L$711=0,$P$708=0),"",$L$711-1),IF($R$17="Distrato",$E1164,0))),0,YEARFRAC(MAX($P$708*($B1164+IF($R$17="Distrato",$I$38-1,0)),IF(AND($L$711=0,$P$708=0),"",$L$711-1),IF($R$17="Distrato",$E1164,0)),MIN(AJ$38,$D$19),$P$20))-SUM($P1164:AI1164)</f>
        <v>#VALUE!</v>
      </c>
      <c r="AK1164" s="446" t="e">
        <f>IF(OR($B1164="",MIN(AK$38,$D$19)&lt;MAX($P$708*($B1164+IF($R$17="Distrato",$I$38-1,0)),IF(AND($L$711=0,$P$708=0),"",$L$711-1),IF($R$17="Distrato",$E1164,0))),0,YEARFRAC(MAX($P$708*($B1164+IF($R$17="Distrato",$I$38-1,0)),IF(AND($L$711=0,$P$708=0),"",$L$711-1),IF($R$17="Distrato",$E1164,0)),MIN(AK$38,$D$19),$P$20))-SUM($P1164:AJ1164)</f>
        <v>#VALUE!</v>
      </c>
      <c r="AL1164" s="446" t="e">
        <f>IF(OR($B1164="",MIN(AL$38,$D$19)&lt;MAX($P$708*($B1164+IF($R$17="Distrato",$I$38-1,0)),IF(AND($L$711=0,$P$708=0),"",$L$711-1),IF($R$17="Distrato",$E1164,0))),0,YEARFRAC(MAX($P$708*($B1164+IF($R$17="Distrato",$I$38-1,0)),IF(AND($L$711=0,$P$708=0),"",$L$711-1),IF($R$17="Distrato",$E1164,0)),MIN(AL$38,$D$19),$P$20))-SUM($P1164:AK1164)</f>
        <v>#VALUE!</v>
      </c>
      <c r="AM1164" s="446" t="e">
        <f>IF(OR($B1164="",MIN(AM$38,$D$19)&lt;MAX($P$708*($B1164+IF($R$17="Distrato",$I$38-1,0)),IF(AND($L$711=0,$P$708=0),"",$L$711-1),IF($R$17="Distrato",$E1164,0))),0,YEARFRAC(MAX($P$708*($B1164+IF($R$17="Distrato",$I$38-1,0)),IF(AND($L$711=0,$P$708=0),"",$L$711-1),IF($R$17="Distrato",$E1164,0)),MIN(AM$38,$D$19),$P$20))-SUM($P1164:AL1164)</f>
        <v>#VALUE!</v>
      </c>
      <c r="AN1164" s="446" t="e">
        <f>IF(OR($B1164="",MIN(AN$38,$D$19)&lt;MAX($P$708*($B1164+IF($R$17="Distrato",$I$38-1,0)),IF(AND($L$711=0,$P$708=0),"",$L$711-1),IF($R$17="Distrato",$E1164,0))),0,YEARFRAC(MAX($P$708*($B1164+IF($R$17="Distrato",$I$38-1,0)),IF(AND($L$711=0,$P$708=0),"",$L$711-1),IF($R$17="Distrato",$E1164,0)),MIN(AN$38,$D$19),$P$20))-SUM($P1164:AM1164)</f>
        <v>#VALUE!</v>
      </c>
      <c r="AO1164" s="446" t="e">
        <f>IF(OR($B1164="",MIN(AO$38,$D$19)&lt;MAX($P$708*($B1164+IF($R$17="Distrato",$I$38-1,0)),IF(AND($L$711=0,$P$708=0),"",$L$711-1),IF($R$17="Distrato",$E1164,0))),0,YEARFRAC(MAX($P$708*($B1164+IF($R$17="Distrato",$I$38-1,0)),IF(AND($L$711=0,$P$708=0),"",$L$711-1),IF($R$17="Distrato",$E1164,0)),MIN(AO$38,$D$19),$P$20))-SUM($P1164:AN1164)</f>
        <v>#VALUE!</v>
      </c>
      <c r="AP1164" s="446" t="e">
        <f>IF(OR($B1164="",MIN(AP$38,$D$19)&lt;MAX($P$708*($B1164+IF($R$17="Distrato",$I$38-1,0)),IF(AND($L$711=0,$P$708=0),"",$L$711-1),IF($R$17="Distrato",$E1164,0))),0,YEARFRAC(MAX($P$708*($B1164+IF($R$17="Distrato",$I$38-1,0)),IF(AND($L$711=0,$P$708=0),"",$L$711-1),IF($R$17="Distrato",$E1164,0)),MIN(AP$38,$D$19),$P$20))-SUM($P1164:AO1164)</f>
        <v>#VALUE!</v>
      </c>
      <c r="AQ1164" s="446" t="e">
        <f>IF(OR($B1164="",MIN(AQ$38,$D$19)&lt;MAX($P$708*($B1164+IF($R$17="Distrato",$I$38-1,0)),IF(AND($L$711=0,$P$708=0),"",$L$711-1),IF($R$17="Distrato",$E1164,0))),0,YEARFRAC(MAX($P$708*($B1164+IF($R$17="Distrato",$I$38-1,0)),IF(AND($L$711=0,$P$708=0),"",$L$711-1),IF($R$17="Distrato",$E1164,0)),MIN(AQ$38,$D$19),$P$20))-SUM($P1164:AP1164)</f>
        <v>#VALUE!</v>
      </c>
      <c r="AR1164" s="446" t="e">
        <f>IF(OR($B1164="",MIN(AR$38,$D$19)&lt;MAX($P$708*($B1164+IF($R$17="Distrato",$I$38-1,0)),IF(AND($L$711=0,$P$708=0),"",$L$711-1),IF($R$17="Distrato",$E1164,0))),0,YEARFRAC(MAX($P$708*($B1164+IF($R$17="Distrato",$I$38-1,0)),IF(AND($L$711=0,$P$708=0),"",$L$711-1),IF($R$17="Distrato",$E1164,0)),MIN(AR$38,$D$19),$P$20))-SUM($P1164:AQ1164)</f>
        <v>#VALUE!</v>
      </c>
      <c r="AS1164" s="446" t="e">
        <f>IF(OR($B1164="",MIN(AS$38,$D$19)&lt;MAX($P$708*($B1164+IF($R$17="Distrato",$I$38-1,0)),IF(AND($L$711=0,$P$708=0),"",$L$711-1),IF($R$17="Distrato",$E1164,0))),0,YEARFRAC(MAX($P$708*($B1164+IF($R$17="Distrato",$I$38-1,0)),IF(AND($L$711=0,$P$708=0),"",$L$711-1),IF($R$17="Distrato",$E1164,0)),MIN(AS$38,$D$19),$P$20))-SUM($P1164:AR1164)</f>
        <v>#VALUE!</v>
      </c>
      <c r="AT1164" s="446" t="e">
        <f>IF(OR($B1164="",MIN(AT$38,$D$19)&lt;MAX($P$708*($B1164+IF($R$17="Distrato",$I$38-1,0)),IF(AND($L$711=0,$P$708=0),"",$L$711-1),IF($R$17="Distrato",$E1164,0))),0,YEARFRAC(MAX($P$708*($B1164+IF($R$17="Distrato",$I$38-1,0)),IF(AND($L$711=0,$P$708=0),"",$L$711-1),IF($R$17="Distrato",$E1164,0)),MIN(AT$38,$D$19),$P$20))-SUM($P1164:AS1164)</f>
        <v>#VALUE!</v>
      </c>
      <c r="AU1164" s="446" t="e">
        <f>IF(OR($B1164="",MIN(AU$38,$D$19)&lt;MAX($P$708*($B1164+IF($R$17="Distrato",$I$38-1,0)),IF(AND($L$711=0,$P$708=0),"",$L$711-1),IF($R$17="Distrato",$E1164,0))),0,YEARFRAC(MAX($P$708*($B1164+IF($R$17="Distrato",$I$38-1,0)),IF(AND($L$711=0,$P$708=0),"",$L$711-1),IF($R$17="Distrato",$E1164,0)),MIN(AU$38,$D$19),$P$20))-SUM($P1164:AT1164)</f>
        <v>#VALUE!</v>
      </c>
      <c r="AV1164" s="446" t="e">
        <f>IF(OR($B1164="",MIN(AV$38,$D$19)&lt;MAX($P$708*($B1164+IF($R$17="Distrato",$I$38-1,0)),IF(AND($L$711=0,$P$708=0),"",$L$711-1),IF($R$17="Distrato",$E1164,0))),0,YEARFRAC(MAX($P$708*($B1164+IF($R$17="Distrato",$I$38-1,0)),IF(AND($L$711=0,$P$708=0),"",$L$711-1),IF($R$17="Distrato",$E1164,0)),MIN(AV$38,$D$19),$P$20))-SUM($P1164:AU1164)</f>
        <v>#VALUE!</v>
      </c>
      <c r="AW1164" s="446" t="e">
        <f>IF(OR($B1164="",MIN(AW$38,$D$19)&lt;MAX($P$708*($B1164+IF($R$17="Distrato",$I$38-1,0)),IF(AND($L$711=0,$P$708=0),"",$L$711-1),IF($R$17="Distrato",$E1164,0))),0,YEARFRAC(MAX($P$708*($B1164+IF($R$17="Distrato",$I$38-1,0)),IF(AND($L$711=0,$P$708=0),"",$L$711-1),IF($R$17="Distrato",$E1164,0)),MIN(AW$38,$D$19),$P$20))-SUM($P1164:AV1164)</f>
        <v>#VALUE!</v>
      </c>
      <c r="AX1164" s="446" t="e">
        <f>IF(OR($B1164="",MIN(AX$38,$D$19)&lt;MAX($P$708*($B1164+IF($R$17="Distrato",$I$38-1,0)),IF(AND($L$711=0,$P$708=0),"",$L$711-1),IF($R$17="Distrato",$E1164,0))),0,YEARFRAC(MAX($P$708*($B1164+IF($R$17="Distrato",$I$38-1,0)),IF(AND($L$711=0,$P$708=0),"",$L$711-1),IF($R$17="Distrato",$E1164,0)),MIN(AX$38,$D$19),$P$20))-SUM($P1164:AW1164)</f>
        <v>#VALUE!</v>
      </c>
      <c r="AY1164" s="446" t="e">
        <f>IF(OR($B1164="",MIN(AY$38,$D$19)&lt;MAX($P$708*($B1164+IF($R$17="Distrato",$I$38-1,0)),IF(AND($L$711=0,$P$708=0),"",$L$711-1),IF($R$17="Distrato",$E1164,0))),0,YEARFRAC(MAX($P$708*($B1164+IF($R$17="Distrato",$I$38-1,0)),IF(AND($L$711=0,$P$708=0),"",$L$711-1),IF($R$17="Distrato",$E1164,0)),MIN(AY$38,$D$19),$P$20))-SUM($P1164:AX1164)</f>
        <v>#VALUE!</v>
      </c>
      <c r="AZ1164" s="446" t="e">
        <f>IF(OR($B1164="",MIN(AZ$38,$D$19)&lt;MAX($P$708*($B1164+IF($R$17="Distrato",$I$38-1,0)),IF(AND($L$711=0,$P$708=0),"",$L$711-1),IF($R$17="Distrato",$E1164,0))),0,YEARFRAC(MAX($P$708*($B1164+IF($R$17="Distrato",$I$38-1,0)),IF(AND($L$711=0,$P$708=0),"",$L$711-1),IF($R$17="Distrato",$E1164,0)),MIN(AZ$38,$D$19),$P$20))-SUM($P1164:AY1164)</f>
        <v>#VALUE!</v>
      </c>
      <c r="BA1164" s="446" t="e">
        <f>IF(OR($B1164="",MIN(BA$38,$D$19)&lt;MAX($P$708*($B1164+IF($R$17="Distrato",$I$38-1,0)),IF(AND($L$711=0,$P$708=0),"",$L$711-1),IF($R$17="Distrato",$E1164,0))),0,YEARFRAC(MAX($P$708*($B1164+IF($R$17="Distrato",$I$38-1,0)),IF(AND($L$711=0,$P$708=0),"",$L$711-1),IF($R$17="Distrato",$E1164,0)),MIN(BA$38,$D$19),$P$20))-SUM($P1164:AZ1164)</f>
        <v>#VALUE!</v>
      </c>
      <c r="BB1164" s="447"/>
    </row>
    <row r="1165" spans="1:54" s="446" customFormat="1" ht="11.25" hidden="1" customHeight="1" x14ac:dyDescent="0.2">
      <c r="A1165" s="235"/>
      <c r="B1165" s="236"/>
      <c r="C1165" s="29" t="str">
        <f>IF(B1165="","",IF($L$709=$BL$25,VLOOKUP(DATE(YEAR($D$19),MONTH($D$19)-1,1),ÍNDICES!$A:$DE,HLOOKUP($BL$25,ÍNDICES!$B$3:$T$4,2)+11)-VLOOKUP(B1165,ÍNDICES!$A:$DE,HLOOKUP($BL$25,ÍNDICES!$B$3:$T$4,2)+11)+1%,IF(C$712=$W$26,$J$35,IF(ISERROR(IF(B1165&gt;$D$19,1,VLOOKUP(DATE(YEAR(B1165),MONTH(B1165)+IF($C$709=$S$23,1,0),1),ÍNDICES!$A:$DE,$Z$709+1))),"",IF(B1165&gt;$D$19,1,VLOOKUP(DATE(YEAR(B1165),MONTH(B1165)+IF($C$709=$S$23,1,0),1),ÍNDICES!$A:$DE,$Z$709+1))))))</f>
        <v/>
      </c>
      <c r="D1165" s="155"/>
      <c r="E1165" s="88"/>
      <c r="F1165" s="88"/>
      <c r="G1165" s="88"/>
      <c r="H1165" s="118"/>
      <c r="I1165" s="182">
        <f t="shared" si="164"/>
        <v>0</v>
      </c>
      <c r="J1165" s="20">
        <f t="shared" ca="1" si="165"/>
        <v>0</v>
      </c>
      <c r="K1165" s="5">
        <f t="shared" ca="1" si="166"/>
        <v>0</v>
      </c>
      <c r="L1165" s="61">
        <f t="shared" ca="1" si="167"/>
        <v>0</v>
      </c>
      <c r="M1165" s="64">
        <f t="shared" si="168"/>
        <v>0</v>
      </c>
      <c r="N1165" s="151"/>
      <c r="O1165" s="5">
        <f t="shared" ca="1" si="169"/>
        <v>0</v>
      </c>
      <c r="P1165" s="446" t="e">
        <f t="shared" si="170"/>
        <v>#VALUE!</v>
      </c>
      <c r="Q1165" s="446" t="e">
        <f>IF(OR($B1165="",MIN(Q$38,$D$19)&lt;MAX($P$708*($B1165+IF($R$17="Distrato",$I$38-1,0)),IF(AND($L$711=0,$P$708=0),"",$L$711-1),IF($R$17="Distrato",$E1165,0))),0,YEARFRAC(MAX($P$708*($B1165+IF($R$17="Distrato",$I$38-1,0)),IF(AND($L$711=0,$P$708=0),"",$L$711-1),IF($R$17="Distrato",$E1165,0)),MIN(Q$38,$D$19),$P$20))-SUM($P1165:P1165)</f>
        <v>#VALUE!</v>
      </c>
      <c r="R1165" s="446" t="e">
        <f>IF(OR($B1165="",MIN(R$38,$D$19)&lt;MAX($P$708*($B1165+IF($R$17="Distrato",$I$38-1,0)),IF(AND($L$711=0,$P$708=0),"",$L$711-1),IF($R$17="Distrato",$E1165,0))),0,YEARFRAC(MAX($P$708*($B1165+IF($R$17="Distrato",$I$38-1,0)),IF(AND($L$711=0,$P$708=0),"",$L$711-1),IF($R$17="Distrato",$E1165,0)),MIN(R$38,$D$19),$P$20))-SUM($P1165:Q1165)</f>
        <v>#VALUE!</v>
      </c>
      <c r="S1165" s="446" t="e">
        <f>IF(OR($B1165="",MIN(S$38,$D$19)&lt;MAX($P$708*($B1165+IF($R$17="Distrato",$I$38-1,0)),IF(AND($L$711=0,$P$708=0),"",$L$711-1),IF($R$17="Distrato",$E1165,0))),0,YEARFRAC(MAX($P$708*($B1165+IF($R$17="Distrato",$I$38-1,0)),IF(AND($L$711=0,$P$708=0),"",$L$711-1),IF($R$17="Distrato",$E1165,0)),MIN(S$38,$D$19),$P$20))-SUM($P1165:R1165)</f>
        <v>#VALUE!</v>
      </c>
      <c r="T1165" s="446" t="e">
        <f>IF(OR($B1165="",MIN(T$38,$D$19)&lt;MAX($P$708*($B1165+IF($R$17="Distrato",$I$38-1,0)),IF(AND($L$711=0,$P$708=0),"",$L$711-1),IF($R$17="Distrato",$E1165,0))),0,YEARFRAC(MAX($P$708*($B1165+IF($R$17="Distrato",$I$38-1,0)),IF(AND($L$711=0,$P$708=0),"",$L$711-1),IF($R$17="Distrato",$E1165,0)),MIN(T$38,$D$19),$P$20))-SUM($P1165:S1165)</f>
        <v>#VALUE!</v>
      </c>
      <c r="U1165" s="446" t="e">
        <f>IF(OR($B1165="",MIN(U$38,$D$19)&lt;MAX($P$708*($B1165+IF($R$17="Distrato",$I$38-1,0)),IF(AND($L$711=0,$P$708=0),"",$L$711-1),IF($R$17="Distrato",$E1165,0))),0,YEARFRAC(MAX($P$708*($B1165+IF($R$17="Distrato",$I$38-1,0)),IF(AND($L$711=0,$P$708=0),"",$L$711-1),IF($R$17="Distrato",$E1165,0)),MIN(U$38,$D$19),$P$20))-SUM($P1165:T1165)</f>
        <v>#VALUE!</v>
      </c>
      <c r="V1165" s="446" t="e">
        <f>IF(OR($B1165="",MIN(V$38,$D$19)&lt;MAX($P$708*($B1165+IF($R$17="Distrato",$I$38-1,0)),IF(AND($L$711=0,$P$708=0),"",$L$711-1),IF($R$17="Distrato",$E1165,0))),0,YEARFRAC(MAX($P$708*($B1165+IF($R$17="Distrato",$I$38-1,0)),IF(AND($L$711=0,$P$708=0),"",$L$711-1),IF($R$17="Distrato",$E1165,0)),MIN(V$38,$D$19),$P$20))-SUM($P1165:U1165)</f>
        <v>#VALUE!</v>
      </c>
      <c r="W1165" s="446" t="e">
        <f>IF(OR($B1165="",MIN(W$38,$D$19)&lt;MAX($P$708*($B1165+IF($R$17="Distrato",$I$38-1,0)),IF(AND($L$711=0,$P$708=0),"",$L$711-1),IF($R$17="Distrato",$E1165,0))),0,YEARFRAC(MAX($P$708*($B1165+IF($R$17="Distrato",$I$38-1,0)),IF(AND($L$711=0,$P$708=0),"",$L$711-1),IF($R$17="Distrato",$E1165,0)),MIN(W$38,$D$19),$P$20))-SUM($P1165:V1165)</f>
        <v>#VALUE!</v>
      </c>
      <c r="X1165" s="446" t="e">
        <f>IF(OR($B1165="",MIN(X$38,$D$19)&lt;MAX($P$708*($B1165+IF($R$17="Distrato",$I$38-1,0)),IF(AND($L$711=0,$P$708=0),"",$L$711-1),IF($R$17="Distrato",$E1165,0))),0,YEARFRAC(MAX($P$708*($B1165+IF($R$17="Distrato",$I$38-1,0)),IF(AND($L$711=0,$P$708=0),"",$L$711-1),IF($R$17="Distrato",$E1165,0)),MIN(X$38,$D$19),$P$20))-SUM($P1165:W1165)</f>
        <v>#VALUE!</v>
      </c>
      <c r="Y1165" s="446" t="e">
        <f>IF(OR($B1165="",MIN(Y$38,$D$19)&lt;MAX($P$708*($B1165+IF($R$17="Distrato",$I$38-1,0)),IF(AND($L$711=0,$P$708=0),"",$L$711-1),IF($R$17="Distrato",$E1165,0))),0,YEARFRAC(MAX($P$708*($B1165+IF($R$17="Distrato",$I$38-1,0)),IF(AND($L$711=0,$P$708=0),"",$L$711-1),IF($R$17="Distrato",$E1165,0)),MIN(Y$38,$D$19),$P$20))-SUM($P1165:X1165)</f>
        <v>#VALUE!</v>
      </c>
      <c r="Z1165" s="446" t="e">
        <f>IF(OR($B1165="",MIN(Z$38,$D$19)&lt;MAX($P$708*($B1165+IF($R$17="Distrato",$I$38-1,0)),IF(AND($L$711=0,$P$708=0),"",$L$711-1),IF($R$17="Distrato",$E1165,0))),0,YEARFRAC(MAX($P$708*($B1165+IF($R$17="Distrato",$I$38-1,0)),IF(AND($L$711=0,$P$708=0),"",$L$711-1),IF($R$17="Distrato",$E1165,0)),MIN(Z$38,$D$19),$P$20))-SUM($P1165:Y1165)</f>
        <v>#VALUE!</v>
      </c>
      <c r="AA1165" s="446" t="e">
        <f>IF(OR($B1165="",MIN(AA$38,$D$19)&lt;MAX($P$708*($B1165+IF($R$17="Distrato",$I$38-1,0)),IF(AND($L$711=0,$P$708=0),"",$L$711-1),IF($R$17="Distrato",$E1165,0))),0,YEARFRAC(MAX($P$708*($B1165+IF($R$17="Distrato",$I$38-1,0)),IF(AND($L$711=0,$P$708=0),"",$L$711-1),IF($R$17="Distrato",$E1165,0)),MIN(AA$38,$D$19),$P$20))-SUM($P1165:Z1165)</f>
        <v>#VALUE!</v>
      </c>
      <c r="AB1165" s="446" t="e">
        <f>IF(OR($B1165="",MIN(AB$38,$D$19)&lt;MAX($P$708*($B1165+IF($R$17="Distrato",$I$38-1,0)),IF(AND($L$711=0,$P$708=0),"",$L$711-1),IF($R$17="Distrato",$E1165,0))),0,YEARFRAC(MAX($P$708*($B1165+IF($R$17="Distrato",$I$38-1,0)),IF(AND($L$711=0,$P$708=0),"",$L$711-1),IF($R$17="Distrato",$E1165,0)),MIN(AB$38,$D$19),$P$20))-SUM($P1165:AA1165)</f>
        <v>#VALUE!</v>
      </c>
      <c r="AC1165" s="446" t="e">
        <f>IF(OR($B1165="",MIN(AC$38,$D$19)&lt;MAX($P$708*($B1165+IF($R$17="Distrato",$I$38-1,0)),IF(AND($L$711=0,$P$708=0),"",$L$711-1),IF($R$17="Distrato",$E1165,0))),0,YEARFRAC(MAX($P$708*($B1165+IF($R$17="Distrato",$I$38-1,0)),IF(AND($L$711=0,$P$708=0),"",$L$711-1),IF($R$17="Distrato",$E1165,0)),MIN(AC$38,$D$19),$P$20))-SUM($P1165:AB1165)</f>
        <v>#VALUE!</v>
      </c>
      <c r="AD1165" s="446" t="e">
        <f>IF(OR($B1165="",MIN(AD$38,$D$19)&lt;MAX($P$708*($B1165+IF($R$17="Distrato",$I$38-1,0)),IF(AND($L$711=0,$P$708=0),"",$L$711-1),IF($R$17="Distrato",$E1165,0))),0,YEARFRAC(MAX($P$708*($B1165+IF($R$17="Distrato",$I$38-1,0)),IF(AND($L$711=0,$P$708=0),"",$L$711-1),IF($R$17="Distrato",$E1165,0)),MIN(AD$38,$D$19),$P$20))-SUM($P1165:AC1165)</f>
        <v>#VALUE!</v>
      </c>
      <c r="AE1165" s="446" t="e">
        <f>IF(OR($B1165="",MIN(AE$38,$D$19)&lt;MAX($P$708*($B1165+IF($R$17="Distrato",$I$38-1,0)),IF(AND($L$711=0,$P$708=0),"",$L$711-1),IF($R$17="Distrato",$E1165,0))),0,YEARFRAC(MAX($P$708*($B1165+IF($R$17="Distrato",$I$38-1,0)),IF(AND($L$711=0,$P$708=0),"",$L$711-1),IF($R$17="Distrato",$E1165,0)),MIN(AE$38,$D$19),$P$20))-SUM($P1165:AD1165)</f>
        <v>#VALUE!</v>
      </c>
      <c r="AF1165" s="446" t="e">
        <f>IF(OR($B1165="",MIN(AF$38,$D$19)&lt;MAX($P$708*($B1165+IF($R$17="Distrato",$I$38-1,0)),IF(AND($L$711=0,$P$708=0),"",$L$711-1),IF($R$17="Distrato",$E1165,0))),0,YEARFRAC(MAX($P$708*($B1165+IF($R$17="Distrato",$I$38-1,0)),IF(AND($L$711=0,$P$708=0),"",$L$711-1),IF($R$17="Distrato",$E1165,0)),MIN(AF$38,$D$19),$P$20))-SUM($P1165:AE1165)</f>
        <v>#VALUE!</v>
      </c>
      <c r="AG1165" s="446" t="e">
        <f>IF(OR($B1165="",MIN(AG$38,$D$19)&lt;MAX($P$708*($B1165+IF($R$17="Distrato",$I$38-1,0)),IF(AND($L$711=0,$P$708=0),"",$L$711-1),IF($R$17="Distrato",$E1165,0))),0,YEARFRAC(MAX($P$708*($B1165+IF($R$17="Distrato",$I$38-1,0)),IF(AND($L$711=0,$P$708=0),"",$L$711-1),IF($R$17="Distrato",$E1165,0)),MIN(AG$38,$D$19),$P$20))-SUM($P1165:AF1165)</f>
        <v>#VALUE!</v>
      </c>
      <c r="AH1165" s="446" t="e">
        <f>IF(OR($B1165="",MIN(AH$38,$D$19)&lt;MAX($P$708*($B1165+IF($R$17="Distrato",$I$38-1,0)),IF(AND($L$711=0,$P$708=0),"",$L$711-1),IF($R$17="Distrato",$E1165,0))),0,YEARFRAC(MAX($P$708*($B1165+IF($R$17="Distrato",$I$38-1,0)),IF(AND($L$711=0,$P$708=0),"",$L$711-1),IF($R$17="Distrato",$E1165,0)),MIN(AH$38,$D$19),$P$20))-SUM($P1165:AG1165)</f>
        <v>#VALUE!</v>
      </c>
      <c r="AI1165" s="446" t="e">
        <f>IF(OR($B1165="",MIN(AI$38,$D$19)&lt;MAX($P$708*($B1165+IF($R$17="Distrato",$I$38-1,0)),IF(AND($L$711=0,$P$708=0),"",$L$711-1),IF($R$17="Distrato",$E1165,0))),0,YEARFRAC(MAX($P$708*($B1165+IF($R$17="Distrato",$I$38-1,0)),IF(AND($L$711=0,$P$708=0),"",$L$711-1),IF($R$17="Distrato",$E1165,0)),MIN(AI$38,$D$19),$P$20))-SUM($P1165:AH1165)</f>
        <v>#VALUE!</v>
      </c>
      <c r="AJ1165" s="446" t="e">
        <f>IF(OR($B1165="",MIN(AJ$38,$D$19)&lt;MAX($P$708*($B1165+IF($R$17="Distrato",$I$38-1,0)),IF(AND($L$711=0,$P$708=0),"",$L$711-1),IF($R$17="Distrato",$E1165,0))),0,YEARFRAC(MAX($P$708*($B1165+IF($R$17="Distrato",$I$38-1,0)),IF(AND($L$711=0,$P$708=0),"",$L$711-1),IF($R$17="Distrato",$E1165,0)),MIN(AJ$38,$D$19),$P$20))-SUM($P1165:AI1165)</f>
        <v>#VALUE!</v>
      </c>
      <c r="AK1165" s="446" t="e">
        <f>IF(OR($B1165="",MIN(AK$38,$D$19)&lt;MAX($P$708*($B1165+IF($R$17="Distrato",$I$38-1,0)),IF(AND($L$711=0,$P$708=0),"",$L$711-1),IF($R$17="Distrato",$E1165,0))),0,YEARFRAC(MAX($P$708*($B1165+IF($R$17="Distrato",$I$38-1,0)),IF(AND($L$711=0,$P$708=0),"",$L$711-1),IF($R$17="Distrato",$E1165,0)),MIN(AK$38,$D$19),$P$20))-SUM($P1165:AJ1165)</f>
        <v>#VALUE!</v>
      </c>
      <c r="AL1165" s="446" t="e">
        <f>IF(OR($B1165="",MIN(AL$38,$D$19)&lt;MAX($P$708*($B1165+IF($R$17="Distrato",$I$38-1,0)),IF(AND($L$711=0,$P$708=0),"",$L$711-1),IF($R$17="Distrato",$E1165,0))),0,YEARFRAC(MAX($P$708*($B1165+IF($R$17="Distrato",$I$38-1,0)),IF(AND($L$711=0,$P$708=0),"",$L$711-1),IF($R$17="Distrato",$E1165,0)),MIN(AL$38,$D$19),$P$20))-SUM($P1165:AK1165)</f>
        <v>#VALUE!</v>
      </c>
      <c r="AM1165" s="446" t="e">
        <f>IF(OR($B1165="",MIN(AM$38,$D$19)&lt;MAX($P$708*($B1165+IF($R$17="Distrato",$I$38-1,0)),IF(AND($L$711=0,$P$708=0),"",$L$711-1),IF($R$17="Distrato",$E1165,0))),0,YEARFRAC(MAX($P$708*($B1165+IF($R$17="Distrato",$I$38-1,0)),IF(AND($L$711=0,$P$708=0),"",$L$711-1),IF($R$17="Distrato",$E1165,0)),MIN(AM$38,$D$19),$P$20))-SUM($P1165:AL1165)</f>
        <v>#VALUE!</v>
      </c>
      <c r="AN1165" s="446" t="e">
        <f>IF(OR($B1165="",MIN(AN$38,$D$19)&lt;MAX($P$708*($B1165+IF($R$17="Distrato",$I$38-1,0)),IF(AND($L$711=0,$P$708=0),"",$L$711-1),IF($R$17="Distrato",$E1165,0))),0,YEARFRAC(MAX($P$708*($B1165+IF($R$17="Distrato",$I$38-1,0)),IF(AND($L$711=0,$P$708=0),"",$L$711-1),IF($R$17="Distrato",$E1165,0)),MIN(AN$38,$D$19),$P$20))-SUM($P1165:AM1165)</f>
        <v>#VALUE!</v>
      </c>
      <c r="AO1165" s="446" t="e">
        <f>IF(OR($B1165="",MIN(AO$38,$D$19)&lt;MAX($P$708*($B1165+IF($R$17="Distrato",$I$38-1,0)),IF(AND($L$711=0,$P$708=0),"",$L$711-1),IF($R$17="Distrato",$E1165,0))),0,YEARFRAC(MAX($P$708*($B1165+IF($R$17="Distrato",$I$38-1,0)),IF(AND($L$711=0,$P$708=0),"",$L$711-1),IF($R$17="Distrato",$E1165,0)),MIN(AO$38,$D$19),$P$20))-SUM($P1165:AN1165)</f>
        <v>#VALUE!</v>
      </c>
      <c r="AP1165" s="446" t="e">
        <f>IF(OR($B1165="",MIN(AP$38,$D$19)&lt;MAX($P$708*($B1165+IF($R$17="Distrato",$I$38-1,0)),IF(AND($L$711=0,$P$708=0),"",$L$711-1),IF($R$17="Distrato",$E1165,0))),0,YEARFRAC(MAX($P$708*($B1165+IF($R$17="Distrato",$I$38-1,0)),IF(AND($L$711=0,$P$708=0),"",$L$711-1),IF($R$17="Distrato",$E1165,0)),MIN(AP$38,$D$19),$P$20))-SUM($P1165:AO1165)</f>
        <v>#VALUE!</v>
      </c>
      <c r="AQ1165" s="446" t="e">
        <f>IF(OR($B1165="",MIN(AQ$38,$D$19)&lt;MAX($P$708*($B1165+IF($R$17="Distrato",$I$38-1,0)),IF(AND($L$711=0,$P$708=0),"",$L$711-1),IF($R$17="Distrato",$E1165,0))),0,YEARFRAC(MAX($P$708*($B1165+IF($R$17="Distrato",$I$38-1,0)),IF(AND($L$711=0,$P$708=0),"",$L$711-1),IF($R$17="Distrato",$E1165,0)),MIN(AQ$38,$D$19),$P$20))-SUM($P1165:AP1165)</f>
        <v>#VALUE!</v>
      </c>
      <c r="AR1165" s="446" t="e">
        <f>IF(OR($B1165="",MIN(AR$38,$D$19)&lt;MAX($P$708*($B1165+IF($R$17="Distrato",$I$38-1,0)),IF(AND($L$711=0,$P$708=0),"",$L$711-1),IF($R$17="Distrato",$E1165,0))),0,YEARFRAC(MAX($P$708*($B1165+IF($R$17="Distrato",$I$38-1,0)),IF(AND($L$711=0,$P$708=0),"",$L$711-1),IF($R$17="Distrato",$E1165,0)),MIN(AR$38,$D$19),$P$20))-SUM($P1165:AQ1165)</f>
        <v>#VALUE!</v>
      </c>
      <c r="AS1165" s="446" t="e">
        <f>IF(OR($B1165="",MIN(AS$38,$D$19)&lt;MAX($P$708*($B1165+IF($R$17="Distrato",$I$38-1,0)),IF(AND($L$711=0,$P$708=0),"",$L$711-1),IF($R$17="Distrato",$E1165,0))),0,YEARFRAC(MAX($P$708*($B1165+IF($R$17="Distrato",$I$38-1,0)),IF(AND($L$711=0,$P$708=0),"",$L$711-1),IF($R$17="Distrato",$E1165,0)),MIN(AS$38,$D$19),$P$20))-SUM($P1165:AR1165)</f>
        <v>#VALUE!</v>
      </c>
      <c r="AT1165" s="446" t="e">
        <f>IF(OR($B1165="",MIN(AT$38,$D$19)&lt;MAX($P$708*($B1165+IF($R$17="Distrato",$I$38-1,0)),IF(AND($L$711=0,$P$708=0),"",$L$711-1),IF($R$17="Distrato",$E1165,0))),0,YEARFRAC(MAX($P$708*($B1165+IF($R$17="Distrato",$I$38-1,0)),IF(AND($L$711=0,$P$708=0),"",$L$711-1),IF($R$17="Distrato",$E1165,0)),MIN(AT$38,$D$19),$P$20))-SUM($P1165:AS1165)</f>
        <v>#VALUE!</v>
      </c>
      <c r="AU1165" s="446" t="e">
        <f>IF(OR($B1165="",MIN(AU$38,$D$19)&lt;MAX($P$708*($B1165+IF($R$17="Distrato",$I$38-1,0)),IF(AND($L$711=0,$P$708=0),"",$L$711-1),IF($R$17="Distrato",$E1165,0))),0,YEARFRAC(MAX($P$708*($B1165+IF($R$17="Distrato",$I$38-1,0)),IF(AND($L$711=0,$P$708=0),"",$L$711-1),IF($R$17="Distrato",$E1165,0)),MIN(AU$38,$D$19),$P$20))-SUM($P1165:AT1165)</f>
        <v>#VALUE!</v>
      </c>
      <c r="AV1165" s="446" t="e">
        <f>IF(OR($B1165="",MIN(AV$38,$D$19)&lt;MAX($P$708*($B1165+IF($R$17="Distrato",$I$38-1,0)),IF(AND($L$711=0,$P$708=0),"",$L$711-1),IF($R$17="Distrato",$E1165,0))),0,YEARFRAC(MAX($P$708*($B1165+IF($R$17="Distrato",$I$38-1,0)),IF(AND($L$711=0,$P$708=0),"",$L$711-1),IF($R$17="Distrato",$E1165,0)),MIN(AV$38,$D$19),$P$20))-SUM($P1165:AU1165)</f>
        <v>#VALUE!</v>
      </c>
      <c r="AW1165" s="446" t="e">
        <f>IF(OR($B1165="",MIN(AW$38,$D$19)&lt;MAX($P$708*($B1165+IF($R$17="Distrato",$I$38-1,0)),IF(AND($L$711=0,$P$708=0),"",$L$711-1),IF($R$17="Distrato",$E1165,0))),0,YEARFRAC(MAX($P$708*($B1165+IF($R$17="Distrato",$I$38-1,0)),IF(AND($L$711=0,$P$708=0),"",$L$711-1),IF($R$17="Distrato",$E1165,0)),MIN(AW$38,$D$19),$P$20))-SUM($P1165:AV1165)</f>
        <v>#VALUE!</v>
      </c>
      <c r="AX1165" s="446" t="e">
        <f>IF(OR($B1165="",MIN(AX$38,$D$19)&lt;MAX($P$708*($B1165+IF($R$17="Distrato",$I$38-1,0)),IF(AND($L$711=0,$P$708=0),"",$L$711-1),IF($R$17="Distrato",$E1165,0))),0,YEARFRAC(MAX($P$708*($B1165+IF($R$17="Distrato",$I$38-1,0)),IF(AND($L$711=0,$P$708=0),"",$L$711-1),IF($R$17="Distrato",$E1165,0)),MIN(AX$38,$D$19),$P$20))-SUM($P1165:AW1165)</f>
        <v>#VALUE!</v>
      </c>
      <c r="AY1165" s="446" t="e">
        <f>IF(OR($B1165="",MIN(AY$38,$D$19)&lt;MAX($P$708*($B1165+IF($R$17="Distrato",$I$38-1,0)),IF(AND($L$711=0,$P$708=0),"",$L$711-1),IF($R$17="Distrato",$E1165,0))),0,YEARFRAC(MAX($P$708*($B1165+IF($R$17="Distrato",$I$38-1,0)),IF(AND($L$711=0,$P$708=0),"",$L$711-1),IF($R$17="Distrato",$E1165,0)),MIN(AY$38,$D$19),$P$20))-SUM($P1165:AX1165)</f>
        <v>#VALUE!</v>
      </c>
      <c r="AZ1165" s="446" t="e">
        <f>IF(OR($B1165="",MIN(AZ$38,$D$19)&lt;MAX($P$708*($B1165+IF($R$17="Distrato",$I$38-1,0)),IF(AND($L$711=0,$P$708=0),"",$L$711-1),IF($R$17="Distrato",$E1165,0))),0,YEARFRAC(MAX($P$708*($B1165+IF($R$17="Distrato",$I$38-1,0)),IF(AND($L$711=0,$P$708=0),"",$L$711-1),IF($R$17="Distrato",$E1165,0)),MIN(AZ$38,$D$19),$P$20))-SUM($P1165:AY1165)</f>
        <v>#VALUE!</v>
      </c>
      <c r="BA1165" s="446" t="e">
        <f>IF(OR($B1165="",MIN(BA$38,$D$19)&lt;MAX($P$708*($B1165+IF($R$17="Distrato",$I$38-1,0)),IF(AND($L$711=0,$P$708=0),"",$L$711-1),IF($R$17="Distrato",$E1165,0))),0,YEARFRAC(MAX($P$708*($B1165+IF($R$17="Distrato",$I$38-1,0)),IF(AND($L$711=0,$P$708=0),"",$L$711-1),IF($R$17="Distrato",$E1165,0)),MIN(BA$38,$D$19),$P$20))-SUM($P1165:AZ1165)</f>
        <v>#VALUE!</v>
      </c>
      <c r="BB1165" s="447"/>
    </row>
    <row r="1166" spans="1:54" s="446" customFormat="1" ht="11.25" hidden="1" customHeight="1" x14ac:dyDescent="0.2">
      <c r="A1166" s="235"/>
      <c r="B1166" s="236"/>
      <c r="C1166" s="29" t="str">
        <f>IF(B1166="","",IF($L$709=$BL$25,VLOOKUP(DATE(YEAR($D$19),MONTH($D$19)-1,1),ÍNDICES!$A:$DE,HLOOKUP($BL$25,ÍNDICES!$B$3:$T$4,2)+11)-VLOOKUP(B1166,ÍNDICES!$A:$DE,HLOOKUP($BL$25,ÍNDICES!$B$3:$T$4,2)+11)+1%,IF(C$712=$W$26,$J$35,IF(ISERROR(IF(B1166&gt;$D$19,1,VLOOKUP(DATE(YEAR(B1166),MONTH(B1166)+IF($C$709=$S$23,1,0),1),ÍNDICES!$A:$DE,$Z$709+1))),"",IF(B1166&gt;$D$19,1,VLOOKUP(DATE(YEAR(B1166),MONTH(B1166)+IF($C$709=$S$23,1,0),1),ÍNDICES!$A:$DE,$Z$709+1))))))</f>
        <v/>
      </c>
      <c r="D1166" s="155"/>
      <c r="E1166" s="88"/>
      <c r="F1166" s="88"/>
      <c r="G1166" s="88"/>
      <c r="H1166" s="118"/>
      <c r="I1166" s="182">
        <f t="shared" si="164"/>
        <v>0</v>
      </c>
      <c r="J1166" s="20">
        <f t="shared" ca="1" si="165"/>
        <v>0</v>
      </c>
      <c r="K1166" s="5">
        <f t="shared" ca="1" si="166"/>
        <v>0</v>
      </c>
      <c r="L1166" s="61">
        <f t="shared" ca="1" si="167"/>
        <v>0</v>
      </c>
      <c r="M1166" s="64">
        <f t="shared" si="168"/>
        <v>0</v>
      </c>
      <c r="N1166" s="151"/>
      <c r="O1166" s="5">
        <f t="shared" ca="1" si="169"/>
        <v>0</v>
      </c>
      <c r="P1166" s="446" t="e">
        <f t="shared" si="170"/>
        <v>#VALUE!</v>
      </c>
      <c r="Q1166" s="446" t="e">
        <f>IF(OR($B1166="",MIN(Q$38,$D$19)&lt;MAX($P$708*($B1166+IF($R$17="Distrato",$I$38-1,0)),IF(AND($L$711=0,$P$708=0),"",$L$711-1),IF($R$17="Distrato",$E1166,0))),0,YEARFRAC(MAX($P$708*($B1166+IF($R$17="Distrato",$I$38-1,0)),IF(AND($L$711=0,$P$708=0),"",$L$711-1),IF($R$17="Distrato",$E1166,0)),MIN(Q$38,$D$19),$P$20))-SUM($P1166:P1166)</f>
        <v>#VALUE!</v>
      </c>
      <c r="R1166" s="446" t="e">
        <f>IF(OR($B1166="",MIN(R$38,$D$19)&lt;MAX($P$708*($B1166+IF($R$17="Distrato",$I$38-1,0)),IF(AND($L$711=0,$P$708=0),"",$L$711-1),IF($R$17="Distrato",$E1166,0))),0,YEARFRAC(MAX($P$708*($B1166+IF($R$17="Distrato",$I$38-1,0)),IF(AND($L$711=0,$P$708=0),"",$L$711-1),IF($R$17="Distrato",$E1166,0)),MIN(R$38,$D$19),$P$20))-SUM($P1166:Q1166)</f>
        <v>#VALUE!</v>
      </c>
      <c r="S1166" s="446" t="e">
        <f>IF(OR($B1166="",MIN(S$38,$D$19)&lt;MAX($P$708*($B1166+IF($R$17="Distrato",$I$38-1,0)),IF(AND($L$711=0,$P$708=0),"",$L$711-1),IF($R$17="Distrato",$E1166,0))),0,YEARFRAC(MAX($P$708*($B1166+IF($R$17="Distrato",$I$38-1,0)),IF(AND($L$711=0,$P$708=0),"",$L$711-1),IF($R$17="Distrato",$E1166,0)),MIN(S$38,$D$19),$P$20))-SUM($P1166:R1166)</f>
        <v>#VALUE!</v>
      </c>
      <c r="T1166" s="446" t="e">
        <f>IF(OR($B1166="",MIN(T$38,$D$19)&lt;MAX($P$708*($B1166+IF($R$17="Distrato",$I$38-1,0)),IF(AND($L$711=0,$P$708=0),"",$L$711-1),IF($R$17="Distrato",$E1166,0))),0,YEARFRAC(MAX($P$708*($B1166+IF($R$17="Distrato",$I$38-1,0)),IF(AND($L$711=0,$P$708=0),"",$L$711-1),IF($R$17="Distrato",$E1166,0)),MIN(T$38,$D$19),$P$20))-SUM($P1166:S1166)</f>
        <v>#VALUE!</v>
      </c>
      <c r="U1166" s="446" t="e">
        <f>IF(OR($B1166="",MIN(U$38,$D$19)&lt;MAX($P$708*($B1166+IF($R$17="Distrato",$I$38-1,0)),IF(AND($L$711=0,$P$708=0),"",$L$711-1),IF($R$17="Distrato",$E1166,0))),0,YEARFRAC(MAX($P$708*($B1166+IF($R$17="Distrato",$I$38-1,0)),IF(AND($L$711=0,$P$708=0),"",$L$711-1),IF($R$17="Distrato",$E1166,0)),MIN(U$38,$D$19),$P$20))-SUM($P1166:T1166)</f>
        <v>#VALUE!</v>
      </c>
      <c r="V1166" s="446" t="e">
        <f>IF(OR($B1166="",MIN(V$38,$D$19)&lt;MAX($P$708*($B1166+IF($R$17="Distrato",$I$38-1,0)),IF(AND($L$711=0,$P$708=0),"",$L$711-1),IF($R$17="Distrato",$E1166,0))),0,YEARFRAC(MAX($P$708*($B1166+IF($R$17="Distrato",$I$38-1,0)),IF(AND($L$711=0,$P$708=0),"",$L$711-1),IF($R$17="Distrato",$E1166,0)),MIN(V$38,$D$19),$P$20))-SUM($P1166:U1166)</f>
        <v>#VALUE!</v>
      </c>
      <c r="W1166" s="446" t="e">
        <f>IF(OR($B1166="",MIN(W$38,$D$19)&lt;MAX($P$708*($B1166+IF($R$17="Distrato",$I$38-1,0)),IF(AND($L$711=0,$P$708=0),"",$L$711-1),IF($R$17="Distrato",$E1166,0))),0,YEARFRAC(MAX($P$708*($B1166+IF($R$17="Distrato",$I$38-1,0)),IF(AND($L$711=0,$P$708=0),"",$L$711-1),IF($R$17="Distrato",$E1166,0)),MIN(W$38,$D$19),$P$20))-SUM($P1166:V1166)</f>
        <v>#VALUE!</v>
      </c>
      <c r="X1166" s="446" t="e">
        <f>IF(OR($B1166="",MIN(X$38,$D$19)&lt;MAX($P$708*($B1166+IF($R$17="Distrato",$I$38-1,0)),IF(AND($L$711=0,$P$708=0),"",$L$711-1),IF($R$17="Distrato",$E1166,0))),0,YEARFRAC(MAX($P$708*($B1166+IF($R$17="Distrato",$I$38-1,0)),IF(AND($L$711=0,$P$708=0),"",$L$711-1),IF($R$17="Distrato",$E1166,0)),MIN(X$38,$D$19),$P$20))-SUM($P1166:W1166)</f>
        <v>#VALUE!</v>
      </c>
      <c r="Y1166" s="446" t="e">
        <f>IF(OR($B1166="",MIN(Y$38,$D$19)&lt;MAX($P$708*($B1166+IF($R$17="Distrato",$I$38-1,0)),IF(AND($L$711=0,$P$708=0),"",$L$711-1),IF($R$17="Distrato",$E1166,0))),0,YEARFRAC(MAX($P$708*($B1166+IF($R$17="Distrato",$I$38-1,0)),IF(AND($L$711=0,$P$708=0),"",$L$711-1),IF($R$17="Distrato",$E1166,0)),MIN(Y$38,$D$19),$P$20))-SUM($P1166:X1166)</f>
        <v>#VALUE!</v>
      </c>
      <c r="Z1166" s="446" t="e">
        <f>IF(OR($B1166="",MIN(Z$38,$D$19)&lt;MAX($P$708*($B1166+IF($R$17="Distrato",$I$38-1,0)),IF(AND($L$711=0,$P$708=0),"",$L$711-1),IF($R$17="Distrato",$E1166,0))),0,YEARFRAC(MAX($P$708*($B1166+IF($R$17="Distrato",$I$38-1,0)),IF(AND($L$711=0,$P$708=0),"",$L$711-1),IF($R$17="Distrato",$E1166,0)),MIN(Z$38,$D$19),$P$20))-SUM($P1166:Y1166)</f>
        <v>#VALUE!</v>
      </c>
      <c r="AA1166" s="446" t="e">
        <f>IF(OR($B1166="",MIN(AA$38,$D$19)&lt;MAX($P$708*($B1166+IF($R$17="Distrato",$I$38-1,0)),IF(AND($L$711=0,$P$708=0),"",$L$711-1),IF($R$17="Distrato",$E1166,0))),0,YEARFRAC(MAX($P$708*($B1166+IF($R$17="Distrato",$I$38-1,0)),IF(AND($L$711=0,$P$708=0),"",$L$711-1),IF($R$17="Distrato",$E1166,0)),MIN(AA$38,$D$19),$P$20))-SUM($P1166:Z1166)</f>
        <v>#VALUE!</v>
      </c>
      <c r="AB1166" s="446" t="e">
        <f>IF(OR($B1166="",MIN(AB$38,$D$19)&lt;MAX($P$708*($B1166+IF($R$17="Distrato",$I$38-1,0)),IF(AND($L$711=0,$P$708=0),"",$L$711-1),IF($R$17="Distrato",$E1166,0))),0,YEARFRAC(MAX($P$708*($B1166+IF($R$17="Distrato",$I$38-1,0)),IF(AND($L$711=0,$P$708=0),"",$L$711-1),IF($R$17="Distrato",$E1166,0)),MIN(AB$38,$D$19),$P$20))-SUM($P1166:AA1166)</f>
        <v>#VALUE!</v>
      </c>
      <c r="AC1166" s="446" t="e">
        <f>IF(OR($B1166="",MIN(AC$38,$D$19)&lt;MAX($P$708*($B1166+IF($R$17="Distrato",$I$38-1,0)),IF(AND($L$711=0,$P$708=0),"",$L$711-1),IF($R$17="Distrato",$E1166,0))),0,YEARFRAC(MAX($P$708*($B1166+IF($R$17="Distrato",$I$38-1,0)),IF(AND($L$711=0,$P$708=0),"",$L$711-1),IF($R$17="Distrato",$E1166,0)),MIN(AC$38,$D$19),$P$20))-SUM($P1166:AB1166)</f>
        <v>#VALUE!</v>
      </c>
      <c r="AD1166" s="446" t="e">
        <f>IF(OR($B1166="",MIN(AD$38,$D$19)&lt;MAX($P$708*($B1166+IF($R$17="Distrato",$I$38-1,0)),IF(AND($L$711=0,$P$708=0),"",$L$711-1),IF($R$17="Distrato",$E1166,0))),0,YEARFRAC(MAX($P$708*($B1166+IF($R$17="Distrato",$I$38-1,0)),IF(AND($L$711=0,$P$708=0),"",$L$711-1),IF($R$17="Distrato",$E1166,0)),MIN(AD$38,$D$19),$P$20))-SUM($P1166:AC1166)</f>
        <v>#VALUE!</v>
      </c>
      <c r="AE1166" s="446" t="e">
        <f>IF(OR($B1166="",MIN(AE$38,$D$19)&lt;MAX($P$708*($B1166+IF($R$17="Distrato",$I$38-1,0)),IF(AND($L$711=0,$P$708=0),"",$L$711-1),IF($R$17="Distrato",$E1166,0))),0,YEARFRAC(MAX($P$708*($B1166+IF($R$17="Distrato",$I$38-1,0)),IF(AND($L$711=0,$P$708=0),"",$L$711-1),IF($R$17="Distrato",$E1166,0)),MIN(AE$38,$D$19),$P$20))-SUM($P1166:AD1166)</f>
        <v>#VALUE!</v>
      </c>
      <c r="AF1166" s="446" t="e">
        <f>IF(OR($B1166="",MIN(AF$38,$D$19)&lt;MAX($P$708*($B1166+IF($R$17="Distrato",$I$38-1,0)),IF(AND($L$711=0,$P$708=0),"",$L$711-1),IF($R$17="Distrato",$E1166,0))),0,YEARFRAC(MAX($P$708*($B1166+IF($R$17="Distrato",$I$38-1,0)),IF(AND($L$711=0,$P$708=0),"",$L$711-1),IF($R$17="Distrato",$E1166,0)),MIN(AF$38,$D$19),$P$20))-SUM($P1166:AE1166)</f>
        <v>#VALUE!</v>
      </c>
      <c r="AG1166" s="446" t="e">
        <f>IF(OR($B1166="",MIN(AG$38,$D$19)&lt;MAX($P$708*($B1166+IF($R$17="Distrato",$I$38-1,0)),IF(AND($L$711=0,$P$708=0),"",$L$711-1),IF($R$17="Distrato",$E1166,0))),0,YEARFRAC(MAX($P$708*($B1166+IF($R$17="Distrato",$I$38-1,0)),IF(AND($L$711=0,$P$708=0),"",$L$711-1),IF($R$17="Distrato",$E1166,0)),MIN(AG$38,$D$19),$P$20))-SUM($P1166:AF1166)</f>
        <v>#VALUE!</v>
      </c>
      <c r="AH1166" s="446" t="e">
        <f>IF(OR($B1166="",MIN(AH$38,$D$19)&lt;MAX($P$708*($B1166+IF($R$17="Distrato",$I$38-1,0)),IF(AND($L$711=0,$P$708=0),"",$L$711-1),IF($R$17="Distrato",$E1166,0))),0,YEARFRAC(MAX($P$708*($B1166+IF($R$17="Distrato",$I$38-1,0)),IF(AND($L$711=0,$P$708=0),"",$L$711-1),IF($R$17="Distrato",$E1166,0)),MIN(AH$38,$D$19),$P$20))-SUM($P1166:AG1166)</f>
        <v>#VALUE!</v>
      </c>
      <c r="AI1166" s="446" t="e">
        <f>IF(OR($B1166="",MIN(AI$38,$D$19)&lt;MAX($P$708*($B1166+IF($R$17="Distrato",$I$38-1,0)),IF(AND($L$711=0,$P$708=0),"",$L$711-1),IF($R$17="Distrato",$E1166,0))),0,YEARFRAC(MAX($P$708*($B1166+IF($R$17="Distrato",$I$38-1,0)),IF(AND($L$711=0,$P$708=0),"",$L$711-1),IF($R$17="Distrato",$E1166,0)),MIN(AI$38,$D$19),$P$20))-SUM($P1166:AH1166)</f>
        <v>#VALUE!</v>
      </c>
      <c r="AJ1166" s="446" t="e">
        <f>IF(OR($B1166="",MIN(AJ$38,$D$19)&lt;MAX($P$708*($B1166+IF($R$17="Distrato",$I$38-1,0)),IF(AND($L$711=0,$P$708=0),"",$L$711-1),IF($R$17="Distrato",$E1166,0))),0,YEARFRAC(MAX($P$708*($B1166+IF($R$17="Distrato",$I$38-1,0)),IF(AND($L$711=0,$P$708=0),"",$L$711-1),IF($R$17="Distrato",$E1166,0)),MIN(AJ$38,$D$19),$P$20))-SUM($P1166:AI1166)</f>
        <v>#VALUE!</v>
      </c>
      <c r="AK1166" s="446" t="e">
        <f>IF(OR($B1166="",MIN(AK$38,$D$19)&lt;MAX($P$708*($B1166+IF($R$17="Distrato",$I$38-1,0)),IF(AND($L$711=0,$P$708=0),"",$L$711-1),IF($R$17="Distrato",$E1166,0))),0,YEARFRAC(MAX($P$708*($B1166+IF($R$17="Distrato",$I$38-1,0)),IF(AND($L$711=0,$P$708=0),"",$L$711-1),IF($R$17="Distrato",$E1166,0)),MIN(AK$38,$D$19),$P$20))-SUM($P1166:AJ1166)</f>
        <v>#VALUE!</v>
      </c>
      <c r="AL1166" s="446" t="e">
        <f>IF(OR($B1166="",MIN(AL$38,$D$19)&lt;MAX($P$708*($B1166+IF($R$17="Distrato",$I$38-1,0)),IF(AND($L$711=0,$P$708=0),"",$L$711-1),IF($R$17="Distrato",$E1166,0))),0,YEARFRAC(MAX($P$708*($B1166+IF($R$17="Distrato",$I$38-1,0)),IF(AND($L$711=0,$P$708=0),"",$L$711-1),IF($R$17="Distrato",$E1166,0)),MIN(AL$38,$D$19),$P$20))-SUM($P1166:AK1166)</f>
        <v>#VALUE!</v>
      </c>
      <c r="AM1166" s="446" t="e">
        <f>IF(OR($B1166="",MIN(AM$38,$D$19)&lt;MAX($P$708*($B1166+IF($R$17="Distrato",$I$38-1,0)),IF(AND($L$711=0,$P$708=0),"",$L$711-1),IF($R$17="Distrato",$E1166,0))),0,YEARFRAC(MAX($P$708*($B1166+IF($R$17="Distrato",$I$38-1,0)),IF(AND($L$711=0,$P$708=0),"",$L$711-1),IF($R$17="Distrato",$E1166,0)),MIN(AM$38,$D$19),$P$20))-SUM($P1166:AL1166)</f>
        <v>#VALUE!</v>
      </c>
      <c r="AN1166" s="446" t="e">
        <f>IF(OR($B1166="",MIN(AN$38,$D$19)&lt;MAX($P$708*($B1166+IF($R$17="Distrato",$I$38-1,0)),IF(AND($L$711=0,$P$708=0),"",$L$711-1),IF($R$17="Distrato",$E1166,0))),0,YEARFRAC(MAX($P$708*($B1166+IF($R$17="Distrato",$I$38-1,0)),IF(AND($L$711=0,$P$708=0),"",$L$711-1),IF($R$17="Distrato",$E1166,0)),MIN(AN$38,$D$19),$P$20))-SUM($P1166:AM1166)</f>
        <v>#VALUE!</v>
      </c>
      <c r="AO1166" s="446" t="e">
        <f>IF(OR($B1166="",MIN(AO$38,$D$19)&lt;MAX($P$708*($B1166+IF($R$17="Distrato",$I$38-1,0)),IF(AND($L$711=0,$P$708=0),"",$L$711-1),IF($R$17="Distrato",$E1166,0))),0,YEARFRAC(MAX($P$708*($B1166+IF($R$17="Distrato",$I$38-1,0)),IF(AND($L$711=0,$P$708=0),"",$L$711-1),IF($R$17="Distrato",$E1166,0)),MIN(AO$38,$D$19),$P$20))-SUM($P1166:AN1166)</f>
        <v>#VALUE!</v>
      </c>
      <c r="AP1166" s="446" t="e">
        <f>IF(OR($B1166="",MIN(AP$38,$D$19)&lt;MAX($P$708*($B1166+IF($R$17="Distrato",$I$38-1,0)),IF(AND($L$711=0,$P$708=0),"",$L$711-1),IF($R$17="Distrato",$E1166,0))),0,YEARFRAC(MAX($P$708*($B1166+IF($R$17="Distrato",$I$38-1,0)),IF(AND($L$711=0,$P$708=0),"",$L$711-1),IF($R$17="Distrato",$E1166,0)),MIN(AP$38,$D$19),$P$20))-SUM($P1166:AO1166)</f>
        <v>#VALUE!</v>
      </c>
      <c r="AQ1166" s="446" t="e">
        <f>IF(OR($B1166="",MIN(AQ$38,$D$19)&lt;MAX($P$708*($B1166+IF($R$17="Distrato",$I$38-1,0)),IF(AND($L$711=0,$P$708=0),"",$L$711-1),IF($R$17="Distrato",$E1166,0))),0,YEARFRAC(MAX($P$708*($B1166+IF($R$17="Distrato",$I$38-1,0)),IF(AND($L$711=0,$P$708=0),"",$L$711-1),IF($R$17="Distrato",$E1166,0)),MIN(AQ$38,$D$19),$P$20))-SUM($P1166:AP1166)</f>
        <v>#VALUE!</v>
      </c>
      <c r="AR1166" s="446" t="e">
        <f>IF(OR($B1166="",MIN(AR$38,$D$19)&lt;MAX($P$708*($B1166+IF($R$17="Distrato",$I$38-1,0)),IF(AND($L$711=0,$P$708=0),"",$L$711-1),IF($R$17="Distrato",$E1166,0))),0,YEARFRAC(MAX($P$708*($B1166+IF($R$17="Distrato",$I$38-1,0)),IF(AND($L$711=0,$P$708=0),"",$L$711-1),IF($R$17="Distrato",$E1166,0)),MIN(AR$38,$D$19),$P$20))-SUM($P1166:AQ1166)</f>
        <v>#VALUE!</v>
      </c>
      <c r="AS1166" s="446" t="e">
        <f>IF(OR($B1166="",MIN(AS$38,$D$19)&lt;MAX($P$708*($B1166+IF($R$17="Distrato",$I$38-1,0)),IF(AND($L$711=0,$P$708=0),"",$L$711-1),IF($R$17="Distrato",$E1166,0))),0,YEARFRAC(MAX($P$708*($B1166+IF($R$17="Distrato",$I$38-1,0)),IF(AND($L$711=0,$P$708=0),"",$L$711-1),IF($R$17="Distrato",$E1166,0)),MIN(AS$38,$D$19),$P$20))-SUM($P1166:AR1166)</f>
        <v>#VALUE!</v>
      </c>
      <c r="AT1166" s="446" t="e">
        <f>IF(OR($B1166="",MIN(AT$38,$D$19)&lt;MAX($P$708*($B1166+IF($R$17="Distrato",$I$38-1,0)),IF(AND($L$711=0,$P$708=0),"",$L$711-1),IF($R$17="Distrato",$E1166,0))),0,YEARFRAC(MAX($P$708*($B1166+IF($R$17="Distrato",$I$38-1,0)),IF(AND($L$711=0,$P$708=0),"",$L$711-1),IF($R$17="Distrato",$E1166,0)),MIN(AT$38,$D$19),$P$20))-SUM($P1166:AS1166)</f>
        <v>#VALUE!</v>
      </c>
      <c r="AU1166" s="446" t="e">
        <f>IF(OR($B1166="",MIN(AU$38,$D$19)&lt;MAX($P$708*($B1166+IF($R$17="Distrato",$I$38-1,0)),IF(AND($L$711=0,$P$708=0),"",$L$711-1),IF($R$17="Distrato",$E1166,0))),0,YEARFRAC(MAX($P$708*($B1166+IF($R$17="Distrato",$I$38-1,0)),IF(AND($L$711=0,$P$708=0),"",$L$711-1),IF($R$17="Distrato",$E1166,0)),MIN(AU$38,$D$19),$P$20))-SUM($P1166:AT1166)</f>
        <v>#VALUE!</v>
      </c>
      <c r="AV1166" s="446" t="e">
        <f>IF(OR($B1166="",MIN(AV$38,$D$19)&lt;MAX($P$708*($B1166+IF($R$17="Distrato",$I$38-1,0)),IF(AND($L$711=0,$P$708=0),"",$L$711-1),IF($R$17="Distrato",$E1166,0))),0,YEARFRAC(MAX($P$708*($B1166+IF($R$17="Distrato",$I$38-1,0)),IF(AND($L$711=0,$P$708=0),"",$L$711-1),IF($R$17="Distrato",$E1166,0)),MIN(AV$38,$D$19),$P$20))-SUM($P1166:AU1166)</f>
        <v>#VALUE!</v>
      </c>
      <c r="AW1166" s="446" t="e">
        <f>IF(OR($B1166="",MIN(AW$38,$D$19)&lt;MAX($P$708*($B1166+IF($R$17="Distrato",$I$38-1,0)),IF(AND($L$711=0,$P$708=0),"",$L$711-1),IF($R$17="Distrato",$E1166,0))),0,YEARFRAC(MAX($P$708*($B1166+IF($R$17="Distrato",$I$38-1,0)),IF(AND($L$711=0,$P$708=0),"",$L$711-1),IF($R$17="Distrato",$E1166,0)),MIN(AW$38,$D$19),$P$20))-SUM($P1166:AV1166)</f>
        <v>#VALUE!</v>
      </c>
      <c r="AX1166" s="446" t="e">
        <f>IF(OR($B1166="",MIN(AX$38,$D$19)&lt;MAX($P$708*($B1166+IF($R$17="Distrato",$I$38-1,0)),IF(AND($L$711=0,$P$708=0),"",$L$711-1),IF($R$17="Distrato",$E1166,0))),0,YEARFRAC(MAX($P$708*($B1166+IF($R$17="Distrato",$I$38-1,0)),IF(AND($L$711=0,$P$708=0),"",$L$711-1),IF($R$17="Distrato",$E1166,0)),MIN(AX$38,$D$19),$P$20))-SUM($P1166:AW1166)</f>
        <v>#VALUE!</v>
      </c>
      <c r="AY1166" s="446" t="e">
        <f>IF(OR($B1166="",MIN(AY$38,$D$19)&lt;MAX($P$708*($B1166+IF($R$17="Distrato",$I$38-1,0)),IF(AND($L$711=0,$P$708=0),"",$L$711-1),IF($R$17="Distrato",$E1166,0))),0,YEARFRAC(MAX($P$708*($B1166+IF($R$17="Distrato",$I$38-1,0)),IF(AND($L$711=0,$P$708=0),"",$L$711-1),IF($R$17="Distrato",$E1166,0)),MIN(AY$38,$D$19),$P$20))-SUM($P1166:AX1166)</f>
        <v>#VALUE!</v>
      </c>
      <c r="AZ1166" s="446" t="e">
        <f>IF(OR($B1166="",MIN(AZ$38,$D$19)&lt;MAX($P$708*($B1166+IF($R$17="Distrato",$I$38-1,0)),IF(AND($L$711=0,$P$708=0),"",$L$711-1),IF($R$17="Distrato",$E1166,0))),0,YEARFRAC(MAX($P$708*($B1166+IF($R$17="Distrato",$I$38-1,0)),IF(AND($L$711=0,$P$708=0),"",$L$711-1),IF($R$17="Distrato",$E1166,0)),MIN(AZ$38,$D$19),$P$20))-SUM($P1166:AY1166)</f>
        <v>#VALUE!</v>
      </c>
      <c r="BA1166" s="446" t="e">
        <f>IF(OR($B1166="",MIN(BA$38,$D$19)&lt;MAX($P$708*($B1166+IF($R$17="Distrato",$I$38-1,0)),IF(AND($L$711=0,$P$708=0),"",$L$711-1),IF($R$17="Distrato",$E1166,0))),0,YEARFRAC(MAX($P$708*($B1166+IF($R$17="Distrato",$I$38-1,0)),IF(AND($L$711=0,$P$708=0),"",$L$711-1),IF($R$17="Distrato",$E1166,0)),MIN(BA$38,$D$19),$P$20))-SUM($P1166:AZ1166)</f>
        <v>#VALUE!</v>
      </c>
      <c r="BB1166" s="447"/>
    </row>
    <row r="1167" spans="1:54" s="446" customFormat="1" ht="11.25" hidden="1" customHeight="1" x14ac:dyDescent="0.2">
      <c r="A1167" s="235"/>
      <c r="B1167" s="236"/>
      <c r="C1167" s="29" t="str">
        <f>IF(B1167="","",IF($L$709=$BL$25,VLOOKUP(DATE(YEAR($D$19),MONTH($D$19)-1,1),ÍNDICES!$A:$DE,HLOOKUP($BL$25,ÍNDICES!$B$3:$T$4,2)+11)-VLOOKUP(B1167,ÍNDICES!$A:$DE,HLOOKUP($BL$25,ÍNDICES!$B$3:$T$4,2)+11)+1%,IF(C$712=$W$26,$J$35,IF(ISERROR(IF(B1167&gt;$D$19,1,VLOOKUP(DATE(YEAR(B1167),MONTH(B1167)+IF($C$709=$S$23,1,0),1),ÍNDICES!$A:$DE,$Z$709+1))),"",IF(B1167&gt;$D$19,1,VLOOKUP(DATE(YEAR(B1167),MONTH(B1167)+IF($C$709=$S$23,1,0),1),ÍNDICES!$A:$DE,$Z$709+1))))))</f>
        <v/>
      </c>
      <c r="D1167" s="155"/>
      <c r="E1167" s="88"/>
      <c r="F1167" s="88"/>
      <c r="G1167" s="88"/>
      <c r="H1167" s="118"/>
      <c r="I1167" s="182">
        <f t="shared" si="164"/>
        <v>0</v>
      </c>
      <c r="J1167" s="20">
        <f t="shared" ca="1" si="165"/>
        <v>0</v>
      </c>
      <c r="K1167" s="5">
        <f t="shared" ca="1" si="166"/>
        <v>0</v>
      </c>
      <c r="L1167" s="61">
        <f t="shared" ca="1" si="167"/>
        <v>0</v>
      </c>
      <c r="M1167" s="64">
        <f t="shared" si="168"/>
        <v>0</v>
      </c>
      <c r="N1167" s="151"/>
      <c r="O1167" s="5">
        <f t="shared" ca="1" si="169"/>
        <v>0</v>
      </c>
      <c r="P1167" s="446" t="e">
        <f t="shared" si="170"/>
        <v>#VALUE!</v>
      </c>
      <c r="Q1167" s="446" t="e">
        <f>IF(OR($B1167="",MIN(Q$38,$D$19)&lt;MAX($P$708*($B1167+IF($R$17="Distrato",$I$38-1,0)),IF(AND($L$711=0,$P$708=0),"",$L$711-1),IF($R$17="Distrato",$E1167,0))),0,YEARFRAC(MAX($P$708*($B1167+IF($R$17="Distrato",$I$38-1,0)),IF(AND($L$711=0,$P$708=0),"",$L$711-1),IF($R$17="Distrato",$E1167,0)),MIN(Q$38,$D$19),$P$20))-SUM($P1167:P1167)</f>
        <v>#VALUE!</v>
      </c>
      <c r="R1167" s="446" t="e">
        <f>IF(OR($B1167="",MIN(R$38,$D$19)&lt;MAX($P$708*($B1167+IF($R$17="Distrato",$I$38-1,0)),IF(AND($L$711=0,$P$708=0),"",$L$711-1),IF($R$17="Distrato",$E1167,0))),0,YEARFRAC(MAX($P$708*($B1167+IF($R$17="Distrato",$I$38-1,0)),IF(AND($L$711=0,$P$708=0),"",$L$711-1),IF($R$17="Distrato",$E1167,0)),MIN(R$38,$D$19),$P$20))-SUM($P1167:Q1167)</f>
        <v>#VALUE!</v>
      </c>
      <c r="S1167" s="446" t="e">
        <f>IF(OR($B1167="",MIN(S$38,$D$19)&lt;MAX($P$708*($B1167+IF($R$17="Distrato",$I$38-1,0)),IF(AND($L$711=0,$P$708=0),"",$L$711-1),IF($R$17="Distrato",$E1167,0))),0,YEARFRAC(MAX($P$708*($B1167+IF($R$17="Distrato",$I$38-1,0)),IF(AND($L$711=0,$P$708=0),"",$L$711-1),IF($R$17="Distrato",$E1167,0)),MIN(S$38,$D$19),$P$20))-SUM($P1167:R1167)</f>
        <v>#VALUE!</v>
      </c>
      <c r="T1167" s="446" t="e">
        <f>IF(OR($B1167="",MIN(T$38,$D$19)&lt;MAX($P$708*($B1167+IF($R$17="Distrato",$I$38-1,0)),IF(AND($L$711=0,$P$708=0),"",$L$711-1),IF($R$17="Distrato",$E1167,0))),0,YEARFRAC(MAX($P$708*($B1167+IF($R$17="Distrato",$I$38-1,0)),IF(AND($L$711=0,$P$708=0),"",$L$711-1),IF($R$17="Distrato",$E1167,0)),MIN(T$38,$D$19),$P$20))-SUM($P1167:S1167)</f>
        <v>#VALUE!</v>
      </c>
      <c r="U1167" s="446" t="e">
        <f>IF(OR($B1167="",MIN(U$38,$D$19)&lt;MAX($P$708*($B1167+IF($R$17="Distrato",$I$38-1,0)),IF(AND($L$711=0,$P$708=0),"",$L$711-1),IF($R$17="Distrato",$E1167,0))),0,YEARFRAC(MAX($P$708*($B1167+IF($R$17="Distrato",$I$38-1,0)),IF(AND($L$711=0,$P$708=0),"",$L$711-1),IF($R$17="Distrato",$E1167,0)),MIN(U$38,$D$19),$P$20))-SUM($P1167:T1167)</f>
        <v>#VALUE!</v>
      </c>
      <c r="V1167" s="446" t="e">
        <f>IF(OR($B1167="",MIN(V$38,$D$19)&lt;MAX($P$708*($B1167+IF($R$17="Distrato",$I$38-1,0)),IF(AND($L$711=0,$P$708=0),"",$L$711-1),IF($R$17="Distrato",$E1167,0))),0,YEARFRAC(MAX($P$708*($B1167+IF($R$17="Distrato",$I$38-1,0)),IF(AND($L$711=0,$P$708=0),"",$L$711-1),IF($R$17="Distrato",$E1167,0)),MIN(V$38,$D$19),$P$20))-SUM($P1167:U1167)</f>
        <v>#VALUE!</v>
      </c>
      <c r="W1167" s="446" t="e">
        <f>IF(OR($B1167="",MIN(W$38,$D$19)&lt;MAX($P$708*($B1167+IF($R$17="Distrato",$I$38-1,0)),IF(AND($L$711=0,$P$708=0),"",$L$711-1),IF($R$17="Distrato",$E1167,0))),0,YEARFRAC(MAX($P$708*($B1167+IF($R$17="Distrato",$I$38-1,0)),IF(AND($L$711=0,$P$708=0),"",$L$711-1),IF($R$17="Distrato",$E1167,0)),MIN(W$38,$D$19),$P$20))-SUM($P1167:V1167)</f>
        <v>#VALUE!</v>
      </c>
      <c r="X1167" s="446" t="e">
        <f>IF(OR($B1167="",MIN(X$38,$D$19)&lt;MAX($P$708*($B1167+IF($R$17="Distrato",$I$38-1,0)),IF(AND($L$711=0,$P$708=0),"",$L$711-1),IF($R$17="Distrato",$E1167,0))),0,YEARFRAC(MAX($P$708*($B1167+IF($R$17="Distrato",$I$38-1,0)),IF(AND($L$711=0,$P$708=0),"",$L$711-1),IF($R$17="Distrato",$E1167,0)),MIN(X$38,$D$19),$P$20))-SUM($P1167:W1167)</f>
        <v>#VALUE!</v>
      </c>
      <c r="Y1167" s="446" t="e">
        <f>IF(OR($B1167="",MIN(Y$38,$D$19)&lt;MAX($P$708*($B1167+IF($R$17="Distrato",$I$38-1,0)),IF(AND($L$711=0,$P$708=0),"",$L$711-1),IF($R$17="Distrato",$E1167,0))),0,YEARFRAC(MAX($P$708*($B1167+IF($R$17="Distrato",$I$38-1,0)),IF(AND($L$711=0,$P$708=0),"",$L$711-1),IF($R$17="Distrato",$E1167,0)),MIN(Y$38,$D$19),$P$20))-SUM($P1167:X1167)</f>
        <v>#VALUE!</v>
      </c>
      <c r="Z1167" s="446" t="e">
        <f>IF(OR($B1167="",MIN(Z$38,$D$19)&lt;MAX($P$708*($B1167+IF($R$17="Distrato",$I$38-1,0)),IF(AND($L$711=0,$P$708=0),"",$L$711-1),IF($R$17="Distrato",$E1167,0))),0,YEARFRAC(MAX($P$708*($B1167+IF($R$17="Distrato",$I$38-1,0)),IF(AND($L$711=0,$P$708=0),"",$L$711-1),IF($R$17="Distrato",$E1167,0)),MIN(Z$38,$D$19),$P$20))-SUM($P1167:Y1167)</f>
        <v>#VALUE!</v>
      </c>
      <c r="AA1167" s="446" t="e">
        <f>IF(OR($B1167="",MIN(AA$38,$D$19)&lt;MAX($P$708*($B1167+IF($R$17="Distrato",$I$38-1,0)),IF(AND($L$711=0,$P$708=0),"",$L$711-1),IF($R$17="Distrato",$E1167,0))),0,YEARFRAC(MAX($P$708*($B1167+IF($R$17="Distrato",$I$38-1,0)),IF(AND($L$711=0,$P$708=0),"",$L$711-1),IF($R$17="Distrato",$E1167,0)),MIN(AA$38,$D$19),$P$20))-SUM($P1167:Z1167)</f>
        <v>#VALUE!</v>
      </c>
      <c r="AB1167" s="446" t="e">
        <f>IF(OR($B1167="",MIN(AB$38,$D$19)&lt;MAX($P$708*($B1167+IF($R$17="Distrato",$I$38-1,0)),IF(AND($L$711=0,$P$708=0),"",$L$711-1),IF($R$17="Distrato",$E1167,0))),0,YEARFRAC(MAX($P$708*($B1167+IF($R$17="Distrato",$I$38-1,0)),IF(AND($L$711=0,$P$708=0),"",$L$711-1),IF($R$17="Distrato",$E1167,0)),MIN(AB$38,$D$19),$P$20))-SUM($P1167:AA1167)</f>
        <v>#VALUE!</v>
      </c>
      <c r="AC1167" s="446" t="e">
        <f>IF(OR($B1167="",MIN(AC$38,$D$19)&lt;MAX($P$708*($B1167+IF($R$17="Distrato",$I$38-1,0)),IF(AND($L$711=0,$P$708=0),"",$L$711-1),IF($R$17="Distrato",$E1167,0))),0,YEARFRAC(MAX($P$708*($B1167+IF($R$17="Distrato",$I$38-1,0)),IF(AND($L$711=0,$P$708=0),"",$L$711-1),IF($R$17="Distrato",$E1167,0)),MIN(AC$38,$D$19),$P$20))-SUM($P1167:AB1167)</f>
        <v>#VALUE!</v>
      </c>
      <c r="AD1167" s="446" t="e">
        <f>IF(OR($B1167="",MIN(AD$38,$D$19)&lt;MAX($P$708*($B1167+IF($R$17="Distrato",$I$38-1,0)),IF(AND($L$711=0,$P$708=0),"",$L$711-1),IF($R$17="Distrato",$E1167,0))),0,YEARFRAC(MAX($P$708*($B1167+IF($R$17="Distrato",$I$38-1,0)),IF(AND($L$711=0,$P$708=0),"",$L$711-1),IF($R$17="Distrato",$E1167,0)),MIN(AD$38,$D$19),$P$20))-SUM($P1167:AC1167)</f>
        <v>#VALUE!</v>
      </c>
      <c r="AE1167" s="446" t="e">
        <f>IF(OR($B1167="",MIN(AE$38,$D$19)&lt;MAX($P$708*($B1167+IF($R$17="Distrato",$I$38-1,0)),IF(AND($L$711=0,$P$708=0),"",$L$711-1),IF($R$17="Distrato",$E1167,0))),0,YEARFRAC(MAX($P$708*($B1167+IF($R$17="Distrato",$I$38-1,0)),IF(AND($L$711=0,$P$708=0),"",$L$711-1),IF($R$17="Distrato",$E1167,0)),MIN(AE$38,$D$19),$P$20))-SUM($P1167:AD1167)</f>
        <v>#VALUE!</v>
      </c>
      <c r="AF1167" s="446" t="e">
        <f>IF(OR($B1167="",MIN(AF$38,$D$19)&lt;MAX($P$708*($B1167+IF($R$17="Distrato",$I$38-1,0)),IF(AND($L$711=0,$P$708=0),"",$L$711-1),IF($R$17="Distrato",$E1167,0))),0,YEARFRAC(MAX($P$708*($B1167+IF($R$17="Distrato",$I$38-1,0)),IF(AND($L$711=0,$P$708=0),"",$L$711-1),IF($R$17="Distrato",$E1167,0)),MIN(AF$38,$D$19),$P$20))-SUM($P1167:AE1167)</f>
        <v>#VALUE!</v>
      </c>
      <c r="AG1167" s="446" t="e">
        <f>IF(OR($B1167="",MIN(AG$38,$D$19)&lt;MAX($P$708*($B1167+IF($R$17="Distrato",$I$38-1,0)),IF(AND($L$711=0,$P$708=0),"",$L$711-1),IF($R$17="Distrato",$E1167,0))),0,YEARFRAC(MAX($P$708*($B1167+IF($R$17="Distrato",$I$38-1,0)),IF(AND($L$711=0,$P$708=0),"",$L$711-1),IF($R$17="Distrato",$E1167,0)),MIN(AG$38,$D$19),$P$20))-SUM($P1167:AF1167)</f>
        <v>#VALUE!</v>
      </c>
      <c r="AH1167" s="446" t="e">
        <f>IF(OR($B1167="",MIN(AH$38,$D$19)&lt;MAX($P$708*($B1167+IF($R$17="Distrato",$I$38-1,0)),IF(AND($L$711=0,$P$708=0),"",$L$711-1),IF($R$17="Distrato",$E1167,0))),0,YEARFRAC(MAX($P$708*($B1167+IF($R$17="Distrato",$I$38-1,0)),IF(AND($L$711=0,$P$708=0),"",$L$711-1),IF($R$17="Distrato",$E1167,0)),MIN(AH$38,$D$19),$P$20))-SUM($P1167:AG1167)</f>
        <v>#VALUE!</v>
      </c>
      <c r="AI1167" s="446" t="e">
        <f>IF(OR($B1167="",MIN(AI$38,$D$19)&lt;MAX($P$708*($B1167+IF($R$17="Distrato",$I$38-1,0)),IF(AND($L$711=0,$P$708=0),"",$L$711-1),IF($R$17="Distrato",$E1167,0))),0,YEARFRAC(MAX($P$708*($B1167+IF($R$17="Distrato",$I$38-1,0)),IF(AND($L$711=0,$P$708=0),"",$L$711-1),IF($R$17="Distrato",$E1167,0)),MIN(AI$38,$D$19),$P$20))-SUM($P1167:AH1167)</f>
        <v>#VALUE!</v>
      </c>
      <c r="AJ1167" s="446" t="e">
        <f>IF(OR($B1167="",MIN(AJ$38,$D$19)&lt;MAX($P$708*($B1167+IF($R$17="Distrato",$I$38-1,0)),IF(AND($L$711=0,$P$708=0),"",$L$711-1),IF($R$17="Distrato",$E1167,0))),0,YEARFRAC(MAX($P$708*($B1167+IF($R$17="Distrato",$I$38-1,0)),IF(AND($L$711=0,$P$708=0),"",$L$711-1),IF($R$17="Distrato",$E1167,0)),MIN(AJ$38,$D$19),$P$20))-SUM($P1167:AI1167)</f>
        <v>#VALUE!</v>
      </c>
      <c r="AK1167" s="446" t="e">
        <f>IF(OR($B1167="",MIN(AK$38,$D$19)&lt;MAX($P$708*($B1167+IF($R$17="Distrato",$I$38-1,0)),IF(AND($L$711=0,$P$708=0),"",$L$711-1),IF($R$17="Distrato",$E1167,0))),0,YEARFRAC(MAX($P$708*($B1167+IF($R$17="Distrato",$I$38-1,0)),IF(AND($L$711=0,$P$708=0),"",$L$711-1),IF($R$17="Distrato",$E1167,0)),MIN(AK$38,$D$19),$P$20))-SUM($P1167:AJ1167)</f>
        <v>#VALUE!</v>
      </c>
      <c r="AL1167" s="446" t="e">
        <f>IF(OR($B1167="",MIN(AL$38,$D$19)&lt;MAX($P$708*($B1167+IF($R$17="Distrato",$I$38-1,0)),IF(AND($L$711=0,$P$708=0),"",$L$711-1),IF($R$17="Distrato",$E1167,0))),0,YEARFRAC(MAX($P$708*($B1167+IF($R$17="Distrato",$I$38-1,0)),IF(AND($L$711=0,$P$708=0),"",$L$711-1),IF($R$17="Distrato",$E1167,0)),MIN(AL$38,$D$19),$P$20))-SUM($P1167:AK1167)</f>
        <v>#VALUE!</v>
      </c>
      <c r="AM1167" s="446" t="e">
        <f>IF(OR($B1167="",MIN(AM$38,$D$19)&lt;MAX($P$708*($B1167+IF($R$17="Distrato",$I$38-1,0)),IF(AND($L$711=0,$P$708=0),"",$L$711-1),IF($R$17="Distrato",$E1167,0))),0,YEARFRAC(MAX($P$708*($B1167+IF($R$17="Distrato",$I$38-1,0)),IF(AND($L$711=0,$P$708=0),"",$L$711-1),IF($R$17="Distrato",$E1167,0)),MIN(AM$38,$D$19),$P$20))-SUM($P1167:AL1167)</f>
        <v>#VALUE!</v>
      </c>
      <c r="AN1167" s="446" t="e">
        <f>IF(OR($B1167="",MIN(AN$38,$D$19)&lt;MAX($P$708*($B1167+IF($R$17="Distrato",$I$38-1,0)),IF(AND($L$711=0,$P$708=0),"",$L$711-1),IF($R$17="Distrato",$E1167,0))),0,YEARFRAC(MAX($P$708*($B1167+IF($R$17="Distrato",$I$38-1,0)),IF(AND($L$711=0,$P$708=0),"",$L$711-1),IF($R$17="Distrato",$E1167,0)),MIN(AN$38,$D$19),$P$20))-SUM($P1167:AM1167)</f>
        <v>#VALUE!</v>
      </c>
      <c r="AO1167" s="446" t="e">
        <f>IF(OR($B1167="",MIN(AO$38,$D$19)&lt;MAX($P$708*($B1167+IF($R$17="Distrato",$I$38-1,0)),IF(AND($L$711=0,$P$708=0),"",$L$711-1),IF($R$17="Distrato",$E1167,0))),0,YEARFRAC(MAX($P$708*($B1167+IF($R$17="Distrato",$I$38-1,0)),IF(AND($L$711=0,$P$708=0),"",$L$711-1),IF($R$17="Distrato",$E1167,0)),MIN(AO$38,$D$19),$P$20))-SUM($P1167:AN1167)</f>
        <v>#VALUE!</v>
      </c>
      <c r="AP1167" s="446" t="e">
        <f>IF(OR($B1167="",MIN(AP$38,$D$19)&lt;MAX($P$708*($B1167+IF($R$17="Distrato",$I$38-1,0)),IF(AND($L$711=0,$P$708=0),"",$L$711-1),IF($R$17="Distrato",$E1167,0))),0,YEARFRAC(MAX($P$708*($B1167+IF($R$17="Distrato",$I$38-1,0)),IF(AND($L$711=0,$P$708=0),"",$L$711-1),IF($R$17="Distrato",$E1167,0)),MIN(AP$38,$D$19),$P$20))-SUM($P1167:AO1167)</f>
        <v>#VALUE!</v>
      </c>
      <c r="AQ1167" s="446" t="e">
        <f>IF(OR($B1167="",MIN(AQ$38,$D$19)&lt;MAX($P$708*($B1167+IF($R$17="Distrato",$I$38-1,0)),IF(AND($L$711=0,$P$708=0),"",$L$711-1),IF($R$17="Distrato",$E1167,0))),0,YEARFRAC(MAX($P$708*($B1167+IF($R$17="Distrato",$I$38-1,0)),IF(AND($L$711=0,$P$708=0),"",$L$711-1),IF($R$17="Distrato",$E1167,0)),MIN(AQ$38,$D$19),$P$20))-SUM($P1167:AP1167)</f>
        <v>#VALUE!</v>
      </c>
      <c r="AR1167" s="446" t="e">
        <f>IF(OR($B1167="",MIN(AR$38,$D$19)&lt;MAX($P$708*($B1167+IF($R$17="Distrato",$I$38-1,0)),IF(AND($L$711=0,$P$708=0),"",$L$711-1),IF($R$17="Distrato",$E1167,0))),0,YEARFRAC(MAX($P$708*($B1167+IF($R$17="Distrato",$I$38-1,0)),IF(AND($L$711=0,$P$708=0),"",$L$711-1),IF($R$17="Distrato",$E1167,0)),MIN(AR$38,$D$19),$P$20))-SUM($P1167:AQ1167)</f>
        <v>#VALUE!</v>
      </c>
      <c r="AS1167" s="446" t="e">
        <f>IF(OR($B1167="",MIN(AS$38,$D$19)&lt;MAX($P$708*($B1167+IF($R$17="Distrato",$I$38-1,0)),IF(AND($L$711=0,$P$708=0),"",$L$711-1),IF($R$17="Distrato",$E1167,0))),0,YEARFRAC(MAX($P$708*($B1167+IF($R$17="Distrato",$I$38-1,0)),IF(AND($L$711=0,$P$708=0),"",$L$711-1),IF($R$17="Distrato",$E1167,0)),MIN(AS$38,$D$19),$P$20))-SUM($P1167:AR1167)</f>
        <v>#VALUE!</v>
      </c>
      <c r="AT1167" s="446" t="e">
        <f>IF(OR($B1167="",MIN(AT$38,$D$19)&lt;MAX($P$708*($B1167+IF($R$17="Distrato",$I$38-1,0)),IF(AND($L$711=0,$P$708=0),"",$L$711-1),IF($R$17="Distrato",$E1167,0))),0,YEARFRAC(MAX($P$708*($B1167+IF($R$17="Distrato",$I$38-1,0)),IF(AND($L$711=0,$P$708=0),"",$L$711-1),IF($R$17="Distrato",$E1167,0)),MIN(AT$38,$D$19),$P$20))-SUM($P1167:AS1167)</f>
        <v>#VALUE!</v>
      </c>
      <c r="AU1167" s="446" t="e">
        <f>IF(OR($B1167="",MIN(AU$38,$D$19)&lt;MAX($P$708*($B1167+IF($R$17="Distrato",$I$38-1,0)),IF(AND($L$711=0,$P$708=0),"",$L$711-1),IF($R$17="Distrato",$E1167,0))),0,YEARFRAC(MAX($P$708*($B1167+IF($R$17="Distrato",$I$38-1,0)),IF(AND($L$711=0,$P$708=0),"",$L$711-1),IF($R$17="Distrato",$E1167,0)),MIN(AU$38,$D$19),$P$20))-SUM($P1167:AT1167)</f>
        <v>#VALUE!</v>
      </c>
      <c r="AV1167" s="446" t="e">
        <f>IF(OR($B1167="",MIN(AV$38,$D$19)&lt;MAX($P$708*($B1167+IF($R$17="Distrato",$I$38-1,0)),IF(AND($L$711=0,$P$708=0),"",$L$711-1),IF($R$17="Distrato",$E1167,0))),0,YEARFRAC(MAX($P$708*($B1167+IF($R$17="Distrato",$I$38-1,0)),IF(AND($L$711=0,$P$708=0),"",$L$711-1),IF($R$17="Distrato",$E1167,0)),MIN(AV$38,$D$19),$P$20))-SUM($P1167:AU1167)</f>
        <v>#VALUE!</v>
      </c>
      <c r="AW1167" s="446" t="e">
        <f>IF(OR($B1167="",MIN(AW$38,$D$19)&lt;MAX($P$708*($B1167+IF($R$17="Distrato",$I$38-1,0)),IF(AND($L$711=0,$P$708=0),"",$L$711-1),IF($R$17="Distrato",$E1167,0))),0,YEARFRAC(MAX($P$708*($B1167+IF($R$17="Distrato",$I$38-1,0)),IF(AND($L$711=0,$P$708=0),"",$L$711-1),IF($R$17="Distrato",$E1167,0)),MIN(AW$38,$D$19),$P$20))-SUM($P1167:AV1167)</f>
        <v>#VALUE!</v>
      </c>
      <c r="AX1167" s="446" t="e">
        <f>IF(OR($B1167="",MIN(AX$38,$D$19)&lt;MAX($P$708*($B1167+IF($R$17="Distrato",$I$38-1,0)),IF(AND($L$711=0,$P$708=0),"",$L$711-1),IF($R$17="Distrato",$E1167,0))),0,YEARFRAC(MAX($P$708*($B1167+IF($R$17="Distrato",$I$38-1,0)),IF(AND($L$711=0,$P$708=0),"",$L$711-1),IF($R$17="Distrato",$E1167,0)),MIN(AX$38,$D$19),$P$20))-SUM($P1167:AW1167)</f>
        <v>#VALUE!</v>
      </c>
      <c r="AY1167" s="446" t="e">
        <f>IF(OR($B1167="",MIN(AY$38,$D$19)&lt;MAX($P$708*($B1167+IF($R$17="Distrato",$I$38-1,0)),IF(AND($L$711=0,$P$708=0),"",$L$711-1),IF($R$17="Distrato",$E1167,0))),0,YEARFRAC(MAX($P$708*($B1167+IF($R$17="Distrato",$I$38-1,0)),IF(AND($L$711=0,$P$708=0),"",$L$711-1),IF($R$17="Distrato",$E1167,0)),MIN(AY$38,$D$19),$P$20))-SUM($P1167:AX1167)</f>
        <v>#VALUE!</v>
      </c>
      <c r="AZ1167" s="446" t="e">
        <f>IF(OR($B1167="",MIN(AZ$38,$D$19)&lt;MAX($P$708*($B1167+IF($R$17="Distrato",$I$38-1,0)),IF(AND($L$711=0,$P$708=0),"",$L$711-1),IF($R$17="Distrato",$E1167,0))),0,YEARFRAC(MAX($P$708*($B1167+IF($R$17="Distrato",$I$38-1,0)),IF(AND($L$711=0,$P$708=0),"",$L$711-1),IF($R$17="Distrato",$E1167,0)),MIN(AZ$38,$D$19),$P$20))-SUM($P1167:AY1167)</f>
        <v>#VALUE!</v>
      </c>
      <c r="BA1167" s="446" t="e">
        <f>IF(OR($B1167="",MIN(BA$38,$D$19)&lt;MAX($P$708*($B1167+IF($R$17="Distrato",$I$38-1,0)),IF(AND($L$711=0,$P$708=0),"",$L$711-1),IF($R$17="Distrato",$E1167,0))),0,YEARFRAC(MAX($P$708*($B1167+IF($R$17="Distrato",$I$38-1,0)),IF(AND($L$711=0,$P$708=0),"",$L$711-1),IF($R$17="Distrato",$E1167,0)),MIN(BA$38,$D$19),$P$20))-SUM($P1167:AZ1167)</f>
        <v>#VALUE!</v>
      </c>
      <c r="BB1167" s="447"/>
    </row>
    <row r="1168" spans="1:54" s="446" customFormat="1" ht="11.25" hidden="1" customHeight="1" x14ac:dyDescent="0.2">
      <c r="A1168" s="235"/>
      <c r="B1168" s="236"/>
      <c r="C1168" s="29" t="str">
        <f>IF(B1168="","",IF($L$709=$BL$25,VLOOKUP(DATE(YEAR($D$19),MONTH($D$19)-1,1),ÍNDICES!$A:$DE,HLOOKUP($BL$25,ÍNDICES!$B$3:$T$4,2)+11)-VLOOKUP(B1168,ÍNDICES!$A:$DE,HLOOKUP($BL$25,ÍNDICES!$B$3:$T$4,2)+11)+1%,IF(C$712=$W$26,$J$35,IF(ISERROR(IF(B1168&gt;$D$19,1,VLOOKUP(DATE(YEAR(B1168),MONTH(B1168)+IF($C$709=$S$23,1,0),1),ÍNDICES!$A:$DE,$Z$709+1))),"",IF(B1168&gt;$D$19,1,VLOOKUP(DATE(YEAR(B1168),MONTH(B1168)+IF($C$709=$S$23,1,0),1),ÍNDICES!$A:$DE,$Z$709+1))))))</f>
        <v/>
      </c>
      <c r="D1168" s="155"/>
      <c r="E1168" s="88"/>
      <c r="F1168" s="88"/>
      <c r="G1168" s="88"/>
      <c r="H1168" s="118"/>
      <c r="I1168" s="182">
        <f t="shared" si="164"/>
        <v>0</v>
      </c>
      <c r="J1168" s="20">
        <f t="shared" ca="1" si="165"/>
        <v>0</v>
      </c>
      <c r="K1168" s="5">
        <f t="shared" ca="1" si="166"/>
        <v>0</v>
      </c>
      <c r="L1168" s="61">
        <f t="shared" ca="1" si="167"/>
        <v>0</v>
      </c>
      <c r="M1168" s="64">
        <f t="shared" si="168"/>
        <v>0</v>
      </c>
      <c r="N1168" s="151"/>
      <c r="O1168" s="5">
        <f t="shared" ca="1" si="169"/>
        <v>0</v>
      </c>
      <c r="P1168" s="446" t="e">
        <f t="shared" si="170"/>
        <v>#VALUE!</v>
      </c>
      <c r="Q1168" s="446" t="e">
        <f>IF(OR($B1168="",MIN(Q$38,$D$19)&lt;MAX($P$708*($B1168+IF($R$17="Distrato",$I$38-1,0)),IF(AND($L$711=0,$P$708=0),"",$L$711-1),IF($R$17="Distrato",$E1168,0))),0,YEARFRAC(MAX($P$708*($B1168+IF($R$17="Distrato",$I$38-1,0)),IF(AND($L$711=0,$P$708=0),"",$L$711-1),IF($R$17="Distrato",$E1168,0)),MIN(Q$38,$D$19),$P$20))-SUM($P1168:P1168)</f>
        <v>#VALUE!</v>
      </c>
      <c r="R1168" s="446" t="e">
        <f>IF(OR($B1168="",MIN(R$38,$D$19)&lt;MAX($P$708*($B1168+IF($R$17="Distrato",$I$38-1,0)),IF(AND($L$711=0,$P$708=0),"",$L$711-1),IF($R$17="Distrato",$E1168,0))),0,YEARFRAC(MAX($P$708*($B1168+IF($R$17="Distrato",$I$38-1,0)),IF(AND($L$711=0,$P$708=0),"",$L$711-1),IF($R$17="Distrato",$E1168,0)),MIN(R$38,$D$19),$P$20))-SUM($P1168:Q1168)</f>
        <v>#VALUE!</v>
      </c>
      <c r="S1168" s="446" t="e">
        <f>IF(OR($B1168="",MIN(S$38,$D$19)&lt;MAX($P$708*($B1168+IF($R$17="Distrato",$I$38-1,0)),IF(AND($L$711=0,$P$708=0),"",$L$711-1),IF($R$17="Distrato",$E1168,0))),0,YEARFRAC(MAX($P$708*($B1168+IF($R$17="Distrato",$I$38-1,0)),IF(AND($L$711=0,$P$708=0),"",$L$711-1),IF($R$17="Distrato",$E1168,0)),MIN(S$38,$D$19),$P$20))-SUM($P1168:R1168)</f>
        <v>#VALUE!</v>
      </c>
      <c r="T1168" s="446" t="e">
        <f>IF(OR($B1168="",MIN(T$38,$D$19)&lt;MAX($P$708*($B1168+IF($R$17="Distrato",$I$38-1,0)),IF(AND($L$711=0,$P$708=0),"",$L$711-1),IF($R$17="Distrato",$E1168,0))),0,YEARFRAC(MAX($P$708*($B1168+IF($R$17="Distrato",$I$38-1,0)),IF(AND($L$711=0,$P$708=0),"",$L$711-1),IF($R$17="Distrato",$E1168,0)),MIN(T$38,$D$19),$P$20))-SUM($P1168:S1168)</f>
        <v>#VALUE!</v>
      </c>
      <c r="U1168" s="446" t="e">
        <f>IF(OR($B1168="",MIN(U$38,$D$19)&lt;MAX($P$708*($B1168+IF($R$17="Distrato",$I$38-1,0)),IF(AND($L$711=0,$P$708=0),"",$L$711-1),IF($R$17="Distrato",$E1168,0))),0,YEARFRAC(MAX($P$708*($B1168+IF($R$17="Distrato",$I$38-1,0)),IF(AND($L$711=0,$P$708=0),"",$L$711-1),IF($R$17="Distrato",$E1168,0)),MIN(U$38,$D$19),$P$20))-SUM($P1168:T1168)</f>
        <v>#VALUE!</v>
      </c>
      <c r="V1168" s="446" t="e">
        <f>IF(OR($B1168="",MIN(V$38,$D$19)&lt;MAX($P$708*($B1168+IF($R$17="Distrato",$I$38-1,0)),IF(AND($L$711=0,$P$708=0),"",$L$711-1),IF($R$17="Distrato",$E1168,0))),0,YEARFRAC(MAX($P$708*($B1168+IF($R$17="Distrato",$I$38-1,0)),IF(AND($L$711=0,$P$708=0),"",$L$711-1),IF($R$17="Distrato",$E1168,0)),MIN(V$38,$D$19),$P$20))-SUM($P1168:U1168)</f>
        <v>#VALUE!</v>
      </c>
      <c r="W1168" s="446" t="e">
        <f>IF(OR($B1168="",MIN(W$38,$D$19)&lt;MAX($P$708*($B1168+IF($R$17="Distrato",$I$38-1,0)),IF(AND($L$711=0,$P$708=0),"",$L$711-1),IF($R$17="Distrato",$E1168,0))),0,YEARFRAC(MAX($P$708*($B1168+IF($R$17="Distrato",$I$38-1,0)),IF(AND($L$711=0,$P$708=0),"",$L$711-1),IF($R$17="Distrato",$E1168,0)),MIN(W$38,$D$19),$P$20))-SUM($P1168:V1168)</f>
        <v>#VALUE!</v>
      </c>
      <c r="X1168" s="446" t="e">
        <f>IF(OR($B1168="",MIN(X$38,$D$19)&lt;MAX($P$708*($B1168+IF($R$17="Distrato",$I$38-1,0)),IF(AND($L$711=0,$P$708=0),"",$L$711-1),IF($R$17="Distrato",$E1168,0))),0,YEARFRAC(MAX($P$708*($B1168+IF($R$17="Distrato",$I$38-1,0)),IF(AND($L$711=0,$P$708=0),"",$L$711-1),IF($R$17="Distrato",$E1168,0)),MIN(X$38,$D$19),$P$20))-SUM($P1168:W1168)</f>
        <v>#VALUE!</v>
      </c>
      <c r="Y1168" s="446" t="e">
        <f>IF(OR($B1168="",MIN(Y$38,$D$19)&lt;MAX($P$708*($B1168+IF($R$17="Distrato",$I$38-1,0)),IF(AND($L$711=0,$P$708=0),"",$L$711-1),IF($R$17="Distrato",$E1168,0))),0,YEARFRAC(MAX($P$708*($B1168+IF($R$17="Distrato",$I$38-1,0)),IF(AND($L$711=0,$P$708=0),"",$L$711-1),IF($R$17="Distrato",$E1168,0)),MIN(Y$38,$D$19),$P$20))-SUM($P1168:X1168)</f>
        <v>#VALUE!</v>
      </c>
      <c r="Z1168" s="446" t="e">
        <f>IF(OR($B1168="",MIN(Z$38,$D$19)&lt;MAX($P$708*($B1168+IF($R$17="Distrato",$I$38-1,0)),IF(AND($L$711=0,$P$708=0),"",$L$711-1),IF($R$17="Distrato",$E1168,0))),0,YEARFRAC(MAX($P$708*($B1168+IF($R$17="Distrato",$I$38-1,0)),IF(AND($L$711=0,$P$708=0),"",$L$711-1),IF($R$17="Distrato",$E1168,0)),MIN(Z$38,$D$19),$P$20))-SUM($P1168:Y1168)</f>
        <v>#VALUE!</v>
      </c>
      <c r="AA1168" s="446" t="e">
        <f>IF(OR($B1168="",MIN(AA$38,$D$19)&lt;MAX($P$708*($B1168+IF($R$17="Distrato",$I$38-1,0)),IF(AND($L$711=0,$P$708=0),"",$L$711-1),IF($R$17="Distrato",$E1168,0))),0,YEARFRAC(MAX($P$708*($B1168+IF($R$17="Distrato",$I$38-1,0)),IF(AND($L$711=0,$P$708=0),"",$L$711-1),IF($R$17="Distrato",$E1168,0)),MIN(AA$38,$D$19),$P$20))-SUM($P1168:Z1168)</f>
        <v>#VALUE!</v>
      </c>
      <c r="AB1168" s="446" t="e">
        <f>IF(OR($B1168="",MIN(AB$38,$D$19)&lt;MAX($P$708*($B1168+IF($R$17="Distrato",$I$38-1,0)),IF(AND($L$711=0,$P$708=0),"",$L$711-1),IF($R$17="Distrato",$E1168,0))),0,YEARFRAC(MAX($P$708*($B1168+IF($R$17="Distrato",$I$38-1,0)),IF(AND($L$711=0,$P$708=0),"",$L$711-1),IF($R$17="Distrato",$E1168,0)),MIN(AB$38,$D$19),$P$20))-SUM($P1168:AA1168)</f>
        <v>#VALUE!</v>
      </c>
      <c r="AC1168" s="446" t="e">
        <f>IF(OR($B1168="",MIN(AC$38,$D$19)&lt;MAX($P$708*($B1168+IF($R$17="Distrato",$I$38-1,0)),IF(AND($L$711=0,$P$708=0),"",$L$711-1),IF($R$17="Distrato",$E1168,0))),0,YEARFRAC(MAX($P$708*($B1168+IF($R$17="Distrato",$I$38-1,0)),IF(AND($L$711=0,$P$708=0),"",$L$711-1),IF($R$17="Distrato",$E1168,0)),MIN(AC$38,$D$19),$P$20))-SUM($P1168:AB1168)</f>
        <v>#VALUE!</v>
      </c>
      <c r="AD1168" s="446" t="e">
        <f>IF(OR($B1168="",MIN(AD$38,$D$19)&lt;MAX($P$708*($B1168+IF($R$17="Distrato",$I$38-1,0)),IF(AND($L$711=0,$P$708=0),"",$L$711-1),IF($R$17="Distrato",$E1168,0))),0,YEARFRAC(MAX($P$708*($B1168+IF($R$17="Distrato",$I$38-1,0)),IF(AND($L$711=0,$P$708=0),"",$L$711-1),IF($R$17="Distrato",$E1168,0)),MIN(AD$38,$D$19),$P$20))-SUM($P1168:AC1168)</f>
        <v>#VALUE!</v>
      </c>
      <c r="AE1168" s="446" t="e">
        <f>IF(OR($B1168="",MIN(AE$38,$D$19)&lt;MAX($P$708*($B1168+IF($R$17="Distrato",$I$38-1,0)),IF(AND($L$711=0,$P$708=0),"",$L$711-1),IF($R$17="Distrato",$E1168,0))),0,YEARFRAC(MAX($P$708*($B1168+IF($R$17="Distrato",$I$38-1,0)),IF(AND($L$711=0,$P$708=0),"",$L$711-1),IF($R$17="Distrato",$E1168,0)),MIN(AE$38,$D$19),$P$20))-SUM($P1168:AD1168)</f>
        <v>#VALUE!</v>
      </c>
      <c r="AF1168" s="446" t="e">
        <f>IF(OR($B1168="",MIN(AF$38,$D$19)&lt;MAX($P$708*($B1168+IF($R$17="Distrato",$I$38-1,0)),IF(AND($L$711=0,$P$708=0),"",$L$711-1),IF($R$17="Distrato",$E1168,0))),0,YEARFRAC(MAX($P$708*($B1168+IF($R$17="Distrato",$I$38-1,0)),IF(AND($L$711=0,$P$708=0),"",$L$711-1),IF($R$17="Distrato",$E1168,0)),MIN(AF$38,$D$19),$P$20))-SUM($P1168:AE1168)</f>
        <v>#VALUE!</v>
      </c>
      <c r="AG1168" s="446" t="e">
        <f>IF(OR($B1168="",MIN(AG$38,$D$19)&lt;MAX($P$708*($B1168+IF($R$17="Distrato",$I$38-1,0)),IF(AND($L$711=0,$P$708=0),"",$L$711-1),IF($R$17="Distrato",$E1168,0))),0,YEARFRAC(MAX($P$708*($B1168+IF($R$17="Distrato",$I$38-1,0)),IF(AND($L$711=0,$P$708=0),"",$L$711-1),IF($R$17="Distrato",$E1168,0)),MIN(AG$38,$D$19),$P$20))-SUM($P1168:AF1168)</f>
        <v>#VALUE!</v>
      </c>
      <c r="AH1168" s="446" t="e">
        <f>IF(OR($B1168="",MIN(AH$38,$D$19)&lt;MAX($P$708*($B1168+IF($R$17="Distrato",$I$38-1,0)),IF(AND($L$711=0,$P$708=0),"",$L$711-1),IF($R$17="Distrato",$E1168,0))),0,YEARFRAC(MAX($P$708*($B1168+IF($R$17="Distrato",$I$38-1,0)),IF(AND($L$711=0,$P$708=0),"",$L$711-1),IF($R$17="Distrato",$E1168,0)),MIN(AH$38,$D$19),$P$20))-SUM($P1168:AG1168)</f>
        <v>#VALUE!</v>
      </c>
      <c r="AI1168" s="446" t="e">
        <f>IF(OR($B1168="",MIN(AI$38,$D$19)&lt;MAX($P$708*($B1168+IF($R$17="Distrato",$I$38-1,0)),IF(AND($L$711=0,$P$708=0),"",$L$711-1),IF($R$17="Distrato",$E1168,0))),0,YEARFRAC(MAX($P$708*($B1168+IF($R$17="Distrato",$I$38-1,0)),IF(AND($L$711=0,$P$708=0),"",$L$711-1),IF($R$17="Distrato",$E1168,0)),MIN(AI$38,$D$19),$P$20))-SUM($P1168:AH1168)</f>
        <v>#VALUE!</v>
      </c>
      <c r="AJ1168" s="446" t="e">
        <f>IF(OR($B1168="",MIN(AJ$38,$D$19)&lt;MAX($P$708*($B1168+IF($R$17="Distrato",$I$38-1,0)),IF(AND($L$711=0,$P$708=0),"",$L$711-1),IF($R$17="Distrato",$E1168,0))),0,YEARFRAC(MAX($P$708*($B1168+IF($R$17="Distrato",$I$38-1,0)),IF(AND($L$711=0,$P$708=0),"",$L$711-1),IF($R$17="Distrato",$E1168,0)),MIN(AJ$38,$D$19),$P$20))-SUM($P1168:AI1168)</f>
        <v>#VALUE!</v>
      </c>
      <c r="AK1168" s="446" t="e">
        <f>IF(OR($B1168="",MIN(AK$38,$D$19)&lt;MAX($P$708*($B1168+IF($R$17="Distrato",$I$38-1,0)),IF(AND($L$711=0,$P$708=0),"",$L$711-1),IF($R$17="Distrato",$E1168,0))),0,YEARFRAC(MAX($P$708*($B1168+IF($R$17="Distrato",$I$38-1,0)),IF(AND($L$711=0,$P$708=0),"",$L$711-1),IF($R$17="Distrato",$E1168,0)),MIN(AK$38,$D$19),$P$20))-SUM($P1168:AJ1168)</f>
        <v>#VALUE!</v>
      </c>
      <c r="AL1168" s="446" t="e">
        <f>IF(OR($B1168="",MIN(AL$38,$D$19)&lt;MAX($P$708*($B1168+IF($R$17="Distrato",$I$38-1,0)),IF(AND($L$711=0,$P$708=0),"",$L$711-1),IF($R$17="Distrato",$E1168,0))),0,YEARFRAC(MAX($P$708*($B1168+IF($R$17="Distrato",$I$38-1,0)),IF(AND($L$711=0,$P$708=0),"",$L$711-1),IF($R$17="Distrato",$E1168,0)),MIN(AL$38,$D$19),$P$20))-SUM($P1168:AK1168)</f>
        <v>#VALUE!</v>
      </c>
      <c r="AM1168" s="446" t="e">
        <f>IF(OR($B1168="",MIN(AM$38,$D$19)&lt;MAX($P$708*($B1168+IF($R$17="Distrato",$I$38-1,0)),IF(AND($L$711=0,$P$708=0),"",$L$711-1),IF($R$17="Distrato",$E1168,0))),0,YEARFRAC(MAX($P$708*($B1168+IF($R$17="Distrato",$I$38-1,0)),IF(AND($L$711=0,$P$708=0),"",$L$711-1),IF($R$17="Distrato",$E1168,0)),MIN(AM$38,$D$19),$P$20))-SUM($P1168:AL1168)</f>
        <v>#VALUE!</v>
      </c>
      <c r="AN1168" s="446" t="e">
        <f>IF(OR($B1168="",MIN(AN$38,$D$19)&lt;MAX($P$708*($B1168+IF($R$17="Distrato",$I$38-1,0)),IF(AND($L$711=0,$P$708=0),"",$L$711-1),IF($R$17="Distrato",$E1168,0))),0,YEARFRAC(MAX($P$708*($B1168+IF($R$17="Distrato",$I$38-1,0)),IF(AND($L$711=0,$P$708=0),"",$L$711-1),IF($R$17="Distrato",$E1168,0)),MIN(AN$38,$D$19),$P$20))-SUM($P1168:AM1168)</f>
        <v>#VALUE!</v>
      </c>
      <c r="AO1168" s="446" t="e">
        <f>IF(OR($B1168="",MIN(AO$38,$D$19)&lt;MAX($P$708*($B1168+IF($R$17="Distrato",$I$38-1,0)),IF(AND($L$711=0,$P$708=0),"",$L$711-1),IF($R$17="Distrato",$E1168,0))),0,YEARFRAC(MAX($P$708*($B1168+IF($R$17="Distrato",$I$38-1,0)),IF(AND($L$711=0,$P$708=0),"",$L$711-1),IF($R$17="Distrato",$E1168,0)),MIN(AO$38,$D$19),$P$20))-SUM($P1168:AN1168)</f>
        <v>#VALUE!</v>
      </c>
      <c r="AP1168" s="446" t="e">
        <f>IF(OR($B1168="",MIN(AP$38,$D$19)&lt;MAX($P$708*($B1168+IF($R$17="Distrato",$I$38-1,0)),IF(AND($L$711=0,$P$708=0),"",$L$711-1),IF($R$17="Distrato",$E1168,0))),0,YEARFRAC(MAX($P$708*($B1168+IF($R$17="Distrato",$I$38-1,0)),IF(AND($L$711=0,$P$708=0),"",$L$711-1),IF($R$17="Distrato",$E1168,0)),MIN(AP$38,$D$19),$P$20))-SUM($P1168:AO1168)</f>
        <v>#VALUE!</v>
      </c>
      <c r="AQ1168" s="446" t="e">
        <f>IF(OR($B1168="",MIN(AQ$38,$D$19)&lt;MAX($P$708*($B1168+IF($R$17="Distrato",$I$38-1,0)),IF(AND($L$711=0,$P$708=0),"",$L$711-1),IF($R$17="Distrato",$E1168,0))),0,YEARFRAC(MAX($P$708*($B1168+IF($R$17="Distrato",$I$38-1,0)),IF(AND($L$711=0,$P$708=0),"",$L$711-1),IF($R$17="Distrato",$E1168,0)),MIN(AQ$38,$D$19),$P$20))-SUM($P1168:AP1168)</f>
        <v>#VALUE!</v>
      </c>
      <c r="AR1168" s="446" t="e">
        <f>IF(OR($B1168="",MIN(AR$38,$D$19)&lt;MAX($P$708*($B1168+IF($R$17="Distrato",$I$38-1,0)),IF(AND($L$711=0,$P$708=0),"",$L$711-1),IF($R$17="Distrato",$E1168,0))),0,YEARFRAC(MAX($P$708*($B1168+IF($R$17="Distrato",$I$38-1,0)),IF(AND($L$711=0,$P$708=0),"",$L$711-1),IF($R$17="Distrato",$E1168,0)),MIN(AR$38,$D$19),$P$20))-SUM($P1168:AQ1168)</f>
        <v>#VALUE!</v>
      </c>
      <c r="AS1168" s="446" t="e">
        <f>IF(OR($B1168="",MIN(AS$38,$D$19)&lt;MAX($P$708*($B1168+IF($R$17="Distrato",$I$38-1,0)),IF(AND($L$711=0,$P$708=0),"",$L$711-1),IF($R$17="Distrato",$E1168,0))),0,YEARFRAC(MAX($P$708*($B1168+IF($R$17="Distrato",$I$38-1,0)),IF(AND($L$711=0,$P$708=0),"",$L$711-1),IF($R$17="Distrato",$E1168,0)),MIN(AS$38,$D$19),$P$20))-SUM($P1168:AR1168)</f>
        <v>#VALUE!</v>
      </c>
      <c r="AT1168" s="446" t="e">
        <f>IF(OR($B1168="",MIN(AT$38,$D$19)&lt;MAX($P$708*($B1168+IF($R$17="Distrato",$I$38-1,0)),IF(AND($L$711=0,$P$708=0),"",$L$711-1),IF($R$17="Distrato",$E1168,0))),0,YEARFRAC(MAX($P$708*($B1168+IF($R$17="Distrato",$I$38-1,0)),IF(AND($L$711=0,$P$708=0),"",$L$711-1),IF($R$17="Distrato",$E1168,0)),MIN(AT$38,$D$19),$P$20))-SUM($P1168:AS1168)</f>
        <v>#VALUE!</v>
      </c>
      <c r="AU1168" s="446" t="e">
        <f>IF(OR($B1168="",MIN(AU$38,$D$19)&lt;MAX($P$708*($B1168+IF($R$17="Distrato",$I$38-1,0)),IF(AND($L$711=0,$P$708=0),"",$L$711-1),IF($R$17="Distrato",$E1168,0))),0,YEARFRAC(MAX($P$708*($B1168+IF($R$17="Distrato",$I$38-1,0)),IF(AND($L$711=0,$P$708=0),"",$L$711-1),IF($R$17="Distrato",$E1168,0)),MIN(AU$38,$D$19),$P$20))-SUM($P1168:AT1168)</f>
        <v>#VALUE!</v>
      </c>
      <c r="AV1168" s="446" t="e">
        <f>IF(OR($B1168="",MIN(AV$38,$D$19)&lt;MAX($P$708*($B1168+IF($R$17="Distrato",$I$38-1,0)),IF(AND($L$711=0,$P$708=0),"",$L$711-1),IF($R$17="Distrato",$E1168,0))),0,YEARFRAC(MAX($P$708*($B1168+IF($R$17="Distrato",$I$38-1,0)),IF(AND($L$711=0,$P$708=0),"",$L$711-1),IF($R$17="Distrato",$E1168,0)),MIN(AV$38,$D$19),$P$20))-SUM($P1168:AU1168)</f>
        <v>#VALUE!</v>
      </c>
      <c r="AW1168" s="446" t="e">
        <f>IF(OR($B1168="",MIN(AW$38,$D$19)&lt;MAX($P$708*($B1168+IF($R$17="Distrato",$I$38-1,0)),IF(AND($L$711=0,$P$708=0),"",$L$711-1),IF($R$17="Distrato",$E1168,0))),0,YEARFRAC(MAX($P$708*($B1168+IF($R$17="Distrato",$I$38-1,0)),IF(AND($L$711=0,$P$708=0),"",$L$711-1),IF($R$17="Distrato",$E1168,0)),MIN(AW$38,$D$19),$P$20))-SUM($P1168:AV1168)</f>
        <v>#VALUE!</v>
      </c>
      <c r="AX1168" s="446" t="e">
        <f>IF(OR($B1168="",MIN(AX$38,$D$19)&lt;MAX($P$708*($B1168+IF($R$17="Distrato",$I$38-1,0)),IF(AND($L$711=0,$P$708=0),"",$L$711-1),IF($R$17="Distrato",$E1168,0))),0,YEARFRAC(MAX($P$708*($B1168+IF($R$17="Distrato",$I$38-1,0)),IF(AND($L$711=0,$P$708=0),"",$L$711-1),IF($R$17="Distrato",$E1168,0)),MIN(AX$38,$D$19),$P$20))-SUM($P1168:AW1168)</f>
        <v>#VALUE!</v>
      </c>
      <c r="AY1168" s="446" t="e">
        <f>IF(OR($B1168="",MIN(AY$38,$D$19)&lt;MAX($P$708*($B1168+IF($R$17="Distrato",$I$38-1,0)),IF(AND($L$711=0,$P$708=0),"",$L$711-1),IF($R$17="Distrato",$E1168,0))),0,YEARFRAC(MAX($P$708*($B1168+IF($R$17="Distrato",$I$38-1,0)),IF(AND($L$711=0,$P$708=0),"",$L$711-1),IF($R$17="Distrato",$E1168,0)),MIN(AY$38,$D$19),$P$20))-SUM($P1168:AX1168)</f>
        <v>#VALUE!</v>
      </c>
      <c r="AZ1168" s="446" t="e">
        <f>IF(OR($B1168="",MIN(AZ$38,$D$19)&lt;MAX($P$708*($B1168+IF($R$17="Distrato",$I$38-1,0)),IF(AND($L$711=0,$P$708=0),"",$L$711-1),IF($R$17="Distrato",$E1168,0))),0,YEARFRAC(MAX($P$708*($B1168+IF($R$17="Distrato",$I$38-1,0)),IF(AND($L$711=0,$P$708=0),"",$L$711-1),IF($R$17="Distrato",$E1168,0)),MIN(AZ$38,$D$19),$P$20))-SUM($P1168:AY1168)</f>
        <v>#VALUE!</v>
      </c>
      <c r="BA1168" s="446" t="e">
        <f>IF(OR($B1168="",MIN(BA$38,$D$19)&lt;MAX($P$708*($B1168+IF($R$17="Distrato",$I$38-1,0)),IF(AND($L$711=0,$P$708=0),"",$L$711-1),IF($R$17="Distrato",$E1168,0))),0,YEARFRAC(MAX($P$708*($B1168+IF($R$17="Distrato",$I$38-1,0)),IF(AND($L$711=0,$P$708=0),"",$L$711-1),IF($R$17="Distrato",$E1168,0)),MIN(BA$38,$D$19),$P$20))-SUM($P1168:AZ1168)</f>
        <v>#VALUE!</v>
      </c>
      <c r="BB1168" s="447"/>
    </row>
    <row r="1169" spans="1:54" s="446" customFormat="1" ht="11.25" hidden="1" customHeight="1" x14ac:dyDescent="0.2">
      <c r="A1169" s="235"/>
      <c r="B1169" s="236"/>
      <c r="C1169" s="29" t="str">
        <f>IF(B1169="","",IF($L$709=$BL$25,VLOOKUP(DATE(YEAR($D$19),MONTH($D$19)-1,1),ÍNDICES!$A:$DE,HLOOKUP($BL$25,ÍNDICES!$B$3:$T$4,2)+11)-VLOOKUP(B1169,ÍNDICES!$A:$DE,HLOOKUP($BL$25,ÍNDICES!$B$3:$T$4,2)+11)+1%,IF(C$712=$W$26,$J$35,IF(ISERROR(IF(B1169&gt;$D$19,1,VLOOKUP(DATE(YEAR(B1169),MONTH(B1169)+IF($C$709=$S$23,1,0),1),ÍNDICES!$A:$DE,$Z$709+1))),"",IF(B1169&gt;$D$19,1,VLOOKUP(DATE(YEAR(B1169),MONTH(B1169)+IF($C$709=$S$23,1,0),1),ÍNDICES!$A:$DE,$Z$709+1))))))</f>
        <v/>
      </c>
      <c r="D1169" s="155"/>
      <c r="E1169" s="88"/>
      <c r="F1169" s="88"/>
      <c r="G1169" s="88"/>
      <c r="H1169" s="118"/>
      <c r="I1169" s="182">
        <f t="shared" si="164"/>
        <v>0</v>
      </c>
      <c r="J1169" s="20">
        <f t="shared" ca="1" si="165"/>
        <v>0</v>
      </c>
      <c r="K1169" s="5">
        <f t="shared" ca="1" si="166"/>
        <v>0</v>
      </c>
      <c r="L1169" s="61">
        <f t="shared" ca="1" si="167"/>
        <v>0</v>
      </c>
      <c r="M1169" s="64">
        <f t="shared" si="168"/>
        <v>0</v>
      </c>
      <c r="N1169" s="151"/>
      <c r="O1169" s="5">
        <f t="shared" ca="1" si="169"/>
        <v>0</v>
      </c>
      <c r="P1169" s="446" t="e">
        <f t="shared" si="170"/>
        <v>#VALUE!</v>
      </c>
      <c r="Q1169" s="446" t="e">
        <f>IF(OR($B1169="",MIN(Q$38,$D$19)&lt;MAX($P$708*($B1169+IF($R$17="Distrato",$I$38-1,0)),IF(AND($L$711=0,$P$708=0),"",$L$711-1),IF($R$17="Distrato",$E1169,0))),0,YEARFRAC(MAX($P$708*($B1169+IF($R$17="Distrato",$I$38-1,0)),IF(AND($L$711=0,$P$708=0),"",$L$711-1),IF($R$17="Distrato",$E1169,0)),MIN(Q$38,$D$19),$P$20))-SUM($P1169:P1169)</f>
        <v>#VALUE!</v>
      </c>
      <c r="R1169" s="446" t="e">
        <f>IF(OR($B1169="",MIN(R$38,$D$19)&lt;MAX($P$708*($B1169+IF($R$17="Distrato",$I$38-1,0)),IF(AND($L$711=0,$P$708=0),"",$L$711-1),IF($R$17="Distrato",$E1169,0))),0,YEARFRAC(MAX($P$708*($B1169+IF($R$17="Distrato",$I$38-1,0)),IF(AND($L$711=0,$P$708=0),"",$L$711-1),IF($R$17="Distrato",$E1169,0)),MIN(R$38,$D$19),$P$20))-SUM($P1169:Q1169)</f>
        <v>#VALUE!</v>
      </c>
      <c r="S1169" s="446" t="e">
        <f>IF(OR($B1169="",MIN(S$38,$D$19)&lt;MAX($P$708*($B1169+IF($R$17="Distrato",$I$38-1,0)),IF(AND($L$711=0,$P$708=0),"",$L$711-1),IF($R$17="Distrato",$E1169,0))),0,YEARFRAC(MAX($P$708*($B1169+IF($R$17="Distrato",$I$38-1,0)),IF(AND($L$711=0,$P$708=0),"",$L$711-1),IF($R$17="Distrato",$E1169,0)),MIN(S$38,$D$19),$P$20))-SUM($P1169:R1169)</f>
        <v>#VALUE!</v>
      </c>
      <c r="T1169" s="446" t="e">
        <f>IF(OR($B1169="",MIN(T$38,$D$19)&lt;MAX($P$708*($B1169+IF($R$17="Distrato",$I$38-1,0)),IF(AND($L$711=0,$P$708=0),"",$L$711-1),IF($R$17="Distrato",$E1169,0))),0,YEARFRAC(MAX($P$708*($B1169+IF($R$17="Distrato",$I$38-1,0)),IF(AND($L$711=0,$P$708=0),"",$L$711-1),IF($R$17="Distrato",$E1169,0)),MIN(T$38,$D$19),$P$20))-SUM($P1169:S1169)</f>
        <v>#VALUE!</v>
      </c>
      <c r="U1169" s="446" t="e">
        <f>IF(OR($B1169="",MIN(U$38,$D$19)&lt;MAX($P$708*($B1169+IF($R$17="Distrato",$I$38-1,0)),IF(AND($L$711=0,$P$708=0),"",$L$711-1),IF($R$17="Distrato",$E1169,0))),0,YEARFRAC(MAX($P$708*($B1169+IF($R$17="Distrato",$I$38-1,0)),IF(AND($L$711=0,$P$708=0),"",$L$711-1),IF($R$17="Distrato",$E1169,0)),MIN(U$38,$D$19),$P$20))-SUM($P1169:T1169)</f>
        <v>#VALUE!</v>
      </c>
      <c r="V1169" s="446" t="e">
        <f>IF(OR($B1169="",MIN(V$38,$D$19)&lt;MAX($P$708*($B1169+IF($R$17="Distrato",$I$38-1,0)),IF(AND($L$711=0,$P$708=0),"",$L$711-1),IF($R$17="Distrato",$E1169,0))),0,YEARFRAC(MAX($P$708*($B1169+IF($R$17="Distrato",$I$38-1,0)),IF(AND($L$711=0,$P$708=0),"",$L$711-1),IF($R$17="Distrato",$E1169,0)),MIN(V$38,$D$19),$P$20))-SUM($P1169:U1169)</f>
        <v>#VALUE!</v>
      </c>
      <c r="W1169" s="446" t="e">
        <f>IF(OR($B1169="",MIN(W$38,$D$19)&lt;MAX($P$708*($B1169+IF($R$17="Distrato",$I$38-1,0)),IF(AND($L$711=0,$P$708=0),"",$L$711-1),IF($R$17="Distrato",$E1169,0))),0,YEARFRAC(MAX($P$708*($B1169+IF($R$17="Distrato",$I$38-1,0)),IF(AND($L$711=0,$P$708=0),"",$L$711-1),IF($R$17="Distrato",$E1169,0)),MIN(W$38,$D$19),$P$20))-SUM($P1169:V1169)</f>
        <v>#VALUE!</v>
      </c>
      <c r="X1169" s="446" t="e">
        <f>IF(OR($B1169="",MIN(X$38,$D$19)&lt;MAX($P$708*($B1169+IF($R$17="Distrato",$I$38-1,0)),IF(AND($L$711=0,$P$708=0),"",$L$711-1),IF($R$17="Distrato",$E1169,0))),0,YEARFRAC(MAX($P$708*($B1169+IF($R$17="Distrato",$I$38-1,0)),IF(AND($L$711=0,$P$708=0),"",$L$711-1),IF($R$17="Distrato",$E1169,0)),MIN(X$38,$D$19),$P$20))-SUM($P1169:W1169)</f>
        <v>#VALUE!</v>
      </c>
      <c r="Y1169" s="446" t="e">
        <f>IF(OR($B1169="",MIN(Y$38,$D$19)&lt;MAX($P$708*($B1169+IF($R$17="Distrato",$I$38-1,0)),IF(AND($L$711=0,$P$708=0),"",$L$711-1),IF($R$17="Distrato",$E1169,0))),0,YEARFRAC(MAX($P$708*($B1169+IF($R$17="Distrato",$I$38-1,0)),IF(AND($L$711=0,$P$708=0),"",$L$711-1),IF($R$17="Distrato",$E1169,0)),MIN(Y$38,$D$19),$P$20))-SUM($P1169:X1169)</f>
        <v>#VALUE!</v>
      </c>
      <c r="Z1169" s="446" t="e">
        <f>IF(OR($B1169="",MIN(Z$38,$D$19)&lt;MAX($P$708*($B1169+IF($R$17="Distrato",$I$38-1,0)),IF(AND($L$711=0,$P$708=0),"",$L$711-1),IF($R$17="Distrato",$E1169,0))),0,YEARFRAC(MAX($P$708*($B1169+IF($R$17="Distrato",$I$38-1,0)),IF(AND($L$711=0,$P$708=0),"",$L$711-1),IF($R$17="Distrato",$E1169,0)),MIN(Z$38,$D$19),$P$20))-SUM($P1169:Y1169)</f>
        <v>#VALUE!</v>
      </c>
      <c r="AA1169" s="446" t="e">
        <f>IF(OR($B1169="",MIN(AA$38,$D$19)&lt;MAX($P$708*($B1169+IF($R$17="Distrato",$I$38-1,0)),IF(AND($L$711=0,$P$708=0),"",$L$711-1),IF($R$17="Distrato",$E1169,0))),0,YEARFRAC(MAX($P$708*($B1169+IF($R$17="Distrato",$I$38-1,0)),IF(AND($L$711=0,$P$708=0),"",$L$711-1),IF($R$17="Distrato",$E1169,0)),MIN(AA$38,$D$19),$P$20))-SUM($P1169:Z1169)</f>
        <v>#VALUE!</v>
      </c>
      <c r="AB1169" s="446" t="e">
        <f>IF(OR($B1169="",MIN(AB$38,$D$19)&lt;MAX($P$708*($B1169+IF($R$17="Distrato",$I$38-1,0)),IF(AND($L$711=0,$P$708=0),"",$L$711-1),IF($R$17="Distrato",$E1169,0))),0,YEARFRAC(MAX($P$708*($B1169+IF($R$17="Distrato",$I$38-1,0)),IF(AND($L$711=0,$P$708=0),"",$L$711-1),IF($R$17="Distrato",$E1169,0)),MIN(AB$38,$D$19),$P$20))-SUM($P1169:AA1169)</f>
        <v>#VALUE!</v>
      </c>
      <c r="AC1169" s="446" t="e">
        <f>IF(OR($B1169="",MIN(AC$38,$D$19)&lt;MAX($P$708*($B1169+IF($R$17="Distrato",$I$38-1,0)),IF(AND($L$711=0,$P$708=0),"",$L$711-1),IF($R$17="Distrato",$E1169,0))),0,YEARFRAC(MAX($P$708*($B1169+IF($R$17="Distrato",$I$38-1,0)),IF(AND($L$711=0,$P$708=0),"",$L$711-1),IF($R$17="Distrato",$E1169,0)),MIN(AC$38,$D$19),$P$20))-SUM($P1169:AB1169)</f>
        <v>#VALUE!</v>
      </c>
      <c r="AD1169" s="446" t="e">
        <f>IF(OR($B1169="",MIN(AD$38,$D$19)&lt;MAX($P$708*($B1169+IF($R$17="Distrato",$I$38-1,0)),IF(AND($L$711=0,$P$708=0),"",$L$711-1),IF($R$17="Distrato",$E1169,0))),0,YEARFRAC(MAX($P$708*($B1169+IF($R$17="Distrato",$I$38-1,0)),IF(AND($L$711=0,$P$708=0),"",$L$711-1),IF($R$17="Distrato",$E1169,0)),MIN(AD$38,$D$19),$P$20))-SUM($P1169:AC1169)</f>
        <v>#VALUE!</v>
      </c>
      <c r="AE1169" s="446" t="e">
        <f>IF(OR($B1169="",MIN(AE$38,$D$19)&lt;MAX($P$708*($B1169+IF($R$17="Distrato",$I$38-1,0)),IF(AND($L$711=0,$P$708=0),"",$L$711-1),IF($R$17="Distrato",$E1169,0))),0,YEARFRAC(MAX($P$708*($B1169+IF($R$17="Distrato",$I$38-1,0)),IF(AND($L$711=0,$P$708=0),"",$L$711-1),IF($R$17="Distrato",$E1169,0)),MIN(AE$38,$D$19),$P$20))-SUM($P1169:AD1169)</f>
        <v>#VALUE!</v>
      </c>
      <c r="AF1169" s="446" t="e">
        <f>IF(OR($B1169="",MIN(AF$38,$D$19)&lt;MAX($P$708*($B1169+IF($R$17="Distrato",$I$38-1,0)),IF(AND($L$711=0,$P$708=0),"",$L$711-1),IF($R$17="Distrato",$E1169,0))),0,YEARFRAC(MAX($P$708*($B1169+IF($R$17="Distrato",$I$38-1,0)),IF(AND($L$711=0,$P$708=0),"",$L$711-1),IF($R$17="Distrato",$E1169,0)),MIN(AF$38,$D$19),$P$20))-SUM($P1169:AE1169)</f>
        <v>#VALUE!</v>
      </c>
      <c r="AG1169" s="446" t="e">
        <f>IF(OR($B1169="",MIN(AG$38,$D$19)&lt;MAX($P$708*($B1169+IF($R$17="Distrato",$I$38-1,0)),IF(AND($L$711=0,$P$708=0),"",$L$711-1),IF($R$17="Distrato",$E1169,0))),0,YEARFRAC(MAX($P$708*($B1169+IF($R$17="Distrato",$I$38-1,0)),IF(AND($L$711=0,$P$708=0),"",$L$711-1),IF($R$17="Distrato",$E1169,0)),MIN(AG$38,$D$19),$P$20))-SUM($P1169:AF1169)</f>
        <v>#VALUE!</v>
      </c>
      <c r="AH1169" s="446" t="e">
        <f>IF(OR($B1169="",MIN(AH$38,$D$19)&lt;MAX($P$708*($B1169+IF($R$17="Distrato",$I$38-1,0)),IF(AND($L$711=0,$P$708=0),"",$L$711-1),IF($R$17="Distrato",$E1169,0))),0,YEARFRAC(MAX($P$708*($B1169+IF($R$17="Distrato",$I$38-1,0)),IF(AND($L$711=0,$P$708=0),"",$L$711-1),IF($R$17="Distrato",$E1169,0)),MIN(AH$38,$D$19),$P$20))-SUM($P1169:AG1169)</f>
        <v>#VALUE!</v>
      </c>
      <c r="AI1169" s="446" t="e">
        <f>IF(OR($B1169="",MIN(AI$38,$D$19)&lt;MAX($P$708*($B1169+IF($R$17="Distrato",$I$38-1,0)),IF(AND($L$711=0,$P$708=0),"",$L$711-1),IF($R$17="Distrato",$E1169,0))),0,YEARFRAC(MAX($P$708*($B1169+IF($R$17="Distrato",$I$38-1,0)),IF(AND($L$711=0,$P$708=0),"",$L$711-1),IF($R$17="Distrato",$E1169,0)),MIN(AI$38,$D$19),$P$20))-SUM($P1169:AH1169)</f>
        <v>#VALUE!</v>
      </c>
      <c r="AJ1169" s="446" t="e">
        <f>IF(OR($B1169="",MIN(AJ$38,$D$19)&lt;MAX($P$708*($B1169+IF($R$17="Distrato",$I$38-1,0)),IF(AND($L$711=0,$P$708=0),"",$L$711-1),IF($R$17="Distrato",$E1169,0))),0,YEARFRAC(MAX($P$708*($B1169+IF($R$17="Distrato",$I$38-1,0)),IF(AND($L$711=0,$P$708=0),"",$L$711-1),IF($R$17="Distrato",$E1169,0)),MIN(AJ$38,$D$19),$P$20))-SUM($P1169:AI1169)</f>
        <v>#VALUE!</v>
      </c>
      <c r="AK1169" s="446" t="e">
        <f>IF(OR($B1169="",MIN(AK$38,$D$19)&lt;MAX($P$708*($B1169+IF($R$17="Distrato",$I$38-1,0)),IF(AND($L$711=0,$P$708=0),"",$L$711-1),IF($R$17="Distrato",$E1169,0))),0,YEARFRAC(MAX($P$708*($B1169+IF($R$17="Distrato",$I$38-1,0)),IF(AND($L$711=0,$P$708=0),"",$L$711-1),IF($R$17="Distrato",$E1169,0)),MIN(AK$38,$D$19),$P$20))-SUM($P1169:AJ1169)</f>
        <v>#VALUE!</v>
      </c>
      <c r="AL1169" s="446" t="e">
        <f>IF(OR($B1169="",MIN(AL$38,$D$19)&lt;MAX($P$708*($B1169+IF($R$17="Distrato",$I$38-1,0)),IF(AND($L$711=0,$P$708=0),"",$L$711-1),IF($R$17="Distrato",$E1169,0))),0,YEARFRAC(MAX($P$708*($B1169+IF($R$17="Distrato",$I$38-1,0)),IF(AND($L$711=0,$P$708=0),"",$L$711-1),IF($R$17="Distrato",$E1169,0)),MIN(AL$38,$D$19),$P$20))-SUM($P1169:AK1169)</f>
        <v>#VALUE!</v>
      </c>
      <c r="AM1169" s="446" t="e">
        <f>IF(OR($B1169="",MIN(AM$38,$D$19)&lt;MAX($P$708*($B1169+IF($R$17="Distrato",$I$38-1,0)),IF(AND($L$711=0,$P$708=0),"",$L$711-1),IF($R$17="Distrato",$E1169,0))),0,YEARFRAC(MAX($P$708*($B1169+IF($R$17="Distrato",$I$38-1,0)),IF(AND($L$711=0,$P$708=0),"",$L$711-1),IF($R$17="Distrato",$E1169,0)),MIN(AM$38,$D$19),$P$20))-SUM($P1169:AL1169)</f>
        <v>#VALUE!</v>
      </c>
      <c r="AN1169" s="446" t="e">
        <f>IF(OR($B1169="",MIN(AN$38,$D$19)&lt;MAX($P$708*($B1169+IF($R$17="Distrato",$I$38-1,0)),IF(AND($L$711=0,$P$708=0),"",$L$711-1),IF($R$17="Distrato",$E1169,0))),0,YEARFRAC(MAX($P$708*($B1169+IF($R$17="Distrato",$I$38-1,0)),IF(AND($L$711=0,$P$708=0),"",$L$711-1),IF($R$17="Distrato",$E1169,0)),MIN(AN$38,$D$19),$P$20))-SUM($P1169:AM1169)</f>
        <v>#VALUE!</v>
      </c>
      <c r="AO1169" s="446" t="e">
        <f>IF(OR($B1169="",MIN(AO$38,$D$19)&lt;MAX($P$708*($B1169+IF($R$17="Distrato",$I$38-1,0)),IF(AND($L$711=0,$P$708=0),"",$L$711-1),IF($R$17="Distrato",$E1169,0))),0,YEARFRAC(MAX($P$708*($B1169+IF($R$17="Distrato",$I$38-1,0)),IF(AND($L$711=0,$P$708=0),"",$L$711-1),IF($R$17="Distrato",$E1169,0)),MIN(AO$38,$D$19),$P$20))-SUM($P1169:AN1169)</f>
        <v>#VALUE!</v>
      </c>
      <c r="AP1169" s="446" t="e">
        <f>IF(OR($B1169="",MIN(AP$38,$D$19)&lt;MAX($P$708*($B1169+IF($R$17="Distrato",$I$38-1,0)),IF(AND($L$711=0,$P$708=0),"",$L$711-1),IF($R$17="Distrato",$E1169,0))),0,YEARFRAC(MAX($P$708*($B1169+IF($R$17="Distrato",$I$38-1,0)),IF(AND($L$711=0,$P$708=0),"",$L$711-1),IF($R$17="Distrato",$E1169,0)),MIN(AP$38,$D$19),$P$20))-SUM($P1169:AO1169)</f>
        <v>#VALUE!</v>
      </c>
      <c r="AQ1169" s="446" t="e">
        <f>IF(OR($B1169="",MIN(AQ$38,$D$19)&lt;MAX($P$708*($B1169+IF($R$17="Distrato",$I$38-1,0)),IF(AND($L$711=0,$P$708=0),"",$L$711-1),IF($R$17="Distrato",$E1169,0))),0,YEARFRAC(MAX($P$708*($B1169+IF($R$17="Distrato",$I$38-1,0)),IF(AND($L$711=0,$P$708=0),"",$L$711-1),IF($R$17="Distrato",$E1169,0)),MIN(AQ$38,$D$19),$P$20))-SUM($P1169:AP1169)</f>
        <v>#VALUE!</v>
      </c>
      <c r="AR1169" s="446" t="e">
        <f>IF(OR($B1169="",MIN(AR$38,$D$19)&lt;MAX($P$708*($B1169+IF($R$17="Distrato",$I$38-1,0)),IF(AND($L$711=0,$P$708=0),"",$L$711-1),IF($R$17="Distrato",$E1169,0))),0,YEARFRAC(MAX($P$708*($B1169+IF($R$17="Distrato",$I$38-1,0)),IF(AND($L$711=0,$P$708=0),"",$L$711-1),IF($R$17="Distrato",$E1169,0)),MIN(AR$38,$D$19),$P$20))-SUM($P1169:AQ1169)</f>
        <v>#VALUE!</v>
      </c>
      <c r="AS1169" s="446" t="e">
        <f>IF(OR($B1169="",MIN(AS$38,$D$19)&lt;MAX($P$708*($B1169+IF($R$17="Distrato",$I$38-1,0)),IF(AND($L$711=0,$P$708=0),"",$L$711-1),IF($R$17="Distrato",$E1169,0))),0,YEARFRAC(MAX($P$708*($B1169+IF($R$17="Distrato",$I$38-1,0)),IF(AND($L$711=0,$P$708=0),"",$L$711-1),IF($R$17="Distrato",$E1169,0)),MIN(AS$38,$D$19),$P$20))-SUM($P1169:AR1169)</f>
        <v>#VALUE!</v>
      </c>
      <c r="AT1169" s="446" t="e">
        <f>IF(OR($B1169="",MIN(AT$38,$D$19)&lt;MAX($P$708*($B1169+IF($R$17="Distrato",$I$38-1,0)),IF(AND($L$711=0,$P$708=0),"",$L$711-1),IF($R$17="Distrato",$E1169,0))),0,YEARFRAC(MAX($P$708*($B1169+IF($R$17="Distrato",$I$38-1,0)),IF(AND($L$711=0,$P$708=0),"",$L$711-1),IF($R$17="Distrato",$E1169,0)),MIN(AT$38,$D$19),$P$20))-SUM($P1169:AS1169)</f>
        <v>#VALUE!</v>
      </c>
      <c r="AU1169" s="446" t="e">
        <f>IF(OR($B1169="",MIN(AU$38,$D$19)&lt;MAX($P$708*($B1169+IF($R$17="Distrato",$I$38-1,0)),IF(AND($L$711=0,$P$708=0),"",$L$711-1),IF($R$17="Distrato",$E1169,0))),0,YEARFRAC(MAX($P$708*($B1169+IF($R$17="Distrato",$I$38-1,0)),IF(AND($L$711=0,$P$708=0),"",$L$711-1),IF($R$17="Distrato",$E1169,0)),MIN(AU$38,$D$19),$P$20))-SUM($P1169:AT1169)</f>
        <v>#VALUE!</v>
      </c>
      <c r="AV1169" s="446" t="e">
        <f>IF(OR($B1169="",MIN(AV$38,$D$19)&lt;MAX($P$708*($B1169+IF($R$17="Distrato",$I$38-1,0)),IF(AND($L$711=0,$P$708=0),"",$L$711-1),IF($R$17="Distrato",$E1169,0))),0,YEARFRAC(MAX($P$708*($B1169+IF($R$17="Distrato",$I$38-1,0)),IF(AND($L$711=0,$P$708=0),"",$L$711-1),IF($R$17="Distrato",$E1169,0)),MIN(AV$38,$D$19),$P$20))-SUM($P1169:AU1169)</f>
        <v>#VALUE!</v>
      </c>
      <c r="AW1169" s="446" t="e">
        <f>IF(OR($B1169="",MIN(AW$38,$D$19)&lt;MAX($P$708*($B1169+IF($R$17="Distrato",$I$38-1,0)),IF(AND($L$711=0,$P$708=0),"",$L$711-1),IF($R$17="Distrato",$E1169,0))),0,YEARFRAC(MAX($P$708*($B1169+IF($R$17="Distrato",$I$38-1,0)),IF(AND($L$711=0,$P$708=0),"",$L$711-1),IF($R$17="Distrato",$E1169,0)),MIN(AW$38,$D$19),$P$20))-SUM($P1169:AV1169)</f>
        <v>#VALUE!</v>
      </c>
      <c r="AX1169" s="446" t="e">
        <f>IF(OR($B1169="",MIN(AX$38,$D$19)&lt;MAX($P$708*($B1169+IF($R$17="Distrato",$I$38-1,0)),IF(AND($L$711=0,$P$708=0),"",$L$711-1),IF($R$17="Distrato",$E1169,0))),0,YEARFRAC(MAX($P$708*($B1169+IF($R$17="Distrato",$I$38-1,0)),IF(AND($L$711=0,$P$708=0),"",$L$711-1),IF($R$17="Distrato",$E1169,0)),MIN(AX$38,$D$19),$P$20))-SUM($P1169:AW1169)</f>
        <v>#VALUE!</v>
      </c>
      <c r="AY1169" s="446" t="e">
        <f>IF(OR($B1169="",MIN(AY$38,$D$19)&lt;MAX($P$708*($B1169+IF($R$17="Distrato",$I$38-1,0)),IF(AND($L$711=0,$P$708=0),"",$L$711-1),IF($R$17="Distrato",$E1169,0))),0,YEARFRAC(MAX($P$708*($B1169+IF($R$17="Distrato",$I$38-1,0)),IF(AND($L$711=0,$P$708=0),"",$L$711-1),IF($R$17="Distrato",$E1169,0)),MIN(AY$38,$D$19),$P$20))-SUM($P1169:AX1169)</f>
        <v>#VALUE!</v>
      </c>
      <c r="AZ1169" s="446" t="e">
        <f>IF(OR($B1169="",MIN(AZ$38,$D$19)&lt;MAX($P$708*($B1169+IF($R$17="Distrato",$I$38-1,0)),IF(AND($L$711=0,$P$708=0),"",$L$711-1),IF($R$17="Distrato",$E1169,0))),0,YEARFRAC(MAX($P$708*($B1169+IF($R$17="Distrato",$I$38-1,0)),IF(AND($L$711=0,$P$708=0),"",$L$711-1),IF($R$17="Distrato",$E1169,0)),MIN(AZ$38,$D$19),$P$20))-SUM($P1169:AY1169)</f>
        <v>#VALUE!</v>
      </c>
      <c r="BA1169" s="446" t="e">
        <f>IF(OR($B1169="",MIN(BA$38,$D$19)&lt;MAX($P$708*($B1169+IF($R$17="Distrato",$I$38-1,0)),IF(AND($L$711=0,$P$708=0),"",$L$711-1),IF($R$17="Distrato",$E1169,0))),0,YEARFRAC(MAX($P$708*($B1169+IF($R$17="Distrato",$I$38-1,0)),IF(AND($L$711=0,$P$708=0),"",$L$711-1),IF($R$17="Distrato",$E1169,0)),MIN(BA$38,$D$19),$P$20))-SUM($P1169:AZ1169)</f>
        <v>#VALUE!</v>
      </c>
      <c r="BB1169" s="447"/>
    </row>
    <row r="1170" spans="1:54" s="446" customFormat="1" ht="11.25" hidden="1" customHeight="1" x14ac:dyDescent="0.2">
      <c r="A1170" s="235"/>
      <c r="B1170" s="236"/>
      <c r="C1170" s="29" t="str">
        <f>IF(B1170="","",IF($L$709=$BL$25,VLOOKUP(DATE(YEAR($D$19),MONTH($D$19)-1,1),ÍNDICES!$A:$DE,HLOOKUP($BL$25,ÍNDICES!$B$3:$T$4,2)+11)-VLOOKUP(B1170,ÍNDICES!$A:$DE,HLOOKUP($BL$25,ÍNDICES!$B$3:$T$4,2)+11)+1%,IF(C$712=$W$26,$J$35,IF(ISERROR(IF(B1170&gt;$D$19,1,VLOOKUP(DATE(YEAR(B1170),MONTH(B1170)+IF($C$709=$S$23,1,0),1),ÍNDICES!$A:$DE,$Z$709+1))),"",IF(B1170&gt;$D$19,1,VLOOKUP(DATE(YEAR(B1170),MONTH(B1170)+IF($C$709=$S$23,1,0),1),ÍNDICES!$A:$DE,$Z$709+1))))))</f>
        <v/>
      </c>
      <c r="D1170" s="155"/>
      <c r="E1170" s="88"/>
      <c r="F1170" s="88"/>
      <c r="G1170" s="88"/>
      <c r="H1170" s="118"/>
      <c r="I1170" s="182">
        <f t="shared" si="164"/>
        <v>0</v>
      </c>
      <c r="J1170" s="20">
        <f t="shared" ca="1" si="165"/>
        <v>0</v>
      </c>
      <c r="K1170" s="5">
        <f t="shared" ca="1" si="166"/>
        <v>0</v>
      </c>
      <c r="L1170" s="61">
        <f t="shared" ca="1" si="167"/>
        <v>0</v>
      </c>
      <c r="M1170" s="64">
        <f t="shared" si="168"/>
        <v>0</v>
      </c>
      <c r="N1170" s="151"/>
      <c r="O1170" s="5">
        <f t="shared" ca="1" si="169"/>
        <v>0</v>
      </c>
      <c r="P1170" s="446" t="e">
        <f t="shared" si="170"/>
        <v>#VALUE!</v>
      </c>
      <c r="Q1170" s="446" t="e">
        <f>IF(OR($B1170="",MIN(Q$38,$D$19)&lt;MAX($P$708*($B1170+IF($R$17="Distrato",$I$38-1,0)),IF(AND($L$711=0,$P$708=0),"",$L$711-1),IF($R$17="Distrato",$E1170,0))),0,YEARFRAC(MAX($P$708*($B1170+IF($R$17="Distrato",$I$38-1,0)),IF(AND($L$711=0,$P$708=0),"",$L$711-1),IF($R$17="Distrato",$E1170,0)),MIN(Q$38,$D$19),$P$20))-SUM($P1170:P1170)</f>
        <v>#VALUE!</v>
      </c>
      <c r="R1170" s="446" t="e">
        <f>IF(OR($B1170="",MIN(R$38,$D$19)&lt;MAX($P$708*($B1170+IF($R$17="Distrato",$I$38-1,0)),IF(AND($L$711=0,$P$708=0),"",$L$711-1),IF($R$17="Distrato",$E1170,0))),0,YEARFRAC(MAX($P$708*($B1170+IF($R$17="Distrato",$I$38-1,0)),IF(AND($L$711=0,$P$708=0),"",$L$711-1),IF($R$17="Distrato",$E1170,0)),MIN(R$38,$D$19),$P$20))-SUM($P1170:Q1170)</f>
        <v>#VALUE!</v>
      </c>
      <c r="S1170" s="446" t="e">
        <f>IF(OR($B1170="",MIN(S$38,$D$19)&lt;MAX($P$708*($B1170+IF($R$17="Distrato",$I$38-1,0)),IF(AND($L$711=0,$P$708=0),"",$L$711-1),IF($R$17="Distrato",$E1170,0))),0,YEARFRAC(MAX($P$708*($B1170+IF($R$17="Distrato",$I$38-1,0)),IF(AND($L$711=0,$P$708=0),"",$L$711-1),IF($R$17="Distrato",$E1170,0)),MIN(S$38,$D$19),$P$20))-SUM($P1170:R1170)</f>
        <v>#VALUE!</v>
      </c>
      <c r="T1170" s="446" t="e">
        <f>IF(OR($B1170="",MIN(T$38,$D$19)&lt;MAX($P$708*($B1170+IF($R$17="Distrato",$I$38-1,0)),IF(AND($L$711=0,$P$708=0),"",$L$711-1),IF($R$17="Distrato",$E1170,0))),0,YEARFRAC(MAX($P$708*($B1170+IF($R$17="Distrato",$I$38-1,0)),IF(AND($L$711=0,$P$708=0),"",$L$711-1),IF($R$17="Distrato",$E1170,0)),MIN(T$38,$D$19),$P$20))-SUM($P1170:S1170)</f>
        <v>#VALUE!</v>
      </c>
      <c r="U1170" s="446" t="e">
        <f>IF(OR($B1170="",MIN(U$38,$D$19)&lt;MAX($P$708*($B1170+IF($R$17="Distrato",$I$38-1,0)),IF(AND($L$711=0,$P$708=0),"",$L$711-1),IF($R$17="Distrato",$E1170,0))),0,YEARFRAC(MAX($P$708*($B1170+IF($R$17="Distrato",$I$38-1,0)),IF(AND($L$711=0,$P$708=0),"",$L$711-1),IF($R$17="Distrato",$E1170,0)),MIN(U$38,$D$19),$P$20))-SUM($P1170:T1170)</f>
        <v>#VALUE!</v>
      </c>
      <c r="V1170" s="446" t="e">
        <f>IF(OR($B1170="",MIN(V$38,$D$19)&lt;MAX($P$708*($B1170+IF($R$17="Distrato",$I$38-1,0)),IF(AND($L$711=0,$P$708=0),"",$L$711-1),IF($R$17="Distrato",$E1170,0))),0,YEARFRAC(MAX($P$708*($B1170+IF($R$17="Distrato",$I$38-1,0)),IF(AND($L$711=0,$P$708=0),"",$L$711-1),IF($R$17="Distrato",$E1170,0)),MIN(V$38,$D$19),$P$20))-SUM($P1170:U1170)</f>
        <v>#VALUE!</v>
      </c>
      <c r="W1170" s="446" t="e">
        <f>IF(OR($B1170="",MIN(W$38,$D$19)&lt;MAX($P$708*($B1170+IF($R$17="Distrato",$I$38-1,0)),IF(AND($L$711=0,$P$708=0),"",$L$711-1),IF($R$17="Distrato",$E1170,0))),0,YEARFRAC(MAX($P$708*($B1170+IF($R$17="Distrato",$I$38-1,0)),IF(AND($L$711=0,$P$708=0),"",$L$711-1),IF($R$17="Distrato",$E1170,0)),MIN(W$38,$D$19),$P$20))-SUM($P1170:V1170)</f>
        <v>#VALUE!</v>
      </c>
      <c r="X1170" s="446" t="e">
        <f>IF(OR($B1170="",MIN(X$38,$D$19)&lt;MAX($P$708*($B1170+IF($R$17="Distrato",$I$38-1,0)),IF(AND($L$711=0,$P$708=0),"",$L$711-1),IF($R$17="Distrato",$E1170,0))),0,YEARFRAC(MAX($P$708*($B1170+IF($R$17="Distrato",$I$38-1,0)),IF(AND($L$711=0,$P$708=0),"",$L$711-1),IF($R$17="Distrato",$E1170,0)),MIN(X$38,$D$19),$P$20))-SUM($P1170:W1170)</f>
        <v>#VALUE!</v>
      </c>
      <c r="Y1170" s="446" t="e">
        <f>IF(OR($B1170="",MIN(Y$38,$D$19)&lt;MAX($P$708*($B1170+IF($R$17="Distrato",$I$38-1,0)),IF(AND($L$711=0,$P$708=0),"",$L$711-1),IF($R$17="Distrato",$E1170,0))),0,YEARFRAC(MAX($P$708*($B1170+IF($R$17="Distrato",$I$38-1,0)),IF(AND($L$711=0,$P$708=0),"",$L$711-1),IF($R$17="Distrato",$E1170,0)),MIN(Y$38,$D$19),$P$20))-SUM($P1170:X1170)</f>
        <v>#VALUE!</v>
      </c>
      <c r="Z1170" s="446" t="e">
        <f>IF(OR($B1170="",MIN(Z$38,$D$19)&lt;MAX($P$708*($B1170+IF($R$17="Distrato",$I$38-1,0)),IF(AND($L$711=0,$P$708=0),"",$L$711-1),IF($R$17="Distrato",$E1170,0))),0,YEARFRAC(MAX($P$708*($B1170+IF($R$17="Distrato",$I$38-1,0)),IF(AND($L$711=0,$P$708=0),"",$L$711-1),IF($R$17="Distrato",$E1170,0)),MIN(Z$38,$D$19),$P$20))-SUM($P1170:Y1170)</f>
        <v>#VALUE!</v>
      </c>
      <c r="AA1170" s="446" t="e">
        <f>IF(OR($B1170="",MIN(AA$38,$D$19)&lt;MAX($P$708*($B1170+IF($R$17="Distrato",$I$38-1,0)),IF(AND($L$711=0,$P$708=0),"",$L$711-1),IF($R$17="Distrato",$E1170,0))),0,YEARFRAC(MAX($P$708*($B1170+IF($R$17="Distrato",$I$38-1,0)),IF(AND($L$711=0,$P$708=0),"",$L$711-1),IF($R$17="Distrato",$E1170,0)),MIN(AA$38,$D$19),$P$20))-SUM($P1170:Z1170)</f>
        <v>#VALUE!</v>
      </c>
      <c r="AB1170" s="446" t="e">
        <f>IF(OR($B1170="",MIN(AB$38,$D$19)&lt;MAX($P$708*($B1170+IF($R$17="Distrato",$I$38-1,0)),IF(AND($L$711=0,$P$708=0),"",$L$711-1),IF($R$17="Distrato",$E1170,0))),0,YEARFRAC(MAX($P$708*($B1170+IF($R$17="Distrato",$I$38-1,0)),IF(AND($L$711=0,$P$708=0),"",$L$711-1),IF($R$17="Distrato",$E1170,0)),MIN(AB$38,$D$19),$P$20))-SUM($P1170:AA1170)</f>
        <v>#VALUE!</v>
      </c>
      <c r="AC1170" s="446" t="e">
        <f>IF(OR($B1170="",MIN(AC$38,$D$19)&lt;MAX($P$708*($B1170+IF($R$17="Distrato",$I$38-1,0)),IF(AND($L$711=0,$P$708=0),"",$L$711-1),IF($R$17="Distrato",$E1170,0))),0,YEARFRAC(MAX($P$708*($B1170+IF($R$17="Distrato",$I$38-1,0)),IF(AND($L$711=0,$P$708=0),"",$L$711-1),IF($R$17="Distrato",$E1170,0)),MIN(AC$38,$D$19),$P$20))-SUM($P1170:AB1170)</f>
        <v>#VALUE!</v>
      </c>
      <c r="AD1170" s="446" t="e">
        <f>IF(OR($B1170="",MIN(AD$38,$D$19)&lt;MAX($P$708*($B1170+IF($R$17="Distrato",$I$38-1,0)),IF(AND($L$711=0,$P$708=0),"",$L$711-1),IF($R$17="Distrato",$E1170,0))),0,YEARFRAC(MAX($P$708*($B1170+IF($R$17="Distrato",$I$38-1,0)),IF(AND($L$711=0,$P$708=0),"",$L$711-1),IF($R$17="Distrato",$E1170,0)),MIN(AD$38,$D$19),$P$20))-SUM($P1170:AC1170)</f>
        <v>#VALUE!</v>
      </c>
      <c r="AE1170" s="446" t="e">
        <f>IF(OR($B1170="",MIN(AE$38,$D$19)&lt;MAX($P$708*($B1170+IF($R$17="Distrato",$I$38-1,0)),IF(AND($L$711=0,$P$708=0),"",$L$711-1),IF($R$17="Distrato",$E1170,0))),0,YEARFRAC(MAX($P$708*($B1170+IF($R$17="Distrato",$I$38-1,0)),IF(AND($L$711=0,$P$708=0),"",$L$711-1),IF($R$17="Distrato",$E1170,0)),MIN(AE$38,$D$19),$P$20))-SUM($P1170:AD1170)</f>
        <v>#VALUE!</v>
      </c>
      <c r="AF1170" s="446" t="e">
        <f>IF(OR($B1170="",MIN(AF$38,$D$19)&lt;MAX($P$708*($B1170+IF($R$17="Distrato",$I$38-1,0)),IF(AND($L$711=0,$P$708=0),"",$L$711-1),IF($R$17="Distrato",$E1170,0))),0,YEARFRAC(MAX($P$708*($B1170+IF($R$17="Distrato",$I$38-1,0)),IF(AND($L$711=0,$P$708=0),"",$L$711-1),IF($R$17="Distrato",$E1170,0)),MIN(AF$38,$D$19),$P$20))-SUM($P1170:AE1170)</f>
        <v>#VALUE!</v>
      </c>
      <c r="AG1170" s="446" t="e">
        <f>IF(OR($B1170="",MIN(AG$38,$D$19)&lt;MAX($P$708*($B1170+IF($R$17="Distrato",$I$38-1,0)),IF(AND($L$711=0,$P$708=0),"",$L$711-1),IF($R$17="Distrato",$E1170,0))),0,YEARFRAC(MAX($P$708*($B1170+IF($R$17="Distrato",$I$38-1,0)),IF(AND($L$711=0,$P$708=0),"",$L$711-1),IF($R$17="Distrato",$E1170,0)),MIN(AG$38,$D$19),$P$20))-SUM($P1170:AF1170)</f>
        <v>#VALUE!</v>
      </c>
      <c r="AH1170" s="446" t="e">
        <f>IF(OR($B1170="",MIN(AH$38,$D$19)&lt;MAX($P$708*($B1170+IF($R$17="Distrato",$I$38-1,0)),IF(AND($L$711=0,$P$708=0),"",$L$711-1),IF($R$17="Distrato",$E1170,0))),0,YEARFRAC(MAX($P$708*($B1170+IF($R$17="Distrato",$I$38-1,0)),IF(AND($L$711=0,$P$708=0),"",$L$711-1),IF($R$17="Distrato",$E1170,0)),MIN(AH$38,$D$19),$P$20))-SUM($P1170:AG1170)</f>
        <v>#VALUE!</v>
      </c>
      <c r="AI1170" s="446" t="e">
        <f>IF(OR($B1170="",MIN(AI$38,$D$19)&lt;MAX($P$708*($B1170+IF($R$17="Distrato",$I$38-1,0)),IF(AND($L$711=0,$P$708=0),"",$L$711-1),IF($R$17="Distrato",$E1170,0))),0,YEARFRAC(MAX($P$708*($B1170+IF($R$17="Distrato",$I$38-1,0)),IF(AND($L$711=0,$P$708=0),"",$L$711-1),IF($R$17="Distrato",$E1170,0)),MIN(AI$38,$D$19),$P$20))-SUM($P1170:AH1170)</f>
        <v>#VALUE!</v>
      </c>
      <c r="AJ1170" s="446" t="e">
        <f>IF(OR($B1170="",MIN(AJ$38,$D$19)&lt;MAX($P$708*($B1170+IF($R$17="Distrato",$I$38-1,0)),IF(AND($L$711=0,$P$708=0),"",$L$711-1),IF($R$17="Distrato",$E1170,0))),0,YEARFRAC(MAX($P$708*($B1170+IF($R$17="Distrato",$I$38-1,0)),IF(AND($L$711=0,$P$708=0),"",$L$711-1),IF($R$17="Distrato",$E1170,0)),MIN(AJ$38,$D$19),$P$20))-SUM($P1170:AI1170)</f>
        <v>#VALUE!</v>
      </c>
      <c r="AK1170" s="446" t="e">
        <f>IF(OR($B1170="",MIN(AK$38,$D$19)&lt;MAX($P$708*($B1170+IF($R$17="Distrato",$I$38-1,0)),IF(AND($L$711=0,$P$708=0),"",$L$711-1),IF($R$17="Distrato",$E1170,0))),0,YEARFRAC(MAX($P$708*($B1170+IF($R$17="Distrato",$I$38-1,0)),IF(AND($L$711=0,$P$708=0),"",$L$711-1),IF($R$17="Distrato",$E1170,0)),MIN(AK$38,$D$19),$P$20))-SUM($P1170:AJ1170)</f>
        <v>#VALUE!</v>
      </c>
      <c r="AL1170" s="446" t="e">
        <f>IF(OR($B1170="",MIN(AL$38,$D$19)&lt;MAX($P$708*($B1170+IF($R$17="Distrato",$I$38-1,0)),IF(AND($L$711=0,$P$708=0),"",$L$711-1),IF($R$17="Distrato",$E1170,0))),0,YEARFRAC(MAX($P$708*($B1170+IF($R$17="Distrato",$I$38-1,0)),IF(AND($L$711=0,$P$708=0),"",$L$711-1),IF($R$17="Distrato",$E1170,0)),MIN(AL$38,$D$19),$P$20))-SUM($P1170:AK1170)</f>
        <v>#VALUE!</v>
      </c>
      <c r="AM1170" s="446" t="e">
        <f>IF(OR($B1170="",MIN(AM$38,$D$19)&lt;MAX($P$708*($B1170+IF($R$17="Distrato",$I$38-1,0)),IF(AND($L$711=0,$P$708=0),"",$L$711-1),IF($R$17="Distrato",$E1170,0))),0,YEARFRAC(MAX($P$708*($B1170+IF($R$17="Distrato",$I$38-1,0)),IF(AND($L$711=0,$P$708=0),"",$L$711-1),IF($R$17="Distrato",$E1170,0)),MIN(AM$38,$D$19),$P$20))-SUM($P1170:AL1170)</f>
        <v>#VALUE!</v>
      </c>
      <c r="AN1170" s="446" t="e">
        <f>IF(OR($B1170="",MIN(AN$38,$D$19)&lt;MAX($P$708*($B1170+IF($R$17="Distrato",$I$38-1,0)),IF(AND($L$711=0,$P$708=0),"",$L$711-1),IF($R$17="Distrato",$E1170,0))),0,YEARFRAC(MAX($P$708*($B1170+IF($R$17="Distrato",$I$38-1,0)),IF(AND($L$711=0,$P$708=0),"",$L$711-1),IF($R$17="Distrato",$E1170,0)),MIN(AN$38,$D$19),$P$20))-SUM($P1170:AM1170)</f>
        <v>#VALUE!</v>
      </c>
      <c r="AO1170" s="446" t="e">
        <f>IF(OR($B1170="",MIN(AO$38,$D$19)&lt;MAX($P$708*($B1170+IF($R$17="Distrato",$I$38-1,0)),IF(AND($L$711=0,$P$708=0),"",$L$711-1),IF($R$17="Distrato",$E1170,0))),0,YEARFRAC(MAX($P$708*($B1170+IF($R$17="Distrato",$I$38-1,0)),IF(AND($L$711=0,$P$708=0),"",$L$711-1),IF($R$17="Distrato",$E1170,0)),MIN(AO$38,$D$19),$P$20))-SUM($P1170:AN1170)</f>
        <v>#VALUE!</v>
      </c>
      <c r="AP1170" s="446" t="e">
        <f>IF(OR($B1170="",MIN(AP$38,$D$19)&lt;MAX($P$708*($B1170+IF($R$17="Distrato",$I$38-1,0)),IF(AND($L$711=0,$P$708=0),"",$L$711-1),IF($R$17="Distrato",$E1170,0))),0,YEARFRAC(MAX($P$708*($B1170+IF($R$17="Distrato",$I$38-1,0)),IF(AND($L$711=0,$P$708=0),"",$L$711-1),IF($R$17="Distrato",$E1170,0)),MIN(AP$38,$D$19),$P$20))-SUM($P1170:AO1170)</f>
        <v>#VALUE!</v>
      </c>
      <c r="AQ1170" s="446" t="e">
        <f>IF(OR($B1170="",MIN(AQ$38,$D$19)&lt;MAX($P$708*($B1170+IF($R$17="Distrato",$I$38-1,0)),IF(AND($L$711=0,$P$708=0),"",$L$711-1),IF($R$17="Distrato",$E1170,0))),0,YEARFRAC(MAX($P$708*($B1170+IF($R$17="Distrato",$I$38-1,0)),IF(AND($L$711=0,$P$708=0),"",$L$711-1),IF($R$17="Distrato",$E1170,0)),MIN(AQ$38,$D$19),$P$20))-SUM($P1170:AP1170)</f>
        <v>#VALUE!</v>
      </c>
      <c r="AR1170" s="446" t="e">
        <f>IF(OR($B1170="",MIN(AR$38,$D$19)&lt;MAX($P$708*($B1170+IF($R$17="Distrato",$I$38-1,0)),IF(AND($L$711=0,$P$708=0),"",$L$711-1),IF($R$17="Distrato",$E1170,0))),0,YEARFRAC(MAX($P$708*($B1170+IF($R$17="Distrato",$I$38-1,0)),IF(AND($L$711=0,$P$708=0),"",$L$711-1),IF($R$17="Distrato",$E1170,0)),MIN(AR$38,$D$19),$P$20))-SUM($P1170:AQ1170)</f>
        <v>#VALUE!</v>
      </c>
      <c r="AS1170" s="446" t="e">
        <f>IF(OR($B1170="",MIN(AS$38,$D$19)&lt;MAX($P$708*($B1170+IF($R$17="Distrato",$I$38-1,0)),IF(AND($L$711=0,$P$708=0),"",$L$711-1),IF($R$17="Distrato",$E1170,0))),0,YEARFRAC(MAX($P$708*($B1170+IF($R$17="Distrato",$I$38-1,0)),IF(AND($L$711=0,$P$708=0),"",$L$711-1),IF($R$17="Distrato",$E1170,0)),MIN(AS$38,$D$19),$P$20))-SUM($P1170:AR1170)</f>
        <v>#VALUE!</v>
      </c>
      <c r="AT1170" s="446" t="e">
        <f>IF(OR($B1170="",MIN(AT$38,$D$19)&lt;MAX($P$708*($B1170+IF($R$17="Distrato",$I$38-1,0)),IF(AND($L$711=0,$P$708=0),"",$L$711-1),IF($R$17="Distrato",$E1170,0))),0,YEARFRAC(MAX($P$708*($B1170+IF($R$17="Distrato",$I$38-1,0)),IF(AND($L$711=0,$P$708=0),"",$L$711-1),IF($R$17="Distrato",$E1170,0)),MIN(AT$38,$D$19),$P$20))-SUM($P1170:AS1170)</f>
        <v>#VALUE!</v>
      </c>
      <c r="AU1170" s="446" t="e">
        <f>IF(OR($B1170="",MIN(AU$38,$D$19)&lt;MAX($P$708*($B1170+IF($R$17="Distrato",$I$38-1,0)),IF(AND($L$711=0,$P$708=0),"",$L$711-1),IF($R$17="Distrato",$E1170,0))),0,YEARFRAC(MAX($P$708*($B1170+IF($R$17="Distrato",$I$38-1,0)),IF(AND($L$711=0,$P$708=0),"",$L$711-1),IF($R$17="Distrato",$E1170,0)),MIN(AU$38,$D$19),$P$20))-SUM($P1170:AT1170)</f>
        <v>#VALUE!</v>
      </c>
      <c r="AV1170" s="446" t="e">
        <f>IF(OR($B1170="",MIN(AV$38,$D$19)&lt;MAX($P$708*($B1170+IF($R$17="Distrato",$I$38-1,0)),IF(AND($L$711=0,$P$708=0),"",$L$711-1),IF($R$17="Distrato",$E1170,0))),0,YEARFRAC(MAX($P$708*($B1170+IF($R$17="Distrato",$I$38-1,0)),IF(AND($L$711=0,$P$708=0),"",$L$711-1),IF($R$17="Distrato",$E1170,0)),MIN(AV$38,$D$19),$P$20))-SUM($P1170:AU1170)</f>
        <v>#VALUE!</v>
      </c>
      <c r="AW1170" s="446" t="e">
        <f>IF(OR($B1170="",MIN(AW$38,$D$19)&lt;MAX($P$708*($B1170+IF($R$17="Distrato",$I$38-1,0)),IF(AND($L$711=0,$P$708=0),"",$L$711-1),IF($R$17="Distrato",$E1170,0))),0,YEARFRAC(MAX($P$708*($B1170+IF($R$17="Distrato",$I$38-1,0)),IF(AND($L$711=0,$P$708=0),"",$L$711-1),IF($R$17="Distrato",$E1170,0)),MIN(AW$38,$D$19),$P$20))-SUM($P1170:AV1170)</f>
        <v>#VALUE!</v>
      </c>
      <c r="AX1170" s="446" t="e">
        <f>IF(OR($B1170="",MIN(AX$38,$D$19)&lt;MAX($P$708*($B1170+IF($R$17="Distrato",$I$38-1,0)),IF(AND($L$711=0,$P$708=0),"",$L$711-1),IF($R$17="Distrato",$E1170,0))),0,YEARFRAC(MAX($P$708*($B1170+IF($R$17="Distrato",$I$38-1,0)),IF(AND($L$711=0,$P$708=0),"",$L$711-1),IF($R$17="Distrato",$E1170,0)),MIN(AX$38,$D$19),$P$20))-SUM($P1170:AW1170)</f>
        <v>#VALUE!</v>
      </c>
      <c r="AY1170" s="446" t="e">
        <f>IF(OR($B1170="",MIN(AY$38,$D$19)&lt;MAX($P$708*($B1170+IF($R$17="Distrato",$I$38-1,0)),IF(AND($L$711=0,$P$708=0),"",$L$711-1),IF($R$17="Distrato",$E1170,0))),0,YEARFRAC(MAX($P$708*($B1170+IF($R$17="Distrato",$I$38-1,0)),IF(AND($L$711=0,$P$708=0),"",$L$711-1),IF($R$17="Distrato",$E1170,0)),MIN(AY$38,$D$19),$P$20))-SUM($P1170:AX1170)</f>
        <v>#VALUE!</v>
      </c>
      <c r="AZ1170" s="446" t="e">
        <f>IF(OR($B1170="",MIN(AZ$38,$D$19)&lt;MAX($P$708*($B1170+IF($R$17="Distrato",$I$38-1,0)),IF(AND($L$711=0,$P$708=0),"",$L$711-1),IF($R$17="Distrato",$E1170,0))),0,YEARFRAC(MAX($P$708*($B1170+IF($R$17="Distrato",$I$38-1,0)),IF(AND($L$711=0,$P$708=0),"",$L$711-1),IF($R$17="Distrato",$E1170,0)),MIN(AZ$38,$D$19),$P$20))-SUM($P1170:AY1170)</f>
        <v>#VALUE!</v>
      </c>
      <c r="BA1170" s="446" t="e">
        <f>IF(OR($B1170="",MIN(BA$38,$D$19)&lt;MAX($P$708*($B1170+IF($R$17="Distrato",$I$38-1,0)),IF(AND($L$711=0,$P$708=0),"",$L$711-1),IF($R$17="Distrato",$E1170,0))),0,YEARFRAC(MAX($P$708*($B1170+IF($R$17="Distrato",$I$38-1,0)),IF(AND($L$711=0,$P$708=0),"",$L$711-1),IF($R$17="Distrato",$E1170,0)),MIN(BA$38,$D$19),$P$20))-SUM($P1170:AZ1170)</f>
        <v>#VALUE!</v>
      </c>
      <c r="BB1170" s="447"/>
    </row>
    <row r="1171" spans="1:54" s="446" customFormat="1" ht="11.25" hidden="1" customHeight="1" x14ac:dyDescent="0.2">
      <c r="A1171" s="235"/>
      <c r="B1171" s="236"/>
      <c r="C1171" s="29" t="str">
        <f>IF(B1171="","",IF($L$709=$BL$25,VLOOKUP(DATE(YEAR($D$19),MONTH($D$19)-1,1),ÍNDICES!$A:$DE,HLOOKUP($BL$25,ÍNDICES!$B$3:$T$4,2)+11)-VLOOKUP(B1171,ÍNDICES!$A:$DE,HLOOKUP($BL$25,ÍNDICES!$B$3:$T$4,2)+11)+1%,IF(C$712=$W$26,$J$35,IF(ISERROR(IF(B1171&gt;$D$19,1,VLOOKUP(DATE(YEAR(B1171),MONTH(B1171)+IF($C$709=$S$23,1,0),1),ÍNDICES!$A:$DE,$Z$709+1))),"",IF(B1171&gt;$D$19,1,VLOOKUP(DATE(YEAR(B1171),MONTH(B1171)+IF($C$709=$S$23,1,0),1),ÍNDICES!$A:$DE,$Z$709+1))))))</f>
        <v/>
      </c>
      <c r="D1171" s="155"/>
      <c r="E1171" s="88"/>
      <c r="F1171" s="88"/>
      <c r="G1171" s="88"/>
      <c r="H1171" s="118"/>
      <c r="I1171" s="182">
        <f t="shared" si="164"/>
        <v>0</v>
      </c>
      <c r="J1171" s="20">
        <f t="shared" ca="1" si="165"/>
        <v>0</v>
      </c>
      <c r="K1171" s="5">
        <f t="shared" ca="1" si="166"/>
        <v>0</v>
      </c>
      <c r="L1171" s="61">
        <f t="shared" ca="1" si="167"/>
        <v>0</v>
      </c>
      <c r="M1171" s="64">
        <f t="shared" si="168"/>
        <v>0</v>
      </c>
      <c r="N1171" s="151"/>
      <c r="O1171" s="5">
        <f t="shared" ca="1" si="169"/>
        <v>0</v>
      </c>
      <c r="P1171" s="446" t="e">
        <f t="shared" si="170"/>
        <v>#VALUE!</v>
      </c>
      <c r="Q1171" s="446" t="e">
        <f>IF(OR($B1171="",MIN(Q$38,$D$19)&lt;MAX($P$708*($B1171+IF($R$17="Distrato",$I$38-1,0)),IF(AND($L$711=0,$P$708=0),"",$L$711-1),IF($R$17="Distrato",$E1171,0))),0,YEARFRAC(MAX($P$708*($B1171+IF($R$17="Distrato",$I$38-1,0)),IF(AND($L$711=0,$P$708=0),"",$L$711-1),IF($R$17="Distrato",$E1171,0)),MIN(Q$38,$D$19),$P$20))-SUM($P1171:P1171)</f>
        <v>#VALUE!</v>
      </c>
      <c r="R1171" s="446" t="e">
        <f>IF(OR($B1171="",MIN(R$38,$D$19)&lt;MAX($P$708*($B1171+IF($R$17="Distrato",$I$38-1,0)),IF(AND($L$711=0,$P$708=0),"",$L$711-1),IF($R$17="Distrato",$E1171,0))),0,YEARFRAC(MAX($P$708*($B1171+IF($R$17="Distrato",$I$38-1,0)),IF(AND($L$711=0,$P$708=0),"",$L$711-1),IF($R$17="Distrato",$E1171,0)),MIN(R$38,$D$19),$P$20))-SUM($P1171:Q1171)</f>
        <v>#VALUE!</v>
      </c>
      <c r="S1171" s="446" t="e">
        <f>IF(OR($B1171="",MIN(S$38,$D$19)&lt;MAX($P$708*($B1171+IF($R$17="Distrato",$I$38-1,0)),IF(AND($L$711=0,$P$708=0),"",$L$711-1),IF($R$17="Distrato",$E1171,0))),0,YEARFRAC(MAX($P$708*($B1171+IF($R$17="Distrato",$I$38-1,0)),IF(AND($L$711=0,$P$708=0),"",$L$711-1),IF($R$17="Distrato",$E1171,0)),MIN(S$38,$D$19),$P$20))-SUM($P1171:R1171)</f>
        <v>#VALUE!</v>
      </c>
      <c r="T1171" s="446" t="e">
        <f>IF(OR($B1171="",MIN(T$38,$D$19)&lt;MAX($P$708*($B1171+IF($R$17="Distrato",$I$38-1,0)),IF(AND($L$711=0,$P$708=0),"",$L$711-1),IF($R$17="Distrato",$E1171,0))),0,YEARFRAC(MAX($P$708*($B1171+IF($R$17="Distrato",$I$38-1,0)),IF(AND($L$711=0,$P$708=0),"",$L$711-1),IF($R$17="Distrato",$E1171,0)),MIN(T$38,$D$19),$P$20))-SUM($P1171:S1171)</f>
        <v>#VALUE!</v>
      </c>
      <c r="U1171" s="446" t="e">
        <f>IF(OR($B1171="",MIN(U$38,$D$19)&lt;MAX($P$708*($B1171+IF($R$17="Distrato",$I$38-1,0)),IF(AND($L$711=0,$P$708=0),"",$L$711-1),IF($R$17="Distrato",$E1171,0))),0,YEARFRAC(MAX($P$708*($B1171+IF($R$17="Distrato",$I$38-1,0)),IF(AND($L$711=0,$P$708=0),"",$L$711-1),IF($R$17="Distrato",$E1171,0)),MIN(U$38,$D$19),$P$20))-SUM($P1171:T1171)</f>
        <v>#VALUE!</v>
      </c>
      <c r="V1171" s="446" t="e">
        <f>IF(OR($B1171="",MIN(V$38,$D$19)&lt;MAX($P$708*($B1171+IF($R$17="Distrato",$I$38-1,0)),IF(AND($L$711=0,$P$708=0),"",$L$711-1),IF($R$17="Distrato",$E1171,0))),0,YEARFRAC(MAX($P$708*($B1171+IF($R$17="Distrato",$I$38-1,0)),IF(AND($L$711=0,$P$708=0),"",$L$711-1),IF($R$17="Distrato",$E1171,0)),MIN(V$38,$D$19),$P$20))-SUM($P1171:U1171)</f>
        <v>#VALUE!</v>
      </c>
      <c r="W1171" s="446" t="e">
        <f>IF(OR($B1171="",MIN(W$38,$D$19)&lt;MAX($P$708*($B1171+IF($R$17="Distrato",$I$38-1,0)),IF(AND($L$711=0,$P$708=0),"",$L$711-1),IF($R$17="Distrato",$E1171,0))),0,YEARFRAC(MAX($P$708*($B1171+IF($R$17="Distrato",$I$38-1,0)),IF(AND($L$711=0,$P$708=0),"",$L$711-1),IF($R$17="Distrato",$E1171,0)),MIN(W$38,$D$19),$P$20))-SUM($P1171:V1171)</f>
        <v>#VALUE!</v>
      </c>
      <c r="X1171" s="446" t="e">
        <f>IF(OR($B1171="",MIN(X$38,$D$19)&lt;MAX($P$708*($B1171+IF($R$17="Distrato",$I$38-1,0)),IF(AND($L$711=0,$P$708=0),"",$L$711-1),IF($R$17="Distrato",$E1171,0))),0,YEARFRAC(MAX($P$708*($B1171+IF($R$17="Distrato",$I$38-1,0)),IF(AND($L$711=0,$P$708=0),"",$L$711-1),IF($R$17="Distrato",$E1171,0)),MIN(X$38,$D$19),$P$20))-SUM($P1171:W1171)</f>
        <v>#VALUE!</v>
      </c>
      <c r="Y1171" s="446" t="e">
        <f>IF(OR($B1171="",MIN(Y$38,$D$19)&lt;MAX($P$708*($B1171+IF($R$17="Distrato",$I$38-1,0)),IF(AND($L$711=0,$P$708=0),"",$L$711-1),IF($R$17="Distrato",$E1171,0))),0,YEARFRAC(MAX($P$708*($B1171+IF($R$17="Distrato",$I$38-1,0)),IF(AND($L$711=0,$P$708=0),"",$L$711-1),IF($R$17="Distrato",$E1171,0)),MIN(Y$38,$D$19),$P$20))-SUM($P1171:X1171)</f>
        <v>#VALUE!</v>
      </c>
      <c r="Z1171" s="446" t="e">
        <f>IF(OR($B1171="",MIN(Z$38,$D$19)&lt;MAX($P$708*($B1171+IF($R$17="Distrato",$I$38-1,0)),IF(AND($L$711=0,$P$708=0),"",$L$711-1),IF($R$17="Distrato",$E1171,0))),0,YEARFRAC(MAX($P$708*($B1171+IF($R$17="Distrato",$I$38-1,0)),IF(AND($L$711=0,$P$708=0),"",$L$711-1),IF($R$17="Distrato",$E1171,0)),MIN(Z$38,$D$19),$P$20))-SUM($P1171:Y1171)</f>
        <v>#VALUE!</v>
      </c>
      <c r="AA1171" s="446" t="e">
        <f>IF(OR($B1171="",MIN(AA$38,$D$19)&lt;MAX($P$708*($B1171+IF($R$17="Distrato",$I$38-1,0)),IF(AND($L$711=0,$P$708=0),"",$L$711-1),IF($R$17="Distrato",$E1171,0))),0,YEARFRAC(MAX($P$708*($B1171+IF($R$17="Distrato",$I$38-1,0)),IF(AND($L$711=0,$P$708=0),"",$L$711-1),IF($R$17="Distrato",$E1171,0)),MIN(AA$38,$D$19),$P$20))-SUM($P1171:Z1171)</f>
        <v>#VALUE!</v>
      </c>
      <c r="AB1171" s="446" t="e">
        <f>IF(OR($B1171="",MIN(AB$38,$D$19)&lt;MAX($P$708*($B1171+IF($R$17="Distrato",$I$38-1,0)),IF(AND($L$711=0,$P$708=0),"",$L$711-1),IF($R$17="Distrato",$E1171,0))),0,YEARFRAC(MAX($P$708*($B1171+IF($R$17="Distrato",$I$38-1,0)),IF(AND($L$711=0,$P$708=0),"",$L$711-1),IF($R$17="Distrato",$E1171,0)),MIN(AB$38,$D$19),$P$20))-SUM($P1171:AA1171)</f>
        <v>#VALUE!</v>
      </c>
      <c r="AC1171" s="446" t="e">
        <f>IF(OR($B1171="",MIN(AC$38,$D$19)&lt;MAX($P$708*($B1171+IF($R$17="Distrato",$I$38-1,0)),IF(AND($L$711=0,$P$708=0),"",$L$711-1),IF($R$17="Distrato",$E1171,0))),0,YEARFRAC(MAX($P$708*($B1171+IF($R$17="Distrato",$I$38-1,0)),IF(AND($L$711=0,$P$708=0),"",$L$711-1),IF($R$17="Distrato",$E1171,0)),MIN(AC$38,$D$19),$P$20))-SUM($P1171:AB1171)</f>
        <v>#VALUE!</v>
      </c>
      <c r="AD1171" s="446" t="e">
        <f>IF(OR($B1171="",MIN(AD$38,$D$19)&lt;MAX($P$708*($B1171+IF($R$17="Distrato",$I$38-1,0)),IF(AND($L$711=0,$P$708=0),"",$L$711-1),IF($R$17="Distrato",$E1171,0))),0,YEARFRAC(MAX($P$708*($B1171+IF($R$17="Distrato",$I$38-1,0)),IF(AND($L$711=0,$P$708=0),"",$L$711-1),IF($R$17="Distrato",$E1171,0)),MIN(AD$38,$D$19),$P$20))-SUM($P1171:AC1171)</f>
        <v>#VALUE!</v>
      </c>
      <c r="AE1171" s="446" t="e">
        <f>IF(OR($B1171="",MIN(AE$38,$D$19)&lt;MAX($P$708*($B1171+IF($R$17="Distrato",$I$38-1,0)),IF(AND($L$711=0,$P$708=0),"",$L$711-1),IF($R$17="Distrato",$E1171,0))),0,YEARFRAC(MAX($P$708*($B1171+IF($R$17="Distrato",$I$38-1,0)),IF(AND($L$711=0,$P$708=0),"",$L$711-1),IF($R$17="Distrato",$E1171,0)),MIN(AE$38,$D$19),$P$20))-SUM($P1171:AD1171)</f>
        <v>#VALUE!</v>
      </c>
      <c r="AF1171" s="446" t="e">
        <f>IF(OR($B1171="",MIN(AF$38,$D$19)&lt;MAX($P$708*($B1171+IF($R$17="Distrato",$I$38-1,0)),IF(AND($L$711=0,$P$708=0),"",$L$711-1),IF($R$17="Distrato",$E1171,0))),0,YEARFRAC(MAX($P$708*($B1171+IF($R$17="Distrato",$I$38-1,0)),IF(AND($L$711=0,$P$708=0),"",$L$711-1),IF($R$17="Distrato",$E1171,0)),MIN(AF$38,$D$19),$P$20))-SUM($P1171:AE1171)</f>
        <v>#VALUE!</v>
      </c>
      <c r="AG1171" s="446" t="e">
        <f>IF(OR($B1171="",MIN(AG$38,$D$19)&lt;MAX($P$708*($B1171+IF($R$17="Distrato",$I$38-1,0)),IF(AND($L$711=0,$P$708=0),"",$L$711-1),IF($R$17="Distrato",$E1171,0))),0,YEARFRAC(MAX($P$708*($B1171+IF($R$17="Distrato",$I$38-1,0)),IF(AND($L$711=0,$P$708=0),"",$L$711-1),IF($R$17="Distrato",$E1171,0)),MIN(AG$38,$D$19),$P$20))-SUM($P1171:AF1171)</f>
        <v>#VALUE!</v>
      </c>
      <c r="AH1171" s="446" t="e">
        <f>IF(OR($B1171="",MIN(AH$38,$D$19)&lt;MAX($P$708*($B1171+IF($R$17="Distrato",$I$38-1,0)),IF(AND($L$711=0,$P$708=0),"",$L$711-1),IF($R$17="Distrato",$E1171,0))),0,YEARFRAC(MAX($P$708*($B1171+IF($R$17="Distrato",$I$38-1,0)),IF(AND($L$711=0,$P$708=0),"",$L$711-1),IF($R$17="Distrato",$E1171,0)),MIN(AH$38,$D$19),$P$20))-SUM($P1171:AG1171)</f>
        <v>#VALUE!</v>
      </c>
      <c r="AI1171" s="446" t="e">
        <f>IF(OR($B1171="",MIN(AI$38,$D$19)&lt;MAX($P$708*($B1171+IF($R$17="Distrato",$I$38-1,0)),IF(AND($L$711=0,$P$708=0),"",$L$711-1),IF($R$17="Distrato",$E1171,0))),0,YEARFRAC(MAX($P$708*($B1171+IF($R$17="Distrato",$I$38-1,0)),IF(AND($L$711=0,$P$708=0),"",$L$711-1),IF($R$17="Distrato",$E1171,0)),MIN(AI$38,$D$19),$P$20))-SUM($P1171:AH1171)</f>
        <v>#VALUE!</v>
      </c>
      <c r="AJ1171" s="446" t="e">
        <f>IF(OR($B1171="",MIN(AJ$38,$D$19)&lt;MAX($P$708*($B1171+IF($R$17="Distrato",$I$38-1,0)),IF(AND($L$711=0,$P$708=0),"",$L$711-1),IF($R$17="Distrato",$E1171,0))),0,YEARFRAC(MAX($P$708*($B1171+IF($R$17="Distrato",$I$38-1,0)),IF(AND($L$711=0,$P$708=0),"",$L$711-1),IF($R$17="Distrato",$E1171,0)),MIN(AJ$38,$D$19),$P$20))-SUM($P1171:AI1171)</f>
        <v>#VALUE!</v>
      </c>
      <c r="AK1171" s="446" t="e">
        <f>IF(OR($B1171="",MIN(AK$38,$D$19)&lt;MAX($P$708*($B1171+IF($R$17="Distrato",$I$38-1,0)),IF(AND($L$711=0,$P$708=0),"",$L$711-1),IF($R$17="Distrato",$E1171,0))),0,YEARFRAC(MAX($P$708*($B1171+IF($R$17="Distrato",$I$38-1,0)),IF(AND($L$711=0,$P$708=0),"",$L$711-1),IF($R$17="Distrato",$E1171,0)),MIN(AK$38,$D$19),$P$20))-SUM($P1171:AJ1171)</f>
        <v>#VALUE!</v>
      </c>
      <c r="AL1171" s="446" t="e">
        <f>IF(OR($B1171="",MIN(AL$38,$D$19)&lt;MAX($P$708*($B1171+IF($R$17="Distrato",$I$38-1,0)),IF(AND($L$711=0,$P$708=0),"",$L$711-1),IF($R$17="Distrato",$E1171,0))),0,YEARFRAC(MAX($P$708*($B1171+IF($R$17="Distrato",$I$38-1,0)),IF(AND($L$711=0,$P$708=0),"",$L$711-1),IF($R$17="Distrato",$E1171,0)),MIN(AL$38,$D$19),$P$20))-SUM($P1171:AK1171)</f>
        <v>#VALUE!</v>
      </c>
      <c r="AM1171" s="446" t="e">
        <f>IF(OR($B1171="",MIN(AM$38,$D$19)&lt;MAX($P$708*($B1171+IF($R$17="Distrato",$I$38-1,0)),IF(AND($L$711=0,$P$708=0),"",$L$711-1),IF($R$17="Distrato",$E1171,0))),0,YEARFRAC(MAX($P$708*($B1171+IF($R$17="Distrato",$I$38-1,0)),IF(AND($L$711=0,$P$708=0),"",$L$711-1),IF($R$17="Distrato",$E1171,0)),MIN(AM$38,$D$19),$P$20))-SUM($P1171:AL1171)</f>
        <v>#VALUE!</v>
      </c>
      <c r="AN1171" s="446" t="e">
        <f>IF(OR($B1171="",MIN(AN$38,$D$19)&lt;MAX($P$708*($B1171+IF($R$17="Distrato",$I$38-1,0)),IF(AND($L$711=0,$P$708=0),"",$L$711-1),IF($R$17="Distrato",$E1171,0))),0,YEARFRAC(MAX($P$708*($B1171+IF($R$17="Distrato",$I$38-1,0)),IF(AND($L$711=0,$P$708=0),"",$L$711-1),IF($R$17="Distrato",$E1171,0)),MIN(AN$38,$D$19),$P$20))-SUM($P1171:AM1171)</f>
        <v>#VALUE!</v>
      </c>
      <c r="AO1171" s="446" t="e">
        <f>IF(OR($B1171="",MIN(AO$38,$D$19)&lt;MAX($P$708*($B1171+IF($R$17="Distrato",$I$38-1,0)),IF(AND($L$711=0,$P$708=0),"",$L$711-1),IF($R$17="Distrato",$E1171,0))),0,YEARFRAC(MAX($P$708*($B1171+IF($R$17="Distrato",$I$38-1,0)),IF(AND($L$711=0,$P$708=0),"",$L$711-1),IF($R$17="Distrato",$E1171,0)),MIN(AO$38,$D$19),$P$20))-SUM($P1171:AN1171)</f>
        <v>#VALUE!</v>
      </c>
      <c r="AP1171" s="446" t="e">
        <f>IF(OR($B1171="",MIN(AP$38,$D$19)&lt;MAX($P$708*($B1171+IF($R$17="Distrato",$I$38-1,0)),IF(AND($L$711=0,$P$708=0),"",$L$711-1),IF($R$17="Distrato",$E1171,0))),0,YEARFRAC(MAX($P$708*($B1171+IF($R$17="Distrato",$I$38-1,0)),IF(AND($L$711=0,$P$708=0),"",$L$711-1),IF($R$17="Distrato",$E1171,0)),MIN(AP$38,$D$19),$P$20))-SUM($P1171:AO1171)</f>
        <v>#VALUE!</v>
      </c>
      <c r="AQ1171" s="446" t="e">
        <f>IF(OR($B1171="",MIN(AQ$38,$D$19)&lt;MAX($P$708*($B1171+IF($R$17="Distrato",$I$38-1,0)),IF(AND($L$711=0,$P$708=0),"",$L$711-1),IF($R$17="Distrato",$E1171,0))),0,YEARFRAC(MAX($P$708*($B1171+IF($R$17="Distrato",$I$38-1,0)),IF(AND($L$711=0,$P$708=0),"",$L$711-1),IF($R$17="Distrato",$E1171,0)),MIN(AQ$38,$D$19),$P$20))-SUM($P1171:AP1171)</f>
        <v>#VALUE!</v>
      </c>
      <c r="AR1171" s="446" t="e">
        <f>IF(OR($B1171="",MIN(AR$38,$D$19)&lt;MAX($P$708*($B1171+IF($R$17="Distrato",$I$38-1,0)),IF(AND($L$711=0,$P$708=0),"",$L$711-1),IF($R$17="Distrato",$E1171,0))),0,YEARFRAC(MAX($P$708*($B1171+IF($R$17="Distrato",$I$38-1,0)),IF(AND($L$711=0,$P$708=0),"",$L$711-1),IF($R$17="Distrato",$E1171,0)),MIN(AR$38,$D$19),$P$20))-SUM($P1171:AQ1171)</f>
        <v>#VALUE!</v>
      </c>
      <c r="AS1171" s="446" t="e">
        <f>IF(OR($B1171="",MIN(AS$38,$D$19)&lt;MAX($P$708*($B1171+IF($R$17="Distrato",$I$38-1,0)),IF(AND($L$711=0,$P$708=0),"",$L$711-1),IF($R$17="Distrato",$E1171,0))),0,YEARFRAC(MAX($P$708*($B1171+IF($R$17="Distrato",$I$38-1,0)),IF(AND($L$711=0,$P$708=0),"",$L$711-1),IF($R$17="Distrato",$E1171,0)),MIN(AS$38,$D$19),$P$20))-SUM($P1171:AR1171)</f>
        <v>#VALUE!</v>
      </c>
      <c r="AT1171" s="446" t="e">
        <f>IF(OR($B1171="",MIN(AT$38,$D$19)&lt;MAX($P$708*($B1171+IF($R$17="Distrato",$I$38-1,0)),IF(AND($L$711=0,$P$708=0),"",$L$711-1),IF($R$17="Distrato",$E1171,0))),0,YEARFRAC(MAX($P$708*($B1171+IF($R$17="Distrato",$I$38-1,0)),IF(AND($L$711=0,$P$708=0),"",$L$711-1),IF($R$17="Distrato",$E1171,0)),MIN(AT$38,$D$19),$P$20))-SUM($P1171:AS1171)</f>
        <v>#VALUE!</v>
      </c>
      <c r="AU1171" s="446" t="e">
        <f>IF(OR($B1171="",MIN(AU$38,$D$19)&lt;MAX($P$708*($B1171+IF($R$17="Distrato",$I$38-1,0)),IF(AND($L$711=0,$P$708=0),"",$L$711-1),IF($R$17="Distrato",$E1171,0))),0,YEARFRAC(MAX($P$708*($B1171+IF($R$17="Distrato",$I$38-1,0)),IF(AND($L$711=0,$P$708=0),"",$L$711-1),IF($R$17="Distrato",$E1171,0)),MIN(AU$38,$D$19),$P$20))-SUM($P1171:AT1171)</f>
        <v>#VALUE!</v>
      </c>
      <c r="AV1171" s="446" t="e">
        <f>IF(OR($B1171="",MIN(AV$38,$D$19)&lt;MAX($P$708*($B1171+IF($R$17="Distrato",$I$38-1,0)),IF(AND($L$711=0,$P$708=0),"",$L$711-1),IF($R$17="Distrato",$E1171,0))),0,YEARFRAC(MAX($P$708*($B1171+IF($R$17="Distrato",$I$38-1,0)),IF(AND($L$711=0,$P$708=0),"",$L$711-1),IF($R$17="Distrato",$E1171,0)),MIN(AV$38,$D$19),$P$20))-SUM($P1171:AU1171)</f>
        <v>#VALUE!</v>
      </c>
      <c r="AW1171" s="446" t="e">
        <f>IF(OR($B1171="",MIN(AW$38,$D$19)&lt;MAX($P$708*($B1171+IF($R$17="Distrato",$I$38-1,0)),IF(AND($L$711=0,$P$708=0),"",$L$711-1),IF($R$17="Distrato",$E1171,0))),0,YEARFRAC(MAX($P$708*($B1171+IF($R$17="Distrato",$I$38-1,0)),IF(AND($L$711=0,$P$708=0),"",$L$711-1),IF($R$17="Distrato",$E1171,0)),MIN(AW$38,$D$19),$P$20))-SUM($P1171:AV1171)</f>
        <v>#VALUE!</v>
      </c>
      <c r="AX1171" s="446" t="e">
        <f>IF(OR($B1171="",MIN(AX$38,$D$19)&lt;MAX($P$708*($B1171+IF($R$17="Distrato",$I$38-1,0)),IF(AND($L$711=0,$P$708=0),"",$L$711-1),IF($R$17="Distrato",$E1171,0))),0,YEARFRAC(MAX($P$708*($B1171+IF($R$17="Distrato",$I$38-1,0)),IF(AND($L$711=0,$P$708=0),"",$L$711-1),IF($R$17="Distrato",$E1171,0)),MIN(AX$38,$D$19),$P$20))-SUM($P1171:AW1171)</f>
        <v>#VALUE!</v>
      </c>
      <c r="AY1171" s="446" t="e">
        <f>IF(OR($B1171="",MIN(AY$38,$D$19)&lt;MAX($P$708*($B1171+IF($R$17="Distrato",$I$38-1,0)),IF(AND($L$711=0,$P$708=0),"",$L$711-1),IF($R$17="Distrato",$E1171,0))),0,YEARFRAC(MAX($P$708*($B1171+IF($R$17="Distrato",$I$38-1,0)),IF(AND($L$711=0,$P$708=0),"",$L$711-1),IF($R$17="Distrato",$E1171,0)),MIN(AY$38,$D$19),$P$20))-SUM($P1171:AX1171)</f>
        <v>#VALUE!</v>
      </c>
      <c r="AZ1171" s="446" t="e">
        <f>IF(OR($B1171="",MIN(AZ$38,$D$19)&lt;MAX($P$708*($B1171+IF($R$17="Distrato",$I$38-1,0)),IF(AND($L$711=0,$P$708=0),"",$L$711-1),IF($R$17="Distrato",$E1171,0))),0,YEARFRAC(MAX($P$708*($B1171+IF($R$17="Distrato",$I$38-1,0)),IF(AND($L$711=0,$P$708=0),"",$L$711-1),IF($R$17="Distrato",$E1171,0)),MIN(AZ$38,$D$19),$P$20))-SUM($P1171:AY1171)</f>
        <v>#VALUE!</v>
      </c>
      <c r="BA1171" s="446" t="e">
        <f>IF(OR($B1171="",MIN(BA$38,$D$19)&lt;MAX($P$708*($B1171+IF($R$17="Distrato",$I$38-1,0)),IF(AND($L$711=0,$P$708=0),"",$L$711-1),IF($R$17="Distrato",$E1171,0))),0,YEARFRAC(MAX($P$708*($B1171+IF($R$17="Distrato",$I$38-1,0)),IF(AND($L$711=0,$P$708=0),"",$L$711-1),IF($R$17="Distrato",$E1171,0)),MIN(BA$38,$D$19),$P$20))-SUM($P1171:AZ1171)</f>
        <v>#VALUE!</v>
      </c>
      <c r="BB1171" s="447"/>
    </row>
    <row r="1172" spans="1:54" s="446" customFormat="1" ht="11.25" hidden="1" customHeight="1" x14ac:dyDescent="0.2">
      <c r="A1172" s="235"/>
      <c r="B1172" s="236"/>
      <c r="C1172" s="29" t="str">
        <f>IF(B1172="","",IF($L$709=$BL$25,VLOOKUP(DATE(YEAR($D$19),MONTH($D$19)-1,1),ÍNDICES!$A:$DE,HLOOKUP($BL$25,ÍNDICES!$B$3:$T$4,2)+11)-VLOOKUP(B1172,ÍNDICES!$A:$DE,HLOOKUP($BL$25,ÍNDICES!$B$3:$T$4,2)+11)+1%,IF(C$712=$W$26,$J$35,IF(ISERROR(IF(B1172&gt;$D$19,1,VLOOKUP(DATE(YEAR(B1172),MONTH(B1172)+IF($C$709=$S$23,1,0),1),ÍNDICES!$A:$DE,$Z$709+1))),"",IF(B1172&gt;$D$19,1,VLOOKUP(DATE(YEAR(B1172),MONTH(B1172)+IF($C$709=$S$23,1,0),1),ÍNDICES!$A:$DE,$Z$709+1))))))</f>
        <v/>
      </c>
      <c r="D1172" s="155"/>
      <c r="E1172" s="88"/>
      <c r="F1172" s="88"/>
      <c r="G1172" s="88"/>
      <c r="H1172" s="118"/>
      <c r="I1172" s="182">
        <f t="shared" si="164"/>
        <v>0</v>
      </c>
      <c r="J1172" s="20">
        <f t="shared" ca="1" si="165"/>
        <v>0</v>
      </c>
      <c r="K1172" s="5">
        <f t="shared" ca="1" si="166"/>
        <v>0</v>
      </c>
      <c r="L1172" s="61">
        <f t="shared" ca="1" si="167"/>
        <v>0</v>
      </c>
      <c r="M1172" s="64">
        <f t="shared" si="168"/>
        <v>0</v>
      </c>
      <c r="N1172" s="151"/>
      <c r="O1172" s="5">
        <f t="shared" ca="1" si="169"/>
        <v>0</v>
      </c>
      <c r="P1172" s="446" t="e">
        <f t="shared" si="170"/>
        <v>#VALUE!</v>
      </c>
      <c r="Q1172" s="446" t="e">
        <f>IF(OR($B1172="",MIN(Q$38,$D$19)&lt;MAX($P$708*($B1172+IF($R$17="Distrato",$I$38-1,0)),IF(AND($L$711=0,$P$708=0),"",$L$711-1),IF($R$17="Distrato",$E1172,0))),0,YEARFRAC(MAX($P$708*($B1172+IF($R$17="Distrato",$I$38-1,0)),IF(AND($L$711=0,$P$708=0),"",$L$711-1),IF($R$17="Distrato",$E1172,0)),MIN(Q$38,$D$19),$P$20))-SUM($P1172:P1172)</f>
        <v>#VALUE!</v>
      </c>
      <c r="R1172" s="446" t="e">
        <f>IF(OR($B1172="",MIN(R$38,$D$19)&lt;MAX($P$708*($B1172+IF($R$17="Distrato",$I$38-1,0)),IF(AND($L$711=0,$P$708=0),"",$L$711-1),IF($R$17="Distrato",$E1172,0))),0,YEARFRAC(MAX($P$708*($B1172+IF($R$17="Distrato",$I$38-1,0)),IF(AND($L$711=0,$P$708=0),"",$L$711-1),IF($R$17="Distrato",$E1172,0)),MIN(R$38,$D$19),$P$20))-SUM($P1172:Q1172)</f>
        <v>#VALUE!</v>
      </c>
      <c r="S1172" s="446" t="e">
        <f>IF(OR($B1172="",MIN(S$38,$D$19)&lt;MAX($P$708*($B1172+IF($R$17="Distrato",$I$38-1,0)),IF(AND($L$711=0,$P$708=0),"",$L$711-1),IF($R$17="Distrato",$E1172,0))),0,YEARFRAC(MAX($P$708*($B1172+IF($R$17="Distrato",$I$38-1,0)),IF(AND($L$711=0,$P$708=0),"",$L$711-1),IF($R$17="Distrato",$E1172,0)),MIN(S$38,$D$19),$P$20))-SUM($P1172:R1172)</f>
        <v>#VALUE!</v>
      </c>
      <c r="T1172" s="446" t="e">
        <f>IF(OR($B1172="",MIN(T$38,$D$19)&lt;MAX($P$708*($B1172+IF($R$17="Distrato",$I$38-1,0)),IF(AND($L$711=0,$P$708=0),"",$L$711-1),IF($R$17="Distrato",$E1172,0))),0,YEARFRAC(MAX($P$708*($B1172+IF($R$17="Distrato",$I$38-1,0)),IF(AND($L$711=0,$P$708=0),"",$L$711-1),IF($R$17="Distrato",$E1172,0)),MIN(T$38,$D$19),$P$20))-SUM($P1172:S1172)</f>
        <v>#VALUE!</v>
      </c>
      <c r="U1172" s="446" t="e">
        <f>IF(OR($B1172="",MIN(U$38,$D$19)&lt;MAX($P$708*($B1172+IF($R$17="Distrato",$I$38-1,0)),IF(AND($L$711=0,$P$708=0),"",$L$711-1),IF($R$17="Distrato",$E1172,0))),0,YEARFRAC(MAX($P$708*($B1172+IF($R$17="Distrato",$I$38-1,0)),IF(AND($L$711=0,$P$708=0),"",$L$711-1),IF($R$17="Distrato",$E1172,0)),MIN(U$38,$D$19),$P$20))-SUM($P1172:T1172)</f>
        <v>#VALUE!</v>
      </c>
      <c r="V1172" s="446" t="e">
        <f>IF(OR($B1172="",MIN(V$38,$D$19)&lt;MAX($P$708*($B1172+IF($R$17="Distrato",$I$38-1,0)),IF(AND($L$711=0,$P$708=0),"",$L$711-1),IF($R$17="Distrato",$E1172,0))),0,YEARFRAC(MAX($P$708*($B1172+IF($R$17="Distrato",$I$38-1,0)),IF(AND($L$711=0,$P$708=0),"",$L$711-1),IF($R$17="Distrato",$E1172,0)),MIN(V$38,$D$19),$P$20))-SUM($P1172:U1172)</f>
        <v>#VALUE!</v>
      </c>
      <c r="W1172" s="446" t="e">
        <f>IF(OR($B1172="",MIN(W$38,$D$19)&lt;MAX($P$708*($B1172+IF($R$17="Distrato",$I$38-1,0)),IF(AND($L$711=0,$P$708=0),"",$L$711-1),IF($R$17="Distrato",$E1172,0))),0,YEARFRAC(MAX($P$708*($B1172+IF($R$17="Distrato",$I$38-1,0)),IF(AND($L$711=0,$P$708=0),"",$L$711-1),IF($R$17="Distrato",$E1172,0)),MIN(W$38,$D$19),$P$20))-SUM($P1172:V1172)</f>
        <v>#VALUE!</v>
      </c>
      <c r="X1172" s="446" t="e">
        <f>IF(OR($B1172="",MIN(X$38,$D$19)&lt;MAX($P$708*($B1172+IF($R$17="Distrato",$I$38-1,0)),IF(AND($L$711=0,$P$708=0),"",$L$711-1),IF($R$17="Distrato",$E1172,0))),0,YEARFRAC(MAX($P$708*($B1172+IF($R$17="Distrato",$I$38-1,0)),IF(AND($L$711=0,$P$708=0),"",$L$711-1),IF($R$17="Distrato",$E1172,0)),MIN(X$38,$D$19),$P$20))-SUM($P1172:W1172)</f>
        <v>#VALUE!</v>
      </c>
      <c r="Y1172" s="446" t="e">
        <f>IF(OR($B1172="",MIN(Y$38,$D$19)&lt;MAX($P$708*($B1172+IF($R$17="Distrato",$I$38-1,0)),IF(AND($L$711=0,$P$708=0),"",$L$711-1),IF($R$17="Distrato",$E1172,0))),0,YEARFRAC(MAX($P$708*($B1172+IF($R$17="Distrato",$I$38-1,0)),IF(AND($L$711=0,$P$708=0),"",$L$711-1),IF($R$17="Distrato",$E1172,0)),MIN(Y$38,$D$19),$P$20))-SUM($P1172:X1172)</f>
        <v>#VALUE!</v>
      </c>
      <c r="Z1172" s="446" t="e">
        <f>IF(OR($B1172="",MIN(Z$38,$D$19)&lt;MAX($P$708*($B1172+IF($R$17="Distrato",$I$38-1,0)),IF(AND($L$711=0,$P$708=0),"",$L$711-1),IF($R$17="Distrato",$E1172,0))),0,YEARFRAC(MAX($P$708*($B1172+IF($R$17="Distrato",$I$38-1,0)),IF(AND($L$711=0,$P$708=0),"",$L$711-1),IF($R$17="Distrato",$E1172,0)),MIN(Z$38,$D$19),$P$20))-SUM($P1172:Y1172)</f>
        <v>#VALUE!</v>
      </c>
      <c r="AA1172" s="446" t="e">
        <f>IF(OR($B1172="",MIN(AA$38,$D$19)&lt;MAX($P$708*($B1172+IF($R$17="Distrato",$I$38-1,0)),IF(AND($L$711=0,$P$708=0),"",$L$711-1),IF($R$17="Distrato",$E1172,0))),0,YEARFRAC(MAX($P$708*($B1172+IF($R$17="Distrato",$I$38-1,0)),IF(AND($L$711=0,$P$708=0),"",$L$711-1),IF($R$17="Distrato",$E1172,0)),MIN(AA$38,$D$19),$P$20))-SUM($P1172:Z1172)</f>
        <v>#VALUE!</v>
      </c>
      <c r="AB1172" s="446" t="e">
        <f>IF(OR($B1172="",MIN(AB$38,$D$19)&lt;MAX($P$708*($B1172+IF($R$17="Distrato",$I$38-1,0)),IF(AND($L$711=0,$P$708=0),"",$L$711-1),IF($R$17="Distrato",$E1172,0))),0,YEARFRAC(MAX($P$708*($B1172+IF($R$17="Distrato",$I$38-1,0)),IF(AND($L$711=0,$P$708=0),"",$L$711-1),IF($R$17="Distrato",$E1172,0)),MIN(AB$38,$D$19),$P$20))-SUM($P1172:AA1172)</f>
        <v>#VALUE!</v>
      </c>
      <c r="AC1172" s="446" t="e">
        <f>IF(OR($B1172="",MIN(AC$38,$D$19)&lt;MAX($P$708*($B1172+IF($R$17="Distrato",$I$38-1,0)),IF(AND($L$711=0,$P$708=0),"",$L$711-1),IF($R$17="Distrato",$E1172,0))),0,YEARFRAC(MAX($P$708*($B1172+IF($R$17="Distrato",$I$38-1,0)),IF(AND($L$711=0,$P$708=0),"",$L$711-1),IF($R$17="Distrato",$E1172,0)),MIN(AC$38,$D$19),$P$20))-SUM($P1172:AB1172)</f>
        <v>#VALUE!</v>
      </c>
      <c r="AD1172" s="446" t="e">
        <f>IF(OR($B1172="",MIN(AD$38,$D$19)&lt;MAX($P$708*($B1172+IF($R$17="Distrato",$I$38-1,0)),IF(AND($L$711=0,$P$708=0),"",$L$711-1),IF($R$17="Distrato",$E1172,0))),0,YEARFRAC(MAX($P$708*($B1172+IF($R$17="Distrato",$I$38-1,0)),IF(AND($L$711=0,$P$708=0),"",$L$711-1),IF($R$17="Distrato",$E1172,0)),MIN(AD$38,$D$19),$P$20))-SUM($P1172:AC1172)</f>
        <v>#VALUE!</v>
      </c>
      <c r="AE1172" s="446" t="e">
        <f>IF(OR($B1172="",MIN(AE$38,$D$19)&lt;MAX($P$708*($B1172+IF($R$17="Distrato",$I$38-1,0)),IF(AND($L$711=0,$P$708=0),"",$L$711-1),IF($R$17="Distrato",$E1172,0))),0,YEARFRAC(MAX($P$708*($B1172+IF($R$17="Distrato",$I$38-1,0)),IF(AND($L$711=0,$P$708=0),"",$L$711-1),IF($R$17="Distrato",$E1172,0)),MIN(AE$38,$D$19),$P$20))-SUM($P1172:AD1172)</f>
        <v>#VALUE!</v>
      </c>
      <c r="AF1172" s="446" t="e">
        <f>IF(OR($B1172="",MIN(AF$38,$D$19)&lt;MAX($P$708*($B1172+IF($R$17="Distrato",$I$38-1,0)),IF(AND($L$711=0,$P$708=0),"",$L$711-1),IF($R$17="Distrato",$E1172,0))),0,YEARFRAC(MAX($P$708*($B1172+IF($R$17="Distrato",$I$38-1,0)),IF(AND($L$711=0,$P$708=0),"",$L$711-1),IF($R$17="Distrato",$E1172,0)),MIN(AF$38,$D$19),$P$20))-SUM($P1172:AE1172)</f>
        <v>#VALUE!</v>
      </c>
      <c r="AG1172" s="446" t="e">
        <f>IF(OR($B1172="",MIN(AG$38,$D$19)&lt;MAX($P$708*($B1172+IF($R$17="Distrato",$I$38-1,0)),IF(AND($L$711=0,$P$708=0),"",$L$711-1),IF($R$17="Distrato",$E1172,0))),0,YEARFRAC(MAX($P$708*($B1172+IF($R$17="Distrato",$I$38-1,0)),IF(AND($L$711=0,$P$708=0),"",$L$711-1),IF($R$17="Distrato",$E1172,0)),MIN(AG$38,$D$19),$P$20))-SUM($P1172:AF1172)</f>
        <v>#VALUE!</v>
      </c>
      <c r="AH1172" s="446" t="e">
        <f>IF(OR($B1172="",MIN(AH$38,$D$19)&lt;MAX($P$708*($B1172+IF($R$17="Distrato",$I$38-1,0)),IF(AND($L$711=0,$P$708=0),"",$L$711-1),IF($R$17="Distrato",$E1172,0))),0,YEARFRAC(MAX($P$708*($B1172+IF($R$17="Distrato",$I$38-1,0)),IF(AND($L$711=0,$P$708=0),"",$L$711-1),IF($R$17="Distrato",$E1172,0)),MIN(AH$38,$D$19),$P$20))-SUM($P1172:AG1172)</f>
        <v>#VALUE!</v>
      </c>
      <c r="AI1172" s="446" t="e">
        <f>IF(OR($B1172="",MIN(AI$38,$D$19)&lt;MAX($P$708*($B1172+IF($R$17="Distrato",$I$38-1,0)),IF(AND($L$711=0,$P$708=0),"",$L$711-1),IF($R$17="Distrato",$E1172,0))),0,YEARFRAC(MAX($P$708*($B1172+IF($R$17="Distrato",$I$38-1,0)),IF(AND($L$711=0,$P$708=0),"",$L$711-1),IF($R$17="Distrato",$E1172,0)),MIN(AI$38,$D$19),$P$20))-SUM($P1172:AH1172)</f>
        <v>#VALUE!</v>
      </c>
      <c r="AJ1172" s="446" t="e">
        <f>IF(OR($B1172="",MIN(AJ$38,$D$19)&lt;MAX($P$708*($B1172+IF($R$17="Distrato",$I$38-1,0)),IF(AND($L$711=0,$P$708=0),"",$L$711-1),IF($R$17="Distrato",$E1172,0))),0,YEARFRAC(MAX($P$708*($B1172+IF($R$17="Distrato",$I$38-1,0)),IF(AND($L$711=0,$P$708=0),"",$L$711-1),IF($R$17="Distrato",$E1172,0)),MIN(AJ$38,$D$19),$P$20))-SUM($P1172:AI1172)</f>
        <v>#VALUE!</v>
      </c>
      <c r="AK1172" s="446" t="e">
        <f>IF(OR($B1172="",MIN(AK$38,$D$19)&lt;MAX($P$708*($B1172+IF($R$17="Distrato",$I$38-1,0)),IF(AND($L$711=0,$P$708=0),"",$L$711-1),IF($R$17="Distrato",$E1172,0))),0,YEARFRAC(MAX($P$708*($B1172+IF($R$17="Distrato",$I$38-1,0)),IF(AND($L$711=0,$P$708=0),"",$L$711-1),IF($R$17="Distrato",$E1172,0)),MIN(AK$38,$D$19),$P$20))-SUM($P1172:AJ1172)</f>
        <v>#VALUE!</v>
      </c>
      <c r="AL1172" s="446" t="e">
        <f>IF(OR($B1172="",MIN(AL$38,$D$19)&lt;MAX($P$708*($B1172+IF($R$17="Distrato",$I$38-1,0)),IF(AND($L$711=0,$P$708=0),"",$L$711-1),IF($R$17="Distrato",$E1172,0))),0,YEARFRAC(MAX($P$708*($B1172+IF($R$17="Distrato",$I$38-1,0)),IF(AND($L$711=0,$P$708=0),"",$L$711-1),IF($R$17="Distrato",$E1172,0)),MIN(AL$38,$D$19),$P$20))-SUM($P1172:AK1172)</f>
        <v>#VALUE!</v>
      </c>
      <c r="AM1172" s="446" t="e">
        <f>IF(OR($B1172="",MIN(AM$38,$D$19)&lt;MAX($P$708*($B1172+IF($R$17="Distrato",$I$38-1,0)),IF(AND($L$711=0,$P$708=0),"",$L$711-1),IF($R$17="Distrato",$E1172,0))),0,YEARFRAC(MAX($P$708*($B1172+IF($R$17="Distrato",$I$38-1,0)),IF(AND($L$711=0,$P$708=0),"",$L$711-1),IF($R$17="Distrato",$E1172,0)),MIN(AM$38,$D$19),$P$20))-SUM($P1172:AL1172)</f>
        <v>#VALUE!</v>
      </c>
      <c r="AN1172" s="446" t="e">
        <f>IF(OR($B1172="",MIN(AN$38,$D$19)&lt;MAX($P$708*($B1172+IF($R$17="Distrato",$I$38-1,0)),IF(AND($L$711=0,$P$708=0),"",$L$711-1),IF($R$17="Distrato",$E1172,0))),0,YEARFRAC(MAX($P$708*($B1172+IF($R$17="Distrato",$I$38-1,0)),IF(AND($L$711=0,$P$708=0),"",$L$711-1),IF($R$17="Distrato",$E1172,0)),MIN(AN$38,$D$19),$P$20))-SUM($P1172:AM1172)</f>
        <v>#VALUE!</v>
      </c>
      <c r="AO1172" s="446" t="e">
        <f>IF(OR($B1172="",MIN(AO$38,$D$19)&lt;MAX($P$708*($B1172+IF($R$17="Distrato",$I$38-1,0)),IF(AND($L$711=0,$P$708=0),"",$L$711-1),IF($R$17="Distrato",$E1172,0))),0,YEARFRAC(MAX($P$708*($B1172+IF($R$17="Distrato",$I$38-1,0)),IF(AND($L$711=0,$P$708=0),"",$L$711-1),IF($R$17="Distrato",$E1172,0)),MIN(AO$38,$D$19),$P$20))-SUM($P1172:AN1172)</f>
        <v>#VALUE!</v>
      </c>
      <c r="AP1172" s="446" t="e">
        <f>IF(OR($B1172="",MIN(AP$38,$D$19)&lt;MAX($P$708*($B1172+IF($R$17="Distrato",$I$38-1,0)),IF(AND($L$711=0,$P$708=0),"",$L$711-1),IF($R$17="Distrato",$E1172,0))),0,YEARFRAC(MAX($P$708*($B1172+IF($R$17="Distrato",$I$38-1,0)),IF(AND($L$711=0,$P$708=0),"",$L$711-1),IF($R$17="Distrato",$E1172,0)),MIN(AP$38,$D$19),$P$20))-SUM($P1172:AO1172)</f>
        <v>#VALUE!</v>
      </c>
      <c r="AQ1172" s="446" t="e">
        <f>IF(OR($B1172="",MIN(AQ$38,$D$19)&lt;MAX($P$708*($B1172+IF($R$17="Distrato",$I$38-1,0)),IF(AND($L$711=0,$P$708=0),"",$L$711-1),IF($R$17="Distrato",$E1172,0))),0,YEARFRAC(MAX($P$708*($B1172+IF($R$17="Distrato",$I$38-1,0)),IF(AND($L$711=0,$P$708=0),"",$L$711-1),IF($R$17="Distrato",$E1172,0)),MIN(AQ$38,$D$19),$P$20))-SUM($P1172:AP1172)</f>
        <v>#VALUE!</v>
      </c>
      <c r="AR1172" s="446" t="e">
        <f>IF(OR($B1172="",MIN(AR$38,$D$19)&lt;MAX($P$708*($B1172+IF($R$17="Distrato",$I$38-1,0)),IF(AND($L$711=0,$P$708=0),"",$L$711-1),IF($R$17="Distrato",$E1172,0))),0,YEARFRAC(MAX($P$708*($B1172+IF($R$17="Distrato",$I$38-1,0)),IF(AND($L$711=0,$P$708=0),"",$L$711-1),IF($R$17="Distrato",$E1172,0)),MIN(AR$38,$D$19),$P$20))-SUM($P1172:AQ1172)</f>
        <v>#VALUE!</v>
      </c>
      <c r="AS1172" s="446" t="e">
        <f>IF(OR($B1172="",MIN(AS$38,$D$19)&lt;MAX($P$708*($B1172+IF($R$17="Distrato",$I$38-1,0)),IF(AND($L$711=0,$P$708=0),"",$L$711-1),IF($R$17="Distrato",$E1172,0))),0,YEARFRAC(MAX($P$708*($B1172+IF($R$17="Distrato",$I$38-1,0)),IF(AND($L$711=0,$P$708=0),"",$L$711-1),IF($R$17="Distrato",$E1172,0)),MIN(AS$38,$D$19),$P$20))-SUM($P1172:AR1172)</f>
        <v>#VALUE!</v>
      </c>
      <c r="AT1172" s="446" t="e">
        <f>IF(OR($B1172="",MIN(AT$38,$D$19)&lt;MAX($P$708*($B1172+IF($R$17="Distrato",$I$38-1,0)),IF(AND($L$711=0,$P$708=0),"",$L$711-1),IF($R$17="Distrato",$E1172,0))),0,YEARFRAC(MAX($P$708*($B1172+IF($R$17="Distrato",$I$38-1,0)),IF(AND($L$711=0,$P$708=0),"",$L$711-1),IF($R$17="Distrato",$E1172,0)),MIN(AT$38,$D$19),$P$20))-SUM($P1172:AS1172)</f>
        <v>#VALUE!</v>
      </c>
      <c r="AU1172" s="446" t="e">
        <f>IF(OR($B1172="",MIN(AU$38,$D$19)&lt;MAX($P$708*($B1172+IF($R$17="Distrato",$I$38-1,0)),IF(AND($L$711=0,$P$708=0),"",$L$711-1),IF($R$17="Distrato",$E1172,0))),0,YEARFRAC(MAX($P$708*($B1172+IF($R$17="Distrato",$I$38-1,0)),IF(AND($L$711=0,$P$708=0),"",$L$711-1),IF($R$17="Distrato",$E1172,0)),MIN(AU$38,$D$19),$P$20))-SUM($P1172:AT1172)</f>
        <v>#VALUE!</v>
      </c>
      <c r="AV1172" s="446" t="e">
        <f>IF(OR($B1172="",MIN(AV$38,$D$19)&lt;MAX($P$708*($B1172+IF($R$17="Distrato",$I$38-1,0)),IF(AND($L$711=0,$P$708=0),"",$L$711-1),IF($R$17="Distrato",$E1172,0))),0,YEARFRAC(MAX($P$708*($B1172+IF($R$17="Distrato",$I$38-1,0)),IF(AND($L$711=0,$P$708=0),"",$L$711-1),IF($R$17="Distrato",$E1172,0)),MIN(AV$38,$D$19),$P$20))-SUM($P1172:AU1172)</f>
        <v>#VALUE!</v>
      </c>
      <c r="AW1172" s="446" t="e">
        <f>IF(OR($B1172="",MIN(AW$38,$D$19)&lt;MAX($P$708*($B1172+IF($R$17="Distrato",$I$38-1,0)),IF(AND($L$711=0,$P$708=0),"",$L$711-1),IF($R$17="Distrato",$E1172,0))),0,YEARFRAC(MAX($P$708*($B1172+IF($R$17="Distrato",$I$38-1,0)),IF(AND($L$711=0,$P$708=0),"",$L$711-1),IF($R$17="Distrato",$E1172,0)),MIN(AW$38,$D$19),$P$20))-SUM($P1172:AV1172)</f>
        <v>#VALUE!</v>
      </c>
      <c r="AX1172" s="446" t="e">
        <f>IF(OR($B1172="",MIN(AX$38,$D$19)&lt;MAX($P$708*($B1172+IF($R$17="Distrato",$I$38-1,0)),IF(AND($L$711=0,$P$708=0),"",$L$711-1),IF($R$17="Distrato",$E1172,0))),0,YEARFRAC(MAX($P$708*($B1172+IF($R$17="Distrato",$I$38-1,0)),IF(AND($L$711=0,$P$708=0),"",$L$711-1),IF($R$17="Distrato",$E1172,0)),MIN(AX$38,$D$19),$P$20))-SUM($P1172:AW1172)</f>
        <v>#VALUE!</v>
      </c>
      <c r="AY1172" s="446" t="e">
        <f>IF(OR($B1172="",MIN(AY$38,$D$19)&lt;MAX($P$708*($B1172+IF($R$17="Distrato",$I$38-1,0)),IF(AND($L$711=0,$P$708=0),"",$L$711-1),IF($R$17="Distrato",$E1172,0))),0,YEARFRAC(MAX($P$708*($B1172+IF($R$17="Distrato",$I$38-1,0)),IF(AND($L$711=0,$P$708=0),"",$L$711-1),IF($R$17="Distrato",$E1172,0)),MIN(AY$38,$D$19),$P$20))-SUM($P1172:AX1172)</f>
        <v>#VALUE!</v>
      </c>
      <c r="AZ1172" s="446" t="e">
        <f>IF(OR($B1172="",MIN(AZ$38,$D$19)&lt;MAX($P$708*($B1172+IF($R$17="Distrato",$I$38-1,0)),IF(AND($L$711=0,$P$708=0),"",$L$711-1),IF($R$17="Distrato",$E1172,0))),0,YEARFRAC(MAX($P$708*($B1172+IF($R$17="Distrato",$I$38-1,0)),IF(AND($L$711=0,$P$708=0),"",$L$711-1),IF($R$17="Distrato",$E1172,0)),MIN(AZ$38,$D$19),$P$20))-SUM($P1172:AY1172)</f>
        <v>#VALUE!</v>
      </c>
      <c r="BA1172" s="446" t="e">
        <f>IF(OR($B1172="",MIN(BA$38,$D$19)&lt;MAX($P$708*($B1172+IF($R$17="Distrato",$I$38-1,0)),IF(AND($L$711=0,$P$708=0),"",$L$711-1),IF($R$17="Distrato",$E1172,0))),0,YEARFRAC(MAX($P$708*($B1172+IF($R$17="Distrato",$I$38-1,0)),IF(AND($L$711=0,$P$708=0),"",$L$711-1),IF($R$17="Distrato",$E1172,0)),MIN(BA$38,$D$19),$P$20))-SUM($P1172:AZ1172)</f>
        <v>#VALUE!</v>
      </c>
      <c r="BB1172" s="447"/>
    </row>
    <row r="1173" spans="1:54" s="446" customFormat="1" ht="11.25" hidden="1" customHeight="1" x14ac:dyDescent="0.2">
      <c r="A1173" s="235"/>
      <c r="B1173" s="236"/>
      <c r="C1173" s="29" t="str">
        <f>IF(B1173="","",IF($L$709=$BL$25,VLOOKUP(DATE(YEAR($D$19),MONTH($D$19)-1,1),ÍNDICES!$A:$DE,HLOOKUP($BL$25,ÍNDICES!$B$3:$T$4,2)+11)-VLOOKUP(B1173,ÍNDICES!$A:$DE,HLOOKUP($BL$25,ÍNDICES!$B$3:$T$4,2)+11)+1%,IF(C$712=$W$26,$J$35,IF(ISERROR(IF(B1173&gt;$D$19,1,VLOOKUP(DATE(YEAR(B1173),MONTH(B1173)+IF($C$709=$S$23,1,0),1),ÍNDICES!$A:$DE,$Z$709+1))),"",IF(B1173&gt;$D$19,1,VLOOKUP(DATE(YEAR(B1173),MONTH(B1173)+IF($C$709=$S$23,1,0),1),ÍNDICES!$A:$DE,$Z$709+1))))))</f>
        <v/>
      </c>
      <c r="D1173" s="155"/>
      <c r="E1173" s="88"/>
      <c r="F1173" s="88"/>
      <c r="G1173" s="88"/>
      <c r="H1173" s="118"/>
      <c r="I1173" s="182">
        <f t="shared" si="164"/>
        <v>0</v>
      </c>
      <c r="J1173" s="20">
        <f t="shared" ca="1" si="165"/>
        <v>0</v>
      </c>
      <c r="K1173" s="5">
        <f t="shared" ca="1" si="166"/>
        <v>0</v>
      </c>
      <c r="L1173" s="61">
        <f t="shared" ca="1" si="167"/>
        <v>0</v>
      </c>
      <c r="M1173" s="64">
        <f t="shared" si="168"/>
        <v>0</v>
      </c>
      <c r="N1173" s="151"/>
      <c r="O1173" s="5">
        <f t="shared" ca="1" si="169"/>
        <v>0</v>
      </c>
      <c r="P1173" s="446" t="e">
        <f t="shared" si="170"/>
        <v>#VALUE!</v>
      </c>
      <c r="Q1173" s="446" t="e">
        <f>IF(OR($B1173="",MIN(Q$38,$D$19)&lt;MAX($P$708*($B1173+IF($R$17="Distrato",$I$38-1,0)),IF(AND($L$711=0,$P$708=0),"",$L$711-1),IF($R$17="Distrato",$E1173,0))),0,YEARFRAC(MAX($P$708*($B1173+IF($R$17="Distrato",$I$38-1,0)),IF(AND($L$711=0,$P$708=0),"",$L$711-1),IF($R$17="Distrato",$E1173,0)),MIN(Q$38,$D$19),$P$20))-SUM($P1173:P1173)</f>
        <v>#VALUE!</v>
      </c>
      <c r="R1173" s="446" t="e">
        <f>IF(OR($B1173="",MIN(R$38,$D$19)&lt;MAX($P$708*($B1173+IF($R$17="Distrato",$I$38-1,0)),IF(AND($L$711=0,$P$708=0),"",$L$711-1),IF($R$17="Distrato",$E1173,0))),0,YEARFRAC(MAX($P$708*($B1173+IF($R$17="Distrato",$I$38-1,0)),IF(AND($L$711=0,$P$708=0),"",$L$711-1),IF($R$17="Distrato",$E1173,0)),MIN(R$38,$D$19),$P$20))-SUM($P1173:Q1173)</f>
        <v>#VALUE!</v>
      </c>
      <c r="S1173" s="446" t="e">
        <f>IF(OR($B1173="",MIN(S$38,$D$19)&lt;MAX($P$708*($B1173+IF($R$17="Distrato",$I$38-1,0)),IF(AND($L$711=0,$P$708=0),"",$L$711-1),IF($R$17="Distrato",$E1173,0))),0,YEARFRAC(MAX($P$708*($B1173+IF($R$17="Distrato",$I$38-1,0)),IF(AND($L$711=0,$P$708=0),"",$L$711-1),IF($R$17="Distrato",$E1173,0)),MIN(S$38,$D$19),$P$20))-SUM($P1173:R1173)</f>
        <v>#VALUE!</v>
      </c>
      <c r="T1173" s="446" t="e">
        <f>IF(OR($B1173="",MIN(T$38,$D$19)&lt;MAX($P$708*($B1173+IF($R$17="Distrato",$I$38-1,0)),IF(AND($L$711=0,$P$708=0),"",$L$711-1),IF($R$17="Distrato",$E1173,0))),0,YEARFRAC(MAX($P$708*($B1173+IF($R$17="Distrato",$I$38-1,0)),IF(AND($L$711=0,$P$708=0),"",$L$711-1),IF($R$17="Distrato",$E1173,0)),MIN(T$38,$D$19),$P$20))-SUM($P1173:S1173)</f>
        <v>#VALUE!</v>
      </c>
      <c r="U1173" s="446" t="e">
        <f>IF(OR($B1173="",MIN(U$38,$D$19)&lt;MAX($P$708*($B1173+IF($R$17="Distrato",$I$38-1,0)),IF(AND($L$711=0,$P$708=0),"",$L$711-1),IF($R$17="Distrato",$E1173,0))),0,YEARFRAC(MAX($P$708*($B1173+IF($R$17="Distrato",$I$38-1,0)),IF(AND($L$711=0,$P$708=0),"",$L$711-1),IF($R$17="Distrato",$E1173,0)),MIN(U$38,$D$19),$P$20))-SUM($P1173:T1173)</f>
        <v>#VALUE!</v>
      </c>
      <c r="V1173" s="446" t="e">
        <f>IF(OR($B1173="",MIN(V$38,$D$19)&lt;MAX($P$708*($B1173+IF($R$17="Distrato",$I$38-1,0)),IF(AND($L$711=0,$P$708=0),"",$L$711-1),IF($R$17="Distrato",$E1173,0))),0,YEARFRAC(MAX($P$708*($B1173+IF($R$17="Distrato",$I$38-1,0)),IF(AND($L$711=0,$P$708=0),"",$L$711-1),IF($R$17="Distrato",$E1173,0)),MIN(V$38,$D$19),$P$20))-SUM($P1173:U1173)</f>
        <v>#VALUE!</v>
      </c>
      <c r="W1173" s="446" t="e">
        <f>IF(OR($B1173="",MIN(W$38,$D$19)&lt;MAX($P$708*($B1173+IF($R$17="Distrato",$I$38-1,0)),IF(AND($L$711=0,$P$708=0),"",$L$711-1),IF($R$17="Distrato",$E1173,0))),0,YEARFRAC(MAX($P$708*($B1173+IF($R$17="Distrato",$I$38-1,0)),IF(AND($L$711=0,$P$708=0),"",$L$711-1),IF($R$17="Distrato",$E1173,0)),MIN(W$38,$D$19),$P$20))-SUM($P1173:V1173)</f>
        <v>#VALUE!</v>
      </c>
      <c r="X1173" s="446" t="e">
        <f>IF(OR($B1173="",MIN(X$38,$D$19)&lt;MAX($P$708*($B1173+IF($R$17="Distrato",$I$38-1,0)),IF(AND($L$711=0,$P$708=0),"",$L$711-1),IF($R$17="Distrato",$E1173,0))),0,YEARFRAC(MAX($P$708*($B1173+IF($R$17="Distrato",$I$38-1,0)),IF(AND($L$711=0,$P$708=0),"",$L$711-1),IF($R$17="Distrato",$E1173,0)),MIN(X$38,$D$19),$P$20))-SUM($P1173:W1173)</f>
        <v>#VALUE!</v>
      </c>
      <c r="Y1173" s="446" t="e">
        <f>IF(OR($B1173="",MIN(Y$38,$D$19)&lt;MAX($P$708*($B1173+IF($R$17="Distrato",$I$38-1,0)),IF(AND($L$711=0,$P$708=0),"",$L$711-1),IF($R$17="Distrato",$E1173,0))),0,YEARFRAC(MAX($P$708*($B1173+IF($R$17="Distrato",$I$38-1,0)),IF(AND($L$711=0,$P$708=0),"",$L$711-1),IF($R$17="Distrato",$E1173,0)),MIN(Y$38,$D$19),$P$20))-SUM($P1173:X1173)</f>
        <v>#VALUE!</v>
      </c>
      <c r="Z1173" s="446" t="e">
        <f>IF(OR($B1173="",MIN(Z$38,$D$19)&lt;MAX($P$708*($B1173+IF($R$17="Distrato",$I$38-1,0)),IF(AND($L$711=0,$P$708=0),"",$L$711-1),IF($R$17="Distrato",$E1173,0))),0,YEARFRAC(MAX($P$708*($B1173+IF($R$17="Distrato",$I$38-1,0)),IF(AND($L$711=0,$P$708=0),"",$L$711-1),IF($R$17="Distrato",$E1173,0)),MIN(Z$38,$D$19),$P$20))-SUM($P1173:Y1173)</f>
        <v>#VALUE!</v>
      </c>
      <c r="AA1173" s="446" t="e">
        <f>IF(OR($B1173="",MIN(AA$38,$D$19)&lt;MAX($P$708*($B1173+IF($R$17="Distrato",$I$38-1,0)),IF(AND($L$711=0,$P$708=0),"",$L$711-1),IF($R$17="Distrato",$E1173,0))),0,YEARFRAC(MAX($P$708*($B1173+IF($R$17="Distrato",$I$38-1,0)),IF(AND($L$711=0,$P$708=0),"",$L$711-1),IF($R$17="Distrato",$E1173,0)),MIN(AA$38,$D$19),$P$20))-SUM($P1173:Z1173)</f>
        <v>#VALUE!</v>
      </c>
      <c r="AB1173" s="446" t="e">
        <f>IF(OR($B1173="",MIN(AB$38,$D$19)&lt;MAX($P$708*($B1173+IF($R$17="Distrato",$I$38-1,0)),IF(AND($L$711=0,$P$708=0),"",$L$711-1),IF($R$17="Distrato",$E1173,0))),0,YEARFRAC(MAX($P$708*($B1173+IF($R$17="Distrato",$I$38-1,0)),IF(AND($L$711=0,$P$708=0),"",$L$711-1),IF($R$17="Distrato",$E1173,0)),MIN(AB$38,$D$19),$P$20))-SUM($P1173:AA1173)</f>
        <v>#VALUE!</v>
      </c>
      <c r="AC1173" s="446" t="e">
        <f>IF(OR($B1173="",MIN(AC$38,$D$19)&lt;MAX($P$708*($B1173+IF($R$17="Distrato",$I$38-1,0)),IF(AND($L$711=0,$P$708=0),"",$L$711-1),IF($R$17="Distrato",$E1173,0))),0,YEARFRAC(MAX($P$708*($B1173+IF($R$17="Distrato",$I$38-1,0)),IF(AND($L$711=0,$P$708=0),"",$L$711-1),IF($R$17="Distrato",$E1173,0)),MIN(AC$38,$D$19),$P$20))-SUM($P1173:AB1173)</f>
        <v>#VALUE!</v>
      </c>
      <c r="AD1173" s="446" t="e">
        <f>IF(OR($B1173="",MIN(AD$38,$D$19)&lt;MAX($P$708*($B1173+IF($R$17="Distrato",$I$38-1,0)),IF(AND($L$711=0,$P$708=0),"",$L$711-1),IF($R$17="Distrato",$E1173,0))),0,YEARFRAC(MAX($P$708*($B1173+IF($R$17="Distrato",$I$38-1,0)),IF(AND($L$711=0,$P$708=0),"",$L$711-1),IF($R$17="Distrato",$E1173,0)),MIN(AD$38,$D$19),$P$20))-SUM($P1173:AC1173)</f>
        <v>#VALUE!</v>
      </c>
      <c r="AE1173" s="446" t="e">
        <f>IF(OR($B1173="",MIN(AE$38,$D$19)&lt;MAX($P$708*($B1173+IF($R$17="Distrato",$I$38-1,0)),IF(AND($L$711=0,$P$708=0),"",$L$711-1),IF($R$17="Distrato",$E1173,0))),0,YEARFRAC(MAX($P$708*($B1173+IF($R$17="Distrato",$I$38-1,0)),IF(AND($L$711=0,$P$708=0),"",$L$711-1),IF($R$17="Distrato",$E1173,0)),MIN(AE$38,$D$19),$P$20))-SUM($P1173:AD1173)</f>
        <v>#VALUE!</v>
      </c>
      <c r="AF1173" s="446" t="e">
        <f>IF(OR($B1173="",MIN(AF$38,$D$19)&lt;MAX($P$708*($B1173+IF($R$17="Distrato",$I$38-1,0)),IF(AND($L$711=0,$P$708=0),"",$L$711-1),IF($R$17="Distrato",$E1173,0))),0,YEARFRAC(MAX($P$708*($B1173+IF($R$17="Distrato",$I$38-1,0)),IF(AND($L$711=0,$P$708=0),"",$L$711-1),IF($R$17="Distrato",$E1173,0)),MIN(AF$38,$D$19),$P$20))-SUM($P1173:AE1173)</f>
        <v>#VALUE!</v>
      </c>
      <c r="AG1173" s="446" t="e">
        <f>IF(OR($B1173="",MIN(AG$38,$D$19)&lt;MAX($P$708*($B1173+IF($R$17="Distrato",$I$38-1,0)),IF(AND($L$711=0,$P$708=0),"",$L$711-1),IF($R$17="Distrato",$E1173,0))),0,YEARFRAC(MAX($P$708*($B1173+IF($R$17="Distrato",$I$38-1,0)),IF(AND($L$711=0,$P$708=0),"",$L$711-1),IF($R$17="Distrato",$E1173,0)),MIN(AG$38,$D$19),$P$20))-SUM($P1173:AF1173)</f>
        <v>#VALUE!</v>
      </c>
      <c r="AH1173" s="446" t="e">
        <f>IF(OR($B1173="",MIN(AH$38,$D$19)&lt;MAX($P$708*($B1173+IF($R$17="Distrato",$I$38-1,0)),IF(AND($L$711=0,$P$708=0),"",$L$711-1),IF($R$17="Distrato",$E1173,0))),0,YEARFRAC(MAX($P$708*($B1173+IF($R$17="Distrato",$I$38-1,0)),IF(AND($L$711=0,$P$708=0),"",$L$711-1),IF($R$17="Distrato",$E1173,0)),MIN(AH$38,$D$19),$P$20))-SUM($P1173:AG1173)</f>
        <v>#VALUE!</v>
      </c>
      <c r="AI1173" s="446" t="e">
        <f>IF(OR($B1173="",MIN(AI$38,$D$19)&lt;MAX($P$708*($B1173+IF($R$17="Distrato",$I$38-1,0)),IF(AND($L$711=0,$P$708=0),"",$L$711-1),IF($R$17="Distrato",$E1173,0))),0,YEARFRAC(MAX($P$708*($B1173+IF($R$17="Distrato",$I$38-1,0)),IF(AND($L$711=0,$P$708=0),"",$L$711-1),IF($R$17="Distrato",$E1173,0)),MIN(AI$38,$D$19),$P$20))-SUM($P1173:AH1173)</f>
        <v>#VALUE!</v>
      </c>
      <c r="AJ1173" s="446" t="e">
        <f>IF(OR($B1173="",MIN(AJ$38,$D$19)&lt;MAX($P$708*($B1173+IF($R$17="Distrato",$I$38-1,0)),IF(AND($L$711=0,$P$708=0),"",$L$711-1),IF($R$17="Distrato",$E1173,0))),0,YEARFRAC(MAX($P$708*($B1173+IF($R$17="Distrato",$I$38-1,0)),IF(AND($L$711=0,$P$708=0),"",$L$711-1),IF($R$17="Distrato",$E1173,0)),MIN(AJ$38,$D$19),$P$20))-SUM($P1173:AI1173)</f>
        <v>#VALUE!</v>
      </c>
      <c r="AK1173" s="446" t="e">
        <f>IF(OR($B1173="",MIN(AK$38,$D$19)&lt;MAX($P$708*($B1173+IF($R$17="Distrato",$I$38-1,0)),IF(AND($L$711=0,$P$708=0),"",$L$711-1),IF($R$17="Distrato",$E1173,0))),0,YEARFRAC(MAX($P$708*($B1173+IF($R$17="Distrato",$I$38-1,0)),IF(AND($L$711=0,$P$708=0),"",$L$711-1),IF($R$17="Distrato",$E1173,0)),MIN(AK$38,$D$19),$P$20))-SUM($P1173:AJ1173)</f>
        <v>#VALUE!</v>
      </c>
      <c r="AL1173" s="446" t="e">
        <f>IF(OR($B1173="",MIN(AL$38,$D$19)&lt;MAX($P$708*($B1173+IF($R$17="Distrato",$I$38-1,0)),IF(AND($L$711=0,$P$708=0),"",$L$711-1),IF($R$17="Distrato",$E1173,0))),0,YEARFRAC(MAX($P$708*($B1173+IF($R$17="Distrato",$I$38-1,0)),IF(AND($L$711=0,$P$708=0),"",$L$711-1),IF($R$17="Distrato",$E1173,0)),MIN(AL$38,$D$19),$P$20))-SUM($P1173:AK1173)</f>
        <v>#VALUE!</v>
      </c>
      <c r="AM1173" s="446" t="e">
        <f>IF(OR($B1173="",MIN(AM$38,$D$19)&lt;MAX($P$708*($B1173+IF($R$17="Distrato",$I$38-1,0)),IF(AND($L$711=0,$P$708=0),"",$L$711-1),IF($R$17="Distrato",$E1173,0))),0,YEARFRAC(MAX($P$708*($B1173+IF($R$17="Distrato",$I$38-1,0)),IF(AND($L$711=0,$P$708=0),"",$L$711-1),IF($R$17="Distrato",$E1173,0)),MIN(AM$38,$D$19),$P$20))-SUM($P1173:AL1173)</f>
        <v>#VALUE!</v>
      </c>
      <c r="AN1173" s="446" t="e">
        <f>IF(OR($B1173="",MIN(AN$38,$D$19)&lt;MAX($P$708*($B1173+IF($R$17="Distrato",$I$38-1,0)),IF(AND($L$711=0,$P$708=0),"",$L$711-1),IF($R$17="Distrato",$E1173,0))),0,YEARFRAC(MAX($P$708*($B1173+IF($R$17="Distrato",$I$38-1,0)),IF(AND($L$711=0,$P$708=0),"",$L$711-1),IF($R$17="Distrato",$E1173,0)),MIN(AN$38,$D$19),$P$20))-SUM($P1173:AM1173)</f>
        <v>#VALUE!</v>
      </c>
      <c r="AO1173" s="446" t="e">
        <f>IF(OR($B1173="",MIN(AO$38,$D$19)&lt;MAX($P$708*($B1173+IF($R$17="Distrato",$I$38-1,0)),IF(AND($L$711=0,$P$708=0),"",$L$711-1),IF($R$17="Distrato",$E1173,0))),0,YEARFRAC(MAX($P$708*($B1173+IF($R$17="Distrato",$I$38-1,0)),IF(AND($L$711=0,$P$708=0),"",$L$711-1),IF($R$17="Distrato",$E1173,0)),MIN(AO$38,$D$19),$P$20))-SUM($P1173:AN1173)</f>
        <v>#VALUE!</v>
      </c>
      <c r="AP1173" s="446" t="e">
        <f>IF(OR($B1173="",MIN(AP$38,$D$19)&lt;MAX($P$708*($B1173+IF($R$17="Distrato",$I$38-1,0)),IF(AND($L$711=0,$P$708=0),"",$L$711-1),IF($R$17="Distrato",$E1173,0))),0,YEARFRAC(MAX($P$708*($B1173+IF($R$17="Distrato",$I$38-1,0)),IF(AND($L$711=0,$P$708=0),"",$L$711-1),IF($R$17="Distrato",$E1173,0)),MIN(AP$38,$D$19),$P$20))-SUM($P1173:AO1173)</f>
        <v>#VALUE!</v>
      </c>
      <c r="AQ1173" s="446" t="e">
        <f>IF(OR($B1173="",MIN(AQ$38,$D$19)&lt;MAX($P$708*($B1173+IF($R$17="Distrato",$I$38-1,0)),IF(AND($L$711=0,$P$708=0),"",$L$711-1),IF($R$17="Distrato",$E1173,0))),0,YEARFRAC(MAX($P$708*($B1173+IF($R$17="Distrato",$I$38-1,0)),IF(AND($L$711=0,$P$708=0),"",$L$711-1),IF($R$17="Distrato",$E1173,0)),MIN(AQ$38,$D$19),$P$20))-SUM($P1173:AP1173)</f>
        <v>#VALUE!</v>
      </c>
      <c r="AR1173" s="446" t="e">
        <f>IF(OR($B1173="",MIN(AR$38,$D$19)&lt;MAX($P$708*($B1173+IF($R$17="Distrato",$I$38-1,0)),IF(AND($L$711=0,$P$708=0),"",$L$711-1),IF($R$17="Distrato",$E1173,0))),0,YEARFRAC(MAX($P$708*($B1173+IF($R$17="Distrato",$I$38-1,0)),IF(AND($L$711=0,$P$708=0),"",$L$711-1),IF($R$17="Distrato",$E1173,0)),MIN(AR$38,$D$19),$P$20))-SUM($P1173:AQ1173)</f>
        <v>#VALUE!</v>
      </c>
      <c r="AS1173" s="446" t="e">
        <f>IF(OR($B1173="",MIN(AS$38,$D$19)&lt;MAX($P$708*($B1173+IF($R$17="Distrato",$I$38-1,0)),IF(AND($L$711=0,$P$708=0),"",$L$711-1),IF($R$17="Distrato",$E1173,0))),0,YEARFRAC(MAX($P$708*($B1173+IF($R$17="Distrato",$I$38-1,0)),IF(AND($L$711=0,$P$708=0),"",$L$711-1),IF($R$17="Distrato",$E1173,0)),MIN(AS$38,$D$19),$P$20))-SUM($P1173:AR1173)</f>
        <v>#VALUE!</v>
      </c>
      <c r="AT1173" s="446" t="e">
        <f>IF(OR($B1173="",MIN(AT$38,$D$19)&lt;MAX($P$708*($B1173+IF($R$17="Distrato",$I$38-1,0)),IF(AND($L$711=0,$P$708=0),"",$L$711-1),IF($R$17="Distrato",$E1173,0))),0,YEARFRAC(MAX($P$708*($B1173+IF($R$17="Distrato",$I$38-1,0)),IF(AND($L$711=0,$P$708=0),"",$L$711-1),IF($R$17="Distrato",$E1173,0)),MIN(AT$38,$D$19),$P$20))-SUM($P1173:AS1173)</f>
        <v>#VALUE!</v>
      </c>
      <c r="AU1173" s="446" t="e">
        <f>IF(OR($B1173="",MIN(AU$38,$D$19)&lt;MAX($P$708*($B1173+IF($R$17="Distrato",$I$38-1,0)),IF(AND($L$711=0,$P$708=0),"",$L$711-1),IF($R$17="Distrato",$E1173,0))),0,YEARFRAC(MAX($P$708*($B1173+IF($R$17="Distrato",$I$38-1,0)),IF(AND($L$711=0,$P$708=0),"",$L$711-1),IF($R$17="Distrato",$E1173,0)),MIN(AU$38,$D$19),$P$20))-SUM($P1173:AT1173)</f>
        <v>#VALUE!</v>
      </c>
      <c r="AV1173" s="446" t="e">
        <f>IF(OR($B1173="",MIN(AV$38,$D$19)&lt;MAX($P$708*($B1173+IF($R$17="Distrato",$I$38-1,0)),IF(AND($L$711=0,$P$708=0),"",$L$711-1),IF($R$17="Distrato",$E1173,0))),0,YEARFRAC(MAX($P$708*($B1173+IF($R$17="Distrato",$I$38-1,0)),IF(AND($L$711=0,$P$708=0),"",$L$711-1),IF($R$17="Distrato",$E1173,0)),MIN(AV$38,$D$19),$P$20))-SUM($P1173:AU1173)</f>
        <v>#VALUE!</v>
      </c>
      <c r="AW1173" s="446" t="e">
        <f>IF(OR($B1173="",MIN(AW$38,$D$19)&lt;MAX($P$708*($B1173+IF($R$17="Distrato",$I$38-1,0)),IF(AND($L$711=0,$P$708=0),"",$L$711-1),IF($R$17="Distrato",$E1173,0))),0,YEARFRAC(MAX($P$708*($B1173+IF($R$17="Distrato",$I$38-1,0)),IF(AND($L$711=0,$P$708=0),"",$L$711-1),IF($R$17="Distrato",$E1173,0)),MIN(AW$38,$D$19),$P$20))-SUM($P1173:AV1173)</f>
        <v>#VALUE!</v>
      </c>
      <c r="AX1173" s="446" t="e">
        <f>IF(OR($B1173="",MIN(AX$38,$D$19)&lt;MAX($P$708*($B1173+IF($R$17="Distrato",$I$38-1,0)),IF(AND($L$711=0,$P$708=0),"",$L$711-1),IF($R$17="Distrato",$E1173,0))),0,YEARFRAC(MAX($P$708*($B1173+IF($R$17="Distrato",$I$38-1,0)),IF(AND($L$711=0,$P$708=0),"",$L$711-1),IF($R$17="Distrato",$E1173,0)),MIN(AX$38,$D$19),$P$20))-SUM($P1173:AW1173)</f>
        <v>#VALUE!</v>
      </c>
      <c r="AY1173" s="446" t="e">
        <f>IF(OR($B1173="",MIN(AY$38,$D$19)&lt;MAX($P$708*($B1173+IF($R$17="Distrato",$I$38-1,0)),IF(AND($L$711=0,$P$708=0),"",$L$711-1),IF($R$17="Distrato",$E1173,0))),0,YEARFRAC(MAX($P$708*($B1173+IF($R$17="Distrato",$I$38-1,0)),IF(AND($L$711=0,$P$708=0),"",$L$711-1),IF($R$17="Distrato",$E1173,0)),MIN(AY$38,$D$19),$P$20))-SUM($P1173:AX1173)</f>
        <v>#VALUE!</v>
      </c>
      <c r="AZ1173" s="446" t="e">
        <f>IF(OR($B1173="",MIN(AZ$38,$D$19)&lt;MAX($P$708*($B1173+IF($R$17="Distrato",$I$38-1,0)),IF(AND($L$711=0,$P$708=0),"",$L$711-1),IF($R$17="Distrato",$E1173,0))),0,YEARFRAC(MAX($P$708*($B1173+IF($R$17="Distrato",$I$38-1,0)),IF(AND($L$711=0,$P$708=0),"",$L$711-1),IF($R$17="Distrato",$E1173,0)),MIN(AZ$38,$D$19),$P$20))-SUM($P1173:AY1173)</f>
        <v>#VALUE!</v>
      </c>
      <c r="BA1173" s="446" t="e">
        <f>IF(OR($B1173="",MIN(BA$38,$D$19)&lt;MAX($P$708*($B1173+IF($R$17="Distrato",$I$38-1,0)),IF(AND($L$711=0,$P$708=0),"",$L$711-1),IF($R$17="Distrato",$E1173,0))),0,YEARFRAC(MAX($P$708*($B1173+IF($R$17="Distrato",$I$38-1,0)),IF(AND($L$711=0,$P$708=0),"",$L$711-1),IF($R$17="Distrato",$E1173,0)),MIN(BA$38,$D$19),$P$20))-SUM($P1173:AZ1173)</f>
        <v>#VALUE!</v>
      </c>
      <c r="BB1173" s="447"/>
    </row>
    <row r="1174" spans="1:54" s="446" customFormat="1" ht="11.25" hidden="1" customHeight="1" x14ac:dyDescent="0.2">
      <c r="A1174" s="235"/>
      <c r="B1174" s="236"/>
      <c r="C1174" s="29" t="str">
        <f>IF(B1174="","",IF($L$709=$BL$25,VLOOKUP(DATE(YEAR($D$19),MONTH($D$19)-1,1),ÍNDICES!$A:$DE,HLOOKUP($BL$25,ÍNDICES!$B$3:$T$4,2)+11)-VLOOKUP(B1174,ÍNDICES!$A:$DE,HLOOKUP($BL$25,ÍNDICES!$B$3:$T$4,2)+11)+1%,IF(C$712=$W$26,$J$35,IF(ISERROR(IF(B1174&gt;$D$19,1,VLOOKUP(DATE(YEAR(B1174),MONTH(B1174)+IF($C$709=$S$23,1,0),1),ÍNDICES!$A:$DE,$Z$709+1))),"",IF(B1174&gt;$D$19,1,VLOOKUP(DATE(YEAR(B1174),MONTH(B1174)+IF($C$709=$S$23,1,0),1),ÍNDICES!$A:$DE,$Z$709+1))))))</f>
        <v/>
      </c>
      <c r="D1174" s="155"/>
      <c r="E1174" s="88"/>
      <c r="F1174" s="88"/>
      <c r="G1174" s="88"/>
      <c r="H1174" s="118"/>
      <c r="I1174" s="182">
        <f t="shared" si="164"/>
        <v>0</v>
      </c>
      <c r="J1174" s="20">
        <f t="shared" ca="1" si="165"/>
        <v>0</v>
      </c>
      <c r="K1174" s="5">
        <f t="shared" ca="1" si="166"/>
        <v>0</v>
      </c>
      <c r="L1174" s="61">
        <f t="shared" ca="1" si="167"/>
        <v>0</v>
      </c>
      <c r="M1174" s="64">
        <f t="shared" si="168"/>
        <v>0</v>
      </c>
      <c r="N1174" s="151"/>
      <c r="O1174" s="5">
        <f t="shared" ca="1" si="169"/>
        <v>0</v>
      </c>
      <c r="P1174" s="446" t="e">
        <f t="shared" si="170"/>
        <v>#VALUE!</v>
      </c>
      <c r="Q1174" s="446" t="e">
        <f>IF(OR($B1174="",MIN(Q$38,$D$19)&lt;MAX($P$708*($B1174+IF($R$17="Distrato",$I$38-1,0)),IF(AND($L$711=0,$P$708=0),"",$L$711-1),IF($R$17="Distrato",$E1174,0))),0,YEARFRAC(MAX($P$708*($B1174+IF($R$17="Distrato",$I$38-1,0)),IF(AND($L$711=0,$P$708=0),"",$L$711-1),IF($R$17="Distrato",$E1174,0)),MIN(Q$38,$D$19),$P$20))-SUM($P1174:P1174)</f>
        <v>#VALUE!</v>
      </c>
      <c r="R1174" s="446" t="e">
        <f>IF(OR($B1174="",MIN(R$38,$D$19)&lt;MAX($P$708*($B1174+IF($R$17="Distrato",$I$38-1,0)),IF(AND($L$711=0,$P$708=0),"",$L$711-1),IF($R$17="Distrato",$E1174,0))),0,YEARFRAC(MAX($P$708*($B1174+IF($R$17="Distrato",$I$38-1,0)),IF(AND($L$711=0,$P$708=0),"",$L$711-1),IF($R$17="Distrato",$E1174,0)),MIN(R$38,$D$19),$P$20))-SUM($P1174:Q1174)</f>
        <v>#VALUE!</v>
      </c>
      <c r="S1174" s="446" t="e">
        <f>IF(OR($B1174="",MIN(S$38,$D$19)&lt;MAX($P$708*($B1174+IF($R$17="Distrato",$I$38-1,0)),IF(AND($L$711=0,$P$708=0),"",$L$711-1),IF($R$17="Distrato",$E1174,0))),0,YEARFRAC(MAX($P$708*($B1174+IF($R$17="Distrato",$I$38-1,0)),IF(AND($L$711=0,$P$708=0),"",$L$711-1),IF($R$17="Distrato",$E1174,0)),MIN(S$38,$D$19),$P$20))-SUM($P1174:R1174)</f>
        <v>#VALUE!</v>
      </c>
      <c r="T1174" s="446" t="e">
        <f>IF(OR($B1174="",MIN(T$38,$D$19)&lt;MAX($P$708*($B1174+IF($R$17="Distrato",$I$38-1,0)),IF(AND($L$711=0,$P$708=0),"",$L$711-1),IF($R$17="Distrato",$E1174,0))),0,YEARFRAC(MAX($P$708*($B1174+IF($R$17="Distrato",$I$38-1,0)),IF(AND($L$711=0,$P$708=0),"",$L$711-1),IF($R$17="Distrato",$E1174,0)),MIN(T$38,$D$19),$P$20))-SUM($P1174:S1174)</f>
        <v>#VALUE!</v>
      </c>
      <c r="U1174" s="446" t="e">
        <f>IF(OR($B1174="",MIN(U$38,$D$19)&lt;MAX($P$708*($B1174+IF($R$17="Distrato",$I$38-1,0)),IF(AND($L$711=0,$P$708=0),"",$L$711-1),IF($R$17="Distrato",$E1174,0))),0,YEARFRAC(MAX($P$708*($B1174+IF($R$17="Distrato",$I$38-1,0)),IF(AND($L$711=0,$P$708=0),"",$L$711-1),IF($R$17="Distrato",$E1174,0)),MIN(U$38,$D$19),$P$20))-SUM($P1174:T1174)</f>
        <v>#VALUE!</v>
      </c>
      <c r="V1174" s="446" t="e">
        <f>IF(OR($B1174="",MIN(V$38,$D$19)&lt;MAX($P$708*($B1174+IF($R$17="Distrato",$I$38-1,0)),IF(AND($L$711=0,$P$708=0),"",$L$711-1),IF($R$17="Distrato",$E1174,0))),0,YEARFRAC(MAX($P$708*($B1174+IF($R$17="Distrato",$I$38-1,0)),IF(AND($L$711=0,$P$708=0),"",$L$711-1),IF($R$17="Distrato",$E1174,0)),MIN(V$38,$D$19),$P$20))-SUM($P1174:U1174)</f>
        <v>#VALUE!</v>
      </c>
      <c r="W1174" s="446" t="e">
        <f>IF(OR($B1174="",MIN(W$38,$D$19)&lt;MAX($P$708*($B1174+IF($R$17="Distrato",$I$38-1,0)),IF(AND($L$711=0,$P$708=0),"",$L$711-1),IF($R$17="Distrato",$E1174,0))),0,YEARFRAC(MAX($P$708*($B1174+IF($R$17="Distrato",$I$38-1,0)),IF(AND($L$711=0,$P$708=0),"",$L$711-1),IF($R$17="Distrato",$E1174,0)),MIN(W$38,$D$19),$P$20))-SUM($P1174:V1174)</f>
        <v>#VALUE!</v>
      </c>
      <c r="X1174" s="446" t="e">
        <f>IF(OR($B1174="",MIN(X$38,$D$19)&lt;MAX($P$708*($B1174+IF($R$17="Distrato",$I$38-1,0)),IF(AND($L$711=0,$P$708=0),"",$L$711-1),IF($R$17="Distrato",$E1174,0))),0,YEARFRAC(MAX($P$708*($B1174+IF($R$17="Distrato",$I$38-1,0)),IF(AND($L$711=0,$P$708=0),"",$L$711-1),IF($R$17="Distrato",$E1174,0)),MIN(X$38,$D$19),$P$20))-SUM($P1174:W1174)</f>
        <v>#VALUE!</v>
      </c>
      <c r="Y1174" s="446" t="e">
        <f>IF(OR($B1174="",MIN(Y$38,$D$19)&lt;MAX($P$708*($B1174+IF($R$17="Distrato",$I$38-1,0)),IF(AND($L$711=0,$P$708=0),"",$L$711-1),IF($R$17="Distrato",$E1174,0))),0,YEARFRAC(MAX($P$708*($B1174+IF($R$17="Distrato",$I$38-1,0)),IF(AND($L$711=0,$P$708=0),"",$L$711-1),IF($R$17="Distrato",$E1174,0)),MIN(Y$38,$D$19),$P$20))-SUM($P1174:X1174)</f>
        <v>#VALUE!</v>
      </c>
      <c r="Z1174" s="446" t="e">
        <f>IF(OR($B1174="",MIN(Z$38,$D$19)&lt;MAX($P$708*($B1174+IF($R$17="Distrato",$I$38-1,0)),IF(AND($L$711=0,$P$708=0),"",$L$711-1),IF($R$17="Distrato",$E1174,0))),0,YEARFRAC(MAX($P$708*($B1174+IF($R$17="Distrato",$I$38-1,0)),IF(AND($L$711=0,$P$708=0),"",$L$711-1),IF($R$17="Distrato",$E1174,0)),MIN(Z$38,$D$19),$P$20))-SUM($P1174:Y1174)</f>
        <v>#VALUE!</v>
      </c>
      <c r="AA1174" s="446" t="e">
        <f>IF(OR($B1174="",MIN(AA$38,$D$19)&lt;MAX($P$708*($B1174+IF($R$17="Distrato",$I$38-1,0)),IF(AND($L$711=0,$P$708=0),"",$L$711-1),IF($R$17="Distrato",$E1174,0))),0,YEARFRAC(MAX($P$708*($B1174+IF($R$17="Distrato",$I$38-1,0)),IF(AND($L$711=0,$P$708=0),"",$L$711-1),IF($R$17="Distrato",$E1174,0)),MIN(AA$38,$D$19),$P$20))-SUM($P1174:Z1174)</f>
        <v>#VALUE!</v>
      </c>
      <c r="AB1174" s="446" t="e">
        <f>IF(OR($B1174="",MIN(AB$38,$D$19)&lt;MAX($P$708*($B1174+IF($R$17="Distrato",$I$38-1,0)),IF(AND($L$711=0,$P$708=0),"",$L$711-1),IF($R$17="Distrato",$E1174,0))),0,YEARFRAC(MAX($P$708*($B1174+IF($R$17="Distrato",$I$38-1,0)),IF(AND($L$711=0,$P$708=0),"",$L$711-1),IF($R$17="Distrato",$E1174,0)),MIN(AB$38,$D$19),$P$20))-SUM($P1174:AA1174)</f>
        <v>#VALUE!</v>
      </c>
      <c r="AC1174" s="446" t="e">
        <f>IF(OR($B1174="",MIN(AC$38,$D$19)&lt;MAX($P$708*($B1174+IF($R$17="Distrato",$I$38-1,0)),IF(AND($L$711=0,$P$708=0),"",$L$711-1),IF($R$17="Distrato",$E1174,0))),0,YEARFRAC(MAX($P$708*($B1174+IF($R$17="Distrato",$I$38-1,0)),IF(AND($L$711=0,$P$708=0),"",$L$711-1),IF($R$17="Distrato",$E1174,0)),MIN(AC$38,$D$19),$P$20))-SUM($P1174:AB1174)</f>
        <v>#VALUE!</v>
      </c>
      <c r="AD1174" s="446" t="e">
        <f>IF(OR($B1174="",MIN(AD$38,$D$19)&lt;MAX($P$708*($B1174+IF($R$17="Distrato",$I$38-1,0)),IF(AND($L$711=0,$P$708=0),"",$L$711-1),IF($R$17="Distrato",$E1174,0))),0,YEARFRAC(MAX($P$708*($B1174+IF($R$17="Distrato",$I$38-1,0)),IF(AND($L$711=0,$P$708=0),"",$L$711-1),IF($R$17="Distrato",$E1174,0)),MIN(AD$38,$D$19),$P$20))-SUM($P1174:AC1174)</f>
        <v>#VALUE!</v>
      </c>
      <c r="AE1174" s="446" t="e">
        <f>IF(OR($B1174="",MIN(AE$38,$D$19)&lt;MAX($P$708*($B1174+IF($R$17="Distrato",$I$38-1,0)),IF(AND($L$711=0,$P$708=0),"",$L$711-1),IF($R$17="Distrato",$E1174,0))),0,YEARFRAC(MAX($P$708*($B1174+IF($R$17="Distrato",$I$38-1,0)),IF(AND($L$711=0,$P$708=0),"",$L$711-1),IF($R$17="Distrato",$E1174,0)),MIN(AE$38,$D$19),$P$20))-SUM($P1174:AD1174)</f>
        <v>#VALUE!</v>
      </c>
      <c r="AF1174" s="446" t="e">
        <f>IF(OR($B1174="",MIN(AF$38,$D$19)&lt;MAX($P$708*($B1174+IF($R$17="Distrato",$I$38-1,0)),IF(AND($L$711=0,$P$708=0),"",$L$711-1),IF($R$17="Distrato",$E1174,0))),0,YEARFRAC(MAX($P$708*($B1174+IF($R$17="Distrato",$I$38-1,0)),IF(AND($L$711=0,$P$708=0),"",$L$711-1),IF($R$17="Distrato",$E1174,0)),MIN(AF$38,$D$19),$P$20))-SUM($P1174:AE1174)</f>
        <v>#VALUE!</v>
      </c>
      <c r="AG1174" s="446" t="e">
        <f>IF(OR($B1174="",MIN(AG$38,$D$19)&lt;MAX($P$708*($B1174+IF($R$17="Distrato",$I$38-1,0)),IF(AND($L$711=0,$P$708=0),"",$L$711-1),IF($R$17="Distrato",$E1174,0))),0,YEARFRAC(MAX($P$708*($B1174+IF($R$17="Distrato",$I$38-1,0)),IF(AND($L$711=0,$P$708=0),"",$L$711-1),IF($R$17="Distrato",$E1174,0)),MIN(AG$38,$D$19),$P$20))-SUM($P1174:AF1174)</f>
        <v>#VALUE!</v>
      </c>
      <c r="AH1174" s="446" t="e">
        <f>IF(OR($B1174="",MIN(AH$38,$D$19)&lt;MAX($P$708*($B1174+IF($R$17="Distrato",$I$38-1,0)),IF(AND($L$711=0,$P$708=0),"",$L$711-1),IF($R$17="Distrato",$E1174,0))),0,YEARFRAC(MAX($P$708*($B1174+IF($R$17="Distrato",$I$38-1,0)),IF(AND($L$711=0,$P$708=0),"",$L$711-1),IF($R$17="Distrato",$E1174,0)),MIN(AH$38,$D$19),$P$20))-SUM($P1174:AG1174)</f>
        <v>#VALUE!</v>
      </c>
      <c r="AI1174" s="446" t="e">
        <f>IF(OR($B1174="",MIN(AI$38,$D$19)&lt;MAX($P$708*($B1174+IF($R$17="Distrato",$I$38-1,0)),IF(AND($L$711=0,$P$708=0),"",$L$711-1),IF($R$17="Distrato",$E1174,0))),0,YEARFRAC(MAX($P$708*($B1174+IF($R$17="Distrato",$I$38-1,0)),IF(AND($L$711=0,$P$708=0),"",$L$711-1),IF($R$17="Distrato",$E1174,0)),MIN(AI$38,$D$19),$P$20))-SUM($P1174:AH1174)</f>
        <v>#VALUE!</v>
      </c>
      <c r="AJ1174" s="446" t="e">
        <f>IF(OR($B1174="",MIN(AJ$38,$D$19)&lt;MAX($P$708*($B1174+IF($R$17="Distrato",$I$38-1,0)),IF(AND($L$711=0,$P$708=0),"",$L$711-1),IF($R$17="Distrato",$E1174,0))),0,YEARFRAC(MAX($P$708*($B1174+IF($R$17="Distrato",$I$38-1,0)),IF(AND($L$711=0,$P$708=0),"",$L$711-1),IF($R$17="Distrato",$E1174,0)),MIN(AJ$38,$D$19),$P$20))-SUM($P1174:AI1174)</f>
        <v>#VALUE!</v>
      </c>
      <c r="AK1174" s="446" t="e">
        <f>IF(OR($B1174="",MIN(AK$38,$D$19)&lt;MAX($P$708*($B1174+IF($R$17="Distrato",$I$38-1,0)),IF(AND($L$711=0,$P$708=0),"",$L$711-1),IF($R$17="Distrato",$E1174,0))),0,YEARFRAC(MAX($P$708*($B1174+IF($R$17="Distrato",$I$38-1,0)),IF(AND($L$711=0,$P$708=0),"",$L$711-1),IF($R$17="Distrato",$E1174,0)),MIN(AK$38,$D$19),$P$20))-SUM($P1174:AJ1174)</f>
        <v>#VALUE!</v>
      </c>
      <c r="AL1174" s="446" t="e">
        <f>IF(OR($B1174="",MIN(AL$38,$D$19)&lt;MAX($P$708*($B1174+IF($R$17="Distrato",$I$38-1,0)),IF(AND($L$711=0,$P$708=0),"",$L$711-1),IF($R$17="Distrato",$E1174,0))),0,YEARFRAC(MAX($P$708*($B1174+IF($R$17="Distrato",$I$38-1,0)),IF(AND($L$711=0,$P$708=0),"",$L$711-1),IF($R$17="Distrato",$E1174,0)),MIN(AL$38,$D$19),$P$20))-SUM($P1174:AK1174)</f>
        <v>#VALUE!</v>
      </c>
      <c r="AM1174" s="446" t="e">
        <f>IF(OR($B1174="",MIN(AM$38,$D$19)&lt;MAX($P$708*($B1174+IF($R$17="Distrato",$I$38-1,0)),IF(AND($L$711=0,$P$708=0),"",$L$711-1),IF($R$17="Distrato",$E1174,0))),0,YEARFRAC(MAX($P$708*($B1174+IF($R$17="Distrato",$I$38-1,0)),IF(AND($L$711=0,$P$708=0),"",$L$711-1),IF($R$17="Distrato",$E1174,0)),MIN(AM$38,$D$19),$P$20))-SUM($P1174:AL1174)</f>
        <v>#VALUE!</v>
      </c>
      <c r="AN1174" s="446" t="e">
        <f>IF(OR($B1174="",MIN(AN$38,$D$19)&lt;MAX($P$708*($B1174+IF($R$17="Distrato",$I$38-1,0)),IF(AND($L$711=0,$P$708=0),"",$L$711-1),IF($R$17="Distrato",$E1174,0))),0,YEARFRAC(MAX($P$708*($B1174+IF($R$17="Distrato",$I$38-1,0)),IF(AND($L$711=0,$P$708=0),"",$L$711-1),IF($R$17="Distrato",$E1174,0)),MIN(AN$38,$D$19),$P$20))-SUM($P1174:AM1174)</f>
        <v>#VALUE!</v>
      </c>
      <c r="AO1174" s="446" t="e">
        <f>IF(OR($B1174="",MIN(AO$38,$D$19)&lt;MAX($P$708*($B1174+IF($R$17="Distrato",$I$38-1,0)),IF(AND($L$711=0,$P$708=0),"",$L$711-1),IF($R$17="Distrato",$E1174,0))),0,YEARFRAC(MAX($P$708*($B1174+IF($R$17="Distrato",$I$38-1,0)),IF(AND($L$711=0,$P$708=0),"",$L$711-1),IF($R$17="Distrato",$E1174,0)),MIN(AO$38,$D$19),$P$20))-SUM($P1174:AN1174)</f>
        <v>#VALUE!</v>
      </c>
      <c r="AP1174" s="446" t="e">
        <f>IF(OR($B1174="",MIN(AP$38,$D$19)&lt;MAX($P$708*($B1174+IF($R$17="Distrato",$I$38-1,0)),IF(AND($L$711=0,$P$708=0),"",$L$711-1),IF($R$17="Distrato",$E1174,0))),0,YEARFRAC(MAX($P$708*($B1174+IF($R$17="Distrato",$I$38-1,0)),IF(AND($L$711=0,$P$708=0),"",$L$711-1),IF($R$17="Distrato",$E1174,0)),MIN(AP$38,$D$19),$P$20))-SUM($P1174:AO1174)</f>
        <v>#VALUE!</v>
      </c>
      <c r="AQ1174" s="446" t="e">
        <f>IF(OR($B1174="",MIN(AQ$38,$D$19)&lt;MAX($P$708*($B1174+IF($R$17="Distrato",$I$38-1,0)),IF(AND($L$711=0,$P$708=0),"",$L$711-1),IF($R$17="Distrato",$E1174,0))),0,YEARFRAC(MAX($P$708*($B1174+IF($R$17="Distrato",$I$38-1,0)),IF(AND($L$711=0,$P$708=0),"",$L$711-1),IF($R$17="Distrato",$E1174,0)),MIN(AQ$38,$D$19),$P$20))-SUM($P1174:AP1174)</f>
        <v>#VALUE!</v>
      </c>
      <c r="AR1174" s="446" t="e">
        <f>IF(OR($B1174="",MIN(AR$38,$D$19)&lt;MAX($P$708*($B1174+IF($R$17="Distrato",$I$38-1,0)),IF(AND($L$711=0,$P$708=0),"",$L$711-1),IF($R$17="Distrato",$E1174,0))),0,YEARFRAC(MAX($P$708*($B1174+IF($R$17="Distrato",$I$38-1,0)),IF(AND($L$711=0,$P$708=0),"",$L$711-1),IF($R$17="Distrato",$E1174,0)),MIN(AR$38,$D$19),$P$20))-SUM($P1174:AQ1174)</f>
        <v>#VALUE!</v>
      </c>
      <c r="AS1174" s="446" t="e">
        <f>IF(OR($B1174="",MIN(AS$38,$D$19)&lt;MAX($P$708*($B1174+IF($R$17="Distrato",$I$38-1,0)),IF(AND($L$711=0,$P$708=0),"",$L$711-1),IF($R$17="Distrato",$E1174,0))),0,YEARFRAC(MAX($P$708*($B1174+IF($R$17="Distrato",$I$38-1,0)),IF(AND($L$711=0,$P$708=0),"",$L$711-1),IF($R$17="Distrato",$E1174,0)),MIN(AS$38,$D$19),$P$20))-SUM($P1174:AR1174)</f>
        <v>#VALUE!</v>
      </c>
      <c r="AT1174" s="446" t="e">
        <f>IF(OR($B1174="",MIN(AT$38,$D$19)&lt;MAX($P$708*($B1174+IF($R$17="Distrato",$I$38-1,0)),IF(AND($L$711=0,$P$708=0),"",$L$711-1),IF($R$17="Distrato",$E1174,0))),0,YEARFRAC(MAX($P$708*($B1174+IF($R$17="Distrato",$I$38-1,0)),IF(AND($L$711=0,$P$708=0),"",$L$711-1),IF($R$17="Distrato",$E1174,0)),MIN(AT$38,$D$19),$P$20))-SUM($P1174:AS1174)</f>
        <v>#VALUE!</v>
      </c>
      <c r="AU1174" s="446" t="e">
        <f>IF(OR($B1174="",MIN(AU$38,$D$19)&lt;MAX($P$708*($B1174+IF($R$17="Distrato",$I$38-1,0)),IF(AND($L$711=0,$P$708=0),"",$L$711-1),IF($R$17="Distrato",$E1174,0))),0,YEARFRAC(MAX($P$708*($B1174+IF($R$17="Distrato",$I$38-1,0)),IF(AND($L$711=0,$P$708=0),"",$L$711-1),IF($R$17="Distrato",$E1174,0)),MIN(AU$38,$D$19),$P$20))-SUM($P1174:AT1174)</f>
        <v>#VALUE!</v>
      </c>
      <c r="AV1174" s="446" t="e">
        <f>IF(OR($B1174="",MIN(AV$38,$D$19)&lt;MAX($P$708*($B1174+IF($R$17="Distrato",$I$38-1,0)),IF(AND($L$711=0,$P$708=0),"",$L$711-1),IF($R$17="Distrato",$E1174,0))),0,YEARFRAC(MAX($P$708*($B1174+IF($R$17="Distrato",$I$38-1,0)),IF(AND($L$711=0,$P$708=0),"",$L$711-1),IF($R$17="Distrato",$E1174,0)),MIN(AV$38,$D$19),$P$20))-SUM($P1174:AU1174)</f>
        <v>#VALUE!</v>
      </c>
      <c r="AW1174" s="446" t="e">
        <f>IF(OR($B1174="",MIN(AW$38,$D$19)&lt;MAX($P$708*($B1174+IF($R$17="Distrato",$I$38-1,0)),IF(AND($L$711=0,$P$708=0),"",$L$711-1),IF($R$17="Distrato",$E1174,0))),0,YEARFRAC(MAX($P$708*($B1174+IF($R$17="Distrato",$I$38-1,0)),IF(AND($L$711=0,$P$708=0),"",$L$711-1),IF($R$17="Distrato",$E1174,0)),MIN(AW$38,$D$19),$P$20))-SUM($P1174:AV1174)</f>
        <v>#VALUE!</v>
      </c>
      <c r="AX1174" s="446" t="e">
        <f>IF(OR($B1174="",MIN(AX$38,$D$19)&lt;MAX($P$708*($B1174+IF($R$17="Distrato",$I$38-1,0)),IF(AND($L$711=0,$P$708=0),"",$L$711-1),IF($R$17="Distrato",$E1174,0))),0,YEARFRAC(MAX($P$708*($B1174+IF($R$17="Distrato",$I$38-1,0)),IF(AND($L$711=0,$P$708=0),"",$L$711-1),IF($R$17="Distrato",$E1174,0)),MIN(AX$38,$D$19),$P$20))-SUM($P1174:AW1174)</f>
        <v>#VALUE!</v>
      </c>
      <c r="AY1174" s="446" t="e">
        <f>IF(OR($B1174="",MIN(AY$38,$D$19)&lt;MAX($P$708*($B1174+IF($R$17="Distrato",$I$38-1,0)),IF(AND($L$711=0,$P$708=0),"",$L$711-1),IF($R$17="Distrato",$E1174,0))),0,YEARFRAC(MAX($P$708*($B1174+IF($R$17="Distrato",$I$38-1,0)),IF(AND($L$711=0,$P$708=0),"",$L$711-1),IF($R$17="Distrato",$E1174,0)),MIN(AY$38,$D$19),$P$20))-SUM($P1174:AX1174)</f>
        <v>#VALUE!</v>
      </c>
      <c r="AZ1174" s="446" t="e">
        <f>IF(OR($B1174="",MIN(AZ$38,$D$19)&lt;MAX($P$708*($B1174+IF($R$17="Distrato",$I$38-1,0)),IF(AND($L$711=0,$P$708=0),"",$L$711-1),IF($R$17="Distrato",$E1174,0))),0,YEARFRAC(MAX($P$708*($B1174+IF($R$17="Distrato",$I$38-1,0)),IF(AND($L$711=0,$P$708=0),"",$L$711-1),IF($R$17="Distrato",$E1174,0)),MIN(AZ$38,$D$19),$P$20))-SUM($P1174:AY1174)</f>
        <v>#VALUE!</v>
      </c>
      <c r="BA1174" s="446" t="e">
        <f>IF(OR($B1174="",MIN(BA$38,$D$19)&lt;MAX($P$708*($B1174+IF($R$17="Distrato",$I$38-1,0)),IF(AND($L$711=0,$P$708=0),"",$L$711-1),IF($R$17="Distrato",$E1174,0))),0,YEARFRAC(MAX($P$708*($B1174+IF($R$17="Distrato",$I$38-1,0)),IF(AND($L$711=0,$P$708=0),"",$L$711-1),IF($R$17="Distrato",$E1174,0)),MIN(BA$38,$D$19),$P$20))-SUM($P1174:AZ1174)</f>
        <v>#VALUE!</v>
      </c>
      <c r="BB1174" s="447"/>
    </row>
    <row r="1175" spans="1:54" s="446" customFormat="1" ht="11.25" hidden="1" customHeight="1" x14ac:dyDescent="0.2">
      <c r="A1175" s="235"/>
      <c r="B1175" s="236"/>
      <c r="C1175" s="29" t="str">
        <f>IF(B1175="","",IF($L$709=$BL$25,VLOOKUP(DATE(YEAR($D$19),MONTH($D$19)-1,1),ÍNDICES!$A:$DE,HLOOKUP($BL$25,ÍNDICES!$B$3:$T$4,2)+11)-VLOOKUP(B1175,ÍNDICES!$A:$DE,HLOOKUP($BL$25,ÍNDICES!$B$3:$T$4,2)+11)+1%,IF(C$712=$W$26,$J$35,IF(ISERROR(IF(B1175&gt;$D$19,1,VLOOKUP(DATE(YEAR(B1175),MONTH(B1175)+IF($C$709=$S$23,1,0),1),ÍNDICES!$A:$DE,$Z$709+1))),"",IF(B1175&gt;$D$19,1,VLOOKUP(DATE(YEAR(B1175),MONTH(B1175)+IF($C$709=$S$23,1,0),1),ÍNDICES!$A:$DE,$Z$709+1))))))</f>
        <v/>
      </c>
      <c r="D1175" s="155"/>
      <c r="E1175" s="88"/>
      <c r="F1175" s="88"/>
      <c r="G1175" s="88"/>
      <c r="H1175" s="118"/>
      <c r="I1175" s="182">
        <f t="shared" si="164"/>
        <v>0</v>
      </c>
      <c r="J1175" s="20">
        <f t="shared" ca="1" si="165"/>
        <v>0</v>
      </c>
      <c r="K1175" s="5">
        <f t="shared" ca="1" si="166"/>
        <v>0</v>
      </c>
      <c r="L1175" s="61">
        <f t="shared" ca="1" si="167"/>
        <v>0</v>
      </c>
      <c r="M1175" s="64">
        <f t="shared" si="168"/>
        <v>0</v>
      </c>
      <c r="N1175" s="151"/>
      <c r="O1175" s="5">
        <f t="shared" ca="1" si="169"/>
        <v>0</v>
      </c>
      <c r="P1175" s="446" t="e">
        <f t="shared" si="170"/>
        <v>#VALUE!</v>
      </c>
      <c r="Q1175" s="446" t="e">
        <f>IF(OR($B1175="",MIN(Q$38,$D$19)&lt;MAX($P$708*($B1175+IF($R$17="Distrato",$I$38-1,0)),IF(AND($L$711=0,$P$708=0),"",$L$711-1),IF($R$17="Distrato",$E1175,0))),0,YEARFRAC(MAX($P$708*($B1175+IF($R$17="Distrato",$I$38-1,0)),IF(AND($L$711=0,$P$708=0),"",$L$711-1),IF($R$17="Distrato",$E1175,0)),MIN(Q$38,$D$19),$P$20))-SUM($P1175:P1175)</f>
        <v>#VALUE!</v>
      </c>
      <c r="R1175" s="446" t="e">
        <f>IF(OR($B1175="",MIN(R$38,$D$19)&lt;MAX($P$708*($B1175+IF($R$17="Distrato",$I$38-1,0)),IF(AND($L$711=0,$P$708=0),"",$L$711-1),IF($R$17="Distrato",$E1175,0))),0,YEARFRAC(MAX($P$708*($B1175+IF($R$17="Distrato",$I$38-1,0)),IF(AND($L$711=0,$P$708=0),"",$L$711-1),IF($R$17="Distrato",$E1175,0)),MIN(R$38,$D$19),$P$20))-SUM($P1175:Q1175)</f>
        <v>#VALUE!</v>
      </c>
      <c r="S1175" s="446" t="e">
        <f>IF(OR($B1175="",MIN(S$38,$D$19)&lt;MAX($P$708*($B1175+IF($R$17="Distrato",$I$38-1,0)),IF(AND($L$711=0,$P$708=0),"",$L$711-1),IF($R$17="Distrato",$E1175,0))),0,YEARFRAC(MAX($P$708*($B1175+IF($R$17="Distrato",$I$38-1,0)),IF(AND($L$711=0,$P$708=0),"",$L$711-1),IF($R$17="Distrato",$E1175,0)),MIN(S$38,$D$19),$P$20))-SUM($P1175:R1175)</f>
        <v>#VALUE!</v>
      </c>
      <c r="T1175" s="446" t="e">
        <f>IF(OR($B1175="",MIN(T$38,$D$19)&lt;MAX($P$708*($B1175+IF($R$17="Distrato",$I$38-1,0)),IF(AND($L$711=0,$P$708=0),"",$L$711-1),IF($R$17="Distrato",$E1175,0))),0,YEARFRAC(MAX($P$708*($B1175+IF($R$17="Distrato",$I$38-1,0)),IF(AND($L$711=0,$P$708=0),"",$L$711-1),IF($R$17="Distrato",$E1175,0)),MIN(T$38,$D$19),$P$20))-SUM($P1175:S1175)</f>
        <v>#VALUE!</v>
      </c>
      <c r="U1175" s="446" t="e">
        <f>IF(OR($B1175="",MIN(U$38,$D$19)&lt;MAX($P$708*($B1175+IF($R$17="Distrato",$I$38-1,0)),IF(AND($L$711=0,$P$708=0),"",$L$711-1),IF($R$17="Distrato",$E1175,0))),0,YEARFRAC(MAX($P$708*($B1175+IF($R$17="Distrato",$I$38-1,0)),IF(AND($L$711=0,$P$708=0),"",$L$711-1),IF($R$17="Distrato",$E1175,0)),MIN(U$38,$D$19),$P$20))-SUM($P1175:T1175)</f>
        <v>#VALUE!</v>
      </c>
      <c r="V1175" s="446" t="e">
        <f>IF(OR($B1175="",MIN(V$38,$D$19)&lt;MAX($P$708*($B1175+IF($R$17="Distrato",$I$38-1,0)),IF(AND($L$711=0,$P$708=0),"",$L$711-1),IF($R$17="Distrato",$E1175,0))),0,YEARFRAC(MAX($P$708*($B1175+IF($R$17="Distrato",$I$38-1,0)),IF(AND($L$711=0,$P$708=0),"",$L$711-1),IF($R$17="Distrato",$E1175,0)),MIN(V$38,$D$19),$P$20))-SUM($P1175:U1175)</f>
        <v>#VALUE!</v>
      </c>
      <c r="W1175" s="446" t="e">
        <f>IF(OR($B1175="",MIN(W$38,$D$19)&lt;MAX($P$708*($B1175+IF($R$17="Distrato",$I$38-1,0)),IF(AND($L$711=0,$P$708=0),"",$L$711-1),IF($R$17="Distrato",$E1175,0))),0,YEARFRAC(MAX($P$708*($B1175+IF($R$17="Distrato",$I$38-1,0)),IF(AND($L$711=0,$P$708=0),"",$L$711-1),IF($R$17="Distrato",$E1175,0)),MIN(W$38,$D$19),$P$20))-SUM($P1175:V1175)</f>
        <v>#VALUE!</v>
      </c>
      <c r="X1175" s="446" t="e">
        <f>IF(OR($B1175="",MIN(X$38,$D$19)&lt;MAX($P$708*($B1175+IF($R$17="Distrato",$I$38-1,0)),IF(AND($L$711=0,$P$708=0),"",$L$711-1),IF($R$17="Distrato",$E1175,0))),0,YEARFRAC(MAX($P$708*($B1175+IF($R$17="Distrato",$I$38-1,0)),IF(AND($L$711=0,$P$708=0),"",$L$711-1),IF($R$17="Distrato",$E1175,0)),MIN(X$38,$D$19),$P$20))-SUM($P1175:W1175)</f>
        <v>#VALUE!</v>
      </c>
      <c r="Y1175" s="446" t="e">
        <f>IF(OR($B1175="",MIN(Y$38,$D$19)&lt;MAX($P$708*($B1175+IF($R$17="Distrato",$I$38-1,0)),IF(AND($L$711=0,$P$708=0),"",$L$711-1),IF($R$17="Distrato",$E1175,0))),0,YEARFRAC(MAX($P$708*($B1175+IF($R$17="Distrato",$I$38-1,0)),IF(AND($L$711=0,$P$708=0),"",$L$711-1),IF($R$17="Distrato",$E1175,0)),MIN(Y$38,$D$19),$P$20))-SUM($P1175:X1175)</f>
        <v>#VALUE!</v>
      </c>
      <c r="Z1175" s="446" t="e">
        <f>IF(OR($B1175="",MIN(Z$38,$D$19)&lt;MAX($P$708*($B1175+IF($R$17="Distrato",$I$38-1,0)),IF(AND($L$711=0,$P$708=0),"",$L$711-1),IF($R$17="Distrato",$E1175,0))),0,YEARFRAC(MAX($P$708*($B1175+IF($R$17="Distrato",$I$38-1,0)),IF(AND($L$711=0,$P$708=0),"",$L$711-1),IF($R$17="Distrato",$E1175,0)),MIN(Z$38,$D$19),$P$20))-SUM($P1175:Y1175)</f>
        <v>#VALUE!</v>
      </c>
      <c r="AA1175" s="446" t="e">
        <f>IF(OR($B1175="",MIN(AA$38,$D$19)&lt;MAX($P$708*($B1175+IF($R$17="Distrato",$I$38-1,0)),IF(AND($L$711=0,$P$708=0),"",$L$711-1),IF($R$17="Distrato",$E1175,0))),0,YEARFRAC(MAX($P$708*($B1175+IF($R$17="Distrato",$I$38-1,0)),IF(AND($L$711=0,$P$708=0),"",$L$711-1),IF($R$17="Distrato",$E1175,0)),MIN(AA$38,$D$19),$P$20))-SUM($P1175:Z1175)</f>
        <v>#VALUE!</v>
      </c>
      <c r="AB1175" s="446" t="e">
        <f>IF(OR($B1175="",MIN(AB$38,$D$19)&lt;MAX($P$708*($B1175+IF($R$17="Distrato",$I$38-1,0)),IF(AND($L$711=0,$P$708=0),"",$L$711-1),IF($R$17="Distrato",$E1175,0))),0,YEARFRAC(MAX($P$708*($B1175+IF($R$17="Distrato",$I$38-1,0)),IF(AND($L$711=0,$P$708=0),"",$L$711-1),IF($R$17="Distrato",$E1175,0)),MIN(AB$38,$D$19),$P$20))-SUM($P1175:AA1175)</f>
        <v>#VALUE!</v>
      </c>
      <c r="AC1175" s="446" t="e">
        <f>IF(OR($B1175="",MIN(AC$38,$D$19)&lt;MAX($P$708*($B1175+IF($R$17="Distrato",$I$38-1,0)),IF(AND($L$711=0,$P$708=0),"",$L$711-1),IF($R$17="Distrato",$E1175,0))),0,YEARFRAC(MAX($P$708*($B1175+IF($R$17="Distrato",$I$38-1,0)),IF(AND($L$711=0,$P$708=0),"",$L$711-1),IF($R$17="Distrato",$E1175,0)),MIN(AC$38,$D$19),$P$20))-SUM($P1175:AB1175)</f>
        <v>#VALUE!</v>
      </c>
      <c r="AD1175" s="446" t="e">
        <f>IF(OR($B1175="",MIN(AD$38,$D$19)&lt;MAX($P$708*($B1175+IF($R$17="Distrato",$I$38-1,0)),IF(AND($L$711=0,$P$708=0),"",$L$711-1),IF($R$17="Distrato",$E1175,0))),0,YEARFRAC(MAX($P$708*($B1175+IF($R$17="Distrato",$I$38-1,0)),IF(AND($L$711=0,$P$708=0),"",$L$711-1),IF($R$17="Distrato",$E1175,0)),MIN(AD$38,$D$19),$P$20))-SUM($P1175:AC1175)</f>
        <v>#VALUE!</v>
      </c>
      <c r="AE1175" s="446" t="e">
        <f>IF(OR($B1175="",MIN(AE$38,$D$19)&lt;MAX($P$708*($B1175+IF($R$17="Distrato",$I$38-1,0)),IF(AND($L$711=0,$P$708=0),"",$L$711-1),IF($R$17="Distrato",$E1175,0))),0,YEARFRAC(MAX($P$708*($B1175+IF($R$17="Distrato",$I$38-1,0)),IF(AND($L$711=0,$P$708=0),"",$L$711-1),IF($R$17="Distrato",$E1175,0)),MIN(AE$38,$D$19),$P$20))-SUM($P1175:AD1175)</f>
        <v>#VALUE!</v>
      </c>
      <c r="AF1175" s="446" t="e">
        <f>IF(OR($B1175="",MIN(AF$38,$D$19)&lt;MAX($P$708*($B1175+IF($R$17="Distrato",$I$38-1,0)),IF(AND($L$711=0,$P$708=0),"",$L$711-1),IF($R$17="Distrato",$E1175,0))),0,YEARFRAC(MAX($P$708*($B1175+IF($R$17="Distrato",$I$38-1,0)),IF(AND($L$711=0,$P$708=0),"",$L$711-1),IF($R$17="Distrato",$E1175,0)),MIN(AF$38,$D$19),$P$20))-SUM($P1175:AE1175)</f>
        <v>#VALUE!</v>
      </c>
      <c r="AG1175" s="446" t="e">
        <f>IF(OR($B1175="",MIN(AG$38,$D$19)&lt;MAX($P$708*($B1175+IF($R$17="Distrato",$I$38-1,0)),IF(AND($L$711=0,$P$708=0),"",$L$711-1),IF($R$17="Distrato",$E1175,0))),0,YEARFRAC(MAX($P$708*($B1175+IF($R$17="Distrato",$I$38-1,0)),IF(AND($L$711=0,$P$708=0),"",$L$711-1),IF($R$17="Distrato",$E1175,0)),MIN(AG$38,$D$19),$P$20))-SUM($P1175:AF1175)</f>
        <v>#VALUE!</v>
      </c>
      <c r="AH1175" s="446" t="e">
        <f>IF(OR($B1175="",MIN(AH$38,$D$19)&lt;MAX($P$708*($B1175+IF($R$17="Distrato",$I$38-1,0)),IF(AND($L$711=0,$P$708=0),"",$L$711-1),IF($R$17="Distrato",$E1175,0))),0,YEARFRAC(MAX($P$708*($B1175+IF($R$17="Distrato",$I$38-1,0)),IF(AND($L$711=0,$P$708=0),"",$L$711-1),IF($R$17="Distrato",$E1175,0)),MIN(AH$38,$D$19),$P$20))-SUM($P1175:AG1175)</f>
        <v>#VALUE!</v>
      </c>
      <c r="AI1175" s="446" t="e">
        <f>IF(OR($B1175="",MIN(AI$38,$D$19)&lt;MAX($P$708*($B1175+IF($R$17="Distrato",$I$38-1,0)),IF(AND($L$711=0,$P$708=0),"",$L$711-1),IF($R$17="Distrato",$E1175,0))),0,YEARFRAC(MAX($P$708*($B1175+IF($R$17="Distrato",$I$38-1,0)),IF(AND($L$711=0,$P$708=0),"",$L$711-1),IF($R$17="Distrato",$E1175,0)),MIN(AI$38,$D$19),$P$20))-SUM($P1175:AH1175)</f>
        <v>#VALUE!</v>
      </c>
      <c r="AJ1175" s="446" t="e">
        <f>IF(OR($B1175="",MIN(AJ$38,$D$19)&lt;MAX($P$708*($B1175+IF($R$17="Distrato",$I$38-1,0)),IF(AND($L$711=0,$P$708=0),"",$L$711-1),IF($R$17="Distrato",$E1175,0))),0,YEARFRAC(MAX($P$708*($B1175+IF($R$17="Distrato",$I$38-1,0)),IF(AND($L$711=0,$P$708=0),"",$L$711-1),IF($R$17="Distrato",$E1175,0)),MIN(AJ$38,$D$19),$P$20))-SUM($P1175:AI1175)</f>
        <v>#VALUE!</v>
      </c>
      <c r="AK1175" s="446" t="e">
        <f>IF(OR($B1175="",MIN(AK$38,$D$19)&lt;MAX($P$708*($B1175+IF($R$17="Distrato",$I$38-1,0)),IF(AND($L$711=0,$P$708=0),"",$L$711-1),IF($R$17="Distrato",$E1175,0))),0,YEARFRAC(MAX($P$708*($B1175+IF($R$17="Distrato",$I$38-1,0)),IF(AND($L$711=0,$P$708=0),"",$L$711-1),IF($R$17="Distrato",$E1175,0)),MIN(AK$38,$D$19),$P$20))-SUM($P1175:AJ1175)</f>
        <v>#VALUE!</v>
      </c>
      <c r="AL1175" s="446" t="e">
        <f>IF(OR($B1175="",MIN(AL$38,$D$19)&lt;MAX($P$708*($B1175+IF($R$17="Distrato",$I$38-1,0)),IF(AND($L$711=0,$P$708=0),"",$L$711-1),IF($R$17="Distrato",$E1175,0))),0,YEARFRAC(MAX($P$708*($B1175+IF($R$17="Distrato",$I$38-1,0)),IF(AND($L$711=0,$P$708=0),"",$L$711-1),IF($R$17="Distrato",$E1175,0)),MIN(AL$38,$D$19),$P$20))-SUM($P1175:AK1175)</f>
        <v>#VALUE!</v>
      </c>
      <c r="AM1175" s="446" t="e">
        <f>IF(OR($B1175="",MIN(AM$38,$D$19)&lt;MAX($P$708*($B1175+IF($R$17="Distrato",$I$38-1,0)),IF(AND($L$711=0,$P$708=0),"",$L$711-1),IF($R$17="Distrato",$E1175,0))),0,YEARFRAC(MAX($P$708*($B1175+IF($R$17="Distrato",$I$38-1,0)),IF(AND($L$711=0,$P$708=0),"",$L$711-1),IF($R$17="Distrato",$E1175,0)),MIN(AM$38,$D$19),$P$20))-SUM($P1175:AL1175)</f>
        <v>#VALUE!</v>
      </c>
      <c r="AN1175" s="446" t="e">
        <f>IF(OR($B1175="",MIN(AN$38,$D$19)&lt;MAX($P$708*($B1175+IF($R$17="Distrato",$I$38-1,0)),IF(AND($L$711=0,$P$708=0),"",$L$711-1),IF($R$17="Distrato",$E1175,0))),0,YEARFRAC(MAX($P$708*($B1175+IF($R$17="Distrato",$I$38-1,0)),IF(AND($L$711=0,$P$708=0),"",$L$711-1),IF($R$17="Distrato",$E1175,0)),MIN(AN$38,$D$19),$P$20))-SUM($P1175:AM1175)</f>
        <v>#VALUE!</v>
      </c>
      <c r="AO1175" s="446" t="e">
        <f>IF(OR($B1175="",MIN(AO$38,$D$19)&lt;MAX($P$708*($B1175+IF($R$17="Distrato",$I$38-1,0)),IF(AND($L$711=0,$P$708=0),"",$L$711-1),IF($R$17="Distrato",$E1175,0))),0,YEARFRAC(MAX($P$708*($B1175+IF($R$17="Distrato",$I$38-1,0)),IF(AND($L$711=0,$P$708=0),"",$L$711-1),IF($R$17="Distrato",$E1175,0)),MIN(AO$38,$D$19),$P$20))-SUM($P1175:AN1175)</f>
        <v>#VALUE!</v>
      </c>
      <c r="AP1175" s="446" t="e">
        <f>IF(OR($B1175="",MIN(AP$38,$D$19)&lt;MAX($P$708*($B1175+IF($R$17="Distrato",$I$38-1,0)),IF(AND($L$711=0,$P$708=0),"",$L$711-1),IF($R$17="Distrato",$E1175,0))),0,YEARFRAC(MAX($P$708*($B1175+IF($R$17="Distrato",$I$38-1,0)),IF(AND($L$711=0,$P$708=0),"",$L$711-1),IF($R$17="Distrato",$E1175,0)),MIN(AP$38,$D$19),$P$20))-SUM($P1175:AO1175)</f>
        <v>#VALUE!</v>
      </c>
      <c r="AQ1175" s="446" t="e">
        <f>IF(OR($B1175="",MIN(AQ$38,$D$19)&lt;MAX($P$708*($B1175+IF($R$17="Distrato",$I$38-1,0)),IF(AND($L$711=0,$P$708=0),"",$L$711-1),IF($R$17="Distrato",$E1175,0))),0,YEARFRAC(MAX($P$708*($B1175+IF($R$17="Distrato",$I$38-1,0)),IF(AND($L$711=0,$P$708=0),"",$L$711-1),IF($R$17="Distrato",$E1175,0)),MIN(AQ$38,$D$19),$P$20))-SUM($P1175:AP1175)</f>
        <v>#VALUE!</v>
      </c>
      <c r="AR1175" s="446" t="e">
        <f>IF(OR($B1175="",MIN(AR$38,$D$19)&lt;MAX($P$708*($B1175+IF($R$17="Distrato",$I$38-1,0)),IF(AND($L$711=0,$P$708=0),"",$L$711-1),IF($R$17="Distrato",$E1175,0))),0,YEARFRAC(MAX($P$708*($B1175+IF($R$17="Distrato",$I$38-1,0)),IF(AND($L$711=0,$P$708=0),"",$L$711-1),IF($R$17="Distrato",$E1175,0)),MIN(AR$38,$D$19),$P$20))-SUM($P1175:AQ1175)</f>
        <v>#VALUE!</v>
      </c>
      <c r="AS1175" s="446" t="e">
        <f>IF(OR($B1175="",MIN(AS$38,$D$19)&lt;MAX($P$708*($B1175+IF($R$17="Distrato",$I$38-1,0)),IF(AND($L$711=0,$P$708=0),"",$L$711-1),IF($R$17="Distrato",$E1175,0))),0,YEARFRAC(MAX($P$708*($B1175+IF($R$17="Distrato",$I$38-1,0)),IF(AND($L$711=0,$P$708=0),"",$L$711-1),IF($R$17="Distrato",$E1175,0)),MIN(AS$38,$D$19),$P$20))-SUM($P1175:AR1175)</f>
        <v>#VALUE!</v>
      </c>
      <c r="AT1175" s="446" t="e">
        <f>IF(OR($B1175="",MIN(AT$38,$D$19)&lt;MAX($P$708*($B1175+IF($R$17="Distrato",$I$38-1,0)),IF(AND($L$711=0,$P$708=0),"",$L$711-1),IF($R$17="Distrato",$E1175,0))),0,YEARFRAC(MAX($P$708*($B1175+IF($R$17="Distrato",$I$38-1,0)),IF(AND($L$711=0,$P$708=0),"",$L$711-1),IF($R$17="Distrato",$E1175,0)),MIN(AT$38,$D$19),$P$20))-SUM($P1175:AS1175)</f>
        <v>#VALUE!</v>
      </c>
      <c r="AU1175" s="446" t="e">
        <f>IF(OR($B1175="",MIN(AU$38,$D$19)&lt;MAX($P$708*($B1175+IF($R$17="Distrato",$I$38-1,0)),IF(AND($L$711=0,$P$708=0),"",$L$711-1),IF($R$17="Distrato",$E1175,0))),0,YEARFRAC(MAX($P$708*($B1175+IF($R$17="Distrato",$I$38-1,0)),IF(AND($L$711=0,$P$708=0),"",$L$711-1),IF($R$17="Distrato",$E1175,0)),MIN(AU$38,$D$19),$P$20))-SUM($P1175:AT1175)</f>
        <v>#VALUE!</v>
      </c>
      <c r="AV1175" s="446" t="e">
        <f>IF(OR($B1175="",MIN(AV$38,$D$19)&lt;MAX($P$708*($B1175+IF($R$17="Distrato",$I$38-1,0)),IF(AND($L$711=0,$P$708=0),"",$L$711-1),IF($R$17="Distrato",$E1175,0))),0,YEARFRAC(MAX($P$708*($B1175+IF($R$17="Distrato",$I$38-1,0)),IF(AND($L$711=0,$P$708=0),"",$L$711-1),IF($R$17="Distrato",$E1175,0)),MIN(AV$38,$D$19),$P$20))-SUM($P1175:AU1175)</f>
        <v>#VALUE!</v>
      </c>
      <c r="AW1175" s="446" t="e">
        <f>IF(OR($B1175="",MIN(AW$38,$D$19)&lt;MAX($P$708*($B1175+IF($R$17="Distrato",$I$38-1,0)),IF(AND($L$711=0,$P$708=0),"",$L$711-1),IF($R$17="Distrato",$E1175,0))),0,YEARFRAC(MAX($P$708*($B1175+IF($R$17="Distrato",$I$38-1,0)),IF(AND($L$711=0,$P$708=0),"",$L$711-1),IF($R$17="Distrato",$E1175,0)),MIN(AW$38,$D$19),$P$20))-SUM($P1175:AV1175)</f>
        <v>#VALUE!</v>
      </c>
      <c r="AX1175" s="446" t="e">
        <f>IF(OR($B1175="",MIN(AX$38,$D$19)&lt;MAX($P$708*($B1175+IF($R$17="Distrato",$I$38-1,0)),IF(AND($L$711=0,$P$708=0),"",$L$711-1),IF($R$17="Distrato",$E1175,0))),0,YEARFRAC(MAX($P$708*($B1175+IF($R$17="Distrato",$I$38-1,0)),IF(AND($L$711=0,$P$708=0),"",$L$711-1),IF($R$17="Distrato",$E1175,0)),MIN(AX$38,$D$19),$P$20))-SUM($P1175:AW1175)</f>
        <v>#VALUE!</v>
      </c>
      <c r="AY1175" s="446" t="e">
        <f>IF(OR($B1175="",MIN(AY$38,$D$19)&lt;MAX($P$708*($B1175+IF($R$17="Distrato",$I$38-1,0)),IF(AND($L$711=0,$P$708=0),"",$L$711-1),IF($R$17="Distrato",$E1175,0))),0,YEARFRAC(MAX($P$708*($B1175+IF($R$17="Distrato",$I$38-1,0)),IF(AND($L$711=0,$P$708=0),"",$L$711-1),IF($R$17="Distrato",$E1175,0)),MIN(AY$38,$D$19),$P$20))-SUM($P1175:AX1175)</f>
        <v>#VALUE!</v>
      </c>
      <c r="AZ1175" s="446" t="e">
        <f>IF(OR($B1175="",MIN(AZ$38,$D$19)&lt;MAX($P$708*($B1175+IF($R$17="Distrato",$I$38-1,0)),IF(AND($L$711=0,$P$708=0),"",$L$711-1),IF($R$17="Distrato",$E1175,0))),0,YEARFRAC(MAX($P$708*($B1175+IF($R$17="Distrato",$I$38-1,0)),IF(AND($L$711=0,$P$708=0),"",$L$711-1),IF($R$17="Distrato",$E1175,0)),MIN(AZ$38,$D$19),$P$20))-SUM($P1175:AY1175)</f>
        <v>#VALUE!</v>
      </c>
      <c r="BA1175" s="446" t="e">
        <f>IF(OR($B1175="",MIN(BA$38,$D$19)&lt;MAX($P$708*($B1175+IF($R$17="Distrato",$I$38-1,0)),IF(AND($L$711=0,$P$708=0),"",$L$711-1),IF($R$17="Distrato",$E1175,0))),0,YEARFRAC(MAX($P$708*($B1175+IF($R$17="Distrato",$I$38-1,0)),IF(AND($L$711=0,$P$708=0),"",$L$711-1),IF($R$17="Distrato",$E1175,0)),MIN(BA$38,$D$19),$P$20))-SUM($P1175:AZ1175)</f>
        <v>#VALUE!</v>
      </c>
      <c r="BB1175" s="447"/>
    </row>
    <row r="1176" spans="1:54" s="446" customFormat="1" ht="11.25" hidden="1" customHeight="1" x14ac:dyDescent="0.2">
      <c r="A1176" s="235"/>
      <c r="B1176" s="236"/>
      <c r="C1176" s="29" t="str">
        <f>IF(B1176="","",IF($L$709=$BL$25,VLOOKUP(DATE(YEAR($D$19),MONTH($D$19)-1,1),ÍNDICES!$A:$DE,HLOOKUP($BL$25,ÍNDICES!$B$3:$T$4,2)+11)-VLOOKUP(B1176,ÍNDICES!$A:$DE,HLOOKUP($BL$25,ÍNDICES!$B$3:$T$4,2)+11)+1%,IF(C$712=$W$26,$J$35,IF(ISERROR(IF(B1176&gt;$D$19,1,VLOOKUP(DATE(YEAR(B1176),MONTH(B1176)+IF($C$709=$S$23,1,0),1),ÍNDICES!$A:$DE,$Z$709+1))),"",IF(B1176&gt;$D$19,1,VLOOKUP(DATE(YEAR(B1176),MONTH(B1176)+IF($C$709=$S$23,1,0),1),ÍNDICES!$A:$DE,$Z$709+1))))))</f>
        <v/>
      </c>
      <c r="D1176" s="155"/>
      <c r="E1176" s="88"/>
      <c r="F1176" s="88"/>
      <c r="G1176" s="88"/>
      <c r="H1176" s="118"/>
      <c r="I1176" s="182">
        <f t="shared" si="164"/>
        <v>0</v>
      </c>
      <c r="J1176" s="20">
        <f t="shared" ca="1" si="165"/>
        <v>0</v>
      </c>
      <c r="K1176" s="5">
        <f t="shared" ca="1" si="166"/>
        <v>0</v>
      </c>
      <c r="L1176" s="61">
        <f t="shared" ca="1" si="167"/>
        <v>0</v>
      </c>
      <c r="M1176" s="64">
        <f t="shared" si="168"/>
        <v>0</v>
      </c>
      <c r="N1176" s="151"/>
      <c r="O1176" s="5">
        <f t="shared" ca="1" si="169"/>
        <v>0</v>
      </c>
      <c r="P1176" s="446" t="e">
        <f t="shared" si="170"/>
        <v>#VALUE!</v>
      </c>
      <c r="Q1176" s="446" t="e">
        <f>IF(OR($B1176="",MIN(Q$38,$D$19)&lt;MAX($P$708*($B1176+IF($R$17="Distrato",$I$38-1,0)),IF(AND($L$711=0,$P$708=0),"",$L$711-1),IF($R$17="Distrato",$E1176,0))),0,YEARFRAC(MAX($P$708*($B1176+IF($R$17="Distrato",$I$38-1,0)),IF(AND($L$711=0,$P$708=0),"",$L$711-1),IF($R$17="Distrato",$E1176,0)),MIN(Q$38,$D$19),$P$20))-SUM($P1176:P1176)</f>
        <v>#VALUE!</v>
      </c>
      <c r="R1176" s="446" t="e">
        <f>IF(OR($B1176="",MIN(R$38,$D$19)&lt;MAX($P$708*($B1176+IF($R$17="Distrato",$I$38-1,0)),IF(AND($L$711=0,$P$708=0),"",$L$711-1),IF($R$17="Distrato",$E1176,0))),0,YEARFRAC(MAX($P$708*($B1176+IF($R$17="Distrato",$I$38-1,0)),IF(AND($L$711=0,$P$708=0),"",$L$711-1),IF($R$17="Distrato",$E1176,0)),MIN(R$38,$D$19),$P$20))-SUM($P1176:Q1176)</f>
        <v>#VALUE!</v>
      </c>
      <c r="S1176" s="446" t="e">
        <f>IF(OR($B1176="",MIN(S$38,$D$19)&lt;MAX($P$708*($B1176+IF($R$17="Distrato",$I$38-1,0)),IF(AND($L$711=0,$P$708=0),"",$L$711-1),IF($R$17="Distrato",$E1176,0))),0,YEARFRAC(MAX($P$708*($B1176+IF($R$17="Distrato",$I$38-1,0)),IF(AND($L$711=0,$P$708=0),"",$L$711-1),IF($R$17="Distrato",$E1176,0)),MIN(S$38,$D$19),$P$20))-SUM($P1176:R1176)</f>
        <v>#VALUE!</v>
      </c>
      <c r="T1176" s="446" t="e">
        <f>IF(OR($B1176="",MIN(T$38,$D$19)&lt;MAX($P$708*($B1176+IF($R$17="Distrato",$I$38-1,0)),IF(AND($L$711=0,$P$708=0),"",$L$711-1),IF($R$17="Distrato",$E1176,0))),0,YEARFRAC(MAX($P$708*($B1176+IF($R$17="Distrato",$I$38-1,0)),IF(AND($L$711=0,$P$708=0),"",$L$711-1),IF($R$17="Distrato",$E1176,0)),MIN(T$38,$D$19),$P$20))-SUM($P1176:S1176)</f>
        <v>#VALUE!</v>
      </c>
      <c r="U1176" s="446" t="e">
        <f>IF(OR($B1176="",MIN(U$38,$D$19)&lt;MAX($P$708*($B1176+IF($R$17="Distrato",$I$38-1,0)),IF(AND($L$711=0,$P$708=0),"",$L$711-1),IF($R$17="Distrato",$E1176,0))),0,YEARFRAC(MAX($P$708*($B1176+IF($R$17="Distrato",$I$38-1,0)),IF(AND($L$711=0,$P$708=0),"",$L$711-1),IF($R$17="Distrato",$E1176,0)),MIN(U$38,$D$19),$P$20))-SUM($P1176:T1176)</f>
        <v>#VALUE!</v>
      </c>
      <c r="V1176" s="446" t="e">
        <f>IF(OR($B1176="",MIN(V$38,$D$19)&lt;MAX($P$708*($B1176+IF($R$17="Distrato",$I$38-1,0)),IF(AND($L$711=0,$P$708=0),"",$L$711-1),IF($R$17="Distrato",$E1176,0))),0,YEARFRAC(MAX($P$708*($B1176+IF($R$17="Distrato",$I$38-1,0)),IF(AND($L$711=0,$P$708=0),"",$L$711-1),IF($R$17="Distrato",$E1176,0)),MIN(V$38,$D$19),$P$20))-SUM($P1176:U1176)</f>
        <v>#VALUE!</v>
      </c>
      <c r="W1176" s="446" t="e">
        <f>IF(OR($B1176="",MIN(W$38,$D$19)&lt;MAX($P$708*($B1176+IF($R$17="Distrato",$I$38-1,0)),IF(AND($L$711=0,$P$708=0),"",$L$711-1),IF($R$17="Distrato",$E1176,0))),0,YEARFRAC(MAX($P$708*($B1176+IF($R$17="Distrato",$I$38-1,0)),IF(AND($L$711=0,$P$708=0),"",$L$711-1),IF($R$17="Distrato",$E1176,0)),MIN(W$38,$D$19),$P$20))-SUM($P1176:V1176)</f>
        <v>#VALUE!</v>
      </c>
      <c r="X1176" s="446" t="e">
        <f>IF(OR($B1176="",MIN(X$38,$D$19)&lt;MAX($P$708*($B1176+IF($R$17="Distrato",$I$38-1,0)),IF(AND($L$711=0,$P$708=0),"",$L$711-1),IF($R$17="Distrato",$E1176,0))),0,YEARFRAC(MAX($P$708*($B1176+IF($R$17="Distrato",$I$38-1,0)),IF(AND($L$711=0,$P$708=0),"",$L$711-1),IF($R$17="Distrato",$E1176,0)),MIN(X$38,$D$19),$P$20))-SUM($P1176:W1176)</f>
        <v>#VALUE!</v>
      </c>
      <c r="Y1176" s="446" t="e">
        <f>IF(OR($B1176="",MIN(Y$38,$D$19)&lt;MAX($P$708*($B1176+IF($R$17="Distrato",$I$38-1,0)),IF(AND($L$711=0,$P$708=0),"",$L$711-1),IF($R$17="Distrato",$E1176,0))),0,YEARFRAC(MAX($P$708*($B1176+IF($R$17="Distrato",$I$38-1,0)),IF(AND($L$711=0,$P$708=0),"",$L$711-1),IF($R$17="Distrato",$E1176,0)),MIN(Y$38,$D$19),$P$20))-SUM($P1176:X1176)</f>
        <v>#VALUE!</v>
      </c>
      <c r="Z1176" s="446" t="e">
        <f>IF(OR($B1176="",MIN(Z$38,$D$19)&lt;MAX($P$708*($B1176+IF($R$17="Distrato",$I$38-1,0)),IF(AND($L$711=0,$P$708=0),"",$L$711-1),IF($R$17="Distrato",$E1176,0))),0,YEARFRAC(MAX($P$708*($B1176+IF($R$17="Distrato",$I$38-1,0)),IF(AND($L$711=0,$P$708=0),"",$L$711-1),IF($R$17="Distrato",$E1176,0)),MIN(Z$38,$D$19),$P$20))-SUM($P1176:Y1176)</f>
        <v>#VALUE!</v>
      </c>
      <c r="AA1176" s="446" t="e">
        <f>IF(OR($B1176="",MIN(AA$38,$D$19)&lt;MAX($P$708*($B1176+IF($R$17="Distrato",$I$38-1,0)),IF(AND($L$711=0,$P$708=0),"",$L$711-1),IF($R$17="Distrato",$E1176,0))),0,YEARFRAC(MAX($P$708*($B1176+IF($R$17="Distrato",$I$38-1,0)),IF(AND($L$711=0,$P$708=0),"",$L$711-1),IF($R$17="Distrato",$E1176,0)),MIN(AA$38,$D$19),$P$20))-SUM($P1176:Z1176)</f>
        <v>#VALUE!</v>
      </c>
      <c r="AB1176" s="446" t="e">
        <f>IF(OR($B1176="",MIN(AB$38,$D$19)&lt;MAX($P$708*($B1176+IF($R$17="Distrato",$I$38-1,0)),IF(AND($L$711=0,$P$708=0),"",$L$711-1),IF($R$17="Distrato",$E1176,0))),0,YEARFRAC(MAX($P$708*($B1176+IF($R$17="Distrato",$I$38-1,0)),IF(AND($L$711=0,$P$708=0),"",$L$711-1),IF($R$17="Distrato",$E1176,0)),MIN(AB$38,$D$19),$P$20))-SUM($P1176:AA1176)</f>
        <v>#VALUE!</v>
      </c>
      <c r="AC1176" s="446" t="e">
        <f>IF(OR($B1176="",MIN(AC$38,$D$19)&lt;MAX($P$708*($B1176+IF($R$17="Distrato",$I$38-1,0)),IF(AND($L$711=0,$P$708=0),"",$L$711-1),IF($R$17="Distrato",$E1176,0))),0,YEARFRAC(MAX($P$708*($B1176+IF($R$17="Distrato",$I$38-1,0)),IF(AND($L$711=0,$P$708=0),"",$L$711-1),IF($R$17="Distrato",$E1176,0)),MIN(AC$38,$D$19),$P$20))-SUM($P1176:AB1176)</f>
        <v>#VALUE!</v>
      </c>
      <c r="AD1176" s="446" t="e">
        <f>IF(OR($B1176="",MIN(AD$38,$D$19)&lt;MAX($P$708*($B1176+IF($R$17="Distrato",$I$38-1,0)),IF(AND($L$711=0,$P$708=0),"",$L$711-1),IF($R$17="Distrato",$E1176,0))),0,YEARFRAC(MAX($P$708*($B1176+IF($R$17="Distrato",$I$38-1,0)),IF(AND($L$711=0,$P$708=0),"",$L$711-1),IF($R$17="Distrato",$E1176,0)),MIN(AD$38,$D$19),$P$20))-SUM($P1176:AC1176)</f>
        <v>#VALUE!</v>
      </c>
      <c r="AE1176" s="446" t="e">
        <f>IF(OR($B1176="",MIN(AE$38,$D$19)&lt;MAX($P$708*($B1176+IF($R$17="Distrato",$I$38-1,0)),IF(AND($L$711=0,$P$708=0),"",$L$711-1),IF($R$17="Distrato",$E1176,0))),0,YEARFRAC(MAX($P$708*($B1176+IF($R$17="Distrato",$I$38-1,0)),IF(AND($L$711=0,$P$708=0),"",$L$711-1),IF($R$17="Distrato",$E1176,0)),MIN(AE$38,$D$19),$P$20))-SUM($P1176:AD1176)</f>
        <v>#VALUE!</v>
      </c>
      <c r="AF1176" s="446" t="e">
        <f>IF(OR($B1176="",MIN(AF$38,$D$19)&lt;MAX($P$708*($B1176+IF($R$17="Distrato",$I$38-1,0)),IF(AND($L$711=0,$P$708=0),"",$L$711-1),IF($R$17="Distrato",$E1176,0))),0,YEARFRAC(MAX($P$708*($B1176+IF($R$17="Distrato",$I$38-1,0)),IF(AND($L$711=0,$P$708=0),"",$L$711-1),IF($R$17="Distrato",$E1176,0)),MIN(AF$38,$D$19),$P$20))-SUM($P1176:AE1176)</f>
        <v>#VALUE!</v>
      </c>
      <c r="AG1176" s="446" t="e">
        <f>IF(OR($B1176="",MIN(AG$38,$D$19)&lt;MAX($P$708*($B1176+IF($R$17="Distrato",$I$38-1,0)),IF(AND($L$711=0,$P$708=0),"",$L$711-1),IF($R$17="Distrato",$E1176,0))),0,YEARFRAC(MAX($P$708*($B1176+IF($R$17="Distrato",$I$38-1,0)),IF(AND($L$711=0,$P$708=0),"",$L$711-1),IF($R$17="Distrato",$E1176,0)),MIN(AG$38,$D$19),$P$20))-SUM($P1176:AF1176)</f>
        <v>#VALUE!</v>
      </c>
      <c r="AH1176" s="446" t="e">
        <f>IF(OR($B1176="",MIN(AH$38,$D$19)&lt;MAX($P$708*($B1176+IF($R$17="Distrato",$I$38-1,0)),IF(AND($L$711=0,$P$708=0),"",$L$711-1),IF($R$17="Distrato",$E1176,0))),0,YEARFRAC(MAX($P$708*($B1176+IF($R$17="Distrato",$I$38-1,0)),IF(AND($L$711=0,$P$708=0),"",$L$711-1),IF($R$17="Distrato",$E1176,0)),MIN(AH$38,$D$19),$P$20))-SUM($P1176:AG1176)</f>
        <v>#VALUE!</v>
      </c>
      <c r="AI1176" s="446" t="e">
        <f>IF(OR($B1176="",MIN(AI$38,$D$19)&lt;MAX($P$708*($B1176+IF($R$17="Distrato",$I$38-1,0)),IF(AND($L$711=0,$P$708=0),"",$L$711-1),IF($R$17="Distrato",$E1176,0))),0,YEARFRAC(MAX($P$708*($B1176+IF($R$17="Distrato",$I$38-1,0)),IF(AND($L$711=0,$P$708=0),"",$L$711-1),IF($R$17="Distrato",$E1176,0)),MIN(AI$38,$D$19),$P$20))-SUM($P1176:AH1176)</f>
        <v>#VALUE!</v>
      </c>
      <c r="AJ1176" s="446" t="e">
        <f>IF(OR($B1176="",MIN(AJ$38,$D$19)&lt;MAX($P$708*($B1176+IF($R$17="Distrato",$I$38-1,0)),IF(AND($L$711=0,$P$708=0),"",$L$711-1),IF($R$17="Distrato",$E1176,0))),0,YEARFRAC(MAX($P$708*($B1176+IF($R$17="Distrato",$I$38-1,0)),IF(AND($L$711=0,$P$708=0),"",$L$711-1),IF($R$17="Distrato",$E1176,0)),MIN(AJ$38,$D$19),$P$20))-SUM($P1176:AI1176)</f>
        <v>#VALUE!</v>
      </c>
      <c r="AK1176" s="446" t="e">
        <f>IF(OR($B1176="",MIN(AK$38,$D$19)&lt;MAX($P$708*($B1176+IF($R$17="Distrato",$I$38-1,0)),IF(AND($L$711=0,$P$708=0),"",$L$711-1),IF($R$17="Distrato",$E1176,0))),0,YEARFRAC(MAX($P$708*($B1176+IF($R$17="Distrato",$I$38-1,0)),IF(AND($L$711=0,$P$708=0),"",$L$711-1),IF($R$17="Distrato",$E1176,0)),MIN(AK$38,$D$19),$P$20))-SUM($P1176:AJ1176)</f>
        <v>#VALUE!</v>
      </c>
      <c r="AL1176" s="446" t="e">
        <f>IF(OR($B1176="",MIN(AL$38,$D$19)&lt;MAX($P$708*($B1176+IF($R$17="Distrato",$I$38-1,0)),IF(AND($L$711=0,$P$708=0),"",$L$711-1),IF($R$17="Distrato",$E1176,0))),0,YEARFRAC(MAX($P$708*($B1176+IF($R$17="Distrato",$I$38-1,0)),IF(AND($L$711=0,$P$708=0),"",$L$711-1),IF($R$17="Distrato",$E1176,0)),MIN(AL$38,$D$19),$P$20))-SUM($P1176:AK1176)</f>
        <v>#VALUE!</v>
      </c>
      <c r="AM1176" s="446" t="e">
        <f>IF(OR($B1176="",MIN(AM$38,$D$19)&lt;MAX($P$708*($B1176+IF($R$17="Distrato",$I$38-1,0)),IF(AND($L$711=0,$P$708=0),"",$L$711-1),IF($R$17="Distrato",$E1176,0))),0,YEARFRAC(MAX($P$708*($B1176+IF($R$17="Distrato",$I$38-1,0)),IF(AND($L$711=0,$P$708=0),"",$L$711-1),IF($R$17="Distrato",$E1176,0)),MIN(AM$38,$D$19),$P$20))-SUM($P1176:AL1176)</f>
        <v>#VALUE!</v>
      </c>
      <c r="AN1176" s="446" t="e">
        <f>IF(OR($B1176="",MIN(AN$38,$D$19)&lt;MAX($P$708*($B1176+IF($R$17="Distrato",$I$38-1,0)),IF(AND($L$711=0,$P$708=0),"",$L$711-1),IF($R$17="Distrato",$E1176,0))),0,YEARFRAC(MAX($P$708*($B1176+IF($R$17="Distrato",$I$38-1,0)),IF(AND($L$711=0,$P$708=0),"",$L$711-1),IF($R$17="Distrato",$E1176,0)),MIN(AN$38,$D$19),$P$20))-SUM($P1176:AM1176)</f>
        <v>#VALUE!</v>
      </c>
      <c r="AO1176" s="446" t="e">
        <f>IF(OR($B1176="",MIN(AO$38,$D$19)&lt;MAX($P$708*($B1176+IF($R$17="Distrato",$I$38-1,0)),IF(AND($L$711=0,$P$708=0),"",$L$711-1),IF($R$17="Distrato",$E1176,0))),0,YEARFRAC(MAX($P$708*($B1176+IF($R$17="Distrato",$I$38-1,0)),IF(AND($L$711=0,$P$708=0),"",$L$711-1),IF($R$17="Distrato",$E1176,0)),MIN(AO$38,$D$19),$P$20))-SUM($P1176:AN1176)</f>
        <v>#VALUE!</v>
      </c>
      <c r="AP1176" s="446" t="e">
        <f>IF(OR($B1176="",MIN(AP$38,$D$19)&lt;MAX($P$708*($B1176+IF($R$17="Distrato",$I$38-1,0)),IF(AND($L$711=0,$P$708=0),"",$L$711-1),IF($R$17="Distrato",$E1176,0))),0,YEARFRAC(MAX($P$708*($B1176+IF($R$17="Distrato",$I$38-1,0)),IF(AND($L$711=0,$P$708=0),"",$L$711-1),IF($R$17="Distrato",$E1176,0)),MIN(AP$38,$D$19),$P$20))-SUM($P1176:AO1176)</f>
        <v>#VALUE!</v>
      </c>
      <c r="AQ1176" s="446" t="e">
        <f>IF(OR($B1176="",MIN(AQ$38,$D$19)&lt;MAX($P$708*($B1176+IF($R$17="Distrato",$I$38-1,0)),IF(AND($L$711=0,$P$708=0),"",$L$711-1),IF($R$17="Distrato",$E1176,0))),0,YEARFRAC(MAX($P$708*($B1176+IF($R$17="Distrato",$I$38-1,0)),IF(AND($L$711=0,$P$708=0),"",$L$711-1),IF($R$17="Distrato",$E1176,0)),MIN(AQ$38,$D$19),$P$20))-SUM($P1176:AP1176)</f>
        <v>#VALUE!</v>
      </c>
      <c r="AR1176" s="446" t="e">
        <f>IF(OR($B1176="",MIN(AR$38,$D$19)&lt;MAX($P$708*($B1176+IF($R$17="Distrato",$I$38-1,0)),IF(AND($L$711=0,$P$708=0),"",$L$711-1),IF($R$17="Distrato",$E1176,0))),0,YEARFRAC(MAX($P$708*($B1176+IF($R$17="Distrato",$I$38-1,0)),IF(AND($L$711=0,$P$708=0),"",$L$711-1),IF($R$17="Distrato",$E1176,0)),MIN(AR$38,$D$19),$P$20))-SUM($P1176:AQ1176)</f>
        <v>#VALUE!</v>
      </c>
      <c r="AS1176" s="446" t="e">
        <f>IF(OR($B1176="",MIN(AS$38,$D$19)&lt;MAX($P$708*($B1176+IF($R$17="Distrato",$I$38-1,0)),IF(AND($L$711=0,$P$708=0),"",$L$711-1),IF($R$17="Distrato",$E1176,0))),0,YEARFRAC(MAX($P$708*($B1176+IF($R$17="Distrato",$I$38-1,0)),IF(AND($L$711=0,$P$708=0),"",$L$711-1),IF($R$17="Distrato",$E1176,0)),MIN(AS$38,$D$19),$P$20))-SUM($P1176:AR1176)</f>
        <v>#VALUE!</v>
      </c>
      <c r="AT1176" s="446" t="e">
        <f>IF(OR($B1176="",MIN(AT$38,$D$19)&lt;MAX($P$708*($B1176+IF($R$17="Distrato",$I$38-1,0)),IF(AND($L$711=0,$P$708=0),"",$L$711-1),IF($R$17="Distrato",$E1176,0))),0,YEARFRAC(MAX($P$708*($B1176+IF($R$17="Distrato",$I$38-1,0)),IF(AND($L$711=0,$P$708=0),"",$L$711-1),IF($R$17="Distrato",$E1176,0)),MIN(AT$38,$D$19),$P$20))-SUM($P1176:AS1176)</f>
        <v>#VALUE!</v>
      </c>
      <c r="AU1176" s="446" t="e">
        <f>IF(OR($B1176="",MIN(AU$38,$D$19)&lt;MAX($P$708*($B1176+IF($R$17="Distrato",$I$38-1,0)),IF(AND($L$711=0,$P$708=0),"",$L$711-1),IF($R$17="Distrato",$E1176,0))),0,YEARFRAC(MAX($P$708*($B1176+IF($R$17="Distrato",$I$38-1,0)),IF(AND($L$711=0,$P$708=0),"",$L$711-1),IF($R$17="Distrato",$E1176,0)),MIN(AU$38,$D$19),$P$20))-SUM($P1176:AT1176)</f>
        <v>#VALUE!</v>
      </c>
      <c r="AV1176" s="446" t="e">
        <f>IF(OR($B1176="",MIN(AV$38,$D$19)&lt;MAX($P$708*($B1176+IF($R$17="Distrato",$I$38-1,0)),IF(AND($L$711=0,$P$708=0),"",$L$711-1),IF($R$17="Distrato",$E1176,0))),0,YEARFRAC(MAX($P$708*($B1176+IF($R$17="Distrato",$I$38-1,0)),IF(AND($L$711=0,$P$708=0),"",$L$711-1),IF($R$17="Distrato",$E1176,0)),MIN(AV$38,$D$19),$P$20))-SUM($P1176:AU1176)</f>
        <v>#VALUE!</v>
      </c>
      <c r="AW1176" s="446" t="e">
        <f>IF(OR($B1176="",MIN(AW$38,$D$19)&lt;MAX($P$708*($B1176+IF($R$17="Distrato",$I$38-1,0)),IF(AND($L$711=0,$P$708=0),"",$L$711-1),IF($R$17="Distrato",$E1176,0))),0,YEARFRAC(MAX($P$708*($B1176+IF($R$17="Distrato",$I$38-1,0)),IF(AND($L$711=0,$P$708=0),"",$L$711-1),IF($R$17="Distrato",$E1176,0)),MIN(AW$38,$D$19),$P$20))-SUM($P1176:AV1176)</f>
        <v>#VALUE!</v>
      </c>
      <c r="AX1176" s="446" t="e">
        <f>IF(OR($B1176="",MIN(AX$38,$D$19)&lt;MAX($P$708*($B1176+IF($R$17="Distrato",$I$38-1,0)),IF(AND($L$711=0,$P$708=0),"",$L$711-1),IF($R$17="Distrato",$E1176,0))),0,YEARFRAC(MAX($P$708*($B1176+IF($R$17="Distrato",$I$38-1,0)),IF(AND($L$711=0,$P$708=0),"",$L$711-1),IF($R$17="Distrato",$E1176,0)),MIN(AX$38,$D$19),$P$20))-SUM($P1176:AW1176)</f>
        <v>#VALUE!</v>
      </c>
      <c r="AY1176" s="446" t="e">
        <f>IF(OR($B1176="",MIN(AY$38,$D$19)&lt;MAX($P$708*($B1176+IF($R$17="Distrato",$I$38-1,0)),IF(AND($L$711=0,$P$708=0),"",$L$711-1),IF($R$17="Distrato",$E1176,0))),0,YEARFRAC(MAX($P$708*($B1176+IF($R$17="Distrato",$I$38-1,0)),IF(AND($L$711=0,$P$708=0),"",$L$711-1),IF($R$17="Distrato",$E1176,0)),MIN(AY$38,$D$19),$P$20))-SUM($P1176:AX1176)</f>
        <v>#VALUE!</v>
      </c>
      <c r="AZ1176" s="446" t="e">
        <f>IF(OR($B1176="",MIN(AZ$38,$D$19)&lt;MAX($P$708*($B1176+IF($R$17="Distrato",$I$38-1,0)),IF(AND($L$711=0,$P$708=0),"",$L$711-1),IF($R$17="Distrato",$E1176,0))),0,YEARFRAC(MAX($P$708*($B1176+IF($R$17="Distrato",$I$38-1,0)),IF(AND($L$711=0,$P$708=0),"",$L$711-1),IF($R$17="Distrato",$E1176,0)),MIN(AZ$38,$D$19),$P$20))-SUM($P1176:AY1176)</f>
        <v>#VALUE!</v>
      </c>
      <c r="BA1176" s="446" t="e">
        <f>IF(OR($B1176="",MIN(BA$38,$D$19)&lt;MAX($P$708*($B1176+IF($R$17="Distrato",$I$38-1,0)),IF(AND($L$711=0,$P$708=0),"",$L$711-1),IF($R$17="Distrato",$E1176,0))),0,YEARFRAC(MAX($P$708*($B1176+IF($R$17="Distrato",$I$38-1,0)),IF(AND($L$711=0,$P$708=0),"",$L$711-1),IF($R$17="Distrato",$E1176,0)),MIN(BA$38,$D$19),$P$20))-SUM($P1176:AZ1176)</f>
        <v>#VALUE!</v>
      </c>
      <c r="BB1176" s="447"/>
    </row>
    <row r="1177" spans="1:54" s="446" customFormat="1" ht="11.25" hidden="1" customHeight="1" x14ac:dyDescent="0.2">
      <c r="A1177" s="235"/>
      <c r="B1177" s="236"/>
      <c r="C1177" s="29" t="str">
        <f>IF(B1177="","",IF($L$709=$BL$25,VLOOKUP(DATE(YEAR($D$19),MONTH($D$19)-1,1),ÍNDICES!$A:$DE,HLOOKUP($BL$25,ÍNDICES!$B$3:$T$4,2)+11)-VLOOKUP(B1177,ÍNDICES!$A:$DE,HLOOKUP($BL$25,ÍNDICES!$B$3:$T$4,2)+11)+1%,IF(C$712=$W$26,$J$35,IF(ISERROR(IF(B1177&gt;$D$19,1,VLOOKUP(DATE(YEAR(B1177),MONTH(B1177)+IF($C$709=$S$23,1,0),1),ÍNDICES!$A:$DE,$Z$709+1))),"",IF(B1177&gt;$D$19,1,VLOOKUP(DATE(YEAR(B1177),MONTH(B1177)+IF($C$709=$S$23,1,0),1),ÍNDICES!$A:$DE,$Z$709+1))))))</f>
        <v/>
      </c>
      <c r="D1177" s="155"/>
      <c r="E1177" s="88"/>
      <c r="F1177" s="88"/>
      <c r="G1177" s="88"/>
      <c r="H1177" s="118"/>
      <c r="I1177" s="182">
        <f t="shared" si="164"/>
        <v>0</v>
      </c>
      <c r="J1177" s="20">
        <f t="shared" ca="1" si="165"/>
        <v>0</v>
      </c>
      <c r="K1177" s="5">
        <f t="shared" ca="1" si="166"/>
        <v>0</v>
      </c>
      <c r="L1177" s="61">
        <f t="shared" ca="1" si="167"/>
        <v>0</v>
      </c>
      <c r="M1177" s="64">
        <f t="shared" si="168"/>
        <v>0</v>
      </c>
      <c r="N1177" s="151"/>
      <c r="O1177" s="5">
        <f t="shared" ca="1" si="169"/>
        <v>0</v>
      </c>
      <c r="P1177" s="446" t="e">
        <f t="shared" si="170"/>
        <v>#VALUE!</v>
      </c>
      <c r="Q1177" s="446" t="e">
        <f>IF(OR($B1177="",MIN(Q$38,$D$19)&lt;MAX($P$708*($B1177+IF($R$17="Distrato",$I$38-1,0)),IF(AND($L$711=0,$P$708=0),"",$L$711-1),IF($R$17="Distrato",$E1177,0))),0,YEARFRAC(MAX($P$708*($B1177+IF($R$17="Distrato",$I$38-1,0)),IF(AND($L$711=0,$P$708=0),"",$L$711-1),IF($R$17="Distrato",$E1177,0)),MIN(Q$38,$D$19),$P$20))-SUM($P1177:P1177)</f>
        <v>#VALUE!</v>
      </c>
      <c r="R1177" s="446" t="e">
        <f>IF(OR($B1177="",MIN(R$38,$D$19)&lt;MAX($P$708*($B1177+IF($R$17="Distrato",$I$38-1,0)),IF(AND($L$711=0,$P$708=0),"",$L$711-1),IF($R$17="Distrato",$E1177,0))),0,YEARFRAC(MAX($P$708*($B1177+IF($R$17="Distrato",$I$38-1,0)),IF(AND($L$711=0,$P$708=0),"",$L$711-1),IF($R$17="Distrato",$E1177,0)),MIN(R$38,$D$19),$P$20))-SUM($P1177:Q1177)</f>
        <v>#VALUE!</v>
      </c>
      <c r="S1177" s="446" t="e">
        <f>IF(OR($B1177="",MIN(S$38,$D$19)&lt;MAX($P$708*($B1177+IF($R$17="Distrato",$I$38-1,0)),IF(AND($L$711=0,$P$708=0),"",$L$711-1),IF($R$17="Distrato",$E1177,0))),0,YEARFRAC(MAX($P$708*($B1177+IF($R$17="Distrato",$I$38-1,0)),IF(AND($L$711=0,$P$708=0),"",$L$711-1),IF($R$17="Distrato",$E1177,0)),MIN(S$38,$D$19),$P$20))-SUM($P1177:R1177)</f>
        <v>#VALUE!</v>
      </c>
      <c r="T1177" s="446" t="e">
        <f>IF(OR($B1177="",MIN(T$38,$D$19)&lt;MAX($P$708*($B1177+IF($R$17="Distrato",$I$38-1,0)),IF(AND($L$711=0,$P$708=0),"",$L$711-1),IF($R$17="Distrato",$E1177,0))),0,YEARFRAC(MAX($P$708*($B1177+IF($R$17="Distrato",$I$38-1,0)),IF(AND($L$711=0,$P$708=0),"",$L$711-1),IF($R$17="Distrato",$E1177,0)),MIN(T$38,$D$19),$P$20))-SUM($P1177:S1177)</f>
        <v>#VALUE!</v>
      </c>
      <c r="U1177" s="446" t="e">
        <f>IF(OR($B1177="",MIN(U$38,$D$19)&lt;MAX($P$708*($B1177+IF($R$17="Distrato",$I$38-1,0)),IF(AND($L$711=0,$P$708=0),"",$L$711-1),IF($R$17="Distrato",$E1177,0))),0,YEARFRAC(MAX($P$708*($B1177+IF($R$17="Distrato",$I$38-1,0)),IF(AND($L$711=0,$P$708=0),"",$L$711-1),IF($R$17="Distrato",$E1177,0)),MIN(U$38,$D$19),$P$20))-SUM($P1177:T1177)</f>
        <v>#VALUE!</v>
      </c>
      <c r="V1177" s="446" t="e">
        <f>IF(OR($B1177="",MIN(V$38,$D$19)&lt;MAX($P$708*($B1177+IF($R$17="Distrato",$I$38-1,0)),IF(AND($L$711=0,$P$708=0),"",$L$711-1),IF($R$17="Distrato",$E1177,0))),0,YEARFRAC(MAX($P$708*($B1177+IF($R$17="Distrato",$I$38-1,0)),IF(AND($L$711=0,$P$708=0),"",$L$711-1),IF($R$17="Distrato",$E1177,0)),MIN(V$38,$D$19),$P$20))-SUM($P1177:U1177)</f>
        <v>#VALUE!</v>
      </c>
      <c r="W1177" s="446" t="e">
        <f>IF(OR($B1177="",MIN(W$38,$D$19)&lt;MAX($P$708*($B1177+IF($R$17="Distrato",$I$38-1,0)),IF(AND($L$711=0,$P$708=0),"",$L$711-1),IF($R$17="Distrato",$E1177,0))),0,YEARFRAC(MAX($P$708*($B1177+IF($R$17="Distrato",$I$38-1,0)),IF(AND($L$711=0,$P$708=0),"",$L$711-1),IF($R$17="Distrato",$E1177,0)),MIN(W$38,$D$19),$P$20))-SUM($P1177:V1177)</f>
        <v>#VALUE!</v>
      </c>
      <c r="X1177" s="446" t="e">
        <f>IF(OR($B1177="",MIN(X$38,$D$19)&lt;MAX($P$708*($B1177+IF($R$17="Distrato",$I$38-1,0)),IF(AND($L$711=0,$P$708=0),"",$L$711-1),IF($R$17="Distrato",$E1177,0))),0,YEARFRAC(MAX($P$708*($B1177+IF($R$17="Distrato",$I$38-1,0)),IF(AND($L$711=0,$P$708=0),"",$L$711-1),IF($R$17="Distrato",$E1177,0)),MIN(X$38,$D$19),$P$20))-SUM($P1177:W1177)</f>
        <v>#VALUE!</v>
      </c>
      <c r="Y1177" s="446" t="e">
        <f>IF(OR($B1177="",MIN(Y$38,$D$19)&lt;MAX($P$708*($B1177+IF($R$17="Distrato",$I$38-1,0)),IF(AND($L$711=0,$P$708=0),"",$L$711-1),IF($R$17="Distrato",$E1177,0))),0,YEARFRAC(MAX($P$708*($B1177+IF($R$17="Distrato",$I$38-1,0)),IF(AND($L$711=0,$P$708=0),"",$L$711-1),IF($R$17="Distrato",$E1177,0)),MIN(Y$38,$D$19),$P$20))-SUM($P1177:X1177)</f>
        <v>#VALUE!</v>
      </c>
      <c r="Z1177" s="446" t="e">
        <f>IF(OR($B1177="",MIN(Z$38,$D$19)&lt;MAX($P$708*($B1177+IF($R$17="Distrato",$I$38-1,0)),IF(AND($L$711=0,$P$708=0),"",$L$711-1),IF($R$17="Distrato",$E1177,0))),0,YEARFRAC(MAX($P$708*($B1177+IF($R$17="Distrato",$I$38-1,0)),IF(AND($L$711=0,$P$708=0),"",$L$711-1),IF($R$17="Distrato",$E1177,0)),MIN(Z$38,$D$19),$P$20))-SUM($P1177:Y1177)</f>
        <v>#VALUE!</v>
      </c>
      <c r="AA1177" s="446" t="e">
        <f>IF(OR($B1177="",MIN(AA$38,$D$19)&lt;MAX($P$708*($B1177+IF($R$17="Distrato",$I$38-1,0)),IF(AND($L$711=0,$P$708=0),"",$L$711-1),IF($R$17="Distrato",$E1177,0))),0,YEARFRAC(MAX($P$708*($B1177+IF($R$17="Distrato",$I$38-1,0)),IF(AND($L$711=0,$P$708=0),"",$L$711-1),IF($R$17="Distrato",$E1177,0)),MIN(AA$38,$D$19),$P$20))-SUM($P1177:Z1177)</f>
        <v>#VALUE!</v>
      </c>
      <c r="AB1177" s="446" t="e">
        <f>IF(OR($B1177="",MIN(AB$38,$D$19)&lt;MAX($P$708*($B1177+IF($R$17="Distrato",$I$38-1,0)),IF(AND($L$711=0,$P$708=0),"",$L$711-1),IF($R$17="Distrato",$E1177,0))),0,YEARFRAC(MAX($P$708*($B1177+IF($R$17="Distrato",$I$38-1,0)),IF(AND($L$711=0,$P$708=0),"",$L$711-1),IF($R$17="Distrato",$E1177,0)),MIN(AB$38,$D$19),$P$20))-SUM($P1177:AA1177)</f>
        <v>#VALUE!</v>
      </c>
      <c r="AC1177" s="446" t="e">
        <f>IF(OR($B1177="",MIN(AC$38,$D$19)&lt;MAX($P$708*($B1177+IF($R$17="Distrato",$I$38-1,0)),IF(AND($L$711=0,$P$708=0),"",$L$711-1),IF($R$17="Distrato",$E1177,0))),0,YEARFRAC(MAX($P$708*($B1177+IF($R$17="Distrato",$I$38-1,0)),IF(AND($L$711=0,$P$708=0),"",$L$711-1),IF($R$17="Distrato",$E1177,0)),MIN(AC$38,$D$19),$P$20))-SUM($P1177:AB1177)</f>
        <v>#VALUE!</v>
      </c>
      <c r="AD1177" s="446" t="e">
        <f>IF(OR($B1177="",MIN(AD$38,$D$19)&lt;MAX($P$708*($B1177+IF($R$17="Distrato",$I$38-1,0)),IF(AND($L$711=0,$P$708=0),"",$L$711-1),IF($R$17="Distrato",$E1177,0))),0,YEARFRAC(MAX($P$708*($B1177+IF($R$17="Distrato",$I$38-1,0)),IF(AND($L$711=0,$P$708=0),"",$L$711-1),IF($R$17="Distrato",$E1177,0)),MIN(AD$38,$D$19),$P$20))-SUM($P1177:AC1177)</f>
        <v>#VALUE!</v>
      </c>
      <c r="AE1177" s="446" t="e">
        <f>IF(OR($B1177="",MIN(AE$38,$D$19)&lt;MAX($P$708*($B1177+IF($R$17="Distrato",$I$38-1,0)),IF(AND($L$711=0,$P$708=0),"",$L$711-1),IF($R$17="Distrato",$E1177,0))),0,YEARFRAC(MAX($P$708*($B1177+IF($R$17="Distrato",$I$38-1,0)),IF(AND($L$711=0,$P$708=0),"",$L$711-1),IF($R$17="Distrato",$E1177,0)),MIN(AE$38,$D$19),$P$20))-SUM($P1177:AD1177)</f>
        <v>#VALUE!</v>
      </c>
      <c r="AF1177" s="446" t="e">
        <f>IF(OR($B1177="",MIN(AF$38,$D$19)&lt;MAX($P$708*($B1177+IF($R$17="Distrato",$I$38-1,0)),IF(AND($L$711=0,$P$708=0),"",$L$711-1),IF($R$17="Distrato",$E1177,0))),0,YEARFRAC(MAX($P$708*($B1177+IF($R$17="Distrato",$I$38-1,0)),IF(AND($L$711=0,$P$708=0),"",$L$711-1),IF($R$17="Distrato",$E1177,0)),MIN(AF$38,$D$19),$P$20))-SUM($P1177:AE1177)</f>
        <v>#VALUE!</v>
      </c>
      <c r="AG1177" s="446" t="e">
        <f>IF(OR($B1177="",MIN(AG$38,$D$19)&lt;MAX($P$708*($B1177+IF($R$17="Distrato",$I$38-1,0)),IF(AND($L$711=0,$P$708=0),"",$L$711-1),IF($R$17="Distrato",$E1177,0))),0,YEARFRAC(MAX($P$708*($B1177+IF($R$17="Distrato",$I$38-1,0)),IF(AND($L$711=0,$P$708=0),"",$L$711-1),IF($R$17="Distrato",$E1177,0)),MIN(AG$38,$D$19),$P$20))-SUM($P1177:AF1177)</f>
        <v>#VALUE!</v>
      </c>
      <c r="AH1177" s="446" t="e">
        <f>IF(OR($B1177="",MIN(AH$38,$D$19)&lt;MAX($P$708*($B1177+IF($R$17="Distrato",$I$38-1,0)),IF(AND($L$711=0,$P$708=0),"",$L$711-1),IF($R$17="Distrato",$E1177,0))),0,YEARFRAC(MAX($P$708*($B1177+IF($R$17="Distrato",$I$38-1,0)),IF(AND($L$711=0,$P$708=0),"",$L$711-1),IF($R$17="Distrato",$E1177,0)),MIN(AH$38,$D$19),$P$20))-SUM($P1177:AG1177)</f>
        <v>#VALUE!</v>
      </c>
      <c r="AI1177" s="446" t="e">
        <f>IF(OR($B1177="",MIN(AI$38,$D$19)&lt;MAX($P$708*($B1177+IF($R$17="Distrato",$I$38-1,0)),IF(AND($L$711=0,$P$708=0),"",$L$711-1),IF($R$17="Distrato",$E1177,0))),0,YEARFRAC(MAX($P$708*($B1177+IF($R$17="Distrato",$I$38-1,0)),IF(AND($L$711=0,$P$708=0),"",$L$711-1),IF($R$17="Distrato",$E1177,0)),MIN(AI$38,$D$19),$P$20))-SUM($P1177:AH1177)</f>
        <v>#VALUE!</v>
      </c>
      <c r="AJ1177" s="446" t="e">
        <f>IF(OR($B1177="",MIN(AJ$38,$D$19)&lt;MAX($P$708*($B1177+IF($R$17="Distrato",$I$38-1,0)),IF(AND($L$711=0,$P$708=0),"",$L$711-1),IF($R$17="Distrato",$E1177,0))),0,YEARFRAC(MAX($P$708*($B1177+IF($R$17="Distrato",$I$38-1,0)),IF(AND($L$711=0,$P$708=0),"",$L$711-1),IF($R$17="Distrato",$E1177,0)),MIN(AJ$38,$D$19),$P$20))-SUM($P1177:AI1177)</f>
        <v>#VALUE!</v>
      </c>
      <c r="AK1177" s="446" t="e">
        <f>IF(OR($B1177="",MIN(AK$38,$D$19)&lt;MAX($P$708*($B1177+IF($R$17="Distrato",$I$38-1,0)),IF(AND($L$711=0,$P$708=0),"",$L$711-1),IF($R$17="Distrato",$E1177,0))),0,YEARFRAC(MAX($P$708*($B1177+IF($R$17="Distrato",$I$38-1,0)),IF(AND($L$711=0,$P$708=0),"",$L$711-1),IF($R$17="Distrato",$E1177,0)),MIN(AK$38,$D$19),$P$20))-SUM($P1177:AJ1177)</f>
        <v>#VALUE!</v>
      </c>
      <c r="AL1177" s="446" t="e">
        <f>IF(OR($B1177="",MIN(AL$38,$D$19)&lt;MAX($P$708*($B1177+IF($R$17="Distrato",$I$38-1,0)),IF(AND($L$711=0,$P$708=0),"",$L$711-1),IF($R$17="Distrato",$E1177,0))),0,YEARFRAC(MAX($P$708*($B1177+IF($R$17="Distrato",$I$38-1,0)),IF(AND($L$711=0,$P$708=0),"",$L$711-1),IF($R$17="Distrato",$E1177,0)),MIN(AL$38,$D$19),$P$20))-SUM($P1177:AK1177)</f>
        <v>#VALUE!</v>
      </c>
      <c r="AM1177" s="446" t="e">
        <f>IF(OR($B1177="",MIN(AM$38,$D$19)&lt;MAX($P$708*($B1177+IF($R$17="Distrato",$I$38-1,0)),IF(AND($L$711=0,$P$708=0),"",$L$711-1),IF($R$17="Distrato",$E1177,0))),0,YEARFRAC(MAX($P$708*($B1177+IF($R$17="Distrato",$I$38-1,0)),IF(AND($L$711=0,$P$708=0),"",$L$711-1),IF($R$17="Distrato",$E1177,0)),MIN(AM$38,$D$19),$P$20))-SUM($P1177:AL1177)</f>
        <v>#VALUE!</v>
      </c>
      <c r="AN1177" s="446" t="e">
        <f>IF(OR($B1177="",MIN(AN$38,$D$19)&lt;MAX($P$708*($B1177+IF($R$17="Distrato",$I$38-1,0)),IF(AND($L$711=0,$P$708=0),"",$L$711-1),IF($R$17="Distrato",$E1177,0))),0,YEARFRAC(MAX($P$708*($B1177+IF($R$17="Distrato",$I$38-1,0)),IF(AND($L$711=0,$P$708=0),"",$L$711-1),IF($R$17="Distrato",$E1177,0)),MIN(AN$38,$D$19),$P$20))-SUM($P1177:AM1177)</f>
        <v>#VALUE!</v>
      </c>
      <c r="AO1177" s="446" t="e">
        <f>IF(OR($B1177="",MIN(AO$38,$D$19)&lt;MAX($P$708*($B1177+IF($R$17="Distrato",$I$38-1,0)),IF(AND($L$711=0,$P$708=0),"",$L$711-1),IF($R$17="Distrato",$E1177,0))),0,YEARFRAC(MAX($P$708*($B1177+IF($R$17="Distrato",$I$38-1,0)),IF(AND($L$711=0,$P$708=0),"",$L$711-1),IF($R$17="Distrato",$E1177,0)),MIN(AO$38,$D$19),$P$20))-SUM($P1177:AN1177)</f>
        <v>#VALUE!</v>
      </c>
      <c r="AP1177" s="446" t="e">
        <f>IF(OR($B1177="",MIN(AP$38,$D$19)&lt;MAX($P$708*($B1177+IF($R$17="Distrato",$I$38-1,0)),IF(AND($L$711=0,$P$708=0),"",$L$711-1),IF($R$17="Distrato",$E1177,0))),0,YEARFRAC(MAX($P$708*($B1177+IF($R$17="Distrato",$I$38-1,0)),IF(AND($L$711=0,$P$708=0),"",$L$711-1),IF($R$17="Distrato",$E1177,0)),MIN(AP$38,$D$19),$P$20))-SUM($P1177:AO1177)</f>
        <v>#VALUE!</v>
      </c>
      <c r="AQ1177" s="446" t="e">
        <f>IF(OR($B1177="",MIN(AQ$38,$D$19)&lt;MAX($P$708*($B1177+IF($R$17="Distrato",$I$38-1,0)),IF(AND($L$711=0,$P$708=0),"",$L$711-1),IF($R$17="Distrato",$E1177,0))),0,YEARFRAC(MAX($P$708*($B1177+IF($R$17="Distrato",$I$38-1,0)),IF(AND($L$711=0,$P$708=0),"",$L$711-1),IF($R$17="Distrato",$E1177,0)),MIN(AQ$38,$D$19),$P$20))-SUM($P1177:AP1177)</f>
        <v>#VALUE!</v>
      </c>
      <c r="AR1177" s="446" t="e">
        <f>IF(OR($B1177="",MIN(AR$38,$D$19)&lt;MAX($P$708*($B1177+IF($R$17="Distrato",$I$38-1,0)),IF(AND($L$711=0,$P$708=0),"",$L$711-1),IF($R$17="Distrato",$E1177,0))),0,YEARFRAC(MAX($P$708*($B1177+IF($R$17="Distrato",$I$38-1,0)),IF(AND($L$711=0,$P$708=0),"",$L$711-1),IF($R$17="Distrato",$E1177,0)),MIN(AR$38,$D$19),$P$20))-SUM($P1177:AQ1177)</f>
        <v>#VALUE!</v>
      </c>
      <c r="AS1177" s="446" t="e">
        <f>IF(OR($B1177="",MIN(AS$38,$D$19)&lt;MAX($P$708*($B1177+IF($R$17="Distrato",$I$38-1,0)),IF(AND($L$711=0,$P$708=0),"",$L$711-1),IF($R$17="Distrato",$E1177,0))),0,YEARFRAC(MAX($P$708*($B1177+IF($R$17="Distrato",$I$38-1,0)),IF(AND($L$711=0,$P$708=0),"",$L$711-1),IF($R$17="Distrato",$E1177,0)),MIN(AS$38,$D$19),$P$20))-SUM($P1177:AR1177)</f>
        <v>#VALUE!</v>
      </c>
      <c r="AT1177" s="446" t="e">
        <f>IF(OR($B1177="",MIN(AT$38,$D$19)&lt;MAX($P$708*($B1177+IF($R$17="Distrato",$I$38-1,0)),IF(AND($L$711=0,$P$708=0),"",$L$711-1),IF($R$17="Distrato",$E1177,0))),0,YEARFRAC(MAX($P$708*($B1177+IF($R$17="Distrato",$I$38-1,0)),IF(AND($L$711=0,$P$708=0),"",$L$711-1),IF($R$17="Distrato",$E1177,0)),MIN(AT$38,$D$19),$P$20))-SUM($P1177:AS1177)</f>
        <v>#VALUE!</v>
      </c>
      <c r="AU1177" s="446" t="e">
        <f>IF(OR($B1177="",MIN(AU$38,$D$19)&lt;MAX($P$708*($B1177+IF($R$17="Distrato",$I$38-1,0)),IF(AND($L$711=0,$P$708=0),"",$L$711-1),IF($R$17="Distrato",$E1177,0))),0,YEARFRAC(MAX($P$708*($B1177+IF($R$17="Distrato",$I$38-1,0)),IF(AND($L$711=0,$P$708=0),"",$L$711-1),IF($R$17="Distrato",$E1177,0)),MIN(AU$38,$D$19),$P$20))-SUM($P1177:AT1177)</f>
        <v>#VALUE!</v>
      </c>
      <c r="AV1177" s="446" t="e">
        <f>IF(OR($B1177="",MIN(AV$38,$D$19)&lt;MAX($P$708*($B1177+IF($R$17="Distrato",$I$38-1,0)),IF(AND($L$711=0,$P$708=0),"",$L$711-1),IF($R$17="Distrato",$E1177,0))),0,YEARFRAC(MAX($P$708*($B1177+IF($R$17="Distrato",$I$38-1,0)),IF(AND($L$711=0,$P$708=0),"",$L$711-1),IF($R$17="Distrato",$E1177,0)),MIN(AV$38,$D$19),$P$20))-SUM($P1177:AU1177)</f>
        <v>#VALUE!</v>
      </c>
      <c r="AW1177" s="446" t="e">
        <f>IF(OR($B1177="",MIN(AW$38,$D$19)&lt;MAX($P$708*($B1177+IF($R$17="Distrato",$I$38-1,0)),IF(AND($L$711=0,$P$708=0),"",$L$711-1),IF($R$17="Distrato",$E1177,0))),0,YEARFRAC(MAX($P$708*($B1177+IF($R$17="Distrato",$I$38-1,0)),IF(AND($L$711=0,$P$708=0),"",$L$711-1),IF($R$17="Distrato",$E1177,0)),MIN(AW$38,$D$19),$P$20))-SUM($P1177:AV1177)</f>
        <v>#VALUE!</v>
      </c>
      <c r="AX1177" s="446" t="e">
        <f>IF(OR($B1177="",MIN(AX$38,$D$19)&lt;MAX($P$708*($B1177+IF($R$17="Distrato",$I$38-1,0)),IF(AND($L$711=0,$P$708=0),"",$L$711-1),IF($R$17="Distrato",$E1177,0))),0,YEARFRAC(MAX($P$708*($B1177+IF($R$17="Distrato",$I$38-1,0)),IF(AND($L$711=0,$P$708=0),"",$L$711-1),IF($R$17="Distrato",$E1177,0)),MIN(AX$38,$D$19),$P$20))-SUM($P1177:AW1177)</f>
        <v>#VALUE!</v>
      </c>
      <c r="AY1177" s="446" t="e">
        <f>IF(OR($B1177="",MIN(AY$38,$D$19)&lt;MAX($P$708*($B1177+IF($R$17="Distrato",$I$38-1,0)),IF(AND($L$711=0,$P$708=0),"",$L$711-1),IF($R$17="Distrato",$E1177,0))),0,YEARFRAC(MAX($P$708*($B1177+IF($R$17="Distrato",$I$38-1,0)),IF(AND($L$711=0,$P$708=0),"",$L$711-1),IF($R$17="Distrato",$E1177,0)),MIN(AY$38,$D$19),$P$20))-SUM($P1177:AX1177)</f>
        <v>#VALUE!</v>
      </c>
      <c r="AZ1177" s="446" t="e">
        <f>IF(OR($B1177="",MIN(AZ$38,$D$19)&lt;MAX($P$708*($B1177+IF($R$17="Distrato",$I$38-1,0)),IF(AND($L$711=0,$P$708=0),"",$L$711-1),IF($R$17="Distrato",$E1177,0))),0,YEARFRAC(MAX($P$708*($B1177+IF($R$17="Distrato",$I$38-1,0)),IF(AND($L$711=0,$P$708=0),"",$L$711-1),IF($R$17="Distrato",$E1177,0)),MIN(AZ$38,$D$19),$P$20))-SUM($P1177:AY1177)</f>
        <v>#VALUE!</v>
      </c>
      <c r="BA1177" s="446" t="e">
        <f>IF(OR($B1177="",MIN(BA$38,$D$19)&lt;MAX($P$708*($B1177+IF($R$17="Distrato",$I$38-1,0)),IF(AND($L$711=0,$P$708=0),"",$L$711-1),IF($R$17="Distrato",$E1177,0))),0,YEARFRAC(MAX($P$708*($B1177+IF($R$17="Distrato",$I$38-1,0)),IF(AND($L$711=0,$P$708=0),"",$L$711-1),IF($R$17="Distrato",$E1177,0)),MIN(BA$38,$D$19),$P$20))-SUM($P1177:AZ1177)</f>
        <v>#VALUE!</v>
      </c>
      <c r="BB1177" s="447"/>
    </row>
    <row r="1178" spans="1:54" s="446" customFormat="1" ht="11.25" hidden="1" customHeight="1" x14ac:dyDescent="0.2">
      <c r="A1178" s="235"/>
      <c r="B1178" s="236"/>
      <c r="C1178" s="29" t="str">
        <f>IF(B1178="","",IF($L$709=$BL$25,VLOOKUP(DATE(YEAR($D$19),MONTH($D$19)-1,1),ÍNDICES!$A:$DE,HLOOKUP($BL$25,ÍNDICES!$B$3:$T$4,2)+11)-VLOOKUP(B1178,ÍNDICES!$A:$DE,HLOOKUP($BL$25,ÍNDICES!$B$3:$T$4,2)+11)+1%,IF(C$712=$W$26,$J$35,IF(ISERROR(IF(B1178&gt;$D$19,1,VLOOKUP(DATE(YEAR(B1178),MONTH(B1178)+IF($C$709=$S$23,1,0),1),ÍNDICES!$A:$DE,$Z$709+1))),"",IF(B1178&gt;$D$19,1,VLOOKUP(DATE(YEAR(B1178),MONTH(B1178)+IF($C$709=$S$23,1,0),1),ÍNDICES!$A:$DE,$Z$709+1))))))</f>
        <v/>
      </c>
      <c r="D1178" s="155"/>
      <c r="E1178" s="88"/>
      <c r="F1178" s="88"/>
      <c r="G1178" s="88"/>
      <c r="H1178" s="118"/>
      <c r="I1178" s="182">
        <f t="shared" si="164"/>
        <v>0</v>
      </c>
      <c r="J1178" s="20">
        <f t="shared" ca="1" si="165"/>
        <v>0</v>
      </c>
      <c r="K1178" s="5">
        <f t="shared" ca="1" si="166"/>
        <v>0</v>
      </c>
      <c r="L1178" s="61">
        <f t="shared" ca="1" si="167"/>
        <v>0</v>
      </c>
      <c r="M1178" s="64">
        <f t="shared" si="168"/>
        <v>0</v>
      </c>
      <c r="N1178" s="151"/>
      <c r="O1178" s="5">
        <f t="shared" ca="1" si="169"/>
        <v>0</v>
      </c>
      <c r="P1178" s="446" t="e">
        <f t="shared" si="170"/>
        <v>#VALUE!</v>
      </c>
      <c r="Q1178" s="446" t="e">
        <f>IF(OR($B1178="",MIN(Q$38,$D$19)&lt;MAX($P$708*($B1178+IF($R$17="Distrato",$I$38-1,0)),IF(AND($L$711=0,$P$708=0),"",$L$711-1),IF($R$17="Distrato",$E1178,0))),0,YEARFRAC(MAX($P$708*($B1178+IF($R$17="Distrato",$I$38-1,0)),IF(AND($L$711=0,$P$708=0),"",$L$711-1),IF($R$17="Distrato",$E1178,0)),MIN(Q$38,$D$19),$P$20))-SUM($P1178:P1178)</f>
        <v>#VALUE!</v>
      </c>
      <c r="R1178" s="446" t="e">
        <f>IF(OR($B1178="",MIN(R$38,$D$19)&lt;MAX($P$708*($B1178+IF($R$17="Distrato",$I$38-1,0)),IF(AND($L$711=0,$P$708=0),"",$L$711-1),IF($R$17="Distrato",$E1178,0))),0,YEARFRAC(MAX($P$708*($B1178+IF($R$17="Distrato",$I$38-1,0)),IF(AND($L$711=0,$P$708=0),"",$L$711-1),IF($R$17="Distrato",$E1178,0)),MIN(R$38,$D$19),$P$20))-SUM($P1178:Q1178)</f>
        <v>#VALUE!</v>
      </c>
      <c r="S1178" s="446" t="e">
        <f>IF(OR($B1178="",MIN(S$38,$D$19)&lt;MAX($P$708*($B1178+IF($R$17="Distrato",$I$38-1,0)),IF(AND($L$711=0,$P$708=0),"",$L$711-1),IF($R$17="Distrato",$E1178,0))),0,YEARFRAC(MAX($P$708*($B1178+IF($R$17="Distrato",$I$38-1,0)),IF(AND($L$711=0,$P$708=0),"",$L$711-1),IF($R$17="Distrato",$E1178,0)),MIN(S$38,$D$19),$P$20))-SUM($P1178:R1178)</f>
        <v>#VALUE!</v>
      </c>
      <c r="T1178" s="446" t="e">
        <f>IF(OR($B1178="",MIN(T$38,$D$19)&lt;MAX($P$708*($B1178+IF($R$17="Distrato",$I$38-1,0)),IF(AND($L$711=0,$P$708=0),"",$L$711-1),IF($R$17="Distrato",$E1178,0))),0,YEARFRAC(MAX($P$708*($B1178+IF($R$17="Distrato",$I$38-1,0)),IF(AND($L$711=0,$P$708=0),"",$L$711-1),IF($R$17="Distrato",$E1178,0)),MIN(T$38,$D$19),$P$20))-SUM($P1178:S1178)</f>
        <v>#VALUE!</v>
      </c>
      <c r="U1178" s="446" t="e">
        <f>IF(OR($B1178="",MIN(U$38,$D$19)&lt;MAX($P$708*($B1178+IF($R$17="Distrato",$I$38-1,0)),IF(AND($L$711=0,$P$708=0),"",$L$711-1),IF($R$17="Distrato",$E1178,0))),0,YEARFRAC(MAX($P$708*($B1178+IF($R$17="Distrato",$I$38-1,0)),IF(AND($L$711=0,$P$708=0),"",$L$711-1),IF($R$17="Distrato",$E1178,0)),MIN(U$38,$D$19),$P$20))-SUM($P1178:T1178)</f>
        <v>#VALUE!</v>
      </c>
      <c r="V1178" s="446" t="e">
        <f>IF(OR($B1178="",MIN(V$38,$D$19)&lt;MAX($P$708*($B1178+IF($R$17="Distrato",$I$38-1,0)),IF(AND($L$711=0,$P$708=0),"",$L$711-1),IF($R$17="Distrato",$E1178,0))),0,YEARFRAC(MAX($P$708*($B1178+IF($R$17="Distrato",$I$38-1,0)),IF(AND($L$711=0,$P$708=0),"",$L$711-1),IF($R$17="Distrato",$E1178,0)),MIN(V$38,$D$19),$P$20))-SUM($P1178:U1178)</f>
        <v>#VALUE!</v>
      </c>
      <c r="W1178" s="446" t="e">
        <f>IF(OR($B1178="",MIN(W$38,$D$19)&lt;MAX($P$708*($B1178+IF($R$17="Distrato",$I$38-1,0)),IF(AND($L$711=0,$P$708=0),"",$L$711-1),IF($R$17="Distrato",$E1178,0))),0,YEARFRAC(MAX($P$708*($B1178+IF($R$17="Distrato",$I$38-1,0)),IF(AND($L$711=0,$P$708=0),"",$L$711-1),IF($R$17="Distrato",$E1178,0)),MIN(W$38,$D$19),$P$20))-SUM($P1178:V1178)</f>
        <v>#VALUE!</v>
      </c>
      <c r="X1178" s="446" t="e">
        <f>IF(OR($B1178="",MIN(X$38,$D$19)&lt;MAX($P$708*($B1178+IF($R$17="Distrato",$I$38-1,0)),IF(AND($L$711=0,$P$708=0),"",$L$711-1),IF($R$17="Distrato",$E1178,0))),0,YEARFRAC(MAX($P$708*($B1178+IF($R$17="Distrato",$I$38-1,0)),IF(AND($L$711=0,$P$708=0),"",$L$711-1),IF($R$17="Distrato",$E1178,0)),MIN(X$38,$D$19),$P$20))-SUM($P1178:W1178)</f>
        <v>#VALUE!</v>
      </c>
      <c r="Y1178" s="446" t="e">
        <f>IF(OR($B1178="",MIN(Y$38,$D$19)&lt;MAX($P$708*($B1178+IF($R$17="Distrato",$I$38-1,0)),IF(AND($L$711=0,$P$708=0),"",$L$711-1),IF($R$17="Distrato",$E1178,0))),0,YEARFRAC(MAX($P$708*($B1178+IF($R$17="Distrato",$I$38-1,0)),IF(AND($L$711=0,$P$708=0),"",$L$711-1),IF($R$17="Distrato",$E1178,0)),MIN(Y$38,$D$19),$P$20))-SUM($P1178:X1178)</f>
        <v>#VALUE!</v>
      </c>
      <c r="Z1178" s="446" t="e">
        <f>IF(OR($B1178="",MIN(Z$38,$D$19)&lt;MAX($P$708*($B1178+IF($R$17="Distrato",$I$38-1,0)),IF(AND($L$711=0,$P$708=0),"",$L$711-1),IF($R$17="Distrato",$E1178,0))),0,YEARFRAC(MAX($P$708*($B1178+IF($R$17="Distrato",$I$38-1,0)),IF(AND($L$711=0,$P$708=0),"",$L$711-1),IF($R$17="Distrato",$E1178,0)),MIN(Z$38,$D$19),$P$20))-SUM($P1178:Y1178)</f>
        <v>#VALUE!</v>
      </c>
      <c r="AA1178" s="446" t="e">
        <f>IF(OR($B1178="",MIN(AA$38,$D$19)&lt;MAX($P$708*($B1178+IF($R$17="Distrato",$I$38-1,0)),IF(AND($L$711=0,$P$708=0),"",$L$711-1),IF($R$17="Distrato",$E1178,0))),0,YEARFRAC(MAX($P$708*($B1178+IF($R$17="Distrato",$I$38-1,0)),IF(AND($L$711=0,$P$708=0),"",$L$711-1),IF($R$17="Distrato",$E1178,0)),MIN(AA$38,$D$19),$P$20))-SUM($P1178:Z1178)</f>
        <v>#VALUE!</v>
      </c>
      <c r="AB1178" s="446" t="e">
        <f>IF(OR($B1178="",MIN(AB$38,$D$19)&lt;MAX($P$708*($B1178+IF($R$17="Distrato",$I$38-1,0)),IF(AND($L$711=0,$P$708=0),"",$L$711-1),IF($R$17="Distrato",$E1178,0))),0,YEARFRAC(MAX($P$708*($B1178+IF($R$17="Distrato",$I$38-1,0)),IF(AND($L$711=0,$P$708=0),"",$L$711-1),IF($R$17="Distrato",$E1178,0)),MIN(AB$38,$D$19),$P$20))-SUM($P1178:AA1178)</f>
        <v>#VALUE!</v>
      </c>
      <c r="AC1178" s="446" t="e">
        <f>IF(OR($B1178="",MIN(AC$38,$D$19)&lt;MAX($P$708*($B1178+IF($R$17="Distrato",$I$38-1,0)),IF(AND($L$711=0,$P$708=0),"",$L$711-1),IF($R$17="Distrato",$E1178,0))),0,YEARFRAC(MAX($P$708*($B1178+IF($R$17="Distrato",$I$38-1,0)),IF(AND($L$711=0,$P$708=0),"",$L$711-1),IF($R$17="Distrato",$E1178,0)),MIN(AC$38,$D$19),$P$20))-SUM($P1178:AB1178)</f>
        <v>#VALUE!</v>
      </c>
      <c r="AD1178" s="446" t="e">
        <f>IF(OR($B1178="",MIN(AD$38,$D$19)&lt;MAX($P$708*($B1178+IF($R$17="Distrato",$I$38-1,0)),IF(AND($L$711=0,$P$708=0),"",$L$711-1),IF($R$17="Distrato",$E1178,0))),0,YEARFRAC(MAX($P$708*($B1178+IF($R$17="Distrato",$I$38-1,0)),IF(AND($L$711=0,$P$708=0),"",$L$711-1),IF($R$17="Distrato",$E1178,0)),MIN(AD$38,$D$19),$P$20))-SUM($P1178:AC1178)</f>
        <v>#VALUE!</v>
      </c>
      <c r="AE1178" s="446" t="e">
        <f>IF(OR($B1178="",MIN(AE$38,$D$19)&lt;MAX($P$708*($B1178+IF($R$17="Distrato",$I$38-1,0)),IF(AND($L$711=0,$P$708=0),"",$L$711-1),IF($R$17="Distrato",$E1178,0))),0,YEARFRAC(MAX($P$708*($B1178+IF($R$17="Distrato",$I$38-1,0)),IF(AND($L$711=0,$P$708=0),"",$L$711-1),IF($R$17="Distrato",$E1178,0)),MIN(AE$38,$D$19),$P$20))-SUM($P1178:AD1178)</f>
        <v>#VALUE!</v>
      </c>
      <c r="AF1178" s="446" t="e">
        <f>IF(OR($B1178="",MIN(AF$38,$D$19)&lt;MAX($P$708*($B1178+IF($R$17="Distrato",$I$38-1,0)),IF(AND($L$711=0,$P$708=0),"",$L$711-1),IF($R$17="Distrato",$E1178,0))),0,YEARFRAC(MAX($P$708*($B1178+IF($R$17="Distrato",$I$38-1,0)),IF(AND($L$711=0,$P$708=0),"",$L$711-1),IF($R$17="Distrato",$E1178,0)),MIN(AF$38,$D$19),$P$20))-SUM($P1178:AE1178)</f>
        <v>#VALUE!</v>
      </c>
      <c r="AG1178" s="446" t="e">
        <f>IF(OR($B1178="",MIN(AG$38,$D$19)&lt;MAX($P$708*($B1178+IF($R$17="Distrato",$I$38-1,0)),IF(AND($L$711=0,$P$708=0),"",$L$711-1),IF($R$17="Distrato",$E1178,0))),0,YEARFRAC(MAX($P$708*($B1178+IF($R$17="Distrato",$I$38-1,0)),IF(AND($L$711=0,$P$708=0),"",$L$711-1),IF($R$17="Distrato",$E1178,0)),MIN(AG$38,$D$19),$P$20))-SUM($P1178:AF1178)</f>
        <v>#VALUE!</v>
      </c>
      <c r="AH1178" s="446" t="e">
        <f>IF(OR($B1178="",MIN(AH$38,$D$19)&lt;MAX($P$708*($B1178+IF($R$17="Distrato",$I$38-1,0)),IF(AND($L$711=0,$P$708=0),"",$L$711-1),IF($R$17="Distrato",$E1178,0))),0,YEARFRAC(MAX($P$708*($B1178+IF($R$17="Distrato",$I$38-1,0)),IF(AND($L$711=0,$P$708=0),"",$L$711-1),IF($R$17="Distrato",$E1178,0)),MIN(AH$38,$D$19),$P$20))-SUM($P1178:AG1178)</f>
        <v>#VALUE!</v>
      </c>
      <c r="AI1178" s="446" t="e">
        <f>IF(OR($B1178="",MIN(AI$38,$D$19)&lt;MAX($P$708*($B1178+IF($R$17="Distrato",$I$38-1,0)),IF(AND($L$711=0,$P$708=0),"",$L$711-1),IF($R$17="Distrato",$E1178,0))),0,YEARFRAC(MAX($P$708*($B1178+IF($R$17="Distrato",$I$38-1,0)),IF(AND($L$711=0,$P$708=0),"",$L$711-1),IF($R$17="Distrato",$E1178,0)),MIN(AI$38,$D$19),$P$20))-SUM($P1178:AH1178)</f>
        <v>#VALUE!</v>
      </c>
      <c r="AJ1178" s="446" t="e">
        <f>IF(OR($B1178="",MIN(AJ$38,$D$19)&lt;MAX($P$708*($B1178+IF($R$17="Distrato",$I$38-1,0)),IF(AND($L$711=0,$P$708=0),"",$L$711-1),IF($R$17="Distrato",$E1178,0))),0,YEARFRAC(MAX($P$708*($B1178+IF($R$17="Distrato",$I$38-1,0)),IF(AND($L$711=0,$P$708=0),"",$L$711-1),IF($R$17="Distrato",$E1178,0)),MIN(AJ$38,$D$19),$P$20))-SUM($P1178:AI1178)</f>
        <v>#VALUE!</v>
      </c>
      <c r="AK1178" s="446" t="e">
        <f>IF(OR($B1178="",MIN(AK$38,$D$19)&lt;MAX($P$708*($B1178+IF($R$17="Distrato",$I$38-1,0)),IF(AND($L$711=0,$P$708=0),"",$L$711-1),IF($R$17="Distrato",$E1178,0))),0,YEARFRAC(MAX($P$708*($B1178+IF($R$17="Distrato",$I$38-1,0)),IF(AND($L$711=0,$P$708=0),"",$L$711-1),IF($R$17="Distrato",$E1178,0)),MIN(AK$38,$D$19),$P$20))-SUM($P1178:AJ1178)</f>
        <v>#VALUE!</v>
      </c>
      <c r="AL1178" s="446" t="e">
        <f>IF(OR($B1178="",MIN(AL$38,$D$19)&lt;MAX($P$708*($B1178+IF($R$17="Distrato",$I$38-1,0)),IF(AND($L$711=0,$P$708=0),"",$L$711-1),IF($R$17="Distrato",$E1178,0))),0,YEARFRAC(MAX($P$708*($B1178+IF($R$17="Distrato",$I$38-1,0)),IF(AND($L$711=0,$P$708=0),"",$L$711-1),IF($R$17="Distrato",$E1178,0)),MIN(AL$38,$D$19),$P$20))-SUM($P1178:AK1178)</f>
        <v>#VALUE!</v>
      </c>
      <c r="AM1178" s="446" t="e">
        <f>IF(OR($B1178="",MIN(AM$38,$D$19)&lt;MAX($P$708*($B1178+IF($R$17="Distrato",$I$38-1,0)),IF(AND($L$711=0,$P$708=0),"",$L$711-1),IF($R$17="Distrato",$E1178,0))),0,YEARFRAC(MAX($P$708*($B1178+IF($R$17="Distrato",$I$38-1,0)),IF(AND($L$711=0,$P$708=0),"",$L$711-1),IF($R$17="Distrato",$E1178,0)),MIN(AM$38,$D$19),$P$20))-SUM($P1178:AL1178)</f>
        <v>#VALUE!</v>
      </c>
      <c r="AN1178" s="446" t="e">
        <f>IF(OR($B1178="",MIN(AN$38,$D$19)&lt;MAX($P$708*($B1178+IF($R$17="Distrato",$I$38-1,0)),IF(AND($L$711=0,$P$708=0),"",$L$711-1),IF($R$17="Distrato",$E1178,0))),0,YEARFRAC(MAX($P$708*($B1178+IF($R$17="Distrato",$I$38-1,0)),IF(AND($L$711=0,$P$708=0),"",$L$711-1),IF($R$17="Distrato",$E1178,0)),MIN(AN$38,$D$19),$P$20))-SUM($P1178:AM1178)</f>
        <v>#VALUE!</v>
      </c>
      <c r="AO1178" s="446" t="e">
        <f>IF(OR($B1178="",MIN(AO$38,$D$19)&lt;MAX($P$708*($B1178+IF($R$17="Distrato",$I$38-1,0)),IF(AND($L$711=0,$P$708=0),"",$L$711-1),IF($R$17="Distrato",$E1178,0))),0,YEARFRAC(MAX($P$708*($B1178+IF($R$17="Distrato",$I$38-1,0)),IF(AND($L$711=0,$P$708=0),"",$L$711-1),IF($R$17="Distrato",$E1178,0)),MIN(AO$38,$D$19),$P$20))-SUM($P1178:AN1178)</f>
        <v>#VALUE!</v>
      </c>
      <c r="AP1178" s="446" t="e">
        <f>IF(OR($B1178="",MIN(AP$38,$D$19)&lt;MAX($P$708*($B1178+IF($R$17="Distrato",$I$38-1,0)),IF(AND($L$711=0,$P$708=0),"",$L$711-1),IF($R$17="Distrato",$E1178,0))),0,YEARFRAC(MAX($P$708*($B1178+IF($R$17="Distrato",$I$38-1,0)),IF(AND($L$711=0,$P$708=0),"",$L$711-1),IF($R$17="Distrato",$E1178,0)),MIN(AP$38,$D$19),$P$20))-SUM($P1178:AO1178)</f>
        <v>#VALUE!</v>
      </c>
      <c r="AQ1178" s="446" t="e">
        <f>IF(OR($B1178="",MIN(AQ$38,$D$19)&lt;MAX($P$708*($B1178+IF($R$17="Distrato",$I$38-1,0)),IF(AND($L$711=0,$P$708=0),"",$L$711-1),IF($R$17="Distrato",$E1178,0))),0,YEARFRAC(MAX($P$708*($B1178+IF($R$17="Distrato",$I$38-1,0)),IF(AND($L$711=0,$P$708=0),"",$L$711-1),IF($R$17="Distrato",$E1178,0)),MIN(AQ$38,$D$19),$P$20))-SUM($P1178:AP1178)</f>
        <v>#VALUE!</v>
      </c>
      <c r="AR1178" s="446" t="e">
        <f>IF(OR($B1178="",MIN(AR$38,$D$19)&lt;MAX($P$708*($B1178+IF($R$17="Distrato",$I$38-1,0)),IF(AND($L$711=0,$P$708=0),"",$L$711-1),IF($R$17="Distrato",$E1178,0))),0,YEARFRAC(MAX($P$708*($B1178+IF($R$17="Distrato",$I$38-1,0)),IF(AND($L$711=0,$P$708=0),"",$L$711-1),IF($R$17="Distrato",$E1178,0)),MIN(AR$38,$D$19),$P$20))-SUM($P1178:AQ1178)</f>
        <v>#VALUE!</v>
      </c>
      <c r="AS1178" s="446" t="e">
        <f>IF(OR($B1178="",MIN(AS$38,$D$19)&lt;MAX($P$708*($B1178+IF($R$17="Distrato",$I$38-1,0)),IF(AND($L$711=0,$P$708=0),"",$L$711-1),IF($R$17="Distrato",$E1178,0))),0,YEARFRAC(MAX($P$708*($B1178+IF($R$17="Distrato",$I$38-1,0)),IF(AND($L$711=0,$P$708=0),"",$L$711-1),IF($R$17="Distrato",$E1178,0)),MIN(AS$38,$D$19),$P$20))-SUM($P1178:AR1178)</f>
        <v>#VALUE!</v>
      </c>
      <c r="AT1178" s="446" t="e">
        <f>IF(OR($B1178="",MIN(AT$38,$D$19)&lt;MAX($P$708*($B1178+IF($R$17="Distrato",$I$38-1,0)),IF(AND($L$711=0,$P$708=0),"",$L$711-1),IF($R$17="Distrato",$E1178,0))),0,YEARFRAC(MAX($P$708*($B1178+IF($R$17="Distrato",$I$38-1,0)),IF(AND($L$711=0,$P$708=0),"",$L$711-1),IF($R$17="Distrato",$E1178,0)),MIN(AT$38,$D$19),$P$20))-SUM($P1178:AS1178)</f>
        <v>#VALUE!</v>
      </c>
      <c r="AU1178" s="446" t="e">
        <f>IF(OR($B1178="",MIN(AU$38,$D$19)&lt;MAX($P$708*($B1178+IF($R$17="Distrato",$I$38-1,0)),IF(AND($L$711=0,$P$708=0),"",$L$711-1),IF($R$17="Distrato",$E1178,0))),0,YEARFRAC(MAX($P$708*($B1178+IF($R$17="Distrato",$I$38-1,0)),IF(AND($L$711=0,$P$708=0),"",$L$711-1),IF($R$17="Distrato",$E1178,0)),MIN(AU$38,$D$19),$P$20))-SUM($P1178:AT1178)</f>
        <v>#VALUE!</v>
      </c>
      <c r="AV1178" s="446" t="e">
        <f>IF(OR($B1178="",MIN(AV$38,$D$19)&lt;MAX($P$708*($B1178+IF($R$17="Distrato",$I$38-1,0)),IF(AND($L$711=0,$P$708=0),"",$L$711-1),IF($R$17="Distrato",$E1178,0))),0,YEARFRAC(MAX($P$708*($B1178+IF($R$17="Distrato",$I$38-1,0)),IF(AND($L$711=0,$P$708=0),"",$L$711-1),IF($R$17="Distrato",$E1178,0)),MIN(AV$38,$D$19),$P$20))-SUM($P1178:AU1178)</f>
        <v>#VALUE!</v>
      </c>
      <c r="AW1178" s="446" t="e">
        <f>IF(OR($B1178="",MIN(AW$38,$D$19)&lt;MAX($P$708*($B1178+IF($R$17="Distrato",$I$38-1,0)),IF(AND($L$711=0,$P$708=0),"",$L$711-1),IF($R$17="Distrato",$E1178,0))),0,YEARFRAC(MAX($P$708*($B1178+IF($R$17="Distrato",$I$38-1,0)),IF(AND($L$711=0,$P$708=0),"",$L$711-1),IF($R$17="Distrato",$E1178,0)),MIN(AW$38,$D$19),$P$20))-SUM($P1178:AV1178)</f>
        <v>#VALUE!</v>
      </c>
      <c r="AX1178" s="446" t="e">
        <f>IF(OR($B1178="",MIN(AX$38,$D$19)&lt;MAX($P$708*($B1178+IF($R$17="Distrato",$I$38-1,0)),IF(AND($L$711=0,$P$708=0),"",$L$711-1),IF($R$17="Distrato",$E1178,0))),0,YEARFRAC(MAX($P$708*($B1178+IF($R$17="Distrato",$I$38-1,0)),IF(AND($L$711=0,$P$708=0),"",$L$711-1),IF($R$17="Distrato",$E1178,0)),MIN(AX$38,$D$19),$P$20))-SUM($P1178:AW1178)</f>
        <v>#VALUE!</v>
      </c>
      <c r="AY1178" s="446" t="e">
        <f>IF(OR($B1178="",MIN(AY$38,$D$19)&lt;MAX($P$708*($B1178+IF($R$17="Distrato",$I$38-1,0)),IF(AND($L$711=0,$P$708=0),"",$L$711-1),IF($R$17="Distrato",$E1178,0))),0,YEARFRAC(MAX($P$708*($B1178+IF($R$17="Distrato",$I$38-1,0)),IF(AND($L$711=0,$P$708=0),"",$L$711-1),IF($R$17="Distrato",$E1178,0)),MIN(AY$38,$D$19),$P$20))-SUM($P1178:AX1178)</f>
        <v>#VALUE!</v>
      </c>
      <c r="AZ1178" s="446" t="e">
        <f>IF(OR($B1178="",MIN(AZ$38,$D$19)&lt;MAX($P$708*($B1178+IF($R$17="Distrato",$I$38-1,0)),IF(AND($L$711=0,$P$708=0),"",$L$711-1),IF($R$17="Distrato",$E1178,0))),0,YEARFRAC(MAX($P$708*($B1178+IF($R$17="Distrato",$I$38-1,0)),IF(AND($L$711=0,$P$708=0),"",$L$711-1),IF($R$17="Distrato",$E1178,0)),MIN(AZ$38,$D$19),$P$20))-SUM($P1178:AY1178)</f>
        <v>#VALUE!</v>
      </c>
      <c r="BA1178" s="446" t="e">
        <f>IF(OR($B1178="",MIN(BA$38,$D$19)&lt;MAX($P$708*($B1178+IF($R$17="Distrato",$I$38-1,0)),IF(AND($L$711=0,$P$708=0),"",$L$711-1),IF($R$17="Distrato",$E1178,0))),0,YEARFRAC(MAX($P$708*($B1178+IF($R$17="Distrato",$I$38-1,0)),IF(AND($L$711=0,$P$708=0),"",$L$711-1),IF($R$17="Distrato",$E1178,0)),MIN(BA$38,$D$19),$P$20))-SUM($P1178:AZ1178)</f>
        <v>#VALUE!</v>
      </c>
      <c r="BB1178" s="447"/>
    </row>
    <row r="1179" spans="1:54" s="446" customFormat="1" ht="11.25" hidden="1" customHeight="1" x14ac:dyDescent="0.2">
      <c r="A1179" s="235"/>
      <c r="B1179" s="236"/>
      <c r="C1179" s="29" t="str">
        <f>IF(B1179="","",IF($L$709=$BL$25,VLOOKUP(DATE(YEAR($D$19),MONTH($D$19)-1,1),ÍNDICES!$A:$DE,HLOOKUP($BL$25,ÍNDICES!$B$3:$T$4,2)+11)-VLOOKUP(B1179,ÍNDICES!$A:$DE,HLOOKUP($BL$25,ÍNDICES!$B$3:$T$4,2)+11)+1%,IF(C$712=$W$26,$J$35,IF(ISERROR(IF(B1179&gt;$D$19,1,VLOOKUP(DATE(YEAR(B1179),MONTH(B1179)+IF($C$709=$S$23,1,0),1),ÍNDICES!$A:$DE,$Z$709+1))),"",IF(B1179&gt;$D$19,1,VLOOKUP(DATE(YEAR(B1179),MONTH(B1179)+IF($C$709=$S$23,1,0),1),ÍNDICES!$A:$DE,$Z$709+1))))))</f>
        <v/>
      </c>
      <c r="D1179" s="155"/>
      <c r="E1179" s="88"/>
      <c r="F1179" s="88"/>
      <c r="G1179" s="88"/>
      <c r="H1179" s="118"/>
      <c r="I1179" s="182">
        <f t="shared" si="164"/>
        <v>0</v>
      </c>
      <c r="J1179" s="20">
        <f t="shared" ca="1" si="165"/>
        <v>0</v>
      </c>
      <c r="K1179" s="5">
        <f t="shared" ca="1" si="166"/>
        <v>0</v>
      </c>
      <c r="L1179" s="61">
        <f t="shared" ca="1" si="167"/>
        <v>0</v>
      </c>
      <c r="M1179" s="64">
        <f t="shared" si="168"/>
        <v>0</v>
      </c>
      <c r="N1179" s="151"/>
      <c r="O1179" s="5">
        <f t="shared" ca="1" si="169"/>
        <v>0</v>
      </c>
      <c r="P1179" s="446" t="e">
        <f t="shared" si="170"/>
        <v>#VALUE!</v>
      </c>
      <c r="Q1179" s="446" t="e">
        <f>IF(OR($B1179="",MIN(Q$38,$D$19)&lt;MAX($P$708*($B1179+IF($R$17="Distrato",$I$38-1,0)),IF(AND($L$711=0,$P$708=0),"",$L$711-1),IF($R$17="Distrato",$E1179,0))),0,YEARFRAC(MAX($P$708*($B1179+IF($R$17="Distrato",$I$38-1,0)),IF(AND($L$711=0,$P$708=0),"",$L$711-1),IF($R$17="Distrato",$E1179,0)),MIN(Q$38,$D$19),$P$20))-SUM($P1179:P1179)</f>
        <v>#VALUE!</v>
      </c>
      <c r="R1179" s="446" t="e">
        <f>IF(OR($B1179="",MIN(R$38,$D$19)&lt;MAX($P$708*($B1179+IF($R$17="Distrato",$I$38-1,0)),IF(AND($L$711=0,$P$708=0),"",$L$711-1),IF($R$17="Distrato",$E1179,0))),0,YEARFRAC(MAX($P$708*($B1179+IF($R$17="Distrato",$I$38-1,0)),IF(AND($L$711=0,$P$708=0),"",$L$711-1),IF($R$17="Distrato",$E1179,0)),MIN(R$38,$D$19),$P$20))-SUM($P1179:Q1179)</f>
        <v>#VALUE!</v>
      </c>
      <c r="S1179" s="446" t="e">
        <f>IF(OR($B1179="",MIN(S$38,$D$19)&lt;MAX($P$708*($B1179+IF($R$17="Distrato",$I$38-1,0)),IF(AND($L$711=0,$P$708=0),"",$L$711-1),IF($R$17="Distrato",$E1179,0))),0,YEARFRAC(MAX($P$708*($B1179+IF($R$17="Distrato",$I$38-1,0)),IF(AND($L$711=0,$P$708=0),"",$L$711-1),IF($R$17="Distrato",$E1179,0)),MIN(S$38,$D$19),$P$20))-SUM($P1179:R1179)</f>
        <v>#VALUE!</v>
      </c>
      <c r="T1179" s="446" t="e">
        <f>IF(OR($B1179="",MIN(T$38,$D$19)&lt;MAX($P$708*($B1179+IF($R$17="Distrato",$I$38-1,0)),IF(AND($L$711=0,$P$708=0),"",$L$711-1),IF($R$17="Distrato",$E1179,0))),0,YEARFRAC(MAX($P$708*($B1179+IF($R$17="Distrato",$I$38-1,0)),IF(AND($L$711=0,$P$708=0),"",$L$711-1),IF($R$17="Distrato",$E1179,0)),MIN(T$38,$D$19),$P$20))-SUM($P1179:S1179)</f>
        <v>#VALUE!</v>
      </c>
      <c r="U1179" s="446" t="e">
        <f>IF(OR($B1179="",MIN(U$38,$D$19)&lt;MAX($P$708*($B1179+IF($R$17="Distrato",$I$38-1,0)),IF(AND($L$711=0,$P$708=0),"",$L$711-1),IF($R$17="Distrato",$E1179,0))),0,YEARFRAC(MAX($P$708*($B1179+IF($R$17="Distrato",$I$38-1,0)),IF(AND($L$711=0,$P$708=0),"",$L$711-1),IF($R$17="Distrato",$E1179,0)),MIN(U$38,$D$19),$P$20))-SUM($P1179:T1179)</f>
        <v>#VALUE!</v>
      </c>
      <c r="V1179" s="446" t="e">
        <f>IF(OR($B1179="",MIN(V$38,$D$19)&lt;MAX($P$708*($B1179+IF($R$17="Distrato",$I$38-1,0)),IF(AND($L$711=0,$P$708=0),"",$L$711-1),IF($R$17="Distrato",$E1179,0))),0,YEARFRAC(MAX($P$708*($B1179+IF($R$17="Distrato",$I$38-1,0)),IF(AND($L$711=0,$P$708=0),"",$L$711-1),IF($R$17="Distrato",$E1179,0)),MIN(V$38,$D$19),$P$20))-SUM($P1179:U1179)</f>
        <v>#VALUE!</v>
      </c>
      <c r="W1179" s="446" t="e">
        <f>IF(OR($B1179="",MIN(W$38,$D$19)&lt;MAX($P$708*($B1179+IF($R$17="Distrato",$I$38-1,0)),IF(AND($L$711=0,$P$708=0),"",$L$711-1),IF($R$17="Distrato",$E1179,0))),0,YEARFRAC(MAX($P$708*($B1179+IF($R$17="Distrato",$I$38-1,0)),IF(AND($L$711=0,$P$708=0),"",$L$711-1),IF($R$17="Distrato",$E1179,0)),MIN(W$38,$D$19),$P$20))-SUM($P1179:V1179)</f>
        <v>#VALUE!</v>
      </c>
      <c r="X1179" s="446" t="e">
        <f>IF(OR($B1179="",MIN(X$38,$D$19)&lt;MAX($P$708*($B1179+IF($R$17="Distrato",$I$38-1,0)),IF(AND($L$711=0,$P$708=0),"",$L$711-1),IF($R$17="Distrato",$E1179,0))),0,YEARFRAC(MAX($P$708*($B1179+IF($R$17="Distrato",$I$38-1,0)),IF(AND($L$711=0,$P$708=0),"",$L$711-1),IF($R$17="Distrato",$E1179,0)),MIN(X$38,$D$19),$P$20))-SUM($P1179:W1179)</f>
        <v>#VALUE!</v>
      </c>
      <c r="Y1179" s="446" t="e">
        <f>IF(OR($B1179="",MIN(Y$38,$D$19)&lt;MAX($P$708*($B1179+IF($R$17="Distrato",$I$38-1,0)),IF(AND($L$711=0,$P$708=0),"",$L$711-1),IF($R$17="Distrato",$E1179,0))),0,YEARFRAC(MAX($P$708*($B1179+IF($R$17="Distrato",$I$38-1,0)),IF(AND($L$711=0,$P$708=0),"",$L$711-1),IF($R$17="Distrato",$E1179,0)),MIN(Y$38,$D$19),$P$20))-SUM($P1179:X1179)</f>
        <v>#VALUE!</v>
      </c>
      <c r="Z1179" s="446" t="e">
        <f>IF(OR($B1179="",MIN(Z$38,$D$19)&lt;MAX($P$708*($B1179+IF($R$17="Distrato",$I$38-1,0)),IF(AND($L$711=0,$P$708=0),"",$L$711-1),IF($R$17="Distrato",$E1179,0))),0,YEARFRAC(MAX($P$708*($B1179+IF($R$17="Distrato",$I$38-1,0)),IF(AND($L$711=0,$P$708=0),"",$L$711-1),IF($R$17="Distrato",$E1179,0)),MIN(Z$38,$D$19),$P$20))-SUM($P1179:Y1179)</f>
        <v>#VALUE!</v>
      </c>
      <c r="AA1179" s="446" t="e">
        <f>IF(OR($B1179="",MIN(AA$38,$D$19)&lt;MAX($P$708*($B1179+IF($R$17="Distrato",$I$38-1,0)),IF(AND($L$711=0,$P$708=0),"",$L$711-1),IF($R$17="Distrato",$E1179,0))),0,YEARFRAC(MAX($P$708*($B1179+IF($R$17="Distrato",$I$38-1,0)),IF(AND($L$711=0,$P$708=0),"",$L$711-1),IF($R$17="Distrato",$E1179,0)),MIN(AA$38,$D$19),$P$20))-SUM($P1179:Z1179)</f>
        <v>#VALUE!</v>
      </c>
      <c r="AB1179" s="446" t="e">
        <f>IF(OR($B1179="",MIN(AB$38,$D$19)&lt;MAX($P$708*($B1179+IF($R$17="Distrato",$I$38-1,0)),IF(AND($L$711=0,$P$708=0),"",$L$711-1),IF($R$17="Distrato",$E1179,0))),0,YEARFRAC(MAX($P$708*($B1179+IF($R$17="Distrato",$I$38-1,0)),IF(AND($L$711=0,$P$708=0),"",$L$711-1),IF($R$17="Distrato",$E1179,0)),MIN(AB$38,$D$19),$P$20))-SUM($P1179:AA1179)</f>
        <v>#VALUE!</v>
      </c>
      <c r="AC1179" s="446" t="e">
        <f>IF(OR($B1179="",MIN(AC$38,$D$19)&lt;MAX($P$708*($B1179+IF($R$17="Distrato",$I$38-1,0)),IF(AND($L$711=0,$P$708=0),"",$L$711-1),IF($R$17="Distrato",$E1179,0))),0,YEARFRAC(MAX($P$708*($B1179+IF($R$17="Distrato",$I$38-1,0)),IF(AND($L$711=0,$P$708=0),"",$L$711-1),IF($R$17="Distrato",$E1179,0)),MIN(AC$38,$D$19),$P$20))-SUM($P1179:AB1179)</f>
        <v>#VALUE!</v>
      </c>
      <c r="AD1179" s="446" t="e">
        <f>IF(OR($B1179="",MIN(AD$38,$D$19)&lt;MAX($P$708*($B1179+IF($R$17="Distrato",$I$38-1,0)),IF(AND($L$711=0,$P$708=0),"",$L$711-1),IF($R$17="Distrato",$E1179,0))),0,YEARFRAC(MAX($P$708*($B1179+IF($R$17="Distrato",$I$38-1,0)),IF(AND($L$711=0,$P$708=0),"",$L$711-1),IF($R$17="Distrato",$E1179,0)),MIN(AD$38,$D$19),$P$20))-SUM($P1179:AC1179)</f>
        <v>#VALUE!</v>
      </c>
      <c r="AE1179" s="446" t="e">
        <f>IF(OR($B1179="",MIN(AE$38,$D$19)&lt;MAX($P$708*($B1179+IF($R$17="Distrato",$I$38-1,0)),IF(AND($L$711=0,$P$708=0),"",$L$711-1),IF($R$17="Distrato",$E1179,0))),0,YEARFRAC(MAX($P$708*($B1179+IF($R$17="Distrato",$I$38-1,0)),IF(AND($L$711=0,$P$708=0),"",$L$711-1),IF($R$17="Distrato",$E1179,0)),MIN(AE$38,$D$19),$P$20))-SUM($P1179:AD1179)</f>
        <v>#VALUE!</v>
      </c>
      <c r="AF1179" s="446" t="e">
        <f>IF(OR($B1179="",MIN(AF$38,$D$19)&lt;MAX($P$708*($B1179+IF($R$17="Distrato",$I$38-1,0)),IF(AND($L$711=0,$P$708=0),"",$L$711-1),IF($R$17="Distrato",$E1179,0))),0,YEARFRAC(MAX($P$708*($B1179+IF($R$17="Distrato",$I$38-1,0)),IF(AND($L$711=0,$P$708=0),"",$L$711-1),IF($R$17="Distrato",$E1179,0)),MIN(AF$38,$D$19),$P$20))-SUM($P1179:AE1179)</f>
        <v>#VALUE!</v>
      </c>
      <c r="AG1179" s="446" t="e">
        <f>IF(OR($B1179="",MIN(AG$38,$D$19)&lt;MAX($P$708*($B1179+IF($R$17="Distrato",$I$38-1,0)),IF(AND($L$711=0,$P$708=0),"",$L$711-1),IF($R$17="Distrato",$E1179,0))),0,YEARFRAC(MAX($P$708*($B1179+IF($R$17="Distrato",$I$38-1,0)),IF(AND($L$711=0,$P$708=0),"",$L$711-1),IF($R$17="Distrato",$E1179,0)),MIN(AG$38,$D$19),$P$20))-SUM($P1179:AF1179)</f>
        <v>#VALUE!</v>
      </c>
      <c r="AH1179" s="446" t="e">
        <f>IF(OR($B1179="",MIN(AH$38,$D$19)&lt;MAX($P$708*($B1179+IF($R$17="Distrato",$I$38-1,0)),IF(AND($L$711=0,$P$708=0),"",$L$711-1),IF($R$17="Distrato",$E1179,0))),0,YEARFRAC(MAX($P$708*($B1179+IF($R$17="Distrato",$I$38-1,0)),IF(AND($L$711=0,$P$708=0),"",$L$711-1),IF($R$17="Distrato",$E1179,0)),MIN(AH$38,$D$19),$P$20))-SUM($P1179:AG1179)</f>
        <v>#VALUE!</v>
      </c>
      <c r="AI1179" s="446" t="e">
        <f>IF(OR($B1179="",MIN(AI$38,$D$19)&lt;MAX($P$708*($B1179+IF($R$17="Distrato",$I$38-1,0)),IF(AND($L$711=0,$P$708=0),"",$L$711-1),IF($R$17="Distrato",$E1179,0))),0,YEARFRAC(MAX($P$708*($B1179+IF($R$17="Distrato",$I$38-1,0)),IF(AND($L$711=0,$P$708=0),"",$L$711-1),IF($R$17="Distrato",$E1179,0)),MIN(AI$38,$D$19),$P$20))-SUM($P1179:AH1179)</f>
        <v>#VALUE!</v>
      </c>
      <c r="AJ1179" s="446" t="e">
        <f>IF(OR($B1179="",MIN(AJ$38,$D$19)&lt;MAX($P$708*($B1179+IF($R$17="Distrato",$I$38-1,0)),IF(AND($L$711=0,$P$708=0),"",$L$711-1),IF($R$17="Distrato",$E1179,0))),0,YEARFRAC(MAX($P$708*($B1179+IF($R$17="Distrato",$I$38-1,0)),IF(AND($L$711=0,$P$708=0),"",$L$711-1),IF($R$17="Distrato",$E1179,0)),MIN(AJ$38,$D$19),$P$20))-SUM($P1179:AI1179)</f>
        <v>#VALUE!</v>
      </c>
      <c r="AK1179" s="446" t="e">
        <f>IF(OR($B1179="",MIN(AK$38,$D$19)&lt;MAX($P$708*($B1179+IF($R$17="Distrato",$I$38-1,0)),IF(AND($L$711=0,$P$708=0),"",$L$711-1),IF($R$17="Distrato",$E1179,0))),0,YEARFRAC(MAX($P$708*($B1179+IF($R$17="Distrato",$I$38-1,0)),IF(AND($L$711=0,$P$708=0),"",$L$711-1),IF($R$17="Distrato",$E1179,0)),MIN(AK$38,$D$19),$P$20))-SUM($P1179:AJ1179)</f>
        <v>#VALUE!</v>
      </c>
      <c r="AL1179" s="446" t="e">
        <f>IF(OR($B1179="",MIN(AL$38,$D$19)&lt;MAX($P$708*($B1179+IF($R$17="Distrato",$I$38-1,0)),IF(AND($L$711=0,$P$708=0),"",$L$711-1),IF($R$17="Distrato",$E1179,0))),0,YEARFRAC(MAX($P$708*($B1179+IF($R$17="Distrato",$I$38-1,0)),IF(AND($L$711=0,$P$708=0),"",$L$711-1),IF($R$17="Distrato",$E1179,0)),MIN(AL$38,$D$19),$P$20))-SUM($P1179:AK1179)</f>
        <v>#VALUE!</v>
      </c>
      <c r="AM1179" s="446" t="e">
        <f>IF(OR($B1179="",MIN(AM$38,$D$19)&lt;MAX($P$708*($B1179+IF($R$17="Distrato",$I$38-1,0)),IF(AND($L$711=0,$P$708=0),"",$L$711-1),IF($R$17="Distrato",$E1179,0))),0,YEARFRAC(MAX($P$708*($B1179+IF($R$17="Distrato",$I$38-1,0)),IF(AND($L$711=0,$P$708=0),"",$L$711-1),IF($R$17="Distrato",$E1179,0)),MIN(AM$38,$D$19),$P$20))-SUM($P1179:AL1179)</f>
        <v>#VALUE!</v>
      </c>
      <c r="AN1179" s="446" t="e">
        <f>IF(OR($B1179="",MIN(AN$38,$D$19)&lt;MAX($P$708*($B1179+IF($R$17="Distrato",$I$38-1,0)),IF(AND($L$711=0,$P$708=0),"",$L$711-1),IF($R$17="Distrato",$E1179,0))),0,YEARFRAC(MAX($P$708*($B1179+IF($R$17="Distrato",$I$38-1,0)),IF(AND($L$711=0,$P$708=0),"",$L$711-1),IF($R$17="Distrato",$E1179,0)),MIN(AN$38,$D$19),$P$20))-SUM($P1179:AM1179)</f>
        <v>#VALUE!</v>
      </c>
      <c r="AO1179" s="446" t="e">
        <f>IF(OR($B1179="",MIN(AO$38,$D$19)&lt;MAX($P$708*($B1179+IF($R$17="Distrato",$I$38-1,0)),IF(AND($L$711=0,$P$708=0),"",$L$711-1),IF($R$17="Distrato",$E1179,0))),0,YEARFRAC(MAX($P$708*($B1179+IF($R$17="Distrato",$I$38-1,0)),IF(AND($L$711=0,$P$708=0),"",$L$711-1),IF($R$17="Distrato",$E1179,0)),MIN(AO$38,$D$19),$P$20))-SUM($P1179:AN1179)</f>
        <v>#VALUE!</v>
      </c>
      <c r="AP1179" s="446" t="e">
        <f>IF(OR($B1179="",MIN(AP$38,$D$19)&lt;MAX($P$708*($B1179+IF($R$17="Distrato",$I$38-1,0)),IF(AND($L$711=0,$P$708=0),"",$L$711-1),IF($R$17="Distrato",$E1179,0))),0,YEARFRAC(MAX($P$708*($B1179+IF($R$17="Distrato",$I$38-1,0)),IF(AND($L$711=0,$P$708=0),"",$L$711-1),IF($R$17="Distrato",$E1179,0)),MIN(AP$38,$D$19),$P$20))-SUM($P1179:AO1179)</f>
        <v>#VALUE!</v>
      </c>
      <c r="AQ1179" s="446" t="e">
        <f>IF(OR($B1179="",MIN(AQ$38,$D$19)&lt;MAX($P$708*($B1179+IF($R$17="Distrato",$I$38-1,0)),IF(AND($L$711=0,$P$708=0),"",$L$711-1),IF($R$17="Distrato",$E1179,0))),0,YEARFRAC(MAX($P$708*($B1179+IF($R$17="Distrato",$I$38-1,0)),IF(AND($L$711=0,$P$708=0),"",$L$711-1),IF($R$17="Distrato",$E1179,0)),MIN(AQ$38,$D$19),$P$20))-SUM($P1179:AP1179)</f>
        <v>#VALUE!</v>
      </c>
      <c r="AR1179" s="446" t="e">
        <f>IF(OR($B1179="",MIN(AR$38,$D$19)&lt;MAX($P$708*($B1179+IF($R$17="Distrato",$I$38-1,0)),IF(AND($L$711=0,$P$708=0),"",$L$711-1),IF($R$17="Distrato",$E1179,0))),0,YEARFRAC(MAX($P$708*($B1179+IF($R$17="Distrato",$I$38-1,0)),IF(AND($L$711=0,$P$708=0),"",$L$711-1),IF($R$17="Distrato",$E1179,0)),MIN(AR$38,$D$19),$P$20))-SUM($P1179:AQ1179)</f>
        <v>#VALUE!</v>
      </c>
      <c r="AS1179" s="446" t="e">
        <f>IF(OR($B1179="",MIN(AS$38,$D$19)&lt;MAX($P$708*($B1179+IF($R$17="Distrato",$I$38-1,0)),IF(AND($L$711=0,$P$708=0),"",$L$711-1),IF($R$17="Distrato",$E1179,0))),0,YEARFRAC(MAX($P$708*($B1179+IF($R$17="Distrato",$I$38-1,0)),IF(AND($L$711=0,$P$708=0),"",$L$711-1),IF($R$17="Distrato",$E1179,0)),MIN(AS$38,$D$19),$P$20))-SUM($P1179:AR1179)</f>
        <v>#VALUE!</v>
      </c>
      <c r="AT1179" s="446" t="e">
        <f>IF(OR($B1179="",MIN(AT$38,$D$19)&lt;MAX($P$708*($B1179+IF($R$17="Distrato",$I$38-1,0)),IF(AND($L$711=0,$P$708=0),"",$L$711-1),IF($R$17="Distrato",$E1179,0))),0,YEARFRAC(MAX($P$708*($B1179+IF($R$17="Distrato",$I$38-1,0)),IF(AND($L$711=0,$P$708=0),"",$L$711-1),IF($R$17="Distrato",$E1179,0)),MIN(AT$38,$D$19),$P$20))-SUM($P1179:AS1179)</f>
        <v>#VALUE!</v>
      </c>
      <c r="AU1179" s="446" t="e">
        <f>IF(OR($B1179="",MIN(AU$38,$D$19)&lt;MAX($P$708*($B1179+IF($R$17="Distrato",$I$38-1,0)),IF(AND($L$711=0,$P$708=0),"",$L$711-1),IF($R$17="Distrato",$E1179,0))),0,YEARFRAC(MAX($P$708*($B1179+IF($R$17="Distrato",$I$38-1,0)),IF(AND($L$711=0,$P$708=0),"",$L$711-1),IF($R$17="Distrato",$E1179,0)),MIN(AU$38,$D$19),$P$20))-SUM($P1179:AT1179)</f>
        <v>#VALUE!</v>
      </c>
      <c r="AV1179" s="446" t="e">
        <f>IF(OR($B1179="",MIN(AV$38,$D$19)&lt;MAX($P$708*($B1179+IF($R$17="Distrato",$I$38-1,0)),IF(AND($L$711=0,$P$708=0),"",$L$711-1),IF($R$17="Distrato",$E1179,0))),0,YEARFRAC(MAX($P$708*($B1179+IF($R$17="Distrato",$I$38-1,0)),IF(AND($L$711=0,$P$708=0),"",$L$711-1),IF($R$17="Distrato",$E1179,0)),MIN(AV$38,$D$19),$P$20))-SUM($P1179:AU1179)</f>
        <v>#VALUE!</v>
      </c>
      <c r="AW1179" s="446" t="e">
        <f>IF(OR($B1179="",MIN(AW$38,$D$19)&lt;MAX($P$708*($B1179+IF($R$17="Distrato",$I$38-1,0)),IF(AND($L$711=0,$P$708=0),"",$L$711-1),IF($R$17="Distrato",$E1179,0))),0,YEARFRAC(MAX($P$708*($B1179+IF($R$17="Distrato",$I$38-1,0)),IF(AND($L$711=0,$P$708=0),"",$L$711-1),IF($R$17="Distrato",$E1179,0)),MIN(AW$38,$D$19),$P$20))-SUM($P1179:AV1179)</f>
        <v>#VALUE!</v>
      </c>
      <c r="AX1179" s="446" t="e">
        <f>IF(OR($B1179="",MIN(AX$38,$D$19)&lt;MAX($P$708*($B1179+IF($R$17="Distrato",$I$38-1,0)),IF(AND($L$711=0,$P$708=0),"",$L$711-1),IF($R$17="Distrato",$E1179,0))),0,YEARFRAC(MAX($P$708*($B1179+IF($R$17="Distrato",$I$38-1,0)),IF(AND($L$711=0,$P$708=0),"",$L$711-1),IF($R$17="Distrato",$E1179,0)),MIN(AX$38,$D$19),$P$20))-SUM($P1179:AW1179)</f>
        <v>#VALUE!</v>
      </c>
      <c r="AY1179" s="446" t="e">
        <f>IF(OR($B1179="",MIN(AY$38,$D$19)&lt;MAX($P$708*($B1179+IF($R$17="Distrato",$I$38-1,0)),IF(AND($L$711=0,$P$708=0),"",$L$711-1),IF($R$17="Distrato",$E1179,0))),0,YEARFRAC(MAX($P$708*($B1179+IF($R$17="Distrato",$I$38-1,0)),IF(AND($L$711=0,$P$708=0),"",$L$711-1),IF($R$17="Distrato",$E1179,0)),MIN(AY$38,$D$19),$P$20))-SUM($P1179:AX1179)</f>
        <v>#VALUE!</v>
      </c>
      <c r="AZ1179" s="446" t="e">
        <f>IF(OR($B1179="",MIN(AZ$38,$D$19)&lt;MAX($P$708*($B1179+IF($R$17="Distrato",$I$38-1,0)),IF(AND($L$711=0,$P$708=0),"",$L$711-1),IF($R$17="Distrato",$E1179,0))),0,YEARFRAC(MAX($P$708*($B1179+IF($R$17="Distrato",$I$38-1,0)),IF(AND($L$711=0,$P$708=0),"",$L$711-1),IF($R$17="Distrato",$E1179,0)),MIN(AZ$38,$D$19),$P$20))-SUM($P1179:AY1179)</f>
        <v>#VALUE!</v>
      </c>
      <c r="BA1179" s="446" t="e">
        <f>IF(OR($B1179="",MIN(BA$38,$D$19)&lt;MAX($P$708*($B1179+IF($R$17="Distrato",$I$38-1,0)),IF(AND($L$711=0,$P$708=0),"",$L$711-1),IF($R$17="Distrato",$E1179,0))),0,YEARFRAC(MAX($P$708*($B1179+IF($R$17="Distrato",$I$38-1,0)),IF(AND($L$711=0,$P$708=0),"",$L$711-1),IF($R$17="Distrato",$E1179,0)),MIN(BA$38,$D$19),$P$20))-SUM($P1179:AZ1179)</f>
        <v>#VALUE!</v>
      </c>
      <c r="BB1179" s="447"/>
    </row>
    <row r="1180" spans="1:54" s="446" customFormat="1" ht="11.25" hidden="1" customHeight="1" x14ac:dyDescent="0.2">
      <c r="A1180" s="235"/>
      <c r="B1180" s="236"/>
      <c r="C1180" s="29" t="str">
        <f>IF(B1180="","",IF($L$709=$BL$25,VLOOKUP(DATE(YEAR($D$19),MONTH($D$19)-1,1),ÍNDICES!$A:$DE,HLOOKUP($BL$25,ÍNDICES!$B$3:$T$4,2)+11)-VLOOKUP(B1180,ÍNDICES!$A:$DE,HLOOKUP($BL$25,ÍNDICES!$B$3:$T$4,2)+11)+1%,IF(C$712=$W$26,$J$35,IF(ISERROR(IF(B1180&gt;$D$19,1,VLOOKUP(DATE(YEAR(B1180),MONTH(B1180)+IF($C$709=$S$23,1,0),1),ÍNDICES!$A:$DE,$Z$709+1))),"",IF(B1180&gt;$D$19,1,VLOOKUP(DATE(YEAR(B1180),MONTH(B1180)+IF($C$709=$S$23,1,0),1),ÍNDICES!$A:$DE,$Z$709+1))))))</f>
        <v/>
      </c>
      <c r="D1180" s="155"/>
      <c r="E1180" s="88"/>
      <c r="F1180" s="88"/>
      <c r="G1180" s="88"/>
      <c r="H1180" s="118"/>
      <c r="I1180" s="182">
        <f t="shared" si="164"/>
        <v>0</v>
      </c>
      <c r="J1180" s="20">
        <f t="shared" ca="1" si="165"/>
        <v>0</v>
      </c>
      <c r="K1180" s="5">
        <f t="shared" ca="1" si="166"/>
        <v>0</v>
      </c>
      <c r="L1180" s="61">
        <f t="shared" ca="1" si="167"/>
        <v>0</v>
      </c>
      <c r="M1180" s="64">
        <f t="shared" si="168"/>
        <v>0</v>
      </c>
      <c r="N1180" s="151"/>
      <c r="O1180" s="5">
        <f t="shared" ca="1" si="169"/>
        <v>0</v>
      </c>
      <c r="P1180" s="446" t="e">
        <f t="shared" si="170"/>
        <v>#VALUE!</v>
      </c>
      <c r="Q1180" s="446" t="e">
        <f>IF(OR($B1180="",MIN(Q$38,$D$19)&lt;MAX($P$708*($B1180+IF($R$17="Distrato",$I$38-1,0)),IF(AND($L$711=0,$P$708=0),"",$L$711-1),IF($R$17="Distrato",$E1180,0))),0,YEARFRAC(MAX($P$708*($B1180+IF($R$17="Distrato",$I$38-1,0)),IF(AND($L$711=0,$P$708=0),"",$L$711-1),IF($R$17="Distrato",$E1180,0)),MIN(Q$38,$D$19),$P$20))-SUM($P1180:P1180)</f>
        <v>#VALUE!</v>
      </c>
      <c r="R1180" s="446" t="e">
        <f>IF(OR($B1180="",MIN(R$38,$D$19)&lt;MAX($P$708*($B1180+IF($R$17="Distrato",$I$38-1,0)),IF(AND($L$711=0,$P$708=0),"",$L$711-1),IF($R$17="Distrato",$E1180,0))),0,YEARFRAC(MAX($P$708*($B1180+IF($R$17="Distrato",$I$38-1,0)),IF(AND($L$711=0,$P$708=0),"",$L$711-1),IF($R$17="Distrato",$E1180,0)),MIN(R$38,$D$19),$P$20))-SUM($P1180:Q1180)</f>
        <v>#VALUE!</v>
      </c>
      <c r="S1180" s="446" t="e">
        <f>IF(OR($B1180="",MIN(S$38,$D$19)&lt;MAX($P$708*($B1180+IF($R$17="Distrato",$I$38-1,0)),IF(AND($L$711=0,$P$708=0),"",$L$711-1),IF($R$17="Distrato",$E1180,0))),0,YEARFRAC(MAX($P$708*($B1180+IF($R$17="Distrato",$I$38-1,0)),IF(AND($L$711=0,$P$708=0),"",$L$711-1),IF($R$17="Distrato",$E1180,0)),MIN(S$38,$D$19),$P$20))-SUM($P1180:R1180)</f>
        <v>#VALUE!</v>
      </c>
      <c r="T1180" s="446" t="e">
        <f>IF(OR($B1180="",MIN(T$38,$D$19)&lt;MAX($P$708*($B1180+IF($R$17="Distrato",$I$38-1,0)),IF(AND($L$711=0,$P$708=0),"",$L$711-1),IF($R$17="Distrato",$E1180,0))),0,YEARFRAC(MAX($P$708*($B1180+IF($R$17="Distrato",$I$38-1,0)),IF(AND($L$711=0,$P$708=0),"",$L$711-1),IF($R$17="Distrato",$E1180,0)),MIN(T$38,$D$19),$P$20))-SUM($P1180:S1180)</f>
        <v>#VALUE!</v>
      </c>
      <c r="U1180" s="446" t="e">
        <f>IF(OR($B1180="",MIN(U$38,$D$19)&lt;MAX($P$708*($B1180+IF($R$17="Distrato",$I$38-1,0)),IF(AND($L$711=0,$P$708=0),"",$L$711-1),IF($R$17="Distrato",$E1180,0))),0,YEARFRAC(MAX($P$708*($B1180+IF($R$17="Distrato",$I$38-1,0)),IF(AND($L$711=0,$P$708=0),"",$L$711-1),IF($R$17="Distrato",$E1180,0)),MIN(U$38,$D$19),$P$20))-SUM($P1180:T1180)</f>
        <v>#VALUE!</v>
      </c>
      <c r="V1180" s="446" t="e">
        <f>IF(OR($B1180="",MIN(V$38,$D$19)&lt;MAX($P$708*($B1180+IF($R$17="Distrato",$I$38-1,0)),IF(AND($L$711=0,$P$708=0),"",$L$711-1),IF($R$17="Distrato",$E1180,0))),0,YEARFRAC(MAX($P$708*($B1180+IF($R$17="Distrato",$I$38-1,0)),IF(AND($L$711=0,$P$708=0),"",$L$711-1),IF($R$17="Distrato",$E1180,0)),MIN(V$38,$D$19),$P$20))-SUM($P1180:U1180)</f>
        <v>#VALUE!</v>
      </c>
      <c r="W1180" s="446" t="e">
        <f>IF(OR($B1180="",MIN(W$38,$D$19)&lt;MAX($P$708*($B1180+IF($R$17="Distrato",$I$38-1,0)),IF(AND($L$711=0,$P$708=0),"",$L$711-1),IF($R$17="Distrato",$E1180,0))),0,YEARFRAC(MAX($P$708*($B1180+IF($R$17="Distrato",$I$38-1,0)),IF(AND($L$711=0,$P$708=0),"",$L$711-1),IF($R$17="Distrato",$E1180,0)),MIN(W$38,$D$19),$P$20))-SUM($P1180:V1180)</f>
        <v>#VALUE!</v>
      </c>
      <c r="X1180" s="446" t="e">
        <f>IF(OR($B1180="",MIN(X$38,$D$19)&lt;MAX($P$708*($B1180+IF($R$17="Distrato",$I$38-1,0)),IF(AND($L$711=0,$P$708=0),"",$L$711-1),IF($R$17="Distrato",$E1180,0))),0,YEARFRAC(MAX($P$708*($B1180+IF($R$17="Distrato",$I$38-1,0)),IF(AND($L$711=0,$P$708=0),"",$L$711-1),IF($R$17="Distrato",$E1180,0)),MIN(X$38,$D$19),$P$20))-SUM($P1180:W1180)</f>
        <v>#VALUE!</v>
      </c>
      <c r="Y1180" s="446" t="e">
        <f>IF(OR($B1180="",MIN(Y$38,$D$19)&lt;MAX($P$708*($B1180+IF($R$17="Distrato",$I$38-1,0)),IF(AND($L$711=0,$P$708=0),"",$L$711-1),IF($R$17="Distrato",$E1180,0))),0,YEARFRAC(MAX($P$708*($B1180+IF($R$17="Distrato",$I$38-1,0)),IF(AND($L$711=0,$P$708=0),"",$L$711-1),IF($R$17="Distrato",$E1180,0)),MIN(Y$38,$D$19),$P$20))-SUM($P1180:X1180)</f>
        <v>#VALUE!</v>
      </c>
      <c r="Z1180" s="446" t="e">
        <f>IF(OR($B1180="",MIN(Z$38,$D$19)&lt;MAX($P$708*($B1180+IF($R$17="Distrato",$I$38-1,0)),IF(AND($L$711=0,$P$708=0),"",$L$711-1),IF($R$17="Distrato",$E1180,0))),0,YEARFRAC(MAX($P$708*($B1180+IF($R$17="Distrato",$I$38-1,0)),IF(AND($L$711=0,$P$708=0),"",$L$711-1),IF($R$17="Distrato",$E1180,0)),MIN(Z$38,$D$19),$P$20))-SUM($P1180:Y1180)</f>
        <v>#VALUE!</v>
      </c>
      <c r="AA1180" s="446" t="e">
        <f>IF(OR($B1180="",MIN(AA$38,$D$19)&lt;MAX($P$708*($B1180+IF($R$17="Distrato",$I$38-1,0)),IF(AND($L$711=0,$P$708=0),"",$L$711-1),IF($R$17="Distrato",$E1180,0))),0,YEARFRAC(MAX($P$708*($B1180+IF($R$17="Distrato",$I$38-1,0)),IF(AND($L$711=0,$P$708=0),"",$L$711-1),IF($R$17="Distrato",$E1180,0)),MIN(AA$38,$D$19),$P$20))-SUM($P1180:Z1180)</f>
        <v>#VALUE!</v>
      </c>
      <c r="AB1180" s="446" t="e">
        <f>IF(OR($B1180="",MIN(AB$38,$D$19)&lt;MAX($P$708*($B1180+IF($R$17="Distrato",$I$38-1,0)),IF(AND($L$711=0,$P$708=0),"",$L$711-1),IF($R$17="Distrato",$E1180,0))),0,YEARFRAC(MAX($P$708*($B1180+IF($R$17="Distrato",$I$38-1,0)),IF(AND($L$711=0,$P$708=0),"",$L$711-1),IF($R$17="Distrato",$E1180,0)),MIN(AB$38,$D$19),$P$20))-SUM($P1180:AA1180)</f>
        <v>#VALUE!</v>
      </c>
      <c r="AC1180" s="446" t="e">
        <f>IF(OR($B1180="",MIN(AC$38,$D$19)&lt;MAX($P$708*($B1180+IF($R$17="Distrato",$I$38-1,0)),IF(AND($L$711=0,$P$708=0),"",$L$711-1),IF($R$17="Distrato",$E1180,0))),0,YEARFRAC(MAX($P$708*($B1180+IF($R$17="Distrato",$I$38-1,0)),IF(AND($L$711=0,$P$708=0),"",$L$711-1),IF($R$17="Distrato",$E1180,0)),MIN(AC$38,$D$19),$P$20))-SUM($P1180:AB1180)</f>
        <v>#VALUE!</v>
      </c>
      <c r="AD1180" s="446" t="e">
        <f>IF(OR($B1180="",MIN(AD$38,$D$19)&lt;MAX($P$708*($B1180+IF($R$17="Distrato",$I$38-1,0)),IF(AND($L$711=0,$P$708=0),"",$L$711-1),IF($R$17="Distrato",$E1180,0))),0,YEARFRAC(MAX($P$708*($B1180+IF($R$17="Distrato",$I$38-1,0)),IF(AND($L$711=0,$P$708=0),"",$L$711-1),IF($R$17="Distrato",$E1180,0)),MIN(AD$38,$D$19),$P$20))-SUM($P1180:AC1180)</f>
        <v>#VALUE!</v>
      </c>
      <c r="AE1180" s="446" t="e">
        <f>IF(OR($B1180="",MIN(AE$38,$D$19)&lt;MAX($P$708*($B1180+IF($R$17="Distrato",$I$38-1,0)),IF(AND($L$711=0,$P$708=0),"",$L$711-1),IF($R$17="Distrato",$E1180,0))),0,YEARFRAC(MAX($P$708*($B1180+IF($R$17="Distrato",$I$38-1,0)),IF(AND($L$711=0,$P$708=0),"",$L$711-1),IF($R$17="Distrato",$E1180,0)),MIN(AE$38,$D$19),$P$20))-SUM($P1180:AD1180)</f>
        <v>#VALUE!</v>
      </c>
      <c r="AF1180" s="446" t="e">
        <f>IF(OR($B1180="",MIN(AF$38,$D$19)&lt;MAX($P$708*($B1180+IF($R$17="Distrato",$I$38-1,0)),IF(AND($L$711=0,$P$708=0),"",$L$711-1),IF($R$17="Distrato",$E1180,0))),0,YEARFRAC(MAX($P$708*($B1180+IF($R$17="Distrato",$I$38-1,0)),IF(AND($L$711=0,$P$708=0),"",$L$711-1),IF($R$17="Distrato",$E1180,0)),MIN(AF$38,$D$19),$P$20))-SUM($P1180:AE1180)</f>
        <v>#VALUE!</v>
      </c>
      <c r="AG1180" s="446" t="e">
        <f>IF(OR($B1180="",MIN(AG$38,$D$19)&lt;MAX($P$708*($B1180+IF($R$17="Distrato",$I$38-1,0)),IF(AND($L$711=0,$P$708=0),"",$L$711-1),IF($R$17="Distrato",$E1180,0))),0,YEARFRAC(MAX($P$708*($B1180+IF($R$17="Distrato",$I$38-1,0)),IF(AND($L$711=0,$P$708=0),"",$L$711-1),IF($R$17="Distrato",$E1180,0)),MIN(AG$38,$D$19),$P$20))-SUM($P1180:AF1180)</f>
        <v>#VALUE!</v>
      </c>
      <c r="AH1180" s="446" t="e">
        <f>IF(OR($B1180="",MIN(AH$38,$D$19)&lt;MAX($P$708*($B1180+IF($R$17="Distrato",$I$38-1,0)),IF(AND($L$711=0,$P$708=0),"",$L$711-1),IF($R$17="Distrato",$E1180,0))),0,YEARFRAC(MAX($P$708*($B1180+IF($R$17="Distrato",$I$38-1,0)),IF(AND($L$711=0,$P$708=0),"",$L$711-1),IF($R$17="Distrato",$E1180,0)),MIN(AH$38,$D$19),$P$20))-SUM($P1180:AG1180)</f>
        <v>#VALUE!</v>
      </c>
      <c r="AI1180" s="446" t="e">
        <f>IF(OR($B1180="",MIN(AI$38,$D$19)&lt;MAX($P$708*($B1180+IF($R$17="Distrato",$I$38-1,0)),IF(AND($L$711=0,$P$708=0),"",$L$711-1),IF($R$17="Distrato",$E1180,0))),0,YEARFRAC(MAX($P$708*($B1180+IF($R$17="Distrato",$I$38-1,0)),IF(AND($L$711=0,$P$708=0),"",$L$711-1),IF($R$17="Distrato",$E1180,0)),MIN(AI$38,$D$19),$P$20))-SUM($P1180:AH1180)</f>
        <v>#VALUE!</v>
      </c>
      <c r="AJ1180" s="446" t="e">
        <f>IF(OR($B1180="",MIN(AJ$38,$D$19)&lt;MAX($P$708*($B1180+IF($R$17="Distrato",$I$38-1,0)),IF(AND($L$711=0,$P$708=0),"",$L$711-1),IF($R$17="Distrato",$E1180,0))),0,YEARFRAC(MAX($P$708*($B1180+IF($R$17="Distrato",$I$38-1,0)),IF(AND($L$711=0,$P$708=0),"",$L$711-1),IF($R$17="Distrato",$E1180,0)),MIN(AJ$38,$D$19),$P$20))-SUM($P1180:AI1180)</f>
        <v>#VALUE!</v>
      </c>
      <c r="AK1180" s="446" t="e">
        <f>IF(OR($B1180="",MIN(AK$38,$D$19)&lt;MAX($P$708*($B1180+IF($R$17="Distrato",$I$38-1,0)),IF(AND($L$711=0,$P$708=0),"",$L$711-1),IF($R$17="Distrato",$E1180,0))),0,YEARFRAC(MAX($P$708*($B1180+IF($R$17="Distrato",$I$38-1,0)),IF(AND($L$711=0,$P$708=0),"",$L$711-1),IF($R$17="Distrato",$E1180,0)),MIN(AK$38,$D$19),$P$20))-SUM($P1180:AJ1180)</f>
        <v>#VALUE!</v>
      </c>
      <c r="AL1180" s="446" t="e">
        <f>IF(OR($B1180="",MIN(AL$38,$D$19)&lt;MAX($P$708*($B1180+IF($R$17="Distrato",$I$38-1,0)),IF(AND($L$711=0,$P$708=0),"",$L$711-1),IF($R$17="Distrato",$E1180,0))),0,YEARFRAC(MAX($P$708*($B1180+IF($R$17="Distrato",$I$38-1,0)),IF(AND($L$711=0,$P$708=0),"",$L$711-1),IF($R$17="Distrato",$E1180,0)),MIN(AL$38,$D$19),$P$20))-SUM($P1180:AK1180)</f>
        <v>#VALUE!</v>
      </c>
      <c r="AM1180" s="446" t="e">
        <f>IF(OR($B1180="",MIN(AM$38,$D$19)&lt;MAX($P$708*($B1180+IF($R$17="Distrato",$I$38-1,0)),IF(AND($L$711=0,$P$708=0),"",$L$711-1),IF($R$17="Distrato",$E1180,0))),0,YEARFRAC(MAX($P$708*($B1180+IF($R$17="Distrato",$I$38-1,0)),IF(AND($L$711=0,$P$708=0),"",$L$711-1),IF($R$17="Distrato",$E1180,0)),MIN(AM$38,$D$19),$P$20))-SUM($P1180:AL1180)</f>
        <v>#VALUE!</v>
      </c>
      <c r="AN1180" s="446" t="e">
        <f>IF(OR($B1180="",MIN(AN$38,$D$19)&lt;MAX($P$708*($B1180+IF($R$17="Distrato",$I$38-1,0)),IF(AND($L$711=0,$P$708=0),"",$L$711-1),IF($R$17="Distrato",$E1180,0))),0,YEARFRAC(MAX($P$708*($B1180+IF($R$17="Distrato",$I$38-1,0)),IF(AND($L$711=0,$P$708=0),"",$L$711-1),IF($R$17="Distrato",$E1180,0)),MIN(AN$38,$D$19),$P$20))-SUM($P1180:AM1180)</f>
        <v>#VALUE!</v>
      </c>
      <c r="AO1180" s="446" t="e">
        <f>IF(OR($B1180="",MIN(AO$38,$D$19)&lt;MAX($P$708*($B1180+IF($R$17="Distrato",$I$38-1,0)),IF(AND($L$711=0,$P$708=0),"",$L$711-1),IF($R$17="Distrato",$E1180,0))),0,YEARFRAC(MAX($P$708*($B1180+IF($R$17="Distrato",$I$38-1,0)),IF(AND($L$711=0,$P$708=0),"",$L$711-1),IF($R$17="Distrato",$E1180,0)),MIN(AO$38,$D$19),$P$20))-SUM($P1180:AN1180)</f>
        <v>#VALUE!</v>
      </c>
      <c r="AP1180" s="446" t="e">
        <f>IF(OR($B1180="",MIN(AP$38,$D$19)&lt;MAX($P$708*($B1180+IF($R$17="Distrato",$I$38-1,0)),IF(AND($L$711=0,$P$708=0),"",$L$711-1),IF($R$17="Distrato",$E1180,0))),0,YEARFRAC(MAX($P$708*($B1180+IF($R$17="Distrato",$I$38-1,0)),IF(AND($L$711=0,$P$708=0),"",$L$711-1),IF($R$17="Distrato",$E1180,0)),MIN(AP$38,$D$19),$P$20))-SUM($P1180:AO1180)</f>
        <v>#VALUE!</v>
      </c>
      <c r="AQ1180" s="446" t="e">
        <f>IF(OR($B1180="",MIN(AQ$38,$D$19)&lt;MAX($P$708*($B1180+IF($R$17="Distrato",$I$38-1,0)),IF(AND($L$711=0,$P$708=0),"",$L$711-1),IF($R$17="Distrato",$E1180,0))),0,YEARFRAC(MAX($P$708*($B1180+IF($R$17="Distrato",$I$38-1,0)),IF(AND($L$711=0,$P$708=0),"",$L$711-1),IF($R$17="Distrato",$E1180,0)),MIN(AQ$38,$D$19),$P$20))-SUM($P1180:AP1180)</f>
        <v>#VALUE!</v>
      </c>
      <c r="AR1180" s="446" t="e">
        <f>IF(OR($B1180="",MIN(AR$38,$D$19)&lt;MAX($P$708*($B1180+IF($R$17="Distrato",$I$38-1,0)),IF(AND($L$711=0,$P$708=0),"",$L$711-1),IF($R$17="Distrato",$E1180,0))),0,YEARFRAC(MAX($P$708*($B1180+IF($R$17="Distrato",$I$38-1,0)),IF(AND($L$711=0,$P$708=0),"",$L$711-1),IF($R$17="Distrato",$E1180,0)),MIN(AR$38,$D$19),$P$20))-SUM($P1180:AQ1180)</f>
        <v>#VALUE!</v>
      </c>
      <c r="AS1180" s="446" t="e">
        <f>IF(OR($B1180="",MIN(AS$38,$D$19)&lt;MAX($P$708*($B1180+IF($R$17="Distrato",$I$38-1,0)),IF(AND($L$711=0,$P$708=0),"",$L$711-1),IF($R$17="Distrato",$E1180,0))),0,YEARFRAC(MAX($P$708*($B1180+IF($R$17="Distrato",$I$38-1,0)),IF(AND($L$711=0,$P$708=0),"",$L$711-1),IF($R$17="Distrato",$E1180,0)),MIN(AS$38,$D$19),$P$20))-SUM($P1180:AR1180)</f>
        <v>#VALUE!</v>
      </c>
      <c r="AT1180" s="446" t="e">
        <f>IF(OR($B1180="",MIN(AT$38,$D$19)&lt;MAX($P$708*($B1180+IF($R$17="Distrato",$I$38-1,0)),IF(AND($L$711=0,$P$708=0),"",$L$711-1),IF($R$17="Distrato",$E1180,0))),0,YEARFRAC(MAX($P$708*($B1180+IF($R$17="Distrato",$I$38-1,0)),IF(AND($L$711=0,$P$708=0),"",$L$711-1),IF($R$17="Distrato",$E1180,0)),MIN(AT$38,$D$19),$P$20))-SUM($P1180:AS1180)</f>
        <v>#VALUE!</v>
      </c>
      <c r="AU1180" s="446" t="e">
        <f>IF(OR($B1180="",MIN(AU$38,$D$19)&lt;MAX($P$708*($B1180+IF($R$17="Distrato",$I$38-1,0)),IF(AND($L$711=0,$P$708=0),"",$L$711-1),IF($R$17="Distrato",$E1180,0))),0,YEARFRAC(MAX($P$708*($B1180+IF($R$17="Distrato",$I$38-1,0)),IF(AND($L$711=0,$P$708=0),"",$L$711-1),IF($R$17="Distrato",$E1180,0)),MIN(AU$38,$D$19),$P$20))-SUM($P1180:AT1180)</f>
        <v>#VALUE!</v>
      </c>
      <c r="AV1180" s="446" t="e">
        <f>IF(OR($B1180="",MIN(AV$38,$D$19)&lt;MAX($P$708*($B1180+IF($R$17="Distrato",$I$38-1,0)),IF(AND($L$711=0,$P$708=0),"",$L$711-1),IF($R$17="Distrato",$E1180,0))),0,YEARFRAC(MAX($P$708*($B1180+IF($R$17="Distrato",$I$38-1,0)),IF(AND($L$711=0,$P$708=0),"",$L$711-1),IF($R$17="Distrato",$E1180,0)),MIN(AV$38,$D$19),$P$20))-SUM($P1180:AU1180)</f>
        <v>#VALUE!</v>
      </c>
      <c r="AW1180" s="446" t="e">
        <f>IF(OR($B1180="",MIN(AW$38,$D$19)&lt;MAX($P$708*($B1180+IF($R$17="Distrato",$I$38-1,0)),IF(AND($L$711=0,$P$708=0),"",$L$711-1),IF($R$17="Distrato",$E1180,0))),0,YEARFRAC(MAX($P$708*($B1180+IF($R$17="Distrato",$I$38-1,0)),IF(AND($L$711=0,$P$708=0),"",$L$711-1),IF($R$17="Distrato",$E1180,0)),MIN(AW$38,$D$19),$P$20))-SUM($P1180:AV1180)</f>
        <v>#VALUE!</v>
      </c>
      <c r="AX1180" s="446" t="e">
        <f>IF(OR($B1180="",MIN(AX$38,$D$19)&lt;MAX($P$708*($B1180+IF($R$17="Distrato",$I$38-1,0)),IF(AND($L$711=0,$P$708=0),"",$L$711-1),IF($R$17="Distrato",$E1180,0))),0,YEARFRAC(MAX($P$708*($B1180+IF($R$17="Distrato",$I$38-1,0)),IF(AND($L$711=0,$P$708=0),"",$L$711-1),IF($R$17="Distrato",$E1180,0)),MIN(AX$38,$D$19),$P$20))-SUM($P1180:AW1180)</f>
        <v>#VALUE!</v>
      </c>
      <c r="AY1180" s="446" t="e">
        <f>IF(OR($B1180="",MIN(AY$38,$D$19)&lt;MAX($P$708*($B1180+IF($R$17="Distrato",$I$38-1,0)),IF(AND($L$711=0,$P$708=0),"",$L$711-1),IF($R$17="Distrato",$E1180,0))),0,YEARFRAC(MAX($P$708*($B1180+IF($R$17="Distrato",$I$38-1,0)),IF(AND($L$711=0,$P$708=0),"",$L$711-1),IF($R$17="Distrato",$E1180,0)),MIN(AY$38,$D$19),$P$20))-SUM($P1180:AX1180)</f>
        <v>#VALUE!</v>
      </c>
      <c r="AZ1180" s="446" t="e">
        <f>IF(OR($B1180="",MIN(AZ$38,$D$19)&lt;MAX($P$708*($B1180+IF($R$17="Distrato",$I$38-1,0)),IF(AND($L$711=0,$P$708=0),"",$L$711-1),IF($R$17="Distrato",$E1180,0))),0,YEARFRAC(MAX($P$708*($B1180+IF($R$17="Distrato",$I$38-1,0)),IF(AND($L$711=0,$P$708=0),"",$L$711-1),IF($R$17="Distrato",$E1180,0)),MIN(AZ$38,$D$19),$P$20))-SUM($P1180:AY1180)</f>
        <v>#VALUE!</v>
      </c>
      <c r="BA1180" s="446" t="e">
        <f>IF(OR($B1180="",MIN(BA$38,$D$19)&lt;MAX($P$708*($B1180+IF($R$17="Distrato",$I$38-1,0)),IF(AND($L$711=0,$P$708=0),"",$L$711-1),IF($R$17="Distrato",$E1180,0))),0,YEARFRAC(MAX($P$708*($B1180+IF($R$17="Distrato",$I$38-1,0)),IF(AND($L$711=0,$P$708=0),"",$L$711-1),IF($R$17="Distrato",$E1180,0)),MIN(BA$38,$D$19),$P$20))-SUM($P1180:AZ1180)</f>
        <v>#VALUE!</v>
      </c>
      <c r="BB1180" s="447"/>
    </row>
    <row r="1181" spans="1:54" s="446" customFormat="1" ht="11.25" hidden="1" customHeight="1" x14ac:dyDescent="0.2">
      <c r="A1181" s="235"/>
      <c r="B1181" s="236"/>
      <c r="C1181" s="29" t="str">
        <f>IF(B1181="","",IF($L$709=$BL$25,VLOOKUP(DATE(YEAR($D$19),MONTH($D$19)-1,1),ÍNDICES!$A:$DE,HLOOKUP($BL$25,ÍNDICES!$B$3:$T$4,2)+11)-VLOOKUP(B1181,ÍNDICES!$A:$DE,HLOOKUP($BL$25,ÍNDICES!$B$3:$T$4,2)+11)+1%,IF(C$712=$W$26,$J$35,IF(ISERROR(IF(B1181&gt;$D$19,1,VLOOKUP(DATE(YEAR(B1181),MONTH(B1181)+IF($C$709=$S$23,1,0),1),ÍNDICES!$A:$DE,$Z$709+1))),"",IF(B1181&gt;$D$19,1,VLOOKUP(DATE(YEAR(B1181),MONTH(B1181)+IF($C$709=$S$23,1,0),1),ÍNDICES!$A:$DE,$Z$709+1))))))</f>
        <v/>
      </c>
      <c r="D1181" s="155"/>
      <c r="E1181" s="88"/>
      <c r="F1181" s="88"/>
      <c r="G1181" s="88"/>
      <c r="H1181" s="118"/>
      <c r="I1181" s="182">
        <f t="shared" si="164"/>
        <v>0</v>
      </c>
      <c r="J1181" s="20">
        <f t="shared" ca="1" si="165"/>
        <v>0</v>
      </c>
      <c r="K1181" s="5">
        <f t="shared" ca="1" si="166"/>
        <v>0</v>
      </c>
      <c r="L1181" s="61">
        <f t="shared" ca="1" si="167"/>
        <v>0</v>
      </c>
      <c r="M1181" s="64">
        <f t="shared" si="168"/>
        <v>0</v>
      </c>
      <c r="N1181" s="151"/>
      <c r="O1181" s="5">
        <f t="shared" ca="1" si="169"/>
        <v>0</v>
      </c>
      <c r="P1181" s="446" t="e">
        <f t="shared" si="170"/>
        <v>#VALUE!</v>
      </c>
      <c r="Q1181" s="446" t="e">
        <f>IF(OR($B1181="",MIN(Q$38,$D$19)&lt;MAX($P$708*($B1181+IF($R$17="Distrato",$I$38-1,0)),IF(AND($L$711=0,$P$708=0),"",$L$711-1),IF($R$17="Distrato",$E1181,0))),0,YEARFRAC(MAX($P$708*($B1181+IF($R$17="Distrato",$I$38-1,0)),IF(AND($L$711=0,$P$708=0),"",$L$711-1),IF($R$17="Distrato",$E1181,0)),MIN(Q$38,$D$19),$P$20))-SUM($P1181:P1181)</f>
        <v>#VALUE!</v>
      </c>
      <c r="R1181" s="446" t="e">
        <f>IF(OR($B1181="",MIN(R$38,$D$19)&lt;MAX($P$708*($B1181+IF($R$17="Distrato",$I$38-1,0)),IF(AND($L$711=0,$P$708=0),"",$L$711-1),IF($R$17="Distrato",$E1181,0))),0,YEARFRAC(MAX($P$708*($B1181+IF($R$17="Distrato",$I$38-1,0)),IF(AND($L$711=0,$P$708=0),"",$L$711-1),IF($R$17="Distrato",$E1181,0)),MIN(R$38,$D$19),$P$20))-SUM($P1181:Q1181)</f>
        <v>#VALUE!</v>
      </c>
      <c r="S1181" s="446" t="e">
        <f>IF(OR($B1181="",MIN(S$38,$D$19)&lt;MAX($P$708*($B1181+IF($R$17="Distrato",$I$38-1,0)),IF(AND($L$711=0,$P$708=0),"",$L$711-1),IF($R$17="Distrato",$E1181,0))),0,YEARFRAC(MAX($P$708*($B1181+IF($R$17="Distrato",$I$38-1,0)),IF(AND($L$711=0,$P$708=0),"",$L$711-1),IF($R$17="Distrato",$E1181,0)),MIN(S$38,$D$19),$P$20))-SUM($P1181:R1181)</f>
        <v>#VALUE!</v>
      </c>
      <c r="T1181" s="446" t="e">
        <f>IF(OR($B1181="",MIN(T$38,$D$19)&lt;MAX($P$708*($B1181+IF($R$17="Distrato",$I$38-1,0)),IF(AND($L$711=0,$P$708=0),"",$L$711-1),IF($R$17="Distrato",$E1181,0))),0,YEARFRAC(MAX($P$708*($B1181+IF($R$17="Distrato",$I$38-1,0)),IF(AND($L$711=0,$P$708=0),"",$L$711-1),IF($R$17="Distrato",$E1181,0)),MIN(T$38,$D$19),$P$20))-SUM($P1181:S1181)</f>
        <v>#VALUE!</v>
      </c>
      <c r="U1181" s="446" t="e">
        <f>IF(OR($B1181="",MIN(U$38,$D$19)&lt;MAX($P$708*($B1181+IF($R$17="Distrato",$I$38-1,0)),IF(AND($L$711=0,$P$708=0),"",$L$711-1),IF($R$17="Distrato",$E1181,0))),0,YEARFRAC(MAX($P$708*($B1181+IF($R$17="Distrato",$I$38-1,0)),IF(AND($L$711=0,$P$708=0),"",$L$711-1),IF($R$17="Distrato",$E1181,0)),MIN(U$38,$D$19),$P$20))-SUM($P1181:T1181)</f>
        <v>#VALUE!</v>
      </c>
      <c r="V1181" s="446" t="e">
        <f>IF(OR($B1181="",MIN(V$38,$D$19)&lt;MAX($P$708*($B1181+IF($R$17="Distrato",$I$38-1,0)),IF(AND($L$711=0,$P$708=0),"",$L$711-1),IF($R$17="Distrato",$E1181,0))),0,YEARFRAC(MAX($P$708*($B1181+IF($R$17="Distrato",$I$38-1,0)),IF(AND($L$711=0,$P$708=0),"",$L$711-1),IF($R$17="Distrato",$E1181,0)),MIN(V$38,$D$19),$P$20))-SUM($P1181:U1181)</f>
        <v>#VALUE!</v>
      </c>
      <c r="W1181" s="446" t="e">
        <f>IF(OR($B1181="",MIN(W$38,$D$19)&lt;MAX($P$708*($B1181+IF($R$17="Distrato",$I$38-1,0)),IF(AND($L$711=0,$P$708=0),"",$L$711-1),IF($R$17="Distrato",$E1181,0))),0,YEARFRAC(MAX($P$708*($B1181+IF($R$17="Distrato",$I$38-1,0)),IF(AND($L$711=0,$P$708=0),"",$L$711-1),IF($R$17="Distrato",$E1181,0)),MIN(W$38,$D$19),$P$20))-SUM($P1181:V1181)</f>
        <v>#VALUE!</v>
      </c>
      <c r="X1181" s="446" t="e">
        <f>IF(OR($B1181="",MIN(X$38,$D$19)&lt;MAX($P$708*($B1181+IF($R$17="Distrato",$I$38-1,0)),IF(AND($L$711=0,$P$708=0),"",$L$711-1),IF($R$17="Distrato",$E1181,0))),0,YEARFRAC(MAX($P$708*($B1181+IF($R$17="Distrato",$I$38-1,0)),IF(AND($L$711=0,$P$708=0),"",$L$711-1),IF($R$17="Distrato",$E1181,0)),MIN(X$38,$D$19),$P$20))-SUM($P1181:W1181)</f>
        <v>#VALUE!</v>
      </c>
      <c r="Y1181" s="446" t="e">
        <f>IF(OR($B1181="",MIN(Y$38,$D$19)&lt;MAX($P$708*($B1181+IF($R$17="Distrato",$I$38-1,0)),IF(AND($L$711=0,$P$708=0),"",$L$711-1),IF($R$17="Distrato",$E1181,0))),0,YEARFRAC(MAX($P$708*($B1181+IF($R$17="Distrato",$I$38-1,0)),IF(AND($L$711=0,$P$708=0),"",$L$711-1),IF($R$17="Distrato",$E1181,0)),MIN(Y$38,$D$19),$P$20))-SUM($P1181:X1181)</f>
        <v>#VALUE!</v>
      </c>
      <c r="Z1181" s="446" t="e">
        <f>IF(OR($B1181="",MIN(Z$38,$D$19)&lt;MAX($P$708*($B1181+IF($R$17="Distrato",$I$38-1,0)),IF(AND($L$711=0,$P$708=0),"",$L$711-1),IF($R$17="Distrato",$E1181,0))),0,YEARFRAC(MAX($P$708*($B1181+IF($R$17="Distrato",$I$38-1,0)),IF(AND($L$711=0,$P$708=0),"",$L$711-1),IF($R$17="Distrato",$E1181,0)),MIN(Z$38,$D$19),$P$20))-SUM($P1181:Y1181)</f>
        <v>#VALUE!</v>
      </c>
      <c r="AA1181" s="446" t="e">
        <f>IF(OR($B1181="",MIN(AA$38,$D$19)&lt;MAX($P$708*($B1181+IF($R$17="Distrato",$I$38-1,0)),IF(AND($L$711=0,$P$708=0),"",$L$711-1),IF($R$17="Distrato",$E1181,0))),0,YEARFRAC(MAX($P$708*($B1181+IF($R$17="Distrato",$I$38-1,0)),IF(AND($L$711=0,$P$708=0),"",$L$711-1),IF($R$17="Distrato",$E1181,0)),MIN(AA$38,$D$19),$P$20))-SUM($P1181:Z1181)</f>
        <v>#VALUE!</v>
      </c>
      <c r="AB1181" s="446" t="e">
        <f>IF(OR($B1181="",MIN(AB$38,$D$19)&lt;MAX($P$708*($B1181+IF($R$17="Distrato",$I$38-1,0)),IF(AND($L$711=0,$P$708=0),"",$L$711-1),IF($R$17="Distrato",$E1181,0))),0,YEARFRAC(MAX($P$708*($B1181+IF($R$17="Distrato",$I$38-1,0)),IF(AND($L$711=0,$P$708=0),"",$L$711-1),IF($R$17="Distrato",$E1181,0)),MIN(AB$38,$D$19),$P$20))-SUM($P1181:AA1181)</f>
        <v>#VALUE!</v>
      </c>
      <c r="AC1181" s="446" t="e">
        <f>IF(OR($B1181="",MIN(AC$38,$D$19)&lt;MAX($P$708*($B1181+IF($R$17="Distrato",$I$38-1,0)),IF(AND($L$711=0,$P$708=0),"",$L$711-1),IF($R$17="Distrato",$E1181,0))),0,YEARFRAC(MAX($P$708*($B1181+IF($R$17="Distrato",$I$38-1,0)),IF(AND($L$711=0,$P$708=0),"",$L$711-1),IF($R$17="Distrato",$E1181,0)),MIN(AC$38,$D$19),$P$20))-SUM($P1181:AB1181)</f>
        <v>#VALUE!</v>
      </c>
      <c r="AD1181" s="446" t="e">
        <f>IF(OR($B1181="",MIN(AD$38,$D$19)&lt;MAX($P$708*($B1181+IF($R$17="Distrato",$I$38-1,0)),IF(AND($L$711=0,$P$708=0),"",$L$711-1),IF($R$17="Distrato",$E1181,0))),0,YEARFRAC(MAX($P$708*($B1181+IF($R$17="Distrato",$I$38-1,0)),IF(AND($L$711=0,$P$708=0),"",$L$711-1),IF($R$17="Distrato",$E1181,0)),MIN(AD$38,$D$19),$P$20))-SUM($P1181:AC1181)</f>
        <v>#VALUE!</v>
      </c>
      <c r="AE1181" s="446" t="e">
        <f>IF(OR($B1181="",MIN(AE$38,$D$19)&lt;MAX($P$708*($B1181+IF($R$17="Distrato",$I$38-1,0)),IF(AND($L$711=0,$P$708=0),"",$L$711-1),IF($R$17="Distrato",$E1181,0))),0,YEARFRAC(MAX($P$708*($B1181+IF($R$17="Distrato",$I$38-1,0)),IF(AND($L$711=0,$P$708=0),"",$L$711-1),IF($R$17="Distrato",$E1181,0)),MIN(AE$38,$D$19),$P$20))-SUM($P1181:AD1181)</f>
        <v>#VALUE!</v>
      </c>
      <c r="AF1181" s="446" t="e">
        <f>IF(OR($B1181="",MIN(AF$38,$D$19)&lt;MAX($P$708*($B1181+IF($R$17="Distrato",$I$38-1,0)),IF(AND($L$711=0,$P$708=0),"",$L$711-1),IF($R$17="Distrato",$E1181,0))),0,YEARFRAC(MAX($P$708*($B1181+IF($R$17="Distrato",$I$38-1,0)),IF(AND($L$711=0,$P$708=0),"",$L$711-1),IF($R$17="Distrato",$E1181,0)),MIN(AF$38,$D$19),$P$20))-SUM($P1181:AE1181)</f>
        <v>#VALUE!</v>
      </c>
      <c r="AG1181" s="446" t="e">
        <f>IF(OR($B1181="",MIN(AG$38,$D$19)&lt;MAX($P$708*($B1181+IF($R$17="Distrato",$I$38-1,0)),IF(AND($L$711=0,$P$708=0),"",$L$711-1),IF($R$17="Distrato",$E1181,0))),0,YEARFRAC(MAX($P$708*($B1181+IF($R$17="Distrato",$I$38-1,0)),IF(AND($L$711=0,$P$708=0),"",$L$711-1),IF($R$17="Distrato",$E1181,0)),MIN(AG$38,$D$19),$P$20))-SUM($P1181:AF1181)</f>
        <v>#VALUE!</v>
      </c>
      <c r="AH1181" s="446" t="e">
        <f>IF(OR($B1181="",MIN(AH$38,$D$19)&lt;MAX($P$708*($B1181+IF($R$17="Distrato",$I$38-1,0)),IF(AND($L$711=0,$P$708=0),"",$L$711-1),IF($R$17="Distrato",$E1181,0))),0,YEARFRAC(MAX($P$708*($B1181+IF($R$17="Distrato",$I$38-1,0)),IF(AND($L$711=0,$P$708=0),"",$L$711-1),IF($R$17="Distrato",$E1181,0)),MIN(AH$38,$D$19),$P$20))-SUM($P1181:AG1181)</f>
        <v>#VALUE!</v>
      </c>
      <c r="AI1181" s="446" t="e">
        <f>IF(OR($B1181="",MIN(AI$38,$D$19)&lt;MAX($P$708*($B1181+IF($R$17="Distrato",$I$38-1,0)),IF(AND($L$711=0,$P$708=0),"",$L$711-1),IF($R$17="Distrato",$E1181,0))),0,YEARFRAC(MAX($P$708*($B1181+IF($R$17="Distrato",$I$38-1,0)),IF(AND($L$711=0,$P$708=0),"",$L$711-1),IF($R$17="Distrato",$E1181,0)),MIN(AI$38,$D$19),$P$20))-SUM($P1181:AH1181)</f>
        <v>#VALUE!</v>
      </c>
      <c r="AJ1181" s="446" t="e">
        <f>IF(OR($B1181="",MIN(AJ$38,$D$19)&lt;MAX($P$708*($B1181+IF($R$17="Distrato",$I$38-1,0)),IF(AND($L$711=0,$P$708=0),"",$L$711-1),IF($R$17="Distrato",$E1181,0))),0,YEARFRAC(MAX($P$708*($B1181+IF($R$17="Distrato",$I$38-1,0)),IF(AND($L$711=0,$P$708=0),"",$L$711-1),IF($R$17="Distrato",$E1181,0)),MIN(AJ$38,$D$19),$P$20))-SUM($P1181:AI1181)</f>
        <v>#VALUE!</v>
      </c>
      <c r="AK1181" s="446" t="e">
        <f>IF(OR($B1181="",MIN(AK$38,$D$19)&lt;MAX($P$708*($B1181+IF($R$17="Distrato",$I$38-1,0)),IF(AND($L$711=0,$P$708=0),"",$L$711-1),IF($R$17="Distrato",$E1181,0))),0,YEARFRAC(MAX($P$708*($B1181+IF($R$17="Distrato",$I$38-1,0)),IF(AND($L$711=0,$P$708=0),"",$L$711-1),IF($R$17="Distrato",$E1181,0)),MIN(AK$38,$D$19),$P$20))-SUM($P1181:AJ1181)</f>
        <v>#VALUE!</v>
      </c>
      <c r="AL1181" s="446" t="e">
        <f>IF(OR($B1181="",MIN(AL$38,$D$19)&lt;MAX($P$708*($B1181+IF($R$17="Distrato",$I$38-1,0)),IF(AND($L$711=0,$P$708=0),"",$L$711-1),IF($R$17="Distrato",$E1181,0))),0,YEARFRAC(MAX($P$708*($B1181+IF($R$17="Distrato",$I$38-1,0)),IF(AND($L$711=0,$P$708=0),"",$L$711-1),IF($R$17="Distrato",$E1181,0)),MIN(AL$38,$D$19),$P$20))-SUM($P1181:AK1181)</f>
        <v>#VALUE!</v>
      </c>
      <c r="AM1181" s="446" t="e">
        <f>IF(OR($B1181="",MIN(AM$38,$D$19)&lt;MAX($P$708*($B1181+IF($R$17="Distrato",$I$38-1,0)),IF(AND($L$711=0,$P$708=0),"",$L$711-1),IF($R$17="Distrato",$E1181,0))),0,YEARFRAC(MAX($P$708*($B1181+IF($R$17="Distrato",$I$38-1,0)),IF(AND($L$711=0,$P$708=0),"",$L$711-1),IF($R$17="Distrato",$E1181,0)),MIN(AM$38,$D$19),$P$20))-SUM($P1181:AL1181)</f>
        <v>#VALUE!</v>
      </c>
      <c r="AN1181" s="446" t="e">
        <f>IF(OR($B1181="",MIN(AN$38,$D$19)&lt;MAX($P$708*($B1181+IF($R$17="Distrato",$I$38-1,0)),IF(AND($L$711=0,$P$708=0),"",$L$711-1),IF($R$17="Distrato",$E1181,0))),0,YEARFRAC(MAX($P$708*($B1181+IF($R$17="Distrato",$I$38-1,0)),IF(AND($L$711=0,$P$708=0),"",$L$711-1),IF($R$17="Distrato",$E1181,0)),MIN(AN$38,$D$19),$P$20))-SUM($P1181:AM1181)</f>
        <v>#VALUE!</v>
      </c>
      <c r="AO1181" s="446" t="e">
        <f>IF(OR($B1181="",MIN(AO$38,$D$19)&lt;MAX($P$708*($B1181+IF($R$17="Distrato",$I$38-1,0)),IF(AND($L$711=0,$P$708=0),"",$L$711-1),IF($R$17="Distrato",$E1181,0))),0,YEARFRAC(MAX($P$708*($B1181+IF($R$17="Distrato",$I$38-1,0)),IF(AND($L$711=0,$P$708=0),"",$L$711-1),IF($R$17="Distrato",$E1181,0)),MIN(AO$38,$D$19),$P$20))-SUM($P1181:AN1181)</f>
        <v>#VALUE!</v>
      </c>
      <c r="AP1181" s="446" t="e">
        <f>IF(OR($B1181="",MIN(AP$38,$D$19)&lt;MAX($P$708*($B1181+IF($R$17="Distrato",$I$38-1,0)),IF(AND($L$711=0,$P$708=0),"",$L$711-1),IF($R$17="Distrato",$E1181,0))),0,YEARFRAC(MAX($P$708*($B1181+IF($R$17="Distrato",$I$38-1,0)),IF(AND($L$711=0,$P$708=0),"",$L$711-1),IF($R$17="Distrato",$E1181,0)),MIN(AP$38,$D$19),$P$20))-SUM($P1181:AO1181)</f>
        <v>#VALUE!</v>
      </c>
      <c r="AQ1181" s="446" t="e">
        <f>IF(OR($B1181="",MIN(AQ$38,$D$19)&lt;MAX($P$708*($B1181+IF($R$17="Distrato",$I$38-1,0)),IF(AND($L$711=0,$P$708=0),"",$L$711-1),IF($R$17="Distrato",$E1181,0))),0,YEARFRAC(MAX($P$708*($B1181+IF($R$17="Distrato",$I$38-1,0)),IF(AND($L$711=0,$P$708=0),"",$L$711-1),IF($R$17="Distrato",$E1181,0)),MIN(AQ$38,$D$19),$P$20))-SUM($P1181:AP1181)</f>
        <v>#VALUE!</v>
      </c>
      <c r="AR1181" s="446" t="e">
        <f>IF(OR($B1181="",MIN(AR$38,$D$19)&lt;MAX($P$708*($B1181+IF($R$17="Distrato",$I$38-1,0)),IF(AND($L$711=0,$P$708=0),"",$L$711-1),IF($R$17="Distrato",$E1181,0))),0,YEARFRAC(MAX($P$708*($B1181+IF($R$17="Distrato",$I$38-1,0)),IF(AND($L$711=0,$P$708=0),"",$L$711-1),IF($R$17="Distrato",$E1181,0)),MIN(AR$38,$D$19),$P$20))-SUM($P1181:AQ1181)</f>
        <v>#VALUE!</v>
      </c>
      <c r="AS1181" s="446" t="e">
        <f>IF(OR($B1181="",MIN(AS$38,$D$19)&lt;MAX($P$708*($B1181+IF($R$17="Distrato",$I$38-1,0)),IF(AND($L$711=0,$P$708=0),"",$L$711-1),IF($R$17="Distrato",$E1181,0))),0,YEARFRAC(MAX($P$708*($B1181+IF($R$17="Distrato",$I$38-1,0)),IF(AND($L$711=0,$P$708=0),"",$L$711-1),IF($R$17="Distrato",$E1181,0)),MIN(AS$38,$D$19),$P$20))-SUM($P1181:AR1181)</f>
        <v>#VALUE!</v>
      </c>
      <c r="AT1181" s="446" t="e">
        <f>IF(OR($B1181="",MIN(AT$38,$D$19)&lt;MAX($P$708*($B1181+IF($R$17="Distrato",$I$38-1,0)),IF(AND($L$711=0,$P$708=0),"",$L$711-1),IF($R$17="Distrato",$E1181,0))),0,YEARFRAC(MAX($P$708*($B1181+IF($R$17="Distrato",$I$38-1,0)),IF(AND($L$711=0,$P$708=0),"",$L$711-1),IF($R$17="Distrato",$E1181,0)),MIN(AT$38,$D$19),$P$20))-SUM($P1181:AS1181)</f>
        <v>#VALUE!</v>
      </c>
      <c r="AU1181" s="446" t="e">
        <f>IF(OR($B1181="",MIN(AU$38,$D$19)&lt;MAX($P$708*($B1181+IF($R$17="Distrato",$I$38-1,0)),IF(AND($L$711=0,$P$708=0),"",$L$711-1),IF($R$17="Distrato",$E1181,0))),0,YEARFRAC(MAX($P$708*($B1181+IF($R$17="Distrato",$I$38-1,0)),IF(AND($L$711=0,$P$708=0),"",$L$711-1),IF($R$17="Distrato",$E1181,0)),MIN(AU$38,$D$19),$P$20))-SUM($P1181:AT1181)</f>
        <v>#VALUE!</v>
      </c>
      <c r="AV1181" s="446" t="e">
        <f>IF(OR($B1181="",MIN(AV$38,$D$19)&lt;MAX($P$708*($B1181+IF($R$17="Distrato",$I$38-1,0)),IF(AND($L$711=0,$P$708=0),"",$L$711-1),IF($R$17="Distrato",$E1181,0))),0,YEARFRAC(MAX($P$708*($B1181+IF($R$17="Distrato",$I$38-1,0)),IF(AND($L$711=0,$P$708=0),"",$L$711-1),IF($R$17="Distrato",$E1181,0)),MIN(AV$38,$D$19),$P$20))-SUM($P1181:AU1181)</f>
        <v>#VALUE!</v>
      </c>
      <c r="AW1181" s="446" t="e">
        <f>IF(OR($B1181="",MIN(AW$38,$D$19)&lt;MAX($P$708*($B1181+IF($R$17="Distrato",$I$38-1,0)),IF(AND($L$711=0,$P$708=0),"",$L$711-1),IF($R$17="Distrato",$E1181,0))),0,YEARFRAC(MAX($P$708*($B1181+IF($R$17="Distrato",$I$38-1,0)),IF(AND($L$711=0,$P$708=0),"",$L$711-1),IF($R$17="Distrato",$E1181,0)),MIN(AW$38,$D$19),$P$20))-SUM($P1181:AV1181)</f>
        <v>#VALUE!</v>
      </c>
      <c r="AX1181" s="446" t="e">
        <f>IF(OR($B1181="",MIN(AX$38,$D$19)&lt;MAX($P$708*($B1181+IF($R$17="Distrato",$I$38-1,0)),IF(AND($L$711=0,$P$708=0),"",$L$711-1),IF($R$17="Distrato",$E1181,0))),0,YEARFRAC(MAX($P$708*($B1181+IF($R$17="Distrato",$I$38-1,0)),IF(AND($L$711=0,$P$708=0),"",$L$711-1),IF($R$17="Distrato",$E1181,0)),MIN(AX$38,$D$19),$P$20))-SUM($P1181:AW1181)</f>
        <v>#VALUE!</v>
      </c>
      <c r="AY1181" s="446" t="e">
        <f>IF(OR($B1181="",MIN(AY$38,$D$19)&lt;MAX($P$708*($B1181+IF($R$17="Distrato",$I$38-1,0)),IF(AND($L$711=0,$P$708=0),"",$L$711-1),IF($R$17="Distrato",$E1181,0))),0,YEARFRAC(MAX($P$708*($B1181+IF($R$17="Distrato",$I$38-1,0)),IF(AND($L$711=0,$P$708=0),"",$L$711-1),IF($R$17="Distrato",$E1181,0)),MIN(AY$38,$D$19),$P$20))-SUM($P1181:AX1181)</f>
        <v>#VALUE!</v>
      </c>
      <c r="AZ1181" s="446" t="e">
        <f>IF(OR($B1181="",MIN(AZ$38,$D$19)&lt;MAX($P$708*($B1181+IF($R$17="Distrato",$I$38-1,0)),IF(AND($L$711=0,$P$708=0),"",$L$711-1),IF($R$17="Distrato",$E1181,0))),0,YEARFRAC(MAX($P$708*($B1181+IF($R$17="Distrato",$I$38-1,0)),IF(AND($L$711=0,$P$708=0),"",$L$711-1),IF($R$17="Distrato",$E1181,0)),MIN(AZ$38,$D$19),$P$20))-SUM($P1181:AY1181)</f>
        <v>#VALUE!</v>
      </c>
      <c r="BA1181" s="446" t="e">
        <f>IF(OR($B1181="",MIN(BA$38,$D$19)&lt;MAX($P$708*($B1181+IF($R$17="Distrato",$I$38-1,0)),IF(AND($L$711=0,$P$708=0),"",$L$711-1),IF($R$17="Distrato",$E1181,0))),0,YEARFRAC(MAX($P$708*($B1181+IF($R$17="Distrato",$I$38-1,0)),IF(AND($L$711=0,$P$708=0),"",$L$711-1),IF($R$17="Distrato",$E1181,0)),MIN(BA$38,$D$19),$P$20))-SUM($P1181:AZ1181)</f>
        <v>#VALUE!</v>
      </c>
      <c r="BB1181" s="447"/>
    </row>
    <row r="1182" spans="1:54" s="446" customFormat="1" ht="11.25" hidden="1" customHeight="1" x14ac:dyDescent="0.2">
      <c r="A1182" s="235"/>
      <c r="B1182" s="236"/>
      <c r="C1182" s="29" t="str">
        <f>IF(B1182="","",IF($L$709=$BL$25,VLOOKUP(DATE(YEAR($D$19),MONTH($D$19)-1,1),ÍNDICES!$A:$DE,HLOOKUP($BL$25,ÍNDICES!$B$3:$T$4,2)+11)-VLOOKUP(B1182,ÍNDICES!$A:$DE,HLOOKUP($BL$25,ÍNDICES!$B$3:$T$4,2)+11)+1%,IF(C$712=$W$26,$J$35,IF(ISERROR(IF(B1182&gt;$D$19,1,VLOOKUP(DATE(YEAR(B1182),MONTH(B1182)+IF($C$709=$S$23,1,0),1),ÍNDICES!$A:$DE,$Z$709+1))),"",IF(B1182&gt;$D$19,1,VLOOKUP(DATE(YEAR(B1182),MONTH(B1182)+IF($C$709=$S$23,1,0),1),ÍNDICES!$A:$DE,$Z$709+1))))))</f>
        <v/>
      </c>
      <c r="D1182" s="155"/>
      <c r="E1182" s="88"/>
      <c r="F1182" s="88"/>
      <c r="G1182" s="88"/>
      <c r="H1182" s="118"/>
      <c r="I1182" s="182">
        <f t="shared" si="164"/>
        <v>0</v>
      </c>
      <c r="J1182" s="20">
        <f t="shared" ca="1" si="165"/>
        <v>0</v>
      </c>
      <c r="K1182" s="5">
        <f t="shared" ca="1" si="166"/>
        <v>0</v>
      </c>
      <c r="L1182" s="61">
        <f t="shared" ca="1" si="167"/>
        <v>0</v>
      </c>
      <c r="M1182" s="64">
        <f t="shared" si="168"/>
        <v>0</v>
      </c>
      <c r="N1182" s="151"/>
      <c r="O1182" s="5">
        <f t="shared" ca="1" si="169"/>
        <v>0</v>
      </c>
      <c r="P1182" s="446" t="e">
        <f t="shared" si="170"/>
        <v>#VALUE!</v>
      </c>
      <c r="Q1182" s="446" t="e">
        <f>IF(OR($B1182="",MIN(Q$38,$D$19)&lt;MAX($P$708*($B1182+IF($R$17="Distrato",$I$38-1,0)),IF(AND($L$711=0,$P$708=0),"",$L$711-1),IF($R$17="Distrato",$E1182,0))),0,YEARFRAC(MAX($P$708*($B1182+IF($R$17="Distrato",$I$38-1,0)),IF(AND($L$711=0,$P$708=0),"",$L$711-1),IF($R$17="Distrato",$E1182,0)),MIN(Q$38,$D$19),$P$20))-SUM($P1182:P1182)</f>
        <v>#VALUE!</v>
      </c>
      <c r="R1182" s="446" t="e">
        <f>IF(OR($B1182="",MIN(R$38,$D$19)&lt;MAX($P$708*($B1182+IF($R$17="Distrato",$I$38-1,0)),IF(AND($L$711=0,$P$708=0),"",$L$711-1),IF($R$17="Distrato",$E1182,0))),0,YEARFRAC(MAX($P$708*($B1182+IF($R$17="Distrato",$I$38-1,0)),IF(AND($L$711=0,$P$708=0),"",$L$711-1),IF($R$17="Distrato",$E1182,0)),MIN(R$38,$D$19),$P$20))-SUM($P1182:Q1182)</f>
        <v>#VALUE!</v>
      </c>
      <c r="S1182" s="446" t="e">
        <f>IF(OR($B1182="",MIN(S$38,$D$19)&lt;MAX($P$708*($B1182+IF($R$17="Distrato",$I$38-1,0)),IF(AND($L$711=0,$P$708=0),"",$L$711-1),IF($R$17="Distrato",$E1182,0))),0,YEARFRAC(MAX($P$708*($B1182+IF($R$17="Distrato",$I$38-1,0)),IF(AND($L$711=0,$P$708=0),"",$L$711-1),IF($R$17="Distrato",$E1182,0)),MIN(S$38,$D$19),$P$20))-SUM($P1182:R1182)</f>
        <v>#VALUE!</v>
      </c>
      <c r="T1182" s="446" t="e">
        <f>IF(OR($B1182="",MIN(T$38,$D$19)&lt;MAX($P$708*($B1182+IF($R$17="Distrato",$I$38-1,0)),IF(AND($L$711=0,$P$708=0),"",$L$711-1),IF($R$17="Distrato",$E1182,0))),0,YEARFRAC(MAX($P$708*($B1182+IF($R$17="Distrato",$I$38-1,0)),IF(AND($L$711=0,$P$708=0),"",$L$711-1),IF($R$17="Distrato",$E1182,0)),MIN(T$38,$D$19),$P$20))-SUM($P1182:S1182)</f>
        <v>#VALUE!</v>
      </c>
      <c r="U1182" s="446" t="e">
        <f>IF(OR($B1182="",MIN(U$38,$D$19)&lt;MAX($P$708*($B1182+IF($R$17="Distrato",$I$38-1,0)),IF(AND($L$711=0,$P$708=0),"",$L$711-1),IF($R$17="Distrato",$E1182,0))),0,YEARFRAC(MAX($P$708*($B1182+IF($R$17="Distrato",$I$38-1,0)),IF(AND($L$711=0,$P$708=0),"",$L$711-1),IF($R$17="Distrato",$E1182,0)),MIN(U$38,$D$19),$P$20))-SUM($P1182:T1182)</f>
        <v>#VALUE!</v>
      </c>
      <c r="V1182" s="446" t="e">
        <f>IF(OR($B1182="",MIN(V$38,$D$19)&lt;MAX($P$708*($B1182+IF($R$17="Distrato",$I$38-1,0)),IF(AND($L$711=0,$P$708=0),"",$L$711-1),IF($R$17="Distrato",$E1182,0))),0,YEARFRAC(MAX($P$708*($B1182+IF($R$17="Distrato",$I$38-1,0)),IF(AND($L$711=0,$P$708=0),"",$L$711-1),IF($R$17="Distrato",$E1182,0)),MIN(V$38,$D$19),$P$20))-SUM($P1182:U1182)</f>
        <v>#VALUE!</v>
      </c>
      <c r="W1182" s="446" t="e">
        <f>IF(OR($B1182="",MIN(W$38,$D$19)&lt;MAX($P$708*($B1182+IF($R$17="Distrato",$I$38-1,0)),IF(AND($L$711=0,$P$708=0),"",$L$711-1),IF($R$17="Distrato",$E1182,0))),0,YEARFRAC(MAX($P$708*($B1182+IF($R$17="Distrato",$I$38-1,0)),IF(AND($L$711=0,$P$708=0),"",$L$711-1),IF($R$17="Distrato",$E1182,0)),MIN(W$38,$D$19),$P$20))-SUM($P1182:V1182)</f>
        <v>#VALUE!</v>
      </c>
      <c r="X1182" s="446" t="e">
        <f>IF(OR($B1182="",MIN(X$38,$D$19)&lt;MAX($P$708*($B1182+IF($R$17="Distrato",$I$38-1,0)),IF(AND($L$711=0,$P$708=0),"",$L$711-1),IF($R$17="Distrato",$E1182,0))),0,YEARFRAC(MAX($P$708*($B1182+IF($R$17="Distrato",$I$38-1,0)),IF(AND($L$711=0,$P$708=0),"",$L$711-1),IF($R$17="Distrato",$E1182,0)),MIN(X$38,$D$19),$P$20))-SUM($P1182:W1182)</f>
        <v>#VALUE!</v>
      </c>
      <c r="Y1182" s="446" t="e">
        <f>IF(OR($B1182="",MIN(Y$38,$D$19)&lt;MAX($P$708*($B1182+IF($R$17="Distrato",$I$38-1,0)),IF(AND($L$711=0,$P$708=0),"",$L$711-1),IF($R$17="Distrato",$E1182,0))),0,YEARFRAC(MAX($P$708*($B1182+IF($R$17="Distrato",$I$38-1,0)),IF(AND($L$711=0,$P$708=0),"",$L$711-1),IF($R$17="Distrato",$E1182,0)),MIN(Y$38,$D$19),$P$20))-SUM($P1182:X1182)</f>
        <v>#VALUE!</v>
      </c>
      <c r="Z1182" s="446" t="e">
        <f>IF(OR($B1182="",MIN(Z$38,$D$19)&lt;MAX($P$708*($B1182+IF($R$17="Distrato",$I$38-1,0)),IF(AND($L$711=0,$P$708=0),"",$L$711-1),IF($R$17="Distrato",$E1182,0))),0,YEARFRAC(MAX($P$708*($B1182+IF($R$17="Distrato",$I$38-1,0)),IF(AND($L$711=0,$P$708=0),"",$L$711-1),IF($R$17="Distrato",$E1182,0)),MIN(Z$38,$D$19),$P$20))-SUM($P1182:Y1182)</f>
        <v>#VALUE!</v>
      </c>
      <c r="AA1182" s="446" t="e">
        <f>IF(OR($B1182="",MIN(AA$38,$D$19)&lt;MAX($P$708*($B1182+IF($R$17="Distrato",$I$38-1,0)),IF(AND($L$711=0,$P$708=0),"",$L$711-1),IF($R$17="Distrato",$E1182,0))),0,YEARFRAC(MAX($P$708*($B1182+IF($R$17="Distrato",$I$38-1,0)),IF(AND($L$711=0,$P$708=0),"",$L$711-1),IF($R$17="Distrato",$E1182,0)),MIN(AA$38,$D$19),$P$20))-SUM($P1182:Z1182)</f>
        <v>#VALUE!</v>
      </c>
      <c r="AB1182" s="446" t="e">
        <f>IF(OR($B1182="",MIN(AB$38,$D$19)&lt;MAX($P$708*($B1182+IF($R$17="Distrato",$I$38-1,0)),IF(AND($L$711=0,$P$708=0),"",$L$711-1),IF($R$17="Distrato",$E1182,0))),0,YEARFRAC(MAX($P$708*($B1182+IF($R$17="Distrato",$I$38-1,0)),IF(AND($L$711=0,$P$708=0),"",$L$711-1),IF($R$17="Distrato",$E1182,0)),MIN(AB$38,$D$19),$P$20))-SUM($P1182:AA1182)</f>
        <v>#VALUE!</v>
      </c>
      <c r="AC1182" s="446" t="e">
        <f>IF(OR($B1182="",MIN(AC$38,$D$19)&lt;MAX($P$708*($B1182+IF($R$17="Distrato",$I$38-1,0)),IF(AND($L$711=0,$P$708=0),"",$L$711-1),IF($R$17="Distrato",$E1182,0))),0,YEARFRAC(MAX($P$708*($B1182+IF($R$17="Distrato",$I$38-1,0)),IF(AND($L$711=0,$P$708=0),"",$L$711-1),IF($R$17="Distrato",$E1182,0)),MIN(AC$38,$D$19),$P$20))-SUM($P1182:AB1182)</f>
        <v>#VALUE!</v>
      </c>
      <c r="AD1182" s="446" t="e">
        <f>IF(OR($B1182="",MIN(AD$38,$D$19)&lt;MAX($P$708*($B1182+IF($R$17="Distrato",$I$38-1,0)),IF(AND($L$711=0,$P$708=0),"",$L$711-1),IF($R$17="Distrato",$E1182,0))),0,YEARFRAC(MAX($P$708*($B1182+IF($R$17="Distrato",$I$38-1,0)),IF(AND($L$711=0,$P$708=0),"",$L$711-1),IF($R$17="Distrato",$E1182,0)),MIN(AD$38,$D$19),$P$20))-SUM($P1182:AC1182)</f>
        <v>#VALUE!</v>
      </c>
      <c r="AE1182" s="446" t="e">
        <f>IF(OR($B1182="",MIN(AE$38,$D$19)&lt;MAX($P$708*($B1182+IF($R$17="Distrato",$I$38-1,0)),IF(AND($L$711=0,$P$708=0),"",$L$711-1),IF($R$17="Distrato",$E1182,0))),0,YEARFRAC(MAX($P$708*($B1182+IF($R$17="Distrato",$I$38-1,0)),IF(AND($L$711=0,$P$708=0),"",$L$711-1),IF($R$17="Distrato",$E1182,0)),MIN(AE$38,$D$19),$P$20))-SUM($P1182:AD1182)</f>
        <v>#VALUE!</v>
      </c>
      <c r="AF1182" s="446" t="e">
        <f>IF(OR($B1182="",MIN(AF$38,$D$19)&lt;MAX($P$708*($B1182+IF($R$17="Distrato",$I$38-1,0)),IF(AND($L$711=0,$P$708=0),"",$L$711-1),IF($R$17="Distrato",$E1182,0))),0,YEARFRAC(MAX($P$708*($B1182+IF($R$17="Distrato",$I$38-1,0)),IF(AND($L$711=0,$P$708=0),"",$L$711-1),IF($R$17="Distrato",$E1182,0)),MIN(AF$38,$D$19),$P$20))-SUM($P1182:AE1182)</f>
        <v>#VALUE!</v>
      </c>
      <c r="AG1182" s="446" t="e">
        <f>IF(OR($B1182="",MIN(AG$38,$D$19)&lt;MAX($P$708*($B1182+IF($R$17="Distrato",$I$38-1,0)),IF(AND($L$711=0,$P$708=0),"",$L$711-1),IF($R$17="Distrato",$E1182,0))),0,YEARFRAC(MAX($P$708*($B1182+IF($R$17="Distrato",$I$38-1,0)),IF(AND($L$711=0,$P$708=0),"",$L$711-1),IF($R$17="Distrato",$E1182,0)),MIN(AG$38,$D$19),$P$20))-SUM($P1182:AF1182)</f>
        <v>#VALUE!</v>
      </c>
      <c r="AH1182" s="446" t="e">
        <f>IF(OR($B1182="",MIN(AH$38,$D$19)&lt;MAX($P$708*($B1182+IF($R$17="Distrato",$I$38-1,0)),IF(AND($L$711=0,$P$708=0),"",$L$711-1),IF($R$17="Distrato",$E1182,0))),0,YEARFRAC(MAX($P$708*($B1182+IF($R$17="Distrato",$I$38-1,0)),IF(AND($L$711=0,$P$708=0),"",$L$711-1),IF($R$17="Distrato",$E1182,0)),MIN(AH$38,$D$19),$P$20))-SUM($P1182:AG1182)</f>
        <v>#VALUE!</v>
      </c>
      <c r="AI1182" s="446" t="e">
        <f>IF(OR($B1182="",MIN(AI$38,$D$19)&lt;MAX($P$708*($B1182+IF($R$17="Distrato",$I$38-1,0)),IF(AND($L$711=0,$P$708=0),"",$L$711-1),IF($R$17="Distrato",$E1182,0))),0,YEARFRAC(MAX($P$708*($B1182+IF($R$17="Distrato",$I$38-1,0)),IF(AND($L$711=0,$P$708=0),"",$L$711-1),IF($R$17="Distrato",$E1182,0)),MIN(AI$38,$D$19),$P$20))-SUM($P1182:AH1182)</f>
        <v>#VALUE!</v>
      </c>
      <c r="AJ1182" s="446" t="e">
        <f>IF(OR($B1182="",MIN(AJ$38,$D$19)&lt;MAX($P$708*($B1182+IF($R$17="Distrato",$I$38-1,0)),IF(AND($L$711=0,$P$708=0),"",$L$711-1),IF($R$17="Distrato",$E1182,0))),0,YEARFRAC(MAX($P$708*($B1182+IF($R$17="Distrato",$I$38-1,0)),IF(AND($L$711=0,$P$708=0),"",$L$711-1),IF($R$17="Distrato",$E1182,0)),MIN(AJ$38,$D$19),$P$20))-SUM($P1182:AI1182)</f>
        <v>#VALUE!</v>
      </c>
      <c r="AK1182" s="446" t="e">
        <f>IF(OR($B1182="",MIN(AK$38,$D$19)&lt;MAX($P$708*($B1182+IF($R$17="Distrato",$I$38-1,0)),IF(AND($L$711=0,$P$708=0),"",$L$711-1),IF($R$17="Distrato",$E1182,0))),0,YEARFRAC(MAX($P$708*($B1182+IF($R$17="Distrato",$I$38-1,0)),IF(AND($L$711=0,$P$708=0),"",$L$711-1),IF($R$17="Distrato",$E1182,0)),MIN(AK$38,$D$19),$P$20))-SUM($P1182:AJ1182)</f>
        <v>#VALUE!</v>
      </c>
      <c r="AL1182" s="446" t="e">
        <f>IF(OR($B1182="",MIN(AL$38,$D$19)&lt;MAX($P$708*($B1182+IF($R$17="Distrato",$I$38-1,0)),IF(AND($L$711=0,$P$708=0),"",$L$711-1),IF($R$17="Distrato",$E1182,0))),0,YEARFRAC(MAX($P$708*($B1182+IF($R$17="Distrato",$I$38-1,0)),IF(AND($L$711=0,$P$708=0),"",$L$711-1),IF($R$17="Distrato",$E1182,0)),MIN(AL$38,$D$19),$P$20))-SUM($P1182:AK1182)</f>
        <v>#VALUE!</v>
      </c>
      <c r="AM1182" s="446" t="e">
        <f>IF(OR($B1182="",MIN(AM$38,$D$19)&lt;MAX($P$708*($B1182+IF($R$17="Distrato",$I$38-1,0)),IF(AND($L$711=0,$P$708=0),"",$L$711-1),IF($R$17="Distrato",$E1182,0))),0,YEARFRAC(MAX($P$708*($B1182+IF($R$17="Distrato",$I$38-1,0)),IF(AND($L$711=0,$P$708=0),"",$L$711-1),IF($R$17="Distrato",$E1182,0)),MIN(AM$38,$D$19),$P$20))-SUM($P1182:AL1182)</f>
        <v>#VALUE!</v>
      </c>
      <c r="AN1182" s="446" t="e">
        <f>IF(OR($B1182="",MIN(AN$38,$D$19)&lt;MAX($P$708*($B1182+IF($R$17="Distrato",$I$38-1,0)),IF(AND($L$711=0,$P$708=0),"",$L$711-1),IF($R$17="Distrato",$E1182,0))),0,YEARFRAC(MAX($P$708*($B1182+IF($R$17="Distrato",$I$38-1,0)),IF(AND($L$711=0,$P$708=0),"",$L$711-1),IF($R$17="Distrato",$E1182,0)),MIN(AN$38,$D$19),$P$20))-SUM($P1182:AM1182)</f>
        <v>#VALUE!</v>
      </c>
      <c r="AO1182" s="446" t="e">
        <f>IF(OR($B1182="",MIN(AO$38,$D$19)&lt;MAX($P$708*($B1182+IF($R$17="Distrato",$I$38-1,0)),IF(AND($L$711=0,$P$708=0),"",$L$711-1),IF($R$17="Distrato",$E1182,0))),0,YEARFRAC(MAX($P$708*($B1182+IF($R$17="Distrato",$I$38-1,0)),IF(AND($L$711=0,$P$708=0),"",$L$711-1),IF($R$17="Distrato",$E1182,0)),MIN(AO$38,$D$19),$P$20))-SUM($P1182:AN1182)</f>
        <v>#VALUE!</v>
      </c>
      <c r="AP1182" s="446" t="e">
        <f>IF(OR($B1182="",MIN(AP$38,$D$19)&lt;MAX($P$708*($B1182+IF($R$17="Distrato",$I$38-1,0)),IF(AND($L$711=0,$P$708=0),"",$L$711-1),IF($R$17="Distrato",$E1182,0))),0,YEARFRAC(MAX($P$708*($B1182+IF($R$17="Distrato",$I$38-1,0)),IF(AND($L$711=0,$P$708=0),"",$L$711-1),IF($R$17="Distrato",$E1182,0)),MIN(AP$38,$D$19),$P$20))-SUM($P1182:AO1182)</f>
        <v>#VALUE!</v>
      </c>
      <c r="AQ1182" s="446" t="e">
        <f>IF(OR($B1182="",MIN(AQ$38,$D$19)&lt;MAX($P$708*($B1182+IF($R$17="Distrato",$I$38-1,0)),IF(AND($L$711=0,$P$708=0),"",$L$711-1),IF($R$17="Distrato",$E1182,0))),0,YEARFRAC(MAX($P$708*($B1182+IF($R$17="Distrato",$I$38-1,0)),IF(AND($L$711=0,$P$708=0),"",$L$711-1),IF($R$17="Distrato",$E1182,0)),MIN(AQ$38,$D$19),$P$20))-SUM($P1182:AP1182)</f>
        <v>#VALUE!</v>
      </c>
      <c r="AR1182" s="446" t="e">
        <f>IF(OR($B1182="",MIN(AR$38,$D$19)&lt;MAX($P$708*($B1182+IF($R$17="Distrato",$I$38-1,0)),IF(AND($L$711=0,$P$708=0),"",$L$711-1),IF($R$17="Distrato",$E1182,0))),0,YEARFRAC(MAX($P$708*($B1182+IF($R$17="Distrato",$I$38-1,0)),IF(AND($L$711=0,$P$708=0),"",$L$711-1),IF($R$17="Distrato",$E1182,0)),MIN(AR$38,$D$19),$P$20))-SUM($P1182:AQ1182)</f>
        <v>#VALUE!</v>
      </c>
      <c r="AS1182" s="446" t="e">
        <f>IF(OR($B1182="",MIN(AS$38,$D$19)&lt;MAX($P$708*($B1182+IF($R$17="Distrato",$I$38-1,0)),IF(AND($L$711=0,$P$708=0),"",$L$711-1),IF($R$17="Distrato",$E1182,0))),0,YEARFRAC(MAX($P$708*($B1182+IF($R$17="Distrato",$I$38-1,0)),IF(AND($L$711=0,$P$708=0),"",$L$711-1),IF($R$17="Distrato",$E1182,0)),MIN(AS$38,$D$19),$P$20))-SUM($P1182:AR1182)</f>
        <v>#VALUE!</v>
      </c>
      <c r="AT1182" s="446" t="e">
        <f>IF(OR($B1182="",MIN(AT$38,$D$19)&lt;MAX($P$708*($B1182+IF($R$17="Distrato",$I$38-1,0)),IF(AND($L$711=0,$P$708=0),"",$L$711-1),IF($R$17="Distrato",$E1182,0))),0,YEARFRAC(MAX($P$708*($B1182+IF($R$17="Distrato",$I$38-1,0)),IF(AND($L$711=0,$P$708=0),"",$L$711-1),IF($R$17="Distrato",$E1182,0)),MIN(AT$38,$D$19),$P$20))-SUM($P1182:AS1182)</f>
        <v>#VALUE!</v>
      </c>
      <c r="AU1182" s="446" t="e">
        <f>IF(OR($B1182="",MIN(AU$38,$D$19)&lt;MAX($P$708*($B1182+IF($R$17="Distrato",$I$38-1,0)),IF(AND($L$711=0,$P$708=0),"",$L$711-1),IF($R$17="Distrato",$E1182,0))),0,YEARFRAC(MAX($P$708*($B1182+IF($R$17="Distrato",$I$38-1,0)),IF(AND($L$711=0,$P$708=0),"",$L$711-1),IF($R$17="Distrato",$E1182,0)),MIN(AU$38,$D$19),$P$20))-SUM($P1182:AT1182)</f>
        <v>#VALUE!</v>
      </c>
      <c r="AV1182" s="446" t="e">
        <f>IF(OR($B1182="",MIN(AV$38,$D$19)&lt;MAX($P$708*($B1182+IF($R$17="Distrato",$I$38-1,0)),IF(AND($L$711=0,$P$708=0),"",$L$711-1),IF($R$17="Distrato",$E1182,0))),0,YEARFRAC(MAX($P$708*($B1182+IF($R$17="Distrato",$I$38-1,0)),IF(AND($L$711=0,$P$708=0),"",$L$711-1),IF($R$17="Distrato",$E1182,0)),MIN(AV$38,$D$19),$P$20))-SUM($P1182:AU1182)</f>
        <v>#VALUE!</v>
      </c>
      <c r="AW1182" s="446" t="e">
        <f>IF(OR($B1182="",MIN(AW$38,$D$19)&lt;MAX($P$708*($B1182+IF($R$17="Distrato",$I$38-1,0)),IF(AND($L$711=0,$P$708=0),"",$L$711-1),IF($R$17="Distrato",$E1182,0))),0,YEARFRAC(MAX($P$708*($B1182+IF($R$17="Distrato",$I$38-1,0)),IF(AND($L$711=0,$P$708=0),"",$L$711-1),IF($R$17="Distrato",$E1182,0)),MIN(AW$38,$D$19),$P$20))-SUM($P1182:AV1182)</f>
        <v>#VALUE!</v>
      </c>
      <c r="AX1182" s="446" t="e">
        <f>IF(OR($B1182="",MIN(AX$38,$D$19)&lt;MAX($P$708*($B1182+IF($R$17="Distrato",$I$38-1,0)),IF(AND($L$711=0,$P$708=0),"",$L$711-1),IF($R$17="Distrato",$E1182,0))),0,YEARFRAC(MAX($P$708*($B1182+IF($R$17="Distrato",$I$38-1,0)),IF(AND($L$711=0,$P$708=0),"",$L$711-1),IF($R$17="Distrato",$E1182,0)),MIN(AX$38,$D$19),$P$20))-SUM($P1182:AW1182)</f>
        <v>#VALUE!</v>
      </c>
      <c r="AY1182" s="446" t="e">
        <f>IF(OR($B1182="",MIN(AY$38,$D$19)&lt;MAX($P$708*($B1182+IF($R$17="Distrato",$I$38-1,0)),IF(AND($L$711=0,$P$708=0),"",$L$711-1),IF($R$17="Distrato",$E1182,0))),0,YEARFRAC(MAX($P$708*($B1182+IF($R$17="Distrato",$I$38-1,0)),IF(AND($L$711=0,$P$708=0),"",$L$711-1),IF($R$17="Distrato",$E1182,0)),MIN(AY$38,$D$19),$P$20))-SUM($P1182:AX1182)</f>
        <v>#VALUE!</v>
      </c>
      <c r="AZ1182" s="446" t="e">
        <f>IF(OR($B1182="",MIN(AZ$38,$D$19)&lt;MAX($P$708*($B1182+IF($R$17="Distrato",$I$38-1,0)),IF(AND($L$711=0,$P$708=0),"",$L$711-1),IF($R$17="Distrato",$E1182,0))),0,YEARFRAC(MAX($P$708*($B1182+IF($R$17="Distrato",$I$38-1,0)),IF(AND($L$711=0,$P$708=0),"",$L$711-1),IF($R$17="Distrato",$E1182,0)),MIN(AZ$38,$D$19),$P$20))-SUM($P1182:AY1182)</f>
        <v>#VALUE!</v>
      </c>
      <c r="BA1182" s="446" t="e">
        <f>IF(OR($B1182="",MIN(BA$38,$D$19)&lt;MAX($P$708*($B1182+IF($R$17="Distrato",$I$38-1,0)),IF(AND($L$711=0,$P$708=0),"",$L$711-1),IF($R$17="Distrato",$E1182,0))),0,YEARFRAC(MAX($P$708*($B1182+IF($R$17="Distrato",$I$38-1,0)),IF(AND($L$711=0,$P$708=0),"",$L$711-1),IF($R$17="Distrato",$E1182,0)),MIN(BA$38,$D$19),$P$20))-SUM($P1182:AZ1182)</f>
        <v>#VALUE!</v>
      </c>
      <c r="BB1182" s="447"/>
    </row>
    <row r="1183" spans="1:54" s="446" customFormat="1" ht="11.25" hidden="1" customHeight="1" x14ac:dyDescent="0.2">
      <c r="A1183" s="235"/>
      <c r="B1183" s="236"/>
      <c r="C1183" s="29" t="str">
        <f>IF(B1183="","",IF($L$709=$BL$25,VLOOKUP(DATE(YEAR($D$19),MONTH($D$19)-1,1),ÍNDICES!$A:$DE,HLOOKUP($BL$25,ÍNDICES!$B$3:$T$4,2)+11)-VLOOKUP(B1183,ÍNDICES!$A:$DE,HLOOKUP($BL$25,ÍNDICES!$B$3:$T$4,2)+11)+1%,IF(C$712=$W$26,$J$35,IF(ISERROR(IF(B1183&gt;$D$19,1,VLOOKUP(DATE(YEAR(B1183),MONTH(B1183)+IF($C$709=$S$23,1,0),1),ÍNDICES!$A:$DE,$Z$709+1))),"",IF(B1183&gt;$D$19,1,VLOOKUP(DATE(YEAR(B1183),MONTH(B1183)+IF($C$709=$S$23,1,0),1),ÍNDICES!$A:$DE,$Z$709+1))))))</f>
        <v/>
      </c>
      <c r="D1183" s="155"/>
      <c r="E1183" s="88"/>
      <c r="F1183" s="88"/>
      <c r="G1183" s="88"/>
      <c r="H1183" s="118"/>
      <c r="I1183" s="182">
        <f t="shared" si="164"/>
        <v>0</v>
      </c>
      <c r="J1183" s="20">
        <f t="shared" ca="1" si="165"/>
        <v>0</v>
      </c>
      <c r="K1183" s="5">
        <f t="shared" ca="1" si="166"/>
        <v>0</v>
      </c>
      <c r="L1183" s="61">
        <f t="shared" ca="1" si="167"/>
        <v>0</v>
      </c>
      <c r="M1183" s="64">
        <f t="shared" si="168"/>
        <v>0</v>
      </c>
      <c r="N1183" s="151"/>
      <c r="O1183" s="5">
        <f t="shared" ca="1" si="169"/>
        <v>0</v>
      </c>
      <c r="P1183" s="446" t="e">
        <f t="shared" si="170"/>
        <v>#VALUE!</v>
      </c>
      <c r="Q1183" s="446" t="e">
        <f>IF(OR($B1183="",MIN(Q$38,$D$19)&lt;MAX($P$708*($B1183+IF($R$17="Distrato",$I$38-1,0)),IF(AND($L$711=0,$P$708=0),"",$L$711-1),IF($R$17="Distrato",$E1183,0))),0,YEARFRAC(MAX($P$708*($B1183+IF($R$17="Distrato",$I$38-1,0)),IF(AND($L$711=0,$P$708=0),"",$L$711-1),IF($R$17="Distrato",$E1183,0)),MIN(Q$38,$D$19),$P$20))-SUM($P1183:P1183)</f>
        <v>#VALUE!</v>
      </c>
      <c r="R1183" s="446" t="e">
        <f>IF(OR($B1183="",MIN(R$38,$D$19)&lt;MAX($P$708*($B1183+IF($R$17="Distrato",$I$38-1,0)),IF(AND($L$711=0,$P$708=0),"",$L$711-1),IF($R$17="Distrato",$E1183,0))),0,YEARFRAC(MAX($P$708*($B1183+IF($R$17="Distrato",$I$38-1,0)),IF(AND($L$711=0,$P$708=0),"",$L$711-1),IF($R$17="Distrato",$E1183,0)),MIN(R$38,$D$19),$P$20))-SUM($P1183:Q1183)</f>
        <v>#VALUE!</v>
      </c>
      <c r="S1183" s="446" t="e">
        <f>IF(OR($B1183="",MIN(S$38,$D$19)&lt;MAX($P$708*($B1183+IF($R$17="Distrato",$I$38-1,0)),IF(AND($L$711=0,$P$708=0),"",$L$711-1),IF($R$17="Distrato",$E1183,0))),0,YEARFRAC(MAX($P$708*($B1183+IF($R$17="Distrato",$I$38-1,0)),IF(AND($L$711=0,$P$708=0),"",$L$711-1),IF($R$17="Distrato",$E1183,0)),MIN(S$38,$D$19),$P$20))-SUM($P1183:R1183)</f>
        <v>#VALUE!</v>
      </c>
      <c r="T1183" s="446" t="e">
        <f>IF(OR($B1183="",MIN(T$38,$D$19)&lt;MAX($P$708*($B1183+IF($R$17="Distrato",$I$38-1,0)),IF(AND($L$711=0,$P$708=0),"",$L$711-1),IF($R$17="Distrato",$E1183,0))),0,YEARFRAC(MAX($P$708*($B1183+IF($R$17="Distrato",$I$38-1,0)),IF(AND($L$711=0,$P$708=0),"",$L$711-1),IF($R$17="Distrato",$E1183,0)),MIN(T$38,$D$19),$P$20))-SUM($P1183:S1183)</f>
        <v>#VALUE!</v>
      </c>
      <c r="U1183" s="446" t="e">
        <f>IF(OR($B1183="",MIN(U$38,$D$19)&lt;MAX($P$708*($B1183+IF($R$17="Distrato",$I$38-1,0)),IF(AND($L$711=0,$P$708=0),"",$L$711-1),IF($R$17="Distrato",$E1183,0))),0,YEARFRAC(MAX($P$708*($B1183+IF($R$17="Distrato",$I$38-1,0)),IF(AND($L$711=0,$P$708=0),"",$L$711-1),IF($R$17="Distrato",$E1183,0)),MIN(U$38,$D$19),$P$20))-SUM($P1183:T1183)</f>
        <v>#VALUE!</v>
      </c>
      <c r="V1183" s="446" t="e">
        <f>IF(OR($B1183="",MIN(V$38,$D$19)&lt;MAX($P$708*($B1183+IF($R$17="Distrato",$I$38-1,0)),IF(AND($L$711=0,$P$708=0),"",$L$711-1),IF($R$17="Distrato",$E1183,0))),0,YEARFRAC(MAX($P$708*($B1183+IF($R$17="Distrato",$I$38-1,0)),IF(AND($L$711=0,$P$708=0),"",$L$711-1),IF($R$17="Distrato",$E1183,0)),MIN(V$38,$D$19),$P$20))-SUM($P1183:U1183)</f>
        <v>#VALUE!</v>
      </c>
      <c r="W1183" s="446" t="e">
        <f>IF(OR($B1183="",MIN(W$38,$D$19)&lt;MAX($P$708*($B1183+IF($R$17="Distrato",$I$38-1,0)),IF(AND($L$711=0,$P$708=0),"",$L$711-1),IF($R$17="Distrato",$E1183,0))),0,YEARFRAC(MAX($P$708*($B1183+IF($R$17="Distrato",$I$38-1,0)),IF(AND($L$711=0,$P$708=0),"",$L$711-1),IF($R$17="Distrato",$E1183,0)),MIN(W$38,$D$19),$P$20))-SUM($P1183:V1183)</f>
        <v>#VALUE!</v>
      </c>
      <c r="X1183" s="446" t="e">
        <f>IF(OR($B1183="",MIN(X$38,$D$19)&lt;MAX($P$708*($B1183+IF($R$17="Distrato",$I$38-1,0)),IF(AND($L$711=0,$P$708=0),"",$L$711-1),IF($R$17="Distrato",$E1183,0))),0,YEARFRAC(MAX($P$708*($B1183+IF($R$17="Distrato",$I$38-1,0)),IF(AND($L$711=0,$P$708=0),"",$L$711-1),IF($R$17="Distrato",$E1183,0)),MIN(X$38,$D$19),$P$20))-SUM($P1183:W1183)</f>
        <v>#VALUE!</v>
      </c>
      <c r="Y1183" s="446" t="e">
        <f>IF(OR($B1183="",MIN(Y$38,$D$19)&lt;MAX($P$708*($B1183+IF($R$17="Distrato",$I$38-1,0)),IF(AND($L$711=0,$P$708=0),"",$L$711-1),IF($R$17="Distrato",$E1183,0))),0,YEARFRAC(MAX($P$708*($B1183+IF($R$17="Distrato",$I$38-1,0)),IF(AND($L$711=0,$P$708=0),"",$L$711-1),IF($R$17="Distrato",$E1183,0)),MIN(Y$38,$D$19),$P$20))-SUM($P1183:X1183)</f>
        <v>#VALUE!</v>
      </c>
      <c r="Z1183" s="446" t="e">
        <f>IF(OR($B1183="",MIN(Z$38,$D$19)&lt;MAX($P$708*($B1183+IF($R$17="Distrato",$I$38-1,0)),IF(AND($L$711=0,$P$708=0),"",$L$711-1),IF($R$17="Distrato",$E1183,0))),0,YEARFRAC(MAX($P$708*($B1183+IF($R$17="Distrato",$I$38-1,0)),IF(AND($L$711=0,$P$708=0),"",$L$711-1),IF($R$17="Distrato",$E1183,0)),MIN(Z$38,$D$19),$P$20))-SUM($P1183:Y1183)</f>
        <v>#VALUE!</v>
      </c>
      <c r="AA1183" s="446" t="e">
        <f>IF(OR($B1183="",MIN(AA$38,$D$19)&lt;MAX($P$708*($B1183+IF($R$17="Distrato",$I$38-1,0)),IF(AND($L$711=0,$P$708=0),"",$L$711-1),IF($R$17="Distrato",$E1183,0))),0,YEARFRAC(MAX($P$708*($B1183+IF($R$17="Distrato",$I$38-1,0)),IF(AND($L$711=0,$P$708=0),"",$L$711-1),IF($R$17="Distrato",$E1183,0)),MIN(AA$38,$D$19),$P$20))-SUM($P1183:Z1183)</f>
        <v>#VALUE!</v>
      </c>
      <c r="AB1183" s="446" t="e">
        <f>IF(OR($B1183="",MIN(AB$38,$D$19)&lt;MAX($P$708*($B1183+IF($R$17="Distrato",$I$38-1,0)),IF(AND($L$711=0,$P$708=0),"",$L$711-1),IF($R$17="Distrato",$E1183,0))),0,YEARFRAC(MAX($P$708*($B1183+IF($R$17="Distrato",$I$38-1,0)),IF(AND($L$711=0,$P$708=0),"",$L$711-1),IF($R$17="Distrato",$E1183,0)),MIN(AB$38,$D$19),$P$20))-SUM($P1183:AA1183)</f>
        <v>#VALUE!</v>
      </c>
      <c r="AC1183" s="446" t="e">
        <f>IF(OR($B1183="",MIN(AC$38,$D$19)&lt;MAX($P$708*($B1183+IF($R$17="Distrato",$I$38-1,0)),IF(AND($L$711=0,$P$708=0),"",$L$711-1),IF($R$17="Distrato",$E1183,0))),0,YEARFRAC(MAX($P$708*($B1183+IF($R$17="Distrato",$I$38-1,0)),IF(AND($L$711=0,$P$708=0),"",$L$711-1),IF($R$17="Distrato",$E1183,0)),MIN(AC$38,$D$19),$P$20))-SUM($P1183:AB1183)</f>
        <v>#VALUE!</v>
      </c>
      <c r="AD1183" s="446" t="e">
        <f>IF(OR($B1183="",MIN(AD$38,$D$19)&lt;MAX($P$708*($B1183+IF($R$17="Distrato",$I$38-1,0)),IF(AND($L$711=0,$P$708=0),"",$L$711-1),IF($R$17="Distrato",$E1183,0))),0,YEARFRAC(MAX($P$708*($B1183+IF($R$17="Distrato",$I$38-1,0)),IF(AND($L$711=0,$P$708=0),"",$L$711-1),IF($R$17="Distrato",$E1183,0)),MIN(AD$38,$D$19),$P$20))-SUM($P1183:AC1183)</f>
        <v>#VALUE!</v>
      </c>
      <c r="AE1183" s="446" t="e">
        <f>IF(OR($B1183="",MIN(AE$38,$D$19)&lt;MAX($P$708*($B1183+IF($R$17="Distrato",$I$38-1,0)),IF(AND($L$711=0,$P$708=0),"",$L$711-1),IF($R$17="Distrato",$E1183,0))),0,YEARFRAC(MAX($P$708*($B1183+IF($R$17="Distrato",$I$38-1,0)),IF(AND($L$711=0,$P$708=0),"",$L$711-1),IF($R$17="Distrato",$E1183,0)),MIN(AE$38,$D$19),$P$20))-SUM($P1183:AD1183)</f>
        <v>#VALUE!</v>
      </c>
      <c r="AF1183" s="446" t="e">
        <f>IF(OR($B1183="",MIN(AF$38,$D$19)&lt;MAX($P$708*($B1183+IF($R$17="Distrato",$I$38-1,0)),IF(AND($L$711=0,$P$708=0),"",$L$711-1),IF($R$17="Distrato",$E1183,0))),0,YEARFRAC(MAX($P$708*($B1183+IF($R$17="Distrato",$I$38-1,0)),IF(AND($L$711=0,$P$708=0),"",$L$711-1),IF($R$17="Distrato",$E1183,0)),MIN(AF$38,$D$19),$P$20))-SUM($P1183:AE1183)</f>
        <v>#VALUE!</v>
      </c>
      <c r="AG1183" s="446" t="e">
        <f>IF(OR($B1183="",MIN(AG$38,$D$19)&lt;MAX($P$708*($B1183+IF($R$17="Distrato",$I$38-1,0)),IF(AND($L$711=0,$P$708=0),"",$L$711-1),IF($R$17="Distrato",$E1183,0))),0,YEARFRAC(MAX($P$708*($B1183+IF($R$17="Distrato",$I$38-1,0)),IF(AND($L$711=0,$P$708=0),"",$L$711-1),IF($R$17="Distrato",$E1183,0)),MIN(AG$38,$D$19),$P$20))-SUM($P1183:AF1183)</f>
        <v>#VALUE!</v>
      </c>
      <c r="AH1183" s="446" t="e">
        <f>IF(OR($B1183="",MIN(AH$38,$D$19)&lt;MAX($P$708*($B1183+IF($R$17="Distrato",$I$38-1,0)),IF(AND($L$711=0,$P$708=0),"",$L$711-1),IF($R$17="Distrato",$E1183,0))),0,YEARFRAC(MAX($P$708*($B1183+IF($R$17="Distrato",$I$38-1,0)),IF(AND($L$711=0,$P$708=0),"",$L$711-1),IF($R$17="Distrato",$E1183,0)),MIN(AH$38,$D$19),$P$20))-SUM($P1183:AG1183)</f>
        <v>#VALUE!</v>
      </c>
      <c r="AI1183" s="446" t="e">
        <f>IF(OR($B1183="",MIN(AI$38,$D$19)&lt;MAX($P$708*($B1183+IF($R$17="Distrato",$I$38-1,0)),IF(AND($L$711=0,$P$708=0),"",$L$711-1),IF($R$17="Distrato",$E1183,0))),0,YEARFRAC(MAX($P$708*($B1183+IF($R$17="Distrato",$I$38-1,0)),IF(AND($L$711=0,$P$708=0),"",$L$711-1),IF($R$17="Distrato",$E1183,0)),MIN(AI$38,$D$19),$P$20))-SUM($P1183:AH1183)</f>
        <v>#VALUE!</v>
      </c>
      <c r="AJ1183" s="446" t="e">
        <f>IF(OR($B1183="",MIN(AJ$38,$D$19)&lt;MAX($P$708*($B1183+IF($R$17="Distrato",$I$38-1,0)),IF(AND($L$711=0,$P$708=0),"",$L$711-1),IF($R$17="Distrato",$E1183,0))),0,YEARFRAC(MAX($P$708*($B1183+IF($R$17="Distrato",$I$38-1,0)),IF(AND($L$711=0,$P$708=0),"",$L$711-1),IF($R$17="Distrato",$E1183,0)),MIN(AJ$38,$D$19),$P$20))-SUM($P1183:AI1183)</f>
        <v>#VALUE!</v>
      </c>
      <c r="AK1183" s="446" t="e">
        <f>IF(OR($B1183="",MIN(AK$38,$D$19)&lt;MAX($P$708*($B1183+IF($R$17="Distrato",$I$38-1,0)),IF(AND($L$711=0,$P$708=0),"",$L$711-1),IF($R$17="Distrato",$E1183,0))),0,YEARFRAC(MAX($P$708*($B1183+IF($R$17="Distrato",$I$38-1,0)),IF(AND($L$711=0,$P$708=0),"",$L$711-1),IF($R$17="Distrato",$E1183,0)),MIN(AK$38,$D$19),$P$20))-SUM($P1183:AJ1183)</f>
        <v>#VALUE!</v>
      </c>
      <c r="AL1183" s="446" t="e">
        <f>IF(OR($B1183="",MIN(AL$38,$D$19)&lt;MAX($P$708*($B1183+IF($R$17="Distrato",$I$38-1,0)),IF(AND($L$711=0,$P$708=0),"",$L$711-1),IF($R$17="Distrato",$E1183,0))),0,YEARFRAC(MAX($P$708*($B1183+IF($R$17="Distrato",$I$38-1,0)),IF(AND($L$711=0,$P$708=0),"",$L$711-1),IF($R$17="Distrato",$E1183,0)),MIN(AL$38,$D$19),$P$20))-SUM($P1183:AK1183)</f>
        <v>#VALUE!</v>
      </c>
      <c r="AM1183" s="446" t="e">
        <f>IF(OR($B1183="",MIN(AM$38,$D$19)&lt;MAX($P$708*($B1183+IF($R$17="Distrato",$I$38-1,0)),IF(AND($L$711=0,$P$708=0),"",$L$711-1),IF($R$17="Distrato",$E1183,0))),0,YEARFRAC(MAX($P$708*($B1183+IF($R$17="Distrato",$I$38-1,0)),IF(AND($L$711=0,$P$708=0),"",$L$711-1),IF($R$17="Distrato",$E1183,0)),MIN(AM$38,$D$19),$P$20))-SUM($P1183:AL1183)</f>
        <v>#VALUE!</v>
      </c>
      <c r="AN1183" s="446" t="e">
        <f>IF(OR($B1183="",MIN(AN$38,$D$19)&lt;MAX($P$708*($B1183+IF($R$17="Distrato",$I$38-1,0)),IF(AND($L$711=0,$P$708=0),"",$L$711-1),IF($R$17="Distrato",$E1183,0))),0,YEARFRAC(MAX($P$708*($B1183+IF($R$17="Distrato",$I$38-1,0)),IF(AND($L$711=0,$P$708=0),"",$L$711-1),IF($R$17="Distrato",$E1183,0)),MIN(AN$38,$D$19),$P$20))-SUM($P1183:AM1183)</f>
        <v>#VALUE!</v>
      </c>
      <c r="AO1183" s="446" t="e">
        <f>IF(OR($B1183="",MIN(AO$38,$D$19)&lt;MAX($P$708*($B1183+IF($R$17="Distrato",$I$38-1,0)),IF(AND($L$711=0,$P$708=0),"",$L$711-1),IF($R$17="Distrato",$E1183,0))),0,YEARFRAC(MAX($P$708*($B1183+IF($R$17="Distrato",$I$38-1,0)),IF(AND($L$711=0,$P$708=0),"",$L$711-1),IF($R$17="Distrato",$E1183,0)),MIN(AO$38,$D$19),$P$20))-SUM($P1183:AN1183)</f>
        <v>#VALUE!</v>
      </c>
      <c r="AP1183" s="446" t="e">
        <f>IF(OR($B1183="",MIN(AP$38,$D$19)&lt;MAX($P$708*($B1183+IF($R$17="Distrato",$I$38-1,0)),IF(AND($L$711=0,$P$708=0),"",$L$711-1),IF($R$17="Distrato",$E1183,0))),0,YEARFRAC(MAX($P$708*($B1183+IF($R$17="Distrato",$I$38-1,0)),IF(AND($L$711=0,$P$708=0),"",$L$711-1),IF($R$17="Distrato",$E1183,0)),MIN(AP$38,$D$19),$P$20))-SUM($P1183:AO1183)</f>
        <v>#VALUE!</v>
      </c>
      <c r="AQ1183" s="446" t="e">
        <f>IF(OR($B1183="",MIN(AQ$38,$D$19)&lt;MAX($P$708*($B1183+IF($R$17="Distrato",$I$38-1,0)),IF(AND($L$711=0,$P$708=0),"",$L$711-1),IF($R$17="Distrato",$E1183,0))),0,YEARFRAC(MAX($P$708*($B1183+IF($R$17="Distrato",$I$38-1,0)),IF(AND($L$711=0,$P$708=0),"",$L$711-1),IF($R$17="Distrato",$E1183,0)),MIN(AQ$38,$D$19),$P$20))-SUM($P1183:AP1183)</f>
        <v>#VALUE!</v>
      </c>
      <c r="AR1183" s="446" t="e">
        <f>IF(OR($B1183="",MIN(AR$38,$D$19)&lt;MAX($P$708*($B1183+IF($R$17="Distrato",$I$38-1,0)),IF(AND($L$711=0,$P$708=0),"",$L$711-1),IF($R$17="Distrato",$E1183,0))),0,YEARFRAC(MAX($P$708*($B1183+IF($R$17="Distrato",$I$38-1,0)),IF(AND($L$711=0,$P$708=0),"",$L$711-1),IF($R$17="Distrato",$E1183,0)),MIN(AR$38,$D$19),$P$20))-SUM($P1183:AQ1183)</f>
        <v>#VALUE!</v>
      </c>
      <c r="AS1183" s="446" t="e">
        <f>IF(OR($B1183="",MIN(AS$38,$D$19)&lt;MAX($P$708*($B1183+IF($R$17="Distrato",$I$38-1,0)),IF(AND($L$711=0,$P$708=0),"",$L$711-1),IF($R$17="Distrato",$E1183,0))),0,YEARFRAC(MAX($P$708*($B1183+IF($R$17="Distrato",$I$38-1,0)),IF(AND($L$711=0,$P$708=0),"",$L$711-1),IF($R$17="Distrato",$E1183,0)),MIN(AS$38,$D$19),$P$20))-SUM($P1183:AR1183)</f>
        <v>#VALUE!</v>
      </c>
      <c r="AT1183" s="446" t="e">
        <f>IF(OR($B1183="",MIN(AT$38,$D$19)&lt;MAX($P$708*($B1183+IF($R$17="Distrato",$I$38-1,0)),IF(AND($L$711=0,$P$708=0),"",$L$711-1),IF($R$17="Distrato",$E1183,0))),0,YEARFRAC(MAX($P$708*($B1183+IF($R$17="Distrato",$I$38-1,0)),IF(AND($L$711=0,$P$708=0),"",$L$711-1),IF($R$17="Distrato",$E1183,0)),MIN(AT$38,$D$19),$P$20))-SUM($P1183:AS1183)</f>
        <v>#VALUE!</v>
      </c>
      <c r="AU1183" s="446" t="e">
        <f>IF(OR($B1183="",MIN(AU$38,$D$19)&lt;MAX($P$708*($B1183+IF($R$17="Distrato",$I$38-1,0)),IF(AND($L$711=0,$P$708=0),"",$L$711-1),IF($R$17="Distrato",$E1183,0))),0,YEARFRAC(MAX($P$708*($B1183+IF($R$17="Distrato",$I$38-1,0)),IF(AND($L$711=0,$P$708=0),"",$L$711-1),IF($R$17="Distrato",$E1183,0)),MIN(AU$38,$D$19),$P$20))-SUM($P1183:AT1183)</f>
        <v>#VALUE!</v>
      </c>
      <c r="AV1183" s="446" t="e">
        <f>IF(OR($B1183="",MIN(AV$38,$D$19)&lt;MAX($P$708*($B1183+IF($R$17="Distrato",$I$38-1,0)),IF(AND($L$711=0,$P$708=0),"",$L$711-1),IF($R$17="Distrato",$E1183,0))),0,YEARFRAC(MAX($P$708*($B1183+IF($R$17="Distrato",$I$38-1,0)),IF(AND($L$711=0,$P$708=0),"",$L$711-1),IF($R$17="Distrato",$E1183,0)),MIN(AV$38,$D$19),$P$20))-SUM($P1183:AU1183)</f>
        <v>#VALUE!</v>
      </c>
      <c r="AW1183" s="446" t="e">
        <f>IF(OR($B1183="",MIN(AW$38,$D$19)&lt;MAX($P$708*($B1183+IF($R$17="Distrato",$I$38-1,0)),IF(AND($L$711=0,$P$708=0),"",$L$711-1),IF($R$17="Distrato",$E1183,0))),0,YEARFRAC(MAX($P$708*($B1183+IF($R$17="Distrato",$I$38-1,0)),IF(AND($L$711=0,$P$708=0),"",$L$711-1),IF($R$17="Distrato",$E1183,0)),MIN(AW$38,$D$19),$P$20))-SUM($P1183:AV1183)</f>
        <v>#VALUE!</v>
      </c>
      <c r="AX1183" s="446" t="e">
        <f>IF(OR($B1183="",MIN(AX$38,$D$19)&lt;MAX($P$708*($B1183+IF($R$17="Distrato",$I$38-1,0)),IF(AND($L$711=0,$P$708=0),"",$L$711-1),IF($R$17="Distrato",$E1183,0))),0,YEARFRAC(MAX($P$708*($B1183+IF($R$17="Distrato",$I$38-1,0)),IF(AND($L$711=0,$P$708=0),"",$L$711-1),IF($R$17="Distrato",$E1183,0)),MIN(AX$38,$D$19),$P$20))-SUM($P1183:AW1183)</f>
        <v>#VALUE!</v>
      </c>
      <c r="AY1183" s="446" t="e">
        <f>IF(OR($B1183="",MIN(AY$38,$D$19)&lt;MAX($P$708*($B1183+IF($R$17="Distrato",$I$38-1,0)),IF(AND($L$711=0,$P$708=0),"",$L$711-1),IF($R$17="Distrato",$E1183,0))),0,YEARFRAC(MAX($P$708*($B1183+IF($R$17="Distrato",$I$38-1,0)),IF(AND($L$711=0,$P$708=0),"",$L$711-1),IF($R$17="Distrato",$E1183,0)),MIN(AY$38,$D$19),$P$20))-SUM($P1183:AX1183)</f>
        <v>#VALUE!</v>
      </c>
      <c r="AZ1183" s="446" t="e">
        <f>IF(OR($B1183="",MIN(AZ$38,$D$19)&lt;MAX($P$708*($B1183+IF($R$17="Distrato",$I$38-1,0)),IF(AND($L$711=0,$P$708=0),"",$L$711-1),IF($R$17="Distrato",$E1183,0))),0,YEARFRAC(MAX($P$708*($B1183+IF($R$17="Distrato",$I$38-1,0)),IF(AND($L$711=0,$P$708=0),"",$L$711-1),IF($R$17="Distrato",$E1183,0)),MIN(AZ$38,$D$19),$P$20))-SUM($P1183:AY1183)</f>
        <v>#VALUE!</v>
      </c>
      <c r="BA1183" s="446" t="e">
        <f>IF(OR($B1183="",MIN(BA$38,$D$19)&lt;MAX($P$708*($B1183+IF($R$17="Distrato",$I$38-1,0)),IF(AND($L$711=0,$P$708=0),"",$L$711-1),IF($R$17="Distrato",$E1183,0))),0,YEARFRAC(MAX($P$708*($B1183+IF($R$17="Distrato",$I$38-1,0)),IF(AND($L$711=0,$P$708=0),"",$L$711-1),IF($R$17="Distrato",$E1183,0)),MIN(BA$38,$D$19),$P$20))-SUM($P1183:AZ1183)</f>
        <v>#VALUE!</v>
      </c>
      <c r="BB1183" s="447"/>
    </row>
    <row r="1184" spans="1:54" s="446" customFormat="1" ht="11.25" hidden="1" customHeight="1" x14ac:dyDescent="0.2">
      <c r="A1184" s="235"/>
      <c r="B1184" s="236"/>
      <c r="C1184" s="29" t="str">
        <f>IF(B1184="","",IF($L$709=$BL$25,VLOOKUP(DATE(YEAR($D$19),MONTH($D$19)-1,1),ÍNDICES!$A:$DE,HLOOKUP($BL$25,ÍNDICES!$B$3:$T$4,2)+11)-VLOOKUP(B1184,ÍNDICES!$A:$DE,HLOOKUP($BL$25,ÍNDICES!$B$3:$T$4,2)+11)+1%,IF(C$712=$W$26,$J$35,IF(ISERROR(IF(B1184&gt;$D$19,1,VLOOKUP(DATE(YEAR(B1184),MONTH(B1184)+IF($C$709=$S$23,1,0),1),ÍNDICES!$A:$DE,$Z$709+1))),"",IF(B1184&gt;$D$19,1,VLOOKUP(DATE(YEAR(B1184),MONTH(B1184)+IF($C$709=$S$23,1,0),1),ÍNDICES!$A:$DE,$Z$709+1))))))</f>
        <v/>
      </c>
      <c r="D1184" s="155"/>
      <c r="E1184" s="88"/>
      <c r="F1184" s="88"/>
      <c r="G1184" s="88"/>
      <c r="H1184" s="118"/>
      <c r="I1184" s="182">
        <f t="shared" si="164"/>
        <v>0</v>
      </c>
      <c r="J1184" s="20">
        <f t="shared" ca="1" si="165"/>
        <v>0</v>
      </c>
      <c r="K1184" s="5">
        <f t="shared" ca="1" si="166"/>
        <v>0</v>
      </c>
      <c r="L1184" s="61">
        <f t="shared" ca="1" si="167"/>
        <v>0</v>
      </c>
      <c r="M1184" s="64">
        <f t="shared" si="168"/>
        <v>0</v>
      </c>
      <c r="N1184" s="151"/>
      <c r="O1184" s="5">
        <f t="shared" ca="1" si="169"/>
        <v>0</v>
      </c>
      <c r="P1184" s="446" t="e">
        <f t="shared" si="170"/>
        <v>#VALUE!</v>
      </c>
      <c r="Q1184" s="446" t="e">
        <f>IF(OR($B1184="",MIN(Q$38,$D$19)&lt;MAX($P$708*($B1184+IF($R$17="Distrato",$I$38-1,0)),IF(AND($L$711=0,$P$708=0),"",$L$711-1),IF($R$17="Distrato",$E1184,0))),0,YEARFRAC(MAX($P$708*($B1184+IF($R$17="Distrato",$I$38-1,0)),IF(AND($L$711=0,$P$708=0),"",$L$711-1),IF($R$17="Distrato",$E1184,0)),MIN(Q$38,$D$19),$P$20))-SUM($P1184:P1184)</f>
        <v>#VALUE!</v>
      </c>
      <c r="R1184" s="446" t="e">
        <f>IF(OR($B1184="",MIN(R$38,$D$19)&lt;MAX($P$708*($B1184+IF($R$17="Distrato",$I$38-1,0)),IF(AND($L$711=0,$P$708=0),"",$L$711-1),IF($R$17="Distrato",$E1184,0))),0,YEARFRAC(MAX($P$708*($B1184+IF($R$17="Distrato",$I$38-1,0)),IF(AND($L$711=0,$P$708=0),"",$L$711-1),IF($R$17="Distrato",$E1184,0)),MIN(R$38,$D$19),$P$20))-SUM($P1184:Q1184)</f>
        <v>#VALUE!</v>
      </c>
      <c r="S1184" s="446" t="e">
        <f>IF(OR($B1184="",MIN(S$38,$D$19)&lt;MAX($P$708*($B1184+IF($R$17="Distrato",$I$38-1,0)),IF(AND($L$711=0,$P$708=0),"",$L$711-1),IF($R$17="Distrato",$E1184,0))),0,YEARFRAC(MAX($P$708*($B1184+IF($R$17="Distrato",$I$38-1,0)),IF(AND($L$711=0,$P$708=0),"",$L$711-1),IF($R$17="Distrato",$E1184,0)),MIN(S$38,$D$19),$P$20))-SUM($P1184:R1184)</f>
        <v>#VALUE!</v>
      </c>
      <c r="T1184" s="446" t="e">
        <f>IF(OR($B1184="",MIN(T$38,$D$19)&lt;MAX($P$708*($B1184+IF($R$17="Distrato",$I$38-1,0)),IF(AND($L$711=0,$P$708=0),"",$L$711-1),IF($R$17="Distrato",$E1184,0))),0,YEARFRAC(MAX($P$708*($B1184+IF($R$17="Distrato",$I$38-1,0)),IF(AND($L$711=0,$P$708=0),"",$L$711-1),IF($R$17="Distrato",$E1184,0)),MIN(T$38,$D$19),$P$20))-SUM($P1184:S1184)</f>
        <v>#VALUE!</v>
      </c>
      <c r="U1184" s="446" t="e">
        <f>IF(OR($B1184="",MIN(U$38,$D$19)&lt;MAX($P$708*($B1184+IF($R$17="Distrato",$I$38-1,0)),IF(AND($L$711=0,$P$708=0),"",$L$711-1),IF($R$17="Distrato",$E1184,0))),0,YEARFRAC(MAX($P$708*($B1184+IF($R$17="Distrato",$I$38-1,0)),IF(AND($L$711=0,$P$708=0),"",$L$711-1),IF($R$17="Distrato",$E1184,0)),MIN(U$38,$D$19),$P$20))-SUM($P1184:T1184)</f>
        <v>#VALUE!</v>
      </c>
      <c r="V1184" s="446" t="e">
        <f>IF(OR($B1184="",MIN(V$38,$D$19)&lt;MAX($P$708*($B1184+IF($R$17="Distrato",$I$38-1,0)),IF(AND($L$711=0,$P$708=0),"",$L$711-1),IF($R$17="Distrato",$E1184,0))),0,YEARFRAC(MAX($P$708*($B1184+IF($R$17="Distrato",$I$38-1,0)),IF(AND($L$711=0,$P$708=0),"",$L$711-1),IF($R$17="Distrato",$E1184,0)),MIN(V$38,$D$19),$P$20))-SUM($P1184:U1184)</f>
        <v>#VALUE!</v>
      </c>
      <c r="W1184" s="446" t="e">
        <f>IF(OR($B1184="",MIN(W$38,$D$19)&lt;MAX($P$708*($B1184+IF($R$17="Distrato",$I$38-1,0)),IF(AND($L$711=0,$P$708=0),"",$L$711-1),IF($R$17="Distrato",$E1184,0))),0,YEARFRAC(MAX($P$708*($B1184+IF($R$17="Distrato",$I$38-1,0)),IF(AND($L$711=0,$P$708=0),"",$L$711-1),IF($R$17="Distrato",$E1184,0)),MIN(W$38,$D$19),$P$20))-SUM($P1184:V1184)</f>
        <v>#VALUE!</v>
      </c>
      <c r="X1184" s="446" t="e">
        <f>IF(OR($B1184="",MIN(X$38,$D$19)&lt;MAX($P$708*($B1184+IF($R$17="Distrato",$I$38-1,0)),IF(AND($L$711=0,$P$708=0),"",$L$711-1),IF($R$17="Distrato",$E1184,0))),0,YEARFRAC(MAX($P$708*($B1184+IF($R$17="Distrato",$I$38-1,0)),IF(AND($L$711=0,$P$708=0),"",$L$711-1),IF($R$17="Distrato",$E1184,0)),MIN(X$38,$D$19),$P$20))-SUM($P1184:W1184)</f>
        <v>#VALUE!</v>
      </c>
      <c r="Y1184" s="446" t="e">
        <f>IF(OR($B1184="",MIN(Y$38,$D$19)&lt;MAX($P$708*($B1184+IF($R$17="Distrato",$I$38-1,0)),IF(AND($L$711=0,$P$708=0),"",$L$711-1),IF($R$17="Distrato",$E1184,0))),0,YEARFRAC(MAX($P$708*($B1184+IF($R$17="Distrato",$I$38-1,0)),IF(AND($L$711=0,$P$708=0),"",$L$711-1),IF($R$17="Distrato",$E1184,0)),MIN(Y$38,$D$19),$P$20))-SUM($P1184:X1184)</f>
        <v>#VALUE!</v>
      </c>
      <c r="Z1184" s="446" t="e">
        <f>IF(OR($B1184="",MIN(Z$38,$D$19)&lt;MAX($P$708*($B1184+IF($R$17="Distrato",$I$38-1,0)),IF(AND($L$711=0,$P$708=0),"",$L$711-1),IF($R$17="Distrato",$E1184,0))),0,YEARFRAC(MAX($P$708*($B1184+IF($R$17="Distrato",$I$38-1,0)),IF(AND($L$711=0,$P$708=0),"",$L$711-1),IF($R$17="Distrato",$E1184,0)),MIN(Z$38,$D$19),$P$20))-SUM($P1184:Y1184)</f>
        <v>#VALUE!</v>
      </c>
      <c r="AA1184" s="446" t="e">
        <f>IF(OR($B1184="",MIN(AA$38,$D$19)&lt;MAX($P$708*($B1184+IF($R$17="Distrato",$I$38-1,0)),IF(AND($L$711=0,$P$708=0),"",$L$711-1),IF($R$17="Distrato",$E1184,0))),0,YEARFRAC(MAX($P$708*($B1184+IF($R$17="Distrato",$I$38-1,0)),IF(AND($L$711=0,$P$708=0),"",$L$711-1),IF($R$17="Distrato",$E1184,0)),MIN(AA$38,$D$19),$P$20))-SUM($P1184:Z1184)</f>
        <v>#VALUE!</v>
      </c>
      <c r="AB1184" s="446" t="e">
        <f>IF(OR($B1184="",MIN(AB$38,$D$19)&lt;MAX($P$708*($B1184+IF($R$17="Distrato",$I$38-1,0)),IF(AND($L$711=0,$P$708=0),"",$L$711-1),IF($R$17="Distrato",$E1184,0))),0,YEARFRAC(MAX($P$708*($B1184+IF($R$17="Distrato",$I$38-1,0)),IF(AND($L$711=0,$P$708=0),"",$L$711-1),IF($R$17="Distrato",$E1184,0)),MIN(AB$38,$D$19),$P$20))-SUM($P1184:AA1184)</f>
        <v>#VALUE!</v>
      </c>
      <c r="AC1184" s="446" t="e">
        <f>IF(OR($B1184="",MIN(AC$38,$D$19)&lt;MAX($P$708*($B1184+IF($R$17="Distrato",$I$38-1,0)),IF(AND($L$711=0,$P$708=0),"",$L$711-1),IF($R$17="Distrato",$E1184,0))),0,YEARFRAC(MAX($P$708*($B1184+IF($R$17="Distrato",$I$38-1,0)),IF(AND($L$711=0,$P$708=0),"",$L$711-1),IF($R$17="Distrato",$E1184,0)),MIN(AC$38,$D$19),$P$20))-SUM($P1184:AB1184)</f>
        <v>#VALUE!</v>
      </c>
      <c r="AD1184" s="446" t="e">
        <f>IF(OR($B1184="",MIN(AD$38,$D$19)&lt;MAX($P$708*($B1184+IF($R$17="Distrato",$I$38-1,0)),IF(AND($L$711=0,$P$708=0),"",$L$711-1),IF($R$17="Distrato",$E1184,0))),0,YEARFRAC(MAX($P$708*($B1184+IF($R$17="Distrato",$I$38-1,0)),IF(AND($L$711=0,$P$708=0),"",$L$711-1),IF($R$17="Distrato",$E1184,0)),MIN(AD$38,$D$19),$P$20))-SUM($P1184:AC1184)</f>
        <v>#VALUE!</v>
      </c>
      <c r="AE1184" s="446" t="e">
        <f>IF(OR($B1184="",MIN(AE$38,$D$19)&lt;MAX($P$708*($B1184+IF($R$17="Distrato",$I$38-1,0)),IF(AND($L$711=0,$P$708=0),"",$L$711-1),IF($R$17="Distrato",$E1184,0))),0,YEARFRAC(MAX($P$708*($B1184+IF($R$17="Distrato",$I$38-1,0)),IF(AND($L$711=0,$P$708=0),"",$L$711-1),IF($R$17="Distrato",$E1184,0)),MIN(AE$38,$D$19),$P$20))-SUM($P1184:AD1184)</f>
        <v>#VALUE!</v>
      </c>
      <c r="AF1184" s="446" t="e">
        <f>IF(OR($B1184="",MIN(AF$38,$D$19)&lt;MAX($P$708*($B1184+IF($R$17="Distrato",$I$38-1,0)),IF(AND($L$711=0,$P$708=0),"",$L$711-1),IF($R$17="Distrato",$E1184,0))),0,YEARFRAC(MAX($P$708*($B1184+IF($R$17="Distrato",$I$38-1,0)),IF(AND($L$711=0,$P$708=0),"",$L$711-1),IF($R$17="Distrato",$E1184,0)),MIN(AF$38,$D$19),$P$20))-SUM($P1184:AE1184)</f>
        <v>#VALUE!</v>
      </c>
      <c r="AG1184" s="446" t="e">
        <f>IF(OR($B1184="",MIN(AG$38,$D$19)&lt;MAX($P$708*($B1184+IF($R$17="Distrato",$I$38-1,0)),IF(AND($L$711=0,$P$708=0),"",$L$711-1),IF($R$17="Distrato",$E1184,0))),0,YEARFRAC(MAX($P$708*($B1184+IF($R$17="Distrato",$I$38-1,0)),IF(AND($L$711=0,$P$708=0),"",$L$711-1),IF($R$17="Distrato",$E1184,0)),MIN(AG$38,$D$19),$P$20))-SUM($P1184:AF1184)</f>
        <v>#VALUE!</v>
      </c>
      <c r="AH1184" s="446" t="e">
        <f>IF(OR($B1184="",MIN(AH$38,$D$19)&lt;MAX($P$708*($B1184+IF($R$17="Distrato",$I$38-1,0)),IF(AND($L$711=0,$P$708=0),"",$L$711-1),IF($R$17="Distrato",$E1184,0))),0,YEARFRAC(MAX($P$708*($B1184+IF($R$17="Distrato",$I$38-1,0)),IF(AND($L$711=0,$P$708=0),"",$L$711-1),IF($R$17="Distrato",$E1184,0)),MIN(AH$38,$D$19),$P$20))-SUM($P1184:AG1184)</f>
        <v>#VALUE!</v>
      </c>
      <c r="AI1184" s="446" t="e">
        <f>IF(OR($B1184="",MIN(AI$38,$D$19)&lt;MAX($P$708*($B1184+IF($R$17="Distrato",$I$38-1,0)),IF(AND($L$711=0,$P$708=0),"",$L$711-1),IF($R$17="Distrato",$E1184,0))),0,YEARFRAC(MAX($P$708*($B1184+IF($R$17="Distrato",$I$38-1,0)),IF(AND($L$711=0,$P$708=0),"",$L$711-1),IF($R$17="Distrato",$E1184,0)),MIN(AI$38,$D$19),$P$20))-SUM($P1184:AH1184)</f>
        <v>#VALUE!</v>
      </c>
      <c r="AJ1184" s="446" t="e">
        <f>IF(OR($B1184="",MIN(AJ$38,$D$19)&lt;MAX($P$708*($B1184+IF($R$17="Distrato",$I$38-1,0)),IF(AND($L$711=0,$P$708=0),"",$L$711-1),IF($R$17="Distrato",$E1184,0))),0,YEARFRAC(MAX($P$708*($B1184+IF($R$17="Distrato",$I$38-1,0)),IF(AND($L$711=0,$P$708=0),"",$L$711-1),IF($R$17="Distrato",$E1184,0)),MIN(AJ$38,$D$19),$P$20))-SUM($P1184:AI1184)</f>
        <v>#VALUE!</v>
      </c>
      <c r="AK1184" s="446" t="e">
        <f>IF(OR($B1184="",MIN(AK$38,$D$19)&lt;MAX($P$708*($B1184+IF($R$17="Distrato",$I$38-1,0)),IF(AND($L$711=0,$P$708=0),"",$L$711-1),IF($R$17="Distrato",$E1184,0))),0,YEARFRAC(MAX($P$708*($B1184+IF($R$17="Distrato",$I$38-1,0)),IF(AND($L$711=0,$P$708=0),"",$L$711-1),IF($R$17="Distrato",$E1184,0)),MIN(AK$38,$D$19),$P$20))-SUM($P1184:AJ1184)</f>
        <v>#VALUE!</v>
      </c>
      <c r="AL1184" s="446" t="e">
        <f>IF(OR($B1184="",MIN(AL$38,$D$19)&lt;MAX($P$708*($B1184+IF($R$17="Distrato",$I$38-1,0)),IF(AND($L$711=0,$P$708=0),"",$L$711-1),IF($R$17="Distrato",$E1184,0))),0,YEARFRAC(MAX($P$708*($B1184+IF($R$17="Distrato",$I$38-1,0)),IF(AND($L$711=0,$P$708=0),"",$L$711-1),IF($R$17="Distrato",$E1184,0)),MIN(AL$38,$D$19),$P$20))-SUM($P1184:AK1184)</f>
        <v>#VALUE!</v>
      </c>
      <c r="AM1184" s="446" t="e">
        <f>IF(OR($B1184="",MIN(AM$38,$D$19)&lt;MAX($P$708*($B1184+IF($R$17="Distrato",$I$38-1,0)),IF(AND($L$711=0,$P$708=0),"",$L$711-1),IF($R$17="Distrato",$E1184,0))),0,YEARFRAC(MAX($P$708*($B1184+IF($R$17="Distrato",$I$38-1,0)),IF(AND($L$711=0,$P$708=0),"",$L$711-1),IF($R$17="Distrato",$E1184,0)),MIN(AM$38,$D$19),$P$20))-SUM($P1184:AL1184)</f>
        <v>#VALUE!</v>
      </c>
      <c r="AN1184" s="446" t="e">
        <f>IF(OR($B1184="",MIN(AN$38,$D$19)&lt;MAX($P$708*($B1184+IF($R$17="Distrato",$I$38-1,0)),IF(AND($L$711=0,$P$708=0),"",$L$711-1),IF($R$17="Distrato",$E1184,0))),0,YEARFRAC(MAX($P$708*($B1184+IF($R$17="Distrato",$I$38-1,0)),IF(AND($L$711=0,$P$708=0),"",$L$711-1),IF($R$17="Distrato",$E1184,0)),MIN(AN$38,$D$19),$P$20))-SUM($P1184:AM1184)</f>
        <v>#VALUE!</v>
      </c>
      <c r="AO1184" s="446" t="e">
        <f>IF(OR($B1184="",MIN(AO$38,$D$19)&lt;MAX($P$708*($B1184+IF($R$17="Distrato",$I$38-1,0)),IF(AND($L$711=0,$P$708=0),"",$L$711-1),IF($R$17="Distrato",$E1184,0))),0,YEARFRAC(MAX($P$708*($B1184+IF($R$17="Distrato",$I$38-1,0)),IF(AND($L$711=0,$P$708=0),"",$L$711-1),IF($R$17="Distrato",$E1184,0)),MIN(AO$38,$D$19),$P$20))-SUM($P1184:AN1184)</f>
        <v>#VALUE!</v>
      </c>
      <c r="AP1184" s="446" t="e">
        <f>IF(OR($B1184="",MIN(AP$38,$D$19)&lt;MAX($P$708*($B1184+IF($R$17="Distrato",$I$38-1,0)),IF(AND($L$711=0,$P$708=0),"",$L$711-1),IF($R$17="Distrato",$E1184,0))),0,YEARFRAC(MAX($P$708*($B1184+IF($R$17="Distrato",$I$38-1,0)),IF(AND($L$711=0,$P$708=0),"",$L$711-1),IF($R$17="Distrato",$E1184,0)),MIN(AP$38,$D$19),$P$20))-SUM($P1184:AO1184)</f>
        <v>#VALUE!</v>
      </c>
      <c r="AQ1184" s="446" t="e">
        <f>IF(OR($B1184="",MIN(AQ$38,$D$19)&lt;MAX($P$708*($B1184+IF($R$17="Distrato",$I$38-1,0)),IF(AND($L$711=0,$P$708=0),"",$L$711-1),IF($R$17="Distrato",$E1184,0))),0,YEARFRAC(MAX($P$708*($B1184+IF($R$17="Distrato",$I$38-1,0)),IF(AND($L$711=0,$P$708=0),"",$L$711-1),IF($R$17="Distrato",$E1184,0)),MIN(AQ$38,$D$19),$P$20))-SUM($P1184:AP1184)</f>
        <v>#VALUE!</v>
      </c>
      <c r="AR1184" s="446" t="e">
        <f>IF(OR($B1184="",MIN(AR$38,$D$19)&lt;MAX($P$708*($B1184+IF($R$17="Distrato",$I$38-1,0)),IF(AND($L$711=0,$P$708=0),"",$L$711-1),IF($R$17="Distrato",$E1184,0))),0,YEARFRAC(MAX($P$708*($B1184+IF($R$17="Distrato",$I$38-1,0)),IF(AND($L$711=0,$P$708=0),"",$L$711-1),IF($R$17="Distrato",$E1184,0)),MIN(AR$38,$D$19),$P$20))-SUM($P1184:AQ1184)</f>
        <v>#VALUE!</v>
      </c>
      <c r="AS1184" s="446" t="e">
        <f>IF(OR($B1184="",MIN(AS$38,$D$19)&lt;MAX($P$708*($B1184+IF($R$17="Distrato",$I$38-1,0)),IF(AND($L$711=0,$P$708=0),"",$L$711-1),IF($R$17="Distrato",$E1184,0))),0,YEARFRAC(MAX($P$708*($B1184+IF($R$17="Distrato",$I$38-1,0)),IF(AND($L$711=0,$P$708=0),"",$L$711-1),IF($R$17="Distrato",$E1184,0)),MIN(AS$38,$D$19),$P$20))-SUM($P1184:AR1184)</f>
        <v>#VALUE!</v>
      </c>
      <c r="AT1184" s="446" t="e">
        <f>IF(OR($B1184="",MIN(AT$38,$D$19)&lt;MAX($P$708*($B1184+IF($R$17="Distrato",$I$38-1,0)),IF(AND($L$711=0,$P$708=0),"",$L$711-1),IF($R$17="Distrato",$E1184,0))),0,YEARFRAC(MAX($P$708*($B1184+IF($R$17="Distrato",$I$38-1,0)),IF(AND($L$711=0,$P$708=0),"",$L$711-1),IF($R$17="Distrato",$E1184,0)),MIN(AT$38,$D$19),$P$20))-SUM($P1184:AS1184)</f>
        <v>#VALUE!</v>
      </c>
      <c r="AU1184" s="446" t="e">
        <f>IF(OR($B1184="",MIN(AU$38,$D$19)&lt;MAX($P$708*($B1184+IF($R$17="Distrato",$I$38-1,0)),IF(AND($L$711=0,$P$708=0),"",$L$711-1),IF($R$17="Distrato",$E1184,0))),0,YEARFRAC(MAX($P$708*($B1184+IF($R$17="Distrato",$I$38-1,0)),IF(AND($L$711=0,$P$708=0),"",$L$711-1),IF($R$17="Distrato",$E1184,0)),MIN(AU$38,$D$19),$P$20))-SUM($P1184:AT1184)</f>
        <v>#VALUE!</v>
      </c>
      <c r="AV1184" s="446" t="e">
        <f>IF(OR($B1184="",MIN(AV$38,$D$19)&lt;MAX($P$708*($B1184+IF($R$17="Distrato",$I$38-1,0)),IF(AND($L$711=0,$P$708=0),"",$L$711-1),IF($R$17="Distrato",$E1184,0))),0,YEARFRAC(MAX($P$708*($B1184+IF($R$17="Distrato",$I$38-1,0)),IF(AND($L$711=0,$P$708=0),"",$L$711-1),IF($R$17="Distrato",$E1184,0)),MIN(AV$38,$D$19),$P$20))-SUM($P1184:AU1184)</f>
        <v>#VALUE!</v>
      </c>
      <c r="AW1184" s="446" t="e">
        <f>IF(OR($B1184="",MIN(AW$38,$D$19)&lt;MAX($P$708*($B1184+IF($R$17="Distrato",$I$38-1,0)),IF(AND($L$711=0,$P$708=0),"",$L$711-1),IF($R$17="Distrato",$E1184,0))),0,YEARFRAC(MAX($P$708*($B1184+IF($R$17="Distrato",$I$38-1,0)),IF(AND($L$711=0,$P$708=0),"",$L$711-1),IF($R$17="Distrato",$E1184,0)),MIN(AW$38,$D$19),$P$20))-SUM($P1184:AV1184)</f>
        <v>#VALUE!</v>
      </c>
      <c r="AX1184" s="446" t="e">
        <f>IF(OR($B1184="",MIN(AX$38,$D$19)&lt;MAX($P$708*($B1184+IF($R$17="Distrato",$I$38-1,0)),IF(AND($L$711=0,$P$708=0),"",$L$711-1),IF($R$17="Distrato",$E1184,0))),0,YEARFRAC(MAX($P$708*($B1184+IF($R$17="Distrato",$I$38-1,0)),IF(AND($L$711=0,$P$708=0),"",$L$711-1),IF($R$17="Distrato",$E1184,0)),MIN(AX$38,$D$19),$P$20))-SUM($P1184:AW1184)</f>
        <v>#VALUE!</v>
      </c>
      <c r="AY1184" s="446" t="e">
        <f>IF(OR($B1184="",MIN(AY$38,$D$19)&lt;MAX($P$708*($B1184+IF($R$17="Distrato",$I$38-1,0)),IF(AND($L$711=0,$P$708=0),"",$L$711-1),IF($R$17="Distrato",$E1184,0))),0,YEARFRAC(MAX($P$708*($B1184+IF($R$17="Distrato",$I$38-1,0)),IF(AND($L$711=0,$P$708=0),"",$L$711-1),IF($R$17="Distrato",$E1184,0)),MIN(AY$38,$D$19),$P$20))-SUM($P1184:AX1184)</f>
        <v>#VALUE!</v>
      </c>
      <c r="AZ1184" s="446" t="e">
        <f>IF(OR($B1184="",MIN(AZ$38,$D$19)&lt;MAX($P$708*($B1184+IF($R$17="Distrato",$I$38-1,0)),IF(AND($L$711=0,$P$708=0),"",$L$711-1),IF($R$17="Distrato",$E1184,0))),0,YEARFRAC(MAX($P$708*($B1184+IF($R$17="Distrato",$I$38-1,0)),IF(AND($L$711=0,$P$708=0),"",$L$711-1),IF($R$17="Distrato",$E1184,0)),MIN(AZ$38,$D$19),$P$20))-SUM($P1184:AY1184)</f>
        <v>#VALUE!</v>
      </c>
      <c r="BA1184" s="446" t="e">
        <f>IF(OR($B1184="",MIN(BA$38,$D$19)&lt;MAX($P$708*($B1184+IF($R$17="Distrato",$I$38-1,0)),IF(AND($L$711=0,$P$708=0),"",$L$711-1),IF($R$17="Distrato",$E1184,0))),0,YEARFRAC(MAX($P$708*($B1184+IF($R$17="Distrato",$I$38-1,0)),IF(AND($L$711=0,$P$708=0),"",$L$711-1),IF($R$17="Distrato",$E1184,0)),MIN(BA$38,$D$19),$P$20))-SUM($P1184:AZ1184)</f>
        <v>#VALUE!</v>
      </c>
      <c r="BB1184" s="447"/>
    </row>
    <row r="1185" spans="1:54" s="446" customFormat="1" ht="11.25" hidden="1" customHeight="1" x14ac:dyDescent="0.2">
      <c r="A1185" s="235"/>
      <c r="B1185" s="236"/>
      <c r="C1185" s="29" t="str">
        <f>IF(B1185="","",IF($L$709=$BL$25,VLOOKUP(DATE(YEAR($D$19),MONTH($D$19)-1,1),ÍNDICES!$A:$DE,HLOOKUP($BL$25,ÍNDICES!$B$3:$T$4,2)+11)-VLOOKUP(B1185,ÍNDICES!$A:$DE,HLOOKUP($BL$25,ÍNDICES!$B$3:$T$4,2)+11)+1%,IF(C$712=$W$26,$J$35,IF(ISERROR(IF(B1185&gt;$D$19,1,VLOOKUP(DATE(YEAR(B1185),MONTH(B1185)+IF($C$709=$S$23,1,0),1),ÍNDICES!$A:$DE,$Z$709+1))),"",IF(B1185&gt;$D$19,1,VLOOKUP(DATE(YEAR(B1185),MONTH(B1185)+IF($C$709=$S$23,1,0),1),ÍNDICES!$A:$DE,$Z$709+1))))))</f>
        <v/>
      </c>
      <c r="D1185" s="155"/>
      <c r="E1185" s="88"/>
      <c r="F1185" s="88"/>
      <c r="G1185" s="88"/>
      <c r="H1185" s="118"/>
      <c r="I1185" s="182">
        <f t="shared" si="164"/>
        <v>0</v>
      </c>
      <c r="J1185" s="20">
        <f t="shared" ca="1" si="165"/>
        <v>0</v>
      </c>
      <c r="K1185" s="5">
        <f t="shared" ca="1" si="166"/>
        <v>0</v>
      </c>
      <c r="L1185" s="61">
        <f t="shared" ca="1" si="167"/>
        <v>0</v>
      </c>
      <c r="M1185" s="64">
        <f t="shared" si="168"/>
        <v>0</v>
      </c>
      <c r="N1185" s="151"/>
      <c r="O1185" s="5">
        <f t="shared" ca="1" si="169"/>
        <v>0</v>
      </c>
      <c r="P1185" s="446" t="e">
        <f t="shared" si="170"/>
        <v>#VALUE!</v>
      </c>
      <c r="Q1185" s="446" t="e">
        <f>IF(OR($B1185="",MIN(Q$38,$D$19)&lt;MAX($P$708*($B1185+IF($R$17="Distrato",$I$38-1,0)),IF(AND($L$711=0,$P$708=0),"",$L$711-1),IF($R$17="Distrato",$E1185,0))),0,YEARFRAC(MAX($P$708*($B1185+IF($R$17="Distrato",$I$38-1,0)),IF(AND($L$711=0,$P$708=0),"",$L$711-1),IF($R$17="Distrato",$E1185,0)),MIN(Q$38,$D$19),$P$20))-SUM($P1185:P1185)</f>
        <v>#VALUE!</v>
      </c>
      <c r="R1185" s="446" t="e">
        <f>IF(OR($B1185="",MIN(R$38,$D$19)&lt;MAX($P$708*($B1185+IF($R$17="Distrato",$I$38-1,0)),IF(AND($L$711=0,$P$708=0),"",$L$711-1),IF($R$17="Distrato",$E1185,0))),0,YEARFRAC(MAX($P$708*($B1185+IF($R$17="Distrato",$I$38-1,0)),IF(AND($L$711=0,$P$708=0),"",$L$711-1),IF($R$17="Distrato",$E1185,0)),MIN(R$38,$D$19),$P$20))-SUM($P1185:Q1185)</f>
        <v>#VALUE!</v>
      </c>
      <c r="S1185" s="446" t="e">
        <f>IF(OR($B1185="",MIN(S$38,$D$19)&lt;MAX($P$708*($B1185+IF($R$17="Distrato",$I$38-1,0)),IF(AND($L$711=0,$P$708=0),"",$L$711-1),IF($R$17="Distrato",$E1185,0))),0,YEARFRAC(MAX($P$708*($B1185+IF($R$17="Distrato",$I$38-1,0)),IF(AND($L$711=0,$P$708=0),"",$L$711-1),IF($R$17="Distrato",$E1185,0)),MIN(S$38,$D$19),$P$20))-SUM($P1185:R1185)</f>
        <v>#VALUE!</v>
      </c>
      <c r="T1185" s="446" t="e">
        <f>IF(OR($B1185="",MIN(T$38,$D$19)&lt;MAX($P$708*($B1185+IF($R$17="Distrato",$I$38-1,0)),IF(AND($L$711=0,$P$708=0),"",$L$711-1),IF($R$17="Distrato",$E1185,0))),0,YEARFRAC(MAX($P$708*($B1185+IF($R$17="Distrato",$I$38-1,0)),IF(AND($L$711=0,$P$708=0),"",$L$711-1),IF($R$17="Distrato",$E1185,0)),MIN(T$38,$D$19),$P$20))-SUM($P1185:S1185)</f>
        <v>#VALUE!</v>
      </c>
      <c r="U1185" s="446" t="e">
        <f>IF(OR($B1185="",MIN(U$38,$D$19)&lt;MAX($P$708*($B1185+IF($R$17="Distrato",$I$38-1,0)),IF(AND($L$711=0,$P$708=0),"",$L$711-1),IF($R$17="Distrato",$E1185,0))),0,YEARFRAC(MAX($P$708*($B1185+IF($R$17="Distrato",$I$38-1,0)),IF(AND($L$711=0,$P$708=0),"",$L$711-1),IF($R$17="Distrato",$E1185,0)),MIN(U$38,$D$19),$P$20))-SUM($P1185:T1185)</f>
        <v>#VALUE!</v>
      </c>
      <c r="V1185" s="446" t="e">
        <f>IF(OR($B1185="",MIN(V$38,$D$19)&lt;MAX($P$708*($B1185+IF($R$17="Distrato",$I$38-1,0)),IF(AND($L$711=0,$P$708=0),"",$L$711-1),IF($R$17="Distrato",$E1185,0))),0,YEARFRAC(MAX($P$708*($B1185+IF($R$17="Distrato",$I$38-1,0)),IF(AND($L$711=0,$P$708=0),"",$L$711-1),IF($R$17="Distrato",$E1185,0)),MIN(V$38,$D$19),$P$20))-SUM($P1185:U1185)</f>
        <v>#VALUE!</v>
      </c>
      <c r="W1185" s="446" t="e">
        <f>IF(OR($B1185="",MIN(W$38,$D$19)&lt;MAX($P$708*($B1185+IF($R$17="Distrato",$I$38-1,0)),IF(AND($L$711=0,$P$708=0),"",$L$711-1),IF($R$17="Distrato",$E1185,0))),0,YEARFRAC(MAX($P$708*($B1185+IF($R$17="Distrato",$I$38-1,0)),IF(AND($L$711=0,$P$708=0),"",$L$711-1),IF($R$17="Distrato",$E1185,0)),MIN(W$38,$D$19),$P$20))-SUM($P1185:V1185)</f>
        <v>#VALUE!</v>
      </c>
      <c r="X1185" s="446" t="e">
        <f>IF(OR($B1185="",MIN(X$38,$D$19)&lt;MAX($P$708*($B1185+IF($R$17="Distrato",$I$38-1,0)),IF(AND($L$711=0,$P$708=0),"",$L$711-1),IF($R$17="Distrato",$E1185,0))),0,YEARFRAC(MAX($P$708*($B1185+IF($R$17="Distrato",$I$38-1,0)),IF(AND($L$711=0,$P$708=0),"",$L$711-1),IF($R$17="Distrato",$E1185,0)),MIN(X$38,$D$19),$P$20))-SUM($P1185:W1185)</f>
        <v>#VALUE!</v>
      </c>
      <c r="Y1185" s="446" t="e">
        <f>IF(OR($B1185="",MIN(Y$38,$D$19)&lt;MAX($P$708*($B1185+IF($R$17="Distrato",$I$38-1,0)),IF(AND($L$711=0,$P$708=0),"",$L$711-1),IF($R$17="Distrato",$E1185,0))),0,YEARFRAC(MAX($P$708*($B1185+IF($R$17="Distrato",$I$38-1,0)),IF(AND($L$711=0,$P$708=0),"",$L$711-1),IF($R$17="Distrato",$E1185,0)),MIN(Y$38,$D$19),$P$20))-SUM($P1185:X1185)</f>
        <v>#VALUE!</v>
      </c>
      <c r="Z1185" s="446" t="e">
        <f>IF(OR($B1185="",MIN(Z$38,$D$19)&lt;MAX($P$708*($B1185+IF($R$17="Distrato",$I$38-1,0)),IF(AND($L$711=0,$P$708=0),"",$L$711-1),IF($R$17="Distrato",$E1185,0))),0,YEARFRAC(MAX($P$708*($B1185+IF($R$17="Distrato",$I$38-1,0)),IF(AND($L$711=0,$P$708=0),"",$L$711-1),IF($R$17="Distrato",$E1185,0)),MIN(Z$38,$D$19),$P$20))-SUM($P1185:Y1185)</f>
        <v>#VALUE!</v>
      </c>
      <c r="AA1185" s="446" t="e">
        <f>IF(OR($B1185="",MIN(AA$38,$D$19)&lt;MAX($P$708*($B1185+IF($R$17="Distrato",$I$38-1,0)),IF(AND($L$711=0,$P$708=0),"",$L$711-1),IF($R$17="Distrato",$E1185,0))),0,YEARFRAC(MAX($P$708*($B1185+IF($R$17="Distrato",$I$38-1,0)),IF(AND($L$711=0,$P$708=0),"",$L$711-1),IF($R$17="Distrato",$E1185,0)),MIN(AA$38,$D$19),$P$20))-SUM($P1185:Z1185)</f>
        <v>#VALUE!</v>
      </c>
      <c r="AB1185" s="446" t="e">
        <f>IF(OR($B1185="",MIN(AB$38,$D$19)&lt;MAX($P$708*($B1185+IF($R$17="Distrato",$I$38-1,0)),IF(AND($L$711=0,$P$708=0),"",$L$711-1),IF($R$17="Distrato",$E1185,0))),0,YEARFRAC(MAX($P$708*($B1185+IF($R$17="Distrato",$I$38-1,0)),IF(AND($L$711=0,$P$708=0),"",$L$711-1),IF($R$17="Distrato",$E1185,0)),MIN(AB$38,$D$19),$P$20))-SUM($P1185:AA1185)</f>
        <v>#VALUE!</v>
      </c>
      <c r="AC1185" s="446" t="e">
        <f>IF(OR($B1185="",MIN(AC$38,$D$19)&lt;MAX($P$708*($B1185+IF($R$17="Distrato",$I$38-1,0)),IF(AND($L$711=0,$P$708=0),"",$L$711-1),IF($R$17="Distrato",$E1185,0))),0,YEARFRAC(MAX($P$708*($B1185+IF($R$17="Distrato",$I$38-1,0)),IF(AND($L$711=0,$P$708=0),"",$L$711-1),IF($R$17="Distrato",$E1185,0)),MIN(AC$38,$D$19),$P$20))-SUM($P1185:AB1185)</f>
        <v>#VALUE!</v>
      </c>
      <c r="AD1185" s="446" t="e">
        <f>IF(OR($B1185="",MIN(AD$38,$D$19)&lt;MAX($P$708*($B1185+IF($R$17="Distrato",$I$38-1,0)),IF(AND($L$711=0,$P$708=0),"",$L$711-1),IF($R$17="Distrato",$E1185,0))),0,YEARFRAC(MAX($P$708*($B1185+IF($R$17="Distrato",$I$38-1,0)),IF(AND($L$711=0,$P$708=0),"",$L$711-1),IF($R$17="Distrato",$E1185,0)),MIN(AD$38,$D$19),$P$20))-SUM($P1185:AC1185)</f>
        <v>#VALUE!</v>
      </c>
      <c r="AE1185" s="446" t="e">
        <f>IF(OR($B1185="",MIN(AE$38,$D$19)&lt;MAX($P$708*($B1185+IF($R$17="Distrato",$I$38-1,0)),IF(AND($L$711=0,$P$708=0),"",$L$711-1),IF($R$17="Distrato",$E1185,0))),0,YEARFRAC(MAX($P$708*($B1185+IF($R$17="Distrato",$I$38-1,0)),IF(AND($L$711=0,$P$708=0),"",$L$711-1),IF($R$17="Distrato",$E1185,0)),MIN(AE$38,$D$19),$P$20))-SUM($P1185:AD1185)</f>
        <v>#VALUE!</v>
      </c>
      <c r="AF1185" s="446" t="e">
        <f>IF(OR($B1185="",MIN(AF$38,$D$19)&lt;MAX($P$708*($B1185+IF($R$17="Distrato",$I$38-1,0)),IF(AND($L$711=0,$P$708=0),"",$L$711-1),IF($R$17="Distrato",$E1185,0))),0,YEARFRAC(MAX($P$708*($B1185+IF($R$17="Distrato",$I$38-1,0)),IF(AND($L$711=0,$P$708=0),"",$L$711-1),IF($R$17="Distrato",$E1185,0)),MIN(AF$38,$D$19),$P$20))-SUM($P1185:AE1185)</f>
        <v>#VALUE!</v>
      </c>
      <c r="AG1185" s="446" t="e">
        <f>IF(OR($B1185="",MIN(AG$38,$D$19)&lt;MAX($P$708*($B1185+IF($R$17="Distrato",$I$38-1,0)),IF(AND($L$711=0,$P$708=0),"",$L$711-1),IF($R$17="Distrato",$E1185,0))),0,YEARFRAC(MAX($P$708*($B1185+IF($R$17="Distrato",$I$38-1,0)),IF(AND($L$711=0,$P$708=0),"",$L$711-1),IF($R$17="Distrato",$E1185,0)),MIN(AG$38,$D$19),$P$20))-SUM($P1185:AF1185)</f>
        <v>#VALUE!</v>
      </c>
      <c r="AH1185" s="446" t="e">
        <f>IF(OR($B1185="",MIN(AH$38,$D$19)&lt;MAX($P$708*($B1185+IF($R$17="Distrato",$I$38-1,0)),IF(AND($L$711=0,$P$708=0),"",$L$711-1),IF($R$17="Distrato",$E1185,0))),0,YEARFRAC(MAX($P$708*($B1185+IF($R$17="Distrato",$I$38-1,0)),IF(AND($L$711=0,$P$708=0),"",$L$711-1),IF($R$17="Distrato",$E1185,0)),MIN(AH$38,$D$19),$P$20))-SUM($P1185:AG1185)</f>
        <v>#VALUE!</v>
      </c>
      <c r="AI1185" s="446" t="e">
        <f>IF(OR($B1185="",MIN(AI$38,$D$19)&lt;MAX($P$708*($B1185+IF($R$17="Distrato",$I$38-1,0)),IF(AND($L$711=0,$P$708=0),"",$L$711-1),IF($R$17="Distrato",$E1185,0))),0,YEARFRAC(MAX($P$708*($B1185+IF($R$17="Distrato",$I$38-1,0)),IF(AND($L$711=0,$P$708=0),"",$L$711-1),IF($R$17="Distrato",$E1185,0)),MIN(AI$38,$D$19),$P$20))-SUM($P1185:AH1185)</f>
        <v>#VALUE!</v>
      </c>
      <c r="AJ1185" s="446" t="e">
        <f>IF(OR($B1185="",MIN(AJ$38,$D$19)&lt;MAX($P$708*($B1185+IF($R$17="Distrato",$I$38-1,0)),IF(AND($L$711=0,$P$708=0),"",$L$711-1),IF($R$17="Distrato",$E1185,0))),0,YEARFRAC(MAX($P$708*($B1185+IF($R$17="Distrato",$I$38-1,0)),IF(AND($L$711=0,$P$708=0),"",$L$711-1),IF($R$17="Distrato",$E1185,0)),MIN(AJ$38,$D$19),$P$20))-SUM($P1185:AI1185)</f>
        <v>#VALUE!</v>
      </c>
      <c r="AK1185" s="446" t="e">
        <f>IF(OR($B1185="",MIN(AK$38,$D$19)&lt;MAX($P$708*($B1185+IF($R$17="Distrato",$I$38-1,0)),IF(AND($L$711=0,$P$708=0),"",$L$711-1),IF($R$17="Distrato",$E1185,0))),0,YEARFRAC(MAX($P$708*($B1185+IF($R$17="Distrato",$I$38-1,0)),IF(AND($L$711=0,$P$708=0),"",$L$711-1),IF($R$17="Distrato",$E1185,0)),MIN(AK$38,$D$19),$P$20))-SUM($P1185:AJ1185)</f>
        <v>#VALUE!</v>
      </c>
      <c r="AL1185" s="446" t="e">
        <f>IF(OR($B1185="",MIN(AL$38,$D$19)&lt;MAX($P$708*($B1185+IF($R$17="Distrato",$I$38-1,0)),IF(AND($L$711=0,$P$708=0),"",$L$711-1),IF($R$17="Distrato",$E1185,0))),0,YEARFRAC(MAX($P$708*($B1185+IF($R$17="Distrato",$I$38-1,0)),IF(AND($L$711=0,$P$708=0),"",$L$711-1),IF($R$17="Distrato",$E1185,0)),MIN(AL$38,$D$19),$P$20))-SUM($P1185:AK1185)</f>
        <v>#VALUE!</v>
      </c>
      <c r="AM1185" s="446" t="e">
        <f>IF(OR($B1185="",MIN(AM$38,$D$19)&lt;MAX($P$708*($B1185+IF($R$17="Distrato",$I$38-1,0)),IF(AND($L$711=0,$P$708=0),"",$L$711-1),IF($R$17="Distrato",$E1185,0))),0,YEARFRAC(MAX($P$708*($B1185+IF($R$17="Distrato",$I$38-1,0)),IF(AND($L$711=0,$P$708=0),"",$L$711-1),IF($R$17="Distrato",$E1185,0)),MIN(AM$38,$D$19),$P$20))-SUM($P1185:AL1185)</f>
        <v>#VALUE!</v>
      </c>
      <c r="AN1185" s="446" t="e">
        <f>IF(OR($B1185="",MIN(AN$38,$D$19)&lt;MAX($P$708*($B1185+IF($R$17="Distrato",$I$38-1,0)),IF(AND($L$711=0,$P$708=0),"",$L$711-1),IF($R$17="Distrato",$E1185,0))),0,YEARFRAC(MAX($P$708*($B1185+IF($R$17="Distrato",$I$38-1,0)),IF(AND($L$711=0,$P$708=0),"",$L$711-1),IF($R$17="Distrato",$E1185,0)),MIN(AN$38,$D$19),$P$20))-SUM($P1185:AM1185)</f>
        <v>#VALUE!</v>
      </c>
      <c r="AO1185" s="446" t="e">
        <f>IF(OR($B1185="",MIN(AO$38,$D$19)&lt;MAX($P$708*($B1185+IF($R$17="Distrato",$I$38-1,0)),IF(AND($L$711=0,$P$708=0),"",$L$711-1),IF($R$17="Distrato",$E1185,0))),0,YEARFRAC(MAX($P$708*($B1185+IF($R$17="Distrato",$I$38-1,0)),IF(AND($L$711=0,$P$708=0),"",$L$711-1),IF($R$17="Distrato",$E1185,0)),MIN(AO$38,$D$19),$P$20))-SUM($P1185:AN1185)</f>
        <v>#VALUE!</v>
      </c>
      <c r="AP1185" s="446" t="e">
        <f>IF(OR($B1185="",MIN(AP$38,$D$19)&lt;MAX($P$708*($B1185+IF($R$17="Distrato",$I$38-1,0)),IF(AND($L$711=0,$P$708=0),"",$L$711-1),IF($R$17="Distrato",$E1185,0))),0,YEARFRAC(MAX($P$708*($B1185+IF($R$17="Distrato",$I$38-1,0)),IF(AND($L$711=0,$P$708=0),"",$L$711-1),IF($R$17="Distrato",$E1185,0)),MIN(AP$38,$D$19),$P$20))-SUM($P1185:AO1185)</f>
        <v>#VALUE!</v>
      </c>
      <c r="AQ1185" s="446" t="e">
        <f>IF(OR($B1185="",MIN(AQ$38,$D$19)&lt;MAX($P$708*($B1185+IF($R$17="Distrato",$I$38-1,0)),IF(AND($L$711=0,$P$708=0),"",$L$711-1),IF($R$17="Distrato",$E1185,0))),0,YEARFRAC(MAX($P$708*($B1185+IF($R$17="Distrato",$I$38-1,0)),IF(AND($L$711=0,$P$708=0),"",$L$711-1),IF($R$17="Distrato",$E1185,0)),MIN(AQ$38,$D$19),$P$20))-SUM($P1185:AP1185)</f>
        <v>#VALUE!</v>
      </c>
      <c r="AR1185" s="446" t="e">
        <f>IF(OR($B1185="",MIN(AR$38,$D$19)&lt;MAX($P$708*($B1185+IF($R$17="Distrato",$I$38-1,0)),IF(AND($L$711=0,$P$708=0),"",$L$711-1),IF($R$17="Distrato",$E1185,0))),0,YEARFRAC(MAX($P$708*($B1185+IF($R$17="Distrato",$I$38-1,0)),IF(AND($L$711=0,$P$708=0),"",$L$711-1),IF($R$17="Distrato",$E1185,0)),MIN(AR$38,$D$19),$P$20))-SUM($P1185:AQ1185)</f>
        <v>#VALUE!</v>
      </c>
      <c r="AS1185" s="446" t="e">
        <f>IF(OR($B1185="",MIN(AS$38,$D$19)&lt;MAX($P$708*($B1185+IF($R$17="Distrato",$I$38-1,0)),IF(AND($L$711=0,$P$708=0),"",$L$711-1),IF($R$17="Distrato",$E1185,0))),0,YEARFRAC(MAX($P$708*($B1185+IF($R$17="Distrato",$I$38-1,0)),IF(AND($L$711=0,$P$708=0),"",$L$711-1),IF($R$17="Distrato",$E1185,0)),MIN(AS$38,$D$19),$P$20))-SUM($P1185:AR1185)</f>
        <v>#VALUE!</v>
      </c>
      <c r="AT1185" s="446" t="e">
        <f>IF(OR($B1185="",MIN(AT$38,$D$19)&lt;MAX($P$708*($B1185+IF($R$17="Distrato",$I$38-1,0)),IF(AND($L$711=0,$P$708=0),"",$L$711-1),IF($R$17="Distrato",$E1185,0))),0,YEARFRAC(MAX($P$708*($B1185+IF($R$17="Distrato",$I$38-1,0)),IF(AND($L$711=0,$P$708=0),"",$L$711-1),IF($R$17="Distrato",$E1185,0)),MIN(AT$38,$D$19),$P$20))-SUM($P1185:AS1185)</f>
        <v>#VALUE!</v>
      </c>
      <c r="AU1185" s="446" t="e">
        <f>IF(OR($B1185="",MIN(AU$38,$D$19)&lt;MAX($P$708*($B1185+IF($R$17="Distrato",$I$38-1,0)),IF(AND($L$711=0,$P$708=0),"",$L$711-1),IF($R$17="Distrato",$E1185,0))),0,YEARFRAC(MAX($P$708*($B1185+IF($R$17="Distrato",$I$38-1,0)),IF(AND($L$711=0,$P$708=0),"",$L$711-1),IF($R$17="Distrato",$E1185,0)),MIN(AU$38,$D$19),$P$20))-SUM($P1185:AT1185)</f>
        <v>#VALUE!</v>
      </c>
      <c r="AV1185" s="446" t="e">
        <f>IF(OR($B1185="",MIN(AV$38,$D$19)&lt;MAX($P$708*($B1185+IF($R$17="Distrato",$I$38-1,0)),IF(AND($L$711=0,$P$708=0),"",$L$711-1),IF($R$17="Distrato",$E1185,0))),0,YEARFRAC(MAX($P$708*($B1185+IF($R$17="Distrato",$I$38-1,0)),IF(AND($L$711=0,$P$708=0),"",$L$711-1),IF($R$17="Distrato",$E1185,0)),MIN(AV$38,$D$19),$P$20))-SUM($P1185:AU1185)</f>
        <v>#VALUE!</v>
      </c>
      <c r="AW1185" s="446" t="e">
        <f>IF(OR($B1185="",MIN(AW$38,$D$19)&lt;MAX($P$708*($B1185+IF($R$17="Distrato",$I$38-1,0)),IF(AND($L$711=0,$P$708=0),"",$L$711-1),IF($R$17="Distrato",$E1185,0))),0,YEARFRAC(MAX($P$708*($B1185+IF($R$17="Distrato",$I$38-1,0)),IF(AND($L$711=0,$P$708=0),"",$L$711-1),IF($R$17="Distrato",$E1185,0)),MIN(AW$38,$D$19),$P$20))-SUM($P1185:AV1185)</f>
        <v>#VALUE!</v>
      </c>
      <c r="AX1185" s="446" t="e">
        <f>IF(OR($B1185="",MIN(AX$38,$D$19)&lt;MAX($P$708*($B1185+IF($R$17="Distrato",$I$38-1,0)),IF(AND($L$711=0,$P$708=0),"",$L$711-1),IF($R$17="Distrato",$E1185,0))),0,YEARFRAC(MAX($P$708*($B1185+IF($R$17="Distrato",$I$38-1,0)),IF(AND($L$711=0,$P$708=0),"",$L$711-1),IF($R$17="Distrato",$E1185,0)),MIN(AX$38,$D$19),$P$20))-SUM($P1185:AW1185)</f>
        <v>#VALUE!</v>
      </c>
      <c r="AY1185" s="446" t="e">
        <f>IF(OR($B1185="",MIN(AY$38,$D$19)&lt;MAX($P$708*($B1185+IF($R$17="Distrato",$I$38-1,0)),IF(AND($L$711=0,$P$708=0),"",$L$711-1),IF($R$17="Distrato",$E1185,0))),0,YEARFRAC(MAX($P$708*($B1185+IF($R$17="Distrato",$I$38-1,0)),IF(AND($L$711=0,$P$708=0),"",$L$711-1),IF($R$17="Distrato",$E1185,0)),MIN(AY$38,$D$19),$P$20))-SUM($P1185:AX1185)</f>
        <v>#VALUE!</v>
      </c>
      <c r="AZ1185" s="446" t="e">
        <f>IF(OR($B1185="",MIN(AZ$38,$D$19)&lt;MAX($P$708*($B1185+IF($R$17="Distrato",$I$38-1,0)),IF(AND($L$711=0,$P$708=0),"",$L$711-1),IF($R$17="Distrato",$E1185,0))),0,YEARFRAC(MAX($P$708*($B1185+IF($R$17="Distrato",$I$38-1,0)),IF(AND($L$711=0,$P$708=0),"",$L$711-1),IF($R$17="Distrato",$E1185,0)),MIN(AZ$38,$D$19),$P$20))-SUM($P1185:AY1185)</f>
        <v>#VALUE!</v>
      </c>
      <c r="BA1185" s="446" t="e">
        <f>IF(OR($B1185="",MIN(BA$38,$D$19)&lt;MAX($P$708*($B1185+IF($R$17="Distrato",$I$38-1,0)),IF(AND($L$711=0,$P$708=0),"",$L$711-1),IF($R$17="Distrato",$E1185,0))),0,YEARFRAC(MAX($P$708*($B1185+IF($R$17="Distrato",$I$38-1,0)),IF(AND($L$711=0,$P$708=0),"",$L$711-1),IF($R$17="Distrato",$E1185,0)),MIN(BA$38,$D$19),$P$20))-SUM($P1185:AZ1185)</f>
        <v>#VALUE!</v>
      </c>
      <c r="BB1185" s="447"/>
    </row>
    <row r="1186" spans="1:54" s="446" customFormat="1" ht="11.25" hidden="1" customHeight="1" x14ac:dyDescent="0.2">
      <c r="A1186" s="235"/>
      <c r="B1186" s="236"/>
      <c r="C1186" s="29" t="str">
        <f>IF(B1186="","",IF($L$709=$BL$25,VLOOKUP(DATE(YEAR($D$19),MONTH($D$19)-1,1),ÍNDICES!$A:$DE,HLOOKUP($BL$25,ÍNDICES!$B$3:$T$4,2)+11)-VLOOKUP(B1186,ÍNDICES!$A:$DE,HLOOKUP($BL$25,ÍNDICES!$B$3:$T$4,2)+11)+1%,IF(C$712=$W$26,$J$35,IF(ISERROR(IF(B1186&gt;$D$19,1,VLOOKUP(DATE(YEAR(B1186),MONTH(B1186)+IF($C$709=$S$23,1,0),1),ÍNDICES!$A:$DE,$Z$709+1))),"",IF(B1186&gt;$D$19,1,VLOOKUP(DATE(YEAR(B1186),MONTH(B1186)+IF($C$709=$S$23,1,0),1),ÍNDICES!$A:$DE,$Z$709+1))))))</f>
        <v/>
      </c>
      <c r="D1186" s="155"/>
      <c r="E1186" s="88"/>
      <c r="F1186" s="88"/>
      <c r="G1186" s="88"/>
      <c r="H1186" s="118"/>
      <c r="I1186" s="182">
        <f t="shared" si="164"/>
        <v>0</v>
      </c>
      <c r="J1186" s="20">
        <f t="shared" ca="1" si="165"/>
        <v>0</v>
      </c>
      <c r="K1186" s="5">
        <f t="shared" ca="1" si="166"/>
        <v>0</v>
      </c>
      <c r="L1186" s="61">
        <f t="shared" ca="1" si="167"/>
        <v>0</v>
      </c>
      <c r="M1186" s="64">
        <f t="shared" si="168"/>
        <v>0</v>
      </c>
      <c r="N1186" s="151"/>
      <c r="O1186" s="5">
        <f t="shared" ca="1" si="169"/>
        <v>0</v>
      </c>
      <c r="P1186" s="446" t="e">
        <f t="shared" si="170"/>
        <v>#VALUE!</v>
      </c>
      <c r="Q1186" s="446" t="e">
        <f>IF(OR($B1186="",MIN(Q$38,$D$19)&lt;MAX($P$708*($B1186+IF($R$17="Distrato",$I$38-1,0)),IF(AND($L$711=0,$P$708=0),"",$L$711-1),IF($R$17="Distrato",$E1186,0))),0,YEARFRAC(MAX($P$708*($B1186+IF($R$17="Distrato",$I$38-1,0)),IF(AND($L$711=0,$P$708=0),"",$L$711-1),IF($R$17="Distrato",$E1186,0)),MIN(Q$38,$D$19),$P$20))-SUM($P1186:P1186)</f>
        <v>#VALUE!</v>
      </c>
      <c r="R1186" s="446" t="e">
        <f>IF(OR($B1186="",MIN(R$38,$D$19)&lt;MAX($P$708*($B1186+IF($R$17="Distrato",$I$38-1,0)),IF(AND($L$711=0,$P$708=0),"",$L$711-1),IF($R$17="Distrato",$E1186,0))),0,YEARFRAC(MAX($P$708*($B1186+IF($R$17="Distrato",$I$38-1,0)),IF(AND($L$711=0,$P$708=0),"",$L$711-1),IF($R$17="Distrato",$E1186,0)),MIN(R$38,$D$19),$P$20))-SUM($P1186:Q1186)</f>
        <v>#VALUE!</v>
      </c>
      <c r="S1186" s="446" t="e">
        <f>IF(OR($B1186="",MIN(S$38,$D$19)&lt;MAX($P$708*($B1186+IF($R$17="Distrato",$I$38-1,0)),IF(AND($L$711=0,$P$708=0),"",$L$711-1),IF($R$17="Distrato",$E1186,0))),0,YEARFRAC(MAX($P$708*($B1186+IF($R$17="Distrato",$I$38-1,0)),IF(AND($L$711=0,$P$708=0),"",$L$711-1),IF($R$17="Distrato",$E1186,0)),MIN(S$38,$D$19),$P$20))-SUM($P1186:R1186)</f>
        <v>#VALUE!</v>
      </c>
      <c r="T1186" s="446" t="e">
        <f>IF(OR($B1186="",MIN(T$38,$D$19)&lt;MAX($P$708*($B1186+IF($R$17="Distrato",$I$38-1,0)),IF(AND($L$711=0,$P$708=0),"",$L$711-1),IF($R$17="Distrato",$E1186,0))),0,YEARFRAC(MAX($P$708*($B1186+IF($R$17="Distrato",$I$38-1,0)),IF(AND($L$711=0,$P$708=0),"",$L$711-1),IF($R$17="Distrato",$E1186,0)),MIN(T$38,$D$19),$P$20))-SUM($P1186:S1186)</f>
        <v>#VALUE!</v>
      </c>
      <c r="U1186" s="446" t="e">
        <f>IF(OR($B1186="",MIN(U$38,$D$19)&lt;MAX($P$708*($B1186+IF($R$17="Distrato",$I$38-1,0)),IF(AND($L$711=0,$P$708=0),"",$L$711-1),IF($R$17="Distrato",$E1186,0))),0,YEARFRAC(MAX($P$708*($B1186+IF($R$17="Distrato",$I$38-1,0)),IF(AND($L$711=0,$P$708=0),"",$L$711-1),IF($R$17="Distrato",$E1186,0)),MIN(U$38,$D$19),$P$20))-SUM($P1186:T1186)</f>
        <v>#VALUE!</v>
      </c>
      <c r="V1186" s="446" t="e">
        <f>IF(OR($B1186="",MIN(V$38,$D$19)&lt;MAX($P$708*($B1186+IF($R$17="Distrato",$I$38-1,0)),IF(AND($L$711=0,$P$708=0),"",$L$711-1),IF($R$17="Distrato",$E1186,0))),0,YEARFRAC(MAX($P$708*($B1186+IF($R$17="Distrato",$I$38-1,0)),IF(AND($L$711=0,$P$708=0),"",$L$711-1),IF($R$17="Distrato",$E1186,0)),MIN(V$38,$D$19),$P$20))-SUM($P1186:U1186)</f>
        <v>#VALUE!</v>
      </c>
      <c r="W1186" s="446" t="e">
        <f>IF(OR($B1186="",MIN(W$38,$D$19)&lt;MAX($P$708*($B1186+IF($R$17="Distrato",$I$38-1,0)),IF(AND($L$711=0,$P$708=0),"",$L$711-1),IF($R$17="Distrato",$E1186,0))),0,YEARFRAC(MAX($P$708*($B1186+IF($R$17="Distrato",$I$38-1,0)),IF(AND($L$711=0,$P$708=0),"",$L$711-1),IF($R$17="Distrato",$E1186,0)),MIN(W$38,$D$19),$P$20))-SUM($P1186:V1186)</f>
        <v>#VALUE!</v>
      </c>
      <c r="X1186" s="446" t="e">
        <f>IF(OR($B1186="",MIN(X$38,$D$19)&lt;MAX($P$708*($B1186+IF($R$17="Distrato",$I$38-1,0)),IF(AND($L$711=0,$P$708=0),"",$L$711-1),IF($R$17="Distrato",$E1186,0))),0,YEARFRAC(MAX($P$708*($B1186+IF($R$17="Distrato",$I$38-1,0)),IF(AND($L$711=0,$P$708=0),"",$L$711-1),IF($R$17="Distrato",$E1186,0)),MIN(X$38,$D$19),$P$20))-SUM($P1186:W1186)</f>
        <v>#VALUE!</v>
      </c>
      <c r="Y1186" s="446" t="e">
        <f>IF(OR($B1186="",MIN(Y$38,$D$19)&lt;MAX($P$708*($B1186+IF($R$17="Distrato",$I$38-1,0)),IF(AND($L$711=0,$P$708=0),"",$L$711-1),IF($R$17="Distrato",$E1186,0))),0,YEARFRAC(MAX($P$708*($B1186+IF($R$17="Distrato",$I$38-1,0)),IF(AND($L$711=0,$P$708=0),"",$L$711-1),IF($R$17="Distrato",$E1186,0)),MIN(Y$38,$D$19),$P$20))-SUM($P1186:X1186)</f>
        <v>#VALUE!</v>
      </c>
      <c r="Z1186" s="446" t="e">
        <f>IF(OR($B1186="",MIN(Z$38,$D$19)&lt;MAX($P$708*($B1186+IF($R$17="Distrato",$I$38-1,0)),IF(AND($L$711=0,$P$708=0),"",$L$711-1),IF($R$17="Distrato",$E1186,0))),0,YEARFRAC(MAX($P$708*($B1186+IF($R$17="Distrato",$I$38-1,0)),IF(AND($L$711=0,$P$708=0),"",$L$711-1),IF($R$17="Distrato",$E1186,0)),MIN(Z$38,$D$19),$P$20))-SUM($P1186:Y1186)</f>
        <v>#VALUE!</v>
      </c>
      <c r="AA1186" s="446" t="e">
        <f>IF(OR($B1186="",MIN(AA$38,$D$19)&lt;MAX($P$708*($B1186+IF($R$17="Distrato",$I$38-1,0)),IF(AND($L$711=0,$P$708=0),"",$L$711-1),IF($R$17="Distrato",$E1186,0))),0,YEARFRAC(MAX($P$708*($B1186+IF($R$17="Distrato",$I$38-1,0)),IF(AND($L$711=0,$P$708=0),"",$L$711-1),IF($R$17="Distrato",$E1186,0)),MIN(AA$38,$D$19),$P$20))-SUM($P1186:Z1186)</f>
        <v>#VALUE!</v>
      </c>
      <c r="AB1186" s="446" t="e">
        <f>IF(OR($B1186="",MIN(AB$38,$D$19)&lt;MAX($P$708*($B1186+IF($R$17="Distrato",$I$38-1,0)),IF(AND($L$711=0,$P$708=0),"",$L$711-1),IF($R$17="Distrato",$E1186,0))),0,YEARFRAC(MAX($P$708*($B1186+IF($R$17="Distrato",$I$38-1,0)),IF(AND($L$711=0,$P$708=0),"",$L$711-1),IF($R$17="Distrato",$E1186,0)),MIN(AB$38,$D$19),$P$20))-SUM($P1186:AA1186)</f>
        <v>#VALUE!</v>
      </c>
      <c r="AC1186" s="446" t="e">
        <f>IF(OR($B1186="",MIN(AC$38,$D$19)&lt;MAX($P$708*($B1186+IF($R$17="Distrato",$I$38-1,0)),IF(AND($L$711=0,$P$708=0),"",$L$711-1),IF($R$17="Distrato",$E1186,0))),0,YEARFRAC(MAX($P$708*($B1186+IF($R$17="Distrato",$I$38-1,0)),IF(AND($L$711=0,$P$708=0),"",$L$711-1),IF($R$17="Distrato",$E1186,0)),MIN(AC$38,$D$19),$P$20))-SUM($P1186:AB1186)</f>
        <v>#VALUE!</v>
      </c>
      <c r="AD1186" s="446" t="e">
        <f>IF(OR($B1186="",MIN(AD$38,$D$19)&lt;MAX($P$708*($B1186+IF($R$17="Distrato",$I$38-1,0)),IF(AND($L$711=0,$P$708=0),"",$L$711-1),IF($R$17="Distrato",$E1186,0))),0,YEARFRAC(MAX($P$708*($B1186+IF($R$17="Distrato",$I$38-1,0)),IF(AND($L$711=0,$P$708=0),"",$L$711-1),IF($R$17="Distrato",$E1186,0)),MIN(AD$38,$D$19),$P$20))-SUM($P1186:AC1186)</f>
        <v>#VALUE!</v>
      </c>
      <c r="AE1186" s="446" t="e">
        <f>IF(OR($B1186="",MIN(AE$38,$D$19)&lt;MAX($P$708*($B1186+IF($R$17="Distrato",$I$38-1,0)),IF(AND($L$711=0,$P$708=0),"",$L$711-1),IF($R$17="Distrato",$E1186,0))),0,YEARFRAC(MAX($P$708*($B1186+IF($R$17="Distrato",$I$38-1,0)),IF(AND($L$711=0,$P$708=0),"",$L$711-1),IF($R$17="Distrato",$E1186,0)),MIN(AE$38,$D$19),$P$20))-SUM($P1186:AD1186)</f>
        <v>#VALUE!</v>
      </c>
      <c r="AF1186" s="446" t="e">
        <f>IF(OR($B1186="",MIN(AF$38,$D$19)&lt;MAX($P$708*($B1186+IF($R$17="Distrato",$I$38-1,0)),IF(AND($L$711=0,$P$708=0),"",$L$711-1),IF($R$17="Distrato",$E1186,0))),0,YEARFRAC(MAX($P$708*($B1186+IF($R$17="Distrato",$I$38-1,0)),IF(AND($L$711=0,$P$708=0),"",$L$711-1),IF($R$17="Distrato",$E1186,0)),MIN(AF$38,$D$19),$P$20))-SUM($P1186:AE1186)</f>
        <v>#VALUE!</v>
      </c>
      <c r="AG1186" s="446" t="e">
        <f>IF(OR($B1186="",MIN(AG$38,$D$19)&lt;MAX($P$708*($B1186+IF($R$17="Distrato",$I$38-1,0)),IF(AND($L$711=0,$P$708=0),"",$L$711-1),IF($R$17="Distrato",$E1186,0))),0,YEARFRAC(MAX($P$708*($B1186+IF($R$17="Distrato",$I$38-1,0)),IF(AND($L$711=0,$P$708=0),"",$L$711-1),IF($R$17="Distrato",$E1186,0)),MIN(AG$38,$D$19),$P$20))-SUM($P1186:AF1186)</f>
        <v>#VALUE!</v>
      </c>
      <c r="AH1186" s="446" t="e">
        <f>IF(OR($B1186="",MIN(AH$38,$D$19)&lt;MAX($P$708*($B1186+IF($R$17="Distrato",$I$38-1,0)),IF(AND($L$711=0,$P$708=0),"",$L$711-1),IF($R$17="Distrato",$E1186,0))),0,YEARFRAC(MAX($P$708*($B1186+IF($R$17="Distrato",$I$38-1,0)),IF(AND($L$711=0,$P$708=0),"",$L$711-1),IF($R$17="Distrato",$E1186,0)),MIN(AH$38,$D$19),$P$20))-SUM($P1186:AG1186)</f>
        <v>#VALUE!</v>
      </c>
      <c r="AI1186" s="446" t="e">
        <f>IF(OR($B1186="",MIN(AI$38,$D$19)&lt;MAX($P$708*($B1186+IF($R$17="Distrato",$I$38-1,0)),IF(AND($L$711=0,$P$708=0),"",$L$711-1),IF($R$17="Distrato",$E1186,0))),0,YEARFRAC(MAX($P$708*($B1186+IF($R$17="Distrato",$I$38-1,0)),IF(AND($L$711=0,$P$708=0),"",$L$711-1),IF($R$17="Distrato",$E1186,0)),MIN(AI$38,$D$19),$P$20))-SUM($P1186:AH1186)</f>
        <v>#VALUE!</v>
      </c>
      <c r="AJ1186" s="446" t="e">
        <f>IF(OR($B1186="",MIN(AJ$38,$D$19)&lt;MAX($P$708*($B1186+IF($R$17="Distrato",$I$38-1,0)),IF(AND($L$711=0,$P$708=0),"",$L$711-1),IF($R$17="Distrato",$E1186,0))),0,YEARFRAC(MAX($P$708*($B1186+IF($R$17="Distrato",$I$38-1,0)),IF(AND($L$711=0,$P$708=0),"",$L$711-1),IF($R$17="Distrato",$E1186,0)),MIN(AJ$38,$D$19),$P$20))-SUM($P1186:AI1186)</f>
        <v>#VALUE!</v>
      </c>
      <c r="AK1186" s="446" t="e">
        <f>IF(OR($B1186="",MIN(AK$38,$D$19)&lt;MAX($P$708*($B1186+IF($R$17="Distrato",$I$38-1,0)),IF(AND($L$711=0,$P$708=0),"",$L$711-1),IF($R$17="Distrato",$E1186,0))),0,YEARFRAC(MAX($P$708*($B1186+IF($R$17="Distrato",$I$38-1,0)),IF(AND($L$711=0,$P$708=0),"",$L$711-1),IF($R$17="Distrato",$E1186,0)),MIN(AK$38,$D$19),$P$20))-SUM($P1186:AJ1186)</f>
        <v>#VALUE!</v>
      </c>
      <c r="AL1186" s="446" t="e">
        <f>IF(OR($B1186="",MIN(AL$38,$D$19)&lt;MAX($P$708*($B1186+IF($R$17="Distrato",$I$38-1,0)),IF(AND($L$711=0,$P$708=0),"",$L$711-1),IF($R$17="Distrato",$E1186,0))),0,YEARFRAC(MAX($P$708*($B1186+IF($R$17="Distrato",$I$38-1,0)),IF(AND($L$711=0,$P$708=0),"",$L$711-1),IF($R$17="Distrato",$E1186,0)),MIN(AL$38,$D$19),$P$20))-SUM($P1186:AK1186)</f>
        <v>#VALUE!</v>
      </c>
      <c r="AM1186" s="446" t="e">
        <f>IF(OR($B1186="",MIN(AM$38,$D$19)&lt;MAX($P$708*($B1186+IF($R$17="Distrato",$I$38-1,0)),IF(AND($L$711=0,$P$708=0),"",$L$711-1),IF($R$17="Distrato",$E1186,0))),0,YEARFRAC(MAX($P$708*($B1186+IF($R$17="Distrato",$I$38-1,0)),IF(AND($L$711=0,$P$708=0),"",$L$711-1),IF($R$17="Distrato",$E1186,0)),MIN(AM$38,$D$19),$P$20))-SUM($P1186:AL1186)</f>
        <v>#VALUE!</v>
      </c>
      <c r="AN1186" s="446" t="e">
        <f>IF(OR($B1186="",MIN(AN$38,$D$19)&lt;MAX($P$708*($B1186+IF($R$17="Distrato",$I$38-1,0)),IF(AND($L$711=0,$P$708=0),"",$L$711-1),IF($R$17="Distrato",$E1186,0))),0,YEARFRAC(MAX($P$708*($B1186+IF($R$17="Distrato",$I$38-1,0)),IF(AND($L$711=0,$P$708=0),"",$L$711-1),IF($R$17="Distrato",$E1186,0)),MIN(AN$38,$D$19),$P$20))-SUM($P1186:AM1186)</f>
        <v>#VALUE!</v>
      </c>
      <c r="AO1186" s="446" t="e">
        <f>IF(OR($B1186="",MIN(AO$38,$D$19)&lt;MAX($P$708*($B1186+IF($R$17="Distrato",$I$38-1,0)),IF(AND($L$711=0,$P$708=0),"",$L$711-1),IF($R$17="Distrato",$E1186,0))),0,YEARFRAC(MAX($P$708*($B1186+IF($R$17="Distrato",$I$38-1,0)),IF(AND($L$711=0,$P$708=0),"",$L$711-1),IF($R$17="Distrato",$E1186,0)),MIN(AO$38,$D$19),$P$20))-SUM($P1186:AN1186)</f>
        <v>#VALUE!</v>
      </c>
      <c r="AP1186" s="446" t="e">
        <f>IF(OR($B1186="",MIN(AP$38,$D$19)&lt;MAX($P$708*($B1186+IF($R$17="Distrato",$I$38-1,0)),IF(AND($L$711=0,$P$708=0),"",$L$711-1),IF($R$17="Distrato",$E1186,0))),0,YEARFRAC(MAX($P$708*($B1186+IF($R$17="Distrato",$I$38-1,0)),IF(AND($L$711=0,$P$708=0),"",$L$711-1),IF($R$17="Distrato",$E1186,0)),MIN(AP$38,$D$19),$P$20))-SUM($P1186:AO1186)</f>
        <v>#VALUE!</v>
      </c>
      <c r="AQ1186" s="446" t="e">
        <f>IF(OR($B1186="",MIN(AQ$38,$D$19)&lt;MAX($P$708*($B1186+IF($R$17="Distrato",$I$38-1,0)),IF(AND($L$711=0,$P$708=0),"",$L$711-1),IF($R$17="Distrato",$E1186,0))),0,YEARFRAC(MAX($P$708*($B1186+IF($R$17="Distrato",$I$38-1,0)),IF(AND($L$711=0,$P$708=0),"",$L$711-1),IF($R$17="Distrato",$E1186,0)),MIN(AQ$38,$D$19),$P$20))-SUM($P1186:AP1186)</f>
        <v>#VALUE!</v>
      </c>
      <c r="AR1186" s="446" t="e">
        <f>IF(OR($B1186="",MIN(AR$38,$D$19)&lt;MAX($P$708*($B1186+IF($R$17="Distrato",$I$38-1,0)),IF(AND($L$711=0,$P$708=0),"",$L$711-1),IF($R$17="Distrato",$E1186,0))),0,YEARFRAC(MAX($P$708*($B1186+IF($R$17="Distrato",$I$38-1,0)),IF(AND($L$711=0,$P$708=0),"",$L$711-1),IF($R$17="Distrato",$E1186,0)),MIN(AR$38,$D$19),$P$20))-SUM($P1186:AQ1186)</f>
        <v>#VALUE!</v>
      </c>
      <c r="AS1186" s="446" t="e">
        <f>IF(OR($B1186="",MIN(AS$38,$D$19)&lt;MAX($P$708*($B1186+IF($R$17="Distrato",$I$38-1,0)),IF(AND($L$711=0,$P$708=0),"",$L$711-1),IF($R$17="Distrato",$E1186,0))),0,YEARFRAC(MAX($P$708*($B1186+IF($R$17="Distrato",$I$38-1,0)),IF(AND($L$711=0,$P$708=0),"",$L$711-1),IF($R$17="Distrato",$E1186,0)),MIN(AS$38,$D$19),$P$20))-SUM($P1186:AR1186)</f>
        <v>#VALUE!</v>
      </c>
      <c r="AT1186" s="446" t="e">
        <f>IF(OR($B1186="",MIN(AT$38,$D$19)&lt;MAX($P$708*($B1186+IF($R$17="Distrato",$I$38-1,0)),IF(AND($L$711=0,$P$708=0),"",$L$711-1),IF($R$17="Distrato",$E1186,0))),0,YEARFRAC(MAX($P$708*($B1186+IF($R$17="Distrato",$I$38-1,0)),IF(AND($L$711=0,$P$708=0),"",$L$711-1),IF($R$17="Distrato",$E1186,0)),MIN(AT$38,$D$19),$P$20))-SUM($P1186:AS1186)</f>
        <v>#VALUE!</v>
      </c>
      <c r="AU1186" s="446" t="e">
        <f>IF(OR($B1186="",MIN(AU$38,$D$19)&lt;MAX($P$708*($B1186+IF($R$17="Distrato",$I$38-1,0)),IF(AND($L$711=0,$P$708=0),"",$L$711-1),IF($R$17="Distrato",$E1186,0))),0,YEARFRAC(MAX($P$708*($B1186+IF($R$17="Distrato",$I$38-1,0)),IF(AND($L$711=0,$P$708=0),"",$L$711-1),IF($R$17="Distrato",$E1186,0)),MIN(AU$38,$D$19),$P$20))-SUM($P1186:AT1186)</f>
        <v>#VALUE!</v>
      </c>
      <c r="AV1186" s="446" t="e">
        <f>IF(OR($B1186="",MIN(AV$38,$D$19)&lt;MAX($P$708*($B1186+IF($R$17="Distrato",$I$38-1,0)),IF(AND($L$711=0,$P$708=0),"",$L$711-1),IF($R$17="Distrato",$E1186,0))),0,YEARFRAC(MAX($P$708*($B1186+IF($R$17="Distrato",$I$38-1,0)),IF(AND($L$711=0,$P$708=0),"",$L$711-1),IF($R$17="Distrato",$E1186,0)),MIN(AV$38,$D$19),$P$20))-SUM($P1186:AU1186)</f>
        <v>#VALUE!</v>
      </c>
      <c r="AW1186" s="446" t="e">
        <f>IF(OR($B1186="",MIN(AW$38,$D$19)&lt;MAX($P$708*($B1186+IF($R$17="Distrato",$I$38-1,0)),IF(AND($L$711=0,$P$708=0),"",$L$711-1),IF($R$17="Distrato",$E1186,0))),0,YEARFRAC(MAX($P$708*($B1186+IF($R$17="Distrato",$I$38-1,0)),IF(AND($L$711=0,$P$708=0),"",$L$711-1),IF($R$17="Distrato",$E1186,0)),MIN(AW$38,$D$19),$P$20))-SUM($P1186:AV1186)</f>
        <v>#VALUE!</v>
      </c>
      <c r="AX1186" s="446" t="e">
        <f>IF(OR($B1186="",MIN(AX$38,$D$19)&lt;MAX($P$708*($B1186+IF($R$17="Distrato",$I$38-1,0)),IF(AND($L$711=0,$P$708=0),"",$L$711-1),IF($R$17="Distrato",$E1186,0))),0,YEARFRAC(MAX($P$708*($B1186+IF($R$17="Distrato",$I$38-1,0)),IF(AND($L$711=0,$P$708=0),"",$L$711-1),IF($R$17="Distrato",$E1186,0)),MIN(AX$38,$D$19),$P$20))-SUM($P1186:AW1186)</f>
        <v>#VALUE!</v>
      </c>
      <c r="AY1186" s="446" t="e">
        <f>IF(OR($B1186="",MIN(AY$38,$D$19)&lt;MAX($P$708*($B1186+IF($R$17="Distrato",$I$38-1,0)),IF(AND($L$711=0,$P$708=0),"",$L$711-1),IF($R$17="Distrato",$E1186,0))),0,YEARFRAC(MAX($P$708*($B1186+IF($R$17="Distrato",$I$38-1,0)),IF(AND($L$711=0,$P$708=0),"",$L$711-1),IF($R$17="Distrato",$E1186,0)),MIN(AY$38,$D$19),$P$20))-SUM($P1186:AX1186)</f>
        <v>#VALUE!</v>
      </c>
      <c r="AZ1186" s="446" t="e">
        <f>IF(OR($B1186="",MIN(AZ$38,$D$19)&lt;MAX($P$708*($B1186+IF($R$17="Distrato",$I$38-1,0)),IF(AND($L$711=0,$P$708=0),"",$L$711-1),IF($R$17="Distrato",$E1186,0))),0,YEARFRAC(MAX($P$708*($B1186+IF($R$17="Distrato",$I$38-1,0)),IF(AND($L$711=0,$P$708=0),"",$L$711-1),IF($R$17="Distrato",$E1186,0)),MIN(AZ$38,$D$19),$P$20))-SUM($P1186:AY1186)</f>
        <v>#VALUE!</v>
      </c>
      <c r="BA1186" s="446" t="e">
        <f>IF(OR($B1186="",MIN(BA$38,$D$19)&lt;MAX($P$708*($B1186+IF($R$17="Distrato",$I$38-1,0)),IF(AND($L$711=0,$P$708=0),"",$L$711-1),IF($R$17="Distrato",$E1186,0))),0,YEARFRAC(MAX($P$708*($B1186+IF($R$17="Distrato",$I$38-1,0)),IF(AND($L$711=0,$P$708=0),"",$L$711-1),IF($R$17="Distrato",$E1186,0)),MIN(BA$38,$D$19),$P$20))-SUM($P1186:AZ1186)</f>
        <v>#VALUE!</v>
      </c>
      <c r="BB1186" s="447"/>
    </row>
    <row r="1187" spans="1:54" s="446" customFormat="1" ht="11.25" hidden="1" customHeight="1" x14ac:dyDescent="0.2">
      <c r="A1187" s="235"/>
      <c r="B1187" s="236"/>
      <c r="C1187" s="29" t="str">
        <f>IF(B1187="","",IF($L$709=$BL$25,VLOOKUP(DATE(YEAR($D$19),MONTH($D$19)-1,1),ÍNDICES!$A:$DE,HLOOKUP($BL$25,ÍNDICES!$B$3:$T$4,2)+11)-VLOOKUP(B1187,ÍNDICES!$A:$DE,HLOOKUP($BL$25,ÍNDICES!$B$3:$T$4,2)+11)+1%,IF(C$712=$W$26,$J$35,IF(ISERROR(IF(B1187&gt;$D$19,1,VLOOKUP(DATE(YEAR(B1187),MONTH(B1187)+IF($C$709=$S$23,1,0),1),ÍNDICES!$A:$DE,$Z$709+1))),"",IF(B1187&gt;$D$19,1,VLOOKUP(DATE(YEAR(B1187),MONTH(B1187)+IF($C$709=$S$23,1,0),1),ÍNDICES!$A:$DE,$Z$709+1))))))</f>
        <v/>
      </c>
      <c r="D1187" s="155"/>
      <c r="E1187" s="88"/>
      <c r="F1187" s="88"/>
      <c r="G1187" s="88"/>
      <c r="H1187" s="118"/>
      <c r="I1187" s="182">
        <f t="shared" si="164"/>
        <v>0</v>
      </c>
      <c r="J1187" s="20">
        <f t="shared" ca="1" si="165"/>
        <v>0</v>
      </c>
      <c r="K1187" s="5">
        <f t="shared" ca="1" si="166"/>
        <v>0</v>
      </c>
      <c r="L1187" s="61">
        <f t="shared" ca="1" si="167"/>
        <v>0</v>
      </c>
      <c r="M1187" s="64">
        <f t="shared" si="168"/>
        <v>0</v>
      </c>
      <c r="N1187" s="151"/>
      <c r="O1187" s="5">
        <f t="shared" ca="1" si="169"/>
        <v>0</v>
      </c>
      <c r="P1187" s="446" t="e">
        <f t="shared" si="170"/>
        <v>#VALUE!</v>
      </c>
      <c r="Q1187" s="446" t="e">
        <f>IF(OR($B1187="",MIN(Q$38,$D$19)&lt;MAX($P$708*($B1187+IF($R$17="Distrato",$I$38-1,0)),IF(AND($L$711=0,$P$708=0),"",$L$711-1),IF($R$17="Distrato",$E1187,0))),0,YEARFRAC(MAX($P$708*($B1187+IF($R$17="Distrato",$I$38-1,0)),IF(AND($L$711=0,$P$708=0),"",$L$711-1),IF($R$17="Distrato",$E1187,0)),MIN(Q$38,$D$19),$P$20))-SUM($P1187:P1187)</f>
        <v>#VALUE!</v>
      </c>
      <c r="R1187" s="446" t="e">
        <f>IF(OR($B1187="",MIN(R$38,$D$19)&lt;MAX($P$708*($B1187+IF($R$17="Distrato",$I$38-1,0)),IF(AND($L$711=0,$P$708=0),"",$L$711-1),IF($R$17="Distrato",$E1187,0))),0,YEARFRAC(MAX($P$708*($B1187+IF($R$17="Distrato",$I$38-1,0)),IF(AND($L$711=0,$P$708=0),"",$L$711-1),IF($R$17="Distrato",$E1187,0)),MIN(R$38,$D$19),$P$20))-SUM($P1187:Q1187)</f>
        <v>#VALUE!</v>
      </c>
      <c r="S1187" s="446" t="e">
        <f>IF(OR($B1187="",MIN(S$38,$D$19)&lt;MAX($P$708*($B1187+IF($R$17="Distrato",$I$38-1,0)),IF(AND($L$711=0,$P$708=0),"",$L$711-1),IF($R$17="Distrato",$E1187,0))),0,YEARFRAC(MAX($P$708*($B1187+IF($R$17="Distrato",$I$38-1,0)),IF(AND($L$711=0,$P$708=0),"",$L$711-1),IF($R$17="Distrato",$E1187,0)),MIN(S$38,$D$19),$P$20))-SUM($P1187:R1187)</f>
        <v>#VALUE!</v>
      </c>
      <c r="T1187" s="446" t="e">
        <f>IF(OR($B1187="",MIN(T$38,$D$19)&lt;MAX($P$708*($B1187+IF($R$17="Distrato",$I$38-1,0)),IF(AND($L$711=0,$P$708=0),"",$L$711-1),IF($R$17="Distrato",$E1187,0))),0,YEARFRAC(MAX($P$708*($B1187+IF($R$17="Distrato",$I$38-1,0)),IF(AND($L$711=0,$P$708=0),"",$L$711-1),IF($R$17="Distrato",$E1187,0)),MIN(T$38,$D$19),$P$20))-SUM($P1187:S1187)</f>
        <v>#VALUE!</v>
      </c>
      <c r="U1187" s="446" t="e">
        <f>IF(OR($B1187="",MIN(U$38,$D$19)&lt;MAX($P$708*($B1187+IF($R$17="Distrato",$I$38-1,0)),IF(AND($L$711=0,$P$708=0),"",$L$711-1),IF($R$17="Distrato",$E1187,0))),0,YEARFRAC(MAX($P$708*($B1187+IF($R$17="Distrato",$I$38-1,0)),IF(AND($L$711=0,$P$708=0),"",$L$711-1),IF($R$17="Distrato",$E1187,0)),MIN(U$38,$D$19),$P$20))-SUM($P1187:T1187)</f>
        <v>#VALUE!</v>
      </c>
      <c r="V1187" s="446" t="e">
        <f>IF(OR($B1187="",MIN(V$38,$D$19)&lt;MAX($P$708*($B1187+IF($R$17="Distrato",$I$38-1,0)),IF(AND($L$711=0,$P$708=0),"",$L$711-1),IF($R$17="Distrato",$E1187,0))),0,YEARFRAC(MAX($P$708*($B1187+IF($R$17="Distrato",$I$38-1,0)),IF(AND($L$711=0,$P$708=0),"",$L$711-1),IF($R$17="Distrato",$E1187,0)),MIN(V$38,$D$19),$P$20))-SUM($P1187:U1187)</f>
        <v>#VALUE!</v>
      </c>
      <c r="W1187" s="446" t="e">
        <f>IF(OR($B1187="",MIN(W$38,$D$19)&lt;MAX($P$708*($B1187+IF($R$17="Distrato",$I$38-1,0)),IF(AND($L$711=0,$P$708=0),"",$L$711-1),IF($R$17="Distrato",$E1187,0))),0,YEARFRAC(MAX($P$708*($B1187+IF($R$17="Distrato",$I$38-1,0)),IF(AND($L$711=0,$P$708=0),"",$L$711-1),IF($R$17="Distrato",$E1187,0)),MIN(W$38,$D$19),$P$20))-SUM($P1187:V1187)</f>
        <v>#VALUE!</v>
      </c>
      <c r="X1187" s="446" t="e">
        <f>IF(OR($B1187="",MIN(X$38,$D$19)&lt;MAX($P$708*($B1187+IF($R$17="Distrato",$I$38-1,0)),IF(AND($L$711=0,$P$708=0),"",$L$711-1),IF($R$17="Distrato",$E1187,0))),0,YEARFRAC(MAX($P$708*($B1187+IF($R$17="Distrato",$I$38-1,0)),IF(AND($L$711=0,$P$708=0),"",$L$711-1),IF($R$17="Distrato",$E1187,0)),MIN(X$38,$D$19),$P$20))-SUM($P1187:W1187)</f>
        <v>#VALUE!</v>
      </c>
      <c r="Y1187" s="446" t="e">
        <f>IF(OR($B1187="",MIN(Y$38,$D$19)&lt;MAX($P$708*($B1187+IF($R$17="Distrato",$I$38-1,0)),IF(AND($L$711=0,$P$708=0),"",$L$711-1),IF($R$17="Distrato",$E1187,0))),0,YEARFRAC(MAX($P$708*($B1187+IF($R$17="Distrato",$I$38-1,0)),IF(AND($L$711=0,$P$708=0),"",$L$711-1),IF($R$17="Distrato",$E1187,0)),MIN(Y$38,$D$19),$P$20))-SUM($P1187:X1187)</f>
        <v>#VALUE!</v>
      </c>
      <c r="Z1187" s="446" t="e">
        <f>IF(OR($B1187="",MIN(Z$38,$D$19)&lt;MAX($P$708*($B1187+IF($R$17="Distrato",$I$38-1,0)),IF(AND($L$711=0,$P$708=0),"",$L$711-1),IF($R$17="Distrato",$E1187,0))),0,YEARFRAC(MAX($P$708*($B1187+IF($R$17="Distrato",$I$38-1,0)),IF(AND($L$711=0,$P$708=0),"",$L$711-1),IF($R$17="Distrato",$E1187,0)),MIN(Z$38,$D$19),$P$20))-SUM($P1187:Y1187)</f>
        <v>#VALUE!</v>
      </c>
      <c r="AA1187" s="446" t="e">
        <f>IF(OR($B1187="",MIN(AA$38,$D$19)&lt;MAX($P$708*($B1187+IF($R$17="Distrato",$I$38-1,0)),IF(AND($L$711=0,$P$708=0),"",$L$711-1),IF($R$17="Distrato",$E1187,0))),0,YEARFRAC(MAX($P$708*($B1187+IF($R$17="Distrato",$I$38-1,0)),IF(AND($L$711=0,$P$708=0),"",$L$711-1),IF($R$17="Distrato",$E1187,0)),MIN(AA$38,$D$19),$P$20))-SUM($P1187:Z1187)</f>
        <v>#VALUE!</v>
      </c>
      <c r="AB1187" s="446" t="e">
        <f>IF(OR($B1187="",MIN(AB$38,$D$19)&lt;MAX($P$708*($B1187+IF($R$17="Distrato",$I$38-1,0)),IF(AND($L$711=0,$P$708=0),"",$L$711-1),IF($R$17="Distrato",$E1187,0))),0,YEARFRAC(MAX($P$708*($B1187+IF($R$17="Distrato",$I$38-1,0)),IF(AND($L$711=0,$P$708=0),"",$L$711-1),IF($R$17="Distrato",$E1187,0)),MIN(AB$38,$D$19),$P$20))-SUM($P1187:AA1187)</f>
        <v>#VALUE!</v>
      </c>
      <c r="AC1187" s="446" t="e">
        <f>IF(OR($B1187="",MIN(AC$38,$D$19)&lt;MAX($P$708*($B1187+IF($R$17="Distrato",$I$38-1,0)),IF(AND($L$711=0,$P$708=0),"",$L$711-1),IF($R$17="Distrato",$E1187,0))),0,YEARFRAC(MAX($P$708*($B1187+IF($R$17="Distrato",$I$38-1,0)),IF(AND($L$711=0,$P$708=0),"",$L$711-1),IF($R$17="Distrato",$E1187,0)),MIN(AC$38,$D$19),$P$20))-SUM($P1187:AB1187)</f>
        <v>#VALUE!</v>
      </c>
      <c r="AD1187" s="446" t="e">
        <f>IF(OR($B1187="",MIN(AD$38,$D$19)&lt;MAX($P$708*($B1187+IF($R$17="Distrato",$I$38-1,0)),IF(AND($L$711=0,$P$708=0),"",$L$711-1),IF($R$17="Distrato",$E1187,0))),0,YEARFRAC(MAX($P$708*($B1187+IF($R$17="Distrato",$I$38-1,0)),IF(AND($L$711=0,$P$708=0),"",$L$711-1),IF($R$17="Distrato",$E1187,0)),MIN(AD$38,$D$19),$P$20))-SUM($P1187:AC1187)</f>
        <v>#VALUE!</v>
      </c>
      <c r="AE1187" s="446" t="e">
        <f>IF(OR($B1187="",MIN(AE$38,$D$19)&lt;MAX($P$708*($B1187+IF($R$17="Distrato",$I$38-1,0)),IF(AND($L$711=0,$P$708=0),"",$L$711-1),IF($R$17="Distrato",$E1187,0))),0,YEARFRAC(MAX($P$708*($B1187+IF($R$17="Distrato",$I$38-1,0)),IF(AND($L$711=0,$P$708=0),"",$L$711-1),IF($R$17="Distrato",$E1187,0)),MIN(AE$38,$D$19),$P$20))-SUM($P1187:AD1187)</f>
        <v>#VALUE!</v>
      </c>
      <c r="AF1187" s="446" t="e">
        <f>IF(OR($B1187="",MIN(AF$38,$D$19)&lt;MAX($P$708*($B1187+IF($R$17="Distrato",$I$38-1,0)),IF(AND($L$711=0,$P$708=0),"",$L$711-1),IF($R$17="Distrato",$E1187,0))),0,YEARFRAC(MAX($P$708*($B1187+IF($R$17="Distrato",$I$38-1,0)),IF(AND($L$711=0,$P$708=0),"",$L$711-1),IF($R$17="Distrato",$E1187,0)),MIN(AF$38,$D$19),$P$20))-SUM($P1187:AE1187)</f>
        <v>#VALUE!</v>
      </c>
      <c r="AG1187" s="446" t="e">
        <f>IF(OR($B1187="",MIN(AG$38,$D$19)&lt;MAX($P$708*($B1187+IF($R$17="Distrato",$I$38-1,0)),IF(AND($L$711=0,$P$708=0),"",$L$711-1),IF($R$17="Distrato",$E1187,0))),0,YEARFRAC(MAX($P$708*($B1187+IF($R$17="Distrato",$I$38-1,0)),IF(AND($L$711=0,$P$708=0),"",$L$711-1),IF($R$17="Distrato",$E1187,0)),MIN(AG$38,$D$19),$P$20))-SUM($P1187:AF1187)</f>
        <v>#VALUE!</v>
      </c>
      <c r="AH1187" s="446" t="e">
        <f>IF(OR($B1187="",MIN(AH$38,$D$19)&lt;MAX($P$708*($B1187+IF($R$17="Distrato",$I$38-1,0)),IF(AND($L$711=0,$P$708=0),"",$L$711-1),IF($R$17="Distrato",$E1187,0))),0,YEARFRAC(MAX($P$708*($B1187+IF($R$17="Distrato",$I$38-1,0)),IF(AND($L$711=0,$P$708=0),"",$L$711-1),IF($R$17="Distrato",$E1187,0)),MIN(AH$38,$D$19),$P$20))-SUM($P1187:AG1187)</f>
        <v>#VALUE!</v>
      </c>
      <c r="AI1187" s="446" t="e">
        <f>IF(OR($B1187="",MIN(AI$38,$D$19)&lt;MAX($P$708*($B1187+IF($R$17="Distrato",$I$38-1,0)),IF(AND($L$711=0,$P$708=0),"",$L$711-1),IF($R$17="Distrato",$E1187,0))),0,YEARFRAC(MAX($P$708*($B1187+IF($R$17="Distrato",$I$38-1,0)),IF(AND($L$711=0,$P$708=0),"",$L$711-1),IF($R$17="Distrato",$E1187,0)),MIN(AI$38,$D$19),$P$20))-SUM($P1187:AH1187)</f>
        <v>#VALUE!</v>
      </c>
      <c r="AJ1187" s="446" t="e">
        <f>IF(OR($B1187="",MIN(AJ$38,$D$19)&lt;MAX($P$708*($B1187+IF($R$17="Distrato",$I$38-1,0)),IF(AND($L$711=0,$P$708=0),"",$L$711-1),IF($R$17="Distrato",$E1187,0))),0,YEARFRAC(MAX($P$708*($B1187+IF($R$17="Distrato",$I$38-1,0)),IF(AND($L$711=0,$P$708=0),"",$L$711-1),IF($R$17="Distrato",$E1187,0)),MIN(AJ$38,$D$19),$P$20))-SUM($P1187:AI1187)</f>
        <v>#VALUE!</v>
      </c>
      <c r="AK1187" s="446" t="e">
        <f>IF(OR($B1187="",MIN(AK$38,$D$19)&lt;MAX($P$708*($B1187+IF($R$17="Distrato",$I$38-1,0)),IF(AND($L$711=0,$P$708=0),"",$L$711-1),IF($R$17="Distrato",$E1187,0))),0,YEARFRAC(MAX($P$708*($B1187+IF($R$17="Distrato",$I$38-1,0)),IF(AND($L$711=0,$P$708=0),"",$L$711-1),IF($R$17="Distrato",$E1187,0)),MIN(AK$38,$D$19),$P$20))-SUM($P1187:AJ1187)</f>
        <v>#VALUE!</v>
      </c>
      <c r="AL1187" s="446" t="e">
        <f>IF(OR($B1187="",MIN(AL$38,$D$19)&lt;MAX($P$708*($B1187+IF($R$17="Distrato",$I$38-1,0)),IF(AND($L$711=0,$P$708=0),"",$L$711-1),IF($R$17="Distrato",$E1187,0))),0,YEARFRAC(MAX($P$708*($B1187+IF($R$17="Distrato",$I$38-1,0)),IF(AND($L$711=0,$P$708=0),"",$L$711-1),IF($R$17="Distrato",$E1187,0)),MIN(AL$38,$D$19),$P$20))-SUM($P1187:AK1187)</f>
        <v>#VALUE!</v>
      </c>
      <c r="AM1187" s="446" t="e">
        <f>IF(OR($B1187="",MIN(AM$38,$D$19)&lt;MAX($P$708*($B1187+IF($R$17="Distrato",$I$38-1,0)),IF(AND($L$711=0,$P$708=0),"",$L$711-1),IF($R$17="Distrato",$E1187,0))),0,YEARFRAC(MAX($P$708*($B1187+IF($R$17="Distrato",$I$38-1,0)),IF(AND($L$711=0,$P$708=0),"",$L$711-1),IF($R$17="Distrato",$E1187,0)),MIN(AM$38,$D$19),$P$20))-SUM($P1187:AL1187)</f>
        <v>#VALUE!</v>
      </c>
      <c r="AN1187" s="446" t="e">
        <f>IF(OR($B1187="",MIN(AN$38,$D$19)&lt;MAX($P$708*($B1187+IF($R$17="Distrato",$I$38-1,0)),IF(AND($L$711=0,$P$708=0),"",$L$711-1),IF($R$17="Distrato",$E1187,0))),0,YEARFRAC(MAX($P$708*($B1187+IF($R$17="Distrato",$I$38-1,0)),IF(AND($L$711=0,$P$708=0),"",$L$711-1),IF($R$17="Distrato",$E1187,0)),MIN(AN$38,$D$19),$P$20))-SUM($P1187:AM1187)</f>
        <v>#VALUE!</v>
      </c>
      <c r="AO1187" s="446" t="e">
        <f>IF(OR($B1187="",MIN(AO$38,$D$19)&lt;MAX($P$708*($B1187+IF($R$17="Distrato",$I$38-1,0)),IF(AND($L$711=0,$P$708=0),"",$L$711-1),IF($R$17="Distrato",$E1187,0))),0,YEARFRAC(MAX($P$708*($B1187+IF($R$17="Distrato",$I$38-1,0)),IF(AND($L$711=0,$P$708=0),"",$L$711-1),IF($R$17="Distrato",$E1187,0)),MIN(AO$38,$D$19),$P$20))-SUM($P1187:AN1187)</f>
        <v>#VALUE!</v>
      </c>
      <c r="AP1187" s="446" t="e">
        <f>IF(OR($B1187="",MIN(AP$38,$D$19)&lt;MAX($P$708*($B1187+IF($R$17="Distrato",$I$38-1,0)),IF(AND($L$711=0,$P$708=0),"",$L$711-1),IF($R$17="Distrato",$E1187,0))),0,YEARFRAC(MAX($P$708*($B1187+IF($R$17="Distrato",$I$38-1,0)),IF(AND($L$711=0,$P$708=0),"",$L$711-1),IF($R$17="Distrato",$E1187,0)),MIN(AP$38,$D$19),$P$20))-SUM($P1187:AO1187)</f>
        <v>#VALUE!</v>
      </c>
      <c r="AQ1187" s="446" t="e">
        <f>IF(OR($B1187="",MIN(AQ$38,$D$19)&lt;MAX($P$708*($B1187+IF($R$17="Distrato",$I$38-1,0)),IF(AND($L$711=0,$P$708=0),"",$L$711-1),IF($R$17="Distrato",$E1187,0))),0,YEARFRAC(MAX($P$708*($B1187+IF($R$17="Distrato",$I$38-1,0)),IF(AND($L$711=0,$P$708=0),"",$L$711-1),IF($R$17="Distrato",$E1187,0)),MIN(AQ$38,$D$19),$P$20))-SUM($P1187:AP1187)</f>
        <v>#VALUE!</v>
      </c>
      <c r="AR1187" s="446" t="e">
        <f>IF(OR($B1187="",MIN(AR$38,$D$19)&lt;MAX($P$708*($B1187+IF($R$17="Distrato",$I$38-1,0)),IF(AND($L$711=0,$P$708=0),"",$L$711-1),IF($R$17="Distrato",$E1187,0))),0,YEARFRAC(MAX($P$708*($B1187+IF($R$17="Distrato",$I$38-1,0)),IF(AND($L$711=0,$P$708=0),"",$L$711-1),IF($R$17="Distrato",$E1187,0)),MIN(AR$38,$D$19),$P$20))-SUM($P1187:AQ1187)</f>
        <v>#VALUE!</v>
      </c>
      <c r="AS1187" s="446" t="e">
        <f>IF(OR($B1187="",MIN(AS$38,$D$19)&lt;MAX($P$708*($B1187+IF($R$17="Distrato",$I$38-1,0)),IF(AND($L$711=0,$P$708=0),"",$L$711-1),IF($R$17="Distrato",$E1187,0))),0,YEARFRAC(MAX($P$708*($B1187+IF($R$17="Distrato",$I$38-1,0)),IF(AND($L$711=0,$P$708=0),"",$L$711-1),IF($R$17="Distrato",$E1187,0)),MIN(AS$38,$D$19),$P$20))-SUM($P1187:AR1187)</f>
        <v>#VALUE!</v>
      </c>
      <c r="AT1187" s="446" t="e">
        <f>IF(OR($B1187="",MIN(AT$38,$D$19)&lt;MAX($P$708*($B1187+IF($R$17="Distrato",$I$38-1,0)),IF(AND($L$711=0,$P$708=0),"",$L$711-1),IF($R$17="Distrato",$E1187,0))),0,YEARFRAC(MAX($P$708*($B1187+IF($R$17="Distrato",$I$38-1,0)),IF(AND($L$711=0,$P$708=0),"",$L$711-1),IF($R$17="Distrato",$E1187,0)),MIN(AT$38,$D$19),$P$20))-SUM($P1187:AS1187)</f>
        <v>#VALUE!</v>
      </c>
      <c r="AU1187" s="446" t="e">
        <f>IF(OR($B1187="",MIN(AU$38,$D$19)&lt;MAX($P$708*($B1187+IF($R$17="Distrato",$I$38-1,0)),IF(AND($L$711=0,$P$708=0),"",$L$711-1),IF($R$17="Distrato",$E1187,0))),0,YEARFRAC(MAX($P$708*($B1187+IF($R$17="Distrato",$I$38-1,0)),IF(AND($L$711=0,$P$708=0),"",$L$711-1),IF($R$17="Distrato",$E1187,0)),MIN(AU$38,$D$19),$P$20))-SUM($P1187:AT1187)</f>
        <v>#VALUE!</v>
      </c>
      <c r="AV1187" s="446" t="e">
        <f>IF(OR($B1187="",MIN(AV$38,$D$19)&lt;MAX($P$708*($B1187+IF($R$17="Distrato",$I$38-1,0)),IF(AND($L$711=0,$P$708=0),"",$L$711-1),IF($R$17="Distrato",$E1187,0))),0,YEARFRAC(MAX($P$708*($B1187+IF($R$17="Distrato",$I$38-1,0)),IF(AND($L$711=0,$P$708=0),"",$L$711-1),IF($R$17="Distrato",$E1187,0)),MIN(AV$38,$D$19),$P$20))-SUM($P1187:AU1187)</f>
        <v>#VALUE!</v>
      </c>
      <c r="AW1187" s="446" t="e">
        <f>IF(OR($B1187="",MIN(AW$38,$D$19)&lt;MAX($P$708*($B1187+IF($R$17="Distrato",$I$38-1,0)),IF(AND($L$711=0,$P$708=0),"",$L$711-1),IF($R$17="Distrato",$E1187,0))),0,YEARFRAC(MAX($P$708*($B1187+IF($R$17="Distrato",$I$38-1,0)),IF(AND($L$711=0,$P$708=0),"",$L$711-1),IF($R$17="Distrato",$E1187,0)),MIN(AW$38,$D$19),$P$20))-SUM($P1187:AV1187)</f>
        <v>#VALUE!</v>
      </c>
      <c r="AX1187" s="446" t="e">
        <f>IF(OR($B1187="",MIN(AX$38,$D$19)&lt;MAX($P$708*($B1187+IF($R$17="Distrato",$I$38-1,0)),IF(AND($L$711=0,$P$708=0),"",$L$711-1),IF($R$17="Distrato",$E1187,0))),0,YEARFRAC(MAX($P$708*($B1187+IF($R$17="Distrato",$I$38-1,0)),IF(AND($L$711=0,$P$708=0),"",$L$711-1),IF($R$17="Distrato",$E1187,0)),MIN(AX$38,$D$19),$P$20))-SUM($P1187:AW1187)</f>
        <v>#VALUE!</v>
      </c>
      <c r="AY1187" s="446" t="e">
        <f>IF(OR($B1187="",MIN(AY$38,$D$19)&lt;MAX($P$708*($B1187+IF($R$17="Distrato",$I$38-1,0)),IF(AND($L$711=0,$P$708=0),"",$L$711-1),IF($R$17="Distrato",$E1187,0))),0,YEARFRAC(MAX($P$708*($B1187+IF($R$17="Distrato",$I$38-1,0)),IF(AND($L$711=0,$P$708=0),"",$L$711-1),IF($R$17="Distrato",$E1187,0)),MIN(AY$38,$D$19),$P$20))-SUM($P1187:AX1187)</f>
        <v>#VALUE!</v>
      </c>
      <c r="AZ1187" s="446" t="e">
        <f>IF(OR($B1187="",MIN(AZ$38,$D$19)&lt;MAX($P$708*($B1187+IF($R$17="Distrato",$I$38-1,0)),IF(AND($L$711=0,$P$708=0),"",$L$711-1),IF($R$17="Distrato",$E1187,0))),0,YEARFRAC(MAX($P$708*($B1187+IF($R$17="Distrato",$I$38-1,0)),IF(AND($L$711=0,$P$708=0),"",$L$711-1),IF($R$17="Distrato",$E1187,0)),MIN(AZ$38,$D$19),$P$20))-SUM($P1187:AY1187)</f>
        <v>#VALUE!</v>
      </c>
      <c r="BA1187" s="446" t="e">
        <f>IF(OR($B1187="",MIN(BA$38,$D$19)&lt;MAX($P$708*($B1187+IF($R$17="Distrato",$I$38-1,0)),IF(AND($L$711=0,$P$708=0),"",$L$711-1),IF($R$17="Distrato",$E1187,0))),0,YEARFRAC(MAX($P$708*($B1187+IF($R$17="Distrato",$I$38-1,0)),IF(AND($L$711=0,$P$708=0),"",$L$711-1),IF($R$17="Distrato",$E1187,0)),MIN(BA$38,$D$19),$P$20))-SUM($P1187:AZ1187)</f>
        <v>#VALUE!</v>
      </c>
      <c r="BB1187" s="447"/>
    </row>
    <row r="1188" spans="1:54" s="446" customFormat="1" ht="11.25" hidden="1" customHeight="1" x14ac:dyDescent="0.2">
      <c r="A1188" s="235"/>
      <c r="B1188" s="236"/>
      <c r="C1188" s="29" t="str">
        <f>IF(B1188="","",IF($L$709=$BL$25,VLOOKUP(DATE(YEAR($D$19),MONTH($D$19)-1,1),ÍNDICES!$A:$DE,HLOOKUP($BL$25,ÍNDICES!$B$3:$T$4,2)+11)-VLOOKUP(B1188,ÍNDICES!$A:$DE,HLOOKUP($BL$25,ÍNDICES!$B$3:$T$4,2)+11)+1%,IF(C$712=$W$26,$J$35,IF(ISERROR(IF(B1188&gt;$D$19,1,VLOOKUP(DATE(YEAR(B1188),MONTH(B1188)+IF($C$709=$S$23,1,0),1),ÍNDICES!$A:$DE,$Z$709+1))),"",IF(B1188&gt;$D$19,1,VLOOKUP(DATE(YEAR(B1188),MONTH(B1188)+IF($C$709=$S$23,1,0),1),ÍNDICES!$A:$DE,$Z$709+1))))))</f>
        <v/>
      </c>
      <c r="D1188" s="155"/>
      <c r="E1188" s="88"/>
      <c r="F1188" s="88"/>
      <c r="G1188" s="88"/>
      <c r="H1188" s="118"/>
      <c r="I1188" s="182">
        <f t="shared" si="164"/>
        <v>0</v>
      </c>
      <c r="J1188" s="20">
        <f t="shared" ca="1" si="165"/>
        <v>0</v>
      </c>
      <c r="K1188" s="5">
        <f t="shared" ca="1" si="166"/>
        <v>0</v>
      </c>
      <c r="L1188" s="61">
        <f t="shared" ca="1" si="167"/>
        <v>0</v>
      </c>
      <c r="M1188" s="64">
        <f t="shared" si="168"/>
        <v>0</v>
      </c>
      <c r="N1188" s="151"/>
      <c r="O1188" s="5">
        <f t="shared" ca="1" si="169"/>
        <v>0</v>
      </c>
      <c r="P1188" s="446" t="e">
        <f t="shared" si="170"/>
        <v>#VALUE!</v>
      </c>
      <c r="Q1188" s="446" t="e">
        <f>IF(OR($B1188="",MIN(Q$38,$D$19)&lt;MAX($P$708*($B1188+IF($R$17="Distrato",$I$38-1,0)),IF(AND($L$711=0,$P$708=0),"",$L$711-1),IF($R$17="Distrato",$E1188,0))),0,YEARFRAC(MAX($P$708*($B1188+IF($R$17="Distrato",$I$38-1,0)),IF(AND($L$711=0,$P$708=0),"",$L$711-1),IF($R$17="Distrato",$E1188,0)),MIN(Q$38,$D$19),$P$20))-SUM($P1188:P1188)</f>
        <v>#VALUE!</v>
      </c>
      <c r="R1188" s="446" t="e">
        <f>IF(OR($B1188="",MIN(R$38,$D$19)&lt;MAX($P$708*($B1188+IF($R$17="Distrato",$I$38-1,0)),IF(AND($L$711=0,$P$708=0),"",$L$711-1),IF($R$17="Distrato",$E1188,0))),0,YEARFRAC(MAX($P$708*($B1188+IF($R$17="Distrato",$I$38-1,0)),IF(AND($L$711=0,$P$708=0),"",$L$711-1),IF($R$17="Distrato",$E1188,0)),MIN(R$38,$D$19),$P$20))-SUM($P1188:Q1188)</f>
        <v>#VALUE!</v>
      </c>
      <c r="S1188" s="446" t="e">
        <f>IF(OR($B1188="",MIN(S$38,$D$19)&lt;MAX($P$708*($B1188+IF($R$17="Distrato",$I$38-1,0)),IF(AND($L$711=0,$P$708=0),"",$L$711-1),IF($R$17="Distrato",$E1188,0))),0,YEARFRAC(MAX($P$708*($B1188+IF($R$17="Distrato",$I$38-1,0)),IF(AND($L$711=0,$P$708=0),"",$L$711-1),IF($R$17="Distrato",$E1188,0)),MIN(S$38,$D$19),$P$20))-SUM($P1188:R1188)</f>
        <v>#VALUE!</v>
      </c>
      <c r="T1188" s="446" t="e">
        <f>IF(OR($B1188="",MIN(T$38,$D$19)&lt;MAX($P$708*($B1188+IF($R$17="Distrato",$I$38-1,0)),IF(AND($L$711=0,$P$708=0),"",$L$711-1),IF($R$17="Distrato",$E1188,0))),0,YEARFRAC(MAX($P$708*($B1188+IF($R$17="Distrato",$I$38-1,0)),IF(AND($L$711=0,$P$708=0),"",$L$711-1),IF($R$17="Distrato",$E1188,0)),MIN(T$38,$D$19),$P$20))-SUM($P1188:S1188)</f>
        <v>#VALUE!</v>
      </c>
      <c r="U1188" s="446" t="e">
        <f>IF(OR($B1188="",MIN(U$38,$D$19)&lt;MAX($P$708*($B1188+IF($R$17="Distrato",$I$38-1,0)),IF(AND($L$711=0,$P$708=0),"",$L$711-1),IF($R$17="Distrato",$E1188,0))),0,YEARFRAC(MAX($P$708*($B1188+IF($R$17="Distrato",$I$38-1,0)),IF(AND($L$711=0,$P$708=0),"",$L$711-1),IF($R$17="Distrato",$E1188,0)),MIN(U$38,$D$19),$P$20))-SUM($P1188:T1188)</f>
        <v>#VALUE!</v>
      </c>
      <c r="V1188" s="446" t="e">
        <f>IF(OR($B1188="",MIN(V$38,$D$19)&lt;MAX($P$708*($B1188+IF($R$17="Distrato",$I$38-1,0)),IF(AND($L$711=0,$P$708=0),"",$L$711-1),IF($R$17="Distrato",$E1188,0))),0,YEARFRAC(MAX($P$708*($B1188+IF($R$17="Distrato",$I$38-1,0)),IF(AND($L$711=0,$P$708=0),"",$L$711-1),IF($R$17="Distrato",$E1188,0)),MIN(V$38,$D$19),$P$20))-SUM($P1188:U1188)</f>
        <v>#VALUE!</v>
      </c>
      <c r="W1188" s="446" t="e">
        <f>IF(OR($B1188="",MIN(W$38,$D$19)&lt;MAX($P$708*($B1188+IF($R$17="Distrato",$I$38-1,0)),IF(AND($L$711=0,$P$708=0),"",$L$711-1),IF($R$17="Distrato",$E1188,0))),0,YEARFRAC(MAX($P$708*($B1188+IF($R$17="Distrato",$I$38-1,0)),IF(AND($L$711=0,$P$708=0),"",$L$711-1),IF($R$17="Distrato",$E1188,0)),MIN(W$38,$D$19),$P$20))-SUM($P1188:V1188)</f>
        <v>#VALUE!</v>
      </c>
      <c r="X1188" s="446" t="e">
        <f>IF(OR($B1188="",MIN(X$38,$D$19)&lt;MAX($P$708*($B1188+IF($R$17="Distrato",$I$38-1,0)),IF(AND($L$711=0,$P$708=0),"",$L$711-1),IF($R$17="Distrato",$E1188,0))),0,YEARFRAC(MAX($P$708*($B1188+IF($R$17="Distrato",$I$38-1,0)),IF(AND($L$711=0,$P$708=0),"",$L$711-1),IF($R$17="Distrato",$E1188,0)),MIN(X$38,$D$19),$P$20))-SUM($P1188:W1188)</f>
        <v>#VALUE!</v>
      </c>
      <c r="Y1188" s="446" t="e">
        <f>IF(OR($B1188="",MIN(Y$38,$D$19)&lt;MAX($P$708*($B1188+IF($R$17="Distrato",$I$38-1,0)),IF(AND($L$711=0,$P$708=0),"",$L$711-1),IF($R$17="Distrato",$E1188,0))),0,YEARFRAC(MAX($P$708*($B1188+IF($R$17="Distrato",$I$38-1,0)),IF(AND($L$711=0,$P$708=0),"",$L$711-1),IF($R$17="Distrato",$E1188,0)),MIN(Y$38,$D$19),$P$20))-SUM($P1188:X1188)</f>
        <v>#VALUE!</v>
      </c>
      <c r="Z1188" s="446" t="e">
        <f>IF(OR($B1188="",MIN(Z$38,$D$19)&lt;MAX($P$708*($B1188+IF($R$17="Distrato",$I$38-1,0)),IF(AND($L$711=0,$P$708=0),"",$L$711-1),IF($R$17="Distrato",$E1188,0))),0,YEARFRAC(MAX($P$708*($B1188+IF($R$17="Distrato",$I$38-1,0)),IF(AND($L$711=0,$P$708=0),"",$L$711-1),IF($R$17="Distrato",$E1188,0)),MIN(Z$38,$D$19),$P$20))-SUM($P1188:Y1188)</f>
        <v>#VALUE!</v>
      </c>
      <c r="AA1188" s="446" t="e">
        <f>IF(OR($B1188="",MIN(AA$38,$D$19)&lt;MAX($P$708*($B1188+IF($R$17="Distrato",$I$38-1,0)),IF(AND($L$711=0,$P$708=0),"",$L$711-1),IF($R$17="Distrato",$E1188,0))),0,YEARFRAC(MAX($P$708*($B1188+IF($R$17="Distrato",$I$38-1,0)),IF(AND($L$711=0,$P$708=0),"",$L$711-1),IF($R$17="Distrato",$E1188,0)),MIN(AA$38,$D$19),$P$20))-SUM($P1188:Z1188)</f>
        <v>#VALUE!</v>
      </c>
      <c r="AB1188" s="446" t="e">
        <f>IF(OR($B1188="",MIN(AB$38,$D$19)&lt;MAX($P$708*($B1188+IF($R$17="Distrato",$I$38-1,0)),IF(AND($L$711=0,$P$708=0),"",$L$711-1),IF($R$17="Distrato",$E1188,0))),0,YEARFRAC(MAX($P$708*($B1188+IF($R$17="Distrato",$I$38-1,0)),IF(AND($L$711=0,$P$708=0),"",$L$711-1),IF($R$17="Distrato",$E1188,0)),MIN(AB$38,$D$19),$P$20))-SUM($P1188:AA1188)</f>
        <v>#VALUE!</v>
      </c>
      <c r="AC1188" s="446" t="e">
        <f>IF(OR($B1188="",MIN(AC$38,$D$19)&lt;MAX($P$708*($B1188+IF($R$17="Distrato",$I$38-1,0)),IF(AND($L$711=0,$P$708=0),"",$L$711-1),IF($R$17="Distrato",$E1188,0))),0,YEARFRAC(MAX($P$708*($B1188+IF($R$17="Distrato",$I$38-1,0)),IF(AND($L$711=0,$P$708=0),"",$L$711-1),IF($R$17="Distrato",$E1188,0)),MIN(AC$38,$D$19),$P$20))-SUM($P1188:AB1188)</f>
        <v>#VALUE!</v>
      </c>
      <c r="AD1188" s="446" t="e">
        <f>IF(OR($B1188="",MIN(AD$38,$D$19)&lt;MAX($P$708*($B1188+IF($R$17="Distrato",$I$38-1,0)),IF(AND($L$711=0,$P$708=0),"",$L$711-1),IF($R$17="Distrato",$E1188,0))),0,YEARFRAC(MAX($P$708*($B1188+IF($R$17="Distrato",$I$38-1,0)),IF(AND($L$711=0,$P$708=0),"",$L$711-1),IF($R$17="Distrato",$E1188,0)),MIN(AD$38,$D$19),$P$20))-SUM($P1188:AC1188)</f>
        <v>#VALUE!</v>
      </c>
      <c r="AE1188" s="446" t="e">
        <f>IF(OR($B1188="",MIN(AE$38,$D$19)&lt;MAX($P$708*($B1188+IF($R$17="Distrato",$I$38-1,0)),IF(AND($L$711=0,$P$708=0),"",$L$711-1),IF($R$17="Distrato",$E1188,0))),0,YEARFRAC(MAX($P$708*($B1188+IF($R$17="Distrato",$I$38-1,0)),IF(AND($L$711=0,$P$708=0),"",$L$711-1),IF($R$17="Distrato",$E1188,0)),MIN(AE$38,$D$19),$P$20))-SUM($P1188:AD1188)</f>
        <v>#VALUE!</v>
      </c>
      <c r="AF1188" s="446" t="e">
        <f>IF(OR($B1188="",MIN(AF$38,$D$19)&lt;MAX($P$708*($B1188+IF($R$17="Distrato",$I$38-1,0)),IF(AND($L$711=0,$P$708=0),"",$L$711-1),IF($R$17="Distrato",$E1188,0))),0,YEARFRAC(MAX($P$708*($B1188+IF($R$17="Distrato",$I$38-1,0)),IF(AND($L$711=0,$P$708=0),"",$L$711-1),IF($R$17="Distrato",$E1188,0)),MIN(AF$38,$D$19),$P$20))-SUM($P1188:AE1188)</f>
        <v>#VALUE!</v>
      </c>
      <c r="AG1188" s="446" t="e">
        <f>IF(OR($B1188="",MIN(AG$38,$D$19)&lt;MAX($P$708*($B1188+IF($R$17="Distrato",$I$38-1,0)),IF(AND($L$711=0,$P$708=0),"",$L$711-1),IF($R$17="Distrato",$E1188,0))),0,YEARFRAC(MAX($P$708*($B1188+IF($R$17="Distrato",$I$38-1,0)),IF(AND($L$711=0,$P$708=0),"",$L$711-1),IF($R$17="Distrato",$E1188,0)),MIN(AG$38,$D$19),$P$20))-SUM($P1188:AF1188)</f>
        <v>#VALUE!</v>
      </c>
      <c r="AH1188" s="446" t="e">
        <f>IF(OR($B1188="",MIN(AH$38,$D$19)&lt;MAX($P$708*($B1188+IF($R$17="Distrato",$I$38-1,0)),IF(AND($L$711=0,$P$708=0),"",$L$711-1),IF($R$17="Distrato",$E1188,0))),0,YEARFRAC(MAX($P$708*($B1188+IF($R$17="Distrato",$I$38-1,0)),IF(AND($L$711=0,$P$708=0),"",$L$711-1),IF($R$17="Distrato",$E1188,0)),MIN(AH$38,$D$19),$P$20))-SUM($P1188:AG1188)</f>
        <v>#VALUE!</v>
      </c>
      <c r="AI1188" s="446" t="e">
        <f>IF(OR($B1188="",MIN(AI$38,$D$19)&lt;MAX($P$708*($B1188+IF($R$17="Distrato",$I$38-1,0)),IF(AND($L$711=0,$P$708=0),"",$L$711-1),IF($R$17="Distrato",$E1188,0))),0,YEARFRAC(MAX($P$708*($B1188+IF($R$17="Distrato",$I$38-1,0)),IF(AND($L$711=0,$P$708=0),"",$L$711-1),IF($R$17="Distrato",$E1188,0)),MIN(AI$38,$D$19),$P$20))-SUM($P1188:AH1188)</f>
        <v>#VALUE!</v>
      </c>
      <c r="AJ1188" s="446" t="e">
        <f>IF(OR($B1188="",MIN(AJ$38,$D$19)&lt;MAX($P$708*($B1188+IF($R$17="Distrato",$I$38-1,0)),IF(AND($L$711=0,$P$708=0),"",$L$711-1),IF($R$17="Distrato",$E1188,0))),0,YEARFRAC(MAX($P$708*($B1188+IF($R$17="Distrato",$I$38-1,0)),IF(AND($L$711=0,$P$708=0),"",$L$711-1),IF($R$17="Distrato",$E1188,0)),MIN(AJ$38,$D$19),$P$20))-SUM($P1188:AI1188)</f>
        <v>#VALUE!</v>
      </c>
      <c r="AK1188" s="446" t="e">
        <f>IF(OR($B1188="",MIN(AK$38,$D$19)&lt;MAX($P$708*($B1188+IF($R$17="Distrato",$I$38-1,0)),IF(AND($L$711=0,$P$708=0),"",$L$711-1),IF($R$17="Distrato",$E1188,0))),0,YEARFRAC(MAX($P$708*($B1188+IF($R$17="Distrato",$I$38-1,0)),IF(AND($L$711=0,$P$708=0),"",$L$711-1),IF($R$17="Distrato",$E1188,0)),MIN(AK$38,$D$19),$P$20))-SUM($P1188:AJ1188)</f>
        <v>#VALUE!</v>
      </c>
      <c r="AL1188" s="446" t="e">
        <f>IF(OR($B1188="",MIN(AL$38,$D$19)&lt;MAX($P$708*($B1188+IF($R$17="Distrato",$I$38-1,0)),IF(AND($L$711=0,$P$708=0),"",$L$711-1),IF($R$17="Distrato",$E1188,0))),0,YEARFRAC(MAX($P$708*($B1188+IF($R$17="Distrato",$I$38-1,0)),IF(AND($L$711=0,$P$708=0),"",$L$711-1),IF($R$17="Distrato",$E1188,0)),MIN(AL$38,$D$19),$P$20))-SUM($P1188:AK1188)</f>
        <v>#VALUE!</v>
      </c>
      <c r="AM1188" s="446" t="e">
        <f>IF(OR($B1188="",MIN(AM$38,$D$19)&lt;MAX($P$708*($B1188+IF($R$17="Distrato",$I$38-1,0)),IF(AND($L$711=0,$P$708=0),"",$L$711-1),IF($R$17="Distrato",$E1188,0))),0,YEARFRAC(MAX($P$708*($B1188+IF($R$17="Distrato",$I$38-1,0)),IF(AND($L$711=0,$P$708=0),"",$L$711-1),IF($R$17="Distrato",$E1188,0)),MIN(AM$38,$D$19),$P$20))-SUM($P1188:AL1188)</f>
        <v>#VALUE!</v>
      </c>
      <c r="AN1188" s="446" t="e">
        <f>IF(OR($B1188="",MIN(AN$38,$D$19)&lt;MAX($P$708*($B1188+IF($R$17="Distrato",$I$38-1,0)),IF(AND($L$711=0,$P$708=0),"",$L$711-1),IF($R$17="Distrato",$E1188,0))),0,YEARFRAC(MAX($P$708*($B1188+IF($R$17="Distrato",$I$38-1,0)),IF(AND($L$711=0,$P$708=0),"",$L$711-1),IF($R$17="Distrato",$E1188,0)),MIN(AN$38,$D$19),$P$20))-SUM($P1188:AM1188)</f>
        <v>#VALUE!</v>
      </c>
      <c r="AO1188" s="446" t="e">
        <f>IF(OR($B1188="",MIN(AO$38,$D$19)&lt;MAX($P$708*($B1188+IF($R$17="Distrato",$I$38-1,0)),IF(AND($L$711=0,$P$708=0),"",$L$711-1),IF($R$17="Distrato",$E1188,0))),0,YEARFRAC(MAX($P$708*($B1188+IF($R$17="Distrato",$I$38-1,0)),IF(AND($L$711=0,$P$708=0),"",$L$711-1),IF($R$17="Distrato",$E1188,0)),MIN(AO$38,$D$19),$P$20))-SUM($P1188:AN1188)</f>
        <v>#VALUE!</v>
      </c>
      <c r="AP1188" s="446" t="e">
        <f>IF(OR($B1188="",MIN(AP$38,$D$19)&lt;MAX($P$708*($B1188+IF($R$17="Distrato",$I$38-1,0)),IF(AND($L$711=0,$P$708=0),"",$L$711-1),IF($R$17="Distrato",$E1188,0))),0,YEARFRAC(MAX($P$708*($B1188+IF($R$17="Distrato",$I$38-1,0)),IF(AND($L$711=0,$P$708=0),"",$L$711-1),IF($R$17="Distrato",$E1188,0)),MIN(AP$38,$D$19),$P$20))-SUM($P1188:AO1188)</f>
        <v>#VALUE!</v>
      </c>
      <c r="AQ1188" s="446" t="e">
        <f>IF(OR($B1188="",MIN(AQ$38,$D$19)&lt;MAX($P$708*($B1188+IF($R$17="Distrato",$I$38-1,0)),IF(AND($L$711=0,$P$708=0),"",$L$711-1),IF($R$17="Distrato",$E1188,0))),0,YEARFRAC(MAX($P$708*($B1188+IF($R$17="Distrato",$I$38-1,0)),IF(AND($L$711=0,$P$708=0),"",$L$711-1),IF($R$17="Distrato",$E1188,0)),MIN(AQ$38,$D$19),$P$20))-SUM($P1188:AP1188)</f>
        <v>#VALUE!</v>
      </c>
      <c r="AR1188" s="446" t="e">
        <f>IF(OR($B1188="",MIN(AR$38,$D$19)&lt;MAX($P$708*($B1188+IF($R$17="Distrato",$I$38-1,0)),IF(AND($L$711=0,$P$708=0),"",$L$711-1),IF($R$17="Distrato",$E1188,0))),0,YEARFRAC(MAX($P$708*($B1188+IF($R$17="Distrato",$I$38-1,0)),IF(AND($L$711=0,$P$708=0),"",$L$711-1),IF($R$17="Distrato",$E1188,0)),MIN(AR$38,$D$19),$P$20))-SUM($P1188:AQ1188)</f>
        <v>#VALUE!</v>
      </c>
      <c r="AS1188" s="446" t="e">
        <f>IF(OR($B1188="",MIN(AS$38,$D$19)&lt;MAX($P$708*($B1188+IF($R$17="Distrato",$I$38-1,0)),IF(AND($L$711=0,$P$708=0),"",$L$711-1),IF($R$17="Distrato",$E1188,0))),0,YEARFRAC(MAX($P$708*($B1188+IF($R$17="Distrato",$I$38-1,0)),IF(AND($L$711=0,$P$708=0),"",$L$711-1),IF($R$17="Distrato",$E1188,0)),MIN(AS$38,$D$19),$P$20))-SUM($P1188:AR1188)</f>
        <v>#VALUE!</v>
      </c>
      <c r="AT1188" s="446" t="e">
        <f>IF(OR($B1188="",MIN(AT$38,$D$19)&lt;MAX($P$708*($B1188+IF($R$17="Distrato",$I$38-1,0)),IF(AND($L$711=0,$P$708=0),"",$L$711-1),IF($R$17="Distrato",$E1188,0))),0,YEARFRAC(MAX($P$708*($B1188+IF($R$17="Distrato",$I$38-1,0)),IF(AND($L$711=0,$P$708=0),"",$L$711-1),IF($R$17="Distrato",$E1188,0)),MIN(AT$38,$D$19),$P$20))-SUM($P1188:AS1188)</f>
        <v>#VALUE!</v>
      </c>
      <c r="AU1188" s="446" t="e">
        <f>IF(OR($B1188="",MIN(AU$38,$D$19)&lt;MAX($P$708*($B1188+IF($R$17="Distrato",$I$38-1,0)),IF(AND($L$711=0,$P$708=0),"",$L$711-1),IF($R$17="Distrato",$E1188,0))),0,YEARFRAC(MAX($P$708*($B1188+IF($R$17="Distrato",$I$38-1,0)),IF(AND($L$711=0,$P$708=0),"",$L$711-1),IF($R$17="Distrato",$E1188,0)),MIN(AU$38,$D$19),$P$20))-SUM($P1188:AT1188)</f>
        <v>#VALUE!</v>
      </c>
      <c r="AV1188" s="446" t="e">
        <f>IF(OR($B1188="",MIN(AV$38,$D$19)&lt;MAX($P$708*($B1188+IF($R$17="Distrato",$I$38-1,0)),IF(AND($L$711=0,$P$708=0),"",$L$711-1),IF($R$17="Distrato",$E1188,0))),0,YEARFRAC(MAX($P$708*($B1188+IF($R$17="Distrato",$I$38-1,0)),IF(AND($L$711=0,$P$708=0),"",$L$711-1),IF($R$17="Distrato",$E1188,0)),MIN(AV$38,$D$19),$P$20))-SUM($P1188:AU1188)</f>
        <v>#VALUE!</v>
      </c>
      <c r="AW1188" s="446" t="e">
        <f>IF(OR($B1188="",MIN(AW$38,$D$19)&lt;MAX($P$708*($B1188+IF($R$17="Distrato",$I$38-1,0)),IF(AND($L$711=0,$P$708=0),"",$L$711-1),IF($R$17="Distrato",$E1188,0))),0,YEARFRAC(MAX($P$708*($B1188+IF($R$17="Distrato",$I$38-1,0)),IF(AND($L$711=0,$P$708=0),"",$L$711-1),IF($R$17="Distrato",$E1188,0)),MIN(AW$38,$D$19),$P$20))-SUM($P1188:AV1188)</f>
        <v>#VALUE!</v>
      </c>
      <c r="AX1188" s="446" t="e">
        <f>IF(OR($B1188="",MIN(AX$38,$D$19)&lt;MAX($P$708*($B1188+IF($R$17="Distrato",$I$38-1,0)),IF(AND($L$711=0,$P$708=0),"",$L$711-1),IF($R$17="Distrato",$E1188,0))),0,YEARFRAC(MAX($P$708*($B1188+IF($R$17="Distrato",$I$38-1,0)),IF(AND($L$711=0,$P$708=0),"",$L$711-1),IF($R$17="Distrato",$E1188,0)),MIN(AX$38,$D$19),$P$20))-SUM($P1188:AW1188)</f>
        <v>#VALUE!</v>
      </c>
      <c r="AY1188" s="446" t="e">
        <f>IF(OR($B1188="",MIN(AY$38,$D$19)&lt;MAX($P$708*($B1188+IF($R$17="Distrato",$I$38-1,0)),IF(AND($L$711=0,$P$708=0),"",$L$711-1),IF($R$17="Distrato",$E1188,0))),0,YEARFRAC(MAX($P$708*($B1188+IF($R$17="Distrato",$I$38-1,0)),IF(AND($L$711=0,$P$708=0),"",$L$711-1),IF($R$17="Distrato",$E1188,0)),MIN(AY$38,$D$19),$P$20))-SUM($P1188:AX1188)</f>
        <v>#VALUE!</v>
      </c>
      <c r="AZ1188" s="446" t="e">
        <f>IF(OR($B1188="",MIN(AZ$38,$D$19)&lt;MAX($P$708*($B1188+IF($R$17="Distrato",$I$38-1,0)),IF(AND($L$711=0,$P$708=0),"",$L$711-1),IF($R$17="Distrato",$E1188,0))),0,YEARFRAC(MAX($P$708*($B1188+IF($R$17="Distrato",$I$38-1,0)),IF(AND($L$711=0,$P$708=0),"",$L$711-1),IF($R$17="Distrato",$E1188,0)),MIN(AZ$38,$D$19),$P$20))-SUM($P1188:AY1188)</f>
        <v>#VALUE!</v>
      </c>
      <c r="BA1188" s="446" t="e">
        <f>IF(OR($B1188="",MIN(BA$38,$D$19)&lt;MAX($P$708*($B1188+IF($R$17="Distrato",$I$38-1,0)),IF(AND($L$711=0,$P$708=0),"",$L$711-1),IF($R$17="Distrato",$E1188,0))),0,YEARFRAC(MAX($P$708*($B1188+IF($R$17="Distrato",$I$38-1,0)),IF(AND($L$711=0,$P$708=0),"",$L$711-1),IF($R$17="Distrato",$E1188,0)),MIN(BA$38,$D$19),$P$20))-SUM($P1188:AZ1188)</f>
        <v>#VALUE!</v>
      </c>
      <c r="BB1188" s="447"/>
    </row>
    <row r="1189" spans="1:54" s="446" customFormat="1" ht="11.25" hidden="1" customHeight="1" x14ac:dyDescent="0.2">
      <c r="A1189" s="235"/>
      <c r="B1189" s="236"/>
      <c r="C1189" s="29" t="str">
        <f>IF(B1189="","",IF($L$709=$BL$25,VLOOKUP(DATE(YEAR($D$19),MONTH($D$19)-1,1),ÍNDICES!$A:$DE,HLOOKUP($BL$25,ÍNDICES!$B$3:$T$4,2)+11)-VLOOKUP(B1189,ÍNDICES!$A:$DE,HLOOKUP($BL$25,ÍNDICES!$B$3:$T$4,2)+11)+1%,IF(C$712=$W$26,$J$35,IF(ISERROR(IF(B1189&gt;$D$19,1,VLOOKUP(DATE(YEAR(B1189),MONTH(B1189)+IF($C$709=$S$23,1,0),1),ÍNDICES!$A:$DE,$Z$709+1))),"",IF(B1189&gt;$D$19,1,VLOOKUP(DATE(YEAR(B1189),MONTH(B1189)+IF($C$709=$S$23,1,0),1),ÍNDICES!$A:$DE,$Z$709+1))))))</f>
        <v/>
      </c>
      <c r="D1189" s="155"/>
      <c r="E1189" s="88"/>
      <c r="F1189" s="88"/>
      <c r="G1189" s="88"/>
      <c r="H1189" s="118"/>
      <c r="I1189" s="182">
        <f t="shared" si="164"/>
        <v>0</v>
      </c>
      <c r="J1189" s="20">
        <f t="shared" ca="1" si="165"/>
        <v>0</v>
      </c>
      <c r="K1189" s="5">
        <f t="shared" ca="1" si="166"/>
        <v>0</v>
      </c>
      <c r="L1189" s="61">
        <f t="shared" ca="1" si="167"/>
        <v>0</v>
      </c>
      <c r="M1189" s="64">
        <f t="shared" si="168"/>
        <v>0</v>
      </c>
      <c r="N1189" s="151"/>
      <c r="O1189" s="5">
        <f t="shared" ca="1" si="169"/>
        <v>0</v>
      </c>
      <c r="P1189" s="446" t="e">
        <f t="shared" si="170"/>
        <v>#VALUE!</v>
      </c>
      <c r="Q1189" s="446" t="e">
        <f>IF(OR($B1189="",MIN(Q$38,$D$19)&lt;MAX($P$708*($B1189+IF($R$17="Distrato",$I$38-1,0)),IF(AND($L$711=0,$P$708=0),"",$L$711-1),IF($R$17="Distrato",$E1189,0))),0,YEARFRAC(MAX($P$708*($B1189+IF($R$17="Distrato",$I$38-1,0)),IF(AND($L$711=0,$P$708=0),"",$L$711-1),IF($R$17="Distrato",$E1189,0)),MIN(Q$38,$D$19),$P$20))-SUM($P1189:P1189)</f>
        <v>#VALUE!</v>
      </c>
      <c r="R1189" s="446" t="e">
        <f>IF(OR($B1189="",MIN(R$38,$D$19)&lt;MAX($P$708*($B1189+IF($R$17="Distrato",$I$38-1,0)),IF(AND($L$711=0,$P$708=0),"",$L$711-1),IF($R$17="Distrato",$E1189,0))),0,YEARFRAC(MAX($P$708*($B1189+IF($R$17="Distrato",$I$38-1,0)),IF(AND($L$711=0,$P$708=0),"",$L$711-1),IF($R$17="Distrato",$E1189,0)),MIN(R$38,$D$19),$P$20))-SUM($P1189:Q1189)</f>
        <v>#VALUE!</v>
      </c>
      <c r="S1189" s="446" t="e">
        <f>IF(OR($B1189="",MIN(S$38,$D$19)&lt;MAX($P$708*($B1189+IF($R$17="Distrato",$I$38-1,0)),IF(AND($L$711=0,$P$708=0),"",$L$711-1),IF($R$17="Distrato",$E1189,0))),0,YEARFRAC(MAX($P$708*($B1189+IF($R$17="Distrato",$I$38-1,0)),IF(AND($L$711=0,$P$708=0),"",$L$711-1),IF($R$17="Distrato",$E1189,0)),MIN(S$38,$D$19),$P$20))-SUM($P1189:R1189)</f>
        <v>#VALUE!</v>
      </c>
      <c r="T1189" s="446" t="e">
        <f>IF(OR($B1189="",MIN(T$38,$D$19)&lt;MAX($P$708*($B1189+IF($R$17="Distrato",$I$38-1,0)),IF(AND($L$711=0,$P$708=0),"",$L$711-1),IF($R$17="Distrato",$E1189,0))),0,YEARFRAC(MAX($P$708*($B1189+IF($R$17="Distrato",$I$38-1,0)),IF(AND($L$711=0,$P$708=0),"",$L$711-1),IF($R$17="Distrato",$E1189,0)),MIN(T$38,$D$19),$P$20))-SUM($P1189:S1189)</f>
        <v>#VALUE!</v>
      </c>
      <c r="U1189" s="446" t="e">
        <f>IF(OR($B1189="",MIN(U$38,$D$19)&lt;MAX($P$708*($B1189+IF($R$17="Distrato",$I$38-1,0)),IF(AND($L$711=0,$P$708=0),"",$L$711-1),IF($R$17="Distrato",$E1189,0))),0,YEARFRAC(MAX($P$708*($B1189+IF($R$17="Distrato",$I$38-1,0)),IF(AND($L$711=0,$P$708=0),"",$L$711-1),IF($R$17="Distrato",$E1189,0)),MIN(U$38,$D$19),$P$20))-SUM($P1189:T1189)</f>
        <v>#VALUE!</v>
      </c>
      <c r="V1189" s="446" t="e">
        <f>IF(OR($B1189="",MIN(V$38,$D$19)&lt;MAX($P$708*($B1189+IF($R$17="Distrato",$I$38-1,0)),IF(AND($L$711=0,$P$708=0),"",$L$711-1),IF($R$17="Distrato",$E1189,0))),0,YEARFRAC(MAX($P$708*($B1189+IF($R$17="Distrato",$I$38-1,0)),IF(AND($L$711=0,$P$708=0),"",$L$711-1),IF($R$17="Distrato",$E1189,0)),MIN(V$38,$D$19),$P$20))-SUM($P1189:U1189)</f>
        <v>#VALUE!</v>
      </c>
      <c r="W1189" s="446" t="e">
        <f>IF(OR($B1189="",MIN(W$38,$D$19)&lt;MAX($P$708*($B1189+IF($R$17="Distrato",$I$38-1,0)),IF(AND($L$711=0,$P$708=0),"",$L$711-1),IF($R$17="Distrato",$E1189,0))),0,YEARFRAC(MAX($P$708*($B1189+IF($R$17="Distrato",$I$38-1,0)),IF(AND($L$711=0,$P$708=0),"",$L$711-1),IF($R$17="Distrato",$E1189,0)),MIN(W$38,$D$19),$P$20))-SUM($P1189:V1189)</f>
        <v>#VALUE!</v>
      </c>
      <c r="X1189" s="446" t="e">
        <f>IF(OR($B1189="",MIN(X$38,$D$19)&lt;MAX($P$708*($B1189+IF($R$17="Distrato",$I$38-1,0)),IF(AND($L$711=0,$P$708=0),"",$L$711-1),IF($R$17="Distrato",$E1189,0))),0,YEARFRAC(MAX($P$708*($B1189+IF($R$17="Distrato",$I$38-1,0)),IF(AND($L$711=0,$P$708=0),"",$L$711-1),IF($R$17="Distrato",$E1189,0)),MIN(X$38,$D$19),$P$20))-SUM($P1189:W1189)</f>
        <v>#VALUE!</v>
      </c>
      <c r="Y1189" s="446" t="e">
        <f>IF(OR($B1189="",MIN(Y$38,$D$19)&lt;MAX($P$708*($B1189+IF($R$17="Distrato",$I$38-1,0)),IF(AND($L$711=0,$P$708=0),"",$L$711-1),IF($R$17="Distrato",$E1189,0))),0,YEARFRAC(MAX($P$708*($B1189+IF($R$17="Distrato",$I$38-1,0)),IF(AND($L$711=0,$P$708=0),"",$L$711-1),IF($R$17="Distrato",$E1189,0)),MIN(Y$38,$D$19),$P$20))-SUM($P1189:X1189)</f>
        <v>#VALUE!</v>
      </c>
      <c r="Z1189" s="446" t="e">
        <f>IF(OR($B1189="",MIN(Z$38,$D$19)&lt;MAX($P$708*($B1189+IF($R$17="Distrato",$I$38-1,0)),IF(AND($L$711=0,$P$708=0),"",$L$711-1),IF($R$17="Distrato",$E1189,0))),0,YEARFRAC(MAX($P$708*($B1189+IF($R$17="Distrato",$I$38-1,0)),IF(AND($L$711=0,$P$708=0),"",$L$711-1),IF($R$17="Distrato",$E1189,0)),MIN(Z$38,$D$19),$P$20))-SUM($P1189:Y1189)</f>
        <v>#VALUE!</v>
      </c>
      <c r="AA1189" s="446" t="e">
        <f>IF(OR($B1189="",MIN(AA$38,$D$19)&lt;MAX($P$708*($B1189+IF($R$17="Distrato",$I$38-1,0)),IF(AND($L$711=0,$P$708=0),"",$L$711-1),IF($R$17="Distrato",$E1189,0))),0,YEARFRAC(MAX($P$708*($B1189+IF($R$17="Distrato",$I$38-1,0)),IF(AND($L$711=0,$P$708=0),"",$L$711-1),IF($R$17="Distrato",$E1189,0)),MIN(AA$38,$D$19),$P$20))-SUM($P1189:Z1189)</f>
        <v>#VALUE!</v>
      </c>
      <c r="AB1189" s="446" t="e">
        <f>IF(OR($B1189="",MIN(AB$38,$D$19)&lt;MAX($P$708*($B1189+IF($R$17="Distrato",$I$38-1,0)),IF(AND($L$711=0,$P$708=0),"",$L$711-1),IF($R$17="Distrato",$E1189,0))),0,YEARFRAC(MAX($P$708*($B1189+IF($R$17="Distrato",$I$38-1,0)),IF(AND($L$711=0,$P$708=0),"",$L$711-1),IF($R$17="Distrato",$E1189,0)),MIN(AB$38,$D$19),$P$20))-SUM($P1189:AA1189)</f>
        <v>#VALUE!</v>
      </c>
      <c r="AC1189" s="446" t="e">
        <f>IF(OR($B1189="",MIN(AC$38,$D$19)&lt;MAX($P$708*($B1189+IF($R$17="Distrato",$I$38-1,0)),IF(AND($L$711=0,$P$708=0),"",$L$711-1),IF($R$17="Distrato",$E1189,0))),0,YEARFRAC(MAX($P$708*($B1189+IF($R$17="Distrato",$I$38-1,0)),IF(AND($L$711=0,$P$708=0),"",$L$711-1),IF($R$17="Distrato",$E1189,0)),MIN(AC$38,$D$19),$P$20))-SUM($P1189:AB1189)</f>
        <v>#VALUE!</v>
      </c>
      <c r="AD1189" s="446" t="e">
        <f>IF(OR($B1189="",MIN(AD$38,$D$19)&lt;MAX($P$708*($B1189+IF($R$17="Distrato",$I$38-1,0)),IF(AND($L$711=0,$P$708=0),"",$L$711-1),IF($R$17="Distrato",$E1189,0))),0,YEARFRAC(MAX($P$708*($B1189+IF($R$17="Distrato",$I$38-1,0)),IF(AND($L$711=0,$P$708=0),"",$L$711-1),IF($R$17="Distrato",$E1189,0)),MIN(AD$38,$D$19),$P$20))-SUM($P1189:AC1189)</f>
        <v>#VALUE!</v>
      </c>
      <c r="AE1189" s="446" t="e">
        <f>IF(OR($B1189="",MIN(AE$38,$D$19)&lt;MAX($P$708*($B1189+IF($R$17="Distrato",$I$38-1,0)),IF(AND($L$711=0,$P$708=0),"",$L$711-1),IF($R$17="Distrato",$E1189,0))),0,YEARFRAC(MAX($P$708*($B1189+IF($R$17="Distrato",$I$38-1,0)),IF(AND($L$711=0,$P$708=0),"",$L$711-1),IF($R$17="Distrato",$E1189,0)),MIN(AE$38,$D$19),$P$20))-SUM($P1189:AD1189)</f>
        <v>#VALUE!</v>
      </c>
      <c r="AF1189" s="446" t="e">
        <f>IF(OR($B1189="",MIN(AF$38,$D$19)&lt;MAX($P$708*($B1189+IF($R$17="Distrato",$I$38-1,0)),IF(AND($L$711=0,$P$708=0),"",$L$711-1),IF($R$17="Distrato",$E1189,0))),0,YEARFRAC(MAX($P$708*($B1189+IF($R$17="Distrato",$I$38-1,0)),IF(AND($L$711=0,$P$708=0),"",$L$711-1),IF($R$17="Distrato",$E1189,0)),MIN(AF$38,$D$19),$P$20))-SUM($P1189:AE1189)</f>
        <v>#VALUE!</v>
      </c>
      <c r="AG1189" s="446" t="e">
        <f>IF(OR($B1189="",MIN(AG$38,$D$19)&lt;MAX($P$708*($B1189+IF($R$17="Distrato",$I$38-1,0)),IF(AND($L$711=0,$P$708=0),"",$L$711-1),IF($R$17="Distrato",$E1189,0))),0,YEARFRAC(MAX($P$708*($B1189+IF($R$17="Distrato",$I$38-1,0)),IF(AND($L$711=0,$P$708=0),"",$L$711-1),IF($R$17="Distrato",$E1189,0)),MIN(AG$38,$D$19),$P$20))-SUM($P1189:AF1189)</f>
        <v>#VALUE!</v>
      </c>
      <c r="AH1189" s="446" t="e">
        <f>IF(OR($B1189="",MIN(AH$38,$D$19)&lt;MAX($P$708*($B1189+IF($R$17="Distrato",$I$38-1,0)),IF(AND($L$711=0,$P$708=0),"",$L$711-1),IF($R$17="Distrato",$E1189,0))),0,YEARFRAC(MAX($P$708*($B1189+IF($R$17="Distrato",$I$38-1,0)),IF(AND($L$711=0,$P$708=0),"",$L$711-1),IF($R$17="Distrato",$E1189,0)),MIN(AH$38,$D$19),$P$20))-SUM($P1189:AG1189)</f>
        <v>#VALUE!</v>
      </c>
      <c r="AI1189" s="446" t="e">
        <f>IF(OR($B1189="",MIN(AI$38,$D$19)&lt;MAX($P$708*($B1189+IF($R$17="Distrato",$I$38-1,0)),IF(AND($L$711=0,$P$708=0),"",$L$711-1),IF($R$17="Distrato",$E1189,0))),0,YEARFRAC(MAX($P$708*($B1189+IF($R$17="Distrato",$I$38-1,0)),IF(AND($L$711=0,$P$708=0),"",$L$711-1),IF($R$17="Distrato",$E1189,0)),MIN(AI$38,$D$19),$P$20))-SUM($P1189:AH1189)</f>
        <v>#VALUE!</v>
      </c>
      <c r="AJ1189" s="446" t="e">
        <f>IF(OR($B1189="",MIN(AJ$38,$D$19)&lt;MAX($P$708*($B1189+IF($R$17="Distrato",$I$38-1,0)),IF(AND($L$711=0,$P$708=0),"",$L$711-1),IF($R$17="Distrato",$E1189,0))),0,YEARFRAC(MAX($P$708*($B1189+IF($R$17="Distrato",$I$38-1,0)),IF(AND($L$711=0,$P$708=0),"",$L$711-1),IF($R$17="Distrato",$E1189,0)),MIN(AJ$38,$D$19),$P$20))-SUM($P1189:AI1189)</f>
        <v>#VALUE!</v>
      </c>
      <c r="AK1189" s="446" t="e">
        <f>IF(OR($B1189="",MIN(AK$38,$D$19)&lt;MAX($P$708*($B1189+IF($R$17="Distrato",$I$38-1,0)),IF(AND($L$711=0,$P$708=0),"",$L$711-1),IF($R$17="Distrato",$E1189,0))),0,YEARFRAC(MAX($P$708*($B1189+IF($R$17="Distrato",$I$38-1,0)),IF(AND($L$711=0,$P$708=0),"",$L$711-1),IF($R$17="Distrato",$E1189,0)),MIN(AK$38,$D$19),$P$20))-SUM($P1189:AJ1189)</f>
        <v>#VALUE!</v>
      </c>
      <c r="AL1189" s="446" t="e">
        <f>IF(OR($B1189="",MIN(AL$38,$D$19)&lt;MAX($P$708*($B1189+IF($R$17="Distrato",$I$38-1,0)),IF(AND($L$711=0,$P$708=0),"",$L$711-1),IF($R$17="Distrato",$E1189,0))),0,YEARFRAC(MAX($P$708*($B1189+IF($R$17="Distrato",$I$38-1,0)),IF(AND($L$711=0,$P$708=0),"",$L$711-1),IF($R$17="Distrato",$E1189,0)),MIN(AL$38,$D$19),$P$20))-SUM($P1189:AK1189)</f>
        <v>#VALUE!</v>
      </c>
      <c r="AM1189" s="446" t="e">
        <f>IF(OR($B1189="",MIN(AM$38,$D$19)&lt;MAX($P$708*($B1189+IF($R$17="Distrato",$I$38-1,0)),IF(AND($L$711=0,$P$708=0),"",$L$711-1),IF($R$17="Distrato",$E1189,0))),0,YEARFRAC(MAX($P$708*($B1189+IF($R$17="Distrato",$I$38-1,0)),IF(AND($L$711=0,$P$708=0),"",$L$711-1),IF($R$17="Distrato",$E1189,0)),MIN(AM$38,$D$19),$P$20))-SUM($P1189:AL1189)</f>
        <v>#VALUE!</v>
      </c>
      <c r="AN1189" s="446" t="e">
        <f>IF(OR($B1189="",MIN(AN$38,$D$19)&lt;MAX($P$708*($B1189+IF($R$17="Distrato",$I$38-1,0)),IF(AND($L$711=0,$P$708=0),"",$L$711-1),IF($R$17="Distrato",$E1189,0))),0,YEARFRAC(MAX($P$708*($B1189+IF($R$17="Distrato",$I$38-1,0)),IF(AND($L$711=0,$P$708=0),"",$L$711-1),IF($R$17="Distrato",$E1189,0)),MIN(AN$38,$D$19),$P$20))-SUM($P1189:AM1189)</f>
        <v>#VALUE!</v>
      </c>
      <c r="AO1189" s="446" t="e">
        <f>IF(OR($B1189="",MIN(AO$38,$D$19)&lt;MAX($P$708*($B1189+IF($R$17="Distrato",$I$38-1,0)),IF(AND($L$711=0,$P$708=0),"",$L$711-1),IF($R$17="Distrato",$E1189,0))),0,YEARFRAC(MAX($P$708*($B1189+IF($R$17="Distrato",$I$38-1,0)),IF(AND($L$711=0,$P$708=0),"",$L$711-1),IF($R$17="Distrato",$E1189,0)),MIN(AO$38,$D$19),$P$20))-SUM($P1189:AN1189)</f>
        <v>#VALUE!</v>
      </c>
      <c r="AP1189" s="446" t="e">
        <f>IF(OR($B1189="",MIN(AP$38,$D$19)&lt;MAX($P$708*($B1189+IF($R$17="Distrato",$I$38-1,0)),IF(AND($L$711=0,$P$708=0),"",$L$711-1),IF($R$17="Distrato",$E1189,0))),0,YEARFRAC(MAX($P$708*($B1189+IF($R$17="Distrato",$I$38-1,0)),IF(AND($L$711=0,$P$708=0),"",$L$711-1),IF($R$17="Distrato",$E1189,0)),MIN(AP$38,$D$19),$P$20))-SUM($P1189:AO1189)</f>
        <v>#VALUE!</v>
      </c>
      <c r="AQ1189" s="446" t="e">
        <f>IF(OR($B1189="",MIN(AQ$38,$D$19)&lt;MAX($P$708*($B1189+IF($R$17="Distrato",$I$38-1,0)),IF(AND($L$711=0,$P$708=0),"",$L$711-1),IF($R$17="Distrato",$E1189,0))),0,YEARFRAC(MAX($P$708*($B1189+IF($R$17="Distrato",$I$38-1,0)),IF(AND($L$711=0,$P$708=0),"",$L$711-1),IF($R$17="Distrato",$E1189,0)),MIN(AQ$38,$D$19),$P$20))-SUM($P1189:AP1189)</f>
        <v>#VALUE!</v>
      </c>
      <c r="AR1189" s="446" t="e">
        <f>IF(OR($B1189="",MIN(AR$38,$D$19)&lt;MAX($P$708*($B1189+IF($R$17="Distrato",$I$38-1,0)),IF(AND($L$711=0,$P$708=0),"",$L$711-1),IF($R$17="Distrato",$E1189,0))),0,YEARFRAC(MAX($P$708*($B1189+IF($R$17="Distrato",$I$38-1,0)),IF(AND($L$711=0,$P$708=0),"",$L$711-1),IF($R$17="Distrato",$E1189,0)),MIN(AR$38,$D$19),$P$20))-SUM($P1189:AQ1189)</f>
        <v>#VALUE!</v>
      </c>
      <c r="AS1189" s="446" t="e">
        <f>IF(OR($B1189="",MIN(AS$38,$D$19)&lt;MAX($P$708*($B1189+IF($R$17="Distrato",$I$38-1,0)),IF(AND($L$711=0,$P$708=0),"",$L$711-1),IF($R$17="Distrato",$E1189,0))),0,YEARFRAC(MAX($P$708*($B1189+IF($R$17="Distrato",$I$38-1,0)),IF(AND($L$711=0,$P$708=0),"",$L$711-1),IF($R$17="Distrato",$E1189,0)),MIN(AS$38,$D$19),$P$20))-SUM($P1189:AR1189)</f>
        <v>#VALUE!</v>
      </c>
      <c r="AT1189" s="446" t="e">
        <f>IF(OR($B1189="",MIN(AT$38,$D$19)&lt;MAX($P$708*($B1189+IF($R$17="Distrato",$I$38-1,0)),IF(AND($L$711=0,$P$708=0),"",$L$711-1),IF($R$17="Distrato",$E1189,0))),0,YEARFRAC(MAX($P$708*($B1189+IF($R$17="Distrato",$I$38-1,0)),IF(AND($L$711=0,$P$708=0),"",$L$711-1),IF($R$17="Distrato",$E1189,0)),MIN(AT$38,$D$19),$P$20))-SUM($P1189:AS1189)</f>
        <v>#VALUE!</v>
      </c>
      <c r="AU1189" s="446" t="e">
        <f>IF(OR($B1189="",MIN(AU$38,$D$19)&lt;MAX($P$708*($B1189+IF($R$17="Distrato",$I$38-1,0)),IF(AND($L$711=0,$P$708=0),"",$L$711-1),IF($R$17="Distrato",$E1189,0))),0,YEARFRAC(MAX($P$708*($B1189+IF($R$17="Distrato",$I$38-1,0)),IF(AND($L$711=0,$P$708=0),"",$L$711-1),IF($R$17="Distrato",$E1189,0)),MIN(AU$38,$D$19),$P$20))-SUM($P1189:AT1189)</f>
        <v>#VALUE!</v>
      </c>
      <c r="AV1189" s="446" t="e">
        <f>IF(OR($B1189="",MIN(AV$38,$D$19)&lt;MAX($P$708*($B1189+IF($R$17="Distrato",$I$38-1,0)),IF(AND($L$711=0,$P$708=0),"",$L$711-1),IF($R$17="Distrato",$E1189,0))),0,YEARFRAC(MAX($P$708*($B1189+IF($R$17="Distrato",$I$38-1,0)),IF(AND($L$711=0,$P$708=0),"",$L$711-1),IF($R$17="Distrato",$E1189,0)),MIN(AV$38,$D$19),$P$20))-SUM($P1189:AU1189)</f>
        <v>#VALUE!</v>
      </c>
      <c r="AW1189" s="446" t="e">
        <f>IF(OR($B1189="",MIN(AW$38,$D$19)&lt;MAX($P$708*($B1189+IF($R$17="Distrato",$I$38-1,0)),IF(AND($L$711=0,$P$708=0),"",$L$711-1),IF($R$17="Distrato",$E1189,0))),0,YEARFRAC(MAX($P$708*($B1189+IF($R$17="Distrato",$I$38-1,0)),IF(AND($L$711=0,$P$708=0),"",$L$711-1),IF($R$17="Distrato",$E1189,0)),MIN(AW$38,$D$19),$P$20))-SUM($P1189:AV1189)</f>
        <v>#VALUE!</v>
      </c>
      <c r="AX1189" s="446" t="e">
        <f>IF(OR($B1189="",MIN(AX$38,$D$19)&lt;MAX($P$708*($B1189+IF($R$17="Distrato",$I$38-1,0)),IF(AND($L$711=0,$P$708=0),"",$L$711-1),IF($R$17="Distrato",$E1189,0))),0,YEARFRAC(MAX($P$708*($B1189+IF($R$17="Distrato",$I$38-1,0)),IF(AND($L$711=0,$P$708=0),"",$L$711-1),IF($R$17="Distrato",$E1189,0)),MIN(AX$38,$D$19),$P$20))-SUM($P1189:AW1189)</f>
        <v>#VALUE!</v>
      </c>
      <c r="AY1189" s="446" t="e">
        <f>IF(OR($B1189="",MIN(AY$38,$D$19)&lt;MAX($P$708*($B1189+IF($R$17="Distrato",$I$38-1,0)),IF(AND($L$711=0,$P$708=0),"",$L$711-1),IF($R$17="Distrato",$E1189,0))),0,YEARFRAC(MAX($P$708*($B1189+IF($R$17="Distrato",$I$38-1,0)),IF(AND($L$711=0,$P$708=0),"",$L$711-1),IF($R$17="Distrato",$E1189,0)),MIN(AY$38,$D$19),$P$20))-SUM($P1189:AX1189)</f>
        <v>#VALUE!</v>
      </c>
      <c r="AZ1189" s="446" t="e">
        <f>IF(OR($B1189="",MIN(AZ$38,$D$19)&lt;MAX($P$708*($B1189+IF($R$17="Distrato",$I$38-1,0)),IF(AND($L$711=0,$P$708=0),"",$L$711-1),IF($R$17="Distrato",$E1189,0))),0,YEARFRAC(MAX($P$708*($B1189+IF($R$17="Distrato",$I$38-1,0)),IF(AND($L$711=0,$P$708=0),"",$L$711-1),IF($R$17="Distrato",$E1189,0)),MIN(AZ$38,$D$19),$P$20))-SUM($P1189:AY1189)</f>
        <v>#VALUE!</v>
      </c>
      <c r="BA1189" s="446" t="e">
        <f>IF(OR($B1189="",MIN(BA$38,$D$19)&lt;MAX($P$708*($B1189+IF($R$17="Distrato",$I$38-1,0)),IF(AND($L$711=0,$P$708=0),"",$L$711-1),IF($R$17="Distrato",$E1189,0))),0,YEARFRAC(MAX($P$708*($B1189+IF($R$17="Distrato",$I$38-1,0)),IF(AND($L$711=0,$P$708=0),"",$L$711-1),IF($R$17="Distrato",$E1189,0)),MIN(BA$38,$D$19),$P$20))-SUM($P1189:AZ1189)</f>
        <v>#VALUE!</v>
      </c>
      <c r="BB1189" s="447"/>
    </row>
    <row r="1190" spans="1:54" s="446" customFormat="1" ht="11.25" hidden="1" customHeight="1" x14ac:dyDescent="0.2">
      <c r="A1190" s="235"/>
      <c r="B1190" s="236"/>
      <c r="C1190" s="29" t="str">
        <f>IF(B1190="","",IF($L$709=$BL$25,VLOOKUP(DATE(YEAR($D$19),MONTH($D$19)-1,1),ÍNDICES!$A:$DE,HLOOKUP($BL$25,ÍNDICES!$B$3:$T$4,2)+11)-VLOOKUP(B1190,ÍNDICES!$A:$DE,HLOOKUP($BL$25,ÍNDICES!$B$3:$T$4,2)+11)+1%,IF(C$712=$W$26,$J$35,IF(ISERROR(IF(B1190&gt;$D$19,1,VLOOKUP(DATE(YEAR(B1190),MONTH(B1190)+IF($C$709=$S$23,1,0),1),ÍNDICES!$A:$DE,$Z$709+1))),"",IF(B1190&gt;$D$19,1,VLOOKUP(DATE(YEAR(B1190),MONTH(B1190)+IF($C$709=$S$23,1,0),1),ÍNDICES!$A:$DE,$Z$709+1))))))</f>
        <v/>
      </c>
      <c r="D1190" s="155"/>
      <c r="E1190" s="88"/>
      <c r="F1190" s="88"/>
      <c r="G1190" s="88"/>
      <c r="H1190" s="118"/>
      <c r="I1190" s="182">
        <f t="shared" si="164"/>
        <v>0</v>
      </c>
      <c r="J1190" s="20">
        <f t="shared" ca="1" si="165"/>
        <v>0</v>
      </c>
      <c r="K1190" s="5">
        <f t="shared" ca="1" si="166"/>
        <v>0</v>
      </c>
      <c r="L1190" s="61">
        <f t="shared" ca="1" si="167"/>
        <v>0</v>
      </c>
      <c r="M1190" s="64">
        <f t="shared" si="168"/>
        <v>0</v>
      </c>
      <c r="N1190" s="151"/>
      <c r="O1190" s="5">
        <f t="shared" ca="1" si="169"/>
        <v>0</v>
      </c>
      <c r="P1190" s="446" t="e">
        <f t="shared" si="170"/>
        <v>#VALUE!</v>
      </c>
      <c r="Q1190" s="446" t="e">
        <f>IF(OR($B1190="",MIN(Q$38,$D$19)&lt;MAX($P$708*($B1190+IF($R$17="Distrato",$I$38-1,0)),IF(AND($L$711=0,$P$708=0),"",$L$711-1),IF($R$17="Distrato",$E1190,0))),0,YEARFRAC(MAX($P$708*($B1190+IF($R$17="Distrato",$I$38-1,0)),IF(AND($L$711=0,$P$708=0),"",$L$711-1),IF($R$17="Distrato",$E1190,0)),MIN(Q$38,$D$19),$P$20))-SUM($P1190:P1190)</f>
        <v>#VALUE!</v>
      </c>
      <c r="R1190" s="446" t="e">
        <f>IF(OR($B1190="",MIN(R$38,$D$19)&lt;MAX($P$708*($B1190+IF($R$17="Distrato",$I$38-1,0)),IF(AND($L$711=0,$P$708=0),"",$L$711-1),IF($R$17="Distrato",$E1190,0))),0,YEARFRAC(MAX($P$708*($B1190+IF($R$17="Distrato",$I$38-1,0)),IF(AND($L$711=0,$P$708=0),"",$L$711-1),IF($R$17="Distrato",$E1190,0)),MIN(R$38,$D$19),$P$20))-SUM($P1190:Q1190)</f>
        <v>#VALUE!</v>
      </c>
      <c r="S1190" s="446" t="e">
        <f>IF(OR($B1190="",MIN(S$38,$D$19)&lt;MAX($P$708*($B1190+IF($R$17="Distrato",$I$38-1,0)),IF(AND($L$711=0,$P$708=0),"",$L$711-1),IF($R$17="Distrato",$E1190,0))),0,YEARFRAC(MAX($P$708*($B1190+IF($R$17="Distrato",$I$38-1,0)),IF(AND($L$711=0,$P$708=0),"",$L$711-1),IF($R$17="Distrato",$E1190,0)),MIN(S$38,$D$19),$P$20))-SUM($P1190:R1190)</f>
        <v>#VALUE!</v>
      </c>
      <c r="T1190" s="446" t="e">
        <f>IF(OR($B1190="",MIN(T$38,$D$19)&lt;MAX($P$708*($B1190+IF($R$17="Distrato",$I$38-1,0)),IF(AND($L$711=0,$P$708=0),"",$L$711-1),IF($R$17="Distrato",$E1190,0))),0,YEARFRAC(MAX($P$708*($B1190+IF($R$17="Distrato",$I$38-1,0)),IF(AND($L$711=0,$P$708=0),"",$L$711-1),IF($R$17="Distrato",$E1190,0)),MIN(T$38,$D$19),$P$20))-SUM($P1190:S1190)</f>
        <v>#VALUE!</v>
      </c>
      <c r="U1190" s="446" t="e">
        <f>IF(OR($B1190="",MIN(U$38,$D$19)&lt;MAX($P$708*($B1190+IF($R$17="Distrato",$I$38-1,0)),IF(AND($L$711=0,$P$708=0),"",$L$711-1),IF($R$17="Distrato",$E1190,0))),0,YEARFRAC(MAX($P$708*($B1190+IF($R$17="Distrato",$I$38-1,0)),IF(AND($L$711=0,$P$708=0),"",$L$711-1),IF($R$17="Distrato",$E1190,0)),MIN(U$38,$D$19),$P$20))-SUM($P1190:T1190)</f>
        <v>#VALUE!</v>
      </c>
      <c r="V1190" s="446" t="e">
        <f>IF(OR($B1190="",MIN(V$38,$D$19)&lt;MAX($P$708*($B1190+IF($R$17="Distrato",$I$38-1,0)),IF(AND($L$711=0,$P$708=0),"",$L$711-1),IF($R$17="Distrato",$E1190,0))),0,YEARFRAC(MAX($P$708*($B1190+IF($R$17="Distrato",$I$38-1,0)),IF(AND($L$711=0,$P$708=0),"",$L$711-1),IF($R$17="Distrato",$E1190,0)),MIN(V$38,$D$19),$P$20))-SUM($P1190:U1190)</f>
        <v>#VALUE!</v>
      </c>
      <c r="W1190" s="446" t="e">
        <f>IF(OR($B1190="",MIN(W$38,$D$19)&lt;MAX($P$708*($B1190+IF($R$17="Distrato",$I$38-1,0)),IF(AND($L$711=0,$P$708=0),"",$L$711-1),IF($R$17="Distrato",$E1190,0))),0,YEARFRAC(MAX($P$708*($B1190+IF($R$17="Distrato",$I$38-1,0)),IF(AND($L$711=0,$P$708=0),"",$L$711-1),IF($R$17="Distrato",$E1190,0)),MIN(W$38,$D$19),$P$20))-SUM($P1190:V1190)</f>
        <v>#VALUE!</v>
      </c>
      <c r="X1190" s="446" t="e">
        <f>IF(OR($B1190="",MIN(X$38,$D$19)&lt;MAX($P$708*($B1190+IF($R$17="Distrato",$I$38-1,0)),IF(AND($L$711=0,$P$708=0),"",$L$711-1),IF($R$17="Distrato",$E1190,0))),0,YEARFRAC(MAX($P$708*($B1190+IF($R$17="Distrato",$I$38-1,0)),IF(AND($L$711=0,$P$708=0),"",$L$711-1),IF($R$17="Distrato",$E1190,0)),MIN(X$38,$D$19),$P$20))-SUM($P1190:W1190)</f>
        <v>#VALUE!</v>
      </c>
      <c r="Y1190" s="446" t="e">
        <f>IF(OR($B1190="",MIN(Y$38,$D$19)&lt;MAX($P$708*($B1190+IF($R$17="Distrato",$I$38-1,0)),IF(AND($L$711=0,$P$708=0),"",$L$711-1),IF($R$17="Distrato",$E1190,0))),0,YEARFRAC(MAX($P$708*($B1190+IF($R$17="Distrato",$I$38-1,0)),IF(AND($L$711=0,$P$708=0),"",$L$711-1),IF($R$17="Distrato",$E1190,0)),MIN(Y$38,$D$19),$P$20))-SUM($P1190:X1190)</f>
        <v>#VALUE!</v>
      </c>
      <c r="Z1190" s="446" t="e">
        <f>IF(OR($B1190="",MIN(Z$38,$D$19)&lt;MAX($P$708*($B1190+IF($R$17="Distrato",$I$38-1,0)),IF(AND($L$711=0,$P$708=0),"",$L$711-1),IF($R$17="Distrato",$E1190,0))),0,YEARFRAC(MAX($P$708*($B1190+IF($R$17="Distrato",$I$38-1,0)),IF(AND($L$711=0,$P$708=0),"",$L$711-1),IF($R$17="Distrato",$E1190,0)),MIN(Z$38,$D$19),$P$20))-SUM($P1190:Y1190)</f>
        <v>#VALUE!</v>
      </c>
      <c r="AA1190" s="446" t="e">
        <f>IF(OR($B1190="",MIN(AA$38,$D$19)&lt;MAX($P$708*($B1190+IF($R$17="Distrato",$I$38-1,0)),IF(AND($L$711=0,$P$708=0),"",$L$711-1),IF($R$17="Distrato",$E1190,0))),0,YEARFRAC(MAX($P$708*($B1190+IF($R$17="Distrato",$I$38-1,0)),IF(AND($L$711=0,$P$708=0),"",$L$711-1),IF($R$17="Distrato",$E1190,0)),MIN(AA$38,$D$19),$P$20))-SUM($P1190:Z1190)</f>
        <v>#VALUE!</v>
      </c>
      <c r="AB1190" s="446" t="e">
        <f>IF(OR($B1190="",MIN(AB$38,$D$19)&lt;MAX($P$708*($B1190+IF($R$17="Distrato",$I$38-1,0)),IF(AND($L$711=0,$P$708=0),"",$L$711-1),IF($R$17="Distrato",$E1190,0))),0,YEARFRAC(MAX($P$708*($B1190+IF($R$17="Distrato",$I$38-1,0)),IF(AND($L$711=0,$P$708=0),"",$L$711-1),IF($R$17="Distrato",$E1190,0)),MIN(AB$38,$D$19),$P$20))-SUM($P1190:AA1190)</f>
        <v>#VALUE!</v>
      </c>
      <c r="AC1190" s="446" t="e">
        <f>IF(OR($B1190="",MIN(AC$38,$D$19)&lt;MAX($P$708*($B1190+IF($R$17="Distrato",$I$38-1,0)),IF(AND($L$711=0,$P$708=0),"",$L$711-1),IF($R$17="Distrato",$E1190,0))),0,YEARFRAC(MAX($P$708*($B1190+IF($R$17="Distrato",$I$38-1,0)),IF(AND($L$711=0,$P$708=0),"",$L$711-1),IF($R$17="Distrato",$E1190,0)),MIN(AC$38,$D$19),$P$20))-SUM($P1190:AB1190)</f>
        <v>#VALUE!</v>
      </c>
      <c r="AD1190" s="446" t="e">
        <f>IF(OR($B1190="",MIN(AD$38,$D$19)&lt;MAX($P$708*($B1190+IF($R$17="Distrato",$I$38-1,0)),IF(AND($L$711=0,$P$708=0),"",$L$711-1),IF($R$17="Distrato",$E1190,0))),0,YEARFRAC(MAX($P$708*($B1190+IF($R$17="Distrato",$I$38-1,0)),IF(AND($L$711=0,$P$708=0),"",$L$711-1),IF($R$17="Distrato",$E1190,0)),MIN(AD$38,$D$19),$P$20))-SUM($P1190:AC1190)</f>
        <v>#VALUE!</v>
      </c>
      <c r="AE1190" s="446" t="e">
        <f>IF(OR($B1190="",MIN(AE$38,$D$19)&lt;MAX($P$708*($B1190+IF($R$17="Distrato",$I$38-1,0)),IF(AND($L$711=0,$P$708=0),"",$L$711-1),IF($R$17="Distrato",$E1190,0))),0,YEARFRAC(MAX($P$708*($B1190+IF($R$17="Distrato",$I$38-1,0)),IF(AND($L$711=0,$P$708=0),"",$L$711-1),IF($R$17="Distrato",$E1190,0)),MIN(AE$38,$D$19),$P$20))-SUM($P1190:AD1190)</f>
        <v>#VALUE!</v>
      </c>
      <c r="AF1190" s="446" t="e">
        <f>IF(OR($B1190="",MIN(AF$38,$D$19)&lt;MAX($P$708*($B1190+IF($R$17="Distrato",$I$38-1,0)),IF(AND($L$711=0,$P$708=0),"",$L$711-1),IF($R$17="Distrato",$E1190,0))),0,YEARFRAC(MAX($P$708*($B1190+IF($R$17="Distrato",$I$38-1,0)),IF(AND($L$711=0,$P$708=0),"",$L$711-1),IF($R$17="Distrato",$E1190,0)),MIN(AF$38,$D$19),$P$20))-SUM($P1190:AE1190)</f>
        <v>#VALUE!</v>
      </c>
      <c r="AG1190" s="446" t="e">
        <f>IF(OR($B1190="",MIN(AG$38,$D$19)&lt;MAX($P$708*($B1190+IF($R$17="Distrato",$I$38-1,0)),IF(AND($L$711=0,$P$708=0),"",$L$711-1),IF($R$17="Distrato",$E1190,0))),0,YEARFRAC(MAX($P$708*($B1190+IF($R$17="Distrato",$I$38-1,0)),IF(AND($L$711=0,$P$708=0),"",$L$711-1),IF($R$17="Distrato",$E1190,0)),MIN(AG$38,$D$19),$P$20))-SUM($P1190:AF1190)</f>
        <v>#VALUE!</v>
      </c>
      <c r="AH1190" s="446" t="e">
        <f>IF(OR($B1190="",MIN(AH$38,$D$19)&lt;MAX($P$708*($B1190+IF($R$17="Distrato",$I$38-1,0)),IF(AND($L$711=0,$P$708=0),"",$L$711-1),IF($R$17="Distrato",$E1190,0))),0,YEARFRAC(MAX($P$708*($B1190+IF($R$17="Distrato",$I$38-1,0)),IF(AND($L$711=0,$P$708=0),"",$L$711-1),IF($R$17="Distrato",$E1190,0)),MIN(AH$38,$D$19),$P$20))-SUM($P1190:AG1190)</f>
        <v>#VALUE!</v>
      </c>
      <c r="AI1190" s="446" t="e">
        <f>IF(OR($B1190="",MIN(AI$38,$D$19)&lt;MAX($P$708*($B1190+IF($R$17="Distrato",$I$38-1,0)),IF(AND($L$711=0,$P$708=0),"",$L$711-1),IF($R$17="Distrato",$E1190,0))),0,YEARFRAC(MAX($P$708*($B1190+IF($R$17="Distrato",$I$38-1,0)),IF(AND($L$711=0,$P$708=0),"",$L$711-1),IF($R$17="Distrato",$E1190,0)),MIN(AI$38,$D$19),$P$20))-SUM($P1190:AH1190)</f>
        <v>#VALUE!</v>
      </c>
      <c r="AJ1190" s="446" t="e">
        <f>IF(OR($B1190="",MIN(AJ$38,$D$19)&lt;MAX($P$708*($B1190+IF($R$17="Distrato",$I$38-1,0)),IF(AND($L$711=0,$P$708=0),"",$L$711-1),IF($R$17="Distrato",$E1190,0))),0,YEARFRAC(MAX($P$708*($B1190+IF($R$17="Distrato",$I$38-1,0)),IF(AND($L$711=0,$P$708=0),"",$L$711-1),IF($R$17="Distrato",$E1190,0)),MIN(AJ$38,$D$19),$P$20))-SUM($P1190:AI1190)</f>
        <v>#VALUE!</v>
      </c>
      <c r="AK1190" s="446" t="e">
        <f>IF(OR($B1190="",MIN(AK$38,$D$19)&lt;MAX($P$708*($B1190+IF($R$17="Distrato",$I$38-1,0)),IF(AND($L$711=0,$P$708=0),"",$L$711-1),IF($R$17="Distrato",$E1190,0))),0,YEARFRAC(MAX($P$708*($B1190+IF($R$17="Distrato",$I$38-1,0)),IF(AND($L$711=0,$P$708=0),"",$L$711-1),IF($R$17="Distrato",$E1190,0)),MIN(AK$38,$D$19),$P$20))-SUM($P1190:AJ1190)</f>
        <v>#VALUE!</v>
      </c>
      <c r="AL1190" s="446" t="e">
        <f>IF(OR($B1190="",MIN(AL$38,$D$19)&lt;MAX($P$708*($B1190+IF($R$17="Distrato",$I$38-1,0)),IF(AND($L$711=0,$P$708=0),"",$L$711-1),IF($R$17="Distrato",$E1190,0))),0,YEARFRAC(MAX($P$708*($B1190+IF($R$17="Distrato",$I$38-1,0)),IF(AND($L$711=0,$P$708=0),"",$L$711-1),IF($R$17="Distrato",$E1190,0)),MIN(AL$38,$D$19),$P$20))-SUM($P1190:AK1190)</f>
        <v>#VALUE!</v>
      </c>
      <c r="AM1190" s="446" t="e">
        <f>IF(OR($B1190="",MIN(AM$38,$D$19)&lt;MAX($P$708*($B1190+IF($R$17="Distrato",$I$38-1,0)),IF(AND($L$711=0,$P$708=0),"",$L$711-1),IF($R$17="Distrato",$E1190,0))),0,YEARFRAC(MAX($P$708*($B1190+IF($R$17="Distrato",$I$38-1,0)),IF(AND($L$711=0,$P$708=0),"",$L$711-1),IF($R$17="Distrato",$E1190,0)),MIN(AM$38,$D$19),$P$20))-SUM($P1190:AL1190)</f>
        <v>#VALUE!</v>
      </c>
      <c r="AN1190" s="446" t="e">
        <f>IF(OR($B1190="",MIN(AN$38,$D$19)&lt;MAX($P$708*($B1190+IF($R$17="Distrato",$I$38-1,0)),IF(AND($L$711=0,$P$708=0),"",$L$711-1),IF($R$17="Distrato",$E1190,0))),0,YEARFRAC(MAX($P$708*($B1190+IF($R$17="Distrato",$I$38-1,0)),IF(AND($L$711=0,$P$708=0),"",$L$711-1),IF($R$17="Distrato",$E1190,0)),MIN(AN$38,$D$19),$P$20))-SUM($P1190:AM1190)</f>
        <v>#VALUE!</v>
      </c>
      <c r="AO1190" s="446" t="e">
        <f>IF(OR($B1190="",MIN(AO$38,$D$19)&lt;MAX($P$708*($B1190+IF($R$17="Distrato",$I$38-1,0)),IF(AND($L$711=0,$P$708=0),"",$L$711-1),IF($R$17="Distrato",$E1190,0))),0,YEARFRAC(MAX($P$708*($B1190+IF($R$17="Distrato",$I$38-1,0)),IF(AND($L$711=0,$P$708=0),"",$L$711-1),IF($R$17="Distrato",$E1190,0)),MIN(AO$38,$D$19),$P$20))-SUM($P1190:AN1190)</f>
        <v>#VALUE!</v>
      </c>
      <c r="AP1190" s="446" t="e">
        <f>IF(OR($B1190="",MIN(AP$38,$D$19)&lt;MAX($P$708*($B1190+IF($R$17="Distrato",$I$38-1,0)),IF(AND($L$711=0,$P$708=0),"",$L$711-1),IF($R$17="Distrato",$E1190,0))),0,YEARFRAC(MAX($P$708*($B1190+IF($R$17="Distrato",$I$38-1,0)),IF(AND($L$711=0,$P$708=0),"",$L$711-1),IF($R$17="Distrato",$E1190,0)),MIN(AP$38,$D$19),$P$20))-SUM($P1190:AO1190)</f>
        <v>#VALUE!</v>
      </c>
      <c r="AQ1190" s="446" t="e">
        <f>IF(OR($B1190="",MIN(AQ$38,$D$19)&lt;MAX($P$708*($B1190+IF($R$17="Distrato",$I$38-1,0)),IF(AND($L$711=0,$P$708=0),"",$L$711-1),IF($R$17="Distrato",$E1190,0))),0,YEARFRAC(MAX($P$708*($B1190+IF($R$17="Distrato",$I$38-1,0)),IF(AND($L$711=0,$P$708=0),"",$L$711-1),IF($R$17="Distrato",$E1190,0)),MIN(AQ$38,$D$19),$P$20))-SUM($P1190:AP1190)</f>
        <v>#VALUE!</v>
      </c>
      <c r="AR1190" s="446" t="e">
        <f>IF(OR($B1190="",MIN(AR$38,$D$19)&lt;MAX($P$708*($B1190+IF($R$17="Distrato",$I$38-1,0)),IF(AND($L$711=0,$P$708=0),"",$L$711-1),IF($R$17="Distrato",$E1190,0))),0,YEARFRAC(MAX($P$708*($B1190+IF($R$17="Distrato",$I$38-1,0)),IF(AND($L$711=0,$P$708=0),"",$L$711-1),IF($R$17="Distrato",$E1190,0)),MIN(AR$38,$D$19),$P$20))-SUM($P1190:AQ1190)</f>
        <v>#VALUE!</v>
      </c>
      <c r="AS1190" s="446" t="e">
        <f>IF(OR($B1190="",MIN(AS$38,$D$19)&lt;MAX($P$708*($B1190+IF($R$17="Distrato",$I$38-1,0)),IF(AND($L$711=0,$P$708=0),"",$L$711-1),IF($R$17="Distrato",$E1190,0))),0,YEARFRAC(MAX($P$708*($B1190+IF($R$17="Distrato",$I$38-1,0)),IF(AND($L$711=0,$P$708=0),"",$L$711-1),IF($R$17="Distrato",$E1190,0)),MIN(AS$38,$D$19),$P$20))-SUM($P1190:AR1190)</f>
        <v>#VALUE!</v>
      </c>
      <c r="AT1190" s="446" t="e">
        <f>IF(OR($B1190="",MIN(AT$38,$D$19)&lt;MAX($P$708*($B1190+IF($R$17="Distrato",$I$38-1,0)),IF(AND($L$711=0,$P$708=0),"",$L$711-1),IF($R$17="Distrato",$E1190,0))),0,YEARFRAC(MAX($P$708*($B1190+IF($R$17="Distrato",$I$38-1,0)),IF(AND($L$711=0,$P$708=0),"",$L$711-1),IF($R$17="Distrato",$E1190,0)),MIN(AT$38,$D$19),$P$20))-SUM($P1190:AS1190)</f>
        <v>#VALUE!</v>
      </c>
      <c r="AU1190" s="446" t="e">
        <f>IF(OR($B1190="",MIN(AU$38,$D$19)&lt;MAX($P$708*($B1190+IF($R$17="Distrato",$I$38-1,0)),IF(AND($L$711=0,$P$708=0),"",$L$711-1),IF($R$17="Distrato",$E1190,0))),0,YEARFRAC(MAX($P$708*($B1190+IF($R$17="Distrato",$I$38-1,0)),IF(AND($L$711=0,$P$708=0),"",$L$711-1),IF($R$17="Distrato",$E1190,0)),MIN(AU$38,$D$19),$P$20))-SUM($P1190:AT1190)</f>
        <v>#VALUE!</v>
      </c>
      <c r="AV1190" s="446" t="e">
        <f>IF(OR($B1190="",MIN(AV$38,$D$19)&lt;MAX($P$708*($B1190+IF($R$17="Distrato",$I$38-1,0)),IF(AND($L$711=0,$P$708=0),"",$L$711-1),IF($R$17="Distrato",$E1190,0))),0,YEARFRAC(MAX($P$708*($B1190+IF($R$17="Distrato",$I$38-1,0)),IF(AND($L$711=0,$P$708=0),"",$L$711-1),IF($R$17="Distrato",$E1190,0)),MIN(AV$38,$D$19),$P$20))-SUM($P1190:AU1190)</f>
        <v>#VALUE!</v>
      </c>
      <c r="AW1190" s="446" t="e">
        <f>IF(OR($B1190="",MIN(AW$38,$D$19)&lt;MAX($P$708*($B1190+IF($R$17="Distrato",$I$38-1,0)),IF(AND($L$711=0,$P$708=0),"",$L$711-1),IF($R$17="Distrato",$E1190,0))),0,YEARFRAC(MAX($P$708*($B1190+IF($R$17="Distrato",$I$38-1,0)),IF(AND($L$711=0,$P$708=0),"",$L$711-1),IF($R$17="Distrato",$E1190,0)),MIN(AW$38,$D$19),$P$20))-SUM($P1190:AV1190)</f>
        <v>#VALUE!</v>
      </c>
      <c r="AX1190" s="446" t="e">
        <f>IF(OR($B1190="",MIN(AX$38,$D$19)&lt;MAX($P$708*($B1190+IF($R$17="Distrato",$I$38-1,0)),IF(AND($L$711=0,$P$708=0),"",$L$711-1),IF($R$17="Distrato",$E1190,0))),0,YEARFRAC(MAX($P$708*($B1190+IF($R$17="Distrato",$I$38-1,0)),IF(AND($L$711=0,$P$708=0),"",$L$711-1),IF($R$17="Distrato",$E1190,0)),MIN(AX$38,$D$19),$P$20))-SUM($P1190:AW1190)</f>
        <v>#VALUE!</v>
      </c>
      <c r="AY1190" s="446" t="e">
        <f>IF(OR($B1190="",MIN(AY$38,$D$19)&lt;MAX($P$708*($B1190+IF($R$17="Distrato",$I$38-1,0)),IF(AND($L$711=0,$P$708=0),"",$L$711-1),IF($R$17="Distrato",$E1190,0))),0,YEARFRAC(MAX($P$708*($B1190+IF($R$17="Distrato",$I$38-1,0)),IF(AND($L$711=0,$P$708=0),"",$L$711-1),IF($R$17="Distrato",$E1190,0)),MIN(AY$38,$D$19),$P$20))-SUM($P1190:AX1190)</f>
        <v>#VALUE!</v>
      </c>
      <c r="AZ1190" s="446" t="e">
        <f>IF(OR($B1190="",MIN(AZ$38,$D$19)&lt;MAX($P$708*($B1190+IF($R$17="Distrato",$I$38-1,0)),IF(AND($L$711=0,$P$708=0),"",$L$711-1),IF($R$17="Distrato",$E1190,0))),0,YEARFRAC(MAX($P$708*($B1190+IF($R$17="Distrato",$I$38-1,0)),IF(AND($L$711=0,$P$708=0),"",$L$711-1),IF($R$17="Distrato",$E1190,0)),MIN(AZ$38,$D$19),$P$20))-SUM($P1190:AY1190)</f>
        <v>#VALUE!</v>
      </c>
      <c r="BA1190" s="446" t="e">
        <f>IF(OR($B1190="",MIN(BA$38,$D$19)&lt;MAX($P$708*($B1190+IF($R$17="Distrato",$I$38-1,0)),IF(AND($L$711=0,$P$708=0),"",$L$711-1),IF($R$17="Distrato",$E1190,0))),0,YEARFRAC(MAX($P$708*($B1190+IF($R$17="Distrato",$I$38-1,0)),IF(AND($L$711=0,$P$708=0),"",$L$711-1),IF($R$17="Distrato",$E1190,0)),MIN(BA$38,$D$19),$P$20))-SUM($P1190:AZ1190)</f>
        <v>#VALUE!</v>
      </c>
      <c r="BB1190" s="447"/>
    </row>
    <row r="1191" spans="1:54" s="446" customFormat="1" ht="11.25" hidden="1" customHeight="1" x14ac:dyDescent="0.2">
      <c r="A1191" s="235"/>
      <c r="B1191" s="236"/>
      <c r="C1191" s="29" t="str">
        <f>IF(B1191="","",IF($L$709=$BL$25,VLOOKUP(DATE(YEAR($D$19),MONTH($D$19)-1,1),ÍNDICES!$A:$DE,HLOOKUP($BL$25,ÍNDICES!$B$3:$T$4,2)+11)-VLOOKUP(B1191,ÍNDICES!$A:$DE,HLOOKUP($BL$25,ÍNDICES!$B$3:$T$4,2)+11)+1%,IF(C$712=$W$26,$J$35,IF(ISERROR(IF(B1191&gt;$D$19,1,VLOOKUP(DATE(YEAR(B1191),MONTH(B1191)+IF($C$709=$S$23,1,0),1),ÍNDICES!$A:$DE,$Z$709+1))),"",IF(B1191&gt;$D$19,1,VLOOKUP(DATE(YEAR(B1191),MONTH(B1191)+IF($C$709=$S$23,1,0),1),ÍNDICES!$A:$DE,$Z$709+1))))))</f>
        <v/>
      </c>
      <c r="D1191" s="155"/>
      <c r="E1191" s="88"/>
      <c r="F1191" s="88"/>
      <c r="G1191" s="88"/>
      <c r="H1191" s="118"/>
      <c r="I1191" s="182">
        <f t="shared" si="164"/>
        <v>0</v>
      </c>
      <c r="J1191" s="20">
        <f t="shared" ca="1" si="165"/>
        <v>0</v>
      </c>
      <c r="K1191" s="5">
        <f t="shared" ca="1" si="166"/>
        <v>0</v>
      </c>
      <c r="L1191" s="61">
        <f t="shared" ca="1" si="167"/>
        <v>0</v>
      </c>
      <c r="M1191" s="64">
        <f t="shared" si="168"/>
        <v>0</v>
      </c>
      <c r="N1191" s="151"/>
      <c r="O1191" s="5">
        <f t="shared" ca="1" si="169"/>
        <v>0</v>
      </c>
      <c r="P1191" s="446" t="e">
        <f t="shared" si="170"/>
        <v>#VALUE!</v>
      </c>
      <c r="Q1191" s="446" t="e">
        <f>IF(OR($B1191="",MIN(Q$38,$D$19)&lt;MAX($P$708*($B1191+IF($R$17="Distrato",$I$38-1,0)),IF(AND($L$711=0,$P$708=0),"",$L$711-1),IF($R$17="Distrato",$E1191,0))),0,YEARFRAC(MAX($P$708*($B1191+IF($R$17="Distrato",$I$38-1,0)),IF(AND($L$711=0,$P$708=0),"",$L$711-1),IF($R$17="Distrato",$E1191,0)),MIN(Q$38,$D$19),$P$20))-SUM($P1191:P1191)</f>
        <v>#VALUE!</v>
      </c>
      <c r="R1191" s="446" t="e">
        <f>IF(OR($B1191="",MIN(R$38,$D$19)&lt;MAX($P$708*($B1191+IF($R$17="Distrato",$I$38-1,0)),IF(AND($L$711=0,$P$708=0),"",$L$711-1),IF($R$17="Distrato",$E1191,0))),0,YEARFRAC(MAX($P$708*($B1191+IF($R$17="Distrato",$I$38-1,0)),IF(AND($L$711=0,$P$708=0),"",$L$711-1),IF($R$17="Distrato",$E1191,0)),MIN(R$38,$D$19),$P$20))-SUM($P1191:Q1191)</f>
        <v>#VALUE!</v>
      </c>
      <c r="S1191" s="446" t="e">
        <f>IF(OR($B1191="",MIN(S$38,$D$19)&lt;MAX($P$708*($B1191+IF($R$17="Distrato",$I$38-1,0)),IF(AND($L$711=0,$P$708=0),"",$L$711-1),IF($R$17="Distrato",$E1191,0))),0,YEARFRAC(MAX($P$708*($B1191+IF($R$17="Distrato",$I$38-1,0)),IF(AND($L$711=0,$P$708=0),"",$L$711-1),IF($R$17="Distrato",$E1191,0)),MIN(S$38,$D$19),$P$20))-SUM($P1191:R1191)</f>
        <v>#VALUE!</v>
      </c>
      <c r="T1191" s="446" t="e">
        <f>IF(OR($B1191="",MIN(T$38,$D$19)&lt;MAX($P$708*($B1191+IF($R$17="Distrato",$I$38-1,0)),IF(AND($L$711=0,$P$708=0),"",$L$711-1),IF($R$17="Distrato",$E1191,0))),0,YEARFRAC(MAX($P$708*($B1191+IF($R$17="Distrato",$I$38-1,0)),IF(AND($L$711=0,$P$708=0),"",$L$711-1),IF($R$17="Distrato",$E1191,0)),MIN(T$38,$D$19),$P$20))-SUM($P1191:S1191)</f>
        <v>#VALUE!</v>
      </c>
      <c r="U1191" s="446" t="e">
        <f>IF(OR($B1191="",MIN(U$38,$D$19)&lt;MAX($P$708*($B1191+IF($R$17="Distrato",$I$38-1,0)),IF(AND($L$711=0,$P$708=0),"",$L$711-1),IF($R$17="Distrato",$E1191,0))),0,YEARFRAC(MAX($P$708*($B1191+IF($R$17="Distrato",$I$38-1,0)),IF(AND($L$711=0,$P$708=0),"",$L$711-1),IF($R$17="Distrato",$E1191,0)),MIN(U$38,$D$19),$P$20))-SUM($P1191:T1191)</f>
        <v>#VALUE!</v>
      </c>
      <c r="V1191" s="446" t="e">
        <f>IF(OR($B1191="",MIN(V$38,$D$19)&lt;MAX($P$708*($B1191+IF($R$17="Distrato",$I$38-1,0)),IF(AND($L$711=0,$P$708=0),"",$L$711-1),IF($R$17="Distrato",$E1191,0))),0,YEARFRAC(MAX($P$708*($B1191+IF($R$17="Distrato",$I$38-1,0)),IF(AND($L$711=0,$P$708=0),"",$L$711-1),IF($R$17="Distrato",$E1191,0)),MIN(V$38,$D$19),$P$20))-SUM($P1191:U1191)</f>
        <v>#VALUE!</v>
      </c>
      <c r="W1191" s="446" t="e">
        <f>IF(OR($B1191="",MIN(W$38,$D$19)&lt;MAX($P$708*($B1191+IF($R$17="Distrato",$I$38-1,0)),IF(AND($L$711=0,$P$708=0),"",$L$711-1),IF($R$17="Distrato",$E1191,0))),0,YEARFRAC(MAX($P$708*($B1191+IF($R$17="Distrato",$I$38-1,0)),IF(AND($L$711=0,$P$708=0),"",$L$711-1),IF($R$17="Distrato",$E1191,0)),MIN(W$38,$D$19),$P$20))-SUM($P1191:V1191)</f>
        <v>#VALUE!</v>
      </c>
      <c r="X1191" s="446" t="e">
        <f>IF(OR($B1191="",MIN(X$38,$D$19)&lt;MAX($P$708*($B1191+IF($R$17="Distrato",$I$38-1,0)),IF(AND($L$711=0,$P$708=0),"",$L$711-1),IF($R$17="Distrato",$E1191,0))),0,YEARFRAC(MAX($P$708*($B1191+IF($R$17="Distrato",$I$38-1,0)),IF(AND($L$711=0,$P$708=0),"",$L$711-1),IF($R$17="Distrato",$E1191,0)),MIN(X$38,$D$19),$P$20))-SUM($P1191:W1191)</f>
        <v>#VALUE!</v>
      </c>
      <c r="Y1191" s="446" t="e">
        <f>IF(OR($B1191="",MIN(Y$38,$D$19)&lt;MAX($P$708*($B1191+IF($R$17="Distrato",$I$38-1,0)),IF(AND($L$711=0,$P$708=0),"",$L$711-1),IF($R$17="Distrato",$E1191,0))),0,YEARFRAC(MAX($P$708*($B1191+IF($R$17="Distrato",$I$38-1,0)),IF(AND($L$711=0,$P$708=0),"",$L$711-1),IF($R$17="Distrato",$E1191,0)),MIN(Y$38,$D$19),$P$20))-SUM($P1191:X1191)</f>
        <v>#VALUE!</v>
      </c>
      <c r="Z1191" s="446" t="e">
        <f>IF(OR($B1191="",MIN(Z$38,$D$19)&lt;MAX($P$708*($B1191+IF($R$17="Distrato",$I$38-1,0)),IF(AND($L$711=0,$P$708=0),"",$L$711-1),IF($R$17="Distrato",$E1191,0))),0,YEARFRAC(MAX($P$708*($B1191+IF($R$17="Distrato",$I$38-1,0)),IF(AND($L$711=0,$P$708=0),"",$L$711-1),IF($R$17="Distrato",$E1191,0)),MIN(Z$38,$D$19),$P$20))-SUM($P1191:Y1191)</f>
        <v>#VALUE!</v>
      </c>
      <c r="AA1191" s="446" t="e">
        <f>IF(OR($B1191="",MIN(AA$38,$D$19)&lt;MAX($P$708*($B1191+IF($R$17="Distrato",$I$38-1,0)),IF(AND($L$711=0,$P$708=0),"",$L$711-1),IF($R$17="Distrato",$E1191,0))),0,YEARFRAC(MAX($P$708*($B1191+IF($R$17="Distrato",$I$38-1,0)),IF(AND($L$711=0,$P$708=0),"",$L$711-1),IF($R$17="Distrato",$E1191,0)),MIN(AA$38,$D$19),$P$20))-SUM($P1191:Z1191)</f>
        <v>#VALUE!</v>
      </c>
      <c r="AB1191" s="446" t="e">
        <f>IF(OR($B1191="",MIN(AB$38,$D$19)&lt;MAX($P$708*($B1191+IF($R$17="Distrato",$I$38-1,0)),IF(AND($L$711=0,$P$708=0),"",$L$711-1),IF($R$17="Distrato",$E1191,0))),0,YEARFRAC(MAX($P$708*($B1191+IF($R$17="Distrato",$I$38-1,0)),IF(AND($L$711=0,$P$708=0),"",$L$711-1),IF($R$17="Distrato",$E1191,0)),MIN(AB$38,$D$19),$P$20))-SUM($P1191:AA1191)</f>
        <v>#VALUE!</v>
      </c>
      <c r="AC1191" s="446" t="e">
        <f>IF(OR($B1191="",MIN(AC$38,$D$19)&lt;MAX($P$708*($B1191+IF($R$17="Distrato",$I$38-1,0)),IF(AND($L$711=0,$P$708=0),"",$L$711-1),IF($R$17="Distrato",$E1191,0))),0,YEARFRAC(MAX($P$708*($B1191+IF($R$17="Distrato",$I$38-1,0)),IF(AND($L$711=0,$P$708=0),"",$L$711-1),IF($R$17="Distrato",$E1191,0)),MIN(AC$38,$D$19),$P$20))-SUM($P1191:AB1191)</f>
        <v>#VALUE!</v>
      </c>
      <c r="AD1191" s="446" t="e">
        <f>IF(OR($B1191="",MIN(AD$38,$D$19)&lt;MAX($P$708*($B1191+IF($R$17="Distrato",$I$38-1,0)),IF(AND($L$711=0,$P$708=0),"",$L$711-1),IF($R$17="Distrato",$E1191,0))),0,YEARFRAC(MAX($P$708*($B1191+IF($R$17="Distrato",$I$38-1,0)),IF(AND($L$711=0,$P$708=0),"",$L$711-1),IF($R$17="Distrato",$E1191,0)),MIN(AD$38,$D$19),$P$20))-SUM($P1191:AC1191)</f>
        <v>#VALUE!</v>
      </c>
      <c r="AE1191" s="446" t="e">
        <f>IF(OR($B1191="",MIN(AE$38,$D$19)&lt;MAX($P$708*($B1191+IF($R$17="Distrato",$I$38-1,0)),IF(AND($L$711=0,$P$708=0),"",$L$711-1),IF($R$17="Distrato",$E1191,0))),0,YEARFRAC(MAX($P$708*($B1191+IF($R$17="Distrato",$I$38-1,0)),IF(AND($L$711=0,$P$708=0),"",$L$711-1),IF($R$17="Distrato",$E1191,0)),MIN(AE$38,$D$19),$P$20))-SUM($P1191:AD1191)</f>
        <v>#VALUE!</v>
      </c>
      <c r="AF1191" s="446" t="e">
        <f>IF(OR($B1191="",MIN(AF$38,$D$19)&lt;MAX($P$708*($B1191+IF($R$17="Distrato",$I$38-1,0)),IF(AND($L$711=0,$P$708=0),"",$L$711-1),IF($R$17="Distrato",$E1191,0))),0,YEARFRAC(MAX($P$708*($B1191+IF($R$17="Distrato",$I$38-1,0)),IF(AND($L$711=0,$P$708=0),"",$L$711-1),IF($R$17="Distrato",$E1191,0)),MIN(AF$38,$D$19),$P$20))-SUM($P1191:AE1191)</f>
        <v>#VALUE!</v>
      </c>
      <c r="AG1191" s="446" t="e">
        <f>IF(OR($B1191="",MIN(AG$38,$D$19)&lt;MAX($P$708*($B1191+IF($R$17="Distrato",$I$38-1,0)),IF(AND($L$711=0,$P$708=0),"",$L$711-1),IF($R$17="Distrato",$E1191,0))),0,YEARFRAC(MAX($P$708*($B1191+IF($R$17="Distrato",$I$38-1,0)),IF(AND($L$711=0,$P$708=0),"",$L$711-1),IF($R$17="Distrato",$E1191,0)),MIN(AG$38,$D$19),$P$20))-SUM($P1191:AF1191)</f>
        <v>#VALUE!</v>
      </c>
      <c r="AH1191" s="446" t="e">
        <f>IF(OR($B1191="",MIN(AH$38,$D$19)&lt;MAX($P$708*($B1191+IF($R$17="Distrato",$I$38-1,0)),IF(AND($L$711=0,$P$708=0),"",$L$711-1),IF($R$17="Distrato",$E1191,0))),0,YEARFRAC(MAX($P$708*($B1191+IF($R$17="Distrato",$I$38-1,0)),IF(AND($L$711=0,$P$708=0),"",$L$711-1),IF($R$17="Distrato",$E1191,0)),MIN(AH$38,$D$19),$P$20))-SUM($P1191:AG1191)</f>
        <v>#VALUE!</v>
      </c>
      <c r="AI1191" s="446" t="e">
        <f>IF(OR($B1191="",MIN(AI$38,$D$19)&lt;MAX($P$708*($B1191+IF($R$17="Distrato",$I$38-1,0)),IF(AND($L$711=0,$P$708=0),"",$L$711-1),IF($R$17="Distrato",$E1191,0))),0,YEARFRAC(MAX($P$708*($B1191+IF($R$17="Distrato",$I$38-1,0)),IF(AND($L$711=0,$P$708=0),"",$L$711-1),IF($R$17="Distrato",$E1191,0)),MIN(AI$38,$D$19),$P$20))-SUM($P1191:AH1191)</f>
        <v>#VALUE!</v>
      </c>
      <c r="AJ1191" s="446" t="e">
        <f>IF(OR($B1191="",MIN(AJ$38,$D$19)&lt;MAX($P$708*($B1191+IF($R$17="Distrato",$I$38-1,0)),IF(AND($L$711=0,$P$708=0),"",$L$711-1),IF($R$17="Distrato",$E1191,0))),0,YEARFRAC(MAX($P$708*($B1191+IF($R$17="Distrato",$I$38-1,0)),IF(AND($L$711=0,$P$708=0),"",$L$711-1),IF($R$17="Distrato",$E1191,0)),MIN(AJ$38,$D$19),$P$20))-SUM($P1191:AI1191)</f>
        <v>#VALUE!</v>
      </c>
      <c r="AK1191" s="446" t="e">
        <f>IF(OR($B1191="",MIN(AK$38,$D$19)&lt;MAX($P$708*($B1191+IF($R$17="Distrato",$I$38-1,0)),IF(AND($L$711=0,$P$708=0),"",$L$711-1),IF($R$17="Distrato",$E1191,0))),0,YEARFRAC(MAX($P$708*($B1191+IF($R$17="Distrato",$I$38-1,0)),IF(AND($L$711=0,$P$708=0),"",$L$711-1),IF($R$17="Distrato",$E1191,0)),MIN(AK$38,$D$19),$P$20))-SUM($P1191:AJ1191)</f>
        <v>#VALUE!</v>
      </c>
      <c r="AL1191" s="446" t="e">
        <f>IF(OR($B1191="",MIN(AL$38,$D$19)&lt;MAX($P$708*($B1191+IF($R$17="Distrato",$I$38-1,0)),IF(AND($L$711=0,$P$708=0),"",$L$711-1),IF($R$17="Distrato",$E1191,0))),0,YEARFRAC(MAX($P$708*($B1191+IF($R$17="Distrato",$I$38-1,0)),IF(AND($L$711=0,$P$708=0),"",$L$711-1),IF($R$17="Distrato",$E1191,0)),MIN(AL$38,$D$19),$P$20))-SUM($P1191:AK1191)</f>
        <v>#VALUE!</v>
      </c>
      <c r="AM1191" s="446" t="e">
        <f>IF(OR($B1191="",MIN(AM$38,$D$19)&lt;MAX($P$708*($B1191+IF($R$17="Distrato",$I$38-1,0)),IF(AND($L$711=0,$P$708=0),"",$L$711-1),IF($R$17="Distrato",$E1191,0))),0,YEARFRAC(MAX($P$708*($B1191+IF($R$17="Distrato",$I$38-1,0)),IF(AND($L$711=0,$P$708=0),"",$L$711-1),IF($R$17="Distrato",$E1191,0)),MIN(AM$38,$D$19),$P$20))-SUM($P1191:AL1191)</f>
        <v>#VALUE!</v>
      </c>
      <c r="AN1191" s="446" t="e">
        <f>IF(OR($B1191="",MIN(AN$38,$D$19)&lt;MAX($P$708*($B1191+IF($R$17="Distrato",$I$38-1,0)),IF(AND($L$711=0,$P$708=0),"",$L$711-1),IF($R$17="Distrato",$E1191,0))),0,YEARFRAC(MAX($P$708*($B1191+IF($R$17="Distrato",$I$38-1,0)),IF(AND($L$711=0,$P$708=0),"",$L$711-1),IF($R$17="Distrato",$E1191,0)),MIN(AN$38,$D$19),$P$20))-SUM($P1191:AM1191)</f>
        <v>#VALUE!</v>
      </c>
      <c r="AO1191" s="446" t="e">
        <f>IF(OR($B1191="",MIN(AO$38,$D$19)&lt;MAX($P$708*($B1191+IF($R$17="Distrato",$I$38-1,0)),IF(AND($L$711=0,$P$708=0),"",$L$711-1),IF($R$17="Distrato",$E1191,0))),0,YEARFRAC(MAX($P$708*($B1191+IF($R$17="Distrato",$I$38-1,0)),IF(AND($L$711=0,$P$708=0),"",$L$711-1),IF($R$17="Distrato",$E1191,0)),MIN(AO$38,$D$19),$P$20))-SUM($P1191:AN1191)</f>
        <v>#VALUE!</v>
      </c>
      <c r="AP1191" s="446" t="e">
        <f>IF(OR($B1191="",MIN(AP$38,$D$19)&lt;MAX($P$708*($B1191+IF($R$17="Distrato",$I$38-1,0)),IF(AND($L$711=0,$P$708=0),"",$L$711-1),IF($R$17="Distrato",$E1191,0))),0,YEARFRAC(MAX($P$708*($B1191+IF($R$17="Distrato",$I$38-1,0)),IF(AND($L$711=0,$P$708=0),"",$L$711-1),IF($R$17="Distrato",$E1191,0)),MIN(AP$38,$D$19),$P$20))-SUM($P1191:AO1191)</f>
        <v>#VALUE!</v>
      </c>
      <c r="AQ1191" s="446" t="e">
        <f>IF(OR($B1191="",MIN(AQ$38,$D$19)&lt;MAX($P$708*($B1191+IF($R$17="Distrato",$I$38-1,0)),IF(AND($L$711=0,$P$708=0),"",$L$711-1),IF($R$17="Distrato",$E1191,0))),0,YEARFRAC(MAX($P$708*($B1191+IF($R$17="Distrato",$I$38-1,0)),IF(AND($L$711=0,$P$708=0),"",$L$711-1),IF($R$17="Distrato",$E1191,0)),MIN(AQ$38,$D$19),$P$20))-SUM($P1191:AP1191)</f>
        <v>#VALUE!</v>
      </c>
      <c r="AR1191" s="446" t="e">
        <f>IF(OR($B1191="",MIN(AR$38,$D$19)&lt;MAX($P$708*($B1191+IF($R$17="Distrato",$I$38-1,0)),IF(AND($L$711=0,$P$708=0),"",$L$711-1),IF($R$17="Distrato",$E1191,0))),0,YEARFRAC(MAX($P$708*($B1191+IF($R$17="Distrato",$I$38-1,0)),IF(AND($L$711=0,$P$708=0),"",$L$711-1),IF($R$17="Distrato",$E1191,0)),MIN(AR$38,$D$19),$P$20))-SUM($P1191:AQ1191)</f>
        <v>#VALUE!</v>
      </c>
      <c r="AS1191" s="446" t="e">
        <f>IF(OR($B1191="",MIN(AS$38,$D$19)&lt;MAX($P$708*($B1191+IF($R$17="Distrato",$I$38-1,0)),IF(AND($L$711=0,$P$708=0),"",$L$711-1),IF($R$17="Distrato",$E1191,0))),0,YEARFRAC(MAX($P$708*($B1191+IF($R$17="Distrato",$I$38-1,0)),IF(AND($L$711=0,$P$708=0),"",$L$711-1),IF($R$17="Distrato",$E1191,0)),MIN(AS$38,$D$19),$P$20))-SUM($P1191:AR1191)</f>
        <v>#VALUE!</v>
      </c>
      <c r="AT1191" s="446" t="e">
        <f>IF(OR($B1191="",MIN(AT$38,$D$19)&lt;MAX($P$708*($B1191+IF($R$17="Distrato",$I$38-1,0)),IF(AND($L$711=0,$P$708=0),"",$L$711-1),IF($R$17="Distrato",$E1191,0))),0,YEARFRAC(MAX($P$708*($B1191+IF($R$17="Distrato",$I$38-1,0)),IF(AND($L$711=0,$P$708=0),"",$L$711-1),IF($R$17="Distrato",$E1191,0)),MIN(AT$38,$D$19),$P$20))-SUM($P1191:AS1191)</f>
        <v>#VALUE!</v>
      </c>
      <c r="AU1191" s="446" t="e">
        <f>IF(OR($B1191="",MIN(AU$38,$D$19)&lt;MAX($P$708*($B1191+IF($R$17="Distrato",$I$38-1,0)),IF(AND($L$711=0,$P$708=0),"",$L$711-1),IF($R$17="Distrato",$E1191,0))),0,YEARFRAC(MAX($P$708*($B1191+IF($R$17="Distrato",$I$38-1,0)),IF(AND($L$711=0,$P$708=0),"",$L$711-1),IF($R$17="Distrato",$E1191,0)),MIN(AU$38,$D$19),$P$20))-SUM($P1191:AT1191)</f>
        <v>#VALUE!</v>
      </c>
      <c r="AV1191" s="446" t="e">
        <f>IF(OR($B1191="",MIN(AV$38,$D$19)&lt;MAX($P$708*($B1191+IF($R$17="Distrato",$I$38-1,0)),IF(AND($L$711=0,$P$708=0),"",$L$711-1),IF($R$17="Distrato",$E1191,0))),0,YEARFRAC(MAX($P$708*($B1191+IF($R$17="Distrato",$I$38-1,0)),IF(AND($L$711=0,$P$708=0),"",$L$711-1),IF($R$17="Distrato",$E1191,0)),MIN(AV$38,$D$19),$P$20))-SUM($P1191:AU1191)</f>
        <v>#VALUE!</v>
      </c>
      <c r="AW1191" s="446" t="e">
        <f>IF(OR($B1191="",MIN(AW$38,$D$19)&lt;MAX($P$708*($B1191+IF($R$17="Distrato",$I$38-1,0)),IF(AND($L$711=0,$P$708=0),"",$L$711-1),IF($R$17="Distrato",$E1191,0))),0,YEARFRAC(MAX($P$708*($B1191+IF($R$17="Distrato",$I$38-1,0)),IF(AND($L$711=0,$P$708=0),"",$L$711-1),IF($R$17="Distrato",$E1191,0)),MIN(AW$38,$D$19),$P$20))-SUM($P1191:AV1191)</f>
        <v>#VALUE!</v>
      </c>
      <c r="AX1191" s="446" t="e">
        <f>IF(OR($B1191="",MIN(AX$38,$D$19)&lt;MAX($P$708*($B1191+IF($R$17="Distrato",$I$38-1,0)),IF(AND($L$711=0,$P$708=0),"",$L$711-1),IF($R$17="Distrato",$E1191,0))),0,YEARFRAC(MAX($P$708*($B1191+IF($R$17="Distrato",$I$38-1,0)),IF(AND($L$711=0,$P$708=0),"",$L$711-1),IF($R$17="Distrato",$E1191,0)),MIN(AX$38,$D$19),$P$20))-SUM($P1191:AW1191)</f>
        <v>#VALUE!</v>
      </c>
      <c r="AY1191" s="446" t="e">
        <f>IF(OR($B1191="",MIN(AY$38,$D$19)&lt;MAX($P$708*($B1191+IF($R$17="Distrato",$I$38-1,0)),IF(AND($L$711=0,$P$708=0),"",$L$711-1),IF($R$17="Distrato",$E1191,0))),0,YEARFRAC(MAX($P$708*($B1191+IF($R$17="Distrato",$I$38-1,0)),IF(AND($L$711=0,$P$708=0),"",$L$711-1),IF($R$17="Distrato",$E1191,0)),MIN(AY$38,$D$19),$P$20))-SUM($P1191:AX1191)</f>
        <v>#VALUE!</v>
      </c>
      <c r="AZ1191" s="446" t="e">
        <f>IF(OR($B1191="",MIN(AZ$38,$D$19)&lt;MAX($P$708*($B1191+IF($R$17="Distrato",$I$38-1,0)),IF(AND($L$711=0,$P$708=0),"",$L$711-1),IF($R$17="Distrato",$E1191,0))),0,YEARFRAC(MAX($P$708*($B1191+IF($R$17="Distrato",$I$38-1,0)),IF(AND($L$711=0,$P$708=0),"",$L$711-1),IF($R$17="Distrato",$E1191,0)),MIN(AZ$38,$D$19),$P$20))-SUM($P1191:AY1191)</f>
        <v>#VALUE!</v>
      </c>
      <c r="BA1191" s="446" t="e">
        <f>IF(OR($B1191="",MIN(BA$38,$D$19)&lt;MAX($P$708*($B1191+IF($R$17="Distrato",$I$38-1,0)),IF(AND($L$711=0,$P$708=0),"",$L$711-1),IF($R$17="Distrato",$E1191,0))),0,YEARFRAC(MAX($P$708*($B1191+IF($R$17="Distrato",$I$38-1,0)),IF(AND($L$711=0,$P$708=0),"",$L$711-1),IF($R$17="Distrato",$E1191,0)),MIN(BA$38,$D$19),$P$20))-SUM($P1191:AZ1191)</f>
        <v>#VALUE!</v>
      </c>
      <c r="BB1191" s="447"/>
    </row>
    <row r="1192" spans="1:54" s="446" customFormat="1" ht="11.25" hidden="1" customHeight="1" x14ac:dyDescent="0.2">
      <c r="A1192" s="235"/>
      <c r="B1192" s="236"/>
      <c r="C1192" s="29" t="str">
        <f>IF(B1192="","",IF($L$709=$BL$25,VLOOKUP(DATE(YEAR($D$19),MONTH($D$19)-1,1),ÍNDICES!$A:$DE,HLOOKUP($BL$25,ÍNDICES!$B$3:$T$4,2)+11)-VLOOKUP(B1192,ÍNDICES!$A:$DE,HLOOKUP($BL$25,ÍNDICES!$B$3:$T$4,2)+11)+1%,IF(C$712=$W$26,$J$35,IF(ISERROR(IF(B1192&gt;$D$19,1,VLOOKUP(DATE(YEAR(B1192),MONTH(B1192)+IF($C$709=$S$23,1,0),1),ÍNDICES!$A:$DE,$Z$709+1))),"",IF(B1192&gt;$D$19,1,VLOOKUP(DATE(YEAR(B1192),MONTH(B1192)+IF($C$709=$S$23,1,0),1),ÍNDICES!$A:$DE,$Z$709+1))))))</f>
        <v/>
      </c>
      <c r="D1192" s="155"/>
      <c r="E1192" s="88"/>
      <c r="F1192" s="88"/>
      <c r="G1192" s="88"/>
      <c r="H1192" s="118"/>
      <c r="I1192" s="182">
        <f t="shared" si="164"/>
        <v>0</v>
      </c>
      <c r="J1192" s="20">
        <f t="shared" ca="1" si="165"/>
        <v>0</v>
      </c>
      <c r="K1192" s="5">
        <f t="shared" ca="1" si="166"/>
        <v>0</v>
      </c>
      <c r="L1192" s="61">
        <f t="shared" ca="1" si="167"/>
        <v>0</v>
      </c>
      <c r="M1192" s="64">
        <f t="shared" si="168"/>
        <v>0</v>
      </c>
      <c r="N1192" s="151"/>
      <c r="O1192" s="5">
        <f t="shared" ca="1" si="169"/>
        <v>0</v>
      </c>
      <c r="P1192" s="446" t="e">
        <f t="shared" si="170"/>
        <v>#VALUE!</v>
      </c>
      <c r="Q1192" s="446" t="e">
        <f>IF(OR($B1192="",MIN(Q$38,$D$19)&lt;MAX($P$708*($B1192+IF($R$17="Distrato",$I$38-1,0)),IF(AND($L$711=0,$P$708=0),"",$L$711-1),IF($R$17="Distrato",$E1192,0))),0,YEARFRAC(MAX($P$708*($B1192+IF($R$17="Distrato",$I$38-1,0)),IF(AND($L$711=0,$P$708=0),"",$L$711-1),IF($R$17="Distrato",$E1192,0)),MIN(Q$38,$D$19),$P$20))-SUM($P1192:P1192)</f>
        <v>#VALUE!</v>
      </c>
      <c r="R1192" s="446" t="e">
        <f>IF(OR($B1192="",MIN(R$38,$D$19)&lt;MAX($P$708*($B1192+IF($R$17="Distrato",$I$38-1,0)),IF(AND($L$711=0,$P$708=0),"",$L$711-1),IF($R$17="Distrato",$E1192,0))),0,YEARFRAC(MAX($P$708*($B1192+IF($R$17="Distrato",$I$38-1,0)),IF(AND($L$711=0,$P$708=0),"",$L$711-1),IF($R$17="Distrato",$E1192,0)),MIN(R$38,$D$19),$P$20))-SUM($P1192:Q1192)</f>
        <v>#VALUE!</v>
      </c>
      <c r="S1192" s="446" t="e">
        <f>IF(OR($B1192="",MIN(S$38,$D$19)&lt;MAX($P$708*($B1192+IF($R$17="Distrato",$I$38-1,0)),IF(AND($L$711=0,$P$708=0),"",$L$711-1),IF($R$17="Distrato",$E1192,0))),0,YEARFRAC(MAX($P$708*($B1192+IF($R$17="Distrato",$I$38-1,0)),IF(AND($L$711=0,$P$708=0),"",$L$711-1),IF($R$17="Distrato",$E1192,0)),MIN(S$38,$D$19),$P$20))-SUM($P1192:R1192)</f>
        <v>#VALUE!</v>
      </c>
      <c r="T1192" s="446" t="e">
        <f>IF(OR($B1192="",MIN(T$38,$D$19)&lt;MAX($P$708*($B1192+IF($R$17="Distrato",$I$38-1,0)),IF(AND($L$711=0,$P$708=0),"",$L$711-1),IF($R$17="Distrato",$E1192,0))),0,YEARFRAC(MAX($P$708*($B1192+IF($R$17="Distrato",$I$38-1,0)),IF(AND($L$711=0,$P$708=0),"",$L$711-1),IF($R$17="Distrato",$E1192,0)),MIN(T$38,$D$19),$P$20))-SUM($P1192:S1192)</f>
        <v>#VALUE!</v>
      </c>
      <c r="U1192" s="446" t="e">
        <f>IF(OR($B1192="",MIN(U$38,$D$19)&lt;MAX($P$708*($B1192+IF($R$17="Distrato",$I$38-1,0)),IF(AND($L$711=0,$P$708=0),"",$L$711-1),IF($R$17="Distrato",$E1192,0))),0,YEARFRAC(MAX($P$708*($B1192+IF($R$17="Distrato",$I$38-1,0)),IF(AND($L$711=0,$P$708=0),"",$L$711-1),IF($R$17="Distrato",$E1192,0)),MIN(U$38,$D$19),$P$20))-SUM($P1192:T1192)</f>
        <v>#VALUE!</v>
      </c>
      <c r="V1192" s="446" t="e">
        <f>IF(OR($B1192="",MIN(V$38,$D$19)&lt;MAX($P$708*($B1192+IF($R$17="Distrato",$I$38-1,0)),IF(AND($L$711=0,$P$708=0),"",$L$711-1),IF($R$17="Distrato",$E1192,0))),0,YEARFRAC(MAX($P$708*($B1192+IF($R$17="Distrato",$I$38-1,0)),IF(AND($L$711=0,$P$708=0),"",$L$711-1),IF($R$17="Distrato",$E1192,0)),MIN(V$38,$D$19),$P$20))-SUM($P1192:U1192)</f>
        <v>#VALUE!</v>
      </c>
      <c r="W1192" s="446" t="e">
        <f>IF(OR($B1192="",MIN(W$38,$D$19)&lt;MAX($P$708*($B1192+IF($R$17="Distrato",$I$38-1,0)),IF(AND($L$711=0,$P$708=0),"",$L$711-1),IF($R$17="Distrato",$E1192,0))),0,YEARFRAC(MAX($P$708*($B1192+IF($R$17="Distrato",$I$38-1,0)),IF(AND($L$711=0,$P$708=0),"",$L$711-1),IF($R$17="Distrato",$E1192,0)),MIN(W$38,$D$19),$P$20))-SUM($P1192:V1192)</f>
        <v>#VALUE!</v>
      </c>
      <c r="X1192" s="446" t="e">
        <f>IF(OR($B1192="",MIN(X$38,$D$19)&lt;MAX($P$708*($B1192+IF($R$17="Distrato",$I$38-1,0)),IF(AND($L$711=0,$P$708=0),"",$L$711-1),IF($R$17="Distrato",$E1192,0))),0,YEARFRAC(MAX($P$708*($B1192+IF($R$17="Distrato",$I$38-1,0)),IF(AND($L$711=0,$P$708=0),"",$L$711-1),IF($R$17="Distrato",$E1192,0)),MIN(X$38,$D$19),$P$20))-SUM($P1192:W1192)</f>
        <v>#VALUE!</v>
      </c>
      <c r="Y1192" s="446" t="e">
        <f>IF(OR($B1192="",MIN(Y$38,$D$19)&lt;MAX($P$708*($B1192+IF($R$17="Distrato",$I$38-1,0)),IF(AND($L$711=0,$P$708=0),"",$L$711-1),IF($R$17="Distrato",$E1192,0))),0,YEARFRAC(MAX($P$708*($B1192+IF($R$17="Distrato",$I$38-1,0)),IF(AND($L$711=0,$P$708=0),"",$L$711-1),IF($R$17="Distrato",$E1192,0)),MIN(Y$38,$D$19),$P$20))-SUM($P1192:X1192)</f>
        <v>#VALUE!</v>
      </c>
      <c r="Z1192" s="446" t="e">
        <f>IF(OR($B1192="",MIN(Z$38,$D$19)&lt;MAX($P$708*($B1192+IF($R$17="Distrato",$I$38-1,0)),IF(AND($L$711=0,$P$708=0),"",$L$711-1),IF($R$17="Distrato",$E1192,0))),0,YEARFRAC(MAX($P$708*($B1192+IF($R$17="Distrato",$I$38-1,0)),IF(AND($L$711=0,$P$708=0),"",$L$711-1),IF($R$17="Distrato",$E1192,0)),MIN(Z$38,$D$19),$P$20))-SUM($P1192:Y1192)</f>
        <v>#VALUE!</v>
      </c>
      <c r="AA1192" s="446" t="e">
        <f>IF(OR($B1192="",MIN(AA$38,$D$19)&lt;MAX($P$708*($B1192+IF($R$17="Distrato",$I$38-1,0)),IF(AND($L$711=0,$P$708=0),"",$L$711-1),IF($R$17="Distrato",$E1192,0))),0,YEARFRAC(MAX($P$708*($B1192+IF($R$17="Distrato",$I$38-1,0)),IF(AND($L$711=0,$P$708=0),"",$L$711-1),IF($R$17="Distrato",$E1192,0)),MIN(AA$38,$D$19),$P$20))-SUM($P1192:Z1192)</f>
        <v>#VALUE!</v>
      </c>
      <c r="AB1192" s="446" t="e">
        <f>IF(OR($B1192="",MIN(AB$38,$D$19)&lt;MAX($P$708*($B1192+IF($R$17="Distrato",$I$38-1,0)),IF(AND($L$711=0,$P$708=0),"",$L$711-1),IF($R$17="Distrato",$E1192,0))),0,YEARFRAC(MAX($P$708*($B1192+IF($R$17="Distrato",$I$38-1,0)),IF(AND($L$711=0,$P$708=0),"",$L$711-1),IF($R$17="Distrato",$E1192,0)),MIN(AB$38,$D$19),$P$20))-SUM($P1192:AA1192)</f>
        <v>#VALUE!</v>
      </c>
      <c r="AC1192" s="446" t="e">
        <f>IF(OR($B1192="",MIN(AC$38,$D$19)&lt;MAX($P$708*($B1192+IF($R$17="Distrato",$I$38-1,0)),IF(AND($L$711=0,$P$708=0),"",$L$711-1),IF($R$17="Distrato",$E1192,0))),0,YEARFRAC(MAX($P$708*($B1192+IF($R$17="Distrato",$I$38-1,0)),IF(AND($L$711=0,$P$708=0),"",$L$711-1),IF($R$17="Distrato",$E1192,0)),MIN(AC$38,$D$19),$P$20))-SUM($P1192:AB1192)</f>
        <v>#VALUE!</v>
      </c>
      <c r="AD1192" s="446" t="e">
        <f>IF(OR($B1192="",MIN(AD$38,$D$19)&lt;MAX($P$708*($B1192+IF($R$17="Distrato",$I$38-1,0)),IF(AND($L$711=0,$P$708=0),"",$L$711-1),IF($R$17="Distrato",$E1192,0))),0,YEARFRAC(MAX($P$708*($B1192+IF($R$17="Distrato",$I$38-1,0)),IF(AND($L$711=0,$P$708=0),"",$L$711-1),IF($R$17="Distrato",$E1192,0)),MIN(AD$38,$D$19),$P$20))-SUM($P1192:AC1192)</f>
        <v>#VALUE!</v>
      </c>
      <c r="AE1192" s="446" t="e">
        <f>IF(OR($B1192="",MIN(AE$38,$D$19)&lt;MAX($P$708*($B1192+IF($R$17="Distrato",$I$38-1,0)),IF(AND($L$711=0,$P$708=0),"",$L$711-1),IF($R$17="Distrato",$E1192,0))),0,YEARFRAC(MAX($P$708*($B1192+IF($R$17="Distrato",$I$38-1,0)),IF(AND($L$711=0,$P$708=0),"",$L$711-1),IF($R$17="Distrato",$E1192,0)),MIN(AE$38,$D$19),$P$20))-SUM($P1192:AD1192)</f>
        <v>#VALUE!</v>
      </c>
      <c r="AF1192" s="446" t="e">
        <f>IF(OR($B1192="",MIN(AF$38,$D$19)&lt;MAX($P$708*($B1192+IF($R$17="Distrato",$I$38-1,0)),IF(AND($L$711=0,$P$708=0),"",$L$711-1),IF($R$17="Distrato",$E1192,0))),0,YEARFRAC(MAX($P$708*($B1192+IF($R$17="Distrato",$I$38-1,0)),IF(AND($L$711=0,$P$708=0),"",$L$711-1),IF($R$17="Distrato",$E1192,0)),MIN(AF$38,$D$19),$P$20))-SUM($P1192:AE1192)</f>
        <v>#VALUE!</v>
      </c>
      <c r="AG1192" s="446" t="e">
        <f>IF(OR($B1192="",MIN(AG$38,$D$19)&lt;MAX($P$708*($B1192+IF($R$17="Distrato",$I$38-1,0)),IF(AND($L$711=0,$P$708=0),"",$L$711-1),IF($R$17="Distrato",$E1192,0))),0,YEARFRAC(MAX($P$708*($B1192+IF($R$17="Distrato",$I$38-1,0)),IF(AND($L$711=0,$P$708=0),"",$L$711-1),IF($R$17="Distrato",$E1192,0)),MIN(AG$38,$D$19),$P$20))-SUM($P1192:AF1192)</f>
        <v>#VALUE!</v>
      </c>
      <c r="AH1192" s="446" t="e">
        <f>IF(OR($B1192="",MIN(AH$38,$D$19)&lt;MAX($P$708*($B1192+IF($R$17="Distrato",$I$38-1,0)),IF(AND($L$711=0,$P$708=0),"",$L$711-1),IF($R$17="Distrato",$E1192,0))),0,YEARFRAC(MAX($P$708*($B1192+IF($R$17="Distrato",$I$38-1,0)),IF(AND($L$711=0,$P$708=0),"",$L$711-1),IF($R$17="Distrato",$E1192,0)),MIN(AH$38,$D$19),$P$20))-SUM($P1192:AG1192)</f>
        <v>#VALUE!</v>
      </c>
      <c r="AI1192" s="446" t="e">
        <f>IF(OR($B1192="",MIN(AI$38,$D$19)&lt;MAX($P$708*($B1192+IF($R$17="Distrato",$I$38-1,0)),IF(AND($L$711=0,$P$708=0),"",$L$711-1),IF($R$17="Distrato",$E1192,0))),0,YEARFRAC(MAX($P$708*($B1192+IF($R$17="Distrato",$I$38-1,0)),IF(AND($L$711=0,$P$708=0),"",$L$711-1),IF($R$17="Distrato",$E1192,0)),MIN(AI$38,$D$19),$P$20))-SUM($P1192:AH1192)</f>
        <v>#VALUE!</v>
      </c>
      <c r="AJ1192" s="446" t="e">
        <f>IF(OR($B1192="",MIN(AJ$38,$D$19)&lt;MAX($P$708*($B1192+IF($R$17="Distrato",$I$38-1,0)),IF(AND($L$711=0,$P$708=0),"",$L$711-1),IF($R$17="Distrato",$E1192,0))),0,YEARFRAC(MAX($P$708*($B1192+IF($R$17="Distrato",$I$38-1,0)),IF(AND($L$711=0,$P$708=0),"",$L$711-1),IF($R$17="Distrato",$E1192,0)),MIN(AJ$38,$D$19),$P$20))-SUM($P1192:AI1192)</f>
        <v>#VALUE!</v>
      </c>
      <c r="AK1192" s="446" t="e">
        <f>IF(OR($B1192="",MIN(AK$38,$D$19)&lt;MAX($P$708*($B1192+IF($R$17="Distrato",$I$38-1,0)),IF(AND($L$711=0,$P$708=0),"",$L$711-1),IF($R$17="Distrato",$E1192,0))),0,YEARFRAC(MAX($P$708*($B1192+IF($R$17="Distrato",$I$38-1,0)),IF(AND($L$711=0,$P$708=0),"",$L$711-1),IF($R$17="Distrato",$E1192,0)),MIN(AK$38,$D$19),$P$20))-SUM($P1192:AJ1192)</f>
        <v>#VALUE!</v>
      </c>
      <c r="AL1192" s="446" t="e">
        <f>IF(OR($B1192="",MIN(AL$38,$D$19)&lt;MAX($P$708*($B1192+IF($R$17="Distrato",$I$38-1,0)),IF(AND($L$711=0,$P$708=0),"",$L$711-1),IF($R$17="Distrato",$E1192,0))),0,YEARFRAC(MAX($P$708*($B1192+IF($R$17="Distrato",$I$38-1,0)),IF(AND($L$711=0,$P$708=0),"",$L$711-1),IF($R$17="Distrato",$E1192,0)),MIN(AL$38,$D$19),$P$20))-SUM($P1192:AK1192)</f>
        <v>#VALUE!</v>
      </c>
      <c r="AM1192" s="446" t="e">
        <f>IF(OR($B1192="",MIN(AM$38,$D$19)&lt;MAX($P$708*($B1192+IF($R$17="Distrato",$I$38-1,0)),IF(AND($L$711=0,$P$708=0),"",$L$711-1),IF($R$17="Distrato",$E1192,0))),0,YEARFRAC(MAX($P$708*($B1192+IF($R$17="Distrato",$I$38-1,0)),IF(AND($L$711=0,$P$708=0),"",$L$711-1),IF($R$17="Distrato",$E1192,0)),MIN(AM$38,$D$19),$P$20))-SUM($P1192:AL1192)</f>
        <v>#VALUE!</v>
      </c>
      <c r="AN1192" s="446" t="e">
        <f>IF(OR($B1192="",MIN(AN$38,$D$19)&lt;MAX($P$708*($B1192+IF($R$17="Distrato",$I$38-1,0)),IF(AND($L$711=0,$P$708=0),"",$L$711-1),IF($R$17="Distrato",$E1192,0))),0,YEARFRAC(MAX($P$708*($B1192+IF($R$17="Distrato",$I$38-1,0)),IF(AND($L$711=0,$P$708=0),"",$L$711-1),IF($R$17="Distrato",$E1192,0)),MIN(AN$38,$D$19),$P$20))-SUM($P1192:AM1192)</f>
        <v>#VALUE!</v>
      </c>
      <c r="AO1192" s="446" t="e">
        <f>IF(OR($B1192="",MIN(AO$38,$D$19)&lt;MAX($P$708*($B1192+IF($R$17="Distrato",$I$38-1,0)),IF(AND($L$711=0,$P$708=0),"",$L$711-1),IF($R$17="Distrato",$E1192,0))),0,YEARFRAC(MAX($P$708*($B1192+IF($R$17="Distrato",$I$38-1,0)),IF(AND($L$711=0,$P$708=0),"",$L$711-1),IF($R$17="Distrato",$E1192,0)),MIN(AO$38,$D$19),$P$20))-SUM($P1192:AN1192)</f>
        <v>#VALUE!</v>
      </c>
      <c r="AP1192" s="446" t="e">
        <f>IF(OR($B1192="",MIN(AP$38,$D$19)&lt;MAX($P$708*($B1192+IF($R$17="Distrato",$I$38-1,0)),IF(AND($L$711=0,$P$708=0),"",$L$711-1),IF($R$17="Distrato",$E1192,0))),0,YEARFRAC(MAX($P$708*($B1192+IF($R$17="Distrato",$I$38-1,0)),IF(AND($L$711=0,$P$708=0),"",$L$711-1),IF($R$17="Distrato",$E1192,0)),MIN(AP$38,$D$19),$P$20))-SUM($P1192:AO1192)</f>
        <v>#VALUE!</v>
      </c>
      <c r="AQ1192" s="446" t="e">
        <f>IF(OR($B1192="",MIN(AQ$38,$D$19)&lt;MAX($P$708*($B1192+IF($R$17="Distrato",$I$38-1,0)),IF(AND($L$711=0,$P$708=0),"",$L$711-1),IF($R$17="Distrato",$E1192,0))),0,YEARFRAC(MAX($P$708*($B1192+IF($R$17="Distrato",$I$38-1,0)),IF(AND($L$711=0,$P$708=0),"",$L$711-1),IF($R$17="Distrato",$E1192,0)),MIN(AQ$38,$D$19),$P$20))-SUM($P1192:AP1192)</f>
        <v>#VALUE!</v>
      </c>
      <c r="AR1192" s="446" t="e">
        <f>IF(OR($B1192="",MIN(AR$38,$D$19)&lt;MAX($P$708*($B1192+IF($R$17="Distrato",$I$38-1,0)),IF(AND($L$711=0,$P$708=0),"",$L$711-1),IF($R$17="Distrato",$E1192,0))),0,YEARFRAC(MAX($P$708*($B1192+IF($R$17="Distrato",$I$38-1,0)),IF(AND($L$711=0,$P$708=0),"",$L$711-1),IF($R$17="Distrato",$E1192,0)),MIN(AR$38,$D$19),$P$20))-SUM($P1192:AQ1192)</f>
        <v>#VALUE!</v>
      </c>
      <c r="AS1192" s="446" t="e">
        <f>IF(OR($B1192="",MIN(AS$38,$D$19)&lt;MAX($P$708*($B1192+IF($R$17="Distrato",$I$38-1,0)),IF(AND($L$711=0,$P$708=0),"",$L$711-1),IF($R$17="Distrato",$E1192,0))),0,YEARFRAC(MAX($P$708*($B1192+IF($R$17="Distrato",$I$38-1,0)),IF(AND($L$711=0,$P$708=0),"",$L$711-1),IF($R$17="Distrato",$E1192,0)),MIN(AS$38,$D$19),$P$20))-SUM($P1192:AR1192)</f>
        <v>#VALUE!</v>
      </c>
      <c r="AT1192" s="446" t="e">
        <f>IF(OR($B1192="",MIN(AT$38,$D$19)&lt;MAX($P$708*($B1192+IF($R$17="Distrato",$I$38-1,0)),IF(AND($L$711=0,$P$708=0),"",$L$711-1),IF($R$17="Distrato",$E1192,0))),0,YEARFRAC(MAX($P$708*($B1192+IF($R$17="Distrato",$I$38-1,0)),IF(AND($L$711=0,$P$708=0),"",$L$711-1),IF($R$17="Distrato",$E1192,0)),MIN(AT$38,$D$19),$P$20))-SUM($P1192:AS1192)</f>
        <v>#VALUE!</v>
      </c>
      <c r="AU1192" s="446" t="e">
        <f>IF(OR($B1192="",MIN(AU$38,$D$19)&lt;MAX($P$708*($B1192+IF($R$17="Distrato",$I$38-1,0)),IF(AND($L$711=0,$P$708=0),"",$L$711-1),IF($R$17="Distrato",$E1192,0))),0,YEARFRAC(MAX($P$708*($B1192+IF($R$17="Distrato",$I$38-1,0)),IF(AND($L$711=0,$P$708=0),"",$L$711-1),IF($R$17="Distrato",$E1192,0)),MIN(AU$38,$D$19),$P$20))-SUM($P1192:AT1192)</f>
        <v>#VALUE!</v>
      </c>
      <c r="AV1192" s="446" t="e">
        <f>IF(OR($B1192="",MIN(AV$38,$D$19)&lt;MAX($P$708*($B1192+IF($R$17="Distrato",$I$38-1,0)),IF(AND($L$711=0,$P$708=0),"",$L$711-1),IF($R$17="Distrato",$E1192,0))),0,YEARFRAC(MAX($P$708*($B1192+IF($R$17="Distrato",$I$38-1,0)),IF(AND($L$711=0,$P$708=0),"",$L$711-1),IF($R$17="Distrato",$E1192,0)),MIN(AV$38,$D$19),$P$20))-SUM($P1192:AU1192)</f>
        <v>#VALUE!</v>
      </c>
      <c r="AW1192" s="446" t="e">
        <f>IF(OR($B1192="",MIN(AW$38,$D$19)&lt;MAX($P$708*($B1192+IF($R$17="Distrato",$I$38-1,0)),IF(AND($L$711=0,$P$708=0),"",$L$711-1),IF($R$17="Distrato",$E1192,0))),0,YEARFRAC(MAX($P$708*($B1192+IF($R$17="Distrato",$I$38-1,0)),IF(AND($L$711=0,$P$708=0),"",$L$711-1),IF($R$17="Distrato",$E1192,0)),MIN(AW$38,$D$19),$P$20))-SUM($P1192:AV1192)</f>
        <v>#VALUE!</v>
      </c>
      <c r="AX1192" s="446" t="e">
        <f>IF(OR($B1192="",MIN(AX$38,$D$19)&lt;MAX($P$708*($B1192+IF($R$17="Distrato",$I$38-1,0)),IF(AND($L$711=0,$P$708=0),"",$L$711-1),IF($R$17="Distrato",$E1192,0))),0,YEARFRAC(MAX($P$708*($B1192+IF($R$17="Distrato",$I$38-1,0)),IF(AND($L$711=0,$P$708=0),"",$L$711-1),IF($R$17="Distrato",$E1192,0)),MIN(AX$38,$D$19),$P$20))-SUM($P1192:AW1192)</f>
        <v>#VALUE!</v>
      </c>
      <c r="AY1192" s="446" t="e">
        <f>IF(OR($B1192="",MIN(AY$38,$D$19)&lt;MAX($P$708*($B1192+IF($R$17="Distrato",$I$38-1,0)),IF(AND($L$711=0,$P$708=0),"",$L$711-1),IF($R$17="Distrato",$E1192,0))),0,YEARFRAC(MAX($P$708*($B1192+IF($R$17="Distrato",$I$38-1,0)),IF(AND($L$711=0,$P$708=0),"",$L$711-1),IF($R$17="Distrato",$E1192,0)),MIN(AY$38,$D$19),$P$20))-SUM($P1192:AX1192)</f>
        <v>#VALUE!</v>
      </c>
      <c r="AZ1192" s="446" t="e">
        <f>IF(OR($B1192="",MIN(AZ$38,$D$19)&lt;MAX($P$708*($B1192+IF($R$17="Distrato",$I$38-1,0)),IF(AND($L$711=0,$P$708=0),"",$L$711-1),IF($R$17="Distrato",$E1192,0))),0,YEARFRAC(MAX($P$708*($B1192+IF($R$17="Distrato",$I$38-1,0)),IF(AND($L$711=0,$P$708=0),"",$L$711-1),IF($R$17="Distrato",$E1192,0)),MIN(AZ$38,$D$19),$P$20))-SUM($P1192:AY1192)</f>
        <v>#VALUE!</v>
      </c>
      <c r="BA1192" s="446" t="e">
        <f>IF(OR($B1192="",MIN(BA$38,$D$19)&lt;MAX($P$708*($B1192+IF($R$17="Distrato",$I$38-1,0)),IF(AND($L$711=0,$P$708=0),"",$L$711-1),IF($R$17="Distrato",$E1192,0))),0,YEARFRAC(MAX($P$708*($B1192+IF($R$17="Distrato",$I$38-1,0)),IF(AND($L$711=0,$P$708=0),"",$L$711-1),IF($R$17="Distrato",$E1192,0)),MIN(BA$38,$D$19),$P$20))-SUM($P1192:AZ1192)</f>
        <v>#VALUE!</v>
      </c>
      <c r="BB1192" s="447"/>
    </row>
    <row r="1193" spans="1:54" s="446" customFormat="1" ht="11.25" hidden="1" customHeight="1" x14ac:dyDescent="0.2">
      <c r="A1193" s="235"/>
      <c r="B1193" s="236"/>
      <c r="C1193" s="29" t="str">
        <f>IF(B1193="","",IF($L$709=$BL$25,VLOOKUP(DATE(YEAR($D$19),MONTH($D$19)-1,1),ÍNDICES!$A:$DE,HLOOKUP($BL$25,ÍNDICES!$B$3:$T$4,2)+11)-VLOOKUP(B1193,ÍNDICES!$A:$DE,HLOOKUP($BL$25,ÍNDICES!$B$3:$T$4,2)+11)+1%,IF(C$712=$W$26,$J$35,IF(ISERROR(IF(B1193&gt;$D$19,1,VLOOKUP(DATE(YEAR(B1193),MONTH(B1193)+IF($C$709=$S$23,1,0),1),ÍNDICES!$A:$DE,$Z$709+1))),"",IF(B1193&gt;$D$19,1,VLOOKUP(DATE(YEAR(B1193),MONTH(B1193)+IF($C$709=$S$23,1,0),1),ÍNDICES!$A:$DE,$Z$709+1))))))</f>
        <v/>
      </c>
      <c r="D1193" s="155"/>
      <c r="E1193" s="88"/>
      <c r="F1193" s="88"/>
      <c r="G1193" s="88"/>
      <c r="H1193" s="118"/>
      <c r="I1193" s="182">
        <f t="shared" si="164"/>
        <v>0</v>
      </c>
      <c r="J1193" s="20">
        <f t="shared" ca="1" si="165"/>
        <v>0</v>
      </c>
      <c r="K1193" s="5">
        <f t="shared" ca="1" si="166"/>
        <v>0</v>
      </c>
      <c r="L1193" s="61">
        <f t="shared" ca="1" si="167"/>
        <v>0</v>
      </c>
      <c r="M1193" s="64">
        <f t="shared" si="168"/>
        <v>0</v>
      </c>
      <c r="N1193" s="151"/>
      <c r="O1193" s="5">
        <f t="shared" ca="1" si="169"/>
        <v>0</v>
      </c>
      <c r="P1193" s="446" t="e">
        <f t="shared" si="170"/>
        <v>#VALUE!</v>
      </c>
      <c r="Q1193" s="446" t="e">
        <f>IF(OR($B1193="",MIN(Q$38,$D$19)&lt;MAX($P$708*($B1193+IF($R$17="Distrato",$I$38-1,0)),IF(AND($L$711=0,$P$708=0),"",$L$711-1),IF($R$17="Distrato",$E1193,0))),0,YEARFRAC(MAX($P$708*($B1193+IF($R$17="Distrato",$I$38-1,0)),IF(AND($L$711=0,$P$708=0),"",$L$711-1),IF($R$17="Distrato",$E1193,0)),MIN(Q$38,$D$19),$P$20))-SUM($P1193:P1193)</f>
        <v>#VALUE!</v>
      </c>
      <c r="R1193" s="446" t="e">
        <f>IF(OR($B1193="",MIN(R$38,$D$19)&lt;MAX($P$708*($B1193+IF($R$17="Distrato",$I$38-1,0)),IF(AND($L$711=0,$P$708=0),"",$L$711-1),IF($R$17="Distrato",$E1193,0))),0,YEARFRAC(MAX($P$708*($B1193+IF($R$17="Distrato",$I$38-1,0)),IF(AND($L$711=0,$P$708=0),"",$L$711-1),IF($R$17="Distrato",$E1193,0)),MIN(R$38,$D$19),$P$20))-SUM($P1193:Q1193)</f>
        <v>#VALUE!</v>
      </c>
      <c r="S1193" s="446" t="e">
        <f>IF(OR($B1193="",MIN(S$38,$D$19)&lt;MAX($P$708*($B1193+IF($R$17="Distrato",$I$38-1,0)),IF(AND($L$711=0,$P$708=0),"",$L$711-1),IF($R$17="Distrato",$E1193,0))),0,YEARFRAC(MAX($P$708*($B1193+IF($R$17="Distrato",$I$38-1,0)),IF(AND($L$711=0,$P$708=0),"",$L$711-1),IF($R$17="Distrato",$E1193,0)),MIN(S$38,$D$19),$P$20))-SUM($P1193:R1193)</f>
        <v>#VALUE!</v>
      </c>
      <c r="T1193" s="446" t="e">
        <f>IF(OR($B1193="",MIN(T$38,$D$19)&lt;MAX($P$708*($B1193+IF($R$17="Distrato",$I$38-1,0)),IF(AND($L$711=0,$P$708=0),"",$L$711-1),IF($R$17="Distrato",$E1193,0))),0,YEARFRAC(MAX($P$708*($B1193+IF($R$17="Distrato",$I$38-1,0)),IF(AND($L$711=0,$P$708=0),"",$L$711-1),IF($R$17="Distrato",$E1193,0)),MIN(T$38,$D$19),$P$20))-SUM($P1193:S1193)</f>
        <v>#VALUE!</v>
      </c>
      <c r="U1193" s="446" t="e">
        <f>IF(OR($B1193="",MIN(U$38,$D$19)&lt;MAX($P$708*($B1193+IF($R$17="Distrato",$I$38-1,0)),IF(AND($L$711=0,$P$708=0),"",$L$711-1),IF($R$17="Distrato",$E1193,0))),0,YEARFRAC(MAX($P$708*($B1193+IF($R$17="Distrato",$I$38-1,0)),IF(AND($L$711=0,$P$708=0),"",$L$711-1),IF($R$17="Distrato",$E1193,0)),MIN(U$38,$D$19),$P$20))-SUM($P1193:T1193)</f>
        <v>#VALUE!</v>
      </c>
      <c r="V1193" s="446" t="e">
        <f>IF(OR($B1193="",MIN(V$38,$D$19)&lt;MAX($P$708*($B1193+IF($R$17="Distrato",$I$38-1,0)),IF(AND($L$711=0,$P$708=0),"",$L$711-1),IF($R$17="Distrato",$E1193,0))),0,YEARFRAC(MAX($P$708*($B1193+IF($R$17="Distrato",$I$38-1,0)),IF(AND($L$711=0,$P$708=0),"",$L$711-1),IF($R$17="Distrato",$E1193,0)),MIN(V$38,$D$19),$P$20))-SUM($P1193:U1193)</f>
        <v>#VALUE!</v>
      </c>
      <c r="W1193" s="446" t="e">
        <f>IF(OR($B1193="",MIN(W$38,$D$19)&lt;MAX($P$708*($B1193+IF($R$17="Distrato",$I$38-1,0)),IF(AND($L$711=0,$P$708=0),"",$L$711-1),IF($R$17="Distrato",$E1193,0))),0,YEARFRAC(MAX($P$708*($B1193+IF($R$17="Distrato",$I$38-1,0)),IF(AND($L$711=0,$P$708=0),"",$L$711-1),IF($R$17="Distrato",$E1193,0)),MIN(W$38,$D$19),$P$20))-SUM($P1193:V1193)</f>
        <v>#VALUE!</v>
      </c>
      <c r="X1193" s="446" t="e">
        <f>IF(OR($B1193="",MIN(X$38,$D$19)&lt;MAX($P$708*($B1193+IF($R$17="Distrato",$I$38-1,0)),IF(AND($L$711=0,$P$708=0),"",$L$711-1),IF($R$17="Distrato",$E1193,0))),0,YEARFRAC(MAX($P$708*($B1193+IF($R$17="Distrato",$I$38-1,0)),IF(AND($L$711=0,$P$708=0),"",$L$711-1),IF($R$17="Distrato",$E1193,0)),MIN(X$38,$D$19),$P$20))-SUM($P1193:W1193)</f>
        <v>#VALUE!</v>
      </c>
      <c r="Y1193" s="446" t="e">
        <f>IF(OR($B1193="",MIN(Y$38,$D$19)&lt;MAX($P$708*($B1193+IF($R$17="Distrato",$I$38-1,0)),IF(AND($L$711=0,$P$708=0),"",$L$711-1),IF($R$17="Distrato",$E1193,0))),0,YEARFRAC(MAX($P$708*($B1193+IF($R$17="Distrato",$I$38-1,0)),IF(AND($L$711=0,$P$708=0),"",$L$711-1),IF($R$17="Distrato",$E1193,0)),MIN(Y$38,$D$19),$P$20))-SUM($P1193:X1193)</f>
        <v>#VALUE!</v>
      </c>
      <c r="Z1193" s="446" t="e">
        <f>IF(OR($B1193="",MIN(Z$38,$D$19)&lt;MAX($P$708*($B1193+IF($R$17="Distrato",$I$38-1,0)),IF(AND($L$711=0,$P$708=0),"",$L$711-1),IF($R$17="Distrato",$E1193,0))),0,YEARFRAC(MAX($P$708*($B1193+IF($R$17="Distrato",$I$38-1,0)),IF(AND($L$711=0,$P$708=0),"",$L$711-1),IF($R$17="Distrato",$E1193,0)),MIN(Z$38,$D$19),$P$20))-SUM($P1193:Y1193)</f>
        <v>#VALUE!</v>
      </c>
      <c r="AA1193" s="446" t="e">
        <f>IF(OR($B1193="",MIN(AA$38,$D$19)&lt;MAX($P$708*($B1193+IF($R$17="Distrato",$I$38-1,0)),IF(AND($L$711=0,$P$708=0),"",$L$711-1),IF($R$17="Distrato",$E1193,0))),0,YEARFRAC(MAX($P$708*($B1193+IF($R$17="Distrato",$I$38-1,0)),IF(AND($L$711=0,$P$708=0),"",$L$711-1),IF($R$17="Distrato",$E1193,0)),MIN(AA$38,$D$19),$P$20))-SUM($P1193:Z1193)</f>
        <v>#VALUE!</v>
      </c>
      <c r="AB1193" s="446" t="e">
        <f>IF(OR($B1193="",MIN(AB$38,$D$19)&lt;MAX($P$708*($B1193+IF($R$17="Distrato",$I$38-1,0)),IF(AND($L$711=0,$P$708=0),"",$L$711-1),IF($R$17="Distrato",$E1193,0))),0,YEARFRAC(MAX($P$708*($B1193+IF($R$17="Distrato",$I$38-1,0)),IF(AND($L$711=0,$P$708=0),"",$L$711-1),IF($R$17="Distrato",$E1193,0)),MIN(AB$38,$D$19),$P$20))-SUM($P1193:AA1193)</f>
        <v>#VALUE!</v>
      </c>
      <c r="AC1193" s="446" t="e">
        <f>IF(OR($B1193="",MIN(AC$38,$D$19)&lt;MAX($P$708*($B1193+IF($R$17="Distrato",$I$38-1,0)),IF(AND($L$711=0,$P$708=0),"",$L$711-1),IF($R$17="Distrato",$E1193,0))),0,YEARFRAC(MAX($P$708*($B1193+IF($R$17="Distrato",$I$38-1,0)),IF(AND($L$711=0,$P$708=0),"",$L$711-1),IF($R$17="Distrato",$E1193,0)),MIN(AC$38,$D$19),$P$20))-SUM($P1193:AB1193)</f>
        <v>#VALUE!</v>
      </c>
      <c r="AD1193" s="446" t="e">
        <f>IF(OR($B1193="",MIN(AD$38,$D$19)&lt;MAX($P$708*($B1193+IF($R$17="Distrato",$I$38-1,0)),IF(AND($L$711=0,$P$708=0),"",$L$711-1),IF($R$17="Distrato",$E1193,0))),0,YEARFRAC(MAX($P$708*($B1193+IF($R$17="Distrato",$I$38-1,0)),IF(AND($L$711=0,$P$708=0),"",$L$711-1),IF($R$17="Distrato",$E1193,0)),MIN(AD$38,$D$19),$P$20))-SUM($P1193:AC1193)</f>
        <v>#VALUE!</v>
      </c>
      <c r="AE1193" s="446" t="e">
        <f>IF(OR($B1193="",MIN(AE$38,$D$19)&lt;MAX($P$708*($B1193+IF($R$17="Distrato",$I$38-1,0)),IF(AND($L$711=0,$P$708=0),"",$L$711-1),IF($R$17="Distrato",$E1193,0))),0,YEARFRAC(MAX($P$708*($B1193+IF($R$17="Distrato",$I$38-1,0)),IF(AND($L$711=0,$P$708=0),"",$L$711-1),IF($R$17="Distrato",$E1193,0)),MIN(AE$38,$D$19),$P$20))-SUM($P1193:AD1193)</f>
        <v>#VALUE!</v>
      </c>
      <c r="AF1193" s="446" t="e">
        <f>IF(OR($B1193="",MIN(AF$38,$D$19)&lt;MAX($P$708*($B1193+IF($R$17="Distrato",$I$38-1,0)),IF(AND($L$711=0,$P$708=0),"",$L$711-1),IF($R$17="Distrato",$E1193,0))),0,YEARFRAC(MAX($P$708*($B1193+IF($R$17="Distrato",$I$38-1,0)),IF(AND($L$711=0,$P$708=0),"",$L$711-1),IF($R$17="Distrato",$E1193,0)),MIN(AF$38,$D$19),$P$20))-SUM($P1193:AE1193)</f>
        <v>#VALUE!</v>
      </c>
      <c r="AG1193" s="446" t="e">
        <f>IF(OR($B1193="",MIN(AG$38,$D$19)&lt;MAX($P$708*($B1193+IF($R$17="Distrato",$I$38-1,0)),IF(AND($L$711=0,$P$708=0),"",$L$711-1),IF($R$17="Distrato",$E1193,0))),0,YEARFRAC(MAX($P$708*($B1193+IF($R$17="Distrato",$I$38-1,0)),IF(AND($L$711=0,$P$708=0),"",$L$711-1),IF($R$17="Distrato",$E1193,0)),MIN(AG$38,$D$19),$P$20))-SUM($P1193:AF1193)</f>
        <v>#VALUE!</v>
      </c>
      <c r="AH1193" s="446" t="e">
        <f>IF(OR($B1193="",MIN(AH$38,$D$19)&lt;MAX($P$708*($B1193+IF($R$17="Distrato",$I$38-1,0)),IF(AND($L$711=0,$P$708=0),"",$L$711-1),IF($R$17="Distrato",$E1193,0))),0,YEARFRAC(MAX($P$708*($B1193+IF($R$17="Distrato",$I$38-1,0)),IF(AND($L$711=0,$P$708=0),"",$L$711-1),IF($R$17="Distrato",$E1193,0)),MIN(AH$38,$D$19),$P$20))-SUM($P1193:AG1193)</f>
        <v>#VALUE!</v>
      </c>
      <c r="AI1193" s="446" t="e">
        <f>IF(OR($B1193="",MIN(AI$38,$D$19)&lt;MAX($P$708*($B1193+IF($R$17="Distrato",$I$38-1,0)),IF(AND($L$711=0,$P$708=0),"",$L$711-1),IF($R$17="Distrato",$E1193,0))),0,YEARFRAC(MAX($P$708*($B1193+IF($R$17="Distrato",$I$38-1,0)),IF(AND($L$711=0,$P$708=0),"",$L$711-1),IF($R$17="Distrato",$E1193,0)),MIN(AI$38,$D$19),$P$20))-SUM($P1193:AH1193)</f>
        <v>#VALUE!</v>
      </c>
      <c r="AJ1193" s="446" t="e">
        <f>IF(OR($B1193="",MIN(AJ$38,$D$19)&lt;MAX($P$708*($B1193+IF($R$17="Distrato",$I$38-1,0)),IF(AND($L$711=0,$P$708=0),"",$L$711-1),IF($R$17="Distrato",$E1193,0))),0,YEARFRAC(MAX($P$708*($B1193+IF($R$17="Distrato",$I$38-1,0)),IF(AND($L$711=0,$P$708=0),"",$L$711-1),IF($R$17="Distrato",$E1193,0)),MIN(AJ$38,$D$19),$P$20))-SUM($P1193:AI1193)</f>
        <v>#VALUE!</v>
      </c>
      <c r="AK1193" s="446" t="e">
        <f>IF(OR($B1193="",MIN(AK$38,$D$19)&lt;MAX($P$708*($B1193+IF($R$17="Distrato",$I$38-1,0)),IF(AND($L$711=0,$P$708=0),"",$L$711-1),IF($R$17="Distrato",$E1193,0))),0,YEARFRAC(MAX($P$708*($B1193+IF($R$17="Distrato",$I$38-1,0)),IF(AND($L$711=0,$P$708=0),"",$L$711-1),IF($R$17="Distrato",$E1193,0)),MIN(AK$38,$D$19),$P$20))-SUM($P1193:AJ1193)</f>
        <v>#VALUE!</v>
      </c>
      <c r="AL1193" s="446" t="e">
        <f>IF(OR($B1193="",MIN(AL$38,$D$19)&lt;MAX($P$708*($B1193+IF($R$17="Distrato",$I$38-1,0)),IF(AND($L$711=0,$P$708=0),"",$L$711-1),IF($R$17="Distrato",$E1193,0))),0,YEARFRAC(MAX($P$708*($B1193+IF($R$17="Distrato",$I$38-1,0)),IF(AND($L$711=0,$P$708=0),"",$L$711-1),IF($R$17="Distrato",$E1193,0)),MIN(AL$38,$D$19),$P$20))-SUM($P1193:AK1193)</f>
        <v>#VALUE!</v>
      </c>
      <c r="AM1193" s="446" t="e">
        <f>IF(OR($B1193="",MIN(AM$38,$D$19)&lt;MAX($P$708*($B1193+IF($R$17="Distrato",$I$38-1,0)),IF(AND($L$711=0,$P$708=0),"",$L$711-1),IF($R$17="Distrato",$E1193,0))),0,YEARFRAC(MAX($P$708*($B1193+IF($R$17="Distrato",$I$38-1,0)),IF(AND($L$711=0,$P$708=0),"",$L$711-1),IF($R$17="Distrato",$E1193,0)),MIN(AM$38,$D$19),$P$20))-SUM($P1193:AL1193)</f>
        <v>#VALUE!</v>
      </c>
      <c r="AN1193" s="446" t="e">
        <f>IF(OR($B1193="",MIN(AN$38,$D$19)&lt;MAX($P$708*($B1193+IF($R$17="Distrato",$I$38-1,0)),IF(AND($L$711=0,$P$708=0),"",$L$711-1),IF($R$17="Distrato",$E1193,0))),0,YEARFRAC(MAX($P$708*($B1193+IF($R$17="Distrato",$I$38-1,0)),IF(AND($L$711=0,$P$708=0),"",$L$711-1),IF($R$17="Distrato",$E1193,0)),MIN(AN$38,$D$19),$P$20))-SUM($P1193:AM1193)</f>
        <v>#VALUE!</v>
      </c>
      <c r="AO1193" s="446" t="e">
        <f>IF(OR($B1193="",MIN(AO$38,$D$19)&lt;MAX($P$708*($B1193+IF($R$17="Distrato",$I$38-1,0)),IF(AND($L$711=0,$P$708=0),"",$L$711-1),IF($R$17="Distrato",$E1193,0))),0,YEARFRAC(MAX($P$708*($B1193+IF($R$17="Distrato",$I$38-1,0)),IF(AND($L$711=0,$P$708=0),"",$L$711-1),IF($R$17="Distrato",$E1193,0)),MIN(AO$38,$D$19),$P$20))-SUM($P1193:AN1193)</f>
        <v>#VALUE!</v>
      </c>
      <c r="AP1193" s="446" t="e">
        <f>IF(OR($B1193="",MIN(AP$38,$D$19)&lt;MAX($P$708*($B1193+IF($R$17="Distrato",$I$38-1,0)),IF(AND($L$711=0,$P$708=0),"",$L$711-1),IF($R$17="Distrato",$E1193,0))),0,YEARFRAC(MAX($P$708*($B1193+IF($R$17="Distrato",$I$38-1,0)),IF(AND($L$711=0,$P$708=0),"",$L$711-1),IF($R$17="Distrato",$E1193,0)),MIN(AP$38,$D$19),$P$20))-SUM($P1193:AO1193)</f>
        <v>#VALUE!</v>
      </c>
      <c r="AQ1193" s="446" t="e">
        <f>IF(OR($B1193="",MIN(AQ$38,$D$19)&lt;MAX($P$708*($B1193+IF($R$17="Distrato",$I$38-1,0)),IF(AND($L$711=0,$P$708=0),"",$L$711-1),IF($R$17="Distrato",$E1193,0))),0,YEARFRAC(MAX($P$708*($B1193+IF($R$17="Distrato",$I$38-1,0)),IF(AND($L$711=0,$P$708=0),"",$L$711-1),IF($R$17="Distrato",$E1193,0)),MIN(AQ$38,$D$19),$P$20))-SUM($P1193:AP1193)</f>
        <v>#VALUE!</v>
      </c>
      <c r="AR1193" s="446" t="e">
        <f>IF(OR($B1193="",MIN(AR$38,$D$19)&lt;MAX($P$708*($B1193+IF($R$17="Distrato",$I$38-1,0)),IF(AND($L$711=0,$P$708=0),"",$L$711-1),IF($R$17="Distrato",$E1193,0))),0,YEARFRAC(MAX($P$708*($B1193+IF($R$17="Distrato",$I$38-1,0)),IF(AND($L$711=0,$P$708=0),"",$L$711-1),IF($R$17="Distrato",$E1193,0)),MIN(AR$38,$D$19),$P$20))-SUM($P1193:AQ1193)</f>
        <v>#VALUE!</v>
      </c>
      <c r="AS1193" s="446" t="e">
        <f>IF(OR($B1193="",MIN(AS$38,$D$19)&lt;MAX($P$708*($B1193+IF($R$17="Distrato",$I$38-1,0)),IF(AND($L$711=0,$P$708=0),"",$L$711-1),IF($R$17="Distrato",$E1193,0))),0,YEARFRAC(MAX($P$708*($B1193+IF($R$17="Distrato",$I$38-1,0)),IF(AND($L$711=0,$P$708=0),"",$L$711-1),IF($R$17="Distrato",$E1193,0)),MIN(AS$38,$D$19),$P$20))-SUM($P1193:AR1193)</f>
        <v>#VALUE!</v>
      </c>
      <c r="AT1193" s="446" t="e">
        <f>IF(OR($B1193="",MIN(AT$38,$D$19)&lt;MAX($P$708*($B1193+IF($R$17="Distrato",$I$38-1,0)),IF(AND($L$711=0,$P$708=0),"",$L$711-1),IF($R$17="Distrato",$E1193,0))),0,YEARFRAC(MAX($P$708*($B1193+IF($R$17="Distrato",$I$38-1,0)),IF(AND($L$711=0,$P$708=0),"",$L$711-1),IF($R$17="Distrato",$E1193,0)),MIN(AT$38,$D$19),$P$20))-SUM($P1193:AS1193)</f>
        <v>#VALUE!</v>
      </c>
      <c r="AU1193" s="446" t="e">
        <f>IF(OR($B1193="",MIN(AU$38,$D$19)&lt;MAX($P$708*($B1193+IF($R$17="Distrato",$I$38-1,0)),IF(AND($L$711=0,$P$708=0),"",$L$711-1),IF($R$17="Distrato",$E1193,0))),0,YEARFRAC(MAX($P$708*($B1193+IF($R$17="Distrato",$I$38-1,0)),IF(AND($L$711=0,$P$708=0),"",$L$711-1),IF($R$17="Distrato",$E1193,0)),MIN(AU$38,$D$19),$P$20))-SUM($P1193:AT1193)</f>
        <v>#VALUE!</v>
      </c>
      <c r="AV1193" s="446" t="e">
        <f>IF(OR($B1193="",MIN(AV$38,$D$19)&lt;MAX($P$708*($B1193+IF($R$17="Distrato",$I$38-1,0)),IF(AND($L$711=0,$P$708=0),"",$L$711-1),IF($R$17="Distrato",$E1193,0))),0,YEARFRAC(MAX($P$708*($B1193+IF($R$17="Distrato",$I$38-1,0)),IF(AND($L$711=0,$P$708=0),"",$L$711-1),IF($R$17="Distrato",$E1193,0)),MIN(AV$38,$D$19),$P$20))-SUM($P1193:AU1193)</f>
        <v>#VALUE!</v>
      </c>
      <c r="AW1193" s="446" t="e">
        <f>IF(OR($B1193="",MIN(AW$38,$D$19)&lt;MAX($P$708*($B1193+IF($R$17="Distrato",$I$38-1,0)),IF(AND($L$711=0,$P$708=0),"",$L$711-1),IF($R$17="Distrato",$E1193,0))),0,YEARFRAC(MAX($P$708*($B1193+IF($R$17="Distrato",$I$38-1,0)),IF(AND($L$711=0,$P$708=0),"",$L$711-1),IF($R$17="Distrato",$E1193,0)),MIN(AW$38,$D$19),$P$20))-SUM($P1193:AV1193)</f>
        <v>#VALUE!</v>
      </c>
      <c r="AX1193" s="446" t="e">
        <f>IF(OR($B1193="",MIN(AX$38,$D$19)&lt;MAX($P$708*($B1193+IF($R$17="Distrato",$I$38-1,0)),IF(AND($L$711=0,$P$708=0),"",$L$711-1),IF($R$17="Distrato",$E1193,0))),0,YEARFRAC(MAX($P$708*($B1193+IF($R$17="Distrato",$I$38-1,0)),IF(AND($L$711=0,$P$708=0),"",$L$711-1),IF($R$17="Distrato",$E1193,0)),MIN(AX$38,$D$19),$P$20))-SUM($P1193:AW1193)</f>
        <v>#VALUE!</v>
      </c>
      <c r="AY1193" s="446" t="e">
        <f>IF(OR($B1193="",MIN(AY$38,$D$19)&lt;MAX($P$708*($B1193+IF($R$17="Distrato",$I$38-1,0)),IF(AND($L$711=0,$P$708=0),"",$L$711-1),IF($R$17="Distrato",$E1193,0))),0,YEARFRAC(MAX($P$708*($B1193+IF($R$17="Distrato",$I$38-1,0)),IF(AND($L$711=0,$P$708=0),"",$L$711-1),IF($R$17="Distrato",$E1193,0)),MIN(AY$38,$D$19),$P$20))-SUM($P1193:AX1193)</f>
        <v>#VALUE!</v>
      </c>
      <c r="AZ1193" s="446" t="e">
        <f>IF(OR($B1193="",MIN(AZ$38,$D$19)&lt;MAX($P$708*($B1193+IF($R$17="Distrato",$I$38-1,0)),IF(AND($L$711=0,$P$708=0),"",$L$711-1),IF($R$17="Distrato",$E1193,0))),0,YEARFRAC(MAX($P$708*($B1193+IF($R$17="Distrato",$I$38-1,0)),IF(AND($L$711=0,$P$708=0),"",$L$711-1),IF($R$17="Distrato",$E1193,0)),MIN(AZ$38,$D$19),$P$20))-SUM($P1193:AY1193)</f>
        <v>#VALUE!</v>
      </c>
      <c r="BA1193" s="446" t="e">
        <f>IF(OR($B1193="",MIN(BA$38,$D$19)&lt;MAX($P$708*($B1193+IF($R$17="Distrato",$I$38-1,0)),IF(AND($L$711=0,$P$708=0),"",$L$711-1),IF($R$17="Distrato",$E1193,0))),0,YEARFRAC(MAX($P$708*($B1193+IF($R$17="Distrato",$I$38-1,0)),IF(AND($L$711=0,$P$708=0),"",$L$711-1),IF($R$17="Distrato",$E1193,0)),MIN(BA$38,$D$19),$P$20))-SUM($P1193:AZ1193)</f>
        <v>#VALUE!</v>
      </c>
      <c r="BB1193" s="447"/>
    </row>
    <row r="1194" spans="1:54" s="446" customFormat="1" ht="11.25" hidden="1" customHeight="1" x14ac:dyDescent="0.2">
      <c r="A1194" s="235"/>
      <c r="B1194" s="236"/>
      <c r="C1194" s="29" t="str">
        <f>IF(B1194="","",IF($L$709=$BL$25,VLOOKUP(DATE(YEAR($D$19),MONTH($D$19)-1,1),ÍNDICES!$A:$DE,HLOOKUP($BL$25,ÍNDICES!$B$3:$T$4,2)+11)-VLOOKUP(B1194,ÍNDICES!$A:$DE,HLOOKUP($BL$25,ÍNDICES!$B$3:$T$4,2)+11)+1%,IF(C$712=$W$26,$J$35,IF(ISERROR(IF(B1194&gt;$D$19,1,VLOOKUP(DATE(YEAR(B1194),MONTH(B1194)+IF($C$709=$S$23,1,0),1),ÍNDICES!$A:$DE,$Z$709+1))),"",IF(B1194&gt;$D$19,1,VLOOKUP(DATE(YEAR(B1194),MONTH(B1194)+IF($C$709=$S$23,1,0),1),ÍNDICES!$A:$DE,$Z$709+1))))))</f>
        <v/>
      </c>
      <c r="D1194" s="155"/>
      <c r="E1194" s="88"/>
      <c r="F1194" s="88"/>
      <c r="G1194" s="88"/>
      <c r="H1194" s="118"/>
      <c r="I1194" s="182">
        <f t="shared" si="164"/>
        <v>0</v>
      </c>
      <c r="J1194" s="20">
        <f t="shared" ca="1" si="165"/>
        <v>0</v>
      </c>
      <c r="K1194" s="5">
        <f t="shared" ca="1" si="166"/>
        <v>0</v>
      </c>
      <c r="L1194" s="61">
        <f t="shared" ca="1" si="167"/>
        <v>0</v>
      </c>
      <c r="M1194" s="64">
        <f t="shared" si="168"/>
        <v>0</v>
      </c>
      <c r="N1194" s="151"/>
      <c r="O1194" s="5">
        <f t="shared" ca="1" si="169"/>
        <v>0</v>
      </c>
      <c r="P1194" s="446" t="e">
        <f t="shared" si="170"/>
        <v>#VALUE!</v>
      </c>
      <c r="Q1194" s="446" t="e">
        <f>IF(OR($B1194="",MIN(Q$38,$D$19)&lt;MAX($P$708*($B1194+IF($R$17="Distrato",$I$38-1,0)),IF(AND($L$711=0,$P$708=0),"",$L$711-1),IF($R$17="Distrato",$E1194,0))),0,YEARFRAC(MAX($P$708*($B1194+IF($R$17="Distrato",$I$38-1,0)),IF(AND($L$711=0,$P$708=0),"",$L$711-1),IF($R$17="Distrato",$E1194,0)),MIN(Q$38,$D$19),$P$20))-SUM($P1194:P1194)</f>
        <v>#VALUE!</v>
      </c>
      <c r="R1194" s="446" t="e">
        <f>IF(OR($B1194="",MIN(R$38,$D$19)&lt;MAX($P$708*($B1194+IF($R$17="Distrato",$I$38-1,0)),IF(AND($L$711=0,$P$708=0),"",$L$711-1),IF($R$17="Distrato",$E1194,0))),0,YEARFRAC(MAX($P$708*($B1194+IF($R$17="Distrato",$I$38-1,0)),IF(AND($L$711=0,$P$708=0),"",$L$711-1),IF($R$17="Distrato",$E1194,0)),MIN(R$38,$D$19),$P$20))-SUM($P1194:Q1194)</f>
        <v>#VALUE!</v>
      </c>
      <c r="S1194" s="446" t="e">
        <f>IF(OR($B1194="",MIN(S$38,$D$19)&lt;MAX($P$708*($B1194+IF($R$17="Distrato",$I$38-1,0)),IF(AND($L$711=0,$P$708=0),"",$L$711-1),IF($R$17="Distrato",$E1194,0))),0,YEARFRAC(MAX($P$708*($B1194+IF($R$17="Distrato",$I$38-1,0)),IF(AND($L$711=0,$P$708=0),"",$L$711-1),IF($R$17="Distrato",$E1194,0)),MIN(S$38,$D$19),$P$20))-SUM($P1194:R1194)</f>
        <v>#VALUE!</v>
      </c>
      <c r="T1194" s="446" t="e">
        <f>IF(OR($B1194="",MIN(T$38,$D$19)&lt;MAX($P$708*($B1194+IF($R$17="Distrato",$I$38-1,0)),IF(AND($L$711=0,$P$708=0),"",$L$711-1),IF($R$17="Distrato",$E1194,0))),0,YEARFRAC(MAX($P$708*($B1194+IF($R$17="Distrato",$I$38-1,0)),IF(AND($L$711=0,$P$708=0),"",$L$711-1),IF($R$17="Distrato",$E1194,0)),MIN(T$38,$D$19),$P$20))-SUM($P1194:S1194)</f>
        <v>#VALUE!</v>
      </c>
      <c r="U1194" s="446" t="e">
        <f>IF(OR($B1194="",MIN(U$38,$D$19)&lt;MAX($P$708*($B1194+IF($R$17="Distrato",$I$38-1,0)),IF(AND($L$711=0,$P$708=0),"",$L$711-1),IF($R$17="Distrato",$E1194,0))),0,YEARFRAC(MAX($P$708*($B1194+IF($R$17="Distrato",$I$38-1,0)),IF(AND($L$711=0,$P$708=0),"",$L$711-1),IF($R$17="Distrato",$E1194,0)),MIN(U$38,$D$19),$P$20))-SUM($P1194:T1194)</f>
        <v>#VALUE!</v>
      </c>
      <c r="V1194" s="446" t="e">
        <f>IF(OR($B1194="",MIN(V$38,$D$19)&lt;MAX($P$708*($B1194+IF($R$17="Distrato",$I$38-1,0)),IF(AND($L$711=0,$P$708=0),"",$L$711-1),IF($R$17="Distrato",$E1194,0))),0,YEARFRAC(MAX($P$708*($B1194+IF($R$17="Distrato",$I$38-1,0)),IF(AND($L$711=0,$P$708=0),"",$L$711-1),IF($R$17="Distrato",$E1194,0)),MIN(V$38,$D$19),$P$20))-SUM($P1194:U1194)</f>
        <v>#VALUE!</v>
      </c>
      <c r="W1194" s="446" t="e">
        <f>IF(OR($B1194="",MIN(W$38,$D$19)&lt;MAX($P$708*($B1194+IF($R$17="Distrato",$I$38-1,0)),IF(AND($L$711=0,$P$708=0),"",$L$711-1),IF($R$17="Distrato",$E1194,0))),0,YEARFRAC(MAX($P$708*($B1194+IF($R$17="Distrato",$I$38-1,0)),IF(AND($L$711=0,$P$708=0),"",$L$711-1),IF($R$17="Distrato",$E1194,0)),MIN(W$38,$D$19),$P$20))-SUM($P1194:V1194)</f>
        <v>#VALUE!</v>
      </c>
      <c r="X1194" s="446" t="e">
        <f>IF(OR($B1194="",MIN(X$38,$D$19)&lt;MAX($P$708*($B1194+IF($R$17="Distrato",$I$38-1,0)),IF(AND($L$711=0,$P$708=0),"",$L$711-1),IF($R$17="Distrato",$E1194,0))),0,YEARFRAC(MAX($P$708*($B1194+IF($R$17="Distrato",$I$38-1,0)),IF(AND($L$711=0,$P$708=0),"",$L$711-1),IF($R$17="Distrato",$E1194,0)),MIN(X$38,$D$19),$P$20))-SUM($P1194:W1194)</f>
        <v>#VALUE!</v>
      </c>
      <c r="Y1194" s="446" t="e">
        <f>IF(OR($B1194="",MIN(Y$38,$D$19)&lt;MAX($P$708*($B1194+IF($R$17="Distrato",$I$38-1,0)),IF(AND($L$711=0,$P$708=0),"",$L$711-1),IF($R$17="Distrato",$E1194,0))),0,YEARFRAC(MAX($P$708*($B1194+IF($R$17="Distrato",$I$38-1,0)),IF(AND($L$711=0,$P$708=0),"",$L$711-1),IF($R$17="Distrato",$E1194,0)),MIN(Y$38,$D$19),$P$20))-SUM($P1194:X1194)</f>
        <v>#VALUE!</v>
      </c>
      <c r="Z1194" s="446" t="e">
        <f>IF(OR($B1194="",MIN(Z$38,$D$19)&lt;MAX($P$708*($B1194+IF($R$17="Distrato",$I$38-1,0)),IF(AND($L$711=0,$P$708=0),"",$L$711-1),IF($R$17="Distrato",$E1194,0))),0,YEARFRAC(MAX($P$708*($B1194+IF($R$17="Distrato",$I$38-1,0)),IF(AND($L$711=0,$P$708=0),"",$L$711-1),IF($R$17="Distrato",$E1194,0)),MIN(Z$38,$D$19),$P$20))-SUM($P1194:Y1194)</f>
        <v>#VALUE!</v>
      </c>
      <c r="AA1194" s="446" t="e">
        <f>IF(OR($B1194="",MIN(AA$38,$D$19)&lt;MAX($P$708*($B1194+IF($R$17="Distrato",$I$38-1,0)),IF(AND($L$711=0,$P$708=0),"",$L$711-1),IF($R$17="Distrato",$E1194,0))),0,YEARFRAC(MAX($P$708*($B1194+IF($R$17="Distrato",$I$38-1,0)),IF(AND($L$711=0,$P$708=0),"",$L$711-1),IF($R$17="Distrato",$E1194,0)),MIN(AA$38,$D$19),$P$20))-SUM($P1194:Z1194)</f>
        <v>#VALUE!</v>
      </c>
      <c r="AB1194" s="446" t="e">
        <f>IF(OR($B1194="",MIN(AB$38,$D$19)&lt;MAX($P$708*($B1194+IF($R$17="Distrato",$I$38-1,0)),IF(AND($L$711=0,$P$708=0),"",$L$711-1),IF($R$17="Distrato",$E1194,0))),0,YEARFRAC(MAX($P$708*($B1194+IF($R$17="Distrato",$I$38-1,0)),IF(AND($L$711=0,$P$708=0),"",$L$711-1),IF($R$17="Distrato",$E1194,0)),MIN(AB$38,$D$19),$P$20))-SUM($P1194:AA1194)</f>
        <v>#VALUE!</v>
      </c>
      <c r="AC1194" s="446" t="e">
        <f>IF(OR($B1194="",MIN(AC$38,$D$19)&lt;MAX($P$708*($B1194+IF($R$17="Distrato",$I$38-1,0)),IF(AND($L$711=0,$P$708=0),"",$L$711-1),IF($R$17="Distrato",$E1194,0))),0,YEARFRAC(MAX($P$708*($B1194+IF($R$17="Distrato",$I$38-1,0)),IF(AND($L$711=0,$P$708=0),"",$L$711-1),IF($R$17="Distrato",$E1194,0)),MIN(AC$38,$D$19),$P$20))-SUM($P1194:AB1194)</f>
        <v>#VALUE!</v>
      </c>
      <c r="AD1194" s="446" t="e">
        <f>IF(OR($B1194="",MIN(AD$38,$D$19)&lt;MAX($P$708*($B1194+IF($R$17="Distrato",$I$38-1,0)),IF(AND($L$711=0,$P$708=0),"",$L$711-1),IF($R$17="Distrato",$E1194,0))),0,YEARFRAC(MAX($P$708*($B1194+IF($R$17="Distrato",$I$38-1,0)),IF(AND($L$711=0,$P$708=0),"",$L$711-1),IF($R$17="Distrato",$E1194,0)),MIN(AD$38,$D$19),$P$20))-SUM($P1194:AC1194)</f>
        <v>#VALUE!</v>
      </c>
      <c r="AE1194" s="446" t="e">
        <f>IF(OR($B1194="",MIN(AE$38,$D$19)&lt;MAX($P$708*($B1194+IF($R$17="Distrato",$I$38-1,0)),IF(AND($L$711=0,$P$708=0),"",$L$711-1),IF($R$17="Distrato",$E1194,0))),0,YEARFRAC(MAX($P$708*($B1194+IF($R$17="Distrato",$I$38-1,0)),IF(AND($L$711=0,$P$708=0),"",$L$711-1),IF($R$17="Distrato",$E1194,0)),MIN(AE$38,$D$19),$P$20))-SUM($P1194:AD1194)</f>
        <v>#VALUE!</v>
      </c>
      <c r="AF1194" s="446" t="e">
        <f>IF(OR($B1194="",MIN(AF$38,$D$19)&lt;MAX($P$708*($B1194+IF($R$17="Distrato",$I$38-1,0)),IF(AND($L$711=0,$P$708=0),"",$L$711-1),IF($R$17="Distrato",$E1194,0))),0,YEARFRAC(MAX($P$708*($B1194+IF($R$17="Distrato",$I$38-1,0)),IF(AND($L$711=0,$P$708=0),"",$L$711-1),IF($R$17="Distrato",$E1194,0)),MIN(AF$38,$D$19),$P$20))-SUM($P1194:AE1194)</f>
        <v>#VALUE!</v>
      </c>
      <c r="AG1194" s="446" t="e">
        <f>IF(OR($B1194="",MIN(AG$38,$D$19)&lt;MAX($P$708*($B1194+IF($R$17="Distrato",$I$38-1,0)),IF(AND($L$711=0,$P$708=0),"",$L$711-1),IF($R$17="Distrato",$E1194,0))),0,YEARFRAC(MAX($P$708*($B1194+IF($R$17="Distrato",$I$38-1,0)),IF(AND($L$711=0,$P$708=0),"",$L$711-1),IF($R$17="Distrato",$E1194,0)),MIN(AG$38,$D$19),$P$20))-SUM($P1194:AF1194)</f>
        <v>#VALUE!</v>
      </c>
      <c r="AH1194" s="446" t="e">
        <f>IF(OR($B1194="",MIN(AH$38,$D$19)&lt;MAX($P$708*($B1194+IF($R$17="Distrato",$I$38-1,0)),IF(AND($L$711=0,$P$708=0),"",$L$711-1),IF($R$17="Distrato",$E1194,0))),0,YEARFRAC(MAX($P$708*($B1194+IF($R$17="Distrato",$I$38-1,0)),IF(AND($L$711=0,$P$708=0),"",$L$711-1),IF($R$17="Distrato",$E1194,0)),MIN(AH$38,$D$19),$P$20))-SUM($P1194:AG1194)</f>
        <v>#VALUE!</v>
      </c>
      <c r="AI1194" s="446" t="e">
        <f>IF(OR($B1194="",MIN(AI$38,$D$19)&lt;MAX($P$708*($B1194+IF($R$17="Distrato",$I$38-1,0)),IF(AND($L$711=0,$P$708=0),"",$L$711-1),IF($R$17="Distrato",$E1194,0))),0,YEARFRAC(MAX($P$708*($B1194+IF($R$17="Distrato",$I$38-1,0)),IF(AND($L$711=0,$P$708=0),"",$L$711-1),IF($R$17="Distrato",$E1194,0)),MIN(AI$38,$D$19),$P$20))-SUM($P1194:AH1194)</f>
        <v>#VALUE!</v>
      </c>
      <c r="AJ1194" s="446" t="e">
        <f>IF(OR($B1194="",MIN(AJ$38,$D$19)&lt;MAX($P$708*($B1194+IF($R$17="Distrato",$I$38-1,0)),IF(AND($L$711=0,$P$708=0),"",$L$711-1),IF($R$17="Distrato",$E1194,0))),0,YEARFRAC(MAX($P$708*($B1194+IF($R$17="Distrato",$I$38-1,0)),IF(AND($L$711=0,$P$708=0),"",$L$711-1),IF($R$17="Distrato",$E1194,0)),MIN(AJ$38,$D$19),$P$20))-SUM($P1194:AI1194)</f>
        <v>#VALUE!</v>
      </c>
      <c r="AK1194" s="446" t="e">
        <f>IF(OR($B1194="",MIN(AK$38,$D$19)&lt;MAX($P$708*($B1194+IF($R$17="Distrato",$I$38-1,0)),IF(AND($L$711=0,$P$708=0),"",$L$711-1),IF($R$17="Distrato",$E1194,0))),0,YEARFRAC(MAX($P$708*($B1194+IF($R$17="Distrato",$I$38-1,0)),IF(AND($L$711=0,$P$708=0),"",$L$711-1),IF($R$17="Distrato",$E1194,0)),MIN(AK$38,$D$19),$P$20))-SUM($P1194:AJ1194)</f>
        <v>#VALUE!</v>
      </c>
      <c r="AL1194" s="446" t="e">
        <f>IF(OR($B1194="",MIN(AL$38,$D$19)&lt;MAX($P$708*($B1194+IF($R$17="Distrato",$I$38-1,0)),IF(AND($L$711=0,$P$708=0),"",$L$711-1),IF($R$17="Distrato",$E1194,0))),0,YEARFRAC(MAX($P$708*($B1194+IF($R$17="Distrato",$I$38-1,0)),IF(AND($L$711=0,$P$708=0),"",$L$711-1),IF($R$17="Distrato",$E1194,0)),MIN(AL$38,$D$19),$P$20))-SUM($P1194:AK1194)</f>
        <v>#VALUE!</v>
      </c>
      <c r="AM1194" s="446" t="e">
        <f>IF(OR($B1194="",MIN(AM$38,$D$19)&lt;MAX($P$708*($B1194+IF($R$17="Distrato",$I$38-1,0)),IF(AND($L$711=0,$P$708=0),"",$L$711-1),IF($R$17="Distrato",$E1194,0))),0,YEARFRAC(MAX($P$708*($B1194+IF($R$17="Distrato",$I$38-1,0)),IF(AND($L$711=0,$P$708=0),"",$L$711-1),IF($R$17="Distrato",$E1194,0)),MIN(AM$38,$D$19),$P$20))-SUM($P1194:AL1194)</f>
        <v>#VALUE!</v>
      </c>
      <c r="AN1194" s="446" t="e">
        <f>IF(OR($B1194="",MIN(AN$38,$D$19)&lt;MAX($P$708*($B1194+IF($R$17="Distrato",$I$38-1,0)),IF(AND($L$711=0,$P$708=0),"",$L$711-1),IF($R$17="Distrato",$E1194,0))),0,YEARFRAC(MAX($P$708*($B1194+IF($R$17="Distrato",$I$38-1,0)),IF(AND($L$711=0,$P$708=0),"",$L$711-1),IF($R$17="Distrato",$E1194,0)),MIN(AN$38,$D$19),$P$20))-SUM($P1194:AM1194)</f>
        <v>#VALUE!</v>
      </c>
      <c r="AO1194" s="446" t="e">
        <f>IF(OR($B1194="",MIN(AO$38,$D$19)&lt;MAX($P$708*($B1194+IF($R$17="Distrato",$I$38-1,0)),IF(AND($L$711=0,$P$708=0),"",$L$711-1),IF($R$17="Distrato",$E1194,0))),0,YEARFRAC(MAX($P$708*($B1194+IF($R$17="Distrato",$I$38-1,0)),IF(AND($L$711=0,$P$708=0),"",$L$711-1),IF($R$17="Distrato",$E1194,0)),MIN(AO$38,$D$19),$P$20))-SUM($P1194:AN1194)</f>
        <v>#VALUE!</v>
      </c>
      <c r="AP1194" s="446" t="e">
        <f>IF(OR($B1194="",MIN(AP$38,$D$19)&lt;MAX($P$708*($B1194+IF($R$17="Distrato",$I$38-1,0)),IF(AND($L$711=0,$P$708=0),"",$L$711-1),IF($R$17="Distrato",$E1194,0))),0,YEARFRAC(MAX($P$708*($B1194+IF($R$17="Distrato",$I$38-1,0)),IF(AND($L$711=0,$P$708=0),"",$L$711-1),IF($R$17="Distrato",$E1194,0)),MIN(AP$38,$D$19),$P$20))-SUM($P1194:AO1194)</f>
        <v>#VALUE!</v>
      </c>
      <c r="AQ1194" s="446" t="e">
        <f>IF(OR($B1194="",MIN(AQ$38,$D$19)&lt;MAX($P$708*($B1194+IF($R$17="Distrato",$I$38-1,0)),IF(AND($L$711=0,$P$708=0),"",$L$711-1),IF($R$17="Distrato",$E1194,0))),0,YEARFRAC(MAX($P$708*($B1194+IF($R$17="Distrato",$I$38-1,0)),IF(AND($L$711=0,$P$708=0),"",$L$711-1),IF($R$17="Distrato",$E1194,0)),MIN(AQ$38,$D$19),$P$20))-SUM($P1194:AP1194)</f>
        <v>#VALUE!</v>
      </c>
      <c r="AR1194" s="446" t="e">
        <f>IF(OR($B1194="",MIN(AR$38,$D$19)&lt;MAX($P$708*($B1194+IF($R$17="Distrato",$I$38-1,0)),IF(AND($L$711=0,$P$708=0),"",$L$711-1),IF($R$17="Distrato",$E1194,0))),0,YEARFRAC(MAX($P$708*($B1194+IF($R$17="Distrato",$I$38-1,0)),IF(AND($L$711=0,$P$708=0),"",$L$711-1),IF($R$17="Distrato",$E1194,0)),MIN(AR$38,$D$19),$P$20))-SUM($P1194:AQ1194)</f>
        <v>#VALUE!</v>
      </c>
      <c r="AS1194" s="446" t="e">
        <f>IF(OR($B1194="",MIN(AS$38,$D$19)&lt;MAX($P$708*($B1194+IF($R$17="Distrato",$I$38-1,0)),IF(AND($L$711=0,$P$708=0),"",$L$711-1),IF($R$17="Distrato",$E1194,0))),0,YEARFRAC(MAX($P$708*($B1194+IF($R$17="Distrato",$I$38-1,0)),IF(AND($L$711=0,$P$708=0),"",$L$711-1),IF($R$17="Distrato",$E1194,0)),MIN(AS$38,$D$19),$P$20))-SUM($P1194:AR1194)</f>
        <v>#VALUE!</v>
      </c>
      <c r="AT1194" s="446" t="e">
        <f>IF(OR($B1194="",MIN(AT$38,$D$19)&lt;MAX($P$708*($B1194+IF($R$17="Distrato",$I$38-1,0)),IF(AND($L$711=0,$P$708=0),"",$L$711-1),IF($R$17="Distrato",$E1194,0))),0,YEARFRAC(MAX($P$708*($B1194+IF($R$17="Distrato",$I$38-1,0)),IF(AND($L$711=0,$P$708=0),"",$L$711-1),IF($R$17="Distrato",$E1194,0)),MIN(AT$38,$D$19),$P$20))-SUM($P1194:AS1194)</f>
        <v>#VALUE!</v>
      </c>
      <c r="AU1194" s="446" t="e">
        <f>IF(OR($B1194="",MIN(AU$38,$D$19)&lt;MAX($P$708*($B1194+IF($R$17="Distrato",$I$38-1,0)),IF(AND($L$711=0,$P$708=0),"",$L$711-1),IF($R$17="Distrato",$E1194,0))),0,YEARFRAC(MAX($P$708*($B1194+IF($R$17="Distrato",$I$38-1,0)),IF(AND($L$711=0,$P$708=0),"",$L$711-1),IF($R$17="Distrato",$E1194,0)),MIN(AU$38,$D$19),$P$20))-SUM($P1194:AT1194)</f>
        <v>#VALUE!</v>
      </c>
      <c r="AV1194" s="446" t="e">
        <f>IF(OR($B1194="",MIN(AV$38,$D$19)&lt;MAX($P$708*($B1194+IF($R$17="Distrato",$I$38-1,0)),IF(AND($L$711=0,$P$708=0),"",$L$711-1),IF($R$17="Distrato",$E1194,0))),0,YEARFRAC(MAX($P$708*($B1194+IF($R$17="Distrato",$I$38-1,0)),IF(AND($L$711=0,$P$708=0),"",$L$711-1),IF($R$17="Distrato",$E1194,0)),MIN(AV$38,$D$19),$P$20))-SUM($P1194:AU1194)</f>
        <v>#VALUE!</v>
      </c>
      <c r="AW1194" s="446" t="e">
        <f>IF(OR($B1194="",MIN(AW$38,$D$19)&lt;MAX($P$708*($B1194+IF($R$17="Distrato",$I$38-1,0)),IF(AND($L$711=0,$P$708=0),"",$L$711-1),IF($R$17="Distrato",$E1194,0))),0,YEARFRAC(MAX($P$708*($B1194+IF($R$17="Distrato",$I$38-1,0)),IF(AND($L$711=0,$P$708=0),"",$L$711-1),IF($R$17="Distrato",$E1194,0)),MIN(AW$38,$D$19),$P$20))-SUM($P1194:AV1194)</f>
        <v>#VALUE!</v>
      </c>
      <c r="AX1194" s="446" t="e">
        <f>IF(OR($B1194="",MIN(AX$38,$D$19)&lt;MAX($P$708*($B1194+IF($R$17="Distrato",$I$38-1,0)),IF(AND($L$711=0,$P$708=0),"",$L$711-1),IF($R$17="Distrato",$E1194,0))),0,YEARFRAC(MAX($P$708*($B1194+IF($R$17="Distrato",$I$38-1,0)),IF(AND($L$711=0,$P$708=0),"",$L$711-1),IF($R$17="Distrato",$E1194,0)),MIN(AX$38,$D$19),$P$20))-SUM($P1194:AW1194)</f>
        <v>#VALUE!</v>
      </c>
      <c r="AY1194" s="446" t="e">
        <f>IF(OR($B1194="",MIN(AY$38,$D$19)&lt;MAX($P$708*($B1194+IF($R$17="Distrato",$I$38-1,0)),IF(AND($L$711=0,$P$708=0),"",$L$711-1),IF($R$17="Distrato",$E1194,0))),0,YEARFRAC(MAX($P$708*($B1194+IF($R$17="Distrato",$I$38-1,0)),IF(AND($L$711=0,$P$708=0),"",$L$711-1),IF($R$17="Distrato",$E1194,0)),MIN(AY$38,$D$19),$P$20))-SUM($P1194:AX1194)</f>
        <v>#VALUE!</v>
      </c>
      <c r="AZ1194" s="446" t="e">
        <f>IF(OR($B1194="",MIN(AZ$38,$D$19)&lt;MAX($P$708*($B1194+IF($R$17="Distrato",$I$38-1,0)),IF(AND($L$711=0,$P$708=0),"",$L$711-1),IF($R$17="Distrato",$E1194,0))),0,YEARFRAC(MAX($P$708*($B1194+IF($R$17="Distrato",$I$38-1,0)),IF(AND($L$711=0,$P$708=0),"",$L$711-1),IF($R$17="Distrato",$E1194,0)),MIN(AZ$38,$D$19),$P$20))-SUM($P1194:AY1194)</f>
        <v>#VALUE!</v>
      </c>
      <c r="BA1194" s="446" t="e">
        <f>IF(OR($B1194="",MIN(BA$38,$D$19)&lt;MAX($P$708*($B1194+IF($R$17="Distrato",$I$38-1,0)),IF(AND($L$711=0,$P$708=0),"",$L$711-1),IF($R$17="Distrato",$E1194,0))),0,YEARFRAC(MAX($P$708*($B1194+IF($R$17="Distrato",$I$38-1,0)),IF(AND($L$711=0,$P$708=0),"",$L$711-1),IF($R$17="Distrato",$E1194,0)),MIN(BA$38,$D$19),$P$20))-SUM($P1194:AZ1194)</f>
        <v>#VALUE!</v>
      </c>
      <c r="BB1194" s="447"/>
    </row>
    <row r="1195" spans="1:54" s="446" customFormat="1" ht="11.25" hidden="1" customHeight="1" x14ac:dyDescent="0.2">
      <c r="A1195" s="235"/>
      <c r="B1195" s="236"/>
      <c r="C1195" s="29" t="str">
        <f>IF(B1195="","",IF($L$709=$BL$25,VLOOKUP(DATE(YEAR($D$19),MONTH($D$19)-1,1),ÍNDICES!$A:$DE,HLOOKUP($BL$25,ÍNDICES!$B$3:$T$4,2)+11)-VLOOKUP(B1195,ÍNDICES!$A:$DE,HLOOKUP($BL$25,ÍNDICES!$B$3:$T$4,2)+11)+1%,IF(C$712=$W$26,$J$35,IF(ISERROR(IF(B1195&gt;$D$19,1,VLOOKUP(DATE(YEAR(B1195),MONTH(B1195)+IF($C$709=$S$23,1,0),1),ÍNDICES!$A:$DE,$Z$709+1))),"",IF(B1195&gt;$D$19,1,VLOOKUP(DATE(YEAR(B1195),MONTH(B1195)+IF($C$709=$S$23,1,0),1),ÍNDICES!$A:$DE,$Z$709+1))))))</f>
        <v/>
      </c>
      <c r="D1195" s="155"/>
      <c r="E1195" s="88"/>
      <c r="F1195" s="88"/>
      <c r="G1195" s="88"/>
      <c r="H1195" s="118"/>
      <c r="I1195" s="182">
        <f t="shared" si="164"/>
        <v>0</v>
      </c>
      <c r="J1195" s="20">
        <f t="shared" ca="1" si="165"/>
        <v>0</v>
      </c>
      <c r="K1195" s="5">
        <f t="shared" ca="1" si="166"/>
        <v>0</v>
      </c>
      <c r="L1195" s="61">
        <f t="shared" ca="1" si="167"/>
        <v>0</v>
      </c>
      <c r="M1195" s="64">
        <f t="shared" si="168"/>
        <v>0</v>
      </c>
      <c r="N1195" s="151"/>
      <c r="O1195" s="5">
        <f t="shared" ca="1" si="169"/>
        <v>0</v>
      </c>
      <c r="P1195" s="446" t="e">
        <f t="shared" si="170"/>
        <v>#VALUE!</v>
      </c>
      <c r="Q1195" s="446" t="e">
        <f>IF(OR($B1195="",MIN(Q$38,$D$19)&lt;MAX($P$708*($B1195+IF($R$17="Distrato",$I$38-1,0)),IF(AND($L$711=0,$P$708=0),"",$L$711-1),IF($R$17="Distrato",$E1195,0))),0,YEARFRAC(MAX($P$708*($B1195+IF($R$17="Distrato",$I$38-1,0)),IF(AND($L$711=0,$P$708=0),"",$L$711-1),IF($R$17="Distrato",$E1195,0)),MIN(Q$38,$D$19),$P$20))-SUM($P1195:P1195)</f>
        <v>#VALUE!</v>
      </c>
      <c r="R1195" s="446" t="e">
        <f>IF(OR($B1195="",MIN(R$38,$D$19)&lt;MAX($P$708*($B1195+IF($R$17="Distrato",$I$38-1,0)),IF(AND($L$711=0,$P$708=0),"",$L$711-1),IF($R$17="Distrato",$E1195,0))),0,YEARFRAC(MAX($P$708*($B1195+IF($R$17="Distrato",$I$38-1,0)),IF(AND($L$711=0,$P$708=0),"",$L$711-1),IF($R$17="Distrato",$E1195,0)),MIN(R$38,$D$19),$P$20))-SUM($P1195:Q1195)</f>
        <v>#VALUE!</v>
      </c>
      <c r="S1195" s="446" t="e">
        <f>IF(OR($B1195="",MIN(S$38,$D$19)&lt;MAX($P$708*($B1195+IF($R$17="Distrato",$I$38-1,0)),IF(AND($L$711=0,$P$708=0),"",$L$711-1),IF($R$17="Distrato",$E1195,0))),0,YEARFRAC(MAX($P$708*($B1195+IF($R$17="Distrato",$I$38-1,0)),IF(AND($L$711=0,$P$708=0),"",$L$711-1),IF($R$17="Distrato",$E1195,0)),MIN(S$38,$D$19),$P$20))-SUM($P1195:R1195)</f>
        <v>#VALUE!</v>
      </c>
      <c r="T1195" s="446" t="e">
        <f>IF(OR($B1195="",MIN(T$38,$D$19)&lt;MAX($P$708*($B1195+IF($R$17="Distrato",$I$38-1,0)),IF(AND($L$711=0,$P$708=0),"",$L$711-1),IF($R$17="Distrato",$E1195,0))),0,YEARFRAC(MAX($P$708*($B1195+IF($R$17="Distrato",$I$38-1,0)),IF(AND($L$711=0,$P$708=0),"",$L$711-1),IF($R$17="Distrato",$E1195,0)),MIN(T$38,$D$19),$P$20))-SUM($P1195:S1195)</f>
        <v>#VALUE!</v>
      </c>
      <c r="U1195" s="446" t="e">
        <f>IF(OR($B1195="",MIN(U$38,$D$19)&lt;MAX($P$708*($B1195+IF($R$17="Distrato",$I$38-1,0)),IF(AND($L$711=0,$P$708=0),"",$L$711-1),IF($R$17="Distrato",$E1195,0))),0,YEARFRAC(MAX($P$708*($B1195+IF($R$17="Distrato",$I$38-1,0)),IF(AND($L$711=0,$P$708=0),"",$L$711-1),IF($R$17="Distrato",$E1195,0)),MIN(U$38,$D$19),$P$20))-SUM($P1195:T1195)</f>
        <v>#VALUE!</v>
      </c>
      <c r="V1195" s="446" t="e">
        <f>IF(OR($B1195="",MIN(V$38,$D$19)&lt;MAX($P$708*($B1195+IF($R$17="Distrato",$I$38-1,0)),IF(AND($L$711=0,$P$708=0),"",$L$711-1),IF($R$17="Distrato",$E1195,0))),0,YEARFRAC(MAX($P$708*($B1195+IF($R$17="Distrato",$I$38-1,0)),IF(AND($L$711=0,$P$708=0),"",$L$711-1),IF($R$17="Distrato",$E1195,0)),MIN(V$38,$D$19),$P$20))-SUM($P1195:U1195)</f>
        <v>#VALUE!</v>
      </c>
      <c r="W1195" s="446" t="e">
        <f>IF(OR($B1195="",MIN(W$38,$D$19)&lt;MAX($P$708*($B1195+IF($R$17="Distrato",$I$38-1,0)),IF(AND($L$711=0,$P$708=0),"",$L$711-1),IF($R$17="Distrato",$E1195,0))),0,YEARFRAC(MAX($P$708*($B1195+IF($R$17="Distrato",$I$38-1,0)),IF(AND($L$711=0,$P$708=0),"",$L$711-1),IF($R$17="Distrato",$E1195,0)),MIN(W$38,$D$19),$P$20))-SUM($P1195:V1195)</f>
        <v>#VALUE!</v>
      </c>
      <c r="X1195" s="446" t="e">
        <f>IF(OR($B1195="",MIN(X$38,$D$19)&lt;MAX($P$708*($B1195+IF($R$17="Distrato",$I$38-1,0)),IF(AND($L$711=0,$P$708=0),"",$L$711-1),IF($R$17="Distrato",$E1195,0))),0,YEARFRAC(MAX($P$708*($B1195+IF($R$17="Distrato",$I$38-1,0)),IF(AND($L$711=0,$P$708=0),"",$L$711-1),IF($R$17="Distrato",$E1195,0)),MIN(X$38,$D$19),$P$20))-SUM($P1195:W1195)</f>
        <v>#VALUE!</v>
      </c>
      <c r="Y1195" s="446" t="e">
        <f>IF(OR($B1195="",MIN(Y$38,$D$19)&lt;MAX($P$708*($B1195+IF($R$17="Distrato",$I$38-1,0)),IF(AND($L$711=0,$P$708=0),"",$L$711-1),IF($R$17="Distrato",$E1195,0))),0,YEARFRAC(MAX($P$708*($B1195+IF($R$17="Distrato",$I$38-1,0)),IF(AND($L$711=0,$P$708=0),"",$L$711-1),IF($R$17="Distrato",$E1195,0)),MIN(Y$38,$D$19),$P$20))-SUM($P1195:X1195)</f>
        <v>#VALUE!</v>
      </c>
      <c r="Z1195" s="446" t="e">
        <f>IF(OR($B1195="",MIN(Z$38,$D$19)&lt;MAX($P$708*($B1195+IF($R$17="Distrato",$I$38-1,0)),IF(AND($L$711=0,$P$708=0),"",$L$711-1),IF($R$17="Distrato",$E1195,0))),0,YEARFRAC(MAX($P$708*($B1195+IF($R$17="Distrato",$I$38-1,0)),IF(AND($L$711=0,$P$708=0),"",$L$711-1),IF($R$17="Distrato",$E1195,0)),MIN(Z$38,$D$19),$P$20))-SUM($P1195:Y1195)</f>
        <v>#VALUE!</v>
      </c>
      <c r="AA1195" s="446" t="e">
        <f>IF(OR($B1195="",MIN(AA$38,$D$19)&lt;MAX($P$708*($B1195+IF($R$17="Distrato",$I$38-1,0)),IF(AND($L$711=0,$P$708=0),"",$L$711-1),IF($R$17="Distrato",$E1195,0))),0,YEARFRAC(MAX($P$708*($B1195+IF($R$17="Distrato",$I$38-1,0)),IF(AND($L$711=0,$P$708=0),"",$L$711-1),IF($R$17="Distrato",$E1195,0)),MIN(AA$38,$D$19),$P$20))-SUM($P1195:Z1195)</f>
        <v>#VALUE!</v>
      </c>
      <c r="AB1195" s="446" t="e">
        <f>IF(OR($B1195="",MIN(AB$38,$D$19)&lt;MAX($P$708*($B1195+IF($R$17="Distrato",$I$38-1,0)),IF(AND($L$711=0,$P$708=0),"",$L$711-1),IF($R$17="Distrato",$E1195,0))),0,YEARFRAC(MAX($P$708*($B1195+IF($R$17="Distrato",$I$38-1,0)),IF(AND($L$711=0,$P$708=0),"",$L$711-1),IF($R$17="Distrato",$E1195,0)),MIN(AB$38,$D$19),$P$20))-SUM($P1195:AA1195)</f>
        <v>#VALUE!</v>
      </c>
      <c r="AC1195" s="446" t="e">
        <f>IF(OR($B1195="",MIN(AC$38,$D$19)&lt;MAX($P$708*($B1195+IF($R$17="Distrato",$I$38-1,0)),IF(AND($L$711=0,$P$708=0),"",$L$711-1),IF($R$17="Distrato",$E1195,0))),0,YEARFRAC(MAX($P$708*($B1195+IF($R$17="Distrato",$I$38-1,0)),IF(AND($L$711=0,$P$708=0),"",$L$711-1),IF($R$17="Distrato",$E1195,0)),MIN(AC$38,$D$19),$P$20))-SUM($P1195:AB1195)</f>
        <v>#VALUE!</v>
      </c>
      <c r="AD1195" s="446" t="e">
        <f>IF(OR($B1195="",MIN(AD$38,$D$19)&lt;MAX($P$708*($B1195+IF($R$17="Distrato",$I$38-1,0)),IF(AND($L$711=0,$P$708=0),"",$L$711-1),IF($R$17="Distrato",$E1195,0))),0,YEARFRAC(MAX($P$708*($B1195+IF($R$17="Distrato",$I$38-1,0)),IF(AND($L$711=0,$P$708=0),"",$L$711-1),IF($R$17="Distrato",$E1195,0)),MIN(AD$38,$D$19),$P$20))-SUM($P1195:AC1195)</f>
        <v>#VALUE!</v>
      </c>
      <c r="AE1195" s="446" t="e">
        <f>IF(OR($B1195="",MIN(AE$38,$D$19)&lt;MAX($P$708*($B1195+IF($R$17="Distrato",$I$38-1,0)),IF(AND($L$711=0,$P$708=0),"",$L$711-1),IF($R$17="Distrato",$E1195,0))),0,YEARFRAC(MAX($P$708*($B1195+IF($R$17="Distrato",$I$38-1,0)),IF(AND($L$711=0,$P$708=0),"",$L$711-1),IF($R$17="Distrato",$E1195,0)),MIN(AE$38,$D$19),$P$20))-SUM($P1195:AD1195)</f>
        <v>#VALUE!</v>
      </c>
      <c r="AF1195" s="446" t="e">
        <f>IF(OR($B1195="",MIN(AF$38,$D$19)&lt;MAX($P$708*($B1195+IF($R$17="Distrato",$I$38-1,0)),IF(AND($L$711=0,$P$708=0),"",$L$711-1),IF($R$17="Distrato",$E1195,0))),0,YEARFRAC(MAX($P$708*($B1195+IF($R$17="Distrato",$I$38-1,0)),IF(AND($L$711=0,$P$708=0),"",$L$711-1),IF($R$17="Distrato",$E1195,0)),MIN(AF$38,$D$19),$P$20))-SUM($P1195:AE1195)</f>
        <v>#VALUE!</v>
      </c>
      <c r="AG1195" s="446" t="e">
        <f>IF(OR($B1195="",MIN(AG$38,$D$19)&lt;MAX($P$708*($B1195+IF($R$17="Distrato",$I$38-1,0)),IF(AND($L$711=0,$P$708=0),"",$L$711-1),IF($R$17="Distrato",$E1195,0))),0,YEARFRAC(MAX($P$708*($B1195+IF($R$17="Distrato",$I$38-1,0)),IF(AND($L$711=0,$P$708=0),"",$L$711-1),IF($R$17="Distrato",$E1195,0)),MIN(AG$38,$D$19),$P$20))-SUM($P1195:AF1195)</f>
        <v>#VALUE!</v>
      </c>
      <c r="AH1195" s="446" t="e">
        <f>IF(OR($B1195="",MIN(AH$38,$D$19)&lt;MAX($P$708*($B1195+IF($R$17="Distrato",$I$38-1,0)),IF(AND($L$711=0,$P$708=0),"",$L$711-1),IF($R$17="Distrato",$E1195,0))),0,YEARFRAC(MAX($P$708*($B1195+IF($R$17="Distrato",$I$38-1,0)),IF(AND($L$711=0,$P$708=0),"",$L$711-1),IF($R$17="Distrato",$E1195,0)),MIN(AH$38,$D$19),$P$20))-SUM($P1195:AG1195)</f>
        <v>#VALUE!</v>
      </c>
      <c r="AI1195" s="446" t="e">
        <f>IF(OR($B1195="",MIN(AI$38,$D$19)&lt;MAX($P$708*($B1195+IF($R$17="Distrato",$I$38-1,0)),IF(AND($L$711=0,$P$708=0),"",$L$711-1),IF($R$17="Distrato",$E1195,0))),0,YEARFRAC(MAX($P$708*($B1195+IF($R$17="Distrato",$I$38-1,0)),IF(AND($L$711=0,$P$708=0),"",$L$711-1),IF($R$17="Distrato",$E1195,0)),MIN(AI$38,$D$19),$P$20))-SUM($P1195:AH1195)</f>
        <v>#VALUE!</v>
      </c>
      <c r="AJ1195" s="446" t="e">
        <f>IF(OR($B1195="",MIN(AJ$38,$D$19)&lt;MAX($P$708*($B1195+IF($R$17="Distrato",$I$38-1,0)),IF(AND($L$711=0,$P$708=0),"",$L$711-1),IF($R$17="Distrato",$E1195,0))),0,YEARFRAC(MAX($P$708*($B1195+IF($R$17="Distrato",$I$38-1,0)),IF(AND($L$711=0,$P$708=0),"",$L$711-1),IF($R$17="Distrato",$E1195,0)),MIN(AJ$38,$D$19),$P$20))-SUM($P1195:AI1195)</f>
        <v>#VALUE!</v>
      </c>
      <c r="AK1195" s="446" t="e">
        <f>IF(OR($B1195="",MIN(AK$38,$D$19)&lt;MAX($P$708*($B1195+IF($R$17="Distrato",$I$38-1,0)),IF(AND($L$711=0,$P$708=0),"",$L$711-1),IF($R$17="Distrato",$E1195,0))),0,YEARFRAC(MAX($P$708*($B1195+IF($R$17="Distrato",$I$38-1,0)),IF(AND($L$711=0,$P$708=0),"",$L$711-1),IF($R$17="Distrato",$E1195,0)),MIN(AK$38,$D$19),$P$20))-SUM($P1195:AJ1195)</f>
        <v>#VALUE!</v>
      </c>
      <c r="AL1195" s="446" t="e">
        <f>IF(OR($B1195="",MIN(AL$38,$D$19)&lt;MAX($P$708*($B1195+IF($R$17="Distrato",$I$38-1,0)),IF(AND($L$711=0,$P$708=0),"",$L$711-1),IF($R$17="Distrato",$E1195,0))),0,YEARFRAC(MAX($P$708*($B1195+IF($R$17="Distrato",$I$38-1,0)),IF(AND($L$711=0,$P$708=0),"",$L$711-1),IF($R$17="Distrato",$E1195,0)),MIN(AL$38,$D$19),$P$20))-SUM($P1195:AK1195)</f>
        <v>#VALUE!</v>
      </c>
      <c r="AM1195" s="446" t="e">
        <f>IF(OR($B1195="",MIN(AM$38,$D$19)&lt;MAX($P$708*($B1195+IF($R$17="Distrato",$I$38-1,0)),IF(AND($L$711=0,$P$708=0),"",$L$711-1),IF($R$17="Distrato",$E1195,0))),0,YEARFRAC(MAX($P$708*($B1195+IF($R$17="Distrato",$I$38-1,0)),IF(AND($L$711=0,$P$708=0),"",$L$711-1),IF($R$17="Distrato",$E1195,0)),MIN(AM$38,$D$19),$P$20))-SUM($P1195:AL1195)</f>
        <v>#VALUE!</v>
      </c>
      <c r="AN1195" s="446" t="e">
        <f>IF(OR($B1195="",MIN(AN$38,$D$19)&lt;MAX($P$708*($B1195+IF($R$17="Distrato",$I$38-1,0)),IF(AND($L$711=0,$P$708=0),"",$L$711-1),IF($R$17="Distrato",$E1195,0))),0,YEARFRAC(MAX($P$708*($B1195+IF($R$17="Distrato",$I$38-1,0)),IF(AND($L$711=0,$P$708=0),"",$L$711-1),IF($R$17="Distrato",$E1195,0)),MIN(AN$38,$D$19),$P$20))-SUM($P1195:AM1195)</f>
        <v>#VALUE!</v>
      </c>
      <c r="AO1195" s="446" t="e">
        <f>IF(OR($B1195="",MIN(AO$38,$D$19)&lt;MAX($P$708*($B1195+IF($R$17="Distrato",$I$38-1,0)),IF(AND($L$711=0,$P$708=0),"",$L$711-1),IF($R$17="Distrato",$E1195,0))),0,YEARFRAC(MAX($P$708*($B1195+IF($R$17="Distrato",$I$38-1,0)),IF(AND($L$711=0,$P$708=0),"",$L$711-1),IF($R$17="Distrato",$E1195,0)),MIN(AO$38,$D$19),$P$20))-SUM($P1195:AN1195)</f>
        <v>#VALUE!</v>
      </c>
      <c r="AP1195" s="446" t="e">
        <f>IF(OR($B1195="",MIN(AP$38,$D$19)&lt;MAX($P$708*($B1195+IF($R$17="Distrato",$I$38-1,0)),IF(AND($L$711=0,$P$708=0),"",$L$711-1),IF($R$17="Distrato",$E1195,0))),0,YEARFRAC(MAX($P$708*($B1195+IF($R$17="Distrato",$I$38-1,0)),IF(AND($L$711=0,$P$708=0),"",$L$711-1),IF($R$17="Distrato",$E1195,0)),MIN(AP$38,$D$19),$P$20))-SUM($P1195:AO1195)</f>
        <v>#VALUE!</v>
      </c>
      <c r="AQ1195" s="446" t="e">
        <f>IF(OR($B1195="",MIN(AQ$38,$D$19)&lt;MAX($P$708*($B1195+IF($R$17="Distrato",$I$38-1,0)),IF(AND($L$711=0,$P$708=0),"",$L$711-1),IF($R$17="Distrato",$E1195,0))),0,YEARFRAC(MAX($P$708*($B1195+IF($R$17="Distrato",$I$38-1,0)),IF(AND($L$711=0,$P$708=0),"",$L$711-1),IF($R$17="Distrato",$E1195,0)),MIN(AQ$38,$D$19),$P$20))-SUM($P1195:AP1195)</f>
        <v>#VALUE!</v>
      </c>
      <c r="AR1195" s="446" t="e">
        <f>IF(OR($B1195="",MIN(AR$38,$D$19)&lt;MAX($P$708*($B1195+IF($R$17="Distrato",$I$38-1,0)),IF(AND($L$711=0,$P$708=0),"",$L$711-1),IF($R$17="Distrato",$E1195,0))),0,YEARFRAC(MAX($P$708*($B1195+IF($R$17="Distrato",$I$38-1,0)),IF(AND($L$711=0,$P$708=0),"",$L$711-1),IF($R$17="Distrato",$E1195,0)),MIN(AR$38,$D$19),$P$20))-SUM($P1195:AQ1195)</f>
        <v>#VALUE!</v>
      </c>
      <c r="AS1195" s="446" t="e">
        <f>IF(OR($B1195="",MIN(AS$38,$D$19)&lt;MAX($P$708*($B1195+IF($R$17="Distrato",$I$38-1,0)),IF(AND($L$711=0,$P$708=0),"",$L$711-1),IF($R$17="Distrato",$E1195,0))),0,YEARFRAC(MAX($P$708*($B1195+IF($R$17="Distrato",$I$38-1,0)),IF(AND($L$711=0,$P$708=0),"",$L$711-1),IF($R$17="Distrato",$E1195,0)),MIN(AS$38,$D$19),$P$20))-SUM($P1195:AR1195)</f>
        <v>#VALUE!</v>
      </c>
      <c r="AT1195" s="446" t="e">
        <f>IF(OR($B1195="",MIN(AT$38,$D$19)&lt;MAX($P$708*($B1195+IF($R$17="Distrato",$I$38-1,0)),IF(AND($L$711=0,$P$708=0),"",$L$711-1),IF($R$17="Distrato",$E1195,0))),0,YEARFRAC(MAX($P$708*($B1195+IF($R$17="Distrato",$I$38-1,0)),IF(AND($L$711=0,$P$708=0),"",$L$711-1),IF($R$17="Distrato",$E1195,0)),MIN(AT$38,$D$19),$P$20))-SUM($P1195:AS1195)</f>
        <v>#VALUE!</v>
      </c>
      <c r="AU1195" s="446" t="e">
        <f>IF(OR($B1195="",MIN(AU$38,$D$19)&lt;MAX($P$708*($B1195+IF($R$17="Distrato",$I$38-1,0)),IF(AND($L$711=0,$P$708=0),"",$L$711-1),IF($R$17="Distrato",$E1195,0))),0,YEARFRAC(MAX($P$708*($B1195+IF($R$17="Distrato",$I$38-1,0)),IF(AND($L$711=0,$P$708=0),"",$L$711-1),IF($R$17="Distrato",$E1195,0)),MIN(AU$38,$D$19),$P$20))-SUM($P1195:AT1195)</f>
        <v>#VALUE!</v>
      </c>
      <c r="AV1195" s="446" t="e">
        <f>IF(OR($B1195="",MIN(AV$38,$D$19)&lt;MAX($P$708*($B1195+IF($R$17="Distrato",$I$38-1,0)),IF(AND($L$711=0,$P$708=0),"",$L$711-1),IF($R$17="Distrato",$E1195,0))),0,YEARFRAC(MAX($P$708*($B1195+IF($R$17="Distrato",$I$38-1,0)),IF(AND($L$711=0,$P$708=0),"",$L$711-1),IF($R$17="Distrato",$E1195,0)),MIN(AV$38,$D$19),$P$20))-SUM($P1195:AU1195)</f>
        <v>#VALUE!</v>
      </c>
      <c r="AW1195" s="446" t="e">
        <f>IF(OR($B1195="",MIN(AW$38,$D$19)&lt;MAX($P$708*($B1195+IF($R$17="Distrato",$I$38-1,0)),IF(AND($L$711=0,$P$708=0),"",$L$711-1),IF($R$17="Distrato",$E1195,0))),0,YEARFRAC(MAX($P$708*($B1195+IF($R$17="Distrato",$I$38-1,0)),IF(AND($L$711=0,$P$708=0),"",$L$711-1),IF($R$17="Distrato",$E1195,0)),MIN(AW$38,$D$19),$P$20))-SUM($P1195:AV1195)</f>
        <v>#VALUE!</v>
      </c>
      <c r="AX1195" s="446" t="e">
        <f>IF(OR($B1195="",MIN(AX$38,$D$19)&lt;MAX($P$708*($B1195+IF($R$17="Distrato",$I$38-1,0)),IF(AND($L$711=0,$P$708=0),"",$L$711-1),IF($R$17="Distrato",$E1195,0))),0,YEARFRAC(MAX($P$708*($B1195+IF($R$17="Distrato",$I$38-1,0)),IF(AND($L$711=0,$P$708=0),"",$L$711-1),IF($R$17="Distrato",$E1195,0)),MIN(AX$38,$D$19),$P$20))-SUM($P1195:AW1195)</f>
        <v>#VALUE!</v>
      </c>
      <c r="AY1195" s="446" t="e">
        <f>IF(OR($B1195="",MIN(AY$38,$D$19)&lt;MAX($P$708*($B1195+IF($R$17="Distrato",$I$38-1,0)),IF(AND($L$711=0,$P$708=0),"",$L$711-1),IF($R$17="Distrato",$E1195,0))),0,YEARFRAC(MAX($P$708*($B1195+IF($R$17="Distrato",$I$38-1,0)),IF(AND($L$711=0,$P$708=0),"",$L$711-1),IF($R$17="Distrato",$E1195,0)),MIN(AY$38,$D$19),$P$20))-SUM($P1195:AX1195)</f>
        <v>#VALUE!</v>
      </c>
      <c r="AZ1195" s="446" t="e">
        <f>IF(OR($B1195="",MIN(AZ$38,$D$19)&lt;MAX($P$708*($B1195+IF($R$17="Distrato",$I$38-1,0)),IF(AND($L$711=0,$P$708=0),"",$L$711-1),IF($R$17="Distrato",$E1195,0))),0,YEARFRAC(MAX($P$708*($B1195+IF($R$17="Distrato",$I$38-1,0)),IF(AND($L$711=0,$P$708=0),"",$L$711-1),IF($R$17="Distrato",$E1195,0)),MIN(AZ$38,$D$19),$P$20))-SUM($P1195:AY1195)</f>
        <v>#VALUE!</v>
      </c>
      <c r="BA1195" s="446" t="e">
        <f>IF(OR($B1195="",MIN(BA$38,$D$19)&lt;MAX($P$708*($B1195+IF($R$17="Distrato",$I$38-1,0)),IF(AND($L$711=0,$P$708=0),"",$L$711-1),IF($R$17="Distrato",$E1195,0))),0,YEARFRAC(MAX($P$708*($B1195+IF($R$17="Distrato",$I$38-1,0)),IF(AND($L$711=0,$P$708=0),"",$L$711-1),IF($R$17="Distrato",$E1195,0)),MIN(BA$38,$D$19),$P$20))-SUM($P1195:AZ1195)</f>
        <v>#VALUE!</v>
      </c>
      <c r="BB1195" s="447"/>
    </row>
    <row r="1196" spans="1:54" s="446" customFormat="1" ht="11.25" hidden="1" customHeight="1" x14ac:dyDescent="0.2">
      <c r="A1196" s="235"/>
      <c r="B1196" s="236"/>
      <c r="C1196" s="29" t="str">
        <f>IF(B1196="","",IF($L$709=$BL$25,VLOOKUP(DATE(YEAR($D$19),MONTH($D$19)-1,1),ÍNDICES!$A:$DE,HLOOKUP($BL$25,ÍNDICES!$B$3:$T$4,2)+11)-VLOOKUP(B1196,ÍNDICES!$A:$DE,HLOOKUP($BL$25,ÍNDICES!$B$3:$T$4,2)+11)+1%,IF(C$712=$W$26,$J$35,IF(ISERROR(IF(B1196&gt;$D$19,1,VLOOKUP(DATE(YEAR(B1196),MONTH(B1196)+IF($C$709=$S$23,1,0),1),ÍNDICES!$A:$DE,$Z$709+1))),"",IF(B1196&gt;$D$19,1,VLOOKUP(DATE(YEAR(B1196),MONTH(B1196)+IF($C$709=$S$23,1,0),1),ÍNDICES!$A:$DE,$Z$709+1))))))</f>
        <v/>
      </c>
      <c r="D1196" s="155"/>
      <c r="E1196" s="88"/>
      <c r="F1196" s="88"/>
      <c r="G1196" s="88"/>
      <c r="H1196" s="118"/>
      <c r="I1196" s="182">
        <f t="shared" si="164"/>
        <v>0</v>
      </c>
      <c r="J1196" s="20">
        <f t="shared" ca="1" si="165"/>
        <v>0</v>
      </c>
      <c r="K1196" s="5">
        <f t="shared" ca="1" si="166"/>
        <v>0</v>
      </c>
      <c r="L1196" s="61">
        <f t="shared" ca="1" si="167"/>
        <v>0</v>
      </c>
      <c r="M1196" s="64">
        <f t="shared" si="168"/>
        <v>0</v>
      </c>
      <c r="N1196" s="151"/>
      <c r="O1196" s="5">
        <f t="shared" ca="1" si="169"/>
        <v>0</v>
      </c>
      <c r="P1196" s="446" t="e">
        <f t="shared" si="170"/>
        <v>#VALUE!</v>
      </c>
      <c r="Q1196" s="446" t="e">
        <f>IF(OR($B1196="",MIN(Q$38,$D$19)&lt;MAX($P$708*($B1196+IF($R$17="Distrato",$I$38-1,0)),IF(AND($L$711=0,$P$708=0),"",$L$711-1),IF($R$17="Distrato",$E1196,0))),0,YEARFRAC(MAX($P$708*($B1196+IF($R$17="Distrato",$I$38-1,0)),IF(AND($L$711=0,$P$708=0),"",$L$711-1),IF($R$17="Distrato",$E1196,0)),MIN(Q$38,$D$19),$P$20))-SUM($P1196:P1196)</f>
        <v>#VALUE!</v>
      </c>
      <c r="R1196" s="446" t="e">
        <f>IF(OR($B1196="",MIN(R$38,$D$19)&lt;MAX($P$708*($B1196+IF($R$17="Distrato",$I$38-1,0)),IF(AND($L$711=0,$P$708=0),"",$L$711-1),IF($R$17="Distrato",$E1196,0))),0,YEARFRAC(MAX($P$708*($B1196+IF($R$17="Distrato",$I$38-1,0)),IF(AND($L$711=0,$P$708=0),"",$L$711-1),IF($R$17="Distrato",$E1196,0)),MIN(R$38,$D$19),$P$20))-SUM($P1196:Q1196)</f>
        <v>#VALUE!</v>
      </c>
      <c r="S1196" s="446" t="e">
        <f>IF(OR($B1196="",MIN(S$38,$D$19)&lt;MAX($P$708*($B1196+IF($R$17="Distrato",$I$38-1,0)),IF(AND($L$711=0,$P$708=0),"",$L$711-1),IF($R$17="Distrato",$E1196,0))),0,YEARFRAC(MAX($P$708*($B1196+IF($R$17="Distrato",$I$38-1,0)),IF(AND($L$711=0,$P$708=0),"",$L$711-1),IF($R$17="Distrato",$E1196,0)),MIN(S$38,$D$19),$P$20))-SUM($P1196:R1196)</f>
        <v>#VALUE!</v>
      </c>
      <c r="T1196" s="446" t="e">
        <f>IF(OR($B1196="",MIN(T$38,$D$19)&lt;MAX($P$708*($B1196+IF($R$17="Distrato",$I$38-1,0)),IF(AND($L$711=0,$P$708=0),"",$L$711-1),IF($R$17="Distrato",$E1196,0))),0,YEARFRAC(MAX($P$708*($B1196+IF($R$17="Distrato",$I$38-1,0)),IF(AND($L$711=0,$P$708=0),"",$L$711-1),IF($R$17="Distrato",$E1196,0)),MIN(T$38,$D$19),$P$20))-SUM($P1196:S1196)</f>
        <v>#VALUE!</v>
      </c>
      <c r="U1196" s="446" t="e">
        <f>IF(OR($B1196="",MIN(U$38,$D$19)&lt;MAX($P$708*($B1196+IF($R$17="Distrato",$I$38-1,0)),IF(AND($L$711=0,$P$708=0),"",$L$711-1),IF($R$17="Distrato",$E1196,0))),0,YEARFRAC(MAX($P$708*($B1196+IF($R$17="Distrato",$I$38-1,0)),IF(AND($L$711=0,$P$708=0),"",$L$711-1),IF($R$17="Distrato",$E1196,0)),MIN(U$38,$D$19),$P$20))-SUM($P1196:T1196)</f>
        <v>#VALUE!</v>
      </c>
      <c r="V1196" s="446" t="e">
        <f>IF(OR($B1196="",MIN(V$38,$D$19)&lt;MAX($P$708*($B1196+IF($R$17="Distrato",$I$38-1,0)),IF(AND($L$711=0,$P$708=0),"",$L$711-1),IF($R$17="Distrato",$E1196,0))),0,YEARFRAC(MAX($P$708*($B1196+IF($R$17="Distrato",$I$38-1,0)),IF(AND($L$711=0,$P$708=0),"",$L$711-1),IF($R$17="Distrato",$E1196,0)),MIN(V$38,$D$19),$P$20))-SUM($P1196:U1196)</f>
        <v>#VALUE!</v>
      </c>
      <c r="W1196" s="446" t="e">
        <f>IF(OR($B1196="",MIN(W$38,$D$19)&lt;MAX($P$708*($B1196+IF($R$17="Distrato",$I$38-1,0)),IF(AND($L$711=0,$P$708=0),"",$L$711-1),IF($R$17="Distrato",$E1196,0))),0,YEARFRAC(MAX($P$708*($B1196+IF($R$17="Distrato",$I$38-1,0)),IF(AND($L$711=0,$P$708=0),"",$L$711-1),IF($R$17="Distrato",$E1196,0)),MIN(W$38,$D$19),$P$20))-SUM($P1196:V1196)</f>
        <v>#VALUE!</v>
      </c>
      <c r="X1196" s="446" t="e">
        <f>IF(OR($B1196="",MIN(X$38,$D$19)&lt;MAX($P$708*($B1196+IF($R$17="Distrato",$I$38-1,0)),IF(AND($L$711=0,$P$708=0),"",$L$711-1),IF($R$17="Distrato",$E1196,0))),0,YEARFRAC(MAX($P$708*($B1196+IF($R$17="Distrato",$I$38-1,0)),IF(AND($L$711=0,$P$708=0),"",$L$711-1),IF($R$17="Distrato",$E1196,0)),MIN(X$38,$D$19),$P$20))-SUM($P1196:W1196)</f>
        <v>#VALUE!</v>
      </c>
      <c r="Y1196" s="446" t="e">
        <f>IF(OR($B1196="",MIN(Y$38,$D$19)&lt;MAX($P$708*($B1196+IF($R$17="Distrato",$I$38-1,0)),IF(AND($L$711=0,$P$708=0),"",$L$711-1),IF($R$17="Distrato",$E1196,0))),0,YEARFRAC(MAX($P$708*($B1196+IF($R$17="Distrato",$I$38-1,0)),IF(AND($L$711=0,$P$708=0),"",$L$711-1),IF($R$17="Distrato",$E1196,0)),MIN(Y$38,$D$19),$P$20))-SUM($P1196:X1196)</f>
        <v>#VALUE!</v>
      </c>
      <c r="Z1196" s="446" t="e">
        <f>IF(OR($B1196="",MIN(Z$38,$D$19)&lt;MAX($P$708*($B1196+IF($R$17="Distrato",$I$38-1,0)),IF(AND($L$711=0,$P$708=0),"",$L$711-1),IF($R$17="Distrato",$E1196,0))),0,YEARFRAC(MAX($P$708*($B1196+IF($R$17="Distrato",$I$38-1,0)),IF(AND($L$711=0,$P$708=0),"",$L$711-1),IF($R$17="Distrato",$E1196,0)),MIN(Z$38,$D$19),$P$20))-SUM($P1196:Y1196)</f>
        <v>#VALUE!</v>
      </c>
      <c r="AA1196" s="446" t="e">
        <f>IF(OR($B1196="",MIN(AA$38,$D$19)&lt;MAX($P$708*($B1196+IF($R$17="Distrato",$I$38-1,0)),IF(AND($L$711=0,$P$708=0),"",$L$711-1),IF($R$17="Distrato",$E1196,0))),0,YEARFRAC(MAX($P$708*($B1196+IF($R$17="Distrato",$I$38-1,0)),IF(AND($L$711=0,$P$708=0),"",$L$711-1),IF($R$17="Distrato",$E1196,0)),MIN(AA$38,$D$19),$P$20))-SUM($P1196:Z1196)</f>
        <v>#VALUE!</v>
      </c>
      <c r="AB1196" s="446" t="e">
        <f>IF(OR($B1196="",MIN(AB$38,$D$19)&lt;MAX($P$708*($B1196+IF($R$17="Distrato",$I$38-1,0)),IF(AND($L$711=0,$P$708=0),"",$L$711-1),IF($R$17="Distrato",$E1196,0))),0,YEARFRAC(MAX($P$708*($B1196+IF($R$17="Distrato",$I$38-1,0)),IF(AND($L$711=0,$P$708=0),"",$L$711-1),IF($R$17="Distrato",$E1196,0)),MIN(AB$38,$D$19),$P$20))-SUM($P1196:AA1196)</f>
        <v>#VALUE!</v>
      </c>
      <c r="AC1196" s="446" t="e">
        <f>IF(OR($B1196="",MIN(AC$38,$D$19)&lt;MAX($P$708*($B1196+IF($R$17="Distrato",$I$38-1,0)),IF(AND($L$711=0,$P$708=0),"",$L$711-1),IF($R$17="Distrato",$E1196,0))),0,YEARFRAC(MAX($P$708*($B1196+IF($R$17="Distrato",$I$38-1,0)),IF(AND($L$711=0,$P$708=0),"",$L$711-1),IF($R$17="Distrato",$E1196,0)),MIN(AC$38,$D$19),$P$20))-SUM($P1196:AB1196)</f>
        <v>#VALUE!</v>
      </c>
      <c r="AD1196" s="446" t="e">
        <f>IF(OR($B1196="",MIN(AD$38,$D$19)&lt;MAX($P$708*($B1196+IF($R$17="Distrato",$I$38-1,0)),IF(AND($L$711=0,$P$708=0),"",$L$711-1),IF($R$17="Distrato",$E1196,0))),0,YEARFRAC(MAX($P$708*($B1196+IF($R$17="Distrato",$I$38-1,0)),IF(AND($L$711=0,$P$708=0),"",$L$711-1),IF($R$17="Distrato",$E1196,0)),MIN(AD$38,$D$19),$P$20))-SUM($P1196:AC1196)</f>
        <v>#VALUE!</v>
      </c>
      <c r="AE1196" s="446" t="e">
        <f>IF(OR($B1196="",MIN(AE$38,$D$19)&lt;MAX($P$708*($B1196+IF($R$17="Distrato",$I$38-1,0)),IF(AND($L$711=0,$P$708=0),"",$L$711-1),IF($R$17="Distrato",$E1196,0))),0,YEARFRAC(MAX($P$708*($B1196+IF($R$17="Distrato",$I$38-1,0)),IF(AND($L$711=0,$P$708=0),"",$L$711-1),IF($R$17="Distrato",$E1196,0)),MIN(AE$38,$D$19),$P$20))-SUM($P1196:AD1196)</f>
        <v>#VALUE!</v>
      </c>
      <c r="AF1196" s="446" t="e">
        <f>IF(OR($B1196="",MIN(AF$38,$D$19)&lt;MAX($P$708*($B1196+IF($R$17="Distrato",$I$38-1,0)),IF(AND($L$711=0,$P$708=0),"",$L$711-1),IF($R$17="Distrato",$E1196,0))),0,YEARFRAC(MAX($P$708*($B1196+IF($R$17="Distrato",$I$38-1,0)),IF(AND($L$711=0,$P$708=0),"",$L$711-1),IF($R$17="Distrato",$E1196,0)),MIN(AF$38,$D$19),$P$20))-SUM($P1196:AE1196)</f>
        <v>#VALUE!</v>
      </c>
      <c r="AG1196" s="446" t="e">
        <f>IF(OR($B1196="",MIN(AG$38,$D$19)&lt;MAX($P$708*($B1196+IF($R$17="Distrato",$I$38-1,0)),IF(AND($L$711=0,$P$708=0),"",$L$711-1),IF($R$17="Distrato",$E1196,0))),0,YEARFRAC(MAX($P$708*($B1196+IF($R$17="Distrato",$I$38-1,0)),IF(AND($L$711=0,$P$708=0),"",$L$711-1),IF($R$17="Distrato",$E1196,0)),MIN(AG$38,$D$19),$P$20))-SUM($P1196:AF1196)</f>
        <v>#VALUE!</v>
      </c>
      <c r="AH1196" s="446" t="e">
        <f>IF(OR($B1196="",MIN(AH$38,$D$19)&lt;MAX($P$708*($B1196+IF($R$17="Distrato",$I$38-1,0)),IF(AND($L$711=0,$P$708=0),"",$L$711-1),IF($R$17="Distrato",$E1196,0))),0,YEARFRAC(MAX($P$708*($B1196+IF($R$17="Distrato",$I$38-1,0)),IF(AND($L$711=0,$P$708=0),"",$L$711-1),IF($R$17="Distrato",$E1196,0)),MIN(AH$38,$D$19),$P$20))-SUM($P1196:AG1196)</f>
        <v>#VALUE!</v>
      </c>
      <c r="AI1196" s="446" t="e">
        <f>IF(OR($B1196="",MIN(AI$38,$D$19)&lt;MAX($P$708*($B1196+IF($R$17="Distrato",$I$38-1,0)),IF(AND($L$711=0,$P$708=0),"",$L$711-1),IF($R$17="Distrato",$E1196,0))),0,YEARFRAC(MAX($P$708*($B1196+IF($R$17="Distrato",$I$38-1,0)),IF(AND($L$711=0,$P$708=0),"",$L$711-1),IF($R$17="Distrato",$E1196,0)),MIN(AI$38,$D$19),$P$20))-SUM($P1196:AH1196)</f>
        <v>#VALUE!</v>
      </c>
      <c r="AJ1196" s="446" t="e">
        <f>IF(OR($B1196="",MIN(AJ$38,$D$19)&lt;MAX($P$708*($B1196+IF($R$17="Distrato",$I$38-1,0)),IF(AND($L$711=0,$P$708=0),"",$L$711-1),IF($R$17="Distrato",$E1196,0))),0,YEARFRAC(MAX($P$708*($B1196+IF($R$17="Distrato",$I$38-1,0)),IF(AND($L$711=0,$P$708=0),"",$L$711-1),IF($R$17="Distrato",$E1196,0)),MIN(AJ$38,$D$19),$P$20))-SUM($P1196:AI1196)</f>
        <v>#VALUE!</v>
      </c>
      <c r="AK1196" s="446" t="e">
        <f>IF(OR($B1196="",MIN(AK$38,$D$19)&lt;MAX($P$708*($B1196+IF($R$17="Distrato",$I$38-1,0)),IF(AND($L$711=0,$P$708=0),"",$L$711-1),IF($R$17="Distrato",$E1196,0))),0,YEARFRAC(MAX($P$708*($B1196+IF($R$17="Distrato",$I$38-1,0)),IF(AND($L$711=0,$P$708=0),"",$L$711-1),IF($R$17="Distrato",$E1196,0)),MIN(AK$38,$D$19),$P$20))-SUM($P1196:AJ1196)</f>
        <v>#VALUE!</v>
      </c>
      <c r="AL1196" s="446" t="e">
        <f>IF(OR($B1196="",MIN(AL$38,$D$19)&lt;MAX($P$708*($B1196+IF($R$17="Distrato",$I$38-1,0)),IF(AND($L$711=0,$P$708=0),"",$L$711-1),IF($R$17="Distrato",$E1196,0))),0,YEARFRAC(MAX($P$708*($B1196+IF($R$17="Distrato",$I$38-1,0)),IF(AND($L$711=0,$P$708=0),"",$L$711-1),IF($R$17="Distrato",$E1196,0)),MIN(AL$38,$D$19),$P$20))-SUM($P1196:AK1196)</f>
        <v>#VALUE!</v>
      </c>
      <c r="AM1196" s="446" t="e">
        <f>IF(OR($B1196="",MIN(AM$38,$D$19)&lt;MAX($P$708*($B1196+IF($R$17="Distrato",$I$38-1,0)),IF(AND($L$711=0,$P$708=0),"",$L$711-1),IF($R$17="Distrato",$E1196,0))),0,YEARFRAC(MAX($P$708*($B1196+IF($R$17="Distrato",$I$38-1,0)),IF(AND($L$711=0,$P$708=0),"",$L$711-1),IF($R$17="Distrato",$E1196,0)),MIN(AM$38,$D$19),$P$20))-SUM($P1196:AL1196)</f>
        <v>#VALUE!</v>
      </c>
      <c r="AN1196" s="446" t="e">
        <f>IF(OR($B1196="",MIN(AN$38,$D$19)&lt;MAX($P$708*($B1196+IF($R$17="Distrato",$I$38-1,0)),IF(AND($L$711=0,$P$708=0),"",$L$711-1),IF($R$17="Distrato",$E1196,0))),0,YEARFRAC(MAX($P$708*($B1196+IF($R$17="Distrato",$I$38-1,0)),IF(AND($L$711=0,$P$708=0),"",$L$711-1),IF($R$17="Distrato",$E1196,0)),MIN(AN$38,$D$19),$P$20))-SUM($P1196:AM1196)</f>
        <v>#VALUE!</v>
      </c>
      <c r="AO1196" s="446" t="e">
        <f>IF(OR($B1196="",MIN(AO$38,$D$19)&lt;MAX($P$708*($B1196+IF($R$17="Distrato",$I$38-1,0)),IF(AND($L$711=0,$P$708=0),"",$L$711-1),IF($R$17="Distrato",$E1196,0))),0,YEARFRAC(MAX($P$708*($B1196+IF($R$17="Distrato",$I$38-1,0)),IF(AND($L$711=0,$P$708=0),"",$L$711-1),IF($R$17="Distrato",$E1196,0)),MIN(AO$38,$D$19),$P$20))-SUM($P1196:AN1196)</f>
        <v>#VALUE!</v>
      </c>
      <c r="AP1196" s="446" t="e">
        <f>IF(OR($B1196="",MIN(AP$38,$D$19)&lt;MAX($P$708*($B1196+IF($R$17="Distrato",$I$38-1,0)),IF(AND($L$711=0,$P$708=0),"",$L$711-1),IF($R$17="Distrato",$E1196,0))),0,YEARFRAC(MAX($P$708*($B1196+IF($R$17="Distrato",$I$38-1,0)),IF(AND($L$711=0,$P$708=0),"",$L$711-1),IF($R$17="Distrato",$E1196,0)),MIN(AP$38,$D$19),$P$20))-SUM($P1196:AO1196)</f>
        <v>#VALUE!</v>
      </c>
      <c r="AQ1196" s="446" t="e">
        <f>IF(OR($B1196="",MIN(AQ$38,$D$19)&lt;MAX($P$708*($B1196+IF($R$17="Distrato",$I$38-1,0)),IF(AND($L$711=0,$P$708=0),"",$L$711-1),IF($R$17="Distrato",$E1196,0))),0,YEARFRAC(MAX($P$708*($B1196+IF($R$17="Distrato",$I$38-1,0)),IF(AND($L$711=0,$P$708=0),"",$L$711-1),IF($R$17="Distrato",$E1196,0)),MIN(AQ$38,$D$19),$P$20))-SUM($P1196:AP1196)</f>
        <v>#VALUE!</v>
      </c>
      <c r="AR1196" s="446" t="e">
        <f>IF(OR($B1196="",MIN(AR$38,$D$19)&lt;MAX($P$708*($B1196+IF($R$17="Distrato",$I$38-1,0)),IF(AND($L$711=0,$P$708=0),"",$L$711-1),IF($R$17="Distrato",$E1196,0))),0,YEARFRAC(MAX($P$708*($B1196+IF($R$17="Distrato",$I$38-1,0)),IF(AND($L$711=0,$P$708=0),"",$L$711-1),IF($R$17="Distrato",$E1196,0)),MIN(AR$38,$D$19),$P$20))-SUM($P1196:AQ1196)</f>
        <v>#VALUE!</v>
      </c>
      <c r="AS1196" s="446" t="e">
        <f>IF(OR($B1196="",MIN(AS$38,$D$19)&lt;MAX($P$708*($B1196+IF($R$17="Distrato",$I$38-1,0)),IF(AND($L$711=0,$P$708=0),"",$L$711-1),IF($R$17="Distrato",$E1196,0))),0,YEARFRAC(MAX($P$708*($B1196+IF($R$17="Distrato",$I$38-1,0)),IF(AND($L$711=0,$P$708=0),"",$L$711-1),IF($R$17="Distrato",$E1196,0)),MIN(AS$38,$D$19),$P$20))-SUM($P1196:AR1196)</f>
        <v>#VALUE!</v>
      </c>
      <c r="AT1196" s="446" t="e">
        <f>IF(OR($B1196="",MIN(AT$38,$D$19)&lt;MAX($P$708*($B1196+IF($R$17="Distrato",$I$38-1,0)),IF(AND($L$711=0,$P$708=0),"",$L$711-1),IF($R$17="Distrato",$E1196,0))),0,YEARFRAC(MAX($P$708*($B1196+IF($R$17="Distrato",$I$38-1,0)),IF(AND($L$711=0,$P$708=0),"",$L$711-1),IF($R$17="Distrato",$E1196,0)),MIN(AT$38,$D$19),$P$20))-SUM($P1196:AS1196)</f>
        <v>#VALUE!</v>
      </c>
      <c r="AU1196" s="446" t="e">
        <f>IF(OR($B1196="",MIN(AU$38,$D$19)&lt;MAX($P$708*($B1196+IF($R$17="Distrato",$I$38-1,0)),IF(AND($L$711=0,$P$708=0),"",$L$711-1),IF($R$17="Distrato",$E1196,0))),0,YEARFRAC(MAX($P$708*($B1196+IF($R$17="Distrato",$I$38-1,0)),IF(AND($L$711=0,$P$708=0),"",$L$711-1),IF($R$17="Distrato",$E1196,0)),MIN(AU$38,$D$19),$P$20))-SUM($P1196:AT1196)</f>
        <v>#VALUE!</v>
      </c>
      <c r="AV1196" s="446" t="e">
        <f>IF(OR($B1196="",MIN(AV$38,$D$19)&lt;MAX($P$708*($B1196+IF($R$17="Distrato",$I$38-1,0)),IF(AND($L$711=0,$P$708=0),"",$L$711-1),IF($R$17="Distrato",$E1196,0))),0,YEARFRAC(MAX($P$708*($B1196+IF($R$17="Distrato",$I$38-1,0)),IF(AND($L$711=0,$P$708=0),"",$L$711-1),IF($R$17="Distrato",$E1196,0)),MIN(AV$38,$D$19),$P$20))-SUM($P1196:AU1196)</f>
        <v>#VALUE!</v>
      </c>
      <c r="AW1196" s="446" t="e">
        <f>IF(OR($B1196="",MIN(AW$38,$D$19)&lt;MAX($P$708*($B1196+IF($R$17="Distrato",$I$38-1,0)),IF(AND($L$711=0,$P$708=0),"",$L$711-1),IF($R$17="Distrato",$E1196,0))),0,YEARFRAC(MAX($P$708*($B1196+IF($R$17="Distrato",$I$38-1,0)),IF(AND($L$711=0,$P$708=0),"",$L$711-1),IF($R$17="Distrato",$E1196,0)),MIN(AW$38,$D$19),$P$20))-SUM($P1196:AV1196)</f>
        <v>#VALUE!</v>
      </c>
      <c r="AX1196" s="446" t="e">
        <f>IF(OR($B1196="",MIN(AX$38,$D$19)&lt;MAX($P$708*($B1196+IF($R$17="Distrato",$I$38-1,0)),IF(AND($L$711=0,$P$708=0),"",$L$711-1),IF($R$17="Distrato",$E1196,0))),0,YEARFRAC(MAX($P$708*($B1196+IF($R$17="Distrato",$I$38-1,0)),IF(AND($L$711=0,$P$708=0),"",$L$711-1),IF($R$17="Distrato",$E1196,0)),MIN(AX$38,$D$19),$P$20))-SUM($P1196:AW1196)</f>
        <v>#VALUE!</v>
      </c>
      <c r="AY1196" s="446" t="e">
        <f>IF(OR($B1196="",MIN(AY$38,$D$19)&lt;MAX($P$708*($B1196+IF($R$17="Distrato",$I$38-1,0)),IF(AND($L$711=0,$P$708=0),"",$L$711-1),IF($R$17="Distrato",$E1196,0))),0,YEARFRAC(MAX($P$708*($B1196+IF($R$17="Distrato",$I$38-1,0)),IF(AND($L$711=0,$P$708=0),"",$L$711-1),IF($R$17="Distrato",$E1196,0)),MIN(AY$38,$D$19),$P$20))-SUM($P1196:AX1196)</f>
        <v>#VALUE!</v>
      </c>
      <c r="AZ1196" s="446" t="e">
        <f>IF(OR($B1196="",MIN(AZ$38,$D$19)&lt;MAX($P$708*($B1196+IF($R$17="Distrato",$I$38-1,0)),IF(AND($L$711=0,$P$708=0),"",$L$711-1),IF($R$17="Distrato",$E1196,0))),0,YEARFRAC(MAX($P$708*($B1196+IF($R$17="Distrato",$I$38-1,0)),IF(AND($L$711=0,$P$708=0),"",$L$711-1),IF($R$17="Distrato",$E1196,0)),MIN(AZ$38,$D$19),$P$20))-SUM($P1196:AY1196)</f>
        <v>#VALUE!</v>
      </c>
      <c r="BA1196" s="446" t="e">
        <f>IF(OR($B1196="",MIN(BA$38,$D$19)&lt;MAX($P$708*($B1196+IF($R$17="Distrato",$I$38-1,0)),IF(AND($L$711=0,$P$708=0),"",$L$711-1),IF($R$17="Distrato",$E1196,0))),0,YEARFRAC(MAX($P$708*($B1196+IF($R$17="Distrato",$I$38-1,0)),IF(AND($L$711=0,$P$708=0),"",$L$711-1),IF($R$17="Distrato",$E1196,0)),MIN(BA$38,$D$19),$P$20))-SUM($P1196:AZ1196)</f>
        <v>#VALUE!</v>
      </c>
      <c r="BB1196" s="447"/>
    </row>
    <row r="1197" spans="1:54" s="446" customFormat="1" ht="11.25" hidden="1" customHeight="1" x14ac:dyDescent="0.2">
      <c r="A1197" s="235"/>
      <c r="B1197" s="236"/>
      <c r="C1197" s="29" t="str">
        <f>IF(B1197="","",IF($L$709=$BL$25,VLOOKUP(DATE(YEAR($D$19),MONTH($D$19)-1,1),ÍNDICES!$A:$DE,HLOOKUP($BL$25,ÍNDICES!$B$3:$T$4,2)+11)-VLOOKUP(B1197,ÍNDICES!$A:$DE,HLOOKUP($BL$25,ÍNDICES!$B$3:$T$4,2)+11)+1%,IF(C$712=$W$26,$J$35,IF(ISERROR(IF(B1197&gt;$D$19,1,VLOOKUP(DATE(YEAR(B1197),MONTH(B1197)+IF($C$709=$S$23,1,0),1),ÍNDICES!$A:$DE,$Z$709+1))),"",IF(B1197&gt;$D$19,1,VLOOKUP(DATE(YEAR(B1197),MONTH(B1197)+IF($C$709=$S$23,1,0),1),ÍNDICES!$A:$DE,$Z$709+1))))))</f>
        <v/>
      </c>
      <c r="D1197" s="155"/>
      <c r="E1197" s="88"/>
      <c r="F1197" s="88"/>
      <c r="G1197" s="88"/>
      <c r="H1197" s="118"/>
      <c r="I1197" s="182">
        <f t="shared" si="164"/>
        <v>0</v>
      </c>
      <c r="J1197" s="20">
        <f t="shared" ca="1" si="165"/>
        <v>0</v>
      </c>
      <c r="K1197" s="5">
        <f t="shared" ca="1" si="166"/>
        <v>0</v>
      </c>
      <c r="L1197" s="61">
        <f t="shared" ca="1" si="167"/>
        <v>0</v>
      </c>
      <c r="M1197" s="64">
        <f t="shared" si="168"/>
        <v>0</v>
      </c>
      <c r="N1197" s="151"/>
      <c r="O1197" s="5">
        <f t="shared" ca="1" si="169"/>
        <v>0</v>
      </c>
      <c r="P1197" s="446" t="e">
        <f t="shared" si="170"/>
        <v>#VALUE!</v>
      </c>
      <c r="Q1197" s="446" t="e">
        <f>IF(OR($B1197="",MIN(Q$38,$D$19)&lt;MAX($P$708*($B1197+IF($R$17="Distrato",$I$38-1,0)),IF(AND($L$711=0,$P$708=0),"",$L$711-1),IF($R$17="Distrato",$E1197,0))),0,YEARFRAC(MAX($P$708*($B1197+IF($R$17="Distrato",$I$38-1,0)),IF(AND($L$711=0,$P$708=0),"",$L$711-1),IF($R$17="Distrato",$E1197,0)),MIN(Q$38,$D$19),$P$20))-SUM($P1197:P1197)</f>
        <v>#VALUE!</v>
      </c>
      <c r="R1197" s="446" t="e">
        <f>IF(OR($B1197="",MIN(R$38,$D$19)&lt;MAX($P$708*($B1197+IF($R$17="Distrato",$I$38-1,0)),IF(AND($L$711=0,$P$708=0),"",$L$711-1),IF($R$17="Distrato",$E1197,0))),0,YEARFRAC(MAX($P$708*($B1197+IF($R$17="Distrato",$I$38-1,0)),IF(AND($L$711=0,$P$708=0),"",$L$711-1),IF($R$17="Distrato",$E1197,0)),MIN(R$38,$D$19),$P$20))-SUM($P1197:Q1197)</f>
        <v>#VALUE!</v>
      </c>
      <c r="S1197" s="446" t="e">
        <f>IF(OR($B1197="",MIN(S$38,$D$19)&lt;MAX($P$708*($B1197+IF($R$17="Distrato",$I$38-1,0)),IF(AND($L$711=0,$P$708=0),"",$L$711-1),IF($R$17="Distrato",$E1197,0))),0,YEARFRAC(MAX($P$708*($B1197+IF($R$17="Distrato",$I$38-1,0)),IF(AND($L$711=0,$P$708=0),"",$L$711-1),IF($R$17="Distrato",$E1197,0)),MIN(S$38,$D$19),$P$20))-SUM($P1197:R1197)</f>
        <v>#VALUE!</v>
      </c>
      <c r="T1197" s="446" t="e">
        <f>IF(OR($B1197="",MIN(T$38,$D$19)&lt;MAX($P$708*($B1197+IF($R$17="Distrato",$I$38-1,0)),IF(AND($L$711=0,$P$708=0),"",$L$711-1),IF($R$17="Distrato",$E1197,0))),0,YEARFRAC(MAX($P$708*($B1197+IF($R$17="Distrato",$I$38-1,0)),IF(AND($L$711=0,$P$708=0),"",$L$711-1),IF($R$17="Distrato",$E1197,0)),MIN(T$38,$D$19),$P$20))-SUM($P1197:S1197)</f>
        <v>#VALUE!</v>
      </c>
      <c r="U1197" s="446" t="e">
        <f>IF(OR($B1197="",MIN(U$38,$D$19)&lt;MAX($P$708*($B1197+IF($R$17="Distrato",$I$38-1,0)),IF(AND($L$711=0,$P$708=0),"",$L$711-1),IF($R$17="Distrato",$E1197,0))),0,YEARFRAC(MAX($P$708*($B1197+IF($R$17="Distrato",$I$38-1,0)),IF(AND($L$711=0,$P$708=0),"",$L$711-1),IF($R$17="Distrato",$E1197,0)),MIN(U$38,$D$19),$P$20))-SUM($P1197:T1197)</f>
        <v>#VALUE!</v>
      </c>
      <c r="V1197" s="446" t="e">
        <f>IF(OR($B1197="",MIN(V$38,$D$19)&lt;MAX($P$708*($B1197+IF($R$17="Distrato",$I$38-1,0)),IF(AND($L$711=0,$P$708=0),"",$L$711-1),IF($R$17="Distrato",$E1197,0))),0,YEARFRAC(MAX($P$708*($B1197+IF($R$17="Distrato",$I$38-1,0)),IF(AND($L$711=0,$P$708=0),"",$L$711-1),IF($R$17="Distrato",$E1197,0)),MIN(V$38,$D$19),$P$20))-SUM($P1197:U1197)</f>
        <v>#VALUE!</v>
      </c>
      <c r="W1197" s="446" t="e">
        <f>IF(OR($B1197="",MIN(W$38,$D$19)&lt;MAX($P$708*($B1197+IF($R$17="Distrato",$I$38-1,0)),IF(AND($L$711=0,$P$708=0),"",$L$711-1),IF($R$17="Distrato",$E1197,0))),0,YEARFRAC(MAX($P$708*($B1197+IF($R$17="Distrato",$I$38-1,0)),IF(AND($L$711=0,$P$708=0),"",$L$711-1),IF($R$17="Distrato",$E1197,0)),MIN(W$38,$D$19),$P$20))-SUM($P1197:V1197)</f>
        <v>#VALUE!</v>
      </c>
      <c r="X1197" s="446" t="e">
        <f>IF(OR($B1197="",MIN(X$38,$D$19)&lt;MAX($P$708*($B1197+IF($R$17="Distrato",$I$38-1,0)),IF(AND($L$711=0,$P$708=0),"",$L$711-1),IF($R$17="Distrato",$E1197,0))),0,YEARFRAC(MAX($P$708*($B1197+IF($R$17="Distrato",$I$38-1,0)),IF(AND($L$711=0,$P$708=0),"",$L$711-1),IF($R$17="Distrato",$E1197,0)),MIN(X$38,$D$19),$P$20))-SUM($P1197:W1197)</f>
        <v>#VALUE!</v>
      </c>
      <c r="Y1197" s="446" t="e">
        <f>IF(OR($B1197="",MIN(Y$38,$D$19)&lt;MAX($P$708*($B1197+IF($R$17="Distrato",$I$38-1,0)),IF(AND($L$711=0,$P$708=0),"",$L$711-1),IF($R$17="Distrato",$E1197,0))),0,YEARFRAC(MAX($P$708*($B1197+IF($R$17="Distrato",$I$38-1,0)),IF(AND($L$711=0,$P$708=0),"",$L$711-1),IF($R$17="Distrato",$E1197,0)),MIN(Y$38,$D$19),$P$20))-SUM($P1197:X1197)</f>
        <v>#VALUE!</v>
      </c>
      <c r="Z1197" s="446" t="e">
        <f>IF(OR($B1197="",MIN(Z$38,$D$19)&lt;MAX($P$708*($B1197+IF($R$17="Distrato",$I$38-1,0)),IF(AND($L$711=0,$P$708=0),"",$L$711-1),IF($R$17="Distrato",$E1197,0))),0,YEARFRAC(MAX($P$708*($B1197+IF($R$17="Distrato",$I$38-1,0)),IF(AND($L$711=0,$P$708=0),"",$L$711-1),IF($R$17="Distrato",$E1197,0)),MIN(Z$38,$D$19),$P$20))-SUM($P1197:Y1197)</f>
        <v>#VALUE!</v>
      </c>
      <c r="AA1197" s="446" t="e">
        <f>IF(OR($B1197="",MIN(AA$38,$D$19)&lt;MAX($P$708*($B1197+IF($R$17="Distrato",$I$38-1,0)),IF(AND($L$711=0,$P$708=0),"",$L$711-1),IF($R$17="Distrato",$E1197,0))),0,YEARFRAC(MAX($P$708*($B1197+IF($R$17="Distrato",$I$38-1,0)),IF(AND($L$711=0,$P$708=0),"",$L$711-1),IF($R$17="Distrato",$E1197,0)),MIN(AA$38,$D$19),$P$20))-SUM($P1197:Z1197)</f>
        <v>#VALUE!</v>
      </c>
      <c r="AB1197" s="446" t="e">
        <f>IF(OR($B1197="",MIN(AB$38,$D$19)&lt;MAX($P$708*($B1197+IF($R$17="Distrato",$I$38-1,0)),IF(AND($L$711=0,$P$708=0),"",$L$711-1),IF($R$17="Distrato",$E1197,0))),0,YEARFRAC(MAX($P$708*($B1197+IF($R$17="Distrato",$I$38-1,0)),IF(AND($L$711=0,$P$708=0),"",$L$711-1),IF($R$17="Distrato",$E1197,0)),MIN(AB$38,$D$19),$P$20))-SUM($P1197:AA1197)</f>
        <v>#VALUE!</v>
      </c>
      <c r="AC1197" s="446" t="e">
        <f>IF(OR($B1197="",MIN(AC$38,$D$19)&lt;MAX($P$708*($B1197+IF($R$17="Distrato",$I$38-1,0)),IF(AND($L$711=0,$P$708=0),"",$L$711-1),IF($R$17="Distrato",$E1197,0))),0,YEARFRAC(MAX($P$708*($B1197+IF($R$17="Distrato",$I$38-1,0)),IF(AND($L$711=0,$P$708=0),"",$L$711-1),IF($R$17="Distrato",$E1197,0)),MIN(AC$38,$D$19),$P$20))-SUM($P1197:AB1197)</f>
        <v>#VALUE!</v>
      </c>
      <c r="AD1197" s="446" t="e">
        <f>IF(OR($B1197="",MIN(AD$38,$D$19)&lt;MAX($P$708*($B1197+IF($R$17="Distrato",$I$38-1,0)),IF(AND($L$711=0,$P$708=0),"",$L$711-1),IF($R$17="Distrato",$E1197,0))),0,YEARFRAC(MAX($P$708*($B1197+IF($R$17="Distrato",$I$38-1,0)),IF(AND($L$711=0,$P$708=0),"",$L$711-1),IF($R$17="Distrato",$E1197,0)),MIN(AD$38,$D$19),$P$20))-SUM($P1197:AC1197)</f>
        <v>#VALUE!</v>
      </c>
      <c r="AE1197" s="446" t="e">
        <f>IF(OR($B1197="",MIN(AE$38,$D$19)&lt;MAX($P$708*($B1197+IF($R$17="Distrato",$I$38-1,0)),IF(AND($L$711=0,$P$708=0),"",$L$711-1),IF($R$17="Distrato",$E1197,0))),0,YEARFRAC(MAX($P$708*($B1197+IF($R$17="Distrato",$I$38-1,0)),IF(AND($L$711=0,$P$708=0),"",$L$711-1),IF($R$17="Distrato",$E1197,0)),MIN(AE$38,$D$19),$P$20))-SUM($P1197:AD1197)</f>
        <v>#VALUE!</v>
      </c>
      <c r="AF1197" s="446" t="e">
        <f>IF(OR($B1197="",MIN(AF$38,$D$19)&lt;MAX($P$708*($B1197+IF($R$17="Distrato",$I$38-1,0)),IF(AND($L$711=0,$P$708=0),"",$L$711-1),IF($R$17="Distrato",$E1197,0))),0,YEARFRAC(MAX($P$708*($B1197+IF($R$17="Distrato",$I$38-1,0)),IF(AND($L$711=0,$P$708=0),"",$L$711-1),IF($R$17="Distrato",$E1197,0)),MIN(AF$38,$D$19),$P$20))-SUM($P1197:AE1197)</f>
        <v>#VALUE!</v>
      </c>
      <c r="AG1197" s="446" t="e">
        <f>IF(OR($B1197="",MIN(AG$38,$D$19)&lt;MAX($P$708*($B1197+IF($R$17="Distrato",$I$38-1,0)),IF(AND($L$711=0,$P$708=0),"",$L$711-1),IF($R$17="Distrato",$E1197,0))),0,YEARFRAC(MAX($P$708*($B1197+IF($R$17="Distrato",$I$38-1,0)),IF(AND($L$711=0,$P$708=0),"",$L$711-1),IF($R$17="Distrato",$E1197,0)),MIN(AG$38,$D$19),$P$20))-SUM($P1197:AF1197)</f>
        <v>#VALUE!</v>
      </c>
      <c r="AH1197" s="446" t="e">
        <f>IF(OR($B1197="",MIN(AH$38,$D$19)&lt;MAX($P$708*($B1197+IF($R$17="Distrato",$I$38-1,0)),IF(AND($L$711=0,$P$708=0),"",$L$711-1),IF($R$17="Distrato",$E1197,0))),0,YEARFRAC(MAX($P$708*($B1197+IF($R$17="Distrato",$I$38-1,0)),IF(AND($L$711=0,$P$708=0),"",$L$711-1),IF($R$17="Distrato",$E1197,0)),MIN(AH$38,$D$19),$P$20))-SUM($P1197:AG1197)</f>
        <v>#VALUE!</v>
      </c>
      <c r="AI1197" s="446" t="e">
        <f>IF(OR($B1197="",MIN(AI$38,$D$19)&lt;MAX($P$708*($B1197+IF($R$17="Distrato",$I$38-1,0)),IF(AND($L$711=0,$P$708=0),"",$L$711-1),IF($R$17="Distrato",$E1197,0))),0,YEARFRAC(MAX($P$708*($B1197+IF($R$17="Distrato",$I$38-1,0)),IF(AND($L$711=0,$P$708=0),"",$L$711-1),IF($R$17="Distrato",$E1197,0)),MIN(AI$38,$D$19),$P$20))-SUM($P1197:AH1197)</f>
        <v>#VALUE!</v>
      </c>
      <c r="AJ1197" s="446" t="e">
        <f>IF(OR($B1197="",MIN(AJ$38,$D$19)&lt;MAX($P$708*($B1197+IF($R$17="Distrato",$I$38-1,0)),IF(AND($L$711=0,$P$708=0),"",$L$711-1),IF($R$17="Distrato",$E1197,0))),0,YEARFRAC(MAX($P$708*($B1197+IF($R$17="Distrato",$I$38-1,0)),IF(AND($L$711=0,$P$708=0),"",$L$711-1),IF($R$17="Distrato",$E1197,0)),MIN(AJ$38,$D$19),$P$20))-SUM($P1197:AI1197)</f>
        <v>#VALUE!</v>
      </c>
      <c r="AK1197" s="446" t="e">
        <f>IF(OR($B1197="",MIN(AK$38,$D$19)&lt;MAX($P$708*($B1197+IF($R$17="Distrato",$I$38-1,0)),IF(AND($L$711=0,$P$708=0),"",$L$711-1),IF($R$17="Distrato",$E1197,0))),0,YEARFRAC(MAX($P$708*($B1197+IF($R$17="Distrato",$I$38-1,0)),IF(AND($L$711=0,$P$708=0),"",$L$711-1),IF($R$17="Distrato",$E1197,0)),MIN(AK$38,$D$19),$P$20))-SUM($P1197:AJ1197)</f>
        <v>#VALUE!</v>
      </c>
      <c r="AL1197" s="446" t="e">
        <f>IF(OR($B1197="",MIN(AL$38,$D$19)&lt;MAX($P$708*($B1197+IF($R$17="Distrato",$I$38-1,0)),IF(AND($L$711=0,$P$708=0),"",$L$711-1),IF($R$17="Distrato",$E1197,0))),0,YEARFRAC(MAX($P$708*($B1197+IF($R$17="Distrato",$I$38-1,0)),IF(AND($L$711=0,$P$708=0),"",$L$711-1),IF($R$17="Distrato",$E1197,0)),MIN(AL$38,$D$19),$P$20))-SUM($P1197:AK1197)</f>
        <v>#VALUE!</v>
      </c>
      <c r="AM1197" s="446" t="e">
        <f>IF(OR($B1197="",MIN(AM$38,$D$19)&lt;MAX($P$708*($B1197+IF($R$17="Distrato",$I$38-1,0)),IF(AND($L$711=0,$P$708=0),"",$L$711-1),IF($R$17="Distrato",$E1197,0))),0,YEARFRAC(MAX($P$708*($B1197+IF($R$17="Distrato",$I$38-1,0)),IF(AND($L$711=0,$P$708=0),"",$L$711-1),IF($R$17="Distrato",$E1197,0)),MIN(AM$38,$D$19),$P$20))-SUM($P1197:AL1197)</f>
        <v>#VALUE!</v>
      </c>
      <c r="AN1197" s="446" t="e">
        <f>IF(OR($B1197="",MIN(AN$38,$D$19)&lt;MAX($P$708*($B1197+IF($R$17="Distrato",$I$38-1,0)),IF(AND($L$711=0,$P$708=0),"",$L$711-1),IF($R$17="Distrato",$E1197,0))),0,YEARFRAC(MAX($P$708*($B1197+IF($R$17="Distrato",$I$38-1,0)),IF(AND($L$711=0,$P$708=0),"",$L$711-1),IF($R$17="Distrato",$E1197,0)),MIN(AN$38,$D$19),$P$20))-SUM($P1197:AM1197)</f>
        <v>#VALUE!</v>
      </c>
      <c r="AO1197" s="446" t="e">
        <f>IF(OR($B1197="",MIN(AO$38,$D$19)&lt;MAX($P$708*($B1197+IF($R$17="Distrato",$I$38-1,0)),IF(AND($L$711=0,$P$708=0),"",$L$711-1),IF($R$17="Distrato",$E1197,0))),0,YEARFRAC(MAX($P$708*($B1197+IF($R$17="Distrato",$I$38-1,0)),IF(AND($L$711=0,$P$708=0),"",$L$711-1),IF($R$17="Distrato",$E1197,0)),MIN(AO$38,$D$19),$P$20))-SUM($P1197:AN1197)</f>
        <v>#VALUE!</v>
      </c>
      <c r="AP1197" s="446" t="e">
        <f>IF(OR($B1197="",MIN(AP$38,$D$19)&lt;MAX($P$708*($B1197+IF($R$17="Distrato",$I$38-1,0)),IF(AND($L$711=0,$P$708=0),"",$L$711-1),IF($R$17="Distrato",$E1197,0))),0,YEARFRAC(MAX($P$708*($B1197+IF($R$17="Distrato",$I$38-1,0)),IF(AND($L$711=0,$P$708=0),"",$L$711-1),IF($R$17="Distrato",$E1197,0)),MIN(AP$38,$D$19),$P$20))-SUM($P1197:AO1197)</f>
        <v>#VALUE!</v>
      </c>
      <c r="AQ1197" s="446" t="e">
        <f>IF(OR($B1197="",MIN(AQ$38,$D$19)&lt;MAX($P$708*($B1197+IF($R$17="Distrato",$I$38-1,0)),IF(AND($L$711=0,$P$708=0),"",$L$711-1),IF($R$17="Distrato",$E1197,0))),0,YEARFRAC(MAX($P$708*($B1197+IF($R$17="Distrato",$I$38-1,0)),IF(AND($L$711=0,$P$708=0),"",$L$711-1),IF($R$17="Distrato",$E1197,0)),MIN(AQ$38,$D$19),$P$20))-SUM($P1197:AP1197)</f>
        <v>#VALUE!</v>
      </c>
      <c r="AR1197" s="446" t="e">
        <f>IF(OR($B1197="",MIN(AR$38,$D$19)&lt;MAX($P$708*($B1197+IF($R$17="Distrato",$I$38-1,0)),IF(AND($L$711=0,$P$708=0),"",$L$711-1),IF($R$17="Distrato",$E1197,0))),0,YEARFRAC(MAX($P$708*($B1197+IF($R$17="Distrato",$I$38-1,0)),IF(AND($L$711=0,$P$708=0),"",$L$711-1),IF($R$17="Distrato",$E1197,0)),MIN(AR$38,$D$19),$P$20))-SUM($P1197:AQ1197)</f>
        <v>#VALUE!</v>
      </c>
      <c r="AS1197" s="446" t="e">
        <f>IF(OR($B1197="",MIN(AS$38,$D$19)&lt;MAX($P$708*($B1197+IF($R$17="Distrato",$I$38-1,0)),IF(AND($L$711=0,$P$708=0),"",$L$711-1),IF($R$17="Distrato",$E1197,0))),0,YEARFRAC(MAX($P$708*($B1197+IF($R$17="Distrato",$I$38-1,0)),IF(AND($L$711=0,$P$708=0),"",$L$711-1),IF($R$17="Distrato",$E1197,0)),MIN(AS$38,$D$19),$P$20))-SUM($P1197:AR1197)</f>
        <v>#VALUE!</v>
      </c>
      <c r="AT1197" s="446" t="e">
        <f>IF(OR($B1197="",MIN(AT$38,$D$19)&lt;MAX($P$708*($B1197+IF($R$17="Distrato",$I$38-1,0)),IF(AND($L$711=0,$P$708=0),"",$L$711-1),IF($R$17="Distrato",$E1197,0))),0,YEARFRAC(MAX($P$708*($B1197+IF($R$17="Distrato",$I$38-1,0)),IF(AND($L$711=0,$P$708=0),"",$L$711-1),IF($R$17="Distrato",$E1197,0)),MIN(AT$38,$D$19),$P$20))-SUM($P1197:AS1197)</f>
        <v>#VALUE!</v>
      </c>
      <c r="AU1197" s="446" t="e">
        <f>IF(OR($B1197="",MIN(AU$38,$D$19)&lt;MAX($P$708*($B1197+IF($R$17="Distrato",$I$38-1,0)),IF(AND($L$711=0,$P$708=0),"",$L$711-1),IF($R$17="Distrato",$E1197,0))),0,YEARFRAC(MAX($P$708*($B1197+IF($R$17="Distrato",$I$38-1,0)),IF(AND($L$711=0,$P$708=0),"",$L$711-1),IF($R$17="Distrato",$E1197,0)),MIN(AU$38,$D$19),$P$20))-SUM($P1197:AT1197)</f>
        <v>#VALUE!</v>
      </c>
      <c r="AV1197" s="446" t="e">
        <f>IF(OR($B1197="",MIN(AV$38,$D$19)&lt;MAX($P$708*($B1197+IF($R$17="Distrato",$I$38-1,0)),IF(AND($L$711=0,$P$708=0),"",$L$711-1),IF($R$17="Distrato",$E1197,0))),0,YEARFRAC(MAX($P$708*($B1197+IF($R$17="Distrato",$I$38-1,0)),IF(AND($L$711=0,$P$708=0),"",$L$711-1),IF($R$17="Distrato",$E1197,0)),MIN(AV$38,$D$19),$P$20))-SUM($P1197:AU1197)</f>
        <v>#VALUE!</v>
      </c>
      <c r="AW1197" s="446" t="e">
        <f>IF(OR($B1197="",MIN(AW$38,$D$19)&lt;MAX($P$708*($B1197+IF($R$17="Distrato",$I$38-1,0)),IF(AND($L$711=0,$P$708=0),"",$L$711-1),IF($R$17="Distrato",$E1197,0))),0,YEARFRAC(MAX($P$708*($B1197+IF($R$17="Distrato",$I$38-1,0)),IF(AND($L$711=0,$P$708=0),"",$L$711-1),IF($R$17="Distrato",$E1197,0)),MIN(AW$38,$D$19),$P$20))-SUM($P1197:AV1197)</f>
        <v>#VALUE!</v>
      </c>
      <c r="AX1197" s="446" t="e">
        <f>IF(OR($B1197="",MIN(AX$38,$D$19)&lt;MAX($P$708*($B1197+IF($R$17="Distrato",$I$38-1,0)),IF(AND($L$711=0,$P$708=0),"",$L$711-1),IF($R$17="Distrato",$E1197,0))),0,YEARFRAC(MAX($P$708*($B1197+IF($R$17="Distrato",$I$38-1,0)),IF(AND($L$711=0,$P$708=0),"",$L$711-1),IF($R$17="Distrato",$E1197,0)),MIN(AX$38,$D$19),$P$20))-SUM($P1197:AW1197)</f>
        <v>#VALUE!</v>
      </c>
      <c r="AY1197" s="446" t="e">
        <f>IF(OR($B1197="",MIN(AY$38,$D$19)&lt;MAX($P$708*($B1197+IF($R$17="Distrato",$I$38-1,0)),IF(AND($L$711=0,$P$708=0),"",$L$711-1),IF($R$17="Distrato",$E1197,0))),0,YEARFRAC(MAX($P$708*($B1197+IF($R$17="Distrato",$I$38-1,0)),IF(AND($L$711=0,$P$708=0),"",$L$711-1),IF($R$17="Distrato",$E1197,0)),MIN(AY$38,$D$19),$P$20))-SUM($P1197:AX1197)</f>
        <v>#VALUE!</v>
      </c>
      <c r="AZ1197" s="446" t="e">
        <f>IF(OR($B1197="",MIN(AZ$38,$D$19)&lt;MAX($P$708*($B1197+IF($R$17="Distrato",$I$38-1,0)),IF(AND($L$711=0,$P$708=0),"",$L$711-1),IF($R$17="Distrato",$E1197,0))),0,YEARFRAC(MAX($P$708*($B1197+IF($R$17="Distrato",$I$38-1,0)),IF(AND($L$711=0,$P$708=0),"",$L$711-1),IF($R$17="Distrato",$E1197,0)),MIN(AZ$38,$D$19),$P$20))-SUM($P1197:AY1197)</f>
        <v>#VALUE!</v>
      </c>
      <c r="BA1197" s="446" t="e">
        <f>IF(OR($B1197="",MIN(BA$38,$D$19)&lt;MAX($P$708*($B1197+IF($R$17="Distrato",$I$38-1,0)),IF(AND($L$711=0,$P$708=0),"",$L$711-1),IF($R$17="Distrato",$E1197,0))),0,YEARFRAC(MAX($P$708*($B1197+IF($R$17="Distrato",$I$38-1,0)),IF(AND($L$711=0,$P$708=0),"",$L$711-1),IF($R$17="Distrato",$E1197,0)),MIN(BA$38,$D$19),$P$20))-SUM($P1197:AZ1197)</f>
        <v>#VALUE!</v>
      </c>
      <c r="BB1197" s="447"/>
    </row>
    <row r="1198" spans="1:54" s="446" customFormat="1" ht="11.25" hidden="1" customHeight="1" x14ac:dyDescent="0.2">
      <c r="A1198" s="235"/>
      <c r="B1198" s="236"/>
      <c r="C1198" s="29" t="str">
        <f>IF(B1198="","",IF($L$709=$BL$25,VLOOKUP(DATE(YEAR($D$19),MONTH($D$19)-1,1),ÍNDICES!$A:$DE,HLOOKUP($BL$25,ÍNDICES!$B$3:$T$4,2)+11)-VLOOKUP(B1198,ÍNDICES!$A:$DE,HLOOKUP($BL$25,ÍNDICES!$B$3:$T$4,2)+11)+1%,IF(C$712=$W$26,$J$35,IF(ISERROR(IF(B1198&gt;$D$19,1,VLOOKUP(DATE(YEAR(B1198),MONTH(B1198)+IF($C$709=$S$23,1,0),1),ÍNDICES!$A:$DE,$Z$709+1))),"",IF(B1198&gt;$D$19,1,VLOOKUP(DATE(YEAR(B1198),MONTH(B1198)+IF($C$709=$S$23,1,0),1),ÍNDICES!$A:$DE,$Z$709+1))))))</f>
        <v/>
      </c>
      <c r="D1198" s="155"/>
      <c r="E1198" s="88"/>
      <c r="F1198" s="88"/>
      <c r="G1198" s="88"/>
      <c r="H1198" s="118"/>
      <c r="I1198" s="182">
        <f t="shared" si="164"/>
        <v>0</v>
      </c>
      <c r="J1198" s="20">
        <f t="shared" ca="1" si="165"/>
        <v>0</v>
      </c>
      <c r="K1198" s="5">
        <f t="shared" ca="1" si="166"/>
        <v>0</v>
      </c>
      <c r="L1198" s="61">
        <f t="shared" ca="1" si="167"/>
        <v>0</v>
      </c>
      <c r="M1198" s="64">
        <f t="shared" si="168"/>
        <v>0</v>
      </c>
      <c r="N1198" s="151"/>
      <c r="O1198" s="5">
        <f t="shared" ca="1" si="169"/>
        <v>0</v>
      </c>
      <c r="P1198" s="446" t="e">
        <f t="shared" si="170"/>
        <v>#VALUE!</v>
      </c>
      <c r="Q1198" s="446" t="e">
        <f>IF(OR($B1198="",MIN(Q$38,$D$19)&lt;MAX($P$708*($B1198+IF($R$17="Distrato",$I$38-1,0)),IF(AND($L$711=0,$P$708=0),"",$L$711-1),IF($R$17="Distrato",$E1198,0))),0,YEARFRAC(MAX($P$708*($B1198+IF($R$17="Distrato",$I$38-1,0)),IF(AND($L$711=0,$P$708=0),"",$L$711-1),IF($R$17="Distrato",$E1198,0)),MIN(Q$38,$D$19),$P$20))-SUM($P1198:P1198)</f>
        <v>#VALUE!</v>
      </c>
      <c r="R1198" s="446" t="e">
        <f>IF(OR($B1198="",MIN(R$38,$D$19)&lt;MAX($P$708*($B1198+IF($R$17="Distrato",$I$38-1,0)),IF(AND($L$711=0,$P$708=0),"",$L$711-1),IF($R$17="Distrato",$E1198,0))),0,YEARFRAC(MAX($P$708*($B1198+IF($R$17="Distrato",$I$38-1,0)),IF(AND($L$711=0,$P$708=0),"",$L$711-1),IF($R$17="Distrato",$E1198,0)),MIN(R$38,$D$19),$P$20))-SUM($P1198:Q1198)</f>
        <v>#VALUE!</v>
      </c>
      <c r="S1198" s="446" t="e">
        <f>IF(OR($B1198="",MIN(S$38,$D$19)&lt;MAX($P$708*($B1198+IF($R$17="Distrato",$I$38-1,0)),IF(AND($L$711=0,$P$708=0),"",$L$711-1),IF($R$17="Distrato",$E1198,0))),0,YEARFRAC(MAX($P$708*($B1198+IF($R$17="Distrato",$I$38-1,0)),IF(AND($L$711=0,$P$708=0),"",$L$711-1),IF($R$17="Distrato",$E1198,0)),MIN(S$38,$D$19),$P$20))-SUM($P1198:R1198)</f>
        <v>#VALUE!</v>
      </c>
      <c r="T1198" s="446" t="e">
        <f>IF(OR($B1198="",MIN(T$38,$D$19)&lt;MAX($P$708*($B1198+IF($R$17="Distrato",$I$38-1,0)),IF(AND($L$711=0,$P$708=0),"",$L$711-1),IF($R$17="Distrato",$E1198,0))),0,YEARFRAC(MAX($P$708*($B1198+IF($R$17="Distrato",$I$38-1,0)),IF(AND($L$711=0,$P$708=0),"",$L$711-1),IF($R$17="Distrato",$E1198,0)),MIN(T$38,$D$19),$P$20))-SUM($P1198:S1198)</f>
        <v>#VALUE!</v>
      </c>
      <c r="U1198" s="446" t="e">
        <f>IF(OR($B1198="",MIN(U$38,$D$19)&lt;MAX($P$708*($B1198+IF($R$17="Distrato",$I$38-1,0)),IF(AND($L$711=0,$P$708=0),"",$L$711-1),IF($R$17="Distrato",$E1198,0))),0,YEARFRAC(MAX($P$708*($B1198+IF($R$17="Distrato",$I$38-1,0)),IF(AND($L$711=0,$P$708=0),"",$L$711-1),IF($R$17="Distrato",$E1198,0)),MIN(U$38,$D$19),$P$20))-SUM($P1198:T1198)</f>
        <v>#VALUE!</v>
      </c>
      <c r="V1198" s="446" t="e">
        <f>IF(OR($B1198="",MIN(V$38,$D$19)&lt;MAX($P$708*($B1198+IF($R$17="Distrato",$I$38-1,0)),IF(AND($L$711=0,$P$708=0),"",$L$711-1),IF($R$17="Distrato",$E1198,0))),0,YEARFRAC(MAX($P$708*($B1198+IF($R$17="Distrato",$I$38-1,0)),IF(AND($L$711=0,$P$708=0),"",$L$711-1),IF($R$17="Distrato",$E1198,0)),MIN(V$38,$D$19),$P$20))-SUM($P1198:U1198)</f>
        <v>#VALUE!</v>
      </c>
      <c r="W1198" s="446" t="e">
        <f>IF(OR($B1198="",MIN(W$38,$D$19)&lt;MAX($P$708*($B1198+IF($R$17="Distrato",$I$38-1,0)),IF(AND($L$711=0,$P$708=0),"",$L$711-1),IF($R$17="Distrato",$E1198,0))),0,YEARFRAC(MAX($P$708*($B1198+IF($R$17="Distrato",$I$38-1,0)),IF(AND($L$711=0,$P$708=0),"",$L$711-1),IF($R$17="Distrato",$E1198,0)),MIN(W$38,$D$19),$P$20))-SUM($P1198:V1198)</f>
        <v>#VALUE!</v>
      </c>
      <c r="X1198" s="446" t="e">
        <f>IF(OR($B1198="",MIN(X$38,$D$19)&lt;MAX($P$708*($B1198+IF($R$17="Distrato",$I$38-1,0)),IF(AND($L$711=0,$P$708=0),"",$L$711-1),IF($R$17="Distrato",$E1198,0))),0,YEARFRAC(MAX($P$708*($B1198+IF($R$17="Distrato",$I$38-1,0)),IF(AND($L$711=0,$P$708=0),"",$L$711-1),IF($R$17="Distrato",$E1198,0)),MIN(X$38,$D$19),$P$20))-SUM($P1198:W1198)</f>
        <v>#VALUE!</v>
      </c>
      <c r="Y1198" s="446" t="e">
        <f>IF(OR($B1198="",MIN(Y$38,$D$19)&lt;MAX($P$708*($B1198+IF($R$17="Distrato",$I$38-1,0)),IF(AND($L$711=0,$P$708=0),"",$L$711-1),IF($R$17="Distrato",$E1198,0))),0,YEARFRAC(MAX($P$708*($B1198+IF($R$17="Distrato",$I$38-1,0)),IF(AND($L$711=0,$P$708=0),"",$L$711-1),IF($R$17="Distrato",$E1198,0)),MIN(Y$38,$D$19),$P$20))-SUM($P1198:X1198)</f>
        <v>#VALUE!</v>
      </c>
      <c r="Z1198" s="446" t="e">
        <f>IF(OR($B1198="",MIN(Z$38,$D$19)&lt;MAX($P$708*($B1198+IF($R$17="Distrato",$I$38-1,0)),IF(AND($L$711=0,$P$708=0),"",$L$711-1),IF($R$17="Distrato",$E1198,0))),0,YEARFRAC(MAX($P$708*($B1198+IF($R$17="Distrato",$I$38-1,0)),IF(AND($L$711=0,$P$708=0),"",$L$711-1),IF($R$17="Distrato",$E1198,0)),MIN(Z$38,$D$19),$P$20))-SUM($P1198:Y1198)</f>
        <v>#VALUE!</v>
      </c>
      <c r="AA1198" s="446" t="e">
        <f>IF(OR($B1198="",MIN(AA$38,$D$19)&lt;MAX($P$708*($B1198+IF($R$17="Distrato",$I$38-1,0)),IF(AND($L$711=0,$P$708=0),"",$L$711-1),IF($R$17="Distrato",$E1198,0))),0,YEARFRAC(MAX($P$708*($B1198+IF($R$17="Distrato",$I$38-1,0)),IF(AND($L$711=0,$P$708=0),"",$L$711-1),IF($R$17="Distrato",$E1198,0)),MIN(AA$38,$D$19),$P$20))-SUM($P1198:Z1198)</f>
        <v>#VALUE!</v>
      </c>
      <c r="AB1198" s="446" t="e">
        <f>IF(OR($B1198="",MIN(AB$38,$D$19)&lt;MAX($P$708*($B1198+IF($R$17="Distrato",$I$38-1,0)),IF(AND($L$711=0,$P$708=0),"",$L$711-1),IF($R$17="Distrato",$E1198,0))),0,YEARFRAC(MAX($P$708*($B1198+IF($R$17="Distrato",$I$38-1,0)),IF(AND($L$711=0,$P$708=0),"",$L$711-1),IF($R$17="Distrato",$E1198,0)),MIN(AB$38,$D$19),$P$20))-SUM($P1198:AA1198)</f>
        <v>#VALUE!</v>
      </c>
      <c r="AC1198" s="446" t="e">
        <f>IF(OR($B1198="",MIN(AC$38,$D$19)&lt;MAX($P$708*($B1198+IF($R$17="Distrato",$I$38-1,0)),IF(AND($L$711=0,$P$708=0),"",$L$711-1),IF($R$17="Distrato",$E1198,0))),0,YEARFRAC(MAX($P$708*($B1198+IF($R$17="Distrato",$I$38-1,0)),IF(AND($L$711=0,$P$708=0),"",$L$711-1),IF($R$17="Distrato",$E1198,0)),MIN(AC$38,$D$19),$P$20))-SUM($P1198:AB1198)</f>
        <v>#VALUE!</v>
      </c>
      <c r="AD1198" s="446" t="e">
        <f>IF(OR($B1198="",MIN(AD$38,$D$19)&lt;MAX($P$708*($B1198+IF($R$17="Distrato",$I$38-1,0)),IF(AND($L$711=0,$P$708=0),"",$L$711-1),IF($R$17="Distrato",$E1198,0))),0,YEARFRAC(MAX($P$708*($B1198+IF($R$17="Distrato",$I$38-1,0)),IF(AND($L$711=0,$P$708=0),"",$L$711-1),IF($R$17="Distrato",$E1198,0)),MIN(AD$38,$D$19),$P$20))-SUM($P1198:AC1198)</f>
        <v>#VALUE!</v>
      </c>
      <c r="AE1198" s="446" t="e">
        <f>IF(OR($B1198="",MIN(AE$38,$D$19)&lt;MAX($P$708*($B1198+IF($R$17="Distrato",$I$38-1,0)),IF(AND($L$711=0,$P$708=0),"",$L$711-1),IF($R$17="Distrato",$E1198,0))),0,YEARFRAC(MAX($P$708*($B1198+IF($R$17="Distrato",$I$38-1,0)),IF(AND($L$711=0,$P$708=0),"",$L$711-1),IF($R$17="Distrato",$E1198,0)),MIN(AE$38,$D$19),$P$20))-SUM($P1198:AD1198)</f>
        <v>#VALUE!</v>
      </c>
      <c r="AF1198" s="446" t="e">
        <f>IF(OR($B1198="",MIN(AF$38,$D$19)&lt;MAX($P$708*($B1198+IF($R$17="Distrato",$I$38-1,0)),IF(AND($L$711=0,$P$708=0),"",$L$711-1),IF($R$17="Distrato",$E1198,0))),0,YEARFRAC(MAX($P$708*($B1198+IF($R$17="Distrato",$I$38-1,0)),IF(AND($L$711=0,$P$708=0),"",$L$711-1),IF($R$17="Distrato",$E1198,0)),MIN(AF$38,$D$19),$P$20))-SUM($P1198:AE1198)</f>
        <v>#VALUE!</v>
      </c>
      <c r="AG1198" s="446" t="e">
        <f>IF(OR($B1198="",MIN(AG$38,$D$19)&lt;MAX($P$708*($B1198+IF($R$17="Distrato",$I$38-1,0)),IF(AND($L$711=0,$P$708=0),"",$L$711-1),IF($R$17="Distrato",$E1198,0))),0,YEARFRAC(MAX($P$708*($B1198+IF($R$17="Distrato",$I$38-1,0)),IF(AND($L$711=0,$P$708=0),"",$L$711-1),IF($R$17="Distrato",$E1198,0)),MIN(AG$38,$D$19),$P$20))-SUM($P1198:AF1198)</f>
        <v>#VALUE!</v>
      </c>
      <c r="AH1198" s="446" t="e">
        <f>IF(OR($B1198="",MIN(AH$38,$D$19)&lt;MAX($P$708*($B1198+IF($R$17="Distrato",$I$38-1,0)),IF(AND($L$711=0,$P$708=0),"",$L$711-1),IF($R$17="Distrato",$E1198,0))),0,YEARFRAC(MAX($P$708*($B1198+IF($R$17="Distrato",$I$38-1,0)),IF(AND($L$711=0,$P$708=0),"",$L$711-1),IF($R$17="Distrato",$E1198,0)),MIN(AH$38,$D$19),$P$20))-SUM($P1198:AG1198)</f>
        <v>#VALUE!</v>
      </c>
      <c r="AI1198" s="446" t="e">
        <f>IF(OR($B1198="",MIN(AI$38,$D$19)&lt;MAX($P$708*($B1198+IF($R$17="Distrato",$I$38-1,0)),IF(AND($L$711=0,$P$708=0),"",$L$711-1),IF($R$17="Distrato",$E1198,0))),0,YEARFRAC(MAX($P$708*($B1198+IF($R$17="Distrato",$I$38-1,0)),IF(AND($L$711=0,$P$708=0),"",$L$711-1),IF($R$17="Distrato",$E1198,0)),MIN(AI$38,$D$19),$P$20))-SUM($P1198:AH1198)</f>
        <v>#VALUE!</v>
      </c>
      <c r="AJ1198" s="446" t="e">
        <f>IF(OR($B1198="",MIN(AJ$38,$D$19)&lt;MAX($P$708*($B1198+IF($R$17="Distrato",$I$38-1,0)),IF(AND($L$711=0,$P$708=0),"",$L$711-1),IF($R$17="Distrato",$E1198,0))),0,YEARFRAC(MAX($P$708*($B1198+IF($R$17="Distrato",$I$38-1,0)),IF(AND($L$711=0,$P$708=0),"",$L$711-1),IF($R$17="Distrato",$E1198,0)),MIN(AJ$38,$D$19),$P$20))-SUM($P1198:AI1198)</f>
        <v>#VALUE!</v>
      </c>
      <c r="AK1198" s="446" t="e">
        <f>IF(OR($B1198="",MIN(AK$38,$D$19)&lt;MAX($P$708*($B1198+IF($R$17="Distrato",$I$38-1,0)),IF(AND($L$711=0,$P$708=0),"",$L$711-1),IF($R$17="Distrato",$E1198,0))),0,YEARFRAC(MAX($P$708*($B1198+IF($R$17="Distrato",$I$38-1,0)),IF(AND($L$711=0,$P$708=0),"",$L$711-1),IF($R$17="Distrato",$E1198,0)),MIN(AK$38,$D$19),$P$20))-SUM($P1198:AJ1198)</f>
        <v>#VALUE!</v>
      </c>
      <c r="AL1198" s="446" t="e">
        <f>IF(OR($B1198="",MIN(AL$38,$D$19)&lt;MAX($P$708*($B1198+IF($R$17="Distrato",$I$38-1,0)),IF(AND($L$711=0,$P$708=0),"",$L$711-1),IF($R$17="Distrato",$E1198,0))),0,YEARFRAC(MAX($P$708*($B1198+IF($R$17="Distrato",$I$38-1,0)),IF(AND($L$711=0,$P$708=0),"",$L$711-1),IF($R$17="Distrato",$E1198,0)),MIN(AL$38,$D$19),$P$20))-SUM($P1198:AK1198)</f>
        <v>#VALUE!</v>
      </c>
      <c r="AM1198" s="446" t="e">
        <f>IF(OR($B1198="",MIN(AM$38,$D$19)&lt;MAX($P$708*($B1198+IF($R$17="Distrato",$I$38-1,0)),IF(AND($L$711=0,$P$708=0),"",$L$711-1),IF($R$17="Distrato",$E1198,0))),0,YEARFRAC(MAX($P$708*($B1198+IF($R$17="Distrato",$I$38-1,0)),IF(AND($L$711=0,$P$708=0),"",$L$711-1),IF($R$17="Distrato",$E1198,0)),MIN(AM$38,$D$19),$P$20))-SUM($P1198:AL1198)</f>
        <v>#VALUE!</v>
      </c>
      <c r="AN1198" s="446" t="e">
        <f>IF(OR($B1198="",MIN(AN$38,$D$19)&lt;MAX($P$708*($B1198+IF($R$17="Distrato",$I$38-1,0)),IF(AND($L$711=0,$P$708=0),"",$L$711-1),IF($R$17="Distrato",$E1198,0))),0,YEARFRAC(MAX($P$708*($B1198+IF($R$17="Distrato",$I$38-1,0)),IF(AND($L$711=0,$P$708=0),"",$L$711-1),IF($R$17="Distrato",$E1198,0)),MIN(AN$38,$D$19),$P$20))-SUM($P1198:AM1198)</f>
        <v>#VALUE!</v>
      </c>
      <c r="AO1198" s="446" t="e">
        <f>IF(OR($B1198="",MIN(AO$38,$D$19)&lt;MAX($P$708*($B1198+IF($R$17="Distrato",$I$38-1,0)),IF(AND($L$711=0,$P$708=0),"",$L$711-1),IF($R$17="Distrato",$E1198,0))),0,YEARFRAC(MAX($P$708*($B1198+IF($R$17="Distrato",$I$38-1,0)),IF(AND($L$711=0,$P$708=0),"",$L$711-1),IF($R$17="Distrato",$E1198,0)),MIN(AO$38,$D$19),$P$20))-SUM($P1198:AN1198)</f>
        <v>#VALUE!</v>
      </c>
      <c r="AP1198" s="446" t="e">
        <f>IF(OR($B1198="",MIN(AP$38,$D$19)&lt;MAX($P$708*($B1198+IF($R$17="Distrato",$I$38-1,0)),IF(AND($L$711=0,$P$708=0),"",$L$711-1),IF($R$17="Distrato",$E1198,0))),0,YEARFRAC(MAX($P$708*($B1198+IF($R$17="Distrato",$I$38-1,0)),IF(AND($L$711=0,$P$708=0),"",$L$711-1),IF($R$17="Distrato",$E1198,0)),MIN(AP$38,$D$19),$P$20))-SUM($P1198:AO1198)</f>
        <v>#VALUE!</v>
      </c>
      <c r="AQ1198" s="446" t="e">
        <f>IF(OR($B1198="",MIN(AQ$38,$D$19)&lt;MAX($P$708*($B1198+IF($R$17="Distrato",$I$38-1,0)),IF(AND($L$711=0,$P$708=0),"",$L$711-1),IF($R$17="Distrato",$E1198,0))),0,YEARFRAC(MAX($P$708*($B1198+IF($R$17="Distrato",$I$38-1,0)),IF(AND($L$711=0,$P$708=0),"",$L$711-1),IF($R$17="Distrato",$E1198,0)),MIN(AQ$38,$D$19),$P$20))-SUM($P1198:AP1198)</f>
        <v>#VALUE!</v>
      </c>
      <c r="AR1198" s="446" t="e">
        <f>IF(OR($B1198="",MIN(AR$38,$D$19)&lt;MAX($P$708*($B1198+IF($R$17="Distrato",$I$38-1,0)),IF(AND($L$711=0,$P$708=0),"",$L$711-1),IF($R$17="Distrato",$E1198,0))),0,YEARFRAC(MAX($P$708*($B1198+IF($R$17="Distrato",$I$38-1,0)),IF(AND($L$711=0,$P$708=0),"",$L$711-1),IF($R$17="Distrato",$E1198,0)),MIN(AR$38,$D$19),$P$20))-SUM($P1198:AQ1198)</f>
        <v>#VALUE!</v>
      </c>
      <c r="AS1198" s="446" t="e">
        <f>IF(OR($B1198="",MIN(AS$38,$D$19)&lt;MAX($P$708*($B1198+IF($R$17="Distrato",$I$38-1,0)),IF(AND($L$711=0,$P$708=0),"",$L$711-1),IF($R$17="Distrato",$E1198,0))),0,YEARFRAC(MAX($P$708*($B1198+IF($R$17="Distrato",$I$38-1,0)),IF(AND($L$711=0,$P$708=0),"",$L$711-1),IF($R$17="Distrato",$E1198,0)),MIN(AS$38,$D$19),$P$20))-SUM($P1198:AR1198)</f>
        <v>#VALUE!</v>
      </c>
      <c r="AT1198" s="446" t="e">
        <f>IF(OR($B1198="",MIN(AT$38,$D$19)&lt;MAX($P$708*($B1198+IF($R$17="Distrato",$I$38-1,0)),IF(AND($L$711=0,$P$708=0),"",$L$711-1),IF($R$17="Distrato",$E1198,0))),0,YEARFRAC(MAX($P$708*($B1198+IF($R$17="Distrato",$I$38-1,0)),IF(AND($L$711=0,$P$708=0),"",$L$711-1),IF($R$17="Distrato",$E1198,0)),MIN(AT$38,$D$19),$P$20))-SUM($P1198:AS1198)</f>
        <v>#VALUE!</v>
      </c>
      <c r="AU1198" s="446" t="e">
        <f>IF(OR($B1198="",MIN(AU$38,$D$19)&lt;MAX($P$708*($B1198+IF($R$17="Distrato",$I$38-1,0)),IF(AND($L$711=0,$P$708=0),"",$L$711-1),IF($R$17="Distrato",$E1198,0))),0,YEARFRAC(MAX($P$708*($B1198+IF($R$17="Distrato",$I$38-1,0)),IF(AND($L$711=0,$P$708=0),"",$L$711-1),IF($R$17="Distrato",$E1198,0)),MIN(AU$38,$D$19),$P$20))-SUM($P1198:AT1198)</f>
        <v>#VALUE!</v>
      </c>
      <c r="AV1198" s="446" t="e">
        <f>IF(OR($B1198="",MIN(AV$38,$D$19)&lt;MAX($P$708*($B1198+IF($R$17="Distrato",$I$38-1,0)),IF(AND($L$711=0,$P$708=0),"",$L$711-1),IF($R$17="Distrato",$E1198,0))),0,YEARFRAC(MAX($P$708*($B1198+IF($R$17="Distrato",$I$38-1,0)),IF(AND($L$711=0,$P$708=0),"",$L$711-1),IF($R$17="Distrato",$E1198,0)),MIN(AV$38,$D$19),$P$20))-SUM($P1198:AU1198)</f>
        <v>#VALUE!</v>
      </c>
      <c r="AW1198" s="446" t="e">
        <f>IF(OR($B1198="",MIN(AW$38,$D$19)&lt;MAX($P$708*($B1198+IF($R$17="Distrato",$I$38-1,0)),IF(AND($L$711=0,$P$708=0),"",$L$711-1),IF($R$17="Distrato",$E1198,0))),0,YEARFRAC(MAX($P$708*($B1198+IF($R$17="Distrato",$I$38-1,0)),IF(AND($L$711=0,$P$708=0),"",$L$711-1),IF($R$17="Distrato",$E1198,0)),MIN(AW$38,$D$19),$P$20))-SUM($P1198:AV1198)</f>
        <v>#VALUE!</v>
      </c>
      <c r="AX1198" s="446" t="e">
        <f>IF(OR($B1198="",MIN(AX$38,$D$19)&lt;MAX($P$708*($B1198+IF($R$17="Distrato",$I$38-1,0)),IF(AND($L$711=0,$P$708=0),"",$L$711-1),IF($R$17="Distrato",$E1198,0))),0,YEARFRAC(MAX($P$708*($B1198+IF($R$17="Distrato",$I$38-1,0)),IF(AND($L$711=0,$P$708=0),"",$L$711-1),IF($R$17="Distrato",$E1198,0)),MIN(AX$38,$D$19),$P$20))-SUM($P1198:AW1198)</f>
        <v>#VALUE!</v>
      </c>
      <c r="AY1198" s="446" t="e">
        <f>IF(OR($B1198="",MIN(AY$38,$D$19)&lt;MAX($P$708*($B1198+IF($R$17="Distrato",$I$38-1,0)),IF(AND($L$711=0,$P$708=0),"",$L$711-1),IF($R$17="Distrato",$E1198,0))),0,YEARFRAC(MAX($P$708*($B1198+IF($R$17="Distrato",$I$38-1,0)),IF(AND($L$711=0,$P$708=0),"",$L$711-1),IF($R$17="Distrato",$E1198,0)),MIN(AY$38,$D$19),$P$20))-SUM($P1198:AX1198)</f>
        <v>#VALUE!</v>
      </c>
      <c r="AZ1198" s="446" t="e">
        <f>IF(OR($B1198="",MIN(AZ$38,$D$19)&lt;MAX($P$708*($B1198+IF($R$17="Distrato",$I$38-1,0)),IF(AND($L$711=0,$P$708=0),"",$L$711-1),IF($R$17="Distrato",$E1198,0))),0,YEARFRAC(MAX($P$708*($B1198+IF($R$17="Distrato",$I$38-1,0)),IF(AND($L$711=0,$P$708=0),"",$L$711-1),IF($R$17="Distrato",$E1198,0)),MIN(AZ$38,$D$19),$P$20))-SUM($P1198:AY1198)</f>
        <v>#VALUE!</v>
      </c>
      <c r="BA1198" s="446" t="e">
        <f>IF(OR($B1198="",MIN(BA$38,$D$19)&lt;MAX($P$708*($B1198+IF($R$17="Distrato",$I$38-1,0)),IF(AND($L$711=0,$P$708=0),"",$L$711-1),IF($R$17="Distrato",$E1198,0))),0,YEARFRAC(MAX($P$708*($B1198+IF($R$17="Distrato",$I$38-1,0)),IF(AND($L$711=0,$P$708=0),"",$L$711-1),IF($R$17="Distrato",$E1198,0)),MIN(BA$38,$D$19),$P$20))-SUM($P1198:AZ1198)</f>
        <v>#VALUE!</v>
      </c>
      <c r="BB1198" s="447"/>
    </row>
    <row r="1199" spans="1:54" s="446" customFormat="1" ht="11.25" hidden="1" customHeight="1" x14ac:dyDescent="0.2">
      <c r="A1199" s="235"/>
      <c r="B1199" s="236"/>
      <c r="C1199" s="29" t="str">
        <f>IF(B1199="","",IF($L$709=$BL$25,VLOOKUP(DATE(YEAR($D$19),MONTH($D$19)-1,1),ÍNDICES!$A:$DE,HLOOKUP($BL$25,ÍNDICES!$B$3:$T$4,2)+11)-VLOOKUP(B1199,ÍNDICES!$A:$DE,HLOOKUP($BL$25,ÍNDICES!$B$3:$T$4,2)+11)+1%,IF(C$712=$W$26,$J$35,IF(ISERROR(IF(B1199&gt;$D$19,1,VLOOKUP(DATE(YEAR(B1199),MONTH(B1199)+IF($C$709=$S$23,1,0),1),ÍNDICES!$A:$DE,$Z$709+1))),"",IF(B1199&gt;$D$19,1,VLOOKUP(DATE(YEAR(B1199),MONTH(B1199)+IF($C$709=$S$23,1,0),1),ÍNDICES!$A:$DE,$Z$709+1))))))</f>
        <v/>
      </c>
      <c r="D1199" s="155"/>
      <c r="E1199" s="88"/>
      <c r="F1199" s="88"/>
      <c r="G1199" s="88"/>
      <c r="H1199" s="118"/>
      <c r="I1199" s="182">
        <f t="shared" si="164"/>
        <v>0</v>
      </c>
      <c r="J1199" s="20">
        <f t="shared" ca="1" si="165"/>
        <v>0</v>
      </c>
      <c r="K1199" s="5">
        <f t="shared" ca="1" si="166"/>
        <v>0</v>
      </c>
      <c r="L1199" s="61">
        <f t="shared" ca="1" si="167"/>
        <v>0</v>
      </c>
      <c r="M1199" s="64">
        <f t="shared" si="168"/>
        <v>0</v>
      </c>
      <c r="N1199" s="151"/>
      <c r="O1199" s="5">
        <f t="shared" ca="1" si="169"/>
        <v>0</v>
      </c>
      <c r="P1199" s="446" t="e">
        <f t="shared" si="170"/>
        <v>#VALUE!</v>
      </c>
      <c r="Q1199" s="446" t="e">
        <f>IF(OR($B1199="",MIN(Q$38,$D$19)&lt;MAX($P$708*($B1199+IF($R$17="Distrato",$I$38-1,0)),IF(AND($L$711=0,$P$708=0),"",$L$711-1),IF($R$17="Distrato",$E1199,0))),0,YEARFRAC(MAX($P$708*($B1199+IF($R$17="Distrato",$I$38-1,0)),IF(AND($L$711=0,$P$708=0),"",$L$711-1),IF($R$17="Distrato",$E1199,0)),MIN(Q$38,$D$19),$P$20))-SUM($P1199:P1199)</f>
        <v>#VALUE!</v>
      </c>
      <c r="R1199" s="446" t="e">
        <f>IF(OR($B1199="",MIN(R$38,$D$19)&lt;MAX($P$708*($B1199+IF($R$17="Distrato",$I$38-1,0)),IF(AND($L$711=0,$P$708=0),"",$L$711-1),IF($R$17="Distrato",$E1199,0))),0,YEARFRAC(MAX($P$708*($B1199+IF($R$17="Distrato",$I$38-1,0)),IF(AND($L$711=0,$P$708=0),"",$L$711-1),IF($R$17="Distrato",$E1199,0)),MIN(R$38,$D$19),$P$20))-SUM($P1199:Q1199)</f>
        <v>#VALUE!</v>
      </c>
      <c r="S1199" s="446" t="e">
        <f>IF(OR($B1199="",MIN(S$38,$D$19)&lt;MAX($P$708*($B1199+IF($R$17="Distrato",$I$38-1,0)),IF(AND($L$711=0,$P$708=0),"",$L$711-1),IF($R$17="Distrato",$E1199,0))),0,YEARFRAC(MAX($P$708*($B1199+IF($R$17="Distrato",$I$38-1,0)),IF(AND($L$711=0,$P$708=0),"",$L$711-1),IF($R$17="Distrato",$E1199,0)),MIN(S$38,$D$19),$P$20))-SUM($P1199:R1199)</f>
        <v>#VALUE!</v>
      </c>
      <c r="T1199" s="446" t="e">
        <f>IF(OR($B1199="",MIN(T$38,$D$19)&lt;MAX($P$708*($B1199+IF($R$17="Distrato",$I$38-1,0)),IF(AND($L$711=0,$P$708=0),"",$L$711-1),IF($R$17="Distrato",$E1199,0))),0,YEARFRAC(MAX($P$708*($B1199+IF($R$17="Distrato",$I$38-1,0)),IF(AND($L$711=0,$P$708=0),"",$L$711-1),IF($R$17="Distrato",$E1199,0)),MIN(T$38,$D$19),$P$20))-SUM($P1199:S1199)</f>
        <v>#VALUE!</v>
      </c>
      <c r="U1199" s="446" t="e">
        <f>IF(OR($B1199="",MIN(U$38,$D$19)&lt;MAX($P$708*($B1199+IF($R$17="Distrato",$I$38-1,0)),IF(AND($L$711=0,$P$708=0),"",$L$711-1),IF($R$17="Distrato",$E1199,0))),0,YEARFRAC(MAX($P$708*($B1199+IF($R$17="Distrato",$I$38-1,0)),IF(AND($L$711=0,$P$708=0),"",$L$711-1),IF($R$17="Distrato",$E1199,0)),MIN(U$38,$D$19),$P$20))-SUM($P1199:T1199)</f>
        <v>#VALUE!</v>
      </c>
      <c r="V1199" s="446" t="e">
        <f>IF(OR($B1199="",MIN(V$38,$D$19)&lt;MAX($P$708*($B1199+IF($R$17="Distrato",$I$38-1,0)),IF(AND($L$711=0,$P$708=0),"",$L$711-1),IF($R$17="Distrato",$E1199,0))),0,YEARFRAC(MAX($P$708*($B1199+IF($R$17="Distrato",$I$38-1,0)),IF(AND($L$711=0,$P$708=0),"",$L$711-1),IF($R$17="Distrato",$E1199,0)),MIN(V$38,$D$19),$P$20))-SUM($P1199:U1199)</f>
        <v>#VALUE!</v>
      </c>
      <c r="W1199" s="446" t="e">
        <f>IF(OR($B1199="",MIN(W$38,$D$19)&lt;MAX($P$708*($B1199+IF($R$17="Distrato",$I$38-1,0)),IF(AND($L$711=0,$P$708=0),"",$L$711-1),IF($R$17="Distrato",$E1199,0))),0,YEARFRAC(MAX($P$708*($B1199+IF($R$17="Distrato",$I$38-1,0)),IF(AND($L$711=0,$P$708=0),"",$L$711-1),IF($R$17="Distrato",$E1199,0)),MIN(W$38,$D$19),$P$20))-SUM($P1199:V1199)</f>
        <v>#VALUE!</v>
      </c>
      <c r="X1199" s="446" t="e">
        <f>IF(OR($B1199="",MIN(X$38,$D$19)&lt;MAX($P$708*($B1199+IF($R$17="Distrato",$I$38-1,0)),IF(AND($L$711=0,$P$708=0),"",$L$711-1),IF($R$17="Distrato",$E1199,0))),0,YEARFRAC(MAX($P$708*($B1199+IF($R$17="Distrato",$I$38-1,0)),IF(AND($L$711=0,$P$708=0),"",$L$711-1),IF($R$17="Distrato",$E1199,0)),MIN(X$38,$D$19),$P$20))-SUM($P1199:W1199)</f>
        <v>#VALUE!</v>
      </c>
      <c r="Y1199" s="446" t="e">
        <f>IF(OR($B1199="",MIN(Y$38,$D$19)&lt;MAX($P$708*($B1199+IF($R$17="Distrato",$I$38-1,0)),IF(AND($L$711=0,$P$708=0),"",$L$711-1),IF($R$17="Distrato",$E1199,0))),0,YEARFRAC(MAX($P$708*($B1199+IF($R$17="Distrato",$I$38-1,0)),IF(AND($L$711=0,$P$708=0),"",$L$711-1),IF($R$17="Distrato",$E1199,0)),MIN(Y$38,$D$19),$P$20))-SUM($P1199:X1199)</f>
        <v>#VALUE!</v>
      </c>
      <c r="Z1199" s="446" t="e">
        <f>IF(OR($B1199="",MIN(Z$38,$D$19)&lt;MAX($P$708*($B1199+IF($R$17="Distrato",$I$38-1,0)),IF(AND($L$711=0,$P$708=0),"",$L$711-1),IF($R$17="Distrato",$E1199,0))),0,YEARFRAC(MAX($P$708*($B1199+IF($R$17="Distrato",$I$38-1,0)),IF(AND($L$711=0,$P$708=0),"",$L$711-1),IF($R$17="Distrato",$E1199,0)),MIN(Z$38,$D$19),$P$20))-SUM($P1199:Y1199)</f>
        <v>#VALUE!</v>
      </c>
      <c r="AA1199" s="446" t="e">
        <f>IF(OR($B1199="",MIN(AA$38,$D$19)&lt;MAX($P$708*($B1199+IF($R$17="Distrato",$I$38-1,0)),IF(AND($L$711=0,$P$708=0),"",$L$711-1),IF($R$17="Distrato",$E1199,0))),0,YEARFRAC(MAX($P$708*($B1199+IF($R$17="Distrato",$I$38-1,0)),IF(AND($L$711=0,$P$708=0),"",$L$711-1),IF($R$17="Distrato",$E1199,0)),MIN(AA$38,$D$19),$P$20))-SUM($P1199:Z1199)</f>
        <v>#VALUE!</v>
      </c>
      <c r="AB1199" s="446" t="e">
        <f>IF(OR($B1199="",MIN(AB$38,$D$19)&lt;MAX($P$708*($B1199+IF($R$17="Distrato",$I$38-1,0)),IF(AND($L$711=0,$P$708=0),"",$L$711-1),IF($R$17="Distrato",$E1199,0))),0,YEARFRAC(MAX($P$708*($B1199+IF($R$17="Distrato",$I$38-1,0)),IF(AND($L$711=0,$P$708=0),"",$L$711-1),IF($R$17="Distrato",$E1199,0)),MIN(AB$38,$D$19),$P$20))-SUM($P1199:AA1199)</f>
        <v>#VALUE!</v>
      </c>
      <c r="AC1199" s="446" t="e">
        <f>IF(OR($B1199="",MIN(AC$38,$D$19)&lt;MAX($P$708*($B1199+IF($R$17="Distrato",$I$38-1,0)),IF(AND($L$711=0,$P$708=0),"",$L$711-1),IF($R$17="Distrato",$E1199,0))),0,YEARFRAC(MAX($P$708*($B1199+IF($R$17="Distrato",$I$38-1,0)),IF(AND($L$711=0,$P$708=0),"",$L$711-1),IF($R$17="Distrato",$E1199,0)),MIN(AC$38,$D$19),$P$20))-SUM($P1199:AB1199)</f>
        <v>#VALUE!</v>
      </c>
      <c r="AD1199" s="446" t="e">
        <f>IF(OR($B1199="",MIN(AD$38,$D$19)&lt;MAX($P$708*($B1199+IF($R$17="Distrato",$I$38-1,0)),IF(AND($L$711=0,$P$708=0),"",$L$711-1),IF($R$17="Distrato",$E1199,0))),0,YEARFRAC(MAX($P$708*($B1199+IF($R$17="Distrato",$I$38-1,0)),IF(AND($L$711=0,$P$708=0),"",$L$711-1),IF($R$17="Distrato",$E1199,0)),MIN(AD$38,$D$19),$P$20))-SUM($P1199:AC1199)</f>
        <v>#VALUE!</v>
      </c>
      <c r="AE1199" s="446" t="e">
        <f>IF(OR($B1199="",MIN(AE$38,$D$19)&lt;MAX($P$708*($B1199+IF($R$17="Distrato",$I$38-1,0)),IF(AND($L$711=0,$P$708=0),"",$L$711-1),IF($R$17="Distrato",$E1199,0))),0,YEARFRAC(MAX($P$708*($B1199+IF($R$17="Distrato",$I$38-1,0)),IF(AND($L$711=0,$P$708=0),"",$L$711-1),IF($R$17="Distrato",$E1199,0)),MIN(AE$38,$D$19),$P$20))-SUM($P1199:AD1199)</f>
        <v>#VALUE!</v>
      </c>
      <c r="AF1199" s="446" t="e">
        <f>IF(OR($B1199="",MIN(AF$38,$D$19)&lt;MAX($P$708*($B1199+IF($R$17="Distrato",$I$38-1,0)),IF(AND($L$711=0,$P$708=0),"",$L$711-1),IF($R$17="Distrato",$E1199,0))),0,YEARFRAC(MAX($P$708*($B1199+IF($R$17="Distrato",$I$38-1,0)),IF(AND($L$711=0,$P$708=0),"",$L$711-1),IF($R$17="Distrato",$E1199,0)),MIN(AF$38,$D$19),$P$20))-SUM($P1199:AE1199)</f>
        <v>#VALUE!</v>
      </c>
      <c r="AG1199" s="446" t="e">
        <f>IF(OR($B1199="",MIN(AG$38,$D$19)&lt;MAX($P$708*($B1199+IF($R$17="Distrato",$I$38-1,0)),IF(AND($L$711=0,$P$708=0),"",$L$711-1),IF($R$17="Distrato",$E1199,0))),0,YEARFRAC(MAX($P$708*($B1199+IF($R$17="Distrato",$I$38-1,0)),IF(AND($L$711=0,$P$708=0),"",$L$711-1),IF($R$17="Distrato",$E1199,0)),MIN(AG$38,$D$19),$P$20))-SUM($P1199:AF1199)</f>
        <v>#VALUE!</v>
      </c>
      <c r="AH1199" s="446" t="e">
        <f>IF(OR($B1199="",MIN(AH$38,$D$19)&lt;MAX($P$708*($B1199+IF($R$17="Distrato",$I$38-1,0)),IF(AND($L$711=0,$P$708=0),"",$L$711-1),IF($R$17="Distrato",$E1199,0))),0,YEARFRAC(MAX($P$708*($B1199+IF($R$17="Distrato",$I$38-1,0)),IF(AND($L$711=0,$P$708=0),"",$L$711-1),IF($R$17="Distrato",$E1199,0)),MIN(AH$38,$D$19),$P$20))-SUM($P1199:AG1199)</f>
        <v>#VALUE!</v>
      </c>
      <c r="AI1199" s="446" t="e">
        <f>IF(OR($B1199="",MIN(AI$38,$D$19)&lt;MAX($P$708*($B1199+IF($R$17="Distrato",$I$38-1,0)),IF(AND($L$711=0,$P$708=0),"",$L$711-1),IF($R$17="Distrato",$E1199,0))),0,YEARFRAC(MAX($P$708*($B1199+IF($R$17="Distrato",$I$38-1,0)),IF(AND($L$711=0,$P$708=0),"",$L$711-1),IF($R$17="Distrato",$E1199,0)),MIN(AI$38,$D$19),$P$20))-SUM($P1199:AH1199)</f>
        <v>#VALUE!</v>
      </c>
      <c r="AJ1199" s="446" t="e">
        <f>IF(OR($B1199="",MIN(AJ$38,$D$19)&lt;MAX($P$708*($B1199+IF($R$17="Distrato",$I$38-1,0)),IF(AND($L$711=0,$P$708=0),"",$L$711-1),IF($R$17="Distrato",$E1199,0))),0,YEARFRAC(MAX($P$708*($B1199+IF($R$17="Distrato",$I$38-1,0)),IF(AND($L$711=0,$P$708=0),"",$L$711-1),IF($R$17="Distrato",$E1199,0)),MIN(AJ$38,$D$19),$P$20))-SUM($P1199:AI1199)</f>
        <v>#VALUE!</v>
      </c>
      <c r="AK1199" s="446" t="e">
        <f>IF(OR($B1199="",MIN(AK$38,$D$19)&lt;MAX($P$708*($B1199+IF($R$17="Distrato",$I$38-1,0)),IF(AND($L$711=0,$P$708=0),"",$L$711-1),IF($R$17="Distrato",$E1199,0))),0,YEARFRAC(MAX($P$708*($B1199+IF($R$17="Distrato",$I$38-1,0)),IF(AND($L$711=0,$P$708=0),"",$L$711-1),IF($R$17="Distrato",$E1199,0)),MIN(AK$38,$D$19),$P$20))-SUM($P1199:AJ1199)</f>
        <v>#VALUE!</v>
      </c>
      <c r="AL1199" s="446" t="e">
        <f>IF(OR($B1199="",MIN(AL$38,$D$19)&lt;MAX($P$708*($B1199+IF($R$17="Distrato",$I$38-1,0)),IF(AND($L$711=0,$P$708=0),"",$L$711-1),IF($R$17="Distrato",$E1199,0))),0,YEARFRAC(MAX($P$708*($B1199+IF($R$17="Distrato",$I$38-1,0)),IF(AND($L$711=0,$P$708=0),"",$L$711-1),IF($R$17="Distrato",$E1199,0)),MIN(AL$38,$D$19),$P$20))-SUM($P1199:AK1199)</f>
        <v>#VALUE!</v>
      </c>
      <c r="AM1199" s="446" t="e">
        <f>IF(OR($B1199="",MIN(AM$38,$D$19)&lt;MAX($P$708*($B1199+IF($R$17="Distrato",$I$38-1,0)),IF(AND($L$711=0,$P$708=0),"",$L$711-1),IF($R$17="Distrato",$E1199,0))),0,YEARFRAC(MAX($P$708*($B1199+IF($R$17="Distrato",$I$38-1,0)),IF(AND($L$711=0,$P$708=0),"",$L$711-1),IF($R$17="Distrato",$E1199,0)),MIN(AM$38,$D$19),$P$20))-SUM($P1199:AL1199)</f>
        <v>#VALUE!</v>
      </c>
      <c r="AN1199" s="446" t="e">
        <f>IF(OR($B1199="",MIN(AN$38,$D$19)&lt;MAX($P$708*($B1199+IF($R$17="Distrato",$I$38-1,0)),IF(AND($L$711=0,$P$708=0),"",$L$711-1),IF($R$17="Distrato",$E1199,0))),0,YEARFRAC(MAX($P$708*($B1199+IF($R$17="Distrato",$I$38-1,0)),IF(AND($L$711=0,$P$708=0),"",$L$711-1),IF($R$17="Distrato",$E1199,0)),MIN(AN$38,$D$19),$P$20))-SUM($P1199:AM1199)</f>
        <v>#VALUE!</v>
      </c>
      <c r="AO1199" s="446" t="e">
        <f>IF(OR($B1199="",MIN(AO$38,$D$19)&lt;MAX($P$708*($B1199+IF($R$17="Distrato",$I$38-1,0)),IF(AND($L$711=0,$P$708=0),"",$L$711-1),IF($R$17="Distrato",$E1199,0))),0,YEARFRAC(MAX($P$708*($B1199+IF($R$17="Distrato",$I$38-1,0)),IF(AND($L$711=0,$P$708=0),"",$L$711-1),IF($R$17="Distrato",$E1199,0)),MIN(AO$38,$D$19),$P$20))-SUM($P1199:AN1199)</f>
        <v>#VALUE!</v>
      </c>
      <c r="AP1199" s="446" t="e">
        <f>IF(OR($B1199="",MIN(AP$38,$D$19)&lt;MAX($P$708*($B1199+IF($R$17="Distrato",$I$38-1,0)),IF(AND($L$711=0,$P$708=0),"",$L$711-1),IF($R$17="Distrato",$E1199,0))),0,YEARFRAC(MAX($P$708*($B1199+IF($R$17="Distrato",$I$38-1,0)),IF(AND($L$711=0,$P$708=0),"",$L$711-1),IF($R$17="Distrato",$E1199,0)),MIN(AP$38,$D$19),$P$20))-SUM($P1199:AO1199)</f>
        <v>#VALUE!</v>
      </c>
      <c r="AQ1199" s="446" t="e">
        <f>IF(OR($B1199="",MIN(AQ$38,$D$19)&lt;MAX($P$708*($B1199+IF($R$17="Distrato",$I$38-1,0)),IF(AND($L$711=0,$P$708=0),"",$L$711-1),IF($R$17="Distrato",$E1199,0))),0,YEARFRAC(MAX($P$708*($B1199+IF($R$17="Distrato",$I$38-1,0)),IF(AND($L$711=0,$P$708=0),"",$L$711-1),IF($R$17="Distrato",$E1199,0)),MIN(AQ$38,$D$19),$P$20))-SUM($P1199:AP1199)</f>
        <v>#VALUE!</v>
      </c>
      <c r="AR1199" s="446" t="e">
        <f>IF(OR($B1199="",MIN(AR$38,$D$19)&lt;MAX($P$708*($B1199+IF($R$17="Distrato",$I$38-1,0)),IF(AND($L$711=0,$P$708=0),"",$L$711-1),IF($R$17="Distrato",$E1199,0))),0,YEARFRAC(MAX($P$708*($B1199+IF($R$17="Distrato",$I$38-1,0)),IF(AND($L$711=0,$P$708=0),"",$L$711-1),IF($R$17="Distrato",$E1199,0)),MIN(AR$38,$D$19),$P$20))-SUM($P1199:AQ1199)</f>
        <v>#VALUE!</v>
      </c>
      <c r="AS1199" s="446" t="e">
        <f>IF(OR($B1199="",MIN(AS$38,$D$19)&lt;MAX($P$708*($B1199+IF($R$17="Distrato",$I$38-1,0)),IF(AND($L$711=0,$P$708=0),"",$L$711-1),IF($R$17="Distrato",$E1199,0))),0,YEARFRAC(MAX($P$708*($B1199+IF($R$17="Distrato",$I$38-1,0)),IF(AND($L$711=0,$P$708=0),"",$L$711-1),IF($R$17="Distrato",$E1199,0)),MIN(AS$38,$D$19),$P$20))-SUM($P1199:AR1199)</f>
        <v>#VALUE!</v>
      </c>
      <c r="AT1199" s="446" t="e">
        <f>IF(OR($B1199="",MIN(AT$38,$D$19)&lt;MAX($P$708*($B1199+IF($R$17="Distrato",$I$38-1,0)),IF(AND($L$711=0,$P$708=0),"",$L$711-1),IF($R$17="Distrato",$E1199,0))),0,YEARFRAC(MAX($P$708*($B1199+IF($R$17="Distrato",$I$38-1,0)),IF(AND($L$711=0,$P$708=0),"",$L$711-1),IF($R$17="Distrato",$E1199,0)),MIN(AT$38,$D$19),$P$20))-SUM($P1199:AS1199)</f>
        <v>#VALUE!</v>
      </c>
      <c r="AU1199" s="446" t="e">
        <f>IF(OR($B1199="",MIN(AU$38,$D$19)&lt;MAX($P$708*($B1199+IF($R$17="Distrato",$I$38-1,0)),IF(AND($L$711=0,$P$708=0),"",$L$711-1),IF($R$17="Distrato",$E1199,0))),0,YEARFRAC(MAX($P$708*($B1199+IF($R$17="Distrato",$I$38-1,0)),IF(AND($L$711=0,$P$708=0),"",$L$711-1),IF($R$17="Distrato",$E1199,0)),MIN(AU$38,$D$19),$P$20))-SUM($P1199:AT1199)</f>
        <v>#VALUE!</v>
      </c>
      <c r="AV1199" s="446" t="e">
        <f>IF(OR($B1199="",MIN(AV$38,$D$19)&lt;MAX($P$708*($B1199+IF($R$17="Distrato",$I$38-1,0)),IF(AND($L$711=0,$P$708=0),"",$L$711-1),IF($R$17="Distrato",$E1199,0))),0,YEARFRAC(MAX($P$708*($B1199+IF($R$17="Distrato",$I$38-1,0)),IF(AND($L$711=0,$P$708=0),"",$L$711-1),IF($R$17="Distrato",$E1199,0)),MIN(AV$38,$D$19),$P$20))-SUM($P1199:AU1199)</f>
        <v>#VALUE!</v>
      </c>
      <c r="AW1199" s="446" t="e">
        <f>IF(OR($B1199="",MIN(AW$38,$D$19)&lt;MAX($P$708*($B1199+IF($R$17="Distrato",$I$38-1,0)),IF(AND($L$711=0,$P$708=0),"",$L$711-1),IF($R$17="Distrato",$E1199,0))),0,YEARFRAC(MAX($P$708*($B1199+IF($R$17="Distrato",$I$38-1,0)),IF(AND($L$711=0,$P$708=0),"",$L$711-1),IF($R$17="Distrato",$E1199,0)),MIN(AW$38,$D$19),$P$20))-SUM($P1199:AV1199)</f>
        <v>#VALUE!</v>
      </c>
      <c r="AX1199" s="446" t="e">
        <f>IF(OR($B1199="",MIN(AX$38,$D$19)&lt;MAX($P$708*($B1199+IF($R$17="Distrato",$I$38-1,0)),IF(AND($L$711=0,$P$708=0),"",$L$711-1),IF($R$17="Distrato",$E1199,0))),0,YEARFRAC(MAX($P$708*($B1199+IF($R$17="Distrato",$I$38-1,0)),IF(AND($L$711=0,$P$708=0),"",$L$711-1),IF($R$17="Distrato",$E1199,0)),MIN(AX$38,$D$19),$P$20))-SUM($P1199:AW1199)</f>
        <v>#VALUE!</v>
      </c>
      <c r="AY1199" s="446" t="e">
        <f>IF(OR($B1199="",MIN(AY$38,$D$19)&lt;MAX($P$708*($B1199+IF($R$17="Distrato",$I$38-1,0)),IF(AND($L$711=0,$P$708=0),"",$L$711-1),IF($R$17="Distrato",$E1199,0))),0,YEARFRAC(MAX($P$708*($B1199+IF($R$17="Distrato",$I$38-1,0)),IF(AND($L$711=0,$P$708=0),"",$L$711-1),IF($R$17="Distrato",$E1199,0)),MIN(AY$38,$D$19),$P$20))-SUM($P1199:AX1199)</f>
        <v>#VALUE!</v>
      </c>
      <c r="AZ1199" s="446" t="e">
        <f>IF(OR($B1199="",MIN(AZ$38,$D$19)&lt;MAX($P$708*($B1199+IF($R$17="Distrato",$I$38-1,0)),IF(AND($L$711=0,$P$708=0),"",$L$711-1),IF($R$17="Distrato",$E1199,0))),0,YEARFRAC(MAX($P$708*($B1199+IF($R$17="Distrato",$I$38-1,0)),IF(AND($L$711=0,$P$708=0),"",$L$711-1),IF($R$17="Distrato",$E1199,0)),MIN(AZ$38,$D$19),$P$20))-SUM($P1199:AY1199)</f>
        <v>#VALUE!</v>
      </c>
      <c r="BA1199" s="446" t="e">
        <f>IF(OR($B1199="",MIN(BA$38,$D$19)&lt;MAX($P$708*($B1199+IF($R$17="Distrato",$I$38-1,0)),IF(AND($L$711=0,$P$708=0),"",$L$711-1),IF($R$17="Distrato",$E1199,0))),0,YEARFRAC(MAX($P$708*($B1199+IF($R$17="Distrato",$I$38-1,0)),IF(AND($L$711=0,$P$708=0),"",$L$711-1),IF($R$17="Distrato",$E1199,0)),MIN(BA$38,$D$19),$P$20))-SUM($P1199:AZ1199)</f>
        <v>#VALUE!</v>
      </c>
      <c r="BB1199" s="447"/>
    </row>
    <row r="1200" spans="1:54" s="446" customFormat="1" ht="11.25" hidden="1" customHeight="1" x14ac:dyDescent="0.2">
      <c r="A1200" s="235"/>
      <c r="B1200" s="236"/>
      <c r="C1200" s="29" t="str">
        <f>IF(B1200="","",IF($L$709=$BL$25,VLOOKUP(DATE(YEAR($D$19),MONTH($D$19)-1,1),ÍNDICES!$A:$DE,HLOOKUP($BL$25,ÍNDICES!$B$3:$T$4,2)+11)-VLOOKUP(B1200,ÍNDICES!$A:$DE,HLOOKUP($BL$25,ÍNDICES!$B$3:$T$4,2)+11)+1%,IF(C$712=$W$26,$J$35,IF(ISERROR(IF(B1200&gt;$D$19,1,VLOOKUP(DATE(YEAR(B1200),MONTH(B1200)+IF($C$709=$S$23,1,0),1),ÍNDICES!$A:$DE,$Z$709+1))),"",IF(B1200&gt;$D$19,1,VLOOKUP(DATE(YEAR(B1200),MONTH(B1200)+IF($C$709=$S$23,1,0),1),ÍNDICES!$A:$DE,$Z$709+1))))))</f>
        <v/>
      </c>
      <c r="D1200" s="155"/>
      <c r="E1200" s="88"/>
      <c r="F1200" s="88"/>
      <c r="G1200" s="88"/>
      <c r="H1200" s="118"/>
      <c r="I1200" s="182">
        <f t="shared" si="164"/>
        <v>0</v>
      </c>
      <c r="J1200" s="20">
        <f t="shared" ca="1" si="165"/>
        <v>0</v>
      </c>
      <c r="K1200" s="5">
        <f t="shared" ca="1" si="166"/>
        <v>0</v>
      </c>
      <c r="L1200" s="61">
        <f t="shared" ca="1" si="167"/>
        <v>0</v>
      </c>
      <c r="M1200" s="64">
        <f t="shared" si="168"/>
        <v>0</v>
      </c>
      <c r="N1200" s="151"/>
      <c r="O1200" s="5">
        <f t="shared" ca="1" si="169"/>
        <v>0</v>
      </c>
      <c r="P1200" s="446" t="e">
        <f t="shared" si="170"/>
        <v>#VALUE!</v>
      </c>
      <c r="Q1200" s="446" t="e">
        <f>IF(OR($B1200="",MIN(Q$38,$D$19)&lt;MAX($P$708*($B1200+IF($R$17="Distrato",$I$38-1,0)),IF(AND($L$711=0,$P$708=0),"",$L$711-1),IF($R$17="Distrato",$E1200,0))),0,YEARFRAC(MAX($P$708*($B1200+IF($R$17="Distrato",$I$38-1,0)),IF(AND($L$711=0,$P$708=0),"",$L$711-1),IF($R$17="Distrato",$E1200,0)),MIN(Q$38,$D$19),$P$20))-SUM($P1200:P1200)</f>
        <v>#VALUE!</v>
      </c>
      <c r="R1200" s="446" t="e">
        <f>IF(OR($B1200="",MIN(R$38,$D$19)&lt;MAX($P$708*($B1200+IF($R$17="Distrato",$I$38-1,0)),IF(AND($L$711=0,$P$708=0),"",$L$711-1),IF($R$17="Distrato",$E1200,0))),0,YEARFRAC(MAX($P$708*($B1200+IF($R$17="Distrato",$I$38-1,0)),IF(AND($L$711=0,$P$708=0),"",$L$711-1),IF($R$17="Distrato",$E1200,0)),MIN(R$38,$D$19),$P$20))-SUM($P1200:Q1200)</f>
        <v>#VALUE!</v>
      </c>
      <c r="S1200" s="446" t="e">
        <f>IF(OR($B1200="",MIN(S$38,$D$19)&lt;MAX($P$708*($B1200+IF($R$17="Distrato",$I$38-1,0)),IF(AND($L$711=0,$P$708=0),"",$L$711-1),IF($R$17="Distrato",$E1200,0))),0,YEARFRAC(MAX($P$708*($B1200+IF($R$17="Distrato",$I$38-1,0)),IF(AND($L$711=0,$P$708=0),"",$L$711-1),IF($R$17="Distrato",$E1200,0)),MIN(S$38,$D$19),$P$20))-SUM($P1200:R1200)</f>
        <v>#VALUE!</v>
      </c>
      <c r="T1200" s="446" t="e">
        <f>IF(OR($B1200="",MIN(T$38,$D$19)&lt;MAX($P$708*($B1200+IF($R$17="Distrato",$I$38-1,0)),IF(AND($L$711=0,$P$708=0),"",$L$711-1),IF($R$17="Distrato",$E1200,0))),0,YEARFRAC(MAX($P$708*($B1200+IF($R$17="Distrato",$I$38-1,0)),IF(AND($L$711=0,$P$708=0),"",$L$711-1),IF($R$17="Distrato",$E1200,0)),MIN(T$38,$D$19),$P$20))-SUM($P1200:S1200)</f>
        <v>#VALUE!</v>
      </c>
      <c r="U1200" s="446" t="e">
        <f>IF(OR($B1200="",MIN(U$38,$D$19)&lt;MAX($P$708*($B1200+IF($R$17="Distrato",$I$38-1,0)),IF(AND($L$711=0,$P$708=0),"",$L$711-1),IF($R$17="Distrato",$E1200,0))),0,YEARFRAC(MAX($P$708*($B1200+IF($R$17="Distrato",$I$38-1,0)),IF(AND($L$711=0,$P$708=0),"",$L$711-1),IF($R$17="Distrato",$E1200,0)),MIN(U$38,$D$19),$P$20))-SUM($P1200:T1200)</f>
        <v>#VALUE!</v>
      </c>
      <c r="V1200" s="446" t="e">
        <f>IF(OR($B1200="",MIN(V$38,$D$19)&lt;MAX($P$708*($B1200+IF($R$17="Distrato",$I$38-1,0)),IF(AND($L$711=0,$P$708=0),"",$L$711-1),IF($R$17="Distrato",$E1200,0))),0,YEARFRAC(MAX($P$708*($B1200+IF($R$17="Distrato",$I$38-1,0)),IF(AND($L$711=0,$P$708=0),"",$L$711-1),IF($R$17="Distrato",$E1200,0)),MIN(V$38,$D$19),$P$20))-SUM($P1200:U1200)</f>
        <v>#VALUE!</v>
      </c>
      <c r="W1200" s="446" t="e">
        <f>IF(OR($B1200="",MIN(W$38,$D$19)&lt;MAX($P$708*($B1200+IF($R$17="Distrato",$I$38-1,0)),IF(AND($L$711=0,$P$708=0),"",$L$711-1),IF($R$17="Distrato",$E1200,0))),0,YEARFRAC(MAX($P$708*($B1200+IF($R$17="Distrato",$I$38-1,0)),IF(AND($L$711=0,$P$708=0),"",$L$711-1),IF($R$17="Distrato",$E1200,0)),MIN(W$38,$D$19),$P$20))-SUM($P1200:V1200)</f>
        <v>#VALUE!</v>
      </c>
      <c r="X1200" s="446" t="e">
        <f>IF(OR($B1200="",MIN(X$38,$D$19)&lt;MAX($P$708*($B1200+IF($R$17="Distrato",$I$38-1,0)),IF(AND($L$711=0,$P$708=0),"",$L$711-1),IF($R$17="Distrato",$E1200,0))),0,YEARFRAC(MAX($P$708*($B1200+IF($R$17="Distrato",$I$38-1,0)),IF(AND($L$711=0,$P$708=0),"",$L$711-1),IF($R$17="Distrato",$E1200,0)),MIN(X$38,$D$19),$P$20))-SUM($P1200:W1200)</f>
        <v>#VALUE!</v>
      </c>
      <c r="Y1200" s="446" t="e">
        <f>IF(OR($B1200="",MIN(Y$38,$D$19)&lt;MAX($P$708*($B1200+IF($R$17="Distrato",$I$38-1,0)),IF(AND($L$711=0,$P$708=0),"",$L$711-1),IF($R$17="Distrato",$E1200,0))),0,YEARFRAC(MAX($P$708*($B1200+IF($R$17="Distrato",$I$38-1,0)),IF(AND($L$711=0,$P$708=0),"",$L$711-1),IF($R$17="Distrato",$E1200,0)),MIN(Y$38,$D$19),$P$20))-SUM($P1200:X1200)</f>
        <v>#VALUE!</v>
      </c>
      <c r="Z1200" s="446" t="e">
        <f>IF(OR($B1200="",MIN(Z$38,$D$19)&lt;MAX($P$708*($B1200+IF($R$17="Distrato",$I$38-1,0)),IF(AND($L$711=0,$P$708=0),"",$L$711-1),IF($R$17="Distrato",$E1200,0))),0,YEARFRAC(MAX($P$708*($B1200+IF($R$17="Distrato",$I$38-1,0)),IF(AND($L$711=0,$P$708=0),"",$L$711-1),IF($R$17="Distrato",$E1200,0)),MIN(Z$38,$D$19),$P$20))-SUM($P1200:Y1200)</f>
        <v>#VALUE!</v>
      </c>
      <c r="AA1200" s="446" t="e">
        <f>IF(OR($B1200="",MIN(AA$38,$D$19)&lt;MAX($P$708*($B1200+IF($R$17="Distrato",$I$38-1,0)),IF(AND($L$711=0,$P$708=0),"",$L$711-1),IF($R$17="Distrato",$E1200,0))),0,YEARFRAC(MAX($P$708*($B1200+IF($R$17="Distrato",$I$38-1,0)),IF(AND($L$711=0,$P$708=0),"",$L$711-1),IF($R$17="Distrato",$E1200,0)),MIN(AA$38,$D$19),$P$20))-SUM($P1200:Z1200)</f>
        <v>#VALUE!</v>
      </c>
      <c r="AB1200" s="446" t="e">
        <f>IF(OR($B1200="",MIN(AB$38,$D$19)&lt;MAX($P$708*($B1200+IF($R$17="Distrato",$I$38-1,0)),IF(AND($L$711=0,$P$708=0),"",$L$711-1),IF($R$17="Distrato",$E1200,0))),0,YEARFRAC(MAX($P$708*($B1200+IF($R$17="Distrato",$I$38-1,0)),IF(AND($L$711=0,$P$708=0),"",$L$711-1),IF($R$17="Distrato",$E1200,0)),MIN(AB$38,$D$19),$P$20))-SUM($P1200:AA1200)</f>
        <v>#VALUE!</v>
      </c>
      <c r="AC1200" s="446" t="e">
        <f>IF(OR($B1200="",MIN(AC$38,$D$19)&lt;MAX($P$708*($B1200+IF($R$17="Distrato",$I$38-1,0)),IF(AND($L$711=0,$P$708=0),"",$L$711-1),IF($R$17="Distrato",$E1200,0))),0,YEARFRAC(MAX($P$708*($B1200+IF($R$17="Distrato",$I$38-1,0)),IF(AND($L$711=0,$P$708=0),"",$L$711-1),IF($R$17="Distrato",$E1200,0)),MIN(AC$38,$D$19),$P$20))-SUM($P1200:AB1200)</f>
        <v>#VALUE!</v>
      </c>
      <c r="AD1200" s="446" t="e">
        <f>IF(OR($B1200="",MIN(AD$38,$D$19)&lt;MAX($P$708*($B1200+IF($R$17="Distrato",$I$38-1,0)),IF(AND($L$711=0,$P$708=0),"",$L$711-1),IF($R$17="Distrato",$E1200,0))),0,YEARFRAC(MAX($P$708*($B1200+IF($R$17="Distrato",$I$38-1,0)),IF(AND($L$711=0,$P$708=0),"",$L$711-1),IF($R$17="Distrato",$E1200,0)),MIN(AD$38,$D$19),$P$20))-SUM($P1200:AC1200)</f>
        <v>#VALUE!</v>
      </c>
      <c r="AE1200" s="446" t="e">
        <f>IF(OR($B1200="",MIN(AE$38,$D$19)&lt;MAX($P$708*($B1200+IF($R$17="Distrato",$I$38-1,0)),IF(AND($L$711=0,$P$708=0),"",$L$711-1),IF($R$17="Distrato",$E1200,0))),0,YEARFRAC(MAX($P$708*($B1200+IF($R$17="Distrato",$I$38-1,0)),IF(AND($L$711=0,$P$708=0),"",$L$711-1),IF($R$17="Distrato",$E1200,0)),MIN(AE$38,$D$19),$P$20))-SUM($P1200:AD1200)</f>
        <v>#VALUE!</v>
      </c>
      <c r="AF1200" s="446" t="e">
        <f>IF(OR($B1200="",MIN(AF$38,$D$19)&lt;MAX($P$708*($B1200+IF($R$17="Distrato",$I$38-1,0)),IF(AND($L$711=0,$P$708=0),"",$L$711-1),IF($R$17="Distrato",$E1200,0))),0,YEARFRAC(MAX($P$708*($B1200+IF($R$17="Distrato",$I$38-1,0)),IF(AND($L$711=0,$P$708=0),"",$L$711-1),IF($R$17="Distrato",$E1200,0)),MIN(AF$38,$D$19),$P$20))-SUM($P1200:AE1200)</f>
        <v>#VALUE!</v>
      </c>
      <c r="AG1200" s="446" t="e">
        <f>IF(OR($B1200="",MIN(AG$38,$D$19)&lt;MAX($P$708*($B1200+IF($R$17="Distrato",$I$38-1,0)),IF(AND($L$711=0,$P$708=0),"",$L$711-1),IF($R$17="Distrato",$E1200,0))),0,YEARFRAC(MAX($P$708*($B1200+IF($R$17="Distrato",$I$38-1,0)),IF(AND($L$711=0,$P$708=0),"",$L$711-1),IF($R$17="Distrato",$E1200,0)),MIN(AG$38,$D$19),$P$20))-SUM($P1200:AF1200)</f>
        <v>#VALUE!</v>
      </c>
      <c r="AH1200" s="446" t="e">
        <f>IF(OR($B1200="",MIN(AH$38,$D$19)&lt;MAX($P$708*($B1200+IF($R$17="Distrato",$I$38-1,0)),IF(AND($L$711=0,$P$708=0),"",$L$711-1),IF($R$17="Distrato",$E1200,0))),0,YEARFRAC(MAX($P$708*($B1200+IF($R$17="Distrato",$I$38-1,0)),IF(AND($L$711=0,$P$708=0),"",$L$711-1),IF($R$17="Distrato",$E1200,0)),MIN(AH$38,$D$19),$P$20))-SUM($P1200:AG1200)</f>
        <v>#VALUE!</v>
      </c>
      <c r="AI1200" s="446" t="e">
        <f>IF(OR($B1200="",MIN(AI$38,$D$19)&lt;MAX($P$708*($B1200+IF($R$17="Distrato",$I$38-1,0)),IF(AND($L$711=0,$P$708=0),"",$L$711-1),IF($R$17="Distrato",$E1200,0))),0,YEARFRAC(MAX($P$708*($B1200+IF($R$17="Distrato",$I$38-1,0)),IF(AND($L$711=0,$P$708=0),"",$L$711-1),IF($R$17="Distrato",$E1200,0)),MIN(AI$38,$D$19),$P$20))-SUM($P1200:AH1200)</f>
        <v>#VALUE!</v>
      </c>
      <c r="AJ1200" s="446" t="e">
        <f>IF(OR($B1200="",MIN(AJ$38,$D$19)&lt;MAX($P$708*($B1200+IF($R$17="Distrato",$I$38-1,0)),IF(AND($L$711=0,$P$708=0),"",$L$711-1),IF($R$17="Distrato",$E1200,0))),0,YEARFRAC(MAX($P$708*($B1200+IF($R$17="Distrato",$I$38-1,0)),IF(AND($L$711=0,$P$708=0),"",$L$711-1),IF($R$17="Distrato",$E1200,0)),MIN(AJ$38,$D$19),$P$20))-SUM($P1200:AI1200)</f>
        <v>#VALUE!</v>
      </c>
      <c r="AK1200" s="446" t="e">
        <f>IF(OR($B1200="",MIN(AK$38,$D$19)&lt;MAX($P$708*($B1200+IF($R$17="Distrato",$I$38-1,0)),IF(AND($L$711=0,$P$708=0),"",$L$711-1),IF($R$17="Distrato",$E1200,0))),0,YEARFRAC(MAX($P$708*($B1200+IF($R$17="Distrato",$I$38-1,0)),IF(AND($L$711=0,$P$708=0),"",$L$711-1),IF($R$17="Distrato",$E1200,0)),MIN(AK$38,$D$19),$P$20))-SUM($P1200:AJ1200)</f>
        <v>#VALUE!</v>
      </c>
      <c r="AL1200" s="446" t="e">
        <f>IF(OR($B1200="",MIN(AL$38,$D$19)&lt;MAX($P$708*($B1200+IF($R$17="Distrato",$I$38-1,0)),IF(AND($L$711=0,$P$708=0),"",$L$711-1),IF($R$17="Distrato",$E1200,0))),0,YEARFRAC(MAX($P$708*($B1200+IF($R$17="Distrato",$I$38-1,0)),IF(AND($L$711=0,$P$708=0),"",$L$711-1),IF($R$17="Distrato",$E1200,0)),MIN(AL$38,$D$19),$P$20))-SUM($P1200:AK1200)</f>
        <v>#VALUE!</v>
      </c>
      <c r="AM1200" s="446" t="e">
        <f>IF(OR($B1200="",MIN(AM$38,$D$19)&lt;MAX($P$708*($B1200+IF($R$17="Distrato",$I$38-1,0)),IF(AND($L$711=0,$P$708=0),"",$L$711-1),IF($R$17="Distrato",$E1200,0))),0,YEARFRAC(MAX($P$708*($B1200+IF($R$17="Distrato",$I$38-1,0)),IF(AND($L$711=0,$P$708=0),"",$L$711-1),IF($R$17="Distrato",$E1200,0)),MIN(AM$38,$D$19),$P$20))-SUM($P1200:AL1200)</f>
        <v>#VALUE!</v>
      </c>
      <c r="AN1200" s="446" t="e">
        <f>IF(OR($B1200="",MIN(AN$38,$D$19)&lt;MAX($P$708*($B1200+IF($R$17="Distrato",$I$38-1,0)),IF(AND($L$711=0,$P$708=0),"",$L$711-1),IF($R$17="Distrato",$E1200,0))),0,YEARFRAC(MAX($P$708*($B1200+IF($R$17="Distrato",$I$38-1,0)),IF(AND($L$711=0,$P$708=0),"",$L$711-1),IF($R$17="Distrato",$E1200,0)),MIN(AN$38,$D$19),$P$20))-SUM($P1200:AM1200)</f>
        <v>#VALUE!</v>
      </c>
      <c r="AO1200" s="446" t="e">
        <f>IF(OR($B1200="",MIN(AO$38,$D$19)&lt;MAX($P$708*($B1200+IF($R$17="Distrato",$I$38-1,0)),IF(AND($L$711=0,$P$708=0),"",$L$711-1),IF($R$17="Distrato",$E1200,0))),0,YEARFRAC(MAX($P$708*($B1200+IF($R$17="Distrato",$I$38-1,0)),IF(AND($L$711=0,$P$708=0),"",$L$711-1),IF($R$17="Distrato",$E1200,0)),MIN(AO$38,$D$19),$P$20))-SUM($P1200:AN1200)</f>
        <v>#VALUE!</v>
      </c>
      <c r="AP1200" s="446" t="e">
        <f>IF(OR($B1200="",MIN(AP$38,$D$19)&lt;MAX($P$708*($B1200+IF($R$17="Distrato",$I$38-1,0)),IF(AND($L$711=0,$P$708=0),"",$L$711-1),IF($R$17="Distrato",$E1200,0))),0,YEARFRAC(MAX($P$708*($B1200+IF($R$17="Distrato",$I$38-1,0)),IF(AND($L$711=0,$P$708=0),"",$L$711-1),IF($R$17="Distrato",$E1200,0)),MIN(AP$38,$D$19),$P$20))-SUM($P1200:AO1200)</f>
        <v>#VALUE!</v>
      </c>
      <c r="AQ1200" s="446" t="e">
        <f>IF(OR($B1200="",MIN(AQ$38,$D$19)&lt;MAX($P$708*($B1200+IF($R$17="Distrato",$I$38-1,0)),IF(AND($L$711=0,$P$708=0),"",$L$711-1),IF($R$17="Distrato",$E1200,0))),0,YEARFRAC(MAX($P$708*($B1200+IF($R$17="Distrato",$I$38-1,0)),IF(AND($L$711=0,$P$708=0),"",$L$711-1),IF($R$17="Distrato",$E1200,0)),MIN(AQ$38,$D$19),$P$20))-SUM($P1200:AP1200)</f>
        <v>#VALUE!</v>
      </c>
      <c r="AR1200" s="446" t="e">
        <f>IF(OR($B1200="",MIN(AR$38,$D$19)&lt;MAX($P$708*($B1200+IF($R$17="Distrato",$I$38-1,0)),IF(AND($L$711=0,$P$708=0),"",$L$711-1),IF($R$17="Distrato",$E1200,0))),0,YEARFRAC(MAX($P$708*($B1200+IF($R$17="Distrato",$I$38-1,0)),IF(AND($L$711=0,$P$708=0),"",$L$711-1),IF($R$17="Distrato",$E1200,0)),MIN(AR$38,$D$19),$P$20))-SUM($P1200:AQ1200)</f>
        <v>#VALUE!</v>
      </c>
      <c r="AS1200" s="446" t="e">
        <f>IF(OR($B1200="",MIN(AS$38,$D$19)&lt;MAX($P$708*($B1200+IF($R$17="Distrato",$I$38-1,0)),IF(AND($L$711=0,$P$708=0),"",$L$711-1),IF($R$17="Distrato",$E1200,0))),0,YEARFRAC(MAX($P$708*($B1200+IF($R$17="Distrato",$I$38-1,0)),IF(AND($L$711=0,$P$708=0),"",$L$711-1),IF($R$17="Distrato",$E1200,0)),MIN(AS$38,$D$19),$P$20))-SUM($P1200:AR1200)</f>
        <v>#VALUE!</v>
      </c>
      <c r="AT1200" s="446" t="e">
        <f>IF(OR($B1200="",MIN(AT$38,$D$19)&lt;MAX($P$708*($B1200+IF($R$17="Distrato",$I$38-1,0)),IF(AND($L$711=0,$P$708=0),"",$L$711-1),IF($R$17="Distrato",$E1200,0))),0,YEARFRAC(MAX($P$708*($B1200+IF($R$17="Distrato",$I$38-1,0)),IF(AND($L$711=0,$P$708=0),"",$L$711-1),IF($R$17="Distrato",$E1200,0)),MIN(AT$38,$D$19),$P$20))-SUM($P1200:AS1200)</f>
        <v>#VALUE!</v>
      </c>
      <c r="AU1200" s="446" t="e">
        <f>IF(OR($B1200="",MIN(AU$38,$D$19)&lt;MAX($P$708*($B1200+IF($R$17="Distrato",$I$38-1,0)),IF(AND($L$711=0,$P$708=0),"",$L$711-1),IF($R$17="Distrato",$E1200,0))),0,YEARFRAC(MAX($P$708*($B1200+IF($R$17="Distrato",$I$38-1,0)),IF(AND($L$711=0,$P$708=0),"",$L$711-1),IF($R$17="Distrato",$E1200,0)),MIN(AU$38,$D$19),$P$20))-SUM($P1200:AT1200)</f>
        <v>#VALUE!</v>
      </c>
      <c r="AV1200" s="446" t="e">
        <f>IF(OR($B1200="",MIN(AV$38,$D$19)&lt;MAX($P$708*($B1200+IF($R$17="Distrato",$I$38-1,0)),IF(AND($L$711=0,$P$708=0),"",$L$711-1),IF($R$17="Distrato",$E1200,0))),0,YEARFRAC(MAX($P$708*($B1200+IF($R$17="Distrato",$I$38-1,0)),IF(AND($L$711=0,$P$708=0),"",$L$711-1),IF($R$17="Distrato",$E1200,0)),MIN(AV$38,$D$19),$P$20))-SUM($P1200:AU1200)</f>
        <v>#VALUE!</v>
      </c>
      <c r="AW1200" s="446" t="e">
        <f>IF(OR($B1200="",MIN(AW$38,$D$19)&lt;MAX($P$708*($B1200+IF($R$17="Distrato",$I$38-1,0)),IF(AND($L$711=0,$P$708=0),"",$L$711-1),IF($R$17="Distrato",$E1200,0))),0,YEARFRAC(MAX($P$708*($B1200+IF($R$17="Distrato",$I$38-1,0)),IF(AND($L$711=0,$P$708=0),"",$L$711-1),IF($R$17="Distrato",$E1200,0)),MIN(AW$38,$D$19),$P$20))-SUM($P1200:AV1200)</f>
        <v>#VALUE!</v>
      </c>
      <c r="AX1200" s="446" t="e">
        <f>IF(OR($B1200="",MIN(AX$38,$D$19)&lt;MAX($P$708*($B1200+IF($R$17="Distrato",$I$38-1,0)),IF(AND($L$711=0,$P$708=0),"",$L$711-1),IF($R$17="Distrato",$E1200,0))),0,YEARFRAC(MAX($P$708*($B1200+IF($R$17="Distrato",$I$38-1,0)),IF(AND($L$711=0,$P$708=0),"",$L$711-1),IF($R$17="Distrato",$E1200,0)),MIN(AX$38,$D$19),$P$20))-SUM($P1200:AW1200)</f>
        <v>#VALUE!</v>
      </c>
      <c r="AY1200" s="446" t="e">
        <f>IF(OR($B1200="",MIN(AY$38,$D$19)&lt;MAX($P$708*($B1200+IF($R$17="Distrato",$I$38-1,0)),IF(AND($L$711=0,$P$708=0),"",$L$711-1),IF($R$17="Distrato",$E1200,0))),0,YEARFRAC(MAX($P$708*($B1200+IF($R$17="Distrato",$I$38-1,0)),IF(AND($L$711=0,$P$708=0),"",$L$711-1),IF($R$17="Distrato",$E1200,0)),MIN(AY$38,$D$19),$P$20))-SUM($P1200:AX1200)</f>
        <v>#VALUE!</v>
      </c>
      <c r="AZ1200" s="446" t="e">
        <f>IF(OR($B1200="",MIN(AZ$38,$D$19)&lt;MAX($P$708*($B1200+IF($R$17="Distrato",$I$38-1,0)),IF(AND($L$711=0,$P$708=0),"",$L$711-1),IF($R$17="Distrato",$E1200,0))),0,YEARFRAC(MAX($P$708*($B1200+IF($R$17="Distrato",$I$38-1,0)),IF(AND($L$711=0,$P$708=0),"",$L$711-1),IF($R$17="Distrato",$E1200,0)),MIN(AZ$38,$D$19),$P$20))-SUM($P1200:AY1200)</f>
        <v>#VALUE!</v>
      </c>
      <c r="BA1200" s="446" t="e">
        <f>IF(OR($B1200="",MIN(BA$38,$D$19)&lt;MAX($P$708*($B1200+IF($R$17="Distrato",$I$38-1,0)),IF(AND($L$711=0,$P$708=0),"",$L$711-1),IF($R$17="Distrato",$E1200,0))),0,YEARFRAC(MAX($P$708*($B1200+IF($R$17="Distrato",$I$38-1,0)),IF(AND($L$711=0,$P$708=0),"",$L$711-1),IF($R$17="Distrato",$E1200,0)),MIN(BA$38,$D$19),$P$20))-SUM($P1200:AZ1200)</f>
        <v>#VALUE!</v>
      </c>
      <c r="BB1200" s="447"/>
    </row>
    <row r="1201" spans="1:54" s="446" customFormat="1" ht="11.25" hidden="1" customHeight="1" x14ac:dyDescent="0.2">
      <c r="A1201" s="235"/>
      <c r="B1201" s="236"/>
      <c r="C1201" s="29" t="str">
        <f>IF(B1201="","",IF($L$709=$BL$25,VLOOKUP(DATE(YEAR($D$19),MONTH($D$19)-1,1),ÍNDICES!$A:$DE,HLOOKUP($BL$25,ÍNDICES!$B$3:$T$4,2)+11)-VLOOKUP(B1201,ÍNDICES!$A:$DE,HLOOKUP($BL$25,ÍNDICES!$B$3:$T$4,2)+11)+1%,IF(C$712=$W$26,$J$35,IF(ISERROR(IF(B1201&gt;$D$19,1,VLOOKUP(DATE(YEAR(B1201),MONTH(B1201)+IF($C$709=$S$23,1,0),1),ÍNDICES!$A:$DE,$Z$709+1))),"",IF(B1201&gt;$D$19,1,VLOOKUP(DATE(YEAR(B1201),MONTH(B1201)+IF($C$709=$S$23,1,0),1),ÍNDICES!$A:$DE,$Z$709+1))))))</f>
        <v/>
      </c>
      <c r="D1201" s="155"/>
      <c r="E1201" s="88"/>
      <c r="F1201" s="88"/>
      <c r="G1201" s="88"/>
      <c r="H1201" s="118"/>
      <c r="I1201" s="182">
        <f t="shared" si="164"/>
        <v>0</v>
      </c>
      <c r="J1201" s="20">
        <f t="shared" ca="1" si="165"/>
        <v>0</v>
      </c>
      <c r="K1201" s="5">
        <f t="shared" ca="1" si="166"/>
        <v>0</v>
      </c>
      <c r="L1201" s="61">
        <f t="shared" ca="1" si="167"/>
        <v>0</v>
      </c>
      <c r="M1201" s="64">
        <f t="shared" si="168"/>
        <v>0</v>
      </c>
      <c r="N1201" s="151"/>
      <c r="O1201" s="5">
        <f t="shared" ca="1" si="169"/>
        <v>0</v>
      </c>
      <c r="P1201" s="446" t="e">
        <f t="shared" si="170"/>
        <v>#VALUE!</v>
      </c>
      <c r="Q1201" s="446" t="e">
        <f>IF(OR($B1201="",MIN(Q$38,$D$19)&lt;MAX($P$708*($B1201+IF($R$17="Distrato",$I$38-1,0)),IF(AND($L$711=0,$P$708=0),"",$L$711-1),IF($R$17="Distrato",$E1201,0))),0,YEARFRAC(MAX($P$708*($B1201+IF($R$17="Distrato",$I$38-1,0)),IF(AND($L$711=0,$P$708=0),"",$L$711-1),IF($R$17="Distrato",$E1201,0)),MIN(Q$38,$D$19),$P$20))-SUM($P1201:P1201)</f>
        <v>#VALUE!</v>
      </c>
      <c r="R1201" s="446" t="e">
        <f>IF(OR($B1201="",MIN(R$38,$D$19)&lt;MAX($P$708*($B1201+IF($R$17="Distrato",$I$38-1,0)),IF(AND($L$711=0,$P$708=0),"",$L$711-1),IF($R$17="Distrato",$E1201,0))),0,YEARFRAC(MAX($P$708*($B1201+IF($R$17="Distrato",$I$38-1,0)),IF(AND($L$711=0,$P$708=0),"",$L$711-1),IF($R$17="Distrato",$E1201,0)),MIN(R$38,$D$19),$P$20))-SUM($P1201:Q1201)</f>
        <v>#VALUE!</v>
      </c>
      <c r="S1201" s="446" t="e">
        <f>IF(OR($B1201="",MIN(S$38,$D$19)&lt;MAX($P$708*($B1201+IF($R$17="Distrato",$I$38-1,0)),IF(AND($L$711=0,$P$708=0),"",$L$711-1),IF($R$17="Distrato",$E1201,0))),0,YEARFRAC(MAX($P$708*($B1201+IF($R$17="Distrato",$I$38-1,0)),IF(AND($L$711=0,$P$708=0),"",$L$711-1),IF($R$17="Distrato",$E1201,0)),MIN(S$38,$D$19),$P$20))-SUM($P1201:R1201)</f>
        <v>#VALUE!</v>
      </c>
      <c r="T1201" s="446" t="e">
        <f>IF(OR($B1201="",MIN(T$38,$D$19)&lt;MAX($P$708*($B1201+IF($R$17="Distrato",$I$38-1,0)),IF(AND($L$711=0,$P$708=0),"",$L$711-1),IF($R$17="Distrato",$E1201,0))),0,YEARFRAC(MAX($P$708*($B1201+IF($R$17="Distrato",$I$38-1,0)),IF(AND($L$711=0,$P$708=0),"",$L$711-1),IF($R$17="Distrato",$E1201,0)),MIN(T$38,$D$19),$P$20))-SUM($P1201:S1201)</f>
        <v>#VALUE!</v>
      </c>
      <c r="U1201" s="446" t="e">
        <f>IF(OR($B1201="",MIN(U$38,$D$19)&lt;MAX($P$708*($B1201+IF($R$17="Distrato",$I$38-1,0)),IF(AND($L$711=0,$P$708=0),"",$L$711-1),IF($R$17="Distrato",$E1201,0))),0,YEARFRAC(MAX($P$708*($B1201+IF($R$17="Distrato",$I$38-1,0)),IF(AND($L$711=0,$P$708=0),"",$L$711-1),IF($R$17="Distrato",$E1201,0)),MIN(U$38,$D$19),$P$20))-SUM($P1201:T1201)</f>
        <v>#VALUE!</v>
      </c>
      <c r="V1201" s="446" t="e">
        <f>IF(OR($B1201="",MIN(V$38,$D$19)&lt;MAX($P$708*($B1201+IF($R$17="Distrato",$I$38-1,0)),IF(AND($L$711=0,$P$708=0),"",$L$711-1),IF($R$17="Distrato",$E1201,0))),0,YEARFRAC(MAX($P$708*($B1201+IF($R$17="Distrato",$I$38-1,0)),IF(AND($L$711=0,$P$708=0),"",$L$711-1),IF($R$17="Distrato",$E1201,0)),MIN(V$38,$D$19),$P$20))-SUM($P1201:U1201)</f>
        <v>#VALUE!</v>
      </c>
      <c r="W1201" s="446" t="e">
        <f>IF(OR($B1201="",MIN(W$38,$D$19)&lt;MAX($P$708*($B1201+IF($R$17="Distrato",$I$38-1,0)),IF(AND($L$711=0,$P$708=0),"",$L$711-1),IF($R$17="Distrato",$E1201,0))),0,YEARFRAC(MAX($P$708*($B1201+IF($R$17="Distrato",$I$38-1,0)),IF(AND($L$711=0,$P$708=0),"",$L$711-1),IF($R$17="Distrato",$E1201,0)),MIN(W$38,$D$19),$P$20))-SUM($P1201:V1201)</f>
        <v>#VALUE!</v>
      </c>
      <c r="X1201" s="446" t="e">
        <f>IF(OR($B1201="",MIN(X$38,$D$19)&lt;MAX($P$708*($B1201+IF($R$17="Distrato",$I$38-1,0)),IF(AND($L$711=0,$P$708=0),"",$L$711-1),IF($R$17="Distrato",$E1201,0))),0,YEARFRAC(MAX($P$708*($B1201+IF($R$17="Distrato",$I$38-1,0)),IF(AND($L$711=0,$P$708=0),"",$L$711-1),IF($R$17="Distrato",$E1201,0)),MIN(X$38,$D$19),$P$20))-SUM($P1201:W1201)</f>
        <v>#VALUE!</v>
      </c>
      <c r="Y1201" s="446" t="e">
        <f>IF(OR($B1201="",MIN(Y$38,$D$19)&lt;MAX($P$708*($B1201+IF($R$17="Distrato",$I$38-1,0)),IF(AND($L$711=0,$P$708=0),"",$L$711-1),IF($R$17="Distrato",$E1201,0))),0,YEARFRAC(MAX($P$708*($B1201+IF($R$17="Distrato",$I$38-1,0)),IF(AND($L$711=0,$P$708=0),"",$L$711-1),IF($R$17="Distrato",$E1201,0)),MIN(Y$38,$D$19),$P$20))-SUM($P1201:X1201)</f>
        <v>#VALUE!</v>
      </c>
      <c r="Z1201" s="446" t="e">
        <f>IF(OR($B1201="",MIN(Z$38,$D$19)&lt;MAX($P$708*($B1201+IF($R$17="Distrato",$I$38-1,0)),IF(AND($L$711=0,$P$708=0),"",$L$711-1),IF($R$17="Distrato",$E1201,0))),0,YEARFRAC(MAX($P$708*($B1201+IF($R$17="Distrato",$I$38-1,0)),IF(AND($L$711=0,$P$708=0),"",$L$711-1),IF($R$17="Distrato",$E1201,0)),MIN(Z$38,$D$19),$P$20))-SUM($P1201:Y1201)</f>
        <v>#VALUE!</v>
      </c>
      <c r="AA1201" s="446" t="e">
        <f>IF(OR($B1201="",MIN(AA$38,$D$19)&lt;MAX($P$708*($B1201+IF($R$17="Distrato",$I$38-1,0)),IF(AND($L$711=0,$P$708=0),"",$L$711-1),IF($R$17="Distrato",$E1201,0))),0,YEARFRAC(MAX($P$708*($B1201+IF($R$17="Distrato",$I$38-1,0)),IF(AND($L$711=0,$P$708=0),"",$L$711-1),IF($R$17="Distrato",$E1201,0)),MIN(AA$38,$D$19),$P$20))-SUM($P1201:Z1201)</f>
        <v>#VALUE!</v>
      </c>
      <c r="AB1201" s="446" t="e">
        <f>IF(OR($B1201="",MIN(AB$38,$D$19)&lt;MAX($P$708*($B1201+IF($R$17="Distrato",$I$38-1,0)),IF(AND($L$711=0,$P$708=0),"",$L$711-1),IF($R$17="Distrato",$E1201,0))),0,YEARFRAC(MAX($P$708*($B1201+IF($R$17="Distrato",$I$38-1,0)),IF(AND($L$711=0,$P$708=0),"",$L$711-1),IF($R$17="Distrato",$E1201,0)),MIN(AB$38,$D$19),$P$20))-SUM($P1201:AA1201)</f>
        <v>#VALUE!</v>
      </c>
      <c r="AC1201" s="446" t="e">
        <f>IF(OR($B1201="",MIN(AC$38,$D$19)&lt;MAX($P$708*($B1201+IF($R$17="Distrato",$I$38-1,0)),IF(AND($L$711=0,$P$708=0),"",$L$711-1),IF($R$17="Distrato",$E1201,0))),0,YEARFRAC(MAX($P$708*($B1201+IF($R$17="Distrato",$I$38-1,0)),IF(AND($L$711=0,$P$708=0),"",$L$711-1),IF($R$17="Distrato",$E1201,0)),MIN(AC$38,$D$19),$P$20))-SUM($P1201:AB1201)</f>
        <v>#VALUE!</v>
      </c>
      <c r="AD1201" s="446" t="e">
        <f>IF(OR($B1201="",MIN(AD$38,$D$19)&lt;MAX($P$708*($B1201+IF($R$17="Distrato",$I$38-1,0)),IF(AND($L$711=0,$P$708=0),"",$L$711-1),IF($R$17="Distrato",$E1201,0))),0,YEARFRAC(MAX($P$708*($B1201+IF($R$17="Distrato",$I$38-1,0)),IF(AND($L$711=0,$P$708=0),"",$L$711-1),IF($R$17="Distrato",$E1201,0)),MIN(AD$38,$D$19),$P$20))-SUM($P1201:AC1201)</f>
        <v>#VALUE!</v>
      </c>
      <c r="AE1201" s="446" t="e">
        <f>IF(OR($B1201="",MIN(AE$38,$D$19)&lt;MAX($P$708*($B1201+IF($R$17="Distrato",$I$38-1,0)),IF(AND($L$711=0,$P$708=0),"",$L$711-1),IF($R$17="Distrato",$E1201,0))),0,YEARFRAC(MAX($P$708*($B1201+IF($R$17="Distrato",$I$38-1,0)),IF(AND($L$711=0,$P$708=0),"",$L$711-1),IF($R$17="Distrato",$E1201,0)),MIN(AE$38,$D$19),$P$20))-SUM($P1201:AD1201)</f>
        <v>#VALUE!</v>
      </c>
      <c r="AF1201" s="446" t="e">
        <f>IF(OR($B1201="",MIN(AF$38,$D$19)&lt;MAX($P$708*($B1201+IF($R$17="Distrato",$I$38-1,0)),IF(AND($L$711=0,$P$708=0),"",$L$711-1),IF($R$17="Distrato",$E1201,0))),0,YEARFRAC(MAX($P$708*($B1201+IF($R$17="Distrato",$I$38-1,0)),IF(AND($L$711=0,$P$708=0),"",$L$711-1),IF($R$17="Distrato",$E1201,0)),MIN(AF$38,$D$19),$P$20))-SUM($P1201:AE1201)</f>
        <v>#VALUE!</v>
      </c>
      <c r="AG1201" s="446" t="e">
        <f>IF(OR($B1201="",MIN(AG$38,$D$19)&lt;MAX($P$708*($B1201+IF($R$17="Distrato",$I$38-1,0)),IF(AND($L$711=0,$P$708=0),"",$L$711-1),IF($R$17="Distrato",$E1201,0))),0,YEARFRAC(MAX($P$708*($B1201+IF($R$17="Distrato",$I$38-1,0)),IF(AND($L$711=0,$P$708=0),"",$L$711-1),IF($R$17="Distrato",$E1201,0)),MIN(AG$38,$D$19),$P$20))-SUM($P1201:AF1201)</f>
        <v>#VALUE!</v>
      </c>
      <c r="AH1201" s="446" t="e">
        <f>IF(OR($B1201="",MIN(AH$38,$D$19)&lt;MAX($P$708*($B1201+IF($R$17="Distrato",$I$38-1,0)),IF(AND($L$711=0,$P$708=0),"",$L$711-1),IF($R$17="Distrato",$E1201,0))),0,YEARFRAC(MAX($P$708*($B1201+IF($R$17="Distrato",$I$38-1,0)),IF(AND($L$711=0,$P$708=0),"",$L$711-1),IF($R$17="Distrato",$E1201,0)),MIN(AH$38,$D$19),$P$20))-SUM($P1201:AG1201)</f>
        <v>#VALUE!</v>
      </c>
      <c r="AI1201" s="446" t="e">
        <f>IF(OR($B1201="",MIN(AI$38,$D$19)&lt;MAX($P$708*($B1201+IF($R$17="Distrato",$I$38-1,0)),IF(AND($L$711=0,$P$708=0),"",$L$711-1),IF($R$17="Distrato",$E1201,0))),0,YEARFRAC(MAX($P$708*($B1201+IF($R$17="Distrato",$I$38-1,0)),IF(AND($L$711=0,$P$708=0),"",$L$711-1),IF($R$17="Distrato",$E1201,0)),MIN(AI$38,$D$19),$P$20))-SUM($P1201:AH1201)</f>
        <v>#VALUE!</v>
      </c>
      <c r="AJ1201" s="446" t="e">
        <f>IF(OR($B1201="",MIN(AJ$38,$D$19)&lt;MAX($P$708*($B1201+IF($R$17="Distrato",$I$38-1,0)),IF(AND($L$711=0,$P$708=0),"",$L$711-1),IF($R$17="Distrato",$E1201,0))),0,YEARFRAC(MAX($P$708*($B1201+IF($R$17="Distrato",$I$38-1,0)),IF(AND($L$711=0,$P$708=0),"",$L$711-1),IF($R$17="Distrato",$E1201,0)),MIN(AJ$38,$D$19),$P$20))-SUM($P1201:AI1201)</f>
        <v>#VALUE!</v>
      </c>
      <c r="AK1201" s="446" t="e">
        <f>IF(OR($B1201="",MIN(AK$38,$D$19)&lt;MAX($P$708*($B1201+IF($R$17="Distrato",$I$38-1,0)),IF(AND($L$711=0,$P$708=0),"",$L$711-1),IF($R$17="Distrato",$E1201,0))),0,YEARFRAC(MAX($P$708*($B1201+IF($R$17="Distrato",$I$38-1,0)),IF(AND($L$711=0,$P$708=0),"",$L$711-1),IF($R$17="Distrato",$E1201,0)),MIN(AK$38,$D$19),$P$20))-SUM($P1201:AJ1201)</f>
        <v>#VALUE!</v>
      </c>
      <c r="AL1201" s="446" t="e">
        <f>IF(OR($B1201="",MIN(AL$38,$D$19)&lt;MAX($P$708*($B1201+IF($R$17="Distrato",$I$38-1,0)),IF(AND($L$711=0,$P$708=0),"",$L$711-1),IF($R$17="Distrato",$E1201,0))),0,YEARFRAC(MAX($P$708*($B1201+IF($R$17="Distrato",$I$38-1,0)),IF(AND($L$711=0,$P$708=0),"",$L$711-1),IF($R$17="Distrato",$E1201,0)),MIN(AL$38,$D$19),$P$20))-SUM($P1201:AK1201)</f>
        <v>#VALUE!</v>
      </c>
      <c r="AM1201" s="446" t="e">
        <f>IF(OR($B1201="",MIN(AM$38,$D$19)&lt;MAX($P$708*($B1201+IF($R$17="Distrato",$I$38-1,0)),IF(AND($L$711=0,$P$708=0),"",$L$711-1),IF($R$17="Distrato",$E1201,0))),0,YEARFRAC(MAX($P$708*($B1201+IF($R$17="Distrato",$I$38-1,0)),IF(AND($L$711=0,$P$708=0),"",$L$711-1),IF($R$17="Distrato",$E1201,0)),MIN(AM$38,$D$19),$P$20))-SUM($P1201:AL1201)</f>
        <v>#VALUE!</v>
      </c>
      <c r="AN1201" s="446" t="e">
        <f>IF(OR($B1201="",MIN(AN$38,$D$19)&lt;MAX($P$708*($B1201+IF($R$17="Distrato",$I$38-1,0)),IF(AND($L$711=0,$P$708=0),"",$L$711-1),IF($R$17="Distrato",$E1201,0))),0,YEARFRAC(MAX($P$708*($B1201+IF($R$17="Distrato",$I$38-1,0)),IF(AND($L$711=0,$P$708=0),"",$L$711-1),IF($R$17="Distrato",$E1201,0)),MIN(AN$38,$D$19),$P$20))-SUM($P1201:AM1201)</f>
        <v>#VALUE!</v>
      </c>
      <c r="AO1201" s="446" t="e">
        <f>IF(OR($B1201="",MIN(AO$38,$D$19)&lt;MAX($P$708*($B1201+IF($R$17="Distrato",$I$38-1,0)),IF(AND($L$711=0,$P$708=0),"",$L$711-1),IF($R$17="Distrato",$E1201,0))),0,YEARFRAC(MAX($P$708*($B1201+IF($R$17="Distrato",$I$38-1,0)),IF(AND($L$711=0,$P$708=0),"",$L$711-1),IF($R$17="Distrato",$E1201,0)),MIN(AO$38,$D$19),$P$20))-SUM($P1201:AN1201)</f>
        <v>#VALUE!</v>
      </c>
      <c r="AP1201" s="446" t="e">
        <f>IF(OR($B1201="",MIN(AP$38,$D$19)&lt;MAX($P$708*($B1201+IF($R$17="Distrato",$I$38-1,0)),IF(AND($L$711=0,$P$708=0),"",$L$711-1),IF($R$17="Distrato",$E1201,0))),0,YEARFRAC(MAX($P$708*($B1201+IF($R$17="Distrato",$I$38-1,0)),IF(AND($L$711=0,$P$708=0),"",$L$711-1),IF($R$17="Distrato",$E1201,0)),MIN(AP$38,$D$19),$P$20))-SUM($P1201:AO1201)</f>
        <v>#VALUE!</v>
      </c>
      <c r="AQ1201" s="446" t="e">
        <f>IF(OR($B1201="",MIN(AQ$38,$D$19)&lt;MAX($P$708*($B1201+IF($R$17="Distrato",$I$38-1,0)),IF(AND($L$711=0,$P$708=0),"",$L$711-1),IF($R$17="Distrato",$E1201,0))),0,YEARFRAC(MAX($P$708*($B1201+IF($R$17="Distrato",$I$38-1,0)),IF(AND($L$711=0,$P$708=0),"",$L$711-1),IF($R$17="Distrato",$E1201,0)),MIN(AQ$38,$D$19),$P$20))-SUM($P1201:AP1201)</f>
        <v>#VALUE!</v>
      </c>
      <c r="AR1201" s="446" t="e">
        <f>IF(OR($B1201="",MIN(AR$38,$D$19)&lt;MAX($P$708*($B1201+IF($R$17="Distrato",$I$38-1,0)),IF(AND($L$711=0,$P$708=0),"",$L$711-1),IF($R$17="Distrato",$E1201,0))),0,YEARFRAC(MAX($P$708*($B1201+IF($R$17="Distrato",$I$38-1,0)),IF(AND($L$711=0,$P$708=0),"",$L$711-1),IF($R$17="Distrato",$E1201,0)),MIN(AR$38,$D$19),$P$20))-SUM($P1201:AQ1201)</f>
        <v>#VALUE!</v>
      </c>
      <c r="AS1201" s="446" t="e">
        <f>IF(OR($B1201="",MIN(AS$38,$D$19)&lt;MAX($P$708*($B1201+IF($R$17="Distrato",$I$38-1,0)),IF(AND($L$711=0,$P$708=0),"",$L$711-1),IF($R$17="Distrato",$E1201,0))),0,YEARFRAC(MAX($P$708*($B1201+IF($R$17="Distrato",$I$38-1,0)),IF(AND($L$711=0,$P$708=0),"",$L$711-1),IF($R$17="Distrato",$E1201,0)),MIN(AS$38,$D$19),$P$20))-SUM($P1201:AR1201)</f>
        <v>#VALUE!</v>
      </c>
      <c r="AT1201" s="446" t="e">
        <f>IF(OR($B1201="",MIN(AT$38,$D$19)&lt;MAX($P$708*($B1201+IF($R$17="Distrato",$I$38-1,0)),IF(AND($L$711=0,$P$708=0),"",$L$711-1),IF($R$17="Distrato",$E1201,0))),0,YEARFRAC(MAX($P$708*($B1201+IF($R$17="Distrato",$I$38-1,0)),IF(AND($L$711=0,$P$708=0),"",$L$711-1),IF($R$17="Distrato",$E1201,0)),MIN(AT$38,$D$19),$P$20))-SUM($P1201:AS1201)</f>
        <v>#VALUE!</v>
      </c>
      <c r="AU1201" s="446" t="e">
        <f>IF(OR($B1201="",MIN(AU$38,$D$19)&lt;MAX($P$708*($B1201+IF($R$17="Distrato",$I$38-1,0)),IF(AND($L$711=0,$P$708=0),"",$L$711-1),IF($R$17="Distrato",$E1201,0))),0,YEARFRAC(MAX($P$708*($B1201+IF($R$17="Distrato",$I$38-1,0)),IF(AND($L$711=0,$P$708=0),"",$L$711-1),IF($R$17="Distrato",$E1201,0)),MIN(AU$38,$D$19),$P$20))-SUM($P1201:AT1201)</f>
        <v>#VALUE!</v>
      </c>
      <c r="AV1201" s="446" t="e">
        <f>IF(OR($B1201="",MIN(AV$38,$D$19)&lt;MAX($P$708*($B1201+IF($R$17="Distrato",$I$38-1,0)),IF(AND($L$711=0,$P$708=0),"",$L$711-1),IF($R$17="Distrato",$E1201,0))),0,YEARFRAC(MAX($P$708*($B1201+IF($R$17="Distrato",$I$38-1,0)),IF(AND($L$711=0,$P$708=0),"",$L$711-1),IF($R$17="Distrato",$E1201,0)),MIN(AV$38,$D$19),$P$20))-SUM($P1201:AU1201)</f>
        <v>#VALUE!</v>
      </c>
      <c r="AW1201" s="446" t="e">
        <f>IF(OR($B1201="",MIN(AW$38,$D$19)&lt;MAX($P$708*($B1201+IF($R$17="Distrato",$I$38-1,0)),IF(AND($L$711=0,$P$708=0),"",$L$711-1),IF($R$17="Distrato",$E1201,0))),0,YEARFRAC(MAX($P$708*($B1201+IF($R$17="Distrato",$I$38-1,0)),IF(AND($L$711=0,$P$708=0),"",$L$711-1),IF($R$17="Distrato",$E1201,0)),MIN(AW$38,$D$19),$P$20))-SUM($P1201:AV1201)</f>
        <v>#VALUE!</v>
      </c>
      <c r="AX1201" s="446" t="e">
        <f>IF(OR($B1201="",MIN(AX$38,$D$19)&lt;MAX($P$708*($B1201+IF($R$17="Distrato",$I$38-1,0)),IF(AND($L$711=0,$P$708=0),"",$L$711-1),IF($R$17="Distrato",$E1201,0))),0,YEARFRAC(MAX($P$708*($B1201+IF($R$17="Distrato",$I$38-1,0)),IF(AND($L$711=0,$P$708=0),"",$L$711-1),IF($R$17="Distrato",$E1201,0)),MIN(AX$38,$D$19),$P$20))-SUM($P1201:AW1201)</f>
        <v>#VALUE!</v>
      </c>
      <c r="AY1201" s="446" t="e">
        <f>IF(OR($B1201="",MIN(AY$38,$D$19)&lt;MAX($P$708*($B1201+IF($R$17="Distrato",$I$38-1,0)),IF(AND($L$711=0,$P$708=0),"",$L$711-1),IF($R$17="Distrato",$E1201,0))),0,YEARFRAC(MAX($P$708*($B1201+IF($R$17="Distrato",$I$38-1,0)),IF(AND($L$711=0,$P$708=0),"",$L$711-1),IF($R$17="Distrato",$E1201,0)),MIN(AY$38,$D$19),$P$20))-SUM($P1201:AX1201)</f>
        <v>#VALUE!</v>
      </c>
      <c r="AZ1201" s="446" t="e">
        <f>IF(OR($B1201="",MIN(AZ$38,$D$19)&lt;MAX($P$708*($B1201+IF($R$17="Distrato",$I$38-1,0)),IF(AND($L$711=0,$P$708=0),"",$L$711-1),IF($R$17="Distrato",$E1201,0))),0,YEARFRAC(MAX($P$708*($B1201+IF($R$17="Distrato",$I$38-1,0)),IF(AND($L$711=0,$P$708=0),"",$L$711-1),IF($R$17="Distrato",$E1201,0)),MIN(AZ$38,$D$19),$P$20))-SUM($P1201:AY1201)</f>
        <v>#VALUE!</v>
      </c>
      <c r="BA1201" s="446" t="e">
        <f>IF(OR($B1201="",MIN(BA$38,$D$19)&lt;MAX($P$708*($B1201+IF($R$17="Distrato",$I$38-1,0)),IF(AND($L$711=0,$P$708=0),"",$L$711-1),IF($R$17="Distrato",$E1201,0))),0,YEARFRAC(MAX($P$708*($B1201+IF($R$17="Distrato",$I$38-1,0)),IF(AND($L$711=0,$P$708=0),"",$L$711-1),IF($R$17="Distrato",$E1201,0)),MIN(BA$38,$D$19),$P$20))-SUM($P1201:AZ1201)</f>
        <v>#VALUE!</v>
      </c>
      <c r="BB1201" s="447"/>
    </row>
    <row r="1202" spans="1:54" s="446" customFormat="1" ht="11.25" hidden="1" customHeight="1" x14ac:dyDescent="0.2">
      <c r="A1202" s="235"/>
      <c r="B1202" s="236"/>
      <c r="C1202" s="29" t="str">
        <f>IF(B1202="","",IF($L$709=$BL$25,VLOOKUP(DATE(YEAR($D$19),MONTH($D$19)-1,1),ÍNDICES!$A:$DE,HLOOKUP($BL$25,ÍNDICES!$B$3:$T$4,2)+11)-VLOOKUP(B1202,ÍNDICES!$A:$DE,HLOOKUP($BL$25,ÍNDICES!$B$3:$T$4,2)+11)+1%,IF(C$712=$W$26,$J$35,IF(ISERROR(IF(B1202&gt;$D$19,1,VLOOKUP(DATE(YEAR(B1202),MONTH(B1202)+IF($C$709=$S$23,1,0),1),ÍNDICES!$A:$DE,$Z$709+1))),"",IF(B1202&gt;$D$19,1,VLOOKUP(DATE(YEAR(B1202),MONTH(B1202)+IF($C$709=$S$23,1,0),1),ÍNDICES!$A:$DE,$Z$709+1))))))</f>
        <v/>
      </c>
      <c r="D1202" s="155"/>
      <c r="E1202" s="88"/>
      <c r="F1202" s="88"/>
      <c r="G1202" s="88"/>
      <c r="H1202" s="118"/>
      <c r="I1202" s="182">
        <f t="shared" si="164"/>
        <v>0</v>
      </c>
      <c r="J1202" s="20">
        <f t="shared" ca="1" si="165"/>
        <v>0</v>
      </c>
      <c r="K1202" s="5">
        <f t="shared" ca="1" si="166"/>
        <v>0</v>
      </c>
      <c r="L1202" s="61">
        <f t="shared" ca="1" si="167"/>
        <v>0</v>
      </c>
      <c r="M1202" s="64">
        <f t="shared" si="168"/>
        <v>0</v>
      </c>
      <c r="N1202" s="151"/>
      <c r="O1202" s="5">
        <f t="shared" ca="1" si="169"/>
        <v>0</v>
      </c>
      <c r="P1202" s="446" t="e">
        <f t="shared" si="170"/>
        <v>#VALUE!</v>
      </c>
      <c r="Q1202" s="446" t="e">
        <f>IF(OR($B1202="",MIN(Q$38,$D$19)&lt;MAX($P$708*($B1202+IF($R$17="Distrato",$I$38-1,0)),IF(AND($L$711=0,$P$708=0),"",$L$711-1),IF($R$17="Distrato",$E1202,0))),0,YEARFRAC(MAX($P$708*($B1202+IF($R$17="Distrato",$I$38-1,0)),IF(AND($L$711=0,$P$708=0),"",$L$711-1),IF($R$17="Distrato",$E1202,0)),MIN(Q$38,$D$19),$P$20))-SUM($P1202:P1202)</f>
        <v>#VALUE!</v>
      </c>
      <c r="R1202" s="446" t="e">
        <f>IF(OR($B1202="",MIN(R$38,$D$19)&lt;MAX($P$708*($B1202+IF($R$17="Distrato",$I$38-1,0)),IF(AND($L$711=0,$P$708=0),"",$L$711-1),IF($R$17="Distrato",$E1202,0))),0,YEARFRAC(MAX($P$708*($B1202+IF($R$17="Distrato",$I$38-1,0)),IF(AND($L$711=0,$P$708=0),"",$L$711-1),IF($R$17="Distrato",$E1202,0)),MIN(R$38,$D$19),$P$20))-SUM($P1202:Q1202)</f>
        <v>#VALUE!</v>
      </c>
      <c r="S1202" s="446" t="e">
        <f>IF(OR($B1202="",MIN(S$38,$D$19)&lt;MAX($P$708*($B1202+IF($R$17="Distrato",$I$38-1,0)),IF(AND($L$711=0,$P$708=0),"",$L$711-1),IF($R$17="Distrato",$E1202,0))),0,YEARFRAC(MAX($P$708*($B1202+IF($R$17="Distrato",$I$38-1,0)),IF(AND($L$711=0,$P$708=0),"",$L$711-1),IF($R$17="Distrato",$E1202,0)),MIN(S$38,$D$19),$P$20))-SUM($P1202:R1202)</f>
        <v>#VALUE!</v>
      </c>
      <c r="T1202" s="446" t="e">
        <f>IF(OR($B1202="",MIN(T$38,$D$19)&lt;MAX($P$708*($B1202+IF($R$17="Distrato",$I$38-1,0)),IF(AND($L$711=0,$P$708=0),"",$L$711-1),IF($R$17="Distrato",$E1202,0))),0,YEARFRAC(MAX($P$708*($B1202+IF($R$17="Distrato",$I$38-1,0)),IF(AND($L$711=0,$P$708=0),"",$L$711-1),IF($R$17="Distrato",$E1202,0)),MIN(T$38,$D$19),$P$20))-SUM($P1202:S1202)</f>
        <v>#VALUE!</v>
      </c>
      <c r="U1202" s="446" t="e">
        <f>IF(OR($B1202="",MIN(U$38,$D$19)&lt;MAX($P$708*($B1202+IF($R$17="Distrato",$I$38-1,0)),IF(AND($L$711=0,$P$708=0),"",$L$711-1),IF($R$17="Distrato",$E1202,0))),0,YEARFRAC(MAX($P$708*($B1202+IF($R$17="Distrato",$I$38-1,0)),IF(AND($L$711=0,$P$708=0),"",$L$711-1),IF($R$17="Distrato",$E1202,0)),MIN(U$38,$D$19),$P$20))-SUM($P1202:T1202)</f>
        <v>#VALUE!</v>
      </c>
      <c r="V1202" s="446" t="e">
        <f>IF(OR($B1202="",MIN(V$38,$D$19)&lt;MAX($P$708*($B1202+IF($R$17="Distrato",$I$38-1,0)),IF(AND($L$711=0,$P$708=0),"",$L$711-1),IF($R$17="Distrato",$E1202,0))),0,YEARFRAC(MAX($P$708*($B1202+IF($R$17="Distrato",$I$38-1,0)),IF(AND($L$711=0,$P$708=0),"",$L$711-1),IF($R$17="Distrato",$E1202,0)),MIN(V$38,$D$19),$P$20))-SUM($P1202:U1202)</f>
        <v>#VALUE!</v>
      </c>
      <c r="W1202" s="446" t="e">
        <f>IF(OR($B1202="",MIN(W$38,$D$19)&lt;MAX($P$708*($B1202+IF($R$17="Distrato",$I$38-1,0)),IF(AND($L$711=0,$P$708=0),"",$L$711-1),IF($R$17="Distrato",$E1202,0))),0,YEARFRAC(MAX($P$708*($B1202+IF($R$17="Distrato",$I$38-1,0)),IF(AND($L$711=0,$P$708=0),"",$L$711-1),IF($R$17="Distrato",$E1202,0)),MIN(W$38,$D$19),$P$20))-SUM($P1202:V1202)</f>
        <v>#VALUE!</v>
      </c>
      <c r="X1202" s="446" t="e">
        <f>IF(OR($B1202="",MIN(X$38,$D$19)&lt;MAX($P$708*($B1202+IF($R$17="Distrato",$I$38-1,0)),IF(AND($L$711=0,$P$708=0),"",$L$711-1),IF($R$17="Distrato",$E1202,0))),0,YEARFRAC(MAX($P$708*($B1202+IF($R$17="Distrato",$I$38-1,0)),IF(AND($L$711=0,$P$708=0),"",$L$711-1),IF($R$17="Distrato",$E1202,0)),MIN(X$38,$D$19),$P$20))-SUM($P1202:W1202)</f>
        <v>#VALUE!</v>
      </c>
      <c r="Y1202" s="446" t="e">
        <f>IF(OR($B1202="",MIN(Y$38,$D$19)&lt;MAX($P$708*($B1202+IF($R$17="Distrato",$I$38-1,0)),IF(AND($L$711=0,$P$708=0),"",$L$711-1),IF($R$17="Distrato",$E1202,0))),0,YEARFRAC(MAX($P$708*($B1202+IF($R$17="Distrato",$I$38-1,0)),IF(AND($L$711=0,$P$708=0),"",$L$711-1),IF($R$17="Distrato",$E1202,0)),MIN(Y$38,$D$19),$P$20))-SUM($P1202:X1202)</f>
        <v>#VALUE!</v>
      </c>
      <c r="Z1202" s="446" t="e">
        <f>IF(OR($B1202="",MIN(Z$38,$D$19)&lt;MAX($P$708*($B1202+IF($R$17="Distrato",$I$38-1,0)),IF(AND($L$711=0,$P$708=0),"",$L$711-1),IF($R$17="Distrato",$E1202,0))),0,YEARFRAC(MAX($P$708*($B1202+IF($R$17="Distrato",$I$38-1,0)),IF(AND($L$711=0,$P$708=0),"",$L$711-1),IF($R$17="Distrato",$E1202,0)),MIN(Z$38,$D$19),$P$20))-SUM($P1202:Y1202)</f>
        <v>#VALUE!</v>
      </c>
      <c r="AA1202" s="446" t="e">
        <f>IF(OR($B1202="",MIN(AA$38,$D$19)&lt;MAX($P$708*($B1202+IF($R$17="Distrato",$I$38-1,0)),IF(AND($L$711=0,$P$708=0),"",$L$711-1),IF($R$17="Distrato",$E1202,0))),0,YEARFRAC(MAX($P$708*($B1202+IF($R$17="Distrato",$I$38-1,0)),IF(AND($L$711=0,$P$708=0),"",$L$711-1),IF($R$17="Distrato",$E1202,0)),MIN(AA$38,$D$19),$P$20))-SUM($P1202:Z1202)</f>
        <v>#VALUE!</v>
      </c>
      <c r="AB1202" s="446" t="e">
        <f>IF(OR($B1202="",MIN(AB$38,$D$19)&lt;MAX($P$708*($B1202+IF($R$17="Distrato",$I$38-1,0)),IF(AND($L$711=0,$P$708=0),"",$L$711-1),IF($R$17="Distrato",$E1202,0))),0,YEARFRAC(MAX($P$708*($B1202+IF($R$17="Distrato",$I$38-1,0)),IF(AND($L$711=0,$P$708=0),"",$L$711-1),IF($R$17="Distrato",$E1202,0)),MIN(AB$38,$D$19),$P$20))-SUM($P1202:AA1202)</f>
        <v>#VALUE!</v>
      </c>
      <c r="AC1202" s="446" t="e">
        <f>IF(OR($B1202="",MIN(AC$38,$D$19)&lt;MAX($P$708*($B1202+IF($R$17="Distrato",$I$38-1,0)),IF(AND($L$711=0,$P$708=0),"",$L$711-1),IF($R$17="Distrato",$E1202,0))),0,YEARFRAC(MAX($P$708*($B1202+IF($R$17="Distrato",$I$38-1,0)),IF(AND($L$711=0,$P$708=0),"",$L$711-1),IF($R$17="Distrato",$E1202,0)),MIN(AC$38,$D$19),$P$20))-SUM($P1202:AB1202)</f>
        <v>#VALUE!</v>
      </c>
      <c r="AD1202" s="446" t="e">
        <f>IF(OR($B1202="",MIN(AD$38,$D$19)&lt;MAX($P$708*($B1202+IF($R$17="Distrato",$I$38-1,0)),IF(AND($L$711=0,$P$708=0),"",$L$711-1),IF($R$17="Distrato",$E1202,0))),0,YEARFRAC(MAX($P$708*($B1202+IF($R$17="Distrato",$I$38-1,0)),IF(AND($L$711=0,$P$708=0),"",$L$711-1),IF($R$17="Distrato",$E1202,0)),MIN(AD$38,$D$19),$P$20))-SUM($P1202:AC1202)</f>
        <v>#VALUE!</v>
      </c>
      <c r="AE1202" s="446" t="e">
        <f>IF(OR($B1202="",MIN(AE$38,$D$19)&lt;MAX($P$708*($B1202+IF($R$17="Distrato",$I$38-1,0)),IF(AND($L$711=0,$P$708=0),"",$L$711-1),IF($R$17="Distrato",$E1202,0))),0,YEARFRAC(MAX($P$708*($B1202+IF($R$17="Distrato",$I$38-1,0)),IF(AND($L$711=0,$P$708=0),"",$L$711-1),IF($R$17="Distrato",$E1202,0)),MIN(AE$38,$D$19),$P$20))-SUM($P1202:AD1202)</f>
        <v>#VALUE!</v>
      </c>
      <c r="AF1202" s="446" t="e">
        <f>IF(OR($B1202="",MIN(AF$38,$D$19)&lt;MAX($P$708*($B1202+IF($R$17="Distrato",$I$38-1,0)),IF(AND($L$711=0,$P$708=0),"",$L$711-1),IF($R$17="Distrato",$E1202,0))),0,YEARFRAC(MAX($P$708*($B1202+IF($R$17="Distrato",$I$38-1,0)),IF(AND($L$711=0,$P$708=0),"",$L$711-1),IF($R$17="Distrato",$E1202,0)),MIN(AF$38,$D$19),$P$20))-SUM($P1202:AE1202)</f>
        <v>#VALUE!</v>
      </c>
      <c r="AG1202" s="446" t="e">
        <f>IF(OR($B1202="",MIN(AG$38,$D$19)&lt;MAX($P$708*($B1202+IF($R$17="Distrato",$I$38-1,0)),IF(AND($L$711=0,$P$708=0),"",$L$711-1),IF($R$17="Distrato",$E1202,0))),0,YEARFRAC(MAX($P$708*($B1202+IF($R$17="Distrato",$I$38-1,0)),IF(AND($L$711=0,$P$708=0),"",$L$711-1),IF($R$17="Distrato",$E1202,0)),MIN(AG$38,$D$19),$P$20))-SUM($P1202:AF1202)</f>
        <v>#VALUE!</v>
      </c>
      <c r="AH1202" s="446" t="e">
        <f>IF(OR($B1202="",MIN(AH$38,$D$19)&lt;MAX($P$708*($B1202+IF($R$17="Distrato",$I$38-1,0)),IF(AND($L$711=0,$P$708=0),"",$L$711-1),IF($R$17="Distrato",$E1202,0))),0,YEARFRAC(MAX($P$708*($B1202+IF($R$17="Distrato",$I$38-1,0)),IF(AND($L$711=0,$P$708=0),"",$L$711-1),IF($R$17="Distrato",$E1202,0)),MIN(AH$38,$D$19),$P$20))-SUM($P1202:AG1202)</f>
        <v>#VALUE!</v>
      </c>
      <c r="AI1202" s="446" t="e">
        <f>IF(OR($B1202="",MIN(AI$38,$D$19)&lt;MAX($P$708*($B1202+IF($R$17="Distrato",$I$38-1,0)),IF(AND($L$711=0,$P$708=0),"",$L$711-1),IF($R$17="Distrato",$E1202,0))),0,YEARFRAC(MAX($P$708*($B1202+IF($R$17="Distrato",$I$38-1,0)),IF(AND($L$711=0,$P$708=0),"",$L$711-1),IF($R$17="Distrato",$E1202,0)),MIN(AI$38,$D$19),$P$20))-SUM($P1202:AH1202)</f>
        <v>#VALUE!</v>
      </c>
      <c r="AJ1202" s="446" t="e">
        <f>IF(OR($B1202="",MIN(AJ$38,$D$19)&lt;MAX($P$708*($B1202+IF($R$17="Distrato",$I$38-1,0)),IF(AND($L$711=0,$P$708=0),"",$L$711-1),IF($R$17="Distrato",$E1202,0))),0,YEARFRAC(MAX($P$708*($B1202+IF($R$17="Distrato",$I$38-1,0)),IF(AND($L$711=0,$P$708=0),"",$L$711-1),IF($R$17="Distrato",$E1202,0)),MIN(AJ$38,$D$19),$P$20))-SUM($P1202:AI1202)</f>
        <v>#VALUE!</v>
      </c>
      <c r="AK1202" s="446" t="e">
        <f>IF(OR($B1202="",MIN(AK$38,$D$19)&lt;MAX($P$708*($B1202+IF($R$17="Distrato",$I$38-1,0)),IF(AND($L$711=0,$P$708=0),"",$L$711-1),IF($R$17="Distrato",$E1202,0))),0,YEARFRAC(MAX($P$708*($B1202+IF($R$17="Distrato",$I$38-1,0)),IF(AND($L$711=0,$P$708=0),"",$L$711-1),IF($R$17="Distrato",$E1202,0)),MIN(AK$38,$D$19),$P$20))-SUM($P1202:AJ1202)</f>
        <v>#VALUE!</v>
      </c>
      <c r="AL1202" s="446" t="e">
        <f>IF(OR($B1202="",MIN(AL$38,$D$19)&lt;MAX($P$708*($B1202+IF($R$17="Distrato",$I$38-1,0)),IF(AND($L$711=0,$P$708=0),"",$L$711-1),IF($R$17="Distrato",$E1202,0))),0,YEARFRAC(MAX($P$708*($B1202+IF($R$17="Distrato",$I$38-1,0)),IF(AND($L$711=0,$P$708=0),"",$L$711-1),IF($R$17="Distrato",$E1202,0)),MIN(AL$38,$D$19),$P$20))-SUM($P1202:AK1202)</f>
        <v>#VALUE!</v>
      </c>
      <c r="AM1202" s="446" t="e">
        <f>IF(OR($B1202="",MIN(AM$38,$D$19)&lt;MAX($P$708*($B1202+IF($R$17="Distrato",$I$38-1,0)),IF(AND($L$711=0,$P$708=0),"",$L$711-1),IF($R$17="Distrato",$E1202,0))),0,YEARFRAC(MAX($P$708*($B1202+IF($R$17="Distrato",$I$38-1,0)),IF(AND($L$711=0,$P$708=0),"",$L$711-1),IF($R$17="Distrato",$E1202,0)),MIN(AM$38,$D$19),$P$20))-SUM($P1202:AL1202)</f>
        <v>#VALUE!</v>
      </c>
      <c r="AN1202" s="446" t="e">
        <f>IF(OR($B1202="",MIN(AN$38,$D$19)&lt;MAX($P$708*($B1202+IF($R$17="Distrato",$I$38-1,0)),IF(AND($L$711=0,$P$708=0),"",$L$711-1),IF($R$17="Distrato",$E1202,0))),0,YEARFRAC(MAX($P$708*($B1202+IF($R$17="Distrato",$I$38-1,0)),IF(AND($L$711=0,$P$708=0),"",$L$711-1),IF($R$17="Distrato",$E1202,0)),MIN(AN$38,$D$19),$P$20))-SUM($P1202:AM1202)</f>
        <v>#VALUE!</v>
      </c>
      <c r="AO1202" s="446" t="e">
        <f>IF(OR($B1202="",MIN(AO$38,$D$19)&lt;MAX($P$708*($B1202+IF($R$17="Distrato",$I$38-1,0)),IF(AND($L$711=0,$P$708=0),"",$L$711-1),IF($R$17="Distrato",$E1202,0))),0,YEARFRAC(MAX($P$708*($B1202+IF($R$17="Distrato",$I$38-1,0)),IF(AND($L$711=0,$P$708=0),"",$L$711-1),IF($R$17="Distrato",$E1202,0)),MIN(AO$38,$D$19),$P$20))-SUM($P1202:AN1202)</f>
        <v>#VALUE!</v>
      </c>
      <c r="AP1202" s="446" t="e">
        <f>IF(OR($B1202="",MIN(AP$38,$D$19)&lt;MAX($P$708*($B1202+IF($R$17="Distrato",$I$38-1,0)),IF(AND($L$711=0,$P$708=0),"",$L$711-1),IF($R$17="Distrato",$E1202,0))),0,YEARFRAC(MAX($P$708*($B1202+IF($R$17="Distrato",$I$38-1,0)),IF(AND($L$711=0,$P$708=0),"",$L$711-1),IF($R$17="Distrato",$E1202,0)),MIN(AP$38,$D$19),$P$20))-SUM($P1202:AO1202)</f>
        <v>#VALUE!</v>
      </c>
      <c r="AQ1202" s="446" t="e">
        <f>IF(OR($B1202="",MIN(AQ$38,$D$19)&lt;MAX($P$708*($B1202+IF($R$17="Distrato",$I$38-1,0)),IF(AND($L$711=0,$P$708=0),"",$L$711-1),IF($R$17="Distrato",$E1202,0))),0,YEARFRAC(MAX($P$708*($B1202+IF($R$17="Distrato",$I$38-1,0)),IF(AND($L$711=0,$P$708=0),"",$L$711-1),IF($R$17="Distrato",$E1202,0)),MIN(AQ$38,$D$19),$P$20))-SUM($P1202:AP1202)</f>
        <v>#VALUE!</v>
      </c>
      <c r="AR1202" s="446" t="e">
        <f>IF(OR($B1202="",MIN(AR$38,$D$19)&lt;MAX($P$708*($B1202+IF($R$17="Distrato",$I$38-1,0)),IF(AND($L$711=0,$P$708=0),"",$L$711-1),IF($R$17="Distrato",$E1202,0))),0,YEARFRAC(MAX($P$708*($B1202+IF($R$17="Distrato",$I$38-1,0)),IF(AND($L$711=0,$P$708=0),"",$L$711-1),IF($R$17="Distrato",$E1202,0)),MIN(AR$38,$D$19),$P$20))-SUM($P1202:AQ1202)</f>
        <v>#VALUE!</v>
      </c>
      <c r="AS1202" s="446" t="e">
        <f>IF(OR($B1202="",MIN(AS$38,$D$19)&lt;MAX($P$708*($B1202+IF($R$17="Distrato",$I$38-1,0)),IF(AND($L$711=0,$P$708=0),"",$L$711-1),IF($R$17="Distrato",$E1202,0))),0,YEARFRAC(MAX($P$708*($B1202+IF($R$17="Distrato",$I$38-1,0)),IF(AND($L$711=0,$P$708=0),"",$L$711-1),IF($R$17="Distrato",$E1202,0)),MIN(AS$38,$D$19),$P$20))-SUM($P1202:AR1202)</f>
        <v>#VALUE!</v>
      </c>
      <c r="AT1202" s="446" t="e">
        <f>IF(OR($B1202="",MIN(AT$38,$D$19)&lt;MAX($P$708*($B1202+IF($R$17="Distrato",$I$38-1,0)),IF(AND($L$711=0,$P$708=0),"",$L$711-1),IF($R$17="Distrato",$E1202,0))),0,YEARFRAC(MAX($P$708*($B1202+IF($R$17="Distrato",$I$38-1,0)),IF(AND($L$711=0,$P$708=0),"",$L$711-1),IF($R$17="Distrato",$E1202,0)),MIN(AT$38,$D$19),$P$20))-SUM($P1202:AS1202)</f>
        <v>#VALUE!</v>
      </c>
      <c r="AU1202" s="446" t="e">
        <f>IF(OR($B1202="",MIN(AU$38,$D$19)&lt;MAX($P$708*($B1202+IF($R$17="Distrato",$I$38-1,0)),IF(AND($L$711=0,$P$708=0),"",$L$711-1),IF($R$17="Distrato",$E1202,0))),0,YEARFRAC(MAX($P$708*($B1202+IF($R$17="Distrato",$I$38-1,0)),IF(AND($L$711=0,$P$708=0),"",$L$711-1),IF($R$17="Distrato",$E1202,0)),MIN(AU$38,$D$19),$P$20))-SUM($P1202:AT1202)</f>
        <v>#VALUE!</v>
      </c>
      <c r="AV1202" s="446" t="e">
        <f>IF(OR($B1202="",MIN(AV$38,$D$19)&lt;MAX($P$708*($B1202+IF($R$17="Distrato",$I$38-1,0)),IF(AND($L$711=0,$P$708=0),"",$L$711-1),IF($R$17="Distrato",$E1202,0))),0,YEARFRAC(MAX($P$708*($B1202+IF($R$17="Distrato",$I$38-1,0)),IF(AND($L$711=0,$P$708=0),"",$L$711-1),IF($R$17="Distrato",$E1202,0)),MIN(AV$38,$D$19),$P$20))-SUM($P1202:AU1202)</f>
        <v>#VALUE!</v>
      </c>
      <c r="AW1202" s="446" t="e">
        <f>IF(OR($B1202="",MIN(AW$38,$D$19)&lt;MAX($P$708*($B1202+IF($R$17="Distrato",$I$38-1,0)),IF(AND($L$711=0,$P$708=0),"",$L$711-1),IF($R$17="Distrato",$E1202,0))),0,YEARFRAC(MAX($P$708*($B1202+IF($R$17="Distrato",$I$38-1,0)),IF(AND($L$711=0,$P$708=0),"",$L$711-1),IF($R$17="Distrato",$E1202,0)),MIN(AW$38,$D$19),$P$20))-SUM($P1202:AV1202)</f>
        <v>#VALUE!</v>
      </c>
      <c r="AX1202" s="446" t="e">
        <f>IF(OR($B1202="",MIN(AX$38,$D$19)&lt;MAX($P$708*($B1202+IF($R$17="Distrato",$I$38-1,0)),IF(AND($L$711=0,$P$708=0),"",$L$711-1),IF($R$17="Distrato",$E1202,0))),0,YEARFRAC(MAX($P$708*($B1202+IF($R$17="Distrato",$I$38-1,0)),IF(AND($L$711=0,$P$708=0),"",$L$711-1),IF($R$17="Distrato",$E1202,0)),MIN(AX$38,$D$19),$P$20))-SUM($P1202:AW1202)</f>
        <v>#VALUE!</v>
      </c>
      <c r="AY1202" s="446" t="e">
        <f>IF(OR($B1202="",MIN(AY$38,$D$19)&lt;MAX($P$708*($B1202+IF($R$17="Distrato",$I$38-1,0)),IF(AND($L$711=0,$P$708=0),"",$L$711-1),IF($R$17="Distrato",$E1202,0))),0,YEARFRAC(MAX($P$708*($B1202+IF($R$17="Distrato",$I$38-1,0)),IF(AND($L$711=0,$P$708=0),"",$L$711-1),IF($R$17="Distrato",$E1202,0)),MIN(AY$38,$D$19),$P$20))-SUM($P1202:AX1202)</f>
        <v>#VALUE!</v>
      </c>
      <c r="AZ1202" s="446" t="e">
        <f>IF(OR($B1202="",MIN(AZ$38,$D$19)&lt;MAX($P$708*($B1202+IF($R$17="Distrato",$I$38-1,0)),IF(AND($L$711=0,$P$708=0),"",$L$711-1),IF($R$17="Distrato",$E1202,0))),0,YEARFRAC(MAX($P$708*($B1202+IF($R$17="Distrato",$I$38-1,0)),IF(AND($L$711=0,$P$708=0),"",$L$711-1),IF($R$17="Distrato",$E1202,0)),MIN(AZ$38,$D$19),$P$20))-SUM($P1202:AY1202)</f>
        <v>#VALUE!</v>
      </c>
      <c r="BA1202" s="446" t="e">
        <f>IF(OR($B1202="",MIN(BA$38,$D$19)&lt;MAX($P$708*($B1202+IF($R$17="Distrato",$I$38-1,0)),IF(AND($L$711=0,$P$708=0),"",$L$711-1),IF($R$17="Distrato",$E1202,0))),0,YEARFRAC(MAX($P$708*($B1202+IF($R$17="Distrato",$I$38-1,0)),IF(AND($L$711=0,$P$708=0),"",$L$711-1),IF($R$17="Distrato",$E1202,0)),MIN(BA$38,$D$19),$P$20))-SUM($P1202:AZ1202)</f>
        <v>#VALUE!</v>
      </c>
      <c r="BB1202" s="447"/>
    </row>
    <row r="1203" spans="1:54" s="446" customFormat="1" ht="11.25" hidden="1" customHeight="1" x14ac:dyDescent="0.2">
      <c r="A1203" s="235"/>
      <c r="B1203" s="236"/>
      <c r="C1203" s="29" t="str">
        <f>IF(B1203="","",IF($L$709=$BL$25,VLOOKUP(DATE(YEAR($D$19),MONTH($D$19)-1,1),ÍNDICES!$A:$DE,HLOOKUP($BL$25,ÍNDICES!$B$3:$T$4,2)+11)-VLOOKUP(B1203,ÍNDICES!$A:$DE,HLOOKUP($BL$25,ÍNDICES!$B$3:$T$4,2)+11)+1%,IF(C$712=$W$26,$J$35,IF(ISERROR(IF(B1203&gt;$D$19,1,VLOOKUP(DATE(YEAR(B1203),MONTH(B1203)+IF($C$709=$S$23,1,0),1),ÍNDICES!$A:$DE,$Z$709+1))),"",IF(B1203&gt;$D$19,1,VLOOKUP(DATE(YEAR(B1203),MONTH(B1203)+IF($C$709=$S$23,1,0),1),ÍNDICES!$A:$DE,$Z$709+1))))))</f>
        <v/>
      </c>
      <c r="D1203" s="155"/>
      <c r="E1203" s="88"/>
      <c r="F1203" s="88"/>
      <c r="G1203" s="88"/>
      <c r="H1203" s="118"/>
      <c r="I1203" s="182">
        <f t="shared" si="164"/>
        <v>0</v>
      </c>
      <c r="J1203" s="20">
        <f t="shared" ca="1" si="165"/>
        <v>0</v>
      </c>
      <c r="K1203" s="5">
        <f t="shared" ca="1" si="166"/>
        <v>0</v>
      </c>
      <c r="L1203" s="61">
        <f t="shared" ca="1" si="167"/>
        <v>0</v>
      </c>
      <c r="M1203" s="64">
        <f t="shared" si="168"/>
        <v>0</v>
      </c>
      <c r="N1203" s="151"/>
      <c r="O1203" s="5">
        <f t="shared" ca="1" si="169"/>
        <v>0</v>
      </c>
      <c r="P1203" s="446" t="e">
        <f t="shared" si="170"/>
        <v>#VALUE!</v>
      </c>
      <c r="Q1203" s="446" t="e">
        <f>IF(OR($B1203="",MIN(Q$38,$D$19)&lt;MAX($P$708*($B1203+IF($R$17="Distrato",$I$38-1,0)),IF(AND($L$711=0,$P$708=0),"",$L$711-1),IF($R$17="Distrato",$E1203,0))),0,YEARFRAC(MAX($P$708*($B1203+IF($R$17="Distrato",$I$38-1,0)),IF(AND($L$711=0,$P$708=0),"",$L$711-1),IF($R$17="Distrato",$E1203,0)),MIN(Q$38,$D$19),$P$20))-SUM($P1203:P1203)</f>
        <v>#VALUE!</v>
      </c>
      <c r="R1203" s="446" t="e">
        <f>IF(OR($B1203="",MIN(R$38,$D$19)&lt;MAX($P$708*($B1203+IF($R$17="Distrato",$I$38-1,0)),IF(AND($L$711=0,$P$708=0),"",$L$711-1),IF($R$17="Distrato",$E1203,0))),0,YEARFRAC(MAX($P$708*($B1203+IF($R$17="Distrato",$I$38-1,0)),IF(AND($L$711=0,$P$708=0),"",$L$711-1),IF($R$17="Distrato",$E1203,0)),MIN(R$38,$D$19),$P$20))-SUM($P1203:Q1203)</f>
        <v>#VALUE!</v>
      </c>
      <c r="S1203" s="446" t="e">
        <f>IF(OR($B1203="",MIN(S$38,$D$19)&lt;MAX($P$708*($B1203+IF($R$17="Distrato",$I$38-1,0)),IF(AND($L$711=0,$P$708=0),"",$L$711-1),IF($R$17="Distrato",$E1203,0))),0,YEARFRAC(MAX($P$708*($B1203+IF($R$17="Distrato",$I$38-1,0)),IF(AND($L$711=0,$P$708=0),"",$L$711-1),IF($R$17="Distrato",$E1203,0)),MIN(S$38,$D$19),$P$20))-SUM($P1203:R1203)</f>
        <v>#VALUE!</v>
      </c>
      <c r="T1203" s="446" t="e">
        <f>IF(OR($B1203="",MIN(T$38,$D$19)&lt;MAX($P$708*($B1203+IF($R$17="Distrato",$I$38-1,0)),IF(AND($L$711=0,$P$708=0),"",$L$711-1),IF($R$17="Distrato",$E1203,0))),0,YEARFRAC(MAX($P$708*($B1203+IF($R$17="Distrato",$I$38-1,0)),IF(AND($L$711=0,$P$708=0),"",$L$711-1),IF($R$17="Distrato",$E1203,0)),MIN(T$38,$D$19),$P$20))-SUM($P1203:S1203)</f>
        <v>#VALUE!</v>
      </c>
      <c r="U1203" s="446" t="e">
        <f>IF(OR($B1203="",MIN(U$38,$D$19)&lt;MAX($P$708*($B1203+IF($R$17="Distrato",$I$38-1,0)),IF(AND($L$711=0,$P$708=0),"",$L$711-1),IF($R$17="Distrato",$E1203,0))),0,YEARFRAC(MAX($P$708*($B1203+IF($R$17="Distrato",$I$38-1,0)),IF(AND($L$711=0,$P$708=0),"",$L$711-1),IF($R$17="Distrato",$E1203,0)),MIN(U$38,$D$19),$P$20))-SUM($P1203:T1203)</f>
        <v>#VALUE!</v>
      </c>
      <c r="V1203" s="446" t="e">
        <f>IF(OR($B1203="",MIN(V$38,$D$19)&lt;MAX($P$708*($B1203+IF($R$17="Distrato",$I$38-1,0)),IF(AND($L$711=0,$P$708=0),"",$L$711-1),IF($R$17="Distrato",$E1203,0))),0,YEARFRAC(MAX($P$708*($B1203+IF($R$17="Distrato",$I$38-1,0)),IF(AND($L$711=0,$P$708=0),"",$L$711-1),IF($R$17="Distrato",$E1203,0)),MIN(V$38,$D$19),$P$20))-SUM($P1203:U1203)</f>
        <v>#VALUE!</v>
      </c>
      <c r="W1203" s="446" t="e">
        <f>IF(OR($B1203="",MIN(W$38,$D$19)&lt;MAX($P$708*($B1203+IF($R$17="Distrato",$I$38-1,0)),IF(AND($L$711=0,$P$708=0),"",$L$711-1),IF($R$17="Distrato",$E1203,0))),0,YEARFRAC(MAX($P$708*($B1203+IF($R$17="Distrato",$I$38-1,0)),IF(AND($L$711=0,$P$708=0),"",$L$711-1),IF($R$17="Distrato",$E1203,0)),MIN(W$38,$D$19),$P$20))-SUM($P1203:V1203)</f>
        <v>#VALUE!</v>
      </c>
      <c r="X1203" s="446" t="e">
        <f>IF(OR($B1203="",MIN(X$38,$D$19)&lt;MAX($P$708*($B1203+IF($R$17="Distrato",$I$38-1,0)),IF(AND($L$711=0,$P$708=0),"",$L$711-1),IF($R$17="Distrato",$E1203,0))),0,YEARFRAC(MAX($P$708*($B1203+IF($R$17="Distrato",$I$38-1,0)),IF(AND($L$711=0,$P$708=0),"",$L$711-1),IF($R$17="Distrato",$E1203,0)),MIN(X$38,$D$19),$P$20))-SUM($P1203:W1203)</f>
        <v>#VALUE!</v>
      </c>
      <c r="Y1203" s="446" t="e">
        <f>IF(OR($B1203="",MIN(Y$38,$D$19)&lt;MAX($P$708*($B1203+IF($R$17="Distrato",$I$38-1,0)),IF(AND($L$711=0,$P$708=0),"",$L$711-1),IF($R$17="Distrato",$E1203,0))),0,YEARFRAC(MAX($P$708*($B1203+IF($R$17="Distrato",$I$38-1,0)),IF(AND($L$711=0,$P$708=0),"",$L$711-1),IF($R$17="Distrato",$E1203,0)),MIN(Y$38,$D$19),$P$20))-SUM($P1203:X1203)</f>
        <v>#VALUE!</v>
      </c>
      <c r="Z1203" s="446" t="e">
        <f>IF(OR($B1203="",MIN(Z$38,$D$19)&lt;MAX($P$708*($B1203+IF($R$17="Distrato",$I$38-1,0)),IF(AND($L$711=0,$P$708=0),"",$L$711-1),IF($R$17="Distrato",$E1203,0))),0,YEARFRAC(MAX($P$708*($B1203+IF($R$17="Distrato",$I$38-1,0)),IF(AND($L$711=0,$P$708=0),"",$L$711-1),IF($R$17="Distrato",$E1203,0)),MIN(Z$38,$D$19),$P$20))-SUM($P1203:Y1203)</f>
        <v>#VALUE!</v>
      </c>
      <c r="AA1203" s="446" t="e">
        <f>IF(OR($B1203="",MIN(AA$38,$D$19)&lt;MAX($P$708*($B1203+IF($R$17="Distrato",$I$38-1,0)),IF(AND($L$711=0,$P$708=0),"",$L$711-1),IF($R$17="Distrato",$E1203,0))),0,YEARFRAC(MAX($P$708*($B1203+IF($R$17="Distrato",$I$38-1,0)),IF(AND($L$711=0,$P$708=0),"",$L$711-1),IF($R$17="Distrato",$E1203,0)),MIN(AA$38,$D$19),$P$20))-SUM($P1203:Z1203)</f>
        <v>#VALUE!</v>
      </c>
      <c r="AB1203" s="446" t="e">
        <f>IF(OR($B1203="",MIN(AB$38,$D$19)&lt;MAX($P$708*($B1203+IF($R$17="Distrato",$I$38-1,0)),IF(AND($L$711=0,$P$708=0),"",$L$711-1),IF($R$17="Distrato",$E1203,0))),0,YEARFRAC(MAX($P$708*($B1203+IF($R$17="Distrato",$I$38-1,0)),IF(AND($L$711=0,$P$708=0),"",$L$711-1),IF($R$17="Distrato",$E1203,0)),MIN(AB$38,$D$19),$P$20))-SUM($P1203:AA1203)</f>
        <v>#VALUE!</v>
      </c>
      <c r="AC1203" s="446" t="e">
        <f>IF(OR($B1203="",MIN(AC$38,$D$19)&lt;MAX($P$708*($B1203+IF($R$17="Distrato",$I$38-1,0)),IF(AND($L$711=0,$P$708=0),"",$L$711-1),IF($R$17="Distrato",$E1203,0))),0,YEARFRAC(MAX($P$708*($B1203+IF($R$17="Distrato",$I$38-1,0)),IF(AND($L$711=0,$P$708=0),"",$L$711-1),IF($R$17="Distrato",$E1203,0)),MIN(AC$38,$D$19),$P$20))-SUM($P1203:AB1203)</f>
        <v>#VALUE!</v>
      </c>
      <c r="AD1203" s="446" t="e">
        <f>IF(OR($B1203="",MIN(AD$38,$D$19)&lt;MAX($P$708*($B1203+IF($R$17="Distrato",$I$38-1,0)),IF(AND($L$711=0,$P$708=0),"",$L$711-1),IF($R$17="Distrato",$E1203,0))),0,YEARFRAC(MAX($P$708*($B1203+IF($R$17="Distrato",$I$38-1,0)),IF(AND($L$711=0,$P$708=0),"",$L$711-1),IF($R$17="Distrato",$E1203,0)),MIN(AD$38,$D$19),$P$20))-SUM($P1203:AC1203)</f>
        <v>#VALUE!</v>
      </c>
      <c r="AE1203" s="446" t="e">
        <f>IF(OR($B1203="",MIN(AE$38,$D$19)&lt;MAX($P$708*($B1203+IF($R$17="Distrato",$I$38-1,0)),IF(AND($L$711=0,$P$708=0),"",$L$711-1),IF($R$17="Distrato",$E1203,0))),0,YEARFRAC(MAX($P$708*($B1203+IF($R$17="Distrato",$I$38-1,0)),IF(AND($L$711=0,$P$708=0),"",$L$711-1),IF($R$17="Distrato",$E1203,0)),MIN(AE$38,$D$19),$P$20))-SUM($P1203:AD1203)</f>
        <v>#VALUE!</v>
      </c>
      <c r="AF1203" s="446" t="e">
        <f>IF(OR($B1203="",MIN(AF$38,$D$19)&lt;MAX($P$708*($B1203+IF($R$17="Distrato",$I$38-1,0)),IF(AND($L$711=0,$P$708=0),"",$L$711-1),IF($R$17="Distrato",$E1203,0))),0,YEARFRAC(MAX($P$708*($B1203+IF($R$17="Distrato",$I$38-1,0)),IF(AND($L$711=0,$P$708=0),"",$L$711-1),IF($R$17="Distrato",$E1203,0)),MIN(AF$38,$D$19),$P$20))-SUM($P1203:AE1203)</f>
        <v>#VALUE!</v>
      </c>
      <c r="AG1203" s="446" t="e">
        <f>IF(OR($B1203="",MIN(AG$38,$D$19)&lt;MAX($P$708*($B1203+IF($R$17="Distrato",$I$38-1,0)),IF(AND($L$711=0,$P$708=0),"",$L$711-1),IF($R$17="Distrato",$E1203,0))),0,YEARFRAC(MAX($P$708*($B1203+IF($R$17="Distrato",$I$38-1,0)),IF(AND($L$711=0,$P$708=0),"",$L$711-1),IF($R$17="Distrato",$E1203,0)),MIN(AG$38,$D$19),$P$20))-SUM($P1203:AF1203)</f>
        <v>#VALUE!</v>
      </c>
      <c r="AH1203" s="446" t="e">
        <f>IF(OR($B1203="",MIN(AH$38,$D$19)&lt;MAX($P$708*($B1203+IF($R$17="Distrato",$I$38-1,0)),IF(AND($L$711=0,$P$708=0),"",$L$711-1),IF($R$17="Distrato",$E1203,0))),0,YEARFRAC(MAX($P$708*($B1203+IF($R$17="Distrato",$I$38-1,0)),IF(AND($L$711=0,$P$708=0),"",$L$711-1),IF($R$17="Distrato",$E1203,0)),MIN(AH$38,$D$19),$P$20))-SUM($P1203:AG1203)</f>
        <v>#VALUE!</v>
      </c>
      <c r="AI1203" s="446" t="e">
        <f>IF(OR($B1203="",MIN(AI$38,$D$19)&lt;MAX($P$708*($B1203+IF($R$17="Distrato",$I$38-1,0)),IF(AND($L$711=0,$P$708=0),"",$L$711-1),IF($R$17="Distrato",$E1203,0))),0,YEARFRAC(MAX($P$708*($B1203+IF($R$17="Distrato",$I$38-1,0)),IF(AND($L$711=0,$P$708=0),"",$L$711-1),IF($R$17="Distrato",$E1203,0)),MIN(AI$38,$D$19),$P$20))-SUM($P1203:AH1203)</f>
        <v>#VALUE!</v>
      </c>
      <c r="AJ1203" s="446" t="e">
        <f>IF(OR($B1203="",MIN(AJ$38,$D$19)&lt;MAX($P$708*($B1203+IF($R$17="Distrato",$I$38-1,0)),IF(AND($L$711=0,$P$708=0),"",$L$711-1),IF($R$17="Distrato",$E1203,0))),0,YEARFRAC(MAX($P$708*($B1203+IF($R$17="Distrato",$I$38-1,0)),IF(AND($L$711=0,$P$708=0),"",$L$711-1),IF($R$17="Distrato",$E1203,0)),MIN(AJ$38,$D$19),$P$20))-SUM($P1203:AI1203)</f>
        <v>#VALUE!</v>
      </c>
      <c r="AK1203" s="446" t="e">
        <f>IF(OR($B1203="",MIN(AK$38,$D$19)&lt;MAX($P$708*($B1203+IF($R$17="Distrato",$I$38-1,0)),IF(AND($L$711=0,$P$708=0),"",$L$711-1),IF($R$17="Distrato",$E1203,0))),0,YEARFRAC(MAX($P$708*($B1203+IF($R$17="Distrato",$I$38-1,0)),IF(AND($L$711=0,$P$708=0),"",$L$711-1),IF($R$17="Distrato",$E1203,0)),MIN(AK$38,$D$19),$P$20))-SUM($P1203:AJ1203)</f>
        <v>#VALUE!</v>
      </c>
      <c r="AL1203" s="446" t="e">
        <f>IF(OR($B1203="",MIN(AL$38,$D$19)&lt;MAX($P$708*($B1203+IF($R$17="Distrato",$I$38-1,0)),IF(AND($L$711=0,$P$708=0),"",$L$711-1),IF($R$17="Distrato",$E1203,0))),0,YEARFRAC(MAX($P$708*($B1203+IF($R$17="Distrato",$I$38-1,0)),IF(AND($L$711=0,$P$708=0),"",$L$711-1),IF($R$17="Distrato",$E1203,0)),MIN(AL$38,$D$19),$P$20))-SUM($P1203:AK1203)</f>
        <v>#VALUE!</v>
      </c>
      <c r="AM1203" s="446" t="e">
        <f>IF(OR($B1203="",MIN(AM$38,$D$19)&lt;MAX($P$708*($B1203+IF($R$17="Distrato",$I$38-1,0)),IF(AND($L$711=0,$P$708=0),"",$L$711-1),IF($R$17="Distrato",$E1203,0))),0,YEARFRAC(MAX($P$708*($B1203+IF($R$17="Distrato",$I$38-1,0)),IF(AND($L$711=0,$P$708=0),"",$L$711-1),IF($R$17="Distrato",$E1203,0)),MIN(AM$38,$D$19),$P$20))-SUM($P1203:AL1203)</f>
        <v>#VALUE!</v>
      </c>
      <c r="AN1203" s="446" t="e">
        <f>IF(OR($B1203="",MIN(AN$38,$D$19)&lt;MAX($P$708*($B1203+IF($R$17="Distrato",$I$38-1,0)),IF(AND($L$711=0,$P$708=0),"",$L$711-1),IF($R$17="Distrato",$E1203,0))),0,YEARFRAC(MAX($P$708*($B1203+IF($R$17="Distrato",$I$38-1,0)),IF(AND($L$711=0,$P$708=0),"",$L$711-1),IF($R$17="Distrato",$E1203,0)),MIN(AN$38,$D$19),$P$20))-SUM($P1203:AM1203)</f>
        <v>#VALUE!</v>
      </c>
      <c r="AO1203" s="446" t="e">
        <f>IF(OR($B1203="",MIN(AO$38,$D$19)&lt;MAX($P$708*($B1203+IF($R$17="Distrato",$I$38-1,0)),IF(AND($L$711=0,$P$708=0),"",$L$711-1),IF($R$17="Distrato",$E1203,0))),0,YEARFRAC(MAX($P$708*($B1203+IF($R$17="Distrato",$I$38-1,0)),IF(AND($L$711=0,$P$708=0),"",$L$711-1),IF($R$17="Distrato",$E1203,0)),MIN(AO$38,$D$19),$P$20))-SUM($P1203:AN1203)</f>
        <v>#VALUE!</v>
      </c>
      <c r="AP1203" s="446" t="e">
        <f>IF(OR($B1203="",MIN(AP$38,$D$19)&lt;MAX($P$708*($B1203+IF($R$17="Distrato",$I$38-1,0)),IF(AND($L$711=0,$P$708=0),"",$L$711-1),IF($R$17="Distrato",$E1203,0))),0,YEARFRAC(MAX($P$708*($B1203+IF($R$17="Distrato",$I$38-1,0)),IF(AND($L$711=0,$P$708=0),"",$L$711-1),IF($R$17="Distrato",$E1203,0)),MIN(AP$38,$D$19),$P$20))-SUM($P1203:AO1203)</f>
        <v>#VALUE!</v>
      </c>
      <c r="AQ1203" s="446" t="e">
        <f>IF(OR($B1203="",MIN(AQ$38,$D$19)&lt;MAX($P$708*($B1203+IF($R$17="Distrato",$I$38-1,0)),IF(AND($L$711=0,$P$708=0),"",$L$711-1),IF($R$17="Distrato",$E1203,0))),0,YEARFRAC(MAX($P$708*($B1203+IF($R$17="Distrato",$I$38-1,0)),IF(AND($L$711=0,$P$708=0),"",$L$711-1),IF($R$17="Distrato",$E1203,0)),MIN(AQ$38,$D$19),$P$20))-SUM($P1203:AP1203)</f>
        <v>#VALUE!</v>
      </c>
      <c r="AR1203" s="446" t="e">
        <f>IF(OR($B1203="",MIN(AR$38,$D$19)&lt;MAX($P$708*($B1203+IF($R$17="Distrato",$I$38-1,0)),IF(AND($L$711=0,$P$708=0),"",$L$711-1),IF($R$17="Distrato",$E1203,0))),0,YEARFRAC(MAX($P$708*($B1203+IF($R$17="Distrato",$I$38-1,0)),IF(AND($L$711=0,$P$708=0),"",$L$711-1),IF($R$17="Distrato",$E1203,0)),MIN(AR$38,$D$19),$P$20))-SUM($P1203:AQ1203)</f>
        <v>#VALUE!</v>
      </c>
      <c r="AS1203" s="446" t="e">
        <f>IF(OR($B1203="",MIN(AS$38,$D$19)&lt;MAX($P$708*($B1203+IF($R$17="Distrato",$I$38-1,0)),IF(AND($L$711=0,$P$708=0),"",$L$711-1),IF($R$17="Distrato",$E1203,0))),0,YEARFRAC(MAX($P$708*($B1203+IF($R$17="Distrato",$I$38-1,0)),IF(AND($L$711=0,$P$708=0),"",$L$711-1),IF($R$17="Distrato",$E1203,0)),MIN(AS$38,$D$19),$P$20))-SUM($P1203:AR1203)</f>
        <v>#VALUE!</v>
      </c>
      <c r="AT1203" s="446" t="e">
        <f>IF(OR($B1203="",MIN(AT$38,$D$19)&lt;MAX($P$708*($B1203+IF($R$17="Distrato",$I$38-1,0)),IF(AND($L$711=0,$P$708=0),"",$L$711-1),IF($R$17="Distrato",$E1203,0))),0,YEARFRAC(MAX($P$708*($B1203+IF($R$17="Distrato",$I$38-1,0)),IF(AND($L$711=0,$P$708=0),"",$L$711-1),IF($R$17="Distrato",$E1203,0)),MIN(AT$38,$D$19),$P$20))-SUM($P1203:AS1203)</f>
        <v>#VALUE!</v>
      </c>
      <c r="AU1203" s="446" t="e">
        <f>IF(OR($B1203="",MIN(AU$38,$D$19)&lt;MAX($P$708*($B1203+IF($R$17="Distrato",$I$38-1,0)),IF(AND($L$711=0,$P$708=0),"",$L$711-1),IF($R$17="Distrato",$E1203,0))),0,YEARFRAC(MAX($P$708*($B1203+IF($R$17="Distrato",$I$38-1,0)),IF(AND($L$711=0,$P$708=0),"",$L$711-1),IF($R$17="Distrato",$E1203,0)),MIN(AU$38,$D$19),$P$20))-SUM($P1203:AT1203)</f>
        <v>#VALUE!</v>
      </c>
      <c r="AV1203" s="446" t="e">
        <f>IF(OR($B1203="",MIN(AV$38,$D$19)&lt;MAX($P$708*($B1203+IF($R$17="Distrato",$I$38-1,0)),IF(AND($L$711=0,$P$708=0),"",$L$711-1),IF($R$17="Distrato",$E1203,0))),0,YEARFRAC(MAX($P$708*($B1203+IF($R$17="Distrato",$I$38-1,0)),IF(AND($L$711=0,$P$708=0),"",$L$711-1),IF($R$17="Distrato",$E1203,0)),MIN(AV$38,$D$19),$P$20))-SUM($P1203:AU1203)</f>
        <v>#VALUE!</v>
      </c>
      <c r="AW1203" s="446" t="e">
        <f>IF(OR($B1203="",MIN(AW$38,$D$19)&lt;MAX($P$708*($B1203+IF($R$17="Distrato",$I$38-1,0)),IF(AND($L$711=0,$P$708=0),"",$L$711-1),IF($R$17="Distrato",$E1203,0))),0,YEARFRAC(MAX($P$708*($B1203+IF($R$17="Distrato",$I$38-1,0)),IF(AND($L$711=0,$P$708=0),"",$L$711-1),IF($R$17="Distrato",$E1203,0)),MIN(AW$38,$D$19),$P$20))-SUM($P1203:AV1203)</f>
        <v>#VALUE!</v>
      </c>
      <c r="AX1203" s="446" t="e">
        <f>IF(OR($B1203="",MIN(AX$38,$D$19)&lt;MAX($P$708*($B1203+IF($R$17="Distrato",$I$38-1,0)),IF(AND($L$711=0,$P$708=0),"",$L$711-1),IF($R$17="Distrato",$E1203,0))),0,YEARFRAC(MAX($P$708*($B1203+IF($R$17="Distrato",$I$38-1,0)),IF(AND($L$711=0,$P$708=0),"",$L$711-1),IF($R$17="Distrato",$E1203,0)),MIN(AX$38,$D$19),$P$20))-SUM($P1203:AW1203)</f>
        <v>#VALUE!</v>
      </c>
      <c r="AY1203" s="446" t="e">
        <f>IF(OR($B1203="",MIN(AY$38,$D$19)&lt;MAX($P$708*($B1203+IF($R$17="Distrato",$I$38-1,0)),IF(AND($L$711=0,$P$708=0),"",$L$711-1),IF($R$17="Distrato",$E1203,0))),0,YEARFRAC(MAX($P$708*($B1203+IF($R$17="Distrato",$I$38-1,0)),IF(AND($L$711=0,$P$708=0),"",$L$711-1),IF($R$17="Distrato",$E1203,0)),MIN(AY$38,$D$19),$P$20))-SUM($P1203:AX1203)</f>
        <v>#VALUE!</v>
      </c>
      <c r="AZ1203" s="446" t="e">
        <f>IF(OR($B1203="",MIN(AZ$38,$D$19)&lt;MAX($P$708*($B1203+IF($R$17="Distrato",$I$38-1,0)),IF(AND($L$711=0,$P$708=0),"",$L$711-1),IF($R$17="Distrato",$E1203,0))),0,YEARFRAC(MAX($P$708*($B1203+IF($R$17="Distrato",$I$38-1,0)),IF(AND($L$711=0,$P$708=0),"",$L$711-1),IF($R$17="Distrato",$E1203,0)),MIN(AZ$38,$D$19),$P$20))-SUM($P1203:AY1203)</f>
        <v>#VALUE!</v>
      </c>
      <c r="BA1203" s="446" t="e">
        <f>IF(OR($B1203="",MIN(BA$38,$D$19)&lt;MAX($P$708*($B1203+IF($R$17="Distrato",$I$38-1,0)),IF(AND($L$711=0,$P$708=0),"",$L$711-1),IF($R$17="Distrato",$E1203,0))),0,YEARFRAC(MAX($P$708*($B1203+IF($R$17="Distrato",$I$38-1,0)),IF(AND($L$711=0,$P$708=0),"",$L$711-1),IF($R$17="Distrato",$E1203,0)),MIN(BA$38,$D$19),$P$20))-SUM($P1203:AZ1203)</f>
        <v>#VALUE!</v>
      </c>
      <c r="BB1203" s="447"/>
    </row>
    <row r="1204" spans="1:54" s="446" customFormat="1" ht="11.25" hidden="1" customHeight="1" x14ac:dyDescent="0.2">
      <c r="A1204" s="235"/>
      <c r="B1204" s="236"/>
      <c r="C1204" s="29" t="str">
        <f>IF(B1204="","",IF($L$709=$BL$25,VLOOKUP(DATE(YEAR($D$19),MONTH($D$19)-1,1),ÍNDICES!$A:$DE,HLOOKUP($BL$25,ÍNDICES!$B$3:$T$4,2)+11)-VLOOKUP(B1204,ÍNDICES!$A:$DE,HLOOKUP($BL$25,ÍNDICES!$B$3:$T$4,2)+11)+1%,IF(C$712=$W$26,$J$35,IF(ISERROR(IF(B1204&gt;$D$19,1,VLOOKUP(DATE(YEAR(B1204),MONTH(B1204)+IF($C$709=$S$23,1,0),1),ÍNDICES!$A:$DE,$Z$709+1))),"",IF(B1204&gt;$D$19,1,VLOOKUP(DATE(YEAR(B1204),MONTH(B1204)+IF($C$709=$S$23,1,0),1),ÍNDICES!$A:$DE,$Z$709+1))))))</f>
        <v/>
      </c>
      <c r="D1204" s="155"/>
      <c r="E1204" s="88"/>
      <c r="F1204" s="88"/>
      <c r="G1204" s="88"/>
      <c r="H1204" s="118"/>
      <c r="I1204" s="182">
        <f t="shared" si="164"/>
        <v>0</v>
      </c>
      <c r="J1204" s="20">
        <f t="shared" ca="1" si="165"/>
        <v>0</v>
      </c>
      <c r="K1204" s="5">
        <f t="shared" ca="1" si="166"/>
        <v>0</v>
      </c>
      <c r="L1204" s="61">
        <f t="shared" ca="1" si="167"/>
        <v>0</v>
      </c>
      <c r="M1204" s="64">
        <f t="shared" si="168"/>
        <v>0</v>
      </c>
      <c r="N1204" s="151"/>
      <c r="O1204" s="5">
        <f t="shared" ca="1" si="169"/>
        <v>0</v>
      </c>
      <c r="P1204" s="446" t="e">
        <f t="shared" si="170"/>
        <v>#VALUE!</v>
      </c>
      <c r="Q1204" s="446" t="e">
        <f>IF(OR($B1204="",MIN(Q$38,$D$19)&lt;MAX($P$708*($B1204+IF($R$17="Distrato",$I$38-1,0)),IF(AND($L$711=0,$P$708=0),"",$L$711-1),IF($R$17="Distrato",$E1204,0))),0,YEARFRAC(MAX($P$708*($B1204+IF($R$17="Distrato",$I$38-1,0)),IF(AND($L$711=0,$P$708=0),"",$L$711-1),IF($R$17="Distrato",$E1204,0)),MIN(Q$38,$D$19),$P$20))-SUM($P1204:P1204)</f>
        <v>#VALUE!</v>
      </c>
      <c r="R1204" s="446" t="e">
        <f>IF(OR($B1204="",MIN(R$38,$D$19)&lt;MAX($P$708*($B1204+IF($R$17="Distrato",$I$38-1,0)),IF(AND($L$711=0,$P$708=0),"",$L$711-1),IF($R$17="Distrato",$E1204,0))),0,YEARFRAC(MAX($P$708*($B1204+IF($R$17="Distrato",$I$38-1,0)),IF(AND($L$711=0,$P$708=0),"",$L$711-1),IF($R$17="Distrato",$E1204,0)),MIN(R$38,$D$19),$P$20))-SUM($P1204:Q1204)</f>
        <v>#VALUE!</v>
      </c>
      <c r="S1204" s="446" t="e">
        <f>IF(OR($B1204="",MIN(S$38,$D$19)&lt;MAX($P$708*($B1204+IF($R$17="Distrato",$I$38-1,0)),IF(AND($L$711=0,$P$708=0),"",$L$711-1),IF($R$17="Distrato",$E1204,0))),0,YEARFRAC(MAX($P$708*($B1204+IF($R$17="Distrato",$I$38-1,0)),IF(AND($L$711=0,$P$708=0),"",$L$711-1),IF($R$17="Distrato",$E1204,0)),MIN(S$38,$D$19),$P$20))-SUM($P1204:R1204)</f>
        <v>#VALUE!</v>
      </c>
      <c r="T1204" s="446" t="e">
        <f>IF(OR($B1204="",MIN(T$38,$D$19)&lt;MAX($P$708*($B1204+IF($R$17="Distrato",$I$38-1,0)),IF(AND($L$711=0,$P$708=0),"",$L$711-1),IF($R$17="Distrato",$E1204,0))),0,YEARFRAC(MAX($P$708*($B1204+IF($R$17="Distrato",$I$38-1,0)),IF(AND($L$711=0,$P$708=0),"",$L$711-1),IF($R$17="Distrato",$E1204,0)),MIN(T$38,$D$19),$P$20))-SUM($P1204:S1204)</f>
        <v>#VALUE!</v>
      </c>
      <c r="U1204" s="446" t="e">
        <f>IF(OR($B1204="",MIN(U$38,$D$19)&lt;MAX($P$708*($B1204+IF($R$17="Distrato",$I$38-1,0)),IF(AND($L$711=0,$P$708=0),"",$L$711-1),IF($R$17="Distrato",$E1204,0))),0,YEARFRAC(MAX($P$708*($B1204+IF($R$17="Distrato",$I$38-1,0)),IF(AND($L$711=0,$P$708=0),"",$L$711-1),IF($R$17="Distrato",$E1204,0)),MIN(U$38,$D$19),$P$20))-SUM($P1204:T1204)</f>
        <v>#VALUE!</v>
      </c>
      <c r="V1204" s="446" t="e">
        <f>IF(OR($B1204="",MIN(V$38,$D$19)&lt;MAX($P$708*($B1204+IF($R$17="Distrato",$I$38-1,0)),IF(AND($L$711=0,$P$708=0),"",$L$711-1),IF($R$17="Distrato",$E1204,0))),0,YEARFRAC(MAX($P$708*($B1204+IF($R$17="Distrato",$I$38-1,0)),IF(AND($L$711=0,$P$708=0),"",$L$711-1),IF($R$17="Distrato",$E1204,0)),MIN(V$38,$D$19),$P$20))-SUM($P1204:U1204)</f>
        <v>#VALUE!</v>
      </c>
      <c r="W1204" s="446" t="e">
        <f>IF(OR($B1204="",MIN(W$38,$D$19)&lt;MAX($P$708*($B1204+IF($R$17="Distrato",$I$38-1,0)),IF(AND($L$711=0,$P$708=0),"",$L$711-1),IF($R$17="Distrato",$E1204,0))),0,YEARFRAC(MAX($P$708*($B1204+IF($R$17="Distrato",$I$38-1,0)),IF(AND($L$711=0,$P$708=0),"",$L$711-1),IF($R$17="Distrato",$E1204,0)),MIN(W$38,$D$19),$P$20))-SUM($P1204:V1204)</f>
        <v>#VALUE!</v>
      </c>
      <c r="X1204" s="446" t="e">
        <f>IF(OR($B1204="",MIN(X$38,$D$19)&lt;MAX($P$708*($B1204+IF($R$17="Distrato",$I$38-1,0)),IF(AND($L$711=0,$P$708=0),"",$L$711-1),IF($R$17="Distrato",$E1204,0))),0,YEARFRAC(MAX($P$708*($B1204+IF($R$17="Distrato",$I$38-1,0)),IF(AND($L$711=0,$P$708=0),"",$L$711-1),IF($R$17="Distrato",$E1204,0)),MIN(X$38,$D$19),$P$20))-SUM($P1204:W1204)</f>
        <v>#VALUE!</v>
      </c>
      <c r="Y1204" s="446" t="e">
        <f>IF(OR($B1204="",MIN(Y$38,$D$19)&lt;MAX($P$708*($B1204+IF($R$17="Distrato",$I$38-1,0)),IF(AND($L$711=0,$P$708=0),"",$L$711-1),IF($R$17="Distrato",$E1204,0))),0,YEARFRAC(MAX($P$708*($B1204+IF($R$17="Distrato",$I$38-1,0)),IF(AND($L$711=0,$P$708=0),"",$L$711-1),IF($R$17="Distrato",$E1204,0)),MIN(Y$38,$D$19),$P$20))-SUM($P1204:X1204)</f>
        <v>#VALUE!</v>
      </c>
      <c r="Z1204" s="446" t="e">
        <f>IF(OR($B1204="",MIN(Z$38,$D$19)&lt;MAX($P$708*($B1204+IF($R$17="Distrato",$I$38-1,0)),IF(AND($L$711=0,$P$708=0),"",$L$711-1),IF($R$17="Distrato",$E1204,0))),0,YEARFRAC(MAX($P$708*($B1204+IF($R$17="Distrato",$I$38-1,0)),IF(AND($L$711=0,$P$708=0),"",$L$711-1),IF($R$17="Distrato",$E1204,0)),MIN(Z$38,$D$19),$P$20))-SUM($P1204:Y1204)</f>
        <v>#VALUE!</v>
      </c>
      <c r="AA1204" s="446" t="e">
        <f>IF(OR($B1204="",MIN(AA$38,$D$19)&lt;MAX($P$708*($B1204+IF($R$17="Distrato",$I$38-1,0)),IF(AND($L$711=0,$P$708=0),"",$L$711-1),IF($R$17="Distrato",$E1204,0))),0,YEARFRAC(MAX($P$708*($B1204+IF($R$17="Distrato",$I$38-1,0)),IF(AND($L$711=0,$P$708=0),"",$L$711-1),IF($R$17="Distrato",$E1204,0)),MIN(AA$38,$D$19),$P$20))-SUM($P1204:Z1204)</f>
        <v>#VALUE!</v>
      </c>
      <c r="AB1204" s="446" t="e">
        <f>IF(OR($B1204="",MIN(AB$38,$D$19)&lt;MAX($P$708*($B1204+IF($R$17="Distrato",$I$38-1,0)),IF(AND($L$711=0,$P$708=0),"",$L$711-1),IF($R$17="Distrato",$E1204,0))),0,YEARFRAC(MAX($P$708*($B1204+IF($R$17="Distrato",$I$38-1,0)),IF(AND($L$711=0,$P$708=0),"",$L$711-1),IF($R$17="Distrato",$E1204,0)),MIN(AB$38,$D$19),$P$20))-SUM($P1204:AA1204)</f>
        <v>#VALUE!</v>
      </c>
      <c r="AC1204" s="446" t="e">
        <f>IF(OR($B1204="",MIN(AC$38,$D$19)&lt;MAX($P$708*($B1204+IF($R$17="Distrato",$I$38-1,0)),IF(AND($L$711=0,$P$708=0),"",$L$711-1),IF($R$17="Distrato",$E1204,0))),0,YEARFRAC(MAX($P$708*($B1204+IF($R$17="Distrato",$I$38-1,0)),IF(AND($L$711=0,$P$708=0),"",$L$711-1),IF($R$17="Distrato",$E1204,0)),MIN(AC$38,$D$19),$P$20))-SUM($P1204:AB1204)</f>
        <v>#VALUE!</v>
      </c>
      <c r="AD1204" s="446" t="e">
        <f>IF(OR($B1204="",MIN(AD$38,$D$19)&lt;MAX($P$708*($B1204+IF($R$17="Distrato",$I$38-1,0)),IF(AND($L$711=0,$P$708=0),"",$L$711-1),IF($R$17="Distrato",$E1204,0))),0,YEARFRAC(MAX($P$708*($B1204+IF($R$17="Distrato",$I$38-1,0)),IF(AND($L$711=0,$P$708=0),"",$L$711-1),IF($R$17="Distrato",$E1204,0)),MIN(AD$38,$D$19),$P$20))-SUM($P1204:AC1204)</f>
        <v>#VALUE!</v>
      </c>
      <c r="AE1204" s="446" t="e">
        <f>IF(OR($B1204="",MIN(AE$38,$D$19)&lt;MAX($P$708*($B1204+IF($R$17="Distrato",$I$38-1,0)),IF(AND($L$711=0,$P$708=0),"",$L$711-1),IF($R$17="Distrato",$E1204,0))),0,YEARFRAC(MAX($P$708*($B1204+IF($R$17="Distrato",$I$38-1,0)),IF(AND($L$711=0,$P$708=0),"",$L$711-1),IF($R$17="Distrato",$E1204,0)),MIN(AE$38,$D$19),$P$20))-SUM($P1204:AD1204)</f>
        <v>#VALUE!</v>
      </c>
      <c r="AF1204" s="446" t="e">
        <f>IF(OR($B1204="",MIN(AF$38,$D$19)&lt;MAX($P$708*($B1204+IF($R$17="Distrato",$I$38-1,0)),IF(AND($L$711=0,$P$708=0),"",$L$711-1),IF($R$17="Distrato",$E1204,0))),0,YEARFRAC(MAX($P$708*($B1204+IF($R$17="Distrato",$I$38-1,0)),IF(AND($L$711=0,$P$708=0),"",$L$711-1),IF($R$17="Distrato",$E1204,0)),MIN(AF$38,$D$19),$P$20))-SUM($P1204:AE1204)</f>
        <v>#VALUE!</v>
      </c>
      <c r="AG1204" s="446" t="e">
        <f>IF(OR($B1204="",MIN(AG$38,$D$19)&lt;MAX($P$708*($B1204+IF($R$17="Distrato",$I$38-1,0)),IF(AND($L$711=0,$P$708=0),"",$L$711-1),IF($R$17="Distrato",$E1204,0))),0,YEARFRAC(MAX($P$708*($B1204+IF($R$17="Distrato",$I$38-1,0)),IF(AND($L$711=0,$P$708=0),"",$L$711-1),IF($R$17="Distrato",$E1204,0)),MIN(AG$38,$D$19),$P$20))-SUM($P1204:AF1204)</f>
        <v>#VALUE!</v>
      </c>
      <c r="AH1204" s="446" t="e">
        <f>IF(OR($B1204="",MIN(AH$38,$D$19)&lt;MAX($P$708*($B1204+IF($R$17="Distrato",$I$38-1,0)),IF(AND($L$711=0,$P$708=0),"",$L$711-1),IF($R$17="Distrato",$E1204,0))),0,YEARFRAC(MAX($P$708*($B1204+IF($R$17="Distrato",$I$38-1,0)),IF(AND($L$711=0,$P$708=0),"",$L$711-1),IF($R$17="Distrato",$E1204,0)),MIN(AH$38,$D$19),$P$20))-SUM($P1204:AG1204)</f>
        <v>#VALUE!</v>
      </c>
      <c r="AI1204" s="446" t="e">
        <f>IF(OR($B1204="",MIN(AI$38,$D$19)&lt;MAX($P$708*($B1204+IF($R$17="Distrato",$I$38-1,0)),IF(AND($L$711=0,$P$708=0),"",$L$711-1),IF($R$17="Distrato",$E1204,0))),0,YEARFRAC(MAX($P$708*($B1204+IF($R$17="Distrato",$I$38-1,0)),IF(AND($L$711=0,$P$708=0),"",$L$711-1),IF($R$17="Distrato",$E1204,0)),MIN(AI$38,$D$19),$P$20))-SUM($P1204:AH1204)</f>
        <v>#VALUE!</v>
      </c>
      <c r="AJ1204" s="446" t="e">
        <f>IF(OR($B1204="",MIN(AJ$38,$D$19)&lt;MAX($P$708*($B1204+IF($R$17="Distrato",$I$38-1,0)),IF(AND($L$711=0,$P$708=0),"",$L$711-1),IF($R$17="Distrato",$E1204,0))),0,YEARFRAC(MAX($P$708*($B1204+IF($R$17="Distrato",$I$38-1,0)),IF(AND($L$711=0,$P$708=0),"",$L$711-1),IF($R$17="Distrato",$E1204,0)),MIN(AJ$38,$D$19),$P$20))-SUM($P1204:AI1204)</f>
        <v>#VALUE!</v>
      </c>
      <c r="AK1204" s="446" t="e">
        <f>IF(OR($B1204="",MIN(AK$38,$D$19)&lt;MAX($P$708*($B1204+IF($R$17="Distrato",$I$38-1,0)),IF(AND($L$711=0,$P$708=0),"",$L$711-1),IF($R$17="Distrato",$E1204,0))),0,YEARFRAC(MAX($P$708*($B1204+IF($R$17="Distrato",$I$38-1,0)),IF(AND($L$711=0,$P$708=0),"",$L$711-1),IF($R$17="Distrato",$E1204,0)),MIN(AK$38,$D$19),$P$20))-SUM($P1204:AJ1204)</f>
        <v>#VALUE!</v>
      </c>
      <c r="AL1204" s="446" t="e">
        <f>IF(OR($B1204="",MIN(AL$38,$D$19)&lt;MAX($P$708*($B1204+IF($R$17="Distrato",$I$38-1,0)),IF(AND($L$711=0,$P$708=0),"",$L$711-1),IF($R$17="Distrato",$E1204,0))),0,YEARFRAC(MAX($P$708*($B1204+IF($R$17="Distrato",$I$38-1,0)),IF(AND($L$711=0,$P$708=0),"",$L$711-1),IF($R$17="Distrato",$E1204,0)),MIN(AL$38,$D$19),$P$20))-SUM($P1204:AK1204)</f>
        <v>#VALUE!</v>
      </c>
      <c r="AM1204" s="446" t="e">
        <f>IF(OR($B1204="",MIN(AM$38,$D$19)&lt;MAX($P$708*($B1204+IF($R$17="Distrato",$I$38-1,0)),IF(AND($L$711=0,$P$708=0),"",$L$711-1),IF($R$17="Distrato",$E1204,0))),0,YEARFRAC(MAX($P$708*($B1204+IF($R$17="Distrato",$I$38-1,0)),IF(AND($L$711=0,$P$708=0),"",$L$711-1),IF($R$17="Distrato",$E1204,0)),MIN(AM$38,$D$19),$P$20))-SUM($P1204:AL1204)</f>
        <v>#VALUE!</v>
      </c>
      <c r="AN1204" s="446" t="e">
        <f>IF(OR($B1204="",MIN(AN$38,$D$19)&lt;MAX($P$708*($B1204+IF($R$17="Distrato",$I$38-1,0)),IF(AND($L$711=0,$P$708=0),"",$L$711-1),IF($R$17="Distrato",$E1204,0))),0,YEARFRAC(MAX($P$708*($B1204+IF($R$17="Distrato",$I$38-1,0)),IF(AND($L$711=0,$P$708=0),"",$L$711-1),IF($R$17="Distrato",$E1204,0)),MIN(AN$38,$D$19),$P$20))-SUM($P1204:AM1204)</f>
        <v>#VALUE!</v>
      </c>
      <c r="AO1204" s="446" t="e">
        <f>IF(OR($B1204="",MIN(AO$38,$D$19)&lt;MAX($P$708*($B1204+IF($R$17="Distrato",$I$38-1,0)),IF(AND($L$711=0,$P$708=0),"",$L$711-1),IF($R$17="Distrato",$E1204,0))),0,YEARFRAC(MAX($P$708*($B1204+IF($R$17="Distrato",$I$38-1,0)),IF(AND($L$711=0,$P$708=0),"",$L$711-1),IF($R$17="Distrato",$E1204,0)),MIN(AO$38,$D$19),$P$20))-SUM($P1204:AN1204)</f>
        <v>#VALUE!</v>
      </c>
      <c r="AP1204" s="446" t="e">
        <f>IF(OR($B1204="",MIN(AP$38,$D$19)&lt;MAX($P$708*($B1204+IF($R$17="Distrato",$I$38-1,0)),IF(AND($L$711=0,$P$708=0),"",$L$711-1),IF($R$17="Distrato",$E1204,0))),0,YEARFRAC(MAX($P$708*($B1204+IF($R$17="Distrato",$I$38-1,0)),IF(AND($L$711=0,$P$708=0),"",$L$711-1),IF($R$17="Distrato",$E1204,0)),MIN(AP$38,$D$19),$P$20))-SUM($P1204:AO1204)</f>
        <v>#VALUE!</v>
      </c>
      <c r="AQ1204" s="446" t="e">
        <f>IF(OR($B1204="",MIN(AQ$38,$D$19)&lt;MAX($P$708*($B1204+IF($R$17="Distrato",$I$38-1,0)),IF(AND($L$711=0,$P$708=0),"",$L$711-1),IF($R$17="Distrato",$E1204,0))),0,YEARFRAC(MAX($P$708*($B1204+IF($R$17="Distrato",$I$38-1,0)),IF(AND($L$711=0,$P$708=0),"",$L$711-1),IF($R$17="Distrato",$E1204,0)),MIN(AQ$38,$D$19),$P$20))-SUM($P1204:AP1204)</f>
        <v>#VALUE!</v>
      </c>
      <c r="AR1204" s="446" t="e">
        <f>IF(OR($B1204="",MIN(AR$38,$D$19)&lt;MAX($P$708*($B1204+IF($R$17="Distrato",$I$38-1,0)),IF(AND($L$711=0,$P$708=0),"",$L$711-1),IF($R$17="Distrato",$E1204,0))),0,YEARFRAC(MAX($P$708*($B1204+IF($R$17="Distrato",$I$38-1,0)),IF(AND($L$711=0,$P$708=0),"",$L$711-1),IF($R$17="Distrato",$E1204,0)),MIN(AR$38,$D$19),$P$20))-SUM($P1204:AQ1204)</f>
        <v>#VALUE!</v>
      </c>
      <c r="AS1204" s="446" t="e">
        <f>IF(OR($B1204="",MIN(AS$38,$D$19)&lt;MAX($P$708*($B1204+IF($R$17="Distrato",$I$38-1,0)),IF(AND($L$711=0,$P$708=0),"",$L$711-1),IF($R$17="Distrato",$E1204,0))),0,YEARFRAC(MAX($P$708*($B1204+IF($R$17="Distrato",$I$38-1,0)),IF(AND($L$711=0,$P$708=0),"",$L$711-1),IF($R$17="Distrato",$E1204,0)),MIN(AS$38,$D$19),$P$20))-SUM($P1204:AR1204)</f>
        <v>#VALUE!</v>
      </c>
      <c r="AT1204" s="446" t="e">
        <f>IF(OR($B1204="",MIN(AT$38,$D$19)&lt;MAX($P$708*($B1204+IF($R$17="Distrato",$I$38-1,0)),IF(AND($L$711=0,$P$708=0),"",$L$711-1),IF($R$17="Distrato",$E1204,0))),0,YEARFRAC(MAX($P$708*($B1204+IF($R$17="Distrato",$I$38-1,0)),IF(AND($L$711=0,$P$708=0),"",$L$711-1),IF($R$17="Distrato",$E1204,0)),MIN(AT$38,$D$19),$P$20))-SUM($P1204:AS1204)</f>
        <v>#VALUE!</v>
      </c>
      <c r="AU1204" s="446" t="e">
        <f>IF(OR($B1204="",MIN(AU$38,$D$19)&lt;MAX($P$708*($B1204+IF($R$17="Distrato",$I$38-1,0)),IF(AND($L$711=0,$P$708=0),"",$L$711-1),IF($R$17="Distrato",$E1204,0))),0,YEARFRAC(MAX($P$708*($B1204+IF($R$17="Distrato",$I$38-1,0)),IF(AND($L$711=0,$P$708=0),"",$L$711-1),IF($R$17="Distrato",$E1204,0)),MIN(AU$38,$D$19),$P$20))-SUM($P1204:AT1204)</f>
        <v>#VALUE!</v>
      </c>
      <c r="AV1204" s="446" t="e">
        <f>IF(OR($B1204="",MIN(AV$38,$D$19)&lt;MAX($P$708*($B1204+IF($R$17="Distrato",$I$38-1,0)),IF(AND($L$711=0,$P$708=0),"",$L$711-1),IF($R$17="Distrato",$E1204,0))),0,YEARFRAC(MAX($P$708*($B1204+IF($R$17="Distrato",$I$38-1,0)),IF(AND($L$711=0,$P$708=0),"",$L$711-1),IF($R$17="Distrato",$E1204,0)),MIN(AV$38,$D$19),$P$20))-SUM($P1204:AU1204)</f>
        <v>#VALUE!</v>
      </c>
      <c r="AW1204" s="446" t="e">
        <f>IF(OR($B1204="",MIN(AW$38,$D$19)&lt;MAX($P$708*($B1204+IF($R$17="Distrato",$I$38-1,0)),IF(AND($L$711=0,$P$708=0),"",$L$711-1),IF($R$17="Distrato",$E1204,0))),0,YEARFRAC(MAX($P$708*($B1204+IF($R$17="Distrato",$I$38-1,0)),IF(AND($L$711=0,$P$708=0),"",$L$711-1),IF($R$17="Distrato",$E1204,0)),MIN(AW$38,$D$19),$P$20))-SUM($P1204:AV1204)</f>
        <v>#VALUE!</v>
      </c>
      <c r="AX1204" s="446" t="e">
        <f>IF(OR($B1204="",MIN(AX$38,$D$19)&lt;MAX($P$708*($B1204+IF($R$17="Distrato",$I$38-1,0)),IF(AND($L$711=0,$P$708=0),"",$L$711-1),IF($R$17="Distrato",$E1204,0))),0,YEARFRAC(MAX($P$708*($B1204+IF($R$17="Distrato",$I$38-1,0)),IF(AND($L$711=0,$P$708=0),"",$L$711-1),IF($R$17="Distrato",$E1204,0)),MIN(AX$38,$D$19),$P$20))-SUM($P1204:AW1204)</f>
        <v>#VALUE!</v>
      </c>
      <c r="AY1204" s="446" t="e">
        <f>IF(OR($B1204="",MIN(AY$38,$D$19)&lt;MAX($P$708*($B1204+IF($R$17="Distrato",$I$38-1,0)),IF(AND($L$711=0,$P$708=0),"",$L$711-1),IF($R$17="Distrato",$E1204,0))),0,YEARFRAC(MAX($P$708*($B1204+IF($R$17="Distrato",$I$38-1,0)),IF(AND($L$711=0,$P$708=0),"",$L$711-1),IF($R$17="Distrato",$E1204,0)),MIN(AY$38,$D$19),$P$20))-SUM($P1204:AX1204)</f>
        <v>#VALUE!</v>
      </c>
      <c r="AZ1204" s="446" t="e">
        <f>IF(OR($B1204="",MIN(AZ$38,$D$19)&lt;MAX($P$708*($B1204+IF($R$17="Distrato",$I$38-1,0)),IF(AND($L$711=0,$P$708=0),"",$L$711-1),IF($R$17="Distrato",$E1204,0))),0,YEARFRAC(MAX($P$708*($B1204+IF($R$17="Distrato",$I$38-1,0)),IF(AND($L$711=0,$P$708=0),"",$L$711-1),IF($R$17="Distrato",$E1204,0)),MIN(AZ$38,$D$19),$P$20))-SUM($P1204:AY1204)</f>
        <v>#VALUE!</v>
      </c>
      <c r="BA1204" s="446" t="e">
        <f>IF(OR($B1204="",MIN(BA$38,$D$19)&lt;MAX($P$708*($B1204+IF($R$17="Distrato",$I$38-1,0)),IF(AND($L$711=0,$P$708=0),"",$L$711-1),IF($R$17="Distrato",$E1204,0))),0,YEARFRAC(MAX($P$708*($B1204+IF($R$17="Distrato",$I$38-1,0)),IF(AND($L$711=0,$P$708=0),"",$L$711-1),IF($R$17="Distrato",$E1204,0)),MIN(BA$38,$D$19),$P$20))-SUM($P1204:AZ1204)</f>
        <v>#VALUE!</v>
      </c>
      <c r="BB1204" s="447"/>
    </row>
    <row r="1205" spans="1:54" s="446" customFormat="1" ht="11.25" hidden="1" customHeight="1" x14ac:dyDescent="0.2">
      <c r="A1205" s="235"/>
      <c r="B1205" s="236"/>
      <c r="C1205" s="29" t="str">
        <f>IF(B1205="","",IF($L$709=$BL$25,VLOOKUP(DATE(YEAR($D$19),MONTH($D$19)-1,1),ÍNDICES!$A:$DE,HLOOKUP($BL$25,ÍNDICES!$B$3:$T$4,2)+11)-VLOOKUP(B1205,ÍNDICES!$A:$DE,HLOOKUP($BL$25,ÍNDICES!$B$3:$T$4,2)+11)+1%,IF(C$712=$W$26,$J$35,IF(ISERROR(IF(B1205&gt;$D$19,1,VLOOKUP(DATE(YEAR(B1205),MONTH(B1205)+IF($C$709=$S$23,1,0),1),ÍNDICES!$A:$DE,$Z$709+1))),"",IF(B1205&gt;$D$19,1,VLOOKUP(DATE(YEAR(B1205),MONTH(B1205)+IF($C$709=$S$23,1,0),1),ÍNDICES!$A:$DE,$Z$709+1))))))</f>
        <v/>
      </c>
      <c r="D1205" s="155"/>
      <c r="E1205" s="88"/>
      <c r="F1205" s="88"/>
      <c r="G1205" s="88"/>
      <c r="H1205" s="118"/>
      <c r="I1205" s="182">
        <f t="shared" si="164"/>
        <v>0</v>
      </c>
      <c r="J1205" s="20">
        <f t="shared" ca="1" si="165"/>
        <v>0</v>
      </c>
      <c r="K1205" s="5">
        <f t="shared" ca="1" si="166"/>
        <v>0</v>
      </c>
      <c r="L1205" s="61">
        <f t="shared" ca="1" si="167"/>
        <v>0</v>
      </c>
      <c r="M1205" s="64">
        <f t="shared" si="168"/>
        <v>0</v>
      </c>
      <c r="N1205" s="151"/>
      <c r="O1205" s="5">
        <f t="shared" ca="1" si="169"/>
        <v>0</v>
      </c>
      <c r="P1205" s="446" t="e">
        <f t="shared" si="170"/>
        <v>#VALUE!</v>
      </c>
      <c r="Q1205" s="446" t="e">
        <f>IF(OR($B1205="",MIN(Q$38,$D$19)&lt;MAX($P$708*($B1205+IF($R$17="Distrato",$I$38-1,0)),IF(AND($L$711=0,$P$708=0),"",$L$711-1),IF($R$17="Distrato",$E1205,0))),0,YEARFRAC(MAX($P$708*($B1205+IF($R$17="Distrato",$I$38-1,0)),IF(AND($L$711=0,$P$708=0),"",$L$711-1),IF($R$17="Distrato",$E1205,0)),MIN(Q$38,$D$19),$P$20))-SUM($P1205:P1205)</f>
        <v>#VALUE!</v>
      </c>
      <c r="R1205" s="446" t="e">
        <f>IF(OR($B1205="",MIN(R$38,$D$19)&lt;MAX($P$708*($B1205+IF($R$17="Distrato",$I$38-1,0)),IF(AND($L$711=0,$P$708=0),"",$L$711-1),IF($R$17="Distrato",$E1205,0))),0,YEARFRAC(MAX($P$708*($B1205+IF($R$17="Distrato",$I$38-1,0)),IF(AND($L$711=0,$P$708=0),"",$L$711-1),IF($R$17="Distrato",$E1205,0)),MIN(R$38,$D$19),$P$20))-SUM($P1205:Q1205)</f>
        <v>#VALUE!</v>
      </c>
      <c r="S1205" s="446" t="e">
        <f>IF(OR($B1205="",MIN(S$38,$D$19)&lt;MAX($P$708*($B1205+IF($R$17="Distrato",$I$38-1,0)),IF(AND($L$711=0,$P$708=0),"",$L$711-1),IF($R$17="Distrato",$E1205,0))),0,YEARFRAC(MAX($P$708*($B1205+IF($R$17="Distrato",$I$38-1,0)),IF(AND($L$711=0,$P$708=0),"",$L$711-1),IF($R$17="Distrato",$E1205,0)),MIN(S$38,$D$19),$P$20))-SUM($P1205:R1205)</f>
        <v>#VALUE!</v>
      </c>
      <c r="T1205" s="446" t="e">
        <f>IF(OR($B1205="",MIN(T$38,$D$19)&lt;MAX($P$708*($B1205+IF($R$17="Distrato",$I$38-1,0)),IF(AND($L$711=0,$P$708=0),"",$L$711-1),IF($R$17="Distrato",$E1205,0))),0,YEARFRAC(MAX($P$708*($B1205+IF($R$17="Distrato",$I$38-1,0)),IF(AND($L$711=0,$P$708=0),"",$L$711-1),IF($R$17="Distrato",$E1205,0)),MIN(T$38,$D$19),$P$20))-SUM($P1205:S1205)</f>
        <v>#VALUE!</v>
      </c>
      <c r="U1205" s="446" t="e">
        <f>IF(OR($B1205="",MIN(U$38,$D$19)&lt;MAX($P$708*($B1205+IF($R$17="Distrato",$I$38-1,0)),IF(AND($L$711=0,$P$708=0),"",$L$711-1),IF($R$17="Distrato",$E1205,0))),0,YEARFRAC(MAX($P$708*($B1205+IF($R$17="Distrato",$I$38-1,0)),IF(AND($L$711=0,$P$708=0),"",$L$711-1),IF($R$17="Distrato",$E1205,0)),MIN(U$38,$D$19),$P$20))-SUM($P1205:T1205)</f>
        <v>#VALUE!</v>
      </c>
      <c r="V1205" s="446" t="e">
        <f>IF(OR($B1205="",MIN(V$38,$D$19)&lt;MAX($P$708*($B1205+IF($R$17="Distrato",$I$38-1,0)),IF(AND($L$711=0,$P$708=0),"",$L$711-1),IF($R$17="Distrato",$E1205,0))),0,YEARFRAC(MAX($P$708*($B1205+IF($R$17="Distrato",$I$38-1,0)),IF(AND($L$711=0,$P$708=0),"",$L$711-1),IF($R$17="Distrato",$E1205,0)),MIN(V$38,$D$19),$P$20))-SUM($P1205:U1205)</f>
        <v>#VALUE!</v>
      </c>
      <c r="W1205" s="446" t="e">
        <f>IF(OR($B1205="",MIN(W$38,$D$19)&lt;MAX($P$708*($B1205+IF($R$17="Distrato",$I$38-1,0)),IF(AND($L$711=0,$P$708=0),"",$L$711-1),IF($R$17="Distrato",$E1205,0))),0,YEARFRAC(MAX($P$708*($B1205+IF($R$17="Distrato",$I$38-1,0)),IF(AND($L$711=0,$P$708=0),"",$L$711-1),IF($R$17="Distrato",$E1205,0)),MIN(W$38,$D$19),$P$20))-SUM($P1205:V1205)</f>
        <v>#VALUE!</v>
      </c>
      <c r="X1205" s="446" t="e">
        <f>IF(OR($B1205="",MIN(X$38,$D$19)&lt;MAX($P$708*($B1205+IF($R$17="Distrato",$I$38-1,0)),IF(AND($L$711=0,$P$708=0),"",$L$711-1),IF($R$17="Distrato",$E1205,0))),0,YEARFRAC(MAX($P$708*($B1205+IF($R$17="Distrato",$I$38-1,0)),IF(AND($L$711=0,$P$708=0),"",$L$711-1),IF($R$17="Distrato",$E1205,0)),MIN(X$38,$D$19),$P$20))-SUM($P1205:W1205)</f>
        <v>#VALUE!</v>
      </c>
      <c r="Y1205" s="446" t="e">
        <f>IF(OR($B1205="",MIN(Y$38,$D$19)&lt;MAX($P$708*($B1205+IF($R$17="Distrato",$I$38-1,0)),IF(AND($L$711=0,$P$708=0),"",$L$711-1),IF($R$17="Distrato",$E1205,0))),0,YEARFRAC(MAX($P$708*($B1205+IF($R$17="Distrato",$I$38-1,0)),IF(AND($L$711=0,$P$708=0),"",$L$711-1),IF($R$17="Distrato",$E1205,0)),MIN(Y$38,$D$19),$P$20))-SUM($P1205:X1205)</f>
        <v>#VALUE!</v>
      </c>
      <c r="Z1205" s="446" t="e">
        <f>IF(OR($B1205="",MIN(Z$38,$D$19)&lt;MAX($P$708*($B1205+IF($R$17="Distrato",$I$38-1,0)),IF(AND($L$711=0,$P$708=0),"",$L$711-1),IF($R$17="Distrato",$E1205,0))),0,YEARFRAC(MAX($P$708*($B1205+IF($R$17="Distrato",$I$38-1,0)),IF(AND($L$711=0,$P$708=0),"",$L$711-1),IF($R$17="Distrato",$E1205,0)),MIN(Z$38,$D$19),$P$20))-SUM($P1205:Y1205)</f>
        <v>#VALUE!</v>
      </c>
      <c r="AA1205" s="446" t="e">
        <f>IF(OR($B1205="",MIN(AA$38,$D$19)&lt;MAX($P$708*($B1205+IF($R$17="Distrato",$I$38-1,0)),IF(AND($L$711=0,$P$708=0),"",$L$711-1),IF($R$17="Distrato",$E1205,0))),0,YEARFRAC(MAX($P$708*($B1205+IF($R$17="Distrato",$I$38-1,0)),IF(AND($L$711=0,$P$708=0),"",$L$711-1),IF($R$17="Distrato",$E1205,0)),MIN(AA$38,$D$19),$P$20))-SUM($P1205:Z1205)</f>
        <v>#VALUE!</v>
      </c>
      <c r="AB1205" s="446" t="e">
        <f>IF(OR($B1205="",MIN(AB$38,$D$19)&lt;MAX($P$708*($B1205+IF($R$17="Distrato",$I$38-1,0)),IF(AND($L$711=0,$P$708=0),"",$L$711-1),IF($R$17="Distrato",$E1205,0))),0,YEARFRAC(MAX($P$708*($B1205+IF($R$17="Distrato",$I$38-1,0)),IF(AND($L$711=0,$P$708=0),"",$L$711-1),IF($R$17="Distrato",$E1205,0)),MIN(AB$38,$D$19),$P$20))-SUM($P1205:AA1205)</f>
        <v>#VALUE!</v>
      </c>
      <c r="AC1205" s="446" t="e">
        <f>IF(OR($B1205="",MIN(AC$38,$D$19)&lt;MAX($P$708*($B1205+IF($R$17="Distrato",$I$38-1,0)),IF(AND($L$711=0,$P$708=0),"",$L$711-1),IF($R$17="Distrato",$E1205,0))),0,YEARFRAC(MAX($P$708*($B1205+IF($R$17="Distrato",$I$38-1,0)),IF(AND($L$711=0,$P$708=0),"",$L$711-1),IF($R$17="Distrato",$E1205,0)),MIN(AC$38,$D$19),$P$20))-SUM($P1205:AB1205)</f>
        <v>#VALUE!</v>
      </c>
      <c r="AD1205" s="446" t="e">
        <f>IF(OR($B1205="",MIN(AD$38,$D$19)&lt;MAX($P$708*($B1205+IF($R$17="Distrato",$I$38-1,0)),IF(AND($L$711=0,$P$708=0),"",$L$711-1),IF($R$17="Distrato",$E1205,0))),0,YEARFRAC(MAX($P$708*($B1205+IF($R$17="Distrato",$I$38-1,0)),IF(AND($L$711=0,$P$708=0),"",$L$711-1),IF($R$17="Distrato",$E1205,0)),MIN(AD$38,$D$19),$P$20))-SUM($P1205:AC1205)</f>
        <v>#VALUE!</v>
      </c>
      <c r="AE1205" s="446" t="e">
        <f>IF(OR($B1205="",MIN(AE$38,$D$19)&lt;MAX($P$708*($B1205+IF($R$17="Distrato",$I$38-1,0)),IF(AND($L$711=0,$P$708=0),"",$L$711-1),IF($R$17="Distrato",$E1205,0))),0,YEARFRAC(MAX($P$708*($B1205+IF($R$17="Distrato",$I$38-1,0)),IF(AND($L$711=0,$P$708=0),"",$L$711-1),IF($R$17="Distrato",$E1205,0)),MIN(AE$38,$D$19),$P$20))-SUM($P1205:AD1205)</f>
        <v>#VALUE!</v>
      </c>
      <c r="AF1205" s="446" t="e">
        <f>IF(OR($B1205="",MIN(AF$38,$D$19)&lt;MAX($P$708*($B1205+IF($R$17="Distrato",$I$38-1,0)),IF(AND($L$711=0,$P$708=0),"",$L$711-1),IF($R$17="Distrato",$E1205,0))),0,YEARFRAC(MAX($P$708*($B1205+IF($R$17="Distrato",$I$38-1,0)),IF(AND($L$711=0,$P$708=0),"",$L$711-1),IF($R$17="Distrato",$E1205,0)),MIN(AF$38,$D$19),$P$20))-SUM($P1205:AE1205)</f>
        <v>#VALUE!</v>
      </c>
      <c r="AG1205" s="446" t="e">
        <f>IF(OR($B1205="",MIN(AG$38,$D$19)&lt;MAX($P$708*($B1205+IF($R$17="Distrato",$I$38-1,0)),IF(AND($L$711=0,$P$708=0),"",$L$711-1),IF($R$17="Distrato",$E1205,0))),0,YEARFRAC(MAX($P$708*($B1205+IF($R$17="Distrato",$I$38-1,0)),IF(AND($L$711=0,$P$708=0),"",$L$711-1),IF($R$17="Distrato",$E1205,0)),MIN(AG$38,$D$19),$P$20))-SUM($P1205:AF1205)</f>
        <v>#VALUE!</v>
      </c>
      <c r="AH1205" s="446" t="e">
        <f>IF(OR($B1205="",MIN(AH$38,$D$19)&lt;MAX($P$708*($B1205+IF($R$17="Distrato",$I$38-1,0)),IF(AND($L$711=0,$P$708=0),"",$L$711-1),IF($R$17="Distrato",$E1205,0))),0,YEARFRAC(MAX($P$708*($B1205+IF($R$17="Distrato",$I$38-1,0)),IF(AND($L$711=0,$P$708=0),"",$L$711-1),IF($R$17="Distrato",$E1205,0)),MIN(AH$38,$D$19),$P$20))-SUM($P1205:AG1205)</f>
        <v>#VALUE!</v>
      </c>
      <c r="AI1205" s="446" t="e">
        <f>IF(OR($B1205="",MIN(AI$38,$D$19)&lt;MAX($P$708*($B1205+IF($R$17="Distrato",$I$38-1,0)),IF(AND($L$711=0,$P$708=0),"",$L$711-1),IF($R$17="Distrato",$E1205,0))),0,YEARFRAC(MAX($P$708*($B1205+IF($R$17="Distrato",$I$38-1,0)),IF(AND($L$711=0,$P$708=0),"",$L$711-1),IF($R$17="Distrato",$E1205,0)),MIN(AI$38,$D$19),$P$20))-SUM($P1205:AH1205)</f>
        <v>#VALUE!</v>
      </c>
      <c r="AJ1205" s="446" t="e">
        <f>IF(OR($B1205="",MIN(AJ$38,$D$19)&lt;MAX($P$708*($B1205+IF($R$17="Distrato",$I$38-1,0)),IF(AND($L$711=0,$P$708=0),"",$L$711-1),IF($R$17="Distrato",$E1205,0))),0,YEARFRAC(MAX($P$708*($B1205+IF($R$17="Distrato",$I$38-1,0)),IF(AND($L$711=0,$P$708=0),"",$L$711-1),IF($R$17="Distrato",$E1205,0)),MIN(AJ$38,$D$19),$P$20))-SUM($P1205:AI1205)</f>
        <v>#VALUE!</v>
      </c>
      <c r="AK1205" s="446" t="e">
        <f>IF(OR($B1205="",MIN(AK$38,$D$19)&lt;MAX($P$708*($B1205+IF($R$17="Distrato",$I$38-1,0)),IF(AND($L$711=0,$P$708=0),"",$L$711-1),IF($R$17="Distrato",$E1205,0))),0,YEARFRAC(MAX($P$708*($B1205+IF($R$17="Distrato",$I$38-1,0)),IF(AND($L$711=0,$P$708=0),"",$L$711-1),IF($R$17="Distrato",$E1205,0)),MIN(AK$38,$D$19),$P$20))-SUM($P1205:AJ1205)</f>
        <v>#VALUE!</v>
      </c>
      <c r="AL1205" s="446" t="e">
        <f>IF(OR($B1205="",MIN(AL$38,$D$19)&lt;MAX($P$708*($B1205+IF($R$17="Distrato",$I$38-1,0)),IF(AND($L$711=0,$P$708=0),"",$L$711-1),IF($R$17="Distrato",$E1205,0))),0,YEARFRAC(MAX($P$708*($B1205+IF($R$17="Distrato",$I$38-1,0)),IF(AND($L$711=0,$P$708=0),"",$L$711-1),IF($R$17="Distrato",$E1205,0)),MIN(AL$38,$D$19),$P$20))-SUM($P1205:AK1205)</f>
        <v>#VALUE!</v>
      </c>
      <c r="AM1205" s="446" t="e">
        <f>IF(OR($B1205="",MIN(AM$38,$D$19)&lt;MAX($P$708*($B1205+IF($R$17="Distrato",$I$38-1,0)),IF(AND($L$711=0,$P$708=0),"",$L$711-1),IF($R$17="Distrato",$E1205,0))),0,YEARFRAC(MAX($P$708*($B1205+IF($R$17="Distrato",$I$38-1,0)),IF(AND($L$711=0,$P$708=0),"",$L$711-1),IF($R$17="Distrato",$E1205,0)),MIN(AM$38,$D$19),$P$20))-SUM($P1205:AL1205)</f>
        <v>#VALUE!</v>
      </c>
      <c r="AN1205" s="446" t="e">
        <f>IF(OR($B1205="",MIN(AN$38,$D$19)&lt;MAX($P$708*($B1205+IF($R$17="Distrato",$I$38-1,0)),IF(AND($L$711=0,$P$708=0),"",$L$711-1),IF($R$17="Distrato",$E1205,0))),0,YEARFRAC(MAX($P$708*($B1205+IF($R$17="Distrato",$I$38-1,0)),IF(AND($L$711=0,$P$708=0),"",$L$711-1),IF($R$17="Distrato",$E1205,0)),MIN(AN$38,$D$19),$P$20))-SUM($P1205:AM1205)</f>
        <v>#VALUE!</v>
      </c>
      <c r="AO1205" s="446" t="e">
        <f>IF(OR($B1205="",MIN(AO$38,$D$19)&lt;MAX($P$708*($B1205+IF($R$17="Distrato",$I$38-1,0)),IF(AND($L$711=0,$P$708=0),"",$L$711-1),IF($R$17="Distrato",$E1205,0))),0,YEARFRAC(MAX($P$708*($B1205+IF($R$17="Distrato",$I$38-1,0)),IF(AND($L$711=0,$P$708=0),"",$L$711-1),IF($R$17="Distrato",$E1205,0)),MIN(AO$38,$D$19),$P$20))-SUM($P1205:AN1205)</f>
        <v>#VALUE!</v>
      </c>
      <c r="AP1205" s="446" t="e">
        <f>IF(OR($B1205="",MIN(AP$38,$D$19)&lt;MAX($P$708*($B1205+IF($R$17="Distrato",$I$38-1,0)),IF(AND($L$711=0,$P$708=0),"",$L$711-1),IF($R$17="Distrato",$E1205,0))),0,YEARFRAC(MAX($P$708*($B1205+IF($R$17="Distrato",$I$38-1,0)),IF(AND($L$711=0,$P$708=0),"",$L$711-1),IF($R$17="Distrato",$E1205,0)),MIN(AP$38,$D$19),$P$20))-SUM($P1205:AO1205)</f>
        <v>#VALUE!</v>
      </c>
      <c r="AQ1205" s="446" t="e">
        <f>IF(OR($B1205="",MIN(AQ$38,$D$19)&lt;MAX($P$708*($B1205+IF($R$17="Distrato",$I$38-1,0)),IF(AND($L$711=0,$P$708=0),"",$L$711-1),IF($R$17="Distrato",$E1205,0))),0,YEARFRAC(MAX($P$708*($B1205+IF($R$17="Distrato",$I$38-1,0)),IF(AND($L$711=0,$P$708=0),"",$L$711-1),IF($R$17="Distrato",$E1205,0)),MIN(AQ$38,$D$19),$P$20))-SUM($P1205:AP1205)</f>
        <v>#VALUE!</v>
      </c>
      <c r="AR1205" s="446" t="e">
        <f>IF(OR($B1205="",MIN(AR$38,$D$19)&lt;MAX($P$708*($B1205+IF($R$17="Distrato",$I$38-1,0)),IF(AND($L$711=0,$P$708=0),"",$L$711-1),IF($R$17="Distrato",$E1205,0))),0,YEARFRAC(MAX($P$708*($B1205+IF($R$17="Distrato",$I$38-1,0)),IF(AND($L$711=0,$P$708=0),"",$L$711-1),IF($R$17="Distrato",$E1205,0)),MIN(AR$38,$D$19),$P$20))-SUM($P1205:AQ1205)</f>
        <v>#VALUE!</v>
      </c>
      <c r="AS1205" s="446" t="e">
        <f>IF(OR($B1205="",MIN(AS$38,$D$19)&lt;MAX($P$708*($B1205+IF($R$17="Distrato",$I$38-1,0)),IF(AND($L$711=0,$P$708=0),"",$L$711-1),IF($R$17="Distrato",$E1205,0))),0,YEARFRAC(MAX($P$708*($B1205+IF($R$17="Distrato",$I$38-1,0)),IF(AND($L$711=0,$P$708=0),"",$L$711-1),IF($R$17="Distrato",$E1205,0)),MIN(AS$38,$D$19),$P$20))-SUM($P1205:AR1205)</f>
        <v>#VALUE!</v>
      </c>
      <c r="AT1205" s="446" t="e">
        <f>IF(OR($B1205="",MIN(AT$38,$D$19)&lt;MAX($P$708*($B1205+IF($R$17="Distrato",$I$38-1,0)),IF(AND($L$711=0,$P$708=0),"",$L$711-1),IF($R$17="Distrato",$E1205,0))),0,YEARFRAC(MAX($P$708*($B1205+IF($R$17="Distrato",$I$38-1,0)),IF(AND($L$711=0,$P$708=0),"",$L$711-1),IF($R$17="Distrato",$E1205,0)),MIN(AT$38,$D$19),$P$20))-SUM($P1205:AS1205)</f>
        <v>#VALUE!</v>
      </c>
      <c r="AU1205" s="446" t="e">
        <f>IF(OR($B1205="",MIN(AU$38,$D$19)&lt;MAX($P$708*($B1205+IF($R$17="Distrato",$I$38-1,0)),IF(AND($L$711=0,$P$708=0),"",$L$711-1),IF($R$17="Distrato",$E1205,0))),0,YEARFRAC(MAX($P$708*($B1205+IF($R$17="Distrato",$I$38-1,0)),IF(AND($L$711=0,$P$708=0),"",$L$711-1),IF($R$17="Distrato",$E1205,0)),MIN(AU$38,$D$19),$P$20))-SUM($P1205:AT1205)</f>
        <v>#VALUE!</v>
      </c>
      <c r="AV1205" s="446" t="e">
        <f>IF(OR($B1205="",MIN(AV$38,$D$19)&lt;MAX($P$708*($B1205+IF($R$17="Distrato",$I$38-1,0)),IF(AND($L$711=0,$P$708=0),"",$L$711-1),IF($R$17="Distrato",$E1205,0))),0,YEARFRAC(MAX($P$708*($B1205+IF($R$17="Distrato",$I$38-1,0)),IF(AND($L$711=0,$P$708=0),"",$L$711-1),IF($R$17="Distrato",$E1205,0)),MIN(AV$38,$D$19),$P$20))-SUM($P1205:AU1205)</f>
        <v>#VALUE!</v>
      </c>
      <c r="AW1205" s="446" t="e">
        <f>IF(OR($B1205="",MIN(AW$38,$D$19)&lt;MAX($P$708*($B1205+IF($R$17="Distrato",$I$38-1,0)),IF(AND($L$711=0,$P$708=0),"",$L$711-1),IF($R$17="Distrato",$E1205,0))),0,YEARFRAC(MAX($P$708*($B1205+IF($R$17="Distrato",$I$38-1,0)),IF(AND($L$711=0,$P$708=0),"",$L$711-1),IF($R$17="Distrato",$E1205,0)),MIN(AW$38,$D$19),$P$20))-SUM($P1205:AV1205)</f>
        <v>#VALUE!</v>
      </c>
      <c r="AX1205" s="446" t="e">
        <f>IF(OR($B1205="",MIN(AX$38,$D$19)&lt;MAX($P$708*($B1205+IF($R$17="Distrato",$I$38-1,0)),IF(AND($L$711=0,$P$708=0),"",$L$711-1),IF($R$17="Distrato",$E1205,0))),0,YEARFRAC(MAX($P$708*($B1205+IF($R$17="Distrato",$I$38-1,0)),IF(AND($L$711=0,$P$708=0),"",$L$711-1),IF($R$17="Distrato",$E1205,0)),MIN(AX$38,$D$19),$P$20))-SUM($P1205:AW1205)</f>
        <v>#VALUE!</v>
      </c>
      <c r="AY1205" s="446" t="e">
        <f>IF(OR($B1205="",MIN(AY$38,$D$19)&lt;MAX($P$708*($B1205+IF($R$17="Distrato",$I$38-1,0)),IF(AND($L$711=0,$P$708=0),"",$L$711-1),IF($R$17="Distrato",$E1205,0))),0,YEARFRAC(MAX($P$708*($B1205+IF($R$17="Distrato",$I$38-1,0)),IF(AND($L$711=0,$P$708=0),"",$L$711-1),IF($R$17="Distrato",$E1205,0)),MIN(AY$38,$D$19),$P$20))-SUM($P1205:AX1205)</f>
        <v>#VALUE!</v>
      </c>
      <c r="AZ1205" s="446" t="e">
        <f>IF(OR($B1205="",MIN(AZ$38,$D$19)&lt;MAX($P$708*($B1205+IF($R$17="Distrato",$I$38-1,0)),IF(AND($L$711=0,$P$708=0),"",$L$711-1),IF($R$17="Distrato",$E1205,0))),0,YEARFRAC(MAX($P$708*($B1205+IF($R$17="Distrato",$I$38-1,0)),IF(AND($L$711=0,$P$708=0),"",$L$711-1),IF($R$17="Distrato",$E1205,0)),MIN(AZ$38,$D$19),$P$20))-SUM($P1205:AY1205)</f>
        <v>#VALUE!</v>
      </c>
      <c r="BA1205" s="446" t="e">
        <f>IF(OR($B1205="",MIN(BA$38,$D$19)&lt;MAX($P$708*($B1205+IF($R$17="Distrato",$I$38-1,0)),IF(AND($L$711=0,$P$708=0),"",$L$711-1),IF($R$17="Distrato",$E1205,0))),0,YEARFRAC(MAX($P$708*($B1205+IF($R$17="Distrato",$I$38-1,0)),IF(AND($L$711=0,$P$708=0),"",$L$711-1),IF($R$17="Distrato",$E1205,0)),MIN(BA$38,$D$19),$P$20))-SUM($P1205:AZ1205)</f>
        <v>#VALUE!</v>
      </c>
      <c r="BB1205" s="447"/>
    </row>
    <row r="1206" spans="1:54" s="446" customFormat="1" ht="11.25" hidden="1" customHeight="1" x14ac:dyDescent="0.2">
      <c r="A1206" s="235"/>
      <c r="B1206" s="236"/>
      <c r="C1206" s="29" t="str">
        <f>IF(B1206="","",IF($L$709=$BL$25,VLOOKUP(DATE(YEAR($D$19),MONTH($D$19)-1,1),ÍNDICES!$A:$DE,HLOOKUP($BL$25,ÍNDICES!$B$3:$T$4,2)+11)-VLOOKUP(B1206,ÍNDICES!$A:$DE,HLOOKUP($BL$25,ÍNDICES!$B$3:$T$4,2)+11)+1%,IF(C$712=$W$26,$J$35,IF(ISERROR(IF(B1206&gt;$D$19,1,VLOOKUP(DATE(YEAR(B1206),MONTH(B1206)+IF($C$709=$S$23,1,0),1),ÍNDICES!$A:$DE,$Z$709+1))),"",IF(B1206&gt;$D$19,1,VLOOKUP(DATE(YEAR(B1206),MONTH(B1206)+IF($C$709=$S$23,1,0),1),ÍNDICES!$A:$DE,$Z$709+1))))))</f>
        <v/>
      </c>
      <c r="D1206" s="155"/>
      <c r="E1206" s="88"/>
      <c r="F1206" s="88"/>
      <c r="G1206" s="88"/>
      <c r="H1206" s="118"/>
      <c r="I1206" s="182">
        <f t="shared" si="164"/>
        <v>0</v>
      </c>
      <c r="J1206" s="20">
        <f t="shared" ca="1" si="165"/>
        <v>0</v>
      </c>
      <c r="K1206" s="5">
        <f t="shared" ca="1" si="166"/>
        <v>0</v>
      </c>
      <c r="L1206" s="61">
        <f t="shared" ca="1" si="167"/>
        <v>0</v>
      </c>
      <c r="M1206" s="64">
        <f t="shared" si="168"/>
        <v>0</v>
      </c>
      <c r="N1206" s="151"/>
      <c r="O1206" s="5">
        <f t="shared" ca="1" si="169"/>
        <v>0</v>
      </c>
      <c r="P1206" s="446" t="e">
        <f t="shared" si="170"/>
        <v>#VALUE!</v>
      </c>
      <c r="Q1206" s="446" t="e">
        <f>IF(OR($B1206="",MIN(Q$38,$D$19)&lt;MAX($P$708*($B1206+IF($R$17="Distrato",$I$38-1,0)),IF(AND($L$711=0,$P$708=0),"",$L$711-1),IF($R$17="Distrato",$E1206,0))),0,YEARFRAC(MAX($P$708*($B1206+IF($R$17="Distrato",$I$38-1,0)),IF(AND($L$711=0,$P$708=0),"",$L$711-1),IF($R$17="Distrato",$E1206,0)),MIN(Q$38,$D$19),$P$20))-SUM($P1206:P1206)</f>
        <v>#VALUE!</v>
      </c>
      <c r="R1206" s="446" t="e">
        <f>IF(OR($B1206="",MIN(R$38,$D$19)&lt;MAX($P$708*($B1206+IF($R$17="Distrato",$I$38-1,0)),IF(AND($L$711=0,$P$708=0),"",$L$711-1),IF($R$17="Distrato",$E1206,0))),0,YEARFRAC(MAX($P$708*($B1206+IF($R$17="Distrato",$I$38-1,0)),IF(AND($L$711=0,$P$708=0),"",$L$711-1),IF($R$17="Distrato",$E1206,0)),MIN(R$38,$D$19),$P$20))-SUM($P1206:Q1206)</f>
        <v>#VALUE!</v>
      </c>
      <c r="S1206" s="446" t="e">
        <f>IF(OR($B1206="",MIN(S$38,$D$19)&lt;MAX($P$708*($B1206+IF($R$17="Distrato",$I$38-1,0)),IF(AND($L$711=0,$P$708=0),"",$L$711-1),IF($R$17="Distrato",$E1206,0))),0,YEARFRAC(MAX($P$708*($B1206+IF($R$17="Distrato",$I$38-1,0)),IF(AND($L$711=0,$P$708=0),"",$L$711-1),IF($R$17="Distrato",$E1206,0)),MIN(S$38,$D$19),$P$20))-SUM($P1206:R1206)</f>
        <v>#VALUE!</v>
      </c>
      <c r="T1206" s="446" t="e">
        <f>IF(OR($B1206="",MIN(T$38,$D$19)&lt;MAX($P$708*($B1206+IF($R$17="Distrato",$I$38-1,0)),IF(AND($L$711=0,$P$708=0),"",$L$711-1),IF($R$17="Distrato",$E1206,0))),0,YEARFRAC(MAX($P$708*($B1206+IF($R$17="Distrato",$I$38-1,0)),IF(AND($L$711=0,$P$708=0),"",$L$711-1),IF($R$17="Distrato",$E1206,0)),MIN(T$38,$D$19),$P$20))-SUM($P1206:S1206)</f>
        <v>#VALUE!</v>
      </c>
      <c r="U1206" s="446" t="e">
        <f>IF(OR($B1206="",MIN(U$38,$D$19)&lt;MAX($P$708*($B1206+IF($R$17="Distrato",$I$38-1,0)),IF(AND($L$711=0,$P$708=0),"",$L$711-1),IF($R$17="Distrato",$E1206,0))),0,YEARFRAC(MAX($P$708*($B1206+IF($R$17="Distrato",$I$38-1,0)),IF(AND($L$711=0,$P$708=0),"",$L$711-1),IF($R$17="Distrato",$E1206,0)),MIN(U$38,$D$19),$P$20))-SUM($P1206:T1206)</f>
        <v>#VALUE!</v>
      </c>
      <c r="V1206" s="446" t="e">
        <f>IF(OR($B1206="",MIN(V$38,$D$19)&lt;MAX($P$708*($B1206+IF($R$17="Distrato",$I$38-1,0)),IF(AND($L$711=0,$P$708=0),"",$L$711-1),IF($R$17="Distrato",$E1206,0))),0,YEARFRAC(MAX($P$708*($B1206+IF($R$17="Distrato",$I$38-1,0)),IF(AND($L$711=0,$P$708=0),"",$L$711-1),IF($R$17="Distrato",$E1206,0)),MIN(V$38,$D$19),$P$20))-SUM($P1206:U1206)</f>
        <v>#VALUE!</v>
      </c>
      <c r="W1206" s="446" t="e">
        <f>IF(OR($B1206="",MIN(W$38,$D$19)&lt;MAX($P$708*($B1206+IF($R$17="Distrato",$I$38-1,0)),IF(AND($L$711=0,$P$708=0),"",$L$711-1),IF($R$17="Distrato",$E1206,0))),0,YEARFRAC(MAX($P$708*($B1206+IF($R$17="Distrato",$I$38-1,0)),IF(AND($L$711=0,$P$708=0),"",$L$711-1),IF($R$17="Distrato",$E1206,0)),MIN(W$38,$D$19),$P$20))-SUM($P1206:V1206)</f>
        <v>#VALUE!</v>
      </c>
      <c r="X1206" s="446" t="e">
        <f>IF(OR($B1206="",MIN(X$38,$D$19)&lt;MAX($P$708*($B1206+IF($R$17="Distrato",$I$38-1,0)),IF(AND($L$711=0,$P$708=0),"",$L$711-1),IF($R$17="Distrato",$E1206,0))),0,YEARFRAC(MAX($P$708*($B1206+IF($R$17="Distrato",$I$38-1,0)),IF(AND($L$711=0,$P$708=0),"",$L$711-1),IF($R$17="Distrato",$E1206,0)),MIN(X$38,$D$19),$P$20))-SUM($P1206:W1206)</f>
        <v>#VALUE!</v>
      </c>
      <c r="Y1206" s="446" t="e">
        <f>IF(OR($B1206="",MIN(Y$38,$D$19)&lt;MAX($P$708*($B1206+IF($R$17="Distrato",$I$38-1,0)),IF(AND($L$711=0,$P$708=0),"",$L$711-1),IF($R$17="Distrato",$E1206,0))),0,YEARFRAC(MAX($P$708*($B1206+IF($R$17="Distrato",$I$38-1,0)),IF(AND($L$711=0,$P$708=0),"",$L$711-1),IF($R$17="Distrato",$E1206,0)),MIN(Y$38,$D$19),$P$20))-SUM($P1206:X1206)</f>
        <v>#VALUE!</v>
      </c>
      <c r="Z1206" s="446" t="e">
        <f>IF(OR($B1206="",MIN(Z$38,$D$19)&lt;MAX($P$708*($B1206+IF($R$17="Distrato",$I$38-1,0)),IF(AND($L$711=0,$P$708=0),"",$L$711-1),IF($R$17="Distrato",$E1206,0))),0,YEARFRAC(MAX($P$708*($B1206+IF($R$17="Distrato",$I$38-1,0)),IF(AND($L$711=0,$P$708=0),"",$L$711-1),IF($R$17="Distrato",$E1206,0)),MIN(Z$38,$D$19),$P$20))-SUM($P1206:Y1206)</f>
        <v>#VALUE!</v>
      </c>
      <c r="AA1206" s="446" t="e">
        <f>IF(OR($B1206="",MIN(AA$38,$D$19)&lt;MAX($P$708*($B1206+IF($R$17="Distrato",$I$38-1,0)),IF(AND($L$711=0,$P$708=0),"",$L$711-1),IF($R$17="Distrato",$E1206,0))),0,YEARFRAC(MAX($P$708*($B1206+IF($R$17="Distrato",$I$38-1,0)),IF(AND($L$711=0,$P$708=0),"",$L$711-1),IF($R$17="Distrato",$E1206,0)),MIN(AA$38,$D$19),$P$20))-SUM($P1206:Z1206)</f>
        <v>#VALUE!</v>
      </c>
      <c r="AB1206" s="446" t="e">
        <f>IF(OR($B1206="",MIN(AB$38,$D$19)&lt;MAX($P$708*($B1206+IF($R$17="Distrato",$I$38-1,0)),IF(AND($L$711=0,$P$708=0),"",$L$711-1),IF($R$17="Distrato",$E1206,0))),0,YEARFRAC(MAX($P$708*($B1206+IF($R$17="Distrato",$I$38-1,0)),IF(AND($L$711=0,$P$708=0),"",$L$711-1),IF($R$17="Distrato",$E1206,0)),MIN(AB$38,$D$19),$P$20))-SUM($P1206:AA1206)</f>
        <v>#VALUE!</v>
      </c>
      <c r="AC1206" s="446" t="e">
        <f>IF(OR($B1206="",MIN(AC$38,$D$19)&lt;MAX($P$708*($B1206+IF($R$17="Distrato",$I$38-1,0)),IF(AND($L$711=0,$P$708=0),"",$L$711-1),IF($R$17="Distrato",$E1206,0))),0,YEARFRAC(MAX($P$708*($B1206+IF($R$17="Distrato",$I$38-1,0)),IF(AND($L$711=0,$P$708=0),"",$L$711-1),IF($R$17="Distrato",$E1206,0)),MIN(AC$38,$D$19),$P$20))-SUM($P1206:AB1206)</f>
        <v>#VALUE!</v>
      </c>
      <c r="AD1206" s="446" t="e">
        <f>IF(OR($B1206="",MIN(AD$38,$D$19)&lt;MAX($P$708*($B1206+IF($R$17="Distrato",$I$38-1,0)),IF(AND($L$711=0,$P$708=0),"",$L$711-1),IF($R$17="Distrato",$E1206,0))),0,YEARFRAC(MAX($P$708*($B1206+IF($R$17="Distrato",$I$38-1,0)),IF(AND($L$711=0,$P$708=0),"",$L$711-1),IF($R$17="Distrato",$E1206,0)),MIN(AD$38,$D$19),$P$20))-SUM($P1206:AC1206)</f>
        <v>#VALUE!</v>
      </c>
      <c r="AE1206" s="446" t="e">
        <f>IF(OR($B1206="",MIN(AE$38,$D$19)&lt;MAX($P$708*($B1206+IF($R$17="Distrato",$I$38-1,0)),IF(AND($L$711=0,$P$708=0),"",$L$711-1),IF($R$17="Distrato",$E1206,0))),0,YEARFRAC(MAX($P$708*($B1206+IF($R$17="Distrato",$I$38-1,0)),IF(AND($L$711=0,$P$708=0),"",$L$711-1),IF($R$17="Distrato",$E1206,0)),MIN(AE$38,$D$19),$P$20))-SUM($P1206:AD1206)</f>
        <v>#VALUE!</v>
      </c>
      <c r="AF1206" s="446" t="e">
        <f>IF(OR($B1206="",MIN(AF$38,$D$19)&lt;MAX($P$708*($B1206+IF($R$17="Distrato",$I$38-1,0)),IF(AND($L$711=0,$P$708=0),"",$L$711-1),IF($R$17="Distrato",$E1206,0))),0,YEARFRAC(MAX($P$708*($B1206+IF($R$17="Distrato",$I$38-1,0)),IF(AND($L$711=0,$P$708=0),"",$L$711-1),IF($R$17="Distrato",$E1206,0)),MIN(AF$38,$D$19),$P$20))-SUM($P1206:AE1206)</f>
        <v>#VALUE!</v>
      </c>
      <c r="AG1206" s="446" t="e">
        <f>IF(OR($B1206="",MIN(AG$38,$D$19)&lt;MAX($P$708*($B1206+IF($R$17="Distrato",$I$38-1,0)),IF(AND($L$711=0,$P$708=0),"",$L$711-1),IF($R$17="Distrato",$E1206,0))),0,YEARFRAC(MAX($P$708*($B1206+IF($R$17="Distrato",$I$38-1,0)),IF(AND($L$711=0,$P$708=0),"",$L$711-1),IF($R$17="Distrato",$E1206,0)),MIN(AG$38,$D$19),$P$20))-SUM($P1206:AF1206)</f>
        <v>#VALUE!</v>
      </c>
      <c r="AH1206" s="446" t="e">
        <f>IF(OR($B1206="",MIN(AH$38,$D$19)&lt;MAX($P$708*($B1206+IF($R$17="Distrato",$I$38-1,0)),IF(AND($L$711=0,$P$708=0),"",$L$711-1),IF($R$17="Distrato",$E1206,0))),0,YEARFRAC(MAX($P$708*($B1206+IF($R$17="Distrato",$I$38-1,0)),IF(AND($L$711=0,$P$708=0),"",$L$711-1),IF($R$17="Distrato",$E1206,0)),MIN(AH$38,$D$19),$P$20))-SUM($P1206:AG1206)</f>
        <v>#VALUE!</v>
      </c>
      <c r="AI1206" s="446" t="e">
        <f>IF(OR($B1206="",MIN(AI$38,$D$19)&lt;MAX($P$708*($B1206+IF($R$17="Distrato",$I$38-1,0)),IF(AND($L$711=0,$P$708=0),"",$L$711-1),IF($R$17="Distrato",$E1206,0))),0,YEARFRAC(MAX($P$708*($B1206+IF($R$17="Distrato",$I$38-1,0)),IF(AND($L$711=0,$P$708=0),"",$L$711-1),IF($R$17="Distrato",$E1206,0)),MIN(AI$38,$D$19),$P$20))-SUM($P1206:AH1206)</f>
        <v>#VALUE!</v>
      </c>
      <c r="AJ1206" s="446" t="e">
        <f>IF(OR($B1206="",MIN(AJ$38,$D$19)&lt;MAX($P$708*($B1206+IF($R$17="Distrato",$I$38-1,0)),IF(AND($L$711=0,$P$708=0),"",$L$711-1),IF($R$17="Distrato",$E1206,0))),0,YEARFRAC(MAX($P$708*($B1206+IF($R$17="Distrato",$I$38-1,0)),IF(AND($L$711=0,$P$708=0),"",$L$711-1),IF($R$17="Distrato",$E1206,0)),MIN(AJ$38,$D$19),$P$20))-SUM($P1206:AI1206)</f>
        <v>#VALUE!</v>
      </c>
      <c r="AK1206" s="446" t="e">
        <f>IF(OR($B1206="",MIN(AK$38,$D$19)&lt;MAX($P$708*($B1206+IF($R$17="Distrato",$I$38-1,0)),IF(AND($L$711=0,$P$708=0),"",$L$711-1),IF($R$17="Distrato",$E1206,0))),0,YEARFRAC(MAX($P$708*($B1206+IF($R$17="Distrato",$I$38-1,0)),IF(AND($L$711=0,$P$708=0),"",$L$711-1),IF($R$17="Distrato",$E1206,0)),MIN(AK$38,$D$19),$P$20))-SUM($P1206:AJ1206)</f>
        <v>#VALUE!</v>
      </c>
      <c r="AL1206" s="446" t="e">
        <f>IF(OR($B1206="",MIN(AL$38,$D$19)&lt;MAX($P$708*($B1206+IF($R$17="Distrato",$I$38-1,0)),IF(AND($L$711=0,$P$708=0),"",$L$711-1),IF($R$17="Distrato",$E1206,0))),0,YEARFRAC(MAX($P$708*($B1206+IF($R$17="Distrato",$I$38-1,0)),IF(AND($L$711=0,$P$708=0),"",$L$711-1),IF($R$17="Distrato",$E1206,0)),MIN(AL$38,$D$19),$P$20))-SUM($P1206:AK1206)</f>
        <v>#VALUE!</v>
      </c>
      <c r="AM1206" s="446" t="e">
        <f>IF(OR($B1206="",MIN(AM$38,$D$19)&lt;MAX($P$708*($B1206+IF($R$17="Distrato",$I$38-1,0)),IF(AND($L$711=0,$P$708=0),"",$L$711-1),IF($R$17="Distrato",$E1206,0))),0,YEARFRAC(MAX($P$708*($B1206+IF($R$17="Distrato",$I$38-1,0)),IF(AND($L$711=0,$P$708=0),"",$L$711-1),IF($R$17="Distrato",$E1206,0)),MIN(AM$38,$D$19),$P$20))-SUM($P1206:AL1206)</f>
        <v>#VALUE!</v>
      </c>
      <c r="AN1206" s="446" t="e">
        <f>IF(OR($B1206="",MIN(AN$38,$D$19)&lt;MAX($P$708*($B1206+IF($R$17="Distrato",$I$38-1,0)),IF(AND($L$711=0,$P$708=0),"",$L$711-1),IF($R$17="Distrato",$E1206,0))),0,YEARFRAC(MAX($P$708*($B1206+IF($R$17="Distrato",$I$38-1,0)),IF(AND($L$711=0,$P$708=0),"",$L$711-1),IF($R$17="Distrato",$E1206,0)),MIN(AN$38,$D$19),$P$20))-SUM($P1206:AM1206)</f>
        <v>#VALUE!</v>
      </c>
      <c r="AO1206" s="446" t="e">
        <f>IF(OR($B1206="",MIN(AO$38,$D$19)&lt;MAX($P$708*($B1206+IF($R$17="Distrato",$I$38-1,0)),IF(AND($L$711=0,$P$708=0),"",$L$711-1),IF($R$17="Distrato",$E1206,0))),0,YEARFRAC(MAX($P$708*($B1206+IF($R$17="Distrato",$I$38-1,0)),IF(AND($L$711=0,$P$708=0),"",$L$711-1),IF($R$17="Distrato",$E1206,0)),MIN(AO$38,$D$19),$P$20))-SUM($P1206:AN1206)</f>
        <v>#VALUE!</v>
      </c>
      <c r="AP1206" s="446" t="e">
        <f>IF(OR($B1206="",MIN(AP$38,$D$19)&lt;MAX($P$708*($B1206+IF($R$17="Distrato",$I$38-1,0)),IF(AND($L$711=0,$P$708=0),"",$L$711-1),IF($R$17="Distrato",$E1206,0))),0,YEARFRAC(MAX($P$708*($B1206+IF($R$17="Distrato",$I$38-1,0)),IF(AND($L$711=0,$P$708=0),"",$L$711-1),IF($R$17="Distrato",$E1206,0)),MIN(AP$38,$D$19),$P$20))-SUM($P1206:AO1206)</f>
        <v>#VALUE!</v>
      </c>
      <c r="AQ1206" s="446" t="e">
        <f>IF(OR($B1206="",MIN(AQ$38,$D$19)&lt;MAX($P$708*($B1206+IF($R$17="Distrato",$I$38-1,0)),IF(AND($L$711=0,$P$708=0),"",$L$711-1),IF($R$17="Distrato",$E1206,0))),0,YEARFRAC(MAX($P$708*($B1206+IF($R$17="Distrato",$I$38-1,0)),IF(AND($L$711=0,$P$708=0),"",$L$711-1),IF($R$17="Distrato",$E1206,0)),MIN(AQ$38,$D$19),$P$20))-SUM($P1206:AP1206)</f>
        <v>#VALUE!</v>
      </c>
      <c r="AR1206" s="446" t="e">
        <f>IF(OR($B1206="",MIN(AR$38,$D$19)&lt;MAX($P$708*($B1206+IF($R$17="Distrato",$I$38-1,0)),IF(AND($L$711=0,$P$708=0),"",$L$711-1),IF($R$17="Distrato",$E1206,0))),0,YEARFRAC(MAX($P$708*($B1206+IF($R$17="Distrato",$I$38-1,0)),IF(AND($L$711=0,$P$708=0),"",$L$711-1),IF($R$17="Distrato",$E1206,0)),MIN(AR$38,$D$19),$P$20))-SUM($P1206:AQ1206)</f>
        <v>#VALUE!</v>
      </c>
      <c r="AS1206" s="446" t="e">
        <f>IF(OR($B1206="",MIN(AS$38,$D$19)&lt;MAX($P$708*($B1206+IF($R$17="Distrato",$I$38-1,0)),IF(AND($L$711=0,$P$708=0),"",$L$711-1),IF($R$17="Distrato",$E1206,0))),0,YEARFRAC(MAX($P$708*($B1206+IF($R$17="Distrato",$I$38-1,0)),IF(AND($L$711=0,$P$708=0),"",$L$711-1),IF($R$17="Distrato",$E1206,0)),MIN(AS$38,$D$19),$P$20))-SUM($P1206:AR1206)</f>
        <v>#VALUE!</v>
      </c>
      <c r="AT1206" s="446" t="e">
        <f>IF(OR($B1206="",MIN(AT$38,$D$19)&lt;MAX($P$708*($B1206+IF($R$17="Distrato",$I$38-1,0)),IF(AND($L$711=0,$P$708=0),"",$L$711-1),IF($R$17="Distrato",$E1206,0))),0,YEARFRAC(MAX($P$708*($B1206+IF($R$17="Distrato",$I$38-1,0)),IF(AND($L$711=0,$P$708=0),"",$L$711-1),IF($R$17="Distrato",$E1206,0)),MIN(AT$38,$D$19),$P$20))-SUM($P1206:AS1206)</f>
        <v>#VALUE!</v>
      </c>
      <c r="AU1206" s="446" t="e">
        <f>IF(OR($B1206="",MIN(AU$38,$D$19)&lt;MAX($P$708*($B1206+IF($R$17="Distrato",$I$38-1,0)),IF(AND($L$711=0,$P$708=0),"",$L$711-1),IF($R$17="Distrato",$E1206,0))),0,YEARFRAC(MAX($P$708*($B1206+IF($R$17="Distrato",$I$38-1,0)),IF(AND($L$711=0,$P$708=0),"",$L$711-1),IF($R$17="Distrato",$E1206,0)),MIN(AU$38,$D$19),$P$20))-SUM($P1206:AT1206)</f>
        <v>#VALUE!</v>
      </c>
      <c r="AV1206" s="446" t="e">
        <f>IF(OR($B1206="",MIN(AV$38,$D$19)&lt;MAX($P$708*($B1206+IF($R$17="Distrato",$I$38-1,0)),IF(AND($L$711=0,$P$708=0),"",$L$711-1),IF($R$17="Distrato",$E1206,0))),0,YEARFRAC(MAX($P$708*($B1206+IF($R$17="Distrato",$I$38-1,0)),IF(AND($L$711=0,$P$708=0),"",$L$711-1),IF($R$17="Distrato",$E1206,0)),MIN(AV$38,$D$19),$P$20))-SUM($P1206:AU1206)</f>
        <v>#VALUE!</v>
      </c>
      <c r="AW1206" s="446" t="e">
        <f>IF(OR($B1206="",MIN(AW$38,$D$19)&lt;MAX($P$708*($B1206+IF($R$17="Distrato",$I$38-1,0)),IF(AND($L$711=0,$P$708=0),"",$L$711-1),IF($R$17="Distrato",$E1206,0))),0,YEARFRAC(MAX($P$708*($B1206+IF($R$17="Distrato",$I$38-1,0)),IF(AND($L$711=0,$P$708=0),"",$L$711-1),IF($R$17="Distrato",$E1206,0)),MIN(AW$38,$D$19),$P$20))-SUM($P1206:AV1206)</f>
        <v>#VALUE!</v>
      </c>
      <c r="AX1206" s="446" t="e">
        <f>IF(OR($B1206="",MIN(AX$38,$D$19)&lt;MAX($P$708*($B1206+IF($R$17="Distrato",$I$38-1,0)),IF(AND($L$711=0,$P$708=0),"",$L$711-1),IF($R$17="Distrato",$E1206,0))),0,YEARFRAC(MAX($P$708*($B1206+IF($R$17="Distrato",$I$38-1,0)),IF(AND($L$711=0,$P$708=0),"",$L$711-1),IF($R$17="Distrato",$E1206,0)),MIN(AX$38,$D$19),$P$20))-SUM($P1206:AW1206)</f>
        <v>#VALUE!</v>
      </c>
      <c r="AY1206" s="446" t="e">
        <f>IF(OR($B1206="",MIN(AY$38,$D$19)&lt;MAX($P$708*($B1206+IF($R$17="Distrato",$I$38-1,0)),IF(AND($L$711=0,$P$708=0),"",$L$711-1),IF($R$17="Distrato",$E1206,0))),0,YEARFRAC(MAX($P$708*($B1206+IF($R$17="Distrato",$I$38-1,0)),IF(AND($L$711=0,$P$708=0),"",$L$711-1),IF($R$17="Distrato",$E1206,0)),MIN(AY$38,$D$19),$P$20))-SUM($P1206:AX1206)</f>
        <v>#VALUE!</v>
      </c>
      <c r="AZ1206" s="446" t="e">
        <f>IF(OR($B1206="",MIN(AZ$38,$D$19)&lt;MAX($P$708*($B1206+IF($R$17="Distrato",$I$38-1,0)),IF(AND($L$711=0,$P$708=0),"",$L$711-1),IF($R$17="Distrato",$E1206,0))),0,YEARFRAC(MAX($P$708*($B1206+IF($R$17="Distrato",$I$38-1,0)),IF(AND($L$711=0,$P$708=0),"",$L$711-1),IF($R$17="Distrato",$E1206,0)),MIN(AZ$38,$D$19),$P$20))-SUM($P1206:AY1206)</f>
        <v>#VALUE!</v>
      </c>
      <c r="BA1206" s="446" t="e">
        <f>IF(OR($B1206="",MIN(BA$38,$D$19)&lt;MAX($P$708*($B1206+IF($R$17="Distrato",$I$38-1,0)),IF(AND($L$711=0,$P$708=0),"",$L$711-1),IF($R$17="Distrato",$E1206,0))),0,YEARFRAC(MAX($P$708*($B1206+IF($R$17="Distrato",$I$38-1,0)),IF(AND($L$711=0,$P$708=0),"",$L$711-1),IF($R$17="Distrato",$E1206,0)),MIN(BA$38,$D$19),$P$20))-SUM($P1206:AZ1206)</f>
        <v>#VALUE!</v>
      </c>
      <c r="BB1206" s="447"/>
    </row>
    <row r="1207" spans="1:54" s="446" customFormat="1" ht="11.25" hidden="1" customHeight="1" x14ac:dyDescent="0.2">
      <c r="A1207" s="235"/>
      <c r="B1207" s="236"/>
      <c r="C1207" s="29" t="str">
        <f>IF(B1207="","",IF($L$709=$BL$25,VLOOKUP(DATE(YEAR($D$19),MONTH($D$19)-1,1),ÍNDICES!$A:$DE,HLOOKUP($BL$25,ÍNDICES!$B$3:$T$4,2)+11)-VLOOKUP(B1207,ÍNDICES!$A:$DE,HLOOKUP($BL$25,ÍNDICES!$B$3:$T$4,2)+11)+1%,IF(C$712=$W$26,$J$35,IF(ISERROR(IF(B1207&gt;$D$19,1,VLOOKUP(DATE(YEAR(B1207),MONTH(B1207)+IF($C$709=$S$23,1,0),1),ÍNDICES!$A:$DE,$Z$709+1))),"",IF(B1207&gt;$D$19,1,VLOOKUP(DATE(YEAR(B1207),MONTH(B1207)+IF($C$709=$S$23,1,0),1),ÍNDICES!$A:$DE,$Z$709+1))))))</f>
        <v/>
      </c>
      <c r="D1207" s="155"/>
      <c r="E1207" s="88"/>
      <c r="F1207" s="88"/>
      <c r="G1207" s="88"/>
      <c r="H1207" s="118"/>
      <c r="I1207" s="182">
        <f t="shared" si="164"/>
        <v>0</v>
      </c>
      <c r="J1207" s="20">
        <f t="shared" ca="1" si="165"/>
        <v>0</v>
      </c>
      <c r="K1207" s="5">
        <f t="shared" ca="1" si="166"/>
        <v>0</v>
      </c>
      <c r="L1207" s="61">
        <f t="shared" ca="1" si="167"/>
        <v>0</v>
      </c>
      <c r="M1207" s="64">
        <f t="shared" si="168"/>
        <v>0</v>
      </c>
      <c r="N1207" s="151"/>
      <c r="O1207" s="5">
        <f t="shared" ca="1" si="169"/>
        <v>0</v>
      </c>
      <c r="P1207" s="446" t="e">
        <f t="shared" si="170"/>
        <v>#VALUE!</v>
      </c>
      <c r="Q1207" s="446" t="e">
        <f>IF(OR($B1207="",MIN(Q$38,$D$19)&lt;MAX($P$708*($B1207+IF($R$17="Distrato",$I$38-1,0)),IF(AND($L$711=0,$P$708=0),"",$L$711-1),IF($R$17="Distrato",$E1207,0))),0,YEARFRAC(MAX($P$708*($B1207+IF($R$17="Distrato",$I$38-1,0)),IF(AND($L$711=0,$P$708=0),"",$L$711-1),IF($R$17="Distrato",$E1207,0)),MIN(Q$38,$D$19),$P$20))-SUM($P1207:P1207)</f>
        <v>#VALUE!</v>
      </c>
      <c r="R1207" s="446" t="e">
        <f>IF(OR($B1207="",MIN(R$38,$D$19)&lt;MAX($P$708*($B1207+IF($R$17="Distrato",$I$38-1,0)),IF(AND($L$711=0,$P$708=0),"",$L$711-1),IF($R$17="Distrato",$E1207,0))),0,YEARFRAC(MAX($P$708*($B1207+IF($R$17="Distrato",$I$38-1,0)),IF(AND($L$711=0,$P$708=0),"",$L$711-1),IF($R$17="Distrato",$E1207,0)),MIN(R$38,$D$19),$P$20))-SUM($P1207:Q1207)</f>
        <v>#VALUE!</v>
      </c>
      <c r="S1207" s="446" t="e">
        <f>IF(OR($B1207="",MIN(S$38,$D$19)&lt;MAX($P$708*($B1207+IF($R$17="Distrato",$I$38-1,0)),IF(AND($L$711=0,$P$708=0),"",$L$711-1),IF($R$17="Distrato",$E1207,0))),0,YEARFRAC(MAX($P$708*($B1207+IF($R$17="Distrato",$I$38-1,0)),IF(AND($L$711=0,$P$708=0),"",$L$711-1),IF($R$17="Distrato",$E1207,0)),MIN(S$38,$D$19),$P$20))-SUM($P1207:R1207)</f>
        <v>#VALUE!</v>
      </c>
      <c r="T1207" s="446" t="e">
        <f>IF(OR($B1207="",MIN(T$38,$D$19)&lt;MAX($P$708*($B1207+IF($R$17="Distrato",$I$38-1,0)),IF(AND($L$711=0,$P$708=0),"",$L$711-1),IF($R$17="Distrato",$E1207,0))),0,YEARFRAC(MAX($P$708*($B1207+IF($R$17="Distrato",$I$38-1,0)),IF(AND($L$711=0,$P$708=0),"",$L$711-1),IF($R$17="Distrato",$E1207,0)),MIN(T$38,$D$19),$P$20))-SUM($P1207:S1207)</f>
        <v>#VALUE!</v>
      </c>
      <c r="U1207" s="446" t="e">
        <f>IF(OR($B1207="",MIN(U$38,$D$19)&lt;MAX($P$708*($B1207+IF($R$17="Distrato",$I$38-1,0)),IF(AND($L$711=0,$P$708=0),"",$L$711-1),IF($R$17="Distrato",$E1207,0))),0,YEARFRAC(MAX($P$708*($B1207+IF($R$17="Distrato",$I$38-1,0)),IF(AND($L$711=0,$P$708=0),"",$L$711-1),IF($R$17="Distrato",$E1207,0)),MIN(U$38,$D$19),$P$20))-SUM($P1207:T1207)</f>
        <v>#VALUE!</v>
      </c>
      <c r="V1207" s="446" t="e">
        <f>IF(OR($B1207="",MIN(V$38,$D$19)&lt;MAX($P$708*($B1207+IF($R$17="Distrato",$I$38-1,0)),IF(AND($L$711=0,$P$708=0),"",$L$711-1),IF($R$17="Distrato",$E1207,0))),0,YEARFRAC(MAX($P$708*($B1207+IF($R$17="Distrato",$I$38-1,0)),IF(AND($L$711=0,$P$708=0),"",$L$711-1),IF($R$17="Distrato",$E1207,0)),MIN(V$38,$D$19),$P$20))-SUM($P1207:U1207)</f>
        <v>#VALUE!</v>
      </c>
      <c r="W1207" s="446" t="e">
        <f>IF(OR($B1207="",MIN(W$38,$D$19)&lt;MAX($P$708*($B1207+IF($R$17="Distrato",$I$38-1,0)),IF(AND($L$711=0,$P$708=0),"",$L$711-1),IF($R$17="Distrato",$E1207,0))),0,YEARFRAC(MAX($P$708*($B1207+IF($R$17="Distrato",$I$38-1,0)),IF(AND($L$711=0,$P$708=0),"",$L$711-1),IF($R$17="Distrato",$E1207,0)),MIN(W$38,$D$19),$P$20))-SUM($P1207:V1207)</f>
        <v>#VALUE!</v>
      </c>
      <c r="X1207" s="446" t="e">
        <f>IF(OR($B1207="",MIN(X$38,$D$19)&lt;MAX($P$708*($B1207+IF($R$17="Distrato",$I$38-1,0)),IF(AND($L$711=0,$P$708=0),"",$L$711-1),IF($R$17="Distrato",$E1207,0))),0,YEARFRAC(MAX($P$708*($B1207+IF($R$17="Distrato",$I$38-1,0)),IF(AND($L$711=0,$P$708=0),"",$L$711-1),IF($R$17="Distrato",$E1207,0)),MIN(X$38,$D$19),$P$20))-SUM($P1207:W1207)</f>
        <v>#VALUE!</v>
      </c>
      <c r="Y1207" s="446" t="e">
        <f>IF(OR($B1207="",MIN(Y$38,$D$19)&lt;MAX($P$708*($B1207+IF($R$17="Distrato",$I$38-1,0)),IF(AND($L$711=0,$P$708=0),"",$L$711-1),IF($R$17="Distrato",$E1207,0))),0,YEARFRAC(MAX($P$708*($B1207+IF($R$17="Distrato",$I$38-1,0)),IF(AND($L$711=0,$P$708=0),"",$L$711-1),IF($R$17="Distrato",$E1207,0)),MIN(Y$38,$D$19),$P$20))-SUM($P1207:X1207)</f>
        <v>#VALUE!</v>
      </c>
      <c r="Z1207" s="446" t="e">
        <f>IF(OR($B1207="",MIN(Z$38,$D$19)&lt;MAX($P$708*($B1207+IF($R$17="Distrato",$I$38-1,0)),IF(AND($L$711=0,$P$708=0),"",$L$711-1),IF($R$17="Distrato",$E1207,0))),0,YEARFRAC(MAX($P$708*($B1207+IF($R$17="Distrato",$I$38-1,0)),IF(AND($L$711=0,$P$708=0),"",$L$711-1),IF($R$17="Distrato",$E1207,0)),MIN(Z$38,$D$19),$P$20))-SUM($P1207:Y1207)</f>
        <v>#VALUE!</v>
      </c>
      <c r="AA1207" s="446" t="e">
        <f>IF(OR($B1207="",MIN(AA$38,$D$19)&lt;MAX($P$708*($B1207+IF($R$17="Distrato",$I$38-1,0)),IF(AND($L$711=0,$P$708=0),"",$L$711-1),IF($R$17="Distrato",$E1207,0))),0,YEARFRAC(MAX($P$708*($B1207+IF($R$17="Distrato",$I$38-1,0)),IF(AND($L$711=0,$P$708=0),"",$L$711-1),IF($R$17="Distrato",$E1207,0)),MIN(AA$38,$D$19),$P$20))-SUM($P1207:Z1207)</f>
        <v>#VALUE!</v>
      </c>
      <c r="AB1207" s="446" t="e">
        <f>IF(OR($B1207="",MIN(AB$38,$D$19)&lt;MAX($P$708*($B1207+IF($R$17="Distrato",$I$38-1,0)),IF(AND($L$711=0,$P$708=0),"",$L$711-1),IF($R$17="Distrato",$E1207,0))),0,YEARFRAC(MAX($P$708*($B1207+IF($R$17="Distrato",$I$38-1,0)),IF(AND($L$711=0,$P$708=0),"",$L$711-1),IF($R$17="Distrato",$E1207,0)),MIN(AB$38,$D$19),$P$20))-SUM($P1207:AA1207)</f>
        <v>#VALUE!</v>
      </c>
      <c r="AC1207" s="446" t="e">
        <f>IF(OR($B1207="",MIN(AC$38,$D$19)&lt;MAX($P$708*($B1207+IF($R$17="Distrato",$I$38-1,0)),IF(AND($L$711=0,$P$708=0),"",$L$711-1),IF($R$17="Distrato",$E1207,0))),0,YEARFRAC(MAX($P$708*($B1207+IF($R$17="Distrato",$I$38-1,0)),IF(AND($L$711=0,$P$708=0),"",$L$711-1),IF($R$17="Distrato",$E1207,0)),MIN(AC$38,$D$19),$P$20))-SUM($P1207:AB1207)</f>
        <v>#VALUE!</v>
      </c>
      <c r="AD1207" s="446" t="e">
        <f>IF(OR($B1207="",MIN(AD$38,$D$19)&lt;MAX($P$708*($B1207+IF($R$17="Distrato",$I$38-1,0)),IF(AND($L$711=0,$P$708=0),"",$L$711-1),IF($R$17="Distrato",$E1207,0))),0,YEARFRAC(MAX($P$708*($B1207+IF($R$17="Distrato",$I$38-1,0)),IF(AND($L$711=0,$P$708=0),"",$L$711-1),IF($R$17="Distrato",$E1207,0)),MIN(AD$38,$D$19),$P$20))-SUM($P1207:AC1207)</f>
        <v>#VALUE!</v>
      </c>
      <c r="AE1207" s="446" t="e">
        <f>IF(OR($B1207="",MIN(AE$38,$D$19)&lt;MAX($P$708*($B1207+IF($R$17="Distrato",$I$38-1,0)),IF(AND($L$711=0,$P$708=0),"",$L$711-1),IF($R$17="Distrato",$E1207,0))),0,YEARFRAC(MAX($P$708*($B1207+IF($R$17="Distrato",$I$38-1,0)),IF(AND($L$711=0,$P$708=0),"",$L$711-1),IF($R$17="Distrato",$E1207,0)),MIN(AE$38,$D$19),$P$20))-SUM($P1207:AD1207)</f>
        <v>#VALUE!</v>
      </c>
      <c r="AF1207" s="446" t="e">
        <f>IF(OR($B1207="",MIN(AF$38,$D$19)&lt;MAX($P$708*($B1207+IF($R$17="Distrato",$I$38-1,0)),IF(AND($L$711=0,$P$708=0),"",$L$711-1),IF($R$17="Distrato",$E1207,0))),0,YEARFRAC(MAX($P$708*($B1207+IF($R$17="Distrato",$I$38-1,0)),IF(AND($L$711=0,$P$708=0),"",$L$711-1),IF($R$17="Distrato",$E1207,0)),MIN(AF$38,$D$19),$P$20))-SUM($P1207:AE1207)</f>
        <v>#VALUE!</v>
      </c>
      <c r="AG1207" s="446" t="e">
        <f>IF(OR($B1207="",MIN(AG$38,$D$19)&lt;MAX($P$708*($B1207+IF($R$17="Distrato",$I$38-1,0)),IF(AND($L$711=0,$P$708=0),"",$L$711-1),IF($R$17="Distrato",$E1207,0))),0,YEARFRAC(MAX($P$708*($B1207+IF($R$17="Distrato",$I$38-1,0)),IF(AND($L$711=0,$P$708=0),"",$L$711-1),IF($R$17="Distrato",$E1207,0)),MIN(AG$38,$D$19),$P$20))-SUM($P1207:AF1207)</f>
        <v>#VALUE!</v>
      </c>
      <c r="AH1207" s="446" t="e">
        <f>IF(OR($B1207="",MIN(AH$38,$D$19)&lt;MAX($P$708*($B1207+IF($R$17="Distrato",$I$38-1,0)),IF(AND($L$711=0,$P$708=0),"",$L$711-1),IF($R$17="Distrato",$E1207,0))),0,YEARFRAC(MAX($P$708*($B1207+IF($R$17="Distrato",$I$38-1,0)),IF(AND($L$711=0,$P$708=0),"",$L$711-1),IF($R$17="Distrato",$E1207,0)),MIN(AH$38,$D$19),$P$20))-SUM($P1207:AG1207)</f>
        <v>#VALUE!</v>
      </c>
      <c r="AI1207" s="446" t="e">
        <f>IF(OR($B1207="",MIN(AI$38,$D$19)&lt;MAX($P$708*($B1207+IF($R$17="Distrato",$I$38-1,0)),IF(AND($L$711=0,$P$708=0),"",$L$711-1),IF($R$17="Distrato",$E1207,0))),0,YEARFRAC(MAX($P$708*($B1207+IF($R$17="Distrato",$I$38-1,0)),IF(AND($L$711=0,$P$708=0),"",$L$711-1),IF($R$17="Distrato",$E1207,0)),MIN(AI$38,$D$19),$P$20))-SUM($P1207:AH1207)</f>
        <v>#VALUE!</v>
      </c>
      <c r="AJ1207" s="446" t="e">
        <f>IF(OR($B1207="",MIN(AJ$38,$D$19)&lt;MAX($P$708*($B1207+IF($R$17="Distrato",$I$38-1,0)),IF(AND($L$711=0,$P$708=0),"",$L$711-1),IF($R$17="Distrato",$E1207,0))),0,YEARFRAC(MAX($P$708*($B1207+IF($R$17="Distrato",$I$38-1,0)),IF(AND($L$711=0,$P$708=0),"",$L$711-1),IF($R$17="Distrato",$E1207,0)),MIN(AJ$38,$D$19),$P$20))-SUM($P1207:AI1207)</f>
        <v>#VALUE!</v>
      </c>
      <c r="AK1207" s="446" t="e">
        <f>IF(OR($B1207="",MIN(AK$38,$D$19)&lt;MAX($P$708*($B1207+IF($R$17="Distrato",$I$38-1,0)),IF(AND($L$711=0,$P$708=0),"",$L$711-1),IF($R$17="Distrato",$E1207,0))),0,YEARFRAC(MAX($P$708*($B1207+IF($R$17="Distrato",$I$38-1,0)),IF(AND($L$711=0,$P$708=0),"",$L$711-1),IF($R$17="Distrato",$E1207,0)),MIN(AK$38,$D$19),$P$20))-SUM($P1207:AJ1207)</f>
        <v>#VALUE!</v>
      </c>
      <c r="AL1207" s="446" t="e">
        <f>IF(OR($B1207="",MIN(AL$38,$D$19)&lt;MAX($P$708*($B1207+IF($R$17="Distrato",$I$38-1,0)),IF(AND($L$711=0,$P$708=0),"",$L$711-1),IF($R$17="Distrato",$E1207,0))),0,YEARFRAC(MAX($P$708*($B1207+IF($R$17="Distrato",$I$38-1,0)),IF(AND($L$711=0,$P$708=0),"",$L$711-1),IF($R$17="Distrato",$E1207,0)),MIN(AL$38,$D$19),$P$20))-SUM($P1207:AK1207)</f>
        <v>#VALUE!</v>
      </c>
      <c r="AM1207" s="446" t="e">
        <f>IF(OR($B1207="",MIN(AM$38,$D$19)&lt;MAX($P$708*($B1207+IF($R$17="Distrato",$I$38-1,0)),IF(AND($L$711=0,$P$708=0),"",$L$711-1),IF($R$17="Distrato",$E1207,0))),0,YEARFRAC(MAX($P$708*($B1207+IF($R$17="Distrato",$I$38-1,0)),IF(AND($L$711=0,$P$708=0),"",$L$711-1),IF($R$17="Distrato",$E1207,0)),MIN(AM$38,$D$19),$P$20))-SUM($P1207:AL1207)</f>
        <v>#VALUE!</v>
      </c>
      <c r="AN1207" s="446" t="e">
        <f>IF(OR($B1207="",MIN(AN$38,$D$19)&lt;MAX($P$708*($B1207+IF($R$17="Distrato",$I$38-1,0)),IF(AND($L$711=0,$P$708=0),"",$L$711-1),IF($R$17="Distrato",$E1207,0))),0,YEARFRAC(MAX($P$708*($B1207+IF($R$17="Distrato",$I$38-1,0)),IF(AND($L$711=0,$P$708=0),"",$L$711-1),IF($R$17="Distrato",$E1207,0)),MIN(AN$38,$D$19),$P$20))-SUM($P1207:AM1207)</f>
        <v>#VALUE!</v>
      </c>
      <c r="AO1207" s="446" t="e">
        <f>IF(OR($B1207="",MIN(AO$38,$D$19)&lt;MAX($P$708*($B1207+IF($R$17="Distrato",$I$38-1,0)),IF(AND($L$711=0,$P$708=0),"",$L$711-1),IF($R$17="Distrato",$E1207,0))),0,YEARFRAC(MAX($P$708*($B1207+IF($R$17="Distrato",$I$38-1,0)),IF(AND($L$711=0,$P$708=0),"",$L$711-1),IF($R$17="Distrato",$E1207,0)),MIN(AO$38,$D$19),$P$20))-SUM($P1207:AN1207)</f>
        <v>#VALUE!</v>
      </c>
      <c r="AP1207" s="446" t="e">
        <f>IF(OR($B1207="",MIN(AP$38,$D$19)&lt;MAX($P$708*($B1207+IF($R$17="Distrato",$I$38-1,0)),IF(AND($L$711=0,$P$708=0),"",$L$711-1),IF($R$17="Distrato",$E1207,0))),0,YEARFRAC(MAX($P$708*($B1207+IF($R$17="Distrato",$I$38-1,0)),IF(AND($L$711=0,$P$708=0),"",$L$711-1),IF($R$17="Distrato",$E1207,0)),MIN(AP$38,$D$19),$P$20))-SUM($P1207:AO1207)</f>
        <v>#VALUE!</v>
      </c>
      <c r="AQ1207" s="446" t="e">
        <f>IF(OR($B1207="",MIN(AQ$38,$D$19)&lt;MAX($P$708*($B1207+IF($R$17="Distrato",$I$38-1,0)),IF(AND($L$711=0,$P$708=0),"",$L$711-1),IF($R$17="Distrato",$E1207,0))),0,YEARFRAC(MAX($P$708*($B1207+IF($R$17="Distrato",$I$38-1,0)),IF(AND($L$711=0,$P$708=0),"",$L$711-1),IF($R$17="Distrato",$E1207,0)),MIN(AQ$38,$D$19),$P$20))-SUM($P1207:AP1207)</f>
        <v>#VALUE!</v>
      </c>
      <c r="AR1207" s="446" t="e">
        <f>IF(OR($B1207="",MIN(AR$38,$D$19)&lt;MAX($P$708*($B1207+IF($R$17="Distrato",$I$38-1,0)),IF(AND($L$711=0,$P$708=0),"",$L$711-1),IF($R$17="Distrato",$E1207,0))),0,YEARFRAC(MAX($P$708*($B1207+IF($R$17="Distrato",$I$38-1,0)),IF(AND($L$711=0,$P$708=0),"",$L$711-1),IF($R$17="Distrato",$E1207,0)),MIN(AR$38,$D$19),$P$20))-SUM($P1207:AQ1207)</f>
        <v>#VALUE!</v>
      </c>
      <c r="AS1207" s="446" t="e">
        <f>IF(OR($B1207="",MIN(AS$38,$D$19)&lt;MAX($P$708*($B1207+IF($R$17="Distrato",$I$38-1,0)),IF(AND($L$711=0,$P$708=0),"",$L$711-1),IF($R$17="Distrato",$E1207,0))),0,YEARFRAC(MAX($P$708*($B1207+IF($R$17="Distrato",$I$38-1,0)),IF(AND($L$711=0,$P$708=0),"",$L$711-1),IF($R$17="Distrato",$E1207,0)),MIN(AS$38,$D$19),$P$20))-SUM($P1207:AR1207)</f>
        <v>#VALUE!</v>
      </c>
      <c r="AT1207" s="446" t="e">
        <f>IF(OR($B1207="",MIN(AT$38,$D$19)&lt;MAX($P$708*($B1207+IF($R$17="Distrato",$I$38-1,0)),IF(AND($L$711=0,$P$708=0),"",$L$711-1),IF($R$17="Distrato",$E1207,0))),0,YEARFRAC(MAX($P$708*($B1207+IF($R$17="Distrato",$I$38-1,0)),IF(AND($L$711=0,$P$708=0),"",$L$711-1),IF($R$17="Distrato",$E1207,0)),MIN(AT$38,$D$19),$P$20))-SUM($P1207:AS1207)</f>
        <v>#VALUE!</v>
      </c>
      <c r="AU1207" s="446" t="e">
        <f>IF(OR($B1207="",MIN(AU$38,$D$19)&lt;MAX($P$708*($B1207+IF($R$17="Distrato",$I$38-1,0)),IF(AND($L$711=0,$P$708=0),"",$L$711-1),IF($R$17="Distrato",$E1207,0))),0,YEARFRAC(MAX($P$708*($B1207+IF($R$17="Distrato",$I$38-1,0)),IF(AND($L$711=0,$P$708=0),"",$L$711-1),IF($R$17="Distrato",$E1207,0)),MIN(AU$38,$D$19),$P$20))-SUM($P1207:AT1207)</f>
        <v>#VALUE!</v>
      </c>
      <c r="AV1207" s="446" t="e">
        <f>IF(OR($B1207="",MIN(AV$38,$D$19)&lt;MAX($P$708*($B1207+IF($R$17="Distrato",$I$38-1,0)),IF(AND($L$711=0,$P$708=0),"",$L$711-1),IF($R$17="Distrato",$E1207,0))),0,YEARFRAC(MAX($P$708*($B1207+IF($R$17="Distrato",$I$38-1,0)),IF(AND($L$711=0,$P$708=0),"",$L$711-1),IF($R$17="Distrato",$E1207,0)),MIN(AV$38,$D$19),$P$20))-SUM($P1207:AU1207)</f>
        <v>#VALUE!</v>
      </c>
      <c r="AW1207" s="446" t="e">
        <f>IF(OR($B1207="",MIN(AW$38,$D$19)&lt;MAX($P$708*($B1207+IF($R$17="Distrato",$I$38-1,0)),IF(AND($L$711=0,$P$708=0),"",$L$711-1),IF($R$17="Distrato",$E1207,0))),0,YEARFRAC(MAX($P$708*($B1207+IF($R$17="Distrato",$I$38-1,0)),IF(AND($L$711=0,$P$708=0),"",$L$711-1),IF($R$17="Distrato",$E1207,0)),MIN(AW$38,$D$19),$P$20))-SUM($P1207:AV1207)</f>
        <v>#VALUE!</v>
      </c>
      <c r="AX1207" s="446" t="e">
        <f>IF(OR($B1207="",MIN(AX$38,$D$19)&lt;MAX($P$708*($B1207+IF($R$17="Distrato",$I$38-1,0)),IF(AND($L$711=0,$P$708=0),"",$L$711-1),IF($R$17="Distrato",$E1207,0))),0,YEARFRAC(MAX($P$708*($B1207+IF($R$17="Distrato",$I$38-1,0)),IF(AND($L$711=0,$P$708=0),"",$L$711-1),IF($R$17="Distrato",$E1207,0)),MIN(AX$38,$D$19),$P$20))-SUM($P1207:AW1207)</f>
        <v>#VALUE!</v>
      </c>
      <c r="AY1207" s="446" t="e">
        <f>IF(OR($B1207="",MIN(AY$38,$D$19)&lt;MAX($P$708*($B1207+IF($R$17="Distrato",$I$38-1,0)),IF(AND($L$711=0,$P$708=0),"",$L$711-1),IF($R$17="Distrato",$E1207,0))),0,YEARFRAC(MAX($P$708*($B1207+IF($R$17="Distrato",$I$38-1,0)),IF(AND($L$711=0,$P$708=0),"",$L$711-1),IF($R$17="Distrato",$E1207,0)),MIN(AY$38,$D$19),$P$20))-SUM($P1207:AX1207)</f>
        <v>#VALUE!</v>
      </c>
      <c r="AZ1207" s="446" t="e">
        <f>IF(OR($B1207="",MIN(AZ$38,$D$19)&lt;MAX($P$708*($B1207+IF($R$17="Distrato",$I$38-1,0)),IF(AND($L$711=0,$P$708=0),"",$L$711-1),IF($R$17="Distrato",$E1207,0))),0,YEARFRAC(MAX($P$708*($B1207+IF($R$17="Distrato",$I$38-1,0)),IF(AND($L$711=0,$P$708=0),"",$L$711-1),IF($R$17="Distrato",$E1207,0)),MIN(AZ$38,$D$19),$P$20))-SUM($P1207:AY1207)</f>
        <v>#VALUE!</v>
      </c>
      <c r="BA1207" s="446" t="e">
        <f>IF(OR($B1207="",MIN(BA$38,$D$19)&lt;MAX($P$708*($B1207+IF($R$17="Distrato",$I$38-1,0)),IF(AND($L$711=0,$P$708=0),"",$L$711-1),IF($R$17="Distrato",$E1207,0))),0,YEARFRAC(MAX($P$708*($B1207+IF($R$17="Distrato",$I$38-1,0)),IF(AND($L$711=0,$P$708=0),"",$L$711-1),IF($R$17="Distrato",$E1207,0)),MIN(BA$38,$D$19),$P$20))-SUM($P1207:AZ1207)</f>
        <v>#VALUE!</v>
      </c>
      <c r="BB1207" s="447"/>
    </row>
    <row r="1208" spans="1:54" s="446" customFormat="1" ht="11.25" hidden="1" customHeight="1" x14ac:dyDescent="0.2">
      <c r="A1208" s="235"/>
      <c r="B1208" s="236"/>
      <c r="C1208" s="29" t="str">
        <f>IF(B1208="","",IF($L$709=$BL$25,VLOOKUP(DATE(YEAR($D$19),MONTH($D$19)-1,1),ÍNDICES!$A:$DE,HLOOKUP($BL$25,ÍNDICES!$B$3:$T$4,2)+11)-VLOOKUP(B1208,ÍNDICES!$A:$DE,HLOOKUP($BL$25,ÍNDICES!$B$3:$T$4,2)+11)+1%,IF(C$712=$W$26,$J$35,IF(ISERROR(IF(B1208&gt;$D$19,1,VLOOKUP(DATE(YEAR(B1208),MONTH(B1208)+IF($C$709=$S$23,1,0),1),ÍNDICES!$A:$DE,$Z$709+1))),"",IF(B1208&gt;$D$19,1,VLOOKUP(DATE(YEAR(B1208),MONTH(B1208)+IF($C$709=$S$23,1,0),1),ÍNDICES!$A:$DE,$Z$709+1))))))</f>
        <v/>
      </c>
      <c r="D1208" s="155"/>
      <c r="E1208" s="88"/>
      <c r="F1208" s="88"/>
      <c r="G1208" s="88"/>
      <c r="H1208" s="118"/>
      <c r="I1208" s="182">
        <f t="shared" si="164"/>
        <v>0</v>
      </c>
      <c r="J1208" s="20">
        <f t="shared" ca="1" si="165"/>
        <v>0</v>
      </c>
      <c r="K1208" s="5">
        <f t="shared" ca="1" si="166"/>
        <v>0</v>
      </c>
      <c r="L1208" s="61">
        <f t="shared" ca="1" si="167"/>
        <v>0</v>
      </c>
      <c r="M1208" s="64">
        <f t="shared" si="168"/>
        <v>0</v>
      </c>
      <c r="N1208" s="151"/>
      <c r="O1208" s="5">
        <f t="shared" ca="1" si="169"/>
        <v>0</v>
      </c>
      <c r="P1208" s="446" t="e">
        <f t="shared" si="170"/>
        <v>#VALUE!</v>
      </c>
      <c r="Q1208" s="446" t="e">
        <f>IF(OR($B1208="",MIN(Q$38,$D$19)&lt;MAX($P$708*($B1208+IF($R$17="Distrato",$I$38-1,0)),IF(AND($L$711=0,$P$708=0),"",$L$711-1),IF($R$17="Distrato",$E1208,0))),0,YEARFRAC(MAX($P$708*($B1208+IF($R$17="Distrato",$I$38-1,0)),IF(AND($L$711=0,$P$708=0),"",$L$711-1),IF($R$17="Distrato",$E1208,0)),MIN(Q$38,$D$19),$P$20))-SUM($P1208:P1208)</f>
        <v>#VALUE!</v>
      </c>
      <c r="R1208" s="446" t="e">
        <f>IF(OR($B1208="",MIN(R$38,$D$19)&lt;MAX($P$708*($B1208+IF($R$17="Distrato",$I$38-1,0)),IF(AND($L$711=0,$P$708=0),"",$L$711-1),IF($R$17="Distrato",$E1208,0))),0,YEARFRAC(MAX($P$708*($B1208+IF($R$17="Distrato",$I$38-1,0)),IF(AND($L$711=0,$P$708=0),"",$L$711-1),IF($R$17="Distrato",$E1208,0)),MIN(R$38,$D$19),$P$20))-SUM($P1208:Q1208)</f>
        <v>#VALUE!</v>
      </c>
      <c r="S1208" s="446" t="e">
        <f>IF(OR($B1208="",MIN(S$38,$D$19)&lt;MAX($P$708*($B1208+IF($R$17="Distrato",$I$38-1,0)),IF(AND($L$711=0,$P$708=0),"",$L$711-1),IF($R$17="Distrato",$E1208,0))),0,YEARFRAC(MAX($P$708*($B1208+IF($R$17="Distrato",$I$38-1,0)),IF(AND($L$711=0,$P$708=0),"",$L$711-1),IF($R$17="Distrato",$E1208,0)),MIN(S$38,$D$19),$P$20))-SUM($P1208:R1208)</f>
        <v>#VALUE!</v>
      </c>
      <c r="T1208" s="446" t="e">
        <f>IF(OR($B1208="",MIN(T$38,$D$19)&lt;MAX($P$708*($B1208+IF($R$17="Distrato",$I$38-1,0)),IF(AND($L$711=0,$P$708=0),"",$L$711-1),IF($R$17="Distrato",$E1208,0))),0,YEARFRAC(MAX($P$708*($B1208+IF($R$17="Distrato",$I$38-1,0)),IF(AND($L$711=0,$P$708=0),"",$L$711-1),IF($R$17="Distrato",$E1208,0)),MIN(T$38,$D$19),$P$20))-SUM($P1208:S1208)</f>
        <v>#VALUE!</v>
      </c>
      <c r="U1208" s="446" t="e">
        <f>IF(OR($B1208="",MIN(U$38,$D$19)&lt;MAX($P$708*($B1208+IF($R$17="Distrato",$I$38-1,0)),IF(AND($L$711=0,$P$708=0),"",$L$711-1),IF($R$17="Distrato",$E1208,0))),0,YEARFRAC(MAX($P$708*($B1208+IF($R$17="Distrato",$I$38-1,0)),IF(AND($L$711=0,$P$708=0),"",$L$711-1),IF($R$17="Distrato",$E1208,0)),MIN(U$38,$D$19),$P$20))-SUM($P1208:T1208)</f>
        <v>#VALUE!</v>
      </c>
      <c r="V1208" s="446" t="e">
        <f>IF(OR($B1208="",MIN(V$38,$D$19)&lt;MAX($P$708*($B1208+IF($R$17="Distrato",$I$38-1,0)),IF(AND($L$711=0,$P$708=0),"",$L$711-1),IF($R$17="Distrato",$E1208,0))),0,YEARFRAC(MAX($P$708*($B1208+IF($R$17="Distrato",$I$38-1,0)),IF(AND($L$711=0,$P$708=0),"",$L$711-1),IF($R$17="Distrato",$E1208,0)),MIN(V$38,$D$19),$P$20))-SUM($P1208:U1208)</f>
        <v>#VALUE!</v>
      </c>
      <c r="W1208" s="446" t="e">
        <f>IF(OR($B1208="",MIN(W$38,$D$19)&lt;MAX($P$708*($B1208+IF($R$17="Distrato",$I$38-1,0)),IF(AND($L$711=0,$P$708=0),"",$L$711-1),IF($R$17="Distrato",$E1208,0))),0,YEARFRAC(MAX($P$708*($B1208+IF($R$17="Distrato",$I$38-1,0)),IF(AND($L$711=0,$P$708=0),"",$L$711-1),IF($R$17="Distrato",$E1208,0)),MIN(W$38,$D$19),$P$20))-SUM($P1208:V1208)</f>
        <v>#VALUE!</v>
      </c>
      <c r="X1208" s="446" t="e">
        <f>IF(OR($B1208="",MIN(X$38,$D$19)&lt;MAX($P$708*($B1208+IF($R$17="Distrato",$I$38-1,0)),IF(AND($L$711=0,$P$708=0),"",$L$711-1),IF($R$17="Distrato",$E1208,0))),0,YEARFRAC(MAX($P$708*($B1208+IF($R$17="Distrato",$I$38-1,0)),IF(AND($L$711=0,$P$708=0),"",$L$711-1),IF($R$17="Distrato",$E1208,0)),MIN(X$38,$D$19),$P$20))-SUM($P1208:W1208)</f>
        <v>#VALUE!</v>
      </c>
      <c r="Y1208" s="446" t="e">
        <f>IF(OR($B1208="",MIN(Y$38,$D$19)&lt;MAX($P$708*($B1208+IF($R$17="Distrato",$I$38-1,0)),IF(AND($L$711=0,$P$708=0),"",$L$711-1),IF($R$17="Distrato",$E1208,0))),0,YEARFRAC(MAX($P$708*($B1208+IF($R$17="Distrato",$I$38-1,0)),IF(AND($L$711=0,$P$708=0),"",$L$711-1),IF($R$17="Distrato",$E1208,0)),MIN(Y$38,$D$19),$P$20))-SUM($P1208:X1208)</f>
        <v>#VALUE!</v>
      </c>
      <c r="Z1208" s="446" t="e">
        <f>IF(OR($B1208="",MIN(Z$38,$D$19)&lt;MAX($P$708*($B1208+IF($R$17="Distrato",$I$38-1,0)),IF(AND($L$711=0,$P$708=0),"",$L$711-1),IF($R$17="Distrato",$E1208,0))),0,YEARFRAC(MAX($P$708*($B1208+IF($R$17="Distrato",$I$38-1,0)),IF(AND($L$711=0,$P$708=0),"",$L$711-1),IF($R$17="Distrato",$E1208,0)),MIN(Z$38,$D$19),$P$20))-SUM($P1208:Y1208)</f>
        <v>#VALUE!</v>
      </c>
      <c r="AA1208" s="446" t="e">
        <f>IF(OR($B1208="",MIN(AA$38,$D$19)&lt;MAX($P$708*($B1208+IF($R$17="Distrato",$I$38-1,0)),IF(AND($L$711=0,$P$708=0),"",$L$711-1),IF($R$17="Distrato",$E1208,0))),0,YEARFRAC(MAX($P$708*($B1208+IF($R$17="Distrato",$I$38-1,0)),IF(AND($L$711=0,$P$708=0),"",$L$711-1),IF($R$17="Distrato",$E1208,0)),MIN(AA$38,$D$19),$P$20))-SUM($P1208:Z1208)</f>
        <v>#VALUE!</v>
      </c>
      <c r="AB1208" s="446" t="e">
        <f>IF(OR($B1208="",MIN(AB$38,$D$19)&lt;MAX($P$708*($B1208+IF($R$17="Distrato",$I$38-1,0)),IF(AND($L$711=0,$P$708=0),"",$L$711-1),IF($R$17="Distrato",$E1208,0))),0,YEARFRAC(MAX($P$708*($B1208+IF($R$17="Distrato",$I$38-1,0)),IF(AND($L$711=0,$P$708=0),"",$L$711-1),IF($R$17="Distrato",$E1208,0)),MIN(AB$38,$D$19),$P$20))-SUM($P1208:AA1208)</f>
        <v>#VALUE!</v>
      </c>
      <c r="AC1208" s="446" t="e">
        <f>IF(OR($B1208="",MIN(AC$38,$D$19)&lt;MAX($P$708*($B1208+IF($R$17="Distrato",$I$38-1,0)),IF(AND($L$711=0,$P$708=0),"",$L$711-1),IF($R$17="Distrato",$E1208,0))),0,YEARFRAC(MAX($P$708*($B1208+IF($R$17="Distrato",$I$38-1,0)),IF(AND($L$711=0,$P$708=0),"",$L$711-1),IF($R$17="Distrato",$E1208,0)),MIN(AC$38,$D$19),$P$20))-SUM($P1208:AB1208)</f>
        <v>#VALUE!</v>
      </c>
      <c r="AD1208" s="446" t="e">
        <f>IF(OR($B1208="",MIN(AD$38,$D$19)&lt;MAX($P$708*($B1208+IF($R$17="Distrato",$I$38-1,0)),IF(AND($L$711=0,$P$708=0),"",$L$711-1),IF($R$17="Distrato",$E1208,0))),0,YEARFRAC(MAX($P$708*($B1208+IF($R$17="Distrato",$I$38-1,0)),IF(AND($L$711=0,$P$708=0),"",$L$711-1),IF($R$17="Distrato",$E1208,0)),MIN(AD$38,$D$19),$P$20))-SUM($P1208:AC1208)</f>
        <v>#VALUE!</v>
      </c>
      <c r="AE1208" s="446" t="e">
        <f>IF(OR($B1208="",MIN(AE$38,$D$19)&lt;MAX($P$708*($B1208+IF($R$17="Distrato",$I$38-1,0)),IF(AND($L$711=0,$P$708=0),"",$L$711-1),IF($R$17="Distrato",$E1208,0))),0,YEARFRAC(MAX($P$708*($B1208+IF($R$17="Distrato",$I$38-1,0)),IF(AND($L$711=0,$P$708=0),"",$L$711-1),IF($R$17="Distrato",$E1208,0)),MIN(AE$38,$D$19),$P$20))-SUM($P1208:AD1208)</f>
        <v>#VALUE!</v>
      </c>
      <c r="AF1208" s="446" t="e">
        <f>IF(OR($B1208="",MIN(AF$38,$D$19)&lt;MAX($P$708*($B1208+IF($R$17="Distrato",$I$38-1,0)),IF(AND($L$711=0,$P$708=0),"",$L$711-1),IF($R$17="Distrato",$E1208,0))),0,YEARFRAC(MAX($P$708*($B1208+IF($R$17="Distrato",$I$38-1,0)),IF(AND($L$711=0,$P$708=0),"",$L$711-1),IF($R$17="Distrato",$E1208,0)),MIN(AF$38,$D$19),$P$20))-SUM($P1208:AE1208)</f>
        <v>#VALUE!</v>
      </c>
      <c r="AG1208" s="446" t="e">
        <f>IF(OR($B1208="",MIN(AG$38,$D$19)&lt;MAX($P$708*($B1208+IF($R$17="Distrato",$I$38-1,0)),IF(AND($L$711=0,$P$708=0),"",$L$711-1),IF($R$17="Distrato",$E1208,0))),0,YEARFRAC(MAX($P$708*($B1208+IF($R$17="Distrato",$I$38-1,0)),IF(AND($L$711=0,$P$708=0),"",$L$711-1),IF($R$17="Distrato",$E1208,0)),MIN(AG$38,$D$19),$P$20))-SUM($P1208:AF1208)</f>
        <v>#VALUE!</v>
      </c>
      <c r="AH1208" s="446" t="e">
        <f>IF(OR($B1208="",MIN(AH$38,$D$19)&lt;MAX($P$708*($B1208+IF($R$17="Distrato",$I$38-1,0)),IF(AND($L$711=0,$P$708=0),"",$L$711-1),IF($R$17="Distrato",$E1208,0))),0,YEARFRAC(MAX($P$708*($B1208+IF($R$17="Distrato",$I$38-1,0)),IF(AND($L$711=0,$P$708=0),"",$L$711-1),IF($R$17="Distrato",$E1208,0)),MIN(AH$38,$D$19),$P$20))-SUM($P1208:AG1208)</f>
        <v>#VALUE!</v>
      </c>
      <c r="AI1208" s="446" t="e">
        <f>IF(OR($B1208="",MIN(AI$38,$D$19)&lt;MAX($P$708*($B1208+IF($R$17="Distrato",$I$38-1,0)),IF(AND($L$711=0,$P$708=0),"",$L$711-1),IF($R$17="Distrato",$E1208,0))),0,YEARFRAC(MAX($P$708*($B1208+IF($R$17="Distrato",$I$38-1,0)),IF(AND($L$711=0,$P$708=0),"",$L$711-1),IF($R$17="Distrato",$E1208,0)),MIN(AI$38,$D$19),$P$20))-SUM($P1208:AH1208)</f>
        <v>#VALUE!</v>
      </c>
      <c r="AJ1208" s="446" t="e">
        <f>IF(OR($B1208="",MIN(AJ$38,$D$19)&lt;MAX($P$708*($B1208+IF($R$17="Distrato",$I$38-1,0)),IF(AND($L$711=0,$P$708=0),"",$L$711-1),IF($R$17="Distrato",$E1208,0))),0,YEARFRAC(MAX($P$708*($B1208+IF($R$17="Distrato",$I$38-1,0)),IF(AND($L$711=0,$P$708=0),"",$L$711-1),IF($R$17="Distrato",$E1208,0)),MIN(AJ$38,$D$19),$P$20))-SUM($P1208:AI1208)</f>
        <v>#VALUE!</v>
      </c>
      <c r="AK1208" s="446" t="e">
        <f>IF(OR($B1208="",MIN(AK$38,$D$19)&lt;MAX($P$708*($B1208+IF($R$17="Distrato",$I$38-1,0)),IF(AND($L$711=0,$P$708=0),"",$L$711-1),IF($R$17="Distrato",$E1208,0))),0,YEARFRAC(MAX($P$708*($B1208+IF($R$17="Distrato",$I$38-1,0)),IF(AND($L$711=0,$P$708=0),"",$L$711-1),IF($R$17="Distrato",$E1208,0)),MIN(AK$38,$D$19),$P$20))-SUM($P1208:AJ1208)</f>
        <v>#VALUE!</v>
      </c>
      <c r="AL1208" s="446" t="e">
        <f>IF(OR($B1208="",MIN(AL$38,$D$19)&lt;MAX($P$708*($B1208+IF($R$17="Distrato",$I$38-1,0)),IF(AND($L$711=0,$P$708=0),"",$L$711-1),IF($R$17="Distrato",$E1208,0))),0,YEARFRAC(MAX($P$708*($B1208+IF($R$17="Distrato",$I$38-1,0)),IF(AND($L$711=0,$P$708=0),"",$L$711-1),IF($R$17="Distrato",$E1208,0)),MIN(AL$38,$D$19),$P$20))-SUM($P1208:AK1208)</f>
        <v>#VALUE!</v>
      </c>
      <c r="AM1208" s="446" t="e">
        <f>IF(OR($B1208="",MIN(AM$38,$D$19)&lt;MAX($P$708*($B1208+IF($R$17="Distrato",$I$38-1,0)),IF(AND($L$711=0,$P$708=0),"",$L$711-1),IF($R$17="Distrato",$E1208,0))),0,YEARFRAC(MAX($P$708*($B1208+IF($R$17="Distrato",$I$38-1,0)),IF(AND($L$711=0,$P$708=0),"",$L$711-1),IF($R$17="Distrato",$E1208,0)),MIN(AM$38,$D$19),$P$20))-SUM($P1208:AL1208)</f>
        <v>#VALUE!</v>
      </c>
      <c r="AN1208" s="446" t="e">
        <f>IF(OR($B1208="",MIN(AN$38,$D$19)&lt;MAX($P$708*($B1208+IF($R$17="Distrato",$I$38-1,0)),IF(AND($L$711=0,$P$708=0),"",$L$711-1),IF($R$17="Distrato",$E1208,0))),0,YEARFRAC(MAX($P$708*($B1208+IF($R$17="Distrato",$I$38-1,0)),IF(AND($L$711=0,$P$708=0),"",$L$711-1),IF($R$17="Distrato",$E1208,0)),MIN(AN$38,$D$19),$P$20))-SUM($P1208:AM1208)</f>
        <v>#VALUE!</v>
      </c>
      <c r="AO1208" s="446" t="e">
        <f>IF(OR($B1208="",MIN(AO$38,$D$19)&lt;MAX($P$708*($B1208+IF($R$17="Distrato",$I$38-1,0)),IF(AND($L$711=0,$P$708=0),"",$L$711-1),IF($R$17="Distrato",$E1208,0))),0,YEARFRAC(MAX($P$708*($B1208+IF($R$17="Distrato",$I$38-1,0)),IF(AND($L$711=0,$P$708=0),"",$L$711-1),IF($R$17="Distrato",$E1208,0)),MIN(AO$38,$D$19),$P$20))-SUM($P1208:AN1208)</f>
        <v>#VALUE!</v>
      </c>
      <c r="AP1208" s="446" t="e">
        <f>IF(OR($B1208="",MIN(AP$38,$D$19)&lt;MAX($P$708*($B1208+IF($R$17="Distrato",$I$38-1,0)),IF(AND($L$711=0,$P$708=0),"",$L$711-1),IF($R$17="Distrato",$E1208,0))),0,YEARFRAC(MAX($P$708*($B1208+IF($R$17="Distrato",$I$38-1,0)),IF(AND($L$711=0,$P$708=0),"",$L$711-1),IF($R$17="Distrato",$E1208,0)),MIN(AP$38,$D$19),$P$20))-SUM($P1208:AO1208)</f>
        <v>#VALUE!</v>
      </c>
      <c r="AQ1208" s="446" t="e">
        <f>IF(OR($B1208="",MIN(AQ$38,$D$19)&lt;MAX($P$708*($B1208+IF($R$17="Distrato",$I$38-1,0)),IF(AND($L$711=0,$P$708=0),"",$L$711-1),IF($R$17="Distrato",$E1208,0))),0,YEARFRAC(MAX($P$708*($B1208+IF($R$17="Distrato",$I$38-1,0)),IF(AND($L$711=0,$P$708=0),"",$L$711-1),IF($R$17="Distrato",$E1208,0)),MIN(AQ$38,$D$19),$P$20))-SUM($P1208:AP1208)</f>
        <v>#VALUE!</v>
      </c>
      <c r="AR1208" s="446" t="e">
        <f>IF(OR($B1208="",MIN(AR$38,$D$19)&lt;MAX($P$708*($B1208+IF($R$17="Distrato",$I$38-1,0)),IF(AND($L$711=0,$P$708=0),"",$L$711-1),IF($R$17="Distrato",$E1208,0))),0,YEARFRAC(MAX($P$708*($B1208+IF($R$17="Distrato",$I$38-1,0)),IF(AND($L$711=0,$P$708=0),"",$L$711-1),IF($R$17="Distrato",$E1208,0)),MIN(AR$38,$D$19),$P$20))-SUM($P1208:AQ1208)</f>
        <v>#VALUE!</v>
      </c>
      <c r="AS1208" s="446" t="e">
        <f>IF(OR($B1208="",MIN(AS$38,$D$19)&lt;MAX($P$708*($B1208+IF($R$17="Distrato",$I$38-1,0)),IF(AND($L$711=0,$P$708=0),"",$L$711-1),IF($R$17="Distrato",$E1208,0))),0,YEARFRAC(MAX($P$708*($B1208+IF($R$17="Distrato",$I$38-1,0)),IF(AND($L$711=0,$P$708=0),"",$L$711-1),IF($R$17="Distrato",$E1208,0)),MIN(AS$38,$D$19),$P$20))-SUM($P1208:AR1208)</f>
        <v>#VALUE!</v>
      </c>
      <c r="AT1208" s="446" t="e">
        <f>IF(OR($B1208="",MIN(AT$38,$D$19)&lt;MAX($P$708*($B1208+IF($R$17="Distrato",$I$38-1,0)),IF(AND($L$711=0,$P$708=0),"",$L$711-1),IF($R$17="Distrato",$E1208,0))),0,YEARFRAC(MAX($P$708*($B1208+IF($R$17="Distrato",$I$38-1,0)),IF(AND($L$711=0,$P$708=0),"",$L$711-1),IF($R$17="Distrato",$E1208,0)),MIN(AT$38,$D$19),$P$20))-SUM($P1208:AS1208)</f>
        <v>#VALUE!</v>
      </c>
      <c r="AU1208" s="446" t="e">
        <f>IF(OR($B1208="",MIN(AU$38,$D$19)&lt;MAX($P$708*($B1208+IF($R$17="Distrato",$I$38-1,0)),IF(AND($L$711=0,$P$708=0),"",$L$711-1),IF($R$17="Distrato",$E1208,0))),0,YEARFRAC(MAX($P$708*($B1208+IF($R$17="Distrato",$I$38-1,0)),IF(AND($L$711=0,$P$708=0),"",$L$711-1),IF($R$17="Distrato",$E1208,0)),MIN(AU$38,$D$19),$P$20))-SUM($P1208:AT1208)</f>
        <v>#VALUE!</v>
      </c>
      <c r="AV1208" s="446" t="e">
        <f>IF(OR($B1208="",MIN(AV$38,$D$19)&lt;MAX($P$708*($B1208+IF($R$17="Distrato",$I$38-1,0)),IF(AND($L$711=0,$P$708=0),"",$L$711-1),IF($R$17="Distrato",$E1208,0))),0,YEARFRAC(MAX($P$708*($B1208+IF($R$17="Distrato",$I$38-1,0)),IF(AND($L$711=0,$P$708=0),"",$L$711-1),IF($R$17="Distrato",$E1208,0)),MIN(AV$38,$D$19),$P$20))-SUM($P1208:AU1208)</f>
        <v>#VALUE!</v>
      </c>
      <c r="AW1208" s="446" t="e">
        <f>IF(OR($B1208="",MIN(AW$38,$D$19)&lt;MAX($P$708*($B1208+IF($R$17="Distrato",$I$38-1,0)),IF(AND($L$711=0,$P$708=0),"",$L$711-1),IF($R$17="Distrato",$E1208,0))),0,YEARFRAC(MAX($P$708*($B1208+IF($R$17="Distrato",$I$38-1,0)),IF(AND($L$711=0,$P$708=0),"",$L$711-1),IF($R$17="Distrato",$E1208,0)),MIN(AW$38,$D$19),$P$20))-SUM($P1208:AV1208)</f>
        <v>#VALUE!</v>
      </c>
      <c r="AX1208" s="446" t="e">
        <f>IF(OR($B1208="",MIN(AX$38,$D$19)&lt;MAX($P$708*($B1208+IF($R$17="Distrato",$I$38-1,0)),IF(AND($L$711=0,$P$708=0),"",$L$711-1),IF($R$17="Distrato",$E1208,0))),0,YEARFRAC(MAX($P$708*($B1208+IF($R$17="Distrato",$I$38-1,0)),IF(AND($L$711=0,$P$708=0),"",$L$711-1),IF($R$17="Distrato",$E1208,0)),MIN(AX$38,$D$19),$P$20))-SUM($P1208:AW1208)</f>
        <v>#VALUE!</v>
      </c>
      <c r="AY1208" s="446" t="e">
        <f>IF(OR($B1208="",MIN(AY$38,$D$19)&lt;MAX($P$708*($B1208+IF($R$17="Distrato",$I$38-1,0)),IF(AND($L$711=0,$P$708=0),"",$L$711-1),IF($R$17="Distrato",$E1208,0))),0,YEARFRAC(MAX($P$708*($B1208+IF($R$17="Distrato",$I$38-1,0)),IF(AND($L$711=0,$P$708=0),"",$L$711-1),IF($R$17="Distrato",$E1208,0)),MIN(AY$38,$D$19),$P$20))-SUM($P1208:AX1208)</f>
        <v>#VALUE!</v>
      </c>
      <c r="AZ1208" s="446" t="e">
        <f>IF(OR($B1208="",MIN(AZ$38,$D$19)&lt;MAX($P$708*($B1208+IF($R$17="Distrato",$I$38-1,0)),IF(AND($L$711=0,$P$708=0),"",$L$711-1),IF($R$17="Distrato",$E1208,0))),0,YEARFRAC(MAX($P$708*($B1208+IF($R$17="Distrato",$I$38-1,0)),IF(AND($L$711=0,$P$708=0),"",$L$711-1),IF($R$17="Distrato",$E1208,0)),MIN(AZ$38,$D$19),$P$20))-SUM($P1208:AY1208)</f>
        <v>#VALUE!</v>
      </c>
      <c r="BA1208" s="446" t="e">
        <f>IF(OR($B1208="",MIN(BA$38,$D$19)&lt;MAX($P$708*($B1208+IF($R$17="Distrato",$I$38-1,0)),IF(AND($L$711=0,$P$708=0),"",$L$711-1),IF($R$17="Distrato",$E1208,0))),0,YEARFRAC(MAX($P$708*($B1208+IF($R$17="Distrato",$I$38-1,0)),IF(AND($L$711=0,$P$708=0),"",$L$711-1),IF($R$17="Distrato",$E1208,0)),MIN(BA$38,$D$19),$P$20))-SUM($P1208:AZ1208)</f>
        <v>#VALUE!</v>
      </c>
      <c r="BB1208" s="447"/>
    </row>
    <row r="1209" spans="1:54" s="446" customFormat="1" ht="11.25" hidden="1" customHeight="1" x14ac:dyDescent="0.2">
      <c r="A1209" s="235"/>
      <c r="B1209" s="236"/>
      <c r="C1209" s="29" t="str">
        <f>IF(B1209="","",IF($L$709=$BL$25,VLOOKUP(DATE(YEAR($D$19),MONTH($D$19)-1,1),ÍNDICES!$A:$DE,HLOOKUP($BL$25,ÍNDICES!$B$3:$T$4,2)+11)-VLOOKUP(B1209,ÍNDICES!$A:$DE,HLOOKUP($BL$25,ÍNDICES!$B$3:$T$4,2)+11)+1%,IF(C$712=$W$26,$J$35,IF(ISERROR(IF(B1209&gt;$D$19,1,VLOOKUP(DATE(YEAR(B1209),MONTH(B1209)+IF($C$709=$S$23,1,0),1),ÍNDICES!$A:$DE,$Z$709+1))),"",IF(B1209&gt;$D$19,1,VLOOKUP(DATE(YEAR(B1209),MONTH(B1209)+IF($C$709=$S$23,1,0),1),ÍNDICES!$A:$DE,$Z$709+1))))))</f>
        <v/>
      </c>
      <c r="D1209" s="155"/>
      <c r="E1209" s="88"/>
      <c r="F1209" s="88"/>
      <c r="G1209" s="88"/>
      <c r="H1209" s="118"/>
      <c r="I1209" s="182">
        <f t="shared" si="164"/>
        <v>0</v>
      </c>
      <c r="J1209" s="20">
        <f t="shared" ca="1" si="165"/>
        <v>0</v>
      </c>
      <c r="K1209" s="5">
        <f t="shared" ca="1" si="166"/>
        <v>0</v>
      </c>
      <c r="L1209" s="61">
        <f t="shared" ca="1" si="167"/>
        <v>0</v>
      </c>
      <c r="M1209" s="64">
        <f t="shared" si="168"/>
        <v>0</v>
      </c>
      <c r="N1209" s="151"/>
      <c r="O1209" s="5">
        <f t="shared" ca="1" si="169"/>
        <v>0</v>
      </c>
      <c r="P1209" s="446" t="e">
        <f t="shared" si="170"/>
        <v>#VALUE!</v>
      </c>
      <c r="Q1209" s="446" t="e">
        <f>IF(OR($B1209="",MIN(Q$38,$D$19)&lt;MAX($P$708*($B1209+IF($R$17="Distrato",$I$38-1,0)),IF(AND($L$711=0,$P$708=0),"",$L$711-1),IF($R$17="Distrato",$E1209,0))),0,YEARFRAC(MAX($P$708*($B1209+IF($R$17="Distrato",$I$38-1,0)),IF(AND($L$711=0,$P$708=0),"",$L$711-1),IF($R$17="Distrato",$E1209,0)),MIN(Q$38,$D$19),$P$20))-SUM($P1209:P1209)</f>
        <v>#VALUE!</v>
      </c>
      <c r="R1209" s="446" t="e">
        <f>IF(OR($B1209="",MIN(R$38,$D$19)&lt;MAX($P$708*($B1209+IF($R$17="Distrato",$I$38-1,0)),IF(AND($L$711=0,$P$708=0),"",$L$711-1),IF($R$17="Distrato",$E1209,0))),0,YEARFRAC(MAX($P$708*($B1209+IF($R$17="Distrato",$I$38-1,0)),IF(AND($L$711=0,$P$708=0),"",$L$711-1),IF($R$17="Distrato",$E1209,0)),MIN(R$38,$D$19),$P$20))-SUM($P1209:Q1209)</f>
        <v>#VALUE!</v>
      </c>
      <c r="S1209" s="446" t="e">
        <f>IF(OR($B1209="",MIN(S$38,$D$19)&lt;MAX($P$708*($B1209+IF($R$17="Distrato",$I$38-1,0)),IF(AND($L$711=0,$P$708=0),"",$L$711-1),IF($R$17="Distrato",$E1209,0))),0,YEARFRAC(MAX($P$708*($B1209+IF($R$17="Distrato",$I$38-1,0)),IF(AND($L$711=0,$P$708=0),"",$L$711-1),IF($R$17="Distrato",$E1209,0)),MIN(S$38,$D$19),$P$20))-SUM($P1209:R1209)</f>
        <v>#VALUE!</v>
      </c>
      <c r="T1209" s="446" t="e">
        <f>IF(OR($B1209="",MIN(T$38,$D$19)&lt;MAX($P$708*($B1209+IF($R$17="Distrato",$I$38-1,0)),IF(AND($L$711=0,$P$708=0),"",$L$711-1),IF($R$17="Distrato",$E1209,0))),0,YEARFRAC(MAX($P$708*($B1209+IF($R$17="Distrato",$I$38-1,0)),IF(AND($L$711=0,$P$708=0),"",$L$711-1),IF($R$17="Distrato",$E1209,0)),MIN(T$38,$D$19),$P$20))-SUM($P1209:S1209)</f>
        <v>#VALUE!</v>
      </c>
      <c r="U1209" s="446" t="e">
        <f>IF(OR($B1209="",MIN(U$38,$D$19)&lt;MAX($P$708*($B1209+IF($R$17="Distrato",$I$38-1,0)),IF(AND($L$711=0,$P$708=0),"",$L$711-1),IF($R$17="Distrato",$E1209,0))),0,YEARFRAC(MAX($P$708*($B1209+IF($R$17="Distrato",$I$38-1,0)),IF(AND($L$711=0,$P$708=0),"",$L$711-1),IF($R$17="Distrato",$E1209,0)),MIN(U$38,$D$19),$P$20))-SUM($P1209:T1209)</f>
        <v>#VALUE!</v>
      </c>
      <c r="V1209" s="446" t="e">
        <f>IF(OR($B1209="",MIN(V$38,$D$19)&lt;MAX($P$708*($B1209+IF($R$17="Distrato",$I$38-1,0)),IF(AND($L$711=0,$P$708=0),"",$L$711-1),IF($R$17="Distrato",$E1209,0))),0,YEARFRAC(MAX($P$708*($B1209+IF($R$17="Distrato",$I$38-1,0)),IF(AND($L$711=0,$P$708=0),"",$L$711-1),IF($R$17="Distrato",$E1209,0)),MIN(V$38,$D$19),$P$20))-SUM($P1209:U1209)</f>
        <v>#VALUE!</v>
      </c>
      <c r="W1209" s="446" t="e">
        <f>IF(OR($B1209="",MIN(W$38,$D$19)&lt;MAX($P$708*($B1209+IF($R$17="Distrato",$I$38-1,0)),IF(AND($L$711=0,$P$708=0),"",$L$711-1),IF($R$17="Distrato",$E1209,0))),0,YEARFRAC(MAX($P$708*($B1209+IF($R$17="Distrato",$I$38-1,0)),IF(AND($L$711=0,$P$708=0),"",$L$711-1),IF($R$17="Distrato",$E1209,0)),MIN(W$38,$D$19),$P$20))-SUM($P1209:V1209)</f>
        <v>#VALUE!</v>
      </c>
      <c r="X1209" s="446" t="e">
        <f>IF(OR($B1209="",MIN(X$38,$D$19)&lt;MAX($P$708*($B1209+IF($R$17="Distrato",$I$38-1,0)),IF(AND($L$711=0,$P$708=0),"",$L$711-1),IF($R$17="Distrato",$E1209,0))),0,YEARFRAC(MAX($P$708*($B1209+IF($R$17="Distrato",$I$38-1,0)),IF(AND($L$711=0,$P$708=0),"",$L$711-1),IF($R$17="Distrato",$E1209,0)),MIN(X$38,$D$19),$P$20))-SUM($P1209:W1209)</f>
        <v>#VALUE!</v>
      </c>
      <c r="Y1209" s="446" t="e">
        <f>IF(OR($B1209="",MIN(Y$38,$D$19)&lt;MAX($P$708*($B1209+IF($R$17="Distrato",$I$38-1,0)),IF(AND($L$711=0,$P$708=0),"",$L$711-1),IF($R$17="Distrato",$E1209,0))),0,YEARFRAC(MAX($P$708*($B1209+IF($R$17="Distrato",$I$38-1,0)),IF(AND($L$711=0,$P$708=0),"",$L$711-1),IF($R$17="Distrato",$E1209,0)),MIN(Y$38,$D$19),$P$20))-SUM($P1209:X1209)</f>
        <v>#VALUE!</v>
      </c>
      <c r="Z1209" s="446" t="e">
        <f>IF(OR($B1209="",MIN(Z$38,$D$19)&lt;MAX($P$708*($B1209+IF($R$17="Distrato",$I$38-1,0)),IF(AND($L$711=0,$P$708=0),"",$L$711-1),IF($R$17="Distrato",$E1209,0))),0,YEARFRAC(MAX($P$708*($B1209+IF($R$17="Distrato",$I$38-1,0)),IF(AND($L$711=0,$P$708=0),"",$L$711-1),IF($R$17="Distrato",$E1209,0)),MIN(Z$38,$D$19),$P$20))-SUM($P1209:Y1209)</f>
        <v>#VALUE!</v>
      </c>
      <c r="AA1209" s="446" t="e">
        <f>IF(OR($B1209="",MIN(AA$38,$D$19)&lt;MAX($P$708*($B1209+IF($R$17="Distrato",$I$38-1,0)),IF(AND($L$711=0,$P$708=0),"",$L$711-1),IF($R$17="Distrato",$E1209,0))),0,YEARFRAC(MAX($P$708*($B1209+IF($R$17="Distrato",$I$38-1,0)),IF(AND($L$711=0,$P$708=0),"",$L$711-1),IF($R$17="Distrato",$E1209,0)),MIN(AA$38,$D$19),$P$20))-SUM($P1209:Z1209)</f>
        <v>#VALUE!</v>
      </c>
      <c r="AB1209" s="446" t="e">
        <f>IF(OR($B1209="",MIN(AB$38,$D$19)&lt;MAX($P$708*($B1209+IF($R$17="Distrato",$I$38-1,0)),IF(AND($L$711=0,$P$708=0),"",$L$711-1),IF($R$17="Distrato",$E1209,0))),0,YEARFRAC(MAX($P$708*($B1209+IF($R$17="Distrato",$I$38-1,0)),IF(AND($L$711=0,$P$708=0),"",$L$711-1),IF($R$17="Distrato",$E1209,0)),MIN(AB$38,$D$19),$P$20))-SUM($P1209:AA1209)</f>
        <v>#VALUE!</v>
      </c>
      <c r="AC1209" s="446" t="e">
        <f>IF(OR($B1209="",MIN(AC$38,$D$19)&lt;MAX($P$708*($B1209+IF($R$17="Distrato",$I$38-1,0)),IF(AND($L$711=0,$P$708=0),"",$L$711-1),IF($R$17="Distrato",$E1209,0))),0,YEARFRAC(MAX($P$708*($B1209+IF($R$17="Distrato",$I$38-1,0)),IF(AND($L$711=0,$P$708=0),"",$L$711-1),IF($R$17="Distrato",$E1209,0)),MIN(AC$38,$D$19),$P$20))-SUM($P1209:AB1209)</f>
        <v>#VALUE!</v>
      </c>
      <c r="AD1209" s="446" t="e">
        <f>IF(OR($B1209="",MIN(AD$38,$D$19)&lt;MAX($P$708*($B1209+IF($R$17="Distrato",$I$38-1,0)),IF(AND($L$711=0,$P$708=0),"",$L$711-1),IF($R$17="Distrato",$E1209,0))),0,YEARFRAC(MAX($P$708*($B1209+IF($R$17="Distrato",$I$38-1,0)),IF(AND($L$711=0,$P$708=0),"",$L$711-1),IF($R$17="Distrato",$E1209,0)),MIN(AD$38,$D$19),$P$20))-SUM($P1209:AC1209)</f>
        <v>#VALUE!</v>
      </c>
      <c r="AE1209" s="446" t="e">
        <f>IF(OR($B1209="",MIN(AE$38,$D$19)&lt;MAX($P$708*($B1209+IF($R$17="Distrato",$I$38-1,0)),IF(AND($L$711=0,$P$708=0),"",$L$711-1),IF($R$17="Distrato",$E1209,0))),0,YEARFRAC(MAX($P$708*($B1209+IF($R$17="Distrato",$I$38-1,0)),IF(AND($L$711=0,$P$708=0),"",$L$711-1),IF($R$17="Distrato",$E1209,0)),MIN(AE$38,$D$19),$P$20))-SUM($P1209:AD1209)</f>
        <v>#VALUE!</v>
      </c>
      <c r="AF1209" s="446" t="e">
        <f>IF(OR($B1209="",MIN(AF$38,$D$19)&lt;MAX($P$708*($B1209+IF($R$17="Distrato",$I$38-1,0)),IF(AND($L$711=0,$P$708=0),"",$L$711-1),IF($R$17="Distrato",$E1209,0))),0,YEARFRAC(MAX($P$708*($B1209+IF($R$17="Distrato",$I$38-1,0)),IF(AND($L$711=0,$P$708=0),"",$L$711-1),IF($R$17="Distrato",$E1209,0)),MIN(AF$38,$D$19),$P$20))-SUM($P1209:AE1209)</f>
        <v>#VALUE!</v>
      </c>
      <c r="AG1209" s="446" t="e">
        <f>IF(OR($B1209="",MIN(AG$38,$D$19)&lt;MAX($P$708*($B1209+IF($R$17="Distrato",$I$38-1,0)),IF(AND($L$711=0,$P$708=0),"",$L$711-1),IF($R$17="Distrato",$E1209,0))),0,YEARFRAC(MAX($P$708*($B1209+IF($R$17="Distrato",$I$38-1,0)),IF(AND($L$711=0,$P$708=0),"",$L$711-1),IF($R$17="Distrato",$E1209,0)),MIN(AG$38,$D$19),$P$20))-SUM($P1209:AF1209)</f>
        <v>#VALUE!</v>
      </c>
      <c r="AH1209" s="446" t="e">
        <f>IF(OR($B1209="",MIN(AH$38,$D$19)&lt;MAX($P$708*($B1209+IF($R$17="Distrato",$I$38-1,0)),IF(AND($L$711=0,$P$708=0),"",$L$711-1),IF($R$17="Distrato",$E1209,0))),0,YEARFRAC(MAX($P$708*($B1209+IF($R$17="Distrato",$I$38-1,0)),IF(AND($L$711=0,$P$708=0),"",$L$711-1),IF($R$17="Distrato",$E1209,0)),MIN(AH$38,$D$19),$P$20))-SUM($P1209:AG1209)</f>
        <v>#VALUE!</v>
      </c>
      <c r="AI1209" s="446" t="e">
        <f>IF(OR($B1209="",MIN(AI$38,$D$19)&lt;MAX($P$708*($B1209+IF($R$17="Distrato",$I$38-1,0)),IF(AND($L$711=0,$P$708=0),"",$L$711-1),IF($R$17="Distrato",$E1209,0))),0,YEARFRAC(MAX($P$708*($B1209+IF($R$17="Distrato",$I$38-1,0)),IF(AND($L$711=0,$P$708=0),"",$L$711-1),IF($R$17="Distrato",$E1209,0)),MIN(AI$38,$D$19),$P$20))-SUM($P1209:AH1209)</f>
        <v>#VALUE!</v>
      </c>
      <c r="AJ1209" s="446" t="e">
        <f>IF(OR($B1209="",MIN(AJ$38,$D$19)&lt;MAX($P$708*($B1209+IF($R$17="Distrato",$I$38-1,0)),IF(AND($L$711=0,$P$708=0),"",$L$711-1),IF($R$17="Distrato",$E1209,0))),0,YEARFRAC(MAX($P$708*($B1209+IF($R$17="Distrato",$I$38-1,0)),IF(AND($L$711=0,$P$708=0),"",$L$711-1),IF($R$17="Distrato",$E1209,0)),MIN(AJ$38,$D$19),$P$20))-SUM($P1209:AI1209)</f>
        <v>#VALUE!</v>
      </c>
      <c r="AK1209" s="446" t="e">
        <f>IF(OR($B1209="",MIN(AK$38,$D$19)&lt;MAX($P$708*($B1209+IF($R$17="Distrato",$I$38-1,0)),IF(AND($L$711=0,$P$708=0),"",$L$711-1),IF($R$17="Distrato",$E1209,0))),0,YEARFRAC(MAX($P$708*($B1209+IF($R$17="Distrato",$I$38-1,0)),IF(AND($L$711=0,$P$708=0),"",$L$711-1),IF($R$17="Distrato",$E1209,0)),MIN(AK$38,$D$19),$P$20))-SUM($P1209:AJ1209)</f>
        <v>#VALUE!</v>
      </c>
      <c r="AL1209" s="446" t="e">
        <f>IF(OR($B1209="",MIN(AL$38,$D$19)&lt;MAX($P$708*($B1209+IF($R$17="Distrato",$I$38-1,0)),IF(AND($L$711=0,$P$708=0),"",$L$711-1),IF($R$17="Distrato",$E1209,0))),0,YEARFRAC(MAX($P$708*($B1209+IF($R$17="Distrato",$I$38-1,0)),IF(AND($L$711=0,$P$708=0),"",$L$711-1),IF($R$17="Distrato",$E1209,0)),MIN(AL$38,$D$19),$P$20))-SUM($P1209:AK1209)</f>
        <v>#VALUE!</v>
      </c>
      <c r="AM1209" s="446" t="e">
        <f>IF(OR($B1209="",MIN(AM$38,$D$19)&lt;MAX($P$708*($B1209+IF($R$17="Distrato",$I$38-1,0)),IF(AND($L$711=0,$P$708=0),"",$L$711-1),IF($R$17="Distrato",$E1209,0))),0,YEARFRAC(MAX($P$708*($B1209+IF($R$17="Distrato",$I$38-1,0)),IF(AND($L$711=0,$P$708=0),"",$L$711-1),IF($R$17="Distrato",$E1209,0)),MIN(AM$38,$D$19),$P$20))-SUM($P1209:AL1209)</f>
        <v>#VALUE!</v>
      </c>
      <c r="AN1209" s="446" t="e">
        <f>IF(OR($B1209="",MIN(AN$38,$D$19)&lt;MAX($P$708*($B1209+IF($R$17="Distrato",$I$38-1,0)),IF(AND($L$711=0,$P$708=0),"",$L$711-1),IF($R$17="Distrato",$E1209,0))),0,YEARFRAC(MAX($P$708*($B1209+IF($R$17="Distrato",$I$38-1,0)),IF(AND($L$711=0,$P$708=0),"",$L$711-1),IF($R$17="Distrato",$E1209,0)),MIN(AN$38,$D$19),$P$20))-SUM($P1209:AM1209)</f>
        <v>#VALUE!</v>
      </c>
      <c r="AO1209" s="446" t="e">
        <f>IF(OR($B1209="",MIN(AO$38,$D$19)&lt;MAX($P$708*($B1209+IF($R$17="Distrato",$I$38-1,0)),IF(AND($L$711=0,$P$708=0),"",$L$711-1),IF($R$17="Distrato",$E1209,0))),0,YEARFRAC(MAX($P$708*($B1209+IF($R$17="Distrato",$I$38-1,0)),IF(AND($L$711=0,$P$708=0),"",$L$711-1),IF($R$17="Distrato",$E1209,0)),MIN(AO$38,$D$19),$P$20))-SUM($P1209:AN1209)</f>
        <v>#VALUE!</v>
      </c>
      <c r="AP1209" s="446" t="e">
        <f>IF(OR($B1209="",MIN(AP$38,$D$19)&lt;MAX($P$708*($B1209+IF($R$17="Distrato",$I$38-1,0)),IF(AND($L$711=0,$P$708=0),"",$L$711-1),IF($R$17="Distrato",$E1209,0))),0,YEARFRAC(MAX($P$708*($B1209+IF($R$17="Distrato",$I$38-1,0)),IF(AND($L$711=0,$P$708=0),"",$L$711-1),IF($R$17="Distrato",$E1209,0)),MIN(AP$38,$D$19),$P$20))-SUM($P1209:AO1209)</f>
        <v>#VALUE!</v>
      </c>
      <c r="AQ1209" s="446" t="e">
        <f>IF(OR($B1209="",MIN(AQ$38,$D$19)&lt;MAX($P$708*($B1209+IF($R$17="Distrato",$I$38-1,0)),IF(AND($L$711=0,$P$708=0),"",$L$711-1),IF($R$17="Distrato",$E1209,0))),0,YEARFRAC(MAX($P$708*($B1209+IF($R$17="Distrato",$I$38-1,0)),IF(AND($L$711=0,$P$708=0),"",$L$711-1),IF($R$17="Distrato",$E1209,0)),MIN(AQ$38,$D$19),$P$20))-SUM($P1209:AP1209)</f>
        <v>#VALUE!</v>
      </c>
      <c r="AR1209" s="446" t="e">
        <f>IF(OR($B1209="",MIN(AR$38,$D$19)&lt;MAX($P$708*($B1209+IF($R$17="Distrato",$I$38-1,0)),IF(AND($L$711=0,$P$708=0),"",$L$711-1),IF($R$17="Distrato",$E1209,0))),0,YEARFRAC(MAX($P$708*($B1209+IF($R$17="Distrato",$I$38-1,0)),IF(AND($L$711=0,$P$708=0),"",$L$711-1),IF($R$17="Distrato",$E1209,0)),MIN(AR$38,$D$19),$P$20))-SUM($P1209:AQ1209)</f>
        <v>#VALUE!</v>
      </c>
      <c r="AS1209" s="446" t="e">
        <f>IF(OR($B1209="",MIN(AS$38,$D$19)&lt;MAX($P$708*($B1209+IF($R$17="Distrato",$I$38-1,0)),IF(AND($L$711=0,$P$708=0),"",$L$711-1),IF($R$17="Distrato",$E1209,0))),0,YEARFRAC(MAX($P$708*($B1209+IF($R$17="Distrato",$I$38-1,0)),IF(AND($L$711=0,$P$708=0),"",$L$711-1),IF($R$17="Distrato",$E1209,0)),MIN(AS$38,$D$19),$P$20))-SUM($P1209:AR1209)</f>
        <v>#VALUE!</v>
      </c>
      <c r="AT1209" s="446" t="e">
        <f>IF(OR($B1209="",MIN(AT$38,$D$19)&lt;MAX($P$708*($B1209+IF($R$17="Distrato",$I$38-1,0)),IF(AND($L$711=0,$P$708=0),"",$L$711-1),IF($R$17="Distrato",$E1209,0))),0,YEARFRAC(MAX($P$708*($B1209+IF($R$17="Distrato",$I$38-1,0)),IF(AND($L$711=0,$P$708=0),"",$L$711-1),IF($R$17="Distrato",$E1209,0)),MIN(AT$38,$D$19),$P$20))-SUM($P1209:AS1209)</f>
        <v>#VALUE!</v>
      </c>
      <c r="AU1209" s="446" t="e">
        <f>IF(OR($B1209="",MIN(AU$38,$D$19)&lt;MAX($P$708*($B1209+IF($R$17="Distrato",$I$38-1,0)),IF(AND($L$711=0,$P$708=0),"",$L$711-1),IF($R$17="Distrato",$E1209,0))),0,YEARFRAC(MAX($P$708*($B1209+IF($R$17="Distrato",$I$38-1,0)),IF(AND($L$711=0,$P$708=0),"",$L$711-1),IF($R$17="Distrato",$E1209,0)),MIN(AU$38,$D$19),$P$20))-SUM($P1209:AT1209)</f>
        <v>#VALUE!</v>
      </c>
      <c r="AV1209" s="446" t="e">
        <f>IF(OR($B1209="",MIN(AV$38,$D$19)&lt;MAX($P$708*($B1209+IF($R$17="Distrato",$I$38-1,0)),IF(AND($L$711=0,$P$708=0),"",$L$711-1),IF($R$17="Distrato",$E1209,0))),0,YEARFRAC(MAX($P$708*($B1209+IF($R$17="Distrato",$I$38-1,0)),IF(AND($L$711=0,$P$708=0),"",$L$711-1),IF($R$17="Distrato",$E1209,0)),MIN(AV$38,$D$19),$P$20))-SUM($P1209:AU1209)</f>
        <v>#VALUE!</v>
      </c>
      <c r="AW1209" s="446" t="e">
        <f>IF(OR($B1209="",MIN(AW$38,$D$19)&lt;MAX($P$708*($B1209+IF($R$17="Distrato",$I$38-1,0)),IF(AND($L$711=0,$P$708=0),"",$L$711-1),IF($R$17="Distrato",$E1209,0))),0,YEARFRAC(MAX($P$708*($B1209+IF($R$17="Distrato",$I$38-1,0)),IF(AND($L$711=0,$P$708=0),"",$L$711-1),IF($R$17="Distrato",$E1209,0)),MIN(AW$38,$D$19),$P$20))-SUM($P1209:AV1209)</f>
        <v>#VALUE!</v>
      </c>
      <c r="AX1209" s="446" t="e">
        <f>IF(OR($B1209="",MIN(AX$38,$D$19)&lt;MAX($P$708*($B1209+IF($R$17="Distrato",$I$38-1,0)),IF(AND($L$711=0,$P$708=0),"",$L$711-1),IF($R$17="Distrato",$E1209,0))),0,YEARFRAC(MAX($P$708*($B1209+IF($R$17="Distrato",$I$38-1,0)),IF(AND($L$711=0,$P$708=0),"",$L$711-1),IF($R$17="Distrato",$E1209,0)),MIN(AX$38,$D$19),$P$20))-SUM($P1209:AW1209)</f>
        <v>#VALUE!</v>
      </c>
      <c r="AY1209" s="446" t="e">
        <f>IF(OR($B1209="",MIN(AY$38,$D$19)&lt;MAX($P$708*($B1209+IF($R$17="Distrato",$I$38-1,0)),IF(AND($L$711=0,$P$708=0),"",$L$711-1),IF($R$17="Distrato",$E1209,0))),0,YEARFRAC(MAX($P$708*($B1209+IF($R$17="Distrato",$I$38-1,0)),IF(AND($L$711=0,$P$708=0),"",$L$711-1),IF($R$17="Distrato",$E1209,0)),MIN(AY$38,$D$19),$P$20))-SUM($P1209:AX1209)</f>
        <v>#VALUE!</v>
      </c>
      <c r="AZ1209" s="446" t="e">
        <f>IF(OR($B1209="",MIN(AZ$38,$D$19)&lt;MAX($P$708*($B1209+IF($R$17="Distrato",$I$38-1,0)),IF(AND($L$711=0,$P$708=0),"",$L$711-1),IF($R$17="Distrato",$E1209,0))),0,YEARFRAC(MAX($P$708*($B1209+IF($R$17="Distrato",$I$38-1,0)),IF(AND($L$711=0,$P$708=0),"",$L$711-1),IF($R$17="Distrato",$E1209,0)),MIN(AZ$38,$D$19),$P$20))-SUM($P1209:AY1209)</f>
        <v>#VALUE!</v>
      </c>
      <c r="BA1209" s="446" t="e">
        <f>IF(OR($B1209="",MIN(BA$38,$D$19)&lt;MAX($P$708*($B1209+IF($R$17="Distrato",$I$38-1,0)),IF(AND($L$711=0,$P$708=0),"",$L$711-1),IF($R$17="Distrato",$E1209,0))),0,YEARFRAC(MAX($P$708*($B1209+IF($R$17="Distrato",$I$38-1,0)),IF(AND($L$711=0,$P$708=0),"",$L$711-1),IF($R$17="Distrato",$E1209,0)),MIN(BA$38,$D$19),$P$20))-SUM($P1209:AZ1209)</f>
        <v>#VALUE!</v>
      </c>
      <c r="BB1209" s="447"/>
    </row>
    <row r="1210" spans="1:54" s="446" customFormat="1" ht="11.25" hidden="1" customHeight="1" x14ac:dyDescent="0.2">
      <c r="A1210" s="235"/>
      <c r="B1210" s="236"/>
      <c r="C1210" s="29" t="str">
        <f>IF(B1210="","",IF($L$709=$BL$25,VLOOKUP(DATE(YEAR($D$19),MONTH($D$19)-1,1),ÍNDICES!$A:$DE,HLOOKUP($BL$25,ÍNDICES!$B$3:$T$4,2)+11)-VLOOKUP(B1210,ÍNDICES!$A:$DE,HLOOKUP($BL$25,ÍNDICES!$B$3:$T$4,2)+11)+1%,IF(C$712=$W$26,$J$35,IF(ISERROR(IF(B1210&gt;$D$19,1,VLOOKUP(DATE(YEAR(B1210),MONTH(B1210)+IF($C$709=$S$23,1,0),1),ÍNDICES!$A:$DE,$Z$709+1))),"",IF(B1210&gt;$D$19,1,VLOOKUP(DATE(YEAR(B1210),MONTH(B1210)+IF($C$709=$S$23,1,0),1),ÍNDICES!$A:$DE,$Z$709+1))))))</f>
        <v/>
      </c>
      <c r="D1210" s="155"/>
      <c r="E1210" s="88"/>
      <c r="F1210" s="88"/>
      <c r="G1210" s="88"/>
      <c r="H1210" s="118"/>
      <c r="I1210" s="182">
        <f t="shared" si="164"/>
        <v>0</v>
      </c>
      <c r="J1210" s="20">
        <f t="shared" ca="1" si="165"/>
        <v>0</v>
      </c>
      <c r="K1210" s="5">
        <f t="shared" ca="1" si="166"/>
        <v>0</v>
      </c>
      <c r="L1210" s="61">
        <f t="shared" ca="1" si="167"/>
        <v>0</v>
      </c>
      <c r="M1210" s="64">
        <f t="shared" si="168"/>
        <v>0</v>
      </c>
      <c r="N1210" s="151"/>
      <c r="O1210" s="5">
        <f t="shared" ca="1" si="169"/>
        <v>0</v>
      </c>
      <c r="P1210" s="446" t="e">
        <f t="shared" si="170"/>
        <v>#VALUE!</v>
      </c>
      <c r="Q1210" s="446" t="e">
        <f>IF(OR($B1210="",MIN(Q$38,$D$19)&lt;MAX($P$708*($B1210+IF($R$17="Distrato",$I$38-1,0)),IF(AND($L$711=0,$P$708=0),"",$L$711-1),IF($R$17="Distrato",$E1210,0))),0,YEARFRAC(MAX($P$708*($B1210+IF($R$17="Distrato",$I$38-1,0)),IF(AND($L$711=0,$P$708=0),"",$L$711-1),IF($R$17="Distrato",$E1210,0)),MIN(Q$38,$D$19),$P$20))-SUM($P1210:P1210)</f>
        <v>#VALUE!</v>
      </c>
      <c r="R1210" s="446" t="e">
        <f>IF(OR($B1210="",MIN(R$38,$D$19)&lt;MAX($P$708*($B1210+IF($R$17="Distrato",$I$38-1,0)),IF(AND($L$711=0,$P$708=0),"",$L$711-1),IF($R$17="Distrato",$E1210,0))),0,YEARFRAC(MAX($P$708*($B1210+IF($R$17="Distrato",$I$38-1,0)),IF(AND($L$711=0,$P$708=0),"",$L$711-1),IF($R$17="Distrato",$E1210,0)),MIN(R$38,$D$19),$P$20))-SUM($P1210:Q1210)</f>
        <v>#VALUE!</v>
      </c>
      <c r="S1210" s="446" t="e">
        <f>IF(OR($B1210="",MIN(S$38,$D$19)&lt;MAX($P$708*($B1210+IF($R$17="Distrato",$I$38-1,0)),IF(AND($L$711=0,$P$708=0),"",$L$711-1),IF($R$17="Distrato",$E1210,0))),0,YEARFRAC(MAX($P$708*($B1210+IF($R$17="Distrato",$I$38-1,0)),IF(AND($L$711=0,$P$708=0),"",$L$711-1),IF($R$17="Distrato",$E1210,0)),MIN(S$38,$D$19),$P$20))-SUM($P1210:R1210)</f>
        <v>#VALUE!</v>
      </c>
      <c r="T1210" s="446" t="e">
        <f>IF(OR($B1210="",MIN(T$38,$D$19)&lt;MAX($P$708*($B1210+IF($R$17="Distrato",$I$38-1,0)),IF(AND($L$711=0,$P$708=0),"",$L$711-1),IF($R$17="Distrato",$E1210,0))),0,YEARFRAC(MAX($P$708*($B1210+IF($R$17="Distrato",$I$38-1,0)),IF(AND($L$711=0,$P$708=0),"",$L$711-1),IF($R$17="Distrato",$E1210,0)),MIN(T$38,$D$19),$P$20))-SUM($P1210:S1210)</f>
        <v>#VALUE!</v>
      </c>
      <c r="U1210" s="446" t="e">
        <f>IF(OR($B1210="",MIN(U$38,$D$19)&lt;MAX($P$708*($B1210+IF($R$17="Distrato",$I$38-1,0)),IF(AND($L$711=0,$P$708=0),"",$L$711-1),IF($R$17="Distrato",$E1210,0))),0,YEARFRAC(MAX($P$708*($B1210+IF($R$17="Distrato",$I$38-1,0)),IF(AND($L$711=0,$P$708=0),"",$L$711-1),IF($R$17="Distrato",$E1210,0)),MIN(U$38,$D$19),$P$20))-SUM($P1210:T1210)</f>
        <v>#VALUE!</v>
      </c>
      <c r="V1210" s="446" t="e">
        <f>IF(OR($B1210="",MIN(V$38,$D$19)&lt;MAX($P$708*($B1210+IF($R$17="Distrato",$I$38-1,0)),IF(AND($L$711=0,$P$708=0),"",$L$711-1),IF($R$17="Distrato",$E1210,0))),0,YEARFRAC(MAX($P$708*($B1210+IF($R$17="Distrato",$I$38-1,0)),IF(AND($L$711=0,$P$708=0),"",$L$711-1),IF($R$17="Distrato",$E1210,0)),MIN(V$38,$D$19),$P$20))-SUM($P1210:U1210)</f>
        <v>#VALUE!</v>
      </c>
      <c r="W1210" s="446" t="e">
        <f>IF(OR($B1210="",MIN(W$38,$D$19)&lt;MAX($P$708*($B1210+IF($R$17="Distrato",$I$38-1,0)),IF(AND($L$711=0,$P$708=0),"",$L$711-1),IF($R$17="Distrato",$E1210,0))),0,YEARFRAC(MAX($P$708*($B1210+IF($R$17="Distrato",$I$38-1,0)),IF(AND($L$711=0,$P$708=0),"",$L$711-1),IF($R$17="Distrato",$E1210,0)),MIN(W$38,$D$19),$P$20))-SUM($P1210:V1210)</f>
        <v>#VALUE!</v>
      </c>
      <c r="X1210" s="446" t="e">
        <f>IF(OR($B1210="",MIN(X$38,$D$19)&lt;MAX($P$708*($B1210+IF($R$17="Distrato",$I$38-1,0)),IF(AND($L$711=0,$P$708=0),"",$L$711-1),IF($R$17="Distrato",$E1210,0))),0,YEARFRAC(MAX($P$708*($B1210+IF($R$17="Distrato",$I$38-1,0)),IF(AND($L$711=0,$P$708=0),"",$L$711-1),IF($R$17="Distrato",$E1210,0)),MIN(X$38,$D$19),$P$20))-SUM($P1210:W1210)</f>
        <v>#VALUE!</v>
      </c>
      <c r="Y1210" s="446" t="e">
        <f>IF(OR($B1210="",MIN(Y$38,$D$19)&lt;MAX($P$708*($B1210+IF($R$17="Distrato",$I$38-1,0)),IF(AND($L$711=0,$P$708=0),"",$L$711-1),IF($R$17="Distrato",$E1210,0))),0,YEARFRAC(MAX($P$708*($B1210+IF($R$17="Distrato",$I$38-1,0)),IF(AND($L$711=0,$P$708=0),"",$L$711-1),IF($R$17="Distrato",$E1210,0)),MIN(Y$38,$D$19),$P$20))-SUM($P1210:X1210)</f>
        <v>#VALUE!</v>
      </c>
      <c r="Z1210" s="446" t="e">
        <f>IF(OR($B1210="",MIN(Z$38,$D$19)&lt;MAX($P$708*($B1210+IF($R$17="Distrato",$I$38-1,0)),IF(AND($L$711=0,$P$708=0),"",$L$711-1),IF($R$17="Distrato",$E1210,0))),0,YEARFRAC(MAX($P$708*($B1210+IF($R$17="Distrato",$I$38-1,0)),IF(AND($L$711=0,$P$708=0),"",$L$711-1),IF($R$17="Distrato",$E1210,0)),MIN(Z$38,$D$19),$P$20))-SUM($P1210:Y1210)</f>
        <v>#VALUE!</v>
      </c>
      <c r="AA1210" s="446" t="e">
        <f>IF(OR($B1210="",MIN(AA$38,$D$19)&lt;MAX($P$708*($B1210+IF($R$17="Distrato",$I$38-1,0)),IF(AND($L$711=0,$P$708=0),"",$L$711-1),IF($R$17="Distrato",$E1210,0))),0,YEARFRAC(MAX($P$708*($B1210+IF($R$17="Distrato",$I$38-1,0)),IF(AND($L$711=0,$P$708=0),"",$L$711-1),IF($R$17="Distrato",$E1210,0)),MIN(AA$38,$D$19),$P$20))-SUM($P1210:Z1210)</f>
        <v>#VALUE!</v>
      </c>
      <c r="AB1210" s="446" t="e">
        <f>IF(OR($B1210="",MIN(AB$38,$D$19)&lt;MAX($P$708*($B1210+IF($R$17="Distrato",$I$38-1,0)),IF(AND($L$711=0,$P$708=0),"",$L$711-1),IF($R$17="Distrato",$E1210,0))),0,YEARFRAC(MAX($P$708*($B1210+IF($R$17="Distrato",$I$38-1,0)),IF(AND($L$711=0,$P$708=0),"",$L$711-1),IF($R$17="Distrato",$E1210,0)),MIN(AB$38,$D$19),$P$20))-SUM($P1210:AA1210)</f>
        <v>#VALUE!</v>
      </c>
      <c r="AC1210" s="446" t="e">
        <f>IF(OR($B1210="",MIN(AC$38,$D$19)&lt;MAX($P$708*($B1210+IF($R$17="Distrato",$I$38-1,0)),IF(AND($L$711=0,$P$708=0),"",$L$711-1),IF($R$17="Distrato",$E1210,0))),0,YEARFRAC(MAX($P$708*($B1210+IF($R$17="Distrato",$I$38-1,0)),IF(AND($L$711=0,$P$708=0),"",$L$711-1),IF($R$17="Distrato",$E1210,0)),MIN(AC$38,$D$19),$P$20))-SUM($P1210:AB1210)</f>
        <v>#VALUE!</v>
      </c>
      <c r="AD1210" s="446" t="e">
        <f>IF(OR($B1210="",MIN(AD$38,$D$19)&lt;MAX($P$708*($B1210+IF($R$17="Distrato",$I$38-1,0)),IF(AND($L$711=0,$P$708=0),"",$L$711-1),IF($R$17="Distrato",$E1210,0))),0,YEARFRAC(MAX($P$708*($B1210+IF($R$17="Distrato",$I$38-1,0)),IF(AND($L$711=0,$P$708=0),"",$L$711-1),IF($R$17="Distrato",$E1210,0)),MIN(AD$38,$D$19),$P$20))-SUM($P1210:AC1210)</f>
        <v>#VALUE!</v>
      </c>
      <c r="AE1210" s="446" t="e">
        <f>IF(OR($B1210="",MIN(AE$38,$D$19)&lt;MAX($P$708*($B1210+IF($R$17="Distrato",$I$38-1,0)),IF(AND($L$711=0,$P$708=0),"",$L$711-1),IF($R$17="Distrato",$E1210,0))),0,YEARFRAC(MAX($P$708*($B1210+IF($R$17="Distrato",$I$38-1,0)),IF(AND($L$711=0,$P$708=0),"",$L$711-1),IF($R$17="Distrato",$E1210,0)),MIN(AE$38,$D$19),$P$20))-SUM($P1210:AD1210)</f>
        <v>#VALUE!</v>
      </c>
      <c r="AF1210" s="446" t="e">
        <f>IF(OR($B1210="",MIN(AF$38,$D$19)&lt;MAX($P$708*($B1210+IF($R$17="Distrato",$I$38-1,0)),IF(AND($L$711=0,$P$708=0),"",$L$711-1),IF($R$17="Distrato",$E1210,0))),0,YEARFRAC(MAX($P$708*($B1210+IF($R$17="Distrato",$I$38-1,0)),IF(AND($L$711=0,$P$708=0),"",$L$711-1),IF($R$17="Distrato",$E1210,0)),MIN(AF$38,$D$19),$P$20))-SUM($P1210:AE1210)</f>
        <v>#VALUE!</v>
      </c>
      <c r="AG1210" s="446" t="e">
        <f>IF(OR($B1210="",MIN(AG$38,$D$19)&lt;MAX($P$708*($B1210+IF($R$17="Distrato",$I$38-1,0)),IF(AND($L$711=0,$P$708=0),"",$L$711-1),IF($R$17="Distrato",$E1210,0))),0,YEARFRAC(MAX($P$708*($B1210+IF($R$17="Distrato",$I$38-1,0)),IF(AND($L$711=0,$P$708=0),"",$L$711-1),IF($R$17="Distrato",$E1210,0)),MIN(AG$38,$D$19),$P$20))-SUM($P1210:AF1210)</f>
        <v>#VALUE!</v>
      </c>
      <c r="AH1210" s="446" t="e">
        <f>IF(OR($B1210="",MIN(AH$38,$D$19)&lt;MAX($P$708*($B1210+IF($R$17="Distrato",$I$38-1,0)),IF(AND($L$711=0,$P$708=0),"",$L$711-1),IF($R$17="Distrato",$E1210,0))),0,YEARFRAC(MAX($P$708*($B1210+IF($R$17="Distrato",$I$38-1,0)),IF(AND($L$711=0,$P$708=0),"",$L$711-1),IF($R$17="Distrato",$E1210,0)),MIN(AH$38,$D$19),$P$20))-SUM($P1210:AG1210)</f>
        <v>#VALUE!</v>
      </c>
      <c r="AI1210" s="446" t="e">
        <f>IF(OR($B1210="",MIN(AI$38,$D$19)&lt;MAX($P$708*($B1210+IF($R$17="Distrato",$I$38-1,0)),IF(AND($L$711=0,$P$708=0),"",$L$711-1),IF($R$17="Distrato",$E1210,0))),0,YEARFRAC(MAX($P$708*($B1210+IF($R$17="Distrato",$I$38-1,0)),IF(AND($L$711=0,$P$708=0),"",$L$711-1),IF($R$17="Distrato",$E1210,0)),MIN(AI$38,$D$19),$P$20))-SUM($P1210:AH1210)</f>
        <v>#VALUE!</v>
      </c>
      <c r="AJ1210" s="446" t="e">
        <f>IF(OR($B1210="",MIN(AJ$38,$D$19)&lt;MAX($P$708*($B1210+IF($R$17="Distrato",$I$38-1,0)),IF(AND($L$711=0,$P$708=0),"",$L$711-1),IF($R$17="Distrato",$E1210,0))),0,YEARFRAC(MAX($P$708*($B1210+IF($R$17="Distrato",$I$38-1,0)),IF(AND($L$711=0,$P$708=0),"",$L$711-1),IF($R$17="Distrato",$E1210,0)),MIN(AJ$38,$D$19),$P$20))-SUM($P1210:AI1210)</f>
        <v>#VALUE!</v>
      </c>
      <c r="AK1210" s="446" t="e">
        <f>IF(OR($B1210="",MIN(AK$38,$D$19)&lt;MAX($P$708*($B1210+IF($R$17="Distrato",$I$38-1,0)),IF(AND($L$711=0,$P$708=0),"",$L$711-1),IF($R$17="Distrato",$E1210,0))),0,YEARFRAC(MAX($P$708*($B1210+IF($R$17="Distrato",$I$38-1,0)),IF(AND($L$711=0,$P$708=0),"",$L$711-1),IF($R$17="Distrato",$E1210,0)),MIN(AK$38,$D$19),$P$20))-SUM($P1210:AJ1210)</f>
        <v>#VALUE!</v>
      </c>
      <c r="AL1210" s="446" t="e">
        <f>IF(OR($B1210="",MIN(AL$38,$D$19)&lt;MAX($P$708*($B1210+IF($R$17="Distrato",$I$38-1,0)),IF(AND($L$711=0,$P$708=0),"",$L$711-1),IF($R$17="Distrato",$E1210,0))),0,YEARFRAC(MAX($P$708*($B1210+IF($R$17="Distrato",$I$38-1,0)),IF(AND($L$711=0,$P$708=0),"",$L$711-1),IF($R$17="Distrato",$E1210,0)),MIN(AL$38,$D$19),$P$20))-SUM($P1210:AK1210)</f>
        <v>#VALUE!</v>
      </c>
      <c r="AM1210" s="446" t="e">
        <f>IF(OR($B1210="",MIN(AM$38,$D$19)&lt;MAX($P$708*($B1210+IF($R$17="Distrato",$I$38-1,0)),IF(AND($L$711=0,$P$708=0),"",$L$711-1),IF($R$17="Distrato",$E1210,0))),0,YEARFRAC(MAX($P$708*($B1210+IF($R$17="Distrato",$I$38-1,0)),IF(AND($L$711=0,$P$708=0),"",$L$711-1),IF($R$17="Distrato",$E1210,0)),MIN(AM$38,$D$19),$P$20))-SUM($P1210:AL1210)</f>
        <v>#VALUE!</v>
      </c>
      <c r="AN1210" s="446" t="e">
        <f>IF(OR($B1210="",MIN(AN$38,$D$19)&lt;MAX($P$708*($B1210+IF($R$17="Distrato",$I$38-1,0)),IF(AND($L$711=0,$P$708=0),"",$L$711-1),IF($R$17="Distrato",$E1210,0))),0,YEARFRAC(MAX($P$708*($B1210+IF($R$17="Distrato",$I$38-1,0)),IF(AND($L$711=0,$P$708=0),"",$L$711-1),IF($R$17="Distrato",$E1210,0)),MIN(AN$38,$D$19),$P$20))-SUM($P1210:AM1210)</f>
        <v>#VALUE!</v>
      </c>
      <c r="AO1210" s="446" t="e">
        <f>IF(OR($B1210="",MIN(AO$38,$D$19)&lt;MAX($P$708*($B1210+IF($R$17="Distrato",$I$38-1,0)),IF(AND($L$711=0,$P$708=0),"",$L$711-1),IF($R$17="Distrato",$E1210,0))),0,YEARFRAC(MAX($P$708*($B1210+IF($R$17="Distrato",$I$38-1,0)),IF(AND($L$711=0,$P$708=0),"",$L$711-1),IF($R$17="Distrato",$E1210,0)),MIN(AO$38,$D$19),$P$20))-SUM($P1210:AN1210)</f>
        <v>#VALUE!</v>
      </c>
      <c r="AP1210" s="446" t="e">
        <f>IF(OR($B1210="",MIN(AP$38,$D$19)&lt;MAX($P$708*($B1210+IF($R$17="Distrato",$I$38-1,0)),IF(AND($L$711=0,$P$708=0),"",$L$711-1),IF($R$17="Distrato",$E1210,0))),0,YEARFRAC(MAX($P$708*($B1210+IF($R$17="Distrato",$I$38-1,0)),IF(AND($L$711=0,$P$708=0),"",$L$711-1),IF($R$17="Distrato",$E1210,0)),MIN(AP$38,$D$19),$P$20))-SUM($P1210:AO1210)</f>
        <v>#VALUE!</v>
      </c>
      <c r="AQ1210" s="446" t="e">
        <f>IF(OR($B1210="",MIN(AQ$38,$D$19)&lt;MAX($P$708*($B1210+IF($R$17="Distrato",$I$38-1,0)),IF(AND($L$711=0,$P$708=0),"",$L$711-1),IF($R$17="Distrato",$E1210,0))),0,YEARFRAC(MAX($P$708*($B1210+IF($R$17="Distrato",$I$38-1,0)),IF(AND($L$711=0,$P$708=0),"",$L$711-1),IF($R$17="Distrato",$E1210,0)),MIN(AQ$38,$D$19),$P$20))-SUM($P1210:AP1210)</f>
        <v>#VALUE!</v>
      </c>
      <c r="AR1210" s="446" t="e">
        <f>IF(OR($B1210="",MIN(AR$38,$D$19)&lt;MAX($P$708*($B1210+IF($R$17="Distrato",$I$38-1,0)),IF(AND($L$711=0,$P$708=0),"",$L$711-1),IF($R$17="Distrato",$E1210,0))),0,YEARFRAC(MAX($P$708*($B1210+IF($R$17="Distrato",$I$38-1,0)),IF(AND($L$711=0,$P$708=0),"",$L$711-1),IF($R$17="Distrato",$E1210,0)),MIN(AR$38,$D$19),$P$20))-SUM($P1210:AQ1210)</f>
        <v>#VALUE!</v>
      </c>
      <c r="AS1210" s="446" t="e">
        <f>IF(OR($B1210="",MIN(AS$38,$D$19)&lt;MAX($P$708*($B1210+IF($R$17="Distrato",$I$38-1,0)),IF(AND($L$711=0,$P$708=0),"",$L$711-1),IF($R$17="Distrato",$E1210,0))),0,YEARFRAC(MAX($P$708*($B1210+IF($R$17="Distrato",$I$38-1,0)),IF(AND($L$711=0,$P$708=0),"",$L$711-1),IF($R$17="Distrato",$E1210,0)),MIN(AS$38,$D$19),$P$20))-SUM($P1210:AR1210)</f>
        <v>#VALUE!</v>
      </c>
      <c r="AT1210" s="446" t="e">
        <f>IF(OR($B1210="",MIN(AT$38,$D$19)&lt;MAX($P$708*($B1210+IF($R$17="Distrato",$I$38-1,0)),IF(AND($L$711=0,$P$708=0),"",$L$711-1),IF($R$17="Distrato",$E1210,0))),0,YEARFRAC(MAX($P$708*($B1210+IF($R$17="Distrato",$I$38-1,0)),IF(AND($L$711=0,$P$708=0),"",$L$711-1),IF($R$17="Distrato",$E1210,0)),MIN(AT$38,$D$19),$P$20))-SUM($P1210:AS1210)</f>
        <v>#VALUE!</v>
      </c>
      <c r="AU1210" s="446" t="e">
        <f>IF(OR($B1210="",MIN(AU$38,$D$19)&lt;MAX($P$708*($B1210+IF($R$17="Distrato",$I$38-1,0)),IF(AND($L$711=0,$P$708=0),"",$L$711-1),IF($R$17="Distrato",$E1210,0))),0,YEARFRAC(MAX($P$708*($B1210+IF($R$17="Distrato",$I$38-1,0)),IF(AND($L$711=0,$P$708=0),"",$L$711-1),IF($R$17="Distrato",$E1210,0)),MIN(AU$38,$D$19),$P$20))-SUM($P1210:AT1210)</f>
        <v>#VALUE!</v>
      </c>
      <c r="AV1210" s="446" t="e">
        <f>IF(OR($B1210="",MIN(AV$38,$D$19)&lt;MAX($P$708*($B1210+IF($R$17="Distrato",$I$38-1,0)),IF(AND($L$711=0,$P$708=0),"",$L$711-1),IF($R$17="Distrato",$E1210,0))),0,YEARFRAC(MAX($P$708*($B1210+IF($R$17="Distrato",$I$38-1,0)),IF(AND($L$711=0,$P$708=0),"",$L$711-1),IF($R$17="Distrato",$E1210,0)),MIN(AV$38,$D$19),$P$20))-SUM($P1210:AU1210)</f>
        <v>#VALUE!</v>
      </c>
      <c r="AW1210" s="446" t="e">
        <f>IF(OR($B1210="",MIN(AW$38,$D$19)&lt;MAX($P$708*($B1210+IF($R$17="Distrato",$I$38-1,0)),IF(AND($L$711=0,$P$708=0),"",$L$711-1),IF($R$17="Distrato",$E1210,0))),0,YEARFRAC(MAX($P$708*($B1210+IF($R$17="Distrato",$I$38-1,0)),IF(AND($L$711=0,$P$708=0),"",$L$711-1),IF($R$17="Distrato",$E1210,0)),MIN(AW$38,$D$19),$P$20))-SUM($P1210:AV1210)</f>
        <v>#VALUE!</v>
      </c>
      <c r="AX1210" s="446" t="e">
        <f>IF(OR($B1210="",MIN(AX$38,$D$19)&lt;MAX($P$708*($B1210+IF($R$17="Distrato",$I$38-1,0)),IF(AND($L$711=0,$P$708=0),"",$L$711-1),IF($R$17="Distrato",$E1210,0))),0,YEARFRAC(MAX($P$708*($B1210+IF($R$17="Distrato",$I$38-1,0)),IF(AND($L$711=0,$P$708=0),"",$L$711-1),IF($R$17="Distrato",$E1210,0)),MIN(AX$38,$D$19),$P$20))-SUM($P1210:AW1210)</f>
        <v>#VALUE!</v>
      </c>
      <c r="AY1210" s="446" t="e">
        <f>IF(OR($B1210="",MIN(AY$38,$D$19)&lt;MAX($P$708*($B1210+IF($R$17="Distrato",$I$38-1,0)),IF(AND($L$711=0,$P$708=0),"",$L$711-1),IF($R$17="Distrato",$E1210,0))),0,YEARFRAC(MAX($P$708*($B1210+IF($R$17="Distrato",$I$38-1,0)),IF(AND($L$711=0,$P$708=0),"",$L$711-1),IF($R$17="Distrato",$E1210,0)),MIN(AY$38,$D$19),$P$20))-SUM($P1210:AX1210)</f>
        <v>#VALUE!</v>
      </c>
      <c r="AZ1210" s="446" t="e">
        <f>IF(OR($B1210="",MIN(AZ$38,$D$19)&lt;MAX($P$708*($B1210+IF($R$17="Distrato",$I$38-1,0)),IF(AND($L$711=0,$P$708=0),"",$L$711-1),IF($R$17="Distrato",$E1210,0))),0,YEARFRAC(MAX($P$708*($B1210+IF($R$17="Distrato",$I$38-1,0)),IF(AND($L$711=0,$P$708=0),"",$L$711-1),IF($R$17="Distrato",$E1210,0)),MIN(AZ$38,$D$19),$P$20))-SUM($P1210:AY1210)</f>
        <v>#VALUE!</v>
      </c>
      <c r="BA1210" s="446" t="e">
        <f>IF(OR($B1210="",MIN(BA$38,$D$19)&lt;MAX($P$708*($B1210+IF($R$17="Distrato",$I$38-1,0)),IF(AND($L$711=0,$P$708=0),"",$L$711-1),IF($R$17="Distrato",$E1210,0))),0,YEARFRAC(MAX($P$708*($B1210+IF($R$17="Distrato",$I$38-1,0)),IF(AND($L$711=0,$P$708=0),"",$L$711-1),IF($R$17="Distrato",$E1210,0)),MIN(BA$38,$D$19),$P$20))-SUM($P1210:AZ1210)</f>
        <v>#VALUE!</v>
      </c>
      <c r="BB1210" s="447"/>
    </row>
    <row r="1211" spans="1:54" s="446" customFormat="1" ht="11.25" hidden="1" customHeight="1" x14ac:dyDescent="0.2">
      <c r="A1211" s="235"/>
      <c r="B1211" s="236"/>
      <c r="C1211" s="29" t="str">
        <f>IF(B1211="","",IF($L$709=$BL$25,VLOOKUP(DATE(YEAR($D$19),MONTH($D$19)-1,1),ÍNDICES!$A:$DE,HLOOKUP($BL$25,ÍNDICES!$B$3:$T$4,2)+11)-VLOOKUP(B1211,ÍNDICES!$A:$DE,HLOOKUP($BL$25,ÍNDICES!$B$3:$T$4,2)+11)+1%,IF(C$712=$W$26,$J$35,IF(ISERROR(IF(B1211&gt;$D$19,1,VLOOKUP(DATE(YEAR(B1211),MONTH(B1211)+IF($C$709=$S$23,1,0),1),ÍNDICES!$A:$DE,$Z$709+1))),"",IF(B1211&gt;$D$19,1,VLOOKUP(DATE(YEAR(B1211),MONTH(B1211)+IF($C$709=$S$23,1,0),1),ÍNDICES!$A:$DE,$Z$709+1))))))</f>
        <v/>
      </c>
      <c r="D1211" s="155"/>
      <c r="E1211" s="88"/>
      <c r="F1211" s="88"/>
      <c r="G1211" s="88"/>
      <c r="H1211" s="118"/>
      <c r="I1211" s="182">
        <f t="shared" si="164"/>
        <v>0</v>
      </c>
      <c r="J1211" s="20">
        <f t="shared" ca="1" si="165"/>
        <v>0</v>
      </c>
      <c r="K1211" s="5">
        <f t="shared" ca="1" si="166"/>
        <v>0</v>
      </c>
      <c r="L1211" s="61">
        <f t="shared" ca="1" si="167"/>
        <v>0</v>
      </c>
      <c r="M1211" s="64">
        <f t="shared" si="168"/>
        <v>0</v>
      </c>
      <c r="N1211" s="151"/>
      <c r="O1211" s="5">
        <f t="shared" ca="1" si="169"/>
        <v>0</v>
      </c>
      <c r="P1211" s="446" t="e">
        <f t="shared" si="170"/>
        <v>#VALUE!</v>
      </c>
      <c r="Q1211" s="446" t="e">
        <f>IF(OR($B1211="",MIN(Q$38,$D$19)&lt;MAX($P$708*($B1211+IF($R$17="Distrato",$I$38-1,0)),IF(AND($L$711=0,$P$708=0),"",$L$711-1),IF($R$17="Distrato",$E1211,0))),0,YEARFRAC(MAX($P$708*($B1211+IF($R$17="Distrato",$I$38-1,0)),IF(AND($L$711=0,$P$708=0),"",$L$711-1),IF($R$17="Distrato",$E1211,0)),MIN(Q$38,$D$19),$P$20))-SUM($P1211:P1211)</f>
        <v>#VALUE!</v>
      </c>
      <c r="R1211" s="446" t="e">
        <f>IF(OR($B1211="",MIN(R$38,$D$19)&lt;MAX($P$708*($B1211+IF($R$17="Distrato",$I$38-1,0)),IF(AND($L$711=0,$P$708=0),"",$L$711-1),IF($R$17="Distrato",$E1211,0))),0,YEARFRAC(MAX($P$708*($B1211+IF($R$17="Distrato",$I$38-1,0)),IF(AND($L$711=0,$P$708=0),"",$L$711-1),IF($R$17="Distrato",$E1211,0)),MIN(R$38,$D$19),$P$20))-SUM($P1211:Q1211)</f>
        <v>#VALUE!</v>
      </c>
      <c r="S1211" s="446" t="e">
        <f>IF(OR($B1211="",MIN(S$38,$D$19)&lt;MAX($P$708*($B1211+IF($R$17="Distrato",$I$38-1,0)),IF(AND($L$711=0,$P$708=0),"",$L$711-1),IF($R$17="Distrato",$E1211,0))),0,YEARFRAC(MAX($P$708*($B1211+IF($R$17="Distrato",$I$38-1,0)),IF(AND($L$711=0,$P$708=0),"",$L$711-1),IF($R$17="Distrato",$E1211,0)),MIN(S$38,$D$19),$P$20))-SUM($P1211:R1211)</f>
        <v>#VALUE!</v>
      </c>
      <c r="T1211" s="446" t="e">
        <f>IF(OR($B1211="",MIN(T$38,$D$19)&lt;MAX($P$708*($B1211+IF($R$17="Distrato",$I$38-1,0)),IF(AND($L$711=0,$P$708=0),"",$L$711-1),IF($R$17="Distrato",$E1211,0))),0,YEARFRAC(MAX($P$708*($B1211+IF($R$17="Distrato",$I$38-1,0)),IF(AND($L$711=0,$P$708=0),"",$L$711-1),IF($R$17="Distrato",$E1211,0)),MIN(T$38,$D$19),$P$20))-SUM($P1211:S1211)</f>
        <v>#VALUE!</v>
      </c>
      <c r="U1211" s="446" t="e">
        <f>IF(OR($B1211="",MIN(U$38,$D$19)&lt;MAX($P$708*($B1211+IF($R$17="Distrato",$I$38-1,0)),IF(AND($L$711=0,$P$708=0),"",$L$711-1),IF($R$17="Distrato",$E1211,0))),0,YEARFRAC(MAX($P$708*($B1211+IF($R$17="Distrato",$I$38-1,0)),IF(AND($L$711=0,$P$708=0),"",$L$711-1),IF($R$17="Distrato",$E1211,0)),MIN(U$38,$D$19),$P$20))-SUM($P1211:T1211)</f>
        <v>#VALUE!</v>
      </c>
      <c r="V1211" s="446" t="e">
        <f>IF(OR($B1211="",MIN(V$38,$D$19)&lt;MAX($P$708*($B1211+IF($R$17="Distrato",$I$38-1,0)),IF(AND($L$711=0,$P$708=0),"",$L$711-1),IF($R$17="Distrato",$E1211,0))),0,YEARFRAC(MAX($P$708*($B1211+IF($R$17="Distrato",$I$38-1,0)),IF(AND($L$711=0,$P$708=0),"",$L$711-1),IF($R$17="Distrato",$E1211,0)),MIN(V$38,$D$19),$P$20))-SUM($P1211:U1211)</f>
        <v>#VALUE!</v>
      </c>
      <c r="W1211" s="446" t="e">
        <f>IF(OR($B1211="",MIN(W$38,$D$19)&lt;MAX($P$708*($B1211+IF($R$17="Distrato",$I$38-1,0)),IF(AND($L$711=0,$P$708=0),"",$L$711-1),IF($R$17="Distrato",$E1211,0))),0,YEARFRAC(MAX($P$708*($B1211+IF($R$17="Distrato",$I$38-1,0)),IF(AND($L$711=0,$P$708=0),"",$L$711-1),IF($R$17="Distrato",$E1211,0)),MIN(W$38,$D$19),$P$20))-SUM($P1211:V1211)</f>
        <v>#VALUE!</v>
      </c>
      <c r="X1211" s="446" t="e">
        <f>IF(OR($B1211="",MIN(X$38,$D$19)&lt;MAX($P$708*($B1211+IF($R$17="Distrato",$I$38-1,0)),IF(AND($L$711=0,$P$708=0),"",$L$711-1),IF($R$17="Distrato",$E1211,0))),0,YEARFRAC(MAX($P$708*($B1211+IF($R$17="Distrato",$I$38-1,0)),IF(AND($L$711=0,$P$708=0),"",$L$711-1),IF($R$17="Distrato",$E1211,0)),MIN(X$38,$D$19),$P$20))-SUM($P1211:W1211)</f>
        <v>#VALUE!</v>
      </c>
      <c r="Y1211" s="446" t="e">
        <f>IF(OR($B1211="",MIN(Y$38,$D$19)&lt;MAX($P$708*($B1211+IF($R$17="Distrato",$I$38-1,0)),IF(AND($L$711=0,$P$708=0),"",$L$711-1),IF($R$17="Distrato",$E1211,0))),0,YEARFRAC(MAX($P$708*($B1211+IF($R$17="Distrato",$I$38-1,0)),IF(AND($L$711=0,$P$708=0),"",$L$711-1),IF($R$17="Distrato",$E1211,0)),MIN(Y$38,$D$19),$P$20))-SUM($P1211:X1211)</f>
        <v>#VALUE!</v>
      </c>
      <c r="Z1211" s="446" t="e">
        <f>IF(OR($B1211="",MIN(Z$38,$D$19)&lt;MAX($P$708*($B1211+IF($R$17="Distrato",$I$38-1,0)),IF(AND($L$711=0,$P$708=0),"",$L$711-1),IF($R$17="Distrato",$E1211,0))),0,YEARFRAC(MAX($P$708*($B1211+IF($R$17="Distrato",$I$38-1,0)),IF(AND($L$711=0,$P$708=0),"",$L$711-1),IF($R$17="Distrato",$E1211,0)),MIN(Z$38,$D$19),$P$20))-SUM($P1211:Y1211)</f>
        <v>#VALUE!</v>
      </c>
      <c r="AA1211" s="446" t="e">
        <f>IF(OR($B1211="",MIN(AA$38,$D$19)&lt;MAX($P$708*($B1211+IF($R$17="Distrato",$I$38-1,0)),IF(AND($L$711=0,$P$708=0),"",$L$711-1),IF($R$17="Distrato",$E1211,0))),0,YEARFRAC(MAX($P$708*($B1211+IF($R$17="Distrato",$I$38-1,0)),IF(AND($L$711=0,$P$708=0),"",$L$711-1),IF($R$17="Distrato",$E1211,0)),MIN(AA$38,$D$19),$P$20))-SUM($P1211:Z1211)</f>
        <v>#VALUE!</v>
      </c>
      <c r="AB1211" s="446" t="e">
        <f>IF(OR($B1211="",MIN(AB$38,$D$19)&lt;MAX($P$708*($B1211+IF($R$17="Distrato",$I$38-1,0)),IF(AND($L$711=0,$P$708=0),"",$L$711-1),IF($R$17="Distrato",$E1211,0))),0,YEARFRAC(MAX($P$708*($B1211+IF($R$17="Distrato",$I$38-1,0)),IF(AND($L$711=0,$P$708=0),"",$L$711-1),IF($R$17="Distrato",$E1211,0)),MIN(AB$38,$D$19),$P$20))-SUM($P1211:AA1211)</f>
        <v>#VALUE!</v>
      </c>
      <c r="AC1211" s="446" t="e">
        <f>IF(OR($B1211="",MIN(AC$38,$D$19)&lt;MAX($P$708*($B1211+IF($R$17="Distrato",$I$38-1,0)),IF(AND($L$711=0,$P$708=0),"",$L$711-1),IF($R$17="Distrato",$E1211,0))),0,YEARFRAC(MAX($P$708*($B1211+IF($R$17="Distrato",$I$38-1,0)),IF(AND($L$711=0,$P$708=0),"",$L$711-1),IF($R$17="Distrato",$E1211,0)),MIN(AC$38,$D$19),$P$20))-SUM($P1211:AB1211)</f>
        <v>#VALUE!</v>
      </c>
      <c r="AD1211" s="446" t="e">
        <f>IF(OR($B1211="",MIN(AD$38,$D$19)&lt;MAX($P$708*($B1211+IF($R$17="Distrato",$I$38-1,0)),IF(AND($L$711=0,$P$708=0),"",$L$711-1),IF($R$17="Distrato",$E1211,0))),0,YEARFRAC(MAX($P$708*($B1211+IF($R$17="Distrato",$I$38-1,0)),IF(AND($L$711=0,$P$708=0),"",$L$711-1),IF($R$17="Distrato",$E1211,0)),MIN(AD$38,$D$19),$P$20))-SUM($P1211:AC1211)</f>
        <v>#VALUE!</v>
      </c>
      <c r="AE1211" s="446" t="e">
        <f>IF(OR($B1211="",MIN(AE$38,$D$19)&lt;MAX($P$708*($B1211+IF($R$17="Distrato",$I$38-1,0)),IF(AND($L$711=0,$P$708=0),"",$L$711-1),IF($R$17="Distrato",$E1211,0))),0,YEARFRAC(MAX($P$708*($B1211+IF($R$17="Distrato",$I$38-1,0)),IF(AND($L$711=0,$P$708=0),"",$L$711-1),IF($R$17="Distrato",$E1211,0)),MIN(AE$38,$D$19),$P$20))-SUM($P1211:AD1211)</f>
        <v>#VALUE!</v>
      </c>
      <c r="AF1211" s="446" t="e">
        <f>IF(OR($B1211="",MIN(AF$38,$D$19)&lt;MAX($P$708*($B1211+IF($R$17="Distrato",$I$38-1,0)),IF(AND($L$711=0,$P$708=0),"",$L$711-1),IF($R$17="Distrato",$E1211,0))),0,YEARFRAC(MAX($P$708*($B1211+IF($R$17="Distrato",$I$38-1,0)),IF(AND($L$711=0,$P$708=0),"",$L$711-1),IF($R$17="Distrato",$E1211,0)),MIN(AF$38,$D$19),$P$20))-SUM($P1211:AE1211)</f>
        <v>#VALUE!</v>
      </c>
      <c r="AG1211" s="446" t="e">
        <f>IF(OR($B1211="",MIN(AG$38,$D$19)&lt;MAX($P$708*($B1211+IF($R$17="Distrato",$I$38-1,0)),IF(AND($L$711=0,$P$708=0),"",$L$711-1),IF($R$17="Distrato",$E1211,0))),0,YEARFRAC(MAX($P$708*($B1211+IF($R$17="Distrato",$I$38-1,0)),IF(AND($L$711=0,$P$708=0),"",$L$711-1),IF($R$17="Distrato",$E1211,0)),MIN(AG$38,$D$19),$P$20))-SUM($P1211:AF1211)</f>
        <v>#VALUE!</v>
      </c>
      <c r="AH1211" s="446" t="e">
        <f>IF(OR($B1211="",MIN(AH$38,$D$19)&lt;MAX($P$708*($B1211+IF($R$17="Distrato",$I$38-1,0)),IF(AND($L$711=0,$P$708=0),"",$L$711-1),IF($R$17="Distrato",$E1211,0))),0,YEARFRAC(MAX($P$708*($B1211+IF($R$17="Distrato",$I$38-1,0)),IF(AND($L$711=0,$P$708=0),"",$L$711-1),IF($R$17="Distrato",$E1211,0)),MIN(AH$38,$D$19),$P$20))-SUM($P1211:AG1211)</f>
        <v>#VALUE!</v>
      </c>
      <c r="AI1211" s="446" t="e">
        <f>IF(OR($B1211="",MIN(AI$38,$D$19)&lt;MAX($P$708*($B1211+IF($R$17="Distrato",$I$38-1,0)),IF(AND($L$711=0,$P$708=0),"",$L$711-1),IF($R$17="Distrato",$E1211,0))),0,YEARFRAC(MAX($P$708*($B1211+IF($R$17="Distrato",$I$38-1,0)),IF(AND($L$711=0,$P$708=0),"",$L$711-1),IF($R$17="Distrato",$E1211,0)),MIN(AI$38,$D$19),$P$20))-SUM($P1211:AH1211)</f>
        <v>#VALUE!</v>
      </c>
      <c r="AJ1211" s="446" t="e">
        <f>IF(OR($B1211="",MIN(AJ$38,$D$19)&lt;MAX($P$708*($B1211+IF($R$17="Distrato",$I$38-1,0)),IF(AND($L$711=0,$P$708=0),"",$L$711-1),IF($R$17="Distrato",$E1211,0))),0,YEARFRAC(MAX($P$708*($B1211+IF($R$17="Distrato",$I$38-1,0)),IF(AND($L$711=0,$P$708=0),"",$L$711-1),IF($R$17="Distrato",$E1211,0)),MIN(AJ$38,$D$19),$P$20))-SUM($P1211:AI1211)</f>
        <v>#VALUE!</v>
      </c>
      <c r="AK1211" s="446" t="e">
        <f>IF(OR($B1211="",MIN(AK$38,$D$19)&lt;MAX($P$708*($B1211+IF($R$17="Distrato",$I$38-1,0)),IF(AND($L$711=0,$P$708=0),"",$L$711-1),IF($R$17="Distrato",$E1211,0))),0,YEARFRAC(MAX($P$708*($B1211+IF($R$17="Distrato",$I$38-1,0)),IF(AND($L$711=0,$P$708=0),"",$L$711-1),IF($R$17="Distrato",$E1211,0)),MIN(AK$38,$D$19),$P$20))-SUM($P1211:AJ1211)</f>
        <v>#VALUE!</v>
      </c>
      <c r="AL1211" s="446" t="e">
        <f>IF(OR($B1211="",MIN(AL$38,$D$19)&lt;MAX($P$708*($B1211+IF($R$17="Distrato",$I$38-1,0)),IF(AND($L$711=0,$P$708=0),"",$L$711-1),IF($R$17="Distrato",$E1211,0))),0,YEARFRAC(MAX($P$708*($B1211+IF($R$17="Distrato",$I$38-1,0)),IF(AND($L$711=0,$P$708=0),"",$L$711-1),IF($R$17="Distrato",$E1211,0)),MIN(AL$38,$D$19),$P$20))-SUM($P1211:AK1211)</f>
        <v>#VALUE!</v>
      </c>
      <c r="AM1211" s="446" t="e">
        <f>IF(OR($B1211="",MIN(AM$38,$D$19)&lt;MAX($P$708*($B1211+IF($R$17="Distrato",$I$38-1,0)),IF(AND($L$711=0,$P$708=0),"",$L$711-1),IF($R$17="Distrato",$E1211,0))),0,YEARFRAC(MAX($P$708*($B1211+IF($R$17="Distrato",$I$38-1,0)),IF(AND($L$711=0,$P$708=0),"",$L$711-1),IF($R$17="Distrato",$E1211,0)),MIN(AM$38,$D$19),$P$20))-SUM($P1211:AL1211)</f>
        <v>#VALUE!</v>
      </c>
      <c r="AN1211" s="446" t="e">
        <f>IF(OR($B1211="",MIN(AN$38,$D$19)&lt;MAX($P$708*($B1211+IF($R$17="Distrato",$I$38-1,0)),IF(AND($L$711=0,$P$708=0),"",$L$711-1),IF($R$17="Distrato",$E1211,0))),0,YEARFRAC(MAX($P$708*($B1211+IF($R$17="Distrato",$I$38-1,0)),IF(AND($L$711=0,$P$708=0),"",$L$711-1),IF($R$17="Distrato",$E1211,0)),MIN(AN$38,$D$19),$P$20))-SUM($P1211:AM1211)</f>
        <v>#VALUE!</v>
      </c>
      <c r="AO1211" s="446" t="e">
        <f>IF(OR($B1211="",MIN(AO$38,$D$19)&lt;MAX($P$708*($B1211+IF($R$17="Distrato",$I$38-1,0)),IF(AND($L$711=0,$P$708=0),"",$L$711-1),IF($R$17="Distrato",$E1211,0))),0,YEARFRAC(MAX($P$708*($B1211+IF($R$17="Distrato",$I$38-1,0)),IF(AND($L$711=0,$P$708=0),"",$L$711-1),IF($R$17="Distrato",$E1211,0)),MIN(AO$38,$D$19),$P$20))-SUM($P1211:AN1211)</f>
        <v>#VALUE!</v>
      </c>
      <c r="AP1211" s="446" t="e">
        <f>IF(OR($B1211="",MIN(AP$38,$D$19)&lt;MAX($P$708*($B1211+IF($R$17="Distrato",$I$38-1,0)),IF(AND($L$711=0,$P$708=0),"",$L$711-1),IF($R$17="Distrato",$E1211,0))),0,YEARFRAC(MAX($P$708*($B1211+IF($R$17="Distrato",$I$38-1,0)),IF(AND($L$711=0,$P$708=0),"",$L$711-1),IF($R$17="Distrato",$E1211,0)),MIN(AP$38,$D$19),$P$20))-SUM($P1211:AO1211)</f>
        <v>#VALUE!</v>
      </c>
      <c r="AQ1211" s="446" t="e">
        <f>IF(OR($B1211="",MIN(AQ$38,$D$19)&lt;MAX($P$708*($B1211+IF($R$17="Distrato",$I$38-1,0)),IF(AND($L$711=0,$P$708=0),"",$L$711-1),IF($R$17="Distrato",$E1211,0))),0,YEARFRAC(MAX($P$708*($B1211+IF($R$17="Distrato",$I$38-1,0)),IF(AND($L$711=0,$P$708=0),"",$L$711-1),IF($R$17="Distrato",$E1211,0)),MIN(AQ$38,$D$19),$P$20))-SUM($P1211:AP1211)</f>
        <v>#VALUE!</v>
      </c>
      <c r="AR1211" s="446" t="e">
        <f>IF(OR($B1211="",MIN(AR$38,$D$19)&lt;MAX($P$708*($B1211+IF($R$17="Distrato",$I$38-1,0)),IF(AND($L$711=0,$P$708=0),"",$L$711-1),IF($R$17="Distrato",$E1211,0))),0,YEARFRAC(MAX($P$708*($B1211+IF($R$17="Distrato",$I$38-1,0)),IF(AND($L$711=0,$P$708=0),"",$L$711-1),IF($R$17="Distrato",$E1211,0)),MIN(AR$38,$D$19),$P$20))-SUM($P1211:AQ1211)</f>
        <v>#VALUE!</v>
      </c>
      <c r="AS1211" s="446" t="e">
        <f>IF(OR($B1211="",MIN(AS$38,$D$19)&lt;MAX($P$708*($B1211+IF($R$17="Distrato",$I$38-1,0)),IF(AND($L$711=0,$P$708=0),"",$L$711-1),IF($R$17="Distrato",$E1211,0))),0,YEARFRAC(MAX($P$708*($B1211+IF($R$17="Distrato",$I$38-1,0)),IF(AND($L$711=0,$P$708=0),"",$L$711-1),IF($R$17="Distrato",$E1211,0)),MIN(AS$38,$D$19),$P$20))-SUM($P1211:AR1211)</f>
        <v>#VALUE!</v>
      </c>
      <c r="AT1211" s="446" t="e">
        <f>IF(OR($B1211="",MIN(AT$38,$D$19)&lt;MAX($P$708*($B1211+IF($R$17="Distrato",$I$38-1,0)),IF(AND($L$711=0,$P$708=0),"",$L$711-1),IF($R$17="Distrato",$E1211,0))),0,YEARFRAC(MAX($P$708*($B1211+IF($R$17="Distrato",$I$38-1,0)),IF(AND($L$711=0,$P$708=0),"",$L$711-1),IF($R$17="Distrato",$E1211,0)),MIN(AT$38,$D$19),$P$20))-SUM($P1211:AS1211)</f>
        <v>#VALUE!</v>
      </c>
      <c r="AU1211" s="446" t="e">
        <f>IF(OR($B1211="",MIN(AU$38,$D$19)&lt;MAX($P$708*($B1211+IF($R$17="Distrato",$I$38-1,0)),IF(AND($L$711=0,$P$708=0),"",$L$711-1),IF($R$17="Distrato",$E1211,0))),0,YEARFRAC(MAX($P$708*($B1211+IF($R$17="Distrato",$I$38-1,0)),IF(AND($L$711=0,$P$708=0),"",$L$711-1),IF($R$17="Distrato",$E1211,0)),MIN(AU$38,$D$19),$P$20))-SUM($P1211:AT1211)</f>
        <v>#VALUE!</v>
      </c>
      <c r="AV1211" s="446" t="e">
        <f>IF(OR($B1211="",MIN(AV$38,$D$19)&lt;MAX($P$708*($B1211+IF($R$17="Distrato",$I$38-1,0)),IF(AND($L$711=0,$P$708=0),"",$L$711-1),IF($R$17="Distrato",$E1211,0))),0,YEARFRAC(MAX($P$708*($B1211+IF($R$17="Distrato",$I$38-1,0)),IF(AND($L$711=0,$P$708=0),"",$L$711-1),IF($R$17="Distrato",$E1211,0)),MIN(AV$38,$D$19),$P$20))-SUM($P1211:AU1211)</f>
        <v>#VALUE!</v>
      </c>
      <c r="AW1211" s="446" t="e">
        <f>IF(OR($B1211="",MIN(AW$38,$D$19)&lt;MAX($P$708*($B1211+IF($R$17="Distrato",$I$38-1,0)),IF(AND($L$711=0,$P$708=0),"",$L$711-1),IF($R$17="Distrato",$E1211,0))),0,YEARFRAC(MAX($P$708*($B1211+IF($R$17="Distrato",$I$38-1,0)),IF(AND($L$711=0,$P$708=0),"",$L$711-1),IF($R$17="Distrato",$E1211,0)),MIN(AW$38,$D$19),$P$20))-SUM($P1211:AV1211)</f>
        <v>#VALUE!</v>
      </c>
      <c r="AX1211" s="446" t="e">
        <f>IF(OR($B1211="",MIN(AX$38,$D$19)&lt;MAX($P$708*($B1211+IF($R$17="Distrato",$I$38-1,0)),IF(AND($L$711=0,$P$708=0),"",$L$711-1),IF($R$17="Distrato",$E1211,0))),0,YEARFRAC(MAX($P$708*($B1211+IF($R$17="Distrato",$I$38-1,0)),IF(AND($L$711=0,$P$708=0),"",$L$711-1),IF($R$17="Distrato",$E1211,0)),MIN(AX$38,$D$19),$P$20))-SUM($P1211:AW1211)</f>
        <v>#VALUE!</v>
      </c>
      <c r="AY1211" s="446" t="e">
        <f>IF(OR($B1211="",MIN(AY$38,$D$19)&lt;MAX($P$708*($B1211+IF($R$17="Distrato",$I$38-1,0)),IF(AND($L$711=0,$P$708=0),"",$L$711-1),IF($R$17="Distrato",$E1211,0))),0,YEARFRAC(MAX($P$708*($B1211+IF($R$17="Distrato",$I$38-1,0)),IF(AND($L$711=0,$P$708=0),"",$L$711-1),IF($R$17="Distrato",$E1211,0)),MIN(AY$38,$D$19),$P$20))-SUM($P1211:AX1211)</f>
        <v>#VALUE!</v>
      </c>
      <c r="AZ1211" s="446" t="e">
        <f>IF(OR($B1211="",MIN(AZ$38,$D$19)&lt;MAX($P$708*($B1211+IF($R$17="Distrato",$I$38-1,0)),IF(AND($L$711=0,$P$708=0),"",$L$711-1),IF($R$17="Distrato",$E1211,0))),0,YEARFRAC(MAX($P$708*($B1211+IF($R$17="Distrato",$I$38-1,0)),IF(AND($L$711=0,$P$708=0),"",$L$711-1),IF($R$17="Distrato",$E1211,0)),MIN(AZ$38,$D$19),$P$20))-SUM($P1211:AY1211)</f>
        <v>#VALUE!</v>
      </c>
      <c r="BA1211" s="446" t="e">
        <f>IF(OR($B1211="",MIN(BA$38,$D$19)&lt;MAX($P$708*($B1211+IF($R$17="Distrato",$I$38-1,0)),IF(AND($L$711=0,$P$708=0),"",$L$711-1),IF($R$17="Distrato",$E1211,0))),0,YEARFRAC(MAX($P$708*($B1211+IF($R$17="Distrato",$I$38-1,0)),IF(AND($L$711=0,$P$708=0),"",$L$711-1),IF($R$17="Distrato",$E1211,0)),MIN(BA$38,$D$19),$P$20))-SUM($P1211:AZ1211)</f>
        <v>#VALUE!</v>
      </c>
      <c r="BB1211" s="447"/>
    </row>
    <row r="1212" spans="1:54" s="446" customFormat="1" ht="11.25" hidden="1" customHeight="1" x14ac:dyDescent="0.2">
      <c r="A1212" s="235"/>
      <c r="B1212" s="236"/>
      <c r="C1212" s="29" t="str">
        <f>IF(B1212="","",IF($L$709=$BL$25,VLOOKUP(DATE(YEAR($D$19),MONTH($D$19)-1,1),ÍNDICES!$A:$DE,HLOOKUP($BL$25,ÍNDICES!$B$3:$T$4,2)+11)-VLOOKUP(B1212,ÍNDICES!$A:$DE,HLOOKUP($BL$25,ÍNDICES!$B$3:$T$4,2)+11)+1%,IF(C$712=$W$26,$J$35,IF(ISERROR(IF(B1212&gt;$D$19,1,VLOOKUP(DATE(YEAR(B1212),MONTH(B1212)+IF($C$709=$S$23,1,0),1),ÍNDICES!$A:$DE,$Z$709+1))),"",IF(B1212&gt;$D$19,1,VLOOKUP(DATE(YEAR(B1212),MONTH(B1212)+IF($C$709=$S$23,1,0),1),ÍNDICES!$A:$DE,$Z$709+1))))))</f>
        <v/>
      </c>
      <c r="D1212" s="155"/>
      <c r="E1212" s="88"/>
      <c r="F1212" s="88"/>
      <c r="G1212" s="88"/>
      <c r="H1212" s="118"/>
      <c r="I1212" s="182">
        <f t="shared" si="164"/>
        <v>0</v>
      </c>
      <c r="J1212" s="20">
        <f t="shared" ca="1" si="165"/>
        <v>0</v>
      </c>
      <c r="K1212" s="5">
        <f t="shared" ca="1" si="166"/>
        <v>0</v>
      </c>
      <c r="L1212" s="61">
        <f t="shared" ca="1" si="167"/>
        <v>0</v>
      </c>
      <c r="M1212" s="64">
        <f t="shared" si="168"/>
        <v>0</v>
      </c>
      <c r="N1212" s="151"/>
      <c r="O1212" s="5">
        <f t="shared" ca="1" si="169"/>
        <v>0</v>
      </c>
      <c r="P1212" s="446" t="e">
        <f t="shared" si="170"/>
        <v>#VALUE!</v>
      </c>
      <c r="Q1212" s="446" t="e">
        <f>IF(OR($B1212="",MIN(Q$38,$D$19)&lt;MAX($P$708*($B1212+IF($R$17="Distrato",$I$38-1,0)),IF(AND($L$711=0,$P$708=0),"",$L$711-1),IF($R$17="Distrato",$E1212,0))),0,YEARFRAC(MAX($P$708*($B1212+IF($R$17="Distrato",$I$38-1,0)),IF(AND($L$711=0,$P$708=0),"",$L$711-1),IF($R$17="Distrato",$E1212,0)),MIN(Q$38,$D$19),$P$20))-SUM($P1212:P1212)</f>
        <v>#VALUE!</v>
      </c>
      <c r="R1212" s="446" t="e">
        <f>IF(OR($B1212="",MIN(R$38,$D$19)&lt;MAX($P$708*($B1212+IF($R$17="Distrato",$I$38-1,0)),IF(AND($L$711=0,$P$708=0),"",$L$711-1),IF($R$17="Distrato",$E1212,0))),0,YEARFRAC(MAX($P$708*($B1212+IF($R$17="Distrato",$I$38-1,0)),IF(AND($L$711=0,$P$708=0),"",$L$711-1),IF($R$17="Distrato",$E1212,0)),MIN(R$38,$D$19),$P$20))-SUM($P1212:Q1212)</f>
        <v>#VALUE!</v>
      </c>
      <c r="S1212" s="446" t="e">
        <f>IF(OR($B1212="",MIN(S$38,$D$19)&lt;MAX($P$708*($B1212+IF($R$17="Distrato",$I$38-1,0)),IF(AND($L$711=0,$P$708=0),"",$L$711-1),IF($R$17="Distrato",$E1212,0))),0,YEARFRAC(MAX($P$708*($B1212+IF($R$17="Distrato",$I$38-1,0)),IF(AND($L$711=0,$P$708=0),"",$L$711-1),IF($R$17="Distrato",$E1212,0)),MIN(S$38,$D$19),$P$20))-SUM($P1212:R1212)</f>
        <v>#VALUE!</v>
      </c>
      <c r="T1212" s="446" t="e">
        <f>IF(OR($B1212="",MIN(T$38,$D$19)&lt;MAX($P$708*($B1212+IF($R$17="Distrato",$I$38-1,0)),IF(AND($L$711=0,$P$708=0),"",$L$711-1),IF($R$17="Distrato",$E1212,0))),0,YEARFRAC(MAX($P$708*($B1212+IF($R$17="Distrato",$I$38-1,0)),IF(AND($L$711=0,$P$708=0),"",$L$711-1),IF($R$17="Distrato",$E1212,0)),MIN(T$38,$D$19),$P$20))-SUM($P1212:S1212)</f>
        <v>#VALUE!</v>
      </c>
      <c r="U1212" s="446" t="e">
        <f>IF(OR($B1212="",MIN(U$38,$D$19)&lt;MAX($P$708*($B1212+IF($R$17="Distrato",$I$38-1,0)),IF(AND($L$711=0,$P$708=0),"",$L$711-1),IF($R$17="Distrato",$E1212,0))),0,YEARFRAC(MAX($P$708*($B1212+IF($R$17="Distrato",$I$38-1,0)),IF(AND($L$711=0,$P$708=0),"",$L$711-1),IF($R$17="Distrato",$E1212,0)),MIN(U$38,$D$19),$P$20))-SUM($P1212:T1212)</f>
        <v>#VALUE!</v>
      </c>
      <c r="V1212" s="446" t="e">
        <f>IF(OR($B1212="",MIN(V$38,$D$19)&lt;MAX($P$708*($B1212+IF($R$17="Distrato",$I$38-1,0)),IF(AND($L$711=0,$P$708=0),"",$L$711-1),IF($R$17="Distrato",$E1212,0))),0,YEARFRAC(MAX($P$708*($B1212+IF($R$17="Distrato",$I$38-1,0)),IF(AND($L$711=0,$P$708=0),"",$L$711-1),IF($R$17="Distrato",$E1212,0)),MIN(V$38,$D$19),$P$20))-SUM($P1212:U1212)</f>
        <v>#VALUE!</v>
      </c>
      <c r="W1212" s="446" t="e">
        <f>IF(OR($B1212="",MIN(W$38,$D$19)&lt;MAX($P$708*($B1212+IF($R$17="Distrato",$I$38-1,0)),IF(AND($L$711=0,$P$708=0),"",$L$711-1),IF($R$17="Distrato",$E1212,0))),0,YEARFRAC(MAX($P$708*($B1212+IF($R$17="Distrato",$I$38-1,0)),IF(AND($L$711=0,$P$708=0),"",$L$711-1),IF($R$17="Distrato",$E1212,0)),MIN(W$38,$D$19),$P$20))-SUM($P1212:V1212)</f>
        <v>#VALUE!</v>
      </c>
      <c r="X1212" s="446" t="e">
        <f>IF(OR($B1212="",MIN(X$38,$D$19)&lt;MAX($P$708*($B1212+IF($R$17="Distrato",$I$38-1,0)),IF(AND($L$711=0,$P$708=0),"",$L$711-1),IF($R$17="Distrato",$E1212,0))),0,YEARFRAC(MAX($P$708*($B1212+IF($R$17="Distrato",$I$38-1,0)),IF(AND($L$711=0,$P$708=0),"",$L$711-1),IF($R$17="Distrato",$E1212,0)),MIN(X$38,$D$19),$P$20))-SUM($P1212:W1212)</f>
        <v>#VALUE!</v>
      </c>
      <c r="Y1212" s="446" t="e">
        <f>IF(OR($B1212="",MIN(Y$38,$D$19)&lt;MAX($P$708*($B1212+IF($R$17="Distrato",$I$38-1,0)),IF(AND($L$711=0,$P$708=0),"",$L$711-1),IF($R$17="Distrato",$E1212,0))),0,YEARFRAC(MAX($P$708*($B1212+IF($R$17="Distrato",$I$38-1,0)),IF(AND($L$711=0,$P$708=0),"",$L$711-1),IF($R$17="Distrato",$E1212,0)),MIN(Y$38,$D$19),$P$20))-SUM($P1212:X1212)</f>
        <v>#VALUE!</v>
      </c>
      <c r="Z1212" s="446" t="e">
        <f>IF(OR($B1212="",MIN(Z$38,$D$19)&lt;MAX($P$708*($B1212+IF($R$17="Distrato",$I$38-1,0)),IF(AND($L$711=0,$P$708=0),"",$L$711-1),IF($R$17="Distrato",$E1212,0))),0,YEARFRAC(MAX($P$708*($B1212+IF($R$17="Distrato",$I$38-1,0)),IF(AND($L$711=0,$P$708=0),"",$L$711-1),IF($R$17="Distrato",$E1212,0)),MIN(Z$38,$D$19),$P$20))-SUM($P1212:Y1212)</f>
        <v>#VALUE!</v>
      </c>
      <c r="AA1212" s="446" t="e">
        <f>IF(OR($B1212="",MIN(AA$38,$D$19)&lt;MAX($P$708*($B1212+IF($R$17="Distrato",$I$38-1,0)),IF(AND($L$711=0,$P$708=0),"",$L$711-1),IF($R$17="Distrato",$E1212,0))),0,YEARFRAC(MAX($P$708*($B1212+IF($R$17="Distrato",$I$38-1,0)),IF(AND($L$711=0,$P$708=0),"",$L$711-1),IF($R$17="Distrato",$E1212,0)),MIN(AA$38,$D$19),$P$20))-SUM($P1212:Z1212)</f>
        <v>#VALUE!</v>
      </c>
      <c r="AB1212" s="446" t="e">
        <f>IF(OR($B1212="",MIN(AB$38,$D$19)&lt;MAX($P$708*($B1212+IF($R$17="Distrato",$I$38-1,0)),IF(AND($L$711=0,$P$708=0),"",$L$711-1),IF($R$17="Distrato",$E1212,0))),0,YEARFRAC(MAX($P$708*($B1212+IF($R$17="Distrato",$I$38-1,0)),IF(AND($L$711=0,$P$708=0),"",$L$711-1),IF($R$17="Distrato",$E1212,0)),MIN(AB$38,$D$19),$P$20))-SUM($P1212:AA1212)</f>
        <v>#VALUE!</v>
      </c>
      <c r="AC1212" s="446" t="e">
        <f>IF(OR($B1212="",MIN(AC$38,$D$19)&lt;MAX($P$708*($B1212+IF($R$17="Distrato",$I$38-1,0)),IF(AND($L$711=0,$P$708=0),"",$L$711-1),IF($R$17="Distrato",$E1212,0))),0,YEARFRAC(MAX($P$708*($B1212+IF($R$17="Distrato",$I$38-1,0)),IF(AND($L$711=0,$P$708=0),"",$L$711-1),IF($R$17="Distrato",$E1212,0)),MIN(AC$38,$D$19),$P$20))-SUM($P1212:AB1212)</f>
        <v>#VALUE!</v>
      </c>
      <c r="AD1212" s="446" t="e">
        <f>IF(OR($B1212="",MIN(AD$38,$D$19)&lt;MAX($P$708*($B1212+IF($R$17="Distrato",$I$38-1,0)),IF(AND($L$711=0,$P$708=0),"",$L$711-1),IF($R$17="Distrato",$E1212,0))),0,YEARFRAC(MAX($P$708*($B1212+IF($R$17="Distrato",$I$38-1,0)),IF(AND($L$711=0,$P$708=0),"",$L$711-1),IF($R$17="Distrato",$E1212,0)),MIN(AD$38,$D$19),$P$20))-SUM($P1212:AC1212)</f>
        <v>#VALUE!</v>
      </c>
      <c r="AE1212" s="446" t="e">
        <f>IF(OR($B1212="",MIN(AE$38,$D$19)&lt;MAX($P$708*($B1212+IF($R$17="Distrato",$I$38-1,0)),IF(AND($L$711=0,$P$708=0),"",$L$711-1),IF($R$17="Distrato",$E1212,0))),0,YEARFRAC(MAX($P$708*($B1212+IF($R$17="Distrato",$I$38-1,0)),IF(AND($L$711=0,$P$708=0),"",$L$711-1),IF($R$17="Distrato",$E1212,0)),MIN(AE$38,$D$19),$P$20))-SUM($P1212:AD1212)</f>
        <v>#VALUE!</v>
      </c>
      <c r="AF1212" s="446" t="e">
        <f>IF(OR($B1212="",MIN(AF$38,$D$19)&lt;MAX($P$708*($B1212+IF($R$17="Distrato",$I$38-1,0)),IF(AND($L$711=0,$P$708=0),"",$L$711-1),IF($R$17="Distrato",$E1212,0))),0,YEARFRAC(MAX($P$708*($B1212+IF($R$17="Distrato",$I$38-1,0)),IF(AND($L$711=0,$P$708=0),"",$L$711-1),IF($R$17="Distrato",$E1212,0)),MIN(AF$38,$D$19),$P$20))-SUM($P1212:AE1212)</f>
        <v>#VALUE!</v>
      </c>
      <c r="AG1212" s="446" t="e">
        <f>IF(OR($B1212="",MIN(AG$38,$D$19)&lt;MAX($P$708*($B1212+IF($R$17="Distrato",$I$38-1,0)),IF(AND($L$711=0,$P$708=0),"",$L$711-1),IF($R$17="Distrato",$E1212,0))),0,YEARFRAC(MAX($P$708*($B1212+IF($R$17="Distrato",$I$38-1,0)),IF(AND($L$711=0,$P$708=0),"",$L$711-1),IF($R$17="Distrato",$E1212,0)),MIN(AG$38,$D$19),$P$20))-SUM($P1212:AF1212)</f>
        <v>#VALUE!</v>
      </c>
      <c r="AH1212" s="446" t="e">
        <f>IF(OR($B1212="",MIN(AH$38,$D$19)&lt;MAX($P$708*($B1212+IF($R$17="Distrato",$I$38-1,0)),IF(AND($L$711=0,$P$708=0),"",$L$711-1),IF($R$17="Distrato",$E1212,0))),0,YEARFRAC(MAX($P$708*($B1212+IF($R$17="Distrato",$I$38-1,0)),IF(AND($L$711=0,$P$708=0),"",$L$711-1),IF($R$17="Distrato",$E1212,0)),MIN(AH$38,$D$19),$P$20))-SUM($P1212:AG1212)</f>
        <v>#VALUE!</v>
      </c>
      <c r="AI1212" s="446" t="e">
        <f>IF(OR($B1212="",MIN(AI$38,$D$19)&lt;MAX($P$708*($B1212+IF($R$17="Distrato",$I$38-1,0)),IF(AND($L$711=0,$P$708=0),"",$L$711-1),IF($R$17="Distrato",$E1212,0))),0,YEARFRAC(MAX($P$708*($B1212+IF($R$17="Distrato",$I$38-1,0)),IF(AND($L$711=0,$P$708=0),"",$L$711-1),IF($R$17="Distrato",$E1212,0)),MIN(AI$38,$D$19),$P$20))-SUM($P1212:AH1212)</f>
        <v>#VALUE!</v>
      </c>
      <c r="AJ1212" s="446" t="e">
        <f>IF(OR($B1212="",MIN(AJ$38,$D$19)&lt;MAX($P$708*($B1212+IF($R$17="Distrato",$I$38-1,0)),IF(AND($L$711=0,$P$708=0),"",$L$711-1),IF($R$17="Distrato",$E1212,0))),0,YEARFRAC(MAX($P$708*($B1212+IF($R$17="Distrato",$I$38-1,0)),IF(AND($L$711=0,$P$708=0),"",$L$711-1),IF($R$17="Distrato",$E1212,0)),MIN(AJ$38,$D$19),$P$20))-SUM($P1212:AI1212)</f>
        <v>#VALUE!</v>
      </c>
      <c r="AK1212" s="446" t="e">
        <f>IF(OR($B1212="",MIN(AK$38,$D$19)&lt;MAX($P$708*($B1212+IF($R$17="Distrato",$I$38-1,0)),IF(AND($L$711=0,$P$708=0),"",$L$711-1),IF($R$17="Distrato",$E1212,0))),0,YEARFRAC(MAX($P$708*($B1212+IF($R$17="Distrato",$I$38-1,0)),IF(AND($L$711=0,$P$708=0),"",$L$711-1),IF($R$17="Distrato",$E1212,0)),MIN(AK$38,$D$19),$P$20))-SUM($P1212:AJ1212)</f>
        <v>#VALUE!</v>
      </c>
      <c r="AL1212" s="446" t="e">
        <f>IF(OR($B1212="",MIN(AL$38,$D$19)&lt;MAX($P$708*($B1212+IF($R$17="Distrato",$I$38-1,0)),IF(AND($L$711=0,$P$708=0),"",$L$711-1),IF($R$17="Distrato",$E1212,0))),0,YEARFRAC(MAX($P$708*($B1212+IF($R$17="Distrato",$I$38-1,0)),IF(AND($L$711=0,$P$708=0),"",$L$711-1),IF($R$17="Distrato",$E1212,0)),MIN(AL$38,$D$19),$P$20))-SUM($P1212:AK1212)</f>
        <v>#VALUE!</v>
      </c>
      <c r="AM1212" s="446" t="e">
        <f>IF(OR($B1212="",MIN(AM$38,$D$19)&lt;MAX($P$708*($B1212+IF($R$17="Distrato",$I$38-1,0)),IF(AND($L$711=0,$P$708=0),"",$L$711-1),IF($R$17="Distrato",$E1212,0))),0,YEARFRAC(MAX($P$708*($B1212+IF($R$17="Distrato",$I$38-1,0)),IF(AND($L$711=0,$P$708=0),"",$L$711-1),IF($R$17="Distrato",$E1212,0)),MIN(AM$38,$D$19),$P$20))-SUM($P1212:AL1212)</f>
        <v>#VALUE!</v>
      </c>
      <c r="AN1212" s="446" t="e">
        <f>IF(OR($B1212="",MIN(AN$38,$D$19)&lt;MAX($P$708*($B1212+IF($R$17="Distrato",$I$38-1,0)),IF(AND($L$711=0,$P$708=0),"",$L$711-1),IF($R$17="Distrato",$E1212,0))),0,YEARFRAC(MAX($P$708*($B1212+IF($R$17="Distrato",$I$38-1,0)),IF(AND($L$711=0,$P$708=0),"",$L$711-1),IF($R$17="Distrato",$E1212,0)),MIN(AN$38,$D$19),$P$20))-SUM($P1212:AM1212)</f>
        <v>#VALUE!</v>
      </c>
      <c r="AO1212" s="446" t="e">
        <f>IF(OR($B1212="",MIN(AO$38,$D$19)&lt;MAX($P$708*($B1212+IF($R$17="Distrato",$I$38-1,0)),IF(AND($L$711=0,$P$708=0),"",$L$711-1),IF($R$17="Distrato",$E1212,0))),0,YEARFRAC(MAX($P$708*($B1212+IF($R$17="Distrato",$I$38-1,0)),IF(AND($L$711=0,$P$708=0),"",$L$711-1),IF($R$17="Distrato",$E1212,0)),MIN(AO$38,$D$19),$P$20))-SUM($P1212:AN1212)</f>
        <v>#VALUE!</v>
      </c>
      <c r="AP1212" s="446" t="e">
        <f>IF(OR($B1212="",MIN(AP$38,$D$19)&lt;MAX($P$708*($B1212+IF($R$17="Distrato",$I$38-1,0)),IF(AND($L$711=0,$P$708=0),"",$L$711-1),IF($R$17="Distrato",$E1212,0))),0,YEARFRAC(MAX($P$708*($B1212+IF($R$17="Distrato",$I$38-1,0)),IF(AND($L$711=0,$P$708=0),"",$L$711-1),IF($R$17="Distrato",$E1212,0)),MIN(AP$38,$D$19),$P$20))-SUM($P1212:AO1212)</f>
        <v>#VALUE!</v>
      </c>
      <c r="AQ1212" s="446" t="e">
        <f>IF(OR($B1212="",MIN(AQ$38,$D$19)&lt;MAX($P$708*($B1212+IF($R$17="Distrato",$I$38-1,0)),IF(AND($L$711=0,$P$708=0),"",$L$711-1),IF($R$17="Distrato",$E1212,0))),0,YEARFRAC(MAX($P$708*($B1212+IF($R$17="Distrato",$I$38-1,0)),IF(AND($L$711=0,$P$708=0),"",$L$711-1),IF($R$17="Distrato",$E1212,0)),MIN(AQ$38,$D$19),$P$20))-SUM($P1212:AP1212)</f>
        <v>#VALUE!</v>
      </c>
      <c r="AR1212" s="446" t="e">
        <f>IF(OR($B1212="",MIN(AR$38,$D$19)&lt;MAX($P$708*($B1212+IF($R$17="Distrato",$I$38-1,0)),IF(AND($L$711=0,$P$708=0),"",$L$711-1),IF($R$17="Distrato",$E1212,0))),0,YEARFRAC(MAX($P$708*($B1212+IF($R$17="Distrato",$I$38-1,0)),IF(AND($L$711=0,$P$708=0),"",$L$711-1),IF($R$17="Distrato",$E1212,0)),MIN(AR$38,$D$19),$P$20))-SUM($P1212:AQ1212)</f>
        <v>#VALUE!</v>
      </c>
      <c r="AS1212" s="446" t="e">
        <f>IF(OR($B1212="",MIN(AS$38,$D$19)&lt;MAX($P$708*($B1212+IF($R$17="Distrato",$I$38-1,0)),IF(AND($L$711=0,$P$708=0),"",$L$711-1),IF($R$17="Distrato",$E1212,0))),0,YEARFRAC(MAX($P$708*($B1212+IF($R$17="Distrato",$I$38-1,0)),IF(AND($L$711=0,$P$708=0),"",$L$711-1),IF($R$17="Distrato",$E1212,0)),MIN(AS$38,$D$19),$P$20))-SUM($P1212:AR1212)</f>
        <v>#VALUE!</v>
      </c>
      <c r="AT1212" s="446" t="e">
        <f>IF(OR($B1212="",MIN(AT$38,$D$19)&lt;MAX($P$708*($B1212+IF($R$17="Distrato",$I$38-1,0)),IF(AND($L$711=0,$P$708=0),"",$L$711-1),IF($R$17="Distrato",$E1212,0))),0,YEARFRAC(MAX($P$708*($B1212+IF($R$17="Distrato",$I$38-1,0)),IF(AND($L$711=0,$P$708=0),"",$L$711-1),IF($R$17="Distrato",$E1212,0)),MIN(AT$38,$D$19),$P$20))-SUM($P1212:AS1212)</f>
        <v>#VALUE!</v>
      </c>
      <c r="AU1212" s="446" t="e">
        <f>IF(OR($B1212="",MIN(AU$38,$D$19)&lt;MAX($P$708*($B1212+IF($R$17="Distrato",$I$38-1,0)),IF(AND($L$711=0,$P$708=0),"",$L$711-1),IF($R$17="Distrato",$E1212,0))),0,YEARFRAC(MAX($P$708*($B1212+IF($R$17="Distrato",$I$38-1,0)),IF(AND($L$711=0,$P$708=0),"",$L$711-1),IF($R$17="Distrato",$E1212,0)),MIN(AU$38,$D$19),$P$20))-SUM($P1212:AT1212)</f>
        <v>#VALUE!</v>
      </c>
      <c r="AV1212" s="446" t="e">
        <f>IF(OR($B1212="",MIN(AV$38,$D$19)&lt;MAX($P$708*($B1212+IF($R$17="Distrato",$I$38-1,0)),IF(AND($L$711=0,$P$708=0),"",$L$711-1),IF($R$17="Distrato",$E1212,0))),0,YEARFRAC(MAX($P$708*($B1212+IF($R$17="Distrato",$I$38-1,0)),IF(AND($L$711=0,$P$708=0),"",$L$711-1),IF($R$17="Distrato",$E1212,0)),MIN(AV$38,$D$19),$P$20))-SUM($P1212:AU1212)</f>
        <v>#VALUE!</v>
      </c>
      <c r="AW1212" s="446" t="e">
        <f>IF(OR($B1212="",MIN(AW$38,$D$19)&lt;MAX($P$708*($B1212+IF($R$17="Distrato",$I$38-1,0)),IF(AND($L$711=0,$P$708=0),"",$L$711-1),IF($R$17="Distrato",$E1212,0))),0,YEARFRAC(MAX($P$708*($B1212+IF($R$17="Distrato",$I$38-1,0)),IF(AND($L$711=0,$P$708=0),"",$L$711-1),IF($R$17="Distrato",$E1212,0)),MIN(AW$38,$D$19),$P$20))-SUM($P1212:AV1212)</f>
        <v>#VALUE!</v>
      </c>
      <c r="AX1212" s="446" t="e">
        <f>IF(OR($B1212="",MIN(AX$38,$D$19)&lt;MAX($P$708*($B1212+IF($R$17="Distrato",$I$38-1,0)),IF(AND($L$711=0,$P$708=0),"",$L$711-1),IF($R$17="Distrato",$E1212,0))),0,YEARFRAC(MAX($P$708*($B1212+IF($R$17="Distrato",$I$38-1,0)),IF(AND($L$711=0,$P$708=0),"",$L$711-1),IF($R$17="Distrato",$E1212,0)),MIN(AX$38,$D$19),$P$20))-SUM($P1212:AW1212)</f>
        <v>#VALUE!</v>
      </c>
      <c r="AY1212" s="446" t="e">
        <f>IF(OR($B1212="",MIN(AY$38,$D$19)&lt;MAX($P$708*($B1212+IF($R$17="Distrato",$I$38-1,0)),IF(AND($L$711=0,$P$708=0),"",$L$711-1),IF($R$17="Distrato",$E1212,0))),0,YEARFRAC(MAX($P$708*($B1212+IF($R$17="Distrato",$I$38-1,0)),IF(AND($L$711=0,$P$708=0),"",$L$711-1),IF($R$17="Distrato",$E1212,0)),MIN(AY$38,$D$19),$P$20))-SUM($P1212:AX1212)</f>
        <v>#VALUE!</v>
      </c>
      <c r="AZ1212" s="446" t="e">
        <f>IF(OR($B1212="",MIN(AZ$38,$D$19)&lt;MAX($P$708*($B1212+IF($R$17="Distrato",$I$38-1,0)),IF(AND($L$711=0,$P$708=0),"",$L$711-1),IF($R$17="Distrato",$E1212,0))),0,YEARFRAC(MAX($P$708*($B1212+IF($R$17="Distrato",$I$38-1,0)),IF(AND($L$711=0,$P$708=0),"",$L$711-1),IF($R$17="Distrato",$E1212,0)),MIN(AZ$38,$D$19),$P$20))-SUM($P1212:AY1212)</f>
        <v>#VALUE!</v>
      </c>
      <c r="BA1212" s="446" t="e">
        <f>IF(OR($B1212="",MIN(BA$38,$D$19)&lt;MAX($P$708*($B1212+IF($R$17="Distrato",$I$38-1,0)),IF(AND($L$711=0,$P$708=0),"",$L$711-1),IF($R$17="Distrato",$E1212,0))),0,YEARFRAC(MAX($P$708*($B1212+IF($R$17="Distrato",$I$38-1,0)),IF(AND($L$711=0,$P$708=0),"",$L$711-1),IF($R$17="Distrato",$E1212,0)),MIN(BA$38,$D$19),$P$20))-SUM($P1212:AZ1212)</f>
        <v>#VALUE!</v>
      </c>
      <c r="BB1212" s="447"/>
    </row>
    <row r="1213" spans="1:54" s="446" customFormat="1" ht="11.25" hidden="1" customHeight="1" x14ac:dyDescent="0.2">
      <c r="A1213" s="235"/>
      <c r="B1213" s="236"/>
      <c r="C1213" s="29" t="str">
        <f>IF(B1213="","",IF($L$709=$BL$25,VLOOKUP(DATE(YEAR($D$19),MONTH($D$19)-1,1),ÍNDICES!$A:$DE,HLOOKUP($BL$25,ÍNDICES!$B$3:$T$4,2)+11)-VLOOKUP(B1213,ÍNDICES!$A:$DE,HLOOKUP($BL$25,ÍNDICES!$B$3:$T$4,2)+11)+1%,IF(C$712=$W$26,$J$35,IF(ISERROR(IF(B1213&gt;$D$19,1,VLOOKUP(DATE(YEAR(B1213),MONTH(B1213)+IF($C$709=$S$23,1,0),1),ÍNDICES!$A:$DE,$Z$709+1))),"",IF(B1213&gt;$D$19,1,VLOOKUP(DATE(YEAR(B1213),MONTH(B1213)+IF($C$709=$S$23,1,0),1),ÍNDICES!$A:$DE,$Z$709+1))))))</f>
        <v/>
      </c>
      <c r="D1213" s="155"/>
      <c r="E1213" s="88"/>
      <c r="F1213" s="88"/>
      <c r="G1213" s="88"/>
      <c r="H1213" s="118"/>
      <c r="I1213" s="182">
        <f t="shared" si="164"/>
        <v>0</v>
      </c>
      <c r="J1213" s="20">
        <f t="shared" ca="1" si="165"/>
        <v>0</v>
      </c>
      <c r="K1213" s="5">
        <f t="shared" ca="1" si="166"/>
        <v>0</v>
      </c>
      <c r="L1213" s="61">
        <f t="shared" ca="1" si="167"/>
        <v>0</v>
      </c>
      <c r="M1213" s="64">
        <f t="shared" si="168"/>
        <v>0</v>
      </c>
      <c r="N1213" s="151"/>
      <c r="O1213" s="5">
        <f t="shared" ca="1" si="169"/>
        <v>0</v>
      </c>
      <c r="P1213" s="446" t="e">
        <f t="shared" si="170"/>
        <v>#VALUE!</v>
      </c>
      <c r="Q1213" s="446" t="e">
        <f>IF(OR($B1213="",MIN(Q$38,$D$19)&lt;MAX($P$708*($B1213+IF($R$17="Distrato",$I$38-1,0)),IF(AND($L$711=0,$P$708=0),"",$L$711-1),IF($R$17="Distrato",$E1213,0))),0,YEARFRAC(MAX($P$708*($B1213+IF($R$17="Distrato",$I$38-1,0)),IF(AND($L$711=0,$P$708=0),"",$L$711-1),IF($R$17="Distrato",$E1213,0)),MIN(Q$38,$D$19),$P$20))-SUM($P1213:P1213)</f>
        <v>#VALUE!</v>
      </c>
      <c r="R1213" s="446" t="e">
        <f>IF(OR($B1213="",MIN(R$38,$D$19)&lt;MAX($P$708*($B1213+IF($R$17="Distrato",$I$38-1,0)),IF(AND($L$711=0,$P$708=0),"",$L$711-1),IF($R$17="Distrato",$E1213,0))),0,YEARFRAC(MAX($P$708*($B1213+IF($R$17="Distrato",$I$38-1,0)),IF(AND($L$711=0,$P$708=0),"",$L$711-1),IF($R$17="Distrato",$E1213,0)),MIN(R$38,$D$19),$P$20))-SUM($P1213:Q1213)</f>
        <v>#VALUE!</v>
      </c>
      <c r="S1213" s="446" t="e">
        <f>IF(OR($B1213="",MIN(S$38,$D$19)&lt;MAX($P$708*($B1213+IF($R$17="Distrato",$I$38-1,0)),IF(AND($L$711=0,$P$708=0),"",$L$711-1),IF($R$17="Distrato",$E1213,0))),0,YEARFRAC(MAX($P$708*($B1213+IF($R$17="Distrato",$I$38-1,0)),IF(AND($L$711=0,$P$708=0),"",$L$711-1),IF($R$17="Distrato",$E1213,0)),MIN(S$38,$D$19),$P$20))-SUM($P1213:R1213)</f>
        <v>#VALUE!</v>
      </c>
      <c r="T1213" s="446" t="e">
        <f>IF(OR($B1213="",MIN(T$38,$D$19)&lt;MAX($P$708*($B1213+IF($R$17="Distrato",$I$38-1,0)),IF(AND($L$711=0,$P$708=0),"",$L$711-1),IF($R$17="Distrato",$E1213,0))),0,YEARFRAC(MAX($P$708*($B1213+IF($R$17="Distrato",$I$38-1,0)),IF(AND($L$711=0,$P$708=0),"",$L$711-1),IF($R$17="Distrato",$E1213,0)),MIN(T$38,$D$19),$P$20))-SUM($P1213:S1213)</f>
        <v>#VALUE!</v>
      </c>
      <c r="U1213" s="446" t="e">
        <f>IF(OR($B1213="",MIN(U$38,$D$19)&lt;MAX($P$708*($B1213+IF($R$17="Distrato",$I$38-1,0)),IF(AND($L$711=0,$P$708=0),"",$L$711-1),IF($R$17="Distrato",$E1213,0))),0,YEARFRAC(MAX($P$708*($B1213+IF($R$17="Distrato",$I$38-1,0)),IF(AND($L$711=0,$P$708=0),"",$L$711-1),IF($R$17="Distrato",$E1213,0)),MIN(U$38,$D$19),$P$20))-SUM($P1213:T1213)</f>
        <v>#VALUE!</v>
      </c>
      <c r="V1213" s="446" t="e">
        <f>IF(OR($B1213="",MIN(V$38,$D$19)&lt;MAX($P$708*($B1213+IF($R$17="Distrato",$I$38-1,0)),IF(AND($L$711=0,$P$708=0),"",$L$711-1),IF($R$17="Distrato",$E1213,0))),0,YEARFRAC(MAX($P$708*($B1213+IF($R$17="Distrato",$I$38-1,0)),IF(AND($L$711=0,$P$708=0),"",$L$711-1),IF($R$17="Distrato",$E1213,0)),MIN(V$38,$D$19),$P$20))-SUM($P1213:U1213)</f>
        <v>#VALUE!</v>
      </c>
      <c r="W1213" s="446" t="e">
        <f>IF(OR($B1213="",MIN(W$38,$D$19)&lt;MAX($P$708*($B1213+IF($R$17="Distrato",$I$38-1,0)),IF(AND($L$711=0,$P$708=0),"",$L$711-1),IF($R$17="Distrato",$E1213,0))),0,YEARFRAC(MAX($P$708*($B1213+IF($R$17="Distrato",$I$38-1,0)),IF(AND($L$711=0,$P$708=0),"",$L$711-1),IF($R$17="Distrato",$E1213,0)),MIN(W$38,$D$19),$P$20))-SUM($P1213:V1213)</f>
        <v>#VALUE!</v>
      </c>
      <c r="X1213" s="446" t="e">
        <f>IF(OR($B1213="",MIN(X$38,$D$19)&lt;MAX($P$708*($B1213+IF($R$17="Distrato",$I$38-1,0)),IF(AND($L$711=0,$P$708=0),"",$L$711-1),IF($R$17="Distrato",$E1213,0))),0,YEARFRAC(MAX($P$708*($B1213+IF($R$17="Distrato",$I$38-1,0)),IF(AND($L$711=0,$P$708=0),"",$L$711-1),IF($R$17="Distrato",$E1213,0)),MIN(X$38,$D$19),$P$20))-SUM($P1213:W1213)</f>
        <v>#VALUE!</v>
      </c>
      <c r="Y1213" s="446" t="e">
        <f>IF(OR($B1213="",MIN(Y$38,$D$19)&lt;MAX($P$708*($B1213+IF($R$17="Distrato",$I$38-1,0)),IF(AND($L$711=0,$P$708=0),"",$L$711-1),IF($R$17="Distrato",$E1213,0))),0,YEARFRAC(MAX($P$708*($B1213+IF($R$17="Distrato",$I$38-1,0)),IF(AND($L$711=0,$P$708=0),"",$L$711-1),IF($R$17="Distrato",$E1213,0)),MIN(Y$38,$D$19),$P$20))-SUM($P1213:X1213)</f>
        <v>#VALUE!</v>
      </c>
      <c r="Z1213" s="446" t="e">
        <f>IF(OR($B1213="",MIN(Z$38,$D$19)&lt;MAX($P$708*($B1213+IF($R$17="Distrato",$I$38-1,0)),IF(AND($L$711=0,$P$708=0),"",$L$711-1),IF($R$17="Distrato",$E1213,0))),0,YEARFRAC(MAX($P$708*($B1213+IF($R$17="Distrato",$I$38-1,0)),IF(AND($L$711=0,$P$708=0),"",$L$711-1),IF($R$17="Distrato",$E1213,0)),MIN(Z$38,$D$19),$P$20))-SUM($P1213:Y1213)</f>
        <v>#VALUE!</v>
      </c>
      <c r="AA1213" s="446" t="e">
        <f>IF(OR($B1213="",MIN(AA$38,$D$19)&lt;MAX($P$708*($B1213+IF($R$17="Distrato",$I$38-1,0)),IF(AND($L$711=0,$P$708=0),"",$L$711-1),IF($R$17="Distrato",$E1213,0))),0,YEARFRAC(MAX($P$708*($B1213+IF($R$17="Distrato",$I$38-1,0)),IF(AND($L$711=0,$P$708=0),"",$L$711-1),IF($R$17="Distrato",$E1213,0)),MIN(AA$38,$D$19),$P$20))-SUM($P1213:Z1213)</f>
        <v>#VALUE!</v>
      </c>
      <c r="AB1213" s="446" t="e">
        <f>IF(OR($B1213="",MIN(AB$38,$D$19)&lt;MAX($P$708*($B1213+IF($R$17="Distrato",$I$38-1,0)),IF(AND($L$711=0,$P$708=0),"",$L$711-1),IF($R$17="Distrato",$E1213,0))),0,YEARFRAC(MAX($P$708*($B1213+IF($R$17="Distrato",$I$38-1,0)),IF(AND($L$711=0,$P$708=0),"",$L$711-1),IF($R$17="Distrato",$E1213,0)),MIN(AB$38,$D$19),$P$20))-SUM($P1213:AA1213)</f>
        <v>#VALUE!</v>
      </c>
      <c r="AC1213" s="446" t="e">
        <f>IF(OR($B1213="",MIN(AC$38,$D$19)&lt;MAX($P$708*($B1213+IF($R$17="Distrato",$I$38-1,0)),IF(AND($L$711=0,$P$708=0),"",$L$711-1),IF($R$17="Distrato",$E1213,0))),0,YEARFRAC(MAX($P$708*($B1213+IF($R$17="Distrato",$I$38-1,0)),IF(AND($L$711=0,$P$708=0),"",$L$711-1),IF($R$17="Distrato",$E1213,0)),MIN(AC$38,$D$19),$P$20))-SUM($P1213:AB1213)</f>
        <v>#VALUE!</v>
      </c>
      <c r="AD1213" s="446" t="e">
        <f>IF(OR($B1213="",MIN(AD$38,$D$19)&lt;MAX($P$708*($B1213+IF($R$17="Distrato",$I$38-1,0)),IF(AND($L$711=0,$P$708=0),"",$L$711-1),IF($R$17="Distrato",$E1213,0))),0,YEARFRAC(MAX($P$708*($B1213+IF($R$17="Distrato",$I$38-1,0)),IF(AND($L$711=0,$P$708=0),"",$L$711-1),IF($R$17="Distrato",$E1213,0)),MIN(AD$38,$D$19),$P$20))-SUM($P1213:AC1213)</f>
        <v>#VALUE!</v>
      </c>
      <c r="AE1213" s="446" t="e">
        <f>IF(OR($B1213="",MIN(AE$38,$D$19)&lt;MAX($P$708*($B1213+IF($R$17="Distrato",$I$38-1,0)),IF(AND($L$711=0,$P$708=0),"",$L$711-1),IF($R$17="Distrato",$E1213,0))),0,YEARFRAC(MAX($P$708*($B1213+IF($R$17="Distrato",$I$38-1,0)),IF(AND($L$711=0,$P$708=0),"",$L$711-1),IF($R$17="Distrato",$E1213,0)),MIN(AE$38,$D$19),$P$20))-SUM($P1213:AD1213)</f>
        <v>#VALUE!</v>
      </c>
      <c r="AF1213" s="446" t="e">
        <f>IF(OR($B1213="",MIN(AF$38,$D$19)&lt;MAX($P$708*($B1213+IF($R$17="Distrato",$I$38-1,0)),IF(AND($L$711=0,$P$708=0),"",$L$711-1),IF($R$17="Distrato",$E1213,0))),0,YEARFRAC(MAX($P$708*($B1213+IF($R$17="Distrato",$I$38-1,0)),IF(AND($L$711=0,$P$708=0),"",$L$711-1),IF($R$17="Distrato",$E1213,0)),MIN(AF$38,$D$19),$P$20))-SUM($P1213:AE1213)</f>
        <v>#VALUE!</v>
      </c>
      <c r="AG1213" s="446" t="e">
        <f>IF(OR($B1213="",MIN(AG$38,$D$19)&lt;MAX($P$708*($B1213+IF($R$17="Distrato",$I$38-1,0)),IF(AND($L$711=0,$P$708=0),"",$L$711-1),IF($R$17="Distrato",$E1213,0))),0,YEARFRAC(MAX($P$708*($B1213+IF($R$17="Distrato",$I$38-1,0)),IF(AND($L$711=0,$P$708=0),"",$L$711-1),IF($R$17="Distrato",$E1213,0)),MIN(AG$38,$D$19),$P$20))-SUM($P1213:AF1213)</f>
        <v>#VALUE!</v>
      </c>
      <c r="AH1213" s="446" t="e">
        <f>IF(OR($B1213="",MIN(AH$38,$D$19)&lt;MAX($P$708*($B1213+IF($R$17="Distrato",$I$38-1,0)),IF(AND($L$711=0,$P$708=0),"",$L$711-1),IF($R$17="Distrato",$E1213,0))),0,YEARFRAC(MAX($P$708*($B1213+IF($R$17="Distrato",$I$38-1,0)),IF(AND($L$711=0,$P$708=0),"",$L$711-1),IF($R$17="Distrato",$E1213,0)),MIN(AH$38,$D$19),$P$20))-SUM($P1213:AG1213)</f>
        <v>#VALUE!</v>
      </c>
      <c r="AI1213" s="446" t="e">
        <f>IF(OR($B1213="",MIN(AI$38,$D$19)&lt;MAX($P$708*($B1213+IF($R$17="Distrato",$I$38-1,0)),IF(AND($L$711=0,$P$708=0),"",$L$711-1),IF($R$17="Distrato",$E1213,0))),0,YEARFRAC(MAX($P$708*($B1213+IF($R$17="Distrato",$I$38-1,0)),IF(AND($L$711=0,$P$708=0),"",$L$711-1),IF($R$17="Distrato",$E1213,0)),MIN(AI$38,$D$19),$P$20))-SUM($P1213:AH1213)</f>
        <v>#VALUE!</v>
      </c>
      <c r="AJ1213" s="446" t="e">
        <f>IF(OR($B1213="",MIN(AJ$38,$D$19)&lt;MAX($P$708*($B1213+IF($R$17="Distrato",$I$38-1,0)),IF(AND($L$711=0,$P$708=0),"",$L$711-1),IF($R$17="Distrato",$E1213,0))),0,YEARFRAC(MAX($P$708*($B1213+IF($R$17="Distrato",$I$38-1,0)),IF(AND($L$711=0,$P$708=0),"",$L$711-1),IF($R$17="Distrato",$E1213,0)),MIN(AJ$38,$D$19),$P$20))-SUM($P1213:AI1213)</f>
        <v>#VALUE!</v>
      </c>
      <c r="AK1213" s="446" t="e">
        <f>IF(OR($B1213="",MIN(AK$38,$D$19)&lt;MAX($P$708*($B1213+IF($R$17="Distrato",$I$38-1,0)),IF(AND($L$711=0,$P$708=0),"",$L$711-1),IF($R$17="Distrato",$E1213,0))),0,YEARFRAC(MAX($P$708*($B1213+IF($R$17="Distrato",$I$38-1,0)),IF(AND($L$711=0,$P$708=0),"",$L$711-1),IF($R$17="Distrato",$E1213,0)),MIN(AK$38,$D$19),$P$20))-SUM($P1213:AJ1213)</f>
        <v>#VALUE!</v>
      </c>
      <c r="AL1213" s="446" t="e">
        <f>IF(OR($B1213="",MIN(AL$38,$D$19)&lt;MAX($P$708*($B1213+IF($R$17="Distrato",$I$38-1,0)),IF(AND($L$711=0,$P$708=0),"",$L$711-1),IF($R$17="Distrato",$E1213,0))),0,YEARFRAC(MAX($P$708*($B1213+IF($R$17="Distrato",$I$38-1,0)),IF(AND($L$711=0,$P$708=0),"",$L$711-1),IF($R$17="Distrato",$E1213,0)),MIN(AL$38,$D$19),$P$20))-SUM($P1213:AK1213)</f>
        <v>#VALUE!</v>
      </c>
      <c r="AM1213" s="446" t="e">
        <f>IF(OR($B1213="",MIN(AM$38,$D$19)&lt;MAX($P$708*($B1213+IF($R$17="Distrato",$I$38-1,0)),IF(AND($L$711=0,$P$708=0),"",$L$711-1),IF($R$17="Distrato",$E1213,0))),0,YEARFRAC(MAX($P$708*($B1213+IF($R$17="Distrato",$I$38-1,0)),IF(AND($L$711=0,$P$708=0),"",$L$711-1),IF($R$17="Distrato",$E1213,0)),MIN(AM$38,$D$19),$P$20))-SUM($P1213:AL1213)</f>
        <v>#VALUE!</v>
      </c>
      <c r="AN1213" s="446" t="e">
        <f>IF(OR($B1213="",MIN(AN$38,$D$19)&lt;MAX($P$708*($B1213+IF($R$17="Distrato",$I$38-1,0)),IF(AND($L$711=0,$P$708=0),"",$L$711-1),IF($R$17="Distrato",$E1213,0))),0,YEARFRAC(MAX($P$708*($B1213+IF($R$17="Distrato",$I$38-1,0)),IF(AND($L$711=0,$P$708=0),"",$L$711-1),IF($R$17="Distrato",$E1213,0)),MIN(AN$38,$D$19),$P$20))-SUM($P1213:AM1213)</f>
        <v>#VALUE!</v>
      </c>
      <c r="AO1213" s="446" t="e">
        <f>IF(OR($B1213="",MIN(AO$38,$D$19)&lt;MAX($P$708*($B1213+IF($R$17="Distrato",$I$38-1,0)),IF(AND($L$711=0,$P$708=0),"",$L$711-1),IF($R$17="Distrato",$E1213,0))),0,YEARFRAC(MAX($P$708*($B1213+IF($R$17="Distrato",$I$38-1,0)),IF(AND($L$711=0,$P$708=0),"",$L$711-1),IF($R$17="Distrato",$E1213,0)),MIN(AO$38,$D$19),$P$20))-SUM($P1213:AN1213)</f>
        <v>#VALUE!</v>
      </c>
      <c r="AP1213" s="446" t="e">
        <f>IF(OR($B1213="",MIN(AP$38,$D$19)&lt;MAX($P$708*($B1213+IF($R$17="Distrato",$I$38-1,0)),IF(AND($L$711=0,$P$708=0),"",$L$711-1),IF($R$17="Distrato",$E1213,0))),0,YEARFRAC(MAX($P$708*($B1213+IF($R$17="Distrato",$I$38-1,0)),IF(AND($L$711=0,$P$708=0),"",$L$711-1),IF($R$17="Distrato",$E1213,0)),MIN(AP$38,$D$19),$P$20))-SUM($P1213:AO1213)</f>
        <v>#VALUE!</v>
      </c>
      <c r="AQ1213" s="446" t="e">
        <f>IF(OR($B1213="",MIN(AQ$38,$D$19)&lt;MAX($P$708*($B1213+IF($R$17="Distrato",$I$38-1,0)),IF(AND($L$711=0,$P$708=0),"",$L$711-1),IF($R$17="Distrato",$E1213,0))),0,YEARFRAC(MAX($P$708*($B1213+IF($R$17="Distrato",$I$38-1,0)),IF(AND($L$711=0,$P$708=0),"",$L$711-1),IF($R$17="Distrato",$E1213,0)),MIN(AQ$38,$D$19),$P$20))-SUM($P1213:AP1213)</f>
        <v>#VALUE!</v>
      </c>
      <c r="AR1213" s="446" t="e">
        <f>IF(OR($B1213="",MIN(AR$38,$D$19)&lt;MAX($P$708*($B1213+IF($R$17="Distrato",$I$38-1,0)),IF(AND($L$711=0,$P$708=0),"",$L$711-1),IF($R$17="Distrato",$E1213,0))),0,YEARFRAC(MAX($P$708*($B1213+IF($R$17="Distrato",$I$38-1,0)),IF(AND($L$711=0,$P$708=0),"",$L$711-1),IF($R$17="Distrato",$E1213,0)),MIN(AR$38,$D$19),$P$20))-SUM($P1213:AQ1213)</f>
        <v>#VALUE!</v>
      </c>
      <c r="AS1213" s="446" t="e">
        <f>IF(OR($B1213="",MIN(AS$38,$D$19)&lt;MAX($P$708*($B1213+IF($R$17="Distrato",$I$38-1,0)),IF(AND($L$711=0,$P$708=0),"",$L$711-1),IF($R$17="Distrato",$E1213,0))),0,YEARFRAC(MAX($P$708*($B1213+IF($R$17="Distrato",$I$38-1,0)),IF(AND($L$711=0,$P$708=0),"",$L$711-1),IF($R$17="Distrato",$E1213,0)),MIN(AS$38,$D$19),$P$20))-SUM($P1213:AR1213)</f>
        <v>#VALUE!</v>
      </c>
      <c r="AT1213" s="446" t="e">
        <f>IF(OR($B1213="",MIN(AT$38,$D$19)&lt;MAX($P$708*($B1213+IF($R$17="Distrato",$I$38-1,0)),IF(AND($L$711=0,$P$708=0),"",$L$711-1),IF($R$17="Distrato",$E1213,0))),0,YEARFRAC(MAX($P$708*($B1213+IF($R$17="Distrato",$I$38-1,0)),IF(AND($L$711=0,$P$708=0),"",$L$711-1),IF($R$17="Distrato",$E1213,0)),MIN(AT$38,$D$19),$P$20))-SUM($P1213:AS1213)</f>
        <v>#VALUE!</v>
      </c>
      <c r="AU1213" s="446" t="e">
        <f>IF(OR($B1213="",MIN(AU$38,$D$19)&lt;MAX($P$708*($B1213+IF($R$17="Distrato",$I$38-1,0)),IF(AND($L$711=0,$P$708=0),"",$L$711-1),IF($R$17="Distrato",$E1213,0))),0,YEARFRAC(MAX($P$708*($B1213+IF($R$17="Distrato",$I$38-1,0)),IF(AND($L$711=0,$P$708=0),"",$L$711-1),IF($R$17="Distrato",$E1213,0)),MIN(AU$38,$D$19),$P$20))-SUM($P1213:AT1213)</f>
        <v>#VALUE!</v>
      </c>
      <c r="AV1213" s="446" t="e">
        <f>IF(OR($B1213="",MIN(AV$38,$D$19)&lt;MAX($P$708*($B1213+IF($R$17="Distrato",$I$38-1,0)),IF(AND($L$711=0,$P$708=0),"",$L$711-1),IF($R$17="Distrato",$E1213,0))),0,YEARFRAC(MAX($P$708*($B1213+IF($R$17="Distrato",$I$38-1,0)),IF(AND($L$711=0,$P$708=0),"",$L$711-1),IF($R$17="Distrato",$E1213,0)),MIN(AV$38,$D$19),$P$20))-SUM($P1213:AU1213)</f>
        <v>#VALUE!</v>
      </c>
      <c r="AW1213" s="446" t="e">
        <f>IF(OR($B1213="",MIN(AW$38,$D$19)&lt;MAX($P$708*($B1213+IF($R$17="Distrato",$I$38-1,0)),IF(AND($L$711=0,$P$708=0),"",$L$711-1),IF($R$17="Distrato",$E1213,0))),0,YEARFRAC(MAX($P$708*($B1213+IF($R$17="Distrato",$I$38-1,0)),IF(AND($L$711=0,$P$708=0),"",$L$711-1),IF($R$17="Distrato",$E1213,0)),MIN(AW$38,$D$19),$P$20))-SUM($P1213:AV1213)</f>
        <v>#VALUE!</v>
      </c>
      <c r="AX1213" s="446" t="e">
        <f>IF(OR($B1213="",MIN(AX$38,$D$19)&lt;MAX($P$708*($B1213+IF($R$17="Distrato",$I$38-1,0)),IF(AND($L$711=0,$P$708=0),"",$L$711-1),IF($R$17="Distrato",$E1213,0))),0,YEARFRAC(MAX($P$708*($B1213+IF($R$17="Distrato",$I$38-1,0)),IF(AND($L$711=0,$P$708=0),"",$L$711-1),IF($R$17="Distrato",$E1213,0)),MIN(AX$38,$D$19),$P$20))-SUM($P1213:AW1213)</f>
        <v>#VALUE!</v>
      </c>
      <c r="AY1213" s="446" t="e">
        <f>IF(OR($B1213="",MIN(AY$38,$D$19)&lt;MAX($P$708*($B1213+IF($R$17="Distrato",$I$38-1,0)),IF(AND($L$711=0,$P$708=0),"",$L$711-1),IF($R$17="Distrato",$E1213,0))),0,YEARFRAC(MAX($P$708*($B1213+IF($R$17="Distrato",$I$38-1,0)),IF(AND($L$711=0,$P$708=0),"",$L$711-1),IF($R$17="Distrato",$E1213,0)),MIN(AY$38,$D$19),$P$20))-SUM($P1213:AX1213)</f>
        <v>#VALUE!</v>
      </c>
      <c r="AZ1213" s="446" t="e">
        <f>IF(OR($B1213="",MIN(AZ$38,$D$19)&lt;MAX($P$708*($B1213+IF($R$17="Distrato",$I$38-1,0)),IF(AND($L$711=0,$P$708=0),"",$L$711-1),IF($R$17="Distrato",$E1213,0))),0,YEARFRAC(MAX($P$708*($B1213+IF($R$17="Distrato",$I$38-1,0)),IF(AND($L$711=0,$P$708=0),"",$L$711-1),IF($R$17="Distrato",$E1213,0)),MIN(AZ$38,$D$19),$P$20))-SUM($P1213:AY1213)</f>
        <v>#VALUE!</v>
      </c>
      <c r="BA1213" s="446" t="e">
        <f>IF(OR($B1213="",MIN(BA$38,$D$19)&lt;MAX($P$708*($B1213+IF($R$17="Distrato",$I$38-1,0)),IF(AND($L$711=0,$P$708=0),"",$L$711-1),IF($R$17="Distrato",$E1213,0))),0,YEARFRAC(MAX($P$708*($B1213+IF($R$17="Distrato",$I$38-1,0)),IF(AND($L$711=0,$P$708=0),"",$L$711-1),IF($R$17="Distrato",$E1213,0)),MIN(BA$38,$D$19),$P$20))-SUM($P1213:AZ1213)</f>
        <v>#VALUE!</v>
      </c>
      <c r="BB1213" s="447"/>
    </row>
    <row r="1214" spans="1:54" s="446" customFormat="1" ht="11.25" customHeight="1" x14ac:dyDescent="0.2">
      <c r="A1214" s="4"/>
      <c r="B1214" s="157"/>
      <c r="C1214" s="183" t="s">
        <v>101</v>
      </c>
      <c r="D1214" s="158">
        <f>SUM(D714:D714)</f>
        <v>0</v>
      </c>
      <c r="E1214" s="164"/>
      <c r="F1214" s="164"/>
      <c r="G1214" s="164"/>
      <c r="H1214" s="237"/>
      <c r="I1214" s="158">
        <f>SUM(I714:I714)</f>
        <v>0</v>
      </c>
      <c r="J1214" s="158">
        <f ca="1">SUM(J714:J714)</f>
        <v>0</v>
      </c>
      <c r="K1214" s="161">
        <f ca="1">SUM(K714:K1213)</f>
        <v>0</v>
      </c>
      <c r="L1214" s="161">
        <f ca="1">SUM(L714:L714)</f>
        <v>0</v>
      </c>
      <c r="M1214" s="192"/>
      <c r="N1214" s="62"/>
      <c r="O1214" s="161">
        <f ca="1">SUM(O714:O1213)</f>
        <v>0</v>
      </c>
      <c r="BB1214" s="447"/>
    </row>
    <row r="1215" spans="1:54" s="446" customFormat="1" ht="15" customHeight="1" x14ac:dyDescent="0.2">
      <c r="A1215" s="87"/>
      <c r="B1215" s="88"/>
      <c r="C1215" s="88"/>
      <c r="D1215" s="226"/>
      <c r="E1215" s="226"/>
      <c r="F1215" s="226"/>
      <c r="G1215" s="226"/>
      <c r="H1215" s="227"/>
      <c r="I1215" s="226"/>
      <c r="J1215" s="202"/>
      <c r="K1215" s="202"/>
      <c r="L1215" s="228"/>
      <c r="M1215" s="228"/>
      <c r="N1215" s="87"/>
      <c r="O1215" s="87"/>
      <c r="BB1215" s="447"/>
    </row>
    <row r="1216" spans="1:54" s="446" customFormat="1" ht="12.95" customHeight="1" x14ac:dyDescent="0.2">
      <c r="A1216" s="597" t="str">
        <f>IF(B23=W21,"DESPESAS / CUSTAS PROCESSUAIS ANTES DO FIM DO PRAZO PARA LIQUIDAÇÃO:-","DESPESAS:-")</f>
        <v>DESPESAS / CUSTAS PROCESSUAIS ANTES DO FIM DO PRAZO PARA LIQUIDAÇÃO:-</v>
      </c>
      <c r="B1216" s="597"/>
      <c r="C1216" s="597"/>
      <c r="D1216" s="597"/>
      <c r="E1216" s="597"/>
      <c r="F1216" s="597"/>
      <c r="G1216" s="597"/>
      <c r="H1216" s="597"/>
      <c r="I1216" s="597"/>
      <c r="J1216" s="597"/>
      <c r="K1216" s="597"/>
      <c r="L1216" s="597"/>
      <c r="M1216" s="597"/>
      <c r="N1216" s="597"/>
      <c r="O1216" s="597"/>
      <c r="Z1216" s="457" t="s">
        <v>23</v>
      </c>
      <c r="BB1216" s="447"/>
    </row>
    <row r="1217" spans="1:54" s="446" customFormat="1" ht="12.95" customHeight="1" x14ac:dyDescent="0.2">
      <c r="A1217" s="124"/>
      <c r="B1217" s="128" t="s">
        <v>67</v>
      </c>
      <c r="C1217" s="528" t="str">
        <f>C709</f>
        <v>próprio mês</v>
      </c>
      <c r="D1217" s="188"/>
      <c r="E1217" s="238"/>
      <c r="F1217" s="238"/>
      <c r="G1217" s="238"/>
      <c r="H1217" s="239"/>
      <c r="I1217" s="188" t="s">
        <v>125</v>
      </c>
      <c r="J1217" s="169">
        <f ca="1">VLOOKUP(DATE(YEAR($D$19),MONTH($D$19)-IF($L1217=$P$15,1,0)+IF($C1217=$S$23,1,0),1),ÍNDICES!$A:$DE,$Z1217+1)+IF($L1217=$P$15,1%,0)</f>
        <v>92.252543000000003</v>
      </c>
      <c r="K1217" s="170" t="s">
        <v>69</v>
      </c>
      <c r="L1217" s="598" t="str">
        <f>IF($B$23=$W$22,L709,$U$15)</f>
        <v>TABELA PRÁTICA - INPC</v>
      </c>
      <c r="M1217" s="599"/>
      <c r="N1217" s="599"/>
      <c r="O1217" s="600"/>
      <c r="Z1217" s="452">
        <f ca="1">SUMIF(ÍNDICES!$A$3:$W$4,L1217,ÍNDICES!$A$4:$W$4)+10</f>
        <v>13</v>
      </c>
      <c r="BB1217" s="447"/>
    </row>
    <row r="1218" spans="1:54" s="446" customFormat="1" ht="12.95" customHeight="1" x14ac:dyDescent="0.2">
      <c r="A1218" s="62" t="s">
        <v>70</v>
      </c>
      <c r="B1218" s="3" t="s">
        <v>92</v>
      </c>
      <c r="C1218" s="4" t="s">
        <v>126</v>
      </c>
      <c r="D1218" s="62" t="s">
        <v>72</v>
      </c>
      <c r="E1218" s="19"/>
      <c r="F1218" s="19"/>
      <c r="G1218" s="19"/>
      <c r="H1218" s="117"/>
      <c r="I1218" s="62" t="s">
        <v>102</v>
      </c>
      <c r="J1218" s="526" t="s">
        <v>127</v>
      </c>
      <c r="K1218" s="62" t="s">
        <v>132</v>
      </c>
      <c r="L1218" s="62"/>
      <c r="M1218" s="67"/>
      <c r="N1218" s="105"/>
      <c r="O1218" s="105"/>
      <c r="BB1218" s="447"/>
    </row>
    <row r="1219" spans="1:54" s="446" customFormat="1" ht="12.95" customHeight="1" x14ac:dyDescent="0.2">
      <c r="A1219" s="5" t="s">
        <v>80</v>
      </c>
      <c r="B1219" s="6" t="s">
        <v>96</v>
      </c>
      <c r="C1219" s="7" t="s">
        <v>129</v>
      </c>
      <c r="D1219" s="62" t="s">
        <v>97</v>
      </c>
      <c r="E1219" s="19"/>
      <c r="F1219" s="19"/>
      <c r="G1219" s="19"/>
      <c r="H1219" s="117"/>
      <c r="I1219" s="62" t="s">
        <v>130</v>
      </c>
      <c r="J1219" s="148" t="s">
        <v>131</v>
      </c>
      <c r="K1219" s="5" t="s">
        <v>131</v>
      </c>
      <c r="L1219" s="8"/>
      <c r="M1219" s="68"/>
      <c r="N1219" s="105"/>
      <c r="O1219" s="105"/>
      <c r="BB1219" s="447"/>
    </row>
    <row r="1220" spans="1:54" s="446" customFormat="1" ht="12.95" customHeight="1" x14ac:dyDescent="0.2">
      <c r="A1220" s="172"/>
      <c r="B1220" s="172"/>
      <c r="C1220" s="7"/>
      <c r="D1220" s="5"/>
      <c r="E1220" s="19"/>
      <c r="F1220" s="19"/>
      <c r="G1220" s="19"/>
      <c r="H1220" s="117"/>
      <c r="I1220" s="62"/>
      <c r="J1220" s="9"/>
      <c r="K1220" s="30">
        <v>1</v>
      </c>
      <c r="L1220" s="7"/>
      <c r="M1220" s="68"/>
      <c r="N1220" s="87"/>
      <c r="O1220" s="87"/>
      <c r="BB1220" s="447"/>
    </row>
    <row r="1221" spans="1:54" s="446" customFormat="1" ht="6" customHeight="1" x14ac:dyDescent="0.2">
      <c r="A1221" s="172"/>
      <c r="B1221" s="172"/>
      <c r="C1221" s="7"/>
      <c r="D1221" s="5"/>
      <c r="E1221" s="88"/>
      <c r="F1221" s="88"/>
      <c r="G1221" s="88"/>
      <c r="H1221" s="118"/>
      <c r="I1221" s="5"/>
      <c r="J1221" s="148"/>
      <c r="K1221" s="5"/>
      <c r="L1221" s="7"/>
      <c r="M1221" s="68"/>
      <c r="N1221" s="87"/>
      <c r="O1221" s="87"/>
      <c r="BB1221" s="447"/>
    </row>
    <row r="1222" spans="1:54" s="446" customFormat="1" ht="11.25" customHeight="1" x14ac:dyDescent="0.2">
      <c r="A1222" s="177"/>
      <c r="B1222" s="236"/>
      <c r="C1222" s="29" t="str">
        <f>IF(B1222="","",IF($L$1217=$BL$25,VLOOKUP(DATE(YEAR($D$19),MONTH($D$19)-1,1),ÍNDICES!$A:$DE,HLOOKUP($BL$25,ÍNDICES!$B$3:$T$4,2)+11)-VLOOKUP(B1222,ÍNDICES!$A:$DE,HLOOKUP($BL$25,ÍNDICES!$B$3:$T$4,2)+11)+1%,IF(C$1220=$W$26,$J$35,IF(ISERROR(IF(B1222&gt;$D$19,1,VLOOKUP(DATE(YEAR(B1222),MONTH(B1222)+IF($C$1217=$S$23,1,0),1),ÍNDICES!$A:$DE,$Z$1217+1))),"",IF(B1222&gt;$D$19,1,VLOOKUP(DATE(YEAR(B1222),MONTH(B1222)+IF($C$1217=$S$23,1,0),1),ÍNDICES!$A:$DE,$Z$1217+1))))))</f>
        <v/>
      </c>
      <c r="D1222" s="155"/>
      <c r="E1222" s="88"/>
      <c r="F1222" s="88"/>
      <c r="G1222" s="88"/>
      <c r="H1222" s="118"/>
      <c r="I1222" s="182">
        <f>IF(ISERROR(D1222-G1222),"",D1222-G1222)</f>
        <v>0</v>
      </c>
      <c r="J1222" s="240">
        <f t="shared" ref="J1222:J1266" ca="1" si="171">IF(ISERROR(IF(I1222="","",I1222*IF(B1222&gt;$D$19,1,$J$1217)/C1222)),0,IF(I1222="","",I1222*IF(B1222&gt;$D$19,1,$J$1217)/C1222))</f>
        <v>0</v>
      </c>
      <c r="K1222" s="5">
        <f ca="1">IF(J1222="","",J1222*K$1220)</f>
        <v>0</v>
      </c>
      <c r="L1222" s="183"/>
      <c r="M1222" s="69"/>
      <c r="N1222" s="87"/>
      <c r="O1222" s="87"/>
      <c r="BB1222" s="447"/>
    </row>
    <row r="1223" spans="1:54" s="446" customFormat="1" ht="11.25" customHeight="1" x14ac:dyDescent="0.2">
      <c r="A1223" s="177"/>
      <c r="B1223" s="236"/>
      <c r="C1223" s="29" t="str">
        <f>IF(B1223="","",IF($L$1217=$BL$25,VLOOKUP(DATE(YEAR($D$19),MONTH($D$19)-1,1),ÍNDICES!$A:$DE,HLOOKUP($BL$25,ÍNDICES!$B$3:$T$4,2)+11)-VLOOKUP(B1223,ÍNDICES!$A:$DE,HLOOKUP($BL$25,ÍNDICES!$B$3:$T$4,2)+11)+1%,IF(C$1220=$W$26,$J$35,IF(ISERROR(IF(B1223&gt;$D$19,1,VLOOKUP(DATE(YEAR(B1223),MONTH(B1223)+IF($C$1217=$S$23,1,0),1),ÍNDICES!$A:$DE,$Z$1217+1))),"",IF(B1223&gt;$D$19,1,VLOOKUP(DATE(YEAR(B1223),MONTH(B1223)+IF($C$1217=$S$23,1,0),1),ÍNDICES!$A:$DE,$Z$1217+1))))))</f>
        <v/>
      </c>
      <c r="D1223" s="155"/>
      <c r="E1223" s="88"/>
      <c r="F1223" s="88"/>
      <c r="G1223" s="88"/>
      <c r="H1223" s="118"/>
      <c r="I1223" s="182">
        <f t="shared" ref="I1223:I1266" si="172">IF(ISERROR(D1223-G1223),"",D1223-G1223)</f>
        <v>0</v>
      </c>
      <c r="J1223" s="240">
        <f t="shared" ca="1" si="171"/>
        <v>0</v>
      </c>
      <c r="K1223" s="5">
        <f t="shared" ref="K1223:K1266" ca="1" si="173">IF(J1223="","",J1223*K$1220)</f>
        <v>0</v>
      </c>
      <c r="L1223" s="183"/>
      <c r="M1223" s="69"/>
      <c r="N1223" s="87"/>
      <c r="O1223" s="87"/>
      <c r="BB1223" s="447"/>
    </row>
    <row r="1224" spans="1:54" s="446" customFormat="1" ht="11.25" customHeight="1" x14ac:dyDescent="0.2">
      <c r="A1224" s="177"/>
      <c r="B1224" s="236"/>
      <c r="C1224" s="29" t="str">
        <f>IF(B1224="","",IF($L$1217=$BL$25,VLOOKUP(DATE(YEAR($D$19),MONTH($D$19)-1,1),ÍNDICES!$A:$DE,HLOOKUP($BL$25,ÍNDICES!$B$3:$T$4,2)+11)-VLOOKUP(B1224,ÍNDICES!$A:$DE,HLOOKUP($BL$25,ÍNDICES!$B$3:$T$4,2)+11)+1%,IF(C$1220=$W$26,$J$35,IF(ISERROR(IF(B1224&gt;$D$19,1,VLOOKUP(DATE(YEAR(B1224),MONTH(B1224)+IF($C$1217=$S$23,1,0),1),ÍNDICES!$A:$DE,$Z$1217+1))),"",IF(B1224&gt;$D$19,1,VLOOKUP(DATE(YEAR(B1224),MONTH(B1224)+IF($C$1217=$S$23,1,0),1),ÍNDICES!$A:$DE,$Z$1217+1))))))</f>
        <v/>
      </c>
      <c r="D1224" s="155"/>
      <c r="E1224" s="88"/>
      <c r="F1224" s="88"/>
      <c r="G1224" s="88"/>
      <c r="H1224" s="118"/>
      <c r="I1224" s="182">
        <f t="shared" si="172"/>
        <v>0</v>
      </c>
      <c r="J1224" s="240">
        <f t="shared" ca="1" si="171"/>
        <v>0</v>
      </c>
      <c r="K1224" s="5">
        <f t="shared" ca="1" si="173"/>
        <v>0</v>
      </c>
      <c r="L1224" s="183"/>
      <c r="M1224" s="69"/>
      <c r="N1224" s="87"/>
      <c r="O1224" s="87"/>
      <c r="BB1224" s="447"/>
    </row>
    <row r="1225" spans="1:54" s="446" customFormat="1" ht="11.25" customHeight="1" x14ac:dyDescent="0.2">
      <c r="A1225" s="177"/>
      <c r="B1225" s="236"/>
      <c r="C1225" s="29" t="str">
        <f>IF(B1225="","",IF($L$1217=$BL$25,VLOOKUP(DATE(YEAR($D$19),MONTH($D$19)-1,1),ÍNDICES!$A:$DE,HLOOKUP($BL$25,ÍNDICES!$B$3:$T$4,2)+11)-VLOOKUP(B1225,ÍNDICES!$A:$DE,HLOOKUP($BL$25,ÍNDICES!$B$3:$T$4,2)+11)+1%,IF(C$1220=$W$26,$J$35,IF(ISERROR(IF(B1225&gt;$D$19,1,VLOOKUP(DATE(YEAR(B1225),MONTH(B1225)+IF($C$1217=$S$23,1,0),1),ÍNDICES!$A:$DE,$Z$1217+1))),"",IF(B1225&gt;$D$19,1,VLOOKUP(DATE(YEAR(B1225),MONTH(B1225)+IF($C$1217=$S$23,1,0),1),ÍNDICES!$A:$DE,$Z$1217+1))))))</f>
        <v/>
      </c>
      <c r="D1225" s="155"/>
      <c r="E1225" s="88"/>
      <c r="F1225" s="88"/>
      <c r="G1225" s="88"/>
      <c r="H1225" s="118"/>
      <c r="I1225" s="182">
        <f t="shared" si="172"/>
        <v>0</v>
      </c>
      <c r="J1225" s="240">
        <f t="shared" ca="1" si="171"/>
        <v>0</v>
      </c>
      <c r="K1225" s="5">
        <f t="shared" ca="1" si="173"/>
        <v>0</v>
      </c>
      <c r="L1225" s="183"/>
      <c r="M1225" s="69"/>
      <c r="N1225" s="87"/>
      <c r="O1225" s="87"/>
      <c r="BB1225" s="447"/>
    </row>
    <row r="1226" spans="1:54" s="446" customFormat="1" ht="11.25" customHeight="1" x14ac:dyDescent="0.2">
      <c r="A1226" s="177"/>
      <c r="B1226" s="236"/>
      <c r="C1226" s="29" t="str">
        <f>IF(B1226="","",IF($L$1217=$BL$25,VLOOKUP(DATE(YEAR($D$19),MONTH($D$19)-1,1),ÍNDICES!$A:$DE,HLOOKUP($BL$25,ÍNDICES!$B$3:$T$4,2)+11)-VLOOKUP(B1226,ÍNDICES!$A:$DE,HLOOKUP($BL$25,ÍNDICES!$B$3:$T$4,2)+11)+1%,IF(C$1220=$W$26,$J$35,IF(ISERROR(IF(B1226&gt;$D$19,1,VLOOKUP(DATE(YEAR(B1226),MONTH(B1226)+IF($C$1217=$S$23,1,0),1),ÍNDICES!$A:$DE,$Z$1217+1))),"",IF(B1226&gt;$D$19,1,VLOOKUP(DATE(YEAR(B1226),MONTH(B1226)+IF($C$1217=$S$23,1,0),1),ÍNDICES!$A:$DE,$Z$1217+1))))))</f>
        <v/>
      </c>
      <c r="D1226" s="155"/>
      <c r="E1226" s="88"/>
      <c r="F1226" s="88"/>
      <c r="G1226" s="88"/>
      <c r="H1226" s="118"/>
      <c r="I1226" s="182">
        <f t="shared" si="172"/>
        <v>0</v>
      </c>
      <c r="J1226" s="240">
        <f t="shared" ca="1" si="171"/>
        <v>0</v>
      </c>
      <c r="K1226" s="5">
        <f t="shared" ca="1" si="173"/>
        <v>0</v>
      </c>
      <c r="L1226" s="183"/>
      <c r="M1226" s="69"/>
      <c r="N1226" s="87"/>
      <c r="O1226" s="87"/>
      <c r="BB1226" s="447"/>
    </row>
    <row r="1227" spans="1:54" s="446" customFormat="1" ht="11.25" customHeight="1" x14ac:dyDescent="0.2">
      <c r="A1227" s="177"/>
      <c r="B1227" s="236"/>
      <c r="C1227" s="29" t="str">
        <f>IF(B1227="","",IF($L$1217=$BL$25,VLOOKUP(DATE(YEAR($D$19),MONTH($D$19)-1,1),ÍNDICES!$A:$DE,HLOOKUP($BL$25,ÍNDICES!$B$3:$T$4,2)+11)-VLOOKUP(B1227,ÍNDICES!$A:$DE,HLOOKUP($BL$25,ÍNDICES!$B$3:$T$4,2)+11)+1%,IF(C$1220=$W$26,$J$35,IF(ISERROR(IF(B1227&gt;$D$19,1,VLOOKUP(DATE(YEAR(B1227),MONTH(B1227)+IF($C$1217=$S$23,1,0),1),ÍNDICES!$A:$DE,$Z$1217+1))),"",IF(B1227&gt;$D$19,1,VLOOKUP(DATE(YEAR(B1227),MONTH(B1227)+IF($C$1217=$S$23,1,0),1),ÍNDICES!$A:$DE,$Z$1217+1))))))</f>
        <v/>
      </c>
      <c r="D1227" s="155"/>
      <c r="E1227" s="88"/>
      <c r="F1227" s="88"/>
      <c r="G1227" s="88"/>
      <c r="H1227" s="118"/>
      <c r="I1227" s="182">
        <f t="shared" si="172"/>
        <v>0</v>
      </c>
      <c r="J1227" s="240">
        <f t="shared" ca="1" si="171"/>
        <v>0</v>
      </c>
      <c r="K1227" s="5">
        <f t="shared" ca="1" si="173"/>
        <v>0</v>
      </c>
      <c r="L1227" s="183"/>
      <c r="M1227" s="69"/>
      <c r="N1227" s="87"/>
      <c r="O1227" s="87"/>
      <c r="BB1227" s="447"/>
    </row>
    <row r="1228" spans="1:54" s="446" customFormat="1" ht="11.25" hidden="1" customHeight="1" x14ac:dyDescent="0.2">
      <c r="A1228" s="177"/>
      <c r="B1228" s="236"/>
      <c r="C1228" s="29" t="str">
        <f>IF(B1228="","",IF($L$1217=$BL$25,VLOOKUP(DATE(YEAR($D$19),MONTH($D$19)-1,1),ÍNDICES!$A:$DE,HLOOKUP($BL$25,ÍNDICES!$B$3:$T$4,2)+11)-VLOOKUP(B1228,ÍNDICES!$A:$DE,HLOOKUP($BL$25,ÍNDICES!$B$3:$T$4,2)+11)+1%,IF(C$1220=$W$26,$J$35,IF(ISERROR(IF(B1228&gt;$D$19,1,VLOOKUP(DATE(YEAR(B1228),MONTH(B1228)+IF($C$1217=$S$23,1,0),1),ÍNDICES!$A:$DE,$Z$1217+1))),"",IF(B1228&gt;$D$19,1,VLOOKUP(DATE(YEAR(B1228),MONTH(B1228)+IF($C$1217=$S$23,1,0),1),ÍNDICES!$A:$DE,$Z$1217+1))))))</f>
        <v/>
      </c>
      <c r="D1228" s="155"/>
      <c r="E1228" s="88"/>
      <c r="F1228" s="88"/>
      <c r="G1228" s="88"/>
      <c r="H1228" s="118"/>
      <c r="I1228" s="182">
        <f t="shared" si="172"/>
        <v>0</v>
      </c>
      <c r="J1228" s="240">
        <f t="shared" ca="1" si="171"/>
        <v>0</v>
      </c>
      <c r="K1228" s="5">
        <f t="shared" ca="1" si="173"/>
        <v>0</v>
      </c>
      <c r="L1228" s="183"/>
      <c r="M1228" s="69"/>
      <c r="N1228" s="87"/>
      <c r="O1228" s="87"/>
      <c r="BB1228" s="447"/>
    </row>
    <row r="1229" spans="1:54" s="446" customFormat="1" ht="11.25" hidden="1" customHeight="1" x14ac:dyDescent="0.2">
      <c r="A1229" s="177"/>
      <c r="B1229" s="236"/>
      <c r="C1229" s="29" t="str">
        <f>IF(B1229="","",IF($L$1217=$BL$25,VLOOKUP(DATE(YEAR($D$19),MONTH($D$19)-1,1),ÍNDICES!$A:$DE,HLOOKUP($BL$25,ÍNDICES!$B$3:$T$4,2)+11)-VLOOKUP(B1229,ÍNDICES!$A:$DE,HLOOKUP($BL$25,ÍNDICES!$B$3:$T$4,2)+11)+1%,IF(C$1220=$W$26,$J$35,IF(ISERROR(IF(B1229&gt;$D$19,1,VLOOKUP(B1229,ÍNDICES!$A:$DE,$Z$1217+1))),"",IF(B1229&gt;$D$19,1,VLOOKUP(B1229,ÍNDICES!$A:$DE,$Z$1217+1))))))</f>
        <v/>
      </c>
      <c r="D1229" s="155"/>
      <c r="E1229" s="88"/>
      <c r="F1229" s="88"/>
      <c r="G1229" s="88"/>
      <c r="H1229" s="118"/>
      <c r="I1229" s="182">
        <f t="shared" si="172"/>
        <v>0</v>
      </c>
      <c r="J1229" s="240">
        <f t="shared" ca="1" si="171"/>
        <v>0</v>
      </c>
      <c r="K1229" s="5">
        <f t="shared" ca="1" si="173"/>
        <v>0</v>
      </c>
      <c r="L1229" s="183"/>
      <c r="M1229" s="69"/>
      <c r="N1229" s="87"/>
      <c r="O1229" s="87"/>
      <c r="BB1229" s="447"/>
    </row>
    <row r="1230" spans="1:54" s="446" customFormat="1" ht="11.25" hidden="1" customHeight="1" x14ac:dyDescent="0.2">
      <c r="A1230" s="177"/>
      <c r="B1230" s="236"/>
      <c r="C1230" s="29" t="str">
        <f>IF(B1230="","",IF($L$1217=$BL$25,VLOOKUP(DATE(YEAR($D$19),MONTH($D$19)-1,1),ÍNDICES!$A:$DE,HLOOKUP($BL$25,ÍNDICES!$B$3:$T$4,2)+11)-VLOOKUP(B1230,ÍNDICES!$A:$DE,HLOOKUP($BL$25,ÍNDICES!$B$3:$T$4,2)+11)+1%,IF(C$1220=$W$26,$J$35,IF(ISERROR(IF(B1230&gt;$D$19,1,VLOOKUP(B1230,ÍNDICES!$A:$DE,$Z$1217+1))),"",IF(B1230&gt;$D$19,1,VLOOKUP(B1230,ÍNDICES!$A:$DE,$Z$1217+1))))))</f>
        <v/>
      </c>
      <c r="D1230" s="155"/>
      <c r="E1230" s="88"/>
      <c r="F1230" s="88"/>
      <c r="G1230" s="88"/>
      <c r="H1230" s="118"/>
      <c r="I1230" s="182">
        <f t="shared" si="172"/>
        <v>0</v>
      </c>
      <c r="J1230" s="240">
        <f t="shared" ca="1" si="171"/>
        <v>0</v>
      </c>
      <c r="K1230" s="5">
        <f t="shared" ca="1" si="173"/>
        <v>0</v>
      </c>
      <c r="L1230" s="183"/>
      <c r="M1230" s="69"/>
      <c r="N1230" s="87"/>
      <c r="O1230" s="87"/>
      <c r="BB1230" s="447"/>
    </row>
    <row r="1231" spans="1:54" s="446" customFormat="1" ht="11.25" hidden="1" customHeight="1" x14ac:dyDescent="0.2">
      <c r="A1231" s="177"/>
      <c r="B1231" s="236"/>
      <c r="C1231" s="29" t="str">
        <f>IF(B1231="","",IF($L$1217=$BL$25,VLOOKUP(DATE(YEAR($D$19),MONTH($D$19)-1,1),ÍNDICES!$A:$DE,HLOOKUP($BL$25,ÍNDICES!$B$3:$T$4,2)+11)-VLOOKUP(B1231,ÍNDICES!$A:$DE,HLOOKUP($BL$25,ÍNDICES!$B$3:$T$4,2)+11)+1%,IF(C$1220=$W$26,$J$35,IF(ISERROR(IF(B1231&gt;$D$19,1,VLOOKUP(B1231,ÍNDICES!$A:$DE,$Z$1217+1))),"",IF(B1231&gt;$D$19,1,VLOOKUP(B1231,ÍNDICES!$A:$DE,$Z$1217+1))))))</f>
        <v/>
      </c>
      <c r="D1231" s="155"/>
      <c r="E1231" s="88"/>
      <c r="F1231" s="88"/>
      <c r="G1231" s="88"/>
      <c r="H1231" s="118"/>
      <c r="I1231" s="182">
        <f t="shared" si="172"/>
        <v>0</v>
      </c>
      <c r="J1231" s="240">
        <f t="shared" ca="1" si="171"/>
        <v>0</v>
      </c>
      <c r="K1231" s="5">
        <f t="shared" ca="1" si="173"/>
        <v>0</v>
      </c>
      <c r="L1231" s="183"/>
      <c r="M1231" s="69"/>
      <c r="N1231" s="87"/>
      <c r="O1231" s="87"/>
      <c r="BB1231" s="447"/>
    </row>
    <row r="1232" spans="1:54" s="446" customFormat="1" ht="11.25" hidden="1" customHeight="1" x14ac:dyDescent="0.2">
      <c r="A1232" s="177"/>
      <c r="B1232" s="236"/>
      <c r="C1232" s="29" t="str">
        <f>IF(B1232="","",IF($L$1217=$BL$25,VLOOKUP(DATE(YEAR($D$19),MONTH($D$19)-1,1),ÍNDICES!$A:$DE,HLOOKUP($BL$25,ÍNDICES!$B$3:$T$4,2)+11)-VLOOKUP(B1232,ÍNDICES!$A:$DE,HLOOKUP($BL$25,ÍNDICES!$B$3:$T$4,2)+11)+1%,IF(C$1220=$W$26,$J$35,IF(ISERROR(IF(B1232&gt;$D$19,1,VLOOKUP(B1232,ÍNDICES!$A:$DE,$Z$1217+1))),"",IF(B1232&gt;$D$19,1,VLOOKUP(B1232,ÍNDICES!$A:$DE,$Z$1217+1))))))</f>
        <v/>
      </c>
      <c r="D1232" s="155"/>
      <c r="E1232" s="88"/>
      <c r="F1232" s="88"/>
      <c r="G1232" s="88"/>
      <c r="H1232" s="118"/>
      <c r="I1232" s="182">
        <f t="shared" si="172"/>
        <v>0</v>
      </c>
      <c r="J1232" s="240">
        <f t="shared" ca="1" si="171"/>
        <v>0</v>
      </c>
      <c r="K1232" s="5">
        <f t="shared" ca="1" si="173"/>
        <v>0</v>
      </c>
      <c r="L1232" s="183"/>
      <c r="M1232" s="69"/>
      <c r="N1232" s="87"/>
      <c r="O1232" s="87"/>
      <c r="BB1232" s="447"/>
    </row>
    <row r="1233" spans="1:54" s="446" customFormat="1" ht="11.25" hidden="1" customHeight="1" x14ac:dyDescent="0.2">
      <c r="A1233" s="177"/>
      <c r="B1233" s="236"/>
      <c r="C1233" s="29" t="str">
        <f>IF(B1233="","",IF($L$1217=$BL$25,VLOOKUP(DATE(YEAR($D$19),MONTH($D$19)-1,1),ÍNDICES!$A:$DE,HLOOKUP($BL$25,ÍNDICES!$B$3:$T$4,2)+11)-VLOOKUP(B1233,ÍNDICES!$A:$DE,HLOOKUP($BL$25,ÍNDICES!$B$3:$T$4,2)+11)+1%,IF(C$1220=$W$26,$J$35,IF(ISERROR(IF(B1233&gt;$D$19,1,VLOOKUP(B1233,ÍNDICES!$A:$DE,$Z$1217+1))),"",IF(B1233&gt;$D$19,1,VLOOKUP(B1233,ÍNDICES!$A:$DE,$Z$1217+1))))))</f>
        <v/>
      </c>
      <c r="D1233" s="155"/>
      <c r="E1233" s="88"/>
      <c r="F1233" s="88"/>
      <c r="G1233" s="88"/>
      <c r="H1233" s="118"/>
      <c r="I1233" s="182">
        <f t="shared" si="172"/>
        <v>0</v>
      </c>
      <c r="J1233" s="240">
        <f t="shared" ca="1" si="171"/>
        <v>0</v>
      </c>
      <c r="K1233" s="5">
        <f t="shared" ca="1" si="173"/>
        <v>0</v>
      </c>
      <c r="L1233" s="183"/>
      <c r="M1233" s="69"/>
      <c r="N1233" s="87"/>
      <c r="O1233" s="87"/>
      <c r="BB1233" s="447"/>
    </row>
    <row r="1234" spans="1:54" s="446" customFormat="1" ht="11.25" hidden="1" customHeight="1" x14ac:dyDescent="0.2">
      <c r="A1234" s="177"/>
      <c r="B1234" s="236"/>
      <c r="C1234" s="29" t="str">
        <f>IF(B1234="","",IF($L$1217=$BL$25,VLOOKUP(DATE(YEAR($D$19),MONTH($D$19)-1,1),ÍNDICES!$A:$DE,HLOOKUP($BL$25,ÍNDICES!$B$3:$T$4,2)+11)-VLOOKUP(B1234,ÍNDICES!$A:$DE,HLOOKUP($BL$25,ÍNDICES!$B$3:$T$4,2)+11)+1%,IF(C$1220=$W$26,$J$35,IF(ISERROR(IF(B1234&gt;$D$19,1,VLOOKUP(B1234,ÍNDICES!$A:$DE,$Z$1217+1))),"",IF(B1234&gt;$D$19,1,VLOOKUP(B1234,ÍNDICES!$A:$DE,$Z$1217+1))))))</f>
        <v/>
      </c>
      <c r="D1234" s="155"/>
      <c r="E1234" s="88"/>
      <c r="F1234" s="88"/>
      <c r="G1234" s="88"/>
      <c r="H1234" s="118"/>
      <c r="I1234" s="182">
        <f t="shared" si="172"/>
        <v>0</v>
      </c>
      <c r="J1234" s="240">
        <f t="shared" ca="1" si="171"/>
        <v>0</v>
      </c>
      <c r="K1234" s="5">
        <f t="shared" ca="1" si="173"/>
        <v>0</v>
      </c>
      <c r="L1234" s="183"/>
      <c r="M1234" s="69"/>
      <c r="N1234" s="87"/>
      <c r="O1234" s="87"/>
      <c r="BB1234" s="447"/>
    </row>
    <row r="1235" spans="1:54" s="446" customFormat="1" ht="11.25" hidden="1" customHeight="1" x14ac:dyDescent="0.2">
      <c r="A1235" s="177"/>
      <c r="B1235" s="236"/>
      <c r="C1235" s="29" t="str">
        <f>IF(B1235="","",IF($L$1217=$BL$25,VLOOKUP(DATE(YEAR($D$19),MONTH($D$19)-1,1),ÍNDICES!$A:$DE,HLOOKUP($BL$25,ÍNDICES!$B$3:$T$4,2)+11)-VLOOKUP(B1235,ÍNDICES!$A:$DE,HLOOKUP($BL$25,ÍNDICES!$B$3:$T$4,2)+11)+1%,IF(C$1220=$W$26,$J$35,IF(ISERROR(IF(B1235&gt;$D$19,1,VLOOKUP(B1235,ÍNDICES!$A:$DE,$Z$1217+1))),"",IF(B1235&gt;$D$19,1,VLOOKUP(B1235,ÍNDICES!$A:$DE,$Z$1217+1))))))</f>
        <v/>
      </c>
      <c r="D1235" s="155"/>
      <c r="E1235" s="88"/>
      <c r="F1235" s="88"/>
      <c r="G1235" s="88"/>
      <c r="H1235" s="118"/>
      <c r="I1235" s="182">
        <f t="shared" si="172"/>
        <v>0</v>
      </c>
      <c r="J1235" s="240">
        <f t="shared" ca="1" si="171"/>
        <v>0</v>
      </c>
      <c r="K1235" s="5">
        <f t="shared" ca="1" si="173"/>
        <v>0</v>
      </c>
      <c r="L1235" s="183"/>
      <c r="M1235" s="69"/>
      <c r="N1235" s="87"/>
      <c r="O1235" s="87"/>
      <c r="BB1235" s="447"/>
    </row>
    <row r="1236" spans="1:54" s="446" customFormat="1" ht="11.25" hidden="1" customHeight="1" x14ac:dyDescent="0.2">
      <c r="A1236" s="177"/>
      <c r="B1236" s="236"/>
      <c r="C1236" s="29" t="str">
        <f>IF(B1236="","",IF($L$1217=$BL$25,VLOOKUP(DATE(YEAR($D$19),MONTH($D$19)-1,1),ÍNDICES!$A:$DE,HLOOKUP($BL$25,ÍNDICES!$B$3:$T$4,2)+11)-VLOOKUP(B1236,ÍNDICES!$A:$DE,HLOOKUP($BL$25,ÍNDICES!$B$3:$T$4,2)+11)+1%,IF(C$1220=$W$26,$J$35,IF(ISERROR(IF(B1236&gt;$D$19,1,VLOOKUP(B1236,ÍNDICES!$A:$DE,$Z$1217+1))),"",IF(B1236&gt;$D$19,1,VLOOKUP(B1236,ÍNDICES!$A:$DE,$Z$1217+1))))))</f>
        <v/>
      </c>
      <c r="D1236" s="155"/>
      <c r="E1236" s="88"/>
      <c r="F1236" s="88"/>
      <c r="G1236" s="88"/>
      <c r="H1236" s="118"/>
      <c r="I1236" s="182">
        <f t="shared" si="172"/>
        <v>0</v>
      </c>
      <c r="J1236" s="240">
        <f t="shared" ca="1" si="171"/>
        <v>0</v>
      </c>
      <c r="K1236" s="5">
        <f t="shared" ca="1" si="173"/>
        <v>0</v>
      </c>
      <c r="L1236" s="183"/>
      <c r="M1236" s="69"/>
      <c r="N1236" s="87"/>
      <c r="O1236" s="87"/>
      <c r="BB1236" s="447"/>
    </row>
    <row r="1237" spans="1:54" s="446" customFormat="1" ht="11.25" hidden="1" customHeight="1" x14ac:dyDescent="0.2">
      <c r="A1237" s="177"/>
      <c r="B1237" s="236"/>
      <c r="C1237" s="29" t="str">
        <f>IF(B1237="","",IF($L$1217=$BL$25,VLOOKUP(DATE(YEAR($D$19),MONTH($D$19)-1,1),ÍNDICES!$A:$DE,HLOOKUP($BL$25,ÍNDICES!$B$3:$T$4,2)+11)-VLOOKUP(B1237,ÍNDICES!$A:$DE,HLOOKUP($BL$25,ÍNDICES!$B$3:$T$4,2)+11)+1%,IF(C$1220=$W$26,$J$35,IF(ISERROR(IF(B1237&gt;$D$19,1,VLOOKUP(B1237,ÍNDICES!$A:$DE,$Z$1217+1))),"",IF(B1237&gt;$D$19,1,VLOOKUP(B1237,ÍNDICES!$A:$DE,$Z$1217+1))))))</f>
        <v/>
      </c>
      <c r="D1237" s="155"/>
      <c r="E1237" s="88"/>
      <c r="F1237" s="88"/>
      <c r="G1237" s="88"/>
      <c r="H1237" s="118"/>
      <c r="I1237" s="182">
        <f t="shared" si="172"/>
        <v>0</v>
      </c>
      <c r="J1237" s="240">
        <f t="shared" ca="1" si="171"/>
        <v>0</v>
      </c>
      <c r="K1237" s="5">
        <f t="shared" ca="1" si="173"/>
        <v>0</v>
      </c>
      <c r="L1237" s="183"/>
      <c r="M1237" s="69"/>
      <c r="N1237" s="87"/>
      <c r="O1237" s="87"/>
      <c r="BB1237" s="447"/>
    </row>
    <row r="1238" spans="1:54" s="446" customFormat="1" ht="11.25" hidden="1" customHeight="1" x14ac:dyDescent="0.2">
      <c r="A1238" s="177"/>
      <c r="B1238" s="236"/>
      <c r="C1238" s="29" t="str">
        <f>IF(B1238="","",IF($L$1217=$BL$25,VLOOKUP(DATE(YEAR($D$19),MONTH($D$19)-1,1),ÍNDICES!$A:$DE,HLOOKUP($BL$25,ÍNDICES!$B$3:$T$4,2)+11)-VLOOKUP(B1238,ÍNDICES!$A:$DE,HLOOKUP($BL$25,ÍNDICES!$B$3:$T$4,2)+11)+1%,IF(C$1220=$W$26,$J$35,IF(ISERROR(IF(B1238&gt;$D$19,1,VLOOKUP(B1238,ÍNDICES!$A:$DE,$Z$1217+1))),"",IF(B1238&gt;$D$19,1,VLOOKUP(B1238,ÍNDICES!$A:$DE,$Z$1217+1))))))</f>
        <v/>
      </c>
      <c r="D1238" s="155"/>
      <c r="E1238" s="88"/>
      <c r="F1238" s="88"/>
      <c r="G1238" s="88"/>
      <c r="H1238" s="118"/>
      <c r="I1238" s="182">
        <f t="shared" si="172"/>
        <v>0</v>
      </c>
      <c r="J1238" s="240">
        <f t="shared" ca="1" si="171"/>
        <v>0</v>
      </c>
      <c r="K1238" s="5">
        <f t="shared" ca="1" si="173"/>
        <v>0</v>
      </c>
      <c r="L1238" s="183"/>
      <c r="M1238" s="69"/>
      <c r="N1238" s="87"/>
      <c r="O1238" s="87"/>
      <c r="BB1238" s="447"/>
    </row>
    <row r="1239" spans="1:54" s="446" customFormat="1" ht="11.25" hidden="1" customHeight="1" x14ac:dyDescent="0.2">
      <c r="A1239" s="177"/>
      <c r="B1239" s="236"/>
      <c r="C1239" s="29" t="str">
        <f>IF(B1239="","",IF($L$1217=$BL$25,VLOOKUP(DATE(YEAR($D$19),MONTH($D$19)-1,1),ÍNDICES!$A:$DE,HLOOKUP($BL$25,ÍNDICES!$B$3:$T$4,2)+11)-VLOOKUP(B1239,ÍNDICES!$A:$DE,HLOOKUP($BL$25,ÍNDICES!$B$3:$T$4,2)+11)+1%,IF(C$1220=$W$26,$J$35,IF(ISERROR(IF(B1239&gt;$D$19,1,VLOOKUP(B1239,ÍNDICES!$A:$DE,$Z$1217+1))),"",IF(B1239&gt;$D$19,1,VLOOKUP(B1239,ÍNDICES!$A:$DE,$Z$1217+1))))))</f>
        <v/>
      </c>
      <c r="D1239" s="155"/>
      <c r="E1239" s="88"/>
      <c r="F1239" s="88"/>
      <c r="G1239" s="88"/>
      <c r="H1239" s="118"/>
      <c r="I1239" s="182">
        <f t="shared" si="172"/>
        <v>0</v>
      </c>
      <c r="J1239" s="240">
        <f t="shared" ca="1" si="171"/>
        <v>0</v>
      </c>
      <c r="K1239" s="5">
        <f t="shared" ca="1" si="173"/>
        <v>0</v>
      </c>
      <c r="L1239" s="183"/>
      <c r="M1239" s="69"/>
      <c r="N1239" s="87"/>
      <c r="O1239" s="87"/>
      <c r="BB1239" s="447"/>
    </row>
    <row r="1240" spans="1:54" s="446" customFormat="1" ht="11.25" hidden="1" customHeight="1" x14ac:dyDescent="0.2">
      <c r="A1240" s="177"/>
      <c r="B1240" s="236"/>
      <c r="C1240" s="29" t="str">
        <f>IF(B1240="","",IF($L$1217=$BL$25,VLOOKUP(DATE(YEAR($D$19),MONTH($D$19)-1,1),ÍNDICES!$A:$DE,HLOOKUP($BL$25,ÍNDICES!$B$3:$T$4,2)+11)-VLOOKUP(B1240,ÍNDICES!$A:$DE,HLOOKUP($BL$25,ÍNDICES!$B$3:$T$4,2)+11)+1%,IF(C$1220=$W$26,$J$35,IF(ISERROR(IF(B1240&gt;$D$19,1,VLOOKUP(B1240,ÍNDICES!$A:$DE,$Z$1217+1))),"",IF(B1240&gt;$D$19,1,VLOOKUP(B1240,ÍNDICES!$A:$DE,$Z$1217+1))))))</f>
        <v/>
      </c>
      <c r="D1240" s="155"/>
      <c r="E1240" s="88"/>
      <c r="F1240" s="88"/>
      <c r="G1240" s="88"/>
      <c r="H1240" s="118"/>
      <c r="I1240" s="182">
        <f t="shared" si="172"/>
        <v>0</v>
      </c>
      <c r="J1240" s="240">
        <f t="shared" ca="1" si="171"/>
        <v>0</v>
      </c>
      <c r="K1240" s="5">
        <f t="shared" ca="1" si="173"/>
        <v>0</v>
      </c>
      <c r="L1240" s="183"/>
      <c r="M1240" s="69"/>
      <c r="N1240" s="87"/>
      <c r="O1240" s="87"/>
      <c r="BB1240" s="447"/>
    </row>
    <row r="1241" spans="1:54" s="446" customFormat="1" ht="11.25" hidden="1" customHeight="1" x14ac:dyDescent="0.2">
      <c r="A1241" s="177"/>
      <c r="B1241" s="236"/>
      <c r="C1241" s="29" t="str">
        <f>IF(B1241="","",IF($L$1217=$BL$25,VLOOKUP(DATE(YEAR($D$19),MONTH($D$19)-1,1),ÍNDICES!$A:$DE,HLOOKUP($BL$25,ÍNDICES!$B$3:$T$4,2)+11)-VLOOKUP(B1241,ÍNDICES!$A:$DE,HLOOKUP($BL$25,ÍNDICES!$B$3:$T$4,2)+11)+1%,IF(C$1220=$W$26,$J$35,IF(ISERROR(IF(B1241&gt;$D$19,1,VLOOKUP(B1241,ÍNDICES!$A:$DE,$Z$1217+1))),"",IF(B1241&gt;$D$19,1,VLOOKUP(B1241,ÍNDICES!$A:$DE,$Z$1217+1))))))</f>
        <v/>
      </c>
      <c r="D1241" s="155"/>
      <c r="E1241" s="88"/>
      <c r="F1241" s="88"/>
      <c r="G1241" s="88"/>
      <c r="H1241" s="118"/>
      <c r="I1241" s="182">
        <f t="shared" si="172"/>
        <v>0</v>
      </c>
      <c r="J1241" s="240">
        <f t="shared" ca="1" si="171"/>
        <v>0</v>
      </c>
      <c r="K1241" s="5">
        <f t="shared" ca="1" si="173"/>
        <v>0</v>
      </c>
      <c r="L1241" s="183"/>
      <c r="M1241" s="69"/>
      <c r="N1241" s="87"/>
      <c r="O1241" s="87"/>
      <c r="BB1241" s="447"/>
    </row>
    <row r="1242" spans="1:54" s="446" customFormat="1" ht="11.25" hidden="1" customHeight="1" x14ac:dyDescent="0.2">
      <c r="A1242" s="177"/>
      <c r="B1242" s="236"/>
      <c r="C1242" s="29" t="str">
        <f>IF(B1242="","",IF($L$1217=$BL$25,VLOOKUP(DATE(YEAR($D$19),MONTH($D$19)-1,1),ÍNDICES!$A:$DE,HLOOKUP($BL$25,ÍNDICES!$B$3:$T$4,2)+11)-VLOOKUP(B1242,ÍNDICES!$A:$DE,HLOOKUP($BL$25,ÍNDICES!$B$3:$T$4,2)+11)+1%,IF(C$1220=$W$26,$J$35,IF(ISERROR(IF(B1242&gt;$D$19,1,VLOOKUP(B1242,ÍNDICES!$A:$DE,$Z$1217+1))),"",IF(B1242&gt;$D$19,1,VLOOKUP(B1242,ÍNDICES!$A:$DE,$Z$1217+1))))))</f>
        <v/>
      </c>
      <c r="D1242" s="155"/>
      <c r="E1242" s="88"/>
      <c r="F1242" s="88"/>
      <c r="G1242" s="88"/>
      <c r="H1242" s="118"/>
      <c r="I1242" s="182">
        <f t="shared" si="172"/>
        <v>0</v>
      </c>
      <c r="J1242" s="240">
        <f t="shared" ca="1" si="171"/>
        <v>0</v>
      </c>
      <c r="K1242" s="5">
        <f t="shared" ca="1" si="173"/>
        <v>0</v>
      </c>
      <c r="L1242" s="183"/>
      <c r="M1242" s="69"/>
      <c r="N1242" s="87"/>
      <c r="O1242" s="87"/>
      <c r="BB1242" s="447"/>
    </row>
    <row r="1243" spans="1:54" s="446" customFormat="1" ht="11.25" hidden="1" customHeight="1" x14ac:dyDescent="0.2">
      <c r="A1243" s="177"/>
      <c r="B1243" s="236"/>
      <c r="C1243" s="29" t="str">
        <f>IF(B1243="","",IF($L$1217=$BL$25,VLOOKUP(DATE(YEAR($D$19),MONTH($D$19)-1,1),ÍNDICES!$A:$DE,HLOOKUP($BL$25,ÍNDICES!$B$3:$T$4,2)+11)-VLOOKUP(B1243,ÍNDICES!$A:$DE,HLOOKUP($BL$25,ÍNDICES!$B$3:$T$4,2)+11)+1%,IF(C$1220=$W$26,$J$35,IF(ISERROR(IF(B1243&gt;$D$19,1,VLOOKUP(B1243,ÍNDICES!$A:$DE,$Z$1217+1))),"",IF(B1243&gt;$D$19,1,VLOOKUP(B1243,ÍNDICES!$A:$DE,$Z$1217+1))))))</f>
        <v/>
      </c>
      <c r="D1243" s="155"/>
      <c r="E1243" s="88"/>
      <c r="F1243" s="88"/>
      <c r="G1243" s="88"/>
      <c r="H1243" s="118"/>
      <c r="I1243" s="182">
        <f t="shared" si="172"/>
        <v>0</v>
      </c>
      <c r="J1243" s="240">
        <f t="shared" ca="1" si="171"/>
        <v>0</v>
      </c>
      <c r="K1243" s="5">
        <f t="shared" ca="1" si="173"/>
        <v>0</v>
      </c>
      <c r="L1243" s="183"/>
      <c r="M1243" s="69"/>
      <c r="N1243" s="87"/>
      <c r="O1243" s="87"/>
      <c r="BB1243" s="447"/>
    </row>
    <row r="1244" spans="1:54" s="446" customFormat="1" ht="11.25" hidden="1" customHeight="1" x14ac:dyDescent="0.2">
      <c r="A1244" s="177"/>
      <c r="B1244" s="236"/>
      <c r="C1244" s="29" t="str">
        <f>IF(B1244="","",IF($L$1217=$BL$25,VLOOKUP(DATE(YEAR($D$19),MONTH($D$19)-1,1),ÍNDICES!$A:$DE,HLOOKUP($BL$25,ÍNDICES!$B$3:$T$4,2)+11)-VLOOKUP(B1244,ÍNDICES!$A:$DE,HLOOKUP($BL$25,ÍNDICES!$B$3:$T$4,2)+11)+1%,IF(C$1220=$W$26,$J$35,IF(ISERROR(IF(B1244&gt;$D$19,1,VLOOKUP(B1244,ÍNDICES!$A:$DE,$Z$1217+1))),"",IF(B1244&gt;$D$19,1,VLOOKUP(B1244,ÍNDICES!$A:$DE,$Z$1217+1))))))</f>
        <v/>
      </c>
      <c r="D1244" s="155"/>
      <c r="E1244" s="88"/>
      <c r="F1244" s="88"/>
      <c r="G1244" s="88"/>
      <c r="H1244" s="118"/>
      <c r="I1244" s="182">
        <f t="shared" si="172"/>
        <v>0</v>
      </c>
      <c r="J1244" s="240">
        <f t="shared" ca="1" si="171"/>
        <v>0</v>
      </c>
      <c r="K1244" s="5">
        <f t="shared" ca="1" si="173"/>
        <v>0</v>
      </c>
      <c r="L1244" s="183"/>
      <c r="M1244" s="69"/>
      <c r="N1244" s="87"/>
      <c r="O1244" s="87"/>
      <c r="BB1244" s="447"/>
    </row>
    <row r="1245" spans="1:54" s="446" customFormat="1" ht="11.25" hidden="1" customHeight="1" x14ac:dyDescent="0.2">
      <c r="A1245" s="177"/>
      <c r="B1245" s="236"/>
      <c r="C1245" s="29" t="str">
        <f>IF(B1245="","",IF($L$1217=$BL$25,VLOOKUP(DATE(YEAR($D$19),MONTH($D$19)-1,1),ÍNDICES!$A:$DE,HLOOKUP($BL$25,ÍNDICES!$B$3:$T$4,2)+11)-VLOOKUP(B1245,ÍNDICES!$A:$DE,HLOOKUP($BL$25,ÍNDICES!$B$3:$T$4,2)+11)+1%,IF(C$1220=$W$26,$J$35,IF(ISERROR(IF(B1245&gt;$D$19,1,VLOOKUP(B1245,ÍNDICES!$A:$DE,$Z$1217+1))),"",IF(B1245&gt;$D$19,1,VLOOKUP(B1245,ÍNDICES!$A:$DE,$Z$1217+1))))))</f>
        <v/>
      </c>
      <c r="D1245" s="155"/>
      <c r="E1245" s="88"/>
      <c r="F1245" s="88"/>
      <c r="G1245" s="88"/>
      <c r="H1245" s="118"/>
      <c r="I1245" s="182">
        <f t="shared" si="172"/>
        <v>0</v>
      </c>
      <c r="J1245" s="240">
        <f t="shared" ca="1" si="171"/>
        <v>0</v>
      </c>
      <c r="K1245" s="5">
        <f t="shared" ca="1" si="173"/>
        <v>0</v>
      </c>
      <c r="L1245" s="183"/>
      <c r="M1245" s="69"/>
      <c r="N1245" s="87"/>
      <c r="O1245" s="87"/>
      <c r="BB1245" s="447"/>
    </row>
    <row r="1246" spans="1:54" s="446" customFormat="1" ht="11.25" hidden="1" customHeight="1" x14ac:dyDescent="0.2">
      <c r="A1246" s="177"/>
      <c r="B1246" s="236"/>
      <c r="C1246" s="29" t="str">
        <f>IF(B1246="","",IF($L$1217=$BL$25,VLOOKUP(DATE(YEAR($D$19),MONTH($D$19)-1,1),ÍNDICES!$A:$DE,HLOOKUP($BL$25,ÍNDICES!$B$3:$T$4,2)+11)-VLOOKUP(B1246,ÍNDICES!$A:$DE,HLOOKUP($BL$25,ÍNDICES!$B$3:$T$4,2)+11)+1%,IF(C$1220=$W$26,$J$35,IF(ISERROR(IF(B1246&gt;$D$19,1,VLOOKUP(B1246,ÍNDICES!$A:$DE,$Z$1217+1))),"",IF(B1246&gt;$D$19,1,VLOOKUP(B1246,ÍNDICES!$A:$DE,$Z$1217+1))))))</f>
        <v/>
      </c>
      <c r="D1246" s="155"/>
      <c r="E1246" s="88"/>
      <c r="F1246" s="88"/>
      <c r="G1246" s="88"/>
      <c r="H1246" s="118"/>
      <c r="I1246" s="182">
        <f t="shared" si="172"/>
        <v>0</v>
      </c>
      <c r="J1246" s="240">
        <f t="shared" ca="1" si="171"/>
        <v>0</v>
      </c>
      <c r="K1246" s="5">
        <f t="shared" ca="1" si="173"/>
        <v>0</v>
      </c>
      <c r="L1246" s="183"/>
      <c r="M1246" s="69"/>
      <c r="N1246" s="87"/>
      <c r="O1246" s="87"/>
      <c r="BB1246" s="447"/>
    </row>
    <row r="1247" spans="1:54" s="446" customFormat="1" ht="11.25" hidden="1" customHeight="1" x14ac:dyDescent="0.2">
      <c r="A1247" s="177"/>
      <c r="B1247" s="236"/>
      <c r="C1247" s="29" t="str">
        <f>IF(B1247="","",IF($L$1217=$BL$25,VLOOKUP(DATE(YEAR($D$19),MONTH($D$19)-1,1),ÍNDICES!$A:$DE,HLOOKUP($BL$25,ÍNDICES!$B$3:$T$4,2)+11)-VLOOKUP(B1247,ÍNDICES!$A:$DE,HLOOKUP($BL$25,ÍNDICES!$B$3:$T$4,2)+11)+1%,IF(C$1220=$W$26,$J$35,IF(ISERROR(IF(B1247&gt;$D$19,1,VLOOKUP(B1247,ÍNDICES!$A:$DE,$Z$1217+1))),"",IF(B1247&gt;$D$19,1,VLOOKUP(B1247,ÍNDICES!$A:$DE,$Z$1217+1))))))</f>
        <v/>
      </c>
      <c r="D1247" s="155"/>
      <c r="E1247" s="88"/>
      <c r="F1247" s="88"/>
      <c r="G1247" s="88"/>
      <c r="H1247" s="118"/>
      <c r="I1247" s="182">
        <f t="shared" si="172"/>
        <v>0</v>
      </c>
      <c r="J1247" s="240">
        <f t="shared" ca="1" si="171"/>
        <v>0</v>
      </c>
      <c r="K1247" s="5">
        <f t="shared" ca="1" si="173"/>
        <v>0</v>
      </c>
      <c r="L1247" s="183"/>
      <c r="M1247" s="69"/>
      <c r="N1247" s="87"/>
      <c r="O1247" s="87"/>
      <c r="BB1247" s="447"/>
    </row>
    <row r="1248" spans="1:54" s="446" customFormat="1" ht="11.25" hidden="1" customHeight="1" x14ac:dyDescent="0.2">
      <c r="A1248" s="177"/>
      <c r="B1248" s="236"/>
      <c r="C1248" s="29" t="str">
        <f>IF(B1248="","",IF($L$1217=$BL$25,VLOOKUP(DATE(YEAR($D$19),MONTH($D$19)-1,1),ÍNDICES!$A:$DE,HLOOKUP($BL$25,ÍNDICES!$B$3:$T$4,2)+11)-VLOOKUP(B1248,ÍNDICES!$A:$DE,HLOOKUP($BL$25,ÍNDICES!$B$3:$T$4,2)+11)+1%,IF(C$1220=$W$26,$J$35,IF(ISERROR(IF(B1248&gt;$D$19,1,VLOOKUP(B1248,ÍNDICES!$A:$DE,$Z$1217+1))),"",IF(B1248&gt;$D$19,1,VLOOKUP(B1248,ÍNDICES!$A:$DE,$Z$1217+1))))))</f>
        <v/>
      </c>
      <c r="D1248" s="155"/>
      <c r="E1248" s="88"/>
      <c r="F1248" s="88"/>
      <c r="G1248" s="88"/>
      <c r="H1248" s="118"/>
      <c r="I1248" s="182">
        <f t="shared" si="172"/>
        <v>0</v>
      </c>
      <c r="J1248" s="240">
        <f t="shared" ca="1" si="171"/>
        <v>0</v>
      </c>
      <c r="K1248" s="5">
        <f t="shared" ca="1" si="173"/>
        <v>0</v>
      </c>
      <c r="L1248" s="183"/>
      <c r="M1248" s="69"/>
      <c r="N1248" s="87"/>
      <c r="O1248" s="87"/>
      <c r="BB1248" s="447"/>
    </row>
    <row r="1249" spans="1:54" s="446" customFormat="1" ht="11.25" hidden="1" customHeight="1" x14ac:dyDescent="0.2">
      <c r="A1249" s="177"/>
      <c r="B1249" s="236"/>
      <c r="C1249" s="29" t="str">
        <f>IF(B1249="","",IF($L$1217=$BL$25,VLOOKUP(DATE(YEAR($D$19),MONTH($D$19)-1,1),ÍNDICES!$A:$DE,HLOOKUP($BL$25,ÍNDICES!$B$3:$T$4,2)+11)-VLOOKUP(B1249,ÍNDICES!$A:$DE,HLOOKUP($BL$25,ÍNDICES!$B$3:$T$4,2)+11)+1%,IF(C$1220=$W$26,$J$35,IF(ISERROR(IF(B1249&gt;$D$19,1,VLOOKUP(B1249,ÍNDICES!$A:$DE,$Z$1217+1))),"",IF(B1249&gt;$D$19,1,VLOOKUP(B1249,ÍNDICES!$A:$DE,$Z$1217+1))))))</f>
        <v/>
      </c>
      <c r="D1249" s="155"/>
      <c r="E1249" s="88"/>
      <c r="F1249" s="88"/>
      <c r="G1249" s="88"/>
      <c r="H1249" s="118"/>
      <c r="I1249" s="182">
        <f t="shared" si="172"/>
        <v>0</v>
      </c>
      <c r="J1249" s="240">
        <f t="shared" ca="1" si="171"/>
        <v>0</v>
      </c>
      <c r="K1249" s="5">
        <f t="shared" ca="1" si="173"/>
        <v>0</v>
      </c>
      <c r="L1249" s="183"/>
      <c r="M1249" s="69"/>
      <c r="N1249" s="87"/>
      <c r="O1249" s="87"/>
      <c r="BB1249" s="447"/>
    </row>
    <row r="1250" spans="1:54" s="446" customFormat="1" ht="11.25" hidden="1" customHeight="1" x14ac:dyDescent="0.2">
      <c r="A1250" s="177"/>
      <c r="B1250" s="236"/>
      <c r="C1250" s="29" t="str">
        <f>IF(B1250="","",IF($L$1217=$BL$25,VLOOKUP(DATE(YEAR($D$19),MONTH($D$19)-1,1),ÍNDICES!$A:$DE,HLOOKUP($BL$25,ÍNDICES!$B$3:$T$4,2)+11)-VLOOKUP(B1250,ÍNDICES!$A:$DE,HLOOKUP($BL$25,ÍNDICES!$B$3:$T$4,2)+11)+1%,IF(C$1220=$W$26,$J$35,IF(ISERROR(IF(B1250&gt;$D$19,1,VLOOKUP(B1250,ÍNDICES!$A:$DE,$Z$1217+1))),"",IF(B1250&gt;$D$19,1,VLOOKUP(B1250,ÍNDICES!$A:$DE,$Z$1217+1))))))</f>
        <v/>
      </c>
      <c r="D1250" s="155"/>
      <c r="E1250" s="88"/>
      <c r="F1250" s="88"/>
      <c r="G1250" s="88"/>
      <c r="H1250" s="118"/>
      <c r="I1250" s="182">
        <f t="shared" si="172"/>
        <v>0</v>
      </c>
      <c r="J1250" s="240">
        <f t="shared" ca="1" si="171"/>
        <v>0</v>
      </c>
      <c r="K1250" s="5">
        <f t="shared" ca="1" si="173"/>
        <v>0</v>
      </c>
      <c r="L1250" s="183"/>
      <c r="M1250" s="69"/>
      <c r="N1250" s="87"/>
      <c r="O1250" s="87"/>
      <c r="BB1250" s="447"/>
    </row>
    <row r="1251" spans="1:54" s="446" customFormat="1" ht="11.25" hidden="1" customHeight="1" x14ac:dyDescent="0.2">
      <c r="A1251" s="177"/>
      <c r="B1251" s="236"/>
      <c r="C1251" s="29" t="str">
        <f>IF(B1251="","",IF($L$1217=$BL$25,VLOOKUP(DATE(YEAR($D$19),MONTH($D$19)-1,1),ÍNDICES!$A:$DE,HLOOKUP($BL$25,ÍNDICES!$B$3:$T$4,2)+11)-VLOOKUP(B1251,ÍNDICES!$A:$DE,HLOOKUP($BL$25,ÍNDICES!$B$3:$T$4,2)+11)+1%,IF(C$1220=$W$26,$J$35,IF(ISERROR(IF(B1251&gt;$D$19,1,VLOOKUP(B1251,ÍNDICES!$A:$DE,$Z$1217+1))),"",IF(B1251&gt;$D$19,1,VLOOKUP(B1251,ÍNDICES!$A:$DE,$Z$1217+1))))))</f>
        <v/>
      </c>
      <c r="D1251" s="155"/>
      <c r="E1251" s="88"/>
      <c r="F1251" s="88"/>
      <c r="G1251" s="88"/>
      <c r="H1251" s="118"/>
      <c r="I1251" s="182">
        <f t="shared" si="172"/>
        <v>0</v>
      </c>
      <c r="J1251" s="240">
        <f t="shared" ca="1" si="171"/>
        <v>0</v>
      </c>
      <c r="K1251" s="5">
        <f t="shared" ca="1" si="173"/>
        <v>0</v>
      </c>
      <c r="L1251" s="183"/>
      <c r="M1251" s="69"/>
      <c r="N1251" s="87"/>
      <c r="O1251" s="87"/>
      <c r="BB1251" s="447"/>
    </row>
    <row r="1252" spans="1:54" s="446" customFormat="1" ht="11.25" hidden="1" customHeight="1" x14ac:dyDescent="0.2">
      <c r="A1252" s="177"/>
      <c r="B1252" s="236"/>
      <c r="C1252" s="29" t="str">
        <f>IF(B1252="","",IF($L$1217=$BL$25,VLOOKUP(DATE(YEAR($D$19),MONTH($D$19)-1,1),ÍNDICES!$A:$DE,HLOOKUP($BL$25,ÍNDICES!$B$3:$T$4,2)+11)-VLOOKUP(B1252,ÍNDICES!$A:$DE,HLOOKUP($BL$25,ÍNDICES!$B$3:$T$4,2)+11)+1%,IF(C$1220=$W$26,$J$35,IF(ISERROR(IF(B1252&gt;$D$19,1,VLOOKUP(B1252,ÍNDICES!$A:$DE,$Z$1217+1))),"",IF(B1252&gt;$D$19,1,VLOOKUP(B1252,ÍNDICES!$A:$DE,$Z$1217+1))))))</f>
        <v/>
      </c>
      <c r="D1252" s="155"/>
      <c r="E1252" s="88"/>
      <c r="F1252" s="88"/>
      <c r="G1252" s="88"/>
      <c r="H1252" s="118"/>
      <c r="I1252" s="182">
        <f t="shared" si="172"/>
        <v>0</v>
      </c>
      <c r="J1252" s="240">
        <f t="shared" ca="1" si="171"/>
        <v>0</v>
      </c>
      <c r="K1252" s="5">
        <f t="shared" ca="1" si="173"/>
        <v>0</v>
      </c>
      <c r="L1252" s="183"/>
      <c r="M1252" s="69"/>
      <c r="N1252" s="87"/>
      <c r="O1252" s="87"/>
      <c r="BB1252" s="447"/>
    </row>
    <row r="1253" spans="1:54" s="446" customFormat="1" ht="11.25" hidden="1" customHeight="1" x14ac:dyDescent="0.2">
      <c r="A1253" s="177"/>
      <c r="B1253" s="236"/>
      <c r="C1253" s="29" t="str">
        <f>IF(B1253="","",IF($L$1217=$BL$25,VLOOKUP(DATE(YEAR($D$19),MONTH($D$19)-1,1),ÍNDICES!$A:$DE,HLOOKUP($BL$25,ÍNDICES!$B$3:$T$4,2)+11)-VLOOKUP(B1253,ÍNDICES!$A:$DE,HLOOKUP($BL$25,ÍNDICES!$B$3:$T$4,2)+11)+1%,IF(C$1220=$W$26,$J$35,IF(ISERROR(IF(B1253&gt;$D$19,1,VLOOKUP(B1253,ÍNDICES!$A:$DE,$Z$1217+1))),"",IF(B1253&gt;$D$19,1,VLOOKUP(B1253,ÍNDICES!$A:$DE,$Z$1217+1))))))</f>
        <v/>
      </c>
      <c r="D1253" s="155"/>
      <c r="E1253" s="88"/>
      <c r="F1253" s="88"/>
      <c r="G1253" s="88"/>
      <c r="H1253" s="241"/>
      <c r="I1253" s="182">
        <f t="shared" si="172"/>
        <v>0</v>
      </c>
      <c r="J1253" s="240">
        <f t="shared" ca="1" si="171"/>
        <v>0</v>
      </c>
      <c r="K1253" s="5">
        <f t="shared" ca="1" si="173"/>
        <v>0</v>
      </c>
      <c r="L1253" s="183"/>
      <c r="M1253" s="69"/>
      <c r="N1253" s="87"/>
      <c r="O1253" s="87"/>
      <c r="BB1253" s="447"/>
    </row>
    <row r="1254" spans="1:54" s="446" customFormat="1" ht="11.25" hidden="1" customHeight="1" x14ac:dyDescent="0.2">
      <c r="A1254" s="177"/>
      <c r="B1254" s="236"/>
      <c r="C1254" s="29" t="str">
        <f>IF(B1254="","",IF($L$1217=$BL$25,VLOOKUP(DATE(YEAR($D$19),MONTH($D$19)-1,1),ÍNDICES!$A:$DE,HLOOKUP($BL$25,ÍNDICES!$B$3:$T$4,2)+11)-VLOOKUP(B1254,ÍNDICES!$A:$DE,HLOOKUP($BL$25,ÍNDICES!$B$3:$T$4,2)+11)+1%,IF(C$1220=$W$26,$J$35,IF(ISERROR(IF(B1254&gt;$D$19,1,VLOOKUP(B1254,ÍNDICES!$A:$DE,$Z$1217+1))),"",IF(B1254&gt;$D$19,1,VLOOKUP(B1254,ÍNDICES!$A:$DE,$Z$1217+1))))))</f>
        <v/>
      </c>
      <c r="D1254" s="155"/>
      <c r="E1254" s="88"/>
      <c r="F1254" s="88"/>
      <c r="G1254" s="88"/>
      <c r="H1254" s="241"/>
      <c r="I1254" s="182">
        <f t="shared" si="172"/>
        <v>0</v>
      </c>
      <c r="J1254" s="240">
        <f t="shared" ca="1" si="171"/>
        <v>0</v>
      </c>
      <c r="K1254" s="5">
        <f t="shared" ca="1" si="173"/>
        <v>0</v>
      </c>
      <c r="L1254" s="183"/>
      <c r="M1254" s="69"/>
      <c r="N1254" s="87"/>
      <c r="O1254" s="87"/>
      <c r="BB1254" s="447"/>
    </row>
    <row r="1255" spans="1:54" s="446" customFormat="1" ht="11.25" hidden="1" customHeight="1" x14ac:dyDescent="0.2">
      <c r="A1255" s="235"/>
      <c r="B1255" s="236"/>
      <c r="C1255" s="29" t="str">
        <f>IF(B1255="","",IF($L$1217=$BL$25,VLOOKUP(DATE(YEAR($D$19),MONTH($D$19)-1,1),ÍNDICES!$A:$DE,HLOOKUP($BL$25,ÍNDICES!$B$3:$T$4,2)+11)-VLOOKUP(B1255,ÍNDICES!$A:$DE,HLOOKUP($BL$25,ÍNDICES!$B$3:$T$4,2)+11)+1%,IF(C$1220=$W$26,$J$35,IF(ISERROR(IF(B1255&gt;$D$19,1,VLOOKUP(B1255,ÍNDICES!$A:$DE,$Z$1217+1))),"",IF(B1255&gt;$D$19,1,VLOOKUP(B1255,ÍNDICES!$A:$DE,$Z$1217+1))))))</f>
        <v/>
      </c>
      <c r="D1255" s="155"/>
      <c r="E1255" s="88"/>
      <c r="F1255" s="88"/>
      <c r="G1255" s="88"/>
      <c r="H1255" s="241"/>
      <c r="I1255" s="182">
        <f t="shared" si="172"/>
        <v>0</v>
      </c>
      <c r="J1255" s="240">
        <f t="shared" ca="1" si="171"/>
        <v>0</v>
      </c>
      <c r="K1255" s="5">
        <f t="shared" ca="1" si="173"/>
        <v>0</v>
      </c>
      <c r="L1255" s="183"/>
      <c r="M1255" s="69"/>
      <c r="N1255" s="87"/>
      <c r="O1255" s="87"/>
      <c r="BB1255" s="447"/>
    </row>
    <row r="1256" spans="1:54" s="446" customFormat="1" ht="11.25" hidden="1" customHeight="1" x14ac:dyDescent="0.2">
      <c r="A1256" s="235"/>
      <c r="B1256" s="236"/>
      <c r="C1256" s="29" t="str">
        <f>IF(B1256="","",IF($L$1217=$BL$25,VLOOKUP(DATE(YEAR($D$19),MONTH($D$19)-1,1),ÍNDICES!$A:$DE,HLOOKUP($BL$25,ÍNDICES!$B$3:$T$4,2)+11)-VLOOKUP(B1256,ÍNDICES!$A:$DE,HLOOKUP($BL$25,ÍNDICES!$B$3:$T$4,2)+11)+1%,IF(C$1220=$W$26,$J$35,IF(ISERROR(IF(B1256&gt;$D$19,1,VLOOKUP(B1256,ÍNDICES!$A:$DE,$Z$1217+1))),"",IF(B1256&gt;$D$19,1,VLOOKUP(B1256,ÍNDICES!$A:$DE,$Z$1217+1))))))</f>
        <v/>
      </c>
      <c r="D1256" s="155"/>
      <c r="E1256" s="88"/>
      <c r="F1256" s="88"/>
      <c r="G1256" s="88"/>
      <c r="H1256" s="241"/>
      <c r="I1256" s="182">
        <f t="shared" si="172"/>
        <v>0</v>
      </c>
      <c r="J1256" s="240">
        <f t="shared" ca="1" si="171"/>
        <v>0</v>
      </c>
      <c r="K1256" s="5">
        <f t="shared" ca="1" si="173"/>
        <v>0</v>
      </c>
      <c r="L1256" s="183"/>
      <c r="M1256" s="69"/>
      <c r="N1256" s="87"/>
      <c r="O1256" s="87"/>
      <c r="BB1256" s="447"/>
    </row>
    <row r="1257" spans="1:54" s="446" customFormat="1" ht="11.25" hidden="1" customHeight="1" x14ac:dyDescent="0.2">
      <c r="A1257" s="235"/>
      <c r="B1257" s="236"/>
      <c r="C1257" s="29" t="str">
        <f>IF(B1257="","",IF($L$1217=$BL$25,VLOOKUP(DATE(YEAR($D$19),MONTH($D$19)-1,1),ÍNDICES!$A:$DE,HLOOKUP($BL$25,ÍNDICES!$B$3:$T$4,2)+11)-VLOOKUP(B1257,ÍNDICES!$A:$DE,HLOOKUP($BL$25,ÍNDICES!$B$3:$T$4,2)+11)+1%,IF(C$1220=$W$26,$J$35,IF(ISERROR(IF(B1257&gt;$D$19,1,VLOOKUP(B1257,ÍNDICES!$A:$DE,$Z$1217+1))),"",IF(B1257&gt;$D$19,1,VLOOKUP(B1257,ÍNDICES!$A:$DE,$Z$1217+1))))))</f>
        <v/>
      </c>
      <c r="D1257" s="155"/>
      <c r="E1257" s="88"/>
      <c r="F1257" s="88"/>
      <c r="G1257" s="88"/>
      <c r="H1257" s="241"/>
      <c r="I1257" s="182">
        <f t="shared" si="172"/>
        <v>0</v>
      </c>
      <c r="J1257" s="240">
        <f t="shared" ca="1" si="171"/>
        <v>0</v>
      </c>
      <c r="K1257" s="5">
        <f t="shared" ca="1" si="173"/>
        <v>0</v>
      </c>
      <c r="L1257" s="183"/>
      <c r="M1257" s="69"/>
      <c r="N1257" s="87"/>
      <c r="O1257" s="87"/>
      <c r="BB1257" s="447"/>
    </row>
    <row r="1258" spans="1:54" s="446" customFormat="1" ht="11.25" hidden="1" customHeight="1" x14ac:dyDescent="0.2">
      <c r="A1258" s="235"/>
      <c r="B1258" s="236"/>
      <c r="C1258" s="29" t="str">
        <f>IF(B1258="","",IF($L$1217=$BL$25,VLOOKUP(DATE(YEAR($D$19),MONTH($D$19)-1,1),ÍNDICES!$A:$DE,HLOOKUP($BL$25,ÍNDICES!$B$3:$T$4,2)+11)-VLOOKUP(B1258,ÍNDICES!$A:$DE,HLOOKUP($BL$25,ÍNDICES!$B$3:$T$4,2)+11)+1%,IF(C$1220=$W$26,$J$35,IF(ISERROR(IF(B1258&gt;$D$19,1,VLOOKUP(B1258,ÍNDICES!$A:$DE,$Z$1217+1))),"",IF(B1258&gt;$D$19,1,VLOOKUP(B1258,ÍNDICES!$A:$DE,$Z$1217+1))))))</f>
        <v/>
      </c>
      <c r="D1258" s="155"/>
      <c r="E1258" s="88"/>
      <c r="F1258" s="88"/>
      <c r="G1258" s="88"/>
      <c r="H1258" s="241"/>
      <c r="I1258" s="182">
        <f t="shared" si="172"/>
        <v>0</v>
      </c>
      <c r="J1258" s="240">
        <f t="shared" ca="1" si="171"/>
        <v>0</v>
      </c>
      <c r="K1258" s="5">
        <f t="shared" ca="1" si="173"/>
        <v>0</v>
      </c>
      <c r="L1258" s="183"/>
      <c r="M1258" s="69"/>
      <c r="N1258" s="87"/>
      <c r="O1258" s="87"/>
      <c r="BB1258" s="447"/>
    </row>
    <row r="1259" spans="1:54" s="446" customFormat="1" ht="11.25" hidden="1" customHeight="1" x14ac:dyDescent="0.2">
      <c r="A1259" s="235"/>
      <c r="B1259" s="236"/>
      <c r="C1259" s="29" t="str">
        <f>IF(B1259="","",IF($L$1217=$BL$25,VLOOKUP(DATE(YEAR($D$19),MONTH($D$19)-1,1),ÍNDICES!$A:$DE,HLOOKUP($BL$25,ÍNDICES!$B$3:$T$4,2)+11)-VLOOKUP(B1259,ÍNDICES!$A:$DE,HLOOKUP($BL$25,ÍNDICES!$B$3:$T$4,2)+11)+1%,IF(C$1220=$W$26,$J$35,IF(ISERROR(IF(B1259&gt;$D$19,1,VLOOKUP(B1259,ÍNDICES!$A:$DE,$Z$1217+1))),"",IF(B1259&gt;$D$19,1,VLOOKUP(B1259,ÍNDICES!$A:$DE,$Z$1217+1))))))</f>
        <v/>
      </c>
      <c r="D1259" s="155"/>
      <c r="E1259" s="88"/>
      <c r="F1259" s="88"/>
      <c r="G1259" s="88"/>
      <c r="H1259" s="241"/>
      <c r="I1259" s="182">
        <f t="shared" si="172"/>
        <v>0</v>
      </c>
      <c r="J1259" s="240">
        <f t="shared" ca="1" si="171"/>
        <v>0</v>
      </c>
      <c r="K1259" s="5">
        <f t="shared" ca="1" si="173"/>
        <v>0</v>
      </c>
      <c r="L1259" s="183"/>
      <c r="M1259" s="69"/>
      <c r="N1259" s="87"/>
      <c r="O1259" s="87"/>
      <c r="BB1259" s="447"/>
    </row>
    <row r="1260" spans="1:54" s="446" customFormat="1" ht="11.25" hidden="1" customHeight="1" x14ac:dyDescent="0.2">
      <c r="A1260" s="235"/>
      <c r="B1260" s="236"/>
      <c r="C1260" s="29" t="str">
        <f>IF(B1260="","",IF($L$1217=$BL$25,VLOOKUP(DATE(YEAR($D$19),MONTH($D$19)-1,1),ÍNDICES!$A:$DE,HLOOKUP($BL$25,ÍNDICES!$B$3:$T$4,2)+11)-VLOOKUP(B1260,ÍNDICES!$A:$DE,HLOOKUP($BL$25,ÍNDICES!$B$3:$T$4,2)+11)+1%,IF(C$1220=$W$26,$J$35,IF(ISERROR(IF(B1260&gt;$D$19,1,VLOOKUP(B1260,ÍNDICES!$A:$DE,$Z$1217+1))),"",IF(B1260&gt;$D$19,1,VLOOKUP(B1260,ÍNDICES!$A:$DE,$Z$1217+1))))))</f>
        <v/>
      </c>
      <c r="D1260" s="155"/>
      <c r="E1260" s="88"/>
      <c r="F1260" s="88"/>
      <c r="G1260" s="88"/>
      <c r="H1260" s="241"/>
      <c r="I1260" s="182">
        <f t="shared" si="172"/>
        <v>0</v>
      </c>
      <c r="J1260" s="240">
        <f t="shared" ca="1" si="171"/>
        <v>0</v>
      </c>
      <c r="K1260" s="5">
        <f t="shared" ca="1" si="173"/>
        <v>0</v>
      </c>
      <c r="L1260" s="183"/>
      <c r="M1260" s="69"/>
      <c r="N1260" s="87"/>
      <c r="O1260" s="87"/>
      <c r="BB1260" s="447"/>
    </row>
    <row r="1261" spans="1:54" s="446" customFormat="1" ht="11.25" hidden="1" customHeight="1" x14ac:dyDescent="0.2">
      <c r="A1261" s="235"/>
      <c r="B1261" s="236"/>
      <c r="C1261" s="29" t="str">
        <f>IF(B1261="","",IF($L$1217=$BL$25,VLOOKUP(DATE(YEAR($D$19),MONTH($D$19)-1,1),ÍNDICES!$A:$DE,HLOOKUP($BL$25,ÍNDICES!$B$3:$T$4,2)+11)-VLOOKUP(B1261,ÍNDICES!$A:$DE,HLOOKUP($BL$25,ÍNDICES!$B$3:$T$4,2)+11)+1%,IF(C$1220=$W$26,$J$35,IF(ISERROR(IF(B1261&gt;$D$19,1,VLOOKUP(B1261,ÍNDICES!$A:$DE,$Z$1217+1))),"",IF(B1261&gt;$D$19,1,VLOOKUP(B1261,ÍNDICES!$A:$DE,$Z$1217+1))))))</f>
        <v/>
      </c>
      <c r="D1261" s="155"/>
      <c r="E1261" s="88"/>
      <c r="F1261" s="88"/>
      <c r="G1261" s="88"/>
      <c r="H1261" s="241"/>
      <c r="I1261" s="182">
        <f t="shared" si="172"/>
        <v>0</v>
      </c>
      <c r="J1261" s="240">
        <f t="shared" ca="1" si="171"/>
        <v>0</v>
      </c>
      <c r="K1261" s="5">
        <f t="shared" ca="1" si="173"/>
        <v>0</v>
      </c>
      <c r="L1261" s="183"/>
      <c r="M1261" s="69"/>
      <c r="N1261" s="87"/>
      <c r="O1261" s="87"/>
      <c r="BB1261" s="447"/>
    </row>
    <row r="1262" spans="1:54" s="446" customFormat="1" ht="11.25" hidden="1" customHeight="1" x14ac:dyDescent="0.2">
      <c r="A1262" s="235"/>
      <c r="B1262" s="236"/>
      <c r="C1262" s="29" t="str">
        <f>IF(B1262="","",IF($L$1217=$BL$25,VLOOKUP(DATE(YEAR($D$19),MONTH($D$19)-1,1),ÍNDICES!$A:$DE,HLOOKUP($BL$25,ÍNDICES!$B$3:$T$4,2)+11)-VLOOKUP(B1262,ÍNDICES!$A:$DE,HLOOKUP($BL$25,ÍNDICES!$B$3:$T$4,2)+11)+1%,IF(C$1220=$W$26,$J$35,IF(ISERROR(IF(B1262&gt;$D$19,1,VLOOKUP(B1262,ÍNDICES!$A:$DE,$Z$1217+1))),"",IF(B1262&gt;$D$19,1,VLOOKUP(B1262,ÍNDICES!$A:$DE,$Z$1217+1))))))</f>
        <v/>
      </c>
      <c r="D1262" s="155"/>
      <c r="E1262" s="88"/>
      <c r="F1262" s="88"/>
      <c r="G1262" s="88"/>
      <c r="H1262" s="241"/>
      <c r="I1262" s="182">
        <f t="shared" si="172"/>
        <v>0</v>
      </c>
      <c r="J1262" s="240">
        <f t="shared" ca="1" si="171"/>
        <v>0</v>
      </c>
      <c r="K1262" s="5">
        <f t="shared" ca="1" si="173"/>
        <v>0</v>
      </c>
      <c r="L1262" s="183"/>
      <c r="M1262" s="69"/>
      <c r="N1262" s="87"/>
      <c r="O1262" s="87"/>
      <c r="BB1262" s="447"/>
    </row>
    <row r="1263" spans="1:54" s="446" customFormat="1" ht="11.25" hidden="1" customHeight="1" x14ac:dyDescent="0.2">
      <c r="A1263" s="235"/>
      <c r="B1263" s="236"/>
      <c r="C1263" s="29" t="str">
        <f>IF(B1263="","",IF($L$1217=$BL$25,VLOOKUP(DATE(YEAR($D$19),MONTH($D$19)-1,1),ÍNDICES!$A:$DE,HLOOKUP($BL$25,ÍNDICES!$B$3:$T$4,2)+11)-VLOOKUP(B1263,ÍNDICES!$A:$DE,HLOOKUP($BL$25,ÍNDICES!$B$3:$T$4,2)+11)+1%,IF(C$1220=$W$26,$J$35,IF(ISERROR(IF(B1263&gt;$D$19,1,VLOOKUP(B1263,ÍNDICES!$A:$DE,$Z$1217+1))),"",IF(B1263&gt;$D$19,1,VLOOKUP(B1263,ÍNDICES!$A:$DE,$Z$1217+1))))))</f>
        <v/>
      </c>
      <c r="D1263" s="155"/>
      <c r="E1263" s="88"/>
      <c r="F1263" s="88"/>
      <c r="G1263" s="88"/>
      <c r="H1263" s="241"/>
      <c r="I1263" s="182">
        <f t="shared" si="172"/>
        <v>0</v>
      </c>
      <c r="J1263" s="240">
        <f t="shared" ca="1" si="171"/>
        <v>0</v>
      </c>
      <c r="K1263" s="5">
        <f t="shared" ca="1" si="173"/>
        <v>0</v>
      </c>
      <c r="L1263" s="183"/>
      <c r="M1263" s="69"/>
      <c r="N1263" s="87"/>
      <c r="O1263" s="87"/>
      <c r="BB1263" s="447"/>
    </row>
    <row r="1264" spans="1:54" s="446" customFormat="1" ht="11.25" hidden="1" customHeight="1" x14ac:dyDescent="0.2">
      <c r="A1264" s="235"/>
      <c r="B1264" s="236"/>
      <c r="C1264" s="29" t="str">
        <f>IF(B1264="","",IF($L$1217=$BL$25,VLOOKUP(DATE(YEAR($D$19),MONTH($D$19)-1,1),ÍNDICES!$A:$DE,HLOOKUP($BL$25,ÍNDICES!$B$3:$T$4,2)+11)-VLOOKUP(B1264,ÍNDICES!$A:$DE,HLOOKUP($BL$25,ÍNDICES!$B$3:$T$4,2)+11)+1%,IF(C$1220=$W$26,$J$35,IF(ISERROR(IF(B1264&gt;$D$19,1,VLOOKUP(B1264,ÍNDICES!$A:$DE,$Z$1217+1))),"",IF(B1264&gt;$D$19,1,VLOOKUP(B1264,ÍNDICES!$A:$DE,$Z$1217+1))))))</f>
        <v/>
      </c>
      <c r="D1264" s="155"/>
      <c r="E1264" s="88"/>
      <c r="F1264" s="88"/>
      <c r="G1264" s="88"/>
      <c r="H1264" s="241"/>
      <c r="I1264" s="182">
        <f t="shared" si="172"/>
        <v>0</v>
      </c>
      <c r="J1264" s="240">
        <f t="shared" ca="1" si="171"/>
        <v>0</v>
      </c>
      <c r="K1264" s="5">
        <f t="shared" ca="1" si="173"/>
        <v>0</v>
      </c>
      <c r="L1264" s="183"/>
      <c r="M1264" s="69"/>
      <c r="N1264" s="87"/>
      <c r="O1264" s="87"/>
      <c r="BB1264" s="447"/>
    </row>
    <row r="1265" spans="1:54" s="446" customFormat="1" ht="11.25" hidden="1" customHeight="1" x14ac:dyDescent="0.2">
      <c r="A1265" s="235"/>
      <c r="B1265" s="236"/>
      <c r="C1265" s="29" t="str">
        <f>IF(B1265="","",IF($L$1217=$BL$25,VLOOKUP(DATE(YEAR($D$19),MONTH($D$19)-1,1),ÍNDICES!$A:$DE,HLOOKUP($BL$25,ÍNDICES!$B$3:$T$4,2)+11)-VLOOKUP(B1265,ÍNDICES!$A:$DE,HLOOKUP($BL$25,ÍNDICES!$B$3:$T$4,2)+11)+1%,IF(C$1220=$W$26,$J$35,IF(ISERROR(IF(B1265&gt;$D$19,1,VLOOKUP(B1265,ÍNDICES!$A:$DE,$Z$1217+1))),"",IF(B1265&gt;$D$19,1,VLOOKUP(B1265,ÍNDICES!$A:$DE,$Z$1217+1))))))</f>
        <v/>
      </c>
      <c r="D1265" s="155"/>
      <c r="E1265" s="88"/>
      <c r="F1265" s="88"/>
      <c r="G1265" s="88"/>
      <c r="H1265" s="241"/>
      <c r="I1265" s="182">
        <f t="shared" si="172"/>
        <v>0</v>
      </c>
      <c r="J1265" s="240">
        <f t="shared" ca="1" si="171"/>
        <v>0</v>
      </c>
      <c r="K1265" s="5">
        <f t="shared" ca="1" si="173"/>
        <v>0</v>
      </c>
      <c r="L1265" s="183"/>
      <c r="M1265" s="69"/>
      <c r="N1265" s="87"/>
      <c r="O1265" s="87"/>
      <c r="BB1265" s="447"/>
    </row>
    <row r="1266" spans="1:54" s="446" customFormat="1" ht="11.25" hidden="1" customHeight="1" x14ac:dyDescent="0.2">
      <c r="A1266" s="235"/>
      <c r="B1266" s="236"/>
      <c r="C1266" s="29" t="str">
        <f>IF(B1266="","",IF($L$1217=$BL$25,VLOOKUP(DATE(YEAR($D$19),MONTH($D$19)-1,1),ÍNDICES!$A:$DE,HLOOKUP($BL$25,ÍNDICES!$B$3:$T$4,2)+11)-VLOOKUP(B1266,ÍNDICES!$A:$DE,HLOOKUP($BL$25,ÍNDICES!$B$3:$T$4,2)+11)+1%,IF(C$1220=$W$26,$J$35,IF(ISERROR(IF(B1266&gt;$D$19,1,VLOOKUP(B1266,ÍNDICES!$A:$DE,$Z$1217+1))),"",IF(B1266&gt;$D$19,1,VLOOKUP(B1266,ÍNDICES!$A:$DE,$Z$1217+1))))))</f>
        <v/>
      </c>
      <c r="D1266" s="155"/>
      <c r="E1266" s="88"/>
      <c r="F1266" s="88"/>
      <c r="G1266" s="88"/>
      <c r="H1266" s="241"/>
      <c r="I1266" s="182">
        <f t="shared" si="172"/>
        <v>0</v>
      </c>
      <c r="J1266" s="240">
        <f t="shared" ca="1" si="171"/>
        <v>0</v>
      </c>
      <c r="K1266" s="5">
        <f t="shared" ca="1" si="173"/>
        <v>0</v>
      </c>
      <c r="L1266" s="183"/>
      <c r="M1266" s="69"/>
      <c r="N1266" s="87"/>
      <c r="O1266" s="87"/>
      <c r="BB1266" s="447"/>
    </row>
    <row r="1267" spans="1:54" s="446" customFormat="1" ht="11.25" customHeight="1" x14ac:dyDescent="0.2">
      <c r="A1267" s="524" t="s">
        <v>133</v>
      </c>
      <c r="B1267" s="525"/>
      <c r="C1267" s="29"/>
      <c r="D1267" s="161">
        <f>SUM(D1222:D1266)</f>
        <v>0</v>
      </c>
      <c r="E1267" s="242"/>
      <c r="F1267" s="242"/>
      <c r="G1267" s="242"/>
      <c r="H1267" s="120"/>
      <c r="I1267" s="161">
        <f>SUM(I1222:I1266)</f>
        <v>0</v>
      </c>
      <c r="J1267" s="526"/>
      <c r="K1267" s="62">
        <f ca="1">SUM(K1222:K1266)</f>
        <v>0</v>
      </c>
      <c r="L1267" s="183"/>
      <c r="M1267" s="69"/>
      <c r="N1267" s="87"/>
      <c r="O1267" s="87"/>
      <c r="BB1267" s="447"/>
    </row>
    <row r="1268" spans="1:54" s="446" customFormat="1" ht="12.95" customHeight="1" x14ac:dyDescent="0.2">
      <c r="A1268" s="243"/>
      <c r="B1268" s="243"/>
      <c r="C1268" s="244"/>
      <c r="D1268" s="185"/>
      <c r="E1268" s="185"/>
      <c r="F1268" s="185"/>
      <c r="G1268" s="185"/>
      <c r="H1268" s="245"/>
      <c r="I1268" s="185"/>
      <c r="J1268" s="19"/>
      <c r="K1268" s="19"/>
      <c r="L1268" s="244"/>
      <c r="M1268" s="69"/>
      <c r="N1268" s="87"/>
      <c r="O1268" s="87"/>
      <c r="BB1268" s="447"/>
    </row>
    <row r="1269" spans="1:54" s="446" customFormat="1" ht="12.95" customHeight="1" x14ac:dyDescent="0.2">
      <c r="A1269" s="87"/>
      <c r="B1269" s="185"/>
      <c r="C1269" s="185"/>
      <c r="D1269" s="574" t="str">
        <f>IF(B23=W21,"FASE DE CONHECIMENTO","RESUMO DO CÁLCULO")</f>
        <v>FASE DE CONHECIMENTO</v>
      </c>
      <c r="E1269" s="575"/>
      <c r="F1269" s="575"/>
      <c r="G1269" s="575"/>
      <c r="H1269" s="575"/>
      <c r="I1269" s="575"/>
      <c r="J1269" s="575"/>
      <c r="K1269" s="575"/>
      <c r="L1269" s="575"/>
      <c r="M1269" s="575"/>
      <c r="N1269" s="576"/>
      <c r="O1269" s="88"/>
      <c r="P1269" s="500"/>
      <c r="S1269" s="500"/>
      <c r="T1269" s="500"/>
      <c r="U1269" s="500"/>
      <c r="V1269" s="500"/>
      <c r="BB1269" s="447"/>
    </row>
    <row r="1270" spans="1:54" s="446" customFormat="1" ht="12.95" customHeight="1" x14ac:dyDescent="0.2">
      <c r="A1270" s="87"/>
      <c r="B1270" s="88"/>
      <c r="C1270" s="88"/>
      <c r="D1270" s="246"/>
      <c r="E1270" s="247"/>
      <c r="F1270" s="247"/>
      <c r="G1270" s="247"/>
      <c r="H1270" s="248"/>
      <c r="I1270" s="249" t="s">
        <v>134</v>
      </c>
      <c r="J1270" s="250"/>
      <c r="K1270" s="88">
        <f ca="1">(K610+N610+K680+N680+K689)*(IF(L1270=P$1270,1,0))</f>
        <v>0</v>
      </c>
      <c r="L1270" s="251" t="s">
        <v>135</v>
      </c>
      <c r="M1270" s="68"/>
      <c r="N1270" s="252"/>
      <c r="O1270" s="88"/>
      <c r="P1270" s="468" t="s">
        <v>135</v>
      </c>
      <c r="S1270" s="468"/>
      <c r="T1270" s="468"/>
      <c r="U1270" s="468"/>
      <c r="V1270" s="468"/>
      <c r="BB1270" s="447"/>
    </row>
    <row r="1271" spans="1:54" s="446" customFormat="1" ht="12.95" customHeight="1" x14ac:dyDescent="0.2">
      <c r="A1271" s="87"/>
      <c r="B1271" s="88"/>
      <c r="C1271" s="88"/>
      <c r="D1271" s="253"/>
      <c r="E1271" s="87"/>
      <c r="F1271" s="87"/>
      <c r="G1271" s="87"/>
      <c r="H1271" s="89"/>
      <c r="I1271" s="164" t="s">
        <v>136</v>
      </c>
      <c r="J1271" s="254"/>
      <c r="K1271" s="88">
        <f ca="1">(J610+L610+L680+L689)*(IF(L1270=P$1270,1,0))</f>
        <v>0</v>
      </c>
      <c r="L1271" s="251" t="str">
        <f>L1270</f>
        <v>INCLUIR</v>
      </c>
      <c r="M1271" s="68"/>
      <c r="N1271" s="252"/>
      <c r="O1271" s="88"/>
      <c r="P1271" s="468" t="s">
        <v>137</v>
      </c>
      <c r="Q1271" s="468"/>
      <c r="R1271" s="468"/>
      <c r="S1271" s="468"/>
      <c r="T1271" s="468"/>
      <c r="U1271" s="468"/>
      <c r="V1271" s="468"/>
      <c r="BB1271" s="447"/>
    </row>
    <row r="1272" spans="1:54" s="446" customFormat="1" ht="12.95" customHeight="1" x14ac:dyDescent="0.2">
      <c r="A1272" s="87"/>
      <c r="B1272" s="88"/>
      <c r="C1272" s="88"/>
      <c r="D1272" s="253"/>
      <c r="E1272" s="87"/>
      <c r="F1272" s="87"/>
      <c r="G1272" s="87"/>
      <c r="H1272" s="89"/>
      <c r="I1272" s="255" t="s">
        <v>138</v>
      </c>
      <c r="J1272" s="254"/>
      <c r="K1272" s="88">
        <f ca="1">O706</f>
        <v>0</v>
      </c>
      <c r="L1272" s="90"/>
      <c r="M1272" s="68"/>
      <c r="N1272" s="252"/>
      <c r="O1272" s="88"/>
      <c r="BB1272" s="447"/>
    </row>
    <row r="1273" spans="1:54" s="446" customFormat="1" ht="12.95" customHeight="1" x14ac:dyDescent="0.2">
      <c r="A1273" s="87"/>
      <c r="B1273" s="88"/>
      <c r="C1273" s="88"/>
      <c r="D1273" s="257"/>
      <c r="E1273" s="226"/>
      <c r="F1273" s="226"/>
      <c r="G1273" s="258"/>
      <c r="H1273" s="259"/>
      <c r="I1273" s="260" t="s">
        <v>139</v>
      </c>
      <c r="J1273" s="254"/>
      <c r="K1273" s="88">
        <f ca="1">O1214*(IF(L1273=P$1270,1,0))</f>
        <v>0</v>
      </c>
      <c r="L1273" s="256" t="s">
        <v>135</v>
      </c>
      <c r="M1273" s="68"/>
      <c r="N1273" s="252"/>
      <c r="O1273" s="88"/>
      <c r="BB1273" s="447"/>
    </row>
    <row r="1274" spans="1:54" s="446" customFormat="1" ht="12.95" customHeight="1" x14ac:dyDescent="0.2">
      <c r="A1274" s="87"/>
      <c r="B1274" s="88"/>
      <c r="C1274" s="88"/>
      <c r="D1274" s="253"/>
      <c r="E1274" s="87"/>
      <c r="F1274" s="87"/>
      <c r="G1274" s="258"/>
      <c r="H1274" s="259"/>
      <c r="I1274" s="261" t="s">
        <v>140</v>
      </c>
      <c r="J1274" s="262"/>
      <c r="K1274" s="88">
        <f ca="1">IF(ISERROR(SUM(K1222:K1266)),0,SUM(K1222:K1266))</f>
        <v>0</v>
      </c>
      <c r="L1274" s="88"/>
      <c r="M1274" s="68"/>
      <c r="N1274" s="252"/>
      <c r="O1274" s="88"/>
      <c r="BB1274" s="447"/>
    </row>
    <row r="1275" spans="1:54" s="446" customFormat="1" ht="12.95" customHeight="1" x14ac:dyDescent="0.2">
      <c r="A1275" s="263" t="str">
        <f>D1323</f>
        <v xml:space="preserve">Sim </v>
      </c>
      <c r="B1275" s="88"/>
      <c r="C1275" s="88"/>
      <c r="D1275" s="264"/>
      <c r="E1275" s="265"/>
      <c r="F1275" s="265"/>
      <c r="G1275" s="78"/>
      <c r="H1275" s="266"/>
      <c r="I1275" s="267" t="s">
        <v>141</v>
      </c>
      <c r="J1275" s="268">
        <f>$D$19</f>
        <v>45138</v>
      </c>
      <c r="K1275" s="526">
        <f ca="1">SUM(K1270:K1274)</f>
        <v>0</v>
      </c>
      <c r="L1275" s="150"/>
      <c r="M1275" s="78"/>
      <c r="N1275" s="58"/>
      <c r="O1275" s="19"/>
      <c r="Q1275" s="472" t="s">
        <v>142</v>
      </c>
      <c r="R1275" s="501">
        <f>J1287</f>
        <v>45138</v>
      </c>
      <c r="BB1275" s="447"/>
    </row>
    <row r="1276" spans="1:54" s="446" customFormat="1" ht="6" hidden="1" customHeight="1" x14ac:dyDescent="0.2">
      <c r="A1276" s="87"/>
      <c r="B1276" s="88"/>
      <c r="C1276" s="88"/>
      <c r="D1276" s="87"/>
      <c r="E1276" s="87"/>
      <c r="F1276" s="87"/>
      <c r="G1276" s="87"/>
      <c r="H1276" s="89"/>
      <c r="I1276" s="87"/>
      <c r="J1276" s="269"/>
      <c r="K1276" s="269"/>
      <c r="L1276" s="269"/>
      <c r="M1276" s="80"/>
      <c r="N1276" s="269"/>
      <c r="O1276" s="269"/>
      <c r="P1276" s="502"/>
      <c r="S1276" s="502"/>
      <c r="T1276" s="502"/>
      <c r="U1276" s="502"/>
      <c r="V1276" s="502"/>
      <c r="BB1276" s="447"/>
    </row>
    <row r="1277" spans="1:54" s="446" customFormat="1" ht="12.95" hidden="1" customHeight="1" x14ac:dyDescent="0.2">
      <c r="A1277" s="253"/>
      <c r="B1277" s="88"/>
      <c r="C1277" s="88"/>
      <c r="D1277" s="87"/>
      <c r="E1277" s="87"/>
      <c r="F1277" s="87"/>
      <c r="G1277" s="87"/>
      <c r="H1277" s="89"/>
      <c r="I1277" s="87"/>
      <c r="J1277" s="261" t="s">
        <v>143</v>
      </c>
      <c r="K1277" s="270">
        <v>1</v>
      </c>
      <c r="L1277" s="269"/>
      <c r="M1277" s="79"/>
      <c r="N1277" s="269"/>
      <c r="O1277" s="269"/>
      <c r="P1277" s="502"/>
      <c r="S1277" s="502"/>
      <c r="T1277" s="502"/>
      <c r="U1277" s="502"/>
      <c r="V1277" s="502"/>
      <c r="BB1277" s="447"/>
    </row>
    <row r="1278" spans="1:54" s="446" customFormat="1" ht="12.95" hidden="1" customHeight="1" x14ac:dyDescent="0.2">
      <c r="A1278" s="253"/>
      <c r="B1278" s="88"/>
      <c r="C1278" s="88"/>
      <c r="D1278" s="87"/>
      <c r="E1278" s="87"/>
      <c r="F1278" s="87"/>
      <c r="G1278" s="87"/>
      <c r="H1278" s="89"/>
      <c r="I1278" s="87"/>
      <c r="J1278" s="261"/>
      <c r="K1278" s="271" t="s">
        <v>144</v>
      </c>
      <c r="L1278" s="269"/>
      <c r="M1278" s="79"/>
      <c r="N1278" s="269"/>
      <c r="O1278" s="269"/>
      <c r="P1278" s="502"/>
      <c r="S1278" s="502"/>
      <c r="T1278" s="502"/>
      <c r="U1278" s="502"/>
      <c r="V1278" s="502"/>
      <c r="BB1278" s="447"/>
    </row>
    <row r="1279" spans="1:54" s="446" customFormat="1" ht="6" customHeight="1" x14ac:dyDescent="0.2">
      <c r="A1279" s="272"/>
      <c r="B1279" s="273"/>
      <c r="C1279" s="273"/>
      <c r="D1279" s="274"/>
      <c r="E1279" s="274"/>
      <c r="F1279" s="274"/>
      <c r="G1279" s="274"/>
      <c r="H1279" s="275"/>
      <c r="I1279" s="274"/>
      <c r="J1279" s="276"/>
      <c r="K1279" s="276"/>
      <c r="L1279" s="276"/>
      <c r="M1279" s="277"/>
      <c r="N1279" s="269"/>
      <c r="O1279" s="269"/>
      <c r="P1279" s="502"/>
      <c r="Q1279" s="502"/>
      <c r="R1279" s="502"/>
      <c r="S1279" s="502"/>
      <c r="T1279" s="502"/>
      <c r="U1279" s="502"/>
      <c r="V1279" s="502"/>
      <c r="BB1279" s="447"/>
    </row>
    <row r="1280" spans="1:54" s="446" customFormat="1" ht="12.95" customHeight="1" x14ac:dyDescent="0.2">
      <c r="A1280" s="253"/>
      <c r="B1280" s="87"/>
      <c r="C1280" s="278"/>
      <c r="D1280" s="87"/>
      <c r="E1280" s="87"/>
      <c r="F1280" s="87"/>
      <c r="G1280" s="87"/>
      <c r="H1280" s="89"/>
      <c r="I1280" s="279" t="s">
        <v>145</v>
      </c>
      <c r="J1280" s="280">
        <v>0</v>
      </c>
      <c r="K1280" s="104">
        <f ca="1">IF(ISERROR(IF(K1277=1,IF(K1275&gt;0,K1275,0),IF(K1277=2,IF(K1270&gt;0,K1270,0),IF(K1273&gt;0,K1273,0)))*J1280),0,IF(K1277=1,IF(K1275&gt;0,K1275,0),IF(K1277=2,IF(K1270&gt;0,K1270,0),IF(K1273&gt;0,K1273,0)))*J1280)</f>
        <v>0</v>
      </c>
      <c r="L1280" s="262"/>
      <c r="M1280" s="281"/>
      <c r="N1280" s="87"/>
      <c r="O1280" s="87"/>
      <c r="BB1280" s="447"/>
    </row>
    <row r="1281" spans="1:54" s="446" customFormat="1" ht="12.95" customHeight="1" x14ac:dyDescent="0.2">
      <c r="A1281" s="253"/>
      <c r="B1281" s="87"/>
      <c r="C1281" s="278"/>
      <c r="D1281" s="87"/>
      <c r="E1281" s="87"/>
      <c r="F1281" s="87"/>
      <c r="G1281" s="87"/>
      <c r="H1281" s="89"/>
      <c r="I1281" s="279" t="s">
        <v>146</v>
      </c>
      <c r="J1281" s="280">
        <v>0</v>
      </c>
      <c r="K1281" s="104">
        <f ca="1">IF(ISERROR(IF(K1277=1,IF(K1275&gt;0,K1275,0),IF(K1277=2,IF(K1270&gt;0,K1270,0),IF(K1273&gt;0,K1273,0)))*J1281),0,IF(K1277=1,IF(K1275&gt;0,K1275,0),IF(K1277=2,IF(K1270&gt;0,K1270,0),IF(K1273&gt;0,K1273,0)))*J1281)</f>
        <v>0</v>
      </c>
      <c r="L1281" s="262"/>
      <c r="M1281" s="281"/>
      <c r="N1281" s="87"/>
      <c r="O1281" s="87"/>
      <c r="BB1281" s="447"/>
    </row>
    <row r="1282" spans="1:54" s="446" customFormat="1" ht="12.95" customHeight="1" x14ac:dyDescent="0.2">
      <c r="A1282" s="264"/>
      <c r="B1282" s="265"/>
      <c r="C1282" s="282"/>
      <c r="D1282" s="265"/>
      <c r="E1282" s="265"/>
      <c r="F1282" s="265"/>
      <c r="G1282" s="265"/>
      <c r="H1282" s="283"/>
      <c r="I1282" s="284" t="s">
        <v>147</v>
      </c>
      <c r="J1282" s="285">
        <f>$D$19</f>
        <v>45138</v>
      </c>
      <c r="K1282" s="286">
        <f ca="1">K1275+K1281+K1280</f>
        <v>0</v>
      </c>
      <c r="L1282" s="287"/>
      <c r="M1282" s="288"/>
      <c r="N1282" s="87"/>
      <c r="O1282" s="87"/>
      <c r="BB1282" s="447"/>
    </row>
    <row r="1283" spans="1:54" s="446" customFormat="1" ht="6" customHeight="1" x14ac:dyDescent="0.2">
      <c r="A1283" s="289"/>
      <c r="B1283" s="289"/>
      <c r="C1283" s="289"/>
      <c r="D1283" s="87"/>
      <c r="E1283" s="87"/>
      <c r="F1283" s="87"/>
      <c r="G1283" s="87"/>
      <c r="H1283" s="89"/>
      <c r="I1283" s="87"/>
      <c r="J1283" s="290"/>
      <c r="K1283" s="291"/>
      <c r="L1283" s="292"/>
      <c r="M1283" s="68"/>
      <c r="N1283" s="87"/>
      <c r="O1283" s="87"/>
      <c r="BB1283" s="447"/>
    </row>
    <row r="1284" spans="1:54" s="446" customFormat="1" ht="12.95" customHeight="1" x14ac:dyDescent="0.2">
      <c r="A1284" s="437" t="s">
        <v>148</v>
      </c>
      <c r="B1284" s="274"/>
      <c r="C1284" s="293"/>
      <c r="D1284" s="295">
        <v>0.01</v>
      </c>
      <c r="E1284" s="274"/>
      <c r="F1284" s="274"/>
      <c r="G1284" s="274"/>
      <c r="H1284" s="275"/>
      <c r="I1284" s="590">
        <f ca="1">K1282</f>
        <v>0</v>
      </c>
      <c r="J1284" s="590"/>
      <c r="K1284" s="590"/>
      <c r="L1284" s="432" t="s">
        <v>149</v>
      </c>
      <c r="M1284" s="434">
        <f>J1282</f>
        <v>45138</v>
      </c>
      <c r="N1284" s="83" t="s">
        <v>150</v>
      </c>
      <c r="O1284" s="441">
        <f>IF(ISERROR(VLOOKUP(M1284,ÍNDICES!$A:$DE,22)),0,VLOOKUP(M1284,ÍNDICES!$A:$DE,22))</f>
        <v>34.26</v>
      </c>
      <c r="BB1284" s="447"/>
    </row>
    <row r="1285" spans="1:54" s="446" customFormat="1" ht="12.95" customHeight="1" x14ac:dyDescent="0.2">
      <c r="A1285" s="577">
        <f>VLOOKUP(J1282,ÍNDICES!$A:$AA,14)</f>
        <v>92.252543000000003</v>
      </c>
      <c r="B1285" s="578"/>
      <c r="C1285" s="579">
        <f>VLOOKUP(M1284,ÍNDICES!$A:$AA,14)</f>
        <v>92.252543000000003</v>
      </c>
      <c r="D1285" s="579"/>
      <c r="E1285" s="87"/>
      <c r="F1285" s="270"/>
      <c r="G1285" s="270"/>
      <c r="H1285" s="112"/>
      <c r="I1285" s="582">
        <f ca="1">MAX(DAYS360(J1282,IF(D1286=0,M1284,D1286),TRUE)/360*0.12*K1270/A1285*C1285,0)</f>
        <v>0</v>
      </c>
      <c r="J1285" s="582"/>
      <c r="K1285" s="589">
        <f ca="1">IF(A1285=0,0,IF(C1285=1,0,K1282/A1285*C1285))+I1285</f>
        <v>0</v>
      </c>
      <c r="L1285" s="589"/>
      <c r="M1285" s="589"/>
      <c r="N1285" s="587">
        <f ca="1">IF(OR(D1284=0,K1285=0),0,MAX(MIN(3000*O1284,D1284*K1285),5*O1284))</f>
        <v>0</v>
      </c>
      <c r="O1285" s="588"/>
      <c r="BB1285" s="447"/>
    </row>
    <row r="1286" spans="1:54" s="446" customFormat="1" ht="12.95" customHeight="1" x14ac:dyDescent="0.2">
      <c r="A1286" s="435" t="s">
        <v>151</v>
      </c>
      <c r="B1286" s="431"/>
      <c r="C1286" s="433" t="s">
        <v>152</v>
      </c>
      <c r="D1286" s="436"/>
      <c r="E1286" s="265"/>
      <c r="F1286" s="265"/>
      <c r="G1286" s="265"/>
      <c r="H1286" s="112"/>
      <c r="I1286" s="583" t="str">
        <f>IF(D1286=0,"",VLOOKUP(D1286,ÍNDICES!$A:$AA,14))</f>
        <v/>
      </c>
      <c r="J1286" s="583"/>
      <c r="K1286" s="584" t="str">
        <f>IF(D1286=0,"",B1286/I1286*C1285)</f>
        <v/>
      </c>
      <c r="L1286" s="584"/>
      <c r="M1286" s="585">
        <f ca="1">N1285-IF(K1286="",0,K1286)</f>
        <v>0</v>
      </c>
      <c r="N1286" s="585"/>
      <c r="O1286" s="586"/>
      <c r="BB1286" s="447"/>
    </row>
    <row r="1287" spans="1:54" s="446" customFormat="1" ht="20.100000000000001" customHeight="1" x14ac:dyDescent="0.2">
      <c r="A1287" s="87"/>
      <c r="B1287" s="87"/>
      <c r="C1287" s="289"/>
      <c r="D1287" s="87"/>
      <c r="E1287" s="87"/>
      <c r="F1287" s="87"/>
      <c r="G1287" s="289"/>
      <c r="H1287" s="296"/>
      <c r="I1287" s="438" t="str">
        <f ca="1">IF(K1287&gt;=0,"SALDO CREDOR AO AUTOR:-","SALDO DEVEDOR AO AUTOR:-")</f>
        <v>SALDO CREDOR AO AUTOR:-</v>
      </c>
      <c r="J1287" s="439">
        <f>$D$19</f>
        <v>45138</v>
      </c>
      <c r="K1287" s="19">
        <f ca="1">IF(ISERROR(K1282),0,K1282)</f>
        <v>0</v>
      </c>
      <c r="L1287" s="292"/>
      <c r="M1287" s="68"/>
      <c r="N1287" s="428" t="s">
        <v>153</v>
      </c>
      <c r="O1287" s="440">
        <f ca="1">M1286+K1287</f>
        <v>0</v>
      </c>
      <c r="BB1287" s="447"/>
    </row>
    <row r="1288" spans="1:54" s="446" customFormat="1" ht="12.95" customHeight="1" x14ac:dyDescent="0.2">
      <c r="A1288" s="87"/>
      <c r="B1288" s="87"/>
      <c r="C1288" s="289"/>
      <c r="D1288" s="87"/>
      <c r="E1288" s="87"/>
      <c r="F1288" s="87"/>
      <c r="G1288" s="87"/>
      <c r="H1288" s="89"/>
      <c r="I1288" s="87"/>
      <c r="J1288" s="290"/>
      <c r="K1288" s="291"/>
      <c r="L1288" s="292"/>
      <c r="M1288" s="68"/>
      <c r="N1288" s="87"/>
      <c r="O1288" s="87"/>
      <c r="BB1288" s="447"/>
    </row>
    <row r="1289" spans="1:54" s="446" customFormat="1" ht="12.95" hidden="1" customHeight="1" x14ac:dyDescent="0.2">
      <c r="A1289" s="87"/>
      <c r="B1289" s="87"/>
      <c r="C1289" s="289"/>
      <c r="D1289" s="87"/>
      <c r="E1289" s="87"/>
      <c r="F1289" s="87"/>
      <c r="G1289" s="87"/>
      <c r="H1289" s="89"/>
      <c r="I1289" s="87"/>
      <c r="J1289" s="290"/>
      <c r="K1289" s="291"/>
      <c r="L1289" s="292"/>
      <c r="M1289" s="68"/>
      <c r="N1289" s="87"/>
      <c r="O1289" s="87"/>
      <c r="BB1289" s="447"/>
    </row>
    <row r="1290" spans="1:54" s="446" customFormat="1" ht="12.95" hidden="1" customHeight="1" x14ac:dyDescent="0.2">
      <c r="A1290" s="87"/>
      <c r="B1290" s="87"/>
      <c r="C1290" s="298" t="s">
        <v>154</v>
      </c>
      <c r="D1290" s="127" t="s">
        <v>32</v>
      </c>
      <c r="E1290" s="299" t="s">
        <v>155</v>
      </c>
      <c r="F1290" s="87"/>
      <c r="G1290" s="300" t="str">
        <f>IF(D1290="Não","","Divisão do saldo:")</f>
        <v/>
      </c>
      <c r="H1290" s="296"/>
      <c r="I1290" s="580">
        <v>6</v>
      </c>
      <c r="J1290" s="581"/>
      <c r="K1290" s="291"/>
      <c r="L1290" s="292"/>
      <c r="M1290" s="74" t="s">
        <v>156</v>
      </c>
      <c r="N1290" s="301">
        <f ca="1">IF(DAY(TODAY())&lt;10,EOMONTH(TODAY(),-1),EOMONTH(TODAY(),0))</f>
        <v>45138</v>
      </c>
      <c r="O1290" s="87"/>
      <c r="BB1290" s="447"/>
    </row>
    <row r="1291" spans="1:54" s="446" customFormat="1" ht="12.95" hidden="1" customHeight="1" x14ac:dyDescent="0.2">
      <c r="A1291" s="87"/>
      <c r="B1291" s="87"/>
      <c r="C1291" s="289"/>
      <c r="D1291" s="87"/>
      <c r="E1291" s="87"/>
      <c r="F1291" s="87"/>
      <c r="G1291" s="87"/>
      <c r="H1291" s="89"/>
      <c r="I1291" s="87"/>
      <c r="J1291" s="290"/>
      <c r="K1291" s="291"/>
      <c r="L1291" s="292"/>
      <c r="M1291" s="68"/>
      <c r="N1291" s="87"/>
      <c r="O1291" s="87"/>
      <c r="BB1291" s="447"/>
    </row>
    <row r="1292" spans="1:54" s="446" customFormat="1" ht="12.95" hidden="1" customHeight="1" x14ac:dyDescent="0.2">
      <c r="A1292" s="591" t="s">
        <v>157</v>
      </c>
      <c r="B1292" s="592"/>
      <c r="C1292" s="592"/>
      <c r="D1292" s="592"/>
      <c r="E1292" s="592"/>
      <c r="F1292" s="592"/>
      <c r="G1292" s="592"/>
      <c r="H1292" s="592"/>
      <c r="I1292" s="592"/>
      <c r="J1292" s="592"/>
      <c r="K1292" s="592"/>
      <c r="L1292" s="592"/>
      <c r="M1292" s="592"/>
      <c r="N1292" s="592"/>
      <c r="O1292" s="593"/>
      <c r="P1292" s="446">
        <f>IF(O1292=$Y$22,1,0)</f>
        <v>0</v>
      </c>
      <c r="BB1292" s="447"/>
    </row>
    <row r="1293" spans="1:54" s="446" customFormat="1" ht="12.95" hidden="1" customHeight="1" x14ac:dyDescent="0.2">
      <c r="A1293" s="124"/>
      <c r="B1293" s="302" t="s">
        <v>158</v>
      </c>
      <c r="C1293" s="303">
        <v>0.3</v>
      </c>
      <c r="D1293" s="442">
        <f ca="1">VLOOKUP($D$19,ÍNDICES!$A:$DE,Z$1293+1)</f>
        <v>92.252543000000003</v>
      </c>
      <c r="E1293" s="129"/>
      <c r="F1293" s="129"/>
      <c r="G1293" s="129"/>
      <c r="H1293" s="168"/>
      <c r="I1293" s="128"/>
      <c r="J1293" s="443">
        <f ca="1">VLOOKUP(DATE(YEAR(N1290),MONTH(N1290)+IF($C$1321=$S$23,1,0),1),ÍNDICES!$A:$DE,Z$1293+1)</f>
        <v>92.252543000000003</v>
      </c>
      <c r="K1293" s="129" t="s">
        <v>69</v>
      </c>
      <c r="L1293" s="571" t="str">
        <f>$L$35</f>
        <v>TABELA PRÁTICA - INPC</v>
      </c>
      <c r="M1293" s="571"/>
      <c r="N1293" s="571"/>
      <c r="O1293" s="571"/>
      <c r="Y1293" s="457" t="s">
        <v>23</v>
      </c>
      <c r="Z1293" s="452">
        <f ca="1">SUMIF(ÍNDICES!$A$3:$W$4,L1293,ÍNDICES!$A$4:$W$4)+10</f>
        <v>13</v>
      </c>
      <c r="BB1293" s="447"/>
    </row>
    <row r="1294" spans="1:54" s="452" customFormat="1" ht="12.95" hidden="1" customHeight="1" x14ac:dyDescent="0.15">
      <c r="A1294" s="62" t="s">
        <v>70</v>
      </c>
      <c r="B1294" s="62" t="s">
        <v>159</v>
      </c>
      <c r="C1294" s="3" t="s">
        <v>160</v>
      </c>
      <c r="D1294" s="305" t="s">
        <v>75</v>
      </c>
      <c r="E1294" s="62"/>
      <c r="F1294" s="305"/>
      <c r="G1294" s="63" t="s">
        <v>75</v>
      </c>
      <c r="H1294" s="304"/>
      <c r="I1294" s="3" t="s">
        <v>161</v>
      </c>
      <c r="J1294" s="4" t="s">
        <v>126</v>
      </c>
      <c r="K1294" s="62" t="s">
        <v>102</v>
      </c>
      <c r="L1294" s="62" t="s">
        <v>162</v>
      </c>
      <c r="M1294" s="62" t="s">
        <v>163</v>
      </c>
      <c r="N1294" s="306"/>
      <c r="O1294" s="14" t="s">
        <v>79</v>
      </c>
      <c r="BB1294" s="453"/>
    </row>
    <row r="1295" spans="1:54" s="452" customFormat="1" ht="12.95" hidden="1" customHeight="1" x14ac:dyDescent="0.2">
      <c r="A1295" s="5" t="s">
        <v>80</v>
      </c>
      <c r="B1295" s="62" t="s">
        <v>164</v>
      </c>
      <c r="C1295" s="3" t="s">
        <v>165</v>
      </c>
      <c r="D1295" s="307" t="s">
        <v>100</v>
      </c>
      <c r="E1295" s="7"/>
      <c r="F1295" s="307"/>
      <c r="G1295" s="7" t="s">
        <v>100</v>
      </c>
      <c r="H1295" s="304"/>
      <c r="I1295" s="3" t="s">
        <v>166</v>
      </c>
      <c r="J1295" s="7" t="s">
        <v>167</v>
      </c>
      <c r="K1295" s="62" t="s">
        <v>168</v>
      </c>
      <c r="L1295" s="62" t="s">
        <v>169</v>
      </c>
      <c r="M1295" s="62" t="s">
        <v>170</v>
      </c>
      <c r="N1295" s="62"/>
      <c r="O1295" s="5" t="s">
        <v>87</v>
      </c>
      <c r="P1295" s="479">
        <f t="shared" ref="P1295:AP1295" ca="1" si="174">P37</f>
        <v>0.06</v>
      </c>
      <c r="Q1295" s="479">
        <f t="shared" ca="1" si="174"/>
        <v>0.12</v>
      </c>
      <c r="R1295" s="479">
        <f t="shared" ca="1" si="174"/>
        <v>0.06</v>
      </c>
      <c r="S1295" s="479">
        <f t="shared" ca="1" si="174"/>
        <v>0.06</v>
      </c>
      <c r="T1295" s="479">
        <f t="shared" ca="1" si="174"/>
        <v>0.06</v>
      </c>
      <c r="U1295" s="479">
        <f t="shared" ca="1" si="174"/>
        <v>0.06</v>
      </c>
      <c r="V1295" s="479">
        <f t="shared" ca="1" si="174"/>
        <v>0.06</v>
      </c>
      <c r="W1295" s="479">
        <f t="shared" ca="1" si="174"/>
        <v>0.06</v>
      </c>
      <c r="X1295" s="479">
        <f t="shared" ca="1" si="174"/>
        <v>0.06</v>
      </c>
      <c r="Y1295" s="479">
        <f t="shared" ca="1" si="174"/>
        <v>0.06</v>
      </c>
      <c r="Z1295" s="479">
        <f t="shared" ca="1" si="174"/>
        <v>0.06</v>
      </c>
      <c r="AA1295" s="479">
        <f t="shared" ca="1" si="174"/>
        <v>0.06</v>
      </c>
      <c r="AB1295" s="479">
        <f t="shared" ca="1" si="174"/>
        <v>0.06</v>
      </c>
      <c r="AC1295" s="479">
        <f t="shared" ca="1" si="174"/>
        <v>0.06</v>
      </c>
      <c r="AD1295" s="479">
        <f t="shared" ca="1" si="174"/>
        <v>0.06</v>
      </c>
      <c r="AE1295" s="479">
        <f t="shared" ca="1" si="174"/>
        <v>0.06</v>
      </c>
      <c r="AF1295" s="479">
        <f t="shared" ca="1" si="174"/>
        <v>0.06</v>
      </c>
      <c r="AG1295" s="479">
        <f t="shared" ca="1" si="174"/>
        <v>0.06</v>
      </c>
      <c r="AH1295" s="479">
        <f t="shared" ca="1" si="174"/>
        <v>0.06</v>
      </c>
      <c r="AI1295" s="479">
        <f t="shared" ca="1" si="174"/>
        <v>0.06</v>
      </c>
      <c r="AJ1295" s="479">
        <f t="shared" ca="1" si="174"/>
        <v>0.06</v>
      </c>
      <c r="AK1295" s="479">
        <f t="shared" ca="1" si="174"/>
        <v>0.06</v>
      </c>
      <c r="AL1295" s="479">
        <f t="shared" ca="1" si="174"/>
        <v>0.06</v>
      </c>
      <c r="AM1295" s="479">
        <f t="shared" ca="1" si="174"/>
        <v>0.06</v>
      </c>
      <c r="AN1295" s="479">
        <f t="shared" ca="1" si="174"/>
        <v>0.06</v>
      </c>
      <c r="AO1295" s="479">
        <f t="shared" ca="1" si="174"/>
        <v>0.06</v>
      </c>
      <c r="AP1295" s="479">
        <f t="shared" ca="1" si="174"/>
        <v>0.06</v>
      </c>
      <c r="BB1295" s="453"/>
    </row>
    <row r="1296" spans="1:54" s="446" customFormat="1" ht="12.95" hidden="1" customHeight="1" x14ac:dyDescent="0.2">
      <c r="A1296" s="172" t="s">
        <v>88</v>
      </c>
      <c r="B1296" s="172" t="s">
        <v>88</v>
      </c>
      <c r="C1296" s="172" t="s">
        <v>88</v>
      </c>
      <c r="D1296" s="307" t="s">
        <v>171</v>
      </c>
      <c r="E1296" s="172"/>
      <c r="F1296" s="307"/>
      <c r="G1296" s="7" t="s">
        <v>88</v>
      </c>
      <c r="H1296" s="216" t="s">
        <v>88</v>
      </c>
      <c r="I1296" s="172" t="s">
        <v>88</v>
      </c>
      <c r="J1296" s="172" t="s">
        <v>88</v>
      </c>
      <c r="K1296" s="172" t="s">
        <v>88</v>
      </c>
      <c r="L1296" s="57" t="s">
        <v>88</v>
      </c>
      <c r="M1296" s="62" t="s">
        <v>172</v>
      </c>
      <c r="N1296" s="62"/>
      <c r="O1296" s="57">
        <v>1</v>
      </c>
      <c r="P1296" s="480">
        <v>37631</v>
      </c>
      <c r="Q1296" s="480">
        <v>39993</v>
      </c>
      <c r="R1296" s="480">
        <v>41059</v>
      </c>
      <c r="S1296" s="480">
        <v>41101</v>
      </c>
      <c r="T1296" s="480">
        <v>41150</v>
      </c>
      <c r="U1296" s="480">
        <v>41192</v>
      </c>
      <c r="V1296" s="480">
        <v>41381</v>
      </c>
      <c r="W1296" s="480">
        <v>41423</v>
      </c>
      <c r="X1296" s="480">
        <v>41465</v>
      </c>
      <c r="Y1296" s="480">
        <v>41514</v>
      </c>
      <c r="Z1296" s="480">
        <v>42985</v>
      </c>
      <c r="AA1296" s="480">
        <v>43033</v>
      </c>
      <c r="AB1296" s="480">
        <v>43075</v>
      </c>
      <c r="AC1296" s="480">
        <v>43138</v>
      </c>
      <c r="AD1296" s="480">
        <v>43180</v>
      </c>
      <c r="AE1296" s="480">
        <v>43677</v>
      </c>
      <c r="AF1296" s="480">
        <v>43726</v>
      </c>
      <c r="AG1296" s="480">
        <f ca="1">$N1290</f>
        <v>45138</v>
      </c>
      <c r="AH1296" s="480"/>
      <c r="AI1296" s="480"/>
      <c r="AJ1296" s="480"/>
      <c r="AK1296" s="480"/>
      <c r="AL1296" s="480"/>
      <c r="AM1296" s="480"/>
      <c r="AN1296" s="480"/>
      <c r="AO1296" s="480"/>
      <c r="AP1296" s="480"/>
      <c r="BB1296" s="447"/>
    </row>
    <row r="1297" spans="1:54" s="446" customFormat="1" ht="6" hidden="1" customHeight="1" x14ac:dyDescent="0.2">
      <c r="A1297" s="172"/>
      <c r="B1297" s="5"/>
      <c r="C1297" s="173"/>
      <c r="D1297" s="309"/>
      <c r="E1297" s="5"/>
      <c r="F1297" s="309"/>
      <c r="G1297" s="7"/>
      <c r="H1297" s="308"/>
      <c r="I1297" s="173"/>
      <c r="J1297" s="7"/>
      <c r="K1297" s="148"/>
      <c r="L1297" s="151"/>
      <c r="M1297" s="148"/>
      <c r="N1297" s="151"/>
      <c r="O1297" s="5"/>
      <c r="P1297" s="445"/>
      <c r="Q1297" s="445"/>
      <c r="R1297" s="445"/>
      <c r="S1297" s="445"/>
      <c r="T1297" s="445"/>
      <c r="U1297" s="445"/>
      <c r="V1297" s="445"/>
      <c r="W1297" s="445"/>
      <c r="X1297" s="445"/>
      <c r="Y1297" s="445"/>
      <c r="Z1297" s="445"/>
      <c r="AA1297" s="445"/>
      <c r="AB1297" s="445"/>
      <c r="AC1297" s="445"/>
      <c r="AD1297" s="445"/>
      <c r="AE1297" s="445"/>
      <c r="AF1297" s="445"/>
      <c r="AG1297" s="445"/>
      <c r="AH1297" s="445"/>
      <c r="AI1297" s="445"/>
      <c r="AJ1297" s="445"/>
      <c r="BB1297" s="447"/>
    </row>
    <row r="1298" spans="1:54" s="446" customFormat="1" ht="12.95" hidden="1" customHeight="1" x14ac:dyDescent="0.2">
      <c r="A1298" s="444" t="s">
        <v>173</v>
      </c>
      <c r="B1298" s="5">
        <f ca="1">$K$1287*C1293</f>
        <v>0</v>
      </c>
      <c r="C1298" s="153">
        <v>42826</v>
      </c>
      <c r="D1298" s="311">
        <f ca="1">IF(IF(I1298=0,$N$1290,I1298)&lt;=$D$19,0,YEARFRAC($D$19,IF(I1298=0,$N$1290,I1298),$P$20))</f>
        <v>0</v>
      </c>
      <c r="E1298" s="5"/>
      <c r="F1298" s="311"/>
      <c r="G1298" s="64">
        <f ca="1">IF(N$1290&lt;C1298,0,YEARFRAC(MAX(IF(C1298=0,$N$1290,C1298),IF(I1298=0,$N$1290,I1298)),N$1290,$P$20))</f>
        <v>0</v>
      </c>
      <c r="H1298" s="310">
        <f t="shared" ref="H1298:H1318" si="175">IF(K1298&gt;0,1,0)*I1298</f>
        <v>0</v>
      </c>
      <c r="I1298" s="153"/>
      <c r="J1298" s="29" t="str">
        <f ca="1">IF(ISERROR(VLOOKUP(DATE(YEAR(H1298),MONTH(H1298)+IF($C$1321=$S$23,1,0),1),ÍNDICES!$A:$DE,$Z$1293+1)),"",VLOOKUP(DATE(YEAR(H1298),MONTH(H1298)+IF($C$1321=$S$23,1,0),1),ÍNDICES!$A:$DE,$Z$1293+1))</f>
        <v/>
      </c>
      <c r="K1298" s="155"/>
      <c r="L1298" s="5">
        <f ca="1">(IFERROR(B1298/D$1293,0)-IFERROR(K1298/J1298,0))*J$1293</f>
        <v>0</v>
      </c>
      <c r="M1298" s="5">
        <f t="shared" ref="M1298:M1304" ca="1" si="176">IFERROR(B1298/D$1293*J$1293*(IF(DAYS360($D$19,DATE(2003,1,10))&gt;0,DAYS360($D$19,DATE(2003,1,10)),0)*6%+IF(DAYS360(MAX($D$19,DATE(2003,1,10)),IF(I1298=0,N$1290,I1298))&gt;0,DAYS360(MAX($D$19,DATE(2003,1,10)),IF(I1298=0,N$1290,I1298)),0)*12%)/360,0)</f>
        <v>0</v>
      </c>
      <c r="N1298" s="5"/>
      <c r="O1298" s="5">
        <f ca="1">IF(L1298="","",SUM(L1298:N1298))</f>
        <v>0</v>
      </c>
      <c r="P1298" s="446" t="str">
        <f t="shared" ref="P1298:P1317" si="177">IF($I1298="","",IF(OR(MAX($I1298*$P$1292,$L$615)&gt;P$1296,$I1298&gt;$D$19),0,YEARFRAC(MAX($I1298*$P$1292,$L$615)-1,MIN(P$1296,$D$19),$P$20)))</f>
        <v/>
      </c>
      <c r="Q1298" s="446" t="e">
        <f>IF($I1298="","",IF(OR(MAX($I1298*$P$1292,$L$615)&gt;Q$1296,$I1298&gt;$D$19),0,YEARFRAC(MAX($I1298*$P$1292,$L$615)-1,MIN(Q$1296,$D$19),$P$20)))-SUM($P1298:P1298)</f>
        <v>#VALUE!</v>
      </c>
      <c r="R1298" s="446" t="e">
        <f>IF($I1298="","",IF(OR(MAX($I1298*$P$1292,$L$615)&gt;R$1296,$I1298&gt;$D$19),0,YEARFRAC(MAX($I1298*$P$1292,$L$615)-1,MIN(R$1296,$D$19),$P$20)))-SUM($P1298:Q1298)</f>
        <v>#VALUE!</v>
      </c>
      <c r="S1298" s="446" t="e">
        <f>IF($I1298="","",IF(OR(MAX($I1298*$P$1292,$L$615)&gt;S$1296,$I1298&gt;$D$19),0,YEARFRAC(MAX($I1298*$P$1292,$L$615)-1,MIN(S$1296,$D$19),$P$20)))-SUM($P1298:R1298)</f>
        <v>#VALUE!</v>
      </c>
      <c r="T1298" s="446" t="e">
        <f>IF($I1298="","",IF(OR(MAX($I1298*$P$1292,$L$615)&gt;T$1296,$I1298&gt;$D$19),0,YEARFRAC(MAX($I1298*$P$1292,$L$615)-1,MIN(T$1296,$D$19),$P$20)))-SUM($P1298:S1298)</f>
        <v>#VALUE!</v>
      </c>
      <c r="U1298" s="446" t="e">
        <f>IF($I1298="","",IF(OR(MAX($I1298*$P$1292,$L$615)&gt;U$1296,$I1298&gt;$D$19),0,YEARFRAC(MAX($I1298*$P$1292,$L$615)-1,MIN(U$1296,$D$19),$P$20)))-SUM($P1298:T1298)</f>
        <v>#VALUE!</v>
      </c>
      <c r="V1298" s="446" t="e">
        <f>IF($I1298="","",IF(OR(MAX($I1298*$P$1292,$L$615)&gt;V$1296,$I1298&gt;$D$19),0,YEARFRAC(MAX($I1298*$P$1292,$L$615)-1,MIN(V$1296,$D$19),$P$20)))-SUM($P1298:U1298)</f>
        <v>#VALUE!</v>
      </c>
      <c r="W1298" s="446" t="e">
        <f>IF($I1298="","",IF(OR(MAX($I1298*$P$1292,$L$615)&gt;W$1296,$I1298&gt;$D$19),0,YEARFRAC(MAX($I1298*$P$1292,$L$615)-1,MIN(W$1296,$D$19),$P$20)))-SUM($P1298:V1298)</f>
        <v>#VALUE!</v>
      </c>
      <c r="X1298" s="446" t="e">
        <f>IF($I1298="","",IF(OR(MAX($I1298*$P$1292,$L$615)&gt;X$1296,$I1298&gt;$D$19),0,YEARFRAC(MAX($I1298*$P$1292,$L$615)-1,MIN(X$1296,$D$19),$P$20)))-SUM($P1298:W1298)</f>
        <v>#VALUE!</v>
      </c>
      <c r="Y1298" s="446" t="e">
        <f>IF($I1298="","",IF(OR(MAX($I1298*$P$1292,$L$615)&gt;Y$1296,$I1298&gt;$D$19),0,YEARFRAC(MAX($I1298*$P$1292,$L$615)-1,MIN(Y$1296,$D$19),$P$20)))-SUM($P1298:X1298)</f>
        <v>#VALUE!</v>
      </c>
      <c r="Z1298" s="446" t="e">
        <f>IF($I1298="","",IF(OR(MAX($I1298*$P$1292,$L$615)&gt;Z$1296,$I1298&gt;$D$19),0,YEARFRAC(MAX($I1298*$P$1292,$L$615)-1,MIN(Z$1296,$D$19),$P$20)))-SUM($P1298:Y1298)</f>
        <v>#VALUE!</v>
      </c>
      <c r="AA1298" s="446" t="e">
        <f>IF($I1298="","",IF(OR(MAX($I1298*$P$1292,$L$615)&gt;AA$1296,$I1298&gt;$D$19),0,YEARFRAC(MAX($I1298*$P$1292,$L$615)-1,MIN(AA$1296,$D$19),$P$20)))-SUM($P1298:Z1298)</f>
        <v>#VALUE!</v>
      </c>
      <c r="AB1298" s="446" t="e">
        <f>IF($I1298="","",IF(OR(MAX($I1298*$P$1292,$L$615)&gt;AB$1296,$I1298&gt;$D$19),0,YEARFRAC(MAX($I1298*$P$1292,$L$615)-1,MIN(AB$1296,$D$19),$P$20)))-SUM($P1298:AA1298)</f>
        <v>#VALUE!</v>
      </c>
      <c r="AC1298" s="446" t="e">
        <f>IF($I1298="","",IF(OR(MAX($I1298*$P$1292,$L$615)&gt;AC$1296,$I1298&gt;$D$19),0,YEARFRAC(MAX($I1298*$P$1292,$L$615)-1,MIN(AC$1296,$D$19),$P$20)))-SUM($P1298:AB1298)</f>
        <v>#VALUE!</v>
      </c>
      <c r="AD1298" s="446" t="e">
        <f>IF($I1298="","",IF(OR(MAX($I1298*$P$1292,$L$615)&gt;AD$1296,$I1298&gt;$D$19),0,YEARFRAC(MAX($I1298*$P$1292,$L$615)-1,MIN(AD$1296,$D$19),$P$20)))-SUM($P1298:AC1298)</f>
        <v>#VALUE!</v>
      </c>
      <c r="AE1298" s="446" t="e">
        <f>IF($I1298="","",IF(OR(MAX($I1298*$P$1292,$L$615)&gt;AE$1296,$I1298&gt;$D$19),0,YEARFRAC(MAX($I1298*$P$1292,$L$615)-1,MIN(AE$1296,$D$19),$P$20)))-SUM($P1298:AD1298)</f>
        <v>#VALUE!</v>
      </c>
      <c r="AF1298" s="446" t="e">
        <f>IF($I1298="","",IF(OR(MAX($I1298*$P$1292,$L$615)&gt;AF$1296,$I1298&gt;$D$19),0,YEARFRAC(MAX($I1298*$P$1292,$L$615)-1,MIN(AF$1296,$D$19),$P$20)))-SUM($P1298:AE1298)</f>
        <v>#VALUE!</v>
      </c>
      <c r="AG1298" s="446" t="e">
        <f>IF($I1298="","",IF(OR(MAX($I1298*$P$1292,$L$615)&gt;AG$1296,$I1298&gt;$D$19),0,YEARFRAC(MAX($I1298*$P$1292,$L$615)-1,MIN(AG$1296,$D$19),$P$20)))-SUM($P1298:AF1298)</f>
        <v>#VALUE!</v>
      </c>
      <c r="BB1298" s="447"/>
    </row>
    <row r="1299" spans="1:54" s="446" customFormat="1" ht="11.25" hidden="1" customHeight="1" x14ac:dyDescent="0.2">
      <c r="A1299" s="177"/>
      <c r="B1299" s="5">
        <f ca="1">IF(COUNTIF(B$1298:B1298,"&gt;=0")&gt;I$1290,"",(K$1287-B$1298)/I$1290)</f>
        <v>0</v>
      </c>
      <c r="C1299" s="153">
        <f>DATE(YEAR(C1298),MONTH(C1298)+1,DAY(C1298))</f>
        <v>42856</v>
      </c>
      <c r="D1299" s="311">
        <f t="shared" ref="D1299:D1317" ca="1" si="178">IF(IF(I1299=0,$N$1290,I1299)&lt;=$D$19,0,YEARFRAC($D$19,IF(I1299=0,$N$1290,I1299),$P$20))</f>
        <v>0</v>
      </c>
      <c r="E1299" s="5"/>
      <c r="F1299" s="311"/>
      <c r="G1299" s="64">
        <f t="shared" ref="G1299:G1317" ca="1" si="179">IF(N$1290&lt;C1299,0,YEARFRAC(MAX(IF(C1299=0,$N$1290,C1299),IF(I1299=0,$N$1290,I1299)),N$1290,$P$20))</f>
        <v>0</v>
      </c>
      <c r="H1299" s="310">
        <f t="shared" si="175"/>
        <v>0</v>
      </c>
      <c r="I1299" s="153"/>
      <c r="J1299" s="29" t="str">
        <f ca="1">IF(ISERROR(VLOOKUP(DATE(YEAR(H1299),MONTH(H1299)+IF($C$1321=$S$23,1,0),1),ÍNDICES!$A:$DE,$Z$1293+1)),"",VLOOKUP(DATE(YEAR(H1299),MONTH(H1299)+IF($C$1321=$S$23,1,0),1),ÍNDICES!$A:$DE,$Z$1293+1))</f>
        <v/>
      </c>
      <c r="K1299" s="155"/>
      <c r="L1299" s="5">
        <f t="shared" ref="L1299:L1316" ca="1" si="180">(IFERROR(B1299/D$1293,0)-IFERROR(K1299/J1299,0))*J$1293</f>
        <v>0</v>
      </c>
      <c r="M1299" s="5">
        <f t="shared" ca="1" si="176"/>
        <v>0</v>
      </c>
      <c r="N1299" s="5"/>
      <c r="O1299" s="5">
        <f t="shared" ref="O1299:O1317" ca="1" si="181">IF(L1299="","",SUM(L1299:N1299))</f>
        <v>0</v>
      </c>
      <c r="P1299" s="446" t="str">
        <f t="shared" si="177"/>
        <v/>
      </c>
      <c r="Q1299" s="446" t="e">
        <f>IF($I1299="","",IF(OR(MAX($I1299*$P$1292,$L$615)&gt;Q$1296,$I1299&gt;$D$19),0,YEARFRAC(MAX($I1299*$P$1292,$L$615)-1,MIN(Q$1296,$D$19),$P$20)))-SUM($P1299:P1299)</f>
        <v>#VALUE!</v>
      </c>
      <c r="R1299" s="446" t="e">
        <f>IF($I1299="","",IF(OR(MAX($I1299*$P$1292,$L$615)&gt;R$1296,$I1299&gt;$D$19),0,YEARFRAC(MAX($I1299*$P$1292,$L$615)-1,MIN(R$1296,$D$19),$P$20)))-SUM($P1299:Q1299)</f>
        <v>#VALUE!</v>
      </c>
      <c r="S1299" s="446" t="e">
        <f>IF($I1299="","",IF(OR(MAX($I1299*$P$1292,$L$615)&gt;S$1296,$I1299&gt;$D$19),0,YEARFRAC(MAX($I1299*$P$1292,$L$615)-1,MIN(S$1296,$D$19),$P$20)))-SUM($P1299:R1299)</f>
        <v>#VALUE!</v>
      </c>
      <c r="T1299" s="446" t="e">
        <f>IF($I1299="","",IF(OR(MAX($I1299*$P$1292,$L$615)&gt;T$1296,$I1299&gt;$D$19),0,YEARFRAC(MAX($I1299*$P$1292,$L$615)-1,MIN(T$1296,$D$19),$P$20)))-SUM($P1299:S1299)</f>
        <v>#VALUE!</v>
      </c>
      <c r="U1299" s="446" t="e">
        <f>IF($I1299="","",IF(OR(MAX($I1299*$P$1292,$L$615)&gt;U$1296,$I1299&gt;$D$19),0,YEARFRAC(MAX($I1299*$P$1292,$L$615)-1,MIN(U$1296,$D$19),$P$20)))-SUM($P1299:T1299)</f>
        <v>#VALUE!</v>
      </c>
      <c r="V1299" s="446" t="e">
        <f>IF($I1299="","",IF(OR(MAX($I1299*$P$1292,$L$615)&gt;V$1296,$I1299&gt;$D$19),0,YEARFRAC(MAX($I1299*$P$1292,$L$615)-1,MIN(V$1296,$D$19),$P$20)))-SUM($P1299:U1299)</f>
        <v>#VALUE!</v>
      </c>
      <c r="W1299" s="446" t="e">
        <f>IF($I1299="","",IF(OR(MAX($I1299*$P$1292,$L$615)&gt;W$1296,$I1299&gt;$D$19),0,YEARFRAC(MAX($I1299*$P$1292,$L$615)-1,MIN(W$1296,$D$19),$P$20)))-SUM($P1299:V1299)</f>
        <v>#VALUE!</v>
      </c>
      <c r="X1299" s="446" t="e">
        <f>IF($I1299="","",IF(OR(MAX($I1299*$P$1292,$L$615)&gt;X$1296,$I1299&gt;$D$19),0,YEARFRAC(MAX($I1299*$P$1292,$L$615)-1,MIN(X$1296,$D$19),$P$20)))-SUM($P1299:W1299)</f>
        <v>#VALUE!</v>
      </c>
      <c r="Y1299" s="446" t="e">
        <f>IF($I1299="","",IF(OR(MAX($I1299*$P$1292,$L$615)&gt;Y$1296,$I1299&gt;$D$19),0,YEARFRAC(MAX($I1299*$P$1292,$L$615)-1,MIN(Y$1296,$D$19),$P$20)))-SUM($P1299:X1299)</f>
        <v>#VALUE!</v>
      </c>
      <c r="Z1299" s="446" t="e">
        <f>IF($I1299="","",IF(OR(MAX($I1299*$P$1292,$L$615)&gt;Z$1296,$I1299&gt;$D$19),0,YEARFRAC(MAX($I1299*$P$1292,$L$615)-1,MIN(Z$1296,$D$19),$P$20)))-SUM($P1299:Y1299)</f>
        <v>#VALUE!</v>
      </c>
      <c r="AA1299" s="446" t="e">
        <f>IF($I1299="","",IF(OR(MAX($I1299*$P$1292,$L$615)&gt;AA$1296,$I1299&gt;$D$19),0,YEARFRAC(MAX($I1299*$P$1292,$L$615)-1,MIN(AA$1296,$D$19),$P$20)))-SUM($P1299:Z1299)</f>
        <v>#VALUE!</v>
      </c>
      <c r="AB1299" s="446" t="e">
        <f>IF($I1299="","",IF(OR(MAX($I1299*$P$1292,$L$615)&gt;AB$1296,$I1299&gt;$D$19),0,YEARFRAC(MAX($I1299*$P$1292,$L$615)-1,MIN(AB$1296,$D$19),$P$20)))-SUM($P1299:AA1299)</f>
        <v>#VALUE!</v>
      </c>
      <c r="AC1299" s="446" t="e">
        <f>IF($I1299="","",IF(OR(MAX($I1299*$P$1292,$L$615)&gt;AC$1296,$I1299&gt;$D$19),0,YEARFRAC(MAX($I1299*$P$1292,$L$615)-1,MIN(AC$1296,$D$19),$P$20)))-SUM($P1299:AB1299)</f>
        <v>#VALUE!</v>
      </c>
      <c r="AD1299" s="446" t="e">
        <f>IF($I1299="","",IF(OR(MAX($I1299*$P$1292,$L$615)&gt;AD$1296,$I1299&gt;$D$19),0,YEARFRAC(MAX($I1299*$P$1292,$L$615)-1,MIN(AD$1296,$D$19),$P$20)))-SUM($P1299:AC1299)</f>
        <v>#VALUE!</v>
      </c>
      <c r="AE1299" s="446" t="e">
        <f>IF($I1299="","",IF(OR(MAX($I1299*$P$1292,$L$615)&gt;AE$1296,$I1299&gt;$D$19),0,YEARFRAC(MAX($I1299*$P$1292,$L$615)-1,MIN(AE$1296,$D$19),$P$20)))-SUM($P1299:AD1299)</f>
        <v>#VALUE!</v>
      </c>
      <c r="AF1299" s="446" t="e">
        <f>IF($I1299="","",IF(OR(MAX($I1299*$P$1292,$L$615)&gt;AF$1296,$I1299&gt;$D$19),0,YEARFRAC(MAX($I1299*$P$1292,$L$615)-1,MIN(AF$1296,$D$19),$P$20)))-SUM($P1299:AE1299)</f>
        <v>#VALUE!</v>
      </c>
      <c r="AG1299" s="446" t="e">
        <f>IF($I1299="","",IF(OR(MAX($I1299*$P$1292,$L$615)&gt;AG$1296,$I1299&gt;$D$19),0,YEARFRAC(MAX($I1299*$P$1292,$L$615)-1,MIN(AG$1296,$D$19),$P$20)))-SUM($P1299:AF1299)</f>
        <v>#VALUE!</v>
      </c>
      <c r="BB1299" s="447"/>
    </row>
    <row r="1300" spans="1:54" s="446" customFormat="1" ht="11.25" hidden="1" customHeight="1" x14ac:dyDescent="0.2">
      <c r="A1300" s="177"/>
      <c r="B1300" s="5">
        <f ca="1">IF(COUNTIF(B$1298:B1299,"&gt;=0")&gt;I$1290,"",(K$1287-B$1298)/I$1290)</f>
        <v>0</v>
      </c>
      <c r="C1300" s="153">
        <f t="shared" ref="C1300:C1317" ca="1" si="182">IF(B1300="","",DATE(YEAR(C1299),MONTH(C1299)+1,DAY(C1299)))</f>
        <v>42887</v>
      </c>
      <c r="D1300" s="311">
        <f t="shared" ca="1" si="178"/>
        <v>0</v>
      </c>
      <c r="E1300" s="5"/>
      <c r="F1300" s="311"/>
      <c r="G1300" s="64">
        <f t="shared" ca="1" si="179"/>
        <v>0</v>
      </c>
      <c r="H1300" s="310">
        <f t="shared" si="175"/>
        <v>0</v>
      </c>
      <c r="I1300" s="153"/>
      <c r="J1300" s="29" t="str">
        <f ca="1">IF(ISERROR(VLOOKUP(DATE(YEAR(H1300),MONTH(H1300)+IF($C$1321=$S$23,1,0),1),ÍNDICES!$A:$DE,$Z$1293+1)),"",VLOOKUP(DATE(YEAR(H1300),MONTH(H1300)+IF($C$1321=$S$23,1,0),1),ÍNDICES!$A:$DE,$Z$1293+1))</f>
        <v/>
      </c>
      <c r="K1300" s="155"/>
      <c r="L1300" s="5">
        <f t="shared" ca="1" si="180"/>
        <v>0</v>
      </c>
      <c r="M1300" s="5">
        <f t="shared" ca="1" si="176"/>
        <v>0</v>
      </c>
      <c r="N1300" s="5"/>
      <c r="O1300" s="5">
        <f t="shared" ca="1" si="181"/>
        <v>0</v>
      </c>
      <c r="P1300" s="446" t="str">
        <f t="shared" si="177"/>
        <v/>
      </c>
      <c r="Q1300" s="446" t="e">
        <f>IF($I1300="","",IF(OR(MAX($I1300*$P$1292,$L$615)&gt;Q$1296,$I1300&gt;$D$19),0,YEARFRAC(MAX($I1300*$P$1292,$L$615)-1,MIN(Q$1296,$D$19),$P$20)))-SUM($P1300:P1300)</f>
        <v>#VALUE!</v>
      </c>
      <c r="R1300" s="446" t="e">
        <f>IF($I1300="","",IF(OR(MAX($I1300*$P$1292,$L$615)&gt;R$1296,$I1300&gt;$D$19),0,YEARFRAC(MAX($I1300*$P$1292,$L$615)-1,MIN(R$1296,$D$19),$P$20)))-SUM($P1300:Q1300)</f>
        <v>#VALUE!</v>
      </c>
      <c r="S1300" s="446" t="e">
        <f>IF($I1300="","",IF(OR(MAX($I1300*$P$1292,$L$615)&gt;S$1296,$I1300&gt;$D$19),0,YEARFRAC(MAX($I1300*$P$1292,$L$615)-1,MIN(S$1296,$D$19),$P$20)))-SUM($P1300:R1300)</f>
        <v>#VALUE!</v>
      </c>
      <c r="T1300" s="446" t="e">
        <f>IF($I1300="","",IF(OR(MAX($I1300*$P$1292,$L$615)&gt;T$1296,$I1300&gt;$D$19),0,YEARFRAC(MAX($I1300*$P$1292,$L$615)-1,MIN(T$1296,$D$19),$P$20)))-SUM($P1300:S1300)</f>
        <v>#VALUE!</v>
      </c>
      <c r="U1300" s="446" t="e">
        <f>IF($I1300="","",IF(OR(MAX($I1300*$P$1292,$L$615)&gt;U$1296,$I1300&gt;$D$19),0,YEARFRAC(MAX($I1300*$P$1292,$L$615)-1,MIN(U$1296,$D$19),$P$20)))-SUM($P1300:T1300)</f>
        <v>#VALUE!</v>
      </c>
      <c r="V1300" s="446" t="e">
        <f>IF($I1300="","",IF(OR(MAX($I1300*$P$1292,$L$615)&gt;V$1296,$I1300&gt;$D$19),0,YEARFRAC(MAX($I1300*$P$1292,$L$615)-1,MIN(V$1296,$D$19),$P$20)))-SUM($P1300:U1300)</f>
        <v>#VALUE!</v>
      </c>
      <c r="W1300" s="446" t="e">
        <f>IF($I1300="","",IF(OR(MAX($I1300*$P$1292,$L$615)&gt;W$1296,$I1300&gt;$D$19),0,YEARFRAC(MAX($I1300*$P$1292,$L$615)-1,MIN(W$1296,$D$19),$P$20)))-SUM($P1300:V1300)</f>
        <v>#VALUE!</v>
      </c>
      <c r="X1300" s="446" t="e">
        <f>IF($I1300="","",IF(OR(MAX($I1300*$P$1292,$L$615)&gt;X$1296,$I1300&gt;$D$19),0,YEARFRAC(MAX($I1300*$P$1292,$L$615)-1,MIN(X$1296,$D$19),$P$20)))-SUM($P1300:W1300)</f>
        <v>#VALUE!</v>
      </c>
      <c r="Y1300" s="446" t="e">
        <f>IF($I1300="","",IF(OR(MAX($I1300*$P$1292,$L$615)&gt;Y$1296,$I1300&gt;$D$19),0,YEARFRAC(MAX($I1300*$P$1292,$L$615)-1,MIN(Y$1296,$D$19),$P$20)))-SUM($P1300:X1300)</f>
        <v>#VALUE!</v>
      </c>
      <c r="Z1300" s="446" t="e">
        <f>IF($I1300="","",IF(OR(MAX($I1300*$P$1292,$L$615)&gt;Z$1296,$I1300&gt;$D$19),0,YEARFRAC(MAX($I1300*$P$1292,$L$615)-1,MIN(Z$1296,$D$19),$P$20)))-SUM($P1300:Y1300)</f>
        <v>#VALUE!</v>
      </c>
      <c r="AA1300" s="446" t="e">
        <f>IF($I1300="","",IF(OR(MAX($I1300*$P$1292,$L$615)&gt;AA$1296,$I1300&gt;$D$19),0,YEARFRAC(MAX($I1300*$P$1292,$L$615)-1,MIN(AA$1296,$D$19),$P$20)))-SUM($P1300:Z1300)</f>
        <v>#VALUE!</v>
      </c>
      <c r="AB1300" s="446" t="e">
        <f>IF($I1300="","",IF(OR(MAX($I1300*$P$1292,$L$615)&gt;AB$1296,$I1300&gt;$D$19),0,YEARFRAC(MAX($I1300*$P$1292,$L$615)-1,MIN(AB$1296,$D$19),$P$20)))-SUM($P1300:AA1300)</f>
        <v>#VALUE!</v>
      </c>
      <c r="AC1300" s="446" t="e">
        <f>IF($I1300="","",IF(OR(MAX($I1300*$P$1292,$L$615)&gt;AC$1296,$I1300&gt;$D$19),0,YEARFRAC(MAX($I1300*$P$1292,$L$615)-1,MIN(AC$1296,$D$19),$P$20)))-SUM($P1300:AB1300)</f>
        <v>#VALUE!</v>
      </c>
      <c r="AD1300" s="446" t="e">
        <f>IF($I1300="","",IF(OR(MAX($I1300*$P$1292,$L$615)&gt;AD$1296,$I1300&gt;$D$19),0,YEARFRAC(MAX($I1300*$P$1292,$L$615)-1,MIN(AD$1296,$D$19),$P$20)))-SUM($P1300:AC1300)</f>
        <v>#VALUE!</v>
      </c>
      <c r="AE1300" s="446" t="e">
        <f>IF($I1300="","",IF(OR(MAX($I1300*$P$1292,$L$615)&gt;AE$1296,$I1300&gt;$D$19),0,YEARFRAC(MAX($I1300*$P$1292,$L$615)-1,MIN(AE$1296,$D$19),$P$20)))-SUM($P1300:AD1300)</f>
        <v>#VALUE!</v>
      </c>
      <c r="AF1300" s="446" t="e">
        <f>IF($I1300="","",IF(OR(MAX($I1300*$P$1292,$L$615)&gt;AF$1296,$I1300&gt;$D$19),0,YEARFRAC(MAX($I1300*$P$1292,$L$615)-1,MIN(AF$1296,$D$19),$P$20)))-SUM($P1300:AE1300)</f>
        <v>#VALUE!</v>
      </c>
      <c r="AG1300" s="446" t="e">
        <f>IF($I1300="","",IF(OR(MAX($I1300*$P$1292,$L$615)&gt;AG$1296,$I1300&gt;$D$19),0,YEARFRAC(MAX($I1300*$P$1292,$L$615)-1,MIN(AG$1296,$D$19),$P$20)))-SUM($P1300:AF1300)</f>
        <v>#VALUE!</v>
      </c>
      <c r="BB1300" s="447"/>
    </row>
    <row r="1301" spans="1:54" s="446" customFormat="1" ht="11.25" hidden="1" x14ac:dyDescent="0.2">
      <c r="A1301" s="177"/>
      <c r="B1301" s="5">
        <f ca="1">IF(COUNTIF(B$1298:B1300,"&gt;=0")&gt;I$1290,"",(K$1287-B$1298)/I$1290)</f>
        <v>0</v>
      </c>
      <c r="C1301" s="153">
        <f t="shared" ca="1" si="182"/>
        <v>42917</v>
      </c>
      <c r="D1301" s="311">
        <f t="shared" ca="1" si="178"/>
        <v>0</v>
      </c>
      <c r="E1301" s="5"/>
      <c r="F1301" s="311"/>
      <c r="G1301" s="64">
        <f t="shared" ca="1" si="179"/>
        <v>0</v>
      </c>
      <c r="H1301" s="310">
        <f t="shared" si="175"/>
        <v>0</v>
      </c>
      <c r="I1301" s="153"/>
      <c r="J1301" s="29" t="str">
        <f ca="1">IF(ISERROR(VLOOKUP(DATE(YEAR(H1301),MONTH(H1301)+IF($C$1321=$S$23,1,0),1),ÍNDICES!$A:$DE,$Z$1293+1)),"",VLOOKUP(DATE(YEAR(H1301),MONTH(H1301)+IF($C$1321=$S$23,1,0),1),ÍNDICES!$A:$DE,$Z$1293+1))</f>
        <v/>
      </c>
      <c r="K1301" s="155"/>
      <c r="L1301" s="5">
        <f t="shared" ca="1" si="180"/>
        <v>0</v>
      </c>
      <c r="M1301" s="5">
        <f t="shared" ca="1" si="176"/>
        <v>0</v>
      </c>
      <c r="N1301" s="5"/>
      <c r="O1301" s="5">
        <f t="shared" ca="1" si="181"/>
        <v>0</v>
      </c>
      <c r="P1301" s="446" t="str">
        <f t="shared" si="177"/>
        <v/>
      </c>
      <c r="Q1301" s="446" t="e">
        <f>IF($I1301="","",IF(OR(MAX($I1301*$P$1292,$L$615)&gt;Q$1296,$I1301&gt;$D$19),0,YEARFRAC(MAX($I1301*$P$1292,$L$615)-1,MIN(Q$1296,$D$19),$P$20)))-SUM($P1301:P1301)</f>
        <v>#VALUE!</v>
      </c>
      <c r="R1301" s="446" t="e">
        <f>IF($I1301="","",IF(OR(MAX($I1301*$P$1292,$L$615)&gt;R$1296,$I1301&gt;$D$19),0,YEARFRAC(MAX($I1301*$P$1292,$L$615)-1,MIN(R$1296,$D$19),$P$20)))-SUM($P1301:Q1301)</f>
        <v>#VALUE!</v>
      </c>
      <c r="S1301" s="446" t="e">
        <f>IF($I1301="","",IF(OR(MAX($I1301*$P$1292,$L$615)&gt;S$1296,$I1301&gt;$D$19),0,YEARFRAC(MAX($I1301*$P$1292,$L$615)-1,MIN(S$1296,$D$19),$P$20)))-SUM($P1301:R1301)</f>
        <v>#VALUE!</v>
      </c>
      <c r="T1301" s="446" t="e">
        <f>IF($I1301="","",IF(OR(MAX($I1301*$P$1292,$L$615)&gt;T$1296,$I1301&gt;$D$19),0,YEARFRAC(MAX($I1301*$P$1292,$L$615)-1,MIN(T$1296,$D$19),$P$20)))-SUM($P1301:S1301)</f>
        <v>#VALUE!</v>
      </c>
      <c r="U1301" s="446" t="e">
        <f>IF($I1301="","",IF(OR(MAX($I1301*$P$1292,$L$615)&gt;U$1296,$I1301&gt;$D$19),0,YEARFRAC(MAX($I1301*$P$1292,$L$615)-1,MIN(U$1296,$D$19),$P$20)))-SUM($P1301:T1301)</f>
        <v>#VALUE!</v>
      </c>
      <c r="V1301" s="446" t="e">
        <f>IF($I1301="","",IF(OR(MAX($I1301*$P$1292,$L$615)&gt;V$1296,$I1301&gt;$D$19),0,YEARFRAC(MAX($I1301*$P$1292,$L$615)-1,MIN(V$1296,$D$19),$P$20)))-SUM($P1301:U1301)</f>
        <v>#VALUE!</v>
      </c>
      <c r="W1301" s="446" t="e">
        <f>IF($I1301="","",IF(OR(MAX($I1301*$P$1292,$L$615)&gt;W$1296,$I1301&gt;$D$19),0,YEARFRAC(MAX($I1301*$P$1292,$L$615)-1,MIN(W$1296,$D$19),$P$20)))-SUM($P1301:V1301)</f>
        <v>#VALUE!</v>
      </c>
      <c r="X1301" s="446" t="e">
        <f>IF($I1301="","",IF(OR(MAX($I1301*$P$1292,$L$615)&gt;X$1296,$I1301&gt;$D$19),0,YEARFRAC(MAX($I1301*$P$1292,$L$615)-1,MIN(X$1296,$D$19),$P$20)))-SUM($P1301:W1301)</f>
        <v>#VALUE!</v>
      </c>
      <c r="Y1301" s="446" t="e">
        <f>IF($I1301="","",IF(OR(MAX($I1301*$P$1292,$L$615)&gt;Y$1296,$I1301&gt;$D$19),0,YEARFRAC(MAX($I1301*$P$1292,$L$615)-1,MIN(Y$1296,$D$19),$P$20)))-SUM($P1301:X1301)</f>
        <v>#VALUE!</v>
      </c>
      <c r="Z1301" s="446" t="e">
        <f>IF($I1301="","",IF(OR(MAX($I1301*$P$1292,$L$615)&gt;Z$1296,$I1301&gt;$D$19),0,YEARFRAC(MAX($I1301*$P$1292,$L$615)-1,MIN(Z$1296,$D$19),$P$20)))-SUM($P1301:Y1301)</f>
        <v>#VALUE!</v>
      </c>
      <c r="AA1301" s="446" t="e">
        <f>IF($I1301="","",IF(OR(MAX($I1301*$P$1292,$L$615)&gt;AA$1296,$I1301&gt;$D$19),0,YEARFRAC(MAX($I1301*$P$1292,$L$615)-1,MIN(AA$1296,$D$19),$P$20)))-SUM($P1301:Z1301)</f>
        <v>#VALUE!</v>
      </c>
      <c r="AB1301" s="446" t="e">
        <f>IF($I1301="","",IF(OR(MAX($I1301*$P$1292,$L$615)&gt;AB$1296,$I1301&gt;$D$19),0,YEARFRAC(MAX($I1301*$P$1292,$L$615)-1,MIN(AB$1296,$D$19),$P$20)))-SUM($P1301:AA1301)</f>
        <v>#VALUE!</v>
      </c>
      <c r="AC1301" s="446" t="e">
        <f>IF($I1301="","",IF(OR(MAX($I1301*$P$1292,$L$615)&gt;AC$1296,$I1301&gt;$D$19),0,YEARFRAC(MAX($I1301*$P$1292,$L$615)-1,MIN(AC$1296,$D$19),$P$20)))-SUM($P1301:AB1301)</f>
        <v>#VALUE!</v>
      </c>
      <c r="AD1301" s="446" t="e">
        <f>IF($I1301="","",IF(OR(MAX($I1301*$P$1292,$L$615)&gt;AD$1296,$I1301&gt;$D$19),0,YEARFRAC(MAX($I1301*$P$1292,$L$615)-1,MIN(AD$1296,$D$19),$P$20)))-SUM($P1301:AC1301)</f>
        <v>#VALUE!</v>
      </c>
      <c r="AE1301" s="446" t="e">
        <f>IF($I1301="","",IF(OR(MAX($I1301*$P$1292,$L$615)&gt;AE$1296,$I1301&gt;$D$19),0,YEARFRAC(MAX($I1301*$P$1292,$L$615)-1,MIN(AE$1296,$D$19),$P$20)))-SUM($P1301:AD1301)</f>
        <v>#VALUE!</v>
      </c>
      <c r="AF1301" s="446" t="e">
        <f>IF($I1301="","",IF(OR(MAX($I1301*$P$1292,$L$615)&gt;AF$1296,$I1301&gt;$D$19),0,YEARFRAC(MAX($I1301*$P$1292,$L$615)-1,MIN(AF$1296,$D$19),$P$20)))-SUM($P1301:AE1301)</f>
        <v>#VALUE!</v>
      </c>
      <c r="AG1301" s="446" t="e">
        <f>IF($I1301="","",IF(OR(MAX($I1301*$P$1292,$L$615)&gt;AG$1296,$I1301&gt;$D$19),0,YEARFRAC(MAX($I1301*$P$1292,$L$615)-1,MIN(AG$1296,$D$19),$P$20)))-SUM($P1301:AF1301)</f>
        <v>#VALUE!</v>
      </c>
      <c r="BB1301" s="447"/>
    </row>
    <row r="1302" spans="1:54" s="446" customFormat="1" ht="11.25" hidden="1" x14ac:dyDescent="0.2">
      <c r="A1302" s="177"/>
      <c r="B1302" s="5">
        <f ca="1">IF(COUNTIF(B$1298:B1301,"&gt;=0")&gt;I$1290,"",(K$1287-B$1298)/I$1290)</f>
        <v>0</v>
      </c>
      <c r="C1302" s="153">
        <f t="shared" ca="1" si="182"/>
        <v>42948</v>
      </c>
      <c r="D1302" s="311">
        <f t="shared" ca="1" si="178"/>
        <v>0</v>
      </c>
      <c r="E1302" s="5"/>
      <c r="F1302" s="311"/>
      <c r="G1302" s="64">
        <f t="shared" ca="1" si="179"/>
        <v>0</v>
      </c>
      <c r="H1302" s="310">
        <f t="shared" si="175"/>
        <v>0</v>
      </c>
      <c r="I1302" s="153"/>
      <c r="J1302" s="29" t="str">
        <f ca="1">IF(ISERROR(VLOOKUP(DATE(YEAR(H1302),MONTH(H1302)+IF($C$1321=$S$23,1,0),1),ÍNDICES!$A:$DE,$Z$1293+1)),"",VLOOKUP(DATE(YEAR(H1302),MONTH(H1302)+IF($C$1321=$S$23,1,0),1),ÍNDICES!$A:$DE,$Z$1293+1))</f>
        <v/>
      </c>
      <c r="K1302" s="155"/>
      <c r="L1302" s="5">
        <f t="shared" ca="1" si="180"/>
        <v>0</v>
      </c>
      <c r="M1302" s="5">
        <f t="shared" ca="1" si="176"/>
        <v>0</v>
      </c>
      <c r="N1302" s="5"/>
      <c r="O1302" s="5">
        <f t="shared" ca="1" si="181"/>
        <v>0</v>
      </c>
      <c r="P1302" s="446" t="str">
        <f t="shared" si="177"/>
        <v/>
      </c>
      <c r="Q1302" s="446" t="e">
        <f>IF($I1302="","",IF(OR(MAX($I1302*$P$1292,$L$615)&gt;Q$1296,$I1302&gt;$D$19),0,YEARFRAC(MAX($I1302*$P$1292,$L$615)-1,MIN(Q$1296,$D$19),$P$20)))-SUM($P1302:P1302)</f>
        <v>#VALUE!</v>
      </c>
      <c r="R1302" s="446" t="e">
        <f>IF($I1302="","",IF(OR(MAX($I1302*$P$1292,$L$615)&gt;R$1296,$I1302&gt;$D$19),0,YEARFRAC(MAX($I1302*$P$1292,$L$615)-1,MIN(R$1296,$D$19),$P$20)))-SUM($P1302:Q1302)</f>
        <v>#VALUE!</v>
      </c>
      <c r="S1302" s="446" t="e">
        <f>IF($I1302="","",IF(OR(MAX($I1302*$P$1292,$L$615)&gt;S$1296,$I1302&gt;$D$19),0,YEARFRAC(MAX($I1302*$P$1292,$L$615)-1,MIN(S$1296,$D$19),$P$20)))-SUM($P1302:R1302)</f>
        <v>#VALUE!</v>
      </c>
      <c r="T1302" s="446" t="e">
        <f>IF($I1302="","",IF(OR(MAX($I1302*$P$1292,$L$615)&gt;T$1296,$I1302&gt;$D$19),0,YEARFRAC(MAX($I1302*$P$1292,$L$615)-1,MIN(T$1296,$D$19),$P$20)))-SUM($P1302:S1302)</f>
        <v>#VALUE!</v>
      </c>
      <c r="U1302" s="446" t="e">
        <f>IF($I1302="","",IF(OR(MAX($I1302*$P$1292,$L$615)&gt;U$1296,$I1302&gt;$D$19),0,YEARFRAC(MAX($I1302*$P$1292,$L$615)-1,MIN(U$1296,$D$19),$P$20)))-SUM($P1302:T1302)</f>
        <v>#VALUE!</v>
      </c>
      <c r="V1302" s="446" t="e">
        <f>IF($I1302="","",IF(OR(MAX($I1302*$P$1292,$L$615)&gt;V$1296,$I1302&gt;$D$19),0,YEARFRAC(MAX($I1302*$P$1292,$L$615)-1,MIN(V$1296,$D$19),$P$20)))-SUM($P1302:U1302)</f>
        <v>#VALUE!</v>
      </c>
      <c r="W1302" s="446" t="e">
        <f>IF($I1302="","",IF(OR(MAX($I1302*$P$1292,$L$615)&gt;W$1296,$I1302&gt;$D$19),0,YEARFRAC(MAX($I1302*$P$1292,$L$615)-1,MIN(W$1296,$D$19),$P$20)))-SUM($P1302:V1302)</f>
        <v>#VALUE!</v>
      </c>
      <c r="X1302" s="446" t="e">
        <f>IF($I1302="","",IF(OR(MAX($I1302*$P$1292,$L$615)&gt;X$1296,$I1302&gt;$D$19),0,YEARFRAC(MAX($I1302*$P$1292,$L$615)-1,MIN(X$1296,$D$19),$P$20)))-SUM($P1302:W1302)</f>
        <v>#VALUE!</v>
      </c>
      <c r="Y1302" s="446" t="e">
        <f>IF($I1302="","",IF(OR(MAX($I1302*$P$1292,$L$615)&gt;Y$1296,$I1302&gt;$D$19),0,YEARFRAC(MAX($I1302*$P$1292,$L$615)-1,MIN(Y$1296,$D$19),$P$20)))-SUM($P1302:X1302)</f>
        <v>#VALUE!</v>
      </c>
      <c r="Z1302" s="446" t="e">
        <f>IF($I1302="","",IF(OR(MAX($I1302*$P$1292,$L$615)&gt;Z$1296,$I1302&gt;$D$19),0,YEARFRAC(MAX($I1302*$P$1292,$L$615)-1,MIN(Z$1296,$D$19),$P$20)))-SUM($P1302:Y1302)</f>
        <v>#VALUE!</v>
      </c>
      <c r="AA1302" s="446" t="e">
        <f>IF($I1302="","",IF(OR(MAX($I1302*$P$1292,$L$615)&gt;AA$1296,$I1302&gt;$D$19),0,YEARFRAC(MAX($I1302*$P$1292,$L$615)-1,MIN(AA$1296,$D$19),$P$20)))-SUM($P1302:Z1302)</f>
        <v>#VALUE!</v>
      </c>
      <c r="AB1302" s="446" t="e">
        <f>IF($I1302="","",IF(OR(MAX($I1302*$P$1292,$L$615)&gt;AB$1296,$I1302&gt;$D$19),0,YEARFRAC(MAX($I1302*$P$1292,$L$615)-1,MIN(AB$1296,$D$19),$P$20)))-SUM($P1302:AA1302)</f>
        <v>#VALUE!</v>
      </c>
      <c r="AC1302" s="446" t="e">
        <f>IF($I1302="","",IF(OR(MAX($I1302*$P$1292,$L$615)&gt;AC$1296,$I1302&gt;$D$19),0,YEARFRAC(MAX($I1302*$P$1292,$L$615)-1,MIN(AC$1296,$D$19),$P$20)))-SUM($P1302:AB1302)</f>
        <v>#VALUE!</v>
      </c>
      <c r="AD1302" s="446" t="e">
        <f>IF($I1302="","",IF(OR(MAX($I1302*$P$1292,$L$615)&gt;AD$1296,$I1302&gt;$D$19),0,YEARFRAC(MAX($I1302*$P$1292,$L$615)-1,MIN(AD$1296,$D$19),$P$20)))-SUM($P1302:AC1302)</f>
        <v>#VALUE!</v>
      </c>
      <c r="AE1302" s="446" t="e">
        <f>IF($I1302="","",IF(OR(MAX($I1302*$P$1292,$L$615)&gt;AE$1296,$I1302&gt;$D$19),0,YEARFRAC(MAX($I1302*$P$1292,$L$615)-1,MIN(AE$1296,$D$19),$P$20)))-SUM($P1302:AD1302)</f>
        <v>#VALUE!</v>
      </c>
      <c r="AF1302" s="446" t="e">
        <f>IF($I1302="","",IF(OR(MAX($I1302*$P$1292,$L$615)&gt;AF$1296,$I1302&gt;$D$19),0,YEARFRAC(MAX($I1302*$P$1292,$L$615)-1,MIN(AF$1296,$D$19),$P$20)))-SUM($P1302:AE1302)</f>
        <v>#VALUE!</v>
      </c>
      <c r="AG1302" s="446" t="e">
        <f>IF($I1302="","",IF(OR(MAX($I1302*$P$1292,$L$615)&gt;AG$1296,$I1302&gt;$D$19),0,YEARFRAC(MAX($I1302*$P$1292,$L$615)-1,MIN(AG$1296,$D$19),$P$20)))-SUM($P1302:AF1302)</f>
        <v>#VALUE!</v>
      </c>
      <c r="BB1302" s="447"/>
    </row>
    <row r="1303" spans="1:54" s="446" customFormat="1" ht="11.25" hidden="1" x14ac:dyDescent="0.2">
      <c r="A1303" s="177"/>
      <c r="B1303" s="5">
        <f ca="1">IF(COUNTIF(B$1298:B1302,"&gt;=0")&gt;I$1290,"",(K$1287-B$1298)/I$1290)</f>
        <v>0</v>
      </c>
      <c r="C1303" s="153">
        <f t="shared" ca="1" si="182"/>
        <v>42979</v>
      </c>
      <c r="D1303" s="311">
        <f t="shared" ca="1" si="178"/>
        <v>0</v>
      </c>
      <c r="E1303" s="5"/>
      <c r="F1303" s="311"/>
      <c r="G1303" s="64">
        <f t="shared" ca="1" si="179"/>
        <v>0</v>
      </c>
      <c r="H1303" s="310">
        <f t="shared" si="175"/>
        <v>0</v>
      </c>
      <c r="I1303" s="153"/>
      <c r="J1303" s="29" t="str">
        <f ca="1">IF(ISERROR(VLOOKUP(DATE(YEAR(H1303),MONTH(H1303)+IF($C$1321=$S$23,1,0),1),ÍNDICES!$A:$DE,$Z$1293+1)),"",VLOOKUP(DATE(YEAR(H1303),MONTH(H1303)+IF($C$1321=$S$23,1,0),1),ÍNDICES!$A:$DE,$Z$1293+1))</f>
        <v/>
      </c>
      <c r="K1303" s="155"/>
      <c r="L1303" s="5">
        <f t="shared" ca="1" si="180"/>
        <v>0</v>
      </c>
      <c r="M1303" s="5">
        <f t="shared" ca="1" si="176"/>
        <v>0</v>
      </c>
      <c r="N1303" s="5"/>
      <c r="O1303" s="5">
        <f t="shared" ca="1" si="181"/>
        <v>0</v>
      </c>
      <c r="P1303" s="446" t="str">
        <f t="shared" si="177"/>
        <v/>
      </c>
      <c r="Q1303" s="446" t="e">
        <f>IF($I1303="","",IF(OR(MAX($I1303*$P$1292,$L$615)&gt;Q$1296,$I1303&gt;$D$19),0,YEARFRAC(MAX($I1303*$P$1292,$L$615)-1,MIN(Q$1296,$D$19),$P$20)))-SUM($P1303:P1303)</f>
        <v>#VALUE!</v>
      </c>
      <c r="R1303" s="446" t="e">
        <f>IF($I1303="","",IF(OR(MAX($I1303*$P$1292,$L$615)&gt;R$1296,$I1303&gt;$D$19),0,YEARFRAC(MAX($I1303*$P$1292,$L$615)-1,MIN(R$1296,$D$19),$P$20)))-SUM($P1303:Q1303)</f>
        <v>#VALUE!</v>
      </c>
      <c r="S1303" s="446" t="e">
        <f>IF($I1303="","",IF(OR(MAX($I1303*$P$1292,$L$615)&gt;S$1296,$I1303&gt;$D$19),0,YEARFRAC(MAX($I1303*$P$1292,$L$615)-1,MIN(S$1296,$D$19),$P$20)))-SUM($P1303:R1303)</f>
        <v>#VALUE!</v>
      </c>
      <c r="T1303" s="446" t="e">
        <f>IF($I1303="","",IF(OR(MAX($I1303*$P$1292,$L$615)&gt;T$1296,$I1303&gt;$D$19),0,YEARFRAC(MAX($I1303*$P$1292,$L$615)-1,MIN(T$1296,$D$19),$P$20)))-SUM($P1303:S1303)</f>
        <v>#VALUE!</v>
      </c>
      <c r="U1303" s="446" t="e">
        <f>IF($I1303="","",IF(OR(MAX($I1303*$P$1292,$L$615)&gt;U$1296,$I1303&gt;$D$19),0,YEARFRAC(MAX($I1303*$P$1292,$L$615)-1,MIN(U$1296,$D$19),$P$20)))-SUM($P1303:T1303)</f>
        <v>#VALUE!</v>
      </c>
      <c r="V1303" s="446" t="e">
        <f>IF($I1303="","",IF(OR(MAX($I1303*$P$1292,$L$615)&gt;V$1296,$I1303&gt;$D$19),0,YEARFRAC(MAX($I1303*$P$1292,$L$615)-1,MIN(V$1296,$D$19),$P$20)))-SUM($P1303:U1303)</f>
        <v>#VALUE!</v>
      </c>
      <c r="W1303" s="446" t="e">
        <f>IF($I1303="","",IF(OR(MAX($I1303*$P$1292,$L$615)&gt;W$1296,$I1303&gt;$D$19),0,YEARFRAC(MAX($I1303*$P$1292,$L$615)-1,MIN(W$1296,$D$19),$P$20)))-SUM($P1303:V1303)</f>
        <v>#VALUE!</v>
      </c>
      <c r="X1303" s="446" t="e">
        <f>IF($I1303="","",IF(OR(MAX($I1303*$P$1292,$L$615)&gt;X$1296,$I1303&gt;$D$19),0,YEARFRAC(MAX($I1303*$P$1292,$L$615)-1,MIN(X$1296,$D$19),$P$20)))-SUM($P1303:W1303)</f>
        <v>#VALUE!</v>
      </c>
      <c r="Y1303" s="446" t="e">
        <f>IF($I1303="","",IF(OR(MAX($I1303*$P$1292,$L$615)&gt;Y$1296,$I1303&gt;$D$19),0,YEARFRAC(MAX($I1303*$P$1292,$L$615)-1,MIN(Y$1296,$D$19),$P$20)))-SUM($P1303:X1303)</f>
        <v>#VALUE!</v>
      </c>
      <c r="Z1303" s="446" t="e">
        <f>IF($I1303="","",IF(OR(MAX($I1303*$P$1292,$L$615)&gt;Z$1296,$I1303&gt;$D$19),0,YEARFRAC(MAX($I1303*$P$1292,$L$615)-1,MIN(Z$1296,$D$19),$P$20)))-SUM($P1303:Y1303)</f>
        <v>#VALUE!</v>
      </c>
      <c r="AA1303" s="446" t="e">
        <f>IF($I1303="","",IF(OR(MAX($I1303*$P$1292,$L$615)&gt;AA$1296,$I1303&gt;$D$19),0,YEARFRAC(MAX($I1303*$P$1292,$L$615)-1,MIN(AA$1296,$D$19),$P$20)))-SUM($P1303:Z1303)</f>
        <v>#VALUE!</v>
      </c>
      <c r="AB1303" s="446" t="e">
        <f>IF($I1303="","",IF(OR(MAX($I1303*$P$1292,$L$615)&gt;AB$1296,$I1303&gt;$D$19),0,YEARFRAC(MAX($I1303*$P$1292,$L$615)-1,MIN(AB$1296,$D$19),$P$20)))-SUM($P1303:AA1303)</f>
        <v>#VALUE!</v>
      </c>
      <c r="AC1303" s="446" t="e">
        <f>IF($I1303="","",IF(OR(MAX($I1303*$P$1292,$L$615)&gt;AC$1296,$I1303&gt;$D$19),0,YEARFRAC(MAX($I1303*$P$1292,$L$615)-1,MIN(AC$1296,$D$19),$P$20)))-SUM($P1303:AB1303)</f>
        <v>#VALUE!</v>
      </c>
      <c r="AD1303" s="446" t="e">
        <f>IF($I1303="","",IF(OR(MAX($I1303*$P$1292,$L$615)&gt;AD$1296,$I1303&gt;$D$19),0,YEARFRAC(MAX($I1303*$P$1292,$L$615)-1,MIN(AD$1296,$D$19),$P$20)))-SUM($P1303:AC1303)</f>
        <v>#VALUE!</v>
      </c>
      <c r="AE1303" s="446" t="e">
        <f>IF($I1303="","",IF(OR(MAX($I1303*$P$1292,$L$615)&gt;AE$1296,$I1303&gt;$D$19),0,YEARFRAC(MAX($I1303*$P$1292,$L$615)-1,MIN(AE$1296,$D$19),$P$20)))-SUM($P1303:AD1303)</f>
        <v>#VALUE!</v>
      </c>
      <c r="AF1303" s="446" t="e">
        <f>IF($I1303="","",IF(OR(MAX($I1303*$P$1292,$L$615)&gt;AF$1296,$I1303&gt;$D$19),0,YEARFRAC(MAX($I1303*$P$1292,$L$615)-1,MIN(AF$1296,$D$19),$P$20)))-SUM($P1303:AE1303)</f>
        <v>#VALUE!</v>
      </c>
      <c r="AG1303" s="446" t="e">
        <f>IF($I1303="","",IF(OR(MAX($I1303*$P$1292,$L$615)&gt;AG$1296,$I1303&gt;$D$19),0,YEARFRAC(MAX($I1303*$P$1292,$L$615)-1,MIN(AG$1296,$D$19),$P$20)))-SUM($P1303:AF1303)</f>
        <v>#VALUE!</v>
      </c>
      <c r="BB1303" s="447"/>
    </row>
    <row r="1304" spans="1:54" s="446" customFormat="1" ht="11.25" hidden="1" x14ac:dyDescent="0.2">
      <c r="A1304" s="177"/>
      <c r="B1304" s="5">
        <f ca="1">IF(COUNTIF(B$1298:B1303,"&gt;=0")&gt;I$1290,"",(K$1287-B$1298)/I$1290)</f>
        <v>0</v>
      </c>
      <c r="C1304" s="153">
        <f t="shared" ca="1" si="182"/>
        <v>43009</v>
      </c>
      <c r="D1304" s="311">
        <f t="shared" ca="1" si="178"/>
        <v>0</v>
      </c>
      <c r="E1304" s="5"/>
      <c r="F1304" s="311"/>
      <c r="G1304" s="64">
        <f t="shared" ca="1" si="179"/>
        <v>0</v>
      </c>
      <c r="H1304" s="310">
        <f t="shared" si="175"/>
        <v>0</v>
      </c>
      <c r="I1304" s="153"/>
      <c r="J1304" s="29" t="str">
        <f ca="1">IF(ISERROR(VLOOKUP(DATE(YEAR(H1304),MONTH(H1304)+IF($C$1321=$S$23,1,0),1),ÍNDICES!$A:$DE,$Z$1293+1)),"",VLOOKUP(DATE(YEAR(H1304),MONTH(H1304)+IF($C$1321=$S$23,1,0),1),ÍNDICES!$A:$DE,$Z$1293+1))</f>
        <v/>
      </c>
      <c r="K1304" s="155"/>
      <c r="L1304" s="5">
        <f t="shared" ca="1" si="180"/>
        <v>0</v>
      </c>
      <c r="M1304" s="5">
        <f t="shared" ca="1" si="176"/>
        <v>0</v>
      </c>
      <c r="N1304" s="5"/>
      <c r="O1304" s="5">
        <f t="shared" ca="1" si="181"/>
        <v>0</v>
      </c>
      <c r="P1304" s="446" t="str">
        <f t="shared" si="177"/>
        <v/>
      </c>
      <c r="Q1304" s="446" t="e">
        <f>IF($I1304="","",IF(OR(MAX($I1304*$P$1292,$L$615)&gt;Q$1296,$I1304&gt;$D$19),0,YEARFRAC(MAX($I1304*$P$1292,$L$615)-1,MIN(Q$1296,$D$19),$P$20)))-SUM($P1304:P1304)</f>
        <v>#VALUE!</v>
      </c>
      <c r="R1304" s="446" t="e">
        <f>IF($I1304="","",IF(OR(MAX($I1304*$P$1292,$L$615)&gt;R$1296,$I1304&gt;$D$19),0,YEARFRAC(MAX($I1304*$P$1292,$L$615)-1,MIN(R$1296,$D$19),$P$20)))-SUM($P1304:Q1304)</f>
        <v>#VALUE!</v>
      </c>
      <c r="S1304" s="446" t="e">
        <f>IF($I1304="","",IF(OR(MAX($I1304*$P$1292,$L$615)&gt;S$1296,$I1304&gt;$D$19),0,YEARFRAC(MAX($I1304*$P$1292,$L$615)-1,MIN(S$1296,$D$19),$P$20)))-SUM($P1304:R1304)</f>
        <v>#VALUE!</v>
      </c>
      <c r="T1304" s="446" t="e">
        <f>IF($I1304="","",IF(OR(MAX($I1304*$P$1292,$L$615)&gt;T$1296,$I1304&gt;$D$19),0,YEARFRAC(MAX($I1304*$P$1292,$L$615)-1,MIN(T$1296,$D$19),$P$20)))-SUM($P1304:S1304)</f>
        <v>#VALUE!</v>
      </c>
      <c r="U1304" s="446" t="e">
        <f>IF($I1304="","",IF(OR(MAX($I1304*$P$1292,$L$615)&gt;U$1296,$I1304&gt;$D$19),0,YEARFRAC(MAX($I1304*$P$1292,$L$615)-1,MIN(U$1296,$D$19),$P$20)))-SUM($P1304:T1304)</f>
        <v>#VALUE!</v>
      </c>
      <c r="V1304" s="446" t="e">
        <f>IF($I1304="","",IF(OR(MAX($I1304*$P$1292,$L$615)&gt;V$1296,$I1304&gt;$D$19),0,YEARFRAC(MAX($I1304*$P$1292,$L$615)-1,MIN(V$1296,$D$19),$P$20)))-SUM($P1304:U1304)</f>
        <v>#VALUE!</v>
      </c>
      <c r="W1304" s="446" t="e">
        <f>IF($I1304="","",IF(OR(MAX($I1304*$P$1292,$L$615)&gt;W$1296,$I1304&gt;$D$19),0,YEARFRAC(MAX($I1304*$P$1292,$L$615)-1,MIN(W$1296,$D$19),$P$20)))-SUM($P1304:V1304)</f>
        <v>#VALUE!</v>
      </c>
      <c r="X1304" s="446" t="e">
        <f>IF($I1304="","",IF(OR(MAX($I1304*$P$1292,$L$615)&gt;X$1296,$I1304&gt;$D$19),0,YEARFRAC(MAX($I1304*$P$1292,$L$615)-1,MIN(X$1296,$D$19),$P$20)))-SUM($P1304:W1304)</f>
        <v>#VALUE!</v>
      </c>
      <c r="Y1304" s="446" t="e">
        <f>IF($I1304="","",IF(OR(MAX($I1304*$P$1292,$L$615)&gt;Y$1296,$I1304&gt;$D$19),0,YEARFRAC(MAX($I1304*$P$1292,$L$615)-1,MIN(Y$1296,$D$19),$P$20)))-SUM($P1304:X1304)</f>
        <v>#VALUE!</v>
      </c>
      <c r="Z1304" s="446" t="e">
        <f>IF($I1304="","",IF(OR(MAX($I1304*$P$1292,$L$615)&gt;Z$1296,$I1304&gt;$D$19),0,YEARFRAC(MAX($I1304*$P$1292,$L$615)-1,MIN(Z$1296,$D$19),$P$20)))-SUM($P1304:Y1304)</f>
        <v>#VALUE!</v>
      </c>
      <c r="AA1304" s="446" t="e">
        <f>IF($I1304="","",IF(OR(MAX($I1304*$P$1292,$L$615)&gt;AA$1296,$I1304&gt;$D$19),0,YEARFRAC(MAX($I1304*$P$1292,$L$615)-1,MIN(AA$1296,$D$19),$P$20)))-SUM($P1304:Z1304)</f>
        <v>#VALUE!</v>
      </c>
      <c r="AB1304" s="446" t="e">
        <f>IF($I1304="","",IF(OR(MAX($I1304*$P$1292,$L$615)&gt;AB$1296,$I1304&gt;$D$19),0,YEARFRAC(MAX($I1304*$P$1292,$L$615)-1,MIN(AB$1296,$D$19),$P$20)))-SUM($P1304:AA1304)</f>
        <v>#VALUE!</v>
      </c>
      <c r="AC1304" s="446" t="e">
        <f>IF($I1304="","",IF(OR(MAX($I1304*$P$1292,$L$615)&gt;AC$1296,$I1304&gt;$D$19),0,YEARFRAC(MAX($I1304*$P$1292,$L$615)-1,MIN(AC$1296,$D$19),$P$20)))-SUM($P1304:AB1304)</f>
        <v>#VALUE!</v>
      </c>
      <c r="AD1304" s="446" t="e">
        <f>IF($I1304="","",IF(OR(MAX($I1304*$P$1292,$L$615)&gt;AD$1296,$I1304&gt;$D$19),0,YEARFRAC(MAX($I1304*$P$1292,$L$615)-1,MIN(AD$1296,$D$19),$P$20)))-SUM($P1304:AC1304)</f>
        <v>#VALUE!</v>
      </c>
      <c r="AE1304" s="446" t="e">
        <f>IF($I1304="","",IF(OR(MAX($I1304*$P$1292,$L$615)&gt;AE$1296,$I1304&gt;$D$19),0,YEARFRAC(MAX($I1304*$P$1292,$L$615)-1,MIN(AE$1296,$D$19),$P$20)))-SUM($P1304:AD1304)</f>
        <v>#VALUE!</v>
      </c>
      <c r="AF1304" s="446" t="e">
        <f>IF($I1304="","",IF(OR(MAX($I1304*$P$1292,$L$615)&gt;AF$1296,$I1304&gt;$D$19),0,YEARFRAC(MAX($I1304*$P$1292,$L$615)-1,MIN(AF$1296,$D$19),$P$20)))-SUM($P1304:AE1304)</f>
        <v>#VALUE!</v>
      </c>
      <c r="AG1304" s="446" t="e">
        <f>IF($I1304="","",IF(OR(MAX($I1304*$P$1292,$L$615)&gt;AG$1296,$I1304&gt;$D$19),0,YEARFRAC(MAX($I1304*$P$1292,$L$615)-1,MIN(AG$1296,$D$19),$P$20)))-SUM($P1304:AF1304)</f>
        <v>#VALUE!</v>
      </c>
      <c r="BB1304" s="447"/>
    </row>
    <row r="1305" spans="1:54" s="446" customFormat="1" ht="11.25" hidden="1" x14ac:dyDescent="0.2">
      <c r="A1305" s="177"/>
      <c r="B1305" s="5" t="str">
        <f ca="1">IF(COUNTIF(B$1298:B1304,"&gt;=0")&gt;I$1290,"",(K$1287-B$1298)/I$1290)</f>
        <v/>
      </c>
      <c r="C1305" s="153" t="str">
        <f t="shared" ca="1" si="182"/>
        <v/>
      </c>
      <c r="D1305" s="311">
        <f t="shared" ca="1" si="178"/>
        <v>0</v>
      </c>
      <c r="E1305" s="5"/>
      <c r="F1305" s="311"/>
      <c r="G1305" s="64">
        <f t="shared" ca="1" si="179"/>
        <v>0</v>
      </c>
      <c r="H1305" s="310">
        <f t="shared" si="175"/>
        <v>0</v>
      </c>
      <c r="I1305" s="153"/>
      <c r="J1305" s="29" t="str">
        <f ca="1">IF(ISERROR(VLOOKUP(DATE(YEAR(H1305),MONTH(H1305)+IF($C$1321=$S$23,1,0),1),ÍNDICES!$A:$DE,$Z$1293+1)),"",VLOOKUP(DATE(YEAR(H1305),MONTH(H1305)+IF($C$1321=$S$23,1,0),1),ÍNDICES!$A:$DE,$Z$1293+1))</f>
        <v/>
      </c>
      <c r="K1305" s="155"/>
      <c r="L1305" s="5">
        <f t="shared" ca="1" si="180"/>
        <v>0</v>
      </c>
      <c r="M1305" s="5">
        <f t="shared" ref="M1305:M1317" ca="1" si="183">IFERROR(B1305/D$1293*J$1293*(IF(DAYS360($D$19,DATE(2003,1,10))&gt;0,DAYS360($D$19,DATE(2003,1,10)),0)*6%+IF(DAYS360(MAX($D$19,DATE(2003,1,10)),IF(I1305=0,N$1290,I1305))&gt;0,DAYS360(MAX($D$19,DATE(2003,1,10)),IF(I1305=0,N$1290,I1305)),0)*12%)/360,0)</f>
        <v>0</v>
      </c>
      <c r="N1305" s="5"/>
      <c r="O1305" s="5">
        <f t="shared" ca="1" si="181"/>
        <v>0</v>
      </c>
      <c r="P1305" s="446" t="str">
        <f t="shared" si="177"/>
        <v/>
      </c>
      <c r="Q1305" s="446" t="e">
        <f>IF($I1305="","",IF(OR(MAX($I1305*$P$1292,$L$615)&gt;Q$1296,$I1305&gt;$D$19),0,YEARFRAC(MAX($I1305*$P$1292,$L$615)-1,MIN(Q$1296,$D$19),$P$20)))-SUM($P1305:P1305)</f>
        <v>#VALUE!</v>
      </c>
      <c r="R1305" s="446" t="e">
        <f>IF($I1305="","",IF(OR(MAX($I1305*$P$1292,$L$615)&gt;R$1296,$I1305&gt;$D$19),0,YEARFRAC(MAX($I1305*$P$1292,$L$615)-1,MIN(R$1296,$D$19),$P$20)))-SUM($P1305:Q1305)</f>
        <v>#VALUE!</v>
      </c>
      <c r="S1305" s="446" t="e">
        <f>IF($I1305="","",IF(OR(MAX($I1305*$P$1292,$L$615)&gt;S$1296,$I1305&gt;$D$19),0,YEARFRAC(MAX($I1305*$P$1292,$L$615)-1,MIN(S$1296,$D$19),$P$20)))-SUM($P1305:R1305)</f>
        <v>#VALUE!</v>
      </c>
      <c r="T1305" s="446" t="e">
        <f>IF($I1305="","",IF(OR(MAX($I1305*$P$1292,$L$615)&gt;T$1296,$I1305&gt;$D$19),0,YEARFRAC(MAX($I1305*$P$1292,$L$615)-1,MIN(T$1296,$D$19),$P$20)))-SUM($P1305:S1305)</f>
        <v>#VALUE!</v>
      </c>
      <c r="U1305" s="446" t="e">
        <f>IF($I1305="","",IF(OR(MAX($I1305*$P$1292,$L$615)&gt;U$1296,$I1305&gt;$D$19),0,YEARFRAC(MAX($I1305*$P$1292,$L$615)-1,MIN(U$1296,$D$19),$P$20)))-SUM($P1305:T1305)</f>
        <v>#VALUE!</v>
      </c>
      <c r="V1305" s="446" t="e">
        <f>IF($I1305="","",IF(OR(MAX($I1305*$P$1292,$L$615)&gt;V$1296,$I1305&gt;$D$19),0,YEARFRAC(MAX($I1305*$P$1292,$L$615)-1,MIN(V$1296,$D$19),$P$20)))-SUM($P1305:U1305)</f>
        <v>#VALUE!</v>
      </c>
      <c r="W1305" s="446" t="e">
        <f>IF($I1305="","",IF(OR(MAX($I1305*$P$1292,$L$615)&gt;W$1296,$I1305&gt;$D$19),0,YEARFRAC(MAX($I1305*$P$1292,$L$615)-1,MIN(W$1296,$D$19),$P$20)))-SUM($P1305:V1305)</f>
        <v>#VALUE!</v>
      </c>
      <c r="X1305" s="446" t="e">
        <f>IF($I1305="","",IF(OR(MAX($I1305*$P$1292,$L$615)&gt;X$1296,$I1305&gt;$D$19),0,YEARFRAC(MAX($I1305*$P$1292,$L$615)-1,MIN(X$1296,$D$19),$P$20)))-SUM($P1305:W1305)</f>
        <v>#VALUE!</v>
      </c>
      <c r="Y1305" s="446" t="e">
        <f>IF($I1305="","",IF(OR(MAX($I1305*$P$1292,$L$615)&gt;Y$1296,$I1305&gt;$D$19),0,YEARFRAC(MAX($I1305*$P$1292,$L$615)-1,MIN(Y$1296,$D$19),$P$20)))-SUM($P1305:X1305)</f>
        <v>#VALUE!</v>
      </c>
      <c r="Z1305" s="446" t="e">
        <f>IF($I1305="","",IF(OR(MAX($I1305*$P$1292,$L$615)&gt;Z$1296,$I1305&gt;$D$19),0,YEARFRAC(MAX($I1305*$P$1292,$L$615)-1,MIN(Z$1296,$D$19),$P$20)))-SUM($P1305:Y1305)</f>
        <v>#VALUE!</v>
      </c>
      <c r="AA1305" s="446" t="e">
        <f>IF($I1305="","",IF(OR(MAX($I1305*$P$1292,$L$615)&gt;AA$1296,$I1305&gt;$D$19),0,YEARFRAC(MAX($I1305*$P$1292,$L$615)-1,MIN(AA$1296,$D$19),$P$20)))-SUM($P1305:Z1305)</f>
        <v>#VALUE!</v>
      </c>
      <c r="AB1305" s="446" t="e">
        <f>IF($I1305="","",IF(OR(MAX($I1305*$P$1292,$L$615)&gt;AB$1296,$I1305&gt;$D$19),0,YEARFRAC(MAX($I1305*$P$1292,$L$615)-1,MIN(AB$1296,$D$19),$P$20)))-SUM($P1305:AA1305)</f>
        <v>#VALUE!</v>
      </c>
      <c r="AC1305" s="446" t="e">
        <f>IF($I1305="","",IF(OR(MAX($I1305*$P$1292,$L$615)&gt;AC$1296,$I1305&gt;$D$19),0,YEARFRAC(MAX($I1305*$P$1292,$L$615)-1,MIN(AC$1296,$D$19),$P$20)))-SUM($P1305:AB1305)</f>
        <v>#VALUE!</v>
      </c>
      <c r="AD1305" s="446" t="e">
        <f>IF($I1305="","",IF(OR(MAX($I1305*$P$1292,$L$615)&gt;AD$1296,$I1305&gt;$D$19),0,YEARFRAC(MAX($I1305*$P$1292,$L$615)-1,MIN(AD$1296,$D$19),$P$20)))-SUM($P1305:AC1305)</f>
        <v>#VALUE!</v>
      </c>
      <c r="AE1305" s="446" t="e">
        <f>IF($I1305="","",IF(OR(MAX($I1305*$P$1292,$L$615)&gt;AE$1296,$I1305&gt;$D$19),0,YEARFRAC(MAX($I1305*$P$1292,$L$615)-1,MIN(AE$1296,$D$19),$P$20)))-SUM($P1305:AD1305)</f>
        <v>#VALUE!</v>
      </c>
      <c r="AF1305" s="446" t="e">
        <f>IF($I1305="","",IF(OR(MAX($I1305*$P$1292,$L$615)&gt;AF$1296,$I1305&gt;$D$19),0,YEARFRAC(MAX($I1305*$P$1292,$L$615)-1,MIN(AF$1296,$D$19),$P$20)))-SUM($P1305:AE1305)</f>
        <v>#VALUE!</v>
      </c>
      <c r="AG1305" s="446" t="e">
        <f>IF($I1305="","",IF(OR(MAX($I1305*$P$1292,$L$615)&gt;AG$1296,$I1305&gt;$D$19),0,YEARFRAC(MAX($I1305*$P$1292,$L$615)-1,MIN(AG$1296,$D$19),$P$20)))-SUM($P1305:AF1305)</f>
        <v>#VALUE!</v>
      </c>
      <c r="BB1305" s="447"/>
    </row>
    <row r="1306" spans="1:54" s="446" customFormat="1" ht="11.25" hidden="1" x14ac:dyDescent="0.2">
      <c r="A1306" s="177"/>
      <c r="B1306" s="5" t="str">
        <f ca="1">IF(COUNTIF(B$1298:B1305,"&gt;=0")&gt;I$1290,"",(K$1287-B$1298)/I$1290)</f>
        <v/>
      </c>
      <c r="C1306" s="153" t="str">
        <f t="shared" ca="1" si="182"/>
        <v/>
      </c>
      <c r="D1306" s="311">
        <f t="shared" ca="1" si="178"/>
        <v>0</v>
      </c>
      <c r="E1306" s="5"/>
      <c r="F1306" s="311"/>
      <c r="G1306" s="64">
        <f t="shared" ca="1" si="179"/>
        <v>0</v>
      </c>
      <c r="H1306" s="310">
        <f t="shared" si="175"/>
        <v>0</v>
      </c>
      <c r="I1306" s="153"/>
      <c r="J1306" s="29" t="str">
        <f ca="1">IF(ISERROR(VLOOKUP(DATE(YEAR(H1306),MONTH(H1306)+IF($C$1321=$S$23,1,0),1),ÍNDICES!$A:$DE,$Z$1293+1)),"",VLOOKUP(DATE(YEAR(H1306),MONTH(H1306)+IF($C$1321=$S$23,1,0),1),ÍNDICES!$A:$DE,$Z$1293+1))</f>
        <v/>
      </c>
      <c r="K1306" s="155"/>
      <c r="L1306" s="5">
        <f t="shared" ca="1" si="180"/>
        <v>0</v>
      </c>
      <c r="M1306" s="5">
        <f t="shared" ca="1" si="183"/>
        <v>0</v>
      </c>
      <c r="N1306" s="5"/>
      <c r="O1306" s="5">
        <f t="shared" ca="1" si="181"/>
        <v>0</v>
      </c>
      <c r="P1306" s="446" t="str">
        <f t="shared" si="177"/>
        <v/>
      </c>
      <c r="Q1306" s="446" t="e">
        <f>IF($I1306="","",IF(OR(MAX($I1306*$P$1292,$L$615)&gt;Q$1296,$I1306&gt;$D$19),0,YEARFRAC(MAX($I1306*$P$1292,$L$615)-1,MIN(Q$1296,$D$19),$P$20)))-SUM($P1306:P1306)</f>
        <v>#VALUE!</v>
      </c>
      <c r="R1306" s="446" t="e">
        <f>IF($I1306="","",IF(OR(MAX($I1306*$P$1292,$L$615)&gt;R$1296,$I1306&gt;$D$19),0,YEARFRAC(MAX($I1306*$P$1292,$L$615)-1,MIN(R$1296,$D$19),$P$20)))-SUM($P1306:Q1306)</f>
        <v>#VALUE!</v>
      </c>
      <c r="S1306" s="446" t="e">
        <f>IF($I1306="","",IF(OR(MAX($I1306*$P$1292,$L$615)&gt;S$1296,$I1306&gt;$D$19),0,YEARFRAC(MAX($I1306*$P$1292,$L$615)-1,MIN(S$1296,$D$19),$P$20)))-SUM($P1306:R1306)</f>
        <v>#VALUE!</v>
      </c>
      <c r="T1306" s="446" t="e">
        <f>IF($I1306="","",IF(OR(MAX($I1306*$P$1292,$L$615)&gt;T$1296,$I1306&gt;$D$19),0,YEARFRAC(MAX($I1306*$P$1292,$L$615)-1,MIN(T$1296,$D$19),$P$20)))-SUM($P1306:S1306)</f>
        <v>#VALUE!</v>
      </c>
      <c r="U1306" s="446" t="e">
        <f>IF($I1306="","",IF(OR(MAX($I1306*$P$1292,$L$615)&gt;U$1296,$I1306&gt;$D$19),0,YEARFRAC(MAX($I1306*$P$1292,$L$615)-1,MIN(U$1296,$D$19),$P$20)))-SUM($P1306:T1306)</f>
        <v>#VALUE!</v>
      </c>
      <c r="V1306" s="446" t="e">
        <f>IF($I1306="","",IF(OR(MAX($I1306*$P$1292,$L$615)&gt;V$1296,$I1306&gt;$D$19),0,YEARFRAC(MAX($I1306*$P$1292,$L$615)-1,MIN(V$1296,$D$19),$P$20)))-SUM($P1306:U1306)</f>
        <v>#VALUE!</v>
      </c>
      <c r="W1306" s="446" t="e">
        <f>IF($I1306="","",IF(OR(MAX($I1306*$P$1292,$L$615)&gt;W$1296,$I1306&gt;$D$19),0,YEARFRAC(MAX($I1306*$P$1292,$L$615)-1,MIN(W$1296,$D$19),$P$20)))-SUM($P1306:V1306)</f>
        <v>#VALUE!</v>
      </c>
      <c r="X1306" s="446" t="e">
        <f>IF($I1306="","",IF(OR(MAX($I1306*$P$1292,$L$615)&gt;X$1296,$I1306&gt;$D$19),0,YEARFRAC(MAX($I1306*$P$1292,$L$615)-1,MIN(X$1296,$D$19),$P$20)))-SUM($P1306:W1306)</f>
        <v>#VALUE!</v>
      </c>
      <c r="Y1306" s="446" t="e">
        <f>IF($I1306="","",IF(OR(MAX($I1306*$P$1292,$L$615)&gt;Y$1296,$I1306&gt;$D$19),0,YEARFRAC(MAX($I1306*$P$1292,$L$615)-1,MIN(Y$1296,$D$19),$P$20)))-SUM($P1306:X1306)</f>
        <v>#VALUE!</v>
      </c>
      <c r="Z1306" s="446" t="e">
        <f>IF($I1306="","",IF(OR(MAX($I1306*$P$1292,$L$615)&gt;Z$1296,$I1306&gt;$D$19),0,YEARFRAC(MAX($I1306*$P$1292,$L$615)-1,MIN(Z$1296,$D$19),$P$20)))-SUM($P1306:Y1306)</f>
        <v>#VALUE!</v>
      </c>
      <c r="AA1306" s="446" t="e">
        <f>IF($I1306="","",IF(OR(MAX($I1306*$P$1292,$L$615)&gt;AA$1296,$I1306&gt;$D$19),0,YEARFRAC(MAX($I1306*$P$1292,$L$615)-1,MIN(AA$1296,$D$19),$P$20)))-SUM($P1306:Z1306)</f>
        <v>#VALUE!</v>
      </c>
      <c r="AB1306" s="446" t="e">
        <f>IF($I1306="","",IF(OR(MAX($I1306*$P$1292,$L$615)&gt;AB$1296,$I1306&gt;$D$19),0,YEARFRAC(MAX($I1306*$P$1292,$L$615)-1,MIN(AB$1296,$D$19),$P$20)))-SUM($P1306:AA1306)</f>
        <v>#VALUE!</v>
      </c>
      <c r="AC1306" s="446" t="e">
        <f>IF($I1306="","",IF(OR(MAX($I1306*$P$1292,$L$615)&gt;AC$1296,$I1306&gt;$D$19),0,YEARFRAC(MAX($I1306*$P$1292,$L$615)-1,MIN(AC$1296,$D$19),$P$20)))-SUM($P1306:AB1306)</f>
        <v>#VALUE!</v>
      </c>
      <c r="AD1306" s="446" t="e">
        <f>IF($I1306="","",IF(OR(MAX($I1306*$P$1292,$L$615)&gt;AD$1296,$I1306&gt;$D$19),0,YEARFRAC(MAX($I1306*$P$1292,$L$615)-1,MIN(AD$1296,$D$19),$P$20)))-SUM($P1306:AC1306)</f>
        <v>#VALUE!</v>
      </c>
      <c r="AE1306" s="446" t="e">
        <f>IF($I1306="","",IF(OR(MAX($I1306*$P$1292,$L$615)&gt;AE$1296,$I1306&gt;$D$19),0,YEARFRAC(MAX($I1306*$P$1292,$L$615)-1,MIN(AE$1296,$D$19),$P$20)))-SUM($P1306:AD1306)</f>
        <v>#VALUE!</v>
      </c>
      <c r="AF1306" s="446" t="e">
        <f>IF($I1306="","",IF(OR(MAX($I1306*$P$1292,$L$615)&gt;AF$1296,$I1306&gt;$D$19),0,YEARFRAC(MAX($I1306*$P$1292,$L$615)-1,MIN(AF$1296,$D$19),$P$20)))-SUM($P1306:AE1306)</f>
        <v>#VALUE!</v>
      </c>
      <c r="AG1306" s="446" t="e">
        <f>IF($I1306="","",IF(OR(MAX($I1306*$P$1292,$L$615)&gt;AG$1296,$I1306&gt;$D$19),0,YEARFRAC(MAX($I1306*$P$1292,$L$615)-1,MIN(AG$1296,$D$19),$P$20)))-SUM($P1306:AF1306)</f>
        <v>#VALUE!</v>
      </c>
      <c r="BB1306" s="447"/>
    </row>
    <row r="1307" spans="1:54" s="446" customFormat="1" ht="11.25" hidden="1" x14ac:dyDescent="0.2">
      <c r="A1307" s="177"/>
      <c r="B1307" s="5" t="str">
        <f ca="1">IF(COUNTIF(B$1298:B1306,"&gt;=0")&gt;I$1290,"",(K$1287-B$1298)/I$1290)</f>
        <v/>
      </c>
      <c r="C1307" s="153" t="str">
        <f t="shared" ca="1" si="182"/>
        <v/>
      </c>
      <c r="D1307" s="311">
        <f t="shared" ca="1" si="178"/>
        <v>0</v>
      </c>
      <c r="E1307" s="5"/>
      <c r="F1307" s="311"/>
      <c r="G1307" s="64">
        <f t="shared" ca="1" si="179"/>
        <v>0</v>
      </c>
      <c r="H1307" s="310">
        <f t="shared" si="175"/>
        <v>0</v>
      </c>
      <c r="I1307" s="153"/>
      <c r="J1307" s="29" t="str">
        <f ca="1">IF(ISERROR(VLOOKUP(DATE(YEAR(H1307),MONTH(H1307)+IF($C$1321=$S$23,1,0),1),ÍNDICES!$A:$DE,$Z$1293+1)),"",VLOOKUP(DATE(YEAR(H1307),MONTH(H1307)+IF($C$1321=$S$23,1,0),1),ÍNDICES!$A:$DE,$Z$1293+1))</f>
        <v/>
      </c>
      <c r="K1307" s="155"/>
      <c r="L1307" s="5">
        <f t="shared" ca="1" si="180"/>
        <v>0</v>
      </c>
      <c r="M1307" s="5">
        <f t="shared" ca="1" si="183"/>
        <v>0</v>
      </c>
      <c r="N1307" s="5"/>
      <c r="O1307" s="5">
        <f t="shared" ca="1" si="181"/>
        <v>0</v>
      </c>
      <c r="P1307" s="446" t="str">
        <f t="shared" si="177"/>
        <v/>
      </c>
      <c r="Q1307" s="446" t="e">
        <f>IF($I1307="","",IF(OR(MAX($I1307*$P$1292,$L$615)&gt;Q$1296,$I1307&gt;$D$19),0,YEARFRAC(MAX($I1307*$P$1292,$L$615)-1,MIN(Q$1296,$D$19),$P$20)))-SUM($P1307:P1307)</f>
        <v>#VALUE!</v>
      </c>
      <c r="R1307" s="446" t="e">
        <f>IF($I1307="","",IF(OR(MAX($I1307*$P$1292,$L$615)&gt;R$1296,$I1307&gt;$D$19),0,YEARFRAC(MAX($I1307*$P$1292,$L$615)-1,MIN(R$1296,$D$19),$P$20)))-SUM($P1307:Q1307)</f>
        <v>#VALUE!</v>
      </c>
      <c r="S1307" s="446" t="e">
        <f>IF($I1307="","",IF(OR(MAX($I1307*$P$1292,$L$615)&gt;S$1296,$I1307&gt;$D$19),0,YEARFRAC(MAX($I1307*$P$1292,$L$615)-1,MIN(S$1296,$D$19),$P$20)))-SUM($P1307:R1307)</f>
        <v>#VALUE!</v>
      </c>
      <c r="T1307" s="446" t="e">
        <f>IF($I1307="","",IF(OR(MAX($I1307*$P$1292,$L$615)&gt;T$1296,$I1307&gt;$D$19),0,YEARFRAC(MAX($I1307*$P$1292,$L$615)-1,MIN(T$1296,$D$19),$P$20)))-SUM($P1307:S1307)</f>
        <v>#VALUE!</v>
      </c>
      <c r="U1307" s="446" t="e">
        <f>IF($I1307="","",IF(OR(MAX($I1307*$P$1292,$L$615)&gt;U$1296,$I1307&gt;$D$19),0,YEARFRAC(MAX($I1307*$P$1292,$L$615)-1,MIN(U$1296,$D$19),$P$20)))-SUM($P1307:T1307)</f>
        <v>#VALUE!</v>
      </c>
      <c r="V1307" s="446" t="e">
        <f>IF($I1307="","",IF(OR(MAX($I1307*$P$1292,$L$615)&gt;V$1296,$I1307&gt;$D$19),0,YEARFRAC(MAX($I1307*$P$1292,$L$615)-1,MIN(V$1296,$D$19),$P$20)))-SUM($P1307:U1307)</f>
        <v>#VALUE!</v>
      </c>
      <c r="W1307" s="446" t="e">
        <f>IF($I1307="","",IF(OR(MAX($I1307*$P$1292,$L$615)&gt;W$1296,$I1307&gt;$D$19),0,YEARFRAC(MAX($I1307*$P$1292,$L$615)-1,MIN(W$1296,$D$19),$P$20)))-SUM($P1307:V1307)</f>
        <v>#VALUE!</v>
      </c>
      <c r="X1307" s="446" t="e">
        <f>IF($I1307="","",IF(OR(MAX($I1307*$P$1292,$L$615)&gt;X$1296,$I1307&gt;$D$19),0,YEARFRAC(MAX($I1307*$P$1292,$L$615)-1,MIN(X$1296,$D$19),$P$20)))-SUM($P1307:W1307)</f>
        <v>#VALUE!</v>
      </c>
      <c r="Y1307" s="446" t="e">
        <f>IF($I1307="","",IF(OR(MAX($I1307*$P$1292,$L$615)&gt;Y$1296,$I1307&gt;$D$19),0,YEARFRAC(MAX($I1307*$P$1292,$L$615)-1,MIN(Y$1296,$D$19),$P$20)))-SUM($P1307:X1307)</f>
        <v>#VALUE!</v>
      </c>
      <c r="Z1307" s="446" t="e">
        <f>IF($I1307="","",IF(OR(MAX($I1307*$P$1292,$L$615)&gt;Z$1296,$I1307&gt;$D$19),0,YEARFRAC(MAX($I1307*$P$1292,$L$615)-1,MIN(Z$1296,$D$19),$P$20)))-SUM($P1307:Y1307)</f>
        <v>#VALUE!</v>
      </c>
      <c r="AA1307" s="446" t="e">
        <f>IF($I1307="","",IF(OR(MAX($I1307*$P$1292,$L$615)&gt;AA$1296,$I1307&gt;$D$19),0,YEARFRAC(MAX($I1307*$P$1292,$L$615)-1,MIN(AA$1296,$D$19),$P$20)))-SUM($P1307:Z1307)</f>
        <v>#VALUE!</v>
      </c>
      <c r="AB1307" s="446" t="e">
        <f>IF($I1307="","",IF(OR(MAX($I1307*$P$1292,$L$615)&gt;AB$1296,$I1307&gt;$D$19),0,YEARFRAC(MAX($I1307*$P$1292,$L$615)-1,MIN(AB$1296,$D$19),$P$20)))-SUM($P1307:AA1307)</f>
        <v>#VALUE!</v>
      </c>
      <c r="AC1307" s="446" t="e">
        <f>IF($I1307="","",IF(OR(MAX($I1307*$P$1292,$L$615)&gt;AC$1296,$I1307&gt;$D$19),0,YEARFRAC(MAX($I1307*$P$1292,$L$615)-1,MIN(AC$1296,$D$19),$P$20)))-SUM($P1307:AB1307)</f>
        <v>#VALUE!</v>
      </c>
      <c r="AD1307" s="446" t="e">
        <f>IF($I1307="","",IF(OR(MAX($I1307*$P$1292,$L$615)&gt;AD$1296,$I1307&gt;$D$19),0,YEARFRAC(MAX($I1307*$P$1292,$L$615)-1,MIN(AD$1296,$D$19),$P$20)))-SUM($P1307:AC1307)</f>
        <v>#VALUE!</v>
      </c>
      <c r="AE1307" s="446" t="e">
        <f>IF($I1307="","",IF(OR(MAX($I1307*$P$1292,$L$615)&gt;AE$1296,$I1307&gt;$D$19),0,YEARFRAC(MAX($I1307*$P$1292,$L$615)-1,MIN(AE$1296,$D$19),$P$20)))-SUM($P1307:AD1307)</f>
        <v>#VALUE!</v>
      </c>
      <c r="AF1307" s="446" t="e">
        <f>IF($I1307="","",IF(OR(MAX($I1307*$P$1292,$L$615)&gt;AF$1296,$I1307&gt;$D$19),0,YEARFRAC(MAX($I1307*$P$1292,$L$615)-1,MIN(AF$1296,$D$19),$P$20)))-SUM($P1307:AE1307)</f>
        <v>#VALUE!</v>
      </c>
      <c r="AG1307" s="446" t="e">
        <f>IF($I1307="","",IF(OR(MAX($I1307*$P$1292,$L$615)&gt;AG$1296,$I1307&gt;$D$19),0,YEARFRAC(MAX($I1307*$P$1292,$L$615)-1,MIN(AG$1296,$D$19),$P$20)))-SUM($P1307:AF1307)</f>
        <v>#VALUE!</v>
      </c>
      <c r="BB1307" s="447"/>
    </row>
    <row r="1308" spans="1:54" s="446" customFormat="1" ht="11.25" hidden="1" x14ac:dyDescent="0.2">
      <c r="A1308" s="177"/>
      <c r="B1308" s="5" t="str">
        <f ca="1">IF(COUNTIF(B$1298:B1307,"&gt;=0")&gt;I$1290,"",(K$1287-B$1298)/I$1290)</f>
        <v/>
      </c>
      <c r="C1308" s="153" t="str">
        <f t="shared" ca="1" si="182"/>
        <v/>
      </c>
      <c r="D1308" s="311">
        <f t="shared" ca="1" si="178"/>
        <v>0</v>
      </c>
      <c r="E1308" s="5"/>
      <c r="F1308" s="311"/>
      <c r="G1308" s="64">
        <f t="shared" ca="1" si="179"/>
        <v>0</v>
      </c>
      <c r="H1308" s="310">
        <f t="shared" si="175"/>
        <v>0</v>
      </c>
      <c r="I1308" s="153"/>
      <c r="J1308" s="29" t="str">
        <f ca="1">IF(ISERROR(VLOOKUP(DATE(YEAR(H1308),MONTH(H1308)+IF($C$1321=$S$23,1,0),1),ÍNDICES!$A:$DE,$Z$1293+1)),"",VLOOKUP(DATE(YEAR(H1308),MONTH(H1308)+IF($C$1321=$S$23,1,0),1),ÍNDICES!$A:$DE,$Z$1293+1))</f>
        <v/>
      </c>
      <c r="K1308" s="155"/>
      <c r="L1308" s="5">
        <f t="shared" ca="1" si="180"/>
        <v>0</v>
      </c>
      <c r="M1308" s="5">
        <f t="shared" ca="1" si="183"/>
        <v>0</v>
      </c>
      <c r="N1308" s="5"/>
      <c r="O1308" s="5">
        <f t="shared" ca="1" si="181"/>
        <v>0</v>
      </c>
      <c r="P1308" s="446" t="str">
        <f t="shared" si="177"/>
        <v/>
      </c>
      <c r="Q1308" s="446" t="e">
        <f>IF($I1308="","",IF(OR(MAX($I1308*$P$1292,$L$615)&gt;Q$1296,$I1308&gt;$D$19),0,YEARFRAC(MAX($I1308*$P$1292,$L$615)-1,MIN(Q$1296,$D$19),$P$20)))-SUM($P1308:P1308)</f>
        <v>#VALUE!</v>
      </c>
      <c r="R1308" s="446" t="e">
        <f>IF($I1308="","",IF(OR(MAX($I1308*$P$1292,$L$615)&gt;R$1296,$I1308&gt;$D$19),0,YEARFRAC(MAX($I1308*$P$1292,$L$615)-1,MIN(R$1296,$D$19),$P$20)))-SUM($P1308:Q1308)</f>
        <v>#VALUE!</v>
      </c>
      <c r="S1308" s="446" t="e">
        <f>IF($I1308="","",IF(OR(MAX($I1308*$P$1292,$L$615)&gt;S$1296,$I1308&gt;$D$19),0,YEARFRAC(MAX($I1308*$P$1292,$L$615)-1,MIN(S$1296,$D$19),$P$20)))-SUM($P1308:R1308)</f>
        <v>#VALUE!</v>
      </c>
      <c r="T1308" s="446" t="e">
        <f>IF($I1308="","",IF(OR(MAX($I1308*$P$1292,$L$615)&gt;T$1296,$I1308&gt;$D$19),0,YEARFRAC(MAX($I1308*$P$1292,$L$615)-1,MIN(T$1296,$D$19),$P$20)))-SUM($P1308:S1308)</f>
        <v>#VALUE!</v>
      </c>
      <c r="U1308" s="446" t="e">
        <f>IF($I1308="","",IF(OR(MAX($I1308*$P$1292,$L$615)&gt;U$1296,$I1308&gt;$D$19),0,YEARFRAC(MAX($I1308*$P$1292,$L$615)-1,MIN(U$1296,$D$19),$P$20)))-SUM($P1308:T1308)</f>
        <v>#VALUE!</v>
      </c>
      <c r="V1308" s="446" t="e">
        <f>IF($I1308="","",IF(OR(MAX($I1308*$P$1292,$L$615)&gt;V$1296,$I1308&gt;$D$19),0,YEARFRAC(MAX($I1308*$P$1292,$L$615)-1,MIN(V$1296,$D$19),$P$20)))-SUM($P1308:U1308)</f>
        <v>#VALUE!</v>
      </c>
      <c r="W1308" s="446" t="e">
        <f>IF($I1308="","",IF(OR(MAX($I1308*$P$1292,$L$615)&gt;W$1296,$I1308&gt;$D$19),0,YEARFRAC(MAX($I1308*$P$1292,$L$615)-1,MIN(W$1296,$D$19),$P$20)))-SUM($P1308:V1308)</f>
        <v>#VALUE!</v>
      </c>
      <c r="X1308" s="446" t="e">
        <f>IF($I1308="","",IF(OR(MAX($I1308*$P$1292,$L$615)&gt;X$1296,$I1308&gt;$D$19),0,YEARFRAC(MAX($I1308*$P$1292,$L$615)-1,MIN(X$1296,$D$19),$P$20)))-SUM($P1308:W1308)</f>
        <v>#VALUE!</v>
      </c>
      <c r="Y1308" s="446" t="e">
        <f>IF($I1308="","",IF(OR(MAX($I1308*$P$1292,$L$615)&gt;Y$1296,$I1308&gt;$D$19),0,YEARFRAC(MAX($I1308*$P$1292,$L$615)-1,MIN(Y$1296,$D$19),$P$20)))-SUM($P1308:X1308)</f>
        <v>#VALUE!</v>
      </c>
      <c r="Z1308" s="446" t="e">
        <f>IF($I1308="","",IF(OR(MAX($I1308*$P$1292,$L$615)&gt;Z$1296,$I1308&gt;$D$19),0,YEARFRAC(MAX($I1308*$P$1292,$L$615)-1,MIN(Z$1296,$D$19),$P$20)))-SUM($P1308:Y1308)</f>
        <v>#VALUE!</v>
      </c>
      <c r="AA1308" s="446" t="e">
        <f>IF($I1308="","",IF(OR(MAX($I1308*$P$1292,$L$615)&gt;AA$1296,$I1308&gt;$D$19),0,YEARFRAC(MAX($I1308*$P$1292,$L$615)-1,MIN(AA$1296,$D$19),$P$20)))-SUM($P1308:Z1308)</f>
        <v>#VALUE!</v>
      </c>
      <c r="AB1308" s="446" t="e">
        <f>IF($I1308="","",IF(OR(MAX($I1308*$P$1292,$L$615)&gt;AB$1296,$I1308&gt;$D$19),0,YEARFRAC(MAX($I1308*$P$1292,$L$615)-1,MIN(AB$1296,$D$19),$P$20)))-SUM($P1308:AA1308)</f>
        <v>#VALUE!</v>
      </c>
      <c r="AC1308" s="446" t="e">
        <f>IF($I1308="","",IF(OR(MAX($I1308*$P$1292,$L$615)&gt;AC$1296,$I1308&gt;$D$19),0,YEARFRAC(MAX($I1308*$P$1292,$L$615)-1,MIN(AC$1296,$D$19),$P$20)))-SUM($P1308:AB1308)</f>
        <v>#VALUE!</v>
      </c>
      <c r="AD1308" s="446" t="e">
        <f>IF($I1308="","",IF(OR(MAX($I1308*$P$1292,$L$615)&gt;AD$1296,$I1308&gt;$D$19),0,YEARFRAC(MAX($I1308*$P$1292,$L$615)-1,MIN(AD$1296,$D$19),$P$20)))-SUM($P1308:AC1308)</f>
        <v>#VALUE!</v>
      </c>
      <c r="AE1308" s="446" t="e">
        <f>IF($I1308="","",IF(OR(MAX($I1308*$P$1292,$L$615)&gt;AE$1296,$I1308&gt;$D$19),0,YEARFRAC(MAX($I1308*$P$1292,$L$615)-1,MIN(AE$1296,$D$19),$P$20)))-SUM($P1308:AD1308)</f>
        <v>#VALUE!</v>
      </c>
      <c r="AF1308" s="446" t="e">
        <f>IF($I1308="","",IF(OR(MAX($I1308*$P$1292,$L$615)&gt;AF$1296,$I1308&gt;$D$19),0,YEARFRAC(MAX($I1308*$P$1292,$L$615)-1,MIN(AF$1296,$D$19),$P$20)))-SUM($P1308:AE1308)</f>
        <v>#VALUE!</v>
      </c>
      <c r="AG1308" s="446" t="e">
        <f>IF($I1308="","",IF(OR(MAX($I1308*$P$1292,$L$615)&gt;AG$1296,$I1308&gt;$D$19),0,YEARFRAC(MAX($I1308*$P$1292,$L$615)-1,MIN(AG$1296,$D$19),$P$20)))-SUM($P1308:AF1308)</f>
        <v>#VALUE!</v>
      </c>
      <c r="BB1308" s="447"/>
    </row>
    <row r="1309" spans="1:54" s="446" customFormat="1" ht="11.25" hidden="1" x14ac:dyDescent="0.2">
      <c r="A1309" s="177"/>
      <c r="B1309" s="5" t="str">
        <f ca="1">IF(COUNTIF(B$1298:B1308,"&gt;=0")&gt;I$1290,"",(K$1287-B$1298)/I$1290)</f>
        <v/>
      </c>
      <c r="C1309" s="153" t="str">
        <f t="shared" ca="1" si="182"/>
        <v/>
      </c>
      <c r="D1309" s="311">
        <f t="shared" ca="1" si="178"/>
        <v>0</v>
      </c>
      <c r="E1309" s="5"/>
      <c r="F1309" s="311"/>
      <c r="G1309" s="64">
        <f t="shared" ca="1" si="179"/>
        <v>0</v>
      </c>
      <c r="H1309" s="310">
        <f t="shared" si="175"/>
        <v>0</v>
      </c>
      <c r="I1309" s="153"/>
      <c r="J1309" s="29" t="str">
        <f ca="1">IF(ISERROR(VLOOKUP(DATE(YEAR(H1309),MONTH(H1309)+IF($C$1321=$S$23,1,0),1),ÍNDICES!$A:$DE,$Z$1293+1)),"",VLOOKUP(DATE(YEAR(H1309),MONTH(H1309)+IF($C$1321=$S$23,1,0),1),ÍNDICES!$A:$DE,$Z$1293+1))</f>
        <v/>
      </c>
      <c r="K1309" s="155"/>
      <c r="L1309" s="5">
        <f t="shared" ca="1" si="180"/>
        <v>0</v>
      </c>
      <c r="M1309" s="5">
        <f t="shared" ca="1" si="183"/>
        <v>0</v>
      </c>
      <c r="N1309" s="5"/>
      <c r="O1309" s="5">
        <f t="shared" ca="1" si="181"/>
        <v>0</v>
      </c>
      <c r="P1309" s="446" t="str">
        <f t="shared" si="177"/>
        <v/>
      </c>
      <c r="Q1309" s="446" t="e">
        <f>IF($I1309="","",IF(OR(MAX($I1309*$P$1292,$L$615)&gt;Q$1296,$I1309&gt;$D$19),0,YEARFRAC(MAX($I1309*$P$1292,$L$615)-1,MIN(Q$1296,$D$19),$P$20)))-SUM($P1309:P1309)</f>
        <v>#VALUE!</v>
      </c>
      <c r="R1309" s="446" t="e">
        <f>IF($I1309="","",IF(OR(MAX($I1309*$P$1292,$L$615)&gt;R$1296,$I1309&gt;$D$19),0,YEARFRAC(MAX($I1309*$P$1292,$L$615)-1,MIN(R$1296,$D$19),$P$20)))-SUM($P1309:Q1309)</f>
        <v>#VALUE!</v>
      </c>
      <c r="S1309" s="446" t="e">
        <f>IF($I1309="","",IF(OR(MAX($I1309*$P$1292,$L$615)&gt;S$1296,$I1309&gt;$D$19),0,YEARFRAC(MAX($I1309*$P$1292,$L$615)-1,MIN(S$1296,$D$19),$P$20)))-SUM($P1309:R1309)</f>
        <v>#VALUE!</v>
      </c>
      <c r="T1309" s="446" t="e">
        <f>IF($I1309="","",IF(OR(MAX($I1309*$P$1292,$L$615)&gt;T$1296,$I1309&gt;$D$19),0,YEARFRAC(MAX($I1309*$P$1292,$L$615)-1,MIN(T$1296,$D$19),$P$20)))-SUM($P1309:S1309)</f>
        <v>#VALUE!</v>
      </c>
      <c r="U1309" s="446" t="e">
        <f>IF($I1309="","",IF(OR(MAX($I1309*$P$1292,$L$615)&gt;U$1296,$I1309&gt;$D$19),0,YEARFRAC(MAX($I1309*$P$1292,$L$615)-1,MIN(U$1296,$D$19),$P$20)))-SUM($P1309:T1309)</f>
        <v>#VALUE!</v>
      </c>
      <c r="V1309" s="446" t="e">
        <f>IF($I1309="","",IF(OR(MAX($I1309*$P$1292,$L$615)&gt;V$1296,$I1309&gt;$D$19),0,YEARFRAC(MAX($I1309*$P$1292,$L$615)-1,MIN(V$1296,$D$19),$P$20)))-SUM($P1309:U1309)</f>
        <v>#VALUE!</v>
      </c>
      <c r="W1309" s="446" t="e">
        <f>IF($I1309="","",IF(OR(MAX($I1309*$P$1292,$L$615)&gt;W$1296,$I1309&gt;$D$19),0,YEARFRAC(MAX($I1309*$P$1292,$L$615)-1,MIN(W$1296,$D$19),$P$20)))-SUM($P1309:V1309)</f>
        <v>#VALUE!</v>
      </c>
      <c r="X1309" s="446" t="e">
        <f>IF($I1309="","",IF(OR(MAX($I1309*$P$1292,$L$615)&gt;X$1296,$I1309&gt;$D$19),0,YEARFRAC(MAX($I1309*$P$1292,$L$615)-1,MIN(X$1296,$D$19),$P$20)))-SUM($P1309:W1309)</f>
        <v>#VALUE!</v>
      </c>
      <c r="Y1309" s="446" t="e">
        <f>IF($I1309="","",IF(OR(MAX($I1309*$P$1292,$L$615)&gt;Y$1296,$I1309&gt;$D$19),0,YEARFRAC(MAX($I1309*$P$1292,$L$615)-1,MIN(Y$1296,$D$19),$P$20)))-SUM($P1309:X1309)</f>
        <v>#VALUE!</v>
      </c>
      <c r="Z1309" s="446" t="e">
        <f>IF($I1309="","",IF(OR(MAX($I1309*$P$1292,$L$615)&gt;Z$1296,$I1309&gt;$D$19),0,YEARFRAC(MAX($I1309*$P$1292,$L$615)-1,MIN(Z$1296,$D$19),$P$20)))-SUM($P1309:Y1309)</f>
        <v>#VALUE!</v>
      </c>
      <c r="AA1309" s="446" t="e">
        <f>IF($I1309="","",IF(OR(MAX($I1309*$P$1292,$L$615)&gt;AA$1296,$I1309&gt;$D$19),0,YEARFRAC(MAX($I1309*$P$1292,$L$615)-1,MIN(AA$1296,$D$19),$P$20)))-SUM($P1309:Z1309)</f>
        <v>#VALUE!</v>
      </c>
      <c r="AB1309" s="446" t="e">
        <f>IF($I1309="","",IF(OR(MAX($I1309*$P$1292,$L$615)&gt;AB$1296,$I1309&gt;$D$19),0,YEARFRAC(MAX($I1309*$P$1292,$L$615)-1,MIN(AB$1296,$D$19),$P$20)))-SUM($P1309:AA1309)</f>
        <v>#VALUE!</v>
      </c>
      <c r="AC1309" s="446" t="e">
        <f>IF($I1309="","",IF(OR(MAX($I1309*$P$1292,$L$615)&gt;AC$1296,$I1309&gt;$D$19),0,YEARFRAC(MAX($I1309*$P$1292,$L$615)-1,MIN(AC$1296,$D$19),$P$20)))-SUM($P1309:AB1309)</f>
        <v>#VALUE!</v>
      </c>
      <c r="AD1309" s="446" t="e">
        <f>IF($I1309="","",IF(OR(MAX($I1309*$P$1292,$L$615)&gt;AD$1296,$I1309&gt;$D$19),0,YEARFRAC(MAX($I1309*$P$1292,$L$615)-1,MIN(AD$1296,$D$19),$P$20)))-SUM($P1309:AC1309)</f>
        <v>#VALUE!</v>
      </c>
      <c r="AE1309" s="446" t="e">
        <f>IF($I1309="","",IF(OR(MAX($I1309*$P$1292,$L$615)&gt;AE$1296,$I1309&gt;$D$19),0,YEARFRAC(MAX($I1309*$P$1292,$L$615)-1,MIN(AE$1296,$D$19),$P$20)))-SUM($P1309:AD1309)</f>
        <v>#VALUE!</v>
      </c>
      <c r="AF1309" s="446" t="e">
        <f>IF($I1309="","",IF(OR(MAX($I1309*$P$1292,$L$615)&gt;AF$1296,$I1309&gt;$D$19),0,YEARFRAC(MAX($I1309*$P$1292,$L$615)-1,MIN(AF$1296,$D$19),$P$20)))-SUM($P1309:AE1309)</f>
        <v>#VALUE!</v>
      </c>
      <c r="AG1309" s="446" t="e">
        <f>IF($I1309="","",IF(OR(MAX($I1309*$P$1292,$L$615)&gt;AG$1296,$I1309&gt;$D$19),0,YEARFRAC(MAX($I1309*$P$1292,$L$615)-1,MIN(AG$1296,$D$19),$P$20)))-SUM($P1309:AF1309)</f>
        <v>#VALUE!</v>
      </c>
      <c r="BB1309" s="447"/>
    </row>
    <row r="1310" spans="1:54" s="446" customFormat="1" ht="11.25" hidden="1" x14ac:dyDescent="0.2">
      <c r="A1310" s="177"/>
      <c r="B1310" s="5" t="str">
        <f ca="1">IF(COUNTIF(B$1298:B1309,"&gt;=0")&gt;I$1290,"",(K$1287-B$1298)/I$1290)</f>
        <v/>
      </c>
      <c r="C1310" s="153" t="str">
        <f t="shared" ca="1" si="182"/>
        <v/>
      </c>
      <c r="D1310" s="311">
        <f t="shared" ca="1" si="178"/>
        <v>0</v>
      </c>
      <c r="E1310" s="5"/>
      <c r="F1310" s="311"/>
      <c r="G1310" s="64">
        <f t="shared" ca="1" si="179"/>
        <v>0</v>
      </c>
      <c r="H1310" s="310">
        <f t="shared" si="175"/>
        <v>0</v>
      </c>
      <c r="I1310" s="153"/>
      <c r="J1310" s="29" t="str">
        <f ca="1">IF(ISERROR(VLOOKUP(DATE(YEAR(H1310),MONTH(H1310)+IF($C$1321=$S$23,1,0),1),ÍNDICES!$A:$DE,$Z$1293+1)),"",VLOOKUP(DATE(YEAR(H1310),MONTH(H1310)+IF($C$1321=$S$23,1,0),1),ÍNDICES!$A:$DE,$Z$1293+1))</f>
        <v/>
      </c>
      <c r="K1310" s="155"/>
      <c r="L1310" s="5">
        <f t="shared" ca="1" si="180"/>
        <v>0</v>
      </c>
      <c r="M1310" s="5">
        <f t="shared" ca="1" si="183"/>
        <v>0</v>
      </c>
      <c r="N1310" s="5"/>
      <c r="O1310" s="5">
        <f t="shared" ca="1" si="181"/>
        <v>0</v>
      </c>
      <c r="P1310" s="446" t="str">
        <f t="shared" si="177"/>
        <v/>
      </c>
      <c r="Q1310" s="446" t="e">
        <f>IF($I1310="","",IF(OR(MAX($I1310*$P$1292,$L$615)&gt;Q$1296,$I1310&gt;$D$19),0,YEARFRAC(MAX($I1310*$P$1292,$L$615)-1,MIN(Q$1296,$D$19),$P$20)))-SUM($P1310:P1310)</f>
        <v>#VALUE!</v>
      </c>
      <c r="R1310" s="446" t="e">
        <f>IF($I1310="","",IF(OR(MAX($I1310*$P$1292,$L$615)&gt;R$1296,$I1310&gt;$D$19),0,YEARFRAC(MAX($I1310*$P$1292,$L$615)-1,MIN(R$1296,$D$19),$P$20)))-SUM($P1310:Q1310)</f>
        <v>#VALUE!</v>
      </c>
      <c r="S1310" s="446" t="e">
        <f>IF($I1310="","",IF(OR(MAX($I1310*$P$1292,$L$615)&gt;S$1296,$I1310&gt;$D$19),0,YEARFRAC(MAX($I1310*$P$1292,$L$615)-1,MIN(S$1296,$D$19),$P$20)))-SUM($P1310:R1310)</f>
        <v>#VALUE!</v>
      </c>
      <c r="T1310" s="446" t="e">
        <f>IF($I1310="","",IF(OR(MAX($I1310*$P$1292,$L$615)&gt;T$1296,$I1310&gt;$D$19),0,YEARFRAC(MAX($I1310*$P$1292,$L$615)-1,MIN(T$1296,$D$19),$P$20)))-SUM($P1310:S1310)</f>
        <v>#VALUE!</v>
      </c>
      <c r="U1310" s="446" t="e">
        <f>IF($I1310="","",IF(OR(MAX($I1310*$P$1292,$L$615)&gt;U$1296,$I1310&gt;$D$19),0,YEARFRAC(MAX($I1310*$P$1292,$L$615)-1,MIN(U$1296,$D$19),$P$20)))-SUM($P1310:T1310)</f>
        <v>#VALUE!</v>
      </c>
      <c r="V1310" s="446" t="e">
        <f>IF($I1310="","",IF(OR(MAX($I1310*$P$1292,$L$615)&gt;V$1296,$I1310&gt;$D$19),0,YEARFRAC(MAX($I1310*$P$1292,$L$615)-1,MIN(V$1296,$D$19),$P$20)))-SUM($P1310:U1310)</f>
        <v>#VALUE!</v>
      </c>
      <c r="W1310" s="446" t="e">
        <f>IF($I1310="","",IF(OR(MAX($I1310*$P$1292,$L$615)&gt;W$1296,$I1310&gt;$D$19),0,YEARFRAC(MAX($I1310*$P$1292,$L$615)-1,MIN(W$1296,$D$19),$P$20)))-SUM($P1310:V1310)</f>
        <v>#VALUE!</v>
      </c>
      <c r="X1310" s="446" t="e">
        <f>IF($I1310="","",IF(OR(MAX($I1310*$P$1292,$L$615)&gt;X$1296,$I1310&gt;$D$19),0,YEARFRAC(MAX($I1310*$P$1292,$L$615)-1,MIN(X$1296,$D$19),$P$20)))-SUM($P1310:W1310)</f>
        <v>#VALUE!</v>
      </c>
      <c r="Y1310" s="446" t="e">
        <f>IF($I1310="","",IF(OR(MAX($I1310*$P$1292,$L$615)&gt;Y$1296,$I1310&gt;$D$19),0,YEARFRAC(MAX($I1310*$P$1292,$L$615)-1,MIN(Y$1296,$D$19),$P$20)))-SUM($P1310:X1310)</f>
        <v>#VALUE!</v>
      </c>
      <c r="Z1310" s="446" t="e">
        <f>IF($I1310="","",IF(OR(MAX($I1310*$P$1292,$L$615)&gt;Z$1296,$I1310&gt;$D$19),0,YEARFRAC(MAX($I1310*$P$1292,$L$615)-1,MIN(Z$1296,$D$19),$P$20)))-SUM($P1310:Y1310)</f>
        <v>#VALUE!</v>
      </c>
      <c r="AA1310" s="446" t="e">
        <f>IF($I1310="","",IF(OR(MAX($I1310*$P$1292,$L$615)&gt;AA$1296,$I1310&gt;$D$19),0,YEARFRAC(MAX($I1310*$P$1292,$L$615)-1,MIN(AA$1296,$D$19),$P$20)))-SUM($P1310:Z1310)</f>
        <v>#VALUE!</v>
      </c>
      <c r="AB1310" s="446" t="e">
        <f>IF($I1310="","",IF(OR(MAX($I1310*$P$1292,$L$615)&gt;AB$1296,$I1310&gt;$D$19),0,YEARFRAC(MAX($I1310*$P$1292,$L$615)-1,MIN(AB$1296,$D$19),$P$20)))-SUM($P1310:AA1310)</f>
        <v>#VALUE!</v>
      </c>
      <c r="AC1310" s="446" t="e">
        <f>IF($I1310="","",IF(OR(MAX($I1310*$P$1292,$L$615)&gt;AC$1296,$I1310&gt;$D$19),0,YEARFRAC(MAX($I1310*$P$1292,$L$615)-1,MIN(AC$1296,$D$19),$P$20)))-SUM($P1310:AB1310)</f>
        <v>#VALUE!</v>
      </c>
      <c r="AD1310" s="446" t="e">
        <f>IF($I1310="","",IF(OR(MAX($I1310*$P$1292,$L$615)&gt;AD$1296,$I1310&gt;$D$19),0,YEARFRAC(MAX($I1310*$P$1292,$L$615)-1,MIN(AD$1296,$D$19),$P$20)))-SUM($P1310:AC1310)</f>
        <v>#VALUE!</v>
      </c>
      <c r="AE1310" s="446" t="e">
        <f>IF($I1310="","",IF(OR(MAX($I1310*$P$1292,$L$615)&gt;AE$1296,$I1310&gt;$D$19),0,YEARFRAC(MAX($I1310*$P$1292,$L$615)-1,MIN(AE$1296,$D$19),$P$20)))-SUM($P1310:AD1310)</f>
        <v>#VALUE!</v>
      </c>
      <c r="AF1310" s="446" t="e">
        <f>IF($I1310="","",IF(OR(MAX($I1310*$P$1292,$L$615)&gt;AF$1296,$I1310&gt;$D$19),0,YEARFRAC(MAX($I1310*$P$1292,$L$615)-1,MIN(AF$1296,$D$19),$P$20)))-SUM($P1310:AE1310)</f>
        <v>#VALUE!</v>
      </c>
      <c r="AG1310" s="446" t="e">
        <f>IF($I1310="","",IF(OR(MAX($I1310*$P$1292,$L$615)&gt;AG$1296,$I1310&gt;$D$19),0,YEARFRAC(MAX($I1310*$P$1292,$L$615)-1,MIN(AG$1296,$D$19),$P$20)))-SUM($P1310:AF1310)</f>
        <v>#VALUE!</v>
      </c>
      <c r="BB1310" s="447"/>
    </row>
    <row r="1311" spans="1:54" s="446" customFormat="1" ht="11.25" hidden="1" x14ac:dyDescent="0.2">
      <c r="A1311" s="177"/>
      <c r="B1311" s="5" t="str">
        <f ca="1">IF(COUNTIF(B$1298:B1310,"&gt;=0")&gt;I$1290,"",(K$1287-B$1298)/I$1290)</f>
        <v/>
      </c>
      <c r="C1311" s="153" t="str">
        <f t="shared" ca="1" si="182"/>
        <v/>
      </c>
      <c r="D1311" s="311">
        <f t="shared" ca="1" si="178"/>
        <v>0</v>
      </c>
      <c r="E1311" s="5"/>
      <c r="F1311" s="311"/>
      <c r="G1311" s="64">
        <f t="shared" ca="1" si="179"/>
        <v>0</v>
      </c>
      <c r="H1311" s="310">
        <f t="shared" si="175"/>
        <v>0</v>
      </c>
      <c r="I1311" s="153"/>
      <c r="J1311" s="29" t="str">
        <f ca="1">IF(ISERROR(VLOOKUP(DATE(YEAR(H1311),MONTH(H1311)+IF($C$1321=$S$23,1,0),1),ÍNDICES!$A:$DE,$Z$1293+1)),"",VLOOKUP(DATE(YEAR(H1311),MONTH(H1311)+IF($C$1321=$S$23,1,0),1),ÍNDICES!$A:$DE,$Z$1293+1))</f>
        <v/>
      </c>
      <c r="K1311" s="155"/>
      <c r="L1311" s="5">
        <f t="shared" ca="1" si="180"/>
        <v>0</v>
      </c>
      <c r="M1311" s="5">
        <f t="shared" ca="1" si="183"/>
        <v>0</v>
      </c>
      <c r="N1311" s="5"/>
      <c r="O1311" s="5">
        <f t="shared" ca="1" si="181"/>
        <v>0</v>
      </c>
      <c r="P1311" s="446" t="str">
        <f t="shared" si="177"/>
        <v/>
      </c>
      <c r="Q1311" s="446" t="e">
        <f>IF($I1311="","",IF(OR(MAX($I1311*$P$1292,$L$615)&gt;Q$1296,$I1311&gt;$D$19),0,YEARFRAC(MAX($I1311*$P$1292,$L$615)-1,MIN(Q$1296,$D$19),$P$20)))-SUM($P1311:P1311)</f>
        <v>#VALUE!</v>
      </c>
      <c r="R1311" s="446" t="e">
        <f>IF($I1311="","",IF(OR(MAX($I1311*$P$1292,$L$615)&gt;R$1296,$I1311&gt;$D$19),0,YEARFRAC(MAX($I1311*$P$1292,$L$615)-1,MIN(R$1296,$D$19),$P$20)))-SUM($P1311:Q1311)</f>
        <v>#VALUE!</v>
      </c>
      <c r="S1311" s="446" t="e">
        <f>IF($I1311="","",IF(OR(MAX($I1311*$P$1292,$L$615)&gt;S$1296,$I1311&gt;$D$19),0,YEARFRAC(MAX($I1311*$P$1292,$L$615)-1,MIN(S$1296,$D$19),$P$20)))-SUM($P1311:R1311)</f>
        <v>#VALUE!</v>
      </c>
      <c r="T1311" s="446" t="e">
        <f>IF($I1311="","",IF(OR(MAX($I1311*$P$1292,$L$615)&gt;T$1296,$I1311&gt;$D$19),0,YEARFRAC(MAX($I1311*$P$1292,$L$615)-1,MIN(T$1296,$D$19),$P$20)))-SUM($P1311:S1311)</f>
        <v>#VALUE!</v>
      </c>
      <c r="U1311" s="446" t="e">
        <f>IF($I1311="","",IF(OR(MAX($I1311*$P$1292,$L$615)&gt;U$1296,$I1311&gt;$D$19),0,YEARFRAC(MAX($I1311*$P$1292,$L$615)-1,MIN(U$1296,$D$19),$P$20)))-SUM($P1311:T1311)</f>
        <v>#VALUE!</v>
      </c>
      <c r="V1311" s="446" t="e">
        <f>IF($I1311="","",IF(OR(MAX($I1311*$P$1292,$L$615)&gt;V$1296,$I1311&gt;$D$19),0,YEARFRAC(MAX($I1311*$P$1292,$L$615)-1,MIN(V$1296,$D$19),$P$20)))-SUM($P1311:U1311)</f>
        <v>#VALUE!</v>
      </c>
      <c r="W1311" s="446" t="e">
        <f>IF($I1311="","",IF(OR(MAX($I1311*$P$1292,$L$615)&gt;W$1296,$I1311&gt;$D$19),0,YEARFRAC(MAX($I1311*$P$1292,$L$615)-1,MIN(W$1296,$D$19),$P$20)))-SUM($P1311:V1311)</f>
        <v>#VALUE!</v>
      </c>
      <c r="X1311" s="446" t="e">
        <f>IF($I1311="","",IF(OR(MAX($I1311*$P$1292,$L$615)&gt;X$1296,$I1311&gt;$D$19),0,YEARFRAC(MAX($I1311*$P$1292,$L$615)-1,MIN(X$1296,$D$19),$P$20)))-SUM($P1311:W1311)</f>
        <v>#VALUE!</v>
      </c>
      <c r="Y1311" s="446" t="e">
        <f>IF($I1311="","",IF(OR(MAX($I1311*$P$1292,$L$615)&gt;Y$1296,$I1311&gt;$D$19),0,YEARFRAC(MAX($I1311*$P$1292,$L$615)-1,MIN(Y$1296,$D$19),$P$20)))-SUM($P1311:X1311)</f>
        <v>#VALUE!</v>
      </c>
      <c r="Z1311" s="446" t="e">
        <f>IF($I1311="","",IF(OR(MAX($I1311*$P$1292,$L$615)&gt;Z$1296,$I1311&gt;$D$19),0,YEARFRAC(MAX($I1311*$P$1292,$L$615)-1,MIN(Z$1296,$D$19),$P$20)))-SUM($P1311:Y1311)</f>
        <v>#VALUE!</v>
      </c>
      <c r="AA1311" s="446" t="e">
        <f>IF($I1311="","",IF(OR(MAX($I1311*$P$1292,$L$615)&gt;AA$1296,$I1311&gt;$D$19),0,YEARFRAC(MAX($I1311*$P$1292,$L$615)-1,MIN(AA$1296,$D$19),$P$20)))-SUM($P1311:Z1311)</f>
        <v>#VALUE!</v>
      </c>
      <c r="AB1311" s="446" t="e">
        <f>IF($I1311="","",IF(OR(MAX($I1311*$P$1292,$L$615)&gt;AB$1296,$I1311&gt;$D$19),0,YEARFRAC(MAX($I1311*$P$1292,$L$615)-1,MIN(AB$1296,$D$19),$P$20)))-SUM($P1311:AA1311)</f>
        <v>#VALUE!</v>
      </c>
      <c r="AC1311" s="446" t="e">
        <f>IF($I1311="","",IF(OR(MAX($I1311*$P$1292,$L$615)&gt;AC$1296,$I1311&gt;$D$19),0,YEARFRAC(MAX($I1311*$P$1292,$L$615)-1,MIN(AC$1296,$D$19),$P$20)))-SUM($P1311:AB1311)</f>
        <v>#VALUE!</v>
      </c>
      <c r="AD1311" s="446" t="e">
        <f>IF($I1311="","",IF(OR(MAX($I1311*$P$1292,$L$615)&gt;AD$1296,$I1311&gt;$D$19),0,YEARFRAC(MAX($I1311*$P$1292,$L$615)-1,MIN(AD$1296,$D$19),$P$20)))-SUM($P1311:AC1311)</f>
        <v>#VALUE!</v>
      </c>
      <c r="AE1311" s="446" t="e">
        <f>IF($I1311="","",IF(OR(MAX($I1311*$P$1292,$L$615)&gt;AE$1296,$I1311&gt;$D$19),0,YEARFRAC(MAX($I1311*$P$1292,$L$615)-1,MIN(AE$1296,$D$19),$P$20)))-SUM($P1311:AD1311)</f>
        <v>#VALUE!</v>
      </c>
      <c r="AF1311" s="446" t="e">
        <f>IF($I1311="","",IF(OR(MAX($I1311*$P$1292,$L$615)&gt;AF$1296,$I1311&gt;$D$19),0,YEARFRAC(MAX($I1311*$P$1292,$L$615)-1,MIN(AF$1296,$D$19),$P$20)))-SUM($P1311:AE1311)</f>
        <v>#VALUE!</v>
      </c>
      <c r="AG1311" s="446" t="e">
        <f>IF($I1311="","",IF(OR(MAX($I1311*$P$1292,$L$615)&gt;AG$1296,$I1311&gt;$D$19),0,YEARFRAC(MAX($I1311*$P$1292,$L$615)-1,MIN(AG$1296,$D$19),$P$20)))-SUM($P1311:AF1311)</f>
        <v>#VALUE!</v>
      </c>
      <c r="BB1311" s="447"/>
    </row>
    <row r="1312" spans="1:54" s="446" customFormat="1" ht="11.25" hidden="1" x14ac:dyDescent="0.2">
      <c r="A1312" s="177"/>
      <c r="B1312" s="5" t="str">
        <f ca="1">IF(COUNTIF(B$1298:B1311,"&gt;=0")&gt;I$1290,"",(K$1287-B$1298)/I$1290)</f>
        <v/>
      </c>
      <c r="C1312" s="153" t="str">
        <f t="shared" ca="1" si="182"/>
        <v/>
      </c>
      <c r="D1312" s="311">
        <f t="shared" ca="1" si="178"/>
        <v>0</v>
      </c>
      <c r="E1312" s="5"/>
      <c r="F1312" s="311"/>
      <c r="G1312" s="64">
        <f t="shared" ca="1" si="179"/>
        <v>0</v>
      </c>
      <c r="H1312" s="310">
        <f t="shared" si="175"/>
        <v>0</v>
      </c>
      <c r="I1312" s="153"/>
      <c r="J1312" s="29" t="str">
        <f ca="1">IF(ISERROR(VLOOKUP(DATE(YEAR(H1312),MONTH(H1312)+IF($C$1321=$S$23,1,0),1),ÍNDICES!$A:$DE,$Z$1293+1)),"",VLOOKUP(DATE(YEAR(H1312),MONTH(H1312)+IF($C$1321=$S$23,1,0),1),ÍNDICES!$A:$DE,$Z$1293+1))</f>
        <v/>
      </c>
      <c r="K1312" s="155"/>
      <c r="L1312" s="5">
        <f t="shared" ca="1" si="180"/>
        <v>0</v>
      </c>
      <c r="M1312" s="5">
        <f t="shared" ca="1" si="183"/>
        <v>0</v>
      </c>
      <c r="N1312" s="5"/>
      <c r="O1312" s="5">
        <f t="shared" ca="1" si="181"/>
        <v>0</v>
      </c>
      <c r="P1312" s="446" t="str">
        <f t="shared" si="177"/>
        <v/>
      </c>
      <c r="Q1312" s="446" t="e">
        <f>IF($I1312="","",IF(OR(MAX($I1312*$P$1292,$L$615)&gt;Q$1296,$I1312&gt;$D$19),0,YEARFRAC(MAX($I1312*$P$1292,$L$615)-1,MIN(Q$1296,$D$19),$P$20)))-SUM($P1312:P1312)</f>
        <v>#VALUE!</v>
      </c>
      <c r="R1312" s="446" t="e">
        <f>IF($I1312="","",IF(OR(MAX($I1312*$P$1292,$L$615)&gt;R$1296,$I1312&gt;$D$19),0,YEARFRAC(MAX($I1312*$P$1292,$L$615)-1,MIN(R$1296,$D$19),$P$20)))-SUM($P1312:Q1312)</f>
        <v>#VALUE!</v>
      </c>
      <c r="S1312" s="446" t="e">
        <f>IF($I1312="","",IF(OR(MAX($I1312*$P$1292,$L$615)&gt;S$1296,$I1312&gt;$D$19),0,YEARFRAC(MAX($I1312*$P$1292,$L$615)-1,MIN(S$1296,$D$19),$P$20)))-SUM($P1312:R1312)</f>
        <v>#VALUE!</v>
      </c>
      <c r="T1312" s="446" t="e">
        <f>IF($I1312="","",IF(OR(MAX($I1312*$P$1292,$L$615)&gt;T$1296,$I1312&gt;$D$19),0,YEARFRAC(MAX($I1312*$P$1292,$L$615)-1,MIN(T$1296,$D$19),$P$20)))-SUM($P1312:S1312)</f>
        <v>#VALUE!</v>
      </c>
      <c r="U1312" s="446" t="e">
        <f>IF($I1312="","",IF(OR(MAX($I1312*$P$1292,$L$615)&gt;U$1296,$I1312&gt;$D$19),0,YEARFRAC(MAX($I1312*$P$1292,$L$615)-1,MIN(U$1296,$D$19),$P$20)))-SUM($P1312:T1312)</f>
        <v>#VALUE!</v>
      </c>
      <c r="V1312" s="446" t="e">
        <f>IF($I1312="","",IF(OR(MAX($I1312*$P$1292,$L$615)&gt;V$1296,$I1312&gt;$D$19),0,YEARFRAC(MAX($I1312*$P$1292,$L$615)-1,MIN(V$1296,$D$19),$P$20)))-SUM($P1312:U1312)</f>
        <v>#VALUE!</v>
      </c>
      <c r="W1312" s="446" t="e">
        <f>IF($I1312="","",IF(OR(MAX($I1312*$P$1292,$L$615)&gt;W$1296,$I1312&gt;$D$19),0,YEARFRAC(MAX($I1312*$P$1292,$L$615)-1,MIN(W$1296,$D$19),$P$20)))-SUM($P1312:V1312)</f>
        <v>#VALUE!</v>
      </c>
      <c r="X1312" s="446" t="e">
        <f>IF($I1312="","",IF(OR(MAX($I1312*$P$1292,$L$615)&gt;X$1296,$I1312&gt;$D$19),0,YEARFRAC(MAX($I1312*$P$1292,$L$615)-1,MIN(X$1296,$D$19),$P$20)))-SUM($P1312:W1312)</f>
        <v>#VALUE!</v>
      </c>
      <c r="Y1312" s="446" t="e">
        <f>IF($I1312="","",IF(OR(MAX($I1312*$P$1292,$L$615)&gt;Y$1296,$I1312&gt;$D$19),0,YEARFRAC(MAX($I1312*$P$1292,$L$615)-1,MIN(Y$1296,$D$19),$P$20)))-SUM($P1312:X1312)</f>
        <v>#VALUE!</v>
      </c>
      <c r="Z1312" s="446" t="e">
        <f>IF($I1312="","",IF(OR(MAX($I1312*$P$1292,$L$615)&gt;Z$1296,$I1312&gt;$D$19),0,YEARFRAC(MAX($I1312*$P$1292,$L$615)-1,MIN(Z$1296,$D$19),$P$20)))-SUM($P1312:Y1312)</f>
        <v>#VALUE!</v>
      </c>
      <c r="AA1312" s="446" t="e">
        <f>IF($I1312="","",IF(OR(MAX($I1312*$P$1292,$L$615)&gt;AA$1296,$I1312&gt;$D$19),0,YEARFRAC(MAX($I1312*$P$1292,$L$615)-1,MIN(AA$1296,$D$19),$P$20)))-SUM($P1312:Z1312)</f>
        <v>#VALUE!</v>
      </c>
      <c r="AB1312" s="446" t="e">
        <f>IF($I1312="","",IF(OR(MAX($I1312*$P$1292,$L$615)&gt;AB$1296,$I1312&gt;$D$19),0,YEARFRAC(MAX($I1312*$P$1292,$L$615)-1,MIN(AB$1296,$D$19),$P$20)))-SUM($P1312:AA1312)</f>
        <v>#VALUE!</v>
      </c>
      <c r="AC1312" s="446" t="e">
        <f>IF($I1312="","",IF(OR(MAX($I1312*$P$1292,$L$615)&gt;AC$1296,$I1312&gt;$D$19),0,YEARFRAC(MAX($I1312*$P$1292,$L$615)-1,MIN(AC$1296,$D$19),$P$20)))-SUM($P1312:AB1312)</f>
        <v>#VALUE!</v>
      </c>
      <c r="AD1312" s="446" t="e">
        <f>IF($I1312="","",IF(OR(MAX($I1312*$P$1292,$L$615)&gt;AD$1296,$I1312&gt;$D$19),0,YEARFRAC(MAX($I1312*$P$1292,$L$615)-1,MIN(AD$1296,$D$19),$P$20)))-SUM($P1312:AC1312)</f>
        <v>#VALUE!</v>
      </c>
      <c r="AE1312" s="446" t="e">
        <f>IF($I1312="","",IF(OR(MAX($I1312*$P$1292,$L$615)&gt;AE$1296,$I1312&gt;$D$19),0,YEARFRAC(MAX($I1312*$P$1292,$L$615)-1,MIN(AE$1296,$D$19),$P$20)))-SUM($P1312:AD1312)</f>
        <v>#VALUE!</v>
      </c>
      <c r="AF1312" s="446" t="e">
        <f>IF($I1312="","",IF(OR(MAX($I1312*$P$1292,$L$615)&gt;AF$1296,$I1312&gt;$D$19),0,YEARFRAC(MAX($I1312*$P$1292,$L$615)-1,MIN(AF$1296,$D$19),$P$20)))-SUM($P1312:AE1312)</f>
        <v>#VALUE!</v>
      </c>
      <c r="AG1312" s="446" t="e">
        <f>IF($I1312="","",IF(OR(MAX($I1312*$P$1292,$L$615)&gt;AG$1296,$I1312&gt;$D$19),0,YEARFRAC(MAX($I1312*$P$1292,$L$615)-1,MIN(AG$1296,$D$19),$P$20)))-SUM($P1312:AF1312)</f>
        <v>#VALUE!</v>
      </c>
      <c r="BB1312" s="447"/>
    </row>
    <row r="1313" spans="1:54" s="446" customFormat="1" ht="11.25" hidden="1" x14ac:dyDescent="0.2">
      <c r="A1313" s="177"/>
      <c r="B1313" s="5" t="str">
        <f ca="1">IF(COUNTIF(B$1298:B1312,"&gt;=0")&gt;I$1290,"",(K$1287-B$1298)/I$1290)</f>
        <v/>
      </c>
      <c r="C1313" s="153" t="str">
        <f t="shared" ca="1" si="182"/>
        <v/>
      </c>
      <c r="D1313" s="311">
        <f t="shared" ca="1" si="178"/>
        <v>0</v>
      </c>
      <c r="E1313" s="5"/>
      <c r="F1313" s="311"/>
      <c r="G1313" s="64">
        <f t="shared" ca="1" si="179"/>
        <v>0</v>
      </c>
      <c r="H1313" s="310">
        <f t="shared" si="175"/>
        <v>0</v>
      </c>
      <c r="I1313" s="153"/>
      <c r="J1313" s="29" t="str">
        <f ca="1">IF(ISERROR(VLOOKUP(DATE(YEAR(H1313),MONTH(H1313)+IF($C$1321=$S$23,1,0),1),ÍNDICES!$A:$DE,$Z$1293+1)),"",VLOOKUP(DATE(YEAR(H1313),MONTH(H1313)+IF($C$1321=$S$23,1,0),1),ÍNDICES!$A:$DE,$Z$1293+1))</f>
        <v/>
      </c>
      <c r="K1313" s="155"/>
      <c r="L1313" s="5">
        <f t="shared" ca="1" si="180"/>
        <v>0</v>
      </c>
      <c r="M1313" s="5">
        <f t="shared" ca="1" si="183"/>
        <v>0</v>
      </c>
      <c r="N1313" s="5"/>
      <c r="O1313" s="5">
        <f t="shared" ca="1" si="181"/>
        <v>0</v>
      </c>
      <c r="P1313" s="446" t="str">
        <f t="shared" si="177"/>
        <v/>
      </c>
      <c r="Q1313" s="446" t="e">
        <f>IF($I1313="","",IF(OR(MAX($I1313*$P$1292,$L$615)&gt;Q$1296,$I1313&gt;$D$19),0,YEARFRAC(MAX($I1313*$P$1292,$L$615)-1,MIN(Q$1296,$D$19),$P$20)))-SUM($P1313:P1313)</f>
        <v>#VALUE!</v>
      </c>
      <c r="R1313" s="446" t="e">
        <f>IF($I1313="","",IF(OR(MAX($I1313*$P$1292,$L$615)&gt;R$1296,$I1313&gt;$D$19),0,YEARFRAC(MAX($I1313*$P$1292,$L$615)-1,MIN(R$1296,$D$19),$P$20)))-SUM($P1313:Q1313)</f>
        <v>#VALUE!</v>
      </c>
      <c r="S1313" s="446" t="e">
        <f>IF($I1313="","",IF(OR(MAX($I1313*$P$1292,$L$615)&gt;S$1296,$I1313&gt;$D$19),0,YEARFRAC(MAX($I1313*$P$1292,$L$615)-1,MIN(S$1296,$D$19),$P$20)))-SUM($P1313:R1313)</f>
        <v>#VALUE!</v>
      </c>
      <c r="T1313" s="446" t="e">
        <f>IF($I1313="","",IF(OR(MAX($I1313*$P$1292,$L$615)&gt;T$1296,$I1313&gt;$D$19),0,YEARFRAC(MAX($I1313*$P$1292,$L$615)-1,MIN(T$1296,$D$19),$P$20)))-SUM($P1313:S1313)</f>
        <v>#VALUE!</v>
      </c>
      <c r="U1313" s="446" t="e">
        <f>IF($I1313="","",IF(OR(MAX($I1313*$P$1292,$L$615)&gt;U$1296,$I1313&gt;$D$19),0,YEARFRAC(MAX($I1313*$P$1292,$L$615)-1,MIN(U$1296,$D$19),$P$20)))-SUM($P1313:T1313)</f>
        <v>#VALUE!</v>
      </c>
      <c r="V1313" s="446" t="e">
        <f>IF($I1313="","",IF(OR(MAX($I1313*$P$1292,$L$615)&gt;V$1296,$I1313&gt;$D$19),0,YEARFRAC(MAX($I1313*$P$1292,$L$615)-1,MIN(V$1296,$D$19),$P$20)))-SUM($P1313:U1313)</f>
        <v>#VALUE!</v>
      </c>
      <c r="W1313" s="446" t="e">
        <f>IF($I1313="","",IF(OR(MAX($I1313*$P$1292,$L$615)&gt;W$1296,$I1313&gt;$D$19),0,YEARFRAC(MAX($I1313*$P$1292,$L$615)-1,MIN(W$1296,$D$19),$P$20)))-SUM($P1313:V1313)</f>
        <v>#VALUE!</v>
      </c>
      <c r="X1313" s="446" t="e">
        <f>IF($I1313="","",IF(OR(MAX($I1313*$P$1292,$L$615)&gt;X$1296,$I1313&gt;$D$19),0,YEARFRAC(MAX($I1313*$P$1292,$L$615)-1,MIN(X$1296,$D$19),$P$20)))-SUM($P1313:W1313)</f>
        <v>#VALUE!</v>
      </c>
      <c r="Y1313" s="446" t="e">
        <f>IF($I1313="","",IF(OR(MAX($I1313*$P$1292,$L$615)&gt;Y$1296,$I1313&gt;$D$19),0,YEARFRAC(MAX($I1313*$P$1292,$L$615)-1,MIN(Y$1296,$D$19),$P$20)))-SUM($P1313:X1313)</f>
        <v>#VALUE!</v>
      </c>
      <c r="Z1313" s="446" t="e">
        <f>IF($I1313="","",IF(OR(MAX($I1313*$P$1292,$L$615)&gt;Z$1296,$I1313&gt;$D$19),0,YEARFRAC(MAX($I1313*$P$1292,$L$615)-1,MIN(Z$1296,$D$19),$P$20)))-SUM($P1313:Y1313)</f>
        <v>#VALUE!</v>
      </c>
      <c r="AA1313" s="446" t="e">
        <f>IF($I1313="","",IF(OR(MAX($I1313*$P$1292,$L$615)&gt;AA$1296,$I1313&gt;$D$19),0,YEARFRAC(MAX($I1313*$P$1292,$L$615)-1,MIN(AA$1296,$D$19),$P$20)))-SUM($P1313:Z1313)</f>
        <v>#VALUE!</v>
      </c>
      <c r="AB1313" s="446" t="e">
        <f>IF($I1313="","",IF(OR(MAX($I1313*$P$1292,$L$615)&gt;AB$1296,$I1313&gt;$D$19),0,YEARFRAC(MAX($I1313*$P$1292,$L$615)-1,MIN(AB$1296,$D$19),$P$20)))-SUM($P1313:AA1313)</f>
        <v>#VALUE!</v>
      </c>
      <c r="AC1313" s="446" t="e">
        <f>IF($I1313="","",IF(OR(MAX($I1313*$P$1292,$L$615)&gt;AC$1296,$I1313&gt;$D$19),0,YEARFRAC(MAX($I1313*$P$1292,$L$615)-1,MIN(AC$1296,$D$19),$P$20)))-SUM($P1313:AB1313)</f>
        <v>#VALUE!</v>
      </c>
      <c r="AD1313" s="446" t="e">
        <f>IF($I1313="","",IF(OR(MAX($I1313*$P$1292,$L$615)&gt;AD$1296,$I1313&gt;$D$19),0,YEARFRAC(MAX($I1313*$P$1292,$L$615)-1,MIN(AD$1296,$D$19),$P$20)))-SUM($P1313:AC1313)</f>
        <v>#VALUE!</v>
      </c>
      <c r="AE1313" s="446" t="e">
        <f>IF($I1313="","",IF(OR(MAX($I1313*$P$1292,$L$615)&gt;AE$1296,$I1313&gt;$D$19),0,YEARFRAC(MAX($I1313*$P$1292,$L$615)-1,MIN(AE$1296,$D$19),$P$20)))-SUM($P1313:AD1313)</f>
        <v>#VALUE!</v>
      </c>
      <c r="AF1313" s="446" t="e">
        <f>IF($I1313="","",IF(OR(MAX($I1313*$P$1292,$L$615)&gt;AF$1296,$I1313&gt;$D$19),0,YEARFRAC(MAX($I1313*$P$1292,$L$615)-1,MIN(AF$1296,$D$19),$P$20)))-SUM($P1313:AE1313)</f>
        <v>#VALUE!</v>
      </c>
      <c r="AG1313" s="446" t="e">
        <f>IF($I1313="","",IF(OR(MAX($I1313*$P$1292,$L$615)&gt;AG$1296,$I1313&gt;$D$19),0,YEARFRAC(MAX($I1313*$P$1292,$L$615)-1,MIN(AG$1296,$D$19),$P$20)))-SUM($P1313:AF1313)</f>
        <v>#VALUE!</v>
      </c>
      <c r="BB1313" s="447"/>
    </row>
    <row r="1314" spans="1:54" s="446" customFormat="1" ht="11.25" hidden="1" x14ac:dyDescent="0.2">
      <c r="A1314" s="177"/>
      <c r="B1314" s="5" t="str">
        <f ca="1">IF(COUNTIF(B$1298:B1313,"&gt;=0")&gt;I$1290,"",(K$1287-B$1298)/I$1290)</f>
        <v/>
      </c>
      <c r="C1314" s="153" t="str">
        <f t="shared" ca="1" si="182"/>
        <v/>
      </c>
      <c r="D1314" s="311">
        <f t="shared" ca="1" si="178"/>
        <v>0</v>
      </c>
      <c r="E1314" s="5"/>
      <c r="F1314" s="311"/>
      <c r="G1314" s="64">
        <f t="shared" ca="1" si="179"/>
        <v>0</v>
      </c>
      <c r="H1314" s="310">
        <f t="shared" si="175"/>
        <v>0</v>
      </c>
      <c r="I1314" s="153"/>
      <c r="J1314" s="29" t="str">
        <f ca="1">IF(ISERROR(VLOOKUP(DATE(YEAR(H1314),MONTH(H1314)+IF($C$1321=$S$23,1,0),1),ÍNDICES!$A:$DE,$Z$1293+1)),"",VLOOKUP(DATE(YEAR(H1314),MONTH(H1314)+IF($C$1321=$S$23,1,0),1),ÍNDICES!$A:$DE,$Z$1293+1))</f>
        <v/>
      </c>
      <c r="K1314" s="155"/>
      <c r="L1314" s="5">
        <f t="shared" ca="1" si="180"/>
        <v>0</v>
      </c>
      <c r="M1314" s="5">
        <f t="shared" ca="1" si="183"/>
        <v>0</v>
      </c>
      <c r="N1314" s="5"/>
      <c r="O1314" s="5">
        <f t="shared" ca="1" si="181"/>
        <v>0</v>
      </c>
      <c r="P1314" s="446" t="str">
        <f t="shared" si="177"/>
        <v/>
      </c>
      <c r="Q1314" s="446" t="e">
        <f>IF($I1314="","",IF(OR(MAX($I1314*$P$1292,$L$615)&gt;Q$1296,$I1314&gt;$D$19),0,YEARFRAC(MAX($I1314*$P$1292,$L$615)-1,MIN(Q$1296,$D$19),$P$20)))-SUM($P1314:P1314)</f>
        <v>#VALUE!</v>
      </c>
      <c r="R1314" s="446" t="e">
        <f>IF($I1314="","",IF(OR(MAX($I1314*$P$1292,$L$615)&gt;R$1296,$I1314&gt;$D$19),0,YEARFRAC(MAX($I1314*$P$1292,$L$615)-1,MIN(R$1296,$D$19),$P$20)))-SUM($P1314:Q1314)</f>
        <v>#VALUE!</v>
      </c>
      <c r="S1314" s="446" t="e">
        <f>IF($I1314="","",IF(OR(MAX($I1314*$P$1292,$L$615)&gt;S$1296,$I1314&gt;$D$19),0,YEARFRAC(MAX($I1314*$P$1292,$L$615)-1,MIN(S$1296,$D$19),$P$20)))-SUM($P1314:R1314)</f>
        <v>#VALUE!</v>
      </c>
      <c r="T1314" s="446" t="e">
        <f>IF($I1314="","",IF(OR(MAX($I1314*$P$1292,$L$615)&gt;T$1296,$I1314&gt;$D$19),0,YEARFRAC(MAX($I1314*$P$1292,$L$615)-1,MIN(T$1296,$D$19),$P$20)))-SUM($P1314:S1314)</f>
        <v>#VALUE!</v>
      </c>
      <c r="U1314" s="446" t="e">
        <f>IF($I1314="","",IF(OR(MAX($I1314*$P$1292,$L$615)&gt;U$1296,$I1314&gt;$D$19),0,YEARFRAC(MAX($I1314*$P$1292,$L$615)-1,MIN(U$1296,$D$19),$P$20)))-SUM($P1314:T1314)</f>
        <v>#VALUE!</v>
      </c>
      <c r="V1314" s="446" t="e">
        <f>IF($I1314="","",IF(OR(MAX($I1314*$P$1292,$L$615)&gt;V$1296,$I1314&gt;$D$19),0,YEARFRAC(MAX($I1314*$P$1292,$L$615)-1,MIN(V$1296,$D$19),$P$20)))-SUM($P1314:U1314)</f>
        <v>#VALUE!</v>
      </c>
      <c r="W1314" s="446" t="e">
        <f>IF($I1314="","",IF(OR(MAX($I1314*$P$1292,$L$615)&gt;W$1296,$I1314&gt;$D$19),0,YEARFRAC(MAX($I1314*$P$1292,$L$615)-1,MIN(W$1296,$D$19),$P$20)))-SUM($P1314:V1314)</f>
        <v>#VALUE!</v>
      </c>
      <c r="X1314" s="446" t="e">
        <f>IF($I1314="","",IF(OR(MAX($I1314*$P$1292,$L$615)&gt;X$1296,$I1314&gt;$D$19),0,YEARFRAC(MAX($I1314*$P$1292,$L$615)-1,MIN(X$1296,$D$19),$P$20)))-SUM($P1314:W1314)</f>
        <v>#VALUE!</v>
      </c>
      <c r="Y1314" s="446" t="e">
        <f>IF($I1314="","",IF(OR(MAX($I1314*$P$1292,$L$615)&gt;Y$1296,$I1314&gt;$D$19),0,YEARFRAC(MAX($I1314*$P$1292,$L$615)-1,MIN(Y$1296,$D$19),$P$20)))-SUM($P1314:X1314)</f>
        <v>#VALUE!</v>
      </c>
      <c r="Z1314" s="446" t="e">
        <f>IF($I1314="","",IF(OR(MAX($I1314*$P$1292,$L$615)&gt;Z$1296,$I1314&gt;$D$19),0,YEARFRAC(MAX($I1314*$P$1292,$L$615)-1,MIN(Z$1296,$D$19),$P$20)))-SUM($P1314:Y1314)</f>
        <v>#VALUE!</v>
      </c>
      <c r="AA1314" s="446" t="e">
        <f>IF($I1314="","",IF(OR(MAX($I1314*$P$1292,$L$615)&gt;AA$1296,$I1314&gt;$D$19),0,YEARFRAC(MAX($I1314*$P$1292,$L$615)-1,MIN(AA$1296,$D$19),$P$20)))-SUM($P1314:Z1314)</f>
        <v>#VALUE!</v>
      </c>
      <c r="AB1314" s="446" t="e">
        <f>IF($I1314="","",IF(OR(MAX($I1314*$P$1292,$L$615)&gt;AB$1296,$I1314&gt;$D$19),0,YEARFRAC(MAX($I1314*$P$1292,$L$615)-1,MIN(AB$1296,$D$19),$P$20)))-SUM($P1314:AA1314)</f>
        <v>#VALUE!</v>
      </c>
      <c r="AC1314" s="446" t="e">
        <f>IF($I1314="","",IF(OR(MAX($I1314*$P$1292,$L$615)&gt;AC$1296,$I1314&gt;$D$19),0,YEARFRAC(MAX($I1314*$P$1292,$L$615)-1,MIN(AC$1296,$D$19),$P$20)))-SUM($P1314:AB1314)</f>
        <v>#VALUE!</v>
      </c>
      <c r="AD1314" s="446" t="e">
        <f>IF($I1314="","",IF(OR(MAX($I1314*$P$1292,$L$615)&gt;AD$1296,$I1314&gt;$D$19),0,YEARFRAC(MAX($I1314*$P$1292,$L$615)-1,MIN(AD$1296,$D$19),$P$20)))-SUM($P1314:AC1314)</f>
        <v>#VALUE!</v>
      </c>
      <c r="AE1314" s="446" t="e">
        <f>IF($I1314="","",IF(OR(MAX($I1314*$P$1292,$L$615)&gt;AE$1296,$I1314&gt;$D$19),0,YEARFRAC(MAX($I1314*$P$1292,$L$615)-1,MIN(AE$1296,$D$19),$P$20)))-SUM($P1314:AD1314)</f>
        <v>#VALUE!</v>
      </c>
      <c r="AF1314" s="446" t="e">
        <f>IF($I1314="","",IF(OR(MAX($I1314*$P$1292,$L$615)&gt;AF$1296,$I1314&gt;$D$19),0,YEARFRAC(MAX($I1314*$P$1292,$L$615)-1,MIN(AF$1296,$D$19),$P$20)))-SUM($P1314:AE1314)</f>
        <v>#VALUE!</v>
      </c>
      <c r="AG1314" s="446" t="e">
        <f>IF($I1314="","",IF(OR(MAX($I1314*$P$1292,$L$615)&gt;AG$1296,$I1314&gt;$D$19),0,YEARFRAC(MAX($I1314*$P$1292,$L$615)-1,MIN(AG$1296,$D$19),$P$20)))-SUM($P1314:AF1314)</f>
        <v>#VALUE!</v>
      </c>
      <c r="BB1314" s="447"/>
    </row>
    <row r="1315" spans="1:54" s="446" customFormat="1" ht="11.25" hidden="1" x14ac:dyDescent="0.2">
      <c r="A1315" s="177"/>
      <c r="B1315" s="5" t="str">
        <f ca="1">IF(COUNTIF(B$1298:B1314,"&gt;=0")&gt;I$1290,"",(K$1287-B$1298)/I$1290)</f>
        <v/>
      </c>
      <c r="C1315" s="153" t="str">
        <f t="shared" ca="1" si="182"/>
        <v/>
      </c>
      <c r="D1315" s="311">
        <f t="shared" ca="1" si="178"/>
        <v>0</v>
      </c>
      <c r="E1315" s="5"/>
      <c r="F1315" s="311"/>
      <c r="G1315" s="64">
        <f t="shared" ca="1" si="179"/>
        <v>0</v>
      </c>
      <c r="H1315" s="310">
        <f t="shared" si="175"/>
        <v>0</v>
      </c>
      <c r="I1315" s="153"/>
      <c r="J1315" s="29" t="str">
        <f ca="1">IF(ISERROR(VLOOKUP(DATE(YEAR(H1315),MONTH(H1315)+IF($C$1321=$S$23,1,0),1),ÍNDICES!$A:$DE,$Z$1293+1)),"",VLOOKUP(DATE(YEAR(H1315),MONTH(H1315)+IF($C$1321=$S$23,1,0),1),ÍNDICES!$A:$DE,$Z$1293+1))</f>
        <v/>
      </c>
      <c r="K1315" s="155"/>
      <c r="L1315" s="5">
        <f t="shared" ca="1" si="180"/>
        <v>0</v>
      </c>
      <c r="M1315" s="5">
        <f t="shared" ca="1" si="183"/>
        <v>0</v>
      </c>
      <c r="N1315" s="5"/>
      <c r="O1315" s="5">
        <f t="shared" ca="1" si="181"/>
        <v>0</v>
      </c>
      <c r="P1315" s="446" t="str">
        <f t="shared" si="177"/>
        <v/>
      </c>
      <c r="Q1315" s="446" t="e">
        <f>IF($I1315="","",IF(OR(MAX($I1315*$P$1292,$L$615)&gt;Q$1296,$I1315&gt;$D$19),0,YEARFRAC(MAX($I1315*$P$1292,$L$615)-1,MIN(Q$1296,$D$19),$P$20)))-SUM($P1315:P1315)</f>
        <v>#VALUE!</v>
      </c>
      <c r="R1315" s="446" t="e">
        <f>IF($I1315="","",IF(OR(MAX($I1315*$P$1292,$L$615)&gt;R$1296,$I1315&gt;$D$19),0,YEARFRAC(MAX($I1315*$P$1292,$L$615)-1,MIN(R$1296,$D$19),$P$20)))-SUM($P1315:Q1315)</f>
        <v>#VALUE!</v>
      </c>
      <c r="S1315" s="446" t="e">
        <f>IF($I1315="","",IF(OR(MAX($I1315*$P$1292,$L$615)&gt;S$1296,$I1315&gt;$D$19),0,YEARFRAC(MAX($I1315*$P$1292,$L$615)-1,MIN(S$1296,$D$19),$P$20)))-SUM($P1315:R1315)</f>
        <v>#VALUE!</v>
      </c>
      <c r="T1315" s="446" t="e">
        <f>IF($I1315="","",IF(OR(MAX($I1315*$P$1292,$L$615)&gt;T$1296,$I1315&gt;$D$19),0,YEARFRAC(MAX($I1315*$P$1292,$L$615)-1,MIN(T$1296,$D$19),$P$20)))-SUM($P1315:S1315)</f>
        <v>#VALUE!</v>
      </c>
      <c r="U1315" s="446" t="e">
        <f>IF($I1315="","",IF(OR(MAX($I1315*$P$1292,$L$615)&gt;U$1296,$I1315&gt;$D$19),0,YEARFRAC(MAX($I1315*$P$1292,$L$615)-1,MIN(U$1296,$D$19),$P$20)))-SUM($P1315:T1315)</f>
        <v>#VALUE!</v>
      </c>
      <c r="V1315" s="446" t="e">
        <f>IF($I1315="","",IF(OR(MAX($I1315*$P$1292,$L$615)&gt;V$1296,$I1315&gt;$D$19),0,YEARFRAC(MAX($I1315*$P$1292,$L$615)-1,MIN(V$1296,$D$19),$P$20)))-SUM($P1315:U1315)</f>
        <v>#VALUE!</v>
      </c>
      <c r="W1315" s="446" t="e">
        <f>IF($I1315="","",IF(OR(MAX($I1315*$P$1292,$L$615)&gt;W$1296,$I1315&gt;$D$19),0,YEARFRAC(MAX($I1315*$P$1292,$L$615)-1,MIN(W$1296,$D$19),$P$20)))-SUM($P1315:V1315)</f>
        <v>#VALUE!</v>
      </c>
      <c r="X1315" s="446" t="e">
        <f>IF($I1315="","",IF(OR(MAX($I1315*$P$1292,$L$615)&gt;X$1296,$I1315&gt;$D$19),0,YEARFRAC(MAX($I1315*$P$1292,$L$615)-1,MIN(X$1296,$D$19),$P$20)))-SUM($P1315:W1315)</f>
        <v>#VALUE!</v>
      </c>
      <c r="Y1315" s="446" t="e">
        <f>IF($I1315="","",IF(OR(MAX($I1315*$P$1292,$L$615)&gt;Y$1296,$I1315&gt;$D$19),0,YEARFRAC(MAX($I1315*$P$1292,$L$615)-1,MIN(Y$1296,$D$19),$P$20)))-SUM($P1315:X1315)</f>
        <v>#VALUE!</v>
      </c>
      <c r="Z1315" s="446" t="e">
        <f>IF($I1315="","",IF(OR(MAX($I1315*$P$1292,$L$615)&gt;Z$1296,$I1315&gt;$D$19),0,YEARFRAC(MAX($I1315*$P$1292,$L$615)-1,MIN(Z$1296,$D$19),$P$20)))-SUM($P1315:Y1315)</f>
        <v>#VALUE!</v>
      </c>
      <c r="AA1315" s="446" t="e">
        <f>IF($I1315="","",IF(OR(MAX($I1315*$P$1292,$L$615)&gt;AA$1296,$I1315&gt;$D$19),0,YEARFRAC(MAX($I1315*$P$1292,$L$615)-1,MIN(AA$1296,$D$19),$P$20)))-SUM($P1315:Z1315)</f>
        <v>#VALUE!</v>
      </c>
      <c r="AB1315" s="446" t="e">
        <f>IF($I1315="","",IF(OR(MAX($I1315*$P$1292,$L$615)&gt;AB$1296,$I1315&gt;$D$19),0,YEARFRAC(MAX($I1315*$P$1292,$L$615)-1,MIN(AB$1296,$D$19),$P$20)))-SUM($P1315:AA1315)</f>
        <v>#VALUE!</v>
      </c>
      <c r="AC1315" s="446" t="e">
        <f>IF($I1315="","",IF(OR(MAX($I1315*$P$1292,$L$615)&gt;AC$1296,$I1315&gt;$D$19),0,YEARFRAC(MAX($I1315*$P$1292,$L$615)-1,MIN(AC$1296,$D$19),$P$20)))-SUM($P1315:AB1315)</f>
        <v>#VALUE!</v>
      </c>
      <c r="AD1315" s="446" t="e">
        <f>IF($I1315="","",IF(OR(MAX($I1315*$P$1292,$L$615)&gt;AD$1296,$I1315&gt;$D$19),0,YEARFRAC(MAX($I1315*$P$1292,$L$615)-1,MIN(AD$1296,$D$19),$P$20)))-SUM($P1315:AC1315)</f>
        <v>#VALUE!</v>
      </c>
      <c r="AE1315" s="446" t="e">
        <f>IF($I1315="","",IF(OR(MAX($I1315*$P$1292,$L$615)&gt;AE$1296,$I1315&gt;$D$19),0,YEARFRAC(MAX($I1315*$P$1292,$L$615)-1,MIN(AE$1296,$D$19),$P$20)))-SUM($P1315:AD1315)</f>
        <v>#VALUE!</v>
      </c>
      <c r="AF1315" s="446" t="e">
        <f>IF($I1315="","",IF(OR(MAX($I1315*$P$1292,$L$615)&gt;AF$1296,$I1315&gt;$D$19),0,YEARFRAC(MAX($I1315*$P$1292,$L$615)-1,MIN(AF$1296,$D$19),$P$20)))-SUM($P1315:AE1315)</f>
        <v>#VALUE!</v>
      </c>
      <c r="AG1315" s="446" t="e">
        <f>IF($I1315="","",IF(OR(MAX($I1315*$P$1292,$L$615)&gt;AG$1296,$I1315&gt;$D$19),0,YEARFRAC(MAX($I1315*$P$1292,$L$615)-1,MIN(AG$1296,$D$19),$P$20)))-SUM($P1315:AF1315)</f>
        <v>#VALUE!</v>
      </c>
      <c r="BB1315" s="447"/>
    </row>
    <row r="1316" spans="1:54" s="446" customFormat="1" ht="11.25" hidden="1" x14ac:dyDescent="0.2">
      <c r="A1316" s="177"/>
      <c r="B1316" s="5" t="str">
        <f ca="1">IF(COUNTIF(B$1298:B1315,"&gt;=0")&gt;I$1290,"",(K$1287-B$1298)/I$1290)</f>
        <v/>
      </c>
      <c r="C1316" s="153" t="str">
        <f t="shared" ca="1" si="182"/>
        <v/>
      </c>
      <c r="D1316" s="311">
        <f t="shared" ca="1" si="178"/>
        <v>0</v>
      </c>
      <c r="E1316" s="5"/>
      <c r="F1316" s="311"/>
      <c r="G1316" s="64">
        <f t="shared" ca="1" si="179"/>
        <v>0</v>
      </c>
      <c r="H1316" s="310">
        <f t="shared" si="175"/>
        <v>0</v>
      </c>
      <c r="I1316" s="153"/>
      <c r="J1316" s="29" t="str">
        <f ca="1">IF(ISERROR(VLOOKUP(DATE(YEAR(H1316),MONTH(H1316)+IF($C$1321=$S$23,1,0),1),ÍNDICES!$A:$DE,$Z$1293+1)),"",VLOOKUP(DATE(YEAR(H1316),MONTH(H1316)+IF($C$1321=$S$23,1,0),1),ÍNDICES!$A:$DE,$Z$1293+1))</f>
        <v/>
      </c>
      <c r="K1316" s="155"/>
      <c r="L1316" s="5">
        <f t="shared" ca="1" si="180"/>
        <v>0</v>
      </c>
      <c r="M1316" s="5">
        <f t="shared" ca="1" si="183"/>
        <v>0</v>
      </c>
      <c r="N1316" s="5"/>
      <c r="O1316" s="5">
        <f t="shared" ca="1" si="181"/>
        <v>0</v>
      </c>
      <c r="P1316" s="446" t="str">
        <f t="shared" si="177"/>
        <v/>
      </c>
      <c r="Q1316" s="446" t="e">
        <f>IF($I1316="","",IF(OR(MAX($I1316*$P$1292,$L$615)&gt;Q$1296,$I1316&gt;$D$19),0,YEARFRAC(MAX($I1316*$P$1292,$L$615)-1,MIN(Q$1296,$D$19),$P$20)))-SUM($P1316:P1316)</f>
        <v>#VALUE!</v>
      </c>
      <c r="R1316" s="446" t="e">
        <f>IF($I1316="","",IF(OR(MAX($I1316*$P$1292,$L$615)&gt;R$1296,$I1316&gt;$D$19),0,YEARFRAC(MAX($I1316*$P$1292,$L$615)-1,MIN(R$1296,$D$19),$P$20)))-SUM($P1316:Q1316)</f>
        <v>#VALUE!</v>
      </c>
      <c r="S1316" s="446" t="e">
        <f>IF($I1316="","",IF(OR(MAX($I1316*$P$1292,$L$615)&gt;S$1296,$I1316&gt;$D$19),0,YEARFRAC(MAX($I1316*$P$1292,$L$615)-1,MIN(S$1296,$D$19),$P$20)))-SUM($P1316:R1316)</f>
        <v>#VALUE!</v>
      </c>
      <c r="T1316" s="446" t="e">
        <f>IF($I1316="","",IF(OR(MAX($I1316*$P$1292,$L$615)&gt;T$1296,$I1316&gt;$D$19),0,YEARFRAC(MAX($I1316*$P$1292,$L$615)-1,MIN(T$1296,$D$19),$P$20)))-SUM($P1316:S1316)</f>
        <v>#VALUE!</v>
      </c>
      <c r="U1316" s="446" t="e">
        <f>IF($I1316="","",IF(OR(MAX($I1316*$P$1292,$L$615)&gt;U$1296,$I1316&gt;$D$19),0,YEARFRAC(MAX($I1316*$P$1292,$L$615)-1,MIN(U$1296,$D$19),$P$20)))-SUM($P1316:T1316)</f>
        <v>#VALUE!</v>
      </c>
      <c r="V1316" s="446" t="e">
        <f>IF($I1316="","",IF(OR(MAX($I1316*$P$1292,$L$615)&gt;V$1296,$I1316&gt;$D$19),0,YEARFRAC(MAX($I1316*$P$1292,$L$615)-1,MIN(V$1296,$D$19),$P$20)))-SUM($P1316:U1316)</f>
        <v>#VALUE!</v>
      </c>
      <c r="W1316" s="446" t="e">
        <f>IF($I1316="","",IF(OR(MAX($I1316*$P$1292,$L$615)&gt;W$1296,$I1316&gt;$D$19),0,YEARFRAC(MAX($I1316*$P$1292,$L$615)-1,MIN(W$1296,$D$19),$P$20)))-SUM($P1316:V1316)</f>
        <v>#VALUE!</v>
      </c>
      <c r="X1316" s="446" t="e">
        <f>IF($I1316="","",IF(OR(MAX($I1316*$P$1292,$L$615)&gt;X$1296,$I1316&gt;$D$19),0,YEARFRAC(MAX($I1316*$P$1292,$L$615)-1,MIN(X$1296,$D$19),$P$20)))-SUM($P1316:W1316)</f>
        <v>#VALUE!</v>
      </c>
      <c r="Y1316" s="446" t="e">
        <f>IF($I1316="","",IF(OR(MAX($I1316*$P$1292,$L$615)&gt;Y$1296,$I1316&gt;$D$19),0,YEARFRAC(MAX($I1316*$P$1292,$L$615)-1,MIN(Y$1296,$D$19),$P$20)))-SUM($P1316:X1316)</f>
        <v>#VALUE!</v>
      </c>
      <c r="Z1316" s="446" t="e">
        <f>IF($I1316="","",IF(OR(MAX($I1316*$P$1292,$L$615)&gt;Z$1296,$I1316&gt;$D$19),0,YEARFRAC(MAX($I1316*$P$1292,$L$615)-1,MIN(Z$1296,$D$19),$P$20)))-SUM($P1316:Y1316)</f>
        <v>#VALUE!</v>
      </c>
      <c r="AA1316" s="446" t="e">
        <f>IF($I1316="","",IF(OR(MAX($I1316*$P$1292,$L$615)&gt;AA$1296,$I1316&gt;$D$19),0,YEARFRAC(MAX($I1316*$P$1292,$L$615)-1,MIN(AA$1296,$D$19),$P$20)))-SUM($P1316:Z1316)</f>
        <v>#VALUE!</v>
      </c>
      <c r="AB1316" s="446" t="e">
        <f>IF($I1316="","",IF(OR(MAX($I1316*$P$1292,$L$615)&gt;AB$1296,$I1316&gt;$D$19),0,YEARFRAC(MAX($I1316*$P$1292,$L$615)-1,MIN(AB$1296,$D$19),$P$20)))-SUM($P1316:AA1316)</f>
        <v>#VALUE!</v>
      </c>
      <c r="AC1316" s="446" t="e">
        <f>IF($I1316="","",IF(OR(MAX($I1316*$P$1292,$L$615)&gt;AC$1296,$I1316&gt;$D$19),0,YEARFRAC(MAX($I1316*$P$1292,$L$615)-1,MIN(AC$1296,$D$19),$P$20)))-SUM($P1316:AB1316)</f>
        <v>#VALUE!</v>
      </c>
      <c r="AD1316" s="446" t="e">
        <f>IF($I1316="","",IF(OR(MAX($I1316*$P$1292,$L$615)&gt;AD$1296,$I1316&gt;$D$19),0,YEARFRAC(MAX($I1316*$P$1292,$L$615)-1,MIN(AD$1296,$D$19),$P$20)))-SUM($P1316:AC1316)</f>
        <v>#VALUE!</v>
      </c>
      <c r="AE1316" s="446" t="e">
        <f>IF($I1316="","",IF(OR(MAX($I1316*$P$1292,$L$615)&gt;AE$1296,$I1316&gt;$D$19),0,YEARFRAC(MAX($I1316*$P$1292,$L$615)-1,MIN(AE$1296,$D$19),$P$20)))-SUM($P1316:AD1316)</f>
        <v>#VALUE!</v>
      </c>
      <c r="AF1316" s="446" t="e">
        <f>IF($I1316="","",IF(OR(MAX($I1316*$P$1292,$L$615)&gt;AF$1296,$I1316&gt;$D$19),0,YEARFRAC(MAX($I1316*$P$1292,$L$615)-1,MIN(AF$1296,$D$19),$P$20)))-SUM($P1316:AE1316)</f>
        <v>#VALUE!</v>
      </c>
      <c r="AG1316" s="446" t="e">
        <f>IF($I1316="","",IF(OR(MAX($I1316*$P$1292,$L$615)&gt;AG$1296,$I1316&gt;$D$19),0,YEARFRAC(MAX($I1316*$P$1292,$L$615)-1,MIN(AG$1296,$D$19),$P$20)))-SUM($P1316:AF1316)</f>
        <v>#VALUE!</v>
      </c>
      <c r="BB1316" s="447"/>
    </row>
    <row r="1317" spans="1:54" s="446" customFormat="1" ht="11.25" hidden="1" x14ac:dyDescent="0.2">
      <c r="A1317" s="177"/>
      <c r="B1317" s="5" t="str">
        <f ca="1">IF(COUNTIF(B$1298:B1316,"&gt;=0")&gt;I$1290,"",(K$1287-B$1298)/I$1290)</f>
        <v/>
      </c>
      <c r="C1317" s="153" t="str">
        <f t="shared" ca="1" si="182"/>
        <v/>
      </c>
      <c r="D1317" s="311">
        <f t="shared" ca="1" si="178"/>
        <v>0</v>
      </c>
      <c r="E1317" s="5"/>
      <c r="F1317" s="311"/>
      <c r="G1317" s="64">
        <f t="shared" ca="1" si="179"/>
        <v>0</v>
      </c>
      <c r="H1317" s="310">
        <f t="shared" si="175"/>
        <v>0</v>
      </c>
      <c r="I1317" s="153"/>
      <c r="J1317" s="29" t="str">
        <f ca="1">IF(ISERROR(VLOOKUP(DATE(YEAR(H1317),MONTH(H1317)+IF($C$1321=$S$23,1,0),1),ÍNDICES!$A:$DE,$Z$1293+1)),"",VLOOKUP(DATE(YEAR(H1317),MONTH(H1317)+IF($C$1321=$S$23,1,0),1),ÍNDICES!$A:$DE,$Z$1293+1))</f>
        <v/>
      </c>
      <c r="K1317" s="155"/>
      <c r="L1317" s="5">
        <f ca="1">(IFERROR(B1317/D$1293,0)-IFERROR(K1317/J1317,0))*J$1293</f>
        <v>0</v>
      </c>
      <c r="M1317" s="5">
        <f t="shared" ca="1" si="183"/>
        <v>0</v>
      </c>
      <c r="N1317" s="5"/>
      <c r="O1317" s="5">
        <f t="shared" ca="1" si="181"/>
        <v>0</v>
      </c>
      <c r="P1317" s="446" t="str">
        <f t="shared" si="177"/>
        <v/>
      </c>
      <c r="Q1317" s="446" t="e">
        <f>IF($I1317="","",IF(OR(MAX($I1317*$P$1292,$L$615)&gt;Q$1296,$I1317&gt;$D$19),0,YEARFRAC(MAX($I1317*$P$1292,$L$615)-1,MIN(Q$1296,$D$19),$P$20)))-SUM($P1317:P1317)</f>
        <v>#VALUE!</v>
      </c>
      <c r="R1317" s="446" t="e">
        <f>IF($I1317="","",IF(OR(MAX($I1317*$P$1292,$L$615)&gt;R$1296,$I1317&gt;$D$19),0,YEARFRAC(MAX($I1317*$P$1292,$L$615)-1,MIN(R$1296,$D$19),$P$20)))-SUM($P1317:Q1317)</f>
        <v>#VALUE!</v>
      </c>
      <c r="S1317" s="446" t="e">
        <f>IF($I1317="","",IF(OR(MAX($I1317*$P$1292,$L$615)&gt;S$1296,$I1317&gt;$D$19),0,YEARFRAC(MAX($I1317*$P$1292,$L$615)-1,MIN(S$1296,$D$19),$P$20)))-SUM($P1317:R1317)</f>
        <v>#VALUE!</v>
      </c>
      <c r="T1317" s="446" t="e">
        <f>IF($I1317="","",IF(OR(MAX($I1317*$P$1292,$L$615)&gt;T$1296,$I1317&gt;$D$19),0,YEARFRAC(MAX($I1317*$P$1292,$L$615)-1,MIN(T$1296,$D$19),$P$20)))-SUM($P1317:S1317)</f>
        <v>#VALUE!</v>
      </c>
      <c r="U1317" s="446" t="e">
        <f>IF($I1317="","",IF(OR(MAX($I1317*$P$1292,$L$615)&gt;U$1296,$I1317&gt;$D$19),0,YEARFRAC(MAX($I1317*$P$1292,$L$615)-1,MIN(U$1296,$D$19),$P$20)))-SUM($P1317:T1317)</f>
        <v>#VALUE!</v>
      </c>
      <c r="V1317" s="446" t="e">
        <f>IF($I1317="","",IF(OR(MAX($I1317*$P$1292,$L$615)&gt;V$1296,$I1317&gt;$D$19),0,YEARFRAC(MAX($I1317*$P$1292,$L$615)-1,MIN(V$1296,$D$19),$P$20)))-SUM($P1317:U1317)</f>
        <v>#VALUE!</v>
      </c>
      <c r="W1317" s="446" t="e">
        <f>IF($I1317="","",IF(OR(MAX($I1317*$P$1292,$L$615)&gt;W$1296,$I1317&gt;$D$19),0,YEARFRAC(MAX($I1317*$P$1292,$L$615)-1,MIN(W$1296,$D$19),$P$20)))-SUM($P1317:V1317)</f>
        <v>#VALUE!</v>
      </c>
      <c r="X1317" s="446" t="e">
        <f>IF($I1317="","",IF(OR(MAX($I1317*$P$1292,$L$615)&gt;X$1296,$I1317&gt;$D$19),0,YEARFRAC(MAX($I1317*$P$1292,$L$615)-1,MIN(X$1296,$D$19),$P$20)))-SUM($P1317:W1317)</f>
        <v>#VALUE!</v>
      </c>
      <c r="Y1317" s="446" t="e">
        <f>IF($I1317="","",IF(OR(MAX($I1317*$P$1292,$L$615)&gt;Y$1296,$I1317&gt;$D$19),0,YEARFRAC(MAX($I1317*$P$1292,$L$615)-1,MIN(Y$1296,$D$19),$P$20)))-SUM($P1317:X1317)</f>
        <v>#VALUE!</v>
      </c>
      <c r="Z1317" s="446" t="e">
        <f>IF($I1317="","",IF(OR(MAX($I1317*$P$1292,$L$615)&gt;Z$1296,$I1317&gt;$D$19),0,YEARFRAC(MAX($I1317*$P$1292,$L$615)-1,MIN(Z$1296,$D$19),$P$20)))-SUM($P1317:Y1317)</f>
        <v>#VALUE!</v>
      </c>
      <c r="AA1317" s="446" t="e">
        <f>IF($I1317="","",IF(OR(MAX($I1317*$P$1292,$L$615)&gt;AA$1296,$I1317&gt;$D$19),0,YEARFRAC(MAX($I1317*$P$1292,$L$615)-1,MIN(AA$1296,$D$19),$P$20)))-SUM($P1317:Z1317)</f>
        <v>#VALUE!</v>
      </c>
      <c r="AB1317" s="446" t="e">
        <f>IF($I1317="","",IF(OR(MAX($I1317*$P$1292,$L$615)&gt;AB$1296,$I1317&gt;$D$19),0,YEARFRAC(MAX($I1317*$P$1292,$L$615)-1,MIN(AB$1296,$D$19),$P$20)))-SUM($P1317:AA1317)</f>
        <v>#VALUE!</v>
      </c>
      <c r="AC1317" s="446" t="e">
        <f>IF($I1317="","",IF(OR(MAX($I1317*$P$1292,$L$615)&gt;AC$1296,$I1317&gt;$D$19),0,YEARFRAC(MAX($I1317*$P$1292,$L$615)-1,MIN(AC$1296,$D$19),$P$20)))-SUM($P1317:AB1317)</f>
        <v>#VALUE!</v>
      </c>
      <c r="AD1317" s="446" t="e">
        <f>IF($I1317="","",IF(OR(MAX($I1317*$P$1292,$L$615)&gt;AD$1296,$I1317&gt;$D$19),0,YEARFRAC(MAX($I1317*$P$1292,$L$615)-1,MIN(AD$1296,$D$19),$P$20)))-SUM($P1317:AC1317)</f>
        <v>#VALUE!</v>
      </c>
      <c r="AE1317" s="446" t="e">
        <f>IF($I1317="","",IF(OR(MAX($I1317*$P$1292,$L$615)&gt;AE$1296,$I1317&gt;$D$19),0,YEARFRAC(MAX($I1317*$P$1292,$L$615)-1,MIN(AE$1296,$D$19),$P$20)))-SUM($P1317:AD1317)</f>
        <v>#VALUE!</v>
      </c>
      <c r="AF1317" s="446" t="e">
        <f>IF($I1317="","",IF(OR(MAX($I1317*$P$1292,$L$615)&gt;AF$1296,$I1317&gt;$D$19),0,YEARFRAC(MAX($I1317*$P$1292,$L$615)-1,MIN(AF$1296,$D$19),$P$20)))-SUM($P1317:AE1317)</f>
        <v>#VALUE!</v>
      </c>
      <c r="AG1317" s="446" t="e">
        <f>IF($I1317="","",IF(OR(MAX($I1317*$P$1292,$L$615)&gt;AG$1296,$I1317&gt;$D$19),0,YEARFRAC(MAX($I1317*$P$1292,$L$615)-1,MIN(AG$1296,$D$19),$P$20)))-SUM($P1317:AF1317)</f>
        <v>#VALUE!</v>
      </c>
      <c r="BB1317" s="447"/>
    </row>
    <row r="1318" spans="1:54" s="446" customFormat="1" ht="12.95" hidden="1" customHeight="1" x14ac:dyDescent="0.2">
      <c r="A1318" s="4" t="str">
        <f>IF(A1292="","",A1292)</f>
        <v>Obs.:</v>
      </c>
      <c r="B1318" s="161">
        <f ca="1">SUM(B1298:B1317)</f>
        <v>0</v>
      </c>
      <c r="C1318" s="312"/>
      <c r="D1318" s="29"/>
      <c r="E1318" s="161"/>
      <c r="F1318" s="311"/>
      <c r="G1318" s="158"/>
      <c r="H1318" s="310">
        <f t="shared" si="175"/>
        <v>0</v>
      </c>
      <c r="I1318" s="157"/>
      <c r="J1318" s="29"/>
      <c r="K1318" s="161"/>
      <c r="L1318" s="158">
        <f ca="1">SUM(L1298:L1317)</f>
        <v>0</v>
      </c>
      <c r="M1318" s="161">
        <f ca="1">SUM(M1298:M1317)</f>
        <v>0</v>
      </c>
      <c r="N1318" s="158">
        <f>SUM(N1298:N1317)</f>
        <v>0</v>
      </c>
      <c r="O1318" s="161">
        <f ca="1">SUM(O1298:O1317)</f>
        <v>0</v>
      </c>
      <c r="BB1318" s="447"/>
    </row>
    <row r="1319" spans="1:54" s="318" customFormat="1" ht="6" hidden="1" customHeight="1" x14ac:dyDescent="0.2">
      <c r="A1319" s="313"/>
      <c r="B1319" s="314"/>
      <c r="C1319" s="315"/>
      <c r="D1319" s="316"/>
      <c r="E1319" s="314"/>
      <c r="F1319" s="317"/>
      <c r="G1319" s="87"/>
      <c r="I1319" s="317"/>
      <c r="J1319" s="319"/>
      <c r="K1319" s="319"/>
      <c r="L1319" s="319"/>
      <c r="M1319" s="319"/>
      <c r="N1319" s="319"/>
      <c r="O1319" s="319"/>
      <c r="P1319" s="503"/>
      <c r="BB1319" s="504"/>
    </row>
    <row r="1320" spans="1:54" s="318" customFormat="1" ht="15" hidden="1" customHeight="1" x14ac:dyDescent="0.2">
      <c r="A1320" s="313"/>
      <c r="B1320" s="317"/>
      <c r="C1320" s="320"/>
      <c r="D1320" s="258"/>
      <c r="E1320" s="317"/>
      <c r="F1320" s="317"/>
      <c r="G1320" s="321" t="s">
        <v>174</v>
      </c>
      <c r="I1320" s="572" t="s">
        <v>175</v>
      </c>
      <c r="J1320" s="573"/>
      <c r="K1320" s="322">
        <f ca="1">O1318*IF(I1320=P1320,1.1,1)</f>
        <v>0</v>
      </c>
      <c r="L1320" s="323"/>
      <c r="M1320" s="323"/>
      <c r="N1320" s="323"/>
      <c r="O1320" s="323"/>
      <c r="P1320" s="505" t="s">
        <v>176</v>
      </c>
      <c r="BB1320" s="504"/>
    </row>
    <row r="1321" spans="1:54" s="318" customFormat="1" ht="14.1" hidden="1" customHeight="1" x14ac:dyDescent="0.2">
      <c r="A1321" s="313"/>
      <c r="B1321" s="324" t="s">
        <v>67</v>
      </c>
      <c r="C1321" s="528" t="str">
        <f>C1217</f>
        <v>próprio mês</v>
      </c>
      <c r="D1321" s="317"/>
      <c r="E1321" s="317"/>
      <c r="F1321" s="317"/>
      <c r="G1321" s="321"/>
      <c r="H1321" s="321"/>
      <c r="I1321" s="321"/>
      <c r="J1321" s="321"/>
      <c r="K1321" s="321"/>
      <c r="L1321" s="323"/>
      <c r="M1321" s="323"/>
      <c r="N1321" s="323"/>
      <c r="O1321" s="323"/>
      <c r="P1321" s="505" t="s">
        <v>175</v>
      </c>
      <c r="BB1321" s="504"/>
    </row>
    <row r="1322" spans="1:54" s="446" customFormat="1" ht="6" customHeight="1" x14ac:dyDescent="0.2">
      <c r="A1322" s="87"/>
      <c r="B1322" s="270"/>
      <c r="C1322" s="242"/>
      <c r="D1322" s="87"/>
      <c r="E1322" s="87"/>
      <c r="F1322" s="87"/>
      <c r="G1322" s="87"/>
      <c r="H1322" s="89"/>
      <c r="I1322" s="87"/>
      <c r="J1322" s="87"/>
      <c r="K1322" s="203"/>
      <c r="L1322" s="325"/>
      <c r="M1322" s="80"/>
      <c r="N1322" s="326"/>
      <c r="O1322" s="326"/>
      <c r="P1322" s="505"/>
      <c r="BB1322" s="447"/>
    </row>
    <row r="1323" spans="1:54" s="446" customFormat="1" ht="15" customHeight="1" x14ac:dyDescent="0.2">
      <c r="A1323" s="327"/>
      <c r="B1323" s="87"/>
      <c r="C1323" s="298" t="s">
        <v>177</v>
      </c>
      <c r="D1323" s="127" t="s">
        <v>25</v>
      </c>
      <c r="E1323" s="328">
        <f>0+1</f>
        <v>1</v>
      </c>
      <c r="F1323" s="329" t="str">
        <f>IF(J1323&gt;0,IF(D$1290=$Y$21,E1323&amp;"º Depósito após parcelamento",E1323&amp;"º Depósito"),"")</f>
        <v/>
      </c>
      <c r="G1323" s="87"/>
      <c r="H1323" s="330"/>
      <c r="I1323" s="298" t="s">
        <v>178</v>
      </c>
      <c r="J1323" s="331"/>
      <c r="K1323" s="87"/>
      <c r="L1323" s="292"/>
      <c r="M1323" s="73" t="str">
        <f>IF(OR(D1323=$Y$22,J1323&lt;=0),"Atualizar até:-","DATA DO DEPÓSITO:-")</f>
        <v>Atualizar até:-</v>
      </c>
      <c r="N1323" s="332">
        <f>D19</f>
        <v>45138</v>
      </c>
      <c r="O1323" s="326"/>
      <c r="P1323" s="506"/>
      <c r="BB1323" s="447"/>
    </row>
    <row r="1324" spans="1:54" s="446" customFormat="1" ht="12.95" customHeight="1" x14ac:dyDescent="0.2">
      <c r="A1324" s="87"/>
      <c r="B1324" s="88"/>
      <c r="C1324" s="88"/>
      <c r="D1324" s="87"/>
      <c r="E1324" s="87"/>
      <c r="F1324" s="87"/>
      <c r="G1324" s="87"/>
      <c r="H1324" s="89"/>
      <c r="I1324" s="87"/>
      <c r="J1324" s="87"/>
      <c r="K1324" s="111" t="s">
        <v>69</v>
      </c>
      <c r="L1324" s="571" t="str">
        <f>$Z$18</f>
        <v>TABELA PRÁTICA - INPC</v>
      </c>
      <c r="M1324" s="571"/>
      <c r="N1324" s="571"/>
      <c r="O1324" s="571"/>
      <c r="P1324" s="479">
        <f ca="1">$P$37</f>
        <v>0.06</v>
      </c>
      <c r="Q1324" s="479">
        <f ca="1">$Q$37</f>
        <v>0.12</v>
      </c>
      <c r="R1324" s="479"/>
      <c r="S1324" s="479"/>
      <c r="T1324" s="479"/>
      <c r="U1324" s="479"/>
      <c r="V1324" s="479"/>
      <c r="W1324" s="479"/>
      <c r="X1324" s="479"/>
      <c r="Y1324" s="479"/>
      <c r="Z1324" s="479"/>
      <c r="AA1324" s="479"/>
      <c r="AB1324" s="479"/>
      <c r="AC1324" s="479"/>
      <c r="AD1324" s="479"/>
      <c r="AE1324" s="479"/>
      <c r="AF1324" s="479"/>
      <c r="AG1324" s="479"/>
      <c r="AH1324" s="479"/>
      <c r="AI1324" s="479"/>
      <c r="AJ1324" s="479"/>
      <c r="AK1324" s="479"/>
      <c r="AL1324" s="479"/>
      <c r="AM1324" s="479"/>
      <c r="AN1324" s="479"/>
      <c r="AO1324" s="479"/>
      <c r="AP1324" s="479"/>
      <c r="BB1324" s="447"/>
    </row>
    <row r="1325" spans="1:54" s="446" customFormat="1" ht="15" customHeight="1" x14ac:dyDescent="0.2">
      <c r="A1325" s="333" t="str">
        <f>D1323</f>
        <v xml:space="preserve">Sim </v>
      </c>
      <c r="B1325" s="565">
        <v>1</v>
      </c>
      <c r="C1325" s="565"/>
      <c r="D1325" s="565"/>
      <c r="E1325" s="565"/>
      <c r="F1325" s="565"/>
      <c r="G1325" s="565"/>
      <c r="H1325" s="565"/>
      <c r="I1325" s="565"/>
      <c r="J1325" s="565"/>
      <c r="K1325" s="565"/>
      <c r="L1325" s="565"/>
      <c r="M1325" s="565"/>
      <c r="N1325" s="334"/>
      <c r="O1325" s="334"/>
      <c r="P1325" s="480">
        <v>37631</v>
      </c>
      <c r="Q1325" s="480">
        <f>$N1323</f>
        <v>45138</v>
      </c>
      <c r="R1325" s="480"/>
      <c r="S1325" s="480"/>
      <c r="T1325" s="480"/>
      <c r="U1325" s="480"/>
      <c r="V1325" s="480"/>
      <c r="W1325" s="480"/>
      <c r="X1325" s="480"/>
      <c r="Y1325" s="480"/>
      <c r="Z1325" s="480"/>
      <c r="AA1325" s="480"/>
      <c r="AB1325" s="480"/>
      <c r="AC1325" s="480"/>
      <c r="AD1325" s="480"/>
      <c r="AE1325" s="480"/>
      <c r="AF1325" s="480"/>
      <c r="AG1325" s="480"/>
      <c r="AH1325" s="480"/>
      <c r="AI1325" s="480"/>
      <c r="AJ1325" s="480"/>
      <c r="AK1325" s="480"/>
      <c r="AL1325" s="480"/>
      <c r="AM1325" s="480"/>
      <c r="AN1325" s="480"/>
      <c r="AO1325" s="480"/>
      <c r="AP1325" s="480"/>
      <c r="BB1325" s="447"/>
    </row>
    <row r="1326" spans="1:54" s="446" customFormat="1" ht="12.95" customHeight="1" x14ac:dyDescent="0.2">
      <c r="A1326" s="327"/>
      <c r="B1326" s="21"/>
      <c r="C1326" s="19"/>
      <c r="D1326" s="335" t="s">
        <v>179</v>
      </c>
      <c r="E1326" s="336">
        <f>E1323</f>
        <v>1</v>
      </c>
      <c r="F1326" s="19"/>
      <c r="G1326" s="337"/>
      <c r="H1326" s="338"/>
      <c r="I1326" s="339">
        <f ca="1">IF(D1327=O1318,N1290,J1287)</f>
        <v>45138</v>
      </c>
      <c r="J1326" s="339">
        <f ca="1">IF(ISERROR(IF(VLOOKUP(N1323,ÍNDICES!$A$1:$T$65536,$P$22+1)=1,I1326,N1323)),"",IF(VLOOKUP(N1323,ÍNDICES!$A$1:$T$65536,$P$22+1)=1,I1326,N1323))</f>
        <v>45138</v>
      </c>
      <c r="K1326" s="16" t="s">
        <v>180</v>
      </c>
      <c r="L1326" s="16" t="s">
        <v>163</v>
      </c>
      <c r="M1326" s="340" t="str">
        <f>IF(L1324=$P$15,"Var. Selic","Anos Jrs.")</f>
        <v>Anos Jrs.</v>
      </c>
      <c r="N1326" s="19"/>
      <c r="O1326" s="19"/>
      <c r="P1326" s="507" t="str">
        <f>L1324</f>
        <v>TABELA PRÁTICA - INPC</v>
      </c>
      <c r="Q1326" s="472" t="s">
        <v>142</v>
      </c>
      <c r="R1326" s="480">
        <f>N1323</f>
        <v>45138</v>
      </c>
      <c r="S1326" s="472" t="s">
        <v>181</v>
      </c>
      <c r="T1326" s="480">
        <f>IF(D1290=$Y$21,N1290,R1275)</f>
        <v>45138</v>
      </c>
      <c r="U1326" s="457" t="s">
        <v>23</v>
      </c>
      <c r="V1326" s="452">
        <f ca="1">SUMIF(ÍNDICES!$A$3:$W$4,P1326,ÍNDICES!$A$4:$W$4)+10</f>
        <v>13</v>
      </c>
      <c r="X1326" s="508"/>
      <c r="Y1326" s="508"/>
      <c r="AB1326" s="445"/>
      <c r="AC1326" s="445"/>
      <c r="AD1326" s="445"/>
      <c r="AE1326" s="445"/>
      <c r="AF1326" s="445"/>
      <c r="AG1326" s="445"/>
      <c r="AH1326" s="445"/>
      <c r="AI1326" s="445"/>
      <c r="AJ1326" s="445"/>
      <c r="BB1326" s="509"/>
    </row>
    <row r="1327" spans="1:54" s="446" customFormat="1" ht="12.95" customHeight="1" x14ac:dyDescent="0.2">
      <c r="A1327" s="327"/>
      <c r="B1327" s="341"/>
      <c r="C1327" s="244"/>
      <c r="D1327" s="82">
        <f ca="1">IF(D1290=$Y$21,K1320,K1287)</f>
        <v>0</v>
      </c>
      <c r="E1327" s="244"/>
      <c r="F1327" s="244"/>
      <c r="G1327" s="337"/>
      <c r="H1327" s="134"/>
      <c r="I1327" s="29">
        <f ca="1">IF(L1324=$BL$25,1,IF(ISERROR(VLOOKUP(DATE(YEAR(I1326),MONTH(I1326)+IF($C$1321=$S$23,1,0),1),ÍNDICES!$A$1:$T$65536,$V$1326+1)),1,VLOOKUP(DATE(YEAR(I1326),MONTH(I1326)+IF($C$1321=$S$23,1,0),1),ÍNDICES!$A$1:$T$65536,$V$1326+1)))</f>
        <v>92.252543000000003</v>
      </c>
      <c r="J1327" s="29">
        <f ca="1">IF(L1324=$BL$25,1,IF(ISERROR(VLOOKUP(DATE(YEAR(J1326),MONTH(J1326)+IF($C$1321=$S$23,1,0),1),ÍNDICES!$A$1:$T$65536,$V$1326+1)),I1327,VLOOKUP(DATE(YEAR(J1326),MONTH(J1326)+IF($C$1321=$S$23,1,0),1),ÍNDICES!$A$1:$T$65536,$V$1326+1)))</f>
        <v>92.252543000000003</v>
      </c>
      <c r="K1327" s="161">
        <f ca="1">IF(D1327&lt;=0,D1327,D1327/I1327*J1327)</f>
        <v>0</v>
      </c>
      <c r="L1327" s="161">
        <f ca="1">IF(L1324=$BL$25,K1327*M1327,IF(D1327&lt;0,0,K1327*SUMPRODUCT($P$37:$BA$37,$P1327:$BA1327)))</f>
        <v>0</v>
      </c>
      <c r="M1327" s="7" t="str">
        <f ca="1">IF(L1324=$BL$25,VLOOKUP(DATE(YEAR(J1326),MONTH(J1326)-1,1),ÍNDICES!$A:$DE,10)-VLOOKUP(I1326,ÍNDICES!$A:$DE,10)+1%,IF(D1327=0,"",SUM(P1327:BA1327)))</f>
        <v/>
      </c>
      <c r="N1327" s="19"/>
      <c r="O1327" s="19"/>
      <c r="P1327" s="446">
        <f>IF($T1326="","",IF(MIN(P1325,$N1323)&lt;MAX($T1326*$P$1329,$L$1332),0,YEARFRAC(MAX($T1326*$P$1329,$L$1332),MIN(P1325,$N1323),$P$20)))</f>
        <v>0</v>
      </c>
      <c r="Q1327" s="446">
        <f>IF($T1326="","",IF(MIN(Q1325,$N1323)&lt;MAX($T1326*$P$1329,$L$1332),0,YEARFRAC(MAX($T1326*$P$1329,$L$1332),MIN(Q1325,$N1323),$P$20)))-SUM($P1327:P1327)</f>
        <v>0</v>
      </c>
      <c r="BB1327" s="447"/>
    </row>
    <row r="1328" spans="1:54" s="510" customFormat="1" ht="18" customHeight="1" x14ac:dyDescent="0.2">
      <c r="A1328" s="342"/>
      <c r="B1328" s="343"/>
      <c r="C1328" s="344"/>
      <c r="D1328" s="344"/>
      <c r="E1328" s="344"/>
      <c r="F1328" s="345"/>
      <c r="G1328" s="346"/>
      <c r="H1328" s="347"/>
      <c r="I1328" s="348"/>
      <c r="J1328" s="348"/>
      <c r="K1328" s="349"/>
      <c r="L1328" s="349"/>
      <c r="M1328" s="350"/>
      <c r="N1328" s="351" t="s">
        <v>182</v>
      </c>
      <c r="O1328" s="351">
        <f ca="1">K1327+L1327</f>
        <v>0</v>
      </c>
      <c r="BB1328" s="511"/>
    </row>
    <row r="1329" spans="1:54" s="446" customFormat="1" ht="12.95" hidden="1" customHeight="1" x14ac:dyDescent="0.2">
      <c r="A1329" s="570">
        <f>$B1325</f>
        <v>1</v>
      </c>
      <c r="B1329" s="570"/>
      <c r="C1329" s="570"/>
      <c r="D1329" s="570"/>
      <c r="E1329" s="570"/>
      <c r="F1329" s="570"/>
      <c r="G1329" s="570"/>
      <c r="H1329" s="570"/>
      <c r="I1329" s="570"/>
      <c r="J1329" s="570"/>
      <c r="K1329" s="87"/>
      <c r="L1329" s="352" t="s">
        <v>65</v>
      </c>
      <c r="M1329" s="352"/>
      <c r="N1329" s="352"/>
      <c r="O1329" s="127" t="s">
        <v>32</v>
      </c>
      <c r="P1329" s="446">
        <f>IF(O1329=$Y$22,1,0)</f>
        <v>1</v>
      </c>
      <c r="Q1329" s="512"/>
      <c r="BB1329" s="447"/>
    </row>
    <row r="1330" spans="1:54" s="446" customFormat="1" ht="12.95" hidden="1" customHeight="1" x14ac:dyDescent="0.2">
      <c r="A1330" s="87"/>
      <c r="B1330" s="87"/>
      <c r="C1330" s="74" t="s">
        <v>183</v>
      </c>
      <c r="D1330" s="353">
        <f>IF(N1323="",N1290,N1323)</f>
        <v>45138</v>
      </c>
      <c r="E1330" s="19"/>
      <c r="F1330" s="19"/>
      <c r="G1330" s="258"/>
      <c r="H1330" s="89"/>
      <c r="I1330" s="354" t="s">
        <v>184</v>
      </c>
      <c r="J1330" s="355">
        <f ca="1">IF(ISERROR(VLOOKUP(DATE(YEAR(N1323),MONTH(N1323)+IF($C$1321=$S$23,1,0),1),ÍNDICES!A$1:CD$65536,$V$1326+1)),J1293,VLOOKUP(DATE(YEAR(N1323),MONTH(N1323)+IF($C$1321=$S$23,1,0),1),ÍNDICES!A$1:CD$65536,$V$1326+1))</f>
        <v>92.252543000000003</v>
      </c>
      <c r="K1330" s="111" t="s">
        <v>69</v>
      </c>
      <c r="L1330" s="571" t="str">
        <f>L1324</f>
        <v>TABELA PRÁTICA - INPC</v>
      </c>
      <c r="M1330" s="571"/>
      <c r="N1330" s="571"/>
      <c r="O1330" s="571"/>
      <c r="BB1330" s="447"/>
    </row>
    <row r="1331" spans="1:54" s="446" customFormat="1" ht="12.95" hidden="1" customHeight="1" x14ac:dyDescent="0.2">
      <c r="A1331" s="62" t="s">
        <v>70</v>
      </c>
      <c r="B1331" s="3" t="s">
        <v>92</v>
      </c>
      <c r="C1331" s="356" t="str">
        <f>IF(L1330=$BL$25,"VARIAÇÃO","ÍNDICE")</f>
        <v>ÍNDICE</v>
      </c>
      <c r="D1331" s="174" t="s">
        <v>72</v>
      </c>
      <c r="E1331" s="560" t="s">
        <v>185</v>
      </c>
      <c r="F1331" s="560"/>
      <c r="G1331" s="560"/>
      <c r="H1331" s="560"/>
      <c r="I1331" s="561"/>
      <c r="J1331" s="524" t="s">
        <v>127</v>
      </c>
      <c r="K1331" s="62" t="s">
        <v>165</v>
      </c>
      <c r="L1331" s="62" t="s">
        <v>95</v>
      </c>
      <c r="M1331" s="63" t="s">
        <v>75</v>
      </c>
      <c r="N1331" s="14" t="s">
        <v>78</v>
      </c>
      <c r="O1331" s="14" t="s">
        <v>115</v>
      </c>
      <c r="P1331" s="512" t="str">
        <f>O1329</f>
        <v>Não</v>
      </c>
      <c r="Q1331" s="452"/>
      <c r="R1331" s="452"/>
      <c r="S1331" s="452"/>
      <c r="T1331" s="452"/>
      <c r="U1331" s="452"/>
      <c r="V1331" s="452"/>
      <c r="W1331" s="452"/>
      <c r="X1331" s="452"/>
      <c r="Y1331" s="452"/>
      <c r="Z1331" s="452"/>
      <c r="AA1331" s="452"/>
      <c r="AB1331" s="452"/>
      <c r="AC1331" s="452"/>
      <c r="AD1331" s="452"/>
      <c r="AE1331" s="452"/>
      <c r="AF1331" s="452"/>
      <c r="AG1331" s="452"/>
      <c r="AH1331" s="452"/>
      <c r="AI1331" s="452"/>
      <c r="AJ1331" s="452"/>
      <c r="BB1331" s="447"/>
    </row>
    <row r="1332" spans="1:54" s="446" customFormat="1" ht="12.95" hidden="1" customHeight="1" x14ac:dyDescent="0.2">
      <c r="A1332" s="5" t="s">
        <v>80</v>
      </c>
      <c r="B1332" s="6" t="s">
        <v>96</v>
      </c>
      <c r="C1332" s="307" t="str">
        <f>IF(L1330=$BL$25,"SELIC","Inicial")</f>
        <v>Inicial</v>
      </c>
      <c r="D1332" s="16" t="s">
        <v>97</v>
      </c>
      <c r="E1332" s="562"/>
      <c r="F1332" s="562"/>
      <c r="G1332" s="562"/>
      <c r="H1332" s="562"/>
      <c r="I1332" s="563"/>
      <c r="J1332" s="20" t="s">
        <v>131</v>
      </c>
      <c r="K1332" s="62" t="s">
        <v>186</v>
      </c>
      <c r="L1332" s="59"/>
      <c r="M1332" s="7" t="s">
        <v>100</v>
      </c>
      <c r="N1332" s="14" t="s">
        <v>187</v>
      </c>
      <c r="O1332" s="5" t="s">
        <v>87</v>
      </c>
      <c r="P1332" s="479"/>
      <c r="Q1332" s="479"/>
      <c r="R1332" s="452"/>
      <c r="S1332" s="452"/>
      <c r="T1332" s="452"/>
      <c r="U1332" s="452"/>
      <c r="V1332" s="452"/>
      <c r="W1332" s="452"/>
      <c r="X1332" s="452"/>
      <c r="Y1332" s="452"/>
      <c r="Z1332" s="452"/>
      <c r="AA1332" s="452"/>
      <c r="AB1332" s="452"/>
      <c r="AC1332" s="452"/>
      <c r="AD1332" s="452"/>
      <c r="AE1332" s="452"/>
      <c r="AF1332" s="452"/>
      <c r="AG1332" s="452"/>
      <c r="AH1332" s="452"/>
      <c r="AI1332" s="452"/>
      <c r="AJ1332" s="452"/>
      <c r="BB1332" s="447"/>
    </row>
    <row r="1333" spans="1:54" s="446" customFormat="1" ht="12.95" hidden="1" customHeight="1" x14ac:dyDescent="0.2">
      <c r="A1333" s="172" t="s">
        <v>88</v>
      </c>
      <c r="B1333" s="172" t="s">
        <v>88</v>
      </c>
      <c r="C1333" s="172" t="s">
        <v>88</v>
      </c>
      <c r="D1333" s="357" t="s">
        <v>88</v>
      </c>
      <c r="E1333" s="553" t="s">
        <v>188</v>
      </c>
      <c r="F1333" s="564"/>
      <c r="G1333" s="564"/>
      <c r="H1333" s="564"/>
      <c r="I1333" s="554"/>
      <c r="J1333" s="172" t="s">
        <v>88</v>
      </c>
      <c r="K1333" s="30">
        <v>1</v>
      </c>
      <c r="L1333" s="27"/>
      <c r="M1333" s="7" t="s">
        <v>88</v>
      </c>
      <c r="N1333" s="358">
        <f>$N$24</f>
        <v>0</v>
      </c>
      <c r="O1333" s="358">
        <f>IF(A695=Q694,K699,0)</f>
        <v>0</v>
      </c>
      <c r="P1333" s="480"/>
      <c r="Q1333" s="480"/>
      <c r="R1333" s="452"/>
      <c r="S1333" s="452"/>
      <c r="T1333" s="452"/>
      <c r="U1333" s="452"/>
      <c r="V1333" s="452"/>
      <c r="W1333" s="452"/>
      <c r="X1333" s="452"/>
      <c r="Y1333" s="452"/>
      <c r="Z1333" s="452"/>
      <c r="AA1333" s="452"/>
      <c r="AB1333" s="452"/>
      <c r="AC1333" s="452"/>
      <c r="AD1333" s="452"/>
      <c r="AE1333" s="452"/>
      <c r="AF1333" s="452"/>
      <c r="AG1333" s="452"/>
      <c r="AH1333" s="452"/>
      <c r="AI1333" s="452"/>
      <c r="AJ1333" s="452"/>
      <c r="BB1333" s="447"/>
    </row>
    <row r="1334" spans="1:54" s="446" customFormat="1" ht="6" hidden="1" customHeight="1" x14ac:dyDescent="0.2">
      <c r="A1334" s="172"/>
      <c r="B1334" s="172"/>
      <c r="C1334" s="7"/>
      <c r="D1334" s="5"/>
      <c r="E1334" s="359"/>
      <c r="F1334" s="19"/>
      <c r="G1334" s="258"/>
      <c r="H1334" s="259"/>
      <c r="I1334" s="360"/>
      <c r="J1334" s="20"/>
      <c r="K1334" s="5"/>
      <c r="L1334" s="234" t="str">
        <f>L1330</f>
        <v>TABELA PRÁTICA - INPC</v>
      </c>
      <c r="M1334" s="7"/>
      <c r="N1334" s="5"/>
      <c r="O1334" s="5"/>
      <c r="P1334" s="507" t="str">
        <f>L1330</f>
        <v>TABELA PRÁTICA - INPC</v>
      </c>
      <c r="Q1334" s="445"/>
      <c r="R1334" s="452"/>
      <c r="S1334" s="452"/>
      <c r="T1334" s="452"/>
      <c r="U1334" s="452"/>
      <c r="V1334" s="452"/>
      <c r="W1334" s="452"/>
      <c r="X1334" s="452"/>
      <c r="Y1334" s="452"/>
      <c r="Z1334" s="452"/>
      <c r="AA1334" s="452"/>
      <c r="AB1334" s="452"/>
      <c r="AC1334" s="452"/>
      <c r="AD1334" s="452"/>
      <c r="AE1334" s="452"/>
      <c r="AF1334" s="452"/>
      <c r="AG1334" s="452"/>
      <c r="AH1334" s="452"/>
      <c r="AI1334" s="452"/>
      <c r="AJ1334" s="452"/>
      <c r="BB1334" s="447"/>
    </row>
    <row r="1335" spans="1:54" s="446" customFormat="1" ht="12.95" hidden="1" customHeight="1" x14ac:dyDescent="0.2">
      <c r="A1335" s="177"/>
      <c r="B1335" s="236"/>
      <c r="C1335" s="29" t="str">
        <f ca="1">IF(AND(B1335&gt;0,L$1330=$BL$25),VLOOKUP(DATE(YEAR(N$1323),MONTH(N$1323)-1,1),ÍNDICES!$A:$DE,HLOOKUP($BL$25,ÍNDICES!$B$3:$T$4,2)+11)-VLOOKUP(B1335,ÍNDICES!$A:$DE,HLOOKUP($BL$25,ÍNDICES!$B$3:$T$4,2)+11)+1%,IF(ISERROR(VLOOKUP(DATE(YEAR(B1335),MONTH(B1335)+IF($C$1321=$S$23,1,0),1),ÍNDICES!$A:$DE,$V$1326+1)),"",VLOOKUP(DATE(YEAR(B1335),MONTH(B1335)+IF($C$1321=$S$23,1,0),1),ÍNDICES!$A:$DE,$V$1326+1)))</f>
        <v/>
      </c>
      <c r="D1335" s="155"/>
      <c r="E1335" s="552"/>
      <c r="F1335" s="552"/>
      <c r="G1335" s="552"/>
      <c r="H1335" s="552"/>
      <c r="I1335" s="552"/>
      <c r="J1335" s="5" t="str">
        <f>IF(L1330=$BL$25,D1335,IF(D1335="","",D1335/C1335*J$1330))</f>
        <v/>
      </c>
      <c r="K1335" s="5" t="str">
        <f>IF(J1335="","",J1335*K$1333)</f>
        <v/>
      </c>
      <c r="L1335" s="5" t="str">
        <f ca="1">IF(L1330=$BL$25,K1335*IF(C1335="",0,C1335),IF(ISERROR((K1335)*SUMPRODUCT($P$37:$BA$37,$P1335:$BA1335)),IF(K1335="","",0),(K1335)*SUMPRODUCT($P$37:$BA$37,$P1335:$BA1335)))</f>
        <v/>
      </c>
      <c r="M1335" s="64">
        <f t="shared" ref="M1335:M1348" si="184">IF(ISERROR(SUM(P1335:BA1335)),"",SUM(P1335:BA1335))</f>
        <v>0</v>
      </c>
      <c r="N1335" s="5" t="str">
        <f ca="1">IFERROR(($K1335+$L1335)*N$1333,"")</f>
        <v/>
      </c>
      <c r="O1335" s="5" t="str">
        <f ca="1">IFERROR(($K1335+$L1335+$N1335)*O$1333,"")</f>
        <v/>
      </c>
      <c r="P1335" s="446">
        <f>IF($B1335="",0,IF(MIN(P1325,$N1323)&lt;MAX($B1335*$P1329,$L1332-1),0,YEARFRAC(MAX($B1335*$P1329,$L1332-1),MIN(P1325,$N1323),$P$20)))</f>
        <v>0</v>
      </c>
      <c r="Q1335" s="446">
        <f>IF($B1335="",0,IF(MIN(Q1325,$N1323)&lt;MAX($B1335*$P1329,$L1332-1),0,YEARFRAC(MAX($B1335*$P1329,$L1332-1),MIN(Q1325,$N1323),$P$20)))</f>
        <v>0</v>
      </c>
      <c r="R1335" s="452"/>
      <c r="S1335" s="452"/>
      <c r="T1335" s="452"/>
      <c r="U1335" s="452"/>
      <c r="V1335" s="452"/>
      <c r="W1335" s="452"/>
      <c r="X1335" s="452"/>
      <c r="Y1335" s="452"/>
      <c r="Z1335" s="452"/>
      <c r="AA1335" s="452"/>
      <c r="AB1335" s="452"/>
      <c r="AC1335" s="452"/>
      <c r="AD1335" s="452"/>
      <c r="AE1335" s="452"/>
      <c r="AF1335" s="452"/>
      <c r="AG1335" s="452"/>
      <c r="AH1335" s="452"/>
      <c r="AI1335" s="452"/>
      <c r="AJ1335" s="452"/>
      <c r="BB1335" s="447"/>
    </row>
    <row r="1336" spans="1:54" s="446" customFormat="1" ht="12.95" hidden="1" customHeight="1" x14ac:dyDescent="0.2">
      <c r="A1336" s="177"/>
      <c r="B1336" s="236"/>
      <c r="C1336" s="29" t="str">
        <f ca="1">IF(AND(B1336&gt;0,L$1330=$BL$25),VLOOKUP(DATE(YEAR(N$1323),MONTH(N$1323)-1,1),ÍNDICES!$A:$DE,HLOOKUP($BL$25,ÍNDICES!$B$3:$T$4,2)+11)-VLOOKUP(B1336,ÍNDICES!$A:$DE,HLOOKUP($BL$25,ÍNDICES!$B$3:$T$4,2)+11)+1%,IF(ISERROR(VLOOKUP(DATE(YEAR(B1336),MONTH(B1336)+IF($C$1321=$S$23,1,0),1),ÍNDICES!$A:$DE,$V$1326+1)),"",VLOOKUP(DATE(YEAR(B1336),MONTH(B1336)+IF($C$1321=$S$23,1,0),1),ÍNDICES!$A:$DE,$V$1326+1)))</f>
        <v/>
      </c>
      <c r="D1336" s="155"/>
      <c r="E1336" s="552"/>
      <c r="F1336" s="552"/>
      <c r="G1336" s="552"/>
      <c r="H1336" s="552"/>
      <c r="I1336" s="552"/>
      <c r="J1336" s="5" t="str">
        <f>IF(L1330=$BL$25,D1336,IF(D1336="","",D1336/C1336*J$1330))</f>
        <v/>
      </c>
      <c r="K1336" s="5" t="str">
        <f t="shared" ref="K1336:K1362" si="185">IF(J1336="","",J1336*K$1333)</f>
        <v/>
      </c>
      <c r="L1336" s="5" t="str">
        <f ca="1">IF(L1330=$BL$25,K1336*IF(C1336="",0,C1336),IF(ISERROR((K1336)*SUMPRODUCT($P$37:$BA$37,$P1336:$BA1336)),IF(K1336="","",0),(K1336)*SUMPRODUCT($P$37:$BA$37,$P1336:$BA1336)))</f>
        <v/>
      </c>
      <c r="M1336" s="64">
        <f t="shared" si="184"/>
        <v>0</v>
      </c>
      <c r="N1336" s="5" t="str">
        <f t="shared" ref="N1336:N1348" ca="1" si="186">IFERROR(($K1336+$L1336)*N$1333,"")</f>
        <v/>
      </c>
      <c r="O1336" s="5" t="str">
        <f t="shared" ref="O1336:O1348" ca="1" si="187">IFERROR(($K1336+$L1336+$N1336)*O$1333,"")</f>
        <v/>
      </c>
      <c r="P1336" s="446">
        <f>IF($B1336="",0,IF(MIN(P1325,$N1323)&lt;MAX($B1336*$P1329,$L1332-1),0,YEARFRAC(MAX($B1336*$P1329,$L1332-1),MIN(P1325,$N1323),$P$20)))</f>
        <v>0</v>
      </c>
      <c r="Q1336" s="446">
        <f>IF($B1336="",0,IF(MIN(Q1325,$N1323)&lt;MAX($B1336*$P1329,$L1332-1),0,YEARFRAC(MAX($B1336*$P1329,$L1332-1),MIN(Q1325,$N1323),$P$20)))</f>
        <v>0</v>
      </c>
      <c r="R1336" s="452"/>
      <c r="S1336" s="452"/>
      <c r="T1336" s="452"/>
      <c r="U1336" s="452"/>
      <c r="V1336" s="452"/>
      <c r="W1336" s="452"/>
      <c r="X1336" s="452"/>
      <c r="Y1336" s="452"/>
      <c r="Z1336" s="452"/>
      <c r="AA1336" s="452"/>
      <c r="AB1336" s="452"/>
      <c r="AC1336" s="452"/>
      <c r="AD1336" s="452"/>
      <c r="AE1336" s="452"/>
      <c r="AF1336" s="452"/>
      <c r="AG1336" s="452"/>
      <c r="AH1336" s="452"/>
      <c r="AI1336" s="452"/>
      <c r="AJ1336" s="452"/>
      <c r="BB1336" s="447"/>
    </row>
    <row r="1337" spans="1:54" s="446" customFormat="1" ht="12.95" hidden="1" customHeight="1" x14ac:dyDescent="0.2">
      <c r="A1337" s="177"/>
      <c r="B1337" s="236"/>
      <c r="C1337" s="29" t="str">
        <f ca="1">IF(AND(B1337&gt;0,L$1330=$BL$25),VLOOKUP(DATE(YEAR(N$1323),MONTH(N$1323)-1,1),ÍNDICES!$A:$DE,HLOOKUP($BL$25,ÍNDICES!$B$3:$T$4,2)+11)-VLOOKUP(B1337,ÍNDICES!$A:$DE,HLOOKUP($BL$25,ÍNDICES!$B$3:$T$4,2)+11)+1%,IF(ISERROR(VLOOKUP(DATE(YEAR(B1337),MONTH(B1337)+IF($C$1321=$S$23,1,0),1),ÍNDICES!$A:$DE,$V$1326+1)),"",VLOOKUP(DATE(YEAR(B1337),MONTH(B1337)+IF($C$1321=$S$23,1,0),1),ÍNDICES!$A:$DE,$V$1326+1)))</f>
        <v/>
      </c>
      <c r="D1337" s="155"/>
      <c r="E1337" s="552"/>
      <c r="F1337" s="552"/>
      <c r="G1337" s="552"/>
      <c r="H1337" s="552"/>
      <c r="I1337" s="552"/>
      <c r="J1337" s="5" t="str">
        <f>IF(L1330=$BL$25,D1337,IF(D1337="","",D1337/C1337*J$1330))</f>
        <v/>
      </c>
      <c r="K1337" s="5" t="str">
        <f t="shared" si="185"/>
        <v/>
      </c>
      <c r="L1337" s="5" t="str">
        <f ca="1">IF(L1330=$BL$25,K1337*IF(C1337="",0,C1337),IF(ISERROR((K1337)*SUMPRODUCT($P$37:$BA$37,$P1337:$BA1337)),IF(K1337="","",0),(K1337)*SUMPRODUCT($P$37:$BA$37,$P1337:$BA1337)))</f>
        <v/>
      </c>
      <c r="M1337" s="64">
        <f t="shared" si="184"/>
        <v>0</v>
      </c>
      <c r="N1337" s="5" t="str">
        <f t="shared" ca="1" si="186"/>
        <v/>
      </c>
      <c r="O1337" s="5" t="str">
        <f t="shared" ca="1" si="187"/>
        <v/>
      </c>
      <c r="P1337" s="446">
        <f>IF($B1337="",0,IF(MIN(P1325,$N1323)&lt;MAX($B1337*$P1329,$L1332-1),0,YEARFRAC(MAX($B1337*$P1329,$L1332-1),MIN(P1325,$N1323),$P$20)))</f>
        <v>0</v>
      </c>
      <c r="Q1337" s="446">
        <f>IF($B1337="",0,IF(MIN(Q1325,$N1323)&lt;MAX($B1337*$P1329,$L1332-1),0,YEARFRAC(MAX($B1337*$P1329,$L1332-1),MIN(Q1325,$N1323),$P$20)))</f>
        <v>0</v>
      </c>
      <c r="BB1337" s="447"/>
    </row>
    <row r="1338" spans="1:54" s="446" customFormat="1" ht="12.95" hidden="1" customHeight="1" x14ac:dyDescent="0.2">
      <c r="A1338" s="177"/>
      <c r="B1338" s="236"/>
      <c r="C1338" s="29" t="str">
        <f ca="1">IF(AND(B1338&gt;0,L$1330=$BL$25),VLOOKUP(DATE(YEAR(N$1323),MONTH(N$1323)-1,1),ÍNDICES!$A:$DE,HLOOKUP($BL$25,ÍNDICES!$B$3:$T$4,2)+11)-VLOOKUP(B1338,ÍNDICES!$A:$DE,HLOOKUP($BL$25,ÍNDICES!$B$3:$T$4,2)+11)+1%,IF(ISERROR(VLOOKUP(DATE(YEAR(B1338),MONTH(B1338)+IF($C$1321=$S$23,1,0),1),ÍNDICES!$A:$DE,$V$1326+1)),"",VLOOKUP(DATE(YEAR(B1338),MONTH(B1338)+IF($C$1321=$S$23,1,0),1),ÍNDICES!$A:$DE,$V$1326+1)))</f>
        <v/>
      </c>
      <c r="D1338" s="155"/>
      <c r="E1338" s="552"/>
      <c r="F1338" s="552"/>
      <c r="G1338" s="552"/>
      <c r="H1338" s="552"/>
      <c r="I1338" s="552"/>
      <c r="J1338" s="5" t="str">
        <f>IF(L1330=$BL$25,D1338,IF(D1338="","",D1338/C1338*J$1330))</f>
        <v/>
      </c>
      <c r="K1338" s="5" t="str">
        <f t="shared" si="185"/>
        <v/>
      </c>
      <c r="L1338" s="5" t="str">
        <f ca="1">IF(L1330=$BL$25,K1338*IF(C1338="",0,C1338),IF(ISERROR((K1338)*SUMPRODUCT($P$37:$BA$37,$P1338:$BA1338)),IF(K1338="","",0),(K1338)*SUMPRODUCT($P$37:$BA$37,$P1338:$BA1338)))</f>
        <v/>
      </c>
      <c r="M1338" s="64">
        <f t="shared" si="184"/>
        <v>0</v>
      </c>
      <c r="N1338" s="5" t="str">
        <f t="shared" ca="1" si="186"/>
        <v/>
      </c>
      <c r="O1338" s="5" t="str">
        <f t="shared" ca="1" si="187"/>
        <v/>
      </c>
      <c r="P1338" s="446">
        <f>IF($B1338="",0,IF(MIN(P1325,$N1323)&lt;MAX($B1338*$P1329,$L1332-1),0,YEARFRAC(MAX($B1338*$P1329,$L1332-1),MIN(P1325,$N1323),$P$20)))</f>
        <v>0</v>
      </c>
      <c r="Q1338" s="446">
        <f>IF($B1338="",0,IF(MIN(Q1325,$N1323)&lt;MAX($B1338*$P1329,$L1332-1),0,YEARFRAC(MAX($B1338*$P1329,$L1332-1),MIN(Q1325,$N1323),$P$20)))</f>
        <v>0</v>
      </c>
      <c r="BB1338" s="447"/>
    </row>
    <row r="1339" spans="1:54" s="446" customFormat="1" ht="12.95" hidden="1" customHeight="1" x14ac:dyDescent="0.2">
      <c r="A1339" s="177"/>
      <c r="B1339" s="236"/>
      <c r="C1339" s="29" t="str">
        <f ca="1">IF(AND(B1339&gt;0,L$1330=$BL$25),VLOOKUP(DATE(YEAR(N$1323),MONTH(N$1323)-1,1),ÍNDICES!$A:$DE,HLOOKUP($BL$25,ÍNDICES!$B$3:$T$4,2)+11)-VLOOKUP(B1339,ÍNDICES!$A:$DE,HLOOKUP($BL$25,ÍNDICES!$B$3:$T$4,2)+11)+1%,IF(ISERROR(VLOOKUP(DATE(YEAR(B1339),MONTH(B1339)+IF($C$1321=$S$23,1,0),1),ÍNDICES!$A:$DE,$V$1326+1)),"",VLOOKUP(DATE(YEAR(B1339),MONTH(B1339)+IF($C$1321=$S$23,1,0),1),ÍNDICES!$A:$DE,$V$1326+1)))</f>
        <v/>
      </c>
      <c r="D1339" s="155"/>
      <c r="E1339" s="552"/>
      <c r="F1339" s="552"/>
      <c r="G1339" s="552"/>
      <c r="H1339" s="552"/>
      <c r="I1339" s="552"/>
      <c r="J1339" s="5" t="str">
        <f>IF(L1330=$BL$25,D1339,IF(D1339="","",D1339/C1339*J$1330))</f>
        <v/>
      </c>
      <c r="K1339" s="5" t="str">
        <f t="shared" si="185"/>
        <v/>
      </c>
      <c r="L1339" s="5" t="str">
        <f ca="1">IF(L1330=$BL$25,K1339*IF(C1339="",0,C1339),IF(ISERROR((K1339)*SUMPRODUCT($P$37:$BA$37,$P1339:$BA1339)),IF(K1339="","",0),(K1339)*SUMPRODUCT($P$37:$BA$37,$P1339:$BA1339)))</f>
        <v/>
      </c>
      <c r="M1339" s="64">
        <f t="shared" si="184"/>
        <v>0</v>
      </c>
      <c r="N1339" s="5" t="str">
        <f t="shared" ca="1" si="186"/>
        <v/>
      </c>
      <c r="O1339" s="5" t="str">
        <f t="shared" ca="1" si="187"/>
        <v/>
      </c>
      <c r="P1339" s="446">
        <f>IF($B1339="",0,IF(MIN(P1325,$N1323)&lt;MAX($B1339*$P1329,$L1332-1),0,YEARFRAC(MAX($B1339*$P1329,$L1332-1),MIN(P1325,$N1323),$P$20)))</f>
        <v>0</v>
      </c>
      <c r="Q1339" s="446">
        <f>IF($B1339="",0,IF(MIN(Q1325,$N1323)&lt;MAX($B1339*$P1329,$L1332-1),0,YEARFRAC(MAX($B1339*$P1329,$L1332-1),MIN(Q1325,$N1323),$P$20)))</f>
        <v>0</v>
      </c>
      <c r="BB1339" s="447"/>
    </row>
    <row r="1340" spans="1:54" s="446" customFormat="1" ht="12.95" hidden="1" customHeight="1" x14ac:dyDescent="0.2">
      <c r="A1340" s="177"/>
      <c r="B1340" s="236"/>
      <c r="C1340" s="29" t="str">
        <f ca="1">IF(AND(B1340&gt;0,L$1330=$BL$25),VLOOKUP(DATE(YEAR(N$1323),MONTH(N$1323)-1,1),ÍNDICES!$A:$DE,HLOOKUP($BL$25,ÍNDICES!$B$3:$T$4,2)+11)-VLOOKUP(B1340,ÍNDICES!$A:$DE,HLOOKUP($BL$25,ÍNDICES!$B$3:$T$4,2)+11)+1%,IF(ISERROR(VLOOKUP(DATE(YEAR(B1340),MONTH(B1340)+IF($C$1321=$S$23,1,0),1),ÍNDICES!$A:$DE,$V$1326+1)),"",VLOOKUP(DATE(YEAR(B1340),MONTH(B1340)+IF($C$1321=$S$23,1,0),1),ÍNDICES!$A:$DE,$V$1326+1)))</f>
        <v/>
      </c>
      <c r="D1340" s="155"/>
      <c r="E1340" s="552"/>
      <c r="F1340" s="552"/>
      <c r="G1340" s="552"/>
      <c r="H1340" s="552"/>
      <c r="I1340" s="552"/>
      <c r="J1340" s="5" t="str">
        <f>IF(L1330=$BL$25,D1340,IF(D1340="","",D1340/C1340*J$1330))</f>
        <v/>
      </c>
      <c r="K1340" s="5" t="str">
        <f t="shared" si="185"/>
        <v/>
      </c>
      <c r="L1340" s="5" t="str">
        <f ca="1">IF(L1330=$BL$25,K1340*IF(C1340="",0,C1340),IF(ISERROR((K1340)*SUMPRODUCT($P$37:$BA$37,$P1340:$BA1340)),IF(K1340="","",0),(K1340)*SUMPRODUCT($P$37:$BA$37,$P1340:$BA1340)))</f>
        <v/>
      </c>
      <c r="M1340" s="64">
        <f t="shared" si="184"/>
        <v>0</v>
      </c>
      <c r="N1340" s="5" t="str">
        <f t="shared" ca="1" si="186"/>
        <v/>
      </c>
      <c r="O1340" s="5" t="str">
        <f t="shared" ca="1" si="187"/>
        <v/>
      </c>
      <c r="P1340" s="446">
        <f>IF($B1340="",0,IF(MIN(P1325,$N1323)&lt;MAX($B1340*$P1329,$L1332-1),0,YEARFRAC(MAX($B1340*$P1329,$L1332-1),MIN(P1325,$N1323),$P$20)))</f>
        <v>0</v>
      </c>
      <c r="Q1340" s="446">
        <f>IF($B1340="",0,IF(MIN(Q1325,$N1323)&lt;MAX($B1340*$P1329,$L1332-1),0,YEARFRAC(MAX($B1340*$P1329,$L1332-1),MIN(Q1325,$N1323),$P$20)))</f>
        <v>0</v>
      </c>
      <c r="BB1340" s="447"/>
    </row>
    <row r="1341" spans="1:54" s="446" customFormat="1" ht="12.95" hidden="1" customHeight="1" x14ac:dyDescent="0.2">
      <c r="A1341" s="177"/>
      <c r="B1341" s="236"/>
      <c r="C1341" s="29" t="str">
        <f ca="1">IF(AND(B1341&gt;0,L$1330=$BL$25),VLOOKUP(DATE(YEAR(N$1323),MONTH(N$1323)-1,1),ÍNDICES!$A:$DE,HLOOKUP($BL$25,ÍNDICES!$B$3:$T$4,2)+11)-VLOOKUP(B1341,ÍNDICES!$A:$DE,HLOOKUP($BL$25,ÍNDICES!$B$3:$T$4,2)+11)+1%,IF(ISERROR(VLOOKUP(DATE(YEAR(B1341),MONTH(B1341)+IF($C$1321=$S$23,1,0),1),ÍNDICES!$A:$DE,$V$1326+1)),"",VLOOKUP(DATE(YEAR(B1341),MONTH(B1341)+IF($C$1321=$S$23,1,0),1),ÍNDICES!$A:$DE,$V$1326+1)))</f>
        <v/>
      </c>
      <c r="D1341" s="155"/>
      <c r="E1341" s="552"/>
      <c r="F1341" s="552"/>
      <c r="G1341" s="552"/>
      <c r="H1341" s="552"/>
      <c r="I1341" s="552"/>
      <c r="J1341" s="5" t="str">
        <f>IF(L1330=$BL$25,D1341,IF(D1341="","",D1341/C1341*J$1330))</f>
        <v/>
      </c>
      <c r="K1341" s="5" t="str">
        <f t="shared" si="185"/>
        <v/>
      </c>
      <c r="L1341" s="5" t="str">
        <f ca="1">IF(L1330=$BL$25,K1341*IF(C1341="",0,C1341),IF(ISERROR((K1341)*SUMPRODUCT($P$37:$BA$37,$P1341:$BA1341)),IF(K1341="","",0),(K1341)*SUMPRODUCT($P$37:$BA$37,$P1341:$BA1341)))</f>
        <v/>
      </c>
      <c r="M1341" s="64">
        <f t="shared" si="184"/>
        <v>0</v>
      </c>
      <c r="N1341" s="5" t="str">
        <f t="shared" ca="1" si="186"/>
        <v/>
      </c>
      <c r="O1341" s="5" t="str">
        <f t="shared" ca="1" si="187"/>
        <v/>
      </c>
      <c r="P1341" s="446">
        <f>IF($B1341="",0,IF(MIN(P1325,$N1323)&lt;MAX($B1341*$P1329,$L1332-1),0,YEARFRAC(MAX($B1341*$P1329,$L1332-1),MIN(P1325,$N1323),$P$20)))</f>
        <v>0</v>
      </c>
      <c r="Q1341" s="446">
        <f>IF($B1341="",0,IF(MIN(Q1325,$N1323)&lt;MAX($B1341*$P1329,$L1332-1),0,YEARFRAC(MAX($B1341*$P1329,$L1332-1),MIN(Q1325,$N1323),$P$20)))</f>
        <v>0</v>
      </c>
      <c r="BB1341" s="447"/>
    </row>
    <row r="1342" spans="1:54" s="446" customFormat="1" ht="12.95" hidden="1" customHeight="1" x14ac:dyDescent="0.2">
      <c r="A1342" s="177"/>
      <c r="B1342" s="236"/>
      <c r="C1342" s="29" t="str">
        <f ca="1">IF(AND(B1342&gt;0,L$1330=$BL$25),VLOOKUP(DATE(YEAR(N$1323),MONTH(N$1323)-1,1),ÍNDICES!$A:$DE,HLOOKUP($BL$25,ÍNDICES!$B$3:$T$4,2)+11)-VLOOKUP(B1342,ÍNDICES!$A:$DE,HLOOKUP($BL$25,ÍNDICES!$B$3:$T$4,2)+11)+1%,IF(ISERROR(VLOOKUP(DATE(YEAR(B1342),MONTH(B1342)+IF($C$1321=$S$23,1,0),1),ÍNDICES!$A:$DE,$V$1326+1)),"",VLOOKUP(DATE(YEAR(B1342),MONTH(B1342)+IF($C$1321=$S$23,1,0),1),ÍNDICES!$A:$DE,$V$1326+1)))</f>
        <v/>
      </c>
      <c r="D1342" s="155"/>
      <c r="E1342" s="552"/>
      <c r="F1342" s="552"/>
      <c r="G1342" s="552"/>
      <c r="H1342" s="552"/>
      <c r="I1342" s="552"/>
      <c r="J1342" s="5" t="str">
        <f>IF(L1330=$BL$25,D1342,IF(D1342="","",D1342/C1342*J$1330))</f>
        <v/>
      </c>
      <c r="K1342" s="5" t="str">
        <f t="shared" si="185"/>
        <v/>
      </c>
      <c r="L1342" s="5" t="str">
        <f ca="1">IF(L1330=$BL$25,K1342*IF(C1342="",0,C1342),IF(ISERROR((K1342)*SUMPRODUCT($P$37:$BA$37,$P1342:$BA1342)),IF(K1342="","",0),(K1342)*SUMPRODUCT($P$37:$BA$37,$P1342:$BA1342)))</f>
        <v/>
      </c>
      <c r="M1342" s="64">
        <f t="shared" si="184"/>
        <v>0</v>
      </c>
      <c r="N1342" s="5" t="str">
        <f t="shared" ca="1" si="186"/>
        <v/>
      </c>
      <c r="O1342" s="5" t="str">
        <f t="shared" ca="1" si="187"/>
        <v/>
      </c>
      <c r="P1342" s="446">
        <f>IF($B1342="",0,IF(MIN(P1325,$N1323)&lt;MAX($B1342*$P1329,$L1332-1),0,YEARFRAC(MAX($B1342*$P1329,$L1332-1),MIN(P1325,$N1323),$P$20)))</f>
        <v>0</v>
      </c>
      <c r="Q1342" s="446">
        <f>IF($B1342="",0,IF(MIN(Q1325,$N1323)&lt;MAX($B1342*$P1329,$L1332-1),0,YEARFRAC(MAX($B1342*$P1329,$L1332-1),MIN(Q1325,$N1323),$P$20)))</f>
        <v>0</v>
      </c>
      <c r="BB1342" s="447"/>
    </row>
    <row r="1343" spans="1:54" s="446" customFormat="1" ht="12.95" hidden="1" customHeight="1" x14ac:dyDescent="0.2">
      <c r="A1343" s="177"/>
      <c r="B1343" s="236"/>
      <c r="C1343" s="29" t="str">
        <f ca="1">IF(AND(B1343&gt;0,L$1330=$BL$25),VLOOKUP(DATE(YEAR(N$1323),MONTH(N$1323)-1,1),ÍNDICES!$A:$DE,HLOOKUP($BL$25,ÍNDICES!$B$3:$T$4,2)+11)-VLOOKUP(B1343,ÍNDICES!$A:$DE,HLOOKUP($BL$25,ÍNDICES!$B$3:$T$4,2)+11)+1%,IF(ISERROR(VLOOKUP(DATE(YEAR(B1343),MONTH(B1343)+IF($C$1321=$S$23,1,0),1),ÍNDICES!$A:$DE,$V$1326+1)),"",VLOOKUP(DATE(YEAR(B1343),MONTH(B1343)+IF($C$1321=$S$23,1,0),1),ÍNDICES!$A:$DE,$V$1326+1)))</f>
        <v/>
      </c>
      <c r="D1343" s="155"/>
      <c r="E1343" s="552"/>
      <c r="F1343" s="552"/>
      <c r="G1343" s="552"/>
      <c r="H1343" s="552"/>
      <c r="I1343" s="552"/>
      <c r="J1343" s="5" t="str">
        <f>IF(L1330=$BL$25,D1343,IF(D1343="","",D1343/C1343*J$1330))</f>
        <v/>
      </c>
      <c r="K1343" s="5" t="str">
        <f t="shared" si="185"/>
        <v/>
      </c>
      <c r="L1343" s="5" t="str">
        <f ca="1">IF(L1330=$BL$25,K1343*IF(C1343="",0,C1343),IF(ISERROR((K1343)*SUMPRODUCT($P$37:$BA$37,$P1343:$BA1343)),IF(K1343="","",0),(K1343)*SUMPRODUCT($P$37:$BA$37,$P1343:$BA1343)))</f>
        <v/>
      </c>
      <c r="M1343" s="64">
        <f t="shared" si="184"/>
        <v>0</v>
      </c>
      <c r="N1343" s="5" t="str">
        <f t="shared" ca="1" si="186"/>
        <v/>
      </c>
      <c r="O1343" s="5" t="str">
        <f t="shared" ca="1" si="187"/>
        <v/>
      </c>
      <c r="P1343" s="446">
        <f>IF($B1343="",0,IF(MIN(P1325,$N1323)&lt;MAX($B1343*$P1329,$L1332-1),0,YEARFRAC(MAX($B1343*$P1329,$L1332-1),MIN(P1325,$N1323),$P$20)))</f>
        <v>0</v>
      </c>
      <c r="Q1343" s="446">
        <f>IF($B1343="",0,IF(MIN(Q1325,$N1323)&lt;MAX($B1343*$P1329,$L1332-1),0,YEARFRAC(MAX($B1343*$P1329,$L1332-1),MIN(Q1325,$N1323),$P$20)))</f>
        <v>0</v>
      </c>
      <c r="BB1343" s="447"/>
    </row>
    <row r="1344" spans="1:54" s="446" customFormat="1" ht="12.95" hidden="1" customHeight="1" x14ac:dyDescent="0.2">
      <c r="A1344" s="177"/>
      <c r="B1344" s="236"/>
      <c r="C1344" s="29" t="str">
        <f ca="1">IF(AND(B1344&gt;0,L$1330=$BL$25),VLOOKUP(DATE(YEAR(N$1323),MONTH(N$1323)-1,1),ÍNDICES!$A:$DE,HLOOKUP($BL$25,ÍNDICES!$B$3:$T$4,2)+11)-VLOOKUP(B1344,ÍNDICES!$A:$DE,HLOOKUP($BL$25,ÍNDICES!$B$3:$T$4,2)+11)+1%,IF(ISERROR(VLOOKUP(DATE(YEAR(B1344),MONTH(B1344)+IF($C$1321=$S$23,1,0),1),ÍNDICES!$A:$DE,$V$1326+1)),"",VLOOKUP(DATE(YEAR(B1344),MONTH(B1344)+IF($C$1321=$S$23,1,0),1),ÍNDICES!$A:$DE,$V$1326+1)))</f>
        <v/>
      </c>
      <c r="D1344" s="155"/>
      <c r="E1344" s="552"/>
      <c r="F1344" s="552"/>
      <c r="G1344" s="552"/>
      <c r="H1344" s="552"/>
      <c r="I1344" s="552"/>
      <c r="J1344" s="5" t="str">
        <f>IF(L1330=$BL$25,D1344,IF(D1344="","",D1344/C1344*J$1330))</f>
        <v/>
      </c>
      <c r="K1344" s="5" t="str">
        <f t="shared" si="185"/>
        <v/>
      </c>
      <c r="L1344" s="5" t="str">
        <f ca="1">IF(L1330=$BL$25,K1344*IF(C1344="",0,C1344),IF(ISERROR((K1344)*SUMPRODUCT($P$37:$BA$37,$P1344:$BA1344)),IF(K1344="","",0),(K1344)*SUMPRODUCT($P$37:$BA$37,$P1344:$BA1344)))</f>
        <v/>
      </c>
      <c r="M1344" s="64">
        <f t="shared" si="184"/>
        <v>0</v>
      </c>
      <c r="N1344" s="5" t="str">
        <f t="shared" ca="1" si="186"/>
        <v/>
      </c>
      <c r="O1344" s="5" t="str">
        <f t="shared" ca="1" si="187"/>
        <v/>
      </c>
      <c r="P1344" s="446">
        <f>IF($B1344="",0,IF(MIN(P1325,$N1323)&lt;MAX($B1344*$P1329,$L1332-1),0,YEARFRAC(MAX($B1344*$P1329,$L1332-1),MIN(P1325,$N1323),$P$20)))</f>
        <v>0</v>
      </c>
      <c r="Q1344" s="446">
        <f>IF($B1344="",0,IF(MIN(Q1325,$N1323)&lt;MAX($B1344*$P1329,$L1332-1),0,YEARFRAC(MAX($B1344*$P1329,$L1332-1),MIN(Q1325,$N1323),$P$20)))</f>
        <v>0</v>
      </c>
      <c r="BB1344" s="447"/>
    </row>
    <row r="1345" spans="1:54" s="446" customFormat="1" ht="12.95" hidden="1" customHeight="1" x14ac:dyDescent="0.2">
      <c r="A1345" s="177"/>
      <c r="B1345" s="236"/>
      <c r="C1345" s="29" t="str">
        <f ca="1">IF(AND(B1345&gt;0,L$1330=$BL$25),VLOOKUP(DATE(YEAR(N$1323),MONTH(N$1323)-1,1),ÍNDICES!$A:$DE,HLOOKUP($BL$25,ÍNDICES!$B$3:$T$4,2)+11)-VLOOKUP(B1345,ÍNDICES!$A:$DE,HLOOKUP($BL$25,ÍNDICES!$B$3:$T$4,2)+11)+1%,IF(ISERROR(VLOOKUP(DATE(YEAR(B1345),MONTH(B1345)+IF($C$1321=$S$23,1,0),1),ÍNDICES!$A:$DE,$V$1326+1)),"",VLOOKUP(DATE(YEAR(B1345),MONTH(B1345)+IF($C$1321=$S$23,1,0),1),ÍNDICES!$A:$DE,$V$1326+1)))</f>
        <v/>
      </c>
      <c r="D1345" s="155"/>
      <c r="E1345" s="552"/>
      <c r="F1345" s="552"/>
      <c r="G1345" s="552"/>
      <c r="H1345" s="552"/>
      <c r="I1345" s="552"/>
      <c r="J1345" s="5" t="str">
        <f>IF(L1330=$BL$25,D1345,IF(D1345="","",D1345/C1345*J$1330))</f>
        <v/>
      </c>
      <c r="K1345" s="5" t="str">
        <f t="shared" si="185"/>
        <v/>
      </c>
      <c r="L1345" s="5" t="str">
        <f ca="1">IF(L1330=$BL$25,K1345*IF(C1345="",0,C1345),IF(ISERROR((K1345)*SUMPRODUCT($P$37:$BA$37,$P1345:$BA1345)),IF(K1345="","",0),(K1345)*SUMPRODUCT($P$37:$BA$37,$P1345:$BA1345)))</f>
        <v/>
      </c>
      <c r="M1345" s="64">
        <f t="shared" si="184"/>
        <v>0</v>
      </c>
      <c r="N1345" s="5" t="str">
        <f t="shared" ca="1" si="186"/>
        <v/>
      </c>
      <c r="O1345" s="5" t="str">
        <f t="shared" ca="1" si="187"/>
        <v/>
      </c>
      <c r="P1345" s="446">
        <f>IF($B1345="",0,IF(MIN(P1325,$N1323)&lt;MAX($B1345*$P1329,$L1332-1),0,YEARFRAC(MAX($B1345*$P1329,$L1332-1),MIN(P1325,$N1323),$P$20)))</f>
        <v>0</v>
      </c>
      <c r="Q1345" s="446">
        <f>IF($B1345="",0,IF(MIN(Q1325,$N1323)&lt;MAX($B1345*$P1329,$L1332-1),0,YEARFRAC(MAX($B1345*$P1329,$L1332-1),MIN(Q1325,$N1323),$P$20)))</f>
        <v>0</v>
      </c>
      <c r="BB1345" s="447"/>
    </row>
    <row r="1346" spans="1:54" s="446" customFormat="1" ht="12.95" hidden="1" customHeight="1" x14ac:dyDescent="0.2">
      <c r="A1346" s="177"/>
      <c r="B1346" s="236"/>
      <c r="C1346" s="29" t="str">
        <f ca="1">IF(AND(B1346&gt;0,L$1330=$BL$25),VLOOKUP(DATE(YEAR(N$1323),MONTH(N$1323)-1,1),ÍNDICES!$A:$DE,HLOOKUP($BL$25,ÍNDICES!$B$3:$T$4,2)+11)-VLOOKUP(B1346,ÍNDICES!$A:$DE,HLOOKUP($BL$25,ÍNDICES!$B$3:$T$4,2)+11)+1%,IF(ISERROR(VLOOKUP(DATE(YEAR(B1346),MONTH(B1346)+IF($C$1321=$S$23,1,0),1),ÍNDICES!$A:$DE,$V$1326+1)),"",VLOOKUP(DATE(YEAR(B1346),MONTH(B1346)+IF($C$1321=$S$23,1,0),1),ÍNDICES!$A:$DE,$V$1326+1)))</f>
        <v/>
      </c>
      <c r="D1346" s="155"/>
      <c r="E1346" s="552"/>
      <c r="F1346" s="552"/>
      <c r="G1346" s="552"/>
      <c r="H1346" s="552"/>
      <c r="I1346" s="552"/>
      <c r="J1346" s="5" t="str">
        <f>IF(L1330=$BL$25,D1346,IF(D1346="","",D1346/C1346*J$1330))</f>
        <v/>
      </c>
      <c r="K1346" s="5" t="str">
        <f t="shared" si="185"/>
        <v/>
      </c>
      <c r="L1346" s="5" t="str">
        <f ca="1">IF(L1330=$BL$25,K1346*IF(C1346="",0,C1346),IF(ISERROR((K1346)*SUMPRODUCT($P$37:$BA$37,$P1346:$BA1346)),IF(K1346="","",0),(K1346)*SUMPRODUCT($P$37:$BA$37,$P1346:$BA1346)))</f>
        <v/>
      </c>
      <c r="M1346" s="64">
        <f t="shared" si="184"/>
        <v>0</v>
      </c>
      <c r="N1346" s="5" t="str">
        <f t="shared" ca="1" si="186"/>
        <v/>
      </c>
      <c r="O1346" s="5" t="str">
        <f t="shared" ca="1" si="187"/>
        <v/>
      </c>
      <c r="P1346" s="446">
        <f>IF($B1346="",0,IF(MIN(P1325,$N1323)&lt;MAX($B1346*$P1329,$L1332-1),0,YEARFRAC(MAX($B1346*$P1329,$L1332-1),MIN(P1325,$N1323),$P$20)))</f>
        <v>0</v>
      </c>
      <c r="Q1346" s="446">
        <f>IF($B1346="",0,IF(MIN(Q1325,$N1323)&lt;MAX($B1346*$P1329,$L1332-1),0,YEARFRAC(MAX($B1346*$P1329,$L1332-1),MIN(Q1325,$N1323),$P$20)))</f>
        <v>0</v>
      </c>
      <c r="BB1346" s="447"/>
    </row>
    <row r="1347" spans="1:54" s="446" customFormat="1" ht="12.95" hidden="1" customHeight="1" x14ac:dyDescent="0.2">
      <c r="A1347" s="177"/>
      <c r="B1347" s="236"/>
      <c r="C1347" s="29" t="str">
        <f ca="1">IF(AND(B1347&gt;0,L$1330=$BL$25),VLOOKUP(DATE(YEAR(N$1323),MONTH(N$1323)-1,1),ÍNDICES!$A:$DE,HLOOKUP($BL$25,ÍNDICES!$B$3:$T$4,2)+11)-VLOOKUP(B1347,ÍNDICES!$A:$DE,HLOOKUP($BL$25,ÍNDICES!$B$3:$T$4,2)+11)+1%,IF(ISERROR(VLOOKUP(DATE(YEAR(B1347),MONTH(B1347)+IF($C$1321=$S$23,1,0),1),ÍNDICES!$A:$DE,$V$1326+1)),"",VLOOKUP(DATE(YEAR(B1347),MONTH(B1347)+IF($C$1321=$S$23,1,0),1),ÍNDICES!$A:$DE,$V$1326+1)))</f>
        <v/>
      </c>
      <c r="D1347" s="155"/>
      <c r="E1347" s="566"/>
      <c r="F1347" s="567"/>
      <c r="G1347" s="567"/>
      <c r="H1347" s="567"/>
      <c r="I1347" s="568"/>
      <c r="J1347" s="5" t="str">
        <f>IF(L1330=$BL$25,D1347,IF(D1347="","",D1347/C1347*J$1330))</f>
        <v/>
      </c>
      <c r="K1347" s="5" t="str">
        <f t="shared" si="185"/>
        <v/>
      </c>
      <c r="L1347" s="5" t="str">
        <f ca="1">IF(L1330=$BL$25,K1347*IF(C1347="",0,C1347),IF(ISERROR((K1347)*SUMPRODUCT($P$37:$BA$37,$P1347:$BA1347)),IF(K1347="","",0),(K1347)*SUMPRODUCT($P$37:$BA$37,$P1347:$BA1347)))</f>
        <v/>
      </c>
      <c r="M1347" s="64">
        <f t="shared" si="184"/>
        <v>0</v>
      </c>
      <c r="N1347" s="5" t="str">
        <f t="shared" ca="1" si="186"/>
        <v/>
      </c>
      <c r="O1347" s="5" t="str">
        <f t="shared" ca="1" si="187"/>
        <v/>
      </c>
      <c r="P1347" s="446">
        <f>IF($B1347="",0,IF(MIN(P1325,$N1323)&lt;MAX($B1347*$P1329,$L1332-1),0,YEARFRAC(MAX($B1347*$P1329,$L1332-1),MIN(P1325,$N1323),$P$20)))</f>
        <v>0</v>
      </c>
      <c r="Q1347" s="446">
        <f>IF($B1347="",0,IF(MIN(Q1325,$N1323)&lt;MAX($B1347*$P1329,$L1332-1),0,YEARFRAC(MAX($B1347*$P1329,$L1332-1),MIN(Q1325,$N1323),$P$20)))</f>
        <v>0</v>
      </c>
      <c r="BB1347" s="447"/>
    </row>
    <row r="1348" spans="1:54" s="446" customFormat="1" ht="12.95" hidden="1" customHeight="1" x14ac:dyDescent="0.2">
      <c r="A1348" s="177"/>
      <c r="B1348" s="236"/>
      <c r="C1348" s="29" t="str">
        <f ca="1">IF(AND(B1348&gt;0,L$1330=$BL$25),VLOOKUP(DATE(YEAR(N$1323),MONTH(N$1323)-1,1),ÍNDICES!$A:$DE,HLOOKUP($BL$25,ÍNDICES!$B$3:$T$4,2)+11)-VLOOKUP(B1348,ÍNDICES!$A:$DE,HLOOKUP($BL$25,ÍNDICES!$B$3:$T$4,2)+11)+1%,IF(ISERROR(VLOOKUP(DATE(YEAR(B1348),MONTH(B1348)+IF($C$1321=$S$23,1,0),1),ÍNDICES!$A:$DE,$V$1326+1)),"",VLOOKUP(DATE(YEAR(B1348),MONTH(B1348)+IF($C$1321=$S$23,1,0),1),ÍNDICES!$A:$DE,$V$1326+1)))</f>
        <v/>
      </c>
      <c r="D1348" s="155"/>
      <c r="E1348" s="566"/>
      <c r="F1348" s="567"/>
      <c r="G1348" s="567"/>
      <c r="H1348" s="567"/>
      <c r="I1348" s="568"/>
      <c r="J1348" s="5" t="str">
        <f>IF(L1330=$BL$25,D1348,IF(D1348="","",D1348/C1348*J$1330))</f>
        <v/>
      </c>
      <c r="K1348" s="5" t="str">
        <f t="shared" si="185"/>
        <v/>
      </c>
      <c r="L1348" s="5" t="str">
        <f ca="1">IF(L1330=$BL$25,K1348*IF(C1348="",0,C1348),IF(ISERROR((K1348)*SUMPRODUCT($P$37:$BA$37,$P1348:$BA1348)),IF(K1348="","",0),(K1348)*SUMPRODUCT($P$37:$BA$37,$P1348:$BA1348)))</f>
        <v/>
      </c>
      <c r="M1348" s="64">
        <f t="shared" si="184"/>
        <v>0</v>
      </c>
      <c r="N1348" s="5" t="str">
        <f t="shared" ca="1" si="186"/>
        <v/>
      </c>
      <c r="O1348" s="5" t="str">
        <f t="shared" ca="1" si="187"/>
        <v/>
      </c>
      <c r="P1348" s="446">
        <f>IF($B1348="",0,IF(MIN(P1325,$N1323)&lt;MAX($B1348*$P1329,$L1332-1),0,YEARFRAC(MAX($B1348*$P1329,$L1332-1),MIN(P1325,$N1323),$P$20)))</f>
        <v>0</v>
      </c>
      <c r="Q1348" s="446">
        <f>IF($B1348="",0,IF(MIN(Q1325,$N1323)&lt;MAX($B1348*$P1329,$L1332-1),0,YEARFRAC(MAX($B1348*$P1329,$L1332-1),MIN(Q1325,$N1323),$P$20)))</f>
        <v>0</v>
      </c>
      <c r="BB1348" s="447"/>
    </row>
    <row r="1349" spans="1:54" s="446" customFormat="1" ht="12.95" hidden="1" customHeight="1" x14ac:dyDescent="0.2">
      <c r="A1349" s="177"/>
      <c r="B1349" s="236"/>
      <c r="C1349" s="29" t="str">
        <f ca="1">IF(AND(B1349&gt;0,L$1330=$BL$25),VLOOKUP(DATE(YEAR(N$1323),MONTH(N$1323)-1,1),ÍNDICES!$A:$DE,HLOOKUP($BL$25,ÍNDICES!$B$3:$T$4,2)+11)-VLOOKUP(B1349,ÍNDICES!$A:$DE,HLOOKUP($BL$25,ÍNDICES!$B$3:$T$4,2)+11)+1%,IF(ISERROR(VLOOKUP(DATE(YEAR(B1349),MONTH(B1349)+IF($C$1321=$S$23,1,0),1),ÍNDICES!$A:$DE,$V$1326+1)),"",VLOOKUP(DATE(YEAR(B1349),MONTH(B1349)+IF($C$1321=$S$23,1,0),1),ÍNDICES!$A:$DE,$V$1326+1)))</f>
        <v/>
      </c>
      <c r="D1349" s="155"/>
      <c r="E1349" s="566"/>
      <c r="F1349" s="567"/>
      <c r="G1349" s="567"/>
      <c r="H1349" s="567"/>
      <c r="I1349" s="568"/>
      <c r="J1349" s="5" t="str">
        <f>IF(L1330=$BL$25,D1349,IF(D1349="","",D1349/C1349*J$1330))</f>
        <v/>
      </c>
      <c r="K1349" s="5" t="str">
        <f t="shared" si="185"/>
        <v/>
      </c>
      <c r="L1349" s="361"/>
      <c r="M1349" s="362"/>
      <c r="N1349" s="361"/>
      <c r="O1349" s="361"/>
      <c r="BB1349" s="447"/>
    </row>
    <row r="1350" spans="1:54" s="446" customFormat="1" ht="12.95" hidden="1" customHeight="1" x14ac:dyDescent="0.2">
      <c r="A1350" s="177"/>
      <c r="B1350" s="236"/>
      <c r="C1350" s="29" t="str">
        <f ca="1">IF(AND(B1350&gt;0,L$1330=$BL$25),VLOOKUP(DATE(YEAR(N$1323),MONTH(N$1323)-1,1),ÍNDICES!$A:$DE,HLOOKUP($BL$25,ÍNDICES!$B$3:$T$4,2)+11)-VLOOKUP(B1350,ÍNDICES!$A:$DE,HLOOKUP($BL$25,ÍNDICES!$B$3:$T$4,2)+11)+1%,IF(ISERROR(VLOOKUP(DATE(YEAR(B1350),MONTH(B1350)+IF($C$1321=$S$23,1,0),1),ÍNDICES!$A:$DE,$V$1326+1)),"",VLOOKUP(DATE(YEAR(B1350),MONTH(B1350)+IF($C$1321=$S$23,1,0),1),ÍNDICES!$A:$DE,$V$1326+1)))</f>
        <v/>
      </c>
      <c r="D1350" s="155"/>
      <c r="E1350" s="566"/>
      <c r="F1350" s="567"/>
      <c r="G1350" s="567"/>
      <c r="H1350" s="567"/>
      <c r="I1350" s="568"/>
      <c r="J1350" s="5" t="str">
        <f>IF(L1330=$BL$25,D1350,IF(D1350="","",D1350/C1350*J$1330))</f>
        <v/>
      </c>
      <c r="K1350" s="5" t="str">
        <f t="shared" si="185"/>
        <v/>
      </c>
      <c r="L1350" s="361"/>
      <c r="M1350" s="362"/>
      <c r="N1350" s="361"/>
      <c r="O1350" s="361"/>
      <c r="BB1350" s="447"/>
    </row>
    <row r="1351" spans="1:54" s="446" customFormat="1" ht="12.95" hidden="1" customHeight="1" x14ac:dyDescent="0.2">
      <c r="A1351" s="177"/>
      <c r="B1351" s="236"/>
      <c r="C1351" s="29" t="str">
        <f ca="1">IF(AND(B1351&gt;0,L$1330=$BL$25),VLOOKUP(DATE(YEAR(N$1323),MONTH(N$1323)-1,1),ÍNDICES!$A:$DE,HLOOKUP($BL$25,ÍNDICES!$B$3:$T$4,2)+11)-VLOOKUP(B1351,ÍNDICES!$A:$DE,HLOOKUP($BL$25,ÍNDICES!$B$3:$T$4,2)+11)+1%,IF(ISERROR(VLOOKUP(DATE(YEAR(B1351),MONTH(B1351)+IF($C$1321=$S$23,1,0),1),ÍNDICES!$A:$DE,$V$1326+1)),"",VLOOKUP(DATE(YEAR(B1351),MONTH(B1351)+IF($C$1321=$S$23,1,0),1),ÍNDICES!$A:$DE,$V$1326+1)))</f>
        <v/>
      </c>
      <c r="D1351" s="155"/>
      <c r="E1351" s="566"/>
      <c r="F1351" s="567"/>
      <c r="G1351" s="567"/>
      <c r="H1351" s="567"/>
      <c r="I1351" s="568"/>
      <c r="J1351" s="5" t="str">
        <f>IF(L1330=$BL$25,D1351,IF(D1351="","",D1351/C1351*J$1330))</f>
        <v/>
      </c>
      <c r="K1351" s="5" t="str">
        <f t="shared" si="185"/>
        <v/>
      </c>
      <c r="L1351" s="361"/>
      <c r="M1351" s="362"/>
      <c r="N1351" s="361"/>
      <c r="O1351" s="361"/>
      <c r="BB1351" s="447"/>
    </row>
    <row r="1352" spans="1:54" s="446" customFormat="1" ht="12.95" hidden="1" customHeight="1" x14ac:dyDescent="0.2">
      <c r="A1352" s="177"/>
      <c r="B1352" s="236"/>
      <c r="C1352" s="29" t="str">
        <f ca="1">IF(AND(B1352&gt;0,L$1330=$BL$25),VLOOKUP(DATE(YEAR(N$1323),MONTH(N$1323)-1,1),ÍNDICES!$A:$DE,HLOOKUP($BL$25,ÍNDICES!$B$3:$T$4,2)+11)-VLOOKUP(B1352,ÍNDICES!$A:$DE,HLOOKUP($BL$25,ÍNDICES!$B$3:$T$4,2)+11)+1%,IF(ISERROR(VLOOKUP(DATE(YEAR(B1352),MONTH(B1352)+IF($C$1321=$S$23,1,0),1),ÍNDICES!$A:$DE,$V$1326+1)),"",VLOOKUP(DATE(YEAR(B1352),MONTH(B1352)+IF($C$1321=$S$23,1,0),1),ÍNDICES!$A:$DE,$V$1326+1)))</f>
        <v/>
      </c>
      <c r="D1352" s="155"/>
      <c r="E1352" s="566"/>
      <c r="F1352" s="567"/>
      <c r="G1352" s="567"/>
      <c r="H1352" s="567"/>
      <c r="I1352" s="568"/>
      <c r="J1352" s="5" t="str">
        <f>IF(L1330=$BL$25,D1352,IF(D1352="","",D1352/C1352*J$1330))</f>
        <v/>
      </c>
      <c r="K1352" s="5" t="str">
        <f t="shared" si="185"/>
        <v/>
      </c>
      <c r="L1352" s="361"/>
      <c r="M1352" s="362"/>
      <c r="N1352" s="361"/>
      <c r="O1352" s="361"/>
      <c r="BB1352" s="447"/>
    </row>
    <row r="1353" spans="1:54" s="446" customFormat="1" ht="12.95" hidden="1" customHeight="1" x14ac:dyDescent="0.2">
      <c r="A1353" s="177"/>
      <c r="B1353" s="236"/>
      <c r="C1353" s="29" t="str">
        <f ca="1">IF(AND(B1353&gt;0,L$1330=$BL$25),VLOOKUP(DATE(YEAR(N$1323),MONTH(N$1323)-1,1),ÍNDICES!$A:$DE,HLOOKUP($BL$25,ÍNDICES!$B$3:$T$4,2)+11)-VLOOKUP(B1353,ÍNDICES!$A:$DE,HLOOKUP($BL$25,ÍNDICES!$B$3:$T$4,2)+11)+1%,IF(ISERROR(VLOOKUP(DATE(YEAR(B1353),MONTH(B1353)+IF($C$1321=$S$23,1,0),1),ÍNDICES!$A:$DE,$V$1326+1)),"",VLOOKUP(DATE(YEAR(B1353),MONTH(B1353)+IF($C$1321=$S$23,1,0),1),ÍNDICES!$A:$DE,$V$1326+1)))</f>
        <v/>
      </c>
      <c r="D1353" s="155"/>
      <c r="E1353" s="566"/>
      <c r="F1353" s="567"/>
      <c r="G1353" s="567"/>
      <c r="H1353" s="567"/>
      <c r="I1353" s="568"/>
      <c r="J1353" s="5" t="str">
        <f>IF(L1330=$BL$25,D1353,IF(D1353="","",D1353/C1353*J$1330))</f>
        <v/>
      </c>
      <c r="K1353" s="5" t="str">
        <f t="shared" si="185"/>
        <v/>
      </c>
      <c r="L1353" s="361"/>
      <c r="M1353" s="362"/>
      <c r="N1353" s="361"/>
      <c r="O1353" s="361"/>
      <c r="BB1353" s="447"/>
    </row>
    <row r="1354" spans="1:54" s="446" customFormat="1" ht="12.95" hidden="1" customHeight="1" x14ac:dyDescent="0.2">
      <c r="A1354" s="177"/>
      <c r="B1354" s="236"/>
      <c r="C1354" s="29" t="str">
        <f ca="1">IF(AND(B1354&gt;0,L$1330=$BL$25),VLOOKUP(DATE(YEAR(N$1323),MONTH(N$1323)-1,1),ÍNDICES!$A:$DE,HLOOKUP($BL$25,ÍNDICES!$B$3:$T$4,2)+11)-VLOOKUP(B1354,ÍNDICES!$A:$DE,HLOOKUP($BL$25,ÍNDICES!$B$3:$T$4,2)+11)+1%,IF(ISERROR(VLOOKUP(DATE(YEAR(B1354),MONTH(B1354)+IF($C$1321=$S$23,1,0),1),ÍNDICES!$A:$DE,$V$1326+1)),"",VLOOKUP(DATE(YEAR(B1354),MONTH(B1354)+IF($C$1321=$S$23,1,0),1),ÍNDICES!$A:$DE,$V$1326+1)))</f>
        <v/>
      </c>
      <c r="D1354" s="155"/>
      <c r="E1354" s="566"/>
      <c r="F1354" s="567"/>
      <c r="G1354" s="567"/>
      <c r="H1354" s="567"/>
      <c r="I1354" s="568"/>
      <c r="J1354" s="5" t="str">
        <f>IF(L1330=$BL$25,D1354,IF(D1354="","",D1354/C1354*J$1330))</f>
        <v/>
      </c>
      <c r="K1354" s="5" t="str">
        <f t="shared" si="185"/>
        <v/>
      </c>
      <c r="L1354" s="361"/>
      <c r="M1354" s="362"/>
      <c r="N1354" s="361"/>
      <c r="O1354" s="361"/>
      <c r="BB1354" s="447"/>
    </row>
    <row r="1355" spans="1:54" s="446" customFormat="1" ht="12.95" hidden="1" customHeight="1" x14ac:dyDescent="0.2">
      <c r="A1355" s="177"/>
      <c r="B1355" s="236"/>
      <c r="C1355" s="29" t="str">
        <f ca="1">IF(AND(B1355&gt;0,L$1330=$BL$25),VLOOKUP(DATE(YEAR(N$1323),MONTH(N$1323)-1,1),ÍNDICES!$A:$DE,HLOOKUP($BL$25,ÍNDICES!$B$3:$T$4,2)+11)-VLOOKUP(B1355,ÍNDICES!$A:$DE,HLOOKUP($BL$25,ÍNDICES!$B$3:$T$4,2)+11)+1%,IF(ISERROR(VLOOKUP(DATE(YEAR(B1355),MONTH(B1355)+IF($C$1321=$S$23,1,0),1),ÍNDICES!$A:$DE,$V$1326+1)),"",VLOOKUP(DATE(YEAR(B1355),MONTH(B1355)+IF($C$1321=$S$23,1,0),1),ÍNDICES!$A:$DE,$V$1326+1)))</f>
        <v/>
      </c>
      <c r="D1355" s="155"/>
      <c r="E1355" s="566"/>
      <c r="F1355" s="567"/>
      <c r="G1355" s="567"/>
      <c r="H1355" s="567"/>
      <c r="I1355" s="568"/>
      <c r="J1355" s="5" t="str">
        <f>IF(L1330=$BL$25,D1355,IF(D1355="","",D1355/C1355*J$1330))</f>
        <v/>
      </c>
      <c r="K1355" s="5" t="str">
        <f t="shared" si="185"/>
        <v/>
      </c>
      <c r="L1355" s="361"/>
      <c r="M1355" s="362"/>
      <c r="N1355" s="361"/>
      <c r="O1355" s="361"/>
      <c r="BB1355" s="447"/>
    </row>
    <row r="1356" spans="1:54" s="446" customFormat="1" ht="12.95" hidden="1" customHeight="1" x14ac:dyDescent="0.2">
      <c r="A1356" s="177"/>
      <c r="B1356" s="236"/>
      <c r="C1356" s="29" t="str">
        <f ca="1">IF(AND(B1356&gt;0,L$1330=$BL$25),VLOOKUP(DATE(YEAR(N$1323),MONTH(N$1323)-1,1),ÍNDICES!$A:$DE,HLOOKUP($BL$25,ÍNDICES!$B$3:$T$4,2)+11)-VLOOKUP(B1356,ÍNDICES!$A:$DE,HLOOKUP($BL$25,ÍNDICES!$B$3:$T$4,2)+11)+1%,IF(ISERROR(VLOOKUP(DATE(YEAR(B1356),MONTH(B1356)+IF($C$1321=$S$23,1,0),1),ÍNDICES!$A:$DE,$V$1326+1)),"",VLOOKUP(DATE(YEAR(B1356),MONTH(B1356)+IF($C$1321=$S$23,1,0),1),ÍNDICES!$A:$DE,$V$1326+1)))</f>
        <v/>
      </c>
      <c r="D1356" s="155"/>
      <c r="E1356" s="566"/>
      <c r="F1356" s="567"/>
      <c r="G1356" s="567"/>
      <c r="H1356" s="567"/>
      <c r="I1356" s="568"/>
      <c r="J1356" s="5" t="str">
        <f>IF(L1330=$BL$25,D1356,IF(D1356="","",D1356/C1356*J$1330))</f>
        <v/>
      </c>
      <c r="K1356" s="5" t="str">
        <f t="shared" si="185"/>
        <v/>
      </c>
      <c r="L1356" s="361"/>
      <c r="M1356" s="362"/>
      <c r="N1356" s="361"/>
      <c r="O1356" s="361"/>
      <c r="BB1356" s="447"/>
    </row>
    <row r="1357" spans="1:54" s="446" customFormat="1" ht="12.95" hidden="1" customHeight="1" x14ac:dyDescent="0.2">
      <c r="A1357" s="177"/>
      <c r="B1357" s="236"/>
      <c r="C1357" s="29" t="str">
        <f ca="1">IF(AND(B1357&gt;0,L$1330=$BL$25),VLOOKUP(DATE(YEAR(N$1323),MONTH(N$1323)-1,1),ÍNDICES!$A:$DE,HLOOKUP($BL$25,ÍNDICES!$B$3:$T$4,2)+11)-VLOOKUP(B1357,ÍNDICES!$A:$DE,HLOOKUP($BL$25,ÍNDICES!$B$3:$T$4,2)+11)+1%,IF(ISERROR(VLOOKUP(DATE(YEAR(B1357),MONTH(B1357)+IF($C$1321=$S$23,1,0),1),ÍNDICES!$A:$DE,$V$1326+1)),"",VLOOKUP(DATE(YEAR(B1357),MONTH(B1357)+IF($C$1321=$S$23,1,0),1),ÍNDICES!$A:$DE,$V$1326+1)))</f>
        <v/>
      </c>
      <c r="D1357" s="155"/>
      <c r="E1357" s="566"/>
      <c r="F1357" s="567"/>
      <c r="G1357" s="567"/>
      <c r="H1357" s="567"/>
      <c r="I1357" s="568"/>
      <c r="J1357" s="5" t="str">
        <f>IF(L1330=$BL$25,D1357,IF(D1357="","",D1357/C1357*J$1330))</f>
        <v/>
      </c>
      <c r="K1357" s="5" t="str">
        <f t="shared" si="185"/>
        <v/>
      </c>
      <c r="L1357" s="361"/>
      <c r="M1357" s="362"/>
      <c r="N1357" s="361"/>
      <c r="O1357" s="361"/>
      <c r="BB1357" s="447"/>
    </row>
    <row r="1358" spans="1:54" s="446" customFormat="1" ht="12.95" hidden="1" customHeight="1" x14ac:dyDescent="0.2">
      <c r="A1358" s="177"/>
      <c r="B1358" s="236"/>
      <c r="C1358" s="29" t="str">
        <f ca="1">IF(AND(B1358&gt;0,L$1330=$BL$25),VLOOKUP(DATE(YEAR(N$1323),MONTH(N$1323)-1,1),ÍNDICES!$A:$DE,HLOOKUP($BL$25,ÍNDICES!$B$3:$T$4,2)+11)-VLOOKUP(B1358,ÍNDICES!$A:$DE,HLOOKUP($BL$25,ÍNDICES!$B$3:$T$4,2)+11)+1%,IF(ISERROR(VLOOKUP(DATE(YEAR(B1358),MONTH(B1358)+IF($C$1321=$S$23,1,0),1),ÍNDICES!$A:$DE,$V$1326+1)),"",VLOOKUP(DATE(YEAR(B1358),MONTH(B1358)+IF($C$1321=$S$23,1,0),1),ÍNDICES!$A:$DE,$V$1326+1)))</f>
        <v/>
      </c>
      <c r="D1358" s="155"/>
      <c r="E1358" s="566"/>
      <c r="F1358" s="567"/>
      <c r="G1358" s="567"/>
      <c r="H1358" s="567"/>
      <c r="I1358" s="568"/>
      <c r="J1358" s="5" t="str">
        <f>IF(L1330=$BL$25,D1358,IF(D1358="","",D1358/C1358*J$1330))</f>
        <v/>
      </c>
      <c r="K1358" s="5" t="str">
        <f t="shared" si="185"/>
        <v/>
      </c>
      <c r="L1358" s="361"/>
      <c r="M1358" s="362"/>
      <c r="N1358" s="361"/>
      <c r="O1358" s="361"/>
      <c r="BB1358" s="447"/>
    </row>
    <row r="1359" spans="1:54" s="446" customFormat="1" ht="12.95" hidden="1" customHeight="1" x14ac:dyDescent="0.2">
      <c r="A1359" s="177"/>
      <c r="B1359" s="236"/>
      <c r="C1359" s="29" t="str">
        <f ca="1">IF(AND(B1359&gt;0,L$1330=$BL$25),VLOOKUP(DATE(YEAR(N$1323),MONTH(N$1323)-1,1),ÍNDICES!$A:$DE,HLOOKUP($BL$25,ÍNDICES!$B$3:$T$4,2)+11)-VLOOKUP(B1359,ÍNDICES!$A:$DE,HLOOKUP($BL$25,ÍNDICES!$B$3:$T$4,2)+11)+1%,IF(ISERROR(VLOOKUP(DATE(YEAR(B1359),MONTH(B1359)+IF($C$1321=$S$23,1,0),1),ÍNDICES!$A:$DE,$V$1326+1)),"",VLOOKUP(DATE(YEAR(B1359),MONTH(B1359)+IF($C$1321=$S$23,1,0),1),ÍNDICES!$A:$DE,$V$1326+1)))</f>
        <v/>
      </c>
      <c r="D1359" s="155"/>
      <c r="E1359" s="566"/>
      <c r="F1359" s="567"/>
      <c r="G1359" s="567"/>
      <c r="H1359" s="567"/>
      <c r="I1359" s="568"/>
      <c r="J1359" s="5" t="str">
        <f>IF(L1330=$BL$25,D1359,IF(D1359="","",D1359/C1359*J$1330))</f>
        <v/>
      </c>
      <c r="K1359" s="5" t="str">
        <f t="shared" si="185"/>
        <v/>
      </c>
      <c r="L1359" s="361"/>
      <c r="M1359" s="362"/>
      <c r="N1359" s="361"/>
      <c r="O1359" s="361"/>
      <c r="BB1359" s="447"/>
    </row>
    <row r="1360" spans="1:54" s="446" customFormat="1" ht="12.95" hidden="1" customHeight="1" x14ac:dyDescent="0.2">
      <c r="A1360" s="177"/>
      <c r="B1360" s="236"/>
      <c r="C1360" s="29" t="str">
        <f ca="1">IF(AND(B1360&gt;0,L$1330=$BL$25),VLOOKUP(DATE(YEAR(N$1323),MONTH(N$1323)-1,1),ÍNDICES!$A:$DE,HLOOKUP($BL$25,ÍNDICES!$B$3:$T$4,2)+11)-VLOOKUP(B1360,ÍNDICES!$A:$DE,HLOOKUP($BL$25,ÍNDICES!$B$3:$T$4,2)+11)+1%,IF(ISERROR(VLOOKUP(DATE(YEAR(B1360),MONTH(B1360)+IF($C$1321=$S$23,1,0),1),ÍNDICES!$A:$DE,$V$1326+1)),"",VLOOKUP(DATE(YEAR(B1360),MONTH(B1360)+IF($C$1321=$S$23,1,0),1),ÍNDICES!$A:$DE,$V$1326+1)))</f>
        <v/>
      </c>
      <c r="D1360" s="155"/>
      <c r="E1360" s="566"/>
      <c r="F1360" s="567"/>
      <c r="G1360" s="567"/>
      <c r="H1360" s="567"/>
      <c r="I1360" s="568"/>
      <c r="J1360" s="5" t="str">
        <f>IF(L1330=$BL$25,D1360,IF(D1360="","",D1360/C1360*J$1330))</f>
        <v/>
      </c>
      <c r="K1360" s="5" t="str">
        <f t="shared" si="185"/>
        <v/>
      </c>
      <c r="L1360" s="361"/>
      <c r="M1360" s="362"/>
      <c r="N1360" s="361"/>
      <c r="O1360" s="361"/>
      <c r="BB1360" s="447"/>
    </row>
    <row r="1361" spans="1:54" s="446" customFormat="1" ht="12.95" hidden="1" customHeight="1" x14ac:dyDescent="0.2">
      <c r="A1361" s="177"/>
      <c r="B1361" s="236"/>
      <c r="C1361" s="29" t="str">
        <f ca="1">IF(AND(B1361&gt;0,L$1330=$BL$25),VLOOKUP(DATE(YEAR(N$1323),MONTH(N$1323)-1,1),ÍNDICES!$A:$DE,HLOOKUP($BL$25,ÍNDICES!$B$3:$T$4,2)+11)-VLOOKUP(B1361,ÍNDICES!$A:$DE,HLOOKUP($BL$25,ÍNDICES!$B$3:$T$4,2)+11)+1%,IF(ISERROR(VLOOKUP(DATE(YEAR(B1361),MONTH(B1361)+IF($C$1321=$S$23,1,0),1),ÍNDICES!$A:$DE,$V$1326+1)),"",VLOOKUP(DATE(YEAR(B1361),MONTH(B1361)+IF($C$1321=$S$23,1,0),1),ÍNDICES!$A:$DE,$V$1326+1)))</f>
        <v/>
      </c>
      <c r="D1361" s="155"/>
      <c r="E1361" s="566"/>
      <c r="F1361" s="567"/>
      <c r="G1361" s="567"/>
      <c r="H1361" s="567"/>
      <c r="I1361" s="568"/>
      <c r="J1361" s="5" t="str">
        <f>IF(L1330=$BL$25,D1361,IF(D1361="","",D1361/C1361*J$1330))</f>
        <v/>
      </c>
      <c r="K1361" s="5" t="str">
        <f t="shared" si="185"/>
        <v/>
      </c>
      <c r="L1361" s="361"/>
      <c r="M1361" s="362"/>
      <c r="N1361" s="361"/>
      <c r="O1361" s="361"/>
      <c r="BB1361" s="447"/>
    </row>
    <row r="1362" spans="1:54" s="446" customFormat="1" ht="12.95" hidden="1" customHeight="1" x14ac:dyDescent="0.2">
      <c r="A1362" s="177"/>
      <c r="B1362" s="236"/>
      <c r="C1362" s="29" t="str">
        <f ca="1">IF(AND(B1362&gt;0,L$1330=$BL$25),VLOOKUP(DATE(YEAR(N$1323),MONTH(N$1323)-1,1),ÍNDICES!$A:$DE,HLOOKUP($BL$25,ÍNDICES!$B$3:$T$4,2)+11)-VLOOKUP(B1362,ÍNDICES!$A:$DE,HLOOKUP($BL$25,ÍNDICES!$B$3:$T$4,2)+11)+1%,IF(ISERROR(VLOOKUP(DATE(YEAR(B1362),MONTH(B1362)+IF($C$1321=$S$23,1,0),1),ÍNDICES!$A:$DE,$V$1326+1)),"",VLOOKUP(DATE(YEAR(B1362),MONTH(B1362)+IF($C$1321=$S$23,1,0),1),ÍNDICES!$A:$DE,$V$1326+1)))</f>
        <v/>
      </c>
      <c r="D1362" s="155"/>
      <c r="E1362" s="566"/>
      <c r="F1362" s="567"/>
      <c r="G1362" s="567"/>
      <c r="H1362" s="567"/>
      <c r="I1362" s="568"/>
      <c r="J1362" s="5" t="str">
        <f>IF(L1330=$BL$25,D1362,IF(D1362="","",D1362/C1362*J$1330))</f>
        <v/>
      </c>
      <c r="K1362" s="5" t="str">
        <f t="shared" si="185"/>
        <v/>
      </c>
      <c r="L1362" s="361"/>
      <c r="M1362" s="362"/>
      <c r="N1362" s="361"/>
      <c r="O1362" s="361"/>
      <c r="BB1362" s="447"/>
    </row>
    <row r="1363" spans="1:54" s="446" customFormat="1" ht="12.95" hidden="1" customHeight="1" x14ac:dyDescent="0.2">
      <c r="A1363" s="553" t="s">
        <v>133</v>
      </c>
      <c r="B1363" s="554"/>
      <c r="C1363" s="29"/>
      <c r="D1363" s="158"/>
      <c r="E1363" s="363"/>
      <c r="F1363" s="364"/>
      <c r="G1363" s="365"/>
      <c r="H1363" s="366"/>
      <c r="I1363" s="367"/>
      <c r="J1363" s="524"/>
      <c r="K1363" s="161">
        <f>SUM(K1335:K1362)</f>
        <v>0</v>
      </c>
      <c r="L1363" s="368">
        <f ca="1">SUM(L1335:L1362)</f>
        <v>0</v>
      </c>
      <c r="M1363" s="183"/>
      <c r="N1363" s="369">
        <f ca="1">SUM(N1335:N1362)</f>
        <v>0</v>
      </c>
      <c r="O1363" s="369">
        <f ca="1">SUM(O1335:O1362)</f>
        <v>0</v>
      </c>
      <c r="BB1363" s="447"/>
    </row>
    <row r="1364" spans="1:54" s="446" customFormat="1" ht="18" hidden="1" customHeight="1" x14ac:dyDescent="0.2">
      <c r="A1364" s="87"/>
      <c r="B1364" s="88"/>
      <c r="C1364" s="88"/>
      <c r="D1364" s="88"/>
      <c r="E1364" s="19"/>
      <c r="F1364" s="19"/>
      <c r="G1364" s="258"/>
      <c r="H1364" s="259"/>
      <c r="I1364" s="164"/>
      <c r="J1364" s="19"/>
      <c r="K1364" s="19"/>
      <c r="L1364" s="370"/>
      <c r="M1364" s="244"/>
      <c r="N1364" s="242" t="s">
        <v>189</v>
      </c>
      <c r="O1364" s="242">
        <f ca="1">SUM(K1363:O1363)</f>
        <v>0</v>
      </c>
      <c r="BB1364" s="447"/>
    </row>
    <row r="1365" spans="1:54" s="510" customFormat="1" ht="12.95" customHeight="1" x14ac:dyDescent="0.2">
      <c r="A1365" s="342"/>
      <c r="B1365" s="343"/>
      <c r="C1365" s="344"/>
      <c r="D1365" s="371"/>
      <c r="E1365" s="371"/>
      <c r="F1365" s="371"/>
      <c r="G1365" s="348"/>
      <c r="H1365" s="372"/>
      <c r="I1365" s="373" t="s">
        <v>190</v>
      </c>
      <c r="J1365" s="374"/>
      <c r="K1365" s="346">
        <f ca="1">O1328+O1364</f>
        <v>0</v>
      </c>
      <c r="L1365" s="344"/>
      <c r="M1365" s="350"/>
      <c r="N1365" s="349"/>
      <c r="O1365" s="343"/>
      <c r="BB1365" s="511"/>
    </row>
    <row r="1366" spans="1:54" s="510" customFormat="1" ht="12.95" customHeight="1" x14ac:dyDescent="0.2">
      <c r="A1366" s="375">
        <f>A1323</f>
        <v>0</v>
      </c>
      <c r="B1366" s="343"/>
      <c r="C1366" s="569">
        <v>0</v>
      </c>
      <c r="D1366" s="569"/>
      <c r="E1366" s="569"/>
      <c r="F1366" s="569"/>
      <c r="G1366" s="569"/>
      <c r="H1366" s="569"/>
      <c r="I1366" s="569"/>
      <c r="J1366" s="376"/>
      <c r="K1366" s="346">
        <f>IF(D1323=$Y$22,0,-J1323)</f>
        <v>0</v>
      </c>
      <c r="L1366" s="344"/>
      <c r="M1366" s="350"/>
      <c r="N1366" s="349"/>
      <c r="O1366" s="343"/>
      <c r="BB1366" s="511"/>
    </row>
    <row r="1367" spans="1:54" s="510" customFormat="1" ht="0.2" customHeight="1" x14ac:dyDescent="0.2">
      <c r="A1367" s="375"/>
      <c r="B1367" s="343"/>
      <c r="C1367" s="344"/>
      <c r="D1367" s="527"/>
      <c r="E1367" s="527"/>
      <c r="F1367" s="527"/>
      <c r="G1367" s="527"/>
      <c r="H1367" s="527"/>
      <c r="I1367" s="527"/>
      <c r="J1367" s="376"/>
      <c r="K1367" s="346">
        <f>K1366</f>
        <v>0</v>
      </c>
      <c r="L1367" s="344"/>
      <c r="M1367" s="350"/>
      <c r="N1367" s="349"/>
      <c r="O1367" s="343"/>
      <c r="BB1367" s="511"/>
    </row>
    <row r="1368" spans="1:54" s="510" customFormat="1" ht="20.100000000000001" customHeight="1" x14ac:dyDescent="0.2">
      <c r="A1368" s="342"/>
      <c r="B1368" s="343"/>
      <c r="C1368" s="344"/>
      <c r="D1368" s="371"/>
      <c r="E1368" s="371"/>
      <c r="F1368" s="371"/>
      <c r="G1368" s="348"/>
      <c r="H1368" s="372"/>
      <c r="I1368" s="377" t="str">
        <f ca="1">IF(K1368&gt;=0,"SALDO CREDOR AO AUTOR:-","MONTANTE A RESTITUIR:-")</f>
        <v>SALDO CREDOR AO AUTOR:-</v>
      </c>
      <c r="J1368" s="378">
        <f>IF(N1323="",D1330,N1323)</f>
        <v>45138</v>
      </c>
      <c r="K1368" s="379">
        <f ca="1">IF(OR(D1323=$Y$22,D1327&lt;0),K1365,K1365+K1366)</f>
        <v>0</v>
      </c>
      <c r="L1368" s="344"/>
      <c r="M1368" s="350"/>
      <c r="N1368" s="349"/>
      <c r="O1368" s="343"/>
      <c r="BB1368" s="511"/>
    </row>
    <row r="1369" spans="1:54" s="446" customFormat="1" ht="12.95" customHeight="1" x14ac:dyDescent="0.2">
      <c r="A1369" s="272"/>
      <c r="B1369" s="273"/>
      <c r="C1369" s="380"/>
      <c r="D1369" s="274"/>
      <c r="E1369" s="274"/>
      <c r="F1369" s="274"/>
      <c r="G1369" s="274"/>
      <c r="H1369" s="275"/>
      <c r="I1369" s="294" t="s">
        <v>191</v>
      </c>
      <c r="J1369" s="295">
        <v>0</v>
      </c>
      <c r="K1369" s="381">
        <f ca="1">J1369*IF(K$1368&gt;0,K$1368,0)</f>
        <v>0</v>
      </c>
      <c r="L1369" s="382"/>
      <c r="M1369" s="383"/>
      <c r="N1369" s="87"/>
      <c r="O1369" s="326"/>
      <c r="BB1369" s="447"/>
    </row>
    <row r="1370" spans="1:54" s="446" customFormat="1" ht="12.95" customHeight="1" x14ac:dyDescent="0.2">
      <c r="A1370" s="253"/>
      <c r="B1370" s="87"/>
      <c r="C1370" s="289"/>
      <c r="D1370" s="87"/>
      <c r="E1370" s="87"/>
      <c r="F1370" s="87"/>
      <c r="G1370" s="87"/>
      <c r="H1370" s="89"/>
      <c r="I1370" s="279" t="s">
        <v>192</v>
      </c>
      <c r="J1370" s="280">
        <v>0</v>
      </c>
      <c r="K1370" s="104">
        <f ca="1">J1370*IF(K$1368&gt;0,K$1368,0)</f>
        <v>0</v>
      </c>
      <c r="L1370" s="262"/>
      <c r="M1370" s="281"/>
      <c r="N1370" s="87"/>
      <c r="O1370" s="87"/>
      <c r="AQ1370" s="480"/>
      <c r="BB1370" s="447"/>
    </row>
    <row r="1371" spans="1:54" s="446" customFormat="1" ht="12.95" customHeight="1" x14ac:dyDescent="0.2">
      <c r="A1371" s="264"/>
      <c r="B1371" s="265"/>
      <c r="C1371" s="384"/>
      <c r="D1371" s="385" t="str">
        <f>D1373</f>
        <v xml:space="preserve">Sim </v>
      </c>
      <c r="E1371" s="265"/>
      <c r="F1371" s="265"/>
      <c r="G1371" s="265"/>
      <c r="H1371" s="283"/>
      <c r="I1371" s="284" t="str">
        <f>IF(D1323=Y21,"Subtotal:","Total:")</f>
        <v>Subtotal:</v>
      </c>
      <c r="J1371" s="285">
        <f>J1368</f>
        <v>45138</v>
      </c>
      <c r="K1371" s="386">
        <f ca="1">SUM(K1368:K1370)</f>
        <v>0</v>
      </c>
      <c r="L1371" s="287"/>
      <c r="M1371" s="288"/>
      <c r="N1371" s="387">
        <f>N1373</f>
        <v>43982</v>
      </c>
      <c r="O1371" s="87"/>
      <c r="BB1371" s="447"/>
    </row>
    <row r="1372" spans="1:54" s="446" customFormat="1" ht="24.95" customHeight="1" x14ac:dyDescent="0.2">
      <c r="A1372" s="87"/>
      <c r="B1372" s="87"/>
      <c r="C1372" s="289"/>
      <c r="D1372" s="87"/>
      <c r="E1372" s="87"/>
      <c r="F1372" s="87"/>
      <c r="G1372" s="87"/>
      <c r="H1372" s="89"/>
      <c r="I1372" s="297"/>
      <c r="J1372" s="290"/>
      <c r="K1372" s="291"/>
      <c r="L1372" s="262"/>
      <c r="M1372" s="68"/>
      <c r="N1372" s="87"/>
      <c r="O1372" s="87"/>
      <c r="BB1372" s="447"/>
    </row>
    <row r="1373" spans="1:54" s="446" customFormat="1" ht="15" customHeight="1" x14ac:dyDescent="0.2">
      <c r="A1373" s="327" t="str">
        <f>D1373</f>
        <v xml:space="preserve">Sim </v>
      </c>
      <c r="B1373" s="87"/>
      <c r="C1373" s="298" t="s">
        <v>193</v>
      </c>
      <c r="D1373" s="127" t="str">
        <f>A1325</f>
        <v xml:space="preserve">Sim </v>
      </c>
      <c r="E1373" s="327">
        <f>E1323+1</f>
        <v>2</v>
      </c>
      <c r="F1373" s="329" t="str">
        <f>IF(J1373&gt;0,IF(D$1290=$Y$21,E1373&amp;"º Depósito após parcelamento",E1373&amp;"º Depósito"),"")</f>
        <v/>
      </c>
      <c r="G1373" s="87"/>
      <c r="H1373" s="330"/>
      <c r="I1373" s="298" t="s">
        <v>178</v>
      </c>
      <c r="J1373" s="388"/>
      <c r="K1373" s="87"/>
      <c r="L1373" s="292"/>
      <c r="M1373" s="73" t="str">
        <f>IF(OR(D1373=$Y$22,J1373&lt;=0),"Atualizar até:-","DATA DO DEPÓSITO:-")</f>
        <v>Atualizar até:-</v>
      </c>
      <c r="N1373" s="153">
        <v>43982</v>
      </c>
      <c r="O1373" s="326"/>
      <c r="P1373" s="513"/>
      <c r="Q1373" s="472"/>
      <c r="R1373" s="480"/>
      <c r="V1373" s="472"/>
      <c r="W1373" s="480"/>
      <c r="X1373" s="472"/>
      <c r="Y1373" s="472"/>
      <c r="Z1373" s="457"/>
      <c r="AA1373" s="452"/>
      <c r="AB1373" s="472"/>
      <c r="AC1373" s="472"/>
      <c r="AD1373" s="472"/>
      <c r="AE1373" s="472"/>
      <c r="AF1373" s="472"/>
      <c r="BB1373" s="509" t="str">
        <f>A1325</f>
        <v xml:space="preserve">Sim </v>
      </c>
    </row>
    <row r="1374" spans="1:54" s="446" customFormat="1" ht="12.95" customHeight="1" x14ac:dyDescent="0.2">
      <c r="A1374" s="270"/>
      <c r="B1374" s="87"/>
      <c r="C1374" s="242"/>
      <c r="D1374" s="242"/>
      <c r="E1374" s="242"/>
      <c r="F1374" s="242"/>
      <c r="G1374" s="242"/>
      <c r="H1374" s="120"/>
      <c r="I1374" s="242"/>
      <c r="J1374" s="242"/>
      <c r="K1374" s="242"/>
      <c r="L1374" s="389" t="str">
        <f>P1326</f>
        <v>TABELA PRÁTICA - INPC</v>
      </c>
      <c r="M1374" s="242"/>
      <c r="N1374" s="242"/>
      <c r="O1374" s="242"/>
      <c r="P1374" s="479"/>
      <c r="Q1374" s="479"/>
      <c r="R1374" s="479"/>
      <c r="S1374" s="479"/>
      <c r="T1374" s="479"/>
      <c r="U1374" s="479"/>
      <c r="V1374" s="479"/>
      <c r="W1374" s="479"/>
      <c r="X1374" s="479"/>
      <c r="Y1374" s="479"/>
      <c r="Z1374" s="479"/>
      <c r="AA1374" s="479"/>
      <c r="AB1374" s="479"/>
      <c r="AC1374" s="479"/>
      <c r="AD1374" s="479"/>
      <c r="AE1374" s="479"/>
      <c r="AF1374" s="479"/>
      <c r="AG1374" s="479"/>
      <c r="AH1374" s="479"/>
      <c r="AI1374" s="479"/>
      <c r="AJ1374" s="479"/>
      <c r="AK1374" s="479"/>
      <c r="AL1374" s="479"/>
      <c r="AM1374" s="479"/>
      <c r="AN1374" s="479"/>
      <c r="AO1374" s="479"/>
      <c r="AP1374" s="479"/>
      <c r="BB1374" s="509" t="str">
        <f>A1325</f>
        <v xml:space="preserve">Sim </v>
      </c>
    </row>
    <row r="1375" spans="1:54" s="446" customFormat="1" ht="15" customHeight="1" x14ac:dyDescent="0.2">
      <c r="A1375" s="333" t="str">
        <f>D1373</f>
        <v xml:space="preserve">Sim </v>
      </c>
      <c r="B1375" s="565">
        <f>B1325+1</f>
        <v>2</v>
      </c>
      <c r="C1375" s="565"/>
      <c r="D1375" s="565"/>
      <c r="E1375" s="565"/>
      <c r="F1375" s="565"/>
      <c r="G1375" s="565"/>
      <c r="H1375" s="565"/>
      <c r="I1375" s="565"/>
      <c r="J1375" s="565"/>
      <c r="K1375" s="565"/>
      <c r="L1375" s="565"/>
      <c r="M1375" s="565"/>
      <c r="N1375" s="334"/>
      <c r="O1375" s="334"/>
      <c r="P1375" s="480">
        <v>37631</v>
      </c>
      <c r="Q1375" s="480">
        <f>$N1373</f>
        <v>43982</v>
      </c>
      <c r="R1375" s="480"/>
      <c r="S1375" s="480"/>
      <c r="T1375" s="480"/>
      <c r="U1375" s="480"/>
      <c r="V1375" s="480"/>
      <c r="W1375" s="480"/>
      <c r="X1375" s="480"/>
      <c r="Y1375" s="480"/>
      <c r="Z1375" s="480"/>
      <c r="AA1375" s="480"/>
      <c r="AB1375" s="480"/>
      <c r="AC1375" s="480"/>
      <c r="AD1375" s="480"/>
      <c r="AE1375" s="480"/>
      <c r="AF1375" s="480"/>
      <c r="AG1375" s="480"/>
      <c r="AH1375" s="480"/>
      <c r="AI1375" s="480"/>
      <c r="AJ1375" s="480"/>
      <c r="AK1375" s="480"/>
      <c r="AL1375" s="480"/>
      <c r="AM1375" s="480"/>
      <c r="AN1375" s="480"/>
      <c r="AO1375" s="480"/>
      <c r="AP1375" s="480"/>
      <c r="BB1375" s="509" t="str">
        <f>A1325</f>
        <v xml:space="preserve">Sim </v>
      </c>
    </row>
    <row r="1376" spans="1:54" s="446" customFormat="1" ht="12.95" customHeight="1" x14ac:dyDescent="0.2">
      <c r="A1376" s="87"/>
      <c r="B1376" s="21"/>
      <c r="C1376" s="19"/>
      <c r="D1376" s="335" t="s">
        <v>179</v>
      </c>
      <c r="E1376" s="336"/>
      <c r="F1376" s="19"/>
      <c r="G1376" s="19"/>
      <c r="H1376" s="338"/>
      <c r="I1376" s="339">
        <f>J1371</f>
        <v>45138</v>
      </c>
      <c r="J1376" s="339">
        <f ca="1">IF(ISERROR(IF(VLOOKUP(N1373,ÍNDICES!$A$1:$T$65536,$P$22+1)=1,I1376,N1373)),"",IF(VLOOKUP(N1373,ÍNDICES!$A$1:$T$65536,$P$22+1)=1,I1376,N1373))</f>
        <v>43982</v>
      </c>
      <c r="K1376" s="16" t="s">
        <v>180</v>
      </c>
      <c r="L1376" s="16" t="s">
        <v>163</v>
      </c>
      <c r="M1376" s="66" t="s">
        <v>194</v>
      </c>
      <c r="N1376" s="19"/>
      <c r="O1376" s="19"/>
      <c r="P1376" s="507" t="str">
        <f>L1374</f>
        <v>TABELA PRÁTICA - INPC</v>
      </c>
      <c r="Q1376" s="472" t="s">
        <v>142</v>
      </c>
      <c r="R1376" s="480">
        <f>N1373</f>
        <v>43982</v>
      </c>
      <c r="S1376" s="472" t="s">
        <v>181</v>
      </c>
      <c r="T1376" s="480">
        <f>R1326</f>
        <v>45138</v>
      </c>
      <c r="U1376" s="457" t="s">
        <v>23</v>
      </c>
      <c r="V1376" s="452">
        <f ca="1">SUMIF(ÍNDICES!$A$3:$W$4,P1376,ÍNDICES!$A$4:$W$4)+10</f>
        <v>13</v>
      </c>
      <c r="W1376" s="529"/>
      <c r="X1376" s="529"/>
      <c r="Y1376" s="529"/>
      <c r="Z1376" s="529"/>
      <c r="AA1376" s="529"/>
      <c r="AB1376" s="529"/>
      <c r="AC1376" s="529"/>
      <c r="AD1376" s="529"/>
      <c r="AE1376" s="529"/>
      <c r="AF1376" s="529"/>
      <c r="AG1376" s="529"/>
      <c r="AH1376" s="529"/>
      <c r="AI1376" s="529"/>
      <c r="AJ1376" s="529"/>
      <c r="AK1376" s="529"/>
      <c r="AL1376" s="529"/>
      <c r="AM1376" s="529"/>
      <c r="AN1376" s="529"/>
      <c r="AO1376" s="529"/>
      <c r="AP1376" s="529"/>
      <c r="AQ1376" s="529"/>
      <c r="AR1376" s="529"/>
      <c r="AS1376" s="529"/>
      <c r="AT1376" s="529"/>
      <c r="AU1376" s="529"/>
      <c r="AV1376" s="529"/>
      <c r="AW1376" s="529"/>
      <c r="AX1376" s="529"/>
      <c r="AY1376" s="529"/>
      <c r="AZ1376" s="529"/>
      <c r="BA1376" s="529"/>
      <c r="BB1376" s="509" t="str">
        <f>A1325</f>
        <v xml:space="preserve">Sim </v>
      </c>
    </row>
    <row r="1377" spans="1:54" s="446" customFormat="1" ht="12.95" customHeight="1" x14ac:dyDescent="0.2">
      <c r="A1377" s="327"/>
      <c r="B1377" s="390"/>
      <c r="C1377" s="244"/>
      <c r="D1377" s="82">
        <f ca="1">K1371</f>
        <v>0</v>
      </c>
      <c r="E1377" s="244"/>
      <c r="F1377" s="244"/>
      <c r="G1377" s="244"/>
      <c r="H1377" s="134"/>
      <c r="I1377" s="29">
        <f ca="1">IF(L1374=$BL$25,1,IF(ISERROR(VLOOKUP(DATE(YEAR(I1376),MONTH(I1376)+IF($C$1321=$S$23,1,0),1),ÍNDICES!$A$1:$T$65536,$V$1326+1)),1,VLOOKUP(DATE(YEAR(I1376),MONTH(I1376)+IF($C$1321=$S$23,1,0),1),ÍNDICES!$A$1:$T$65536,$V$1326+1)))</f>
        <v>92.252543000000003</v>
      </c>
      <c r="J1377" s="29">
        <f ca="1">IF(L1374=$BL$25,1,IF(ISERROR(VLOOKUP(DATE(YEAR(J1376),MONTH(J1376)+IF($C$1321=$S$23,1,0),1),ÍNDICES!$A$1:$T$65536,$V$1326+1)),I1377,VLOOKUP(DATE(YEAR(J1376),MONTH(J1376)+IF($C$1321=$S$23,1,0),1),ÍNDICES!$A$1:$T$65536,$V$1326+1)))</f>
        <v>73.234509000000003</v>
      </c>
      <c r="K1377" s="161">
        <f ca="1">IF(D1377&lt;=0,D1377,D1377/I1377*J1377)</f>
        <v>0</v>
      </c>
      <c r="L1377" s="161">
        <f ca="1">IF($L$1324=$BL$25,K1377*M1377,IF(D1377&lt;0,0,K1377*SUMPRODUCT($P$37:$BA$37,$P1377:$BA1377)))</f>
        <v>0</v>
      </c>
      <c r="M1377" s="7" t="str">
        <f ca="1">IF($L$1324=$BL$25,VLOOKUP(DATE(YEAR(J1376),MONTH(J1376)-1,1),ÍNDICES!$A:$DE,10)-VLOOKUP(I1376,ÍNDICES!$A:$DE,10)+1%,IF(D1377=0,"",SUM(P1377:BA1377)))</f>
        <v/>
      </c>
      <c r="N1377" s="19"/>
      <c r="O1377" s="19"/>
      <c r="P1377" s="446">
        <f>IF($T1376="","",IF(MIN(P1375,$N1373)&lt;MAX($T1376*$P$1329,$L$1332),0,YEARFRAC(MAX($T1376*$P$1329,$L$1332),MIN(P1375,$N1373),$P$20)))</f>
        <v>0</v>
      </c>
      <c r="Q1377" s="446">
        <f>IF($T1376="","",IF(MIN(Q1375,$N1373)&lt;MAX($T1376*$P$1329,$L$1332),0,YEARFRAC(MAX($T1376*$P$1329,$L$1332),MIN(Q1375,$N1373),$P$20)))-SUM($P1377:P1377)</f>
        <v>0</v>
      </c>
      <c r="BB1377" s="509" t="str">
        <f>A1325</f>
        <v xml:space="preserve">Sim </v>
      </c>
    </row>
    <row r="1378" spans="1:54" s="510" customFormat="1" ht="18" customHeight="1" x14ac:dyDescent="0.2">
      <c r="A1378" s="342"/>
      <c r="B1378" s="343"/>
      <c r="C1378" s="344"/>
      <c r="D1378" s="344"/>
      <c r="E1378" s="344"/>
      <c r="F1378" s="345"/>
      <c r="G1378" s="346"/>
      <c r="H1378" s="347"/>
      <c r="I1378" s="348"/>
      <c r="J1378" s="348"/>
      <c r="K1378" s="349"/>
      <c r="L1378" s="349"/>
      <c r="M1378" s="350"/>
      <c r="N1378" s="351" t="s">
        <v>182</v>
      </c>
      <c r="O1378" s="351">
        <f ca="1">K1377+L1377</f>
        <v>0</v>
      </c>
      <c r="P1378" s="514"/>
      <c r="BB1378" s="515" t="str">
        <f>A1325</f>
        <v xml:space="preserve">Sim </v>
      </c>
    </row>
    <row r="1379" spans="1:54" s="446" customFormat="1" ht="12.95" customHeight="1" x14ac:dyDescent="0.2">
      <c r="A1379" s="557">
        <f>B1375</f>
        <v>2</v>
      </c>
      <c r="B1379" s="557"/>
      <c r="C1379" s="557"/>
      <c r="D1379" s="557"/>
      <c r="E1379" s="557"/>
      <c r="F1379" s="557"/>
      <c r="G1379" s="557"/>
      <c r="H1379" s="557"/>
      <c r="I1379" s="557"/>
      <c r="J1379" s="557"/>
      <c r="K1379" s="87"/>
      <c r="L1379" s="391" t="s">
        <v>65</v>
      </c>
      <c r="M1379" s="391"/>
      <c r="N1379" s="391"/>
      <c r="O1379" s="392" t="str">
        <f>P1331</f>
        <v>Não</v>
      </c>
      <c r="P1379" s="446">
        <f>IF(O1379=$Y$22,1,0)</f>
        <v>1</v>
      </c>
      <c r="BB1379" s="509" t="str">
        <f>A1325</f>
        <v xml:space="preserve">Sim </v>
      </c>
    </row>
    <row r="1380" spans="1:54" s="446" customFormat="1" ht="12.95" customHeight="1" x14ac:dyDescent="0.2">
      <c r="A1380" s="87"/>
      <c r="B1380" s="88"/>
      <c r="C1380" s="88"/>
      <c r="D1380" s="88"/>
      <c r="E1380" s="74" t="s">
        <v>183</v>
      </c>
      <c r="F1380" s="353">
        <f>IF(N1373="",J1326,N1373)</f>
        <v>43982</v>
      </c>
      <c r="G1380" s="68"/>
      <c r="H1380" s="186"/>
      <c r="I1380" s="354" t="s">
        <v>184</v>
      </c>
      <c r="J1380" s="393">
        <f ca="1">IF(ISERROR(VLOOKUP(DATE(YEAR(N1373),MONTH(N1373)+IF($C$1321=$S$23,1,0),1),ÍNDICES!A$1:CD$65536,$V$1326+1)),J1343,VLOOKUP(DATE(YEAR(N1373),MONTH(N1373)+IF($C$1321=$S$23,1,0),1),ÍNDICES!A$1:CD$65536,$V$1326+1))</f>
        <v>73.234509000000003</v>
      </c>
      <c r="K1380" s="111" t="s">
        <v>69</v>
      </c>
      <c r="L1380" s="558" t="str">
        <f>P1334</f>
        <v>TABELA PRÁTICA - INPC</v>
      </c>
      <c r="M1380" s="559"/>
      <c r="N1380" s="559"/>
      <c r="O1380" s="559"/>
      <c r="BB1380" s="509" t="str">
        <f>A1325</f>
        <v xml:space="preserve">Sim </v>
      </c>
    </row>
    <row r="1381" spans="1:54" s="446" customFormat="1" ht="12.95" customHeight="1" x14ac:dyDescent="0.2">
      <c r="A1381" s="62" t="s">
        <v>70</v>
      </c>
      <c r="B1381" s="3" t="s">
        <v>92</v>
      </c>
      <c r="C1381" s="4" t="str">
        <f>IF(L1380=$BL$25,"VARIAÇÃO","ÍNDICE")</f>
        <v>ÍNDICE</v>
      </c>
      <c r="D1381" s="62" t="s">
        <v>72</v>
      </c>
      <c r="E1381" s="560" t="s">
        <v>185</v>
      </c>
      <c r="F1381" s="560"/>
      <c r="G1381" s="560"/>
      <c r="H1381" s="560"/>
      <c r="I1381" s="561"/>
      <c r="J1381" s="524" t="s">
        <v>127</v>
      </c>
      <c r="K1381" s="62" t="s">
        <v>165</v>
      </c>
      <c r="L1381" s="62" t="s">
        <v>95</v>
      </c>
      <c r="M1381" s="63" t="s">
        <v>75</v>
      </c>
      <c r="N1381" s="14" t="s">
        <v>78</v>
      </c>
      <c r="O1381" s="14" t="s">
        <v>115</v>
      </c>
      <c r="P1381" s="516" t="str">
        <f>O1379</f>
        <v>Não</v>
      </c>
      <c r="Q1381" s="452"/>
      <c r="R1381" s="452"/>
      <c r="S1381" s="452"/>
      <c r="T1381" s="452"/>
      <c r="U1381" s="452"/>
      <c r="V1381" s="452"/>
      <c r="W1381" s="452"/>
      <c r="X1381" s="452"/>
      <c r="Y1381" s="452"/>
      <c r="Z1381" s="457"/>
      <c r="AA1381" s="452"/>
      <c r="AB1381" s="452"/>
      <c r="AC1381" s="452"/>
      <c r="AD1381" s="452"/>
      <c r="AE1381" s="452"/>
      <c r="AF1381" s="452"/>
      <c r="AG1381" s="452"/>
      <c r="AH1381" s="452"/>
      <c r="AI1381" s="452"/>
      <c r="AJ1381" s="452"/>
      <c r="BB1381" s="509" t="str">
        <f>A1325</f>
        <v xml:space="preserve">Sim </v>
      </c>
    </row>
    <row r="1382" spans="1:54" s="446" customFormat="1" ht="12.95" customHeight="1" x14ac:dyDescent="0.2">
      <c r="A1382" s="5" t="s">
        <v>80</v>
      </c>
      <c r="B1382" s="6" t="s">
        <v>96</v>
      </c>
      <c r="C1382" s="7" t="str">
        <f>IF(L1380=$BL$25,"SELIC","Inicial")</f>
        <v>Inicial</v>
      </c>
      <c r="D1382" s="62" t="s">
        <v>97</v>
      </c>
      <c r="E1382" s="562"/>
      <c r="F1382" s="562"/>
      <c r="G1382" s="562"/>
      <c r="H1382" s="562"/>
      <c r="I1382" s="563"/>
      <c r="J1382" s="20" t="s">
        <v>131</v>
      </c>
      <c r="K1382" s="62" t="s">
        <v>186</v>
      </c>
      <c r="L1382" s="59"/>
      <c r="M1382" s="7" t="s">
        <v>100</v>
      </c>
      <c r="N1382" s="5" t="s">
        <v>187</v>
      </c>
      <c r="O1382" s="5" t="s">
        <v>87</v>
      </c>
      <c r="P1382" s="479"/>
      <c r="Q1382" s="479"/>
      <c r="R1382" s="479"/>
      <c r="S1382" s="479"/>
      <c r="T1382" s="479"/>
      <c r="U1382" s="479"/>
      <c r="V1382" s="479"/>
      <c r="W1382" s="479"/>
      <c r="X1382" s="479"/>
      <c r="Y1382" s="479"/>
      <c r="Z1382" s="479"/>
      <c r="AA1382" s="479"/>
      <c r="AB1382" s="479"/>
      <c r="AC1382" s="479"/>
      <c r="AD1382" s="479"/>
      <c r="AE1382" s="479"/>
      <c r="AF1382" s="479"/>
      <c r="AG1382" s="479"/>
      <c r="AH1382" s="479"/>
      <c r="AI1382" s="479"/>
      <c r="AJ1382" s="479"/>
      <c r="AK1382" s="479"/>
      <c r="AL1382" s="479"/>
      <c r="AM1382" s="479"/>
      <c r="AN1382" s="479"/>
      <c r="AO1382" s="479"/>
      <c r="AP1382" s="479"/>
      <c r="BB1382" s="509" t="str">
        <f>A1325</f>
        <v xml:space="preserve">Sim </v>
      </c>
    </row>
    <row r="1383" spans="1:54" s="446" customFormat="1" ht="12.95" customHeight="1" x14ac:dyDescent="0.2">
      <c r="A1383" s="172" t="s">
        <v>88</v>
      </c>
      <c r="B1383" s="172" t="s">
        <v>88</v>
      </c>
      <c r="C1383" s="7" t="s">
        <v>88</v>
      </c>
      <c r="D1383" s="5" t="s">
        <v>88</v>
      </c>
      <c r="E1383" s="553" t="s">
        <v>188</v>
      </c>
      <c r="F1383" s="564"/>
      <c r="G1383" s="564"/>
      <c r="H1383" s="564"/>
      <c r="I1383" s="554"/>
      <c r="J1383" s="9" t="s">
        <v>88</v>
      </c>
      <c r="K1383" s="30">
        <v>1</v>
      </c>
      <c r="L1383" s="27"/>
      <c r="M1383" s="7" t="s">
        <v>88</v>
      </c>
      <c r="N1383" s="358">
        <f>$N$24</f>
        <v>0</v>
      </c>
      <c r="O1383" s="522">
        <f>O1333</f>
        <v>0</v>
      </c>
      <c r="P1383" s="480"/>
      <c r="Q1383" s="480"/>
      <c r="R1383" s="480"/>
      <c r="S1383" s="480"/>
      <c r="T1383" s="480"/>
      <c r="U1383" s="480"/>
      <c r="V1383" s="480"/>
      <c r="W1383" s="480"/>
      <c r="X1383" s="480"/>
      <c r="Y1383" s="480"/>
      <c r="Z1383" s="480"/>
      <c r="AA1383" s="480"/>
      <c r="AB1383" s="480"/>
      <c r="AC1383" s="480"/>
      <c r="AD1383" s="480"/>
      <c r="AE1383" s="480"/>
      <c r="AF1383" s="480"/>
      <c r="AG1383" s="480"/>
      <c r="AH1383" s="480"/>
      <c r="AI1383" s="480"/>
      <c r="AJ1383" s="480"/>
      <c r="AK1383" s="480"/>
      <c r="AL1383" s="480"/>
      <c r="AM1383" s="480"/>
      <c r="AN1383" s="480"/>
      <c r="AO1383" s="480"/>
      <c r="AP1383" s="480"/>
      <c r="BB1383" s="509" t="str">
        <f>A1325</f>
        <v xml:space="preserve">Sim </v>
      </c>
    </row>
    <row r="1384" spans="1:54" s="446" customFormat="1" ht="6" customHeight="1" x14ac:dyDescent="0.2">
      <c r="A1384" s="172"/>
      <c r="B1384" s="172"/>
      <c r="C1384" s="7"/>
      <c r="D1384" s="5"/>
      <c r="E1384" s="359"/>
      <c r="F1384" s="19"/>
      <c r="G1384" s="258"/>
      <c r="H1384" s="259"/>
      <c r="I1384" s="360"/>
      <c r="J1384" s="20"/>
      <c r="K1384" s="5"/>
      <c r="L1384" s="151"/>
      <c r="M1384" s="7"/>
      <c r="N1384" s="5"/>
      <c r="O1384" s="5"/>
      <c r="P1384" s="445"/>
      <c r="Q1384" s="445"/>
      <c r="R1384" s="445"/>
      <c r="S1384" s="445"/>
      <c r="T1384" s="445"/>
      <c r="U1384" s="445"/>
      <c r="V1384" s="445"/>
      <c r="W1384" s="445"/>
      <c r="X1384" s="445"/>
      <c r="Y1384" s="445"/>
      <c r="Z1384" s="445"/>
      <c r="AA1384" s="445"/>
      <c r="AB1384" s="445"/>
      <c r="AC1384" s="445"/>
      <c r="AD1384" s="445"/>
      <c r="AE1384" s="445"/>
      <c r="AF1384" s="445"/>
      <c r="AG1384" s="445"/>
      <c r="AH1384" s="445"/>
      <c r="AI1384" s="445"/>
      <c r="AJ1384" s="445"/>
      <c r="BB1384" s="509" t="str">
        <f>A1325</f>
        <v xml:space="preserve">Sim </v>
      </c>
    </row>
    <row r="1385" spans="1:54" s="446" customFormat="1" ht="12.95" customHeight="1" x14ac:dyDescent="0.2">
      <c r="A1385" s="177"/>
      <c r="B1385" s="236"/>
      <c r="C1385" s="29" t="str">
        <f ca="1">IF(AND(B1385&gt;0,L$1380=$BL$25),VLOOKUP(DATE(YEAR(N$1373),MONTH(N$1373)-1,1),ÍNDICES!$A:$DE,HLOOKUP($BL$25,ÍNDICES!$B$3:$T$4,2)+11)-VLOOKUP(B1385,ÍNDICES!$A:$DE,HLOOKUP($BL$25,ÍNDICES!$B$3:$T$4,2)+11)+1%,IF(ISERROR(VLOOKUP(DATE(YEAR(B1385),MONTH(B1385)+IF($C$1321=$S$23,1,0),1),ÍNDICES!$A:$DE,$V$1326+1)),"",VLOOKUP(DATE(YEAR(B1385),MONTH(B1385)+IF($C$1321=$S$23,1,0),1),ÍNDICES!$A:$DE,$V$1326+1)))</f>
        <v/>
      </c>
      <c r="D1385" s="155"/>
      <c r="E1385" s="552"/>
      <c r="F1385" s="552"/>
      <c r="G1385" s="552"/>
      <c r="H1385" s="552"/>
      <c r="I1385" s="552"/>
      <c r="J1385" s="5" t="str">
        <f t="shared" ref="J1385:J1412" si="188">IF(L$1380=$BL$25,D1385,IF(D1385="","",D1385/C1385*J$1380))</f>
        <v/>
      </c>
      <c r="K1385" s="5" t="str">
        <f>IF(J1385="","",J1385*K$1383)</f>
        <v/>
      </c>
      <c r="L1385" s="5" t="str">
        <f ca="1">IF(L1380=$BL$25,K1385*IF(C1385="",0,C1385),IF(ISERROR((K1385)*SUMPRODUCT($P$37:$BA$37,$P1385:$BA1385)),IF(K1385="","",0),(K1385)*SUMPRODUCT($P$37:$BA$37,$P1385:$BA1385)))</f>
        <v/>
      </c>
      <c r="M1385" s="64">
        <f t="shared" ref="M1385:M1398" si="189">IF(ISERROR(SUM(P1385:BA1385)),"",SUM(P1385:BA1385))</f>
        <v>0</v>
      </c>
      <c r="N1385" s="5" t="str">
        <f ca="1">IFERROR(($K1385+$L1385)*N$1333,"")</f>
        <v/>
      </c>
      <c r="O1385" s="5" t="str">
        <f ca="1">IFERROR(($K1385+$L1385+$N1385)*O$1333,"")</f>
        <v/>
      </c>
      <c r="P1385" s="446">
        <f>IF($B1385="",0,IF(MIN(P1375,$N1373)&lt;MAX($B1385*$P1379,$L1382-1),0,YEARFRAC(MAX($B1385*$P1379,$L1382-1),MIN(P1375,$N1373),$P$20)))</f>
        <v>0</v>
      </c>
      <c r="Q1385" s="446">
        <f>IF($B1385="",0,IF(MIN(Q1375,$N1373)&lt;MAX($B1385*$P1379,$L1382-1),0,YEARFRAC(MAX($B1385*$P1379,$L1382-1),MIN(Q1375,$N1373),$P$20)))</f>
        <v>0</v>
      </c>
      <c r="BB1385" s="509" t="str">
        <f>A1325</f>
        <v xml:space="preserve">Sim </v>
      </c>
    </row>
    <row r="1386" spans="1:54" s="446" customFormat="1" ht="12.95" customHeight="1" x14ac:dyDescent="0.2">
      <c r="A1386" s="177"/>
      <c r="B1386" s="236"/>
      <c r="C1386" s="29" t="str">
        <f ca="1">IF(AND(B1386&gt;0,L$1380=$BL$25),VLOOKUP(DATE(YEAR(N$1373),MONTH(N$1373)-1,1),ÍNDICES!$A:$DE,HLOOKUP($BL$25,ÍNDICES!$B$3:$T$4,2)+11)-VLOOKUP(B1386,ÍNDICES!$A:$DE,HLOOKUP($BL$25,ÍNDICES!$B$3:$T$4,2)+11)+1%,IF(ISERROR(VLOOKUP(DATE(YEAR(B1386),MONTH(B1386)+IF($C$1321=$S$23,1,0),1),ÍNDICES!$A:$DE,$V$1326+1)),"",VLOOKUP(DATE(YEAR(B1386),MONTH(B1386)+IF($C$1321=$S$23,1,0),1),ÍNDICES!$A:$DE,$V$1326+1)))</f>
        <v/>
      </c>
      <c r="D1386" s="155"/>
      <c r="E1386" s="552"/>
      <c r="F1386" s="552"/>
      <c r="G1386" s="552"/>
      <c r="H1386" s="552"/>
      <c r="I1386" s="552"/>
      <c r="J1386" s="5" t="str">
        <f t="shared" si="188"/>
        <v/>
      </c>
      <c r="K1386" s="5" t="str">
        <f t="shared" ref="K1386:K1412" si="190">IF(J1386="","",J1386*K$1383)</f>
        <v/>
      </c>
      <c r="L1386" s="5" t="str">
        <f ca="1">IF(L1380=$BL$25,K1386*IF(C1386="",0,C1386),IF(ISERROR((K1386)*SUMPRODUCT($P$37:$BA$37,$P1386:$BA1386)),IF(K1386="","",0),(K1386)*SUMPRODUCT($P$37:$BA$37,$P1386:$BA1386)))</f>
        <v/>
      </c>
      <c r="M1386" s="64">
        <f t="shared" si="189"/>
        <v>0</v>
      </c>
      <c r="N1386" s="5" t="str">
        <f t="shared" ref="N1386:N1398" ca="1" si="191">IFERROR(($K1386+$L1386)*N$1333,"")</f>
        <v/>
      </c>
      <c r="O1386" s="5" t="str">
        <f t="shared" ref="O1386:O1398" ca="1" si="192">IFERROR(($K1386+$L1386+$N1386)*O$1333,"")</f>
        <v/>
      </c>
      <c r="P1386" s="446">
        <f>IF($B1386="",0,IF(MIN(P1375,$N1373)&lt;MAX($B1386*$P1379,$L1382-1),0,YEARFRAC(MAX($B1386*$P1379,$L1382-1),MIN(P1375,$N1373),$P$20)))</f>
        <v>0</v>
      </c>
      <c r="Q1386" s="446">
        <f>IF($B1386="",0,IF(MIN(Q1375,$N1373)&lt;MAX($B1386*$P1379,$L1382-1),0,YEARFRAC(MAX($B1386*$P1379,$L1382-1),MIN(Q1375,$N1373),$P$20)))</f>
        <v>0</v>
      </c>
      <c r="BB1386" s="509" t="str">
        <f>A1325</f>
        <v xml:space="preserve">Sim </v>
      </c>
    </row>
    <row r="1387" spans="1:54" s="446" customFormat="1" ht="12.95" customHeight="1" x14ac:dyDescent="0.2">
      <c r="A1387" s="177"/>
      <c r="B1387" s="236"/>
      <c r="C1387" s="29" t="str">
        <f ca="1">IF(AND(B1387&gt;0,L$1380=$BL$25),VLOOKUP(DATE(YEAR(N$1373),MONTH(N$1373)-1,1),ÍNDICES!$A:$DE,HLOOKUP($BL$25,ÍNDICES!$B$3:$T$4,2)+11)-VLOOKUP(B1387,ÍNDICES!$A:$DE,HLOOKUP($BL$25,ÍNDICES!$B$3:$T$4,2)+11)+1%,IF(ISERROR(VLOOKUP(DATE(YEAR(B1387),MONTH(B1387)+IF($C$1321=$S$23,1,0),1),ÍNDICES!$A:$DE,$V$1326+1)),"",VLOOKUP(DATE(YEAR(B1387),MONTH(B1387)+IF($C$1321=$S$23,1,0),1),ÍNDICES!$A:$DE,$V$1326+1)))</f>
        <v/>
      </c>
      <c r="D1387" s="155"/>
      <c r="E1387" s="552"/>
      <c r="F1387" s="552"/>
      <c r="G1387" s="552"/>
      <c r="H1387" s="552"/>
      <c r="I1387" s="552"/>
      <c r="J1387" s="5" t="str">
        <f t="shared" si="188"/>
        <v/>
      </c>
      <c r="K1387" s="5" t="str">
        <f t="shared" si="190"/>
        <v/>
      </c>
      <c r="L1387" s="5" t="str">
        <f ca="1">IF(L1380=$BL$25,K1387*IF(C1387="",0,C1387),IF(ISERROR((K1387)*SUMPRODUCT($P$37:$BA$37,$P1387:$BA1387)),IF(K1387="","",0),(K1387)*SUMPRODUCT($P$37:$BA$37,$P1387:$BA1387)))</f>
        <v/>
      </c>
      <c r="M1387" s="64">
        <f t="shared" si="189"/>
        <v>0</v>
      </c>
      <c r="N1387" s="5" t="str">
        <f t="shared" ca="1" si="191"/>
        <v/>
      </c>
      <c r="O1387" s="5" t="str">
        <f t="shared" ca="1" si="192"/>
        <v/>
      </c>
      <c r="P1387" s="446">
        <f>IF($B1387="",0,IF(MIN(P1375,$N1373)&lt;MAX($B1387*$P1379,$L1382-1),0,YEARFRAC(MAX($B1387*$P1379,$L1382-1),MIN(P1375,$N1373),$P$20)))</f>
        <v>0</v>
      </c>
      <c r="Q1387" s="446">
        <f>IF($B1387="",0,IF(MIN(Q1375,$N1373)&lt;MAX($B1387*$P1379,$L1382-1),0,YEARFRAC(MAX($B1387*$P1379,$L1382-1),MIN(Q1375,$N1373),$P$20)))</f>
        <v>0</v>
      </c>
      <c r="BB1387" s="509" t="str">
        <f>A1325</f>
        <v xml:space="preserve">Sim </v>
      </c>
    </row>
    <row r="1388" spans="1:54" s="446" customFormat="1" ht="12.95" customHeight="1" x14ac:dyDescent="0.2">
      <c r="A1388" s="177"/>
      <c r="B1388" s="236"/>
      <c r="C1388" s="29" t="str">
        <f ca="1">IF(AND(B1388&gt;0,L$1380=$BL$25),VLOOKUP(DATE(YEAR(N$1373),MONTH(N$1373)-1,1),ÍNDICES!$A:$DE,HLOOKUP($BL$25,ÍNDICES!$B$3:$T$4,2)+11)-VLOOKUP(B1388,ÍNDICES!$A:$DE,HLOOKUP($BL$25,ÍNDICES!$B$3:$T$4,2)+11)+1%,IF(ISERROR(VLOOKUP(DATE(YEAR(B1388),MONTH(B1388)+IF($C$1321=$S$23,1,0),1),ÍNDICES!$A:$DE,$V$1326+1)),"",VLOOKUP(DATE(YEAR(B1388),MONTH(B1388)+IF($C$1321=$S$23,1,0),1),ÍNDICES!$A:$DE,$V$1326+1)))</f>
        <v/>
      </c>
      <c r="D1388" s="155"/>
      <c r="E1388" s="552"/>
      <c r="F1388" s="552"/>
      <c r="G1388" s="552"/>
      <c r="H1388" s="552"/>
      <c r="I1388" s="552"/>
      <c r="J1388" s="5" t="str">
        <f t="shared" si="188"/>
        <v/>
      </c>
      <c r="K1388" s="5" t="str">
        <f t="shared" si="190"/>
        <v/>
      </c>
      <c r="L1388" s="5" t="str">
        <f ca="1">IF(L1380=$BL$25,K1388*IF(C1388="",0,C1388),IF(ISERROR((K1388)*SUMPRODUCT($P$37:$BA$37,$P1388:$BA1388)),IF(K1388="","",0),(K1388)*SUMPRODUCT($P$37:$BA$37,$P1388:$BA1388)))</f>
        <v/>
      </c>
      <c r="M1388" s="64">
        <f t="shared" si="189"/>
        <v>0</v>
      </c>
      <c r="N1388" s="5" t="str">
        <f t="shared" ca="1" si="191"/>
        <v/>
      </c>
      <c r="O1388" s="5" t="str">
        <f t="shared" ca="1" si="192"/>
        <v/>
      </c>
      <c r="P1388" s="446">
        <f>IF($B1388="",0,IF(MIN(P1375,$N1373)&lt;MAX($B1388*$P1379,$L1382-1),0,YEARFRAC(MAX($B1388*$P1379,$L1382-1),MIN(P1375,$N1373),$P$20)))</f>
        <v>0</v>
      </c>
      <c r="Q1388" s="446">
        <f>IF($B1388="",0,IF(MIN(Q1375,$N1373)&lt;MAX($B1388*$P1379,$L1382-1),0,YEARFRAC(MAX($B1388*$P1379,$L1382-1),MIN(Q1375,$N1373),$P$20)))</f>
        <v>0</v>
      </c>
      <c r="BB1388" s="509" t="str">
        <f>A1325</f>
        <v xml:space="preserve">Sim </v>
      </c>
    </row>
    <row r="1389" spans="1:54" s="446" customFormat="1" ht="12.95" customHeight="1" x14ac:dyDescent="0.2">
      <c r="A1389" s="177"/>
      <c r="B1389" s="236"/>
      <c r="C1389" s="29" t="str">
        <f ca="1">IF(AND(B1389&gt;0,L$1380=$BL$25),VLOOKUP(DATE(YEAR(N$1373),MONTH(N$1373)-1,1),ÍNDICES!$A:$DE,HLOOKUP($BL$25,ÍNDICES!$B$3:$T$4,2)+11)-VLOOKUP(B1389,ÍNDICES!$A:$DE,HLOOKUP($BL$25,ÍNDICES!$B$3:$T$4,2)+11)+1%,IF(ISERROR(VLOOKUP(DATE(YEAR(B1389),MONTH(B1389)+IF($C$1321=$S$23,1,0),1),ÍNDICES!$A:$DE,$V$1326+1)),"",VLOOKUP(DATE(YEAR(B1389),MONTH(B1389)+IF($C$1321=$S$23,1,0),1),ÍNDICES!$A:$DE,$V$1326+1)))</f>
        <v/>
      </c>
      <c r="D1389" s="155"/>
      <c r="E1389" s="552"/>
      <c r="F1389" s="552"/>
      <c r="G1389" s="552"/>
      <c r="H1389" s="552"/>
      <c r="I1389" s="552"/>
      <c r="J1389" s="5" t="str">
        <f t="shared" si="188"/>
        <v/>
      </c>
      <c r="K1389" s="5" t="str">
        <f t="shared" si="190"/>
        <v/>
      </c>
      <c r="L1389" s="5" t="str">
        <f ca="1">IF(L1380=$BL$25,K1389*IF(C1389="",0,C1389),IF(ISERROR((K1389)*SUMPRODUCT($P$37:$BA$37,$P1389:$BA1389)),IF(K1389="","",0),(K1389)*SUMPRODUCT($P$37:$BA$37,$P1389:$BA1389)))</f>
        <v/>
      </c>
      <c r="M1389" s="64">
        <f t="shared" si="189"/>
        <v>0</v>
      </c>
      <c r="N1389" s="5" t="str">
        <f t="shared" ca="1" si="191"/>
        <v/>
      </c>
      <c r="O1389" s="5" t="str">
        <f t="shared" ca="1" si="192"/>
        <v/>
      </c>
      <c r="P1389" s="446">
        <f>IF($B1389="",0,IF(MIN(P1375,$N1373)&lt;MAX($B1389*$P1379,$L1382-1),0,YEARFRAC(MAX($B1389*$P1379,$L1382-1),MIN(P1375,$N1373),$P$20)))</f>
        <v>0</v>
      </c>
      <c r="Q1389" s="446">
        <f>IF($B1389="",0,IF(MIN(Q1375,$N1373)&lt;MAX($B1389*$P1379,$L1382-1),0,YEARFRAC(MAX($B1389*$P1379,$L1382-1),MIN(Q1375,$N1373),$P$20)))</f>
        <v>0</v>
      </c>
      <c r="BB1389" s="509" t="str">
        <f>A1325</f>
        <v xml:space="preserve">Sim </v>
      </c>
    </row>
    <row r="1390" spans="1:54" s="446" customFormat="1" ht="12.95" customHeight="1" x14ac:dyDescent="0.2">
      <c r="A1390" s="177"/>
      <c r="B1390" s="236"/>
      <c r="C1390" s="29" t="str">
        <f ca="1">IF(AND(B1390&gt;0,L$1380=$BL$25),VLOOKUP(DATE(YEAR(N$1373),MONTH(N$1373)-1,1),ÍNDICES!$A:$DE,HLOOKUP($BL$25,ÍNDICES!$B$3:$T$4,2)+11)-VLOOKUP(B1390,ÍNDICES!$A:$DE,HLOOKUP($BL$25,ÍNDICES!$B$3:$T$4,2)+11)+1%,IF(ISERROR(VLOOKUP(DATE(YEAR(B1390),MONTH(B1390)+IF($C$1321=$S$23,1,0),1),ÍNDICES!$A:$DE,$V$1326+1)),"",VLOOKUP(DATE(YEAR(B1390),MONTH(B1390)+IF($C$1321=$S$23,1,0),1),ÍNDICES!$A:$DE,$V$1326+1)))</f>
        <v/>
      </c>
      <c r="D1390" s="155"/>
      <c r="E1390" s="552"/>
      <c r="F1390" s="552"/>
      <c r="G1390" s="552"/>
      <c r="H1390" s="552"/>
      <c r="I1390" s="552"/>
      <c r="J1390" s="5" t="str">
        <f t="shared" si="188"/>
        <v/>
      </c>
      <c r="K1390" s="5" t="str">
        <f t="shared" si="190"/>
        <v/>
      </c>
      <c r="L1390" s="5" t="str">
        <f ca="1">IF(L1380=$BL$25,K1390*IF(C1390="",0,C1390),IF(ISERROR((K1390)*SUMPRODUCT($P$37:$BA$37,$P1390:$BA1390)),IF(K1390="","",0),(K1390)*SUMPRODUCT($P$37:$BA$37,$P1390:$BA1390)))</f>
        <v/>
      </c>
      <c r="M1390" s="64">
        <f t="shared" si="189"/>
        <v>0</v>
      </c>
      <c r="N1390" s="5" t="str">
        <f t="shared" ca="1" si="191"/>
        <v/>
      </c>
      <c r="O1390" s="5" t="str">
        <f t="shared" ca="1" si="192"/>
        <v/>
      </c>
      <c r="P1390" s="446">
        <f>IF($B1390="",0,IF(MIN(P1375,$N1373)&lt;MAX($B1390*$P1379,$L1382-1),0,YEARFRAC(MAX($B1390*$P1379,$L1382-1),MIN(P1375,$N1373),$P$20)))</f>
        <v>0</v>
      </c>
      <c r="Q1390" s="446">
        <f>IF($B1390="",0,IF(MIN(Q1375,$N1373)&lt;MAX($B1390*$P1379,$L1382-1),0,YEARFRAC(MAX($B1390*$P1379,$L1382-1),MIN(Q1375,$N1373),$P$20)))</f>
        <v>0</v>
      </c>
      <c r="BB1390" s="509" t="str">
        <f>A1325</f>
        <v xml:space="preserve">Sim </v>
      </c>
    </row>
    <row r="1391" spans="1:54" s="446" customFormat="1" ht="12.95" customHeight="1" x14ac:dyDescent="0.2">
      <c r="A1391" s="177"/>
      <c r="B1391" s="236"/>
      <c r="C1391" s="29" t="str">
        <f ca="1">IF(AND(B1391&gt;0,L$1380=$BL$25),VLOOKUP(DATE(YEAR(N$1373),MONTH(N$1373)-1,1),ÍNDICES!$A:$DE,HLOOKUP($BL$25,ÍNDICES!$B$3:$T$4,2)+11)-VLOOKUP(B1391,ÍNDICES!$A:$DE,HLOOKUP($BL$25,ÍNDICES!$B$3:$T$4,2)+11)+1%,IF(ISERROR(VLOOKUP(DATE(YEAR(B1391),MONTH(B1391)+IF($C$1321=$S$23,1,0),1),ÍNDICES!$A:$DE,$V$1326+1)),"",VLOOKUP(DATE(YEAR(B1391),MONTH(B1391)+IF($C$1321=$S$23,1,0),1),ÍNDICES!$A:$DE,$V$1326+1)))</f>
        <v/>
      </c>
      <c r="D1391" s="155"/>
      <c r="E1391" s="552"/>
      <c r="F1391" s="552"/>
      <c r="G1391" s="552"/>
      <c r="H1391" s="552"/>
      <c r="I1391" s="552"/>
      <c r="J1391" s="5" t="str">
        <f t="shared" si="188"/>
        <v/>
      </c>
      <c r="K1391" s="5" t="str">
        <f t="shared" si="190"/>
        <v/>
      </c>
      <c r="L1391" s="5" t="str">
        <f ca="1">IF(L1380=$BL$25,K1391*IF(C1391="",0,C1391),IF(ISERROR((K1391)*SUMPRODUCT($P$37:$BA$37,$P1391:$BA1391)),IF(K1391="","",0),(K1391)*SUMPRODUCT($P$37:$BA$37,$P1391:$BA1391)))</f>
        <v/>
      </c>
      <c r="M1391" s="64">
        <f t="shared" si="189"/>
        <v>0</v>
      </c>
      <c r="N1391" s="5" t="str">
        <f t="shared" ca="1" si="191"/>
        <v/>
      </c>
      <c r="O1391" s="5" t="str">
        <f t="shared" ca="1" si="192"/>
        <v/>
      </c>
      <c r="P1391" s="446">
        <f>IF($B1391="",0,IF(MIN(P1375,$N1373)&lt;MAX($B1391*$P1379,$L1382-1),0,YEARFRAC(MAX($B1391*$P1379,$L1382-1),MIN(P1375,$N1373),$P$20)))</f>
        <v>0</v>
      </c>
      <c r="Q1391" s="446">
        <f>IF($B1391="",0,IF(MIN(Q1375,$N1373)&lt;MAX($B1391*$P1379,$L1382-1),0,YEARFRAC(MAX($B1391*$P1379,$L1382-1),MIN(Q1375,$N1373),$P$20)))</f>
        <v>0</v>
      </c>
      <c r="BB1391" s="509" t="str">
        <f>A1325</f>
        <v xml:space="preserve">Sim </v>
      </c>
    </row>
    <row r="1392" spans="1:54" s="446" customFormat="1" ht="12.95" customHeight="1" x14ac:dyDescent="0.2">
      <c r="A1392" s="177"/>
      <c r="B1392" s="236"/>
      <c r="C1392" s="29" t="str">
        <f ca="1">IF(AND(B1392&gt;0,L$1380=$BL$25),VLOOKUP(DATE(YEAR(N$1373),MONTH(N$1373)-1,1),ÍNDICES!$A:$DE,HLOOKUP($BL$25,ÍNDICES!$B$3:$T$4,2)+11)-VLOOKUP(B1392,ÍNDICES!$A:$DE,HLOOKUP($BL$25,ÍNDICES!$B$3:$T$4,2)+11)+1%,IF(ISERROR(VLOOKUP(DATE(YEAR(B1392),MONTH(B1392)+IF($C$1321=$S$23,1,0),1),ÍNDICES!$A:$DE,$V$1326+1)),"",VLOOKUP(DATE(YEAR(B1392),MONTH(B1392)+IF($C$1321=$S$23,1,0),1),ÍNDICES!$A:$DE,$V$1326+1)))</f>
        <v/>
      </c>
      <c r="D1392" s="155"/>
      <c r="E1392" s="552"/>
      <c r="F1392" s="552"/>
      <c r="G1392" s="552"/>
      <c r="H1392" s="552"/>
      <c r="I1392" s="552"/>
      <c r="J1392" s="5" t="str">
        <f t="shared" si="188"/>
        <v/>
      </c>
      <c r="K1392" s="5" t="str">
        <f t="shared" si="190"/>
        <v/>
      </c>
      <c r="L1392" s="5" t="str">
        <f ca="1">IF(L1380=$BL$25,K1392*IF(C1392="",0,C1392),IF(ISERROR((K1392)*SUMPRODUCT($P$37:$BA$37,$P1392:$BA1392)),IF(K1392="","",0),(K1392)*SUMPRODUCT($P$37:$BA$37,$P1392:$BA1392)))</f>
        <v/>
      </c>
      <c r="M1392" s="64">
        <f t="shared" si="189"/>
        <v>0</v>
      </c>
      <c r="N1392" s="5" t="str">
        <f t="shared" ca="1" si="191"/>
        <v/>
      </c>
      <c r="O1392" s="5" t="str">
        <f t="shared" ca="1" si="192"/>
        <v/>
      </c>
      <c r="P1392" s="446">
        <f>IF($B1392="",0,IF(MIN(P1375,$N1373)&lt;MAX($B1392*$P1379,$L1382-1),0,YEARFRAC(MAX($B1392*$P1379,$L1382-1),MIN(P1375,$N1373),$P$20)))</f>
        <v>0</v>
      </c>
      <c r="Q1392" s="446">
        <f>IF($B1392="",0,IF(MIN(Q1375,$N1373)&lt;MAX($B1392*$P1379,$L1382-1),0,YEARFRAC(MAX($B1392*$P1379,$L1382-1),MIN(Q1375,$N1373),$P$20)))</f>
        <v>0</v>
      </c>
      <c r="BB1392" s="509" t="str">
        <f>A1325</f>
        <v xml:space="preserve">Sim </v>
      </c>
    </row>
    <row r="1393" spans="1:54" s="446" customFormat="1" ht="12.95" customHeight="1" x14ac:dyDescent="0.2">
      <c r="A1393" s="177"/>
      <c r="B1393" s="236"/>
      <c r="C1393" s="29" t="str">
        <f ca="1">IF(AND(B1393&gt;0,L$1380=$BL$25),VLOOKUP(DATE(YEAR(N$1373),MONTH(N$1373)-1,1),ÍNDICES!$A:$DE,HLOOKUP($BL$25,ÍNDICES!$B$3:$T$4,2)+11)-VLOOKUP(B1393,ÍNDICES!$A:$DE,HLOOKUP($BL$25,ÍNDICES!$B$3:$T$4,2)+11)+1%,IF(ISERROR(VLOOKUP(DATE(YEAR(B1393),MONTH(B1393)+IF($C$1321=$S$23,1,0),1),ÍNDICES!$A:$DE,$V$1326+1)),"",VLOOKUP(DATE(YEAR(B1393),MONTH(B1393)+IF($C$1321=$S$23,1,0),1),ÍNDICES!$A:$DE,$V$1326+1)))</f>
        <v/>
      </c>
      <c r="D1393" s="155"/>
      <c r="E1393" s="552"/>
      <c r="F1393" s="552"/>
      <c r="G1393" s="552"/>
      <c r="H1393" s="552"/>
      <c r="I1393" s="552"/>
      <c r="J1393" s="5" t="str">
        <f t="shared" si="188"/>
        <v/>
      </c>
      <c r="K1393" s="5" t="str">
        <f t="shared" si="190"/>
        <v/>
      </c>
      <c r="L1393" s="5" t="str">
        <f ca="1">IF(L1380=$BL$25,K1393*IF(C1393="",0,C1393),IF(ISERROR((K1393)*SUMPRODUCT($P$37:$BA$37,$P1393:$BA1393)),IF(K1393="","",0),(K1393)*SUMPRODUCT($P$37:$BA$37,$P1393:$BA1393)))</f>
        <v/>
      </c>
      <c r="M1393" s="64">
        <f t="shared" si="189"/>
        <v>0</v>
      </c>
      <c r="N1393" s="5" t="str">
        <f t="shared" ca="1" si="191"/>
        <v/>
      </c>
      <c r="O1393" s="5" t="str">
        <f t="shared" ca="1" si="192"/>
        <v/>
      </c>
      <c r="P1393" s="446">
        <f>IF($B1393="",0,IF(MIN(P1375,$N1373)&lt;MAX($B1393*$P1379,$L1382-1),0,YEARFRAC(MAX($B1393*$P1379,$L1382-1),MIN(P1375,$N1373),$P$20)))</f>
        <v>0</v>
      </c>
      <c r="Q1393" s="446">
        <f>IF($B1393="",0,IF(MIN(Q1375,$N1373)&lt;MAX($B1393*$P1379,$L1382-1),0,YEARFRAC(MAX($B1393*$P1379,$L1382-1),MIN(Q1375,$N1373),$P$20)))</f>
        <v>0</v>
      </c>
      <c r="BB1393" s="509" t="str">
        <f>A1325</f>
        <v xml:space="preserve">Sim </v>
      </c>
    </row>
    <row r="1394" spans="1:54" s="446" customFormat="1" ht="12.95" customHeight="1" x14ac:dyDescent="0.2">
      <c r="A1394" s="177"/>
      <c r="B1394" s="236"/>
      <c r="C1394" s="29" t="str">
        <f ca="1">IF(AND(B1394&gt;0,L$1380=$BL$25),VLOOKUP(DATE(YEAR(N$1373),MONTH(N$1373)-1,1),ÍNDICES!$A:$DE,HLOOKUP($BL$25,ÍNDICES!$B$3:$T$4,2)+11)-VLOOKUP(B1394,ÍNDICES!$A:$DE,HLOOKUP($BL$25,ÍNDICES!$B$3:$T$4,2)+11)+1%,IF(ISERROR(VLOOKUP(DATE(YEAR(B1394),MONTH(B1394)+IF($C$1321=$S$23,1,0),1),ÍNDICES!$A:$DE,$V$1326+1)),"",VLOOKUP(DATE(YEAR(B1394),MONTH(B1394)+IF($C$1321=$S$23,1,0),1),ÍNDICES!$A:$DE,$V$1326+1)))</f>
        <v/>
      </c>
      <c r="D1394" s="155"/>
      <c r="E1394" s="552"/>
      <c r="F1394" s="552"/>
      <c r="G1394" s="552"/>
      <c r="H1394" s="552"/>
      <c r="I1394" s="552"/>
      <c r="J1394" s="5" t="str">
        <f t="shared" si="188"/>
        <v/>
      </c>
      <c r="K1394" s="5" t="str">
        <f t="shared" si="190"/>
        <v/>
      </c>
      <c r="L1394" s="5" t="str">
        <f ca="1">IF(L1380=$BL$25,K1394*IF(C1394="",0,C1394),IF(ISERROR((K1394)*SUMPRODUCT($P$37:$BA$37,$P1394:$BA1394)),IF(K1394="","",0),(K1394)*SUMPRODUCT($P$37:$BA$37,$P1394:$BA1394)))</f>
        <v/>
      </c>
      <c r="M1394" s="64">
        <f t="shared" si="189"/>
        <v>0</v>
      </c>
      <c r="N1394" s="5" t="str">
        <f t="shared" ca="1" si="191"/>
        <v/>
      </c>
      <c r="O1394" s="5" t="str">
        <f t="shared" ca="1" si="192"/>
        <v/>
      </c>
      <c r="P1394" s="446">
        <f>IF($B1394="",0,IF(MIN(P1375,$N1373)&lt;MAX($B1394*$P1379,$L1382-1),0,YEARFRAC(MAX($B1394*$P1379,$L1382-1),MIN(P1375,$N1373),$P$20)))</f>
        <v>0</v>
      </c>
      <c r="Q1394" s="446">
        <f>IF($B1394="",0,IF(MIN(Q1375,$N1373)&lt;MAX($B1394*$P1379,$L1382-1),0,YEARFRAC(MAX($B1394*$P1379,$L1382-1),MIN(Q1375,$N1373),$P$20)))</f>
        <v>0</v>
      </c>
      <c r="BB1394" s="509" t="str">
        <f>A1325</f>
        <v xml:space="preserve">Sim </v>
      </c>
    </row>
    <row r="1395" spans="1:54" s="446" customFormat="1" ht="12.95" customHeight="1" x14ac:dyDescent="0.2">
      <c r="A1395" s="177"/>
      <c r="B1395" s="236"/>
      <c r="C1395" s="29" t="str">
        <f ca="1">IF(AND(B1395&gt;0,L$1380=$BL$25),VLOOKUP(DATE(YEAR(N$1373),MONTH(N$1373)-1,1),ÍNDICES!$A:$DE,HLOOKUP($BL$25,ÍNDICES!$B$3:$T$4,2)+11)-VLOOKUP(B1395,ÍNDICES!$A:$DE,HLOOKUP($BL$25,ÍNDICES!$B$3:$T$4,2)+11)+1%,IF(ISERROR(VLOOKUP(DATE(YEAR(B1395),MONTH(B1395)+IF($C$1321=$S$23,1,0),1),ÍNDICES!$A:$DE,$V$1326+1)),"",VLOOKUP(DATE(YEAR(B1395),MONTH(B1395)+IF($C$1321=$S$23,1,0),1),ÍNDICES!$A:$DE,$V$1326+1)))</f>
        <v/>
      </c>
      <c r="D1395" s="155"/>
      <c r="E1395" s="552"/>
      <c r="F1395" s="552"/>
      <c r="G1395" s="552"/>
      <c r="H1395" s="552"/>
      <c r="I1395" s="552"/>
      <c r="J1395" s="5" t="str">
        <f t="shared" si="188"/>
        <v/>
      </c>
      <c r="K1395" s="5" t="str">
        <f t="shared" si="190"/>
        <v/>
      </c>
      <c r="L1395" s="5" t="str">
        <f ca="1">IF(L1380=$BL$25,K1395*IF(C1395="",0,C1395),IF(ISERROR((K1395)*SUMPRODUCT($P$37:$BA$37,$P1395:$BA1395)),IF(K1395="","",0),(K1395)*SUMPRODUCT($P$37:$BA$37,$P1395:$BA1395)))</f>
        <v/>
      </c>
      <c r="M1395" s="64">
        <f t="shared" si="189"/>
        <v>0</v>
      </c>
      <c r="N1395" s="5" t="str">
        <f t="shared" ca="1" si="191"/>
        <v/>
      </c>
      <c r="O1395" s="5" t="str">
        <f t="shared" ca="1" si="192"/>
        <v/>
      </c>
      <c r="P1395" s="446">
        <f>IF($B1395="",0,IF(MIN(P1375,$N1373)&lt;MAX($B1395*$P1379,$L1382-1),0,YEARFRAC(MAX($B1395*$P1379,$L1382-1),MIN(P1375,$N1373),$P$20)))</f>
        <v>0</v>
      </c>
      <c r="Q1395" s="446">
        <f>IF($B1395="",0,IF(MIN(Q1375,$N1373)&lt;MAX($B1395*$P1379,$L1382-1),0,YEARFRAC(MAX($B1395*$P1379,$L1382-1),MIN(Q1375,$N1373),$P$20)))</f>
        <v>0</v>
      </c>
      <c r="BB1395" s="509" t="str">
        <f>A1325</f>
        <v xml:space="preserve">Sim </v>
      </c>
    </row>
    <row r="1396" spans="1:54" s="446" customFormat="1" ht="12.95" customHeight="1" x14ac:dyDescent="0.2">
      <c r="A1396" s="177"/>
      <c r="B1396" s="236"/>
      <c r="C1396" s="29" t="str">
        <f ca="1">IF(AND(B1396&gt;0,L$1380=$BL$25),VLOOKUP(DATE(YEAR(N$1373),MONTH(N$1373)-1,1),ÍNDICES!$A:$DE,HLOOKUP($BL$25,ÍNDICES!$B$3:$T$4,2)+11)-VLOOKUP(B1396,ÍNDICES!$A:$DE,HLOOKUP($BL$25,ÍNDICES!$B$3:$T$4,2)+11)+1%,IF(ISERROR(VLOOKUP(DATE(YEAR(B1396),MONTH(B1396)+IF($C$1321=$S$23,1,0),1),ÍNDICES!$A:$DE,$V$1326+1)),"",VLOOKUP(DATE(YEAR(B1396),MONTH(B1396)+IF($C$1321=$S$23,1,0),1),ÍNDICES!$A:$DE,$V$1326+1)))</f>
        <v/>
      </c>
      <c r="D1396" s="155"/>
      <c r="E1396" s="552"/>
      <c r="F1396" s="552"/>
      <c r="G1396" s="552"/>
      <c r="H1396" s="552"/>
      <c r="I1396" s="552"/>
      <c r="J1396" s="5" t="str">
        <f t="shared" si="188"/>
        <v/>
      </c>
      <c r="K1396" s="5" t="str">
        <f t="shared" si="190"/>
        <v/>
      </c>
      <c r="L1396" s="5" t="str">
        <f ca="1">IF(L1380=$BL$25,K1396*IF(C1396="",0,C1396),IF(ISERROR((K1396)*SUMPRODUCT($P$37:$BA$37,$P1396:$BA1396)),IF(K1396="","",0),(K1396)*SUMPRODUCT($P$37:$BA$37,$P1396:$BA1396)))</f>
        <v/>
      </c>
      <c r="M1396" s="64">
        <f t="shared" si="189"/>
        <v>0</v>
      </c>
      <c r="N1396" s="5" t="str">
        <f t="shared" ca="1" si="191"/>
        <v/>
      </c>
      <c r="O1396" s="5" t="str">
        <f t="shared" ca="1" si="192"/>
        <v/>
      </c>
      <c r="P1396" s="446">
        <f>IF($B1396="",0,IF(MIN(P1375,$N1373)&lt;MAX($B1396*$P1379,$L1382-1),0,YEARFRAC(MAX($B1396*$P1379,$L1382-1),MIN(P1375,$N1373),$P$20)))</f>
        <v>0</v>
      </c>
      <c r="Q1396" s="446">
        <f>IF($B1396="",0,IF(MIN(Q1375,$N1373)&lt;MAX($B1396*$P1379,$L1382-1),0,YEARFRAC(MAX($B1396*$P1379,$L1382-1),MIN(Q1375,$N1373),$P$20)))</f>
        <v>0</v>
      </c>
      <c r="BB1396" s="509" t="str">
        <f>A1325</f>
        <v xml:space="preserve">Sim </v>
      </c>
    </row>
    <row r="1397" spans="1:54" s="446" customFormat="1" ht="12.95" customHeight="1" x14ac:dyDescent="0.2">
      <c r="A1397" s="177"/>
      <c r="B1397" s="236"/>
      <c r="C1397" s="29" t="str">
        <f ca="1">IF(AND(B1397&gt;0,L$1380=$BL$25),VLOOKUP(DATE(YEAR(N$1373),MONTH(N$1373)-1,1),ÍNDICES!$A:$DE,HLOOKUP($BL$25,ÍNDICES!$B$3:$T$4,2)+11)-VLOOKUP(B1397,ÍNDICES!$A:$DE,HLOOKUP($BL$25,ÍNDICES!$B$3:$T$4,2)+11)+1%,IF(ISERROR(VLOOKUP(DATE(YEAR(B1397),MONTH(B1397)+IF($C$1321=$S$23,1,0),1),ÍNDICES!$A:$DE,$V$1326+1)),"",VLOOKUP(DATE(YEAR(B1397),MONTH(B1397)+IF($C$1321=$S$23,1,0),1),ÍNDICES!$A:$DE,$V$1326+1)))</f>
        <v/>
      </c>
      <c r="D1397" s="155"/>
      <c r="E1397" s="552"/>
      <c r="F1397" s="552"/>
      <c r="G1397" s="552"/>
      <c r="H1397" s="552"/>
      <c r="I1397" s="552"/>
      <c r="J1397" s="5" t="str">
        <f t="shared" si="188"/>
        <v/>
      </c>
      <c r="K1397" s="5" t="str">
        <f t="shared" si="190"/>
        <v/>
      </c>
      <c r="L1397" s="5" t="str">
        <f ca="1">IF(L1380=$BL$25,K1397*IF(C1397="",0,C1397),IF(ISERROR((K1397)*SUMPRODUCT($P$37:$BA$37,$P1397:$BA1397)),IF(K1397="","",0),(K1397)*SUMPRODUCT($P$37:$BA$37,$P1397:$BA1397)))</f>
        <v/>
      </c>
      <c r="M1397" s="64">
        <f t="shared" si="189"/>
        <v>0</v>
      </c>
      <c r="N1397" s="5" t="str">
        <f t="shared" ca="1" si="191"/>
        <v/>
      </c>
      <c r="O1397" s="5" t="str">
        <f t="shared" ca="1" si="192"/>
        <v/>
      </c>
      <c r="P1397" s="446">
        <f>IF($B1397="",0,IF(MIN(P1375,$N1373)&lt;MAX($B1397*$P1379,$L1382-1),0,YEARFRAC(MAX($B1397*$P1379,$L1382-1),MIN(P1375,$N1373),$P$20)))</f>
        <v>0</v>
      </c>
      <c r="Q1397" s="446">
        <f>IF($B1397="",0,IF(MIN(Q1375,$N1373)&lt;MAX($B1397*$P1379,$L1382-1),0,YEARFRAC(MAX($B1397*$P1379,$L1382-1),MIN(Q1375,$N1373),$P$20)))</f>
        <v>0</v>
      </c>
      <c r="BB1397" s="509" t="str">
        <f>A1325</f>
        <v xml:space="preserve">Sim </v>
      </c>
    </row>
    <row r="1398" spans="1:54" s="446" customFormat="1" ht="12.95" customHeight="1" x14ac:dyDescent="0.2">
      <c r="A1398" s="177"/>
      <c r="B1398" s="236"/>
      <c r="C1398" s="29" t="str">
        <f ca="1">IF(AND(B1398&gt;0,L$1380=$BL$25),VLOOKUP(DATE(YEAR(N$1373),MONTH(N$1373)-1,1),ÍNDICES!$A:$DE,HLOOKUP($BL$25,ÍNDICES!$B$3:$T$4,2)+11)-VLOOKUP(B1398,ÍNDICES!$A:$DE,HLOOKUP($BL$25,ÍNDICES!$B$3:$T$4,2)+11)+1%,IF(ISERROR(VLOOKUP(DATE(YEAR(B1398),MONTH(B1398)+IF($C$1321=$S$23,1,0),1),ÍNDICES!$A:$DE,$V$1326+1)),"",VLOOKUP(DATE(YEAR(B1398),MONTH(B1398)+IF($C$1321=$S$23,1,0),1),ÍNDICES!$A:$DE,$V$1326+1)))</f>
        <v/>
      </c>
      <c r="D1398" s="155"/>
      <c r="E1398" s="552"/>
      <c r="F1398" s="552"/>
      <c r="G1398" s="552"/>
      <c r="H1398" s="552"/>
      <c r="I1398" s="552"/>
      <c r="J1398" s="5" t="str">
        <f t="shared" si="188"/>
        <v/>
      </c>
      <c r="K1398" s="5" t="str">
        <f t="shared" si="190"/>
        <v/>
      </c>
      <c r="L1398" s="5" t="str">
        <f ca="1">IF(L1380=$BL$25,K1398*IF(C1398="",0,C1398),IF(ISERROR((K1398)*SUMPRODUCT($P$37:$BA$37,$P1398:$BA1398)),IF(K1398="","",0),(K1398)*SUMPRODUCT($P$37:$BA$37,$P1398:$BA1398)))</f>
        <v/>
      </c>
      <c r="M1398" s="64">
        <f t="shared" si="189"/>
        <v>0</v>
      </c>
      <c r="N1398" s="5" t="str">
        <f t="shared" ca="1" si="191"/>
        <v/>
      </c>
      <c r="O1398" s="5" t="str">
        <f t="shared" ca="1" si="192"/>
        <v/>
      </c>
      <c r="P1398" s="446">
        <f>IF($B1398="",0,IF(MIN(P1375,$N1373)&lt;MAX($B1398*$P1379,$L1382-1),0,YEARFRAC(MAX($B1398*$P1379,$L1382-1),MIN(P1375,$N1373),$P$20)))</f>
        <v>0</v>
      </c>
      <c r="Q1398" s="446">
        <f>IF($B1398="",0,IF(MIN(Q1375,$N1373)&lt;MAX($B1398*$P1379,$L1382-1),0,YEARFRAC(MAX($B1398*$P1379,$L1382-1),MIN(Q1375,$N1373),$P$20)))</f>
        <v>0</v>
      </c>
      <c r="BB1398" s="509" t="str">
        <f>A1325</f>
        <v xml:space="preserve">Sim </v>
      </c>
    </row>
    <row r="1399" spans="1:54" s="446" customFormat="1" ht="12.95" customHeight="1" x14ac:dyDescent="0.2">
      <c r="A1399" s="177"/>
      <c r="B1399" s="236"/>
      <c r="C1399" s="29" t="str">
        <f ca="1">IF(AND(B1399&gt;0,L$1380=$BL$25),VLOOKUP(DATE(YEAR(N$1373),MONTH(N$1373)-1,1),ÍNDICES!$A:$DE,HLOOKUP($BL$25,ÍNDICES!$B$3:$T$4,2)+11)-VLOOKUP(B1399,ÍNDICES!$A:$DE,HLOOKUP($BL$25,ÍNDICES!$B$3:$T$4,2)+11)+1%,IF(ISERROR(VLOOKUP(DATE(YEAR(B1399),MONTH(B1399)+IF($C$1321=$S$23,1,0),1),ÍNDICES!$A:$DE,$V$1326+1)),"",VLOOKUP(DATE(YEAR(B1399),MONTH(B1399)+IF($C$1321=$S$23,1,0),1),ÍNDICES!$A:$DE,$V$1326+1)))</f>
        <v/>
      </c>
      <c r="D1399" s="155"/>
      <c r="E1399" s="552"/>
      <c r="F1399" s="552"/>
      <c r="G1399" s="552"/>
      <c r="H1399" s="552"/>
      <c r="I1399" s="552"/>
      <c r="J1399" s="5" t="str">
        <f t="shared" si="188"/>
        <v/>
      </c>
      <c r="K1399" s="5" t="str">
        <f t="shared" si="190"/>
        <v/>
      </c>
      <c r="L1399" s="361"/>
      <c r="M1399" s="362"/>
      <c r="N1399" s="361"/>
      <c r="O1399" s="361"/>
      <c r="BB1399" s="509" t="str">
        <f>A1325</f>
        <v xml:space="preserve">Sim </v>
      </c>
    </row>
    <row r="1400" spans="1:54" s="446" customFormat="1" ht="12.95" customHeight="1" x14ac:dyDescent="0.2">
      <c r="A1400" s="177"/>
      <c r="B1400" s="236"/>
      <c r="C1400" s="29" t="str">
        <f ca="1">IF(AND(B1400&gt;0,L$1380=$BL$25),VLOOKUP(DATE(YEAR(N$1373),MONTH(N$1373)-1,1),ÍNDICES!$A:$DE,HLOOKUP($BL$25,ÍNDICES!$B$3:$T$4,2)+11)-VLOOKUP(B1400,ÍNDICES!$A:$DE,HLOOKUP($BL$25,ÍNDICES!$B$3:$T$4,2)+11)+1%,IF(ISERROR(VLOOKUP(DATE(YEAR(B1400),MONTH(B1400)+IF($C$1321=$S$23,1,0),1),ÍNDICES!$A:$DE,$V$1326+1)),"",VLOOKUP(DATE(YEAR(B1400),MONTH(B1400)+IF($C$1321=$S$23,1,0),1),ÍNDICES!$A:$DE,$V$1326+1)))</f>
        <v/>
      </c>
      <c r="D1400" s="155"/>
      <c r="E1400" s="552"/>
      <c r="F1400" s="552"/>
      <c r="G1400" s="552"/>
      <c r="H1400" s="552"/>
      <c r="I1400" s="552"/>
      <c r="J1400" s="5" t="str">
        <f t="shared" si="188"/>
        <v/>
      </c>
      <c r="K1400" s="5" t="str">
        <f t="shared" si="190"/>
        <v/>
      </c>
      <c r="L1400" s="361"/>
      <c r="M1400" s="362"/>
      <c r="N1400" s="361"/>
      <c r="O1400" s="361"/>
      <c r="BB1400" s="509" t="str">
        <f>A1325</f>
        <v xml:space="preserve">Sim </v>
      </c>
    </row>
    <row r="1401" spans="1:54" s="446" customFormat="1" ht="12.95" customHeight="1" x14ac:dyDescent="0.2">
      <c r="A1401" s="177"/>
      <c r="B1401" s="236"/>
      <c r="C1401" s="29" t="str">
        <f ca="1">IF(AND(B1401&gt;0,L$1380=$BL$25),VLOOKUP(DATE(YEAR(N$1373),MONTH(N$1373)-1,1),ÍNDICES!$A:$DE,HLOOKUP($BL$25,ÍNDICES!$B$3:$T$4,2)+11)-VLOOKUP(B1401,ÍNDICES!$A:$DE,HLOOKUP($BL$25,ÍNDICES!$B$3:$T$4,2)+11)+1%,IF(ISERROR(VLOOKUP(DATE(YEAR(B1401),MONTH(B1401)+IF($C$1321=$S$23,1,0),1),ÍNDICES!$A:$DE,$V$1326+1)),"",VLOOKUP(DATE(YEAR(B1401),MONTH(B1401)+IF($C$1321=$S$23,1,0),1),ÍNDICES!$A:$DE,$V$1326+1)))</f>
        <v/>
      </c>
      <c r="D1401" s="155"/>
      <c r="E1401" s="552"/>
      <c r="F1401" s="552"/>
      <c r="G1401" s="552"/>
      <c r="H1401" s="552"/>
      <c r="I1401" s="552"/>
      <c r="J1401" s="5" t="str">
        <f t="shared" si="188"/>
        <v/>
      </c>
      <c r="K1401" s="5" t="str">
        <f t="shared" si="190"/>
        <v/>
      </c>
      <c r="L1401" s="361"/>
      <c r="M1401" s="362"/>
      <c r="N1401" s="361"/>
      <c r="O1401" s="361"/>
      <c r="BB1401" s="509" t="str">
        <f>A1325</f>
        <v xml:space="preserve">Sim </v>
      </c>
    </row>
    <row r="1402" spans="1:54" s="446" customFormat="1" ht="12.95" customHeight="1" x14ac:dyDescent="0.2">
      <c r="A1402" s="177"/>
      <c r="B1402" s="236"/>
      <c r="C1402" s="29" t="str">
        <f ca="1">IF(AND(B1402&gt;0,L$1380=$BL$25),VLOOKUP(DATE(YEAR(N$1373),MONTH(N$1373)-1,1),ÍNDICES!$A:$DE,HLOOKUP($BL$25,ÍNDICES!$B$3:$T$4,2)+11)-VLOOKUP(B1402,ÍNDICES!$A:$DE,HLOOKUP($BL$25,ÍNDICES!$B$3:$T$4,2)+11)+1%,IF(ISERROR(VLOOKUP(DATE(YEAR(B1402),MONTH(B1402)+IF($C$1321=$S$23,1,0),1),ÍNDICES!$A:$DE,$V$1326+1)),"",VLOOKUP(DATE(YEAR(B1402),MONTH(B1402)+IF($C$1321=$S$23,1,0),1),ÍNDICES!$A:$DE,$V$1326+1)))</f>
        <v/>
      </c>
      <c r="D1402" s="155"/>
      <c r="E1402" s="552"/>
      <c r="F1402" s="552"/>
      <c r="G1402" s="552"/>
      <c r="H1402" s="552"/>
      <c r="I1402" s="552"/>
      <c r="J1402" s="5" t="str">
        <f t="shared" si="188"/>
        <v/>
      </c>
      <c r="K1402" s="5" t="str">
        <f t="shared" si="190"/>
        <v/>
      </c>
      <c r="L1402" s="361"/>
      <c r="M1402" s="362"/>
      <c r="N1402" s="361"/>
      <c r="O1402" s="361"/>
      <c r="BB1402" s="509" t="str">
        <f>A1325</f>
        <v xml:space="preserve">Sim </v>
      </c>
    </row>
    <row r="1403" spans="1:54" s="446" customFormat="1" ht="12.95" customHeight="1" x14ac:dyDescent="0.2">
      <c r="A1403" s="177"/>
      <c r="B1403" s="236"/>
      <c r="C1403" s="29" t="str">
        <f ca="1">IF(AND(B1403&gt;0,L$1380=$BL$25),VLOOKUP(DATE(YEAR(N$1373),MONTH(N$1373)-1,1),ÍNDICES!$A:$DE,HLOOKUP($BL$25,ÍNDICES!$B$3:$T$4,2)+11)-VLOOKUP(B1403,ÍNDICES!$A:$DE,HLOOKUP($BL$25,ÍNDICES!$B$3:$T$4,2)+11)+1%,IF(ISERROR(VLOOKUP(DATE(YEAR(B1403),MONTH(B1403)+IF($C$1321=$S$23,1,0),1),ÍNDICES!$A:$DE,$V$1326+1)),"",VLOOKUP(DATE(YEAR(B1403),MONTH(B1403)+IF($C$1321=$S$23,1,0),1),ÍNDICES!$A:$DE,$V$1326+1)))</f>
        <v/>
      </c>
      <c r="D1403" s="155"/>
      <c r="E1403" s="552"/>
      <c r="F1403" s="552"/>
      <c r="G1403" s="552"/>
      <c r="H1403" s="552"/>
      <c r="I1403" s="552"/>
      <c r="J1403" s="5" t="str">
        <f t="shared" si="188"/>
        <v/>
      </c>
      <c r="K1403" s="5" t="str">
        <f t="shared" si="190"/>
        <v/>
      </c>
      <c r="L1403" s="361"/>
      <c r="M1403" s="362"/>
      <c r="N1403" s="361"/>
      <c r="O1403" s="361"/>
      <c r="BB1403" s="509" t="str">
        <f>A1325</f>
        <v xml:space="preserve">Sim </v>
      </c>
    </row>
    <row r="1404" spans="1:54" s="446" customFormat="1" ht="12.95" customHeight="1" x14ac:dyDescent="0.2">
      <c r="A1404" s="177"/>
      <c r="B1404" s="236"/>
      <c r="C1404" s="29" t="str">
        <f ca="1">IF(AND(B1404&gt;0,L$1380=$BL$25),VLOOKUP(DATE(YEAR(N$1373),MONTH(N$1373)-1,1),ÍNDICES!$A:$DE,HLOOKUP($BL$25,ÍNDICES!$B$3:$T$4,2)+11)-VLOOKUP(B1404,ÍNDICES!$A:$DE,HLOOKUP($BL$25,ÍNDICES!$B$3:$T$4,2)+11)+1%,IF(ISERROR(VLOOKUP(DATE(YEAR(B1404),MONTH(B1404)+IF($C$1321=$S$23,1,0),1),ÍNDICES!$A:$DE,$V$1326+1)),"",VLOOKUP(DATE(YEAR(B1404),MONTH(B1404)+IF($C$1321=$S$23,1,0),1),ÍNDICES!$A:$DE,$V$1326+1)))</f>
        <v/>
      </c>
      <c r="D1404" s="155"/>
      <c r="E1404" s="552"/>
      <c r="F1404" s="552"/>
      <c r="G1404" s="552"/>
      <c r="H1404" s="552"/>
      <c r="I1404" s="552"/>
      <c r="J1404" s="5" t="str">
        <f t="shared" si="188"/>
        <v/>
      </c>
      <c r="K1404" s="5" t="str">
        <f t="shared" si="190"/>
        <v/>
      </c>
      <c r="L1404" s="361"/>
      <c r="M1404" s="362"/>
      <c r="N1404" s="361"/>
      <c r="O1404" s="361"/>
      <c r="BB1404" s="509" t="str">
        <f>A1325</f>
        <v xml:space="preserve">Sim </v>
      </c>
    </row>
    <row r="1405" spans="1:54" s="446" customFormat="1" ht="12.95" customHeight="1" x14ac:dyDescent="0.2">
      <c r="A1405" s="177"/>
      <c r="B1405" s="236"/>
      <c r="C1405" s="29" t="str">
        <f ca="1">IF(AND(B1405&gt;0,L$1380=$BL$25),VLOOKUP(DATE(YEAR(N$1373),MONTH(N$1373)-1,1),ÍNDICES!$A:$DE,HLOOKUP($BL$25,ÍNDICES!$B$3:$T$4,2)+11)-VLOOKUP(B1405,ÍNDICES!$A:$DE,HLOOKUP($BL$25,ÍNDICES!$B$3:$T$4,2)+11)+1%,IF(ISERROR(VLOOKUP(DATE(YEAR(B1405),MONTH(B1405)+IF($C$1321=$S$23,1,0),1),ÍNDICES!$A:$DE,$V$1326+1)),"",VLOOKUP(DATE(YEAR(B1405),MONTH(B1405)+IF($C$1321=$S$23,1,0),1),ÍNDICES!$A:$DE,$V$1326+1)))</f>
        <v/>
      </c>
      <c r="D1405" s="155"/>
      <c r="E1405" s="552"/>
      <c r="F1405" s="552"/>
      <c r="G1405" s="552"/>
      <c r="H1405" s="552"/>
      <c r="I1405" s="552"/>
      <c r="J1405" s="5" t="str">
        <f t="shared" si="188"/>
        <v/>
      </c>
      <c r="K1405" s="5" t="str">
        <f t="shared" si="190"/>
        <v/>
      </c>
      <c r="L1405" s="361"/>
      <c r="M1405" s="362"/>
      <c r="N1405" s="361"/>
      <c r="O1405" s="361"/>
      <c r="BB1405" s="509" t="str">
        <f>A1325</f>
        <v xml:space="preserve">Sim </v>
      </c>
    </row>
    <row r="1406" spans="1:54" s="446" customFormat="1" ht="12.95" customHeight="1" x14ac:dyDescent="0.2">
      <c r="A1406" s="177"/>
      <c r="B1406" s="236"/>
      <c r="C1406" s="29" t="str">
        <f ca="1">IF(AND(B1406&gt;0,L$1380=$BL$25),VLOOKUP(DATE(YEAR(N$1373),MONTH(N$1373)-1,1),ÍNDICES!$A:$DE,HLOOKUP($BL$25,ÍNDICES!$B$3:$T$4,2)+11)-VLOOKUP(B1406,ÍNDICES!$A:$DE,HLOOKUP($BL$25,ÍNDICES!$B$3:$T$4,2)+11)+1%,IF(ISERROR(VLOOKUP(DATE(YEAR(B1406),MONTH(B1406)+IF($C$1321=$S$23,1,0),1),ÍNDICES!$A:$DE,$V$1326+1)),"",VLOOKUP(DATE(YEAR(B1406),MONTH(B1406)+IF($C$1321=$S$23,1,0),1),ÍNDICES!$A:$DE,$V$1326+1)))</f>
        <v/>
      </c>
      <c r="D1406" s="155"/>
      <c r="E1406" s="552"/>
      <c r="F1406" s="552"/>
      <c r="G1406" s="552"/>
      <c r="H1406" s="552"/>
      <c r="I1406" s="552"/>
      <c r="J1406" s="5" t="str">
        <f t="shared" si="188"/>
        <v/>
      </c>
      <c r="K1406" s="5" t="str">
        <f t="shared" si="190"/>
        <v/>
      </c>
      <c r="L1406" s="361"/>
      <c r="M1406" s="362"/>
      <c r="N1406" s="361"/>
      <c r="O1406" s="361"/>
      <c r="BB1406" s="509" t="str">
        <f>A1325</f>
        <v xml:space="preserve">Sim </v>
      </c>
    </row>
    <row r="1407" spans="1:54" s="446" customFormat="1" ht="12.95" customHeight="1" x14ac:dyDescent="0.2">
      <c r="A1407" s="177"/>
      <c r="B1407" s="236"/>
      <c r="C1407" s="29" t="str">
        <f ca="1">IF(AND(B1407&gt;0,L$1380=$BL$25),VLOOKUP(DATE(YEAR(N$1373),MONTH(N$1373)-1,1),ÍNDICES!$A:$DE,HLOOKUP($BL$25,ÍNDICES!$B$3:$T$4,2)+11)-VLOOKUP(B1407,ÍNDICES!$A:$DE,HLOOKUP($BL$25,ÍNDICES!$B$3:$T$4,2)+11)+1%,IF(ISERROR(VLOOKUP(DATE(YEAR(B1407),MONTH(B1407)+IF($C$1321=$S$23,1,0),1),ÍNDICES!$A:$DE,$V$1326+1)),"",VLOOKUP(DATE(YEAR(B1407),MONTH(B1407)+IF($C$1321=$S$23,1,0),1),ÍNDICES!$A:$DE,$V$1326+1)))</f>
        <v/>
      </c>
      <c r="D1407" s="155"/>
      <c r="E1407" s="552"/>
      <c r="F1407" s="552"/>
      <c r="G1407" s="552"/>
      <c r="H1407" s="552"/>
      <c r="I1407" s="552"/>
      <c r="J1407" s="5" t="str">
        <f t="shared" si="188"/>
        <v/>
      </c>
      <c r="K1407" s="5" t="str">
        <f t="shared" si="190"/>
        <v/>
      </c>
      <c r="L1407" s="361"/>
      <c r="M1407" s="362"/>
      <c r="N1407" s="361"/>
      <c r="O1407" s="361"/>
      <c r="BB1407" s="509" t="str">
        <f>A1325</f>
        <v xml:space="preserve">Sim </v>
      </c>
    </row>
    <row r="1408" spans="1:54" s="446" customFormat="1" ht="12.95" customHeight="1" x14ac:dyDescent="0.2">
      <c r="A1408" s="177"/>
      <c r="B1408" s="236"/>
      <c r="C1408" s="29" t="str">
        <f ca="1">IF(AND(B1408&gt;0,L$1380=$BL$25),VLOOKUP(DATE(YEAR(N$1373),MONTH(N$1373)-1,1),ÍNDICES!$A:$DE,HLOOKUP($BL$25,ÍNDICES!$B$3:$T$4,2)+11)-VLOOKUP(B1408,ÍNDICES!$A:$DE,HLOOKUP($BL$25,ÍNDICES!$B$3:$T$4,2)+11)+1%,IF(ISERROR(VLOOKUP(DATE(YEAR(B1408),MONTH(B1408)+IF($C$1321=$S$23,1,0),1),ÍNDICES!$A:$DE,$V$1326+1)),"",VLOOKUP(DATE(YEAR(B1408),MONTH(B1408)+IF($C$1321=$S$23,1,0),1),ÍNDICES!$A:$DE,$V$1326+1)))</f>
        <v/>
      </c>
      <c r="D1408" s="155"/>
      <c r="E1408" s="552"/>
      <c r="F1408" s="552"/>
      <c r="G1408" s="552"/>
      <c r="H1408" s="552"/>
      <c r="I1408" s="552"/>
      <c r="J1408" s="5" t="str">
        <f t="shared" si="188"/>
        <v/>
      </c>
      <c r="K1408" s="5" t="str">
        <f t="shared" si="190"/>
        <v/>
      </c>
      <c r="L1408" s="361"/>
      <c r="M1408" s="362"/>
      <c r="N1408" s="361"/>
      <c r="O1408" s="361"/>
      <c r="BB1408" s="509" t="str">
        <f>A1325</f>
        <v xml:space="preserve">Sim </v>
      </c>
    </row>
    <row r="1409" spans="1:54" s="446" customFormat="1" ht="12.95" customHeight="1" x14ac:dyDescent="0.2">
      <c r="A1409" s="177"/>
      <c r="B1409" s="236"/>
      <c r="C1409" s="29" t="str">
        <f ca="1">IF(AND(B1409&gt;0,L$1380=$BL$25),VLOOKUP(DATE(YEAR(N$1373),MONTH(N$1373)-1,1),ÍNDICES!$A:$DE,HLOOKUP($BL$25,ÍNDICES!$B$3:$T$4,2)+11)-VLOOKUP(B1409,ÍNDICES!$A:$DE,HLOOKUP($BL$25,ÍNDICES!$B$3:$T$4,2)+11)+1%,IF(ISERROR(VLOOKUP(DATE(YEAR(B1409),MONTH(B1409)+IF($C$1321=$S$23,1,0),1),ÍNDICES!$A:$DE,$V$1326+1)),"",VLOOKUP(DATE(YEAR(B1409),MONTH(B1409)+IF($C$1321=$S$23,1,0),1),ÍNDICES!$A:$DE,$V$1326+1)))</f>
        <v/>
      </c>
      <c r="D1409" s="155"/>
      <c r="E1409" s="552"/>
      <c r="F1409" s="552"/>
      <c r="G1409" s="552"/>
      <c r="H1409" s="552"/>
      <c r="I1409" s="552"/>
      <c r="J1409" s="5" t="str">
        <f t="shared" si="188"/>
        <v/>
      </c>
      <c r="K1409" s="5" t="str">
        <f t="shared" si="190"/>
        <v/>
      </c>
      <c r="L1409" s="361"/>
      <c r="M1409" s="362"/>
      <c r="N1409" s="361"/>
      <c r="O1409" s="361"/>
      <c r="BB1409" s="509" t="str">
        <f>A1325</f>
        <v xml:space="preserve">Sim </v>
      </c>
    </row>
    <row r="1410" spans="1:54" s="446" customFormat="1" ht="12.95" customHeight="1" x14ac:dyDescent="0.2">
      <c r="A1410" s="177"/>
      <c r="B1410" s="236"/>
      <c r="C1410" s="29" t="str">
        <f ca="1">IF(AND(B1410&gt;0,L$1380=$BL$25),VLOOKUP(DATE(YEAR(N$1373),MONTH(N$1373)-1,1),ÍNDICES!$A:$DE,HLOOKUP($BL$25,ÍNDICES!$B$3:$T$4,2)+11)-VLOOKUP(B1410,ÍNDICES!$A:$DE,HLOOKUP($BL$25,ÍNDICES!$B$3:$T$4,2)+11)+1%,IF(ISERROR(VLOOKUP(DATE(YEAR(B1410),MONTH(B1410)+IF($C$1321=$S$23,1,0),1),ÍNDICES!$A:$DE,$V$1326+1)),"",VLOOKUP(DATE(YEAR(B1410),MONTH(B1410)+IF($C$1321=$S$23,1,0),1),ÍNDICES!$A:$DE,$V$1326+1)))</f>
        <v/>
      </c>
      <c r="D1410" s="155"/>
      <c r="E1410" s="552"/>
      <c r="F1410" s="552"/>
      <c r="G1410" s="552"/>
      <c r="H1410" s="552"/>
      <c r="I1410" s="552"/>
      <c r="J1410" s="5" t="str">
        <f t="shared" si="188"/>
        <v/>
      </c>
      <c r="K1410" s="5" t="str">
        <f t="shared" si="190"/>
        <v/>
      </c>
      <c r="L1410" s="361"/>
      <c r="M1410" s="362"/>
      <c r="N1410" s="361"/>
      <c r="O1410" s="361"/>
      <c r="BB1410" s="509" t="str">
        <f>A1325</f>
        <v xml:space="preserve">Sim </v>
      </c>
    </row>
    <row r="1411" spans="1:54" s="446" customFormat="1" ht="12.95" customHeight="1" x14ac:dyDescent="0.2">
      <c r="A1411" s="177"/>
      <c r="B1411" s="236"/>
      <c r="C1411" s="29" t="str">
        <f ca="1">IF(AND(B1411&gt;0,L$1380=$BL$25),VLOOKUP(DATE(YEAR(N$1373),MONTH(N$1373)-1,1),ÍNDICES!$A:$DE,HLOOKUP($BL$25,ÍNDICES!$B$3:$T$4,2)+11)-VLOOKUP(B1411,ÍNDICES!$A:$DE,HLOOKUP($BL$25,ÍNDICES!$B$3:$T$4,2)+11)+1%,IF(ISERROR(VLOOKUP(DATE(YEAR(B1411),MONTH(B1411)+IF($C$1321=$S$23,1,0),1),ÍNDICES!$A:$DE,$V$1326+1)),"",VLOOKUP(DATE(YEAR(B1411),MONTH(B1411)+IF($C$1321=$S$23,1,0),1),ÍNDICES!$A:$DE,$V$1326+1)))</f>
        <v/>
      </c>
      <c r="D1411" s="155"/>
      <c r="E1411" s="552"/>
      <c r="F1411" s="552"/>
      <c r="G1411" s="552"/>
      <c r="H1411" s="552"/>
      <c r="I1411" s="552"/>
      <c r="J1411" s="5" t="str">
        <f t="shared" si="188"/>
        <v/>
      </c>
      <c r="K1411" s="5" t="str">
        <f t="shared" si="190"/>
        <v/>
      </c>
      <c r="L1411" s="361"/>
      <c r="M1411" s="362"/>
      <c r="N1411" s="361"/>
      <c r="O1411" s="361"/>
      <c r="BB1411" s="509" t="str">
        <f>A1325</f>
        <v xml:space="preserve">Sim </v>
      </c>
    </row>
    <row r="1412" spans="1:54" s="446" customFormat="1" ht="12.95" customHeight="1" x14ac:dyDescent="0.2">
      <c r="A1412" s="177"/>
      <c r="B1412" s="236"/>
      <c r="C1412" s="29" t="str">
        <f ca="1">IF(AND(B1412&gt;0,L$1380=$BL$25),VLOOKUP(DATE(YEAR(N$1373),MONTH(N$1373)-1,1),ÍNDICES!$A:$DE,HLOOKUP($BL$25,ÍNDICES!$B$3:$T$4,2)+11)-VLOOKUP(B1412,ÍNDICES!$A:$DE,HLOOKUP($BL$25,ÍNDICES!$B$3:$T$4,2)+11)+1%,IF(ISERROR(VLOOKUP(DATE(YEAR(B1412),MONTH(B1412)+IF($C$1321=$S$23,1,0),1),ÍNDICES!$A:$DE,$V$1326+1)),"",VLOOKUP(DATE(YEAR(B1412),MONTH(B1412)+IF($C$1321=$S$23,1,0),1),ÍNDICES!$A:$DE,$V$1326+1)))</f>
        <v/>
      </c>
      <c r="D1412" s="155"/>
      <c r="E1412" s="552"/>
      <c r="F1412" s="552"/>
      <c r="G1412" s="552"/>
      <c r="H1412" s="552"/>
      <c r="I1412" s="552"/>
      <c r="J1412" s="5" t="str">
        <f t="shared" si="188"/>
        <v/>
      </c>
      <c r="K1412" s="5" t="str">
        <f t="shared" si="190"/>
        <v/>
      </c>
      <c r="L1412" s="361"/>
      <c r="M1412" s="362"/>
      <c r="N1412" s="361"/>
      <c r="O1412" s="361"/>
      <c r="BB1412" s="509" t="str">
        <f>A1325</f>
        <v xml:space="preserve">Sim </v>
      </c>
    </row>
    <row r="1413" spans="1:54" s="446" customFormat="1" ht="12.95" customHeight="1" x14ac:dyDescent="0.2">
      <c r="A1413" s="553" t="s">
        <v>133</v>
      </c>
      <c r="B1413" s="554"/>
      <c r="C1413" s="29"/>
      <c r="D1413" s="394"/>
      <c r="E1413" s="363"/>
      <c r="F1413" s="364"/>
      <c r="G1413" s="365"/>
      <c r="H1413" s="366"/>
      <c r="I1413" s="367"/>
      <c r="J1413" s="524"/>
      <c r="K1413" s="161">
        <f>SUM(K1385:K1412)</f>
        <v>0</v>
      </c>
      <c r="L1413" s="369">
        <f ca="1">SUM(L1385:L1412)</f>
        <v>0</v>
      </c>
      <c r="M1413" s="183"/>
      <c r="N1413" s="369">
        <f ca="1">SUM(N1385:N1412)</f>
        <v>0</v>
      </c>
      <c r="O1413" s="369">
        <f ca="1">SUM(O1385:O1412)</f>
        <v>0</v>
      </c>
      <c r="BB1413" s="509" t="str">
        <f>A1325</f>
        <v xml:space="preserve">Sim </v>
      </c>
    </row>
    <row r="1414" spans="1:54" s="446" customFormat="1" ht="6" customHeight="1" x14ac:dyDescent="0.2">
      <c r="A1414" s="87"/>
      <c r="B1414" s="88"/>
      <c r="C1414" s="88"/>
      <c r="D1414" s="88"/>
      <c r="E1414" s="19"/>
      <c r="F1414" s="19"/>
      <c r="G1414" s="258"/>
      <c r="H1414" s="259"/>
      <c r="I1414" s="164"/>
      <c r="J1414" s="19"/>
      <c r="K1414" s="19"/>
      <c r="L1414" s="370"/>
      <c r="M1414" s="244"/>
      <c r="N1414" s="370"/>
      <c r="O1414" s="370"/>
      <c r="BB1414" s="509" t="str">
        <f>A1325</f>
        <v xml:space="preserve">Sim </v>
      </c>
    </row>
    <row r="1415" spans="1:54" s="446" customFormat="1" ht="12.95" customHeight="1" x14ac:dyDescent="0.2">
      <c r="A1415" s="87"/>
      <c r="B1415" s="88"/>
      <c r="C1415" s="88"/>
      <c r="D1415" s="88"/>
      <c r="E1415" s="19"/>
      <c r="F1415" s="19"/>
      <c r="G1415" s="258"/>
      <c r="H1415" s="259"/>
      <c r="I1415" s="164"/>
      <c r="J1415" s="19"/>
      <c r="K1415" s="19"/>
      <c r="L1415" s="370"/>
      <c r="M1415" s="244"/>
      <c r="N1415" s="242" t="s">
        <v>189</v>
      </c>
      <c r="O1415" s="242">
        <f ca="1">SUM(K1413:O1413)</f>
        <v>0</v>
      </c>
      <c r="BB1415" s="509" t="str">
        <f>A1325</f>
        <v xml:space="preserve">Sim </v>
      </c>
    </row>
    <row r="1416" spans="1:54" s="446" customFormat="1" ht="12.95" customHeight="1" x14ac:dyDescent="0.2">
      <c r="A1416" s="87"/>
      <c r="B1416" s="395"/>
      <c r="C1416" s="244"/>
      <c r="D1416" s="104"/>
      <c r="E1416" s="104"/>
      <c r="F1416" s="104"/>
      <c r="G1416" s="396"/>
      <c r="H1416" s="397"/>
      <c r="I1416" s="398" t="s">
        <v>190</v>
      </c>
      <c r="J1416" s="17"/>
      <c r="K1416" s="164">
        <f ca="1">O1378+O1415</f>
        <v>0</v>
      </c>
      <c r="L1416" s="244"/>
      <c r="M1416" s="68"/>
      <c r="N1416" s="19"/>
      <c r="O1416" s="326"/>
      <c r="BB1416" s="509" t="str">
        <f>A1325</f>
        <v xml:space="preserve">Sim </v>
      </c>
    </row>
    <row r="1417" spans="1:54" s="446" customFormat="1" ht="12.95" customHeight="1" x14ac:dyDescent="0.2">
      <c r="A1417" s="327" t="str">
        <f>A1373</f>
        <v xml:space="preserve">Sim </v>
      </c>
      <c r="B1417" s="395"/>
      <c r="C1417" s="555">
        <v>0</v>
      </c>
      <c r="D1417" s="555"/>
      <c r="E1417" s="555"/>
      <c r="F1417" s="555"/>
      <c r="G1417" s="555"/>
      <c r="H1417" s="555"/>
      <c r="I1417" s="555"/>
      <c r="J1417" s="316"/>
      <c r="K1417" s="164">
        <f>IF(D1373=$Y$22,0,-J1373)</f>
        <v>0</v>
      </c>
      <c r="L1417" s="244"/>
      <c r="M1417" s="68"/>
      <c r="N1417" s="19"/>
      <c r="O1417" s="326"/>
      <c r="BB1417" s="509" t="str">
        <f>A1325</f>
        <v xml:space="preserve">Sim </v>
      </c>
    </row>
    <row r="1418" spans="1:54" s="446" customFormat="1" ht="12.95" customHeight="1" x14ac:dyDescent="0.2">
      <c r="A1418" s="87"/>
      <c r="B1418" s="395"/>
      <c r="C1418" s="244"/>
      <c r="D1418" s="104"/>
      <c r="E1418" s="104"/>
      <c r="F1418" s="104"/>
      <c r="G1418" s="396"/>
      <c r="H1418" s="397"/>
      <c r="I1418" s="297" t="str">
        <f ca="1">IF(K1418&gt;=0,"SALDO CREDOR AO AUTOR:-","SALDO DEVEDOR AO AUTOR:-")</f>
        <v>SALDO CREDOR AO AUTOR:-</v>
      </c>
      <c r="J1418" s="399">
        <f ca="1">IF(OR(D$1323=$Y$22,D1377&lt;0),J1371,J1376)</f>
        <v>43982</v>
      </c>
      <c r="K1418" s="400">
        <f ca="1">IF(OR(D$1323=$Y$22),D1377,IF(OR(D1373=$Y$22,D1377&lt;0),K1416,K1416+K1417))</f>
        <v>0</v>
      </c>
      <c r="L1418" s="244"/>
      <c r="M1418" s="68"/>
      <c r="N1418" s="19"/>
      <c r="O1418" s="326"/>
      <c r="BB1418" s="509" t="str">
        <f>A1325</f>
        <v xml:space="preserve">Sim </v>
      </c>
    </row>
    <row r="1419" spans="1:54" s="446" customFormat="1" ht="24.95" customHeight="1" x14ac:dyDescent="0.2">
      <c r="A1419" s="87"/>
      <c r="B1419" s="87"/>
      <c r="C1419" s="289"/>
      <c r="D1419" s="87"/>
      <c r="E1419" s="87"/>
      <c r="F1419" s="87"/>
      <c r="G1419" s="87"/>
      <c r="H1419" s="89"/>
      <c r="I1419" s="297"/>
      <c r="J1419" s="290"/>
      <c r="K1419" s="291"/>
      <c r="L1419" s="262"/>
      <c r="M1419" s="68"/>
      <c r="N1419" s="87"/>
      <c r="O1419" s="87"/>
      <c r="BB1419" s="447"/>
    </row>
    <row r="1420" spans="1:54" s="446" customFormat="1" ht="27.95" customHeight="1" x14ac:dyDescent="0.2">
      <c r="A1420" s="87"/>
      <c r="B1420" s="87"/>
      <c r="C1420" s="289"/>
      <c r="D1420" s="87"/>
      <c r="E1420" s="87"/>
      <c r="F1420" s="87"/>
      <c r="G1420" s="87"/>
      <c r="H1420" s="89"/>
      <c r="I1420" s="297"/>
      <c r="J1420" s="290"/>
      <c r="K1420" s="291"/>
      <c r="L1420" s="262"/>
      <c r="M1420" s="68"/>
      <c r="N1420" s="87"/>
      <c r="O1420" s="87"/>
      <c r="BB1420" s="447"/>
    </row>
    <row r="1421" spans="1:54" s="446" customFormat="1" ht="0.2" customHeight="1" x14ac:dyDescent="0.2">
      <c r="A1421" s="87"/>
      <c r="B1421" s="87"/>
      <c r="C1421" s="289"/>
      <c r="D1421" s="87"/>
      <c r="E1421" s="87"/>
      <c r="F1421" s="87"/>
      <c r="G1421" s="87"/>
      <c r="H1421" s="89"/>
      <c r="I1421" s="297"/>
      <c r="J1421" s="401">
        <f ca="1">J1418</f>
        <v>43982</v>
      </c>
      <c r="K1421" s="402">
        <f ca="1">K1418</f>
        <v>0</v>
      </c>
      <c r="L1421" s="262"/>
      <c r="M1421" s="68"/>
      <c r="N1421" s="87"/>
      <c r="O1421" s="87"/>
      <c r="BB1421" s="447"/>
    </row>
    <row r="1422" spans="1:54" s="446" customFormat="1" ht="0.2" customHeight="1" x14ac:dyDescent="0.2">
      <c r="A1422" s="87"/>
      <c r="B1422" s="87"/>
      <c r="C1422" s="289"/>
      <c r="D1422" s="87"/>
      <c r="E1422" s="87"/>
      <c r="F1422" s="87"/>
      <c r="G1422" s="87"/>
      <c r="H1422" s="89"/>
      <c r="I1422" s="297"/>
      <c r="J1422" s="290"/>
      <c r="K1422" s="291"/>
      <c r="L1422" s="262"/>
      <c r="M1422" s="68"/>
      <c r="N1422" s="87"/>
      <c r="O1422" s="87"/>
      <c r="BB1422" s="447"/>
    </row>
    <row r="1423" spans="1:54" s="446" customFormat="1" ht="15" customHeight="1" x14ac:dyDescent="0.2">
      <c r="A1423" s="327" t="str">
        <f>D1423</f>
        <v xml:space="preserve">Sim </v>
      </c>
      <c r="B1423" s="87"/>
      <c r="C1423" s="298" t="s">
        <v>193</v>
      </c>
      <c r="D1423" s="127" t="str">
        <f>A1375</f>
        <v xml:space="preserve">Sim </v>
      </c>
      <c r="E1423" s="327">
        <f>E1373+1</f>
        <v>3</v>
      </c>
      <c r="F1423" s="329" t="str">
        <f>IF(J1423&gt;0,IF(D$1290=$Y$21,E1423&amp;"º Depósito após parcelamento",E1423&amp;"º Depósito"),"")</f>
        <v/>
      </c>
      <c r="G1423" s="87"/>
      <c r="H1423" s="330"/>
      <c r="I1423" s="298" t="s">
        <v>178</v>
      </c>
      <c r="J1423" s="388"/>
      <c r="K1423" s="87"/>
      <c r="L1423" s="292"/>
      <c r="M1423" s="73" t="str">
        <f>IF(OR(D1423=$Y$22,J1423&lt;=0),"Atualizar até:-","DATA DO DEPÓSITO:-")</f>
        <v>Atualizar até:-</v>
      </c>
      <c r="N1423" s="153">
        <v>43982</v>
      </c>
      <c r="O1423" s="326"/>
      <c r="P1423" s="513"/>
      <c r="Q1423" s="472"/>
      <c r="R1423" s="480"/>
      <c r="V1423" s="472"/>
      <c r="W1423" s="480"/>
      <c r="X1423" s="472"/>
      <c r="Y1423" s="472"/>
      <c r="Z1423" s="457"/>
      <c r="AA1423" s="452"/>
      <c r="AB1423" s="472"/>
      <c r="AC1423" s="472"/>
      <c r="AD1423" s="472"/>
      <c r="AE1423" s="472"/>
      <c r="AF1423" s="472"/>
      <c r="BB1423" s="509" t="str">
        <f>A1375</f>
        <v xml:space="preserve">Sim </v>
      </c>
    </row>
    <row r="1424" spans="1:54" s="446" customFormat="1" ht="9.9499999999999993" customHeight="1" x14ac:dyDescent="0.2">
      <c r="A1424" s="270"/>
      <c r="B1424" s="87"/>
      <c r="C1424" s="242"/>
      <c r="D1424" s="242"/>
      <c r="E1424" s="242"/>
      <c r="F1424" s="242"/>
      <c r="G1424" s="242"/>
      <c r="H1424" s="120"/>
      <c r="I1424" s="242"/>
      <c r="J1424" s="242"/>
      <c r="K1424" s="242"/>
      <c r="L1424" s="389" t="str">
        <f>P1376</f>
        <v>TABELA PRÁTICA - INPC</v>
      </c>
      <c r="M1424" s="242"/>
      <c r="N1424" s="242"/>
      <c r="O1424" s="242"/>
      <c r="P1424" s="479"/>
      <c r="Q1424" s="479"/>
      <c r="R1424" s="479"/>
      <c r="S1424" s="479"/>
      <c r="T1424" s="479"/>
      <c r="U1424" s="479"/>
      <c r="V1424" s="479"/>
      <c r="W1424" s="479"/>
      <c r="X1424" s="479"/>
      <c r="Y1424" s="479"/>
      <c r="Z1424" s="479"/>
      <c r="AA1424" s="479"/>
      <c r="AB1424" s="479"/>
      <c r="AC1424" s="479"/>
      <c r="AD1424" s="479"/>
      <c r="AE1424" s="479"/>
      <c r="AF1424" s="479"/>
      <c r="AG1424" s="479"/>
      <c r="AH1424" s="479"/>
      <c r="AI1424" s="479"/>
      <c r="AJ1424" s="479"/>
      <c r="AK1424" s="479"/>
      <c r="AL1424" s="479"/>
      <c r="AM1424" s="479"/>
      <c r="AN1424" s="479"/>
      <c r="AO1424" s="479"/>
      <c r="AP1424" s="479"/>
      <c r="BB1424" s="509" t="str">
        <f>A1375</f>
        <v xml:space="preserve">Sim </v>
      </c>
    </row>
    <row r="1425" spans="1:54" s="446" customFormat="1" ht="15" customHeight="1" x14ac:dyDescent="0.2">
      <c r="A1425" s="403" t="str">
        <f>D1423</f>
        <v xml:space="preserve">Sim </v>
      </c>
      <c r="B1425" s="565">
        <f>B1375+1</f>
        <v>3</v>
      </c>
      <c r="C1425" s="565"/>
      <c r="D1425" s="565"/>
      <c r="E1425" s="565"/>
      <c r="F1425" s="565"/>
      <c r="G1425" s="565"/>
      <c r="H1425" s="565"/>
      <c r="I1425" s="565"/>
      <c r="J1425" s="565"/>
      <c r="K1425" s="565"/>
      <c r="L1425" s="565"/>
      <c r="M1425" s="565"/>
      <c r="N1425" s="334"/>
      <c r="O1425" s="334"/>
      <c r="P1425" s="480">
        <v>37631</v>
      </c>
      <c r="Q1425" s="480">
        <f>$N1423</f>
        <v>43982</v>
      </c>
      <c r="R1425" s="480"/>
      <c r="S1425" s="480"/>
      <c r="T1425" s="480"/>
      <c r="U1425" s="480"/>
      <c r="V1425" s="480"/>
      <c r="W1425" s="480"/>
      <c r="X1425" s="480"/>
      <c r="Y1425" s="480"/>
      <c r="Z1425" s="480"/>
      <c r="AA1425" s="480"/>
      <c r="AB1425" s="480"/>
      <c r="AC1425" s="480"/>
      <c r="AD1425" s="480"/>
      <c r="AE1425" s="480"/>
      <c r="AF1425" s="480"/>
      <c r="AG1425" s="480"/>
      <c r="AH1425" s="480"/>
      <c r="AI1425" s="480"/>
      <c r="AJ1425" s="480"/>
      <c r="AK1425" s="480"/>
      <c r="AL1425" s="480"/>
      <c r="AM1425" s="480"/>
      <c r="AN1425" s="480"/>
      <c r="AO1425" s="480"/>
      <c r="AP1425" s="480"/>
      <c r="BB1425" s="509" t="str">
        <f>A1375</f>
        <v xml:space="preserve">Sim </v>
      </c>
    </row>
    <row r="1426" spans="1:54" s="446" customFormat="1" ht="12.95" customHeight="1" x14ac:dyDescent="0.2">
      <c r="A1426" s="87"/>
      <c r="B1426" s="21"/>
      <c r="C1426" s="19"/>
      <c r="D1426" s="335" t="s">
        <v>179</v>
      </c>
      <c r="E1426" s="404"/>
      <c r="F1426" s="19"/>
      <c r="G1426" s="19"/>
      <c r="H1426" s="338"/>
      <c r="I1426" s="339">
        <f ca="1">J1421</f>
        <v>43982</v>
      </c>
      <c r="J1426" s="339">
        <f ca="1">IF(ISERROR(IF(VLOOKUP(N1423,ÍNDICES!$A$1:$T$65536,$P$22+1)=1,I1426,N1423)),"",IF(VLOOKUP(N1423,ÍNDICES!$A$1:$T$65536,$P$22+1)=1,I1426,N1423))</f>
        <v>43982</v>
      </c>
      <c r="K1426" s="16" t="s">
        <v>180</v>
      </c>
      <c r="L1426" s="16" t="s">
        <v>163</v>
      </c>
      <c r="M1426" s="66" t="s">
        <v>194</v>
      </c>
      <c r="N1426" s="19"/>
      <c r="O1426" s="19"/>
      <c r="P1426" s="507" t="str">
        <f>L1424</f>
        <v>TABELA PRÁTICA - INPC</v>
      </c>
      <c r="Q1426" s="472" t="s">
        <v>142</v>
      </c>
      <c r="R1426" s="480">
        <f>N1423</f>
        <v>43982</v>
      </c>
      <c r="S1426" s="472" t="s">
        <v>181</v>
      </c>
      <c r="T1426" s="480">
        <f>R1376</f>
        <v>43982</v>
      </c>
      <c r="U1426" s="457" t="s">
        <v>23</v>
      </c>
      <c r="V1426" s="452">
        <f ca="1">SUMIF(ÍNDICES!$A$3:$W$4,P1426,ÍNDICES!$A$4:$W$4)+10</f>
        <v>13</v>
      </c>
      <c r="W1426" s="529"/>
      <c r="X1426" s="529"/>
      <c r="Y1426" s="529"/>
      <c r="Z1426" s="529"/>
      <c r="AA1426" s="529"/>
      <c r="AB1426" s="529"/>
      <c r="AC1426" s="529"/>
      <c r="AD1426" s="529"/>
      <c r="AE1426" s="529"/>
      <c r="AF1426" s="529"/>
      <c r="AG1426" s="529"/>
      <c r="AH1426" s="529"/>
      <c r="AI1426" s="529"/>
      <c r="AJ1426" s="529"/>
      <c r="AK1426" s="529"/>
      <c r="AL1426" s="529"/>
      <c r="AM1426" s="529"/>
      <c r="AN1426" s="529"/>
      <c r="AO1426" s="529"/>
      <c r="AP1426" s="529"/>
      <c r="AQ1426" s="529"/>
      <c r="AR1426" s="529"/>
      <c r="AS1426" s="529"/>
      <c r="AT1426" s="529"/>
      <c r="AU1426" s="529"/>
      <c r="AV1426" s="529"/>
      <c r="AW1426" s="529"/>
      <c r="AX1426" s="529"/>
      <c r="AY1426" s="529"/>
      <c r="AZ1426" s="529"/>
      <c r="BA1426" s="529"/>
      <c r="BB1426" s="509" t="str">
        <f>A1375</f>
        <v xml:space="preserve">Sim </v>
      </c>
    </row>
    <row r="1427" spans="1:54" s="446" customFormat="1" ht="12.95" customHeight="1" x14ac:dyDescent="0.2">
      <c r="A1427" s="327"/>
      <c r="B1427" s="390"/>
      <c r="C1427" s="244"/>
      <c r="D1427" s="82">
        <f ca="1">K1421</f>
        <v>0</v>
      </c>
      <c r="E1427" s="244"/>
      <c r="F1427" s="244"/>
      <c r="G1427" s="244"/>
      <c r="H1427" s="134"/>
      <c r="I1427" s="29">
        <f ca="1">IF(L1424=$BL$25,1,IF(ISERROR(VLOOKUP(DATE(YEAR(I1426),MONTH(I1426)+IF($C$1321=$S$23,1,0),1),ÍNDICES!$A$1:$T$65536,$V$1326+1)),1,VLOOKUP(DATE(YEAR(I1426),MONTH(I1426)+IF($C$1321=$S$23,1,0),1),ÍNDICES!$A$1:$T$65536,$V$1326+1)))</f>
        <v>73.234509000000003</v>
      </c>
      <c r="J1427" s="29">
        <f ca="1">IF(L1424=$BL$25,1,IF(ISERROR(VLOOKUP(DATE(YEAR(J1426),MONTH(J1426)+IF($C$1321=$S$23,1,0),1),ÍNDICES!$A$1:$T$65536,$V$1326+1)),I1427,VLOOKUP(DATE(YEAR(J1426),MONTH(J1426)+IF($C$1321=$S$23,1,0),1),ÍNDICES!$A$1:$T$65536,$V$1326+1)))</f>
        <v>73.234509000000003</v>
      </c>
      <c r="K1427" s="161">
        <f ca="1">IF(D1427&lt;=0,D1427,D1427/I1427*J1427)</f>
        <v>0</v>
      </c>
      <c r="L1427" s="161">
        <f ca="1">IF($L$1324=$BL$25,K1427*M1427,IF(D1427&lt;0,0,K1427*SUMPRODUCT($P$37:$BA$37,$P1427:$BA1427)))</f>
        <v>0</v>
      </c>
      <c r="M1427" s="7" t="str">
        <f ca="1">IF($L$1324=$BL$25,VLOOKUP(DATE(YEAR(J1426),MONTH(J1426)-1,1),ÍNDICES!$A:$DE,10)-VLOOKUP(I1426,ÍNDICES!$A:$DE,10)+1%,IF(D1427=0,"",SUM(P1427:BA1427)))</f>
        <v/>
      </c>
      <c r="N1427" s="19"/>
      <c r="O1427" s="19"/>
      <c r="P1427" s="446">
        <f>IF($T1426="","",IF(MIN(P1425,$N1423)&lt;MAX($T1426*$P$1329,$L$1332),0,YEARFRAC(MAX($T1426*$P$1329,$L$1332),MIN(P1425,$N1423),$P$20)))</f>
        <v>0</v>
      </c>
      <c r="Q1427" s="446">
        <f>IF($T1426="","",IF(MIN(Q1425,$N1423)&lt;MAX($T1426*$P$1329,$L$1332),0,YEARFRAC(MAX($T1426*$P$1329,$L$1332),MIN(Q1425,$N1423),$P$20)))-SUM($P1427:P1427)</f>
        <v>0</v>
      </c>
      <c r="BB1427" s="509" t="str">
        <f>A1375</f>
        <v xml:space="preserve">Sim </v>
      </c>
    </row>
    <row r="1428" spans="1:54" s="510" customFormat="1" ht="18" customHeight="1" x14ac:dyDescent="0.2">
      <c r="A1428" s="342"/>
      <c r="B1428" s="343"/>
      <c r="C1428" s="344"/>
      <c r="D1428" s="344"/>
      <c r="E1428" s="344"/>
      <c r="F1428" s="345"/>
      <c r="G1428" s="346"/>
      <c r="H1428" s="347"/>
      <c r="I1428" s="348"/>
      <c r="J1428" s="348"/>
      <c r="K1428" s="349"/>
      <c r="L1428" s="349"/>
      <c r="M1428" s="350"/>
      <c r="N1428" s="351" t="s">
        <v>182</v>
      </c>
      <c r="O1428" s="351">
        <f ca="1">K1427+L1427</f>
        <v>0</v>
      </c>
      <c r="P1428" s="514"/>
      <c r="BB1428" s="515" t="str">
        <f>A1375</f>
        <v xml:space="preserve">Sim </v>
      </c>
    </row>
    <row r="1429" spans="1:54" s="446" customFormat="1" ht="12.95" customHeight="1" x14ac:dyDescent="0.2">
      <c r="A1429" s="557">
        <f>B1425</f>
        <v>3</v>
      </c>
      <c r="B1429" s="557"/>
      <c r="C1429" s="557"/>
      <c r="D1429" s="557"/>
      <c r="E1429" s="557"/>
      <c r="F1429" s="557"/>
      <c r="G1429" s="557"/>
      <c r="H1429" s="557"/>
      <c r="I1429" s="557"/>
      <c r="J1429" s="557"/>
      <c r="K1429" s="87"/>
      <c r="L1429" s="391" t="s">
        <v>65</v>
      </c>
      <c r="M1429" s="391"/>
      <c r="N1429" s="391"/>
      <c r="O1429" s="405" t="str">
        <f>O1379</f>
        <v>Não</v>
      </c>
      <c r="P1429" s="446">
        <f>IF(O1429=$Y$22,1,0)</f>
        <v>1</v>
      </c>
      <c r="BB1429" s="509" t="str">
        <f>A1375</f>
        <v xml:space="preserve">Sim </v>
      </c>
    </row>
    <row r="1430" spans="1:54" s="446" customFormat="1" ht="12.95" customHeight="1" x14ac:dyDescent="0.2">
      <c r="A1430" s="87"/>
      <c r="B1430" s="88"/>
      <c r="C1430" s="88"/>
      <c r="D1430" s="88"/>
      <c r="E1430" s="74" t="s">
        <v>183</v>
      </c>
      <c r="F1430" s="353">
        <f>IF(N1423="",J1376,N1423)</f>
        <v>43982</v>
      </c>
      <c r="G1430" s="68"/>
      <c r="H1430" s="186"/>
      <c r="I1430" s="354" t="s">
        <v>184</v>
      </c>
      <c r="J1430" s="393">
        <f ca="1">IF(ISERROR(VLOOKUP(DATE(YEAR(N1423),MONTH(N1423)+IF($C$1321=$S$23,1,0),1),ÍNDICES!A$1:CD$65536,$V$1326+1)),J1393,VLOOKUP(DATE(YEAR(N1423),MONTH(N1423)+IF($C$1321=$S$23,1,0),1),ÍNDICES!A$1:CD$65536,$V$1326+1))</f>
        <v>73.234509000000003</v>
      </c>
      <c r="K1430" s="111" t="s">
        <v>69</v>
      </c>
      <c r="L1430" s="558" t="str">
        <f>L1380</f>
        <v>TABELA PRÁTICA - INPC</v>
      </c>
      <c r="M1430" s="559"/>
      <c r="N1430" s="559"/>
      <c r="O1430" s="559"/>
      <c r="BB1430" s="509" t="str">
        <f>A1375</f>
        <v xml:space="preserve">Sim </v>
      </c>
    </row>
    <row r="1431" spans="1:54" s="446" customFormat="1" ht="12.95" customHeight="1" x14ac:dyDescent="0.2">
      <c r="A1431" s="62" t="s">
        <v>70</v>
      </c>
      <c r="B1431" s="3" t="s">
        <v>92</v>
      </c>
      <c r="C1431" s="4" t="str">
        <f>IF(L1430=$BL$25,"VARIAÇÃO","ÍNDICE")</f>
        <v>ÍNDICE</v>
      </c>
      <c r="D1431" s="62" t="s">
        <v>72</v>
      </c>
      <c r="E1431" s="560" t="s">
        <v>185</v>
      </c>
      <c r="F1431" s="560"/>
      <c r="G1431" s="560"/>
      <c r="H1431" s="560"/>
      <c r="I1431" s="561"/>
      <c r="J1431" s="524" t="s">
        <v>127</v>
      </c>
      <c r="K1431" s="62" t="s">
        <v>165</v>
      </c>
      <c r="L1431" s="62" t="s">
        <v>95</v>
      </c>
      <c r="M1431" s="63" t="s">
        <v>75</v>
      </c>
      <c r="N1431" s="14" t="s">
        <v>78</v>
      </c>
      <c r="O1431" s="14" t="s">
        <v>115</v>
      </c>
      <c r="P1431" s="516" t="str">
        <f>O1429</f>
        <v>Não</v>
      </c>
      <c r="Q1431" s="452"/>
      <c r="R1431" s="452"/>
      <c r="S1431" s="452"/>
      <c r="T1431" s="452"/>
      <c r="U1431" s="452"/>
      <c r="V1431" s="452"/>
      <c r="W1431" s="452"/>
      <c r="X1431" s="452"/>
      <c r="Y1431" s="452"/>
      <c r="Z1431" s="457"/>
      <c r="AA1431" s="452"/>
      <c r="AB1431" s="452"/>
      <c r="AC1431" s="452"/>
      <c r="AD1431" s="452"/>
      <c r="AE1431" s="452"/>
      <c r="AF1431" s="452"/>
      <c r="AG1431" s="452"/>
      <c r="AH1431" s="452"/>
      <c r="AI1431" s="452"/>
      <c r="AJ1431" s="452"/>
      <c r="BB1431" s="509" t="str">
        <f>A1375</f>
        <v xml:space="preserve">Sim </v>
      </c>
    </row>
    <row r="1432" spans="1:54" s="446" customFormat="1" ht="12.95" customHeight="1" x14ac:dyDescent="0.2">
      <c r="A1432" s="5" t="s">
        <v>80</v>
      </c>
      <c r="B1432" s="6" t="s">
        <v>96</v>
      </c>
      <c r="C1432" s="7" t="str">
        <f>IF(L1430=$BL$25,"SELIC","Inicial")</f>
        <v>Inicial</v>
      </c>
      <c r="D1432" s="62" t="s">
        <v>97</v>
      </c>
      <c r="E1432" s="562"/>
      <c r="F1432" s="562"/>
      <c r="G1432" s="562"/>
      <c r="H1432" s="562"/>
      <c r="I1432" s="563"/>
      <c r="J1432" s="20" t="s">
        <v>131</v>
      </c>
      <c r="K1432" s="62" t="s">
        <v>186</v>
      </c>
      <c r="L1432" s="59"/>
      <c r="M1432" s="7" t="s">
        <v>100</v>
      </c>
      <c r="N1432" s="5" t="s">
        <v>187</v>
      </c>
      <c r="O1432" s="5" t="s">
        <v>87</v>
      </c>
      <c r="P1432" s="479"/>
      <c r="Q1432" s="479"/>
      <c r="R1432" s="479"/>
      <c r="S1432" s="479"/>
      <c r="T1432" s="479"/>
      <c r="U1432" s="479"/>
      <c r="V1432" s="479"/>
      <c r="W1432" s="479"/>
      <c r="X1432" s="479"/>
      <c r="Y1432" s="479"/>
      <c r="Z1432" s="479"/>
      <c r="AA1432" s="479"/>
      <c r="AB1432" s="479"/>
      <c r="AC1432" s="479"/>
      <c r="AD1432" s="479"/>
      <c r="AE1432" s="479"/>
      <c r="AF1432" s="479"/>
      <c r="AG1432" s="479"/>
      <c r="AH1432" s="479"/>
      <c r="AI1432" s="479"/>
      <c r="AJ1432" s="479"/>
      <c r="AK1432" s="479"/>
      <c r="AL1432" s="479"/>
      <c r="AM1432" s="479"/>
      <c r="AN1432" s="479"/>
      <c r="AO1432" s="479"/>
      <c r="AP1432" s="479"/>
      <c r="BB1432" s="509" t="str">
        <f>A1375</f>
        <v xml:space="preserve">Sim </v>
      </c>
    </row>
    <row r="1433" spans="1:54" s="446" customFormat="1" ht="12.95" customHeight="1" x14ac:dyDescent="0.2">
      <c r="A1433" s="172" t="s">
        <v>88</v>
      </c>
      <c r="B1433" s="172" t="s">
        <v>88</v>
      </c>
      <c r="C1433" s="7" t="s">
        <v>88</v>
      </c>
      <c r="D1433" s="5" t="s">
        <v>88</v>
      </c>
      <c r="E1433" s="553" t="s">
        <v>188</v>
      </c>
      <c r="F1433" s="564"/>
      <c r="G1433" s="564"/>
      <c r="H1433" s="564"/>
      <c r="I1433" s="554"/>
      <c r="J1433" s="9" t="s">
        <v>88</v>
      </c>
      <c r="K1433" s="30">
        <v>1</v>
      </c>
      <c r="L1433" s="27"/>
      <c r="M1433" s="7" t="s">
        <v>88</v>
      </c>
      <c r="N1433" s="358">
        <f>$N$24</f>
        <v>0</v>
      </c>
      <c r="O1433" s="522">
        <f>O1383</f>
        <v>0</v>
      </c>
      <c r="P1433" s="480"/>
      <c r="Q1433" s="480"/>
      <c r="R1433" s="480"/>
      <c r="S1433" s="480"/>
      <c r="T1433" s="480"/>
      <c r="U1433" s="480"/>
      <c r="V1433" s="480"/>
      <c r="W1433" s="480"/>
      <c r="X1433" s="480"/>
      <c r="Y1433" s="480"/>
      <c r="Z1433" s="480"/>
      <c r="AA1433" s="480"/>
      <c r="AB1433" s="480"/>
      <c r="AC1433" s="480"/>
      <c r="AD1433" s="480"/>
      <c r="AE1433" s="480"/>
      <c r="AF1433" s="480"/>
      <c r="AG1433" s="480"/>
      <c r="AH1433" s="480"/>
      <c r="AI1433" s="480"/>
      <c r="AJ1433" s="480"/>
      <c r="AK1433" s="480"/>
      <c r="AL1433" s="480"/>
      <c r="AM1433" s="480"/>
      <c r="AN1433" s="480"/>
      <c r="AO1433" s="480"/>
      <c r="AP1433" s="480"/>
      <c r="BB1433" s="509" t="str">
        <f>A1375</f>
        <v xml:space="preserve">Sim </v>
      </c>
    </row>
    <row r="1434" spans="1:54" s="446" customFormat="1" ht="6" customHeight="1" x14ac:dyDescent="0.2">
      <c r="A1434" s="172"/>
      <c r="B1434" s="172"/>
      <c r="C1434" s="7"/>
      <c r="D1434" s="5"/>
      <c r="E1434" s="359"/>
      <c r="F1434" s="19"/>
      <c r="G1434" s="258"/>
      <c r="H1434" s="259"/>
      <c r="I1434" s="360"/>
      <c r="J1434" s="20"/>
      <c r="K1434" s="5"/>
      <c r="L1434" s="406"/>
      <c r="M1434" s="7"/>
      <c r="N1434" s="5"/>
      <c r="O1434" s="5"/>
      <c r="P1434" s="445"/>
      <c r="Q1434" s="445"/>
      <c r="R1434" s="445"/>
      <c r="S1434" s="445"/>
      <c r="T1434" s="445"/>
      <c r="U1434" s="445"/>
      <c r="V1434" s="445"/>
      <c r="W1434" s="445"/>
      <c r="X1434" s="445"/>
      <c r="Y1434" s="445"/>
      <c r="Z1434" s="445"/>
      <c r="AA1434" s="445"/>
      <c r="AB1434" s="445"/>
      <c r="AC1434" s="445"/>
      <c r="AD1434" s="445"/>
      <c r="AE1434" s="445"/>
      <c r="AF1434" s="445"/>
      <c r="AG1434" s="445"/>
      <c r="AH1434" s="445"/>
      <c r="AI1434" s="445"/>
      <c r="AJ1434" s="445"/>
      <c r="BB1434" s="509" t="str">
        <f>A1375</f>
        <v xml:space="preserve">Sim </v>
      </c>
    </row>
    <row r="1435" spans="1:54" s="446" customFormat="1" ht="12.95" customHeight="1" x14ac:dyDescent="0.2">
      <c r="A1435" s="177"/>
      <c r="B1435" s="236"/>
      <c r="C1435" s="29" t="str">
        <f ca="1">IF(AND(B1435&gt;0,L$1430=$BL$25),VLOOKUP(DATE(YEAR(N$1423),MONTH(N$1423)-1,1),ÍNDICES!$A:$DE,HLOOKUP($BL$25,ÍNDICES!$B$3:$T$4,2)+11)-VLOOKUP(B1435,ÍNDICES!$A:$DE,HLOOKUP($BL$25,ÍNDICES!$B$3:$T$4,2)+11)+1%,IF(ISERROR(VLOOKUP(DATE(YEAR(B1435),MONTH(B1435)+IF($C$1321=$S$23,1,0),1),ÍNDICES!$A:$DE,$V$1326+1)),"",VLOOKUP(DATE(YEAR(B1435),MONTH(B1435)+IF($C$1321=$S$23,1,0),1),ÍNDICES!$A:$DE,$V$1326+1)))</f>
        <v/>
      </c>
      <c r="D1435" s="155"/>
      <c r="E1435" s="552"/>
      <c r="F1435" s="552"/>
      <c r="G1435" s="552"/>
      <c r="H1435" s="552"/>
      <c r="I1435" s="552"/>
      <c r="J1435" s="5" t="str">
        <f t="shared" ref="J1435:J1462" si="193">IF(L$1430=$BL$25,D1435,IF(D1435="","",D1435/C1435*J$1430))</f>
        <v/>
      </c>
      <c r="K1435" s="5" t="str">
        <f>IF(J1435="","",J1435*K$1433)</f>
        <v/>
      </c>
      <c r="L1435" s="5" t="str">
        <f ca="1">IF(L1430=$BL$25,K1435*IF(C1435="",0,C1435),IF(ISERROR((K1435)*SUMPRODUCT($P$37:$BA$37,$P1435:$BA1435)),IF(K1435="","",0),(K1435)*SUMPRODUCT($P$37:$BA$37,$P1435:$BA1435)))</f>
        <v/>
      </c>
      <c r="M1435" s="64">
        <f t="shared" ref="M1435:M1448" si="194">IF(ISERROR(SUM(P1435:BA1435)),"",SUM(P1435:BA1435))</f>
        <v>0</v>
      </c>
      <c r="N1435" s="5" t="str">
        <f ca="1">IFERROR(($K1435+$L1435)*N$1333,"")</f>
        <v/>
      </c>
      <c r="O1435" s="5" t="str">
        <f ca="1">IFERROR(($K1435+$L1435+$N1435)*O$1333,"")</f>
        <v/>
      </c>
      <c r="P1435" s="446">
        <f>IF($B1435="",0,IF(MIN(P1425,$N1423)&lt;MAX($B1435*$P1429,$L1432-1),0,YEARFRAC(MAX($B1435*$P1429,$L1432-1),MIN(P1425,$N1423),$P$20)))</f>
        <v>0</v>
      </c>
      <c r="Q1435" s="446">
        <f>IF($B1435="",0,IF(MIN(Q1425,$N1423)&lt;MAX($B1435*$P1429,$L1432-1),0,YEARFRAC(MAX($B1435*$P1429,$L1432-1),MIN(Q1425,$N1423),$P$20)))</f>
        <v>0</v>
      </c>
      <c r="BB1435" s="509" t="str">
        <f>A1375</f>
        <v xml:space="preserve">Sim </v>
      </c>
    </row>
    <row r="1436" spans="1:54" s="446" customFormat="1" ht="12.95" customHeight="1" x14ac:dyDescent="0.2">
      <c r="A1436" s="177"/>
      <c r="B1436" s="236"/>
      <c r="C1436" s="29" t="str">
        <f ca="1">IF(AND(B1436&gt;0,L$1430=$BL$25),VLOOKUP(DATE(YEAR(N$1423),MONTH(N$1423)-1,1),ÍNDICES!$A:$DE,HLOOKUP($BL$25,ÍNDICES!$B$3:$T$4,2)+11)-VLOOKUP(B1436,ÍNDICES!$A:$DE,HLOOKUP($BL$25,ÍNDICES!$B$3:$T$4,2)+11)+1%,IF(ISERROR(VLOOKUP(DATE(YEAR(B1436),MONTH(B1436)+IF($C$1321=$S$23,1,0),1),ÍNDICES!$A:$DE,$V$1326+1)),"",VLOOKUP(DATE(YEAR(B1436),MONTH(B1436)+IF($C$1321=$S$23,1,0),1),ÍNDICES!$A:$DE,$V$1326+1)))</f>
        <v/>
      </c>
      <c r="D1436" s="155"/>
      <c r="E1436" s="552"/>
      <c r="F1436" s="552"/>
      <c r="G1436" s="552"/>
      <c r="H1436" s="552"/>
      <c r="I1436" s="552"/>
      <c r="J1436" s="5" t="str">
        <f t="shared" si="193"/>
        <v/>
      </c>
      <c r="K1436" s="5" t="str">
        <f t="shared" ref="K1436:K1462" si="195">IF(J1436="","",J1436*K$1433)</f>
        <v/>
      </c>
      <c r="L1436" s="5" t="str">
        <f ca="1">IF(L1430=$BL$25,K1436*IF(C1436="",0,C1436),IF(ISERROR((K1436)*SUMPRODUCT($P$37:$BA$37,$P1436:$BA1436)),IF(K1436="","",0),(K1436)*SUMPRODUCT($P$37:$BA$37,$P1436:$BA1436)))</f>
        <v/>
      </c>
      <c r="M1436" s="64">
        <f t="shared" si="194"/>
        <v>0</v>
      </c>
      <c r="N1436" s="5" t="str">
        <f t="shared" ref="N1436:N1448" ca="1" si="196">IFERROR(($K1436+$L1436)*N$1333,"")</f>
        <v/>
      </c>
      <c r="O1436" s="5" t="str">
        <f t="shared" ref="O1436:O1448" ca="1" si="197">IFERROR(($K1436+$L1436+$N1436)*O$1333,"")</f>
        <v/>
      </c>
      <c r="P1436" s="446">
        <f>IF($B1436="",0,IF(MIN(P1425,$N1423)&lt;MAX($B1436*$P1429,$L1432-1),0,YEARFRAC(MAX($B1436*$P1429,$L1432-1),MIN(P1425,$N1423),$P$20)))</f>
        <v>0</v>
      </c>
      <c r="Q1436" s="446">
        <f>IF($B1436="",0,IF(MIN(Q1425,$N1423)&lt;MAX($B1436*$P1429,$L1432-1),0,YEARFRAC(MAX($B1436*$P1429,$L1432-1),MIN(Q1425,$N1423),$P$20)))</f>
        <v>0</v>
      </c>
      <c r="BB1436" s="509" t="str">
        <f>A1375</f>
        <v xml:space="preserve">Sim </v>
      </c>
    </row>
    <row r="1437" spans="1:54" s="446" customFormat="1" ht="12.95" customHeight="1" x14ac:dyDescent="0.2">
      <c r="A1437" s="177"/>
      <c r="B1437" s="236"/>
      <c r="C1437" s="29" t="str">
        <f ca="1">IF(AND(B1437&gt;0,L$1430=$BL$25),VLOOKUP(DATE(YEAR(N$1423),MONTH(N$1423)-1,1),ÍNDICES!$A:$DE,HLOOKUP($BL$25,ÍNDICES!$B$3:$T$4,2)+11)-VLOOKUP(B1437,ÍNDICES!$A:$DE,HLOOKUP($BL$25,ÍNDICES!$B$3:$T$4,2)+11)+1%,IF(ISERROR(VLOOKUP(DATE(YEAR(B1437),MONTH(B1437)+IF($C$1321=$S$23,1,0),1),ÍNDICES!$A:$DE,$V$1326+1)),"",VLOOKUP(DATE(YEAR(B1437),MONTH(B1437)+IF($C$1321=$S$23,1,0),1),ÍNDICES!$A:$DE,$V$1326+1)))</f>
        <v/>
      </c>
      <c r="D1437" s="155"/>
      <c r="E1437" s="552"/>
      <c r="F1437" s="552"/>
      <c r="G1437" s="552"/>
      <c r="H1437" s="552"/>
      <c r="I1437" s="552"/>
      <c r="J1437" s="5" t="str">
        <f t="shared" si="193"/>
        <v/>
      </c>
      <c r="K1437" s="5" t="str">
        <f t="shared" si="195"/>
        <v/>
      </c>
      <c r="L1437" s="5" t="str">
        <f ca="1">IF(L1430=$BL$25,K1437*IF(C1437="",0,C1437),IF(ISERROR((K1437)*SUMPRODUCT($P$37:$BA$37,$P1437:$BA1437)),IF(K1437="","",0),(K1437)*SUMPRODUCT($P$37:$BA$37,$P1437:$BA1437)))</f>
        <v/>
      </c>
      <c r="M1437" s="64">
        <f t="shared" si="194"/>
        <v>0</v>
      </c>
      <c r="N1437" s="5" t="str">
        <f t="shared" ca="1" si="196"/>
        <v/>
      </c>
      <c r="O1437" s="5" t="str">
        <f t="shared" ca="1" si="197"/>
        <v/>
      </c>
      <c r="P1437" s="446">
        <f>IF($B1437="",0,IF(MIN(P1425,$N1423)&lt;MAX($B1437*$P1429,$L1432-1),0,YEARFRAC(MAX($B1437*$P1429,$L1432-1),MIN(P1425,$N1423),$P$20)))</f>
        <v>0</v>
      </c>
      <c r="Q1437" s="446">
        <f>IF($B1437="",0,IF(MIN(Q1425,$N1423)&lt;MAX($B1437*$P1429,$L1432-1),0,YEARFRAC(MAX($B1437*$P1429,$L1432-1),MIN(Q1425,$N1423),$P$20)))</f>
        <v>0</v>
      </c>
      <c r="BB1437" s="509" t="str">
        <f>A1375</f>
        <v xml:space="preserve">Sim </v>
      </c>
    </row>
    <row r="1438" spans="1:54" s="446" customFormat="1" ht="12.95" customHeight="1" x14ac:dyDescent="0.2">
      <c r="A1438" s="177"/>
      <c r="B1438" s="236"/>
      <c r="C1438" s="29" t="str">
        <f ca="1">IF(AND(B1438&gt;0,L$1430=$BL$25),VLOOKUP(DATE(YEAR(N$1423),MONTH(N$1423)-1,1),ÍNDICES!$A:$DE,HLOOKUP($BL$25,ÍNDICES!$B$3:$T$4,2)+11)-VLOOKUP(B1438,ÍNDICES!$A:$DE,HLOOKUP($BL$25,ÍNDICES!$B$3:$T$4,2)+11)+1%,IF(ISERROR(VLOOKUP(DATE(YEAR(B1438),MONTH(B1438)+IF($C$1321=$S$23,1,0),1),ÍNDICES!$A:$DE,$V$1326+1)),"",VLOOKUP(DATE(YEAR(B1438),MONTH(B1438)+IF($C$1321=$S$23,1,0),1),ÍNDICES!$A:$DE,$V$1326+1)))</f>
        <v/>
      </c>
      <c r="D1438" s="155"/>
      <c r="E1438" s="552"/>
      <c r="F1438" s="552"/>
      <c r="G1438" s="552"/>
      <c r="H1438" s="552"/>
      <c r="I1438" s="552"/>
      <c r="J1438" s="5" t="str">
        <f t="shared" si="193"/>
        <v/>
      </c>
      <c r="K1438" s="5" t="str">
        <f t="shared" si="195"/>
        <v/>
      </c>
      <c r="L1438" s="5" t="str">
        <f ca="1">IF(L1430=$BL$25,K1438*IF(C1438="",0,C1438),IF(ISERROR((K1438)*SUMPRODUCT($P$37:$BA$37,$P1438:$BA1438)),IF(K1438="","",0),(K1438)*SUMPRODUCT($P$37:$BA$37,$P1438:$BA1438)))</f>
        <v/>
      </c>
      <c r="M1438" s="64">
        <f t="shared" si="194"/>
        <v>0</v>
      </c>
      <c r="N1438" s="5" t="str">
        <f t="shared" ca="1" si="196"/>
        <v/>
      </c>
      <c r="O1438" s="5" t="str">
        <f t="shared" ca="1" si="197"/>
        <v/>
      </c>
      <c r="P1438" s="446">
        <f>IF($B1438="",0,IF(MIN(P1425,$N1423)&lt;MAX($B1438*$P1429,$L1432-1),0,YEARFRAC(MAX($B1438*$P1429,$L1432-1),MIN(P1425,$N1423),$P$20)))</f>
        <v>0</v>
      </c>
      <c r="Q1438" s="446">
        <f>IF($B1438="",0,IF(MIN(Q1425,$N1423)&lt;MAX($B1438*$P1429,$L1432-1),0,YEARFRAC(MAX($B1438*$P1429,$L1432-1),MIN(Q1425,$N1423),$P$20)))</f>
        <v>0</v>
      </c>
      <c r="BB1438" s="509" t="str">
        <f>A1375</f>
        <v xml:space="preserve">Sim </v>
      </c>
    </row>
    <row r="1439" spans="1:54" s="446" customFormat="1" ht="12.95" customHeight="1" x14ac:dyDescent="0.2">
      <c r="A1439" s="177"/>
      <c r="B1439" s="236"/>
      <c r="C1439" s="29" t="str">
        <f ca="1">IF(AND(B1439&gt;0,L$1430=$BL$25),VLOOKUP(DATE(YEAR(N$1423),MONTH(N$1423)-1,1),ÍNDICES!$A:$DE,HLOOKUP($BL$25,ÍNDICES!$B$3:$T$4,2)+11)-VLOOKUP(B1439,ÍNDICES!$A:$DE,HLOOKUP($BL$25,ÍNDICES!$B$3:$T$4,2)+11)+1%,IF(ISERROR(VLOOKUP(DATE(YEAR(B1439),MONTH(B1439)+IF($C$1321=$S$23,1,0),1),ÍNDICES!$A:$DE,$V$1326+1)),"",VLOOKUP(DATE(YEAR(B1439),MONTH(B1439)+IF($C$1321=$S$23,1,0),1),ÍNDICES!$A:$DE,$V$1326+1)))</f>
        <v/>
      </c>
      <c r="D1439" s="155"/>
      <c r="E1439" s="552"/>
      <c r="F1439" s="552"/>
      <c r="G1439" s="552"/>
      <c r="H1439" s="552"/>
      <c r="I1439" s="552"/>
      <c r="J1439" s="5" t="str">
        <f t="shared" si="193"/>
        <v/>
      </c>
      <c r="K1439" s="5" t="str">
        <f t="shared" si="195"/>
        <v/>
      </c>
      <c r="L1439" s="5" t="str">
        <f ca="1">IF(L1430=$BL$25,K1439*IF(C1439="",0,C1439),IF(ISERROR((K1439)*SUMPRODUCT($P$37:$BA$37,$P1439:$BA1439)),IF(K1439="","",0),(K1439)*SUMPRODUCT($P$37:$BA$37,$P1439:$BA1439)))</f>
        <v/>
      </c>
      <c r="M1439" s="64">
        <f t="shared" si="194"/>
        <v>0</v>
      </c>
      <c r="N1439" s="5" t="str">
        <f t="shared" ca="1" si="196"/>
        <v/>
      </c>
      <c r="O1439" s="5" t="str">
        <f t="shared" ca="1" si="197"/>
        <v/>
      </c>
      <c r="P1439" s="446">
        <f>IF($B1439="",0,IF(MIN(P1425,$N1423)&lt;MAX($B1439*$P1429,$L1432-1),0,YEARFRAC(MAX($B1439*$P1429,$L1432-1),MIN(P1425,$N1423),$P$20)))</f>
        <v>0</v>
      </c>
      <c r="Q1439" s="446">
        <f>IF($B1439="",0,IF(MIN(Q1425,$N1423)&lt;MAX($B1439*$P1429,$L1432-1),0,YEARFRAC(MAX($B1439*$P1429,$L1432-1),MIN(Q1425,$N1423),$P$20)))</f>
        <v>0</v>
      </c>
      <c r="BB1439" s="509" t="str">
        <f>A1375</f>
        <v xml:space="preserve">Sim </v>
      </c>
    </row>
    <row r="1440" spans="1:54" s="446" customFormat="1" ht="12.95" customHeight="1" x14ac:dyDescent="0.2">
      <c r="A1440" s="177"/>
      <c r="B1440" s="236"/>
      <c r="C1440" s="29" t="str">
        <f ca="1">IF(AND(B1440&gt;0,L$1430=$BL$25),VLOOKUP(DATE(YEAR(N$1423),MONTH(N$1423)-1,1),ÍNDICES!$A:$DE,HLOOKUP($BL$25,ÍNDICES!$B$3:$T$4,2)+11)-VLOOKUP(B1440,ÍNDICES!$A:$DE,HLOOKUP($BL$25,ÍNDICES!$B$3:$T$4,2)+11)+1%,IF(ISERROR(VLOOKUP(DATE(YEAR(B1440),MONTH(B1440)+IF($C$1321=$S$23,1,0),1),ÍNDICES!$A:$DE,$V$1326+1)),"",VLOOKUP(DATE(YEAR(B1440),MONTH(B1440)+IF($C$1321=$S$23,1,0),1),ÍNDICES!$A:$DE,$V$1326+1)))</f>
        <v/>
      </c>
      <c r="D1440" s="155"/>
      <c r="E1440" s="552"/>
      <c r="F1440" s="552"/>
      <c r="G1440" s="552"/>
      <c r="H1440" s="552"/>
      <c r="I1440" s="552"/>
      <c r="J1440" s="5" t="str">
        <f t="shared" si="193"/>
        <v/>
      </c>
      <c r="K1440" s="5" t="str">
        <f t="shared" si="195"/>
        <v/>
      </c>
      <c r="L1440" s="5" t="str">
        <f ca="1">IF(L1430=$BL$25,K1440*IF(C1440="",0,C1440),IF(ISERROR((K1440)*SUMPRODUCT($P$37:$BA$37,$P1440:$BA1440)),IF(K1440="","",0),(K1440)*SUMPRODUCT($P$37:$BA$37,$P1440:$BA1440)))</f>
        <v/>
      </c>
      <c r="M1440" s="64">
        <f t="shared" si="194"/>
        <v>0</v>
      </c>
      <c r="N1440" s="5" t="str">
        <f t="shared" ca="1" si="196"/>
        <v/>
      </c>
      <c r="O1440" s="5" t="str">
        <f t="shared" ca="1" si="197"/>
        <v/>
      </c>
      <c r="P1440" s="446">
        <f>IF($B1440="",0,IF(MIN(P1425,$N1423)&lt;MAX($B1440*$P1429,$L1432-1),0,YEARFRAC(MAX($B1440*$P1429,$L1432-1),MIN(P1425,$N1423),$P$20)))</f>
        <v>0</v>
      </c>
      <c r="Q1440" s="446">
        <f>IF($B1440="",0,IF(MIN(Q1425,$N1423)&lt;MAX($B1440*$P1429,$L1432-1),0,YEARFRAC(MAX($B1440*$P1429,$L1432-1),MIN(Q1425,$N1423),$P$20)))</f>
        <v>0</v>
      </c>
      <c r="BB1440" s="509" t="str">
        <f>A1375</f>
        <v xml:space="preserve">Sim </v>
      </c>
    </row>
    <row r="1441" spans="1:54" s="446" customFormat="1" ht="12.95" customHeight="1" x14ac:dyDescent="0.2">
      <c r="A1441" s="177"/>
      <c r="B1441" s="236"/>
      <c r="C1441" s="29" t="str">
        <f ca="1">IF(AND(B1441&gt;0,L$1430=$BL$25),VLOOKUP(DATE(YEAR(N$1423),MONTH(N$1423)-1,1),ÍNDICES!$A:$DE,HLOOKUP($BL$25,ÍNDICES!$B$3:$T$4,2)+11)-VLOOKUP(B1441,ÍNDICES!$A:$DE,HLOOKUP($BL$25,ÍNDICES!$B$3:$T$4,2)+11)+1%,IF(ISERROR(VLOOKUP(DATE(YEAR(B1441),MONTH(B1441)+IF($C$1321=$S$23,1,0),1),ÍNDICES!$A:$DE,$V$1326+1)),"",VLOOKUP(DATE(YEAR(B1441),MONTH(B1441)+IF($C$1321=$S$23,1,0),1),ÍNDICES!$A:$DE,$V$1326+1)))</f>
        <v/>
      </c>
      <c r="D1441" s="155"/>
      <c r="E1441" s="552"/>
      <c r="F1441" s="552"/>
      <c r="G1441" s="552"/>
      <c r="H1441" s="552"/>
      <c r="I1441" s="552"/>
      <c r="J1441" s="5" t="str">
        <f t="shared" si="193"/>
        <v/>
      </c>
      <c r="K1441" s="5" t="str">
        <f t="shared" si="195"/>
        <v/>
      </c>
      <c r="L1441" s="5" t="str">
        <f ca="1">IF(L1430=$BL$25,K1441*IF(C1441="",0,C1441),IF(ISERROR((K1441)*SUMPRODUCT($P$37:$BA$37,$P1441:$BA1441)),IF(K1441="","",0),(K1441)*SUMPRODUCT($P$37:$BA$37,$P1441:$BA1441)))</f>
        <v/>
      </c>
      <c r="M1441" s="64">
        <f t="shared" si="194"/>
        <v>0</v>
      </c>
      <c r="N1441" s="5" t="str">
        <f t="shared" ca="1" si="196"/>
        <v/>
      </c>
      <c r="O1441" s="5" t="str">
        <f t="shared" ca="1" si="197"/>
        <v/>
      </c>
      <c r="P1441" s="446">
        <f>IF($B1441="",0,IF(MIN(P1425,$N1423)&lt;MAX($B1441*$P1429,$L1432-1),0,YEARFRAC(MAX($B1441*$P1429,$L1432-1),MIN(P1425,$N1423),$P$20)))</f>
        <v>0</v>
      </c>
      <c r="Q1441" s="446">
        <f>IF($B1441="",0,IF(MIN(Q1425,$N1423)&lt;MAX($B1441*$P1429,$L1432-1),0,YEARFRAC(MAX($B1441*$P1429,$L1432-1),MIN(Q1425,$N1423),$P$20)))</f>
        <v>0</v>
      </c>
      <c r="BB1441" s="509" t="str">
        <f>A1375</f>
        <v xml:space="preserve">Sim </v>
      </c>
    </row>
    <row r="1442" spans="1:54" s="446" customFormat="1" ht="12.95" customHeight="1" x14ac:dyDescent="0.2">
      <c r="A1442" s="177"/>
      <c r="B1442" s="236"/>
      <c r="C1442" s="29" t="str">
        <f ca="1">IF(AND(B1442&gt;0,L$1430=$BL$25),VLOOKUP(DATE(YEAR(N$1423),MONTH(N$1423)-1,1),ÍNDICES!$A:$DE,HLOOKUP($BL$25,ÍNDICES!$B$3:$T$4,2)+11)-VLOOKUP(B1442,ÍNDICES!$A:$DE,HLOOKUP($BL$25,ÍNDICES!$B$3:$T$4,2)+11)+1%,IF(ISERROR(VLOOKUP(DATE(YEAR(B1442),MONTH(B1442)+IF($C$1321=$S$23,1,0),1),ÍNDICES!$A:$DE,$V$1326+1)),"",VLOOKUP(DATE(YEAR(B1442),MONTH(B1442)+IF($C$1321=$S$23,1,0),1),ÍNDICES!$A:$DE,$V$1326+1)))</f>
        <v/>
      </c>
      <c r="D1442" s="155"/>
      <c r="E1442" s="552"/>
      <c r="F1442" s="552"/>
      <c r="G1442" s="552"/>
      <c r="H1442" s="552"/>
      <c r="I1442" s="552"/>
      <c r="J1442" s="5" t="str">
        <f t="shared" si="193"/>
        <v/>
      </c>
      <c r="K1442" s="5" t="str">
        <f t="shared" si="195"/>
        <v/>
      </c>
      <c r="L1442" s="5" t="str">
        <f ca="1">IF(L1430=$BL$25,K1442*IF(C1442="",0,C1442),IF(ISERROR((K1442)*SUMPRODUCT($P$37:$BA$37,$P1442:$BA1442)),IF(K1442="","",0),(K1442)*SUMPRODUCT($P$37:$BA$37,$P1442:$BA1442)))</f>
        <v/>
      </c>
      <c r="M1442" s="64">
        <f t="shared" si="194"/>
        <v>0</v>
      </c>
      <c r="N1442" s="5" t="str">
        <f t="shared" ca="1" si="196"/>
        <v/>
      </c>
      <c r="O1442" s="5" t="str">
        <f t="shared" ca="1" si="197"/>
        <v/>
      </c>
      <c r="P1442" s="446">
        <f>IF($B1442="",0,IF(MIN(P1425,$N1423)&lt;MAX($B1442*$P1429,$L1432-1),0,YEARFRAC(MAX($B1442*$P1429,$L1432-1),MIN(P1425,$N1423),$P$20)))</f>
        <v>0</v>
      </c>
      <c r="Q1442" s="446">
        <f>IF($B1442="",0,IF(MIN(Q1425,$N1423)&lt;MAX($B1442*$P1429,$L1432-1),0,YEARFRAC(MAX($B1442*$P1429,$L1432-1),MIN(Q1425,$N1423),$P$20)))</f>
        <v>0</v>
      </c>
      <c r="BB1442" s="509" t="str">
        <f>A1375</f>
        <v xml:space="preserve">Sim </v>
      </c>
    </row>
    <row r="1443" spans="1:54" s="446" customFormat="1" ht="12.95" customHeight="1" x14ac:dyDescent="0.2">
      <c r="A1443" s="177"/>
      <c r="B1443" s="236"/>
      <c r="C1443" s="29" t="str">
        <f ca="1">IF(AND(B1443&gt;0,L$1430=$BL$25),VLOOKUP(DATE(YEAR(N$1423),MONTH(N$1423)-1,1),ÍNDICES!$A:$DE,HLOOKUP($BL$25,ÍNDICES!$B$3:$T$4,2)+11)-VLOOKUP(B1443,ÍNDICES!$A:$DE,HLOOKUP($BL$25,ÍNDICES!$B$3:$T$4,2)+11)+1%,IF(ISERROR(VLOOKUP(DATE(YEAR(B1443),MONTH(B1443)+IF($C$1321=$S$23,1,0),1),ÍNDICES!$A:$DE,$V$1326+1)),"",VLOOKUP(DATE(YEAR(B1443),MONTH(B1443)+IF($C$1321=$S$23,1,0),1),ÍNDICES!$A:$DE,$V$1326+1)))</f>
        <v/>
      </c>
      <c r="D1443" s="155"/>
      <c r="E1443" s="552"/>
      <c r="F1443" s="552"/>
      <c r="G1443" s="552"/>
      <c r="H1443" s="552"/>
      <c r="I1443" s="552"/>
      <c r="J1443" s="5" t="str">
        <f t="shared" si="193"/>
        <v/>
      </c>
      <c r="K1443" s="5" t="str">
        <f t="shared" si="195"/>
        <v/>
      </c>
      <c r="L1443" s="5" t="str">
        <f ca="1">IF(L1430=$BL$25,K1443*IF(C1443="",0,C1443),IF(ISERROR((K1443)*SUMPRODUCT($P$37:$BA$37,$P1443:$BA1443)),IF(K1443="","",0),(K1443)*SUMPRODUCT($P$37:$BA$37,$P1443:$BA1443)))</f>
        <v/>
      </c>
      <c r="M1443" s="64">
        <f t="shared" si="194"/>
        <v>0</v>
      </c>
      <c r="N1443" s="5" t="str">
        <f t="shared" ca="1" si="196"/>
        <v/>
      </c>
      <c r="O1443" s="5" t="str">
        <f t="shared" ca="1" si="197"/>
        <v/>
      </c>
      <c r="P1443" s="446">
        <f>IF($B1443="",0,IF(MIN(P1425,$N1423)&lt;MAX($B1443*$P1429,$L1432-1),0,YEARFRAC(MAX($B1443*$P1429,$L1432-1),MIN(P1425,$N1423),$P$20)))</f>
        <v>0</v>
      </c>
      <c r="Q1443" s="446">
        <f>IF($B1443="",0,IF(MIN(Q1425,$N1423)&lt;MAX($B1443*$P1429,$L1432-1),0,YEARFRAC(MAX($B1443*$P1429,$L1432-1),MIN(Q1425,$N1423),$P$20)))</f>
        <v>0</v>
      </c>
      <c r="BB1443" s="509" t="str">
        <f>A1375</f>
        <v xml:space="preserve">Sim </v>
      </c>
    </row>
    <row r="1444" spans="1:54" s="446" customFormat="1" ht="12.95" customHeight="1" x14ac:dyDescent="0.2">
      <c r="A1444" s="177"/>
      <c r="B1444" s="236"/>
      <c r="C1444" s="29" t="str">
        <f ca="1">IF(AND(B1444&gt;0,L$1430=$BL$25),VLOOKUP(DATE(YEAR(N$1423),MONTH(N$1423)-1,1),ÍNDICES!$A:$DE,HLOOKUP($BL$25,ÍNDICES!$B$3:$T$4,2)+11)-VLOOKUP(B1444,ÍNDICES!$A:$DE,HLOOKUP($BL$25,ÍNDICES!$B$3:$T$4,2)+11)+1%,IF(ISERROR(VLOOKUP(DATE(YEAR(B1444),MONTH(B1444)+IF($C$1321=$S$23,1,0),1),ÍNDICES!$A:$DE,$V$1326+1)),"",VLOOKUP(DATE(YEAR(B1444),MONTH(B1444)+IF($C$1321=$S$23,1,0),1),ÍNDICES!$A:$DE,$V$1326+1)))</f>
        <v/>
      </c>
      <c r="D1444" s="155"/>
      <c r="E1444" s="552"/>
      <c r="F1444" s="552"/>
      <c r="G1444" s="552"/>
      <c r="H1444" s="552"/>
      <c r="I1444" s="552"/>
      <c r="J1444" s="5" t="str">
        <f t="shared" si="193"/>
        <v/>
      </c>
      <c r="K1444" s="5" t="str">
        <f t="shared" si="195"/>
        <v/>
      </c>
      <c r="L1444" s="5" t="str">
        <f ca="1">IF(L1430=$BL$25,K1444*IF(C1444="",0,C1444),IF(ISERROR((K1444)*SUMPRODUCT($P$37:$BA$37,$P1444:$BA1444)),IF(K1444="","",0),(K1444)*SUMPRODUCT($P$37:$BA$37,$P1444:$BA1444)))</f>
        <v/>
      </c>
      <c r="M1444" s="64">
        <f t="shared" si="194"/>
        <v>0</v>
      </c>
      <c r="N1444" s="5" t="str">
        <f t="shared" ca="1" si="196"/>
        <v/>
      </c>
      <c r="O1444" s="5" t="str">
        <f t="shared" ca="1" si="197"/>
        <v/>
      </c>
      <c r="P1444" s="446">
        <f>IF($B1444="",0,IF(MIN(P1425,$N1423)&lt;MAX($B1444*$P1429,$L1432-1),0,YEARFRAC(MAX($B1444*$P1429,$L1432-1),MIN(P1425,$N1423),$P$20)))</f>
        <v>0</v>
      </c>
      <c r="Q1444" s="446">
        <f>IF($B1444="",0,IF(MIN(Q1425,$N1423)&lt;MAX($B1444*$P1429,$L1432-1),0,YEARFRAC(MAX($B1444*$P1429,$L1432-1),MIN(Q1425,$N1423),$P$20)))</f>
        <v>0</v>
      </c>
      <c r="BB1444" s="509" t="str">
        <f>A1375</f>
        <v xml:space="preserve">Sim </v>
      </c>
    </row>
    <row r="1445" spans="1:54" s="446" customFormat="1" ht="12.95" customHeight="1" x14ac:dyDescent="0.2">
      <c r="A1445" s="177"/>
      <c r="B1445" s="236"/>
      <c r="C1445" s="29" t="str">
        <f ca="1">IF(AND(B1445&gt;0,L$1430=$BL$25),VLOOKUP(DATE(YEAR(N$1423),MONTH(N$1423)-1,1),ÍNDICES!$A:$DE,HLOOKUP($BL$25,ÍNDICES!$B$3:$T$4,2)+11)-VLOOKUP(B1445,ÍNDICES!$A:$DE,HLOOKUP($BL$25,ÍNDICES!$B$3:$T$4,2)+11)+1%,IF(ISERROR(VLOOKUP(DATE(YEAR(B1445),MONTH(B1445)+IF($C$1321=$S$23,1,0),1),ÍNDICES!$A:$DE,$V$1326+1)),"",VLOOKUP(DATE(YEAR(B1445),MONTH(B1445)+IF($C$1321=$S$23,1,0),1),ÍNDICES!$A:$DE,$V$1326+1)))</f>
        <v/>
      </c>
      <c r="D1445" s="155"/>
      <c r="E1445" s="552"/>
      <c r="F1445" s="552"/>
      <c r="G1445" s="552"/>
      <c r="H1445" s="552"/>
      <c r="I1445" s="552"/>
      <c r="J1445" s="5" t="str">
        <f t="shared" si="193"/>
        <v/>
      </c>
      <c r="K1445" s="5" t="str">
        <f t="shared" si="195"/>
        <v/>
      </c>
      <c r="L1445" s="5" t="str">
        <f ca="1">IF(L1430=$BL$25,K1445*IF(C1445="",0,C1445),IF(ISERROR((K1445)*SUMPRODUCT($P$37:$BA$37,$P1445:$BA1445)),IF(K1445="","",0),(K1445)*SUMPRODUCT($P$37:$BA$37,$P1445:$BA1445)))</f>
        <v/>
      </c>
      <c r="M1445" s="64">
        <f t="shared" si="194"/>
        <v>0</v>
      </c>
      <c r="N1445" s="5" t="str">
        <f t="shared" ca="1" si="196"/>
        <v/>
      </c>
      <c r="O1445" s="5" t="str">
        <f t="shared" ca="1" si="197"/>
        <v/>
      </c>
      <c r="P1445" s="446">
        <f>IF($B1445="",0,IF(MIN(P1425,$N1423)&lt;MAX($B1445*$P1429,$L1432-1),0,YEARFRAC(MAX($B1445*$P1429,$L1432-1),MIN(P1425,$N1423),$P$20)))</f>
        <v>0</v>
      </c>
      <c r="Q1445" s="446">
        <f>IF($B1445="",0,IF(MIN(Q1425,$N1423)&lt;MAX($B1445*$P1429,$L1432-1),0,YEARFRAC(MAX($B1445*$P1429,$L1432-1),MIN(Q1425,$N1423),$P$20)))</f>
        <v>0</v>
      </c>
      <c r="BB1445" s="509" t="str">
        <f>A1375</f>
        <v xml:space="preserve">Sim </v>
      </c>
    </row>
    <row r="1446" spans="1:54" s="446" customFormat="1" ht="12.95" customHeight="1" x14ac:dyDescent="0.2">
      <c r="A1446" s="177"/>
      <c r="B1446" s="236"/>
      <c r="C1446" s="29" t="str">
        <f ca="1">IF(AND(B1446&gt;0,L$1430=$BL$25),VLOOKUP(DATE(YEAR(N$1423),MONTH(N$1423)-1,1),ÍNDICES!$A:$DE,HLOOKUP($BL$25,ÍNDICES!$B$3:$T$4,2)+11)-VLOOKUP(B1446,ÍNDICES!$A:$DE,HLOOKUP($BL$25,ÍNDICES!$B$3:$T$4,2)+11)+1%,IF(ISERROR(VLOOKUP(DATE(YEAR(B1446),MONTH(B1446)+IF($C$1321=$S$23,1,0),1),ÍNDICES!$A:$DE,$V$1326+1)),"",VLOOKUP(DATE(YEAR(B1446),MONTH(B1446)+IF($C$1321=$S$23,1,0),1),ÍNDICES!$A:$DE,$V$1326+1)))</f>
        <v/>
      </c>
      <c r="D1446" s="155"/>
      <c r="E1446" s="552"/>
      <c r="F1446" s="552"/>
      <c r="G1446" s="552"/>
      <c r="H1446" s="552"/>
      <c r="I1446" s="552"/>
      <c r="J1446" s="5" t="str">
        <f t="shared" si="193"/>
        <v/>
      </c>
      <c r="K1446" s="5" t="str">
        <f t="shared" si="195"/>
        <v/>
      </c>
      <c r="L1446" s="5" t="str">
        <f ca="1">IF(L1430=$BL$25,K1446*IF(C1446="",0,C1446),IF(ISERROR((K1446)*SUMPRODUCT($P$37:$BA$37,$P1446:$BA1446)),IF(K1446="","",0),(K1446)*SUMPRODUCT($P$37:$BA$37,$P1446:$BA1446)))</f>
        <v/>
      </c>
      <c r="M1446" s="64">
        <f t="shared" si="194"/>
        <v>0</v>
      </c>
      <c r="N1446" s="5" t="str">
        <f t="shared" ca="1" si="196"/>
        <v/>
      </c>
      <c r="O1446" s="5" t="str">
        <f t="shared" ca="1" si="197"/>
        <v/>
      </c>
      <c r="P1446" s="446">
        <f>IF($B1446="",0,IF(MIN(P1425,$N1423)&lt;MAX($B1446*$P1429,$L1432-1),0,YEARFRAC(MAX($B1446*$P1429,$L1432-1),MIN(P1425,$N1423),$P$20)))</f>
        <v>0</v>
      </c>
      <c r="Q1446" s="446">
        <f>IF($B1446="",0,IF(MIN(Q1425,$N1423)&lt;MAX($B1446*$P1429,$L1432-1),0,YEARFRAC(MAX($B1446*$P1429,$L1432-1),MIN(Q1425,$N1423),$P$20)))</f>
        <v>0</v>
      </c>
      <c r="BB1446" s="509" t="str">
        <f>A1375</f>
        <v xml:space="preserve">Sim </v>
      </c>
    </row>
    <row r="1447" spans="1:54" s="446" customFormat="1" ht="12.95" customHeight="1" x14ac:dyDescent="0.2">
      <c r="A1447" s="177"/>
      <c r="B1447" s="236"/>
      <c r="C1447" s="29" t="str">
        <f ca="1">IF(AND(B1447&gt;0,L$1430=$BL$25),VLOOKUP(DATE(YEAR(N$1423),MONTH(N$1423)-1,1),ÍNDICES!$A:$DE,HLOOKUP($BL$25,ÍNDICES!$B$3:$T$4,2)+11)-VLOOKUP(B1447,ÍNDICES!$A:$DE,HLOOKUP($BL$25,ÍNDICES!$B$3:$T$4,2)+11)+1%,IF(ISERROR(VLOOKUP(DATE(YEAR(B1447),MONTH(B1447)+IF($C$1321=$S$23,1,0),1),ÍNDICES!$A:$DE,$V$1326+1)),"",VLOOKUP(DATE(YEAR(B1447),MONTH(B1447)+IF($C$1321=$S$23,1,0),1),ÍNDICES!$A:$DE,$V$1326+1)))</f>
        <v/>
      </c>
      <c r="D1447" s="155"/>
      <c r="E1447" s="552"/>
      <c r="F1447" s="552"/>
      <c r="G1447" s="552"/>
      <c r="H1447" s="552"/>
      <c r="I1447" s="552"/>
      <c r="J1447" s="5" t="str">
        <f t="shared" si="193"/>
        <v/>
      </c>
      <c r="K1447" s="5" t="str">
        <f t="shared" si="195"/>
        <v/>
      </c>
      <c r="L1447" s="5" t="str">
        <f ca="1">IF(L1430=$BL$25,K1447*IF(C1447="",0,C1447),IF(ISERROR((K1447)*SUMPRODUCT($P$37:$BA$37,$P1447:$BA1447)),IF(K1447="","",0),(K1447)*SUMPRODUCT($P$37:$BA$37,$P1447:$BA1447)))</f>
        <v/>
      </c>
      <c r="M1447" s="64">
        <f t="shared" si="194"/>
        <v>0</v>
      </c>
      <c r="N1447" s="5" t="str">
        <f t="shared" ca="1" si="196"/>
        <v/>
      </c>
      <c r="O1447" s="5" t="str">
        <f t="shared" ca="1" si="197"/>
        <v/>
      </c>
      <c r="P1447" s="446">
        <f>IF($B1447="",0,IF(MIN(P1425,$N1423)&lt;MAX($B1447*$P1429,$L1432-1),0,YEARFRAC(MAX($B1447*$P1429,$L1432-1),MIN(P1425,$N1423),$P$20)))</f>
        <v>0</v>
      </c>
      <c r="Q1447" s="446">
        <f>IF($B1447="",0,IF(MIN(Q1425,$N1423)&lt;MAX($B1447*$P1429,$L1432-1),0,YEARFRAC(MAX($B1447*$P1429,$L1432-1),MIN(Q1425,$N1423),$P$20)))</f>
        <v>0</v>
      </c>
      <c r="BB1447" s="509" t="str">
        <f>A1375</f>
        <v xml:space="preserve">Sim </v>
      </c>
    </row>
    <row r="1448" spans="1:54" s="446" customFormat="1" ht="12.95" customHeight="1" x14ac:dyDescent="0.2">
      <c r="A1448" s="177"/>
      <c r="B1448" s="236"/>
      <c r="C1448" s="29" t="str">
        <f ca="1">IF(AND(B1448&gt;0,L$1430=$BL$25),VLOOKUP(DATE(YEAR(N$1423),MONTH(N$1423)-1,1),ÍNDICES!$A:$DE,HLOOKUP($BL$25,ÍNDICES!$B$3:$T$4,2)+11)-VLOOKUP(B1448,ÍNDICES!$A:$DE,HLOOKUP($BL$25,ÍNDICES!$B$3:$T$4,2)+11)+1%,IF(ISERROR(VLOOKUP(DATE(YEAR(B1448),MONTH(B1448)+IF($C$1321=$S$23,1,0),1),ÍNDICES!$A:$DE,$V$1326+1)),"",VLOOKUP(DATE(YEAR(B1448),MONTH(B1448)+IF($C$1321=$S$23,1,0),1),ÍNDICES!$A:$DE,$V$1326+1)))</f>
        <v/>
      </c>
      <c r="D1448" s="155"/>
      <c r="E1448" s="552"/>
      <c r="F1448" s="552"/>
      <c r="G1448" s="552"/>
      <c r="H1448" s="552"/>
      <c r="I1448" s="552"/>
      <c r="J1448" s="5" t="str">
        <f t="shared" si="193"/>
        <v/>
      </c>
      <c r="K1448" s="5" t="str">
        <f t="shared" si="195"/>
        <v/>
      </c>
      <c r="L1448" s="5" t="str">
        <f ca="1">IF(L1430=$BL$25,K1448*IF(C1448="",0,C1448),IF(ISERROR((K1448)*SUMPRODUCT($P$37:$BA$37,$P1448:$BA1448)),IF(K1448="","",0),(K1448)*SUMPRODUCT($P$37:$BA$37,$P1448:$BA1448)))</f>
        <v/>
      </c>
      <c r="M1448" s="64">
        <f t="shared" si="194"/>
        <v>0</v>
      </c>
      <c r="N1448" s="5" t="str">
        <f t="shared" ca="1" si="196"/>
        <v/>
      </c>
      <c r="O1448" s="5" t="str">
        <f t="shared" ca="1" si="197"/>
        <v/>
      </c>
      <c r="P1448" s="446">
        <f>IF($B1448="",0,IF(MIN(P1425,$N1423)&lt;MAX($B1448*$P1429,$L1432-1),0,YEARFRAC(MAX($B1448*$P1429,$L1432-1),MIN(P1425,$N1423),$P$20)))</f>
        <v>0</v>
      </c>
      <c r="Q1448" s="446">
        <f>IF($B1448="",0,IF(MIN(Q1425,$N1423)&lt;MAX($B1448*$P1429,$L1432-1),0,YEARFRAC(MAX($B1448*$P1429,$L1432-1),MIN(Q1425,$N1423),$P$20)))</f>
        <v>0</v>
      </c>
      <c r="BB1448" s="509" t="str">
        <f>A1375</f>
        <v xml:space="preserve">Sim </v>
      </c>
    </row>
    <row r="1449" spans="1:54" s="446" customFormat="1" ht="12.95" customHeight="1" x14ac:dyDescent="0.2">
      <c r="A1449" s="177"/>
      <c r="B1449" s="236"/>
      <c r="C1449" s="29" t="str">
        <f ca="1">IF(AND(B1449&gt;0,L$1430=$BL$25),VLOOKUP(DATE(YEAR(N$1423),MONTH(N$1423)-1,1),ÍNDICES!$A:$DE,HLOOKUP($BL$25,ÍNDICES!$B$3:$T$4,2)+11)-VLOOKUP(B1449,ÍNDICES!$A:$DE,HLOOKUP($BL$25,ÍNDICES!$B$3:$T$4,2)+11)+1%,IF(ISERROR(VLOOKUP(DATE(YEAR(B1449),MONTH(B1449)+IF($C$1321=$S$23,1,0),1),ÍNDICES!$A:$DE,$V$1326+1)),"",VLOOKUP(DATE(YEAR(B1449),MONTH(B1449)+IF($C$1321=$S$23,1,0),1),ÍNDICES!$A:$DE,$V$1326+1)))</f>
        <v/>
      </c>
      <c r="D1449" s="155"/>
      <c r="E1449" s="552"/>
      <c r="F1449" s="552"/>
      <c r="G1449" s="552"/>
      <c r="H1449" s="552"/>
      <c r="I1449" s="552"/>
      <c r="J1449" s="5" t="str">
        <f t="shared" si="193"/>
        <v/>
      </c>
      <c r="K1449" s="5" t="str">
        <f t="shared" si="195"/>
        <v/>
      </c>
      <c r="L1449" s="407"/>
      <c r="M1449" s="408"/>
      <c r="N1449" s="407"/>
      <c r="O1449" s="407"/>
      <c r="BB1449" s="509" t="str">
        <f>A1375</f>
        <v xml:space="preserve">Sim </v>
      </c>
    </row>
    <row r="1450" spans="1:54" s="446" customFormat="1" ht="12.95" customHeight="1" x14ac:dyDescent="0.2">
      <c r="A1450" s="177"/>
      <c r="B1450" s="236"/>
      <c r="C1450" s="29" t="str">
        <f ca="1">IF(AND(B1450&gt;0,L$1430=$BL$25),VLOOKUP(DATE(YEAR(N$1423),MONTH(N$1423)-1,1),ÍNDICES!$A:$DE,HLOOKUP($BL$25,ÍNDICES!$B$3:$T$4,2)+11)-VLOOKUP(B1450,ÍNDICES!$A:$DE,HLOOKUP($BL$25,ÍNDICES!$B$3:$T$4,2)+11)+1%,IF(ISERROR(VLOOKUP(DATE(YEAR(B1450),MONTH(B1450)+IF($C$1321=$S$23,1,0),1),ÍNDICES!$A:$DE,$V$1326+1)),"",VLOOKUP(DATE(YEAR(B1450),MONTH(B1450)+IF($C$1321=$S$23,1,0),1),ÍNDICES!$A:$DE,$V$1326+1)))</f>
        <v/>
      </c>
      <c r="D1450" s="155"/>
      <c r="E1450" s="552"/>
      <c r="F1450" s="552"/>
      <c r="G1450" s="552"/>
      <c r="H1450" s="552"/>
      <c r="I1450" s="552"/>
      <c r="J1450" s="5" t="str">
        <f t="shared" si="193"/>
        <v/>
      </c>
      <c r="K1450" s="5" t="str">
        <f t="shared" si="195"/>
        <v/>
      </c>
      <c r="L1450" s="407"/>
      <c r="M1450" s="408"/>
      <c r="N1450" s="407"/>
      <c r="O1450" s="407"/>
      <c r="BB1450" s="509" t="str">
        <f>A1375</f>
        <v xml:space="preserve">Sim </v>
      </c>
    </row>
    <row r="1451" spans="1:54" s="446" customFormat="1" ht="12.95" customHeight="1" x14ac:dyDescent="0.2">
      <c r="A1451" s="177"/>
      <c r="B1451" s="236"/>
      <c r="C1451" s="29" t="str">
        <f ca="1">IF(AND(B1451&gt;0,L$1430=$BL$25),VLOOKUP(DATE(YEAR(N$1423),MONTH(N$1423)-1,1),ÍNDICES!$A:$DE,HLOOKUP($BL$25,ÍNDICES!$B$3:$T$4,2)+11)-VLOOKUP(B1451,ÍNDICES!$A:$DE,HLOOKUP($BL$25,ÍNDICES!$B$3:$T$4,2)+11)+1%,IF(ISERROR(VLOOKUP(DATE(YEAR(B1451),MONTH(B1451)+IF($C$1321=$S$23,1,0),1),ÍNDICES!$A:$DE,$V$1326+1)),"",VLOOKUP(DATE(YEAR(B1451),MONTH(B1451)+IF($C$1321=$S$23,1,0),1),ÍNDICES!$A:$DE,$V$1326+1)))</f>
        <v/>
      </c>
      <c r="D1451" s="155"/>
      <c r="E1451" s="552"/>
      <c r="F1451" s="552"/>
      <c r="G1451" s="552"/>
      <c r="H1451" s="552"/>
      <c r="I1451" s="552"/>
      <c r="J1451" s="5" t="str">
        <f t="shared" si="193"/>
        <v/>
      </c>
      <c r="K1451" s="5" t="str">
        <f t="shared" si="195"/>
        <v/>
      </c>
      <c r="L1451" s="407"/>
      <c r="M1451" s="408"/>
      <c r="N1451" s="407"/>
      <c r="O1451" s="407"/>
      <c r="BB1451" s="509" t="str">
        <f>A1375</f>
        <v xml:space="preserve">Sim </v>
      </c>
    </row>
    <row r="1452" spans="1:54" s="446" customFormat="1" ht="12.95" customHeight="1" x14ac:dyDescent="0.2">
      <c r="A1452" s="177"/>
      <c r="B1452" s="236"/>
      <c r="C1452" s="29" t="str">
        <f ca="1">IF(AND(B1452&gt;0,L$1430=$BL$25),VLOOKUP(DATE(YEAR(N$1423),MONTH(N$1423)-1,1),ÍNDICES!$A:$DE,HLOOKUP($BL$25,ÍNDICES!$B$3:$T$4,2)+11)-VLOOKUP(B1452,ÍNDICES!$A:$DE,HLOOKUP($BL$25,ÍNDICES!$B$3:$T$4,2)+11)+1%,IF(ISERROR(VLOOKUP(DATE(YEAR(B1452),MONTH(B1452)+IF($C$1321=$S$23,1,0),1),ÍNDICES!$A:$DE,$V$1326+1)),"",VLOOKUP(DATE(YEAR(B1452),MONTH(B1452)+IF($C$1321=$S$23,1,0),1),ÍNDICES!$A:$DE,$V$1326+1)))</f>
        <v/>
      </c>
      <c r="D1452" s="155"/>
      <c r="E1452" s="552"/>
      <c r="F1452" s="552"/>
      <c r="G1452" s="552"/>
      <c r="H1452" s="552"/>
      <c r="I1452" s="552"/>
      <c r="J1452" s="5" t="str">
        <f t="shared" si="193"/>
        <v/>
      </c>
      <c r="K1452" s="5" t="str">
        <f t="shared" si="195"/>
        <v/>
      </c>
      <c r="L1452" s="407"/>
      <c r="M1452" s="408"/>
      <c r="N1452" s="407"/>
      <c r="O1452" s="407"/>
      <c r="BB1452" s="509" t="str">
        <f>A1375</f>
        <v xml:space="preserve">Sim </v>
      </c>
    </row>
    <row r="1453" spans="1:54" s="446" customFormat="1" ht="12.95" customHeight="1" x14ac:dyDescent="0.2">
      <c r="A1453" s="177"/>
      <c r="B1453" s="236"/>
      <c r="C1453" s="29" t="str">
        <f ca="1">IF(AND(B1453&gt;0,L$1430=$BL$25),VLOOKUP(DATE(YEAR(N$1423),MONTH(N$1423)-1,1),ÍNDICES!$A:$DE,HLOOKUP($BL$25,ÍNDICES!$B$3:$T$4,2)+11)-VLOOKUP(B1453,ÍNDICES!$A:$DE,HLOOKUP($BL$25,ÍNDICES!$B$3:$T$4,2)+11)+1%,IF(ISERROR(VLOOKUP(DATE(YEAR(B1453),MONTH(B1453)+IF($C$1321=$S$23,1,0),1),ÍNDICES!$A:$DE,$V$1326+1)),"",VLOOKUP(DATE(YEAR(B1453),MONTH(B1453)+IF($C$1321=$S$23,1,0),1),ÍNDICES!$A:$DE,$V$1326+1)))</f>
        <v/>
      </c>
      <c r="D1453" s="155"/>
      <c r="E1453" s="552"/>
      <c r="F1453" s="552"/>
      <c r="G1453" s="552"/>
      <c r="H1453" s="552"/>
      <c r="I1453" s="552"/>
      <c r="J1453" s="5" t="str">
        <f t="shared" si="193"/>
        <v/>
      </c>
      <c r="K1453" s="5" t="str">
        <f t="shared" si="195"/>
        <v/>
      </c>
      <c r="L1453" s="407"/>
      <c r="M1453" s="408"/>
      <c r="N1453" s="407"/>
      <c r="O1453" s="407"/>
      <c r="BB1453" s="509" t="str">
        <f>A1375</f>
        <v xml:space="preserve">Sim </v>
      </c>
    </row>
    <row r="1454" spans="1:54" s="446" customFormat="1" ht="12.95" customHeight="1" x14ac:dyDescent="0.2">
      <c r="A1454" s="177"/>
      <c r="B1454" s="236"/>
      <c r="C1454" s="29" t="str">
        <f ca="1">IF(AND(B1454&gt;0,L$1430=$BL$25),VLOOKUP(DATE(YEAR(N$1423),MONTH(N$1423)-1,1),ÍNDICES!$A:$DE,HLOOKUP($BL$25,ÍNDICES!$B$3:$T$4,2)+11)-VLOOKUP(B1454,ÍNDICES!$A:$DE,HLOOKUP($BL$25,ÍNDICES!$B$3:$T$4,2)+11)+1%,IF(ISERROR(VLOOKUP(DATE(YEAR(B1454),MONTH(B1454)+IF($C$1321=$S$23,1,0),1),ÍNDICES!$A:$DE,$V$1326+1)),"",VLOOKUP(DATE(YEAR(B1454),MONTH(B1454)+IF($C$1321=$S$23,1,0),1),ÍNDICES!$A:$DE,$V$1326+1)))</f>
        <v/>
      </c>
      <c r="D1454" s="155"/>
      <c r="E1454" s="552"/>
      <c r="F1454" s="552"/>
      <c r="G1454" s="552"/>
      <c r="H1454" s="552"/>
      <c r="I1454" s="552"/>
      <c r="J1454" s="5" t="str">
        <f t="shared" si="193"/>
        <v/>
      </c>
      <c r="K1454" s="5" t="str">
        <f t="shared" si="195"/>
        <v/>
      </c>
      <c r="L1454" s="407"/>
      <c r="M1454" s="408"/>
      <c r="N1454" s="407"/>
      <c r="O1454" s="407"/>
      <c r="BB1454" s="509" t="str">
        <f>A1375</f>
        <v xml:space="preserve">Sim </v>
      </c>
    </row>
    <row r="1455" spans="1:54" s="446" customFormat="1" ht="12.95" customHeight="1" x14ac:dyDescent="0.2">
      <c r="A1455" s="177"/>
      <c r="B1455" s="236"/>
      <c r="C1455" s="29" t="str">
        <f ca="1">IF(AND(B1455&gt;0,L$1430=$BL$25),VLOOKUP(DATE(YEAR(N$1423),MONTH(N$1423)-1,1),ÍNDICES!$A:$DE,HLOOKUP($BL$25,ÍNDICES!$B$3:$T$4,2)+11)-VLOOKUP(B1455,ÍNDICES!$A:$DE,HLOOKUP($BL$25,ÍNDICES!$B$3:$T$4,2)+11)+1%,IF(ISERROR(VLOOKUP(DATE(YEAR(B1455),MONTH(B1455)+IF($C$1321=$S$23,1,0),1),ÍNDICES!$A:$DE,$V$1326+1)),"",VLOOKUP(DATE(YEAR(B1455),MONTH(B1455)+IF($C$1321=$S$23,1,0),1),ÍNDICES!$A:$DE,$V$1326+1)))</f>
        <v/>
      </c>
      <c r="D1455" s="155"/>
      <c r="E1455" s="552"/>
      <c r="F1455" s="552"/>
      <c r="G1455" s="552"/>
      <c r="H1455" s="552"/>
      <c r="I1455" s="552"/>
      <c r="J1455" s="5" t="str">
        <f t="shared" si="193"/>
        <v/>
      </c>
      <c r="K1455" s="5" t="str">
        <f t="shared" si="195"/>
        <v/>
      </c>
      <c r="L1455" s="407"/>
      <c r="M1455" s="408"/>
      <c r="N1455" s="407"/>
      <c r="O1455" s="407"/>
      <c r="BB1455" s="509" t="str">
        <f>A1375</f>
        <v xml:space="preserve">Sim </v>
      </c>
    </row>
    <row r="1456" spans="1:54" s="446" customFormat="1" ht="12.95" customHeight="1" x14ac:dyDescent="0.2">
      <c r="A1456" s="177"/>
      <c r="B1456" s="236"/>
      <c r="C1456" s="29" t="str">
        <f ca="1">IF(AND(B1456&gt;0,L$1430=$BL$25),VLOOKUP(DATE(YEAR(N$1423),MONTH(N$1423)-1,1),ÍNDICES!$A:$DE,HLOOKUP($BL$25,ÍNDICES!$B$3:$T$4,2)+11)-VLOOKUP(B1456,ÍNDICES!$A:$DE,HLOOKUP($BL$25,ÍNDICES!$B$3:$T$4,2)+11)+1%,IF(ISERROR(VLOOKUP(DATE(YEAR(B1456),MONTH(B1456)+IF($C$1321=$S$23,1,0),1),ÍNDICES!$A:$DE,$V$1326+1)),"",VLOOKUP(DATE(YEAR(B1456),MONTH(B1456)+IF($C$1321=$S$23,1,0),1),ÍNDICES!$A:$DE,$V$1326+1)))</f>
        <v/>
      </c>
      <c r="D1456" s="155"/>
      <c r="E1456" s="552"/>
      <c r="F1456" s="552"/>
      <c r="G1456" s="552"/>
      <c r="H1456" s="552"/>
      <c r="I1456" s="552"/>
      <c r="J1456" s="5" t="str">
        <f t="shared" si="193"/>
        <v/>
      </c>
      <c r="K1456" s="5" t="str">
        <f t="shared" si="195"/>
        <v/>
      </c>
      <c r="L1456" s="407"/>
      <c r="M1456" s="408"/>
      <c r="N1456" s="407"/>
      <c r="O1456" s="407"/>
      <c r="BB1456" s="509" t="str">
        <f>A1375</f>
        <v xml:space="preserve">Sim </v>
      </c>
    </row>
    <row r="1457" spans="1:54" s="446" customFormat="1" ht="12.95" customHeight="1" x14ac:dyDescent="0.2">
      <c r="A1457" s="177"/>
      <c r="B1457" s="236"/>
      <c r="C1457" s="29" t="str">
        <f ca="1">IF(AND(B1457&gt;0,L$1430=$BL$25),VLOOKUP(DATE(YEAR(N$1423),MONTH(N$1423)-1,1),ÍNDICES!$A:$DE,HLOOKUP($BL$25,ÍNDICES!$B$3:$T$4,2)+11)-VLOOKUP(B1457,ÍNDICES!$A:$DE,HLOOKUP($BL$25,ÍNDICES!$B$3:$T$4,2)+11)+1%,IF(ISERROR(VLOOKUP(DATE(YEAR(B1457),MONTH(B1457)+IF($C$1321=$S$23,1,0),1),ÍNDICES!$A:$DE,$V$1326+1)),"",VLOOKUP(DATE(YEAR(B1457),MONTH(B1457)+IF($C$1321=$S$23,1,0),1),ÍNDICES!$A:$DE,$V$1326+1)))</f>
        <v/>
      </c>
      <c r="D1457" s="155"/>
      <c r="E1457" s="552"/>
      <c r="F1457" s="552"/>
      <c r="G1457" s="552"/>
      <c r="H1457" s="552"/>
      <c r="I1457" s="552"/>
      <c r="J1457" s="5" t="str">
        <f t="shared" si="193"/>
        <v/>
      </c>
      <c r="K1457" s="5" t="str">
        <f t="shared" si="195"/>
        <v/>
      </c>
      <c r="L1457" s="407"/>
      <c r="M1457" s="408"/>
      <c r="N1457" s="407"/>
      <c r="O1457" s="407"/>
      <c r="BB1457" s="509" t="str">
        <f>A1375</f>
        <v xml:space="preserve">Sim </v>
      </c>
    </row>
    <row r="1458" spans="1:54" s="446" customFormat="1" ht="12.95" customHeight="1" x14ac:dyDescent="0.2">
      <c r="A1458" s="177"/>
      <c r="B1458" s="236"/>
      <c r="C1458" s="29" t="str">
        <f ca="1">IF(AND(B1458&gt;0,L$1430=$BL$25),VLOOKUP(DATE(YEAR(N$1423),MONTH(N$1423)-1,1),ÍNDICES!$A:$DE,HLOOKUP($BL$25,ÍNDICES!$B$3:$T$4,2)+11)-VLOOKUP(B1458,ÍNDICES!$A:$DE,HLOOKUP($BL$25,ÍNDICES!$B$3:$T$4,2)+11)+1%,IF(ISERROR(VLOOKUP(DATE(YEAR(B1458),MONTH(B1458)+IF($C$1321=$S$23,1,0),1),ÍNDICES!$A:$DE,$V$1326+1)),"",VLOOKUP(DATE(YEAR(B1458),MONTH(B1458)+IF($C$1321=$S$23,1,0),1),ÍNDICES!$A:$DE,$V$1326+1)))</f>
        <v/>
      </c>
      <c r="D1458" s="155"/>
      <c r="E1458" s="552"/>
      <c r="F1458" s="552"/>
      <c r="G1458" s="552"/>
      <c r="H1458" s="552"/>
      <c r="I1458" s="552"/>
      <c r="J1458" s="5" t="str">
        <f t="shared" si="193"/>
        <v/>
      </c>
      <c r="K1458" s="5" t="str">
        <f t="shared" si="195"/>
        <v/>
      </c>
      <c r="L1458" s="407"/>
      <c r="M1458" s="408"/>
      <c r="N1458" s="407"/>
      <c r="O1458" s="407"/>
      <c r="BB1458" s="509" t="str">
        <f>A1375</f>
        <v xml:space="preserve">Sim </v>
      </c>
    </row>
    <row r="1459" spans="1:54" s="446" customFormat="1" ht="12.95" customHeight="1" x14ac:dyDescent="0.2">
      <c r="A1459" s="177"/>
      <c r="B1459" s="236"/>
      <c r="C1459" s="29" t="str">
        <f ca="1">IF(AND(B1459&gt;0,L$1430=$BL$25),VLOOKUP(DATE(YEAR(N$1423),MONTH(N$1423)-1,1),ÍNDICES!$A:$DE,HLOOKUP($BL$25,ÍNDICES!$B$3:$T$4,2)+11)-VLOOKUP(B1459,ÍNDICES!$A:$DE,HLOOKUP($BL$25,ÍNDICES!$B$3:$T$4,2)+11)+1%,IF(ISERROR(VLOOKUP(DATE(YEAR(B1459),MONTH(B1459)+IF($C$1321=$S$23,1,0),1),ÍNDICES!$A:$DE,$V$1326+1)),"",VLOOKUP(DATE(YEAR(B1459),MONTH(B1459)+IF($C$1321=$S$23,1,0),1),ÍNDICES!$A:$DE,$V$1326+1)))</f>
        <v/>
      </c>
      <c r="D1459" s="155"/>
      <c r="E1459" s="552"/>
      <c r="F1459" s="552"/>
      <c r="G1459" s="552"/>
      <c r="H1459" s="552"/>
      <c r="I1459" s="552"/>
      <c r="J1459" s="5" t="str">
        <f t="shared" si="193"/>
        <v/>
      </c>
      <c r="K1459" s="5" t="str">
        <f t="shared" si="195"/>
        <v/>
      </c>
      <c r="L1459" s="407"/>
      <c r="M1459" s="408"/>
      <c r="N1459" s="407"/>
      <c r="O1459" s="407"/>
      <c r="BB1459" s="509" t="str">
        <f>A1375</f>
        <v xml:space="preserve">Sim </v>
      </c>
    </row>
    <row r="1460" spans="1:54" s="446" customFormat="1" ht="12.95" customHeight="1" x14ac:dyDescent="0.2">
      <c r="A1460" s="177"/>
      <c r="B1460" s="236"/>
      <c r="C1460" s="29" t="str">
        <f ca="1">IF(AND(B1460&gt;0,L$1430=$BL$25),VLOOKUP(DATE(YEAR(N$1423),MONTH(N$1423)-1,1),ÍNDICES!$A:$DE,HLOOKUP($BL$25,ÍNDICES!$B$3:$T$4,2)+11)-VLOOKUP(B1460,ÍNDICES!$A:$DE,HLOOKUP($BL$25,ÍNDICES!$B$3:$T$4,2)+11)+1%,IF(ISERROR(VLOOKUP(DATE(YEAR(B1460),MONTH(B1460)+IF($C$1321=$S$23,1,0),1),ÍNDICES!$A:$DE,$V$1326+1)),"",VLOOKUP(DATE(YEAR(B1460),MONTH(B1460)+IF($C$1321=$S$23,1,0),1),ÍNDICES!$A:$DE,$V$1326+1)))</f>
        <v/>
      </c>
      <c r="D1460" s="155"/>
      <c r="E1460" s="552"/>
      <c r="F1460" s="552"/>
      <c r="G1460" s="552"/>
      <c r="H1460" s="552"/>
      <c r="I1460" s="552"/>
      <c r="J1460" s="5" t="str">
        <f t="shared" si="193"/>
        <v/>
      </c>
      <c r="K1460" s="5" t="str">
        <f t="shared" si="195"/>
        <v/>
      </c>
      <c r="L1460" s="407"/>
      <c r="M1460" s="408"/>
      <c r="N1460" s="407"/>
      <c r="O1460" s="407"/>
      <c r="BB1460" s="509" t="str">
        <f>A1375</f>
        <v xml:space="preserve">Sim </v>
      </c>
    </row>
    <row r="1461" spans="1:54" s="446" customFormat="1" ht="12.95" customHeight="1" x14ac:dyDescent="0.2">
      <c r="A1461" s="177"/>
      <c r="B1461" s="236"/>
      <c r="C1461" s="29" t="str">
        <f ca="1">IF(AND(B1461&gt;0,L$1430=$BL$25),VLOOKUP(DATE(YEAR(N$1423),MONTH(N$1423)-1,1),ÍNDICES!$A:$DE,HLOOKUP($BL$25,ÍNDICES!$B$3:$T$4,2)+11)-VLOOKUP(B1461,ÍNDICES!$A:$DE,HLOOKUP($BL$25,ÍNDICES!$B$3:$T$4,2)+11)+1%,IF(ISERROR(VLOOKUP(DATE(YEAR(B1461),MONTH(B1461)+IF($C$1321=$S$23,1,0),1),ÍNDICES!$A:$DE,$V$1326+1)),"",VLOOKUP(DATE(YEAR(B1461),MONTH(B1461)+IF($C$1321=$S$23,1,0),1),ÍNDICES!$A:$DE,$V$1326+1)))</f>
        <v/>
      </c>
      <c r="D1461" s="155"/>
      <c r="E1461" s="552"/>
      <c r="F1461" s="552"/>
      <c r="G1461" s="552"/>
      <c r="H1461" s="552"/>
      <c r="I1461" s="552"/>
      <c r="J1461" s="5" t="str">
        <f t="shared" si="193"/>
        <v/>
      </c>
      <c r="K1461" s="5" t="str">
        <f t="shared" si="195"/>
        <v/>
      </c>
      <c r="L1461" s="407"/>
      <c r="M1461" s="408"/>
      <c r="N1461" s="407"/>
      <c r="O1461" s="407"/>
      <c r="BB1461" s="509" t="str">
        <f>A1375</f>
        <v xml:space="preserve">Sim </v>
      </c>
    </row>
    <row r="1462" spans="1:54" s="446" customFormat="1" ht="12.95" customHeight="1" x14ac:dyDescent="0.2">
      <c r="A1462" s="177"/>
      <c r="B1462" s="236"/>
      <c r="C1462" s="29" t="str">
        <f ca="1">IF(AND(B1462&gt;0,L$1430=$BL$25),VLOOKUP(DATE(YEAR(N$1423),MONTH(N$1423)-1,1),ÍNDICES!$A:$DE,HLOOKUP($BL$25,ÍNDICES!$B$3:$T$4,2)+11)-VLOOKUP(B1462,ÍNDICES!$A:$DE,HLOOKUP($BL$25,ÍNDICES!$B$3:$T$4,2)+11)+1%,IF(ISERROR(VLOOKUP(DATE(YEAR(B1462),MONTH(B1462)+IF($C$1321=$S$23,1,0),1),ÍNDICES!$A:$DE,$V$1326+1)),"",VLOOKUP(DATE(YEAR(B1462),MONTH(B1462)+IF($C$1321=$S$23,1,0),1),ÍNDICES!$A:$DE,$V$1326+1)))</f>
        <v/>
      </c>
      <c r="D1462" s="155"/>
      <c r="E1462" s="552"/>
      <c r="F1462" s="552"/>
      <c r="G1462" s="552"/>
      <c r="H1462" s="552"/>
      <c r="I1462" s="552"/>
      <c r="J1462" s="5" t="str">
        <f t="shared" si="193"/>
        <v/>
      </c>
      <c r="K1462" s="5" t="str">
        <f t="shared" si="195"/>
        <v/>
      </c>
      <c r="L1462" s="407"/>
      <c r="M1462" s="408"/>
      <c r="N1462" s="407"/>
      <c r="O1462" s="407"/>
      <c r="BB1462" s="509" t="str">
        <f>A1375</f>
        <v xml:space="preserve">Sim </v>
      </c>
    </row>
    <row r="1463" spans="1:54" s="446" customFormat="1" ht="12.95" customHeight="1" x14ac:dyDescent="0.2">
      <c r="A1463" s="553" t="s">
        <v>133</v>
      </c>
      <c r="B1463" s="554"/>
      <c r="C1463" s="29"/>
      <c r="D1463" s="394"/>
      <c r="E1463" s="363"/>
      <c r="F1463" s="364"/>
      <c r="G1463" s="365"/>
      <c r="H1463" s="366"/>
      <c r="I1463" s="367"/>
      <c r="J1463" s="524"/>
      <c r="K1463" s="161">
        <f>SUM(K1435:K1462)</f>
        <v>0</v>
      </c>
      <c r="L1463" s="369">
        <f ca="1">SUM(L1435:L1462)</f>
        <v>0</v>
      </c>
      <c r="M1463" s="183"/>
      <c r="N1463" s="369">
        <f ca="1">SUM(N1435:N1462)</f>
        <v>0</v>
      </c>
      <c r="O1463" s="369">
        <f ca="1">SUM(O1435:O1462)</f>
        <v>0</v>
      </c>
      <c r="BB1463" s="509" t="str">
        <f>A1375</f>
        <v xml:space="preserve">Sim </v>
      </c>
    </row>
    <row r="1464" spans="1:54" s="446" customFormat="1" ht="6" customHeight="1" x14ac:dyDescent="0.2">
      <c r="A1464" s="87"/>
      <c r="B1464" s="88"/>
      <c r="C1464" s="88"/>
      <c r="D1464" s="88"/>
      <c r="E1464" s="19"/>
      <c r="F1464" s="19"/>
      <c r="G1464" s="258"/>
      <c r="H1464" s="259"/>
      <c r="I1464" s="164"/>
      <c r="J1464" s="19"/>
      <c r="K1464" s="19"/>
      <c r="L1464" s="370"/>
      <c r="M1464" s="244"/>
      <c r="N1464" s="370"/>
      <c r="O1464" s="370"/>
      <c r="BB1464" s="509" t="str">
        <f>A1375</f>
        <v xml:space="preserve">Sim </v>
      </c>
    </row>
    <row r="1465" spans="1:54" s="446" customFormat="1" ht="12.95" customHeight="1" x14ac:dyDescent="0.2">
      <c r="A1465" s="87"/>
      <c r="B1465" s="88"/>
      <c r="C1465" s="88"/>
      <c r="D1465" s="88"/>
      <c r="E1465" s="19"/>
      <c r="F1465" s="19"/>
      <c r="G1465" s="258"/>
      <c r="H1465" s="259"/>
      <c r="I1465" s="164"/>
      <c r="J1465" s="19"/>
      <c r="K1465" s="19"/>
      <c r="L1465" s="370"/>
      <c r="M1465" s="244"/>
      <c r="N1465" s="242" t="s">
        <v>189</v>
      </c>
      <c r="O1465" s="242">
        <f ca="1">SUM(K1463:O1463)</f>
        <v>0</v>
      </c>
      <c r="BB1465" s="509" t="str">
        <f>A1375</f>
        <v xml:space="preserve">Sim </v>
      </c>
    </row>
    <row r="1466" spans="1:54" s="446" customFormat="1" ht="12.95" customHeight="1" x14ac:dyDescent="0.2">
      <c r="A1466" s="87"/>
      <c r="B1466" s="395"/>
      <c r="C1466" s="244"/>
      <c r="D1466" s="104"/>
      <c r="E1466" s="104"/>
      <c r="F1466" s="104"/>
      <c r="G1466" s="396"/>
      <c r="H1466" s="397"/>
      <c r="I1466" s="398" t="s">
        <v>190</v>
      </c>
      <c r="J1466" s="17"/>
      <c r="K1466" s="164">
        <f ca="1">O1428+O1465</f>
        <v>0</v>
      </c>
      <c r="L1466" s="244"/>
      <c r="M1466" s="68"/>
      <c r="N1466" s="19"/>
      <c r="O1466" s="326"/>
      <c r="BB1466" s="509" t="str">
        <f>A1375</f>
        <v xml:space="preserve">Sim </v>
      </c>
    </row>
    <row r="1467" spans="1:54" s="446" customFormat="1" ht="12.95" customHeight="1" x14ac:dyDescent="0.2">
      <c r="A1467" s="327" t="str">
        <f>A1423</f>
        <v xml:space="preserve">Sim </v>
      </c>
      <c r="B1467" s="395"/>
      <c r="C1467" s="555">
        <v>0</v>
      </c>
      <c r="D1467" s="555"/>
      <c r="E1467" s="555"/>
      <c r="F1467" s="555"/>
      <c r="G1467" s="555"/>
      <c r="H1467" s="555"/>
      <c r="I1467" s="555"/>
      <c r="J1467" s="316"/>
      <c r="K1467" s="164">
        <f>IF(D1423=$Y$22,0,-J1423)</f>
        <v>0</v>
      </c>
      <c r="L1467" s="244"/>
      <c r="M1467" s="68"/>
      <c r="N1467" s="19"/>
      <c r="O1467" s="326"/>
      <c r="BB1467" s="509" t="str">
        <f>A1375</f>
        <v xml:space="preserve">Sim </v>
      </c>
    </row>
    <row r="1468" spans="1:54" s="446" customFormat="1" ht="12.95" customHeight="1" x14ac:dyDescent="0.2">
      <c r="A1468" s="87"/>
      <c r="B1468" s="395"/>
      <c r="C1468" s="244"/>
      <c r="D1468" s="104"/>
      <c r="E1468" s="104"/>
      <c r="F1468" s="104"/>
      <c r="G1468" s="396"/>
      <c r="H1468" s="397"/>
      <c r="I1468" s="297" t="str">
        <f ca="1">IF(K1468&gt;=0,"SALDO CREDOR AO AUTOR:-","SALDO DEVEDOR AO AUTOR:-")</f>
        <v>SALDO CREDOR AO AUTOR:-</v>
      </c>
      <c r="J1468" s="399">
        <f ca="1">IF(OR(D$1323=$Y$22,D1427&lt;0),J1421,J1426)</f>
        <v>43982</v>
      </c>
      <c r="K1468" s="400">
        <f ca="1">IF(OR(D$1323=$Y$22),D1427,IF(OR(D1423=$Y$22,D1427&lt;0),K1466,K1466+K1467))</f>
        <v>0</v>
      </c>
      <c r="L1468" s="244"/>
      <c r="M1468" s="68"/>
      <c r="N1468" s="19"/>
      <c r="O1468" s="326"/>
      <c r="BB1468" s="509" t="str">
        <f>A1375</f>
        <v xml:space="preserve">Sim </v>
      </c>
    </row>
    <row r="1469" spans="1:54" s="446" customFormat="1" ht="24.95" customHeight="1" x14ac:dyDescent="0.2">
      <c r="A1469" s="87"/>
      <c r="B1469" s="87"/>
      <c r="C1469" s="289"/>
      <c r="D1469" s="87"/>
      <c r="E1469" s="87"/>
      <c r="F1469" s="87"/>
      <c r="G1469" s="87"/>
      <c r="H1469" s="89"/>
      <c r="I1469" s="297"/>
      <c r="J1469" s="290"/>
      <c r="K1469" s="291"/>
      <c r="L1469" s="262"/>
      <c r="M1469" s="68"/>
      <c r="N1469" s="87"/>
      <c r="O1469" s="87"/>
      <c r="BB1469" s="447"/>
    </row>
    <row r="1470" spans="1:54" s="446" customFormat="1" ht="15.95" customHeight="1" x14ac:dyDescent="0.2">
      <c r="A1470" s="87"/>
      <c r="B1470" s="87"/>
      <c r="C1470" s="289"/>
      <c r="D1470" s="87"/>
      <c r="E1470" s="87"/>
      <c r="F1470" s="87"/>
      <c r="G1470" s="87"/>
      <c r="H1470" s="89"/>
      <c r="I1470" s="297"/>
      <c r="J1470" s="290"/>
      <c r="K1470" s="291"/>
      <c r="L1470" s="262"/>
      <c r="M1470" s="68"/>
      <c r="N1470" s="87"/>
      <c r="O1470" s="87"/>
      <c r="BB1470" s="447"/>
    </row>
    <row r="1471" spans="1:54" s="446" customFormat="1" ht="0.2" customHeight="1" x14ac:dyDescent="0.2">
      <c r="A1471" s="87"/>
      <c r="B1471" s="87"/>
      <c r="C1471" s="289"/>
      <c r="D1471" s="87"/>
      <c r="E1471" s="87"/>
      <c r="F1471" s="87"/>
      <c r="G1471" s="87"/>
      <c r="H1471" s="89"/>
      <c r="I1471" s="297"/>
      <c r="J1471" s="290">
        <f ca="1">J1468</f>
        <v>43982</v>
      </c>
      <c r="K1471" s="291">
        <f ca="1">K1468</f>
        <v>0</v>
      </c>
      <c r="L1471" s="262"/>
      <c r="M1471" s="68"/>
      <c r="N1471" s="87"/>
      <c r="O1471" s="87"/>
      <c r="BB1471" s="447"/>
    </row>
    <row r="1472" spans="1:54" s="446" customFormat="1" ht="0.2" customHeight="1" x14ac:dyDescent="0.2">
      <c r="A1472" s="87"/>
      <c r="B1472" s="87"/>
      <c r="C1472" s="289"/>
      <c r="D1472" s="87"/>
      <c r="E1472" s="87"/>
      <c r="F1472" s="87"/>
      <c r="G1472" s="87"/>
      <c r="H1472" s="89"/>
      <c r="I1472" s="297"/>
      <c r="J1472" s="290"/>
      <c r="K1472" s="291"/>
      <c r="L1472" s="262"/>
      <c r="M1472" s="68"/>
      <c r="N1472" s="87"/>
      <c r="O1472" s="87"/>
      <c r="BB1472" s="447"/>
    </row>
    <row r="1473" spans="1:54" s="446" customFormat="1" ht="15" customHeight="1" x14ac:dyDescent="0.2">
      <c r="A1473" s="327" t="str">
        <f>D1473</f>
        <v xml:space="preserve">Sim </v>
      </c>
      <c r="B1473" s="87"/>
      <c r="C1473" s="298" t="s">
        <v>193</v>
      </c>
      <c r="D1473" s="127" t="str">
        <f>A1425</f>
        <v xml:space="preserve">Sim </v>
      </c>
      <c r="E1473" s="327">
        <f>E1423+1</f>
        <v>4</v>
      </c>
      <c r="F1473" s="329" t="str">
        <f>IF(J1473&gt;0,IF(D$1290=$Y$21,E1473&amp;"º Depósito após parcelamento",E1473&amp;"º Depósito"),"")</f>
        <v/>
      </c>
      <c r="G1473" s="87"/>
      <c r="H1473" s="330"/>
      <c r="I1473" s="298" t="s">
        <v>178</v>
      </c>
      <c r="J1473" s="388"/>
      <c r="K1473" s="87"/>
      <c r="L1473" s="292"/>
      <c r="M1473" s="73" t="str">
        <f>IF(OR(D1473=$Y$22,J1473&lt;=0),"Atualizar até:-","DATA DO DEPÓSITO:-")</f>
        <v>Atualizar até:-</v>
      </c>
      <c r="N1473" s="153">
        <v>43982</v>
      </c>
      <c r="O1473" s="326"/>
      <c r="P1473" s="513"/>
      <c r="Q1473" s="472"/>
      <c r="R1473" s="480"/>
      <c r="V1473" s="472"/>
      <c r="W1473" s="480"/>
      <c r="X1473" s="472"/>
      <c r="Y1473" s="472"/>
      <c r="Z1473" s="457"/>
      <c r="AA1473" s="452"/>
      <c r="AB1473" s="472"/>
      <c r="AC1473" s="472"/>
      <c r="AD1473" s="472"/>
      <c r="AE1473" s="472"/>
      <c r="AF1473" s="472"/>
      <c r="BB1473" s="509" t="str">
        <f>A1425</f>
        <v xml:space="preserve">Sim </v>
      </c>
    </row>
    <row r="1474" spans="1:54" s="446" customFormat="1" ht="12.95" customHeight="1" x14ac:dyDescent="0.2">
      <c r="A1474" s="270"/>
      <c r="B1474" s="87"/>
      <c r="C1474" s="242"/>
      <c r="D1474" s="242"/>
      <c r="E1474" s="242"/>
      <c r="F1474" s="242"/>
      <c r="G1474" s="242"/>
      <c r="H1474" s="120"/>
      <c r="I1474" s="242"/>
      <c r="J1474" s="242"/>
      <c r="K1474" s="242"/>
      <c r="L1474" s="389" t="str">
        <f>P1426</f>
        <v>TABELA PRÁTICA - INPC</v>
      </c>
      <c r="M1474" s="242"/>
      <c r="N1474" s="242"/>
      <c r="O1474" s="242"/>
      <c r="P1474" s="479"/>
      <c r="Q1474" s="479"/>
      <c r="R1474" s="479"/>
      <c r="S1474" s="479"/>
      <c r="T1474" s="479"/>
      <c r="U1474" s="479"/>
      <c r="V1474" s="479"/>
      <c r="W1474" s="479"/>
      <c r="X1474" s="479"/>
      <c r="Y1474" s="479"/>
      <c r="Z1474" s="479"/>
      <c r="AA1474" s="479"/>
      <c r="AB1474" s="479"/>
      <c r="AC1474" s="479"/>
      <c r="AD1474" s="479"/>
      <c r="AE1474" s="479"/>
      <c r="AF1474" s="479"/>
      <c r="AG1474" s="479"/>
      <c r="AH1474" s="479"/>
      <c r="AI1474" s="479"/>
      <c r="AJ1474" s="479"/>
      <c r="AK1474" s="479"/>
      <c r="AL1474" s="479"/>
      <c r="AM1474" s="479"/>
      <c r="AN1474" s="479"/>
      <c r="AO1474" s="479"/>
      <c r="AP1474" s="479"/>
      <c r="BB1474" s="509" t="str">
        <f>A1425</f>
        <v xml:space="preserve">Sim </v>
      </c>
    </row>
    <row r="1475" spans="1:54" s="446" customFormat="1" ht="15" customHeight="1" x14ac:dyDescent="0.2">
      <c r="A1475" s="403" t="str">
        <f>D1473</f>
        <v xml:space="preserve">Sim </v>
      </c>
      <c r="B1475" s="565">
        <f>B1425+1</f>
        <v>4</v>
      </c>
      <c r="C1475" s="565"/>
      <c r="D1475" s="565"/>
      <c r="E1475" s="565"/>
      <c r="F1475" s="565"/>
      <c r="G1475" s="565"/>
      <c r="H1475" s="565"/>
      <c r="I1475" s="565"/>
      <c r="J1475" s="565"/>
      <c r="K1475" s="565"/>
      <c r="L1475" s="565"/>
      <c r="M1475" s="565"/>
      <c r="N1475" s="334"/>
      <c r="O1475" s="334"/>
      <c r="P1475" s="480">
        <v>37631</v>
      </c>
      <c r="Q1475" s="480">
        <f>$N1473</f>
        <v>43982</v>
      </c>
      <c r="R1475" s="480"/>
      <c r="S1475" s="480"/>
      <c r="T1475" s="480"/>
      <c r="U1475" s="480"/>
      <c r="V1475" s="480"/>
      <c r="W1475" s="480"/>
      <c r="X1475" s="480"/>
      <c r="Y1475" s="480"/>
      <c r="Z1475" s="480"/>
      <c r="AA1475" s="480"/>
      <c r="AB1475" s="480"/>
      <c r="AC1475" s="480"/>
      <c r="AD1475" s="480"/>
      <c r="AE1475" s="480"/>
      <c r="AF1475" s="480"/>
      <c r="AG1475" s="480"/>
      <c r="AH1475" s="480"/>
      <c r="AI1475" s="480"/>
      <c r="AJ1475" s="480"/>
      <c r="AK1475" s="480"/>
      <c r="AL1475" s="480"/>
      <c r="AM1475" s="480"/>
      <c r="AN1475" s="480"/>
      <c r="AO1475" s="480"/>
      <c r="AP1475" s="480"/>
      <c r="BB1475" s="509" t="str">
        <f>A1425</f>
        <v xml:space="preserve">Sim </v>
      </c>
    </row>
    <row r="1476" spans="1:54" s="446" customFormat="1" ht="12.95" customHeight="1" x14ac:dyDescent="0.2">
      <c r="A1476" s="87"/>
      <c r="B1476" s="21"/>
      <c r="C1476" s="19"/>
      <c r="D1476" s="335" t="s">
        <v>179</v>
      </c>
      <c r="E1476" s="404"/>
      <c r="F1476" s="19"/>
      <c r="G1476" s="19"/>
      <c r="H1476" s="338"/>
      <c r="I1476" s="339">
        <f ca="1">J1471</f>
        <v>43982</v>
      </c>
      <c r="J1476" s="339">
        <f ca="1">IF(ISERROR(IF(VLOOKUP(N1473,ÍNDICES!$A$1:$T$65536,$P$22+1)=1,I1476,N1473)),"",IF(VLOOKUP(N1473,ÍNDICES!$A$1:$T$65536,$P$22+1)=1,I1476,N1473))</f>
        <v>43982</v>
      </c>
      <c r="K1476" s="16" t="s">
        <v>180</v>
      </c>
      <c r="L1476" s="16" t="s">
        <v>163</v>
      </c>
      <c r="M1476" s="66" t="s">
        <v>194</v>
      </c>
      <c r="N1476" s="19"/>
      <c r="O1476" s="19"/>
      <c r="P1476" s="507" t="str">
        <f>L1474</f>
        <v>TABELA PRÁTICA - INPC</v>
      </c>
      <c r="Q1476" s="472" t="s">
        <v>142</v>
      </c>
      <c r="R1476" s="480">
        <f>N1473</f>
        <v>43982</v>
      </c>
      <c r="S1476" s="472" t="s">
        <v>181</v>
      </c>
      <c r="T1476" s="480">
        <f>R1426</f>
        <v>43982</v>
      </c>
      <c r="U1476" s="457" t="s">
        <v>23</v>
      </c>
      <c r="V1476" s="452">
        <f ca="1">SUMIF(ÍNDICES!$A$3:$W$4,P1476,ÍNDICES!$A$4:$W$4)+10</f>
        <v>13</v>
      </c>
      <c r="W1476" s="529"/>
      <c r="X1476" s="529"/>
      <c r="Y1476" s="529"/>
      <c r="Z1476" s="529"/>
      <c r="AA1476" s="529"/>
      <c r="AB1476" s="529"/>
      <c r="AC1476" s="529"/>
      <c r="AD1476" s="529"/>
      <c r="AE1476" s="529"/>
      <c r="AF1476" s="529"/>
      <c r="AG1476" s="529"/>
      <c r="AH1476" s="529"/>
      <c r="AI1476" s="529"/>
      <c r="AJ1476" s="529"/>
      <c r="AK1476" s="529"/>
      <c r="AL1476" s="529"/>
      <c r="AM1476" s="529"/>
      <c r="AN1476" s="529"/>
      <c r="AO1476" s="529"/>
      <c r="AP1476" s="529"/>
      <c r="AQ1476" s="529"/>
      <c r="AR1476" s="529"/>
      <c r="AS1476" s="529"/>
      <c r="AT1476" s="529"/>
      <c r="AU1476" s="529"/>
      <c r="AV1476" s="529"/>
      <c r="AW1476" s="529"/>
      <c r="AX1476" s="529"/>
      <c r="AY1476" s="529"/>
      <c r="AZ1476" s="529"/>
      <c r="BA1476" s="529"/>
      <c r="BB1476" s="509" t="str">
        <f>A1425</f>
        <v xml:space="preserve">Sim </v>
      </c>
    </row>
    <row r="1477" spans="1:54" s="446" customFormat="1" ht="12.95" customHeight="1" x14ac:dyDescent="0.2">
      <c r="A1477" s="327"/>
      <c r="B1477" s="390"/>
      <c r="C1477" s="244"/>
      <c r="D1477" s="82">
        <f ca="1">K1471</f>
        <v>0</v>
      </c>
      <c r="E1477" s="244"/>
      <c r="F1477" s="244"/>
      <c r="G1477" s="244"/>
      <c r="H1477" s="134"/>
      <c r="I1477" s="29">
        <f ca="1">IF(L1474=$BL$25,1,IF(ISERROR(VLOOKUP(DATE(YEAR(I1476),MONTH(I1476)+IF($C$1321=$S$23,1,0),1),ÍNDICES!$A$1:$T$65536,$V$1326+1)),1,VLOOKUP(DATE(YEAR(I1476),MONTH(I1476)+IF($C$1321=$S$23,1,0),1),ÍNDICES!$A$1:$T$65536,$V$1326+1)))</f>
        <v>73.234509000000003</v>
      </c>
      <c r="J1477" s="29">
        <f ca="1">IF(L1474=$BL$25,1,IF(ISERROR(VLOOKUP(DATE(YEAR(J1476),MONTH(J1476)+IF($C$1321=$S$23,1,0),1),ÍNDICES!$A$1:$T$65536,$V$1326+1)),I1477,VLOOKUP(DATE(YEAR(J1476),MONTH(J1476)+IF($C$1321=$S$23,1,0),1),ÍNDICES!$A$1:$T$65536,$V$1326+1)))</f>
        <v>73.234509000000003</v>
      </c>
      <c r="K1477" s="161">
        <f ca="1">IF(D1477&lt;=0,D1477,D1477/I1477*J1477)</f>
        <v>0</v>
      </c>
      <c r="L1477" s="161">
        <f ca="1">IF($L$1324=$BL$25,K1477*M1477,IF(D1477&lt;0,0,K1477*SUMPRODUCT($P$37:$BA$37,$P1477:$BA1477)))</f>
        <v>0</v>
      </c>
      <c r="M1477" s="7" t="str">
        <f ca="1">IF($L$1324=$BL$25,VLOOKUP(DATE(YEAR(J1476),MONTH(J1476)-1,1),ÍNDICES!$A:$DE,10)-VLOOKUP(I1476,ÍNDICES!$A:$DE,10)+1%,IF(D1477=0,"",SUM(P1477:BA1477)))</f>
        <v/>
      </c>
      <c r="N1477" s="19"/>
      <c r="O1477" s="19"/>
      <c r="P1477" s="446">
        <f>IF($T1476="","",IF(MIN(P1475,$N1473)&lt;MAX($T1476*$P$1329,$L$1332),0,YEARFRAC(MAX($T1476*$P$1329,$L$1332),MIN(P1475,$N1473),$P$20)))</f>
        <v>0</v>
      </c>
      <c r="Q1477" s="446">
        <f>IF($T1476="","",IF(MIN(Q1475,$N1473)&lt;MAX($T1476*$P$1329,$L$1332),0,YEARFRAC(MAX($T1476*$P$1329,$L$1332),MIN(Q1475,$N1473),$P$20)))-SUM($P1477:P1477)</f>
        <v>0</v>
      </c>
      <c r="BB1477" s="509" t="str">
        <f>A1425</f>
        <v xml:space="preserve">Sim </v>
      </c>
    </row>
    <row r="1478" spans="1:54" s="510" customFormat="1" ht="18" customHeight="1" x14ac:dyDescent="0.2">
      <c r="A1478" s="342"/>
      <c r="B1478" s="343"/>
      <c r="C1478" s="344"/>
      <c r="D1478" s="344"/>
      <c r="E1478" s="344"/>
      <c r="F1478" s="345"/>
      <c r="G1478" s="346"/>
      <c r="H1478" s="347"/>
      <c r="I1478" s="348"/>
      <c r="J1478" s="348"/>
      <c r="K1478" s="349"/>
      <c r="L1478" s="349"/>
      <c r="M1478" s="350"/>
      <c r="N1478" s="351" t="s">
        <v>182</v>
      </c>
      <c r="O1478" s="351">
        <f ca="1">K1477+L1477</f>
        <v>0</v>
      </c>
      <c r="P1478" s="514"/>
      <c r="BB1478" s="515" t="str">
        <f>A1425</f>
        <v xml:space="preserve">Sim </v>
      </c>
    </row>
    <row r="1479" spans="1:54" s="446" customFormat="1" ht="12.95" customHeight="1" x14ac:dyDescent="0.2">
      <c r="A1479" s="557">
        <f>B1475</f>
        <v>4</v>
      </c>
      <c r="B1479" s="557"/>
      <c r="C1479" s="557"/>
      <c r="D1479" s="557"/>
      <c r="E1479" s="557"/>
      <c r="F1479" s="557"/>
      <c r="G1479" s="557"/>
      <c r="H1479" s="557"/>
      <c r="I1479" s="557"/>
      <c r="J1479" s="557"/>
      <c r="K1479" s="87"/>
      <c r="L1479" s="391" t="s">
        <v>65</v>
      </c>
      <c r="M1479" s="391"/>
      <c r="N1479" s="391"/>
      <c r="O1479" s="405" t="str">
        <f>O1429</f>
        <v>Não</v>
      </c>
      <c r="P1479" s="446">
        <f>IF(O1479=$Y$22,1,0)</f>
        <v>1</v>
      </c>
      <c r="BB1479" s="509" t="str">
        <f>A1425</f>
        <v xml:space="preserve">Sim </v>
      </c>
    </row>
    <row r="1480" spans="1:54" s="446" customFormat="1" ht="12.95" customHeight="1" x14ac:dyDescent="0.2">
      <c r="A1480" s="87"/>
      <c r="B1480" s="88"/>
      <c r="C1480" s="88"/>
      <c r="D1480" s="88"/>
      <c r="E1480" s="74" t="s">
        <v>183</v>
      </c>
      <c r="F1480" s="353">
        <f>IF(N1473="",J1426,N1473)</f>
        <v>43982</v>
      </c>
      <c r="G1480" s="68"/>
      <c r="H1480" s="186"/>
      <c r="I1480" s="354" t="s">
        <v>184</v>
      </c>
      <c r="J1480" s="393">
        <f ca="1">IF(ISERROR(VLOOKUP(DATE(YEAR(N1473),MONTH(N1473)+IF($C$1321=$S$23,1,0),1),ÍNDICES!A$1:CD$65536,$V$1326+1)),J1443,VLOOKUP(DATE(YEAR(N1473),MONTH(N1473)+IF($C$1321=$S$23,1,0),1),ÍNDICES!A$1:CD$65536,$V$1326+1))</f>
        <v>73.234509000000003</v>
      </c>
      <c r="K1480" s="111" t="s">
        <v>69</v>
      </c>
      <c r="L1480" s="558" t="str">
        <f>L1430</f>
        <v>TABELA PRÁTICA - INPC</v>
      </c>
      <c r="M1480" s="559"/>
      <c r="N1480" s="559"/>
      <c r="O1480" s="559"/>
      <c r="BB1480" s="509" t="str">
        <f>A1425</f>
        <v xml:space="preserve">Sim </v>
      </c>
    </row>
    <row r="1481" spans="1:54" s="446" customFormat="1" ht="12.95" customHeight="1" x14ac:dyDescent="0.2">
      <c r="A1481" s="62" t="s">
        <v>70</v>
      </c>
      <c r="B1481" s="3" t="s">
        <v>92</v>
      </c>
      <c r="C1481" s="4" t="str">
        <f>IF(L1480=$BL$25,"VARIAÇÃO","ÍNDICE")</f>
        <v>ÍNDICE</v>
      </c>
      <c r="D1481" s="62" t="s">
        <v>72</v>
      </c>
      <c r="E1481" s="560" t="s">
        <v>185</v>
      </c>
      <c r="F1481" s="560"/>
      <c r="G1481" s="560"/>
      <c r="H1481" s="560"/>
      <c r="I1481" s="561"/>
      <c r="J1481" s="524" t="s">
        <v>127</v>
      </c>
      <c r="K1481" s="62" t="s">
        <v>165</v>
      </c>
      <c r="L1481" s="62" t="s">
        <v>95</v>
      </c>
      <c r="M1481" s="63" t="s">
        <v>75</v>
      </c>
      <c r="N1481" s="14" t="s">
        <v>78</v>
      </c>
      <c r="O1481" s="14" t="s">
        <v>115</v>
      </c>
      <c r="P1481" s="516" t="str">
        <f>O1479</f>
        <v>Não</v>
      </c>
      <c r="Q1481" s="452"/>
      <c r="R1481" s="452"/>
      <c r="S1481" s="452"/>
      <c r="T1481" s="452"/>
      <c r="U1481" s="452"/>
      <c r="V1481" s="452"/>
      <c r="W1481" s="452"/>
      <c r="X1481" s="452"/>
      <c r="Y1481" s="452"/>
      <c r="Z1481" s="457"/>
      <c r="AA1481" s="452"/>
      <c r="AB1481" s="452"/>
      <c r="AC1481" s="452"/>
      <c r="AD1481" s="452"/>
      <c r="AE1481" s="452"/>
      <c r="AF1481" s="452"/>
      <c r="AG1481" s="452"/>
      <c r="AH1481" s="452"/>
      <c r="AI1481" s="452"/>
      <c r="AJ1481" s="452"/>
      <c r="BB1481" s="509" t="str">
        <f>A1425</f>
        <v xml:space="preserve">Sim </v>
      </c>
    </row>
    <row r="1482" spans="1:54" s="446" customFormat="1" ht="12.95" customHeight="1" x14ac:dyDescent="0.2">
      <c r="A1482" s="5" t="s">
        <v>80</v>
      </c>
      <c r="B1482" s="6" t="s">
        <v>96</v>
      </c>
      <c r="C1482" s="7" t="str">
        <f>IF(L1480=$BL$25,"SELIC","Inicial")</f>
        <v>Inicial</v>
      </c>
      <c r="D1482" s="62" t="s">
        <v>97</v>
      </c>
      <c r="E1482" s="562"/>
      <c r="F1482" s="562"/>
      <c r="G1482" s="562"/>
      <c r="H1482" s="562"/>
      <c r="I1482" s="563"/>
      <c r="J1482" s="20" t="s">
        <v>131</v>
      </c>
      <c r="K1482" s="62" t="s">
        <v>186</v>
      </c>
      <c r="L1482" s="59"/>
      <c r="M1482" s="7" t="s">
        <v>100</v>
      </c>
      <c r="N1482" s="5" t="s">
        <v>187</v>
      </c>
      <c r="O1482" s="5" t="s">
        <v>87</v>
      </c>
      <c r="P1482" s="479"/>
      <c r="Q1482" s="479"/>
      <c r="R1482" s="479"/>
      <c r="S1482" s="479"/>
      <c r="T1482" s="479"/>
      <c r="U1482" s="479"/>
      <c r="V1482" s="479"/>
      <c r="W1482" s="479"/>
      <c r="X1482" s="479"/>
      <c r="Y1482" s="479"/>
      <c r="Z1482" s="479"/>
      <c r="AA1482" s="479"/>
      <c r="AB1482" s="479"/>
      <c r="AC1482" s="479"/>
      <c r="AD1482" s="479"/>
      <c r="AE1482" s="479"/>
      <c r="AF1482" s="479"/>
      <c r="AG1482" s="479"/>
      <c r="AH1482" s="479"/>
      <c r="AI1482" s="479"/>
      <c r="AJ1482" s="479"/>
      <c r="AK1482" s="479"/>
      <c r="AL1482" s="479"/>
      <c r="AM1482" s="479"/>
      <c r="AN1482" s="479"/>
      <c r="AO1482" s="479"/>
      <c r="AP1482" s="479"/>
      <c r="BB1482" s="509" t="str">
        <f>A1425</f>
        <v xml:space="preserve">Sim </v>
      </c>
    </row>
    <row r="1483" spans="1:54" s="446" customFormat="1" ht="12.95" customHeight="1" x14ac:dyDescent="0.2">
      <c r="A1483" s="172" t="s">
        <v>88</v>
      </c>
      <c r="B1483" s="172" t="s">
        <v>88</v>
      </c>
      <c r="C1483" s="7" t="s">
        <v>88</v>
      </c>
      <c r="D1483" s="5" t="s">
        <v>88</v>
      </c>
      <c r="E1483" s="553" t="s">
        <v>188</v>
      </c>
      <c r="F1483" s="564"/>
      <c r="G1483" s="564"/>
      <c r="H1483" s="564"/>
      <c r="I1483" s="554"/>
      <c r="J1483" s="9" t="s">
        <v>88</v>
      </c>
      <c r="K1483" s="30">
        <v>1</v>
      </c>
      <c r="L1483" s="27"/>
      <c r="M1483" s="7" t="s">
        <v>88</v>
      </c>
      <c r="N1483" s="358">
        <f>$N$24</f>
        <v>0</v>
      </c>
      <c r="O1483" s="522">
        <f>O1433</f>
        <v>0</v>
      </c>
      <c r="P1483" s="480"/>
      <c r="Q1483" s="480"/>
      <c r="R1483" s="480"/>
      <c r="S1483" s="480"/>
      <c r="T1483" s="480"/>
      <c r="U1483" s="480"/>
      <c r="V1483" s="480"/>
      <c r="W1483" s="480"/>
      <c r="X1483" s="480"/>
      <c r="Y1483" s="480"/>
      <c r="Z1483" s="480"/>
      <c r="AA1483" s="480"/>
      <c r="AB1483" s="480"/>
      <c r="AC1483" s="480"/>
      <c r="AD1483" s="480"/>
      <c r="AE1483" s="480"/>
      <c r="AF1483" s="480"/>
      <c r="AG1483" s="480"/>
      <c r="AH1483" s="480"/>
      <c r="AI1483" s="480"/>
      <c r="AJ1483" s="480"/>
      <c r="AK1483" s="480"/>
      <c r="AL1483" s="480"/>
      <c r="AM1483" s="480"/>
      <c r="AN1483" s="480"/>
      <c r="AO1483" s="480"/>
      <c r="AP1483" s="480"/>
      <c r="BB1483" s="509" t="str">
        <f>A1425</f>
        <v xml:space="preserve">Sim </v>
      </c>
    </row>
    <row r="1484" spans="1:54" s="446" customFormat="1" ht="6" customHeight="1" x14ac:dyDescent="0.2">
      <c r="A1484" s="172"/>
      <c r="B1484" s="172"/>
      <c r="C1484" s="7"/>
      <c r="D1484" s="5"/>
      <c r="E1484" s="359"/>
      <c r="F1484" s="19"/>
      <c r="G1484" s="258"/>
      <c r="H1484" s="259"/>
      <c r="I1484" s="360"/>
      <c r="J1484" s="20"/>
      <c r="K1484" s="5"/>
      <c r="L1484" s="151"/>
      <c r="M1484" s="7"/>
      <c r="N1484" s="5"/>
      <c r="O1484" s="5"/>
      <c r="P1484" s="445"/>
      <c r="Q1484" s="445"/>
      <c r="R1484" s="445"/>
      <c r="S1484" s="445"/>
      <c r="T1484" s="445"/>
      <c r="U1484" s="445"/>
      <c r="V1484" s="445"/>
      <c r="W1484" s="445"/>
      <c r="X1484" s="445"/>
      <c r="Y1484" s="445"/>
      <c r="Z1484" s="445"/>
      <c r="AA1484" s="445"/>
      <c r="AB1484" s="445"/>
      <c r="AC1484" s="445"/>
      <c r="AD1484" s="445"/>
      <c r="AE1484" s="445"/>
      <c r="AF1484" s="445"/>
      <c r="AG1484" s="445"/>
      <c r="AH1484" s="445"/>
      <c r="AI1484" s="445"/>
      <c r="AJ1484" s="445"/>
      <c r="BB1484" s="509" t="str">
        <f>A1425</f>
        <v xml:space="preserve">Sim </v>
      </c>
    </row>
    <row r="1485" spans="1:54" s="446" customFormat="1" ht="12.95" customHeight="1" x14ac:dyDescent="0.2">
      <c r="A1485" s="177"/>
      <c r="B1485" s="236"/>
      <c r="C1485" s="29" t="str">
        <f ca="1">IF(AND(B1485&gt;0,L$1480=$BL$25),VLOOKUP(DATE(YEAR(N$1473),MONTH(N$1473)-1,1),ÍNDICES!$A:$DE,HLOOKUP($BL$25,ÍNDICES!$B$3:$T$4,2)+11)-VLOOKUP(B1485,ÍNDICES!$A:$DE,HLOOKUP($BL$25,ÍNDICES!$B$3:$T$4,2)+11)+1%,IF(ISERROR(VLOOKUP(DATE(YEAR(B1485),MONTH(B1485)+IF($C$1321=$S$23,1,0),1),ÍNDICES!$A:$DE,$V$1326+1)),"",VLOOKUP(DATE(YEAR(B1485),MONTH(B1485)+IF($C$1321=$S$23,1,0),1),ÍNDICES!$A:$DE,$V$1326+1)))</f>
        <v/>
      </c>
      <c r="D1485" s="155"/>
      <c r="E1485" s="552"/>
      <c r="F1485" s="552"/>
      <c r="G1485" s="552"/>
      <c r="H1485" s="552"/>
      <c r="I1485" s="552"/>
      <c r="J1485" s="5" t="str">
        <f t="shared" ref="J1485:J1512" si="198">IF(L$1480=$BL$25,D1485,IF(D1485="","",D1485/C1485*J$1480))</f>
        <v/>
      </c>
      <c r="K1485" s="5" t="str">
        <f>IF(J1485="","",J1485*K$1483)</f>
        <v/>
      </c>
      <c r="L1485" s="5" t="str">
        <f ca="1">IF(L1480=$BL$25,K1485*IF(C1485="",0,C1485),IF(ISERROR((K1485)*SUMPRODUCT($P$37:$BA$37,$P1485:$BA1485)),IF(K1485="","",0),(K1485)*SUMPRODUCT($P$37:$BA$37,$P1485:$BA1485)))</f>
        <v/>
      </c>
      <c r="M1485" s="64">
        <f t="shared" ref="M1485:M1498" si="199">IF(ISERROR(SUM(P1485:BA1485)),"",SUM(P1485:BA1485))</f>
        <v>0</v>
      </c>
      <c r="N1485" s="5" t="str">
        <f ca="1">IFERROR(($K1485+$L1485)*N$1333,"")</f>
        <v/>
      </c>
      <c r="O1485" s="5" t="str">
        <f ca="1">IFERROR(($K1485+$L1485+$N1485)*O$1333,"")</f>
        <v/>
      </c>
      <c r="P1485" s="446">
        <f>IF($B1485="",0,IF(MIN(P1475,$N1473)&lt;MAX($B1485*$P1479,$L1482-1),0,YEARFRAC(MAX($B1485*$P1479,$L1482-1),MIN(P1475,$N1473),$P$20)))</f>
        <v>0</v>
      </c>
      <c r="Q1485" s="446">
        <f>IF($B1485="",0,IF(MIN(Q1475,$N1473)&lt;MAX($B1485*$P1479,$L1482-1),0,YEARFRAC(MAX($B1485*$P1479,$L1482-1),MIN(Q1475,$N1473),$P$20)))</f>
        <v>0</v>
      </c>
      <c r="BB1485" s="509" t="str">
        <f>A1425</f>
        <v xml:space="preserve">Sim </v>
      </c>
    </row>
    <row r="1486" spans="1:54" s="446" customFormat="1" ht="12.95" customHeight="1" x14ac:dyDescent="0.2">
      <c r="A1486" s="177"/>
      <c r="B1486" s="236"/>
      <c r="C1486" s="29" t="str">
        <f ca="1">IF(AND(B1486&gt;0,L$1480=$BL$25),VLOOKUP(DATE(YEAR(N$1473),MONTH(N$1473)-1,1),ÍNDICES!$A:$DE,HLOOKUP($BL$25,ÍNDICES!$B$3:$T$4,2)+11)-VLOOKUP(B1486,ÍNDICES!$A:$DE,HLOOKUP($BL$25,ÍNDICES!$B$3:$T$4,2)+11)+1%,IF(ISERROR(VLOOKUP(DATE(YEAR(B1486),MONTH(B1486)+IF($C$1321=$S$23,1,0),1),ÍNDICES!$A:$DE,$V$1326+1)),"",VLOOKUP(DATE(YEAR(B1486),MONTH(B1486)+IF($C$1321=$S$23,1,0),1),ÍNDICES!$A:$DE,$V$1326+1)))</f>
        <v/>
      </c>
      <c r="D1486" s="155"/>
      <c r="E1486" s="552"/>
      <c r="F1486" s="552"/>
      <c r="G1486" s="552"/>
      <c r="H1486" s="552"/>
      <c r="I1486" s="552"/>
      <c r="J1486" s="5" t="str">
        <f t="shared" si="198"/>
        <v/>
      </c>
      <c r="K1486" s="5" t="str">
        <f t="shared" ref="K1486:K1512" si="200">IF(J1486="","",J1486*K$1483)</f>
        <v/>
      </c>
      <c r="L1486" s="5" t="str">
        <f ca="1">IF(L1480=$BL$25,K1486*IF(C1486="",0,C1486),IF(ISERROR((K1486)*SUMPRODUCT($P$37:$BA$37,$P1486:$BA1486)),IF(K1486="","",0),(K1486)*SUMPRODUCT($P$37:$BA$37,$P1486:$BA1486)))</f>
        <v/>
      </c>
      <c r="M1486" s="64">
        <f t="shared" si="199"/>
        <v>0</v>
      </c>
      <c r="N1486" s="5" t="str">
        <f t="shared" ref="N1486:N1498" ca="1" si="201">IFERROR(($K1486+$L1486)*N$1333,"")</f>
        <v/>
      </c>
      <c r="O1486" s="5" t="str">
        <f t="shared" ref="O1486:O1498" ca="1" si="202">IFERROR(($K1486+$L1486+$N1486)*O$1333,"")</f>
        <v/>
      </c>
      <c r="P1486" s="446">
        <f>IF($B1486="",0,IF(MIN(P1475,$N1473)&lt;MAX($B1486*$P1479,$L1482-1),0,YEARFRAC(MAX($B1486*$P1479,$L1482-1),MIN(P1475,$N1473),$P$20)))</f>
        <v>0</v>
      </c>
      <c r="Q1486" s="446">
        <f>IF($B1486="",0,IF(MIN(Q1475,$N1473)&lt;MAX($B1486*$P1479,$L1482-1),0,YEARFRAC(MAX($B1486*$P1479,$L1482-1),MIN(Q1475,$N1473),$P$20)))</f>
        <v>0</v>
      </c>
      <c r="BB1486" s="509" t="str">
        <f>A1425</f>
        <v xml:space="preserve">Sim </v>
      </c>
    </row>
    <row r="1487" spans="1:54" s="446" customFormat="1" ht="12.95" customHeight="1" x14ac:dyDescent="0.2">
      <c r="A1487" s="177"/>
      <c r="B1487" s="236"/>
      <c r="C1487" s="29" t="str">
        <f ca="1">IF(AND(B1487&gt;0,L$1480=$BL$25),VLOOKUP(DATE(YEAR(N$1473),MONTH(N$1473)-1,1),ÍNDICES!$A:$DE,HLOOKUP($BL$25,ÍNDICES!$B$3:$T$4,2)+11)-VLOOKUP(B1487,ÍNDICES!$A:$DE,HLOOKUP($BL$25,ÍNDICES!$B$3:$T$4,2)+11)+1%,IF(ISERROR(VLOOKUP(DATE(YEAR(B1487),MONTH(B1487)+IF($C$1321=$S$23,1,0),1),ÍNDICES!$A:$DE,$V$1326+1)),"",VLOOKUP(DATE(YEAR(B1487),MONTH(B1487)+IF($C$1321=$S$23,1,0),1),ÍNDICES!$A:$DE,$V$1326+1)))</f>
        <v/>
      </c>
      <c r="D1487" s="155"/>
      <c r="E1487" s="552"/>
      <c r="F1487" s="552"/>
      <c r="G1487" s="552"/>
      <c r="H1487" s="552"/>
      <c r="I1487" s="552"/>
      <c r="J1487" s="5" t="str">
        <f t="shared" si="198"/>
        <v/>
      </c>
      <c r="K1487" s="5" t="str">
        <f t="shared" si="200"/>
        <v/>
      </c>
      <c r="L1487" s="5" t="str">
        <f ca="1">IF(L1480=$BL$25,K1487*IF(C1487="",0,C1487),IF(ISERROR((K1487)*SUMPRODUCT($P$37:$BA$37,$P1487:$BA1487)),IF(K1487="","",0),(K1487)*SUMPRODUCT($P$37:$BA$37,$P1487:$BA1487)))</f>
        <v/>
      </c>
      <c r="M1487" s="64">
        <f t="shared" si="199"/>
        <v>0</v>
      </c>
      <c r="N1487" s="5" t="str">
        <f t="shared" ca="1" si="201"/>
        <v/>
      </c>
      <c r="O1487" s="5" t="str">
        <f t="shared" ca="1" si="202"/>
        <v/>
      </c>
      <c r="P1487" s="446">
        <f>IF($B1487="",0,IF(MIN(P1475,$N1473)&lt;MAX($B1487*$P1479,$L1482-1),0,YEARFRAC(MAX($B1487*$P1479,$L1482-1),MIN(P1475,$N1473),$P$20)))</f>
        <v>0</v>
      </c>
      <c r="Q1487" s="446">
        <f>IF($B1487="",0,IF(MIN(Q1475,$N1473)&lt;MAX($B1487*$P1479,$L1482-1),0,YEARFRAC(MAX($B1487*$P1479,$L1482-1),MIN(Q1475,$N1473),$P$20)))</f>
        <v>0</v>
      </c>
      <c r="BB1487" s="509" t="str">
        <f>A1425</f>
        <v xml:space="preserve">Sim </v>
      </c>
    </row>
    <row r="1488" spans="1:54" s="446" customFormat="1" ht="12.95" customHeight="1" x14ac:dyDescent="0.2">
      <c r="A1488" s="177"/>
      <c r="B1488" s="236"/>
      <c r="C1488" s="29" t="str">
        <f ca="1">IF(AND(B1488&gt;0,L$1480=$BL$25),VLOOKUP(DATE(YEAR(N$1473),MONTH(N$1473)-1,1),ÍNDICES!$A:$DE,HLOOKUP($BL$25,ÍNDICES!$B$3:$T$4,2)+11)-VLOOKUP(B1488,ÍNDICES!$A:$DE,HLOOKUP($BL$25,ÍNDICES!$B$3:$T$4,2)+11)+1%,IF(ISERROR(VLOOKUP(DATE(YEAR(B1488),MONTH(B1488)+IF($C$1321=$S$23,1,0),1),ÍNDICES!$A:$DE,$V$1326+1)),"",VLOOKUP(DATE(YEAR(B1488),MONTH(B1488)+IF($C$1321=$S$23,1,0),1),ÍNDICES!$A:$DE,$V$1326+1)))</f>
        <v/>
      </c>
      <c r="D1488" s="155"/>
      <c r="E1488" s="552"/>
      <c r="F1488" s="552"/>
      <c r="G1488" s="552"/>
      <c r="H1488" s="552"/>
      <c r="I1488" s="552"/>
      <c r="J1488" s="5" t="str">
        <f t="shared" si="198"/>
        <v/>
      </c>
      <c r="K1488" s="5" t="str">
        <f t="shared" si="200"/>
        <v/>
      </c>
      <c r="L1488" s="5" t="str">
        <f ca="1">IF(L1480=$BL$25,K1488*IF(C1488="",0,C1488),IF(ISERROR((K1488)*SUMPRODUCT($P$37:$BA$37,$P1488:$BA1488)),IF(K1488="","",0),(K1488)*SUMPRODUCT($P$37:$BA$37,$P1488:$BA1488)))</f>
        <v/>
      </c>
      <c r="M1488" s="64">
        <f t="shared" si="199"/>
        <v>0</v>
      </c>
      <c r="N1488" s="5" t="str">
        <f t="shared" ca="1" si="201"/>
        <v/>
      </c>
      <c r="O1488" s="5" t="str">
        <f t="shared" ca="1" si="202"/>
        <v/>
      </c>
      <c r="P1488" s="446">
        <f>IF($B1488="",0,IF(MIN(P1475,$N1473)&lt;MAX($B1488*$P1479,$L1482-1),0,YEARFRAC(MAX($B1488*$P1479,$L1482-1),MIN(P1475,$N1473),$P$20)))</f>
        <v>0</v>
      </c>
      <c r="Q1488" s="446">
        <f>IF($B1488="",0,IF(MIN(Q1475,$N1473)&lt;MAX($B1488*$P1479,$L1482-1),0,YEARFRAC(MAX($B1488*$P1479,$L1482-1),MIN(Q1475,$N1473),$P$20)))</f>
        <v>0</v>
      </c>
      <c r="BB1488" s="509" t="str">
        <f>A1425</f>
        <v xml:space="preserve">Sim </v>
      </c>
    </row>
    <row r="1489" spans="1:54" s="446" customFormat="1" ht="12.95" customHeight="1" x14ac:dyDescent="0.2">
      <c r="A1489" s="177"/>
      <c r="B1489" s="236"/>
      <c r="C1489" s="29" t="str">
        <f ca="1">IF(AND(B1489&gt;0,L$1480=$BL$25),VLOOKUP(DATE(YEAR(N$1473),MONTH(N$1473)-1,1),ÍNDICES!$A:$DE,HLOOKUP($BL$25,ÍNDICES!$B$3:$T$4,2)+11)-VLOOKUP(B1489,ÍNDICES!$A:$DE,HLOOKUP($BL$25,ÍNDICES!$B$3:$T$4,2)+11)+1%,IF(ISERROR(VLOOKUP(DATE(YEAR(B1489),MONTH(B1489)+IF($C$1321=$S$23,1,0),1),ÍNDICES!$A:$DE,$V$1326+1)),"",VLOOKUP(DATE(YEAR(B1489),MONTH(B1489)+IF($C$1321=$S$23,1,0),1),ÍNDICES!$A:$DE,$V$1326+1)))</f>
        <v/>
      </c>
      <c r="D1489" s="155"/>
      <c r="E1489" s="552"/>
      <c r="F1489" s="552"/>
      <c r="G1489" s="552"/>
      <c r="H1489" s="552"/>
      <c r="I1489" s="552"/>
      <c r="J1489" s="5" t="str">
        <f t="shared" si="198"/>
        <v/>
      </c>
      <c r="K1489" s="5" t="str">
        <f t="shared" si="200"/>
        <v/>
      </c>
      <c r="L1489" s="5" t="str">
        <f ca="1">IF(L1480=$BL$25,K1489*IF(C1489="",0,C1489),IF(ISERROR((K1489)*SUMPRODUCT($P$37:$BA$37,$P1489:$BA1489)),IF(K1489="","",0),(K1489)*SUMPRODUCT($P$37:$BA$37,$P1489:$BA1489)))</f>
        <v/>
      </c>
      <c r="M1489" s="64">
        <f t="shared" si="199"/>
        <v>0</v>
      </c>
      <c r="N1489" s="5" t="str">
        <f t="shared" ca="1" si="201"/>
        <v/>
      </c>
      <c r="O1489" s="5" t="str">
        <f t="shared" ca="1" si="202"/>
        <v/>
      </c>
      <c r="P1489" s="446">
        <f>IF($B1489="",0,IF(MIN(P1475,$N1473)&lt;MAX($B1489*$P1479,$L1482-1),0,YEARFRAC(MAX($B1489*$P1479,$L1482-1),MIN(P1475,$N1473),$P$20)))</f>
        <v>0</v>
      </c>
      <c r="Q1489" s="446">
        <f>IF($B1489="",0,IF(MIN(Q1475,$N1473)&lt;MAX($B1489*$P1479,$L1482-1),0,YEARFRAC(MAX($B1489*$P1479,$L1482-1),MIN(Q1475,$N1473),$P$20)))</f>
        <v>0</v>
      </c>
      <c r="BB1489" s="509" t="str">
        <f>A1425</f>
        <v xml:space="preserve">Sim </v>
      </c>
    </row>
    <row r="1490" spans="1:54" s="446" customFormat="1" ht="12.95" customHeight="1" x14ac:dyDescent="0.2">
      <c r="A1490" s="177"/>
      <c r="B1490" s="236"/>
      <c r="C1490" s="29" t="str">
        <f ca="1">IF(AND(B1490&gt;0,L$1480=$BL$25),VLOOKUP(DATE(YEAR(N$1473),MONTH(N$1473)-1,1),ÍNDICES!$A:$DE,HLOOKUP($BL$25,ÍNDICES!$B$3:$T$4,2)+11)-VLOOKUP(B1490,ÍNDICES!$A:$DE,HLOOKUP($BL$25,ÍNDICES!$B$3:$T$4,2)+11)+1%,IF(ISERROR(VLOOKUP(DATE(YEAR(B1490),MONTH(B1490)+IF($C$1321=$S$23,1,0),1),ÍNDICES!$A:$DE,$V$1326+1)),"",VLOOKUP(DATE(YEAR(B1490),MONTH(B1490)+IF($C$1321=$S$23,1,0),1),ÍNDICES!$A:$DE,$V$1326+1)))</f>
        <v/>
      </c>
      <c r="D1490" s="155"/>
      <c r="E1490" s="552"/>
      <c r="F1490" s="552"/>
      <c r="G1490" s="552"/>
      <c r="H1490" s="552"/>
      <c r="I1490" s="552"/>
      <c r="J1490" s="5" t="str">
        <f t="shared" si="198"/>
        <v/>
      </c>
      <c r="K1490" s="5" t="str">
        <f t="shared" si="200"/>
        <v/>
      </c>
      <c r="L1490" s="5" t="str">
        <f ca="1">IF(L1480=$BL$25,K1490*IF(C1490="",0,C1490),IF(ISERROR((K1490)*SUMPRODUCT($P$37:$BA$37,$P1490:$BA1490)),IF(K1490="","",0),(K1490)*SUMPRODUCT($P$37:$BA$37,$P1490:$BA1490)))</f>
        <v/>
      </c>
      <c r="M1490" s="64">
        <f t="shared" si="199"/>
        <v>0</v>
      </c>
      <c r="N1490" s="5" t="str">
        <f t="shared" ca="1" si="201"/>
        <v/>
      </c>
      <c r="O1490" s="5" t="str">
        <f t="shared" ca="1" si="202"/>
        <v/>
      </c>
      <c r="P1490" s="446">
        <f>IF($B1490="",0,IF(MIN(P1475,$N1473)&lt;MAX($B1490*$P1479,$L1482-1),0,YEARFRAC(MAX($B1490*$P1479,$L1482-1),MIN(P1475,$N1473),$P$20)))</f>
        <v>0</v>
      </c>
      <c r="Q1490" s="446">
        <f>IF($B1490="",0,IF(MIN(Q1475,$N1473)&lt;MAX($B1490*$P1479,$L1482-1),0,YEARFRAC(MAX($B1490*$P1479,$L1482-1),MIN(Q1475,$N1473),$P$20)))</f>
        <v>0</v>
      </c>
      <c r="BB1490" s="509" t="str">
        <f>A1425</f>
        <v xml:space="preserve">Sim </v>
      </c>
    </row>
    <row r="1491" spans="1:54" s="446" customFormat="1" ht="12.95" customHeight="1" x14ac:dyDescent="0.2">
      <c r="A1491" s="177"/>
      <c r="B1491" s="236"/>
      <c r="C1491" s="29" t="str">
        <f ca="1">IF(AND(B1491&gt;0,L$1480=$BL$25),VLOOKUP(DATE(YEAR(N$1473),MONTH(N$1473)-1,1),ÍNDICES!$A:$DE,HLOOKUP($BL$25,ÍNDICES!$B$3:$T$4,2)+11)-VLOOKUP(B1491,ÍNDICES!$A:$DE,HLOOKUP($BL$25,ÍNDICES!$B$3:$T$4,2)+11)+1%,IF(ISERROR(VLOOKUP(DATE(YEAR(B1491),MONTH(B1491)+IF($C$1321=$S$23,1,0),1),ÍNDICES!$A:$DE,$V$1326+1)),"",VLOOKUP(DATE(YEAR(B1491),MONTH(B1491)+IF($C$1321=$S$23,1,0),1),ÍNDICES!$A:$DE,$V$1326+1)))</f>
        <v/>
      </c>
      <c r="D1491" s="155"/>
      <c r="E1491" s="552"/>
      <c r="F1491" s="552"/>
      <c r="G1491" s="552"/>
      <c r="H1491" s="552"/>
      <c r="I1491" s="552"/>
      <c r="J1491" s="5" t="str">
        <f t="shared" si="198"/>
        <v/>
      </c>
      <c r="K1491" s="5" t="str">
        <f t="shared" si="200"/>
        <v/>
      </c>
      <c r="L1491" s="5" t="str">
        <f ca="1">IF(L1480=$BL$25,K1491*IF(C1491="",0,C1491),IF(ISERROR((K1491)*SUMPRODUCT($P$37:$BA$37,$P1491:$BA1491)),IF(K1491="","",0),(K1491)*SUMPRODUCT($P$37:$BA$37,$P1491:$BA1491)))</f>
        <v/>
      </c>
      <c r="M1491" s="64">
        <f t="shared" si="199"/>
        <v>0</v>
      </c>
      <c r="N1491" s="5" t="str">
        <f t="shared" ca="1" si="201"/>
        <v/>
      </c>
      <c r="O1491" s="5" t="str">
        <f t="shared" ca="1" si="202"/>
        <v/>
      </c>
      <c r="P1491" s="446">
        <f>IF($B1491="",0,IF(MIN(P1475,$N1473)&lt;MAX($B1491*$P1479,$L1482-1),0,YEARFRAC(MAX($B1491*$P1479,$L1482-1),MIN(P1475,$N1473),$P$20)))</f>
        <v>0</v>
      </c>
      <c r="Q1491" s="446">
        <f>IF($B1491="",0,IF(MIN(Q1475,$N1473)&lt;MAX($B1491*$P1479,$L1482-1),0,YEARFRAC(MAX($B1491*$P1479,$L1482-1),MIN(Q1475,$N1473),$P$20)))</f>
        <v>0</v>
      </c>
      <c r="BB1491" s="509" t="str">
        <f>A1425</f>
        <v xml:space="preserve">Sim </v>
      </c>
    </row>
    <row r="1492" spans="1:54" s="446" customFormat="1" ht="12.95" customHeight="1" x14ac:dyDescent="0.2">
      <c r="A1492" s="177"/>
      <c r="B1492" s="236"/>
      <c r="C1492" s="29" t="str">
        <f ca="1">IF(AND(B1492&gt;0,L$1480=$BL$25),VLOOKUP(DATE(YEAR(N$1473),MONTH(N$1473)-1,1),ÍNDICES!$A:$DE,HLOOKUP($BL$25,ÍNDICES!$B$3:$T$4,2)+11)-VLOOKUP(B1492,ÍNDICES!$A:$DE,HLOOKUP($BL$25,ÍNDICES!$B$3:$T$4,2)+11)+1%,IF(ISERROR(VLOOKUP(DATE(YEAR(B1492),MONTH(B1492)+IF($C$1321=$S$23,1,0),1),ÍNDICES!$A:$DE,$V$1326+1)),"",VLOOKUP(DATE(YEAR(B1492),MONTH(B1492)+IF($C$1321=$S$23,1,0),1),ÍNDICES!$A:$DE,$V$1326+1)))</f>
        <v/>
      </c>
      <c r="D1492" s="155"/>
      <c r="E1492" s="552"/>
      <c r="F1492" s="552"/>
      <c r="G1492" s="552"/>
      <c r="H1492" s="552"/>
      <c r="I1492" s="552"/>
      <c r="J1492" s="5" t="str">
        <f t="shared" si="198"/>
        <v/>
      </c>
      <c r="K1492" s="5" t="str">
        <f t="shared" si="200"/>
        <v/>
      </c>
      <c r="L1492" s="5" t="str">
        <f ca="1">IF(L1480=$BL$25,K1492*IF(C1492="",0,C1492),IF(ISERROR((K1492)*SUMPRODUCT($P$37:$BA$37,$P1492:$BA1492)),IF(K1492="","",0),(K1492)*SUMPRODUCT($P$37:$BA$37,$P1492:$BA1492)))</f>
        <v/>
      </c>
      <c r="M1492" s="64">
        <f t="shared" si="199"/>
        <v>0</v>
      </c>
      <c r="N1492" s="5" t="str">
        <f t="shared" ca="1" si="201"/>
        <v/>
      </c>
      <c r="O1492" s="5" t="str">
        <f t="shared" ca="1" si="202"/>
        <v/>
      </c>
      <c r="P1492" s="446">
        <f>IF($B1492="",0,IF(MIN(P1475,$N1473)&lt;MAX($B1492*$P1479,$L1482-1),0,YEARFRAC(MAX($B1492*$P1479,$L1482-1),MIN(P1475,$N1473),$P$20)))</f>
        <v>0</v>
      </c>
      <c r="Q1492" s="446">
        <f>IF($B1492="",0,IF(MIN(Q1475,$N1473)&lt;MAX($B1492*$P1479,$L1482-1),0,YEARFRAC(MAX($B1492*$P1479,$L1482-1),MIN(Q1475,$N1473),$P$20)))</f>
        <v>0</v>
      </c>
      <c r="BB1492" s="509" t="str">
        <f>A1425</f>
        <v xml:space="preserve">Sim </v>
      </c>
    </row>
    <row r="1493" spans="1:54" s="446" customFormat="1" ht="12.95" customHeight="1" x14ac:dyDescent="0.2">
      <c r="A1493" s="177"/>
      <c r="B1493" s="236"/>
      <c r="C1493" s="29" t="str">
        <f ca="1">IF(AND(B1493&gt;0,L$1480=$BL$25),VLOOKUP(DATE(YEAR(N$1473),MONTH(N$1473)-1,1),ÍNDICES!$A:$DE,HLOOKUP($BL$25,ÍNDICES!$B$3:$T$4,2)+11)-VLOOKUP(B1493,ÍNDICES!$A:$DE,HLOOKUP($BL$25,ÍNDICES!$B$3:$T$4,2)+11)+1%,IF(ISERROR(VLOOKUP(DATE(YEAR(B1493),MONTH(B1493)+IF($C$1321=$S$23,1,0),1),ÍNDICES!$A:$DE,$V$1326+1)),"",VLOOKUP(DATE(YEAR(B1493),MONTH(B1493)+IF($C$1321=$S$23,1,0),1),ÍNDICES!$A:$DE,$V$1326+1)))</f>
        <v/>
      </c>
      <c r="D1493" s="155"/>
      <c r="E1493" s="552"/>
      <c r="F1493" s="552"/>
      <c r="G1493" s="552"/>
      <c r="H1493" s="552"/>
      <c r="I1493" s="552"/>
      <c r="J1493" s="5" t="str">
        <f t="shared" si="198"/>
        <v/>
      </c>
      <c r="K1493" s="5" t="str">
        <f t="shared" si="200"/>
        <v/>
      </c>
      <c r="L1493" s="5" t="str">
        <f ca="1">IF(L1480=$BL$25,K1493*IF(C1493="",0,C1493),IF(ISERROR((K1493)*SUMPRODUCT($P$37:$BA$37,$P1493:$BA1493)),IF(K1493="","",0),(K1493)*SUMPRODUCT($P$37:$BA$37,$P1493:$BA1493)))</f>
        <v/>
      </c>
      <c r="M1493" s="64">
        <f t="shared" si="199"/>
        <v>0</v>
      </c>
      <c r="N1493" s="5" t="str">
        <f t="shared" ca="1" si="201"/>
        <v/>
      </c>
      <c r="O1493" s="5" t="str">
        <f t="shared" ca="1" si="202"/>
        <v/>
      </c>
      <c r="P1493" s="446">
        <f>IF($B1493="",0,IF(MIN(P1475,$N1473)&lt;MAX($B1493*$P1479,$L1482-1),0,YEARFRAC(MAX($B1493*$P1479,$L1482-1),MIN(P1475,$N1473),$P$20)))</f>
        <v>0</v>
      </c>
      <c r="Q1493" s="446">
        <f>IF($B1493="",0,IF(MIN(Q1475,$N1473)&lt;MAX($B1493*$P1479,$L1482-1),0,YEARFRAC(MAX($B1493*$P1479,$L1482-1),MIN(Q1475,$N1473),$P$20)))</f>
        <v>0</v>
      </c>
      <c r="BB1493" s="509" t="str">
        <f>A1425</f>
        <v xml:space="preserve">Sim </v>
      </c>
    </row>
    <row r="1494" spans="1:54" s="446" customFormat="1" ht="12.95" customHeight="1" x14ac:dyDescent="0.2">
      <c r="A1494" s="177"/>
      <c r="B1494" s="236"/>
      <c r="C1494" s="29" t="str">
        <f ca="1">IF(AND(B1494&gt;0,L$1480=$BL$25),VLOOKUP(DATE(YEAR(N$1473),MONTH(N$1473)-1,1),ÍNDICES!$A:$DE,HLOOKUP($BL$25,ÍNDICES!$B$3:$T$4,2)+11)-VLOOKUP(B1494,ÍNDICES!$A:$DE,HLOOKUP($BL$25,ÍNDICES!$B$3:$T$4,2)+11)+1%,IF(ISERROR(VLOOKUP(DATE(YEAR(B1494),MONTH(B1494)+IF($C$1321=$S$23,1,0),1),ÍNDICES!$A:$DE,$V$1326+1)),"",VLOOKUP(DATE(YEAR(B1494),MONTH(B1494)+IF($C$1321=$S$23,1,0),1),ÍNDICES!$A:$DE,$V$1326+1)))</f>
        <v/>
      </c>
      <c r="D1494" s="155"/>
      <c r="E1494" s="552"/>
      <c r="F1494" s="552"/>
      <c r="G1494" s="552"/>
      <c r="H1494" s="552"/>
      <c r="I1494" s="552"/>
      <c r="J1494" s="5" t="str">
        <f t="shared" si="198"/>
        <v/>
      </c>
      <c r="K1494" s="5" t="str">
        <f t="shared" si="200"/>
        <v/>
      </c>
      <c r="L1494" s="5" t="str">
        <f ca="1">IF(L1480=$BL$25,K1494*IF(C1494="",0,C1494),IF(ISERROR((K1494)*SUMPRODUCT($P$37:$BA$37,$P1494:$BA1494)),IF(K1494="","",0),(K1494)*SUMPRODUCT($P$37:$BA$37,$P1494:$BA1494)))</f>
        <v/>
      </c>
      <c r="M1494" s="64">
        <f t="shared" si="199"/>
        <v>0</v>
      </c>
      <c r="N1494" s="5" t="str">
        <f t="shared" ca="1" si="201"/>
        <v/>
      </c>
      <c r="O1494" s="5" t="str">
        <f t="shared" ca="1" si="202"/>
        <v/>
      </c>
      <c r="P1494" s="446">
        <f>IF($B1494="",0,IF(MIN(P1475,$N1473)&lt;MAX($B1494*$P1479,$L1482-1),0,YEARFRAC(MAX($B1494*$P1479,$L1482-1),MIN(P1475,$N1473),$P$20)))</f>
        <v>0</v>
      </c>
      <c r="Q1494" s="446">
        <f>IF($B1494="",0,IF(MIN(Q1475,$N1473)&lt;MAX($B1494*$P1479,$L1482-1),0,YEARFRAC(MAX($B1494*$P1479,$L1482-1),MIN(Q1475,$N1473),$P$20)))</f>
        <v>0</v>
      </c>
      <c r="BB1494" s="509" t="str">
        <f>A1425</f>
        <v xml:space="preserve">Sim </v>
      </c>
    </row>
    <row r="1495" spans="1:54" s="446" customFormat="1" ht="12.95" customHeight="1" x14ac:dyDescent="0.2">
      <c r="A1495" s="177"/>
      <c r="B1495" s="236"/>
      <c r="C1495" s="29" t="str">
        <f ca="1">IF(AND(B1495&gt;0,L$1480=$BL$25),VLOOKUP(DATE(YEAR(N$1473),MONTH(N$1473)-1,1),ÍNDICES!$A:$DE,HLOOKUP($BL$25,ÍNDICES!$B$3:$T$4,2)+11)-VLOOKUP(B1495,ÍNDICES!$A:$DE,HLOOKUP($BL$25,ÍNDICES!$B$3:$T$4,2)+11)+1%,IF(ISERROR(VLOOKUP(DATE(YEAR(B1495),MONTH(B1495)+IF($C$1321=$S$23,1,0),1),ÍNDICES!$A:$DE,$V$1326+1)),"",VLOOKUP(DATE(YEAR(B1495),MONTH(B1495)+IF($C$1321=$S$23,1,0),1),ÍNDICES!$A:$DE,$V$1326+1)))</f>
        <v/>
      </c>
      <c r="D1495" s="155"/>
      <c r="E1495" s="552"/>
      <c r="F1495" s="552"/>
      <c r="G1495" s="552"/>
      <c r="H1495" s="552"/>
      <c r="I1495" s="552"/>
      <c r="J1495" s="5" t="str">
        <f t="shared" si="198"/>
        <v/>
      </c>
      <c r="K1495" s="5" t="str">
        <f t="shared" si="200"/>
        <v/>
      </c>
      <c r="L1495" s="5" t="str">
        <f ca="1">IF(L1480=$BL$25,K1495*IF(C1495="",0,C1495),IF(ISERROR((K1495)*SUMPRODUCT($P$37:$BA$37,$P1495:$BA1495)),IF(K1495="","",0),(K1495)*SUMPRODUCT($P$37:$BA$37,$P1495:$BA1495)))</f>
        <v/>
      </c>
      <c r="M1495" s="64">
        <f t="shared" si="199"/>
        <v>0</v>
      </c>
      <c r="N1495" s="5" t="str">
        <f t="shared" ca="1" si="201"/>
        <v/>
      </c>
      <c r="O1495" s="5" t="str">
        <f t="shared" ca="1" si="202"/>
        <v/>
      </c>
      <c r="P1495" s="446">
        <f>IF($B1495="",0,IF(MIN(P1475,$N1473)&lt;MAX($B1495*$P1479,$L1482-1),0,YEARFRAC(MAX($B1495*$P1479,$L1482-1),MIN(P1475,$N1473),$P$20)))</f>
        <v>0</v>
      </c>
      <c r="Q1495" s="446">
        <f>IF($B1495="",0,IF(MIN(Q1475,$N1473)&lt;MAX($B1495*$P1479,$L1482-1),0,YEARFRAC(MAX($B1495*$P1479,$L1482-1),MIN(Q1475,$N1473),$P$20)))</f>
        <v>0</v>
      </c>
      <c r="BB1495" s="509" t="str">
        <f>A1425</f>
        <v xml:space="preserve">Sim </v>
      </c>
    </row>
    <row r="1496" spans="1:54" s="446" customFormat="1" ht="12.95" customHeight="1" x14ac:dyDescent="0.2">
      <c r="A1496" s="177"/>
      <c r="B1496" s="236"/>
      <c r="C1496" s="29" t="str">
        <f ca="1">IF(AND(B1496&gt;0,L$1480=$BL$25),VLOOKUP(DATE(YEAR(N$1473),MONTH(N$1473)-1,1),ÍNDICES!$A:$DE,HLOOKUP($BL$25,ÍNDICES!$B$3:$T$4,2)+11)-VLOOKUP(B1496,ÍNDICES!$A:$DE,HLOOKUP($BL$25,ÍNDICES!$B$3:$T$4,2)+11)+1%,IF(ISERROR(VLOOKUP(DATE(YEAR(B1496),MONTH(B1496)+IF($C$1321=$S$23,1,0),1),ÍNDICES!$A:$DE,$V$1326+1)),"",VLOOKUP(DATE(YEAR(B1496),MONTH(B1496)+IF($C$1321=$S$23,1,0),1),ÍNDICES!$A:$DE,$V$1326+1)))</f>
        <v/>
      </c>
      <c r="D1496" s="155"/>
      <c r="E1496" s="552"/>
      <c r="F1496" s="552"/>
      <c r="G1496" s="552"/>
      <c r="H1496" s="552"/>
      <c r="I1496" s="552"/>
      <c r="J1496" s="5" t="str">
        <f t="shared" si="198"/>
        <v/>
      </c>
      <c r="K1496" s="5" t="str">
        <f t="shared" si="200"/>
        <v/>
      </c>
      <c r="L1496" s="5" t="str">
        <f ca="1">IF(L1480=$BL$25,K1496*IF(C1496="",0,C1496),IF(ISERROR((K1496)*SUMPRODUCT($P$37:$BA$37,$P1496:$BA1496)),IF(K1496="","",0),(K1496)*SUMPRODUCT($P$37:$BA$37,$P1496:$BA1496)))</f>
        <v/>
      </c>
      <c r="M1496" s="64">
        <f t="shared" si="199"/>
        <v>0</v>
      </c>
      <c r="N1496" s="5" t="str">
        <f t="shared" ca="1" si="201"/>
        <v/>
      </c>
      <c r="O1496" s="5" t="str">
        <f t="shared" ca="1" si="202"/>
        <v/>
      </c>
      <c r="P1496" s="446">
        <f>IF($B1496="",0,IF(MIN(P1475,$N1473)&lt;MAX($B1496*$P1479,$L1482-1),0,YEARFRAC(MAX($B1496*$P1479,$L1482-1),MIN(P1475,$N1473),$P$20)))</f>
        <v>0</v>
      </c>
      <c r="Q1496" s="446">
        <f>IF($B1496="",0,IF(MIN(Q1475,$N1473)&lt;MAX($B1496*$P1479,$L1482-1),0,YEARFRAC(MAX($B1496*$P1479,$L1482-1),MIN(Q1475,$N1473),$P$20)))</f>
        <v>0</v>
      </c>
      <c r="BB1496" s="509" t="str">
        <f>A1425</f>
        <v xml:space="preserve">Sim </v>
      </c>
    </row>
    <row r="1497" spans="1:54" s="446" customFormat="1" ht="12.95" customHeight="1" x14ac:dyDescent="0.2">
      <c r="A1497" s="177"/>
      <c r="B1497" s="236"/>
      <c r="C1497" s="29" t="str">
        <f ca="1">IF(AND(B1497&gt;0,L$1480=$BL$25),VLOOKUP(DATE(YEAR(N$1473),MONTH(N$1473)-1,1),ÍNDICES!$A:$DE,HLOOKUP($BL$25,ÍNDICES!$B$3:$T$4,2)+11)-VLOOKUP(B1497,ÍNDICES!$A:$DE,HLOOKUP($BL$25,ÍNDICES!$B$3:$T$4,2)+11)+1%,IF(ISERROR(VLOOKUP(DATE(YEAR(B1497),MONTH(B1497)+IF($C$1321=$S$23,1,0),1),ÍNDICES!$A:$DE,$V$1326+1)),"",VLOOKUP(DATE(YEAR(B1497),MONTH(B1497)+IF($C$1321=$S$23,1,0),1),ÍNDICES!$A:$DE,$V$1326+1)))</f>
        <v/>
      </c>
      <c r="D1497" s="155"/>
      <c r="E1497" s="552"/>
      <c r="F1497" s="552"/>
      <c r="G1497" s="552"/>
      <c r="H1497" s="552"/>
      <c r="I1497" s="552"/>
      <c r="J1497" s="5" t="str">
        <f t="shared" si="198"/>
        <v/>
      </c>
      <c r="K1497" s="5" t="str">
        <f t="shared" si="200"/>
        <v/>
      </c>
      <c r="L1497" s="5" t="str">
        <f ca="1">IF(L1480=$BL$25,K1497*IF(C1497="",0,C1497),IF(ISERROR((K1497)*SUMPRODUCT($P$37:$BA$37,$P1497:$BA1497)),IF(K1497="","",0),(K1497)*SUMPRODUCT($P$37:$BA$37,$P1497:$BA1497)))</f>
        <v/>
      </c>
      <c r="M1497" s="64">
        <f t="shared" si="199"/>
        <v>0</v>
      </c>
      <c r="N1497" s="5" t="str">
        <f t="shared" ca="1" si="201"/>
        <v/>
      </c>
      <c r="O1497" s="5" t="str">
        <f t="shared" ca="1" si="202"/>
        <v/>
      </c>
      <c r="P1497" s="446">
        <f>IF($B1497="",0,IF(MIN(P1475,$N1473)&lt;MAX($B1497*$P1479,$L1482-1),0,YEARFRAC(MAX($B1497*$P1479,$L1482-1),MIN(P1475,$N1473),$P$20)))</f>
        <v>0</v>
      </c>
      <c r="Q1497" s="446">
        <f>IF($B1497="",0,IF(MIN(Q1475,$N1473)&lt;MAX($B1497*$P1479,$L1482-1),0,YEARFRAC(MAX($B1497*$P1479,$L1482-1),MIN(Q1475,$N1473),$P$20)))</f>
        <v>0</v>
      </c>
      <c r="BB1497" s="509" t="str">
        <f>A1425</f>
        <v xml:space="preserve">Sim </v>
      </c>
    </row>
    <row r="1498" spans="1:54" s="446" customFormat="1" ht="12.95" customHeight="1" x14ac:dyDescent="0.2">
      <c r="A1498" s="177"/>
      <c r="B1498" s="236"/>
      <c r="C1498" s="29" t="str">
        <f ca="1">IF(AND(B1498&gt;0,L$1480=$BL$25),VLOOKUP(DATE(YEAR(N$1473),MONTH(N$1473)-1,1),ÍNDICES!$A:$DE,HLOOKUP($BL$25,ÍNDICES!$B$3:$T$4,2)+11)-VLOOKUP(B1498,ÍNDICES!$A:$DE,HLOOKUP($BL$25,ÍNDICES!$B$3:$T$4,2)+11)+1%,IF(ISERROR(VLOOKUP(DATE(YEAR(B1498),MONTH(B1498)+IF($C$1321=$S$23,1,0),1),ÍNDICES!$A:$DE,$V$1326+1)),"",VLOOKUP(DATE(YEAR(B1498),MONTH(B1498)+IF($C$1321=$S$23,1,0),1),ÍNDICES!$A:$DE,$V$1326+1)))</f>
        <v/>
      </c>
      <c r="D1498" s="155"/>
      <c r="E1498" s="552"/>
      <c r="F1498" s="552"/>
      <c r="G1498" s="552"/>
      <c r="H1498" s="552"/>
      <c r="I1498" s="552"/>
      <c r="J1498" s="5" t="str">
        <f t="shared" si="198"/>
        <v/>
      </c>
      <c r="K1498" s="5" t="str">
        <f t="shared" si="200"/>
        <v/>
      </c>
      <c r="L1498" s="5" t="str">
        <f ca="1">IF(L1480=$BL$25,K1498*IF(C1498="",0,C1498),IF(ISERROR((K1498)*SUMPRODUCT($P$37:$BA$37,$P1498:$BA1498)),IF(K1498="","",0),(K1498)*SUMPRODUCT($P$37:$BA$37,$P1498:$BA1498)))</f>
        <v/>
      </c>
      <c r="M1498" s="64">
        <f t="shared" si="199"/>
        <v>0</v>
      </c>
      <c r="N1498" s="5" t="str">
        <f t="shared" ca="1" si="201"/>
        <v/>
      </c>
      <c r="O1498" s="5" t="str">
        <f t="shared" ca="1" si="202"/>
        <v/>
      </c>
      <c r="P1498" s="446">
        <f>IF($B1498="",0,IF(MIN(P1475,$N1473)&lt;MAX($B1498*$P1479,$L1482-1),0,YEARFRAC(MAX($B1498*$P1479,$L1482-1),MIN(P1475,$N1473),$P$20)))</f>
        <v>0</v>
      </c>
      <c r="Q1498" s="446">
        <f>IF($B1498="",0,IF(MIN(Q1475,$N1473)&lt;MAX($B1498*$P1479,$L1482-1),0,YEARFRAC(MAX($B1498*$P1479,$L1482-1),MIN(Q1475,$N1473),$P$20)))</f>
        <v>0</v>
      </c>
      <c r="BB1498" s="509" t="str">
        <f>A1425</f>
        <v xml:space="preserve">Sim </v>
      </c>
    </row>
    <row r="1499" spans="1:54" s="517" customFormat="1" ht="12.95" customHeight="1" x14ac:dyDescent="0.2">
      <c r="A1499" s="177"/>
      <c r="B1499" s="236"/>
      <c r="C1499" s="29" t="str">
        <f ca="1">IF(AND(B1499&gt;0,L$1480=$BL$25),VLOOKUP(DATE(YEAR(N$1473),MONTH(N$1473)-1,1),ÍNDICES!$A:$DE,HLOOKUP($BL$25,ÍNDICES!$B$3:$T$4,2)+11)-VLOOKUP(B1499,ÍNDICES!$A:$DE,HLOOKUP($BL$25,ÍNDICES!$B$3:$T$4,2)+11)+1%,IF(ISERROR(VLOOKUP(DATE(YEAR(B1499),MONTH(B1499)+IF($C$1321=$S$23,1,0),1),ÍNDICES!$A:$DE,$V$1326+1)),"",VLOOKUP(DATE(YEAR(B1499),MONTH(B1499)+IF($C$1321=$S$23,1,0),1),ÍNDICES!$A:$DE,$V$1326+1)))</f>
        <v/>
      </c>
      <c r="D1499" s="155"/>
      <c r="E1499" s="552"/>
      <c r="F1499" s="552"/>
      <c r="G1499" s="552"/>
      <c r="H1499" s="552"/>
      <c r="I1499" s="552"/>
      <c r="J1499" s="5" t="str">
        <f t="shared" si="198"/>
        <v/>
      </c>
      <c r="K1499" s="5" t="str">
        <f t="shared" si="200"/>
        <v/>
      </c>
      <c r="L1499" s="407"/>
      <c r="M1499" s="408"/>
      <c r="N1499" s="407"/>
      <c r="O1499" s="407"/>
      <c r="BB1499" s="518" t="str">
        <f>A1425</f>
        <v xml:space="preserve">Sim </v>
      </c>
    </row>
    <row r="1500" spans="1:54" s="517" customFormat="1" ht="12.95" customHeight="1" x14ac:dyDescent="0.2">
      <c r="A1500" s="177"/>
      <c r="B1500" s="236"/>
      <c r="C1500" s="29" t="str">
        <f ca="1">IF(AND(B1500&gt;0,L$1480=$BL$25),VLOOKUP(DATE(YEAR(N$1473),MONTH(N$1473)-1,1),ÍNDICES!$A:$DE,HLOOKUP($BL$25,ÍNDICES!$B$3:$T$4,2)+11)-VLOOKUP(B1500,ÍNDICES!$A:$DE,HLOOKUP($BL$25,ÍNDICES!$B$3:$T$4,2)+11)+1%,IF(ISERROR(VLOOKUP(DATE(YEAR(B1500),MONTH(B1500)+IF($C$1321=$S$23,1,0),1),ÍNDICES!$A:$DE,$V$1326+1)),"",VLOOKUP(DATE(YEAR(B1500),MONTH(B1500)+IF($C$1321=$S$23,1,0),1),ÍNDICES!$A:$DE,$V$1326+1)))</f>
        <v/>
      </c>
      <c r="D1500" s="155"/>
      <c r="E1500" s="552"/>
      <c r="F1500" s="552"/>
      <c r="G1500" s="552"/>
      <c r="H1500" s="552"/>
      <c r="I1500" s="552"/>
      <c r="J1500" s="5" t="str">
        <f t="shared" si="198"/>
        <v/>
      </c>
      <c r="K1500" s="5" t="str">
        <f t="shared" si="200"/>
        <v/>
      </c>
      <c r="L1500" s="407"/>
      <c r="M1500" s="408"/>
      <c r="N1500" s="407"/>
      <c r="O1500" s="407"/>
      <c r="BB1500" s="518" t="str">
        <f>A1425</f>
        <v xml:space="preserve">Sim </v>
      </c>
    </row>
    <row r="1501" spans="1:54" s="517" customFormat="1" ht="12.95" customHeight="1" x14ac:dyDescent="0.2">
      <c r="A1501" s="177"/>
      <c r="B1501" s="236"/>
      <c r="C1501" s="29" t="str">
        <f ca="1">IF(AND(B1501&gt;0,L$1480=$BL$25),VLOOKUP(DATE(YEAR(N$1473),MONTH(N$1473)-1,1),ÍNDICES!$A:$DE,HLOOKUP($BL$25,ÍNDICES!$B$3:$T$4,2)+11)-VLOOKUP(B1501,ÍNDICES!$A:$DE,HLOOKUP($BL$25,ÍNDICES!$B$3:$T$4,2)+11)+1%,IF(ISERROR(VLOOKUP(DATE(YEAR(B1501),MONTH(B1501)+IF($C$1321=$S$23,1,0),1),ÍNDICES!$A:$DE,$V$1326+1)),"",VLOOKUP(DATE(YEAR(B1501),MONTH(B1501)+IF($C$1321=$S$23,1,0),1),ÍNDICES!$A:$DE,$V$1326+1)))</f>
        <v/>
      </c>
      <c r="D1501" s="155"/>
      <c r="E1501" s="552"/>
      <c r="F1501" s="552"/>
      <c r="G1501" s="552"/>
      <c r="H1501" s="552"/>
      <c r="I1501" s="552"/>
      <c r="J1501" s="5" t="str">
        <f t="shared" si="198"/>
        <v/>
      </c>
      <c r="K1501" s="5" t="str">
        <f t="shared" si="200"/>
        <v/>
      </c>
      <c r="L1501" s="407"/>
      <c r="M1501" s="408"/>
      <c r="N1501" s="407"/>
      <c r="O1501" s="407"/>
      <c r="BB1501" s="518" t="str">
        <f>A1425</f>
        <v xml:space="preserve">Sim </v>
      </c>
    </row>
    <row r="1502" spans="1:54" s="517" customFormat="1" ht="12.95" customHeight="1" x14ac:dyDescent="0.2">
      <c r="A1502" s="177"/>
      <c r="B1502" s="236"/>
      <c r="C1502" s="29" t="str">
        <f ca="1">IF(AND(B1502&gt;0,L$1480=$BL$25),VLOOKUP(DATE(YEAR(N$1473),MONTH(N$1473)-1,1),ÍNDICES!$A:$DE,HLOOKUP($BL$25,ÍNDICES!$B$3:$T$4,2)+11)-VLOOKUP(B1502,ÍNDICES!$A:$DE,HLOOKUP($BL$25,ÍNDICES!$B$3:$T$4,2)+11)+1%,IF(ISERROR(VLOOKUP(DATE(YEAR(B1502),MONTH(B1502)+IF($C$1321=$S$23,1,0),1),ÍNDICES!$A:$DE,$V$1326+1)),"",VLOOKUP(DATE(YEAR(B1502),MONTH(B1502)+IF($C$1321=$S$23,1,0),1),ÍNDICES!$A:$DE,$V$1326+1)))</f>
        <v/>
      </c>
      <c r="D1502" s="155"/>
      <c r="E1502" s="552"/>
      <c r="F1502" s="552"/>
      <c r="G1502" s="552"/>
      <c r="H1502" s="552"/>
      <c r="I1502" s="552"/>
      <c r="J1502" s="5" t="str">
        <f t="shared" si="198"/>
        <v/>
      </c>
      <c r="K1502" s="5" t="str">
        <f t="shared" si="200"/>
        <v/>
      </c>
      <c r="L1502" s="407"/>
      <c r="M1502" s="408"/>
      <c r="N1502" s="407"/>
      <c r="O1502" s="407"/>
      <c r="BB1502" s="518" t="str">
        <f>A1425</f>
        <v xml:space="preserve">Sim </v>
      </c>
    </row>
    <row r="1503" spans="1:54" s="517" customFormat="1" ht="12.95" customHeight="1" x14ac:dyDescent="0.2">
      <c r="A1503" s="177"/>
      <c r="B1503" s="236"/>
      <c r="C1503" s="29" t="str">
        <f ca="1">IF(AND(B1503&gt;0,L$1480=$BL$25),VLOOKUP(DATE(YEAR(N$1473),MONTH(N$1473)-1,1),ÍNDICES!$A:$DE,HLOOKUP($BL$25,ÍNDICES!$B$3:$T$4,2)+11)-VLOOKUP(B1503,ÍNDICES!$A:$DE,HLOOKUP($BL$25,ÍNDICES!$B$3:$T$4,2)+11)+1%,IF(ISERROR(VLOOKUP(DATE(YEAR(B1503),MONTH(B1503)+IF($C$1321=$S$23,1,0),1),ÍNDICES!$A:$DE,$V$1326+1)),"",VLOOKUP(DATE(YEAR(B1503),MONTH(B1503)+IF($C$1321=$S$23,1,0),1),ÍNDICES!$A:$DE,$V$1326+1)))</f>
        <v/>
      </c>
      <c r="D1503" s="155"/>
      <c r="E1503" s="552"/>
      <c r="F1503" s="552"/>
      <c r="G1503" s="552"/>
      <c r="H1503" s="552"/>
      <c r="I1503" s="552"/>
      <c r="J1503" s="5" t="str">
        <f t="shared" si="198"/>
        <v/>
      </c>
      <c r="K1503" s="5" t="str">
        <f t="shared" si="200"/>
        <v/>
      </c>
      <c r="L1503" s="407"/>
      <c r="M1503" s="408"/>
      <c r="N1503" s="407"/>
      <c r="O1503" s="407"/>
      <c r="BB1503" s="518" t="str">
        <f>A1425</f>
        <v xml:space="preserve">Sim </v>
      </c>
    </row>
    <row r="1504" spans="1:54" s="517" customFormat="1" ht="12.95" customHeight="1" x14ac:dyDescent="0.2">
      <c r="A1504" s="177"/>
      <c r="B1504" s="236"/>
      <c r="C1504" s="29" t="str">
        <f ca="1">IF(AND(B1504&gt;0,L$1480=$BL$25),VLOOKUP(DATE(YEAR(N$1473),MONTH(N$1473)-1,1),ÍNDICES!$A:$DE,HLOOKUP($BL$25,ÍNDICES!$B$3:$T$4,2)+11)-VLOOKUP(B1504,ÍNDICES!$A:$DE,HLOOKUP($BL$25,ÍNDICES!$B$3:$T$4,2)+11)+1%,IF(ISERROR(VLOOKUP(DATE(YEAR(B1504),MONTH(B1504)+IF($C$1321=$S$23,1,0),1),ÍNDICES!$A:$DE,$V$1326+1)),"",VLOOKUP(DATE(YEAR(B1504),MONTH(B1504)+IF($C$1321=$S$23,1,0),1),ÍNDICES!$A:$DE,$V$1326+1)))</f>
        <v/>
      </c>
      <c r="D1504" s="155"/>
      <c r="E1504" s="552"/>
      <c r="F1504" s="552"/>
      <c r="G1504" s="552"/>
      <c r="H1504" s="552"/>
      <c r="I1504" s="552"/>
      <c r="J1504" s="5" t="str">
        <f t="shared" si="198"/>
        <v/>
      </c>
      <c r="K1504" s="5" t="str">
        <f t="shared" si="200"/>
        <v/>
      </c>
      <c r="L1504" s="407"/>
      <c r="M1504" s="408"/>
      <c r="N1504" s="407"/>
      <c r="O1504" s="407"/>
      <c r="BB1504" s="518" t="str">
        <f>A1425</f>
        <v xml:space="preserve">Sim </v>
      </c>
    </row>
    <row r="1505" spans="1:54" s="517" customFormat="1" ht="12.95" customHeight="1" x14ac:dyDescent="0.2">
      <c r="A1505" s="177"/>
      <c r="B1505" s="236"/>
      <c r="C1505" s="29" t="str">
        <f ca="1">IF(AND(B1505&gt;0,L$1480=$BL$25),VLOOKUP(DATE(YEAR(N$1473),MONTH(N$1473)-1,1),ÍNDICES!$A:$DE,HLOOKUP($BL$25,ÍNDICES!$B$3:$T$4,2)+11)-VLOOKUP(B1505,ÍNDICES!$A:$DE,HLOOKUP($BL$25,ÍNDICES!$B$3:$T$4,2)+11)+1%,IF(ISERROR(VLOOKUP(DATE(YEAR(B1505),MONTH(B1505)+IF($C$1321=$S$23,1,0),1),ÍNDICES!$A:$DE,$V$1326+1)),"",VLOOKUP(DATE(YEAR(B1505),MONTH(B1505)+IF($C$1321=$S$23,1,0),1),ÍNDICES!$A:$DE,$V$1326+1)))</f>
        <v/>
      </c>
      <c r="D1505" s="155"/>
      <c r="E1505" s="552"/>
      <c r="F1505" s="552"/>
      <c r="G1505" s="552"/>
      <c r="H1505" s="552"/>
      <c r="I1505" s="552"/>
      <c r="J1505" s="5" t="str">
        <f t="shared" si="198"/>
        <v/>
      </c>
      <c r="K1505" s="5" t="str">
        <f t="shared" si="200"/>
        <v/>
      </c>
      <c r="L1505" s="407"/>
      <c r="M1505" s="408"/>
      <c r="N1505" s="407"/>
      <c r="O1505" s="407"/>
      <c r="BB1505" s="518" t="str">
        <f>A1425</f>
        <v xml:space="preserve">Sim </v>
      </c>
    </row>
    <row r="1506" spans="1:54" s="517" customFormat="1" ht="12.95" customHeight="1" x14ac:dyDescent="0.2">
      <c r="A1506" s="177"/>
      <c r="B1506" s="236"/>
      <c r="C1506" s="29" t="str">
        <f ca="1">IF(AND(B1506&gt;0,L$1480=$BL$25),VLOOKUP(DATE(YEAR(N$1473),MONTH(N$1473)-1,1),ÍNDICES!$A:$DE,HLOOKUP($BL$25,ÍNDICES!$B$3:$T$4,2)+11)-VLOOKUP(B1506,ÍNDICES!$A:$DE,HLOOKUP($BL$25,ÍNDICES!$B$3:$T$4,2)+11)+1%,IF(ISERROR(VLOOKUP(DATE(YEAR(B1506),MONTH(B1506)+IF($C$1321=$S$23,1,0),1),ÍNDICES!$A:$DE,$V$1326+1)),"",VLOOKUP(DATE(YEAR(B1506),MONTH(B1506)+IF($C$1321=$S$23,1,0),1),ÍNDICES!$A:$DE,$V$1326+1)))</f>
        <v/>
      </c>
      <c r="D1506" s="155"/>
      <c r="E1506" s="552"/>
      <c r="F1506" s="552"/>
      <c r="G1506" s="552"/>
      <c r="H1506" s="552"/>
      <c r="I1506" s="552"/>
      <c r="J1506" s="5" t="str">
        <f t="shared" si="198"/>
        <v/>
      </c>
      <c r="K1506" s="5" t="str">
        <f t="shared" si="200"/>
        <v/>
      </c>
      <c r="L1506" s="407"/>
      <c r="M1506" s="408"/>
      <c r="N1506" s="407"/>
      <c r="O1506" s="407"/>
      <c r="BB1506" s="518" t="str">
        <f>A1425</f>
        <v xml:space="preserve">Sim </v>
      </c>
    </row>
    <row r="1507" spans="1:54" s="517" customFormat="1" ht="12.95" customHeight="1" x14ac:dyDescent="0.2">
      <c r="A1507" s="177"/>
      <c r="B1507" s="236"/>
      <c r="C1507" s="29" t="str">
        <f ca="1">IF(AND(B1507&gt;0,L$1480=$BL$25),VLOOKUP(DATE(YEAR(N$1473),MONTH(N$1473)-1,1),ÍNDICES!$A:$DE,HLOOKUP($BL$25,ÍNDICES!$B$3:$T$4,2)+11)-VLOOKUP(B1507,ÍNDICES!$A:$DE,HLOOKUP($BL$25,ÍNDICES!$B$3:$T$4,2)+11)+1%,IF(ISERROR(VLOOKUP(DATE(YEAR(B1507),MONTH(B1507)+IF($C$1321=$S$23,1,0),1),ÍNDICES!$A:$DE,$V$1326+1)),"",VLOOKUP(DATE(YEAR(B1507),MONTH(B1507)+IF($C$1321=$S$23,1,0),1),ÍNDICES!$A:$DE,$V$1326+1)))</f>
        <v/>
      </c>
      <c r="D1507" s="155"/>
      <c r="E1507" s="552"/>
      <c r="F1507" s="552"/>
      <c r="G1507" s="552"/>
      <c r="H1507" s="552"/>
      <c r="I1507" s="552"/>
      <c r="J1507" s="5" t="str">
        <f t="shared" si="198"/>
        <v/>
      </c>
      <c r="K1507" s="5" t="str">
        <f t="shared" si="200"/>
        <v/>
      </c>
      <c r="L1507" s="407"/>
      <c r="M1507" s="408"/>
      <c r="N1507" s="407"/>
      <c r="O1507" s="407"/>
      <c r="BB1507" s="518" t="str">
        <f>A1425</f>
        <v xml:space="preserve">Sim </v>
      </c>
    </row>
    <row r="1508" spans="1:54" s="517" customFormat="1" ht="12.95" customHeight="1" x14ac:dyDescent="0.2">
      <c r="A1508" s="177"/>
      <c r="B1508" s="236"/>
      <c r="C1508" s="29" t="str">
        <f ca="1">IF(AND(B1508&gt;0,L$1480=$BL$25),VLOOKUP(DATE(YEAR(N$1473),MONTH(N$1473)-1,1),ÍNDICES!$A:$DE,HLOOKUP($BL$25,ÍNDICES!$B$3:$T$4,2)+11)-VLOOKUP(B1508,ÍNDICES!$A:$DE,HLOOKUP($BL$25,ÍNDICES!$B$3:$T$4,2)+11)+1%,IF(ISERROR(VLOOKUP(DATE(YEAR(B1508),MONTH(B1508)+IF($C$1321=$S$23,1,0),1),ÍNDICES!$A:$DE,$V$1326+1)),"",VLOOKUP(DATE(YEAR(B1508),MONTH(B1508)+IF($C$1321=$S$23,1,0),1),ÍNDICES!$A:$DE,$V$1326+1)))</f>
        <v/>
      </c>
      <c r="D1508" s="155"/>
      <c r="E1508" s="552"/>
      <c r="F1508" s="552"/>
      <c r="G1508" s="552"/>
      <c r="H1508" s="552"/>
      <c r="I1508" s="552"/>
      <c r="J1508" s="5" t="str">
        <f t="shared" si="198"/>
        <v/>
      </c>
      <c r="K1508" s="5" t="str">
        <f t="shared" si="200"/>
        <v/>
      </c>
      <c r="L1508" s="407"/>
      <c r="M1508" s="408"/>
      <c r="N1508" s="407"/>
      <c r="O1508" s="407"/>
      <c r="BB1508" s="518" t="str">
        <f>A1425</f>
        <v xml:space="preserve">Sim </v>
      </c>
    </row>
    <row r="1509" spans="1:54" s="517" customFormat="1" ht="12.95" customHeight="1" x14ac:dyDescent="0.2">
      <c r="A1509" s="177"/>
      <c r="B1509" s="236"/>
      <c r="C1509" s="29" t="str">
        <f ca="1">IF(AND(B1509&gt;0,L$1480=$BL$25),VLOOKUP(DATE(YEAR(N$1473),MONTH(N$1473)-1,1),ÍNDICES!$A:$DE,HLOOKUP($BL$25,ÍNDICES!$B$3:$T$4,2)+11)-VLOOKUP(B1509,ÍNDICES!$A:$DE,HLOOKUP($BL$25,ÍNDICES!$B$3:$T$4,2)+11)+1%,IF(ISERROR(VLOOKUP(DATE(YEAR(B1509),MONTH(B1509)+IF($C$1321=$S$23,1,0),1),ÍNDICES!$A:$DE,$V$1326+1)),"",VLOOKUP(DATE(YEAR(B1509),MONTH(B1509)+IF($C$1321=$S$23,1,0),1),ÍNDICES!$A:$DE,$V$1326+1)))</f>
        <v/>
      </c>
      <c r="D1509" s="155"/>
      <c r="E1509" s="552"/>
      <c r="F1509" s="552"/>
      <c r="G1509" s="552"/>
      <c r="H1509" s="552"/>
      <c r="I1509" s="552"/>
      <c r="J1509" s="5" t="str">
        <f t="shared" si="198"/>
        <v/>
      </c>
      <c r="K1509" s="5" t="str">
        <f t="shared" si="200"/>
        <v/>
      </c>
      <c r="L1509" s="407"/>
      <c r="M1509" s="408"/>
      <c r="N1509" s="407"/>
      <c r="O1509" s="407"/>
      <c r="BB1509" s="518" t="str">
        <f>A1425</f>
        <v xml:space="preserve">Sim </v>
      </c>
    </row>
    <row r="1510" spans="1:54" s="517" customFormat="1" ht="12.95" customHeight="1" x14ac:dyDescent="0.2">
      <c r="A1510" s="177"/>
      <c r="B1510" s="236"/>
      <c r="C1510" s="29" t="str">
        <f ca="1">IF(AND(B1510&gt;0,L$1480=$BL$25),VLOOKUP(DATE(YEAR(N$1473),MONTH(N$1473)-1,1),ÍNDICES!$A:$DE,HLOOKUP($BL$25,ÍNDICES!$B$3:$T$4,2)+11)-VLOOKUP(B1510,ÍNDICES!$A:$DE,HLOOKUP($BL$25,ÍNDICES!$B$3:$T$4,2)+11)+1%,IF(ISERROR(VLOOKUP(DATE(YEAR(B1510),MONTH(B1510)+IF($C$1321=$S$23,1,0),1),ÍNDICES!$A:$DE,$V$1326+1)),"",VLOOKUP(DATE(YEAR(B1510),MONTH(B1510)+IF($C$1321=$S$23,1,0),1),ÍNDICES!$A:$DE,$V$1326+1)))</f>
        <v/>
      </c>
      <c r="D1510" s="155"/>
      <c r="E1510" s="552"/>
      <c r="F1510" s="552"/>
      <c r="G1510" s="552"/>
      <c r="H1510" s="552"/>
      <c r="I1510" s="552"/>
      <c r="J1510" s="5" t="str">
        <f t="shared" si="198"/>
        <v/>
      </c>
      <c r="K1510" s="5" t="str">
        <f t="shared" si="200"/>
        <v/>
      </c>
      <c r="L1510" s="407"/>
      <c r="M1510" s="408"/>
      <c r="N1510" s="407"/>
      <c r="O1510" s="407"/>
      <c r="BB1510" s="518" t="str">
        <f>A1425</f>
        <v xml:space="preserve">Sim </v>
      </c>
    </row>
    <row r="1511" spans="1:54" s="517" customFormat="1" ht="12.95" customHeight="1" x14ac:dyDescent="0.2">
      <c r="A1511" s="177"/>
      <c r="B1511" s="236"/>
      <c r="C1511" s="29" t="str">
        <f ca="1">IF(AND(B1511&gt;0,L$1480=$BL$25),VLOOKUP(DATE(YEAR(N$1473),MONTH(N$1473)-1,1),ÍNDICES!$A:$DE,HLOOKUP($BL$25,ÍNDICES!$B$3:$T$4,2)+11)-VLOOKUP(B1511,ÍNDICES!$A:$DE,HLOOKUP($BL$25,ÍNDICES!$B$3:$T$4,2)+11)+1%,IF(ISERROR(VLOOKUP(DATE(YEAR(B1511),MONTH(B1511)+IF($C$1321=$S$23,1,0),1),ÍNDICES!$A:$DE,$V$1326+1)),"",VLOOKUP(DATE(YEAR(B1511),MONTH(B1511)+IF($C$1321=$S$23,1,0),1),ÍNDICES!$A:$DE,$V$1326+1)))</f>
        <v/>
      </c>
      <c r="D1511" s="155"/>
      <c r="E1511" s="552"/>
      <c r="F1511" s="552"/>
      <c r="G1511" s="552"/>
      <c r="H1511" s="552"/>
      <c r="I1511" s="552"/>
      <c r="J1511" s="5" t="str">
        <f t="shared" si="198"/>
        <v/>
      </c>
      <c r="K1511" s="5" t="str">
        <f t="shared" si="200"/>
        <v/>
      </c>
      <c r="L1511" s="407"/>
      <c r="M1511" s="408"/>
      <c r="N1511" s="407"/>
      <c r="O1511" s="407"/>
      <c r="BB1511" s="518" t="str">
        <f>A1425</f>
        <v xml:space="preserve">Sim </v>
      </c>
    </row>
    <row r="1512" spans="1:54" s="517" customFormat="1" ht="12.95" customHeight="1" x14ac:dyDescent="0.2">
      <c r="A1512" s="177"/>
      <c r="B1512" s="236"/>
      <c r="C1512" s="29" t="str">
        <f ca="1">IF(AND(B1512&gt;0,L$1480=$BL$25),VLOOKUP(DATE(YEAR(N$1473),MONTH(N$1473)-1,1),ÍNDICES!$A:$DE,HLOOKUP($BL$25,ÍNDICES!$B$3:$T$4,2)+11)-VLOOKUP(B1512,ÍNDICES!$A:$DE,HLOOKUP($BL$25,ÍNDICES!$B$3:$T$4,2)+11)+1%,IF(ISERROR(VLOOKUP(DATE(YEAR(B1512),MONTH(B1512)+IF($C$1321=$S$23,1,0),1),ÍNDICES!$A:$DE,$V$1326+1)),"",VLOOKUP(DATE(YEAR(B1512),MONTH(B1512)+IF($C$1321=$S$23,1,0),1),ÍNDICES!$A:$DE,$V$1326+1)))</f>
        <v/>
      </c>
      <c r="D1512" s="155"/>
      <c r="E1512" s="552"/>
      <c r="F1512" s="552"/>
      <c r="G1512" s="552"/>
      <c r="H1512" s="552"/>
      <c r="I1512" s="552"/>
      <c r="J1512" s="5" t="str">
        <f t="shared" si="198"/>
        <v/>
      </c>
      <c r="K1512" s="5" t="str">
        <f t="shared" si="200"/>
        <v/>
      </c>
      <c r="L1512" s="407"/>
      <c r="M1512" s="408"/>
      <c r="N1512" s="407"/>
      <c r="O1512" s="407"/>
      <c r="BB1512" s="518" t="str">
        <f>A1425</f>
        <v xml:space="preserve">Sim </v>
      </c>
    </row>
    <row r="1513" spans="1:54" s="446" customFormat="1" ht="12.95" customHeight="1" x14ac:dyDescent="0.2">
      <c r="A1513" s="553" t="s">
        <v>133</v>
      </c>
      <c r="B1513" s="554"/>
      <c r="C1513" s="29"/>
      <c r="D1513" s="394"/>
      <c r="E1513" s="363"/>
      <c r="F1513" s="364"/>
      <c r="G1513" s="365"/>
      <c r="H1513" s="366"/>
      <c r="I1513" s="367"/>
      <c r="J1513" s="524"/>
      <c r="K1513" s="161">
        <f>SUM(K1485:K1512)</f>
        <v>0</v>
      </c>
      <c r="L1513" s="369">
        <f ca="1">SUM(L1485:L1512)</f>
        <v>0</v>
      </c>
      <c r="M1513" s="183"/>
      <c r="N1513" s="369">
        <f ca="1">SUM(N1485:N1512)</f>
        <v>0</v>
      </c>
      <c r="O1513" s="369">
        <f ca="1">SUM(O1485:O1512)</f>
        <v>0</v>
      </c>
      <c r="BB1513" s="509" t="str">
        <f>A1425</f>
        <v xml:space="preserve">Sim </v>
      </c>
    </row>
    <row r="1514" spans="1:54" s="446" customFormat="1" ht="6" customHeight="1" x14ac:dyDescent="0.2">
      <c r="A1514" s="87"/>
      <c r="B1514" s="88"/>
      <c r="C1514" s="88"/>
      <c r="D1514" s="88"/>
      <c r="E1514" s="19"/>
      <c r="F1514" s="19"/>
      <c r="G1514" s="258"/>
      <c r="H1514" s="259"/>
      <c r="I1514" s="164"/>
      <c r="J1514" s="19"/>
      <c r="K1514" s="19"/>
      <c r="L1514" s="370"/>
      <c r="M1514" s="244"/>
      <c r="N1514" s="370"/>
      <c r="O1514" s="370"/>
      <c r="BB1514" s="509" t="str">
        <f>A1425</f>
        <v xml:space="preserve">Sim </v>
      </c>
    </row>
    <row r="1515" spans="1:54" s="446" customFormat="1" ht="12.95" customHeight="1" x14ac:dyDescent="0.2">
      <c r="A1515" s="87"/>
      <c r="B1515" s="88"/>
      <c r="C1515" s="88"/>
      <c r="D1515" s="88"/>
      <c r="E1515" s="19"/>
      <c r="F1515" s="19"/>
      <c r="G1515" s="258"/>
      <c r="H1515" s="259"/>
      <c r="I1515" s="164"/>
      <c r="J1515" s="19"/>
      <c r="K1515" s="19"/>
      <c r="L1515" s="370"/>
      <c r="M1515" s="244"/>
      <c r="N1515" s="242" t="s">
        <v>189</v>
      </c>
      <c r="O1515" s="242">
        <f ca="1">SUM(K1513:O1513)</f>
        <v>0</v>
      </c>
      <c r="BB1515" s="509" t="str">
        <f>A1425</f>
        <v xml:space="preserve">Sim </v>
      </c>
    </row>
    <row r="1516" spans="1:54" s="446" customFormat="1" ht="12.95" customHeight="1" x14ac:dyDescent="0.2">
      <c r="A1516" s="87"/>
      <c r="B1516" s="395"/>
      <c r="C1516" s="244"/>
      <c r="D1516" s="104"/>
      <c r="E1516" s="104"/>
      <c r="F1516" s="104"/>
      <c r="G1516" s="396"/>
      <c r="H1516" s="397"/>
      <c r="I1516" s="398" t="s">
        <v>190</v>
      </c>
      <c r="J1516" s="17"/>
      <c r="K1516" s="164">
        <f ca="1">O1478+O1515</f>
        <v>0</v>
      </c>
      <c r="L1516" s="244"/>
      <c r="M1516" s="68"/>
      <c r="N1516" s="19"/>
      <c r="O1516" s="326"/>
      <c r="BB1516" s="509" t="str">
        <f>A1425</f>
        <v xml:space="preserve">Sim </v>
      </c>
    </row>
    <row r="1517" spans="1:54" s="446" customFormat="1" ht="12.95" customHeight="1" x14ac:dyDescent="0.2">
      <c r="A1517" s="327" t="str">
        <f>A1473</f>
        <v xml:space="preserve">Sim </v>
      </c>
      <c r="B1517" s="395"/>
      <c r="C1517" s="555">
        <v>0</v>
      </c>
      <c r="D1517" s="555"/>
      <c r="E1517" s="555"/>
      <c r="F1517" s="555"/>
      <c r="G1517" s="555"/>
      <c r="H1517" s="555"/>
      <c r="I1517" s="555"/>
      <c r="J1517" s="316"/>
      <c r="K1517" s="164">
        <f>IF(D1473=$Y$22,0,-J1473)</f>
        <v>0</v>
      </c>
      <c r="L1517" s="244"/>
      <c r="M1517" s="68"/>
      <c r="N1517" s="19"/>
      <c r="O1517" s="326"/>
      <c r="BB1517" s="509" t="str">
        <f>A1425</f>
        <v xml:space="preserve">Sim </v>
      </c>
    </row>
    <row r="1518" spans="1:54" s="446" customFormat="1" ht="12.95" customHeight="1" x14ac:dyDescent="0.2">
      <c r="A1518" s="87"/>
      <c r="B1518" s="395"/>
      <c r="C1518" s="244"/>
      <c r="D1518" s="104"/>
      <c r="E1518" s="104"/>
      <c r="F1518" s="104"/>
      <c r="G1518" s="396"/>
      <c r="H1518" s="397"/>
      <c r="I1518" s="297" t="str">
        <f ca="1">IF(K1518&gt;=0,"SALDO CREDOR AO AUTOR:-","SALDO DEVEDOR AO AUTOR:-")</f>
        <v>SALDO CREDOR AO AUTOR:-</v>
      </c>
      <c r="J1518" s="399">
        <f ca="1">IF(OR(D$1323=$Y$22,D1477&lt;0),J1471,J1476)</f>
        <v>43982</v>
      </c>
      <c r="K1518" s="400">
        <f ca="1">IF(OR(D$1323=$Y$22),D1477,IF(OR(D1473=$Y$22,D1477&lt;0),K1516,K1516+K1517))</f>
        <v>0</v>
      </c>
      <c r="L1518" s="244"/>
      <c r="M1518" s="68"/>
      <c r="N1518" s="19"/>
      <c r="O1518" s="326"/>
      <c r="BB1518" s="509" t="str">
        <f>A1425</f>
        <v xml:space="preserve">Sim </v>
      </c>
    </row>
    <row r="1520" spans="1:54" x14ac:dyDescent="0.2">
      <c r="A1520" s="87"/>
      <c r="B1520" s="409"/>
      <c r="C1520" s="409"/>
      <c r="D1520" s="207"/>
      <c r="E1520" s="207"/>
      <c r="F1520" s="207"/>
      <c r="G1520" s="207"/>
      <c r="H1520" s="410"/>
      <c r="I1520" s="207"/>
      <c r="J1520" s="409"/>
      <c r="K1520" s="411"/>
      <c r="L1520" s="409"/>
      <c r="M1520" s="68"/>
      <c r="N1520" s="409"/>
      <c r="O1520" s="409"/>
    </row>
    <row r="2320" spans="9:11" ht="13.5" x14ac:dyDescent="0.25">
      <c r="I2320" s="421" t="s">
        <v>195</v>
      </c>
      <c r="J2320" s="422" t="e">
        <f ca="1">OFFSET(D1323,MATCH("Não",D1323:D2318,0)-6,7)/OFFSET(D1323,MATCH("Não",D1323:D2318,0)-7,7)</f>
        <v>#N/A</v>
      </c>
      <c r="K2320" s="423" t="s">
        <v>196</v>
      </c>
    </row>
    <row r="3222" spans="1:15" x14ac:dyDescent="0.2">
      <c r="A3222" s="87"/>
      <c r="B3222" s="409"/>
      <c r="C3222" s="409"/>
      <c r="D3222" s="207"/>
      <c r="E3222" s="207"/>
      <c r="F3222" s="207"/>
      <c r="G3222" s="556">
        <f ca="1">NOW()</f>
        <v>45134.691665856481</v>
      </c>
      <c r="H3222" s="556"/>
      <c r="I3222" s="556"/>
      <c r="J3222" s="556"/>
      <c r="K3222" s="556"/>
      <c r="L3222" s="556"/>
      <c r="M3222" s="75"/>
      <c r="N3222" s="412"/>
      <c r="O3222" s="412"/>
    </row>
    <row r="3223" spans="1:15" hidden="1" x14ac:dyDescent="0.2">
      <c r="A3223" s="87"/>
      <c r="B3223" s="409"/>
      <c r="C3223" s="409"/>
      <c r="D3223" s="207"/>
      <c r="E3223" s="207"/>
      <c r="F3223" s="207"/>
      <c r="G3223" s="68"/>
      <c r="H3223" s="186"/>
      <c r="I3223" s="409"/>
      <c r="J3223" s="409"/>
      <c r="K3223" s="411"/>
      <c r="L3223" s="409"/>
      <c r="M3223" s="68"/>
      <c r="N3223" s="409"/>
      <c r="O3223" s="409"/>
    </row>
    <row r="3224" spans="1:15" x14ac:dyDescent="0.2">
      <c r="A3224" s="87"/>
      <c r="B3224" s="409"/>
      <c r="C3224" s="409"/>
      <c r="D3224" s="207"/>
      <c r="E3224" s="207"/>
      <c r="F3224" s="207"/>
      <c r="G3224" s="551"/>
      <c r="H3224" s="551"/>
      <c r="I3224" s="551"/>
      <c r="J3224" s="551"/>
      <c r="K3224" s="551"/>
      <c r="L3224" s="551"/>
      <c r="M3224" s="75"/>
      <c r="N3224" s="413"/>
      <c r="O3224" s="413"/>
    </row>
    <row r="3225" spans="1:15" x14ac:dyDescent="0.2">
      <c r="A3225" s="87"/>
      <c r="B3225" s="409"/>
      <c r="C3225" s="409"/>
      <c r="D3225" s="207"/>
      <c r="E3225" s="207"/>
      <c r="F3225" s="207"/>
      <c r="G3225" s="551"/>
      <c r="H3225" s="551"/>
      <c r="I3225" s="551"/>
      <c r="J3225" s="551"/>
      <c r="K3225" s="551"/>
      <c r="L3225" s="551"/>
      <c r="M3225" s="75"/>
      <c r="N3225" s="413"/>
      <c r="O3225" s="413"/>
    </row>
  </sheetData>
  <sheetProtection algorithmName="SHA-512" hashValue="iU70nt7hgC79eMQtLaKJcvdr93Xj3vaprXTUun01kfjojEkOHxlaK1p5cwIvUT7858VvVL5YGgC9pZ0kOLQ70w==" saltValue="dcmy7FUwbxWzqXg06sPavA==" spinCount="100000" sheet="1" formatCells="0" formatRows="0"/>
  <protectedRanges>
    <protectedRange sqref="AG35 S25 AA35 AA663 AA683 AA703 AA695 AA714 AA795 AA785 AA839 V22:W22 Q22:R22" name="Intervalo1"/>
    <protectedRange sqref="AA18 M35 M795 M785 M839 M663 M683 M695 M703 M714" name="Intervalo1_1"/>
  </protectedRanges>
  <dataConsolidate/>
  <mergeCells count="196">
    <mergeCell ref="K22:O22"/>
    <mergeCell ref="A30:B30"/>
    <mergeCell ref="B19:C19"/>
    <mergeCell ref="A17:O17"/>
    <mergeCell ref="Z17:AB17"/>
    <mergeCell ref="Z18:AB18"/>
    <mergeCell ref="K20:M20"/>
    <mergeCell ref="B22:D22"/>
    <mergeCell ref="A10:O10"/>
    <mergeCell ref="A11:O11"/>
    <mergeCell ref="A12:O12"/>
    <mergeCell ref="A15:O15"/>
    <mergeCell ref="A16:O16"/>
    <mergeCell ref="B23:D23"/>
    <mergeCell ref="D25:O25"/>
    <mergeCell ref="BI25:BJ27"/>
    <mergeCell ref="D26:O26"/>
    <mergeCell ref="D27:O27"/>
    <mergeCell ref="A34:J34"/>
    <mergeCell ref="L35:O35"/>
    <mergeCell ref="A612:J612"/>
    <mergeCell ref="L613:O613"/>
    <mergeCell ref="L696:O696"/>
    <mergeCell ref="A708:J708"/>
    <mergeCell ref="L709:O709"/>
    <mergeCell ref="A1216:O1216"/>
    <mergeCell ref="L1217:O1217"/>
    <mergeCell ref="D28:O28"/>
    <mergeCell ref="D29:O29"/>
    <mergeCell ref="AC29:AD29"/>
    <mergeCell ref="D30:O30"/>
    <mergeCell ref="A32:O32"/>
    <mergeCell ref="I614:I616"/>
    <mergeCell ref="A682:O682"/>
    <mergeCell ref="L683:O683"/>
    <mergeCell ref="A694:O694"/>
    <mergeCell ref="A695:D695"/>
    <mergeCell ref="B696:C696"/>
    <mergeCell ref="L1293:O1293"/>
    <mergeCell ref="I1320:J1320"/>
    <mergeCell ref="L1324:O1324"/>
    <mergeCell ref="B1325:M1325"/>
    <mergeCell ref="D1269:N1269"/>
    <mergeCell ref="A1285:B1285"/>
    <mergeCell ref="C1285:D1285"/>
    <mergeCell ref="I1290:J1290"/>
    <mergeCell ref="I1285:J1285"/>
    <mergeCell ref="I1286:J1286"/>
    <mergeCell ref="K1286:L1286"/>
    <mergeCell ref="M1286:O1286"/>
    <mergeCell ref="N1285:O1285"/>
    <mergeCell ref="K1285:M1285"/>
    <mergeCell ref="I1284:K1284"/>
    <mergeCell ref="A1292:O1292"/>
    <mergeCell ref="E1336:I1336"/>
    <mergeCell ref="E1337:I1337"/>
    <mergeCell ref="E1338:I1338"/>
    <mergeCell ref="E1339:I1339"/>
    <mergeCell ref="E1340:I1340"/>
    <mergeCell ref="A1329:J1329"/>
    <mergeCell ref="L1330:O1330"/>
    <mergeCell ref="E1331:I1332"/>
    <mergeCell ref="E1333:I1333"/>
    <mergeCell ref="E1335:I1335"/>
    <mergeCell ref="E1346:I1346"/>
    <mergeCell ref="E1347:I1347"/>
    <mergeCell ref="E1348:I1348"/>
    <mergeCell ref="E1349:I1349"/>
    <mergeCell ref="E1350:I1350"/>
    <mergeCell ref="E1341:I1341"/>
    <mergeCell ref="E1342:I1342"/>
    <mergeCell ref="E1343:I1343"/>
    <mergeCell ref="E1344:I1344"/>
    <mergeCell ref="E1345:I1345"/>
    <mergeCell ref="E1356:I1356"/>
    <mergeCell ref="E1357:I1357"/>
    <mergeCell ref="E1358:I1358"/>
    <mergeCell ref="E1359:I1359"/>
    <mergeCell ref="E1360:I1360"/>
    <mergeCell ref="E1351:I1351"/>
    <mergeCell ref="E1352:I1352"/>
    <mergeCell ref="E1353:I1353"/>
    <mergeCell ref="E1354:I1354"/>
    <mergeCell ref="E1355:I1355"/>
    <mergeCell ref="A1379:J1379"/>
    <mergeCell ref="L1380:O1380"/>
    <mergeCell ref="E1381:I1382"/>
    <mergeCell ref="E1383:I1383"/>
    <mergeCell ref="E1385:I1385"/>
    <mergeCell ref="E1361:I1361"/>
    <mergeCell ref="E1362:I1362"/>
    <mergeCell ref="A1363:B1363"/>
    <mergeCell ref="C1366:I1366"/>
    <mergeCell ref="B1375:M1375"/>
    <mergeCell ref="E1391:I1391"/>
    <mergeCell ref="E1392:I1392"/>
    <mergeCell ref="E1393:I1393"/>
    <mergeCell ref="E1394:I1394"/>
    <mergeCell ref="E1395:I1395"/>
    <mergeCell ref="E1386:I1386"/>
    <mergeCell ref="E1387:I1387"/>
    <mergeCell ref="E1388:I1388"/>
    <mergeCell ref="E1389:I1389"/>
    <mergeCell ref="E1390:I1390"/>
    <mergeCell ref="E1401:I1401"/>
    <mergeCell ref="E1402:I1402"/>
    <mergeCell ref="E1403:I1403"/>
    <mergeCell ref="E1404:I1404"/>
    <mergeCell ref="E1405:I1405"/>
    <mergeCell ref="E1396:I1396"/>
    <mergeCell ref="E1397:I1397"/>
    <mergeCell ref="E1398:I1398"/>
    <mergeCell ref="E1399:I1399"/>
    <mergeCell ref="E1400:I1400"/>
    <mergeCell ref="E1411:I1411"/>
    <mergeCell ref="E1412:I1412"/>
    <mergeCell ref="A1413:B1413"/>
    <mergeCell ref="C1417:I1417"/>
    <mergeCell ref="B1425:M1425"/>
    <mergeCell ref="E1406:I1406"/>
    <mergeCell ref="E1407:I1407"/>
    <mergeCell ref="E1408:I1408"/>
    <mergeCell ref="E1409:I1409"/>
    <mergeCell ref="E1410:I1410"/>
    <mergeCell ref="E1436:I1436"/>
    <mergeCell ref="E1437:I1437"/>
    <mergeCell ref="E1438:I1438"/>
    <mergeCell ref="E1439:I1439"/>
    <mergeCell ref="E1440:I1440"/>
    <mergeCell ref="A1429:J1429"/>
    <mergeCell ref="L1430:O1430"/>
    <mergeCell ref="E1431:I1432"/>
    <mergeCell ref="E1433:I1433"/>
    <mergeCell ref="E1435:I1435"/>
    <mergeCell ref="E1446:I1446"/>
    <mergeCell ref="E1447:I1447"/>
    <mergeCell ref="E1448:I1448"/>
    <mergeCell ref="E1449:I1449"/>
    <mergeCell ref="E1450:I1450"/>
    <mergeCell ref="E1441:I1441"/>
    <mergeCell ref="E1442:I1442"/>
    <mergeCell ref="E1443:I1443"/>
    <mergeCell ref="E1444:I1444"/>
    <mergeCell ref="E1445:I1445"/>
    <mergeCell ref="E1456:I1456"/>
    <mergeCell ref="E1457:I1457"/>
    <mergeCell ref="E1458:I1458"/>
    <mergeCell ref="E1459:I1459"/>
    <mergeCell ref="E1460:I1460"/>
    <mergeCell ref="E1451:I1451"/>
    <mergeCell ref="E1452:I1452"/>
    <mergeCell ref="E1453:I1453"/>
    <mergeCell ref="E1454:I1454"/>
    <mergeCell ref="E1455:I1455"/>
    <mergeCell ref="A1479:J1479"/>
    <mergeCell ref="L1480:O1480"/>
    <mergeCell ref="E1481:I1482"/>
    <mergeCell ref="E1483:I1483"/>
    <mergeCell ref="E1485:I1485"/>
    <mergeCell ref="E1461:I1461"/>
    <mergeCell ref="E1462:I1462"/>
    <mergeCell ref="A1463:B1463"/>
    <mergeCell ref="C1467:I1467"/>
    <mergeCell ref="B1475:M1475"/>
    <mergeCell ref="E1491:I1491"/>
    <mergeCell ref="E1492:I1492"/>
    <mergeCell ref="E1493:I1493"/>
    <mergeCell ref="E1494:I1494"/>
    <mergeCell ref="E1495:I1495"/>
    <mergeCell ref="E1486:I1486"/>
    <mergeCell ref="E1487:I1487"/>
    <mergeCell ref="E1488:I1488"/>
    <mergeCell ref="E1489:I1489"/>
    <mergeCell ref="E1490:I1490"/>
    <mergeCell ref="E1501:I1501"/>
    <mergeCell ref="E1502:I1502"/>
    <mergeCell ref="E1503:I1503"/>
    <mergeCell ref="E1504:I1504"/>
    <mergeCell ref="E1505:I1505"/>
    <mergeCell ref="E1496:I1496"/>
    <mergeCell ref="E1497:I1497"/>
    <mergeCell ref="E1498:I1498"/>
    <mergeCell ref="E1499:I1499"/>
    <mergeCell ref="E1500:I1500"/>
    <mergeCell ref="G3224:L3224"/>
    <mergeCell ref="G3225:L3225"/>
    <mergeCell ref="E1511:I1511"/>
    <mergeCell ref="E1512:I1512"/>
    <mergeCell ref="A1513:B1513"/>
    <mergeCell ref="C1517:I1517"/>
    <mergeCell ref="G3222:L3222"/>
    <mergeCell ref="E1506:I1506"/>
    <mergeCell ref="E1507:I1507"/>
    <mergeCell ref="E1508:I1508"/>
    <mergeCell ref="E1509:I1509"/>
    <mergeCell ref="E1510:I1510"/>
  </mergeCells>
  <conditionalFormatting sqref="A1329 A1379 A1429 A1479">
    <cfRule type="expression" dxfId="32" priority="30">
      <formula>D1323=$Y$22</formula>
    </cfRule>
  </conditionalFormatting>
  <conditionalFormatting sqref="A696:C696 L697:L705">
    <cfRule type="expression" dxfId="31" priority="46">
      <formula>NOT($A$695=$Q$697)</formula>
    </cfRule>
  </conditionalFormatting>
  <conditionalFormatting sqref="A701:D701">
    <cfRule type="expression" dxfId="30" priority="58">
      <formula>AND($A695=$Q697,$B696=$T694)</formula>
    </cfRule>
  </conditionalFormatting>
  <conditionalFormatting sqref="A702:D705">
    <cfRule type="expression" dxfId="29" priority="59">
      <formula>AND($A$695=$Q$697,NOT($B$696=$T$694))</formula>
    </cfRule>
  </conditionalFormatting>
  <conditionalFormatting sqref="A1298:D1298">
    <cfRule type="expression" dxfId="28" priority="18">
      <formula>$C$1293=0</formula>
    </cfRule>
  </conditionalFormatting>
  <conditionalFormatting sqref="A696:L696 M697:N699 J701 A701:D705 I701:I706 J702:O705 C706:D706 J706:N706">
    <cfRule type="expression" dxfId="27" priority="50">
      <formula>AND($A$695=$Q$694)</formula>
    </cfRule>
  </conditionalFormatting>
  <conditionalFormatting sqref="A1279:XFD3221">
    <cfRule type="expression" dxfId="26" priority="39">
      <formula>$B$23=$W$22</formula>
    </cfRule>
  </conditionalFormatting>
  <conditionalFormatting sqref="A1323:XFD1518">
    <cfRule type="expression" dxfId="25" priority="71">
      <formula>$BB1323=$Y$22</formula>
    </cfRule>
  </conditionalFormatting>
  <conditionalFormatting sqref="B1325 B1375 B1425 B1475">
    <cfRule type="expression" dxfId="24" priority="36">
      <formula>D1323=$Y$22</formula>
    </cfRule>
  </conditionalFormatting>
  <conditionalFormatting sqref="C618:C679 F618:F679 I618:I679">
    <cfRule type="expression" dxfId="23" priority="9">
      <formula>$L$613="SELIC - TRIBUTOS"</formula>
    </cfRule>
  </conditionalFormatting>
  <conditionalFormatting sqref="E40:G610">
    <cfRule type="expression" dxfId="22" priority="14">
      <formula>$O$34="Sim"</formula>
    </cfRule>
  </conditionalFormatting>
  <conditionalFormatting sqref="F1323:J1323 J1366:K1367 F1373:J1373 C1417 J1417:K1417 F1423:J1423 C1467 J1467:K1467 F1473:J1473 C1517 J1517:K1517">
    <cfRule type="expression" dxfId="21" priority="106">
      <formula>$A1323=$Y$22</formula>
    </cfRule>
  </conditionalFormatting>
  <conditionalFormatting sqref="I40:I609 C40:C609 F40:F609">
    <cfRule type="expression" dxfId="20" priority="23">
      <formula>$L$35="SELIC - TRIBUTOS"</formula>
    </cfRule>
  </conditionalFormatting>
  <conditionalFormatting sqref="I36:J610">
    <cfRule type="expression" dxfId="19" priority="16">
      <formula>NOT($R$17="Distrato")</formula>
    </cfRule>
  </conditionalFormatting>
  <conditionalFormatting sqref="I613:J613 J614:J618 J657:J662 J675:J680">
    <cfRule type="expression" dxfId="18" priority="41">
      <formula>$L$613=$P$15</formula>
    </cfRule>
  </conditionalFormatting>
  <conditionalFormatting sqref="I1290:J1290">
    <cfRule type="expression" dxfId="17" priority="2">
      <formula>$C$1293=0</formula>
    </cfRule>
  </conditionalFormatting>
  <conditionalFormatting sqref="I1323:J1323">
    <cfRule type="expression" dxfId="16" priority="17">
      <formula>($D$1323="Não")</formula>
    </cfRule>
  </conditionalFormatting>
  <conditionalFormatting sqref="I2320:K2320">
    <cfRule type="expression" dxfId="15" priority="8">
      <formula>AND($J$2320&gt;0,$J$2320&lt;=1)</formula>
    </cfRule>
  </conditionalFormatting>
  <conditionalFormatting sqref="I1290:N1290 A1292:XFD1320">
    <cfRule type="expression" dxfId="14" priority="99">
      <formula>$D$1290=$Y$22</formula>
    </cfRule>
  </conditionalFormatting>
  <conditionalFormatting sqref="J35:J610 L36:M610">
    <cfRule type="expression" dxfId="13" priority="22">
      <formula>$L$35="SELIC - TRIBUTOS"</formula>
    </cfRule>
  </conditionalFormatting>
  <conditionalFormatting sqref="J38">
    <cfRule type="expression" dxfId="12" priority="45">
      <formula>NOT($J$37=$AF$20)</formula>
    </cfRule>
  </conditionalFormatting>
  <conditionalFormatting sqref="K22">
    <cfRule type="expression" dxfId="11" priority="125">
      <formula>$B$23=$W$21</formula>
    </cfRule>
  </conditionalFormatting>
  <conditionalFormatting sqref="K697:K706 M697:N706 A702:D705">
    <cfRule type="expression" dxfId="10" priority="47">
      <formula>AND($A$695=$Q$697,$B$696=$T$694)</formula>
    </cfRule>
  </conditionalFormatting>
  <conditionalFormatting sqref="K699">
    <cfRule type="expression" dxfId="9" priority="1">
      <formula>LEFT($A$695,4)="CONF"</formula>
    </cfRule>
  </conditionalFormatting>
  <conditionalFormatting sqref="K22:O22">
    <cfRule type="expression" dxfId="8" priority="15">
      <formula>$AE$20&lt;3</formula>
    </cfRule>
  </conditionalFormatting>
  <conditionalFormatting sqref="L618:L679">
    <cfRule type="expression" dxfId="7" priority="11">
      <formula>$L$613="SELIC - TRIBUTOS"</formula>
    </cfRule>
  </conditionalFormatting>
  <conditionalFormatting sqref="L684:M689">
    <cfRule type="expression" dxfId="6" priority="13">
      <formula>$L$683="SELIC - TRIBUTOS"</formula>
    </cfRule>
  </conditionalFormatting>
  <conditionalFormatting sqref="N19:N20">
    <cfRule type="expression" dxfId="5" priority="21">
      <formula>$AE$20&gt;1</formula>
    </cfRule>
  </conditionalFormatting>
  <conditionalFormatting sqref="N712">
    <cfRule type="expression" dxfId="4" priority="10">
      <formula>$N$712=1</formula>
    </cfRule>
  </conditionalFormatting>
  <conditionalFormatting sqref="P1373 V1373 X1373:Y1373 AB1373:AK1373 AL1373:BA1375 W1374:AK1375 P1423 V1423 X1423:Y1423 AB1423:AK1423 AL1423:BA1425 P1424:AK1424 W1425:AK1425 P1473 V1473 X1473:Y1473 AB1473:AK1473 AL1473:BA1475 P1474:AK1474 W1475:AK1475">
    <cfRule type="expression" dxfId="3" priority="35">
      <formula>$BB1374=$Y$22</formula>
    </cfRule>
  </conditionalFormatting>
  <conditionalFormatting sqref="Q1326 Q1376 Q1426 Q1476">
    <cfRule type="expression" dxfId="2" priority="34">
      <formula>$BB1323=$Y$22</formula>
    </cfRule>
  </conditionalFormatting>
  <conditionalFormatting sqref="S1326 S1376 Z1381 S1426 Z1431 S1476 Z1481">
    <cfRule type="expression" dxfId="1" priority="31">
      <formula>$BB1324=$Y$22</formula>
    </cfRule>
  </conditionalFormatting>
  <conditionalFormatting sqref="AA1381 AA1431 AA1481">
    <cfRule type="expression" dxfId="0" priority="32">
      <formula>$BB1380=$Y$22</formula>
    </cfRule>
  </conditionalFormatting>
  <dataValidations xWindow="326" yWindow="392" count="55">
    <dataValidation type="list" allowBlank="1" showInputMessage="1" showErrorMessage="1" prompt="Digite Sim ou Não" sqref="D829:H829 D809:H809 D819:H819" xr:uid="{00000000-0002-0000-0000-000000000000}">
      <formula1>_xlnm.Criteria</formula1>
    </dataValidation>
    <dataValidation type="list" allowBlank="1" showInputMessage="1" showErrorMessage="1" errorTitle="ERRO" error="Digitar &quot;Sim&quot; ou &quot;Não&quot;." prompt="Digite Sim ou Não" sqref="D784:H784 D808:H808 D818:H818 D828:H828 V19:W19" xr:uid="{00000000-0002-0000-0000-000001000000}">
      <formula1>_xlnm.Criteria</formula1>
    </dataValidation>
    <dataValidation allowBlank="1" showInputMessage="1" showErrorMessage="1" prompt="Preencher estes dados se e somente se os honorários forem fixos. Caso incidam como percentual da condenação, preencha em H523." sqref="A708:A710" xr:uid="{00000000-0002-0000-0000-000002000000}"/>
    <dataValidation allowBlank="1" showInputMessage="1" showErrorMessage="1" prompt="Preencher estes dados se e somente se os honorários forem fixos. Caso incidam como percentual da condenação, preencha H523." sqref="B708:B710" xr:uid="{00000000-0002-0000-0000-000003000000}"/>
    <dataValidation allowBlank="1" showInputMessage="1" showErrorMessage="1" prompt="Se houver multa fixa, digite o valor correspondente em D460, e o termo inicial da correção monetária em B460." sqref="A700:B700 D700:H700" xr:uid="{00000000-0002-0000-0000-000004000000}"/>
    <dataValidation allowBlank="1" showInputMessage="1" showErrorMessage="1" prompt="Aplica-se este percentual sobre o valor corrigido." sqref="L717 L706 L686 L666 L38 L798 L698" xr:uid="{00000000-0002-0000-0000-000005000000}"/>
    <dataValidation allowBlank="1" showInputMessage="1" showErrorMessage="1" prompt="Se a despesa for posterior à data que consta em D20, referindo-se já à etapa de cumprimento de sentença, deve ser colocada a partir da linha 599." sqref="B800:B801 B719" xr:uid="{00000000-0002-0000-0000-000006000000}"/>
    <dataValidation allowBlank="1" showInputMessage="1" showErrorMessage="1" prompt="Termo inicial dos juros de mora incidentes sobre esta parte do principal." sqref="O665" xr:uid="{00000000-0002-0000-0000-000007000000}"/>
    <dataValidation allowBlank="1" showInputMessage="1" showErrorMessage="1" prompt="Digitar aqui o percentual se os honorários incidirem sobre a condenação." sqref="O25" xr:uid="{00000000-0002-0000-0000-000008000000}"/>
    <dataValidation allowBlank="1" showInputMessage="1" showErrorMessage="1" prompt="Para alterar a opção, dê um duplo clique na célula abaixo e selecione alternativa." sqref="K19" xr:uid="{00000000-0002-0000-0000-000009000000}"/>
    <dataValidation type="list" allowBlank="1" showInputMessage="1" showErrorMessage="1" errorTitle="ERRO" error="Digitar &quot;Sim&quot; ou &quot;Não&quot;." prompt="Digite Sim ou Não, ou dê um duplo clique nesta célula com o botão esquerdo do mouse." sqref="P34 P662" xr:uid="{00000000-0002-0000-0000-00000A000000}">
      <formula1>_xlnm.Criteria</formula1>
    </dataValidation>
    <dataValidation type="list" allowBlank="1" showInputMessage="1" showErrorMessage="1" prompt="Dê duplo clique aqui e selecione SALÁRIO MÍNIMO, antes de preeencher células abaixo, para obter salário mínimo à data de cada parcela. Ou mantenha com a opção &quot;-&quot;, caso os valores infra não tenham relação com o salário mínimo federal." sqref="E38:H38" xr:uid="{00000000-0002-0000-0000-00000B000000}">
      <formula1>$X$34:$X$36</formula1>
    </dataValidation>
    <dataValidation type="custom" allowBlank="1" showInputMessage="1" showErrorMessage="1" error="DATA DEVE SER IGUAL OU POSTERIOR À INSCRITA EM D19." sqref="O784" xr:uid="{00000000-0002-0000-0000-00000C000000}">
      <formula1>O784&gt;D19-1</formula1>
    </dataValidation>
    <dataValidation allowBlank="1" showInputMessage="1" showErrorMessage="1" prompt="Aplica-se este percentual sobre o valor corrigido mais juros." sqref="P38 P666 P686" xr:uid="{00000000-0002-0000-0000-00000D000000}"/>
    <dataValidation type="list" allowBlank="1" showInputMessage="1" showErrorMessage="1" prompt="Dê um duplo clique com o botão esquerdo do mouse e selecione opção." sqref="S25:U25" xr:uid="{00000000-0002-0000-0000-00000E000000}">
      <formula1>$X$21:$X$22</formula1>
    </dataValidation>
    <dataValidation allowBlank="1" showInputMessage="1" showErrorMessage="1" prompt="Termo inicial dos juros de mora incidentes sobre esta parte do principal. Se já houver saldo consolidado, inicie os juros 1 dia após o respectivo termo final da atualização." sqref="O37" xr:uid="{00000000-0002-0000-0000-00000F000000}"/>
    <dataValidation allowBlank="1" showInputMessage="1" showErrorMessage="1" prompt="Termo inicial dos juros. NÃO ESTÁ SUJEITO À ALTERAÇÃO DO CAMPO K22." sqref="O685" xr:uid="{00000000-0002-0000-0000-000010000000}"/>
    <dataValidation type="list" allowBlank="1" showInputMessage="1" showErrorMessage="1" sqref="I38" xr:uid="{00000000-0002-0000-0000-000011000000}">
      <formula1>$X$25:$X$26</formula1>
    </dataValidation>
    <dataValidation type="custom" allowBlank="1" showInputMessage="1" showErrorMessage="1" sqref="B844:B848" xr:uid="{00000000-0002-0000-0000-000012000000}">
      <formula1>B844&lt;IF($O$808="",10^11,$O$808)</formula1>
    </dataValidation>
    <dataValidation allowBlank="1" showInputMessage="1" showErrorMessage="1" prompt="Preencher estes dados se e somente se os honorários forem fixos. Caso incidam como percentual da condenação, preencha em K24." sqref="D708:H710" xr:uid="{00000000-0002-0000-0000-000013000000}"/>
    <dataValidation type="list" allowBlank="1" showInputMessage="1" showErrorMessage="1" prompt="Se o cálculo abranger somente honorários e despesas, com o valor do principal sendo inserido na planilha apenas para integrar a base de cálculo dos honorários sobre condenação, selecione &quot;Não Incluir&quot;." sqref="M765:M766" xr:uid="{00000000-0002-0000-0000-000014000000}">
      <formula1>$Q$765:$Q$766</formula1>
    </dataValidation>
    <dataValidation type="list" allowBlank="1" showInputMessage="1" showErrorMessage="1" prompt="Formas disponíveis de contagem do prazo de incidência de juros." sqref="O20" xr:uid="{00000000-0002-0000-0000-000015000000}">
      <formula1>$AN$19:$AN$23</formula1>
    </dataValidation>
    <dataValidation type="list" allowBlank="1" showInputMessage="1" showErrorMessage="1" prompt="Dê um duplo clique com o botão esquerdo do mouse e selecione opção." sqref="AA18:AC18" xr:uid="{00000000-0002-0000-0000-000016000000}">
      <formula1>IF($Q$19=$AB$20,$Q$15:$V$15,$V$15:$AA$15)</formula1>
    </dataValidation>
    <dataValidation type="list" allowBlank="1" showInputMessage="1" showErrorMessage="1" prompt="Dê um duplo clique com o botão esquerdo do mouse e selecione opção." sqref="P35 M785:P785 M714:P714 M703:P703 M695:P695" xr:uid="{00000000-0002-0000-0000-000017000000}">
      <formula1>$Q$15:$AA$15</formula1>
    </dataValidation>
    <dataValidation type="custom" allowBlank="1" showInputMessage="1" showErrorMessage="1" error="DATA DEVE SER IGUAL OU POSTERIOR À INSCRITA EM D19." sqref="M779" xr:uid="{00000000-0002-0000-0000-000018000000}">
      <formula1>M779&gt;#REF!-1</formula1>
    </dataValidation>
    <dataValidation type="list" allowBlank="1" showInputMessage="1" showErrorMessage="1" prompt="Dê um duplo clique com o botão esquerdo do mouse e selecione opção." sqref="D38" xr:uid="{00000000-0002-0000-0000-000019000000}">
      <formula1>$Y$25:$Y$27</formula1>
    </dataValidation>
    <dataValidation type="list" allowBlank="1" showInputMessage="1" showErrorMessage="1" prompt="Dê um duplo clique com o botão esquerdo do mouse e selecione opção." sqref="B38" xr:uid="{00000000-0002-0000-0000-00001A000000}">
      <formula1>Y21:Y22</formula1>
    </dataValidation>
    <dataValidation type="list" allowBlank="1" showInputMessage="1" showErrorMessage="1" sqref="O34" xr:uid="{00000000-0002-0000-0000-00001B000000}">
      <formula1>Y21:Y22</formula1>
    </dataValidation>
    <dataValidation type="list" allowBlank="1" showInputMessage="1" showErrorMessage="1" sqref="O612" xr:uid="{00000000-0002-0000-0000-00001C000000}">
      <formula1>Y21:Y22</formula1>
    </dataValidation>
    <dataValidation type="list" allowBlank="1" showInputMessage="1" showErrorMessage="1" sqref="O708" xr:uid="{00000000-0002-0000-0000-00001D000000}">
      <formula1>Y21:Y22</formula1>
    </dataValidation>
    <dataValidation type="list" allowBlank="1" showInputMessage="1" showErrorMessage="1" sqref="B23:D23" xr:uid="{00000000-0002-0000-0000-00001E000000}">
      <formula1>W21:W22</formula1>
    </dataValidation>
    <dataValidation type="list" allowBlank="1" showInputMessage="1" showErrorMessage="1" prompt="Dê um duplo clique com o botão esquerdo do mouse e selecione opção." sqref="L1217:O1217 L613:O613 L709:O709" xr:uid="{00000000-0002-0000-0000-00001F000000}">
      <formula1>IF($P$19=$Y$21,$P$15:$V$15,$P$15:$AA$15)</formula1>
    </dataValidation>
    <dataValidation type="list" allowBlank="1" showInputMessage="1" showErrorMessage="1" sqref="B696:C696" xr:uid="{00000000-0002-0000-0000-000020000000}">
      <formula1>$T$694:$T$696</formula1>
    </dataValidation>
    <dataValidation type="list" allowBlank="1" showInputMessage="1" showErrorMessage="1" prompt="Dê um duplo clique com o botão esquerdo do mouse e selecione opção." sqref="C38" xr:uid="{00000000-0002-0000-0000-000021000000}">
      <formula1>$W$25:$W$26</formula1>
    </dataValidation>
    <dataValidation type="list" allowBlank="1" showInputMessage="1" showErrorMessage="1" prompt="Dê um duplo clique com o botão esquerdo do mouse e selecione opção." sqref="D1323" xr:uid="{00000000-0002-0000-0000-000022000000}">
      <formula1>Y21:Y22</formula1>
    </dataValidation>
    <dataValidation type="list" allowBlank="1" showInputMessage="1" showErrorMessage="1" prompt="Dê um duplo clique com o botão esquerdo do mouse e selecione opção." sqref="D1373" xr:uid="{00000000-0002-0000-0000-000023000000}">
      <formula1>Y21:Y22</formula1>
    </dataValidation>
    <dataValidation type="list" allowBlank="1" showInputMessage="1" showErrorMessage="1" prompt="Dê um duplo clique com o botão esquerdo do mouse e selecione opção." sqref="D1423" xr:uid="{00000000-0002-0000-0000-000024000000}">
      <formula1>Y21:Y22</formula1>
    </dataValidation>
    <dataValidation type="list" allowBlank="1" showInputMessage="1" showErrorMessage="1" prompt="Dê um duplo clique com o botão esquerdo do mouse e selecione opção." sqref="D1473" xr:uid="{00000000-0002-0000-0000-000025000000}">
      <formula1>Y21:Y22</formula1>
    </dataValidation>
    <dataValidation type="list" allowBlank="1" showInputMessage="1" showErrorMessage="1" prompt="Dê um duplo clique com o botão esquerdo do mouse e selecione opção." sqref="L1270:L1271" xr:uid="{00000000-0002-0000-0000-000026000000}">
      <formula1>$P$1270:$P$1271</formula1>
    </dataValidation>
    <dataValidation allowBlank="1" showInputMessage="1" showErrorMessage="1" prompt="As linhas excedentes devem ser OCULTAS; não podem ser deletadas. Recomenda-se novo download a cada utilização._x000a_Somente os campos com FUNDO VERDE podem ser preenchidos ou alterados." sqref="A1" xr:uid="{00000000-0002-0000-0000-000027000000}"/>
    <dataValidation type="list" allowBlank="1" showInputMessage="1" showErrorMessage="1" prompt="Permite aplicar novos juros da caderneta de poupança." sqref="K22:O22" xr:uid="{00000000-0002-0000-0000-000028000000}">
      <formula1>AJ20:AJ21</formula1>
    </dataValidation>
    <dataValidation type="list" allowBlank="1" showInputMessage="1" showErrorMessage="1" sqref="R17" xr:uid="{00000000-0002-0000-0000-000029000000}">
      <formula1>$Q$17:$Q$18</formula1>
    </dataValidation>
    <dataValidation type="list" allowBlank="1" showInputMessage="1" showErrorMessage="1" sqref="N37 N615" xr:uid="{00000000-0002-0000-0000-00002A000000}">
      <formula1>$R$32:$R$33</formula1>
    </dataValidation>
    <dataValidation type="list" allowBlank="1" showInputMessage="1" showErrorMessage="1" sqref="J37" xr:uid="{00000000-0002-0000-0000-00002B000000}">
      <formula1>$AF$20:$AF$24</formula1>
    </dataValidation>
    <dataValidation type="list" allowBlank="1" showInputMessage="1" showErrorMessage="1" prompt="Dê um duplo clique com o botão esquerdo do mouse e selecione opção." sqref="L35:O35" xr:uid="{00000000-0002-0000-0000-00002C000000}">
      <formula1>$P$15:$AA$15</formula1>
    </dataValidation>
    <dataValidation type="list" allowBlank="1" showInputMessage="1" showErrorMessage="1" sqref="D1290" xr:uid="{00000000-0002-0000-0000-00002D000000}">
      <formula1>Y21:Y22</formula1>
    </dataValidation>
    <dataValidation type="custom" allowBlank="1" showInputMessage="1" showErrorMessage="1" error="DATA DEVE SER POSTERIOR À DO DEPÓSITO ANTECEDENTE." sqref="O828 O818" xr:uid="{00000000-0002-0000-0000-00002E000000}">
      <formula1>O818&gt;O808-1</formula1>
    </dataValidation>
    <dataValidation type="custom" allowBlank="1" showInputMessage="1" showErrorMessage="1" error="DATA DEVE SER POSTERIOR À DO DEPÓSITO ANTECEDENTE." sqref="O808" xr:uid="{00000000-0002-0000-0000-00002F000000}">
      <formula1>O808&gt;O784-1</formula1>
    </dataValidation>
    <dataValidation type="list" allowBlank="1" showInputMessage="1" showErrorMessage="1" prompt="Dê um duplo clique com o botão esquerdo do mouse e selecione opção." sqref="L683:P683 M663:P663" xr:uid="{00000000-0002-0000-0000-000030000000}">
      <formula1>IF($Q$19=$AB$20,$Q$15:$V$15,$Q$15:$AA$15)</formula1>
    </dataValidation>
    <dataValidation type="list" allowBlank="1" showInputMessage="1" showErrorMessage="1" prompt="Dê um duplo clique com o botão esquerdo do mouse e selecione opção." sqref="K20:M20" xr:uid="{00000000-0002-0000-0000-000031000000}">
      <formula1>IF($B$23=$W$21,$AF$20:$AF$21,$AF$20:$AF$25)</formula1>
    </dataValidation>
    <dataValidation type="list" allowBlank="1" showInputMessage="1" showErrorMessage="1" sqref="A695:D695" xr:uid="{00000000-0002-0000-0000-000032000000}">
      <formula1>IF($B$23=$W$22,$Q$694:$Q$697,$Q$694:$Q$696)</formula1>
    </dataValidation>
    <dataValidation allowBlank="1" showInputMessage="1" showErrorMessage="1" prompt="DIGITE AQUI APENAS O ALGARISMO CORRESPONDENTE AO NÚMERO DE PARCELAS. SE A ENTRADA FOR IGUAL ÀS DEMAIS PARCELAS, ZERE O CAMPO C1293." sqref="I1290:J1290" xr:uid="{00000000-0002-0000-0000-000033000000}"/>
    <dataValidation type="list" allowBlank="1" showInputMessage="1" showErrorMessage="1" sqref="I1320:J1320" xr:uid="{00000000-0002-0000-0000-000034000000}">
      <formula1>P1320:P1321</formula1>
    </dataValidation>
    <dataValidation type="custom" allowBlank="1" showInputMessage="1" showErrorMessage="1" errorTitle="Não disponha data após N1290" error="Se o vencimento de alguma parcela for posterior à data em N1290, disponha como vencimento a mesma data situada em N1290. O saldo O1318 considerará inclusive as parcelas ainda por vencer, na data N1290." sqref="C1298:C1317" xr:uid="{00000000-0002-0000-0000-000035000000}">
      <formula1>C1298&lt;=$N$1290</formula1>
    </dataValidation>
    <dataValidation type="list" allowBlank="1" showInputMessage="1" showErrorMessage="1" sqref="L1324:O1324" xr:uid="{00000000-0002-0000-0000-000036000000}">
      <formula1>$P$15:$AA$15</formula1>
    </dataValidation>
  </dataValidations>
  <hyperlinks>
    <hyperlink ref="A5" r:id="rId1" display="spi.planilhacalculos@tjsp.jus.br" xr:uid="{00000000-0004-0000-0000-000000000000}"/>
    <hyperlink ref="D26:O26" r:id="rId2" display="ROTEIRO DE USO: CLIQUE AQUI OU ACESSE NA MESMA PÁGINA DA PLANILHA" xr:uid="{00000000-0004-0000-0000-000001000000}"/>
    <hyperlink ref="O5" r:id="rId3" xr:uid="{00000000-0004-0000-0000-000002000000}"/>
  </hyperlinks>
  <printOptions horizontalCentered="1"/>
  <pageMargins left="0.19685039370078741" right="1.1811023622047245" top="0.59055118110236227" bottom="0.39370078740157483" header="0" footer="0.19685039370078741"/>
  <pageSetup paperSize="9" scale="58" fitToHeight="0" orientation="portrait" r:id="rId4"/>
  <ignoredErrors>
    <ignoredError sqref="A21:O21 A36:O36 K34:N34 A33:O33 B32:O32 A35:I35 K35:L35 A610:O611 A40 D40:E40 G40:J40 A41 E41 G41:J41 A42 E42 G42:J42 A43:B43 E43 G43:J43 A44:B44 E44 G44:J44 A45:B45 E45 G45:J45 A46:B46 E46 G46:J46 A47:B47 E47 G47:J47 A48:B48 E48 G48:J48 A49:B49 E49 G49:J49 A50:B50 E50 G50:J50 A51:B51 E51 G51:J51 A52:B52 E52 G52:J52 A53:B53 E53 G53:J53 A54:B54 E54 G54:J54 A55:B55 E55 G55:J55 A56:B56 E56 G56:J56 A57:B57 E57 G57:J57 A58:B58 E58 G58:J58 A59:B59 E59 G59:J59 A60:B60 E60 G60:J60 A61:B61 E61 G61:J61 A62:B62 E62 G62:J62 A63:B63 E63 G63:J63 A64:B64 E64 G64:J64 A65:B65 E65 G65:J65 A66:B66 E66 G66:J66 A67:B67 E67 G67:J67 A68:B68 E68 G68:J68 A69:B69 E69 G69:J69 A70:B70 E70 G70:J70 A71:B71 E71 G71:J71 A72:B72 E72 G72:J72 A73:B73 E73 G73:J73 A74:B74 E74 G74:J74 A75:B75 E75 G75:J75 A76:B76 E76 G76:J76 A77:B77 E77 G77:J77 A78:B78 E78 G78:J78 A79:B79 E79 G79:J79 A80:B80 E80 G80:J80 A81:B81 E81 G81:J81 A82:B82 E82 G82:J82 A83:B83 E83 G83:J83 A84:B84 E84 G84:J84 A85:B85 E85 G85:J85 A86:B86 E86 G86:J86 A87:B87 E87 G87:J87 A88:B88 E88 G88:J88 A89:B89 E89 G89:J89 A90:B90 E90 G90:J90 A91:B91 E91 G91:J91 A92:B92 E92 G92:J92 A93:B93 E93 G93:J93 A94:B94 E94 G94:J94 A95:B95 E95 G95:J95 A96:B96 E96 G96:J96 A97:B97 E97 G97:J97 A98:B98 E98 G98:J98 A99:B99 E99 G99:J99 A100:B100 E100 G100:J100 A101:B101 E101 G101:J101 A102:B102 E102 G102:J102 A103:B103 E103 G103:J103 A104:B104 E104 G104:J104 A105:B105 E105 G105:J105 A106:B106 E106 G106:J106 A107:B107 E107 G107:J107 A108:B108 E108 G108:J108 A109:B109 E109 G109:J109 A110:B110 E110 G110:J110 A111:B111 E111 G111:J111 A112:B112 E112 G112:J112 A113:B113 E113 G113:J113 A114:B114 E114 G114:J114 A115:B115 E115 G115:J115 A116:B116 E116 G116:J116 A117:B117 E117 G117:J117 A118:B118 E118 G118:J118 A119:B119 E119 G119:J119 A120:B120 E120 G120:J120 A121:B121 E121 G121:J121 A122:B122 E122 G122:J122 A123:B123 E123 G123:J123 A124:B124 E124 G124:J124 A125:B125 E125 G125:J125 A126:B126 E126 G126:J126 A127:B127 E127 G127:J127 A128:B128 E128 G128:J128 A129:B129 E129 G129:J129 A130:B130 E130 G130:J130 A131:B131 E131 G131:J131 A132:B132 E132 G132:J132 A133:B133 E133 G133:J133 A134:B134 E134 G134:J134 A135:B135 E135 G135:J135 A136:B136 E136 G136:J136 A137:B137 E137 G137:J137 A138:B138 E138 G138:J138 A139:B139 E139 G139:J139 A140:B140 E140 G140:J140 A141:B141 E141 G141:J141 A142:B142 E142 G142:J142 A143:B143 E143 G143:J143 A144:B144 E144 G144:J144 A145:B145 E145 G145:J145 A146:B146 E146 G146:J146 A147:B147 E147 G147:J147 A148:B148 E148 G148:J148 A149:B149 E149 G149:J149 A150:B150 E150 G150:J150 A151:B151 E151 G151:J151 A152:B152 E152 G152:J152 A153:B153 E153 G153:J153 A154:B154 E154 G154:J154 A155:B155 E155 G155:J155 A156:B156 E156 G156:J156 A157:B157 E157 G157:J157 A158:B158 E158 G158:J158 A159:B159 E159 G159:J159 A160:B160 E160 G160:J160 A161:B161 E161 G161:J161 A162:B162 E162 G162:J162 A163:B163 E163 G163:J163 A164:B164 E164 G164:J164 A165:B165 E165 G165:J165 A166:B166 E166 G166:J166 A167:B167 E167 G167:J167 A168:B168 E168 G168:J168 A169:B169 E169 G169:J169 A170:B170 E170 G170:J170 A171:B171 E171 G171:J171 A172:B172 E172 G172:J172 A173:B173 E173 G173:J173 A174:B174 E174 G174:J174 A175:B175 E175 G175:J175 A176:B176 E176 G176:J176 A177:B177 E177 G177:J177 A178:B178 E178 G178:J178 A179:B179 E179 G179:J179 A180:B180 E180 G180:J180 A181:B181 E181 G181:J181 A182:B182 E182 G182:J182 A183:B183 E183 G183:J183 A184:B184 E184 G184:J184 A185:B185 E185 G185:J185 A186:B186 E186 G186:J186 A187:B187 E187 G187:J187 A188:B188 E188 G188:J188 A189:B189 E189 G189:J189 A190:B190 E190 G190:J190 A191:B191 E191 G191:J191 A192:B192 E192 G192:J192 A193:B193 E193 G193:J193 A194:B194 E194 G194:J194 A195:B195 E195 G195:J195 A196:B196 E196 G196:J196 A197:B197 E197 G197:J197 A198:B198 E198 G198:J198 A199:B199 E199 G199:J199 A200:B200 E200 G200:J200 A201:B201 E201 G201:J201 A202:B202 E202 G202:J202 A203:B203 E203 G203:J203 A204:B204 E204 G204:J204 A205:B205 E205 G205:J205 A206:B206 E206 G206:J206 A207:B207 E207 G207:J207 A208:B208 E208 G208:J208 A209:B209 E209 G209:J209 A210:B210 E210 G210:J210 A211:B211 E211 G211:J211 A212:B212 E212 G212:J212 A213:B213 E213 G213:J213 A214:B214 E214 G214:J214 A215:B215 E215 G215:J215 A216:B216 E216 G216:J216 A217:B217 E217 G217:J217 A218:B218 E218 G218:J218 A219:B219 E219 G219:J219 A220:B220 E220 G220:J220 A221:B221 E221 G221:J221 A222:B222 E222 G222:J222 A223:B223 E223 G223:J223 A224:B224 E224 G224:J224 A225:B225 E225 G225:J225 A226:B226 E226 G226:J226 A227:B227 E227 G227:J227 A228:B228 E228 G228:J228 A229:B229 E229 G229:J229 A230:B230 E230 G230:J230 A231:B231 E231 G231:J231 A232:B232 E232 G232:J232 A233:B233 E233 G233:J233 A234:B234 E234 G234:J234 A235:B235 E235 G235:J235 A236:B236 E236 G236:J236 A237:B237 E237 G237:J237 A238:B238 E238 G238:J238 A239:B239 E239 G239:J239 A240:B240 E240 G240:J240 A241:B241 E241 G241:J241 A242:B242 E242 G242:J242 A243:B243 E243 G243:J243 A244:B244 E244 G244:J244 A245:B245 E245 G245:J245 A246:B246 E246 G246:J246 A247:B247 E247 G247:J247 A248:B248 E248 G248:J248 A249:B249 E249 G249:J249 A250:B250 E250 G250:J250 A251:B251 E251 G251:J251 A252:B252 E252 G252:J252 A253:B253 E253 G253:J253 A254:B254 E254 G254:J254 A255:B255 E255 G255:J255 A256:B256 E256 G256:J256 A257:B257 E257 G257:J257 A258:B258 E258 G258:J258 A259:B259 E259 G259:J259 A260:B260 E260 G260:J260 A261:B261 E261 G261:J261 A262:B262 E262 G262:J262 A263:B263 E263 G263:J263 A264:B264 E264 G264:J264 A265:B265 E265 G265:J265 A266:B266 E266 G266:J266 A267:B267 E267 G267:J267 A268:B268 E268 G268:J268 A269:B269 E269 G269:J269 A270:B270 E270 G270:J270 A271:B271 E271 G271:J271 A272:B272 E272 G272:J272 A273:B273 E273 G273:J273 A274:B274 E274 G274:J274 A275:B275 E275 G275:J275 A276:B276 E276 G276:J276 A277:B277 E277 G277:J277 A278:B278 E278 G278:J278 A279:B279 E279 G279:J279 A280:B280 E280 G280:J280 A281:B281 E281 G281:J281 A282:B282 E282 G282:J282 A283:B283 E283 G283:J283 A284:B284 E284 G284:J284 A285:B285 E285 G285:J285 A286:B286 E286 G286:J286 A287:B287 E287 G287:J287 A288:B288 E288 G288:J288 A289:B289 E289 G289:J289 A290:B290 E290 G290:J290 A291:B291 E291 G291:J291 A292:B292 E292 G292:J292 A293:B293 E293 G293:J293 A294:B294 E294 G294:J294 A295:B295 E295 G295:J295 A296:B296 E296 G296:J296 A297:B297 E297 G297:J297 A298:B298 E298 G298:J298 A299:B299 E299 G299:J299 A300:B300 E300 G300:J300 A301:B301 E301 G301:J301 A302:B302 E302 G302:J302 A303:B303 E303 G303:J303 A304:B304 E304 G304:J304 A305:B305 E305 G305:J305 A306:B306 E306 G306:J306 A307:B307 E307 G307:J307 A308:B308 E308 G308:J308 A309:B309 E309 G309:J309 A310:B310 E310 G310:J310 A311:B311 E311 G311:J311 A312:B312 E312 G312:J312 A313:B313 E313 G313:J313 A314:B314 E314 G314:J314 A315:B315 E315 G315:J315 A316:B316 E316 G316:J316 A317:B317 E317 G317:J317 A318:B318 E318 G318:J318 A319:B319 E319 G319:J319 A320:B320 E320 G320:J320 A321:B321 E321 G321:J321 A322:B322 E322 G322:J322 A323:B323 E323 G323:J323 A324:B324 E324 G324:J324 A325:B325 E325 G325:J325 A326:B326 E326 G326:J326 A327:B327 E327 G327:J327 A328:B328 E328 G328:J328 A329:B329 E329 G329:J329 A330:B330 E330 G330:J330 A331:B331 E331 G331:J331 A332:B332 E332 G332:J332 A333:B333 E333 G333:J333 A334:B334 E334 G334:J334 A335:B335 E335 G335:J335 A336:B336 E336 G336:J336 A337:B337 E337 G337:J337 A338:B338 E338 G338:J338 A339:B339 E339 G339:J339 A340:B340 E340 G340:J340 A341:B341 E341 G341:J341 A342:B342 E342 G342:J342 A343:B343 E343 G343:J343 A344:B344 E344 G344:J344 A345:B345 E345 G345:J345 A346:B346 E346 G346:J346 A347:B347 E347 G347:J347 A348:B348 E348 G348:J348 A349:B349 E349 G349:J349 A350:B350 E350 G350:J350 A351:B351 E351 G351:J351 A352:B352 E352 G352:J352 A353:B353 E353 G353:J353 A354:B354 E354 G354:J354 A355:B355 E355 G355:J355 A356:B356 E356 G356:J356 A357:B357 E357 G357:J357 A358:B358 E358 G358:J358 A359:B359 E359 G359:J359 A360:B360 E360 G360:J360 A361:B361 E361 G361:J361 A362:B362 E362 G362:J362 A363:B363 E363 G363:J363 A364:B364 E364 G364:J364 A365:B365 E365 G365:J365 A366:B366 E366 G366:J366 A367:B367 E367 G367:J367 A368:B368 E368 G368:J368 A369:B369 E369 G369:J369 A370:B370 E370 G370:J370 A371:B371 E371 G371:J371 A372:B372 E372 G372:J372 A373:B373 E373 G373:J373 A374:B374 E374 G374:J374 A375:B375 E375 G375:J375 A376:B376 E376 G376:J376 A377:B377 E377 G377:J377 A378:B378 E378 G378:J378 A379:B379 E379 G379:J379 A380:B380 E380 G380:J380 A381:B381 E381 G381:J381 A382:B382 E382 G382:J382 A383:B383 E383 G383:J383 A384:B384 E384 G384:J384 A385:B385 E385 G385:J385 A386:B386 E386 G386:J386 A387:B387 E387 G387:J387 A388:B388 E388 G388:J388 A389:B389 E389 G389:J389 A390:B390 E390 G390:J390 A391:B391 E391 G391:J391 A392:B392 E392 G392:J392 A393:B393 E393 G393:J393 A394:B394 E394 G394:J394 A395:B395 E395 G395:J395 A396:B396 E396 G396:J396 A397:B397 E397 G397:J397 A398:B398 E398 G398:J398 A399:B399 E399 G399:J399 A400:B400 E400 G400:J400 A401:B401 E401 G401:J401 A402:B402 E402 G402:J402 A403:B403 E403 G403:J403 A404:B404 E404 G404:J404 A405:B405 E405 G405:J405 A406:B406 E406 G406:J406 A407:B407 E407 G407:J407 A408:B408 E408 G408:J408 A409:B409 E409 G409:J409 A410:B410 E410 G410:J410 A411:B411 E411 G411:J411 A412:B412 E412 G412:J412 A413:B413 E413 G413:J413 A414:B414 E414 G414:J414 A415:B415 E415 G415:J415 A416:B416 E416 G416:J416 A417:B417 E417 G417:J417 A418:B418 E418 G418:J418 A419:B419 E419 G419:J419 A420:B420 E420 G420:J420 A421:B421 E421 G421:J421 A422:B422 E422 G422:J422 A423:B423 E423 G423:J423 A424:B424 E424 G424:J424 A425:B425 E425 G425:J425 A426:B426 E426 G426:J426 A427:B427 E427 G427:J427 A428:B428 E428 G428:J428 A429:B429 E429 G429:J429 A430:B430 E430 G430:J430 A431:B431 E431 G431:J431 A432:B432 E432 G432:J432 A433:B433 E433 G433:J433 A434:B434 E434 G434:J434 A435:B435 E435 G435:J435 A436:B436 E436 G436:J436 A437:B437 E437 G437:J437 A438:B438 E438 G438:J438 A439:B439 E439 G439:J439 A440:B440 E440 G440:J440 A441:B441 E441 G441:J441 A442:B442 E442 G442:J442 A443:B443 E443 G443:J443 A444:B444 E444 G444:J444 A445:B445 E445 G445:J445 A446:B446 E446 G446:J446 A447:B447 E447 G447:J447 A448:B448 E448 G448:J448 A449:B449 E449 G449:J449 A450:B450 E450 G450:J450 A451:B451 E451 G451:J451 A452:B452 E452 G452:J452 A453:B453 E453 G453:J453 A454:B454 E454 G454:J454 A455:B455 E455 G455:J455 A456:B456 E456 G456:J456 A457:B457 E457 G457:J457 A458:B458 E458 G458:J458 A459:B459 E459 G459:J459 A460:B460 E460 G460:J460 A461:B461 E461 G461:J461 A462:B462 E462 G462:J462 A463:B463 E463 G463:J463 A464:B464 E464 G464:J464 A465:B465 E465 G465:J465 A466:B466 E466 G466:J466 A467:B467 E467 G467:J467 A468:B468 E468 G468:J468 A469:B469 E469 G469:J469 A470:B470 E470 G470:J470 A471:B471 E471 G471:J471 A472:B472 E472 G472:J472 A473:B473 E473 G473:J473 A474:B474 E474 G474:J474 A475:B475 E475 G475:J475 A476:B476 E476 G476:J476 A477:B477 E477 G477:J477 A478:B478 E478 G478:J478 A479:B479 E479 G479:J479 A480:B480 E480 G480:J480 A481:B481 E481 G481:J481 A482:B482 E482 G482:J482 A483:B483 E483 G483:J483 A484:B484 E484 G484:J484 A485:B485 E485 G485:J485 A486:B486 E486 G486:J486 A487:B487 E487 G487:J487 A488:B488 E488 G488:J488 A489:B489 E489 G489:J489 A490:B490 E490 G490:J490 A491:B491 E491 G491:J491 A492:B492 E492 G492:J492 A493:B493 E493 G493:J493 A494:B494 E494 G494:J494 A495:B495 E495 G495:J495 A496:B496 E496 G496:J496 A497:B497 E497 G497:J497 A498:B498 E498 G498:J498 A499:B499 E499 G499:J499 A500:B500 E500 G500:J500 A501:B501 E501 G501:J501 A502:B502 E502 G502:J502 A503:B503 E503 G503:J503 A504:B504 E504 G504:J504 A505:B505 E505 G505:J505 A506:B506 E506 G506:J506 A507:B507 E507 G507:J507 A508:B508 E508 G508:J508 A509:B509 E509 G509:J509 A510:B510 E510 G510:J510 A511:B511 E511 G511:J511 A512:B512 E512 G512:J512 A513:B513 E513 G513:J513 A514:B514 E514 G514:J514 A515:B515 E515 G515:J515 A516:B516 E516 G516:J516 A517:B517 E517 G517:J517 A518:B518 E518 G518:J518 A519:B519 E519 G519:J519 A520:B520 E520 G520:J520 A521:B521 E521 G521:J521 A522:B522 E522 G522:J522 A523:B523 E523 G523:J523 A524:B524 E524 G524:J524 A525:B525 E525 G525:J525 A526:B526 E526 G526:J526 A527:B527 E527 G527:J527 A528:B528 E528 G528:J528 A529:B529 E529 G529:J529 A530:B530 E530 G530:J530 A531:B531 E531 G531:J531 A532:B532 E532 G532:J532 A533:B533 E533 G533:J533 A534:B534 E534 G534:J534 A535:B535 E535 G535:J535 A536:B536 E536 G536:J536 A537:B537 E537 G537:J537 A538:B538 E538 G538:J538 A539:B539 E539 G539:J539 A540:B540 E540 G540:J540 A541:B541 E541 G541:J541 A542:B542 E542 G542:J542 A543:B543 E543 G543:J543 A544:B544 E544 G544:J544 A545:B545 E545 G545:J545 A546:B546 E546 G546:J546 A547:B547 E547 G547:J547 A548:B548 E548 G548:J548 A549:B549 E549 G549:J549 A550:B550 E550 G550:J550 A551:B551 E551 G551:J551 A552:B552 E552 G552:J552 A553:B553 E553 G553:J553 A554:B554 E554 G554:J554 A555:B555 E555 G555:J555 A556:B556 E556 G556:J556 A557:B557 E557 G557:J557 A558:B558 E558 G558:J558 A559:B559 E559 G559:J559 A560:B560 E560 G560:J560 A561:B561 E561 G561:J561 A562:B562 E562 G562:J562 A563:B563 E563 G563:J563 A564:B564 E564 G564:J564 A565:B565 E565 G565:J565 A566:B566 E566 G566:J566 A567:B567 E567 G567:J567 A568:B568 E568 G568:J568 A569:B569 E569 G569:J569 A570:B570 E570 G570:J570 A571:B571 E571 G571:J571 A572:B572 E572 G572:J572 A573:B573 E573 G573:J573 A574:B574 E574 G574:J574 A575:B575 E575 G575:J575 A576:B576 E576 G576:J576 A577:B577 E577 G577:J577 A578:B578 E578 G578:J578 A579:B579 E579 G579:J579 A580:B580 E580 G580:J580 A581:B581 E581 G581:J581 A582:B582 E582 G582:J582 A583:B583 E583 G583:J583 A584:B584 E584 G584:J584 A585:B585 E585 G585:J585 A586:B586 E586 G586:J586 A587:B587 E587 G587:J587 A588:B588 E588 G588:J588 A589:B589 E589 G589:J589 A590:B590 E590 G590:J590 A591:B591 E591 G591:J591 A592:B592 E592 G592:J592 A593:B593 E593 G593:J593 A594:B594 E594 G594:J594 A595:B595 E595 G595:J595 A596:B596 E596 G596:J596 A597:B597 E597 G597:J597 A598:B598 E598 G598:J598 A599:B599 E599 G599:J599 A600:B600 E600 G600:J600 A601:B601 E601 G601:J601 A602:B602 E602 G602:J602 A603:B603 E603 G603:J603 A604:B604 E604 G604:J604 A605:B605 E605 G605:J605 A606:B606 E606 G606:J606 A607:B607 E607 G607:J607 A608:B608 E608 G608:J608 A609:B609 E609 G609:J609 A614:O614 A613:I613 K613:O613 A680:O682 A618:B618 D618:I618 A619:B619 D619:I619 A620:B620 D620:I620 A621:B621 D621:I621 A622:B622 D622:I622 A623:B623 D623:I623 A624:B624 D624:I624 A625:B625 D625:I625 A626:B626 D626:I626 A627:B627 D627:I627 A628:B628 D628:I628 A629:B629 D629:I629 A630:B630 D630:I630 A631:B631 D631:I631 A632:B632 D632:I632 A633:B633 D633:I633 A634:B634 D634:I634 A635:B635 D635:I635 A636:B636 D636:I636 A637:B637 D637:I637 A638:B638 D638:I638 A639:B639 D639:I639 A640:B640 D640:I640 A641:B641 D641:I641 A642:B642 D642:I642 A643:B643 D643:I643 A644:B644 D644:I644 A645:B645 D645:I645 A646:B646 D646:I646 A647:B647 D647:I647 A648:B648 D648:I648 A649:B649 D649:I649 A650:B650 D650:I650 A651:B651 D651:I651 A652:B652 D652:I652 A653:B653 D653:I653 A654:B654 D654:I654 A655:B655 D655:I655 A656:B656 D656:I656 A657:B657 D657:I657 A658:B658 D658:I658 A659:B659 D659:I659 A660:B660 D660:I660 A661:B661 D661:I661 A662:B662 D662:I662 A663:B663 D663:I663 A664:B664 D664:I664 A665:B665 D665:I665 A666:B666 D666:I666 A667:B667 D667:I667 A668:B668 D668:I668 A669:B669 D669:I669 A670:B670 D670:I670 A671:B671 D671:I671 A672:B672 D672:I672 A673:B673 D673:I673 A674:B674 D674:I674 A675:B675 D675:I675 A676:B676 D676:I676 A677:B677 D677:I677 A678:B678 D678:I678 A679:B679 D679:I679 A684:O687 A683:I683 K683:O683 A689:O694 A688:B688 D688:I688 A697:O697 A696:H696 K696:O696 A1373:O1375 A1378:O1379 A1376:I1376 K1376:O1376 A1377:H1377 K1377:L1377 N1377:O1377 A1381:O1384 A1380:I1380 K1380:O1380 A1413:O1425 A1385:B1385 D1385:L1385 A1386:B1386 D1386:L1386 A1387:B1387 D1387:L1387 A1388:B1388 D1388:L1388 A1389:B1389 D1389:L1389 A1390:B1390 D1390:L1390 A1391:B1391 D1391:L1391 A1392:B1392 D1392:L1392 A1393:B1393 D1393:L1393 A1394:B1394 D1394:L1394 A1395:B1395 D1395:L1395 A1396:B1396 D1396:L1396 A1397:B1397 D1397:L1397 A1398:B1398 D1398:L1398 A1399:B1399 D1399:O1399 A1400:B1400 D1400:O1400 A1401:B1401 D1401:O1401 A1402:B1402 D1402:O1402 A1403:B1403 D1403:O1403 A1404:B1404 D1404:O1404 A1405:B1405 D1405:O1405 A1406:B1406 D1406:O1406 A1407:B1407 D1407:O1407 A1408:B1408 D1408:O1408 A1409:B1409 D1409:O1409 A1410:B1410 D1410:O1410 A1411:B1411 D1411:O1411 A1412:B1412 D1412:O1412 A1428:O1429 A1426:I1426 K1426:O1426 A1427:H1427 K1427:L1427 N1427:O1427 A1431:O1434 A1430:I1430 K1430:O1430 A1463:O1475 A1435:B1435 D1435:L1435 A1436:B1436 D1436:L1436 A1437:B1437 D1437:L1437 A1438:B1438 D1438:L1438 A1439:B1439 D1439:L1439 A1440:B1440 D1440:L1440 A1441:B1441 D1441:L1441 A1442:B1442 D1442:L1442 A1443:B1443 D1443:L1443 A1444:B1444 D1444:L1444 A1445:B1445 D1445:L1445 A1446:B1446 D1446:L1446 A1447:B1447 D1447:L1447 A1448:B1448 D1448:L1448 A1449:B1449 D1449:O1449 A1450:B1450 D1450:O1450 A1451:B1451 D1451:O1451 A1452:B1452 D1452:O1452 A1453:B1453 D1453:O1453 A1454:B1454 D1454:O1454 A1455:B1455 D1455:O1455 A1456:B1456 D1456:O1456 A1457:B1457 D1457:O1457 A1458:B1458 D1458:O1458 A1459:B1459 D1459:O1459 A1460:B1460 D1460:O1460 A1461:B1461 D1461:O1461 A1462:B1462 D1462:O1462 A1478:O1479 A1476:I1476 K1476:O1476 A1477:H1477 K1477:L1477 N1477:O1477 A1481:O1484 A1480:I1480 K1480:O1480 A1513:O1520 A1485:B1485 D1485:L1485 A1486:B1486 D1486:L1486 A1487:B1487 D1487:L1487 A1488:B1488 D1488:L1488 A1489:B1489 D1489:L1489 A1490:B1490 D1490:L1490 A1491:B1491 D1491:L1491 A1492:B1492 D1492:L1492 A1493:B1493 D1493:L1493 A1494:B1494 D1494:L1494 A1495:B1495 D1495:L1495 A1496:B1496 D1496:L1496 A1497:B1497 D1497:L1497 A1498:B1498 D1498:L1498 A1499:B1499 D1499:O1499 A1500:B1500 D1500:O1500 A1501:B1501 D1501:O1501 A1502:B1502 D1502:O1502 A1503:B1503 D1503:O1503 A1504:B1504 D1504:O1504 A1505:B1505 D1505:O1505 A1506:B1506 D1506:O1506 A1507:B1507 D1507:O1507 A1508:B1508 D1508:O1508 A1509:B1509 D1509:O1509 A1510:B1510 D1510:O1510 A1511:B1511 D1511:O1511 A1512:B1512 D1512:O1512 A24:O24 A22:J22 K612:N612 A20:J20 A39:O39 A37:J37 O37 A616:O617 A615:M615 O615 L40:O40 L41:O41 L42:O42 L43:O43 L44:O44 L45:O45 L46:O46 L47:O47 L48:O48 L49:O49 L50:O50 L51:O51 L52:O52 L53:O53 L54:O54 L55:O55 L56:O56 L57:O57 L58:O58 L59:O59 L60:O60 L61:O61 L62:O62 L63:O63 L64:O64 L65:O65 L66:O66 L67:O67 L68:O68 L69:O69 L70:O70 L71:O71 L72:O72 L73:O73 L74:O74 L75:O75 L76:O76 L77:O77 L78:O78 L79:O79 L80:O80 L81:O81 L82:O82 L83:O83 L84:O84 L85:O85 L86:O86 L87:O87 L88:O88 L89:O89 L90:O90 L91:O91 L92:O92 L93:O93 L94:O94 L95:O95 L96:O96 L97:O97 L98:O98 L99:O99 L100:O100 L101:O101 L102:O102 L103:O103 L104:O104 L105:O105 L106:O106 L107:O107 L108:O108 L109:O109 L110:O110 L111:O111 L112:O112 L113:O113 L114:O114 L115:O115 L116:O116 L117:O117 L118:O118 L119:O119 L120:O120 L121:O121 L122:O122 L123:O123 L124:O124 L125:O125 L126:O126 L127:O127 L128:O128 L129:O129 L130:O130 L131:O131 L132:O132 L133:O133 L134:O134 L135:O135 L136:O136 L137:O137 L138:O138 L139:O139 L140:O140 L141:O141 L142:O142 L143:O143 L144:O144 L145:O145 L146:O146 L147:O147 L148:O148 L149:O149 L150:O150 L151:O151 L152:O152 L153:O153 L154:O154 L155:O155 L156:O156 L157:O157 L158:O158 L159:O159 L160:O160 L161:O161 L162:O162 L163:O163 L164:O164 L165:O165 L166:O166 L167:O167 L168:O168 L169:O169 L170:O170 L171:O171 L172:O172 L173:O173 L174:O174 L175:O175 L176:O176 L177:O177 L178:O178 L179:O179 L180:O180 L181:O181 L182:O182 L183:O183 L184:O184 L185:O185 L186:O186 L187:O187 L188:O188 L189:O189 L190:O190 L191:O191 L192:O192 L193:O193 L194:O194 L195:O195 L196:O196 L197:O197 L198:O198 L199:O199 L200:O200 L201:O201 L202:O202 L203:O203 L204:O204 L205:O205 L206:O206 L207:O207 L208:O208 L209:O209 L210:O210 L211:O211 L212:O212 L213:O213 L214:O214 L215:O215 L216:O216 L217:O217 L218:O218 L219:O219 L220:O220 L221:O221 L222:O222 L223:O223 L224:O224 L225:O225 L226:O226 L227:O227 L228:O228 L229:O229 L230:O230 L231:O231 L232:O232 L233:O233 L234:O234 L235:O235 L236:O236 L237:O237 L238:O238 L239:O239 L240:O240 L241:O241 L242:O242 L243:O243 L244:O244 L245:O245 L246:O246 L247:O247 L248:O248 L249:O249 L250:O250 L251:O251 L252:O252 L253:O253 L254:O254 L255:O255 L256:O256 L257:O257 L258:O258 L259:O259 L260:O260 L261:O261 L262:O262 L263:O263 L264:O264 L265:O265 L266:O266 L267:O267 L268:O268 L269:O269 L270:O270 L271:O271 L272:O272 L273:O273 L274:O274 L275:O275 L276:O276 L277:O277 L278:O278 L279:O279 L280:O280 L281:O281 L282:O282 L283:O283 L284:O284 L285:O285 L286:O286 L287:O287 L288:O288 L289:O289 L290:O290 L291:O291 L292:O292 L293:O293 L294:O294 L295:O295 L296:O296 L297:O297 L298:O298 L299:O299 L300:O300 L301:O301 L302:O302 L303:O303 L304:O304 L305:O305 L306:O306 L307:O307 L308:O308 L309:O309 L310:O310 L311:O311 L312:O312 L313:O313 L314:O314 L315:O315 L316:O316 L317:O317 L318:O318 L319:O319 L320:O320 L321:O321 L322:O322 L323:O323 L324:O324 L325:O325 L326:O326 L327:O327 L328:O328 L329:O329 L330:O330 L331:O331 L332:O332 L333:O333 L334:O334 L335:O335 L336:O336 L337:O337 L338:O338 L339:O339 L340:O340 L341:O341 L342:O342 L343:O343 L344:O344 L345:O345 L346:O346 L347:O347 L348:O348 L349:O349 L350:O350 L351:O351 L352:O352 L353:O353 L354:O354 L355:O355 L356:O356 L357:O357 L358:O358 L359:O359 L360:O360 L361:O361 L362:O362 L363:O363 L364:O364 L365:O365 L366:O366 L367:O367 L368:O368 L369:O369 L370:O370 L371:O371 L372:O372 L373:O373 L374:O374 L375:O375 L376:O376 L377:O377 L378:O378 L379:O379 L380:O380 L381:O381 L382:O382 L383:O383 L384:O384 L385:O385 L386:O386 L387:O387 L388:O388 L389:O389 L390:O390 L391:O391 L392:O392 L393:O393 L394:O394 L395:O395 L396:O396 L397:O397 L398:O398 L399:O399 L400:O400 L401:O401 L402:O402 L403:O403 L404:O404 L405:O405 L406:O406 L407:O407 L408:O408 L409:O409 L410:O410 L411:O411 L412:O412 L413:O413 L414:O414 L415:O415 L416:O416 L417:O417 L418:O418 L419:O419 L420:O420 L421:O421 L422:O422 L423:O423 L424:O424 L425:O425 L426:O426 L427:O427 L428:O428 L429:O429 L430:O430 L431:O431 L432:O432 L433:O433 L434:O434 L435:O435 L436:O436 L437:O437 L438:O438 L439:O439 L440:O440 L441:O441 L442:O442 L443:O443 L444:O444 L445:O445 L446:O446 L447:O447 L448:O448 L449:O449 L450:O450 L451:O451 L452:O452 L453:O453 L454:O454 L455:O455 L456:O456 L457:O457 L458:O458 L459:O459 L460:O460 L461:O461 L462:O462 L463:O463 L464:O464 L465:O465 L466:O466 L467:O467 L468:O468 L469:O469 L470:O470 L471:O471 L472:O472 L473:O473 L474:O474 L475:O475 L476:O476 L477:O477 L478:O478 L479:O479 L480:O480 L481:O481 L482:O482 L483:O483 L484:O484 L485:O485 L486:O486 L487:O487 L488:O488 L489:O489 L490:O490 L491:O491 L492:O492 L493:O493 L494:O494 L495:O495 L496:O496 L497:O497 L498:O498 L499:O499 L500:O500 L501:O501 L502:O502 L503:O503 L504:O504 L505:O505 L506:O506 L507:O507 L508:O508 L509:O509 L510:O510 L511:O511 L512:O512 L513:O513 L514:O514 L515:O515 L516:O516 L517:O517 L518:O518 L519:O519 L520:O520 L521:O521 L522:O522 L523:O523 L524:O524 L525:O525 L526:O526 L527:O527 L528:O528 L529:O529 L530:O530 L531:O531 L532:O532 L533:O533 L534:O534 L535:O535 L536:O536 L537:O537 L538:O538 L539:O539 L540:O540 L541:O541 L542:O542 L543:O543 L544:O544 L545:O545 L546:O546 L547:O547 L548:O548 L549:O549 L550:O550 L551:O551 L552:O552 L553:O553 L554:O554 L555:O555 L556:O556 L557:O557 L558:O558 L559:O559 L560:O560 L561:O561 L562:O562 L563:O563 L564:O564 L565:O565 L566:O566 L567:O567 L568:O568 L569:O569 L570:O570 L571:O571 L572:O572 L573:O573 L574:O574 L575:O575 L576:O576 L577:O577 L578:O578 L579:O579 L580:O580 L581:O581 L582:O582 L583:O583 L584:O584 L585:O585 L586:O586 L587:O587 L588:O588 L589:O589 L590:O590 L591:O591 L592:O592 L593:O593 L594:O594 L595:O595 L596:O596 L597:O597 L598:O598 L599:O599 L600:O600 L601:O601 L602:O602 L603:O603 L604:O604 L605:O605 L606:O606 L607:O607 L608:O608 L609:O609 D41:D609 L618:O618 L619:O619 L620:O620 L621:O621 L622:O622 L623:O623 L624:O624 L625:O625 L626:O626 L627:O627 L628:O628 L629:O629 L630:O630 L631:O631 L632:O632 L633:O633 L634:O634 L635:O635 L636:O636 L637:O637 L638:O638 L639:O639 L640:O640 L641:O641 L642:O642 L643:O643 L644:O644 L645:O645 L646:O646 L647:O647 L648:O648 L649:O649 L650:O650 L651:O651 L652:O652 L653:O653 L654:O654 L655:O655 L656:O656 L657:O657 L658:O658 L659:O659 L660:O660 L661:O661 L662:O662 L663:O663 L664:O664 L665:O665 L666:O666 L667:O667 L668:O668 L669:O669 L670:O670 L671:O671 L672:O672 L673:O673 L674:O674 L675:O675 L676:O676 L677:O677 L678:O678 L679:O679 A38:C38 E38:O38 A23 C23:O23 K37:M37 N1323 M1284 N1290 L1324 L688:O688 A27:O31 A25:C25 E25:O25 A26:C26 E26:O26 B695:O695 C1299:C1317 N20 K699" unlockedFormula="1"/>
    <ignoredError sqref="D1362:O1362 A1362:B1362 D1361:O1361 A1361:B1361 D1360:O1360 A1360:B1360 D1359:O1359 A1359:B1359 D1358:O1358 A1358:B1358 D1357:O1357 A1357:B1357 D1356:O1356 A1356:B1356 D1355:O1355 A1355:B1355 D1354:O1354 A1354:B1354 D1353:O1353 A1353:B1353 D1352:O1352 A1352:B1352 D1351:O1351 A1351:B1351 D1350:O1350 A1350:B1350 D1349:O1349 A1349:B1349 D1348:M1348 A1348:B1348 D1347:M1347 A1347:B1347 D1346:M1346 A1346:B1346 D1345:M1345 A1345:B1345 D1344:M1344 A1344:B1344 D1343:M1343 A1343:B1343 D1342:M1342 A1342:B1342 D1341:M1341 A1341:B1341 D1340:M1340 A1340:B1340 D1339:M1339 A1339:B1339 D1338:M1338 A1338:B1338 D1337:M1337 A1337:B1337 D1336:M1336 A1336:B1336 D1335:K1335 A1335:B1335 A1363:O1372 K1330:O1330 A1330:I1330 A1331:O1334 N1327:O1327 K1327:L1327 A1327:H1327 K1326:O1326 A1326:I1326 A1328:O1329 A1317:B1317 A1316:B1316 A1315:B1315 A1314:B1314 A1313:B1313 A1312:B1312 A1311:B1311 A1310:B1310 A1309:B1309 A1308:B1308 A1307:B1307 A1306:B1306 A1305:B1305 A1304:B1304 A1303:B1303 A1302:B1302 A1301:B1301 A1300:B1300 A1299:B1299 B1298 A1319:O1319 K1293:O1293 E1293:H1293 A1293:B1293 A1294:C1297 E1285:H1285 B1284:C1284 D1266:O1266 A1266:B1266 D1265:O1265 A1265:B1265 D1264:O1264 A1264:B1264 D1263:O1263 A1263:B1263 D1262:O1262 A1262:B1262 D1261:O1261 A1261:B1261 D1260:O1260 A1260:B1260 D1259:O1259 A1259:B1259 D1258:O1258 A1258:B1258 D1257:O1257 A1257:B1257 D1256:O1256 A1256:B1256 D1255:O1255 A1255:B1255 D1254:O1254 A1254:B1254 D1253:O1253 A1253:B1253 D1252:O1252 A1252:B1252 D1251:O1251 A1251:B1251 D1250:O1250 A1250:B1250 D1249:O1249 A1249:B1249 D1248:O1248 A1248:B1248 D1247:O1247 A1247:B1247 D1246:O1246 A1246:B1246 D1245:O1245 A1245:B1245 D1244:O1244 A1244:B1244 D1243:O1243 A1243:B1243 D1242:O1242 A1242:B1242 D1241:O1241 A1241:B1241 D1240:O1240 A1240:B1240 D1239:O1239 A1239:B1239 D1238:O1238 A1238:B1238 D1237:O1237 A1237:B1237 D1236:O1236 A1236:B1236 D1235:O1235 A1235:B1235 D1234:O1234 A1234:B1234 D1233:O1233 A1233:B1233 D1232:O1232 A1232:B1232 D1231:O1231 A1231:B1231 D1230:O1230 A1230:B1230 D1229:O1229 A1229:B1229 D1228:O1228 A1228:B1228 D1227:O1227 A1227:B1227 D1226:O1226 A1226:B1226 D1225:O1225 A1225:B1225 E1224:O1224 A1224 D1223:O1223 A1223:B1223 E1222:O1222 A1222 A1267:O1269 K1217:O1217 A1217:I1217 A1218:O1221 D1213:O1213 A1213:B1213 D1212:O1212 A1212:B1212 D1211:O1211 A1211:B1211 D1210:O1210 A1210:B1210 D1209:O1209 A1209:B1209 D1208:O1208 A1208:B1208 D1207:O1207 A1207:B1207 D1206:O1206 A1206:B1206 D1205:O1205 A1205:B1205 D1204:O1204 A1204:B1204 D1203:O1203 A1203:B1203 D1202:O1202 A1202:B1202 D1201:O1201 A1201:B1201 D1200:O1200 A1200:B1200 D1199:O1199 A1199:B1199 D1198:O1198 A1198:B1198 D1197:O1197 A1197:B1197 D1196:O1196 A1196:B1196 D1195:O1195 A1195:B1195 D1194:O1194 A1194:B1194 D1193:O1193 A1193:B1193 D1192:O1192 A1192:B1192 D1191:O1191 A1191:B1191 D1190:O1190 A1190:B1190 D1189:O1189 A1189:B1189 D1188:O1188 A1188:B1188 D1187:O1187 A1187:B1187 D1186:O1186 A1186:B1186 D1185:O1185 A1185:B1185 D1184:O1184 A1184:B1184 D1183:O1183 A1183:B1183 D1182:O1182 A1182:B1182 D1181:O1181 A1181:B1181 D1180:O1180 A1180:B1180 D1179:O1179 A1179:B1179 D1178:O1178 A1178:B1178 D1177:O1177 A1177:B1177 D1176:O1176 A1176:B1176 D1175:O1175 A1175:B1175 D1174:O1174 A1174:B1174 D1173:O1173 A1173:B1173 D1172:O1172 A1172:B1172 D1171:O1171 A1171:B1171 D1170:O1170 A1170:B1170 D1169:O1169 A1169:B1169 D1168:O1168 A1168:B1168 D1167:O1167 A1167:B1167 D1166:O1166 A1166:B1166 D1165:O1165 A1165:B1165 D1164:O1164 A1164:B1164 D1163:O1163 A1163:B1163 D1162:O1162 A1162:B1162 D1161:O1161 A1161:B1161 D1160:O1160 A1160:B1160 D1159:O1159 A1159:B1159 D1158:O1158 A1158:B1158 D1157:O1157 A1157:B1157 D1156:O1156 A1156:B1156 D1155:O1155 A1155:B1155 D1154:O1154 A1154:B1154 D1153:O1153 A1153:B1153 D1152:O1152 A1152:B1152 D1151:O1151 A1151:B1151 D1150:O1150 A1150:B1150 D1149:O1149 A1149:B1149 D1148:O1148 A1148:B1148 D1147:O1147 A1147:B1147 D1146:O1146 A1146:B1146 D1145:O1145 A1145:B1145 D1144:O1144 A1144:B1144 D1143:O1143 A1143:B1143 D1142:O1142 A1142:B1142 D1141:O1141 A1141:B1141 D1140:O1140 A1140:B1140 D1139:O1139 A1139:B1139 D1138:O1138 A1138:B1138 D1137:O1137 A1137:B1137 D1136:O1136 A1136:B1136 D1135:O1135 A1135:B1135 D1134:O1134 A1134:B1134 D1133:O1133 A1133:B1133 D1132:O1132 A1132:B1132 D1131:O1131 A1131:B1131 D1130:O1130 A1130:B1130 D1129:O1129 A1129:B1129 D1128:O1128 A1128:B1128 D1127:O1127 A1127:B1127 D1126:O1126 A1126:B1126 D1125:O1125 A1125:B1125 D1124:O1124 A1124:B1124 D1123:O1123 A1123:B1123 D1122:O1122 A1122:B1122 D1121:O1121 A1121:B1121 D1120:O1120 A1120:B1120 D1119:O1119 A1119:B1119 D1118:O1118 A1118:B1118 D1117:O1117 A1117:B1117 D1116:O1116 A1116:B1116 D1115:O1115 A1115:B1115 D1114:O1114 A1114:B1114 D1113:O1113 A1113:B1113 D1112:O1112 A1112:B1112 D1111:O1111 A1111:B1111 D1110:O1110 A1110:B1110 D1109:O1109 A1109:B1109 D1108:O1108 A1108:B1108 D1107:O1107 A1107:B1107 D1106:O1106 A1106:B1106 D1105:O1105 A1105:B1105 D1104:O1104 A1104:B1104 D1103:O1103 A1103:B1103 D1102:O1102 A1102:B1102 D1101:O1101 A1101:B1101 D1100:O1100 A1100:B1100 D1099:O1099 A1099:B1099 D1098:O1098 A1098:B1098 D1097:O1097 A1097:B1097 D1096:O1096 A1096:B1096 D1095:O1095 A1095:B1095 D1094:O1094 A1094:B1094 D1093:O1093 A1093:B1093 D1092:O1092 A1092:B1092 D1091:O1091 A1091:B1091 D1090:O1090 A1090:B1090 D1089:O1089 A1089:B1089 D1088:O1088 A1088:B1088 D1087:O1087 A1087:B1087 D1086:O1086 A1086:B1086 D1085:O1085 A1085:B1085 D1084:O1084 A1084:B1084 D1083:O1083 A1083:B1083 D1082:O1082 A1082:B1082 D1081:O1081 A1081:B1081 D1080:O1080 A1080:B1080 D1079:O1079 A1079:B1079 D1078:O1078 A1078:B1078 D1077:O1077 A1077:B1077 D1076:O1076 A1076:B1076 D1075:O1075 A1075:B1075 D1074:O1074 A1074:B1074 D1073:O1073 A1073:B1073 D1072:O1072 A1072:B1072 D1071:O1071 A1071:B1071 D1070:O1070 A1070:B1070 D1069:O1069 A1069:B1069 D1068:O1068 A1068:B1068 D1067:O1067 A1067:B1067 D1066:O1066 A1066:B1066 D1065:O1065 A1065:B1065 D1064:O1064 A1064:B1064 D1063:O1063 A1063:B1063 D1062:O1062 A1062:B1062 D1061:O1061 A1061:B1061 D1060:O1060 A1060:B1060 D1059:O1059 A1059:B1059 D1058:O1058 A1058:B1058 D1057:O1057 A1057:B1057 D1056:O1056 A1056:B1056 D1055:O1055 A1055:B1055 D1054:O1054 A1054:B1054 D1053:O1053 A1053:B1053 D1052:O1052 A1052:B1052 D1051:O1051 A1051:B1051 D1050:O1050 A1050:B1050 D1049:O1049 A1049:B1049 D1048:O1048 A1048:B1048 D1047:O1047 A1047:B1047 D1046:O1046 A1046:B1046 D1045:O1045 A1045:B1045 D1044:O1044 A1044:B1044 D1043:O1043 A1043:B1043 D1042:O1042 A1042:B1042 D1041:O1041 A1041:B1041 D1040:O1040 A1040:B1040 D1039:O1039 A1039:B1039 D1038:O1038 A1038:B1038 D1037:O1037 A1037:B1037 D1036:O1036 A1036:B1036 D1035:O1035 A1035:B1035 D1034:O1034 A1034:B1034 D1033:O1033 A1033:B1033 D1032:O1032 A1032:B1032 D1031:O1031 A1031:B1031 D1030:O1030 A1030:B1030 D1029:O1029 A1029:B1029 D1028:O1028 A1028:B1028 D1027:O1027 A1027:B1027 D1026:O1026 A1026:B1026 D1025:O1025 A1025:B1025 D1024:O1024 A1024:B1024 D1023:O1023 A1023:B1023 D1022:O1022 A1022:B1022 D1021:O1021 A1021:B1021 D1020:O1020 A1020:B1020 D1019:O1019 A1019:B1019 D1018:O1018 A1018:B1018 D1017:O1017 A1017:B1017 D1016:O1016 A1016:B1016 D1015:O1015 A1015:B1015 D1014:O1014 A1014:B1014 D1013:O1013 A1013:B1013 D1012:O1012 A1012:B1012 D1011:O1011 A1011:B1011 D1010:O1010 A1010:B1010 D1009:O1009 A1009:B1009 D1008:O1008 A1008:B1008 D1007:O1007 A1007:B1007 D1006:O1006 A1006:B1006 D1005:O1005 A1005:B1005 D1004:O1004 A1004:B1004 D1003:O1003 A1003:B1003 D1002:O1002 A1002:B1002 D1001:O1001 A1001:B1001 D1000:O1000 A1000:B1000 D999:O999 A999:B999 D998:O998 A998:B998 D997:O997 A997:B997 D996:O996 A996:B996 D995:O995 A995:B995 D994:O994 A994:B994 D993:O993 A993:B993 D992:O992 A992:B992 D991:O991 A991:B991 D990:O990 A990:B990 D989:O989 A989:B989 D988:O988 A988:B988 D987:O987 A987:B987 D986:O986 A986:B986 D985:O985 A985:B985 D984:O984 A984:B984 D983:O983 A983:B983 D982:O982 A982:B982 D981:O981 A981:B981 D980:O980 A980:B980 D979:O979 A979:B979 D978:O978 A978:B978 D977:O977 A977:B977 D976:O976 A976:B976 D975:O975 A975:B975 D974:O974 A974:B974 D973:O973 A973:B973 D972:O972 A972:B972 D971:O971 A971:B971 D970:O970 A970:B970 D969:O969 A969:B969 D968:O968 A968:B968 D967:O967 A967:B967 D966:O966 A966:B966 D965:O965 A965:B965 D964:O964 A964:B964 D963:O963 A963:B963 D962:O962 A962:B962 D961:O961 A961:B961 D960:O960 A960:B960 D959:O959 A959:B959 D958:O958 A958:B958 D957:O957 A957:B957 D956:O956 A956:B956 D955:O955 A955:B955 D954:O954 A954:B954 D953:O953 A953:B953 D952:O952 A952:B952 D951:O951 A951:B951 D950:O950 A950:B950 D949:O949 A949:B949 D948:O948 A948:B948 D947:O947 A947:B947 D946:O946 A946:B946 D945:O945 A945:B945 D944:O944 A944:B944 D943:O943 A943:B943 D942:O942 A942:B942 D941:O941 A941:B941 D940:O940 A940:B940 D939:O939 A939:B939 D938:O938 A938:B938 D937:O937 A937:B937 D936:O936 A936:B936 D935:O935 A935:B935 D934:O934 A934:B934 D933:O933 A933:B933 D932:O932 A932:B932 D931:O931 A931:B931 D930:O930 A930:B930 D929:O929 A929:B929 D928:O928 A928:B928 D927:O927 A927:B927 D926:O926 A926:B926 D925:O925 A925:B925 D924:O924 A924:B924 D923:O923 A923:B923 D922:O922 A922:B922 D921:O921 A921:B921 D920:O920 A920:B920 D919:O919 A919:B919 D918:O918 A918:B918 D917:O917 A917:B917 D916:O916 A916:B916 D915:O915 A915:B915 D914:O914 A914:B914 D913:O913 A913:B913 D912:O912 A912:B912 D911:O911 A911:B911 D910:O910 A910:B910 D909:O909 A909:B909 D908:O908 A908:B908 D907:O907 A907:B907 D906:O906 A906:B906 D905:O905 A905:B905 D904:O904 A904:B904 D903:O903 A903:B903 D902:O902 A902:B902 D901:O901 A901:B901 D900:O900 A900:B900 D899:O899 A899:B899 D898:O898 A898:B898 D897:O897 A897:B897 D896:O896 A896:B896 D895:O895 A895:B895 D894:O894 A894:B894 D893:O893 A893:B893 D892:O892 A892:B892 D891:O891 A891:B891 D890:O890 A890:B890 D889:O889 A889:B889 D888:O888 A888:B888 D887:O887 A887:B887 D886:O886 A886:B886 D885:O885 A885:B885 D884:O884 A884:B884 D883:O883 A883:B883 D882:O882 A882:B882 D881:O881 A881:B881 D880:O880 A880:B880 D879:O879 A879:B879 D878:O878 A878:B878 D877:O877 A877:B877 D876:O876 A876:B876 D875:O875 A875:B875 D874:O874 A874:B874 D873:O873 A873:B873 D872:O872 A872:B872 D871:O871 A871:B871 D870:O870 A870:B870 D869:O869 A869:B869 D868:O868 A868:B868 D867:O867 A867:B867 D866:O866 A866:B866 D865:O865 A865:B865 D864:O864 A864:B864 D863:O863 A863:B863 D862:O862 A862:B862 D861:O861 A861:B861 D860:O860 A860:B860 D859:O859 A859:B859 D858:O858 A858:B858 D857:O857 A857:B857 D856:O856 A856:B856 D855:O855 A855:B855 D854:O854 A854:B854 D853:O853 A853:B853 D852:O852 A852:B852 D851:O851 A851:B851 D850:O850 A850:B850 D849:O849 A849:B849 D848:O848 A848:B848 D847:O847 A847:B847 D846:O846 A846:B846 D845:O845 A845:B845 D844:O844 A844:B844 D843:O843 A843:B843 D842:O842 A842:B842 D841:O841 A841:B841 D840:O840 A840:B840 D839:O839 A839:B839 D838:O838 A838:B838 D837:O837 A837:B837 D836:O836 A836:B836 D835:O835 A835:B835 D834:O834 A834:B834 D833:O833 A833:B833 D832:O832 A832:B832 D831:O831 A831:B831 D830:O830 A830:B830 D829:O829 A829:B829 D828:O828 A828:B828 D827:O827 A827:B827 D826:O826 A826:B826 D825:O825 A825:B825 D824:O824 A824:B824 D823:O823 A823:B823 D822:O822 A822:B822 D821:O821 A821:B821 D820:O820 A820:B820 D819:O819 A819:B819 D818:O818 A818:B818 D817:O817 A817:B817 D816:O816 A816:B816 D815:O815 A815:B815 D814:O814 A814:B814 D813:O813 A813:B813 D812:O812 A812:B812 D811:O811 A811:B811 D810:O810 A810:B810 D809:O809 A809:B809 D808:O808 A808:B808 D807:O807 A807:B807 D806:O806 A806:B806 D805:O805 A805:B805 D804:O804 A804:B804 D803:O803 A803:B803 D802:O802 A802:B802 D801:O801 A801:B801 D800:O800 A800:B800 D799:O799 A799:B799 D798:O798 A798:B798 D797:O797 A797:B797 D796:O796 A796:B796 D795:O795 A795:B795 D794:O794 A794:B794 D793:O793 A793:B793 D792:O792 A792:B792 D791:O791 A791:B791 D790:O790 A790:B790 D789:O789 A789:B789 D788:O788 A788:B788 D787:O787 A787:B787 D786:O786 A786:B786 D785:O785 A785:B785 D784:O784 A784:B784 D783:O783 A783:B783 D782:O782 A782:B782 D781:O781 A781:B781 D780:O780 A780:B780 D779:O779 A779:B779 D778:O778 A778:B778 D777:O777 A777:B777 D776:O776 A776:B776 D775:O775 A775:B775 D774:O774 A774:B774 D773:O773 A773:B773 D772:O772 A772:B772 D771:O771 A771:B771 D770:O770 A770:B770 D769:O769 A769:B769 D768:O768 A768:B768 D767:O767 A767:B767 D766:O766 A766:B766 D765:O765 A765:B765 D764:O764 A764:B764 D763:O763 A763:B763 D762:O762 A762:B762 D761:O761 A761:B761 D760:O760 A760:B760 D759:O759 A759:B759 D758:O758 A758:B758 D757:O757 A757:B757 D756:O756 A756:B756 D755:O755 A755:B755 D754:O754 A754:B754 D753:O753 A753:B753 D752:O752 A752:B752 D751:O751 A751:B751 D750:O750 A750:B750 D749:O749 A749:B749 D748:O748 A748:B748 D747:O747 A747:B747 D746:O746 A746:B746 D745:O745 A745:B745 D744:O744 A744:B744 D743:O743 A743:B743 D742:O742 A742:B742 D741:O741 A741:B741 D740:O740 A740:B740 D739:O739 A739:B739 D738:O738 A738:B738 D737:O737 A737:B737 D736:O736 A736:B736 D735:O735 A735:B735 D734:O734 A734:B734 D733:O733 A733:B733 D732:O732 A732:B732 D731:O731 A731:B731 D730:O730 A730:B730 D729:O729 A729:B729 D728:O728 A728:B728 D727:O727 A727:B727 D726:O726 A726:B726 D725:O725 A725:B725 D724:O724 A724:B724 D723:O723 A723:B723 D722:O722 A722:B722 D721:O721 A721:B721 D720:O720 A720:B720 D719:O719 A719:B719 D718:O718 A718:B718 D717:O717 A717:B717 D716:O716 A716:B716 D715:O715 A715:B715 D714:O714 A714:B714 A1215:O1216 K709:O709 A709:I709 A712:O713 K705:O705 K704:O704 K703:O703 K702:O702 K701:O701 D705:H705 A705:B705 D704:H704 A704:B704 D703:H703 A703:B703 D702:H702 A702:B702 D701:H701 A701:B701 A706:O708 A698:O698 A1325:O1325 A1323:C1323 K1323:M1323 O1323 A700:O700 A699:J699 L699:O699 A1274:O1282 A1272:H1272 M1272:O1272 A1214:J1214 A1288:O1289 A1287:M1287 A710:C710 E710:M710 O710 A711:M711 O711 C1283:O1283 E1284:H1284 A1291:O1291 A1290:C1290 E1290:H1290 E1323:I1323 A1318:C1318 L1318 L1294:L1297 H1317 H1316 H1315 H1314 H1313 H1312 H1311 H1310 H1309 H1308 H1307 H1306 H1305 H1304 H1303 H1302 H1301 H1300 H1299 H1298 H1294:H1297 H1318 N1318:O1318 O1296:O1297 K1290:L1290 E1297 O1294 O1295 A1321:O1322 A1320:H1320 K1320:O1320 A1271:O1271 A1270:K1270 M1270:O1270 A1273:H1273 M1273:O1273 J1273 J1272 O1290 A1292 M1335 A1324:K1324 L1214:N1214 E1318" numberStoredAsText="1" unlockedFormula="1"/>
    <ignoredError sqref="C705 J709 C701 I701:J701 C702 I702:J702 C703 I703:J703 C704 I704:J704 I705:J705 C1213 J1217 C714 C715 C716 C717 C718 C719 C720 C721 C722 C723 C724 C725 C726 C727 C728 C729 C730 C731 C732 C733 C734 C735 C736 C737 C738 C739 C740 C741 C742 C743 C744 C745 C746 C747 C748 C749 C750 C751 C752 C753 C754 C755 C756 C757 C758 C759 C760 C761 C762 C763 C764 C765 C766 C767 C768 C769 C770 C771 C772 C773 C774 C775 C776 C777 C778 C779 C780 C781 C782 C783 C784 C785 C786 C787 C788 C789 C790 C791 C792 C793 C794 C795 C796 C797 C798 C799 C800 C801 C802 C803 C804 C805 C806 C807 C808 C809 C810 C811 C812 C813 C814 C815 C816 C817 C818 C819 C820 C821 C822 C823 C824 C825 C826 C827 C828 C829 C830 C831 C832 C833 C834 C835 C836 C837 C838 C839 C840 C841 C842 C843 C844 C845 C846 C847 C848 C849 C850 C851 C852 C853 C854 C855 C856 C857 C858 C859 C860 C861 C862 C863 C864 C865 C866 C867 C868 C869 C870 C871 C872 C873 C874 C875 C876 C877 C878 C879 C880 C881 C882 C883 C884 C885 C886 C887 C888 C889 C890 C891 C892 C893 C894 C895 C896 C897 C898 C899 C900 C901 C902 C903 C904 C905 C906 C907 C908 C909 C910 C911 C912 C913 C914 C915 C916 C917 C918 C919 C920 C921 C922 C923 C924 C925 C926 C927 C928 C929 C930 C931 C932 C933 C934 C935 C936 C937 C938 C939 C940 C941 C942 C943 C944 C945 C946 C947 C948 C949 C950 C951 C952 C953 C954 C955 C956 C957 C958 C959 C960 C961 C962 C963 C964 C965 C966 C967 C968 C969 C970 C971 C972 C973 C974 C975 C976 C977 C978 C979 C980 C981 C982 C983 C984 C985 C986 C987 C988 C989 C990 C991 C992 C993 C994 C995 C996 C997 C998 C999 C1000 C1001 C1002 C1003 C1004 C1005 C1006 C1007 C1008 C1009 C1010 C1011 C1012 C1013 C1014 C1015 C1016 C1017 C1018 C1019 C1020 C1021 C1022 C1023 C1024 C1025 C1026 C1027 C1028 C1029 C1030 C1031 C1032 C1033 C1034 C1035 C1036 C1037 C1038 C1039 C1040 C1041 C1042 C1043 C1044 C1045 C1046 C1047 C1048 C1049 C1050 C1051 C1052 C1053 C1054 C1055 C1056 C1057 C1058 C1059 C1060 C1061 C1062 C1063 C1064 C1065 C1066 C1067 C1068 C1069 C1070 C1071 C1072 C1073 C1074 C1075 C1076 C1077 C1078 C1079 C1080 C1081 C1082 C1083 C1084 C1085 C1086 C1087 C1088 C1089 C1090 C1091 C1092 C1093 C1094 C1095 C1096 C1097 C1098 C1099 C1100 C1101 C1102 C1103 C1104 C1105 C1106 C1107 C1108 C1109 C1110 C1111 C1112 C1113 C1114 C1115 C1116 C1117 C1118 C1119 C1120 C1121 C1122 C1123 C1124 C1125 C1126 C1127 C1128 C1129 C1130 C1131 C1132 C1133 C1134 C1135 C1136 C1137 C1138 C1139 C1140 C1141 C1142 C1143 C1144 C1145 C1146 C1147 C1148 C1149 C1150 C1151 C1152 C1153 C1154 C1155 C1156 C1157 C1158 C1159 C1160 C1161 C1162 C1163 C1164 C1165 C1166 C1167 C1168 C1169 C1170 C1171 C1172 C1173 C1174 C1175 C1176 C1177 C1178 C1179 C1180 C1181 C1182 C1183 C1184 C1185 C1186 C1187 C1188 C1189 C1190 C1191 C1192 C1193 C1194 C1195 C1196 C1197 C1198 C1199 C1200 C1201 C1202 C1203 C1204 C1205 C1206 C1207 C1208 C1209 C1210 C1211 C1212 C1266 C1222 C1223 C1224 C1225 C1226 C1227 C1228 C1229 C1230 C1231 C1232 C1233 C1234 C1235 C1236 C1237 C1238 C1239 C1240 C1241 C1242 C1243 C1244 C1245 C1246 C1247 C1248 C1249 C1250 C1251 C1252 C1253 C1254 C1255 C1256 C1257 C1258 C1259 C1260 C1261 C1262 C1263 C1264 C1265 J1293 I1327:J1327 J1330 J1326 M1327 C1362 C1335 N1335:O1335 C1336 N1336:O1336 C1337 N1337:O1337 C1338 N1338:O1338 C1339 N1339:O1339 C1340 N1340:O1340 C1341 N1341:O1341 C1342 N1342:O1342 C1343 N1343:O1343 C1344 N1344:O1344 C1345 N1345:O1345 C1346 N1346:O1346 C1347 N1347:O1347 C1348 N1348:O1348 C1349 C1350 C1351 C1352 C1353 C1354 C1355 C1356 C1357 C1358 C1359 C1360 C1361 A1298" numberStoredAsText="1"/>
    <ignoredError sqref="J2320" evalError="1"/>
    <ignoredError sqref="K1214" formula="1"/>
  </ignoredErrors>
  <drawing r:id="rId5"/>
  <legacy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922"/>
  <sheetViews>
    <sheetView workbookViewId="0">
      <pane ySplit="6" topLeftCell="A695" activePane="bottomLeft" state="frozen"/>
      <selection activeCell="A15" sqref="A15"/>
      <selection pane="bottomLeft" activeCell="N713" sqref="N713"/>
    </sheetView>
  </sheetViews>
  <sheetFormatPr defaultRowHeight="12" customHeight="1" x14ac:dyDescent="0.2"/>
  <cols>
    <col min="2" max="2" width="20.7109375" style="25" customWidth="1"/>
    <col min="3" max="3" width="20.7109375" customWidth="1"/>
    <col min="4" max="9" width="9.140625" hidden="1" customWidth="1"/>
    <col min="10" max="20" width="20.7109375" customWidth="1"/>
    <col min="21" max="21" width="10.7109375" customWidth="1"/>
    <col min="22" max="22" width="15.7109375" customWidth="1"/>
    <col min="23" max="23" width="20.7109375" customWidth="1"/>
    <col min="25" max="16384" width="9.140625" style="23"/>
  </cols>
  <sheetData>
    <row r="1" spans="1:24" ht="12" customHeight="1" x14ac:dyDescent="0.2">
      <c r="B1" s="414"/>
      <c r="O1" s="32"/>
    </row>
    <row r="2" spans="1:24" ht="12" customHeight="1" thickBot="1" x14ac:dyDescent="0.25">
      <c r="A2" s="33"/>
      <c r="B2" s="415"/>
      <c r="C2" s="35"/>
      <c r="D2" s="33"/>
      <c r="E2" s="33"/>
      <c r="F2" s="33"/>
      <c r="G2" s="33"/>
      <c r="H2" s="33"/>
      <c r="I2" s="33"/>
      <c r="J2" s="33"/>
      <c r="K2" s="33"/>
      <c r="L2" s="33"/>
      <c r="M2" s="33"/>
      <c r="N2" s="33"/>
      <c r="O2" s="33"/>
      <c r="P2" s="34"/>
      <c r="Q2" s="34"/>
      <c r="R2" s="34"/>
      <c r="S2" s="34"/>
      <c r="T2" s="34"/>
      <c r="U2" s="35"/>
      <c r="V2" s="34"/>
      <c r="W2" s="34"/>
      <c r="X2" s="33"/>
    </row>
    <row r="3" spans="1:24" ht="24" customHeight="1" x14ac:dyDescent="0.2">
      <c r="A3" s="36"/>
      <c r="B3" s="416" t="s">
        <v>197</v>
      </c>
      <c r="C3" s="37" t="s">
        <v>198</v>
      </c>
      <c r="D3" s="33"/>
      <c r="E3" s="33"/>
      <c r="F3" s="33"/>
      <c r="G3" s="33"/>
      <c r="H3" s="33"/>
      <c r="I3" s="33"/>
      <c r="J3" s="535" t="s">
        <v>199</v>
      </c>
      <c r="K3" s="535" t="s">
        <v>200</v>
      </c>
      <c r="L3" s="535" t="s">
        <v>201</v>
      </c>
      <c r="M3" s="535" t="s">
        <v>202</v>
      </c>
      <c r="N3" s="535" t="s">
        <v>9</v>
      </c>
      <c r="O3" s="536" t="s">
        <v>203</v>
      </c>
      <c r="P3" s="536" t="s">
        <v>204</v>
      </c>
      <c r="Q3" s="536" t="s">
        <v>205</v>
      </c>
      <c r="R3" s="536" t="s">
        <v>206</v>
      </c>
      <c r="S3" s="536" t="s">
        <v>207</v>
      </c>
      <c r="T3" s="536" t="s">
        <v>208</v>
      </c>
      <c r="U3" s="38" t="s">
        <v>114</v>
      </c>
      <c r="V3" s="39" t="s">
        <v>51</v>
      </c>
      <c r="W3" s="39" t="s">
        <v>43</v>
      </c>
      <c r="X3" s="36"/>
    </row>
    <row r="4" spans="1:24" ht="12" customHeight="1" x14ac:dyDescent="0.2">
      <c r="A4" s="84"/>
      <c r="B4" s="86">
        <v>-9</v>
      </c>
      <c r="C4" s="86">
        <v>-8</v>
      </c>
      <c r="D4" s="85"/>
      <c r="E4" s="85"/>
      <c r="F4" s="85"/>
      <c r="G4" s="85"/>
      <c r="H4" s="85"/>
      <c r="I4" s="85"/>
      <c r="J4" s="537">
        <v>-1</v>
      </c>
      <c r="K4" s="537">
        <v>0</v>
      </c>
      <c r="L4" s="537">
        <v>1</v>
      </c>
      <c r="M4" s="537">
        <v>2</v>
      </c>
      <c r="N4" s="537">
        <v>3</v>
      </c>
      <c r="O4" s="537">
        <v>4</v>
      </c>
      <c r="P4" s="537">
        <v>5</v>
      </c>
      <c r="Q4" s="537">
        <v>6</v>
      </c>
      <c r="R4" s="537">
        <v>7</v>
      </c>
      <c r="S4" s="537">
        <v>8</v>
      </c>
      <c r="T4" s="537">
        <v>9</v>
      </c>
      <c r="U4" s="86">
        <v>10</v>
      </c>
      <c r="V4" s="86">
        <v>11</v>
      </c>
      <c r="W4" s="86">
        <v>12</v>
      </c>
      <c r="X4" s="40"/>
    </row>
    <row r="5" spans="1:24" ht="12" customHeight="1" x14ac:dyDescent="0.2">
      <c r="A5" s="41" t="s">
        <v>92</v>
      </c>
      <c r="B5" s="417" t="s">
        <v>209</v>
      </c>
      <c r="C5" s="418" t="s">
        <v>35</v>
      </c>
      <c r="D5" s="42"/>
      <c r="E5" s="42"/>
      <c r="F5" s="42"/>
      <c r="G5" s="42"/>
      <c r="H5" s="42"/>
      <c r="I5" s="42"/>
      <c r="J5" s="538" t="s">
        <v>35</v>
      </c>
      <c r="K5" s="538" t="s">
        <v>35</v>
      </c>
      <c r="L5" s="538" t="s">
        <v>35</v>
      </c>
      <c r="M5" s="539" t="s">
        <v>35</v>
      </c>
      <c r="N5" s="540" t="s">
        <v>35</v>
      </c>
      <c r="O5" s="538" t="s">
        <v>35</v>
      </c>
      <c r="P5" s="538" t="s">
        <v>35</v>
      </c>
      <c r="Q5" s="538" t="s">
        <v>35</v>
      </c>
      <c r="R5" s="538" t="s">
        <v>35</v>
      </c>
      <c r="S5" s="540" t="s">
        <v>35</v>
      </c>
      <c r="T5" s="538" t="s">
        <v>35</v>
      </c>
      <c r="U5" s="44" t="s">
        <v>210</v>
      </c>
      <c r="V5" s="43" t="s">
        <v>211</v>
      </c>
      <c r="W5" s="43" t="s">
        <v>211</v>
      </c>
      <c r="X5" s="41" t="s">
        <v>92</v>
      </c>
    </row>
    <row r="6" spans="1:24" ht="12" customHeight="1" x14ac:dyDescent="0.2">
      <c r="A6" s="45" t="s">
        <v>96</v>
      </c>
      <c r="B6" s="419" t="s">
        <v>212</v>
      </c>
      <c r="C6" s="420" t="s">
        <v>213</v>
      </c>
      <c r="D6" s="46"/>
      <c r="E6" s="46"/>
      <c r="F6" s="46"/>
      <c r="G6" s="46"/>
      <c r="H6" s="46"/>
      <c r="I6" s="46"/>
      <c r="J6" s="541" t="s">
        <v>212</v>
      </c>
      <c r="K6" s="541" t="s">
        <v>212</v>
      </c>
      <c r="L6" s="541" t="s">
        <v>212</v>
      </c>
      <c r="M6" s="542" t="s">
        <v>212</v>
      </c>
      <c r="N6" s="543" t="s">
        <v>212</v>
      </c>
      <c r="O6" s="543" t="s">
        <v>212</v>
      </c>
      <c r="P6" s="543" t="s">
        <v>212</v>
      </c>
      <c r="Q6" s="543" t="s">
        <v>212</v>
      </c>
      <c r="R6" s="543" t="s">
        <v>212</v>
      </c>
      <c r="S6" s="543" t="s">
        <v>212</v>
      </c>
      <c r="T6" s="541" t="s">
        <v>212</v>
      </c>
      <c r="U6" s="48"/>
      <c r="V6" s="47" t="s">
        <v>212</v>
      </c>
      <c r="W6" s="47" t="s">
        <v>212</v>
      </c>
      <c r="X6" s="45" t="s">
        <v>96</v>
      </c>
    </row>
    <row r="7" spans="1:24" ht="12" customHeight="1" x14ac:dyDescent="0.2">
      <c r="A7" s="49">
        <v>23651</v>
      </c>
      <c r="B7" s="523"/>
      <c r="C7" s="523"/>
      <c r="D7" s="50"/>
      <c r="E7" s="50"/>
      <c r="F7" s="50"/>
      <c r="G7" s="50"/>
      <c r="H7" s="50"/>
      <c r="I7" s="50"/>
      <c r="J7" s="22">
        <v>10000</v>
      </c>
      <c r="K7" s="22">
        <v>10000</v>
      </c>
      <c r="L7" s="22">
        <v>10000</v>
      </c>
      <c r="M7" s="22">
        <v>10000</v>
      </c>
      <c r="N7" s="22">
        <v>10000</v>
      </c>
      <c r="O7" s="22">
        <v>10000</v>
      </c>
      <c r="P7" s="22">
        <v>890.41963199999998</v>
      </c>
      <c r="Q7" s="22">
        <v>10000</v>
      </c>
      <c r="R7" s="22">
        <v>10000</v>
      </c>
      <c r="S7" s="22">
        <v>10000</v>
      </c>
      <c r="T7" s="22">
        <v>10000</v>
      </c>
      <c r="U7" s="51" t="s">
        <v>214</v>
      </c>
      <c r="V7" s="55"/>
      <c r="W7" s="55">
        <v>42000</v>
      </c>
      <c r="X7" s="49">
        <v>23651</v>
      </c>
    </row>
    <row r="8" spans="1:24" ht="12" customHeight="1" x14ac:dyDescent="0.2">
      <c r="A8" s="49">
        <v>23682</v>
      </c>
      <c r="B8" s="523"/>
      <c r="C8" s="523"/>
      <c r="D8" s="50"/>
      <c r="E8" s="50"/>
      <c r="F8" s="50"/>
      <c r="G8" s="50"/>
      <c r="H8" s="50"/>
      <c r="I8" s="50"/>
      <c r="J8" s="22">
        <v>10505</v>
      </c>
      <c r="K8" s="22">
        <v>10000</v>
      </c>
      <c r="L8" s="22">
        <v>10457</v>
      </c>
      <c r="M8" s="22">
        <v>10447</v>
      </c>
      <c r="N8" s="22">
        <v>10000</v>
      </c>
      <c r="O8" s="22">
        <v>10000</v>
      </c>
      <c r="P8" s="22">
        <v>890.41963199999998</v>
      </c>
      <c r="Q8" s="22">
        <v>10000</v>
      </c>
      <c r="R8" s="22">
        <v>10000</v>
      </c>
      <c r="S8" s="22">
        <v>10000</v>
      </c>
      <c r="T8" s="22">
        <v>10000</v>
      </c>
      <c r="U8" s="51" t="s">
        <v>214</v>
      </c>
      <c r="V8" s="55"/>
      <c r="W8" s="55">
        <v>42000</v>
      </c>
      <c r="X8" s="49">
        <v>23682</v>
      </c>
    </row>
    <row r="9" spans="1:24" ht="12" customHeight="1" x14ac:dyDescent="0.2">
      <c r="A9" s="49">
        <v>23712</v>
      </c>
      <c r="B9" s="523"/>
      <c r="C9" s="523"/>
      <c r="D9" s="50"/>
      <c r="E9" s="50"/>
      <c r="F9" s="50"/>
      <c r="G9" s="50"/>
      <c r="H9" s="50"/>
      <c r="I9" s="50"/>
      <c r="J9" s="22">
        <v>11163.663500000001</v>
      </c>
      <c r="K9" s="22">
        <v>10000</v>
      </c>
      <c r="L9" s="22">
        <v>11203.629800000001</v>
      </c>
      <c r="M9" s="22">
        <v>11174.111199999999</v>
      </c>
      <c r="N9" s="22">
        <v>10000</v>
      </c>
      <c r="O9" s="22">
        <v>10000</v>
      </c>
      <c r="P9" s="22">
        <v>890.41963199999998</v>
      </c>
      <c r="Q9" s="22">
        <v>10000</v>
      </c>
      <c r="R9" s="22">
        <v>10000</v>
      </c>
      <c r="S9" s="22">
        <v>10000</v>
      </c>
      <c r="T9" s="22">
        <v>10000</v>
      </c>
      <c r="U9" s="51" t="s">
        <v>214</v>
      </c>
      <c r="V9" s="55"/>
      <c r="W9" s="55">
        <v>42000</v>
      </c>
      <c r="X9" s="49">
        <v>23712</v>
      </c>
    </row>
    <row r="10" spans="1:24" ht="12" customHeight="1" x14ac:dyDescent="0.2">
      <c r="A10" s="49">
        <v>23743</v>
      </c>
      <c r="B10" s="523"/>
      <c r="C10" s="523"/>
      <c r="D10" s="50"/>
      <c r="E10" s="50"/>
      <c r="F10" s="50"/>
      <c r="G10" s="50"/>
      <c r="H10" s="50"/>
      <c r="I10" s="50"/>
      <c r="J10" s="22">
        <v>11692.821148999999</v>
      </c>
      <c r="K10" s="22">
        <v>11300</v>
      </c>
      <c r="L10" s="22">
        <v>12098.799821000001</v>
      </c>
      <c r="M10" s="22">
        <v>11842.323049000001</v>
      </c>
      <c r="N10" s="22">
        <v>11300</v>
      </c>
      <c r="O10" s="22">
        <v>11300</v>
      </c>
      <c r="P10" s="22">
        <v>1006.174184</v>
      </c>
      <c r="Q10" s="22">
        <v>11300</v>
      </c>
      <c r="R10" s="22">
        <v>11300</v>
      </c>
      <c r="S10" s="22">
        <v>11300</v>
      </c>
      <c r="T10" s="22">
        <v>11300</v>
      </c>
      <c r="U10" s="51" t="s">
        <v>214</v>
      </c>
      <c r="V10" s="55"/>
      <c r="W10" s="55">
        <v>42000</v>
      </c>
      <c r="X10" s="49">
        <v>23743</v>
      </c>
    </row>
    <row r="11" spans="1:24" ht="12" customHeight="1" x14ac:dyDescent="0.2">
      <c r="A11" s="49">
        <v>23774</v>
      </c>
      <c r="B11" s="523"/>
      <c r="C11" s="523"/>
      <c r="D11" s="50"/>
      <c r="E11" s="50"/>
      <c r="F11" s="50"/>
      <c r="G11" s="50"/>
      <c r="H11" s="50"/>
      <c r="I11" s="50"/>
      <c r="J11" s="22">
        <v>12373.343338999999</v>
      </c>
      <c r="K11" s="22">
        <v>11300</v>
      </c>
      <c r="L11" s="22">
        <v>12836.82661</v>
      </c>
      <c r="M11" s="22">
        <v>12413.123019000001</v>
      </c>
      <c r="N11" s="22">
        <v>11300</v>
      </c>
      <c r="O11" s="22">
        <v>11300</v>
      </c>
      <c r="P11" s="22">
        <v>1006.174184</v>
      </c>
      <c r="Q11" s="22">
        <v>11300</v>
      </c>
      <c r="R11" s="22">
        <v>11300</v>
      </c>
      <c r="S11" s="22">
        <v>11300</v>
      </c>
      <c r="T11" s="22">
        <v>11300</v>
      </c>
      <c r="U11" s="51" t="s">
        <v>214</v>
      </c>
      <c r="V11" s="55"/>
      <c r="W11" s="55">
        <v>42000</v>
      </c>
      <c r="X11" s="49">
        <v>23774</v>
      </c>
    </row>
    <row r="12" spans="1:24" ht="12" customHeight="1" x14ac:dyDescent="0.2">
      <c r="A12" s="49">
        <v>23802</v>
      </c>
      <c r="B12" s="523"/>
      <c r="C12" s="523"/>
      <c r="D12" s="50"/>
      <c r="E12" s="50"/>
      <c r="F12" s="50"/>
      <c r="G12" s="50"/>
      <c r="H12" s="50"/>
      <c r="I12" s="50"/>
      <c r="J12" s="22">
        <v>12880.650415</v>
      </c>
      <c r="K12" s="22">
        <v>11300</v>
      </c>
      <c r="L12" s="22">
        <v>13350.299674</v>
      </c>
      <c r="M12" s="22">
        <v>12801.653769</v>
      </c>
      <c r="N12" s="22">
        <v>11300</v>
      </c>
      <c r="O12" s="22">
        <v>11300</v>
      </c>
      <c r="P12" s="22">
        <v>1006.174184</v>
      </c>
      <c r="Q12" s="22">
        <v>11300</v>
      </c>
      <c r="R12" s="22">
        <v>11300</v>
      </c>
      <c r="S12" s="22">
        <v>11300</v>
      </c>
      <c r="T12" s="22">
        <v>11300</v>
      </c>
      <c r="U12" s="51" t="s">
        <v>214</v>
      </c>
      <c r="V12" s="55"/>
      <c r="W12" s="55">
        <v>66000</v>
      </c>
      <c r="X12" s="49">
        <v>23802</v>
      </c>
    </row>
    <row r="13" spans="1:24" ht="12" customHeight="1" x14ac:dyDescent="0.2">
      <c r="A13" s="49">
        <v>23833</v>
      </c>
      <c r="B13" s="523"/>
      <c r="C13" s="523"/>
      <c r="D13" s="50"/>
      <c r="E13" s="50"/>
      <c r="F13" s="50"/>
      <c r="G13" s="50"/>
      <c r="H13" s="50"/>
      <c r="I13" s="50"/>
      <c r="J13" s="22">
        <v>13491.193244</v>
      </c>
      <c r="K13" s="22">
        <v>13400</v>
      </c>
      <c r="L13" s="22">
        <v>15072.488331</v>
      </c>
      <c r="M13" s="22">
        <v>13571.033160000001</v>
      </c>
      <c r="N13" s="22">
        <v>13400</v>
      </c>
      <c r="O13" s="22">
        <v>13400</v>
      </c>
      <c r="P13" s="22">
        <v>1193.1623070000001</v>
      </c>
      <c r="Q13" s="22">
        <v>13400</v>
      </c>
      <c r="R13" s="22">
        <v>13400</v>
      </c>
      <c r="S13" s="22">
        <v>13400</v>
      </c>
      <c r="T13" s="22">
        <v>13400</v>
      </c>
      <c r="U13" s="51" t="s">
        <v>214</v>
      </c>
      <c r="V13" s="55"/>
      <c r="W13" s="55">
        <v>66000</v>
      </c>
      <c r="X13" s="49">
        <v>23833</v>
      </c>
    </row>
    <row r="14" spans="1:24" ht="12" customHeight="1" x14ac:dyDescent="0.2">
      <c r="A14" s="49">
        <v>23863</v>
      </c>
      <c r="B14" s="523"/>
      <c r="C14" s="523"/>
      <c r="D14" s="50"/>
      <c r="E14" s="50"/>
      <c r="F14" s="50"/>
      <c r="G14" s="50"/>
      <c r="H14" s="50"/>
      <c r="I14" s="50"/>
      <c r="J14" s="22">
        <v>13875.692251</v>
      </c>
      <c r="K14" s="22">
        <v>13400</v>
      </c>
      <c r="L14" s="22">
        <v>15547.271713</v>
      </c>
      <c r="M14" s="22">
        <v>13889.952439000001</v>
      </c>
      <c r="N14" s="22">
        <v>13400</v>
      </c>
      <c r="O14" s="22">
        <v>13400</v>
      </c>
      <c r="P14" s="22">
        <v>1193.1623070000001</v>
      </c>
      <c r="Q14" s="22">
        <v>13400</v>
      </c>
      <c r="R14" s="22">
        <v>13400</v>
      </c>
      <c r="S14" s="22">
        <v>13400</v>
      </c>
      <c r="T14" s="22">
        <v>13400</v>
      </c>
      <c r="U14" s="51" t="s">
        <v>214</v>
      </c>
      <c r="V14" s="55"/>
      <c r="W14" s="55">
        <v>66000</v>
      </c>
      <c r="X14" s="49">
        <v>23863</v>
      </c>
    </row>
    <row r="15" spans="1:24" ht="12" customHeight="1" x14ac:dyDescent="0.2">
      <c r="A15" s="49">
        <v>23894</v>
      </c>
      <c r="B15" s="523"/>
      <c r="C15" s="523"/>
      <c r="D15" s="50"/>
      <c r="E15" s="50"/>
      <c r="F15" s="50"/>
      <c r="G15" s="50"/>
      <c r="H15" s="50"/>
      <c r="I15" s="50"/>
      <c r="J15" s="22">
        <v>14318.326832999999</v>
      </c>
      <c r="K15" s="22">
        <v>13400</v>
      </c>
      <c r="L15" s="22">
        <v>15729.174792</v>
      </c>
      <c r="M15" s="22">
        <v>14127.470625</v>
      </c>
      <c r="N15" s="22">
        <v>13400</v>
      </c>
      <c r="O15" s="22">
        <v>13400</v>
      </c>
      <c r="P15" s="22">
        <v>1193.1623070000001</v>
      </c>
      <c r="Q15" s="22">
        <v>13400</v>
      </c>
      <c r="R15" s="22">
        <v>13400</v>
      </c>
      <c r="S15" s="22">
        <v>13400</v>
      </c>
      <c r="T15" s="22">
        <v>13400</v>
      </c>
      <c r="U15" s="51" t="s">
        <v>214</v>
      </c>
      <c r="V15" s="55"/>
      <c r="W15" s="55">
        <v>66000</v>
      </c>
      <c r="X15" s="49">
        <v>23894</v>
      </c>
    </row>
    <row r="16" spans="1:24" ht="12" customHeight="1" x14ac:dyDescent="0.2">
      <c r="A16" s="49">
        <v>23924</v>
      </c>
      <c r="B16" s="523"/>
      <c r="C16" s="523"/>
      <c r="D16" s="50"/>
      <c r="E16" s="50"/>
      <c r="F16" s="50"/>
      <c r="G16" s="50"/>
      <c r="H16" s="50"/>
      <c r="I16" s="50"/>
      <c r="J16" s="544">
        <v>14477.260259999999</v>
      </c>
      <c r="K16" s="544">
        <v>15200</v>
      </c>
      <c r="L16" s="22">
        <v>15762.206059</v>
      </c>
      <c r="M16" s="22">
        <v>14289.936537</v>
      </c>
      <c r="N16" s="544">
        <v>15200</v>
      </c>
      <c r="O16" s="544">
        <v>15200</v>
      </c>
      <c r="P16" s="544">
        <v>1353.4378400000001</v>
      </c>
      <c r="Q16" s="544">
        <v>15200</v>
      </c>
      <c r="R16" s="544">
        <v>15200</v>
      </c>
      <c r="S16" s="544">
        <v>15200</v>
      </c>
      <c r="T16" s="544">
        <v>15200</v>
      </c>
      <c r="U16" s="51" t="s">
        <v>214</v>
      </c>
      <c r="V16" s="532"/>
      <c r="W16" s="532">
        <v>66000</v>
      </c>
      <c r="X16" s="49">
        <v>23924</v>
      </c>
    </row>
    <row r="17" spans="1:24" ht="12" customHeight="1" x14ac:dyDescent="0.2">
      <c r="A17" s="49">
        <v>23955</v>
      </c>
      <c r="B17" s="523"/>
      <c r="C17" s="523"/>
      <c r="D17" s="50"/>
      <c r="E17" s="50"/>
      <c r="F17" s="50"/>
      <c r="G17" s="50"/>
      <c r="H17" s="50"/>
      <c r="I17" s="50"/>
      <c r="J17" s="544">
        <v>14966.591656000001</v>
      </c>
      <c r="K17" s="544">
        <v>15200</v>
      </c>
      <c r="L17" s="22">
        <v>16255.563108</v>
      </c>
      <c r="M17" s="22">
        <v>14681.480798000001</v>
      </c>
      <c r="N17" s="544">
        <v>15200</v>
      </c>
      <c r="O17" s="544">
        <v>15200</v>
      </c>
      <c r="P17" s="544">
        <v>1353.4378400000001</v>
      </c>
      <c r="Q17" s="544">
        <v>15200</v>
      </c>
      <c r="R17" s="544">
        <v>15200</v>
      </c>
      <c r="S17" s="544">
        <v>15200</v>
      </c>
      <c r="T17" s="544">
        <v>15200</v>
      </c>
      <c r="U17" s="51" t="s">
        <v>214</v>
      </c>
      <c r="V17" s="532"/>
      <c r="W17" s="532">
        <v>66000</v>
      </c>
      <c r="X17" s="49">
        <v>23955</v>
      </c>
    </row>
    <row r="18" spans="1:24" ht="12" customHeight="1" x14ac:dyDescent="0.2">
      <c r="A18" s="49">
        <v>23986</v>
      </c>
      <c r="B18" s="523"/>
      <c r="C18" s="523"/>
      <c r="D18" s="50"/>
      <c r="E18" s="50"/>
      <c r="F18" s="50"/>
      <c r="G18" s="50"/>
      <c r="H18" s="50"/>
      <c r="I18" s="50"/>
      <c r="J18" s="22">
        <v>15134.217482</v>
      </c>
      <c r="K18" s="22">
        <v>15700</v>
      </c>
      <c r="L18" s="22">
        <v>16305.955352999999</v>
      </c>
      <c r="M18" s="22">
        <v>14857.658567</v>
      </c>
      <c r="N18" s="22">
        <v>15700</v>
      </c>
      <c r="O18" s="22">
        <v>15700</v>
      </c>
      <c r="P18" s="22">
        <v>1397.9588220000001</v>
      </c>
      <c r="Q18" s="22">
        <v>15700</v>
      </c>
      <c r="R18" s="22">
        <v>15700</v>
      </c>
      <c r="S18" s="22">
        <v>15700</v>
      </c>
      <c r="T18" s="22">
        <v>15700</v>
      </c>
      <c r="U18" s="51" t="s">
        <v>214</v>
      </c>
      <c r="V18" s="55"/>
      <c r="W18" s="55">
        <v>66000</v>
      </c>
      <c r="X18" s="49">
        <v>23986</v>
      </c>
    </row>
    <row r="19" spans="1:24" ht="12" customHeight="1" x14ac:dyDescent="0.2">
      <c r="A19" s="49">
        <v>24016</v>
      </c>
      <c r="B19" s="523"/>
      <c r="C19" s="523"/>
      <c r="D19" s="50"/>
      <c r="E19" s="50"/>
      <c r="F19" s="50"/>
      <c r="G19" s="50"/>
      <c r="H19" s="50"/>
      <c r="I19" s="50"/>
      <c r="J19" s="22">
        <v>15616.999019000001</v>
      </c>
      <c r="K19" s="22">
        <v>15900</v>
      </c>
      <c r="L19" s="22">
        <v>16614.137909000001</v>
      </c>
      <c r="M19" s="22">
        <v>15150.354439999999</v>
      </c>
      <c r="N19" s="22">
        <v>15900</v>
      </c>
      <c r="O19" s="22">
        <v>15900</v>
      </c>
      <c r="P19" s="22">
        <v>1415.7672150000001</v>
      </c>
      <c r="Q19" s="22">
        <v>15900</v>
      </c>
      <c r="R19" s="22">
        <v>15900</v>
      </c>
      <c r="S19" s="22">
        <v>15900</v>
      </c>
      <c r="T19" s="22">
        <v>15900</v>
      </c>
      <c r="U19" s="51" t="s">
        <v>214</v>
      </c>
      <c r="V19" s="55"/>
      <c r="W19" s="55">
        <v>66000</v>
      </c>
      <c r="X19" s="49">
        <v>24016</v>
      </c>
    </row>
    <row r="20" spans="1:24" ht="12" customHeight="1" x14ac:dyDescent="0.2">
      <c r="A20" s="49">
        <v>24047</v>
      </c>
      <c r="B20" s="523"/>
      <c r="C20" s="523"/>
      <c r="D20" s="50"/>
      <c r="E20" s="50"/>
      <c r="F20" s="50"/>
      <c r="G20" s="50"/>
      <c r="H20" s="50"/>
      <c r="I20" s="50"/>
      <c r="J20" s="22">
        <v>15854.377404000001</v>
      </c>
      <c r="K20" s="22">
        <v>16050</v>
      </c>
      <c r="L20" s="22">
        <v>16916.515218</v>
      </c>
      <c r="M20" s="22">
        <v>15456.391599</v>
      </c>
      <c r="N20" s="22">
        <v>16050</v>
      </c>
      <c r="O20" s="22">
        <v>16050</v>
      </c>
      <c r="P20" s="22">
        <v>1429.123509</v>
      </c>
      <c r="Q20" s="22">
        <v>16050</v>
      </c>
      <c r="R20" s="22">
        <v>16050</v>
      </c>
      <c r="S20" s="22">
        <v>16050</v>
      </c>
      <c r="T20" s="22">
        <v>16050</v>
      </c>
      <c r="U20" s="51" t="s">
        <v>214</v>
      </c>
      <c r="V20" s="55"/>
      <c r="W20" s="55">
        <v>66000</v>
      </c>
      <c r="X20" s="49">
        <v>24047</v>
      </c>
    </row>
    <row r="21" spans="1:24" ht="12" customHeight="1" x14ac:dyDescent="0.2">
      <c r="A21" s="49">
        <v>24077</v>
      </c>
      <c r="B21" s="523"/>
      <c r="C21" s="523"/>
      <c r="D21" s="50"/>
      <c r="E21" s="50"/>
      <c r="F21" s="50"/>
      <c r="G21" s="50"/>
      <c r="H21" s="50"/>
      <c r="I21" s="50"/>
      <c r="J21" s="22">
        <v>16098.534815999999</v>
      </c>
      <c r="K21" s="22">
        <v>16300</v>
      </c>
      <c r="L21" s="22">
        <v>17193.946067000001</v>
      </c>
      <c r="M21" s="22">
        <v>15597.044762</v>
      </c>
      <c r="N21" s="22">
        <v>16300</v>
      </c>
      <c r="O21" s="22">
        <v>16300</v>
      </c>
      <c r="P21" s="22">
        <v>1451.384</v>
      </c>
      <c r="Q21" s="22">
        <v>16300</v>
      </c>
      <c r="R21" s="22">
        <v>16300</v>
      </c>
      <c r="S21" s="22">
        <v>16300</v>
      </c>
      <c r="T21" s="22">
        <v>16300</v>
      </c>
      <c r="U21" s="51" t="s">
        <v>214</v>
      </c>
      <c r="V21" s="55"/>
      <c r="W21" s="55">
        <v>66000</v>
      </c>
      <c r="X21" s="49">
        <v>24077</v>
      </c>
    </row>
    <row r="22" spans="1:24" ht="12" customHeight="1" x14ac:dyDescent="0.2">
      <c r="A22" s="49">
        <v>24108</v>
      </c>
      <c r="B22" s="523"/>
      <c r="C22" s="523"/>
      <c r="D22" s="50"/>
      <c r="E22" s="50"/>
      <c r="F22" s="50"/>
      <c r="G22" s="50"/>
      <c r="H22" s="50"/>
      <c r="I22" s="50"/>
      <c r="J22" s="22">
        <v>16510.657307000001</v>
      </c>
      <c r="K22" s="22">
        <v>16600</v>
      </c>
      <c r="L22" s="22">
        <v>17340.094607999999</v>
      </c>
      <c r="M22" s="22">
        <v>15896.508021</v>
      </c>
      <c r="N22" s="22">
        <v>16600</v>
      </c>
      <c r="O22" s="22">
        <v>16600</v>
      </c>
      <c r="P22" s="22">
        <v>1478.096589</v>
      </c>
      <c r="Q22" s="22">
        <v>16600</v>
      </c>
      <c r="R22" s="22">
        <v>16600</v>
      </c>
      <c r="S22" s="22">
        <v>16600</v>
      </c>
      <c r="T22" s="22">
        <v>16600</v>
      </c>
      <c r="U22" s="51" t="s">
        <v>214</v>
      </c>
      <c r="V22" s="55"/>
      <c r="W22" s="55">
        <v>66000</v>
      </c>
      <c r="X22" s="49">
        <v>24108</v>
      </c>
    </row>
    <row r="23" spans="1:24" ht="12" customHeight="1" x14ac:dyDescent="0.2">
      <c r="A23" s="49">
        <v>24139</v>
      </c>
      <c r="B23" s="523"/>
      <c r="C23" s="523"/>
      <c r="D23" s="50"/>
      <c r="E23" s="50"/>
      <c r="F23" s="50"/>
      <c r="G23" s="50"/>
      <c r="H23" s="50"/>
      <c r="I23" s="50"/>
      <c r="J23" s="22">
        <v>18009.824990000001</v>
      </c>
      <c r="K23" s="22">
        <v>17050</v>
      </c>
      <c r="L23" s="22">
        <v>18231.375469999999</v>
      </c>
      <c r="M23" s="22">
        <v>17115.770186000002</v>
      </c>
      <c r="N23" s="22">
        <v>17050</v>
      </c>
      <c r="O23" s="22">
        <v>17050</v>
      </c>
      <c r="P23" s="22">
        <v>1518.1654719999999</v>
      </c>
      <c r="Q23" s="22">
        <v>17050</v>
      </c>
      <c r="R23" s="22">
        <v>17050</v>
      </c>
      <c r="S23" s="22">
        <v>17050</v>
      </c>
      <c r="T23" s="22">
        <v>17050</v>
      </c>
      <c r="U23" s="51" t="s">
        <v>214</v>
      </c>
      <c r="V23" s="55"/>
      <c r="W23" s="55">
        <v>66000</v>
      </c>
      <c r="X23" s="49">
        <v>24139</v>
      </c>
    </row>
    <row r="24" spans="1:24" ht="12" customHeight="1" x14ac:dyDescent="0.2">
      <c r="A24" s="49">
        <v>24167</v>
      </c>
      <c r="B24" s="523"/>
      <c r="C24" s="523"/>
      <c r="D24" s="50"/>
      <c r="E24" s="50"/>
      <c r="F24" s="50"/>
      <c r="G24" s="50"/>
      <c r="H24" s="50"/>
      <c r="I24" s="50"/>
      <c r="J24" s="22">
        <v>18757.232726999999</v>
      </c>
      <c r="K24" s="22">
        <v>17300</v>
      </c>
      <c r="L24" s="22">
        <v>19033.555990000001</v>
      </c>
      <c r="M24" s="22">
        <v>17610.415944</v>
      </c>
      <c r="N24" s="22">
        <v>17300</v>
      </c>
      <c r="O24" s="22">
        <v>17300</v>
      </c>
      <c r="P24" s="22">
        <v>1540.4259629999999</v>
      </c>
      <c r="Q24" s="22">
        <v>17300</v>
      </c>
      <c r="R24" s="22">
        <v>17300</v>
      </c>
      <c r="S24" s="22">
        <v>17300</v>
      </c>
      <c r="T24" s="22">
        <v>17300</v>
      </c>
      <c r="U24" s="51" t="s">
        <v>214</v>
      </c>
      <c r="V24" s="55"/>
      <c r="W24" s="55">
        <v>84000</v>
      </c>
      <c r="X24" s="49">
        <v>24167</v>
      </c>
    </row>
    <row r="25" spans="1:24" ht="12" customHeight="1" x14ac:dyDescent="0.2">
      <c r="A25" s="49">
        <v>24198</v>
      </c>
      <c r="B25" s="523"/>
      <c r="C25" s="523"/>
      <c r="D25" s="50"/>
      <c r="E25" s="50"/>
      <c r="F25" s="50"/>
      <c r="G25" s="50"/>
      <c r="H25" s="50"/>
      <c r="I25" s="50"/>
      <c r="J25" s="22">
        <v>19426.865935000002</v>
      </c>
      <c r="K25" s="22">
        <v>17600</v>
      </c>
      <c r="L25" s="22">
        <v>20029.010967999999</v>
      </c>
      <c r="M25" s="22">
        <v>18070.0478</v>
      </c>
      <c r="N25" s="22">
        <v>17600</v>
      </c>
      <c r="O25" s="22">
        <v>17600</v>
      </c>
      <c r="P25" s="22">
        <v>1567.1385519999999</v>
      </c>
      <c r="Q25" s="22">
        <v>17600</v>
      </c>
      <c r="R25" s="22">
        <v>17600</v>
      </c>
      <c r="S25" s="22">
        <v>17600</v>
      </c>
      <c r="T25" s="22">
        <v>17600</v>
      </c>
      <c r="U25" s="51" t="s">
        <v>214</v>
      </c>
      <c r="V25" s="55"/>
      <c r="W25" s="55">
        <v>84000</v>
      </c>
      <c r="X25" s="49">
        <v>24198</v>
      </c>
    </row>
    <row r="26" spans="1:24" ht="12" customHeight="1" x14ac:dyDescent="0.2">
      <c r="A26" s="49">
        <v>24228</v>
      </c>
      <c r="B26" s="523"/>
      <c r="C26" s="523"/>
      <c r="D26" s="50"/>
      <c r="E26" s="50"/>
      <c r="F26" s="50"/>
      <c r="G26" s="50"/>
      <c r="H26" s="50"/>
      <c r="I26" s="50"/>
      <c r="J26" s="22">
        <v>20339.928633</v>
      </c>
      <c r="K26" s="22">
        <v>18280</v>
      </c>
      <c r="L26" s="22">
        <v>20864.220724999999</v>
      </c>
      <c r="M26" s="22">
        <v>18921.147051</v>
      </c>
      <c r="N26" s="22">
        <v>18280</v>
      </c>
      <c r="O26" s="22">
        <v>18280</v>
      </c>
      <c r="P26" s="22">
        <v>1627.687087</v>
      </c>
      <c r="Q26" s="22">
        <v>18280</v>
      </c>
      <c r="R26" s="22">
        <v>18280</v>
      </c>
      <c r="S26" s="22">
        <v>18280</v>
      </c>
      <c r="T26" s="22">
        <v>18280</v>
      </c>
      <c r="U26" s="51" t="s">
        <v>214</v>
      </c>
      <c r="V26" s="55"/>
      <c r="W26" s="55">
        <v>84000</v>
      </c>
      <c r="X26" s="49">
        <v>24228</v>
      </c>
    </row>
    <row r="27" spans="1:24" ht="12" customHeight="1" x14ac:dyDescent="0.2">
      <c r="A27" s="49">
        <v>24259</v>
      </c>
      <c r="B27" s="523"/>
      <c r="C27" s="523"/>
      <c r="D27" s="50"/>
      <c r="E27" s="50"/>
      <c r="F27" s="50"/>
      <c r="G27" s="50"/>
      <c r="H27" s="50"/>
      <c r="I27" s="50"/>
      <c r="J27" s="22">
        <v>20913.514620000002</v>
      </c>
      <c r="K27" s="22">
        <v>19090</v>
      </c>
      <c r="L27" s="22">
        <v>21133.369171999999</v>
      </c>
      <c r="M27" s="22">
        <v>19362.009776999999</v>
      </c>
      <c r="N27" s="22">
        <v>19090</v>
      </c>
      <c r="O27" s="22">
        <v>19090</v>
      </c>
      <c r="P27" s="22">
        <v>1699.8110770000001</v>
      </c>
      <c r="Q27" s="22">
        <v>19090</v>
      </c>
      <c r="R27" s="22">
        <v>19090</v>
      </c>
      <c r="S27" s="22">
        <v>19090</v>
      </c>
      <c r="T27" s="22">
        <v>19090</v>
      </c>
      <c r="U27" s="51" t="s">
        <v>214</v>
      </c>
      <c r="V27" s="55"/>
      <c r="W27" s="55">
        <v>84000</v>
      </c>
      <c r="X27" s="49">
        <v>24259</v>
      </c>
    </row>
    <row r="28" spans="1:24" ht="12" customHeight="1" x14ac:dyDescent="0.2">
      <c r="A28" s="49">
        <v>24289</v>
      </c>
      <c r="B28" s="523"/>
      <c r="C28" s="523"/>
      <c r="D28" s="50"/>
      <c r="E28" s="50"/>
      <c r="F28" s="50"/>
      <c r="G28" s="50"/>
      <c r="H28" s="50"/>
      <c r="I28" s="50"/>
      <c r="J28" s="22">
        <v>21618.300061999998</v>
      </c>
      <c r="K28" s="22">
        <v>19870</v>
      </c>
      <c r="L28" s="22">
        <v>21277.076082</v>
      </c>
      <c r="M28" s="22">
        <v>19720.206956999999</v>
      </c>
      <c r="N28" s="22">
        <v>19870</v>
      </c>
      <c r="O28" s="22">
        <v>19870</v>
      </c>
      <c r="P28" s="22">
        <v>1769.2638079999999</v>
      </c>
      <c r="Q28" s="22">
        <v>19870</v>
      </c>
      <c r="R28" s="22">
        <v>19870</v>
      </c>
      <c r="S28" s="22">
        <v>19870</v>
      </c>
      <c r="T28" s="22">
        <v>19870</v>
      </c>
      <c r="U28" s="51" t="s">
        <v>214</v>
      </c>
      <c r="V28" s="55"/>
      <c r="W28" s="55">
        <v>84000</v>
      </c>
      <c r="X28" s="49">
        <v>24289</v>
      </c>
    </row>
    <row r="29" spans="1:24" ht="12" customHeight="1" x14ac:dyDescent="0.2">
      <c r="A29" s="49">
        <v>24320</v>
      </c>
      <c r="B29" s="523"/>
      <c r="C29" s="523"/>
      <c r="D29" s="50"/>
      <c r="E29" s="50"/>
      <c r="F29" s="50"/>
      <c r="G29" s="50"/>
      <c r="H29" s="50"/>
      <c r="I29" s="50"/>
      <c r="J29" s="22">
        <v>22011.753122999999</v>
      </c>
      <c r="K29" s="22">
        <v>20430</v>
      </c>
      <c r="L29" s="22">
        <v>21972.836469000002</v>
      </c>
      <c r="M29" s="22">
        <v>20374.917827000001</v>
      </c>
      <c r="N29" s="22">
        <v>20430</v>
      </c>
      <c r="O29" s="22">
        <v>20430</v>
      </c>
      <c r="P29" s="22">
        <v>1819.1273080000001</v>
      </c>
      <c r="Q29" s="22">
        <v>20430</v>
      </c>
      <c r="R29" s="22">
        <v>20430</v>
      </c>
      <c r="S29" s="22">
        <v>20430</v>
      </c>
      <c r="T29" s="22">
        <v>20430</v>
      </c>
      <c r="U29" s="51" t="s">
        <v>214</v>
      </c>
      <c r="V29" s="55"/>
      <c r="W29" s="55">
        <v>84000</v>
      </c>
      <c r="X29" s="49">
        <v>24320</v>
      </c>
    </row>
    <row r="30" spans="1:24" ht="12" customHeight="1" x14ac:dyDescent="0.2">
      <c r="A30" s="49">
        <v>24351</v>
      </c>
      <c r="B30" s="523"/>
      <c r="C30" s="523"/>
      <c r="D30" s="50"/>
      <c r="E30" s="50"/>
      <c r="F30" s="50"/>
      <c r="G30" s="50"/>
      <c r="H30" s="50"/>
      <c r="I30" s="50"/>
      <c r="J30" s="22">
        <v>22359.538821999999</v>
      </c>
      <c r="K30" s="22">
        <v>21010</v>
      </c>
      <c r="L30" s="22">
        <v>22537.538366000001</v>
      </c>
      <c r="M30" s="22">
        <v>20821.128527000001</v>
      </c>
      <c r="N30" s="22">
        <v>21010</v>
      </c>
      <c r="O30" s="22">
        <v>21010</v>
      </c>
      <c r="P30" s="22">
        <v>1870.7716459999999</v>
      </c>
      <c r="Q30" s="22">
        <v>21010</v>
      </c>
      <c r="R30" s="22">
        <v>21010</v>
      </c>
      <c r="S30" s="22">
        <v>21010</v>
      </c>
      <c r="T30" s="22">
        <v>21010</v>
      </c>
      <c r="U30" s="51" t="s">
        <v>214</v>
      </c>
      <c r="V30" s="55"/>
      <c r="W30" s="55">
        <v>84000</v>
      </c>
      <c r="X30" s="49">
        <v>24351</v>
      </c>
    </row>
    <row r="31" spans="1:24" ht="12" customHeight="1" x14ac:dyDescent="0.2">
      <c r="A31" s="49">
        <v>24381</v>
      </c>
      <c r="B31" s="523"/>
      <c r="C31" s="523"/>
      <c r="D31" s="50"/>
      <c r="E31" s="50"/>
      <c r="F31" s="50"/>
      <c r="G31" s="50"/>
      <c r="H31" s="50"/>
      <c r="I31" s="50"/>
      <c r="J31" s="22">
        <v>22873.808214000001</v>
      </c>
      <c r="K31" s="22">
        <v>21610</v>
      </c>
      <c r="L31" s="22">
        <v>22949.975318000001</v>
      </c>
      <c r="M31" s="22">
        <v>21316.671385000001</v>
      </c>
      <c r="N31" s="22">
        <v>21610</v>
      </c>
      <c r="O31" s="22">
        <v>21610</v>
      </c>
      <c r="P31" s="22">
        <v>1924.1968240000001</v>
      </c>
      <c r="Q31" s="22">
        <v>21610</v>
      </c>
      <c r="R31" s="22">
        <v>21610</v>
      </c>
      <c r="S31" s="22">
        <v>21610</v>
      </c>
      <c r="T31" s="22">
        <v>21610</v>
      </c>
      <c r="U31" s="51" t="s">
        <v>214</v>
      </c>
      <c r="V31" s="55"/>
      <c r="W31" s="55">
        <v>84000</v>
      </c>
      <c r="X31" s="49">
        <v>24381</v>
      </c>
    </row>
    <row r="32" spans="1:24" ht="12" customHeight="1" x14ac:dyDescent="0.2">
      <c r="A32" s="49">
        <v>24412</v>
      </c>
      <c r="B32" s="523"/>
      <c r="C32" s="523"/>
      <c r="D32" s="50"/>
      <c r="E32" s="50"/>
      <c r="F32" s="50"/>
      <c r="G32" s="50"/>
      <c r="H32" s="50"/>
      <c r="I32" s="50"/>
      <c r="J32" s="22">
        <v>23287.824142000001</v>
      </c>
      <c r="K32" s="22">
        <v>22180</v>
      </c>
      <c r="L32" s="22">
        <v>23124.395130000001</v>
      </c>
      <c r="M32" s="22">
        <v>21753.663148</v>
      </c>
      <c r="N32" s="22">
        <v>22180</v>
      </c>
      <c r="O32" s="22">
        <v>22180</v>
      </c>
      <c r="P32" s="22">
        <v>1974.9507430000001</v>
      </c>
      <c r="Q32" s="22">
        <v>22180</v>
      </c>
      <c r="R32" s="22">
        <v>22180</v>
      </c>
      <c r="S32" s="22">
        <v>22180</v>
      </c>
      <c r="T32" s="22">
        <v>22180</v>
      </c>
      <c r="U32" s="51" t="s">
        <v>214</v>
      </c>
      <c r="V32" s="55"/>
      <c r="W32" s="55">
        <v>84000</v>
      </c>
      <c r="X32" s="49">
        <v>24412</v>
      </c>
    </row>
    <row r="33" spans="1:24" ht="12" customHeight="1" x14ac:dyDescent="0.2">
      <c r="A33" s="49">
        <v>24442</v>
      </c>
      <c r="B33" s="523"/>
      <c r="C33" s="523"/>
      <c r="D33" s="50"/>
      <c r="E33" s="50"/>
      <c r="F33" s="50"/>
      <c r="G33" s="50"/>
      <c r="H33" s="50"/>
      <c r="I33" s="50"/>
      <c r="J33" s="22">
        <v>23725.635235000002</v>
      </c>
      <c r="K33" s="22">
        <v>22690</v>
      </c>
      <c r="L33" s="22">
        <v>23311.702730000001</v>
      </c>
      <c r="M33" s="22">
        <v>21964.67368</v>
      </c>
      <c r="N33" s="22">
        <v>22690</v>
      </c>
      <c r="O33" s="22">
        <v>22690</v>
      </c>
      <c r="P33" s="22">
        <v>2020.3621450000001</v>
      </c>
      <c r="Q33" s="22">
        <v>22690</v>
      </c>
      <c r="R33" s="22">
        <v>22690</v>
      </c>
      <c r="S33" s="22">
        <v>22690</v>
      </c>
      <c r="T33" s="22">
        <v>22690</v>
      </c>
      <c r="U33" s="51" t="s">
        <v>214</v>
      </c>
      <c r="V33" s="55"/>
      <c r="W33" s="55">
        <v>84000</v>
      </c>
      <c r="X33" s="49">
        <v>24442</v>
      </c>
    </row>
    <row r="34" spans="1:24" ht="12" customHeight="1" x14ac:dyDescent="0.2">
      <c r="A34" s="49">
        <v>24473</v>
      </c>
      <c r="B34" s="523"/>
      <c r="C34" s="523"/>
      <c r="D34" s="50"/>
      <c r="E34" s="50"/>
      <c r="F34" s="50"/>
      <c r="G34" s="50"/>
      <c r="H34" s="50"/>
      <c r="I34" s="50"/>
      <c r="J34" s="22">
        <v>24152.696669000001</v>
      </c>
      <c r="K34" s="22">
        <v>23230</v>
      </c>
      <c r="L34" s="22">
        <v>23507.521032000001</v>
      </c>
      <c r="M34" s="22">
        <v>22114.033460999999</v>
      </c>
      <c r="N34" s="22">
        <v>23230</v>
      </c>
      <c r="O34" s="22">
        <v>23230</v>
      </c>
      <c r="P34" s="22">
        <v>2068.4448050000001</v>
      </c>
      <c r="Q34" s="22">
        <v>23230</v>
      </c>
      <c r="R34" s="22">
        <v>23230</v>
      </c>
      <c r="S34" s="22">
        <v>23230</v>
      </c>
      <c r="T34" s="22">
        <v>23230</v>
      </c>
      <c r="U34" s="51" t="s">
        <v>214</v>
      </c>
      <c r="V34" s="55"/>
      <c r="W34" s="55">
        <v>84000</v>
      </c>
      <c r="X34" s="49">
        <v>24473</v>
      </c>
    </row>
    <row r="35" spans="1:24" ht="12" customHeight="1" x14ac:dyDescent="0.2">
      <c r="A35" s="49">
        <v>24504</v>
      </c>
      <c r="B35" s="523"/>
      <c r="C35" s="523"/>
      <c r="D35" s="50"/>
      <c r="E35" s="50"/>
      <c r="F35" s="50"/>
      <c r="G35" s="50"/>
      <c r="H35" s="50"/>
      <c r="I35" s="50"/>
      <c r="J35" s="22">
        <v>24.872447029</v>
      </c>
      <c r="K35" s="22">
        <v>23.78</v>
      </c>
      <c r="L35" s="22">
        <v>25.188308785</v>
      </c>
      <c r="M35" s="22">
        <v>23.098107950000003</v>
      </c>
      <c r="N35" s="22">
        <v>23.78</v>
      </c>
      <c r="O35" s="22">
        <v>23.78</v>
      </c>
      <c r="P35" s="22">
        <v>2.1174179999999998</v>
      </c>
      <c r="Q35" s="22">
        <v>23.78</v>
      </c>
      <c r="R35" s="22">
        <v>23.78</v>
      </c>
      <c r="S35" s="22">
        <v>23.78</v>
      </c>
      <c r="T35" s="22">
        <v>23.78</v>
      </c>
      <c r="U35" s="51" t="s">
        <v>215</v>
      </c>
      <c r="V35" s="55"/>
      <c r="W35" s="55">
        <v>84000</v>
      </c>
      <c r="X35" s="49">
        <v>24504</v>
      </c>
    </row>
    <row r="36" spans="1:24" ht="12" customHeight="1" x14ac:dyDescent="0.2">
      <c r="A36" s="49">
        <v>24532</v>
      </c>
      <c r="B36" s="523"/>
      <c r="C36" s="523"/>
      <c r="D36" s="50"/>
      <c r="E36" s="50"/>
      <c r="F36" s="50"/>
      <c r="G36" s="50"/>
      <c r="H36" s="50"/>
      <c r="I36" s="50"/>
      <c r="J36" s="22">
        <v>25.250508</v>
      </c>
      <c r="K36" s="22">
        <v>24.28</v>
      </c>
      <c r="L36" s="22">
        <v>26.447724000000001</v>
      </c>
      <c r="M36" s="22">
        <v>23.659390999999999</v>
      </c>
      <c r="N36" s="22">
        <v>24.28</v>
      </c>
      <c r="O36" s="22">
        <v>24.28</v>
      </c>
      <c r="P36" s="22">
        <v>2.1619389999999998</v>
      </c>
      <c r="Q36" s="22">
        <v>24.28</v>
      </c>
      <c r="R36" s="22">
        <v>24.28</v>
      </c>
      <c r="S36" s="22">
        <v>24.28</v>
      </c>
      <c r="T36" s="22">
        <v>24.28</v>
      </c>
      <c r="U36" s="51" t="s">
        <v>215</v>
      </c>
      <c r="V36" s="55"/>
      <c r="W36" s="55">
        <v>105</v>
      </c>
      <c r="X36" s="49">
        <v>24532</v>
      </c>
    </row>
    <row r="37" spans="1:24" ht="12" customHeight="1" x14ac:dyDescent="0.2">
      <c r="A37" s="49">
        <v>24563</v>
      </c>
      <c r="B37" s="523"/>
      <c r="C37" s="523"/>
      <c r="D37" s="50"/>
      <c r="E37" s="50"/>
      <c r="F37" s="50"/>
      <c r="G37" s="50"/>
      <c r="H37" s="50"/>
      <c r="I37" s="50"/>
      <c r="J37" s="22">
        <v>26.040848</v>
      </c>
      <c r="K37" s="22">
        <v>24.64</v>
      </c>
      <c r="L37" s="22">
        <v>28.304354</v>
      </c>
      <c r="M37" s="22">
        <v>24.203555999999999</v>
      </c>
      <c r="N37" s="22">
        <v>24.64</v>
      </c>
      <c r="O37" s="22">
        <v>24.64</v>
      </c>
      <c r="P37" s="22">
        <v>2.193994</v>
      </c>
      <c r="Q37" s="22">
        <v>24.64</v>
      </c>
      <c r="R37" s="22">
        <v>24.64</v>
      </c>
      <c r="S37" s="22">
        <v>24.64</v>
      </c>
      <c r="T37" s="22">
        <v>24.64</v>
      </c>
      <c r="U37" s="51" t="s">
        <v>215</v>
      </c>
      <c r="V37" s="55"/>
      <c r="W37" s="55">
        <v>105</v>
      </c>
      <c r="X37" s="49">
        <v>24563</v>
      </c>
    </row>
    <row r="38" spans="1:24" ht="12" customHeight="1" x14ac:dyDescent="0.2">
      <c r="A38" s="49">
        <v>24593</v>
      </c>
      <c r="B38" s="523"/>
      <c r="C38" s="523"/>
      <c r="D38" s="50"/>
      <c r="E38" s="50"/>
      <c r="F38" s="50"/>
      <c r="G38" s="50"/>
      <c r="H38" s="50"/>
      <c r="I38" s="50"/>
      <c r="J38" s="22">
        <v>27.025192000000001</v>
      </c>
      <c r="K38" s="22">
        <v>25.01</v>
      </c>
      <c r="L38" s="22">
        <v>29.733723000000001</v>
      </c>
      <c r="M38" s="22">
        <v>24.813485</v>
      </c>
      <c r="N38" s="22">
        <v>25.01</v>
      </c>
      <c r="O38" s="22">
        <v>25.01</v>
      </c>
      <c r="P38" s="22">
        <v>2.2269389999999998</v>
      </c>
      <c r="Q38" s="22">
        <v>25.01</v>
      </c>
      <c r="R38" s="22">
        <v>25.01</v>
      </c>
      <c r="S38" s="22">
        <v>25.01</v>
      </c>
      <c r="T38" s="22">
        <v>25.01</v>
      </c>
      <c r="U38" s="51" t="s">
        <v>215</v>
      </c>
      <c r="V38" s="55"/>
      <c r="W38" s="55">
        <v>105</v>
      </c>
      <c r="X38" s="49">
        <v>24593</v>
      </c>
    </row>
    <row r="39" spans="1:24" ht="12" customHeight="1" x14ac:dyDescent="0.2">
      <c r="A39" s="49">
        <v>24624</v>
      </c>
      <c r="B39" s="523"/>
      <c r="C39" s="523"/>
      <c r="D39" s="50"/>
      <c r="E39" s="50"/>
      <c r="F39" s="50"/>
      <c r="G39" s="50"/>
      <c r="H39" s="50"/>
      <c r="I39" s="50"/>
      <c r="J39" s="22">
        <v>27.306253000000002</v>
      </c>
      <c r="K39" s="22">
        <v>25.46</v>
      </c>
      <c r="L39" s="22">
        <v>30.126207999999998</v>
      </c>
      <c r="M39" s="22">
        <v>25.143504</v>
      </c>
      <c r="N39" s="22">
        <v>25.46</v>
      </c>
      <c r="O39" s="22">
        <v>25.46</v>
      </c>
      <c r="P39" s="22">
        <v>2.2670080000000001</v>
      </c>
      <c r="Q39" s="22">
        <v>25.46</v>
      </c>
      <c r="R39" s="22">
        <v>25.46</v>
      </c>
      <c r="S39" s="22">
        <v>25.46</v>
      </c>
      <c r="T39" s="22">
        <v>25.46</v>
      </c>
      <c r="U39" s="51" t="s">
        <v>215</v>
      </c>
      <c r="V39" s="55"/>
      <c r="W39" s="55">
        <v>105</v>
      </c>
      <c r="X39" s="49">
        <v>24624</v>
      </c>
    </row>
    <row r="40" spans="1:24" ht="12" customHeight="1" x14ac:dyDescent="0.2">
      <c r="A40" s="49">
        <v>24654</v>
      </c>
      <c r="B40" s="523"/>
      <c r="C40" s="523"/>
      <c r="D40" s="50"/>
      <c r="E40" s="50"/>
      <c r="F40" s="50"/>
      <c r="G40" s="50"/>
      <c r="H40" s="50"/>
      <c r="I40" s="50"/>
      <c r="J40" s="22">
        <v>27.582045999999998</v>
      </c>
      <c r="K40" s="22">
        <v>26.18</v>
      </c>
      <c r="L40" s="22">
        <v>30.632328000000001</v>
      </c>
      <c r="M40" s="22">
        <v>25.344652</v>
      </c>
      <c r="N40" s="22">
        <v>26.18</v>
      </c>
      <c r="O40" s="22">
        <v>26.18</v>
      </c>
      <c r="P40" s="22">
        <v>2.3311190000000002</v>
      </c>
      <c r="Q40" s="22">
        <v>26.18</v>
      </c>
      <c r="R40" s="22">
        <v>26.18</v>
      </c>
      <c r="S40" s="22">
        <v>26.18</v>
      </c>
      <c r="T40" s="22">
        <v>26.18</v>
      </c>
      <c r="U40" s="51" t="s">
        <v>215</v>
      </c>
      <c r="V40" s="55"/>
      <c r="W40" s="55">
        <v>105</v>
      </c>
      <c r="X40" s="49">
        <v>24654</v>
      </c>
    </row>
    <row r="41" spans="1:24" ht="12" customHeight="1" x14ac:dyDescent="0.2">
      <c r="A41" s="49">
        <v>24685</v>
      </c>
      <c r="B41" s="523"/>
      <c r="C41" s="523"/>
      <c r="D41" s="50"/>
      <c r="E41" s="50"/>
      <c r="F41" s="50"/>
      <c r="G41" s="50"/>
      <c r="H41" s="50"/>
      <c r="I41" s="50"/>
      <c r="J41" s="22">
        <v>28.219190999999999</v>
      </c>
      <c r="K41" s="22">
        <v>26.84</v>
      </c>
      <c r="L41" s="22">
        <v>30.914145000000001</v>
      </c>
      <c r="M41" s="22">
        <v>26.059370999999999</v>
      </c>
      <c r="N41" s="22">
        <v>26.84</v>
      </c>
      <c r="O41" s="22">
        <v>26.84</v>
      </c>
      <c r="P41" s="22">
        <v>2.3898860000000002</v>
      </c>
      <c r="Q41" s="22">
        <v>26.84</v>
      </c>
      <c r="R41" s="22">
        <v>26.84</v>
      </c>
      <c r="S41" s="22">
        <v>26.84</v>
      </c>
      <c r="T41" s="22">
        <v>26.84</v>
      </c>
      <c r="U41" s="51" t="s">
        <v>215</v>
      </c>
      <c r="V41" s="55"/>
      <c r="W41" s="55">
        <v>105</v>
      </c>
      <c r="X41" s="49">
        <v>24685</v>
      </c>
    </row>
    <row r="42" spans="1:24" ht="12" customHeight="1" x14ac:dyDescent="0.2">
      <c r="A42" s="49">
        <v>24716</v>
      </c>
      <c r="B42" s="523"/>
      <c r="C42" s="523"/>
      <c r="D42" s="50"/>
      <c r="E42" s="50"/>
      <c r="F42" s="50"/>
      <c r="G42" s="50"/>
      <c r="H42" s="50"/>
      <c r="I42" s="50"/>
      <c r="J42" s="22">
        <v>28.504204000000001</v>
      </c>
      <c r="K42" s="22">
        <v>27.25</v>
      </c>
      <c r="L42" s="22">
        <v>31.532426999999998</v>
      </c>
      <c r="M42" s="22">
        <v>26.278269000000002</v>
      </c>
      <c r="N42" s="22">
        <v>27.25</v>
      </c>
      <c r="O42" s="22">
        <v>27.25</v>
      </c>
      <c r="P42" s="22">
        <v>2.426393</v>
      </c>
      <c r="Q42" s="22">
        <v>27.25</v>
      </c>
      <c r="R42" s="22">
        <v>27.25</v>
      </c>
      <c r="S42" s="22">
        <v>27.25</v>
      </c>
      <c r="T42" s="22">
        <v>27.25</v>
      </c>
      <c r="U42" s="51" t="s">
        <v>215</v>
      </c>
      <c r="V42" s="55"/>
      <c r="W42" s="55">
        <v>105</v>
      </c>
      <c r="X42" s="49">
        <v>24716</v>
      </c>
    </row>
    <row r="43" spans="1:24" ht="12" customHeight="1" x14ac:dyDescent="0.2">
      <c r="A43" s="49">
        <v>24746</v>
      </c>
      <c r="B43" s="523"/>
      <c r="C43" s="523"/>
      <c r="D43" s="50"/>
      <c r="E43" s="50"/>
      <c r="F43" s="50"/>
      <c r="G43" s="50"/>
      <c r="H43" s="50"/>
      <c r="I43" s="50"/>
      <c r="J43" s="22">
        <v>28.974523000000001</v>
      </c>
      <c r="K43" s="22">
        <v>27.38</v>
      </c>
      <c r="L43" s="22">
        <v>32.150461999999997</v>
      </c>
      <c r="M43" s="22">
        <v>26.675070000000002</v>
      </c>
      <c r="N43" s="22">
        <v>27.38</v>
      </c>
      <c r="O43" s="22">
        <v>27.38</v>
      </c>
      <c r="P43" s="22">
        <v>2.4379689999999998</v>
      </c>
      <c r="Q43" s="22">
        <v>27.38</v>
      </c>
      <c r="R43" s="22">
        <v>27.38</v>
      </c>
      <c r="S43" s="22">
        <v>27.38</v>
      </c>
      <c r="T43" s="22">
        <v>27.38</v>
      </c>
      <c r="U43" s="51" t="s">
        <v>215</v>
      </c>
      <c r="V43" s="55"/>
      <c r="W43" s="55">
        <v>105</v>
      </c>
      <c r="X43" s="49">
        <v>24746</v>
      </c>
    </row>
    <row r="44" spans="1:24" ht="12" customHeight="1" x14ac:dyDescent="0.2">
      <c r="A44" s="49">
        <v>24777</v>
      </c>
      <c r="B44" s="523"/>
      <c r="C44" s="523"/>
      <c r="D44" s="50"/>
      <c r="E44" s="50"/>
      <c r="F44" s="50"/>
      <c r="G44" s="50"/>
      <c r="H44" s="50"/>
      <c r="I44" s="50"/>
      <c r="J44" s="22">
        <v>29.504756</v>
      </c>
      <c r="K44" s="22">
        <v>27.57</v>
      </c>
      <c r="L44" s="22">
        <v>32.513762</v>
      </c>
      <c r="M44" s="22">
        <v>27.075195999999998</v>
      </c>
      <c r="N44" s="22">
        <v>27.57</v>
      </c>
      <c r="O44" s="22">
        <v>27.57</v>
      </c>
      <c r="P44" s="22">
        <v>2.4548869999999998</v>
      </c>
      <c r="Q44" s="22">
        <v>27.57</v>
      </c>
      <c r="R44" s="22">
        <v>27.57</v>
      </c>
      <c r="S44" s="22">
        <v>27.57</v>
      </c>
      <c r="T44" s="22">
        <v>27.57</v>
      </c>
      <c r="U44" s="51" t="s">
        <v>215</v>
      </c>
      <c r="V44" s="55"/>
      <c r="W44" s="55">
        <v>105</v>
      </c>
      <c r="X44" s="49">
        <v>24777</v>
      </c>
    </row>
    <row r="45" spans="1:24" ht="12" customHeight="1" x14ac:dyDescent="0.2">
      <c r="A45" s="49">
        <v>24807</v>
      </c>
      <c r="B45" s="523"/>
      <c r="C45" s="523"/>
      <c r="D45" s="50"/>
      <c r="E45" s="50"/>
      <c r="F45" s="50"/>
      <c r="G45" s="50"/>
      <c r="H45" s="50"/>
      <c r="I45" s="50"/>
      <c r="J45" s="22">
        <v>30.032890999999999</v>
      </c>
      <c r="K45" s="22">
        <v>27.96</v>
      </c>
      <c r="L45" s="22">
        <v>32.991714000000002</v>
      </c>
      <c r="M45" s="22">
        <v>27.494861</v>
      </c>
      <c r="N45" s="22">
        <v>27.96</v>
      </c>
      <c r="O45" s="22">
        <v>27.96</v>
      </c>
      <c r="P45" s="22">
        <v>2.4896129999999999</v>
      </c>
      <c r="Q45" s="22">
        <v>27.96</v>
      </c>
      <c r="R45" s="22">
        <v>27.96</v>
      </c>
      <c r="S45" s="22">
        <v>27.96</v>
      </c>
      <c r="T45" s="22">
        <v>27.96</v>
      </c>
      <c r="U45" s="51" t="s">
        <v>215</v>
      </c>
      <c r="V45" s="55"/>
      <c r="W45" s="55">
        <v>105</v>
      </c>
      <c r="X45" s="49">
        <v>24807</v>
      </c>
    </row>
    <row r="46" spans="1:24" ht="12" customHeight="1" x14ac:dyDescent="0.2">
      <c r="A46" s="49">
        <v>24838</v>
      </c>
      <c r="B46" s="523"/>
      <c r="C46" s="523"/>
      <c r="D46" s="50"/>
      <c r="E46" s="50"/>
      <c r="F46" s="50"/>
      <c r="G46" s="50"/>
      <c r="H46" s="50"/>
      <c r="I46" s="50"/>
      <c r="J46" s="22">
        <v>30.270150000000001</v>
      </c>
      <c r="K46" s="22">
        <v>28.48</v>
      </c>
      <c r="L46" s="22">
        <v>33.103884999999998</v>
      </c>
      <c r="M46" s="22">
        <v>27.646082</v>
      </c>
      <c r="N46" s="22">
        <v>28.48</v>
      </c>
      <c r="O46" s="22">
        <v>28.48</v>
      </c>
      <c r="P46" s="22">
        <v>2.5359150000000001</v>
      </c>
      <c r="Q46" s="22">
        <v>28.48</v>
      </c>
      <c r="R46" s="22">
        <v>28.48</v>
      </c>
      <c r="S46" s="22">
        <v>28.48</v>
      </c>
      <c r="T46" s="22">
        <v>28.48</v>
      </c>
      <c r="U46" s="51" t="s">
        <v>215</v>
      </c>
      <c r="V46" s="55"/>
      <c r="W46" s="55">
        <v>105</v>
      </c>
      <c r="X46" s="49">
        <v>24838</v>
      </c>
    </row>
    <row r="47" spans="1:24" ht="12" customHeight="1" x14ac:dyDescent="0.2">
      <c r="A47" s="49">
        <v>24869</v>
      </c>
      <c r="B47" s="523"/>
      <c r="C47" s="523"/>
      <c r="D47" s="50"/>
      <c r="E47" s="50"/>
      <c r="F47" s="50"/>
      <c r="G47" s="50"/>
      <c r="H47" s="50"/>
      <c r="I47" s="50"/>
      <c r="J47" s="22">
        <v>30.942146999999999</v>
      </c>
      <c r="K47" s="22">
        <v>28.98</v>
      </c>
      <c r="L47" s="22">
        <v>34.226106000000001</v>
      </c>
      <c r="M47" s="22">
        <v>28.555637999999998</v>
      </c>
      <c r="N47" s="22">
        <v>28.98</v>
      </c>
      <c r="O47" s="22">
        <v>28.98</v>
      </c>
      <c r="P47" s="22">
        <v>2.5804360000000002</v>
      </c>
      <c r="Q47" s="22">
        <v>28.98</v>
      </c>
      <c r="R47" s="22">
        <v>28.98</v>
      </c>
      <c r="S47" s="22">
        <v>28.98</v>
      </c>
      <c r="T47" s="22">
        <v>28.98</v>
      </c>
      <c r="U47" s="51" t="s">
        <v>215</v>
      </c>
      <c r="V47" s="55"/>
      <c r="W47" s="55">
        <v>105</v>
      </c>
      <c r="X47" s="49">
        <v>24869</v>
      </c>
    </row>
    <row r="48" spans="1:24" ht="12" customHeight="1" x14ac:dyDescent="0.2">
      <c r="A48" s="49">
        <v>24898</v>
      </c>
      <c r="B48" s="523"/>
      <c r="C48" s="523"/>
      <c r="D48" s="50"/>
      <c r="E48" s="50"/>
      <c r="F48" s="50"/>
      <c r="G48" s="50"/>
      <c r="H48" s="50"/>
      <c r="I48" s="50"/>
      <c r="J48" s="22">
        <v>31.913730000000001</v>
      </c>
      <c r="K48" s="22">
        <v>29.4</v>
      </c>
      <c r="L48" s="22">
        <v>35.263157</v>
      </c>
      <c r="M48" s="22">
        <v>29.223839000000002</v>
      </c>
      <c r="N48" s="22">
        <v>29.4</v>
      </c>
      <c r="O48" s="22">
        <v>29.4</v>
      </c>
      <c r="P48" s="22">
        <v>2.6178340000000002</v>
      </c>
      <c r="Q48" s="22">
        <v>29.4</v>
      </c>
      <c r="R48" s="22">
        <v>29.4</v>
      </c>
      <c r="S48" s="22">
        <v>29.4</v>
      </c>
      <c r="T48" s="22">
        <v>29.4</v>
      </c>
      <c r="U48" s="51" t="s">
        <v>215</v>
      </c>
      <c r="V48" s="55"/>
      <c r="W48" s="55">
        <v>129.6</v>
      </c>
      <c r="X48" s="49">
        <v>24898</v>
      </c>
    </row>
    <row r="49" spans="1:24" ht="12" customHeight="1" x14ac:dyDescent="0.2">
      <c r="A49" s="49">
        <v>24929</v>
      </c>
      <c r="B49" s="523"/>
      <c r="C49" s="523"/>
      <c r="D49" s="50"/>
      <c r="E49" s="50"/>
      <c r="F49" s="50"/>
      <c r="G49" s="50"/>
      <c r="H49" s="50"/>
      <c r="I49" s="50"/>
      <c r="J49" s="22">
        <v>32.184995999999998</v>
      </c>
      <c r="K49" s="22">
        <v>29.83</v>
      </c>
      <c r="L49" s="22">
        <v>36.271683000000003</v>
      </c>
      <c r="M49" s="22">
        <v>29.828772000000001</v>
      </c>
      <c r="N49" s="22">
        <v>29.83</v>
      </c>
      <c r="O49" s="22">
        <v>29.83</v>
      </c>
      <c r="P49" s="22">
        <v>2.6561219999999999</v>
      </c>
      <c r="Q49" s="22">
        <v>29.83</v>
      </c>
      <c r="R49" s="22">
        <v>29.83</v>
      </c>
      <c r="S49" s="22">
        <v>29.83</v>
      </c>
      <c r="T49" s="22">
        <v>29.83</v>
      </c>
      <c r="U49" s="51" t="s">
        <v>215</v>
      </c>
      <c r="V49" s="55"/>
      <c r="W49" s="55">
        <v>129.6</v>
      </c>
      <c r="X49" s="49">
        <v>24929</v>
      </c>
    </row>
    <row r="50" spans="1:24" ht="12" customHeight="1" x14ac:dyDescent="0.2">
      <c r="A50" s="49">
        <v>24959</v>
      </c>
      <c r="B50" s="523"/>
      <c r="C50" s="523"/>
      <c r="D50" s="50"/>
      <c r="E50" s="50"/>
      <c r="F50" s="50"/>
      <c r="G50" s="50"/>
      <c r="H50" s="50"/>
      <c r="I50" s="50"/>
      <c r="J50" s="22">
        <v>33.005713</v>
      </c>
      <c r="K50" s="22">
        <v>30.39</v>
      </c>
      <c r="L50" s="22">
        <v>38.487881999999999</v>
      </c>
      <c r="M50" s="22">
        <v>30.490970000000001</v>
      </c>
      <c r="N50" s="22">
        <v>30.39</v>
      </c>
      <c r="O50" s="22">
        <v>30.39</v>
      </c>
      <c r="P50" s="22">
        <v>2.7059850000000001</v>
      </c>
      <c r="Q50" s="22">
        <v>30.39</v>
      </c>
      <c r="R50" s="22">
        <v>30.39</v>
      </c>
      <c r="S50" s="22">
        <v>30.39</v>
      </c>
      <c r="T50" s="22">
        <v>30.39</v>
      </c>
      <c r="U50" s="51" t="s">
        <v>215</v>
      </c>
      <c r="V50" s="55"/>
      <c r="W50" s="55">
        <v>129.6</v>
      </c>
      <c r="X50" s="49">
        <v>24959</v>
      </c>
    </row>
    <row r="51" spans="1:24" ht="12" customHeight="1" x14ac:dyDescent="0.2">
      <c r="A51" s="49">
        <v>24990</v>
      </c>
      <c r="B51" s="523"/>
      <c r="C51" s="523"/>
      <c r="D51" s="50"/>
      <c r="E51" s="50"/>
      <c r="F51" s="50"/>
      <c r="G51" s="50"/>
      <c r="H51" s="50"/>
      <c r="I51" s="50"/>
      <c r="J51" s="22">
        <v>33.982681999999997</v>
      </c>
      <c r="K51" s="22">
        <v>31.2</v>
      </c>
      <c r="L51" s="22">
        <v>39.469321999999998</v>
      </c>
      <c r="M51" s="22">
        <v>30.951383</v>
      </c>
      <c r="N51" s="22">
        <v>31.2</v>
      </c>
      <c r="O51" s="22">
        <v>31.2</v>
      </c>
      <c r="P51" s="22">
        <v>2.7781090000000002</v>
      </c>
      <c r="Q51" s="22">
        <v>31.2</v>
      </c>
      <c r="R51" s="22">
        <v>31.2</v>
      </c>
      <c r="S51" s="22">
        <v>31.2</v>
      </c>
      <c r="T51" s="22">
        <v>31.2</v>
      </c>
      <c r="U51" s="51" t="s">
        <v>215</v>
      </c>
      <c r="V51" s="55"/>
      <c r="W51" s="55">
        <v>129.6</v>
      </c>
      <c r="X51" s="49">
        <v>24990</v>
      </c>
    </row>
    <row r="52" spans="1:24" ht="12" customHeight="1" x14ac:dyDescent="0.2">
      <c r="A52" s="49">
        <v>25020</v>
      </c>
      <c r="B52" s="523"/>
      <c r="C52" s="523"/>
      <c r="D52" s="50"/>
      <c r="E52" s="50"/>
      <c r="F52" s="50"/>
      <c r="G52" s="50"/>
      <c r="H52" s="50"/>
      <c r="I52" s="50"/>
      <c r="J52" s="22">
        <v>34.353093000000001</v>
      </c>
      <c r="K52" s="22">
        <v>32.090000000000003</v>
      </c>
      <c r="L52" s="22">
        <v>40.929685999999997</v>
      </c>
      <c r="M52" s="22">
        <v>31.783975000000002</v>
      </c>
      <c r="N52" s="22">
        <v>32.090000000000003</v>
      </c>
      <c r="O52" s="22">
        <v>32.090000000000003</v>
      </c>
      <c r="P52" s="22">
        <v>2.8573569999999999</v>
      </c>
      <c r="Q52" s="22">
        <v>32.090000000000003</v>
      </c>
      <c r="R52" s="22">
        <v>32.090000000000003</v>
      </c>
      <c r="S52" s="22">
        <v>32.090000000000003</v>
      </c>
      <c r="T52" s="22">
        <v>32.090000000000003</v>
      </c>
      <c r="U52" s="51" t="s">
        <v>215</v>
      </c>
      <c r="V52" s="55"/>
      <c r="W52" s="55">
        <v>129.6</v>
      </c>
      <c r="X52" s="49">
        <v>25020</v>
      </c>
    </row>
    <row r="53" spans="1:24" ht="12" customHeight="1" x14ac:dyDescent="0.2">
      <c r="A53" s="49">
        <v>25051</v>
      </c>
      <c r="B53" s="523"/>
      <c r="C53" s="523"/>
      <c r="D53" s="50"/>
      <c r="E53" s="50"/>
      <c r="F53" s="50"/>
      <c r="G53" s="50"/>
      <c r="H53" s="50"/>
      <c r="I53" s="50"/>
      <c r="J53" s="22">
        <v>34.882129999999997</v>
      </c>
      <c r="K53" s="22">
        <v>32.81</v>
      </c>
      <c r="L53" s="22">
        <v>41.265309000000002</v>
      </c>
      <c r="M53" s="22">
        <v>32.235306999999999</v>
      </c>
      <c r="N53" s="22">
        <v>32.81</v>
      </c>
      <c r="O53" s="22">
        <v>32.81</v>
      </c>
      <c r="P53" s="22">
        <v>2.9214669999999998</v>
      </c>
      <c r="Q53" s="22">
        <v>32.81</v>
      </c>
      <c r="R53" s="22">
        <v>32.81</v>
      </c>
      <c r="S53" s="22">
        <v>32.81</v>
      </c>
      <c r="T53" s="22">
        <v>32.81</v>
      </c>
      <c r="U53" s="51" t="s">
        <v>215</v>
      </c>
      <c r="V53" s="55"/>
      <c r="W53" s="55">
        <v>129.6</v>
      </c>
      <c r="X53" s="49">
        <v>25051</v>
      </c>
    </row>
    <row r="54" spans="1:24" ht="12" customHeight="1" x14ac:dyDescent="0.2">
      <c r="A54" s="49">
        <v>25082</v>
      </c>
      <c r="B54" s="523"/>
      <c r="C54" s="523"/>
      <c r="D54" s="50"/>
      <c r="E54" s="50"/>
      <c r="F54" s="50"/>
      <c r="G54" s="50"/>
      <c r="H54" s="50"/>
      <c r="I54" s="50"/>
      <c r="J54" s="22">
        <v>35.394897</v>
      </c>
      <c r="K54" s="22">
        <v>33.409999999999997</v>
      </c>
      <c r="L54" s="22">
        <v>41.797631000000003</v>
      </c>
      <c r="M54" s="22">
        <v>32.618907</v>
      </c>
      <c r="N54" s="22">
        <v>33.409999999999997</v>
      </c>
      <c r="O54" s="22">
        <v>33.409999999999997</v>
      </c>
      <c r="P54" s="22">
        <v>2.9748920000000001</v>
      </c>
      <c r="Q54" s="22">
        <v>33.409999999999997</v>
      </c>
      <c r="R54" s="22">
        <v>33.409999999999997</v>
      </c>
      <c r="S54" s="22">
        <v>33.409999999999997</v>
      </c>
      <c r="T54" s="22">
        <v>33.409999999999997</v>
      </c>
      <c r="U54" s="51" t="s">
        <v>215</v>
      </c>
      <c r="V54" s="55"/>
      <c r="W54" s="55">
        <v>129.6</v>
      </c>
      <c r="X54" s="49">
        <v>25082</v>
      </c>
    </row>
    <row r="55" spans="1:24" ht="12" customHeight="1" x14ac:dyDescent="0.2">
      <c r="A55" s="49">
        <v>25112</v>
      </c>
      <c r="B55" s="523"/>
      <c r="C55" s="523"/>
      <c r="D55" s="50"/>
      <c r="E55" s="50"/>
      <c r="F55" s="50"/>
      <c r="G55" s="50"/>
      <c r="H55" s="50"/>
      <c r="I55" s="50"/>
      <c r="J55" s="22">
        <v>35.816096000000002</v>
      </c>
      <c r="K55" s="22">
        <v>33.880000000000003</v>
      </c>
      <c r="L55" s="22">
        <v>42.332639999999998</v>
      </c>
      <c r="M55" s="22">
        <v>33.215831999999999</v>
      </c>
      <c r="N55" s="22">
        <v>33.880000000000003</v>
      </c>
      <c r="O55" s="22">
        <v>33.880000000000003</v>
      </c>
      <c r="P55" s="22">
        <v>3.0167419999999998</v>
      </c>
      <c r="Q55" s="22">
        <v>33.880000000000003</v>
      </c>
      <c r="R55" s="22">
        <v>33.880000000000003</v>
      </c>
      <c r="S55" s="22">
        <v>33.880000000000003</v>
      </c>
      <c r="T55" s="22">
        <v>33.880000000000003</v>
      </c>
      <c r="U55" s="51" t="s">
        <v>215</v>
      </c>
      <c r="V55" s="55"/>
      <c r="W55" s="55">
        <v>129.6</v>
      </c>
      <c r="X55" s="49">
        <v>25112</v>
      </c>
    </row>
    <row r="56" spans="1:24" ht="12" customHeight="1" x14ac:dyDescent="0.2">
      <c r="A56" s="49">
        <v>25143</v>
      </c>
      <c r="B56" s="523"/>
      <c r="C56" s="523"/>
      <c r="D56" s="50"/>
      <c r="E56" s="50"/>
      <c r="F56" s="50"/>
      <c r="G56" s="50"/>
      <c r="H56" s="50"/>
      <c r="I56" s="50"/>
      <c r="J56" s="22">
        <v>36.650610999999998</v>
      </c>
      <c r="K56" s="22">
        <v>34.39</v>
      </c>
      <c r="L56" s="22">
        <v>43.090394000000003</v>
      </c>
      <c r="M56" s="22">
        <v>33.966509000000002</v>
      </c>
      <c r="N56" s="22">
        <v>34.39</v>
      </c>
      <c r="O56" s="22">
        <v>34.39</v>
      </c>
      <c r="P56" s="22">
        <v>3.0621529999999999</v>
      </c>
      <c r="Q56" s="22">
        <v>34.39</v>
      </c>
      <c r="R56" s="22">
        <v>34.39</v>
      </c>
      <c r="S56" s="22">
        <v>34.39</v>
      </c>
      <c r="T56" s="22">
        <v>34.39</v>
      </c>
      <c r="U56" s="51" t="s">
        <v>215</v>
      </c>
      <c r="V56" s="55"/>
      <c r="W56" s="55">
        <v>129.6</v>
      </c>
      <c r="X56" s="49">
        <v>25143</v>
      </c>
    </row>
    <row r="57" spans="1:24" ht="12" customHeight="1" x14ac:dyDescent="0.2">
      <c r="A57" s="49">
        <v>25173</v>
      </c>
      <c r="B57" s="523"/>
      <c r="C57" s="523"/>
      <c r="D57" s="50"/>
      <c r="E57" s="50"/>
      <c r="F57" s="50"/>
      <c r="G57" s="50"/>
      <c r="H57" s="50"/>
      <c r="I57" s="50"/>
      <c r="J57" s="22">
        <v>37.346972000000001</v>
      </c>
      <c r="K57" s="22">
        <v>34.950000000000003</v>
      </c>
      <c r="L57" s="22">
        <v>43.680731999999999</v>
      </c>
      <c r="M57" s="22">
        <v>34.472608999999999</v>
      </c>
      <c r="N57" s="22">
        <v>34.950000000000003</v>
      </c>
      <c r="O57" s="22">
        <v>34.950000000000003</v>
      </c>
      <c r="P57" s="22">
        <v>3.1120169999999998</v>
      </c>
      <c r="Q57" s="22">
        <v>34.950000000000003</v>
      </c>
      <c r="R57" s="22">
        <v>34.950000000000003</v>
      </c>
      <c r="S57" s="22">
        <v>34.950000000000003</v>
      </c>
      <c r="T57" s="22">
        <v>34.950000000000003</v>
      </c>
      <c r="U57" s="51" t="s">
        <v>215</v>
      </c>
      <c r="V57" s="55"/>
      <c r="W57" s="55">
        <v>129.6</v>
      </c>
      <c r="X57" s="49">
        <v>25173</v>
      </c>
    </row>
    <row r="58" spans="1:24" ht="12" customHeight="1" x14ac:dyDescent="0.2">
      <c r="A58" s="49">
        <v>25204</v>
      </c>
      <c r="B58" s="523"/>
      <c r="C58" s="523"/>
      <c r="D58" s="50"/>
      <c r="E58" s="50"/>
      <c r="F58" s="50"/>
      <c r="G58" s="50"/>
      <c r="H58" s="50"/>
      <c r="I58" s="50"/>
      <c r="J58" s="22">
        <v>37.903441000000001</v>
      </c>
      <c r="K58" s="22">
        <v>35.619999999999997</v>
      </c>
      <c r="L58" s="22">
        <v>43.794300999999997</v>
      </c>
      <c r="M58" s="22">
        <v>34.696680000000001</v>
      </c>
      <c r="N58" s="22">
        <v>35.619999999999997</v>
      </c>
      <c r="O58" s="22">
        <v>35.619999999999997</v>
      </c>
      <c r="P58" s="22">
        <v>3.171675</v>
      </c>
      <c r="Q58" s="22">
        <v>35.619999999999997</v>
      </c>
      <c r="R58" s="22">
        <v>35.619999999999997</v>
      </c>
      <c r="S58" s="22">
        <v>35.619999999999997</v>
      </c>
      <c r="T58" s="22">
        <v>35.619999999999997</v>
      </c>
      <c r="U58" s="51" t="s">
        <v>215</v>
      </c>
      <c r="V58" s="55"/>
      <c r="W58" s="55">
        <v>129.6</v>
      </c>
      <c r="X58" s="49">
        <v>25204</v>
      </c>
    </row>
    <row r="59" spans="1:24" ht="12" customHeight="1" x14ac:dyDescent="0.2">
      <c r="A59" s="49">
        <v>25235</v>
      </c>
      <c r="B59" s="523"/>
      <c r="C59" s="523"/>
      <c r="D59" s="50"/>
      <c r="E59" s="50"/>
      <c r="F59" s="50"/>
      <c r="G59" s="50"/>
      <c r="H59" s="50"/>
      <c r="I59" s="50"/>
      <c r="J59" s="22">
        <v>38.684251000000003</v>
      </c>
      <c r="K59" s="22">
        <v>36.270000000000003</v>
      </c>
      <c r="L59" s="22">
        <v>43.627882</v>
      </c>
      <c r="M59" s="22">
        <v>35.283053000000002</v>
      </c>
      <c r="N59" s="22">
        <v>36.270000000000003</v>
      </c>
      <c r="O59" s="22">
        <v>36.270000000000003</v>
      </c>
      <c r="P59" s="22">
        <v>3.229552</v>
      </c>
      <c r="Q59" s="22">
        <v>36.270000000000003</v>
      </c>
      <c r="R59" s="22">
        <v>36.270000000000003</v>
      </c>
      <c r="S59" s="22">
        <v>36.270000000000003</v>
      </c>
      <c r="T59" s="22">
        <v>36.270000000000003</v>
      </c>
      <c r="U59" s="51" t="s">
        <v>215</v>
      </c>
      <c r="V59" s="55"/>
      <c r="W59" s="55">
        <v>129.6</v>
      </c>
      <c r="X59" s="49">
        <v>25235</v>
      </c>
    </row>
    <row r="60" spans="1:24" ht="12" customHeight="1" x14ac:dyDescent="0.2">
      <c r="A60" s="49">
        <v>25263</v>
      </c>
      <c r="B60" s="523"/>
      <c r="C60" s="523"/>
      <c r="D60" s="50"/>
      <c r="E60" s="50"/>
      <c r="F60" s="50"/>
      <c r="G60" s="50"/>
      <c r="H60" s="50"/>
      <c r="I60" s="50"/>
      <c r="J60" s="22">
        <v>39.218093000000003</v>
      </c>
      <c r="K60" s="22">
        <v>36.909999999999997</v>
      </c>
      <c r="L60" s="22">
        <v>45.032699000000001</v>
      </c>
      <c r="M60" s="22">
        <v>35.784072000000002</v>
      </c>
      <c r="N60" s="22">
        <v>36.909999999999997</v>
      </c>
      <c r="O60" s="22">
        <v>36.909999999999997</v>
      </c>
      <c r="P60" s="22">
        <v>3.2865389999999999</v>
      </c>
      <c r="Q60" s="22">
        <v>36.909999999999997</v>
      </c>
      <c r="R60" s="22">
        <v>36.909999999999997</v>
      </c>
      <c r="S60" s="22">
        <v>36.909999999999997</v>
      </c>
      <c r="T60" s="22">
        <v>36.909999999999997</v>
      </c>
      <c r="U60" s="51" t="s">
        <v>215</v>
      </c>
      <c r="V60" s="55"/>
      <c r="W60" s="55">
        <v>129.6</v>
      </c>
      <c r="X60" s="49">
        <v>25263</v>
      </c>
    </row>
    <row r="61" spans="1:24" ht="12" customHeight="1" x14ac:dyDescent="0.2">
      <c r="A61" s="49">
        <v>25294</v>
      </c>
      <c r="B61" s="523"/>
      <c r="C61" s="523"/>
      <c r="D61" s="50"/>
      <c r="E61" s="50"/>
      <c r="F61" s="50"/>
      <c r="G61" s="50"/>
      <c r="H61" s="50"/>
      <c r="I61" s="50"/>
      <c r="J61" s="22">
        <v>39.661256999999999</v>
      </c>
      <c r="K61" s="22">
        <v>37.43</v>
      </c>
      <c r="L61" s="22">
        <v>45.483024999999998</v>
      </c>
      <c r="M61" s="22">
        <v>35.973726999999997</v>
      </c>
      <c r="N61" s="22">
        <v>37.43</v>
      </c>
      <c r="O61" s="22">
        <v>37.43</v>
      </c>
      <c r="P61" s="22">
        <v>3.3328410000000002</v>
      </c>
      <c r="Q61" s="22">
        <v>37.43</v>
      </c>
      <c r="R61" s="22">
        <v>37.43</v>
      </c>
      <c r="S61" s="22">
        <v>37.43</v>
      </c>
      <c r="T61" s="22">
        <v>37.43</v>
      </c>
      <c r="U61" s="51" t="s">
        <v>215</v>
      </c>
      <c r="V61" s="55"/>
      <c r="W61" s="55">
        <v>129.6</v>
      </c>
      <c r="X61" s="49">
        <v>25294</v>
      </c>
    </row>
    <row r="62" spans="1:24" ht="12" customHeight="1" x14ac:dyDescent="0.2">
      <c r="A62" s="49">
        <v>25324</v>
      </c>
      <c r="B62" s="523"/>
      <c r="C62" s="523"/>
      <c r="D62" s="50"/>
      <c r="E62" s="50"/>
      <c r="F62" s="50"/>
      <c r="G62" s="50"/>
      <c r="H62" s="50"/>
      <c r="I62" s="50"/>
      <c r="J62" s="22">
        <v>40.311700999999999</v>
      </c>
      <c r="K62" s="22">
        <v>38.01</v>
      </c>
      <c r="L62" s="22">
        <v>45.765019000000002</v>
      </c>
      <c r="M62" s="22">
        <v>36.426994999999998</v>
      </c>
      <c r="N62" s="22">
        <v>38.01</v>
      </c>
      <c r="O62" s="22">
        <v>38.01</v>
      </c>
      <c r="P62" s="22">
        <v>3.3844850000000002</v>
      </c>
      <c r="Q62" s="22">
        <v>38.01</v>
      </c>
      <c r="R62" s="22">
        <v>38.01</v>
      </c>
      <c r="S62" s="22">
        <v>38.01</v>
      </c>
      <c r="T62" s="22">
        <v>38.01</v>
      </c>
      <c r="U62" s="51" t="s">
        <v>215</v>
      </c>
      <c r="V62" s="55"/>
      <c r="W62" s="55">
        <v>156</v>
      </c>
      <c r="X62" s="49">
        <v>25324</v>
      </c>
    </row>
    <row r="63" spans="1:24" ht="12" customHeight="1" x14ac:dyDescent="0.2">
      <c r="A63" s="49">
        <v>25355</v>
      </c>
      <c r="B63" s="523"/>
      <c r="C63" s="523"/>
      <c r="D63" s="50"/>
      <c r="E63" s="50"/>
      <c r="F63" s="50"/>
      <c r="G63" s="50"/>
      <c r="H63" s="50"/>
      <c r="I63" s="50"/>
      <c r="J63" s="22">
        <v>41.783078000000003</v>
      </c>
      <c r="K63" s="22">
        <v>38.479999999999997</v>
      </c>
      <c r="L63" s="22">
        <v>47.028132999999997</v>
      </c>
      <c r="M63" s="22">
        <v>36.845905000000002</v>
      </c>
      <c r="N63" s="22">
        <v>38.479999999999997</v>
      </c>
      <c r="O63" s="22">
        <v>38.479999999999997</v>
      </c>
      <c r="P63" s="22">
        <v>3.4263349999999999</v>
      </c>
      <c r="Q63" s="22">
        <v>38.479999999999997</v>
      </c>
      <c r="R63" s="22">
        <v>38.479999999999997</v>
      </c>
      <c r="S63" s="22">
        <v>38.479999999999997</v>
      </c>
      <c r="T63" s="22">
        <v>38.479999999999997</v>
      </c>
      <c r="U63" s="51" t="s">
        <v>215</v>
      </c>
      <c r="V63" s="55"/>
      <c r="W63" s="55">
        <v>156</v>
      </c>
      <c r="X63" s="49">
        <v>25355</v>
      </c>
    </row>
    <row r="64" spans="1:24" ht="12" customHeight="1" x14ac:dyDescent="0.2">
      <c r="A64" s="49">
        <v>25385</v>
      </c>
      <c r="B64" s="523"/>
      <c r="C64" s="523"/>
      <c r="D64" s="50"/>
      <c r="E64" s="50"/>
      <c r="F64" s="50"/>
      <c r="G64" s="50"/>
      <c r="H64" s="50"/>
      <c r="I64" s="50"/>
      <c r="J64" s="22">
        <v>42.376396999999997</v>
      </c>
      <c r="K64" s="22">
        <v>39</v>
      </c>
      <c r="L64" s="22">
        <v>47.338518000000001</v>
      </c>
      <c r="M64" s="22">
        <v>37.645460999999997</v>
      </c>
      <c r="N64" s="22">
        <v>39</v>
      </c>
      <c r="O64" s="22">
        <v>39</v>
      </c>
      <c r="P64" s="22">
        <v>3.4726370000000002</v>
      </c>
      <c r="Q64" s="22">
        <v>39</v>
      </c>
      <c r="R64" s="22">
        <v>39</v>
      </c>
      <c r="S64" s="22">
        <v>39</v>
      </c>
      <c r="T64" s="22">
        <v>39</v>
      </c>
      <c r="U64" s="51" t="s">
        <v>215</v>
      </c>
      <c r="V64" s="55"/>
      <c r="W64" s="55">
        <v>156</v>
      </c>
      <c r="X64" s="49">
        <v>25385</v>
      </c>
    </row>
    <row r="65" spans="1:24" ht="12" customHeight="1" x14ac:dyDescent="0.2">
      <c r="A65" s="49">
        <v>25416</v>
      </c>
      <c r="B65" s="523"/>
      <c r="C65" s="523"/>
      <c r="D65" s="50"/>
      <c r="E65" s="50"/>
      <c r="F65" s="50"/>
      <c r="G65" s="50"/>
      <c r="H65" s="50"/>
      <c r="I65" s="50"/>
      <c r="J65" s="22">
        <v>43.020518000000003</v>
      </c>
      <c r="K65" s="22">
        <v>39.270000000000003</v>
      </c>
      <c r="L65" s="22">
        <v>48.095934</v>
      </c>
      <c r="M65" s="22">
        <v>38.511305999999998</v>
      </c>
      <c r="N65" s="22">
        <v>39.270000000000003</v>
      </c>
      <c r="O65" s="22">
        <v>39.270000000000003</v>
      </c>
      <c r="P65" s="22">
        <v>3.4966780000000002</v>
      </c>
      <c r="Q65" s="22">
        <v>39.270000000000003</v>
      </c>
      <c r="R65" s="22">
        <v>39.270000000000003</v>
      </c>
      <c r="S65" s="22">
        <v>39.270000000000003</v>
      </c>
      <c r="T65" s="22">
        <v>39.270000000000003</v>
      </c>
      <c r="U65" s="51" t="s">
        <v>215</v>
      </c>
      <c r="V65" s="55"/>
      <c r="W65" s="55">
        <v>156</v>
      </c>
      <c r="X65" s="49">
        <v>25416</v>
      </c>
    </row>
    <row r="66" spans="1:24" ht="12" customHeight="1" x14ac:dyDescent="0.2">
      <c r="A66" s="49">
        <v>25447</v>
      </c>
      <c r="B66" s="523"/>
      <c r="C66" s="523"/>
      <c r="D66" s="50"/>
      <c r="E66" s="50"/>
      <c r="F66" s="50"/>
      <c r="G66" s="50"/>
      <c r="H66" s="50"/>
      <c r="I66" s="50"/>
      <c r="J66" s="22">
        <v>43.786282999999997</v>
      </c>
      <c r="K66" s="22">
        <v>39.56</v>
      </c>
      <c r="L66" s="22">
        <v>48.206553999999997</v>
      </c>
      <c r="M66" s="22">
        <v>39.162146999999997</v>
      </c>
      <c r="N66" s="22">
        <v>39.56</v>
      </c>
      <c r="O66" s="22">
        <v>39.56</v>
      </c>
      <c r="P66" s="22">
        <v>3.5225</v>
      </c>
      <c r="Q66" s="22">
        <v>39.56</v>
      </c>
      <c r="R66" s="22">
        <v>39.56</v>
      </c>
      <c r="S66" s="22">
        <v>39.56</v>
      </c>
      <c r="T66" s="22">
        <v>39.56</v>
      </c>
      <c r="U66" s="51" t="s">
        <v>215</v>
      </c>
      <c r="V66" s="55"/>
      <c r="W66" s="55">
        <v>156</v>
      </c>
      <c r="X66" s="49">
        <v>25447</v>
      </c>
    </row>
    <row r="67" spans="1:24" ht="12" customHeight="1" x14ac:dyDescent="0.2">
      <c r="A67" s="49">
        <v>25477</v>
      </c>
      <c r="B67" s="523"/>
      <c r="C67" s="523"/>
      <c r="D67" s="50"/>
      <c r="E67" s="50"/>
      <c r="F67" s="50"/>
      <c r="G67" s="50"/>
      <c r="H67" s="50"/>
      <c r="I67" s="50"/>
      <c r="J67" s="22">
        <v>44.552542000000003</v>
      </c>
      <c r="K67" s="22">
        <v>39.92</v>
      </c>
      <c r="L67" s="22">
        <v>48.654874</v>
      </c>
      <c r="M67" s="22">
        <v>40.027630000000002</v>
      </c>
      <c r="N67" s="22">
        <v>39.92</v>
      </c>
      <c r="O67" s="22">
        <v>39.92</v>
      </c>
      <c r="P67" s="22">
        <v>3.5545550000000001</v>
      </c>
      <c r="Q67" s="22">
        <v>39.92</v>
      </c>
      <c r="R67" s="22">
        <v>39.92</v>
      </c>
      <c r="S67" s="22">
        <v>39.92</v>
      </c>
      <c r="T67" s="22">
        <v>39.92</v>
      </c>
      <c r="U67" s="51" t="s">
        <v>215</v>
      </c>
      <c r="V67" s="55"/>
      <c r="W67" s="55">
        <v>156</v>
      </c>
      <c r="X67" s="49">
        <v>25477</v>
      </c>
    </row>
    <row r="68" spans="1:24" ht="12" customHeight="1" x14ac:dyDescent="0.2">
      <c r="A68" s="49">
        <v>25508</v>
      </c>
      <c r="B68" s="523"/>
      <c r="C68" s="523"/>
      <c r="D68" s="50"/>
      <c r="E68" s="50"/>
      <c r="F68" s="50"/>
      <c r="G68" s="50"/>
      <c r="H68" s="50"/>
      <c r="I68" s="50"/>
      <c r="J68" s="22">
        <v>45.140635000000003</v>
      </c>
      <c r="K68" s="22">
        <v>40.57</v>
      </c>
      <c r="L68" s="22">
        <v>48.878686000000002</v>
      </c>
      <c r="M68" s="22">
        <v>40.680079999999997</v>
      </c>
      <c r="N68" s="22">
        <v>40.57</v>
      </c>
      <c r="O68" s="22">
        <v>40.57</v>
      </c>
      <c r="P68" s="22">
        <v>3.6124320000000001</v>
      </c>
      <c r="Q68" s="22">
        <v>40.57</v>
      </c>
      <c r="R68" s="22">
        <v>40.57</v>
      </c>
      <c r="S68" s="22">
        <v>40.57</v>
      </c>
      <c r="T68" s="22">
        <v>40.57</v>
      </c>
      <c r="U68" s="51" t="s">
        <v>215</v>
      </c>
      <c r="V68" s="55"/>
      <c r="W68" s="55">
        <v>156</v>
      </c>
      <c r="X68" s="49">
        <v>25508</v>
      </c>
    </row>
    <row r="69" spans="1:24" ht="12" customHeight="1" x14ac:dyDescent="0.2">
      <c r="A69" s="49">
        <v>25538</v>
      </c>
      <c r="B69" s="523"/>
      <c r="C69" s="523"/>
      <c r="D69" s="50"/>
      <c r="E69" s="50"/>
      <c r="F69" s="50"/>
      <c r="G69" s="50"/>
      <c r="H69" s="50"/>
      <c r="I69" s="50"/>
      <c r="J69" s="22">
        <v>45.713920999999999</v>
      </c>
      <c r="K69" s="22">
        <v>41.42</v>
      </c>
      <c r="L69" s="22">
        <v>49.103527</v>
      </c>
      <c r="M69" s="22">
        <v>41.278077000000003</v>
      </c>
      <c r="N69" s="22">
        <v>41.42</v>
      </c>
      <c r="O69" s="22">
        <v>41.42</v>
      </c>
      <c r="P69" s="22">
        <v>3.6881179999999998</v>
      </c>
      <c r="Q69" s="22">
        <v>41.42</v>
      </c>
      <c r="R69" s="22">
        <v>41.42</v>
      </c>
      <c r="S69" s="22">
        <v>41.42</v>
      </c>
      <c r="T69" s="22">
        <v>41.42</v>
      </c>
      <c r="U69" s="51" t="s">
        <v>215</v>
      </c>
      <c r="V69" s="55"/>
      <c r="W69" s="55">
        <v>156</v>
      </c>
      <c r="X69" s="49">
        <v>25538</v>
      </c>
    </row>
    <row r="70" spans="1:24" ht="12" customHeight="1" x14ac:dyDescent="0.2">
      <c r="A70" s="49">
        <v>25569</v>
      </c>
      <c r="B70" s="523"/>
      <c r="C70" s="523"/>
      <c r="D70" s="50"/>
      <c r="E70" s="50"/>
      <c r="F70" s="50"/>
      <c r="G70" s="50"/>
      <c r="H70" s="50"/>
      <c r="I70" s="50"/>
      <c r="J70" s="22">
        <v>46.463628999999997</v>
      </c>
      <c r="K70" s="22">
        <v>42.35</v>
      </c>
      <c r="L70" s="22">
        <v>49.329402999999999</v>
      </c>
      <c r="M70" s="22">
        <v>41.397782999999997</v>
      </c>
      <c r="N70" s="22">
        <v>42.35</v>
      </c>
      <c r="O70" s="22">
        <v>42.35</v>
      </c>
      <c r="P70" s="22">
        <v>3.7709269999999999</v>
      </c>
      <c r="Q70" s="22">
        <v>42.35</v>
      </c>
      <c r="R70" s="22">
        <v>42.35</v>
      </c>
      <c r="S70" s="22">
        <v>42.35</v>
      </c>
      <c r="T70" s="22">
        <v>42.35</v>
      </c>
      <c r="U70" s="51" t="s">
        <v>215</v>
      </c>
      <c r="V70" s="55"/>
      <c r="W70" s="55">
        <v>156</v>
      </c>
      <c r="X70" s="49">
        <v>25569</v>
      </c>
    </row>
    <row r="71" spans="1:24" ht="12" customHeight="1" x14ac:dyDescent="0.2">
      <c r="A71" s="49">
        <v>25600</v>
      </c>
      <c r="B71" s="523"/>
      <c r="C71" s="523"/>
      <c r="D71" s="50"/>
      <c r="E71" s="50"/>
      <c r="F71" s="50"/>
      <c r="G71" s="50"/>
      <c r="H71" s="50"/>
      <c r="I71" s="50"/>
      <c r="J71" s="22">
        <v>47.104827</v>
      </c>
      <c r="K71" s="22">
        <v>43.3</v>
      </c>
      <c r="L71" s="22">
        <v>49.778300000000002</v>
      </c>
      <c r="M71" s="22">
        <v>41.915255000000002</v>
      </c>
      <c r="N71" s="22">
        <v>43.3</v>
      </c>
      <c r="O71" s="22">
        <v>43.3</v>
      </c>
      <c r="P71" s="22">
        <v>3.8555169999999999</v>
      </c>
      <c r="Q71" s="22">
        <v>43.3</v>
      </c>
      <c r="R71" s="22">
        <v>43.3</v>
      </c>
      <c r="S71" s="22">
        <v>43.3</v>
      </c>
      <c r="T71" s="22">
        <v>43.3</v>
      </c>
      <c r="U71" s="51" t="s">
        <v>215</v>
      </c>
      <c r="V71" s="55"/>
      <c r="W71" s="55">
        <v>156</v>
      </c>
      <c r="X71" s="49">
        <v>25600</v>
      </c>
    </row>
    <row r="72" spans="1:24" ht="12" customHeight="1" x14ac:dyDescent="0.2">
      <c r="A72" s="49">
        <v>25628</v>
      </c>
      <c r="B72" s="523"/>
      <c r="C72" s="523"/>
      <c r="D72" s="50"/>
      <c r="E72" s="50"/>
      <c r="F72" s="50"/>
      <c r="G72" s="50"/>
      <c r="H72" s="50"/>
      <c r="I72" s="50"/>
      <c r="J72" s="22">
        <v>47.717188999999998</v>
      </c>
      <c r="K72" s="22">
        <v>44.17</v>
      </c>
      <c r="L72" s="22">
        <v>50.450307000000002</v>
      </c>
      <c r="M72" s="22">
        <v>42.510451000000003</v>
      </c>
      <c r="N72" s="22">
        <v>44.17</v>
      </c>
      <c r="O72" s="22">
        <v>44.17</v>
      </c>
      <c r="P72" s="22">
        <v>3.9329839999999998</v>
      </c>
      <c r="Q72" s="22">
        <v>44.17</v>
      </c>
      <c r="R72" s="22">
        <v>44.17</v>
      </c>
      <c r="S72" s="22">
        <v>44.17</v>
      </c>
      <c r="T72" s="22">
        <v>44.17</v>
      </c>
      <c r="U72" s="51" t="s">
        <v>215</v>
      </c>
      <c r="V72" s="55"/>
      <c r="W72" s="55">
        <v>156</v>
      </c>
      <c r="X72" s="49">
        <v>25628</v>
      </c>
    </row>
    <row r="73" spans="1:24" ht="12" customHeight="1" x14ac:dyDescent="0.2">
      <c r="A73" s="49">
        <v>25659</v>
      </c>
      <c r="B73" s="523"/>
      <c r="C73" s="523"/>
      <c r="D73" s="50"/>
      <c r="E73" s="50"/>
      <c r="F73" s="50"/>
      <c r="G73" s="50"/>
      <c r="H73" s="50"/>
      <c r="I73" s="50"/>
      <c r="J73" s="22">
        <v>48.356599000000003</v>
      </c>
      <c r="K73" s="22">
        <v>44.67</v>
      </c>
      <c r="L73" s="22">
        <v>51.797330000000002</v>
      </c>
      <c r="M73" s="22">
        <v>43.326650999999998</v>
      </c>
      <c r="N73" s="22">
        <v>44.67</v>
      </c>
      <c r="O73" s="22">
        <v>44.67</v>
      </c>
      <c r="P73" s="22">
        <v>3.9775040000000002</v>
      </c>
      <c r="Q73" s="22">
        <v>44.67</v>
      </c>
      <c r="R73" s="22">
        <v>44.67</v>
      </c>
      <c r="S73" s="22">
        <v>44.67</v>
      </c>
      <c r="T73" s="22">
        <v>44.67</v>
      </c>
      <c r="U73" s="51" t="s">
        <v>215</v>
      </c>
      <c r="V73" s="55"/>
      <c r="W73" s="55">
        <v>156</v>
      </c>
      <c r="X73" s="49">
        <v>25659</v>
      </c>
    </row>
    <row r="74" spans="1:24" ht="12" customHeight="1" x14ac:dyDescent="0.2">
      <c r="A74" s="49">
        <v>25689</v>
      </c>
      <c r="B74" s="523"/>
      <c r="C74" s="523"/>
      <c r="D74" s="50"/>
      <c r="E74" s="50"/>
      <c r="F74" s="50"/>
      <c r="G74" s="50"/>
      <c r="H74" s="50"/>
      <c r="I74" s="50"/>
      <c r="J74" s="22">
        <v>49.014248000000002</v>
      </c>
      <c r="K74" s="22">
        <v>45.08</v>
      </c>
      <c r="L74" s="22">
        <v>53.366788999999997</v>
      </c>
      <c r="M74" s="22">
        <v>43.465296000000002</v>
      </c>
      <c r="N74" s="22">
        <v>45.08</v>
      </c>
      <c r="O74" s="22">
        <v>45.08</v>
      </c>
      <c r="P74" s="22">
        <v>4.0140120000000001</v>
      </c>
      <c r="Q74" s="22">
        <v>45.08</v>
      </c>
      <c r="R74" s="22">
        <v>45.08</v>
      </c>
      <c r="S74" s="22">
        <v>45.08</v>
      </c>
      <c r="T74" s="22">
        <v>45.08</v>
      </c>
      <c r="U74" s="51" t="s">
        <v>215</v>
      </c>
      <c r="V74" s="55"/>
      <c r="W74" s="55">
        <v>187.2</v>
      </c>
      <c r="X74" s="49">
        <v>25689</v>
      </c>
    </row>
    <row r="75" spans="1:24" ht="12" customHeight="1" x14ac:dyDescent="0.2">
      <c r="A75" s="49">
        <v>25720</v>
      </c>
      <c r="B75" s="523"/>
      <c r="C75" s="523"/>
      <c r="D75" s="50"/>
      <c r="E75" s="50"/>
      <c r="F75" s="50"/>
      <c r="G75" s="50"/>
      <c r="H75" s="50"/>
      <c r="I75" s="50"/>
      <c r="J75" s="22">
        <v>49.494587000000003</v>
      </c>
      <c r="K75" s="22">
        <v>45.5</v>
      </c>
      <c r="L75" s="22">
        <v>54.935772</v>
      </c>
      <c r="M75" s="22">
        <v>44.160739999999997</v>
      </c>
      <c r="N75" s="22">
        <v>45.5</v>
      </c>
      <c r="O75" s="22">
        <v>45.5</v>
      </c>
      <c r="P75" s="22">
        <v>4.0514089999999996</v>
      </c>
      <c r="Q75" s="22">
        <v>45.5</v>
      </c>
      <c r="R75" s="22">
        <v>45.5</v>
      </c>
      <c r="S75" s="22">
        <v>45.5</v>
      </c>
      <c r="T75" s="22">
        <v>45.5</v>
      </c>
      <c r="U75" s="51" t="s">
        <v>214</v>
      </c>
      <c r="V75" s="55"/>
      <c r="W75" s="55">
        <v>187.2</v>
      </c>
      <c r="X75" s="49">
        <v>25720</v>
      </c>
    </row>
    <row r="76" spans="1:24" ht="12" customHeight="1" x14ac:dyDescent="0.2">
      <c r="A76" s="49">
        <v>25750</v>
      </c>
      <c r="B76" s="523"/>
      <c r="C76" s="523"/>
      <c r="D76" s="50"/>
      <c r="E76" s="50"/>
      <c r="F76" s="50"/>
      <c r="G76" s="50"/>
      <c r="H76" s="50"/>
      <c r="I76" s="50"/>
      <c r="J76" s="22">
        <v>50.241954999999997</v>
      </c>
      <c r="K76" s="22">
        <v>46.2</v>
      </c>
      <c r="L76" s="22">
        <v>55.611480999999998</v>
      </c>
      <c r="M76" s="22">
        <v>45.136691999999996</v>
      </c>
      <c r="N76" s="22">
        <v>46.2</v>
      </c>
      <c r="O76" s="22">
        <v>46.2</v>
      </c>
      <c r="P76" s="22">
        <v>4.1137389999999998</v>
      </c>
      <c r="Q76" s="22">
        <v>46.2</v>
      </c>
      <c r="R76" s="22">
        <v>46.2</v>
      </c>
      <c r="S76" s="22">
        <v>46.2</v>
      </c>
      <c r="T76" s="22">
        <v>46.2</v>
      </c>
      <c r="U76" s="51" t="s">
        <v>214</v>
      </c>
      <c r="V76" s="55"/>
      <c r="W76" s="55">
        <v>187.2</v>
      </c>
      <c r="X76" s="49">
        <v>25750</v>
      </c>
    </row>
    <row r="77" spans="1:24" ht="12" customHeight="1" x14ac:dyDescent="0.2">
      <c r="A77" s="49">
        <v>25781</v>
      </c>
      <c r="B77" s="523"/>
      <c r="C77" s="523"/>
      <c r="D77" s="50"/>
      <c r="E77" s="50"/>
      <c r="F77" s="50"/>
      <c r="G77" s="50"/>
      <c r="H77" s="50"/>
      <c r="I77" s="50"/>
      <c r="J77" s="22">
        <v>50.638866</v>
      </c>
      <c r="K77" s="22">
        <v>46.61</v>
      </c>
      <c r="L77" s="22">
        <v>56.284379000000001</v>
      </c>
      <c r="M77" s="22">
        <v>45.913043000000002</v>
      </c>
      <c r="N77" s="22">
        <v>46.61</v>
      </c>
      <c r="O77" s="22">
        <v>46.61</v>
      </c>
      <c r="P77" s="22">
        <v>4.1502460000000001</v>
      </c>
      <c r="Q77" s="22">
        <v>46.61</v>
      </c>
      <c r="R77" s="22">
        <v>46.61</v>
      </c>
      <c r="S77" s="22">
        <v>46.61</v>
      </c>
      <c r="T77" s="22">
        <v>46.61</v>
      </c>
      <c r="U77" s="51" t="s">
        <v>214</v>
      </c>
      <c r="V77" s="55"/>
      <c r="W77" s="55">
        <v>187.2</v>
      </c>
      <c r="X77" s="49">
        <v>25781</v>
      </c>
    </row>
    <row r="78" spans="1:24" ht="12" customHeight="1" x14ac:dyDescent="0.2">
      <c r="A78" s="49">
        <v>25812</v>
      </c>
      <c r="B78" s="523"/>
      <c r="C78" s="523"/>
      <c r="D78" s="50"/>
      <c r="E78" s="50"/>
      <c r="F78" s="50"/>
      <c r="G78" s="50"/>
      <c r="H78" s="50"/>
      <c r="I78" s="50"/>
      <c r="J78" s="22">
        <v>51.438960000000002</v>
      </c>
      <c r="K78" s="22">
        <v>47.05</v>
      </c>
      <c r="L78" s="22">
        <v>56.734653999999999</v>
      </c>
      <c r="M78" s="22">
        <v>46.969042000000002</v>
      </c>
      <c r="N78" s="22">
        <v>47.05</v>
      </c>
      <c r="O78" s="22">
        <v>47.05</v>
      </c>
      <c r="P78" s="22">
        <v>4.1894239999999998</v>
      </c>
      <c r="Q78" s="22">
        <v>47.05</v>
      </c>
      <c r="R78" s="22">
        <v>47.05</v>
      </c>
      <c r="S78" s="22">
        <v>47.05</v>
      </c>
      <c r="T78" s="22">
        <v>47.05</v>
      </c>
      <c r="U78" s="51" t="s">
        <v>214</v>
      </c>
      <c r="V78" s="55"/>
      <c r="W78" s="55">
        <v>187.2</v>
      </c>
      <c r="X78" s="49">
        <v>25812</v>
      </c>
    </row>
    <row r="79" spans="1:24" ht="12" customHeight="1" x14ac:dyDescent="0.2">
      <c r="A79" s="49">
        <v>25842</v>
      </c>
      <c r="B79" s="523"/>
      <c r="C79" s="523"/>
      <c r="D79" s="50"/>
      <c r="E79" s="50"/>
      <c r="F79" s="50"/>
      <c r="G79" s="50"/>
      <c r="H79" s="50"/>
      <c r="I79" s="50"/>
      <c r="J79" s="22">
        <v>52.683782000000001</v>
      </c>
      <c r="K79" s="22">
        <v>47.61</v>
      </c>
      <c r="L79" s="22">
        <v>57.659427999999998</v>
      </c>
      <c r="M79" s="22">
        <v>47.903725000000001</v>
      </c>
      <c r="N79" s="22">
        <v>47.61</v>
      </c>
      <c r="O79" s="22">
        <v>47.61</v>
      </c>
      <c r="P79" s="22">
        <v>4.2392880000000002</v>
      </c>
      <c r="Q79" s="22">
        <v>47.61</v>
      </c>
      <c r="R79" s="22">
        <v>47.61</v>
      </c>
      <c r="S79" s="22">
        <v>47.61</v>
      </c>
      <c r="T79" s="22">
        <v>47.61</v>
      </c>
      <c r="U79" s="51" t="s">
        <v>214</v>
      </c>
      <c r="V79" s="55"/>
      <c r="W79" s="55">
        <v>187.2</v>
      </c>
      <c r="X79" s="49">
        <v>25842</v>
      </c>
    </row>
    <row r="80" spans="1:24" ht="12" customHeight="1" x14ac:dyDescent="0.2">
      <c r="A80" s="49">
        <v>25873</v>
      </c>
      <c r="B80" s="523"/>
      <c r="C80" s="523"/>
      <c r="D80" s="50"/>
      <c r="E80" s="50"/>
      <c r="F80" s="50"/>
      <c r="G80" s="50"/>
      <c r="H80" s="50"/>
      <c r="I80" s="50"/>
      <c r="J80" s="22">
        <v>53.289645</v>
      </c>
      <c r="K80" s="22">
        <v>48.51</v>
      </c>
      <c r="L80" s="22">
        <v>57.884298999999999</v>
      </c>
      <c r="M80" s="22">
        <v>48.617489999999997</v>
      </c>
      <c r="N80" s="22">
        <v>48.51</v>
      </c>
      <c r="O80" s="22">
        <v>48.51</v>
      </c>
      <c r="P80" s="22">
        <v>4.319426</v>
      </c>
      <c r="Q80" s="22">
        <v>48.51</v>
      </c>
      <c r="R80" s="22">
        <v>48.51</v>
      </c>
      <c r="S80" s="22">
        <v>48.51</v>
      </c>
      <c r="T80" s="22">
        <v>48.51</v>
      </c>
      <c r="U80" s="51" t="s">
        <v>214</v>
      </c>
      <c r="V80" s="55"/>
      <c r="W80" s="55">
        <v>187.2</v>
      </c>
      <c r="X80" s="49">
        <v>25873</v>
      </c>
    </row>
    <row r="81" spans="1:24" ht="12" customHeight="1" x14ac:dyDescent="0.2">
      <c r="A81" s="49">
        <v>25903</v>
      </c>
      <c r="B81" s="523"/>
      <c r="C81" s="523"/>
      <c r="D81" s="50"/>
      <c r="E81" s="50"/>
      <c r="F81" s="50"/>
      <c r="G81" s="50"/>
      <c r="H81" s="50"/>
      <c r="I81" s="50"/>
      <c r="J81" s="22">
        <v>53.801225000000002</v>
      </c>
      <c r="K81" s="22">
        <v>49.54</v>
      </c>
      <c r="L81" s="22">
        <v>58.110047000000002</v>
      </c>
      <c r="M81" s="22">
        <v>48.996706000000003</v>
      </c>
      <c r="N81" s="22">
        <v>49.54</v>
      </c>
      <c r="O81" s="22">
        <v>49.54</v>
      </c>
      <c r="P81" s="22">
        <v>4.4111390000000004</v>
      </c>
      <c r="Q81" s="22">
        <v>49.54</v>
      </c>
      <c r="R81" s="22">
        <v>49.54</v>
      </c>
      <c r="S81" s="22">
        <v>49.54</v>
      </c>
      <c r="T81" s="22">
        <v>49.54</v>
      </c>
      <c r="U81" s="51" t="s">
        <v>214</v>
      </c>
      <c r="V81" s="55"/>
      <c r="W81" s="55">
        <v>187.2</v>
      </c>
      <c r="X81" s="49">
        <v>25903</v>
      </c>
    </row>
    <row r="82" spans="1:24" ht="12" customHeight="1" x14ac:dyDescent="0.2">
      <c r="A82" s="49">
        <v>25934</v>
      </c>
      <c r="B82" s="523"/>
      <c r="C82" s="523"/>
      <c r="D82" s="50"/>
      <c r="E82" s="50"/>
      <c r="F82" s="50"/>
      <c r="G82" s="50"/>
      <c r="H82" s="50"/>
      <c r="I82" s="50"/>
      <c r="J82" s="22">
        <v>54.619002999999999</v>
      </c>
      <c r="K82" s="22">
        <v>50.51</v>
      </c>
      <c r="L82" s="22">
        <v>58.557493999999998</v>
      </c>
      <c r="M82" s="22">
        <v>49.373980000000003</v>
      </c>
      <c r="N82" s="22">
        <v>50.51</v>
      </c>
      <c r="O82" s="22">
        <v>50.51</v>
      </c>
      <c r="P82" s="22">
        <v>4.4975100000000001</v>
      </c>
      <c r="Q82" s="22">
        <v>50.51</v>
      </c>
      <c r="R82" s="22">
        <v>50.51</v>
      </c>
      <c r="S82" s="22">
        <v>50.51</v>
      </c>
      <c r="T82" s="22">
        <v>50.51</v>
      </c>
      <c r="U82" s="51" t="s">
        <v>214</v>
      </c>
      <c r="V82" s="55"/>
      <c r="W82" s="55">
        <v>187.2</v>
      </c>
      <c r="X82" s="49">
        <v>25934</v>
      </c>
    </row>
    <row r="83" spans="1:24" ht="12" customHeight="1" x14ac:dyDescent="0.2">
      <c r="A83" s="49">
        <v>25965</v>
      </c>
      <c r="B83" s="523"/>
      <c r="C83" s="523"/>
      <c r="D83" s="50"/>
      <c r="E83" s="50"/>
      <c r="F83" s="50"/>
      <c r="G83" s="50"/>
      <c r="H83" s="50"/>
      <c r="I83" s="50"/>
      <c r="J83" s="22">
        <v>55.809697</v>
      </c>
      <c r="K83" s="22">
        <v>51.44</v>
      </c>
      <c r="L83" s="22">
        <v>59.230905</v>
      </c>
      <c r="M83" s="22">
        <v>50.168900999999998</v>
      </c>
      <c r="N83" s="22">
        <v>51.44</v>
      </c>
      <c r="O83" s="22">
        <v>51.44</v>
      </c>
      <c r="P83" s="22">
        <v>4.5803190000000003</v>
      </c>
      <c r="Q83" s="22">
        <v>51.44</v>
      </c>
      <c r="R83" s="22">
        <v>51.44</v>
      </c>
      <c r="S83" s="22">
        <v>51.44</v>
      </c>
      <c r="T83" s="22">
        <v>51.44</v>
      </c>
      <c r="U83" s="51" t="s">
        <v>214</v>
      </c>
      <c r="V83" s="55"/>
      <c r="W83" s="55">
        <v>187.2</v>
      </c>
      <c r="X83" s="49">
        <v>25965</v>
      </c>
    </row>
    <row r="84" spans="1:24" ht="12" customHeight="1" x14ac:dyDescent="0.2">
      <c r="A84" s="49">
        <v>25993</v>
      </c>
      <c r="B84" s="523"/>
      <c r="C84" s="523"/>
      <c r="D84" s="50"/>
      <c r="E84" s="50"/>
      <c r="F84" s="50"/>
      <c r="G84" s="50"/>
      <c r="H84" s="50"/>
      <c r="I84" s="50"/>
      <c r="J84" s="22">
        <v>56.842176000000002</v>
      </c>
      <c r="K84" s="22">
        <v>52.12</v>
      </c>
      <c r="L84" s="22">
        <v>60.350369000000001</v>
      </c>
      <c r="M84" s="22">
        <v>50.946517999999998</v>
      </c>
      <c r="N84" s="22">
        <v>52.12</v>
      </c>
      <c r="O84" s="22">
        <v>52.12</v>
      </c>
      <c r="P84" s="22">
        <v>4.6408670000000001</v>
      </c>
      <c r="Q84" s="22">
        <v>52.12</v>
      </c>
      <c r="R84" s="22">
        <v>52.12</v>
      </c>
      <c r="S84" s="22">
        <v>52.12</v>
      </c>
      <c r="T84" s="22">
        <v>52.12</v>
      </c>
      <c r="U84" s="51" t="s">
        <v>214</v>
      </c>
      <c r="V84" s="55"/>
      <c r="W84" s="55">
        <v>187.2</v>
      </c>
      <c r="X84" s="49">
        <v>25993</v>
      </c>
    </row>
    <row r="85" spans="1:24" ht="12" customHeight="1" x14ac:dyDescent="0.2">
      <c r="A85" s="49">
        <v>26024</v>
      </c>
      <c r="B85" s="523"/>
      <c r="C85" s="523"/>
      <c r="D85" s="50"/>
      <c r="E85" s="50"/>
      <c r="F85" s="50"/>
      <c r="G85" s="50"/>
      <c r="H85" s="50"/>
      <c r="I85" s="50"/>
      <c r="J85" s="22">
        <v>58.490599000000003</v>
      </c>
      <c r="K85" s="22">
        <v>52.64</v>
      </c>
      <c r="L85" s="22">
        <v>61.026293000000003</v>
      </c>
      <c r="M85" s="22">
        <v>51.960352999999998</v>
      </c>
      <c r="N85" s="22">
        <v>52.64</v>
      </c>
      <c r="O85" s="22">
        <v>52.64</v>
      </c>
      <c r="P85" s="22">
        <v>4.6871689999999999</v>
      </c>
      <c r="Q85" s="22">
        <v>52.64</v>
      </c>
      <c r="R85" s="22">
        <v>52.64</v>
      </c>
      <c r="S85" s="22">
        <v>52.64</v>
      </c>
      <c r="T85" s="22">
        <v>52.64</v>
      </c>
      <c r="U85" s="51" t="s">
        <v>214</v>
      </c>
      <c r="V85" s="55"/>
      <c r="W85" s="55">
        <v>187.2</v>
      </c>
      <c r="X85" s="49">
        <v>26024</v>
      </c>
    </row>
    <row r="86" spans="1:24" ht="12" customHeight="1" x14ac:dyDescent="0.2">
      <c r="A86" s="49">
        <v>26054</v>
      </c>
      <c r="B86" s="523"/>
      <c r="C86" s="523"/>
      <c r="D86" s="50"/>
      <c r="E86" s="50"/>
      <c r="F86" s="50"/>
      <c r="G86" s="50"/>
      <c r="H86" s="50"/>
      <c r="I86" s="50"/>
      <c r="J86" s="22">
        <v>59.268523000000002</v>
      </c>
      <c r="K86" s="22">
        <v>53.25</v>
      </c>
      <c r="L86" s="22">
        <v>62.149175999999997</v>
      </c>
      <c r="M86" s="22">
        <v>52.859267000000003</v>
      </c>
      <c r="N86" s="22">
        <v>53.25</v>
      </c>
      <c r="O86" s="22">
        <v>53.25</v>
      </c>
      <c r="P86" s="22">
        <v>4.7414849999999999</v>
      </c>
      <c r="Q86" s="22">
        <v>53.25</v>
      </c>
      <c r="R86" s="22">
        <v>53.25</v>
      </c>
      <c r="S86" s="22">
        <v>53.25</v>
      </c>
      <c r="T86" s="22">
        <v>53.25</v>
      </c>
      <c r="U86" s="51" t="s">
        <v>214</v>
      </c>
      <c r="V86" s="55"/>
      <c r="W86" s="55">
        <v>225.6</v>
      </c>
      <c r="X86" s="49">
        <v>26054</v>
      </c>
    </row>
    <row r="87" spans="1:24" ht="12" customHeight="1" x14ac:dyDescent="0.2">
      <c r="A87" s="49">
        <v>26085</v>
      </c>
      <c r="B87" s="523"/>
      <c r="C87" s="523"/>
      <c r="D87" s="50"/>
      <c r="E87" s="50"/>
      <c r="F87" s="50"/>
      <c r="G87" s="50"/>
      <c r="H87" s="50"/>
      <c r="I87" s="50"/>
      <c r="J87" s="22">
        <v>60.299795000000003</v>
      </c>
      <c r="K87" s="22">
        <v>54.01</v>
      </c>
      <c r="L87" s="22">
        <v>63.274076000000001</v>
      </c>
      <c r="M87" s="22">
        <v>53.831876999999999</v>
      </c>
      <c r="N87" s="22">
        <v>54.01</v>
      </c>
      <c r="O87" s="22">
        <v>54.01</v>
      </c>
      <c r="P87" s="22">
        <v>4.8091559999999998</v>
      </c>
      <c r="Q87" s="22">
        <v>54.01</v>
      </c>
      <c r="R87" s="22">
        <v>54.01</v>
      </c>
      <c r="S87" s="22">
        <v>54.01</v>
      </c>
      <c r="T87" s="22">
        <v>54.01</v>
      </c>
      <c r="U87" s="51" t="s">
        <v>214</v>
      </c>
      <c r="V87" s="55"/>
      <c r="W87" s="55">
        <v>225.6</v>
      </c>
      <c r="X87" s="49">
        <v>26085</v>
      </c>
    </row>
    <row r="88" spans="1:24" ht="12" customHeight="1" x14ac:dyDescent="0.2">
      <c r="A88" s="49">
        <v>26115</v>
      </c>
      <c r="B88" s="523"/>
      <c r="C88" s="523"/>
      <c r="D88" s="50"/>
      <c r="E88" s="50"/>
      <c r="F88" s="50"/>
      <c r="G88" s="50"/>
      <c r="H88" s="50"/>
      <c r="I88" s="50"/>
      <c r="J88" s="22">
        <v>61.51182</v>
      </c>
      <c r="K88" s="22">
        <v>55.08</v>
      </c>
      <c r="L88" s="22">
        <v>63.944780999999999</v>
      </c>
      <c r="M88" s="22">
        <v>55.059243000000002</v>
      </c>
      <c r="N88" s="22">
        <v>55.08</v>
      </c>
      <c r="O88" s="22">
        <v>55.08</v>
      </c>
      <c r="P88" s="22">
        <v>4.9044309999999998</v>
      </c>
      <c r="Q88" s="22">
        <v>55.08</v>
      </c>
      <c r="R88" s="22">
        <v>55.08</v>
      </c>
      <c r="S88" s="22">
        <v>55.08</v>
      </c>
      <c r="T88" s="22">
        <v>55.08</v>
      </c>
      <c r="U88" s="51" t="s">
        <v>214</v>
      </c>
      <c r="V88" s="55"/>
      <c r="W88" s="55">
        <v>225.6</v>
      </c>
      <c r="X88" s="49">
        <v>26115</v>
      </c>
    </row>
    <row r="89" spans="1:24" ht="12" customHeight="1" x14ac:dyDescent="0.2">
      <c r="A89" s="49">
        <v>26146</v>
      </c>
      <c r="B89" s="523"/>
      <c r="C89" s="523"/>
      <c r="D89" s="50"/>
      <c r="E89" s="50"/>
      <c r="F89" s="50"/>
      <c r="G89" s="50"/>
      <c r="H89" s="50"/>
      <c r="I89" s="50"/>
      <c r="J89" s="22">
        <v>62.329926999999998</v>
      </c>
      <c r="K89" s="22">
        <v>56.18</v>
      </c>
      <c r="L89" s="22">
        <v>64.616201000000004</v>
      </c>
      <c r="M89" s="22">
        <v>55.879624999999997</v>
      </c>
      <c r="N89" s="22">
        <v>56.18</v>
      </c>
      <c r="O89" s="22">
        <v>56.18</v>
      </c>
      <c r="P89" s="22">
        <v>5.0023770000000001</v>
      </c>
      <c r="Q89" s="22">
        <v>56.18</v>
      </c>
      <c r="R89" s="22">
        <v>56.18</v>
      </c>
      <c r="S89" s="22">
        <v>56.18</v>
      </c>
      <c r="T89" s="22">
        <v>56.18</v>
      </c>
      <c r="U89" s="51" t="s">
        <v>214</v>
      </c>
      <c r="V89" s="55"/>
      <c r="W89" s="55">
        <v>225.6</v>
      </c>
      <c r="X89" s="49">
        <v>26146</v>
      </c>
    </row>
    <row r="90" spans="1:24" ht="12" customHeight="1" x14ac:dyDescent="0.2">
      <c r="A90" s="49">
        <v>26177</v>
      </c>
      <c r="B90" s="523"/>
      <c r="C90" s="523"/>
      <c r="D90" s="50"/>
      <c r="E90" s="50"/>
      <c r="F90" s="50"/>
      <c r="G90" s="50"/>
      <c r="H90" s="50"/>
      <c r="I90" s="50"/>
      <c r="J90" s="22">
        <v>63.208778000000002</v>
      </c>
      <c r="K90" s="22">
        <v>57.36</v>
      </c>
      <c r="L90" s="22">
        <v>65.062051999999994</v>
      </c>
      <c r="M90" s="22">
        <v>56.399304999999998</v>
      </c>
      <c r="N90" s="22">
        <v>57.36</v>
      </c>
      <c r="O90" s="22">
        <v>57.36</v>
      </c>
      <c r="P90" s="22">
        <v>5.1074469999999996</v>
      </c>
      <c r="Q90" s="22">
        <v>57.36</v>
      </c>
      <c r="R90" s="22">
        <v>57.36</v>
      </c>
      <c r="S90" s="22">
        <v>57.36</v>
      </c>
      <c r="T90" s="22">
        <v>57.36</v>
      </c>
      <c r="U90" s="51" t="s">
        <v>214</v>
      </c>
      <c r="V90" s="55"/>
      <c r="W90" s="55">
        <v>225.6</v>
      </c>
      <c r="X90" s="49">
        <v>26177</v>
      </c>
    </row>
    <row r="91" spans="1:24" ht="12" customHeight="1" x14ac:dyDescent="0.2">
      <c r="A91" s="49">
        <v>26207</v>
      </c>
      <c r="B91" s="523"/>
      <c r="C91" s="523"/>
      <c r="D91" s="50"/>
      <c r="E91" s="50"/>
      <c r="F91" s="50"/>
      <c r="G91" s="50"/>
      <c r="H91" s="50"/>
      <c r="I91" s="50"/>
      <c r="J91" s="22">
        <v>63.695484999999998</v>
      </c>
      <c r="K91" s="22">
        <v>58.61</v>
      </c>
      <c r="L91" s="22">
        <v>65.510980000000004</v>
      </c>
      <c r="M91" s="22">
        <v>57.211454000000003</v>
      </c>
      <c r="N91" s="22">
        <v>58.61</v>
      </c>
      <c r="O91" s="22">
        <v>58.61</v>
      </c>
      <c r="P91" s="22">
        <v>5.2187489999999999</v>
      </c>
      <c r="Q91" s="22">
        <v>58.61</v>
      </c>
      <c r="R91" s="22">
        <v>58.61</v>
      </c>
      <c r="S91" s="22">
        <v>58.61</v>
      </c>
      <c r="T91" s="22">
        <v>58.61</v>
      </c>
      <c r="U91" s="51" t="s">
        <v>214</v>
      </c>
      <c r="V91" s="55"/>
      <c r="W91" s="55">
        <v>225.6</v>
      </c>
      <c r="X91" s="49">
        <v>26207</v>
      </c>
    </row>
    <row r="92" spans="1:24" ht="12" customHeight="1" x14ac:dyDescent="0.2">
      <c r="A92" s="49">
        <v>26238</v>
      </c>
      <c r="B92" s="523"/>
      <c r="C92" s="523"/>
      <c r="D92" s="50"/>
      <c r="E92" s="50"/>
      <c r="F92" s="50"/>
      <c r="G92" s="50"/>
      <c r="H92" s="50"/>
      <c r="I92" s="50"/>
      <c r="J92" s="22">
        <v>64.453461000000004</v>
      </c>
      <c r="K92" s="22">
        <v>59.79</v>
      </c>
      <c r="L92" s="22">
        <v>65.733716999999999</v>
      </c>
      <c r="M92" s="22">
        <v>57.909433</v>
      </c>
      <c r="N92" s="22">
        <v>59.79</v>
      </c>
      <c r="O92" s="22">
        <v>59.79</v>
      </c>
      <c r="P92" s="22">
        <v>5.3238190000000003</v>
      </c>
      <c r="Q92" s="22">
        <v>59.79</v>
      </c>
      <c r="R92" s="22">
        <v>59.79</v>
      </c>
      <c r="S92" s="22">
        <v>59.79</v>
      </c>
      <c r="T92" s="22">
        <v>59.79</v>
      </c>
      <c r="U92" s="51" t="s">
        <v>214</v>
      </c>
      <c r="V92" s="55"/>
      <c r="W92" s="55">
        <v>225.6</v>
      </c>
      <c r="X92" s="49">
        <v>26238</v>
      </c>
    </row>
    <row r="93" spans="1:24" ht="12" customHeight="1" x14ac:dyDescent="0.2">
      <c r="A93" s="49">
        <v>26268</v>
      </c>
      <c r="B93" s="523"/>
      <c r="C93" s="523"/>
      <c r="D93" s="50"/>
      <c r="E93" s="50"/>
      <c r="F93" s="50"/>
      <c r="G93" s="50"/>
      <c r="H93" s="50"/>
      <c r="I93" s="50"/>
      <c r="J93" s="22">
        <v>65.284909999999996</v>
      </c>
      <c r="K93" s="22">
        <v>60.77</v>
      </c>
      <c r="L93" s="22">
        <v>65.957211000000001</v>
      </c>
      <c r="M93" s="22">
        <v>58.500109000000002</v>
      </c>
      <c r="N93" s="22">
        <v>60.77</v>
      </c>
      <c r="O93" s="22">
        <v>60.77</v>
      </c>
      <c r="P93" s="22">
        <v>5.4110800000000001</v>
      </c>
      <c r="Q93" s="22">
        <v>60.77</v>
      </c>
      <c r="R93" s="22">
        <v>60.77</v>
      </c>
      <c r="S93" s="22">
        <v>60.77</v>
      </c>
      <c r="T93" s="22">
        <v>60.77</v>
      </c>
      <c r="U93" s="51" t="s">
        <v>214</v>
      </c>
      <c r="V93" s="55"/>
      <c r="W93" s="55">
        <v>225.6</v>
      </c>
      <c r="X93" s="49">
        <v>26268</v>
      </c>
    </row>
    <row r="94" spans="1:24" ht="12" customHeight="1" x14ac:dyDescent="0.2">
      <c r="A94" s="49">
        <v>26299</v>
      </c>
      <c r="B94" s="523"/>
      <c r="C94" s="523"/>
      <c r="D94" s="50"/>
      <c r="E94" s="50"/>
      <c r="F94" s="50"/>
      <c r="G94" s="50"/>
      <c r="H94" s="50"/>
      <c r="I94" s="50"/>
      <c r="J94" s="22">
        <v>65.872473999999997</v>
      </c>
      <c r="K94" s="22">
        <v>61.52</v>
      </c>
      <c r="L94" s="22">
        <v>65.957211000000001</v>
      </c>
      <c r="M94" s="22">
        <v>58.991509000000001</v>
      </c>
      <c r="N94" s="22">
        <v>61.52</v>
      </c>
      <c r="O94" s="22">
        <v>61.52</v>
      </c>
      <c r="P94" s="22">
        <v>5.477862</v>
      </c>
      <c r="Q94" s="22">
        <v>61.52</v>
      </c>
      <c r="R94" s="22">
        <v>61.52</v>
      </c>
      <c r="S94" s="22">
        <v>61.52</v>
      </c>
      <c r="T94" s="22">
        <v>61.52</v>
      </c>
      <c r="U94" s="51" t="s">
        <v>214</v>
      </c>
      <c r="V94" s="55"/>
      <c r="W94" s="55">
        <v>225.6</v>
      </c>
      <c r="X94" s="49">
        <v>26299</v>
      </c>
    </row>
    <row r="95" spans="1:24" ht="12" customHeight="1" x14ac:dyDescent="0.2">
      <c r="A95" s="49">
        <v>26330</v>
      </c>
      <c r="B95" s="523"/>
      <c r="C95" s="523"/>
      <c r="D95" s="50"/>
      <c r="E95" s="50"/>
      <c r="F95" s="50"/>
      <c r="G95" s="50"/>
      <c r="H95" s="50"/>
      <c r="I95" s="50"/>
      <c r="J95" s="22">
        <v>67.348016999999999</v>
      </c>
      <c r="K95" s="22">
        <v>62.26</v>
      </c>
      <c r="L95" s="22">
        <v>66.432102</v>
      </c>
      <c r="M95" s="22">
        <v>59.970768</v>
      </c>
      <c r="N95" s="22">
        <v>62.26</v>
      </c>
      <c r="O95" s="22">
        <v>62.26</v>
      </c>
      <c r="P95" s="22">
        <v>5.5437529999999997</v>
      </c>
      <c r="Q95" s="22">
        <v>62.26</v>
      </c>
      <c r="R95" s="22">
        <v>62.26</v>
      </c>
      <c r="S95" s="22">
        <v>62.26</v>
      </c>
      <c r="T95" s="22">
        <v>62.26</v>
      </c>
      <c r="U95" s="51" t="s">
        <v>214</v>
      </c>
      <c r="V95" s="55"/>
      <c r="W95" s="55">
        <v>225.6</v>
      </c>
      <c r="X95" s="49">
        <v>26330</v>
      </c>
    </row>
    <row r="96" spans="1:24" ht="12" customHeight="1" x14ac:dyDescent="0.2">
      <c r="A96" s="49">
        <v>26359</v>
      </c>
      <c r="B96" s="523"/>
      <c r="C96" s="523"/>
      <c r="D96" s="50"/>
      <c r="E96" s="50"/>
      <c r="F96" s="50"/>
      <c r="G96" s="50"/>
      <c r="H96" s="50"/>
      <c r="I96" s="50"/>
      <c r="J96" s="22">
        <v>68.297623999999999</v>
      </c>
      <c r="K96" s="22">
        <v>63.09</v>
      </c>
      <c r="L96" s="22">
        <v>66.883840000000006</v>
      </c>
      <c r="M96" s="22">
        <v>61.152191999999999</v>
      </c>
      <c r="N96" s="22">
        <v>63.09</v>
      </c>
      <c r="O96" s="22">
        <v>63.09</v>
      </c>
      <c r="P96" s="22">
        <v>5.6176570000000003</v>
      </c>
      <c r="Q96" s="22">
        <v>63.09</v>
      </c>
      <c r="R96" s="22">
        <v>63.09</v>
      </c>
      <c r="S96" s="22">
        <v>63.09</v>
      </c>
      <c r="T96" s="22">
        <v>63.09</v>
      </c>
      <c r="U96" s="51" t="s">
        <v>214</v>
      </c>
      <c r="V96" s="55"/>
      <c r="W96" s="55">
        <v>225.6</v>
      </c>
      <c r="X96" s="49">
        <v>26359</v>
      </c>
    </row>
    <row r="97" spans="1:24" ht="12" customHeight="1" x14ac:dyDescent="0.2">
      <c r="A97" s="49">
        <v>26390</v>
      </c>
      <c r="B97" s="523"/>
      <c r="C97" s="523"/>
      <c r="D97" s="50"/>
      <c r="E97" s="50"/>
      <c r="F97" s="50"/>
      <c r="G97" s="50"/>
      <c r="H97" s="50"/>
      <c r="I97" s="50"/>
      <c r="J97" s="22">
        <v>68.980599999999995</v>
      </c>
      <c r="K97" s="22">
        <v>63.81</v>
      </c>
      <c r="L97" s="22">
        <v>69.351853000000006</v>
      </c>
      <c r="M97" s="22">
        <v>62.142856999999999</v>
      </c>
      <c r="N97" s="22">
        <v>63.81</v>
      </c>
      <c r="O97" s="22">
        <v>63.81</v>
      </c>
      <c r="P97" s="22">
        <v>5.6817679999999999</v>
      </c>
      <c r="Q97" s="22">
        <v>63.81</v>
      </c>
      <c r="R97" s="22">
        <v>63.81</v>
      </c>
      <c r="S97" s="22">
        <v>63.81</v>
      </c>
      <c r="T97" s="22">
        <v>63.81</v>
      </c>
      <c r="U97" s="51" t="s">
        <v>214</v>
      </c>
      <c r="V97" s="55"/>
      <c r="W97" s="55">
        <v>225.6</v>
      </c>
      <c r="X97" s="49">
        <v>26390</v>
      </c>
    </row>
    <row r="98" spans="1:24" ht="12" customHeight="1" x14ac:dyDescent="0.2">
      <c r="A98" s="49">
        <v>26420</v>
      </c>
      <c r="B98" s="523"/>
      <c r="C98" s="523"/>
      <c r="D98" s="50"/>
      <c r="E98" s="50"/>
      <c r="F98" s="50"/>
      <c r="G98" s="50"/>
      <c r="H98" s="50"/>
      <c r="I98" s="50"/>
      <c r="J98" s="22">
        <v>69.822163000000003</v>
      </c>
      <c r="K98" s="22">
        <v>64.66</v>
      </c>
      <c r="L98" s="22">
        <v>72.042704000000001</v>
      </c>
      <c r="M98" s="22">
        <v>62.813999000000003</v>
      </c>
      <c r="N98" s="22">
        <v>64.66</v>
      </c>
      <c r="O98" s="22">
        <v>64.66</v>
      </c>
      <c r="P98" s="22">
        <v>5.7574529999999999</v>
      </c>
      <c r="Q98" s="22">
        <v>64.66</v>
      </c>
      <c r="R98" s="22">
        <v>64.66</v>
      </c>
      <c r="S98" s="22">
        <v>64.66</v>
      </c>
      <c r="T98" s="22">
        <v>64.66</v>
      </c>
      <c r="U98" s="51" t="s">
        <v>214</v>
      </c>
      <c r="V98" s="55"/>
      <c r="W98" s="55">
        <v>268.8</v>
      </c>
      <c r="X98" s="49">
        <v>26420</v>
      </c>
    </row>
    <row r="99" spans="1:24" ht="12" customHeight="1" x14ac:dyDescent="0.2">
      <c r="A99" s="49">
        <v>26451</v>
      </c>
      <c r="B99" s="523"/>
      <c r="C99" s="523"/>
      <c r="D99" s="50"/>
      <c r="E99" s="50"/>
      <c r="F99" s="50"/>
      <c r="G99" s="50"/>
      <c r="H99" s="50"/>
      <c r="I99" s="50"/>
      <c r="J99" s="22">
        <v>70.282989000000001</v>
      </c>
      <c r="K99" s="22">
        <v>65.75</v>
      </c>
      <c r="L99" s="22">
        <v>75.212581999999998</v>
      </c>
      <c r="M99" s="22">
        <v>63.354199000000001</v>
      </c>
      <c r="N99" s="22">
        <v>65.75</v>
      </c>
      <c r="O99" s="22">
        <v>65.75</v>
      </c>
      <c r="P99" s="22">
        <v>5.8545090000000002</v>
      </c>
      <c r="Q99" s="22">
        <v>65.75</v>
      </c>
      <c r="R99" s="22">
        <v>65.75</v>
      </c>
      <c r="S99" s="22">
        <v>65.75</v>
      </c>
      <c r="T99" s="22">
        <v>65.75</v>
      </c>
      <c r="U99" s="51" t="s">
        <v>214</v>
      </c>
      <c r="V99" s="55"/>
      <c r="W99" s="55">
        <v>268.8</v>
      </c>
      <c r="X99" s="49">
        <v>26451</v>
      </c>
    </row>
    <row r="100" spans="1:24" ht="12" customHeight="1" x14ac:dyDescent="0.2">
      <c r="A100" s="49">
        <v>26481</v>
      </c>
      <c r="B100" s="523"/>
      <c r="C100" s="523"/>
      <c r="D100" s="50"/>
      <c r="E100" s="50"/>
      <c r="F100" s="50"/>
      <c r="G100" s="50"/>
      <c r="H100" s="50"/>
      <c r="I100" s="50"/>
      <c r="J100" s="22">
        <v>71.070158000000006</v>
      </c>
      <c r="K100" s="22">
        <v>66.930000000000007</v>
      </c>
      <c r="L100" s="22">
        <v>75.438219000000004</v>
      </c>
      <c r="M100" s="22">
        <v>64.032088000000002</v>
      </c>
      <c r="N100" s="22">
        <v>66.930000000000007</v>
      </c>
      <c r="O100" s="22">
        <v>66.930000000000007</v>
      </c>
      <c r="P100" s="22">
        <v>5.9595789999999997</v>
      </c>
      <c r="Q100" s="22">
        <v>66.930000000000007</v>
      </c>
      <c r="R100" s="22">
        <v>66.930000000000007</v>
      </c>
      <c r="S100" s="22">
        <v>66.930000000000007</v>
      </c>
      <c r="T100" s="22">
        <v>66.930000000000007</v>
      </c>
      <c r="U100" s="51" t="s">
        <v>214</v>
      </c>
      <c r="V100" s="55"/>
      <c r="W100" s="55">
        <v>268.8</v>
      </c>
      <c r="X100" s="49">
        <v>26481</v>
      </c>
    </row>
    <row r="101" spans="1:24" ht="12" customHeight="1" x14ac:dyDescent="0.2">
      <c r="A101" s="49">
        <v>26512</v>
      </c>
      <c r="B101" s="523"/>
      <c r="C101" s="523"/>
      <c r="D101" s="50"/>
      <c r="E101" s="50"/>
      <c r="F101" s="50"/>
      <c r="G101" s="50"/>
      <c r="H101" s="50"/>
      <c r="I101" s="50"/>
      <c r="J101" s="22">
        <v>72.718985000000004</v>
      </c>
      <c r="K101" s="22">
        <v>67.89</v>
      </c>
      <c r="L101" s="22">
        <v>76.335932999999997</v>
      </c>
      <c r="M101" s="22">
        <v>64.915729999999996</v>
      </c>
      <c r="N101" s="22">
        <v>67.89</v>
      </c>
      <c r="O101" s="22">
        <v>67.89</v>
      </c>
      <c r="P101" s="22">
        <v>6.0450590000000002</v>
      </c>
      <c r="Q101" s="22">
        <v>67.89</v>
      </c>
      <c r="R101" s="22">
        <v>67.89</v>
      </c>
      <c r="S101" s="22">
        <v>67.89</v>
      </c>
      <c r="T101" s="22">
        <v>67.89</v>
      </c>
      <c r="U101" s="51" t="s">
        <v>214</v>
      </c>
      <c r="V101" s="55"/>
      <c r="W101" s="55">
        <v>268.8</v>
      </c>
      <c r="X101" s="49">
        <v>26512</v>
      </c>
    </row>
    <row r="102" spans="1:24" ht="12" customHeight="1" x14ac:dyDescent="0.2">
      <c r="A102" s="49">
        <v>26543</v>
      </c>
      <c r="B102" s="523"/>
      <c r="C102" s="523"/>
      <c r="D102" s="50"/>
      <c r="E102" s="50"/>
      <c r="F102" s="50"/>
      <c r="G102" s="50"/>
      <c r="H102" s="50"/>
      <c r="I102" s="50"/>
      <c r="J102" s="22">
        <v>73.991567000000003</v>
      </c>
      <c r="K102" s="22">
        <v>68.459999999999994</v>
      </c>
      <c r="L102" s="22">
        <v>77.458071000000004</v>
      </c>
      <c r="M102" s="22">
        <v>65.844024000000005</v>
      </c>
      <c r="N102" s="22">
        <v>68.459999999999994</v>
      </c>
      <c r="O102" s="22">
        <v>68.459999999999994</v>
      </c>
      <c r="P102" s="22">
        <v>6.0958129999999997</v>
      </c>
      <c r="Q102" s="22">
        <v>68.459999999999994</v>
      </c>
      <c r="R102" s="22">
        <v>68.459999999999994</v>
      </c>
      <c r="S102" s="22">
        <v>68.459999999999994</v>
      </c>
      <c r="T102" s="22">
        <v>68.459999999999994</v>
      </c>
      <c r="U102" s="51" t="s">
        <v>214</v>
      </c>
      <c r="V102" s="55"/>
      <c r="W102" s="55">
        <v>268.8</v>
      </c>
      <c r="X102" s="49">
        <v>26543</v>
      </c>
    </row>
    <row r="103" spans="1:24" ht="12" customHeight="1" x14ac:dyDescent="0.2">
      <c r="A103" s="49">
        <v>26573</v>
      </c>
      <c r="B103" s="523"/>
      <c r="C103" s="523"/>
      <c r="D103" s="50"/>
      <c r="E103" s="50"/>
      <c r="F103" s="50"/>
      <c r="G103" s="50"/>
      <c r="H103" s="50"/>
      <c r="I103" s="50"/>
      <c r="J103" s="22">
        <v>75.138435999999999</v>
      </c>
      <c r="K103" s="22">
        <v>68.95</v>
      </c>
      <c r="L103" s="22">
        <v>78.131956000000002</v>
      </c>
      <c r="M103" s="22">
        <v>66.581477000000007</v>
      </c>
      <c r="N103" s="22">
        <v>68.95</v>
      </c>
      <c r="O103" s="22">
        <v>68.95</v>
      </c>
      <c r="P103" s="22">
        <v>6.139443</v>
      </c>
      <c r="Q103" s="22">
        <v>68.95</v>
      </c>
      <c r="R103" s="22">
        <v>68.95</v>
      </c>
      <c r="S103" s="22">
        <v>68.95</v>
      </c>
      <c r="T103" s="22">
        <v>68.95</v>
      </c>
      <c r="U103" s="51" t="s">
        <v>214</v>
      </c>
      <c r="V103" s="55"/>
      <c r="W103" s="55">
        <v>268.8</v>
      </c>
      <c r="X103" s="49">
        <v>26573</v>
      </c>
    </row>
    <row r="104" spans="1:24" ht="12" customHeight="1" x14ac:dyDescent="0.2">
      <c r="A104" s="49">
        <v>26604</v>
      </c>
      <c r="B104" s="523"/>
      <c r="C104" s="523"/>
      <c r="D104" s="50"/>
      <c r="E104" s="50"/>
      <c r="F104" s="50"/>
      <c r="G104" s="50"/>
      <c r="H104" s="50"/>
      <c r="I104" s="50"/>
      <c r="J104" s="22">
        <v>76.475899999999996</v>
      </c>
      <c r="K104" s="22">
        <v>69.61</v>
      </c>
      <c r="L104" s="22">
        <v>78.358537999999996</v>
      </c>
      <c r="M104" s="22">
        <v>67.207341999999997</v>
      </c>
      <c r="N104" s="22">
        <v>69.61</v>
      </c>
      <c r="O104" s="22">
        <v>69.61</v>
      </c>
      <c r="P104" s="22">
        <v>6.1982109999999997</v>
      </c>
      <c r="Q104" s="22">
        <v>69.61</v>
      </c>
      <c r="R104" s="22">
        <v>69.61</v>
      </c>
      <c r="S104" s="22">
        <v>69.61</v>
      </c>
      <c r="T104" s="22">
        <v>69.61</v>
      </c>
      <c r="U104" s="51" t="s">
        <v>214</v>
      </c>
      <c r="V104" s="55"/>
      <c r="W104" s="55">
        <v>268.8</v>
      </c>
      <c r="X104" s="49">
        <v>26604</v>
      </c>
    </row>
    <row r="105" spans="1:24" ht="12" customHeight="1" x14ac:dyDescent="0.2">
      <c r="A105" s="49">
        <v>26634</v>
      </c>
      <c r="B105" s="523"/>
      <c r="C105" s="523"/>
      <c r="D105" s="50"/>
      <c r="E105" s="50"/>
      <c r="F105" s="50"/>
      <c r="G105" s="50"/>
      <c r="H105" s="50"/>
      <c r="I105" s="50"/>
      <c r="J105" s="22">
        <v>77.156535000000005</v>
      </c>
      <c r="K105" s="22">
        <v>70.069999999999993</v>
      </c>
      <c r="L105" s="22">
        <v>78.585776999999993</v>
      </c>
      <c r="M105" s="22">
        <v>67.792045000000002</v>
      </c>
      <c r="N105" s="22">
        <v>70.069999999999993</v>
      </c>
      <c r="O105" s="22">
        <v>70.069999999999993</v>
      </c>
      <c r="P105" s="22">
        <v>6.2391699999999997</v>
      </c>
      <c r="Q105" s="22">
        <v>70.069999999999993</v>
      </c>
      <c r="R105" s="22">
        <v>70.069999999999993</v>
      </c>
      <c r="S105" s="22">
        <v>70.069999999999993</v>
      </c>
      <c r="T105" s="22">
        <v>70.069999999999993</v>
      </c>
      <c r="U105" s="51" t="s">
        <v>214</v>
      </c>
      <c r="V105" s="55"/>
      <c r="W105" s="55">
        <v>268.8</v>
      </c>
      <c r="X105" s="49">
        <v>26634</v>
      </c>
    </row>
    <row r="106" spans="1:24" ht="12" customHeight="1" x14ac:dyDescent="0.2">
      <c r="A106" s="49">
        <v>26665</v>
      </c>
      <c r="B106" s="523"/>
      <c r="C106" s="523"/>
      <c r="D106" s="50"/>
      <c r="E106" s="50"/>
      <c r="F106" s="50"/>
      <c r="G106" s="50"/>
      <c r="H106" s="50"/>
      <c r="I106" s="50"/>
      <c r="J106" s="22">
        <v>77.372573000000003</v>
      </c>
      <c r="K106" s="22">
        <v>70.87</v>
      </c>
      <c r="L106" s="22">
        <v>79.033715000000001</v>
      </c>
      <c r="M106" s="22">
        <v>68.273368000000005</v>
      </c>
      <c r="N106" s="22">
        <v>70.87</v>
      </c>
      <c r="O106" s="22">
        <v>70.87</v>
      </c>
      <c r="P106" s="22">
        <v>6.3104040000000001</v>
      </c>
      <c r="Q106" s="22">
        <v>70.87</v>
      </c>
      <c r="R106" s="22">
        <v>70.87</v>
      </c>
      <c r="S106" s="22">
        <v>70.87</v>
      </c>
      <c r="T106" s="22">
        <v>70.87</v>
      </c>
      <c r="U106" s="51" t="s">
        <v>214</v>
      </c>
      <c r="V106" s="55"/>
      <c r="W106" s="55">
        <v>268.8</v>
      </c>
      <c r="X106" s="49">
        <v>26665</v>
      </c>
    </row>
    <row r="107" spans="1:24" ht="12" customHeight="1" x14ac:dyDescent="0.2">
      <c r="A107" s="49">
        <v>26696</v>
      </c>
      <c r="B107" s="523"/>
      <c r="C107" s="523"/>
      <c r="D107" s="50"/>
      <c r="E107" s="50"/>
      <c r="F107" s="50"/>
      <c r="G107" s="50"/>
      <c r="H107" s="50"/>
      <c r="I107" s="50"/>
      <c r="J107" s="22">
        <v>78.308780999999996</v>
      </c>
      <c r="K107" s="22">
        <v>71.569999999999993</v>
      </c>
      <c r="L107" s="22">
        <v>80.377287999999993</v>
      </c>
      <c r="M107" s="22">
        <v>69.399878000000001</v>
      </c>
      <c r="N107" s="22">
        <v>71.569999999999993</v>
      </c>
      <c r="O107" s="22">
        <v>71.569999999999993</v>
      </c>
      <c r="P107" s="22">
        <v>6.3727330000000002</v>
      </c>
      <c r="Q107" s="22">
        <v>71.569999999999993</v>
      </c>
      <c r="R107" s="22">
        <v>71.569999999999993</v>
      </c>
      <c r="S107" s="22">
        <v>71.569999999999993</v>
      </c>
      <c r="T107" s="22">
        <v>71.569999999999993</v>
      </c>
      <c r="U107" s="51" t="s">
        <v>214</v>
      </c>
      <c r="V107" s="55"/>
      <c r="W107" s="55">
        <v>268.8</v>
      </c>
      <c r="X107" s="49">
        <v>26696</v>
      </c>
    </row>
    <row r="108" spans="1:24" ht="12" customHeight="1" x14ac:dyDescent="0.2">
      <c r="A108" s="49">
        <v>26724</v>
      </c>
      <c r="B108" s="523"/>
      <c r="C108" s="523"/>
      <c r="D108" s="50"/>
      <c r="E108" s="50"/>
      <c r="F108" s="50"/>
      <c r="G108" s="50"/>
      <c r="H108" s="50"/>
      <c r="I108" s="50"/>
      <c r="J108" s="22">
        <v>79.170176999999995</v>
      </c>
      <c r="K108" s="22">
        <v>72.319999999999993</v>
      </c>
      <c r="L108" s="22">
        <v>81.277512999999999</v>
      </c>
      <c r="M108" s="22">
        <v>70.204915999999997</v>
      </c>
      <c r="N108" s="22">
        <v>72.319999999999993</v>
      </c>
      <c r="O108" s="22">
        <v>72.319999999999993</v>
      </c>
      <c r="P108" s="22">
        <v>6.4395150000000001</v>
      </c>
      <c r="Q108" s="22">
        <v>72.319999999999993</v>
      </c>
      <c r="R108" s="22">
        <v>72.319999999999993</v>
      </c>
      <c r="S108" s="22">
        <v>72.319999999999993</v>
      </c>
      <c r="T108" s="22">
        <v>72.319999999999993</v>
      </c>
      <c r="U108" s="51" t="s">
        <v>214</v>
      </c>
      <c r="V108" s="55"/>
      <c r="W108" s="55">
        <v>268.8</v>
      </c>
      <c r="X108" s="49">
        <v>26724</v>
      </c>
    </row>
    <row r="109" spans="1:24" ht="12" customHeight="1" x14ac:dyDescent="0.2">
      <c r="A109" s="49">
        <v>26755</v>
      </c>
      <c r="B109" s="523"/>
      <c r="C109" s="523"/>
      <c r="D109" s="50"/>
      <c r="E109" s="50"/>
      <c r="F109" s="50"/>
      <c r="G109" s="50"/>
      <c r="H109" s="50"/>
      <c r="I109" s="50"/>
      <c r="J109" s="22">
        <v>80.428982000000005</v>
      </c>
      <c r="K109" s="22">
        <v>73.19</v>
      </c>
      <c r="L109" s="22">
        <v>82.846169000000003</v>
      </c>
      <c r="M109" s="22">
        <v>71.215866000000005</v>
      </c>
      <c r="N109" s="22">
        <v>73.19</v>
      </c>
      <c r="O109" s="22">
        <v>73.19</v>
      </c>
      <c r="P109" s="22">
        <v>6.5169810000000004</v>
      </c>
      <c r="Q109" s="22">
        <v>73.19</v>
      </c>
      <c r="R109" s="22">
        <v>73.19</v>
      </c>
      <c r="S109" s="22">
        <v>73.19</v>
      </c>
      <c r="T109" s="22">
        <v>73.19</v>
      </c>
      <c r="U109" s="51" t="s">
        <v>214</v>
      </c>
      <c r="V109" s="55"/>
      <c r="W109" s="55">
        <v>268.8</v>
      </c>
      <c r="X109" s="49">
        <v>26755</v>
      </c>
    </row>
    <row r="110" spans="1:24" ht="12" customHeight="1" x14ac:dyDescent="0.2">
      <c r="A110" s="49">
        <v>26785</v>
      </c>
      <c r="B110" s="523"/>
      <c r="C110" s="523"/>
      <c r="D110" s="50"/>
      <c r="E110" s="50"/>
      <c r="F110" s="50"/>
      <c r="G110" s="50"/>
      <c r="H110" s="50"/>
      <c r="I110" s="50"/>
      <c r="J110" s="22">
        <v>81.796273999999997</v>
      </c>
      <c r="K110" s="22">
        <v>74.03</v>
      </c>
      <c r="L110" s="22">
        <v>86.019176999999999</v>
      </c>
      <c r="M110" s="22">
        <v>72.248496000000003</v>
      </c>
      <c r="N110" s="22">
        <v>74.03</v>
      </c>
      <c r="O110" s="22">
        <v>74.03</v>
      </c>
      <c r="P110" s="22">
        <v>6.5917770000000004</v>
      </c>
      <c r="Q110" s="22">
        <v>74.03</v>
      </c>
      <c r="R110" s="22">
        <v>74.03</v>
      </c>
      <c r="S110" s="22">
        <v>74.03</v>
      </c>
      <c r="T110" s="22">
        <v>74.03</v>
      </c>
      <c r="U110" s="51" t="s">
        <v>214</v>
      </c>
      <c r="V110" s="55"/>
      <c r="W110" s="55">
        <v>312</v>
      </c>
      <c r="X110" s="49">
        <v>26785</v>
      </c>
    </row>
    <row r="111" spans="1:24" ht="12" customHeight="1" x14ac:dyDescent="0.2">
      <c r="A111" s="49">
        <v>26816</v>
      </c>
      <c r="B111" s="523"/>
      <c r="C111" s="523"/>
      <c r="D111" s="50"/>
      <c r="E111" s="50"/>
      <c r="F111" s="50"/>
      <c r="G111" s="50"/>
      <c r="H111" s="50"/>
      <c r="I111" s="50"/>
      <c r="J111" s="22">
        <v>82.458822999999995</v>
      </c>
      <c r="K111" s="22">
        <v>74.97</v>
      </c>
      <c r="L111" s="22">
        <v>88.040627000000001</v>
      </c>
      <c r="M111" s="22">
        <v>73.014330000000001</v>
      </c>
      <c r="N111" s="22">
        <v>74.97</v>
      </c>
      <c r="O111" s="22">
        <v>74.97</v>
      </c>
      <c r="P111" s="22">
        <v>6.6754759999999997</v>
      </c>
      <c r="Q111" s="22">
        <v>74.97</v>
      </c>
      <c r="R111" s="22">
        <v>74.97</v>
      </c>
      <c r="S111" s="22">
        <v>74.97</v>
      </c>
      <c r="T111" s="22">
        <v>74.97</v>
      </c>
      <c r="U111" s="51" t="s">
        <v>214</v>
      </c>
      <c r="V111" s="55"/>
      <c r="W111" s="55">
        <v>312</v>
      </c>
      <c r="X111" s="49">
        <v>26816</v>
      </c>
    </row>
    <row r="112" spans="1:24" ht="12" customHeight="1" x14ac:dyDescent="0.2">
      <c r="A112" s="49">
        <v>26846</v>
      </c>
      <c r="B112" s="523"/>
      <c r="C112" s="523"/>
      <c r="D112" s="50"/>
      <c r="E112" s="50"/>
      <c r="F112" s="50"/>
      <c r="G112" s="50"/>
      <c r="H112" s="50"/>
      <c r="I112" s="50"/>
      <c r="J112" s="22">
        <v>83.102001000000001</v>
      </c>
      <c r="K112" s="22">
        <v>75.8</v>
      </c>
      <c r="L112" s="22">
        <v>88.938641000000004</v>
      </c>
      <c r="M112" s="22">
        <v>73.693363000000005</v>
      </c>
      <c r="N112" s="22">
        <v>75.8</v>
      </c>
      <c r="O112" s="22">
        <v>75.8</v>
      </c>
      <c r="P112" s="22">
        <v>6.7493809999999996</v>
      </c>
      <c r="Q112" s="22">
        <v>75.8</v>
      </c>
      <c r="R112" s="22">
        <v>75.8</v>
      </c>
      <c r="S112" s="22">
        <v>75.8</v>
      </c>
      <c r="T112" s="22">
        <v>75.8</v>
      </c>
      <c r="U112" s="51" t="s">
        <v>214</v>
      </c>
      <c r="V112" s="55"/>
      <c r="W112" s="55">
        <v>312</v>
      </c>
      <c r="X112" s="49">
        <v>26846</v>
      </c>
    </row>
    <row r="113" spans="1:24" ht="12" customHeight="1" x14ac:dyDescent="0.2">
      <c r="A113" s="49">
        <v>26877</v>
      </c>
      <c r="B113" s="523"/>
      <c r="C113" s="523"/>
      <c r="D113" s="50"/>
      <c r="E113" s="50"/>
      <c r="F113" s="50"/>
      <c r="G113" s="50"/>
      <c r="H113" s="50"/>
      <c r="I113" s="50"/>
      <c r="J113" s="22">
        <v>83.999502000000007</v>
      </c>
      <c r="K113" s="22">
        <v>76.48</v>
      </c>
      <c r="L113" s="22">
        <v>89.836921000000004</v>
      </c>
      <c r="M113" s="22">
        <v>74.452404000000001</v>
      </c>
      <c r="N113" s="22">
        <v>76.48</v>
      </c>
      <c r="O113" s="22">
        <v>76.48</v>
      </c>
      <c r="P113" s="22">
        <v>6.8099290000000003</v>
      </c>
      <c r="Q113" s="22">
        <v>76.48</v>
      </c>
      <c r="R113" s="22">
        <v>76.48</v>
      </c>
      <c r="S113" s="22">
        <v>76.48</v>
      </c>
      <c r="T113" s="22">
        <v>76.48</v>
      </c>
      <c r="U113" s="51" t="s">
        <v>214</v>
      </c>
      <c r="V113" s="55"/>
      <c r="W113" s="55">
        <v>312</v>
      </c>
      <c r="X113" s="49">
        <v>26877</v>
      </c>
    </row>
    <row r="114" spans="1:24" ht="12" customHeight="1" x14ac:dyDescent="0.2">
      <c r="A114" s="49">
        <v>26908</v>
      </c>
      <c r="B114" s="523"/>
      <c r="C114" s="523"/>
      <c r="D114" s="50"/>
      <c r="E114" s="50"/>
      <c r="F114" s="50"/>
      <c r="G114" s="50"/>
      <c r="H114" s="50"/>
      <c r="I114" s="50"/>
      <c r="J114" s="22">
        <v>84.898296000000002</v>
      </c>
      <c r="K114" s="22">
        <v>77.12</v>
      </c>
      <c r="L114" s="22">
        <v>90.735290000000006</v>
      </c>
      <c r="M114" s="22">
        <v>75.204373000000004</v>
      </c>
      <c r="N114" s="22">
        <v>77.12</v>
      </c>
      <c r="O114" s="22">
        <v>77.12</v>
      </c>
      <c r="P114" s="22">
        <v>6.8669159999999998</v>
      </c>
      <c r="Q114" s="22">
        <v>77.12</v>
      </c>
      <c r="R114" s="22">
        <v>77.12</v>
      </c>
      <c r="S114" s="22">
        <v>77.12</v>
      </c>
      <c r="T114" s="22">
        <v>77.12</v>
      </c>
      <c r="U114" s="51" t="s">
        <v>214</v>
      </c>
      <c r="V114" s="55"/>
      <c r="W114" s="55">
        <v>312</v>
      </c>
      <c r="X114" s="49">
        <v>26908</v>
      </c>
    </row>
    <row r="115" spans="1:24" ht="12" customHeight="1" x14ac:dyDescent="0.2">
      <c r="A115" s="49">
        <v>26938</v>
      </c>
      <c r="B115" s="523"/>
      <c r="C115" s="523"/>
      <c r="D115" s="50"/>
      <c r="E115" s="50"/>
      <c r="F115" s="50"/>
      <c r="G115" s="50"/>
      <c r="H115" s="50"/>
      <c r="I115" s="50"/>
      <c r="J115" s="22">
        <v>85.951034000000007</v>
      </c>
      <c r="K115" s="22">
        <v>77.87</v>
      </c>
      <c r="L115" s="22">
        <v>91.633568999999994</v>
      </c>
      <c r="M115" s="22">
        <v>75.978977999999998</v>
      </c>
      <c r="N115" s="22">
        <v>77.87</v>
      </c>
      <c r="O115" s="22">
        <v>77.87</v>
      </c>
      <c r="P115" s="22">
        <v>6.9336979999999997</v>
      </c>
      <c r="Q115" s="22">
        <v>77.87</v>
      </c>
      <c r="R115" s="22">
        <v>77.87</v>
      </c>
      <c r="S115" s="22">
        <v>77.87</v>
      </c>
      <c r="T115" s="22">
        <v>77.87</v>
      </c>
      <c r="U115" s="51" t="s">
        <v>214</v>
      </c>
      <c r="V115" s="55"/>
      <c r="W115" s="55">
        <v>312</v>
      </c>
      <c r="X115" s="49">
        <v>26938</v>
      </c>
    </row>
    <row r="116" spans="1:24" ht="12" customHeight="1" x14ac:dyDescent="0.2">
      <c r="A116" s="49">
        <v>26969</v>
      </c>
      <c r="B116" s="523"/>
      <c r="C116" s="523"/>
      <c r="D116" s="50"/>
      <c r="E116" s="50"/>
      <c r="F116" s="50"/>
      <c r="G116" s="50"/>
      <c r="H116" s="50"/>
      <c r="I116" s="50"/>
      <c r="J116" s="22">
        <v>86.913685000000001</v>
      </c>
      <c r="K116" s="22">
        <v>78.400000000000006</v>
      </c>
      <c r="L116" s="22">
        <v>93.457076999999998</v>
      </c>
      <c r="M116" s="22">
        <v>77.095867999999996</v>
      </c>
      <c r="N116" s="22">
        <v>78.400000000000006</v>
      </c>
      <c r="O116" s="22">
        <v>78.400000000000006</v>
      </c>
      <c r="P116" s="22">
        <v>6.9808899999999996</v>
      </c>
      <c r="Q116" s="22">
        <v>78.400000000000006</v>
      </c>
      <c r="R116" s="22">
        <v>78.400000000000006</v>
      </c>
      <c r="S116" s="22">
        <v>78.400000000000006</v>
      </c>
      <c r="T116" s="22">
        <v>78.400000000000006</v>
      </c>
      <c r="U116" s="51" t="s">
        <v>214</v>
      </c>
      <c r="V116" s="55"/>
      <c r="W116" s="55">
        <v>312</v>
      </c>
      <c r="X116" s="49">
        <v>26969</v>
      </c>
    </row>
    <row r="117" spans="1:24" ht="12" customHeight="1" x14ac:dyDescent="0.2">
      <c r="A117" s="49">
        <v>26999</v>
      </c>
      <c r="B117" s="523"/>
      <c r="C117" s="523"/>
      <c r="D117" s="50"/>
      <c r="E117" s="50"/>
      <c r="F117" s="50"/>
      <c r="G117" s="50"/>
      <c r="H117" s="50"/>
      <c r="I117" s="50"/>
      <c r="J117" s="22">
        <v>87.721981999999997</v>
      </c>
      <c r="K117" s="22">
        <v>79.069999999999993</v>
      </c>
      <c r="L117" s="22">
        <v>94.578560999999993</v>
      </c>
      <c r="M117" s="22">
        <v>78.051856000000001</v>
      </c>
      <c r="N117" s="22">
        <v>79.069999999999993</v>
      </c>
      <c r="O117" s="22">
        <v>79.069999999999993</v>
      </c>
      <c r="P117" s="22">
        <v>7.0405480000000003</v>
      </c>
      <c r="Q117" s="22">
        <v>79.069999999999993</v>
      </c>
      <c r="R117" s="22">
        <v>79.069999999999993</v>
      </c>
      <c r="S117" s="22">
        <v>79.069999999999993</v>
      </c>
      <c r="T117" s="22">
        <v>79.069999999999993</v>
      </c>
      <c r="U117" s="51" t="s">
        <v>214</v>
      </c>
      <c r="V117" s="55"/>
      <c r="W117" s="55">
        <v>312</v>
      </c>
      <c r="X117" s="49">
        <v>26999</v>
      </c>
    </row>
    <row r="118" spans="1:24" ht="12" customHeight="1" x14ac:dyDescent="0.2">
      <c r="A118" s="49">
        <v>27030</v>
      </c>
      <c r="B118" s="523"/>
      <c r="C118" s="523"/>
      <c r="D118" s="50"/>
      <c r="E118" s="50"/>
      <c r="F118" s="50"/>
      <c r="G118" s="50"/>
      <c r="H118" s="50"/>
      <c r="I118" s="50"/>
      <c r="J118" s="22">
        <v>88.178135999999995</v>
      </c>
      <c r="K118" s="22">
        <v>80.62</v>
      </c>
      <c r="L118" s="22">
        <v>95.477057000000002</v>
      </c>
      <c r="M118" s="22">
        <v>78.879204999999999</v>
      </c>
      <c r="N118" s="22">
        <v>80.62</v>
      </c>
      <c r="O118" s="22">
        <v>80.62</v>
      </c>
      <c r="P118" s="22">
        <v>7.1785629999999996</v>
      </c>
      <c r="Q118" s="22">
        <v>80.62</v>
      </c>
      <c r="R118" s="22">
        <v>80.62</v>
      </c>
      <c r="S118" s="22">
        <v>80.62</v>
      </c>
      <c r="T118" s="22">
        <v>80.62</v>
      </c>
      <c r="U118" s="51" t="s">
        <v>214</v>
      </c>
      <c r="V118" s="55"/>
      <c r="W118" s="55">
        <v>312</v>
      </c>
      <c r="X118" s="49">
        <v>27030</v>
      </c>
    </row>
    <row r="119" spans="1:24" ht="12" customHeight="1" x14ac:dyDescent="0.2">
      <c r="A119" s="49">
        <v>27061</v>
      </c>
      <c r="B119" s="523"/>
      <c r="C119" s="523"/>
      <c r="D119" s="50"/>
      <c r="E119" s="50"/>
      <c r="F119" s="50"/>
      <c r="G119" s="50"/>
      <c r="H119" s="50"/>
      <c r="I119" s="50"/>
      <c r="J119" s="22">
        <v>89.007009999999994</v>
      </c>
      <c r="K119" s="22">
        <v>81.47</v>
      </c>
      <c r="L119" s="22">
        <v>97.949911999999998</v>
      </c>
      <c r="M119" s="22">
        <v>81.190365</v>
      </c>
      <c r="N119" s="22">
        <v>81.47</v>
      </c>
      <c r="O119" s="22">
        <v>81.47</v>
      </c>
      <c r="P119" s="22">
        <v>7.2542489999999997</v>
      </c>
      <c r="Q119" s="22">
        <v>81.47</v>
      </c>
      <c r="R119" s="22">
        <v>81.47</v>
      </c>
      <c r="S119" s="22">
        <v>81.47</v>
      </c>
      <c r="T119" s="22">
        <v>81.47</v>
      </c>
      <c r="U119" s="51" t="s">
        <v>214</v>
      </c>
      <c r="V119" s="55"/>
      <c r="W119" s="55">
        <v>312</v>
      </c>
      <c r="X119" s="49">
        <v>27061</v>
      </c>
    </row>
    <row r="120" spans="1:24" ht="12" customHeight="1" x14ac:dyDescent="0.2">
      <c r="A120" s="49">
        <v>27089</v>
      </c>
      <c r="B120" s="523"/>
      <c r="C120" s="523"/>
      <c r="D120" s="50"/>
      <c r="E120" s="50"/>
      <c r="F120" s="50"/>
      <c r="G120" s="50"/>
      <c r="H120" s="50"/>
      <c r="I120" s="50"/>
      <c r="J120" s="22">
        <v>92.175658999999996</v>
      </c>
      <c r="K120" s="22">
        <v>82.69</v>
      </c>
      <c r="L120" s="22">
        <v>100.58476400000001</v>
      </c>
      <c r="M120" s="22">
        <v>83.350027999999995</v>
      </c>
      <c r="N120" s="22">
        <v>82.69</v>
      </c>
      <c r="O120" s="22">
        <v>82.69</v>
      </c>
      <c r="P120" s="22">
        <v>7.3628799999999996</v>
      </c>
      <c r="Q120" s="22">
        <v>82.69</v>
      </c>
      <c r="R120" s="22">
        <v>82.69</v>
      </c>
      <c r="S120" s="22">
        <v>82.69</v>
      </c>
      <c r="T120" s="22">
        <v>82.69</v>
      </c>
      <c r="U120" s="51" t="s">
        <v>214</v>
      </c>
      <c r="V120" s="55"/>
      <c r="W120" s="55">
        <v>312</v>
      </c>
      <c r="X120" s="49">
        <v>27089</v>
      </c>
    </row>
    <row r="121" spans="1:24" ht="12" customHeight="1" x14ac:dyDescent="0.2">
      <c r="A121" s="49">
        <v>27120</v>
      </c>
      <c r="B121" s="523"/>
      <c r="C121" s="523"/>
      <c r="D121" s="50"/>
      <c r="E121" s="50"/>
      <c r="F121" s="50"/>
      <c r="G121" s="50"/>
      <c r="H121" s="50"/>
      <c r="I121" s="50"/>
      <c r="J121" s="22">
        <v>96.010165999999998</v>
      </c>
      <c r="K121" s="22">
        <v>83.73</v>
      </c>
      <c r="L121" s="22">
        <v>104.648388</v>
      </c>
      <c r="M121" s="22">
        <v>87.109114000000005</v>
      </c>
      <c r="N121" s="22">
        <v>83.73</v>
      </c>
      <c r="O121" s="22">
        <v>83.73</v>
      </c>
      <c r="P121" s="22">
        <v>7.4554840000000002</v>
      </c>
      <c r="Q121" s="22">
        <v>83.73</v>
      </c>
      <c r="R121" s="22">
        <v>83.73</v>
      </c>
      <c r="S121" s="22">
        <v>83.73</v>
      </c>
      <c r="T121" s="22">
        <v>83.73</v>
      </c>
      <c r="U121" s="51" t="s">
        <v>214</v>
      </c>
      <c r="V121" s="55"/>
      <c r="W121" s="55">
        <v>312</v>
      </c>
      <c r="X121" s="49">
        <v>27120</v>
      </c>
    </row>
    <row r="122" spans="1:24" ht="12" customHeight="1" x14ac:dyDescent="0.2">
      <c r="A122" s="49">
        <v>27150</v>
      </c>
      <c r="B122" s="523"/>
      <c r="C122" s="523"/>
      <c r="D122" s="50"/>
      <c r="E122" s="50"/>
      <c r="F122" s="50"/>
      <c r="G122" s="50"/>
      <c r="H122" s="50"/>
      <c r="I122" s="50"/>
      <c r="J122" s="22">
        <v>100.92588600000001</v>
      </c>
      <c r="K122" s="22">
        <v>85.1</v>
      </c>
      <c r="L122" s="22">
        <v>108.918042</v>
      </c>
      <c r="M122" s="22">
        <v>91.586522000000002</v>
      </c>
      <c r="N122" s="22">
        <v>85.1</v>
      </c>
      <c r="O122" s="22">
        <v>85.1</v>
      </c>
      <c r="P122" s="22">
        <v>7.5774710000000001</v>
      </c>
      <c r="Q122" s="22">
        <v>85.1</v>
      </c>
      <c r="R122" s="22">
        <v>85.1</v>
      </c>
      <c r="S122" s="22">
        <v>85.1</v>
      </c>
      <c r="T122" s="22">
        <v>85.1</v>
      </c>
      <c r="U122" s="51" t="s">
        <v>214</v>
      </c>
      <c r="V122" s="55"/>
      <c r="W122" s="55">
        <v>376.8</v>
      </c>
      <c r="X122" s="49">
        <v>27150</v>
      </c>
    </row>
    <row r="123" spans="1:24" ht="12" customHeight="1" x14ac:dyDescent="0.2">
      <c r="A123" s="49">
        <v>27181</v>
      </c>
      <c r="B123" s="523"/>
      <c r="C123" s="523"/>
      <c r="D123" s="50"/>
      <c r="E123" s="50"/>
      <c r="F123" s="50"/>
      <c r="G123" s="50"/>
      <c r="H123" s="50"/>
      <c r="I123" s="50"/>
      <c r="J123" s="22">
        <v>102.803107</v>
      </c>
      <c r="K123" s="22">
        <v>86.91</v>
      </c>
      <c r="L123" s="22">
        <v>113.54705800000001</v>
      </c>
      <c r="M123" s="22">
        <v>94.801208000000003</v>
      </c>
      <c r="N123" s="22">
        <v>86.91</v>
      </c>
      <c r="O123" s="22">
        <v>86.91</v>
      </c>
      <c r="P123" s="22">
        <v>7.7386369999999998</v>
      </c>
      <c r="Q123" s="22">
        <v>86.91</v>
      </c>
      <c r="R123" s="22">
        <v>86.91</v>
      </c>
      <c r="S123" s="22">
        <v>86.91</v>
      </c>
      <c r="T123" s="22">
        <v>86.91</v>
      </c>
      <c r="U123" s="51" t="s">
        <v>214</v>
      </c>
      <c r="V123" s="55"/>
      <c r="W123" s="55">
        <v>376.8</v>
      </c>
      <c r="X123" s="49">
        <v>27181</v>
      </c>
    </row>
    <row r="124" spans="1:24" ht="12" customHeight="1" x14ac:dyDescent="0.2">
      <c r="A124" s="49">
        <v>27211</v>
      </c>
      <c r="B124" s="523"/>
      <c r="C124" s="523"/>
      <c r="D124" s="50"/>
      <c r="E124" s="50"/>
      <c r="F124" s="50"/>
      <c r="G124" s="50"/>
      <c r="H124" s="50"/>
      <c r="I124" s="50"/>
      <c r="J124" s="22">
        <v>104.11898600000001</v>
      </c>
      <c r="K124" s="22">
        <v>89.8</v>
      </c>
      <c r="L124" s="22">
        <v>118.06623</v>
      </c>
      <c r="M124" s="22">
        <v>96.678270999999995</v>
      </c>
      <c r="N124" s="22">
        <v>89.8</v>
      </c>
      <c r="O124" s="22">
        <v>89.8</v>
      </c>
      <c r="P124" s="22">
        <v>7.9959680000000004</v>
      </c>
      <c r="Q124" s="22">
        <v>89.8</v>
      </c>
      <c r="R124" s="22">
        <v>89.8</v>
      </c>
      <c r="S124" s="22">
        <v>89.8</v>
      </c>
      <c r="T124" s="22">
        <v>89.8</v>
      </c>
      <c r="U124" s="51" t="s">
        <v>214</v>
      </c>
      <c r="V124" s="55"/>
      <c r="W124" s="55">
        <v>376.8</v>
      </c>
      <c r="X124" s="49">
        <v>27211</v>
      </c>
    </row>
    <row r="125" spans="1:24" ht="12" customHeight="1" x14ac:dyDescent="0.2">
      <c r="A125" s="49">
        <v>27242</v>
      </c>
      <c r="B125" s="523"/>
      <c r="C125" s="523"/>
      <c r="D125" s="50"/>
      <c r="E125" s="50"/>
      <c r="F125" s="50"/>
      <c r="G125" s="50"/>
      <c r="H125" s="50"/>
      <c r="I125" s="50"/>
      <c r="J125" s="22">
        <v>106.43042699999999</v>
      </c>
      <c r="K125" s="22">
        <v>93.75</v>
      </c>
      <c r="L125" s="22">
        <v>119.329538</v>
      </c>
      <c r="M125" s="22">
        <v>97.828742000000005</v>
      </c>
      <c r="N125" s="22">
        <v>93.75</v>
      </c>
      <c r="O125" s="22">
        <v>93.75</v>
      </c>
      <c r="P125" s="22">
        <v>8.3476839999999992</v>
      </c>
      <c r="Q125" s="22">
        <v>93.75</v>
      </c>
      <c r="R125" s="22">
        <v>93.75</v>
      </c>
      <c r="S125" s="22">
        <v>93.75</v>
      </c>
      <c r="T125" s="22">
        <v>93.75</v>
      </c>
      <c r="U125" s="51" t="s">
        <v>214</v>
      </c>
      <c r="V125" s="55"/>
      <c r="W125" s="55">
        <v>376.8</v>
      </c>
      <c r="X125" s="49">
        <v>27242</v>
      </c>
    </row>
    <row r="126" spans="1:24" ht="12" customHeight="1" x14ac:dyDescent="0.2">
      <c r="A126" s="49">
        <v>27273</v>
      </c>
      <c r="B126" s="523"/>
      <c r="C126" s="523"/>
      <c r="D126" s="50"/>
      <c r="E126" s="50"/>
      <c r="F126" s="50"/>
      <c r="G126" s="50"/>
      <c r="H126" s="50"/>
      <c r="I126" s="50"/>
      <c r="J126" s="22">
        <v>108.50582</v>
      </c>
      <c r="K126" s="22">
        <v>98.22</v>
      </c>
      <c r="L126" s="22">
        <v>120.343839</v>
      </c>
      <c r="M126" s="22">
        <v>99.090732000000003</v>
      </c>
      <c r="N126" s="22">
        <v>98.22</v>
      </c>
      <c r="O126" s="22">
        <v>98.22</v>
      </c>
      <c r="P126" s="22">
        <v>8.7457019999999996</v>
      </c>
      <c r="Q126" s="22">
        <v>98.22</v>
      </c>
      <c r="R126" s="22">
        <v>98.22</v>
      </c>
      <c r="S126" s="22">
        <v>98.22</v>
      </c>
      <c r="T126" s="22">
        <v>98.22</v>
      </c>
      <c r="U126" s="51" t="s">
        <v>214</v>
      </c>
      <c r="V126" s="55"/>
      <c r="W126" s="55">
        <v>376.8</v>
      </c>
      <c r="X126" s="49">
        <v>27273</v>
      </c>
    </row>
    <row r="127" spans="1:24" ht="12" customHeight="1" x14ac:dyDescent="0.2">
      <c r="A127" s="49">
        <v>27303</v>
      </c>
      <c r="B127" s="523"/>
      <c r="C127" s="523"/>
      <c r="D127" s="50"/>
      <c r="E127" s="50"/>
      <c r="F127" s="50"/>
      <c r="G127" s="50"/>
      <c r="H127" s="50"/>
      <c r="I127" s="50"/>
      <c r="J127" s="22">
        <v>110.252763</v>
      </c>
      <c r="K127" s="22">
        <v>101.9</v>
      </c>
      <c r="L127" s="22">
        <v>121.37879599999999</v>
      </c>
      <c r="M127" s="22">
        <v>100.73563799999999</v>
      </c>
      <c r="N127" s="22">
        <v>101.9</v>
      </c>
      <c r="O127" s="22">
        <v>101.9</v>
      </c>
      <c r="P127" s="22">
        <v>9.0733759999999997</v>
      </c>
      <c r="Q127" s="22">
        <v>101.9</v>
      </c>
      <c r="R127" s="22">
        <v>101.9</v>
      </c>
      <c r="S127" s="22">
        <v>101.9</v>
      </c>
      <c r="T127" s="22">
        <v>101.9</v>
      </c>
      <c r="U127" s="51" t="s">
        <v>214</v>
      </c>
      <c r="V127" s="55"/>
      <c r="W127" s="55">
        <v>376.8</v>
      </c>
      <c r="X127" s="49">
        <v>27303</v>
      </c>
    </row>
    <row r="128" spans="1:24" ht="12" customHeight="1" x14ac:dyDescent="0.2">
      <c r="A128" s="49">
        <v>27334</v>
      </c>
      <c r="B128" s="523"/>
      <c r="C128" s="523"/>
      <c r="D128" s="50"/>
      <c r="E128" s="50"/>
      <c r="F128" s="50"/>
      <c r="G128" s="50"/>
      <c r="H128" s="50"/>
      <c r="I128" s="50"/>
      <c r="J128" s="22">
        <v>112.105009</v>
      </c>
      <c r="K128" s="22">
        <v>104.1</v>
      </c>
      <c r="L128" s="22">
        <v>122.38624</v>
      </c>
      <c r="M128" s="22">
        <v>102.246672</v>
      </c>
      <c r="N128" s="22">
        <v>104.1</v>
      </c>
      <c r="O128" s="22">
        <v>104.1</v>
      </c>
      <c r="P128" s="22">
        <v>9.2692680000000003</v>
      </c>
      <c r="Q128" s="22">
        <v>104.1</v>
      </c>
      <c r="R128" s="22">
        <v>104.1</v>
      </c>
      <c r="S128" s="22">
        <v>104.1</v>
      </c>
      <c r="T128" s="22">
        <v>104.1</v>
      </c>
      <c r="U128" s="51" t="s">
        <v>214</v>
      </c>
      <c r="V128" s="55"/>
      <c r="W128" s="55">
        <v>376.8</v>
      </c>
      <c r="X128" s="49">
        <v>27334</v>
      </c>
    </row>
    <row r="129" spans="1:24" ht="12" customHeight="1" x14ac:dyDescent="0.2">
      <c r="A129" s="49">
        <v>27364</v>
      </c>
      <c r="B129" s="523"/>
      <c r="C129" s="523"/>
      <c r="D129" s="50"/>
      <c r="E129" s="50"/>
      <c r="F129" s="50"/>
      <c r="G129" s="50"/>
      <c r="H129" s="50"/>
      <c r="I129" s="50"/>
      <c r="J129" s="22">
        <v>114.59374</v>
      </c>
      <c r="K129" s="22">
        <v>105.41</v>
      </c>
      <c r="L129" s="22">
        <v>124.12412399999999</v>
      </c>
      <c r="M129" s="22">
        <v>103.851944</v>
      </c>
      <c r="N129" s="22">
        <v>105.41</v>
      </c>
      <c r="O129" s="22">
        <v>105.41</v>
      </c>
      <c r="P129" s="22">
        <v>9.3859130000000004</v>
      </c>
      <c r="Q129" s="22">
        <v>105.41</v>
      </c>
      <c r="R129" s="22">
        <v>105.41</v>
      </c>
      <c r="S129" s="22">
        <v>105.41</v>
      </c>
      <c r="T129" s="22">
        <v>105.41</v>
      </c>
      <c r="U129" s="51" t="s">
        <v>214</v>
      </c>
      <c r="V129" s="55"/>
      <c r="W129" s="55">
        <v>415.2</v>
      </c>
      <c r="X129" s="49">
        <v>27364</v>
      </c>
    </row>
    <row r="130" spans="1:24" ht="12" customHeight="1" x14ac:dyDescent="0.2">
      <c r="A130" s="49">
        <v>27395</v>
      </c>
      <c r="B130" s="523"/>
      <c r="C130" s="523"/>
      <c r="D130" s="50"/>
      <c r="E130" s="50"/>
      <c r="F130" s="50"/>
      <c r="G130" s="50"/>
      <c r="H130" s="50"/>
      <c r="I130" s="50"/>
      <c r="J130" s="22">
        <v>117.321071</v>
      </c>
      <c r="K130" s="22">
        <v>106.76</v>
      </c>
      <c r="L130" s="22">
        <v>125.94874799999999</v>
      </c>
      <c r="M130" s="22">
        <v>106.136686</v>
      </c>
      <c r="N130" s="22">
        <v>106.76</v>
      </c>
      <c r="O130" s="22">
        <v>106.76</v>
      </c>
      <c r="P130" s="22">
        <v>9.5061199999999992</v>
      </c>
      <c r="Q130" s="22">
        <v>106.76</v>
      </c>
      <c r="R130" s="22">
        <v>106.76</v>
      </c>
      <c r="S130" s="22">
        <v>106.76</v>
      </c>
      <c r="T130" s="22">
        <v>106.76</v>
      </c>
      <c r="U130" s="51" t="s">
        <v>214</v>
      </c>
      <c r="V130" s="55"/>
      <c r="W130" s="55">
        <v>415.2</v>
      </c>
      <c r="X130" s="49">
        <v>27395</v>
      </c>
    </row>
    <row r="131" spans="1:24" ht="12" customHeight="1" x14ac:dyDescent="0.2">
      <c r="A131" s="49">
        <v>27426</v>
      </c>
      <c r="B131" s="523"/>
      <c r="C131" s="523"/>
      <c r="D131" s="50"/>
      <c r="E131" s="50"/>
      <c r="F131" s="50"/>
      <c r="G131" s="50"/>
      <c r="H131" s="50"/>
      <c r="I131" s="50"/>
      <c r="J131" s="22">
        <v>120.582596</v>
      </c>
      <c r="K131" s="22">
        <v>108.38</v>
      </c>
      <c r="L131" s="22">
        <v>128.46772200000001</v>
      </c>
      <c r="M131" s="22">
        <v>108.503534</v>
      </c>
      <c r="N131" s="22">
        <v>108.38</v>
      </c>
      <c r="O131" s="22">
        <v>108.38</v>
      </c>
      <c r="P131" s="22">
        <v>9.6503680000000003</v>
      </c>
      <c r="Q131" s="22">
        <v>108.38</v>
      </c>
      <c r="R131" s="22">
        <v>108.38</v>
      </c>
      <c r="S131" s="22">
        <v>108.38</v>
      </c>
      <c r="T131" s="22">
        <v>108.38</v>
      </c>
      <c r="U131" s="51" t="s">
        <v>214</v>
      </c>
      <c r="V131" s="55"/>
      <c r="W131" s="55">
        <v>415.2</v>
      </c>
      <c r="X131" s="49">
        <v>27426</v>
      </c>
    </row>
    <row r="132" spans="1:24" ht="12" customHeight="1" x14ac:dyDescent="0.2">
      <c r="A132" s="49">
        <v>27454</v>
      </c>
      <c r="B132" s="523"/>
      <c r="C132" s="523"/>
      <c r="D132" s="50"/>
      <c r="E132" s="50"/>
      <c r="F132" s="50"/>
      <c r="G132" s="50"/>
      <c r="H132" s="50"/>
      <c r="I132" s="50"/>
      <c r="J132" s="22">
        <v>123.488636</v>
      </c>
      <c r="K132" s="22">
        <v>110.18</v>
      </c>
      <c r="L132" s="22">
        <v>130.818681</v>
      </c>
      <c r="M132" s="22">
        <v>110.96656400000001</v>
      </c>
      <c r="N132" s="22">
        <v>110.18</v>
      </c>
      <c r="O132" s="22">
        <v>110.18</v>
      </c>
      <c r="P132" s="22">
        <v>9.8106439999999999</v>
      </c>
      <c r="Q132" s="22">
        <v>110.18</v>
      </c>
      <c r="R132" s="22">
        <v>110.18</v>
      </c>
      <c r="S132" s="22">
        <v>110.18</v>
      </c>
      <c r="T132" s="22">
        <v>110.18</v>
      </c>
      <c r="U132" s="51" t="s">
        <v>214</v>
      </c>
      <c r="V132" s="55"/>
      <c r="W132" s="55">
        <v>415.2</v>
      </c>
      <c r="X132" s="49">
        <v>27454</v>
      </c>
    </row>
    <row r="133" spans="1:24" ht="12" customHeight="1" x14ac:dyDescent="0.2">
      <c r="A133" s="49">
        <v>27485</v>
      </c>
      <c r="B133" s="523"/>
      <c r="C133" s="523"/>
      <c r="D133" s="50"/>
      <c r="E133" s="50"/>
      <c r="F133" s="50"/>
      <c r="G133" s="50"/>
      <c r="H133" s="50"/>
      <c r="I133" s="50"/>
      <c r="J133" s="22">
        <v>125.081639</v>
      </c>
      <c r="K133" s="22">
        <v>112.25</v>
      </c>
      <c r="L133" s="22">
        <v>135.86828199999999</v>
      </c>
      <c r="M133" s="22">
        <v>112.70873899999999</v>
      </c>
      <c r="N133" s="22">
        <v>112.25</v>
      </c>
      <c r="O133" s="22">
        <v>112.25</v>
      </c>
      <c r="P133" s="22">
        <v>9.9949600000000007</v>
      </c>
      <c r="Q133" s="22">
        <v>112.25</v>
      </c>
      <c r="R133" s="22">
        <v>112.25</v>
      </c>
      <c r="S133" s="22">
        <v>112.25</v>
      </c>
      <c r="T133" s="22">
        <v>112.25</v>
      </c>
      <c r="U133" s="51" t="s">
        <v>214</v>
      </c>
      <c r="V133" s="55"/>
      <c r="W133" s="55">
        <v>415.2</v>
      </c>
      <c r="X133" s="49">
        <v>27485</v>
      </c>
    </row>
    <row r="134" spans="1:24" ht="12" customHeight="1" x14ac:dyDescent="0.2">
      <c r="A134" s="49">
        <v>27515</v>
      </c>
      <c r="B134" s="523"/>
      <c r="C134" s="523"/>
      <c r="D134" s="50"/>
      <c r="E134" s="50"/>
      <c r="F134" s="50"/>
      <c r="G134" s="50"/>
      <c r="H134" s="50"/>
      <c r="I134" s="50"/>
      <c r="J134" s="22">
        <v>127.858451</v>
      </c>
      <c r="K134" s="22">
        <v>114.49</v>
      </c>
      <c r="L134" s="22">
        <v>138.898144</v>
      </c>
      <c r="M134" s="22">
        <v>114.726225</v>
      </c>
      <c r="N134" s="22">
        <v>114.49</v>
      </c>
      <c r="O134" s="22">
        <v>114.49</v>
      </c>
      <c r="P134" s="22">
        <v>10.194414</v>
      </c>
      <c r="Q134" s="22">
        <v>114.49</v>
      </c>
      <c r="R134" s="22">
        <v>114.49</v>
      </c>
      <c r="S134" s="22">
        <v>114.49</v>
      </c>
      <c r="T134" s="22">
        <v>114.49</v>
      </c>
      <c r="U134" s="51" t="s">
        <v>214</v>
      </c>
      <c r="V134" s="55"/>
      <c r="W134" s="55">
        <v>532.79999999999995</v>
      </c>
      <c r="X134" s="49">
        <v>27515</v>
      </c>
    </row>
    <row r="135" spans="1:24" ht="12" customHeight="1" x14ac:dyDescent="0.2">
      <c r="A135" s="49">
        <v>27546</v>
      </c>
      <c r="B135" s="523"/>
      <c r="C135" s="523"/>
      <c r="D135" s="50"/>
      <c r="E135" s="50"/>
      <c r="F135" s="50"/>
      <c r="G135" s="50"/>
      <c r="H135" s="50"/>
      <c r="I135" s="50"/>
      <c r="J135" s="22">
        <v>130.27497500000001</v>
      </c>
      <c r="K135" s="22">
        <v>117.13</v>
      </c>
      <c r="L135" s="22">
        <v>142.662283</v>
      </c>
      <c r="M135" s="22">
        <v>117.169893</v>
      </c>
      <c r="N135" s="22">
        <v>117.13</v>
      </c>
      <c r="O135" s="22">
        <v>117.13</v>
      </c>
      <c r="P135" s="22">
        <v>10.429485</v>
      </c>
      <c r="Q135" s="22">
        <v>117.13</v>
      </c>
      <c r="R135" s="22">
        <v>117.13</v>
      </c>
      <c r="S135" s="22">
        <v>117.13</v>
      </c>
      <c r="T135" s="22">
        <v>117.13</v>
      </c>
      <c r="U135" s="51" t="s">
        <v>214</v>
      </c>
      <c r="V135" s="55"/>
      <c r="W135" s="55">
        <v>532.79999999999995</v>
      </c>
      <c r="X135" s="49">
        <v>27546</v>
      </c>
    </row>
    <row r="136" spans="1:24" ht="12" customHeight="1" x14ac:dyDescent="0.2">
      <c r="A136" s="49">
        <v>27576</v>
      </c>
      <c r="B136" s="523"/>
      <c r="C136" s="523"/>
      <c r="D136" s="50"/>
      <c r="E136" s="50"/>
      <c r="F136" s="50"/>
      <c r="G136" s="50"/>
      <c r="H136" s="50"/>
      <c r="I136" s="50"/>
      <c r="J136" s="22">
        <v>134.131114</v>
      </c>
      <c r="K136" s="22">
        <v>119.27</v>
      </c>
      <c r="L136" s="22">
        <v>144.11743799999999</v>
      </c>
      <c r="M136" s="22">
        <v>119.771064</v>
      </c>
      <c r="N136" s="22">
        <v>119.27</v>
      </c>
      <c r="O136" s="22">
        <v>119.27</v>
      </c>
      <c r="P136" s="22">
        <v>10.620035</v>
      </c>
      <c r="Q136" s="22">
        <v>119.27</v>
      </c>
      <c r="R136" s="22">
        <v>119.27</v>
      </c>
      <c r="S136" s="22">
        <v>119.27</v>
      </c>
      <c r="T136" s="22">
        <v>119.27</v>
      </c>
      <c r="U136" s="51" t="s">
        <v>214</v>
      </c>
      <c r="V136" s="55"/>
      <c r="W136" s="55">
        <v>532.79999999999995</v>
      </c>
      <c r="X136" s="49">
        <v>27576</v>
      </c>
    </row>
    <row r="137" spans="1:24" ht="12" customHeight="1" x14ac:dyDescent="0.2">
      <c r="A137" s="49">
        <v>27607</v>
      </c>
      <c r="B137" s="523"/>
      <c r="C137" s="523"/>
      <c r="D137" s="50"/>
      <c r="E137" s="50"/>
      <c r="F137" s="50"/>
      <c r="G137" s="50"/>
      <c r="H137" s="50"/>
      <c r="I137" s="50"/>
      <c r="J137" s="22">
        <v>136.84056200000001</v>
      </c>
      <c r="K137" s="22">
        <v>121.31</v>
      </c>
      <c r="L137" s="22">
        <v>146.27919900000001</v>
      </c>
      <c r="M137" s="22">
        <v>122.298233</v>
      </c>
      <c r="N137" s="22">
        <v>121.31</v>
      </c>
      <c r="O137" s="22">
        <v>121.31</v>
      </c>
      <c r="P137" s="22">
        <v>10.801681</v>
      </c>
      <c r="Q137" s="22">
        <v>121.31</v>
      </c>
      <c r="R137" s="22">
        <v>121.31</v>
      </c>
      <c r="S137" s="22">
        <v>121.31</v>
      </c>
      <c r="T137" s="22">
        <v>121.31</v>
      </c>
      <c r="U137" s="51" t="s">
        <v>214</v>
      </c>
      <c r="V137" s="55"/>
      <c r="W137" s="55">
        <v>532.79999999999995</v>
      </c>
      <c r="X137" s="49">
        <v>27607</v>
      </c>
    </row>
    <row r="138" spans="1:24" ht="12" customHeight="1" x14ac:dyDescent="0.2">
      <c r="A138" s="49">
        <v>27638</v>
      </c>
      <c r="B138" s="523"/>
      <c r="C138" s="523"/>
      <c r="D138" s="50"/>
      <c r="E138" s="50"/>
      <c r="F138" s="50"/>
      <c r="G138" s="50"/>
      <c r="H138" s="50"/>
      <c r="I138" s="50"/>
      <c r="J138" s="22">
        <v>141.3563</v>
      </c>
      <c r="K138" s="22">
        <v>123.2</v>
      </c>
      <c r="L138" s="22">
        <v>147.25926899999999</v>
      </c>
      <c r="M138" s="22">
        <v>125.710353</v>
      </c>
      <c r="N138" s="22">
        <v>123.2</v>
      </c>
      <c r="O138" s="22">
        <v>123.2</v>
      </c>
      <c r="P138" s="22">
        <v>10.96997</v>
      </c>
      <c r="Q138" s="22">
        <v>123.2</v>
      </c>
      <c r="R138" s="22">
        <v>123.2</v>
      </c>
      <c r="S138" s="22">
        <v>123.2</v>
      </c>
      <c r="T138" s="22">
        <v>123.2</v>
      </c>
      <c r="U138" s="51" t="s">
        <v>214</v>
      </c>
      <c r="V138" s="55"/>
      <c r="W138" s="55">
        <v>532.79999999999995</v>
      </c>
      <c r="X138" s="49">
        <v>27638</v>
      </c>
    </row>
    <row r="139" spans="1:24" ht="12" customHeight="1" x14ac:dyDescent="0.2">
      <c r="A139" s="49">
        <v>27668</v>
      </c>
      <c r="B139" s="523"/>
      <c r="C139" s="523"/>
      <c r="D139" s="50"/>
      <c r="E139" s="50"/>
      <c r="F139" s="50"/>
      <c r="G139" s="50"/>
      <c r="H139" s="50"/>
      <c r="I139" s="50"/>
      <c r="J139" s="22">
        <v>144.05620500000001</v>
      </c>
      <c r="K139" s="22">
        <v>125.7</v>
      </c>
      <c r="L139" s="22">
        <v>149.05583200000001</v>
      </c>
      <c r="M139" s="22">
        <v>128.614262</v>
      </c>
      <c r="N139" s="22">
        <v>125.7</v>
      </c>
      <c r="O139" s="22">
        <v>125.7</v>
      </c>
      <c r="P139" s="22">
        <v>11.192575</v>
      </c>
      <c r="Q139" s="22">
        <v>125.7</v>
      </c>
      <c r="R139" s="22">
        <v>125.7</v>
      </c>
      <c r="S139" s="22">
        <v>125.7</v>
      </c>
      <c r="T139" s="22">
        <v>125.7</v>
      </c>
      <c r="U139" s="51" t="s">
        <v>214</v>
      </c>
      <c r="V139" s="55"/>
      <c r="W139" s="55">
        <v>532.79999999999995</v>
      </c>
      <c r="X139" s="49">
        <v>27668</v>
      </c>
    </row>
    <row r="140" spans="1:24" ht="12" customHeight="1" x14ac:dyDescent="0.2">
      <c r="A140" s="49">
        <v>27699</v>
      </c>
      <c r="B140" s="523"/>
      <c r="C140" s="523"/>
      <c r="D140" s="50"/>
      <c r="E140" s="50"/>
      <c r="F140" s="50"/>
      <c r="G140" s="50"/>
      <c r="H140" s="50"/>
      <c r="I140" s="50"/>
      <c r="J140" s="22">
        <v>147.023762</v>
      </c>
      <c r="K140" s="22">
        <v>128.43</v>
      </c>
      <c r="L140" s="22">
        <v>150.36752300000001</v>
      </c>
      <c r="M140" s="22">
        <v>131.508082</v>
      </c>
      <c r="N140" s="22">
        <v>128.43</v>
      </c>
      <c r="O140" s="22">
        <v>128.43</v>
      </c>
      <c r="P140" s="22">
        <v>11.435658999999999</v>
      </c>
      <c r="Q140" s="22">
        <v>128.43</v>
      </c>
      <c r="R140" s="22">
        <v>128.43</v>
      </c>
      <c r="S140" s="22">
        <v>128.43</v>
      </c>
      <c r="T140" s="22">
        <v>128.43</v>
      </c>
      <c r="U140" s="51" t="s">
        <v>214</v>
      </c>
      <c r="V140" s="55"/>
      <c r="W140" s="55">
        <v>532.79999999999995</v>
      </c>
      <c r="X140" s="49">
        <v>27699</v>
      </c>
    </row>
    <row r="141" spans="1:24" ht="12" customHeight="1" x14ac:dyDescent="0.2">
      <c r="A141" s="49">
        <v>27729</v>
      </c>
      <c r="B141" s="523"/>
      <c r="C141" s="523"/>
      <c r="D141" s="50"/>
      <c r="E141" s="50"/>
      <c r="F141" s="50"/>
      <c r="G141" s="50"/>
      <c r="H141" s="50"/>
      <c r="I141" s="50"/>
      <c r="J141" s="22">
        <v>149.72899899999999</v>
      </c>
      <c r="K141" s="22">
        <v>130.93</v>
      </c>
      <c r="L141" s="22">
        <v>153.67560800000001</v>
      </c>
      <c r="M141" s="22">
        <v>134.33550500000001</v>
      </c>
      <c r="N141" s="22">
        <v>130.93</v>
      </c>
      <c r="O141" s="22">
        <v>130.93</v>
      </c>
      <c r="P141" s="22">
        <v>11.658264000000001</v>
      </c>
      <c r="Q141" s="22">
        <v>130.93</v>
      </c>
      <c r="R141" s="22">
        <v>130.93</v>
      </c>
      <c r="S141" s="22">
        <v>130.93</v>
      </c>
      <c r="T141" s="22">
        <v>130.93</v>
      </c>
      <c r="U141" s="51" t="s">
        <v>214</v>
      </c>
      <c r="V141" s="55"/>
      <c r="W141" s="55">
        <v>532.79999999999995</v>
      </c>
      <c r="X141" s="49">
        <v>27729</v>
      </c>
    </row>
    <row r="142" spans="1:24" ht="12" customHeight="1" x14ac:dyDescent="0.2">
      <c r="A142" s="49">
        <v>27760</v>
      </c>
      <c r="B142" s="523"/>
      <c r="C142" s="523"/>
      <c r="D142" s="50"/>
      <c r="E142" s="50"/>
      <c r="F142" s="50"/>
      <c r="G142" s="50"/>
      <c r="H142" s="50"/>
      <c r="I142" s="50"/>
      <c r="J142" s="22">
        <v>151.67547500000001</v>
      </c>
      <c r="K142" s="22">
        <v>133.34</v>
      </c>
      <c r="L142" s="22">
        <v>156.288093</v>
      </c>
      <c r="M142" s="22">
        <v>137.26401899999999</v>
      </c>
      <c r="N142" s="22">
        <v>133.34</v>
      </c>
      <c r="O142" s="22">
        <v>133.34</v>
      </c>
      <c r="P142" s="22">
        <v>11.872854999999999</v>
      </c>
      <c r="Q142" s="22">
        <v>133.34</v>
      </c>
      <c r="R142" s="22">
        <v>133.34</v>
      </c>
      <c r="S142" s="22">
        <v>133.34</v>
      </c>
      <c r="T142" s="22">
        <v>133.34</v>
      </c>
      <c r="U142" s="51" t="s">
        <v>214</v>
      </c>
      <c r="V142" s="55"/>
      <c r="W142" s="55">
        <v>532.79999999999995</v>
      </c>
      <c r="X142" s="49">
        <v>27760</v>
      </c>
    </row>
    <row r="143" spans="1:24" ht="12" customHeight="1" x14ac:dyDescent="0.2">
      <c r="A143" s="49">
        <v>27791</v>
      </c>
      <c r="B143" s="523"/>
      <c r="C143" s="523"/>
      <c r="D143" s="50"/>
      <c r="E143" s="50"/>
      <c r="F143" s="50"/>
      <c r="G143" s="50"/>
      <c r="H143" s="50"/>
      <c r="I143" s="50"/>
      <c r="J143" s="22">
        <v>156.45325199999999</v>
      </c>
      <c r="K143" s="22">
        <v>135.9</v>
      </c>
      <c r="L143" s="22">
        <v>159.77331699999999</v>
      </c>
      <c r="M143" s="22">
        <v>141.50547700000001</v>
      </c>
      <c r="N143" s="22">
        <v>135.9</v>
      </c>
      <c r="O143" s="22">
        <v>135.9</v>
      </c>
      <c r="P143" s="22">
        <v>12.100803000000001</v>
      </c>
      <c r="Q143" s="22">
        <v>135.9</v>
      </c>
      <c r="R143" s="22">
        <v>135.9</v>
      </c>
      <c r="S143" s="22">
        <v>135.9</v>
      </c>
      <c r="T143" s="22">
        <v>135.9</v>
      </c>
      <c r="U143" s="51" t="s">
        <v>214</v>
      </c>
      <c r="V143" s="55"/>
      <c r="W143" s="55">
        <v>532.79999999999995</v>
      </c>
      <c r="X143" s="49">
        <v>27791</v>
      </c>
    </row>
    <row r="144" spans="1:24" ht="12" customHeight="1" x14ac:dyDescent="0.2">
      <c r="A144" s="49">
        <v>27820</v>
      </c>
      <c r="B144" s="523"/>
      <c r="C144" s="523"/>
      <c r="D144" s="50"/>
      <c r="E144" s="50"/>
      <c r="F144" s="50"/>
      <c r="G144" s="50"/>
      <c r="H144" s="50"/>
      <c r="I144" s="50"/>
      <c r="J144" s="22">
        <v>165.18334300000001</v>
      </c>
      <c r="K144" s="22">
        <v>138.94</v>
      </c>
      <c r="L144" s="22">
        <v>165.748839</v>
      </c>
      <c r="M144" s="22">
        <v>147.37795399999999</v>
      </c>
      <c r="N144" s="22">
        <v>138.94</v>
      </c>
      <c r="O144" s="22">
        <v>138.94</v>
      </c>
      <c r="P144" s="22">
        <v>12.37149</v>
      </c>
      <c r="Q144" s="22">
        <v>138.94</v>
      </c>
      <c r="R144" s="22">
        <v>138.94</v>
      </c>
      <c r="S144" s="22">
        <v>138.94</v>
      </c>
      <c r="T144" s="22">
        <v>138.94</v>
      </c>
      <c r="U144" s="51" t="s">
        <v>214</v>
      </c>
      <c r="V144" s="55"/>
      <c r="W144" s="55">
        <v>532.79999999999995</v>
      </c>
      <c r="X144" s="49">
        <v>27820</v>
      </c>
    </row>
    <row r="145" spans="1:24" ht="12" customHeight="1" x14ac:dyDescent="0.2">
      <c r="A145" s="49">
        <v>27851</v>
      </c>
      <c r="B145" s="523"/>
      <c r="C145" s="523"/>
      <c r="D145" s="50"/>
      <c r="E145" s="50"/>
      <c r="F145" s="50"/>
      <c r="G145" s="50"/>
      <c r="H145" s="50"/>
      <c r="I145" s="50"/>
      <c r="J145" s="22">
        <v>168.91648599999999</v>
      </c>
      <c r="K145" s="22">
        <v>142.24</v>
      </c>
      <c r="L145" s="22">
        <v>174.53352699999999</v>
      </c>
      <c r="M145" s="22">
        <v>152.81620000000001</v>
      </c>
      <c r="N145" s="22">
        <v>142.24</v>
      </c>
      <c r="O145" s="22">
        <v>142.24</v>
      </c>
      <c r="P145" s="22">
        <v>12.665329</v>
      </c>
      <c r="Q145" s="22">
        <v>142.24</v>
      </c>
      <c r="R145" s="22">
        <v>142.24</v>
      </c>
      <c r="S145" s="22">
        <v>142.24</v>
      </c>
      <c r="T145" s="22">
        <v>142.24</v>
      </c>
      <c r="U145" s="51" t="s">
        <v>214</v>
      </c>
      <c r="V145" s="55"/>
      <c r="W145" s="55">
        <v>532.79999999999995</v>
      </c>
      <c r="X145" s="49">
        <v>27851</v>
      </c>
    </row>
    <row r="146" spans="1:24" ht="12" customHeight="1" x14ac:dyDescent="0.2">
      <c r="A146" s="49">
        <v>27881</v>
      </c>
      <c r="B146" s="523"/>
      <c r="C146" s="523"/>
      <c r="D146" s="50"/>
      <c r="E146" s="50"/>
      <c r="F146" s="50"/>
      <c r="G146" s="50"/>
      <c r="H146" s="50"/>
      <c r="I146" s="50"/>
      <c r="J146" s="22">
        <v>173.39277200000001</v>
      </c>
      <c r="K146" s="22">
        <v>145.83000000000001</v>
      </c>
      <c r="L146" s="22">
        <v>184.74373800000001</v>
      </c>
      <c r="M146" s="22">
        <v>158.56208899999999</v>
      </c>
      <c r="N146" s="22">
        <v>145.83000000000001</v>
      </c>
      <c r="O146" s="22">
        <v>145.83000000000001</v>
      </c>
      <c r="P146" s="22">
        <v>12.984989000000001</v>
      </c>
      <c r="Q146" s="22">
        <v>145.83000000000001</v>
      </c>
      <c r="R146" s="22">
        <v>145.83000000000001</v>
      </c>
      <c r="S146" s="22">
        <v>145.83000000000001</v>
      </c>
      <c r="T146" s="22">
        <v>145.83000000000001</v>
      </c>
      <c r="U146" s="51" t="s">
        <v>214</v>
      </c>
      <c r="V146" s="55"/>
      <c r="W146" s="55">
        <v>768</v>
      </c>
      <c r="X146" s="49">
        <v>27881</v>
      </c>
    </row>
    <row r="147" spans="1:24" ht="12" customHeight="1" x14ac:dyDescent="0.2">
      <c r="A147" s="49">
        <v>27912</v>
      </c>
      <c r="B147" s="523"/>
      <c r="C147" s="523"/>
      <c r="D147" s="50"/>
      <c r="E147" s="50"/>
      <c r="F147" s="50"/>
      <c r="G147" s="50"/>
      <c r="H147" s="50"/>
      <c r="I147" s="50"/>
      <c r="J147" s="22">
        <v>177.72759099999999</v>
      </c>
      <c r="K147" s="22">
        <v>150.16999999999999</v>
      </c>
      <c r="L147" s="22">
        <v>194.75684799999999</v>
      </c>
      <c r="M147" s="22">
        <v>163.96905599999999</v>
      </c>
      <c r="N147" s="22">
        <v>150.16999999999999</v>
      </c>
      <c r="O147" s="22">
        <v>150.16999999999999</v>
      </c>
      <c r="P147" s="22">
        <v>13.371432</v>
      </c>
      <c r="Q147" s="22">
        <v>150.16999999999999</v>
      </c>
      <c r="R147" s="22">
        <v>150.16999999999999</v>
      </c>
      <c r="S147" s="22">
        <v>150.16999999999999</v>
      </c>
      <c r="T147" s="22">
        <v>150.16999999999999</v>
      </c>
      <c r="U147" s="51" t="s">
        <v>214</v>
      </c>
      <c r="V147" s="55"/>
      <c r="W147" s="55">
        <v>768</v>
      </c>
      <c r="X147" s="49">
        <v>27912</v>
      </c>
    </row>
    <row r="148" spans="1:24" ht="12" customHeight="1" x14ac:dyDescent="0.2">
      <c r="A148" s="49">
        <v>27942</v>
      </c>
      <c r="B148" s="523"/>
      <c r="C148" s="523"/>
      <c r="D148" s="50"/>
      <c r="E148" s="50"/>
      <c r="F148" s="50"/>
      <c r="G148" s="50"/>
      <c r="H148" s="50"/>
      <c r="I148" s="50"/>
      <c r="J148" s="22">
        <v>180.94445999999999</v>
      </c>
      <c r="K148" s="22">
        <v>154.6</v>
      </c>
      <c r="L148" s="22">
        <v>204.61154400000001</v>
      </c>
      <c r="M148" s="22">
        <v>168.34702899999999</v>
      </c>
      <c r="N148" s="22">
        <v>154.6</v>
      </c>
      <c r="O148" s="22">
        <v>154.6</v>
      </c>
      <c r="P148" s="22">
        <v>13.765888</v>
      </c>
      <c r="Q148" s="22">
        <v>154.6</v>
      </c>
      <c r="R148" s="22">
        <v>154.6</v>
      </c>
      <c r="S148" s="22">
        <v>154.6</v>
      </c>
      <c r="T148" s="22">
        <v>154.6</v>
      </c>
      <c r="U148" s="51" t="s">
        <v>214</v>
      </c>
      <c r="V148" s="55"/>
      <c r="W148" s="55">
        <v>768</v>
      </c>
      <c r="X148" s="49">
        <v>27942</v>
      </c>
    </row>
    <row r="149" spans="1:24" ht="12" customHeight="1" x14ac:dyDescent="0.2">
      <c r="A149" s="49">
        <v>27973</v>
      </c>
      <c r="B149" s="523"/>
      <c r="C149" s="523"/>
      <c r="D149" s="50"/>
      <c r="E149" s="50"/>
      <c r="F149" s="50"/>
      <c r="G149" s="50"/>
      <c r="H149" s="50"/>
      <c r="I149" s="50"/>
      <c r="J149" s="22">
        <v>184.63572600000001</v>
      </c>
      <c r="K149" s="22">
        <v>158.55000000000001</v>
      </c>
      <c r="L149" s="22">
        <v>214.801198</v>
      </c>
      <c r="M149" s="22">
        <v>174.76105000000001</v>
      </c>
      <c r="N149" s="22">
        <v>158.55000000000001</v>
      </c>
      <c r="O149" s="22">
        <v>158.55000000000001</v>
      </c>
      <c r="P149" s="22">
        <v>14.117603000000001</v>
      </c>
      <c r="Q149" s="22">
        <v>158.55000000000001</v>
      </c>
      <c r="R149" s="22">
        <v>158.55000000000001</v>
      </c>
      <c r="S149" s="22">
        <v>158.55000000000001</v>
      </c>
      <c r="T149" s="22">
        <v>158.55000000000001</v>
      </c>
      <c r="U149" s="51" t="s">
        <v>214</v>
      </c>
      <c r="V149" s="55"/>
      <c r="W149" s="55">
        <v>768</v>
      </c>
      <c r="X149" s="49">
        <v>27973</v>
      </c>
    </row>
    <row r="150" spans="1:24" ht="12" customHeight="1" x14ac:dyDescent="0.2">
      <c r="A150" s="49">
        <v>28004</v>
      </c>
      <c r="B150" s="523"/>
      <c r="C150" s="523"/>
      <c r="D150" s="50"/>
      <c r="E150" s="50"/>
      <c r="F150" s="50"/>
      <c r="G150" s="50"/>
      <c r="H150" s="50"/>
      <c r="I150" s="50"/>
      <c r="J150" s="22">
        <v>191.13490300000001</v>
      </c>
      <c r="K150" s="22">
        <v>162.97</v>
      </c>
      <c r="L150" s="22">
        <v>223.50064599999999</v>
      </c>
      <c r="M150" s="22">
        <v>181.926253</v>
      </c>
      <c r="N150" s="22">
        <v>162.97</v>
      </c>
      <c r="O150" s="22">
        <v>162.97</v>
      </c>
      <c r="P150" s="22">
        <v>14.511169000000001</v>
      </c>
      <c r="Q150" s="22">
        <v>162.97</v>
      </c>
      <c r="R150" s="22">
        <v>162.97</v>
      </c>
      <c r="S150" s="22">
        <v>162.97</v>
      </c>
      <c r="T150" s="22">
        <v>162.97</v>
      </c>
      <c r="U150" s="51" t="s">
        <v>214</v>
      </c>
      <c r="V150" s="55"/>
      <c r="W150" s="55">
        <v>768</v>
      </c>
      <c r="X150" s="49">
        <v>28004</v>
      </c>
    </row>
    <row r="151" spans="1:24" ht="12" customHeight="1" x14ac:dyDescent="0.2">
      <c r="A151" s="49">
        <v>28034</v>
      </c>
      <c r="B151" s="523"/>
      <c r="C151" s="523"/>
      <c r="D151" s="50"/>
      <c r="E151" s="50"/>
      <c r="F151" s="50"/>
      <c r="G151" s="50"/>
      <c r="H151" s="50"/>
      <c r="I151" s="50"/>
      <c r="J151" s="22">
        <v>196.21909099999999</v>
      </c>
      <c r="K151" s="22">
        <v>168.33</v>
      </c>
      <c r="L151" s="22">
        <v>232.37362100000001</v>
      </c>
      <c r="M151" s="22">
        <v>188.16632300000001</v>
      </c>
      <c r="N151" s="22">
        <v>168.33</v>
      </c>
      <c r="O151" s="22">
        <v>168.33</v>
      </c>
      <c r="P151" s="22">
        <v>14.988434</v>
      </c>
      <c r="Q151" s="22">
        <v>168.33</v>
      </c>
      <c r="R151" s="22">
        <v>168.33</v>
      </c>
      <c r="S151" s="22">
        <v>168.33</v>
      </c>
      <c r="T151" s="22">
        <v>168.33</v>
      </c>
      <c r="U151" s="51" t="s">
        <v>214</v>
      </c>
      <c r="V151" s="55"/>
      <c r="W151" s="55">
        <v>768</v>
      </c>
      <c r="X151" s="49">
        <v>28034</v>
      </c>
    </row>
    <row r="152" spans="1:24" ht="12" customHeight="1" x14ac:dyDescent="0.2">
      <c r="A152" s="49">
        <v>28065</v>
      </c>
      <c r="B152" s="523"/>
      <c r="C152" s="523"/>
      <c r="D152" s="50"/>
      <c r="E152" s="50"/>
      <c r="F152" s="50"/>
      <c r="G152" s="50"/>
      <c r="H152" s="50"/>
      <c r="I152" s="50"/>
      <c r="J152" s="22">
        <v>200.77137300000001</v>
      </c>
      <c r="K152" s="22">
        <v>174.4</v>
      </c>
      <c r="L152" s="22">
        <v>238.04353699999999</v>
      </c>
      <c r="M152" s="22">
        <v>192.60704799999999</v>
      </c>
      <c r="N152" s="22">
        <v>174.4</v>
      </c>
      <c r="O152" s="22">
        <v>174.4</v>
      </c>
      <c r="P152" s="22">
        <v>15.528918000000001</v>
      </c>
      <c r="Q152" s="22">
        <v>174.4</v>
      </c>
      <c r="R152" s="22">
        <v>174.4</v>
      </c>
      <c r="S152" s="22">
        <v>174.4</v>
      </c>
      <c r="T152" s="22">
        <v>174.4</v>
      </c>
      <c r="U152" s="51" t="s">
        <v>214</v>
      </c>
      <c r="V152" s="55"/>
      <c r="W152" s="55">
        <v>768</v>
      </c>
      <c r="X152" s="49">
        <v>28065</v>
      </c>
    </row>
    <row r="153" spans="1:24" ht="12" customHeight="1" x14ac:dyDescent="0.2">
      <c r="A153" s="49">
        <v>28095</v>
      </c>
      <c r="B153" s="523"/>
      <c r="C153" s="523"/>
      <c r="D153" s="50"/>
      <c r="E153" s="50"/>
      <c r="F153" s="50"/>
      <c r="G153" s="50"/>
      <c r="H153" s="50"/>
      <c r="I153" s="50"/>
      <c r="J153" s="22">
        <v>204.32502600000001</v>
      </c>
      <c r="K153" s="22">
        <v>179.68</v>
      </c>
      <c r="L153" s="22">
        <v>244.97060300000001</v>
      </c>
      <c r="M153" s="22">
        <v>196.266581</v>
      </c>
      <c r="N153" s="22">
        <v>179.68</v>
      </c>
      <c r="O153" s="22">
        <v>179.68</v>
      </c>
      <c r="P153" s="22">
        <v>15.99906</v>
      </c>
      <c r="Q153" s="22">
        <v>179.68</v>
      </c>
      <c r="R153" s="22">
        <v>179.68</v>
      </c>
      <c r="S153" s="22">
        <v>179.68</v>
      </c>
      <c r="T153" s="22">
        <v>179.68</v>
      </c>
      <c r="U153" s="51" t="s">
        <v>214</v>
      </c>
      <c r="V153" s="55"/>
      <c r="W153" s="55">
        <v>768</v>
      </c>
      <c r="X153" s="49">
        <v>28095</v>
      </c>
    </row>
    <row r="154" spans="1:24" ht="12" customHeight="1" x14ac:dyDescent="0.2">
      <c r="A154" s="49">
        <v>28126</v>
      </c>
      <c r="B154" s="523"/>
      <c r="C154" s="523"/>
      <c r="D154" s="50"/>
      <c r="E154" s="50"/>
      <c r="F154" s="50"/>
      <c r="G154" s="50"/>
      <c r="H154" s="50"/>
      <c r="I154" s="50"/>
      <c r="J154" s="22">
        <v>209.39228600000001</v>
      </c>
      <c r="K154" s="22">
        <v>183.65</v>
      </c>
      <c r="L154" s="22">
        <v>247.91024999999999</v>
      </c>
      <c r="M154" s="22">
        <v>200.78071199999999</v>
      </c>
      <c r="N154" s="22">
        <v>183.65</v>
      </c>
      <c r="O154" s="22">
        <v>183.65</v>
      </c>
      <c r="P154" s="22">
        <v>16.352557000000001</v>
      </c>
      <c r="Q154" s="22">
        <v>183.65</v>
      </c>
      <c r="R154" s="22">
        <v>183.65</v>
      </c>
      <c r="S154" s="22">
        <v>183.65</v>
      </c>
      <c r="T154" s="22">
        <v>183.65</v>
      </c>
      <c r="U154" s="51" t="s">
        <v>214</v>
      </c>
      <c r="V154" s="55"/>
      <c r="W154" s="55">
        <v>768</v>
      </c>
      <c r="X154" s="49">
        <v>28126</v>
      </c>
    </row>
    <row r="155" spans="1:24" ht="12" customHeight="1" x14ac:dyDescent="0.2">
      <c r="A155" s="49">
        <v>28157</v>
      </c>
      <c r="B155" s="523"/>
      <c r="C155" s="523"/>
      <c r="D155" s="50"/>
      <c r="E155" s="50"/>
      <c r="F155" s="50"/>
      <c r="G155" s="50"/>
      <c r="H155" s="50"/>
      <c r="I155" s="50"/>
      <c r="J155" s="22">
        <v>216.972286</v>
      </c>
      <c r="K155" s="22">
        <v>186.83</v>
      </c>
      <c r="L155" s="22">
        <v>256.98376500000001</v>
      </c>
      <c r="M155" s="22">
        <v>208.28990999999999</v>
      </c>
      <c r="N155" s="22">
        <v>186.83</v>
      </c>
      <c r="O155" s="22">
        <v>186.83</v>
      </c>
      <c r="P155" s="22">
        <v>16.63571</v>
      </c>
      <c r="Q155" s="22">
        <v>186.83</v>
      </c>
      <c r="R155" s="22">
        <v>186.83</v>
      </c>
      <c r="S155" s="22">
        <v>186.83</v>
      </c>
      <c r="T155" s="22">
        <v>186.83</v>
      </c>
      <c r="U155" s="51" t="s">
        <v>214</v>
      </c>
      <c r="V155" s="55"/>
      <c r="W155" s="55">
        <v>768</v>
      </c>
      <c r="X155" s="49">
        <v>28157</v>
      </c>
    </row>
    <row r="156" spans="1:24" ht="12" customHeight="1" x14ac:dyDescent="0.2">
      <c r="A156" s="49">
        <v>28185</v>
      </c>
      <c r="B156" s="523"/>
      <c r="C156" s="523"/>
      <c r="D156" s="50"/>
      <c r="E156" s="50"/>
      <c r="F156" s="50"/>
      <c r="G156" s="50"/>
      <c r="H156" s="50"/>
      <c r="I156" s="50"/>
      <c r="J156" s="22">
        <v>225.62948</v>
      </c>
      <c r="K156" s="22">
        <v>190.51</v>
      </c>
      <c r="L156" s="22">
        <v>269.93574599999999</v>
      </c>
      <c r="M156" s="22">
        <v>214.89269999999999</v>
      </c>
      <c r="N156" s="22">
        <v>190.51</v>
      </c>
      <c r="O156" s="22">
        <v>190.51</v>
      </c>
      <c r="P156" s="22">
        <v>16.963384000000001</v>
      </c>
      <c r="Q156" s="22">
        <v>190.51</v>
      </c>
      <c r="R156" s="22">
        <v>190.51</v>
      </c>
      <c r="S156" s="22">
        <v>190.51</v>
      </c>
      <c r="T156" s="22">
        <v>190.51</v>
      </c>
      <c r="U156" s="51" t="s">
        <v>214</v>
      </c>
      <c r="V156" s="55"/>
      <c r="W156" s="55">
        <v>768</v>
      </c>
      <c r="X156" s="49">
        <v>28185</v>
      </c>
    </row>
    <row r="157" spans="1:24" ht="12" customHeight="1" x14ac:dyDescent="0.2">
      <c r="A157" s="49">
        <v>28216</v>
      </c>
      <c r="B157" s="523"/>
      <c r="C157" s="523"/>
      <c r="D157" s="50"/>
      <c r="E157" s="50"/>
      <c r="F157" s="50"/>
      <c r="G157" s="50"/>
      <c r="H157" s="50"/>
      <c r="I157" s="50"/>
      <c r="J157" s="22">
        <v>236.45969500000001</v>
      </c>
      <c r="K157" s="22">
        <v>194.83</v>
      </c>
      <c r="L157" s="22">
        <v>278.49270899999999</v>
      </c>
      <c r="M157" s="22">
        <v>223.81074699999999</v>
      </c>
      <c r="N157" s="22">
        <v>194.83</v>
      </c>
      <c r="O157" s="22">
        <v>194.83</v>
      </c>
      <c r="P157" s="22">
        <v>17.348046</v>
      </c>
      <c r="Q157" s="22">
        <v>194.83</v>
      </c>
      <c r="R157" s="22">
        <v>194.83</v>
      </c>
      <c r="S157" s="22">
        <v>194.83</v>
      </c>
      <c r="T157" s="22">
        <v>194.83</v>
      </c>
      <c r="U157" s="51" t="s">
        <v>214</v>
      </c>
      <c r="V157" s="55"/>
      <c r="W157" s="55">
        <v>768</v>
      </c>
      <c r="X157" s="49">
        <v>28216</v>
      </c>
    </row>
    <row r="158" spans="1:24" ht="12" customHeight="1" x14ac:dyDescent="0.2">
      <c r="A158" s="49">
        <v>28246</v>
      </c>
      <c r="B158" s="523"/>
      <c r="C158" s="523"/>
      <c r="D158" s="50"/>
      <c r="E158" s="50"/>
      <c r="F158" s="50"/>
      <c r="G158" s="50"/>
      <c r="H158" s="50"/>
      <c r="I158" s="50"/>
      <c r="J158" s="22">
        <v>246.93485899999999</v>
      </c>
      <c r="K158" s="22">
        <v>200.45</v>
      </c>
      <c r="L158" s="22">
        <v>292.36164500000001</v>
      </c>
      <c r="M158" s="22">
        <v>232.94222500000001</v>
      </c>
      <c r="N158" s="22">
        <v>200.45</v>
      </c>
      <c r="O158" s="22">
        <v>200.45</v>
      </c>
      <c r="P158" s="22">
        <v>17.848462000000001</v>
      </c>
      <c r="Q158" s="22">
        <v>200.45</v>
      </c>
      <c r="R158" s="22">
        <v>200.45</v>
      </c>
      <c r="S158" s="22">
        <v>200.45</v>
      </c>
      <c r="T158" s="22">
        <v>200.45</v>
      </c>
      <c r="U158" s="51" t="s">
        <v>214</v>
      </c>
      <c r="V158" s="55"/>
      <c r="W158" s="55">
        <v>1106.4000000000001</v>
      </c>
      <c r="X158" s="49">
        <v>28246</v>
      </c>
    </row>
    <row r="159" spans="1:24" ht="12" customHeight="1" x14ac:dyDescent="0.2">
      <c r="A159" s="49">
        <v>28277</v>
      </c>
      <c r="B159" s="523"/>
      <c r="C159" s="523"/>
      <c r="D159" s="50"/>
      <c r="E159" s="50"/>
      <c r="F159" s="50"/>
      <c r="G159" s="50"/>
      <c r="H159" s="50"/>
      <c r="I159" s="50"/>
      <c r="J159" s="22">
        <v>252.26865100000001</v>
      </c>
      <c r="K159" s="22">
        <v>206.9</v>
      </c>
      <c r="L159" s="22">
        <v>307.24285200000003</v>
      </c>
      <c r="M159" s="22">
        <v>241.28155599999999</v>
      </c>
      <c r="N159" s="22">
        <v>206.9</v>
      </c>
      <c r="O159" s="22">
        <v>206.9</v>
      </c>
      <c r="P159" s="22">
        <v>18.422782000000002</v>
      </c>
      <c r="Q159" s="22">
        <v>206.9</v>
      </c>
      <c r="R159" s="22">
        <v>206.9</v>
      </c>
      <c r="S159" s="22">
        <v>206.9</v>
      </c>
      <c r="T159" s="22">
        <v>206.9</v>
      </c>
      <c r="U159" s="51" t="s">
        <v>214</v>
      </c>
      <c r="V159" s="55"/>
      <c r="W159" s="55">
        <v>1106.4000000000001</v>
      </c>
      <c r="X159" s="49">
        <v>28277</v>
      </c>
    </row>
    <row r="160" spans="1:24" ht="12" customHeight="1" x14ac:dyDescent="0.2">
      <c r="A160" s="49">
        <v>28307</v>
      </c>
      <c r="B160" s="523"/>
      <c r="C160" s="523"/>
      <c r="D160" s="50"/>
      <c r="E160" s="50"/>
      <c r="F160" s="50"/>
      <c r="G160" s="50"/>
      <c r="H160" s="50"/>
      <c r="I160" s="50"/>
      <c r="J160" s="22">
        <v>258.75195500000001</v>
      </c>
      <c r="K160" s="22">
        <v>213.8</v>
      </c>
      <c r="L160" s="22">
        <v>313.694951</v>
      </c>
      <c r="M160" s="22">
        <v>246.01067399999999</v>
      </c>
      <c r="N160" s="22">
        <v>213.8</v>
      </c>
      <c r="O160" s="22">
        <v>213.8</v>
      </c>
      <c r="P160" s="22">
        <v>19.037172000000002</v>
      </c>
      <c r="Q160" s="22">
        <v>213.8</v>
      </c>
      <c r="R160" s="22">
        <v>213.8</v>
      </c>
      <c r="S160" s="22">
        <v>213.8</v>
      </c>
      <c r="T160" s="22">
        <v>213.8</v>
      </c>
      <c r="U160" s="51" t="s">
        <v>214</v>
      </c>
      <c r="V160" s="55"/>
      <c r="W160" s="55">
        <v>1106.4000000000001</v>
      </c>
      <c r="X160" s="49">
        <v>28307</v>
      </c>
    </row>
    <row r="161" spans="1:24" ht="12" customHeight="1" x14ac:dyDescent="0.2">
      <c r="A161" s="49">
        <v>28338</v>
      </c>
      <c r="B161" s="523"/>
      <c r="C161" s="523"/>
      <c r="D161" s="50"/>
      <c r="E161" s="50"/>
      <c r="F161" s="50"/>
      <c r="G161" s="50"/>
      <c r="H161" s="50"/>
      <c r="I161" s="50"/>
      <c r="J161" s="22">
        <v>263.74586699999998</v>
      </c>
      <c r="K161" s="22">
        <v>219.51</v>
      </c>
      <c r="L161" s="22">
        <v>319.87474099999997</v>
      </c>
      <c r="M161" s="22">
        <v>251.103094</v>
      </c>
      <c r="N161" s="22">
        <v>219.51</v>
      </c>
      <c r="O161" s="22">
        <v>219.51</v>
      </c>
      <c r="P161" s="22">
        <v>19.545601000000001</v>
      </c>
      <c r="Q161" s="22">
        <v>219.51</v>
      </c>
      <c r="R161" s="22">
        <v>219.51</v>
      </c>
      <c r="S161" s="22">
        <v>219.51</v>
      </c>
      <c r="T161" s="22">
        <v>219.51</v>
      </c>
      <c r="U161" s="51" t="s">
        <v>214</v>
      </c>
      <c r="V161" s="55"/>
      <c r="W161" s="55">
        <v>1106.4000000000001</v>
      </c>
      <c r="X161" s="49">
        <v>28338</v>
      </c>
    </row>
    <row r="162" spans="1:24" ht="12" customHeight="1" x14ac:dyDescent="0.2">
      <c r="A162" s="49">
        <v>28369</v>
      </c>
      <c r="B162" s="523"/>
      <c r="C162" s="523"/>
      <c r="D162" s="50"/>
      <c r="E162" s="50"/>
      <c r="F162" s="50"/>
      <c r="G162" s="50"/>
      <c r="H162" s="50"/>
      <c r="I162" s="50"/>
      <c r="J162" s="22">
        <v>267.88667700000002</v>
      </c>
      <c r="K162" s="22">
        <v>224.01</v>
      </c>
      <c r="L162" s="22">
        <v>325.21664900000002</v>
      </c>
      <c r="M162" s="22">
        <v>254.367434</v>
      </c>
      <c r="N162" s="22">
        <v>224.01</v>
      </c>
      <c r="O162" s="22">
        <v>224.01</v>
      </c>
      <c r="P162" s="22">
        <v>19.946290000000001</v>
      </c>
      <c r="Q162" s="22">
        <v>224.01</v>
      </c>
      <c r="R162" s="22">
        <v>224.01</v>
      </c>
      <c r="S162" s="22">
        <v>224.01</v>
      </c>
      <c r="T162" s="22">
        <v>224.01</v>
      </c>
      <c r="U162" s="51" t="s">
        <v>214</v>
      </c>
      <c r="V162" s="55"/>
      <c r="W162" s="55">
        <v>1106.4000000000001</v>
      </c>
      <c r="X162" s="49">
        <v>28369</v>
      </c>
    </row>
    <row r="163" spans="1:24" ht="12" customHeight="1" x14ac:dyDescent="0.2">
      <c r="A163" s="49">
        <v>28399</v>
      </c>
      <c r="B163" s="523"/>
      <c r="C163" s="523"/>
      <c r="D163" s="50"/>
      <c r="E163" s="50"/>
      <c r="F163" s="50"/>
      <c r="G163" s="50"/>
      <c r="H163" s="50"/>
      <c r="I163" s="50"/>
      <c r="J163" s="22">
        <v>273.21762100000001</v>
      </c>
      <c r="K163" s="22">
        <v>227.15</v>
      </c>
      <c r="L163" s="22">
        <v>331.10307</v>
      </c>
      <c r="M163" s="22">
        <v>258.86973699999999</v>
      </c>
      <c r="N163" s="22">
        <v>227.15</v>
      </c>
      <c r="O163" s="22">
        <v>227.15</v>
      </c>
      <c r="P163" s="22">
        <v>20.225881999999999</v>
      </c>
      <c r="Q163" s="22">
        <v>227.15</v>
      </c>
      <c r="R163" s="22">
        <v>227.15</v>
      </c>
      <c r="S163" s="22">
        <v>227.15</v>
      </c>
      <c r="T163" s="22">
        <v>227.15</v>
      </c>
      <c r="U163" s="51" t="s">
        <v>214</v>
      </c>
      <c r="V163" s="55"/>
      <c r="W163" s="55">
        <v>1106.4000000000001</v>
      </c>
      <c r="X163" s="49">
        <v>28399</v>
      </c>
    </row>
    <row r="164" spans="1:24" ht="12" customHeight="1" x14ac:dyDescent="0.2">
      <c r="A164" s="49">
        <v>28430</v>
      </c>
      <c r="B164" s="523"/>
      <c r="C164" s="523"/>
      <c r="D164" s="50"/>
      <c r="E164" s="50"/>
      <c r="F164" s="50"/>
      <c r="G164" s="50"/>
      <c r="H164" s="50"/>
      <c r="I164" s="50"/>
      <c r="J164" s="22">
        <v>279.39233899999999</v>
      </c>
      <c r="K164" s="22">
        <v>230.3</v>
      </c>
      <c r="L164" s="22">
        <v>346.830465</v>
      </c>
      <c r="M164" s="22">
        <v>265.96276699999999</v>
      </c>
      <c r="N164" s="22">
        <v>230.3</v>
      </c>
      <c r="O164" s="22">
        <v>230.3</v>
      </c>
      <c r="P164" s="22">
        <v>20.506364000000001</v>
      </c>
      <c r="Q164" s="22">
        <v>230.3</v>
      </c>
      <c r="R164" s="22">
        <v>230.3</v>
      </c>
      <c r="S164" s="22">
        <v>230.3</v>
      </c>
      <c r="T164" s="22">
        <v>230.3</v>
      </c>
      <c r="U164" s="51" t="s">
        <v>214</v>
      </c>
      <c r="V164" s="55"/>
      <c r="W164" s="55">
        <v>1106.4000000000001</v>
      </c>
      <c r="X164" s="49">
        <v>28430</v>
      </c>
    </row>
    <row r="165" spans="1:24" ht="12" customHeight="1" x14ac:dyDescent="0.2">
      <c r="A165" s="49">
        <v>28460</v>
      </c>
      <c r="B165" s="523"/>
      <c r="C165" s="523"/>
      <c r="D165" s="50"/>
      <c r="E165" s="50"/>
      <c r="F165" s="50"/>
      <c r="G165" s="50"/>
      <c r="H165" s="50"/>
      <c r="I165" s="50"/>
      <c r="J165" s="22">
        <v>287.38295900000003</v>
      </c>
      <c r="K165" s="22">
        <v>233.74</v>
      </c>
      <c r="L165" s="22">
        <v>353.83643999999998</v>
      </c>
      <c r="M165" s="22">
        <v>272.90439500000002</v>
      </c>
      <c r="N165" s="22">
        <v>233.74</v>
      </c>
      <c r="O165" s="22">
        <v>233.74</v>
      </c>
      <c r="P165" s="22">
        <v>20.812667999999999</v>
      </c>
      <c r="Q165" s="22">
        <v>233.74</v>
      </c>
      <c r="R165" s="22">
        <v>233.74</v>
      </c>
      <c r="S165" s="22">
        <v>233.74</v>
      </c>
      <c r="T165" s="22">
        <v>233.74</v>
      </c>
      <c r="U165" s="51" t="s">
        <v>214</v>
      </c>
      <c r="V165" s="55"/>
      <c r="W165" s="55">
        <v>1106.4000000000001</v>
      </c>
      <c r="X165" s="49">
        <v>28460</v>
      </c>
    </row>
    <row r="166" spans="1:24" ht="12" customHeight="1" x14ac:dyDescent="0.2">
      <c r="A166" s="49">
        <v>28491</v>
      </c>
      <c r="B166" s="523"/>
      <c r="C166" s="523"/>
      <c r="D166" s="50"/>
      <c r="E166" s="50"/>
      <c r="F166" s="50"/>
      <c r="G166" s="50"/>
      <c r="H166" s="50"/>
      <c r="I166" s="50"/>
      <c r="J166" s="22">
        <v>295.42968100000002</v>
      </c>
      <c r="K166" s="22">
        <v>238.32</v>
      </c>
      <c r="L166" s="22">
        <v>358.89630099999999</v>
      </c>
      <c r="M166" s="22">
        <v>278.66267699999997</v>
      </c>
      <c r="N166" s="22">
        <v>238.32</v>
      </c>
      <c r="O166" s="22">
        <v>238.32</v>
      </c>
      <c r="P166" s="22">
        <v>21.220480999999999</v>
      </c>
      <c r="Q166" s="22">
        <v>238.32</v>
      </c>
      <c r="R166" s="22">
        <v>238.32</v>
      </c>
      <c r="S166" s="22">
        <v>238.32</v>
      </c>
      <c r="T166" s="22">
        <v>238.32</v>
      </c>
      <c r="U166" s="51" t="s">
        <v>214</v>
      </c>
      <c r="V166" s="55"/>
      <c r="W166" s="55">
        <v>1106.4000000000001</v>
      </c>
      <c r="X166" s="49">
        <v>28491</v>
      </c>
    </row>
    <row r="167" spans="1:24" ht="12" customHeight="1" x14ac:dyDescent="0.2">
      <c r="A167" s="49">
        <v>28522</v>
      </c>
      <c r="B167" s="523"/>
      <c r="C167" s="523"/>
      <c r="D167" s="50"/>
      <c r="E167" s="50"/>
      <c r="F167" s="50"/>
      <c r="G167" s="50"/>
      <c r="H167" s="50"/>
      <c r="I167" s="50"/>
      <c r="J167" s="22">
        <v>300.59969999999998</v>
      </c>
      <c r="K167" s="22">
        <v>243.35</v>
      </c>
      <c r="L167" s="22">
        <v>365.35643399999998</v>
      </c>
      <c r="M167" s="22">
        <v>286.07510400000001</v>
      </c>
      <c r="N167" s="22">
        <v>243.35</v>
      </c>
      <c r="O167" s="22">
        <v>243.35</v>
      </c>
      <c r="P167" s="22">
        <v>21.668361999999998</v>
      </c>
      <c r="Q167" s="22">
        <v>243.35</v>
      </c>
      <c r="R167" s="22">
        <v>243.35</v>
      </c>
      <c r="S167" s="22">
        <v>243.35</v>
      </c>
      <c r="T167" s="22">
        <v>243.35</v>
      </c>
      <c r="U167" s="51" t="s">
        <v>214</v>
      </c>
      <c r="V167" s="55"/>
      <c r="W167" s="55">
        <v>1106.4000000000001</v>
      </c>
      <c r="X167" s="49">
        <v>28522</v>
      </c>
    </row>
    <row r="168" spans="1:24" ht="12" customHeight="1" x14ac:dyDescent="0.2">
      <c r="A168" s="49">
        <v>28550</v>
      </c>
      <c r="B168" s="523"/>
      <c r="C168" s="523"/>
      <c r="D168" s="50"/>
      <c r="E168" s="50"/>
      <c r="F168" s="50"/>
      <c r="G168" s="50"/>
      <c r="H168" s="50"/>
      <c r="I168" s="50"/>
      <c r="J168" s="22">
        <v>312.20284800000002</v>
      </c>
      <c r="K168" s="22">
        <v>248.99</v>
      </c>
      <c r="L168" s="22">
        <v>372.37127700000002</v>
      </c>
      <c r="M168" s="22">
        <v>295.80165699999998</v>
      </c>
      <c r="N168" s="22">
        <v>248.99</v>
      </c>
      <c r="O168" s="22">
        <v>248.99</v>
      </c>
      <c r="P168" s="22">
        <v>22.170558</v>
      </c>
      <c r="Q168" s="22">
        <v>248.99</v>
      </c>
      <c r="R168" s="22">
        <v>248.99</v>
      </c>
      <c r="S168" s="22">
        <v>248.99</v>
      </c>
      <c r="T168" s="22">
        <v>248.99</v>
      </c>
      <c r="U168" s="51" t="s">
        <v>214</v>
      </c>
      <c r="V168" s="55"/>
      <c r="W168" s="55">
        <v>1106.4000000000001</v>
      </c>
      <c r="X168" s="49">
        <v>28550</v>
      </c>
    </row>
    <row r="169" spans="1:24" ht="12" customHeight="1" x14ac:dyDescent="0.2">
      <c r="A169" s="49">
        <v>28581</v>
      </c>
      <c r="B169" s="523"/>
      <c r="C169" s="523"/>
      <c r="D169" s="50"/>
      <c r="E169" s="50"/>
      <c r="F169" s="50"/>
      <c r="G169" s="50"/>
      <c r="H169" s="50"/>
      <c r="I169" s="50"/>
      <c r="J169" s="22">
        <v>320.16401999999999</v>
      </c>
      <c r="K169" s="22">
        <v>255.41</v>
      </c>
      <c r="L169" s="22">
        <v>388.94179800000001</v>
      </c>
      <c r="M169" s="22">
        <v>305.56311099999999</v>
      </c>
      <c r="N169" s="22">
        <v>255.41</v>
      </c>
      <c r="O169" s="22">
        <v>255.41</v>
      </c>
      <c r="P169" s="22">
        <v>22.742208000000002</v>
      </c>
      <c r="Q169" s="22">
        <v>255.41</v>
      </c>
      <c r="R169" s="22">
        <v>255.41</v>
      </c>
      <c r="S169" s="22">
        <v>255.41</v>
      </c>
      <c r="T169" s="22">
        <v>255.41</v>
      </c>
      <c r="U169" s="51" t="s">
        <v>214</v>
      </c>
      <c r="V169" s="55"/>
      <c r="W169" s="55">
        <v>1106.4000000000001</v>
      </c>
      <c r="X169" s="49">
        <v>28581</v>
      </c>
    </row>
    <row r="170" spans="1:24" ht="12" customHeight="1" x14ac:dyDescent="0.2">
      <c r="A170" s="49">
        <v>28611</v>
      </c>
      <c r="B170" s="523"/>
      <c r="C170" s="523"/>
      <c r="D170" s="50"/>
      <c r="E170" s="50"/>
      <c r="F170" s="50"/>
      <c r="G170" s="50"/>
      <c r="H170" s="50"/>
      <c r="I170" s="50"/>
      <c r="J170" s="22">
        <v>326.11907000000002</v>
      </c>
      <c r="K170" s="22">
        <v>262.87</v>
      </c>
      <c r="L170" s="22">
        <v>409.12787700000001</v>
      </c>
      <c r="M170" s="22">
        <v>315.83003100000002</v>
      </c>
      <c r="N170" s="22">
        <v>262.87</v>
      </c>
      <c r="O170" s="22">
        <v>262.87</v>
      </c>
      <c r="P170" s="22">
        <v>23.406461</v>
      </c>
      <c r="Q170" s="22">
        <v>262.87</v>
      </c>
      <c r="R170" s="22">
        <v>262.87</v>
      </c>
      <c r="S170" s="22">
        <v>262.87</v>
      </c>
      <c r="T170" s="22">
        <v>262.87</v>
      </c>
      <c r="U170" s="51" t="s">
        <v>214</v>
      </c>
      <c r="V170" s="55"/>
      <c r="W170" s="55">
        <v>1560</v>
      </c>
      <c r="X170" s="49">
        <v>28611</v>
      </c>
    </row>
    <row r="171" spans="1:24" ht="12" customHeight="1" x14ac:dyDescent="0.2">
      <c r="A171" s="49">
        <v>28642</v>
      </c>
      <c r="B171" s="523"/>
      <c r="C171" s="523"/>
      <c r="D171" s="50"/>
      <c r="E171" s="50"/>
      <c r="F171" s="50"/>
      <c r="G171" s="50"/>
      <c r="H171" s="50"/>
      <c r="I171" s="50"/>
      <c r="J171" s="22">
        <v>335.64174600000001</v>
      </c>
      <c r="K171" s="22">
        <v>270.88</v>
      </c>
      <c r="L171" s="22">
        <v>417.55591099999998</v>
      </c>
      <c r="M171" s="22">
        <v>325.96817399999998</v>
      </c>
      <c r="N171" s="22">
        <v>270.88</v>
      </c>
      <c r="O171" s="22">
        <v>270.88</v>
      </c>
      <c r="P171" s="22">
        <v>24.119686999999999</v>
      </c>
      <c r="Q171" s="22">
        <v>270.88</v>
      </c>
      <c r="R171" s="22">
        <v>270.88</v>
      </c>
      <c r="S171" s="22">
        <v>270.88</v>
      </c>
      <c r="T171" s="22">
        <v>270.88</v>
      </c>
      <c r="U171" s="51" t="s">
        <v>214</v>
      </c>
      <c r="V171" s="55"/>
      <c r="W171" s="55">
        <v>1560</v>
      </c>
      <c r="X171" s="49">
        <v>28642</v>
      </c>
    </row>
    <row r="172" spans="1:24" ht="12" customHeight="1" x14ac:dyDescent="0.2">
      <c r="A172" s="49">
        <v>28672</v>
      </c>
      <c r="B172" s="523"/>
      <c r="C172" s="523"/>
      <c r="D172" s="50"/>
      <c r="E172" s="50"/>
      <c r="F172" s="50"/>
      <c r="G172" s="50"/>
      <c r="H172" s="50"/>
      <c r="I172" s="50"/>
      <c r="J172" s="22">
        <v>352.423833</v>
      </c>
      <c r="K172" s="22">
        <v>279.04000000000002</v>
      </c>
      <c r="L172" s="22">
        <v>427.95305300000001</v>
      </c>
      <c r="M172" s="22">
        <v>337.80081799999999</v>
      </c>
      <c r="N172" s="22">
        <v>279.04000000000002</v>
      </c>
      <c r="O172" s="22">
        <v>279.04000000000002</v>
      </c>
      <c r="P172" s="22">
        <v>24.846268999999999</v>
      </c>
      <c r="Q172" s="22">
        <v>279.04000000000002</v>
      </c>
      <c r="R172" s="22">
        <v>279.04000000000002</v>
      </c>
      <c r="S172" s="22">
        <v>279.04000000000002</v>
      </c>
      <c r="T172" s="22">
        <v>279.04000000000002</v>
      </c>
      <c r="U172" s="51" t="s">
        <v>214</v>
      </c>
      <c r="V172" s="55"/>
      <c r="W172" s="55">
        <v>1560</v>
      </c>
      <c r="X172" s="49">
        <v>28672</v>
      </c>
    </row>
    <row r="173" spans="1:24" ht="12" customHeight="1" x14ac:dyDescent="0.2">
      <c r="A173" s="49">
        <v>28703</v>
      </c>
      <c r="B173" s="523"/>
      <c r="C173" s="523"/>
      <c r="D173" s="50"/>
      <c r="E173" s="50"/>
      <c r="F173" s="50"/>
      <c r="G173" s="50"/>
      <c r="H173" s="50"/>
      <c r="I173" s="50"/>
      <c r="J173" s="22">
        <v>367.29611799999998</v>
      </c>
      <c r="K173" s="22">
        <v>287.58</v>
      </c>
      <c r="L173" s="22">
        <v>437.19683800000001</v>
      </c>
      <c r="M173" s="22">
        <v>347.32680099999999</v>
      </c>
      <c r="N173" s="22">
        <v>287.58</v>
      </c>
      <c r="O173" s="22">
        <v>287.58</v>
      </c>
      <c r="P173" s="22">
        <v>25.606687999999998</v>
      </c>
      <c r="Q173" s="22">
        <v>287.58</v>
      </c>
      <c r="R173" s="22">
        <v>287.58</v>
      </c>
      <c r="S173" s="22">
        <v>287.58</v>
      </c>
      <c r="T173" s="22">
        <v>287.58</v>
      </c>
      <c r="U173" s="51" t="s">
        <v>214</v>
      </c>
      <c r="V173" s="55"/>
      <c r="W173" s="55">
        <v>1560</v>
      </c>
      <c r="X173" s="49">
        <v>28703</v>
      </c>
    </row>
    <row r="174" spans="1:24" ht="12" customHeight="1" x14ac:dyDescent="0.2">
      <c r="A174" s="49">
        <v>28734</v>
      </c>
      <c r="B174" s="523"/>
      <c r="C174" s="523"/>
      <c r="D174" s="50"/>
      <c r="E174" s="50"/>
      <c r="F174" s="50"/>
      <c r="G174" s="50"/>
      <c r="H174" s="50"/>
      <c r="I174" s="50"/>
      <c r="J174" s="22">
        <v>376.956005</v>
      </c>
      <c r="K174" s="22">
        <v>295.57</v>
      </c>
      <c r="L174" s="22">
        <v>448.126758</v>
      </c>
      <c r="M174" s="22">
        <v>356.60042600000003</v>
      </c>
      <c r="N174" s="22">
        <v>295.57</v>
      </c>
      <c r="O174" s="22">
        <v>295.57</v>
      </c>
      <c r="P174" s="22">
        <v>26.318133</v>
      </c>
      <c r="Q174" s="22">
        <v>295.57</v>
      </c>
      <c r="R174" s="22">
        <v>295.57</v>
      </c>
      <c r="S174" s="22">
        <v>295.57</v>
      </c>
      <c r="T174" s="22">
        <v>295.57</v>
      </c>
      <c r="U174" s="51" t="s">
        <v>214</v>
      </c>
      <c r="V174" s="55"/>
      <c r="W174" s="55">
        <v>1560</v>
      </c>
      <c r="X174" s="49">
        <v>28734</v>
      </c>
    </row>
    <row r="175" spans="1:24" ht="12" customHeight="1" x14ac:dyDescent="0.2">
      <c r="A175" s="49">
        <v>28764</v>
      </c>
      <c r="B175" s="523"/>
      <c r="C175" s="523"/>
      <c r="D175" s="50"/>
      <c r="E175" s="50"/>
      <c r="F175" s="50"/>
      <c r="G175" s="50"/>
      <c r="H175" s="50"/>
      <c r="I175" s="50"/>
      <c r="J175" s="22">
        <v>386.19142699999998</v>
      </c>
      <c r="K175" s="22">
        <v>303.29000000000002</v>
      </c>
      <c r="L175" s="22">
        <v>462.42200100000002</v>
      </c>
      <c r="M175" s="22">
        <v>365.693736</v>
      </c>
      <c r="N175" s="22">
        <v>303.29000000000002</v>
      </c>
      <c r="O175" s="22">
        <v>303.29000000000002</v>
      </c>
      <c r="P175" s="22">
        <v>27.005537</v>
      </c>
      <c r="Q175" s="22">
        <v>303.29000000000002</v>
      </c>
      <c r="R175" s="22">
        <v>303.29000000000002</v>
      </c>
      <c r="S175" s="22">
        <v>303.29000000000002</v>
      </c>
      <c r="T175" s="22">
        <v>303.29000000000002</v>
      </c>
      <c r="U175" s="51" t="s">
        <v>214</v>
      </c>
      <c r="V175" s="55"/>
      <c r="W175" s="55">
        <v>1560</v>
      </c>
      <c r="X175" s="49">
        <v>28764</v>
      </c>
    </row>
    <row r="176" spans="1:24" ht="12" customHeight="1" x14ac:dyDescent="0.2">
      <c r="A176" s="49">
        <v>28795</v>
      </c>
      <c r="B176" s="523"/>
      <c r="C176" s="523"/>
      <c r="D176" s="50"/>
      <c r="E176" s="50"/>
      <c r="F176" s="50"/>
      <c r="G176" s="50"/>
      <c r="H176" s="50"/>
      <c r="I176" s="50"/>
      <c r="J176" s="22">
        <v>396.61859500000003</v>
      </c>
      <c r="K176" s="22">
        <v>310.49</v>
      </c>
      <c r="L176" s="22">
        <v>471.67044099999998</v>
      </c>
      <c r="M176" s="22">
        <v>376.18914599999999</v>
      </c>
      <c r="N176" s="22">
        <v>310.49</v>
      </c>
      <c r="O176" s="22">
        <v>310.49</v>
      </c>
      <c r="P176" s="22">
        <v>27.646639</v>
      </c>
      <c r="Q176" s="22">
        <v>310.49</v>
      </c>
      <c r="R176" s="22">
        <v>310.49</v>
      </c>
      <c r="S176" s="22">
        <v>310.49</v>
      </c>
      <c r="T176" s="22">
        <v>310.49</v>
      </c>
      <c r="U176" s="51" t="s">
        <v>214</v>
      </c>
      <c r="V176" s="55"/>
      <c r="W176" s="55">
        <v>1560</v>
      </c>
      <c r="X176" s="49">
        <v>28795</v>
      </c>
    </row>
    <row r="177" spans="1:24" ht="12" customHeight="1" x14ac:dyDescent="0.2">
      <c r="A177" s="49">
        <v>28825</v>
      </c>
      <c r="B177" s="523"/>
      <c r="C177" s="523"/>
      <c r="D177" s="50"/>
      <c r="E177" s="50"/>
      <c r="F177" s="50"/>
      <c r="G177" s="50"/>
      <c r="H177" s="50"/>
      <c r="I177" s="50"/>
      <c r="J177" s="22">
        <v>406.57372099999998</v>
      </c>
      <c r="K177" s="22">
        <v>318.44</v>
      </c>
      <c r="L177" s="22">
        <v>483.46220199999999</v>
      </c>
      <c r="M177" s="22">
        <v>386.53434700000003</v>
      </c>
      <c r="N177" s="22">
        <v>318.44</v>
      </c>
      <c r="O177" s="22">
        <v>318.44</v>
      </c>
      <c r="P177" s="22">
        <v>28.354523</v>
      </c>
      <c r="Q177" s="22">
        <v>318.44</v>
      </c>
      <c r="R177" s="22">
        <v>318.44</v>
      </c>
      <c r="S177" s="22">
        <v>318.44</v>
      </c>
      <c r="T177" s="22">
        <v>318.44</v>
      </c>
      <c r="U177" s="51" t="s">
        <v>214</v>
      </c>
      <c r="V177" s="55"/>
      <c r="W177" s="55">
        <v>1560</v>
      </c>
      <c r="X177" s="49">
        <v>28825</v>
      </c>
    </row>
    <row r="178" spans="1:24" ht="12" customHeight="1" x14ac:dyDescent="0.2">
      <c r="A178" s="49">
        <v>28856</v>
      </c>
      <c r="B178" s="523"/>
      <c r="C178" s="523"/>
      <c r="D178" s="50"/>
      <c r="E178" s="50"/>
      <c r="F178" s="50"/>
      <c r="G178" s="50"/>
      <c r="H178" s="50"/>
      <c r="I178" s="50"/>
      <c r="J178" s="22">
        <v>413.28218700000002</v>
      </c>
      <c r="K178" s="22">
        <v>326.82</v>
      </c>
      <c r="L178" s="22">
        <v>491.58436599999999</v>
      </c>
      <c r="M178" s="22">
        <v>392.40966900000001</v>
      </c>
      <c r="N178" s="22">
        <v>326.82</v>
      </c>
      <c r="O178" s="22">
        <v>326.82</v>
      </c>
      <c r="P178" s="22">
        <v>29.100694000000001</v>
      </c>
      <c r="Q178" s="22">
        <v>326.82</v>
      </c>
      <c r="R178" s="22">
        <v>326.82</v>
      </c>
      <c r="S178" s="22">
        <v>326.82</v>
      </c>
      <c r="T178" s="22">
        <v>326.82</v>
      </c>
      <c r="U178" s="51" t="s">
        <v>214</v>
      </c>
      <c r="V178" s="55"/>
      <c r="W178" s="55">
        <v>1560</v>
      </c>
      <c r="X178" s="49">
        <v>28856</v>
      </c>
    </row>
    <row r="179" spans="1:24" ht="12" customHeight="1" x14ac:dyDescent="0.2">
      <c r="A179" s="49">
        <v>28887</v>
      </c>
      <c r="B179" s="523"/>
      <c r="C179" s="523"/>
      <c r="D179" s="50"/>
      <c r="E179" s="50"/>
      <c r="F179" s="50"/>
      <c r="G179" s="50"/>
      <c r="H179" s="50"/>
      <c r="I179" s="50"/>
      <c r="J179" s="22">
        <v>430.35074100000003</v>
      </c>
      <c r="K179" s="22">
        <v>334.2</v>
      </c>
      <c r="L179" s="22">
        <v>503.08744000000002</v>
      </c>
      <c r="M179" s="22">
        <v>406.85034400000001</v>
      </c>
      <c r="N179" s="22">
        <v>334.2</v>
      </c>
      <c r="O179" s="22">
        <v>334.2</v>
      </c>
      <c r="P179" s="22">
        <v>29.757823999999999</v>
      </c>
      <c r="Q179" s="22">
        <v>334.2</v>
      </c>
      <c r="R179" s="22">
        <v>334.2</v>
      </c>
      <c r="S179" s="22">
        <v>334.2</v>
      </c>
      <c r="T179" s="22">
        <v>334.2</v>
      </c>
      <c r="U179" s="51" t="s">
        <v>214</v>
      </c>
      <c r="V179" s="55"/>
      <c r="W179" s="55">
        <v>1560</v>
      </c>
      <c r="X179" s="49">
        <v>28887</v>
      </c>
    </row>
    <row r="180" spans="1:24" ht="12" customHeight="1" x14ac:dyDescent="0.2">
      <c r="A180" s="49">
        <v>28915</v>
      </c>
      <c r="B180" s="523"/>
      <c r="C180" s="523"/>
      <c r="D180" s="50"/>
      <c r="E180" s="50"/>
      <c r="F180" s="50"/>
      <c r="G180" s="50"/>
      <c r="H180" s="50"/>
      <c r="I180" s="50"/>
      <c r="J180" s="22">
        <v>439.56024600000001</v>
      </c>
      <c r="K180" s="22">
        <v>341.97</v>
      </c>
      <c r="L180" s="22">
        <v>516.26832999999999</v>
      </c>
      <c r="M180" s="22">
        <v>422.10723100000001</v>
      </c>
      <c r="N180" s="22">
        <v>341.97</v>
      </c>
      <c r="O180" s="22">
        <v>341.97</v>
      </c>
      <c r="P180" s="22">
        <v>30.449680000000001</v>
      </c>
      <c r="Q180" s="22">
        <v>341.97</v>
      </c>
      <c r="R180" s="22">
        <v>341.97</v>
      </c>
      <c r="S180" s="22">
        <v>341.97</v>
      </c>
      <c r="T180" s="22">
        <v>341.97</v>
      </c>
      <c r="U180" s="51" t="s">
        <v>214</v>
      </c>
      <c r="V180" s="55"/>
      <c r="W180" s="55">
        <v>1560</v>
      </c>
      <c r="X180" s="49">
        <v>28915</v>
      </c>
    </row>
    <row r="181" spans="1:24" ht="12" customHeight="1" x14ac:dyDescent="0.2">
      <c r="A181" s="49">
        <v>28946</v>
      </c>
      <c r="B181" s="523"/>
      <c r="C181" s="523"/>
      <c r="D181" s="50"/>
      <c r="E181" s="50"/>
      <c r="F181" s="50"/>
      <c r="G181" s="50"/>
      <c r="H181" s="50"/>
      <c r="I181" s="50"/>
      <c r="J181" s="22">
        <v>465.53825599999999</v>
      </c>
      <c r="K181" s="22">
        <v>350.51</v>
      </c>
      <c r="L181" s="22">
        <v>558.34419800000001</v>
      </c>
      <c r="M181" s="22">
        <v>446.46281800000003</v>
      </c>
      <c r="N181" s="22">
        <v>350.51</v>
      </c>
      <c r="O181" s="22">
        <v>350.51</v>
      </c>
      <c r="P181" s="22">
        <v>31.210099</v>
      </c>
      <c r="Q181" s="22">
        <v>350.51</v>
      </c>
      <c r="R181" s="22">
        <v>350.51</v>
      </c>
      <c r="S181" s="22">
        <v>350.51</v>
      </c>
      <c r="T181" s="22">
        <v>350.51</v>
      </c>
      <c r="U181" s="51" t="s">
        <v>214</v>
      </c>
      <c r="V181" s="55"/>
      <c r="W181" s="55">
        <v>1560</v>
      </c>
      <c r="X181" s="49">
        <v>28946</v>
      </c>
    </row>
    <row r="182" spans="1:24" ht="12" customHeight="1" x14ac:dyDescent="0.2">
      <c r="A182" s="49">
        <v>28976</v>
      </c>
      <c r="B182" s="523"/>
      <c r="C182" s="523"/>
      <c r="D182" s="50"/>
      <c r="E182" s="50"/>
      <c r="F182" s="50"/>
      <c r="G182" s="50"/>
      <c r="H182" s="50"/>
      <c r="I182" s="50"/>
      <c r="J182" s="22">
        <v>481.180341</v>
      </c>
      <c r="K182" s="22">
        <v>363.64</v>
      </c>
      <c r="L182" s="22">
        <v>578.55625699999996</v>
      </c>
      <c r="M182" s="22">
        <v>463.294466</v>
      </c>
      <c r="N182" s="22">
        <v>363.64</v>
      </c>
      <c r="O182" s="22">
        <v>363.64</v>
      </c>
      <c r="P182" s="22">
        <v>32.379218999999999</v>
      </c>
      <c r="Q182" s="22">
        <v>363.64</v>
      </c>
      <c r="R182" s="22">
        <v>363.64</v>
      </c>
      <c r="S182" s="22">
        <v>363.64</v>
      </c>
      <c r="T182" s="22">
        <v>363.64</v>
      </c>
      <c r="U182" s="51" t="s">
        <v>214</v>
      </c>
      <c r="V182" s="55"/>
      <c r="W182" s="55">
        <v>2268</v>
      </c>
      <c r="X182" s="49">
        <v>28976</v>
      </c>
    </row>
    <row r="183" spans="1:24" ht="12" customHeight="1" x14ac:dyDescent="0.2">
      <c r="A183" s="49">
        <v>29007</v>
      </c>
      <c r="B183" s="523"/>
      <c r="C183" s="523"/>
      <c r="D183" s="50"/>
      <c r="E183" s="50"/>
      <c r="F183" s="50"/>
      <c r="G183" s="50"/>
      <c r="H183" s="50"/>
      <c r="I183" s="50"/>
      <c r="J183" s="22">
        <v>491.23701</v>
      </c>
      <c r="K183" s="22">
        <v>377.54</v>
      </c>
      <c r="L183" s="22">
        <v>603.26060900000004</v>
      </c>
      <c r="M183" s="22">
        <v>474.13555600000001</v>
      </c>
      <c r="N183" s="22">
        <v>377.54</v>
      </c>
      <c r="O183" s="22">
        <v>377.54</v>
      </c>
      <c r="P183" s="22">
        <v>33.616903000000001</v>
      </c>
      <c r="Q183" s="22">
        <v>377.54</v>
      </c>
      <c r="R183" s="22">
        <v>377.54</v>
      </c>
      <c r="S183" s="22">
        <v>377.54</v>
      </c>
      <c r="T183" s="22">
        <v>377.54</v>
      </c>
      <c r="U183" s="51" t="s">
        <v>214</v>
      </c>
      <c r="V183" s="55"/>
      <c r="W183" s="55">
        <v>2268</v>
      </c>
      <c r="X183" s="49">
        <v>29007</v>
      </c>
    </row>
    <row r="184" spans="1:24" ht="12" customHeight="1" x14ac:dyDescent="0.2">
      <c r="A184" s="49">
        <v>29037</v>
      </c>
      <c r="B184" s="523"/>
      <c r="C184" s="523"/>
      <c r="D184" s="50"/>
      <c r="E184" s="50"/>
      <c r="F184" s="50"/>
      <c r="G184" s="50"/>
      <c r="H184" s="50"/>
      <c r="I184" s="50"/>
      <c r="J184" s="22">
        <v>512.55669599999999</v>
      </c>
      <c r="K184" s="22">
        <v>390.1</v>
      </c>
      <c r="L184" s="22">
        <v>624.55570799999998</v>
      </c>
      <c r="M184" s="22">
        <v>490.49323199999998</v>
      </c>
      <c r="N184" s="22">
        <v>390.1</v>
      </c>
      <c r="O184" s="22">
        <v>390.1</v>
      </c>
      <c r="P184" s="22">
        <v>34.73527</v>
      </c>
      <c r="Q184" s="22">
        <v>390.1</v>
      </c>
      <c r="R184" s="22">
        <v>390.1</v>
      </c>
      <c r="S184" s="22">
        <v>390.1</v>
      </c>
      <c r="T184" s="22">
        <v>390.1</v>
      </c>
      <c r="U184" s="51" t="s">
        <v>214</v>
      </c>
      <c r="V184" s="55"/>
      <c r="W184" s="55">
        <v>2268</v>
      </c>
      <c r="X184" s="49">
        <v>29037</v>
      </c>
    </row>
    <row r="185" spans="1:24" ht="12" customHeight="1" x14ac:dyDescent="0.2">
      <c r="A185" s="49">
        <v>29068</v>
      </c>
      <c r="B185" s="523"/>
      <c r="C185" s="523"/>
      <c r="D185" s="50"/>
      <c r="E185" s="50"/>
      <c r="F185" s="50"/>
      <c r="G185" s="50"/>
      <c r="H185" s="50"/>
      <c r="I185" s="50"/>
      <c r="J185" s="22">
        <v>534.85291199999995</v>
      </c>
      <c r="K185" s="22">
        <v>400.71</v>
      </c>
      <c r="L185" s="22">
        <v>635.23560999999995</v>
      </c>
      <c r="M185" s="22">
        <v>511.878736</v>
      </c>
      <c r="N185" s="22">
        <v>400.71</v>
      </c>
      <c r="O185" s="22">
        <v>400.71</v>
      </c>
      <c r="P185" s="22">
        <v>35.680005000000001</v>
      </c>
      <c r="Q185" s="22">
        <v>400.71</v>
      </c>
      <c r="R185" s="22">
        <v>400.71</v>
      </c>
      <c r="S185" s="22">
        <v>400.71</v>
      </c>
      <c r="T185" s="22">
        <v>400.71</v>
      </c>
      <c r="U185" s="51" t="s">
        <v>214</v>
      </c>
      <c r="V185" s="55"/>
      <c r="W185" s="55">
        <v>2268</v>
      </c>
      <c r="X185" s="49">
        <v>29068</v>
      </c>
    </row>
    <row r="186" spans="1:24" ht="12" customHeight="1" x14ac:dyDescent="0.2">
      <c r="A186" s="49">
        <v>29099</v>
      </c>
      <c r="B186" s="523"/>
      <c r="C186" s="523"/>
      <c r="D186" s="50"/>
      <c r="E186" s="50"/>
      <c r="F186" s="50"/>
      <c r="G186" s="50"/>
      <c r="H186" s="50"/>
      <c r="I186" s="50"/>
      <c r="J186" s="22">
        <v>553.03791100000001</v>
      </c>
      <c r="K186" s="22">
        <v>412.24</v>
      </c>
      <c r="L186" s="22">
        <v>658.80285100000003</v>
      </c>
      <c r="M186" s="22">
        <v>541.72126600000001</v>
      </c>
      <c r="N186" s="22">
        <v>412.24</v>
      </c>
      <c r="O186" s="22">
        <v>412.24</v>
      </c>
      <c r="P186" s="22">
        <v>36.706659000000002</v>
      </c>
      <c r="Q186" s="22">
        <v>412.24</v>
      </c>
      <c r="R186" s="22">
        <v>412.24</v>
      </c>
      <c r="S186" s="22">
        <v>412.24</v>
      </c>
      <c r="T186" s="22">
        <v>412.24</v>
      </c>
      <c r="U186" s="51" t="s">
        <v>214</v>
      </c>
      <c r="V186" s="55"/>
      <c r="W186" s="55">
        <v>2268</v>
      </c>
      <c r="X186" s="49">
        <v>29099</v>
      </c>
    </row>
    <row r="187" spans="1:24" ht="12" customHeight="1" x14ac:dyDescent="0.2">
      <c r="A187" s="49">
        <v>29129</v>
      </c>
      <c r="B187" s="523"/>
      <c r="C187" s="523"/>
      <c r="D187" s="50"/>
      <c r="E187" s="50"/>
      <c r="F187" s="50"/>
      <c r="G187" s="50"/>
      <c r="H187" s="50"/>
      <c r="I187" s="50"/>
      <c r="J187" s="22">
        <v>588.70885599999997</v>
      </c>
      <c r="K187" s="22">
        <v>428.8</v>
      </c>
      <c r="L187" s="22">
        <v>726.39602300000001</v>
      </c>
      <c r="M187" s="22">
        <v>583.37963100000002</v>
      </c>
      <c r="N187" s="22">
        <v>428.8</v>
      </c>
      <c r="O187" s="22">
        <v>428.8</v>
      </c>
      <c r="P187" s="22">
        <v>38.181193999999998</v>
      </c>
      <c r="Q187" s="22">
        <v>428.8</v>
      </c>
      <c r="R187" s="22">
        <v>428.8</v>
      </c>
      <c r="S187" s="22">
        <v>428.8</v>
      </c>
      <c r="T187" s="22">
        <v>428.8</v>
      </c>
      <c r="U187" s="51" t="s">
        <v>214</v>
      </c>
      <c r="V187" s="55"/>
      <c r="W187" s="55">
        <v>2268</v>
      </c>
      <c r="X187" s="49">
        <v>29129</v>
      </c>
    </row>
    <row r="188" spans="1:24" ht="12" customHeight="1" x14ac:dyDescent="0.2">
      <c r="A188" s="49">
        <v>29160</v>
      </c>
      <c r="B188" s="523"/>
      <c r="C188" s="523"/>
      <c r="D188" s="50"/>
      <c r="E188" s="50"/>
      <c r="F188" s="50"/>
      <c r="G188" s="50"/>
      <c r="H188" s="50"/>
      <c r="I188" s="50"/>
      <c r="J188" s="22">
        <v>616.37817199999995</v>
      </c>
      <c r="K188" s="22">
        <v>448.47</v>
      </c>
      <c r="L188" s="22">
        <v>744.33800399999996</v>
      </c>
      <c r="M188" s="22">
        <v>614.00706100000002</v>
      </c>
      <c r="N188" s="22">
        <v>448.47</v>
      </c>
      <c r="O188" s="22">
        <v>448.47</v>
      </c>
      <c r="P188" s="22">
        <v>39.932648999999998</v>
      </c>
      <c r="Q188" s="22">
        <v>448.47</v>
      </c>
      <c r="R188" s="22">
        <v>448.47</v>
      </c>
      <c r="S188" s="22">
        <v>448.47</v>
      </c>
      <c r="T188" s="22">
        <v>448.47</v>
      </c>
      <c r="U188" s="51" t="s">
        <v>214</v>
      </c>
      <c r="V188" s="55"/>
      <c r="W188" s="55">
        <v>2932.8</v>
      </c>
      <c r="X188" s="49">
        <v>29160</v>
      </c>
    </row>
    <row r="189" spans="1:24" ht="12" customHeight="1" x14ac:dyDescent="0.2">
      <c r="A189" s="49">
        <v>29190</v>
      </c>
      <c r="B189" s="523"/>
      <c r="C189" s="523"/>
      <c r="D189" s="50"/>
      <c r="E189" s="50"/>
      <c r="F189" s="50"/>
      <c r="G189" s="50"/>
      <c r="H189" s="50"/>
      <c r="I189" s="50"/>
      <c r="J189" s="22">
        <v>645.47122100000001</v>
      </c>
      <c r="K189" s="22">
        <v>468.71</v>
      </c>
      <c r="L189" s="22">
        <v>772.92058299999997</v>
      </c>
      <c r="M189" s="22">
        <v>648.20725400000003</v>
      </c>
      <c r="N189" s="22">
        <v>468.71</v>
      </c>
      <c r="O189" s="22">
        <v>468.71</v>
      </c>
      <c r="P189" s="22">
        <v>41.734859</v>
      </c>
      <c r="Q189" s="22">
        <v>468.71</v>
      </c>
      <c r="R189" s="22">
        <v>468.71</v>
      </c>
      <c r="S189" s="22">
        <v>468.71</v>
      </c>
      <c r="T189" s="22">
        <v>468.71</v>
      </c>
      <c r="U189" s="51" t="s">
        <v>214</v>
      </c>
      <c r="V189" s="55"/>
      <c r="W189" s="55">
        <v>2932.8</v>
      </c>
      <c r="X189" s="49">
        <v>29190</v>
      </c>
    </row>
    <row r="190" spans="1:24" ht="12" customHeight="1" x14ac:dyDescent="0.2">
      <c r="A190" s="49">
        <v>29221</v>
      </c>
      <c r="B190" s="523"/>
      <c r="C190" s="523"/>
      <c r="D190" s="50"/>
      <c r="E190" s="50"/>
      <c r="F190" s="50"/>
      <c r="G190" s="50"/>
      <c r="H190" s="50"/>
      <c r="I190" s="50"/>
      <c r="J190" s="22">
        <v>691.04148899999996</v>
      </c>
      <c r="K190" s="22">
        <v>487.83</v>
      </c>
      <c r="L190" s="22">
        <v>801.28676800000005</v>
      </c>
      <c r="M190" s="22">
        <v>695.52638300000001</v>
      </c>
      <c r="N190" s="22">
        <v>487.83</v>
      </c>
      <c r="O190" s="22">
        <v>487.83</v>
      </c>
      <c r="P190" s="22">
        <v>43.437341000000004</v>
      </c>
      <c r="Q190" s="22">
        <v>487.83</v>
      </c>
      <c r="R190" s="22">
        <v>487.83</v>
      </c>
      <c r="S190" s="22">
        <v>487.83</v>
      </c>
      <c r="T190" s="22">
        <v>487.83</v>
      </c>
      <c r="U190" s="51" t="s">
        <v>214</v>
      </c>
      <c r="V190" s="55"/>
      <c r="W190" s="55">
        <v>2932.8</v>
      </c>
      <c r="X190" s="49">
        <v>29221</v>
      </c>
    </row>
    <row r="191" spans="1:24" ht="12" customHeight="1" x14ac:dyDescent="0.2">
      <c r="A191" s="49">
        <v>29252</v>
      </c>
      <c r="B191" s="523"/>
      <c r="C191" s="523"/>
      <c r="D191" s="50"/>
      <c r="E191" s="50"/>
      <c r="F191" s="50"/>
      <c r="G191" s="50"/>
      <c r="H191" s="50"/>
      <c r="I191" s="50"/>
      <c r="J191" s="22">
        <v>722.00014699999997</v>
      </c>
      <c r="K191" s="22">
        <v>508.33</v>
      </c>
      <c r="L191" s="22">
        <v>838.86711700000001</v>
      </c>
      <c r="M191" s="22">
        <v>738.92722900000001</v>
      </c>
      <c r="N191" s="22">
        <v>508.33</v>
      </c>
      <c r="O191" s="22">
        <v>508.33</v>
      </c>
      <c r="P191" s="22">
        <v>45.262701</v>
      </c>
      <c r="Q191" s="22">
        <v>508.33</v>
      </c>
      <c r="R191" s="22">
        <v>508.33</v>
      </c>
      <c r="S191" s="22">
        <v>508.33</v>
      </c>
      <c r="T191" s="22">
        <v>508.33</v>
      </c>
      <c r="U191" s="51" t="s">
        <v>214</v>
      </c>
      <c r="V191" s="55"/>
      <c r="W191" s="55">
        <v>2932.8</v>
      </c>
      <c r="X191" s="49">
        <v>29252</v>
      </c>
    </row>
    <row r="192" spans="1:24" ht="12" customHeight="1" x14ac:dyDescent="0.2">
      <c r="A192" s="49">
        <v>29281</v>
      </c>
      <c r="B192" s="523"/>
      <c r="C192" s="523"/>
      <c r="D192" s="50"/>
      <c r="E192" s="50"/>
      <c r="F192" s="50"/>
      <c r="G192" s="50"/>
      <c r="H192" s="50"/>
      <c r="I192" s="50"/>
      <c r="J192" s="22">
        <v>746.18715099999997</v>
      </c>
      <c r="K192" s="22">
        <v>527.14</v>
      </c>
      <c r="L192" s="22">
        <v>918.81115299999999</v>
      </c>
      <c r="M192" s="22">
        <v>769.96217200000001</v>
      </c>
      <c r="N192" s="22">
        <v>527.14</v>
      </c>
      <c r="O192" s="22">
        <v>527.14</v>
      </c>
      <c r="P192" s="22">
        <v>46.937579999999997</v>
      </c>
      <c r="Q192" s="22">
        <v>527.14</v>
      </c>
      <c r="R192" s="22">
        <v>527.14</v>
      </c>
      <c r="S192" s="22">
        <v>527.14</v>
      </c>
      <c r="T192" s="22">
        <v>527.14</v>
      </c>
      <c r="U192" s="51" t="s">
        <v>214</v>
      </c>
      <c r="V192" s="55"/>
      <c r="W192" s="55">
        <v>2932.8</v>
      </c>
      <c r="X192" s="49">
        <v>29281</v>
      </c>
    </row>
    <row r="193" spans="1:24" ht="12" customHeight="1" x14ac:dyDescent="0.2">
      <c r="A193" s="49">
        <v>29312</v>
      </c>
      <c r="B193" s="523"/>
      <c r="C193" s="523"/>
      <c r="D193" s="50"/>
      <c r="E193" s="50"/>
      <c r="F193" s="50"/>
      <c r="G193" s="50"/>
      <c r="H193" s="50"/>
      <c r="I193" s="50"/>
      <c r="J193" s="22">
        <v>778.57167300000003</v>
      </c>
      <c r="K193" s="22">
        <v>546.64</v>
      </c>
      <c r="L193" s="22">
        <v>1036.3270990000001</v>
      </c>
      <c r="M193" s="22">
        <v>820.54868599999998</v>
      </c>
      <c r="N193" s="22">
        <v>546.64</v>
      </c>
      <c r="O193" s="22">
        <v>546.64</v>
      </c>
      <c r="P193" s="22">
        <v>48.673898999999999</v>
      </c>
      <c r="Q193" s="22">
        <v>546.64</v>
      </c>
      <c r="R193" s="22">
        <v>546.64</v>
      </c>
      <c r="S193" s="22">
        <v>546.64</v>
      </c>
      <c r="T193" s="22">
        <v>546.64</v>
      </c>
      <c r="U193" s="51" t="s">
        <v>214</v>
      </c>
      <c r="V193" s="55"/>
      <c r="W193" s="55">
        <v>2932.8</v>
      </c>
      <c r="X193" s="49">
        <v>29312</v>
      </c>
    </row>
    <row r="194" spans="1:24" ht="12" customHeight="1" x14ac:dyDescent="0.2">
      <c r="A194" s="49">
        <v>29342</v>
      </c>
      <c r="B194" s="523"/>
      <c r="C194" s="523"/>
      <c r="D194" s="50"/>
      <c r="E194" s="50"/>
      <c r="F194" s="50"/>
      <c r="G194" s="50"/>
      <c r="H194" s="50"/>
      <c r="I194" s="50"/>
      <c r="J194" s="22">
        <v>809.16953899999999</v>
      </c>
      <c r="K194" s="22">
        <v>566.86</v>
      </c>
      <c r="L194" s="22">
        <v>1068.867769</v>
      </c>
      <c r="M194" s="22">
        <v>867.48406999999997</v>
      </c>
      <c r="N194" s="22">
        <v>566.86</v>
      </c>
      <c r="O194" s="22">
        <v>566.86</v>
      </c>
      <c r="P194" s="22">
        <v>50.474327000000002</v>
      </c>
      <c r="Q194" s="22">
        <v>566.86</v>
      </c>
      <c r="R194" s="22">
        <v>566.86</v>
      </c>
      <c r="S194" s="22">
        <v>566.86</v>
      </c>
      <c r="T194" s="22">
        <v>566.86</v>
      </c>
      <c r="U194" s="51" t="s">
        <v>214</v>
      </c>
      <c r="V194" s="55"/>
      <c r="W194" s="55">
        <v>4149.6000000000004</v>
      </c>
      <c r="X194" s="49">
        <v>29342</v>
      </c>
    </row>
    <row r="195" spans="1:24" ht="12" customHeight="1" x14ac:dyDescent="0.2">
      <c r="A195" s="49">
        <v>29373</v>
      </c>
      <c r="B195" s="523"/>
      <c r="C195" s="523"/>
      <c r="D195" s="50"/>
      <c r="E195" s="50"/>
      <c r="F195" s="50"/>
      <c r="G195" s="50"/>
      <c r="H195" s="50"/>
      <c r="I195" s="50"/>
      <c r="J195" s="22">
        <v>861.92739200000005</v>
      </c>
      <c r="K195" s="22">
        <v>586.13</v>
      </c>
      <c r="L195" s="22">
        <v>1121.0285160000001</v>
      </c>
      <c r="M195" s="22">
        <v>922.91630199999997</v>
      </c>
      <c r="N195" s="22">
        <v>586.13</v>
      </c>
      <c r="O195" s="22">
        <v>586.13</v>
      </c>
      <c r="P195" s="22">
        <v>52.190165999999998</v>
      </c>
      <c r="Q195" s="22">
        <v>586.13</v>
      </c>
      <c r="R195" s="22">
        <v>586.13</v>
      </c>
      <c r="S195" s="22">
        <v>586.13</v>
      </c>
      <c r="T195" s="22">
        <v>586.13</v>
      </c>
      <c r="U195" s="51" t="s">
        <v>214</v>
      </c>
      <c r="V195" s="55"/>
      <c r="W195" s="55">
        <v>4149.6000000000004</v>
      </c>
      <c r="X195" s="49">
        <v>29373</v>
      </c>
    </row>
    <row r="196" spans="1:24" ht="12" customHeight="1" x14ac:dyDescent="0.2">
      <c r="A196" s="49">
        <v>29403</v>
      </c>
      <c r="B196" s="523"/>
      <c r="C196" s="523"/>
      <c r="D196" s="50"/>
      <c r="E196" s="50"/>
      <c r="F196" s="50"/>
      <c r="G196" s="50"/>
      <c r="H196" s="50"/>
      <c r="I196" s="50"/>
      <c r="J196" s="22">
        <v>905.196147</v>
      </c>
      <c r="K196" s="22">
        <v>604.89</v>
      </c>
      <c r="L196" s="22">
        <v>1185.263449</v>
      </c>
      <c r="M196" s="22">
        <v>976.99919699999998</v>
      </c>
      <c r="N196" s="22">
        <v>604.89</v>
      </c>
      <c r="O196" s="22">
        <v>604.89</v>
      </c>
      <c r="P196" s="22">
        <v>53.860593000000001</v>
      </c>
      <c r="Q196" s="22">
        <v>604.89</v>
      </c>
      <c r="R196" s="22">
        <v>604.89</v>
      </c>
      <c r="S196" s="22">
        <v>604.89</v>
      </c>
      <c r="T196" s="22">
        <v>604.89</v>
      </c>
      <c r="U196" s="51" t="s">
        <v>214</v>
      </c>
      <c r="V196" s="55"/>
      <c r="W196" s="55">
        <v>4149.6000000000004</v>
      </c>
      <c r="X196" s="49">
        <v>29403</v>
      </c>
    </row>
    <row r="197" spans="1:24" ht="12" customHeight="1" x14ac:dyDescent="0.2">
      <c r="A197" s="49">
        <v>29434</v>
      </c>
      <c r="B197" s="523"/>
      <c r="C197" s="523"/>
      <c r="D197" s="50"/>
      <c r="E197" s="50"/>
      <c r="F197" s="50"/>
      <c r="G197" s="50"/>
      <c r="H197" s="50"/>
      <c r="I197" s="50"/>
      <c r="J197" s="22">
        <v>952.62842499999999</v>
      </c>
      <c r="K197" s="22">
        <v>624.25</v>
      </c>
      <c r="L197" s="22">
        <v>1260.172098</v>
      </c>
      <c r="M197" s="22">
        <v>1059.555629</v>
      </c>
      <c r="N197" s="22">
        <v>624.25</v>
      </c>
      <c r="O197" s="22">
        <v>624.25</v>
      </c>
      <c r="P197" s="22">
        <v>55.584446</v>
      </c>
      <c r="Q197" s="22">
        <v>624.25</v>
      </c>
      <c r="R197" s="22">
        <v>624.25</v>
      </c>
      <c r="S197" s="22">
        <v>624.25</v>
      </c>
      <c r="T197" s="22">
        <v>624.25</v>
      </c>
      <c r="U197" s="51" t="s">
        <v>214</v>
      </c>
      <c r="V197" s="55"/>
      <c r="W197" s="55">
        <v>4149.6000000000004</v>
      </c>
      <c r="X197" s="49">
        <v>29434</v>
      </c>
    </row>
    <row r="198" spans="1:24" ht="12" customHeight="1" x14ac:dyDescent="0.2">
      <c r="A198" s="49">
        <v>29465</v>
      </c>
      <c r="B198" s="523"/>
      <c r="C198" s="523"/>
      <c r="D198" s="50"/>
      <c r="E198" s="50"/>
      <c r="F198" s="50"/>
      <c r="G198" s="50"/>
      <c r="H198" s="50"/>
      <c r="I198" s="50"/>
      <c r="J198" s="22">
        <v>1004.641937</v>
      </c>
      <c r="K198" s="22">
        <v>644.23</v>
      </c>
      <c r="L198" s="22">
        <v>1389.717789</v>
      </c>
      <c r="M198" s="22">
        <v>1132.876878</v>
      </c>
      <c r="N198" s="22">
        <v>644.23</v>
      </c>
      <c r="O198" s="22">
        <v>644.23</v>
      </c>
      <c r="P198" s="22">
        <v>57.363503999999999</v>
      </c>
      <c r="Q198" s="22">
        <v>644.23</v>
      </c>
      <c r="R198" s="22">
        <v>644.23</v>
      </c>
      <c r="S198" s="22">
        <v>644.23</v>
      </c>
      <c r="T198" s="22">
        <v>644.23</v>
      </c>
      <c r="U198" s="51" t="s">
        <v>214</v>
      </c>
      <c r="V198" s="55"/>
      <c r="W198" s="55">
        <v>4149.6000000000004</v>
      </c>
      <c r="X198" s="49">
        <v>29465</v>
      </c>
    </row>
    <row r="199" spans="1:24" ht="12" customHeight="1" x14ac:dyDescent="0.2">
      <c r="A199" s="49">
        <v>29495</v>
      </c>
      <c r="B199" s="523"/>
      <c r="C199" s="523"/>
      <c r="D199" s="50"/>
      <c r="E199" s="50"/>
      <c r="F199" s="50"/>
      <c r="G199" s="50"/>
      <c r="H199" s="50"/>
      <c r="I199" s="50"/>
      <c r="J199" s="22">
        <v>1066.427416</v>
      </c>
      <c r="K199" s="22">
        <v>663.56</v>
      </c>
      <c r="L199" s="22">
        <v>1501.034183</v>
      </c>
      <c r="M199" s="22">
        <v>1192.692777</v>
      </c>
      <c r="N199" s="22">
        <v>663.56</v>
      </c>
      <c r="O199" s="22">
        <v>663.56</v>
      </c>
      <c r="P199" s="22">
        <v>59.084685</v>
      </c>
      <c r="Q199" s="22">
        <v>663.56</v>
      </c>
      <c r="R199" s="22">
        <v>663.56</v>
      </c>
      <c r="S199" s="22">
        <v>663.56</v>
      </c>
      <c r="T199" s="22">
        <v>663.56</v>
      </c>
      <c r="U199" s="51" t="s">
        <v>214</v>
      </c>
      <c r="V199" s="55"/>
      <c r="W199" s="55">
        <v>4149.6000000000004</v>
      </c>
      <c r="X199" s="49">
        <v>29495</v>
      </c>
    </row>
    <row r="200" spans="1:24" ht="12" customHeight="1" x14ac:dyDescent="0.2">
      <c r="A200" s="49">
        <v>29526</v>
      </c>
      <c r="B200" s="523"/>
      <c r="C200" s="523"/>
      <c r="D200" s="50"/>
      <c r="E200" s="50"/>
      <c r="F200" s="50"/>
      <c r="G200" s="50"/>
      <c r="H200" s="50"/>
      <c r="I200" s="50"/>
      <c r="J200" s="22">
        <v>1138.731194</v>
      </c>
      <c r="K200" s="22">
        <v>684.79</v>
      </c>
      <c r="L200" s="22">
        <v>1547.5662420000001</v>
      </c>
      <c r="M200" s="22">
        <v>1283.9337740000001</v>
      </c>
      <c r="N200" s="22">
        <v>684.79</v>
      </c>
      <c r="O200" s="22">
        <v>684.79</v>
      </c>
      <c r="P200" s="22">
        <v>60.975045999999999</v>
      </c>
      <c r="Q200" s="22">
        <v>684.79</v>
      </c>
      <c r="R200" s="22">
        <v>684.79</v>
      </c>
      <c r="S200" s="22">
        <v>684.79</v>
      </c>
      <c r="T200" s="22">
        <v>684.79</v>
      </c>
      <c r="U200" s="51" t="s">
        <v>214</v>
      </c>
      <c r="V200" s="55"/>
      <c r="W200" s="55">
        <v>5788.8</v>
      </c>
      <c r="X200" s="49">
        <v>29526</v>
      </c>
    </row>
    <row r="201" spans="1:24" ht="12" customHeight="1" x14ac:dyDescent="0.2">
      <c r="A201" s="49">
        <v>29556</v>
      </c>
      <c r="B201" s="523"/>
      <c r="C201" s="523"/>
      <c r="D201" s="50"/>
      <c r="E201" s="50"/>
      <c r="F201" s="50"/>
      <c r="G201" s="50"/>
      <c r="H201" s="50"/>
      <c r="I201" s="50"/>
      <c r="J201" s="22">
        <v>1216.3926610000001</v>
      </c>
      <c r="K201" s="22">
        <v>706.7</v>
      </c>
      <c r="L201" s="22">
        <v>1625.8730929999999</v>
      </c>
      <c r="M201" s="22">
        <v>1380.8707730000001</v>
      </c>
      <c r="N201" s="22">
        <v>706.7</v>
      </c>
      <c r="O201" s="22">
        <v>706.7</v>
      </c>
      <c r="P201" s="22">
        <v>62.925955000000002</v>
      </c>
      <c r="Q201" s="22">
        <v>706.7</v>
      </c>
      <c r="R201" s="22">
        <v>706.7</v>
      </c>
      <c r="S201" s="22">
        <v>706.7</v>
      </c>
      <c r="T201" s="22">
        <v>706.7</v>
      </c>
      <c r="U201" s="51" t="s">
        <v>214</v>
      </c>
      <c r="V201" s="55"/>
      <c r="W201" s="55">
        <v>5788.8</v>
      </c>
      <c r="X201" s="49">
        <v>29556</v>
      </c>
    </row>
    <row r="202" spans="1:24" ht="12" customHeight="1" x14ac:dyDescent="0.2">
      <c r="A202" s="49">
        <v>29587</v>
      </c>
      <c r="B202" s="523"/>
      <c r="C202" s="523"/>
      <c r="D202" s="50"/>
      <c r="E202" s="50"/>
      <c r="F202" s="50"/>
      <c r="G202" s="50"/>
      <c r="H202" s="50"/>
      <c r="I202" s="50"/>
      <c r="J202" s="22">
        <v>1276.8473759999999</v>
      </c>
      <c r="K202" s="22">
        <v>738.5</v>
      </c>
      <c r="L202" s="22">
        <v>1707.00416</v>
      </c>
      <c r="M202" s="22">
        <v>1462.2040609999999</v>
      </c>
      <c r="N202" s="22">
        <v>738.5</v>
      </c>
      <c r="O202" s="22">
        <v>738.5</v>
      </c>
      <c r="P202" s="22">
        <v>65.757490000000004</v>
      </c>
      <c r="Q202" s="22">
        <v>738.5</v>
      </c>
      <c r="R202" s="22">
        <v>738.5</v>
      </c>
      <c r="S202" s="22">
        <v>738.5</v>
      </c>
      <c r="T202" s="22">
        <v>738.5</v>
      </c>
      <c r="U202" s="51" t="s">
        <v>214</v>
      </c>
      <c r="V202" s="55"/>
      <c r="W202" s="55">
        <v>5788.8</v>
      </c>
      <c r="X202" s="49">
        <v>29587</v>
      </c>
    </row>
    <row r="203" spans="1:24" ht="12" customHeight="1" x14ac:dyDescent="0.2">
      <c r="A203" s="49">
        <v>29618</v>
      </c>
      <c r="B203" s="523"/>
      <c r="C203" s="523"/>
      <c r="D203" s="50"/>
      <c r="E203" s="50"/>
      <c r="F203" s="50"/>
      <c r="G203" s="50"/>
      <c r="H203" s="50"/>
      <c r="I203" s="50"/>
      <c r="J203" s="22">
        <v>1339.6682659999999</v>
      </c>
      <c r="K203" s="22">
        <v>775.43</v>
      </c>
      <c r="L203" s="22">
        <v>1783.6486460000001</v>
      </c>
      <c r="M203" s="22">
        <v>1558.1246470000001</v>
      </c>
      <c r="N203" s="22">
        <v>775.43</v>
      </c>
      <c r="O203" s="22">
        <v>775.43</v>
      </c>
      <c r="P203" s="22">
        <v>69.045810000000003</v>
      </c>
      <c r="Q203" s="22">
        <v>775.43</v>
      </c>
      <c r="R203" s="22">
        <v>775.43</v>
      </c>
      <c r="S203" s="22">
        <v>775.43</v>
      </c>
      <c r="T203" s="22">
        <v>775.43</v>
      </c>
      <c r="U203" s="51" t="s">
        <v>214</v>
      </c>
      <c r="V203" s="55"/>
      <c r="W203" s="55">
        <v>5788.8</v>
      </c>
      <c r="X203" s="49">
        <v>29618</v>
      </c>
    </row>
    <row r="204" spans="1:24" ht="12" customHeight="1" x14ac:dyDescent="0.2">
      <c r="A204" s="49">
        <v>29646</v>
      </c>
      <c r="B204" s="523"/>
      <c r="C204" s="523"/>
      <c r="D204" s="50"/>
      <c r="E204" s="50"/>
      <c r="F204" s="50"/>
      <c r="G204" s="50"/>
      <c r="H204" s="50"/>
      <c r="I204" s="50"/>
      <c r="J204" s="22">
        <v>1452.3343669999999</v>
      </c>
      <c r="K204" s="22">
        <v>825.83</v>
      </c>
      <c r="L204" s="22">
        <v>2049.0555639999998</v>
      </c>
      <c r="M204" s="22">
        <v>1690.2536170000001</v>
      </c>
      <c r="N204" s="22">
        <v>825.83</v>
      </c>
      <c r="O204" s="22">
        <v>825.83</v>
      </c>
      <c r="P204" s="22">
        <v>73.533524</v>
      </c>
      <c r="Q204" s="22">
        <v>825.83</v>
      </c>
      <c r="R204" s="22">
        <v>825.83</v>
      </c>
      <c r="S204" s="22">
        <v>825.83</v>
      </c>
      <c r="T204" s="22">
        <v>825.83</v>
      </c>
      <c r="U204" s="51" t="s">
        <v>214</v>
      </c>
      <c r="V204" s="55"/>
      <c r="W204" s="55">
        <v>5788.8</v>
      </c>
      <c r="X204" s="49">
        <v>29646</v>
      </c>
    </row>
    <row r="205" spans="1:24" ht="12" customHeight="1" x14ac:dyDescent="0.2">
      <c r="A205" s="49">
        <v>29677</v>
      </c>
      <c r="B205" s="523"/>
      <c r="C205" s="523"/>
      <c r="D205" s="50"/>
      <c r="E205" s="50"/>
      <c r="F205" s="50"/>
      <c r="G205" s="50"/>
      <c r="H205" s="50"/>
      <c r="I205" s="50"/>
      <c r="J205" s="22">
        <v>1529.017621</v>
      </c>
      <c r="K205" s="22">
        <v>877.86</v>
      </c>
      <c r="L205" s="22">
        <v>2214.2094419999999</v>
      </c>
      <c r="M205" s="22">
        <v>1814.8253079999999</v>
      </c>
      <c r="N205" s="22">
        <v>877.86</v>
      </c>
      <c r="O205" s="22">
        <v>877.86</v>
      </c>
      <c r="P205" s="22">
        <v>78.166377999999995</v>
      </c>
      <c r="Q205" s="22">
        <v>877.86</v>
      </c>
      <c r="R205" s="22">
        <v>877.86</v>
      </c>
      <c r="S205" s="22">
        <v>877.86</v>
      </c>
      <c r="T205" s="22">
        <v>877.86</v>
      </c>
      <c r="U205" s="51" t="s">
        <v>214</v>
      </c>
      <c r="V205" s="55"/>
      <c r="W205" s="55">
        <v>5788.8</v>
      </c>
      <c r="X205" s="49">
        <v>29677</v>
      </c>
    </row>
    <row r="206" spans="1:24" ht="12" customHeight="1" x14ac:dyDescent="0.2">
      <c r="A206" s="49">
        <v>29707</v>
      </c>
      <c r="B206" s="523"/>
      <c r="C206" s="523"/>
      <c r="D206" s="50"/>
      <c r="E206" s="50"/>
      <c r="F206" s="50"/>
      <c r="G206" s="50"/>
      <c r="H206" s="50"/>
      <c r="I206" s="50"/>
      <c r="J206" s="22">
        <v>1611.584572</v>
      </c>
      <c r="K206" s="22">
        <v>930.53</v>
      </c>
      <c r="L206" s="22">
        <v>2289.4925629999998</v>
      </c>
      <c r="M206" s="22">
        <v>1914.096252</v>
      </c>
      <c r="N206" s="22">
        <v>930.53</v>
      </c>
      <c r="O206" s="22">
        <v>930.53</v>
      </c>
      <c r="P206" s="22">
        <v>82.856217999999998</v>
      </c>
      <c r="Q206" s="22">
        <v>930.53</v>
      </c>
      <c r="R206" s="22">
        <v>930.53</v>
      </c>
      <c r="S206" s="22">
        <v>930.53</v>
      </c>
      <c r="T206" s="22">
        <v>930.53</v>
      </c>
      <c r="U206" s="51" t="s">
        <v>214</v>
      </c>
      <c r="V206" s="55"/>
      <c r="W206" s="55">
        <v>8464.7999999999993</v>
      </c>
      <c r="X206" s="49">
        <v>29707</v>
      </c>
    </row>
    <row r="207" spans="1:24" ht="12" customHeight="1" x14ac:dyDescent="0.2">
      <c r="A207" s="49">
        <v>29738</v>
      </c>
      <c r="B207" s="523"/>
      <c r="C207" s="523"/>
      <c r="D207" s="50"/>
      <c r="E207" s="50"/>
      <c r="F207" s="50"/>
      <c r="G207" s="50"/>
      <c r="H207" s="50"/>
      <c r="I207" s="50"/>
      <c r="J207" s="22">
        <v>1713.1143999999999</v>
      </c>
      <c r="K207" s="22">
        <v>986.36</v>
      </c>
      <c r="L207" s="22">
        <v>2369.395853</v>
      </c>
      <c r="M207" s="22">
        <v>2032.5788090000001</v>
      </c>
      <c r="N207" s="22">
        <v>986.36</v>
      </c>
      <c r="O207" s="22">
        <v>986.36</v>
      </c>
      <c r="P207" s="22">
        <v>87.827431000000004</v>
      </c>
      <c r="Q207" s="22">
        <v>986.36</v>
      </c>
      <c r="R207" s="22">
        <v>986.36</v>
      </c>
      <c r="S207" s="22">
        <v>986.36</v>
      </c>
      <c r="T207" s="22">
        <v>986.36</v>
      </c>
      <c r="U207" s="51" t="s">
        <v>214</v>
      </c>
      <c r="V207" s="55"/>
      <c r="W207" s="55">
        <v>8464.7999999999993</v>
      </c>
      <c r="X207" s="49">
        <v>29738</v>
      </c>
    </row>
    <row r="208" spans="1:24" ht="12" customHeight="1" x14ac:dyDescent="0.2">
      <c r="A208" s="49">
        <v>29768</v>
      </c>
      <c r="B208" s="523"/>
      <c r="C208" s="523"/>
      <c r="D208" s="50"/>
      <c r="E208" s="50"/>
      <c r="F208" s="50"/>
      <c r="G208" s="50"/>
      <c r="H208" s="50"/>
      <c r="I208" s="50"/>
      <c r="J208" s="22">
        <v>1785.2365159999999</v>
      </c>
      <c r="K208" s="22">
        <v>1045.54</v>
      </c>
      <c r="L208" s="22">
        <v>2425.3135950000001</v>
      </c>
      <c r="M208" s="22">
        <v>2123.4350810000001</v>
      </c>
      <c r="N208" s="22">
        <v>1045.54</v>
      </c>
      <c r="O208" s="22">
        <v>1045.54</v>
      </c>
      <c r="P208" s="22">
        <v>93.096934000000005</v>
      </c>
      <c r="Q208" s="22">
        <v>1045.54</v>
      </c>
      <c r="R208" s="22">
        <v>1045.54</v>
      </c>
      <c r="S208" s="22">
        <v>1045.54</v>
      </c>
      <c r="T208" s="22">
        <v>1045.54</v>
      </c>
      <c r="U208" s="51" t="s">
        <v>214</v>
      </c>
      <c r="V208" s="55"/>
      <c r="W208" s="55">
        <v>8464.7999999999993</v>
      </c>
      <c r="X208" s="49">
        <v>29768</v>
      </c>
    </row>
    <row r="209" spans="1:24" ht="12" customHeight="1" x14ac:dyDescent="0.2">
      <c r="A209" s="49">
        <v>29799</v>
      </c>
      <c r="B209" s="523"/>
      <c r="C209" s="523"/>
      <c r="D209" s="50"/>
      <c r="E209" s="50"/>
      <c r="F209" s="50"/>
      <c r="G209" s="50"/>
      <c r="H209" s="50"/>
      <c r="I209" s="50"/>
      <c r="J209" s="22">
        <v>1876.1050540000001</v>
      </c>
      <c r="K209" s="22">
        <v>1108.27</v>
      </c>
      <c r="L209" s="22">
        <v>2472.6072100000001</v>
      </c>
      <c r="M209" s="22">
        <v>2231.3055829999998</v>
      </c>
      <c r="N209" s="22">
        <v>1108.27</v>
      </c>
      <c r="O209" s="22">
        <v>1108.27</v>
      </c>
      <c r="P209" s="22">
        <v>98.682536999999996</v>
      </c>
      <c r="Q209" s="22">
        <v>1108.27</v>
      </c>
      <c r="R209" s="22">
        <v>1108.27</v>
      </c>
      <c r="S209" s="22">
        <v>1108.27</v>
      </c>
      <c r="T209" s="22">
        <v>1108.27</v>
      </c>
      <c r="U209" s="51" t="s">
        <v>214</v>
      </c>
      <c r="V209" s="55"/>
      <c r="W209" s="55">
        <v>8464.7999999999993</v>
      </c>
      <c r="X209" s="49">
        <v>29799</v>
      </c>
    </row>
    <row r="210" spans="1:24" ht="12" customHeight="1" x14ac:dyDescent="0.2">
      <c r="A210" s="49">
        <v>29830</v>
      </c>
      <c r="B210" s="523"/>
      <c r="C210" s="523"/>
      <c r="D210" s="50"/>
      <c r="E210" s="50"/>
      <c r="F210" s="50"/>
      <c r="G210" s="50"/>
      <c r="H210" s="50"/>
      <c r="I210" s="50"/>
      <c r="J210" s="22">
        <v>2036.8872570000001</v>
      </c>
      <c r="K210" s="22">
        <v>1172.55</v>
      </c>
      <c r="L210" s="22">
        <v>2779.2105040000001</v>
      </c>
      <c r="M210" s="22">
        <v>2381.472448</v>
      </c>
      <c r="N210" s="22">
        <v>1172.55</v>
      </c>
      <c r="O210" s="22">
        <v>1172.55</v>
      </c>
      <c r="P210" s="22">
        <v>104.406154</v>
      </c>
      <c r="Q210" s="22">
        <v>1172.55</v>
      </c>
      <c r="R210" s="22">
        <v>1172.55</v>
      </c>
      <c r="S210" s="22">
        <v>1172.55</v>
      </c>
      <c r="T210" s="22">
        <v>1172.55</v>
      </c>
      <c r="U210" s="51" t="s">
        <v>214</v>
      </c>
      <c r="V210" s="55"/>
      <c r="W210" s="55">
        <v>8464.7999999999993</v>
      </c>
      <c r="X210" s="49">
        <v>29830</v>
      </c>
    </row>
    <row r="211" spans="1:24" ht="12" customHeight="1" x14ac:dyDescent="0.2">
      <c r="A211" s="49">
        <v>29860</v>
      </c>
      <c r="B211" s="523"/>
      <c r="C211" s="523"/>
      <c r="D211" s="50"/>
      <c r="E211" s="50"/>
      <c r="F211" s="50"/>
      <c r="G211" s="50"/>
      <c r="H211" s="50"/>
      <c r="I211" s="50"/>
      <c r="J211" s="22">
        <v>2125.2881630000002</v>
      </c>
      <c r="K211" s="22">
        <v>1239.3900000000001</v>
      </c>
      <c r="L211" s="22">
        <v>2932.9008439999998</v>
      </c>
      <c r="M211" s="22">
        <v>2502.2131009999998</v>
      </c>
      <c r="N211" s="22">
        <v>1239.3900000000001</v>
      </c>
      <c r="O211" s="22">
        <v>1239.3900000000001</v>
      </c>
      <c r="P211" s="22">
        <v>110.357719</v>
      </c>
      <c r="Q211" s="22">
        <v>1239.3900000000001</v>
      </c>
      <c r="R211" s="22">
        <v>1239.3900000000001</v>
      </c>
      <c r="S211" s="22">
        <v>1239.3900000000001</v>
      </c>
      <c r="T211" s="22">
        <v>1239.3900000000001</v>
      </c>
      <c r="U211" s="51" t="s">
        <v>214</v>
      </c>
      <c r="V211" s="55"/>
      <c r="W211" s="55">
        <v>8464.7999999999993</v>
      </c>
      <c r="X211" s="49">
        <v>29860</v>
      </c>
    </row>
    <row r="212" spans="1:24" ht="12" customHeight="1" x14ac:dyDescent="0.2">
      <c r="A212" s="49">
        <v>29891</v>
      </c>
      <c r="B212" s="523"/>
      <c r="C212" s="523"/>
      <c r="D212" s="50"/>
      <c r="E212" s="50"/>
      <c r="F212" s="50"/>
      <c r="G212" s="50"/>
      <c r="H212" s="50"/>
      <c r="I212" s="50"/>
      <c r="J212" s="22">
        <v>2224.1140620000001</v>
      </c>
      <c r="K212" s="22">
        <v>1310.04</v>
      </c>
      <c r="L212" s="22">
        <v>2983.3467380000002</v>
      </c>
      <c r="M212" s="22">
        <v>2611.0593699999999</v>
      </c>
      <c r="N212" s="22">
        <v>1310.04</v>
      </c>
      <c r="O212" s="22">
        <v>1310.04</v>
      </c>
      <c r="P212" s="22">
        <v>116.648533</v>
      </c>
      <c r="Q212" s="22">
        <v>1310.04</v>
      </c>
      <c r="R212" s="22">
        <v>1310.04</v>
      </c>
      <c r="S212" s="22">
        <v>1310.04</v>
      </c>
      <c r="T212" s="22">
        <v>1310.04</v>
      </c>
      <c r="U212" s="51" t="s">
        <v>214</v>
      </c>
      <c r="V212" s="55"/>
      <c r="W212" s="55">
        <v>11928</v>
      </c>
      <c r="X212" s="49">
        <v>29891</v>
      </c>
    </row>
    <row r="213" spans="1:24" ht="12" customHeight="1" x14ac:dyDescent="0.2">
      <c r="A213" s="49">
        <v>29921</v>
      </c>
      <c r="B213" s="523"/>
      <c r="C213" s="523"/>
      <c r="D213" s="50"/>
      <c r="E213" s="50"/>
      <c r="F213" s="50"/>
      <c r="G213" s="50"/>
      <c r="H213" s="50"/>
      <c r="I213" s="50"/>
      <c r="J213" s="22">
        <v>2333.540473</v>
      </c>
      <c r="K213" s="22">
        <v>1382.09</v>
      </c>
      <c r="L213" s="22">
        <v>3081.200511</v>
      </c>
      <c r="M213" s="22">
        <v>2749.7066220000002</v>
      </c>
      <c r="N213" s="22">
        <v>1382.09</v>
      </c>
      <c r="O213" s="22">
        <v>1382.09</v>
      </c>
      <c r="P213" s="22">
        <v>123.064007</v>
      </c>
      <c r="Q213" s="22">
        <v>1382.09</v>
      </c>
      <c r="R213" s="22">
        <v>1382.09</v>
      </c>
      <c r="S213" s="22">
        <v>1382.09</v>
      </c>
      <c r="T213" s="22">
        <v>1382.09</v>
      </c>
      <c r="U213" s="51" t="s">
        <v>214</v>
      </c>
      <c r="V213" s="55"/>
      <c r="W213" s="55">
        <v>11928</v>
      </c>
      <c r="X213" s="49">
        <v>29921</v>
      </c>
    </row>
    <row r="214" spans="1:24" ht="12" customHeight="1" x14ac:dyDescent="0.2">
      <c r="A214" s="49">
        <v>29952</v>
      </c>
      <c r="B214" s="523"/>
      <c r="C214" s="523"/>
      <c r="D214" s="50"/>
      <c r="E214" s="50"/>
      <c r="F214" s="50"/>
      <c r="G214" s="50"/>
      <c r="H214" s="50"/>
      <c r="I214" s="50"/>
      <c r="J214" s="22">
        <v>2437.1496699999998</v>
      </c>
      <c r="K214" s="22">
        <v>1453.96</v>
      </c>
      <c r="L214" s="22">
        <v>3177.025846</v>
      </c>
      <c r="M214" s="22">
        <v>2854.1954730000002</v>
      </c>
      <c r="N214" s="22">
        <v>1453.96</v>
      </c>
      <c r="O214" s="22">
        <v>1453.96</v>
      </c>
      <c r="P214" s="22">
        <v>129.46345299999999</v>
      </c>
      <c r="Q214" s="22">
        <v>1453.96</v>
      </c>
      <c r="R214" s="22">
        <v>1453.96</v>
      </c>
      <c r="S214" s="22">
        <v>1453.96</v>
      </c>
      <c r="T214" s="22">
        <v>1453.96</v>
      </c>
      <c r="U214" s="51" t="s">
        <v>214</v>
      </c>
      <c r="V214" s="55"/>
      <c r="W214" s="55">
        <v>11928</v>
      </c>
      <c r="X214" s="49">
        <v>29952</v>
      </c>
    </row>
    <row r="215" spans="1:24" ht="12" customHeight="1" x14ac:dyDescent="0.2">
      <c r="A215" s="49">
        <v>29983</v>
      </c>
      <c r="B215" s="523"/>
      <c r="C215" s="523"/>
      <c r="D215" s="50"/>
      <c r="E215" s="50"/>
      <c r="F215" s="50"/>
      <c r="G215" s="50"/>
      <c r="H215" s="50"/>
      <c r="I215" s="50"/>
      <c r="J215" s="22">
        <v>2533.173366</v>
      </c>
      <c r="K215" s="22">
        <v>1526.66</v>
      </c>
      <c r="L215" s="22">
        <v>3297.7528280000001</v>
      </c>
      <c r="M215" s="22">
        <v>3033.7243680000001</v>
      </c>
      <c r="N215" s="22">
        <v>1526.66</v>
      </c>
      <c r="O215" s="22">
        <v>1526.66</v>
      </c>
      <c r="P215" s="22">
        <v>135.936804</v>
      </c>
      <c r="Q215" s="22">
        <v>1526.66</v>
      </c>
      <c r="R215" s="22">
        <v>1526.66</v>
      </c>
      <c r="S215" s="22">
        <v>1526.66</v>
      </c>
      <c r="T215" s="22">
        <v>1526.66</v>
      </c>
      <c r="U215" s="51" t="s">
        <v>214</v>
      </c>
      <c r="V215" s="55"/>
      <c r="W215" s="55">
        <v>11928</v>
      </c>
      <c r="X215" s="49">
        <v>29983</v>
      </c>
    </row>
    <row r="216" spans="1:24" ht="12" customHeight="1" x14ac:dyDescent="0.2">
      <c r="A216" s="49">
        <v>30011</v>
      </c>
      <c r="B216" s="523"/>
      <c r="C216" s="523"/>
      <c r="D216" s="50"/>
      <c r="E216" s="50"/>
      <c r="F216" s="50"/>
      <c r="G216" s="50"/>
      <c r="H216" s="50"/>
      <c r="I216" s="50"/>
      <c r="J216" s="22">
        <v>2682.6305940000002</v>
      </c>
      <c r="K216" s="22">
        <v>1602.99</v>
      </c>
      <c r="L216" s="22">
        <v>3656.2185599999998</v>
      </c>
      <c r="M216" s="22">
        <v>3241.5344869999999</v>
      </c>
      <c r="N216" s="22">
        <v>1602.99</v>
      </c>
      <c r="O216" s="22">
        <v>1602.99</v>
      </c>
      <c r="P216" s="22">
        <v>142.73337699999999</v>
      </c>
      <c r="Q216" s="22">
        <v>1602.99</v>
      </c>
      <c r="R216" s="22">
        <v>1602.99</v>
      </c>
      <c r="S216" s="22">
        <v>1602.99</v>
      </c>
      <c r="T216" s="22">
        <v>1602.99</v>
      </c>
      <c r="U216" s="51" t="s">
        <v>214</v>
      </c>
      <c r="V216" s="55"/>
      <c r="W216" s="55">
        <v>11928</v>
      </c>
      <c r="X216" s="49">
        <v>30011</v>
      </c>
    </row>
    <row r="217" spans="1:24" ht="12" customHeight="1" x14ac:dyDescent="0.2">
      <c r="A217" s="49">
        <v>30042</v>
      </c>
      <c r="B217" s="523"/>
      <c r="C217" s="523"/>
      <c r="D217" s="50"/>
      <c r="E217" s="50"/>
      <c r="F217" s="50"/>
      <c r="G217" s="50"/>
      <c r="H217" s="50"/>
      <c r="I217" s="50"/>
      <c r="J217" s="22">
        <v>2838.4914309999999</v>
      </c>
      <c r="K217" s="22">
        <v>1683.14</v>
      </c>
      <c r="L217" s="22">
        <v>4114.7083670000002</v>
      </c>
      <c r="M217" s="22">
        <v>3475.89743</v>
      </c>
      <c r="N217" s="22">
        <v>1683.14</v>
      </c>
      <c r="O217" s="22">
        <v>1683.14</v>
      </c>
      <c r="P217" s="22">
        <v>149.87009</v>
      </c>
      <c r="Q217" s="22">
        <v>1683.14</v>
      </c>
      <c r="R217" s="22">
        <v>1683.14</v>
      </c>
      <c r="S217" s="22">
        <v>1683.14</v>
      </c>
      <c r="T217" s="22">
        <v>1683.14</v>
      </c>
      <c r="U217" s="51" t="s">
        <v>214</v>
      </c>
      <c r="V217" s="55"/>
      <c r="W217" s="55">
        <v>11928</v>
      </c>
      <c r="X217" s="49">
        <v>30042</v>
      </c>
    </row>
    <row r="218" spans="1:24" ht="12" customHeight="1" x14ac:dyDescent="0.2">
      <c r="A218" s="49">
        <v>30072</v>
      </c>
      <c r="B218" s="523"/>
      <c r="C218" s="523"/>
      <c r="D218" s="50"/>
      <c r="E218" s="50"/>
      <c r="F218" s="50"/>
      <c r="G218" s="50"/>
      <c r="H218" s="50"/>
      <c r="I218" s="50"/>
      <c r="J218" s="22">
        <v>2990.0668730000002</v>
      </c>
      <c r="K218" s="22">
        <v>1775.71</v>
      </c>
      <c r="L218" s="22">
        <v>4290.406414</v>
      </c>
      <c r="M218" s="22">
        <v>3662.2055319999999</v>
      </c>
      <c r="N218" s="22">
        <v>1775.71</v>
      </c>
      <c r="O218" s="22">
        <v>1775.71</v>
      </c>
      <c r="P218" s="22">
        <v>158.11270400000001</v>
      </c>
      <c r="Q218" s="22">
        <v>1775.71</v>
      </c>
      <c r="R218" s="22">
        <v>1775.71</v>
      </c>
      <c r="S218" s="22">
        <v>1775.71</v>
      </c>
      <c r="T218" s="22">
        <v>1775.71</v>
      </c>
      <c r="U218" s="51" t="s">
        <v>214</v>
      </c>
      <c r="V218" s="55"/>
      <c r="W218" s="55">
        <v>16608</v>
      </c>
      <c r="X218" s="49">
        <v>30072</v>
      </c>
    </row>
    <row r="219" spans="1:24" ht="12" customHeight="1" x14ac:dyDescent="0.2">
      <c r="A219" s="49">
        <v>30103</v>
      </c>
      <c r="B219" s="523"/>
      <c r="C219" s="523"/>
      <c r="D219" s="50"/>
      <c r="E219" s="50"/>
      <c r="F219" s="50"/>
      <c r="G219" s="50"/>
      <c r="H219" s="50"/>
      <c r="I219" s="50"/>
      <c r="J219" s="22">
        <v>3170.068898</v>
      </c>
      <c r="K219" s="22">
        <v>1873.37</v>
      </c>
      <c r="L219" s="22">
        <v>4516.0817909999996</v>
      </c>
      <c r="M219" s="22">
        <v>3886.3325100000002</v>
      </c>
      <c r="N219" s="22">
        <v>1873.37</v>
      </c>
      <c r="O219" s="22">
        <v>1873.37</v>
      </c>
      <c r="P219" s="22">
        <v>166.80854299999999</v>
      </c>
      <c r="Q219" s="22">
        <v>1873.37</v>
      </c>
      <c r="R219" s="22">
        <v>1873.37</v>
      </c>
      <c r="S219" s="22">
        <v>1873.37</v>
      </c>
      <c r="T219" s="22">
        <v>1873.37</v>
      </c>
      <c r="U219" s="51" t="s">
        <v>214</v>
      </c>
      <c r="V219" s="55"/>
      <c r="W219" s="55">
        <v>16608</v>
      </c>
      <c r="X219" s="49">
        <v>30103</v>
      </c>
    </row>
    <row r="220" spans="1:24" ht="12" customHeight="1" x14ac:dyDescent="0.2">
      <c r="A220" s="49">
        <v>30133</v>
      </c>
      <c r="B220" s="523"/>
      <c r="C220" s="523"/>
      <c r="D220" s="50"/>
      <c r="E220" s="50"/>
      <c r="F220" s="50"/>
      <c r="G220" s="50"/>
      <c r="H220" s="50"/>
      <c r="I220" s="50"/>
      <c r="J220" s="22">
        <v>3435.4036639999999</v>
      </c>
      <c r="K220" s="22">
        <v>1976.41</v>
      </c>
      <c r="L220" s="22">
        <v>4681.8219920000001</v>
      </c>
      <c r="M220" s="22">
        <v>4196.850477</v>
      </c>
      <c r="N220" s="22">
        <v>1976.41</v>
      </c>
      <c r="O220" s="22">
        <v>1976.41</v>
      </c>
      <c r="P220" s="22">
        <v>175.98342600000001</v>
      </c>
      <c r="Q220" s="22">
        <v>1976.41</v>
      </c>
      <c r="R220" s="22">
        <v>1976.41</v>
      </c>
      <c r="S220" s="22">
        <v>1976.41</v>
      </c>
      <c r="T220" s="22">
        <v>1976.41</v>
      </c>
      <c r="U220" s="51" t="s">
        <v>214</v>
      </c>
      <c r="V220" s="55"/>
      <c r="W220" s="55">
        <v>16608</v>
      </c>
      <c r="X220" s="49">
        <v>30133</v>
      </c>
    </row>
    <row r="221" spans="1:24" ht="12" customHeight="1" x14ac:dyDescent="0.2">
      <c r="A221" s="49">
        <v>30164</v>
      </c>
      <c r="B221" s="523"/>
      <c r="C221" s="523"/>
      <c r="D221" s="50"/>
      <c r="E221" s="50"/>
      <c r="F221" s="50"/>
      <c r="G221" s="50"/>
      <c r="H221" s="50"/>
      <c r="I221" s="50"/>
      <c r="J221" s="22">
        <v>3665.919249</v>
      </c>
      <c r="K221" s="22">
        <v>2094.9899999999998</v>
      </c>
      <c r="L221" s="22">
        <v>4938.8540190000003</v>
      </c>
      <c r="M221" s="22">
        <v>4451.179615</v>
      </c>
      <c r="N221" s="22">
        <v>2094.9899999999998</v>
      </c>
      <c r="O221" s="22">
        <v>2094.9899999999998</v>
      </c>
      <c r="P221" s="22">
        <v>186.542022</v>
      </c>
      <c r="Q221" s="22">
        <v>2094.9899999999998</v>
      </c>
      <c r="R221" s="22">
        <v>2094.9899999999998</v>
      </c>
      <c r="S221" s="22">
        <v>2094.9899999999998</v>
      </c>
      <c r="T221" s="22">
        <v>2094.9899999999998</v>
      </c>
      <c r="U221" s="51" t="s">
        <v>214</v>
      </c>
      <c r="V221" s="55"/>
      <c r="W221" s="55">
        <v>16608</v>
      </c>
      <c r="X221" s="49">
        <v>30164</v>
      </c>
    </row>
    <row r="222" spans="1:24" ht="12" customHeight="1" x14ac:dyDescent="0.2">
      <c r="A222" s="49">
        <v>30195</v>
      </c>
      <c r="B222" s="523"/>
      <c r="C222" s="523"/>
      <c r="D222" s="50"/>
      <c r="E222" s="50"/>
      <c r="F222" s="50"/>
      <c r="G222" s="50"/>
      <c r="H222" s="50"/>
      <c r="I222" s="50"/>
      <c r="J222" s="22">
        <v>3896.8721609999998</v>
      </c>
      <c r="K222" s="22">
        <v>2241.64</v>
      </c>
      <c r="L222" s="22">
        <v>5775.4958889999998</v>
      </c>
      <c r="M222" s="22">
        <v>4709.3480319999999</v>
      </c>
      <c r="N222" s="22">
        <v>2241.64</v>
      </c>
      <c r="O222" s="22">
        <v>2241.64</v>
      </c>
      <c r="P222" s="22">
        <v>199.60002600000001</v>
      </c>
      <c r="Q222" s="22">
        <v>2241.64</v>
      </c>
      <c r="R222" s="22">
        <v>2241.64</v>
      </c>
      <c r="S222" s="22">
        <v>2241.64</v>
      </c>
      <c r="T222" s="22">
        <v>2241.64</v>
      </c>
      <c r="U222" s="51" t="s">
        <v>214</v>
      </c>
      <c r="V222" s="55"/>
      <c r="W222" s="55">
        <v>16608</v>
      </c>
      <c r="X222" s="49">
        <v>30195</v>
      </c>
    </row>
    <row r="223" spans="1:24" ht="12" customHeight="1" x14ac:dyDescent="0.2">
      <c r="A223" s="49">
        <v>30225</v>
      </c>
      <c r="B223" s="523"/>
      <c r="C223" s="523"/>
      <c r="D223" s="50"/>
      <c r="E223" s="50"/>
      <c r="F223" s="50"/>
      <c r="G223" s="50"/>
      <c r="H223" s="50"/>
      <c r="I223" s="50"/>
      <c r="J223" s="22">
        <v>4037.9389329999999</v>
      </c>
      <c r="K223" s="22">
        <v>2398.5500000000002</v>
      </c>
      <c r="L223" s="22">
        <v>6007.6708230000004</v>
      </c>
      <c r="M223" s="22">
        <v>4881.710169</v>
      </c>
      <c r="N223" s="22">
        <v>2398.5500000000002</v>
      </c>
      <c r="O223" s="22">
        <v>2398.5500000000002</v>
      </c>
      <c r="P223" s="22">
        <v>213.57160099999999</v>
      </c>
      <c r="Q223" s="22">
        <v>2398.5500000000002</v>
      </c>
      <c r="R223" s="22">
        <v>2398.5500000000002</v>
      </c>
      <c r="S223" s="22">
        <v>2398.5500000000002</v>
      </c>
      <c r="T223" s="22">
        <v>2398.5500000000002</v>
      </c>
      <c r="U223" s="51" t="s">
        <v>214</v>
      </c>
      <c r="V223" s="55"/>
      <c r="W223" s="55">
        <v>16608</v>
      </c>
      <c r="X223" s="49">
        <v>30225</v>
      </c>
    </row>
    <row r="224" spans="1:24" ht="12" customHeight="1" x14ac:dyDescent="0.2">
      <c r="A224" s="49">
        <v>30256</v>
      </c>
      <c r="B224" s="523"/>
      <c r="C224" s="523"/>
      <c r="D224" s="50"/>
      <c r="E224" s="50"/>
      <c r="F224" s="50"/>
      <c r="G224" s="50"/>
      <c r="H224" s="50"/>
      <c r="I224" s="50"/>
      <c r="J224" s="22">
        <v>4185.3237040000004</v>
      </c>
      <c r="K224" s="22">
        <v>2566.4499999999998</v>
      </c>
      <c r="L224" s="22">
        <v>6202.3193570000003</v>
      </c>
      <c r="M224" s="22">
        <v>5115.0559149999999</v>
      </c>
      <c r="N224" s="22">
        <v>2566.4499999999998</v>
      </c>
      <c r="O224" s="22">
        <v>2566.4499999999998</v>
      </c>
      <c r="P224" s="22">
        <v>228.52174600000001</v>
      </c>
      <c r="Q224" s="22">
        <v>2566.4499999999998</v>
      </c>
      <c r="R224" s="22">
        <v>2566.4499999999998</v>
      </c>
      <c r="S224" s="22">
        <v>2566.4499999999998</v>
      </c>
      <c r="T224" s="22">
        <v>2566.4499999999998</v>
      </c>
      <c r="U224" s="51" t="s">
        <v>214</v>
      </c>
      <c r="V224" s="55"/>
      <c r="W224" s="55">
        <v>23568</v>
      </c>
      <c r="X224" s="49">
        <v>30256</v>
      </c>
    </row>
    <row r="225" spans="1:24" ht="12" customHeight="1" x14ac:dyDescent="0.2">
      <c r="A225" s="49">
        <v>30286</v>
      </c>
      <c r="B225" s="523"/>
      <c r="C225" s="523"/>
      <c r="D225" s="50"/>
      <c r="E225" s="50"/>
      <c r="F225" s="50"/>
      <c r="G225" s="50"/>
      <c r="H225" s="50"/>
      <c r="I225" s="50"/>
      <c r="J225" s="22">
        <v>4410.0755859999999</v>
      </c>
      <c r="K225" s="22">
        <v>2733.27</v>
      </c>
      <c r="L225" s="22">
        <v>6454.1335220000001</v>
      </c>
      <c r="M225" s="22">
        <v>5370.8087100000002</v>
      </c>
      <c r="N225" s="22">
        <v>2733.27</v>
      </c>
      <c r="O225" s="22">
        <v>2733.27</v>
      </c>
      <c r="P225" s="22">
        <v>243.37572700000001</v>
      </c>
      <c r="Q225" s="22">
        <v>2733.27</v>
      </c>
      <c r="R225" s="22">
        <v>2733.27</v>
      </c>
      <c r="S225" s="22">
        <v>2733.27</v>
      </c>
      <c r="T225" s="22">
        <v>2733.27</v>
      </c>
      <c r="U225" s="51" t="s">
        <v>214</v>
      </c>
      <c r="V225" s="55"/>
      <c r="W225" s="55">
        <v>23568</v>
      </c>
      <c r="X225" s="49">
        <v>30286</v>
      </c>
    </row>
    <row r="226" spans="1:24" ht="12" customHeight="1" x14ac:dyDescent="0.2">
      <c r="A226" s="49">
        <v>30317</v>
      </c>
      <c r="B226" s="523"/>
      <c r="C226" s="523"/>
      <c r="D226" s="50"/>
      <c r="E226" s="50"/>
      <c r="F226" s="50"/>
      <c r="G226" s="50"/>
      <c r="H226" s="50"/>
      <c r="I226" s="50"/>
      <c r="J226" s="22">
        <v>4743.4772999999996</v>
      </c>
      <c r="K226" s="22">
        <v>2910.93</v>
      </c>
      <c r="L226" s="22">
        <v>6607.0964860000004</v>
      </c>
      <c r="M226" s="22">
        <v>5700.5763639999996</v>
      </c>
      <c r="N226" s="22">
        <v>2910.93</v>
      </c>
      <c r="O226" s="22">
        <v>2910.93</v>
      </c>
      <c r="P226" s="22">
        <v>259.19492200000002</v>
      </c>
      <c r="Q226" s="22">
        <v>2910.93</v>
      </c>
      <c r="R226" s="22">
        <v>2910.93</v>
      </c>
      <c r="S226" s="22">
        <v>2910.93</v>
      </c>
      <c r="T226" s="22">
        <v>2910.93</v>
      </c>
      <c r="U226" s="51" t="s">
        <v>214</v>
      </c>
      <c r="V226" s="55"/>
      <c r="W226" s="55">
        <v>23568</v>
      </c>
      <c r="X226" s="49">
        <v>30317</v>
      </c>
    </row>
    <row r="227" spans="1:24" ht="12" customHeight="1" x14ac:dyDescent="0.2">
      <c r="A227" s="49">
        <v>30348</v>
      </c>
      <c r="B227" s="523"/>
      <c r="C227" s="523"/>
      <c r="D227" s="50"/>
      <c r="E227" s="50"/>
      <c r="F227" s="50"/>
      <c r="G227" s="50"/>
      <c r="H227" s="50"/>
      <c r="I227" s="50"/>
      <c r="J227" s="22">
        <v>5084.5333170000004</v>
      </c>
      <c r="K227" s="22">
        <v>3085.59</v>
      </c>
      <c r="L227" s="22">
        <v>6862.7911199999999</v>
      </c>
      <c r="M227" s="22">
        <v>6216.4785240000001</v>
      </c>
      <c r="N227" s="22">
        <v>3085.59</v>
      </c>
      <c r="O227" s="22">
        <v>3085.59</v>
      </c>
      <c r="P227" s="22">
        <v>274.74699099999998</v>
      </c>
      <c r="Q227" s="22">
        <v>3085.59</v>
      </c>
      <c r="R227" s="22">
        <v>3085.59</v>
      </c>
      <c r="S227" s="22">
        <v>3085.59</v>
      </c>
      <c r="T227" s="22">
        <v>3085.59</v>
      </c>
      <c r="U227" s="51" t="s">
        <v>214</v>
      </c>
      <c r="V227" s="55"/>
      <c r="W227" s="55">
        <v>23568</v>
      </c>
      <c r="X227" s="49">
        <v>30348</v>
      </c>
    </row>
    <row r="228" spans="1:24" ht="12" customHeight="1" x14ac:dyDescent="0.2">
      <c r="A228" s="49">
        <v>30376</v>
      </c>
      <c r="B228" s="523"/>
      <c r="C228" s="523"/>
      <c r="D228" s="50"/>
      <c r="E228" s="50"/>
      <c r="F228" s="50"/>
      <c r="G228" s="50"/>
      <c r="H228" s="50"/>
      <c r="I228" s="50"/>
      <c r="J228" s="22">
        <v>5495.8720620000004</v>
      </c>
      <c r="K228" s="22">
        <v>3292.32</v>
      </c>
      <c r="L228" s="22">
        <v>7730.9341960000002</v>
      </c>
      <c r="M228" s="22">
        <v>6621.792923</v>
      </c>
      <c r="N228" s="22">
        <v>3292.32</v>
      </c>
      <c r="O228" s="22">
        <v>3292.32</v>
      </c>
      <c r="P228" s="22">
        <v>293.15463599999998</v>
      </c>
      <c r="Q228" s="22">
        <v>3292.32</v>
      </c>
      <c r="R228" s="22">
        <v>3292.32</v>
      </c>
      <c r="S228" s="22">
        <v>3292.32</v>
      </c>
      <c r="T228" s="22">
        <v>3292.32</v>
      </c>
      <c r="U228" s="51" t="s">
        <v>214</v>
      </c>
      <c r="V228" s="55"/>
      <c r="W228" s="55">
        <v>23568</v>
      </c>
      <c r="X228" s="49">
        <v>30376</v>
      </c>
    </row>
    <row r="229" spans="1:24" ht="12" customHeight="1" x14ac:dyDescent="0.2">
      <c r="A229" s="49">
        <v>30407</v>
      </c>
      <c r="B229" s="523"/>
      <c r="C229" s="523"/>
      <c r="D229" s="50"/>
      <c r="E229" s="50"/>
      <c r="F229" s="50"/>
      <c r="G229" s="50"/>
      <c r="H229" s="50"/>
      <c r="I229" s="50"/>
      <c r="J229" s="22">
        <v>6038.8642209999998</v>
      </c>
      <c r="K229" s="22">
        <v>3588.63</v>
      </c>
      <c r="L229" s="22">
        <v>8371.8286399999997</v>
      </c>
      <c r="M229" s="22">
        <v>7289.9318279999998</v>
      </c>
      <c r="N229" s="22">
        <v>3588.63</v>
      </c>
      <c r="O229" s="22">
        <v>3588.63</v>
      </c>
      <c r="P229" s="22">
        <v>319.53865999999999</v>
      </c>
      <c r="Q229" s="22">
        <v>3588.63</v>
      </c>
      <c r="R229" s="22">
        <v>3588.63</v>
      </c>
      <c r="S229" s="22">
        <v>3588.63</v>
      </c>
      <c r="T229" s="22">
        <v>3588.63</v>
      </c>
      <c r="U229" s="51" t="s">
        <v>214</v>
      </c>
      <c r="V229" s="55"/>
      <c r="W229" s="55">
        <v>23568</v>
      </c>
      <c r="X229" s="49">
        <v>30407</v>
      </c>
    </row>
    <row r="230" spans="1:24" ht="12" customHeight="1" x14ac:dyDescent="0.2">
      <c r="A230" s="49">
        <v>30437</v>
      </c>
      <c r="B230" s="523"/>
      <c r="C230" s="523"/>
      <c r="D230" s="50"/>
      <c r="E230" s="50"/>
      <c r="F230" s="50"/>
      <c r="G230" s="50"/>
      <c r="H230" s="50"/>
      <c r="I230" s="50"/>
      <c r="J230" s="22">
        <v>6425.3515310000003</v>
      </c>
      <c r="K230" s="22">
        <v>3911.61</v>
      </c>
      <c r="L230" s="22">
        <v>8712.5620650000001</v>
      </c>
      <c r="M230" s="22">
        <v>7960.6055560000004</v>
      </c>
      <c r="N230" s="22">
        <v>3911.61</v>
      </c>
      <c r="O230" s="22">
        <v>3911.61</v>
      </c>
      <c r="P230" s="22">
        <v>348.29743400000001</v>
      </c>
      <c r="Q230" s="22">
        <v>3911.61</v>
      </c>
      <c r="R230" s="22">
        <v>3911.61</v>
      </c>
      <c r="S230" s="22">
        <v>3911.61</v>
      </c>
      <c r="T230" s="22">
        <v>3911.61</v>
      </c>
      <c r="U230" s="51" t="s">
        <v>214</v>
      </c>
      <c r="V230" s="55"/>
      <c r="W230" s="55">
        <v>34776</v>
      </c>
      <c r="X230" s="49">
        <v>30437</v>
      </c>
    </row>
    <row r="231" spans="1:24" ht="12" customHeight="1" x14ac:dyDescent="0.2">
      <c r="A231" s="49">
        <v>30468</v>
      </c>
      <c r="B231" s="523"/>
      <c r="C231" s="523"/>
      <c r="D231" s="50"/>
      <c r="E231" s="50"/>
      <c r="F231" s="50"/>
      <c r="G231" s="50"/>
      <c r="H231" s="50"/>
      <c r="I231" s="50"/>
      <c r="J231" s="22">
        <v>6744.6915019999997</v>
      </c>
      <c r="K231" s="22">
        <v>4224.54</v>
      </c>
      <c r="L231" s="22">
        <v>9336.3815080000004</v>
      </c>
      <c r="M231" s="22">
        <v>8470.0843110000005</v>
      </c>
      <c r="N231" s="22">
        <v>4224.54</v>
      </c>
      <c r="O231" s="22">
        <v>4224.54</v>
      </c>
      <c r="P231" s="22">
        <v>376.16133500000001</v>
      </c>
      <c r="Q231" s="22">
        <v>4224.54</v>
      </c>
      <c r="R231" s="22">
        <v>4224.54</v>
      </c>
      <c r="S231" s="22">
        <v>4224.54</v>
      </c>
      <c r="T231" s="22">
        <v>4224.54</v>
      </c>
      <c r="U231" s="51" t="s">
        <v>214</v>
      </c>
      <c r="V231" s="55"/>
      <c r="W231" s="55">
        <v>34776</v>
      </c>
      <c r="X231" s="49">
        <v>30468</v>
      </c>
    </row>
    <row r="232" spans="1:24" ht="12" customHeight="1" x14ac:dyDescent="0.2">
      <c r="A232" s="49">
        <v>30498</v>
      </c>
      <c r="B232" s="523"/>
      <c r="C232" s="523"/>
      <c r="D232" s="50"/>
      <c r="E232" s="50"/>
      <c r="F232" s="50"/>
      <c r="G232" s="50"/>
      <c r="H232" s="50"/>
      <c r="I232" s="50"/>
      <c r="J232" s="22">
        <v>7538.5416910000004</v>
      </c>
      <c r="K232" s="22">
        <v>4554.05</v>
      </c>
      <c r="L232" s="22">
        <v>9808.8024119999991</v>
      </c>
      <c r="M232" s="22">
        <v>9538.1619420000006</v>
      </c>
      <c r="N232" s="22">
        <v>4554.05</v>
      </c>
      <c r="O232" s="22">
        <v>4554.05</v>
      </c>
      <c r="P232" s="22">
        <v>405.501552</v>
      </c>
      <c r="Q232" s="22">
        <v>4554.05</v>
      </c>
      <c r="R232" s="22">
        <v>4554.05</v>
      </c>
      <c r="S232" s="22">
        <v>4554.05</v>
      </c>
      <c r="T232" s="22">
        <v>4554.05</v>
      </c>
      <c r="U232" s="51" t="s">
        <v>214</v>
      </c>
      <c r="V232" s="55"/>
      <c r="W232" s="55">
        <v>34776</v>
      </c>
      <c r="X232" s="49">
        <v>30498</v>
      </c>
    </row>
    <row r="233" spans="1:24" ht="12" customHeight="1" x14ac:dyDescent="0.2">
      <c r="A233" s="49">
        <v>30529</v>
      </c>
      <c r="B233" s="523"/>
      <c r="C233" s="523"/>
      <c r="D233" s="50"/>
      <c r="E233" s="50"/>
      <c r="F233" s="50"/>
      <c r="G233" s="50"/>
      <c r="H233" s="50"/>
      <c r="I233" s="50"/>
      <c r="J233" s="22">
        <v>8485.3825269999998</v>
      </c>
      <c r="K233" s="22">
        <v>4963.91</v>
      </c>
      <c r="L233" s="22">
        <v>10461.087772000001</v>
      </c>
      <c r="M233" s="22">
        <v>10807.691296000001</v>
      </c>
      <c r="N233" s="22">
        <v>4963.91</v>
      </c>
      <c r="O233" s="22">
        <v>4963.91</v>
      </c>
      <c r="P233" s="22">
        <v>441.99629099999999</v>
      </c>
      <c r="Q233" s="22">
        <v>4963.91</v>
      </c>
      <c r="R233" s="22">
        <v>4963.91</v>
      </c>
      <c r="S233" s="22">
        <v>4963.91</v>
      </c>
      <c r="T233" s="22">
        <v>4963.91</v>
      </c>
      <c r="U233" s="51" t="s">
        <v>214</v>
      </c>
      <c r="V233" s="55"/>
      <c r="W233" s="55">
        <v>34776</v>
      </c>
      <c r="X233" s="49">
        <v>30529</v>
      </c>
    </row>
    <row r="234" spans="1:24" ht="12" customHeight="1" x14ac:dyDescent="0.2">
      <c r="A234" s="49">
        <v>30560</v>
      </c>
      <c r="B234" s="523"/>
      <c r="C234" s="523"/>
      <c r="D234" s="50"/>
      <c r="E234" s="50"/>
      <c r="F234" s="50"/>
      <c r="G234" s="50"/>
      <c r="H234" s="50"/>
      <c r="I234" s="50"/>
      <c r="J234" s="22">
        <v>9107.3610659999995</v>
      </c>
      <c r="K234" s="22">
        <v>5385.84</v>
      </c>
      <c r="L234" s="22">
        <v>12225.873278999999</v>
      </c>
      <c r="M234" s="22">
        <v>11900.348886</v>
      </c>
      <c r="N234" s="22">
        <v>5385.84</v>
      </c>
      <c r="O234" s="22">
        <v>5385.84</v>
      </c>
      <c r="P234" s="22">
        <v>479.56576699999999</v>
      </c>
      <c r="Q234" s="22">
        <v>5385.84</v>
      </c>
      <c r="R234" s="22">
        <v>5385.84</v>
      </c>
      <c r="S234" s="22">
        <v>5385.84</v>
      </c>
      <c r="T234" s="22">
        <v>5385.84</v>
      </c>
      <c r="U234" s="51" t="s">
        <v>214</v>
      </c>
      <c r="V234" s="55"/>
      <c r="W234" s="55">
        <v>34776</v>
      </c>
      <c r="X234" s="49">
        <v>30560</v>
      </c>
    </row>
    <row r="235" spans="1:24" ht="12" customHeight="1" x14ac:dyDescent="0.2">
      <c r="A235" s="49">
        <v>30590</v>
      </c>
      <c r="B235" s="523"/>
      <c r="C235" s="523"/>
      <c r="D235" s="50"/>
      <c r="E235" s="50"/>
      <c r="F235" s="50"/>
      <c r="G235" s="50"/>
      <c r="H235" s="50"/>
      <c r="I235" s="50"/>
      <c r="J235" s="22">
        <v>10148.332435</v>
      </c>
      <c r="K235" s="22">
        <v>5897.49</v>
      </c>
      <c r="L235" s="22">
        <v>13315.198587999999</v>
      </c>
      <c r="M235" s="22">
        <v>13422.403507999999</v>
      </c>
      <c r="N235" s="22">
        <v>5897.49</v>
      </c>
      <c r="O235" s="22">
        <v>5897.49</v>
      </c>
      <c r="P235" s="22">
        <v>525.12408700000003</v>
      </c>
      <c r="Q235" s="22">
        <v>5897.49</v>
      </c>
      <c r="R235" s="22">
        <v>5897.49</v>
      </c>
      <c r="S235" s="22">
        <v>5897.49</v>
      </c>
      <c r="T235" s="22">
        <v>5897.49</v>
      </c>
      <c r="U235" s="51" t="s">
        <v>214</v>
      </c>
      <c r="V235" s="55"/>
      <c r="W235" s="55">
        <v>34776</v>
      </c>
      <c r="X235" s="49">
        <v>30590</v>
      </c>
    </row>
    <row r="236" spans="1:24" ht="12" customHeight="1" x14ac:dyDescent="0.2">
      <c r="A236" s="49">
        <v>30621</v>
      </c>
      <c r="B236" s="523"/>
      <c r="C236" s="523"/>
      <c r="D236" s="50"/>
      <c r="E236" s="50"/>
      <c r="F236" s="50"/>
      <c r="G236" s="50"/>
      <c r="H236" s="50"/>
      <c r="I236" s="50"/>
      <c r="J236" s="22">
        <v>11120.542681999999</v>
      </c>
      <c r="K236" s="22">
        <v>6469.55</v>
      </c>
      <c r="L236" s="22">
        <v>13988.947636000001</v>
      </c>
      <c r="M236" s="22">
        <v>15202.214212999999</v>
      </c>
      <c r="N236" s="22">
        <v>6469.55</v>
      </c>
      <c r="O236" s="22">
        <v>6469.55</v>
      </c>
      <c r="P236" s="22">
        <v>576.06143299999997</v>
      </c>
      <c r="Q236" s="22">
        <v>6469.55</v>
      </c>
      <c r="R236" s="22">
        <v>6469.55</v>
      </c>
      <c r="S236" s="22">
        <v>6469.55</v>
      </c>
      <c r="T236" s="22">
        <v>6469.55</v>
      </c>
      <c r="U236" s="51" t="s">
        <v>214</v>
      </c>
      <c r="V236" s="55"/>
      <c r="W236" s="55">
        <v>57120</v>
      </c>
      <c r="X236" s="49">
        <v>30621</v>
      </c>
    </row>
    <row r="237" spans="1:24" ht="12" customHeight="1" x14ac:dyDescent="0.2">
      <c r="A237" s="49">
        <v>30651</v>
      </c>
      <c r="B237" s="523"/>
      <c r="C237" s="523"/>
      <c r="D237" s="50"/>
      <c r="E237" s="50"/>
      <c r="F237" s="50"/>
      <c r="G237" s="50"/>
      <c r="H237" s="50"/>
      <c r="I237" s="50"/>
      <c r="J237" s="22">
        <v>11610.958613999999</v>
      </c>
      <c r="K237" s="22">
        <v>7012.99</v>
      </c>
      <c r="L237" s="22">
        <v>15674.615825999999</v>
      </c>
      <c r="M237" s="22">
        <v>16483.760870999999</v>
      </c>
      <c r="N237" s="22">
        <v>7012.99</v>
      </c>
      <c r="O237" s="22">
        <v>7012.99</v>
      </c>
      <c r="P237" s="22">
        <v>624.45039699999995</v>
      </c>
      <c r="Q237" s="22">
        <v>7012.99</v>
      </c>
      <c r="R237" s="22">
        <v>7012.99</v>
      </c>
      <c r="S237" s="22">
        <v>7012.99</v>
      </c>
      <c r="T237" s="22">
        <v>7012.99</v>
      </c>
      <c r="U237" s="51" t="s">
        <v>214</v>
      </c>
      <c r="V237" s="55"/>
      <c r="W237" s="55">
        <v>57120</v>
      </c>
      <c r="X237" s="49">
        <v>30651</v>
      </c>
    </row>
    <row r="238" spans="1:24" ht="12" customHeight="1" x14ac:dyDescent="0.2">
      <c r="A238" s="49">
        <v>30682</v>
      </c>
      <c r="B238" s="523"/>
      <c r="C238" s="523"/>
      <c r="D238" s="50"/>
      <c r="E238" s="50"/>
      <c r="F238" s="50"/>
      <c r="G238" s="50"/>
      <c r="H238" s="50"/>
      <c r="I238" s="50"/>
      <c r="J238" s="22">
        <v>12527.063248</v>
      </c>
      <c r="K238" s="22">
        <v>7545.98</v>
      </c>
      <c r="L238" s="22">
        <v>16448.941846999998</v>
      </c>
      <c r="M238" s="22">
        <v>17729.933192</v>
      </c>
      <c r="N238" s="22">
        <v>7545.98</v>
      </c>
      <c r="O238" s="22">
        <v>7545.98</v>
      </c>
      <c r="P238" s="22">
        <v>671.90887299999997</v>
      </c>
      <c r="Q238" s="22">
        <v>7545.98</v>
      </c>
      <c r="R238" s="22">
        <v>7545.98</v>
      </c>
      <c r="S238" s="22">
        <v>7545.98</v>
      </c>
      <c r="T238" s="22">
        <v>7545.98</v>
      </c>
      <c r="U238" s="51" t="s">
        <v>214</v>
      </c>
      <c r="V238" s="55"/>
      <c r="W238" s="55">
        <v>57120</v>
      </c>
      <c r="X238" s="49">
        <v>30682</v>
      </c>
    </row>
    <row r="239" spans="1:24" ht="12" customHeight="1" x14ac:dyDescent="0.2">
      <c r="A239" s="49">
        <v>30713</v>
      </c>
      <c r="B239" s="523"/>
      <c r="C239" s="523"/>
      <c r="D239" s="50"/>
      <c r="E239" s="50"/>
      <c r="F239" s="50"/>
      <c r="G239" s="50"/>
      <c r="H239" s="50"/>
      <c r="I239" s="50"/>
      <c r="J239" s="22">
        <v>13651.993527000001</v>
      </c>
      <c r="K239" s="22">
        <v>8285.49</v>
      </c>
      <c r="L239" s="22">
        <v>17426.008991999999</v>
      </c>
      <c r="M239" s="22">
        <v>19469.239637999999</v>
      </c>
      <c r="N239" s="22">
        <v>8285.49</v>
      </c>
      <c r="O239" s="22">
        <v>8285.49</v>
      </c>
      <c r="P239" s="22">
        <v>737.75629600000002</v>
      </c>
      <c r="Q239" s="22">
        <v>8285.49</v>
      </c>
      <c r="R239" s="22">
        <v>8285.49</v>
      </c>
      <c r="S239" s="22">
        <v>8285.49</v>
      </c>
      <c r="T239" s="22">
        <v>8285.49</v>
      </c>
      <c r="U239" s="51" t="s">
        <v>214</v>
      </c>
      <c r="V239" s="55"/>
      <c r="W239" s="55">
        <v>57120</v>
      </c>
      <c r="X239" s="49">
        <v>30713</v>
      </c>
    </row>
    <row r="240" spans="1:24" ht="12" customHeight="1" x14ac:dyDescent="0.2">
      <c r="A240" s="49">
        <v>30742</v>
      </c>
      <c r="B240" s="523"/>
      <c r="C240" s="523"/>
      <c r="D240" s="50"/>
      <c r="E240" s="50"/>
      <c r="F240" s="50"/>
      <c r="G240" s="50"/>
      <c r="H240" s="50"/>
      <c r="I240" s="50"/>
      <c r="J240" s="22">
        <v>15039.036069</v>
      </c>
      <c r="K240" s="22">
        <v>9304.61</v>
      </c>
      <c r="L240" s="22">
        <v>21202.225139999999</v>
      </c>
      <c r="M240" s="22">
        <v>21856.168417000001</v>
      </c>
      <c r="N240" s="22">
        <v>9304.61</v>
      </c>
      <c r="O240" s="22">
        <v>9304.61</v>
      </c>
      <c r="P240" s="22">
        <v>828.50074099999995</v>
      </c>
      <c r="Q240" s="22">
        <v>9304.61</v>
      </c>
      <c r="R240" s="22">
        <v>9304.61</v>
      </c>
      <c r="S240" s="22">
        <v>9304.61</v>
      </c>
      <c r="T240" s="22">
        <v>9304.61</v>
      </c>
      <c r="U240" s="51" t="s">
        <v>214</v>
      </c>
      <c r="V240" s="55"/>
      <c r="W240" s="55">
        <v>57120</v>
      </c>
      <c r="X240" s="49">
        <v>30742</v>
      </c>
    </row>
    <row r="241" spans="1:24" ht="12" customHeight="1" x14ac:dyDescent="0.2">
      <c r="A241" s="49">
        <v>30773</v>
      </c>
      <c r="B241" s="523"/>
      <c r="C241" s="523"/>
      <c r="D241" s="50"/>
      <c r="E241" s="50"/>
      <c r="F241" s="50"/>
      <c r="G241" s="50"/>
      <c r="H241" s="50"/>
      <c r="I241" s="50"/>
      <c r="J241" s="22">
        <v>16379.014182000001</v>
      </c>
      <c r="K241" s="22">
        <v>10235.07</v>
      </c>
      <c r="L241" s="22">
        <v>23186.753412999999</v>
      </c>
      <c r="M241" s="22">
        <v>24030.857174000001</v>
      </c>
      <c r="N241" s="22">
        <v>10235.07</v>
      </c>
      <c r="O241" s="22">
        <v>10235.07</v>
      </c>
      <c r="P241" s="22">
        <v>911.35072600000001</v>
      </c>
      <c r="Q241" s="22">
        <v>10235.07</v>
      </c>
      <c r="R241" s="22">
        <v>10235.07</v>
      </c>
      <c r="S241" s="22">
        <v>10235.07</v>
      </c>
      <c r="T241" s="22">
        <v>10235.07</v>
      </c>
      <c r="U241" s="51" t="s">
        <v>214</v>
      </c>
      <c r="V241" s="55"/>
      <c r="W241" s="55">
        <v>57120</v>
      </c>
      <c r="X241" s="49">
        <v>30773</v>
      </c>
    </row>
    <row r="242" spans="1:24" ht="12" customHeight="1" x14ac:dyDescent="0.2">
      <c r="A242" s="49">
        <v>30803</v>
      </c>
      <c r="B242" s="523"/>
      <c r="C242" s="523"/>
      <c r="D242" s="50"/>
      <c r="E242" s="50"/>
      <c r="F242" s="50"/>
      <c r="G242" s="50"/>
      <c r="H242" s="50"/>
      <c r="I242" s="50"/>
      <c r="J242" s="22">
        <v>17677.870006000001</v>
      </c>
      <c r="K242" s="22">
        <v>11145.99</v>
      </c>
      <c r="L242" s="22">
        <v>24197.695861</v>
      </c>
      <c r="M242" s="22">
        <v>26179.215805</v>
      </c>
      <c r="N242" s="22">
        <v>11145.99</v>
      </c>
      <c r="O242" s="22">
        <v>11145.99</v>
      </c>
      <c r="P242" s="22">
        <v>992.46083099999998</v>
      </c>
      <c r="Q242" s="22">
        <v>11145.99</v>
      </c>
      <c r="R242" s="22">
        <v>11145.99</v>
      </c>
      <c r="S242" s="22">
        <v>11145.99</v>
      </c>
      <c r="T242" s="22">
        <v>11145.99</v>
      </c>
      <c r="U242" s="51" t="s">
        <v>214</v>
      </c>
      <c r="V242" s="55"/>
      <c r="W242" s="55">
        <v>97176</v>
      </c>
      <c r="X242" s="49">
        <v>30803</v>
      </c>
    </row>
    <row r="243" spans="1:24" ht="12" customHeight="1" x14ac:dyDescent="0.2">
      <c r="A243" s="49">
        <v>30834</v>
      </c>
      <c r="B243" s="523"/>
      <c r="C243" s="523"/>
      <c r="D243" s="50"/>
      <c r="E243" s="50"/>
      <c r="F243" s="50"/>
      <c r="G243" s="50"/>
      <c r="H243" s="50"/>
      <c r="I243" s="50"/>
      <c r="J243" s="22">
        <v>18860.519509000002</v>
      </c>
      <c r="K243" s="22">
        <v>12137.98</v>
      </c>
      <c r="L243" s="22">
        <v>26131.091759999999</v>
      </c>
      <c r="M243" s="22">
        <v>28498.694325</v>
      </c>
      <c r="N243" s="22">
        <v>12137.98</v>
      </c>
      <c r="O243" s="22">
        <v>12137.98</v>
      </c>
      <c r="P243" s="22">
        <v>1080.7895679999999</v>
      </c>
      <c r="Q243" s="22">
        <v>12137.98</v>
      </c>
      <c r="R243" s="22">
        <v>12137.98</v>
      </c>
      <c r="S243" s="22">
        <v>12137.98</v>
      </c>
      <c r="T243" s="22">
        <v>12137.98</v>
      </c>
      <c r="U243" s="51" t="s">
        <v>214</v>
      </c>
      <c r="V243" s="55"/>
      <c r="W243" s="55">
        <v>97176</v>
      </c>
      <c r="X243" s="49">
        <v>30834</v>
      </c>
    </row>
    <row r="244" spans="1:24" ht="12" customHeight="1" x14ac:dyDescent="0.2">
      <c r="A244" s="49">
        <v>30864</v>
      </c>
      <c r="B244" s="523"/>
      <c r="C244" s="523"/>
      <c r="D244" s="50"/>
      <c r="E244" s="50"/>
      <c r="F244" s="50"/>
      <c r="G244" s="50"/>
      <c r="H244" s="50"/>
      <c r="I244" s="50"/>
      <c r="J244" s="22">
        <v>21065.314238999999</v>
      </c>
      <c r="K244" s="22">
        <v>13254.67</v>
      </c>
      <c r="L244" s="22">
        <v>28464.598254</v>
      </c>
      <c r="M244" s="22">
        <v>31134.823550000001</v>
      </c>
      <c r="N244" s="22">
        <v>13254.67</v>
      </c>
      <c r="O244" s="22">
        <v>13254.67</v>
      </c>
      <c r="P244" s="22">
        <v>1180.2218379999999</v>
      </c>
      <c r="Q244" s="22">
        <v>13254.67</v>
      </c>
      <c r="R244" s="22">
        <v>13254.67</v>
      </c>
      <c r="S244" s="22">
        <v>13254.67</v>
      </c>
      <c r="T244" s="22">
        <v>13254.67</v>
      </c>
      <c r="U244" s="51" t="s">
        <v>214</v>
      </c>
      <c r="V244" s="55"/>
      <c r="W244" s="55">
        <v>97176</v>
      </c>
      <c r="X244" s="49">
        <v>30864</v>
      </c>
    </row>
    <row r="245" spans="1:24" ht="12" customHeight="1" x14ac:dyDescent="0.2">
      <c r="A245" s="49">
        <v>30895</v>
      </c>
      <c r="B245" s="523"/>
      <c r="C245" s="523"/>
      <c r="D245" s="50"/>
      <c r="E245" s="50"/>
      <c r="F245" s="50"/>
      <c r="G245" s="50"/>
      <c r="H245" s="50"/>
      <c r="I245" s="50"/>
      <c r="J245" s="22">
        <v>22733.687126000001</v>
      </c>
      <c r="K245" s="22">
        <v>14619.9</v>
      </c>
      <c r="L245" s="22">
        <v>29961.836122000001</v>
      </c>
      <c r="M245" s="22">
        <v>34347.937339999997</v>
      </c>
      <c r="N245" s="22">
        <v>14619.9</v>
      </c>
      <c r="O245" s="22">
        <v>14619.9</v>
      </c>
      <c r="P245" s="22">
        <v>1301.784598</v>
      </c>
      <c r="Q245" s="22">
        <v>14619.9</v>
      </c>
      <c r="R245" s="22">
        <v>14619.9</v>
      </c>
      <c r="S245" s="22">
        <v>14619.9</v>
      </c>
      <c r="T245" s="22">
        <v>14619.9</v>
      </c>
      <c r="U245" s="51" t="s">
        <v>214</v>
      </c>
      <c r="V245" s="55"/>
      <c r="W245" s="55">
        <v>97176</v>
      </c>
      <c r="X245" s="49">
        <v>30895</v>
      </c>
    </row>
    <row r="246" spans="1:24" ht="12" customHeight="1" x14ac:dyDescent="0.2">
      <c r="A246" s="49">
        <v>30926</v>
      </c>
      <c r="B246" s="523"/>
      <c r="C246" s="523"/>
      <c r="D246" s="50"/>
      <c r="E246" s="50"/>
      <c r="F246" s="50"/>
      <c r="G246" s="50"/>
      <c r="H246" s="50"/>
      <c r="I246" s="50"/>
      <c r="J246" s="22">
        <v>24566.022308</v>
      </c>
      <c r="K246" s="22">
        <v>16169.61</v>
      </c>
      <c r="L246" s="22">
        <v>38234.299075000003</v>
      </c>
      <c r="M246" s="22">
        <v>37995.688284999997</v>
      </c>
      <c r="N246" s="22">
        <v>16169.61</v>
      </c>
      <c r="O246" s="22">
        <v>16169.61</v>
      </c>
      <c r="P246" s="22">
        <v>1439.7738179999999</v>
      </c>
      <c r="Q246" s="22">
        <v>16169.61</v>
      </c>
      <c r="R246" s="22">
        <v>16169.61</v>
      </c>
      <c r="S246" s="22">
        <v>16169.61</v>
      </c>
      <c r="T246" s="22">
        <v>16169.61</v>
      </c>
      <c r="U246" s="51" t="s">
        <v>214</v>
      </c>
      <c r="V246" s="55"/>
      <c r="W246" s="55">
        <v>97176</v>
      </c>
      <c r="X246" s="49">
        <v>30926</v>
      </c>
    </row>
    <row r="247" spans="1:24" ht="12" customHeight="1" x14ac:dyDescent="0.2">
      <c r="A247" s="49">
        <v>30956</v>
      </c>
      <c r="B247" s="523"/>
      <c r="C247" s="523"/>
      <c r="D247" s="50"/>
      <c r="E247" s="50"/>
      <c r="F247" s="50"/>
      <c r="G247" s="50"/>
      <c r="H247" s="50"/>
      <c r="I247" s="50"/>
      <c r="J247" s="22">
        <v>26826.09636</v>
      </c>
      <c r="K247" s="22">
        <v>17867.419999999998</v>
      </c>
      <c r="L247" s="22">
        <v>40375.419822999997</v>
      </c>
      <c r="M247" s="22">
        <v>41989.035123000001</v>
      </c>
      <c r="N247" s="22">
        <v>17867.419999999998</v>
      </c>
      <c r="O247" s="22">
        <v>17867.419999999998</v>
      </c>
      <c r="P247" s="22">
        <v>1590.9501540000001</v>
      </c>
      <c r="Q247" s="22">
        <v>17867.419999999998</v>
      </c>
      <c r="R247" s="22">
        <v>17867.419999999998</v>
      </c>
      <c r="S247" s="22">
        <v>17867.419999999998</v>
      </c>
      <c r="T247" s="22">
        <v>17867.419999999998</v>
      </c>
      <c r="U247" s="51" t="s">
        <v>214</v>
      </c>
      <c r="V247" s="55"/>
      <c r="W247" s="55">
        <v>97176</v>
      </c>
      <c r="X247" s="49">
        <v>30956</v>
      </c>
    </row>
    <row r="248" spans="1:24" ht="12" customHeight="1" x14ac:dyDescent="0.2">
      <c r="A248" s="49">
        <v>30987</v>
      </c>
      <c r="B248" s="523"/>
      <c r="C248" s="523"/>
      <c r="D248" s="50"/>
      <c r="E248" s="50"/>
      <c r="F248" s="50"/>
      <c r="G248" s="50"/>
      <c r="H248" s="50"/>
      <c r="I248" s="50"/>
      <c r="J248" s="22">
        <v>29369.210294</v>
      </c>
      <c r="K248" s="22">
        <v>20118.71</v>
      </c>
      <c r="L248" s="22">
        <v>43863.856095000003</v>
      </c>
      <c r="M248" s="22">
        <v>47271.255741000001</v>
      </c>
      <c r="N248" s="22">
        <v>20118.71</v>
      </c>
      <c r="O248" s="22">
        <v>20118.71</v>
      </c>
      <c r="P248" s="22">
        <v>1791.409435</v>
      </c>
      <c r="Q248" s="22">
        <v>20118.71</v>
      </c>
      <c r="R248" s="22">
        <v>20118.71</v>
      </c>
      <c r="S248" s="22">
        <v>20118.71</v>
      </c>
      <c r="T248" s="22">
        <v>20118.71</v>
      </c>
      <c r="U248" s="51" t="s">
        <v>214</v>
      </c>
      <c r="V248" s="55"/>
      <c r="W248" s="55">
        <v>166560</v>
      </c>
      <c r="X248" s="49">
        <v>30987</v>
      </c>
    </row>
    <row r="249" spans="1:24" ht="12" customHeight="1" x14ac:dyDescent="0.2">
      <c r="A249" s="49">
        <v>31017</v>
      </c>
      <c r="B249" s="523"/>
      <c r="C249" s="523"/>
      <c r="D249" s="50"/>
      <c r="E249" s="50"/>
      <c r="F249" s="50"/>
      <c r="G249" s="50"/>
      <c r="H249" s="50"/>
      <c r="I249" s="50"/>
      <c r="J249" s="22">
        <v>32188.654482000002</v>
      </c>
      <c r="K249" s="22">
        <v>22110.46</v>
      </c>
      <c r="L249" s="22">
        <v>47653.693261</v>
      </c>
      <c r="M249" s="22">
        <v>51941.655808000003</v>
      </c>
      <c r="N249" s="22">
        <v>22110.46</v>
      </c>
      <c r="O249" s="22">
        <v>22110.46</v>
      </c>
      <c r="P249" s="22">
        <v>1968.758765</v>
      </c>
      <c r="Q249" s="22">
        <v>22110.46</v>
      </c>
      <c r="R249" s="22">
        <v>22110.46</v>
      </c>
      <c r="S249" s="22">
        <v>22110.46</v>
      </c>
      <c r="T249" s="22">
        <v>22110.46</v>
      </c>
      <c r="U249" s="51" t="s">
        <v>214</v>
      </c>
      <c r="V249" s="55"/>
      <c r="W249" s="55">
        <v>166560</v>
      </c>
      <c r="X249" s="49">
        <v>31017</v>
      </c>
    </row>
    <row r="250" spans="1:24" ht="12" customHeight="1" x14ac:dyDescent="0.2">
      <c r="A250" s="49">
        <v>31048</v>
      </c>
      <c r="B250" s="523"/>
      <c r="C250" s="523"/>
      <c r="D250" s="50"/>
      <c r="E250" s="50"/>
      <c r="F250" s="50"/>
      <c r="G250" s="50"/>
      <c r="H250" s="50"/>
      <c r="I250" s="50"/>
      <c r="J250" s="22">
        <v>34895.720323000001</v>
      </c>
      <c r="K250" s="22">
        <v>24432.06</v>
      </c>
      <c r="L250" s="22">
        <v>51542.234630999999</v>
      </c>
      <c r="M250" s="22">
        <v>57411.112163999998</v>
      </c>
      <c r="N250" s="22">
        <v>24432.06</v>
      </c>
      <c r="O250" s="22">
        <v>24432.06</v>
      </c>
      <c r="P250" s="22">
        <v>2175.4785870000001</v>
      </c>
      <c r="Q250" s="22">
        <v>24432.06</v>
      </c>
      <c r="R250" s="22">
        <v>24432.06</v>
      </c>
      <c r="S250" s="22">
        <v>24432.06</v>
      </c>
      <c r="T250" s="22">
        <v>24432.06</v>
      </c>
      <c r="U250" s="51" t="s">
        <v>214</v>
      </c>
      <c r="V250" s="55"/>
      <c r="W250" s="55">
        <v>166560</v>
      </c>
      <c r="X250" s="49">
        <v>31048</v>
      </c>
    </row>
    <row r="251" spans="1:24" ht="12" customHeight="1" x14ac:dyDescent="0.2">
      <c r="A251" s="49">
        <v>31079</v>
      </c>
      <c r="B251" s="523"/>
      <c r="C251" s="523"/>
      <c r="D251" s="50"/>
      <c r="E251" s="50"/>
      <c r="F251" s="50"/>
      <c r="G251" s="50"/>
      <c r="H251" s="50"/>
      <c r="I251" s="50"/>
      <c r="J251" s="22">
        <v>38797.061855</v>
      </c>
      <c r="K251" s="22">
        <v>27510.5</v>
      </c>
      <c r="L251" s="22">
        <v>55423.364898</v>
      </c>
      <c r="M251" s="22">
        <v>64667.876741</v>
      </c>
      <c r="N251" s="22">
        <v>27510.5</v>
      </c>
      <c r="O251" s="22">
        <v>27510.5</v>
      </c>
      <c r="P251" s="22">
        <v>2449.5889280000001</v>
      </c>
      <c r="Q251" s="22">
        <v>27510.5</v>
      </c>
      <c r="R251" s="22">
        <v>27510.5</v>
      </c>
      <c r="S251" s="22">
        <v>27510.5</v>
      </c>
      <c r="T251" s="22">
        <v>27510.5</v>
      </c>
      <c r="U251" s="51" t="s">
        <v>214</v>
      </c>
      <c r="V251" s="55"/>
      <c r="W251" s="55">
        <v>166560</v>
      </c>
      <c r="X251" s="49">
        <v>31079</v>
      </c>
    </row>
    <row r="252" spans="1:24" ht="12" customHeight="1" x14ac:dyDescent="0.2">
      <c r="A252" s="49">
        <v>31107</v>
      </c>
      <c r="B252" s="523"/>
      <c r="C252" s="523"/>
      <c r="D252" s="50"/>
      <c r="E252" s="50"/>
      <c r="F252" s="50"/>
      <c r="G252" s="50"/>
      <c r="H252" s="50"/>
      <c r="I252" s="50"/>
      <c r="J252" s="22">
        <v>42556.497148000002</v>
      </c>
      <c r="K252" s="22">
        <v>30316.57</v>
      </c>
      <c r="L252" s="22">
        <v>62656.114017</v>
      </c>
      <c r="M252" s="22">
        <v>71238.133017</v>
      </c>
      <c r="N252" s="22">
        <v>30316.57</v>
      </c>
      <c r="O252" s="22">
        <v>30316.57</v>
      </c>
      <c r="P252" s="22">
        <v>2699.4469100000001</v>
      </c>
      <c r="Q252" s="22">
        <v>30316.57</v>
      </c>
      <c r="R252" s="22">
        <v>30316.57</v>
      </c>
      <c r="S252" s="22">
        <v>30316.57</v>
      </c>
      <c r="T252" s="22">
        <v>30316.57</v>
      </c>
      <c r="U252" s="51" t="s">
        <v>214</v>
      </c>
      <c r="V252" s="55"/>
      <c r="W252" s="55">
        <v>166560</v>
      </c>
      <c r="X252" s="49">
        <v>31107</v>
      </c>
    </row>
    <row r="253" spans="1:24" ht="12" customHeight="1" x14ac:dyDescent="0.2">
      <c r="A253" s="49">
        <v>31138</v>
      </c>
      <c r="B253" s="523"/>
      <c r="C253" s="523"/>
      <c r="D253" s="50"/>
      <c r="E253" s="50"/>
      <c r="F253" s="50"/>
      <c r="G253" s="50"/>
      <c r="H253" s="50"/>
      <c r="I253" s="50"/>
      <c r="J253" s="22">
        <v>47148.34319</v>
      </c>
      <c r="K253" s="22">
        <v>34166.769999999997</v>
      </c>
      <c r="L253" s="22">
        <v>69917.957630999997</v>
      </c>
      <c r="M253" s="22">
        <v>80292.499723000001</v>
      </c>
      <c r="N253" s="22">
        <v>34166.769999999997</v>
      </c>
      <c r="O253" s="22">
        <v>34166.769999999997</v>
      </c>
      <c r="P253" s="22">
        <v>3042.2762760000001</v>
      </c>
      <c r="Q253" s="22">
        <v>34166.769999999997</v>
      </c>
      <c r="R253" s="22">
        <v>34166.769999999997</v>
      </c>
      <c r="S253" s="22">
        <v>34166.769999999997</v>
      </c>
      <c r="T253" s="22">
        <v>34166.769999999997</v>
      </c>
      <c r="U253" s="51" t="s">
        <v>214</v>
      </c>
      <c r="V253" s="55"/>
      <c r="W253" s="55">
        <v>166560</v>
      </c>
      <c r="X253" s="49">
        <v>31138</v>
      </c>
    </row>
    <row r="254" spans="1:24" ht="12" customHeight="1" x14ac:dyDescent="0.2">
      <c r="A254" s="49">
        <v>31168</v>
      </c>
      <c r="B254" s="523"/>
      <c r="C254" s="523"/>
      <c r="D254" s="50"/>
      <c r="E254" s="50"/>
      <c r="F254" s="50"/>
      <c r="G254" s="50"/>
      <c r="H254" s="50"/>
      <c r="I254" s="50"/>
      <c r="J254" s="22">
        <v>51075.800176999997</v>
      </c>
      <c r="K254" s="22">
        <v>38208.46</v>
      </c>
      <c r="L254" s="22">
        <v>76070.737901999993</v>
      </c>
      <c r="M254" s="22">
        <v>86089.618203000005</v>
      </c>
      <c r="N254" s="22">
        <v>38208.46</v>
      </c>
      <c r="O254" s="22">
        <v>38208.46</v>
      </c>
      <c r="P254" s="22">
        <v>3402.156289</v>
      </c>
      <c r="Q254" s="22">
        <v>38208.46</v>
      </c>
      <c r="R254" s="22">
        <v>38208.46</v>
      </c>
      <c r="S254" s="22">
        <v>38208.46</v>
      </c>
      <c r="T254" s="22">
        <v>38208.46</v>
      </c>
      <c r="U254" s="51" t="s">
        <v>214</v>
      </c>
      <c r="V254" s="55"/>
      <c r="W254" s="55">
        <v>333120</v>
      </c>
      <c r="X254" s="49">
        <v>31168</v>
      </c>
    </row>
    <row r="255" spans="1:24" ht="12" customHeight="1" x14ac:dyDescent="0.2">
      <c r="A255" s="49">
        <v>31199</v>
      </c>
      <c r="B255" s="523"/>
      <c r="C255" s="523"/>
      <c r="D255" s="50"/>
      <c r="E255" s="50"/>
      <c r="F255" s="50"/>
      <c r="G255" s="50"/>
      <c r="H255" s="50"/>
      <c r="I255" s="50"/>
      <c r="J255" s="22">
        <v>55626.653972</v>
      </c>
      <c r="K255" s="22">
        <v>42031.56</v>
      </c>
      <c r="L255" s="22">
        <v>93125.797338999997</v>
      </c>
      <c r="M255" s="22">
        <v>92787.390499000001</v>
      </c>
      <c r="N255" s="22">
        <v>42031.56</v>
      </c>
      <c r="O255" s="22">
        <v>42031.56</v>
      </c>
      <c r="P255" s="22">
        <v>3742.5726180000001</v>
      </c>
      <c r="Q255" s="22">
        <v>42031.56</v>
      </c>
      <c r="R255" s="22">
        <v>42031.56</v>
      </c>
      <c r="S255" s="22">
        <v>42031.56</v>
      </c>
      <c r="T255" s="22">
        <v>42031.56</v>
      </c>
      <c r="U255" s="51" t="s">
        <v>214</v>
      </c>
      <c r="V255" s="55"/>
      <c r="W255" s="55">
        <v>333120</v>
      </c>
      <c r="X255" s="49">
        <v>31199</v>
      </c>
    </row>
    <row r="256" spans="1:24" ht="12" customHeight="1" x14ac:dyDescent="0.2">
      <c r="A256" s="49">
        <v>31229</v>
      </c>
      <c r="B256" s="523"/>
      <c r="C256" s="523"/>
      <c r="D256" s="50"/>
      <c r="E256" s="50"/>
      <c r="F256" s="50"/>
      <c r="G256" s="50"/>
      <c r="H256" s="50"/>
      <c r="I256" s="50"/>
      <c r="J256" s="22">
        <v>60165.788935999997</v>
      </c>
      <c r="K256" s="22">
        <v>45901.91</v>
      </c>
      <c r="L256" s="22">
        <v>99057.910629000005</v>
      </c>
      <c r="M256" s="22">
        <v>100061.92191400001</v>
      </c>
      <c r="N256" s="22">
        <v>45901.91</v>
      </c>
      <c r="O256" s="22">
        <v>45901.91</v>
      </c>
      <c r="P256" s="22">
        <v>4087.1961799999999</v>
      </c>
      <c r="Q256" s="22">
        <v>45901.91</v>
      </c>
      <c r="R256" s="22">
        <v>45901.91</v>
      </c>
      <c r="S256" s="22">
        <v>45901.91</v>
      </c>
      <c r="T256" s="22">
        <v>45901.91</v>
      </c>
      <c r="U256" s="51" t="s">
        <v>214</v>
      </c>
      <c r="V256" s="55"/>
      <c r="W256" s="55">
        <v>333120</v>
      </c>
      <c r="X256" s="49">
        <v>31229</v>
      </c>
    </row>
    <row r="257" spans="1:24" ht="12" customHeight="1" x14ac:dyDescent="0.2">
      <c r="A257" s="49">
        <v>31260</v>
      </c>
      <c r="B257" s="523"/>
      <c r="C257" s="523"/>
      <c r="D257" s="50"/>
      <c r="E257" s="50"/>
      <c r="F257" s="50"/>
      <c r="G257" s="50"/>
      <c r="H257" s="50"/>
      <c r="I257" s="50"/>
      <c r="J257" s="22">
        <v>67024.688873999999</v>
      </c>
      <c r="K257" s="22">
        <v>49396.88</v>
      </c>
      <c r="L257" s="22">
        <v>108765.58587</v>
      </c>
      <c r="M257" s="22">
        <v>108987.44534799999</v>
      </c>
      <c r="N257" s="22">
        <v>49396.88</v>
      </c>
      <c r="O257" s="22">
        <v>49396.88</v>
      </c>
      <c r="P257" s="22">
        <v>4398.3951699999998</v>
      </c>
      <c r="Q257" s="22">
        <v>49396.88</v>
      </c>
      <c r="R257" s="22">
        <v>49396.88</v>
      </c>
      <c r="S257" s="22">
        <v>49396.88</v>
      </c>
      <c r="T257" s="22">
        <v>49396.88</v>
      </c>
      <c r="U257" s="51" t="s">
        <v>214</v>
      </c>
      <c r="V257" s="55"/>
      <c r="W257" s="55">
        <v>333120</v>
      </c>
      <c r="X257" s="49">
        <v>31260</v>
      </c>
    </row>
    <row r="258" spans="1:24" ht="12" customHeight="1" x14ac:dyDescent="0.2">
      <c r="A258" s="49">
        <v>31291</v>
      </c>
      <c r="B258" s="523"/>
      <c r="C258" s="523"/>
      <c r="D258" s="50"/>
      <c r="E258" s="50"/>
      <c r="F258" s="50"/>
      <c r="G258" s="50"/>
      <c r="H258" s="50"/>
      <c r="I258" s="50"/>
      <c r="J258" s="22">
        <v>74873.279941000001</v>
      </c>
      <c r="K258" s="22">
        <v>53437.4</v>
      </c>
      <c r="L258" s="22">
        <v>123046.507294</v>
      </c>
      <c r="M258" s="22">
        <v>124245.68769599999</v>
      </c>
      <c r="N258" s="22">
        <v>53437.4</v>
      </c>
      <c r="O258" s="22">
        <v>53437.4</v>
      </c>
      <c r="P258" s="22">
        <v>4758.1710030000004</v>
      </c>
      <c r="Q258" s="22">
        <v>53437.4</v>
      </c>
      <c r="R258" s="22">
        <v>53437.4</v>
      </c>
      <c r="S258" s="22">
        <v>53437.4</v>
      </c>
      <c r="T258" s="22">
        <v>53437.4</v>
      </c>
      <c r="U258" s="51" t="s">
        <v>214</v>
      </c>
      <c r="V258" s="55"/>
      <c r="W258" s="55">
        <v>333120</v>
      </c>
      <c r="X258" s="49">
        <v>31291</v>
      </c>
    </row>
    <row r="259" spans="1:24" ht="12" customHeight="1" x14ac:dyDescent="0.2">
      <c r="A259" s="49">
        <v>31321</v>
      </c>
      <c r="B259" s="523"/>
      <c r="C259" s="523"/>
      <c r="D259" s="50"/>
      <c r="E259" s="50"/>
      <c r="F259" s="50"/>
      <c r="G259" s="50"/>
      <c r="H259" s="50"/>
      <c r="I259" s="50"/>
      <c r="J259" s="22">
        <v>80578.623871999996</v>
      </c>
      <c r="K259" s="22">
        <v>58300.2</v>
      </c>
      <c r="L259" s="22">
        <v>134883.58129500001</v>
      </c>
      <c r="M259" s="22">
        <v>135589.318982</v>
      </c>
      <c r="N259" s="22">
        <v>58300.2</v>
      </c>
      <c r="O259" s="22">
        <v>58300.2</v>
      </c>
      <c r="P259" s="22">
        <v>5191.1642620000002</v>
      </c>
      <c r="Q259" s="22">
        <v>58300.2</v>
      </c>
      <c r="R259" s="22">
        <v>58300.2</v>
      </c>
      <c r="S259" s="22">
        <v>58300.2</v>
      </c>
      <c r="T259" s="22">
        <v>58300.2</v>
      </c>
      <c r="U259" s="51" t="s">
        <v>214</v>
      </c>
      <c r="V259" s="55"/>
      <c r="W259" s="55">
        <v>333120</v>
      </c>
      <c r="X259" s="49">
        <v>31321</v>
      </c>
    </row>
    <row r="260" spans="1:24" ht="12" customHeight="1" x14ac:dyDescent="0.2">
      <c r="A260" s="49">
        <v>31352</v>
      </c>
      <c r="B260" s="523"/>
      <c r="C260" s="523"/>
      <c r="D260" s="50"/>
      <c r="E260" s="50"/>
      <c r="F260" s="50"/>
      <c r="G260" s="50"/>
      <c r="H260" s="50"/>
      <c r="I260" s="50"/>
      <c r="J260" s="22">
        <v>90320.579498000006</v>
      </c>
      <c r="K260" s="22">
        <v>63547.22</v>
      </c>
      <c r="L260" s="22">
        <v>143988.22303200001</v>
      </c>
      <c r="M260" s="22">
        <v>147860.15234900001</v>
      </c>
      <c r="N260" s="22">
        <v>63547.22</v>
      </c>
      <c r="O260" s="22">
        <v>63547.22</v>
      </c>
      <c r="P260" s="22">
        <v>5658.369224</v>
      </c>
      <c r="Q260" s="22">
        <v>63547.22</v>
      </c>
      <c r="R260" s="22">
        <v>63547.22</v>
      </c>
      <c r="S260" s="22">
        <v>63547.22</v>
      </c>
      <c r="T260" s="22">
        <v>63547.22</v>
      </c>
      <c r="U260" s="51" t="s">
        <v>214</v>
      </c>
      <c r="V260" s="55"/>
      <c r="W260" s="55">
        <v>600000</v>
      </c>
      <c r="X260" s="49">
        <v>31352</v>
      </c>
    </row>
    <row r="261" spans="1:24" ht="12" customHeight="1" x14ac:dyDescent="0.2">
      <c r="A261" s="49">
        <v>31382</v>
      </c>
      <c r="B261" s="523"/>
      <c r="C261" s="523"/>
      <c r="D261" s="50"/>
      <c r="E261" s="50"/>
      <c r="F261" s="50"/>
      <c r="G261" s="50"/>
      <c r="H261" s="50"/>
      <c r="I261" s="50"/>
      <c r="J261" s="22">
        <v>101845.485441</v>
      </c>
      <c r="K261" s="22">
        <v>70613.67</v>
      </c>
      <c r="L261" s="22">
        <v>174196.95222400001</v>
      </c>
      <c r="M261" s="22">
        <v>169965.24512499999</v>
      </c>
      <c r="N261" s="22">
        <v>70613.67</v>
      </c>
      <c r="O261" s="22">
        <v>70613.67</v>
      </c>
      <c r="P261" s="22">
        <v>6287.579804</v>
      </c>
      <c r="Q261" s="22">
        <v>70613.67</v>
      </c>
      <c r="R261" s="22">
        <v>70613.67</v>
      </c>
      <c r="S261" s="22">
        <v>70613.67</v>
      </c>
      <c r="T261" s="22">
        <v>70613.67</v>
      </c>
      <c r="U261" s="51" t="s">
        <v>214</v>
      </c>
      <c r="V261" s="55"/>
      <c r="W261" s="55">
        <v>600000</v>
      </c>
      <c r="X261" s="49">
        <v>31382</v>
      </c>
    </row>
    <row r="262" spans="1:24" ht="12" customHeight="1" x14ac:dyDescent="0.2">
      <c r="A262" s="49">
        <v>31413</v>
      </c>
      <c r="B262" s="523"/>
      <c r="C262" s="523"/>
      <c r="D262" s="50"/>
      <c r="E262" s="50"/>
      <c r="F262" s="50"/>
      <c r="G262" s="50"/>
      <c r="H262" s="50"/>
      <c r="I262" s="50"/>
      <c r="J262" s="22">
        <v>114535.43292599999</v>
      </c>
      <c r="K262" s="22">
        <v>80047.66</v>
      </c>
      <c r="L262" s="22">
        <v>197730.96046900001</v>
      </c>
      <c r="M262" s="22">
        <v>192400.657481</v>
      </c>
      <c r="N262" s="22">
        <v>80047.66</v>
      </c>
      <c r="O262" s="22">
        <v>80047.66</v>
      </c>
      <c r="P262" s="22">
        <v>7127.6007950000003</v>
      </c>
      <c r="Q262" s="22">
        <v>80047.66</v>
      </c>
      <c r="R262" s="22">
        <v>80047.66</v>
      </c>
      <c r="S262" s="22">
        <v>80047.66</v>
      </c>
      <c r="T262" s="22">
        <v>80047.66</v>
      </c>
      <c r="U262" s="51" t="s">
        <v>214</v>
      </c>
      <c r="V262" s="55"/>
      <c r="W262" s="55">
        <v>600000</v>
      </c>
      <c r="X262" s="49">
        <v>31413</v>
      </c>
    </row>
    <row r="263" spans="1:24" ht="12" customHeight="1" x14ac:dyDescent="0.2">
      <c r="A263" s="49">
        <v>31444</v>
      </c>
      <c r="B263" s="523"/>
      <c r="C263" s="523"/>
      <c r="D263" s="50"/>
      <c r="E263" s="50"/>
      <c r="F263" s="50"/>
      <c r="G263" s="50"/>
      <c r="H263" s="50"/>
      <c r="I263" s="50"/>
      <c r="J263" s="22">
        <v>130627.66125200001</v>
      </c>
      <c r="K263" s="22">
        <v>93039.4</v>
      </c>
      <c r="L263" s="22">
        <v>225334.20254999999</v>
      </c>
      <c r="M263" s="22">
        <v>226628.73444599999</v>
      </c>
      <c r="N263" s="22">
        <v>93039.4</v>
      </c>
      <c r="O263" s="22">
        <v>93039.4</v>
      </c>
      <c r="P263" s="22">
        <v>8284.4108290000004</v>
      </c>
      <c r="Q263" s="22">
        <v>93039.4</v>
      </c>
      <c r="R263" s="22">
        <v>93039.4</v>
      </c>
      <c r="S263" s="22">
        <v>93039.4</v>
      </c>
      <c r="T263" s="22">
        <v>93039.4</v>
      </c>
      <c r="U263" s="51" t="s">
        <v>214</v>
      </c>
      <c r="V263" s="55"/>
      <c r="W263" s="55">
        <v>600000</v>
      </c>
      <c r="X263" s="49">
        <v>31444</v>
      </c>
    </row>
    <row r="264" spans="1:24" ht="12" customHeight="1" x14ac:dyDescent="0.2">
      <c r="A264" s="49">
        <v>31472</v>
      </c>
      <c r="B264" s="523"/>
      <c r="C264" s="523"/>
      <c r="D264" s="50"/>
      <c r="E264" s="50"/>
      <c r="F264" s="50"/>
      <c r="G264" s="50"/>
      <c r="H264" s="50"/>
      <c r="I264" s="50"/>
      <c r="J264" s="22">
        <v>144.81382526300001</v>
      </c>
      <c r="K264" s="22">
        <v>106.4</v>
      </c>
      <c r="L264" s="22">
        <v>252.57710763799997</v>
      </c>
      <c r="M264" s="22">
        <v>260.577718866</v>
      </c>
      <c r="N264" s="22">
        <v>106.4</v>
      </c>
      <c r="O264" s="22">
        <v>106.4</v>
      </c>
      <c r="P264" s="22">
        <v>9.4740649999999995</v>
      </c>
      <c r="Q264" s="22">
        <v>106.4</v>
      </c>
      <c r="R264" s="22">
        <v>106.4</v>
      </c>
      <c r="S264" s="22">
        <v>106.4</v>
      </c>
      <c r="T264" s="22">
        <v>106.4</v>
      </c>
      <c r="U264" s="51" t="s">
        <v>216</v>
      </c>
      <c r="V264" s="55"/>
      <c r="W264" s="55">
        <v>804</v>
      </c>
      <c r="X264" s="49">
        <v>31472</v>
      </c>
    </row>
    <row r="265" spans="1:24" ht="12" customHeight="1" x14ac:dyDescent="0.2">
      <c r="A265" s="49">
        <v>31503</v>
      </c>
      <c r="B265" s="523"/>
      <c r="C265" s="523"/>
      <c r="D265" s="50"/>
      <c r="E265" s="50"/>
      <c r="F265" s="50"/>
      <c r="G265" s="50"/>
      <c r="H265" s="50"/>
      <c r="I265" s="50"/>
      <c r="J265" s="22">
        <v>147.46391800000001</v>
      </c>
      <c r="K265" s="22">
        <v>106.28</v>
      </c>
      <c r="L265" s="22">
        <v>280.48687799999999</v>
      </c>
      <c r="M265" s="22">
        <v>274.96160800000001</v>
      </c>
      <c r="N265" s="22">
        <v>106.28</v>
      </c>
      <c r="O265" s="22">
        <v>106.28</v>
      </c>
      <c r="P265" s="22">
        <v>9.4633800000000008</v>
      </c>
      <c r="Q265" s="22">
        <v>106.28</v>
      </c>
      <c r="R265" s="22">
        <v>106.28</v>
      </c>
      <c r="S265" s="22">
        <v>106.28</v>
      </c>
      <c r="T265" s="22">
        <v>106.28</v>
      </c>
      <c r="U265" s="51" t="s">
        <v>216</v>
      </c>
      <c r="V265" s="55"/>
      <c r="W265" s="55">
        <v>804</v>
      </c>
      <c r="X265" s="49">
        <v>31503</v>
      </c>
    </row>
    <row r="266" spans="1:24" ht="12" customHeight="1" x14ac:dyDescent="0.2">
      <c r="A266" s="49">
        <v>31533</v>
      </c>
      <c r="B266" s="523"/>
      <c r="C266" s="523"/>
      <c r="D266" s="50"/>
      <c r="E266" s="50"/>
      <c r="F266" s="50"/>
      <c r="G266" s="50"/>
      <c r="H266" s="50"/>
      <c r="I266" s="50"/>
      <c r="J266" s="22">
        <v>150.87033400000001</v>
      </c>
      <c r="K266" s="22">
        <v>107.12</v>
      </c>
      <c r="L266" s="22">
        <v>279.56127099999998</v>
      </c>
      <c r="M266" s="22">
        <v>273.36682999999999</v>
      </c>
      <c r="N266" s="22">
        <v>107.12</v>
      </c>
      <c r="O266" s="22">
        <v>107.12</v>
      </c>
      <c r="P266" s="22">
        <v>9.5381750000000007</v>
      </c>
      <c r="Q266" s="22">
        <v>107.12</v>
      </c>
      <c r="R266" s="22">
        <v>107.12</v>
      </c>
      <c r="S266" s="22">
        <v>107.12</v>
      </c>
      <c r="T266" s="22">
        <v>107.12</v>
      </c>
      <c r="U266" s="51" t="s">
        <v>216</v>
      </c>
      <c r="V266" s="55"/>
      <c r="W266" s="55">
        <v>804</v>
      </c>
      <c r="X266" s="49">
        <v>31533</v>
      </c>
    </row>
    <row r="267" spans="1:24" ht="12" customHeight="1" x14ac:dyDescent="0.2">
      <c r="A267" s="49">
        <v>31564</v>
      </c>
      <c r="B267" s="523"/>
      <c r="C267" s="523"/>
      <c r="D267" s="50"/>
      <c r="E267" s="50"/>
      <c r="F267" s="50"/>
      <c r="G267" s="50"/>
      <c r="H267" s="50"/>
      <c r="I267" s="50"/>
      <c r="J267" s="22">
        <v>153.767044</v>
      </c>
      <c r="K267" s="22">
        <v>108.61</v>
      </c>
      <c r="L267" s="22">
        <v>280.23221799999999</v>
      </c>
      <c r="M267" s="22">
        <v>274.241603</v>
      </c>
      <c r="N267" s="22">
        <v>108.61</v>
      </c>
      <c r="O267" s="22">
        <v>108.61</v>
      </c>
      <c r="P267" s="22">
        <v>9.6708479999999994</v>
      </c>
      <c r="Q267" s="22">
        <v>108.61</v>
      </c>
      <c r="R267" s="22">
        <v>108.61</v>
      </c>
      <c r="S267" s="22">
        <v>108.61</v>
      </c>
      <c r="T267" s="22">
        <v>108.61</v>
      </c>
      <c r="U267" s="51" t="s">
        <v>216</v>
      </c>
      <c r="V267" s="55"/>
      <c r="W267" s="55">
        <v>804</v>
      </c>
      <c r="X267" s="49">
        <v>31564</v>
      </c>
    </row>
    <row r="268" spans="1:24" ht="12" customHeight="1" x14ac:dyDescent="0.2">
      <c r="A268" s="49">
        <v>31594</v>
      </c>
      <c r="B268" s="523"/>
      <c r="C268" s="523"/>
      <c r="D268" s="50"/>
      <c r="E268" s="50"/>
      <c r="F268" s="50"/>
      <c r="G268" s="50"/>
      <c r="H268" s="50"/>
      <c r="I268" s="50"/>
      <c r="J268" s="22">
        <v>155.24320700000001</v>
      </c>
      <c r="K268" s="22">
        <v>109.99</v>
      </c>
      <c r="L268" s="22">
        <v>283.566981</v>
      </c>
      <c r="M268" s="22">
        <v>275.69508300000001</v>
      </c>
      <c r="N268" s="22">
        <v>109.99</v>
      </c>
      <c r="O268" s="22">
        <v>109.99</v>
      </c>
      <c r="P268" s="22">
        <v>9.7937259999999995</v>
      </c>
      <c r="Q268" s="22">
        <v>109.99</v>
      </c>
      <c r="R268" s="22">
        <v>109.99</v>
      </c>
      <c r="S268" s="22">
        <v>109.99</v>
      </c>
      <c r="T268" s="22">
        <v>109.99</v>
      </c>
      <c r="U268" s="51" t="s">
        <v>216</v>
      </c>
      <c r="V268" s="55"/>
      <c r="W268" s="55">
        <v>804</v>
      </c>
      <c r="X268" s="49">
        <v>31594</v>
      </c>
    </row>
    <row r="269" spans="1:24" ht="12" customHeight="1" x14ac:dyDescent="0.2">
      <c r="A269" s="49">
        <v>31625</v>
      </c>
      <c r="B269" s="523"/>
      <c r="C269" s="523"/>
      <c r="D269" s="50"/>
      <c r="E269" s="50"/>
      <c r="F269" s="50"/>
      <c r="G269" s="50"/>
      <c r="H269" s="50"/>
      <c r="I269" s="50"/>
      <c r="J269" s="22">
        <v>156.90430900000001</v>
      </c>
      <c r="K269" s="22">
        <v>111.31</v>
      </c>
      <c r="L269" s="22">
        <v>286.629504</v>
      </c>
      <c r="M269" s="22">
        <v>277.431962</v>
      </c>
      <c r="N269" s="22">
        <v>111.31</v>
      </c>
      <c r="O269" s="22">
        <v>111.31</v>
      </c>
      <c r="P269" s="22">
        <v>9.9112609999999997</v>
      </c>
      <c r="Q269" s="22">
        <v>111.31</v>
      </c>
      <c r="R269" s="22">
        <v>111.31</v>
      </c>
      <c r="S269" s="22">
        <v>111.31</v>
      </c>
      <c r="T269" s="22">
        <v>111.31</v>
      </c>
      <c r="U269" s="51" t="s">
        <v>216</v>
      </c>
      <c r="V269" s="55"/>
      <c r="W269" s="55">
        <v>804</v>
      </c>
      <c r="X269" s="49">
        <v>31625</v>
      </c>
    </row>
    <row r="270" spans="1:24" ht="12" customHeight="1" x14ac:dyDescent="0.2">
      <c r="A270" s="49">
        <v>31656</v>
      </c>
      <c r="B270" s="523"/>
      <c r="C270" s="523"/>
      <c r="D270" s="50"/>
      <c r="E270" s="50"/>
      <c r="F270" s="50"/>
      <c r="G270" s="50"/>
      <c r="H270" s="50"/>
      <c r="I270" s="50"/>
      <c r="J270" s="22">
        <v>159.85410999999999</v>
      </c>
      <c r="K270" s="22">
        <v>113.18</v>
      </c>
      <c r="L270" s="22">
        <v>294.33983699999999</v>
      </c>
      <c r="M270" s="22">
        <v>281.12180699999999</v>
      </c>
      <c r="N270" s="22">
        <v>113.18</v>
      </c>
      <c r="O270" s="22">
        <v>113.18</v>
      </c>
      <c r="P270" s="22">
        <v>10.077769</v>
      </c>
      <c r="Q270" s="22">
        <v>113.18</v>
      </c>
      <c r="R270" s="22">
        <v>113.18</v>
      </c>
      <c r="S270" s="22">
        <v>113.18</v>
      </c>
      <c r="T270" s="22">
        <v>113.18</v>
      </c>
      <c r="U270" s="51" t="s">
        <v>216</v>
      </c>
      <c r="V270" s="55"/>
      <c r="W270" s="55">
        <v>804</v>
      </c>
      <c r="X270" s="49">
        <v>31656</v>
      </c>
    </row>
    <row r="271" spans="1:24" ht="12" customHeight="1" x14ac:dyDescent="0.2">
      <c r="A271" s="49">
        <v>31686</v>
      </c>
      <c r="B271" s="523"/>
      <c r="C271" s="523"/>
      <c r="D271" s="50"/>
      <c r="E271" s="50"/>
      <c r="F271" s="50"/>
      <c r="G271" s="50"/>
      <c r="H271" s="50"/>
      <c r="I271" s="50"/>
      <c r="J271" s="22">
        <v>162.14002300000001</v>
      </c>
      <c r="K271" s="22">
        <v>115.13</v>
      </c>
      <c r="L271" s="22">
        <v>306.025128</v>
      </c>
      <c r="M271" s="22">
        <v>284.18603400000001</v>
      </c>
      <c r="N271" s="22">
        <v>115.13</v>
      </c>
      <c r="O271" s="22">
        <v>115.13</v>
      </c>
      <c r="P271" s="22">
        <v>10.251401</v>
      </c>
      <c r="Q271" s="22">
        <v>115.13</v>
      </c>
      <c r="R271" s="22">
        <v>115.13</v>
      </c>
      <c r="S271" s="22">
        <v>115.13</v>
      </c>
      <c r="T271" s="22">
        <v>115.13</v>
      </c>
      <c r="U271" s="51" t="s">
        <v>216</v>
      </c>
      <c r="V271" s="55"/>
      <c r="W271" s="55">
        <v>804</v>
      </c>
      <c r="X271" s="49">
        <v>31686</v>
      </c>
    </row>
    <row r="272" spans="1:24" ht="12" customHeight="1" x14ac:dyDescent="0.2">
      <c r="A272" s="49">
        <v>31717</v>
      </c>
      <c r="B272" s="523"/>
      <c r="C272" s="523"/>
      <c r="D272" s="50"/>
      <c r="E272" s="50"/>
      <c r="F272" s="50"/>
      <c r="G272" s="50"/>
      <c r="H272" s="50"/>
      <c r="I272" s="50"/>
      <c r="J272" s="22">
        <v>167.13393500000001</v>
      </c>
      <c r="K272" s="22">
        <v>117.32</v>
      </c>
      <c r="L272" s="22">
        <v>317.50107000000003</v>
      </c>
      <c r="M272" s="22">
        <v>288.13621899999998</v>
      </c>
      <c r="N272" s="22">
        <v>117.32</v>
      </c>
      <c r="O272" s="22">
        <v>117.32</v>
      </c>
      <c r="P272" s="22">
        <v>10.446403</v>
      </c>
      <c r="Q272" s="22">
        <v>117.32</v>
      </c>
      <c r="R272" s="22">
        <v>117.32</v>
      </c>
      <c r="S272" s="22">
        <v>117.32</v>
      </c>
      <c r="T272" s="22">
        <v>117.32</v>
      </c>
      <c r="U272" s="51" t="s">
        <v>216</v>
      </c>
      <c r="V272" s="55"/>
      <c r="W272" s="55">
        <v>804</v>
      </c>
      <c r="X272" s="49">
        <v>31717</v>
      </c>
    </row>
    <row r="273" spans="1:24" ht="12" customHeight="1" x14ac:dyDescent="0.2">
      <c r="A273" s="49">
        <v>31747</v>
      </c>
      <c r="B273" s="523"/>
      <c r="C273" s="523"/>
      <c r="D273" s="50"/>
      <c r="E273" s="50"/>
      <c r="F273" s="50"/>
      <c r="G273" s="50"/>
      <c r="H273" s="50"/>
      <c r="I273" s="50"/>
      <c r="J273" s="22">
        <v>174.53796800000001</v>
      </c>
      <c r="K273" s="22">
        <v>121.17</v>
      </c>
      <c r="L273" s="22">
        <v>333.91587500000003</v>
      </c>
      <c r="M273" s="22">
        <v>295.22436900000002</v>
      </c>
      <c r="N273" s="22">
        <v>121.17</v>
      </c>
      <c r="O273" s="22">
        <v>121.17</v>
      </c>
      <c r="P273" s="22">
        <v>10.789215</v>
      </c>
      <c r="Q273" s="22">
        <v>121.17</v>
      </c>
      <c r="R273" s="22">
        <v>121.17</v>
      </c>
      <c r="S273" s="22">
        <v>121.17</v>
      </c>
      <c r="T273" s="22">
        <v>121.17</v>
      </c>
      <c r="U273" s="51" t="s">
        <v>216</v>
      </c>
      <c r="V273" s="55"/>
      <c r="W273" s="55">
        <v>804</v>
      </c>
      <c r="X273" s="49">
        <v>31747</v>
      </c>
    </row>
    <row r="274" spans="1:24" ht="12" customHeight="1" x14ac:dyDescent="0.2">
      <c r="A274" s="49">
        <v>31778</v>
      </c>
      <c r="B274" s="523"/>
      <c r="C274" s="523"/>
      <c r="D274" s="50"/>
      <c r="E274" s="50"/>
      <c r="F274" s="50"/>
      <c r="G274" s="50"/>
      <c r="H274" s="50"/>
      <c r="I274" s="50"/>
      <c r="J274" s="22">
        <v>192.515378</v>
      </c>
      <c r="K274" s="22">
        <v>129.97999999999999</v>
      </c>
      <c r="L274" s="22">
        <v>358.42529999999999</v>
      </c>
      <c r="M274" s="22">
        <v>317.54333100000002</v>
      </c>
      <c r="N274" s="22">
        <v>129.97999999999999</v>
      </c>
      <c r="O274" s="22">
        <v>129.97999999999999</v>
      </c>
      <c r="P274" s="22">
        <v>11.573674</v>
      </c>
      <c r="Q274" s="22">
        <v>129.97999999999999</v>
      </c>
      <c r="R274" s="22">
        <v>129.97999999999999</v>
      </c>
      <c r="S274" s="22">
        <v>129.97999999999999</v>
      </c>
      <c r="T274" s="22">
        <v>129.97999999999999</v>
      </c>
      <c r="U274" s="51" t="s">
        <v>216</v>
      </c>
      <c r="V274" s="55"/>
      <c r="W274" s="55">
        <v>964.8</v>
      </c>
      <c r="X274" s="49">
        <v>31778</v>
      </c>
    </row>
    <row r="275" spans="1:24" ht="12" customHeight="1" x14ac:dyDescent="0.2">
      <c r="A275" s="49">
        <v>31809</v>
      </c>
      <c r="B275" s="523"/>
      <c r="C275" s="523"/>
      <c r="D275" s="50"/>
      <c r="E275" s="50"/>
      <c r="F275" s="50"/>
      <c r="G275" s="50"/>
      <c r="H275" s="50"/>
      <c r="I275" s="50"/>
      <c r="J275" s="22">
        <v>218.986242</v>
      </c>
      <c r="K275" s="22">
        <v>151.85</v>
      </c>
      <c r="L275" s="22">
        <v>408.60484200000002</v>
      </c>
      <c r="M275" s="22">
        <v>355.77554800000001</v>
      </c>
      <c r="N275" s="22">
        <v>151.85</v>
      </c>
      <c r="O275" s="22">
        <v>151.85</v>
      </c>
      <c r="P275" s="22">
        <v>13.521022</v>
      </c>
      <c r="Q275" s="22">
        <v>151.85</v>
      </c>
      <c r="R275" s="22">
        <v>151.85</v>
      </c>
      <c r="S275" s="22">
        <v>151.85</v>
      </c>
      <c r="T275" s="22">
        <v>151.85</v>
      </c>
      <c r="U275" s="51" t="s">
        <v>216</v>
      </c>
      <c r="V275" s="55"/>
      <c r="W275" s="55">
        <v>964.8</v>
      </c>
      <c r="X275" s="49">
        <v>31809</v>
      </c>
    </row>
    <row r="276" spans="1:24" ht="12" customHeight="1" x14ac:dyDescent="0.2">
      <c r="A276" s="49">
        <v>31837</v>
      </c>
      <c r="B276" s="523"/>
      <c r="C276" s="523"/>
      <c r="D276" s="50"/>
      <c r="E276" s="50"/>
      <c r="F276" s="50"/>
      <c r="G276" s="50"/>
      <c r="H276" s="50"/>
      <c r="I276" s="50"/>
      <c r="J276" s="22">
        <v>243.68789000000001</v>
      </c>
      <c r="K276" s="22">
        <v>181.61</v>
      </c>
      <c r="L276" s="22">
        <v>541.23797300000001</v>
      </c>
      <c r="M276" s="22">
        <v>405.97547700000001</v>
      </c>
      <c r="N276" s="22">
        <v>181.61</v>
      </c>
      <c r="O276" s="22">
        <v>181.61</v>
      </c>
      <c r="P276" s="22">
        <v>16.170911</v>
      </c>
      <c r="Q276" s="22">
        <v>181.61</v>
      </c>
      <c r="R276" s="22">
        <v>181.61</v>
      </c>
      <c r="S276" s="22">
        <v>181.61</v>
      </c>
      <c r="T276" s="22">
        <v>181.61</v>
      </c>
      <c r="U276" s="51" t="s">
        <v>216</v>
      </c>
      <c r="V276" s="55"/>
      <c r="W276" s="55">
        <v>1368</v>
      </c>
      <c r="X276" s="49">
        <v>31837</v>
      </c>
    </row>
    <row r="277" spans="1:24" ht="12" customHeight="1" x14ac:dyDescent="0.2">
      <c r="A277" s="49">
        <v>31868</v>
      </c>
      <c r="B277" s="523"/>
      <c r="C277" s="523"/>
      <c r="D277" s="50"/>
      <c r="E277" s="50"/>
      <c r="F277" s="50"/>
      <c r="G277" s="50"/>
      <c r="H277" s="50"/>
      <c r="I277" s="50"/>
      <c r="J277" s="22">
        <v>272.85732999999999</v>
      </c>
      <c r="K277" s="22">
        <v>207.97</v>
      </c>
      <c r="L277" s="22">
        <v>663.50363100000004</v>
      </c>
      <c r="M277" s="22">
        <v>466.87179800000001</v>
      </c>
      <c r="N277" s="22">
        <v>207.97</v>
      </c>
      <c r="O277" s="22">
        <v>207.97</v>
      </c>
      <c r="P277" s="22">
        <v>18.518056999999999</v>
      </c>
      <c r="Q277" s="22">
        <v>207.97</v>
      </c>
      <c r="R277" s="22">
        <v>207.97</v>
      </c>
      <c r="S277" s="22">
        <v>207.97</v>
      </c>
      <c r="T277" s="22">
        <v>207.97</v>
      </c>
      <c r="U277" s="51" t="s">
        <v>216</v>
      </c>
      <c r="V277" s="55"/>
      <c r="W277" s="55">
        <v>1368</v>
      </c>
      <c r="X277" s="49">
        <v>31868</v>
      </c>
    </row>
    <row r="278" spans="1:24" ht="12" customHeight="1" x14ac:dyDescent="0.2">
      <c r="A278" s="49">
        <v>31898</v>
      </c>
      <c r="B278" s="523"/>
      <c r="C278" s="523"/>
      <c r="D278" s="50"/>
      <c r="E278" s="50"/>
      <c r="F278" s="50"/>
      <c r="G278" s="50"/>
      <c r="H278" s="50"/>
      <c r="I278" s="50"/>
      <c r="J278" s="22">
        <v>318.015218</v>
      </c>
      <c r="K278" s="22">
        <v>251.56</v>
      </c>
      <c r="L278" s="22">
        <v>751.48421199999996</v>
      </c>
      <c r="M278" s="22">
        <v>560.61965499999997</v>
      </c>
      <c r="N278" s="22">
        <v>251.56</v>
      </c>
      <c r="O278" s="22">
        <v>251.56</v>
      </c>
      <c r="P278" s="22">
        <v>22.399395999999999</v>
      </c>
      <c r="Q278" s="22">
        <v>251.56</v>
      </c>
      <c r="R278" s="22">
        <v>251.56</v>
      </c>
      <c r="S278" s="22">
        <v>251.56</v>
      </c>
      <c r="T278" s="22">
        <v>251.56</v>
      </c>
      <c r="U278" s="51" t="s">
        <v>216</v>
      </c>
      <c r="V278" s="55"/>
      <c r="W278" s="55">
        <v>1641.6</v>
      </c>
      <c r="X278" s="49">
        <v>31898</v>
      </c>
    </row>
    <row r="279" spans="1:24" ht="12" customHeight="1" x14ac:dyDescent="0.2">
      <c r="A279" s="49">
        <v>31929</v>
      </c>
      <c r="B279" s="523"/>
      <c r="C279" s="523"/>
      <c r="D279" s="50"/>
      <c r="E279" s="50"/>
      <c r="F279" s="50"/>
      <c r="G279" s="50"/>
      <c r="H279" s="50"/>
      <c r="I279" s="50"/>
      <c r="J279" s="22">
        <v>402.25744900000001</v>
      </c>
      <c r="K279" s="22">
        <v>310.52999999999997</v>
      </c>
      <c r="L279" s="22">
        <v>902.45739000000003</v>
      </c>
      <c r="M279" s="22">
        <v>715.23855500000002</v>
      </c>
      <c r="N279" s="22">
        <v>310.52999999999997</v>
      </c>
      <c r="O279" s="22">
        <v>310.52999999999997</v>
      </c>
      <c r="P279" s="22">
        <v>27.650200999999999</v>
      </c>
      <c r="Q279" s="22">
        <v>310.52999999999997</v>
      </c>
      <c r="R279" s="22">
        <v>310.52999999999997</v>
      </c>
      <c r="S279" s="22">
        <v>310.52999999999997</v>
      </c>
      <c r="T279" s="22">
        <v>310.52999999999997</v>
      </c>
      <c r="U279" s="51" t="s">
        <v>216</v>
      </c>
      <c r="V279" s="55"/>
      <c r="W279" s="55">
        <v>1969.92</v>
      </c>
      <c r="X279" s="49">
        <v>31929</v>
      </c>
    </row>
    <row r="280" spans="1:24" ht="12" customHeight="1" x14ac:dyDescent="0.2">
      <c r="A280" s="49">
        <v>31959</v>
      </c>
      <c r="B280" s="523"/>
      <c r="C280" s="523"/>
      <c r="D280" s="50"/>
      <c r="E280" s="50"/>
      <c r="F280" s="50"/>
      <c r="G280" s="50"/>
      <c r="H280" s="50"/>
      <c r="I280" s="50"/>
      <c r="J280" s="22">
        <v>509.90154200000001</v>
      </c>
      <c r="K280" s="22">
        <v>366.49</v>
      </c>
      <c r="L280" s="22">
        <v>1091.341721</v>
      </c>
      <c r="M280" s="22">
        <v>900.34229300000004</v>
      </c>
      <c r="N280" s="22">
        <v>366.49</v>
      </c>
      <c r="O280" s="22">
        <v>366.49</v>
      </c>
      <c r="P280" s="22">
        <v>32.632989000000002</v>
      </c>
      <c r="Q280" s="22">
        <v>366.49</v>
      </c>
      <c r="R280" s="22">
        <v>366.49</v>
      </c>
      <c r="S280" s="22">
        <v>366.49</v>
      </c>
      <c r="T280" s="22">
        <v>366.49</v>
      </c>
      <c r="U280" s="51" t="s">
        <v>216</v>
      </c>
      <c r="V280" s="55"/>
      <c r="W280" s="55">
        <v>1969.92</v>
      </c>
      <c r="X280" s="49">
        <v>31959</v>
      </c>
    </row>
    <row r="281" spans="1:24" ht="12" customHeight="1" x14ac:dyDescent="0.2">
      <c r="A281" s="49">
        <v>31990</v>
      </c>
      <c r="B281" s="523"/>
      <c r="C281" s="523"/>
      <c r="D281" s="50"/>
      <c r="E281" s="50"/>
      <c r="F281" s="50"/>
      <c r="G281" s="50"/>
      <c r="H281" s="50"/>
      <c r="I281" s="50"/>
      <c r="J281" s="22">
        <v>557.01644399999998</v>
      </c>
      <c r="K281" s="22">
        <v>377.67</v>
      </c>
      <c r="L281" s="22">
        <v>1175.5933010000001</v>
      </c>
      <c r="M281" s="22">
        <v>984.34422800000004</v>
      </c>
      <c r="N281" s="22">
        <v>377.67</v>
      </c>
      <c r="O281" s="22">
        <v>377.67</v>
      </c>
      <c r="P281" s="22">
        <v>33.628478000000001</v>
      </c>
      <c r="Q281" s="22">
        <v>377.67</v>
      </c>
      <c r="R281" s="22">
        <v>377.67</v>
      </c>
      <c r="S281" s="22">
        <v>377.67</v>
      </c>
      <c r="T281" s="22">
        <v>377.67</v>
      </c>
      <c r="U281" s="51" t="s">
        <v>216</v>
      </c>
      <c r="V281" s="55"/>
      <c r="W281" s="55">
        <v>1970</v>
      </c>
      <c r="X281" s="49">
        <v>31990</v>
      </c>
    </row>
    <row r="282" spans="1:24" ht="12" customHeight="1" x14ac:dyDescent="0.2">
      <c r="A282" s="49">
        <v>32021</v>
      </c>
      <c r="B282" s="523"/>
      <c r="C282" s="523"/>
      <c r="D282" s="50"/>
      <c r="E282" s="50"/>
      <c r="F282" s="50"/>
      <c r="G282" s="50"/>
      <c r="H282" s="50"/>
      <c r="I282" s="50"/>
      <c r="J282" s="22">
        <v>581.803675</v>
      </c>
      <c r="K282" s="22">
        <v>401.69</v>
      </c>
      <c r="L282" s="22">
        <v>1214.505439</v>
      </c>
      <c r="M282" s="22">
        <v>1028.6397179999999</v>
      </c>
      <c r="N282" s="22">
        <v>401.69</v>
      </c>
      <c r="O282" s="22">
        <v>401.69</v>
      </c>
      <c r="P282" s="22">
        <v>35.767265999999999</v>
      </c>
      <c r="Q282" s="22">
        <v>401.69</v>
      </c>
      <c r="R282" s="22">
        <v>401.69</v>
      </c>
      <c r="S282" s="22">
        <v>401.69</v>
      </c>
      <c r="T282" s="22">
        <v>401.69</v>
      </c>
      <c r="U282" s="51" t="s">
        <v>216</v>
      </c>
      <c r="V282" s="55"/>
      <c r="W282" s="55">
        <v>2400</v>
      </c>
      <c r="X282" s="49">
        <v>32021</v>
      </c>
    </row>
    <row r="283" spans="1:24" ht="12" customHeight="1" x14ac:dyDescent="0.2">
      <c r="A283" s="49">
        <v>32051</v>
      </c>
      <c r="B283" s="523"/>
      <c r="C283" s="523"/>
      <c r="D283" s="50"/>
      <c r="E283" s="50"/>
      <c r="F283" s="50"/>
      <c r="G283" s="50"/>
      <c r="H283" s="50"/>
      <c r="I283" s="50"/>
      <c r="J283" s="22">
        <v>620.95906200000002</v>
      </c>
      <c r="K283" s="22">
        <v>424.51</v>
      </c>
      <c r="L283" s="22">
        <v>1305.107544</v>
      </c>
      <c r="M283" s="22">
        <v>1111.1366230000001</v>
      </c>
      <c r="N283" s="22">
        <v>424.51</v>
      </c>
      <c r="O283" s="22">
        <v>424.51</v>
      </c>
      <c r="P283" s="22">
        <v>37.799204000000003</v>
      </c>
      <c r="Q283" s="22">
        <v>424.51</v>
      </c>
      <c r="R283" s="22">
        <v>424.51</v>
      </c>
      <c r="S283" s="22">
        <v>424.51</v>
      </c>
      <c r="T283" s="22">
        <v>424.51</v>
      </c>
      <c r="U283" s="51" t="s">
        <v>216</v>
      </c>
      <c r="V283" s="55"/>
      <c r="W283" s="55">
        <v>2640</v>
      </c>
      <c r="X283" s="49">
        <v>32051</v>
      </c>
    </row>
    <row r="284" spans="1:24" ht="12" customHeight="1" x14ac:dyDescent="0.2">
      <c r="A284" s="49">
        <v>32082</v>
      </c>
      <c r="B284" s="523"/>
      <c r="C284" s="523"/>
      <c r="D284" s="50"/>
      <c r="E284" s="50"/>
      <c r="F284" s="50"/>
      <c r="G284" s="50"/>
      <c r="H284" s="50"/>
      <c r="I284" s="50"/>
      <c r="J284" s="22">
        <v>684.11059799999998</v>
      </c>
      <c r="K284" s="22">
        <v>463.48</v>
      </c>
      <c r="L284" s="22">
        <v>1436.792895</v>
      </c>
      <c r="M284" s="22">
        <v>1235.028356</v>
      </c>
      <c r="N284" s="22">
        <v>463.48</v>
      </c>
      <c r="O284" s="22">
        <v>463.48</v>
      </c>
      <c r="P284" s="22">
        <v>41.269168999999998</v>
      </c>
      <c r="Q284" s="22">
        <v>463.48</v>
      </c>
      <c r="R284" s="22">
        <v>463.48</v>
      </c>
      <c r="S284" s="22">
        <v>463.48</v>
      </c>
      <c r="T284" s="22">
        <v>463.48</v>
      </c>
      <c r="U284" s="51" t="s">
        <v>216</v>
      </c>
      <c r="V284" s="55"/>
      <c r="W284" s="55">
        <v>3000</v>
      </c>
      <c r="X284" s="49">
        <v>32082</v>
      </c>
    </row>
    <row r="285" spans="1:24" ht="12" customHeight="1" x14ac:dyDescent="0.2">
      <c r="A285" s="49">
        <v>32112</v>
      </c>
      <c r="B285" s="523"/>
      <c r="C285" s="523"/>
      <c r="D285" s="50"/>
      <c r="E285" s="50"/>
      <c r="F285" s="50"/>
      <c r="G285" s="50"/>
      <c r="H285" s="50"/>
      <c r="I285" s="50"/>
      <c r="J285" s="22">
        <v>775.78141800000003</v>
      </c>
      <c r="K285" s="22">
        <v>522.99</v>
      </c>
      <c r="L285" s="22">
        <v>1626.018519</v>
      </c>
      <c r="M285" s="22">
        <v>1413.613456</v>
      </c>
      <c r="N285" s="22">
        <v>522.99</v>
      </c>
      <c r="O285" s="22">
        <v>522.99</v>
      </c>
      <c r="P285" s="22">
        <v>46.568055999999999</v>
      </c>
      <c r="Q285" s="22">
        <v>522.99</v>
      </c>
      <c r="R285" s="22">
        <v>522.99</v>
      </c>
      <c r="S285" s="22">
        <v>522.99</v>
      </c>
      <c r="T285" s="22">
        <v>522.99</v>
      </c>
      <c r="U285" s="51" t="s">
        <v>216</v>
      </c>
      <c r="V285" s="55"/>
      <c r="W285" s="55">
        <v>3600</v>
      </c>
      <c r="X285" s="49">
        <v>32112</v>
      </c>
    </row>
    <row r="286" spans="1:24" ht="12" customHeight="1" x14ac:dyDescent="0.2">
      <c r="A286" s="49">
        <v>32143</v>
      </c>
      <c r="B286" s="523"/>
      <c r="C286" s="523"/>
      <c r="D286" s="50"/>
      <c r="E286" s="50"/>
      <c r="F286" s="50"/>
      <c r="G286" s="50"/>
      <c r="H286" s="50"/>
      <c r="I286" s="50"/>
      <c r="J286" s="22">
        <v>899.28581899999995</v>
      </c>
      <c r="K286" s="22">
        <v>596.94000000000005</v>
      </c>
      <c r="L286" s="22">
        <v>1851.709889</v>
      </c>
      <c r="M286" s="22">
        <v>1638.2366340000001</v>
      </c>
      <c r="N286" s="22">
        <v>596.94000000000005</v>
      </c>
      <c r="O286" s="22">
        <v>596.94000000000005</v>
      </c>
      <c r="P286" s="22">
        <v>53.152709999999999</v>
      </c>
      <c r="Q286" s="22">
        <v>596.94000000000005</v>
      </c>
      <c r="R286" s="22">
        <v>596.94000000000005</v>
      </c>
      <c r="S286" s="22">
        <v>596.94000000000005</v>
      </c>
      <c r="T286" s="22">
        <v>596.94000000000005</v>
      </c>
      <c r="U286" s="51" t="s">
        <v>216</v>
      </c>
      <c r="V286" s="55"/>
      <c r="W286" s="55">
        <v>4500</v>
      </c>
      <c r="X286" s="49">
        <v>32143</v>
      </c>
    </row>
    <row r="287" spans="1:24" ht="12" customHeight="1" x14ac:dyDescent="0.2">
      <c r="A287" s="49">
        <v>32174</v>
      </c>
      <c r="B287" s="523"/>
      <c r="C287" s="523"/>
      <c r="D287" s="50"/>
      <c r="E287" s="50"/>
      <c r="F287" s="50"/>
      <c r="G287" s="50"/>
      <c r="H287" s="50"/>
      <c r="I287" s="50"/>
      <c r="J287" s="22">
        <v>1031.480834</v>
      </c>
      <c r="K287" s="22">
        <v>695.5</v>
      </c>
      <c r="L287" s="22">
        <v>2173.7222379999998</v>
      </c>
      <c r="M287" s="22">
        <v>1951.7951250000001</v>
      </c>
      <c r="N287" s="22">
        <v>695.5</v>
      </c>
      <c r="O287" s="22">
        <v>695.5</v>
      </c>
      <c r="P287" s="22">
        <v>61.928685000000002</v>
      </c>
      <c r="Q287" s="22">
        <v>695.5</v>
      </c>
      <c r="R287" s="22">
        <v>695.5</v>
      </c>
      <c r="S287" s="22">
        <v>695.5</v>
      </c>
      <c r="T287" s="22">
        <v>695.5</v>
      </c>
      <c r="U287" s="51" t="s">
        <v>216</v>
      </c>
      <c r="V287" s="55"/>
      <c r="W287" s="55">
        <v>5280</v>
      </c>
      <c r="X287" s="49">
        <v>32174</v>
      </c>
    </row>
    <row r="288" spans="1:24" ht="12" customHeight="1" x14ac:dyDescent="0.2">
      <c r="A288" s="49">
        <v>32203</v>
      </c>
      <c r="B288" s="523"/>
      <c r="C288" s="523"/>
      <c r="D288" s="50"/>
      <c r="E288" s="50"/>
      <c r="F288" s="50"/>
      <c r="G288" s="50"/>
      <c r="H288" s="50"/>
      <c r="I288" s="50"/>
      <c r="J288" s="22">
        <v>1169.4929689999999</v>
      </c>
      <c r="K288" s="22">
        <v>820.42</v>
      </c>
      <c r="L288" s="22">
        <v>2516.7356070000001</v>
      </c>
      <c r="M288" s="22">
        <v>2296.2869639999999</v>
      </c>
      <c r="N288" s="22">
        <v>820.42</v>
      </c>
      <c r="O288" s="22">
        <v>820.42</v>
      </c>
      <c r="P288" s="22">
        <v>73.051806999999997</v>
      </c>
      <c r="Q288" s="22">
        <v>820.42</v>
      </c>
      <c r="R288" s="22">
        <v>820.42</v>
      </c>
      <c r="S288" s="22">
        <v>820.42</v>
      </c>
      <c r="T288" s="22">
        <v>820.42</v>
      </c>
      <c r="U288" s="51" t="s">
        <v>216</v>
      </c>
      <c r="V288" s="55"/>
      <c r="W288" s="55">
        <v>6240</v>
      </c>
      <c r="X288" s="49">
        <v>32203</v>
      </c>
    </row>
    <row r="289" spans="1:24" ht="12" customHeight="1" x14ac:dyDescent="0.2">
      <c r="A289" s="49">
        <v>32234</v>
      </c>
      <c r="B289" s="523"/>
      <c r="C289" s="523"/>
      <c r="D289" s="50"/>
      <c r="E289" s="50"/>
      <c r="F289" s="50"/>
      <c r="G289" s="50"/>
      <c r="H289" s="50"/>
      <c r="I289" s="50"/>
      <c r="J289" s="22">
        <v>1387.6034070000001</v>
      </c>
      <c r="K289" s="22">
        <v>951.77</v>
      </c>
      <c r="L289" s="22">
        <v>3006.4923560000002</v>
      </c>
      <c r="M289" s="22">
        <v>2713.292676</v>
      </c>
      <c r="N289" s="22">
        <v>951.77</v>
      </c>
      <c r="O289" s="22">
        <v>951.77</v>
      </c>
      <c r="P289" s="22">
        <v>84.747468999999995</v>
      </c>
      <c r="Q289" s="22">
        <v>951.77</v>
      </c>
      <c r="R289" s="22">
        <v>951.77</v>
      </c>
      <c r="S289" s="22">
        <v>951.77</v>
      </c>
      <c r="T289" s="22">
        <v>951.77</v>
      </c>
      <c r="U289" s="51" t="s">
        <v>216</v>
      </c>
      <c r="V289" s="55"/>
      <c r="W289" s="55">
        <v>7260</v>
      </c>
      <c r="X289" s="49">
        <v>32234</v>
      </c>
    </row>
    <row r="290" spans="1:24" ht="12" customHeight="1" x14ac:dyDescent="0.2">
      <c r="A290" s="49">
        <v>32264</v>
      </c>
      <c r="B290" s="523"/>
      <c r="C290" s="523"/>
      <c r="D290" s="50"/>
      <c r="E290" s="50"/>
      <c r="F290" s="50"/>
      <c r="G290" s="50"/>
      <c r="H290" s="50"/>
      <c r="I290" s="50"/>
      <c r="J290" s="22">
        <v>1681.359048</v>
      </c>
      <c r="K290" s="22">
        <v>1135.27</v>
      </c>
      <c r="L290" s="22">
        <v>3518.1973539999999</v>
      </c>
      <c r="M290" s="22">
        <v>3264.9050769999999</v>
      </c>
      <c r="N290" s="22">
        <v>1135.27</v>
      </c>
      <c r="O290" s="22">
        <v>1135.27</v>
      </c>
      <c r="P290" s="22">
        <v>101.08667</v>
      </c>
      <c r="Q290" s="22">
        <v>1135.27</v>
      </c>
      <c r="R290" s="22">
        <v>1135.27</v>
      </c>
      <c r="S290" s="22">
        <v>1135.27</v>
      </c>
      <c r="T290" s="22">
        <v>1135.27</v>
      </c>
      <c r="U290" s="51" t="s">
        <v>216</v>
      </c>
      <c r="V290" s="55"/>
      <c r="W290" s="55">
        <v>8712</v>
      </c>
      <c r="X290" s="49">
        <v>32264</v>
      </c>
    </row>
    <row r="291" spans="1:24" ht="12" customHeight="1" x14ac:dyDescent="0.2">
      <c r="A291" s="49">
        <v>32295</v>
      </c>
      <c r="B291" s="523"/>
      <c r="C291" s="523"/>
      <c r="D291" s="50"/>
      <c r="E291" s="50"/>
      <c r="F291" s="50"/>
      <c r="G291" s="50"/>
      <c r="H291" s="50"/>
      <c r="I291" s="50"/>
      <c r="J291" s="22">
        <v>1954.5798930000001</v>
      </c>
      <c r="K291" s="22">
        <v>1337.12</v>
      </c>
      <c r="L291" s="22">
        <v>4349.8992079999998</v>
      </c>
      <c r="M291" s="22">
        <v>3901.8880570000001</v>
      </c>
      <c r="N291" s="22">
        <v>1337.12</v>
      </c>
      <c r="O291" s="22">
        <v>1337.12</v>
      </c>
      <c r="P291" s="22">
        <v>119.05979000000001</v>
      </c>
      <c r="Q291" s="22">
        <v>1337.12</v>
      </c>
      <c r="R291" s="22">
        <v>1337.12</v>
      </c>
      <c r="S291" s="22">
        <v>1337.12</v>
      </c>
      <c r="T291" s="22">
        <v>1337.12</v>
      </c>
      <c r="U291" s="51" t="s">
        <v>216</v>
      </c>
      <c r="V291" s="55"/>
      <c r="W291" s="55">
        <v>10368</v>
      </c>
      <c r="X291" s="49">
        <v>32295</v>
      </c>
    </row>
    <row r="292" spans="1:24" ht="12" customHeight="1" x14ac:dyDescent="0.2">
      <c r="A292" s="49">
        <v>32325</v>
      </c>
      <c r="B292" s="523"/>
      <c r="C292" s="523"/>
      <c r="D292" s="50"/>
      <c r="E292" s="50"/>
      <c r="F292" s="50"/>
      <c r="G292" s="50"/>
      <c r="H292" s="50"/>
      <c r="I292" s="50"/>
      <c r="J292" s="22">
        <v>2378.7237289999998</v>
      </c>
      <c r="K292" s="22">
        <v>1598.26</v>
      </c>
      <c r="L292" s="22">
        <v>5228.5788480000001</v>
      </c>
      <c r="M292" s="22">
        <v>4714.651339</v>
      </c>
      <c r="N292" s="22">
        <v>1598.26</v>
      </c>
      <c r="O292" s="22">
        <v>1598.26</v>
      </c>
      <c r="P292" s="22">
        <v>142.312208</v>
      </c>
      <c r="Q292" s="22">
        <v>1598.26</v>
      </c>
      <c r="R292" s="22">
        <v>1598.26</v>
      </c>
      <c r="S292" s="22">
        <v>1598.26</v>
      </c>
      <c r="T292" s="22">
        <v>1598.26</v>
      </c>
      <c r="U292" s="51" t="s">
        <v>216</v>
      </c>
      <c r="V292" s="55"/>
      <c r="W292" s="55">
        <v>12444</v>
      </c>
      <c r="X292" s="49">
        <v>32325</v>
      </c>
    </row>
    <row r="293" spans="1:24" ht="12" customHeight="1" x14ac:dyDescent="0.2">
      <c r="A293" s="49">
        <v>32356</v>
      </c>
      <c r="B293" s="523"/>
      <c r="C293" s="523"/>
      <c r="D293" s="50"/>
      <c r="E293" s="50"/>
      <c r="F293" s="50"/>
      <c r="G293" s="50"/>
      <c r="H293" s="50"/>
      <c r="I293" s="50"/>
      <c r="J293" s="22">
        <v>2917.504653</v>
      </c>
      <c r="K293" s="22">
        <v>1982.48</v>
      </c>
      <c r="L293" s="22">
        <v>6259.131738</v>
      </c>
      <c r="M293" s="22">
        <v>5730.1872370000001</v>
      </c>
      <c r="N293" s="22">
        <v>1982.48</v>
      </c>
      <c r="O293" s="22">
        <v>1982.48</v>
      </c>
      <c r="P293" s="22">
        <v>176.523911</v>
      </c>
      <c r="Q293" s="22">
        <v>1982.48</v>
      </c>
      <c r="R293" s="22">
        <v>1982.48</v>
      </c>
      <c r="S293" s="22">
        <v>1982.48</v>
      </c>
      <c r="T293" s="22">
        <v>1982.48</v>
      </c>
      <c r="U293" s="51" t="s">
        <v>216</v>
      </c>
      <c r="V293" s="55"/>
      <c r="W293" s="55">
        <v>15552</v>
      </c>
      <c r="X293" s="49">
        <v>32356</v>
      </c>
    </row>
    <row r="294" spans="1:24" ht="12" customHeight="1" x14ac:dyDescent="0.2">
      <c r="A294" s="49">
        <v>32387</v>
      </c>
      <c r="B294" s="523"/>
      <c r="C294" s="523"/>
      <c r="D294" s="50"/>
      <c r="E294" s="50"/>
      <c r="F294" s="50"/>
      <c r="G294" s="50"/>
      <c r="H294" s="50"/>
      <c r="I294" s="50"/>
      <c r="J294" s="22">
        <v>3491.3778179999999</v>
      </c>
      <c r="K294" s="22">
        <v>2392.06</v>
      </c>
      <c r="L294" s="22">
        <v>7629.2556750000003</v>
      </c>
      <c r="M294" s="22">
        <v>7041.8270949999996</v>
      </c>
      <c r="N294" s="22">
        <v>2392.06</v>
      </c>
      <c r="O294" s="22">
        <v>2392.06</v>
      </c>
      <c r="P294" s="22">
        <v>212.993718</v>
      </c>
      <c r="Q294" s="22">
        <v>2392.06</v>
      </c>
      <c r="R294" s="22">
        <v>2392.06</v>
      </c>
      <c r="S294" s="22">
        <v>2392.06</v>
      </c>
      <c r="T294" s="22">
        <v>2392.06</v>
      </c>
      <c r="U294" s="51" t="s">
        <v>216</v>
      </c>
      <c r="V294" s="55"/>
      <c r="W294" s="55">
        <v>18960</v>
      </c>
      <c r="X294" s="49">
        <v>32387</v>
      </c>
    </row>
    <row r="295" spans="1:24" ht="12" customHeight="1" x14ac:dyDescent="0.2">
      <c r="A295" s="49">
        <v>32417</v>
      </c>
      <c r="B295" s="523"/>
      <c r="C295" s="523"/>
      <c r="D295" s="50"/>
      <c r="E295" s="50"/>
      <c r="F295" s="50"/>
      <c r="G295" s="50"/>
      <c r="H295" s="50"/>
      <c r="I295" s="50"/>
      <c r="J295" s="22">
        <v>4315.3429829999995</v>
      </c>
      <c r="K295" s="22">
        <v>2966.39</v>
      </c>
      <c r="L295" s="22">
        <v>9564.0349139999998</v>
      </c>
      <c r="M295" s="22">
        <v>8855.8017540000001</v>
      </c>
      <c r="N295" s="22">
        <v>2966.39</v>
      </c>
      <c r="O295" s="22">
        <v>2966.39</v>
      </c>
      <c r="P295" s="22">
        <v>264.13318900000002</v>
      </c>
      <c r="Q295" s="22">
        <v>2966.39</v>
      </c>
      <c r="R295" s="22">
        <v>2966.39</v>
      </c>
      <c r="S295" s="22">
        <v>2966.39</v>
      </c>
      <c r="T295" s="22">
        <v>2966.39</v>
      </c>
      <c r="U295" s="51" t="s">
        <v>216</v>
      </c>
      <c r="V295" s="55"/>
      <c r="W295" s="55">
        <v>23700</v>
      </c>
      <c r="X295" s="49">
        <v>32417</v>
      </c>
    </row>
    <row r="296" spans="1:24" ht="12" customHeight="1" x14ac:dyDescent="0.2">
      <c r="A296" s="49">
        <v>32448</v>
      </c>
      <c r="B296" s="523"/>
      <c r="C296" s="523"/>
      <c r="D296" s="50"/>
      <c r="E296" s="50"/>
      <c r="F296" s="50"/>
      <c r="G296" s="50"/>
      <c r="H296" s="50"/>
      <c r="I296" s="50"/>
      <c r="J296" s="22">
        <v>5544.352664</v>
      </c>
      <c r="K296" s="22">
        <v>3774.73</v>
      </c>
      <c r="L296" s="22">
        <v>12871.278187</v>
      </c>
      <c r="M296" s="22">
        <v>11298.231877</v>
      </c>
      <c r="N296" s="22">
        <v>3774.73</v>
      </c>
      <c r="O296" s="22">
        <v>3774.73</v>
      </c>
      <c r="P296" s="22">
        <v>336.10937000000001</v>
      </c>
      <c r="Q296" s="22">
        <v>3774.73</v>
      </c>
      <c r="R296" s="22">
        <v>3774.73</v>
      </c>
      <c r="S296" s="22">
        <v>3774.73</v>
      </c>
      <c r="T296" s="22">
        <v>3774.73</v>
      </c>
      <c r="U296" s="51" t="s">
        <v>216</v>
      </c>
      <c r="V296" s="55"/>
      <c r="W296" s="55">
        <v>30800</v>
      </c>
      <c r="X296" s="49">
        <v>32448</v>
      </c>
    </row>
    <row r="297" spans="1:24" ht="12" customHeight="1" x14ac:dyDescent="0.2">
      <c r="A297" s="49">
        <v>32478</v>
      </c>
      <c r="B297" s="523"/>
      <c r="C297" s="523"/>
      <c r="D297" s="50"/>
      <c r="E297" s="50"/>
      <c r="F297" s="50"/>
      <c r="G297" s="50"/>
      <c r="H297" s="50"/>
      <c r="I297" s="50"/>
      <c r="J297" s="22">
        <v>6973.132345</v>
      </c>
      <c r="K297" s="22">
        <v>4790.8900000000003</v>
      </c>
      <c r="L297" s="22">
        <v>16825.334846000002</v>
      </c>
      <c r="M297" s="22">
        <v>14458.347331999999</v>
      </c>
      <c r="N297" s="22">
        <v>4790.8900000000003</v>
      </c>
      <c r="O297" s="22">
        <v>4790.8900000000003</v>
      </c>
      <c r="P297" s="22">
        <v>426.59025100000002</v>
      </c>
      <c r="Q297" s="22">
        <v>4790.8900000000003</v>
      </c>
      <c r="R297" s="22">
        <v>4790.8900000000003</v>
      </c>
      <c r="S297" s="22">
        <v>4790.8900000000003</v>
      </c>
      <c r="T297" s="22">
        <v>4790.8900000000003</v>
      </c>
      <c r="U297" s="51" t="s">
        <v>216</v>
      </c>
      <c r="V297" s="55"/>
      <c r="W297" s="55">
        <v>40425</v>
      </c>
      <c r="X297" s="49">
        <v>32478</v>
      </c>
    </row>
    <row r="298" spans="1:24" ht="12" customHeight="1" x14ac:dyDescent="0.2">
      <c r="A298" s="49">
        <v>32509</v>
      </c>
      <c r="B298" s="415"/>
      <c r="C298" s="415"/>
      <c r="D298" s="52"/>
      <c r="E298" s="52"/>
      <c r="F298" s="52"/>
      <c r="G298" s="52"/>
      <c r="H298" s="52"/>
      <c r="I298" s="52"/>
      <c r="J298" s="545">
        <v>8.9179389560000004</v>
      </c>
      <c r="K298" s="545">
        <v>6.17</v>
      </c>
      <c r="L298" s="546">
        <v>21.489317664999998</v>
      </c>
      <c r="M298" s="546">
        <v>18.635363876</v>
      </c>
      <c r="N298" s="545">
        <v>6.17</v>
      </c>
      <c r="O298" s="546">
        <v>6.17</v>
      </c>
      <c r="P298" s="546">
        <v>0.54938900000000002</v>
      </c>
      <c r="Q298" s="545">
        <v>6.17</v>
      </c>
      <c r="R298" s="546">
        <v>6.17</v>
      </c>
      <c r="S298" s="545">
        <v>6.17</v>
      </c>
      <c r="T298" s="545">
        <v>6.17</v>
      </c>
      <c r="U298" s="51" t="s">
        <v>217</v>
      </c>
      <c r="V298" s="53">
        <v>6.17</v>
      </c>
      <c r="W298" s="53">
        <v>54374</v>
      </c>
      <c r="X298" s="49">
        <v>32509</v>
      </c>
    </row>
    <row r="299" spans="1:24" ht="12" customHeight="1" x14ac:dyDescent="0.2">
      <c r="A299" s="49">
        <v>32540</v>
      </c>
      <c r="B299" s="415"/>
      <c r="C299" s="415"/>
      <c r="D299" s="52"/>
      <c r="E299" s="52"/>
      <c r="F299" s="52"/>
      <c r="G299" s="52"/>
      <c r="H299" s="52"/>
      <c r="I299" s="52"/>
      <c r="J299" s="547">
        <v>11.692309</v>
      </c>
      <c r="K299" s="547">
        <v>8.8058239999999994</v>
      </c>
      <c r="L299" s="22">
        <v>28.36375</v>
      </c>
      <c r="M299" s="22">
        <v>25.448452</v>
      </c>
      <c r="N299" s="547">
        <v>8.8058239999999994</v>
      </c>
      <c r="O299" s="22">
        <v>8.8058239999999994</v>
      </c>
      <c r="P299" s="22">
        <v>0.78408800000000001</v>
      </c>
      <c r="Q299" s="547">
        <v>8.8058239999999994</v>
      </c>
      <c r="R299" s="22">
        <v>8.8058239999999994</v>
      </c>
      <c r="S299" s="547">
        <v>8.8058239999999994</v>
      </c>
      <c r="T299" s="547">
        <v>8.8058239999999994</v>
      </c>
      <c r="U299" s="51" t="s">
        <v>217</v>
      </c>
      <c r="V299" s="54">
        <v>10.5</v>
      </c>
      <c r="W299" s="54">
        <v>63.9</v>
      </c>
      <c r="X299" s="49">
        <v>32540</v>
      </c>
    </row>
    <row r="300" spans="1:24" ht="12" customHeight="1" x14ac:dyDescent="0.2">
      <c r="A300" s="49">
        <v>32568</v>
      </c>
      <c r="B300" s="415"/>
      <c r="C300" s="415"/>
      <c r="D300" s="52"/>
      <c r="E300" s="52"/>
      <c r="F300" s="52"/>
      <c r="G300" s="52"/>
      <c r="H300" s="52"/>
      <c r="I300" s="52"/>
      <c r="J300" s="22">
        <v>13.330401</v>
      </c>
      <c r="K300" s="22">
        <v>9.698734</v>
      </c>
      <c r="L300" s="22">
        <v>32.311984000000002</v>
      </c>
      <c r="M300" s="22">
        <v>28.451369</v>
      </c>
      <c r="N300" s="22">
        <v>9.698734</v>
      </c>
      <c r="O300" s="22">
        <v>9.698734</v>
      </c>
      <c r="P300" s="22">
        <v>0.86359399999999997</v>
      </c>
      <c r="Q300" s="22">
        <v>9.698734</v>
      </c>
      <c r="R300" s="22">
        <v>9.698734</v>
      </c>
      <c r="S300" s="22">
        <v>9.698734</v>
      </c>
      <c r="T300" s="22">
        <v>9.698734</v>
      </c>
      <c r="U300" s="51" t="s">
        <v>217</v>
      </c>
      <c r="V300" s="55">
        <v>10.88</v>
      </c>
      <c r="W300" s="55">
        <v>63.9</v>
      </c>
      <c r="X300" s="49">
        <v>32568</v>
      </c>
    </row>
    <row r="301" spans="1:24" ht="12" customHeight="1" x14ac:dyDescent="0.2">
      <c r="A301" s="49">
        <v>32599</v>
      </c>
      <c r="B301" s="415"/>
      <c r="C301" s="415"/>
      <c r="D301" s="52"/>
      <c r="E301" s="52"/>
      <c r="F301" s="52"/>
      <c r="G301" s="52"/>
      <c r="H301" s="52"/>
      <c r="I301" s="52"/>
      <c r="J301" s="22">
        <v>14.191544</v>
      </c>
      <c r="K301" s="22">
        <v>10.289386</v>
      </c>
      <c r="L301" s="22">
        <v>34.092374</v>
      </c>
      <c r="M301" s="22">
        <v>29.654861</v>
      </c>
      <c r="N301" s="22">
        <v>10.289386</v>
      </c>
      <c r="O301" s="22">
        <v>10.289386</v>
      </c>
      <c r="P301" s="22">
        <v>0.91618699999999997</v>
      </c>
      <c r="Q301" s="22">
        <v>10.289386</v>
      </c>
      <c r="R301" s="22">
        <v>10.289386</v>
      </c>
      <c r="S301" s="22">
        <v>10.289386</v>
      </c>
      <c r="T301" s="22">
        <v>10.289386</v>
      </c>
      <c r="U301" s="51" t="s">
        <v>217</v>
      </c>
      <c r="V301" s="55">
        <v>11.54</v>
      </c>
      <c r="W301" s="55">
        <v>63.9</v>
      </c>
      <c r="X301" s="49">
        <v>32599</v>
      </c>
    </row>
    <row r="302" spans="1:24" ht="12" customHeight="1" x14ac:dyDescent="0.2">
      <c r="A302" s="49">
        <v>32629</v>
      </c>
      <c r="B302" s="523"/>
      <c r="C302" s="523"/>
      <c r="D302" s="50"/>
      <c r="E302" s="50"/>
      <c r="F302" s="50"/>
      <c r="G302" s="50"/>
      <c r="H302" s="50"/>
      <c r="I302" s="50"/>
      <c r="J302" s="22">
        <v>15.613536</v>
      </c>
      <c r="K302" s="22">
        <v>11.041539999999999</v>
      </c>
      <c r="L302" s="22">
        <v>36.178826999999998</v>
      </c>
      <c r="M302" s="22">
        <v>31.188016999999999</v>
      </c>
      <c r="N302" s="22">
        <v>11.041539999999999</v>
      </c>
      <c r="O302" s="22">
        <v>11.041539999999999</v>
      </c>
      <c r="P302" s="22">
        <v>0.98316000000000003</v>
      </c>
      <c r="Q302" s="22">
        <v>11.041539999999999</v>
      </c>
      <c r="R302" s="22">
        <v>11.041539999999999</v>
      </c>
      <c r="S302" s="22">
        <v>11.041539999999999</v>
      </c>
      <c r="T302" s="22">
        <v>11.041539999999999</v>
      </c>
      <c r="U302" s="51" t="s">
        <v>217</v>
      </c>
      <c r="V302" s="55">
        <v>12.38</v>
      </c>
      <c r="W302" s="55">
        <v>81.400000000000006</v>
      </c>
      <c r="X302" s="49">
        <v>32629</v>
      </c>
    </row>
    <row r="303" spans="1:24" ht="12" customHeight="1" x14ac:dyDescent="0.2">
      <c r="A303" s="49">
        <v>32660</v>
      </c>
      <c r="B303" s="523"/>
      <c r="C303" s="523"/>
      <c r="D303" s="50"/>
      <c r="E303" s="50"/>
      <c r="F303" s="50"/>
      <c r="G303" s="50"/>
      <c r="H303" s="50"/>
      <c r="I303" s="50"/>
      <c r="J303" s="22">
        <v>18.203821000000001</v>
      </c>
      <c r="K303" s="22">
        <v>12.139068999999999</v>
      </c>
      <c r="L303" s="22">
        <v>43.038331999999997</v>
      </c>
      <c r="M303" s="22">
        <v>35.167606999999997</v>
      </c>
      <c r="N303" s="22">
        <v>12.139068999999999</v>
      </c>
      <c r="O303" s="22">
        <v>12.139068999999999</v>
      </c>
      <c r="P303" s="22">
        <v>1.0808869999999999</v>
      </c>
      <c r="Q303" s="22">
        <v>12.139068999999999</v>
      </c>
      <c r="R303" s="22">
        <v>12.139068999999999</v>
      </c>
      <c r="S303" s="22">
        <v>12.139068999999999</v>
      </c>
      <c r="T303" s="22">
        <v>12.139068999999999</v>
      </c>
      <c r="U303" s="51" t="s">
        <v>217</v>
      </c>
      <c r="V303" s="55">
        <v>13.61</v>
      </c>
      <c r="W303" s="55">
        <v>120</v>
      </c>
      <c r="X303" s="49">
        <v>32660</v>
      </c>
    </row>
    <row r="304" spans="1:24" ht="12" customHeight="1" x14ac:dyDescent="0.2">
      <c r="A304" s="49">
        <v>32690</v>
      </c>
      <c r="B304" s="523"/>
      <c r="C304" s="523"/>
      <c r="D304" s="50"/>
      <c r="E304" s="50"/>
      <c r="F304" s="50"/>
      <c r="G304" s="50"/>
      <c r="H304" s="50"/>
      <c r="I304" s="50"/>
      <c r="J304" s="22">
        <v>22.807566999999999</v>
      </c>
      <c r="K304" s="22">
        <v>14.528036999999999</v>
      </c>
      <c r="L304" s="22">
        <v>55.889577000000003</v>
      </c>
      <c r="M304" s="22">
        <v>44.578457999999998</v>
      </c>
      <c r="N304" s="22">
        <v>15.153199000000001</v>
      </c>
      <c r="O304" s="22">
        <v>15.153199000000001</v>
      </c>
      <c r="P304" s="22">
        <v>1.3492710000000001</v>
      </c>
      <c r="Q304" s="22">
        <v>15.153199000000001</v>
      </c>
      <c r="R304" s="22">
        <v>15.153199000000001</v>
      </c>
      <c r="S304" s="22">
        <v>15.153199000000001</v>
      </c>
      <c r="T304" s="22">
        <v>15.153199000000001</v>
      </c>
      <c r="U304" s="51" t="s">
        <v>217</v>
      </c>
      <c r="V304" s="55">
        <v>16.98</v>
      </c>
      <c r="W304" s="55">
        <v>149.80000000000001</v>
      </c>
      <c r="X304" s="49">
        <v>32690</v>
      </c>
    </row>
    <row r="305" spans="1:24" ht="12" customHeight="1" x14ac:dyDescent="0.2">
      <c r="A305" s="49">
        <v>32721</v>
      </c>
      <c r="B305" s="523"/>
      <c r="C305" s="523"/>
      <c r="D305" s="50"/>
      <c r="E305" s="50"/>
      <c r="F305" s="50"/>
      <c r="G305" s="50"/>
      <c r="H305" s="50"/>
      <c r="I305" s="50"/>
      <c r="J305" s="22">
        <v>29.207370000000001</v>
      </c>
      <c r="K305" s="22">
        <v>19.743601999999999</v>
      </c>
      <c r="L305" s="22">
        <v>79.044628000000003</v>
      </c>
      <c r="M305" s="22">
        <v>61.464776999999998</v>
      </c>
      <c r="N305" s="22">
        <v>19.511258999999999</v>
      </c>
      <c r="O305" s="22">
        <v>19.511258999999999</v>
      </c>
      <c r="P305" s="22">
        <v>1.7373209999999999</v>
      </c>
      <c r="Q305" s="22">
        <v>19.511258999999999</v>
      </c>
      <c r="R305" s="22">
        <v>19.511258999999999</v>
      </c>
      <c r="S305" s="22">
        <v>19.511258999999999</v>
      </c>
      <c r="T305" s="22">
        <v>19.511258999999999</v>
      </c>
      <c r="U305" s="51" t="s">
        <v>217</v>
      </c>
      <c r="V305" s="55">
        <v>21.86</v>
      </c>
      <c r="W305" s="55">
        <v>192.88</v>
      </c>
      <c r="X305" s="49">
        <v>32721</v>
      </c>
    </row>
    <row r="306" spans="1:24" ht="12" customHeight="1" x14ac:dyDescent="0.2">
      <c r="A306" s="49">
        <v>32752</v>
      </c>
      <c r="B306" s="523"/>
      <c r="C306" s="523"/>
      <c r="D306" s="50"/>
      <c r="E306" s="50"/>
      <c r="F306" s="50"/>
      <c r="G306" s="50"/>
      <c r="H306" s="50"/>
      <c r="I306" s="50"/>
      <c r="J306" s="22">
        <v>38.247050999999999</v>
      </c>
      <c r="K306" s="22">
        <v>27.032938999999999</v>
      </c>
      <c r="L306" s="22">
        <v>113.07334</v>
      </c>
      <c r="M306" s="22">
        <v>83.887127000000007</v>
      </c>
      <c r="N306" s="22">
        <v>25.235862000000001</v>
      </c>
      <c r="O306" s="22">
        <v>25.235862000000001</v>
      </c>
      <c r="P306" s="22">
        <v>2.2470509999999999</v>
      </c>
      <c r="Q306" s="22">
        <v>25.235862000000001</v>
      </c>
      <c r="R306" s="22">
        <v>25.235862000000001</v>
      </c>
      <c r="S306" s="22">
        <v>25.235862000000001</v>
      </c>
      <c r="T306" s="22">
        <v>25.235862000000001</v>
      </c>
      <c r="U306" s="51" t="s">
        <v>217</v>
      </c>
      <c r="V306" s="55">
        <v>28.32</v>
      </c>
      <c r="W306" s="55">
        <v>249.48</v>
      </c>
      <c r="X306" s="49">
        <v>32752</v>
      </c>
    </row>
    <row r="307" spans="1:24" ht="12" customHeight="1" x14ac:dyDescent="0.2">
      <c r="A307" s="49">
        <v>32782</v>
      </c>
      <c r="B307" s="523"/>
      <c r="C307" s="523"/>
      <c r="D307" s="50"/>
      <c r="E307" s="50"/>
      <c r="F307" s="50"/>
      <c r="G307" s="50"/>
      <c r="H307" s="50"/>
      <c r="I307" s="50"/>
      <c r="J307" s="22">
        <v>51.950969000000001</v>
      </c>
      <c r="K307" s="22">
        <v>37.824488000000002</v>
      </c>
      <c r="L307" s="22">
        <v>157.80515299999999</v>
      </c>
      <c r="M307" s="22">
        <v>116.535996</v>
      </c>
      <c r="N307" s="22">
        <v>34.308154000000002</v>
      </c>
      <c r="O307" s="22">
        <v>34.308154000000002</v>
      </c>
      <c r="P307" s="22">
        <v>3.0548649999999999</v>
      </c>
      <c r="Q307" s="22">
        <v>34.308154000000002</v>
      </c>
      <c r="R307" s="22">
        <v>34.308154000000002</v>
      </c>
      <c r="S307" s="22">
        <v>34.308154000000002</v>
      </c>
      <c r="T307" s="22">
        <v>34.308154000000002</v>
      </c>
      <c r="U307" s="51" t="s">
        <v>217</v>
      </c>
      <c r="V307" s="55">
        <v>38.5</v>
      </c>
      <c r="W307" s="55">
        <v>381.73</v>
      </c>
      <c r="X307" s="49">
        <v>32782</v>
      </c>
    </row>
    <row r="308" spans="1:24" ht="12" customHeight="1" x14ac:dyDescent="0.2">
      <c r="A308" s="49">
        <v>32813</v>
      </c>
      <c r="B308" s="523"/>
      <c r="C308" s="523"/>
      <c r="D308" s="50"/>
      <c r="E308" s="50"/>
      <c r="F308" s="50"/>
      <c r="G308" s="50"/>
      <c r="H308" s="50"/>
      <c r="I308" s="50"/>
      <c r="J308" s="22">
        <v>71.323485000000005</v>
      </c>
      <c r="K308" s="22">
        <v>53.196359000000001</v>
      </c>
      <c r="L308" s="22">
        <v>219.69633400000001</v>
      </c>
      <c r="M308" s="22">
        <v>162.80078599999999</v>
      </c>
      <c r="N308" s="22">
        <v>47.214880999999998</v>
      </c>
      <c r="O308" s="22">
        <v>47.214880999999998</v>
      </c>
      <c r="P308" s="22">
        <v>4.2041060000000003</v>
      </c>
      <c r="Q308" s="22">
        <v>47.214880999999998</v>
      </c>
      <c r="R308" s="22">
        <v>47.214880999999998</v>
      </c>
      <c r="S308" s="22">
        <v>47.214880999999998</v>
      </c>
      <c r="T308" s="22">
        <v>47.214880999999998</v>
      </c>
      <c r="U308" s="51" t="s">
        <v>217</v>
      </c>
      <c r="V308" s="55">
        <v>52.98</v>
      </c>
      <c r="W308" s="55">
        <v>557.33000000000004</v>
      </c>
      <c r="X308" s="49">
        <v>32813</v>
      </c>
    </row>
    <row r="309" spans="1:24" ht="12" customHeight="1" x14ac:dyDescent="0.2">
      <c r="A309" s="49">
        <v>32843</v>
      </c>
      <c r="B309" s="523"/>
      <c r="C309" s="523"/>
      <c r="D309" s="50"/>
      <c r="E309" s="50"/>
      <c r="F309" s="50"/>
      <c r="G309" s="50"/>
      <c r="H309" s="50"/>
      <c r="I309" s="50"/>
      <c r="J309" s="22">
        <v>101.964054</v>
      </c>
      <c r="K309" s="22">
        <v>74.730244999999996</v>
      </c>
      <c r="L309" s="22">
        <v>310.628646</v>
      </c>
      <c r="M309" s="22">
        <v>234.872693</v>
      </c>
      <c r="N309" s="22">
        <v>66.771283999999994</v>
      </c>
      <c r="O309" s="22">
        <v>66.771283999999994</v>
      </c>
      <c r="P309" s="22">
        <v>5.9454459999999996</v>
      </c>
      <c r="Q309" s="22">
        <v>66.771283999999994</v>
      </c>
      <c r="R309" s="22">
        <v>66.771283999999994</v>
      </c>
      <c r="S309" s="22">
        <v>66.771283999999994</v>
      </c>
      <c r="T309" s="22">
        <v>66.771283999999994</v>
      </c>
      <c r="U309" s="51" t="s">
        <v>217</v>
      </c>
      <c r="V309" s="55">
        <v>74.930000000000007</v>
      </c>
      <c r="W309" s="55">
        <v>788.18</v>
      </c>
      <c r="X309" s="49">
        <v>32843</v>
      </c>
    </row>
    <row r="310" spans="1:24" ht="12" customHeight="1" x14ac:dyDescent="0.2">
      <c r="A310" s="49">
        <v>32874</v>
      </c>
      <c r="B310" s="523"/>
      <c r="C310" s="523"/>
      <c r="D310" s="50"/>
      <c r="E310" s="50"/>
      <c r="F310" s="50"/>
      <c r="G310" s="50"/>
      <c r="H310" s="50"/>
      <c r="I310" s="50"/>
      <c r="J310" s="22">
        <v>154.80182600000001</v>
      </c>
      <c r="K310" s="22">
        <v>109.950609</v>
      </c>
      <c r="L310" s="22">
        <v>456.12710299999998</v>
      </c>
      <c r="M310" s="22">
        <v>350.87631599999997</v>
      </c>
      <c r="N310" s="22">
        <v>102.527306</v>
      </c>
      <c r="O310" s="22">
        <v>102.527306</v>
      </c>
      <c r="P310" s="22">
        <v>9.1292329999999993</v>
      </c>
      <c r="Q310" s="22">
        <v>102.527306</v>
      </c>
      <c r="R310" s="22">
        <v>102.527306</v>
      </c>
      <c r="S310" s="22">
        <v>102.527306</v>
      </c>
      <c r="T310" s="22">
        <v>102.527306</v>
      </c>
      <c r="U310" s="51" t="s">
        <v>217</v>
      </c>
      <c r="V310" s="55">
        <v>115.06</v>
      </c>
      <c r="W310" s="55">
        <v>1283.95</v>
      </c>
      <c r="X310" s="49">
        <v>32874</v>
      </c>
    </row>
    <row r="311" spans="1:24" ht="12" customHeight="1" x14ac:dyDescent="0.2">
      <c r="A311" s="49">
        <v>32905</v>
      </c>
      <c r="B311" s="523"/>
      <c r="C311" s="523"/>
      <c r="D311" s="50"/>
      <c r="E311" s="50"/>
      <c r="F311" s="50"/>
      <c r="G311" s="50"/>
      <c r="H311" s="50"/>
      <c r="I311" s="50"/>
      <c r="J311" s="22">
        <v>270.17562600000002</v>
      </c>
      <c r="K311" s="22">
        <v>177.526253</v>
      </c>
      <c r="L311" s="22">
        <v>751.15011300000003</v>
      </c>
      <c r="M311" s="22">
        <v>603.156387</v>
      </c>
      <c r="N311" s="22">
        <v>160.05537699999999</v>
      </c>
      <c r="O311" s="22">
        <v>160.05537699999999</v>
      </c>
      <c r="P311" s="22">
        <v>14.251645</v>
      </c>
      <c r="Q311" s="22">
        <v>160.05537699999999</v>
      </c>
      <c r="R311" s="22">
        <v>160.05537699999999</v>
      </c>
      <c r="S311" s="22">
        <v>160.05537699999999</v>
      </c>
      <c r="T311" s="22">
        <v>160.05537699999999</v>
      </c>
      <c r="U311" s="51" t="s">
        <v>217</v>
      </c>
      <c r="V311" s="55">
        <v>179.62</v>
      </c>
      <c r="W311" s="55">
        <v>2004.37</v>
      </c>
      <c r="X311" s="49">
        <v>32905</v>
      </c>
    </row>
    <row r="312" spans="1:24" ht="12" customHeight="1" x14ac:dyDescent="0.2">
      <c r="A312" s="49">
        <v>32933</v>
      </c>
      <c r="B312" s="523"/>
      <c r="C312" s="523"/>
      <c r="D312" s="50"/>
      <c r="E312" s="50"/>
      <c r="F312" s="50"/>
      <c r="G312" s="50"/>
      <c r="H312" s="50"/>
      <c r="I312" s="50"/>
      <c r="J312" s="22">
        <v>459.73084499999999</v>
      </c>
      <c r="K312" s="22">
        <v>321.83734399999997</v>
      </c>
      <c r="L312" s="22">
        <v>1278.833067</v>
      </c>
      <c r="M312" s="22">
        <v>1035.498885</v>
      </c>
      <c r="N312" s="22">
        <v>276.54367999999999</v>
      </c>
      <c r="O312" s="22">
        <v>276.54367999999999</v>
      </c>
      <c r="P312" s="22">
        <v>24.623992000000001</v>
      </c>
      <c r="Q312" s="22">
        <v>276.54367999999999</v>
      </c>
      <c r="R312" s="22">
        <v>276.54367999999999</v>
      </c>
      <c r="S312" s="22">
        <v>276.54367999999999</v>
      </c>
      <c r="T312" s="22">
        <v>276.54367999999999</v>
      </c>
      <c r="U312" s="51" t="s">
        <v>214</v>
      </c>
      <c r="V312" s="55">
        <v>310.35000000000002</v>
      </c>
      <c r="W312" s="55">
        <v>3674.06</v>
      </c>
      <c r="X312" s="49">
        <v>32933</v>
      </c>
    </row>
    <row r="313" spans="1:24" ht="12" customHeight="1" x14ac:dyDescent="0.2">
      <c r="A313" s="49">
        <v>32964</v>
      </c>
      <c r="B313" s="523"/>
      <c r="C313" s="523"/>
      <c r="D313" s="50"/>
      <c r="E313" s="50"/>
      <c r="F313" s="50"/>
      <c r="G313" s="50"/>
      <c r="H313" s="50"/>
      <c r="I313" s="50"/>
      <c r="J313" s="22">
        <v>823.42391599999996</v>
      </c>
      <c r="K313" s="22">
        <v>592.01979400000005</v>
      </c>
      <c r="L313" s="22">
        <v>2281.5660739999998</v>
      </c>
      <c r="M313" s="22">
        <v>1877.5665779999999</v>
      </c>
      <c r="N313" s="22">
        <v>509.72530999999998</v>
      </c>
      <c r="O313" s="22">
        <v>509.72530999999998</v>
      </c>
      <c r="P313" s="22">
        <v>45.386941999999998</v>
      </c>
      <c r="Q313" s="22">
        <v>509.72530999999998</v>
      </c>
      <c r="R313" s="22">
        <v>509.72530999999998</v>
      </c>
      <c r="S313" s="22">
        <v>509.72530999999998</v>
      </c>
      <c r="T313" s="22">
        <v>509.72530999999998</v>
      </c>
      <c r="U313" s="51" t="s">
        <v>214</v>
      </c>
      <c r="V313" s="55">
        <v>438.46</v>
      </c>
      <c r="W313" s="55">
        <v>3674.06</v>
      </c>
      <c r="X313" s="49">
        <v>32964</v>
      </c>
    </row>
    <row r="314" spans="1:24" ht="12" customHeight="1" x14ac:dyDescent="0.2">
      <c r="A314" s="49">
        <v>32994</v>
      </c>
      <c r="B314" s="523"/>
      <c r="C314" s="523"/>
      <c r="D314" s="50"/>
      <c r="E314" s="50"/>
      <c r="F314" s="50"/>
      <c r="G314" s="50"/>
      <c r="H314" s="50"/>
      <c r="I314" s="50"/>
      <c r="J314" s="22">
        <v>989.67320400000006</v>
      </c>
      <c r="K314" s="22">
        <v>759.85740499999997</v>
      </c>
      <c r="L314" s="22">
        <v>2319.6682270000001</v>
      </c>
      <c r="M314" s="22">
        <v>2090.2948710000001</v>
      </c>
      <c r="N314" s="22">
        <v>738.08224800000005</v>
      </c>
      <c r="O314" s="22">
        <v>738.08224800000005</v>
      </c>
      <c r="P314" s="22">
        <v>65.720292000000001</v>
      </c>
      <c r="Q314" s="22">
        <v>738.08224800000005</v>
      </c>
      <c r="R314" s="22">
        <v>738.08224800000005</v>
      </c>
      <c r="S314" s="22">
        <v>738.08224800000005</v>
      </c>
      <c r="T314" s="22">
        <v>738.08224800000005</v>
      </c>
      <c r="U314" s="51" t="s">
        <v>214</v>
      </c>
      <c r="V314" s="55">
        <v>438.46</v>
      </c>
      <c r="W314" s="55">
        <v>3674.06</v>
      </c>
      <c r="X314" s="49">
        <v>32994</v>
      </c>
    </row>
    <row r="315" spans="1:24" ht="12" customHeight="1" x14ac:dyDescent="0.2">
      <c r="A315" s="49">
        <v>33025</v>
      </c>
      <c r="B315" s="523"/>
      <c r="C315" s="523"/>
      <c r="D315" s="50"/>
      <c r="E315" s="50"/>
      <c r="F315" s="50"/>
      <c r="G315" s="50"/>
      <c r="H315" s="50"/>
      <c r="I315" s="50"/>
      <c r="J315" s="22">
        <v>1074.092328</v>
      </c>
      <c r="K315" s="22">
        <v>804.91694900000005</v>
      </c>
      <c r="L315" s="22">
        <v>2342.6329420000002</v>
      </c>
      <c r="M315" s="22">
        <v>2280.0936449999999</v>
      </c>
      <c r="N315" s="22">
        <v>796.16931999999997</v>
      </c>
      <c r="O315" s="22">
        <v>796.16931999999997</v>
      </c>
      <c r="P315" s="22">
        <v>70.892478999999994</v>
      </c>
      <c r="Q315" s="22">
        <v>796.16931999999997</v>
      </c>
      <c r="R315" s="22">
        <v>796.16931999999997</v>
      </c>
      <c r="S315" s="22">
        <v>796.16931999999997</v>
      </c>
      <c r="T315" s="22">
        <v>796.16931999999997</v>
      </c>
      <c r="U315" s="51" t="s">
        <v>214</v>
      </c>
      <c r="V315" s="55">
        <v>462.05</v>
      </c>
      <c r="W315" s="55">
        <v>3857.76</v>
      </c>
      <c r="X315" s="49">
        <v>33025</v>
      </c>
    </row>
    <row r="316" spans="1:24" ht="12" customHeight="1" x14ac:dyDescent="0.2">
      <c r="A316" s="49">
        <v>33055</v>
      </c>
      <c r="B316" s="523"/>
      <c r="C316" s="523"/>
      <c r="D316" s="50"/>
      <c r="E316" s="50"/>
      <c r="F316" s="50"/>
      <c r="G316" s="50"/>
      <c r="H316" s="50"/>
      <c r="I316" s="50"/>
      <c r="J316" s="22">
        <v>1199.7611300000001</v>
      </c>
      <c r="K316" s="22">
        <v>884.92569300000002</v>
      </c>
      <c r="L316" s="22">
        <v>2516.456306</v>
      </c>
      <c r="M316" s="22">
        <v>2485.7580910000001</v>
      </c>
      <c r="N316" s="22">
        <v>872.20348999999999</v>
      </c>
      <c r="O316" s="22">
        <v>872.20348999999999</v>
      </c>
      <c r="P316" s="22">
        <v>77.662711000000002</v>
      </c>
      <c r="Q316" s="22">
        <v>872.20348999999999</v>
      </c>
      <c r="R316" s="22">
        <v>872.20348999999999</v>
      </c>
      <c r="S316" s="22">
        <v>872.20348999999999</v>
      </c>
      <c r="T316" s="22">
        <v>872.20348999999999</v>
      </c>
      <c r="U316" s="51" t="s">
        <v>214</v>
      </c>
      <c r="V316" s="55">
        <v>506.46</v>
      </c>
      <c r="W316" s="55">
        <v>4904.76</v>
      </c>
      <c r="X316" s="49">
        <v>33055</v>
      </c>
    </row>
    <row r="317" spans="1:24" ht="12" customHeight="1" x14ac:dyDescent="0.2">
      <c r="A317" s="49">
        <v>33086</v>
      </c>
      <c r="B317" s="523"/>
      <c r="C317" s="523"/>
      <c r="D317" s="50"/>
      <c r="E317" s="50"/>
      <c r="F317" s="50"/>
      <c r="G317" s="50"/>
      <c r="H317" s="50"/>
      <c r="I317" s="50"/>
      <c r="J317" s="22">
        <v>1335.454113</v>
      </c>
      <c r="K317" s="22">
        <v>991.20526800000005</v>
      </c>
      <c r="L317" s="22">
        <v>2935.949572</v>
      </c>
      <c r="M317" s="22">
        <v>2808.4094909999999</v>
      </c>
      <c r="N317" s="22">
        <v>984.89218000000005</v>
      </c>
      <c r="O317" s="22">
        <v>984.89218000000005</v>
      </c>
      <c r="P317" s="22">
        <v>87.696732999999995</v>
      </c>
      <c r="Q317" s="22">
        <v>984.89218000000005</v>
      </c>
      <c r="R317" s="22">
        <v>984.89218000000005</v>
      </c>
      <c r="S317" s="22">
        <v>984.89218000000005</v>
      </c>
      <c r="T317" s="22">
        <v>984.89218000000005</v>
      </c>
      <c r="U317" s="51" t="s">
        <v>214</v>
      </c>
      <c r="V317" s="55">
        <v>561.1</v>
      </c>
      <c r="W317" s="55">
        <v>5203.46</v>
      </c>
      <c r="X317" s="49">
        <v>33086</v>
      </c>
    </row>
    <row r="318" spans="1:24" ht="12" customHeight="1" x14ac:dyDescent="0.2">
      <c r="A318" s="49">
        <v>33117</v>
      </c>
      <c r="B318" s="523"/>
      <c r="C318" s="523"/>
      <c r="D318" s="50"/>
      <c r="E318" s="50"/>
      <c r="F318" s="50"/>
      <c r="G318" s="50"/>
      <c r="H318" s="50"/>
      <c r="I318" s="50"/>
      <c r="J318" s="22">
        <v>1493.4383339999999</v>
      </c>
      <c r="K318" s="22">
        <v>1126.2074250000001</v>
      </c>
      <c r="L318" s="22">
        <v>3320.8525599999998</v>
      </c>
      <c r="M318" s="22">
        <v>3171.536838</v>
      </c>
      <c r="N318" s="22">
        <v>1103.3747089999999</v>
      </c>
      <c r="O318" s="22">
        <v>1103.3747089999999</v>
      </c>
      <c r="P318" s="22">
        <v>98.246650000000002</v>
      </c>
      <c r="Q318" s="22">
        <v>1103.3747089999999</v>
      </c>
      <c r="R318" s="22">
        <v>1103.3747089999999</v>
      </c>
      <c r="S318" s="22">
        <v>1103.3747089999999</v>
      </c>
      <c r="T318" s="22">
        <v>1103.3747089999999</v>
      </c>
      <c r="U318" s="51" t="s">
        <v>214</v>
      </c>
      <c r="V318" s="55">
        <v>620.47</v>
      </c>
      <c r="W318" s="55">
        <v>6056.31</v>
      </c>
      <c r="X318" s="49">
        <v>33117</v>
      </c>
    </row>
    <row r="319" spans="1:24" ht="12" customHeight="1" x14ac:dyDescent="0.2">
      <c r="A319" s="49">
        <v>33147</v>
      </c>
      <c r="B319" s="523"/>
      <c r="C319" s="523"/>
      <c r="D319" s="50"/>
      <c r="E319" s="50"/>
      <c r="F319" s="50"/>
      <c r="G319" s="50"/>
      <c r="H319" s="50"/>
      <c r="I319" s="50"/>
      <c r="J319" s="22">
        <v>1689.526787</v>
      </c>
      <c r="K319" s="22">
        <v>1270.361975</v>
      </c>
      <c r="L319" s="22">
        <v>3681.8292329999999</v>
      </c>
      <c r="M319" s="22">
        <v>3542.9238009999999</v>
      </c>
      <c r="N319" s="22">
        <v>1244.1653209999999</v>
      </c>
      <c r="O319" s="22">
        <v>1244.1653209999999</v>
      </c>
      <c r="P319" s="22">
        <v>110.782923</v>
      </c>
      <c r="Q319" s="22">
        <v>1244.1653209999999</v>
      </c>
      <c r="R319" s="22">
        <v>1244.1653209999999</v>
      </c>
      <c r="S319" s="22">
        <v>1244.1653209999999</v>
      </c>
      <c r="T319" s="22">
        <v>1244.1653209999999</v>
      </c>
      <c r="U319" s="51" t="s">
        <v>214</v>
      </c>
      <c r="V319" s="55">
        <v>700.2</v>
      </c>
      <c r="W319" s="55">
        <v>6425.14</v>
      </c>
      <c r="X319" s="49">
        <v>33147</v>
      </c>
    </row>
    <row r="320" spans="1:24" ht="12" customHeight="1" x14ac:dyDescent="0.2">
      <c r="A320" s="49">
        <v>33178</v>
      </c>
      <c r="B320" s="523"/>
      <c r="C320" s="523"/>
      <c r="D320" s="50"/>
      <c r="E320" s="50"/>
      <c r="F320" s="50"/>
      <c r="G320" s="50"/>
      <c r="H320" s="50"/>
      <c r="I320" s="50"/>
      <c r="J320" s="22">
        <v>1956.978877</v>
      </c>
      <c r="K320" s="22">
        <v>1435.127923</v>
      </c>
      <c r="L320" s="22">
        <v>4104.5032279999996</v>
      </c>
      <c r="M320" s="22">
        <v>4044.601811</v>
      </c>
      <c r="N320" s="22">
        <v>1420.836796</v>
      </c>
      <c r="O320" s="22">
        <v>1420.836796</v>
      </c>
      <c r="P320" s="22">
        <v>126.514098</v>
      </c>
      <c r="Q320" s="22">
        <v>1420.836796</v>
      </c>
      <c r="R320" s="22">
        <v>1420.836796</v>
      </c>
      <c r="S320" s="22">
        <v>1420.836796</v>
      </c>
      <c r="T320" s="22">
        <v>1420.836796</v>
      </c>
      <c r="U320" s="51" t="s">
        <v>214</v>
      </c>
      <c r="V320" s="55">
        <v>796.2</v>
      </c>
      <c r="W320" s="55">
        <v>8329.5499999999993</v>
      </c>
      <c r="X320" s="49">
        <v>33178</v>
      </c>
    </row>
    <row r="321" spans="1:24" ht="12" customHeight="1" x14ac:dyDescent="0.2">
      <c r="A321" s="49">
        <v>33208</v>
      </c>
      <c r="B321" s="523"/>
      <c r="C321" s="523"/>
      <c r="D321" s="50"/>
      <c r="E321" s="50"/>
      <c r="F321" s="50"/>
      <c r="G321" s="50"/>
      <c r="H321" s="50"/>
      <c r="I321" s="50"/>
      <c r="J321" s="22">
        <v>2320.194156</v>
      </c>
      <c r="K321" s="22">
        <v>1677.09049</v>
      </c>
      <c r="L321" s="22">
        <v>4640.140899</v>
      </c>
      <c r="M321" s="22">
        <v>4750.3848269999999</v>
      </c>
      <c r="N321" s="22">
        <v>1642.203168</v>
      </c>
      <c r="O321" s="22">
        <v>1642.203168</v>
      </c>
      <c r="P321" s="22">
        <v>146.22499400000001</v>
      </c>
      <c r="Q321" s="22">
        <v>1642.203168</v>
      </c>
      <c r="R321" s="22">
        <v>1642.203168</v>
      </c>
      <c r="S321" s="22">
        <v>1642.203168</v>
      </c>
      <c r="T321" s="22">
        <v>1642.203168</v>
      </c>
      <c r="U321" s="51" t="s">
        <v>214</v>
      </c>
      <c r="V321" s="55">
        <v>928.69</v>
      </c>
      <c r="W321" s="55">
        <v>8836.82</v>
      </c>
      <c r="X321" s="49">
        <v>33208</v>
      </c>
    </row>
    <row r="322" spans="1:24" ht="12" customHeight="1" x14ac:dyDescent="0.2">
      <c r="A322" s="49">
        <v>33239</v>
      </c>
      <c r="B322" s="523"/>
      <c r="C322" s="523"/>
      <c r="D322" s="50"/>
      <c r="E322" s="50"/>
      <c r="F322" s="50"/>
      <c r="G322" s="50"/>
      <c r="H322" s="50"/>
      <c r="I322" s="50"/>
      <c r="J322" s="22">
        <v>2692.121279</v>
      </c>
      <c r="K322" s="22">
        <v>1978.966778</v>
      </c>
      <c r="L322" s="22">
        <v>5452.6295700000001</v>
      </c>
      <c r="M322" s="22">
        <v>5532.2981689999997</v>
      </c>
      <c r="N322" s="22">
        <v>1942.726347</v>
      </c>
      <c r="O322" s="22">
        <v>1942.726347</v>
      </c>
      <c r="P322" s="22">
        <v>172.98416800000001</v>
      </c>
      <c r="Q322" s="22">
        <v>1942.726347</v>
      </c>
      <c r="R322" s="22">
        <v>1942.726347</v>
      </c>
      <c r="S322" s="22">
        <v>1942.726347</v>
      </c>
      <c r="T322" s="22">
        <v>1942.726347</v>
      </c>
      <c r="U322" s="51" t="s">
        <v>214</v>
      </c>
      <c r="V322" s="55">
        <v>1108.76</v>
      </c>
      <c r="W322" s="55">
        <v>12325.6</v>
      </c>
      <c r="X322" s="49">
        <v>33239</v>
      </c>
    </row>
    <row r="323" spans="1:24" ht="12" customHeight="1" x14ac:dyDescent="0.2">
      <c r="A323" s="49">
        <v>33270</v>
      </c>
      <c r="B323" s="523"/>
      <c r="C323" s="523"/>
      <c r="D323" s="50"/>
      <c r="E323" s="50"/>
      <c r="F323" s="50"/>
      <c r="G323" s="50"/>
      <c r="H323" s="50"/>
      <c r="I323" s="50"/>
      <c r="J323" s="22">
        <v>3258.0051709999998</v>
      </c>
      <c r="K323" s="22">
        <v>2329.2438969999998</v>
      </c>
      <c r="L323" s="22">
        <v>6381.2123849999998</v>
      </c>
      <c r="M323" s="22">
        <v>6634.8851940000004</v>
      </c>
      <c r="N323" s="22">
        <v>2329.523162</v>
      </c>
      <c r="O323" s="22">
        <v>2329.523162</v>
      </c>
      <c r="P323" s="22">
        <v>207.42531600000001</v>
      </c>
      <c r="Q323" s="22">
        <v>2329.523162</v>
      </c>
      <c r="R323" s="22">
        <v>2329.523162</v>
      </c>
      <c r="S323" s="22">
        <v>2329.523162</v>
      </c>
      <c r="T323" s="22">
        <v>2329.523162</v>
      </c>
      <c r="U323" s="51" t="s">
        <v>214</v>
      </c>
      <c r="V323" s="55">
        <v>1332.84</v>
      </c>
      <c r="W323" s="55">
        <v>15895.46</v>
      </c>
      <c r="X323" s="49">
        <v>33270</v>
      </c>
    </row>
    <row r="324" spans="1:24" ht="12" customHeight="1" x14ac:dyDescent="0.2">
      <c r="A324" s="49">
        <v>33298</v>
      </c>
      <c r="B324" s="523"/>
      <c r="C324" s="523"/>
      <c r="D324" s="50"/>
      <c r="E324" s="50"/>
      <c r="F324" s="50"/>
      <c r="G324" s="50"/>
      <c r="H324" s="50"/>
      <c r="I324" s="50"/>
      <c r="J324" s="22">
        <v>3927.1994330000002</v>
      </c>
      <c r="K324" s="22">
        <v>2818.8509640000002</v>
      </c>
      <c r="L324" s="22">
        <v>7370.3003040000003</v>
      </c>
      <c r="M324" s="22">
        <v>8035.5094580000004</v>
      </c>
      <c r="N324" s="22">
        <v>2838.989877</v>
      </c>
      <c r="O324" s="22">
        <v>2838.989877</v>
      </c>
      <c r="P324" s="22">
        <v>252.789232</v>
      </c>
      <c r="Q324" s="22">
        <v>2838.989877</v>
      </c>
      <c r="R324" s="22">
        <v>2838.989877</v>
      </c>
      <c r="S324" s="22">
        <v>2838.989877</v>
      </c>
      <c r="T324" s="22">
        <v>2838.989877</v>
      </c>
      <c r="U324" s="51" t="s">
        <v>214</v>
      </c>
      <c r="V324" s="55">
        <v>1627.76</v>
      </c>
      <c r="W324" s="55">
        <v>17000</v>
      </c>
      <c r="X324" s="49">
        <v>33298</v>
      </c>
    </row>
    <row r="325" spans="1:24" ht="12" customHeight="1" x14ac:dyDescent="0.2">
      <c r="A325" s="49">
        <v>33329</v>
      </c>
      <c r="B325" s="523"/>
      <c r="C325" s="523"/>
      <c r="D325" s="50"/>
      <c r="E325" s="50"/>
      <c r="F325" s="50"/>
      <c r="G325" s="50"/>
      <c r="H325" s="50"/>
      <c r="I325" s="50"/>
      <c r="J325" s="547">
        <v>4220.9539500000001</v>
      </c>
      <c r="K325" s="547">
        <v>3077.9033669999999</v>
      </c>
      <c r="L325" s="22">
        <v>7984.2463189999999</v>
      </c>
      <c r="M325" s="22">
        <v>8618.0838930000009</v>
      </c>
      <c r="N325" s="547">
        <v>3173.7067830000001</v>
      </c>
      <c r="O325" s="22">
        <v>3173.7067830000001</v>
      </c>
      <c r="P325" s="22">
        <v>282.59308299999998</v>
      </c>
      <c r="Q325" s="547">
        <v>3173.7067830000001</v>
      </c>
      <c r="R325" s="22">
        <v>3173.7067830000001</v>
      </c>
      <c r="S325" s="547">
        <v>3173.7067830000001</v>
      </c>
      <c r="T325" s="547">
        <v>3173.7067830000001</v>
      </c>
      <c r="U325" s="51" t="s">
        <v>214</v>
      </c>
      <c r="V325" s="54">
        <v>1811.88</v>
      </c>
      <c r="W325" s="54">
        <v>20000</v>
      </c>
      <c r="X325" s="49">
        <v>33329</v>
      </c>
    </row>
    <row r="326" spans="1:24" ht="12" customHeight="1" x14ac:dyDescent="0.2">
      <c r="A326" s="49">
        <v>33359</v>
      </c>
      <c r="B326" s="523"/>
      <c r="C326" s="523"/>
      <c r="D326" s="50"/>
      <c r="E326" s="50"/>
      <c r="F326" s="50"/>
      <c r="G326" s="50"/>
      <c r="H326" s="50"/>
      <c r="I326" s="50"/>
      <c r="J326" s="22">
        <v>4524.4405390000002</v>
      </c>
      <c r="K326" s="22">
        <v>3318.2876190000002</v>
      </c>
      <c r="L326" s="22">
        <v>8524.779794</v>
      </c>
      <c r="M326" s="22">
        <v>9371.3044250000003</v>
      </c>
      <c r="N326" s="22">
        <v>3332.709492</v>
      </c>
      <c r="O326" s="22">
        <v>3332.709492</v>
      </c>
      <c r="P326" s="22">
        <v>296.75099599999999</v>
      </c>
      <c r="Q326" s="22">
        <v>3332.709492</v>
      </c>
      <c r="R326" s="22">
        <v>3332.709492</v>
      </c>
      <c r="S326" s="22">
        <v>3332.709492</v>
      </c>
      <c r="T326" s="22">
        <v>3332.709492</v>
      </c>
      <c r="U326" s="51" t="s">
        <v>214</v>
      </c>
      <c r="V326" s="55">
        <v>1942.33</v>
      </c>
      <c r="W326" s="55">
        <v>23131.68</v>
      </c>
      <c r="X326" s="49">
        <v>33359</v>
      </c>
    </row>
    <row r="327" spans="1:24" ht="12" customHeight="1" x14ac:dyDescent="0.2">
      <c r="A327" s="49">
        <v>33390</v>
      </c>
      <c r="B327" s="523"/>
      <c r="C327" s="523"/>
      <c r="D327" s="50"/>
      <c r="E327" s="50"/>
      <c r="F327" s="50"/>
      <c r="G327" s="50"/>
      <c r="H327" s="50"/>
      <c r="I327" s="50"/>
      <c r="J327" s="22">
        <v>4785.0483139999997</v>
      </c>
      <c r="K327" s="22">
        <v>3566.4955319999999</v>
      </c>
      <c r="L327" s="22">
        <v>9649.1982480000006</v>
      </c>
      <c r="M327" s="22">
        <v>9983.2506030000004</v>
      </c>
      <c r="N327" s="22">
        <v>3555.3344860000002</v>
      </c>
      <c r="O327" s="22">
        <v>3555.3344860000002</v>
      </c>
      <c r="P327" s="22">
        <v>316.57396199999999</v>
      </c>
      <c r="Q327" s="22">
        <v>3555.3344860000002</v>
      </c>
      <c r="R327" s="22">
        <v>3555.3344860000002</v>
      </c>
      <c r="S327" s="22">
        <v>3555.3344860000002</v>
      </c>
      <c r="T327" s="22">
        <v>3555.3344860000002</v>
      </c>
      <c r="U327" s="51" t="s">
        <v>214</v>
      </c>
      <c r="V327" s="55">
        <v>2062.94</v>
      </c>
      <c r="W327" s="55">
        <v>23131.68</v>
      </c>
      <c r="X327" s="49">
        <v>33390</v>
      </c>
    </row>
    <row r="328" spans="1:24" ht="12" customHeight="1" x14ac:dyDescent="0.2">
      <c r="A328" s="49">
        <v>33420</v>
      </c>
      <c r="B328" s="523"/>
      <c r="C328" s="523"/>
      <c r="D328" s="50"/>
      <c r="E328" s="50"/>
      <c r="F328" s="50"/>
      <c r="G328" s="50"/>
      <c r="H328" s="50"/>
      <c r="I328" s="50"/>
      <c r="J328" s="22">
        <v>5253.0260390000003</v>
      </c>
      <c r="K328" s="22">
        <v>3868.9343530000001</v>
      </c>
      <c r="L328" s="22">
        <v>10631.486629000001</v>
      </c>
      <c r="M328" s="22">
        <v>10967.599112</v>
      </c>
      <c r="N328" s="22">
        <v>3940.3772100000001</v>
      </c>
      <c r="O328" s="22">
        <v>3940.3772100000001</v>
      </c>
      <c r="P328" s="22">
        <v>350.85892200000001</v>
      </c>
      <c r="Q328" s="22">
        <v>3940.3772100000001</v>
      </c>
      <c r="R328" s="22">
        <v>3940.3772100000001</v>
      </c>
      <c r="S328" s="22">
        <v>3940.3772100000001</v>
      </c>
      <c r="T328" s="22">
        <v>3940.3772100000001</v>
      </c>
      <c r="U328" s="51" t="s">
        <v>214</v>
      </c>
      <c r="V328" s="55">
        <v>2195.4499999999998</v>
      </c>
      <c r="W328" s="55">
        <v>23131.68</v>
      </c>
      <c r="X328" s="49">
        <v>33420</v>
      </c>
    </row>
    <row r="329" spans="1:24" ht="12" customHeight="1" x14ac:dyDescent="0.2">
      <c r="A329" s="49">
        <v>33451</v>
      </c>
      <c r="B329" s="523"/>
      <c r="C329" s="523"/>
      <c r="D329" s="50"/>
      <c r="E329" s="50"/>
      <c r="F329" s="50"/>
      <c r="G329" s="50"/>
      <c r="H329" s="50"/>
      <c r="I329" s="50"/>
      <c r="J329" s="22">
        <v>5846.6179810000003</v>
      </c>
      <c r="K329" s="22">
        <v>4380.4074739999996</v>
      </c>
      <c r="L329" s="22">
        <v>12078.431959</v>
      </c>
      <c r="M329" s="22">
        <v>12374.742077999999</v>
      </c>
      <c r="N329" s="22">
        <v>4418.7390029999997</v>
      </c>
      <c r="O329" s="22">
        <v>4418.7390029999997</v>
      </c>
      <c r="P329" s="22">
        <v>393.45319599999999</v>
      </c>
      <c r="Q329" s="22">
        <v>4418.7390029999997</v>
      </c>
      <c r="R329" s="22">
        <v>4418.7390029999997</v>
      </c>
      <c r="S329" s="22">
        <v>4418.7390029999997</v>
      </c>
      <c r="T329" s="22">
        <v>4418.7390029999997</v>
      </c>
      <c r="U329" s="51" t="s">
        <v>214</v>
      </c>
      <c r="V329" s="55">
        <v>2433.54</v>
      </c>
      <c r="W329" s="55">
        <v>39293.279999999999</v>
      </c>
      <c r="X329" s="49">
        <v>33451</v>
      </c>
    </row>
    <row r="330" spans="1:24" ht="12" customHeight="1" x14ac:dyDescent="0.2">
      <c r="A330" s="49">
        <v>33482</v>
      </c>
      <c r="B330" s="523"/>
      <c r="C330" s="523"/>
      <c r="D330" s="50"/>
      <c r="E330" s="50"/>
      <c r="F330" s="50"/>
      <c r="G330" s="50"/>
      <c r="H330" s="50"/>
      <c r="I330" s="50"/>
      <c r="J330" s="22">
        <v>6689.7002929999999</v>
      </c>
      <c r="K330" s="22">
        <v>5048.419613</v>
      </c>
      <c r="L330" s="22">
        <v>13845.506554</v>
      </c>
      <c r="M330" s="22">
        <v>14291.589625000001</v>
      </c>
      <c r="N330" s="22">
        <v>5108.9460349999999</v>
      </c>
      <c r="O330" s="22">
        <v>5108.9460349999999</v>
      </c>
      <c r="P330" s="22">
        <v>454.91058500000003</v>
      </c>
      <c r="Q330" s="22">
        <v>5108.9460349999999</v>
      </c>
      <c r="R330" s="22">
        <v>5108.9460349999999</v>
      </c>
      <c r="S330" s="22">
        <v>5108.9460349999999</v>
      </c>
      <c r="T330" s="22">
        <v>5108.9460349999999</v>
      </c>
      <c r="U330" s="51" t="s">
        <v>214</v>
      </c>
      <c r="V330" s="55">
        <v>2758.28</v>
      </c>
      <c r="W330" s="55">
        <v>42000</v>
      </c>
      <c r="X330" s="49">
        <v>33482</v>
      </c>
    </row>
    <row r="331" spans="1:24" ht="12" customHeight="1" x14ac:dyDescent="0.2">
      <c r="A331" s="49">
        <v>33512</v>
      </c>
      <c r="B331" s="523"/>
      <c r="C331" s="523"/>
      <c r="D331" s="50"/>
      <c r="E331" s="50"/>
      <c r="F331" s="50"/>
      <c r="G331" s="50"/>
      <c r="H331" s="50"/>
      <c r="I331" s="50"/>
      <c r="J331" s="22">
        <v>7774.1007099999997</v>
      </c>
      <c r="K331" s="22">
        <v>5802.1486610000002</v>
      </c>
      <c r="L331" s="22">
        <v>16768.292987000001</v>
      </c>
      <c r="M331" s="22">
        <v>16605.397985</v>
      </c>
      <c r="N331" s="22">
        <v>5906.9634050000004</v>
      </c>
      <c r="O331" s="22">
        <v>5906.9634050000004</v>
      </c>
      <c r="P331" s="22">
        <v>525.96761800000002</v>
      </c>
      <c r="Q331" s="22">
        <v>5906.9634050000004</v>
      </c>
      <c r="R331" s="22">
        <v>5906.9634050000004</v>
      </c>
      <c r="S331" s="22">
        <v>5906.9634050000004</v>
      </c>
      <c r="T331" s="22">
        <v>5906.9634050000004</v>
      </c>
      <c r="U331" s="51" t="s">
        <v>214</v>
      </c>
      <c r="V331" s="55">
        <v>3156.84</v>
      </c>
      <c r="W331" s="55">
        <v>42000</v>
      </c>
      <c r="X331" s="49">
        <v>33512</v>
      </c>
    </row>
    <row r="332" spans="1:24" ht="12" customHeight="1" x14ac:dyDescent="0.2">
      <c r="A332" s="49">
        <v>33543</v>
      </c>
      <c r="B332" s="523"/>
      <c r="C332" s="523"/>
      <c r="D332" s="50"/>
      <c r="E332" s="50"/>
      <c r="F332" s="50"/>
      <c r="G332" s="50"/>
      <c r="H332" s="50"/>
      <c r="I332" s="50"/>
      <c r="J332" s="22">
        <v>9730.8418579999998</v>
      </c>
      <c r="K332" s="22">
        <v>7115.1749019999997</v>
      </c>
      <c r="L332" s="22">
        <v>20626.677202999999</v>
      </c>
      <c r="M332" s="22">
        <v>20897.893364</v>
      </c>
      <c r="N332" s="22">
        <v>7152.1512899999998</v>
      </c>
      <c r="O332" s="22">
        <v>7152.1512899999998</v>
      </c>
      <c r="P332" s="22">
        <v>636.84159199999999</v>
      </c>
      <c r="Q332" s="22">
        <v>7152.1512899999998</v>
      </c>
      <c r="R332" s="22">
        <v>7152.1512899999998</v>
      </c>
      <c r="S332" s="22">
        <v>7152.1512899999998</v>
      </c>
      <c r="T332" s="22">
        <v>7152.1512899999998</v>
      </c>
      <c r="U332" s="51" t="s">
        <v>214</v>
      </c>
      <c r="V332" s="55">
        <v>3780.63</v>
      </c>
      <c r="W332" s="55">
        <v>42000</v>
      </c>
      <c r="X332" s="49">
        <v>33543</v>
      </c>
    </row>
    <row r="333" spans="1:24" ht="12" customHeight="1" x14ac:dyDescent="0.2">
      <c r="A333" s="49">
        <v>33573</v>
      </c>
      <c r="B333" s="523"/>
      <c r="C333" s="523"/>
      <c r="D333" s="50"/>
      <c r="E333" s="50"/>
      <c r="F333" s="50"/>
      <c r="G333" s="50"/>
      <c r="H333" s="50"/>
      <c r="I333" s="50"/>
      <c r="J333" s="22">
        <v>12201.502605</v>
      </c>
      <c r="K333" s="22">
        <v>8938.0827109999991</v>
      </c>
      <c r="L333" s="22">
        <v>26705.358973999999</v>
      </c>
      <c r="M333" s="22">
        <v>26281.190694000001</v>
      </c>
      <c r="N333" s="22">
        <v>9046.0409510000009</v>
      </c>
      <c r="O333" s="22">
        <v>9046.0409510000009</v>
      </c>
      <c r="P333" s="22">
        <v>805.47724500000004</v>
      </c>
      <c r="Q333" s="22">
        <v>9046.0409510000009</v>
      </c>
      <c r="R333" s="22">
        <v>9046.0409510000009</v>
      </c>
      <c r="S333" s="22">
        <v>9046.0409510000009</v>
      </c>
      <c r="T333" s="22">
        <v>9046.0409510000009</v>
      </c>
      <c r="U333" s="51" t="s">
        <v>214</v>
      </c>
      <c r="V333" s="55">
        <v>4766.33</v>
      </c>
      <c r="W333" s="55">
        <v>63000</v>
      </c>
      <c r="X333" s="49">
        <v>33573</v>
      </c>
    </row>
    <row r="334" spans="1:24" ht="12" customHeight="1" x14ac:dyDescent="0.2">
      <c r="A334" s="49">
        <v>33604</v>
      </c>
      <c r="B334" s="523"/>
      <c r="C334" s="523"/>
      <c r="D334" s="50"/>
      <c r="E334" s="50"/>
      <c r="F334" s="50"/>
      <c r="G334" s="50"/>
      <c r="H334" s="50"/>
      <c r="I334" s="50"/>
      <c r="J334" s="22">
        <v>15038.35196</v>
      </c>
      <c r="K334" s="22">
        <v>11050.151655</v>
      </c>
      <c r="L334" s="22">
        <v>31968.985227000001</v>
      </c>
      <c r="M334" s="22">
        <v>32099.846312999998</v>
      </c>
      <c r="N334" s="22">
        <v>11230.65984</v>
      </c>
      <c r="O334" s="22">
        <v>11230.65984</v>
      </c>
      <c r="P334" s="22">
        <v>1000</v>
      </c>
      <c r="Q334" s="22">
        <v>11215.281571</v>
      </c>
      <c r="R334" s="22">
        <v>11215.281571</v>
      </c>
      <c r="S334" s="22">
        <v>11230.65984</v>
      </c>
      <c r="T334" s="22">
        <v>11230.65984</v>
      </c>
      <c r="U334" s="51" t="s">
        <v>214</v>
      </c>
      <c r="V334" s="55">
        <v>6021.02</v>
      </c>
      <c r="W334" s="55">
        <v>96037.33</v>
      </c>
      <c r="X334" s="49">
        <v>33604</v>
      </c>
    </row>
    <row r="335" spans="1:24" ht="12" customHeight="1" x14ac:dyDescent="0.2">
      <c r="A335" s="49">
        <v>33635</v>
      </c>
      <c r="B335" s="523"/>
      <c r="C335" s="523"/>
      <c r="D335" s="50"/>
      <c r="E335" s="50"/>
      <c r="F335" s="50"/>
      <c r="G335" s="50"/>
      <c r="H335" s="50"/>
      <c r="I335" s="50"/>
      <c r="J335" s="22">
        <v>18931.781282</v>
      </c>
      <c r="K335" s="22">
        <v>13653.567384</v>
      </c>
      <c r="L335" s="22">
        <v>41518.121114000001</v>
      </c>
      <c r="M335" s="22">
        <v>40715.445062999999</v>
      </c>
      <c r="N335" s="22">
        <v>14141.64687</v>
      </c>
      <c r="O335" s="22">
        <v>14141.64687</v>
      </c>
      <c r="P335" s="22">
        <v>1256</v>
      </c>
      <c r="Q335" s="22">
        <v>14086.393652999999</v>
      </c>
      <c r="R335" s="22">
        <v>14086.393652999999</v>
      </c>
      <c r="S335" s="22">
        <v>14141.64687</v>
      </c>
      <c r="T335" s="22">
        <v>14141.64687</v>
      </c>
      <c r="U335" s="51" t="s">
        <v>214</v>
      </c>
      <c r="V335" s="55">
        <v>7473.93</v>
      </c>
      <c r="W335" s="55">
        <v>96037.33</v>
      </c>
      <c r="X335" s="49">
        <v>33635</v>
      </c>
    </row>
    <row r="336" spans="1:24" ht="12" customHeight="1" x14ac:dyDescent="0.2">
      <c r="A336" s="49">
        <v>33664</v>
      </c>
      <c r="B336" s="523"/>
      <c r="C336" s="523"/>
      <c r="D336" s="50"/>
      <c r="E336" s="50"/>
      <c r="F336" s="50"/>
      <c r="G336" s="50"/>
      <c r="H336" s="50"/>
      <c r="I336" s="50"/>
      <c r="J336" s="22">
        <v>23015.366504000001</v>
      </c>
      <c r="K336" s="22">
        <v>17457.451257000001</v>
      </c>
      <c r="L336" s="22">
        <v>51328.853132999997</v>
      </c>
      <c r="M336" s="22">
        <v>50808.803893999997</v>
      </c>
      <c r="N336" s="22">
        <v>17603.522023000001</v>
      </c>
      <c r="O336" s="22">
        <v>17603.522023000001</v>
      </c>
      <c r="P336" s="22">
        <v>1583.816</v>
      </c>
      <c r="Q336" s="22">
        <v>17762.942395999999</v>
      </c>
      <c r="R336" s="22">
        <v>17762.942395999999</v>
      </c>
      <c r="S336" s="22">
        <v>17603.522023000001</v>
      </c>
      <c r="T336" s="22">
        <v>17603.522023000001</v>
      </c>
      <c r="U336" s="51" t="s">
        <v>214</v>
      </c>
      <c r="V336" s="55">
        <v>9133.7800000000007</v>
      </c>
      <c r="W336" s="55">
        <v>96037.33</v>
      </c>
      <c r="X336" s="49">
        <v>33664</v>
      </c>
    </row>
    <row r="337" spans="1:24" ht="12" customHeight="1" x14ac:dyDescent="0.2">
      <c r="A337" s="49">
        <v>33695</v>
      </c>
      <c r="B337" s="523"/>
      <c r="C337" s="523"/>
      <c r="D337" s="50"/>
      <c r="E337" s="50"/>
      <c r="F337" s="50"/>
      <c r="G337" s="50"/>
      <c r="H337" s="50"/>
      <c r="I337" s="50"/>
      <c r="J337" s="22">
        <v>28018.907180999999</v>
      </c>
      <c r="K337" s="22">
        <v>21191.60008</v>
      </c>
      <c r="L337" s="22">
        <v>65582.875648000001</v>
      </c>
      <c r="M337" s="22">
        <v>61326.226300000002</v>
      </c>
      <c r="N337" s="22">
        <v>21409.403483999999</v>
      </c>
      <c r="O337" s="22">
        <v>21409.403483999999</v>
      </c>
      <c r="P337" s="22">
        <v>1932.7306639999999</v>
      </c>
      <c r="Q337" s="22">
        <v>21676.118605</v>
      </c>
      <c r="R337" s="22">
        <v>21676.118605</v>
      </c>
      <c r="S337" s="22">
        <v>21409.403483999999</v>
      </c>
      <c r="T337" s="22">
        <v>21409.403483999999</v>
      </c>
      <c r="U337" s="51" t="s">
        <v>214</v>
      </c>
      <c r="V337" s="55">
        <v>10891.38</v>
      </c>
      <c r="W337" s="55">
        <v>96037.33</v>
      </c>
      <c r="X337" s="49">
        <v>33695</v>
      </c>
    </row>
    <row r="338" spans="1:24" ht="12" customHeight="1" x14ac:dyDescent="0.2">
      <c r="A338" s="49">
        <v>33725</v>
      </c>
      <c r="B338" s="523"/>
      <c r="C338" s="523"/>
      <c r="D338" s="50"/>
      <c r="E338" s="50"/>
      <c r="F338" s="50"/>
      <c r="G338" s="50"/>
      <c r="H338" s="50"/>
      <c r="I338" s="50"/>
      <c r="J338" s="22">
        <v>34387.604783000002</v>
      </c>
      <c r="K338" s="22">
        <v>25417.205135</v>
      </c>
      <c r="L338" s="22">
        <v>77007.412584999998</v>
      </c>
      <c r="M338" s="22">
        <v>72696.108655999997</v>
      </c>
      <c r="N338" s="22">
        <v>25871.123169999999</v>
      </c>
      <c r="O338" s="22">
        <v>25871.123169999999</v>
      </c>
      <c r="P338" s="22">
        <v>2315.9911539999998</v>
      </c>
      <c r="Q338" s="22">
        <v>25974.492923999998</v>
      </c>
      <c r="R338" s="22">
        <v>25974.492923999998</v>
      </c>
      <c r="S338" s="22">
        <v>25871.123169999999</v>
      </c>
      <c r="T338" s="22">
        <v>25871.123169999999</v>
      </c>
      <c r="U338" s="51" t="s">
        <v>214</v>
      </c>
      <c r="V338" s="55">
        <v>13335.58</v>
      </c>
      <c r="W338" s="55">
        <v>230000</v>
      </c>
      <c r="X338" s="49">
        <v>33725</v>
      </c>
    </row>
    <row r="339" spans="1:24" ht="12" customHeight="1" x14ac:dyDescent="0.2">
      <c r="A339" s="49">
        <v>33756</v>
      </c>
      <c r="B339" s="523"/>
      <c r="C339" s="523"/>
      <c r="D339" s="50"/>
      <c r="E339" s="50"/>
      <c r="F339" s="50"/>
      <c r="G339" s="50"/>
      <c r="H339" s="50"/>
      <c r="I339" s="50"/>
      <c r="J339" s="22">
        <v>42135.132140000002</v>
      </c>
      <c r="K339" s="22">
        <v>30609.940144</v>
      </c>
      <c r="L339" s="22">
        <v>98738.904416000005</v>
      </c>
      <c r="M339" s="22">
        <v>89016.385049000004</v>
      </c>
      <c r="N339" s="22">
        <v>32209.548346</v>
      </c>
      <c r="O339" s="22">
        <v>32209.548346</v>
      </c>
      <c r="P339" s="22">
        <v>2859.0910789999998</v>
      </c>
      <c r="Q339" s="22">
        <v>32065.511514000002</v>
      </c>
      <c r="R339" s="22">
        <v>32065.511514000002</v>
      </c>
      <c r="S339" s="22">
        <v>32209.548346</v>
      </c>
      <c r="T339" s="22">
        <v>32209.548346</v>
      </c>
      <c r="U339" s="51" t="s">
        <v>214</v>
      </c>
      <c r="V339" s="55">
        <v>16223.74</v>
      </c>
      <c r="W339" s="55">
        <v>230000</v>
      </c>
      <c r="X339" s="49">
        <v>33756</v>
      </c>
    </row>
    <row r="340" spans="1:24" ht="12" customHeight="1" x14ac:dyDescent="0.2">
      <c r="A340" s="49">
        <v>33786</v>
      </c>
      <c r="B340" s="523"/>
      <c r="C340" s="523"/>
      <c r="D340" s="50"/>
      <c r="E340" s="50"/>
      <c r="F340" s="50"/>
      <c r="G340" s="50"/>
      <c r="H340" s="50"/>
      <c r="I340" s="50"/>
      <c r="J340" s="22">
        <v>51594.469304999999</v>
      </c>
      <c r="K340" s="22">
        <v>37836.947010999997</v>
      </c>
      <c r="L340" s="22">
        <v>116541.528882</v>
      </c>
      <c r="M340" s="22">
        <v>108083.694726</v>
      </c>
      <c r="N340" s="22">
        <v>38925.239176000003</v>
      </c>
      <c r="O340" s="22">
        <v>38925.239176000003</v>
      </c>
      <c r="P340" s="22">
        <v>3524.4015730000001</v>
      </c>
      <c r="Q340" s="22">
        <v>39527.156043000003</v>
      </c>
      <c r="R340" s="22">
        <v>39527.156043000003</v>
      </c>
      <c r="S340" s="22">
        <v>38925.239176000003</v>
      </c>
      <c r="T340" s="22">
        <v>38925.239176000003</v>
      </c>
      <c r="U340" s="51" t="s">
        <v>214</v>
      </c>
      <c r="V340" s="55">
        <v>19836</v>
      </c>
      <c r="W340" s="55">
        <v>230000</v>
      </c>
      <c r="X340" s="49">
        <v>33786</v>
      </c>
    </row>
    <row r="341" spans="1:24" ht="12" customHeight="1" x14ac:dyDescent="0.2">
      <c r="A341" s="49">
        <v>33817</v>
      </c>
      <c r="B341" s="523"/>
      <c r="C341" s="523"/>
      <c r="D341" s="50"/>
      <c r="E341" s="50"/>
      <c r="F341" s="50"/>
      <c r="G341" s="50"/>
      <c r="H341" s="50"/>
      <c r="I341" s="50"/>
      <c r="J341" s="22">
        <v>62480.902327999996</v>
      </c>
      <c r="K341" s="22">
        <v>46100.536238000001</v>
      </c>
      <c r="L341" s="22">
        <v>143963.750627</v>
      </c>
      <c r="M341" s="22">
        <v>131527.04811199999</v>
      </c>
      <c r="N341" s="22">
        <v>47519.931986000003</v>
      </c>
      <c r="O341" s="22">
        <v>47519.931986000003</v>
      </c>
      <c r="P341" s="22">
        <v>4264.8783430000003</v>
      </c>
      <c r="Q341" s="22">
        <v>47831.811526999998</v>
      </c>
      <c r="R341" s="22">
        <v>47831.811526999998</v>
      </c>
      <c r="S341" s="22">
        <v>47519.931986000003</v>
      </c>
      <c r="T341" s="22">
        <v>47519.931986000003</v>
      </c>
      <c r="U341" s="51" t="s">
        <v>214</v>
      </c>
      <c r="V341" s="55">
        <v>24087.58</v>
      </c>
      <c r="W341" s="55">
        <v>230000</v>
      </c>
      <c r="X341" s="49">
        <v>33817</v>
      </c>
    </row>
    <row r="342" spans="1:24" ht="12" customHeight="1" x14ac:dyDescent="0.2">
      <c r="A342" s="49">
        <v>33848</v>
      </c>
      <c r="B342" s="523"/>
      <c r="C342" s="523"/>
      <c r="D342" s="50"/>
      <c r="E342" s="50"/>
      <c r="F342" s="50"/>
      <c r="G342" s="50"/>
      <c r="H342" s="50"/>
      <c r="I342" s="50"/>
      <c r="J342" s="22">
        <v>76951.479307000001</v>
      </c>
      <c r="K342" s="22">
        <v>57455.098313000002</v>
      </c>
      <c r="L342" s="22">
        <v>168840.686735</v>
      </c>
      <c r="M342" s="22">
        <v>165119.05619900001</v>
      </c>
      <c r="N342" s="22">
        <v>58154.892763999997</v>
      </c>
      <c r="O342" s="22">
        <v>58154.892763999997</v>
      </c>
      <c r="P342" s="22">
        <v>5251.7711909999998</v>
      </c>
      <c r="Q342" s="22">
        <v>58900.092713999999</v>
      </c>
      <c r="R342" s="22">
        <v>58900.092713999999</v>
      </c>
      <c r="S342" s="22">
        <v>58154.892763999997</v>
      </c>
      <c r="T342" s="22">
        <v>58154.892763999997</v>
      </c>
      <c r="U342" s="51" t="s">
        <v>214</v>
      </c>
      <c r="V342" s="55">
        <v>29076.5</v>
      </c>
      <c r="W342" s="55">
        <v>522186.94</v>
      </c>
      <c r="X342" s="49">
        <v>33848</v>
      </c>
    </row>
    <row r="343" spans="1:24" ht="12" customHeight="1" x14ac:dyDescent="0.2">
      <c r="A343" s="49">
        <v>33878</v>
      </c>
      <c r="B343" s="523"/>
      <c r="C343" s="523"/>
      <c r="D343" s="50"/>
      <c r="E343" s="50"/>
      <c r="F343" s="50"/>
      <c r="G343" s="50"/>
      <c r="H343" s="50"/>
      <c r="I343" s="50"/>
      <c r="J343" s="22">
        <v>95735.335405000005</v>
      </c>
      <c r="K343" s="22">
        <v>71974.001655999993</v>
      </c>
      <c r="L343" s="22">
        <v>226753.042285</v>
      </c>
      <c r="M343" s="22">
        <v>210312.14188000001</v>
      </c>
      <c r="N343" s="22">
        <v>72100.436048000003</v>
      </c>
      <c r="O343" s="22">
        <v>72100.436048000003</v>
      </c>
      <c r="P343" s="22">
        <v>6477.0094090000002</v>
      </c>
      <c r="Q343" s="22">
        <v>72641.484343999997</v>
      </c>
      <c r="R343" s="22">
        <v>72641.484343999997</v>
      </c>
      <c r="S343" s="22">
        <v>72100.436048000003</v>
      </c>
      <c r="T343" s="22">
        <v>72100.436048000003</v>
      </c>
      <c r="U343" s="51" t="s">
        <v>214</v>
      </c>
      <c r="V343" s="55">
        <v>35941.230000000003</v>
      </c>
      <c r="W343" s="55">
        <v>522186.94</v>
      </c>
      <c r="X343" s="49">
        <v>33878</v>
      </c>
    </row>
    <row r="344" spans="1:24" ht="12" customHeight="1" x14ac:dyDescent="0.2">
      <c r="A344" s="49">
        <v>33909</v>
      </c>
      <c r="B344" s="523"/>
      <c r="C344" s="523"/>
      <c r="D344" s="50"/>
      <c r="E344" s="50"/>
      <c r="F344" s="50"/>
      <c r="G344" s="50"/>
      <c r="H344" s="50"/>
      <c r="I344" s="50"/>
      <c r="J344" s="22">
        <v>121066.905153</v>
      </c>
      <c r="K344" s="22">
        <v>91234.244498999993</v>
      </c>
      <c r="L344" s="22">
        <v>269632.04258100002</v>
      </c>
      <c r="M344" s="22">
        <v>262763.99006400001</v>
      </c>
      <c r="N344" s="22">
        <v>90897.019725000006</v>
      </c>
      <c r="O344" s="22">
        <v>90897.019725000006</v>
      </c>
      <c r="P344" s="22">
        <v>8127.3514059999998</v>
      </c>
      <c r="Q344" s="22">
        <v>91150.534553999998</v>
      </c>
      <c r="R344" s="22">
        <v>91150.534553999998</v>
      </c>
      <c r="S344" s="22">
        <v>90897.019725000006</v>
      </c>
      <c r="T344" s="22">
        <v>90897.019725000006</v>
      </c>
      <c r="U344" s="51" t="s">
        <v>214</v>
      </c>
      <c r="V344" s="55">
        <v>45181.66</v>
      </c>
      <c r="W344" s="55">
        <v>522186.94</v>
      </c>
      <c r="X344" s="49">
        <v>33909</v>
      </c>
    </row>
    <row r="345" spans="1:24" ht="12" customHeight="1" x14ac:dyDescent="0.2">
      <c r="A345" s="49">
        <v>33939</v>
      </c>
      <c r="B345" s="523"/>
      <c r="C345" s="523"/>
      <c r="D345" s="50"/>
      <c r="E345" s="50"/>
      <c r="F345" s="50"/>
      <c r="G345" s="50"/>
      <c r="H345" s="50"/>
      <c r="I345" s="50"/>
      <c r="J345" s="22">
        <v>147568.45069</v>
      </c>
      <c r="K345" s="22">
        <v>112610.427985</v>
      </c>
      <c r="L345" s="22">
        <v>348256.74619699997</v>
      </c>
      <c r="M345" s="22">
        <v>326405.428457</v>
      </c>
      <c r="N345" s="22">
        <v>111703.34754</v>
      </c>
      <c r="O345" s="22">
        <v>111703.34754</v>
      </c>
      <c r="P345" s="22">
        <v>10053.533689</v>
      </c>
      <c r="Q345" s="22">
        <v>112753.211243</v>
      </c>
      <c r="R345" s="22">
        <v>112753.211243</v>
      </c>
      <c r="S345" s="22">
        <v>111703.34754</v>
      </c>
      <c r="T345" s="22">
        <v>111703.34754</v>
      </c>
      <c r="U345" s="51" t="s">
        <v>214</v>
      </c>
      <c r="V345" s="55">
        <v>55520.11</v>
      </c>
      <c r="W345" s="55">
        <v>522186.94</v>
      </c>
      <c r="X345" s="49">
        <v>33939</v>
      </c>
    </row>
    <row r="346" spans="1:24" ht="12" customHeight="1" x14ac:dyDescent="0.2">
      <c r="A346" s="49">
        <v>33970</v>
      </c>
      <c r="B346" s="523"/>
      <c r="C346" s="523"/>
      <c r="D346" s="50"/>
      <c r="E346" s="50"/>
      <c r="F346" s="50"/>
      <c r="G346" s="50"/>
      <c r="H346" s="50"/>
      <c r="I346" s="50"/>
      <c r="J346" s="22">
        <v>184888.51186900001</v>
      </c>
      <c r="K346" s="22">
        <v>140853.12332300001</v>
      </c>
      <c r="L346" s="22">
        <v>413868.31718000001</v>
      </c>
      <c r="M346" s="22">
        <v>403763.51500100002</v>
      </c>
      <c r="N346" s="22">
        <v>140277.06383999999</v>
      </c>
      <c r="O346" s="22">
        <v>140277.06383999999</v>
      </c>
      <c r="P346" s="22">
        <v>12415.108752</v>
      </c>
      <c r="Q346" s="22">
        <v>139238.94056300001</v>
      </c>
      <c r="R346" s="22">
        <v>139238.94056300001</v>
      </c>
      <c r="S346" s="22">
        <v>140277.06383999999</v>
      </c>
      <c r="T346" s="22">
        <v>140277.06383999999</v>
      </c>
      <c r="U346" s="51" t="s">
        <v>214</v>
      </c>
      <c r="V346" s="55">
        <v>68658.210000000006</v>
      </c>
      <c r="W346" s="55">
        <v>1250700</v>
      </c>
      <c r="X346" s="49">
        <v>33970</v>
      </c>
    </row>
    <row r="347" spans="1:24" ht="12" customHeight="1" x14ac:dyDescent="0.2">
      <c r="A347" s="49">
        <v>34001</v>
      </c>
      <c r="B347" s="523"/>
      <c r="C347" s="523"/>
      <c r="D347" s="50"/>
      <c r="E347" s="50"/>
      <c r="F347" s="50"/>
      <c r="G347" s="50"/>
      <c r="H347" s="50"/>
      <c r="I347" s="50"/>
      <c r="J347" s="22">
        <v>235584.941823</v>
      </c>
      <c r="K347" s="22">
        <v>177235.48507699999</v>
      </c>
      <c r="L347" s="22">
        <v>566585.72621899995</v>
      </c>
      <c r="M347" s="22">
        <v>519764.77286000003</v>
      </c>
      <c r="N347" s="22">
        <v>180634.77510599999</v>
      </c>
      <c r="O347" s="22">
        <v>180634.77510599999</v>
      </c>
      <c r="P347" s="22">
        <v>16073.841301</v>
      </c>
      <c r="Q347" s="22">
        <v>180272.656346</v>
      </c>
      <c r="R347" s="22">
        <v>180272.656346</v>
      </c>
      <c r="S347" s="22">
        <v>180634.77510599999</v>
      </c>
      <c r="T347" s="22">
        <v>180634.77510599999</v>
      </c>
      <c r="U347" s="51" t="s">
        <v>214</v>
      </c>
      <c r="V347" s="55">
        <v>85702.31</v>
      </c>
      <c r="W347" s="55">
        <v>1250700</v>
      </c>
      <c r="X347" s="49">
        <v>34001</v>
      </c>
    </row>
    <row r="348" spans="1:24" ht="12" customHeight="1" x14ac:dyDescent="0.2">
      <c r="A348" s="49">
        <v>34029</v>
      </c>
      <c r="B348" s="523"/>
      <c r="C348" s="523"/>
      <c r="D348" s="50"/>
      <c r="E348" s="50"/>
      <c r="F348" s="50"/>
      <c r="G348" s="50"/>
      <c r="H348" s="50"/>
      <c r="I348" s="50"/>
      <c r="J348" s="22">
        <v>294716.76221999998</v>
      </c>
      <c r="K348" s="22">
        <v>227588.08638699999</v>
      </c>
      <c r="L348" s="22">
        <v>694634.10034400003</v>
      </c>
      <c r="M348" s="22">
        <v>657554.41414500005</v>
      </c>
      <c r="N348" s="22">
        <v>225414.13585399999</v>
      </c>
      <c r="O348" s="22">
        <v>225414.13585399999</v>
      </c>
      <c r="P348" s="22">
        <v>20368.771696</v>
      </c>
      <c r="Q348" s="22">
        <v>228441.510121</v>
      </c>
      <c r="R348" s="22">
        <v>228441.510121</v>
      </c>
      <c r="S348" s="22">
        <v>225414.13585399999</v>
      </c>
      <c r="T348" s="22">
        <v>225414.13585399999</v>
      </c>
      <c r="U348" s="51" t="s">
        <v>214</v>
      </c>
      <c r="V348" s="55">
        <v>108284.86</v>
      </c>
      <c r="W348" s="55">
        <v>1709400</v>
      </c>
      <c r="X348" s="49">
        <v>34029</v>
      </c>
    </row>
    <row r="349" spans="1:24" ht="12" customHeight="1" x14ac:dyDescent="0.2">
      <c r="A349" s="49">
        <v>34060</v>
      </c>
      <c r="B349" s="523"/>
      <c r="C349" s="523"/>
      <c r="D349" s="50"/>
      <c r="E349" s="50"/>
      <c r="F349" s="50"/>
      <c r="G349" s="50"/>
      <c r="H349" s="50"/>
      <c r="I349" s="50"/>
      <c r="J349" s="22">
        <v>368867.49959399999</v>
      </c>
      <c r="K349" s="22">
        <v>287329.95906299999</v>
      </c>
      <c r="L349" s="22">
        <v>921154.28046599997</v>
      </c>
      <c r="M349" s="22">
        <v>840420.29671799997</v>
      </c>
      <c r="N349" s="22">
        <v>287583.35452200001</v>
      </c>
      <c r="O349" s="22">
        <v>287583.35452200001</v>
      </c>
      <c r="P349" s="22">
        <v>25656.504828000001</v>
      </c>
      <c r="Q349" s="22">
        <v>287744.926148</v>
      </c>
      <c r="R349" s="22">
        <v>287744.926148</v>
      </c>
      <c r="S349" s="22">
        <v>287583.35452200001</v>
      </c>
      <c r="T349" s="22">
        <v>287583.35452200001</v>
      </c>
      <c r="U349" s="51" t="s">
        <v>214</v>
      </c>
      <c r="V349" s="55">
        <v>138448</v>
      </c>
      <c r="W349" s="55">
        <v>1709400</v>
      </c>
      <c r="X349" s="49">
        <v>34060</v>
      </c>
    </row>
    <row r="350" spans="1:24" ht="12" customHeight="1" x14ac:dyDescent="0.2">
      <c r="A350" s="49">
        <v>34090</v>
      </c>
      <c r="B350" s="523"/>
      <c r="C350" s="523"/>
      <c r="D350" s="50"/>
      <c r="E350" s="50"/>
      <c r="F350" s="50"/>
      <c r="G350" s="50"/>
      <c r="H350" s="50"/>
      <c r="I350" s="50"/>
      <c r="J350" s="22">
        <v>474880.01897700003</v>
      </c>
      <c r="K350" s="22">
        <v>370167.18625999999</v>
      </c>
      <c r="L350" s="22">
        <v>1117175.9113489999</v>
      </c>
      <c r="M350" s="22">
        <v>1077586.904451</v>
      </c>
      <c r="N350" s="22">
        <v>369170.75219899998</v>
      </c>
      <c r="O350" s="22">
        <v>369170.75219899998</v>
      </c>
      <c r="P350" s="22">
        <v>32670.993246999999</v>
      </c>
      <c r="Q350" s="22">
        <v>366414.38895599998</v>
      </c>
      <c r="R350" s="22">
        <v>366414.38895599998</v>
      </c>
      <c r="S350" s="22">
        <v>369170.75219899998</v>
      </c>
      <c r="T350" s="22">
        <v>369170.75219899998</v>
      </c>
      <c r="U350" s="51" t="s">
        <v>214</v>
      </c>
      <c r="V350" s="55">
        <v>175132.7</v>
      </c>
      <c r="W350" s="55">
        <v>3303300</v>
      </c>
      <c r="X350" s="49">
        <v>34090</v>
      </c>
    </row>
    <row r="351" spans="1:24" ht="12" customHeight="1" x14ac:dyDescent="0.2">
      <c r="A351" s="49">
        <v>34121</v>
      </c>
      <c r="B351" s="523"/>
      <c r="C351" s="523"/>
      <c r="D351" s="50"/>
      <c r="E351" s="50"/>
      <c r="F351" s="50"/>
      <c r="G351" s="50"/>
      <c r="H351" s="50"/>
      <c r="I351" s="50"/>
      <c r="J351" s="22">
        <v>613260.05650599999</v>
      </c>
      <c r="K351" s="22">
        <v>480106.84057900001</v>
      </c>
      <c r="L351" s="22">
        <v>1570749.3313559999</v>
      </c>
      <c r="M351" s="22">
        <v>1425324.1985170001</v>
      </c>
      <c r="N351" s="22">
        <v>468034.67963700002</v>
      </c>
      <c r="O351" s="22">
        <v>468034.67963700002</v>
      </c>
      <c r="P351" s="22">
        <v>42083.506400999999</v>
      </c>
      <c r="Q351" s="22">
        <v>471978.37441400002</v>
      </c>
      <c r="R351" s="22">
        <v>471978.37441400002</v>
      </c>
      <c r="S351" s="22">
        <v>468034.67963700002</v>
      </c>
      <c r="T351" s="22">
        <v>468034.67963700002</v>
      </c>
      <c r="U351" s="51" t="s">
        <v>214</v>
      </c>
      <c r="V351" s="55">
        <v>221369.13</v>
      </c>
      <c r="W351" s="55">
        <v>3303300</v>
      </c>
      <c r="X351" s="49">
        <v>34121</v>
      </c>
    </row>
    <row r="352" spans="1:24" ht="12" customHeight="1" x14ac:dyDescent="0.2">
      <c r="A352" s="49">
        <v>34151</v>
      </c>
      <c r="B352" s="523"/>
      <c r="C352" s="523"/>
      <c r="D352" s="50"/>
      <c r="E352" s="50"/>
      <c r="F352" s="50"/>
      <c r="G352" s="50"/>
      <c r="H352" s="50"/>
      <c r="I352" s="50"/>
      <c r="J352" s="22">
        <v>800488.35175699997</v>
      </c>
      <c r="K352" s="22">
        <v>631340.49536099995</v>
      </c>
      <c r="L352" s="22">
        <v>1996893.6249520001</v>
      </c>
      <c r="M352" s="22">
        <v>1863183.7923010001</v>
      </c>
      <c r="N352" s="22">
        <v>610176.811842</v>
      </c>
      <c r="O352" s="22">
        <v>610176.811842</v>
      </c>
      <c r="P352" s="22">
        <v>54851.642243000002</v>
      </c>
      <c r="Q352" s="22">
        <v>615176.61321099999</v>
      </c>
      <c r="R352" s="22">
        <v>615176.61321099999</v>
      </c>
      <c r="S352" s="22">
        <v>610176.811842</v>
      </c>
      <c r="T352" s="22">
        <v>610176.811842</v>
      </c>
      <c r="U352" s="51" t="s">
        <v>214</v>
      </c>
      <c r="V352" s="55">
        <v>287771.46999999997</v>
      </c>
      <c r="W352" s="55">
        <v>4639800</v>
      </c>
      <c r="X352" s="49">
        <v>34151</v>
      </c>
    </row>
    <row r="353" spans="1:24" ht="12" customHeight="1" x14ac:dyDescent="0.2">
      <c r="A353" s="49">
        <v>34182</v>
      </c>
      <c r="B353" s="523"/>
      <c r="C353" s="523"/>
      <c r="D353" s="50"/>
      <c r="E353" s="50"/>
      <c r="F353" s="50"/>
      <c r="G353" s="50"/>
      <c r="H353" s="50"/>
      <c r="I353" s="50"/>
      <c r="J353" s="547">
        <v>1047.7592036139999</v>
      </c>
      <c r="K353" s="547">
        <v>828.63440016099992</v>
      </c>
      <c r="L353" s="22">
        <v>2670.4458446479998</v>
      </c>
      <c r="M353" s="22">
        <v>2458.65733232</v>
      </c>
      <c r="N353" s="547">
        <v>799.39264100000003</v>
      </c>
      <c r="O353" s="22">
        <v>799.39264100000003</v>
      </c>
      <c r="P353" s="22">
        <v>71.674639999999997</v>
      </c>
      <c r="Q353" s="547">
        <v>803851.28048199997</v>
      </c>
      <c r="R353" s="22">
        <v>803851.28048199997</v>
      </c>
      <c r="S353" s="547">
        <v>799.39264100000003</v>
      </c>
      <c r="T353" s="547">
        <v>799.39264100000003</v>
      </c>
      <c r="U353" s="51" t="s">
        <v>218</v>
      </c>
      <c r="V353" s="54">
        <v>374.05</v>
      </c>
      <c r="W353" s="54">
        <v>5534</v>
      </c>
      <c r="X353" s="49">
        <v>34182</v>
      </c>
    </row>
    <row r="354" spans="1:24" ht="12" customHeight="1" x14ac:dyDescent="0.2">
      <c r="A354" s="49">
        <v>34213</v>
      </c>
      <c r="B354" s="523"/>
      <c r="C354" s="523"/>
      <c r="D354" s="50"/>
      <c r="E354" s="50"/>
      <c r="F354" s="50"/>
      <c r="G354" s="50"/>
      <c r="H354" s="50"/>
      <c r="I354" s="50"/>
      <c r="J354" s="22">
        <v>1403.6830050000001</v>
      </c>
      <c r="K354" s="22">
        <v>1092.0572749999999</v>
      </c>
      <c r="L354" s="22">
        <v>3429.3865529999998</v>
      </c>
      <c r="M354" s="22">
        <v>3283.0451349999998</v>
      </c>
      <c r="N354" s="22">
        <v>1065.9101470000001</v>
      </c>
      <c r="O354" s="22">
        <v>1065.9101470000001</v>
      </c>
      <c r="P354" s="22">
        <v>94.603357000000003</v>
      </c>
      <c r="Q354" s="22">
        <v>1061.0033040000001</v>
      </c>
      <c r="R354" s="22">
        <v>1061.0033040000001</v>
      </c>
      <c r="S354" s="22">
        <v>1065.9101470000001</v>
      </c>
      <c r="T354" s="22">
        <v>1065.9101470000001</v>
      </c>
      <c r="U354" s="51" t="s">
        <v>218</v>
      </c>
      <c r="V354" s="55">
        <v>492.3</v>
      </c>
      <c r="W354" s="55">
        <v>9606</v>
      </c>
      <c r="X354" s="49">
        <v>34213</v>
      </c>
    </row>
    <row r="355" spans="1:24" ht="12" customHeight="1" x14ac:dyDescent="0.2">
      <c r="A355" s="49">
        <v>34243</v>
      </c>
      <c r="B355" s="523"/>
      <c r="C355" s="523"/>
      <c r="D355" s="50"/>
      <c r="E355" s="50"/>
      <c r="F355" s="50"/>
      <c r="G355" s="50"/>
      <c r="H355" s="50"/>
      <c r="I355" s="50"/>
      <c r="J355" s="22">
        <v>1882.6196460000001</v>
      </c>
      <c r="K355" s="22">
        <v>1477.3350809999999</v>
      </c>
      <c r="L355" s="22">
        <v>4804.2276220000003</v>
      </c>
      <c r="M355" s="22">
        <v>4497.4435299999996</v>
      </c>
      <c r="N355" s="22">
        <v>1445.6939319999999</v>
      </c>
      <c r="O355" s="22">
        <v>1445.6939319999999</v>
      </c>
      <c r="P355" s="22">
        <v>127.12799099999999</v>
      </c>
      <c r="Q355" s="22">
        <v>1425.776239</v>
      </c>
      <c r="R355" s="22">
        <v>1425.776239</v>
      </c>
      <c r="S355" s="22">
        <v>1445.6939319999999</v>
      </c>
      <c r="T355" s="22">
        <v>1445.6939319999999</v>
      </c>
      <c r="U355" s="51" t="s">
        <v>218</v>
      </c>
      <c r="V355" s="55">
        <v>652.91999999999996</v>
      </c>
      <c r="W355" s="55">
        <v>12024</v>
      </c>
      <c r="X355" s="49">
        <v>34243</v>
      </c>
    </row>
    <row r="356" spans="1:24" ht="12" customHeight="1" x14ac:dyDescent="0.2">
      <c r="A356" s="49">
        <v>34274</v>
      </c>
      <c r="B356" s="523"/>
      <c r="C356" s="523"/>
      <c r="D356" s="50"/>
      <c r="E356" s="50"/>
      <c r="F356" s="50"/>
      <c r="G356" s="50"/>
      <c r="H356" s="50"/>
      <c r="I356" s="50"/>
      <c r="J356" s="22">
        <v>2545.8665470000001</v>
      </c>
      <c r="K356" s="22">
        <v>1994.993293</v>
      </c>
      <c r="L356" s="22">
        <v>6439.1062810000003</v>
      </c>
      <c r="M356" s="22">
        <v>6077.8451859999996</v>
      </c>
      <c r="N356" s="22">
        <v>1938.9647010000001</v>
      </c>
      <c r="O356" s="22">
        <v>1938.9647010000001</v>
      </c>
      <c r="P356" s="22">
        <v>171.83890500000001</v>
      </c>
      <c r="Q356" s="22">
        <v>1927.2217419999999</v>
      </c>
      <c r="R356" s="22">
        <v>1927.2217419999999</v>
      </c>
      <c r="S356" s="22">
        <v>1938.9647010000001</v>
      </c>
      <c r="T356" s="22">
        <v>1938.9647010000001</v>
      </c>
      <c r="U356" s="51" t="s">
        <v>218</v>
      </c>
      <c r="V356" s="55">
        <v>875.98</v>
      </c>
      <c r="W356" s="55">
        <v>15021</v>
      </c>
      <c r="X356" s="49">
        <v>34274</v>
      </c>
    </row>
    <row r="357" spans="1:24" ht="12" customHeight="1" x14ac:dyDescent="0.2">
      <c r="A357" s="49">
        <v>34304</v>
      </c>
      <c r="B357" s="523"/>
      <c r="C357" s="523"/>
      <c r="D357" s="50"/>
      <c r="E357" s="50"/>
      <c r="F357" s="50"/>
      <c r="G357" s="50"/>
      <c r="H357" s="50"/>
      <c r="I357" s="50"/>
      <c r="J357" s="22">
        <v>3458.3051169999999</v>
      </c>
      <c r="K357" s="22">
        <v>2716.183368</v>
      </c>
      <c r="L357" s="22">
        <v>8911.7230920000002</v>
      </c>
      <c r="M357" s="22">
        <v>8324.2167659999996</v>
      </c>
      <c r="N357" s="22">
        <v>2636.9919930000001</v>
      </c>
      <c r="O357" s="22">
        <v>2636.9919930000001</v>
      </c>
      <c r="P357" s="22">
        <v>230.09229300000001</v>
      </c>
      <c r="Q357" s="22">
        <v>2580.5499119999999</v>
      </c>
      <c r="R357" s="22">
        <v>2580.5499119999999</v>
      </c>
      <c r="S357" s="22">
        <v>2636.9919930000001</v>
      </c>
      <c r="T357" s="22">
        <v>2636.9919930000001</v>
      </c>
      <c r="U357" s="51" t="s">
        <v>218</v>
      </c>
      <c r="V357" s="55">
        <v>1206.07</v>
      </c>
      <c r="W357" s="55">
        <v>18760</v>
      </c>
      <c r="X357" s="49">
        <v>34304</v>
      </c>
    </row>
    <row r="358" spans="1:24" ht="12" customHeight="1" x14ac:dyDescent="0.2">
      <c r="A358" s="49">
        <v>34335</v>
      </c>
      <c r="B358" s="523"/>
      <c r="C358" s="523"/>
      <c r="D358" s="50"/>
      <c r="E358" s="50"/>
      <c r="F358" s="50"/>
      <c r="G358" s="50"/>
      <c r="H358" s="50"/>
      <c r="I358" s="50"/>
      <c r="J358" s="22">
        <v>4790.4442479999998</v>
      </c>
      <c r="K358" s="22">
        <v>3757.0248339999998</v>
      </c>
      <c r="L358" s="22">
        <v>11851.70054</v>
      </c>
      <c r="M358" s="22">
        <v>11339.248078000001</v>
      </c>
      <c r="N358" s="22">
        <v>3631.929071</v>
      </c>
      <c r="O358" s="22">
        <v>3631.929071</v>
      </c>
      <c r="P358" s="22">
        <v>314.51315499999998</v>
      </c>
      <c r="Q358" s="22">
        <v>3527.353674</v>
      </c>
      <c r="R358" s="22">
        <v>3527.353674</v>
      </c>
      <c r="S358" s="22">
        <v>3631.929071</v>
      </c>
      <c r="T358" s="22">
        <v>3631.929071</v>
      </c>
      <c r="U358" s="51" t="s">
        <v>218</v>
      </c>
      <c r="V358" s="55">
        <v>1652.51</v>
      </c>
      <c r="W358" s="55">
        <v>32882</v>
      </c>
      <c r="X358" s="49">
        <v>34335</v>
      </c>
    </row>
    <row r="359" spans="1:24" ht="12" customHeight="1" x14ac:dyDescent="0.2">
      <c r="A359" s="49">
        <v>34366</v>
      </c>
      <c r="B359" s="523"/>
      <c r="C359" s="523"/>
      <c r="D359" s="50"/>
      <c r="E359" s="50"/>
      <c r="F359" s="50"/>
      <c r="G359" s="50"/>
      <c r="H359" s="50"/>
      <c r="I359" s="50"/>
      <c r="J359" s="22">
        <v>6720.9932790000003</v>
      </c>
      <c r="K359" s="22">
        <v>5224.8944359999996</v>
      </c>
      <c r="L359" s="22">
        <v>17295.186598</v>
      </c>
      <c r="M359" s="22">
        <v>16123.276841999999</v>
      </c>
      <c r="N359" s="22">
        <v>5132.6421630000004</v>
      </c>
      <c r="O359" s="22">
        <v>5132.6421630000004</v>
      </c>
      <c r="P359" s="22">
        <v>437.70795700000002</v>
      </c>
      <c r="Q359" s="22">
        <v>4909.0181080000002</v>
      </c>
      <c r="R359" s="22">
        <v>4909.0181080000002</v>
      </c>
      <c r="S359" s="22">
        <v>5132.6421630000004</v>
      </c>
      <c r="T359" s="22">
        <v>5132.6421630000004</v>
      </c>
      <c r="U359" s="51" t="s">
        <v>218</v>
      </c>
      <c r="V359" s="55">
        <v>2259.62</v>
      </c>
      <c r="W359" s="55">
        <v>42829</v>
      </c>
      <c r="X359" s="49">
        <v>34366</v>
      </c>
    </row>
    <row r="360" spans="1:24" ht="12" customHeight="1" x14ac:dyDescent="0.2">
      <c r="A360" s="49">
        <v>34394</v>
      </c>
      <c r="B360" s="523"/>
      <c r="C360" s="523"/>
      <c r="D360" s="50"/>
      <c r="E360" s="50"/>
      <c r="F360" s="50"/>
      <c r="G360" s="50"/>
      <c r="H360" s="50"/>
      <c r="I360" s="50"/>
      <c r="J360" s="22">
        <v>9287.7406119999996</v>
      </c>
      <c r="K360" s="22">
        <v>7355.6063869999998</v>
      </c>
      <c r="L360" s="22">
        <v>24064.522632</v>
      </c>
      <c r="M360" s="22">
        <v>22961.15855</v>
      </c>
      <c r="N360" s="22">
        <v>7214.9550879999997</v>
      </c>
      <c r="O360" s="22">
        <v>7214.9550879999997</v>
      </c>
      <c r="P360" s="22">
        <v>611.47801500000003</v>
      </c>
      <c r="Q360" s="22">
        <v>6857.8982960000003</v>
      </c>
      <c r="R360" s="22">
        <v>6857.8982960000003</v>
      </c>
      <c r="S360" s="22">
        <v>7214.9550879999997</v>
      </c>
      <c r="T360" s="22">
        <v>7214.9550879999997</v>
      </c>
      <c r="U360" s="51" t="s">
        <v>218</v>
      </c>
      <c r="V360" s="55">
        <v>3068.47</v>
      </c>
      <c r="W360" s="55">
        <v>50298.34</v>
      </c>
      <c r="X360" s="49">
        <v>34394</v>
      </c>
    </row>
    <row r="361" spans="1:24" ht="12" customHeight="1" x14ac:dyDescent="0.2">
      <c r="A361" s="49">
        <v>34425</v>
      </c>
      <c r="B361" s="523"/>
      <c r="C361" s="523"/>
      <c r="D361" s="50"/>
      <c r="E361" s="50"/>
      <c r="F361" s="50"/>
      <c r="G361" s="50"/>
      <c r="H361" s="50"/>
      <c r="I361" s="50"/>
      <c r="J361" s="22">
        <v>13183.019023999999</v>
      </c>
      <c r="K361" s="22">
        <v>10717.854066</v>
      </c>
      <c r="L361" s="22">
        <v>37470.868190000001</v>
      </c>
      <c r="M361" s="22">
        <v>33254.645926999998</v>
      </c>
      <c r="N361" s="22">
        <v>10323.157739</v>
      </c>
      <c r="O361" s="22">
        <v>10323.157739</v>
      </c>
      <c r="P361" s="22">
        <v>878.26587199999994</v>
      </c>
      <c r="Q361" s="22">
        <v>9849.9993219999997</v>
      </c>
      <c r="R361" s="22">
        <v>9849.9993219999997</v>
      </c>
      <c r="S361" s="22">
        <v>10323.157739</v>
      </c>
      <c r="T361" s="22">
        <v>10323.157739</v>
      </c>
      <c r="U361" s="51" t="s">
        <v>218</v>
      </c>
      <c r="V361" s="55">
        <v>4391.91</v>
      </c>
      <c r="W361" s="55">
        <v>71532.22</v>
      </c>
      <c r="X361" s="49">
        <v>34425</v>
      </c>
    </row>
    <row r="362" spans="1:24" ht="12" customHeight="1" x14ac:dyDescent="0.2">
      <c r="A362" s="49">
        <v>34455</v>
      </c>
      <c r="B362" s="523"/>
      <c r="C362" s="523"/>
      <c r="D362" s="50"/>
      <c r="E362" s="50"/>
      <c r="F362" s="50"/>
      <c r="G362" s="50"/>
      <c r="H362" s="50"/>
      <c r="I362" s="50"/>
      <c r="J362" s="22">
        <v>19276.210416000002</v>
      </c>
      <c r="K362" s="22">
        <v>15102.528163999999</v>
      </c>
      <c r="L362" s="22">
        <v>54557.584084000002</v>
      </c>
      <c r="M362" s="22">
        <v>47374.568587000002</v>
      </c>
      <c r="N362" s="22">
        <v>14747.663145</v>
      </c>
      <c r="O362" s="22">
        <v>14747.663145</v>
      </c>
      <c r="P362" s="22">
        <v>1240.5505439999999</v>
      </c>
      <c r="Q362" s="22">
        <v>13913.124041999999</v>
      </c>
      <c r="R362" s="22">
        <v>13913.124041999999</v>
      </c>
      <c r="S362" s="22">
        <v>14747.663145</v>
      </c>
      <c r="T362" s="22">
        <v>14747.663145</v>
      </c>
      <c r="U362" s="51" t="s">
        <v>218</v>
      </c>
      <c r="V362" s="55">
        <v>6356.85</v>
      </c>
      <c r="W362" s="55">
        <v>102887.77</v>
      </c>
      <c r="X362" s="49">
        <v>34455</v>
      </c>
    </row>
    <row r="363" spans="1:24" ht="12" customHeight="1" x14ac:dyDescent="0.2">
      <c r="A363" s="49">
        <v>34486</v>
      </c>
      <c r="B363" s="523"/>
      <c r="C363" s="523"/>
      <c r="D363" s="50"/>
      <c r="E363" s="50"/>
      <c r="F363" s="50"/>
      <c r="G363" s="50"/>
      <c r="H363" s="50"/>
      <c r="I363" s="50"/>
      <c r="J363" s="22">
        <v>27969.781312999999</v>
      </c>
      <c r="K363" s="22">
        <v>21533.184656000001</v>
      </c>
      <c r="L363" s="22">
        <v>79435.842426000003</v>
      </c>
      <c r="M363" s="22">
        <v>66774.454423000003</v>
      </c>
      <c r="N363" s="22">
        <v>21049.339606000001</v>
      </c>
      <c r="O363" s="22">
        <v>21049.339606000001</v>
      </c>
      <c r="P363" s="22">
        <v>1788.9979390000001</v>
      </c>
      <c r="Q363" s="22">
        <v>20064.116180000001</v>
      </c>
      <c r="R363" s="22">
        <v>20064.116180000001</v>
      </c>
      <c r="S363" s="22">
        <v>21049.339606000001</v>
      </c>
      <c r="T363" s="22">
        <v>21049.339606000001</v>
      </c>
      <c r="U363" s="51" t="s">
        <v>218</v>
      </c>
      <c r="V363" s="55">
        <v>9356.36</v>
      </c>
      <c r="W363" s="55">
        <v>147627.07999999999</v>
      </c>
      <c r="X363" s="49">
        <v>34486</v>
      </c>
    </row>
    <row r="364" spans="1:24" ht="12" customHeight="1" x14ac:dyDescent="0.2">
      <c r="A364" s="49">
        <v>34516</v>
      </c>
      <c r="B364" s="523"/>
      <c r="C364" s="523"/>
      <c r="D364" s="50"/>
      <c r="E364" s="50"/>
      <c r="F364" s="50"/>
      <c r="G364" s="50"/>
      <c r="H364" s="50"/>
      <c r="I364" s="50"/>
      <c r="J364" s="547">
        <v>15.332525574181819</v>
      </c>
      <c r="K364" s="547">
        <v>11.370304522909091</v>
      </c>
      <c r="L364" s="547">
        <v>41.809250300727271</v>
      </c>
      <c r="M364" s="547">
        <v>35.591998288363634</v>
      </c>
      <c r="N364" s="547">
        <v>11.346741</v>
      </c>
      <c r="O364" s="22">
        <v>11.346741</v>
      </c>
      <c r="P364" s="22">
        <v>0.94101199999999996</v>
      </c>
      <c r="Q364" s="547">
        <v>10.553724000000001</v>
      </c>
      <c r="R364" s="22">
        <v>10.553724000000001</v>
      </c>
      <c r="S364" s="547">
        <v>11.346741</v>
      </c>
      <c r="T364" s="547">
        <v>11.346741</v>
      </c>
      <c r="U364" s="51" t="s">
        <v>219</v>
      </c>
      <c r="V364" s="54">
        <v>5.01</v>
      </c>
      <c r="W364" s="54">
        <v>64.790000000000006</v>
      </c>
      <c r="X364" s="49">
        <v>34516</v>
      </c>
    </row>
    <row r="365" spans="1:24" ht="12" customHeight="1" x14ac:dyDescent="0.2">
      <c r="A365" s="49">
        <v>34547</v>
      </c>
      <c r="B365" s="523"/>
      <c r="C365" s="523"/>
      <c r="D365" s="50"/>
      <c r="E365" s="50"/>
      <c r="F365" s="50"/>
      <c r="G365" s="50"/>
      <c r="H365" s="50"/>
      <c r="I365" s="50"/>
      <c r="J365" s="547">
        <v>16.398136000000001</v>
      </c>
      <c r="K365" s="547">
        <v>11.862638</v>
      </c>
      <c r="L365" s="547">
        <v>43.306021000000001</v>
      </c>
      <c r="M365" s="547">
        <v>37.538879999999999</v>
      </c>
      <c r="N365" s="547">
        <v>12.036621999999999</v>
      </c>
      <c r="O365" s="22">
        <v>12.036621999999999</v>
      </c>
      <c r="P365" s="22">
        <v>0.99003799999999997</v>
      </c>
      <c r="Q365" s="547">
        <v>11.103573000000001</v>
      </c>
      <c r="R365" s="22">
        <v>11.103573000000001</v>
      </c>
      <c r="S365" s="547">
        <v>12.036621999999999</v>
      </c>
      <c r="T365" s="547">
        <v>12.036621999999999</v>
      </c>
      <c r="U365" s="51" t="s">
        <v>219</v>
      </c>
      <c r="V365" s="54">
        <v>5.19</v>
      </c>
      <c r="W365" s="54">
        <v>64.790000000000006</v>
      </c>
      <c r="X365" s="49">
        <v>34547</v>
      </c>
    </row>
    <row r="366" spans="1:24" ht="12" customHeight="1" x14ac:dyDescent="0.2">
      <c r="A366" s="49">
        <v>34578</v>
      </c>
      <c r="B366" s="523"/>
      <c r="C366" s="523"/>
      <c r="D366" s="50"/>
      <c r="E366" s="50"/>
      <c r="F366" s="50"/>
      <c r="G366" s="50"/>
      <c r="H366" s="50"/>
      <c r="I366" s="50"/>
      <c r="J366" s="22">
        <v>16.717898999999999</v>
      </c>
      <c r="K366" s="22">
        <v>12.330024999999999</v>
      </c>
      <c r="L366" s="22">
        <v>43.366649000000002</v>
      </c>
      <c r="M366" s="22">
        <v>38.792678000000002</v>
      </c>
      <c r="N366" s="22">
        <v>12.693821</v>
      </c>
      <c r="O366" s="22">
        <v>12.693821</v>
      </c>
      <c r="P366" s="22">
        <v>1.039539</v>
      </c>
      <c r="Q366" s="22">
        <v>11.658751000000001</v>
      </c>
      <c r="R366" s="22">
        <v>11.658751000000001</v>
      </c>
      <c r="S366" s="22">
        <v>12.693821</v>
      </c>
      <c r="T366" s="22">
        <v>12.693821</v>
      </c>
      <c r="U366" s="51" t="s">
        <v>219</v>
      </c>
      <c r="V366" s="55">
        <v>5.4</v>
      </c>
      <c r="W366" s="55">
        <v>70</v>
      </c>
      <c r="X366" s="49">
        <v>34578</v>
      </c>
    </row>
    <row r="367" spans="1:24" ht="12" customHeight="1" x14ac:dyDescent="0.2">
      <c r="A367" s="49">
        <v>34608</v>
      </c>
      <c r="B367" s="523"/>
      <c r="C367" s="523"/>
      <c r="D367" s="50"/>
      <c r="E367" s="50"/>
      <c r="F367" s="50"/>
      <c r="G367" s="50"/>
      <c r="H367" s="50"/>
      <c r="I367" s="50"/>
      <c r="J367" s="22">
        <v>16.854984999999999</v>
      </c>
      <c r="K367" s="22">
        <v>12.5458</v>
      </c>
      <c r="L367" s="22">
        <v>43.531441999999998</v>
      </c>
      <c r="M367" s="22">
        <v>39.393963999999997</v>
      </c>
      <c r="N367" s="22">
        <v>12.885497000000001</v>
      </c>
      <c r="O367" s="22">
        <v>12.885497000000001</v>
      </c>
      <c r="P367" s="22">
        <v>1.0564830000000001</v>
      </c>
      <c r="Q367" s="22">
        <v>11.848788000000001</v>
      </c>
      <c r="R367" s="22">
        <v>11.848788000000001</v>
      </c>
      <c r="S367" s="22">
        <v>12.885497000000001</v>
      </c>
      <c r="T367" s="22">
        <v>12.885497000000001</v>
      </c>
      <c r="U367" s="51" t="s">
        <v>219</v>
      </c>
      <c r="V367" s="55">
        <v>5.49</v>
      </c>
      <c r="W367" s="55">
        <v>70</v>
      </c>
      <c r="X367" s="49">
        <v>34608</v>
      </c>
    </row>
    <row r="368" spans="1:24" ht="12" customHeight="1" x14ac:dyDescent="0.2">
      <c r="A368" s="49">
        <v>34639</v>
      </c>
      <c r="B368" s="523"/>
      <c r="C368" s="523"/>
      <c r="D368" s="50"/>
      <c r="E368" s="50"/>
      <c r="F368" s="50"/>
      <c r="G368" s="50"/>
      <c r="H368" s="50"/>
      <c r="I368" s="50"/>
      <c r="J368" s="22">
        <v>17.389288000000001</v>
      </c>
      <c r="K368" s="22">
        <v>12.774133000000001</v>
      </c>
      <c r="L368" s="22">
        <v>44.106057</v>
      </c>
      <c r="M368" s="22">
        <v>40.398510000000002</v>
      </c>
      <c r="N368" s="22">
        <v>13.125166999999999</v>
      </c>
      <c r="O368" s="22">
        <v>13.125166999999999</v>
      </c>
      <c r="P368" s="22">
        <v>1.0765560000000001</v>
      </c>
      <c r="Q368" s="22">
        <v>12.073914</v>
      </c>
      <c r="R368" s="22">
        <v>12.073914</v>
      </c>
      <c r="S368" s="22">
        <v>13.125166999999999</v>
      </c>
      <c r="T368" s="22">
        <v>13.125166999999999</v>
      </c>
      <c r="U368" s="51" t="s">
        <v>219</v>
      </c>
      <c r="V368" s="55">
        <v>5.59</v>
      </c>
      <c r="W368" s="55">
        <v>70</v>
      </c>
      <c r="X368" s="49">
        <v>34639</v>
      </c>
    </row>
    <row r="369" spans="1:24" ht="12" customHeight="1" x14ac:dyDescent="0.2">
      <c r="A369" s="49">
        <v>34669</v>
      </c>
      <c r="B369" s="523"/>
      <c r="C369" s="523"/>
      <c r="D369" s="50"/>
      <c r="E369" s="50"/>
      <c r="F369" s="50"/>
      <c r="G369" s="50"/>
      <c r="H369" s="50"/>
      <c r="I369" s="50"/>
      <c r="J369" s="22">
        <v>17.914444</v>
      </c>
      <c r="K369" s="22">
        <v>13.138195</v>
      </c>
      <c r="L369" s="22">
        <v>45.146959000000003</v>
      </c>
      <c r="M369" s="22">
        <v>41.396352999999998</v>
      </c>
      <c r="N369" s="22">
        <v>13.554359</v>
      </c>
      <c r="O369" s="22">
        <v>13.554359</v>
      </c>
      <c r="P369" s="22">
        <v>1.108314</v>
      </c>
      <c r="Q369" s="22">
        <v>12.430094</v>
      </c>
      <c r="R369" s="22">
        <v>12.430094</v>
      </c>
      <c r="S369" s="22">
        <v>13.554359</v>
      </c>
      <c r="T369" s="22">
        <v>13.554359</v>
      </c>
      <c r="U369" s="51" t="s">
        <v>219</v>
      </c>
      <c r="V369" s="55">
        <v>5.76</v>
      </c>
      <c r="W369" s="55">
        <v>70</v>
      </c>
      <c r="X369" s="49">
        <v>34669</v>
      </c>
    </row>
    <row r="370" spans="1:24" ht="12" customHeight="1" x14ac:dyDescent="0.2">
      <c r="A370" s="49">
        <v>34700</v>
      </c>
      <c r="B370" s="523"/>
      <c r="C370" s="523"/>
      <c r="D370" s="50"/>
      <c r="E370" s="50"/>
      <c r="F370" s="50"/>
      <c r="G370" s="50"/>
      <c r="H370" s="50"/>
      <c r="I370" s="50"/>
      <c r="J370" s="22">
        <v>18.138373999999999</v>
      </c>
      <c r="K370" s="22">
        <v>13.248555</v>
      </c>
      <c r="L370" s="22">
        <v>45.742897999999997</v>
      </c>
      <c r="M370" s="22">
        <v>41.632311999999999</v>
      </c>
      <c r="N370" s="22">
        <v>13.851198999999999</v>
      </c>
      <c r="O370" s="547">
        <v>13.851198999999999</v>
      </c>
      <c r="P370" s="547">
        <v>1.133251</v>
      </c>
      <c r="Q370" s="22">
        <v>12.709771</v>
      </c>
      <c r="R370" s="547">
        <v>12.709771</v>
      </c>
      <c r="S370" s="22">
        <v>13.851198999999999</v>
      </c>
      <c r="T370" s="22">
        <v>13.851198999999999</v>
      </c>
      <c r="U370" s="51" t="s">
        <v>219</v>
      </c>
      <c r="V370" s="55">
        <v>5.89</v>
      </c>
      <c r="W370" s="55">
        <v>70</v>
      </c>
      <c r="X370" s="49">
        <v>34700</v>
      </c>
    </row>
    <row r="371" spans="1:24" ht="12" customHeight="1" x14ac:dyDescent="0.2">
      <c r="A371" s="49">
        <v>34731</v>
      </c>
      <c r="B371" s="523">
        <v>3.6299999999999999E-2</v>
      </c>
      <c r="C371" s="523">
        <v>3.6299999999999999E-2</v>
      </c>
      <c r="D371" s="50"/>
      <c r="E371" s="50"/>
      <c r="F371" s="50"/>
      <c r="G371" s="50"/>
      <c r="H371" s="50"/>
      <c r="I371" s="50"/>
      <c r="J371" s="547">
        <v>18.283480000000001</v>
      </c>
      <c r="K371" s="547">
        <v>13.370441</v>
      </c>
      <c r="L371" s="547">
        <v>47.343899</v>
      </c>
      <c r="M371" s="547">
        <v>42.198511000000003</v>
      </c>
      <c r="N371" s="547">
        <v>14.082514</v>
      </c>
      <c r="O371" s="22">
        <v>14.082514</v>
      </c>
      <c r="P371" s="22">
        <v>1.1534219999999999</v>
      </c>
      <c r="Q371" s="547">
        <v>12.936004000000001</v>
      </c>
      <c r="R371" s="22">
        <v>12.936004000000001</v>
      </c>
      <c r="S371" s="547">
        <v>14.082514</v>
      </c>
      <c r="T371" s="547">
        <v>14.082514</v>
      </c>
      <c r="U371" s="51" t="s">
        <v>219</v>
      </c>
      <c r="V371" s="55">
        <v>5.89</v>
      </c>
      <c r="W371" s="55">
        <v>70</v>
      </c>
      <c r="X371" s="49">
        <v>34731</v>
      </c>
    </row>
    <row r="372" spans="1:24" ht="12" customHeight="1" x14ac:dyDescent="0.2">
      <c r="A372" s="49">
        <v>34759</v>
      </c>
      <c r="B372" s="523">
        <v>2.6000000000000002E-2</v>
      </c>
      <c r="C372" s="523">
        <v>6.2300000000000001E-2</v>
      </c>
      <c r="D372" s="50"/>
      <c r="E372" s="50"/>
      <c r="F372" s="50"/>
      <c r="G372" s="50"/>
      <c r="H372" s="50"/>
      <c r="I372" s="50"/>
      <c r="J372" s="22">
        <v>18.524820999999999</v>
      </c>
      <c r="K372" s="22">
        <v>13.556290000000001</v>
      </c>
      <c r="L372" s="22">
        <v>48.333385999999997</v>
      </c>
      <c r="M372" s="22">
        <v>42.683793000000001</v>
      </c>
      <c r="N372" s="22">
        <v>14.22193</v>
      </c>
      <c r="O372" s="22">
        <v>14.22193</v>
      </c>
      <c r="P372" s="22">
        <v>1.1674929999999999</v>
      </c>
      <c r="Q372" s="22">
        <v>13.093823</v>
      </c>
      <c r="R372" s="22">
        <v>13.093823</v>
      </c>
      <c r="S372" s="22">
        <v>14.22193</v>
      </c>
      <c r="T372" s="22">
        <v>14.22193</v>
      </c>
      <c r="U372" s="51" t="s">
        <v>219</v>
      </c>
      <c r="V372" s="55">
        <v>5.89</v>
      </c>
      <c r="W372" s="55">
        <v>70</v>
      </c>
      <c r="X372" s="49">
        <v>34759</v>
      </c>
    </row>
    <row r="373" spans="1:24" ht="12" customHeight="1" x14ac:dyDescent="0.2">
      <c r="A373" s="49">
        <v>34790</v>
      </c>
      <c r="B373" s="523">
        <v>4.2599999999999992E-2</v>
      </c>
      <c r="C373" s="523">
        <v>0.10489999999999999</v>
      </c>
      <c r="D373" s="50"/>
      <c r="E373" s="50"/>
      <c r="F373" s="50"/>
      <c r="G373" s="50"/>
      <c r="H373" s="50"/>
      <c r="I373" s="50"/>
      <c r="J373" s="22">
        <v>18.880496999999998</v>
      </c>
      <c r="K373" s="22">
        <v>13.708119999999999</v>
      </c>
      <c r="L373" s="22">
        <v>49.928387000000001</v>
      </c>
      <c r="M373" s="22">
        <v>43.456369000000002</v>
      </c>
      <c r="N373" s="22">
        <v>14.422459</v>
      </c>
      <c r="O373" s="22">
        <v>14.422459</v>
      </c>
      <c r="P373" s="22">
        <v>1.182436</v>
      </c>
      <c r="Q373" s="22">
        <v>13.261423000000001</v>
      </c>
      <c r="R373" s="22">
        <v>13.261423000000001</v>
      </c>
      <c r="S373" s="22">
        <v>14.422459</v>
      </c>
      <c r="T373" s="22">
        <v>14.422459</v>
      </c>
      <c r="U373" s="51" t="s">
        <v>219</v>
      </c>
      <c r="V373" s="55">
        <v>6.14</v>
      </c>
      <c r="W373" s="55">
        <v>70</v>
      </c>
      <c r="X373" s="49">
        <v>34790</v>
      </c>
    </row>
    <row r="374" spans="1:24" ht="12" customHeight="1" x14ac:dyDescent="0.2">
      <c r="A374" s="49">
        <v>34820</v>
      </c>
      <c r="B374" s="523">
        <v>4.250000000000001E-2</v>
      </c>
      <c r="C374" s="523">
        <v>0.1474</v>
      </c>
      <c r="D374" s="50"/>
      <c r="E374" s="50"/>
      <c r="F374" s="50"/>
      <c r="G374" s="50"/>
      <c r="H374" s="50"/>
      <c r="I374" s="50"/>
      <c r="J374" s="22">
        <v>19.378941999999999</v>
      </c>
      <c r="K374" s="22">
        <v>13.995990000000001</v>
      </c>
      <c r="L374" s="22">
        <v>51.076739000000003</v>
      </c>
      <c r="M374" s="22">
        <v>44.455865000000003</v>
      </c>
      <c r="N374" s="22">
        <v>14.69937</v>
      </c>
      <c r="O374" s="22">
        <v>14.69937</v>
      </c>
      <c r="P374" s="22">
        <v>1.2054929999999999</v>
      </c>
      <c r="Q374" s="22">
        <v>13.520020000000001</v>
      </c>
      <c r="R374" s="22">
        <v>13.520020000000001</v>
      </c>
      <c r="S374" s="22">
        <v>14.69937</v>
      </c>
      <c r="T374" s="22">
        <v>14.69937</v>
      </c>
      <c r="U374" s="51" t="s">
        <v>219</v>
      </c>
      <c r="V374" s="55">
        <v>6.14</v>
      </c>
      <c r="W374" s="55">
        <v>100</v>
      </c>
      <c r="X374" s="49">
        <v>34820</v>
      </c>
    </row>
    <row r="375" spans="1:24" ht="12" customHeight="1" x14ac:dyDescent="0.2">
      <c r="A375" s="49">
        <v>34851</v>
      </c>
      <c r="B375" s="523">
        <v>4.0399999999999991E-2</v>
      </c>
      <c r="C375" s="523">
        <v>0.18779999999999999</v>
      </c>
      <c r="D375" s="50"/>
      <c r="E375" s="50"/>
      <c r="F375" s="50"/>
      <c r="G375" s="50"/>
      <c r="H375" s="50"/>
      <c r="I375" s="50"/>
      <c r="J375" s="22">
        <v>19.760707</v>
      </c>
      <c r="K375" s="22">
        <v>14.077166</v>
      </c>
      <c r="L375" s="22">
        <v>55.556168999999997</v>
      </c>
      <c r="M375" s="22">
        <v>44.633687999999999</v>
      </c>
      <c r="N375" s="22">
        <v>15.077143</v>
      </c>
      <c r="O375" s="22">
        <v>15.077143</v>
      </c>
      <c r="P375" s="22">
        <v>1.238885</v>
      </c>
      <c r="Q375" s="22">
        <v>13.894524000000001</v>
      </c>
      <c r="R375" s="22">
        <v>13.894524000000001</v>
      </c>
      <c r="S375" s="22">
        <v>15.077143</v>
      </c>
      <c r="T375" s="22">
        <v>15.077143</v>
      </c>
      <c r="U375" s="51" t="s">
        <v>219</v>
      </c>
      <c r="V375" s="55">
        <v>6.14</v>
      </c>
      <c r="W375" s="55">
        <v>100</v>
      </c>
      <c r="X375" s="49">
        <v>34851</v>
      </c>
    </row>
    <row r="376" spans="1:24" ht="12" customHeight="1" x14ac:dyDescent="0.2">
      <c r="A376" s="49">
        <v>34881</v>
      </c>
      <c r="B376" s="523">
        <v>4.0200000000000014E-2</v>
      </c>
      <c r="C376" s="523">
        <v>0.22800000000000001</v>
      </c>
      <c r="D376" s="50"/>
      <c r="E376" s="50"/>
      <c r="F376" s="50"/>
      <c r="G376" s="50"/>
      <c r="H376" s="50"/>
      <c r="I376" s="50"/>
      <c r="J376" s="22">
        <v>20.286341</v>
      </c>
      <c r="K376" s="22">
        <v>14.423463999999999</v>
      </c>
      <c r="L376" s="22">
        <v>57.289521000000001</v>
      </c>
      <c r="M376" s="22">
        <v>45.803089999999997</v>
      </c>
      <c r="N376" s="22">
        <v>15.351547</v>
      </c>
      <c r="O376" s="22">
        <v>15.351547</v>
      </c>
      <c r="P376" s="22">
        <v>1.266759</v>
      </c>
      <c r="Q376" s="22">
        <v>14.20715</v>
      </c>
      <c r="R376" s="22">
        <v>14.20715</v>
      </c>
      <c r="S376" s="22">
        <v>15.351547</v>
      </c>
      <c r="T376" s="22">
        <v>15.351547</v>
      </c>
      <c r="U376" s="51" t="s">
        <v>219</v>
      </c>
      <c r="V376" s="55">
        <v>6.58</v>
      </c>
      <c r="W376" s="55">
        <v>100</v>
      </c>
      <c r="X376" s="49">
        <v>34881</v>
      </c>
    </row>
    <row r="377" spans="1:24" ht="12" customHeight="1" x14ac:dyDescent="0.2">
      <c r="A377" s="49">
        <v>34912</v>
      </c>
      <c r="B377" s="523">
        <v>3.8400000000000017E-2</v>
      </c>
      <c r="C377" s="523">
        <v>0.26640000000000003</v>
      </c>
      <c r="D377" s="50"/>
      <c r="E377" s="50"/>
      <c r="F377" s="50"/>
      <c r="G377" s="50"/>
      <c r="H377" s="50"/>
      <c r="I377" s="50"/>
      <c r="J377" s="547">
        <v>21.040991999999999</v>
      </c>
      <c r="K377" s="547">
        <v>14.685971</v>
      </c>
      <c r="L377" s="547">
        <v>57.913975999999998</v>
      </c>
      <c r="M377" s="547">
        <v>46.829079</v>
      </c>
      <c r="N377" s="547">
        <v>15.729195000000001</v>
      </c>
      <c r="O377" s="22">
        <v>15.729195000000001</v>
      </c>
      <c r="P377" s="22">
        <v>1.2995680000000001</v>
      </c>
      <c r="Q377" s="547">
        <v>14.575115</v>
      </c>
      <c r="R377" s="22">
        <v>14.575115</v>
      </c>
      <c r="S377" s="547">
        <v>15.729195000000001</v>
      </c>
      <c r="T377" s="547">
        <v>15.729195000000001</v>
      </c>
      <c r="U377" s="51" t="s">
        <v>219</v>
      </c>
      <c r="V377" s="55">
        <v>6.58</v>
      </c>
      <c r="W377" s="55">
        <v>100</v>
      </c>
      <c r="X377" s="49">
        <v>34912</v>
      </c>
    </row>
    <row r="378" spans="1:24" ht="12" customHeight="1" x14ac:dyDescent="0.2">
      <c r="A378" s="49">
        <v>34943</v>
      </c>
      <c r="B378" s="523">
        <v>3.3199999999999952E-2</v>
      </c>
      <c r="C378" s="523">
        <v>0.29959999999999998</v>
      </c>
      <c r="D378" s="50"/>
      <c r="E378" s="50"/>
      <c r="F378" s="50"/>
      <c r="G378" s="50"/>
      <c r="H378" s="50"/>
      <c r="I378" s="50"/>
      <c r="J378" s="22">
        <v>21.341878000000001</v>
      </c>
      <c r="K378" s="22">
        <v>15.009062</v>
      </c>
      <c r="L378" s="22">
        <v>58.273041999999997</v>
      </c>
      <c r="M378" s="22">
        <v>47.433174000000001</v>
      </c>
      <c r="N378" s="22">
        <v>15.889632000000001</v>
      </c>
      <c r="O378" s="22">
        <v>15.889632000000001</v>
      </c>
      <c r="P378" s="22">
        <v>1.3189310000000001</v>
      </c>
      <c r="Q378" s="22">
        <v>14.792284</v>
      </c>
      <c r="R378" s="22">
        <v>14.792284</v>
      </c>
      <c r="S378" s="22">
        <v>15.889632000000001</v>
      </c>
      <c r="T378" s="22">
        <v>15.889632000000001</v>
      </c>
      <c r="U378" s="51" t="s">
        <v>219</v>
      </c>
      <c r="V378" s="55">
        <v>6.58</v>
      </c>
      <c r="W378" s="55">
        <v>100</v>
      </c>
      <c r="X378" s="49">
        <v>34943</v>
      </c>
    </row>
    <row r="379" spans="1:24" ht="12" customHeight="1" x14ac:dyDescent="0.2">
      <c r="A379" s="49">
        <v>34973</v>
      </c>
      <c r="B379" s="523">
        <v>3.0900000000000039E-2</v>
      </c>
      <c r="C379" s="523">
        <v>0.33050000000000002</v>
      </c>
      <c r="D379" s="50"/>
      <c r="E379" s="50"/>
      <c r="F379" s="50"/>
      <c r="G379" s="50"/>
      <c r="H379" s="50"/>
      <c r="I379" s="50"/>
      <c r="J379" s="22">
        <v>21.499807000000001</v>
      </c>
      <c r="K379" s="22">
        <v>14.902497</v>
      </c>
      <c r="L379" s="22">
        <v>58.692607000000002</v>
      </c>
      <c r="M379" s="22">
        <v>46.920895000000002</v>
      </c>
      <c r="N379" s="22">
        <v>16.07554</v>
      </c>
      <c r="O379" s="22">
        <v>16.07554</v>
      </c>
      <c r="P379" s="22">
        <v>1.3317239999999999</v>
      </c>
      <c r="Q379" s="22">
        <v>14.935769000000001</v>
      </c>
      <c r="R379" s="22">
        <v>14.935769000000001</v>
      </c>
      <c r="S379" s="22">
        <v>16.07554</v>
      </c>
      <c r="T379" s="22">
        <v>16.07554</v>
      </c>
      <c r="U379" s="51" t="s">
        <v>219</v>
      </c>
      <c r="V379" s="55">
        <v>6.92</v>
      </c>
      <c r="W379" s="55">
        <v>100</v>
      </c>
      <c r="X379" s="49">
        <v>34973</v>
      </c>
    </row>
    <row r="380" spans="1:24" ht="12" customHeight="1" x14ac:dyDescent="0.2">
      <c r="A380" s="49">
        <v>35004</v>
      </c>
      <c r="B380" s="523">
        <v>2.8799999999999992E-2</v>
      </c>
      <c r="C380" s="523">
        <v>0.35930000000000001</v>
      </c>
      <c r="D380" s="50"/>
      <c r="E380" s="50"/>
      <c r="F380" s="50"/>
      <c r="G380" s="50"/>
      <c r="H380" s="50"/>
      <c r="I380" s="50"/>
      <c r="J380" s="22">
        <v>21.818003999999998</v>
      </c>
      <c r="K380" s="22">
        <v>14.979989</v>
      </c>
      <c r="L380" s="22">
        <v>59.197363000000003</v>
      </c>
      <c r="M380" s="22">
        <v>47.028813</v>
      </c>
      <c r="N380" s="22">
        <v>16.300597</v>
      </c>
      <c r="O380" s="22">
        <v>16.300597</v>
      </c>
      <c r="P380" s="22">
        <v>1.349569</v>
      </c>
      <c r="Q380" s="22">
        <v>15.135908000000001</v>
      </c>
      <c r="R380" s="22">
        <v>15.135908000000001</v>
      </c>
      <c r="S380" s="22">
        <v>16.300597</v>
      </c>
      <c r="T380" s="22">
        <v>16.300597</v>
      </c>
      <c r="U380" s="51" t="s">
        <v>219</v>
      </c>
      <c r="V380" s="55">
        <v>6.92</v>
      </c>
      <c r="W380" s="55">
        <v>100</v>
      </c>
      <c r="X380" s="49">
        <v>35004</v>
      </c>
    </row>
    <row r="381" spans="1:24" ht="12" customHeight="1" x14ac:dyDescent="0.2">
      <c r="A381" s="49">
        <v>35034</v>
      </c>
      <c r="B381" s="523">
        <v>2.7799999999999991E-2</v>
      </c>
      <c r="C381" s="523">
        <v>0.3871</v>
      </c>
      <c r="D381" s="50"/>
      <c r="E381" s="50"/>
      <c r="F381" s="50"/>
      <c r="G381" s="50"/>
      <c r="H381" s="50"/>
      <c r="I381" s="50"/>
      <c r="J381" s="22">
        <v>22.073274000000001</v>
      </c>
      <c r="K381" s="22">
        <v>15.159748</v>
      </c>
      <c r="L381" s="22">
        <v>59.629503</v>
      </c>
      <c r="M381" s="22">
        <v>47.654296000000002</v>
      </c>
      <c r="N381" s="22">
        <v>16.546735999999999</v>
      </c>
      <c r="O381" s="22">
        <v>16.546735999999999</v>
      </c>
      <c r="P381" s="22">
        <v>1.367923</v>
      </c>
      <c r="Q381" s="22">
        <v>15.341756</v>
      </c>
      <c r="R381" s="22">
        <v>15.341756</v>
      </c>
      <c r="S381" s="22">
        <v>16.546735999999999</v>
      </c>
      <c r="T381" s="22">
        <v>16.546735999999999</v>
      </c>
      <c r="U381" s="51" t="s">
        <v>219</v>
      </c>
      <c r="V381" s="55">
        <v>6.92</v>
      </c>
      <c r="W381" s="55">
        <v>100</v>
      </c>
      <c r="X381" s="49">
        <v>35034</v>
      </c>
    </row>
    <row r="382" spans="1:24" ht="12" customHeight="1" x14ac:dyDescent="0.2">
      <c r="A382" s="49">
        <v>35065</v>
      </c>
      <c r="B382" s="523">
        <v>2.579999999999999E-2</v>
      </c>
      <c r="C382" s="523">
        <v>0.41289999999999999</v>
      </c>
      <c r="D382" s="50"/>
      <c r="E382" s="50"/>
      <c r="F382" s="50"/>
      <c r="G382" s="50"/>
      <c r="H382" s="50"/>
      <c r="I382" s="50"/>
      <c r="J382" s="22">
        <v>22.34036</v>
      </c>
      <c r="K382" s="22">
        <v>15.267382</v>
      </c>
      <c r="L382" s="22">
        <v>60.142316000000001</v>
      </c>
      <c r="M382" s="22">
        <v>47.782961999999998</v>
      </c>
      <c r="N382" s="22">
        <v>16.819756999999999</v>
      </c>
      <c r="O382" s="22">
        <v>16.819756999999999</v>
      </c>
      <c r="P382" s="22">
        <v>1.387894</v>
      </c>
      <c r="Q382" s="22">
        <v>15.565745</v>
      </c>
      <c r="R382" s="22">
        <v>15.565745</v>
      </c>
      <c r="S382" s="22">
        <v>16.819756999999999</v>
      </c>
      <c r="T382" s="22">
        <v>16.819756999999999</v>
      </c>
      <c r="U382" s="51" t="s">
        <v>219</v>
      </c>
      <c r="V382" s="55">
        <v>7.21</v>
      </c>
      <c r="W382" s="55">
        <v>100</v>
      </c>
      <c r="X382" s="49">
        <v>35065</v>
      </c>
    </row>
    <row r="383" spans="1:24" ht="12" customHeight="1" x14ac:dyDescent="0.2">
      <c r="A383" s="49">
        <v>35096</v>
      </c>
      <c r="B383" s="523">
        <v>2.3500000000000021E-2</v>
      </c>
      <c r="C383" s="523">
        <v>0.43640000000000001</v>
      </c>
      <c r="D383" s="50"/>
      <c r="E383" s="50"/>
      <c r="F383" s="50"/>
      <c r="G383" s="50"/>
      <c r="H383" s="50"/>
      <c r="I383" s="50"/>
      <c r="J383" s="22">
        <v>22.746953999999999</v>
      </c>
      <c r="K383" s="22">
        <v>15.531507</v>
      </c>
      <c r="L383" s="22">
        <v>61.056479000000003</v>
      </c>
      <c r="M383" s="22">
        <v>48.638277000000002</v>
      </c>
      <c r="N383" s="22">
        <v>17.065325000000001</v>
      </c>
      <c r="O383" s="22">
        <v>17.065325000000001</v>
      </c>
      <c r="P383" s="22">
        <v>1.4105160000000001</v>
      </c>
      <c r="Q383" s="22">
        <v>15.819466</v>
      </c>
      <c r="R383" s="22">
        <v>15.819466</v>
      </c>
      <c r="S383" s="22">
        <v>17.065325000000001</v>
      </c>
      <c r="T383" s="22">
        <v>17.065325000000001</v>
      </c>
      <c r="U383" s="51" t="s">
        <v>219</v>
      </c>
      <c r="V383" s="55">
        <v>7.21</v>
      </c>
      <c r="W383" s="55">
        <v>100</v>
      </c>
      <c r="X383" s="49">
        <v>35096</v>
      </c>
    </row>
    <row r="384" spans="1:24" ht="12" customHeight="1" x14ac:dyDescent="0.2">
      <c r="A384" s="49">
        <v>35125</v>
      </c>
      <c r="B384" s="523">
        <v>2.2199999999999998E-2</v>
      </c>
      <c r="C384" s="523">
        <v>0.45860000000000001</v>
      </c>
      <c r="D384" s="50"/>
      <c r="E384" s="50"/>
      <c r="F384" s="50"/>
      <c r="G384" s="50"/>
      <c r="H384" s="50"/>
      <c r="I384" s="50"/>
      <c r="J384" s="22">
        <v>22.837941000000001</v>
      </c>
      <c r="K384" s="22">
        <v>15.682162</v>
      </c>
      <c r="L384" s="22">
        <v>61.123640999999999</v>
      </c>
      <c r="M384" s="22">
        <v>49.007927000000002</v>
      </c>
      <c r="N384" s="22">
        <v>17.186488000000001</v>
      </c>
      <c r="O384" s="22">
        <v>17.186488000000001</v>
      </c>
      <c r="P384" s="22">
        <v>1.4274420000000001</v>
      </c>
      <c r="Q384" s="22">
        <v>16.009298999999999</v>
      </c>
      <c r="R384" s="22">
        <v>16.009298999999999</v>
      </c>
      <c r="S384" s="22">
        <v>17.186488000000001</v>
      </c>
      <c r="T384" s="22">
        <v>17.186488000000001</v>
      </c>
      <c r="U384" s="51" t="s">
        <v>219</v>
      </c>
      <c r="V384" s="55">
        <v>7.21</v>
      </c>
      <c r="W384" s="55">
        <v>100</v>
      </c>
      <c r="X384" s="49">
        <v>35125</v>
      </c>
    </row>
    <row r="385" spans="1:24" ht="12" customHeight="1" x14ac:dyDescent="0.2">
      <c r="A385" s="49">
        <v>35156</v>
      </c>
      <c r="B385" s="523">
        <v>2.0699999999999996E-2</v>
      </c>
      <c r="C385" s="523">
        <v>0.4793</v>
      </c>
      <c r="D385" s="50"/>
      <c r="E385" s="50"/>
      <c r="F385" s="50"/>
      <c r="G385" s="50"/>
      <c r="H385" s="50"/>
      <c r="I385" s="50"/>
      <c r="J385" s="22">
        <v>22.890467999999998</v>
      </c>
      <c r="K385" s="22">
        <v>15.74489</v>
      </c>
      <c r="L385" s="22">
        <v>61.722651999999997</v>
      </c>
      <c r="M385" s="22">
        <v>49.115743999999999</v>
      </c>
      <c r="N385" s="22">
        <v>17.236328</v>
      </c>
      <c r="O385" s="22">
        <v>17.236328</v>
      </c>
      <c r="P385" s="22">
        <v>1.4362919999999999</v>
      </c>
      <c r="Q385" s="22">
        <v>16.108556</v>
      </c>
      <c r="R385" s="22">
        <v>16.108556</v>
      </c>
      <c r="S385" s="22">
        <v>17.236328</v>
      </c>
      <c r="T385" s="22">
        <v>17.236328</v>
      </c>
      <c r="U385" s="51" t="s">
        <v>219</v>
      </c>
      <c r="V385" s="55">
        <v>7.21</v>
      </c>
      <c r="W385" s="55">
        <v>100</v>
      </c>
      <c r="X385" s="49">
        <v>35156</v>
      </c>
    </row>
    <row r="386" spans="1:24" ht="12" customHeight="1" x14ac:dyDescent="0.2">
      <c r="A386" s="49">
        <v>35186</v>
      </c>
      <c r="B386" s="523">
        <v>2.0100000000000007E-2</v>
      </c>
      <c r="C386" s="523">
        <v>0.49940000000000001</v>
      </c>
      <c r="D386" s="50"/>
      <c r="E386" s="50"/>
      <c r="F386" s="50"/>
      <c r="G386" s="50"/>
      <c r="H386" s="50"/>
      <c r="I386" s="50"/>
      <c r="J386" s="22">
        <v>23.261292999999998</v>
      </c>
      <c r="K386" s="22">
        <v>15.795273</v>
      </c>
      <c r="L386" s="22">
        <v>61.876958000000002</v>
      </c>
      <c r="M386" s="22">
        <v>49.459553999999997</v>
      </c>
      <c r="N386" s="22">
        <v>17.396625</v>
      </c>
      <c r="O386" s="22">
        <v>17.396625</v>
      </c>
      <c r="P386" s="22">
        <v>1.4463459999999999</v>
      </c>
      <c r="Q386" s="22">
        <v>16.221315000000001</v>
      </c>
      <c r="R386" s="22">
        <v>16.221315000000001</v>
      </c>
      <c r="S386" s="22">
        <v>17.396625</v>
      </c>
      <c r="T386" s="22">
        <v>17.396625</v>
      </c>
      <c r="U386" s="51" t="s">
        <v>219</v>
      </c>
      <c r="V386" s="55">
        <v>7.21</v>
      </c>
      <c r="W386" s="55">
        <v>112</v>
      </c>
      <c r="X386" s="49">
        <v>35186</v>
      </c>
    </row>
    <row r="387" spans="1:24" ht="12" customHeight="1" x14ac:dyDescent="0.2">
      <c r="A387" s="49">
        <v>35217</v>
      </c>
      <c r="B387" s="523">
        <v>1.9799999999999984E-2</v>
      </c>
      <c r="C387" s="523">
        <v>0.51919999999999999</v>
      </c>
      <c r="D387" s="50"/>
      <c r="E387" s="50"/>
      <c r="F387" s="50"/>
      <c r="G387" s="50"/>
      <c r="H387" s="50"/>
      <c r="I387" s="50"/>
      <c r="J387" s="22">
        <v>23.572994000000001</v>
      </c>
      <c r="K387" s="22">
        <v>16.040099000000001</v>
      </c>
      <c r="L387" s="22">
        <v>63.213500000000003</v>
      </c>
      <c r="M387" s="22">
        <v>50.290474000000003</v>
      </c>
      <c r="N387" s="22">
        <v>17.619301</v>
      </c>
      <c r="O387" s="22">
        <v>17.619301</v>
      </c>
      <c r="P387" s="22">
        <v>1.4654370000000001</v>
      </c>
      <c r="Q387" s="22">
        <v>16.435435999999999</v>
      </c>
      <c r="R387" s="22">
        <v>16.435435999999999</v>
      </c>
      <c r="S387" s="22">
        <v>17.619301</v>
      </c>
      <c r="T387" s="22">
        <v>17.619301</v>
      </c>
      <c r="U387" s="51" t="s">
        <v>219</v>
      </c>
      <c r="V387" s="55">
        <v>7.21</v>
      </c>
      <c r="W387" s="55">
        <v>112</v>
      </c>
      <c r="X387" s="49">
        <v>35217</v>
      </c>
    </row>
    <row r="388" spans="1:24" ht="12" customHeight="1" x14ac:dyDescent="0.2">
      <c r="A388" s="49">
        <v>35247</v>
      </c>
      <c r="B388" s="523">
        <v>1.9299999999999984E-2</v>
      </c>
      <c r="C388" s="523">
        <v>0.53849999999999998</v>
      </c>
      <c r="D388" s="50"/>
      <c r="E388" s="50"/>
      <c r="F388" s="50"/>
      <c r="G388" s="50"/>
      <c r="H388" s="50"/>
      <c r="I388" s="50"/>
      <c r="J388" s="22">
        <v>23.905373000000001</v>
      </c>
      <c r="K388" s="22">
        <v>16.203707999999999</v>
      </c>
      <c r="L388" s="22">
        <v>64.186987000000002</v>
      </c>
      <c r="M388" s="22">
        <v>50.904017000000003</v>
      </c>
      <c r="N388" s="22">
        <v>17.853636999999999</v>
      </c>
      <c r="O388" s="22">
        <v>17.853636999999999</v>
      </c>
      <c r="P388" s="22">
        <v>1.481703</v>
      </c>
      <c r="Q388" s="22">
        <v>16.617868999999999</v>
      </c>
      <c r="R388" s="22">
        <v>16.617868999999999</v>
      </c>
      <c r="S388" s="22">
        <v>17.853636999999999</v>
      </c>
      <c r="T388" s="22">
        <v>17.853636999999999</v>
      </c>
      <c r="U388" s="51" t="s">
        <v>219</v>
      </c>
      <c r="V388" s="55">
        <v>7.7</v>
      </c>
      <c r="W388" s="55">
        <v>112</v>
      </c>
      <c r="X388" s="49">
        <v>35247</v>
      </c>
    </row>
    <row r="389" spans="1:24" ht="12" customHeight="1" x14ac:dyDescent="0.2">
      <c r="A389" s="49">
        <v>35278</v>
      </c>
      <c r="B389" s="523">
        <v>1.9700000000000051E-2</v>
      </c>
      <c r="C389" s="523">
        <v>0.55820000000000003</v>
      </c>
      <c r="D389" s="50"/>
      <c r="E389" s="50"/>
      <c r="F389" s="50"/>
      <c r="G389" s="50"/>
      <c r="H389" s="50"/>
      <c r="I389" s="50"/>
      <c r="J389" s="22">
        <v>24.218533000000001</v>
      </c>
      <c r="K389" s="22">
        <v>16.422457999999999</v>
      </c>
      <c r="L389" s="22">
        <v>64.668389000000005</v>
      </c>
      <c r="M389" s="22">
        <v>51.458869999999997</v>
      </c>
      <c r="N389" s="22">
        <v>18.067879999999999</v>
      </c>
      <c r="O389" s="22">
        <v>18.067879999999999</v>
      </c>
      <c r="P389" s="22">
        <v>1.5020020000000001</v>
      </c>
      <c r="Q389" s="22">
        <v>16.845533</v>
      </c>
      <c r="R389" s="22">
        <v>16.845533</v>
      </c>
      <c r="S389" s="22">
        <v>18.067879999999999</v>
      </c>
      <c r="T389" s="22">
        <v>18.067879999999999</v>
      </c>
      <c r="U389" s="51" t="s">
        <v>219</v>
      </c>
      <c r="V389" s="55">
        <v>7.7</v>
      </c>
      <c r="W389" s="55">
        <v>112</v>
      </c>
      <c r="X389" s="49">
        <v>35278</v>
      </c>
    </row>
    <row r="390" spans="1:24" ht="12" customHeight="1" x14ac:dyDescent="0.2">
      <c r="A390" s="49">
        <v>35309</v>
      </c>
      <c r="B390" s="523">
        <v>1.9000000000000017E-2</v>
      </c>
      <c r="C390" s="523">
        <v>0.57720000000000005</v>
      </c>
      <c r="D390" s="50"/>
      <c r="E390" s="50"/>
      <c r="F390" s="50"/>
      <c r="G390" s="50"/>
      <c r="H390" s="50"/>
      <c r="I390" s="50"/>
      <c r="J390" s="22">
        <v>24.300875999999999</v>
      </c>
      <c r="K390" s="22">
        <v>16.468440000000001</v>
      </c>
      <c r="L390" s="22">
        <v>64.817126000000002</v>
      </c>
      <c r="M390" s="22">
        <v>51.458869999999997</v>
      </c>
      <c r="N390" s="22">
        <v>18.158218999999999</v>
      </c>
      <c r="O390" s="22">
        <v>18.158218999999999</v>
      </c>
      <c r="P390" s="22">
        <v>1.512516</v>
      </c>
      <c r="Q390" s="22">
        <v>16.963450999999999</v>
      </c>
      <c r="R390" s="22">
        <v>16.963450999999999</v>
      </c>
      <c r="S390" s="22">
        <v>18.158218999999999</v>
      </c>
      <c r="T390" s="22">
        <v>18.158218999999999</v>
      </c>
      <c r="U390" s="51" t="s">
        <v>219</v>
      </c>
      <c r="V390" s="55">
        <v>7.7</v>
      </c>
      <c r="W390" s="55">
        <v>112</v>
      </c>
      <c r="X390" s="49">
        <v>35309</v>
      </c>
    </row>
    <row r="391" spans="1:24" ht="12" customHeight="1" x14ac:dyDescent="0.2">
      <c r="A391" s="49">
        <v>35339</v>
      </c>
      <c r="B391" s="523">
        <v>1.859999999999995E-2</v>
      </c>
      <c r="C391" s="523">
        <v>0.5958</v>
      </c>
      <c r="D391" s="50"/>
      <c r="E391" s="50"/>
      <c r="F391" s="50"/>
      <c r="G391" s="50"/>
      <c r="H391" s="50"/>
      <c r="I391" s="50"/>
      <c r="J391" s="22">
        <v>24.317886000000001</v>
      </c>
      <c r="K391" s="22">
        <v>16.484908000000001</v>
      </c>
      <c r="L391" s="22">
        <v>64.959722999999997</v>
      </c>
      <c r="M391" s="22">
        <v>51.525765999999997</v>
      </c>
      <c r="N391" s="22">
        <v>18.161850000000001</v>
      </c>
      <c r="O391" s="22">
        <v>18.161850000000001</v>
      </c>
      <c r="P391" s="22">
        <v>1.5141789999999999</v>
      </c>
      <c r="Q391" s="22">
        <v>16.982109999999999</v>
      </c>
      <c r="R391" s="22">
        <v>16.982109999999999</v>
      </c>
      <c r="S391" s="22">
        <v>18.161850000000001</v>
      </c>
      <c r="T391" s="22">
        <v>18.161850000000001</v>
      </c>
      <c r="U391" s="51" t="s">
        <v>219</v>
      </c>
      <c r="V391" s="55">
        <v>7.7</v>
      </c>
      <c r="W391" s="55">
        <v>112</v>
      </c>
      <c r="X391" s="49">
        <v>35339</v>
      </c>
    </row>
    <row r="392" spans="1:24" ht="12" customHeight="1" x14ac:dyDescent="0.2">
      <c r="A392" s="49">
        <v>35370</v>
      </c>
      <c r="B392" s="523">
        <v>1.8000000000000016E-2</v>
      </c>
      <c r="C392" s="523">
        <v>0.61380000000000001</v>
      </c>
      <c r="D392" s="50"/>
      <c r="E392" s="50"/>
      <c r="F392" s="50"/>
      <c r="G392" s="50"/>
      <c r="H392" s="50"/>
      <c r="I392" s="50"/>
      <c r="J392" s="22">
        <v>24.458929000000001</v>
      </c>
      <c r="K392" s="22">
        <v>16.516228999999999</v>
      </c>
      <c r="L392" s="22">
        <v>65.128618000000003</v>
      </c>
      <c r="M392" s="22">
        <v>51.639122</v>
      </c>
      <c r="N392" s="22">
        <v>18.230865000000001</v>
      </c>
      <c r="O392" s="22">
        <v>18.230865000000001</v>
      </c>
      <c r="P392" s="22">
        <v>1.5162979999999999</v>
      </c>
      <c r="Q392" s="22">
        <v>17.005884000000002</v>
      </c>
      <c r="R392" s="22">
        <v>17.005884000000002</v>
      </c>
      <c r="S392" s="22">
        <v>18.230865000000001</v>
      </c>
      <c r="T392" s="22">
        <v>18.230865000000001</v>
      </c>
      <c r="U392" s="51" t="s">
        <v>219</v>
      </c>
      <c r="V392" s="55">
        <v>7.7</v>
      </c>
      <c r="W392" s="55">
        <v>112</v>
      </c>
      <c r="X392" s="49">
        <v>35370</v>
      </c>
    </row>
    <row r="393" spans="1:24" ht="12" customHeight="1" x14ac:dyDescent="0.2">
      <c r="A393" s="49">
        <v>35400</v>
      </c>
      <c r="B393" s="523">
        <v>1.8000000000000016E-2</v>
      </c>
      <c r="C393" s="523">
        <v>0.63180000000000003</v>
      </c>
      <c r="D393" s="50"/>
      <c r="E393" s="50"/>
      <c r="F393" s="50"/>
      <c r="G393" s="50"/>
      <c r="H393" s="50"/>
      <c r="I393" s="50"/>
      <c r="J393" s="22">
        <v>24.542089000000001</v>
      </c>
      <c r="K393" s="22">
        <v>16.549261000000001</v>
      </c>
      <c r="L393" s="22">
        <v>65.506362999999993</v>
      </c>
      <c r="M393" s="22">
        <v>51.783710999999997</v>
      </c>
      <c r="N393" s="22">
        <v>18.292849</v>
      </c>
      <c r="O393" s="22">
        <v>18.292849</v>
      </c>
      <c r="P393" s="22">
        <v>1.5225139999999999</v>
      </c>
      <c r="Q393" s="22">
        <v>17.075607999999999</v>
      </c>
      <c r="R393" s="22">
        <v>17.075607999999999</v>
      </c>
      <c r="S393" s="22">
        <v>18.292849</v>
      </c>
      <c r="T393" s="22">
        <v>18.292849</v>
      </c>
      <c r="U393" s="51" t="s">
        <v>219</v>
      </c>
      <c r="V393" s="55">
        <v>7.7</v>
      </c>
      <c r="W393" s="55">
        <v>112</v>
      </c>
      <c r="X393" s="49">
        <v>35400</v>
      </c>
    </row>
    <row r="394" spans="1:24" ht="12" customHeight="1" x14ac:dyDescent="0.2">
      <c r="A394" s="49">
        <v>35431</v>
      </c>
      <c r="B394" s="523">
        <v>1.7299999999999982E-2</v>
      </c>
      <c r="C394" s="523">
        <v>0.64910000000000001</v>
      </c>
      <c r="D394" s="50"/>
      <c r="E394" s="50"/>
      <c r="F394" s="50"/>
      <c r="G394" s="50"/>
      <c r="H394" s="50"/>
      <c r="I394" s="50"/>
      <c r="J394" s="22">
        <v>24.58381</v>
      </c>
      <c r="K394" s="22">
        <v>16.670069999999999</v>
      </c>
      <c r="L394" s="22">
        <v>65.892849999999996</v>
      </c>
      <c r="M394" s="22">
        <v>52.239407</v>
      </c>
      <c r="N394" s="22">
        <v>18.353214999999999</v>
      </c>
      <c r="O394" s="22">
        <v>18.353214999999999</v>
      </c>
      <c r="P394" s="22">
        <v>1.5255590000000001</v>
      </c>
      <c r="Q394" s="22">
        <v>17.109759</v>
      </c>
      <c r="R394" s="22">
        <v>17.109759</v>
      </c>
      <c r="S394" s="22">
        <v>18.353214999999999</v>
      </c>
      <c r="T394" s="22">
        <v>18.353214999999999</v>
      </c>
      <c r="U394" s="51" t="s">
        <v>219</v>
      </c>
      <c r="V394" s="55">
        <v>7.93</v>
      </c>
      <c r="W394" s="55">
        <v>112</v>
      </c>
      <c r="X394" s="49">
        <v>35431</v>
      </c>
    </row>
    <row r="395" spans="1:24" ht="12" customHeight="1" x14ac:dyDescent="0.2">
      <c r="A395" s="49">
        <v>35462</v>
      </c>
      <c r="B395" s="523">
        <v>1.6699999999999937E-2</v>
      </c>
      <c r="C395" s="523">
        <v>0.66579999999999995</v>
      </c>
      <c r="D395" s="50"/>
      <c r="E395" s="50"/>
      <c r="F395" s="50"/>
      <c r="G395" s="50"/>
      <c r="H395" s="50"/>
      <c r="I395" s="50"/>
      <c r="J395" s="22">
        <v>24.886189999999999</v>
      </c>
      <c r="K395" s="22">
        <v>16.965129999999998</v>
      </c>
      <c r="L395" s="22">
        <v>66.103707</v>
      </c>
      <c r="M395" s="22">
        <v>53.064788999999998</v>
      </c>
      <c r="N395" s="22">
        <v>18.501875999999999</v>
      </c>
      <c r="O395" s="22">
        <v>18.501875999999999</v>
      </c>
      <c r="P395" s="22">
        <v>1.542797</v>
      </c>
      <c r="Q395" s="22">
        <v>17.303099</v>
      </c>
      <c r="R395" s="22">
        <v>17.303099</v>
      </c>
      <c r="S395" s="22">
        <v>18.501875999999999</v>
      </c>
      <c r="T395" s="22">
        <v>18.501875999999999</v>
      </c>
      <c r="U395" s="51" t="s">
        <v>219</v>
      </c>
      <c r="V395" s="55">
        <v>7.93</v>
      </c>
      <c r="W395" s="55">
        <v>112</v>
      </c>
      <c r="X395" s="49">
        <v>35462</v>
      </c>
    </row>
    <row r="396" spans="1:24" ht="12" customHeight="1" x14ac:dyDescent="0.2">
      <c r="A396" s="49">
        <v>35490</v>
      </c>
      <c r="B396" s="523">
        <v>1.6400000000000081E-2</v>
      </c>
      <c r="C396" s="523">
        <v>0.68220000000000003</v>
      </c>
      <c r="D396" s="50"/>
      <c r="E396" s="50"/>
      <c r="F396" s="50"/>
      <c r="G396" s="50"/>
      <c r="H396" s="50"/>
      <c r="I396" s="50"/>
      <c r="J396" s="22">
        <v>24.888677999999999</v>
      </c>
      <c r="K396" s="22">
        <v>17.038080000000001</v>
      </c>
      <c r="L396" s="22">
        <v>66.421003999999996</v>
      </c>
      <c r="M396" s="22">
        <v>53.287661</v>
      </c>
      <c r="N396" s="22">
        <v>18.585134</v>
      </c>
      <c r="O396" s="22">
        <v>18.585134</v>
      </c>
      <c r="P396" s="22">
        <v>1.55375</v>
      </c>
      <c r="Q396" s="22">
        <v>17.425951000000001</v>
      </c>
      <c r="R396" s="22">
        <v>17.425951000000001</v>
      </c>
      <c r="S396" s="22">
        <v>18.585134</v>
      </c>
      <c r="T396" s="22">
        <v>18.585134</v>
      </c>
      <c r="U396" s="51" t="s">
        <v>219</v>
      </c>
      <c r="V396" s="55">
        <v>7.93</v>
      </c>
      <c r="W396" s="55">
        <v>112</v>
      </c>
      <c r="X396" s="49">
        <v>35490</v>
      </c>
    </row>
    <row r="397" spans="1:24" ht="12" customHeight="1" x14ac:dyDescent="0.2">
      <c r="A397" s="49">
        <v>35521</v>
      </c>
      <c r="B397" s="523">
        <v>1.6599999999999948E-2</v>
      </c>
      <c r="C397" s="523">
        <v>0.69879999999999998</v>
      </c>
      <c r="D397" s="50"/>
      <c r="E397" s="50"/>
      <c r="F397" s="50"/>
      <c r="G397" s="50"/>
      <c r="H397" s="50"/>
      <c r="I397" s="50"/>
      <c r="J397" s="22">
        <v>24.940943999999998</v>
      </c>
      <c r="K397" s="22">
        <v>17.234017000000001</v>
      </c>
      <c r="L397" s="22">
        <v>66.905877000000004</v>
      </c>
      <c r="M397" s="22">
        <v>53.905797</v>
      </c>
      <c r="N397" s="22">
        <v>18.711511999999999</v>
      </c>
      <c r="O397" s="22">
        <v>18.711511999999999</v>
      </c>
      <c r="P397" s="22">
        <v>1.5629169999999999</v>
      </c>
      <c r="Q397" s="22">
        <v>17.528763999999999</v>
      </c>
      <c r="R397" s="22">
        <v>17.528763999999999</v>
      </c>
      <c r="S397" s="22">
        <v>18.711511999999999</v>
      </c>
      <c r="T397" s="22">
        <v>18.711511999999999</v>
      </c>
      <c r="U397" s="51" t="s">
        <v>219</v>
      </c>
      <c r="V397" s="55">
        <v>7.93</v>
      </c>
      <c r="W397" s="55">
        <v>112</v>
      </c>
      <c r="X397" s="49">
        <v>35521</v>
      </c>
    </row>
    <row r="398" spans="1:24" ht="12" customHeight="1" x14ac:dyDescent="0.2">
      <c r="A398" s="49">
        <v>35551</v>
      </c>
      <c r="B398" s="523">
        <v>1.5800000000000036E-2</v>
      </c>
      <c r="C398" s="523">
        <v>0.71460000000000001</v>
      </c>
      <c r="D398" s="50"/>
      <c r="E398" s="50"/>
      <c r="F398" s="50"/>
      <c r="G398" s="50"/>
      <c r="H398" s="50"/>
      <c r="I398" s="50"/>
      <c r="J398" s="22">
        <v>25.100566000000001</v>
      </c>
      <c r="K398" s="22">
        <v>17.351208</v>
      </c>
      <c r="L398" s="22">
        <v>67.059759999999997</v>
      </c>
      <c r="M398" s="22">
        <v>54.223841</v>
      </c>
      <c r="N398" s="22">
        <v>18.823781</v>
      </c>
      <c r="O398" s="22">
        <v>18.823781</v>
      </c>
      <c r="P398" s="22">
        <v>1.5735440000000001</v>
      </c>
      <c r="Q398" s="22">
        <v>17.647959</v>
      </c>
      <c r="R398" s="22">
        <v>17.647959</v>
      </c>
      <c r="S398" s="22">
        <v>18.823781</v>
      </c>
      <c r="T398" s="22">
        <v>18.823781</v>
      </c>
      <c r="U398" s="51" t="s">
        <v>219</v>
      </c>
      <c r="V398" s="55">
        <v>7.93</v>
      </c>
      <c r="W398" s="55">
        <v>120</v>
      </c>
      <c r="X398" s="49">
        <v>35551</v>
      </c>
    </row>
    <row r="399" spans="1:24" ht="12" customHeight="1" x14ac:dyDescent="0.2">
      <c r="A399" s="49">
        <v>35582</v>
      </c>
      <c r="B399" s="523">
        <v>1.6100000000000003E-2</v>
      </c>
      <c r="C399" s="523">
        <v>0.73070000000000002</v>
      </c>
      <c r="D399" s="50"/>
      <c r="E399" s="50"/>
      <c r="F399" s="50"/>
      <c r="G399" s="50"/>
      <c r="H399" s="50"/>
      <c r="I399" s="50"/>
      <c r="J399" s="22">
        <v>25.238619</v>
      </c>
      <c r="K399" s="22">
        <v>17.387644999999999</v>
      </c>
      <c r="L399" s="22">
        <v>67.636472999999995</v>
      </c>
      <c r="M399" s="22">
        <v>54.386512000000003</v>
      </c>
      <c r="N399" s="22">
        <v>18.844487000000001</v>
      </c>
      <c r="O399" s="22">
        <v>18.844487000000001</v>
      </c>
      <c r="P399" s="22">
        <v>1.5814109999999999</v>
      </c>
      <c r="Q399" s="22">
        <v>17.736198000000002</v>
      </c>
      <c r="R399" s="22">
        <v>17.736198000000002</v>
      </c>
      <c r="S399" s="22">
        <v>18.844487000000001</v>
      </c>
      <c r="T399" s="22">
        <v>18.844487000000001</v>
      </c>
      <c r="U399" s="51" t="s">
        <v>219</v>
      </c>
      <c r="V399" s="55">
        <v>7.93</v>
      </c>
      <c r="W399" s="55">
        <v>120</v>
      </c>
      <c r="X399" s="49">
        <v>35582</v>
      </c>
    </row>
    <row r="400" spans="1:24" ht="12" customHeight="1" x14ac:dyDescent="0.2">
      <c r="A400" s="49">
        <v>35612</v>
      </c>
      <c r="B400" s="523">
        <v>1.6000000000000014E-2</v>
      </c>
      <c r="C400" s="523">
        <v>0.74670000000000003</v>
      </c>
      <c r="D400" s="50"/>
      <c r="E400" s="50"/>
      <c r="F400" s="50"/>
      <c r="G400" s="50"/>
      <c r="H400" s="50"/>
      <c r="I400" s="50"/>
      <c r="J400" s="22">
        <v>25.597007000000001</v>
      </c>
      <c r="K400" s="22">
        <v>17.516313</v>
      </c>
      <c r="L400" s="22">
        <v>68.387236999999999</v>
      </c>
      <c r="M400" s="22">
        <v>54.767217000000002</v>
      </c>
      <c r="N400" s="22">
        <v>18.910442</v>
      </c>
      <c r="O400" s="22">
        <v>18.910442</v>
      </c>
      <c r="P400" s="22">
        <v>1.5901080000000001</v>
      </c>
      <c r="Q400" s="22">
        <v>17.833746999999999</v>
      </c>
      <c r="R400" s="22">
        <v>17.833746999999999</v>
      </c>
      <c r="S400" s="22">
        <v>18.910442</v>
      </c>
      <c r="T400" s="22">
        <v>18.910442</v>
      </c>
      <c r="U400" s="51" t="s">
        <v>219</v>
      </c>
      <c r="V400" s="55">
        <v>7.93</v>
      </c>
      <c r="W400" s="55">
        <v>120</v>
      </c>
      <c r="X400" s="49">
        <v>35612</v>
      </c>
    </row>
    <row r="401" spans="1:24" ht="12" customHeight="1" x14ac:dyDescent="0.2">
      <c r="A401" s="49">
        <v>35643</v>
      </c>
      <c r="B401" s="523">
        <v>1.5899999999999914E-2</v>
      </c>
      <c r="C401" s="523">
        <v>0.76259999999999994</v>
      </c>
      <c r="D401" s="50"/>
      <c r="E401" s="50"/>
      <c r="F401" s="50"/>
      <c r="G401" s="50"/>
      <c r="H401" s="50"/>
      <c r="I401" s="50"/>
      <c r="J401" s="22">
        <v>25.625163000000001</v>
      </c>
      <c r="K401" s="22">
        <v>17.532077000000001</v>
      </c>
      <c r="L401" s="22">
        <v>68.736011000000005</v>
      </c>
      <c r="M401" s="22">
        <v>54.816507000000001</v>
      </c>
      <c r="N401" s="22">
        <v>18.944479999999999</v>
      </c>
      <c r="O401" s="22">
        <v>18.944479999999999</v>
      </c>
      <c r="P401" s="22">
        <v>1.595037</v>
      </c>
      <c r="Q401" s="22">
        <v>17.889030999999999</v>
      </c>
      <c r="R401" s="22">
        <v>17.889030999999999</v>
      </c>
      <c r="S401" s="22">
        <v>18.944479999999999</v>
      </c>
      <c r="T401" s="22">
        <v>18.944479999999999</v>
      </c>
      <c r="U401" s="51" t="s">
        <v>219</v>
      </c>
      <c r="V401" s="55">
        <v>7.93</v>
      </c>
      <c r="W401" s="55">
        <v>120</v>
      </c>
      <c r="X401" s="49">
        <v>35643</v>
      </c>
    </row>
    <row r="402" spans="1:24" ht="12" customHeight="1" x14ac:dyDescent="0.2">
      <c r="A402" s="49">
        <v>35674</v>
      </c>
      <c r="B402" s="523">
        <v>1.5900000000000025E-2</v>
      </c>
      <c r="C402" s="523">
        <v>0.77849999999999997</v>
      </c>
      <c r="D402" s="50"/>
      <c r="E402" s="50"/>
      <c r="F402" s="50"/>
      <c r="G402" s="50"/>
      <c r="H402" s="50"/>
      <c r="I402" s="50"/>
      <c r="J402" s="22">
        <v>25.430410999999999</v>
      </c>
      <c r="K402" s="22">
        <v>17.547854999999998</v>
      </c>
      <c r="L402" s="22">
        <v>69.547094999999999</v>
      </c>
      <c r="M402" s="22">
        <v>54.794580000000003</v>
      </c>
      <c r="N402" s="22">
        <v>18.938796</v>
      </c>
      <c r="O402" s="22">
        <v>18.938796</v>
      </c>
      <c r="P402" s="22">
        <v>1.5977479999999999</v>
      </c>
      <c r="Q402" s="22">
        <v>17.919442</v>
      </c>
      <c r="R402" s="22">
        <v>17.919442</v>
      </c>
      <c r="S402" s="22">
        <v>18.938796</v>
      </c>
      <c r="T402" s="22">
        <v>18.938796</v>
      </c>
      <c r="U402" s="51" t="s">
        <v>219</v>
      </c>
      <c r="V402" s="55">
        <v>7.93</v>
      </c>
      <c r="W402" s="55">
        <v>120</v>
      </c>
      <c r="X402" s="49">
        <v>35674</v>
      </c>
    </row>
    <row r="403" spans="1:24" ht="12" customHeight="1" x14ac:dyDescent="0.2">
      <c r="A403" s="49">
        <v>35704</v>
      </c>
      <c r="B403" s="523">
        <v>1.6700000000000048E-2</v>
      </c>
      <c r="C403" s="523">
        <v>0.79520000000000002</v>
      </c>
      <c r="D403" s="50"/>
      <c r="E403" s="50"/>
      <c r="F403" s="50"/>
      <c r="G403" s="50"/>
      <c r="H403" s="50"/>
      <c r="I403" s="50"/>
      <c r="J403" s="22">
        <v>25.432953999999999</v>
      </c>
      <c r="K403" s="22">
        <v>17.632083999999999</v>
      </c>
      <c r="L403" s="22">
        <v>69.734871999999996</v>
      </c>
      <c r="M403" s="22">
        <v>55.117868000000001</v>
      </c>
      <c r="N403" s="22">
        <v>18.957733999999999</v>
      </c>
      <c r="O403" s="22">
        <v>18.957733999999999</v>
      </c>
      <c r="P403" s="22">
        <v>1.596949</v>
      </c>
      <c r="Q403" s="22">
        <v>17.910481999999998</v>
      </c>
      <c r="R403" s="22">
        <v>17.910481999999998</v>
      </c>
      <c r="S403" s="22">
        <v>18.957733999999999</v>
      </c>
      <c r="T403" s="22">
        <v>18.957733999999999</v>
      </c>
      <c r="U403" s="51" t="s">
        <v>219</v>
      </c>
      <c r="V403" s="55">
        <v>7.93</v>
      </c>
      <c r="W403" s="55">
        <v>120</v>
      </c>
      <c r="X403" s="49">
        <v>35704</v>
      </c>
    </row>
    <row r="404" spans="1:24" ht="12" customHeight="1" x14ac:dyDescent="0.2">
      <c r="A404" s="49">
        <v>35735</v>
      </c>
      <c r="B404" s="523">
        <v>3.0399999999999983E-2</v>
      </c>
      <c r="C404" s="523">
        <v>0.8256</v>
      </c>
      <c r="D404" s="50"/>
      <c r="E404" s="50"/>
      <c r="F404" s="50"/>
      <c r="G404" s="50"/>
      <c r="H404" s="50"/>
      <c r="I404" s="50"/>
      <c r="J404" s="22">
        <v>25.488906</v>
      </c>
      <c r="K404" s="22">
        <v>17.697322</v>
      </c>
      <c r="L404" s="22">
        <v>69.839473999999996</v>
      </c>
      <c r="M404" s="22">
        <v>55.305267999999998</v>
      </c>
      <c r="N404" s="22">
        <v>19.012710999999999</v>
      </c>
      <c r="O404" s="22">
        <v>19.012710999999999</v>
      </c>
      <c r="P404" s="22">
        <v>1.6009409999999999</v>
      </c>
      <c r="Q404" s="22">
        <v>17.955258000000001</v>
      </c>
      <c r="R404" s="22">
        <v>17.955258000000001</v>
      </c>
      <c r="S404" s="22">
        <v>19.012710999999999</v>
      </c>
      <c r="T404" s="22">
        <v>19.012710999999999</v>
      </c>
      <c r="U404" s="51" t="s">
        <v>219</v>
      </c>
      <c r="V404" s="55">
        <v>7.93</v>
      </c>
      <c r="W404" s="55">
        <v>120</v>
      </c>
      <c r="X404" s="49">
        <v>35735</v>
      </c>
    </row>
    <row r="405" spans="1:24" ht="12" customHeight="1" x14ac:dyDescent="0.2">
      <c r="A405" s="49">
        <v>35765</v>
      </c>
      <c r="B405" s="523">
        <v>2.9699999999999949E-2</v>
      </c>
      <c r="C405" s="523">
        <v>0.85529999999999995</v>
      </c>
      <c r="D405" s="50"/>
      <c r="E405" s="50"/>
      <c r="F405" s="50"/>
      <c r="G405" s="50"/>
      <c r="H405" s="50"/>
      <c r="I405" s="50"/>
      <c r="J405" s="22">
        <v>25.623996999999999</v>
      </c>
      <c r="K405" s="22">
        <v>17.810583999999999</v>
      </c>
      <c r="L405" s="22">
        <v>70.216606999999996</v>
      </c>
      <c r="M405" s="22">
        <v>55.764301000000003</v>
      </c>
      <c r="N405" s="22">
        <v>19.041229999999999</v>
      </c>
      <c r="O405" s="22">
        <v>19.041229999999999</v>
      </c>
      <c r="P405" s="22">
        <v>1.602061</v>
      </c>
      <c r="Q405" s="22">
        <v>17.967825999999999</v>
      </c>
      <c r="R405" s="22">
        <v>17.967825999999999</v>
      </c>
      <c r="S405" s="22">
        <v>19.041229999999999</v>
      </c>
      <c r="T405" s="22">
        <v>19.041229999999999</v>
      </c>
      <c r="U405" s="51" t="s">
        <v>219</v>
      </c>
      <c r="V405" s="55">
        <v>7.93</v>
      </c>
      <c r="W405" s="55">
        <v>120</v>
      </c>
      <c r="X405" s="49">
        <v>35765</v>
      </c>
    </row>
    <row r="406" spans="1:24" ht="12" customHeight="1" x14ac:dyDescent="0.2">
      <c r="A406" s="49">
        <v>35796</v>
      </c>
      <c r="B406" s="523">
        <v>2.6700000000000057E-2</v>
      </c>
      <c r="C406" s="523">
        <v>0.88200000000000001</v>
      </c>
      <c r="D406" s="50"/>
      <c r="E406" s="50"/>
      <c r="F406" s="50"/>
      <c r="G406" s="50"/>
      <c r="H406" s="50"/>
      <c r="I406" s="50"/>
      <c r="J406" s="22">
        <v>25.770053000000001</v>
      </c>
      <c r="K406" s="22">
        <v>17.960191999999999</v>
      </c>
      <c r="L406" s="22">
        <v>70.378105000000005</v>
      </c>
      <c r="M406" s="22">
        <v>56.149073999999999</v>
      </c>
      <c r="N406" s="22">
        <v>19.149764999999999</v>
      </c>
      <c r="O406" s="22">
        <v>19.149764999999999</v>
      </c>
      <c r="P406" s="22">
        <v>1.6099110000000001</v>
      </c>
      <c r="Q406" s="22">
        <v>18.055868</v>
      </c>
      <c r="R406" s="22">
        <v>18.055868</v>
      </c>
      <c r="S406" s="22">
        <v>19.149764999999999</v>
      </c>
      <c r="T406" s="22">
        <v>19.149764999999999</v>
      </c>
      <c r="U406" s="51" t="s">
        <v>219</v>
      </c>
      <c r="V406" s="55">
        <v>8.3699999999999992</v>
      </c>
      <c r="W406" s="55">
        <v>120</v>
      </c>
      <c r="X406" s="49">
        <v>35796</v>
      </c>
    </row>
    <row r="407" spans="1:24" ht="12" customHeight="1" x14ac:dyDescent="0.2">
      <c r="A407" s="49">
        <v>35827</v>
      </c>
      <c r="B407" s="523">
        <v>2.1299999999999986E-2</v>
      </c>
      <c r="C407" s="523">
        <v>0.90329999999999999</v>
      </c>
      <c r="D407" s="50"/>
      <c r="E407" s="50"/>
      <c r="F407" s="50"/>
      <c r="G407" s="50"/>
      <c r="H407" s="50"/>
      <c r="I407" s="50"/>
      <c r="J407" s="22">
        <v>25.831900999999998</v>
      </c>
      <c r="K407" s="22">
        <v>18.132608999999999</v>
      </c>
      <c r="L407" s="22">
        <v>70.610352000000006</v>
      </c>
      <c r="M407" s="22">
        <v>56.643185000000003</v>
      </c>
      <c r="N407" s="22">
        <v>19.312538</v>
      </c>
      <c r="O407" s="22">
        <v>19.312538</v>
      </c>
      <c r="P407" s="22">
        <v>1.6186039999999999</v>
      </c>
      <c r="Q407" s="22">
        <v>18.153369000000001</v>
      </c>
      <c r="R407" s="22">
        <v>18.153369000000001</v>
      </c>
      <c r="S407" s="22">
        <v>19.312538</v>
      </c>
      <c r="T407" s="22">
        <v>19.312538</v>
      </c>
      <c r="U407" s="51" t="s">
        <v>219</v>
      </c>
      <c r="V407" s="55">
        <v>8.3699999999999992</v>
      </c>
      <c r="W407" s="55">
        <v>120</v>
      </c>
      <c r="X407" s="49">
        <v>35827</v>
      </c>
    </row>
    <row r="408" spans="1:24" ht="12" customHeight="1" x14ac:dyDescent="0.2">
      <c r="A408" s="49">
        <v>35855</v>
      </c>
      <c r="B408" s="523">
        <v>2.200000000000002E-2</v>
      </c>
      <c r="C408" s="523">
        <v>0.92530000000000001</v>
      </c>
      <c r="D408" s="50"/>
      <c r="E408" s="50"/>
      <c r="F408" s="50"/>
      <c r="G408" s="50"/>
      <c r="H408" s="50"/>
      <c r="I408" s="50"/>
      <c r="J408" s="22">
        <v>25.790569000000001</v>
      </c>
      <c r="K408" s="22">
        <v>18.165247000000001</v>
      </c>
      <c r="L408" s="22">
        <v>70.949280999999999</v>
      </c>
      <c r="M408" s="22">
        <v>56.654513000000001</v>
      </c>
      <c r="N408" s="22">
        <v>19.416824999999999</v>
      </c>
      <c r="O408" s="22">
        <v>19.416824999999999</v>
      </c>
      <c r="P408" s="22">
        <v>1.6289629999999999</v>
      </c>
      <c r="Q408" s="22">
        <v>18.269549999999999</v>
      </c>
      <c r="R408" s="22">
        <v>18.269549999999999</v>
      </c>
      <c r="S408" s="22">
        <v>19.416824999999999</v>
      </c>
      <c r="T408" s="22">
        <v>19.416824999999999</v>
      </c>
      <c r="U408" s="51" t="s">
        <v>219</v>
      </c>
      <c r="V408" s="55">
        <v>8.3699999999999992</v>
      </c>
      <c r="W408" s="55">
        <v>120</v>
      </c>
      <c r="X408" s="49">
        <v>35855</v>
      </c>
    </row>
    <row r="409" spans="1:24" ht="12" customHeight="1" x14ac:dyDescent="0.2">
      <c r="A409" s="49">
        <v>35886</v>
      </c>
      <c r="B409" s="523">
        <v>1.7100000000000004E-2</v>
      </c>
      <c r="C409" s="523">
        <v>0.94240000000000002</v>
      </c>
      <c r="D409" s="50"/>
      <c r="E409" s="50"/>
      <c r="F409" s="50"/>
      <c r="G409" s="50"/>
      <c r="H409" s="50"/>
      <c r="I409" s="50"/>
      <c r="J409" s="22">
        <v>25.731249999999999</v>
      </c>
      <c r="K409" s="22">
        <v>18.199760000000001</v>
      </c>
      <c r="L409" s="22">
        <v>71.282741999999999</v>
      </c>
      <c r="M409" s="22">
        <v>56.784818000000001</v>
      </c>
      <c r="N409" s="22">
        <v>19.511966999999999</v>
      </c>
      <c r="O409" s="22">
        <v>19.511966999999999</v>
      </c>
      <c r="P409" s="22">
        <v>1.6353150000000001</v>
      </c>
      <c r="Q409" s="22">
        <v>18.340800999999999</v>
      </c>
      <c r="R409" s="22">
        <v>18.340800999999999</v>
      </c>
      <c r="S409" s="22">
        <v>19.511966999999999</v>
      </c>
      <c r="T409" s="22">
        <v>19.511966999999999</v>
      </c>
      <c r="U409" s="51" t="s">
        <v>219</v>
      </c>
      <c r="V409" s="55">
        <v>8.3699999999999992</v>
      </c>
      <c r="W409" s="55">
        <v>120</v>
      </c>
      <c r="X409" s="49">
        <v>35886</v>
      </c>
    </row>
    <row r="410" spans="1:24" ht="12" customHeight="1" x14ac:dyDescent="0.2">
      <c r="A410" s="49">
        <v>35916</v>
      </c>
      <c r="B410" s="523">
        <v>1.6299999999999981E-2</v>
      </c>
      <c r="C410" s="523">
        <v>0.9587</v>
      </c>
      <c r="D410" s="50"/>
      <c r="E410" s="50"/>
      <c r="F410" s="50"/>
      <c r="G410" s="50"/>
      <c r="H410" s="50"/>
      <c r="I410" s="50"/>
      <c r="J410" s="22">
        <v>25.890782999999999</v>
      </c>
      <c r="K410" s="22">
        <v>18.223419</v>
      </c>
      <c r="L410" s="22">
        <v>70.926327999999998</v>
      </c>
      <c r="M410" s="22">
        <v>56.710996999999999</v>
      </c>
      <c r="N410" s="22">
        <v>19.599769999999999</v>
      </c>
      <c r="O410" s="22">
        <v>19.599769999999999</v>
      </c>
      <c r="P410" s="22">
        <v>1.6389119999999999</v>
      </c>
      <c r="Q410" s="22">
        <v>18.381150000000002</v>
      </c>
      <c r="R410" s="22">
        <v>18.381150000000002</v>
      </c>
      <c r="S410" s="22">
        <v>19.599769999999999</v>
      </c>
      <c r="T410" s="22">
        <v>19.599769999999999</v>
      </c>
      <c r="U410" s="51" t="s">
        <v>219</v>
      </c>
      <c r="V410" s="55">
        <v>8.3699999999999992</v>
      </c>
      <c r="W410" s="55">
        <v>130</v>
      </c>
      <c r="X410" s="49">
        <v>35916</v>
      </c>
    </row>
    <row r="411" spans="1:24" ht="12" customHeight="1" x14ac:dyDescent="0.2">
      <c r="A411" s="49">
        <v>35947</v>
      </c>
      <c r="B411" s="523">
        <v>1.6000000000000014E-2</v>
      </c>
      <c r="C411" s="523">
        <v>0.97470000000000001</v>
      </c>
      <c r="D411" s="50"/>
      <c r="E411" s="50"/>
      <c r="F411" s="50"/>
      <c r="G411" s="50"/>
      <c r="H411" s="50"/>
      <c r="I411" s="50"/>
      <c r="J411" s="22">
        <v>26.025414999999999</v>
      </c>
      <c r="K411" s="22">
        <v>18.248930999999999</v>
      </c>
      <c r="L411" s="22">
        <v>71.621405999999993</v>
      </c>
      <c r="M411" s="22">
        <v>56.841431999999998</v>
      </c>
      <c r="N411" s="22">
        <v>19.740888000000002</v>
      </c>
      <c r="O411" s="22">
        <v>19.740888000000002</v>
      </c>
      <c r="P411" s="22">
        <v>1.6456310000000001</v>
      </c>
      <c r="Q411" s="22">
        <v>18.456512</v>
      </c>
      <c r="R411" s="22">
        <v>18.456512</v>
      </c>
      <c r="S411" s="22">
        <v>19.740888000000002</v>
      </c>
      <c r="T411" s="22">
        <v>19.740888000000002</v>
      </c>
      <c r="U411" s="51" t="s">
        <v>219</v>
      </c>
      <c r="V411" s="55">
        <v>8.3699999999999992</v>
      </c>
      <c r="W411" s="55">
        <v>130</v>
      </c>
      <c r="X411" s="49">
        <v>35947</v>
      </c>
    </row>
    <row r="412" spans="1:24" ht="12" customHeight="1" x14ac:dyDescent="0.2">
      <c r="A412" s="49">
        <v>35977</v>
      </c>
      <c r="B412" s="523">
        <v>1.7000000000000015E-2</v>
      </c>
      <c r="C412" s="523">
        <v>0.99170000000000003</v>
      </c>
      <c r="D412" s="50"/>
      <c r="E412" s="50"/>
      <c r="F412" s="50"/>
      <c r="G412" s="50"/>
      <c r="H412" s="50"/>
      <c r="I412" s="50"/>
      <c r="J412" s="22">
        <v>26.074863000000001</v>
      </c>
      <c r="K412" s="22">
        <v>18.318276000000001</v>
      </c>
      <c r="L412" s="22">
        <v>71.900728999999998</v>
      </c>
      <c r="M412" s="22">
        <v>57.000588</v>
      </c>
      <c r="N412" s="22">
        <v>19.770499000000001</v>
      </c>
      <c r="O412" s="22">
        <v>19.770499000000001</v>
      </c>
      <c r="P412" s="22">
        <v>1.6512260000000001</v>
      </c>
      <c r="Q412" s="22">
        <v>18.519264</v>
      </c>
      <c r="R412" s="22">
        <v>18.519264</v>
      </c>
      <c r="S412" s="22">
        <v>19.770499000000001</v>
      </c>
      <c r="T412" s="22">
        <v>19.770499000000001</v>
      </c>
      <c r="U412" s="51" t="s">
        <v>219</v>
      </c>
      <c r="V412" s="55">
        <v>8.3699999999999992</v>
      </c>
      <c r="W412" s="55">
        <v>130</v>
      </c>
      <c r="X412" s="49">
        <v>35977</v>
      </c>
    </row>
    <row r="413" spans="1:24" ht="12" customHeight="1" x14ac:dyDescent="0.2">
      <c r="A413" s="49">
        <v>36008</v>
      </c>
      <c r="B413" s="523">
        <v>1.4799999999999924E-2</v>
      </c>
      <c r="C413" s="523">
        <v>1.0065</v>
      </c>
      <c r="D413" s="50"/>
      <c r="E413" s="50"/>
      <c r="F413" s="50"/>
      <c r="G413" s="50"/>
      <c r="H413" s="50"/>
      <c r="I413" s="50"/>
      <c r="J413" s="22">
        <v>25.874085999999998</v>
      </c>
      <c r="K413" s="22">
        <v>18.287134000000002</v>
      </c>
      <c r="L413" s="22">
        <v>72.145190999999997</v>
      </c>
      <c r="M413" s="22">
        <v>56.783985000000001</v>
      </c>
      <c r="N413" s="22">
        <v>19.715140999999999</v>
      </c>
      <c r="O413" s="22">
        <v>19.715140999999999</v>
      </c>
      <c r="P413" s="22">
        <v>1.6494089999999999</v>
      </c>
      <c r="Q413" s="22">
        <v>18.498892000000001</v>
      </c>
      <c r="R413" s="22">
        <v>18.498892000000001</v>
      </c>
      <c r="S413" s="22">
        <v>19.715140999999999</v>
      </c>
      <c r="T413" s="22">
        <v>19.715140999999999</v>
      </c>
      <c r="U413" s="51" t="s">
        <v>219</v>
      </c>
      <c r="V413" s="55">
        <v>8.3699999999999992</v>
      </c>
      <c r="W413" s="55">
        <v>130</v>
      </c>
      <c r="X413" s="49">
        <v>36008</v>
      </c>
    </row>
    <row r="414" spans="1:24" ht="12" customHeight="1" x14ac:dyDescent="0.2">
      <c r="A414" s="49">
        <v>36039</v>
      </c>
      <c r="B414" s="523">
        <v>2.4900000000000144E-2</v>
      </c>
      <c r="C414" s="523">
        <v>1.0314000000000001</v>
      </c>
      <c r="D414" s="50"/>
      <c r="E414" s="50"/>
      <c r="F414" s="50"/>
      <c r="G414" s="50"/>
      <c r="H414" s="50"/>
      <c r="I414" s="50"/>
      <c r="J414" s="22">
        <v>25.615345000000001</v>
      </c>
      <c r="K414" s="22">
        <v>18.257874000000001</v>
      </c>
      <c r="L414" s="22">
        <v>72.303910000000002</v>
      </c>
      <c r="M414" s="22">
        <v>56.687452</v>
      </c>
      <c r="N414" s="22">
        <v>19.618535999999999</v>
      </c>
      <c r="O414" s="22">
        <v>19.618535999999999</v>
      </c>
      <c r="P414" s="22">
        <v>1.6433059999999999</v>
      </c>
      <c r="Q414" s="22">
        <v>18.430446</v>
      </c>
      <c r="R414" s="22">
        <v>18.430446</v>
      </c>
      <c r="S414" s="22">
        <v>19.618535999999999</v>
      </c>
      <c r="T414" s="22">
        <v>19.618535999999999</v>
      </c>
      <c r="U414" s="51" t="s">
        <v>219</v>
      </c>
      <c r="V414" s="55">
        <v>8.3699999999999992</v>
      </c>
      <c r="W414" s="55">
        <v>130</v>
      </c>
      <c r="X414" s="49">
        <v>36039</v>
      </c>
    </row>
    <row r="415" spans="1:24" ht="12" customHeight="1" x14ac:dyDescent="0.2">
      <c r="A415" s="49">
        <v>36069</v>
      </c>
      <c r="B415" s="523">
        <v>2.9399999999999871E-2</v>
      </c>
      <c r="C415" s="523">
        <v>1.0608</v>
      </c>
      <c r="D415" s="50"/>
      <c r="E415" s="50"/>
      <c r="F415" s="50"/>
      <c r="G415" s="50"/>
      <c r="H415" s="50"/>
      <c r="I415" s="50"/>
      <c r="J415" s="22">
        <v>25.446283000000001</v>
      </c>
      <c r="K415" s="22">
        <v>18.243266999999999</v>
      </c>
      <c r="L415" s="22">
        <v>72.311139999999995</v>
      </c>
      <c r="M415" s="22">
        <v>56.676113999999998</v>
      </c>
      <c r="N415" s="22">
        <v>19.557718000000001</v>
      </c>
      <c r="O415" s="22">
        <v>19.557718000000001</v>
      </c>
      <c r="P415" s="22">
        <v>1.6360749999999999</v>
      </c>
      <c r="Q415" s="22">
        <v>18.349352</v>
      </c>
      <c r="R415" s="22">
        <v>18.349352</v>
      </c>
      <c r="S415" s="22">
        <v>19.557718000000001</v>
      </c>
      <c r="T415" s="22">
        <v>19.557718000000001</v>
      </c>
      <c r="U415" s="51" t="s">
        <v>219</v>
      </c>
      <c r="V415" s="55">
        <v>8.3699999999999992</v>
      </c>
      <c r="W415" s="55">
        <v>130</v>
      </c>
      <c r="X415" s="49">
        <v>36069</v>
      </c>
    </row>
    <row r="416" spans="1:24" ht="12" customHeight="1" x14ac:dyDescent="0.2">
      <c r="A416" s="49">
        <v>36100</v>
      </c>
      <c r="B416" s="523">
        <v>2.629999999999999E-2</v>
      </c>
      <c r="C416" s="523">
        <v>1.0871</v>
      </c>
      <c r="D416" s="50"/>
      <c r="E416" s="50"/>
      <c r="F416" s="50"/>
      <c r="G416" s="50"/>
      <c r="H416" s="50"/>
      <c r="I416" s="50"/>
      <c r="J416" s="22">
        <v>25.451371999999999</v>
      </c>
      <c r="K416" s="22">
        <v>18.257860999999998</v>
      </c>
      <c r="L416" s="22">
        <v>72.318370999999999</v>
      </c>
      <c r="M416" s="22">
        <v>56.659111000000003</v>
      </c>
      <c r="N416" s="22">
        <v>19.579231</v>
      </c>
      <c r="O416" s="22">
        <v>19.579231</v>
      </c>
      <c r="P416" s="22">
        <v>1.6362380000000001</v>
      </c>
      <c r="Q416" s="22">
        <v>18.351185999999998</v>
      </c>
      <c r="R416" s="22">
        <v>18.351185999999998</v>
      </c>
      <c r="S416" s="22">
        <v>19.579231</v>
      </c>
      <c r="T416" s="22">
        <v>19.579231</v>
      </c>
      <c r="U416" s="51" t="s">
        <v>219</v>
      </c>
      <c r="V416" s="55">
        <v>8.3699999999999992</v>
      </c>
      <c r="W416" s="55">
        <v>130</v>
      </c>
      <c r="X416" s="49">
        <v>36100</v>
      </c>
    </row>
    <row r="417" spans="1:24" ht="12" customHeight="1" x14ac:dyDescent="0.2">
      <c r="A417" s="49">
        <v>36130</v>
      </c>
      <c r="B417" s="523">
        <v>2.4000000000000021E-2</v>
      </c>
      <c r="C417" s="523">
        <v>1.1111</v>
      </c>
      <c r="D417" s="50"/>
      <c r="E417" s="50"/>
      <c r="F417" s="50"/>
      <c r="G417" s="50"/>
      <c r="H417" s="50"/>
      <c r="I417" s="50"/>
      <c r="J417" s="22">
        <v>25.339385</v>
      </c>
      <c r="K417" s="22">
        <v>18.199435000000001</v>
      </c>
      <c r="L417" s="22">
        <v>72.282211000000004</v>
      </c>
      <c r="M417" s="22">
        <v>56.557124000000002</v>
      </c>
      <c r="N417" s="22">
        <v>19.543987999999999</v>
      </c>
      <c r="O417" s="22">
        <v>19.543987999999999</v>
      </c>
      <c r="P417" s="22">
        <v>1.6344380000000001</v>
      </c>
      <c r="Q417" s="22">
        <v>18.330998999999998</v>
      </c>
      <c r="R417" s="22">
        <v>18.330998999999998</v>
      </c>
      <c r="S417" s="22">
        <v>19.543987999999999</v>
      </c>
      <c r="T417" s="22">
        <v>19.543987999999999</v>
      </c>
      <c r="U417" s="51" t="s">
        <v>219</v>
      </c>
      <c r="V417" s="55">
        <v>8.3699999999999992</v>
      </c>
      <c r="W417" s="55">
        <v>130</v>
      </c>
      <c r="X417" s="49">
        <v>36130</v>
      </c>
    </row>
    <row r="418" spans="1:24" ht="12" customHeight="1" x14ac:dyDescent="0.2">
      <c r="A418" s="49">
        <v>36161</v>
      </c>
      <c r="B418" s="523">
        <v>2.1800000000000042E-2</v>
      </c>
      <c r="C418" s="523">
        <v>1.1329</v>
      </c>
      <c r="D418" s="50"/>
      <c r="E418" s="50"/>
      <c r="F418" s="50"/>
      <c r="G418" s="50"/>
      <c r="H418" s="50"/>
      <c r="I418" s="50"/>
      <c r="J418" s="22">
        <v>25.308976999999999</v>
      </c>
      <c r="K418" s="22">
        <v>18.281331999999999</v>
      </c>
      <c r="L418" s="22">
        <v>72.318352000000004</v>
      </c>
      <c r="M418" s="22">
        <v>57.111382999999996</v>
      </c>
      <c r="N418" s="22">
        <v>19.626072000000001</v>
      </c>
      <c r="O418" s="22">
        <v>19.626072000000001</v>
      </c>
      <c r="P418" s="22">
        <v>1.6365620000000001</v>
      </c>
      <c r="Q418" s="22">
        <v>18.354828999999999</v>
      </c>
      <c r="R418" s="22">
        <v>18.354828999999999</v>
      </c>
      <c r="S418" s="22">
        <v>19.626072000000001</v>
      </c>
      <c r="T418" s="22">
        <v>19.626072000000001</v>
      </c>
      <c r="U418" s="51" t="s">
        <v>219</v>
      </c>
      <c r="V418" s="55">
        <v>8.51</v>
      </c>
      <c r="W418" s="55">
        <v>130</v>
      </c>
      <c r="X418" s="49">
        <v>36161</v>
      </c>
    </row>
    <row r="419" spans="1:24" ht="12" customHeight="1" x14ac:dyDescent="0.2">
      <c r="A419" s="49">
        <v>36192</v>
      </c>
      <c r="B419" s="523">
        <v>2.3800000000000043E-2</v>
      </c>
      <c r="C419" s="523">
        <v>1.1567000000000001</v>
      </c>
      <c r="D419" s="50"/>
      <c r="E419" s="50"/>
      <c r="F419" s="50"/>
      <c r="G419" s="50"/>
      <c r="H419" s="50"/>
      <c r="I419" s="50"/>
      <c r="J419" s="22">
        <v>25.435521000000001</v>
      </c>
      <c r="K419" s="22">
        <v>18.434895000000001</v>
      </c>
      <c r="L419" s="22">
        <v>72.716102000000006</v>
      </c>
      <c r="M419" s="22">
        <v>57.768163000000001</v>
      </c>
      <c r="N419" s="22">
        <v>19.753640999999998</v>
      </c>
      <c r="O419" s="22">
        <v>19.753640999999998</v>
      </c>
      <c r="P419" s="22">
        <v>1.6476900000000001</v>
      </c>
      <c r="Q419" s="22">
        <v>18.479641000000001</v>
      </c>
      <c r="R419" s="22">
        <v>18.479641000000001</v>
      </c>
      <c r="S419" s="22">
        <v>19.753640999999998</v>
      </c>
      <c r="T419" s="22">
        <v>19.753640999999998</v>
      </c>
      <c r="U419" s="51" t="s">
        <v>219</v>
      </c>
      <c r="V419" s="55">
        <v>8.51</v>
      </c>
      <c r="W419" s="55">
        <v>130</v>
      </c>
      <c r="X419" s="49">
        <v>36192</v>
      </c>
    </row>
    <row r="420" spans="1:24" ht="12" customHeight="1" x14ac:dyDescent="0.2">
      <c r="A420" s="49">
        <v>36220</v>
      </c>
      <c r="B420" s="523">
        <v>3.3299999999999885E-2</v>
      </c>
      <c r="C420" s="523">
        <v>1.19</v>
      </c>
      <c r="D420" s="50"/>
      <c r="E420" s="50"/>
      <c r="F420" s="50"/>
      <c r="G420" s="50"/>
      <c r="H420" s="50"/>
      <c r="I420" s="50"/>
      <c r="J420" s="22">
        <v>25.794160999999999</v>
      </c>
      <c r="K420" s="22">
        <v>19.100394000000001</v>
      </c>
      <c r="L420" s="22">
        <v>73.428719000000001</v>
      </c>
      <c r="M420" s="22">
        <v>60.333069000000002</v>
      </c>
      <c r="N420" s="22">
        <v>20.008462000000002</v>
      </c>
      <c r="O420" s="22">
        <v>20.008462000000002</v>
      </c>
      <c r="P420" s="22">
        <v>1.6582349999999999</v>
      </c>
      <c r="Q420" s="22">
        <v>18.597909999999999</v>
      </c>
      <c r="R420" s="22">
        <v>18.597909999999999</v>
      </c>
      <c r="S420" s="22">
        <v>20.008462000000002</v>
      </c>
      <c r="T420" s="22">
        <v>20.008462000000002</v>
      </c>
      <c r="U420" s="51" t="s">
        <v>219</v>
      </c>
      <c r="V420" s="55">
        <v>8.51</v>
      </c>
      <c r="W420" s="55">
        <v>130</v>
      </c>
      <c r="X420" s="49">
        <v>36220</v>
      </c>
    </row>
    <row r="421" spans="1:24" ht="12" customHeight="1" x14ac:dyDescent="0.2">
      <c r="A421" s="49">
        <v>36251</v>
      </c>
      <c r="B421" s="523">
        <v>2.3500000000000076E-2</v>
      </c>
      <c r="C421" s="523">
        <v>1.2135</v>
      </c>
      <c r="D421" s="50"/>
      <c r="E421" s="50"/>
      <c r="F421" s="50"/>
      <c r="G421" s="50"/>
      <c r="H421" s="50"/>
      <c r="I421" s="50"/>
      <c r="J421" s="22">
        <v>25.938607999999999</v>
      </c>
      <c r="K421" s="22">
        <v>19.640934999999999</v>
      </c>
      <c r="L421" s="22">
        <v>73.832576000000003</v>
      </c>
      <c r="M421" s="22">
        <v>61.527662999999997</v>
      </c>
      <c r="N421" s="22">
        <v>20.264569999999999</v>
      </c>
      <c r="O421" s="22">
        <v>20.264569999999999</v>
      </c>
      <c r="P421" s="22">
        <v>1.6784650000000001</v>
      </c>
      <c r="Q421" s="22">
        <v>18.824804</v>
      </c>
      <c r="R421" s="22">
        <v>18.824804</v>
      </c>
      <c r="S421" s="22">
        <v>20.264569999999999</v>
      </c>
      <c r="T421" s="22">
        <v>20.264569999999999</v>
      </c>
      <c r="U421" s="51" t="s">
        <v>219</v>
      </c>
      <c r="V421" s="55">
        <v>8.51</v>
      </c>
      <c r="W421" s="55">
        <v>130</v>
      </c>
      <c r="X421" s="49">
        <v>36251</v>
      </c>
    </row>
    <row r="422" spans="1:24" ht="12" customHeight="1" x14ac:dyDescent="0.2">
      <c r="A422" s="49">
        <v>36281</v>
      </c>
      <c r="B422" s="523">
        <v>2.0199999999999996E-2</v>
      </c>
      <c r="C422" s="523">
        <v>1.2337</v>
      </c>
      <c r="D422" s="50"/>
      <c r="E422" s="50"/>
      <c r="F422" s="50"/>
      <c r="G422" s="50"/>
      <c r="H422" s="50"/>
      <c r="I422" s="50"/>
      <c r="J422" s="22">
        <v>26.060518999999999</v>
      </c>
      <c r="K422" s="22">
        <v>19.780384999999999</v>
      </c>
      <c r="L422" s="22">
        <v>74.216504999999998</v>
      </c>
      <c r="M422" s="22">
        <v>61.546120999999999</v>
      </c>
      <c r="N422" s="22">
        <v>20.359812999999999</v>
      </c>
      <c r="O422" s="22">
        <v>20.359812999999999</v>
      </c>
      <c r="P422" s="22">
        <v>1.691557</v>
      </c>
      <c r="Q422" s="22">
        <v>18.971637000000001</v>
      </c>
      <c r="R422" s="22">
        <v>18.971637000000001</v>
      </c>
      <c r="S422" s="22">
        <v>20.359812999999999</v>
      </c>
      <c r="T422" s="22">
        <v>20.359812999999999</v>
      </c>
      <c r="U422" s="51" t="s">
        <v>219</v>
      </c>
      <c r="V422" s="55">
        <v>8.51</v>
      </c>
      <c r="W422" s="55">
        <v>136</v>
      </c>
      <c r="X422" s="49">
        <v>36281</v>
      </c>
    </row>
    <row r="423" spans="1:24" ht="12" customHeight="1" x14ac:dyDescent="0.2">
      <c r="A423" s="49">
        <v>36312</v>
      </c>
      <c r="B423" s="523">
        <v>1.6699999999999937E-2</v>
      </c>
      <c r="C423" s="523">
        <v>1.2504</v>
      </c>
      <c r="D423" s="50"/>
      <c r="E423" s="50"/>
      <c r="F423" s="50"/>
      <c r="G423" s="50"/>
      <c r="H423" s="50"/>
      <c r="I423" s="50"/>
      <c r="J423" s="22">
        <v>25.964095</v>
      </c>
      <c r="K423" s="22">
        <v>19.723020999999999</v>
      </c>
      <c r="L423" s="22">
        <v>74.854765999999998</v>
      </c>
      <c r="M423" s="22">
        <v>61.336863999999998</v>
      </c>
      <c r="N423" s="22">
        <v>20.369992</v>
      </c>
      <c r="O423" s="22">
        <v>20.369992</v>
      </c>
      <c r="P423" s="22">
        <v>1.700183</v>
      </c>
      <c r="Q423" s="22">
        <v>19.068391999999999</v>
      </c>
      <c r="R423" s="22">
        <v>19.068391999999999</v>
      </c>
      <c r="S423" s="22">
        <v>20.369992</v>
      </c>
      <c r="T423" s="22">
        <v>20.369992</v>
      </c>
      <c r="U423" s="51" t="s">
        <v>219</v>
      </c>
      <c r="V423" s="55">
        <v>8.51</v>
      </c>
      <c r="W423" s="55">
        <v>136</v>
      </c>
      <c r="X423" s="49">
        <v>36312</v>
      </c>
    </row>
    <row r="424" spans="1:24" ht="12" customHeight="1" x14ac:dyDescent="0.2">
      <c r="A424" s="49">
        <v>36342</v>
      </c>
      <c r="B424" s="523">
        <v>1.6599999999999948E-2</v>
      </c>
      <c r="C424" s="523">
        <v>1.2669999999999999</v>
      </c>
      <c r="D424" s="50"/>
      <c r="E424" s="50"/>
      <c r="F424" s="50"/>
      <c r="G424" s="50"/>
      <c r="H424" s="50"/>
      <c r="I424" s="50"/>
      <c r="J424" s="22">
        <v>25.943322999999999</v>
      </c>
      <c r="K424" s="22">
        <v>19.794022999999999</v>
      </c>
      <c r="L424" s="22">
        <v>75.161670000000001</v>
      </c>
      <c r="M424" s="22">
        <v>61.962499999999999</v>
      </c>
      <c r="N424" s="22">
        <v>20.384250000000002</v>
      </c>
      <c r="O424" s="22">
        <v>20.384250000000002</v>
      </c>
      <c r="P424" s="22">
        <v>1.6998420000000001</v>
      </c>
      <c r="Q424" s="22">
        <v>19.064578000000001</v>
      </c>
      <c r="R424" s="22">
        <v>19.064578000000001</v>
      </c>
      <c r="S424" s="22">
        <v>20.384250000000002</v>
      </c>
      <c r="T424" s="22">
        <v>20.384250000000002</v>
      </c>
      <c r="U424" s="51" t="s">
        <v>219</v>
      </c>
      <c r="V424" s="55">
        <v>8.51</v>
      </c>
      <c r="W424" s="55">
        <v>136</v>
      </c>
      <c r="X424" s="49">
        <v>36342</v>
      </c>
    </row>
    <row r="425" spans="1:24" ht="12" customHeight="1" x14ac:dyDescent="0.2">
      <c r="A425" s="49">
        <v>36373</v>
      </c>
      <c r="B425" s="523">
        <v>1.5700000000000047E-2</v>
      </c>
      <c r="C425" s="523">
        <v>1.2827</v>
      </c>
      <c r="D425" s="50"/>
      <c r="E425" s="50"/>
      <c r="F425" s="50"/>
      <c r="G425" s="50"/>
      <c r="H425" s="50"/>
      <c r="I425" s="50"/>
      <c r="J425" s="22">
        <v>26.226105</v>
      </c>
      <c r="K425" s="22">
        <v>20.100829999999998</v>
      </c>
      <c r="L425" s="22">
        <v>75.507413</v>
      </c>
      <c r="M425" s="22">
        <v>62.947702999999997</v>
      </c>
      <c r="N425" s="22">
        <v>20.535093</v>
      </c>
      <c r="O425" s="22">
        <v>20.535093</v>
      </c>
      <c r="P425" s="22">
        <v>1.7132700000000001</v>
      </c>
      <c r="Q425" s="22">
        <v>19.215188000000001</v>
      </c>
      <c r="R425" s="22">
        <v>19.215188000000001</v>
      </c>
      <c r="S425" s="22">
        <v>20.535093</v>
      </c>
      <c r="T425" s="22">
        <v>20.535093</v>
      </c>
      <c r="U425" s="51" t="s">
        <v>219</v>
      </c>
      <c r="V425" s="55">
        <v>8.51</v>
      </c>
      <c r="W425" s="55">
        <v>136</v>
      </c>
      <c r="X425" s="49">
        <v>36373</v>
      </c>
    </row>
    <row r="426" spans="1:24" ht="12" customHeight="1" x14ac:dyDescent="0.2">
      <c r="A426" s="49">
        <v>36404</v>
      </c>
      <c r="B426" s="523">
        <v>1.4900000000000135E-2</v>
      </c>
      <c r="C426" s="523">
        <v>1.2976000000000001</v>
      </c>
      <c r="D426" s="50"/>
      <c r="E426" s="50"/>
      <c r="F426" s="50"/>
      <c r="G426" s="50"/>
      <c r="H426" s="50"/>
      <c r="I426" s="50"/>
      <c r="J426" s="22">
        <v>26.420178</v>
      </c>
      <c r="K426" s="22">
        <v>20.414401999999999</v>
      </c>
      <c r="L426" s="22">
        <v>76.028413999999998</v>
      </c>
      <c r="M426" s="22">
        <v>63.860444000000001</v>
      </c>
      <c r="N426" s="22">
        <v>20.648036000000001</v>
      </c>
      <c r="O426" s="22">
        <v>20.648036000000001</v>
      </c>
      <c r="P426" s="22">
        <v>1.727147</v>
      </c>
      <c r="Q426" s="22">
        <v>19.370830999999999</v>
      </c>
      <c r="R426" s="22">
        <v>19.370830999999999</v>
      </c>
      <c r="S426" s="22">
        <v>20.648036000000001</v>
      </c>
      <c r="T426" s="22">
        <v>20.648036000000001</v>
      </c>
      <c r="U426" s="51" t="s">
        <v>219</v>
      </c>
      <c r="V426" s="55">
        <v>8.51</v>
      </c>
      <c r="W426" s="55">
        <v>136</v>
      </c>
      <c r="X426" s="49">
        <v>36404</v>
      </c>
    </row>
    <row r="427" spans="1:24" ht="12" customHeight="1" x14ac:dyDescent="0.2">
      <c r="A427" s="49">
        <v>36434</v>
      </c>
      <c r="B427" s="523">
        <v>1.3799999999999812E-2</v>
      </c>
      <c r="C427" s="523">
        <v>1.3113999999999999</v>
      </c>
      <c r="D427" s="50"/>
      <c r="E427" s="50"/>
      <c r="F427" s="50"/>
      <c r="G427" s="50"/>
      <c r="H427" s="50"/>
      <c r="I427" s="50"/>
      <c r="J427" s="22">
        <v>26.660601</v>
      </c>
      <c r="K427" s="22">
        <v>20.71041</v>
      </c>
      <c r="L427" s="22">
        <v>76.682258000000004</v>
      </c>
      <c r="M427" s="22">
        <v>64.799192000000005</v>
      </c>
      <c r="N427" s="22">
        <v>20.728563000000001</v>
      </c>
      <c r="O427" s="22">
        <v>20.728563000000001</v>
      </c>
      <c r="P427" s="22">
        <v>1.7352639999999999</v>
      </c>
      <c r="Q427" s="22">
        <v>19.461873000000001</v>
      </c>
      <c r="R427" s="22">
        <v>19.461873000000001</v>
      </c>
      <c r="S427" s="22">
        <v>20.728563000000001</v>
      </c>
      <c r="T427" s="22">
        <v>20.728563000000001</v>
      </c>
      <c r="U427" s="51" t="s">
        <v>219</v>
      </c>
      <c r="V427" s="55">
        <v>8.51</v>
      </c>
      <c r="W427" s="55">
        <v>136</v>
      </c>
      <c r="X427" s="49">
        <v>36434</v>
      </c>
    </row>
    <row r="428" spans="1:24" ht="12" customHeight="1" x14ac:dyDescent="0.2">
      <c r="A428" s="49">
        <v>36465</v>
      </c>
      <c r="B428" s="523">
        <v>1.3900000000000023E-2</v>
      </c>
      <c r="C428" s="523">
        <v>1.3252999999999999</v>
      </c>
      <c r="D428" s="50"/>
      <c r="E428" s="50"/>
      <c r="F428" s="50"/>
      <c r="G428" s="50"/>
      <c r="H428" s="50"/>
      <c r="I428" s="50"/>
      <c r="J428" s="22">
        <v>26.961865</v>
      </c>
      <c r="K428" s="22">
        <v>21.062486</v>
      </c>
      <c r="L428" s="22">
        <v>77.456748000000005</v>
      </c>
      <c r="M428" s="22">
        <v>66.023895999999993</v>
      </c>
      <c r="N428" s="22">
        <v>20.927557</v>
      </c>
      <c r="O428" s="22">
        <v>20.927557</v>
      </c>
      <c r="P428" s="22">
        <v>1.7491460000000001</v>
      </c>
      <c r="Q428" s="22">
        <v>19.617567000000001</v>
      </c>
      <c r="R428" s="22">
        <v>19.617567000000001</v>
      </c>
      <c r="S428" s="22">
        <v>20.927557</v>
      </c>
      <c r="T428" s="22">
        <v>20.927557</v>
      </c>
      <c r="U428" s="51" t="s">
        <v>219</v>
      </c>
      <c r="V428" s="55">
        <v>8.51</v>
      </c>
      <c r="W428" s="55">
        <v>136</v>
      </c>
      <c r="X428" s="49">
        <v>36465</v>
      </c>
    </row>
    <row r="429" spans="1:24" ht="12" customHeight="1" x14ac:dyDescent="0.2">
      <c r="A429" s="49">
        <v>36495</v>
      </c>
      <c r="B429" s="523">
        <v>1.6000000000000014E-2</v>
      </c>
      <c r="C429" s="523">
        <v>1.3412999999999999</v>
      </c>
      <c r="D429" s="50"/>
      <c r="E429" s="50"/>
      <c r="F429" s="50"/>
      <c r="G429" s="50"/>
      <c r="H429" s="50"/>
      <c r="I429" s="50"/>
      <c r="J429" s="22">
        <v>27.360900000000001</v>
      </c>
      <c r="K429" s="22">
        <v>21.565878999999999</v>
      </c>
      <c r="L429" s="22">
        <v>78.161603999999997</v>
      </c>
      <c r="M429" s="22">
        <v>67.694299999999998</v>
      </c>
      <c r="N429" s="22">
        <v>21.124275999999998</v>
      </c>
      <c r="O429" s="22">
        <v>21.124275999999998</v>
      </c>
      <c r="P429" s="22">
        <v>1.766462</v>
      </c>
      <c r="Q429" s="22">
        <v>19.811779999999999</v>
      </c>
      <c r="R429" s="22">
        <v>19.811779999999999</v>
      </c>
      <c r="S429" s="22">
        <v>21.124275999999998</v>
      </c>
      <c r="T429" s="22">
        <v>21.124275999999998</v>
      </c>
      <c r="U429" s="51" t="s">
        <v>219</v>
      </c>
      <c r="V429" s="55">
        <v>8.51</v>
      </c>
      <c r="W429" s="55">
        <v>136</v>
      </c>
      <c r="X429" s="49">
        <v>36495</v>
      </c>
    </row>
    <row r="430" spans="1:24" ht="12" customHeight="1" x14ac:dyDescent="0.2">
      <c r="A430" s="49">
        <v>36526</v>
      </c>
      <c r="B430" s="523">
        <v>1.4600000000000168E-2</v>
      </c>
      <c r="C430" s="523">
        <v>1.3559000000000001</v>
      </c>
      <c r="D430" s="50"/>
      <c r="E430" s="50"/>
      <c r="F430" s="50"/>
      <c r="G430" s="50"/>
      <c r="H430" s="50"/>
      <c r="I430" s="50"/>
      <c r="J430" s="22">
        <v>27.494968</v>
      </c>
      <c r="K430" s="22">
        <v>21.956220999999999</v>
      </c>
      <c r="L430" s="22">
        <v>78.974484000000004</v>
      </c>
      <c r="M430" s="22">
        <v>68.526938999999999</v>
      </c>
      <c r="N430" s="22">
        <v>21.280595000000002</v>
      </c>
      <c r="O430" s="22">
        <v>21.280595000000002</v>
      </c>
      <c r="P430" s="22">
        <v>1.7825359999999999</v>
      </c>
      <c r="Q430" s="22">
        <v>19.992066999999999</v>
      </c>
      <c r="R430" s="22">
        <v>19.992066999999999</v>
      </c>
      <c r="S430" s="22">
        <v>21.280595000000002</v>
      </c>
      <c r="T430" s="22">
        <v>21.280595000000002</v>
      </c>
      <c r="U430" s="51" t="s">
        <v>219</v>
      </c>
      <c r="V430" s="55">
        <v>9.27</v>
      </c>
      <c r="W430" s="55">
        <v>136</v>
      </c>
      <c r="X430" s="49">
        <v>36526</v>
      </c>
    </row>
    <row r="431" spans="1:24" ht="12" customHeight="1" x14ac:dyDescent="0.2">
      <c r="A431" s="49">
        <v>36557</v>
      </c>
      <c r="B431" s="523">
        <v>1.4499999999999957E-2</v>
      </c>
      <c r="C431" s="523">
        <v>1.3704000000000001</v>
      </c>
      <c r="D431" s="50"/>
      <c r="E431" s="50"/>
      <c r="F431" s="50"/>
      <c r="G431" s="50"/>
      <c r="H431" s="50"/>
      <c r="I431" s="50"/>
      <c r="J431" s="22">
        <v>27.651689000000001</v>
      </c>
      <c r="K431" s="22">
        <v>22.228477999999999</v>
      </c>
      <c r="L431" s="22">
        <v>79.819509999999994</v>
      </c>
      <c r="M431" s="22">
        <v>69.225913000000006</v>
      </c>
      <c r="N431" s="22">
        <v>21.410405999999998</v>
      </c>
      <c r="O431" s="22">
        <v>21.410405999999998</v>
      </c>
      <c r="P431" s="22">
        <v>1.794122</v>
      </c>
      <c r="Q431" s="22">
        <v>20.122015000000001</v>
      </c>
      <c r="R431" s="22">
        <v>20.122015000000001</v>
      </c>
      <c r="S431" s="22">
        <v>21.410405999999998</v>
      </c>
      <c r="T431" s="22">
        <v>21.410405999999998</v>
      </c>
      <c r="U431" s="51" t="s">
        <v>219</v>
      </c>
      <c r="V431" s="55">
        <v>9.27</v>
      </c>
      <c r="W431" s="55">
        <v>136</v>
      </c>
      <c r="X431" s="49">
        <v>36557</v>
      </c>
    </row>
    <row r="432" spans="1:24" ht="12" customHeight="1" x14ac:dyDescent="0.2">
      <c r="A432" s="49">
        <v>36586</v>
      </c>
      <c r="B432" s="523">
        <v>1.4499999999999957E-2</v>
      </c>
      <c r="C432" s="523">
        <v>1.3849</v>
      </c>
      <c r="D432" s="50"/>
      <c r="E432" s="50"/>
      <c r="F432" s="50"/>
      <c r="G432" s="50"/>
      <c r="H432" s="50"/>
      <c r="I432" s="50"/>
      <c r="J432" s="22">
        <v>27.588090000000001</v>
      </c>
      <c r="K432" s="22">
        <v>22.306277000000001</v>
      </c>
      <c r="L432" s="22">
        <v>80.434119999999993</v>
      </c>
      <c r="M432" s="22">
        <v>69.357442000000006</v>
      </c>
      <c r="N432" s="22">
        <v>21.421111</v>
      </c>
      <c r="O432" s="22">
        <v>21.421111</v>
      </c>
      <c r="P432" s="22">
        <v>1.800222</v>
      </c>
      <c r="Q432" s="22">
        <v>20.190429000000002</v>
      </c>
      <c r="R432" s="22">
        <v>20.190429000000002</v>
      </c>
      <c r="S432" s="22">
        <v>21.421111</v>
      </c>
      <c r="T432" s="22">
        <v>21.421111</v>
      </c>
      <c r="U432" s="51" t="s">
        <v>219</v>
      </c>
      <c r="V432" s="55">
        <v>9.27</v>
      </c>
      <c r="W432" s="55">
        <v>136</v>
      </c>
      <c r="X432" s="49">
        <v>36586</v>
      </c>
    </row>
    <row r="433" spans="1:24" ht="12" customHeight="1" x14ac:dyDescent="0.2">
      <c r="A433" s="49">
        <v>36617</v>
      </c>
      <c r="B433" s="523">
        <v>1.2999999999999901E-2</v>
      </c>
      <c r="C433" s="523">
        <v>1.3978999999999999</v>
      </c>
      <c r="D433" s="50"/>
      <c r="E433" s="50"/>
      <c r="F433" s="50"/>
      <c r="G433" s="50"/>
      <c r="H433" s="50"/>
      <c r="I433" s="50"/>
      <c r="J433" s="22">
        <v>27.651541999999999</v>
      </c>
      <c r="K433" s="22">
        <v>22.339735999999998</v>
      </c>
      <c r="L433" s="22">
        <v>80.884551000000002</v>
      </c>
      <c r="M433" s="22">
        <v>69.482285000000005</v>
      </c>
      <c r="N433" s="22">
        <v>21.448958000000001</v>
      </c>
      <c r="O433" s="22">
        <v>21.448958000000001</v>
      </c>
      <c r="P433" s="22">
        <v>1.8018419999999999</v>
      </c>
      <c r="Q433" s="22">
        <v>20.208600000000001</v>
      </c>
      <c r="R433" s="22">
        <v>20.208600000000001</v>
      </c>
      <c r="S433" s="22">
        <v>21.448958000000001</v>
      </c>
      <c r="T433" s="22">
        <v>21.448958000000001</v>
      </c>
      <c r="U433" s="51" t="s">
        <v>219</v>
      </c>
      <c r="V433" s="55">
        <v>9.27</v>
      </c>
      <c r="W433" s="55">
        <v>151</v>
      </c>
      <c r="X433" s="49">
        <v>36617</v>
      </c>
    </row>
    <row r="434" spans="1:24" ht="12" customHeight="1" x14ac:dyDescent="0.2">
      <c r="A434" s="49">
        <v>36647</v>
      </c>
      <c r="B434" s="523">
        <v>1.4900000000000135E-2</v>
      </c>
      <c r="C434" s="523">
        <v>1.4128000000000001</v>
      </c>
      <c r="D434" s="50"/>
      <c r="E434" s="50"/>
      <c r="F434" s="50"/>
      <c r="G434" s="50"/>
      <c r="H434" s="50"/>
      <c r="I434" s="50"/>
      <c r="J434" s="22">
        <v>27.676428000000001</v>
      </c>
      <c r="K434" s="22">
        <v>22.391117000000001</v>
      </c>
      <c r="L434" s="22">
        <v>81.369857999999994</v>
      </c>
      <c r="M434" s="22">
        <v>69.572610999999995</v>
      </c>
      <c r="N434" s="22">
        <v>21.468261999999999</v>
      </c>
      <c r="O434" s="22">
        <v>21.468261999999999</v>
      </c>
      <c r="P434" s="22">
        <v>1.8103100000000001</v>
      </c>
      <c r="Q434" s="22">
        <v>20.30358</v>
      </c>
      <c r="R434" s="22">
        <v>20.30358</v>
      </c>
      <c r="S434" s="22">
        <v>21.468261999999999</v>
      </c>
      <c r="T434" s="22">
        <v>21.468261999999999</v>
      </c>
      <c r="U434" s="51" t="s">
        <v>219</v>
      </c>
      <c r="V434" s="55">
        <v>9.27</v>
      </c>
      <c r="W434" s="55">
        <v>151</v>
      </c>
      <c r="X434" s="49">
        <v>36647</v>
      </c>
    </row>
    <row r="435" spans="1:24" ht="12" customHeight="1" x14ac:dyDescent="0.2">
      <c r="A435" s="49">
        <v>36678</v>
      </c>
      <c r="B435" s="523">
        <v>1.3900000000000023E-2</v>
      </c>
      <c r="C435" s="523">
        <v>1.4267000000000001</v>
      </c>
      <c r="D435" s="50"/>
      <c r="E435" s="50"/>
      <c r="F435" s="50"/>
      <c r="G435" s="50"/>
      <c r="H435" s="50"/>
      <c r="I435" s="50"/>
      <c r="J435" s="22">
        <v>27.684729999999998</v>
      </c>
      <c r="K435" s="22">
        <v>22.460529000000001</v>
      </c>
      <c r="L435" s="22">
        <v>82.468350999999998</v>
      </c>
      <c r="M435" s="22">
        <v>70.038747000000001</v>
      </c>
      <c r="N435" s="22">
        <v>21.457526999999999</v>
      </c>
      <c r="O435" s="22">
        <v>21.457526999999999</v>
      </c>
      <c r="P435" s="22">
        <v>1.811939</v>
      </c>
      <c r="Q435" s="22">
        <v>20.321853000000001</v>
      </c>
      <c r="R435" s="22">
        <v>20.321853000000001</v>
      </c>
      <c r="S435" s="22">
        <v>21.457526999999999</v>
      </c>
      <c r="T435" s="22">
        <v>21.457526999999999</v>
      </c>
      <c r="U435" s="51" t="s">
        <v>219</v>
      </c>
      <c r="V435" s="55">
        <v>9.27</v>
      </c>
      <c r="W435" s="55">
        <v>151</v>
      </c>
      <c r="X435" s="49">
        <v>36678</v>
      </c>
    </row>
    <row r="436" spans="1:24" ht="12" customHeight="1" x14ac:dyDescent="0.2">
      <c r="A436" s="49">
        <v>36708</v>
      </c>
      <c r="B436" s="523">
        <v>1.309999999999989E-2</v>
      </c>
      <c r="C436" s="523">
        <v>1.4398</v>
      </c>
      <c r="D436" s="50"/>
      <c r="E436" s="50"/>
      <c r="F436" s="50"/>
      <c r="G436" s="50"/>
      <c r="H436" s="50"/>
      <c r="I436" s="50"/>
      <c r="J436" s="22">
        <v>27.734562</v>
      </c>
      <c r="K436" s="22">
        <v>22.651443</v>
      </c>
      <c r="L436" s="22">
        <v>83.070368999999999</v>
      </c>
      <c r="M436" s="22">
        <v>70.690106999999998</v>
      </c>
      <c r="N436" s="22">
        <v>21.521899000000001</v>
      </c>
      <c r="O436" s="22">
        <v>21.521899000000001</v>
      </c>
      <c r="P436" s="22">
        <v>1.813388</v>
      </c>
      <c r="Q436" s="22">
        <v>20.33811</v>
      </c>
      <c r="R436" s="22">
        <v>20.33811</v>
      </c>
      <c r="S436" s="22">
        <v>21.521899000000001</v>
      </c>
      <c r="T436" s="22">
        <v>21.521899000000001</v>
      </c>
      <c r="U436" s="51" t="s">
        <v>219</v>
      </c>
      <c r="V436" s="55">
        <v>9.27</v>
      </c>
      <c r="W436" s="55">
        <v>151</v>
      </c>
      <c r="X436" s="49">
        <v>36708</v>
      </c>
    </row>
    <row r="437" spans="1:24" ht="12" customHeight="1" x14ac:dyDescent="0.2">
      <c r="A437" s="49">
        <v>36739</v>
      </c>
      <c r="B437" s="523">
        <v>1.4100000000000001E-2</v>
      </c>
      <c r="C437" s="523">
        <v>1.4539</v>
      </c>
      <c r="D437" s="50"/>
      <c r="E437" s="50"/>
      <c r="F437" s="50"/>
      <c r="G437" s="50"/>
      <c r="H437" s="50"/>
      <c r="I437" s="50"/>
      <c r="J437" s="22">
        <v>28.122845000000002</v>
      </c>
      <c r="K437" s="22">
        <v>23.007069999999999</v>
      </c>
      <c r="L437" s="22">
        <v>83.319580000000002</v>
      </c>
      <c r="M437" s="22">
        <v>72.287702999999993</v>
      </c>
      <c r="N437" s="22">
        <v>21.821052999999999</v>
      </c>
      <c r="O437" s="22">
        <v>21.821052999999999</v>
      </c>
      <c r="P437" s="22">
        <v>1.8275319999999999</v>
      </c>
      <c r="Q437" s="22">
        <v>20.496746999999999</v>
      </c>
      <c r="R437" s="22">
        <v>20.496746999999999</v>
      </c>
      <c r="S437" s="22">
        <v>21.821052999999999</v>
      </c>
      <c r="T437" s="22">
        <v>21.821052999999999</v>
      </c>
      <c r="U437" s="51" t="s">
        <v>219</v>
      </c>
      <c r="V437" s="55">
        <v>9.27</v>
      </c>
      <c r="W437" s="55">
        <v>151</v>
      </c>
      <c r="X437" s="49">
        <v>36739</v>
      </c>
    </row>
    <row r="438" spans="1:24" ht="12" customHeight="1" x14ac:dyDescent="0.2">
      <c r="A438" s="49">
        <v>36770</v>
      </c>
      <c r="B438" s="523">
        <v>1.2199999999999989E-2</v>
      </c>
      <c r="C438" s="523">
        <v>1.4661</v>
      </c>
      <c r="D438" s="50"/>
      <c r="E438" s="50"/>
      <c r="F438" s="50"/>
      <c r="G438" s="50"/>
      <c r="H438" s="50"/>
      <c r="I438" s="50"/>
      <c r="J438" s="22">
        <v>28.558748999999999</v>
      </c>
      <c r="K438" s="22">
        <v>23.556937999999999</v>
      </c>
      <c r="L438" s="22">
        <v>83.644525999999999</v>
      </c>
      <c r="M438" s="22">
        <v>73.603339000000005</v>
      </c>
      <c r="N438" s="22">
        <v>22.085087000000001</v>
      </c>
      <c r="O438" s="548">
        <v>22.085087000000001</v>
      </c>
      <c r="P438" s="548">
        <v>1.863899</v>
      </c>
      <c r="Q438" s="22">
        <v>20.904631999999999</v>
      </c>
      <c r="R438" s="548">
        <v>20.904631999999999</v>
      </c>
      <c r="S438" s="22">
        <v>22.085087000000001</v>
      </c>
      <c r="T438" s="22">
        <v>22.085087000000001</v>
      </c>
      <c r="U438" s="51" t="s">
        <v>219</v>
      </c>
      <c r="V438" s="55">
        <v>9.27</v>
      </c>
      <c r="W438" s="55">
        <v>151</v>
      </c>
      <c r="X438" s="49">
        <v>36770</v>
      </c>
    </row>
    <row r="439" spans="1:24" ht="12" customHeight="1" x14ac:dyDescent="0.2">
      <c r="A439" s="49">
        <v>36800</v>
      </c>
      <c r="B439" s="523">
        <v>1.2900000000000134E-2</v>
      </c>
      <c r="C439" s="523">
        <v>1.4790000000000001</v>
      </c>
      <c r="D439" s="50"/>
      <c r="E439" s="50"/>
      <c r="F439" s="50"/>
      <c r="G439" s="50"/>
      <c r="H439" s="50"/>
      <c r="I439" s="50"/>
      <c r="J439" s="548">
        <v>28.635857000000001</v>
      </c>
      <c r="K439" s="548">
        <v>23.830197999999999</v>
      </c>
      <c r="L439" s="548">
        <v>83.862001000000006</v>
      </c>
      <c r="M439" s="548">
        <v>74.111202000000006</v>
      </c>
      <c r="N439" s="548">
        <v>22.180052</v>
      </c>
      <c r="O439" s="22">
        <v>22.180052</v>
      </c>
      <c r="P439" s="22">
        <v>1.8722859999999999</v>
      </c>
      <c r="Q439" s="22">
        <v>20.998702000000002</v>
      </c>
      <c r="R439" s="22">
        <v>20.998702000000002</v>
      </c>
      <c r="S439" s="22">
        <v>22.180052</v>
      </c>
      <c r="T439" s="548">
        <v>22.180052</v>
      </c>
      <c r="U439" s="51" t="s">
        <v>219</v>
      </c>
      <c r="V439" s="55">
        <v>9.27</v>
      </c>
      <c r="W439" s="55">
        <v>151</v>
      </c>
      <c r="X439" s="49">
        <v>36800</v>
      </c>
    </row>
    <row r="440" spans="1:24" ht="12" customHeight="1" x14ac:dyDescent="0.2">
      <c r="A440" s="49">
        <v>36831</v>
      </c>
      <c r="B440" s="523">
        <v>1.2199999999999989E-2</v>
      </c>
      <c r="C440" s="523">
        <v>1.4912000000000001</v>
      </c>
      <c r="D440" s="50"/>
      <c r="E440" s="50"/>
      <c r="F440" s="50"/>
      <c r="G440" s="50"/>
      <c r="H440" s="50"/>
      <c r="I440" s="50"/>
      <c r="J440" s="22">
        <v>28.638719999999999</v>
      </c>
      <c r="K440" s="22">
        <v>23.920752</v>
      </c>
      <c r="L440" s="22">
        <v>84.138745</v>
      </c>
      <c r="M440" s="22">
        <v>74.385413</v>
      </c>
      <c r="N440" s="22">
        <v>22.215540000000001</v>
      </c>
      <c r="O440" s="22">
        <v>22.215540000000001</v>
      </c>
      <c r="P440" s="22">
        <v>1.875656</v>
      </c>
      <c r="Q440" s="22">
        <v>21.036498999999999</v>
      </c>
      <c r="R440" s="22">
        <v>21.036498999999999</v>
      </c>
      <c r="S440" s="22">
        <v>22.215540000000001</v>
      </c>
      <c r="T440" s="22">
        <v>22.215540000000001</v>
      </c>
      <c r="U440" s="51" t="s">
        <v>219</v>
      </c>
      <c r="V440" s="55">
        <v>9.27</v>
      </c>
      <c r="W440" s="55">
        <v>151</v>
      </c>
      <c r="X440" s="49">
        <v>36831</v>
      </c>
    </row>
    <row r="441" spans="1:24" ht="12" customHeight="1" x14ac:dyDescent="0.2">
      <c r="A441" s="49">
        <v>36861</v>
      </c>
      <c r="B441" s="523">
        <v>1.2000000000000011E-2</v>
      </c>
      <c r="C441" s="523">
        <v>1.5032000000000001</v>
      </c>
      <c r="D441" s="50"/>
      <c r="E441" s="50"/>
      <c r="F441" s="50"/>
      <c r="G441" s="50"/>
      <c r="H441" s="50"/>
      <c r="I441" s="50"/>
      <c r="J441" s="22">
        <v>28.624400000000001</v>
      </c>
      <c r="K441" s="22">
        <v>23.990122</v>
      </c>
      <c r="L441" s="22">
        <v>84.483712999999995</v>
      </c>
      <c r="M441" s="22">
        <v>74.675516000000002</v>
      </c>
      <c r="N441" s="22">
        <v>22.279965000000001</v>
      </c>
      <c r="O441" s="548">
        <v>22.279965000000001</v>
      </c>
      <c r="P441" s="548">
        <v>1.878844</v>
      </c>
      <c r="Q441" s="22">
        <v>21.072261000000001</v>
      </c>
      <c r="R441" s="548">
        <v>21.072261000000001</v>
      </c>
      <c r="S441" s="22">
        <v>22.279965000000001</v>
      </c>
      <c r="T441" s="22">
        <v>22.279965000000001</v>
      </c>
      <c r="U441" s="51" t="s">
        <v>219</v>
      </c>
      <c r="V441" s="55">
        <v>9.27</v>
      </c>
      <c r="W441" s="55">
        <v>151</v>
      </c>
      <c r="X441" s="49">
        <v>36861</v>
      </c>
    </row>
    <row r="442" spans="1:24" ht="12" customHeight="1" x14ac:dyDescent="0.2">
      <c r="A442" s="49">
        <v>36892</v>
      </c>
      <c r="B442" s="523">
        <v>1.2699999999999934E-2</v>
      </c>
      <c r="C442" s="523">
        <v>1.5159</v>
      </c>
      <c r="D442" s="50"/>
      <c r="E442" s="50"/>
      <c r="F442" s="50"/>
      <c r="G442" s="50"/>
      <c r="H442" s="50"/>
      <c r="I442" s="50"/>
      <c r="J442" s="22">
        <v>28.698823000000001</v>
      </c>
      <c r="K442" s="22">
        <v>24.141259000000002</v>
      </c>
      <c r="L442" s="22">
        <v>85.024407999999994</v>
      </c>
      <c r="M442" s="22">
        <v>75.243048999999999</v>
      </c>
      <c r="N442" s="22">
        <v>22.402504</v>
      </c>
      <c r="O442" s="548">
        <v>22.402504</v>
      </c>
      <c r="P442" s="548">
        <v>1.890117</v>
      </c>
      <c r="Q442" s="22">
        <v>21.198694</v>
      </c>
      <c r="R442" s="548">
        <v>21.198694</v>
      </c>
      <c r="S442" s="22">
        <v>22.402504</v>
      </c>
      <c r="T442" s="22">
        <v>22.402504</v>
      </c>
      <c r="U442" s="51" t="s">
        <v>219</v>
      </c>
      <c r="V442" s="55">
        <v>9.83</v>
      </c>
      <c r="W442" s="55">
        <v>151</v>
      </c>
      <c r="X442" s="49">
        <v>36892</v>
      </c>
    </row>
    <row r="443" spans="1:24" ht="12" customHeight="1" x14ac:dyDescent="0.2">
      <c r="A443" s="49">
        <v>36923</v>
      </c>
      <c r="B443" s="523">
        <v>1.0199999999999987E-2</v>
      </c>
      <c r="C443" s="523">
        <v>1.5261</v>
      </c>
      <c r="D443" s="50"/>
      <c r="E443" s="50"/>
      <c r="F443" s="50"/>
      <c r="G443" s="50"/>
      <c r="H443" s="50"/>
      <c r="I443" s="50"/>
      <c r="J443" s="22">
        <v>28.807877999999999</v>
      </c>
      <c r="K443" s="22">
        <v>24.290934</v>
      </c>
      <c r="L443" s="22">
        <v>85.517549000000002</v>
      </c>
      <c r="M443" s="22">
        <v>75.611739</v>
      </c>
      <c r="N443" s="22">
        <v>22.575002999999999</v>
      </c>
      <c r="O443" s="548">
        <v>22.575002999999999</v>
      </c>
      <c r="P443" s="548">
        <v>1.9020239999999999</v>
      </c>
      <c r="Q443" s="22">
        <v>21.332245</v>
      </c>
      <c r="R443" s="548">
        <v>21.332245</v>
      </c>
      <c r="S443" s="22">
        <v>22.575002999999999</v>
      </c>
      <c r="T443" s="22">
        <v>22.575002999999999</v>
      </c>
      <c r="U443" s="51" t="s">
        <v>219</v>
      </c>
      <c r="V443" s="55">
        <v>9.83</v>
      </c>
      <c r="W443" s="55">
        <v>151</v>
      </c>
      <c r="X443" s="49">
        <v>36923</v>
      </c>
    </row>
    <row r="444" spans="1:24" ht="12" customHeight="1" x14ac:dyDescent="0.2">
      <c r="A444" s="49">
        <v>36951</v>
      </c>
      <c r="B444" s="523">
        <v>1.2599999999999945E-2</v>
      </c>
      <c r="C444" s="523">
        <v>1.5387</v>
      </c>
      <c r="D444" s="50"/>
      <c r="E444" s="50"/>
      <c r="F444" s="50"/>
      <c r="G444" s="50"/>
      <c r="H444" s="50"/>
      <c r="I444" s="50"/>
      <c r="J444" s="22">
        <v>28.839566000000001</v>
      </c>
      <c r="K444" s="22">
        <v>24.346803000000001</v>
      </c>
      <c r="L444" s="22">
        <v>85.808307999999997</v>
      </c>
      <c r="M444" s="22">
        <v>75.868818000000005</v>
      </c>
      <c r="N444" s="22">
        <v>22.68562</v>
      </c>
      <c r="O444" s="548">
        <v>22.68562</v>
      </c>
      <c r="P444" s="548">
        <v>1.9115340000000001</v>
      </c>
      <c r="Q444" s="22">
        <v>21.438905999999999</v>
      </c>
      <c r="R444" s="548">
        <v>21.438905999999999</v>
      </c>
      <c r="S444" s="22">
        <v>22.68562</v>
      </c>
      <c r="T444" s="22">
        <v>22.68562</v>
      </c>
      <c r="U444" s="51" t="s">
        <v>219</v>
      </c>
      <c r="V444" s="55">
        <v>9.83</v>
      </c>
      <c r="W444" s="55">
        <v>151</v>
      </c>
      <c r="X444" s="49">
        <v>36951</v>
      </c>
    </row>
    <row r="445" spans="1:24" ht="12" customHeight="1" x14ac:dyDescent="0.2">
      <c r="A445" s="49">
        <v>36982</v>
      </c>
      <c r="B445" s="523">
        <v>1.1900000000000022E-2</v>
      </c>
      <c r="C445" s="523">
        <v>1.5506</v>
      </c>
      <c r="D445" s="50"/>
      <c r="E445" s="50"/>
      <c r="F445" s="50"/>
      <c r="G445" s="50"/>
      <c r="H445" s="50"/>
      <c r="I445" s="50"/>
      <c r="J445" s="22">
        <v>28.986647000000001</v>
      </c>
      <c r="K445" s="22">
        <v>24.483145</v>
      </c>
      <c r="L445" s="22">
        <v>86.039990000000003</v>
      </c>
      <c r="M445" s="22">
        <v>76.475768000000002</v>
      </c>
      <c r="N445" s="22">
        <v>22.794509999999999</v>
      </c>
      <c r="O445" s="22">
        <v>22.794509999999999</v>
      </c>
      <c r="P445" s="22">
        <v>1.918415</v>
      </c>
      <c r="Q445" s="22">
        <v>21.516086000000001</v>
      </c>
      <c r="R445" s="22">
        <v>21.516086000000001</v>
      </c>
      <c r="S445" s="22">
        <v>22.794509999999999</v>
      </c>
      <c r="T445" s="22">
        <v>22.794509999999999</v>
      </c>
      <c r="U445" s="51" t="s">
        <v>219</v>
      </c>
      <c r="V445" s="55">
        <v>9.83</v>
      </c>
      <c r="W445" s="55">
        <v>180</v>
      </c>
      <c r="X445" s="49">
        <v>36982</v>
      </c>
    </row>
    <row r="446" spans="1:24" ht="12" customHeight="1" x14ac:dyDescent="0.2">
      <c r="A446" s="49">
        <v>37012</v>
      </c>
      <c r="B446" s="523">
        <v>1.3400000000000079E-2</v>
      </c>
      <c r="C446" s="523">
        <v>1.5640000000000001</v>
      </c>
      <c r="D446" s="50"/>
      <c r="E446" s="50"/>
      <c r="F446" s="50"/>
      <c r="G446" s="50"/>
      <c r="H446" s="50"/>
      <c r="I446" s="50"/>
      <c r="J446" s="22">
        <v>29.163464999999999</v>
      </c>
      <c r="K446" s="22">
        <v>24.727976000000002</v>
      </c>
      <c r="L446" s="22">
        <v>86.349733000000001</v>
      </c>
      <c r="M446" s="22">
        <v>77.339944000000003</v>
      </c>
      <c r="N446" s="22">
        <v>22.985983000000001</v>
      </c>
      <c r="O446" s="22">
        <v>22.985983000000001</v>
      </c>
      <c r="P446" s="22">
        <v>1.928007</v>
      </c>
      <c r="Q446" s="22">
        <v>21.623666</v>
      </c>
      <c r="R446" s="22">
        <v>21.623666</v>
      </c>
      <c r="S446" s="22">
        <v>22.985983000000001</v>
      </c>
      <c r="T446" s="22">
        <v>22.985983000000001</v>
      </c>
      <c r="U446" s="51" t="s">
        <v>219</v>
      </c>
      <c r="V446" s="55">
        <v>9.83</v>
      </c>
      <c r="W446" s="55">
        <v>180</v>
      </c>
      <c r="X446" s="49">
        <v>37012</v>
      </c>
    </row>
    <row r="447" spans="1:24" ht="12" customHeight="1" x14ac:dyDescent="0.2">
      <c r="A447" s="49">
        <v>37043</v>
      </c>
      <c r="B447" s="523">
        <v>1.2699999999999934E-2</v>
      </c>
      <c r="C447" s="523">
        <v>1.5767</v>
      </c>
      <c r="D447" s="50"/>
      <c r="E447" s="50"/>
      <c r="F447" s="50"/>
      <c r="G447" s="50"/>
      <c r="H447" s="50"/>
      <c r="I447" s="50"/>
      <c r="J447" s="548">
        <v>29.213042000000002</v>
      </c>
      <c r="K447" s="548">
        <v>24.940636000000001</v>
      </c>
      <c r="L447" s="548">
        <v>88.171711999999999</v>
      </c>
      <c r="M447" s="548">
        <v>77.680239</v>
      </c>
      <c r="N447" s="548">
        <v>23.117003</v>
      </c>
      <c r="O447" s="22">
        <v>23.117003</v>
      </c>
      <c r="P447" s="22">
        <v>1.937454</v>
      </c>
      <c r="Q447" s="22">
        <v>21.729621000000002</v>
      </c>
      <c r="R447" s="22">
        <v>21.729621000000002</v>
      </c>
      <c r="S447" s="22">
        <v>23.117003</v>
      </c>
      <c r="T447" s="548">
        <v>23.117003</v>
      </c>
      <c r="U447" s="51" t="s">
        <v>219</v>
      </c>
      <c r="V447" s="55">
        <v>9.83</v>
      </c>
      <c r="W447" s="55">
        <v>180</v>
      </c>
      <c r="X447" s="49">
        <v>37043</v>
      </c>
    </row>
    <row r="448" spans="1:24" ht="12" customHeight="1" x14ac:dyDescent="0.2">
      <c r="A448" s="49">
        <v>37073</v>
      </c>
      <c r="B448" s="523">
        <v>1.4999999999999902E-2</v>
      </c>
      <c r="C448" s="523">
        <v>1.5916999999999999</v>
      </c>
      <c r="D448" s="50"/>
      <c r="E448" s="50"/>
      <c r="F448" s="50"/>
      <c r="G448" s="50"/>
      <c r="H448" s="50"/>
      <c r="I448" s="50"/>
      <c r="J448" s="548">
        <v>29.461352000000002</v>
      </c>
      <c r="K448" s="548">
        <v>25.185054000000001</v>
      </c>
      <c r="L448" s="548">
        <v>89.194502999999997</v>
      </c>
      <c r="M448" s="548">
        <v>78.814369999999997</v>
      </c>
      <c r="N448" s="548">
        <v>23.255704999999999</v>
      </c>
      <c r="O448" s="22">
        <v>23.255704999999999</v>
      </c>
      <c r="P448" s="22">
        <v>1.9448160000000001</v>
      </c>
      <c r="Q448" s="22">
        <v>21.812193000000001</v>
      </c>
      <c r="R448" s="22">
        <v>21.812193000000001</v>
      </c>
      <c r="S448" s="22">
        <v>23.255704999999999</v>
      </c>
      <c r="T448" s="548">
        <v>23.255704999999999</v>
      </c>
      <c r="U448" s="51" t="s">
        <v>219</v>
      </c>
      <c r="V448" s="55">
        <v>9.83</v>
      </c>
      <c r="W448" s="55">
        <v>180</v>
      </c>
      <c r="X448" s="49">
        <v>37073</v>
      </c>
    </row>
    <row r="449" spans="1:24" ht="12" customHeight="1" x14ac:dyDescent="0.2">
      <c r="A449" s="49">
        <v>37104</v>
      </c>
      <c r="B449" s="523">
        <v>1.6000000000000014E-2</v>
      </c>
      <c r="C449" s="523">
        <v>1.6076999999999999</v>
      </c>
      <c r="D449" s="50"/>
      <c r="E449" s="50"/>
      <c r="F449" s="50"/>
      <c r="G449" s="50"/>
      <c r="H449" s="50"/>
      <c r="I449" s="50"/>
      <c r="J449" s="548">
        <v>29.817834000000001</v>
      </c>
      <c r="K449" s="548">
        <v>25.557791999999999</v>
      </c>
      <c r="L449" s="548">
        <v>89.658314000000004</v>
      </c>
      <c r="M449" s="548">
        <v>80.091161999999997</v>
      </c>
      <c r="N449" s="548">
        <v>23.513843000000001</v>
      </c>
      <c r="O449" s="22">
        <v>23.513843000000001</v>
      </c>
      <c r="P449" s="22">
        <v>1.9630970000000001</v>
      </c>
      <c r="Q449" s="22">
        <v>22.017226999999998</v>
      </c>
      <c r="R449" s="22">
        <v>22.017226999999998</v>
      </c>
      <c r="S449" s="22">
        <v>23.513843000000001</v>
      </c>
      <c r="T449" s="548">
        <v>23.513843000000001</v>
      </c>
      <c r="U449" s="51" t="s">
        <v>219</v>
      </c>
      <c r="V449" s="55">
        <v>9.83</v>
      </c>
      <c r="W449" s="55">
        <v>180</v>
      </c>
      <c r="X449" s="49">
        <v>37104</v>
      </c>
    </row>
    <row r="450" spans="1:24" ht="12" customHeight="1" x14ac:dyDescent="0.2">
      <c r="A450" s="49">
        <v>37135</v>
      </c>
      <c r="B450" s="523">
        <v>1.3200000000000101E-2</v>
      </c>
      <c r="C450" s="523">
        <v>1.6209</v>
      </c>
      <c r="D450" s="50"/>
      <c r="E450" s="50"/>
      <c r="F450" s="50"/>
      <c r="G450" s="50"/>
      <c r="H450" s="50"/>
      <c r="I450" s="50"/>
      <c r="J450" s="22">
        <v>30.160739</v>
      </c>
      <c r="K450" s="22">
        <v>25.910488999999998</v>
      </c>
      <c r="L450" s="22">
        <v>90.214195000000004</v>
      </c>
      <c r="M450" s="22">
        <v>80.811982</v>
      </c>
      <c r="N450" s="22">
        <v>23.699601999999999</v>
      </c>
      <c r="O450" s="22">
        <v>23.699601999999999</v>
      </c>
      <c r="P450" s="22">
        <v>1.9862610000000001</v>
      </c>
      <c r="Q450" s="22">
        <v>22.27703</v>
      </c>
      <c r="R450" s="22">
        <v>22.27703</v>
      </c>
      <c r="S450" s="22">
        <v>23.699601999999999</v>
      </c>
      <c r="T450" s="22">
        <v>23.699601999999999</v>
      </c>
      <c r="U450" s="51" t="s">
        <v>219</v>
      </c>
      <c r="V450" s="55">
        <v>9.83</v>
      </c>
      <c r="W450" s="55">
        <v>180</v>
      </c>
      <c r="X450" s="49">
        <v>37135</v>
      </c>
    </row>
    <row r="451" spans="1:24" ht="12" customHeight="1" x14ac:dyDescent="0.2">
      <c r="A451" s="49">
        <v>37165</v>
      </c>
      <c r="B451" s="523">
        <v>1.5300000000000091E-2</v>
      </c>
      <c r="C451" s="523">
        <v>1.6362000000000001</v>
      </c>
      <c r="D451" s="50"/>
      <c r="E451" s="50"/>
      <c r="F451" s="50"/>
      <c r="G451" s="50"/>
      <c r="H451" s="50"/>
      <c r="I451" s="50"/>
      <c r="J451" s="22">
        <v>30.257252999999999</v>
      </c>
      <c r="K451" s="22">
        <v>25.990811000000001</v>
      </c>
      <c r="L451" s="22">
        <v>90.710373000000004</v>
      </c>
      <c r="M451" s="22">
        <v>81.119067000000001</v>
      </c>
      <c r="N451" s="22">
        <v>23.803879999999999</v>
      </c>
      <c r="O451" s="22">
        <v>23.803879999999999</v>
      </c>
      <c r="P451" s="22">
        <v>1.993808</v>
      </c>
      <c r="Q451" s="22">
        <v>22.361681999999998</v>
      </c>
      <c r="R451" s="22">
        <v>22.361681999999998</v>
      </c>
      <c r="S451" s="22">
        <v>23.803879999999999</v>
      </c>
      <c r="T451" s="22">
        <v>23.803879999999999</v>
      </c>
      <c r="U451" s="51" t="s">
        <v>219</v>
      </c>
      <c r="V451" s="55">
        <v>9.83</v>
      </c>
      <c r="W451" s="55">
        <v>180</v>
      </c>
      <c r="X451" s="49">
        <v>37165</v>
      </c>
    </row>
    <row r="452" spans="1:24" ht="12" customHeight="1" x14ac:dyDescent="0.2">
      <c r="A452" s="49">
        <v>37196</v>
      </c>
      <c r="B452" s="523">
        <v>1.3899999999999801E-2</v>
      </c>
      <c r="C452" s="523">
        <v>1.6500999999999999</v>
      </c>
      <c r="D452" s="50"/>
      <c r="E452" s="50"/>
      <c r="F452" s="50"/>
      <c r="G452" s="50"/>
      <c r="H452" s="50"/>
      <c r="I452" s="50"/>
      <c r="J452" s="22">
        <v>30.481155999999999</v>
      </c>
      <c r="K452" s="22">
        <v>26.297502000000001</v>
      </c>
      <c r="L452" s="22">
        <v>91.553978999999998</v>
      </c>
      <c r="M452" s="22">
        <v>82.295293000000001</v>
      </c>
      <c r="N452" s="22">
        <v>24.027636000000001</v>
      </c>
      <c r="O452" s="22">
        <v>24.027636000000001</v>
      </c>
      <c r="P452" s="22">
        <v>2.001185</v>
      </c>
      <c r="Q452" s="22">
        <v>22.444420000000001</v>
      </c>
      <c r="R452" s="22">
        <v>22.444420000000001</v>
      </c>
      <c r="S452" s="22">
        <v>24.027636000000001</v>
      </c>
      <c r="T452" s="22">
        <v>24.027636000000001</v>
      </c>
      <c r="U452" s="51" t="s">
        <v>219</v>
      </c>
      <c r="V452" s="55">
        <v>9.83</v>
      </c>
      <c r="W452" s="55">
        <v>180</v>
      </c>
      <c r="X452" s="49">
        <v>37196</v>
      </c>
    </row>
    <row r="453" spans="1:24" ht="12" customHeight="1" x14ac:dyDescent="0.2">
      <c r="A453" s="49">
        <v>37226</v>
      </c>
      <c r="B453" s="523">
        <v>1.3900000000000023E-2</v>
      </c>
      <c r="C453" s="523">
        <v>1.6639999999999999</v>
      </c>
      <c r="D453" s="50"/>
      <c r="E453" s="50"/>
      <c r="F453" s="50"/>
      <c r="G453" s="50"/>
      <c r="H453" s="50"/>
      <c r="I453" s="50"/>
      <c r="J453" s="22">
        <v>30.667090999999999</v>
      </c>
      <c r="K453" s="22">
        <v>26.586773999999998</v>
      </c>
      <c r="L453" s="22">
        <v>92.231477999999996</v>
      </c>
      <c r="M453" s="22">
        <v>82.920737000000003</v>
      </c>
      <c r="N453" s="22">
        <v>24.337592000000001</v>
      </c>
      <c r="O453" s="22">
        <v>24.337592000000001</v>
      </c>
      <c r="P453" s="22">
        <v>2.0209959999999998</v>
      </c>
      <c r="Q453" s="22">
        <v>22.666619000000001</v>
      </c>
      <c r="R453" s="22">
        <v>22.666619000000001</v>
      </c>
      <c r="S453" s="22">
        <v>24.337592000000001</v>
      </c>
      <c r="T453" s="22">
        <v>24.337592000000001</v>
      </c>
      <c r="U453" s="51" t="s">
        <v>219</v>
      </c>
      <c r="V453" s="55">
        <v>9.83</v>
      </c>
      <c r="W453" s="55">
        <v>180</v>
      </c>
      <c r="X453" s="49">
        <v>37226</v>
      </c>
    </row>
    <row r="454" spans="1:24" ht="12" customHeight="1" x14ac:dyDescent="0.2">
      <c r="A454" s="49">
        <v>37257</v>
      </c>
      <c r="B454" s="523">
        <v>1.5300000000000091E-2</v>
      </c>
      <c r="C454" s="523">
        <v>1.6793</v>
      </c>
      <c r="D454" s="50"/>
      <c r="E454" s="50"/>
      <c r="F454" s="50"/>
      <c r="G454" s="50"/>
      <c r="H454" s="50"/>
      <c r="I454" s="50"/>
      <c r="J454" s="22">
        <v>30.743758</v>
      </c>
      <c r="K454" s="22">
        <v>26.645264000000001</v>
      </c>
      <c r="L454" s="22">
        <v>92.545064999999994</v>
      </c>
      <c r="M454" s="22">
        <v>83.069993999999994</v>
      </c>
      <c r="N454" s="22">
        <v>24.517690000000002</v>
      </c>
      <c r="O454" s="22">
        <v>24.517690000000002</v>
      </c>
      <c r="P454" s="22">
        <v>2.032111</v>
      </c>
      <c r="Q454" s="22">
        <v>22.791284999999998</v>
      </c>
      <c r="R454" s="22">
        <v>22.791284999999998</v>
      </c>
      <c r="S454" s="22">
        <v>24.517690000000002</v>
      </c>
      <c r="T454" s="22">
        <v>24.517690000000002</v>
      </c>
      <c r="U454" s="51" t="s">
        <v>219</v>
      </c>
      <c r="V454" s="55">
        <v>10.52</v>
      </c>
      <c r="W454" s="55">
        <v>180</v>
      </c>
      <c r="X454" s="49">
        <v>37257</v>
      </c>
    </row>
    <row r="455" spans="1:24" ht="12" customHeight="1" x14ac:dyDescent="0.2">
      <c r="A455" s="49">
        <v>37288</v>
      </c>
      <c r="B455" s="523">
        <v>1.2499999999999956E-2</v>
      </c>
      <c r="C455" s="523">
        <v>1.6918</v>
      </c>
      <c r="D455" s="50"/>
      <c r="E455" s="50"/>
      <c r="F455" s="50"/>
      <c r="G455" s="50"/>
      <c r="H455" s="50"/>
      <c r="I455" s="50"/>
      <c r="J455" s="22">
        <v>30.918997000000001</v>
      </c>
      <c r="K455" s="22">
        <v>26.741185999999999</v>
      </c>
      <c r="L455" s="22">
        <v>92.878226999999995</v>
      </c>
      <c r="M455" s="22">
        <v>83.227825999999993</v>
      </c>
      <c r="N455" s="22">
        <v>24.780028999999999</v>
      </c>
      <c r="O455" s="22">
        <v>24.780028999999999</v>
      </c>
      <c r="P455" s="22">
        <v>2.0447099999999998</v>
      </c>
      <c r="Q455" s="22">
        <v>22.932590000000001</v>
      </c>
      <c r="R455" s="22">
        <v>22.932590000000001</v>
      </c>
      <c r="S455" s="22">
        <v>24.780028999999999</v>
      </c>
      <c r="T455" s="22">
        <v>24.780028999999999</v>
      </c>
      <c r="U455" s="51" t="s">
        <v>219</v>
      </c>
      <c r="V455" s="55">
        <v>10.52</v>
      </c>
      <c r="W455" s="55">
        <v>180</v>
      </c>
      <c r="X455" s="49">
        <v>37288</v>
      </c>
    </row>
    <row r="456" spans="1:24" ht="12" customHeight="1" x14ac:dyDescent="0.2">
      <c r="A456" s="49">
        <v>37316</v>
      </c>
      <c r="B456" s="523">
        <v>1.3700000000000045E-2</v>
      </c>
      <c r="C456" s="523">
        <v>1.7055</v>
      </c>
      <c r="D456" s="50"/>
      <c r="E456" s="50"/>
      <c r="F456" s="50"/>
      <c r="G456" s="50"/>
      <c r="H456" s="50"/>
      <c r="I456" s="50"/>
      <c r="J456" s="22">
        <v>30.999386000000001</v>
      </c>
      <c r="K456" s="22">
        <v>26.75723</v>
      </c>
      <c r="L456" s="22">
        <v>93.416920000000005</v>
      </c>
      <c r="M456" s="22">
        <v>83.377635999999995</v>
      </c>
      <c r="N456" s="22">
        <v>24.856846999999998</v>
      </c>
      <c r="O456" s="22">
        <v>24.856846999999998</v>
      </c>
      <c r="P456" s="22">
        <v>2.053706</v>
      </c>
      <c r="Q456" s="22">
        <v>23.033493</v>
      </c>
      <c r="R456" s="22">
        <v>23.033493</v>
      </c>
      <c r="S456" s="22">
        <v>24.856846999999998</v>
      </c>
      <c r="T456" s="22">
        <v>24.856846999999998</v>
      </c>
      <c r="U456" s="51" t="s">
        <v>219</v>
      </c>
      <c r="V456" s="55">
        <v>10.52</v>
      </c>
      <c r="W456" s="55">
        <v>180</v>
      </c>
      <c r="X456" s="49">
        <v>37316</v>
      </c>
    </row>
    <row r="457" spans="1:24" ht="12" customHeight="1" x14ac:dyDescent="0.2">
      <c r="A457" s="49">
        <v>37347</v>
      </c>
      <c r="B457" s="523">
        <v>1.4799999999999924E-2</v>
      </c>
      <c r="C457" s="523">
        <v>1.7202999999999999</v>
      </c>
      <c r="D457" s="50"/>
      <c r="E457" s="50"/>
      <c r="F457" s="50"/>
      <c r="G457" s="50"/>
      <c r="H457" s="50"/>
      <c r="I457" s="50"/>
      <c r="J457" s="22">
        <v>31.021084999999999</v>
      </c>
      <c r="K457" s="22">
        <v>26.781310999999999</v>
      </c>
      <c r="L457" s="22">
        <v>93.930712999999997</v>
      </c>
      <c r="M457" s="22">
        <v>83.469351000000003</v>
      </c>
      <c r="N457" s="22">
        <v>25.010959</v>
      </c>
      <c r="O457" s="22">
        <v>25.010959</v>
      </c>
      <c r="P457" s="22">
        <v>2.0619200000000002</v>
      </c>
      <c r="Q457" s="22">
        <v>23.125626</v>
      </c>
      <c r="R457" s="22">
        <v>23.125626</v>
      </c>
      <c r="S457" s="22">
        <v>25.010959</v>
      </c>
      <c r="T457" s="22">
        <v>25.010959</v>
      </c>
      <c r="U457" s="51" t="s">
        <v>219</v>
      </c>
      <c r="V457" s="55">
        <v>10.52</v>
      </c>
      <c r="W457" s="55">
        <v>200</v>
      </c>
      <c r="X457" s="49">
        <v>37347</v>
      </c>
    </row>
    <row r="458" spans="1:24" ht="12" customHeight="1" x14ac:dyDescent="0.2">
      <c r="A458" s="49">
        <v>37377</v>
      </c>
      <c r="B458" s="523">
        <v>1.4100000000000001E-2</v>
      </c>
      <c r="C458" s="523">
        <v>1.7343999999999999</v>
      </c>
      <c r="D458" s="50"/>
      <c r="E458" s="50"/>
      <c r="F458" s="50"/>
      <c r="G458" s="50"/>
      <c r="H458" s="50"/>
      <c r="I458" s="50"/>
      <c r="J458" s="22">
        <v>31.039697</v>
      </c>
      <c r="K458" s="22">
        <v>26.931286</v>
      </c>
      <c r="L458" s="22">
        <v>94.240684000000002</v>
      </c>
      <c r="M458" s="22">
        <v>84.053635999999997</v>
      </c>
      <c r="N458" s="22">
        <v>25.181032999999999</v>
      </c>
      <c r="O458" s="22">
        <v>25.181032999999999</v>
      </c>
      <c r="P458" s="22">
        <v>2.0780020000000001</v>
      </c>
      <c r="Q458" s="22">
        <v>23.306004999999999</v>
      </c>
      <c r="R458" s="22">
        <v>23.306004999999999</v>
      </c>
      <c r="S458" s="22">
        <v>25.181032999999999</v>
      </c>
      <c r="T458" s="22">
        <v>25.181032999999999</v>
      </c>
      <c r="U458" s="51" t="s">
        <v>219</v>
      </c>
      <c r="V458" s="55">
        <v>10.52</v>
      </c>
      <c r="W458" s="55">
        <v>200</v>
      </c>
      <c r="X458" s="49">
        <v>37377</v>
      </c>
    </row>
    <row r="459" spans="1:24" ht="12" customHeight="1" x14ac:dyDescent="0.2">
      <c r="A459" s="49">
        <v>37408</v>
      </c>
      <c r="B459" s="523">
        <v>1.330000000000009E-2</v>
      </c>
      <c r="C459" s="523">
        <v>1.7477</v>
      </c>
      <c r="D459" s="50"/>
      <c r="E459" s="50"/>
      <c r="F459" s="50"/>
      <c r="G459" s="50"/>
      <c r="H459" s="50"/>
      <c r="I459" s="50"/>
      <c r="J459" s="22">
        <v>31.058319999999998</v>
      </c>
      <c r="K459" s="22">
        <v>27.154814999999999</v>
      </c>
      <c r="L459" s="22">
        <v>96.624972999999997</v>
      </c>
      <c r="M459" s="22">
        <v>84.986631000000003</v>
      </c>
      <c r="N459" s="22">
        <v>25.203695</v>
      </c>
      <c r="O459" s="22">
        <v>25.203695</v>
      </c>
      <c r="P459" s="22">
        <v>2.0867290000000001</v>
      </c>
      <c r="Q459" s="22">
        <v>23.403890000000001</v>
      </c>
      <c r="R459" s="22">
        <v>23.403890000000001</v>
      </c>
      <c r="S459" s="22">
        <v>25.203695</v>
      </c>
      <c r="T459" s="22">
        <v>25.203695</v>
      </c>
      <c r="U459" s="51" t="s">
        <v>219</v>
      </c>
      <c r="V459" s="55">
        <v>10.52</v>
      </c>
      <c r="W459" s="55">
        <v>200</v>
      </c>
      <c r="X459" s="49">
        <v>37408</v>
      </c>
    </row>
    <row r="460" spans="1:24" ht="12" customHeight="1" x14ac:dyDescent="0.2">
      <c r="A460" s="49">
        <v>37438</v>
      </c>
      <c r="B460" s="523">
        <v>1.5399999999999858E-2</v>
      </c>
      <c r="C460" s="523">
        <v>1.7630999999999999</v>
      </c>
      <c r="D460" s="50"/>
      <c r="E460" s="50"/>
      <c r="F460" s="50"/>
      <c r="G460" s="50"/>
      <c r="H460" s="50"/>
      <c r="I460" s="50"/>
      <c r="J460" s="22">
        <v>31.154599999999999</v>
      </c>
      <c r="K460" s="22">
        <v>27.572998999999999</v>
      </c>
      <c r="L460" s="22">
        <v>97.175735000000003</v>
      </c>
      <c r="M460" s="22">
        <v>86.465397999999993</v>
      </c>
      <c r="N460" s="22">
        <v>25.357437000000001</v>
      </c>
      <c r="O460" s="22">
        <v>25.357437000000001</v>
      </c>
      <c r="P460" s="22">
        <v>2.0936149999999998</v>
      </c>
      <c r="Q460" s="22">
        <v>23.481121999999999</v>
      </c>
      <c r="R460" s="22">
        <v>23.481121999999999</v>
      </c>
      <c r="S460" s="22">
        <v>25.357437000000001</v>
      </c>
      <c r="T460" s="22">
        <v>25.357437000000001</v>
      </c>
      <c r="U460" s="51" t="s">
        <v>219</v>
      </c>
      <c r="V460" s="55">
        <v>10.52</v>
      </c>
      <c r="W460" s="55">
        <v>200</v>
      </c>
      <c r="X460" s="49">
        <v>37438</v>
      </c>
    </row>
    <row r="461" spans="1:24" ht="12" customHeight="1" x14ac:dyDescent="0.2">
      <c r="A461" s="49">
        <v>37469</v>
      </c>
      <c r="B461" s="523">
        <v>1.440000000000019E-2</v>
      </c>
      <c r="C461" s="523">
        <v>1.7775000000000001</v>
      </c>
      <c r="D461" s="50"/>
      <c r="E461" s="50"/>
      <c r="F461" s="50"/>
      <c r="G461" s="50"/>
      <c r="H461" s="50"/>
      <c r="I461" s="50"/>
      <c r="J461" s="22">
        <v>31.363334999999999</v>
      </c>
      <c r="K461" s="22">
        <v>28.110672000000001</v>
      </c>
      <c r="L461" s="22">
        <v>97.457543999999999</v>
      </c>
      <c r="M461" s="22">
        <v>88.237938</v>
      </c>
      <c r="N461" s="22">
        <v>25.649046999999999</v>
      </c>
      <c r="O461" s="22">
        <v>25.649046999999999</v>
      </c>
      <c r="P461" s="22">
        <v>2.1097350000000001</v>
      </c>
      <c r="Q461" s="22">
        <v>23.661926000000001</v>
      </c>
      <c r="R461" s="22">
        <v>23.661926000000001</v>
      </c>
      <c r="S461" s="22">
        <v>25.649046999999999</v>
      </c>
      <c r="T461" s="22">
        <v>25.649046999999999</v>
      </c>
      <c r="U461" s="51" t="s">
        <v>219</v>
      </c>
      <c r="V461" s="55">
        <v>10.52</v>
      </c>
      <c r="W461" s="55">
        <v>200</v>
      </c>
      <c r="X461" s="49">
        <v>37469</v>
      </c>
    </row>
    <row r="462" spans="1:24" ht="12" customHeight="1" x14ac:dyDescent="0.2">
      <c r="A462" s="49">
        <v>37500</v>
      </c>
      <c r="B462" s="523">
        <v>1.3799999999999812E-2</v>
      </c>
      <c r="C462" s="523">
        <v>1.7912999999999999</v>
      </c>
      <c r="D462" s="50"/>
      <c r="E462" s="50"/>
      <c r="F462" s="50"/>
      <c r="G462" s="50"/>
      <c r="H462" s="50"/>
      <c r="I462" s="50"/>
      <c r="J462" s="22">
        <v>31.680104</v>
      </c>
      <c r="K462" s="22">
        <v>28.762839</v>
      </c>
      <c r="L462" s="22">
        <v>98.432119</v>
      </c>
      <c r="M462" s="22">
        <v>90.320352999999997</v>
      </c>
      <c r="N462" s="22">
        <v>25.869627999999999</v>
      </c>
      <c r="O462" s="22">
        <v>25.869627999999999</v>
      </c>
      <c r="P462" s="22">
        <v>2.1308319999999998</v>
      </c>
      <c r="Q462" s="22">
        <v>23.898544999999999</v>
      </c>
      <c r="R462" s="22">
        <v>23.898544999999999</v>
      </c>
      <c r="S462" s="22">
        <v>25.869627999999999</v>
      </c>
      <c r="T462" s="22">
        <v>25.869627999999999</v>
      </c>
      <c r="U462" s="51" t="s">
        <v>219</v>
      </c>
      <c r="V462" s="55">
        <v>10.52</v>
      </c>
      <c r="W462" s="55">
        <v>200</v>
      </c>
      <c r="X462" s="49">
        <v>37500</v>
      </c>
    </row>
    <row r="463" spans="1:24" ht="12" customHeight="1" x14ac:dyDescent="0.2">
      <c r="A463" s="49">
        <v>37530</v>
      </c>
      <c r="B463" s="523">
        <v>1.6500000000000181E-2</v>
      </c>
      <c r="C463" s="523">
        <v>1.8078000000000001</v>
      </c>
      <c r="D463" s="50"/>
      <c r="E463" s="50"/>
      <c r="F463" s="50"/>
      <c r="G463" s="50"/>
      <c r="H463" s="50"/>
      <c r="I463" s="50"/>
      <c r="J463" s="22">
        <v>31.920871999999999</v>
      </c>
      <c r="K463" s="22">
        <v>29.453147000000001</v>
      </c>
      <c r="L463" s="22">
        <v>99.130987000000005</v>
      </c>
      <c r="M463" s="22">
        <v>92.704809999999995</v>
      </c>
      <c r="N463" s="22">
        <v>26.084344999999999</v>
      </c>
      <c r="O463" s="22">
        <v>26.084344999999999</v>
      </c>
      <c r="P463" s="22">
        <v>2.1440429999999999</v>
      </c>
      <c r="Q463" s="22">
        <v>24.046714999999999</v>
      </c>
      <c r="R463" s="22">
        <v>24.046714999999999</v>
      </c>
      <c r="S463" s="22">
        <v>26.084344999999999</v>
      </c>
      <c r="T463" s="22">
        <v>26.084344999999999</v>
      </c>
      <c r="U463" s="51" t="s">
        <v>219</v>
      </c>
      <c r="V463" s="55">
        <v>10.52</v>
      </c>
      <c r="W463" s="55">
        <v>200</v>
      </c>
      <c r="X463" s="49">
        <v>37530</v>
      </c>
    </row>
    <row r="464" spans="1:24" ht="12" customHeight="1" x14ac:dyDescent="0.2">
      <c r="A464" s="49">
        <v>37561</v>
      </c>
      <c r="B464" s="523">
        <v>1.5399999999999858E-2</v>
      </c>
      <c r="C464" s="523">
        <v>1.8231999999999999</v>
      </c>
      <c r="D464" s="50"/>
      <c r="E464" s="50"/>
      <c r="F464" s="50"/>
      <c r="G464" s="50"/>
      <c r="H464" s="50"/>
      <c r="I464" s="50"/>
      <c r="J464" s="22">
        <v>32.329459</v>
      </c>
      <c r="K464" s="22">
        <v>30.592983</v>
      </c>
      <c r="L464" s="22">
        <v>100.251167</v>
      </c>
      <c r="M464" s="22">
        <v>96.607681999999997</v>
      </c>
      <c r="N464" s="22">
        <v>26.493869</v>
      </c>
      <c r="O464" s="22">
        <v>26.493869</v>
      </c>
      <c r="P464" s="22">
        <v>2.1633390000000001</v>
      </c>
      <c r="Q464" s="22">
        <v>24.263134999999998</v>
      </c>
      <c r="R464" s="22">
        <v>24.263134999999998</v>
      </c>
      <c r="S464" s="22">
        <v>26.493869</v>
      </c>
      <c r="T464" s="22">
        <v>26.493869</v>
      </c>
      <c r="U464" s="51" t="s">
        <v>219</v>
      </c>
      <c r="V464" s="55">
        <v>10.52</v>
      </c>
      <c r="W464" s="55">
        <v>200</v>
      </c>
      <c r="X464" s="49">
        <v>37561</v>
      </c>
    </row>
    <row r="465" spans="1:24" ht="12" customHeight="1" x14ac:dyDescent="0.2">
      <c r="A465" s="49">
        <v>37591</v>
      </c>
      <c r="B465" s="523">
        <v>1.7400000000000082E-2</v>
      </c>
      <c r="C465" s="523">
        <v>1.8406</v>
      </c>
      <c r="D465" s="50"/>
      <c r="E465" s="50"/>
      <c r="F465" s="50"/>
      <c r="G465" s="50"/>
      <c r="H465" s="50"/>
      <c r="I465" s="50"/>
      <c r="J465" s="22">
        <v>33.186188999999999</v>
      </c>
      <c r="K465" s="22">
        <v>32.180757999999997</v>
      </c>
      <c r="L465" s="22">
        <v>102.70732</v>
      </c>
      <c r="M465" s="22">
        <v>102.24957000000001</v>
      </c>
      <c r="N465" s="22">
        <v>27.392011</v>
      </c>
      <c r="O465" s="22">
        <v>27.392011</v>
      </c>
      <c r="P465" s="22">
        <v>2.2083360000000001</v>
      </c>
      <c r="Q465" s="22">
        <v>24.767807999999999</v>
      </c>
      <c r="R465" s="22">
        <v>24.767807999999999</v>
      </c>
      <c r="S465" s="22">
        <v>27.392011</v>
      </c>
      <c r="T465" s="22">
        <v>27.392011</v>
      </c>
      <c r="U465" s="51" t="s">
        <v>219</v>
      </c>
      <c r="V465" s="55">
        <v>10.52</v>
      </c>
      <c r="W465" s="55">
        <v>200</v>
      </c>
      <c r="X465" s="49">
        <v>37591</v>
      </c>
    </row>
    <row r="466" spans="1:24" ht="12" customHeight="1" x14ac:dyDescent="0.2">
      <c r="A466" s="49">
        <v>37622</v>
      </c>
      <c r="B466" s="523">
        <v>1.9700000000000051E-2</v>
      </c>
      <c r="C466" s="523">
        <v>1.8603000000000001</v>
      </c>
      <c r="D466" s="50"/>
      <c r="E466" s="50"/>
      <c r="F466" s="50"/>
      <c r="G466" s="50"/>
      <c r="H466" s="50"/>
      <c r="I466" s="50"/>
      <c r="J466" s="22">
        <v>33.793495999999998</v>
      </c>
      <c r="K466" s="22">
        <v>33.387535999999997</v>
      </c>
      <c r="L466" s="22">
        <v>104.453344</v>
      </c>
      <c r="M466" s="22">
        <v>105.01030799999999</v>
      </c>
      <c r="N466" s="22">
        <v>28.131595000000001</v>
      </c>
      <c r="O466" s="22">
        <v>28.131595000000001</v>
      </c>
      <c r="P466" s="22">
        <v>2.27569</v>
      </c>
      <c r="Q466" s="22">
        <v>25.523226000000001</v>
      </c>
      <c r="R466" s="22">
        <v>25.523226000000001</v>
      </c>
      <c r="S466" s="22">
        <v>28.131595000000001</v>
      </c>
      <c r="T466" s="22">
        <v>28.131595000000001</v>
      </c>
      <c r="U466" s="51" t="s">
        <v>219</v>
      </c>
      <c r="V466" s="55">
        <v>11.49</v>
      </c>
      <c r="W466" s="55">
        <v>200</v>
      </c>
      <c r="X466" s="49">
        <v>37622</v>
      </c>
    </row>
    <row r="467" spans="1:24" ht="12" customHeight="1" x14ac:dyDescent="0.2">
      <c r="A467" s="49">
        <v>37653</v>
      </c>
      <c r="B467" s="523">
        <v>1.8299999999999983E-2</v>
      </c>
      <c r="C467" s="523">
        <v>1.8786</v>
      </c>
      <c r="D467" s="50"/>
      <c r="E467" s="50"/>
      <c r="F467" s="50"/>
      <c r="G467" s="50"/>
      <c r="H467" s="50"/>
      <c r="I467" s="50"/>
      <c r="J467" s="22">
        <v>34.533572999999997</v>
      </c>
      <c r="K467" s="22">
        <v>34.165464999999998</v>
      </c>
      <c r="L467" s="22">
        <v>106.03058900000001</v>
      </c>
      <c r="M467" s="22">
        <v>107.28903099999999</v>
      </c>
      <c r="N467" s="22">
        <v>28.826445</v>
      </c>
      <c r="O467" s="22">
        <v>28.826445</v>
      </c>
      <c r="P467" s="22">
        <v>2.320748</v>
      </c>
      <c r="Q467" s="22">
        <v>26.028585</v>
      </c>
      <c r="R467" s="22">
        <v>26.028585</v>
      </c>
      <c r="S467" s="22">
        <v>28.826445</v>
      </c>
      <c r="T467" s="22">
        <v>28.826445</v>
      </c>
      <c r="U467" s="51" t="s">
        <v>219</v>
      </c>
      <c r="V467" s="55">
        <v>11.49</v>
      </c>
      <c r="W467" s="55">
        <v>200</v>
      </c>
      <c r="X467" s="49">
        <v>37653</v>
      </c>
    </row>
    <row r="468" spans="1:24" ht="12" customHeight="1" x14ac:dyDescent="0.2">
      <c r="A468" s="49">
        <v>37681</v>
      </c>
      <c r="B468" s="523">
        <v>1.7800000000000038E-2</v>
      </c>
      <c r="C468" s="523">
        <v>1.8964000000000001</v>
      </c>
      <c r="D468" s="50"/>
      <c r="E468" s="50"/>
      <c r="F468" s="50"/>
      <c r="G468" s="50"/>
      <c r="H468" s="50"/>
      <c r="I468" s="50"/>
      <c r="J468" s="22">
        <v>35.089562999999998</v>
      </c>
      <c r="K468" s="22">
        <v>34.944437000000001</v>
      </c>
      <c r="L468" s="22">
        <v>107.504414</v>
      </c>
      <c r="M468" s="22">
        <v>108.99492600000001</v>
      </c>
      <c r="N468" s="22">
        <v>29.247311</v>
      </c>
      <c r="O468" s="22">
        <v>29.247311</v>
      </c>
      <c r="P468" s="22">
        <v>2.371572</v>
      </c>
      <c r="Q468" s="22">
        <v>26.598610999999998</v>
      </c>
      <c r="R468" s="22">
        <v>26.598610999999998</v>
      </c>
      <c r="S468" s="22">
        <v>29.247311</v>
      </c>
      <c r="T468" s="22">
        <v>29.247311</v>
      </c>
      <c r="U468" s="51" t="s">
        <v>219</v>
      </c>
      <c r="V468" s="55">
        <v>11.49</v>
      </c>
      <c r="W468" s="55">
        <v>200</v>
      </c>
      <c r="X468" s="49">
        <v>37681</v>
      </c>
    </row>
    <row r="469" spans="1:24" ht="12" customHeight="1" x14ac:dyDescent="0.2">
      <c r="A469" s="49">
        <v>37712</v>
      </c>
      <c r="B469" s="523">
        <v>1.8699999999999939E-2</v>
      </c>
      <c r="C469" s="523">
        <v>1.9151</v>
      </c>
      <c r="D469" s="50"/>
      <c r="E469" s="50"/>
      <c r="F469" s="50"/>
      <c r="G469" s="50"/>
      <c r="H469" s="50"/>
      <c r="I469" s="50"/>
      <c r="J469" s="22">
        <v>35.324663000000001</v>
      </c>
      <c r="K469" s="22">
        <v>35.479086000000002</v>
      </c>
      <c r="L469" s="22">
        <v>108.98797399999999</v>
      </c>
      <c r="M469" s="22">
        <v>110.804241</v>
      </c>
      <c r="N469" s="22">
        <v>29.647998999999999</v>
      </c>
      <c r="O469" s="22">
        <v>29.647998999999999</v>
      </c>
      <c r="P469" s="22">
        <v>2.3986070000000002</v>
      </c>
      <c r="Q469" s="22">
        <v>26.901834999999998</v>
      </c>
      <c r="R469" s="22">
        <v>26.901834999999998</v>
      </c>
      <c r="S469" s="22">
        <v>29.647998999999999</v>
      </c>
      <c r="T469" s="22">
        <v>29.647998999999999</v>
      </c>
      <c r="U469" s="51" t="s">
        <v>219</v>
      </c>
      <c r="V469" s="55">
        <v>11.49</v>
      </c>
      <c r="W469" s="55">
        <v>240</v>
      </c>
      <c r="X469" s="49">
        <v>37712</v>
      </c>
    </row>
    <row r="470" spans="1:24" ht="12" customHeight="1" x14ac:dyDescent="0.2">
      <c r="A470" s="49">
        <v>37742</v>
      </c>
      <c r="B470" s="523">
        <v>1.9700000000000051E-2</v>
      </c>
      <c r="C470" s="523">
        <v>1.9348000000000001</v>
      </c>
      <c r="D470" s="50"/>
      <c r="E470" s="50"/>
      <c r="F470" s="50"/>
      <c r="G470" s="50"/>
      <c r="H470" s="50"/>
      <c r="I470" s="50"/>
      <c r="J470" s="22">
        <v>35.526012999999999</v>
      </c>
      <c r="K470" s="22">
        <v>35.805492999999998</v>
      </c>
      <c r="L470" s="22">
        <v>109.96886499999999</v>
      </c>
      <c r="M470" s="22">
        <v>111.258538</v>
      </c>
      <c r="N470" s="22">
        <v>30.057141000000001</v>
      </c>
      <c r="O470" s="22">
        <v>30.057141000000001</v>
      </c>
      <c r="P470" s="22">
        <v>2.425951</v>
      </c>
      <c r="Q470" s="22">
        <v>27.208514999999998</v>
      </c>
      <c r="R470" s="22">
        <v>27.208514999999998</v>
      </c>
      <c r="S470" s="22">
        <v>30.057141000000001</v>
      </c>
      <c r="T470" s="22">
        <v>30.057141000000001</v>
      </c>
      <c r="U470" s="51" t="s">
        <v>219</v>
      </c>
      <c r="V470" s="55">
        <v>11.49</v>
      </c>
      <c r="W470" s="55">
        <v>240</v>
      </c>
      <c r="X470" s="49">
        <v>37742</v>
      </c>
    </row>
    <row r="471" spans="1:24" ht="12" customHeight="1" x14ac:dyDescent="0.2">
      <c r="A471" s="49">
        <v>37773</v>
      </c>
      <c r="B471" s="523">
        <v>1.859999999999995E-2</v>
      </c>
      <c r="C471" s="523">
        <v>1.9534</v>
      </c>
      <c r="D471" s="50"/>
      <c r="E471" s="50"/>
      <c r="F471" s="50"/>
      <c r="G471" s="50"/>
      <c r="H471" s="50"/>
      <c r="I471" s="50"/>
      <c r="J471" s="22">
        <v>35.636142999999997</v>
      </c>
      <c r="K471" s="22">
        <v>35.712398</v>
      </c>
      <c r="L471" s="22">
        <v>113.09198000000001</v>
      </c>
      <c r="M471" s="22">
        <v>110.513105</v>
      </c>
      <c r="N471" s="22">
        <v>30.354706</v>
      </c>
      <c r="O471" s="22">
        <v>30.354706</v>
      </c>
      <c r="P471" s="22">
        <v>2.4465710000000001</v>
      </c>
      <c r="Q471" s="22">
        <v>27.439786999999999</v>
      </c>
      <c r="R471" s="22">
        <v>27.439786999999999</v>
      </c>
      <c r="S471" s="22">
        <v>30.354706</v>
      </c>
      <c r="T471" s="22">
        <v>30.354706</v>
      </c>
      <c r="U471" s="51" t="s">
        <v>219</v>
      </c>
      <c r="V471" s="55">
        <v>11.49</v>
      </c>
      <c r="W471" s="55">
        <v>240</v>
      </c>
      <c r="X471" s="49">
        <v>37773</v>
      </c>
    </row>
    <row r="472" spans="1:24" ht="12" customHeight="1" x14ac:dyDescent="0.2">
      <c r="A472" s="49">
        <v>37803</v>
      </c>
      <c r="B472" s="523">
        <v>2.079999999999993E-2</v>
      </c>
      <c r="C472" s="523">
        <v>1.9742</v>
      </c>
      <c r="D472" s="50"/>
      <c r="E472" s="50"/>
      <c r="F472" s="50"/>
      <c r="G472" s="50"/>
      <c r="H472" s="50"/>
      <c r="I472" s="50"/>
      <c r="J472" s="22">
        <v>35.579124999999998</v>
      </c>
      <c r="K472" s="22">
        <v>35.355274000000001</v>
      </c>
      <c r="L472" s="22">
        <v>114.279445</v>
      </c>
      <c r="M472" s="22">
        <v>109.739513</v>
      </c>
      <c r="N472" s="22">
        <v>30.336493000000001</v>
      </c>
      <c r="O472" s="22">
        <v>30.336493000000001</v>
      </c>
      <c r="P472" s="22">
        <v>2.451953</v>
      </c>
      <c r="Q472" s="22">
        <v>27.500153999999998</v>
      </c>
      <c r="R472" s="22">
        <v>27.500153999999998</v>
      </c>
      <c r="S472" s="22">
        <v>30.336493000000001</v>
      </c>
      <c r="T472" s="22">
        <v>30.336493000000001</v>
      </c>
      <c r="U472" s="51" t="s">
        <v>219</v>
      </c>
      <c r="V472" s="55">
        <v>11.49</v>
      </c>
      <c r="W472" s="55">
        <v>240</v>
      </c>
      <c r="X472" s="49">
        <v>37803</v>
      </c>
    </row>
    <row r="473" spans="1:24" ht="12" customHeight="1" x14ac:dyDescent="0.2">
      <c r="A473" s="49">
        <v>37834</v>
      </c>
      <c r="B473" s="523">
        <v>1.7700000000000049E-2</v>
      </c>
      <c r="C473" s="523">
        <v>1.9919</v>
      </c>
      <c r="D473" s="50"/>
      <c r="E473" s="50"/>
      <c r="F473" s="50"/>
      <c r="G473" s="50"/>
      <c r="H473" s="50"/>
      <c r="I473" s="50"/>
      <c r="J473" s="22">
        <v>35.550660999999998</v>
      </c>
      <c r="K473" s="22">
        <v>35.206780999999999</v>
      </c>
      <c r="L473" s="22">
        <v>115.410811</v>
      </c>
      <c r="M473" s="22">
        <v>109.520033</v>
      </c>
      <c r="N473" s="22">
        <v>30.348627</v>
      </c>
      <c r="O473" s="22">
        <v>30.348627</v>
      </c>
      <c r="P473" s="22">
        <v>2.4475389999999999</v>
      </c>
      <c r="Q473" s="22">
        <v>27.450652999999999</v>
      </c>
      <c r="R473" s="22">
        <v>27.450652999999999</v>
      </c>
      <c r="S473" s="22">
        <v>30.348627</v>
      </c>
      <c r="T473" s="22">
        <v>30.348627</v>
      </c>
      <c r="U473" s="51" t="s">
        <v>219</v>
      </c>
      <c r="V473" s="55">
        <v>11.49</v>
      </c>
      <c r="W473" s="55">
        <v>240</v>
      </c>
      <c r="X473" s="49">
        <v>37834</v>
      </c>
    </row>
    <row r="474" spans="1:24" ht="12" customHeight="1" x14ac:dyDescent="0.2">
      <c r="A474" s="49">
        <v>37865</v>
      </c>
      <c r="B474" s="523">
        <v>1.6800000000000148E-2</v>
      </c>
      <c r="C474" s="523">
        <v>2.0087000000000002</v>
      </c>
      <c r="D474" s="50"/>
      <c r="E474" s="50"/>
      <c r="F474" s="50"/>
      <c r="G474" s="50"/>
      <c r="H474" s="50"/>
      <c r="I474" s="50"/>
      <c r="J474" s="22">
        <v>35.774630000000002</v>
      </c>
      <c r="K474" s="22">
        <v>35.340566000000003</v>
      </c>
      <c r="L474" s="22">
        <v>117.072726</v>
      </c>
      <c r="M474" s="22">
        <v>110.199057</v>
      </c>
      <c r="N474" s="22">
        <v>30.403254</v>
      </c>
      <c r="O474" s="22">
        <v>30.403254</v>
      </c>
      <c r="P474" s="22">
        <v>2.4541469999999999</v>
      </c>
      <c r="Q474" s="22">
        <v>27.524768999999999</v>
      </c>
      <c r="R474" s="22">
        <v>27.524768999999999</v>
      </c>
      <c r="S474" s="22">
        <v>30.403254</v>
      </c>
      <c r="T474" s="22">
        <v>30.403254</v>
      </c>
      <c r="U474" s="51" t="s">
        <v>219</v>
      </c>
      <c r="V474" s="55">
        <v>11.49</v>
      </c>
      <c r="W474" s="55">
        <v>240</v>
      </c>
      <c r="X474" s="49">
        <v>37865</v>
      </c>
    </row>
    <row r="475" spans="1:24" ht="12" customHeight="1" x14ac:dyDescent="0.2">
      <c r="A475" s="49">
        <v>37895</v>
      </c>
      <c r="B475" s="523">
        <v>1.639999999999997E-2</v>
      </c>
      <c r="C475" s="523">
        <v>2.0251000000000001</v>
      </c>
      <c r="D475" s="50"/>
      <c r="E475" s="50"/>
      <c r="F475" s="50"/>
      <c r="G475" s="50"/>
      <c r="H475" s="50"/>
      <c r="I475" s="50"/>
      <c r="J475" s="22">
        <v>36.075136000000001</v>
      </c>
      <c r="K475" s="22">
        <v>35.757584000000001</v>
      </c>
      <c r="L475" s="22">
        <v>117.330285</v>
      </c>
      <c r="M475" s="22">
        <v>111.35614700000001</v>
      </c>
      <c r="N475" s="22">
        <v>30.652560000000001</v>
      </c>
      <c r="O475" s="22">
        <v>30.652560000000001</v>
      </c>
      <c r="P475" s="22">
        <v>2.4681350000000002</v>
      </c>
      <c r="Q475" s="22">
        <v>27.681660000000001</v>
      </c>
      <c r="R475" s="22">
        <v>27.681660000000001</v>
      </c>
      <c r="S475" s="22">
        <v>30.652560000000001</v>
      </c>
      <c r="T475" s="22">
        <v>30.652560000000001</v>
      </c>
      <c r="U475" s="51" t="s">
        <v>219</v>
      </c>
      <c r="V475" s="55">
        <v>11.49</v>
      </c>
      <c r="W475" s="55">
        <v>240</v>
      </c>
      <c r="X475" s="49">
        <v>37895</v>
      </c>
    </row>
    <row r="476" spans="1:24" ht="12" customHeight="1" x14ac:dyDescent="0.2">
      <c r="A476" s="49">
        <v>37926</v>
      </c>
      <c r="B476" s="523">
        <v>1.3399999999999856E-2</v>
      </c>
      <c r="C476" s="523">
        <v>2.0385</v>
      </c>
      <c r="D476" s="50"/>
      <c r="E476" s="50"/>
      <c r="F476" s="50"/>
      <c r="G476" s="50"/>
      <c r="H476" s="50"/>
      <c r="I476" s="50"/>
      <c r="J476" s="22">
        <v>36.302408999999997</v>
      </c>
      <c r="K476" s="22">
        <v>35.893462</v>
      </c>
      <c r="L476" s="22">
        <v>118.09293099999999</v>
      </c>
      <c r="M476" s="22">
        <v>111.846114</v>
      </c>
      <c r="N476" s="22">
        <v>30.772103999999999</v>
      </c>
      <c r="O476" s="22">
        <v>30.772103999999999</v>
      </c>
      <c r="P476" s="22">
        <v>2.4844240000000002</v>
      </c>
      <c r="Q476" s="22">
        <v>27.864357999999999</v>
      </c>
      <c r="R476" s="22">
        <v>27.864357999999999</v>
      </c>
      <c r="S476" s="22">
        <v>30.772103999999999</v>
      </c>
      <c r="T476" s="22">
        <v>30.772103999999999</v>
      </c>
      <c r="U476" s="51" t="s">
        <v>219</v>
      </c>
      <c r="V476" s="55">
        <v>11.49</v>
      </c>
      <c r="W476" s="55">
        <v>240</v>
      </c>
      <c r="X476" s="49">
        <v>37926</v>
      </c>
    </row>
    <row r="477" spans="1:24" ht="12" customHeight="1" x14ac:dyDescent="0.2">
      <c r="A477" s="49">
        <v>37956</v>
      </c>
      <c r="B477" s="523">
        <v>1.3700000000000045E-2</v>
      </c>
      <c r="C477" s="523">
        <v>2.0522</v>
      </c>
      <c r="D477" s="50"/>
      <c r="E477" s="50"/>
      <c r="F477" s="50"/>
      <c r="G477" s="50"/>
      <c r="H477" s="50"/>
      <c r="I477" s="50"/>
      <c r="J477" s="22">
        <v>36.400424999999998</v>
      </c>
      <c r="K477" s="22">
        <v>36.069338999999999</v>
      </c>
      <c r="L477" s="22">
        <v>119.32109699999999</v>
      </c>
      <c r="M477" s="22">
        <v>112.382975</v>
      </c>
      <c r="N477" s="22">
        <v>30.885960000000001</v>
      </c>
      <c r="O477" s="22">
        <v>30.885960000000001</v>
      </c>
      <c r="P477" s="22">
        <v>2.4886469999999998</v>
      </c>
      <c r="Q477" s="22">
        <v>27.911726999999999</v>
      </c>
      <c r="R477" s="22">
        <v>27.911726999999999</v>
      </c>
      <c r="S477" s="22">
        <v>30.885960000000001</v>
      </c>
      <c r="T477" s="22">
        <v>30.885960000000001</v>
      </c>
      <c r="U477" s="51" t="s">
        <v>219</v>
      </c>
      <c r="V477" s="55">
        <v>11.49</v>
      </c>
      <c r="W477" s="55">
        <v>240</v>
      </c>
      <c r="X477" s="49">
        <v>37956</v>
      </c>
    </row>
    <row r="478" spans="1:24" ht="12" customHeight="1" x14ac:dyDescent="0.2">
      <c r="A478" s="49">
        <v>37987</v>
      </c>
      <c r="B478" s="523">
        <v>1.2700000000000156E-2</v>
      </c>
      <c r="C478" s="523">
        <v>2.0649000000000002</v>
      </c>
      <c r="D478" s="50"/>
      <c r="E478" s="50"/>
      <c r="F478" s="50"/>
      <c r="G478" s="50"/>
      <c r="H478" s="50"/>
      <c r="I478" s="50"/>
      <c r="J478" s="22">
        <v>36.553305999999999</v>
      </c>
      <c r="K478" s="22">
        <v>36.289361</v>
      </c>
      <c r="L478" s="22">
        <v>119.51201</v>
      </c>
      <c r="M478" s="22">
        <v>113.057272</v>
      </c>
      <c r="N478" s="22">
        <v>31.052744000000001</v>
      </c>
      <c r="O478" s="22">
        <v>31.052744000000001</v>
      </c>
      <c r="P478" s="22">
        <v>2.5000939999999998</v>
      </c>
      <c r="Q478" s="22">
        <v>28.040120000000002</v>
      </c>
      <c r="R478" s="22">
        <v>28.040120000000002</v>
      </c>
      <c r="S478" s="22">
        <v>31.052744000000001</v>
      </c>
      <c r="T478" s="22">
        <v>31.052744000000001</v>
      </c>
      <c r="U478" s="51" t="s">
        <v>219</v>
      </c>
      <c r="V478" s="55">
        <v>12.49</v>
      </c>
      <c r="W478" s="55">
        <v>240</v>
      </c>
      <c r="X478" s="49">
        <v>37987</v>
      </c>
    </row>
    <row r="479" spans="1:24" ht="12" customHeight="1" x14ac:dyDescent="0.2">
      <c r="A479" s="49">
        <v>38018</v>
      </c>
      <c r="B479" s="523">
        <v>1.0799999999999699E-2</v>
      </c>
      <c r="C479" s="523">
        <v>2.0756999999999999</v>
      </c>
      <c r="D479" s="50"/>
      <c r="E479" s="50"/>
      <c r="F479" s="50"/>
      <c r="G479" s="50"/>
      <c r="H479" s="50"/>
      <c r="I479" s="50"/>
      <c r="J479" s="22">
        <v>36.790902000000003</v>
      </c>
      <c r="K479" s="22">
        <v>36.608707000000003</v>
      </c>
      <c r="L479" s="22">
        <v>119.90639899999999</v>
      </c>
      <c r="M479" s="22">
        <v>113.96173</v>
      </c>
      <c r="N479" s="22">
        <v>31.310480999999999</v>
      </c>
      <c r="O479" s="22">
        <v>31.310480999999999</v>
      </c>
      <c r="P479" s="22">
        <v>2.5170940000000002</v>
      </c>
      <c r="Q479" s="22">
        <v>28.230792000000001</v>
      </c>
      <c r="R479" s="22">
        <v>28.230792000000001</v>
      </c>
      <c r="S479" s="22">
        <v>31.310480999999999</v>
      </c>
      <c r="T479" s="22">
        <v>31.310480999999999</v>
      </c>
      <c r="U479" s="51" t="s">
        <v>219</v>
      </c>
      <c r="V479" s="55">
        <v>12.49</v>
      </c>
      <c r="W479" s="55">
        <v>240</v>
      </c>
      <c r="X479" s="49">
        <v>38018</v>
      </c>
    </row>
    <row r="480" spans="1:24" ht="12" customHeight="1" x14ac:dyDescent="0.2">
      <c r="A480" s="49">
        <v>38047</v>
      </c>
      <c r="B480" s="523">
        <v>1.3800000000000257E-2</v>
      </c>
      <c r="C480" s="523">
        <v>2.0895000000000001</v>
      </c>
      <c r="D480" s="50"/>
      <c r="E480" s="50"/>
      <c r="F480" s="50"/>
      <c r="G480" s="50"/>
      <c r="H480" s="50"/>
      <c r="I480" s="50"/>
      <c r="J480" s="22">
        <v>36.860804000000002</v>
      </c>
      <c r="K480" s="22">
        <v>36.861306999999996</v>
      </c>
      <c r="L480" s="22">
        <v>121.105462</v>
      </c>
      <c r="M480" s="22">
        <v>115.192516</v>
      </c>
      <c r="N480" s="22">
        <v>31.432590999999999</v>
      </c>
      <c r="O480" s="22">
        <v>31.432590999999999</v>
      </c>
      <c r="P480" s="22">
        <v>2.5397470000000002</v>
      </c>
      <c r="Q480" s="22">
        <v>28.484869</v>
      </c>
      <c r="R480" s="22">
        <v>28.484869</v>
      </c>
      <c r="S480" s="22">
        <v>31.432590999999999</v>
      </c>
      <c r="T480" s="22">
        <v>31.432590999999999</v>
      </c>
      <c r="U480" s="51" t="s">
        <v>219</v>
      </c>
      <c r="V480" s="55">
        <v>12.49</v>
      </c>
      <c r="W480" s="55">
        <v>240</v>
      </c>
      <c r="X480" s="49">
        <v>38047</v>
      </c>
    </row>
    <row r="481" spans="1:24" ht="12" customHeight="1" x14ac:dyDescent="0.2">
      <c r="A481" s="49">
        <v>38078</v>
      </c>
      <c r="B481" s="523">
        <v>1.1800000000000033E-2</v>
      </c>
      <c r="C481" s="523">
        <v>2.1013000000000002</v>
      </c>
      <c r="D481" s="50"/>
      <c r="E481" s="50"/>
      <c r="F481" s="50"/>
      <c r="G481" s="50"/>
      <c r="H481" s="50"/>
      <c r="I481" s="50"/>
      <c r="J481" s="22">
        <v>36.905036000000003</v>
      </c>
      <c r="K481" s="22">
        <v>37.277839</v>
      </c>
      <c r="L481" s="22">
        <v>122.510285</v>
      </c>
      <c r="M481" s="22">
        <v>116.263806</v>
      </c>
      <c r="N481" s="22">
        <v>31.611756</v>
      </c>
      <c r="O481" s="22">
        <v>31.611756</v>
      </c>
      <c r="P481" s="22">
        <v>2.5499049999999999</v>
      </c>
      <c r="Q481" s="22">
        <v>28.598807999999998</v>
      </c>
      <c r="R481" s="22">
        <v>28.598807999999998</v>
      </c>
      <c r="S481" s="22">
        <v>31.611756</v>
      </c>
      <c r="T481" s="22">
        <v>31.611756</v>
      </c>
      <c r="U481" s="51" t="s">
        <v>219</v>
      </c>
      <c r="V481" s="55">
        <v>12.49</v>
      </c>
      <c r="W481" s="55">
        <v>240</v>
      </c>
      <c r="X481" s="49">
        <v>38078</v>
      </c>
    </row>
    <row r="482" spans="1:24" ht="12" customHeight="1" x14ac:dyDescent="0.2">
      <c r="A482" s="49">
        <v>38108</v>
      </c>
      <c r="B482" s="523">
        <v>1.2299999999999756E-2</v>
      </c>
      <c r="C482" s="523">
        <v>2.1135999999999999</v>
      </c>
      <c r="D482" s="50"/>
      <c r="E482" s="50"/>
      <c r="F482" s="50"/>
      <c r="G482" s="50"/>
      <c r="H482" s="50"/>
      <c r="I482" s="50"/>
      <c r="J482" s="22">
        <v>37.012059999999998</v>
      </c>
      <c r="K482" s="22">
        <v>37.728900000000003</v>
      </c>
      <c r="L482" s="22">
        <v>123.23309500000001</v>
      </c>
      <c r="M482" s="22">
        <v>117.60083899999999</v>
      </c>
      <c r="N482" s="22">
        <v>31.741364000000001</v>
      </c>
      <c r="O482" s="22">
        <v>31.741364000000001</v>
      </c>
      <c r="P482" s="22">
        <v>2.5552589999999999</v>
      </c>
      <c r="Q482" s="22">
        <v>28.658864999999999</v>
      </c>
      <c r="R482" s="22">
        <v>28.658864999999999</v>
      </c>
      <c r="S482" s="22">
        <v>31.741364000000001</v>
      </c>
      <c r="T482" s="22">
        <v>31.741364000000001</v>
      </c>
      <c r="U482" s="51" t="s">
        <v>219</v>
      </c>
      <c r="V482" s="55">
        <v>12.49</v>
      </c>
      <c r="W482" s="55">
        <v>260</v>
      </c>
      <c r="X482" s="49">
        <v>38108</v>
      </c>
    </row>
    <row r="483" spans="1:24" ht="12" customHeight="1" x14ac:dyDescent="0.2">
      <c r="A483" s="49">
        <v>38139</v>
      </c>
      <c r="B483" s="523">
        <v>1.23000000000002E-2</v>
      </c>
      <c r="C483" s="523">
        <v>2.1259000000000001</v>
      </c>
      <c r="D483" s="50"/>
      <c r="E483" s="50"/>
      <c r="F483" s="50"/>
      <c r="G483" s="50"/>
      <c r="H483" s="50"/>
      <c r="I483" s="50"/>
      <c r="J483" s="22">
        <v>37.223027999999999</v>
      </c>
      <c r="K483" s="22">
        <v>38.223148000000002</v>
      </c>
      <c r="L483" s="22">
        <v>125.48826</v>
      </c>
      <c r="M483" s="22">
        <v>119.31781100000001</v>
      </c>
      <c r="N483" s="22">
        <v>31.868328999999999</v>
      </c>
      <c r="O483" s="22">
        <v>31.868328999999999</v>
      </c>
      <c r="P483" s="22">
        <v>2.5690569999999999</v>
      </c>
      <c r="Q483" s="22">
        <v>28.813621999999999</v>
      </c>
      <c r="R483" s="22">
        <v>28.813621999999999</v>
      </c>
      <c r="S483" s="22">
        <v>31.868328999999999</v>
      </c>
      <c r="T483" s="22">
        <v>31.868328999999999</v>
      </c>
      <c r="U483" s="51" t="s">
        <v>219</v>
      </c>
      <c r="V483" s="55">
        <v>12.49</v>
      </c>
      <c r="W483" s="55">
        <v>260</v>
      </c>
      <c r="X483" s="49">
        <v>38139</v>
      </c>
    </row>
    <row r="484" spans="1:24" ht="12" customHeight="1" x14ac:dyDescent="0.2">
      <c r="A484" s="49">
        <v>38169</v>
      </c>
      <c r="B484" s="523">
        <v>1.2899999999999689E-2</v>
      </c>
      <c r="C484" s="523">
        <v>2.1387999999999998</v>
      </c>
      <c r="D484" s="50"/>
      <c r="E484" s="50"/>
      <c r="F484" s="50"/>
      <c r="G484" s="50"/>
      <c r="H484" s="50"/>
      <c r="I484" s="50"/>
      <c r="J484" s="22">
        <v>37.565479000000003</v>
      </c>
      <c r="K484" s="22">
        <v>38.750627000000001</v>
      </c>
      <c r="L484" s="22">
        <v>126.366677</v>
      </c>
      <c r="M484" s="22">
        <v>120.85701</v>
      </c>
      <c r="N484" s="22">
        <v>32.027670000000001</v>
      </c>
      <c r="O484" s="22">
        <v>32.027670000000001</v>
      </c>
      <c r="P484" s="22">
        <v>2.5834429999999999</v>
      </c>
      <c r="Q484" s="22">
        <v>28.974978</v>
      </c>
      <c r="R484" s="22">
        <v>28.974978</v>
      </c>
      <c r="S484" s="22">
        <v>32.027670000000001</v>
      </c>
      <c r="T484" s="22">
        <v>32.027670000000001</v>
      </c>
      <c r="U484" s="51" t="s">
        <v>219</v>
      </c>
      <c r="V484" s="55">
        <v>12.49</v>
      </c>
      <c r="W484" s="55">
        <v>260</v>
      </c>
      <c r="X484" s="49">
        <v>38169</v>
      </c>
    </row>
    <row r="485" spans="1:24" ht="12" customHeight="1" x14ac:dyDescent="0.2">
      <c r="A485" s="49">
        <v>38200</v>
      </c>
      <c r="B485" s="523">
        <v>1.2900000000000134E-2</v>
      </c>
      <c r="C485" s="523">
        <v>2.1516999999999999</v>
      </c>
      <c r="D485" s="50"/>
      <c r="E485" s="50"/>
      <c r="F485" s="50"/>
      <c r="G485" s="50"/>
      <c r="H485" s="50"/>
      <c r="I485" s="50"/>
      <c r="J485" s="22">
        <v>37.787115</v>
      </c>
      <c r="K485" s="22">
        <v>39.25826</v>
      </c>
      <c r="L485" s="22">
        <v>127.781983</v>
      </c>
      <c r="M485" s="22">
        <v>122.234779</v>
      </c>
      <c r="N485" s="22">
        <v>32.261471</v>
      </c>
      <c r="O485" s="22">
        <v>32.261471</v>
      </c>
      <c r="P485" s="22">
        <v>2.607469</v>
      </c>
      <c r="Q485" s="22">
        <v>29.244444999999999</v>
      </c>
      <c r="R485" s="22">
        <v>29.244444999999999</v>
      </c>
      <c r="S485" s="22">
        <v>32.261471</v>
      </c>
      <c r="T485" s="22">
        <v>32.261471</v>
      </c>
      <c r="U485" s="51" t="s">
        <v>219</v>
      </c>
      <c r="V485" s="55">
        <v>12.49</v>
      </c>
      <c r="W485" s="55">
        <v>260</v>
      </c>
      <c r="X485" s="49">
        <v>38200</v>
      </c>
    </row>
    <row r="486" spans="1:24" ht="12" customHeight="1" x14ac:dyDescent="0.2">
      <c r="A486" s="49">
        <v>38231</v>
      </c>
      <c r="B486" s="523">
        <v>1.2500000000000178E-2</v>
      </c>
      <c r="C486" s="523">
        <v>2.1642000000000001</v>
      </c>
      <c r="D486" s="50"/>
      <c r="E486" s="50"/>
      <c r="F486" s="50"/>
      <c r="G486" s="50"/>
      <c r="H486" s="50"/>
      <c r="I486" s="50"/>
      <c r="J486" s="22">
        <v>38.161206999999997</v>
      </c>
      <c r="K486" s="22">
        <v>39.737209999999997</v>
      </c>
      <c r="L486" s="22">
        <v>128.81701699999999</v>
      </c>
      <c r="M486" s="22">
        <v>123.836054</v>
      </c>
      <c r="N486" s="22">
        <v>32.422778000000001</v>
      </c>
      <c r="O486" s="546">
        <v>32.422778000000001</v>
      </c>
      <c r="P486" s="546">
        <v>2.6280679999999998</v>
      </c>
      <c r="Q486" s="22">
        <v>29.475476</v>
      </c>
      <c r="R486" s="546">
        <v>29.475476</v>
      </c>
      <c r="S486" s="22">
        <v>32.422778000000001</v>
      </c>
      <c r="T486" s="22">
        <v>32.422778000000001</v>
      </c>
      <c r="U486" s="51" t="s">
        <v>219</v>
      </c>
      <c r="V486" s="55">
        <v>12.49</v>
      </c>
      <c r="W486" s="55">
        <v>260</v>
      </c>
      <c r="X486" s="49">
        <v>38231</v>
      </c>
    </row>
    <row r="487" spans="1:24" ht="12" customHeight="1" x14ac:dyDescent="0.2">
      <c r="A487" s="49">
        <v>38261</v>
      </c>
      <c r="B487" s="523">
        <v>1.2099999999999778E-2</v>
      </c>
      <c r="C487" s="523">
        <v>2.1762999999999999</v>
      </c>
      <c r="D487" s="50"/>
      <c r="E487" s="50"/>
      <c r="F487" s="50"/>
      <c r="G487" s="50"/>
      <c r="H487" s="50"/>
      <c r="I487" s="50"/>
      <c r="J487" s="546">
        <v>38.241345000000003</v>
      </c>
      <c r="K487" s="546">
        <v>40.011395999999998</v>
      </c>
      <c r="L487" s="546">
        <v>129.564155</v>
      </c>
      <c r="M487" s="546">
        <v>124.43046699999999</v>
      </c>
      <c r="N487" s="546">
        <v>32.477896000000001</v>
      </c>
      <c r="O487" s="22">
        <v>32.477896000000001</v>
      </c>
      <c r="P487" s="22">
        <v>2.6409449999999999</v>
      </c>
      <c r="Q487" s="22">
        <v>29.619904999999999</v>
      </c>
      <c r="R487" s="22">
        <v>29.619904999999999</v>
      </c>
      <c r="S487" s="22">
        <v>32.477896000000001</v>
      </c>
      <c r="T487" s="546">
        <v>32.477896000000001</v>
      </c>
      <c r="U487" s="51" t="s">
        <v>219</v>
      </c>
      <c r="V487" s="55">
        <v>12.49</v>
      </c>
      <c r="W487" s="55">
        <v>260</v>
      </c>
      <c r="X487" s="49">
        <v>38261</v>
      </c>
    </row>
    <row r="488" spans="1:24" ht="12" customHeight="1" x14ac:dyDescent="0.2">
      <c r="A488" s="49">
        <v>38292</v>
      </c>
      <c r="B488" s="523">
        <v>1.2500000000000178E-2</v>
      </c>
      <c r="C488" s="523">
        <v>2.1888000000000001</v>
      </c>
      <c r="D488" s="50"/>
      <c r="E488" s="50"/>
      <c r="F488" s="50"/>
      <c r="G488" s="50"/>
      <c r="H488" s="50"/>
      <c r="I488" s="50"/>
      <c r="J488" s="22">
        <v>38.478440999999997</v>
      </c>
      <c r="K488" s="22">
        <v>40.167439999999999</v>
      </c>
      <c r="L488" s="22">
        <v>131.10596799999999</v>
      </c>
      <c r="M488" s="22">
        <v>125.08994800000001</v>
      </c>
      <c r="N488" s="22">
        <v>32.533107999999999</v>
      </c>
      <c r="O488" s="22">
        <v>32.533107999999999</v>
      </c>
      <c r="P488" s="22">
        <v>2.6493959999999999</v>
      </c>
      <c r="Q488" s="22">
        <v>29.714687999999999</v>
      </c>
      <c r="R488" s="22">
        <v>29.714687999999999</v>
      </c>
      <c r="S488" s="22">
        <v>32.533107999999999</v>
      </c>
      <c r="T488" s="22">
        <v>32.533107999999999</v>
      </c>
      <c r="U488" s="51" t="s">
        <v>219</v>
      </c>
      <c r="V488" s="55">
        <v>12.49</v>
      </c>
      <c r="W488" s="55">
        <v>260</v>
      </c>
      <c r="X488" s="49">
        <v>38292</v>
      </c>
    </row>
    <row r="489" spans="1:24" ht="12" customHeight="1" x14ac:dyDescent="0.2">
      <c r="A489" s="49">
        <v>38322</v>
      </c>
      <c r="B489" s="523">
        <v>1.4799999999999702E-2</v>
      </c>
      <c r="C489" s="523">
        <v>2.2035999999999998</v>
      </c>
      <c r="D489" s="50"/>
      <c r="E489" s="50"/>
      <c r="F489" s="50"/>
      <c r="G489" s="50"/>
      <c r="H489" s="50"/>
      <c r="I489" s="50"/>
      <c r="J489" s="22">
        <v>38.693919999999999</v>
      </c>
      <c r="K489" s="22">
        <v>40.496813000000003</v>
      </c>
      <c r="L489" s="22">
        <v>132.03682000000001</v>
      </c>
      <c r="M489" s="22">
        <v>126.115685</v>
      </c>
      <c r="N489" s="22">
        <v>32.676253000000003</v>
      </c>
      <c r="O489" s="22">
        <v>32.676253000000003</v>
      </c>
      <c r="P489" s="22">
        <v>2.6660870000000001</v>
      </c>
      <c r="Q489" s="22">
        <v>29.901890000000002</v>
      </c>
      <c r="R489" s="22">
        <v>29.901890000000002</v>
      </c>
      <c r="S489" s="22">
        <v>32.676253000000003</v>
      </c>
      <c r="T489" s="22">
        <v>32.676253000000003</v>
      </c>
      <c r="U489" s="51" t="s">
        <v>219</v>
      </c>
      <c r="V489" s="55">
        <v>12.49</v>
      </c>
      <c r="W489" s="55">
        <v>260</v>
      </c>
      <c r="X489" s="49">
        <v>38322</v>
      </c>
    </row>
    <row r="490" spans="1:24" ht="12" customHeight="1" x14ac:dyDescent="0.2">
      <c r="A490" s="49">
        <v>38353</v>
      </c>
      <c r="B490" s="523">
        <v>1.3800000000000257E-2</v>
      </c>
      <c r="C490" s="523">
        <v>2.2174</v>
      </c>
      <c r="D490" s="50"/>
      <c r="E490" s="50"/>
      <c r="F490" s="50"/>
      <c r="G490" s="50"/>
      <c r="H490" s="50"/>
      <c r="I490" s="50"/>
      <c r="J490" s="22">
        <v>38.953169000000003</v>
      </c>
      <c r="K490" s="22">
        <v>40.796489000000001</v>
      </c>
      <c r="L490" s="22">
        <v>132.710207</v>
      </c>
      <c r="M490" s="22">
        <v>126.771486</v>
      </c>
      <c r="N490" s="22">
        <v>32.957267999999999</v>
      </c>
      <c r="O490" s="22">
        <v>32.957267999999999</v>
      </c>
      <c r="P490" s="22">
        <v>2.688482</v>
      </c>
      <c r="Q490" s="22">
        <v>30.153065000000002</v>
      </c>
      <c r="R490" s="22">
        <v>30.153065000000002</v>
      </c>
      <c r="S490" s="22">
        <v>32.957267999999999</v>
      </c>
      <c r="T490" s="22">
        <v>32.957267999999999</v>
      </c>
      <c r="U490" s="51" t="s">
        <v>219</v>
      </c>
      <c r="V490" s="55">
        <v>13.3</v>
      </c>
      <c r="W490" s="55">
        <v>260</v>
      </c>
      <c r="X490" s="49">
        <v>38353</v>
      </c>
    </row>
    <row r="491" spans="1:24" ht="12" customHeight="1" x14ac:dyDescent="0.2">
      <c r="A491" s="49">
        <v>38384</v>
      </c>
      <c r="B491" s="523">
        <v>1.2199999999999989E-2</v>
      </c>
      <c r="C491" s="523">
        <v>2.2296</v>
      </c>
      <c r="D491" s="50"/>
      <c r="E491" s="50"/>
      <c r="F491" s="50"/>
      <c r="G491" s="50"/>
      <c r="H491" s="50"/>
      <c r="I491" s="50"/>
      <c r="J491" s="22">
        <v>39.171306000000001</v>
      </c>
      <c r="K491" s="22">
        <v>40.955595000000002</v>
      </c>
      <c r="L491" s="22">
        <v>133.705533</v>
      </c>
      <c r="M491" s="22">
        <v>127.189831</v>
      </c>
      <c r="N491" s="22">
        <v>33.145124000000003</v>
      </c>
      <c r="O491" s="22">
        <v>33.145124000000003</v>
      </c>
      <c r="P491" s="22">
        <v>2.706763</v>
      </c>
      <c r="Q491" s="22">
        <v>30.358104999999998</v>
      </c>
      <c r="R491" s="22">
        <v>30.358104999999998</v>
      </c>
      <c r="S491" s="22">
        <v>33.145124000000003</v>
      </c>
      <c r="T491" s="22">
        <v>33.145124000000003</v>
      </c>
      <c r="U491" s="51" t="s">
        <v>219</v>
      </c>
      <c r="V491" s="55">
        <v>13.3</v>
      </c>
      <c r="W491" s="55">
        <v>260</v>
      </c>
      <c r="X491" s="49">
        <v>38384</v>
      </c>
    </row>
    <row r="492" spans="1:24" ht="12" customHeight="1" x14ac:dyDescent="0.2">
      <c r="A492" s="49">
        <v>38412</v>
      </c>
      <c r="B492" s="523">
        <v>1.5299999999999869E-2</v>
      </c>
      <c r="C492" s="523">
        <v>2.2448999999999999</v>
      </c>
      <c r="D492" s="50"/>
      <c r="E492" s="50"/>
      <c r="F492" s="50"/>
      <c r="G492" s="50"/>
      <c r="H492" s="50"/>
      <c r="I492" s="50"/>
      <c r="J492" s="22">
        <v>39.312322000000002</v>
      </c>
      <c r="K492" s="22">
        <v>41.078460999999997</v>
      </c>
      <c r="L492" s="22">
        <v>134.293837</v>
      </c>
      <c r="M492" s="22">
        <v>127.69859</v>
      </c>
      <c r="N492" s="22">
        <v>33.290962</v>
      </c>
      <c r="O492" s="22">
        <v>33.290962</v>
      </c>
      <c r="P492" s="22">
        <v>2.7267929999999998</v>
      </c>
      <c r="Q492" s="22">
        <v>30.582754000000001</v>
      </c>
      <c r="R492" s="22">
        <v>30.582754000000001</v>
      </c>
      <c r="S492" s="22">
        <v>33.290962</v>
      </c>
      <c r="T492" s="22">
        <v>33.290962</v>
      </c>
      <c r="U492" s="51" t="s">
        <v>219</v>
      </c>
      <c r="V492" s="55">
        <v>13.3</v>
      </c>
      <c r="W492" s="55">
        <v>260</v>
      </c>
      <c r="X492" s="49">
        <v>38412</v>
      </c>
    </row>
    <row r="493" spans="1:24" ht="12" customHeight="1" x14ac:dyDescent="0.2">
      <c r="A493" s="49">
        <v>38443</v>
      </c>
      <c r="B493" s="523">
        <v>1.4100000000000001E-2</v>
      </c>
      <c r="C493" s="523">
        <v>2.2589999999999999</v>
      </c>
      <c r="D493" s="50"/>
      <c r="E493" s="50"/>
      <c r="F493" s="50"/>
      <c r="G493" s="50"/>
      <c r="H493" s="50"/>
      <c r="I493" s="50"/>
      <c r="J493" s="22">
        <v>39.622889000000001</v>
      </c>
      <c r="K493" s="22">
        <v>41.427627000000001</v>
      </c>
      <c r="L493" s="22">
        <v>135.19360499999999</v>
      </c>
      <c r="M493" s="22">
        <v>128.962806</v>
      </c>
      <c r="N493" s="22">
        <v>33.533985999999999</v>
      </c>
      <c r="O493" s="22">
        <v>33.533985999999999</v>
      </c>
      <c r="P493" s="22">
        <v>2.7363360000000001</v>
      </c>
      <c r="Q493" s="22">
        <v>30.689793000000002</v>
      </c>
      <c r="R493" s="22">
        <v>30.689793000000002</v>
      </c>
      <c r="S493" s="22">
        <v>33.533985999999999</v>
      </c>
      <c r="T493" s="22">
        <v>33.533985999999999</v>
      </c>
      <c r="U493" s="51" t="s">
        <v>219</v>
      </c>
      <c r="V493" s="55">
        <v>13.3</v>
      </c>
      <c r="W493" s="55">
        <v>260</v>
      </c>
      <c r="X493" s="49">
        <v>38443</v>
      </c>
    </row>
    <row r="494" spans="1:24" ht="12" customHeight="1" x14ac:dyDescent="0.2">
      <c r="A494" s="49">
        <v>38473</v>
      </c>
      <c r="B494" s="523">
        <v>1.5000000000000124E-2</v>
      </c>
      <c r="C494" s="523">
        <v>2.274</v>
      </c>
      <c r="D494" s="50"/>
      <c r="E494" s="50"/>
      <c r="F494" s="50"/>
      <c r="G494" s="50"/>
      <c r="H494" s="50"/>
      <c r="I494" s="50"/>
      <c r="J494" s="22">
        <v>39.951757999999998</v>
      </c>
      <c r="K494" s="22">
        <v>41.783904</v>
      </c>
      <c r="L494" s="22">
        <v>136.16699800000001</v>
      </c>
      <c r="M494" s="22">
        <v>129.62051600000001</v>
      </c>
      <c r="N494" s="22">
        <v>33.839145000000002</v>
      </c>
      <c r="O494" s="22">
        <v>33.839145000000002</v>
      </c>
      <c r="P494" s="22">
        <v>2.7565840000000001</v>
      </c>
      <c r="Q494" s="22">
        <v>30.916896999999999</v>
      </c>
      <c r="R494" s="22">
        <v>30.916896999999999</v>
      </c>
      <c r="S494" s="22">
        <v>33.839145000000002</v>
      </c>
      <c r="T494" s="22">
        <v>33.839145000000002</v>
      </c>
      <c r="U494" s="51" t="s">
        <v>219</v>
      </c>
      <c r="V494" s="55">
        <v>13.3</v>
      </c>
      <c r="W494" s="55">
        <v>300</v>
      </c>
      <c r="X494" s="49">
        <v>38473</v>
      </c>
    </row>
    <row r="495" spans="1:24" ht="12" customHeight="1" x14ac:dyDescent="0.2">
      <c r="A495" s="49">
        <v>38504</v>
      </c>
      <c r="B495" s="523">
        <v>1.5899999999999803E-2</v>
      </c>
      <c r="C495" s="523">
        <v>2.2898999999999998</v>
      </c>
      <c r="D495" s="50"/>
      <c r="E495" s="50"/>
      <c r="F495" s="50"/>
      <c r="G495" s="50"/>
      <c r="H495" s="50"/>
      <c r="I495" s="50"/>
      <c r="J495" s="22">
        <v>40.091588999999999</v>
      </c>
      <c r="K495" s="22">
        <v>41.691979000000003</v>
      </c>
      <c r="L495" s="22">
        <v>139.012888</v>
      </c>
      <c r="M495" s="22">
        <v>129.29646399999999</v>
      </c>
      <c r="N495" s="22">
        <v>34.076019000000002</v>
      </c>
      <c r="O495" s="22">
        <v>34.076019000000002</v>
      </c>
      <c r="P495" s="22">
        <v>2.7794629999999998</v>
      </c>
      <c r="Q495" s="22">
        <v>31.173507000000001</v>
      </c>
      <c r="R495" s="22">
        <v>31.173507000000001</v>
      </c>
      <c r="S495" s="22">
        <v>34.076019000000002</v>
      </c>
      <c r="T495" s="22">
        <v>34.076019000000002</v>
      </c>
      <c r="U495" s="51" t="s">
        <v>219</v>
      </c>
      <c r="V495" s="55">
        <v>13.3</v>
      </c>
      <c r="W495" s="55">
        <v>300</v>
      </c>
      <c r="X495" s="49">
        <v>38504</v>
      </c>
    </row>
    <row r="496" spans="1:24" ht="12" customHeight="1" x14ac:dyDescent="0.2">
      <c r="A496" s="49">
        <v>38534</v>
      </c>
      <c r="B496" s="523">
        <v>1.5100000000000335E-2</v>
      </c>
      <c r="C496" s="523">
        <v>2.3050000000000002</v>
      </c>
      <c r="D496" s="50"/>
      <c r="E496" s="50"/>
      <c r="F496" s="50"/>
      <c r="G496" s="50"/>
      <c r="H496" s="50"/>
      <c r="I496" s="50"/>
      <c r="J496" s="22">
        <v>40.011405000000003</v>
      </c>
      <c r="K496" s="22">
        <v>41.508533999999997</v>
      </c>
      <c r="L496" s="22">
        <v>140.06938500000001</v>
      </c>
      <c r="M496" s="22">
        <v>128.714629</v>
      </c>
      <c r="N496" s="22">
        <v>34.038535000000003</v>
      </c>
      <c r="O496" s="22">
        <v>34.038535000000003</v>
      </c>
      <c r="P496" s="22">
        <v>2.7827980000000001</v>
      </c>
      <c r="Q496" s="22">
        <v>31.210915</v>
      </c>
      <c r="R496" s="22">
        <v>31.210915</v>
      </c>
      <c r="S496" s="22">
        <v>34.038535000000003</v>
      </c>
      <c r="T496" s="22">
        <v>34.038535000000003</v>
      </c>
      <c r="U496" s="51" t="s">
        <v>219</v>
      </c>
      <c r="V496" s="55">
        <v>13.3</v>
      </c>
      <c r="W496" s="55">
        <v>300</v>
      </c>
      <c r="X496" s="49">
        <v>38534</v>
      </c>
    </row>
    <row r="497" spans="1:24" ht="12" customHeight="1" x14ac:dyDescent="0.2">
      <c r="A497" s="49">
        <v>38565</v>
      </c>
      <c r="B497" s="523">
        <v>1.6599999999999948E-2</v>
      </c>
      <c r="C497" s="523">
        <v>2.3216000000000001</v>
      </c>
      <c r="D497" s="50"/>
      <c r="E497" s="50"/>
      <c r="F497" s="50"/>
      <c r="G497" s="50"/>
      <c r="H497" s="50"/>
      <c r="I497" s="50"/>
      <c r="J497" s="22">
        <v>40.131439</v>
      </c>
      <c r="K497" s="22">
        <v>41.367404000000001</v>
      </c>
      <c r="L497" s="22">
        <v>140.22346099999999</v>
      </c>
      <c r="M497" s="22">
        <v>128.19977</v>
      </c>
      <c r="N497" s="22">
        <v>34.048746000000001</v>
      </c>
      <c r="O497" s="22">
        <v>34.048746000000001</v>
      </c>
      <c r="P497" s="22">
        <v>2.7858589999999999</v>
      </c>
      <c r="Q497" s="22">
        <v>31.245246999999999</v>
      </c>
      <c r="R497" s="22">
        <v>31.245246999999999</v>
      </c>
      <c r="S497" s="22">
        <v>34.048746000000001</v>
      </c>
      <c r="T497" s="22">
        <v>34.048746000000001</v>
      </c>
      <c r="U497" s="51" t="s">
        <v>219</v>
      </c>
      <c r="V497" s="55">
        <v>13.3</v>
      </c>
      <c r="W497" s="55">
        <v>300</v>
      </c>
      <c r="X497" s="49">
        <v>38565</v>
      </c>
    </row>
    <row r="498" spans="1:24" ht="12" customHeight="1" x14ac:dyDescent="0.2">
      <c r="A498" s="49">
        <v>38596</v>
      </c>
      <c r="B498" s="523">
        <v>1.499999999999968E-2</v>
      </c>
      <c r="C498" s="523">
        <v>2.3365999999999998</v>
      </c>
      <c r="D498" s="50"/>
      <c r="E498" s="50"/>
      <c r="F498" s="50"/>
      <c r="G498" s="50"/>
      <c r="H498" s="50"/>
      <c r="I498" s="50"/>
      <c r="J498" s="22">
        <v>40.051175999999998</v>
      </c>
      <c r="K498" s="22">
        <v>41.098514999999999</v>
      </c>
      <c r="L498" s="22">
        <v>140.25150500000001</v>
      </c>
      <c r="M498" s="22">
        <v>127.18699100000001</v>
      </c>
      <c r="N498" s="22">
        <v>34.048746000000001</v>
      </c>
      <c r="O498" s="22">
        <v>34.048746000000001</v>
      </c>
      <c r="P498" s="22">
        <v>2.7936589999999999</v>
      </c>
      <c r="Q498" s="22">
        <v>31.332733000000001</v>
      </c>
      <c r="R498" s="22">
        <v>31.332733000000001</v>
      </c>
      <c r="S498" s="22">
        <v>34.048746000000001</v>
      </c>
      <c r="T498" s="22">
        <v>34.048746000000001</v>
      </c>
      <c r="U498" s="51" t="s">
        <v>219</v>
      </c>
      <c r="V498" s="55">
        <v>13.3</v>
      </c>
      <c r="W498" s="55">
        <v>300</v>
      </c>
      <c r="X498" s="49">
        <v>38596</v>
      </c>
    </row>
    <row r="499" spans="1:24" ht="12" customHeight="1" x14ac:dyDescent="0.2">
      <c r="A499" s="49">
        <v>38626</v>
      </c>
      <c r="B499" s="523">
        <v>1.4100000000000001E-2</v>
      </c>
      <c r="C499" s="523">
        <v>2.3506999999999998</v>
      </c>
      <c r="D499" s="50"/>
      <c r="E499" s="50"/>
      <c r="F499" s="50"/>
      <c r="G499" s="50"/>
      <c r="H499" s="50"/>
      <c r="I499" s="50"/>
      <c r="J499" s="22">
        <v>40.227401</v>
      </c>
      <c r="K499" s="22">
        <v>40.880692000000003</v>
      </c>
      <c r="L499" s="22">
        <v>140.58810800000001</v>
      </c>
      <c r="M499" s="22">
        <v>127.021647</v>
      </c>
      <c r="N499" s="22">
        <v>34.099818999999997</v>
      </c>
      <c r="O499" s="22">
        <v>34.099818999999997</v>
      </c>
      <c r="P499" s="22">
        <v>2.7981280000000002</v>
      </c>
      <c r="Q499" s="22">
        <v>31.382864999999999</v>
      </c>
      <c r="R499" s="22">
        <v>31.382864999999999</v>
      </c>
      <c r="S499" s="22">
        <v>34.099818999999997</v>
      </c>
      <c r="T499" s="22">
        <v>34.099818999999997</v>
      </c>
      <c r="U499" s="51" t="s">
        <v>219</v>
      </c>
      <c r="V499" s="55">
        <v>13.3</v>
      </c>
      <c r="W499" s="55">
        <v>300</v>
      </c>
      <c r="X499" s="49">
        <v>38626</v>
      </c>
    </row>
    <row r="500" spans="1:24" ht="12" customHeight="1" x14ac:dyDescent="0.2">
      <c r="A500" s="49">
        <v>38657</v>
      </c>
      <c r="B500" s="523">
        <v>1.3800000000000257E-2</v>
      </c>
      <c r="C500" s="523">
        <v>2.3645</v>
      </c>
      <c r="D500" s="50"/>
      <c r="E500" s="50"/>
      <c r="F500" s="50"/>
      <c r="G500" s="50"/>
      <c r="H500" s="50"/>
      <c r="I500" s="50"/>
      <c r="J500" s="22">
        <v>40.480832999999997</v>
      </c>
      <c r="K500" s="22">
        <v>41.125976000000001</v>
      </c>
      <c r="L500" s="22">
        <v>140.85522499999999</v>
      </c>
      <c r="M500" s="22">
        <v>127.821883</v>
      </c>
      <c r="N500" s="22">
        <v>34.297597000000003</v>
      </c>
      <c r="O500" s="22">
        <v>34.297597000000003</v>
      </c>
      <c r="P500" s="22">
        <v>2.8137970000000001</v>
      </c>
      <c r="Q500" s="22">
        <v>31.558609000000001</v>
      </c>
      <c r="R500" s="22">
        <v>31.558609000000001</v>
      </c>
      <c r="S500" s="22">
        <v>34.297597000000003</v>
      </c>
      <c r="T500" s="22">
        <v>34.297597000000003</v>
      </c>
      <c r="U500" s="51" t="s">
        <v>219</v>
      </c>
      <c r="V500" s="55">
        <v>13.3</v>
      </c>
      <c r="W500" s="55">
        <v>300</v>
      </c>
      <c r="X500" s="49">
        <v>38657</v>
      </c>
    </row>
    <row r="501" spans="1:24" ht="12" customHeight="1" x14ac:dyDescent="0.2">
      <c r="A501" s="49">
        <v>38687</v>
      </c>
      <c r="B501" s="523">
        <v>1.4699999999999935E-2</v>
      </c>
      <c r="C501" s="523">
        <v>2.3792</v>
      </c>
      <c r="D501" s="50"/>
      <c r="E501" s="50"/>
      <c r="F501" s="50"/>
      <c r="G501" s="50"/>
      <c r="H501" s="50"/>
      <c r="I501" s="50"/>
      <c r="J501" s="22">
        <v>40.598227000000001</v>
      </c>
      <c r="K501" s="22">
        <v>41.290478999999998</v>
      </c>
      <c r="L501" s="22">
        <v>141.249619</v>
      </c>
      <c r="M501" s="22">
        <v>128.243695</v>
      </c>
      <c r="N501" s="22">
        <v>34.482804000000002</v>
      </c>
      <c r="O501" s="22">
        <v>34.482804000000002</v>
      </c>
      <c r="P501" s="22">
        <v>2.835744</v>
      </c>
      <c r="Q501" s="22">
        <v>31.804766000000001</v>
      </c>
      <c r="R501" s="22">
        <v>31.804766000000001</v>
      </c>
      <c r="S501" s="22">
        <v>34.482804000000002</v>
      </c>
      <c r="T501" s="22">
        <v>34.482804000000002</v>
      </c>
      <c r="U501" s="51" t="s">
        <v>219</v>
      </c>
      <c r="V501" s="55">
        <v>13.3</v>
      </c>
      <c r="W501" s="55">
        <v>300</v>
      </c>
      <c r="X501" s="49">
        <v>38687</v>
      </c>
    </row>
    <row r="502" spans="1:24" ht="12" customHeight="1" x14ac:dyDescent="0.2">
      <c r="A502" s="49">
        <v>38718</v>
      </c>
      <c r="B502" s="523">
        <v>1.4299999999999979E-2</v>
      </c>
      <c r="C502" s="523">
        <v>2.3935</v>
      </c>
      <c r="D502" s="50"/>
      <c r="E502" s="50"/>
      <c r="F502" s="50"/>
      <c r="G502" s="50"/>
      <c r="H502" s="50"/>
      <c r="I502" s="50"/>
      <c r="J502" s="22">
        <v>40.715961</v>
      </c>
      <c r="K502" s="22">
        <v>41.286349000000001</v>
      </c>
      <c r="L502" s="22">
        <v>141.77224200000001</v>
      </c>
      <c r="M502" s="22">
        <v>128.33346499999999</v>
      </c>
      <c r="N502" s="22">
        <v>34.620735000000003</v>
      </c>
      <c r="O502" s="22">
        <v>34.620735000000003</v>
      </c>
      <c r="P502" s="22">
        <v>2.8465189999999998</v>
      </c>
      <c r="Q502" s="22">
        <v>31.925623999999999</v>
      </c>
      <c r="R502" s="22">
        <v>31.925623999999999</v>
      </c>
      <c r="S502" s="22">
        <v>34.620735000000003</v>
      </c>
      <c r="T502" s="22">
        <v>34.620735000000003</v>
      </c>
      <c r="U502" s="51" t="s">
        <v>219</v>
      </c>
      <c r="V502" s="55">
        <v>13.93</v>
      </c>
      <c r="W502" s="55">
        <v>300</v>
      </c>
      <c r="X502" s="49">
        <v>38718</v>
      </c>
    </row>
    <row r="503" spans="1:24" ht="12" customHeight="1" x14ac:dyDescent="0.2">
      <c r="A503" s="49">
        <v>38749</v>
      </c>
      <c r="B503" s="523">
        <v>1.1499999999999844E-2</v>
      </c>
      <c r="C503" s="523">
        <v>2.4049999999999998</v>
      </c>
      <c r="D503" s="50"/>
      <c r="E503" s="50"/>
      <c r="F503" s="50"/>
      <c r="G503" s="50"/>
      <c r="H503" s="50"/>
      <c r="I503" s="50"/>
      <c r="J503" s="22">
        <v>40.919539999999998</v>
      </c>
      <c r="K503" s="22">
        <v>41.666182999999997</v>
      </c>
      <c r="L503" s="22">
        <v>142.254267</v>
      </c>
      <c r="M503" s="22">
        <v>129.257465</v>
      </c>
      <c r="N503" s="22">
        <v>34.752293000000002</v>
      </c>
      <c r="O503" s="22">
        <v>34.752293000000002</v>
      </c>
      <c r="P503" s="22">
        <v>2.8610359999999999</v>
      </c>
      <c r="Q503" s="22">
        <v>32.088444000000003</v>
      </c>
      <c r="R503" s="22">
        <v>32.088444000000003</v>
      </c>
      <c r="S503" s="22">
        <v>34.752293000000002</v>
      </c>
      <c r="T503" s="22">
        <v>34.752293000000002</v>
      </c>
      <c r="U503" s="51" t="s">
        <v>219</v>
      </c>
      <c r="V503" s="55">
        <v>13.93</v>
      </c>
      <c r="W503" s="55">
        <v>300</v>
      </c>
      <c r="X503" s="49">
        <v>38749</v>
      </c>
    </row>
    <row r="504" spans="1:24" ht="12" customHeight="1" x14ac:dyDescent="0.2">
      <c r="A504" s="49">
        <v>38777</v>
      </c>
      <c r="B504" s="523">
        <v>1.4200000000000212E-2</v>
      </c>
      <c r="C504" s="523">
        <v>2.4192</v>
      </c>
      <c r="D504" s="50"/>
      <c r="E504" s="50"/>
      <c r="F504" s="50"/>
      <c r="G504" s="50"/>
      <c r="H504" s="50"/>
      <c r="I504" s="50"/>
      <c r="J504" s="22">
        <v>40.907263999999998</v>
      </c>
      <c r="K504" s="22">
        <v>41.670349000000002</v>
      </c>
      <c r="L504" s="22">
        <v>142.52455</v>
      </c>
      <c r="M504" s="22">
        <v>129.17991000000001</v>
      </c>
      <c r="N504" s="22">
        <v>34.832222999999999</v>
      </c>
      <c r="O504" s="22">
        <v>34.832222999999999</v>
      </c>
      <c r="P504" s="22">
        <v>2.8759130000000002</v>
      </c>
      <c r="Q504" s="22">
        <v>32.255302999999998</v>
      </c>
      <c r="R504" s="22">
        <v>32.255302999999998</v>
      </c>
      <c r="S504" s="22">
        <v>34.832222999999999</v>
      </c>
      <c r="T504" s="22">
        <v>34.832222999999999</v>
      </c>
      <c r="U504" s="51" t="s">
        <v>219</v>
      </c>
      <c r="V504" s="55">
        <v>13.93</v>
      </c>
      <c r="W504" s="55">
        <v>300</v>
      </c>
      <c r="X504" s="49">
        <v>38777</v>
      </c>
    </row>
    <row r="505" spans="1:24" ht="12" customHeight="1" x14ac:dyDescent="0.2">
      <c r="A505" s="49">
        <v>38808</v>
      </c>
      <c r="B505" s="523">
        <v>1.0800000000000143E-2</v>
      </c>
      <c r="C505" s="523">
        <v>2.4300000000000002</v>
      </c>
      <c r="D505" s="50"/>
      <c r="E505" s="50"/>
      <c r="F505" s="50"/>
      <c r="G505" s="50"/>
      <c r="H505" s="50"/>
      <c r="I505" s="50"/>
      <c r="J505" s="22">
        <v>40.964534</v>
      </c>
      <c r="K505" s="22">
        <v>41.574506999999997</v>
      </c>
      <c r="L505" s="22">
        <v>142.80959899999999</v>
      </c>
      <c r="M505" s="22">
        <v>128.5986</v>
      </c>
      <c r="N505" s="22">
        <v>34.926270000000002</v>
      </c>
      <c r="O505" s="22">
        <v>34.926270000000002</v>
      </c>
      <c r="P505" s="22">
        <v>2.8865530000000001</v>
      </c>
      <c r="Q505" s="22">
        <v>32.374647000000003</v>
      </c>
      <c r="R505" s="22">
        <v>32.374647000000003</v>
      </c>
      <c r="S505" s="22">
        <v>34.926270000000002</v>
      </c>
      <c r="T505" s="22">
        <v>34.926270000000002</v>
      </c>
      <c r="U505" s="51" t="s">
        <v>219</v>
      </c>
      <c r="V505" s="55">
        <v>13.93</v>
      </c>
      <c r="W505" s="55">
        <v>350</v>
      </c>
      <c r="X505" s="49">
        <v>38808</v>
      </c>
    </row>
    <row r="506" spans="1:24" ht="12" customHeight="1" x14ac:dyDescent="0.2">
      <c r="A506" s="49">
        <v>38838</v>
      </c>
      <c r="B506" s="523">
        <v>1.2799999999999923E-2</v>
      </c>
      <c r="C506" s="523">
        <v>2.4428000000000001</v>
      </c>
      <c r="D506" s="50"/>
      <c r="E506" s="50"/>
      <c r="F506" s="50"/>
      <c r="G506" s="50"/>
      <c r="H506" s="50"/>
      <c r="I506" s="50"/>
      <c r="J506" s="22">
        <v>40.968629999999997</v>
      </c>
      <c r="K506" s="22">
        <v>41.399894000000003</v>
      </c>
      <c r="L506" s="22">
        <v>143.323713</v>
      </c>
      <c r="M506" s="22">
        <v>128.62431900000001</v>
      </c>
      <c r="N506" s="22">
        <v>34.968181000000001</v>
      </c>
      <c r="O506" s="22">
        <v>34.968181000000001</v>
      </c>
      <c r="P506" s="22">
        <v>2.8914599999999999</v>
      </c>
      <c r="Q506" s="22">
        <v>32.429682999999997</v>
      </c>
      <c r="R506" s="22">
        <v>32.429682999999997</v>
      </c>
      <c r="S506" s="22">
        <v>34.968181000000001</v>
      </c>
      <c r="T506" s="22">
        <v>34.968181000000001</v>
      </c>
      <c r="U506" s="51" t="s">
        <v>219</v>
      </c>
      <c r="V506" s="55">
        <v>13.93</v>
      </c>
      <c r="W506" s="55">
        <v>350</v>
      </c>
      <c r="X506" s="49">
        <v>38838</v>
      </c>
    </row>
    <row r="507" spans="1:24" ht="12" customHeight="1" x14ac:dyDescent="0.2">
      <c r="A507" s="49">
        <v>38869</v>
      </c>
      <c r="B507" s="523">
        <v>1.1800000000000033E-2</v>
      </c>
      <c r="C507" s="523">
        <v>2.4546000000000001</v>
      </c>
      <c r="D507" s="50"/>
      <c r="E507" s="50"/>
      <c r="F507" s="50"/>
      <c r="G507" s="50"/>
      <c r="H507" s="50"/>
      <c r="I507" s="50"/>
      <c r="J507" s="22">
        <v>40.878498999999998</v>
      </c>
      <c r="K507" s="22">
        <v>41.557212999999997</v>
      </c>
      <c r="L507" s="22">
        <v>145.215586</v>
      </c>
      <c r="M507" s="22">
        <v>129.113091</v>
      </c>
      <c r="N507" s="22">
        <v>35.013638999999998</v>
      </c>
      <c r="O507" s="22">
        <v>35.013638999999998</v>
      </c>
      <c r="P507" s="22">
        <v>2.8992659999999999</v>
      </c>
      <c r="Q507" s="22">
        <v>32.517243000000001</v>
      </c>
      <c r="R507" s="22">
        <v>32.517243000000001</v>
      </c>
      <c r="S507" s="22">
        <v>35.013638999999998</v>
      </c>
      <c r="T507" s="22">
        <v>35.013638999999998</v>
      </c>
      <c r="U507" s="51" t="s">
        <v>219</v>
      </c>
      <c r="V507" s="55">
        <v>13.93</v>
      </c>
      <c r="W507" s="55">
        <v>350</v>
      </c>
      <c r="X507" s="49">
        <v>38869</v>
      </c>
    </row>
    <row r="508" spans="1:24" ht="12" customHeight="1" x14ac:dyDescent="0.2">
      <c r="A508" s="49">
        <v>38899</v>
      </c>
      <c r="B508" s="523">
        <v>1.1699999999999822E-2</v>
      </c>
      <c r="C508" s="523">
        <v>2.4662999999999999</v>
      </c>
      <c r="D508" s="50"/>
      <c r="E508" s="50"/>
      <c r="F508" s="50"/>
      <c r="G508" s="50"/>
      <c r="H508" s="50"/>
      <c r="I508" s="50"/>
      <c r="J508" s="22">
        <v>40.751775000000002</v>
      </c>
      <c r="K508" s="22">
        <v>41.868892000000002</v>
      </c>
      <c r="L508" s="22">
        <v>146.522526</v>
      </c>
      <c r="M508" s="22">
        <v>129.978148</v>
      </c>
      <c r="N508" s="22">
        <v>34.989128999999998</v>
      </c>
      <c r="O508" s="22">
        <v>34.989128999999998</v>
      </c>
      <c r="P508" s="22">
        <v>2.894917</v>
      </c>
      <c r="Q508" s="22">
        <v>32.468466999999997</v>
      </c>
      <c r="R508" s="22">
        <v>32.468466999999997</v>
      </c>
      <c r="S508" s="22">
        <v>34.989128999999998</v>
      </c>
      <c r="T508" s="22">
        <v>34.989128999999998</v>
      </c>
      <c r="U508" s="51" t="s">
        <v>219</v>
      </c>
      <c r="V508" s="55">
        <v>13.93</v>
      </c>
      <c r="W508" s="55">
        <v>350</v>
      </c>
      <c r="X508" s="49">
        <v>38899</v>
      </c>
    </row>
    <row r="509" spans="1:24" ht="12" customHeight="1" x14ac:dyDescent="0.2">
      <c r="A509" s="49">
        <v>38930</v>
      </c>
      <c r="B509" s="523">
        <v>1.2599999999999945E-2</v>
      </c>
      <c r="C509" s="523">
        <v>2.4788999999999999</v>
      </c>
      <c r="D509" s="50"/>
      <c r="E509" s="50"/>
      <c r="F509" s="50"/>
      <c r="G509" s="50"/>
      <c r="H509" s="50"/>
      <c r="I509" s="50"/>
      <c r="J509" s="22">
        <v>40.837353</v>
      </c>
      <c r="K509" s="22">
        <v>41.944256000000003</v>
      </c>
      <c r="L509" s="22">
        <v>147.21118100000001</v>
      </c>
      <c r="M509" s="22">
        <v>130.19910999999999</v>
      </c>
      <c r="N509" s="22">
        <v>35.027616999999999</v>
      </c>
      <c r="O509" s="22">
        <v>35.027616999999999</v>
      </c>
      <c r="P509" s="22">
        <v>2.8943379999999999</v>
      </c>
      <c r="Q509" s="22">
        <v>32.461973</v>
      </c>
      <c r="R509" s="22">
        <v>32.461973</v>
      </c>
      <c r="S509" s="22">
        <v>35.027616999999999</v>
      </c>
      <c r="T509" s="22">
        <v>35.027616999999999</v>
      </c>
      <c r="U509" s="51" t="s">
        <v>219</v>
      </c>
      <c r="V509" s="55">
        <v>13.93</v>
      </c>
      <c r="W509" s="55">
        <v>350</v>
      </c>
      <c r="X509" s="49">
        <v>38930</v>
      </c>
    </row>
    <row r="510" spans="1:24" ht="12" customHeight="1" x14ac:dyDescent="0.2">
      <c r="A510" s="49">
        <v>38961</v>
      </c>
      <c r="B510" s="523">
        <v>1.0600000000000165E-2</v>
      </c>
      <c r="C510" s="523">
        <v>2.4895</v>
      </c>
      <c r="D510" s="50"/>
      <c r="E510" s="50"/>
      <c r="F510" s="50"/>
      <c r="G510" s="50"/>
      <c r="H510" s="50"/>
      <c r="I510" s="50"/>
      <c r="J510" s="22">
        <v>40.886356999999997</v>
      </c>
      <c r="K510" s="22">
        <v>42.099449</v>
      </c>
      <c r="L510" s="22">
        <v>147.56448700000001</v>
      </c>
      <c r="M510" s="22">
        <v>130.73292599999999</v>
      </c>
      <c r="N510" s="22">
        <v>35.020611000000002</v>
      </c>
      <c r="O510" s="22">
        <v>35.020611000000002</v>
      </c>
      <c r="P510" s="22">
        <v>2.8998370000000002</v>
      </c>
      <c r="Q510" s="22">
        <v>32.523650000000004</v>
      </c>
      <c r="R510" s="22">
        <v>32.523650000000004</v>
      </c>
      <c r="S510" s="22">
        <v>35.020611000000002</v>
      </c>
      <c r="T510" s="22">
        <v>35.020611000000002</v>
      </c>
      <c r="U510" s="51" t="s">
        <v>219</v>
      </c>
      <c r="V510" s="55">
        <v>13.93</v>
      </c>
      <c r="W510" s="55">
        <v>350</v>
      </c>
      <c r="X510" s="49">
        <v>38961</v>
      </c>
    </row>
    <row r="511" spans="1:24" ht="12" customHeight="1" x14ac:dyDescent="0.2">
      <c r="A511" s="49">
        <v>38991</v>
      </c>
      <c r="B511" s="523">
        <v>1.089999999999991E-2</v>
      </c>
      <c r="C511" s="523">
        <v>2.5004</v>
      </c>
      <c r="D511" s="50"/>
      <c r="E511" s="50"/>
      <c r="F511" s="50"/>
      <c r="G511" s="50"/>
      <c r="H511" s="50"/>
      <c r="I511" s="50"/>
      <c r="J511" s="22">
        <v>40.988571999999998</v>
      </c>
      <c r="K511" s="22">
        <v>42.221536999999998</v>
      </c>
      <c r="L511" s="22">
        <v>147.72680700000001</v>
      </c>
      <c r="M511" s="22">
        <v>131.046685</v>
      </c>
      <c r="N511" s="22">
        <v>35.076642999999997</v>
      </c>
      <c r="O511" s="22">
        <v>35.076642999999997</v>
      </c>
      <c r="P511" s="22">
        <v>2.9012859999999998</v>
      </c>
      <c r="Q511" s="22">
        <v>32.539910999999996</v>
      </c>
      <c r="R511" s="22">
        <v>32.539910999999996</v>
      </c>
      <c r="S511" s="22">
        <v>35.076642999999997</v>
      </c>
      <c r="T511" s="22">
        <v>35.076642999999997</v>
      </c>
      <c r="U511" s="51" t="s">
        <v>219</v>
      </c>
      <c r="V511" s="55">
        <v>13.93</v>
      </c>
      <c r="W511" s="55">
        <v>350</v>
      </c>
      <c r="X511" s="49">
        <v>38991</v>
      </c>
    </row>
    <row r="512" spans="1:24" ht="12" customHeight="1" x14ac:dyDescent="0.2">
      <c r="A512" s="49">
        <v>39022</v>
      </c>
      <c r="B512" s="523">
        <v>1.0200000000000209E-2</v>
      </c>
      <c r="C512" s="523">
        <v>2.5106000000000002</v>
      </c>
      <c r="D512" s="50"/>
      <c r="E512" s="50"/>
      <c r="F512" s="50"/>
      <c r="G512" s="50"/>
      <c r="H512" s="50"/>
      <c r="I512" s="50"/>
      <c r="J512" s="22">
        <v>41.148426999999998</v>
      </c>
      <c r="K512" s="22">
        <v>42.419978</v>
      </c>
      <c r="L512" s="22">
        <v>148.03703300000001</v>
      </c>
      <c r="M512" s="22">
        <v>132.10816299999999</v>
      </c>
      <c r="N512" s="22">
        <v>35.227471999999999</v>
      </c>
      <c r="O512" s="22">
        <v>35.227471999999999</v>
      </c>
      <c r="P512" s="22">
        <v>2.9096989999999998</v>
      </c>
      <c r="Q512" s="22">
        <v>32.634276</v>
      </c>
      <c r="R512" s="22">
        <v>32.634276</v>
      </c>
      <c r="S512" s="22">
        <v>35.227471999999999</v>
      </c>
      <c r="T512" s="22">
        <v>35.227471999999999</v>
      </c>
      <c r="U512" s="51" t="s">
        <v>219</v>
      </c>
      <c r="V512" s="55">
        <v>13.93</v>
      </c>
      <c r="W512" s="55">
        <v>350</v>
      </c>
      <c r="X512" s="49">
        <v>39022</v>
      </c>
    </row>
    <row r="513" spans="1:24" ht="12" customHeight="1" x14ac:dyDescent="0.2">
      <c r="A513" s="49">
        <v>39052</v>
      </c>
      <c r="B513" s="523">
        <v>9.9000000000000199E-3</v>
      </c>
      <c r="C513" s="523">
        <v>2.5205000000000002</v>
      </c>
      <c r="D513" s="50"/>
      <c r="E513" s="50"/>
      <c r="F513" s="50"/>
      <c r="G513" s="50"/>
      <c r="H513" s="50"/>
      <c r="I513" s="50"/>
      <c r="J513" s="22">
        <v>41.321249999999999</v>
      </c>
      <c r="K513" s="22">
        <v>42.738126999999999</v>
      </c>
      <c r="L513" s="22">
        <v>148.37751800000001</v>
      </c>
      <c r="M513" s="22">
        <v>132.86117899999999</v>
      </c>
      <c r="N513" s="22">
        <v>35.375427000000002</v>
      </c>
      <c r="O513" s="22">
        <v>35.375427000000002</v>
      </c>
      <c r="P513" s="22">
        <v>2.9204639999999999</v>
      </c>
      <c r="Q513" s="22">
        <v>32.755021999999997</v>
      </c>
      <c r="R513" s="22">
        <v>32.755021999999997</v>
      </c>
      <c r="S513" s="22">
        <v>35.375427000000002</v>
      </c>
      <c r="T513" s="22">
        <v>35.375427000000002</v>
      </c>
      <c r="U513" s="51" t="s">
        <v>219</v>
      </c>
      <c r="V513" s="55">
        <v>13.93</v>
      </c>
      <c r="W513" s="55">
        <v>350</v>
      </c>
      <c r="X513" s="49">
        <v>39052</v>
      </c>
    </row>
    <row r="514" spans="1:24" ht="12" customHeight="1" x14ac:dyDescent="0.2">
      <c r="A514" s="49">
        <v>39083</v>
      </c>
      <c r="B514" s="523">
        <v>1.0799999999999699E-2</v>
      </c>
      <c r="C514" s="523">
        <v>2.5312999999999999</v>
      </c>
      <c r="D514" s="50"/>
      <c r="E514" s="50"/>
      <c r="F514" s="50"/>
      <c r="G514" s="50"/>
      <c r="H514" s="50"/>
      <c r="I514" s="50"/>
      <c r="J514" s="22">
        <v>41.750990999999999</v>
      </c>
      <c r="K514" s="22">
        <v>42.874889000000003</v>
      </c>
      <c r="L514" s="22">
        <v>148.911677</v>
      </c>
      <c r="M514" s="22">
        <v>133.20661799999999</v>
      </c>
      <c r="N514" s="22">
        <v>35.594754000000002</v>
      </c>
      <c r="O514" s="22">
        <v>35.594754000000002</v>
      </c>
      <c r="P514" s="22">
        <v>2.930685</v>
      </c>
      <c r="Q514" s="22">
        <v>32.869664</v>
      </c>
      <c r="R514" s="22">
        <v>32.869664</v>
      </c>
      <c r="S514" s="22">
        <v>35.594754000000002</v>
      </c>
      <c r="T514" s="22">
        <v>35.594754000000002</v>
      </c>
      <c r="U514" s="51" t="s">
        <v>219</v>
      </c>
      <c r="V514" s="55">
        <v>14.23</v>
      </c>
      <c r="W514" s="55">
        <v>350</v>
      </c>
      <c r="X514" s="49">
        <v>39083</v>
      </c>
    </row>
    <row r="515" spans="1:24" ht="12" customHeight="1" x14ac:dyDescent="0.2">
      <c r="A515" s="49">
        <v>39114</v>
      </c>
      <c r="B515" s="523">
        <v>8.7000000000001521E-3</v>
      </c>
      <c r="C515" s="523">
        <v>2.54</v>
      </c>
      <c r="D515" s="50"/>
      <c r="E515" s="50"/>
      <c r="F515" s="50"/>
      <c r="G515" s="50"/>
      <c r="H515" s="50"/>
      <c r="I515" s="50"/>
      <c r="J515" s="22">
        <v>42.026547000000001</v>
      </c>
      <c r="K515" s="22">
        <v>43.089263000000003</v>
      </c>
      <c r="L515" s="22">
        <v>149.58177900000001</v>
      </c>
      <c r="M515" s="22">
        <v>133.77940599999999</v>
      </c>
      <c r="N515" s="22">
        <v>35.769168000000001</v>
      </c>
      <c r="O515" s="22">
        <v>35.769168000000001</v>
      </c>
      <c r="P515" s="22">
        <v>2.9459240000000002</v>
      </c>
      <c r="Q515" s="22">
        <v>33.040585999999998</v>
      </c>
      <c r="R515" s="22">
        <v>33.040585999999998</v>
      </c>
      <c r="S515" s="22">
        <v>35.769168000000001</v>
      </c>
      <c r="T515" s="22">
        <v>35.769168000000001</v>
      </c>
      <c r="U515" s="51" t="s">
        <v>219</v>
      </c>
      <c r="V515" s="55">
        <v>14.23</v>
      </c>
      <c r="W515" s="55">
        <v>350</v>
      </c>
      <c r="X515" s="49">
        <v>39114</v>
      </c>
    </row>
    <row r="516" spans="1:24" ht="12" customHeight="1" x14ac:dyDescent="0.2">
      <c r="A516" s="49">
        <v>39142</v>
      </c>
      <c r="B516" s="523">
        <v>1.0499999999999954E-2</v>
      </c>
      <c r="C516" s="523">
        <v>2.5505</v>
      </c>
      <c r="D516" s="50"/>
      <c r="E516" s="50"/>
      <c r="F516" s="50"/>
      <c r="G516" s="50"/>
      <c r="H516" s="50"/>
      <c r="I516" s="50"/>
      <c r="J516" s="22">
        <v>42.165233999999998</v>
      </c>
      <c r="K516" s="22">
        <v>43.205604000000001</v>
      </c>
      <c r="L516" s="22">
        <v>149.89590000000001</v>
      </c>
      <c r="M516" s="22">
        <v>134.087098</v>
      </c>
      <c r="N516" s="22">
        <v>35.919398000000001</v>
      </c>
      <c r="O516" s="22">
        <v>35.919398000000001</v>
      </c>
      <c r="P516" s="22">
        <v>2.9594749999999999</v>
      </c>
      <c r="Q516" s="22">
        <v>33.192571999999998</v>
      </c>
      <c r="R516" s="22">
        <v>33.192571999999998</v>
      </c>
      <c r="S516" s="22">
        <v>35.919398000000001</v>
      </c>
      <c r="T516" s="22">
        <v>35.919398000000001</v>
      </c>
      <c r="U516" s="51" t="s">
        <v>219</v>
      </c>
      <c r="V516" s="55">
        <v>14.23</v>
      </c>
      <c r="W516" s="55">
        <v>350</v>
      </c>
      <c r="X516" s="49">
        <v>39142</v>
      </c>
    </row>
    <row r="517" spans="1:24" ht="12" customHeight="1" x14ac:dyDescent="0.2">
      <c r="A517" s="49">
        <v>39173</v>
      </c>
      <c r="B517" s="523">
        <v>9.3999999999998529E-3</v>
      </c>
      <c r="C517" s="523">
        <v>2.5598999999999998</v>
      </c>
      <c r="D517" s="50"/>
      <c r="E517" s="50"/>
      <c r="F517" s="50"/>
      <c r="G517" s="50"/>
      <c r="H517" s="50"/>
      <c r="I517" s="50"/>
      <c r="J517" s="22">
        <v>42.211615000000002</v>
      </c>
      <c r="K517" s="22">
        <v>43.352502999999999</v>
      </c>
      <c r="L517" s="22">
        <v>150.30061799999999</v>
      </c>
      <c r="M517" s="22">
        <v>134.38208900000001</v>
      </c>
      <c r="N517" s="22">
        <v>36.077443000000002</v>
      </c>
      <c r="O517" s="22">
        <v>36.077443000000002</v>
      </c>
      <c r="P517" s="22">
        <v>2.9716079999999998</v>
      </c>
      <c r="Q517" s="22">
        <v>33.328660999999997</v>
      </c>
      <c r="R517" s="22">
        <v>33.328660999999997</v>
      </c>
      <c r="S517" s="22">
        <v>36.077443000000002</v>
      </c>
      <c r="T517" s="22">
        <v>36.077443000000002</v>
      </c>
      <c r="U517" s="51" t="s">
        <v>219</v>
      </c>
      <c r="V517" s="55">
        <v>14.23</v>
      </c>
      <c r="W517" s="55">
        <v>380</v>
      </c>
      <c r="X517" s="49">
        <v>39173</v>
      </c>
    </row>
    <row r="518" spans="1:24" ht="12" customHeight="1" x14ac:dyDescent="0.2">
      <c r="A518" s="49">
        <v>39203</v>
      </c>
      <c r="B518" s="523">
        <v>1.0299999999999976E-2</v>
      </c>
      <c r="C518" s="523">
        <v>2.5701999999999998</v>
      </c>
      <c r="D518" s="50"/>
      <c r="E518" s="50"/>
      <c r="F518" s="50"/>
      <c r="G518" s="50"/>
      <c r="H518" s="50"/>
      <c r="I518" s="50"/>
      <c r="J518" s="22">
        <v>42.350912999999998</v>
      </c>
      <c r="K518" s="22">
        <v>43.369844000000001</v>
      </c>
      <c r="L518" s="22">
        <v>150.99199999999999</v>
      </c>
      <c r="M518" s="22">
        <v>134.570223</v>
      </c>
      <c r="N518" s="22">
        <v>36.171244000000002</v>
      </c>
      <c r="O518" s="22">
        <v>36.171244000000002</v>
      </c>
      <c r="P518" s="22">
        <v>2.978145</v>
      </c>
      <c r="Q518" s="22">
        <v>33.401983999999999</v>
      </c>
      <c r="R518" s="22">
        <v>33.401983999999999</v>
      </c>
      <c r="S518" s="22">
        <v>36.171244000000002</v>
      </c>
      <c r="T518" s="22">
        <v>36.171244000000002</v>
      </c>
      <c r="U518" s="51" t="s">
        <v>219</v>
      </c>
      <c r="V518" s="55">
        <v>14.23</v>
      </c>
      <c r="W518" s="55">
        <v>380</v>
      </c>
      <c r="X518" s="49">
        <v>39203</v>
      </c>
    </row>
    <row r="519" spans="1:24" ht="12" customHeight="1" x14ac:dyDescent="0.2">
      <c r="A519" s="49">
        <v>39234</v>
      </c>
      <c r="B519" s="523">
        <v>9.100000000000108E-3</v>
      </c>
      <c r="C519" s="523">
        <v>2.5792999999999999</v>
      </c>
      <c r="D519" s="50"/>
      <c r="E519" s="50"/>
      <c r="F519" s="50"/>
      <c r="G519" s="50"/>
      <c r="H519" s="50"/>
      <c r="I519" s="50"/>
      <c r="J519" s="22">
        <v>42.503376000000003</v>
      </c>
      <c r="K519" s="22">
        <v>43.387191000000001</v>
      </c>
      <c r="L519" s="22">
        <v>152.728408</v>
      </c>
      <c r="M519" s="22">
        <v>134.78553500000001</v>
      </c>
      <c r="N519" s="22">
        <v>36.265289000000003</v>
      </c>
      <c r="O519" s="22">
        <v>36.265289000000003</v>
      </c>
      <c r="P519" s="22">
        <v>2.9858880000000001</v>
      </c>
      <c r="Q519" s="22">
        <v>33.488829000000003</v>
      </c>
      <c r="R519" s="22">
        <v>33.488829000000003</v>
      </c>
      <c r="S519" s="22">
        <v>36.265289000000003</v>
      </c>
      <c r="T519" s="22">
        <v>36.265289000000003</v>
      </c>
      <c r="U519" s="51" t="s">
        <v>219</v>
      </c>
      <c r="V519" s="55">
        <v>14.23</v>
      </c>
      <c r="W519" s="55">
        <v>380</v>
      </c>
      <c r="X519" s="49">
        <v>39234</v>
      </c>
    </row>
    <row r="520" spans="1:24" ht="12" customHeight="1" x14ac:dyDescent="0.2">
      <c r="A520" s="49">
        <v>39264</v>
      </c>
      <c r="B520" s="523">
        <v>9.7000000000000419E-3</v>
      </c>
      <c r="C520" s="523">
        <v>2.589</v>
      </c>
      <c r="D520" s="50"/>
      <c r="E520" s="50"/>
      <c r="F520" s="50"/>
      <c r="G520" s="50"/>
      <c r="H520" s="50"/>
      <c r="I520" s="50"/>
      <c r="J520" s="22">
        <v>42.737144000000001</v>
      </c>
      <c r="K520" s="22">
        <v>43.499997</v>
      </c>
      <c r="L520" s="22">
        <v>154.133509</v>
      </c>
      <c r="M520" s="22">
        <v>135.135977</v>
      </c>
      <c r="N520" s="22">
        <v>36.377710999999998</v>
      </c>
      <c r="O520" s="22">
        <v>36.377710999999998</v>
      </c>
      <c r="P520" s="22">
        <v>2.9945469999999998</v>
      </c>
      <c r="Q520" s="22">
        <v>33.585946</v>
      </c>
      <c r="R520" s="22">
        <v>33.585946</v>
      </c>
      <c r="S520" s="22">
        <v>36.377710999999998</v>
      </c>
      <c r="T520" s="22">
        <v>36.377710999999998</v>
      </c>
      <c r="U520" s="51" t="s">
        <v>219</v>
      </c>
      <c r="V520" s="55">
        <v>14.23</v>
      </c>
      <c r="W520" s="55">
        <v>380</v>
      </c>
      <c r="X520" s="49">
        <v>39264</v>
      </c>
    </row>
    <row r="521" spans="1:24" ht="12" customHeight="1" x14ac:dyDescent="0.2">
      <c r="A521" s="49">
        <v>39295</v>
      </c>
      <c r="B521" s="523">
        <v>9.9000000000000199E-3</v>
      </c>
      <c r="C521" s="523">
        <v>2.5989</v>
      </c>
      <c r="D521" s="50"/>
      <c r="E521" s="50"/>
      <c r="F521" s="50"/>
      <c r="G521" s="50"/>
      <c r="H521" s="50"/>
      <c r="I521" s="50"/>
      <c r="J521" s="22">
        <v>42.852533999999999</v>
      </c>
      <c r="K521" s="22">
        <v>43.621796000000003</v>
      </c>
      <c r="L521" s="22">
        <v>154.611322</v>
      </c>
      <c r="M521" s="22">
        <v>135.63597999999999</v>
      </c>
      <c r="N521" s="22">
        <v>36.494118999999998</v>
      </c>
      <c r="O521" s="22">
        <v>36.494118999999998</v>
      </c>
      <c r="P521" s="22">
        <v>3.0017330000000002</v>
      </c>
      <c r="Q521" s="22">
        <v>33.666552000000003</v>
      </c>
      <c r="R521" s="22">
        <v>33.666552000000003</v>
      </c>
      <c r="S521" s="22">
        <v>36.494118999999998</v>
      </c>
      <c r="T521" s="22">
        <v>36.494118999999998</v>
      </c>
      <c r="U521" s="51" t="s">
        <v>219</v>
      </c>
      <c r="V521" s="55">
        <v>14.23</v>
      </c>
      <c r="W521" s="55">
        <v>380</v>
      </c>
      <c r="X521" s="49">
        <v>39295</v>
      </c>
    </row>
    <row r="522" spans="1:24" ht="12" customHeight="1" x14ac:dyDescent="0.2">
      <c r="A522" s="49">
        <v>39326</v>
      </c>
      <c r="B522" s="523">
        <v>8.0000000000000071E-3</v>
      </c>
      <c r="C522" s="523">
        <v>2.6069</v>
      </c>
      <c r="D522" s="50"/>
      <c r="E522" s="50"/>
      <c r="F522" s="50"/>
      <c r="G522" s="50"/>
      <c r="H522" s="50"/>
      <c r="I522" s="50"/>
      <c r="J522" s="22">
        <v>42.882530000000003</v>
      </c>
      <c r="K522" s="22">
        <v>44.049289000000002</v>
      </c>
      <c r="L522" s="22">
        <v>155.01331099999999</v>
      </c>
      <c r="M522" s="22">
        <v>137.52132</v>
      </c>
      <c r="N522" s="22">
        <v>36.709434000000002</v>
      </c>
      <c r="O522" s="22">
        <v>36.709434000000002</v>
      </c>
      <c r="P522" s="22">
        <v>3.0143399999999998</v>
      </c>
      <c r="Q522" s="22">
        <v>33.807951000000003</v>
      </c>
      <c r="R522" s="22">
        <v>33.807951000000003</v>
      </c>
      <c r="S522" s="22">
        <v>36.709434000000002</v>
      </c>
      <c r="T522" s="22">
        <v>36.709434000000002</v>
      </c>
      <c r="U522" s="51" t="s">
        <v>219</v>
      </c>
      <c r="V522" s="55">
        <v>14.23</v>
      </c>
      <c r="W522" s="55">
        <v>380</v>
      </c>
      <c r="X522" s="49">
        <v>39326</v>
      </c>
    </row>
    <row r="523" spans="1:24" ht="12" customHeight="1" x14ac:dyDescent="0.2">
      <c r="A523" s="49">
        <v>39356</v>
      </c>
      <c r="B523" s="523">
        <v>9.300000000000086E-3</v>
      </c>
      <c r="C523" s="523">
        <v>2.6162000000000001</v>
      </c>
      <c r="D523" s="50"/>
      <c r="E523" s="50"/>
      <c r="F523" s="50"/>
      <c r="G523" s="50"/>
      <c r="H523" s="50"/>
      <c r="I523" s="50"/>
      <c r="J523" s="22">
        <v>42.985447999999998</v>
      </c>
      <c r="K523" s="22">
        <v>44.617524000000003</v>
      </c>
      <c r="L523" s="22">
        <v>155.803878</v>
      </c>
      <c r="M523" s="22">
        <v>139.13031899999999</v>
      </c>
      <c r="N523" s="22">
        <v>36.801206999999998</v>
      </c>
      <c r="O523" s="22">
        <v>36.801206999999998</v>
      </c>
      <c r="P523" s="22">
        <v>3.0230809999999999</v>
      </c>
      <c r="Q523" s="22">
        <v>33.905994</v>
      </c>
      <c r="R523" s="22">
        <v>33.905994</v>
      </c>
      <c r="S523" s="22">
        <v>36.801206999999998</v>
      </c>
      <c r="T523" s="22">
        <v>36.801206999999998</v>
      </c>
      <c r="U523" s="51" t="s">
        <v>219</v>
      </c>
      <c r="V523" s="55">
        <v>14.23</v>
      </c>
      <c r="W523" s="55">
        <v>380</v>
      </c>
      <c r="X523" s="49">
        <v>39356</v>
      </c>
    </row>
    <row r="524" spans="1:24" ht="12" customHeight="1" x14ac:dyDescent="0.2">
      <c r="A524" s="49">
        <v>39387</v>
      </c>
      <c r="B524" s="523">
        <v>8.3999999999999631E-3</v>
      </c>
      <c r="C524" s="523">
        <v>2.6246</v>
      </c>
      <c r="D524" s="50"/>
      <c r="E524" s="50"/>
      <c r="F524" s="50"/>
      <c r="G524" s="50"/>
      <c r="H524" s="50"/>
      <c r="I524" s="50"/>
      <c r="J524" s="22">
        <v>43.019835999999998</v>
      </c>
      <c r="K524" s="22">
        <v>45.086008</v>
      </c>
      <c r="L524" s="22">
        <v>156.598477</v>
      </c>
      <c r="M524" s="22">
        <v>140.17379600000001</v>
      </c>
      <c r="N524" s="22">
        <v>36.911610000000003</v>
      </c>
      <c r="O524" s="22">
        <v>36.911610000000003</v>
      </c>
      <c r="P524" s="22">
        <v>3.0303360000000001</v>
      </c>
      <c r="Q524" s="22">
        <v>33.987367999999996</v>
      </c>
      <c r="R524" s="22">
        <v>33.987367999999996</v>
      </c>
      <c r="S524" s="22">
        <v>36.911610000000003</v>
      </c>
      <c r="T524" s="22">
        <v>36.911610000000003</v>
      </c>
      <c r="U524" s="51" t="s">
        <v>219</v>
      </c>
      <c r="V524" s="55">
        <v>14.23</v>
      </c>
      <c r="W524" s="55">
        <v>380</v>
      </c>
      <c r="X524" s="49">
        <v>39387</v>
      </c>
    </row>
    <row r="525" spans="1:24" ht="12" customHeight="1" x14ac:dyDescent="0.2">
      <c r="A525" s="49">
        <v>39417</v>
      </c>
      <c r="B525" s="523">
        <v>8.3999999999999631E-3</v>
      </c>
      <c r="C525" s="523">
        <v>2.633</v>
      </c>
      <c r="D525" s="50"/>
      <c r="E525" s="50"/>
      <c r="F525" s="50"/>
      <c r="G525" s="50"/>
      <c r="H525" s="50"/>
      <c r="I525" s="50"/>
      <c r="J525" s="22">
        <v>43.222028999999999</v>
      </c>
      <c r="K525" s="22">
        <v>45.397100999999999</v>
      </c>
      <c r="L525" s="22">
        <v>157.16223099999999</v>
      </c>
      <c r="M525" s="22">
        <v>141.64562000000001</v>
      </c>
      <c r="N525" s="22">
        <v>37.070329000000001</v>
      </c>
      <c r="O525" s="22">
        <v>37.070329000000001</v>
      </c>
      <c r="P525" s="22">
        <v>3.0373049999999999</v>
      </c>
      <c r="Q525" s="22">
        <v>34.065537999999997</v>
      </c>
      <c r="R525" s="22">
        <v>34.065537999999997</v>
      </c>
      <c r="S525" s="22">
        <v>37.070329000000001</v>
      </c>
      <c r="T525" s="22">
        <v>37.070329000000001</v>
      </c>
      <c r="U525" s="51" t="s">
        <v>219</v>
      </c>
      <c r="V525" s="55">
        <v>14.23</v>
      </c>
      <c r="W525" s="55">
        <v>380</v>
      </c>
      <c r="X525" s="49">
        <v>39417</v>
      </c>
    </row>
    <row r="526" spans="1:24" ht="12" customHeight="1" x14ac:dyDescent="0.2">
      <c r="A526" s="49">
        <v>39448</v>
      </c>
      <c r="B526" s="523">
        <v>9.300000000000086E-3</v>
      </c>
      <c r="C526" s="523">
        <v>2.6423000000000001</v>
      </c>
      <c r="D526" s="50"/>
      <c r="E526" s="50"/>
      <c r="F526" s="50"/>
      <c r="G526" s="50"/>
      <c r="H526" s="50"/>
      <c r="I526" s="50"/>
      <c r="J526" s="22">
        <v>43.576448999999997</v>
      </c>
      <c r="K526" s="22">
        <v>46.196089000000001</v>
      </c>
      <c r="L526" s="22">
        <v>158.08948799999999</v>
      </c>
      <c r="M526" s="22">
        <v>143.72781000000001</v>
      </c>
      <c r="N526" s="22">
        <v>37.429910999999997</v>
      </c>
      <c r="O526" s="22">
        <v>37.429910999999997</v>
      </c>
      <c r="P526" s="22">
        <v>3.0585659999999999</v>
      </c>
      <c r="Q526" s="22">
        <v>34.303995999999998</v>
      </c>
      <c r="R526" s="22">
        <v>34.303995999999998</v>
      </c>
      <c r="S526" s="22">
        <v>37.429910999999997</v>
      </c>
      <c r="T526" s="22">
        <v>37.429910999999997</v>
      </c>
      <c r="U526" s="51" t="s">
        <v>219</v>
      </c>
      <c r="V526" s="55">
        <v>14.88</v>
      </c>
      <c r="W526" s="55">
        <v>380</v>
      </c>
      <c r="X526" s="49">
        <v>39448</v>
      </c>
    </row>
    <row r="527" spans="1:24" ht="12" customHeight="1" x14ac:dyDescent="0.2">
      <c r="A527" s="49">
        <v>39479</v>
      </c>
      <c r="B527" s="523">
        <v>8.0000000000000071E-3</v>
      </c>
      <c r="C527" s="523">
        <v>2.6503000000000001</v>
      </c>
      <c r="D527" s="50"/>
      <c r="E527" s="50"/>
      <c r="F527" s="50"/>
      <c r="G527" s="50"/>
      <c r="H527" s="50"/>
      <c r="I527" s="50"/>
      <c r="J527" s="22">
        <v>43.803046000000002</v>
      </c>
      <c r="K527" s="22">
        <v>46.699626000000002</v>
      </c>
      <c r="L527" s="22">
        <v>158.69022799999999</v>
      </c>
      <c r="M527" s="22">
        <v>145.15071499999999</v>
      </c>
      <c r="N527" s="22">
        <v>37.688177000000003</v>
      </c>
      <c r="O527" s="22">
        <v>37.688177000000003</v>
      </c>
      <c r="P527" s="22">
        <v>3.0799750000000001</v>
      </c>
      <c r="Q527" s="22">
        <v>34.544122999999999</v>
      </c>
      <c r="R527" s="22">
        <v>34.544122999999999</v>
      </c>
      <c r="S527" s="22">
        <v>37.688177000000003</v>
      </c>
      <c r="T527" s="22">
        <v>37.688177000000003</v>
      </c>
      <c r="U527" s="51" t="s">
        <v>219</v>
      </c>
      <c r="V527" s="55">
        <v>14.88</v>
      </c>
      <c r="W527" s="55">
        <v>380</v>
      </c>
      <c r="X527" s="49">
        <v>39479</v>
      </c>
    </row>
    <row r="528" spans="1:24" ht="12" customHeight="1" x14ac:dyDescent="0.2">
      <c r="A528" s="49">
        <v>39508</v>
      </c>
      <c r="B528" s="523">
        <v>8.3999999999999631E-3</v>
      </c>
      <c r="C528" s="523">
        <v>2.6587000000000001</v>
      </c>
      <c r="D528" s="50"/>
      <c r="E528" s="50"/>
      <c r="F528" s="50"/>
      <c r="G528" s="50"/>
      <c r="H528" s="50"/>
      <c r="I528" s="50"/>
      <c r="J528" s="22">
        <v>43.886271000000001</v>
      </c>
      <c r="K528" s="22">
        <v>46.947133999999998</v>
      </c>
      <c r="L528" s="22">
        <v>159.32498799999999</v>
      </c>
      <c r="M528" s="22">
        <v>145.70228700000001</v>
      </c>
      <c r="N528" s="22">
        <v>37.869079999999997</v>
      </c>
      <c r="O528" s="22">
        <v>37.869079999999997</v>
      </c>
      <c r="P528" s="22">
        <v>3.0996860000000002</v>
      </c>
      <c r="Q528" s="22">
        <v>34.765205000000002</v>
      </c>
      <c r="R528" s="22">
        <v>34.765205000000002</v>
      </c>
      <c r="S528" s="22">
        <v>37.869079999999997</v>
      </c>
      <c r="T528" s="22">
        <v>37.869079999999997</v>
      </c>
      <c r="U528" s="51" t="s">
        <v>219</v>
      </c>
      <c r="V528" s="55">
        <v>14.88</v>
      </c>
      <c r="W528" s="55">
        <v>415</v>
      </c>
      <c r="X528" s="49">
        <v>39508</v>
      </c>
    </row>
    <row r="529" spans="1:24" ht="12" customHeight="1" x14ac:dyDescent="0.2">
      <c r="A529" s="49">
        <v>39539</v>
      </c>
      <c r="B529" s="523">
        <v>8.999999999999897E-3</v>
      </c>
      <c r="C529" s="523">
        <v>2.6677</v>
      </c>
      <c r="D529" s="50"/>
      <c r="E529" s="50"/>
      <c r="F529" s="50"/>
      <c r="G529" s="50"/>
      <c r="H529" s="50"/>
      <c r="I529" s="50"/>
      <c r="J529" s="22">
        <v>44.022317999999999</v>
      </c>
      <c r="K529" s="22">
        <v>47.294542</v>
      </c>
      <c r="L529" s="22">
        <v>160.376532</v>
      </c>
      <c r="M529" s="22">
        <v>146.72220300000001</v>
      </c>
      <c r="N529" s="22">
        <v>38.062212000000002</v>
      </c>
      <c r="O529" s="22">
        <v>38.062212000000002</v>
      </c>
      <c r="P529" s="22">
        <v>3.1068150000000001</v>
      </c>
      <c r="Q529" s="22">
        <v>34.845163999999997</v>
      </c>
      <c r="R529" s="22">
        <v>34.845163999999997</v>
      </c>
      <c r="S529" s="22">
        <v>38.062212000000002</v>
      </c>
      <c r="T529" s="22">
        <v>38.062212000000002</v>
      </c>
      <c r="U529" s="51" t="s">
        <v>219</v>
      </c>
      <c r="V529" s="55">
        <v>14.88</v>
      </c>
      <c r="W529" s="55">
        <v>415</v>
      </c>
      <c r="X529" s="49">
        <v>39539</v>
      </c>
    </row>
    <row r="530" spans="1:24" ht="12" customHeight="1" x14ac:dyDescent="0.2">
      <c r="A530" s="49">
        <v>39569</v>
      </c>
      <c r="B530" s="523">
        <v>8.799999999999919E-3</v>
      </c>
      <c r="C530" s="523">
        <v>2.6764999999999999</v>
      </c>
      <c r="D530" s="50"/>
      <c r="E530" s="50"/>
      <c r="F530" s="50"/>
      <c r="G530" s="50"/>
      <c r="H530" s="50"/>
      <c r="I530" s="50"/>
      <c r="J530" s="22">
        <v>44.260038000000002</v>
      </c>
      <c r="K530" s="22">
        <v>47.620874000000001</v>
      </c>
      <c r="L530" s="22">
        <v>161.771807</v>
      </c>
      <c r="M530" s="22">
        <v>148.36549099999999</v>
      </c>
      <c r="N530" s="22">
        <v>38.305810000000001</v>
      </c>
      <c r="O530" s="22">
        <v>38.305810000000001</v>
      </c>
      <c r="P530" s="22">
        <v>3.1251449999999998</v>
      </c>
      <c r="Q530" s="22">
        <v>35.050750000000001</v>
      </c>
      <c r="R530" s="22">
        <v>35.050750000000001</v>
      </c>
      <c r="S530" s="22">
        <v>38.305810000000001</v>
      </c>
      <c r="T530" s="22">
        <v>38.305810000000001</v>
      </c>
      <c r="U530" s="51" t="s">
        <v>219</v>
      </c>
      <c r="V530" s="55">
        <v>14.88</v>
      </c>
      <c r="W530" s="55">
        <v>415</v>
      </c>
      <c r="X530" s="49">
        <v>39569</v>
      </c>
    </row>
    <row r="531" spans="1:24" ht="12" customHeight="1" x14ac:dyDescent="0.2">
      <c r="A531" s="49">
        <v>39600</v>
      </c>
      <c r="B531" s="523">
        <v>9.600000000000275E-3</v>
      </c>
      <c r="C531" s="523">
        <v>2.6861000000000002</v>
      </c>
      <c r="D531" s="50"/>
      <c r="E531" s="50"/>
      <c r="F531" s="50"/>
      <c r="G531" s="50"/>
      <c r="H531" s="50"/>
      <c r="I531" s="50"/>
      <c r="J531" s="22">
        <v>44.804436000000003</v>
      </c>
      <c r="K531" s="22">
        <v>48.387569999999997</v>
      </c>
      <c r="L531" s="22">
        <v>165.03959699999999</v>
      </c>
      <c r="M531" s="22">
        <v>151.15476200000001</v>
      </c>
      <c r="N531" s="22">
        <v>38.673544999999997</v>
      </c>
      <c r="O531" s="22">
        <v>38.673544999999997</v>
      </c>
      <c r="P531" s="22">
        <v>3.1426449999999999</v>
      </c>
      <c r="Q531" s="22">
        <v>35.247033999999999</v>
      </c>
      <c r="R531" s="22">
        <v>35.247033999999999</v>
      </c>
      <c r="S531" s="22">
        <v>38.673544999999997</v>
      </c>
      <c r="T531" s="22">
        <v>38.673544999999997</v>
      </c>
      <c r="U531" s="51" t="s">
        <v>219</v>
      </c>
      <c r="V531" s="55">
        <v>14.88</v>
      </c>
      <c r="W531" s="55">
        <v>415</v>
      </c>
      <c r="X531" s="49">
        <v>39600</v>
      </c>
    </row>
    <row r="532" spans="1:24" ht="12" customHeight="1" x14ac:dyDescent="0.2">
      <c r="A532" s="49">
        <v>39630</v>
      </c>
      <c r="B532" s="523">
        <v>1.0699999999999932E-2</v>
      </c>
      <c r="C532" s="523">
        <v>2.6968000000000001</v>
      </c>
      <c r="D532" s="50"/>
      <c r="E532" s="50"/>
      <c r="F532" s="50"/>
      <c r="G532" s="50"/>
      <c r="H532" s="50"/>
      <c r="I532" s="50"/>
      <c r="J532" s="22">
        <v>45.234558</v>
      </c>
      <c r="K532" s="22">
        <v>49.345643000000003</v>
      </c>
      <c r="L532" s="22">
        <v>168.20835700000001</v>
      </c>
      <c r="M532" s="22">
        <v>154.01158699999999</v>
      </c>
      <c r="N532" s="22">
        <v>39.025474000000003</v>
      </c>
      <c r="O532" s="22">
        <v>39.025474000000003</v>
      </c>
      <c r="P532" s="22">
        <v>3.170928</v>
      </c>
      <c r="Q532" s="22">
        <v>35.564256999999998</v>
      </c>
      <c r="R532" s="22">
        <v>35.564256999999998</v>
      </c>
      <c r="S532" s="22">
        <v>39.025474000000003</v>
      </c>
      <c r="T532" s="22">
        <v>39.025474000000003</v>
      </c>
      <c r="U532" s="51" t="s">
        <v>219</v>
      </c>
      <c r="V532" s="55">
        <v>14.88</v>
      </c>
      <c r="W532" s="55">
        <v>415</v>
      </c>
      <c r="X532" s="49">
        <v>39630</v>
      </c>
    </row>
    <row r="533" spans="1:24" ht="12" customHeight="1" x14ac:dyDescent="0.2">
      <c r="A533" s="49">
        <v>39661</v>
      </c>
      <c r="B533" s="523">
        <v>1.0199999999999765E-2</v>
      </c>
      <c r="C533" s="523">
        <v>2.7069999999999999</v>
      </c>
      <c r="D533" s="50"/>
      <c r="E533" s="50"/>
      <c r="F533" s="50"/>
      <c r="G533" s="50"/>
      <c r="H533" s="50"/>
      <c r="I533" s="50"/>
      <c r="J533" s="22">
        <v>45.438113000000001</v>
      </c>
      <c r="K533" s="22">
        <v>50.214126</v>
      </c>
      <c r="L533" s="22">
        <v>170.664199</v>
      </c>
      <c r="M533" s="22">
        <v>155.73651599999999</v>
      </c>
      <c r="N533" s="22">
        <v>39.251821</v>
      </c>
      <c r="O533" s="22">
        <v>39.251821</v>
      </c>
      <c r="P533" s="22">
        <v>3.1909040000000002</v>
      </c>
      <c r="Q533" s="22">
        <v>35.788311</v>
      </c>
      <c r="R533" s="22">
        <v>35.788311</v>
      </c>
      <c r="S533" s="22">
        <v>39.251821</v>
      </c>
      <c r="T533" s="22">
        <v>39.251821</v>
      </c>
      <c r="U533" s="51" t="s">
        <v>219</v>
      </c>
      <c r="V533" s="55">
        <v>14.88</v>
      </c>
      <c r="W533" s="55">
        <v>415</v>
      </c>
      <c r="X533" s="49">
        <v>39661</v>
      </c>
    </row>
    <row r="534" spans="1:24" ht="12" customHeight="1" x14ac:dyDescent="0.2">
      <c r="A534" s="49">
        <v>39692</v>
      </c>
      <c r="B534" s="523">
        <v>1.1000000000000121E-2</v>
      </c>
      <c r="C534" s="523">
        <v>2.718</v>
      </c>
      <c r="D534" s="50"/>
      <c r="E534" s="50"/>
      <c r="F534" s="50"/>
      <c r="G534" s="50"/>
      <c r="H534" s="50"/>
      <c r="I534" s="50"/>
      <c r="J534" s="22">
        <v>45.610776999999999</v>
      </c>
      <c r="K534" s="22">
        <v>50.053440000000002</v>
      </c>
      <c r="L534" s="22">
        <v>172.67803599999999</v>
      </c>
      <c r="M534" s="22">
        <v>155.14471700000001</v>
      </c>
      <c r="N534" s="22">
        <v>39.334249</v>
      </c>
      <c r="O534" s="22">
        <v>39.334249</v>
      </c>
      <c r="P534" s="22">
        <v>3.2020719999999998</v>
      </c>
      <c r="Q534" s="22">
        <v>35.91357</v>
      </c>
      <c r="R534" s="22">
        <v>35.91357</v>
      </c>
      <c r="S534" s="22">
        <v>39.334249</v>
      </c>
      <c r="T534" s="22">
        <v>39.334249</v>
      </c>
      <c r="U534" s="51" t="s">
        <v>219</v>
      </c>
      <c r="V534" s="55">
        <v>14.88</v>
      </c>
      <c r="W534" s="55">
        <v>415</v>
      </c>
      <c r="X534" s="49">
        <v>39692</v>
      </c>
    </row>
    <row r="535" spans="1:24" ht="12" customHeight="1" x14ac:dyDescent="0.2">
      <c r="A535" s="49">
        <v>39722</v>
      </c>
      <c r="B535" s="523">
        <v>1.1800000000000033E-2</v>
      </c>
      <c r="C535" s="523">
        <v>2.7298</v>
      </c>
      <c r="D535" s="50"/>
      <c r="E535" s="50"/>
      <c r="F535" s="50"/>
      <c r="G535" s="50"/>
      <c r="H535" s="50"/>
      <c r="I535" s="50"/>
      <c r="J535" s="22">
        <v>45.784097000000003</v>
      </c>
      <c r="K535" s="22">
        <v>50.108497999999997</v>
      </c>
      <c r="L535" s="22">
        <v>174.318477</v>
      </c>
      <c r="M535" s="22">
        <v>155.703237</v>
      </c>
      <c r="N535" s="22">
        <v>39.393250000000002</v>
      </c>
      <c r="O535" s="22">
        <v>39.393250000000002</v>
      </c>
      <c r="P535" s="22">
        <v>3.2103969999999999</v>
      </c>
      <c r="Q535" s="22">
        <v>36.006945000000002</v>
      </c>
      <c r="R535" s="22">
        <v>36.006945000000002</v>
      </c>
      <c r="S535" s="22">
        <v>39.393250000000002</v>
      </c>
      <c r="T535" s="22">
        <v>39.393250000000002</v>
      </c>
      <c r="U535" s="51" t="s">
        <v>219</v>
      </c>
      <c r="V535" s="55">
        <v>14.88</v>
      </c>
      <c r="W535" s="55">
        <v>415</v>
      </c>
      <c r="X535" s="49">
        <v>39722</v>
      </c>
    </row>
    <row r="536" spans="1:24" ht="12" customHeight="1" x14ac:dyDescent="0.2">
      <c r="A536" s="49">
        <v>39753</v>
      </c>
      <c r="B536" s="523">
        <v>1.0200000000000209E-2</v>
      </c>
      <c r="C536" s="523">
        <v>2.74</v>
      </c>
      <c r="D536" s="50"/>
      <c r="E536" s="50"/>
      <c r="F536" s="50"/>
      <c r="G536" s="50"/>
      <c r="H536" s="50"/>
      <c r="I536" s="50"/>
      <c r="J536" s="22">
        <v>46.013016999999998</v>
      </c>
      <c r="K536" s="22">
        <v>50.599561000000001</v>
      </c>
      <c r="L536" s="22">
        <v>175.660729</v>
      </c>
      <c r="M536" s="22">
        <v>157.40040200000001</v>
      </c>
      <c r="N536" s="22">
        <v>39.590215999999998</v>
      </c>
      <c r="O536" s="22">
        <v>39.590215999999998</v>
      </c>
      <c r="P536" s="22">
        <v>3.2200280000000001</v>
      </c>
      <c r="Q536" s="22">
        <v>36.114964999999998</v>
      </c>
      <c r="R536" s="22">
        <v>36.114964999999998</v>
      </c>
      <c r="S536" s="22">
        <v>39.590215999999998</v>
      </c>
      <c r="T536" s="22">
        <v>39.590215999999998</v>
      </c>
      <c r="U536" s="51" t="s">
        <v>219</v>
      </c>
      <c r="V536" s="55">
        <v>14.88</v>
      </c>
      <c r="W536" s="55">
        <v>415</v>
      </c>
      <c r="X536" s="49">
        <v>39753</v>
      </c>
    </row>
    <row r="537" spans="1:24" ht="12" customHeight="1" x14ac:dyDescent="0.2">
      <c r="A537" s="49">
        <v>39783</v>
      </c>
      <c r="B537" s="523">
        <v>1.1199999999999655E-2</v>
      </c>
      <c r="C537" s="523">
        <v>2.7511999999999999</v>
      </c>
      <c r="D537" s="50"/>
      <c r="E537" s="50"/>
      <c r="F537" s="50"/>
      <c r="G537" s="50"/>
      <c r="H537" s="50"/>
      <c r="I537" s="50"/>
      <c r="J537" s="22">
        <v>46.192467000000001</v>
      </c>
      <c r="K537" s="22">
        <v>50.791839000000003</v>
      </c>
      <c r="L537" s="22">
        <v>176.53903199999999</v>
      </c>
      <c r="M537" s="22">
        <v>157.510582</v>
      </c>
      <c r="N537" s="22">
        <v>39.740658000000003</v>
      </c>
      <c r="O537" s="22">
        <v>39.740658000000003</v>
      </c>
      <c r="P537" s="22">
        <v>3.2358060000000002</v>
      </c>
      <c r="Q537" s="22">
        <v>36.291927999999999</v>
      </c>
      <c r="R537" s="22">
        <v>36.291927999999999</v>
      </c>
      <c r="S537" s="22">
        <v>39.740658000000003</v>
      </c>
      <c r="T537" s="22">
        <v>39.740658000000003</v>
      </c>
      <c r="U537" s="51" t="s">
        <v>219</v>
      </c>
      <c r="V537" s="55">
        <v>14.88</v>
      </c>
      <c r="W537" s="55">
        <v>415</v>
      </c>
      <c r="X537" s="49">
        <v>39783</v>
      </c>
    </row>
    <row r="538" spans="1:24" ht="12" customHeight="1" x14ac:dyDescent="0.2">
      <c r="A538" s="49">
        <v>39814</v>
      </c>
      <c r="B538" s="523">
        <v>1.0499999999999954E-2</v>
      </c>
      <c r="C538" s="523">
        <v>2.7616999999999998</v>
      </c>
      <c r="D538" s="50"/>
      <c r="E538" s="50"/>
      <c r="F538" s="50"/>
      <c r="G538" s="50"/>
      <c r="H538" s="50"/>
      <c r="I538" s="50"/>
      <c r="J538" s="22">
        <v>46.266373999999999</v>
      </c>
      <c r="K538" s="22">
        <v>50.725808999999998</v>
      </c>
      <c r="L538" s="22">
        <v>176.83914799999999</v>
      </c>
      <c r="M538" s="22">
        <v>156.81753499999999</v>
      </c>
      <c r="N538" s="22">
        <v>39.855905</v>
      </c>
      <c r="O538" s="22">
        <v>39.855905</v>
      </c>
      <c r="P538" s="22">
        <v>3.2451889999999999</v>
      </c>
      <c r="Q538" s="22">
        <v>36.397174</v>
      </c>
      <c r="R538" s="22">
        <v>36.397174</v>
      </c>
      <c r="S538" s="22">
        <v>39.855905</v>
      </c>
      <c r="T538" s="22">
        <v>39.855905</v>
      </c>
      <c r="U538" s="51" t="s">
        <v>219</v>
      </c>
      <c r="V538" s="55">
        <v>15.85</v>
      </c>
      <c r="W538" s="55">
        <v>415</v>
      </c>
      <c r="X538" s="49">
        <v>39814</v>
      </c>
    </row>
    <row r="539" spans="1:24" ht="12" customHeight="1" x14ac:dyDescent="0.2">
      <c r="A539" s="49">
        <v>39845</v>
      </c>
      <c r="B539" s="523">
        <v>8.6000000000003851E-3</v>
      </c>
      <c r="C539" s="523">
        <v>2.7703000000000002</v>
      </c>
      <c r="D539" s="50"/>
      <c r="E539" s="50"/>
      <c r="F539" s="50"/>
      <c r="G539" s="50"/>
      <c r="H539" s="50"/>
      <c r="I539" s="50"/>
      <c r="J539" s="22">
        <v>46.479199000000001</v>
      </c>
      <c r="K539" s="22">
        <v>50.502614999999999</v>
      </c>
      <c r="L539" s="22">
        <v>177.42271700000001</v>
      </c>
      <c r="M539" s="22">
        <v>156.83321599999999</v>
      </c>
      <c r="N539" s="22">
        <v>40.110982</v>
      </c>
      <c r="O539" s="22">
        <v>40.110982</v>
      </c>
      <c r="P539" s="22">
        <v>3.2581690000000001</v>
      </c>
      <c r="Q539" s="22">
        <v>36.542762000000003</v>
      </c>
      <c r="R539" s="22">
        <v>36.542762000000003</v>
      </c>
      <c r="S539" s="22">
        <v>40.110982</v>
      </c>
      <c r="T539" s="22">
        <v>40.110982</v>
      </c>
      <c r="U539" s="51" t="s">
        <v>219</v>
      </c>
      <c r="V539" s="55">
        <v>15.85</v>
      </c>
      <c r="W539" s="55">
        <v>465</v>
      </c>
      <c r="X539" s="49">
        <v>39845</v>
      </c>
    </row>
    <row r="540" spans="1:24" ht="12" customHeight="1" x14ac:dyDescent="0.2">
      <c r="A540" s="49">
        <v>39873</v>
      </c>
      <c r="B540" s="523">
        <v>9.6999999999995978E-3</v>
      </c>
      <c r="C540" s="523">
        <v>2.78</v>
      </c>
      <c r="D540" s="50"/>
      <c r="E540" s="50"/>
      <c r="F540" s="50"/>
      <c r="G540" s="50"/>
      <c r="H540" s="50"/>
      <c r="I540" s="50"/>
      <c r="J540" s="22">
        <v>46.604692</v>
      </c>
      <c r="K540" s="22">
        <v>50.633921000000001</v>
      </c>
      <c r="L540" s="22">
        <v>177.901758</v>
      </c>
      <c r="M540" s="22">
        <v>156.62933200000001</v>
      </c>
      <c r="N540" s="22">
        <v>40.235326000000001</v>
      </c>
      <c r="O540" s="22">
        <v>40.235326000000001</v>
      </c>
      <c r="P540" s="22">
        <v>3.2786949999999999</v>
      </c>
      <c r="Q540" s="22">
        <v>36.772981000000001</v>
      </c>
      <c r="R540" s="22">
        <v>36.772981000000001</v>
      </c>
      <c r="S540" s="22">
        <v>40.235326000000001</v>
      </c>
      <c r="T540" s="22">
        <v>40.235326000000001</v>
      </c>
      <c r="U540" s="51" t="s">
        <v>219</v>
      </c>
      <c r="V540" s="55">
        <v>15.85</v>
      </c>
      <c r="W540" s="55">
        <v>465</v>
      </c>
      <c r="X540" s="49">
        <v>39873</v>
      </c>
    </row>
    <row r="541" spans="1:24" ht="12" customHeight="1" x14ac:dyDescent="0.2">
      <c r="A541" s="49">
        <v>39904</v>
      </c>
      <c r="B541" s="523">
        <v>8.4000000000004071E-3</v>
      </c>
      <c r="C541" s="523">
        <v>2.7884000000000002</v>
      </c>
      <c r="D541" s="50"/>
      <c r="E541" s="50"/>
      <c r="F541" s="50"/>
      <c r="G541" s="50"/>
      <c r="H541" s="50"/>
      <c r="I541" s="50"/>
      <c r="J541" s="22">
        <v>46.791110000000003</v>
      </c>
      <c r="K541" s="22">
        <v>50.259228999999998</v>
      </c>
      <c r="L541" s="22">
        <v>177.45700299999999</v>
      </c>
      <c r="M541" s="22">
        <v>155.31364500000001</v>
      </c>
      <c r="N541" s="22">
        <v>40.315795999999999</v>
      </c>
      <c r="O541" s="22">
        <v>40.315795999999999</v>
      </c>
      <c r="P541" s="22">
        <v>3.2823009999999999</v>
      </c>
      <c r="Q541" s="22">
        <v>36.813431000000001</v>
      </c>
      <c r="R541" s="22">
        <v>36.813431000000001</v>
      </c>
      <c r="S541" s="22">
        <v>40.315795999999999</v>
      </c>
      <c r="T541" s="22">
        <v>40.315795999999999</v>
      </c>
      <c r="U541" s="51" t="s">
        <v>219</v>
      </c>
      <c r="V541" s="55">
        <v>15.85</v>
      </c>
      <c r="W541" s="55">
        <v>465</v>
      </c>
      <c r="X541" s="49">
        <v>39904</v>
      </c>
    </row>
    <row r="542" spans="1:24" ht="12" customHeight="1" x14ac:dyDescent="0.2">
      <c r="A542" s="49">
        <v>39934</v>
      </c>
      <c r="B542" s="523">
        <v>7.6999999999998181E-3</v>
      </c>
      <c r="C542" s="523">
        <v>2.7961</v>
      </c>
      <c r="D542" s="50"/>
      <c r="E542" s="50"/>
      <c r="F542" s="50"/>
      <c r="G542" s="50"/>
      <c r="H542" s="50"/>
      <c r="I542" s="50"/>
      <c r="J542" s="22">
        <v>46.936162000000003</v>
      </c>
      <c r="K542" s="22">
        <v>50.183840000000004</v>
      </c>
      <c r="L542" s="22">
        <v>177.38602</v>
      </c>
      <c r="M542" s="22">
        <v>155.37576999999999</v>
      </c>
      <c r="N542" s="22">
        <v>40.537531999999999</v>
      </c>
      <c r="O542" s="22">
        <v>40.537531999999999</v>
      </c>
      <c r="P542" s="22">
        <v>3.294117</v>
      </c>
      <c r="Q542" s="22">
        <v>36.945959000000002</v>
      </c>
      <c r="R542" s="22">
        <v>36.945959000000002</v>
      </c>
      <c r="S542" s="22">
        <v>40.537531999999999</v>
      </c>
      <c r="T542" s="22">
        <v>40.537531999999999</v>
      </c>
      <c r="U542" s="51" t="s">
        <v>219</v>
      </c>
      <c r="V542" s="55">
        <v>15.85</v>
      </c>
      <c r="W542" s="55">
        <v>465</v>
      </c>
      <c r="X542" s="49">
        <v>39934</v>
      </c>
    </row>
    <row r="543" spans="1:24" ht="12" customHeight="1" x14ac:dyDescent="0.2">
      <c r="A543" s="49">
        <v>39965</v>
      </c>
      <c r="B543" s="523">
        <v>7.6000000000000512E-3</v>
      </c>
      <c r="C543" s="523">
        <v>2.8037000000000001</v>
      </c>
      <c r="D543" s="50"/>
      <c r="E543" s="50"/>
      <c r="F543" s="50"/>
      <c r="G543" s="50"/>
      <c r="H543" s="50"/>
      <c r="I543" s="50"/>
      <c r="J543" s="22">
        <v>47.091051</v>
      </c>
      <c r="K543" s="22">
        <v>50.148710999999999</v>
      </c>
      <c r="L543" s="22">
        <v>179.851685</v>
      </c>
      <c r="M543" s="22">
        <v>155.65544600000001</v>
      </c>
      <c r="N543" s="22">
        <v>40.780757000000001</v>
      </c>
      <c r="O543" s="22">
        <v>40.780757000000001</v>
      </c>
      <c r="P543" s="22">
        <v>3.3135520000000001</v>
      </c>
      <c r="Q543" s="22">
        <v>37.163939999999997</v>
      </c>
      <c r="R543" s="22">
        <v>37.163939999999997</v>
      </c>
      <c r="S543" s="22">
        <v>40.780757000000001</v>
      </c>
      <c r="T543" s="22">
        <v>40.780757000000001</v>
      </c>
      <c r="U543" s="51" t="s">
        <v>219</v>
      </c>
      <c r="V543" s="55">
        <v>15.85</v>
      </c>
      <c r="W543" s="55">
        <v>465</v>
      </c>
      <c r="X543" s="49">
        <v>39965</v>
      </c>
    </row>
    <row r="544" spans="1:24" ht="12" customHeight="1" x14ac:dyDescent="0.2">
      <c r="A544" s="49">
        <v>39995</v>
      </c>
      <c r="B544" s="523">
        <v>7.8999999999997961E-3</v>
      </c>
      <c r="C544" s="523">
        <v>2.8115999999999999</v>
      </c>
      <c r="D544" s="50"/>
      <c r="E544" s="50"/>
      <c r="F544" s="50"/>
      <c r="G544" s="50"/>
      <c r="H544" s="50"/>
      <c r="I544" s="50"/>
      <c r="J544" s="22">
        <v>47.152268999999997</v>
      </c>
      <c r="K544" s="22">
        <v>50.098562000000001</v>
      </c>
      <c r="L544" s="22">
        <v>181.110646</v>
      </c>
      <c r="M544" s="22">
        <v>155.15734800000001</v>
      </c>
      <c r="N544" s="22">
        <v>40.952036</v>
      </c>
      <c r="O544" s="22">
        <v>40.951219999999999</v>
      </c>
      <c r="P544" s="22">
        <v>3.3261430000000001</v>
      </c>
      <c r="Q544" s="22">
        <v>37.305162000000003</v>
      </c>
      <c r="R544" s="22">
        <v>37.305162000000003</v>
      </c>
      <c r="S544" s="22">
        <v>40.947600000000001</v>
      </c>
      <c r="T544" s="22">
        <v>40.947600000000001</v>
      </c>
      <c r="U544" s="51" t="s">
        <v>219</v>
      </c>
      <c r="V544" s="55">
        <v>15.85</v>
      </c>
      <c r="W544" s="55">
        <v>465</v>
      </c>
      <c r="X544" s="49">
        <v>39995</v>
      </c>
    </row>
    <row r="545" spans="1:24" ht="12" customHeight="1" x14ac:dyDescent="0.2">
      <c r="A545" s="49">
        <v>40026</v>
      </c>
      <c r="B545" s="523">
        <v>6.8999999999999062E-3</v>
      </c>
      <c r="C545" s="523">
        <v>2.8184999999999998</v>
      </c>
      <c r="D545" s="50"/>
      <c r="E545" s="50"/>
      <c r="F545" s="50"/>
      <c r="G545" s="50"/>
      <c r="H545" s="50"/>
      <c r="I545" s="50"/>
      <c r="J545" s="22">
        <v>47.307870999999999</v>
      </c>
      <c r="K545" s="22">
        <v>49.883138000000002</v>
      </c>
      <c r="L545" s="22">
        <v>181.58153300000001</v>
      </c>
      <c r="M545" s="22">
        <v>154.16434000000001</v>
      </c>
      <c r="N545" s="22">
        <v>41.046225</v>
      </c>
      <c r="O545" s="22">
        <v>41.049501999999997</v>
      </c>
      <c r="P545" s="22">
        <v>3.3334600000000001</v>
      </c>
      <c r="Q545" s="22">
        <v>37.387233000000002</v>
      </c>
      <c r="R545" s="22">
        <v>37.387233000000002</v>
      </c>
      <c r="S545" s="22">
        <v>40.990634999999997</v>
      </c>
      <c r="T545" s="22">
        <v>40.990634999999997</v>
      </c>
      <c r="U545" s="51" t="s">
        <v>219</v>
      </c>
      <c r="V545" s="55">
        <v>15.85</v>
      </c>
      <c r="W545" s="55">
        <v>465</v>
      </c>
      <c r="X545" s="49">
        <v>40026</v>
      </c>
    </row>
    <row r="546" spans="1:24" ht="12" customHeight="1" x14ac:dyDescent="0.2">
      <c r="A546" s="49">
        <v>40057</v>
      </c>
      <c r="B546" s="523">
        <v>6.9000000000003503E-3</v>
      </c>
      <c r="C546" s="523">
        <v>2.8254000000000001</v>
      </c>
      <c r="D546" s="50"/>
      <c r="E546" s="50"/>
      <c r="F546" s="50"/>
      <c r="G546" s="50"/>
      <c r="H546" s="50"/>
      <c r="I546" s="50"/>
      <c r="J546" s="22">
        <v>47.534948</v>
      </c>
      <c r="K546" s="22">
        <v>49.703558000000001</v>
      </c>
      <c r="L546" s="22">
        <v>181.49074200000001</v>
      </c>
      <c r="M546" s="22">
        <v>154.303087</v>
      </c>
      <c r="N546" s="22">
        <v>41.079061000000003</v>
      </c>
      <c r="O546" s="22">
        <v>41.111075999999997</v>
      </c>
      <c r="P546" s="22">
        <v>3.341126</v>
      </c>
      <c r="Q546" s="22">
        <v>37.473222999999997</v>
      </c>
      <c r="R546" s="22">
        <v>37.473222999999997</v>
      </c>
      <c r="S546" s="22">
        <v>40.998710000000003</v>
      </c>
      <c r="T546" s="22">
        <v>40.998710000000003</v>
      </c>
      <c r="U546" s="51" t="s">
        <v>219</v>
      </c>
      <c r="V546" s="55">
        <v>15.85</v>
      </c>
      <c r="W546" s="55">
        <v>465</v>
      </c>
      <c r="X546" s="49">
        <v>40057</v>
      </c>
    </row>
    <row r="547" spans="1:24" ht="12" customHeight="1" x14ac:dyDescent="0.2">
      <c r="A547" s="49">
        <v>40087</v>
      </c>
      <c r="B547" s="523">
        <v>6.8999999999999062E-3</v>
      </c>
      <c r="C547" s="523">
        <v>2.8323</v>
      </c>
      <c r="D547" s="50"/>
      <c r="E547" s="50"/>
      <c r="F547" s="50"/>
      <c r="G547" s="50"/>
      <c r="H547" s="50"/>
      <c r="I547" s="50"/>
      <c r="J547" s="22">
        <v>47.611002999999997</v>
      </c>
      <c r="K547" s="22">
        <v>49.912312</v>
      </c>
      <c r="L547" s="22">
        <v>181.762978</v>
      </c>
      <c r="M547" s="22">
        <v>154.68884399999999</v>
      </c>
      <c r="N547" s="22">
        <v>41.144787000000001</v>
      </c>
      <c r="O547" s="22">
        <v>41.209741999999999</v>
      </c>
      <c r="P547" s="22">
        <v>3.3474740000000001</v>
      </c>
      <c r="Q547" s="22">
        <v>37.544421999999997</v>
      </c>
      <c r="R547" s="22">
        <v>37.544421999999997</v>
      </c>
      <c r="S547" s="22">
        <v>40.998710000000003</v>
      </c>
      <c r="T547" s="22">
        <v>40.998710000000003</v>
      </c>
      <c r="U547" s="51" t="s">
        <v>219</v>
      </c>
      <c r="V547" s="55">
        <v>15.85</v>
      </c>
      <c r="W547" s="55">
        <v>465</v>
      </c>
      <c r="X547" s="49">
        <v>40087</v>
      </c>
    </row>
    <row r="548" spans="1:24" ht="12" customHeight="1" x14ac:dyDescent="0.2">
      <c r="A548" s="49">
        <v>40118</v>
      </c>
      <c r="B548" s="523">
        <v>6.6000000000001613E-3</v>
      </c>
      <c r="C548" s="523">
        <v>2.8389000000000002</v>
      </c>
      <c r="D548" s="50"/>
      <c r="E548" s="50"/>
      <c r="F548" s="50"/>
      <c r="G548" s="50"/>
      <c r="H548" s="50"/>
      <c r="I548" s="50"/>
      <c r="J548" s="22">
        <v>47.730029999999999</v>
      </c>
      <c r="K548" s="22">
        <v>49.937268000000003</v>
      </c>
      <c r="L548" s="22">
        <v>181.87203500000001</v>
      </c>
      <c r="M548" s="22">
        <v>154.62696800000001</v>
      </c>
      <c r="N548" s="22">
        <v>41.243533999999997</v>
      </c>
      <c r="O548" s="22">
        <v>41.325128999999997</v>
      </c>
      <c r="P548" s="22">
        <v>3.3534989999999998</v>
      </c>
      <c r="Q548" s="22">
        <v>37.612000999999999</v>
      </c>
      <c r="R548" s="22">
        <v>37.612000999999999</v>
      </c>
      <c r="S548" s="22">
        <v>40.998710000000003</v>
      </c>
      <c r="T548" s="22">
        <v>40.998710000000003</v>
      </c>
      <c r="U548" s="51" t="s">
        <v>219</v>
      </c>
      <c r="V548" s="55">
        <v>15.85</v>
      </c>
      <c r="W548" s="55">
        <v>465</v>
      </c>
      <c r="X548" s="49">
        <v>40118</v>
      </c>
    </row>
    <row r="549" spans="1:24" ht="12" customHeight="1" x14ac:dyDescent="0.2">
      <c r="A549" s="49">
        <v>40148</v>
      </c>
      <c r="B549" s="523">
        <v>7.2999999999998622E-3</v>
      </c>
      <c r="C549" s="523">
        <v>2.8462000000000001</v>
      </c>
      <c r="D549" s="50"/>
      <c r="E549" s="50"/>
      <c r="F549" s="50"/>
      <c r="G549" s="50"/>
      <c r="H549" s="50"/>
      <c r="I549" s="50"/>
      <c r="J549" s="22">
        <v>47.868447000000003</v>
      </c>
      <c r="K549" s="22">
        <v>49.987205000000003</v>
      </c>
      <c r="L549" s="22">
        <v>182.399463</v>
      </c>
      <c r="M549" s="22">
        <v>154.73520600000001</v>
      </c>
      <c r="N549" s="22">
        <v>41.396135000000001</v>
      </c>
      <c r="O549" s="22">
        <v>41.494562000000002</v>
      </c>
      <c r="P549" s="22">
        <v>3.3682539999999999</v>
      </c>
      <c r="Q549" s="22">
        <v>37.777493</v>
      </c>
      <c r="R549" s="22">
        <v>37.777493</v>
      </c>
      <c r="S549" s="22">
        <v>40.998710000000003</v>
      </c>
      <c r="T549" s="22">
        <v>40.998710000000003</v>
      </c>
      <c r="U549" s="51" t="s">
        <v>219</v>
      </c>
      <c r="V549" s="55">
        <v>15.85</v>
      </c>
      <c r="W549" s="55">
        <v>465</v>
      </c>
      <c r="X549" s="49">
        <v>40148</v>
      </c>
    </row>
    <row r="550" spans="1:24" ht="12" customHeight="1" x14ac:dyDescent="0.2">
      <c r="A550" s="49">
        <v>40179</v>
      </c>
      <c r="B550" s="523">
        <v>6.5999999999997172E-3</v>
      </c>
      <c r="C550" s="523">
        <v>2.8527999999999998</v>
      </c>
      <c r="D550" s="50"/>
      <c r="E550" s="50"/>
      <c r="F550" s="50"/>
      <c r="G550" s="50"/>
      <c r="H550" s="50"/>
      <c r="I550" s="50"/>
      <c r="J550" s="22">
        <v>47.954610000000002</v>
      </c>
      <c r="K550" s="22">
        <v>49.857238000000002</v>
      </c>
      <c r="L550" s="22">
        <v>182.581862</v>
      </c>
      <c r="M550" s="22">
        <v>154.56499700000001</v>
      </c>
      <c r="N550" s="22">
        <v>41.495485000000002</v>
      </c>
      <c r="O550" s="22">
        <v>41.648091000000001</v>
      </c>
      <c r="P550" s="22">
        <v>3.3810530000000001</v>
      </c>
      <c r="Q550" s="22">
        <v>37.832898</v>
      </c>
      <c r="R550" s="22">
        <v>37.921047000000002</v>
      </c>
      <c r="S550" s="22">
        <v>41.020561999999998</v>
      </c>
      <c r="T550" s="22">
        <v>41.020561999999998</v>
      </c>
      <c r="U550" s="51" t="s">
        <v>219</v>
      </c>
      <c r="V550" s="55">
        <v>16.420000000000002</v>
      </c>
      <c r="W550" s="55">
        <v>510</v>
      </c>
      <c r="X550" s="49">
        <v>40179</v>
      </c>
    </row>
    <row r="551" spans="1:24" ht="12" customHeight="1" x14ac:dyDescent="0.2">
      <c r="A551" s="49">
        <v>40210</v>
      </c>
      <c r="B551" s="523">
        <v>5.9000000000000163E-3</v>
      </c>
      <c r="C551" s="523">
        <v>2.8586999999999998</v>
      </c>
      <c r="D551" s="50"/>
      <c r="E551" s="50"/>
      <c r="F551" s="50"/>
      <c r="G551" s="50"/>
      <c r="H551" s="50"/>
      <c r="I551" s="50"/>
      <c r="J551" s="22">
        <v>48.597200999999998</v>
      </c>
      <c r="K551" s="22">
        <v>50.171337999999999</v>
      </c>
      <c r="L551" s="22">
        <v>183.75038499999999</v>
      </c>
      <c r="M551" s="22">
        <v>156.126103</v>
      </c>
      <c r="N551" s="22">
        <v>41.860644999999998</v>
      </c>
      <c r="O551" s="22">
        <v>41.960450999999999</v>
      </c>
      <c r="P551" s="22">
        <v>3.3986339999999999</v>
      </c>
      <c r="Q551" s="22">
        <v>37.832898</v>
      </c>
      <c r="R551" s="22">
        <v>38.118236000000003</v>
      </c>
      <c r="S551" s="22">
        <v>41.020561999999998</v>
      </c>
      <c r="T551" s="22">
        <v>41.020561999999998</v>
      </c>
      <c r="U551" s="51" t="s">
        <v>219</v>
      </c>
      <c r="V551" s="55">
        <v>16.420000000000002</v>
      </c>
      <c r="W551" s="55">
        <v>510</v>
      </c>
      <c r="X551" s="49">
        <v>40210</v>
      </c>
    </row>
    <row r="552" spans="1:24" ht="12" customHeight="1" x14ac:dyDescent="0.2">
      <c r="A552" s="49">
        <v>40238</v>
      </c>
      <c r="B552" s="523">
        <v>7.6000000000000512E-3</v>
      </c>
      <c r="C552" s="523">
        <v>2.8662999999999998</v>
      </c>
      <c r="D552" s="50"/>
      <c r="E552" s="50"/>
      <c r="F552" s="50"/>
      <c r="G552" s="50"/>
      <c r="H552" s="50"/>
      <c r="I552" s="50"/>
      <c r="J552" s="22">
        <v>48.95682</v>
      </c>
      <c r="K552" s="22">
        <v>50.763359000000001</v>
      </c>
      <c r="L552" s="22">
        <v>184.41188600000001</v>
      </c>
      <c r="M552" s="22">
        <v>157.827877</v>
      </c>
      <c r="N552" s="22">
        <v>42.153669000000001</v>
      </c>
      <c r="O552" s="22">
        <v>42.287742000000001</v>
      </c>
      <c r="P552" s="22">
        <v>3.4305810000000001</v>
      </c>
      <c r="Q552" s="22">
        <v>37.832898</v>
      </c>
      <c r="R552" s="22">
        <v>38.476546999999997</v>
      </c>
      <c r="S552" s="22">
        <v>41.020561999999998</v>
      </c>
      <c r="T552" s="22">
        <v>41.020561999999998</v>
      </c>
      <c r="U552" s="51" t="s">
        <v>219</v>
      </c>
      <c r="V552" s="55">
        <v>16.420000000000002</v>
      </c>
      <c r="W552" s="55">
        <v>510</v>
      </c>
      <c r="X552" s="49">
        <v>40238</v>
      </c>
    </row>
    <row r="553" spans="1:24" ht="12" customHeight="1" x14ac:dyDescent="0.2">
      <c r="A553" s="49">
        <v>40269</v>
      </c>
      <c r="B553" s="523">
        <v>6.7000000000003723E-3</v>
      </c>
      <c r="C553" s="523">
        <v>2.8730000000000002</v>
      </c>
      <c r="D553" s="50"/>
      <c r="E553" s="50"/>
      <c r="F553" s="50"/>
      <c r="G553" s="50"/>
      <c r="H553" s="50"/>
      <c r="I553" s="50"/>
      <c r="J553" s="22">
        <v>49.123272999999998</v>
      </c>
      <c r="K553" s="22">
        <v>51.240533999999997</v>
      </c>
      <c r="L553" s="22">
        <v>185.79497499999999</v>
      </c>
      <c r="M553" s="22">
        <v>158.822192</v>
      </c>
      <c r="N553" s="22">
        <v>42.452959999999997</v>
      </c>
      <c r="O553" s="22">
        <v>42.507638</v>
      </c>
      <c r="P553" s="22">
        <v>3.449449</v>
      </c>
      <c r="Q553" s="22">
        <v>37.862861000000002</v>
      </c>
      <c r="R553" s="22">
        <v>38.688167999999997</v>
      </c>
      <c r="S553" s="22">
        <v>41.053049999999999</v>
      </c>
      <c r="T553" s="22">
        <v>41.053049999999999</v>
      </c>
      <c r="U553" s="51" t="s">
        <v>219</v>
      </c>
      <c r="V553" s="55">
        <v>16.420000000000002</v>
      </c>
      <c r="W553" s="55">
        <v>510</v>
      </c>
      <c r="X553" s="49">
        <v>40269</v>
      </c>
    </row>
    <row r="554" spans="1:24" ht="12" customHeight="1" x14ac:dyDescent="0.2">
      <c r="A554" s="49">
        <v>40299</v>
      </c>
      <c r="B554" s="523">
        <v>7.4999999999998401E-3</v>
      </c>
      <c r="C554" s="523">
        <v>2.8805000000000001</v>
      </c>
      <c r="D554" s="50"/>
      <c r="E554" s="50"/>
      <c r="F554" s="50"/>
      <c r="G554" s="50"/>
      <c r="H554" s="50"/>
      <c r="I554" s="50"/>
      <c r="J554" s="22">
        <v>49.314852999999999</v>
      </c>
      <c r="K554" s="22">
        <v>51.635086000000001</v>
      </c>
      <c r="L554" s="22">
        <v>187.35565199999999</v>
      </c>
      <c r="M554" s="22">
        <v>159.965711</v>
      </c>
      <c r="N554" s="22">
        <v>42.762866000000002</v>
      </c>
      <c r="O554" s="22">
        <v>42.749930999999997</v>
      </c>
      <c r="P554" s="22">
        <v>3.4660060000000001</v>
      </c>
      <c r="Q554" s="22">
        <v>37.862861000000002</v>
      </c>
      <c r="R554" s="22">
        <v>38.873871000000001</v>
      </c>
      <c r="S554" s="22">
        <v>41.053049999999999</v>
      </c>
      <c r="T554" s="22">
        <v>41.053049999999999</v>
      </c>
      <c r="U554" s="51" t="s">
        <v>219</v>
      </c>
      <c r="V554" s="55">
        <v>16.420000000000002</v>
      </c>
      <c r="W554" s="55">
        <v>510</v>
      </c>
      <c r="X554" s="49">
        <v>40299</v>
      </c>
    </row>
    <row r="555" spans="1:24" ht="12" customHeight="1" x14ac:dyDescent="0.2">
      <c r="A555" s="49">
        <v>40330</v>
      </c>
      <c r="B555" s="523">
        <v>7.8999999999997961E-3</v>
      </c>
      <c r="C555" s="523">
        <v>2.8883999999999999</v>
      </c>
      <c r="D555" s="50"/>
      <c r="E555" s="50"/>
      <c r="F555" s="50"/>
      <c r="G555" s="50"/>
      <c r="H555" s="50"/>
      <c r="I555" s="50"/>
      <c r="J555" s="22">
        <v>49.423344999999998</v>
      </c>
      <c r="K555" s="22">
        <v>52.249543000000003</v>
      </c>
      <c r="L555" s="22">
        <v>190.74678900000001</v>
      </c>
      <c r="M555" s="22">
        <v>162.477172</v>
      </c>
      <c r="N555" s="22">
        <v>42.946745999999997</v>
      </c>
      <c r="O555" s="22">
        <v>42.933754999999998</v>
      </c>
      <c r="P555" s="22">
        <v>3.487841</v>
      </c>
      <c r="Q555" s="22">
        <v>37.882171</v>
      </c>
      <c r="R555" s="22">
        <v>39.118775999999997</v>
      </c>
      <c r="S555" s="22">
        <v>41.073987000000002</v>
      </c>
      <c r="T555" s="22">
        <v>41.073987000000002</v>
      </c>
      <c r="U555" s="51" t="s">
        <v>219</v>
      </c>
      <c r="V555" s="55">
        <v>16.420000000000002</v>
      </c>
      <c r="W555" s="55">
        <v>510</v>
      </c>
      <c r="X555" s="49">
        <v>40330</v>
      </c>
    </row>
    <row r="556" spans="1:24" ht="12" customHeight="1" x14ac:dyDescent="0.2">
      <c r="A556" s="49">
        <v>40360</v>
      </c>
      <c r="B556" s="523">
        <v>8.599999999999941E-3</v>
      </c>
      <c r="C556" s="523">
        <v>2.8969999999999998</v>
      </c>
      <c r="D556" s="50"/>
      <c r="E556" s="50"/>
      <c r="F556" s="50"/>
      <c r="G556" s="50"/>
      <c r="H556" s="50"/>
      <c r="I556" s="50"/>
      <c r="J556" s="22">
        <v>49.443114000000001</v>
      </c>
      <c r="K556" s="22">
        <v>52.693663999999998</v>
      </c>
      <c r="L556" s="22">
        <v>192.825929</v>
      </c>
      <c r="M556" s="22">
        <v>163.029594</v>
      </c>
      <c r="N556" s="22">
        <v>42.899504</v>
      </c>
      <c r="O556" s="22">
        <v>42.933754999999998</v>
      </c>
      <c r="P556" s="22">
        <v>3.4944670000000002</v>
      </c>
      <c r="Q556" s="22">
        <v>37.904482999999999</v>
      </c>
      <c r="R556" s="22">
        <v>39.193100999999999</v>
      </c>
      <c r="S556" s="22">
        <v>41.098179000000002</v>
      </c>
      <c r="T556" s="22">
        <v>41.098179000000002</v>
      </c>
      <c r="U556" s="51" t="s">
        <v>219</v>
      </c>
      <c r="V556" s="55">
        <v>16.420000000000002</v>
      </c>
      <c r="W556" s="55">
        <v>510</v>
      </c>
      <c r="X556" s="49">
        <v>40360</v>
      </c>
    </row>
    <row r="557" spans="1:24" ht="12" customHeight="1" x14ac:dyDescent="0.2">
      <c r="A557" s="49">
        <v>40391</v>
      </c>
      <c r="B557" s="523">
        <v>8.90000000000013E-3</v>
      </c>
      <c r="C557" s="523">
        <v>2.9058999999999999</v>
      </c>
      <c r="D557" s="50"/>
      <c r="E557" s="50"/>
      <c r="F557" s="50"/>
      <c r="G557" s="50"/>
      <c r="H557" s="50"/>
      <c r="I557" s="50"/>
      <c r="J557" s="22">
        <v>49.527166999999999</v>
      </c>
      <c r="K557" s="22">
        <v>52.772703999999997</v>
      </c>
      <c r="L557" s="22">
        <v>193.674363</v>
      </c>
      <c r="M557" s="22">
        <v>163.38825900000001</v>
      </c>
      <c r="N557" s="22">
        <v>42.869473999999997</v>
      </c>
      <c r="O557" s="22">
        <v>42.938048000000002</v>
      </c>
      <c r="P557" s="22">
        <v>3.4913210000000001</v>
      </c>
      <c r="Q557" s="22">
        <v>37.948110999999997</v>
      </c>
      <c r="R557" s="22">
        <v>39.157826999999997</v>
      </c>
      <c r="S557" s="22">
        <v>41.145482999999999</v>
      </c>
      <c r="T557" s="22">
        <v>41.145482999999999</v>
      </c>
      <c r="U557" s="51" t="s">
        <v>219</v>
      </c>
      <c r="V557" s="55">
        <v>16.420000000000002</v>
      </c>
      <c r="W557" s="55">
        <v>510</v>
      </c>
      <c r="X557" s="49">
        <v>40391</v>
      </c>
    </row>
    <row r="558" spans="1:24" ht="12" customHeight="1" x14ac:dyDescent="0.2">
      <c r="A558" s="49">
        <v>40422</v>
      </c>
      <c r="B558" s="523">
        <v>8.5000000000001741E-3</v>
      </c>
      <c r="C558" s="523">
        <v>2.9144000000000001</v>
      </c>
      <c r="D558" s="50"/>
      <c r="E558" s="50"/>
      <c r="F558" s="50"/>
      <c r="G558" s="50"/>
      <c r="H558" s="50"/>
      <c r="I558" s="50"/>
      <c r="J558" s="22">
        <v>49.611362999999997</v>
      </c>
      <c r="K558" s="22">
        <v>53.179053000000003</v>
      </c>
      <c r="L558" s="22">
        <v>193.94550699999999</v>
      </c>
      <c r="M558" s="22">
        <v>165.185529</v>
      </c>
      <c r="N558" s="22">
        <v>42.839464999999997</v>
      </c>
      <c r="O558" s="22">
        <v>42.955222999999997</v>
      </c>
      <c r="P558" s="22">
        <v>3.4895749999999999</v>
      </c>
      <c r="Q558" s="22">
        <v>37.982605</v>
      </c>
      <c r="R558" s="22">
        <v>39.138247999999997</v>
      </c>
      <c r="S558" s="22">
        <v>41.182884000000001</v>
      </c>
      <c r="T558" s="22">
        <v>41.182884000000001</v>
      </c>
      <c r="U558" s="51" t="s">
        <v>219</v>
      </c>
      <c r="V558" s="55">
        <v>16.420000000000002</v>
      </c>
      <c r="W558" s="55">
        <v>510</v>
      </c>
      <c r="X558" s="49">
        <v>40422</v>
      </c>
    </row>
    <row r="559" spans="1:24" ht="12" customHeight="1" x14ac:dyDescent="0.2">
      <c r="A559" s="49">
        <v>40452</v>
      </c>
      <c r="B559" s="523">
        <v>8.099999999999774E-3</v>
      </c>
      <c r="C559" s="523">
        <v>2.9224999999999999</v>
      </c>
      <c r="D559" s="50"/>
      <c r="E559" s="50"/>
      <c r="F559" s="50"/>
      <c r="G559" s="50"/>
      <c r="H559" s="50"/>
      <c r="I559" s="50"/>
      <c r="J559" s="22">
        <v>49.874302999999998</v>
      </c>
      <c r="K559" s="22">
        <v>53.790612000000003</v>
      </c>
      <c r="L559" s="22">
        <v>194.35279199999999</v>
      </c>
      <c r="M559" s="22">
        <v>167.00256899999999</v>
      </c>
      <c r="N559" s="22">
        <v>43.070798000000003</v>
      </c>
      <c r="O559" s="22">
        <v>43.148521000000002</v>
      </c>
      <c r="P559" s="22">
        <v>3.5003920000000002</v>
      </c>
      <c r="Q559" s="22">
        <v>38.009267999999999</v>
      </c>
      <c r="R559" s="22">
        <v>39.259576000000003</v>
      </c>
      <c r="S559" s="22">
        <v>41.211793999999998</v>
      </c>
      <c r="T559" s="22">
        <v>41.211793999999998</v>
      </c>
      <c r="U559" s="51" t="s">
        <v>219</v>
      </c>
      <c r="V559" s="55">
        <v>16.420000000000002</v>
      </c>
      <c r="W559" s="55">
        <v>510</v>
      </c>
      <c r="X559" s="49">
        <v>40452</v>
      </c>
    </row>
    <row r="560" spans="1:24" ht="12" customHeight="1" x14ac:dyDescent="0.2">
      <c r="A560" s="49">
        <v>40483</v>
      </c>
      <c r="B560" s="523">
        <v>8.1000000000002181E-3</v>
      </c>
      <c r="C560" s="523">
        <v>2.9306000000000001</v>
      </c>
      <c r="D560" s="50"/>
      <c r="E560" s="50"/>
      <c r="F560" s="50"/>
      <c r="G560" s="50"/>
      <c r="H560" s="50"/>
      <c r="I560" s="50"/>
      <c r="J560" s="22">
        <v>50.392994999999999</v>
      </c>
      <c r="K560" s="22">
        <v>54.333897</v>
      </c>
      <c r="L560" s="22">
        <v>194.74149700000001</v>
      </c>
      <c r="M560" s="22">
        <v>168.72269499999999</v>
      </c>
      <c r="N560" s="22">
        <v>43.467049000000003</v>
      </c>
      <c r="O560" s="22">
        <v>43.472133999999997</v>
      </c>
      <c r="P560" s="22">
        <v>3.5220940000000001</v>
      </c>
      <c r="Q560" s="22">
        <v>38.027208000000002</v>
      </c>
      <c r="R560" s="22">
        <v>39.502985000000002</v>
      </c>
      <c r="S560" s="22">
        <v>41.231245000000001</v>
      </c>
      <c r="T560" s="22">
        <v>41.231245000000001</v>
      </c>
      <c r="U560" s="51" t="s">
        <v>219</v>
      </c>
      <c r="V560" s="55">
        <v>16.420000000000002</v>
      </c>
      <c r="W560" s="55">
        <v>510</v>
      </c>
      <c r="X560" s="49">
        <v>40483</v>
      </c>
    </row>
    <row r="561" spans="1:24" ht="12" customHeight="1" x14ac:dyDescent="0.2">
      <c r="A561" s="49">
        <v>40513</v>
      </c>
      <c r="B561" s="523">
        <v>9.300000000000086E-3</v>
      </c>
      <c r="C561" s="523">
        <v>2.9399000000000002</v>
      </c>
      <c r="D561" s="50"/>
      <c r="E561" s="50"/>
      <c r="F561" s="50"/>
      <c r="G561" s="50"/>
      <c r="H561" s="50"/>
      <c r="I561" s="50"/>
      <c r="J561" s="22">
        <v>50.755823999999997</v>
      </c>
      <c r="K561" s="22">
        <v>55.121738000000001</v>
      </c>
      <c r="L561" s="22">
        <v>195.46204</v>
      </c>
      <c r="M561" s="22">
        <v>171.38851299999999</v>
      </c>
      <c r="N561" s="22">
        <v>43.914758999999997</v>
      </c>
      <c r="O561" s="22">
        <v>43.832951999999999</v>
      </c>
      <c r="P561" s="22">
        <v>3.552384</v>
      </c>
      <c r="Q561" s="22">
        <v>38.039985000000001</v>
      </c>
      <c r="R561" s="22">
        <v>39.842709999999997</v>
      </c>
      <c r="S561" s="22">
        <v>41.245097999999999</v>
      </c>
      <c r="T561" s="22">
        <v>41.245097999999999</v>
      </c>
      <c r="U561" s="51" t="s">
        <v>219</v>
      </c>
      <c r="V561" s="55">
        <v>16.420000000000002</v>
      </c>
      <c r="W561" s="55">
        <v>510</v>
      </c>
      <c r="X561" s="49">
        <v>40513</v>
      </c>
    </row>
    <row r="562" spans="1:24" ht="12" customHeight="1" x14ac:dyDescent="0.2">
      <c r="A562" s="49">
        <v>40544</v>
      </c>
      <c r="B562" s="523">
        <v>8.599999999999941E-3</v>
      </c>
      <c r="C562" s="523">
        <v>2.9485000000000001</v>
      </c>
      <c r="D562" s="50"/>
      <c r="E562" s="50"/>
      <c r="F562" s="50"/>
      <c r="G562" s="50"/>
      <c r="H562" s="50"/>
      <c r="I562" s="50"/>
      <c r="J562" s="22">
        <v>51.029904999999999</v>
      </c>
      <c r="K562" s="22">
        <v>55.502077</v>
      </c>
      <c r="L562" s="22">
        <v>196.771635</v>
      </c>
      <c r="M562" s="22">
        <v>172.03978900000001</v>
      </c>
      <c r="N562" s="22">
        <v>44.178246999999999</v>
      </c>
      <c r="O562" s="22">
        <v>44.109099000000001</v>
      </c>
      <c r="P562" s="22">
        <v>3.5768949999999999</v>
      </c>
      <c r="Q562" s="22">
        <v>38.093468999999999</v>
      </c>
      <c r="R562" s="22">
        <v>40.117623999999999</v>
      </c>
      <c r="S562" s="22">
        <v>41.303088000000002</v>
      </c>
      <c r="T562" s="22">
        <v>41.303088000000002</v>
      </c>
      <c r="U562" s="51" t="s">
        <v>219</v>
      </c>
      <c r="V562" s="55">
        <v>17.45</v>
      </c>
      <c r="W562" s="55">
        <v>540</v>
      </c>
      <c r="X562" s="49">
        <v>40544</v>
      </c>
    </row>
    <row r="563" spans="1:24" ht="12" customHeight="1" x14ac:dyDescent="0.2">
      <c r="A563" s="49">
        <v>40575</v>
      </c>
      <c r="B563" s="523">
        <v>8.3999999999999631E-3</v>
      </c>
      <c r="C563" s="523">
        <v>2.9569000000000001</v>
      </c>
      <c r="D563" s="50"/>
      <c r="E563" s="50"/>
      <c r="F563" s="50"/>
      <c r="G563" s="50"/>
      <c r="H563" s="50"/>
      <c r="I563" s="50"/>
      <c r="J563" s="22">
        <v>51.616748000000001</v>
      </c>
      <c r="K563" s="22">
        <v>55.940542999999998</v>
      </c>
      <c r="L563" s="22">
        <v>197.57839799999999</v>
      </c>
      <c r="M563" s="22">
        <v>173.72577799999999</v>
      </c>
      <c r="N563" s="22">
        <v>44.593522</v>
      </c>
      <c r="O563" s="22">
        <v>44.475203999999998</v>
      </c>
      <c r="P563" s="22">
        <v>3.604079</v>
      </c>
      <c r="Q563" s="22">
        <v>38.120705000000001</v>
      </c>
      <c r="R563" s="22">
        <v>40.422516999999999</v>
      </c>
      <c r="S563" s="22">
        <v>41.332619000000001</v>
      </c>
      <c r="T563" s="22">
        <v>41.332619000000001</v>
      </c>
      <c r="U563" s="51" t="s">
        <v>219</v>
      </c>
      <c r="V563" s="55">
        <v>17.45</v>
      </c>
      <c r="W563" s="55">
        <v>540</v>
      </c>
      <c r="X563" s="49">
        <v>40575</v>
      </c>
    </row>
    <row r="564" spans="1:24" ht="12" customHeight="1" x14ac:dyDescent="0.2">
      <c r="A564" s="49">
        <v>40603</v>
      </c>
      <c r="B564" s="523">
        <v>9.1999999999998749E-3</v>
      </c>
      <c r="C564" s="523">
        <v>2.9661</v>
      </c>
      <c r="D564" s="50"/>
      <c r="E564" s="50"/>
      <c r="F564" s="50"/>
      <c r="G564" s="50"/>
      <c r="H564" s="50"/>
      <c r="I564" s="50"/>
      <c r="J564" s="22">
        <v>51.926448000000001</v>
      </c>
      <c r="K564" s="22">
        <v>56.499948000000003</v>
      </c>
      <c r="L564" s="22">
        <v>198.13161700000001</v>
      </c>
      <c r="M564" s="22">
        <v>175.39354499999999</v>
      </c>
      <c r="N564" s="22">
        <v>44.834327000000002</v>
      </c>
      <c r="O564" s="22">
        <v>44.831004999999998</v>
      </c>
      <c r="P564" s="22">
        <v>3.6390380000000002</v>
      </c>
      <c r="Q564" s="22">
        <v>38.140680000000003</v>
      </c>
      <c r="R564" s="22">
        <v>40.814615000000003</v>
      </c>
      <c r="S564" s="22">
        <v>41.354277000000003</v>
      </c>
      <c r="T564" s="22">
        <v>41.354277000000003</v>
      </c>
      <c r="U564" s="51" t="s">
        <v>219</v>
      </c>
      <c r="V564" s="55">
        <v>17.45</v>
      </c>
      <c r="W564" s="55">
        <v>545</v>
      </c>
      <c r="X564" s="49">
        <v>40603</v>
      </c>
    </row>
    <row r="565" spans="1:24" ht="12" customHeight="1" x14ac:dyDescent="0.2">
      <c r="A565" s="49">
        <v>40634</v>
      </c>
      <c r="B565" s="523">
        <v>8.3999999999999631E-3</v>
      </c>
      <c r="C565" s="523">
        <v>2.9744999999999999</v>
      </c>
      <c r="D565" s="50"/>
      <c r="E565" s="50"/>
      <c r="F565" s="50"/>
      <c r="G565" s="50"/>
      <c r="H565" s="50"/>
      <c r="I565" s="50"/>
      <c r="J565" s="22">
        <v>52.10819</v>
      </c>
      <c r="K565" s="22">
        <v>56.850247000000003</v>
      </c>
      <c r="L565" s="22">
        <v>198.98358200000001</v>
      </c>
      <c r="M565" s="22">
        <v>176.46344500000001</v>
      </c>
      <c r="N565" s="22">
        <v>45.130232999999997</v>
      </c>
      <c r="O565" s="22">
        <v>45.185169000000002</v>
      </c>
      <c r="P565" s="22">
        <v>3.6608719999999999</v>
      </c>
      <c r="Q565" s="22">
        <v>38.186906</v>
      </c>
      <c r="R565" s="22">
        <v>41.059502000000002</v>
      </c>
      <c r="S565" s="22">
        <v>41.404398</v>
      </c>
      <c r="T565" s="22">
        <v>41.404398</v>
      </c>
      <c r="U565" s="51" t="s">
        <v>219</v>
      </c>
      <c r="V565" s="55">
        <v>17.45</v>
      </c>
      <c r="W565" s="55">
        <v>545</v>
      </c>
      <c r="X565" s="49">
        <v>40634</v>
      </c>
    </row>
    <row r="566" spans="1:24" ht="12" customHeight="1" x14ac:dyDescent="0.2">
      <c r="A566" s="49">
        <v>40664</v>
      </c>
      <c r="B566" s="523">
        <v>9.9000000000000199E-3</v>
      </c>
      <c r="C566" s="523">
        <v>2.9843999999999999</v>
      </c>
      <c r="D566" s="50"/>
      <c r="E566" s="50"/>
      <c r="F566" s="50"/>
      <c r="G566" s="50"/>
      <c r="H566" s="50"/>
      <c r="I566" s="50"/>
      <c r="J566" s="22">
        <v>52.472946999999998</v>
      </c>
      <c r="K566" s="22">
        <v>57.106073000000002</v>
      </c>
      <c r="L566" s="22">
        <v>201.09280699999999</v>
      </c>
      <c r="M566" s="22">
        <v>177.34576200000001</v>
      </c>
      <c r="N566" s="22">
        <v>45.455170000000003</v>
      </c>
      <c r="O566" s="22">
        <v>45.533093999999998</v>
      </c>
      <c r="P566" s="22">
        <v>3.68906</v>
      </c>
      <c r="Q566" s="22">
        <v>38.200996000000004</v>
      </c>
      <c r="R566" s="22">
        <v>41.375660000000003</v>
      </c>
      <c r="S566" s="22">
        <v>41.419676000000003</v>
      </c>
      <c r="T566" s="22">
        <v>41.419676000000003</v>
      </c>
      <c r="U566" s="51" t="s">
        <v>219</v>
      </c>
      <c r="V566" s="55">
        <v>17.45</v>
      </c>
      <c r="W566" s="55">
        <v>545</v>
      </c>
      <c r="X566" s="49">
        <v>40664</v>
      </c>
    </row>
    <row r="567" spans="1:24" ht="12" customHeight="1" x14ac:dyDescent="0.2">
      <c r="A567" s="49">
        <v>40695</v>
      </c>
      <c r="B567" s="523">
        <v>9.600000000000275E-3</v>
      </c>
      <c r="C567" s="523">
        <v>2.9940000000000002</v>
      </c>
      <c r="D567" s="50"/>
      <c r="E567" s="50"/>
      <c r="F567" s="50"/>
      <c r="G567" s="50"/>
      <c r="H567" s="50"/>
      <c r="I567" s="50"/>
      <c r="J567" s="22">
        <v>52.635612999999999</v>
      </c>
      <c r="K567" s="22">
        <v>57.351629000000003</v>
      </c>
      <c r="L567" s="22">
        <v>207.00493499999999</v>
      </c>
      <c r="M567" s="22">
        <v>177.363496</v>
      </c>
      <c r="N567" s="22">
        <v>45.714264</v>
      </c>
      <c r="O567" s="22">
        <v>45.747098999999999</v>
      </c>
      <c r="P567" s="22">
        <v>3.7148829999999999</v>
      </c>
      <c r="Q567" s="22">
        <v>38.260970999999998</v>
      </c>
      <c r="R567" s="22">
        <v>41.665289000000001</v>
      </c>
      <c r="S567" s="22">
        <v>41.484704000000001</v>
      </c>
      <c r="T567" s="22">
        <v>41.484704000000001</v>
      </c>
      <c r="U567" s="51" t="s">
        <v>219</v>
      </c>
      <c r="V567" s="55">
        <v>17.45</v>
      </c>
      <c r="W567" s="55">
        <v>545</v>
      </c>
      <c r="X567" s="49">
        <v>40695</v>
      </c>
    </row>
    <row r="568" spans="1:24" ht="12" customHeight="1" x14ac:dyDescent="0.2">
      <c r="A568" s="49">
        <v>40725</v>
      </c>
      <c r="B568" s="523">
        <v>9.6999999999995978E-3</v>
      </c>
      <c r="C568" s="523">
        <v>3.0036999999999998</v>
      </c>
      <c r="D568" s="50"/>
      <c r="E568" s="50"/>
      <c r="F568" s="50"/>
      <c r="G568" s="50"/>
      <c r="H568" s="50"/>
      <c r="I568" s="50"/>
      <c r="J568" s="22">
        <v>52.640875999999999</v>
      </c>
      <c r="K568" s="22">
        <v>57.248396</v>
      </c>
      <c r="L568" s="22">
        <v>207.77085299999999</v>
      </c>
      <c r="M568" s="22">
        <v>177.13292300000001</v>
      </c>
      <c r="N568" s="22">
        <v>45.814835000000002</v>
      </c>
      <c r="O568" s="22">
        <v>45.815719000000001</v>
      </c>
      <c r="P568" s="22">
        <v>3.723427</v>
      </c>
      <c r="Q568" s="22">
        <v>38.303592999999999</v>
      </c>
      <c r="R568" s="22">
        <v>41.761119000000001</v>
      </c>
      <c r="S568" s="22">
        <v>41.530917000000002</v>
      </c>
      <c r="T568" s="22">
        <v>41.530917000000002</v>
      </c>
      <c r="U568" s="51" t="s">
        <v>219</v>
      </c>
      <c r="V568" s="55">
        <v>17.45</v>
      </c>
      <c r="W568" s="55">
        <v>545</v>
      </c>
      <c r="X568" s="49">
        <v>40725</v>
      </c>
    </row>
    <row r="569" spans="1:24" ht="12" customHeight="1" x14ac:dyDescent="0.2">
      <c r="A569" s="49">
        <v>40756</v>
      </c>
      <c r="B569" s="523">
        <v>1.0700000000000376E-2</v>
      </c>
      <c r="C569" s="523">
        <v>3.0144000000000002</v>
      </c>
      <c r="D569" s="50"/>
      <c r="E569" s="50"/>
      <c r="F569" s="50"/>
      <c r="G569" s="50"/>
      <c r="H569" s="50"/>
      <c r="I569" s="50"/>
      <c r="J569" s="22">
        <v>52.798797999999998</v>
      </c>
      <c r="K569" s="22">
        <v>57.179696999999997</v>
      </c>
      <c r="L569" s="22">
        <v>208.70582099999999</v>
      </c>
      <c r="M569" s="22">
        <v>177.04435599999999</v>
      </c>
      <c r="N569" s="22">
        <v>45.814835000000002</v>
      </c>
      <c r="O569" s="22">
        <v>45.889023999999999</v>
      </c>
      <c r="P569" s="22">
        <v>3.72715</v>
      </c>
      <c r="Q569" s="22">
        <v>38.350667999999999</v>
      </c>
      <c r="R569" s="22">
        <v>41.802880000000002</v>
      </c>
      <c r="S569" s="22">
        <v>41.581958</v>
      </c>
      <c r="T569" s="22">
        <v>41.581958</v>
      </c>
      <c r="U569" s="51" t="s">
        <v>219</v>
      </c>
      <c r="V569" s="55">
        <v>17.45</v>
      </c>
      <c r="W569" s="55">
        <v>545</v>
      </c>
      <c r="X569" s="49">
        <v>40756</v>
      </c>
    </row>
    <row r="570" spans="1:24" ht="12" customHeight="1" x14ac:dyDescent="0.2">
      <c r="A570" s="49">
        <v>40787</v>
      </c>
      <c r="B570" s="523">
        <v>9.3999999999998529E-3</v>
      </c>
      <c r="C570" s="523">
        <v>3.0238</v>
      </c>
      <c r="D570" s="50"/>
      <c r="E570" s="50"/>
      <c r="F570" s="50"/>
      <c r="G570" s="50"/>
      <c r="H570" s="50"/>
      <c r="I570" s="50"/>
      <c r="J570" s="22">
        <v>53.004713000000002</v>
      </c>
      <c r="K570" s="22">
        <v>57.431286999999998</v>
      </c>
      <c r="L570" s="22">
        <v>208.977138</v>
      </c>
      <c r="M570" s="22">
        <v>178.124326</v>
      </c>
      <c r="N570" s="22">
        <v>46.007257000000003</v>
      </c>
      <c r="O570" s="22">
        <v>46.058813000000001</v>
      </c>
      <c r="P570" s="22">
        <v>3.7372130000000001</v>
      </c>
      <c r="Q570" s="22">
        <v>38.430283000000003</v>
      </c>
      <c r="R570" s="22">
        <v>41.915747000000003</v>
      </c>
      <c r="S570" s="22">
        <v>41.668281999999998</v>
      </c>
      <c r="T570" s="22">
        <v>41.668281999999998</v>
      </c>
      <c r="U570" s="51" t="s">
        <v>219</v>
      </c>
      <c r="V570" s="55">
        <v>17.45</v>
      </c>
      <c r="W570" s="55">
        <v>545</v>
      </c>
      <c r="X570" s="49">
        <v>40787</v>
      </c>
    </row>
    <row r="571" spans="1:24" ht="12" customHeight="1" x14ac:dyDescent="0.2">
      <c r="A571" s="49">
        <v>40817</v>
      </c>
      <c r="B571" s="523">
        <v>8.799999999999919E-3</v>
      </c>
      <c r="C571" s="523">
        <v>3.0326</v>
      </c>
      <c r="D571" s="50"/>
      <c r="E571" s="50"/>
      <c r="F571" s="50"/>
      <c r="G571" s="50"/>
      <c r="H571" s="50"/>
      <c r="I571" s="50"/>
      <c r="J571" s="22">
        <v>53.137224000000003</v>
      </c>
      <c r="K571" s="22">
        <v>57.804589999999997</v>
      </c>
      <c r="L571" s="22">
        <v>209.26970499999999</v>
      </c>
      <c r="M571" s="22">
        <v>179.46025800000001</v>
      </c>
      <c r="N571" s="22">
        <v>46.214289000000001</v>
      </c>
      <c r="O571" s="22">
        <v>46.302923999999997</v>
      </c>
      <c r="P571" s="22">
        <v>3.7570199999999998</v>
      </c>
      <c r="Q571" s="22">
        <v>38.468828000000002</v>
      </c>
      <c r="R571" s="22">
        <v>42.137900000000002</v>
      </c>
      <c r="S571" s="22">
        <v>41.710075000000003</v>
      </c>
      <c r="T571" s="22">
        <v>41.710075000000003</v>
      </c>
      <c r="U571" s="51" t="s">
        <v>219</v>
      </c>
      <c r="V571" s="55">
        <v>17.45</v>
      </c>
      <c r="W571" s="55">
        <v>545</v>
      </c>
      <c r="X571" s="49">
        <v>40817</v>
      </c>
    </row>
    <row r="572" spans="1:24" ht="12" customHeight="1" x14ac:dyDescent="0.2">
      <c r="A572" s="49">
        <v>40848</v>
      </c>
      <c r="B572" s="523">
        <v>8.599999999999941E-3</v>
      </c>
      <c r="C572" s="523">
        <v>3.0411999999999999</v>
      </c>
      <c r="D572" s="50"/>
      <c r="E572" s="50"/>
      <c r="F572" s="50"/>
      <c r="G572" s="50"/>
      <c r="H572" s="50"/>
      <c r="I572" s="50"/>
      <c r="J572" s="22">
        <v>53.344459000000001</v>
      </c>
      <c r="K572" s="22">
        <v>58.110954</v>
      </c>
      <c r="L572" s="22">
        <v>209.751025</v>
      </c>
      <c r="M572" s="22">
        <v>180.178099</v>
      </c>
      <c r="N572" s="22">
        <v>46.362174000000003</v>
      </c>
      <c r="O572" s="22">
        <v>46.502026000000001</v>
      </c>
      <c r="P572" s="22">
        <v>3.772799</v>
      </c>
      <c r="Q572" s="22">
        <v>38.492677999999998</v>
      </c>
      <c r="R572" s="22">
        <v>42.314878999999998</v>
      </c>
      <c r="S572" s="22">
        <v>41.735934999999998</v>
      </c>
      <c r="T572" s="22">
        <v>41.735934999999998</v>
      </c>
      <c r="U572" s="51" t="s">
        <v>219</v>
      </c>
      <c r="V572" s="55">
        <v>17.45</v>
      </c>
      <c r="W572" s="55">
        <v>545</v>
      </c>
      <c r="X572" s="49">
        <v>40848</v>
      </c>
    </row>
    <row r="573" spans="1:24" ht="12" customHeight="1" x14ac:dyDescent="0.2">
      <c r="A573" s="49">
        <v>40878</v>
      </c>
      <c r="B573" s="523">
        <v>9.100000000000108E-3</v>
      </c>
      <c r="C573" s="523">
        <v>3.0503</v>
      </c>
      <c r="D573" s="50"/>
      <c r="E573" s="50"/>
      <c r="F573" s="50"/>
      <c r="G573" s="50"/>
      <c r="H573" s="50"/>
      <c r="I573" s="50"/>
      <c r="J573" s="22">
        <v>53.664524999999998</v>
      </c>
      <c r="K573" s="22">
        <v>58.401508</v>
      </c>
      <c r="L573" s="22">
        <v>211.26123200000001</v>
      </c>
      <c r="M573" s="22">
        <v>180.95286400000001</v>
      </c>
      <c r="N573" s="22">
        <v>46.626438</v>
      </c>
      <c r="O573" s="22">
        <v>46.743836000000002</v>
      </c>
      <c r="P573" s="22">
        <v>3.7901530000000001</v>
      </c>
      <c r="Q573" s="22">
        <v>38.517505</v>
      </c>
      <c r="R573" s="22">
        <v>42.509526999999999</v>
      </c>
      <c r="S573" s="22">
        <v>41.762853999999997</v>
      </c>
      <c r="T573" s="22">
        <v>41.762853999999997</v>
      </c>
      <c r="U573" s="51" t="s">
        <v>219</v>
      </c>
      <c r="V573" s="55">
        <v>17.45</v>
      </c>
      <c r="W573" s="55">
        <v>545</v>
      </c>
      <c r="X573" s="49">
        <v>40878</v>
      </c>
    </row>
    <row r="574" spans="1:24" ht="12" customHeight="1" x14ac:dyDescent="0.2">
      <c r="A574" s="49">
        <v>40909</v>
      </c>
      <c r="B574" s="523">
        <v>8.90000000000013E-3</v>
      </c>
      <c r="C574" s="523">
        <v>3.0592000000000001</v>
      </c>
      <c r="D574" s="50"/>
      <c r="E574" s="50"/>
      <c r="F574" s="50"/>
      <c r="G574" s="50"/>
      <c r="H574" s="50"/>
      <c r="I574" s="50"/>
      <c r="J574" s="22">
        <v>53.991878</v>
      </c>
      <c r="K574" s="22">
        <v>58.331426</v>
      </c>
      <c r="L574" s="22">
        <v>211.493619</v>
      </c>
      <c r="M574" s="22">
        <v>180.66333900000001</v>
      </c>
      <c r="N574" s="22">
        <v>46.864232000000001</v>
      </c>
      <c r="O574" s="22">
        <v>46.977555000000002</v>
      </c>
      <c r="P574" s="22">
        <v>3.8113769999999998</v>
      </c>
      <c r="Q574" s="22">
        <v>38.553595000000001</v>
      </c>
      <c r="R574" s="22">
        <v>42.747579999999999</v>
      </c>
      <c r="S574" s="22">
        <v>41.801985000000002</v>
      </c>
      <c r="T574" s="22">
        <v>41.801985000000002</v>
      </c>
      <c r="U574" s="51" t="s">
        <v>219</v>
      </c>
      <c r="V574" s="55">
        <v>18.440000000000001</v>
      </c>
      <c r="W574" s="55">
        <v>622</v>
      </c>
      <c r="X574" s="49">
        <v>40909</v>
      </c>
    </row>
    <row r="575" spans="1:24" ht="12" customHeight="1" x14ac:dyDescent="0.2">
      <c r="A575" s="49">
        <v>40940</v>
      </c>
      <c r="B575" s="523">
        <v>7.4999999999998401E-3</v>
      </c>
      <c r="C575" s="523">
        <v>3.0667</v>
      </c>
      <c r="D575" s="50"/>
      <c r="E575" s="50"/>
      <c r="F575" s="50"/>
      <c r="G575" s="50"/>
      <c r="H575" s="50"/>
      <c r="I575" s="50"/>
      <c r="J575" s="22">
        <v>54.348224000000002</v>
      </c>
      <c r="K575" s="22">
        <v>58.477254000000002</v>
      </c>
      <c r="L575" s="22">
        <v>213.375912</v>
      </c>
      <c r="M575" s="22">
        <v>181.20532900000001</v>
      </c>
      <c r="N575" s="22">
        <v>47.103239000000002</v>
      </c>
      <c r="O575" s="549">
        <v>47.240628999999998</v>
      </c>
      <c r="P575" s="549">
        <v>3.8361499999999999</v>
      </c>
      <c r="Q575" s="22">
        <v>38.586905000000002</v>
      </c>
      <c r="R575" s="549">
        <v>43.025438999999999</v>
      </c>
      <c r="S575" s="22">
        <v>41.838101000000002</v>
      </c>
      <c r="T575" s="22">
        <v>41.838101000000002</v>
      </c>
      <c r="U575" s="51" t="s">
        <v>219</v>
      </c>
      <c r="V575" s="55">
        <v>18.440000000000001</v>
      </c>
      <c r="W575" s="55">
        <v>622</v>
      </c>
      <c r="X575" s="49">
        <v>40940</v>
      </c>
    </row>
    <row r="576" spans="1:24" ht="12" customHeight="1" x14ac:dyDescent="0.2">
      <c r="A576" s="49">
        <v>40969</v>
      </c>
      <c r="B576" s="523">
        <v>8.1999999999999851E-3</v>
      </c>
      <c r="C576" s="523">
        <v>3.0749</v>
      </c>
      <c r="D576" s="50"/>
      <c r="E576" s="50"/>
      <c r="F576" s="50"/>
      <c r="G576" s="50"/>
      <c r="H576" s="50"/>
      <c r="I576" s="50"/>
      <c r="J576" s="22">
        <v>54.310180000000003</v>
      </c>
      <c r="K576" s="22">
        <v>58.442166999999998</v>
      </c>
      <c r="L576" s="22">
        <v>214.01603900000001</v>
      </c>
      <c r="M576" s="22">
        <v>181.33217200000001</v>
      </c>
      <c r="N576" s="22">
        <v>47.286940999999999</v>
      </c>
      <c r="O576" s="549">
        <v>47.453211000000003</v>
      </c>
      <c r="P576" s="549">
        <v>3.856481</v>
      </c>
      <c r="Q576" s="22">
        <v>38.586905000000002</v>
      </c>
      <c r="R576" s="549">
        <v>43.253473</v>
      </c>
      <c r="S576" s="22">
        <v>41.838101000000002</v>
      </c>
      <c r="T576" s="22">
        <v>41.838101000000002</v>
      </c>
      <c r="U576" s="51" t="s">
        <v>219</v>
      </c>
      <c r="V576" s="55">
        <v>18.440000000000001</v>
      </c>
      <c r="W576" s="55">
        <v>622</v>
      </c>
      <c r="X576" s="49">
        <v>40969</v>
      </c>
    </row>
    <row r="577" spans="1:24" ht="12" customHeight="1" x14ac:dyDescent="0.2">
      <c r="A577" s="49">
        <v>41000</v>
      </c>
      <c r="B577" s="523">
        <v>7.0999999999998842E-3</v>
      </c>
      <c r="C577" s="523">
        <v>3.0819999999999999</v>
      </c>
      <c r="D577" s="50"/>
      <c r="E577" s="50"/>
      <c r="F577" s="50"/>
      <c r="G577" s="50"/>
      <c r="H577" s="50"/>
      <c r="I577" s="50"/>
      <c r="J577" s="22">
        <v>54.391644999999997</v>
      </c>
      <c r="K577" s="22">
        <v>58.693468000000003</v>
      </c>
      <c r="L577" s="22">
        <v>215.10751999999999</v>
      </c>
      <c r="M577" s="22">
        <v>182.347632</v>
      </c>
      <c r="N577" s="22">
        <v>47.372056999999998</v>
      </c>
      <c r="O577" s="549">
        <v>47.552861999999998</v>
      </c>
      <c r="P577" s="549">
        <v>3.8661219999999998</v>
      </c>
      <c r="Q577" s="22">
        <v>38.628115000000001</v>
      </c>
      <c r="R577" s="549">
        <v>43.361606000000002</v>
      </c>
      <c r="S577" s="22">
        <v>41.882784000000001</v>
      </c>
      <c r="T577" s="22">
        <v>41.882784000000001</v>
      </c>
      <c r="U577" s="51" t="s">
        <v>219</v>
      </c>
      <c r="V577" s="55">
        <v>18.440000000000001</v>
      </c>
      <c r="W577" s="55">
        <v>622</v>
      </c>
      <c r="X577" s="49">
        <v>41000</v>
      </c>
    </row>
    <row r="578" spans="1:24" ht="12" customHeight="1" x14ac:dyDescent="0.2">
      <c r="A578" s="49">
        <v>41030</v>
      </c>
      <c r="B578" s="523">
        <v>7.4000000000000732E-3</v>
      </c>
      <c r="C578" s="523">
        <v>3.0893999999999999</v>
      </c>
      <c r="D578" s="50"/>
      <c r="E578" s="50"/>
      <c r="F578" s="50"/>
      <c r="G578" s="50"/>
      <c r="H578" s="50"/>
      <c r="I578" s="50"/>
      <c r="J578" s="22">
        <v>54.647284999999997</v>
      </c>
      <c r="K578" s="22">
        <v>59.192362000000003</v>
      </c>
      <c r="L578" s="22">
        <v>216.72082599999999</v>
      </c>
      <c r="M578" s="22">
        <v>184.20757699999999</v>
      </c>
      <c r="N578" s="22">
        <v>47.675238</v>
      </c>
      <c r="O578" s="549">
        <v>47.857199999999999</v>
      </c>
      <c r="P578" s="549">
        <v>3.882746</v>
      </c>
      <c r="Q578" s="22">
        <v>38.636882999999997</v>
      </c>
      <c r="R578" s="549">
        <v>43.54806</v>
      </c>
      <c r="S578" s="22">
        <v>41.892291</v>
      </c>
      <c r="T578" s="22">
        <v>41.892291</v>
      </c>
      <c r="U578" s="51" t="s">
        <v>219</v>
      </c>
      <c r="V578" s="55">
        <v>18.440000000000001</v>
      </c>
      <c r="W578" s="55">
        <v>622</v>
      </c>
      <c r="X578" s="49">
        <v>41030</v>
      </c>
    </row>
    <row r="579" spans="1:24" ht="12" customHeight="1" x14ac:dyDescent="0.2">
      <c r="A579" s="49">
        <v>41061</v>
      </c>
      <c r="B579" s="523">
        <v>6.4000000000001833E-3</v>
      </c>
      <c r="C579" s="523">
        <v>3.0958000000000001</v>
      </c>
      <c r="D579" s="50"/>
      <c r="E579" s="50"/>
      <c r="F579" s="50"/>
      <c r="G579" s="50"/>
      <c r="H579" s="50"/>
      <c r="I579" s="50"/>
      <c r="J579" s="22">
        <v>54.838549999999998</v>
      </c>
      <c r="K579" s="22">
        <v>59.796123999999999</v>
      </c>
      <c r="L579" s="22">
        <v>220.795177</v>
      </c>
      <c r="M579" s="22">
        <v>185.88386499999999</v>
      </c>
      <c r="N579" s="22">
        <v>47.937451000000003</v>
      </c>
      <c r="O579" s="22">
        <v>48.029485000000001</v>
      </c>
      <c r="P579" s="22">
        <v>3.9025479999999999</v>
      </c>
      <c r="Q579" s="22">
        <v>38.654964999999997</v>
      </c>
      <c r="R579" s="22">
        <v>43.770155000000003</v>
      </c>
      <c r="S579" s="22">
        <v>41.911895999999999</v>
      </c>
      <c r="T579" s="22">
        <v>41.911895999999999</v>
      </c>
      <c r="U579" s="51" t="s">
        <v>219</v>
      </c>
      <c r="V579" s="55">
        <v>18.440000000000001</v>
      </c>
      <c r="W579" s="55">
        <v>622</v>
      </c>
      <c r="X579" s="49">
        <v>41061</v>
      </c>
    </row>
    <row r="580" spans="1:24" ht="12" customHeight="1" x14ac:dyDescent="0.2">
      <c r="A580" s="49">
        <v>41091</v>
      </c>
      <c r="B580" s="523">
        <v>6.7999999999996952E-3</v>
      </c>
      <c r="C580" s="523">
        <v>3.1025999999999998</v>
      </c>
      <c r="D580" s="50"/>
      <c r="E580" s="50"/>
      <c r="F580" s="50"/>
      <c r="G580" s="50"/>
      <c r="H580" s="50"/>
      <c r="I580" s="50"/>
      <c r="J580" s="22">
        <v>54.964677999999999</v>
      </c>
      <c r="K580" s="22">
        <v>60.190778000000002</v>
      </c>
      <c r="L580" s="22">
        <v>222.406981</v>
      </c>
      <c r="M580" s="22">
        <v>187.16646299999999</v>
      </c>
      <c r="N580" s="22">
        <v>48.062088000000003</v>
      </c>
      <c r="O580" s="22">
        <v>48.067908000000003</v>
      </c>
      <c r="P580" s="22">
        <v>3.9095719999999998</v>
      </c>
      <c r="Q580" s="22">
        <v>38.654964999999997</v>
      </c>
      <c r="R580" s="22">
        <v>43.848941000000003</v>
      </c>
      <c r="S580" s="22">
        <v>41.911895999999999</v>
      </c>
      <c r="T580" s="22">
        <v>41.911895999999999</v>
      </c>
      <c r="U580" s="51" t="s">
        <v>219</v>
      </c>
      <c r="V580" s="55">
        <v>18.440000000000001</v>
      </c>
      <c r="W580" s="55">
        <v>622</v>
      </c>
      <c r="X580" s="49">
        <v>41091</v>
      </c>
    </row>
    <row r="581" spans="1:24" ht="12" customHeight="1" x14ac:dyDescent="0.2">
      <c r="A581" s="49">
        <v>41122</v>
      </c>
      <c r="B581" s="523">
        <v>6.9000000000003503E-3</v>
      </c>
      <c r="C581" s="523">
        <v>3.1095000000000002</v>
      </c>
      <c r="D581" s="50"/>
      <c r="E581" s="50"/>
      <c r="F581" s="50"/>
      <c r="G581" s="50"/>
      <c r="H581" s="50"/>
      <c r="I581" s="50"/>
      <c r="J581" s="22">
        <v>55.036132000000002</v>
      </c>
      <c r="K581" s="22">
        <v>60.997334000000002</v>
      </c>
      <c r="L581" s="22">
        <v>223.89710700000001</v>
      </c>
      <c r="M581" s="22">
        <v>190.011393</v>
      </c>
      <c r="N581" s="22">
        <v>48.268754000000001</v>
      </c>
      <c r="O581" s="22">
        <v>48.2746</v>
      </c>
      <c r="P581" s="22">
        <v>3.9224730000000001</v>
      </c>
      <c r="Q581" s="22">
        <v>38.660530999999999</v>
      </c>
      <c r="R581" s="22">
        <v>43.993642000000001</v>
      </c>
      <c r="S581" s="22">
        <v>41.917931000000003</v>
      </c>
      <c r="T581" s="22">
        <v>41.917931000000003</v>
      </c>
      <c r="U581" s="51" t="s">
        <v>219</v>
      </c>
      <c r="V581" s="55">
        <v>18.440000000000001</v>
      </c>
      <c r="W581" s="55">
        <v>622</v>
      </c>
      <c r="X581" s="49">
        <v>41122</v>
      </c>
    </row>
    <row r="582" spans="1:24" ht="12" customHeight="1" x14ac:dyDescent="0.2">
      <c r="A582" s="49">
        <v>41153</v>
      </c>
      <c r="B582" s="523">
        <v>5.3999999999998494E-3</v>
      </c>
      <c r="C582" s="523">
        <v>3.1149</v>
      </c>
      <c r="D582" s="50"/>
      <c r="E582" s="50"/>
      <c r="F582" s="50"/>
      <c r="G582" s="50"/>
      <c r="H582" s="50"/>
      <c r="I582" s="50"/>
      <c r="J582" s="22">
        <v>55.184728999999997</v>
      </c>
      <c r="K582" s="22">
        <v>61.869594999999997</v>
      </c>
      <c r="L582" s="22">
        <v>224.47923900000001</v>
      </c>
      <c r="M582" s="22">
        <v>192.46253899999999</v>
      </c>
      <c r="N582" s="22">
        <v>48.485962999999998</v>
      </c>
      <c r="O582" s="22">
        <v>48.472524999999997</v>
      </c>
      <c r="P582" s="22">
        <v>3.93777</v>
      </c>
      <c r="Q582" s="22">
        <v>38.665286000000002</v>
      </c>
      <c r="R582" s="22">
        <v>44.165216999999998</v>
      </c>
      <c r="S582" s="22">
        <v>41.923085999999998</v>
      </c>
      <c r="T582" s="22">
        <v>41.923085999999998</v>
      </c>
      <c r="U582" s="51" t="s">
        <v>219</v>
      </c>
      <c r="V582" s="55">
        <v>18.440000000000001</v>
      </c>
      <c r="W582" s="55">
        <v>622</v>
      </c>
      <c r="X582" s="49">
        <v>41153</v>
      </c>
    </row>
    <row r="583" spans="1:24" ht="12" customHeight="1" x14ac:dyDescent="0.2">
      <c r="A583" s="49">
        <v>41183</v>
      </c>
      <c r="B583" s="523">
        <v>6.0999999999999943E-3</v>
      </c>
      <c r="C583" s="523">
        <v>3.121</v>
      </c>
      <c r="D583" s="50"/>
      <c r="E583" s="50"/>
      <c r="F583" s="50"/>
      <c r="G583" s="50"/>
      <c r="H583" s="50"/>
      <c r="I583" s="50"/>
      <c r="J583" s="22">
        <v>55.488244999999999</v>
      </c>
      <c r="K583" s="22">
        <v>62.469729999999998</v>
      </c>
      <c r="L583" s="22">
        <v>224.97309300000001</v>
      </c>
      <c r="M583" s="22">
        <v>194.15620899999999</v>
      </c>
      <c r="N583" s="22">
        <v>48.791423999999999</v>
      </c>
      <c r="O583" s="22">
        <v>48.748818</v>
      </c>
      <c r="P583" s="22">
        <v>3.956671</v>
      </c>
      <c r="Q583" s="22">
        <v>38.665286000000002</v>
      </c>
      <c r="R583" s="22">
        <v>44.377209999999998</v>
      </c>
      <c r="S583" s="22">
        <v>41.923085999999998</v>
      </c>
      <c r="T583" s="22">
        <v>41.923085999999998</v>
      </c>
      <c r="U583" s="51" t="s">
        <v>219</v>
      </c>
      <c r="V583" s="55">
        <v>18.440000000000001</v>
      </c>
      <c r="W583" s="55">
        <v>622</v>
      </c>
      <c r="X583" s="49">
        <v>41183</v>
      </c>
    </row>
    <row r="584" spans="1:24" ht="12" customHeight="1" x14ac:dyDescent="0.2">
      <c r="A584" s="49">
        <v>41214</v>
      </c>
      <c r="B584" s="523">
        <v>5.5000000000000604E-3</v>
      </c>
      <c r="C584" s="523">
        <v>3.1265000000000001</v>
      </c>
      <c r="D584" s="50"/>
      <c r="E584" s="50"/>
      <c r="F584" s="50"/>
      <c r="G584" s="50"/>
      <c r="H584" s="50"/>
      <c r="I584" s="50"/>
      <c r="J584" s="22">
        <v>55.93215</v>
      </c>
      <c r="K584" s="22">
        <v>62.482222999999998</v>
      </c>
      <c r="L584" s="22">
        <v>225.445536</v>
      </c>
      <c r="M584" s="22">
        <v>193.55432400000001</v>
      </c>
      <c r="N584" s="22">
        <v>49.137842999999997</v>
      </c>
      <c r="O584" s="22">
        <v>49.036436000000002</v>
      </c>
      <c r="P584" s="22">
        <v>3.982389</v>
      </c>
      <c r="Q584" s="22">
        <v>38.665286000000002</v>
      </c>
      <c r="R584" s="22">
        <v>44.665661</v>
      </c>
      <c r="S584" s="22">
        <v>41.923085999999998</v>
      </c>
      <c r="T584" s="22">
        <v>41.923085999999998</v>
      </c>
      <c r="U584" s="51" t="s">
        <v>219</v>
      </c>
      <c r="V584" s="55">
        <v>18.440000000000001</v>
      </c>
      <c r="W584" s="55">
        <v>622</v>
      </c>
      <c r="X584" s="49">
        <v>41214</v>
      </c>
    </row>
    <row r="585" spans="1:24" ht="12" customHeight="1" x14ac:dyDescent="0.2">
      <c r="A585" s="49">
        <v>41244</v>
      </c>
      <c r="B585" s="523">
        <v>5.5000000000000604E-3</v>
      </c>
      <c r="C585" s="523">
        <v>3.1320000000000001</v>
      </c>
      <c r="D585" s="50"/>
      <c r="E585" s="50"/>
      <c r="F585" s="50"/>
      <c r="G585" s="50"/>
      <c r="H585" s="50"/>
      <c r="I585" s="50"/>
      <c r="J585" s="22">
        <v>56.312488000000002</v>
      </c>
      <c r="K585" s="22">
        <v>62.463478000000002</v>
      </c>
      <c r="L585" s="22">
        <v>226.18950599999999</v>
      </c>
      <c r="M585" s="22">
        <v>194.03820899999999</v>
      </c>
      <c r="N585" s="22">
        <v>49.403187000000003</v>
      </c>
      <c r="O585" s="22">
        <v>49.330654000000003</v>
      </c>
      <c r="P585" s="22">
        <v>4.0038929999999997</v>
      </c>
      <c r="Q585" s="22">
        <v>38.665286000000002</v>
      </c>
      <c r="R585" s="22">
        <v>44.906855</v>
      </c>
      <c r="S585" s="22">
        <v>41.923085999999998</v>
      </c>
      <c r="T585" s="22">
        <v>41.923085999999998</v>
      </c>
      <c r="U585" s="51" t="s">
        <v>219</v>
      </c>
      <c r="V585" s="55">
        <v>18.440000000000001</v>
      </c>
      <c r="W585" s="55">
        <v>622</v>
      </c>
      <c r="X585" s="49">
        <v>41244</v>
      </c>
    </row>
    <row r="586" spans="1:24" ht="12" customHeight="1" x14ac:dyDescent="0.2">
      <c r="A586" s="49">
        <v>41275</v>
      </c>
      <c r="B586" s="523">
        <v>5.9999999999997833E-3</v>
      </c>
      <c r="C586" s="523">
        <v>3.1379999999999999</v>
      </c>
      <c r="D586" s="50"/>
      <c r="E586" s="50"/>
      <c r="F586" s="50"/>
      <c r="G586" s="50"/>
      <c r="H586" s="50"/>
      <c r="I586" s="50"/>
      <c r="J586" s="22">
        <v>56.751725</v>
      </c>
      <c r="K586" s="22">
        <v>62.888229000000003</v>
      </c>
      <c r="L586" s="22">
        <v>226.55140900000001</v>
      </c>
      <c r="M586" s="22">
        <v>195.318861</v>
      </c>
      <c r="N586" s="22">
        <v>49.768770000000004</v>
      </c>
      <c r="O586" s="22">
        <v>49.720365999999999</v>
      </c>
      <c r="P586" s="22">
        <v>4.0315190000000003</v>
      </c>
      <c r="Q586" s="22">
        <v>38.665286000000002</v>
      </c>
      <c r="R586" s="22">
        <v>45.216712000000001</v>
      </c>
      <c r="S586" s="22">
        <v>41.923085999999998</v>
      </c>
      <c r="T586" s="22">
        <v>41.923085999999998</v>
      </c>
      <c r="U586" s="51" t="s">
        <v>219</v>
      </c>
      <c r="V586" s="55">
        <v>19.37</v>
      </c>
      <c r="W586" s="55">
        <v>678</v>
      </c>
      <c r="X586" s="49">
        <v>41275</v>
      </c>
    </row>
    <row r="587" spans="1:24" ht="12" customHeight="1" x14ac:dyDescent="0.2">
      <c r="A587" s="49">
        <v>41306</v>
      </c>
      <c r="B587" s="523">
        <v>4.9000000000001265E-3</v>
      </c>
      <c r="C587" s="523">
        <v>3.1429</v>
      </c>
      <c r="D587" s="50"/>
      <c r="E587" s="50"/>
      <c r="F587" s="50"/>
      <c r="G587" s="50"/>
      <c r="H587" s="50"/>
      <c r="I587" s="50"/>
      <c r="J587" s="22">
        <v>57.404369000000003</v>
      </c>
      <c r="K587" s="22">
        <v>63.102048000000003</v>
      </c>
      <c r="L587" s="22">
        <v>228.02399299999999</v>
      </c>
      <c r="M587" s="22">
        <v>195.92434900000001</v>
      </c>
      <c r="N587" s="22">
        <v>50.226641999999998</v>
      </c>
      <c r="O587" s="22">
        <v>50.147961000000002</v>
      </c>
      <c r="P587" s="22">
        <v>4.0669959999999996</v>
      </c>
      <c r="Q587" s="22">
        <v>38.665286000000002</v>
      </c>
      <c r="R587" s="22">
        <v>45.614618999999998</v>
      </c>
      <c r="S587" s="22">
        <v>41.923085999999998</v>
      </c>
      <c r="T587" s="22">
        <v>41.923085999999998</v>
      </c>
      <c r="U587" s="51" t="s">
        <v>219</v>
      </c>
      <c r="V587" s="55">
        <v>19.37</v>
      </c>
      <c r="W587" s="55">
        <v>678</v>
      </c>
      <c r="X587" s="49">
        <v>41306</v>
      </c>
    </row>
    <row r="588" spans="1:24" ht="12" customHeight="1" x14ac:dyDescent="0.2">
      <c r="A588" s="49">
        <v>41334</v>
      </c>
      <c r="B588" s="523">
        <v>5.5000000000000604E-3</v>
      </c>
      <c r="C588" s="523">
        <v>3.1484000000000001</v>
      </c>
      <c r="D588" s="50"/>
      <c r="E588" s="50"/>
      <c r="F588" s="50"/>
      <c r="G588" s="50"/>
      <c r="H588" s="50"/>
      <c r="I588" s="50"/>
      <c r="J588" s="22">
        <v>57.530658000000003</v>
      </c>
      <c r="K588" s="22">
        <v>63.285043000000002</v>
      </c>
      <c r="L588" s="22">
        <v>229.39213599999999</v>
      </c>
      <c r="M588" s="22">
        <v>196.31619699999999</v>
      </c>
      <c r="N588" s="22">
        <v>50.487819999999999</v>
      </c>
      <c r="O588" s="22">
        <v>50.448847999999998</v>
      </c>
      <c r="P588" s="22">
        <v>4.0946509999999998</v>
      </c>
      <c r="Q588" s="22">
        <v>38.665286000000002</v>
      </c>
      <c r="R588" s="22">
        <v>45.924798000000003</v>
      </c>
      <c r="S588" s="22">
        <v>41.923085999999998</v>
      </c>
      <c r="T588" s="22">
        <v>41.923085999999998</v>
      </c>
      <c r="U588" s="51" t="s">
        <v>219</v>
      </c>
      <c r="V588" s="55">
        <v>19.37</v>
      </c>
      <c r="W588" s="55">
        <v>678</v>
      </c>
      <c r="X588" s="49">
        <v>41334</v>
      </c>
    </row>
    <row r="589" spans="1:24" ht="12" customHeight="1" x14ac:dyDescent="0.2">
      <c r="A589" s="49">
        <v>41365</v>
      </c>
      <c r="B589" s="523">
        <v>6.0999999999999943E-3</v>
      </c>
      <c r="C589" s="523">
        <v>3.1545000000000001</v>
      </c>
      <c r="D589" s="50"/>
      <c r="E589" s="50"/>
      <c r="F589" s="50"/>
      <c r="G589" s="50"/>
      <c r="H589" s="50"/>
      <c r="I589" s="50"/>
      <c r="J589" s="22">
        <v>57.432855000000004</v>
      </c>
      <c r="K589" s="22">
        <v>63.417940999999999</v>
      </c>
      <c r="L589" s="22">
        <v>230.539096</v>
      </c>
      <c r="M589" s="22">
        <v>196.92477700000001</v>
      </c>
      <c r="N589" s="22">
        <v>50.790745999999999</v>
      </c>
      <c r="O589" s="22">
        <v>50.685957000000002</v>
      </c>
      <c r="P589" s="22">
        <v>4.1147140000000002</v>
      </c>
      <c r="Q589" s="22">
        <v>38.665286000000002</v>
      </c>
      <c r="R589" s="22">
        <v>46.149828999999997</v>
      </c>
      <c r="S589" s="22">
        <v>41.923085999999998</v>
      </c>
      <c r="T589" s="22">
        <v>41.923085999999998</v>
      </c>
      <c r="U589" s="51" t="s">
        <v>219</v>
      </c>
      <c r="V589" s="55">
        <v>19.37</v>
      </c>
      <c r="W589" s="55">
        <v>678</v>
      </c>
      <c r="X589" s="49">
        <v>41365</v>
      </c>
    </row>
    <row r="590" spans="1:24" ht="12" customHeight="1" x14ac:dyDescent="0.2">
      <c r="A590" s="49">
        <v>41395</v>
      </c>
      <c r="B590" s="523">
        <v>5.9999999999997833E-3</v>
      </c>
      <c r="C590" s="523">
        <v>3.1604999999999999</v>
      </c>
      <c r="D590" s="50"/>
      <c r="E590" s="50"/>
      <c r="F590" s="50"/>
      <c r="G590" s="50"/>
      <c r="H590" s="50"/>
      <c r="I590" s="50"/>
      <c r="J590" s="22">
        <v>57.593665999999999</v>
      </c>
      <c r="K590" s="22">
        <v>63.513066999999999</v>
      </c>
      <c r="L590" s="22">
        <v>232.24508499999999</v>
      </c>
      <c r="M590" s="22">
        <v>196.806622</v>
      </c>
      <c r="N590" s="22">
        <v>51.090411000000003</v>
      </c>
      <c r="O590" s="22">
        <v>50.964728999999998</v>
      </c>
      <c r="P590" s="22">
        <v>4.1356989999999998</v>
      </c>
      <c r="Q590" s="22">
        <v>38.665286000000002</v>
      </c>
      <c r="R590" s="22">
        <v>46.385193000000001</v>
      </c>
      <c r="S590" s="22">
        <v>41.923085999999998</v>
      </c>
      <c r="T590" s="22">
        <v>41.923085999999998</v>
      </c>
      <c r="U590" s="51" t="s">
        <v>219</v>
      </c>
      <c r="V590" s="55">
        <v>19.37</v>
      </c>
      <c r="W590" s="55">
        <v>678</v>
      </c>
      <c r="X590" s="49">
        <v>41395</v>
      </c>
    </row>
    <row r="591" spans="1:24" ht="12" customHeight="1" x14ac:dyDescent="0.2">
      <c r="A591" s="49">
        <v>41426</v>
      </c>
      <c r="B591" s="523">
        <v>6.0999999999999943E-3</v>
      </c>
      <c r="C591" s="523">
        <v>3.1665999999999999</v>
      </c>
      <c r="D591" s="50"/>
      <c r="E591" s="50"/>
      <c r="F591" s="50"/>
      <c r="G591" s="50"/>
      <c r="H591" s="50"/>
      <c r="I591" s="50"/>
      <c r="J591" s="22">
        <v>57.651259000000003</v>
      </c>
      <c r="K591" s="22">
        <v>63.513066999999999</v>
      </c>
      <c r="L591" s="22">
        <v>237.47059899999999</v>
      </c>
      <c r="M591" s="22">
        <v>197.43640300000001</v>
      </c>
      <c r="N591" s="22">
        <v>51.269227000000001</v>
      </c>
      <c r="O591" s="22">
        <v>51.153297999999999</v>
      </c>
      <c r="P591" s="22">
        <v>4.1547229999999997</v>
      </c>
      <c r="Q591" s="22">
        <v>38.665286000000002</v>
      </c>
      <c r="R591" s="22">
        <v>46.598564000000003</v>
      </c>
      <c r="S591" s="22">
        <v>41.923085999999998</v>
      </c>
      <c r="T591" s="22">
        <v>41.923085999999998</v>
      </c>
      <c r="U591" s="51" t="s">
        <v>219</v>
      </c>
      <c r="V591" s="55">
        <v>19.37</v>
      </c>
      <c r="W591" s="55">
        <v>678</v>
      </c>
      <c r="X591" s="49">
        <v>41426</v>
      </c>
    </row>
    <row r="592" spans="1:24" ht="12" customHeight="1" x14ac:dyDescent="0.2">
      <c r="A592" s="49">
        <v>41456</v>
      </c>
      <c r="B592" s="523">
        <v>7.2000000000000952E-3</v>
      </c>
      <c r="C592" s="523">
        <v>3.1738</v>
      </c>
      <c r="D592" s="50"/>
      <c r="E592" s="50"/>
      <c r="F592" s="50"/>
      <c r="G592" s="50"/>
      <c r="H592" s="50"/>
      <c r="I592" s="50"/>
      <c r="J592" s="22">
        <v>57.835743000000001</v>
      </c>
      <c r="K592" s="22">
        <v>63.989415000000001</v>
      </c>
      <c r="L592" s="22">
        <v>240.20151000000001</v>
      </c>
      <c r="M592" s="22">
        <v>198.93691899999999</v>
      </c>
      <c r="N592" s="22">
        <v>51.412779999999998</v>
      </c>
      <c r="O592" s="22">
        <v>51.286296</v>
      </c>
      <c r="P592" s="22">
        <v>4.1705100000000002</v>
      </c>
      <c r="Q592" s="22">
        <v>38.665286000000002</v>
      </c>
      <c r="R592" s="22">
        <v>46.775638000000001</v>
      </c>
      <c r="S592" s="22">
        <v>41.923085999999998</v>
      </c>
      <c r="T592" s="22">
        <v>41.923085999999998</v>
      </c>
      <c r="U592" s="51" t="s">
        <v>219</v>
      </c>
      <c r="V592" s="55">
        <v>19.37</v>
      </c>
      <c r="W592" s="55">
        <v>678</v>
      </c>
      <c r="X592" s="49">
        <v>41456</v>
      </c>
    </row>
    <row r="593" spans="1:24" ht="12" customHeight="1" x14ac:dyDescent="0.2">
      <c r="A593" s="49">
        <v>41487</v>
      </c>
      <c r="B593" s="523">
        <v>7.0999999999998842E-3</v>
      </c>
      <c r="C593" s="523">
        <v>3.1808999999999998</v>
      </c>
      <c r="D593" s="50"/>
      <c r="E593" s="50"/>
      <c r="F593" s="50"/>
      <c r="G593" s="50"/>
      <c r="H593" s="50"/>
      <c r="I593" s="50"/>
      <c r="J593" s="22">
        <v>57.760556000000001</v>
      </c>
      <c r="K593" s="22">
        <v>64.155787000000004</v>
      </c>
      <c r="L593" s="22">
        <v>241.354477</v>
      </c>
      <c r="M593" s="22">
        <v>199.21543</v>
      </c>
      <c r="N593" s="22">
        <v>51.345942999999998</v>
      </c>
      <c r="O593" s="22">
        <v>51.301681000000002</v>
      </c>
      <c r="P593" s="22">
        <v>4.1734289999999996</v>
      </c>
      <c r="Q593" s="22">
        <v>38.673366999999999</v>
      </c>
      <c r="R593" s="22">
        <v>46.80838</v>
      </c>
      <c r="S593" s="22">
        <v>41.931846999999998</v>
      </c>
      <c r="T593" s="22">
        <v>41.931846999999998</v>
      </c>
      <c r="U593" s="51" t="s">
        <v>219</v>
      </c>
      <c r="V593" s="55">
        <v>19.37</v>
      </c>
      <c r="W593" s="55">
        <v>678</v>
      </c>
      <c r="X593" s="49">
        <v>41487</v>
      </c>
    </row>
    <row r="594" spans="1:24" ht="12" customHeight="1" x14ac:dyDescent="0.2">
      <c r="A594" s="49">
        <v>41518</v>
      </c>
      <c r="B594" s="523">
        <v>7.1000000000003283E-3</v>
      </c>
      <c r="C594" s="523">
        <v>3.1880000000000002</v>
      </c>
      <c r="D594" s="50"/>
      <c r="E594" s="50"/>
      <c r="F594" s="50"/>
      <c r="G594" s="50"/>
      <c r="H594" s="50"/>
      <c r="I594" s="50"/>
      <c r="J594" s="22">
        <v>57.887628999999997</v>
      </c>
      <c r="K594" s="22">
        <v>64.252020000000002</v>
      </c>
      <c r="L594" s="22">
        <v>242.102675</v>
      </c>
      <c r="M594" s="22">
        <v>200.13182</v>
      </c>
      <c r="N594" s="22">
        <v>51.428095999999996</v>
      </c>
      <c r="O594" s="22">
        <v>51.424804999999999</v>
      </c>
      <c r="P594" s="22">
        <v>4.1801060000000003</v>
      </c>
      <c r="Q594" s="22">
        <v>38.673366999999999</v>
      </c>
      <c r="R594" s="22">
        <v>46.883273000000003</v>
      </c>
      <c r="S594" s="22">
        <v>41.931846999999998</v>
      </c>
      <c r="T594" s="22">
        <v>41.931846999999998</v>
      </c>
      <c r="U594" s="51" t="s">
        <v>219</v>
      </c>
      <c r="V594" s="55">
        <v>19.37</v>
      </c>
      <c r="W594" s="55">
        <v>678</v>
      </c>
      <c r="X594" s="49">
        <v>41518</v>
      </c>
    </row>
    <row r="595" spans="1:24" ht="12" customHeight="1" x14ac:dyDescent="0.2">
      <c r="A595" s="49">
        <v>41548</v>
      </c>
      <c r="B595" s="523">
        <v>8.099999999999774E-3</v>
      </c>
      <c r="C595" s="523">
        <v>3.1960999999999999</v>
      </c>
      <c r="D595" s="50"/>
      <c r="E595" s="50"/>
      <c r="F595" s="50"/>
      <c r="G595" s="50"/>
      <c r="H595" s="50"/>
      <c r="I595" s="50"/>
      <c r="J595" s="22">
        <v>58.032347999999999</v>
      </c>
      <c r="K595" s="22">
        <v>65.215800000000002</v>
      </c>
      <c r="L595" s="22">
        <v>243.14371600000001</v>
      </c>
      <c r="M595" s="22">
        <v>202.853612</v>
      </c>
      <c r="N595" s="22">
        <v>51.566951000000003</v>
      </c>
      <c r="O595" s="22">
        <v>51.604790999999999</v>
      </c>
      <c r="P595" s="22">
        <v>4.1913919999999996</v>
      </c>
      <c r="Q595" s="22">
        <v>38.676422000000002</v>
      </c>
      <c r="R595" s="22">
        <v>47.009856999999997</v>
      </c>
      <c r="S595" s="22">
        <v>41.935158999999999</v>
      </c>
      <c r="T595" s="22">
        <v>41.935158999999999</v>
      </c>
      <c r="U595" s="51" t="s">
        <v>219</v>
      </c>
      <c r="V595" s="55">
        <v>19.37</v>
      </c>
      <c r="W595" s="55">
        <v>678</v>
      </c>
      <c r="X595" s="49">
        <v>41548</v>
      </c>
    </row>
    <row r="596" spans="1:24" ht="12" customHeight="1" x14ac:dyDescent="0.2">
      <c r="A596" s="49">
        <v>41579</v>
      </c>
      <c r="B596" s="523">
        <v>7.2000000000000952E-3</v>
      </c>
      <c r="C596" s="523">
        <v>3.2033</v>
      </c>
      <c r="D596" s="50"/>
      <c r="E596" s="50"/>
      <c r="F596" s="50"/>
      <c r="G596" s="50"/>
      <c r="H596" s="50"/>
      <c r="I596" s="50"/>
      <c r="J596" s="22">
        <v>58.310903000000003</v>
      </c>
      <c r="K596" s="22">
        <v>65.776655000000005</v>
      </c>
      <c r="L596" s="22">
        <v>243.77588900000001</v>
      </c>
      <c r="M596" s="22">
        <v>204.13158899999999</v>
      </c>
      <c r="N596" s="22">
        <v>51.881509000000001</v>
      </c>
      <c r="O596" s="22">
        <v>51.898938000000001</v>
      </c>
      <c r="P596" s="22">
        <v>4.2115099999999996</v>
      </c>
      <c r="Q596" s="22">
        <v>38.712004</v>
      </c>
      <c r="R596" s="22">
        <v>47.235503999999999</v>
      </c>
      <c r="S596" s="22">
        <v>41.973739000000002</v>
      </c>
      <c r="T596" s="22">
        <v>41.973739000000002</v>
      </c>
      <c r="U596" s="51" t="s">
        <v>219</v>
      </c>
      <c r="V596" s="55">
        <v>19.37</v>
      </c>
      <c r="W596" s="55">
        <v>678</v>
      </c>
      <c r="X596" s="49">
        <v>41579</v>
      </c>
    </row>
    <row r="597" spans="1:24" s="56" customFormat="1" ht="12" customHeight="1" x14ac:dyDescent="0.2">
      <c r="A597" s="49">
        <v>41609</v>
      </c>
      <c r="B597" s="523">
        <v>7.8999999999997961E-3</v>
      </c>
      <c r="C597" s="523">
        <v>3.2111999999999998</v>
      </c>
      <c r="D597" s="50"/>
      <c r="E597" s="50"/>
      <c r="F597" s="50"/>
      <c r="G597" s="50"/>
      <c r="H597" s="50"/>
      <c r="I597" s="50"/>
      <c r="J597" s="22">
        <v>58.579132999999999</v>
      </c>
      <c r="K597" s="22">
        <v>65.967406999999994</v>
      </c>
      <c r="L597" s="22">
        <v>244.62910400000001</v>
      </c>
      <c r="M597" s="22">
        <v>204.703157</v>
      </c>
      <c r="N597" s="22">
        <v>52.161669000000003</v>
      </c>
      <c r="O597" s="22">
        <v>52.179192</v>
      </c>
      <c r="P597" s="22">
        <v>4.2355150000000004</v>
      </c>
      <c r="Q597" s="22">
        <v>38.720016999999999</v>
      </c>
      <c r="R597" s="22">
        <v>47.504745999999997</v>
      </c>
      <c r="S597" s="22">
        <v>41.982427000000001</v>
      </c>
      <c r="T597" s="22">
        <v>41.982427000000001</v>
      </c>
      <c r="U597" s="51" t="s">
        <v>219</v>
      </c>
      <c r="V597" s="55">
        <v>19.37</v>
      </c>
      <c r="W597" s="55">
        <v>678</v>
      </c>
      <c r="X597" s="49">
        <v>41609</v>
      </c>
    </row>
    <row r="598" spans="1:24" s="56" customFormat="1" ht="12" customHeight="1" x14ac:dyDescent="0.2">
      <c r="A598" s="49">
        <v>41640</v>
      </c>
      <c r="B598" s="523">
        <v>8.5000000000001741E-3</v>
      </c>
      <c r="C598" s="523">
        <v>3.2197</v>
      </c>
      <c r="D598" s="50"/>
      <c r="E598" s="50"/>
      <c r="F598" s="50"/>
      <c r="G598" s="50"/>
      <c r="H598" s="50"/>
      <c r="I598" s="50"/>
      <c r="J598" s="22">
        <v>58.959896999999998</v>
      </c>
      <c r="K598" s="22">
        <v>66.363211000000007</v>
      </c>
      <c r="L598" s="22">
        <v>244.87373299999999</v>
      </c>
      <c r="M598" s="22">
        <v>206.11560800000001</v>
      </c>
      <c r="N598" s="22">
        <v>52.537233000000001</v>
      </c>
      <c r="O598" s="22">
        <v>52.659239999999997</v>
      </c>
      <c r="P598" s="22">
        <v>4.2672809999999997</v>
      </c>
      <c r="Q598" s="22">
        <v>38.739144000000003</v>
      </c>
      <c r="R598" s="22">
        <v>47.861030999999997</v>
      </c>
      <c r="S598" s="22">
        <v>42.003166</v>
      </c>
      <c r="T598" s="22">
        <v>42.003166</v>
      </c>
      <c r="U598" s="51" t="s">
        <v>219</v>
      </c>
      <c r="V598" s="55">
        <v>20.14</v>
      </c>
      <c r="W598" s="55">
        <v>724</v>
      </c>
      <c r="X598" s="49">
        <v>41640</v>
      </c>
    </row>
    <row r="599" spans="1:24" s="56" customFormat="1" ht="12" customHeight="1" x14ac:dyDescent="0.2">
      <c r="A599" s="49">
        <v>41671</v>
      </c>
      <c r="B599" s="523">
        <v>7.8999999999997961E-3</v>
      </c>
      <c r="C599" s="523">
        <v>3.2275999999999998</v>
      </c>
      <c r="D599" s="50"/>
      <c r="E599" s="50"/>
      <c r="F599" s="50"/>
      <c r="G599" s="50"/>
      <c r="H599" s="50"/>
      <c r="I599" s="50"/>
      <c r="J599" s="22">
        <v>59.514119999999998</v>
      </c>
      <c r="K599" s="22">
        <v>66.681753999999998</v>
      </c>
      <c r="L599" s="22">
        <v>247.02862099999999</v>
      </c>
      <c r="M599" s="22">
        <v>206.94006999999999</v>
      </c>
      <c r="N599" s="22">
        <v>52.868217000000001</v>
      </c>
      <c r="O599" s="22">
        <v>52.948864999999998</v>
      </c>
      <c r="P599" s="22">
        <v>4.295871</v>
      </c>
      <c r="Q599" s="22">
        <v>38.782764</v>
      </c>
      <c r="R599" s="22">
        <v>48.181699000000002</v>
      </c>
      <c r="S599" s="22">
        <v>42.050460999999999</v>
      </c>
      <c r="T599" s="22">
        <v>42.050460999999999</v>
      </c>
      <c r="U599" s="51" t="s">
        <v>219</v>
      </c>
      <c r="V599" s="55">
        <v>20.14</v>
      </c>
      <c r="W599" s="55">
        <v>724</v>
      </c>
      <c r="X599" s="49">
        <v>41671</v>
      </c>
    </row>
    <row r="600" spans="1:24" s="56" customFormat="1" ht="12" customHeight="1" x14ac:dyDescent="0.2">
      <c r="A600" s="49">
        <v>41699</v>
      </c>
      <c r="B600" s="523">
        <v>7.7000000000002622E-3</v>
      </c>
      <c r="C600" s="523">
        <v>3.2353000000000001</v>
      </c>
      <c r="D600" s="50"/>
      <c r="E600" s="50"/>
      <c r="F600" s="50"/>
      <c r="G600" s="50"/>
      <c r="H600" s="50"/>
      <c r="I600" s="50"/>
      <c r="J600" s="22">
        <v>59.823593000000002</v>
      </c>
      <c r="K600" s="22">
        <v>66.935143999999994</v>
      </c>
      <c r="L600" s="22">
        <v>247.84381500000001</v>
      </c>
      <c r="M600" s="22">
        <v>208.69906</v>
      </c>
      <c r="N600" s="22">
        <v>53.206572999999999</v>
      </c>
      <c r="O600" s="22">
        <v>53.314211999999998</v>
      </c>
      <c r="P600" s="22">
        <v>4.3259420000000004</v>
      </c>
      <c r="Q600" s="22">
        <v>38.80359</v>
      </c>
      <c r="R600" s="22">
        <v>48.518970000000003</v>
      </c>
      <c r="S600" s="22">
        <v>42.073042000000001</v>
      </c>
      <c r="T600" s="22">
        <v>42.073042000000001</v>
      </c>
      <c r="U600" s="51" t="s">
        <v>219</v>
      </c>
      <c r="V600" s="55">
        <v>20.14</v>
      </c>
      <c r="W600" s="55">
        <v>724</v>
      </c>
      <c r="X600" s="49">
        <v>41699</v>
      </c>
    </row>
    <row r="601" spans="1:24" s="56" customFormat="1" ht="12" customHeight="1" x14ac:dyDescent="0.2">
      <c r="A601" s="49">
        <v>41730</v>
      </c>
      <c r="B601" s="523">
        <v>8.1999999999999851E-3</v>
      </c>
      <c r="C601" s="523">
        <v>3.2435</v>
      </c>
      <c r="D601" s="50"/>
      <c r="E601" s="50"/>
      <c r="F601" s="50"/>
      <c r="G601" s="50"/>
      <c r="H601" s="50"/>
      <c r="I601" s="50"/>
      <c r="J601" s="22">
        <v>60.266286999999998</v>
      </c>
      <c r="K601" s="22">
        <v>68.052959999999999</v>
      </c>
      <c r="L601" s="22">
        <v>248.53777700000001</v>
      </c>
      <c r="M601" s="22">
        <v>211.78780599999999</v>
      </c>
      <c r="N601" s="22">
        <v>53.642865999999998</v>
      </c>
      <c r="O601" s="22">
        <v>53.804701999999999</v>
      </c>
      <c r="P601" s="22">
        <v>4.3575210000000002</v>
      </c>
      <c r="Q601" s="22">
        <v>38.813910999999997</v>
      </c>
      <c r="R601" s="22">
        <v>48.873157999999997</v>
      </c>
      <c r="S601" s="22">
        <v>42.084232999999998</v>
      </c>
      <c r="T601" s="22">
        <v>42.084232999999998</v>
      </c>
      <c r="U601" s="51" t="s">
        <v>219</v>
      </c>
      <c r="V601" s="55">
        <v>20.14</v>
      </c>
      <c r="W601" s="55">
        <v>724</v>
      </c>
      <c r="X601" s="49">
        <v>41730</v>
      </c>
    </row>
    <row r="602" spans="1:24" s="56" customFormat="1" ht="12" customHeight="1" x14ac:dyDescent="0.2">
      <c r="A602" s="49">
        <v>41760</v>
      </c>
      <c r="B602" s="523">
        <v>8.7000000000001521E-3</v>
      </c>
      <c r="C602" s="523">
        <v>3.2522000000000002</v>
      </c>
      <c r="D602" s="50"/>
      <c r="E602" s="50"/>
      <c r="F602" s="50"/>
      <c r="G602" s="50"/>
      <c r="H602" s="50"/>
      <c r="I602" s="50"/>
      <c r="J602" s="22">
        <v>60.585698000000001</v>
      </c>
      <c r="K602" s="22">
        <v>68.583772999999994</v>
      </c>
      <c r="L602" s="22">
        <v>250.724909</v>
      </c>
      <c r="M602" s="22">
        <v>212.74085099999999</v>
      </c>
      <c r="N602" s="22">
        <v>54.061279999999996</v>
      </c>
      <c r="O602" s="22">
        <v>54.165193000000002</v>
      </c>
      <c r="P602" s="22">
        <v>4.3915090000000001</v>
      </c>
      <c r="Q602" s="22">
        <v>38.831726000000003</v>
      </c>
      <c r="R602" s="22">
        <v>49.254367999999999</v>
      </c>
      <c r="S602" s="22">
        <v>42.103549000000001</v>
      </c>
      <c r="T602" s="22">
        <v>42.103549000000001</v>
      </c>
      <c r="U602" s="51" t="s">
        <v>219</v>
      </c>
      <c r="V602" s="55">
        <v>20.14</v>
      </c>
      <c r="W602" s="55">
        <v>724</v>
      </c>
      <c r="X602" s="49">
        <v>41760</v>
      </c>
    </row>
    <row r="603" spans="1:24" s="56" customFormat="1" ht="12" customHeight="1" x14ac:dyDescent="0.2">
      <c r="A603" s="49">
        <v>41791</v>
      </c>
      <c r="B603" s="523">
        <v>8.1999999999999851E-3</v>
      </c>
      <c r="C603" s="523">
        <v>3.2604000000000002</v>
      </c>
      <c r="D603" s="50"/>
      <c r="E603" s="50"/>
      <c r="F603" s="50"/>
      <c r="G603" s="50"/>
      <c r="H603" s="50"/>
      <c r="I603" s="50"/>
      <c r="J603" s="22">
        <v>60.737161999999998</v>
      </c>
      <c r="K603" s="22">
        <v>68.494613999999999</v>
      </c>
      <c r="L603" s="22">
        <v>255.864769</v>
      </c>
      <c r="M603" s="22">
        <v>211.78351699999999</v>
      </c>
      <c r="N603" s="22">
        <v>54.385646999999999</v>
      </c>
      <c r="O603" s="22">
        <v>54.414352000000001</v>
      </c>
      <c r="P603" s="22">
        <v>4.4169790000000004</v>
      </c>
      <c r="Q603" s="22">
        <v>38.855179999999997</v>
      </c>
      <c r="R603" s="22">
        <v>49.540042999999997</v>
      </c>
      <c r="S603" s="22">
        <v>42.128979000000001</v>
      </c>
      <c r="T603" s="22">
        <v>42.128979000000001</v>
      </c>
      <c r="U603" s="51" t="s">
        <v>219</v>
      </c>
      <c r="V603" s="55">
        <v>20.14</v>
      </c>
      <c r="W603" s="55">
        <v>724</v>
      </c>
      <c r="X603" s="49">
        <v>41791</v>
      </c>
    </row>
    <row r="604" spans="1:24" s="56" customFormat="1" ht="12" customHeight="1" x14ac:dyDescent="0.2">
      <c r="A604" s="49">
        <v>41821</v>
      </c>
      <c r="B604" s="523">
        <v>9.4999999999996199E-3</v>
      </c>
      <c r="C604" s="523">
        <v>3.2698999999999998</v>
      </c>
      <c r="D604" s="50"/>
      <c r="E604" s="50"/>
      <c r="F604" s="50"/>
      <c r="G604" s="50"/>
      <c r="H604" s="50"/>
      <c r="I604" s="50"/>
      <c r="J604" s="22">
        <v>60.761456000000003</v>
      </c>
      <c r="K604" s="22">
        <v>67.987752999999998</v>
      </c>
      <c r="L604" s="22">
        <v>257.55347599999999</v>
      </c>
      <c r="M604" s="22">
        <v>210.44927999999999</v>
      </c>
      <c r="N604" s="22">
        <v>54.527048999999998</v>
      </c>
      <c r="O604" s="22">
        <v>54.632008999999996</v>
      </c>
      <c r="P604" s="22">
        <v>4.4377380000000004</v>
      </c>
      <c r="Q604" s="22">
        <v>38.873246999999999</v>
      </c>
      <c r="R604" s="22">
        <v>49.772880999999998</v>
      </c>
      <c r="S604" s="22">
        <v>42.148567999999997</v>
      </c>
      <c r="T604" s="22">
        <v>42.148567999999997</v>
      </c>
      <c r="U604" s="51" t="s">
        <v>219</v>
      </c>
      <c r="V604" s="55">
        <v>20.14</v>
      </c>
      <c r="W604" s="55">
        <v>724</v>
      </c>
      <c r="X604" s="49">
        <v>41821</v>
      </c>
    </row>
    <row r="605" spans="1:24" s="56" customFormat="1" ht="12" customHeight="1" x14ac:dyDescent="0.2">
      <c r="A605" s="49">
        <v>41852</v>
      </c>
      <c r="B605" s="523">
        <v>8.7000000000001521E-3</v>
      </c>
      <c r="C605" s="523">
        <v>3.2786</v>
      </c>
      <c r="D605" s="50"/>
      <c r="E605" s="50"/>
      <c r="F605" s="50"/>
      <c r="G605" s="50"/>
      <c r="H605" s="50"/>
      <c r="I605" s="50"/>
      <c r="J605" s="22">
        <v>60.858674000000001</v>
      </c>
      <c r="K605" s="22">
        <v>67.573026999999996</v>
      </c>
      <c r="L605" s="22">
        <v>259.48512699999998</v>
      </c>
      <c r="M605" s="22">
        <v>209.291808</v>
      </c>
      <c r="N605" s="22">
        <v>54.597934000000002</v>
      </c>
      <c r="O605" s="22">
        <v>54.637472000000002</v>
      </c>
      <c r="P605" s="22">
        <v>4.4452819999999997</v>
      </c>
      <c r="Q605" s="22">
        <v>38.914219000000003</v>
      </c>
      <c r="R605" s="22">
        <v>49.857494000000003</v>
      </c>
      <c r="S605" s="22">
        <v>42.192991999999997</v>
      </c>
      <c r="T605" s="22">
        <v>42.192991999999997</v>
      </c>
      <c r="U605" s="51" t="s">
        <v>219</v>
      </c>
      <c r="V605" s="55">
        <v>20.14</v>
      </c>
      <c r="W605" s="55">
        <v>724</v>
      </c>
      <c r="X605" s="49">
        <v>41852</v>
      </c>
    </row>
    <row r="606" spans="1:24" s="56" customFormat="1" ht="12" customHeight="1" x14ac:dyDescent="0.2">
      <c r="A606" s="49">
        <v>41883</v>
      </c>
      <c r="B606" s="523">
        <v>9.100000000000108E-3</v>
      </c>
      <c r="C606" s="523">
        <v>3.2877000000000001</v>
      </c>
      <c r="D606" s="50"/>
      <c r="E606" s="50"/>
      <c r="F606" s="50"/>
      <c r="G606" s="50"/>
      <c r="H606" s="50"/>
      <c r="I606" s="50"/>
      <c r="J606" s="22">
        <v>61.065593</v>
      </c>
      <c r="K606" s="22">
        <v>67.390579000000002</v>
      </c>
      <c r="L606" s="22">
        <v>259.69271500000002</v>
      </c>
      <c r="M606" s="22">
        <v>209.417383</v>
      </c>
      <c r="N606" s="22">
        <v>54.696210000000001</v>
      </c>
      <c r="O606" s="22">
        <v>54.774065</v>
      </c>
      <c r="P606" s="22">
        <v>4.451505</v>
      </c>
      <c r="Q606" s="22">
        <v>38.937645000000003</v>
      </c>
      <c r="R606" s="22">
        <v>49.927294000000003</v>
      </c>
      <c r="S606" s="22">
        <v>42.218392000000001</v>
      </c>
      <c r="T606" s="22">
        <v>42.218392000000001</v>
      </c>
      <c r="U606" s="51" t="s">
        <v>219</v>
      </c>
      <c r="V606" s="55">
        <v>20.14</v>
      </c>
      <c r="W606" s="55">
        <v>724</v>
      </c>
      <c r="X606" s="49">
        <v>41883</v>
      </c>
    </row>
    <row r="607" spans="1:24" s="56" customFormat="1" ht="12" customHeight="1" x14ac:dyDescent="0.2">
      <c r="A607" s="49">
        <v>41913</v>
      </c>
      <c r="B607" s="523">
        <v>9.5000000000000639E-3</v>
      </c>
      <c r="C607" s="523">
        <v>3.2972000000000001</v>
      </c>
      <c r="D607" s="50"/>
      <c r="E607" s="50"/>
      <c r="F607" s="50"/>
      <c r="G607" s="50"/>
      <c r="H607" s="50"/>
      <c r="I607" s="50"/>
      <c r="J607" s="22">
        <v>61.193829999999998</v>
      </c>
      <c r="K607" s="22">
        <v>67.525360000000006</v>
      </c>
      <c r="L607" s="22">
        <v>260.08225399999998</v>
      </c>
      <c r="M607" s="22">
        <v>209.45926600000001</v>
      </c>
      <c r="N607" s="22">
        <v>54.964221000000002</v>
      </c>
      <c r="O607" s="22">
        <v>55.086277000000003</v>
      </c>
      <c r="P607" s="22">
        <v>4.4688650000000001</v>
      </c>
      <c r="Q607" s="22">
        <v>38.971637000000001</v>
      </c>
      <c r="R607" s="22">
        <v>50.122010000000003</v>
      </c>
      <c r="S607" s="22">
        <v>42.255248000000002</v>
      </c>
      <c r="T607" s="22">
        <v>42.255248000000002</v>
      </c>
      <c r="U607" s="51" t="s">
        <v>219</v>
      </c>
      <c r="V607" s="55">
        <v>20.14</v>
      </c>
      <c r="W607" s="55">
        <v>724</v>
      </c>
      <c r="X607" s="49">
        <v>41913</v>
      </c>
    </row>
    <row r="608" spans="1:24" s="56" customFormat="1" ht="12" customHeight="1" x14ac:dyDescent="0.2">
      <c r="A608" s="49">
        <v>41944</v>
      </c>
      <c r="B608" s="523">
        <v>8.3999999999999631E-3</v>
      </c>
      <c r="C608" s="523">
        <v>3.3056000000000001</v>
      </c>
      <c r="D608" s="50"/>
      <c r="E608" s="50"/>
      <c r="F608" s="50"/>
      <c r="G608" s="50"/>
      <c r="H608" s="50"/>
      <c r="I608" s="50"/>
      <c r="J608" s="22">
        <v>61.420247000000003</v>
      </c>
      <c r="K608" s="22">
        <v>67.714431000000005</v>
      </c>
      <c r="L608" s="22">
        <v>260.52439299999998</v>
      </c>
      <c r="M608" s="22">
        <v>210.695075</v>
      </c>
      <c r="N608" s="22">
        <v>55.173085</v>
      </c>
      <c r="O608" s="22">
        <v>55.317639</v>
      </c>
      <c r="P608" s="22">
        <v>4.4903149999999998</v>
      </c>
      <c r="Q608" s="22">
        <v>39.012089000000003</v>
      </c>
      <c r="R608" s="22">
        <v>50.362594999999999</v>
      </c>
      <c r="S608" s="22">
        <v>42.299107999999997</v>
      </c>
      <c r="T608" s="22">
        <v>42.299107999999997</v>
      </c>
      <c r="U608" s="51" t="s">
        <v>219</v>
      </c>
      <c r="V608" s="55">
        <v>20.14</v>
      </c>
      <c r="W608" s="55">
        <v>724</v>
      </c>
      <c r="X608" s="49">
        <v>41944</v>
      </c>
    </row>
    <row r="609" spans="1:24" s="56" customFormat="1" ht="12" customHeight="1" x14ac:dyDescent="0.2">
      <c r="A609" s="49">
        <v>41974</v>
      </c>
      <c r="B609" s="523">
        <v>9.5999999999998309E-3</v>
      </c>
      <c r="C609" s="523">
        <v>3.3151999999999999</v>
      </c>
      <c r="D609" s="50"/>
      <c r="E609" s="50"/>
      <c r="F609" s="50"/>
      <c r="G609" s="50"/>
      <c r="H609" s="50"/>
      <c r="I609" s="50"/>
      <c r="J609" s="22">
        <v>61.844045999999999</v>
      </c>
      <c r="K609" s="22">
        <v>68.378032000000005</v>
      </c>
      <c r="L609" s="22">
        <v>261.67070000000001</v>
      </c>
      <c r="M609" s="22">
        <v>213.09699800000001</v>
      </c>
      <c r="N609" s="22">
        <v>55.465502000000001</v>
      </c>
      <c r="O609" s="22">
        <v>55.599758000000001</v>
      </c>
      <c r="P609" s="22">
        <v>4.5073780000000001</v>
      </c>
      <c r="Q609" s="22">
        <v>39.030931000000002</v>
      </c>
      <c r="R609" s="22">
        <v>50.553972000000002</v>
      </c>
      <c r="S609" s="22">
        <v>42.319538000000001</v>
      </c>
      <c r="T609" s="22">
        <v>42.319538000000001</v>
      </c>
      <c r="U609" s="51" t="s">
        <v>219</v>
      </c>
      <c r="V609" s="55">
        <v>20.14</v>
      </c>
      <c r="W609" s="55">
        <v>724</v>
      </c>
      <c r="X609" s="49">
        <v>41974</v>
      </c>
    </row>
    <row r="610" spans="1:24" s="56" customFormat="1" ht="12" customHeight="1" x14ac:dyDescent="0.2">
      <c r="A610" s="49">
        <v>42005</v>
      </c>
      <c r="B610" s="523">
        <v>9.400000000000297E-3</v>
      </c>
      <c r="C610" s="523">
        <v>3.3246000000000002</v>
      </c>
      <c r="D610" s="50"/>
      <c r="E610" s="50"/>
      <c r="F610" s="50"/>
      <c r="G610" s="50"/>
      <c r="H610" s="50"/>
      <c r="I610" s="50"/>
      <c r="J610" s="22">
        <v>62.029578000000001</v>
      </c>
      <c r="K610" s="22">
        <v>68.801974999999999</v>
      </c>
      <c r="L610" s="22">
        <v>261.88003600000002</v>
      </c>
      <c r="M610" s="22">
        <v>213.906766</v>
      </c>
      <c r="N610" s="22">
        <v>55.809387999999998</v>
      </c>
      <c r="O610" s="22">
        <v>56.033436000000002</v>
      </c>
      <c r="P610" s="22">
        <v>4.542986</v>
      </c>
      <c r="Q610" s="22">
        <v>39.072029999999998</v>
      </c>
      <c r="R610" s="22">
        <v>50.953347999999998</v>
      </c>
      <c r="S610" s="22">
        <v>42.364100000000001</v>
      </c>
      <c r="T610" s="22">
        <v>42.364100000000001</v>
      </c>
      <c r="U610" s="51" t="s">
        <v>219</v>
      </c>
      <c r="V610" s="55">
        <v>21.25</v>
      </c>
      <c r="W610" s="55">
        <v>788</v>
      </c>
      <c r="X610" s="49">
        <v>42005</v>
      </c>
    </row>
    <row r="611" spans="1:24" s="56" customFormat="1" ht="12" customHeight="1" x14ac:dyDescent="0.2">
      <c r="A611" s="49">
        <v>42036</v>
      </c>
      <c r="B611" s="523">
        <v>8.1999999999999851E-3</v>
      </c>
      <c r="C611" s="523">
        <v>3.3328000000000002</v>
      </c>
      <c r="D611" s="50"/>
      <c r="E611" s="50"/>
      <c r="F611" s="50"/>
      <c r="G611" s="50"/>
      <c r="H611" s="50"/>
      <c r="I611" s="50"/>
      <c r="J611" s="22">
        <v>63.034457000000003</v>
      </c>
      <c r="K611" s="22">
        <v>69.324870000000004</v>
      </c>
      <c r="L611" s="22">
        <v>264.289332</v>
      </c>
      <c r="M611" s="22">
        <v>215.33994100000001</v>
      </c>
      <c r="N611" s="22">
        <v>56.635365999999998</v>
      </c>
      <c r="O611" s="22">
        <v>56.728250000000003</v>
      </c>
      <c r="P611" s="22">
        <v>4.583418</v>
      </c>
      <c r="Q611" s="22">
        <v>39.106335000000001</v>
      </c>
      <c r="R611" s="22">
        <v>51.406832000000001</v>
      </c>
      <c r="S611" s="22">
        <v>42.401294999999998</v>
      </c>
      <c r="T611" s="22">
        <v>42.401294999999998</v>
      </c>
      <c r="U611" s="51" t="s">
        <v>219</v>
      </c>
      <c r="V611" s="55">
        <v>21.25</v>
      </c>
      <c r="W611" s="55">
        <v>788</v>
      </c>
      <c r="X611" s="49">
        <v>42036</v>
      </c>
    </row>
    <row r="612" spans="1:24" s="56" customFormat="1" ht="12" customHeight="1" x14ac:dyDescent="0.2">
      <c r="A612" s="49">
        <v>42064</v>
      </c>
      <c r="B612" s="523">
        <v>1.0399999999999743E-2</v>
      </c>
      <c r="C612" s="523">
        <v>3.3431999999999999</v>
      </c>
      <c r="D612" s="50"/>
      <c r="E612" s="50"/>
      <c r="F612" s="50"/>
      <c r="G612" s="50"/>
      <c r="H612" s="50"/>
      <c r="I612" s="50"/>
      <c r="J612" s="22">
        <v>63.803477000000001</v>
      </c>
      <c r="K612" s="22">
        <v>69.512046999999995</v>
      </c>
      <c r="L612" s="22">
        <v>265.10862800000001</v>
      </c>
      <c r="M612" s="22">
        <v>216.48124200000001</v>
      </c>
      <c r="N612" s="22">
        <v>57.292335999999999</v>
      </c>
      <c r="O612" s="22">
        <v>57.420333999999997</v>
      </c>
      <c r="P612" s="22">
        <v>4.6443770000000004</v>
      </c>
      <c r="Q612" s="22">
        <v>39.112904</v>
      </c>
      <c r="R612" s="22">
        <v>52.090541999999999</v>
      </c>
      <c r="S612" s="22">
        <v>42.408417999999998</v>
      </c>
      <c r="T612" s="22">
        <v>42.408417999999998</v>
      </c>
      <c r="U612" s="51" t="s">
        <v>219</v>
      </c>
      <c r="V612" s="55">
        <v>21.25</v>
      </c>
      <c r="W612" s="55">
        <v>788</v>
      </c>
      <c r="X612" s="49">
        <v>42064</v>
      </c>
    </row>
    <row r="613" spans="1:24" s="56" customFormat="1" ht="12" customHeight="1" x14ac:dyDescent="0.2">
      <c r="A613" s="49">
        <v>42095</v>
      </c>
      <c r="B613" s="523">
        <v>9.5000000000000639E-3</v>
      </c>
      <c r="C613" s="523">
        <v>3.3527</v>
      </c>
      <c r="D613" s="50"/>
      <c r="E613" s="50"/>
      <c r="F613" s="50"/>
      <c r="G613" s="50"/>
      <c r="H613" s="50"/>
      <c r="I613" s="50"/>
      <c r="J613" s="22">
        <v>64.250101000000001</v>
      </c>
      <c r="K613" s="22">
        <v>70.193264999999997</v>
      </c>
      <c r="L613" s="22">
        <v>266.75230099999999</v>
      </c>
      <c r="M613" s="22">
        <v>219.10066499999999</v>
      </c>
      <c r="N613" s="22">
        <v>58.157449999999997</v>
      </c>
      <c r="O613" s="22">
        <v>58.178282000000003</v>
      </c>
      <c r="P613" s="22">
        <v>4.7019669999999998</v>
      </c>
      <c r="Q613" s="22">
        <v>39.248247999999997</v>
      </c>
      <c r="R613" s="22">
        <v>52.736463999999998</v>
      </c>
      <c r="S613" s="22">
        <v>42.555166</v>
      </c>
      <c r="T613" s="22">
        <v>42.463379000000003</v>
      </c>
      <c r="U613" s="51" t="s">
        <v>219</v>
      </c>
      <c r="V613" s="55">
        <v>21.25</v>
      </c>
      <c r="W613" s="55">
        <v>788</v>
      </c>
      <c r="X613" s="49">
        <v>42095</v>
      </c>
    </row>
    <row r="614" spans="1:24" s="56" customFormat="1" ht="12" customHeight="1" x14ac:dyDescent="0.2">
      <c r="A614" s="49">
        <v>42125</v>
      </c>
      <c r="B614" s="523">
        <v>9.9000000000000199E-3</v>
      </c>
      <c r="C614" s="523">
        <v>3.3626</v>
      </c>
      <c r="D614" s="50"/>
      <c r="E614" s="50"/>
      <c r="F614" s="50"/>
      <c r="G614" s="50"/>
      <c r="H614" s="50"/>
      <c r="I614" s="50"/>
      <c r="J614" s="22">
        <v>64.956851999999998</v>
      </c>
      <c r="K614" s="22">
        <v>71.014526000000004</v>
      </c>
      <c r="L614" s="22">
        <v>267.97936099999998</v>
      </c>
      <c r="M614" s="22">
        <v>221.11639099999999</v>
      </c>
      <c r="N614" s="22">
        <v>58.570366999999997</v>
      </c>
      <c r="O614" s="22">
        <v>58.591346999999999</v>
      </c>
      <c r="P614" s="22">
        <v>4.7522779999999996</v>
      </c>
      <c r="Q614" s="22">
        <v>39.668204000000003</v>
      </c>
      <c r="R614" s="22">
        <v>53.300744000000002</v>
      </c>
      <c r="S614" s="22">
        <v>43.010505999999999</v>
      </c>
      <c r="T614" s="22">
        <v>42.508983999999998</v>
      </c>
      <c r="U614" s="51" t="s">
        <v>219</v>
      </c>
      <c r="V614" s="55">
        <v>21.25</v>
      </c>
      <c r="W614" s="55">
        <v>788</v>
      </c>
      <c r="X614" s="49">
        <v>42125</v>
      </c>
    </row>
    <row r="615" spans="1:24" s="56" customFormat="1" ht="12" customHeight="1" x14ac:dyDescent="0.2">
      <c r="A615" s="49">
        <v>42156</v>
      </c>
      <c r="B615" s="523">
        <v>1.0699999999999932E-2</v>
      </c>
      <c r="C615" s="523">
        <v>3.3733</v>
      </c>
      <c r="D615" s="50"/>
      <c r="E615" s="50"/>
      <c r="F615" s="50"/>
      <c r="G615" s="50"/>
      <c r="H615" s="50"/>
      <c r="I615" s="50"/>
      <c r="J615" s="22">
        <v>65.359583999999998</v>
      </c>
      <c r="K615" s="22">
        <v>71.305684999999997</v>
      </c>
      <c r="L615" s="22">
        <v>270.52516400000002</v>
      </c>
      <c r="M615" s="22">
        <v>222.000856</v>
      </c>
      <c r="N615" s="22">
        <v>59.150213000000001</v>
      </c>
      <c r="O615" s="22">
        <v>59.024921999999997</v>
      </c>
      <c r="P615" s="22">
        <v>4.7807909999999998</v>
      </c>
      <c r="Q615" s="22">
        <v>39.906213000000001</v>
      </c>
      <c r="R615" s="22">
        <v>53.620547999999999</v>
      </c>
      <c r="S615" s="22">
        <v>43.268568999999999</v>
      </c>
      <c r="T615" s="22">
        <v>42.557996000000003</v>
      </c>
      <c r="U615" s="51" t="s">
        <v>219</v>
      </c>
      <c r="V615" s="55">
        <v>21.25</v>
      </c>
      <c r="W615" s="55">
        <v>788</v>
      </c>
      <c r="X615" s="49">
        <v>42156</v>
      </c>
    </row>
    <row r="616" spans="1:24" s="56" customFormat="1" ht="12" customHeight="1" x14ac:dyDescent="0.2">
      <c r="A616" s="49">
        <v>42186</v>
      </c>
      <c r="B616" s="523">
        <v>1.1800000000000033E-2</v>
      </c>
      <c r="C616" s="523">
        <v>3.3851</v>
      </c>
      <c r="D616" s="50"/>
      <c r="E616" s="50"/>
      <c r="F616" s="50"/>
      <c r="G616" s="50"/>
      <c r="H616" s="50"/>
      <c r="I616" s="50"/>
      <c r="J616" s="22">
        <v>65.666774000000004</v>
      </c>
      <c r="K616" s="22">
        <v>71.783433000000002</v>
      </c>
      <c r="L616" s="22">
        <v>275.50282700000002</v>
      </c>
      <c r="M616" s="22">
        <v>223.51046099999999</v>
      </c>
      <c r="N616" s="22">
        <v>59.605668999999999</v>
      </c>
      <c r="O616" s="22">
        <v>59.491218000000003</v>
      </c>
      <c r="P616" s="22">
        <v>4.8281200000000002</v>
      </c>
      <c r="Q616" s="22">
        <v>40.301284000000003</v>
      </c>
      <c r="R616" s="22">
        <v>54.151390999999997</v>
      </c>
      <c r="S616" s="22">
        <v>43.696927000000002</v>
      </c>
      <c r="T616" s="22">
        <v>42.635153000000003</v>
      </c>
      <c r="U616" s="51" t="s">
        <v>219</v>
      </c>
      <c r="V616" s="55">
        <v>21.25</v>
      </c>
      <c r="W616" s="55">
        <v>788</v>
      </c>
      <c r="X616" s="49">
        <v>42186</v>
      </c>
    </row>
    <row r="617" spans="1:24" s="56" customFormat="1" ht="12" customHeight="1" x14ac:dyDescent="0.2">
      <c r="A617" s="49">
        <v>42217</v>
      </c>
      <c r="B617" s="523">
        <v>1.1099999999999888E-2</v>
      </c>
      <c r="C617" s="523">
        <v>3.3961999999999999</v>
      </c>
      <c r="D617" s="50"/>
      <c r="E617" s="50"/>
      <c r="F617" s="50"/>
      <c r="G617" s="50"/>
      <c r="H617" s="50"/>
      <c r="I617" s="50"/>
      <c r="J617" s="22">
        <v>66.224941000000001</v>
      </c>
      <c r="K617" s="22">
        <v>72.278738000000004</v>
      </c>
      <c r="L617" s="22">
        <v>277.01809200000002</v>
      </c>
      <c r="M617" s="22">
        <v>224.80682100000001</v>
      </c>
      <c r="N617" s="22">
        <v>59.951380999999998</v>
      </c>
      <c r="O617" s="22">
        <v>59.860062999999997</v>
      </c>
      <c r="P617" s="22">
        <v>4.8566050000000001</v>
      </c>
      <c r="Q617" s="22">
        <v>40.539060999999997</v>
      </c>
      <c r="R617" s="22">
        <v>54.470883999999998</v>
      </c>
      <c r="S617" s="22">
        <v>43.954737999999999</v>
      </c>
      <c r="T617" s="22">
        <v>42.733426999999999</v>
      </c>
      <c r="U617" s="51" t="s">
        <v>219</v>
      </c>
      <c r="V617" s="55">
        <v>21.25</v>
      </c>
      <c r="W617" s="55">
        <v>788</v>
      </c>
      <c r="X617" s="49">
        <v>42217</v>
      </c>
    </row>
    <row r="618" spans="1:24" s="56" customFormat="1" ht="12" customHeight="1" x14ac:dyDescent="0.2">
      <c r="A618" s="49">
        <v>42248</v>
      </c>
      <c r="B618" s="523">
        <v>1.1100000000000332E-2</v>
      </c>
      <c r="C618" s="523">
        <v>3.4073000000000002</v>
      </c>
      <c r="D618" s="50"/>
      <c r="E618" s="50"/>
      <c r="F618" s="50"/>
      <c r="G618" s="50"/>
      <c r="H618" s="50"/>
      <c r="I618" s="50"/>
      <c r="J618" s="22">
        <v>66.595799999999997</v>
      </c>
      <c r="K618" s="22">
        <v>72.481117999999995</v>
      </c>
      <c r="L618" s="22">
        <v>278.65249799999998</v>
      </c>
      <c r="M618" s="22">
        <v>225.70604800000001</v>
      </c>
      <c r="N618" s="22">
        <v>60.101258999999999</v>
      </c>
      <c r="O618" s="22">
        <v>59.991754999999998</v>
      </c>
      <c r="P618" s="22">
        <v>4.8774879999999996</v>
      </c>
      <c r="Q618" s="22">
        <v>40.713377999999999</v>
      </c>
      <c r="R618" s="22">
        <v>54.705108000000003</v>
      </c>
      <c r="S618" s="22">
        <v>44.143743000000001</v>
      </c>
      <c r="T618" s="22">
        <v>42.813209999999998</v>
      </c>
      <c r="U618" s="51" t="s">
        <v>219</v>
      </c>
      <c r="V618" s="55">
        <v>21.25</v>
      </c>
      <c r="W618" s="55">
        <v>788</v>
      </c>
      <c r="X618" s="49">
        <v>42248</v>
      </c>
    </row>
    <row r="619" spans="1:24" s="56" customFormat="1" ht="12" customHeight="1" x14ac:dyDescent="0.2">
      <c r="A619" s="49">
        <v>42278</v>
      </c>
      <c r="B619" s="523">
        <v>1.1099999999999888E-2</v>
      </c>
      <c r="C619" s="523">
        <v>3.4184000000000001</v>
      </c>
      <c r="D619" s="50"/>
      <c r="E619" s="50"/>
      <c r="F619" s="50"/>
      <c r="G619" s="50"/>
      <c r="H619" s="50"/>
      <c r="I619" s="50"/>
      <c r="J619" s="22">
        <v>67.035331999999997</v>
      </c>
      <c r="K619" s="22">
        <v>73.169687999999994</v>
      </c>
      <c r="L619" s="22">
        <v>279.265533</v>
      </c>
      <c r="M619" s="22">
        <v>228.91107299999999</v>
      </c>
      <c r="N619" s="22">
        <v>60.407775000000001</v>
      </c>
      <c r="O619" s="22">
        <v>60.315710000000003</v>
      </c>
      <c r="P619" s="22">
        <v>4.8965100000000001</v>
      </c>
      <c r="Q619" s="22">
        <v>40.872160000000001</v>
      </c>
      <c r="R619" s="22">
        <v>54.918456999999997</v>
      </c>
      <c r="S619" s="22">
        <v>44.315902999999999</v>
      </c>
      <c r="T619" s="22">
        <v>42.895411000000003</v>
      </c>
      <c r="U619" s="51" t="s">
        <v>219</v>
      </c>
      <c r="V619" s="55">
        <v>21.25</v>
      </c>
      <c r="W619" s="55">
        <v>788</v>
      </c>
      <c r="X619" s="49">
        <v>42278</v>
      </c>
    </row>
    <row r="620" spans="1:24" s="56" customFormat="1" ht="12" customHeight="1" x14ac:dyDescent="0.2">
      <c r="A620" s="49">
        <v>42309</v>
      </c>
      <c r="B620" s="523">
        <v>1.0599999999999721E-2</v>
      </c>
      <c r="C620" s="523">
        <v>3.4289999999999998</v>
      </c>
      <c r="D620" s="50"/>
      <c r="E620" s="50"/>
      <c r="F620" s="50"/>
      <c r="G620" s="50"/>
      <c r="H620" s="50"/>
      <c r="I620" s="50"/>
      <c r="J620" s="22">
        <v>67.625242</v>
      </c>
      <c r="K620" s="22">
        <v>74.552594999999997</v>
      </c>
      <c r="L620" s="22">
        <v>280.27088800000001</v>
      </c>
      <c r="M620" s="22">
        <v>232.93990700000001</v>
      </c>
      <c r="N620" s="22">
        <v>60.872914000000002</v>
      </c>
      <c r="O620" s="22">
        <v>60.810298000000003</v>
      </c>
      <c r="P620" s="22">
        <v>4.9288259999999999</v>
      </c>
      <c r="Q620" s="22">
        <v>41.141916000000002</v>
      </c>
      <c r="R620" s="22">
        <v>55.280918</v>
      </c>
      <c r="S620" s="22">
        <v>44.608387</v>
      </c>
      <c r="T620" s="22">
        <v>42.972192999999997</v>
      </c>
      <c r="U620" s="51" t="s">
        <v>219</v>
      </c>
      <c r="V620" s="55">
        <v>21.25</v>
      </c>
      <c r="W620" s="55">
        <v>788</v>
      </c>
      <c r="X620" s="49">
        <v>42309</v>
      </c>
    </row>
    <row r="621" spans="1:24" s="56" customFormat="1" ht="12" customHeight="1" x14ac:dyDescent="0.2">
      <c r="A621" s="49">
        <v>42339</v>
      </c>
      <c r="B621" s="523">
        <v>1.1600000000000055E-2</v>
      </c>
      <c r="C621" s="523">
        <v>3.4405999999999999</v>
      </c>
      <c r="D621" s="50"/>
      <c r="E621" s="50"/>
      <c r="F621" s="50"/>
      <c r="G621" s="50"/>
      <c r="H621" s="50"/>
      <c r="I621" s="50"/>
      <c r="J621" s="22">
        <v>68.342068999999995</v>
      </c>
      <c r="K621" s="22">
        <v>75.685794000000001</v>
      </c>
      <c r="L621" s="22">
        <v>281.22380900000002</v>
      </c>
      <c r="M621" s="22">
        <v>235.71189100000001</v>
      </c>
      <c r="N621" s="22">
        <v>61.548603</v>
      </c>
      <c r="O621" s="22">
        <v>61.424481999999998</v>
      </c>
      <c r="P621" s="22">
        <v>4.9707210000000002</v>
      </c>
      <c r="Q621" s="22">
        <v>41.491622</v>
      </c>
      <c r="R621" s="22">
        <v>55.750805</v>
      </c>
      <c r="S621" s="22">
        <v>44.987558</v>
      </c>
      <c r="T621" s="22">
        <v>43.027926999999998</v>
      </c>
      <c r="U621" s="51" t="s">
        <v>219</v>
      </c>
      <c r="V621" s="55">
        <v>21.25</v>
      </c>
      <c r="W621" s="55">
        <v>788</v>
      </c>
      <c r="X621" s="49">
        <v>42339</v>
      </c>
    </row>
    <row r="622" spans="1:24" s="56" customFormat="1" ht="12" customHeight="1" x14ac:dyDescent="0.2">
      <c r="A622" s="49">
        <v>42370</v>
      </c>
      <c r="B622" s="523">
        <v>1.0600000000000165E-2</v>
      </c>
      <c r="C622" s="523">
        <v>3.4512</v>
      </c>
      <c r="D622" s="50"/>
      <c r="E622" s="50"/>
      <c r="F622" s="50"/>
      <c r="G622" s="50"/>
      <c r="H622" s="50"/>
      <c r="I622" s="50"/>
      <c r="J622" s="22">
        <v>68.902473000000001</v>
      </c>
      <c r="K622" s="22">
        <v>76.056653999999995</v>
      </c>
      <c r="L622" s="22">
        <v>281.50503200000003</v>
      </c>
      <c r="M622" s="22">
        <v>236.74902299999999</v>
      </c>
      <c r="N622" s="22">
        <v>62.102539999999998</v>
      </c>
      <c r="O622" s="22">
        <v>62.014156999999997</v>
      </c>
      <c r="P622" s="22">
        <v>5.0293749999999999</v>
      </c>
      <c r="Q622" s="22">
        <v>41.981223</v>
      </c>
      <c r="R622" s="22">
        <v>56.408664000000002</v>
      </c>
      <c r="S622" s="22">
        <v>45.518411</v>
      </c>
      <c r="T622" s="22">
        <v>43.124738999999998</v>
      </c>
      <c r="U622" s="51" t="s">
        <v>219</v>
      </c>
      <c r="V622" s="55">
        <v>23.55</v>
      </c>
      <c r="W622" s="55">
        <v>880</v>
      </c>
      <c r="X622" s="49">
        <v>42370</v>
      </c>
    </row>
    <row r="623" spans="1:24" s="56" customFormat="1" ht="12" customHeight="1" x14ac:dyDescent="0.2">
      <c r="A623" s="49">
        <v>42401</v>
      </c>
      <c r="B623" s="523">
        <v>9.9999999999997868E-3</v>
      </c>
      <c r="C623" s="523">
        <v>3.4611999999999998</v>
      </c>
      <c r="D623" s="50"/>
      <c r="E623" s="50"/>
      <c r="F623" s="50"/>
      <c r="G623" s="50"/>
      <c r="H623" s="50"/>
      <c r="I623" s="50"/>
      <c r="J623" s="22">
        <v>69.846435999999997</v>
      </c>
      <c r="K623" s="22">
        <v>76.923698999999999</v>
      </c>
      <c r="L623" s="22">
        <v>282.60290099999997</v>
      </c>
      <c r="M623" s="22">
        <v>240.37128300000001</v>
      </c>
      <c r="N623" s="22">
        <v>63.040287999999997</v>
      </c>
      <c r="O623" s="22">
        <v>62.801735999999998</v>
      </c>
      <c r="P623" s="22">
        <v>5.0756449999999997</v>
      </c>
      <c r="Q623" s="22">
        <v>42.367449999999998</v>
      </c>
      <c r="R623" s="22">
        <v>56.927622999999997</v>
      </c>
      <c r="S623" s="22">
        <v>45.937179999999998</v>
      </c>
      <c r="T623" s="22">
        <v>43.181663</v>
      </c>
      <c r="U623" s="51" t="s">
        <v>219</v>
      </c>
      <c r="V623" s="55">
        <v>23.55</v>
      </c>
      <c r="W623" s="55">
        <v>880</v>
      </c>
      <c r="X623" s="49">
        <v>42401</v>
      </c>
    </row>
    <row r="624" spans="1:24" s="56" customFormat="1" ht="12" customHeight="1" x14ac:dyDescent="0.2">
      <c r="A624" s="49">
        <v>42430</v>
      </c>
      <c r="B624" s="523">
        <v>1.1600000000000055E-2</v>
      </c>
      <c r="C624" s="523">
        <v>3.4727999999999999</v>
      </c>
      <c r="D624" s="50"/>
      <c r="E624" s="50"/>
      <c r="F624" s="50"/>
      <c r="G624" s="50"/>
      <c r="H624" s="50"/>
      <c r="I624" s="50"/>
      <c r="J624" s="22">
        <v>70.468069</v>
      </c>
      <c r="K624" s="22">
        <v>77.916014000000004</v>
      </c>
      <c r="L624" s="22">
        <v>284.12895600000002</v>
      </c>
      <c r="M624" s="22">
        <v>242.270216</v>
      </c>
      <c r="N624" s="22">
        <v>63.63917</v>
      </c>
      <c r="O624" s="22">
        <v>63.366951</v>
      </c>
      <c r="P624" s="22">
        <v>5.1477190000000004</v>
      </c>
      <c r="Q624" s="22">
        <v>42.969067000000003</v>
      </c>
      <c r="R624" s="22">
        <v>57.735995000000003</v>
      </c>
      <c r="S624" s="22">
        <v>46.589486999999998</v>
      </c>
      <c r="T624" s="22">
        <v>43.222987000000003</v>
      </c>
      <c r="U624" s="51" t="s">
        <v>219</v>
      </c>
      <c r="V624" s="55">
        <v>23.55</v>
      </c>
      <c r="W624" s="55">
        <v>880</v>
      </c>
      <c r="X624" s="49">
        <v>42430</v>
      </c>
    </row>
    <row r="625" spans="1:24" s="56" customFormat="1" ht="12" customHeight="1" x14ac:dyDescent="0.2">
      <c r="A625" s="49">
        <v>42461</v>
      </c>
      <c r="B625" s="523">
        <v>1.0600000000000165E-2</v>
      </c>
      <c r="C625" s="523">
        <v>3.4834000000000001</v>
      </c>
      <c r="D625" s="50"/>
      <c r="E625" s="50"/>
      <c r="F625" s="50"/>
      <c r="G625" s="50"/>
      <c r="H625" s="50"/>
      <c r="I625" s="50"/>
      <c r="J625" s="22">
        <v>71.151608999999993</v>
      </c>
      <c r="K625" s="22">
        <v>78.313384999999997</v>
      </c>
      <c r="L625" s="22">
        <v>285.94738100000001</v>
      </c>
      <c r="M625" s="22">
        <v>243.31197700000001</v>
      </c>
      <c r="N625" s="22">
        <v>63.919181999999999</v>
      </c>
      <c r="O625" s="22">
        <v>63.639428000000002</v>
      </c>
      <c r="P625" s="22">
        <v>5.1698539999999999</v>
      </c>
      <c r="Q625" s="22">
        <v>43.153832999999999</v>
      </c>
      <c r="R625" s="22">
        <v>57.984259000000002</v>
      </c>
      <c r="S625" s="22">
        <v>46.789821000000003</v>
      </c>
      <c r="T625" s="22">
        <v>43.316693999999998</v>
      </c>
      <c r="U625" s="51" t="s">
        <v>219</v>
      </c>
      <c r="V625" s="55">
        <v>23.55</v>
      </c>
      <c r="W625" s="55">
        <v>880</v>
      </c>
      <c r="X625" s="49">
        <v>42461</v>
      </c>
    </row>
    <row r="626" spans="1:24" s="56" customFormat="1" ht="12" customHeight="1" x14ac:dyDescent="0.2">
      <c r="A626" s="49">
        <v>42491</v>
      </c>
      <c r="B626" s="523">
        <v>1.1099999999999888E-2</v>
      </c>
      <c r="C626" s="523">
        <v>3.4944999999999999</v>
      </c>
      <c r="D626" s="50"/>
      <c r="E626" s="50"/>
      <c r="F626" s="50"/>
      <c r="G626" s="50"/>
      <c r="H626" s="50"/>
      <c r="I626" s="50"/>
      <c r="J626" s="22">
        <v>71.478905999999995</v>
      </c>
      <c r="K626" s="22">
        <v>78.571819000000005</v>
      </c>
      <c r="L626" s="22">
        <v>287.52009099999998</v>
      </c>
      <c r="M626" s="22">
        <v>244.18790000000001</v>
      </c>
      <c r="N626" s="22">
        <v>64.328264000000004</v>
      </c>
      <c r="O626" s="22">
        <v>64.027628000000007</v>
      </c>
      <c r="P626" s="22">
        <v>5.1962200000000003</v>
      </c>
      <c r="Q626" s="22">
        <v>43.373916999999999</v>
      </c>
      <c r="R626" s="22">
        <v>58.279978</v>
      </c>
      <c r="S626" s="22">
        <v>47.028449000000002</v>
      </c>
      <c r="T626" s="22">
        <v>43.373178000000003</v>
      </c>
      <c r="U626" s="51" t="s">
        <v>219</v>
      </c>
      <c r="V626" s="55">
        <v>23.55</v>
      </c>
      <c r="W626" s="55">
        <v>880</v>
      </c>
      <c r="X626" s="49">
        <v>42491</v>
      </c>
    </row>
    <row r="627" spans="1:24" s="56" customFormat="1" ht="12" customHeight="1" x14ac:dyDescent="0.2">
      <c r="A627" s="49">
        <v>42522</v>
      </c>
      <c r="B627" s="523">
        <v>1.1600000000000055E-2</v>
      </c>
      <c r="C627" s="523">
        <v>3.5061</v>
      </c>
      <c r="D627" s="50"/>
      <c r="E627" s="50"/>
      <c r="F627" s="50"/>
      <c r="G627" s="50"/>
      <c r="H627" s="50"/>
      <c r="I627" s="50"/>
      <c r="J627" s="22">
        <v>71.886335000000003</v>
      </c>
      <c r="K627" s="22">
        <v>79.216106999999994</v>
      </c>
      <c r="L627" s="22">
        <v>287.75010700000001</v>
      </c>
      <c r="M627" s="22">
        <v>246.94722300000001</v>
      </c>
      <c r="N627" s="22">
        <v>64.958680000000001</v>
      </c>
      <c r="O627" s="22">
        <v>64.527043000000006</v>
      </c>
      <c r="P627" s="22">
        <v>5.240907</v>
      </c>
      <c r="Q627" s="22">
        <v>43.746932000000001</v>
      </c>
      <c r="R627" s="22">
        <v>58.781185000000001</v>
      </c>
      <c r="S627" s="22">
        <v>47.432893</v>
      </c>
      <c r="T627" s="22">
        <v>43.439669000000002</v>
      </c>
      <c r="U627" s="51" t="s">
        <v>219</v>
      </c>
      <c r="V627" s="55">
        <v>23.55</v>
      </c>
      <c r="W627" s="55">
        <v>880</v>
      </c>
      <c r="X627" s="49">
        <v>42522</v>
      </c>
    </row>
    <row r="628" spans="1:24" s="56" customFormat="1" ht="12" customHeight="1" x14ac:dyDescent="0.2">
      <c r="A628" s="49">
        <v>42552</v>
      </c>
      <c r="B628" s="523">
        <v>1.1099999999999888E-2</v>
      </c>
      <c r="C628" s="523">
        <v>3.5171999999999999</v>
      </c>
      <c r="D628" s="50"/>
      <c r="E628" s="50"/>
      <c r="F628" s="50"/>
      <c r="G628" s="50"/>
      <c r="H628" s="50"/>
      <c r="I628" s="50"/>
      <c r="J628" s="22">
        <v>72.353595999999996</v>
      </c>
      <c r="K628" s="22">
        <v>80.554858999999993</v>
      </c>
      <c r="L628" s="22">
        <v>293.30368399999998</v>
      </c>
      <c r="M628" s="22">
        <v>250.97246200000001</v>
      </c>
      <c r="N628" s="22">
        <v>65.263985000000005</v>
      </c>
      <c r="O628" s="22">
        <v>64.752887000000001</v>
      </c>
      <c r="P628" s="22">
        <v>5.26187</v>
      </c>
      <c r="Q628" s="22">
        <v>43.921919000000003</v>
      </c>
      <c r="R628" s="22">
        <v>59.016309</v>
      </c>
      <c r="S628" s="22">
        <v>47.622624000000002</v>
      </c>
      <c r="T628" s="22">
        <v>43.528416</v>
      </c>
      <c r="U628" s="51" t="s">
        <v>219</v>
      </c>
      <c r="V628" s="55">
        <v>23.55</v>
      </c>
      <c r="W628" s="55">
        <v>880</v>
      </c>
      <c r="X628" s="49">
        <v>42552</v>
      </c>
    </row>
    <row r="629" spans="1:24" s="56" customFormat="1" ht="12" customHeight="1" x14ac:dyDescent="0.2">
      <c r="A629" s="49">
        <v>42583</v>
      </c>
      <c r="B629" s="523">
        <v>1.2199999999999989E-2</v>
      </c>
      <c r="C629" s="523">
        <v>3.5293999999999999</v>
      </c>
      <c r="D629" s="50"/>
      <c r="E629" s="50"/>
      <c r="F629" s="50"/>
      <c r="G629" s="50"/>
      <c r="H629" s="50"/>
      <c r="I629" s="50"/>
      <c r="J629" s="22">
        <v>72.606832999999995</v>
      </c>
      <c r="K629" s="22">
        <v>80.699856999999994</v>
      </c>
      <c r="L629" s="22">
        <v>294.74087200000002</v>
      </c>
      <c r="M629" s="22">
        <v>249.99366900000001</v>
      </c>
      <c r="N629" s="22">
        <v>65.681674000000001</v>
      </c>
      <c r="O629" s="22">
        <v>65.089601999999999</v>
      </c>
      <c r="P629" s="22">
        <v>5.2902839999999998</v>
      </c>
      <c r="Q629" s="22">
        <v>44.159097000000003</v>
      </c>
      <c r="R629" s="22">
        <v>59.334997000000001</v>
      </c>
      <c r="S629" s="22">
        <v>47.879786000000003</v>
      </c>
      <c r="T629" s="22">
        <v>43.598975000000003</v>
      </c>
      <c r="U629" s="51" t="s">
        <v>219</v>
      </c>
      <c r="V629" s="55">
        <v>23.55</v>
      </c>
      <c r="W629" s="55">
        <v>880</v>
      </c>
      <c r="X629" s="49">
        <v>42583</v>
      </c>
    </row>
    <row r="630" spans="1:24" s="56" customFormat="1" ht="12" customHeight="1" x14ac:dyDescent="0.2">
      <c r="A630" s="49">
        <v>42614</v>
      </c>
      <c r="B630" s="523">
        <v>1.1100000000000332E-2</v>
      </c>
      <c r="C630" s="523">
        <v>3.5405000000000002</v>
      </c>
      <c r="D630" s="50"/>
      <c r="E630" s="50"/>
      <c r="F630" s="50"/>
      <c r="G630" s="50"/>
      <c r="H630" s="50"/>
      <c r="I630" s="50"/>
      <c r="J630" s="22">
        <v>72.686700000000002</v>
      </c>
      <c r="K630" s="22">
        <v>80.820905999999994</v>
      </c>
      <c r="L630" s="22">
        <v>295.59562</v>
      </c>
      <c r="M630" s="22">
        <v>251.06864100000001</v>
      </c>
      <c r="N630" s="22">
        <v>65.885287000000005</v>
      </c>
      <c r="O630" s="22">
        <v>65.375996000000001</v>
      </c>
      <c r="P630" s="22">
        <v>5.3140900000000002</v>
      </c>
      <c r="Q630" s="22">
        <v>44.357812000000003</v>
      </c>
      <c r="R630" s="22">
        <v>59.602004000000001</v>
      </c>
      <c r="S630" s="22">
        <v>48.095244999999998</v>
      </c>
      <c r="T630" s="22">
        <v>43.709933999999997</v>
      </c>
      <c r="U630" s="51" t="s">
        <v>219</v>
      </c>
      <c r="V630" s="55">
        <v>23.55</v>
      </c>
      <c r="W630" s="55">
        <v>880</v>
      </c>
      <c r="X630" s="49">
        <v>42614</v>
      </c>
    </row>
    <row r="631" spans="1:24" s="56" customFormat="1" ht="12" customHeight="1" x14ac:dyDescent="0.2">
      <c r="A631" s="49">
        <v>42644</v>
      </c>
      <c r="B631" s="523">
        <v>1.0499999999999954E-2</v>
      </c>
      <c r="C631" s="523">
        <v>3.5510000000000002</v>
      </c>
      <c r="D631" s="50"/>
      <c r="E631" s="50"/>
      <c r="F631" s="50"/>
      <c r="G631" s="50"/>
      <c r="H631" s="50"/>
      <c r="I631" s="50"/>
      <c r="J631" s="22">
        <v>72.584937999999994</v>
      </c>
      <c r="K631" s="22">
        <v>80.982546999999997</v>
      </c>
      <c r="L631" s="22">
        <v>296.57108499999998</v>
      </c>
      <c r="M631" s="22">
        <v>251.14396099999999</v>
      </c>
      <c r="N631" s="22">
        <v>65.937995000000001</v>
      </c>
      <c r="O631" s="22">
        <v>65.428296000000003</v>
      </c>
      <c r="P631" s="22">
        <v>5.3263119999999997</v>
      </c>
      <c r="Q631" s="22">
        <v>44.459834000000001</v>
      </c>
      <c r="R631" s="22">
        <v>59.739088000000002</v>
      </c>
      <c r="S631" s="22">
        <v>48.205863999999998</v>
      </c>
      <c r="T631" s="22">
        <v>43.778776999999998</v>
      </c>
      <c r="U631" s="51" t="s">
        <v>219</v>
      </c>
      <c r="V631" s="55">
        <v>23.55</v>
      </c>
      <c r="W631" s="55">
        <v>880</v>
      </c>
      <c r="X631" s="49">
        <v>42644</v>
      </c>
    </row>
    <row r="632" spans="1:24" s="56" customFormat="1" ht="12" customHeight="1" x14ac:dyDescent="0.2">
      <c r="A632" s="49">
        <v>42675</v>
      </c>
      <c r="B632" s="523">
        <v>1.0399999999999743E-2</v>
      </c>
      <c r="C632" s="523">
        <v>3.5613999999999999</v>
      </c>
      <c r="D632" s="50"/>
      <c r="E632" s="50"/>
      <c r="F632" s="50"/>
      <c r="G632" s="50"/>
      <c r="H632" s="50"/>
      <c r="I632" s="50"/>
      <c r="J632" s="22">
        <v>72.780917000000002</v>
      </c>
      <c r="K632" s="22">
        <v>81.112119000000007</v>
      </c>
      <c r="L632" s="22">
        <v>297.19388400000003</v>
      </c>
      <c r="M632" s="22">
        <v>251.470448</v>
      </c>
      <c r="N632" s="22">
        <v>66.050089</v>
      </c>
      <c r="O632" s="22">
        <v>65.598409000000004</v>
      </c>
      <c r="P632" s="22">
        <v>5.3364310000000001</v>
      </c>
      <c r="Q632" s="22">
        <v>44.544307000000003</v>
      </c>
      <c r="R632" s="22">
        <v>59.852592000000001</v>
      </c>
      <c r="S632" s="22">
        <v>48.297454999999999</v>
      </c>
      <c r="T632" s="22">
        <v>43.848866000000001</v>
      </c>
      <c r="U632" s="51" t="s">
        <v>219</v>
      </c>
      <c r="V632" s="55">
        <v>23.55</v>
      </c>
      <c r="W632" s="55">
        <v>880</v>
      </c>
      <c r="X632" s="49">
        <v>42675</v>
      </c>
    </row>
    <row r="633" spans="1:24" s="56" customFormat="1" ht="12" customHeight="1" x14ac:dyDescent="0.2">
      <c r="A633" s="49">
        <v>42705</v>
      </c>
      <c r="B633" s="523">
        <v>1.1200000000000099E-2</v>
      </c>
      <c r="C633" s="523">
        <v>3.5726</v>
      </c>
      <c r="D633" s="50"/>
      <c r="E633" s="50"/>
      <c r="F633" s="50"/>
      <c r="G633" s="50"/>
      <c r="H633" s="50"/>
      <c r="I633" s="50"/>
      <c r="J633" s="22">
        <v>72.890088000000006</v>
      </c>
      <c r="K633" s="22">
        <v>81.087784999999997</v>
      </c>
      <c r="L633" s="22">
        <v>297.66939400000001</v>
      </c>
      <c r="M633" s="22">
        <v>251.596183</v>
      </c>
      <c r="N633" s="22">
        <v>66.096323999999996</v>
      </c>
      <c r="O633" s="22">
        <v>65.716486000000003</v>
      </c>
      <c r="P633" s="22">
        <v>5.3503049999999996</v>
      </c>
      <c r="Q633" s="22">
        <v>44.660122000000001</v>
      </c>
      <c r="R633" s="22">
        <v>60.008208000000003</v>
      </c>
      <c r="S633" s="22">
        <v>48.423028000000002</v>
      </c>
      <c r="T633" s="22">
        <v>43.911481999999999</v>
      </c>
      <c r="U633" s="51" t="s">
        <v>219</v>
      </c>
      <c r="V633" s="55">
        <v>23.55</v>
      </c>
      <c r="W633" s="55">
        <v>880</v>
      </c>
      <c r="X633" s="49">
        <v>42705</v>
      </c>
    </row>
    <row r="634" spans="1:24" s="56" customFormat="1" ht="12" customHeight="1" x14ac:dyDescent="0.2">
      <c r="A634" s="49">
        <v>42736</v>
      </c>
      <c r="B634" s="523">
        <v>1.089999999999991E-2</v>
      </c>
      <c r="C634" s="523">
        <v>3.5834999999999999</v>
      </c>
      <c r="D634" s="50"/>
      <c r="E634" s="50"/>
      <c r="F634" s="50"/>
      <c r="G634" s="50"/>
      <c r="H634" s="50"/>
      <c r="I634" s="50"/>
      <c r="J634" s="22">
        <v>73.414895999999999</v>
      </c>
      <c r="K634" s="22">
        <v>81.525659000000005</v>
      </c>
      <c r="L634" s="22">
        <v>298.68146899999999</v>
      </c>
      <c r="M634" s="22">
        <v>253.68443099999999</v>
      </c>
      <c r="N634" s="22">
        <v>66.188857999999996</v>
      </c>
      <c r="O634" s="22">
        <v>65.913634999999999</v>
      </c>
      <c r="P634" s="22">
        <v>5.3604700000000003</v>
      </c>
      <c r="Q634" s="22">
        <v>44.744976000000001</v>
      </c>
      <c r="R634" s="22">
        <v>60.122222999999998</v>
      </c>
      <c r="S634" s="22">
        <v>48.515031</v>
      </c>
      <c r="T634" s="22">
        <v>43.992674000000001</v>
      </c>
      <c r="U634" s="51" t="s">
        <v>219</v>
      </c>
      <c r="V634" s="55">
        <v>25.07</v>
      </c>
      <c r="W634" s="55">
        <v>937</v>
      </c>
      <c r="X634" s="49">
        <v>42736</v>
      </c>
    </row>
    <row r="635" spans="1:24" s="56" customFormat="1" ht="12" customHeight="1" x14ac:dyDescent="0.2">
      <c r="A635" s="49">
        <v>42767</v>
      </c>
      <c r="B635" s="523">
        <v>8.7000000000001521E-3</v>
      </c>
      <c r="C635" s="523">
        <v>3.5922000000000001</v>
      </c>
      <c r="D635" s="50"/>
      <c r="E635" s="50"/>
      <c r="F635" s="50"/>
      <c r="G635" s="50"/>
      <c r="H635" s="50"/>
      <c r="I635" s="50"/>
      <c r="J635" s="22">
        <v>73.649822999999998</v>
      </c>
      <c r="K635" s="22">
        <v>82.047422999999995</v>
      </c>
      <c r="L635" s="22">
        <v>299.90606300000002</v>
      </c>
      <c r="M635" s="22">
        <v>254.775274</v>
      </c>
      <c r="N635" s="22">
        <v>66.466851000000005</v>
      </c>
      <c r="O635" s="22">
        <v>66.164106000000004</v>
      </c>
      <c r="P635" s="22">
        <v>5.3770870000000004</v>
      </c>
      <c r="Q635" s="22">
        <v>44.883685</v>
      </c>
      <c r="R635" s="22">
        <v>60.308601000000003</v>
      </c>
      <c r="S635" s="22">
        <v>48.665427000000001</v>
      </c>
      <c r="T635" s="22">
        <v>44.067461000000002</v>
      </c>
      <c r="U635" s="51" t="s">
        <v>219</v>
      </c>
      <c r="V635" s="55">
        <v>25.07</v>
      </c>
      <c r="W635" s="55">
        <v>937</v>
      </c>
      <c r="X635" s="49">
        <v>42767</v>
      </c>
    </row>
    <row r="636" spans="1:24" s="56" customFormat="1" ht="12" customHeight="1" x14ac:dyDescent="0.2">
      <c r="A636" s="49">
        <v>42795</v>
      </c>
      <c r="B636" s="523">
        <v>1.0499999999999954E-2</v>
      </c>
      <c r="C636" s="523">
        <v>3.6027</v>
      </c>
      <c r="D636" s="50"/>
      <c r="E636" s="50"/>
      <c r="F636" s="50"/>
      <c r="G636" s="50"/>
      <c r="H636" s="50"/>
      <c r="I636" s="50"/>
      <c r="J636" s="22">
        <v>73.590902999999997</v>
      </c>
      <c r="K636" s="22">
        <v>82.113060000000004</v>
      </c>
      <c r="L636" s="22">
        <v>301.85545200000001</v>
      </c>
      <c r="M636" s="22">
        <v>254.92813899999999</v>
      </c>
      <c r="N636" s="22">
        <v>66.626371000000006</v>
      </c>
      <c r="O636" s="22">
        <v>66.382446999999999</v>
      </c>
      <c r="P636" s="22">
        <v>5.406123</v>
      </c>
      <c r="Q636" s="22">
        <v>45.126055999999998</v>
      </c>
      <c r="R636" s="22">
        <v>60.634267000000001</v>
      </c>
      <c r="S636" s="22">
        <v>48.928220000000003</v>
      </c>
      <c r="T636" s="22">
        <v>44.080768999999997</v>
      </c>
      <c r="U636" s="51" t="s">
        <v>219</v>
      </c>
      <c r="V636" s="55">
        <v>25.07</v>
      </c>
      <c r="W636" s="55">
        <v>937</v>
      </c>
      <c r="X636" s="49">
        <v>42795</v>
      </c>
    </row>
    <row r="637" spans="1:24" s="56" customFormat="1" ht="12" customHeight="1" x14ac:dyDescent="0.2">
      <c r="A637" s="49">
        <v>42826</v>
      </c>
      <c r="B637" s="523">
        <v>7.8999999999997961E-3</v>
      </c>
      <c r="C637" s="523">
        <v>3.6105999999999998</v>
      </c>
      <c r="D637" s="50"/>
      <c r="E637" s="50"/>
      <c r="F637" s="50"/>
      <c r="G637" s="50"/>
      <c r="H637" s="50"/>
      <c r="I637" s="50"/>
      <c r="J637" s="22">
        <v>73.693929999999995</v>
      </c>
      <c r="K637" s="22">
        <v>82.121270999999993</v>
      </c>
      <c r="L637" s="22">
        <v>302.33841999999999</v>
      </c>
      <c r="M637" s="22">
        <v>253.95941199999999</v>
      </c>
      <c r="N637" s="22">
        <v>66.839574999999996</v>
      </c>
      <c r="O637" s="22">
        <v>66.548402999999993</v>
      </c>
      <c r="P637" s="22">
        <v>5.4142320000000002</v>
      </c>
      <c r="Q637" s="22">
        <v>45.193745</v>
      </c>
      <c r="R637" s="22">
        <v>60.725217999999998</v>
      </c>
      <c r="S637" s="22">
        <v>49.001612000000002</v>
      </c>
      <c r="T637" s="22">
        <v>44.147727000000003</v>
      </c>
      <c r="U637" s="51" t="s">
        <v>219</v>
      </c>
      <c r="V637" s="55">
        <v>25.07</v>
      </c>
      <c r="W637" s="55">
        <v>937</v>
      </c>
      <c r="X637" s="49">
        <v>42826</v>
      </c>
    </row>
    <row r="638" spans="1:24" s="56" customFormat="1" ht="12" customHeight="1" x14ac:dyDescent="0.2">
      <c r="A638" s="49">
        <v>42856</v>
      </c>
      <c r="B638" s="523">
        <v>9.300000000000086E-3</v>
      </c>
      <c r="C638" s="523">
        <v>3.6198999999999999</v>
      </c>
      <c r="D638" s="50"/>
      <c r="E638" s="50"/>
      <c r="F638" s="50"/>
      <c r="G638" s="50"/>
      <c r="H638" s="50"/>
      <c r="I638" s="50"/>
      <c r="J638" s="22">
        <v>74.143462</v>
      </c>
      <c r="K638" s="22">
        <v>81.217937000000006</v>
      </c>
      <c r="L638" s="22">
        <v>302.27795200000003</v>
      </c>
      <c r="M638" s="22">
        <v>250.810315</v>
      </c>
      <c r="N638" s="22">
        <v>66.893045999999998</v>
      </c>
      <c r="O638" s="22">
        <v>66.641570000000002</v>
      </c>
      <c r="P638" s="22">
        <v>5.4256010000000003</v>
      </c>
      <c r="Q638" s="22">
        <v>45.288651000000002</v>
      </c>
      <c r="R638" s="22">
        <v>60.852739999999997</v>
      </c>
      <c r="S638" s="22">
        <v>49.104514999999999</v>
      </c>
      <c r="T638" s="22">
        <v>44.147727000000003</v>
      </c>
      <c r="U638" s="51" t="s">
        <v>219</v>
      </c>
      <c r="V638" s="55">
        <v>25.07</v>
      </c>
      <c r="W638" s="55">
        <v>937</v>
      </c>
      <c r="X638" s="49">
        <v>42856</v>
      </c>
    </row>
    <row r="639" spans="1:24" s="56" customFormat="1" ht="12" customHeight="1" x14ac:dyDescent="0.2">
      <c r="A639" s="49">
        <v>42887</v>
      </c>
      <c r="B639" s="523">
        <v>8.1000000000002181E-3</v>
      </c>
      <c r="C639" s="523">
        <v>3.6280000000000001</v>
      </c>
      <c r="D639" s="50"/>
      <c r="E639" s="50"/>
      <c r="F639" s="50"/>
      <c r="G639" s="50"/>
      <c r="H639" s="50"/>
      <c r="I639" s="50"/>
      <c r="J639" s="22">
        <v>74.106390000000005</v>
      </c>
      <c r="K639" s="22">
        <v>80.462609999999998</v>
      </c>
      <c r="L639" s="22">
        <v>304.18230299999999</v>
      </c>
      <c r="M639" s="22">
        <v>249.531182</v>
      </c>
      <c r="N639" s="22">
        <v>67.133859999999999</v>
      </c>
      <c r="O639" s="22">
        <v>66.848157999999998</v>
      </c>
      <c r="P639" s="22">
        <v>5.4386219999999996</v>
      </c>
      <c r="Q639" s="22">
        <v>45.397342999999999</v>
      </c>
      <c r="R639" s="22">
        <v>60.998786000000003</v>
      </c>
      <c r="S639" s="22">
        <v>49.222365000000003</v>
      </c>
      <c r="T639" s="22">
        <v>44.181455</v>
      </c>
      <c r="U639" s="51" t="s">
        <v>219</v>
      </c>
      <c r="V639" s="55">
        <v>25.07</v>
      </c>
      <c r="W639" s="55">
        <v>937</v>
      </c>
      <c r="X639" s="49">
        <v>42887</v>
      </c>
    </row>
    <row r="640" spans="1:24" s="56" customFormat="1" ht="12" customHeight="1" x14ac:dyDescent="0.2">
      <c r="A640" s="49">
        <v>42917</v>
      </c>
      <c r="B640" s="523">
        <v>8.0000000000000071E-3</v>
      </c>
      <c r="C640" s="523">
        <v>3.6360000000000001</v>
      </c>
      <c r="D640" s="50"/>
      <c r="E640" s="50"/>
      <c r="F640" s="50"/>
      <c r="G640" s="50"/>
      <c r="H640" s="50"/>
      <c r="I640" s="50"/>
      <c r="J640" s="22">
        <v>74.143443000000005</v>
      </c>
      <c r="K640" s="22">
        <v>79.923509999999993</v>
      </c>
      <c r="L640" s="22">
        <v>307.01119799999998</v>
      </c>
      <c r="M640" s="22">
        <v>247.135682</v>
      </c>
      <c r="N640" s="22">
        <v>66.932457999999997</v>
      </c>
      <c r="O640" s="22">
        <v>66.694406999999998</v>
      </c>
      <c r="P640" s="22">
        <v>5.4473229999999999</v>
      </c>
      <c r="Q640" s="22">
        <v>45.469977999999998</v>
      </c>
      <c r="R640" s="22">
        <v>61.096384</v>
      </c>
      <c r="S640" s="22">
        <v>49.301119999999997</v>
      </c>
      <c r="T640" s="22">
        <v>44.205136000000003</v>
      </c>
      <c r="U640" s="51" t="s">
        <v>219</v>
      </c>
      <c r="V640" s="55">
        <v>25.07</v>
      </c>
      <c r="W640" s="55">
        <v>937</v>
      </c>
      <c r="X640" s="49">
        <v>42917</v>
      </c>
    </row>
    <row r="641" spans="1:24" s="56" customFormat="1" ht="12" customHeight="1" x14ac:dyDescent="0.2">
      <c r="A641" s="49">
        <v>42948</v>
      </c>
      <c r="B641" s="523">
        <v>8.0000000000000071E-3</v>
      </c>
      <c r="C641" s="523">
        <v>3.6440000000000001</v>
      </c>
      <c r="D641" s="50"/>
      <c r="E641" s="50"/>
      <c r="F641" s="50"/>
      <c r="G641" s="50"/>
      <c r="H641" s="50"/>
      <c r="I641" s="50"/>
      <c r="J641" s="22">
        <v>74.136027999999996</v>
      </c>
      <c r="K641" s="22">
        <v>79.348060000000004</v>
      </c>
      <c r="L641" s="22">
        <v>307.932231</v>
      </c>
      <c r="M641" s="22">
        <v>246.394274</v>
      </c>
      <c r="N641" s="22">
        <v>67.046243000000004</v>
      </c>
      <c r="O641" s="22">
        <v>66.854472999999999</v>
      </c>
      <c r="P641" s="22">
        <v>5.4375169999999997</v>
      </c>
      <c r="Q641" s="22">
        <v>45.388131999999999</v>
      </c>
      <c r="R641" s="22">
        <v>60.986409999999999</v>
      </c>
      <c r="S641" s="22">
        <v>49.212376999999996</v>
      </c>
      <c r="T641" s="22">
        <v>44.232675</v>
      </c>
      <c r="U641" s="51" t="s">
        <v>219</v>
      </c>
      <c r="V641" s="55">
        <v>25.07</v>
      </c>
      <c r="W641" s="55">
        <v>937</v>
      </c>
      <c r="X641" s="49">
        <v>42948</v>
      </c>
    </row>
    <row r="642" spans="1:24" s="56" customFormat="1" ht="12" customHeight="1" x14ac:dyDescent="0.2">
      <c r="A642" s="49">
        <v>42979</v>
      </c>
      <c r="B642" s="523">
        <v>6.3999999999997392E-3</v>
      </c>
      <c r="C642" s="523">
        <v>3.6503999999999999</v>
      </c>
      <c r="D642" s="50"/>
      <c r="E642" s="50"/>
      <c r="F642" s="50"/>
      <c r="G642" s="50"/>
      <c r="H642" s="50"/>
      <c r="I642" s="50"/>
      <c r="J642" s="22">
        <v>74.210164000000006</v>
      </c>
      <c r="K642" s="22">
        <v>79.427408</v>
      </c>
      <c r="L642" s="22">
        <v>309.04078700000002</v>
      </c>
      <c r="M642" s="22">
        <v>246.98562000000001</v>
      </c>
      <c r="N642" s="22">
        <v>67.026128999999997</v>
      </c>
      <c r="O642" s="22">
        <v>66.981496000000007</v>
      </c>
      <c r="P642" s="22">
        <v>5.4565479999999997</v>
      </c>
      <c r="Q642" s="22">
        <v>45.546990000000001</v>
      </c>
      <c r="R642" s="22">
        <v>61.199862000000003</v>
      </c>
      <c r="S642" s="22">
        <v>49.384619999999998</v>
      </c>
      <c r="T642" s="22">
        <v>44.255189000000001</v>
      </c>
      <c r="U642" s="51" t="s">
        <v>219</v>
      </c>
      <c r="V642" s="55">
        <v>25.07</v>
      </c>
      <c r="W642" s="55">
        <v>937</v>
      </c>
      <c r="X642" s="49">
        <v>42979</v>
      </c>
    </row>
    <row r="643" spans="1:24" s="56" customFormat="1" ht="12" customHeight="1" x14ac:dyDescent="0.2">
      <c r="A643" s="49">
        <v>43009</v>
      </c>
      <c r="B643" s="523">
        <v>6.4000000000001833E-3</v>
      </c>
      <c r="C643" s="523">
        <v>3.6568000000000001</v>
      </c>
      <c r="D643" s="50"/>
      <c r="E643" s="50"/>
      <c r="F643" s="50"/>
      <c r="G643" s="50"/>
      <c r="H643" s="50"/>
      <c r="I643" s="50"/>
      <c r="J643" s="22">
        <v>74.225005999999993</v>
      </c>
      <c r="K643" s="22">
        <v>79.800715999999994</v>
      </c>
      <c r="L643" s="22">
        <v>309.22621099999998</v>
      </c>
      <c r="M643" s="22">
        <v>248.51693</v>
      </c>
      <c r="N643" s="22">
        <v>67.012722999999994</v>
      </c>
      <c r="O643" s="22">
        <v>67.088666000000003</v>
      </c>
      <c r="P643" s="22">
        <v>5.4625500000000002</v>
      </c>
      <c r="Q643" s="22">
        <v>45.597090999999999</v>
      </c>
      <c r="R643" s="22">
        <v>61.267181000000001</v>
      </c>
      <c r="S643" s="22">
        <v>49.438943000000002</v>
      </c>
      <c r="T643" s="22">
        <v>44.255189000000001</v>
      </c>
      <c r="U643" s="51" t="s">
        <v>219</v>
      </c>
      <c r="V643" s="55">
        <v>25.07</v>
      </c>
      <c r="W643" s="55">
        <v>937</v>
      </c>
      <c r="X643" s="49">
        <v>43009</v>
      </c>
    </row>
    <row r="644" spans="1:24" s="56" customFormat="1" ht="12" customHeight="1" x14ac:dyDescent="0.2">
      <c r="A644" s="49">
        <v>43040</v>
      </c>
      <c r="B644" s="523">
        <v>5.7000000000000384E-3</v>
      </c>
      <c r="C644" s="523">
        <v>3.6625000000000001</v>
      </c>
      <c r="D644" s="50"/>
      <c r="E644" s="50"/>
      <c r="F644" s="50"/>
      <c r="G644" s="50"/>
      <c r="H644" s="50"/>
      <c r="I644" s="50"/>
      <c r="J644" s="22">
        <v>74.462525999999997</v>
      </c>
      <c r="K644" s="22">
        <v>79.960317000000003</v>
      </c>
      <c r="L644" s="22">
        <v>310.18481200000002</v>
      </c>
      <c r="M644" s="22">
        <v>248.765446</v>
      </c>
      <c r="N644" s="22">
        <v>67.260670000000005</v>
      </c>
      <c r="O644" s="22">
        <v>67.370437999999993</v>
      </c>
      <c r="P644" s="22">
        <v>5.481122</v>
      </c>
      <c r="Q644" s="22">
        <v>45.752121000000002</v>
      </c>
      <c r="R644" s="22">
        <v>61.475489000000003</v>
      </c>
      <c r="S644" s="22">
        <v>49.607035000000003</v>
      </c>
      <c r="T644" s="22">
        <v>44.255189000000001</v>
      </c>
      <c r="U644" s="51" t="s">
        <v>219</v>
      </c>
      <c r="V644" s="55">
        <v>25.07</v>
      </c>
      <c r="W644" s="55">
        <v>937</v>
      </c>
      <c r="X644" s="49">
        <v>43040</v>
      </c>
    </row>
    <row r="645" spans="1:24" s="56" customFormat="1" ht="12" customHeight="1" x14ac:dyDescent="0.2">
      <c r="A645" s="49">
        <v>43070</v>
      </c>
      <c r="B645" s="523">
        <v>5.3999999999998494E-3</v>
      </c>
      <c r="C645" s="523">
        <v>3.6678999999999999</v>
      </c>
      <c r="D645" s="50"/>
      <c r="E645" s="50"/>
      <c r="F645" s="50"/>
      <c r="G645" s="50"/>
      <c r="H645" s="50"/>
      <c r="I645" s="50"/>
      <c r="J645" s="22">
        <v>74.678466999999998</v>
      </c>
      <c r="K645" s="22">
        <v>80.376109999999997</v>
      </c>
      <c r="L645" s="22">
        <v>311.14638400000001</v>
      </c>
      <c r="M645" s="22">
        <v>250.75556900000001</v>
      </c>
      <c r="N645" s="22">
        <v>67.381738999999996</v>
      </c>
      <c r="O645" s="22">
        <v>67.559075000000007</v>
      </c>
      <c r="P645" s="22">
        <v>5.4986610000000002</v>
      </c>
      <c r="Q645" s="22">
        <v>45.898527000000001</v>
      </c>
      <c r="R645" s="22">
        <v>61.67221</v>
      </c>
      <c r="S645" s="22">
        <v>49.765777</v>
      </c>
      <c r="T645" s="22">
        <v>44.255189000000001</v>
      </c>
      <c r="U645" s="51" t="s">
        <v>219</v>
      </c>
      <c r="V645" s="55">
        <v>25.07</v>
      </c>
      <c r="W645" s="55">
        <v>937</v>
      </c>
      <c r="X645" s="49">
        <v>43070</v>
      </c>
    </row>
    <row r="646" spans="1:24" s="56" customFormat="1" ht="12" customHeight="1" x14ac:dyDescent="0.2">
      <c r="A646" s="49">
        <v>43101</v>
      </c>
      <c r="B646" s="523">
        <v>5.8000000000002494E-3</v>
      </c>
      <c r="C646" s="523">
        <v>3.6737000000000002</v>
      </c>
      <c r="D646" s="50"/>
      <c r="E646" s="50"/>
      <c r="F646" s="50"/>
      <c r="G646" s="50"/>
      <c r="H646" s="50"/>
      <c r="I646" s="50"/>
      <c r="J646" s="22">
        <v>75.089197999999996</v>
      </c>
      <c r="K646" s="22">
        <v>81.091457000000005</v>
      </c>
      <c r="L646" s="22">
        <v>311.36418600000002</v>
      </c>
      <c r="M646" s="22">
        <v>252.61116000000001</v>
      </c>
      <c r="N646" s="22">
        <v>67.556931000000006</v>
      </c>
      <c r="O646" s="22">
        <v>67.856334000000004</v>
      </c>
      <c r="P646" s="22">
        <v>5.517906</v>
      </c>
      <c r="Q646" s="22">
        <v>46.059170999999999</v>
      </c>
      <c r="R646" s="22">
        <v>61.888061999999998</v>
      </c>
      <c r="S646" s="22">
        <v>49.939957</v>
      </c>
      <c r="T646" s="22">
        <v>44.255189000000001</v>
      </c>
      <c r="U646" s="51" t="s">
        <v>219</v>
      </c>
      <c r="V646" s="55">
        <v>25.7</v>
      </c>
      <c r="W646" s="55">
        <v>954</v>
      </c>
      <c r="X646" s="49">
        <v>43101</v>
      </c>
    </row>
    <row r="647" spans="1:24" s="56" customFormat="1" ht="12" customHeight="1" x14ac:dyDescent="0.2">
      <c r="A647" s="49">
        <v>43132</v>
      </c>
      <c r="B647" s="523">
        <v>4.6999999999997044E-3</v>
      </c>
      <c r="C647" s="523">
        <v>3.6783999999999999</v>
      </c>
      <c r="D647" s="50"/>
      <c r="E647" s="50"/>
      <c r="F647" s="50"/>
      <c r="G647" s="50"/>
      <c r="H647" s="50"/>
      <c r="I647" s="50"/>
      <c r="J647" s="22">
        <v>75.434607999999997</v>
      </c>
      <c r="K647" s="22">
        <v>81.707751999999999</v>
      </c>
      <c r="L647" s="22">
        <v>312.32941399999999</v>
      </c>
      <c r="M647" s="22">
        <v>254.07630399999999</v>
      </c>
      <c r="N647" s="22">
        <v>67.712311</v>
      </c>
      <c r="O647" s="22">
        <v>68.053117</v>
      </c>
      <c r="P647" s="22">
        <v>5.5394249999999996</v>
      </c>
      <c r="Q647" s="22">
        <v>46.238801000000002</v>
      </c>
      <c r="R647" s="22">
        <v>62.129424999999998</v>
      </c>
      <c r="S647" s="22">
        <v>50.134721999999996</v>
      </c>
      <c r="T647" s="22">
        <v>44.255189000000001</v>
      </c>
      <c r="U647" s="51" t="s">
        <v>219</v>
      </c>
      <c r="V647" s="55">
        <v>25.7</v>
      </c>
      <c r="W647" s="55">
        <v>954</v>
      </c>
      <c r="X647" s="49">
        <v>43132</v>
      </c>
    </row>
    <row r="648" spans="1:24" s="56" customFormat="1" ht="12" customHeight="1" x14ac:dyDescent="0.2">
      <c r="A648" s="49">
        <v>43160</v>
      </c>
      <c r="B648" s="523">
        <v>5.3000000000000824E-3</v>
      </c>
      <c r="C648" s="523">
        <v>3.6837</v>
      </c>
      <c r="D648" s="50"/>
      <c r="E648" s="50"/>
      <c r="F648" s="50"/>
      <c r="G648" s="50"/>
      <c r="H648" s="50"/>
      <c r="I648" s="50"/>
      <c r="J648" s="22">
        <v>75.117782000000005</v>
      </c>
      <c r="K648" s="22">
        <v>81.764947000000006</v>
      </c>
      <c r="L648" s="22">
        <v>312.73544199999998</v>
      </c>
      <c r="M648" s="22">
        <v>254.45741799999999</v>
      </c>
      <c r="N648" s="22">
        <v>67.834192999999999</v>
      </c>
      <c r="O648" s="22">
        <v>68.270886000000004</v>
      </c>
      <c r="P648" s="22">
        <v>5.5604740000000001</v>
      </c>
      <c r="Q648" s="22">
        <v>46.414507999999998</v>
      </c>
      <c r="R648" s="22">
        <v>62.365516</v>
      </c>
      <c r="S648" s="22">
        <v>50.325232999999997</v>
      </c>
      <c r="T648" s="22">
        <v>44.255189000000001</v>
      </c>
      <c r="U648" s="51" t="s">
        <v>219</v>
      </c>
      <c r="V648" s="55">
        <v>25.7</v>
      </c>
      <c r="W648" s="55">
        <v>954</v>
      </c>
      <c r="X648" s="49">
        <v>43160</v>
      </c>
    </row>
    <row r="649" spans="1:24" s="56" customFormat="1" ht="12" customHeight="1" x14ac:dyDescent="0.2">
      <c r="A649" s="49">
        <v>43191</v>
      </c>
      <c r="B649" s="523">
        <v>5.1999999999998714E-3</v>
      </c>
      <c r="C649" s="523">
        <v>3.6888999999999998</v>
      </c>
      <c r="D649" s="50"/>
      <c r="E649" s="50"/>
      <c r="F649" s="50"/>
      <c r="G649" s="50"/>
      <c r="H649" s="50"/>
      <c r="I649" s="50"/>
      <c r="J649" s="22">
        <v>75.117782000000005</v>
      </c>
      <c r="K649" s="22">
        <v>82.288241999999997</v>
      </c>
      <c r="L649" s="22">
        <v>313.48600699999997</v>
      </c>
      <c r="M649" s="22">
        <v>255.88237899999999</v>
      </c>
      <c r="N649" s="22">
        <v>67.881675999999999</v>
      </c>
      <c r="O649" s="22">
        <v>68.332329000000001</v>
      </c>
      <c r="P649" s="22">
        <v>5.5660340000000001</v>
      </c>
      <c r="Q649" s="22">
        <v>46.460921999999997</v>
      </c>
      <c r="R649" s="22">
        <v>62.427880999999999</v>
      </c>
      <c r="S649" s="22">
        <v>50.375557999999998</v>
      </c>
      <c r="T649" s="22">
        <v>44.255189000000001</v>
      </c>
      <c r="U649" s="51" t="s">
        <v>219</v>
      </c>
      <c r="V649" s="55">
        <v>25.7</v>
      </c>
      <c r="W649" s="55">
        <v>954</v>
      </c>
      <c r="X649" s="49">
        <v>43191</v>
      </c>
    </row>
    <row r="650" spans="1:24" s="56" customFormat="1" ht="12" customHeight="1" x14ac:dyDescent="0.2">
      <c r="A650" s="49">
        <v>43221</v>
      </c>
      <c r="B650" s="523">
        <v>5.2000000000003155E-3</v>
      </c>
      <c r="C650" s="523">
        <v>3.6941000000000002</v>
      </c>
      <c r="D650" s="50"/>
      <c r="E650" s="50"/>
      <c r="F650" s="50"/>
      <c r="G650" s="50"/>
      <c r="H650" s="50"/>
      <c r="I650" s="50"/>
      <c r="J650" s="22">
        <v>75.095246000000003</v>
      </c>
      <c r="K650" s="22">
        <v>82.757283999999999</v>
      </c>
      <c r="L650" s="22">
        <v>314.39511599999997</v>
      </c>
      <c r="M650" s="22">
        <v>258.26208500000001</v>
      </c>
      <c r="N650" s="22">
        <v>68.024226999999996</v>
      </c>
      <c r="O650" s="22">
        <v>68.482659999999996</v>
      </c>
      <c r="P650" s="22">
        <v>5.5777219999999996</v>
      </c>
      <c r="Q650" s="22">
        <v>46.558489000000002</v>
      </c>
      <c r="R650" s="22">
        <v>62.558979000000001</v>
      </c>
      <c r="S650" s="22">
        <v>50.481346000000002</v>
      </c>
      <c r="T650" s="22">
        <v>44.255189000000001</v>
      </c>
      <c r="U650" s="51" t="s">
        <v>219</v>
      </c>
      <c r="V650" s="55">
        <v>25.7</v>
      </c>
      <c r="W650" s="55">
        <v>954</v>
      </c>
      <c r="X650" s="49">
        <v>43221</v>
      </c>
    </row>
    <row r="651" spans="1:24" s="56" customFormat="1" ht="12" customHeight="1" x14ac:dyDescent="0.2">
      <c r="A651" s="49">
        <v>43252</v>
      </c>
      <c r="B651" s="523">
        <v>5.1999999999998714E-3</v>
      </c>
      <c r="C651" s="523">
        <v>3.6993</v>
      </c>
      <c r="D651" s="50"/>
      <c r="E651" s="50"/>
      <c r="F651" s="50"/>
      <c r="G651" s="50"/>
      <c r="H651" s="50"/>
      <c r="I651" s="50"/>
      <c r="J651" s="22">
        <v>75.237926000000002</v>
      </c>
      <c r="K651" s="22">
        <v>83.899333999999996</v>
      </c>
      <c r="L651" s="22">
        <v>315.118224</v>
      </c>
      <c r="M651" s="22">
        <v>262.49758300000002</v>
      </c>
      <c r="N651" s="22">
        <v>68.316731000000004</v>
      </c>
      <c r="O651" s="22">
        <v>68.756590000000003</v>
      </c>
      <c r="P651" s="22">
        <v>5.5855300000000003</v>
      </c>
      <c r="Q651" s="22">
        <v>46.623669999999997</v>
      </c>
      <c r="R651" s="22">
        <v>62.646560999999998</v>
      </c>
      <c r="S651" s="22">
        <v>50.552019000000001</v>
      </c>
      <c r="T651" s="22">
        <v>44.255189000000001</v>
      </c>
      <c r="U651" s="51" t="s">
        <v>219</v>
      </c>
      <c r="V651" s="55">
        <v>25.7</v>
      </c>
      <c r="W651" s="55">
        <v>954</v>
      </c>
      <c r="X651" s="49">
        <v>43252</v>
      </c>
    </row>
    <row r="652" spans="1:24" s="56" customFormat="1" ht="12" customHeight="1" x14ac:dyDescent="0.2">
      <c r="A652" s="49">
        <v>43282</v>
      </c>
      <c r="B652" s="523">
        <v>5.3999999999998494E-3</v>
      </c>
      <c r="C652" s="523">
        <v>3.7046999999999999</v>
      </c>
      <c r="D652" s="50"/>
      <c r="E652" s="50"/>
      <c r="F652" s="50"/>
      <c r="G652" s="50"/>
      <c r="H652" s="50"/>
      <c r="I652" s="50"/>
      <c r="J652" s="22">
        <v>75.997828999999996</v>
      </c>
      <c r="K652" s="22">
        <v>85.468250999999995</v>
      </c>
      <c r="L652" s="22">
        <v>318.17487</v>
      </c>
      <c r="M652" s="22">
        <v>266.38254699999999</v>
      </c>
      <c r="N652" s="22">
        <v>69.293660000000003</v>
      </c>
      <c r="O652" s="22">
        <v>69.622923</v>
      </c>
      <c r="P652" s="22">
        <v>5.6475289999999996</v>
      </c>
      <c r="Q652" s="22">
        <v>47.141191999999997</v>
      </c>
      <c r="R652" s="22">
        <v>63.341937000000001</v>
      </c>
      <c r="S652" s="22">
        <v>51.113146</v>
      </c>
      <c r="T652" s="22">
        <v>44.255189000000001</v>
      </c>
      <c r="U652" s="51" t="s">
        <v>219</v>
      </c>
      <c r="V652" s="22">
        <v>25.7</v>
      </c>
      <c r="W652" s="22">
        <v>954</v>
      </c>
      <c r="X652" s="49">
        <v>43282</v>
      </c>
    </row>
    <row r="653" spans="1:24" s="56" customFormat="1" ht="12" customHeight="1" x14ac:dyDescent="0.2">
      <c r="A653" s="49">
        <v>43313</v>
      </c>
      <c r="B653" s="523">
        <v>5.7000000000000384E-3</v>
      </c>
      <c r="C653" s="523">
        <v>3.7103999999999999</v>
      </c>
      <c r="D653" s="50"/>
      <c r="E653" s="50"/>
      <c r="F653" s="50"/>
      <c r="G653" s="50"/>
      <c r="H653" s="50"/>
      <c r="I653" s="50"/>
      <c r="J653" s="22">
        <v>76.172623999999999</v>
      </c>
      <c r="K653" s="22">
        <v>85.904139000000001</v>
      </c>
      <c r="L653" s="22">
        <v>320.11573600000003</v>
      </c>
      <c r="M653" s="22">
        <v>267.55462999999997</v>
      </c>
      <c r="N653" s="22">
        <v>69.466893999999996</v>
      </c>
      <c r="O653" s="22">
        <v>69.852677999999997</v>
      </c>
      <c r="P653" s="22">
        <v>5.6836729999999998</v>
      </c>
      <c r="Q653" s="22">
        <v>47.442895</v>
      </c>
      <c r="R653" s="22">
        <v>63.747324999999996</v>
      </c>
      <c r="S653" s="22">
        <v>51.440269999999998</v>
      </c>
      <c r="T653" s="22">
        <v>44.255189000000001</v>
      </c>
      <c r="U653" s="24" t="s">
        <v>219</v>
      </c>
      <c r="V653" s="22">
        <v>25.7</v>
      </c>
      <c r="W653" s="22">
        <v>954</v>
      </c>
      <c r="X653" s="49">
        <v>43313</v>
      </c>
    </row>
    <row r="654" spans="1:24" s="56" customFormat="1" ht="12" customHeight="1" x14ac:dyDescent="0.2">
      <c r="A654" s="49">
        <v>43344</v>
      </c>
      <c r="B654" s="523">
        <v>4.7000000000001485E-3</v>
      </c>
      <c r="C654" s="523">
        <v>3.7151000000000001</v>
      </c>
      <c r="D654" s="50"/>
      <c r="E654" s="50"/>
      <c r="F654" s="50"/>
      <c r="G654" s="50"/>
      <c r="H654" s="50"/>
      <c r="I654" s="50"/>
      <c r="J654" s="22">
        <v>76.484931000000003</v>
      </c>
      <c r="K654" s="22">
        <v>86.505466999999996</v>
      </c>
      <c r="L654" s="22">
        <v>320.59590900000001</v>
      </c>
      <c r="M654" s="22">
        <v>269.37400100000002</v>
      </c>
      <c r="N654" s="22">
        <v>69.466893999999996</v>
      </c>
      <c r="O654" s="22">
        <v>69.789810000000003</v>
      </c>
      <c r="P654" s="22">
        <v>5.6910610000000004</v>
      </c>
      <c r="Q654" s="22">
        <v>47.504570000000001</v>
      </c>
      <c r="R654" s="22">
        <v>63.830196000000001</v>
      </c>
      <c r="S654" s="22">
        <v>51.507142000000002</v>
      </c>
      <c r="T654" s="22">
        <v>44.255189000000001</v>
      </c>
      <c r="U654" s="24" t="s">
        <v>219</v>
      </c>
      <c r="V654" s="22">
        <v>25.7</v>
      </c>
      <c r="W654" s="22">
        <v>954</v>
      </c>
      <c r="X654" s="49">
        <v>43344</v>
      </c>
    </row>
    <row r="655" spans="1:24" s="56" customFormat="1" ht="12" customHeight="1" x14ac:dyDescent="0.2">
      <c r="A655" s="49">
        <v>43374</v>
      </c>
      <c r="B655" s="523">
        <v>5.3999999999998494E-3</v>
      </c>
      <c r="C655" s="523">
        <v>3.7204999999999999</v>
      </c>
      <c r="D655" s="50"/>
      <c r="E655" s="50"/>
      <c r="F655" s="50"/>
      <c r="G655" s="50"/>
      <c r="H655" s="50"/>
      <c r="I655" s="50"/>
      <c r="J655" s="22">
        <v>76.783221999999995</v>
      </c>
      <c r="K655" s="22">
        <v>87.820350000000005</v>
      </c>
      <c r="L655" s="22">
        <v>321.333279</v>
      </c>
      <c r="M655" s="22">
        <v>274.19579499999998</v>
      </c>
      <c r="N655" s="22">
        <v>69.675293999999994</v>
      </c>
      <c r="O655" s="22">
        <v>70.124801000000005</v>
      </c>
      <c r="P655" s="22">
        <v>5.6961820000000003</v>
      </c>
      <c r="Q655" s="22">
        <v>47.547324000000003</v>
      </c>
      <c r="R655" s="22">
        <v>63.887642999999997</v>
      </c>
      <c r="S655" s="22">
        <v>51.553497999999998</v>
      </c>
      <c r="T655" s="22">
        <v>44.255189000000001</v>
      </c>
      <c r="U655" s="24" t="s">
        <v>219</v>
      </c>
      <c r="V655" s="22">
        <v>25.7</v>
      </c>
      <c r="W655" s="22">
        <v>954</v>
      </c>
      <c r="X655" s="49">
        <v>43374</v>
      </c>
    </row>
    <row r="656" spans="1:24" s="56" customFormat="1" ht="12" customHeight="1" x14ac:dyDescent="0.2">
      <c r="A656" s="49">
        <v>43405</v>
      </c>
      <c r="B656" s="523">
        <v>4.9000000000001265E-3</v>
      </c>
      <c r="C656" s="523">
        <v>3.7254</v>
      </c>
      <c r="D656" s="50"/>
      <c r="E656" s="50"/>
      <c r="F656" s="50"/>
      <c r="G656" s="50"/>
      <c r="H656" s="50"/>
      <c r="I656" s="50"/>
      <c r="J656" s="22">
        <v>77.151781</v>
      </c>
      <c r="K656" s="22">
        <v>88.601951</v>
      </c>
      <c r="L656" s="22">
        <v>322.457945</v>
      </c>
      <c r="M656" s="22">
        <v>274.908704</v>
      </c>
      <c r="N656" s="22">
        <v>69.953995000000006</v>
      </c>
      <c r="O656" s="22">
        <v>70.440361999999993</v>
      </c>
      <c r="P656" s="22">
        <v>5.7292189999999996</v>
      </c>
      <c r="Q656" s="22">
        <v>47.823098000000002</v>
      </c>
      <c r="R656" s="22">
        <v>64.258190999999997</v>
      </c>
      <c r="S656" s="22">
        <v>51.852508</v>
      </c>
      <c r="T656" s="22">
        <v>44.255189000000001</v>
      </c>
      <c r="U656" s="24" t="s">
        <v>219</v>
      </c>
      <c r="V656" s="22">
        <v>25.7</v>
      </c>
      <c r="W656" s="22">
        <v>954</v>
      </c>
      <c r="X656" s="49">
        <v>43405</v>
      </c>
    </row>
    <row r="657" spans="1:24" s="56" customFormat="1" ht="12" customHeight="1" x14ac:dyDescent="0.2">
      <c r="A657" s="49">
        <v>43435</v>
      </c>
      <c r="B657" s="523">
        <v>4.9000000000001265E-3</v>
      </c>
      <c r="C657" s="523">
        <v>3.7303000000000002</v>
      </c>
      <c r="D657" s="50"/>
      <c r="E657" s="50"/>
      <c r="F657" s="50"/>
      <c r="G657" s="50"/>
      <c r="H657" s="50"/>
      <c r="I657" s="50"/>
      <c r="J657" s="22">
        <v>77.267508000000007</v>
      </c>
      <c r="K657" s="22">
        <v>88.167800999999997</v>
      </c>
      <c r="L657" s="22">
        <v>322.87714</v>
      </c>
      <c r="M657" s="22">
        <v>271.774744</v>
      </c>
      <c r="N657" s="22">
        <v>69.779110000000003</v>
      </c>
      <c r="O657" s="22">
        <v>70.292437000000007</v>
      </c>
      <c r="P657" s="22">
        <v>5.7401039999999997</v>
      </c>
      <c r="Q657" s="22">
        <v>47.913961</v>
      </c>
      <c r="R657" s="22">
        <v>64.380280999999997</v>
      </c>
      <c r="S657" s="22">
        <v>51.951027000000003</v>
      </c>
      <c r="T657" s="22">
        <v>44.255189000000001</v>
      </c>
      <c r="U657" s="24" t="s">
        <v>219</v>
      </c>
      <c r="V657" s="22">
        <v>25.7</v>
      </c>
      <c r="W657" s="22">
        <v>954</v>
      </c>
      <c r="X657" s="49">
        <v>43435</v>
      </c>
    </row>
    <row r="658" spans="1:24" s="56" customFormat="1" ht="12" customHeight="1" x14ac:dyDescent="0.2">
      <c r="A658" s="49">
        <v>43466</v>
      </c>
      <c r="B658" s="523">
        <v>5.3999999999998494E-3</v>
      </c>
      <c r="C658" s="523">
        <v>3.7357</v>
      </c>
      <c r="D658" s="50"/>
      <c r="E658" s="50"/>
      <c r="F658" s="50"/>
      <c r="G658" s="50"/>
      <c r="H658" s="50"/>
      <c r="I658" s="50"/>
      <c r="J658" s="22">
        <v>77.337047999999996</v>
      </c>
      <c r="K658" s="22">
        <v>87.215587999999997</v>
      </c>
      <c r="L658" s="22">
        <v>323.29687999999999</v>
      </c>
      <c r="M658" s="22">
        <v>270.55175700000001</v>
      </c>
      <c r="N658" s="22">
        <v>69.876800000000003</v>
      </c>
      <c r="O658" s="22">
        <v>70.397874999999999</v>
      </c>
      <c r="P658" s="22">
        <v>5.7309190000000001</v>
      </c>
      <c r="Q658" s="22">
        <v>47.837297999999997</v>
      </c>
      <c r="R658" s="22">
        <v>64.277271999999996</v>
      </c>
      <c r="S658" s="22">
        <v>51.867905</v>
      </c>
      <c r="T658" s="22">
        <v>44.255189000000001</v>
      </c>
      <c r="U658" s="24" t="s">
        <v>219</v>
      </c>
      <c r="V658" s="55">
        <v>26.53</v>
      </c>
      <c r="W658" s="55">
        <v>998</v>
      </c>
      <c r="X658" s="49">
        <v>43466</v>
      </c>
    </row>
    <row r="659" spans="1:24" s="56" customFormat="1" ht="12" customHeight="1" x14ac:dyDescent="0.2">
      <c r="A659" s="49">
        <v>43497</v>
      </c>
      <c r="B659" s="523">
        <v>4.8999999999999998E-3</v>
      </c>
      <c r="C659" s="523">
        <v>3.7406000000000001</v>
      </c>
      <c r="D659" s="50"/>
      <c r="E659" s="50"/>
      <c r="F659" s="50"/>
      <c r="G659" s="50"/>
      <c r="H659" s="50"/>
      <c r="I659" s="50"/>
      <c r="J659" s="22">
        <v>77.785601999999997</v>
      </c>
      <c r="K659" s="22">
        <v>87.224309000000005</v>
      </c>
      <c r="L659" s="22">
        <v>324.881034</v>
      </c>
      <c r="M659" s="22">
        <v>270.74114300000002</v>
      </c>
      <c r="N659" s="22">
        <v>70.128355999999997</v>
      </c>
      <c r="O659" s="22">
        <v>70.623148</v>
      </c>
      <c r="P659" s="22">
        <v>5.7481109999999997</v>
      </c>
      <c r="Q659" s="22">
        <v>47.980809000000001</v>
      </c>
      <c r="R659" s="22">
        <v>64.470102999999995</v>
      </c>
      <c r="S659" s="22">
        <v>52.023508</v>
      </c>
      <c r="T659" s="22">
        <v>44.255189000000001</v>
      </c>
      <c r="U659" s="24" t="s">
        <v>219</v>
      </c>
      <c r="V659" s="55">
        <v>26.53</v>
      </c>
      <c r="W659" s="55">
        <v>998</v>
      </c>
      <c r="X659" s="49">
        <v>43497</v>
      </c>
    </row>
    <row r="660" spans="1:24" s="56" customFormat="1" ht="12" customHeight="1" x14ac:dyDescent="0.2">
      <c r="A660" s="49">
        <v>43525</v>
      </c>
      <c r="B660" s="523">
        <v>4.7000000000000002E-3</v>
      </c>
      <c r="C660" s="523">
        <v>3.7453000000000003</v>
      </c>
      <c r="D660" s="50"/>
      <c r="E660" s="50"/>
      <c r="F660" s="50"/>
      <c r="G660" s="50"/>
      <c r="H660" s="50"/>
      <c r="I660" s="50"/>
      <c r="J660" s="22">
        <v>78.205644000000007</v>
      </c>
      <c r="K660" s="22">
        <v>87.991882000000004</v>
      </c>
      <c r="L660" s="22">
        <v>325.17342600000001</v>
      </c>
      <c r="M660" s="22">
        <v>274.125407</v>
      </c>
      <c r="N660" s="22">
        <v>70.507048999999995</v>
      </c>
      <c r="O660" s="22">
        <v>70.926827000000003</v>
      </c>
      <c r="P660" s="22">
        <v>5.7676540000000003</v>
      </c>
      <c r="Q660" s="22">
        <v>48.143943</v>
      </c>
      <c r="R660" s="22">
        <v>64.689301</v>
      </c>
      <c r="S660" s="22">
        <v>52.200386999999999</v>
      </c>
      <c r="T660" s="22">
        <v>44.255189000000001</v>
      </c>
      <c r="U660" s="24" t="s">
        <v>219</v>
      </c>
      <c r="V660" s="55">
        <v>26.53</v>
      </c>
      <c r="W660" s="55">
        <v>998</v>
      </c>
      <c r="X660" s="49">
        <v>43525</v>
      </c>
    </row>
    <row r="661" spans="1:24" s="56" customFormat="1" ht="12" customHeight="1" x14ac:dyDescent="0.2">
      <c r="A661" s="49">
        <v>43556</v>
      </c>
      <c r="B661" s="523">
        <v>5.1999999999999998E-3</v>
      </c>
      <c r="C661" s="523">
        <v>3.7505000000000002</v>
      </c>
      <c r="D661" s="50"/>
      <c r="E661" s="50"/>
      <c r="F661" s="50"/>
      <c r="G661" s="50"/>
      <c r="H661" s="50"/>
      <c r="I661" s="50"/>
      <c r="J661" s="22">
        <v>78.604491999999993</v>
      </c>
      <c r="K661" s="22">
        <v>89.100578999999996</v>
      </c>
      <c r="L661" s="22">
        <v>326.18146300000001</v>
      </c>
      <c r="M661" s="22">
        <v>277.05854799999997</v>
      </c>
      <c r="N661" s="22">
        <v>71.049953000000002</v>
      </c>
      <c r="O661" s="22">
        <v>71.458777999999995</v>
      </c>
      <c r="P661" s="22">
        <v>5.7987989999999998</v>
      </c>
      <c r="Q661" s="22">
        <v>48.403919999999999</v>
      </c>
      <c r="R661" s="22">
        <v>65.038623000000001</v>
      </c>
      <c r="S661" s="22">
        <v>52.482269000000002</v>
      </c>
      <c r="T661" s="22">
        <v>44.255189000000001</v>
      </c>
      <c r="U661" s="24" t="s">
        <v>219</v>
      </c>
      <c r="V661" s="55">
        <v>26.53</v>
      </c>
      <c r="W661" s="55">
        <v>998</v>
      </c>
      <c r="X661" s="49">
        <v>43556</v>
      </c>
    </row>
    <row r="662" spans="1:24" s="56" customFormat="1" ht="12" customHeight="1" x14ac:dyDescent="0.2">
      <c r="A662" s="49">
        <v>43586</v>
      </c>
      <c r="B662" s="523">
        <v>5.4000000000000003E-3</v>
      </c>
      <c r="C662" s="523">
        <v>3.7559</v>
      </c>
      <c r="D662" s="50"/>
      <c r="E662" s="50"/>
      <c r="F662" s="50"/>
      <c r="G662" s="50"/>
      <c r="H662" s="50"/>
      <c r="I662" s="50"/>
      <c r="J662" s="22">
        <v>78.832445000000007</v>
      </c>
      <c r="K662" s="22">
        <v>89.920304000000002</v>
      </c>
      <c r="L662" s="22">
        <v>327.420952</v>
      </c>
      <c r="M662" s="22">
        <v>279.552074</v>
      </c>
      <c r="N662" s="22">
        <v>71.476252000000002</v>
      </c>
      <c r="O662" s="22">
        <v>71.866093000000006</v>
      </c>
      <c r="P662" s="22">
        <v>5.8405500000000004</v>
      </c>
      <c r="Q662" s="22">
        <v>48.752428000000002</v>
      </c>
      <c r="R662" s="22">
        <v>65.506900999999999</v>
      </c>
      <c r="S662" s="22">
        <v>52.860140999999999</v>
      </c>
      <c r="T662" s="22">
        <v>44.255189000000001</v>
      </c>
      <c r="U662" s="24" t="s">
        <v>219</v>
      </c>
      <c r="V662" s="55">
        <v>26.53</v>
      </c>
      <c r="W662" s="55">
        <v>998</v>
      </c>
      <c r="X662" s="49">
        <v>43586</v>
      </c>
    </row>
    <row r="663" spans="1:24" s="56" customFormat="1" ht="12" customHeight="1" x14ac:dyDescent="0.2">
      <c r="A663" s="49">
        <v>43617</v>
      </c>
      <c r="B663" s="523">
        <v>4.7000000000000002E-3</v>
      </c>
      <c r="C663" s="523">
        <v>3.7606000000000002</v>
      </c>
      <c r="D663" s="50"/>
      <c r="E663" s="50"/>
      <c r="F663" s="50"/>
      <c r="G663" s="50"/>
      <c r="H663" s="50"/>
      <c r="I663" s="50"/>
      <c r="J663" s="22">
        <v>78.816677999999996</v>
      </c>
      <c r="K663" s="22">
        <v>90.324945</v>
      </c>
      <c r="L663" s="22">
        <v>327.51917800000001</v>
      </c>
      <c r="M663" s="22">
        <v>280.67028199999999</v>
      </c>
      <c r="N663" s="22">
        <v>71.583466000000001</v>
      </c>
      <c r="O663" s="22">
        <v>71.959518000000003</v>
      </c>
      <c r="P663" s="22">
        <v>5.8609910000000003</v>
      </c>
      <c r="Q663" s="22">
        <v>48.923060999999997</v>
      </c>
      <c r="R663" s="22">
        <v>65.736175000000003</v>
      </c>
      <c r="S663" s="22">
        <v>53.045150999999997</v>
      </c>
      <c r="T663" s="22">
        <v>44.255189000000001</v>
      </c>
      <c r="U663" s="24" t="s">
        <v>219</v>
      </c>
      <c r="V663" s="55">
        <v>26.53</v>
      </c>
      <c r="W663" s="55">
        <v>998</v>
      </c>
      <c r="X663" s="49">
        <v>43617</v>
      </c>
    </row>
    <row r="664" spans="1:24" s="56" customFormat="1" ht="12" customHeight="1" x14ac:dyDescent="0.2">
      <c r="A664" s="49">
        <v>43647</v>
      </c>
      <c r="B664" s="523">
        <v>5.7000000000000002E-3</v>
      </c>
      <c r="C664" s="523">
        <v>3.7663000000000002</v>
      </c>
      <c r="D664" s="50"/>
      <c r="E664" s="50"/>
      <c r="F664" s="50"/>
      <c r="G664" s="50"/>
      <c r="H664" s="50"/>
      <c r="I664" s="50"/>
      <c r="J664" s="22">
        <v>78.934903000000006</v>
      </c>
      <c r="K664" s="22">
        <v>91.047544000000002</v>
      </c>
      <c r="L664" s="22">
        <v>330.40134599999999</v>
      </c>
      <c r="M664" s="22">
        <v>282.43850400000002</v>
      </c>
      <c r="N664" s="22">
        <v>71.590624000000005</v>
      </c>
      <c r="O664" s="22">
        <v>71.966712999999999</v>
      </c>
      <c r="P664" s="22">
        <v>5.8645069999999997</v>
      </c>
      <c r="Q664" s="22">
        <v>48.952413999999997</v>
      </c>
      <c r="R664" s="22">
        <v>65.775615999999999</v>
      </c>
      <c r="S664" s="22">
        <v>53.076977999999997</v>
      </c>
      <c r="T664" s="22">
        <v>44.255189000000001</v>
      </c>
      <c r="U664" s="24" t="s">
        <v>219</v>
      </c>
      <c r="V664" s="55">
        <v>26.53</v>
      </c>
      <c r="W664" s="55">
        <v>998</v>
      </c>
      <c r="X664" s="49">
        <v>43647</v>
      </c>
    </row>
    <row r="665" spans="1:24" s="56" customFormat="1" ht="12" customHeight="1" x14ac:dyDescent="0.2">
      <c r="A665" s="49">
        <v>43678</v>
      </c>
      <c r="B665" s="523">
        <v>5.0000000000000001E-3</v>
      </c>
      <c r="C665" s="523">
        <v>3.7713000000000001</v>
      </c>
      <c r="D665" s="50"/>
      <c r="E665" s="50"/>
      <c r="F665" s="50"/>
      <c r="G665" s="50"/>
      <c r="H665" s="50"/>
      <c r="I665" s="50"/>
      <c r="J665" s="22">
        <v>79.045411000000001</v>
      </c>
      <c r="K665" s="22">
        <v>91.411733999999996</v>
      </c>
      <c r="L665" s="22">
        <v>332.31767300000001</v>
      </c>
      <c r="M665" s="22">
        <v>282.41025999999999</v>
      </c>
      <c r="N665" s="22">
        <v>71.662214000000006</v>
      </c>
      <c r="O665" s="22">
        <v>72.103448999999998</v>
      </c>
      <c r="P665" s="22">
        <v>5.8697850000000003</v>
      </c>
      <c r="Q665" s="22">
        <v>48.996471</v>
      </c>
      <c r="R665" s="22">
        <v>65.834813999999994</v>
      </c>
      <c r="S665" s="22">
        <v>53.124746999999999</v>
      </c>
      <c r="T665" s="22">
        <v>44.255189000000001</v>
      </c>
      <c r="U665" s="24" t="s">
        <v>219</v>
      </c>
      <c r="V665" s="55">
        <v>26.53</v>
      </c>
      <c r="W665" s="55">
        <v>998</v>
      </c>
      <c r="X665" s="49">
        <v>43678</v>
      </c>
    </row>
    <row r="666" spans="1:24" s="56" customFormat="1" ht="12" customHeight="1" x14ac:dyDescent="0.2">
      <c r="A666" s="49">
        <v>43709</v>
      </c>
      <c r="B666" s="523">
        <v>4.5999999999999999E-3</v>
      </c>
      <c r="C666" s="523">
        <v>3.7759</v>
      </c>
      <c r="D666" s="50"/>
      <c r="E666" s="50"/>
      <c r="F666" s="50"/>
      <c r="G666" s="50"/>
      <c r="H666" s="50"/>
      <c r="I666" s="50"/>
      <c r="J666" s="22">
        <v>79.306259999999995</v>
      </c>
      <c r="K666" s="22">
        <v>90.799274999999994</v>
      </c>
      <c r="L666" s="22">
        <v>333.71340700000002</v>
      </c>
      <c r="M666" s="22">
        <v>280.969967</v>
      </c>
      <c r="N666" s="22">
        <v>71.748208000000005</v>
      </c>
      <c r="O666" s="22">
        <v>72.182761999999997</v>
      </c>
      <c r="P666" s="22">
        <v>5.8744800000000001</v>
      </c>
      <c r="Q666" s="22">
        <v>49.035668000000001</v>
      </c>
      <c r="R666" s="22">
        <v>65.887480999999994</v>
      </c>
      <c r="S666" s="22">
        <v>53.167245999999999</v>
      </c>
      <c r="T666" s="22">
        <v>44.255189000000001</v>
      </c>
      <c r="U666" s="24" t="s">
        <v>219</v>
      </c>
      <c r="V666" s="55">
        <v>26.53</v>
      </c>
      <c r="W666" s="55">
        <v>998</v>
      </c>
      <c r="X666" s="49">
        <v>43709</v>
      </c>
    </row>
    <row r="667" spans="1:24" s="56" customFormat="1" ht="12" customHeight="1" x14ac:dyDescent="0.2">
      <c r="A667" s="49">
        <v>43739</v>
      </c>
      <c r="B667" s="523">
        <v>4.7999999999999996E-3</v>
      </c>
      <c r="C667" s="523">
        <v>3.7806999999999999</v>
      </c>
      <c r="D667" s="50"/>
      <c r="E667" s="50"/>
      <c r="F667" s="50"/>
      <c r="G667" s="50"/>
      <c r="H667" s="50"/>
      <c r="I667" s="50"/>
      <c r="J667" s="22">
        <v>79.306259999999995</v>
      </c>
      <c r="K667" s="22">
        <v>90.790194999999997</v>
      </c>
      <c r="L667" s="22">
        <v>335.24848800000001</v>
      </c>
      <c r="M667" s="22">
        <v>282.37481600000001</v>
      </c>
      <c r="N667" s="22">
        <v>71.712333000000001</v>
      </c>
      <c r="O667" s="22">
        <v>72.153887999999995</v>
      </c>
      <c r="P667" s="22">
        <v>5.8797670000000002</v>
      </c>
      <c r="Q667" s="22">
        <v>49.079799999999999</v>
      </c>
      <c r="R667" s="22">
        <v>65.946779000000006</v>
      </c>
      <c r="S667" s="22">
        <v>53.215096000000003</v>
      </c>
      <c r="T667" s="22">
        <v>44.255189000000001</v>
      </c>
      <c r="U667" s="24" t="s">
        <v>219</v>
      </c>
      <c r="V667" s="55">
        <v>26.53</v>
      </c>
      <c r="W667" s="55">
        <v>998</v>
      </c>
      <c r="X667" s="49">
        <v>43739</v>
      </c>
    </row>
    <row r="668" spans="1:24" s="56" customFormat="1" ht="12" customHeight="1" x14ac:dyDescent="0.2">
      <c r="A668" s="49">
        <v>43770</v>
      </c>
      <c r="B668" s="523">
        <v>3.8E-3</v>
      </c>
      <c r="C668" s="523">
        <v>3.7845</v>
      </c>
      <c r="D668" s="50"/>
      <c r="E668" s="50"/>
      <c r="F668" s="50"/>
      <c r="G668" s="50"/>
      <c r="H668" s="50"/>
      <c r="I668" s="50"/>
      <c r="J668" s="22">
        <v>79.433149999999998</v>
      </c>
      <c r="K668" s="22">
        <v>91.407567999999998</v>
      </c>
      <c r="L668" s="22">
        <v>335.85193500000003</v>
      </c>
      <c r="M668" s="22">
        <v>283.92787700000002</v>
      </c>
      <c r="N668" s="22">
        <v>71.741016999999999</v>
      </c>
      <c r="O668" s="22">
        <v>72.226040999999995</v>
      </c>
      <c r="P668" s="22">
        <v>5.8850579999999999</v>
      </c>
      <c r="Q668" s="22">
        <v>49.123970999999997</v>
      </c>
      <c r="R668" s="22">
        <v>66.006130999999996</v>
      </c>
      <c r="S668" s="22">
        <v>53.262988999999997</v>
      </c>
      <c r="T668" s="22">
        <v>44.255189000000001</v>
      </c>
      <c r="U668" s="24" t="s">
        <v>219</v>
      </c>
      <c r="V668" s="55">
        <v>26.53</v>
      </c>
      <c r="W668" s="55">
        <v>998</v>
      </c>
      <c r="X668" s="49">
        <v>43770</v>
      </c>
    </row>
    <row r="669" spans="1:24" s="56" customFormat="1" ht="12" customHeight="1" x14ac:dyDescent="0.2">
      <c r="A669" s="49">
        <v>43800</v>
      </c>
      <c r="B669" s="523">
        <v>3.7000000000000002E-3</v>
      </c>
      <c r="C669" s="523">
        <v>3.7881999999999998</v>
      </c>
      <c r="D669" s="50"/>
      <c r="E669" s="50"/>
      <c r="F669" s="50"/>
      <c r="G669" s="50"/>
      <c r="H669" s="50"/>
      <c r="I669" s="50"/>
      <c r="J669" s="22">
        <v>79.973294999999993</v>
      </c>
      <c r="K669" s="22">
        <v>91.681790000000007</v>
      </c>
      <c r="L669" s="22">
        <v>335.98627499999998</v>
      </c>
      <c r="M669" s="22">
        <v>286.34126300000003</v>
      </c>
      <c r="N669" s="22">
        <v>72.128417999999996</v>
      </c>
      <c r="O669" s="22">
        <v>72.594392999999997</v>
      </c>
      <c r="P669" s="22">
        <v>5.8932969999999996</v>
      </c>
      <c r="Q669" s="22">
        <v>49.192743999999998</v>
      </c>
      <c r="R669" s="22">
        <v>66.098539000000002</v>
      </c>
      <c r="S669" s="22">
        <v>53.337556999999997</v>
      </c>
      <c r="T669" s="22">
        <v>44.255189000000001</v>
      </c>
      <c r="U669" s="24" t="s">
        <v>219</v>
      </c>
      <c r="V669" s="55">
        <v>26.53</v>
      </c>
      <c r="W669" s="55">
        <v>998</v>
      </c>
      <c r="X669" s="49">
        <v>43800</v>
      </c>
    </row>
    <row r="670" spans="1:24" s="56" customFormat="1" ht="12" customHeight="1" x14ac:dyDescent="0.2">
      <c r="A670" s="49">
        <v>43831</v>
      </c>
      <c r="B670" s="523">
        <v>3.8E-3</v>
      </c>
      <c r="C670" s="523">
        <v>3.7919999999999998</v>
      </c>
      <c r="D670" s="50"/>
      <c r="E670" s="50"/>
      <c r="F670" s="50"/>
      <c r="G670" s="50"/>
      <c r="H670" s="50"/>
      <c r="I670" s="50"/>
      <c r="J670" s="22">
        <v>80.725042999999999</v>
      </c>
      <c r="K670" s="22">
        <v>93.597938999999997</v>
      </c>
      <c r="L670" s="22">
        <v>336.691846</v>
      </c>
      <c r="M670" s="22">
        <v>291.3236</v>
      </c>
      <c r="N670" s="22">
        <v>73.008384000000007</v>
      </c>
      <c r="O670" s="22">
        <v>73.429227999999995</v>
      </c>
      <c r="P670" s="22">
        <v>5.9551759999999998</v>
      </c>
      <c r="Q670" s="22">
        <v>49.709266999999997</v>
      </c>
      <c r="R670" s="22">
        <v>66.792573000000004</v>
      </c>
      <c r="S670" s="22">
        <v>53.897601000000002</v>
      </c>
      <c r="T670" s="22">
        <v>44.255189000000001</v>
      </c>
      <c r="U670" s="24" t="s">
        <v>219</v>
      </c>
      <c r="V670" s="55">
        <v>27.61</v>
      </c>
      <c r="W670" s="55">
        <v>1039</v>
      </c>
      <c r="X670" s="49">
        <v>43831</v>
      </c>
    </row>
    <row r="671" spans="1:24" s="56" customFormat="1" ht="12" customHeight="1" x14ac:dyDescent="0.2">
      <c r="A671" s="49">
        <v>43862</v>
      </c>
      <c r="B671" s="523">
        <v>2.8999999999999998E-3</v>
      </c>
      <c r="C671" s="523">
        <v>3.7948999999999997</v>
      </c>
      <c r="D671" s="50"/>
      <c r="E671" s="50"/>
      <c r="F671" s="50"/>
      <c r="G671" s="50"/>
      <c r="H671" s="50"/>
      <c r="I671" s="50"/>
      <c r="J671" s="22">
        <v>80.959145000000007</v>
      </c>
      <c r="K671" s="22">
        <v>94.047208999999995</v>
      </c>
      <c r="L671" s="22">
        <v>337.97127499999999</v>
      </c>
      <c r="M671" s="22">
        <v>291.58579099999997</v>
      </c>
      <c r="N671" s="22">
        <v>73.147098999999997</v>
      </c>
      <c r="O671" s="22">
        <v>73.583428999999995</v>
      </c>
      <c r="P671" s="22">
        <v>5.9974569999999998</v>
      </c>
      <c r="Q671" s="22">
        <v>50.062201999999999</v>
      </c>
      <c r="R671" s="22">
        <v>67.266800000000003</v>
      </c>
      <c r="S671" s="22">
        <v>54.280273000000001</v>
      </c>
      <c r="T671" s="22">
        <v>44.255189000000001</v>
      </c>
      <c r="U671" s="24" t="s">
        <v>219</v>
      </c>
      <c r="V671" s="55">
        <v>27.61</v>
      </c>
      <c r="W671" s="55">
        <v>1045</v>
      </c>
      <c r="X671" s="49">
        <v>43862</v>
      </c>
    </row>
    <row r="672" spans="1:24" s="56" customFormat="1" ht="12" customHeight="1" x14ac:dyDescent="0.2">
      <c r="A672" s="49">
        <v>43891</v>
      </c>
      <c r="B672" s="523">
        <v>3.3999999999999998E-3</v>
      </c>
      <c r="C672" s="523">
        <f>B672+C671</f>
        <v>3.7982999999999998</v>
      </c>
      <c r="D672" s="50"/>
      <c r="E672" s="50"/>
      <c r="F672" s="50"/>
      <c r="G672" s="50"/>
      <c r="H672" s="50"/>
      <c r="I672" s="50"/>
      <c r="J672" s="22">
        <v>81.048199999999994</v>
      </c>
      <c r="K672" s="22">
        <v>94.009590000000003</v>
      </c>
      <c r="L672" s="22">
        <v>339.08658000000003</v>
      </c>
      <c r="M672" s="22">
        <v>291.61494900000002</v>
      </c>
      <c r="N672" s="22">
        <v>73.271449000000004</v>
      </c>
      <c r="O672" s="22">
        <v>73.767386999999999</v>
      </c>
      <c r="P672" s="22">
        <v>6.0106510000000002</v>
      </c>
      <c r="Q672" s="22">
        <v>50.172338000000003</v>
      </c>
      <c r="R672" s="22">
        <v>67.414786000000007</v>
      </c>
      <c r="S672" s="22">
        <v>54.399689000000002</v>
      </c>
      <c r="T672" s="22">
        <v>44.255189000000001</v>
      </c>
      <c r="U672" s="24" t="s">
        <v>219</v>
      </c>
      <c r="V672" s="55">
        <v>27.61</v>
      </c>
      <c r="W672" s="55">
        <v>1045</v>
      </c>
      <c r="X672" s="49">
        <v>43891</v>
      </c>
    </row>
    <row r="673" spans="1:24" s="56" customFormat="1" ht="12" customHeight="1" x14ac:dyDescent="0.2">
      <c r="A673" s="49">
        <v>43922</v>
      </c>
      <c r="B673" s="523">
        <v>2.8E-3</v>
      </c>
      <c r="C673" s="523">
        <f>IF(B673="","",B673+C672)</f>
        <v>3.8010999999999999</v>
      </c>
      <c r="D673" s="50"/>
      <c r="E673" s="50"/>
      <c r="F673" s="50"/>
      <c r="G673" s="50"/>
      <c r="H673" s="50"/>
      <c r="I673" s="50"/>
      <c r="J673" s="22">
        <v>81.129248000000004</v>
      </c>
      <c r="K673" s="22">
        <v>95.175308000000001</v>
      </c>
      <c r="L673" s="22">
        <v>339.96820500000001</v>
      </c>
      <c r="M673" s="22">
        <v>296.39743399999998</v>
      </c>
      <c r="N673" s="22">
        <v>73.403336999999993</v>
      </c>
      <c r="O673" s="22">
        <v>73.819023999999999</v>
      </c>
      <c r="P673" s="22">
        <v>6.0118530000000003</v>
      </c>
      <c r="Q673" s="22">
        <v>50.182372000000001</v>
      </c>
      <c r="R673" s="22">
        <v>67.428268000000003</v>
      </c>
      <c r="S673" s="22">
        <v>54.410567999999998</v>
      </c>
      <c r="T673" s="22">
        <v>44.255189000000001</v>
      </c>
      <c r="U673" s="24" t="s">
        <v>219</v>
      </c>
      <c r="V673" s="55">
        <v>27.61</v>
      </c>
      <c r="W673" s="55">
        <v>1045</v>
      </c>
      <c r="X673" s="49">
        <v>43922</v>
      </c>
    </row>
    <row r="674" spans="1:24" s="56" customFormat="1" ht="12" customHeight="1" x14ac:dyDescent="0.2">
      <c r="A674" s="49">
        <v>43952</v>
      </c>
      <c r="B674" s="523">
        <v>2.3999999999999998E-3</v>
      </c>
      <c r="C674" s="523">
        <f t="shared" ref="C674:C737" si="0">IF(B674="","",B674+C673)</f>
        <v>3.8035000000000001</v>
      </c>
      <c r="D674" s="50"/>
      <c r="E674" s="50"/>
      <c r="F674" s="50"/>
      <c r="G674" s="50"/>
      <c r="H674" s="50"/>
      <c r="I674" s="50"/>
      <c r="J674" s="22">
        <v>80.885859999999994</v>
      </c>
      <c r="K674" s="22">
        <v>95.936710000000005</v>
      </c>
      <c r="L674" s="22">
        <v>340.71613500000001</v>
      </c>
      <c r="M674" s="22">
        <v>296.54563200000001</v>
      </c>
      <c r="N674" s="22">
        <v>73.234509000000003</v>
      </c>
      <c r="O674" s="22">
        <v>73.590185000000005</v>
      </c>
      <c r="P674" s="22">
        <v>6.0112509999999997</v>
      </c>
      <c r="Q674" s="22">
        <v>50.177352999999997</v>
      </c>
      <c r="R674" s="22">
        <v>67.421525000000003</v>
      </c>
      <c r="S674" s="22">
        <v>54.405126000000003</v>
      </c>
      <c r="T674" s="22">
        <v>44.255189000000001</v>
      </c>
      <c r="U674" s="24" t="s">
        <v>219</v>
      </c>
      <c r="V674" s="55">
        <v>27.61</v>
      </c>
      <c r="W674" s="55">
        <v>1045</v>
      </c>
      <c r="X674" s="49">
        <v>43952</v>
      </c>
    </row>
    <row r="675" spans="1:24" s="56" customFormat="1" ht="12" customHeight="1" x14ac:dyDescent="0.2">
      <c r="A675" s="49">
        <v>43983</v>
      </c>
      <c r="B675" s="523">
        <v>2.0999999999999999E-3</v>
      </c>
      <c r="C675" s="523">
        <f t="shared" si="0"/>
        <v>3.8056000000000001</v>
      </c>
      <c r="D675" s="50"/>
      <c r="E675" s="50"/>
      <c r="F675" s="50"/>
      <c r="G675" s="50"/>
      <c r="H675" s="50"/>
      <c r="I675" s="50"/>
      <c r="J675" s="22">
        <v>80.691732999999999</v>
      </c>
      <c r="K675" s="22">
        <v>96.205331999999999</v>
      </c>
      <c r="L675" s="22">
        <v>341.39756699999998</v>
      </c>
      <c r="M675" s="22">
        <v>299.71866999999997</v>
      </c>
      <c r="N675" s="22">
        <v>73.051422000000002</v>
      </c>
      <c r="O675" s="22">
        <v>73.310541999999998</v>
      </c>
      <c r="P675" s="22">
        <v>5.975784</v>
      </c>
      <c r="Q675" s="22">
        <v>49.881306000000002</v>
      </c>
      <c r="R675" s="22">
        <v>67.023737999999994</v>
      </c>
      <c r="S675" s="22">
        <v>54.084135000000003</v>
      </c>
      <c r="T675" s="22">
        <v>44.255189000000001</v>
      </c>
      <c r="U675" s="24" t="s">
        <v>219</v>
      </c>
      <c r="V675" s="55">
        <v>27.61</v>
      </c>
      <c r="W675" s="55">
        <v>1045</v>
      </c>
      <c r="X675" s="49">
        <v>43983</v>
      </c>
    </row>
    <row r="676" spans="1:24" s="56" customFormat="1" ht="12" customHeight="1" x14ac:dyDescent="0.2">
      <c r="A676" s="49">
        <v>44013</v>
      </c>
      <c r="B676" s="523">
        <v>1.9E-3</v>
      </c>
      <c r="C676" s="523">
        <f t="shared" si="0"/>
        <v>3.8075000000000001</v>
      </c>
      <c r="D676" s="50"/>
      <c r="E676" s="50"/>
      <c r="F676" s="50"/>
      <c r="G676" s="50"/>
      <c r="H676" s="50"/>
      <c r="I676" s="50"/>
      <c r="J676" s="22">
        <v>81.006429999999995</v>
      </c>
      <c r="K676" s="22">
        <v>97.706135000000003</v>
      </c>
      <c r="L676" s="22">
        <v>342.55831799999999</v>
      </c>
      <c r="M676" s="22">
        <v>304.51416799999998</v>
      </c>
      <c r="N676" s="22">
        <v>73.270576000000005</v>
      </c>
      <c r="O676" s="22">
        <v>73.501148999999998</v>
      </c>
      <c r="P676" s="22">
        <v>5.976979</v>
      </c>
      <c r="Q676" s="22">
        <v>49.891281999999997</v>
      </c>
      <c r="R676" s="22">
        <v>67.037142000000003</v>
      </c>
      <c r="S676" s="22">
        <v>54.094951000000002</v>
      </c>
      <c r="T676" s="22">
        <v>44.255189000000001</v>
      </c>
      <c r="U676" s="24" t="s">
        <v>219</v>
      </c>
      <c r="V676" s="55">
        <v>27.61</v>
      </c>
      <c r="W676" s="55">
        <v>1045</v>
      </c>
      <c r="X676" s="49">
        <v>44013</v>
      </c>
    </row>
    <row r="677" spans="1:24" ht="12" customHeight="1" x14ac:dyDescent="0.2">
      <c r="A677" s="49">
        <v>44044</v>
      </c>
      <c r="B677" s="523">
        <v>1.6000000000000001E-3</v>
      </c>
      <c r="C677" s="523">
        <f t="shared" si="0"/>
        <v>3.8090999999999999</v>
      </c>
      <c r="D677" s="50"/>
      <c r="E677" s="50"/>
      <c r="F677" s="50"/>
      <c r="G677" s="50"/>
      <c r="H677" s="50"/>
      <c r="I677" s="50"/>
      <c r="J677" s="22">
        <v>81.208945999999997</v>
      </c>
      <c r="K677" s="22">
        <v>99.884980999999996</v>
      </c>
      <c r="L677" s="22">
        <v>346.56625000000003</v>
      </c>
      <c r="M677" s="22">
        <v>311.63979899999998</v>
      </c>
      <c r="N677" s="22">
        <v>73.592966000000004</v>
      </c>
      <c r="O677" s="22">
        <v>73.765753000000004</v>
      </c>
      <c r="P677" s="22">
        <v>5.9949089999999998</v>
      </c>
      <c r="Q677" s="22">
        <v>50.040954999999997</v>
      </c>
      <c r="R677" s="22">
        <v>67.238253</v>
      </c>
      <c r="S677" s="22">
        <v>54.257235000000001</v>
      </c>
      <c r="T677" s="22">
        <v>44.255189000000001</v>
      </c>
      <c r="U677" s="24" t="s">
        <v>219</v>
      </c>
      <c r="V677" s="55">
        <v>27.61</v>
      </c>
      <c r="W677" s="55">
        <v>1045</v>
      </c>
      <c r="X677" s="49">
        <v>44044</v>
      </c>
    </row>
    <row r="678" spans="1:24" ht="12" customHeight="1" x14ac:dyDescent="0.2">
      <c r="A678" s="49">
        <v>44075</v>
      </c>
      <c r="B678" s="523">
        <v>1.6000000000000001E-3</v>
      </c>
      <c r="C678" s="523">
        <f t="shared" si="0"/>
        <v>3.8106999999999998</v>
      </c>
      <c r="D678" s="50"/>
      <c r="E678" s="50"/>
      <c r="F678" s="50"/>
      <c r="G678" s="50"/>
      <c r="H678" s="50"/>
      <c r="I678" s="50"/>
      <c r="J678" s="22">
        <v>81.842375000000004</v>
      </c>
      <c r="K678" s="22">
        <v>102.62182900000001</v>
      </c>
      <c r="L678" s="22">
        <v>349.06152700000001</v>
      </c>
      <c r="M678" s="22">
        <v>323.70025900000002</v>
      </c>
      <c r="N678" s="22">
        <v>73.857900000000001</v>
      </c>
      <c r="O678" s="22">
        <v>73.942790000000002</v>
      </c>
      <c r="P678" s="22">
        <v>6.0086969999999997</v>
      </c>
      <c r="Q678" s="22">
        <v>50.156049000000003</v>
      </c>
      <c r="R678" s="22">
        <v>67.392899999999997</v>
      </c>
      <c r="S678" s="22">
        <v>54.382026000000003</v>
      </c>
      <c r="T678" s="22">
        <v>44.255189000000001</v>
      </c>
      <c r="U678" s="24" t="s">
        <v>219</v>
      </c>
      <c r="V678" s="55">
        <v>27.61</v>
      </c>
      <c r="W678" s="55">
        <v>1045</v>
      </c>
      <c r="X678" s="49">
        <v>44075</v>
      </c>
    </row>
    <row r="679" spans="1:24" ht="12" customHeight="1" x14ac:dyDescent="0.2">
      <c r="A679" s="49">
        <v>44105</v>
      </c>
      <c r="B679" s="523">
        <v>1.6000000000000001E-3</v>
      </c>
      <c r="C679" s="523">
        <f t="shared" si="0"/>
        <v>3.8122999999999996</v>
      </c>
      <c r="D679" s="50"/>
      <c r="E679" s="50"/>
      <c r="F679" s="50"/>
      <c r="G679" s="50"/>
      <c r="H679" s="50"/>
      <c r="I679" s="50"/>
      <c r="J679" s="22">
        <v>82.759009000000006</v>
      </c>
      <c r="K679" s="22">
        <v>107.075616</v>
      </c>
      <c r="L679" s="22">
        <v>353.11063999999999</v>
      </c>
      <c r="M679" s="22">
        <v>334.38236699999999</v>
      </c>
      <c r="N679" s="22">
        <v>74.500462999999996</v>
      </c>
      <c r="O679" s="22">
        <v>74.416022999999996</v>
      </c>
      <c r="P679" s="22">
        <v>6.035736</v>
      </c>
      <c r="Q679" s="22">
        <v>50.381751000000001</v>
      </c>
      <c r="R679" s="22">
        <v>67.696168</v>
      </c>
      <c r="S679" s="22">
        <v>54.626745</v>
      </c>
      <c r="T679" s="22">
        <v>44.255189000000001</v>
      </c>
      <c r="U679" s="24" t="s">
        <v>219</v>
      </c>
      <c r="V679" s="55">
        <v>27.61</v>
      </c>
      <c r="W679" s="55">
        <v>1045</v>
      </c>
      <c r="X679" s="49">
        <v>44105</v>
      </c>
    </row>
    <row r="680" spans="1:24" ht="12" customHeight="1" x14ac:dyDescent="0.2">
      <c r="A680" s="49">
        <v>44136</v>
      </c>
      <c r="B680" s="523">
        <v>1.5E-3</v>
      </c>
      <c r="C680" s="523">
        <f t="shared" si="0"/>
        <v>3.8137999999999996</v>
      </c>
      <c r="D680" s="50"/>
      <c r="E680" s="50"/>
      <c r="F680" s="50"/>
      <c r="G680" s="50"/>
      <c r="H680" s="50"/>
      <c r="I680" s="50"/>
      <c r="J680" s="22">
        <v>83.743841000000003</v>
      </c>
      <c r="K680" s="22">
        <v>110.53415800000001</v>
      </c>
      <c r="L680" s="22">
        <v>359.21945399999998</v>
      </c>
      <c r="M680" s="22">
        <v>346.68763799999999</v>
      </c>
      <c r="N680" s="22">
        <v>75.163516999999999</v>
      </c>
      <c r="O680" s="22">
        <v>75.055999999999997</v>
      </c>
      <c r="P680" s="22">
        <v>6.0924709999999997</v>
      </c>
      <c r="Q680" s="22">
        <v>50.855339000000001</v>
      </c>
      <c r="R680" s="22">
        <v>68.332510999999997</v>
      </c>
      <c r="S680" s="22">
        <v>55.140236000000002</v>
      </c>
      <c r="T680" s="22">
        <v>44.255189000000001</v>
      </c>
      <c r="U680" s="24" t="s">
        <v>219</v>
      </c>
      <c r="V680" s="55">
        <v>27.61</v>
      </c>
      <c r="W680" s="55">
        <v>1045</v>
      </c>
      <c r="X680" s="49">
        <v>44136</v>
      </c>
    </row>
    <row r="681" spans="1:24" ht="12" customHeight="1" x14ac:dyDescent="0.2">
      <c r="A681" s="49">
        <v>44166</v>
      </c>
      <c r="B681" s="523">
        <v>1.6000000000000001E-3</v>
      </c>
      <c r="C681" s="523">
        <f t="shared" si="0"/>
        <v>3.8153999999999995</v>
      </c>
      <c r="D681" s="50"/>
      <c r="E681" s="50"/>
      <c r="F681" s="50"/>
      <c r="G681" s="50"/>
      <c r="H681" s="50"/>
      <c r="I681" s="50"/>
      <c r="J681" s="22">
        <v>84.606402000000003</v>
      </c>
      <c r="K681" s="22">
        <v>114.159678</v>
      </c>
      <c r="L681" s="22">
        <v>363.81746299999998</v>
      </c>
      <c r="M681" s="22">
        <v>355.840191</v>
      </c>
      <c r="N681" s="22">
        <v>75.877570000000006</v>
      </c>
      <c r="O681" s="22">
        <v>75.723997999999995</v>
      </c>
      <c r="P681" s="22">
        <v>6.1418200000000001</v>
      </c>
      <c r="Q681" s="22">
        <v>51.267266999999997</v>
      </c>
      <c r="R681" s="22">
        <v>68.886004</v>
      </c>
      <c r="S681" s="22">
        <v>55.586871000000002</v>
      </c>
      <c r="T681" s="22">
        <v>44.255189000000001</v>
      </c>
      <c r="U681" s="24" t="s">
        <v>219</v>
      </c>
      <c r="V681" s="55">
        <v>27.61</v>
      </c>
      <c r="W681" s="55">
        <v>1045</v>
      </c>
      <c r="X681" s="49">
        <v>44166</v>
      </c>
    </row>
    <row r="682" spans="1:24" ht="12" customHeight="1" x14ac:dyDescent="0.2">
      <c r="A682" s="49">
        <v>44197</v>
      </c>
      <c r="B682" s="523">
        <v>1.5E-3</v>
      </c>
      <c r="C682" s="523">
        <f t="shared" si="0"/>
        <v>3.8168999999999995</v>
      </c>
      <c r="D682" s="50"/>
      <c r="E682" s="50"/>
      <c r="F682" s="50"/>
      <c r="G682" s="50"/>
      <c r="H682" s="50"/>
      <c r="I682" s="50"/>
      <c r="J682" s="22">
        <v>85.274792000000005</v>
      </c>
      <c r="K682" s="22">
        <v>115.25561</v>
      </c>
      <c r="L682" s="22">
        <v>366.36418500000002</v>
      </c>
      <c r="M682" s="22">
        <v>358.54457600000001</v>
      </c>
      <c r="N682" s="22">
        <v>76.985382000000001</v>
      </c>
      <c r="O682" s="22">
        <v>76.746270999999993</v>
      </c>
      <c r="P682" s="22">
        <v>6.2069229999999997</v>
      </c>
      <c r="Q682" s="22">
        <v>51.810699999999997</v>
      </c>
      <c r="R682" s="22">
        <v>69.616195000000005</v>
      </c>
      <c r="S682" s="22">
        <v>56.176091</v>
      </c>
      <c r="T682" s="22">
        <v>44.255189000000001</v>
      </c>
      <c r="U682" s="24" t="s">
        <v>219</v>
      </c>
      <c r="V682" s="55">
        <v>29.09</v>
      </c>
      <c r="W682" s="55">
        <v>1100</v>
      </c>
      <c r="X682" s="49">
        <v>44197</v>
      </c>
    </row>
    <row r="683" spans="1:24" ht="12" customHeight="1" x14ac:dyDescent="0.2">
      <c r="A683" s="49">
        <v>44228</v>
      </c>
      <c r="B683" s="523">
        <v>1.2999999999999999E-3</v>
      </c>
      <c r="C683" s="523">
        <f t="shared" si="0"/>
        <v>3.8181999999999996</v>
      </c>
      <c r="D683" s="50"/>
      <c r="E683" s="50"/>
      <c r="F683" s="50"/>
      <c r="G683" s="50"/>
      <c r="H683" s="50"/>
      <c r="I683" s="50"/>
      <c r="J683" s="22">
        <v>86.008155000000002</v>
      </c>
      <c r="K683" s="22">
        <v>118.229204</v>
      </c>
      <c r="L683" s="22">
        <v>369.62482599999998</v>
      </c>
      <c r="M683" s="22">
        <v>368.97822300000001</v>
      </c>
      <c r="N683" s="22">
        <v>77.193241999999998</v>
      </c>
      <c r="O683" s="22">
        <v>76.938136</v>
      </c>
      <c r="P683" s="22">
        <v>6.2553359999999998</v>
      </c>
      <c r="Q683" s="22">
        <v>52.214823000000003</v>
      </c>
      <c r="R683" s="22">
        <v>70.159200999999996</v>
      </c>
      <c r="S683" s="22">
        <v>56.614263999999999</v>
      </c>
      <c r="T683" s="22">
        <v>44.255189000000001</v>
      </c>
      <c r="U683" s="24" t="s">
        <v>219</v>
      </c>
      <c r="V683" s="55">
        <v>29.09</v>
      </c>
      <c r="W683" s="55">
        <v>1100</v>
      </c>
      <c r="X683" s="49">
        <v>44228</v>
      </c>
    </row>
    <row r="684" spans="1:24" ht="12" customHeight="1" x14ac:dyDescent="0.2">
      <c r="A684" s="49">
        <v>44256</v>
      </c>
      <c r="B684" s="523">
        <v>2E-3</v>
      </c>
      <c r="C684" s="523">
        <f t="shared" si="0"/>
        <v>3.8201999999999994</v>
      </c>
      <c r="D684" s="50"/>
      <c r="E684" s="50"/>
      <c r="F684" s="50"/>
      <c r="G684" s="50"/>
      <c r="H684" s="50"/>
      <c r="I684" s="50"/>
      <c r="J684" s="22">
        <v>86.205973</v>
      </c>
      <c r="K684" s="22">
        <v>121.22040200000001</v>
      </c>
      <c r="L684" s="22">
        <v>376.61073499999998</v>
      </c>
      <c r="M684" s="22">
        <v>378.977532</v>
      </c>
      <c r="N684" s="22">
        <v>77.826226000000005</v>
      </c>
      <c r="O684" s="22">
        <v>77.599802999999994</v>
      </c>
      <c r="P684" s="22">
        <v>6.285361</v>
      </c>
      <c r="Q684" s="22">
        <v>52.465454000000001</v>
      </c>
      <c r="R684" s="22">
        <v>70.495964999999998</v>
      </c>
      <c r="S684" s="22">
        <v>56.886012000000001</v>
      </c>
      <c r="T684" s="22">
        <v>44.255189000000001</v>
      </c>
      <c r="U684" s="24" t="s">
        <v>219</v>
      </c>
      <c r="V684" s="55">
        <v>29.09</v>
      </c>
      <c r="W684" s="55">
        <v>1100</v>
      </c>
      <c r="X684" s="49">
        <v>44256</v>
      </c>
    </row>
    <row r="685" spans="1:24" ht="12" customHeight="1" x14ac:dyDescent="0.2">
      <c r="A685" s="49">
        <v>44287</v>
      </c>
      <c r="B685" s="523">
        <v>2.0999999999999999E-3</v>
      </c>
      <c r="C685" s="523">
        <f t="shared" si="0"/>
        <v>3.8222999999999994</v>
      </c>
      <c r="D685" s="50"/>
      <c r="E685" s="50"/>
      <c r="F685" s="50"/>
      <c r="G685" s="50"/>
      <c r="H685" s="50"/>
      <c r="I685" s="50"/>
      <c r="J685" s="22">
        <v>86.818034999999995</v>
      </c>
      <c r="K685" s="22">
        <v>124.78428099999999</v>
      </c>
      <c r="L685" s="22">
        <v>381.50667399999998</v>
      </c>
      <c r="M685" s="22">
        <v>387.20134400000001</v>
      </c>
      <c r="N685" s="22">
        <v>78.495531</v>
      </c>
      <c r="O685" s="22">
        <v>78.321481000000006</v>
      </c>
      <c r="P685" s="22">
        <v>6.3438140000000001</v>
      </c>
      <c r="Q685" s="22">
        <v>52.953381999999998</v>
      </c>
      <c r="R685" s="22">
        <v>71.151577000000003</v>
      </c>
      <c r="S685" s="22">
        <v>57.415050999999998</v>
      </c>
      <c r="T685" s="22">
        <v>44.255189000000001</v>
      </c>
      <c r="U685" s="24" t="s">
        <v>219</v>
      </c>
      <c r="V685" s="55">
        <v>29.09</v>
      </c>
      <c r="W685" s="55">
        <v>1100</v>
      </c>
      <c r="X685" s="49">
        <v>44287</v>
      </c>
    </row>
    <row r="686" spans="1:24" ht="12" customHeight="1" x14ac:dyDescent="0.2">
      <c r="A686" s="49">
        <v>44317</v>
      </c>
      <c r="B686" s="523">
        <v>2.7000000000000001E-3</v>
      </c>
      <c r="C686" s="523">
        <f t="shared" si="0"/>
        <v>3.8249999999999993</v>
      </c>
      <c r="D686" s="50"/>
      <c r="E686" s="50"/>
      <c r="F686" s="50"/>
      <c r="G686" s="50"/>
      <c r="H686" s="50"/>
      <c r="I686" s="50"/>
      <c r="J686" s="22">
        <v>87.200034000000002</v>
      </c>
      <c r="K686" s="22">
        <v>126.66852299999999</v>
      </c>
      <c r="L686" s="22">
        <v>384.94023399999998</v>
      </c>
      <c r="M686" s="22">
        <v>395.797213</v>
      </c>
      <c r="N686" s="22">
        <v>78.793813999999998</v>
      </c>
      <c r="O686" s="22">
        <v>78.564277000000004</v>
      </c>
      <c r="P686" s="22">
        <v>6.3818760000000001</v>
      </c>
      <c r="Q686" s="22">
        <v>53.271101999999999</v>
      </c>
      <c r="R686" s="22">
        <v>71.578485999999998</v>
      </c>
      <c r="S686" s="22">
        <v>57.759540999999999</v>
      </c>
      <c r="T686" s="22">
        <v>44.255189000000001</v>
      </c>
      <c r="U686" s="24" t="s">
        <v>219</v>
      </c>
      <c r="V686" s="55">
        <v>29.09</v>
      </c>
      <c r="W686" s="55">
        <v>1100</v>
      </c>
      <c r="X686" s="49">
        <v>44317</v>
      </c>
    </row>
    <row r="687" spans="1:24" ht="12" customHeight="1" x14ac:dyDescent="0.2">
      <c r="A687" s="49">
        <v>44348</v>
      </c>
      <c r="B687" s="523">
        <v>3.0999999999999999E-3</v>
      </c>
      <c r="C687" s="523">
        <f t="shared" si="0"/>
        <v>3.8280999999999992</v>
      </c>
      <c r="D687" s="50"/>
      <c r="E687" s="50"/>
      <c r="F687" s="50"/>
      <c r="G687" s="50"/>
      <c r="H687" s="50"/>
      <c r="I687" s="50"/>
      <c r="J687" s="22">
        <v>87.557553999999996</v>
      </c>
      <c r="K687" s="22">
        <v>131.861932</v>
      </c>
      <c r="L687" s="22">
        <v>393.485907</v>
      </c>
      <c r="M687" s="22">
        <v>409.25431800000001</v>
      </c>
      <c r="N687" s="22">
        <v>79.550234000000003</v>
      </c>
      <c r="O687" s="22">
        <v>79.216359999999995</v>
      </c>
      <c r="P687" s="22">
        <v>6.4099560000000002</v>
      </c>
      <c r="Q687" s="22">
        <v>53.505493999999999</v>
      </c>
      <c r="R687" s="22">
        <v>71.893431000000007</v>
      </c>
      <c r="S687" s="22">
        <v>58.013682000000003</v>
      </c>
      <c r="T687" s="22">
        <v>44.255189000000001</v>
      </c>
      <c r="U687" s="24" t="s">
        <v>219</v>
      </c>
      <c r="V687" s="55">
        <v>29.09</v>
      </c>
      <c r="W687" s="55">
        <v>1100</v>
      </c>
      <c r="X687" s="49">
        <v>44348</v>
      </c>
    </row>
    <row r="688" spans="1:24" ht="12" customHeight="1" x14ac:dyDescent="0.2">
      <c r="A688" s="49">
        <v>44378</v>
      </c>
      <c r="B688" s="523">
        <v>3.5999999999999999E-3</v>
      </c>
      <c r="C688" s="523">
        <f t="shared" si="0"/>
        <v>3.8316999999999992</v>
      </c>
      <c r="D688" s="50"/>
      <c r="E688" s="50"/>
      <c r="F688" s="50"/>
      <c r="G688" s="50"/>
      <c r="H688" s="50"/>
      <c r="I688" s="50"/>
      <c r="J688" s="22">
        <v>88.266769999999994</v>
      </c>
      <c r="K688" s="22">
        <v>132.65310299999999</v>
      </c>
      <c r="L688" s="22">
        <v>401.98520200000002</v>
      </c>
      <c r="M688" s="22">
        <v>409.704497</v>
      </c>
      <c r="N688" s="22">
        <v>80.027535</v>
      </c>
      <c r="O688" s="22">
        <v>79.636206000000001</v>
      </c>
      <c r="P688" s="22">
        <v>6.463158</v>
      </c>
      <c r="Q688" s="22">
        <v>53.949589000000003</v>
      </c>
      <c r="R688" s="22">
        <v>72.490145999999996</v>
      </c>
      <c r="S688" s="22">
        <v>58.495195000000002</v>
      </c>
      <c r="T688" s="22">
        <v>44.255189000000001</v>
      </c>
      <c r="U688" s="24" t="s">
        <v>219</v>
      </c>
      <c r="V688" s="55">
        <v>29.09</v>
      </c>
      <c r="W688" s="55">
        <v>1100</v>
      </c>
      <c r="X688" s="49">
        <v>44378</v>
      </c>
    </row>
    <row r="689" spans="1:24" ht="12" customHeight="1" x14ac:dyDescent="0.2">
      <c r="A689" s="49">
        <v>44409</v>
      </c>
      <c r="B689" s="523">
        <v>4.3E-3</v>
      </c>
      <c r="C689" s="523">
        <f t="shared" si="0"/>
        <v>3.8359999999999994</v>
      </c>
      <c r="D689" s="50"/>
      <c r="E689" s="50"/>
      <c r="F689" s="50"/>
      <c r="G689" s="50"/>
      <c r="H689" s="50"/>
      <c r="I689" s="50"/>
      <c r="J689" s="22">
        <v>89.167090999999999</v>
      </c>
      <c r="K689" s="22">
        <v>133.68779699999999</v>
      </c>
      <c r="L689" s="22">
        <v>405.40207600000002</v>
      </c>
      <c r="M689" s="22">
        <v>415.64521200000001</v>
      </c>
      <c r="N689" s="22">
        <v>80.843815000000006</v>
      </c>
      <c r="O689" s="22">
        <v>80.400712999999996</v>
      </c>
      <c r="P689" s="22">
        <v>6.5096920000000003</v>
      </c>
      <c r="Q689" s="22">
        <v>54.338025999999999</v>
      </c>
      <c r="R689" s="22">
        <v>73.012074999999996</v>
      </c>
      <c r="S689" s="22">
        <v>58.916359999999997</v>
      </c>
      <c r="T689" s="22">
        <v>44.255189000000001</v>
      </c>
      <c r="U689" s="24" t="s">
        <v>219</v>
      </c>
      <c r="V689" s="55">
        <v>29.09</v>
      </c>
      <c r="W689" s="55">
        <v>1100</v>
      </c>
      <c r="X689" s="49">
        <v>44409</v>
      </c>
    </row>
    <row r="690" spans="1:24" ht="12" customHeight="1" x14ac:dyDescent="0.2">
      <c r="A690" s="49">
        <v>44440</v>
      </c>
      <c r="B690" s="523">
        <v>4.4000000000000003E-3</v>
      </c>
      <c r="C690" s="523">
        <f t="shared" si="0"/>
        <v>3.8403999999999994</v>
      </c>
      <c r="D690" s="50"/>
      <c r="E690" s="50"/>
      <c r="F690" s="50"/>
      <c r="G690" s="50"/>
      <c r="H690" s="50"/>
      <c r="I690" s="50"/>
      <c r="J690" s="22">
        <v>90.451097000000004</v>
      </c>
      <c r="K690" s="22">
        <v>134.57013599999999</v>
      </c>
      <c r="L690" s="22">
        <v>407.26692500000001</v>
      </c>
      <c r="M690" s="22">
        <v>415.06330800000001</v>
      </c>
      <c r="N690" s="22">
        <v>81.555239999999998</v>
      </c>
      <c r="O690" s="22">
        <v>81.100199000000003</v>
      </c>
      <c r="P690" s="22">
        <v>6.567628</v>
      </c>
      <c r="Q690" s="22">
        <v>54.821634000000003</v>
      </c>
      <c r="R690" s="22">
        <v>73.661882000000006</v>
      </c>
      <c r="S690" s="22">
        <v>59.440714999999997</v>
      </c>
      <c r="T690" s="22">
        <v>44.255189000000001</v>
      </c>
      <c r="U690" s="24" t="s">
        <v>219</v>
      </c>
      <c r="V690" s="55">
        <v>29.09</v>
      </c>
      <c r="W690" s="55">
        <v>1100</v>
      </c>
      <c r="X690" s="49">
        <v>44440</v>
      </c>
    </row>
    <row r="691" spans="1:24" ht="12" customHeight="1" x14ac:dyDescent="0.2">
      <c r="A691" s="49">
        <v>44470</v>
      </c>
      <c r="B691" s="523">
        <v>4.8999999999999998E-3</v>
      </c>
      <c r="C691" s="523">
        <f t="shared" si="0"/>
        <v>3.8452999999999995</v>
      </c>
      <c r="D691" s="50"/>
      <c r="E691" s="50"/>
      <c r="F691" s="50"/>
      <c r="G691" s="50"/>
      <c r="H691" s="50"/>
      <c r="I691" s="50"/>
      <c r="J691" s="22">
        <v>91.473194000000007</v>
      </c>
      <c r="K691" s="22">
        <v>133.708887</v>
      </c>
      <c r="L691" s="22">
        <v>409.34398599999997</v>
      </c>
      <c r="M691" s="22">
        <v>412.78045900000001</v>
      </c>
      <c r="N691" s="22">
        <v>82.533901999999998</v>
      </c>
      <c r="O691" s="22">
        <v>82.040960999999996</v>
      </c>
      <c r="P691" s="22">
        <v>6.6424979999999998</v>
      </c>
      <c r="Q691" s="22">
        <v>55.446599999999997</v>
      </c>
      <c r="R691" s="22">
        <v>74.501626999999999</v>
      </c>
      <c r="S691" s="22">
        <v>60.118338999999999</v>
      </c>
      <c r="T691" s="22">
        <v>44.255189000000001</v>
      </c>
      <c r="U691" s="24" t="s">
        <v>219</v>
      </c>
      <c r="V691" s="55">
        <v>29.09</v>
      </c>
      <c r="W691" s="55">
        <v>1100</v>
      </c>
      <c r="X691" s="49">
        <v>44470</v>
      </c>
    </row>
    <row r="692" spans="1:24" ht="12" customHeight="1" x14ac:dyDescent="0.2">
      <c r="A692" s="49">
        <v>44501</v>
      </c>
      <c r="B692" s="523">
        <v>5.8999999999999999E-3</v>
      </c>
      <c r="C692" s="523">
        <f t="shared" si="0"/>
        <v>3.8511999999999995</v>
      </c>
      <c r="D692" s="50"/>
      <c r="E692" s="50"/>
      <c r="F692" s="50"/>
      <c r="G692" s="50"/>
      <c r="H692" s="50"/>
      <c r="I692" s="50"/>
      <c r="J692" s="22">
        <v>92.387924999999996</v>
      </c>
      <c r="K692" s="22">
        <v>134.56462300000001</v>
      </c>
      <c r="L692" s="22">
        <v>412.86434400000002</v>
      </c>
      <c r="M692" s="22">
        <v>419.38494600000001</v>
      </c>
      <c r="N692" s="22">
        <v>83.491294999999994</v>
      </c>
      <c r="O692" s="22">
        <v>83.066473000000002</v>
      </c>
      <c r="P692" s="22">
        <v>6.722207</v>
      </c>
      <c r="Q692" s="22">
        <v>56.111958999999999</v>
      </c>
      <c r="R692" s="22">
        <v>75.395645999999999</v>
      </c>
      <c r="S692" s="22">
        <v>60.839759000000001</v>
      </c>
      <c r="T692" s="22">
        <v>44.255189000000001</v>
      </c>
      <c r="U692" s="24" t="s">
        <v>219</v>
      </c>
      <c r="V692" s="55">
        <v>29.09</v>
      </c>
      <c r="W692" s="55">
        <v>1100</v>
      </c>
      <c r="X692" s="49">
        <v>44501</v>
      </c>
    </row>
    <row r="693" spans="1:24" ht="12" customHeight="1" x14ac:dyDescent="0.2">
      <c r="A693" s="49">
        <v>44531</v>
      </c>
      <c r="B693" s="523">
        <v>7.7000000000000002E-3</v>
      </c>
      <c r="C693" s="533">
        <f t="shared" si="0"/>
        <v>3.8588999999999993</v>
      </c>
      <c r="D693" s="50"/>
      <c r="E693" s="50"/>
      <c r="F693" s="50"/>
      <c r="G693" s="50"/>
      <c r="H693" s="50"/>
      <c r="I693" s="50"/>
      <c r="J693" s="22">
        <v>93.053117999999998</v>
      </c>
      <c r="K693" s="22">
        <v>134.59153499999999</v>
      </c>
      <c r="L693" s="22">
        <v>415.63053500000001</v>
      </c>
      <c r="M693" s="22">
        <v>416.95251300000001</v>
      </c>
      <c r="N693" s="22">
        <v>84.192621000000003</v>
      </c>
      <c r="O693" s="22">
        <v>83.855604</v>
      </c>
      <c r="P693" s="22">
        <v>6.8008559999999996</v>
      </c>
      <c r="Q693" s="22">
        <v>56.768467999999999</v>
      </c>
      <c r="R693" s="22">
        <v>76.277775000000005</v>
      </c>
      <c r="S693" s="22">
        <v>61.551583999999998</v>
      </c>
      <c r="T693" s="22">
        <v>44.255189000000001</v>
      </c>
      <c r="U693" s="24" t="s">
        <v>219</v>
      </c>
      <c r="V693" s="55">
        <v>29.09</v>
      </c>
      <c r="W693" s="55">
        <v>1100</v>
      </c>
      <c r="X693" s="49">
        <v>44531</v>
      </c>
    </row>
    <row r="694" spans="1:24" ht="12" customHeight="1" x14ac:dyDescent="0.2">
      <c r="A694" s="49">
        <v>44562</v>
      </c>
      <c r="B694" s="523">
        <v>7.3000000000000001E-3</v>
      </c>
      <c r="C694" s="533">
        <f t="shared" si="0"/>
        <v>3.8661999999999992</v>
      </c>
      <c r="D694" s="50"/>
      <c r="E694" s="50"/>
      <c r="F694" s="50"/>
      <c r="G694" s="50"/>
      <c r="H694" s="50"/>
      <c r="I694" s="50"/>
      <c r="J694" s="22">
        <v>93.583519999999993</v>
      </c>
      <c r="K694" s="22">
        <v>135.76248100000001</v>
      </c>
      <c r="L694" s="22">
        <v>417.085241</v>
      </c>
      <c r="M694" s="22">
        <v>422.16441900000001</v>
      </c>
      <c r="N694" s="22">
        <v>84.807226999999997</v>
      </c>
      <c r="O694" s="22">
        <v>84.467748999999998</v>
      </c>
      <c r="P694" s="22">
        <v>6.8539019999999997</v>
      </c>
      <c r="Q694" s="22">
        <v>57.205584999999999</v>
      </c>
      <c r="R694" s="22">
        <v>76.865112999999994</v>
      </c>
      <c r="S694" s="22">
        <v>62.031686000000001</v>
      </c>
      <c r="T694" s="22">
        <v>44.276784999999997</v>
      </c>
      <c r="U694" s="24" t="s">
        <v>219</v>
      </c>
      <c r="V694" s="55">
        <v>31.97</v>
      </c>
      <c r="W694" s="55">
        <v>1212</v>
      </c>
      <c r="X694" s="49">
        <v>44562</v>
      </c>
    </row>
    <row r="695" spans="1:24" ht="12" customHeight="1" x14ac:dyDescent="0.2">
      <c r="A695" s="49">
        <v>44593</v>
      </c>
      <c r="B695" s="523">
        <v>7.6E-3</v>
      </c>
      <c r="C695" s="533">
        <f t="shared" si="0"/>
        <v>3.8737999999999992</v>
      </c>
      <c r="D695" s="50"/>
      <c r="E695" s="50"/>
      <c r="F695" s="50"/>
      <c r="G695" s="50"/>
      <c r="H695" s="50"/>
      <c r="I695" s="50"/>
      <c r="J695" s="22">
        <v>94.276038</v>
      </c>
      <c r="K695" s="22">
        <v>138.23335800000001</v>
      </c>
      <c r="L695" s="22">
        <v>420.04654599999998</v>
      </c>
      <c r="M695" s="22">
        <v>430.649923</v>
      </c>
      <c r="N695" s="22">
        <v>85.375434999999996</v>
      </c>
      <c r="O695" s="22">
        <v>84.923873999999998</v>
      </c>
      <c r="P695" s="22">
        <v>6.8936539999999997</v>
      </c>
      <c r="Q695" s="22">
        <v>57.623184999999999</v>
      </c>
      <c r="R695" s="22">
        <v>77.426227999999995</v>
      </c>
      <c r="S695" s="22">
        <v>62.391469000000001</v>
      </c>
      <c r="T695" s="22">
        <v>44.303572000000003</v>
      </c>
      <c r="U695" s="24" t="s">
        <v>219</v>
      </c>
      <c r="V695" s="55">
        <v>31.97</v>
      </c>
      <c r="W695" s="55">
        <v>1212</v>
      </c>
      <c r="X695" s="49">
        <v>44593</v>
      </c>
    </row>
    <row r="696" spans="1:24" ht="12" customHeight="1" x14ac:dyDescent="0.2">
      <c r="A696" s="49">
        <v>44621</v>
      </c>
      <c r="B696" s="523">
        <v>9.2999999999999992E-3</v>
      </c>
      <c r="C696" s="533">
        <f t="shared" si="0"/>
        <v>3.8830999999999993</v>
      </c>
      <c r="D696" s="50"/>
      <c r="E696" s="50"/>
      <c r="F696" s="50"/>
      <c r="G696" s="50"/>
      <c r="H696" s="50"/>
      <c r="I696" s="50"/>
      <c r="J696" s="22">
        <v>95.124521999999999</v>
      </c>
      <c r="K696" s="22">
        <v>140.76302799999999</v>
      </c>
      <c r="L696" s="22">
        <v>421.64272199999999</v>
      </c>
      <c r="M696" s="22">
        <v>437.10967099999999</v>
      </c>
      <c r="N696" s="22">
        <v>86.229189000000005</v>
      </c>
      <c r="O696" s="22">
        <v>85.781604999999999</v>
      </c>
      <c r="P696" s="22">
        <v>6.9619010000000001</v>
      </c>
      <c r="Q696" s="22">
        <v>58.061121</v>
      </c>
      <c r="R696" s="22">
        <v>78.014667000000003</v>
      </c>
      <c r="S696" s="22">
        <v>63.009143999999999</v>
      </c>
      <c r="T696" s="22">
        <v>44.303572000000003</v>
      </c>
      <c r="U696" s="24" t="s">
        <v>219</v>
      </c>
      <c r="V696" s="55">
        <v>31.97</v>
      </c>
      <c r="W696" s="55">
        <v>1212</v>
      </c>
      <c r="X696" s="49">
        <v>44621</v>
      </c>
    </row>
    <row r="697" spans="1:24" ht="12" customHeight="1" x14ac:dyDescent="0.2">
      <c r="A697" s="49">
        <v>44652</v>
      </c>
      <c r="B697" s="523">
        <v>8.3000000000000001E-3</v>
      </c>
      <c r="C697" s="533">
        <f t="shared" si="0"/>
        <v>3.8913999999999995</v>
      </c>
      <c r="D697" s="50"/>
      <c r="E697" s="50"/>
      <c r="F697" s="50"/>
      <c r="G697" s="50"/>
      <c r="H697" s="50"/>
      <c r="I697" s="50"/>
      <c r="J697" s="22">
        <v>96.342115000000007</v>
      </c>
      <c r="K697" s="22">
        <v>143.21230399999999</v>
      </c>
      <c r="L697" s="22">
        <v>425.26884899999999</v>
      </c>
      <c r="M697" s="22">
        <v>447.46917000000002</v>
      </c>
      <c r="N697" s="22">
        <v>87.703708000000006</v>
      </c>
      <c r="O697" s="22">
        <v>87.171267</v>
      </c>
      <c r="P697" s="22">
        <v>7.0280389999999997</v>
      </c>
      <c r="Q697" s="22">
        <v>58.601089000000002</v>
      </c>
      <c r="R697" s="22">
        <v>78.740202999999994</v>
      </c>
      <c r="S697" s="22">
        <v>63.607729999999997</v>
      </c>
      <c r="T697" s="22">
        <v>44.346589999999999</v>
      </c>
      <c r="U697" s="24" t="s">
        <v>219</v>
      </c>
      <c r="V697" s="55">
        <v>31.97</v>
      </c>
      <c r="W697" s="55">
        <v>1212</v>
      </c>
      <c r="X697" s="49">
        <v>44652</v>
      </c>
    </row>
    <row r="698" spans="1:24" ht="12" customHeight="1" x14ac:dyDescent="0.2">
      <c r="A698" s="49">
        <v>44682</v>
      </c>
      <c r="B698" s="523">
        <v>1.03E-2</v>
      </c>
      <c r="C698" s="533">
        <f t="shared" si="0"/>
        <v>3.9016999999999995</v>
      </c>
      <c r="D698" s="50"/>
      <c r="E698" s="50"/>
      <c r="F698" s="50"/>
      <c r="G698" s="50"/>
      <c r="H698" s="50"/>
      <c r="I698" s="50"/>
      <c r="J698" s="22">
        <v>97.902856999999997</v>
      </c>
      <c r="K698" s="22">
        <v>145.23159699999999</v>
      </c>
      <c r="L698" s="22">
        <v>429.30890299999999</v>
      </c>
      <c r="M698" s="22">
        <v>449.30379299999998</v>
      </c>
      <c r="N698" s="22">
        <v>88.615825999999998</v>
      </c>
      <c r="O698" s="22">
        <v>88.095281999999997</v>
      </c>
      <c r="P698" s="22">
        <v>7.1496240000000002</v>
      </c>
      <c r="Q698" s="22">
        <v>59.087477999999997</v>
      </c>
      <c r="R698" s="22">
        <v>79.393745999999993</v>
      </c>
      <c r="S698" s="22">
        <v>64.708143000000007</v>
      </c>
      <c r="T698" s="22">
        <v>44.371201999999997</v>
      </c>
      <c r="U698" s="24" t="s">
        <v>219</v>
      </c>
      <c r="V698" s="55">
        <v>31.97</v>
      </c>
      <c r="W698" s="55">
        <v>1212</v>
      </c>
      <c r="X698" s="49">
        <v>44682</v>
      </c>
    </row>
    <row r="699" spans="1:24" ht="12" customHeight="1" x14ac:dyDescent="0.2">
      <c r="A699" s="49">
        <v>44713</v>
      </c>
      <c r="B699" s="523">
        <v>1.0200000000000001E-2</v>
      </c>
      <c r="C699" s="533">
        <f t="shared" si="0"/>
        <v>3.9118999999999997</v>
      </c>
      <c r="D699" s="50"/>
      <c r="E699" s="50"/>
      <c r="F699" s="50"/>
      <c r="G699" s="50"/>
      <c r="H699" s="50"/>
      <c r="I699" s="50"/>
      <c r="J699" s="22">
        <v>98.314048</v>
      </c>
      <c r="K699" s="22">
        <v>145.98680100000001</v>
      </c>
      <c r="L699" s="22">
        <v>439.09714500000001</v>
      </c>
      <c r="M699" s="22">
        <v>452.40398900000002</v>
      </c>
      <c r="N699" s="22">
        <v>89.014596999999995</v>
      </c>
      <c r="O699" s="22">
        <v>88.509328999999994</v>
      </c>
      <c r="P699" s="22">
        <v>7.1918059999999997</v>
      </c>
      <c r="Q699" s="22">
        <v>59.696078999999997</v>
      </c>
      <c r="R699" s="22">
        <v>80.211500999999998</v>
      </c>
      <c r="S699" s="22">
        <v>65.089921000000004</v>
      </c>
      <c r="T699" s="22">
        <v>44.444991000000002</v>
      </c>
      <c r="U699" s="24" t="s">
        <v>219</v>
      </c>
      <c r="V699" s="55">
        <v>31.97</v>
      </c>
      <c r="W699" s="55">
        <v>1212</v>
      </c>
      <c r="X699" s="49">
        <v>44713</v>
      </c>
    </row>
    <row r="700" spans="1:24" ht="12" customHeight="1" x14ac:dyDescent="0.2">
      <c r="A700" s="49">
        <v>44743</v>
      </c>
      <c r="B700" s="523">
        <v>1.03E-2</v>
      </c>
      <c r="C700" s="533">
        <f t="shared" si="0"/>
        <v>3.9221999999999997</v>
      </c>
      <c r="D700" s="50"/>
      <c r="E700" s="50"/>
      <c r="F700" s="50"/>
      <c r="G700" s="50"/>
      <c r="H700" s="50"/>
      <c r="I700" s="50"/>
      <c r="J700" s="22">
        <v>98.589326999999997</v>
      </c>
      <c r="K700" s="22">
        <v>146.84812299999999</v>
      </c>
      <c r="L700" s="22">
        <v>448.49382300000002</v>
      </c>
      <c r="M700" s="22">
        <v>455.20889299999999</v>
      </c>
      <c r="N700" s="22">
        <v>89.566486999999995</v>
      </c>
      <c r="O700" s="22">
        <v>89.102340999999996</v>
      </c>
      <c r="P700" s="22">
        <v>7.2414290000000001</v>
      </c>
      <c r="Q700" s="22">
        <v>60.304979000000003</v>
      </c>
      <c r="R700" s="22">
        <v>81.029657999999998</v>
      </c>
      <c r="S700" s="22">
        <v>65.539040999999997</v>
      </c>
      <c r="T700" s="22">
        <v>44.510947000000002</v>
      </c>
      <c r="U700" s="24" t="s">
        <v>219</v>
      </c>
      <c r="V700" s="55">
        <v>31.97</v>
      </c>
      <c r="W700" s="55">
        <v>1212</v>
      </c>
      <c r="X700" s="49">
        <v>44743</v>
      </c>
    </row>
    <row r="701" spans="1:24" ht="12" customHeight="1" x14ac:dyDescent="0.2">
      <c r="A701" s="49">
        <v>44774</v>
      </c>
      <c r="B701" s="523">
        <v>1.17E-2</v>
      </c>
      <c r="C701" s="533">
        <f t="shared" si="0"/>
        <v>3.9338999999999995</v>
      </c>
      <c r="D701" s="50"/>
      <c r="E701" s="50"/>
      <c r="F701" s="50"/>
      <c r="G701" s="50"/>
      <c r="H701" s="50"/>
      <c r="I701" s="50"/>
      <c r="J701" s="550">
        <v>98.747068999999996</v>
      </c>
      <c r="K701" s="550">
        <v>147.15650400000001</v>
      </c>
      <c r="L701" s="550">
        <v>452.35086899999999</v>
      </c>
      <c r="M701" s="550">
        <v>453.47909900000002</v>
      </c>
      <c r="N701" s="550">
        <v>89.029088000000002</v>
      </c>
      <c r="O701" s="550">
        <v>88.496444999999994</v>
      </c>
      <c r="P701" s="550">
        <v>7.2508419999999996</v>
      </c>
      <c r="Q701" s="550">
        <v>60.926119999999997</v>
      </c>
      <c r="R701" s="550">
        <v>81.864262999999994</v>
      </c>
      <c r="S701" s="550">
        <v>65.624240999999998</v>
      </c>
      <c r="T701" s="22">
        <v>44.583544000000003</v>
      </c>
      <c r="U701" s="24" t="s">
        <v>219</v>
      </c>
      <c r="V701" s="55">
        <v>31.97</v>
      </c>
      <c r="W701" s="55">
        <v>1212</v>
      </c>
      <c r="X701" s="49">
        <v>44774</v>
      </c>
    </row>
    <row r="702" spans="1:24" ht="12" customHeight="1" x14ac:dyDescent="0.2">
      <c r="A702" s="49">
        <v>44805</v>
      </c>
      <c r="B702" s="523">
        <v>1.0699999999999999E-2</v>
      </c>
      <c r="C702" s="533">
        <f t="shared" si="0"/>
        <v>3.9445999999999994</v>
      </c>
      <c r="D702" s="50"/>
      <c r="E702" s="50"/>
      <c r="F702" s="50"/>
      <c r="G702" s="50"/>
      <c r="H702" s="50"/>
      <c r="I702" s="50"/>
      <c r="J702" s="22">
        <v>98.865565000000004</v>
      </c>
      <c r="K702" s="22">
        <v>146.126408</v>
      </c>
      <c r="L702" s="22">
        <v>452.75798400000002</v>
      </c>
      <c r="M702" s="22">
        <v>450.98496299999999</v>
      </c>
      <c r="N702" s="22">
        <v>88.753096999999997</v>
      </c>
      <c r="O702" s="22">
        <v>88.177857000000003</v>
      </c>
      <c r="P702" s="22">
        <v>7.1979100000000003</v>
      </c>
      <c r="Q702" s="22">
        <v>61.638955000000003</v>
      </c>
      <c r="R702" s="22">
        <v>82.822074000000001</v>
      </c>
      <c r="S702" s="22">
        <v>65.145184</v>
      </c>
      <c r="T702" s="22">
        <v>44.690944999999999</v>
      </c>
      <c r="U702" s="24" t="s">
        <v>219</v>
      </c>
      <c r="V702" s="55">
        <v>31.97</v>
      </c>
      <c r="W702" s="55">
        <v>1212</v>
      </c>
      <c r="X702" s="49">
        <v>44805</v>
      </c>
    </row>
    <row r="703" spans="1:24" ht="12" customHeight="1" x14ac:dyDescent="0.2">
      <c r="A703" s="49">
        <v>44835</v>
      </c>
      <c r="B703" s="523">
        <v>1.0200000000000001E-2</v>
      </c>
      <c r="C703" s="533">
        <f t="shared" si="0"/>
        <v>3.9547999999999996</v>
      </c>
      <c r="D703" s="50"/>
      <c r="E703" s="50"/>
      <c r="F703" s="50"/>
      <c r="G703" s="50"/>
      <c r="H703" s="50"/>
      <c r="I703" s="50"/>
      <c r="J703" s="55">
        <v>98.984202999999994</v>
      </c>
      <c r="K703" s="55">
        <v>144.73820699999999</v>
      </c>
      <c r="L703" s="55">
        <v>453.16546599999998</v>
      </c>
      <c r="M703" s="55">
        <v>445.48294600000003</v>
      </c>
      <c r="N703" s="55">
        <v>88.469087000000002</v>
      </c>
      <c r="O703" s="55">
        <v>87.922140999999996</v>
      </c>
      <c r="P703" s="55">
        <v>7.1712769999999999</v>
      </c>
      <c r="Q703" s="55">
        <v>62.298490999999999</v>
      </c>
      <c r="R703" s="55">
        <v>83.708269999999999</v>
      </c>
      <c r="S703" s="55">
        <v>64.904145999999997</v>
      </c>
      <c r="T703" s="55">
        <v>44.771611999999998</v>
      </c>
      <c r="U703" s="24" t="s">
        <v>219</v>
      </c>
      <c r="V703" s="55">
        <v>31.97</v>
      </c>
      <c r="W703" s="55">
        <v>1212</v>
      </c>
      <c r="X703" s="49">
        <v>44835</v>
      </c>
    </row>
    <row r="704" spans="1:24" ht="12" customHeight="1" x14ac:dyDescent="0.2">
      <c r="A704" s="49">
        <v>44866</v>
      </c>
      <c r="B704" s="523">
        <v>1.0200000000000001E-2</v>
      </c>
      <c r="C704" s="533">
        <f t="shared" si="0"/>
        <v>3.9649999999999999</v>
      </c>
      <c r="D704" s="50"/>
      <c r="E704" s="50"/>
      <c r="F704" s="50"/>
      <c r="G704" s="50"/>
      <c r="H704" s="50"/>
      <c r="I704" s="50"/>
      <c r="J704" s="55">
        <v>99.429631000000001</v>
      </c>
      <c r="K704" s="55">
        <v>143.33424600000001</v>
      </c>
      <c r="L704" s="55">
        <v>453.70926400000002</v>
      </c>
      <c r="M704" s="55">
        <v>442.72095100000001</v>
      </c>
      <c r="N704" s="55">
        <v>88.884890999999996</v>
      </c>
      <c r="O704" s="55">
        <v>88.440881000000005</v>
      </c>
      <c r="P704" s="55">
        <v>7.1827509999999997</v>
      </c>
      <c r="Q704" s="55">
        <v>62.933934999999998</v>
      </c>
      <c r="R704" s="55">
        <v>84.562094000000002</v>
      </c>
      <c r="S704" s="55">
        <v>65.007992000000002</v>
      </c>
      <c r="T704" s="55">
        <v>44.838500000000003</v>
      </c>
      <c r="U704" s="24" t="s">
        <v>219</v>
      </c>
      <c r="V704" s="55">
        <v>31.97</v>
      </c>
      <c r="W704" s="55">
        <v>1212</v>
      </c>
      <c r="X704" s="49">
        <v>44866</v>
      </c>
    </row>
    <row r="705" spans="1:24" ht="12" customHeight="1" x14ac:dyDescent="0.2">
      <c r="A705" s="49">
        <v>44896</v>
      </c>
      <c r="B705" s="523">
        <v>1.12E-2</v>
      </c>
      <c r="C705" s="533">
        <f t="shared" si="0"/>
        <v>3.9762</v>
      </c>
      <c r="D705" s="50"/>
      <c r="E705" s="50"/>
      <c r="F705" s="50"/>
      <c r="G705" s="50"/>
      <c r="H705" s="50"/>
      <c r="I705" s="50"/>
      <c r="J705" s="55">
        <v>99.896950000000004</v>
      </c>
      <c r="K705" s="55">
        <v>142.53157400000001</v>
      </c>
      <c r="L705" s="55">
        <v>455.34261700000002</v>
      </c>
      <c r="M705" s="55">
        <v>441.92405300000001</v>
      </c>
      <c r="N705" s="55">
        <v>89.222652999999994</v>
      </c>
      <c r="O705" s="55">
        <v>88.803488000000002</v>
      </c>
      <c r="P705" s="55">
        <v>7.2208189999999997</v>
      </c>
      <c r="Q705" s="55">
        <v>63.575861000000003</v>
      </c>
      <c r="R705" s="55">
        <v>85.424627000000001</v>
      </c>
      <c r="S705" s="55">
        <v>65.352534000000006</v>
      </c>
      <c r="T705" s="55">
        <v>44.906070999999997</v>
      </c>
      <c r="U705" s="24" t="s">
        <v>219</v>
      </c>
      <c r="V705" s="55">
        <v>31.97</v>
      </c>
      <c r="W705" s="55">
        <v>1212</v>
      </c>
      <c r="X705" s="49">
        <v>44896</v>
      </c>
    </row>
    <row r="706" spans="1:24" ht="12" customHeight="1" x14ac:dyDescent="0.2">
      <c r="A706" s="49">
        <v>44927</v>
      </c>
      <c r="B706" s="523">
        <v>1.12E-2</v>
      </c>
      <c r="C706" s="533">
        <f t="shared" si="0"/>
        <v>3.9874000000000001</v>
      </c>
      <c r="D706" s="50"/>
      <c r="E706" s="50"/>
      <c r="F706" s="50"/>
      <c r="G706" s="50"/>
      <c r="H706" s="50"/>
      <c r="I706" s="50"/>
      <c r="J706" s="55">
        <v>100.436393</v>
      </c>
      <c r="K706" s="55">
        <v>143.172966</v>
      </c>
      <c r="L706" s="55">
        <v>455.75242500000002</v>
      </c>
      <c r="M706" s="55">
        <v>443.294017</v>
      </c>
      <c r="N706" s="55">
        <v>89.838289000000003</v>
      </c>
      <c r="O706" s="55">
        <v>89.354068999999996</v>
      </c>
      <c r="P706" s="55">
        <v>7.2583669999999998</v>
      </c>
      <c r="Q706" s="55">
        <v>64.287909999999997</v>
      </c>
      <c r="R706" s="55">
        <v>86.381382000000002</v>
      </c>
      <c r="S706" s="55">
        <v>65.692367000000004</v>
      </c>
      <c r="T706" s="55">
        <v>44.999116000000001</v>
      </c>
      <c r="U706" s="24" t="s">
        <v>219</v>
      </c>
      <c r="V706" s="22">
        <v>34.26</v>
      </c>
      <c r="W706" s="22">
        <v>1302</v>
      </c>
      <c r="X706" s="49">
        <v>44927</v>
      </c>
    </row>
    <row r="707" spans="1:24" ht="12" customHeight="1" x14ac:dyDescent="0.2">
      <c r="A707" s="49">
        <v>44958</v>
      </c>
      <c r="B707" s="523">
        <v>9.1999999999999998E-3</v>
      </c>
      <c r="C707" s="533">
        <f t="shared" si="0"/>
        <v>3.9965999999999999</v>
      </c>
      <c r="D707" s="50"/>
      <c r="E707" s="50"/>
      <c r="F707" s="50"/>
      <c r="G707" s="50"/>
      <c r="H707" s="50"/>
      <c r="I707" s="50"/>
      <c r="J707" s="55">
        <v>101.069142</v>
      </c>
      <c r="K707" s="55">
        <v>143.47362899999999</v>
      </c>
      <c r="L707" s="55">
        <v>457.84888599999999</v>
      </c>
      <c r="M707" s="55">
        <v>443.55999300000002</v>
      </c>
      <c r="N707" s="55">
        <v>90.251544999999993</v>
      </c>
      <c r="O707" s="55">
        <v>89.827645000000004</v>
      </c>
      <c r="P707" s="55">
        <v>7.2982880000000003</v>
      </c>
      <c r="Q707" s="55">
        <v>65.007934000000006</v>
      </c>
      <c r="R707" s="55">
        <v>87.348853000000005</v>
      </c>
      <c r="S707" s="55">
        <v>66.053674999999998</v>
      </c>
      <c r="T707" s="55">
        <v>45.092759000000001</v>
      </c>
      <c r="U707" s="24" t="s">
        <v>219</v>
      </c>
      <c r="V707" s="22">
        <v>34.26</v>
      </c>
      <c r="W707" s="55">
        <v>1302</v>
      </c>
      <c r="X707" s="49">
        <v>44958</v>
      </c>
    </row>
    <row r="708" spans="1:24" ht="12" customHeight="1" x14ac:dyDescent="0.2">
      <c r="A708" s="49">
        <v>44986</v>
      </c>
      <c r="B708" s="523">
        <v>1.17E-2</v>
      </c>
      <c r="C708" s="533">
        <f t="shared" si="0"/>
        <v>4.0083000000000002</v>
      </c>
      <c r="D708" s="50"/>
      <c r="E708" s="50"/>
      <c r="F708" s="50"/>
      <c r="G708" s="50"/>
      <c r="H708" s="50"/>
      <c r="I708" s="50"/>
      <c r="J708" s="55">
        <v>101.503739</v>
      </c>
      <c r="K708" s="55">
        <v>143.38754399999999</v>
      </c>
      <c r="L708" s="55">
        <v>458.07781</v>
      </c>
      <c r="M708" s="55">
        <v>443.737416</v>
      </c>
      <c r="N708" s="55">
        <v>90.946481000000006</v>
      </c>
      <c r="O708" s="55">
        <v>90.582196999999994</v>
      </c>
      <c r="P708" s="55">
        <v>7.3537540000000003</v>
      </c>
      <c r="Q708" s="55">
        <v>65.606005999999994</v>
      </c>
      <c r="R708" s="55">
        <v>88.152462</v>
      </c>
      <c r="S708" s="55">
        <v>66.555682000000004</v>
      </c>
      <c r="T708" s="55">
        <v>45.130184999999997</v>
      </c>
      <c r="U708" s="24" t="s">
        <v>219</v>
      </c>
      <c r="V708" s="22">
        <v>34.26</v>
      </c>
      <c r="W708" s="55">
        <v>1302</v>
      </c>
      <c r="X708" s="49">
        <v>44986</v>
      </c>
    </row>
    <row r="709" spans="1:24" ht="12" customHeight="1" x14ac:dyDescent="0.2">
      <c r="A709" s="49">
        <v>45017</v>
      </c>
      <c r="B709" s="523">
        <v>9.1999999999999998E-3</v>
      </c>
      <c r="C709" s="533">
        <f t="shared" si="0"/>
        <v>4.0175000000000001</v>
      </c>
      <c r="D709" s="50"/>
      <c r="E709" s="50"/>
      <c r="F709" s="50"/>
      <c r="G709" s="50"/>
      <c r="H709" s="50"/>
      <c r="I709" s="50"/>
      <c r="J709" s="55">
        <v>101.899603</v>
      </c>
      <c r="K709" s="55">
        <v>143.459237</v>
      </c>
      <c r="L709" s="55">
        <v>459.452043</v>
      </c>
      <c r="M709" s="55">
        <v>442.22870799999998</v>
      </c>
      <c r="N709" s="55">
        <v>91.528537999999998</v>
      </c>
      <c r="O709" s="55">
        <v>91.22533</v>
      </c>
      <c r="P709" s="55">
        <v>7.4044939999999997</v>
      </c>
      <c r="Q709" s="55">
        <v>66.373596000000006</v>
      </c>
      <c r="R709" s="55">
        <v>89.183845000000005</v>
      </c>
      <c r="S709" s="55">
        <v>67.014915999999999</v>
      </c>
      <c r="T709" s="55">
        <v>45.238135999999997</v>
      </c>
      <c r="U709" s="24" t="s">
        <v>219</v>
      </c>
      <c r="V709" s="22">
        <v>34.26</v>
      </c>
      <c r="W709" s="55">
        <v>1302</v>
      </c>
      <c r="X709" s="49">
        <v>45017</v>
      </c>
    </row>
    <row r="710" spans="1:24" ht="12" customHeight="1" x14ac:dyDescent="0.2">
      <c r="A710" s="49">
        <v>45047</v>
      </c>
      <c r="B710" s="523">
        <v>1.12E-2</v>
      </c>
      <c r="C710" s="533">
        <f t="shared" si="0"/>
        <v>4.0286999999999997</v>
      </c>
      <c r="D710" s="50"/>
      <c r="E710" s="50"/>
      <c r="F710" s="50"/>
      <c r="G710" s="50"/>
      <c r="H710" s="50"/>
      <c r="I710" s="50"/>
      <c r="J710" s="55">
        <v>102.337771</v>
      </c>
      <c r="K710" s="55">
        <v>142.096374</v>
      </c>
      <c r="L710" s="55">
        <v>460.09527500000002</v>
      </c>
      <c r="M710" s="55">
        <v>437.76219800000001</v>
      </c>
      <c r="N710" s="55">
        <v>92.013638999999998</v>
      </c>
      <c r="O710" s="55">
        <v>91.781803999999994</v>
      </c>
      <c r="P710" s="55">
        <v>7.4466989999999997</v>
      </c>
      <c r="Q710" s="55">
        <v>66.984233000000003</v>
      </c>
      <c r="R710" s="55">
        <v>90.004335999999995</v>
      </c>
      <c r="S710" s="55">
        <v>67.396901</v>
      </c>
      <c r="T710" s="55">
        <v>45.275275999999998</v>
      </c>
      <c r="U710" s="24" t="s">
        <v>219</v>
      </c>
      <c r="V710" s="22">
        <v>34.26</v>
      </c>
      <c r="W710" s="55">
        <v>1320</v>
      </c>
      <c r="X710" s="49">
        <v>45047</v>
      </c>
    </row>
    <row r="711" spans="1:24" ht="12" customHeight="1" x14ac:dyDescent="0.2">
      <c r="A711" s="49">
        <v>45078</v>
      </c>
      <c r="B711" s="523">
        <v>1.0699999999999999E-2</v>
      </c>
      <c r="C711" s="533">
        <f t="shared" si="0"/>
        <v>4.0393999999999997</v>
      </c>
      <c r="D711" s="50"/>
      <c r="E711" s="50"/>
      <c r="F711" s="50"/>
      <c r="G711" s="50"/>
      <c r="H711" s="50"/>
      <c r="I711" s="50"/>
      <c r="J711" s="55">
        <v>102.542446</v>
      </c>
      <c r="K711" s="55">
        <v>139.48179999999999</v>
      </c>
      <c r="L711" s="55">
        <v>462.80983700000002</v>
      </c>
      <c r="M711" s="55">
        <v>427.56233800000001</v>
      </c>
      <c r="N711" s="55">
        <v>92.344887999999997</v>
      </c>
      <c r="O711" s="55">
        <v>91.992902000000001</v>
      </c>
      <c r="P711" s="55">
        <v>7.4846769999999996</v>
      </c>
      <c r="Q711" s="55">
        <v>67.734455999999994</v>
      </c>
      <c r="R711" s="55">
        <v>91.012383999999997</v>
      </c>
      <c r="S711" s="55">
        <v>67.740624999999994</v>
      </c>
      <c r="T711" s="55">
        <v>45.372481999999998</v>
      </c>
      <c r="U711" s="24" t="s">
        <v>219</v>
      </c>
      <c r="V711" s="22">
        <v>34.26</v>
      </c>
      <c r="W711" s="55">
        <v>1320</v>
      </c>
      <c r="X711" s="49">
        <v>45078</v>
      </c>
    </row>
    <row r="712" spans="1:24" ht="12" customHeight="1" x14ac:dyDescent="0.2">
      <c r="A712" s="49">
        <v>45108</v>
      </c>
      <c r="B712" s="429"/>
      <c r="C712" s="533" t="str">
        <f t="shared" si="0"/>
        <v/>
      </c>
      <c r="D712" s="50"/>
      <c r="E712" s="50"/>
      <c r="F712" s="50"/>
      <c r="G712" s="50"/>
      <c r="H712" s="50"/>
      <c r="I712" s="50"/>
      <c r="J712" s="55">
        <v>102.511683</v>
      </c>
      <c r="K712" s="55">
        <v>136.78980100000001</v>
      </c>
      <c r="L712" s="55">
        <v>466.09578599999998</v>
      </c>
      <c r="M712" s="55">
        <v>421.362684</v>
      </c>
      <c r="N712" s="55">
        <v>92.252543000000003</v>
      </c>
      <c r="O712" s="55">
        <v>91.919307000000003</v>
      </c>
      <c r="P712" s="55">
        <v>7.4876699999999996</v>
      </c>
      <c r="Q712" s="55">
        <v>68.459214000000003</v>
      </c>
      <c r="R712" s="55">
        <v>91.986215999999999</v>
      </c>
      <c r="S712" s="55">
        <v>67.767720999999995</v>
      </c>
      <c r="T712" s="55">
        <v>45.454107</v>
      </c>
      <c r="U712" s="24" t="s">
        <v>219</v>
      </c>
      <c r="V712" s="22">
        <v>34.26</v>
      </c>
      <c r="W712" s="55">
        <v>1320</v>
      </c>
      <c r="X712" s="49">
        <v>45108</v>
      </c>
    </row>
    <row r="713" spans="1:24" ht="12" customHeight="1" x14ac:dyDescent="0.2">
      <c r="A713" s="49">
        <v>45139</v>
      </c>
      <c r="B713" s="429"/>
      <c r="C713" s="533" t="str">
        <f t="shared" si="0"/>
        <v/>
      </c>
      <c r="D713" s="50"/>
      <c r="E713" s="50"/>
      <c r="F713" s="50"/>
      <c r="G713" s="50"/>
      <c r="H713" s="50"/>
      <c r="I713" s="50"/>
      <c r="J713" s="22"/>
      <c r="K713" s="22"/>
      <c r="L713" s="22"/>
      <c r="M713" s="22"/>
      <c r="N713" s="22"/>
      <c r="O713" s="22"/>
      <c r="P713" s="22"/>
      <c r="Q713" s="22"/>
      <c r="R713" s="22"/>
      <c r="S713" s="22"/>
      <c r="T713" s="55">
        <v>45.525969000000003</v>
      </c>
      <c r="U713" s="24" t="s">
        <v>219</v>
      </c>
      <c r="V713" s="22">
        <v>34.26</v>
      </c>
      <c r="W713" s="55">
        <v>1320</v>
      </c>
      <c r="X713" s="49">
        <v>45139</v>
      </c>
    </row>
    <row r="714" spans="1:24" ht="12" customHeight="1" x14ac:dyDescent="0.2">
      <c r="A714" s="49">
        <v>45170</v>
      </c>
      <c r="B714" s="429"/>
      <c r="C714" s="533" t="str">
        <f t="shared" si="0"/>
        <v/>
      </c>
      <c r="D714" s="50"/>
      <c r="E714" s="50"/>
      <c r="F714" s="50"/>
      <c r="G714" s="50"/>
      <c r="H714" s="50"/>
      <c r="I714" s="50"/>
      <c r="J714" s="22"/>
      <c r="K714" s="22"/>
      <c r="L714" s="22"/>
      <c r="M714" s="22"/>
      <c r="N714" s="22"/>
      <c r="O714" s="22"/>
      <c r="P714" s="22"/>
      <c r="Q714" s="22"/>
      <c r="R714" s="22"/>
      <c r="S714" s="22"/>
      <c r="T714" s="22"/>
      <c r="U714" s="24" t="s">
        <v>219</v>
      </c>
      <c r="V714" s="22">
        <v>34.26</v>
      </c>
      <c r="W714" s="55">
        <v>1320</v>
      </c>
      <c r="X714" s="49">
        <v>45170</v>
      </c>
    </row>
    <row r="715" spans="1:24" ht="12" customHeight="1" x14ac:dyDescent="0.2">
      <c r="A715" s="49">
        <v>45200</v>
      </c>
      <c r="B715" s="429"/>
      <c r="C715" s="533" t="str">
        <f t="shared" si="0"/>
        <v/>
      </c>
      <c r="D715" s="50"/>
      <c r="E715" s="50"/>
      <c r="F715" s="50"/>
      <c r="G715" s="50"/>
      <c r="H715" s="50"/>
      <c r="I715" s="50"/>
      <c r="J715" s="22"/>
      <c r="K715" s="22"/>
      <c r="L715" s="22"/>
      <c r="M715" s="22"/>
      <c r="N715" s="22"/>
      <c r="O715" s="22"/>
      <c r="P715" s="22"/>
      <c r="Q715" s="22"/>
      <c r="R715" s="22"/>
      <c r="S715" s="22"/>
      <c r="T715" s="22"/>
      <c r="U715" s="24" t="s">
        <v>219</v>
      </c>
      <c r="V715" s="22">
        <v>34.26</v>
      </c>
      <c r="W715" s="55">
        <v>1320</v>
      </c>
      <c r="X715" s="49">
        <v>45200</v>
      </c>
    </row>
    <row r="716" spans="1:24" ht="12" customHeight="1" x14ac:dyDescent="0.2">
      <c r="A716" s="49">
        <v>45231</v>
      </c>
      <c r="B716" s="429"/>
      <c r="C716" s="533" t="str">
        <f t="shared" si="0"/>
        <v/>
      </c>
      <c r="D716" s="50"/>
      <c r="E716" s="50"/>
      <c r="F716" s="50"/>
      <c r="G716" s="50"/>
      <c r="H716" s="50"/>
      <c r="I716" s="50"/>
      <c r="J716" s="22"/>
      <c r="K716" s="22"/>
      <c r="L716" s="22"/>
      <c r="M716" s="22"/>
      <c r="N716" s="22"/>
      <c r="O716" s="22"/>
      <c r="P716" s="22"/>
      <c r="Q716" s="22"/>
      <c r="R716" s="22"/>
      <c r="S716" s="22"/>
      <c r="T716" s="22"/>
      <c r="U716" s="24" t="s">
        <v>219</v>
      </c>
      <c r="V716" s="22">
        <v>34.26</v>
      </c>
      <c r="W716" s="55">
        <v>1320</v>
      </c>
      <c r="X716" s="49">
        <v>45231</v>
      </c>
    </row>
    <row r="717" spans="1:24" ht="12" customHeight="1" x14ac:dyDescent="0.2">
      <c r="A717" s="49">
        <v>45261</v>
      </c>
      <c r="B717" s="429"/>
      <c r="C717" s="533" t="str">
        <f t="shared" si="0"/>
        <v/>
      </c>
      <c r="D717" s="50"/>
      <c r="E717" s="50"/>
      <c r="F717" s="50"/>
      <c r="G717" s="50"/>
      <c r="H717" s="50"/>
      <c r="I717" s="50"/>
      <c r="J717" s="22"/>
      <c r="K717" s="22"/>
      <c r="L717" s="22"/>
      <c r="M717" s="22"/>
      <c r="N717" s="22"/>
      <c r="O717" s="22"/>
      <c r="P717" s="22"/>
      <c r="Q717" s="22"/>
      <c r="R717" s="22"/>
      <c r="S717" s="22"/>
      <c r="T717" s="22"/>
      <c r="U717" s="24" t="s">
        <v>219</v>
      </c>
      <c r="V717" s="22">
        <v>34.26</v>
      </c>
      <c r="W717" s="55">
        <v>1320</v>
      </c>
      <c r="X717" s="49">
        <v>45261</v>
      </c>
    </row>
    <row r="718" spans="1:24" ht="12" customHeight="1" x14ac:dyDescent="0.2">
      <c r="A718" s="49">
        <v>45292</v>
      </c>
      <c r="B718" s="429"/>
      <c r="C718" s="533" t="str">
        <f t="shared" si="0"/>
        <v/>
      </c>
      <c r="D718" s="50"/>
      <c r="E718" s="50"/>
      <c r="F718" s="50"/>
      <c r="G718" s="50"/>
      <c r="H718" s="50"/>
      <c r="I718" s="50"/>
      <c r="J718" s="22"/>
      <c r="K718" s="22"/>
      <c r="L718" s="22"/>
      <c r="M718" s="22"/>
      <c r="N718" s="22"/>
      <c r="O718" s="22"/>
      <c r="P718" s="22"/>
      <c r="Q718" s="22"/>
      <c r="R718" s="22"/>
      <c r="S718" s="22"/>
      <c r="T718" s="22"/>
      <c r="U718" s="24" t="s">
        <v>219</v>
      </c>
      <c r="V718" s="22"/>
      <c r="W718" s="22"/>
      <c r="X718" s="49">
        <v>45292</v>
      </c>
    </row>
    <row r="719" spans="1:24" ht="12" customHeight="1" x14ac:dyDescent="0.2">
      <c r="A719" s="49">
        <v>45323</v>
      </c>
      <c r="B719" s="429"/>
      <c r="C719" s="533" t="str">
        <f t="shared" si="0"/>
        <v/>
      </c>
      <c r="D719" s="50"/>
      <c r="E719" s="50"/>
      <c r="F719" s="50"/>
      <c r="G719" s="50"/>
      <c r="H719" s="50"/>
      <c r="I719" s="50"/>
      <c r="J719" s="22"/>
      <c r="K719" s="22"/>
      <c r="L719" s="22"/>
      <c r="M719" s="22"/>
      <c r="N719" s="22"/>
      <c r="O719" s="22"/>
      <c r="P719" s="22"/>
      <c r="Q719" s="22"/>
      <c r="R719" s="22"/>
      <c r="S719" s="22"/>
      <c r="T719" s="22"/>
      <c r="U719" s="24" t="s">
        <v>219</v>
      </c>
      <c r="V719" s="22"/>
      <c r="W719" s="22"/>
      <c r="X719" s="49">
        <v>45323</v>
      </c>
    </row>
    <row r="720" spans="1:24" ht="12" customHeight="1" x14ac:dyDescent="0.2">
      <c r="A720" s="49">
        <v>45352</v>
      </c>
      <c r="B720" s="429"/>
      <c r="C720" s="533" t="str">
        <f t="shared" si="0"/>
        <v/>
      </c>
      <c r="D720" s="50"/>
      <c r="E720" s="50"/>
      <c r="F720" s="50"/>
      <c r="G720" s="50"/>
      <c r="H720" s="50"/>
      <c r="I720" s="50"/>
      <c r="J720" s="22"/>
      <c r="K720" s="22"/>
      <c r="L720" s="22"/>
      <c r="M720" s="22"/>
      <c r="N720" s="22"/>
      <c r="O720" s="22"/>
      <c r="P720" s="22"/>
      <c r="Q720" s="22"/>
      <c r="R720" s="22"/>
      <c r="S720" s="22"/>
      <c r="T720" s="22"/>
      <c r="U720" s="24" t="s">
        <v>219</v>
      </c>
      <c r="V720" s="22"/>
      <c r="W720" s="22"/>
      <c r="X720" s="49">
        <v>45352</v>
      </c>
    </row>
    <row r="721" spans="1:24" ht="12" customHeight="1" x14ac:dyDescent="0.2">
      <c r="A721" s="49">
        <v>45383</v>
      </c>
      <c r="B721" s="429"/>
      <c r="C721" s="533" t="str">
        <f t="shared" si="0"/>
        <v/>
      </c>
      <c r="D721" s="50"/>
      <c r="E721" s="50"/>
      <c r="F721" s="50"/>
      <c r="G721" s="50"/>
      <c r="H721" s="50"/>
      <c r="I721" s="50"/>
      <c r="J721" s="22"/>
      <c r="K721" s="22"/>
      <c r="L721" s="22"/>
      <c r="M721" s="22"/>
      <c r="N721" s="22"/>
      <c r="O721" s="22"/>
      <c r="P721" s="22"/>
      <c r="Q721" s="22"/>
      <c r="R721" s="22"/>
      <c r="S721" s="22"/>
      <c r="T721" s="22"/>
      <c r="U721" s="24" t="s">
        <v>219</v>
      </c>
      <c r="V721" s="22"/>
      <c r="W721" s="22"/>
      <c r="X721" s="49">
        <v>45383</v>
      </c>
    </row>
    <row r="722" spans="1:24" ht="12" customHeight="1" x14ac:dyDescent="0.2">
      <c r="A722" s="49">
        <v>45413</v>
      </c>
      <c r="B722" s="429"/>
      <c r="C722" s="533" t="str">
        <f t="shared" si="0"/>
        <v/>
      </c>
      <c r="D722" s="50"/>
      <c r="E722" s="50"/>
      <c r="F722" s="50"/>
      <c r="G722" s="50"/>
      <c r="H722" s="50"/>
      <c r="I722" s="50"/>
      <c r="J722" s="22"/>
      <c r="K722" s="22"/>
      <c r="L722" s="22"/>
      <c r="M722" s="22"/>
      <c r="N722" s="22"/>
      <c r="O722" s="22"/>
      <c r="P722" s="22"/>
      <c r="Q722" s="22"/>
      <c r="R722" s="22"/>
      <c r="S722" s="22"/>
      <c r="T722" s="22"/>
      <c r="U722" s="24" t="s">
        <v>219</v>
      </c>
      <c r="V722" s="22"/>
      <c r="W722" s="22"/>
      <c r="X722" s="49">
        <v>45413</v>
      </c>
    </row>
    <row r="723" spans="1:24" ht="12" customHeight="1" x14ac:dyDescent="0.2">
      <c r="A723" s="49">
        <v>45444</v>
      </c>
      <c r="B723" s="429"/>
      <c r="C723" s="533" t="str">
        <f t="shared" si="0"/>
        <v/>
      </c>
      <c r="D723" s="50"/>
      <c r="E723" s="50"/>
      <c r="F723" s="50"/>
      <c r="G723" s="50"/>
      <c r="H723" s="50"/>
      <c r="I723" s="50"/>
      <c r="J723" s="22"/>
      <c r="K723" s="22"/>
      <c r="L723" s="22"/>
      <c r="M723" s="22"/>
      <c r="N723" s="22"/>
      <c r="O723" s="22"/>
      <c r="P723" s="22"/>
      <c r="Q723" s="22"/>
      <c r="R723" s="22"/>
      <c r="S723" s="22"/>
      <c r="T723" s="22"/>
      <c r="U723" s="24" t="s">
        <v>219</v>
      </c>
      <c r="V723" s="22"/>
      <c r="W723" s="22"/>
      <c r="X723" s="49">
        <v>45444</v>
      </c>
    </row>
    <row r="724" spans="1:24" ht="12" customHeight="1" x14ac:dyDescent="0.2">
      <c r="A724" s="49">
        <v>45474</v>
      </c>
      <c r="B724" s="429"/>
      <c r="C724" s="533" t="str">
        <f t="shared" si="0"/>
        <v/>
      </c>
      <c r="D724" s="50"/>
      <c r="E724" s="50"/>
      <c r="F724" s="50"/>
      <c r="G724" s="50"/>
      <c r="H724" s="50"/>
      <c r="I724" s="50"/>
      <c r="J724" s="22"/>
      <c r="K724" s="22"/>
      <c r="L724" s="22"/>
      <c r="M724" s="22"/>
      <c r="N724" s="22"/>
      <c r="O724" s="22"/>
      <c r="P724" s="22"/>
      <c r="Q724" s="22"/>
      <c r="R724" s="22"/>
      <c r="S724" s="22"/>
      <c r="T724" s="22"/>
      <c r="U724" s="24" t="s">
        <v>219</v>
      </c>
      <c r="V724" s="22"/>
      <c r="W724" s="22"/>
      <c r="X724" s="49">
        <v>45474</v>
      </c>
    </row>
    <row r="725" spans="1:24" ht="12" customHeight="1" x14ac:dyDescent="0.2">
      <c r="A725" s="49">
        <v>45505</v>
      </c>
      <c r="B725" s="429"/>
      <c r="C725" s="533" t="str">
        <f t="shared" si="0"/>
        <v/>
      </c>
      <c r="D725" s="50"/>
      <c r="E725" s="50"/>
      <c r="F725" s="50"/>
      <c r="G725" s="50"/>
      <c r="H725" s="50"/>
      <c r="I725" s="50"/>
      <c r="J725" s="22"/>
      <c r="K725" s="22"/>
      <c r="L725" s="22"/>
      <c r="M725" s="22"/>
      <c r="N725" s="22"/>
      <c r="O725" s="22"/>
      <c r="P725" s="22"/>
      <c r="Q725" s="22"/>
      <c r="R725" s="22"/>
      <c r="S725" s="22"/>
      <c r="T725" s="22"/>
      <c r="U725" s="24" t="s">
        <v>219</v>
      </c>
      <c r="V725" s="22"/>
      <c r="W725" s="22"/>
      <c r="X725" s="49">
        <v>45505</v>
      </c>
    </row>
    <row r="726" spans="1:24" ht="12" customHeight="1" x14ac:dyDescent="0.2">
      <c r="A726" s="49">
        <v>45536</v>
      </c>
      <c r="B726" s="429"/>
      <c r="C726" s="533" t="str">
        <f t="shared" si="0"/>
        <v/>
      </c>
      <c r="D726" s="50"/>
      <c r="E726" s="50"/>
      <c r="F726" s="50"/>
      <c r="G726" s="50"/>
      <c r="H726" s="50"/>
      <c r="I726" s="50"/>
      <c r="J726" s="22"/>
      <c r="K726" s="22"/>
      <c r="L726" s="22"/>
      <c r="M726" s="22"/>
      <c r="N726" s="22"/>
      <c r="O726" s="22"/>
      <c r="P726" s="22"/>
      <c r="Q726" s="22"/>
      <c r="R726" s="22"/>
      <c r="S726" s="22"/>
      <c r="T726" s="22"/>
      <c r="U726" s="24" t="s">
        <v>219</v>
      </c>
      <c r="V726" s="22"/>
      <c r="W726" s="22"/>
      <c r="X726" s="49">
        <v>45536</v>
      </c>
    </row>
    <row r="727" spans="1:24" ht="12" customHeight="1" x14ac:dyDescent="0.2">
      <c r="A727" s="49">
        <v>45566</v>
      </c>
      <c r="B727" s="429"/>
      <c r="C727" s="533" t="str">
        <f t="shared" si="0"/>
        <v/>
      </c>
      <c r="D727" s="50"/>
      <c r="E727" s="50"/>
      <c r="F727" s="50"/>
      <c r="G727" s="50"/>
      <c r="H727" s="50"/>
      <c r="I727" s="50"/>
      <c r="J727" s="22"/>
      <c r="K727" s="22"/>
      <c r="L727" s="22"/>
      <c r="M727" s="22"/>
      <c r="N727" s="22"/>
      <c r="O727" s="22"/>
      <c r="P727" s="22"/>
      <c r="Q727" s="22"/>
      <c r="R727" s="22"/>
      <c r="S727" s="22"/>
      <c r="T727" s="22"/>
      <c r="U727" s="24" t="s">
        <v>219</v>
      </c>
      <c r="V727" s="22"/>
      <c r="W727" s="22"/>
      <c r="X727" s="49">
        <v>45566</v>
      </c>
    </row>
    <row r="728" spans="1:24" ht="12" customHeight="1" x14ac:dyDescent="0.2">
      <c r="A728" s="49">
        <v>45597</v>
      </c>
      <c r="B728" s="429"/>
      <c r="C728" s="533" t="str">
        <f t="shared" si="0"/>
        <v/>
      </c>
      <c r="D728" s="50"/>
      <c r="E728" s="50"/>
      <c r="F728" s="50"/>
      <c r="G728" s="50"/>
      <c r="H728" s="50"/>
      <c r="I728" s="50"/>
      <c r="J728" s="22"/>
      <c r="K728" s="22"/>
      <c r="L728" s="22"/>
      <c r="M728" s="22"/>
      <c r="N728" s="22"/>
      <c r="O728" s="22"/>
      <c r="P728" s="22"/>
      <c r="Q728" s="22"/>
      <c r="R728" s="22"/>
      <c r="S728" s="22"/>
      <c r="T728" s="22"/>
      <c r="U728" s="24" t="s">
        <v>219</v>
      </c>
      <c r="V728" s="22"/>
      <c r="W728" s="22"/>
      <c r="X728" s="49">
        <v>45597</v>
      </c>
    </row>
    <row r="729" spans="1:24" ht="12" customHeight="1" x14ac:dyDescent="0.2">
      <c r="A729" s="49">
        <v>45627</v>
      </c>
      <c r="B729" s="429"/>
      <c r="C729" s="533" t="str">
        <f t="shared" si="0"/>
        <v/>
      </c>
      <c r="D729" s="50"/>
      <c r="E729" s="50"/>
      <c r="F729" s="50"/>
      <c r="G729" s="50"/>
      <c r="H729" s="50"/>
      <c r="I729" s="50"/>
      <c r="J729" s="22"/>
      <c r="K729" s="22"/>
      <c r="L729" s="22"/>
      <c r="M729" s="22"/>
      <c r="N729" s="22"/>
      <c r="O729" s="22"/>
      <c r="P729" s="22"/>
      <c r="Q729" s="22"/>
      <c r="R729" s="22"/>
      <c r="S729" s="22"/>
      <c r="T729" s="22"/>
      <c r="U729" s="24" t="s">
        <v>219</v>
      </c>
      <c r="V729" s="22"/>
      <c r="W729" s="22"/>
      <c r="X729" s="49">
        <v>45627</v>
      </c>
    </row>
    <row r="730" spans="1:24" ht="12" customHeight="1" x14ac:dyDescent="0.2">
      <c r="A730" s="49">
        <v>45658</v>
      </c>
      <c r="B730" s="429"/>
      <c r="C730" s="533" t="str">
        <f t="shared" si="0"/>
        <v/>
      </c>
      <c r="D730" s="50"/>
      <c r="E730" s="50"/>
      <c r="F730" s="50"/>
      <c r="G730" s="50"/>
      <c r="H730" s="50"/>
      <c r="I730" s="50"/>
      <c r="J730" s="22"/>
      <c r="K730" s="22"/>
      <c r="L730" s="22"/>
      <c r="M730" s="22"/>
      <c r="N730" s="22"/>
      <c r="O730" s="22"/>
      <c r="P730" s="22"/>
      <c r="Q730" s="22"/>
      <c r="R730" s="22"/>
      <c r="S730" s="22"/>
      <c r="T730" s="22"/>
      <c r="U730" s="24" t="s">
        <v>219</v>
      </c>
      <c r="V730" s="22"/>
      <c r="W730" s="22"/>
      <c r="X730" s="49">
        <v>45658</v>
      </c>
    </row>
    <row r="731" spans="1:24" ht="12" customHeight="1" x14ac:dyDescent="0.2">
      <c r="A731" s="49">
        <v>45689</v>
      </c>
      <c r="B731" s="429"/>
      <c r="C731" s="533" t="str">
        <f t="shared" si="0"/>
        <v/>
      </c>
      <c r="D731" s="50"/>
      <c r="E731" s="50"/>
      <c r="F731" s="50"/>
      <c r="G731" s="50"/>
      <c r="H731" s="50"/>
      <c r="I731" s="50"/>
      <c r="J731" s="22"/>
      <c r="K731" s="22"/>
      <c r="L731" s="22"/>
      <c r="M731" s="22"/>
      <c r="N731" s="22"/>
      <c r="O731" s="22"/>
      <c r="P731" s="22"/>
      <c r="Q731" s="22"/>
      <c r="R731" s="22"/>
      <c r="S731" s="22"/>
      <c r="T731" s="22"/>
      <c r="U731" s="24" t="s">
        <v>219</v>
      </c>
      <c r="V731" s="22"/>
      <c r="W731" s="22"/>
      <c r="X731" s="49">
        <v>45689</v>
      </c>
    </row>
    <row r="732" spans="1:24" ht="12" customHeight="1" x14ac:dyDescent="0.2">
      <c r="A732" s="49">
        <v>45717</v>
      </c>
      <c r="B732" s="429"/>
      <c r="C732" s="533" t="str">
        <f t="shared" si="0"/>
        <v/>
      </c>
      <c r="D732" s="50"/>
      <c r="E732" s="50"/>
      <c r="F732" s="50"/>
      <c r="G732" s="50"/>
      <c r="H732" s="50"/>
      <c r="I732" s="50"/>
      <c r="J732" s="22"/>
      <c r="K732" s="22"/>
      <c r="L732" s="22"/>
      <c r="M732" s="22"/>
      <c r="N732" s="22"/>
      <c r="O732" s="22"/>
      <c r="P732" s="22"/>
      <c r="Q732" s="22"/>
      <c r="R732" s="22"/>
      <c r="S732" s="22"/>
      <c r="T732" s="22"/>
      <c r="U732" s="24" t="s">
        <v>219</v>
      </c>
      <c r="V732" s="22"/>
      <c r="W732" s="22"/>
      <c r="X732" s="49">
        <v>45717</v>
      </c>
    </row>
    <row r="733" spans="1:24" ht="12" customHeight="1" x14ac:dyDescent="0.2">
      <c r="A733" s="49">
        <v>45748</v>
      </c>
      <c r="B733" s="429"/>
      <c r="C733" s="533" t="str">
        <f t="shared" si="0"/>
        <v/>
      </c>
      <c r="D733" s="50"/>
      <c r="E733" s="50"/>
      <c r="F733" s="50"/>
      <c r="G733" s="50"/>
      <c r="H733" s="50"/>
      <c r="I733" s="50"/>
      <c r="J733" s="22"/>
      <c r="K733" s="22"/>
      <c r="L733" s="22"/>
      <c r="M733" s="22"/>
      <c r="N733" s="22"/>
      <c r="O733" s="22"/>
      <c r="P733" s="22"/>
      <c r="Q733" s="22"/>
      <c r="R733" s="22"/>
      <c r="S733" s="22"/>
      <c r="T733" s="22"/>
      <c r="U733" s="24" t="s">
        <v>219</v>
      </c>
      <c r="V733" s="22"/>
      <c r="W733" s="22"/>
      <c r="X733" s="49">
        <v>45748</v>
      </c>
    </row>
    <row r="734" spans="1:24" ht="12" customHeight="1" x14ac:dyDescent="0.2">
      <c r="A734" s="49">
        <v>45778</v>
      </c>
      <c r="B734" s="429"/>
      <c r="C734" s="533" t="str">
        <f t="shared" si="0"/>
        <v/>
      </c>
      <c r="D734" s="50"/>
      <c r="E734" s="50"/>
      <c r="F734" s="50"/>
      <c r="G734" s="50"/>
      <c r="H734" s="50"/>
      <c r="I734" s="50"/>
      <c r="J734" s="22"/>
      <c r="K734" s="22"/>
      <c r="L734" s="22"/>
      <c r="M734" s="22"/>
      <c r="N734" s="22"/>
      <c r="O734" s="22"/>
      <c r="P734" s="22"/>
      <c r="Q734" s="22"/>
      <c r="R734" s="22"/>
      <c r="S734" s="22"/>
      <c r="T734" s="22"/>
      <c r="U734" s="24" t="s">
        <v>219</v>
      </c>
      <c r="V734" s="22"/>
      <c r="W734" s="22"/>
      <c r="X734" s="49">
        <v>45778</v>
      </c>
    </row>
    <row r="735" spans="1:24" ht="12" customHeight="1" x14ac:dyDescent="0.2">
      <c r="A735" s="49">
        <v>45809</v>
      </c>
      <c r="B735" s="429"/>
      <c r="C735" s="533" t="str">
        <f t="shared" si="0"/>
        <v/>
      </c>
      <c r="D735" s="50"/>
      <c r="E735" s="50"/>
      <c r="F735" s="50"/>
      <c r="G735" s="50"/>
      <c r="H735" s="50"/>
      <c r="I735" s="50"/>
      <c r="J735" s="22"/>
      <c r="K735" s="22"/>
      <c r="L735" s="22"/>
      <c r="M735" s="22"/>
      <c r="N735" s="22"/>
      <c r="O735" s="22"/>
      <c r="P735" s="22"/>
      <c r="Q735" s="22"/>
      <c r="R735" s="22"/>
      <c r="S735" s="22"/>
      <c r="T735" s="22"/>
      <c r="U735" s="24" t="s">
        <v>219</v>
      </c>
      <c r="V735" s="22"/>
      <c r="W735" s="22"/>
      <c r="X735" s="49">
        <v>45809</v>
      </c>
    </row>
    <row r="736" spans="1:24" ht="12" customHeight="1" x14ac:dyDescent="0.2">
      <c r="A736" s="49">
        <v>45839</v>
      </c>
      <c r="B736" s="429"/>
      <c r="C736" s="533" t="str">
        <f t="shared" si="0"/>
        <v/>
      </c>
      <c r="D736" s="50"/>
      <c r="E736" s="50"/>
      <c r="F736" s="50"/>
      <c r="G736" s="50"/>
      <c r="H736" s="50"/>
      <c r="I736" s="50"/>
      <c r="J736" s="22"/>
      <c r="K736" s="22"/>
      <c r="L736" s="22"/>
      <c r="M736" s="22"/>
      <c r="N736" s="22"/>
      <c r="O736" s="22"/>
      <c r="P736" s="22"/>
      <c r="Q736" s="22"/>
      <c r="R736" s="22"/>
      <c r="S736" s="22"/>
      <c r="T736" s="22"/>
      <c r="U736" s="24" t="s">
        <v>219</v>
      </c>
      <c r="V736" s="22"/>
      <c r="W736" s="22"/>
      <c r="X736" s="49">
        <v>45839</v>
      </c>
    </row>
    <row r="737" spans="1:24" ht="12" customHeight="1" x14ac:dyDescent="0.2">
      <c r="A737" s="49">
        <v>45870</v>
      </c>
      <c r="B737" s="429"/>
      <c r="C737" s="533" t="str">
        <f t="shared" si="0"/>
        <v/>
      </c>
      <c r="D737" s="50"/>
      <c r="E737" s="50"/>
      <c r="F737" s="50"/>
      <c r="G737" s="50"/>
      <c r="H737" s="50"/>
      <c r="I737" s="50"/>
      <c r="J737" s="22"/>
      <c r="K737" s="22"/>
      <c r="L737" s="22"/>
      <c r="M737" s="22"/>
      <c r="N737" s="22"/>
      <c r="O737" s="22"/>
      <c r="P737" s="22"/>
      <c r="Q737" s="22"/>
      <c r="R737" s="22"/>
      <c r="S737" s="22"/>
      <c r="T737" s="22"/>
      <c r="U737" s="24" t="s">
        <v>219</v>
      </c>
      <c r="V737" s="22"/>
      <c r="W737" s="22"/>
      <c r="X737" s="49">
        <v>45870</v>
      </c>
    </row>
    <row r="738" spans="1:24" ht="12" customHeight="1" x14ac:dyDescent="0.2">
      <c r="A738" s="49">
        <v>45901</v>
      </c>
      <c r="B738" s="429"/>
      <c r="C738" s="533" t="str">
        <f t="shared" ref="C738:C801" si="1">IF(B738="","",B738+C737)</f>
        <v/>
      </c>
      <c r="D738" s="50"/>
      <c r="E738" s="50"/>
      <c r="F738" s="50"/>
      <c r="G738" s="50"/>
      <c r="H738" s="50"/>
      <c r="I738" s="50"/>
      <c r="J738" s="22"/>
      <c r="K738" s="22"/>
      <c r="L738" s="22"/>
      <c r="M738" s="22"/>
      <c r="N738" s="22"/>
      <c r="O738" s="22"/>
      <c r="P738" s="22"/>
      <c r="Q738" s="22"/>
      <c r="R738" s="22"/>
      <c r="S738" s="22"/>
      <c r="T738" s="22"/>
      <c r="U738" s="24" t="s">
        <v>219</v>
      </c>
      <c r="V738" s="22"/>
      <c r="W738" s="22"/>
      <c r="X738" s="49">
        <v>45901</v>
      </c>
    </row>
    <row r="739" spans="1:24" ht="12" customHeight="1" x14ac:dyDescent="0.2">
      <c r="A739" s="49">
        <v>45931</v>
      </c>
      <c r="B739" s="429"/>
      <c r="C739" s="533" t="str">
        <f t="shared" si="1"/>
        <v/>
      </c>
      <c r="D739" s="50"/>
      <c r="E739" s="50"/>
      <c r="F739" s="50"/>
      <c r="G739" s="50"/>
      <c r="H739" s="50"/>
      <c r="I739" s="50"/>
      <c r="J739" s="22"/>
      <c r="K739" s="22"/>
      <c r="L739" s="22"/>
      <c r="M739" s="22"/>
      <c r="N739" s="22"/>
      <c r="O739" s="22"/>
      <c r="P739" s="22"/>
      <c r="Q739" s="22"/>
      <c r="R739" s="22"/>
      <c r="S739" s="22"/>
      <c r="T739" s="22"/>
      <c r="U739" s="24" t="s">
        <v>219</v>
      </c>
      <c r="V739" s="22"/>
      <c r="W739" s="22"/>
      <c r="X739" s="49">
        <v>45931</v>
      </c>
    </row>
    <row r="740" spans="1:24" ht="12" customHeight="1" x14ac:dyDescent="0.2">
      <c r="A740" s="49">
        <v>45962</v>
      </c>
      <c r="B740" s="429"/>
      <c r="C740" s="533" t="str">
        <f t="shared" si="1"/>
        <v/>
      </c>
      <c r="D740" s="50"/>
      <c r="E740" s="50"/>
      <c r="F740" s="50"/>
      <c r="G740" s="50"/>
      <c r="H740" s="50"/>
      <c r="I740" s="50"/>
      <c r="J740" s="22"/>
      <c r="K740" s="22"/>
      <c r="L740" s="22"/>
      <c r="M740" s="22"/>
      <c r="N740" s="22"/>
      <c r="O740" s="22"/>
      <c r="P740" s="22"/>
      <c r="Q740" s="22"/>
      <c r="R740" s="22"/>
      <c r="S740" s="22"/>
      <c r="T740" s="22"/>
      <c r="U740" s="24" t="s">
        <v>219</v>
      </c>
      <c r="V740" s="22"/>
      <c r="W740" s="22"/>
      <c r="X740" s="49">
        <v>45962</v>
      </c>
    </row>
    <row r="741" spans="1:24" ht="12" customHeight="1" x14ac:dyDescent="0.2">
      <c r="A741" s="49">
        <v>45992</v>
      </c>
      <c r="B741" s="429"/>
      <c r="C741" s="533" t="str">
        <f t="shared" si="1"/>
        <v/>
      </c>
      <c r="D741" s="50"/>
      <c r="E741" s="50"/>
      <c r="F741" s="50"/>
      <c r="G741" s="50"/>
      <c r="H741" s="50"/>
      <c r="I741" s="50"/>
      <c r="J741" s="22"/>
      <c r="K741" s="22"/>
      <c r="L741" s="22"/>
      <c r="M741" s="22"/>
      <c r="N741" s="22"/>
      <c r="O741" s="22"/>
      <c r="P741" s="22"/>
      <c r="Q741" s="22"/>
      <c r="R741" s="22"/>
      <c r="S741" s="22"/>
      <c r="T741" s="22"/>
      <c r="U741" s="24" t="s">
        <v>219</v>
      </c>
      <c r="V741" s="22"/>
      <c r="W741" s="22"/>
      <c r="X741" s="49">
        <v>45992</v>
      </c>
    </row>
    <row r="742" spans="1:24" ht="12" customHeight="1" x14ac:dyDescent="0.2">
      <c r="A742" s="49">
        <v>46023</v>
      </c>
      <c r="B742" s="429"/>
      <c r="C742" s="533" t="str">
        <f t="shared" si="1"/>
        <v/>
      </c>
      <c r="D742" s="50"/>
      <c r="E742" s="50"/>
      <c r="F742" s="50"/>
      <c r="G742" s="50"/>
      <c r="H742" s="50"/>
      <c r="I742" s="50"/>
      <c r="J742" s="22"/>
      <c r="K742" s="22"/>
      <c r="L742" s="22"/>
      <c r="M742" s="22"/>
      <c r="N742" s="22"/>
      <c r="O742" s="22"/>
      <c r="P742" s="22"/>
      <c r="Q742" s="22"/>
      <c r="R742" s="22"/>
      <c r="S742" s="22"/>
      <c r="T742" s="22"/>
      <c r="U742" s="24" t="s">
        <v>219</v>
      </c>
      <c r="V742" s="22"/>
      <c r="W742" s="22"/>
      <c r="X742" s="49">
        <v>46023</v>
      </c>
    </row>
    <row r="743" spans="1:24" ht="12" customHeight="1" x14ac:dyDescent="0.2">
      <c r="A743" s="49">
        <v>46054</v>
      </c>
      <c r="B743" s="429"/>
      <c r="C743" s="533" t="str">
        <f t="shared" si="1"/>
        <v/>
      </c>
      <c r="D743" s="50"/>
      <c r="E743" s="50"/>
      <c r="F743" s="50"/>
      <c r="G743" s="50"/>
      <c r="H743" s="50"/>
      <c r="I743" s="50"/>
      <c r="J743" s="22"/>
      <c r="K743" s="22"/>
      <c r="L743" s="22"/>
      <c r="M743" s="22"/>
      <c r="N743" s="22"/>
      <c r="O743" s="22"/>
      <c r="P743" s="22"/>
      <c r="Q743" s="22"/>
      <c r="R743" s="22"/>
      <c r="S743" s="22"/>
      <c r="T743" s="22"/>
      <c r="U743" s="24" t="s">
        <v>219</v>
      </c>
      <c r="V743" s="22"/>
      <c r="W743" s="22"/>
      <c r="X743" s="49">
        <v>46054</v>
      </c>
    </row>
    <row r="744" spans="1:24" ht="12" customHeight="1" x14ac:dyDescent="0.2">
      <c r="A744" s="49">
        <v>46082</v>
      </c>
      <c r="B744" s="429"/>
      <c r="C744" s="533" t="str">
        <f t="shared" si="1"/>
        <v/>
      </c>
      <c r="D744" s="50"/>
      <c r="E744" s="50"/>
      <c r="F744" s="50"/>
      <c r="G744" s="50"/>
      <c r="H744" s="50"/>
      <c r="I744" s="50"/>
      <c r="J744" s="22"/>
      <c r="K744" s="22"/>
      <c r="L744" s="22"/>
      <c r="M744" s="22"/>
      <c r="N744" s="22"/>
      <c r="O744" s="22"/>
      <c r="P744" s="22"/>
      <c r="Q744" s="22"/>
      <c r="R744" s="22"/>
      <c r="S744" s="22"/>
      <c r="T744" s="22"/>
      <c r="U744" s="24" t="s">
        <v>219</v>
      </c>
      <c r="V744" s="22"/>
      <c r="W744" s="22"/>
      <c r="X744" s="49">
        <v>46082</v>
      </c>
    </row>
    <row r="745" spans="1:24" ht="12" customHeight="1" x14ac:dyDescent="0.2">
      <c r="A745" s="49">
        <v>46113</v>
      </c>
      <c r="B745" s="430"/>
      <c r="C745" s="533" t="str">
        <f t="shared" si="1"/>
        <v/>
      </c>
      <c r="D745" s="50"/>
      <c r="E745" s="50"/>
      <c r="F745" s="50"/>
      <c r="G745" s="50"/>
      <c r="H745" s="50"/>
      <c r="I745" s="50"/>
      <c r="J745" s="22"/>
      <c r="K745" s="22"/>
      <c r="L745" s="22"/>
      <c r="M745" s="22"/>
      <c r="N745" s="22"/>
      <c r="O745" s="22"/>
      <c r="P745" s="22"/>
      <c r="Q745" s="22"/>
      <c r="R745" s="22"/>
      <c r="S745" s="22"/>
      <c r="T745" s="22"/>
      <c r="U745" s="24" t="s">
        <v>219</v>
      </c>
      <c r="V745" s="22"/>
      <c r="W745" s="22"/>
      <c r="X745" s="49">
        <v>46113</v>
      </c>
    </row>
    <row r="746" spans="1:24" ht="12" customHeight="1" x14ac:dyDescent="0.2">
      <c r="A746" s="49">
        <v>46143</v>
      </c>
      <c r="B746" s="430"/>
      <c r="C746" s="533" t="str">
        <f t="shared" si="1"/>
        <v/>
      </c>
      <c r="D746" s="50"/>
      <c r="E746" s="50"/>
      <c r="F746" s="50"/>
      <c r="G746" s="50"/>
      <c r="H746" s="50"/>
      <c r="I746" s="50"/>
      <c r="J746" s="22"/>
      <c r="K746" s="22"/>
      <c r="L746" s="22"/>
      <c r="M746" s="22"/>
      <c r="N746" s="22"/>
      <c r="O746" s="22"/>
      <c r="P746" s="22"/>
      <c r="Q746" s="22"/>
      <c r="R746" s="22"/>
      <c r="S746" s="22"/>
      <c r="T746" s="22"/>
      <c r="U746" s="24" t="s">
        <v>219</v>
      </c>
      <c r="V746" s="22"/>
      <c r="W746" s="22"/>
      <c r="X746" s="49">
        <v>46143</v>
      </c>
    </row>
    <row r="747" spans="1:24" ht="12" customHeight="1" x14ac:dyDescent="0.2">
      <c r="A747" s="49">
        <v>46174</v>
      </c>
      <c r="B747" s="430"/>
      <c r="C747" s="533" t="str">
        <f t="shared" si="1"/>
        <v/>
      </c>
      <c r="D747" s="50"/>
      <c r="E747" s="50"/>
      <c r="F747" s="50"/>
      <c r="G747" s="50"/>
      <c r="H747" s="50"/>
      <c r="I747" s="50"/>
      <c r="J747" s="22"/>
      <c r="K747" s="22"/>
      <c r="L747" s="22"/>
      <c r="M747" s="22"/>
      <c r="N747" s="22"/>
      <c r="O747" s="22"/>
      <c r="P747" s="22"/>
      <c r="Q747" s="22"/>
      <c r="R747" s="22"/>
      <c r="S747" s="22"/>
      <c r="T747" s="22"/>
      <c r="U747" s="24" t="s">
        <v>219</v>
      </c>
      <c r="V747" s="22"/>
      <c r="W747" s="22"/>
      <c r="X747" s="49">
        <v>46174</v>
      </c>
    </row>
    <row r="748" spans="1:24" ht="12" customHeight="1" x14ac:dyDescent="0.2">
      <c r="A748" s="49">
        <v>46204</v>
      </c>
      <c r="B748" s="430"/>
      <c r="C748" s="533" t="str">
        <f t="shared" si="1"/>
        <v/>
      </c>
      <c r="D748" s="50"/>
      <c r="E748" s="50"/>
      <c r="F748" s="50"/>
      <c r="G748" s="50"/>
      <c r="H748" s="50"/>
      <c r="I748" s="50"/>
      <c r="J748" s="22"/>
      <c r="K748" s="22"/>
      <c r="L748" s="22"/>
      <c r="M748" s="22"/>
      <c r="N748" s="22"/>
      <c r="O748" s="22"/>
      <c r="P748" s="22"/>
      <c r="Q748" s="22"/>
      <c r="R748" s="22"/>
      <c r="S748" s="22"/>
      <c r="T748" s="22"/>
      <c r="U748" s="24" t="s">
        <v>219</v>
      </c>
      <c r="V748" s="22"/>
      <c r="W748" s="22"/>
      <c r="X748" s="49">
        <v>46204</v>
      </c>
    </row>
    <row r="749" spans="1:24" ht="12" customHeight="1" x14ac:dyDescent="0.2">
      <c r="A749" s="49">
        <v>46235</v>
      </c>
      <c r="B749" s="430"/>
      <c r="C749" s="533" t="str">
        <f t="shared" si="1"/>
        <v/>
      </c>
      <c r="D749" s="50"/>
      <c r="E749" s="50"/>
      <c r="F749" s="50"/>
      <c r="G749" s="50"/>
      <c r="H749" s="50"/>
      <c r="I749" s="50"/>
      <c r="J749" s="22"/>
      <c r="K749" s="22"/>
      <c r="L749" s="22"/>
      <c r="M749" s="22"/>
      <c r="N749" s="22"/>
      <c r="O749" s="22"/>
      <c r="P749" s="22"/>
      <c r="Q749" s="22"/>
      <c r="R749" s="22"/>
      <c r="S749" s="22"/>
      <c r="T749" s="22"/>
      <c r="U749" s="24" t="s">
        <v>219</v>
      </c>
      <c r="V749" s="22"/>
      <c r="W749" s="22"/>
      <c r="X749" s="49">
        <v>46235</v>
      </c>
    </row>
    <row r="750" spans="1:24" ht="12" customHeight="1" x14ac:dyDescent="0.2">
      <c r="A750" s="49">
        <v>46266</v>
      </c>
      <c r="B750" s="430"/>
      <c r="C750" s="533" t="str">
        <f t="shared" si="1"/>
        <v/>
      </c>
      <c r="D750" s="50"/>
      <c r="E750" s="50"/>
      <c r="F750" s="50"/>
      <c r="G750" s="50"/>
      <c r="H750" s="50"/>
      <c r="I750" s="50"/>
      <c r="J750" s="22"/>
      <c r="K750" s="22"/>
      <c r="L750" s="22"/>
      <c r="M750" s="22"/>
      <c r="N750" s="22"/>
      <c r="O750" s="22"/>
      <c r="P750" s="22"/>
      <c r="Q750" s="22"/>
      <c r="R750" s="22"/>
      <c r="S750" s="22"/>
      <c r="T750" s="22"/>
      <c r="U750" s="24" t="s">
        <v>219</v>
      </c>
      <c r="V750" s="22"/>
      <c r="W750" s="22"/>
      <c r="X750" s="49">
        <v>46266</v>
      </c>
    </row>
    <row r="751" spans="1:24" ht="12" customHeight="1" x14ac:dyDescent="0.2">
      <c r="A751" s="49">
        <v>46296</v>
      </c>
      <c r="B751" s="430"/>
      <c r="C751" s="533" t="str">
        <f t="shared" si="1"/>
        <v/>
      </c>
      <c r="D751" s="50"/>
      <c r="E751" s="50"/>
      <c r="F751" s="50"/>
      <c r="G751" s="50"/>
      <c r="H751" s="50"/>
      <c r="I751" s="50"/>
      <c r="J751" s="22"/>
      <c r="K751" s="22"/>
      <c r="L751" s="22"/>
      <c r="M751" s="22"/>
      <c r="N751" s="22"/>
      <c r="O751" s="22"/>
      <c r="P751" s="22"/>
      <c r="Q751" s="22"/>
      <c r="R751" s="22"/>
      <c r="S751" s="22"/>
      <c r="T751" s="22"/>
      <c r="U751" s="24" t="s">
        <v>219</v>
      </c>
      <c r="V751" s="22"/>
      <c r="W751" s="22"/>
      <c r="X751" s="49">
        <v>46296</v>
      </c>
    </row>
    <row r="752" spans="1:24" ht="12" customHeight="1" x14ac:dyDescent="0.2">
      <c r="A752" s="49">
        <v>46327</v>
      </c>
      <c r="B752" s="430"/>
      <c r="C752" s="533" t="str">
        <f t="shared" si="1"/>
        <v/>
      </c>
      <c r="D752" s="50"/>
      <c r="E752" s="50"/>
      <c r="F752" s="50"/>
      <c r="G752" s="50"/>
      <c r="H752" s="50"/>
      <c r="I752" s="50"/>
      <c r="J752" s="22"/>
      <c r="K752" s="22"/>
      <c r="L752" s="22"/>
      <c r="M752" s="22"/>
      <c r="N752" s="22"/>
      <c r="O752" s="22"/>
      <c r="P752" s="22"/>
      <c r="Q752" s="22"/>
      <c r="R752" s="22"/>
      <c r="S752" s="22"/>
      <c r="T752" s="22"/>
      <c r="U752" s="24" t="s">
        <v>219</v>
      </c>
      <c r="V752" s="22"/>
      <c r="W752" s="22"/>
      <c r="X752" s="49">
        <v>46327</v>
      </c>
    </row>
    <row r="753" spans="1:24" ht="12" customHeight="1" x14ac:dyDescent="0.2">
      <c r="A753" s="49">
        <v>46357</v>
      </c>
      <c r="B753" s="430"/>
      <c r="C753" s="533" t="str">
        <f t="shared" si="1"/>
        <v/>
      </c>
      <c r="D753" s="50"/>
      <c r="E753" s="50"/>
      <c r="F753" s="50"/>
      <c r="G753" s="50"/>
      <c r="H753" s="50"/>
      <c r="I753" s="50"/>
      <c r="J753" s="22"/>
      <c r="K753" s="22"/>
      <c r="L753" s="22"/>
      <c r="M753" s="22"/>
      <c r="N753" s="22"/>
      <c r="O753" s="22"/>
      <c r="P753" s="22"/>
      <c r="Q753" s="22"/>
      <c r="R753" s="22"/>
      <c r="S753" s="22"/>
      <c r="T753" s="22"/>
      <c r="U753" s="24" t="s">
        <v>219</v>
      </c>
      <c r="V753" s="22"/>
      <c r="W753" s="22"/>
      <c r="X753" s="49">
        <v>46357</v>
      </c>
    </row>
    <row r="754" spans="1:24" ht="12" customHeight="1" x14ac:dyDescent="0.2">
      <c r="A754" s="49">
        <v>46388</v>
      </c>
      <c r="B754" s="430"/>
      <c r="C754" s="533" t="str">
        <f t="shared" si="1"/>
        <v/>
      </c>
      <c r="D754" s="50"/>
      <c r="E754" s="50"/>
      <c r="F754" s="50"/>
      <c r="G754" s="50"/>
      <c r="H754" s="50"/>
      <c r="I754" s="50"/>
      <c r="J754" s="22"/>
      <c r="K754" s="22"/>
      <c r="L754" s="22"/>
      <c r="M754" s="22"/>
      <c r="N754" s="22"/>
      <c r="O754" s="22"/>
      <c r="P754" s="22"/>
      <c r="Q754" s="22"/>
      <c r="R754" s="22"/>
      <c r="S754" s="22"/>
      <c r="T754" s="22"/>
      <c r="U754" s="24" t="s">
        <v>219</v>
      </c>
      <c r="V754" s="22"/>
      <c r="W754" s="22"/>
      <c r="X754" s="49">
        <v>46388</v>
      </c>
    </row>
    <row r="755" spans="1:24" ht="12" customHeight="1" x14ac:dyDescent="0.2">
      <c r="A755" s="49">
        <v>46419</v>
      </c>
      <c r="B755" s="430"/>
      <c r="C755" s="533" t="str">
        <f t="shared" si="1"/>
        <v/>
      </c>
      <c r="D755" s="50"/>
      <c r="E755" s="50"/>
      <c r="F755" s="50"/>
      <c r="G755" s="50"/>
      <c r="H755" s="50"/>
      <c r="I755" s="50"/>
      <c r="J755" s="22"/>
      <c r="K755" s="22"/>
      <c r="L755" s="22"/>
      <c r="M755" s="22"/>
      <c r="N755" s="22"/>
      <c r="O755" s="22"/>
      <c r="P755" s="22"/>
      <c r="Q755" s="22"/>
      <c r="R755" s="22"/>
      <c r="S755" s="22"/>
      <c r="T755" s="22"/>
      <c r="U755" s="24" t="s">
        <v>219</v>
      </c>
      <c r="V755" s="22"/>
      <c r="W755" s="22"/>
      <c r="X755" s="49">
        <v>46419</v>
      </c>
    </row>
    <row r="756" spans="1:24" ht="12" customHeight="1" x14ac:dyDescent="0.2">
      <c r="A756" s="49">
        <v>46447</v>
      </c>
      <c r="B756" s="430"/>
      <c r="C756" s="533" t="str">
        <f t="shared" si="1"/>
        <v/>
      </c>
      <c r="D756" s="50"/>
      <c r="E756" s="50"/>
      <c r="F756" s="50"/>
      <c r="G756" s="50"/>
      <c r="H756" s="50"/>
      <c r="I756" s="50"/>
      <c r="J756" s="22"/>
      <c r="K756" s="22"/>
      <c r="L756" s="22"/>
      <c r="M756" s="22"/>
      <c r="N756" s="22"/>
      <c r="O756" s="22"/>
      <c r="P756" s="22"/>
      <c r="Q756" s="22"/>
      <c r="R756" s="22"/>
      <c r="S756" s="22"/>
      <c r="T756" s="22"/>
      <c r="U756" s="24" t="s">
        <v>219</v>
      </c>
      <c r="V756" s="22"/>
      <c r="W756" s="22"/>
      <c r="X756" s="49">
        <v>46447</v>
      </c>
    </row>
    <row r="757" spans="1:24" ht="12" customHeight="1" x14ac:dyDescent="0.2">
      <c r="A757" s="49">
        <v>46478</v>
      </c>
      <c r="B757" s="430"/>
      <c r="C757" s="533" t="str">
        <f t="shared" si="1"/>
        <v/>
      </c>
      <c r="D757" s="50"/>
      <c r="E757" s="50"/>
      <c r="F757" s="50"/>
      <c r="G757" s="50"/>
      <c r="H757" s="50"/>
      <c r="I757" s="50"/>
      <c r="J757" s="22"/>
      <c r="K757" s="22"/>
      <c r="L757" s="22"/>
      <c r="M757" s="22"/>
      <c r="N757" s="22"/>
      <c r="O757" s="22"/>
      <c r="P757" s="22"/>
      <c r="Q757" s="22"/>
      <c r="R757" s="22"/>
      <c r="S757" s="22"/>
      <c r="T757" s="22"/>
      <c r="U757" s="24" t="s">
        <v>219</v>
      </c>
      <c r="V757" s="22"/>
      <c r="W757" s="22"/>
      <c r="X757" s="49">
        <v>46478</v>
      </c>
    </row>
    <row r="758" spans="1:24" ht="12" customHeight="1" x14ac:dyDescent="0.2">
      <c r="A758" s="49">
        <v>46508</v>
      </c>
      <c r="B758" s="430"/>
      <c r="C758" s="533" t="str">
        <f t="shared" si="1"/>
        <v/>
      </c>
      <c r="D758" s="50"/>
      <c r="E758" s="50"/>
      <c r="F758" s="50"/>
      <c r="G758" s="50"/>
      <c r="H758" s="50"/>
      <c r="I758" s="50"/>
      <c r="J758" s="22"/>
      <c r="K758" s="22"/>
      <c r="L758" s="22"/>
      <c r="M758" s="22"/>
      <c r="N758" s="22"/>
      <c r="O758" s="22"/>
      <c r="P758" s="22"/>
      <c r="Q758" s="22"/>
      <c r="R758" s="22"/>
      <c r="S758" s="22"/>
      <c r="T758" s="22"/>
      <c r="U758" s="24" t="s">
        <v>219</v>
      </c>
      <c r="V758" s="22"/>
      <c r="W758" s="22"/>
      <c r="X758" s="49">
        <v>46508</v>
      </c>
    </row>
    <row r="759" spans="1:24" ht="12" customHeight="1" x14ac:dyDescent="0.2">
      <c r="A759" s="49">
        <v>46539</v>
      </c>
      <c r="B759" s="430"/>
      <c r="C759" s="533" t="str">
        <f t="shared" si="1"/>
        <v/>
      </c>
      <c r="D759" s="50"/>
      <c r="E759" s="50"/>
      <c r="F759" s="50"/>
      <c r="G759" s="50"/>
      <c r="H759" s="50"/>
      <c r="I759" s="50"/>
      <c r="J759" s="22"/>
      <c r="K759" s="22"/>
      <c r="L759" s="22"/>
      <c r="M759" s="22"/>
      <c r="N759" s="22"/>
      <c r="O759" s="22"/>
      <c r="P759" s="22"/>
      <c r="Q759" s="22"/>
      <c r="R759" s="22"/>
      <c r="S759" s="22"/>
      <c r="T759" s="22"/>
      <c r="U759" s="24" t="s">
        <v>219</v>
      </c>
      <c r="V759" s="22"/>
      <c r="W759" s="22"/>
      <c r="X759" s="49">
        <v>46539</v>
      </c>
    </row>
    <row r="760" spans="1:24" ht="12" customHeight="1" x14ac:dyDescent="0.2">
      <c r="A760" s="49">
        <v>46569</v>
      </c>
      <c r="B760" s="430"/>
      <c r="C760" s="533" t="str">
        <f t="shared" si="1"/>
        <v/>
      </c>
      <c r="D760" s="50"/>
      <c r="E760" s="50"/>
      <c r="F760" s="50"/>
      <c r="G760" s="50"/>
      <c r="H760" s="50"/>
      <c r="I760" s="50"/>
      <c r="J760" s="22"/>
      <c r="K760" s="22"/>
      <c r="L760" s="22"/>
      <c r="M760" s="22"/>
      <c r="N760" s="22"/>
      <c r="O760" s="22"/>
      <c r="P760" s="22"/>
      <c r="Q760" s="22"/>
      <c r="R760" s="22"/>
      <c r="S760" s="22"/>
      <c r="T760" s="22"/>
      <c r="U760" s="24" t="s">
        <v>219</v>
      </c>
      <c r="V760" s="22"/>
      <c r="W760" s="22"/>
      <c r="X760" s="49">
        <v>46569</v>
      </c>
    </row>
    <row r="761" spans="1:24" ht="12" customHeight="1" x14ac:dyDescent="0.2">
      <c r="A761" s="49">
        <v>46600</v>
      </c>
      <c r="B761" s="430"/>
      <c r="C761" s="533" t="str">
        <f t="shared" si="1"/>
        <v/>
      </c>
      <c r="D761" s="50"/>
      <c r="E761" s="50"/>
      <c r="F761" s="50"/>
      <c r="G761" s="50"/>
      <c r="H761" s="50"/>
      <c r="I761" s="50"/>
      <c r="J761" s="22"/>
      <c r="K761" s="22"/>
      <c r="L761" s="22"/>
      <c r="M761" s="22"/>
      <c r="N761" s="22"/>
      <c r="O761" s="22"/>
      <c r="P761" s="22"/>
      <c r="Q761" s="22"/>
      <c r="R761" s="22"/>
      <c r="S761" s="22"/>
      <c r="T761" s="22"/>
      <c r="U761" s="24" t="s">
        <v>219</v>
      </c>
      <c r="V761" s="22"/>
      <c r="W761" s="22"/>
      <c r="X761" s="49">
        <v>46600</v>
      </c>
    </row>
    <row r="762" spans="1:24" ht="12" customHeight="1" x14ac:dyDescent="0.2">
      <c r="A762" s="49">
        <v>46631</v>
      </c>
      <c r="B762" s="430"/>
      <c r="C762" s="533" t="str">
        <f t="shared" si="1"/>
        <v/>
      </c>
      <c r="D762" s="50"/>
      <c r="E762" s="50"/>
      <c r="F762" s="50"/>
      <c r="G762" s="50"/>
      <c r="H762" s="50"/>
      <c r="I762" s="50"/>
      <c r="J762" s="22"/>
      <c r="K762" s="22"/>
      <c r="L762" s="22"/>
      <c r="M762" s="22"/>
      <c r="N762" s="22"/>
      <c r="O762" s="22"/>
      <c r="P762" s="22"/>
      <c r="Q762" s="22"/>
      <c r="R762" s="22"/>
      <c r="S762" s="22"/>
      <c r="T762" s="22"/>
      <c r="U762" s="24" t="s">
        <v>219</v>
      </c>
      <c r="V762" s="22"/>
      <c r="W762" s="22"/>
      <c r="X762" s="49">
        <v>46631</v>
      </c>
    </row>
    <row r="763" spans="1:24" ht="12" customHeight="1" x14ac:dyDescent="0.2">
      <c r="A763" s="49">
        <v>46661</v>
      </c>
      <c r="B763" s="430"/>
      <c r="C763" s="533" t="str">
        <f t="shared" si="1"/>
        <v/>
      </c>
      <c r="D763" s="50"/>
      <c r="E763" s="50"/>
      <c r="F763" s="50"/>
      <c r="G763" s="50"/>
      <c r="H763" s="50"/>
      <c r="I763" s="50"/>
      <c r="J763" s="22"/>
      <c r="K763" s="22"/>
      <c r="L763" s="22"/>
      <c r="M763" s="22"/>
      <c r="N763" s="22"/>
      <c r="O763" s="22"/>
      <c r="P763" s="22"/>
      <c r="Q763" s="22"/>
      <c r="R763" s="22"/>
      <c r="S763" s="22"/>
      <c r="T763" s="22"/>
      <c r="U763" s="24" t="s">
        <v>219</v>
      </c>
      <c r="V763" s="22"/>
      <c r="W763" s="22"/>
      <c r="X763" s="49">
        <v>46661</v>
      </c>
    </row>
    <row r="764" spans="1:24" ht="12" customHeight="1" x14ac:dyDescent="0.2">
      <c r="A764" s="49">
        <v>46692</v>
      </c>
      <c r="B764" s="430"/>
      <c r="C764" s="533" t="str">
        <f t="shared" si="1"/>
        <v/>
      </c>
      <c r="D764" s="50"/>
      <c r="E764" s="50"/>
      <c r="F764" s="50"/>
      <c r="G764" s="50"/>
      <c r="H764" s="50"/>
      <c r="I764" s="50"/>
      <c r="J764" s="22"/>
      <c r="K764" s="22"/>
      <c r="L764" s="22"/>
      <c r="M764" s="22"/>
      <c r="N764" s="22"/>
      <c r="O764" s="22"/>
      <c r="P764" s="22"/>
      <c r="Q764" s="22"/>
      <c r="R764" s="22"/>
      <c r="S764" s="22"/>
      <c r="T764" s="22"/>
      <c r="U764" s="24" t="s">
        <v>219</v>
      </c>
      <c r="V764" s="22"/>
      <c r="W764" s="22"/>
      <c r="X764" s="49">
        <v>46692</v>
      </c>
    </row>
    <row r="765" spans="1:24" ht="12" customHeight="1" x14ac:dyDescent="0.2">
      <c r="A765" s="49">
        <v>46722</v>
      </c>
      <c r="B765" s="430"/>
      <c r="C765" s="533" t="str">
        <f t="shared" si="1"/>
        <v/>
      </c>
      <c r="D765" s="50"/>
      <c r="E765" s="50"/>
      <c r="F765" s="50"/>
      <c r="G765" s="50"/>
      <c r="H765" s="50"/>
      <c r="I765" s="50"/>
      <c r="J765" s="22"/>
      <c r="K765" s="22"/>
      <c r="L765" s="22"/>
      <c r="M765" s="22"/>
      <c r="N765" s="22"/>
      <c r="O765" s="22"/>
      <c r="P765" s="22"/>
      <c r="Q765" s="22"/>
      <c r="R765" s="22"/>
      <c r="S765" s="22"/>
      <c r="T765" s="22"/>
      <c r="U765" s="24" t="s">
        <v>219</v>
      </c>
      <c r="V765" s="22"/>
      <c r="W765" s="22"/>
      <c r="X765" s="49">
        <v>46722</v>
      </c>
    </row>
    <row r="766" spans="1:24" ht="12" customHeight="1" x14ac:dyDescent="0.2">
      <c r="A766" s="49">
        <v>46753</v>
      </c>
      <c r="B766" s="430"/>
      <c r="C766" s="533" t="str">
        <f t="shared" si="1"/>
        <v/>
      </c>
      <c r="D766" s="50"/>
      <c r="E766" s="50"/>
      <c r="F766" s="50"/>
      <c r="G766" s="50"/>
      <c r="H766" s="50"/>
      <c r="I766" s="50"/>
      <c r="J766" s="22"/>
      <c r="K766" s="22"/>
      <c r="L766" s="22"/>
      <c r="M766" s="22"/>
      <c r="N766" s="22"/>
      <c r="O766" s="22"/>
      <c r="P766" s="22"/>
      <c r="Q766" s="22"/>
      <c r="R766" s="22"/>
      <c r="S766" s="22"/>
      <c r="T766" s="22"/>
      <c r="U766" s="24" t="s">
        <v>219</v>
      </c>
      <c r="V766" s="22"/>
      <c r="W766" s="22"/>
      <c r="X766" s="49">
        <v>46753</v>
      </c>
    </row>
    <row r="767" spans="1:24" ht="12" customHeight="1" x14ac:dyDescent="0.2">
      <c r="A767" s="49">
        <v>46784</v>
      </c>
      <c r="B767" s="430"/>
      <c r="C767" s="533" t="str">
        <f t="shared" si="1"/>
        <v/>
      </c>
      <c r="D767" s="50"/>
      <c r="E767" s="50"/>
      <c r="F767" s="50"/>
      <c r="G767" s="50"/>
      <c r="H767" s="50"/>
      <c r="I767" s="50"/>
      <c r="J767" s="22"/>
      <c r="K767" s="22"/>
      <c r="L767" s="22"/>
      <c r="M767" s="22"/>
      <c r="N767" s="22"/>
      <c r="O767" s="22"/>
      <c r="P767" s="22"/>
      <c r="Q767" s="22"/>
      <c r="R767" s="22"/>
      <c r="S767" s="22"/>
      <c r="T767" s="22"/>
      <c r="U767" s="24" t="s">
        <v>219</v>
      </c>
      <c r="V767" s="22"/>
      <c r="W767" s="22"/>
      <c r="X767" s="49">
        <v>46784</v>
      </c>
    </row>
    <row r="768" spans="1:24" ht="12" customHeight="1" x14ac:dyDescent="0.2">
      <c r="A768" s="49">
        <v>46813</v>
      </c>
      <c r="B768" s="430"/>
      <c r="C768" s="533" t="str">
        <f t="shared" si="1"/>
        <v/>
      </c>
      <c r="D768" s="50"/>
      <c r="E768" s="50"/>
      <c r="F768" s="50"/>
      <c r="G768" s="50"/>
      <c r="H768" s="50"/>
      <c r="I768" s="50"/>
      <c r="J768" s="22"/>
      <c r="K768" s="22"/>
      <c r="L768" s="22"/>
      <c r="M768" s="22"/>
      <c r="N768" s="22"/>
      <c r="O768" s="22"/>
      <c r="P768" s="22"/>
      <c r="Q768" s="22"/>
      <c r="R768" s="22"/>
      <c r="S768" s="22"/>
      <c r="T768" s="22"/>
      <c r="U768" s="24" t="s">
        <v>219</v>
      </c>
      <c r="V768" s="22"/>
      <c r="W768" s="22"/>
      <c r="X768" s="49">
        <v>46813</v>
      </c>
    </row>
    <row r="769" spans="1:24" ht="12" customHeight="1" x14ac:dyDescent="0.2">
      <c r="A769" s="49">
        <v>46844</v>
      </c>
      <c r="B769" s="430"/>
      <c r="C769" s="533" t="str">
        <f t="shared" si="1"/>
        <v/>
      </c>
      <c r="D769" s="50"/>
      <c r="E769" s="50"/>
      <c r="F769" s="50"/>
      <c r="G769" s="50"/>
      <c r="H769" s="50"/>
      <c r="I769" s="50"/>
      <c r="J769" s="22"/>
      <c r="K769" s="22"/>
      <c r="L769" s="22"/>
      <c r="M769" s="22"/>
      <c r="N769" s="22"/>
      <c r="O769" s="22"/>
      <c r="P769" s="22"/>
      <c r="Q769" s="22"/>
      <c r="R769" s="22"/>
      <c r="S769" s="22"/>
      <c r="T769" s="22"/>
      <c r="U769" s="24" t="s">
        <v>219</v>
      </c>
      <c r="V769" s="22"/>
      <c r="W769" s="22"/>
      <c r="X769" s="49">
        <v>46844</v>
      </c>
    </row>
    <row r="770" spans="1:24" ht="12" customHeight="1" x14ac:dyDescent="0.2">
      <c r="A770" s="49">
        <v>46874</v>
      </c>
      <c r="B770" s="430"/>
      <c r="C770" s="533" t="str">
        <f t="shared" si="1"/>
        <v/>
      </c>
      <c r="D770" s="50"/>
      <c r="E770" s="50"/>
      <c r="F770" s="50"/>
      <c r="G770" s="50"/>
      <c r="H770" s="50"/>
      <c r="I770" s="50"/>
      <c r="J770" s="22"/>
      <c r="K770" s="22"/>
      <c r="L770" s="22"/>
      <c r="M770" s="22"/>
      <c r="N770" s="22"/>
      <c r="O770" s="22"/>
      <c r="P770" s="22"/>
      <c r="Q770" s="22"/>
      <c r="R770" s="22"/>
      <c r="S770" s="22"/>
      <c r="T770" s="22"/>
      <c r="U770" s="24" t="s">
        <v>219</v>
      </c>
      <c r="V770" s="22"/>
      <c r="W770" s="22"/>
      <c r="X770" s="49">
        <v>46874</v>
      </c>
    </row>
    <row r="771" spans="1:24" ht="12" customHeight="1" x14ac:dyDescent="0.2">
      <c r="A771" s="49">
        <v>46905</v>
      </c>
      <c r="B771" s="430"/>
      <c r="C771" s="533" t="str">
        <f t="shared" si="1"/>
        <v/>
      </c>
      <c r="D771" s="50"/>
      <c r="E771" s="50"/>
      <c r="F771" s="50"/>
      <c r="G771" s="50"/>
      <c r="H771" s="50"/>
      <c r="I771" s="50"/>
      <c r="J771" s="22"/>
      <c r="K771" s="22"/>
      <c r="L771" s="22"/>
      <c r="M771" s="22"/>
      <c r="N771" s="22"/>
      <c r="O771" s="22"/>
      <c r="P771" s="22"/>
      <c r="Q771" s="22"/>
      <c r="R771" s="22"/>
      <c r="S771" s="22"/>
      <c r="T771" s="22"/>
      <c r="U771" s="24" t="s">
        <v>219</v>
      </c>
      <c r="V771" s="22"/>
      <c r="W771" s="22"/>
      <c r="X771" s="49">
        <v>46905</v>
      </c>
    </row>
    <row r="772" spans="1:24" ht="12" customHeight="1" x14ac:dyDescent="0.2">
      <c r="A772" s="49">
        <v>46935</v>
      </c>
      <c r="B772" s="430"/>
      <c r="C772" s="533" t="str">
        <f t="shared" si="1"/>
        <v/>
      </c>
      <c r="D772" s="50"/>
      <c r="E772" s="50"/>
      <c r="F772" s="50"/>
      <c r="G772" s="50"/>
      <c r="H772" s="50"/>
      <c r="I772" s="50"/>
      <c r="J772" s="22"/>
      <c r="K772" s="22"/>
      <c r="L772" s="22"/>
      <c r="M772" s="22"/>
      <c r="N772" s="22"/>
      <c r="O772" s="22"/>
      <c r="P772" s="22"/>
      <c r="Q772" s="22"/>
      <c r="R772" s="22"/>
      <c r="S772" s="22"/>
      <c r="T772" s="22"/>
      <c r="U772" s="24" t="s">
        <v>219</v>
      </c>
      <c r="V772" s="22"/>
      <c r="W772" s="22"/>
      <c r="X772" s="49">
        <v>46935</v>
      </c>
    </row>
    <row r="773" spans="1:24" ht="12" customHeight="1" x14ac:dyDescent="0.2">
      <c r="A773" s="49">
        <v>46966</v>
      </c>
      <c r="B773" s="430"/>
      <c r="C773" s="533" t="str">
        <f t="shared" si="1"/>
        <v/>
      </c>
      <c r="D773" s="50"/>
      <c r="E773" s="50"/>
      <c r="F773" s="50"/>
      <c r="G773" s="50"/>
      <c r="H773" s="50"/>
      <c r="I773" s="50"/>
      <c r="J773" s="22"/>
      <c r="K773" s="22"/>
      <c r="L773" s="22"/>
      <c r="M773" s="22"/>
      <c r="N773" s="22"/>
      <c r="O773" s="22"/>
      <c r="P773" s="22"/>
      <c r="Q773" s="22"/>
      <c r="R773" s="22"/>
      <c r="S773" s="22"/>
      <c r="T773" s="22"/>
      <c r="U773" s="24" t="s">
        <v>219</v>
      </c>
      <c r="V773" s="22"/>
      <c r="W773" s="22"/>
      <c r="X773" s="49">
        <v>46966</v>
      </c>
    </row>
    <row r="774" spans="1:24" ht="12" customHeight="1" x14ac:dyDescent="0.2">
      <c r="A774" s="49">
        <v>46997</v>
      </c>
      <c r="B774" s="430"/>
      <c r="C774" s="533" t="str">
        <f t="shared" si="1"/>
        <v/>
      </c>
      <c r="D774" s="50"/>
      <c r="E774" s="50"/>
      <c r="F774" s="50"/>
      <c r="G774" s="50"/>
      <c r="H774" s="50"/>
      <c r="I774" s="50"/>
      <c r="J774" s="22"/>
      <c r="K774" s="22"/>
      <c r="L774" s="22"/>
      <c r="M774" s="22"/>
      <c r="N774" s="22"/>
      <c r="O774" s="22"/>
      <c r="P774" s="22"/>
      <c r="Q774" s="22"/>
      <c r="R774" s="22"/>
      <c r="S774" s="22"/>
      <c r="T774" s="22"/>
      <c r="U774" s="24" t="s">
        <v>219</v>
      </c>
      <c r="V774" s="22"/>
      <c r="W774" s="22"/>
      <c r="X774" s="49">
        <v>46997</v>
      </c>
    </row>
    <row r="775" spans="1:24" ht="12" customHeight="1" x14ac:dyDescent="0.2">
      <c r="A775" s="49">
        <v>47027</v>
      </c>
      <c r="B775" s="430"/>
      <c r="C775" s="533" t="str">
        <f t="shared" si="1"/>
        <v/>
      </c>
      <c r="D775" s="50"/>
      <c r="E775" s="50"/>
      <c r="F775" s="50"/>
      <c r="G775" s="50"/>
      <c r="H775" s="50"/>
      <c r="I775" s="50"/>
      <c r="J775" s="22"/>
      <c r="K775" s="22"/>
      <c r="L775" s="22"/>
      <c r="M775" s="22"/>
      <c r="N775" s="22"/>
      <c r="O775" s="22"/>
      <c r="P775" s="22"/>
      <c r="Q775" s="22"/>
      <c r="R775" s="22"/>
      <c r="S775" s="22"/>
      <c r="T775" s="22"/>
      <c r="U775" s="24" t="s">
        <v>219</v>
      </c>
      <c r="V775" s="22"/>
      <c r="W775" s="22"/>
      <c r="X775" s="49">
        <v>47027</v>
      </c>
    </row>
    <row r="776" spans="1:24" ht="12" customHeight="1" x14ac:dyDescent="0.2">
      <c r="A776" s="49">
        <v>47058</v>
      </c>
      <c r="B776" s="430"/>
      <c r="C776" s="533" t="str">
        <f t="shared" si="1"/>
        <v/>
      </c>
      <c r="D776" s="50"/>
      <c r="E776" s="50"/>
      <c r="F776" s="50"/>
      <c r="G776" s="50"/>
      <c r="H776" s="50"/>
      <c r="I776" s="50"/>
      <c r="J776" s="22"/>
      <c r="K776" s="22"/>
      <c r="L776" s="22"/>
      <c r="M776" s="22"/>
      <c r="N776" s="22"/>
      <c r="O776" s="22"/>
      <c r="P776" s="22"/>
      <c r="Q776" s="22"/>
      <c r="R776" s="22"/>
      <c r="S776" s="22"/>
      <c r="T776" s="22"/>
      <c r="U776" s="24" t="s">
        <v>219</v>
      </c>
      <c r="V776" s="22"/>
      <c r="W776" s="22"/>
      <c r="X776" s="49">
        <v>47058</v>
      </c>
    </row>
    <row r="777" spans="1:24" ht="12" customHeight="1" x14ac:dyDescent="0.2">
      <c r="A777" s="49">
        <v>47088</v>
      </c>
      <c r="B777" s="430"/>
      <c r="C777" s="533" t="str">
        <f t="shared" si="1"/>
        <v/>
      </c>
      <c r="D777" s="50"/>
      <c r="E777" s="50"/>
      <c r="F777" s="50"/>
      <c r="G777" s="50"/>
      <c r="H777" s="50"/>
      <c r="I777" s="50"/>
      <c r="J777" s="22"/>
      <c r="K777" s="22"/>
      <c r="L777" s="22"/>
      <c r="M777" s="22"/>
      <c r="N777" s="22"/>
      <c r="O777" s="22"/>
      <c r="P777" s="22"/>
      <c r="Q777" s="22"/>
      <c r="R777" s="22"/>
      <c r="S777" s="22"/>
      <c r="T777" s="22"/>
      <c r="U777" s="24" t="s">
        <v>219</v>
      </c>
      <c r="V777" s="22"/>
      <c r="W777" s="22"/>
      <c r="X777" s="49">
        <v>47088</v>
      </c>
    </row>
    <row r="778" spans="1:24" ht="12" customHeight="1" x14ac:dyDescent="0.2">
      <c r="A778" s="49">
        <v>47119</v>
      </c>
      <c r="B778" s="430"/>
      <c r="C778" s="533" t="str">
        <f t="shared" si="1"/>
        <v/>
      </c>
      <c r="D778" s="50"/>
      <c r="E778" s="50"/>
      <c r="F778" s="50"/>
      <c r="G778" s="50"/>
      <c r="H778" s="50"/>
      <c r="I778" s="50"/>
      <c r="J778" s="22"/>
      <c r="K778" s="22"/>
      <c r="L778" s="22"/>
      <c r="M778" s="22"/>
      <c r="N778" s="22"/>
      <c r="O778" s="22"/>
      <c r="P778" s="22"/>
      <c r="Q778" s="22"/>
      <c r="R778" s="22"/>
      <c r="S778" s="22"/>
      <c r="T778" s="22"/>
      <c r="U778" s="24" t="s">
        <v>219</v>
      </c>
      <c r="V778" s="22"/>
      <c r="W778" s="22"/>
      <c r="X778" s="49">
        <v>47119</v>
      </c>
    </row>
    <row r="779" spans="1:24" ht="12" customHeight="1" x14ac:dyDescent="0.2">
      <c r="A779" s="49">
        <v>47150</v>
      </c>
      <c r="B779" s="430"/>
      <c r="C779" s="533" t="str">
        <f t="shared" si="1"/>
        <v/>
      </c>
      <c r="D779" s="50"/>
      <c r="E779" s="50"/>
      <c r="F779" s="50"/>
      <c r="G779" s="50"/>
      <c r="H779" s="50"/>
      <c r="I779" s="50"/>
      <c r="J779" s="22"/>
      <c r="K779" s="22"/>
      <c r="L779" s="22"/>
      <c r="M779" s="22"/>
      <c r="N779" s="22"/>
      <c r="O779" s="22"/>
      <c r="P779" s="22"/>
      <c r="Q779" s="22"/>
      <c r="R779" s="22"/>
      <c r="S779" s="22"/>
      <c r="T779" s="22"/>
      <c r="U779" s="24" t="s">
        <v>219</v>
      </c>
      <c r="V779" s="22"/>
      <c r="W779" s="22"/>
      <c r="X779" s="49">
        <v>47150</v>
      </c>
    </row>
    <row r="780" spans="1:24" ht="12" customHeight="1" x14ac:dyDescent="0.2">
      <c r="A780" s="49">
        <v>47178</v>
      </c>
      <c r="B780" s="430"/>
      <c r="C780" s="533" t="str">
        <f t="shared" si="1"/>
        <v/>
      </c>
      <c r="D780" s="50"/>
      <c r="E780" s="50"/>
      <c r="F780" s="50"/>
      <c r="G780" s="50"/>
      <c r="H780" s="50"/>
      <c r="I780" s="50"/>
      <c r="J780" s="22"/>
      <c r="K780" s="22"/>
      <c r="L780" s="22"/>
      <c r="M780" s="22"/>
      <c r="N780" s="22"/>
      <c r="O780" s="22"/>
      <c r="P780" s="22"/>
      <c r="Q780" s="22"/>
      <c r="R780" s="22"/>
      <c r="S780" s="22"/>
      <c r="T780" s="22"/>
      <c r="U780" s="24" t="s">
        <v>219</v>
      </c>
      <c r="V780" s="22"/>
      <c r="W780" s="22"/>
      <c r="X780" s="49">
        <v>47178</v>
      </c>
    </row>
    <row r="781" spans="1:24" ht="12" customHeight="1" x14ac:dyDescent="0.2">
      <c r="A781" s="49">
        <v>47209</v>
      </c>
      <c r="B781" s="430"/>
      <c r="C781" s="533" t="str">
        <f t="shared" si="1"/>
        <v/>
      </c>
      <c r="D781" s="50"/>
      <c r="E781" s="50"/>
      <c r="F781" s="50"/>
      <c r="G781" s="50"/>
      <c r="H781" s="50"/>
      <c r="I781" s="50"/>
      <c r="J781" s="22"/>
      <c r="K781" s="22"/>
      <c r="L781" s="22"/>
      <c r="M781" s="22"/>
      <c r="N781" s="22"/>
      <c r="O781" s="22"/>
      <c r="P781" s="22"/>
      <c r="Q781" s="22"/>
      <c r="R781" s="22"/>
      <c r="S781" s="22"/>
      <c r="T781" s="22"/>
      <c r="U781" s="24" t="s">
        <v>219</v>
      </c>
      <c r="V781" s="22"/>
      <c r="W781" s="22"/>
      <c r="X781" s="49">
        <v>47209</v>
      </c>
    </row>
    <row r="782" spans="1:24" ht="12" customHeight="1" x14ac:dyDescent="0.2">
      <c r="A782" s="49">
        <v>47239</v>
      </c>
      <c r="B782" s="430"/>
      <c r="C782" s="533" t="str">
        <f t="shared" si="1"/>
        <v/>
      </c>
      <c r="D782" s="50"/>
      <c r="E782" s="50"/>
      <c r="F782" s="50"/>
      <c r="G782" s="50"/>
      <c r="H782" s="50"/>
      <c r="I782" s="50"/>
      <c r="J782" s="22"/>
      <c r="K782" s="22"/>
      <c r="L782" s="22"/>
      <c r="M782" s="22"/>
      <c r="N782" s="22"/>
      <c r="O782" s="22"/>
      <c r="P782" s="22"/>
      <c r="Q782" s="22"/>
      <c r="R782" s="22"/>
      <c r="S782" s="22"/>
      <c r="T782" s="22"/>
      <c r="U782" s="24" t="s">
        <v>219</v>
      </c>
      <c r="V782" s="22"/>
      <c r="W782" s="22"/>
      <c r="X782" s="49">
        <v>47239</v>
      </c>
    </row>
    <row r="783" spans="1:24" ht="12" customHeight="1" x14ac:dyDescent="0.2">
      <c r="A783" s="49">
        <v>47270</v>
      </c>
      <c r="B783" s="430"/>
      <c r="C783" s="533" t="str">
        <f t="shared" si="1"/>
        <v/>
      </c>
      <c r="D783" s="50"/>
      <c r="E783" s="50"/>
      <c r="F783" s="50"/>
      <c r="G783" s="50"/>
      <c r="H783" s="50"/>
      <c r="I783" s="50"/>
      <c r="J783" s="22"/>
      <c r="K783" s="22"/>
      <c r="L783" s="22"/>
      <c r="M783" s="22"/>
      <c r="N783" s="22"/>
      <c r="O783" s="22"/>
      <c r="P783" s="22"/>
      <c r="Q783" s="22"/>
      <c r="R783" s="22"/>
      <c r="S783" s="22"/>
      <c r="T783" s="22"/>
      <c r="U783" s="24" t="s">
        <v>219</v>
      </c>
      <c r="V783" s="22"/>
      <c r="W783" s="22"/>
      <c r="X783" s="49">
        <v>47270</v>
      </c>
    </row>
    <row r="784" spans="1:24" ht="12" customHeight="1" x14ac:dyDescent="0.2">
      <c r="A784" s="49">
        <v>47300</v>
      </c>
      <c r="B784" s="430"/>
      <c r="C784" s="533" t="str">
        <f t="shared" si="1"/>
        <v/>
      </c>
      <c r="D784" s="50"/>
      <c r="E784" s="50"/>
      <c r="F784" s="50"/>
      <c r="G784" s="50"/>
      <c r="H784" s="50"/>
      <c r="I784" s="50"/>
      <c r="J784" s="22"/>
      <c r="K784" s="22"/>
      <c r="L784" s="22"/>
      <c r="M784" s="22"/>
      <c r="N784" s="22"/>
      <c r="O784" s="22"/>
      <c r="P784" s="22"/>
      <c r="Q784" s="22"/>
      <c r="R784" s="22"/>
      <c r="S784" s="22"/>
      <c r="T784" s="22"/>
      <c r="U784" s="24" t="s">
        <v>219</v>
      </c>
      <c r="V784" s="22"/>
      <c r="W784" s="22"/>
      <c r="X784" s="49">
        <v>47300</v>
      </c>
    </row>
    <row r="785" spans="1:24" ht="12" customHeight="1" x14ac:dyDescent="0.2">
      <c r="A785" s="49">
        <v>47331</v>
      </c>
      <c r="B785" s="430"/>
      <c r="C785" s="533" t="str">
        <f t="shared" si="1"/>
        <v/>
      </c>
      <c r="D785" s="50"/>
      <c r="E785" s="50"/>
      <c r="F785" s="50"/>
      <c r="G785" s="50"/>
      <c r="H785" s="50"/>
      <c r="I785" s="50"/>
      <c r="J785" s="22"/>
      <c r="K785" s="22"/>
      <c r="L785" s="22"/>
      <c r="M785" s="22"/>
      <c r="N785" s="22"/>
      <c r="O785" s="22"/>
      <c r="P785" s="22"/>
      <c r="Q785" s="22"/>
      <c r="R785" s="22"/>
      <c r="S785" s="22"/>
      <c r="T785" s="22"/>
      <c r="U785" s="24" t="s">
        <v>219</v>
      </c>
      <c r="V785" s="22"/>
      <c r="W785" s="22"/>
      <c r="X785" s="49">
        <v>47331</v>
      </c>
    </row>
    <row r="786" spans="1:24" ht="12" customHeight="1" x14ac:dyDescent="0.2">
      <c r="A786" s="49">
        <v>47362</v>
      </c>
      <c r="B786" s="430"/>
      <c r="C786" s="533" t="str">
        <f t="shared" si="1"/>
        <v/>
      </c>
      <c r="D786" s="50"/>
      <c r="E786" s="50"/>
      <c r="F786" s="50"/>
      <c r="G786" s="50"/>
      <c r="H786" s="50"/>
      <c r="I786" s="50"/>
      <c r="J786" s="22"/>
      <c r="K786" s="22"/>
      <c r="L786" s="22"/>
      <c r="M786" s="22"/>
      <c r="N786" s="22"/>
      <c r="O786" s="22"/>
      <c r="P786" s="22"/>
      <c r="Q786" s="22"/>
      <c r="R786" s="22"/>
      <c r="S786" s="22"/>
      <c r="T786" s="22"/>
      <c r="U786" s="24" t="s">
        <v>219</v>
      </c>
      <c r="V786" s="22"/>
      <c r="W786" s="22"/>
      <c r="X786" s="49">
        <v>47362</v>
      </c>
    </row>
    <row r="787" spans="1:24" ht="12" customHeight="1" x14ac:dyDescent="0.2">
      <c r="A787" s="49">
        <v>47392</v>
      </c>
      <c r="B787" s="430"/>
      <c r="C787" s="533" t="str">
        <f t="shared" si="1"/>
        <v/>
      </c>
      <c r="D787" s="50"/>
      <c r="E787" s="50"/>
      <c r="F787" s="50"/>
      <c r="G787" s="50"/>
      <c r="H787" s="50"/>
      <c r="I787" s="50"/>
      <c r="J787" s="22"/>
      <c r="K787" s="22"/>
      <c r="L787" s="22"/>
      <c r="M787" s="22"/>
      <c r="N787" s="22"/>
      <c r="O787" s="22"/>
      <c r="P787" s="22"/>
      <c r="Q787" s="22"/>
      <c r="R787" s="22"/>
      <c r="S787" s="22"/>
      <c r="T787" s="22"/>
      <c r="U787" s="24" t="s">
        <v>219</v>
      </c>
      <c r="V787" s="22"/>
      <c r="W787" s="22"/>
      <c r="X787" s="49">
        <v>47392</v>
      </c>
    </row>
    <row r="788" spans="1:24" ht="12" customHeight="1" x14ac:dyDescent="0.2">
      <c r="A788" s="49">
        <v>47423</v>
      </c>
      <c r="B788" s="430"/>
      <c r="C788" s="533" t="str">
        <f t="shared" si="1"/>
        <v/>
      </c>
      <c r="D788" s="50"/>
      <c r="E788" s="50"/>
      <c r="F788" s="50"/>
      <c r="G788" s="50"/>
      <c r="H788" s="50"/>
      <c r="I788" s="50"/>
      <c r="J788" s="22"/>
      <c r="K788" s="22"/>
      <c r="L788" s="22"/>
      <c r="M788" s="22"/>
      <c r="N788" s="22"/>
      <c r="O788" s="22"/>
      <c r="P788" s="22"/>
      <c r="Q788" s="22"/>
      <c r="R788" s="22"/>
      <c r="S788" s="22"/>
      <c r="T788" s="22"/>
      <c r="U788" s="24" t="s">
        <v>219</v>
      </c>
      <c r="V788" s="22"/>
      <c r="W788" s="22"/>
      <c r="X788" s="49">
        <v>47423</v>
      </c>
    </row>
    <row r="789" spans="1:24" ht="12" customHeight="1" x14ac:dyDescent="0.2">
      <c r="A789" s="49">
        <v>47453</v>
      </c>
      <c r="B789" s="430"/>
      <c r="C789" s="533" t="str">
        <f t="shared" si="1"/>
        <v/>
      </c>
      <c r="D789" s="50"/>
      <c r="E789" s="50"/>
      <c r="F789" s="50"/>
      <c r="G789" s="50"/>
      <c r="H789" s="50"/>
      <c r="I789" s="50"/>
      <c r="J789" s="22"/>
      <c r="K789" s="22"/>
      <c r="L789" s="22"/>
      <c r="M789" s="22"/>
      <c r="N789" s="22"/>
      <c r="O789" s="22"/>
      <c r="P789" s="22"/>
      <c r="Q789" s="22"/>
      <c r="R789" s="22"/>
      <c r="S789" s="22"/>
      <c r="T789" s="22"/>
      <c r="U789" s="24" t="s">
        <v>219</v>
      </c>
      <c r="V789" s="22"/>
      <c r="W789" s="22"/>
      <c r="X789" s="49">
        <v>47453</v>
      </c>
    </row>
    <row r="790" spans="1:24" ht="12" customHeight="1" x14ac:dyDescent="0.2">
      <c r="A790" s="49">
        <v>47484</v>
      </c>
      <c r="B790" s="430"/>
      <c r="C790" s="533" t="str">
        <f t="shared" si="1"/>
        <v/>
      </c>
      <c r="D790" s="50"/>
      <c r="E790" s="50"/>
      <c r="F790" s="50"/>
      <c r="G790" s="50"/>
      <c r="H790" s="50"/>
      <c r="I790" s="50"/>
      <c r="J790" s="22"/>
      <c r="K790" s="22"/>
      <c r="L790" s="22"/>
      <c r="M790" s="22"/>
      <c r="N790" s="22"/>
      <c r="O790" s="22"/>
      <c r="P790" s="22"/>
      <c r="Q790" s="22"/>
      <c r="R790" s="22"/>
      <c r="S790" s="22"/>
      <c r="T790" s="22"/>
      <c r="U790" s="24" t="s">
        <v>219</v>
      </c>
      <c r="V790" s="22"/>
      <c r="W790" s="22"/>
      <c r="X790" s="49">
        <v>47484</v>
      </c>
    </row>
    <row r="791" spans="1:24" ht="12" customHeight="1" x14ac:dyDescent="0.2">
      <c r="A791" s="49">
        <v>47515</v>
      </c>
      <c r="B791" s="430"/>
      <c r="C791" s="533" t="str">
        <f t="shared" si="1"/>
        <v/>
      </c>
      <c r="D791" s="50"/>
      <c r="E791" s="50"/>
      <c r="F791" s="50"/>
      <c r="G791" s="50"/>
      <c r="H791" s="50"/>
      <c r="I791" s="50"/>
      <c r="J791" s="22"/>
      <c r="K791" s="22"/>
      <c r="L791" s="22"/>
      <c r="M791" s="22"/>
      <c r="N791" s="22"/>
      <c r="O791" s="22"/>
      <c r="P791" s="22"/>
      <c r="Q791" s="22"/>
      <c r="R791" s="22"/>
      <c r="S791" s="22"/>
      <c r="T791" s="22"/>
      <c r="U791" s="24" t="s">
        <v>219</v>
      </c>
      <c r="V791" s="22"/>
      <c r="W791" s="22"/>
      <c r="X791" s="49">
        <v>47515</v>
      </c>
    </row>
    <row r="792" spans="1:24" ht="12" customHeight="1" x14ac:dyDescent="0.2">
      <c r="A792" s="49">
        <v>47543</v>
      </c>
      <c r="B792" s="430"/>
      <c r="C792" s="533" t="str">
        <f t="shared" si="1"/>
        <v/>
      </c>
      <c r="D792" s="50"/>
      <c r="E792" s="50"/>
      <c r="F792" s="50"/>
      <c r="G792" s="50"/>
      <c r="H792" s="50"/>
      <c r="I792" s="50"/>
      <c r="J792" s="22"/>
      <c r="K792" s="22"/>
      <c r="L792" s="22"/>
      <c r="M792" s="22"/>
      <c r="N792" s="22"/>
      <c r="O792" s="22"/>
      <c r="P792" s="22"/>
      <c r="Q792" s="22"/>
      <c r="R792" s="22"/>
      <c r="S792" s="22"/>
      <c r="T792" s="22"/>
      <c r="U792" s="24" t="s">
        <v>219</v>
      </c>
      <c r="V792" s="22"/>
      <c r="W792" s="22"/>
      <c r="X792" s="49">
        <v>47543</v>
      </c>
    </row>
    <row r="793" spans="1:24" ht="12" customHeight="1" x14ac:dyDescent="0.2">
      <c r="A793" s="49">
        <v>47574</v>
      </c>
      <c r="B793" s="430"/>
      <c r="C793" s="533" t="str">
        <f t="shared" si="1"/>
        <v/>
      </c>
      <c r="D793" s="50"/>
      <c r="E793" s="50"/>
      <c r="F793" s="50"/>
      <c r="G793" s="50"/>
      <c r="H793" s="50"/>
      <c r="I793" s="50"/>
      <c r="J793" s="22"/>
      <c r="K793" s="22"/>
      <c r="L793" s="22"/>
      <c r="M793" s="22"/>
      <c r="N793" s="22"/>
      <c r="O793" s="22"/>
      <c r="P793" s="22"/>
      <c r="Q793" s="22"/>
      <c r="R793" s="22"/>
      <c r="S793" s="22"/>
      <c r="T793" s="22"/>
      <c r="U793" s="24" t="s">
        <v>219</v>
      </c>
      <c r="V793" s="22"/>
      <c r="W793" s="22"/>
      <c r="X793" s="49">
        <v>47574</v>
      </c>
    </row>
    <row r="794" spans="1:24" ht="12" customHeight="1" x14ac:dyDescent="0.2">
      <c r="A794" s="49">
        <v>47604</v>
      </c>
      <c r="B794" s="430"/>
      <c r="C794" s="533" t="str">
        <f t="shared" si="1"/>
        <v/>
      </c>
      <c r="D794" s="50"/>
      <c r="E794" s="50"/>
      <c r="F794" s="50"/>
      <c r="G794" s="50"/>
      <c r="H794" s="50"/>
      <c r="I794" s="50"/>
      <c r="J794" s="22"/>
      <c r="K794" s="22"/>
      <c r="L794" s="22"/>
      <c r="M794" s="22"/>
      <c r="N794" s="22"/>
      <c r="O794" s="22"/>
      <c r="P794" s="22"/>
      <c r="Q794" s="22"/>
      <c r="R794" s="22"/>
      <c r="S794" s="22"/>
      <c r="T794" s="22"/>
      <c r="U794" s="24" t="s">
        <v>219</v>
      </c>
      <c r="V794" s="22"/>
      <c r="W794" s="22"/>
      <c r="X794" s="49">
        <v>47604</v>
      </c>
    </row>
    <row r="795" spans="1:24" ht="12" customHeight="1" x14ac:dyDescent="0.2">
      <c r="A795" s="49">
        <v>47635</v>
      </c>
      <c r="B795" s="430"/>
      <c r="C795" s="533" t="str">
        <f t="shared" si="1"/>
        <v/>
      </c>
      <c r="D795" s="50"/>
      <c r="E795" s="50"/>
      <c r="F795" s="50"/>
      <c r="G795" s="50"/>
      <c r="H795" s="50"/>
      <c r="I795" s="50"/>
      <c r="J795" s="22"/>
      <c r="K795" s="22"/>
      <c r="L795" s="22"/>
      <c r="M795" s="22"/>
      <c r="N795" s="22"/>
      <c r="O795" s="22"/>
      <c r="P795" s="22"/>
      <c r="Q795" s="22"/>
      <c r="R795" s="22"/>
      <c r="S795" s="22"/>
      <c r="T795" s="22"/>
      <c r="U795" s="24" t="s">
        <v>219</v>
      </c>
      <c r="V795" s="22"/>
      <c r="W795" s="22"/>
      <c r="X795" s="49">
        <v>47635</v>
      </c>
    </row>
    <row r="796" spans="1:24" ht="12" customHeight="1" x14ac:dyDescent="0.2">
      <c r="A796" s="49">
        <v>47665</v>
      </c>
      <c r="B796" s="430"/>
      <c r="C796" s="533" t="str">
        <f t="shared" si="1"/>
        <v/>
      </c>
      <c r="D796" s="50"/>
      <c r="E796" s="50"/>
      <c r="F796" s="50"/>
      <c r="G796" s="50"/>
      <c r="H796" s="50"/>
      <c r="I796" s="50"/>
      <c r="J796" s="22"/>
      <c r="K796" s="22"/>
      <c r="L796" s="22"/>
      <c r="M796" s="22"/>
      <c r="N796" s="22"/>
      <c r="O796" s="22"/>
      <c r="P796" s="22"/>
      <c r="Q796" s="22"/>
      <c r="R796" s="22"/>
      <c r="S796" s="22"/>
      <c r="T796" s="22"/>
      <c r="U796" s="24" t="s">
        <v>219</v>
      </c>
      <c r="V796" s="22"/>
      <c r="W796" s="22"/>
      <c r="X796" s="49">
        <v>47665</v>
      </c>
    </row>
    <row r="797" spans="1:24" ht="12" customHeight="1" x14ac:dyDescent="0.2">
      <c r="A797" s="49">
        <v>47696</v>
      </c>
      <c r="B797" s="430"/>
      <c r="C797" s="533" t="str">
        <f t="shared" si="1"/>
        <v/>
      </c>
      <c r="D797" s="50"/>
      <c r="E797" s="50"/>
      <c r="F797" s="50"/>
      <c r="G797" s="50"/>
      <c r="H797" s="50"/>
      <c r="I797" s="50"/>
      <c r="J797" s="22"/>
      <c r="K797" s="22"/>
      <c r="L797" s="22"/>
      <c r="M797" s="22"/>
      <c r="N797" s="22"/>
      <c r="O797" s="22"/>
      <c r="P797" s="22"/>
      <c r="Q797" s="22"/>
      <c r="R797" s="22"/>
      <c r="S797" s="22"/>
      <c r="T797" s="22"/>
      <c r="U797" s="24" t="s">
        <v>219</v>
      </c>
      <c r="V797" s="22"/>
      <c r="W797" s="22"/>
      <c r="X797" s="49">
        <v>47696</v>
      </c>
    </row>
    <row r="798" spans="1:24" ht="12" customHeight="1" x14ac:dyDescent="0.2">
      <c r="A798" s="49">
        <v>47727</v>
      </c>
      <c r="B798" s="430"/>
      <c r="C798" s="533" t="str">
        <f t="shared" si="1"/>
        <v/>
      </c>
      <c r="D798" s="50"/>
      <c r="E798" s="50"/>
      <c r="F798" s="50"/>
      <c r="G798" s="50"/>
      <c r="H798" s="50"/>
      <c r="I798" s="50"/>
      <c r="J798" s="22"/>
      <c r="K798" s="22"/>
      <c r="L798" s="22"/>
      <c r="M798" s="22"/>
      <c r="N798" s="22"/>
      <c r="O798" s="22"/>
      <c r="P798" s="22"/>
      <c r="Q798" s="22"/>
      <c r="R798" s="22"/>
      <c r="S798" s="22"/>
      <c r="T798" s="22"/>
      <c r="U798" s="24" t="s">
        <v>219</v>
      </c>
      <c r="V798" s="22"/>
      <c r="W798" s="22"/>
      <c r="X798" s="49">
        <v>47727</v>
      </c>
    </row>
    <row r="799" spans="1:24" ht="12" customHeight="1" x14ac:dyDescent="0.2">
      <c r="A799" s="49">
        <v>47757</v>
      </c>
      <c r="B799" s="430"/>
      <c r="C799" s="533" t="str">
        <f t="shared" si="1"/>
        <v/>
      </c>
      <c r="D799" s="50"/>
      <c r="E799" s="50"/>
      <c r="F799" s="50"/>
      <c r="G799" s="50"/>
      <c r="H799" s="50"/>
      <c r="I799" s="50"/>
      <c r="J799" s="22"/>
      <c r="K799" s="22"/>
      <c r="L799" s="22"/>
      <c r="M799" s="22"/>
      <c r="N799" s="22"/>
      <c r="O799" s="22"/>
      <c r="P799" s="22"/>
      <c r="Q799" s="22"/>
      <c r="R799" s="22"/>
      <c r="S799" s="22"/>
      <c r="T799" s="22"/>
      <c r="U799" s="24" t="s">
        <v>219</v>
      </c>
      <c r="V799" s="22"/>
      <c r="W799" s="22"/>
      <c r="X799" s="49">
        <v>47757</v>
      </c>
    </row>
    <row r="800" spans="1:24" ht="12" customHeight="1" x14ac:dyDescent="0.2">
      <c r="A800" s="49">
        <v>47788</v>
      </c>
      <c r="B800" s="430"/>
      <c r="C800" s="533" t="str">
        <f t="shared" si="1"/>
        <v/>
      </c>
      <c r="D800" s="50"/>
      <c r="E800" s="50"/>
      <c r="F800" s="50"/>
      <c r="G800" s="50"/>
      <c r="H800" s="50"/>
      <c r="I800" s="50"/>
      <c r="J800" s="22"/>
      <c r="K800" s="22"/>
      <c r="L800" s="22"/>
      <c r="M800" s="22"/>
      <c r="N800" s="22"/>
      <c r="O800" s="22"/>
      <c r="P800" s="22"/>
      <c r="Q800" s="22"/>
      <c r="R800" s="22"/>
      <c r="S800" s="22"/>
      <c r="T800" s="22"/>
      <c r="U800" s="24" t="s">
        <v>219</v>
      </c>
      <c r="V800" s="22"/>
      <c r="W800" s="22"/>
      <c r="X800" s="49">
        <v>47788</v>
      </c>
    </row>
    <row r="801" spans="1:24" ht="12" customHeight="1" x14ac:dyDescent="0.2">
      <c r="A801" s="49">
        <v>47818</v>
      </c>
      <c r="B801" s="430"/>
      <c r="C801" s="533" t="str">
        <f t="shared" si="1"/>
        <v/>
      </c>
      <c r="D801" s="50"/>
      <c r="E801" s="50"/>
      <c r="F801" s="50"/>
      <c r="G801" s="50"/>
      <c r="H801" s="50"/>
      <c r="I801" s="50"/>
      <c r="J801" s="22"/>
      <c r="K801" s="22"/>
      <c r="L801" s="22"/>
      <c r="M801" s="22"/>
      <c r="N801" s="22"/>
      <c r="O801" s="22"/>
      <c r="P801" s="22"/>
      <c r="Q801" s="22"/>
      <c r="R801" s="22"/>
      <c r="S801" s="22"/>
      <c r="T801" s="22"/>
      <c r="U801" s="24" t="s">
        <v>219</v>
      </c>
      <c r="V801" s="22"/>
      <c r="W801" s="22"/>
      <c r="X801" s="49">
        <v>47818</v>
      </c>
    </row>
    <row r="802" spans="1:24" ht="12" customHeight="1" x14ac:dyDescent="0.2">
      <c r="A802" s="49">
        <v>47849</v>
      </c>
      <c r="B802" s="430"/>
      <c r="C802" s="533" t="str">
        <f t="shared" ref="C802:C865" si="2">IF(B802="","",B802+C801)</f>
        <v/>
      </c>
      <c r="D802" s="50"/>
      <c r="E802" s="50"/>
      <c r="F802" s="50"/>
      <c r="G802" s="50"/>
      <c r="H802" s="50"/>
      <c r="I802" s="50"/>
      <c r="J802" s="22"/>
      <c r="K802" s="22"/>
      <c r="L802" s="22"/>
      <c r="M802" s="22"/>
      <c r="N802" s="22"/>
      <c r="O802" s="22"/>
      <c r="P802" s="22"/>
      <c r="Q802" s="22"/>
      <c r="R802" s="22"/>
      <c r="S802" s="22"/>
      <c r="T802" s="22"/>
      <c r="U802" s="24" t="s">
        <v>219</v>
      </c>
      <c r="V802" s="22"/>
      <c r="W802" s="22"/>
      <c r="X802" s="49">
        <v>47849</v>
      </c>
    </row>
    <row r="803" spans="1:24" ht="12" customHeight="1" x14ac:dyDescent="0.2">
      <c r="A803" s="49">
        <v>47880</v>
      </c>
      <c r="B803" s="430"/>
      <c r="C803" s="533" t="str">
        <f t="shared" si="2"/>
        <v/>
      </c>
      <c r="D803" s="50"/>
      <c r="E803" s="50"/>
      <c r="F803" s="50"/>
      <c r="G803" s="50"/>
      <c r="H803" s="50"/>
      <c r="I803" s="50"/>
      <c r="J803" s="22"/>
      <c r="K803" s="22"/>
      <c r="L803" s="22"/>
      <c r="M803" s="22"/>
      <c r="N803" s="22"/>
      <c r="O803" s="22"/>
      <c r="P803" s="22"/>
      <c r="Q803" s="22"/>
      <c r="R803" s="22"/>
      <c r="S803" s="22"/>
      <c r="T803" s="22"/>
      <c r="U803" s="24" t="s">
        <v>219</v>
      </c>
      <c r="V803" s="22"/>
      <c r="W803" s="22"/>
      <c r="X803" s="49">
        <v>47880</v>
      </c>
    </row>
    <row r="804" spans="1:24" ht="12" customHeight="1" x14ac:dyDescent="0.2">
      <c r="A804" s="49">
        <v>47908</v>
      </c>
      <c r="B804" s="430"/>
      <c r="C804" s="533" t="str">
        <f t="shared" si="2"/>
        <v/>
      </c>
      <c r="D804" s="50"/>
      <c r="E804" s="50"/>
      <c r="F804" s="50"/>
      <c r="G804" s="50"/>
      <c r="H804" s="50"/>
      <c r="I804" s="50"/>
      <c r="J804" s="22"/>
      <c r="K804" s="22"/>
      <c r="L804" s="22"/>
      <c r="M804" s="22"/>
      <c r="N804" s="22"/>
      <c r="O804" s="22"/>
      <c r="P804" s="22"/>
      <c r="Q804" s="22"/>
      <c r="R804" s="22"/>
      <c r="S804" s="22"/>
      <c r="T804" s="22"/>
      <c r="U804" s="24" t="s">
        <v>219</v>
      </c>
      <c r="V804" s="22"/>
      <c r="W804" s="22"/>
      <c r="X804" s="49">
        <v>47908</v>
      </c>
    </row>
    <row r="805" spans="1:24" ht="12" customHeight="1" x14ac:dyDescent="0.2">
      <c r="A805" s="49">
        <v>47939</v>
      </c>
      <c r="B805" s="430"/>
      <c r="C805" s="533" t="str">
        <f t="shared" si="2"/>
        <v/>
      </c>
      <c r="D805" s="50"/>
      <c r="E805" s="50"/>
      <c r="F805" s="50"/>
      <c r="G805" s="50"/>
      <c r="H805" s="50"/>
      <c r="I805" s="50"/>
      <c r="J805" s="22"/>
      <c r="K805" s="22"/>
      <c r="L805" s="22"/>
      <c r="M805" s="22"/>
      <c r="N805" s="22"/>
      <c r="O805" s="22"/>
      <c r="P805" s="22"/>
      <c r="Q805" s="22"/>
      <c r="R805" s="22"/>
      <c r="S805" s="22"/>
      <c r="T805" s="22"/>
      <c r="U805" s="24" t="s">
        <v>219</v>
      </c>
      <c r="V805" s="22"/>
      <c r="W805" s="22"/>
      <c r="X805" s="49">
        <v>47939</v>
      </c>
    </row>
    <row r="806" spans="1:24" ht="12" customHeight="1" x14ac:dyDescent="0.2">
      <c r="A806" s="49">
        <v>47969</v>
      </c>
      <c r="B806" s="430"/>
      <c r="C806" s="533" t="str">
        <f t="shared" si="2"/>
        <v/>
      </c>
      <c r="D806" s="50"/>
      <c r="E806" s="50"/>
      <c r="F806" s="50"/>
      <c r="G806" s="50"/>
      <c r="H806" s="50"/>
      <c r="I806" s="50"/>
      <c r="J806" s="22"/>
      <c r="K806" s="22"/>
      <c r="L806" s="22"/>
      <c r="M806" s="22"/>
      <c r="N806" s="22"/>
      <c r="O806" s="22"/>
      <c r="P806" s="22"/>
      <c r="Q806" s="22"/>
      <c r="R806" s="22"/>
      <c r="S806" s="22"/>
      <c r="T806" s="22"/>
      <c r="U806" s="24" t="s">
        <v>219</v>
      </c>
      <c r="V806" s="22"/>
      <c r="W806" s="22"/>
      <c r="X806" s="49">
        <v>47969</v>
      </c>
    </row>
    <row r="807" spans="1:24" ht="12" customHeight="1" x14ac:dyDescent="0.2">
      <c r="A807" s="49">
        <v>48000</v>
      </c>
      <c r="B807" s="430"/>
      <c r="C807" s="533" t="str">
        <f t="shared" si="2"/>
        <v/>
      </c>
      <c r="D807" s="50"/>
      <c r="E807" s="50"/>
      <c r="F807" s="50"/>
      <c r="G807" s="50"/>
      <c r="H807" s="50"/>
      <c r="I807" s="50"/>
      <c r="J807" s="22"/>
      <c r="K807" s="22"/>
      <c r="L807" s="22"/>
      <c r="M807" s="22"/>
      <c r="N807" s="22"/>
      <c r="O807" s="22"/>
      <c r="P807" s="22"/>
      <c r="Q807" s="22"/>
      <c r="R807" s="22"/>
      <c r="S807" s="22"/>
      <c r="T807" s="22"/>
      <c r="U807" s="24" t="s">
        <v>219</v>
      </c>
      <c r="V807" s="22"/>
      <c r="W807" s="22"/>
      <c r="X807" s="49">
        <v>48000</v>
      </c>
    </row>
    <row r="808" spans="1:24" ht="12" customHeight="1" x14ac:dyDescent="0.2">
      <c r="A808" s="49">
        <v>48030</v>
      </c>
      <c r="B808" s="430"/>
      <c r="C808" s="533" t="str">
        <f t="shared" si="2"/>
        <v/>
      </c>
      <c r="D808" s="50"/>
      <c r="E808" s="50"/>
      <c r="F808" s="50"/>
      <c r="G808" s="50"/>
      <c r="H808" s="50"/>
      <c r="I808" s="50"/>
      <c r="J808" s="22"/>
      <c r="K808" s="22"/>
      <c r="L808" s="22"/>
      <c r="M808" s="22"/>
      <c r="N808" s="22"/>
      <c r="O808" s="22"/>
      <c r="P808" s="22"/>
      <c r="Q808" s="22"/>
      <c r="R808" s="22"/>
      <c r="S808" s="22"/>
      <c r="T808" s="22"/>
      <c r="U808" s="24" t="s">
        <v>219</v>
      </c>
      <c r="V808" s="22"/>
      <c r="W808" s="22"/>
      <c r="X808" s="49">
        <v>48030</v>
      </c>
    </row>
    <row r="809" spans="1:24" ht="12" customHeight="1" x14ac:dyDescent="0.2">
      <c r="A809" s="49">
        <v>48061</v>
      </c>
      <c r="B809" s="430"/>
      <c r="C809" s="533" t="str">
        <f t="shared" si="2"/>
        <v/>
      </c>
      <c r="D809" s="50"/>
      <c r="E809" s="50"/>
      <c r="F809" s="50"/>
      <c r="G809" s="50"/>
      <c r="H809" s="50"/>
      <c r="I809" s="50"/>
      <c r="J809" s="22"/>
      <c r="K809" s="22"/>
      <c r="L809" s="22"/>
      <c r="M809" s="22"/>
      <c r="N809" s="22"/>
      <c r="O809" s="22"/>
      <c r="P809" s="22"/>
      <c r="Q809" s="22"/>
      <c r="R809" s="22"/>
      <c r="S809" s="22"/>
      <c r="T809" s="22"/>
      <c r="U809" s="24" t="s">
        <v>219</v>
      </c>
      <c r="V809" s="22"/>
      <c r="W809" s="22"/>
      <c r="X809" s="49">
        <v>48061</v>
      </c>
    </row>
    <row r="810" spans="1:24" ht="12" customHeight="1" x14ac:dyDescent="0.2">
      <c r="A810" s="49">
        <v>48092</v>
      </c>
      <c r="B810" s="430"/>
      <c r="C810" s="533" t="str">
        <f t="shared" si="2"/>
        <v/>
      </c>
      <c r="D810" s="50"/>
      <c r="E810" s="50"/>
      <c r="F810" s="50"/>
      <c r="G810" s="50"/>
      <c r="H810" s="50"/>
      <c r="I810" s="50"/>
      <c r="J810" s="22"/>
      <c r="K810" s="22"/>
      <c r="L810" s="22"/>
      <c r="M810" s="22"/>
      <c r="N810" s="22"/>
      <c r="O810" s="22"/>
      <c r="P810" s="22"/>
      <c r="Q810" s="22"/>
      <c r="R810" s="22"/>
      <c r="S810" s="22"/>
      <c r="T810" s="22"/>
      <c r="U810" s="24" t="s">
        <v>219</v>
      </c>
      <c r="V810" s="22"/>
      <c r="W810" s="22"/>
      <c r="X810" s="49">
        <v>48092</v>
      </c>
    </row>
    <row r="811" spans="1:24" ht="12" customHeight="1" x14ac:dyDescent="0.2">
      <c r="A811" s="49">
        <v>48122</v>
      </c>
      <c r="B811" s="430"/>
      <c r="C811" s="533" t="str">
        <f t="shared" si="2"/>
        <v/>
      </c>
      <c r="D811" s="50"/>
      <c r="E811" s="50"/>
      <c r="F811" s="50"/>
      <c r="G811" s="50"/>
      <c r="H811" s="50"/>
      <c r="I811" s="50"/>
      <c r="J811" s="22"/>
      <c r="K811" s="22"/>
      <c r="L811" s="22"/>
      <c r="M811" s="22"/>
      <c r="N811" s="22"/>
      <c r="O811" s="22"/>
      <c r="P811" s="22"/>
      <c r="Q811" s="22"/>
      <c r="R811" s="22"/>
      <c r="S811" s="22"/>
      <c r="T811" s="22"/>
      <c r="U811" s="24" t="s">
        <v>219</v>
      </c>
      <c r="V811" s="22"/>
      <c r="W811" s="22"/>
      <c r="X811" s="49">
        <v>48122</v>
      </c>
    </row>
    <row r="812" spans="1:24" ht="12" customHeight="1" x14ac:dyDescent="0.2">
      <c r="A812" s="49">
        <v>48153</v>
      </c>
      <c r="B812" s="430"/>
      <c r="C812" s="533" t="str">
        <f t="shared" si="2"/>
        <v/>
      </c>
      <c r="D812" s="50"/>
      <c r="E812" s="50"/>
      <c r="F812" s="50"/>
      <c r="G812" s="50"/>
      <c r="H812" s="50"/>
      <c r="I812" s="50"/>
      <c r="J812" s="22"/>
      <c r="K812" s="22"/>
      <c r="L812" s="22"/>
      <c r="M812" s="22"/>
      <c r="N812" s="22"/>
      <c r="O812" s="22"/>
      <c r="P812" s="22"/>
      <c r="Q812" s="22"/>
      <c r="R812" s="22"/>
      <c r="S812" s="22"/>
      <c r="T812" s="22"/>
      <c r="U812" s="24" t="s">
        <v>219</v>
      </c>
      <c r="V812" s="22"/>
      <c r="W812" s="22"/>
      <c r="X812" s="49">
        <v>48153</v>
      </c>
    </row>
    <row r="813" spans="1:24" ht="12" customHeight="1" x14ac:dyDescent="0.2">
      <c r="A813" s="49">
        <v>48183</v>
      </c>
      <c r="B813" s="430"/>
      <c r="C813" s="533" t="str">
        <f t="shared" si="2"/>
        <v/>
      </c>
      <c r="D813" s="50"/>
      <c r="E813" s="50"/>
      <c r="F813" s="50"/>
      <c r="G813" s="50"/>
      <c r="H813" s="50"/>
      <c r="I813" s="50"/>
      <c r="J813" s="22"/>
      <c r="K813" s="22"/>
      <c r="L813" s="22"/>
      <c r="M813" s="22"/>
      <c r="N813" s="22"/>
      <c r="O813" s="22"/>
      <c r="P813" s="22"/>
      <c r="Q813" s="22"/>
      <c r="R813" s="22"/>
      <c r="S813" s="22"/>
      <c r="T813" s="22"/>
      <c r="U813" s="24" t="s">
        <v>219</v>
      </c>
      <c r="V813" s="22"/>
      <c r="W813" s="22"/>
      <c r="X813" s="49">
        <v>48183</v>
      </c>
    </row>
    <row r="814" spans="1:24" ht="12" customHeight="1" x14ac:dyDescent="0.2">
      <c r="A814" s="49">
        <v>48214</v>
      </c>
      <c r="B814" s="430"/>
      <c r="C814" s="533" t="str">
        <f t="shared" si="2"/>
        <v/>
      </c>
      <c r="D814" s="50"/>
      <c r="E814" s="50"/>
      <c r="F814" s="50"/>
      <c r="G814" s="50"/>
      <c r="H814" s="50"/>
      <c r="I814" s="50"/>
      <c r="J814" s="22"/>
      <c r="K814" s="22"/>
      <c r="L814" s="22"/>
      <c r="M814" s="22"/>
      <c r="N814" s="22"/>
      <c r="O814" s="22"/>
      <c r="P814" s="22"/>
      <c r="Q814" s="22"/>
      <c r="R814" s="22"/>
      <c r="S814" s="22"/>
      <c r="T814" s="22"/>
      <c r="U814" s="24" t="s">
        <v>219</v>
      </c>
      <c r="V814" s="22"/>
      <c r="W814" s="22"/>
      <c r="X814" s="49">
        <v>48214</v>
      </c>
    </row>
    <row r="815" spans="1:24" ht="12" customHeight="1" x14ac:dyDescent="0.2">
      <c r="A815" s="49">
        <v>48245</v>
      </c>
      <c r="B815" s="430"/>
      <c r="C815" s="533" t="str">
        <f t="shared" si="2"/>
        <v/>
      </c>
      <c r="D815" s="50"/>
      <c r="E815" s="50"/>
      <c r="F815" s="50"/>
      <c r="G815" s="50"/>
      <c r="H815" s="50"/>
      <c r="I815" s="50"/>
      <c r="J815" s="22"/>
      <c r="K815" s="22"/>
      <c r="L815" s="22"/>
      <c r="M815" s="22"/>
      <c r="N815" s="22"/>
      <c r="O815" s="22"/>
      <c r="P815" s="22"/>
      <c r="Q815" s="22"/>
      <c r="R815" s="22"/>
      <c r="S815" s="22"/>
      <c r="T815" s="22"/>
      <c r="U815" s="24" t="s">
        <v>219</v>
      </c>
      <c r="V815" s="22"/>
      <c r="W815" s="22"/>
      <c r="X815" s="49">
        <v>48245</v>
      </c>
    </row>
    <row r="816" spans="1:24" ht="12" customHeight="1" x14ac:dyDescent="0.2">
      <c r="A816" s="49">
        <v>48274</v>
      </c>
      <c r="B816" s="430"/>
      <c r="C816" s="533" t="str">
        <f t="shared" si="2"/>
        <v/>
      </c>
      <c r="D816" s="50"/>
      <c r="E816" s="50"/>
      <c r="F816" s="50"/>
      <c r="G816" s="50"/>
      <c r="H816" s="50"/>
      <c r="I816" s="50"/>
      <c r="J816" s="22"/>
      <c r="K816" s="22"/>
      <c r="L816" s="22"/>
      <c r="M816" s="22"/>
      <c r="N816" s="22"/>
      <c r="O816" s="22"/>
      <c r="P816" s="22"/>
      <c r="Q816" s="22"/>
      <c r="R816" s="22"/>
      <c r="S816" s="22"/>
      <c r="T816" s="22"/>
      <c r="U816" s="24" t="s">
        <v>219</v>
      </c>
      <c r="V816" s="22"/>
      <c r="W816" s="22"/>
      <c r="X816" s="49">
        <v>48274</v>
      </c>
    </row>
    <row r="817" spans="1:24" ht="12" customHeight="1" x14ac:dyDescent="0.2">
      <c r="A817" s="49">
        <v>48305</v>
      </c>
      <c r="B817" s="430"/>
      <c r="C817" s="533" t="str">
        <f t="shared" si="2"/>
        <v/>
      </c>
      <c r="D817" s="50"/>
      <c r="E817" s="50"/>
      <c r="F817" s="50"/>
      <c r="G817" s="50"/>
      <c r="H817" s="50"/>
      <c r="I817" s="50"/>
      <c r="J817" s="22"/>
      <c r="K817" s="22"/>
      <c r="L817" s="22"/>
      <c r="M817" s="22"/>
      <c r="N817" s="22"/>
      <c r="O817" s="22"/>
      <c r="P817" s="22"/>
      <c r="Q817" s="22"/>
      <c r="R817" s="22"/>
      <c r="S817" s="22"/>
      <c r="T817" s="22"/>
      <c r="U817" s="24" t="s">
        <v>219</v>
      </c>
      <c r="V817" s="22"/>
      <c r="W817" s="22"/>
      <c r="X817" s="49">
        <v>48305</v>
      </c>
    </row>
    <row r="818" spans="1:24" ht="12" customHeight="1" x14ac:dyDescent="0.2">
      <c r="A818" s="49">
        <v>48335</v>
      </c>
      <c r="B818" s="430"/>
      <c r="C818" s="533" t="str">
        <f t="shared" si="2"/>
        <v/>
      </c>
      <c r="D818" s="50"/>
      <c r="E818" s="50"/>
      <c r="F818" s="50"/>
      <c r="G818" s="50"/>
      <c r="H818" s="50"/>
      <c r="I818" s="50"/>
      <c r="J818" s="22"/>
      <c r="K818" s="22"/>
      <c r="L818" s="22"/>
      <c r="M818" s="22"/>
      <c r="N818" s="22"/>
      <c r="O818" s="22"/>
      <c r="P818" s="22"/>
      <c r="Q818" s="22"/>
      <c r="R818" s="22"/>
      <c r="S818" s="22"/>
      <c r="T818" s="22"/>
      <c r="U818" s="24" t="s">
        <v>219</v>
      </c>
      <c r="V818" s="22"/>
      <c r="W818" s="22"/>
      <c r="X818" s="49">
        <v>48335</v>
      </c>
    </row>
    <row r="819" spans="1:24" ht="12" customHeight="1" x14ac:dyDescent="0.2">
      <c r="A819" s="49">
        <v>48366</v>
      </c>
      <c r="B819" s="430"/>
      <c r="C819" s="533" t="str">
        <f t="shared" si="2"/>
        <v/>
      </c>
      <c r="D819" s="50"/>
      <c r="E819" s="50"/>
      <c r="F819" s="50"/>
      <c r="G819" s="50"/>
      <c r="H819" s="50"/>
      <c r="I819" s="50"/>
      <c r="J819" s="22"/>
      <c r="K819" s="22"/>
      <c r="L819" s="22"/>
      <c r="M819" s="22"/>
      <c r="N819" s="22"/>
      <c r="O819" s="22"/>
      <c r="P819" s="22"/>
      <c r="Q819" s="22"/>
      <c r="R819" s="22"/>
      <c r="S819" s="22"/>
      <c r="T819" s="22"/>
      <c r="U819" s="24" t="s">
        <v>219</v>
      </c>
      <c r="V819" s="22"/>
      <c r="W819" s="22"/>
      <c r="X819" s="49">
        <v>48366</v>
      </c>
    </row>
    <row r="820" spans="1:24" ht="12" customHeight="1" x14ac:dyDescent="0.2">
      <c r="A820" s="49">
        <v>48396</v>
      </c>
      <c r="B820" s="430"/>
      <c r="C820" s="533" t="str">
        <f t="shared" si="2"/>
        <v/>
      </c>
      <c r="D820" s="50"/>
      <c r="E820" s="50"/>
      <c r="F820" s="50"/>
      <c r="G820" s="50"/>
      <c r="H820" s="50"/>
      <c r="I820" s="50"/>
      <c r="J820" s="22"/>
      <c r="K820" s="22"/>
      <c r="L820" s="22"/>
      <c r="M820" s="22"/>
      <c r="N820" s="22"/>
      <c r="O820" s="22"/>
      <c r="P820" s="22"/>
      <c r="Q820" s="22"/>
      <c r="R820" s="22"/>
      <c r="S820" s="22"/>
      <c r="T820" s="22"/>
      <c r="U820" s="24" t="s">
        <v>219</v>
      </c>
      <c r="V820" s="22"/>
      <c r="W820" s="22"/>
      <c r="X820" s="49">
        <v>48396</v>
      </c>
    </row>
    <row r="821" spans="1:24" ht="12" customHeight="1" x14ac:dyDescent="0.2">
      <c r="A821" s="49">
        <v>48427</v>
      </c>
      <c r="B821" s="430"/>
      <c r="C821" s="533" t="str">
        <f t="shared" si="2"/>
        <v/>
      </c>
      <c r="D821" s="50"/>
      <c r="E821" s="50"/>
      <c r="F821" s="50"/>
      <c r="G821" s="50"/>
      <c r="H821" s="50"/>
      <c r="I821" s="50"/>
      <c r="J821" s="22"/>
      <c r="K821" s="22"/>
      <c r="L821" s="22"/>
      <c r="M821" s="22"/>
      <c r="N821" s="22"/>
      <c r="O821" s="22"/>
      <c r="P821" s="22"/>
      <c r="Q821" s="22"/>
      <c r="R821" s="22"/>
      <c r="S821" s="22"/>
      <c r="T821" s="22"/>
      <c r="U821" s="24" t="s">
        <v>219</v>
      </c>
      <c r="V821" s="22"/>
      <c r="W821" s="22"/>
      <c r="X821" s="49">
        <v>48427</v>
      </c>
    </row>
    <row r="822" spans="1:24" ht="12" customHeight="1" x14ac:dyDescent="0.2">
      <c r="A822" s="49">
        <v>48458</v>
      </c>
      <c r="B822" s="430"/>
      <c r="C822" s="533" t="str">
        <f t="shared" si="2"/>
        <v/>
      </c>
      <c r="D822" s="50"/>
      <c r="E822" s="50"/>
      <c r="F822" s="50"/>
      <c r="G822" s="50"/>
      <c r="H822" s="50"/>
      <c r="I822" s="50"/>
      <c r="J822" s="22"/>
      <c r="K822" s="22"/>
      <c r="L822" s="22"/>
      <c r="M822" s="22"/>
      <c r="N822" s="22"/>
      <c r="O822" s="22"/>
      <c r="P822" s="22"/>
      <c r="Q822" s="22"/>
      <c r="R822" s="22"/>
      <c r="S822" s="22"/>
      <c r="T822" s="22"/>
      <c r="U822" s="24" t="s">
        <v>219</v>
      </c>
      <c r="V822" s="22"/>
      <c r="W822" s="22"/>
      <c r="X822" s="49">
        <v>48458</v>
      </c>
    </row>
    <row r="823" spans="1:24" ht="12" customHeight="1" x14ac:dyDescent="0.2">
      <c r="A823" s="49">
        <v>48488</v>
      </c>
      <c r="B823" s="430"/>
      <c r="C823" s="533" t="str">
        <f t="shared" si="2"/>
        <v/>
      </c>
      <c r="D823" s="50"/>
      <c r="E823" s="50"/>
      <c r="F823" s="50"/>
      <c r="G823" s="50"/>
      <c r="H823" s="50"/>
      <c r="I823" s="50"/>
      <c r="J823" s="22"/>
      <c r="K823" s="22"/>
      <c r="L823" s="22"/>
      <c r="M823" s="22"/>
      <c r="N823" s="22"/>
      <c r="O823" s="22"/>
      <c r="P823" s="22"/>
      <c r="Q823" s="22"/>
      <c r="R823" s="22"/>
      <c r="S823" s="22"/>
      <c r="T823" s="22"/>
      <c r="U823" s="24" t="s">
        <v>219</v>
      </c>
      <c r="V823" s="22"/>
      <c r="W823" s="22"/>
      <c r="X823" s="49">
        <v>48488</v>
      </c>
    </row>
    <row r="824" spans="1:24" ht="12" customHeight="1" x14ac:dyDescent="0.2">
      <c r="A824" s="49">
        <v>48519</v>
      </c>
      <c r="B824" s="430"/>
      <c r="C824" s="533" t="str">
        <f t="shared" si="2"/>
        <v/>
      </c>
      <c r="D824" s="50"/>
      <c r="E824" s="50"/>
      <c r="F824" s="50"/>
      <c r="G824" s="50"/>
      <c r="H824" s="50"/>
      <c r="I824" s="50"/>
      <c r="J824" s="22"/>
      <c r="K824" s="22"/>
      <c r="L824" s="22"/>
      <c r="M824" s="22"/>
      <c r="N824" s="22"/>
      <c r="O824" s="22"/>
      <c r="P824" s="22"/>
      <c r="Q824" s="22"/>
      <c r="R824" s="22"/>
      <c r="S824" s="22"/>
      <c r="T824" s="22"/>
      <c r="U824" s="24" t="s">
        <v>219</v>
      </c>
      <c r="V824" s="22"/>
      <c r="W824" s="22"/>
      <c r="X824" s="49">
        <v>48519</v>
      </c>
    </row>
    <row r="825" spans="1:24" ht="12" customHeight="1" x14ac:dyDescent="0.2">
      <c r="A825" s="49">
        <v>48549</v>
      </c>
      <c r="B825" s="430"/>
      <c r="C825" s="533" t="str">
        <f t="shared" si="2"/>
        <v/>
      </c>
      <c r="D825" s="50"/>
      <c r="E825" s="50"/>
      <c r="F825" s="50"/>
      <c r="G825" s="50"/>
      <c r="H825" s="50"/>
      <c r="I825" s="50"/>
      <c r="J825" s="22"/>
      <c r="K825" s="22"/>
      <c r="L825" s="22"/>
      <c r="M825" s="22"/>
      <c r="N825" s="22"/>
      <c r="O825" s="22"/>
      <c r="P825" s="22"/>
      <c r="Q825" s="22"/>
      <c r="R825" s="22"/>
      <c r="S825" s="22"/>
      <c r="T825" s="22"/>
      <c r="U825" s="24" t="s">
        <v>219</v>
      </c>
      <c r="V825" s="22"/>
      <c r="W825" s="22"/>
      <c r="X825" s="49">
        <v>48549</v>
      </c>
    </row>
    <row r="826" spans="1:24" ht="12" customHeight="1" x14ac:dyDescent="0.2">
      <c r="A826" s="49">
        <v>48580</v>
      </c>
      <c r="B826" s="430"/>
      <c r="C826" s="533" t="str">
        <f t="shared" si="2"/>
        <v/>
      </c>
      <c r="D826" s="50"/>
      <c r="E826" s="50"/>
      <c r="F826" s="50"/>
      <c r="G826" s="50"/>
      <c r="H826" s="50"/>
      <c r="I826" s="50"/>
      <c r="J826" s="22"/>
      <c r="K826" s="22"/>
      <c r="L826" s="22"/>
      <c r="M826" s="22"/>
      <c r="N826" s="22"/>
      <c r="O826" s="22"/>
      <c r="P826" s="22"/>
      <c r="Q826" s="22"/>
      <c r="R826" s="22"/>
      <c r="S826" s="22"/>
      <c r="T826" s="22"/>
      <c r="U826" s="24" t="s">
        <v>219</v>
      </c>
      <c r="V826" s="22"/>
      <c r="W826" s="22"/>
      <c r="X826" s="49">
        <v>48580</v>
      </c>
    </row>
    <row r="827" spans="1:24" ht="12" customHeight="1" x14ac:dyDescent="0.2">
      <c r="A827" s="49">
        <v>48611</v>
      </c>
      <c r="B827" s="430"/>
      <c r="C827" s="533" t="str">
        <f t="shared" si="2"/>
        <v/>
      </c>
      <c r="D827" s="50"/>
      <c r="E827" s="50"/>
      <c r="F827" s="50"/>
      <c r="G827" s="50"/>
      <c r="H827" s="50"/>
      <c r="I827" s="50"/>
      <c r="J827" s="22"/>
      <c r="K827" s="22"/>
      <c r="L827" s="22"/>
      <c r="M827" s="22"/>
      <c r="N827" s="22"/>
      <c r="O827" s="22"/>
      <c r="P827" s="22"/>
      <c r="Q827" s="22"/>
      <c r="R827" s="22"/>
      <c r="S827" s="22"/>
      <c r="T827" s="22"/>
      <c r="U827" s="24" t="s">
        <v>219</v>
      </c>
      <c r="V827" s="22"/>
      <c r="W827" s="22"/>
      <c r="X827" s="49">
        <v>48611</v>
      </c>
    </row>
    <row r="828" spans="1:24" ht="12" customHeight="1" x14ac:dyDescent="0.2">
      <c r="A828" s="49">
        <v>48639</v>
      </c>
      <c r="B828" s="430"/>
      <c r="C828" s="533" t="str">
        <f t="shared" si="2"/>
        <v/>
      </c>
      <c r="D828" s="50"/>
      <c r="E828" s="50"/>
      <c r="F828" s="50"/>
      <c r="G828" s="50"/>
      <c r="H828" s="50"/>
      <c r="I828" s="50"/>
      <c r="J828" s="22"/>
      <c r="K828" s="22"/>
      <c r="L828" s="22"/>
      <c r="M828" s="22"/>
      <c r="N828" s="22"/>
      <c r="O828" s="22"/>
      <c r="P828" s="22"/>
      <c r="Q828" s="22"/>
      <c r="R828" s="22"/>
      <c r="S828" s="22"/>
      <c r="T828" s="22"/>
      <c r="U828" s="24" t="s">
        <v>219</v>
      </c>
      <c r="V828" s="22"/>
      <c r="W828" s="22"/>
      <c r="X828" s="49">
        <v>48639</v>
      </c>
    </row>
    <row r="829" spans="1:24" ht="12" customHeight="1" x14ac:dyDescent="0.2">
      <c r="A829" s="49">
        <v>48670</v>
      </c>
      <c r="B829" s="430"/>
      <c r="C829" s="533" t="str">
        <f t="shared" si="2"/>
        <v/>
      </c>
      <c r="D829" s="50"/>
      <c r="E829" s="50"/>
      <c r="F829" s="50"/>
      <c r="G829" s="50"/>
      <c r="H829" s="50"/>
      <c r="I829" s="50"/>
      <c r="J829" s="22"/>
      <c r="K829" s="22"/>
      <c r="L829" s="22"/>
      <c r="M829" s="22"/>
      <c r="N829" s="22"/>
      <c r="O829" s="22"/>
      <c r="P829" s="22"/>
      <c r="Q829" s="22"/>
      <c r="R829" s="22"/>
      <c r="S829" s="22"/>
      <c r="T829" s="22"/>
      <c r="U829" s="24" t="s">
        <v>219</v>
      </c>
      <c r="V829" s="22"/>
      <c r="W829" s="22"/>
      <c r="X829" s="49">
        <v>48670</v>
      </c>
    </row>
    <row r="830" spans="1:24" ht="12" customHeight="1" x14ac:dyDescent="0.2">
      <c r="A830" s="49">
        <v>48700</v>
      </c>
      <c r="B830" s="430"/>
      <c r="C830" s="533" t="str">
        <f t="shared" si="2"/>
        <v/>
      </c>
      <c r="D830" s="50"/>
      <c r="E830" s="50"/>
      <c r="F830" s="50"/>
      <c r="G830" s="50"/>
      <c r="H830" s="50"/>
      <c r="I830" s="50"/>
      <c r="J830" s="22"/>
      <c r="K830" s="22"/>
      <c r="L830" s="22"/>
      <c r="M830" s="22"/>
      <c r="N830" s="22"/>
      <c r="O830" s="22"/>
      <c r="P830" s="22"/>
      <c r="Q830" s="22"/>
      <c r="R830" s="22"/>
      <c r="S830" s="22"/>
      <c r="T830" s="22"/>
      <c r="U830" s="24" t="s">
        <v>219</v>
      </c>
      <c r="V830" s="22"/>
      <c r="W830" s="22"/>
      <c r="X830" s="49">
        <v>48700</v>
      </c>
    </row>
    <row r="831" spans="1:24" ht="12" customHeight="1" x14ac:dyDescent="0.2">
      <c r="A831" s="49">
        <v>48731</v>
      </c>
      <c r="B831" s="430"/>
      <c r="C831" s="533" t="str">
        <f t="shared" si="2"/>
        <v/>
      </c>
      <c r="D831" s="50"/>
      <c r="E831" s="50"/>
      <c r="F831" s="50"/>
      <c r="G831" s="50"/>
      <c r="H831" s="50"/>
      <c r="I831" s="50"/>
      <c r="J831" s="22"/>
      <c r="K831" s="22"/>
      <c r="L831" s="22"/>
      <c r="M831" s="22"/>
      <c r="N831" s="22"/>
      <c r="O831" s="22"/>
      <c r="P831" s="22"/>
      <c r="Q831" s="22"/>
      <c r="R831" s="22"/>
      <c r="S831" s="22"/>
      <c r="T831" s="22"/>
      <c r="U831" s="24" t="s">
        <v>219</v>
      </c>
      <c r="V831" s="22"/>
      <c r="W831" s="22"/>
      <c r="X831" s="49">
        <v>48731</v>
      </c>
    </row>
    <row r="832" spans="1:24" ht="12" customHeight="1" x14ac:dyDescent="0.2">
      <c r="A832" s="49">
        <v>48761</v>
      </c>
      <c r="B832" s="430"/>
      <c r="C832" s="533" t="str">
        <f t="shared" si="2"/>
        <v/>
      </c>
      <c r="D832" s="50"/>
      <c r="E832" s="50"/>
      <c r="F832" s="50"/>
      <c r="G832" s="50"/>
      <c r="H832" s="50"/>
      <c r="I832" s="50"/>
      <c r="J832" s="22"/>
      <c r="K832" s="22"/>
      <c r="L832" s="22"/>
      <c r="M832" s="22"/>
      <c r="N832" s="22"/>
      <c r="O832" s="22"/>
      <c r="P832" s="22"/>
      <c r="Q832" s="22"/>
      <c r="R832" s="22"/>
      <c r="S832" s="22"/>
      <c r="T832" s="22"/>
      <c r="U832" s="24" t="s">
        <v>219</v>
      </c>
      <c r="V832" s="22"/>
      <c r="W832" s="22"/>
      <c r="X832" s="49">
        <v>48761</v>
      </c>
    </row>
    <row r="833" spans="1:24" ht="12" customHeight="1" x14ac:dyDescent="0.2">
      <c r="A833" s="49">
        <v>48792</v>
      </c>
      <c r="B833" s="430"/>
      <c r="C833" s="533" t="str">
        <f t="shared" si="2"/>
        <v/>
      </c>
      <c r="D833" s="50"/>
      <c r="E833" s="50"/>
      <c r="F833" s="50"/>
      <c r="G833" s="50"/>
      <c r="H833" s="50"/>
      <c r="I833" s="50"/>
      <c r="J833" s="22"/>
      <c r="K833" s="22"/>
      <c r="L833" s="22"/>
      <c r="M833" s="22"/>
      <c r="N833" s="22"/>
      <c r="O833" s="22"/>
      <c r="P833" s="22"/>
      <c r="Q833" s="22"/>
      <c r="R833" s="22"/>
      <c r="S833" s="22"/>
      <c r="T833" s="22"/>
      <c r="U833" s="24" t="s">
        <v>219</v>
      </c>
      <c r="V833" s="22"/>
      <c r="W833" s="22"/>
      <c r="X833" s="49">
        <v>48792</v>
      </c>
    </row>
    <row r="834" spans="1:24" ht="12" customHeight="1" x14ac:dyDescent="0.2">
      <c r="A834" s="49">
        <v>48823</v>
      </c>
      <c r="B834" s="430"/>
      <c r="C834" s="533" t="str">
        <f t="shared" si="2"/>
        <v/>
      </c>
      <c r="D834" s="50"/>
      <c r="E834" s="50"/>
      <c r="F834" s="50"/>
      <c r="G834" s="50"/>
      <c r="H834" s="50"/>
      <c r="I834" s="50"/>
      <c r="J834" s="22"/>
      <c r="K834" s="22"/>
      <c r="L834" s="22"/>
      <c r="M834" s="22"/>
      <c r="N834" s="22"/>
      <c r="O834" s="22"/>
      <c r="P834" s="22"/>
      <c r="Q834" s="22"/>
      <c r="R834" s="22"/>
      <c r="S834" s="22"/>
      <c r="T834" s="22"/>
      <c r="U834" s="24" t="s">
        <v>219</v>
      </c>
      <c r="V834" s="22"/>
      <c r="W834" s="22"/>
      <c r="X834" s="49">
        <v>48823</v>
      </c>
    </row>
    <row r="835" spans="1:24" ht="12" customHeight="1" x14ac:dyDescent="0.2">
      <c r="A835" s="49">
        <v>48853</v>
      </c>
      <c r="B835" s="430"/>
      <c r="C835" s="533" t="str">
        <f t="shared" si="2"/>
        <v/>
      </c>
      <c r="D835" s="50"/>
      <c r="E835" s="50"/>
      <c r="F835" s="50"/>
      <c r="G835" s="50"/>
      <c r="H835" s="50"/>
      <c r="I835" s="50"/>
      <c r="J835" s="22"/>
      <c r="K835" s="22"/>
      <c r="L835" s="22"/>
      <c r="M835" s="22"/>
      <c r="N835" s="22"/>
      <c r="O835" s="22"/>
      <c r="P835" s="22"/>
      <c r="Q835" s="22"/>
      <c r="R835" s="22"/>
      <c r="S835" s="22"/>
      <c r="T835" s="22"/>
      <c r="U835" s="24" t="s">
        <v>219</v>
      </c>
      <c r="V835" s="22"/>
      <c r="W835" s="22"/>
      <c r="X835" s="49">
        <v>48853</v>
      </c>
    </row>
    <row r="836" spans="1:24" ht="12" customHeight="1" x14ac:dyDescent="0.2">
      <c r="A836" s="49">
        <v>48884</v>
      </c>
      <c r="B836" s="430"/>
      <c r="C836" s="533" t="str">
        <f t="shared" si="2"/>
        <v/>
      </c>
      <c r="D836" s="50"/>
      <c r="E836" s="50"/>
      <c r="F836" s="50"/>
      <c r="G836" s="50"/>
      <c r="H836" s="50"/>
      <c r="I836" s="50"/>
      <c r="J836" s="22"/>
      <c r="K836" s="22"/>
      <c r="L836" s="22"/>
      <c r="M836" s="22"/>
      <c r="N836" s="22"/>
      <c r="O836" s="22"/>
      <c r="P836" s="22"/>
      <c r="Q836" s="22"/>
      <c r="R836" s="22"/>
      <c r="S836" s="22"/>
      <c r="T836" s="22"/>
      <c r="U836" s="24" t="s">
        <v>219</v>
      </c>
      <c r="V836" s="22"/>
      <c r="W836" s="22"/>
      <c r="X836" s="49">
        <v>48884</v>
      </c>
    </row>
    <row r="837" spans="1:24" ht="12" customHeight="1" x14ac:dyDescent="0.2">
      <c r="A837" s="49">
        <v>48914</v>
      </c>
      <c r="B837" s="430"/>
      <c r="C837" s="533" t="str">
        <f t="shared" si="2"/>
        <v/>
      </c>
      <c r="D837" s="50"/>
      <c r="E837" s="50"/>
      <c r="F837" s="50"/>
      <c r="G837" s="50"/>
      <c r="H837" s="50"/>
      <c r="I837" s="50"/>
      <c r="J837" s="22"/>
      <c r="K837" s="22"/>
      <c r="L837" s="22"/>
      <c r="M837" s="22"/>
      <c r="N837" s="22"/>
      <c r="O837" s="22"/>
      <c r="P837" s="22"/>
      <c r="Q837" s="22"/>
      <c r="R837" s="22"/>
      <c r="S837" s="22"/>
      <c r="T837" s="22"/>
      <c r="U837" s="24" t="s">
        <v>219</v>
      </c>
      <c r="V837" s="22"/>
      <c r="W837" s="22"/>
      <c r="X837" s="49">
        <v>48914</v>
      </c>
    </row>
    <row r="838" spans="1:24" ht="12" customHeight="1" x14ac:dyDescent="0.2">
      <c r="A838" s="49">
        <v>48945</v>
      </c>
      <c r="B838" s="430"/>
      <c r="C838" s="533" t="str">
        <f t="shared" si="2"/>
        <v/>
      </c>
      <c r="D838" s="50"/>
      <c r="E838" s="50"/>
      <c r="F838" s="50"/>
      <c r="G838" s="50"/>
      <c r="H838" s="50"/>
      <c r="I838" s="50"/>
      <c r="J838" s="22"/>
      <c r="K838" s="22"/>
      <c r="L838" s="22"/>
      <c r="M838" s="22"/>
      <c r="N838" s="22"/>
      <c r="O838" s="22"/>
      <c r="P838" s="22"/>
      <c r="Q838" s="22"/>
      <c r="R838" s="22"/>
      <c r="S838" s="22"/>
      <c r="T838" s="22"/>
      <c r="U838" s="24" t="s">
        <v>219</v>
      </c>
      <c r="V838" s="22"/>
      <c r="W838" s="22"/>
      <c r="X838" s="49">
        <v>48945</v>
      </c>
    </row>
    <row r="839" spans="1:24" ht="12" customHeight="1" x14ac:dyDescent="0.2">
      <c r="A839" s="49">
        <v>48976</v>
      </c>
      <c r="B839" s="430"/>
      <c r="C839" s="533" t="str">
        <f t="shared" si="2"/>
        <v/>
      </c>
      <c r="D839" s="50"/>
      <c r="E839" s="50"/>
      <c r="F839" s="50"/>
      <c r="G839" s="50"/>
      <c r="H839" s="50"/>
      <c r="I839" s="50"/>
      <c r="J839" s="22"/>
      <c r="K839" s="22"/>
      <c r="L839" s="22"/>
      <c r="M839" s="22"/>
      <c r="N839" s="22"/>
      <c r="O839" s="22"/>
      <c r="P839" s="22"/>
      <c r="Q839" s="22"/>
      <c r="R839" s="22"/>
      <c r="S839" s="22"/>
      <c r="T839" s="22"/>
      <c r="U839" s="24" t="s">
        <v>219</v>
      </c>
      <c r="V839" s="22"/>
      <c r="W839" s="22"/>
      <c r="X839" s="49">
        <v>48976</v>
      </c>
    </row>
    <row r="840" spans="1:24" ht="12" customHeight="1" x14ac:dyDescent="0.2">
      <c r="A840" s="49">
        <v>49004</v>
      </c>
      <c r="B840" s="430"/>
      <c r="C840" s="533" t="str">
        <f t="shared" si="2"/>
        <v/>
      </c>
      <c r="D840" s="50"/>
      <c r="E840" s="50"/>
      <c r="F840" s="50"/>
      <c r="G840" s="50"/>
      <c r="H840" s="50"/>
      <c r="I840" s="50"/>
      <c r="J840" s="22"/>
      <c r="K840" s="22"/>
      <c r="L840" s="22"/>
      <c r="M840" s="22"/>
      <c r="N840" s="22"/>
      <c r="O840" s="22"/>
      <c r="P840" s="22"/>
      <c r="Q840" s="22"/>
      <c r="R840" s="22"/>
      <c r="S840" s="22"/>
      <c r="T840" s="22"/>
      <c r="U840" s="24" t="s">
        <v>219</v>
      </c>
      <c r="V840" s="22"/>
      <c r="W840" s="22"/>
      <c r="X840" s="49">
        <v>49004</v>
      </c>
    </row>
    <row r="841" spans="1:24" ht="12" customHeight="1" x14ac:dyDescent="0.2">
      <c r="A841" s="49">
        <v>49035</v>
      </c>
      <c r="B841" s="430"/>
      <c r="C841" s="533" t="str">
        <f t="shared" si="2"/>
        <v/>
      </c>
      <c r="D841" s="50"/>
      <c r="E841" s="50"/>
      <c r="F841" s="50"/>
      <c r="G841" s="50"/>
      <c r="H841" s="50"/>
      <c r="I841" s="50"/>
      <c r="J841" s="22"/>
      <c r="K841" s="22"/>
      <c r="L841" s="22"/>
      <c r="M841" s="22"/>
      <c r="N841" s="22"/>
      <c r="O841" s="22"/>
      <c r="P841" s="22"/>
      <c r="Q841" s="22"/>
      <c r="R841" s="22"/>
      <c r="S841" s="22"/>
      <c r="T841" s="22"/>
      <c r="U841" s="24" t="s">
        <v>219</v>
      </c>
      <c r="V841" s="22"/>
      <c r="W841" s="22"/>
      <c r="X841" s="49">
        <v>49035</v>
      </c>
    </row>
    <row r="842" spans="1:24" ht="12" customHeight="1" x14ac:dyDescent="0.2">
      <c r="A842" s="49">
        <v>49065</v>
      </c>
      <c r="B842" s="430"/>
      <c r="C842" s="533" t="str">
        <f t="shared" si="2"/>
        <v/>
      </c>
      <c r="D842" s="50"/>
      <c r="E842" s="50"/>
      <c r="F842" s="50"/>
      <c r="G842" s="50"/>
      <c r="H842" s="50"/>
      <c r="I842" s="50"/>
      <c r="J842" s="22"/>
      <c r="K842" s="22"/>
      <c r="L842" s="22"/>
      <c r="M842" s="22"/>
      <c r="N842" s="22"/>
      <c r="O842" s="22"/>
      <c r="P842" s="22"/>
      <c r="Q842" s="22"/>
      <c r="R842" s="22"/>
      <c r="S842" s="22"/>
      <c r="T842" s="22"/>
      <c r="U842" s="24" t="s">
        <v>219</v>
      </c>
      <c r="V842" s="22"/>
      <c r="W842" s="22"/>
      <c r="X842" s="49">
        <v>49065</v>
      </c>
    </row>
    <row r="843" spans="1:24" ht="12" customHeight="1" x14ac:dyDescent="0.2">
      <c r="A843" s="49">
        <v>49096</v>
      </c>
      <c r="B843" s="430"/>
      <c r="C843" s="533" t="str">
        <f t="shared" si="2"/>
        <v/>
      </c>
      <c r="D843" s="50"/>
      <c r="E843" s="50"/>
      <c r="F843" s="50"/>
      <c r="G843" s="50"/>
      <c r="H843" s="50"/>
      <c r="I843" s="50"/>
      <c r="J843" s="22"/>
      <c r="K843" s="22"/>
      <c r="L843" s="22"/>
      <c r="M843" s="22"/>
      <c r="N843" s="22"/>
      <c r="O843" s="22"/>
      <c r="P843" s="22"/>
      <c r="Q843" s="22"/>
      <c r="R843" s="22"/>
      <c r="S843" s="22"/>
      <c r="T843" s="22"/>
      <c r="U843" s="24" t="s">
        <v>219</v>
      </c>
      <c r="V843" s="22"/>
      <c r="W843" s="22"/>
      <c r="X843" s="49">
        <v>49096</v>
      </c>
    </row>
    <row r="844" spans="1:24" ht="12" customHeight="1" x14ac:dyDescent="0.2">
      <c r="A844" s="49">
        <v>49126</v>
      </c>
      <c r="B844" s="430"/>
      <c r="C844" s="533" t="str">
        <f t="shared" si="2"/>
        <v/>
      </c>
      <c r="D844" s="50"/>
      <c r="E844" s="50"/>
      <c r="F844" s="50"/>
      <c r="G844" s="50"/>
      <c r="H844" s="50"/>
      <c r="I844" s="50"/>
      <c r="J844" s="22"/>
      <c r="K844" s="22"/>
      <c r="L844" s="22"/>
      <c r="M844" s="22"/>
      <c r="N844" s="22"/>
      <c r="O844" s="22"/>
      <c r="P844" s="22"/>
      <c r="Q844" s="22"/>
      <c r="R844" s="22"/>
      <c r="S844" s="22"/>
      <c r="T844" s="22"/>
      <c r="U844" s="24" t="s">
        <v>219</v>
      </c>
      <c r="V844" s="22"/>
      <c r="W844" s="22"/>
      <c r="X844" s="49">
        <v>49126</v>
      </c>
    </row>
    <row r="845" spans="1:24" ht="12" customHeight="1" x14ac:dyDescent="0.2">
      <c r="A845" s="49">
        <v>49157</v>
      </c>
      <c r="B845" s="430"/>
      <c r="C845" s="533" t="str">
        <f t="shared" si="2"/>
        <v/>
      </c>
      <c r="D845" s="50"/>
      <c r="E845" s="50"/>
      <c r="F845" s="50"/>
      <c r="G845" s="50"/>
      <c r="H845" s="50"/>
      <c r="I845" s="50"/>
      <c r="J845" s="22"/>
      <c r="K845" s="22"/>
      <c r="L845" s="22"/>
      <c r="M845" s="22"/>
      <c r="N845" s="22"/>
      <c r="O845" s="22"/>
      <c r="P845" s="22"/>
      <c r="Q845" s="22"/>
      <c r="R845" s="22"/>
      <c r="S845" s="22"/>
      <c r="T845" s="22"/>
      <c r="U845" s="24" t="s">
        <v>219</v>
      </c>
      <c r="V845" s="22"/>
      <c r="W845" s="22"/>
      <c r="X845" s="49">
        <v>49157</v>
      </c>
    </row>
    <row r="846" spans="1:24" ht="12" customHeight="1" x14ac:dyDescent="0.2">
      <c r="A846" s="49">
        <v>49188</v>
      </c>
      <c r="B846" s="430"/>
      <c r="C846" s="533" t="str">
        <f t="shared" si="2"/>
        <v/>
      </c>
      <c r="D846" s="50"/>
      <c r="E846" s="50"/>
      <c r="F846" s="50"/>
      <c r="G846" s="50"/>
      <c r="H846" s="50"/>
      <c r="I846" s="50"/>
      <c r="J846" s="22"/>
      <c r="K846" s="22"/>
      <c r="L846" s="22"/>
      <c r="M846" s="22"/>
      <c r="N846" s="22"/>
      <c r="O846" s="22"/>
      <c r="P846" s="22"/>
      <c r="Q846" s="22"/>
      <c r="R846" s="22"/>
      <c r="S846" s="22"/>
      <c r="T846" s="22"/>
      <c r="U846" s="24" t="s">
        <v>219</v>
      </c>
      <c r="V846" s="22"/>
      <c r="W846" s="22"/>
      <c r="X846" s="49">
        <v>49188</v>
      </c>
    </row>
    <row r="847" spans="1:24" ht="12" customHeight="1" x14ac:dyDescent="0.2">
      <c r="A847" s="49">
        <v>49218</v>
      </c>
      <c r="B847" s="430"/>
      <c r="C847" s="533" t="str">
        <f t="shared" si="2"/>
        <v/>
      </c>
      <c r="D847" s="50"/>
      <c r="E847" s="50"/>
      <c r="F847" s="50"/>
      <c r="G847" s="50"/>
      <c r="H847" s="50"/>
      <c r="I847" s="50"/>
      <c r="J847" s="22"/>
      <c r="K847" s="22"/>
      <c r="L847" s="22"/>
      <c r="M847" s="22"/>
      <c r="N847" s="22"/>
      <c r="O847" s="22"/>
      <c r="P847" s="22"/>
      <c r="Q847" s="22"/>
      <c r="R847" s="22"/>
      <c r="S847" s="22"/>
      <c r="T847" s="22"/>
      <c r="U847" s="24" t="s">
        <v>219</v>
      </c>
      <c r="V847" s="22"/>
      <c r="W847" s="22"/>
      <c r="X847" s="49">
        <v>49218</v>
      </c>
    </row>
    <row r="848" spans="1:24" ht="12" customHeight="1" x14ac:dyDescent="0.2">
      <c r="A848" s="49">
        <v>49249</v>
      </c>
      <c r="B848" s="430"/>
      <c r="C848" s="533" t="str">
        <f t="shared" si="2"/>
        <v/>
      </c>
      <c r="D848" s="50"/>
      <c r="E848" s="50"/>
      <c r="F848" s="50"/>
      <c r="G848" s="50"/>
      <c r="H848" s="50"/>
      <c r="I848" s="50"/>
      <c r="J848" s="22"/>
      <c r="K848" s="22"/>
      <c r="L848" s="22"/>
      <c r="M848" s="22"/>
      <c r="N848" s="22"/>
      <c r="O848" s="22"/>
      <c r="P848" s="22"/>
      <c r="Q848" s="22"/>
      <c r="R848" s="22"/>
      <c r="S848" s="22"/>
      <c r="T848" s="22"/>
      <c r="U848" s="24" t="s">
        <v>219</v>
      </c>
      <c r="V848" s="22"/>
      <c r="W848" s="22"/>
      <c r="X848" s="49">
        <v>49249</v>
      </c>
    </row>
    <row r="849" spans="1:24" ht="12" customHeight="1" x14ac:dyDescent="0.2">
      <c r="A849" s="49">
        <v>49279</v>
      </c>
      <c r="B849" s="430"/>
      <c r="C849" s="533" t="str">
        <f t="shared" si="2"/>
        <v/>
      </c>
      <c r="D849" s="50"/>
      <c r="E849" s="50"/>
      <c r="F849" s="50"/>
      <c r="G849" s="50"/>
      <c r="H849" s="50"/>
      <c r="I849" s="50"/>
      <c r="J849" s="22"/>
      <c r="K849" s="22"/>
      <c r="L849" s="22"/>
      <c r="M849" s="22"/>
      <c r="N849" s="22"/>
      <c r="O849" s="22"/>
      <c r="P849" s="22"/>
      <c r="Q849" s="22"/>
      <c r="R849" s="22"/>
      <c r="S849" s="22"/>
      <c r="T849" s="22"/>
      <c r="U849" s="24" t="s">
        <v>219</v>
      </c>
      <c r="V849" s="22"/>
      <c r="W849" s="22"/>
      <c r="X849" s="49">
        <v>49279</v>
      </c>
    </row>
    <row r="850" spans="1:24" ht="12" customHeight="1" x14ac:dyDescent="0.2">
      <c r="A850" s="49">
        <v>49310</v>
      </c>
      <c r="B850" s="430"/>
      <c r="C850" s="533" t="str">
        <f t="shared" si="2"/>
        <v/>
      </c>
      <c r="D850" s="50"/>
      <c r="E850" s="50"/>
      <c r="F850" s="50"/>
      <c r="G850" s="50"/>
      <c r="H850" s="50"/>
      <c r="I850" s="50"/>
      <c r="J850" s="22"/>
      <c r="K850" s="22"/>
      <c r="L850" s="22"/>
      <c r="M850" s="22"/>
      <c r="N850" s="22"/>
      <c r="O850" s="22"/>
      <c r="P850" s="22"/>
      <c r="Q850" s="22"/>
      <c r="R850" s="22"/>
      <c r="S850" s="22"/>
      <c r="T850" s="22"/>
      <c r="U850" s="24" t="s">
        <v>219</v>
      </c>
      <c r="V850" s="22"/>
      <c r="W850" s="22"/>
      <c r="X850" s="49">
        <v>49310</v>
      </c>
    </row>
    <row r="851" spans="1:24" ht="12" customHeight="1" x14ac:dyDescent="0.2">
      <c r="A851" s="49">
        <v>49341</v>
      </c>
      <c r="B851" s="430"/>
      <c r="C851" s="533" t="str">
        <f t="shared" si="2"/>
        <v/>
      </c>
      <c r="D851" s="50"/>
      <c r="E851" s="50"/>
      <c r="F851" s="50"/>
      <c r="G851" s="50"/>
      <c r="H851" s="50"/>
      <c r="I851" s="50"/>
      <c r="J851" s="22"/>
      <c r="K851" s="22"/>
      <c r="L851" s="22"/>
      <c r="M851" s="22"/>
      <c r="N851" s="22"/>
      <c r="O851" s="22"/>
      <c r="P851" s="22"/>
      <c r="Q851" s="22"/>
      <c r="R851" s="22"/>
      <c r="S851" s="22"/>
      <c r="T851" s="22"/>
      <c r="U851" s="24" t="s">
        <v>219</v>
      </c>
      <c r="V851" s="22"/>
      <c r="W851" s="22"/>
      <c r="X851" s="49">
        <v>49341</v>
      </c>
    </row>
    <row r="852" spans="1:24" ht="12" customHeight="1" x14ac:dyDescent="0.2">
      <c r="A852" s="49">
        <v>49369</v>
      </c>
      <c r="B852" s="430"/>
      <c r="C852" s="533" t="str">
        <f t="shared" si="2"/>
        <v/>
      </c>
      <c r="D852" s="50"/>
      <c r="E852" s="50"/>
      <c r="F852" s="50"/>
      <c r="G852" s="50"/>
      <c r="H852" s="50"/>
      <c r="I852" s="50"/>
      <c r="J852" s="22"/>
      <c r="K852" s="22"/>
      <c r="L852" s="22"/>
      <c r="M852" s="22"/>
      <c r="N852" s="22"/>
      <c r="O852" s="22"/>
      <c r="P852" s="22"/>
      <c r="Q852" s="22"/>
      <c r="R852" s="22"/>
      <c r="S852" s="22"/>
      <c r="T852" s="22"/>
      <c r="U852" s="24" t="s">
        <v>219</v>
      </c>
      <c r="V852" s="22"/>
      <c r="W852" s="22"/>
      <c r="X852" s="49">
        <v>49369</v>
      </c>
    </row>
    <row r="853" spans="1:24" ht="12" customHeight="1" x14ac:dyDescent="0.2">
      <c r="A853" s="49">
        <v>49400</v>
      </c>
      <c r="B853" s="430"/>
      <c r="C853" s="533" t="str">
        <f t="shared" si="2"/>
        <v/>
      </c>
      <c r="D853" s="50"/>
      <c r="E853" s="50"/>
      <c r="F853" s="50"/>
      <c r="G853" s="50"/>
      <c r="H853" s="50"/>
      <c r="I853" s="50"/>
      <c r="J853" s="22"/>
      <c r="K853" s="22"/>
      <c r="L853" s="22"/>
      <c r="M853" s="22"/>
      <c r="N853" s="22"/>
      <c r="O853" s="22"/>
      <c r="P853" s="22"/>
      <c r="Q853" s="22"/>
      <c r="R853" s="22"/>
      <c r="S853" s="22"/>
      <c r="T853" s="22"/>
      <c r="U853" s="24" t="s">
        <v>219</v>
      </c>
      <c r="V853" s="22"/>
      <c r="W853" s="22"/>
      <c r="X853" s="49">
        <v>49400</v>
      </c>
    </row>
    <row r="854" spans="1:24" ht="12" customHeight="1" x14ac:dyDescent="0.2">
      <c r="A854" s="49">
        <v>49430</v>
      </c>
      <c r="B854" s="430"/>
      <c r="C854" s="533" t="str">
        <f t="shared" si="2"/>
        <v/>
      </c>
      <c r="D854" s="50"/>
      <c r="E854" s="50"/>
      <c r="F854" s="50"/>
      <c r="G854" s="50"/>
      <c r="H854" s="50"/>
      <c r="I854" s="50"/>
      <c r="J854" s="22"/>
      <c r="K854" s="22"/>
      <c r="L854" s="22"/>
      <c r="M854" s="22"/>
      <c r="N854" s="22"/>
      <c r="O854" s="22"/>
      <c r="P854" s="22"/>
      <c r="Q854" s="22"/>
      <c r="R854" s="22"/>
      <c r="S854" s="22"/>
      <c r="T854" s="22"/>
      <c r="U854" s="24" t="s">
        <v>219</v>
      </c>
      <c r="V854" s="22"/>
      <c r="W854" s="22"/>
      <c r="X854" s="49">
        <v>49430</v>
      </c>
    </row>
    <row r="855" spans="1:24" ht="12" customHeight="1" x14ac:dyDescent="0.2">
      <c r="A855" s="49">
        <v>49461</v>
      </c>
      <c r="B855" s="430"/>
      <c r="C855" s="533" t="str">
        <f t="shared" si="2"/>
        <v/>
      </c>
      <c r="D855" s="50"/>
      <c r="E855" s="50"/>
      <c r="F855" s="50"/>
      <c r="G855" s="50"/>
      <c r="H855" s="50"/>
      <c r="I855" s="50"/>
      <c r="J855" s="22"/>
      <c r="K855" s="22"/>
      <c r="L855" s="22"/>
      <c r="M855" s="22"/>
      <c r="N855" s="22"/>
      <c r="O855" s="22"/>
      <c r="P855" s="22"/>
      <c r="Q855" s="22"/>
      <c r="R855" s="22"/>
      <c r="S855" s="22"/>
      <c r="T855" s="22"/>
      <c r="U855" s="24" t="s">
        <v>219</v>
      </c>
      <c r="V855" s="22"/>
      <c r="W855" s="22"/>
      <c r="X855" s="49">
        <v>49461</v>
      </c>
    </row>
    <row r="856" spans="1:24" ht="12" customHeight="1" x14ac:dyDescent="0.2">
      <c r="A856" s="49">
        <v>49491</v>
      </c>
      <c r="B856" s="430"/>
      <c r="C856" s="533" t="str">
        <f t="shared" si="2"/>
        <v/>
      </c>
      <c r="D856" s="50"/>
      <c r="E856" s="50"/>
      <c r="F856" s="50"/>
      <c r="G856" s="50"/>
      <c r="H856" s="50"/>
      <c r="I856" s="50"/>
      <c r="J856" s="22"/>
      <c r="K856" s="22"/>
      <c r="L856" s="22"/>
      <c r="M856" s="22"/>
      <c r="N856" s="22"/>
      <c r="O856" s="22"/>
      <c r="P856" s="22"/>
      <c r="Q856" s="22"/>
      <c r="R856" s="22"/>
      <c r="S856" s="22"/>
      <c r="T856" s="22"/>
      <c r="U856" s="24" t="s">
        <v>219</v>
      </c>
      <c r="V856" s="22"/>
      <c r="W856" s="22"/>
      <c r="X856" s="49">
        <v>49491</v>
      </c>
    </row>
    <row r="857" spans="1:24" ht="12" customHeight="1" x14ac:dyDescent="0.2">
      <c r="A857" s="49">
        <v>49522</v>
      </c>
      <c r="B857" s="430"/>
      <c r="C857" s="533" t="str">
        <f t="shared" si="2"/>
        <v/>
      </c>
      <c r="D857" s="50"/>
      <c r="E857" s="50"/>
      <c r="F857" s="50"/>
      <c r="G857" s="50"/>
      <c r="H857" s="50"/>
      <c r="I857" s="50"/>
      <c r="J857" s="22"/>
      <c r="K857" s="22"/>
      <c r="L857" s="22"/>
      <c r="M857" s="22"/>
      <c r="N857" s="22"/>
      <c r="O857" s="22"/>
      <c r="P857" s="22"/>
      <c r="Q857" s="22"/>
      <c r="R857" s="22"/>
      <c r="S857" s="22"/>
      <c r="T857" s="22"/>
      <c r="U857" s="24" t="s">
        <v>219</v>
      </c>
      <c r="V857" s="22"/>
      <c r="W857" s="22"/>
      <c r="X857" s="49">
        <v>49522</v>
      </c>
    </row>
    <row r="858" spans="1:24" ht="12" customHeight="1" x14ac:dyDescent="0.2">
      <c r="A858" s="49">
        <v>49553</v>
      </c>
      <c r="B858" s="430"/>
      <c r="C858" s="533" t="str">
        <f t="shared" si="2"/>
        <v/>
      </c>
      <c r="D858" s="50"/>
      <c r="E858" s="50"/>
      <c r="F858" s="50"/>
      <c r="G858" s="50"/>
      <c r="H858" s="50"/>
      <c r="I858" s="50"/>
      <c r="J858" s="22"/>
      <c r="K858" s="22"/>
      <c r="L858" s="22"/>
      <c r="M858" s="22"/>
      <c r="N858" s="22"/>
      <c r="O858" s="22"/>
      <c r="P858" s="22"/>
      <c r="Q858" s="22"/>
      <c r="R858" s="22"/>
      <c r="S858" s="22"/>
      <c r="T858" s="22"/>
      <c r="U858" s="24" t="s">
        <v>219</v>
      </c>
      <c r="V858" s="22"/>
      <c r="W858" s="22"/>
      <c r="X858" s="49">
        <v>49553</v>
      </c>
    </row>
    <row r="859" spans="1:24" ht="12" customHeight="1" x14ac:dyDescent="0.2">
      <c r="A859" s="49">
        <v>49583</v>
      </c>
      <c r="B859" s="430"/>
      <c r="C859" s="533" t="str">
        <f t="shared" si="2"/>
        <v/>
      </c>
      <c r="D859" s="50"/>
      <c r="E859" s="50"/>
      <c r="F859" s="50"/>
      <c r="G859" s="50"/>
      <c r="H859" s="50"/>
      <c r="I859" s="50"/>
      <c r="J859" s="22"/>
      <c r="K859" s="22"/>
      <c r="L859" s="22"/>
      <c r="M859" s="22"/>
      <c r="N859" s="22"/>
      <c r="O859" s="22"/>
      <c r="P859" s="22"/>
      <c r="Q859" s="22"/>
      <c r="R859" s="22"/>
      <c r="S859" s="22"/>
      <c r="T859" s="22"/>
      <c r="U859" s="24" t="s">
        <v>219</v>
      </c>
      <c r="V859" s="22"/>
      <c r="W859" s="22"/>
      <c r="X859" s="49">
        <v>49583</v>
      </c>
    </row>
    <row r="860" spans="1:24" ht="12" customHeight="1" x14ac:dyDescent="0.2">
      <c r="A860" s="49">
        <v>49614</v>
      </c>
      <c r="B860" s="430"/>
      <c r="C860" s="533" t="str">
        <f t="shared" si="2"/>
        <v/>
      </c>
      <c r="D860" s="50"/>
      <c r="E860" s="50"/>
      <c r="F860" s="50"/>
      <c r="G860" s="50"/>
      <c r="H860" s="50"/>
      <c r="I860" s="50"/>
      <c r="J860" s="22"/>
      <c r="K860" s="22"/>
      <c r="L860" s="22"/>
      <c r="M860" s="22"/>
      <c r="N860" s="22"/>
      <c r="O860" s="22"/>
      <c r="P860" s="22"/>
      <c r="Q860" s="22"/>
      <c r="R860" s="22"/>
      <c r="S860" s="22"/>
      <c r="T860" s="22"/>
      <c r="U860" s="24" t="s">
        <v>219</v>
      </c>
      <c r="V860" s="22"/>
      <c r="W860" s="22"/>
      <c r="X860" s="49">
        <v>49614</v>
      </c>
    </row>
    <row r="861" spans="1:24" ht="12" customHeight="1" x14ac:dyDescent="0.2">
      <c r="A861" s="49">
        <v>49644</v>
      </c>
      <c r="B861" s="430"/>
      <c r="C861" s="533" t="str">
        <f t="shared" si="2"/>
        <v/>
      </c>
      <c r="D861" s="50"/>
      <c r="E861" s="50"/>
      <c r="F861" s="50"/>
      <c r="G861" s="50"/>
      <c r="H861" s="50"/>
      <c r="I861" s="50"/>
      <c r="J861" s="22"/>
      <c r="K861" s="22"/>
      <c r="L861" s="22"/>
      <c r="M861" s="22"/>
      <c r="N861" s="22"/>
      <c r="O861" s="22"/>
      <c r="P861" s="22"/>
      <c r="Q861" s="22"/>
      <c r="R861" s="22"/>
      <c r="S861" s="22"/>
      <c r="T861" s="22"/>
      <c r="U861" s="24" t="s">
        <v>219</v>
      </c>
      <c r="V861" s="22"/>
      <c r="W861" s="22"/>
      <c r="X861" s="49">
        <v>49644</v>
      </c>
    </row>
    <row r="862" spans="1:24" ht="12" customHeight="1" x14ac:dyDescent="0.2">
      <c r="A862" s="49">
        <v>49675</v>
      </c>
      <c r="B862" s="430"/>
      <c r="C862" s="533" t="str">
        <f t="shared" si="2"/>
        <v/>
      </c>
      <c r="D862" s="50"/>
      <c r="E862" s="50"/>
      <c r="F862" s="50"/>
      <c r="G862" s="50"/>
      <c r="H862" s="50"/>
      <c r="I862" s="50"/>
      <c r="J862" s="22"/>
      <c r="K862" s="22"/>
      <c r="L862" s="22"/>
      <c r="M862" s="22"/>
      <c r="N862" s="22"/>
      <c r="O862" s="22"/>
      <c r="P862" s="22"/>
      <c r="Q862" s="22"/>
      <c r="R862" s="22"/>
      <c r="S862" s="22"/>
      <c r="T862" s="22"/>
      <c r="U862" s="24" t="s">
        <v>219</v>
      </c>
      <c r="V862" s="22"/>
      <c r="W862" s="22"/>
      <c r="X862" s="49">
        <v>49675</v>
      </c>
    </row>
    <row r="863" spans="1:24" ht="12" customHeight="1" x14ac:dyDescent="0.2">
      <c r="A863" s="49">
        <v>49706</v>
      </c>
      <c r="B863" s="430"/>
      <c r="C863" s="533" t="str">
        <f t="shared" si="2"/>
        <v/>
      </c>
      <c r="D863" s="50"/>
      <c r="E863" s="50"/>
      <c r="F863" s="50"/>
      <c r="G863" s="50"/>
      <c r="H863" s="50"/>
      <c r="I863" s="50"/>
      <c r="J863" s="22"/>
      <c r="K863" s="22"/>
      <c r="L863" s="22"/>
      <c r="M863" s="22"/>
      <c r="N863" s="22"/>
      <c r="O863" s="22"/>
      <c r="P863" s="22"/>
      <c r="Q863" s="22"/>
      <c r="R863" s="22"/>
      <c r="S863" s="22"/>
      <c r="T863" s="22"/>
      <c r="U863" s="24" t="s">
        <v>219</v>
      </c>
      <c r="V863" s="22"/>
      <c r="W863" s="22"/>
      <c r="X863" s="49">
        <v>49706</v>
      </c>
    </row>
    <row r="864" spans="1:24" ht="12" customHeight="1" x14ac:dyDescent="0.2">
      <c r="A864" s="49">
        <v>49735</v>
      </c>
      <c r="B864" s="430"/>
      <c r="C864" s="533" t="str">
        <f t="shared" si="2"/>
        <v/>
      </c>
      <c r="D864" s="50"/>
      <c r="E864" s="50"/>
      <c r="F864" s="50"/>
      <c r="G864" s="50"/>
      <c r="H864" s="50"/>
      <c r="I864" s="50"/>
      <c r="J864" s="22"/>
      <c r="K864" s="22"/>
      <c r="L864" s="22"/>
      <c r="M864" s="22"/>
      <c r="N864" s="22"/>
      <c r="O864" s="22"/>
      <c r="P864" s="22"/>
      <c r="Q864" s="22"/>
      <c r="R864" s="22"/>
      <c r="S864" s="22"/>
      <c r="T864" s="22"/>
      <c r="U864" s="24" t="s">
        <v>219</v>
      </c>
      <c r="V864" s="22"/>
      <c r="W864" s="22"/>
      <c r="X864" s="49">
        <v>49735</v>
      </c>
    </row>
    <row r="865" spans="1:24" ht="12" customHeight="1" x14ac:dyDescent="0.2">
      <c r="A865" s="49">
        <v>49766</v>
      </c>
      <c r="B865" s="430"/>
      <c r="C865" s="533" t="str">
        <f t="shared" si="2"/>
        <v/>
      </c>
      <c r="D865" s="50"/>
      <c r="E865" s="50"/>
      <c r="F865" s="50"/>
      <c r="G865" s="50"/>
      <c r="H865" s="50"/>
      <c r="I865" s="50"/>
      <c r="J865" s="22"/>
      <c r="K865" s="22"/>
      <c r="L865" s="22"/>
      <c r="M865" s="22"/>
      <c r="N865" s="22"/>
      <c r="O865" s="22"/>
      <c r="P865" s="22"/>
      <c r="Q865" s="22"/>
      <c r="R865" s="22"/>
      <c r="S865" s="22"/>
      <c r="T865" s="22"/>
      <c r="U865" s="24" t="s">
        <v>219</v>
      </c>
      <c r="V865" s="22"/>
      <c r="W865" s="22"/>
      <c r="X865" s="49">
        <v>49766</v>
      </c>
    </row>
    <row r="866" spans="1:24" ht="12" customHeight="1" x14ac:dyDescent="0.2">
      <c r="A866" s="49">
        <v>49796</v>
      </c>
      <c r="B866" s="430"/>
      <c r="C866" s="533" t="str">
        <f t="shared" ref="C866:C921" si="3">IF(B866="","",B866+C865)</f>
        <v/>
      </c>
      <c r="D866" s="50"/>
      <c r="E866" s="50"/>
      <c r="F866" s="50"/>
      <c r="G866" s="50"/>
      <c r="H866" s="50"/>
      <c r="I866" s="50"/>
      <c r="J866" s="22"/>
      <c r="K866" s="22"/>
      <c r="L866" s="22"/>
      <c r="M866" s="22"/>
      <c r="N866" s="22"/>
      <c r="O866" s="22"/>
      <c r="P866" s="22"/>
      <c r="Q866" s="22"/>
      <c r="R866" s="22"/>
      <c r="S866" s="22"/>
      <c r="T866" s="22"/>
      <c r="U866" s="24" t="s">
        <v>219</v>
      </c>
      <c r="V866" s="22"/>
      <c r="W866" s="22"/>
      <c r="X866" s="49">
        <v>49796</v>
      </c>
    </row>
    <row r="867" spans="1:24" ht="12" customHeight="1" x14ac:dyDescent="0.2">
      <c r="A867" s="49">
        <v>49827</v>
      </c>
      <c r="B867" s="430"/>
      <c r="C867" s="533" t="str">
        <f t="shared" si="3"/>
        <v/>
      </c>
      <c r="D867" s="50"/>
      <c r="E867" s="50"/>
      <c r="F867" s="50"/>
      <c r="G867" s="50"/>
      <c r="H867" s="50"/>
      <c r="I867" s="50"/>
      <c r="J867" s="22"/>
      <c r="K867" s="22"/>
      <c r="L867" s="22"/>
      <c r="M867" s="22"/>
      <c r="N867" s="22"/>
      <c r="O867" s="22"/>
      <c r="P867" s="22"/>
      <c r="Q867" s="22"/>
      <c r="R867" s="22"/>
      <c r="S867" s="22"/>
      <c r="T867" s="22"/>
      <c r="U867" s="24" t="s">
        <v>219</v>
      </c>
      <c r="V867" s="22"/>
      <c r="W867" s="22"/>
      <c r="X867" s="49">
        <v>49827</v>
      </c>
    </row>
    <row r="868" spans="1:24" ht="12" customHeight="1" x14ac:dyDescent="0.2">
      <c r="A868" s="49">
        <v>49857</v>
      </c>
      <c r="B868" s="430"/>
      <c r="C868" s="533" t="str">
        <f t="shared" si="3"/>
        <v/>
      </c>
      <c r="D868" s="50"/>
      <c r="E868" s="50"/>
      <c r="F868" s="50"/>
      <c r="G868" s="50"/>
      <c r="H868" s="50"/>
      <c r="I868" s="50"/>
      <c r="J868" s="22"/>
      <c r="K868" s="22"/>
      <c r="L868" s="22"/>
      <c r="M868" s="22"/>
      <c r="N868" s="22"/>
      <c r="O868" s="22"/>
      <c r="P868" s="22"/>
      <c r="Q868" s="22"/>
      <c r="R868" s="22"/>
      <c r="S868" s="22"/>
      <c r="T868" s="22"/>
      <c r="U868" s="24" t="s">
        <v>219</v>
      </c>
      <c r="V868" s="22"/>
      <c r="W868" s="22"/>
      <c r="X868" s="49">
        <v>49857</v>
      </c>
    </row>
    <row r="869" spans="1:24" ht="12" customHeight="1" x14ac:dyDescent="0.2">
      <c r="A869" s="49">
        <v>49888</v>
      </c>
      <c r="B869" s="430"/>
      <c r="C869" s="533" t="str">
        <f t="shared" si="3"/>
        <v/>
      </c>
      <c r="D869" s="50"/>
      <c r="E869" s="50"/>
      <c r="F869" s="50"/>
      <c r="G869" s="50"/>
      <c r="H869" s="50"/>
      <c r="I869" s="50"/>
      <c r="J869" s="22"/>
      <c r="K869" s="22"/>
      <c r="L869" s="22"/>
      <c r="M869" s="22"/>
      <c r="N869" s="22"/>
      <c r="O869" s="22"/>
      <c r="P869" s="22"/>
      <c r="Q869" s="22"/>
      <c r="R869" s="22"/>
      <c r="S869" s="22"/>
      <c r="T869" s="22"/>
      <c r="U869" s="24" t="s">
        <v>219</v>
      </c>
      <c r="V869" s="22"/>
      <c r="W869" s="22"/>
      <c r="X869" s="49">
        <v>49888</v>
      </c>
    </row>
    <row r="870" spans="1:24" ht="12" customHeight="1" x14ac:dyDescent="0.2">
      <c r="A870" s="49">
        <v>49919</v>
      </c>
      <c r="B870" s="430"/>
      <c r="C870" s="533" t="str">
        <f t="shared" si="3"/>
        <v/>
      </c>
      <c r="D870" s="50"/>
      <c r="E870" s="50"/>
      <c r="F870" s="50"/>
      <c r="G870" s="50"/>
      <c r="H870" s="50"/>
      <c r="I870" s="50"/>
      <c r="J870" s="22"/>
      <c r="K870" s="22"/>
      <c r="L870" s="22"/>
      <c r="M870" s="22"/>
      <c r="N870" s="22"/>
      <c r="O870" s="22"/>
      <c r="P870" s="22"/>
      <c r="Q870" s="22"/>
      <c r="R870" s="22"/>
      <c r="S870" s="22"/>
      <c r="T870" s="22"/>
      <c r="U870" s="24" t="s">
        <v>219</v>
      </c>
      <c r="V870" s="22"/>
      <c r="W870" s="22"/>
      <c r="X870" s="49">
        <v>49919</v>
      </c>
    </row>
    <row r="871" spans="1:24" ht="12" customHeight="1" x14ac:dyDescent="0.2">
      <c r="A871" s="49">
        <v>49949</v>
      </c>
      <c r="B871" s="430"/>
      <c r="C871" s="533" t="str">
        <f t="shared" si="3"/>
        <v/>
      </c>
      <c r="D871" s="50"/>
      <c r="E871" s="50"/>
      <c r="F871" s="50"/>
      <c r="G871" s="50"/>
      <c r="H871" s="50"/>
      <c r="I871" s="50"/>
      <c r="J871" s="22"/>
      <c r="K871" s="22"/>
      <c r="L871" s="22"/>
      <c r="M871" s="22"/>
      <c r="N871" s="22"/>
      <c r="O871" s="22"/>
      <c r="P871" s="22"/>
      <c r="Q871" s="22"/>
      <c r="R871" s="22"/>
      <c r="S871" s="22"/>
      <c r="T871" s="22"/>
      <c r="U871" s="24" t="s">
        <v>219</v>
      </c>
      <c r="V871" s="22"/>
      <c r="W871" s="22"/>
      <c r="X871" s="49">
        <v>49949</v>
      </c>
    </row>
    <row r="872" spans="1:24" ht="12" customHeight="1" x14ac:dyDescent="0.2">
      <c r="A872" s="49">
        <v>49980</v>
      </c>
      <c r="B872" s="430"/>
      <c r="C872" s="533" t="str">
        <f t="shared" si="3"/>
        <v/>
      </c>
      <c r="D872" s="50"/>
      <c r="E872" s="50"/>
      <c r="F872" s="50"/>
      <c r="G872" s="50"/>
      <c r="H872" s="50"/>
      <c r="I872" s="50"/>
      <c r="J872" s="22"/>
      <c r="K872" s="22"/>
      <c r="L872" s="22"/>
      <c r="M872" s="22"/>
      <c r="N872" s="22"/>
      <c r="O872" s="22"/>
      <c r="P872" s="22"/>
      <c r="Q872" s="22"/>
      <c r="R872" s="22"/>
      <c r="S872" s="22"/>
      <c r="T872" s="22"/>
      <c r="U872" s="24" t="s">
        <v>219</v>
      </c>
      <c r="V872" s="22"/>
      <c r="W872" s="22"/>
      <c r="X872" s="49">
        <v>49980</v>
      </c>
    </row>
    <row r="873" spans="1:24" ht="12" customHeight="1" x14ac:dyDescent="0.2">
      <c r="A873" s="49">
        <v>50010</v>
      </c>
      <c r="B873" s="430"/>
      <c r="C873" s="533" t="str">
        <f t="shared" si="3"/>
        <v/>
      </c>
      <c r="D873" s="50"/>
      <c r="E873" s="50"/>
      <c r="F873" s="50"/>
      <c r="G873" s="50"/>
      <c r="H873" s="50"/>
      <c r="I873" s="50"/>
      <c r="J873" s="22"/>
      <c r="K873" s="22"/>
      <c r="L873" s="22"/>
      <c r="M873" s="22"/>
      <c r="N873" s="22"/>
      <c r="O873" s="22"/>
      <c r="P873" s="22"/>
      <c r="Q873" s="22"/>
      <c r="R873" s="22"/>
      <c r="S873" s="22"/>
      <c r="T873" s="22"/>
      <c r="U873" s="24" t="s">
        <v>219</v>
      </c>
      <c r="V873" s="22"/>
      <c r="W873" s="22"/>
      <c r="X873" s="49">
        <v>50010</v>
      </c>
    </row>
    <row r="874" spans="1:24" ht="12" customHeight="1" x14ac:dyDescent="0.2">
      <c r="A874" s="49">
        <v>50041</v>
      </c>
      <c r="B874" s="430"/>
      <c r="C874" s="533" t="str">
        <f t="shared" si="3"/>
        <v/>
      </c>
      <c r="D874" s="50"/>
      <c r="E874" s="50"/>
      <c r="F874" s="50"/>
      <c r="G874" s="50"/>
      <c r="H874" s="50"/>
      <c r="I874" s="50"/>
      <c r="J874" s="22"/>
      <c r="K874" s="22"/>
      <c r="L874" s="22"/>
      <c r="M874" s="22"/>
      <c r="N874" s="22"/>
      <c r="O874" s="22"/>
      <c r="P874" s="22"/>
      <c r="Q874" s="22"/>
      <c r="R874" s="22"/>
      <c r="S874" s="22"/>
      <c r="T874" s="22"/>
      <c r="U874" s="24" t="s">
        <v>219</v>
      </c>
      <c r="V874" s="22"/>
      <c r="W874" s="22"/>
      <c r="X874" s="49">
        <v>50041</v>
      </c>
    </row>
    <row r="875" spans="1:24" ht="12" customHeight="1" x14ac:dyDescent="0.2">
      <c r="A875" s="49">
        <v>50072</v>
      </c>
      <c r="B875" s="430"/>
      <c r="C875" s="533" t="str">
        <f t="shared" si="3"/>
        <v/>
      </c>
      <c r="D875" s="50"/>
      <c r="E875" s="50"/>
      <c r="F875" s="50"/>
      <c r="G875" s="50"/>
      <c r="H875" s="50"/>
      <c r="I875" s="50"/>
      <c r="J875" s="22"/>
      <c r="K875" s="22"/>
      <c r="L875" s="22"/>
      <c r="M875" s="22"/>
      <c r="N875" s="22"/>
      <c r="O875" s="22"/>
      <c r="P875" s="22"/>
      <c r="Q875" s="22"/>
      <c r="R875" s="22"/>
      <c r="S875" s="22"/>
      <c r="T875" s="22"/>
      <c r="U875" s="24" t="s">
        <v>219</v>
      </c>
      <c r="V875" s="22"/>
      <c r="W875" s="22"/>
      <c r="X875" s="49">
        <v>50072</v>
      </c>
    </row>
    <row r="876" spans="1:24" ht="12" customHeight="1" x14ac:dyDescent="0.2">
      <c r="A876" s="49">
        <v>50100</v>
      </c>
      <c r="B876" s="430"/>
      <c r="C876" s="533" t="str">
        <f t="shared" si="3"/>
        <v/>
      </c>
      <c r="D876" s="50"/>
      <c r="E876" s="50"/>
      <c r="F876" s="50"/>
      <c r="G876" s="50"/>
      <c r="H876" s="50"/>
      <c r="I876" s="50"/>
      <c r="J876" s="22"/>
      <c r="K876" s="22"/>
      <c r="L876" s="22"/>
      <c r="M876" s="22"/>
      <c r="N876" s="22"/>
      <c r="O876" s="22"/>
      <c r="P876" s="22"/>
      <c r="Q876" s="22"/>
      <c r="R876" s="22"/>
      <c r="S876" s="22"/>
      <c r="T876" s="22"/>
      <c r="U876" s="24" t="s">
        <v>219</v>
      </c>
      <c r="V876" s="22"/>
      <c r="W876" s="22"/>
      <c r="X876" s="49">
        <v>50100</v>
      </c>
    </row>
    <row r="877" spans="1:24" ht="12" customHeight="1" x14ac:dyDescent="0.2">
      <c r="A877" s="49">
        <v>50131</v>
      </c>
      <c r="B877" s="430"/>
      <c r="C877" s="533" t="str">
        <f t="shared" si="3"/>
        <v/>
      </c>
      <c r="D877" s="50"/>
      <c r="E877" s="50"/>
      <c r="F877" s="50"/>
      <c r="G877" s="50"/>
      <c r="H877" s="50"/>
      <c r="I877" s="50"/>
      <c r="J877" s="22"/>
      <c r="K877" s="22"/>
      <c r="L877" s="22"/>
      <c r="M877" s="22"/>
      <c r="N877" s="22"/>
      <c r="O877" s="22"/>
      <c r="P877" s="22"/>
      <c r="Q877" s="22"/>
      <c r="R877" s="22"/>
      <c r="S877" s="22"/>
      <c r="T877" s="22"/>
      <c r="U877" s="24" t="s">
        <v>219</v>
      </c>
      <c r="V877" s="22"/>
      <c r="W877" s="22"/>
      <c r="X877" s="49">
        <v>50131</v>
      </c>
    </row>
    <row r="878" spans="1:24" ht="12" customHeight="1" x14ac:dyDescent="0.2">
      <c r="A878" s="49">
        <v>50161</v>
      </c>
      <c r="B878" s="430"/>
      <c r="C878" s="533" t="str">
        <f t="shared" si="3"/>
        <v/>
      </c>
      <c r="D878" s="50"/>
      <c r="E878" s="50"/>
      <c r="F878" s="50"/>
      <c r="G878" s="50"/>
      <c r="H878" s="50"/>
      <c r="I878" s="50"/>
      <c r="J878" s="22"/>
      <c r="K878" s="22"/>
      <c r="L878" s="22"/>
      <c r="M878" s="22"/>
      <c r="N878" s="22"/>
      <c r="O878" s="22"/>
      <c r="P878" s="22"/>
      <c r="Q878" s="22"/>
      <c r="R878" s="22"/>
      <c r="S878" s="22"/>
      <c r="T878" s="22"/>
      <c r="U878" s="24" t="s">
        <v>219</v>
      </c>
      <c r="V878" s="22"/>
      <c r="W878" s="22"/>
      <c r="X878" s="49">
        <v>50161</v>
      </c>
    </row>
    <row r="879" spans="1:24" ht="12" customHeight="1" x14ac:dyDescent="0.2">
      <c r="A879" s="49">
        <v>50192</v>
      </c>
      <c r="B879" s="430"/>
      <c r="C879" s="533" t="str">
        <f t="shared" si="3"/>
        <v/>
      </c>
      <c r="D879" s="50"/>
      <c r="E879" s="50"/>
      <c r="F879" s="50"/>
      <c r="G879" s="50"/>
      <c r="H879" s="50"/>
      <c r="I879" s="50"/>
      <c r="J879" s="22"/>
      <c r="K879" s="22"/>
      <c r="L879" s="22"/>
      <c r="M879" s="22"/>
      <c r="N879" s="22"/>
      <c r="O879" s="22"/>
      <c r="P879" s="22"/>
      <c r="Q879" s="22"/>
      <c r="R879" s="22"/>
      <c r="S879" s="22"/>
      <c r="T879" s="22"/>
      <c r="U879" s="24" t="s">
        <v>219</v>
      </c>
      <c r="V879" s="22"/>
      <c r="W879" s="22"/>
      <c r="X879" s="49">
        <v>50192</v>
      </c>
    </row>
    <row r="880" spans="1:24" ht="12" customHeight="1" x14ac:dyDescent="0.2">
      <c r="A880" s="49">
        <v>50222</v>
      </c>
      <c r="B880" s="430"/>
      <c r="C880" s="533" t="str">
        <f t="shared" si="3"/>
        <v/>
      </c>
      <c r="D880" s="50"/>
      <c r="E880" s="50"/>
      <c r="F880" s="50"/>
      <c r="G880" s="50"/>
      <c r="H880" s="50"/>
      <c r="I880" s="50"/>
      <c r="J880" s="22"/>
      <c r="K880" s="22"/>
      <c r="L880" s="22"/>
      <c r="M880" s="22"/>
      <c r="N880" s="22"/>
      <c r="O880" s="22"/>
      <c r="P880" s="22"/>
      <c r="Q880" s="22"/>
      <c r="R880" s="22"/>
      <c r="S880" s="22"/>
      <c r="T880" s="22"/>
      <c r="U880" s="24" t="s">
        <v>219</v>
      </c>
      <c r="V880" s="22"/>
      <c r="W880" s="22"/>
      <c r="X880" s="49">
        <v>50222</v>
      </c>
    </row>
    <row r="881" spans="1:24" ht="12" customHeight="1" x14ac:dyDescent="0.2">
      <c r="A881" s="49">
        <v>50253</v>
      </c>
      <c r="B881" s="430"/>
      <c r="C881" s="533" t="str">
        <f t="shared" si="3"/>
        <v/>
      </c>
      <c r="D881" s="50"/>
      <c r="E881" s="50"/>
      <c r="F881" s="50"/>
      <c r="G881" s="50"/>
      <c r="H881" s="50"/>
      <c r="I881" s="50"/>
      <c r="J881" s="22"/>
      <c r="K881" s="22"/>
      <c r="L881" s="22"/>
      <c r="M881" s="22"/>
      <c r="N881" s="22"/>
      <c r="O881" s="22"/>
      <c r="P881" s="22"/>
      <c r="Q881" s="22"/>
      <c r="R881" s="22"/>
      <c r="S881" s="22"/>
      <c r="T881" s="22"/>
      <c r="U881" s="24" t="s">
        <v>219</v>
      </c>
      <c r="V881" s="22"/>
      <c r="W881" s="22"/>
      <c r="X881" s="49">
        <v>50253</v>
      </c>
    </row>
    <row r="882" spans="1:24" ht="12" customHeight="1" x14ac:dyDescent="0.2">
      <c r="A882" s="49">
        <v>50284</v>
      </c>
      <c r="B882" s="430"/>
      <c r="C882" s="533" t="str">
        <f t="shared" si="3"/>
        <v/>
      </c>
      <c r="D882" s="50"/>
      <c r="E882" s="50"/>
      <c r="F882" s="50"/>
      <c r="G882" s="50"/>
      <c r="H882" s="50"/>
      <c r="I882" s="50"/>
      <c r="J882" s="22"/>
      <c r="K882" s="22"/>
      <c r="L882" s="22"/>
      <c r="M882" s="22"/>
      <c r="N882" s="22"/>
      <c r="O882" s="22"/>
      <c r="P882" s="22"/>
      <c r="Q882" s="22"/>
      <c r="R882" s="22"/>
      <c r="S882" s="22"/>
      <c r="T882" s="22"/>
      <c r="U882" s="24" t="s">
        <v>219</v>
      </c>
      <c r="V882" s="22"/>
      <c r="W882" s="22"/>
      <c r="X882" s="49">
        <v>50284</v>
      </c>
    </row>
    <row r="883" spans="1:24" ht="12" customHeight="1" x14ac:dyDescent="0.2">
      <c r="A883" s="49">
        <v>50314</v>
      </c>
      <c r="B883" s="430"/>
      <c r="C883" s="533" t="str">
        <f t="shared" si="3"/>
        <v/>
      </c>
      <c r="D883" s="50"/>
      <c r="E883" s="50"/>
      <c r="F883" s="50"/>
      <c r="G883" s="50"/>
      <c r="H883" s="50"/>
      <c r="I883" s="50"/>
      <c r="J883" s="22"/>
      <c r="K883" s="22"/>
      <c r="L883" s="22"/>
      <c r="M883" s="22"/>
      <c r="N883" s="22"/>
      <c r="O883" s="22"/>
      <c r="P883" s="22"/>
      <c r="Q883" s="22"/>
      <c r="R883" s="22"/>
      <c r="S883" s="22"/>
      <c r="T883" s="22"/>
      <c r="U883" s="24" t="s">
        <v>219</v>
      </c>
      <c r="V883" s="22"/>
      <c r="W883" s="22"/>
      <c r="X883" s="49">
        <v>50314</v>
      </c>
    </row>
    <row r="884" spans="1:24" ht="12" customHeight="1" x14ac:dyDescent="0.2">
      <c r="A884" s="49">
        <v>50345</v>
      </c>
      <c r="B884" s="430"/>
      <c r="C884" s="533" t="str">
        <f t="shared" si="3"/>
        <v/>
      </c>
      <c r="D884" s="50"/>
      <c r="E884" s="50"/>
      <c r="F884" s="50"/>
      <c r="G884" s="50"/>
      <c r="H884" s="50"/>
      <c r="I884" s="50"/>
      <c r="J884" s="22"/>
      <c r="K884" s="22"/>
      <c r="L884" s="22"/>
      <c r="M884" s="22"/>
      <c r="N884" s="22"/>
      <c r="O884" s="22"/>
      <c r="P884" s="22"/>
      <c r="Q884" s="22"/>
      <c r="R884" s="22"/>
      <c r="S884" s="22"/>
      <c r="T884" s="22"/>
      <c r="U884" s="24" t="s">
        <v>219</v>
      </c>
      <c r="V884" s="22"/>
      <c r="W884" s="22"/>
      <c r="X884" s="49">
        <v>50345</v>
      </c>
    </row>
    <row r="885" spans="1:24" ht="12" customHeight="1" x14ac:dyDescent="0.2">
      <c r="A885" s="49">
        <v>50375</v>
      </c>
      <c r="B885" s="430"/>
      <c r="C885" s="533" t="str">
        <f t="shared" si="3"/>
        <v/>
      </c>
      <c r="D885" s="50"/>
      <c r="E885" s="50"/>
      <c r="F885" s="50"/>
      <c r="G885" s="50"/>
      <c r="H885" s="50"/>
      <c r="I885" s="50"/>
      <c r="J885" s="22"/>
      <c r="K885" s="22"/>
      <c r="L885" s="22"/>
      <c r="M885" s="22"/>
      <c r="N885" s="22"/>
      <c r="O885" s="22"/>
      <c r="P885" s="22"/>
      <c r="Q885" s="22"/>
      <c r="R885" s="22"/>
      <c r="S885" s="22"/>
      <c r="T885" s="22"/>
      <c r="U885" s="24" t="s">
        <v>219</v>
      </c>
      <c r="V885" s="22"/>
      <c r="W885" s="22"/>
      <c r="X885" s="49">
        <v>50375</v>
      </c>
    </row>
    <row r="886" spans="1:24" ht="12" customHeight="1" x14ac:dyDescent="0.2">
      <c r="A886" s="49">
        <v>50406</v>
      </c>
      <c r="B886" s="430"/>
      <c r="C886" s="533" t="str">
        <f t="shared" si="3"/>
        <v/>
      </c>
      <c r="D886" s="50"/>
      <c r="E886" s="50"/>
      <c r="F886" s="50"/>
      <c r="G886" s="50"/>
      <c r="H886" s="50"/>
      <c r="I886" s="50"/>
      <c r="J886" s="22"/>
      <c r="K886" s="22"/>
      <c r="L886" s="22"/>
      <c r="M886" s="22"/>
      <c r="N886" s="22"/>
      <c r="O886" s="22"/>
      <c r="P886" s="22"/>
      <c r="Q886" s="22"/>
      <c r="R886" s="22"/>
      <c r="S886" s="22"/>
      <c r="T886" s="22"/>
      <c r="U886" s="24" t="s">
        <v>219</v>
      </c>
      <c r="V886" s="22"/>
      <c r="W886" s="22"/>
      <c r="X886" s="49">
        <v>50406</v>
      </c>
    </row>
    <row r="887" spans="1:24" ht="12" customHeight="1" x14ac:dyDescent="0.2">
      <c r="A887" s="49">
        <v>50437</v>
      </c>
      <c r="B887" s="430"/>
      <c r="C887" s="533" t="str">
        <f t="shared" si="3"/>
        <v/>
      </c>
      <c r="D887" s="50"/>
      <c r="E887" s="50"/>
      <c r="F887" s="50"/>
      <c r="G887" s="50"/>
      <c r="H887" s="50"/>
      <c r="I887" s="50"/>
      <c r="J887" s="22"/>
      <c r="K887" s="22"/>
      <c r="L887" s="22"/>
      <c r="M887" s="22"/>
      <c r="N887" s="22"/>
      <c r="O887" s="22"/>
      <c r="P887" s="22"/>
      <c r="Q887" s="22"/>
      <c r="R887" s="22"/>
      <c r="S887" s="22"/>
      <c r="T887" s="22"/>
      <c r="U887" s="24" t="s">
        <v>219</v>
      </c>
      <c r="V887" s="22"/>
      <c r="W887" s="22"/>
      <c r="X887" s="49">
        <v>50437</v>
      </c>
    </row>
    <row r="888" spans="1:24" ht="12" customHeight="1" x14ac:dyDescent="0.2">
      <c r="A888" s="49">
        <v>50465</v>
      </c>
      <c r="B888" s="430"/>
      <c r="C888" s="533" t="str">
        <f t="shared" si="3"/>
        <v/>
      </c>
      <c r="D888" s="50"/>
      <c r="E888" s="50"/>
      <c r="F888" s="50"/>
      <c r="G888" s="50"/>
      <c r="H888" s="50"/>
      <c r="I888" s="50"/>
      <c r="J888" s="22"/>
      <c r="K888" s="22"/>
      <c r="L888" s="22"/>
      <c r="M888" s="22"/>
      <c r="N888" s="22"/>
      <c r="O888" s="22"/>
      <c r="P888" s="22"/>
      <c r="Q888" s="22"/>
      <c r="R888" s="22"/>
      <c r="S888" s="22"/>
      <c r="T888" s="22"/>
      <c r="U888" s="24" t="s">
        <v>219</v>
      </c>
      <c r="V888" s="22"/>
      <c r="W888" s="22"/>
      <c r="X888" s="49">
        <v>50465</v>
      </c>
    </row>
    <row r="889" spans="1:24" ht="12" customHeight="1" x14ac:dyDescent="0.2">
      <c r="A889" s="49">
        <v>50496</v>
      </c>
      <c r="B889" s="430"/>
      <c r="C889" s="533" t="str">
        <f t="shared" si="3"/>
        <v/>
      </c>
      <c r="D889" s="50"/>
      <c r="E889" s="50"/>
      <c r="F889" s="50"/>
      <c r="G889" s="50"/>
      <c r="H889" s="50"/>
      <c r="I889" s="50"/>
      <c r="J889" s="22"/>
      <c r="K889" s="22"/>
      <c r="L889" s="22"/>
      <c r="M889" s="22"/>
      <c r="N889" s="22"/>
      <c r="O889" s="22"/>
      <c r="P889" s="22"/>
      <c r="Q889" s="22"/>
      <c r="R889" s="22"/>
      <c r="S889" s="22"/>
      <c r="T889" s="22"/>
      <c r="U889" s="24" t="s">
        <v>219</v>
      </c>
      <c r="V889" s="22"/>
      <c r="W889" s="22"/>
      <c r="X889" s="49">
        <v>50496</v>
      </c>
    </row>
    <row r="890" spans="1:24" ht="12" customHeight="1" x14ac:dyDescent="0.2">
      <c r="A890" s="49">
        <v>50526</v>
      </c>
      <c r="B890" s="430"/>
      <c r="C890" s="533" t="str">
        <f t="shared" si="3"/>
        <v/>
      </c>
      <c r="D890" s="50"/>
      <c r="E890" s="50"/>
      <c r="F890" s="50"/>
      <c r="G890" s="50"/>
      <c r="H890" s="50"/>
      <c r="I890" s="50"/>
      <c r="J890" s="22"/>
      <c r="K890" s="22"/>
      <c r="L890" s="22"/>
      <c r="M890" s="22"/>
      <c r="N890" s="22"/>
      <c r="O890" s="22"/>
      <c r="P890" s="22"/>
      <c r="Q890" s="22"/>
      <c r="R890" s="22"/>
      <c r="S890" s="22"/>
      <c r="T890" s="22"/>
      <c r="U890" s="24" t="s">
        <v>219</v>
      </c>
      <c r="V890" s="22"/>
      <c r="W890" s="22"/>
      <c r="X890" s="49">
        <v>50526</v>
      </c>
    </row>
    <row r="891" spans="1:24" ht="12" customHeight="1" x14ac:dyDescent="0.2">
      <c r="A891" s="49">
        <v>50557</v>
      </c>
      <c r="B891" s="430"/>
      <c r="C891" s="533" t="str">
        <f t="shared" si="3"/>
        <v/>
      </c>
      <c r="D891" s="50"/>
      <c r="E891" s="50"/>
      <c r="F891" s="50"/>
      <c r="G891" s="50"/>
      <c r="H891" s="50"/>
      <c r="I891" s="50"/>
      <c r="J891" s="22"/>
      <c r="K891" s="22"/>
      <c r="L891" s="22"/>
      <c r="M891" s="22"/>
      <c r="N891" s="22"/>
      <c r="O891" s="22"/>
      <c r="P891" s="22"/>
      <c r="Q891" s="22"/>
      <c r="R891" s="22"/>
      <c r="S891" s="22"/>
      <c r="T891" s="22"/>
      <c r="U891" s="24" t="s">
        <v>219</v>
      </c>
      <c r="V891" s="22"/>
      <c r="W891" s="22"/>
      <c r="X891" s="49">
        <v>50557</v>
      </c>
    </row>
    <row r="892" spans="1:24" ht="12" customHeight="1" x14ac:dyDescent="0.2">
      <c r="A892" s="49">
        <v>50587</v>
      </c>
      <c r="B892" s="430"/>
      <c r="C892" s="533" t="str">
        <f t="shared" si="3"/>
        <v/>
      </c>
      <c r="D892" s="50"/>
      <c r="E892" s="50"/>
      <c r="F892" s="50"/>
      <c r="G892" s="50"/>
      <c r="H892" s="50"/>
      <c r="I892" s="50"/>
      <c r="J892" s="22"/>
      <c r="K892" s="22"/>
      <c r="L892" s="22"/>
      <c r="M892" s="22"/>
      <c r="N892" s="22"/>
      <c r="O892" s="22"/>
      <c r="P892" s="22"/>
      <c r="Q892" s="22"/>
      <c r="R892" s="22"/>
      <c r="S892" s="22"/>
      <c r="T892" s="22"/>
      <c r="U892" s="24" t="s">
        <v>219</v>
      </c>
      <c r="V892" s="22"/>
      <c r="W892" s="22"/>
      <c r="X892" s="49">
        <v>50587</v>
      </c>
    </row>
    <row r="893" spans="1:24" ht="12" customHeight="1" x14ac:dyDescent="0.2">
      <c r="A893" s="49">
        <v>50618</v>
      </c>
      <c r="B893" s="430"/>
      <c r="C893" s="533" t="str">
        <f t="shared" si="3"/>
        <v/>
      </c>
      <c r="D893" s="50"/>
      <c r="E893" s="50"/>
      <c r="F893" s="50"/>
      <c r="G893" s="50"/>
      <c r="H893" s="50"/>
      <c r="I893" s="50"/>
      <c r="J893" s="22"/>
      <c r="K893" s="22"/>
      <c r="L893" s="22"/>
      <c r="M893" s="22"/>
      <c r="N893" s="22"/>
      <c r="O893" s="22"/>
      <c r="P893" s="22"/>
      <c r="Q893" s="22"/>
      <c r="R893" s="22"/>
      <c r="S893" s="22"/>
      <c r="T893" s="22"/>
      <c r="U893" s="24" t="s">
        <v>219</v>
      </c>
      <c r="V893" s="22"/>
      <c r="W893" s="22"/>
      <c r="X893" s="49">
        <v>50618</v>
      </c>
    </row>
    <row r="894" spans="1:24" ht="12" customHeight="1" x14ac:dyDescent="0.2">
      <c r="A894" s="49">
        <v>50649</v>
      </c>
      <c r="B894" s="430"/>
      <c r="C894" s="533" t="str">
        <f t="shared" si="3"/>
        <v/>
      </c>
      <c r="D894" s="50"/>
      <c r="E894" s="50"/>
      <c r="F894" s="50"/>
      <c r="G894" s="50"/>
      <c r="H894" s="50"/>
      <c r="I894" s="50"/>
      <c r="J894" s="22"/>
      <c r="K894" s="22"/>
      <c r="L894" s="22"/>
      <c r="M894" s="22"/>
      <c r="N894" s="22"/>
      <c r="O894" s="22"/>
      <c r="P894" s="22"/>
      <c r="Q894" s="22"/>
      <c r="R894" s="22"/>
      <c r="S894" s="22"/>
      <c r="T894" s="22"/>
      <c r="U894" s="24" t="s">
        <v>219</v>
      </c>
      <c r="V894" s="22"/>
      <c r="W894" s="22"/>
      <c r="X894" s="49">
        <v>50649</v>
      </c>
    </row>
    <row r="895" spans="1:24" ht="12" customHeight="1" x14ac:dyDescent="0.2">
      <c r="A895" s="49">
        <v>50679</v>
      </c>
      <c r="B895" s="430"/>
      <c r="C895" s="533" t="str">
        <f t="shared" si="3"/>
        <v/>
      </c>
      <c r="D895" s="50"/>
      <c r="E895" s="50"/>
      <c r="F895" s="50"/>
      <c r="G895" s="50"/>
      <c r="H895" s="50"/>
      <c r="I895" s="50"/>
      <c r="J895" s="22"/>
      <c r="K895" s="22"/>
      <c r="L895" s="22"/>
      <c r="M895" s="22"/>
      <c r="N895" s="22"/>
      <c r="O895" s="22"/>
      <c r="P895" s="22"/>
      <c r="Q895" s="22"/>
      <c r="R895" s="22"/>
      <c r="S895" s="22"/>
      <c r="T895" s="22"/>
      <c r="U895" s="24" t="s">
        <v>219</v>
      </c>
      <c r="V895" s="22"/>
      <c r="W895" s="22"/>
      <c r="X895" s="49">
        <v>50679</v>
      </c>
    </row>
    <row r="896" spans="1:24" ht="12" customHeight="1" x14ac:dyDescent="0.2">
      <c r="A896" s="49">
        <v>50710</v>
      </c>
      <c r="B896" s="430"/>
      <c r="C896" s="533" t="str">
        <f t="shared" si="3"/>
        <v/>
      </c>
      <c r="D896" s="50"/>
      <c r="E896" s="50"/>
      <c r="F896" s="50"/>
      <c r="G896" s="50"/>
      <c r="H896" s="50"/>
      <c r="I896" s="50"/>
      <c r="J896" s="22"/>
      <c r="K896" s="22"/>
      <c r="L896" s="22"/>
      <c r="M896" s="22"/>
      <c r="N896" s="22"/>
      <c r="O896" s="22"/>
      <c r="P896" s="22"/>
      <c r="Q896" s="22"/>
      <c r="R896" s="22"/>
      <c r="S896" s="22"/>
      <c r="T896" s="22"/>
      <c r="U896" s="24" t="s">
        <v>219</v>
      </c>
      <c r="V896" s="22"/>
      <c r="W896" s="22"/>
      <c r="X896" s="49">
        <v>50710</v>
      </c>
    </row>
    <row r="897" spans="1:24" ht="12" customHeight="1" x14ac:dyDescent="0.2">
      <c r="A897" s="49">
        <v>50740</v>
      </c>
      <c r="B897" s="430"/>
      <c r="C897" s="533" t="str">
        <f t="shared" si="3"/>
        <v/>
      </c>
      <c r="D897" s="50"/>
      <c r="E897" s="50"/>
      <c r="F897" s="50"/>
      <c r="G897" s="50"/>
      <c r="H897" s="50"/>
      <c r="I897" s="50"/>
      <c r="J897" s="22"/>
      <c r="K897" s="22"/>
      <c r="L897" s="22"/>
      <c r="M897" s="22"/>
      <c r="N897" s="22"/>
      <c r="O897" s="22"/>
      <c r="P897" s="22"/>
      <c r="Q897" s="22"/>
      <c r="R897" s="22"/>
      <c r="S897" s="22"/>
      <c r="T897" s="22"/>
      <c r="U897" s="24" t="s">
        <v>219</v>
      </c>
      <c r="V897" s="22"/>
      <c r="W897" s="22"/>
      <c r="X897" s="49">
        <v>50740</v>
      </c>
    </row>
    <row r="898" spans="1:24" ht="12" customHeight="1" x14ac:dyDescent="0.2">
      <c r="A898" s="49">
        <v>50771</v>
      </c>
      <c r="B898" s="430"/>
      <c r="C898" s="533" t="str">
        <f t="shared" si="3"/>
        <v/>
      </c>
      <c r="D898" s="50"/>
      <c r="E898" s="50"/>
      <c r="F898" s="50"/>
      <c r="G898" s="50"/>
      <c r="H898" s="50"/>
      <c r="I898" s="50"/>
      <c r="J898" s="22"/>
      <c r="K898" s="22"/>
      <c r="L898" s="22"/>
      <c r="M898" s="22"/>
      <c r="N898" s="22"/>
      <c r="O898" s="22"/>
      <c r="P898" s="22"/>
      <c r="Q898" s="22"/>
      <c r="R898" s="22"/>
      <c r="S898" s="22"/>
      <c r="T898" s="22"/>
      <c r="U898" s="24" t="s">
        <v>219</v>
      </c>
      <c r="V898" s="22"/>
      <c r="W898" s="22"/>
      <c r="X898" s="49">
        <v>50771</v>
      </c>
    </row>
    <row r="899" spans="1:24" ht="12" customHeight="1" x14ac:dyDescent="0.2">
      <c r="A899" s="49">
        <v>50802</v>
      </c>
      <c r="B899" s="430"/>
      <c r="C899" s="533" t="str">
        <f t="shared" si="3"/>
        <v/>
      </c>
      <c r="D899" s="50"/>
      <c r="E899" s="50"/>
      <c r="F899" s="50"/>
      <c r="G899" s="50"/>
      <c r="H899" s="50"/>
      <c r="I899" s="50"/>
      <c r="J899" s="22"/>
      <c r="K899" s="22"/>
      <c r="L899" s="22"/>
      <c r="M899" s="22"/>
      <c r="N899" s="22"/>
      <c r="O899" s="22"/>
      <c r="P899" s="22"/>
      <c r="Q899" s="22"/>
      <c r="R899" s="22"/>
      <c r="S899" s="22"/>
      <c r="T899" s="22"/>
      <c r="U899" s="24" t="s">
        <v>219</v>
      </c>
      <c r="V899" s="22"/>
      <c r="W899" s="22"/>
      <c r="X899" s="49">
        <v>50802</v>
      </c>
    </row>
    <row r="900" spans="1:24" ht="12" customHeight="1" x14ac:dyDescent="0.2">
      <c r="A900" s="49">
        <v>50830</v>
      </c>
      <c r="B900" s="430"/>
      <c r="C900" s="533" t="str">
        <f t="shared" si="3"/>
        <v/>
      </c>
      <c r="D900" s="50"/>
      <c r="E900" s="50"/>
      <c r="F900" s="50"/>
      <c r="G900" s="50"/>
      <c r="H900" s="50"/>
      <c r="I900" s="50"/>
      <c r="J900" s="22"/>
      <c r="K900" s="22"/>
      <c r="L900" s="22"/>
      <c r="M900" s="22"/>
      <c r="N900" s="22"/>
      <c r="O900" s="22"/>
      <c r="P900" s="22"/>
      <c r="Q900" s="22"/>
      <c r="R900" s="22"/>
      <c r="S900" s="22"/>
      <c r="T900" s="22"/>
      <c r="U900" s="24" t="s">
        <v>219</v>
      </c>
      <c r="V900" s="22"/>
      <c r="W900" s="22"/>
      <c r="X900" s="49">
        <v>50830</v>
      </c>
    </row>
    <row r="901" spans="1:24" ht="12" customHeight="1" x14ac:dyDescent="0.2">
      <c r="A901" s="49">
        <v>50861</v>
      </c>
      <c r="B901" s="430"/>
      <c r="C901" s="533" t="str">
        <f t="shared" si="3"/>
        <v/>
      </c>
      <c r="D901" s="50"/>
      <c r="E901" s="50"/>
      <c r="F901" s="50"/>
      <c r="G901" s="50"/>
      <c r="H901" s="50"/>
      <c r="I901" s="50"/>
      <c r="J901" s="22"/>
      <c r="K901" s="22"/>
      <c r="L901" s="22"/>
      <c r="M901" s="22"/>
      <c r="N901" s="22"/>
      <c r="O901" s="22"/>
      <c r="P901" s="22"/>
      <c r="Q901" s="22"/>
      <c r="R901" s="22"/>
      <c r="S901" s="22"/>
      <c r="T901" s="22"/>
      <c r="U901" s="24" t="s">
        <v>219</v>
      </c>
      <c r="V901" s="22"/>
      <c r="W901" s="22"/>
      <c r="X901" s="49">
        <v>50861</v>
      </c>
    </row>
    <row r="902" spans="1:24" ht="12" customHeight="1" x14ac:dyDescent="0.2">
      <c r="A902" s="49">
        <v>50891</v>
      </c>
      <c r="B902" s="430"/>
      <c r="C902" s="533" t="str">
        <f t="shared" si="3"/>
        <v/>
      </c>
      <c r="D902" s="50"/>
      <c r="E902" s="50"/>
      <c r="F902" s="50"/>
      <c r="G902" s="50"/>
      <c r="H902" s="50"/>
      <c r="I902" s="50"/>
      <c r="J902" s="22"/>
      <c r="K902" s="22"/>
      <c r="L902" s="22"/>
      <c r="M902" s="22"/>
      <c r="N902" s="22"/>
      <c r="O902" s="22"/>
      <c r="P902" s="22"/>
      <c r="Q902" s="22"/>
      <c r="R902" s="22"/>
      <c r="S902" s="22"/>
      <c r="T902" s="22"/>
      <c r="U902" s="24" t="s">
        <v>219</v>
      </c>
      <c r="V902" s="22"/>
      <c r="W902" s="22"/>
      <c r="X902" s="49">
        <v>50891</v>
      </c>
    </row>
    <row r="903" spans="1:24" ht="12" customHeight="1" x14ac:dyDescent="0.2">
      <c r="A903" s="49">
        <v>50922</v>
      </c>
      <c r="B903" s="430"/>
      <c r="C903" s="533" t="str">
        <f t="shared" si="3"/>
        <v/>
      </c>
      <c r="D903" s="50"/>
      <c r="E903" s="50"/>
      <c r="F903" s="50"/>
      <c r="G903" s="50"/>
      <c r="H903" s="50"/>
      <c r="I903" s="50"/>
      <c r="J903" s="22"/>
      <c r="K903" s="22"/>
      <c r="L903" s="22"/>
      <c r="M903" s="22"/>
      <c r="N903" s="22"/>
      <c r="O903" s="22"/>
      <c r="P903" s="22"/>
      <c r="Q903" s="22"/>
      <c r="R903" s="22"/>
      <c r="S903" s="22"/>
      <c r="T903" s="22"/>
      <c r="U903" s="24" t="s">
        <v>219</v>
      </c>
      <c r="V903" s="22"/>
      <c r="W903" s="22"/>
      <c r="X903" s="49">
        <v>50922</v>
      </c>
    </row>
    <row r="904" spans="1:24" ht="12" customHeight="1" x14ac:dyDescent="0.2">
      <c r="A904" s="49">
        <v>50952</v>
      </c>
      <c r="B904" s="430"/>
      <c r="C904" s="533" t="str">
        <f t="shared" si="3"/>
        <v/>
      </c>
      <c r="D904" s="50"/>
      <c r="E904" s="50"/>
      <c r="F904" s="50"/>
      <c r="G904" s="50"/>
      <c r="H904" s="50"/>
      <c r="I904" s="50"/>
      <c r="J904" s="22"/>
      <c r="K904" s="22"/>
      <c r="L904" s="22"/>
      <c r="M904" s="22"/>
      <c r="N904" s="22"/>
      <c r="O904" s="22"/>
      <c r="P904" s="22"/>
      <c r="Q904" s="22"/>
      <c r="R904" s="22"/>
      <c r="S904" s="22"/>
      <c r="T904" s="22"/>
      <c r="U904" s="24" t="s">
        <v>219</v>
      </c>
      <c r="V904" s="22"/>
      <c r="W904" s="22"/>
      <c r="X904" s="49">
        <v>50952</v>
      </c>
    </row>
    <row r="905" spans="1:24" ht="12" customHeight="1" x14ac:dyDescent="0.2">
      <c r="A905" s="49">
        <v>50983</v>
      </c>
      <c r="B905" s="430"/>
      <c r="C905" s="533" t="str">
        <f t="shared" si="3"/>
        <v/>
      </c>
      <c r="D905" s="50"/>
      <c r="E905" s="50"/>
      <c r="F905" s="50"/>
      <c r="G905" s="50"/>
      <c r="H905" s="50"/>
      <c r="I905" s="50"/>
      <c r="J905" s="22"/>
      <c r="K905" s="22"/>
      <c r="L905" s="22"/>
      <c r="M905" s="22"/>
      <c r="N905" s="22"/>
      <c r="O905" s="22"/>
      <c r="P905" s="22"/>
      <c r="Q905" s="22"/>
      <c r="R905" s="22"/>
      <c r="S905" s="22"/>
      <c r="T905" s="22"/>
      <c r="U905" s="24" t="s">
        <v>219</v>
      </c>
      <c r="V905" s="22"/>
      <c r="W905" s="22"/>
      <c r="X905" s="49">
        <v>50983</v>
      </c>
    </row>
    <row r="906" spans="1:24" ht="12" customHeight="1" x14ac:dyDescent="0.2">
      <c r="A906" s="49">
        <v>51014</v>
      </c>
      <c r="B906" s="430"/>
      <c r="C906" s="533" t="str">
        <f t="shared" si="3"/>
        <v/>
      </c>
      <c r="D906" s="50"/>
      <c r="E906" s="50"/>
      <c r="F906" s="50"/>
      <c r="G906" s="50"/>
      <c r="H906" s="50"/>
      <c r="I906" s="50"/>
      <c r="J906" s="22"/>
      <c r="K906" s="22"/>
      <c r="L906" s="22"/>
      <c r="M906" s="22"/>
      <c r="N906" s="22"/>
      <c r="O906" s="22"/>
      <c r="P906" s="22"/>
      <c r="Q906" s="22"/>
      <c r="R906" s="22"/>
      <c r="S906" s="22"/>
      <c r="T906" s="22"/>
      <c r="U906" s="24" t="s">
        <v>219</v>
      </c>
      <c r="V906" s="22"/>
      <c r="W906" s="22"/>
      <c r="X906" s="49">
        <v>51014</v>
      </c>
    </row>
    <row r="907" spans="1:24" ht="12" customHeight="1" x14ac:dyDescent="0.2">
      <c r="A907" s="49">
        <v>51044</v>
      </c>
      <c r="B907" s="430"/>
      <c r="C907" s="533" t="str">
        <f t="shared" si="3"/>
        <v/>
      </c>
      <c r="D907" s="50"/>
      <c r="E907" s="50"/>
      <c r="F907" s="50"/>
      <c r="G907" s="50"/>
      <c r="H907" s="50"/>
      <c r="I907" s="50"/>
      <c r="J907" s="22"/>
      <c r="K907" s="22"/>
      <c r="L907" s="22"/>
      <c r="M907" s="22"/>
      <c r="N907" s="22"/>
      <c r="O907" s="22"/>
      <c r="P907" s="22"/>
      <c r="Q907" s="22"/>
      <c r="R907" s="22"/>
      <c r="S907" s="22"/>
      <c r="T907" s="22"/>
      <c r="U907" s="24" t="s">
        <v>219</v>
      </c>
      <c r="V907" s="22"/>
      <c r="W907" s="22"/>
      <c r="X907" s="49">
        <v>51044</v>
      </c>
    </row>
    <row r="908" spans="1:24" ht="12" customHeight="1" x14ac:dyDescent="0.2">
      <c r="A908" s="49">
        <v>51075</v>
      </c>
      <c r="B908" s="430"/>
      <c r="C908" s="533" t="str">
        <f t="shared" si="3"/>
        <v/>
      </c>
      <c r="D908" s="50"/>
      <c r="E908" s="50"/>
      <c r="F908" s="50"/>
      <c r="G908" s="50"/>
      <c r="H908" s="50"/>
      <c r="I908" s="50"/>
      <c r="J908" s="22"/>
      <c r="K908" s="22"/>
      <c r="L908" s="22"/>
      <c r="M908" s="22"/>
      <c r="N908" s="22"/>
      <c r="O908" s="22"/>
      <c r="P908" s="22"/>
      <c r="Q908" s="22"/>
      <c r="R908" s="22"/>
      <c r="S908" s="22"/>
      <c r="T908" s="22"/>
      <c r="U908" s="24" t="s">
        <v>219</v>
      </c>
      <c r="V908" s="22"/>
      <c r="W908" s="22"/>
      <c r="X908" s="49">
        <v>51075</v>
      </c>
    </row>
    <row r="909" spans="1:24" ht="12" customHeight="1" x14ac:dyDescent="0.2">
      <c r="A909" s="49">
        <v>51105</v>
      </c>
      <c r="B909" s="430"/>
      <c r="C909" s="533" t="str">
        <f t="shared" si="3"/>
        <v/>
      </c>
      <c r="D909" s="50"/>
      <c r="E909" s="50"/>
      <c r="F909" s="50"/>
      <c r="G909" s="50"/>
      <c r="H909" s="50"/>
      <c r="I909" s="50"/>
      <c r="J909" s="22"/>
      <c r="K909" s="22"/>
      <c r="L909" s="22"/>
      <c r="M909" s="22"/>
      <c r="N909" s="22"/>
      <c r="O909" s="22"/>
      <c r="P909" s="22"/>
      <c r="Q909" s="22"/>
      <c r="R909" s="22"/>
      <c r="S909" s="22"/>
      <c r="T909" s="22"/>
      <c r="U909" s="24" t="s">
        <v>219</v>
      </c>
      <c r="V909" s="22"/>
      <c r="W909" s="22"/>
      <c r="X909" s="49">
        <v>51105</v>
      </c>
    </row>
    <row r="910" spans="1:24" ht="12" customHeight="1" x14ac:dyDescent="0.2">
      <c r="A910" s="49">
        <v>51136</v>
      </c>
      <c r="B910" s="430"/>
      <c r="C910" s="533" t="str">
        <f t="shared" si="3"/>
        <v/>
      </c>
      <c r="D910" s="50"/>
      <c r="E910" s="50"/>
      <c r="F910" s="50"/>
      <c r="G910" s="50"/>
      <c r="H910" s="50"/>
      <c r="I910" s="50"/>
      <c r="J910" s="22"/>
      <c r="K910" s="22"/>
      <c r="L910" s="22"/>
      <c r="M910" s="22"/>
      <c r="N910" s="22"/>
      <c r="O910" s="22"/>
      <c r="P910" s="22"/>
      <c r="Q910" s="22"/>
      <c r="R910" s="22"/>
      <c r="S910" s="22"/>
      <c r="T910" s="22"/>
      <c r="U910" s="24" t="s">
        <v>219</v>
      </c>
      <c r="V910" s="22"/>
      <c r="W910" s="22"/>
      <c r="X910" s="49">
        <v>51136</v>
      </c>
    </row>
    <row r="911" spans="1:24" ht="12" customHeight="1" x14ac:dyDescent="0.2">
      <c r="A911" s="49">
        <v>51167</v>
      </c>
      <c r="B911" s="430"/>
      <c r="C911" s="533" t="str">
        <f t="shared" si="3"/>
        <v/>
      </c>
      <c r="D911" s="50"/>
      <c r="E911" s="50"/>
      <c r="F911" s="50"/>
      <c r="G911" s="50"/>
      <c r="H911" s="50"/>
      <c r="I911" s="50"/>
      <c r="J911" s="22"/>
      <c r="K911" s="22"/>
      <c r="L911" s="22"/>
      <c r="M911" s="22"/>
      <c r="N911" s="22"/>
      <c r="O911" s="22"/>
      <c r="P911" s="22"/>
      <c r="Q911" s="22"/>
      <c r="R911" s="22"/>
      <c r="S911" s="22"/>
      <c r="T911" s="22"/>
      <c r="U911" s="24" t="s">
        <v>219</v>
      </c>
      <c r="V911" s="22"/>
      <c r="W911" s="22"/>
      <c r="X911" s="49">
        <v>51167</v>
      </c>
    </row>
    <row r="912" spans="1:24" ht="12" customHeight="1" x14ac:dyDescent="0.2">
      <c r="A912" s="49">
        <v>51196</v>
      </c>
      <c r="B912" s="430"/>
      <c r="C912" s="533" t="str">
        <f t="shared" si="3"/>
        <v/>
      </c>
      <c r="D912" s="50"/>
      <c r="E912" s="50"/>
      <c r="F912" s="50"/>
      <c r="G912" s="50"/>
      <c r="H912" s="50"/>
      <c r="I912" s="50"/>
      <c r="J912" s="22"/>
      <c r="K912" s="22"/>
      <c r="L912" s="22"/>
      <c r="M912" s="22"/>
      <c r="N912" s="22"/>
      <c r="O912" s="22"/>
      <c r="P912" s="22"/>
      <c r="Q912" s="22"/>
      <c r="R912" s="22"/>
      <c r="S912" s="22"/>
      <c r="T912" s="22"/>
      <c r="U912" s="24" t="s">
        <v>219</v>
      </c>
      <c r="V912" s="22"/>
      <c r="W912" s="22"/>
      <c r="X912" s="49">
        <v>51196</v>
      </c>
    </row>
    <row r="913" spans="1:24" ht="12" customHeight="1" x14ac:dyDescent="0.2">
      <c r="A913" s="49">
        <v>51227</v>
      </c>
      <c r="B913" s="430"/>
      <c r="C913" s="533" t="str">
        <f t="shared" si="3"/>
        <v/>
      </c>
      <c r="D913" s="50"/>
      <c r="E913" s="50"/>
      <c r="F913" s="50"/>
      <c r="G913" s="50"/>
      <c r="H913" s="50"/>
      <c r="I913" s="50"/>
      <c r="J913" s="22"/>
      <c r="K913" s="22"/>
      <c r="L913" s="22"/>
      <c r="M913" s="22"/>
      <c r="N913" s="22"/>
      <c r="O913" s="22"/>
      <c r="P913" s="22"/>
      <c r="Q913" s="22"/>
      <c r="R913" s="22"/>
      <c r="S913" s="22"/>
      <c r="T913" s="22"/>
      <c r="U913" s="24" t="s">
        <v>219</v>
      </c>
      <c r="V913" s="22"/>
      <c r="W913" s="22"/>
      <c r="X913" s="49">
        <v>51227</v>
      </c>
    </row>
    <row r="914" spans="1:24" ht="12" customHeight="1" x14ac:dyDescent="0.2">
      <c r="A914" s="49">
        <v>51257</v>
      </c>
      <c r="B914" s="430"/>
      <c r="C914" s="533" t="str">
        <f t="shared" si="3"/>
        <v/>
      </c>
      <c r="D914" s="50"/>
      <c r="E914" s="50"/>
      <c r="F914" s="50"/>
      <c r="G914" s="50"/>
      <c r="H914" s="50"/>
      <c r="I914" s="50"/>
      <c r="J914" s="22"/>
      <c r="K914" s="22"/>
      <c r="L914" s="22"/>
      <c r="M914" s="22"/>
      <c r="N914" s="22"/>
      <c r="O914" s="22"/>
      <c r="P914" s="22"/>
      <c r="Q914" s="22"/>
      <c r="R914" s="22"/>
      <c r="S914" s="22"/>
      <c r="T914" s="22"/>
      <c r="U914" s="24" t="s">
        <v>219</v>
      </c>
      <c r="V914" s="22"/>
      <c r="W914" s="22"/>
      <c r="X914" s="49">
        <v>51257</v>
      </c>
    </row>
    <row r="915" spans="1:24" ht="12" customHeight="1" x14ac:dyDescent="0.2">
      <c r="A915" s="49">
        <v>51288</v>
      </c>
      <c r="B915" s="430"/>
      <c r="C915" s="533" t="str">
        <f t="shared" si="3"/>
        <v/>
      </c>
      <c r="D915" s="50"/>
      <c r="E915" s="50"/>
      <c r="F915" s="50"/>
      <c r="G915" s="50"/>
      <c r="H915" s="50"/>
      <c r="I915" s="50"/>
      <c r="J915" s="22"/>
      <c r="K915" s="22"/>
      <c r="L915" s="22"/>
      <c r="M915" s="22"/>
      <c r="N915" s="22"/>
      <c r="O915" s="22"/>
      <c r="P915" s="22"/>
      <c r="Q915" s="22"/>
      <c r="R915" s="22"/>
      <c r="S915" s="22"/>
      <c r="T915" s="22"/>
      <c r="U915" s="24" t="s">
        <v>219</v>
      </c>
      <c r="V915" s="22"/>
      <c r="W915" s="22"/>
      <c r="X915" s="49">
        <v>51288</v>
      </c>
    </row>
    <row r="916" spans="1:24" ht="12" customHeight="1" x14ac:dyDescent="0.2">
      <c r="A916" s="49">
        <v>51318</v>
      </c>
      <c r="B916" s="430"/>
      <c r="C916" s="533" t="str">
        <f t="shared" si="3"/>
        <v/>
      </c>
      <c r="D916" s="50"/>
      <c r="E916" s="50"/>
      <c r="F916" s="50"/>
      <c r="G916" s="50"/>
      <c r="H916" s="50"/>
      <c r="I916" s="50"/>
      <c r="J916" s="22"/>
      <c r="K916" s="22"/>
      <c r="L916" s="22"/>
      <c r="M916" s="22"/>
      <c r="N916" s="22"/>
      <c r="O916" s="22"/>
      <c r="P916" s="22"/>
      <c r="Q916" s="22"/>
      <c r="R916" s="22"/>
      <c r="S916" s="22"/>
      <c r="T916" s="22"/>
      <c r="U916" s="24" t="s">
        <v>219</v>
      </c>
      <c r="V916" s="22"/>
      <c r="W916" s="22"/>
      <c r="X916" s="49">
        <v>51318</v>
      </c>
    </row>
    <row r="917" spans="1:24" ht="12" customHeight="1" x14ac:dyDescent="0.2">
      <c r="A917" s="49">
        <v>51349</v>
      </c>
      <c r="B917" s="430"/>
      <c r="C917" s="533" t="str">
        <f t="shared" si="3"/>
        <v/>
      </c>
      <c r="D917" s="50"/>
      <c r="E917" s="50"/>
      <c r="F917" s="50"/>
      <c r="G917" s="50"/>
      <c r="H917" s="50"/>
      <c r="I917" s="50"/>
      <c r="J917" s="22"/>
      <c r="K917" s="22"/>
      <c r="L917" s="22"/>
      <c r="M917" s="22"/>
      <c r="N917" s="22"/>
      <c r="O917" s="22"/>
      <c r="P917" s="22"/>
      <c r="Q917" s="22"/>
      <c r="R917" s="22"/>
      <c r="S917" s="22"/>
      <c r="T917" s="22"/>
      <c r="U917" s="24" t="s">
        <v>219</v>
      </c>
      <c r="V917" s="22"/>
      <c r="W917" s="22"/>
      <c r="X917" s="49">
        <v>51349</v>
      </c>
    </row>
    <row r="918" spans="1:24" ht="12" customHeight="1" x14ac:dyDescent="0.2">
      <c r="A918" s="49">
        <v>51380</v>
      </c>
      <c r="B918" s="430"/>
      <c r="C918" s="533" t="str">
        <f t="shared" si="3"/>
        <v/>
      </c>
      <c r="D918" s="50"/>
      <c r="E918" s="50"/>
      <c r="F918" s="50"/>
      <c r="G918" s="50"/>
      <c r="H918" s="50"/>
      <c r="I918" s="50"/>
      <c r="J918" s="22"/>
      <c r="K918" s="22"/>
      <c r="L918" s="22"/>
      <c r="M918" s="22"/>
      <c r="N918" s="22"/>
      <c r="O918" s="22"/>
      <c r="P918" s="22"/>
      <c r="Q918" s="22"/>
      <c r="R918" s="22"/>
      <c r="S918" s="22"/>
      <c r="T918" s="22"/>
      <c r="U918" s="24" t="s">
        <v>219</v>
      </c>
      <c r="V918" s="22"/>
      <c r="W918" s="22"/>
      <c r="X918" s="49">
        <v>51380</v>
      </c>
    </row>
    <row r="919" spans="1:24" ht="12" customHeight="1" x14ac:dyDescent="0.2">
      <c r="A919" s="49">
        <v>51410</v>
      </c>
      <c r="B919" s="430"/>
      <c r="C919" s="533" t="str">
        <f t="shared" si="3"/>
        <v/>
      </c>
      <c r="D919" s="50"/>
      <c r="E919" s="50"/>
      <c r="F919" s="50"/>
      <c r="G919" s="50"/>
      <c r="H919" s="50"/>
      <c r="I919" s="50"/>
      <c r="J919" s="22"/>
      <c r="K919" s="22"/>
      <c r="L919" s="22"/>
      <c r="M919" s="22"/>
      <c r="N919" s="22"/>
      <c r="O919" s="22"/>
      <c r="P919" s="22"/>
      <c r="Q919" s="22"/>
      <c r="R919" s="22"/>
      <c r="S919" s="22"/>
      <c r="T919" s="22"/>
      <c r="U919" s="24" t="s">
        <v>219</v>
      </c>
      <c r="V919" s="22"/>
      <c r="W919" s="22"/>
      <c r="X919" s="49">
        <v>51410</v>
      </c>
    </row>
    <row r="920" spans="1:24" ht="12" customHeight="1" x14ac:dyDescent="0.2">
      <c r="A920" s="49">
        <v>51441</v>
      </c>
      <c r="B920" s="430"/>
      <c r="C920" s="533" t="str">
        <f t="shared" si="3"/>
        <v/>
      </c>
      <c r="D920" s="50"/>
      <c r="E920" s="50"/>
      <c r="F920" s="50"/>
      <c r="G920" s="50"/>
      <c r="H920" s="50"/>
      <c r="I920" s="50"/>
      <c r="J920" s="22"/>
      <c r="K920" s="22"/>
      <c r="L920" s="22"/>
      <c r="M920" s="22"/>
      <c r="N920" s="22"/>
      <c r="O920" s="22"/>
      <c r="P920" s="22"/>
      <c r="Q920" s="22"/>
      <c r="R920" s="22"/>
      <c r="S920" s="22"/>
      <c r="T920" s="22"/>
      <c r="U920" s="24" t="s">
        <v>219</v>
      </c>
      <c r="V920" s="22"/>
      <c r="W920" s="22"/>
      <c r="X920" s="49">
        <v>51441</v>
      </c>
    </row>
    <row r="921" spans="1:24" ht="12" customHeight="1" x14ac:dyDescent="0.2">
      <c r="A921" s="49">
        <v>51471</v>
      </c>
      <c r="B921" s="430"/>
      <c r="C921" s="533" t="str">
        <f t="shared" si="3"/>
        <v/>
      </c>
      <c r="D921" s="50"/>
      <c r="E921" s="50"/>
      <c r="F921" s="50"/>
      <c r="G921" s="50"/>
      <c r="H921" s="50"/>
      <c r="I921" s="50"/>
      <c r="J921" s="22"/>
      <c r="K921" s="22"/>
      <c r="L921" s="22"/>
      <c r="M921" s="22"/>
      <c r="N921" s="22"/>
      <c r="O921" s="22"/>
      <c r="P921" s="22"/>
      <c r="Q921" s="22"/>
      <c r="R921" s="22"/>
      <c r="S921" s="22"/>
      <c r="T921" s="22"/>
      <c r="U921" s="24" t="s">
        <v>219</v>
      </c>
      <c r="V921" s="22"/>
      <c r="W921" s="22"/>
      <c r="X921" s="49">
        <v>51471</v>
      </c>
    </row>
    <row r="922" spans="1:24" ht="12" customHeight="1" x14ac:dyDescent="0.2">
      <c r="U922" s="25"/>
      <c r="V922" s="25"/>
      <c r="W922" s="25"/>
    </row>
  </sheetData>
  <sheetProtection algorithmName="SHA-512" hashValue="9RMysT/qM2gCxHQO2kRieG0WK8l4jlBUaRcdGjP9QFE0BWVYjLP1RbXFzPmRVbHyNRuIkqZtZUzuwQsHM4Y72g==" saltValue="6HYpHC31LXpKvFlwpjSsIw==" spinCount="100000" sheet="1" objects="1" scenarios="1"/>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3</vt:i4>
      </vt:variant>
    </vt:vector>
  </HeadingPairs>
  <TitlesOfParts>
    <vt:vector size="5" baseType="lpstr">
      <vt:lpstr>CÁLCULO INICIAL</vt:lpstr>
      <vt:lpstr>ÍNDICES</vt:lpstr>
      <vt:lpstr>'CÁLCULO INICIAL'!Area_de_impressao</vt:lpstr>
      <vt:lpstr>'CÁLCULO INICIAL'!Criterios</vt:lpstr>
      <vt:lpstr>'CÁLCULO INICIAL'!Titulos_de_impressao</vt:lpstr>
    </vt:vector>
  </TitlesOfParts>
  <Manager/>
  <Company>Tribunal de Justiça do Estado de São Paulo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MARCELO AUGUSTO DE SOUZA NEVES</dc:creator>
  <cp:keywords/>
  <dc:description/>
  <cp:lastModifiedBy>MARCELO AUGUSTO DE SOUZA NEVES</cp:lastModifiedBy>
  <cp:revision/>
  <dcterms:created xsi:type="dcterms:W3CDTF">2015-08-14T21:25:28Z</dcterms:created>
  <dcterms:modified xsi:type="dcterms:W3CDTF">2023-07-27T19:36:23Z</dcterms:modified>
  <cp:category/>
  <cp:contentStatus/>
</cp:coreProperties>
</file>